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filterPrivacy="1" codeName="ThisWorkbook1" defaultThemeVersion="166925"/>
  <xr:revisionPtr revIDLastSave="0" documentId="13_ncr:1_{62424BF0-2C09-4C20-B948-8306E07FA0F6}" xr6:coauthVersionLast="36" xr6:coauthVersionMax="36" xr10:uidLastSave="{00000000-0000-0000-0000-000000000000}"/>
  <bookViews>
    <workbookView xWindow="0" yWindow="0" windowWidth="7470" windowHeight="2505" tabRatio="805" firstSheet="6" activeTab="20" xr2:uid="{00000000-000D-0000-FFFF-FFFF00000000}"/>
  </bookViews>
  <sheets>
    <sheet name="卡片强度" sheetId="1" r:id="rId1"/>
    <sheet name="卡片raw data" sheetId="6" r:id="rId2"/>
    <sheet name="Sheet1" sheetId="23" state="hidden" r:id="rId3"/>
    <sheet name="绊状态确认" sheetId="5" r:id="rId4"/>
    <sheet name="绊面板数据" sheetId="19" r:id="rId5"/>
    <sheet name="奶盾耐久快速查询" sheetId="21" r:id="rId6"/>
    <sheet name="奶盾强度计算" sheetId="25" r:id="rId7"/>
    <sheet name="评分标准" sheetId="26" r:id="rId8"/>
    <sheet name="角色平均评分变化" sheetId="24" state="hidden" r:id="rId9"/>
    <sheet name="一些卡片的真输出" sheetId="27" r:id="rId10"/>
    <sheet name="卡片数值分配统计" sheetId="38" r:id="rId11"/>
    <sheet name="歌曲数据简表" sheetId="14" r:id="rId12"/>
    <sheet name="饰品参数" sheetId="28" r:id="rId13"/>
    <sheet name="SBL歌曲排行" sheetId="30" r:id="rId14"/>
    <sheet name="交换所歌曲排行" sheetId="31" r:id="rId15"/>
    <sheet name="剧情曲AC分数" sheetId="33" r:id="rId16"/>
    <sheet name="DLP情报" sheetId="34" r:id="rId17"/>
    <sheet name="特技AC通过率简单计算" sheetId="35" r:id="rId18"/>
    <sheet name="SIF的一些东西" sheetId="32" state="hidden" r:id="rId19"/>
    <sheet name="Channel台词表" sheetId="37" state="hidden" r:id="rId20"/>
    <sheet name="更新日志" sheetId="7" r:id="rId21"/>
    <sheet name="Sheet2" sheetId="36" state="hidden" r:id="rId22"/>
  </sheets>
  <functionGroups builtInGroupCount="19"/>
  <definedNames>
    <definedName name="_xlnm._FilterDatabase" localSheetId="3" hidden="1">绊状态确认!$B$2:$Z$32</definedName>
    <definedName name="_xlnm._FilterDatabase" localSheetId="11" hidden="1">歌曲数据简表!$B$2:$Q$410</definedName>
    <definedName name="_xlnm._FilterDatabase" localSheetId="8" hidden="1">角色平均评分变化!$C$2:$U$32</definedName>
    <definedName name="_xlnm._FilterDatabase" localSheetId="15" hidden="1">剧情曲AC分数!$B$2:$L$132</definedName>
    <definedName name="_xlnm._FilterDatabase" localSheetId="1" hidden="1">'卡片raw data'!$B$3:$BO$999</definedName>
    <definedName name="_xlnm._FilterDatabase" localSheetId="0" hidden="1">卡片强度!$B$3:$ET$999</definedName>
    <definedName name="_xlnm._FilterDatabase" localSheetId="10" hidden="1">卡片数值分配统计!$T$2:$W$1584</definedName>
    <definedName name="_xlnm._FilterDatabase" localSheetId="5" hidden="1">奶盾耐久快速查询!$B$2:$M$119</definedName>
    <definedName name="_xlnm._FilterDatabase" localSheetId="6" hidden="1">奶盾强度计算!$B$3:$H$63</definedName>
    <definedName name="_xlnm._FilterDatabase" localSheetId="12" hidden="1">饰品参数!$B$2:$T$100</definedName>
    <definedName name="_xlnm._FilterDatabase" localSheetId="9" hidden="1">一些卡片的真输出!$W$3:$AN$30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J621" i="1" l="1"/>
  <c r="AI621" i="1"/>
  <c r="AK621" i="1" s="1"/>
  <c r="AH621" i="1"/>
  <c r="AG621" i="1"/>
  <c r="AF621" i="1"/>
  <c r="AD621" i="1"/>
  <c r="AE621" i="1" s="1"/>
  <c r="AB621" i="1"/>
  <c r="Z621" i="1"/>
  <c r="BN621" i="1"/>
  <c r="BP621" i="1" s="1"/>
  <c r="BM621" i="1"/>
  <c r="BL621" i="1"/>
  <c r="BK621" i="1"/>
  <c r="BJ621" i="1"/>
  <c r="BI621" i="1"/>
  <c r="BE621" i="1"/>
  <c r="BC621" i="1"/>
  <c r="BD621" i="1" s="1"/>
  <c r="AV621" i="1"/>
  <c r="AT621" i="1"/>
  <c r="AQ621" i="1"/>
  <c r="AP621" i="1"/>
  <c r="AO621" i="1"/>
  <c r="AN621" i="1"/>
  <c r="AS621" i="1" s="1"/>
  <c r="AU621" i="1" s="1"/>
  <c r="AM621" i="1"/>
  <c r="BB621" i="1" s="1"/>
  <c r="AL621" i="1"/>
  <c r="AZ621" i="1" s="1"/>
  <c r="BW621" i="1"/>
  <c r="BS621" i="1"/>
  <c r="CT621" i="1"/>
  <c r="CS621" i="1"/>
  <c r="CR621" i="1"/>
  <c r="CW621" i="1" s="1"/>
  <c r="CY621" i="1" s="1"/>
  <c r="CQ621" i="1"/>
  <c r="CV621" i="1" s="1"/>
  <c r="CP621" i="1"/>
  <c r="CU621" i="1" s="1"/>
  <c r="CX621" i="1" s="1"/>
  <c r="V621" i="1" s="1"/>
  <c r="EA621" i="1"/>
  <c r="DX621" i="1"/>
  <c r="DW621" i="1"/>
  <c r="DV621" i="1"/>
  <c r="DR621" i="1"/>
  <c r="BL621" i="6"/>
  <c r="BM621" i="6"/>
  <c r="BN621" i="6"/>
  <c r="BO621" i="6"/>
  <c r="ES621" i="1"/>
  <c r="ER621" i="1"/>
  <c r="ET621" i="1" s="1"/>
  <c r="EQ621" i="1"/>
  <c r="EP621" i="1"/>
  <c r="EO621" i="1"/>
  <c r="EN621" i="1"/>
  <c r="U621" i="1" s="1"/>
  <c r="EM621" i="1"/>
  <c r="EK621" i="1"/>
  <c r="EG621" i="1"/>
  <c r="EL621" i="1" s="1"/>
  <c r="ES620" i="1"/>
  <c r="ER620" i="1"/>
  <c r="EQ620" i="1"/>
  <c r="EP620" i="1"/>
  <c r="EO620" i="1"/>
  <c r="EN620" i="1"/>
  <c r="EM620" i="1"/>
  <c r="EL620" i="1"/>
  <c r="EK620" i="1"/>
  <c r="EG620" i="1"/>
  <c r="ED620" i="1"/>
  <c r="EC620" i="1"/>
  <c r="EB620" i="1"/>
  <c r="EA620" i="1"/>
  <c r="DV620" i="1"/>
  <c r="DR620" i="1"/>
  <c r="DX620" i="1" s="1"/>
  <c r="CT620" i="1"/>
  <c r="CS620" i="1"/>
  <c r="BW620" i="1"/>
  <c r="BS620" i="1"/>
  <c r="BN620" i="1"/>
  <c r="BP620" i="1" s="1"/>
  <c r="BM620" i="1"/>
  <c r="BL620" i="1"/>
  <c r="BE620" i="1"/>
  <c r="AV620" i="1"/>
  <c r="AT620" i="1"/>
  <c r="AP620" i="1"/>
  <c r="AO620" i="1"/>
  <c r="AN620" i="1"/>
  <c r="AS620" i="1" s="1"/>
  <c r="CP620" i="1" s="1"/>
  <c r="AM620" i="1"/>
  <c r="BB620" i="1" s="1"/>
  <c r="AL620" i="1"/>
  <c r="BL620" i="6"/>
  <c r="BM620" i="6"/>
  <c r="BN620" i="6"/>
  <c r="BO620" i="6"/>
  <c r="AJ619" i="1"/>
  <c r="AI619" i="1"/>
  <c r="AG619" i="1"/>
  <c r="AF619" i="1"/>
  <c r="ES619" i="1"/>
  <c r="ER619" i="1"/>
  <c r="ET619" i="1" s="1"/>
  <c r="EQ619" i="1"/>
  <c r="EP619" i="1"/>
  <c r="EO619" i="1"/>
  <c r="EN619" i="1"/>
  <c r="EK619" i="1"/>
  <c r="EG619" i="1"/>
  <c r="EL619" i="1" s="1"/>
  <c r="EA619" i="1"/>
  <c r="DV619" i="1"/>
  <c r="DR619" i="1"/>
  <c r="DN619" i="1"/>
  <c r="DP619" i="1" s="1"/>
  <c r="DM619" i="1"/>
  <c r="DL619" i="1"/>
  <c r="DO619" i="1" s="1"/>
  <c r="DK619" i="1"/>
  <c r="DJ619" i="1"/>
  <c r="DI619" i="1"/>
  <c r="DH619" i="1"/>
  <c r="DG619" i="1"/>
  <c r="CT619" i="1"/>
  <c r="CS619" i="1"/>
  <c r="CR619" i="1"/>
  <c r="CW619" i="1" s="1"/>
  <c r="CY619" i="1" s="1"/>
  <c r="CQ619" i="1"/>
  <c r="CP619" i="1"/>
  <c r="CF619" i="1"/>
  <c r="CE619" i="1"/>
  <c r="CH619" i="1" s="1"/>
  <c r="CD619" i="1"/>
  <c r="CC619" i="1"/>
  <c r="CG619" i="1" s="1"/>
  <c r="CB619" i="1"/>
  <c r="BW619" i="1"/>
  <c r="BS619" i="1"/>
  <c r="BT619" i="1" s="1"/>
  <c r="BX619" i="1" s="1"/>
  <c r="BN619" i="1"/>
  <c r="BP619" i="1" s="1"/>
  <c r="BM619" i="1"/>
  <c r="BL619" i="1"/>
  <c r="BE619" i="1"/>
  <c r="AV619" i="1"/>
  <c r="AT619" i="1"/>
  <c r="AP619" i="1"/>
  <c r="AO619" i="1"/>
  <c r="AN619" i="1"/>
  <c r="AS619" i="1" s="1"/>
  <c r="AM619" i="1"/>
  <c r="BB619" i="1" s="1"/>
  <c r="AL619" i="1"/>
  <c r="BL619" i="6"/>
  <c r="BM619" i="6"/>
  <c r="BN619" i="6"/>
  <c r="BO619" i="6"/>
  <c r="AJ618" i="1"/>
  <c r="AI618" i="1"/>
  <c r="AG618" i="1"/>
  <c r="AF618" i="1"/>
  <c r="ES618" i="1"/>
  <c r="ER618" i="1"/>
  <c r="ET618" i="1" s="1"/>
  <c r="EQ618" i="1"/>
  <c r="EP618" i="1"/>
  <c r="EO618" i="1"/>
  <c r="EN618" i="1"/>
  <c r="EM618" i="1"/>
  <c r="EK618" i="1"/>
  <c r="EG618" i="1"/>
  <c r="EL618" i="1" s="1"/>
  <c r="ED618" i="1"/>
  <c r="EC618" i="1"/>
  <c r="EB618" i="1"/>
  <c r="EA618" i="1"/>
  <c r="DX618" i="1"/>
  <c r="DW618" i="1"/>
  <c r="DV618" i="1"/>
  <c r="DR618" i="1"/>
  <c r="CU618" i="1" s="1"/>
  <c r="CW618" i="1"/>
  <c r="CV618" i="1"/>
  <c r="CT618" i="1"/>
  <c r="CS618" i="1"/>
  <c r="BV618" i="1"/>
  <c r="BU618" i="1"/>
  <c r="BT618" i="1"/>
  <c r="BS618" i="1"/>
  <c r="BW618" i="1" s="1"/>
  <c r="BN618" i="1"/>
  <c r="BP618" i="1" s="1"/>
  <c r="BM618" i="1"/>
  <c r="BL618" i="1"/>
  <c r="BE618" i="1"/>
  <c r="AV618" i="1"/>
  <c r="AT618" i="1"/>
  <c r="AP618" i="1"/>
  <c r="AO618" i="1"/>
  <c r="AN618" i="1"/>
  <c r="AS618" i="1" s="1"/>
  <c r="AM618" i="1"/>
  <c r="BB618" i="1" s="1"/>
  <c r="CQ618" i="1" s="1"/>
  <c r="AL618" i="1"/>
  <c r="BL618" i="6"/>
  <c r="BM618" i="6"/>
  <c r="BN618" i="6"/>
  <c r="BO618" i="6"/>
  <c r="AJ617" i="1"/>
  <c r="AI617" i="1"/>
  <c r="AG617" i="1"/>
  <c r="AF617" i="1"/>
  <c r="ES617" i="1"/>
  <c r="ER617" i="1"/>
  <c r="ET617" i="1" s="1"/>
  <c r="EQ617" i="1"/>
  <c r="EP617" i="1"/>
  <c r="EO617" i="1"/>
  <c r="EN617" i="1"/>
  <c r="EM617" i="1"/>
  <c r="EK617" i="1"/>
  <c r="EG617" i="1"/>
  <c r="EL617" i="1" s="1"/>
  <c r="EB617" i="1"/>
  <c r="EA617" i="1"/>
  <c r="DX617" i="1"/>
  <c r="DW617" i="1"/>
  <c r="DV617" i="1"/>
  <c r="DR617" i="1"/>
  <c r="CT617" i="1"/>
  <c r="CS617" i="1"/>
  <c r="BW617" i="1"/>
  <c r="BS617" i="1"/>
  <c r="BU617" i="1" s="1"/>
  <c r="BN617" i="1"/>
  <c r="BP617" i="1" s="1"/>
  <c r="BM617" i="1"/>
  <c r="BL617" i="1"/>
  <c r="BE617" i="1"/>
  <c r="AV617" i="1"/>
  <c r="AT617" i="1"/>
  <c r="AP617" i="1"/>
  <c r="AO617" i="1"/>
  <c r="AN617" i="1"/>
  <c r="AS617" i="1" s="1"/>
  <c r="AM617" i="1"/>
  <c r="BB617" i="1" s="1"/>
  <c r="AL617" i="1"/>
  <c r="BL617" i="6"/>
  <c r="BM617" i="6"/>
  <c r="BN617" i="6"/>
  <c r="BO617" i="6"/>
  <c r="AJ616" i="1"/>
  <c r="AI616" i="1"/>
  <c r="AG616" i="1"/>
  <c r="AF616" i="1"/>
  <c r="ES616" i="1"/>
  <c r="ER616" i="1"/>
  <c r="ET616" i="1" s="1"/>
  <c r="EQ616" i="1"/>
  <c r="EP616" i="1"/>
  <c r="EO616" i="1"/>
  <c r="EN616" i="1"/>
  <c r="EM616" i="1"/>
  <c r="EK616" i="1"/>
  <c r="EG616" i="1"/>
  <c r="EL616" i="1" s="1"/>
  <c r="EB616" i="1"/>
  <c r="EA616" i="1"/>
  <c r="DV616" i="1"/>
  <c r="DR616" i="1"/>
  <c r="DX616" i="1" s="1"/>
  <c r="DN621" i="1"/>
  <c r="DP621" i="1" s="1"/>
  <c r="DM621" i="1"/>
  <c r="DL621" i="1"/>
  <c r="DO621" i="1" s="1"/>
  <c r="DK621" i="1"/>
  <c r="DJ621" i="1"/>
  <c r="DI621" i="1"/>
  <c r="DH621" i="1"/>
  <c r="DG621" i="1"/>
  <c r="DN620" i="1"/>
  <c r="DP620" i="1" s="1"/>
  <c r="DM620" i="1"/>
  <c r="DL620" i="1"/>
  <c r="DO620" i="1" s="1"/>
  <c r="DK620" i="1"/>
  <c r="DJ620" i="1"/>
  <c r="DI620" i="1"/>
  <c r="DH620" i="1"/>
  <c r="DG620" i="1"/>
  <c r="DN618" i="1"/>
  <c r="DP618" i="1" s="1"/>
  <c r="DM618" i="1"/>
  <c r="DL618" i="1"/>
  <c r="DO618" i="1" s="1"/>
  <c r="DK618" i="1"/>
  <c r="DJ618" i="1"/>
  <c r="DI618" i="1"/>
  <c r="DH618" i="1"/>
  <c r="DG618" i="1"/>
  <c r="DN617" i="1"/>
  <c r="DP617" i="1" s="1"/>
  <c r="DM617" i="1"/>
  <c r="DL617" i="1"/>
  <c r="DO617" i="1" s="1"/>
  <c r="DK617" i="1"/>
  <c r="DJ617" i="1"/>
  <c r="DI617" i="1"/>
  <c r="DH617" i="1"/>
  <c r="DG617" i="1"/>
  <c r="DN616" i="1"/>
  <c r="DP616" i="1" s="1"/>
  <c r="DM616" i="1"/>
  <c r="DL616" i="1"/>
  <c r="DO616" i="1" s="1"/>
  <c r="DK616" i="1"/>
  <c r="DJ616" i="1"/>
  <c r="DI616" i="1"/>
  <c r="DH616" i="1"/>
  <c r="DG616" i="1"/>
  <c r="CT616" i="1"/>
  <c r="CS616" i="1"/>
  <c r="CR616" i="1"/>
  <c r="CW616" i="1" s="1"/>
  <c r="CY616" i="1" s="1"/>
  <c r="CQ616" i="1"/>
  <c r="CV616" i="1" s="1"/>
  <c r="CP616" i="1"/>
  <c r="CF621" i="1"/>
  <c r="CE621" i="1"/>
  <c r="CH621" i="1" s="1"/>
  <c r="AA621" i="1" s="1"/>
  <c r="CD621" i="1"/>
  <c r="CC621" i="1"/>
  <c r="CG621" i="1" s="1"/>
  <c r="CB621" i="1"/>
  <c r="CF620" i="1"/>
  <c r="CE620" i="1"/>
  <c r="CD620" i="1"/>
  <c r="CC620" i="1"/>
  <c r="CG620" i="1" s="1"/>
  <c r="CB620" i="1"/>
  <c r="CF618" i="1"/>
  <c r="CE618" i="1"/>
  <c r="CD618" i="1"/>
  <c r="CC618" i="1"/>
  <c r="CG618" i="1" s="1"/>
  <c r="CB618" i="1"/>
  <c r="CF617" i="1"/>
  <c r="CE617" i="1"/>
  <c r="CH617" i="1" s="1"/>
  <c r="CD617" i="1"/>
  <c r="CC617" i="1"/>
  <c r="CG617" i="1" s="1"/>
  <c r="CB617" i="1"/>
  <c r="CF616" i="1"/>
  <c r="CE616" i="1"/>
  <c r="CH616" i="1" s="1"/>
  <c r="CD616" i="1"/>
  <c r="CC616" i="1"/>
  <c r="CG616" i="1" s="1"/>
  <c r="CB616" i="1"/>
  <c r="BW616" i="1"/>
  <c r="BS616" i="1"/>
  <c r="BU616" i="1" s="1"/>
  <c r="BN616" i="1"/>
  <c r="BP616" i="1" s="1"/>
  <c r="BM616" i="1"/>
  <c r="BL616" i="1"/>
  <c r="BE616" i="1"/>
  <c r="AV616" i="1"/>
  <c r="AT616" i="1"/>
  <c r="AP616" i="1"/>
  <c r="AO616" i="1"/>
  <c r="AN616" i="1"/>
  <c r="AS616" i="1" s="1"/>
  <c r="AM616" i="1"/>
  <c r="BB616" i="1" s="1"/>
  <c r="AL616" i="1"/>
  <c r="AQ616" i="1" s="1"/>
  <c r="O621" i="1"/>
  <c r="O620" i="1"/>
  <c r="BI620" i="1" s="1"/>
  <c r="O619" i="1"/>
  <c r="BK619" i="1" s="1"/>
  <c r="O618" i="1"/>
  <c r="BI618" i="1" s="1"/>
  <c r="O617" i="1"/>
  <c r="BJ617" i="1" s="1"/>
  <c r="O616" i="1"/>
  <c r="BJ616" i="1" s="1"/>
  <c r="L621" i="1"/>
  <c r="L620" i="1"/>
  <c r="L619" i="1"/>
  <c r="L618" i="1"/>
  <c r="L617" i="1"/>
  <c r="L616" i="1"/>
  <c r="F621" i="1"/>
  <c r="F620" i="1"/>
  <c r="F619" i="1"/>
  <c r="F618" i="1"/>
  <c r="F617" i="1"/>
  <c r="F616" i="1"/>
  <c r="B616" i="1"/>
  <c r="B617" i="1"/>
  <c r="B618" i="1"/>
  <c r="B619" i="1"/>
  <c r="B620" i="1"/>
  <c r="B621" i="1"/>
  <c r="BL616" i="6"/>
  <c r="BM616" i="6"/>
  <c r="BN616" i="6"/>
  <c r="BO616" i="6"/>
  <c r="BK618" i="1"/>
  <c r="BK617" i="1"/>
  <c r="BK616" i="1"/>
  <c r="S621" i="1" l="1"/>
  <c r="T621" i="1" s="1"/>
  <c r="W621" i="1"/>
  <c r="Q621" i="1"/>
  <c r="BF621" i="1" a="1"/>
  <c r="BF621" i="1" s="1"/>
  <c r="BH621" i="1" s="1"/>
  <c r="BU621" i="1" s="1"/>
  <c r="BA621" i="1"/>
  <c r="BG621" i="1" a="1"/>
  <c r="BG621" i="1" s="1"/>
  <c r="AW621" i="1"/>
  <c r="AR621" i="1"/>
  <c r="BO621" i="1"/>
  <c r="BV621" i="1"/>
  <c r="BY621" i="1" s="1"/>
  <c r="BT621" i="1"/>
  <c r="BX621" i="1" s="1"/>
  <c r="DZ621" i="1"/>
  <c r="ED621" i="1" s="1"/>
  <c r="EB621" i="1"/>
  <c r="DY621" i="1"/>
  <c r="EC621" i="1" s="1"/>
  <c r="EE621" i="1" s="1"/>
  <c r="BJ620" i="1"/>
  <c r="AD620" i="1"/>
  <c r="AE620" i="1" s="1"/>
  <c r="BK620" i="1"/>
  <c r="CR620" i="1"/>
  <c r="CW620" i="1" s="1"/>
  <c r="CY620" i="1" s="1"/>
  <c r="AQ620" i="1"/>
  <c r="CH620" i="1"/>
  <c r="ET620" i="1"/>
  <c r="DW620" i="1"/>
  <c r="DY620" i="1" s="1"/>
  <c r="AF620" i="1" s="1"/>
  <c r="CU620" i="1"/>
  <c r="CX620" i="1" s="1"/>
  <c r="BV620" i="1"/>
  <c r="BY620" i="1" s="1"/>
  <c r="AU620" i="1"/>
  <c r="AR620" i="1"/>
  <c r="AG620" i="1" s="1"/>
  <c r="AZ620" i="1"/>
  <c r="BC620" i="1"/>
  <c r="DZ620" i="1" s="1"/>
  <c r="BO620" i="1"/>
  <c r="BU619" i="1"/>
  <c r="BV619" i="1"/>
  <c r="BY619" i="1" s="1"/>
  <c r="AH619" i="1"/>
  <c r="AK619" i="1"/>
  <c r="AD619" i="1"/>
  <c r="W618" i="1"/>
  <c r="AQ619" i="1"/>
  <c r="BI619" i="1"/>
  <c r="EB619" i="1"/>
  <c r="BJ619" i="1"/>
  <c r="CU619" i="1"/>
  <c r="CX619" i="1" s="1"/>
  <c r="CV619" i="1"/>
  <c r="DW619" i="1"/>
  <c r="DY619" i="1" s="1"/>
  <c r="EC619" i="1" s="1"/>
  <c r="EE619" i="1" s="1"/>
  <c r="EM619" i="1"/>
  <c r="DX619" i="1"/>
  <c r="DZ619" i="1" s="1"/>
  <c r="ED619" i="1" s="1"/>
  <c r="AU619" i="1"/>
  <c r="AW619" i="1" s="1"/>
  <c r="AR619" i="1"/>
  <c r="U619" i="1" s="1"/>
  <c r="AZ619" i="1"/>
  <c r="BC619" i="1"/>
  <c r="BD619" i="1" s="1"/>
  <c r="BO619" i="1"/>
  <c r="DY618" i="1"/>
  <c r="AK618" i="1"/>
  <c r="AB618" i="1"/>
  <c r="AH618" i="1"/>
  <c r="AD618" i="1"/>
  <c r="AE618" i="1" s="1"/>
  <c r="BJ618" i="1"/>
  <c r="DZ618" i="1"/>
  <c r="AQ618" i="1"/>
  <c r="CH618" i="1"/>
  <c r="AU618" i="1"/>
  <c r="AR618" i="1"/>
  <c r="AZ618" i="1"/>
  <c r="BG618" i="1" s="1" a="1"/>
  <c r="BG618" i="1" s="1"/>
  <c r="BC618" i="1"/>
  <c r="BD618" i="1" s="1"/>
  <c r="BO618" i="1"/>
  <c r="AH617" i="1"/>
  <c r="AD617" i="1"/>
  <c r="AE617" i="1" s="1"/>
  <c r="AQ617" i="1"/>
  <c r="DY617" i="1" s="1"/>
  <c r="EC617" i="1" s="1"/>
  <c r="EE617" i="1" s="1"/>
  <c r="BI617" i="1"/>
  <c r="AK617" i="1"/>
  <c r="BT617" i="1"/>
  <c r="BV617" i="1"/>
  <c r="BY617" i="1" s="1"/>
  <c r="AU617" i="1"/>
  <c r="AR617" i="1"/>
  <c r="AZ617" i="1"/>
  <c r="BG617" i="1" s="1" a="1"/>
  <c r="BG617" i="1" s="1"/>
  <c r="BC617" i="1"/>
  <c r="BD617" i="1" s="1"/>
  <c r="BO617" i="1"/>
  <c r="AD616" i="1"/>
  <c r="AE616" i="1" s="1"/>
  <c r="AH616" i="1"/>
  <c r="AK616" i="1"/>
  <c r="BI616" i="1"/>
  <c r="DZ616" i="1"/>
  <c r="ED616" i="1" s="1"/>
  <c r="DW616" i="1"/>
  <c r="DY616" i="1" s="1"/>
  <c r="EC616" i="1" s="1"/>
  <c r="EE616" i="1" s="1"/>
  <c r="CU616" i="1"/>
  <c r="CX616" i="1" s="1"/>
  <c r="BT616" i="1"/>
  <c r="BV616" i="1"/>
  <c r="BY616" i="1" s="1"/>
  <c r="AU616" i="1"/>
  <c r="AW616" i="1" s="1"/>
  <c r="AR616" i="1"/>
  <c r="Z616" i="1" s="1"/>
  <c r="AZ616" i="1"/>
  <c r="BG616" i="1" s="1" a="1"/>
  <c r="BG616" i="1" s="1"/>
  <c r="BC616" i="1"/>
  <c r="BD616" i="1" s="1"/>
  <c r="BO616" i="1"/>
  <c r="Y4" i="38"/>
  <c r="Z4" i="38"/>
  <c r="AA4" i="38"/>
  <c r="Y5" i="38"/>
  <c r="Z5" i="38"/>
  <c r="AA5" i="38"/>
  <c r="Y6" i="38"/>
  <c r="Z6" i="38"/>
  <c r="AA6" i="38"/>
  <c r="Y7" i="38"/>
  <c r="Z7" i="38"/>
  <c r="AA7" i="38"/>
  <c r="Y8" i="38"/>
  <c r="Z8" i="38"/>
  <c r="AA8" i="38"/>
  <c r="Y9" i="38"/>
  <c r="Z9" i="38"/>
  <c r="AA9" i="38"/>
  <c r="Y10" i="38"/>
  <c r="Z10" i="38"/>
  <c r="AA10" i="38"/>
  <c r="Y11" i="38"/>
  <c r="Z11" i="38"/>
  <c r="AA11" i="38"/>
  <c r="Y12" i="38"/>
  <c r="Z12" i="38"/>
  <c r="AA12" i="38"/>
  <c r="Y13" i="38"/>
  <c r="Z13" i="38"/>
  <c r="AA13" i="38"/>
  <c r="Y14" i="38"/>
  <c r="AA14" i="38"/>
  <c r="Y15" i="38"/>
  <c r="AA15" i="38"/>
  <c r="Y16" i="38"/>
  <c r="AA16" i="38"/>
  <c r="Y17" i="38"/>
  <c r="AA17" i="38"/>
  <c r="Y18" i="38"/>
  <c r="AA18" i="38"/>
  <c r="Y19" i="38"/>
  <c r="AA19" i="38"/>
  <c r="Y20" i="38"/>
  <c r="AA20" i="38"/>
  <c r="Y21" i="38"/>
  <c r="AA21" i="38"/>
  <c r="Y22" i="38"/>
  <c r="AA22" i="38"/>
  <c r="Y23" i="38"/>
  <c r="AA23" i="38"/>
  <c r="Y24" i="38"/>
  <c r="Z24" i="38"/>
  <c r="AA24" i="38"/>
  <c r="Y25" i="38"/>
  <c r="Z25" i="38"/>
  <c r="AA25" i="38"/>
  <c r="Y26" i="38"/>
  <c r="Z26" i="38"/>
  <c r="AA26" i="38"/>
  <c r="Y27" i="38"/>
  <c r="Z27" i="38"/>
  <c r="AA27" i="38"/>
  <c r="Y28" i="38"/>
  <c r="Z28" i="38"/>
  <c r="AA28" i="38"/>
  <c r="Y29" i="38"/>
  <c r="Z29" i="38"/>
  <c r="AA29" i="38"/>
  <c r="Y30" i="38"/>
  <c r="Z30" i="38"/>
  <c r="AA30" i="38"/>
  <c r="Y31" i="38"/>
  <c r="Z31" i="38"/>
  <c r="AA31" i="38"/>
  <c r="Y32" i="38"/>
  <c r="Z32" i="38"/>
  <c r="AA32" i="38"/>
  <c r="Y33" i="38"/>
  <c r="Z33" i="38"/>
  <c r="AA33" i="38"/>
  <c r="Y34" i="38"/>
  <c r="Z34" i="38"/>
  <c r="AA34" i="38"/>
  <c r="Y35" i="38"/>
  <c r="AA35" i="38"/>
  <c r="Y36" i="38"/>
  <c r="AA36" i="38"/>
  <c r="Y37" i="38"/>
  <c r="AA37" i="38"/>
  <c r="Y38" i="38"/>
  <c r="AA38" i="38"/>
  <c r="Y39" i="38"/>
  <c r="AA39" i="38"/>
  <c r="Y40" i="38"/>
  <c r="AA40" i="38"/>
  <c r="Y41" i="38"/>
  <c r="AA41" i="38"/>
  <c r="Y42" i="38"/>
  <c r="AA42" i="38"/>
  <c r="Y43" i="38"/>
  <c r="AA43" i="38"/>
  <c r="Y44" i="38"/>
  <c r="AA44" i="38"/>
  <c r="Y45" i="38"/>
  <c r="AA45" i="38"/>
  <c r="Y46" i="38"/>
  <c r="Z46" i="38"/>
  <c r="AA46" i="38"/>
  <c r="Y47" i="38"/>
  <c r="Z47" i="38"/>
  <c r="AA47" i="38"/>
  <c r="Y48" i="38"/>
  <c r="Z48" i="38"/>
  <c r="AA48" i="38"/>
  <c r="Y49" i="38"/>
  <c r="Z49" i="38"/>
  <c r="AA49" i="38"/>
  <c r="Y50" i="38"/>
  <c r="Z50" i="38"/>
  <c r="AA50" i="38"/>
  <c r="Y51" i="38"/>
  <c r="Z51" i="38"/>
  <c r="AA51" i="38"/>
  <c r="Y52" i="38"/>
  <c r="Z52" i="38"/>
  <c r="AA52" i="38"/>
  <c r="Y53" i="38"/>
  <c r="Z53" i="38"/>
  <c r="AA53" i="38"/>
  <c r="Y54" i="38"/>
  <c r="Z54" i="38"/>
  <c r="AA54" i="38"/>
  <c r="Y55" i="38"/>
  <c r="Z55" i="38"/>
  <c r="AA55" i="38"/>
  <c r="Y56" i="38"/>
  <c r="Z56" i="38"/>
  <c r="AA56" i="38"/>
  <c r="Y57" i="38"/>
  <c r="Z57" i="38"/>
  <c r="AA57" i="38"/>
  <c r="Y58" i="38"/>
  <c r="AA58" i="38"/>
  <c r="Y59" i="38"/>
  <c r="AA59" i="38"/>
  <c r="Y60" i="38"/>
  <c r="AA60" i="38"/>
  <c r="Y61" i="38"/>
  <c r="AA61" i="38"/>
  <c r="Y62" i="38"/>
  <c r="AA62" i="38"/>
  <c r="Y63" i="38"/>
  <c r="AA63" i="38"/>
  <c r="Y64" i="38"/>
  <c r="AA64" i="38"/>
  <c r="Y65" i="38"/>
  <c r="AA65" i="38"/>
  <c r="Y66" i="38"/>
  <c r="AA66" i="38"/>
  <c r="Y67" i="38"/>
  <c r="AA67" i="38"/>
  <c r="Y68" i="38"/>
  <c r="AA68" i="38"/>
  <c r="Y69" i="38"/>
  <c r="Z69" i="38"/>
  <c r="AA69" i="38"/>
  <c r="Y70" i="38"/>
  <c r="Z70" i="38"/>
  <c r="AA70" i="38"/>
  <c r="Y71" i="38"/>
  <c r="Z71" i="38"/>
  <c r="AA71" i="38"/>
  <c r="Y72" i="38"/>
  <c r="Z72" i="38"/>
  <c r="AA72" i="38"/>
  <c r="Y73" i="38"/>
  <c r="Z73" i="38"/>
  <c r="AA73" i="38"/>
  <c r="Y74" i="38"/>
  <c r="Z74" i="38"/>
  <c r="AA74" i="38"/>
  <c r="Y75" i="38"/>
  <c r="Z75" i="38"/>
  <c r="AA75" i="38"/>
  <c r="Y76" i="38"/>
  <c r="Z76" i="38"/>
  <c r="AA76" i="38"/>
  <c r="Y77" i="38"/>
  <c r="Z77" i="38"/>
  <c r="AA77" i="38"/>
  <c r="Y78" i="38"/>
  <c r="Z78" i="38"/>
  <c r="AA78" i="38"/>
  <c r="Y79" i="38"/>
  <c r="Z79" i="38"/>
  <c r="AA79" i="38"/>
  <c r="Y80" i="38"/>
  <c r="Z80" i="38"/>
  <c r="AA80" i="38"/>
  <c r="Y81" i="38"/>
  <c r="AA81" i="38"/>
  <c r="Y82" i="38"/>
  <c r="AA82" i="38"/>
  <c r="Y83" i="38"/>
  <c r="AA83" i="38"/>
  <c r="Y84" i="38"/>
  <c r="AA84" i="38"/>
  <c r="Y85" i="38"/>
  <c r="AA85" i="38"/>
  <c r="Y86" i="38"/>
  <c r="AA86" i="38"/>
  <c r="Y87" i="38"/>
  <c r="AA87" i="38"/>
  <c r="Y88" i="38"/>
  <c r="AA88" i="38"/>
  <c r="Y89" i="38"/>
  <c r="AA89" i="38"/>
  <c r="Y90" i="38"/>
  <c r="AA90" i="38"/>
  <c r="Y91" i="38"/>
  <c r="AA91" i="38"/>
  <c r="Y92" i="38"/>
  <c r="AA92" i="38"/>
  <c r="Y93" i="38"/>
  <c r="Z93" i="38"/>
  <c r="AA93" i="38"/>
  <c r="Y94" i="38"/>
  <c r="Z94" i="38"/>
  <c r="AA94" i="38"/>
  <c r="Y95" i="38"/>
  <c r="Z95" i="38"/>
  <c r="AA95" i="38"/>
  <c r="Y96" i="38"/>
  <c r="Z96" i="38"/>
  <c r="AA96" i="38"/>
  <c r="Y97" i="38"/>
  <c r="Z97" i="38"/>
  <c r="AA97" i="38"/>
  <c r="Y98" i="38"/>
  <c r="Z98" i="38"/>
  <c r="AA98" i="38"/>
  <c r="Y99" i="38"/>
  <c r="Z99" i="38"/>
  <c r="AA99" i="38"/>
  <c r="Y100" i="38"/>
  <c r="Z100" i="38"/>
  <c r="AA100" i="38"/>
  <c r="Y101" i="38"/>
  <c r="Z101" i="38"/>
  <c r="AA101" i="38"/>
  <c r="Y102" i="38"/>
  <c r="Z102" i="38"/>
  <c r="AA102" i="38"/>
  <c r="Y103" i="38"/>
  <c r="Z103" i="38"/>
  <c r="AA103" i="38"/>
  <c r="Y104" i="38"/>
  <c r="Z104" i="38"/>
  <c r="AA104" i="38"/>
  <c r="Y105" i="38"/>
  <c r="Z105" i="38"/>
  <c r="AA105" i="38"/>
  <c r="Y106" i="38"/>
  <c r="AA106" i="38"/>
  <c r="Y107" i="38"/>
  <c r="AA107" i="38"/>
  <c r="Y108" i="38"/>
  <c r="AA108" i="38"/>
  <c r="Y109" i="38"/>
  <c r="AA109" i="38"/>
  <c r="Y110" i="38"/>
  <c r="AA110" i="38"/>
  <c r="Y111" i="38"/>
  <c r="AA111" i="38"/>
  <c r="Y112" i="38"/>
  <c r="AA112" i="38"/>
  <c r="Y113" i="38"/>
  <c r="AA113" i="38"/>
  <c r="Y114" i="38"/>
  <c r="AA114" i="38"/>
  <c r="Y115" i="38"/>
  <c r="AA115" i="38"/>
  <c r="Y116" i="38"/>
  <c r="AA116" i="38"/>
  <c r="Y117" i="38"/>
  <c r="AA117" i="38"/>
  <c r="Y118" i="38"/>
  <c r="Z118" i="38"/>
  <c r="AA118" i="38"/>
  <c r="Y119" i="38"/>
  <c r="Z119" i="38"/>
  <c r="AA119" i="38"/>
  <c r="Y120" i="38"/>
  <c r="Z120" i="38"/>
  <c r="AA120" i="38"/>
  <c r="Y121" i="38"/>
  <c r="Z121" i="38"/>
  <c r="AA121" i="38"/>
  <c r="Y122" i="38"/>
  <c r="Z122" i="38"/>
  <c r="AA122" i="38"/>
  <c r="Y123" i="38"/>
  <c r="Z123" i="38"/>
  <c r="AA123" i="38"/>
  <c r="Y124" i="38"/>
  <c r="Z124" i="38"/>
  <c r="AA124" i="38"/>
  <c r="Y125" i="38"/>
  <c r="Z125" i="38"/>
  <c r="AA125" i="38"/>
  <c r="Y126" i="38"/>
  <c r="Z126" i="38"/>
  <c r="AA126" i="38"/>
  <c r="Y127" i="38"/>
  <c r="Z127" i="38"/>
  <c r="AA127" i="38"/>
  <c r="Y128" i="38"/>
  <c r="Z128" i="38"/>
  <c r="AA128" i="38"/>
  <c r="Y129" i="38"/>
  <c r="Z129" i="38"/>
  <c r="AA129" i="38"/>
  <c r="Y130" i="38"/>
  <c r="Z130" i="38"/>
  <c r="AA130" i="38"/>
  <c r="Y131" i="38"/>
  <c r="AA131" i="38"/>
  <c r="Y132" i="38"/>
  <c r="AA132" i="38"/>
  <c r="Y133" i="38"/>
  <c r="AA133" i="38"/>
  <c r="Y134" i="38"/>
  <c r="AA134" i="38"/>
  <c r="Y135" i="38"/>
  <c r="AA135" i="38"/>
  <c r="Y136" i="38"/>
  <c r="AA136" i="38"/>
  <c r="Y137" i="38"/>
  <c r="AA137" i="38"/>
  <c r="Y138" i="38"/>
  <c r="AA138" i="38"/>
  <c r="Y139" i="38"/>
  <c r="AA139" i="38"/>
  <c r="Y140" i="38"/>
  <c r="AA140" i="38"/>
  <c r="Y141" i="38"/>
  <c r="AA141" i="38"/>
  <c r="Y142" i="38"/>
  <c r="AA142" i="38"/>
  <c r="Y143" i="38"/>
  <c r="AA143" i="38"/>
  <c r="Y144" i="38"/>
  <c r="Z144" i="38"/>
  <c r="AA144" i="38"/>
  <c r="Y145" i="38"/>
  <c r="Z145" i="38"/>
  <c r="AA145" i="38"/>
  <c r="Y146" i="38"/>
  <c r="Z146" i="38"/>
  <c r="AA146" i="38"/>
  <c r="Y147" i="38"/>
  <c r="Z147" i="38"/>
  <c r="AA147" i="38"/>
  <c r="Y148" i="38"/>
  <c r="Z148" i="38"/>
  <c r="AA148" i="38"/>
  <c r="Y149" i="38"/>
  <c r="Z149" i="38"/>
  <c r="AA149" i="38"/>
  <c r="Y150" i="38"/>
  <c r="Z150" i="38"/>
  <c r="AA150" i="38"/>
  <c r="Y151" i="38"/>
  <c r="Z151" i="38"/>
  <c r="AA151" i="38"/>
  <c r="Y152" i="38"/>
  <c r="Z152" i="38"/>
  <c r="AA152" i="38"/>
  <c r="Y153" i="38"/>
  <c r="Z153" i="38"/>
  <c r="AA153" i="38"/>
  <c r="Y154" i="38"/>
  <c r="Z154" i="38"/>
  <c r="AA154" i="38"/>
  <c r="Y155" i="38"/>
  <c r="Z155" i="38"/>
  <c r="AA155" i="38"/>
  <c r="Y156" i="38"/>
  <c r="Z156" i="38"/>
  <c r="AA156" i="38"/>
  <c r="Y157" i="38"/>
  <c r="Z157" i="38"/>
  <c r="AA157" i="38"/>
  <c r="Y158" i="38"/>
  <c r="AA158" i="38"/>
  <c r="Y159" i="38"/>
  <c r="AA159" i="38"/>
  <c r="Y160" i="38"/>
  <c r="AA160" i="38"/>
  <c r="Y161" i="38"/>
  <c r="AA161" i="38"/>
  <c r="Y162" i="38"/>
  <c r="AA162" i="38"/>
  <c r="Y163" i="38"/>
  <c r="AA163" i="38"/>
  <c r="Y164" i="38"/>
  <c r="AA164" i="38"/>
  <c r="Y165" i="38"/>
  <c r="AA165" i="38"/>
  <c r="Y166" i="38"/>
  <c r="AA166" i="38"/>
  <c r="Y167" i="38"/>
  <c r="AA167" i="38"/>
  <c r="Y168" i="38"/>
  <c r="AA168" i="38"/>
  <c r="Y169" i="38"/>
  <c r="AA169" i="38"/>
  <c r="Y170" i="38"/>
  <c r="AA170" i="38"/>
  <c r="Y171" i="38"/>
  <c r="Z171" i="38"/>
  <c r="AA171" i="38"/>
  <c r="Y172" i="38"/>
  <c r="Z172" i="38"/>
  <c r="AA172" i="38"/>
  <c r="Y173" i="38"/>
  <c r="Z173" i="38"/>
  <c r="AA173" i="38"/>
  <c r="Y174" i="38"/>
  <c r="Z174" i="38"/>
  <c r="AA174" i="38"/>
  <c r="Y175" i="38"/>
  <c r="Z175" i="38"/>
  <c r="AA175" i="38"/>
  <c r="Y176" i="38"/>
  <c r="Z176" i="38"/>
  <c r="AA176" i="38"/>
  <c r="Y177" i="38"/>
  <c r="Z177" i="38"/>
  <c r="AA177" i="38"/>
  <c r="Y178" i="38"/>
  <c r="Z178" i="38"/>
  <c r="AA178" i="38"/>
  <c r="Y179" i="38"/>
  <c r="Z179" i="38"/>
  <c r="AA179" i="38"/>
  <c r="Y180" i="38"/>
  <c r="Z180" i="38"/>
  <c r="AA180" i="38"/>
  <c r="Y181" i="38"/>
  <c r="Z181" i="38"/>
  <c r="AA181" i="38"/>
  <c r="Y182" i="38"/>
  <c r="Z182" i="38"/>
  <c r="AA182" i="38"/>
  <c r="Y183" i="38"/>
  <c r="Z183" i="38"/>
  <c r="AA183" i="38"/>
  <c r="Y184" i="38"/>
  <c r="Z184" i="38"/>
  <c r="AA184" i="38"/>
  <c r="Y185" i="38"/>
  <c r="AA185" i="38"/>
  <c r="Y186" i="38"/>
  <c r="AA186" i="38"/>
  <c r="Y187" i="38"/>
  <c r="AA187" i="38"/>
  <c r="Y188" i="38"/>
  <c r="AA188" i="38"/>
  <c r="Y189" i="38"/>
  <c r="AA189" i="38"/>
  <c r="Y190" i="38"/>
  <c r="AA190" i="38"/>
  <c r="Y191" i="38"/>
  <c r="AA191" i="38"/>
  <c r="Y192" i="38"/>
  <c r="AA192" i="38"/>
  <c r="Y193" i="38"/>
  <c r="AA193" i="38"/>
  <c r="Y194" i="38"/>
  <c r="AA194" i="38"/>
  <c r="Y195" i="38"/>
  <c r="AA195" i="38"/>
  <c r="Y196" i="38"/>
  <c r="AA196" i="38"/>
  <c r="Y197" i="38"/>
  <c r="AA197" i="38"/>
  <c r="Y198" i="38"/>
  <c r="AA198" i="38"/>
  <c r="Y199" i="38"/>
  <c r="Z199" i="38"/>
  <c r="AA199" i="38"/>
  <c r="Y200" i="38"/>
  <c r="Z200" i="38"/>
  <c r="AA200" i="38"/>
  <c r="Y201" i="38"/>
  <c r="Z201" i="38"/>
  <c r="AA201" i="38"/>
  <c r="Y202" i="38"/>
  <c r="Z202" i="38"/>
  <c r="AA202" i="38"/>
  <c r="Y203" i="38"/>
  <c r="Z203" i="38"/>
  <c r="AA203" i="38"/>
  <c r="Y204" i="38"/>
  <c r="Z204" i="38"/>
  <c r="AA204" i="38"/>
  <c r="Y205" i="38"/>
  <c r="Z205" i="38"/>
  <c r="AA205" i="38"/>
  <c r="Y206" i="38"/>
  <c r="Z206" i="38"/>
  <c r="AA206" i="38"/>
  <c r="Y207" i="38"/>
  <c r="Z207" i="38"/>
  <c r="AA207" i="38"/>
  <c r="Y208" i="38"/>
  <c r="Z208" i="38"/>
  <c r="AA208" i="38"/>
  <c r="Y209" i="38"/>
  <c r="Z209" i="38"/>
  <c r="AA209" i="38"/>
  <c r="Y210" i="38"/>
  <c r="Z210" i="38"/>
  <c r="AA210" i="38"/>
  <c r="Y211" i="38"/>
  <c r="Z211" i="38"/>
  <c r="AA211" i="38"/>
  <c r="Y212" i="38"/>
  <c r="Z212" i="38"/>
  <c r="AA212" i="38"/>
  <c r="Y213" i="38"/>
  <c r="Z213" i="38"/>
  <c r="AA213" i="38"/>
  <c r="Y214" i="38"/>
  <c r="AA214" i="38"/>
  <c r="Y215" i="38"/>
  <c r="AA215" i="38"/>
  <c r="Y216" i="38"/>
  <c r="AA216" i="38"/>
  <c r="Y217" i="38"/>
  <c r="AA217" i="38"/>
  <c r="Y218" i="38"/>
  <c r="AA218" i="38"/>
  <c r="Y219" i="38"/>
  <c r="AA219" i="38"/>
  <c r="Y220" i="38"/>
  <c r="AA220" i="38"/>
  <c r="Y221" i="38"/>
  <c r="AA221" i="38"/>
  <c r="Y222" i="38"/>
  <c r="AA222" i="38"/>
  <c r="Y223" i="38"/>
  <c r="AA223" i="38"/>
  <c r="Y224" i="38"/>
  <c r="AA224" i="38"/>
  <c r="Y225" i="38"/>
  <c r="AA225" i="38"/>
  <c r="Y226" i="38"/>
  <c r="AA226" i="38"/>
  <c r="Y227" i="38"/>
  <c r="AA227" i="38"/>
  <c r="Y228" i="38"/>
  <c r="Z228" i="38"/>
  <c r="AA228" i="38"/>
  <c r="Y229" i="38"/>
  <c r="Z229" i="38"/>
  <c r="AA229" i="38"/>
  <c r="Y230" i="38"/>
  <c r="Z230" i="38"/>
  <c r="AA230" i="38"/>
  <c r="Y231" i="38"/>
  <c r="Z231" i="38"/>
  <c r="AA231" i="38"/>
  <c r="Y232" i="38"/>
  <c r="Z232" i="38"/>
  <c r="AA232" i="38"/>
  <c r="Y233" i="38"/>
  <c r="Z233" i="38"/>
  <c r="AA233" i="38"/>
  <c r="Y234" i="38"/>
  <c r="Z234" i="38"/>
  <c r="AA234" i="38"/>
  <c r="Y235" i="38"/>
  <c r="Z235" i="38"/>
  <c r="AA235" i="38"/>
  <c r="Y236" i="38"/>
  <c r="Z236" i="38"/>
  <c r="AA236" i="38"/>
  <c r="Y237" i="38"/>
  <c r="Z237" i="38"/>
  <c r="AA237" i="38"/>
  <c r="Y238" i="38"/>
  <c r="Z238" i="38"/>
  <c r="AA238" i="38"/>
  <c r="Y239" i="38"/>
  <c r="Z239" i="38"/>
  <c r="AA239" i="38"/>
  <c r="Y240" i="38"/>
  <c r="Z240" i="38"/>
  <c r="AA240" i="38"/>
  <c r="Y241" i="38"/>
  <c r="Z241" i="38"/>
  <c r="AA241" i="38"/>
  <c r="Y242" i="38"/>
  <c r="Z242" i="38"/>
  <c r="AA242" i="38"/>
  <c r="Y243" i="38"/>
  <c r="AA243" i="38"/>
  <c r="Y244" i="38"/>
  <c r="AA244" i="38"/>
  <c r="Y245" i="38"/>
  <c r="AA245" i="38"/>
  <c r="Y246" i="38"/>
  <c r="AA246" i="38"/>
  <c r="Y247" i="38"/>
  <c r="AA247" i="38"/>
  <c r="Y248" i="38"/>
  <c r="AA248" i="38"/>
  <c r="Y249" i="38"/>
  <c r="AA249" i="38"/>
  <c r="Y250" i="38"/>
  <c r="AA250" i="38"/>
  <c r="Y251" i="38"/>
  <c r="AA251" i="38"/>
  <c r="Y252" i="38"/>
  <c r="AA252" i="38"/>
  <c r="Y253" i="38"/>
  <c r="AA253" i="38"/>
  <c r="Y254" i="38"/>
  <c r="AA254" i="38"/>
  <c r="Y255" i="38"/>
  <c r="AA255" i="38"/>
  <c r="Y256" i="38"/>
  <c r="AA256" i="38"/>
  <c r="Y257" i="38"/>
  <c r="AA257" i="38"/>
  <c r="Y258" i="38"/>
  <c r="Z258" i="38"/>
  <c r="AA258" i="38"/>
  <c r="Y259" i="38"/>
  <c r="Z259" i="38"/>
  <c r="AA259" i="38"/>
  <c r="Y260" i="38"/>
  <c r="Z260" i="38"/>
  <c r="AA260" i="38"/>
  <c r="Y261" i="38"/>
  <c r="Z261" i="38"/>
  <c r="AA261" i="38"/>
  <c r="Y262" i="38"/>
  <c r="Z262" i="38"/>
  <c r="AA262" i="38"/>
  <c r="Y263" i="38"/>
  <c r="Z263" i="38"/>
  <c r="AA263" i="38"/>
  <c r="Y264" i="38"/>
  <c r="Z264" i="38"/>
  <c r="AA264" i="38"/>
  <c r="Y265" i="38"/>
  <c r="Z265" i="38"/>
  <c r="AA265" i="38"/>
  <c r="Y266" i="38"/>
  <c r="Z266" i="38"/>
  <c r="AA266" i="38"/>
  <c r="Y267" i="38"/>
  <c r="Z267" i="38"/>
  <c r="AA267" i="38"/>
  <c r="Y268" i="38"/>
  <c r="Z268" i="38"/>
  <c r="AA268" i="38"/>
  <c r="Y269" i="38"/>
  <c r="Z269" i="38"/>
  <c r="AA269" i="38"/>
  <c r="Y270" i="38"/>
  <c r="Z270" i="38"/>
  <c r="AA270" i="38"/>
  <c r="Y271" i="38"/>
  <c r="Z271" i="38"/>
  <c r="AA271" i="38"/>
  <c r="Y272" i="38"/>
  <c r="Z272" i="38"/>
  <c r="AA272" i="38"/>
  <c r="Y273" i="38"/>
  <c r="Z273" i="38"/>
  <c r="AA273" i="38"/>
  <c r="Y274" i="38"/>
  <c r="AA274" i="38"/>
  <c r="Y275" i="38"/>
  <c r="AA275" i="38"/>
  <c r="Y276" i="38"/>
  <c r="AA276" i="38"/>
  <c r="Y277" i="38"/>
  <c r="AA277" i="38"/>
  <c r="Y278" i="38"/>
  <c r="AA278" i="38"/>
  <c r="Y279" i="38"/>
  <c r="AA279" i="38"/>
  <c r="Y280" i="38"/>
  <c r="AA280" i="38"/>
  <c r="Y281" i="38"/>
  <c r="AA281" i="38"/>
  <c r="Y282" i="38"/>
  <c r="AA282" i="38"/>
  <c r="Y283" i="38"/>
  <c r="AA283" i="38"/>
  <c r="Y284" i="38"/>
  <c r="AA284" i="38"/>
  <c r="Y285" i="38"/>
  <c r="AA285" i="38"/>
  <c r="Y286" i="38"/>
  <c r="AA286" i="38"/>
  <c r="Y287" i="38"/>
  <c r="AA287" i="38"/>
  <c r="Y288" i="38"/>
  <c r="AA288" i="38"/>
  <c r="Y289" i="38"/>
  <c r="Z289" i="38"/>
  <c r="AA289" i="38"/>
  <c r="Y290" i="38"/>
  <c r="Z290" i="38"/>
  <c r="AA290" i="38"/>
  <c r="Y291" i="38"/>
  <c r="Z291" i="38"/>
  <c r="AA291" i="38"/>
  <c r="Y292" i="38"/>
  <c r="Z292" i="38"/>
  <c r="AA292" i="38"/>
  <c r="Y293" i="38"/>
  <c r="Z293" i="38"/>
  <c r="AA293" i="38"/>
  <c r="Y294" i="38"/>
  <c r="Z294" i="38"/>
  <c r="AA294" i="38"/>
  <c r="Y295" i="38"/>
  <c r="Z295" i="38"/>
  <c r="AA295" i="38"/>
  <c r="Y296" i="38"/>
  <c r="Z296" i="38"/>
  <c r="AA296" i="38"/>
  <c r="Y297" i="38"/>
  <c r="Z297" i="38"/>
  <c r="AA297" i="38"/>
  <c r="Y298" i="38"/>
  <c r="Z298" i="38"/>
  <c r="AA298" i="38"/>
  <c r="Y299" i="38"/>
  <c r="Z299" i="38"/>
  <c r="AA299" i="38"/>
  <c r="Y300" i="38"/>
  <c r="Z300" i="38"/>
  <c r="AA300" i="38"/>
  <c r="Y301" i="38"/>
  <c r="Z301" i="38"/>
  <c r="AA301" i="38"/>
  <c r="Y302" i="38"/>
  <c r="Z302" i="38"/>
  <c r="AA302" i="38"/>
  <c r="Y303" i="38"/>
  <c r="Z303" i="38"/>
  <c r="AA303" i="38"/>
  <c r="Y304" i="38"/>
  <c r="Z304" i="38"/>
  <c r="AA304" i="38"/>
  <c r="Y305" i="38"/>
  <c r="AA305" i="38"/>
  <c r="Y306" i="38"/>
  <c r="AA306" i="38"/>
  <c r="Y307" i="38"/>
  <c r="AA307" i="38"/>
  <c r="Y308" i="38"/>
  <c r="AA308" i="38"/>
  <c r="Y309" i="38"/>
  <c r="AA309" i="38"/>
  <c r="Y310" i="38"/>
  <c r="AA310" i="38"/>
  <c r="Y311" i="38"/>
  <c r="AA311" i="38"/>
  <c r="Y312" i="38"/>
  <c r="AA312" i="38"/>
  <c r="Y313" i="38"/>
  <c r="AA313" i="38"/>
  <c r="Y314" i="38"/>
  <c r="AA314" i="38"/>
  <c r="Y315" i="38"/>
  <c r="AA315" i="38"/>
  <c r="Y316" i="38"/>
  <c r="AA316" i="38"/>
  <c r="Y317" i="38"/>
  <c r="AA317" i="38"/>
  <c r="Y318" i="38"/>
  <c r="AA318" i="38"/>
  <c r="Y319" i="38"/>
  <c r="AA319" i="38"/>
  <c r="Y320" i="38"/>
  <c r="AA320" i="38"/>
  <c r="Y321" i="38"/>
  <c r="Z321" i="38"/>
  <c r="AA321" i="38"/>
  <c r="Y322" i="38"/>
  <c r="Z322" i="38"/>
  <c r="AA322" i="38"/>
  <c r="Y323" i="38"/>
  <c r="Z323" i="38"/>
  <c r="AA323" i="38"/>
  <c r="Y324" i="38"/>
  <c r="Z324" i="38"/>
  <c r="AA324" i="38"/>
  <c r="Y325" i="38"/>
  <c r="Z325" i="38"/>
  <c r="AA325" i="38"/>
  <c r="Y326" i="38"/>
  <c r="Z326" i="38"/>
  <c r="AA326" i="38"/>
  <c r="Y327" i="38"/>
  <c r="Z327" i="38"/>
  <c r="AA327" i="38"/>
  <c r="Y328" i="38"/>
  <c r="Z328" i="38"/>
  <c r="AA328" i="38"/>
  <c r="Y329" i="38"/>
  <c r="Z329" i="38"/>
  <c r="AA329" i="38"/>
  <c r="Y330" i="38"/>
  <c r="Z330" i="38"/>
  <c r="AA330" i="38"/>
  <c r="Y331" i="38"/>
  <c r="Z331" i="38"/>
  <c r="AA331" i="38"/>
  <c r="Y332" i="38"/>
  <c r="Z332" i="38"/>
  <c r="AA332" i="38"/>
  <c r="Y333" i="38"/>
  <c r="Z333" i="38"/>
  <c r="AA333" i="38"/>
  <c r="Y334" i="38"/>
  <c r="Z334" i="38"/>
  <c r="AA334" i="38"/>
  <c r="Y335" i="38"/>
  <c r="Z335" i="38"/>
  <c r="AA335" i="38"/>
  <c r="Y336" i="38"/>
  <c r="Z336" i="38"/>
  <c r="AA336" i="38"/>
  <c r="Y337" i="38"/>
  <c r="Z337" i="38"/>
  <c r="AA337" i="38"/>
  <c r="Y338" i="38"/>
  <c r="AA338" i="38"/>
  <c r="Y339" i="38"/>
  <c r="AA339" i="38"/>
  <c r="Y340" i="38"/>
  <c r="AA340" i="38"/>
  <c r="Y341" i="38"/>
  <c r="AA341" i="38"/>
  <c r="Y342" i="38"/>
  <c r="AA342" i="38"/>
  <c r="Y343" i="38"/>
  <c r="AA343" i="38"/>
  <c r="Y344" i="38"/>
  <c r="AA344" i="38"/>
  <c r="Y345" i="38"/>
  <c r="AA345" i="38"/>
  <c r="Y346" i="38"/>
  <c r="AA346" i="38"/>
  <c r="Y347" i="38"/>
  <c r="AA347" i="38"/>
  <c r="Y348" i="38"/>
  <c r="AA348" i="38"/>
  <c r="Y349" i="38"/>
  <c r="AA349" i="38"/>
  <c r="Y350" i="38"/>
  <c r="AA350" i="38"/>
  <c r="Y351" i="38"/>
  <c r="AA351" i="38"/>
  <c r="Y352" i="38"/>
  <c r="AA352" i="38"/>
  <c r="Y353" i="38"/>
  <c r="AA353" i="38"/>
  <c r="Y354" i="38"/>
  <c r="Z354" i="38"/>
  <c r="AA354" i="38"/>
  <c r="Y355" i="38"/>
  <c r="Z355" i="38"/>
  <c r="AA355" i="38"/>
  <c r="Y356" i="38"/>
  <c r="Z356" i="38"/>
  <c r="AA356" i="38"/>
  <c r="Y357" i="38"/>
  <c r="Z357" i="38"/>
  <c r="AA357" i="38"/>
  <c r="Y358" i="38"/>
  <c r="Z358" i="38"/>
  <c r="AA358" i="38"/>
  <c r="Y359" i="38"/>
  <c r="Z359" i="38"/>
  <c r="AA359" i="38"/>
  <c r="Y360" i="38"/>
  <c r="Z360" i="38"/>
  <c r="AA360" i="38"/>
  <c r="Y361" i="38"/>
  <c r="Z361" i="38"/>
  <c r="AA361" i="38"/>
  <c r="Y362" i="38"/>
  <c r="Z362" i="38"/>
  <c r="AA362" i="38"/>
  <c r="Y363" i="38"/>
  <c r="Z363" i="38"/>
  <c r="AA363" i="38"/>
  <c r="Y364" i="38"/>
  <c r="Z364" i="38"/>
  <c r="AA364" i="38"/>
  <c r="Y365" i="38"/>
  <c r="Z365" i="38"/>
  <c r="AA365" i="38"/>
  <c r="Y366" i="38"/>
  <c r="Z366" i="38"/>
  <c r="AA366" i="38"/>
  <c r="Y367" i="38"/>
  <c r="Z367" i="38"/>
  <c r="AA367" i="38"/>
  <c r="Y368" i="38"/>
  <c r="Z368" i="38"/>
  <c r="AA368" i="38"/>
  <c r="Y369" i="38"/>
  <c r="Z369" i="38"/>
  <c r="AA369" i="38"/>
  <c r="Y370" i="38"/>
  <c r="Z370" i="38"/>
  <c r="AA370" i="38"/>
  <c r="Y371" i="38"/>
  <c r="AA371" i="38"/>
  <c r="Y372" i="38"/>
  <c r="AA372" i="38"/>
  <c r="Y373" i="38"/>
  <c r="AA373" i="38"/>
  <c r="Y374" i="38"/>
  <c r="AA374" i="38"/>
  <c r="Y375" i="38"/>
  <c r="AA375" i="38"/>
  <c r="Y376" i="38"/>
  <c r="AA376" i="38"/>
  <c r="Y377" i="38"/>
  <c r="AA377" i="38"/>
  <c r="Y378" i="38"/>
  <c r="AA378" i="38"/>
  <c r="Y379" i="38"/>
  <c r="AA379" i="38"/>
  <c r="Y380" i="38"/>
  <c r="AA380" i="38"/>
  <c r="Y381" i="38"/>
  <c r="AA381" i="38"/>
  <c r="Y382" i="38"/>
  <c r="AA382" i="38"/>
  <c r="Y383" i="38"/>
  <c r="AA383" i="38"/>
  <c r="Y384" i="38"/>
  <c r="AA384" i="38"/>
  <c r="Y385" i="38"/>
  <c r="AA385" i="38"/>
  <c r="Y386" i="38"/>
  <c r="AA386" i="38"/>
  <c r="Y387" i="38"/>
  <c r="AA387" i="38"/>
  <c r="Y388" i="38"/>
  <c r="Z388" i="38"/>
  <c r="AA388" i="38"/>
  <c r="Y389" i="38"/>
  <c r="Z389" i="38"/>
  <c r="AA389" i="38"/>
  <c r="Y390" i="38"/>
  <c r="Z390" i="38"/>
  <c r="AA390" i="38"/>
  <c r="Y391" i="38"/>
  <c r="Z391" i="38"/>
  <c r="AA391" i="38"/>
  <c r="Y392" i="38"/>
  <c r="Z392" i="38"/>
  <c r="AA392" i="38"/>
  <c r="Y393" i="38"/>
  <c r="Z393" i="38"/>
  <c r="AA393" i="38"/>
  <c r="Y394" i="38"/>
  <c r="Z394" i="38"/>
  <c r="AA394" i="38"/>
  <c r="Y395" i="38"/>
  <c r="Z395" i="38"/>
  <c r="AA395" i="38"/>
  <c r="Y396" i="38"/>
  <c r="Z396" i="38"/>
  <c r="AA396" i="38"/>
  <c r="Y397" i="38"/>
  <c r="Z397" i="38"/>
  <c r="AA397" i="38"/>
  <c r="Y398" i="38"/>
  <c r="Z398" i="38"/>
  <c r="AA398" i="38"/>
  <c r="Y399" i="38"/>
  <c r="Z399" i="38"/>
  <c r="AA399" i="38"/>
  <c r="Y400" i="38"/>
  <c r="Z400" i="38"/>
  <c r="AA400" i="38"/>
  <c r="Y401" i="38"/>
  <c r="Z401" i="38"/>
  <c r="AA401" i="38"/>
  <c r="Y402" i="38"/>
  <c r="Z402" i="38"/>
  <c r="AA402" i="38"/>
  <c r="Y403" i="38"/>
  <c r="Z403" i="38"/>
  <c r="AA403" i="38"/>
  <c r="Y404" i="38"/>
  <c r="Z404" i="38"/>
  <c r="AA404" i="38"/>
  <c r="Y405" i="38"/>
  <c r="Z405" i="38"/>
  <c r="AA405" i="38"/>
  <c r="Y406" i="38"/>
  <c r="AA406" i="38"/>
  <c r="Y407" i="38"/>
  <c r="AA407" i="38"/>
  <c r="Y408" i="38"/>
  <c r="AA408" i="38"/>
  <c r="Y409" i="38"/>
  <c r="AA409" i="38"/>
  <c r="Y410" i="38"/>
  <c r="AA410" i="38"/>
  <c r="Y411" i="38"/>
  <c r="AA411" i="38"/>
  <c r="Y412" i="38"/>
  <c r="AA412" i="38"/>
  <c r="Y413" i="38"/>
  <c r="AA413" i="38"/>
  <c r="Y414" i="38"/>
  <c r="AA414" i="38"/>
  <c r="Y415" i="38"/>
  <c r="AA415" i="38"/>
  <c r="Y416" i="38"/>
  <c r="AA416" i="38"/>
  <c r="Y417" i="38"/>
  <c r="AA417" i="38"/>
  <c r="Y418" i="38"/>
  <c r="AA418" i="38"/>
  <c r="Y419" i="38"/>
  <c r="AA419" i="38"/>
  <c r="Y420" i="38"/>
  <c r="AA420" i="38"/>
  <c r="Y421" i="38"/>
  <c r="AA421" i="38"/>
  <c r="Y422" i="38"/>
  <c r="AA422" i="38"/>
  <c r="Y423" i="38"/>
  <c r="Z423" i="38"/>
  <c r="AA423" i="38"/>
  <c r="Y424" i="38"/>
  <c r="Z424" i="38"/>
  <c r="AA424" i="38"/>
  <c r="Y425" i="38"/>
  <c r="Z425" i="38"/>
  <c r="AA425" i="38"/>
  <c r="Y426" i="38"/>
  <c r="Z426" i="38"/>
  <c r="AA426" i="38"/>
  <c r="Y427" i="38"/>
  <c r="Z427" i="38"/>
  <c r="AA427" i="38"/>
  <c r="Y428" i="38"/>
  <c r="Z428" i="38"/>
  <c r="AA428" i="38"/>
  <c r="Y429" i="38"/>
  <c r="Z429" i="38"/>
  <c r="AA429" i="38"/>
  <c r="Y430" i="38"/>
  <c r="Z430" i="38"/>
  <c r="AA430" i="38"/>
  <c r="Y431" i="38"/>
  <c r="Z431" i="38"/>
  <c r="AA431" i="38"/>
  <c r="Y432" i="38"/>
  <c r="Z432" i="38"/>
  <c r="AA432" i="38"/>
  <c r="Y433" i="38"/>
  <c r="Z433" i="38"/>
  <c r="AA433" i="38"/>
  <c r="Y434" i="38"/>
  <c r="Z434" i="38"/>
  <c r="AA434" i="38"/>
  <c r="Y435" i="38"/>
  <c r="Z435" i="38"/>
  <c r="AA435" i="38"/>
  <c r="Y436" i="38"/>
  <c r="Z436" i="38"/>
  <c r="AA436" i="38"/>
  <c r="Y437" i="38"/>
  <c r="Z437" i="38"/>
  <c r="AA437" i="38"/>
  <c r="Y438" i="38"/>
  <c r="Z438" i="38"/>
  <c r="AA438" i="38"/>
  <c r="Y439" i="38"/>
  <c r="Z439" i="38"/>
  <c r="AA439" i="38"/>
  <c r="Y440" i="38"/>
  <c r="Z440" i="38"/>
  <c r="AA440" i="38"/>
  <c r="Y441" i="38"/>
  <c r="AA441" i="38"/>
  <c r="Y442" i="38"/>
  <c r="AA442" i="38"/>
  <c r="Y443" i="38"/>
  <c r="AA443" i="38"/>
  <c r="Y444" i="38"/>
  <c r="AA444" i="38"/>
  <c r="Y445" i="38"/>
  <c r="AA445" i="38"/>
  <c r="Y446" i="38"/>
  <c r="AA446" i="38"/>
  <c r="Y447" i="38"/>
  <c r="AA447" i="38"/>
  <c r="Y448" i="38"/>
  <c r="AA448" i="38"/>
  <c r="Y449" i="38"/>
  <c r="AA449" i="38"/>
  <c r="Y450" i="38"/>
  <c r="AA450" i="38"/>
  <c r="Y451" i="38"/>
  <c r="AA451" i="38"/>
  <c r="Y452" i="38"/>
  <c r="AA452" i="38"/>
  <c r="Y453" i="38"/>
  <c r="AA453" i="38"/>
  <c r="Y454" i="38"/>
  <c r="AA454" i="38"/>
  <c r="Y455" i="38"/>
  <c r="AA455" i="38"/>
  <c r="Y456" i="38"/>
  <c r="AA456" i="38"/>
  <c r="Y457" i="38"/>
  <c r="AA457" i="38"/>
  <c r="Y458" i="38"/>
  <c r="AA458" i="38"/>
  <c r="Y459" i="38"/>
  <c r="Z459" i="38"/>
  <c r="AA459" i="38"/>
  <c r="Y460" i="38"/>
  <c r="Z460" i="38"/>
  <c r="AA460" i="38"/>
  <c r="Y461" i="38"/>
  <c r="Z461" i="38"/>
  <c r="AA461" i="38"/>
  <c r="Y462" i="38"/>
  <c r="Z462" i="38"/>
  <c r="AA462" i="38"/>
  <c r="Y463" i="38"/>
  <c r="Z463" i="38"/>
  <c r="AA463" i="38"/>
  <c r="Y464" i="38"/>
  <c r="Z464" i="38"/>
  <c r="AA464" i="38"/>
  <c r="Y465" i="38"/>
  <c r="Z465" i="38"/>
  <c r="AA465" i="38"/>
  <c r="Y466" i="38"/>
  <c r="Z466" i="38"/>
  <c r="AA466" i="38"/>
  <c r="Y467" i="38"/>
  <c r="Z467" i="38"/>
  <c r="AA467" i="38"/>
  <c r="Y468" i="38"/>
  <c r="Z468" i="38"/>
  <c r="AA468" i="38"/>
  <c r="Y469" i="38"/>
  <c r="Z469" i="38"/>
  <c r="AA469" i="38"/>
  <c r="Y470" i="38"/>
  <c r="Z470" i="38"/>
  <c r="AA470" i="38"/>
  <c r="Y471" i="38"/>
  <c r="Z471" i="38"/>
  <c r="AA471" i="38"/>
  <c r="Y472" i="38"/>
  <c r="Z472" i="38"/>
  <c r="AA472" i="38"/>
  <c r="Y473" i="38"/>
  <c r="Z473" i="38"/>
  <c r="AA473" i="38"/>
  <c r="Y474" i="38"/>
  <c r="Z474" i="38"/>
  <c r="AA474" i="38"/>
  <c r="Y475" i="38"/>
  <c r="Z475" i="38"/>
  <c r="AA475" i="38"/>
  <c r="Y476" i="38"/>
  <c r="Z476" i="38"/>
  <c r="AA476" i="38"/>
  <c r="Y477" i="38"/>
  <c r="Z477" i="38"/>
  <c r="AA477" i="38"/>
  <c r="Y478" i="38"/>
  <c r="AA478" i="38"/>
  <c r="Y479" i="38"/>
  <c r="AA479" i="38"/>
  <c r="Y480" i="38"/>
  <c r="AA480" i="38"/>
  <c r="Y481" i="38"/>
  <c r="AA481" i="38"/>
  <c r="Y482" i="38"/>
  <c r="AA482" i="38"/>
  <c r="Y483" i="38"/>
  <c r="AA483" i="38"/>
  <c r="Y484" i="38"/>
  <c r="AA484" i="38"/>
  <c r="Y485" i="38"/>
  <c r="AA485" i="38"/>
  <c r="Y486" i="38"/>
  <c r="AA486" i="38"/>
  <c r="Y487" i="38"/>
  <c r="AA487" i="38"/>
  <c r="Y488" i="38"/>
  <c r="AA488" i="38"/>
  <c r="Y489" i="38"/>
  <c r="AA489" i="38"/>
  <c r="Y490" i="38"/>
  <c r="AA490" i="38"/>
  <c r="Y491" i="38"/>
  <c r="AA491" i="38"/>
  <c r="Y492" i="38"/>
  <c r="AA492" i="38"/>
  <c r="Y493" i="38"/>
  <c r="AA493" i="38"/>
  <c r="Y494" i="38"/>
  <c r="AA494" i="38"/>
  <c r="Y495" i="38"/>
  <c r="AA495" i="38"/>
  <c r="Y496" i="38"/>
  <c r="Z496" i="38"/>
  <c r="AA496" i="38"/>
  <c r="Y497" i="38"/>
  <c r="Z497" i="38"/>
  <c r="AA497" i="38"/>
  <c r="Y498" i="38"/>
  <c r="Z498" i="38"/>
  <c r="AA498" i="38"/>
  <c r="Y499" i="38"/>
  <c r="Z499" i="38"/>
  <c r="AA499" i="38"/>
  <c r="Y500" i="38"/>
  <c r="Z500" i="38"/>
  <c r="AA500" i="38"/>
  <c r="Y501" i="38"/>
  <c r="Z501" i="38"/>
  <c r="AA501" i="38"/>
  <c r="Y502" i="38"/>
  <c r="Z502" i="38"/>
  <c r="AA502" i="38"/>
  <c r="Y503" i="38"/>
  <c r="Z503" i="38"/>
  <c r="AA503" i="38"/>
  <c r="Y504" i="38"/>
  <c r="Z504" i="38"/>
  <c r="AA504" i="38"/>
  <c r="Y505" i="38"/>
  <c r="Z505" i="38"/>
  <c r="AA505" i="38"/>
  <c r="Y506" i="38"/>
  <c r="Z506" i="38"/>
  <c r="AA506" i="38"/>
  <c r="Y507" i="38"/>
  <c r="Z507" i="38"/>
  <c r="AA507" i="38"/>
  <c r="Y508" i="38"/>
  <c r="Z508" i="38"/>
  <c r="AA508" i="38"/>
  <c r="Y509" i="38"/>
  <c r="Z509" i="38"/>
  <c r="AA509" i="38"/>
  <c r="Y510" i="38"/>
  <c r="Z510" i="38"/>
  <c r="AA510" i="38"/>
  <c r="Y511" i="38"/>
  <c r="Z511" i="38"/>
  <c r="AA511" i="38"/>
  <c r="Y512" i="38"/>
  <c r="Z512" i="38"/>
  <c r="AA512" i="38"/>
  <c r="Y513" i="38"/>
  <c r="Z513" i="38"/>
  <c r="AA513" i="38"/>
  <c r="Y514" i="38"/>
  <c r="Z514" i="38"/>
  <c r="AA514" i="38"/>
  <c r="Y515" i="38"/>
  <c r="AA515" i="38"/>
  <c r="Y516" i="38"/>
  <c r="AA516" i="38"/>
  <c r="Y517" i="38"/>
  <c r="AA517" i="38"/>
  <c r="Y518" i="38"/>
  <c r="AA518" i="38"/>
  <c r="Y519" i="38"/>
  <c r="AA519" i="38"/>
  <c r="Y520" i="38"/>
  <c r="AA520" i="38"/>
  <c r="Y521" i="38"/>
  <c r="AA521" i="38"/>
  <c r="Y522" i="38"/>
  <c r="AA522" i="38"/>
  <c r="Y523" i="38"/>
  <c r="AA523" i="38"/>
  <c r="Y524" i="38"/>
  <c r="AA524" i="38"/>
  <c r="Y525" i="38"/>
  <c r="AA525" i="38"/>
  <c r="Y526" i="38"/>
  <c r="AA526" i="38"/>
  <c r="Y527" i="38"/>
  <c r="AA527" i="38"/>
  <c r="Y528" i="38"/>
  <c r="AA528" i="38"/>
  <c r="Y529" i="38"/>
  <c r="AA529" i="38"/>
  <c r="Y530" i="38"/>
  <c r="AA530" i="38"/>
  <c r="Y531" i="38"/>
  <c r="AA531" i="38"/>
  <c r="Y532" i="38"/>
  <c r="AA532" i="38"/>
  <c r="Y533" i="38"/>
  <c r="AA533" i="38"/>
  <c r="Y534" i="38"/>
  <c r="Z534" i="38"/>
  <c r="AA534" i="38"/>
  <c r="Y535" i="38"/>
  <c r="Z535" i="38"/>
  <c r="AA535" i="38"/>
  <c r="Y536" i="38"/>
  <c r="Z536" i="38"/>
  <c r="AA536" i="38"/>
  <c r="Y537" i="38"/>
  <c r="Z537" i="38"/>
  <c r="AA537" i="38"/>
  <c r="Y538" i="38"/>
  <c r="Z538" i="38"/>
  <c r="AA538" i="38"/>
  <c r="Y539" i="38"/>
  <c r="Z539" i="38"/>
  <c r="AA539" i="38"/>
  <c r="Y540" i="38"/>
  <c r="Z540" i="38"/>
  <c r="AA540" i="38"/>
  <c r="Y541" i="38"/>
  <c r="Z541" i="38"/>
  <c r="AA541" i="38"/>
  <c r="Y542" i="38"/>
  <c r="Z542" i="38"/>
  <c r="AA542" i="38"/>
  <c r="Y543" i="38"/>
  <c r="Z543" i="38"/>
  <c r="AA543" i="38"/>
  <c r="Y544" i="38"/>
  <c r="Z544" i="38"/>
  <c r="AA544" i="38"/>
  <c r="Y545" i="38"/>
  <c r="Z545" i="38"/>
  <c r="AA545" i="38"/>
  <c r="Y546" i="38"/>
  <c r="Z546" i="38"/>
  <c r="AA546" i="38"/>
  <c r="Y547" i="38"/>
  <c r="Z547" i="38"/>
  <c r="AA547" i="38"/>
  <c r="Y548" i="38"/>
  <c r="Z548" i="38"/>
  <c r="AA548" i="38"/>
  <c r="Y549" i="38"/>
  <c r="Z549" i="38"/>
  <c r="AA549" i="38"/>
  <c r="Y550" i="38"/>
  <c r="Z550" i="38"/>
  <c r="AA550" i="38"/>
  <c r="Y551" i="38"/>
  <c r="Z551" i="38"/>
  <c r="AA551" i="38"/>
  <c r="Y552" i="38"/>
  <c r="Z552" i="38"/>
  <c r="AA552" i="38"/>
  <c r="Y553" i="38"/>
  <c r="Z553" i="38"/>
  <c r="AA553" i="38"/>
  <c r="Y554" i="38"/>
  <c r="AA554" i="38"/>
  <c r="Y555" i="38"/>
  <c r="AA555" i="38"/>
  <c r="Y556" i="38"/>
  <c r="AA556" i="38"/>
  <c r="Y557" i="38"/>
  <c r="AA557" i="38"/>
  <c r="Y558" i="38"/>
  <c r="AA558" i="38"/>
  <c r="Y559" i="38"/>
  <c r="AA559" i="38"/>
  <c r="Y560" i="38"/>
  <c r="AA560" i="38"/>
  <c r="Y561" i="38"/>
  <c r="AA561" i="38"/>
  <c r="Y562" i="38"/>
  <c r="AA562" i="38"/>
  <c r="Y563" i="38"/>
  <c r="AA563" i="38"/>
  <c r="Y564" i="38"/>
  <c r="AA564" i="38"/>
  <c r="Y565" i="38"/>
  <c r="AA565" i="38"/>
  <c r="Y566" i="38"/>
  <c r="AA566" i="38"/>
  <c r="Y567" i="38"/>
  <c r="AA567" i="38"/>
  <c r="Y568" i="38"/>
  <c r="AA568" i="38"/>
  <c r="Y569" i="38"/>
  <c r="AA569" i="38"/>
  <c r="Y570" i="38"/>
  <c r="AA570" i="38"/>
  <c r="Y571" i="38"/>
  <c r="AA571" i="38"/>
  <c r="Y572" i="38"/>
  <c r="AA572" i="38"/>
  <c r="Y573" i="38"/>
  <c r="Z573" i="38"/>
  <c r="AA573" i="38"/>
  <c r="Y574" i="38"/>
  <c r="Z574" i="38"/>
  <c r="AA574" i="38"/>
  <c r="Y575" i="38"/>
  <c r="Z575" i="38"/>
  <c r="AA575" i="38"/>
  <c r="Y576" i="38"/>
  <c r="Z576" i="38"/>
  <c r="AA576" i="38"/>
  <c r="Y577" i="38"/>
  <c r="Z577" i="38"/>
  <c r="AA577" i="38"/>
  <c r="Y578" i="38"/>
  <c r="Z578" i="38"/>
  <c r="AA578" i="38"/>
  <c r="Y579" i="38"/>
  <c r="Z579" i="38"/>
  <c r="AA579" i="38"/>
  <c r="Y580" i="38"/>
  <c r="Z580" i="38"/>
  <c r="AA580" i="38"/>
  <c r="Y581" i="38"/>
  <c r="Z581" i="38"/>
  <c r="AA581" i="38"/>
  <c r="Y582" i="38"/>
  <c r="Z582" i="38"/>
  <c r="AA582" i="38"/>
  <c r="Y583" i="38"/>
  <c r="Z583" i="38"/>
  <c r="AA583" i="38"/>
  <c r="Y584" i="38"/>
  <c r="Z584" i="38"/>
  <c r="AA584" i="38"/>
  <c r="Y585" i="38"/>
  <c r="Z585" i="38"/>
  <c r="AA585" i="38"/>
  <c r="Y586" i="38"/>
  <c r="Z586" i="38"/>
  <c r="AA586" i="38"/>
  <c r="Y587" i="38"/>
  <c r="Z587" i="38"/>
  <c r="AA587" i="38"/>
  <c r="Y588" i="38"/>
  <c r="Z588" i="38"/>
  <c r="AA588" i="38"/>
  <c r="Y589" i="38"/>
  <c r="Z589" i="38"/>
  <c r="AA589" i="38"/>
  <c r="Y590" i="38"/>
  <c r="Z590" i="38"/>
  <c r="AA590" i="38"/>
  <c r="Y591" i="38"/>
  <c r="Z591" i="38"/>
  <c r="AA591" i="38"/>
  <c r="Y592" i="38"/>
  <c r="Z592" i="38"/>
  <c r="AA592" i="38"/>
  <c r="Y593" i="38"/>
  <c r="AA593" i="38"/>
  <c r="Y594" i="38"/>
  <c r="AA594" i="38"/>
  <c r="Y595" i="38"/>
  <c r="AA595" i="38"/>
  <c r="Y596" i="38"/>
  <c r="AA596" i="38"/>
  <c r="Y597" i="38"/>
  <c r="AA597" i="38"/>
  <c r="Y598" i="38"/>
  <c r="AA598" i="38"/>
  <c r="Y599" i="38"/>
  <c r="AA599" i="38"/>
  <c r="Y600" i="38"/>
  <c r="AA600" i="38"/>
  <c r="Y601" i="38"/>
  <c r="AA601" i="38"/>
  <c r="Y602" i="38"/>
  <c r="AA602" i="38"/>
  <c r="Y603" i="38"/>
  <c r="AA603" i="38"/>
  <c r="Y604" i="38"/>
  <c r="AA604" i="38"/>
  <c r="Y605" i="38"/>
  <c r="AA605" i="38"/>
  <c r="Y606" i="38"/>
  <c r="AA606" i="38"/>
  <c r="Y607" i="38"/>
  <c r="AA607" i="38"/>
  <c r="Y608" i="38"/>
  <c r="AA608" i="38"/>
  <c r="Y609" i="38"/>
  <c r="AA609" i="38"/>
  <c r="Y610" i="38"/>
  <c r="AA610" i="38"/>
  <c r="Y611" i="38"/>
  <c r="AA611" i="38"/>
  <c r="Y612" i="38"/>
  <c r="AA612" i="38"/>
  <c r="Y613" i="38"/>
  <c r="Z613" i="38"/>
  <c r="AA613" i="38"/>
  <c r="Y614" i="38"/>
  <c r="Z614" i="38"/>
  <c r="AA614" i="38"/>
  <c r="Y615" i="38"/>
  <c r="Z615" i="38"/>
  <c r="AA615" i="38"/>
  <c r="Y616" i="38"/>
  <c r="Z616" i="38"/>
  <c r="AA616" i="38"/>
  <c r="Y617" i="38"/>
  <c r="Z617" i="38"/>
  <c r="AA617" i="38"/>
  <c r="Y618" i="38"/>
  <c r="Z618" i="38"/>
  <c r="AA618" i="38"/>
  <c r="Y619" i="38"/>
  <c r="Z619" i="38"/>
  <c r="AA619" i="38"/>
  <c r="Y620" i="38"/>
  <c r="Z620" i="38"/>
  <c r="AA620" i="38"/>
  <c r="Y621" i="38"/>
  <c r="Z621" i="38"/>
  <c r="AA621" i="38"/>
  <c r="Y622" i="38"/>
  <c r="Z622" i="38"/>
  <c r="AA622" i="38"/>
  <c r="Y623" i="38"/>
  <c r="Z623" i="38"/>
  <c r="AA623" i="38"/>
  <c r="Y624" i="38"/>
  <c r="Z624" i="38"/>
  <c r="AA624" i="38"/>
  <c r="Y625" i="38"/>
  <c r="Z625" i="38"/>
  <c r="AA625" i="38"/>
  <c r="Y626" i="38"/>
  <c r="Z626" i="38"/>
  <c r="AA626" i="38"/>
  <c r="Y627" i="38"/>
  <c r="Z627" i="38"/>
  <c r="AA627" i="38"/>
  <c r="Y628" i="38"/>
  <c r="Z628" i="38"/>
  <c r="AA628" i="38"/>
  <c r="Y629" i="38"/>
  <c r="Z629" i="38"/>
  <c r="AA629" i="38"/>
  <c r="Y630" i="38"/>
  <c r="Z630" i="38"/>
  <c r="AA630" i="38"/>
  <c r="Y631" i="38"/>
  <c r="Z631" i="38"/>
  <c r="AA631" i="38"/>
  <c r="Y632" i="38"/>
  <c r="Z632" i="38"/>
  <c r="AA632" i="38"/>
  <c r="Y633" i="38"/>
  <c r="Z633" i="38"/>
  <c r="AA633" i="38"/>
  <c r="Y634" i="38"/>
  <c r="AA634" i="38"/>
  <c r="Y635" i="38"/>
  <c r="AA635" i="38"/>
  <c r="Y636" i="38"/>
  <c r="AA636" i="38"/>
  <c r="Y637" i="38"/>
  <c r="AA637" i="38"/>
  <c r="Y638" i="38"/>
  <c r="AA638" i="38"/>
  <c r="Y639" i="38"/>
  <c r="AA639" i="38"/>
  <c r="Y640" i="38"/>
  <c r="AA640" i="38"/>
  <c r="Y641" i="38"/>
  <c r="AA641" i="38"/>
  <c r="Y642" i="38"/>
  <c r="AA642" i="38"/>
  <c r="Y643" i="38"/>
  <c r="AA643" i="38"/>
  <c r="Y644" i="38"/>
  <c r="AA644" i="38"/>
  <c r="Y645" i="38"/>
  <c r="AA645" i="38"/>
  <c r="Y646" i="38"/>
  <c r="AA646" i="38"/>
  <c r="Y647" i="38"/>
  <c r="AA647" i="38"/>
  <c r="Y648" i="38"/>
  <c r="AA648" i="38"/>
  <c r="Y649" i="38"/>
  <c r="AA649" i="38"/>
  <c r="Y650" i="38"/>
  <c r="AA650" i="38"/>
  <c r="Y651" i="38"/>
  <c r="AA651" i="38"/>
  <c r="Y652" i="38"/>
  <c r="AA652" i="38"/>
  <c r="Y653" i="38"/>
  <c r="AA653" i="38"/>
  <c r="Y654" i="38"/>
  <c r="Z654" i="38"/>
  <c r="AA654" i="38"/>
  <c r="Y655" i="38"/>
  <c r="Z655" i="38"/>
  <c r="AA655" i="38"/>
  <c r="Y656" i="38"/>
  <c r="Z656" i="38"/>
  <c r="AA656" i="38"/>
  <c r="Y657" i="38"/>
  <c r="Z657" i="38"/>
  <c r="AA657" i="38"/>
  <c r="Y658" i="38"/>
  <c r="Z658" i="38"/>
  <c r="AA658" i="38"/>
  <c r="Y659" i="38"/>
  <c r="Z659" i="38"/>
  <c r="AA659" i="38"/>
  <c r="Y660" i="38"/>
  <c r="Z660" i="38"/>
  <c r="AA660" i="38"/>
  <c r="Y661" i="38"/>
  <c r="Z661" i="38"/>
  <c r="AA661" i="38"/>
  <c r="Y662" i="38"/>
  <c r="Z662" i="38"/>
  <c r="AA662" i="38"/>
  <c r="Y663" i="38"/>
  <c r="Z663" i="38"/>
  <c r="AA663" i="38"/>
  <c r="Y664" i="38"/>
  <c r="Z664" i="38"/>
  <c r="AA664" i="38"/>
  <c r="Y665" i="38"/>
  <c r="Z665" i="38"/>
  <c r="AA665" i="38"/>
  <c r="Y666" i="38"/>
  <c r="Z666" i="38"/>
  <c r="AA666" i="38"/>
  <c r="Y667" i="38"/>
  <c r="Z667" i="38"/>
  <c r="AA667" i="38"/>
  <c r="Y668" i="38"/>
  <c r="Z668" i="38"/>
  <c r="AA668" i="38"/>
  <c r="Y669" i="38"/>
  <c r="Z669" i="38"/>
  <c r="AA669" i="38"/>
  <c r="Y670" i="38"/>
  <c r="Z670" i="38"/>
  <c r="AA670" i="38"/>
  <c r="Y671" i="38"/>
  <c r="Z671" i="38"/>
  <c r="AA671" i="38"/>
  <c r="Y672" i="38"/>
  <c r="Z672" i="38"/>
  <c r="AA672" i="38"/>
  <c r="Y673" i="38"/>
  <c r="Z673" i="38"/>
  <c r="AA673" i="38"/>
  <c r="Y674" i="38"/>
  <c r="Z674" i="38"/>
  <c r="AA674" i="38"/>
  <c r="Y675" i="38"/>
  <c r="AA675" i="38"/>
  <c r="Y676" i="38"/>
  <c r="AA676" i="38"/>
  <c r="Y677" i="38"/>
  <c r="AA677" i="38"/>
  <c r="Y678" i="38"/>
  <c r="AA678" i="38"/>
  <c r="Y679" i="38"/>
  <c r="AA679" i="38"/>
  <c r="Y680" i="38"/>
  <c r="AA680" i="38"/>
  <c r="Y681" i="38"/>
  <c r="AA681" i="38"/>
  <c r="Y682" i="38"/>
  <c r="AA682" i="38"/>
  <c r="Y683" i="38"/>
  <c r="AA683" i="38"/>
  <c r="Y684" i="38"/>
  <c r="AA684" i="38"/>
  <c r="Y685" i="38"/>
  <c r="AA685" i="38"/>
  <c r="Y686" i="38"/>
  <c r="AA686" i="38"/>
  <c r="Y687" i="38"/>
  <c r="AA687" i="38"/>
  <c r="Y688" i="38"/>
  <c r="AA688" i="38"/>
  <c r="Y689" i="38"/>
  <c r="AA689" i="38"/>
  <c r="Y690" i="38"/>
  <c r="AA690" i="38"/>
  <c r="Y691" i="38"/>
  <c r="AA691" i="38"/>
  <c r="Y692" i="38"/>
  <c r="AA692" i="38"/>
  <c r="Y693" i="38"/>
  <c r="AA693" i="38"/>
  <c r="Y694" i="38"/>
  <c r="AA694" i="38"/>
  <c r="Y695" i="38"/>
  <c r="AA695" i="38"/>
  <c r="Y696" i="38"/>
  <c r="Z696" i="38"/>
  <c r="AA696" i="38"/>
  <c r="Y697" i="38"/>
  <c r="Z697" i="38"/>
  <c r="AA697" i="38"/>
  <c r="Y698" i="38"/>
  <c r="Z698" i="38"/>
  <c r="AA698" i="38"/>
  <c r="Y699" i="38"/>
  <c r="Z699" i="38"/>
  <c r="AA699" i="38"/>
  <c r="Y700" i="38"/>
  <c r="Z700" i="38"/>
  <c r="AA700" i="38"/>
  <c r="Y701" i="38"/>
  <c r="Z701" i="38"/>
  <c r="AA701" i="38"/>
  <c r="Y702" i="38"/>
  <c r="Z702" i="38"/>
  <c r="AA702" i="38"/>
  <c r="Y703" i="38"/>
  <c r="Z703" i="38"/>
  <c r="AA703" i="38"/>
  <c r="Y704" i="38"/>
  <c r="Z704" i="38"/>
  <c r="AA704" i="38"/>
  <c r="Y705" i="38"/>
  <c r="Z705" i="38"/>
  <c r="AA705" i="38"/>
  <c r="Y706" i="38"/>
  <c r="Z706" i="38"/>
  <c r="AA706" i="38"/>
  <c r="Y707" i="38"/>
  <c r="Z707" i="38"/>
  <c r="AA707" i="38"/>
  <c r="Y708" i="38"/>
  <c r="Z708" i="38"/>
  <c r="AA708" i="38"/>
  <c r="Y709" i="38"/>
  <c r="Z709" i="38"/>
  <c r="AA709" i="38"/>
  <c r="Y710" i="38"/>
  <c r="Z710" i="38"/>
  <c r="AA710" i="38"/>
  <c r="Y711" i="38"/>
  <c r="Z711" i="38"/>
  <c r="AA711" i="38"/>
  <c r="Y712" i="38"/>
  <c r="Z712" i="38"/>
  <c r="AA712" i="38"/>
  <c r="Y713" i="38"/>
  <c r="Z713" i="38"/>
  <c r="AA713" i="38"/>
  <c r="Y714" i="38"/>
  <c r="Z714" i="38"/>
  <c r="AA714" i="38"/>
  <c r="Y715" i="38"/>
  <c r="Z715" i="38"/>
  <c r="AA715" i="38"/>
  <c r="Y716" i="38"/>
  <c r="Z716" i="38"/>
  <c r="AA716" i="38"/>
  <c r="Y717" i="38"/>
  <c r="Z717" i="38"/>
  <c r="AA717" i="38"/>
  <c r="Y718" i="38"/>
  <c r="AA718" i="38"/>
  <c r="Y719" i="38"/>
  <c r="AA719" i="38"/>
  <c r="Y720" i="38"/>
  <c r="AA720" i="38"/>
  <c r="Y721" i="38"/>
  <c r="AA721" i="38"/>
  <c r="Y722" i="38"/>
  <c r="AA722" i="38"/>
  <c r="Y723" i="38"/>
  <c r="AA723" i="38"/>
  <c r="Y724" i="38"/>
  <c r="AA724" i="38"/>
  <c r="Y725" i="38"/>
  <c r="AA725" i="38"/>
  <c r="Y726" i="38"/>
  <c r="AA726" i="38"/>
  <c r="Y727" i="38"/>
  <c r="AA727" i="38"/>
  <c r="Y728" i="38"/>
  <c r="AA728" i="38"/>
  <c r="Y729" i="38"/>
  <c r="AA729" i="38"/>
  <c r="Y730" i="38"/>
  <c r="AA730" i="38"/>
  <c r="Y731" i="38"/>
  <c r="AA731" i="38"/>
  <c r="Y732" i="38"/>
  <c r="AA732" i="38"/>
  <c r="Y733" i="38"/>
  <c r="AA733" i="38"/>
  <c r="Y734" i="38"/>
  <c r="AA734" i="38"/>
  <c r="Y735" i="38"/>
  <c r="AA735" i="38"/>
  <c r="Y736" i="38"/>
  <c r="AA736" i="38"/>
  <c r="Y737" i="38"/>
  <c r="AA737" i="38"/>
  <c r="Y738" i="38"/>
  <c r="AA738" i="38"/>
  <c r="Y739" i="38"/>
  <c r="Z739" i="38"/>
  <c r="AA739" i="38"/>
  <c r="Y740" i="38"/>
  <c r="Z740" i="38"/>
  <c r="AA740" i="38"/>
  <c r="Y741" i="38"/>
  <c r="Z741" i="38"/>
  <c r="AA741" i="38"/>
  <c r="Y742" i="38"/>
  <c r="Z742" i="38"/>
  <c r="AA742" i="38"/>
  <c r="Y743" i="38"/>
  <c r="Z743" i="38"/>
  <c r="AA743" i="38"/>
  <c r="Y744" i="38"/>
  <c r="Z744" i="38"/>
  <c r="AA744" i="38"/>
  <c r="Y745" i="38"/>
  <c r="Z745" i="38"/>
  <c r="AA745" i="38"/>
  <c r="Y746" i="38"/>
  <c r="Z746" i="38"/>
  <c r="AA746" i="38"/>
  <c r="Y747" i="38"/>
  <c r="Z747" i="38"/>
  <c r="AA747" i="38"/>
  <c r="Y748" i="38"/>
  <c r="Z748" i="38"/>
  <c r="AA748" i="38"/>
  <c r="Y749" i="38"/>
  <c r="Z749" i="38"/>
  <c r="AA749" i="38"/>
  <c r="Y750" i="38"/>
  <c r="Z750" i="38"/>
  <c r="AA750" i="38"/>
  <c r="Y751" i="38"/>
  <c r="Z751" i="38"/>
  <c r="AA751" i="38"/>
  <c r="Y752" i="38"/>
  <c r="Z752" i="38"/>
  <c r="AA752" i="38"/>
  <c r="Y753" i="38"/>
  <c r="Z753" i="38"/>
  <c r="AA753" i="38"/>
  <c r="Y754" i="38"/>
  <c r="Z754" i="38"/>
  <c r="AA754" i="38"/>
  <c r="Y755" i="38"/>
  <c r="Z755" i="38"/>
  <c r="AA755" i="38"/>
  <c r="Y756" i="38"/>
  <c r="Z756" i="38"/>
  <c r="AA756" i="38"/>
  <c r="Y757" i="38"/>
  <c r="Z757" i="38"/>
  <c r="AA757" i="38"/>
  <c r="Y758" i="38"/>
  <c r="Z758" i="38"/>
  <c r="AA758" i="38"/>
  <c r="Y759" i="38"/>
  <c r="Z759" i="38"/>
  <c r="AA759" i="38"/>
  <c r="Y760" i="38"/>
  <c r="Z760" i="38"/>
  <c r="AA760" i="38"/>
  <c r="Y761" i="38"/>
  <c r="AA761" i="38"/>
  <c r="Y762" i="38"/>
  <c r="AA762" i="38"/>
  <c r="Y763" i="38"/>
  <c r="AA763" i="38"/>
  <c r="Y764" i="38"/>
  <c r="AA764" i="38"/>
  <c r="Y765" i="38"/>
  <c r="AA765" i="38"/>
  <c r="Y766" i="38"/>
  <c r="AA766" i="38"/>
  <c r="Y767" i="38"/>
  <c r="AA767" i="38"/>
  <c r="Y768" i="38"/>
  <c r="AA768" i="38"/>
  <c r="Y769" i="38"/>
  <c r="AA769" i="38"/>
  <c r="Y770" i="38"/>
  <c r="AA770" i="38"/>
  <c r="Y771" i="38"/>
  <c r="AA771" i="38"/>
  <c r="Y772" i="38"/>
  <c r="AA772" i="38"/>
  <c r="Y773" i="38"/>
  <c r="AA773" i="38"/>
  <c r="Y774" i="38"/>
  <c r="AA774" i="38"/>
  <c r="Y775" i="38"/>
  <c r="AA775" i="38"/>
  <c r="Y776" i="38"/>
  <c r="AA776" i="38"/>
  <c r="Y777" i="38"/>
  <c r="AA777" i="38"/>
  <c r="Y778" i="38"/>
  <c r="AA778" i="38"/>
  <c r="Y779" i="38"/>
  <c r="AA779" i="38"/>
  <c r="Y780" i="38"/>
  <c r="AA780" i="38"/>
  <c r="Y781" i="38"/>
  <c r="AA781" i="38"/>
  <c r="Y782" i="38"/>
  <c r="AA782" i="38"/>
  <c r="Y783" i="38"/>
  <c r="Z783" i="38"/>
  <c r="AA783" i="38"/>
  <c r="Y784" i="38"/>
  <c r="Z784" i="38"/>
  <c r="AA784" i="38"/>
  <c r="Y785" i="38"/>
  <c r="Z785" i="38"/>
  <c r="AA785" i="38"/>
  <c r="Y786" i="38"/>
  <c r="Z786" i="38"/>
  <c r="AA786" i="38"/>
  <c r="Y787" i="38"/>
  <c r="Z787" i="38"/>
  <c r="AA787" i="38"/>
  <c r="Y788" i="38"/>
  <c r="Z788" i="38"/>
  <c r="AA788" i="38"/>
  <c r="Y789" i="38"/>
  <c r="Z789" i="38"/>
  <c r="AA789" i="38"/>
  <c r="Y790" i="38"/>
  <c r="Z790" i="38"/>
  <c r="AA790" i="38"/>
  <c r="Y791" i="38"/>
  <c r="Z791" i="38"/>
  <c r="AA791" i="38"/>
  <c r="Y792" i="38"/>
  <c r="Z792" i="38"/>
  <c r="AA792" i="38"/>
  <c r="Y793" i="38"/>
  <c r="Z793" i="38"/>
  <c r="AA793" i="38"/>
  <c r="Y794" i="38"/>
  <c r="Z794" i="38"/>
  <c r="AA794" i="38"/>
  <c r="Y795" i="38"/>
  <c r="Z795" i="38"/>
  <c r="AA795" i="38"/>
  <c r="Y796" i="38"/>
  <c r="Z796" i="38"/>
  <c r="AA796" i="38"/>
  <c r="Y797" i="38"/>
  <c r="Z797" i="38"/>
  <c r="AA797" i="38"/>
  <c r="Y798" i="38"/>
  <c r="Z798" i="38"/>
  <c r="AA798" i="38"/>
  <c r="Y799" i="38"/>
  <c r="Z799" i="38"/>
  <c r="AA799" i="38"/>
  <c r="Y800" i="38"/>
  <c r="Z800" i="38"/>
  <c r="AA800" i="38"/>
  <c r="Y801" i="38"/>
  <c r="Z801" i="38"/>
  <c r="AA801" i="38"/>
  <c r="Y802" i="38"/>
  <c r="Z802" i="38"/>
  <c r="AA802" i="38"/>
  <c r="Y803" i="38"/>
  <c r="Z803" i="38"/>
  <c r="AA803" i="38"/>
  <c r="Y804" i="38"/>
  <c r="Z804" i="38"/>
  <c r="AA804" i="38"/>
  <c r="Y805" i="38"/>
  <c r="Z805" i="38"/>
  <c r="AA805" i="38"/>
  <c r="Y806" i="38"/>
  <c r="Z806" i="38"/>
  <c r="AA806" i="38"/>
  <c r="Y807" i="38"/>
  <c r="AA807" i="38"/>
  <c r="Y808" i="38"/>
  <c r="AA808" i="38"/>
  <c r="Y809" i="38"/>
  <c r="AA809" i="38"/>
  <c r="Y810" i="38"/>
  <c r="AA810" i="38"/>
  <c r="Y811" i="38"/>
  <c r="AA811" i="38"/>
  <c r="Y812" i="38"/>
  <c r="AA812" i="38"/>
  <c r="Y813" i="38"/>
  <c r="AA813" i="38"/>
  <c r="Y814" i="38"/>
  <c r="AA814" i="38"/>
  <c r="Y815" i="38"/>
  <c r="AA815" i="38"/>
  <c r="Y816" i="38"/>
  <c r="AA816" i="38"/>
  <c r="Y817" i="38"/>
  <c r="AA817" i="38"/>
  <c r="Y818" i="38"/>
  <c r="AA818" i="38"/>
  <c r="Y819" i="38"/>
  <c r="AA819" i="38"/>
  <c r="Y820" i="38"/>
  <c r="AA820" i="38"/>
  <c r="Y821" i="38"/>
  <c r="AA821" i="38"/>
  <c r="Y822" i="38"/>
  <c r="AA822" i="38"/>
  <c r="Y823" i="38"/>
  <c r="AA823" i="38"/>
  <c r="Y824" i="38"/>
  <c r="AA824" i="38"/>
  <c r="Y825" i="38"/>
  <c r="AA825" i="38"/>
  <c r="Y826" i="38"/>
  <c r="AA826" i="38"/>
  <c r="Y827" i="38"/>
  <c r="AA827" i="38"/>
  <c r="Y828" i="38"/>
  <c r="Z828" i="38"/>
  <c r="AA828" i="38"/>
  <c r="Y829" i="38"/>
  <c r="Z829" i="38"/>
  <c r="AA829" i="38"/>
  <c r="Y830" i="38"/>
  <c r="Z830" i="38"/>
  <c r="AA830" i="38"/>
  <c r="Y831" i="38"/>
  <c r="Z831" i="38"/>
  <c r="AA831" i="38"/>
  <c r="Y832" i="38"/>
  <c r="Z832" i="38"/>
  <c r="AA832" i="38"/>
  <c r="Y833" i="38"/>
  <c r="Z833" i="38"/>
  <c r="AA833" i="38"/>
  <c r="Y834" i="38"/>
  <c r="Z834" i="38"/>
  <c r="AA834" i="38"/>
  <c r="Y835" i="38"/>
  <c r="Z835" i="38"/>
  <c r="AA835" i="38"/>
  <c r="Y836" i="38"/>
  <c r="Z836" i="38"/>
  <c r="AA836" i="38"/>
  <c r="Y837" i="38"/>
  <c r="Z837" i="38"/>
  <c r="AA837" i="38"/>
  <c r="Y838" i="38"/>
  <c r="Z838" i="38"/>
  <c r="AA838" i="38"/>
  <c r="Y839" i="38"/>
  <c r="Z839" i="38"/>
  <c r="AA839" i="38"/>
  <c r="Y840" i="38"/>
  <c r="Z840" i="38"/>
  <c r="AA840" i="38"/>
  <c r="Y841" i="38"/>
  <c r="Z841" i="38"/>
  <c r="AA841" i="38"/>
  <c r="Y842" i="38"/>
  <c r="Z842" i="38"/>
  <c r="AA842" i="38"/>
  <c r="Y843" i="38"/>
  <c r="Z843" i="38"/>
  <c r="AA843" i="38"/>
  <c r="Y844" i="38"/>
  <c r="Z844" i="38"/>
  <c r="AA844" i="38"/>
  <c r="Y845" i="38"/>
  <c r="Z845" i="38"/>
  <c r="AA845" i="38"/>
  <c r="Y846" i="38"/>
  <c r="Z846" i="38"/>
  <c r="AA846" i="38"/>
  <c r="Y847" i="38"/>
  <c r="Z847" i="38"/>
  <c r="AA847" i="38"/>
  <c r="Y848" i="38"/>
  <c r="Z848" i="38"/>
  <c r="AA848" i="38"/>
  <c r="Y849" i="38"/>
  <c r="Z849" i="38"/>
  <c r="AA849" i="38"/>
  <c r="Y850" i="38"/>
  <c r="Z850" i="38"/>
  <c r="AA850" i="38"/>
  <c r="Y851" i="38"/>
  <c r="Z851" i="38"/>
  <c r="AA851" i="38"/>
  <c r="Y852" i="38"/>
  <c r="Z852" i="38"/>
  <c r="AA852" i="38"/>
  <c r="Y853" i="38"/>
  <c r="Z853" i="38"/>
  <c r="AA853" i="38"/>
  <c r="Y854" i="38"/>
  <c r="AA854" i="38"/>
  <c r="Y855" i="38"/>
  <c r="AA855" i="38"/>
  <c r="Y856" i="38"/>
  <c r="AA856" i="38"/>
  <c r="Y857" i="38"/>
  <c r="AA857" i="38"/>
  <c r="Y858" i="38"/>
  <c r="AA858" i="38"/>
  <c r="Y859" i="38"/>
  <c r="AA859" i="38"/>
  <c r="Y860" i="38"/>
  <c r="AA860" i="38"/>
  <c r="Y861" i="38"/>
  <c r="AA861" i="38"/>
  <c r="Y862" i="38"/>
  <c r="AA862" i="38"/>
  <c r="Y863" i="38"/>
  <c r="AA863" i="38"/>
  <c r="Y864" i="38"/>
  <c r="AA864" i="38"/>
  <c r="Y865" i="38"/>
  <c r="AA865" i="38"/>
  <c r="Y866" i="38"/>
  <c r="AA866" i="38"/>
  <c r="Y867" i="38"/>
  <c r="AA867" i="38"/>
  <c r="Y868" i="38"/>
  <c r="AA868" i="38"/>
  <c r="Y869" i="38"/>
  <c r="AA869" i="38"/>
  <c r="Y870" i="38"/>
  <c r="AA870" i="38"/>
  <c r="Y871" i="38"/>
  <c r="AA871" i="38"/>
  <c r="Y872" i="38"/>
  <c r="AA872" i="38"/>
  <c r="Y873" i="38"/>
  <c r="AA873" i="38"/>
  <c r="Y874" i="38"/>
  <c r="Z874" i="38"/>
  <c r="AA874" i="38"/>
  <c r="Y875" i="38"/>
  <c r="Z875" i="38"/>
  <c r="AA875" i="38"/>
  <c r="Y876" i="38"/>
  <c r="Z876" i="38"/>
  <c r="AA876" i="38"/>
  <c r="Y877" i="38"/>
  <c r="Z877" i="38"/>
  <c r="AA877" i="38"/>
  <c r="Y878" i="38"/>
  <c r="Z878" i="38"/>
  <c r="AA878" i="38"/>
  <c r="Y879" i="38"/>
  <c r="Z879" i="38"/>
  <c r="AA879" i="38"/>
  <c r="Y880" i="38"/>
  <c r="Z880" i="38"/>
  <c r="AA880" i="38"/>
  <c r="Y881" i="38"/>
  <c r="Z881" i="38"/>
  <c r="AA881" i="38"/>
  <c r="Y882" i="38"/>
  <c r="Z882" i="38"/>
  <c r="AA882" i="38"/>
  <c r="Y883" i="38"/>
  <c r="Z883" i="38"/>
  <c r="AA883" i="38"/>
  <c r="Y884" i="38"/>
  <c r="Z884" i="38"/>
  <c r="AA884" i="38"/>
  <c r="Y885" i="38"/>
  <c r="Z885" i="38"/>
  <c r="AA885" i="38"/>
  <c r="Y886" i="38"/>
  <c r="Z886" i="38"/>
  <c r="AA886" i="38"/>
  <c r="Y887" i="38"/>
  <c r="Z887" i="38"/>
  <c r="AA887" i="38"/>
  <c r="Y888" i="38"/>
  <c r="Z888" i="38"/>
  <c r="AA888" i="38"/>
  <c r="Y889" i="38"/>
  <c r="Z889" i="38"/>
  <c r="AA889" i="38"/>
  <c r="Y890" i="38"/>
  <c r="Z890" i="38"/>
  <c r="AA890" i="38"/>
  <c r="Y891" i="38"/>
  <c r="Z891" i="38"/>
  <c r="AA891" i="38"/>
  <c r="Y892" i="38"/>
  <c r="Z892" i="38"/>
  <c r="AA892" i="38"/>
  <c r="Y893" i="38"/>
  <c r="Z893" i="38"/>
  <c r="AA893" i="38"/>
  <c r="Y894" i="38"/>
  <c r="Z894" i="38"/>
  <c r="AA894" i="38"/>
  <c r="Y895" i="38"/>
  <c r="Z895" i="38"/>
  <c r="AA895" i="38"/>
  <c r="Y896" i="38"/>
  <c r="Z896" i="38"/>
  <c r="AA896" i="38"/>
  <c r="Y897" i="38"/>
  <c r="Z897" i="38"/>
  <c r="AA897" i="38"/>
  <c r="Y898" i="38"/>
  <c r="Z898" i="38"/>
  <c r="AA898" i="38"/>
  <c r="Y899" i="38"/>
  <c r="Z899" i="38"/>
  <c r="AA899" i="38"/>
  <c r="Y900" i="38"/>
  <c r="Z900" i="38"/>
  <c r="AA900" i="38"/>
  <c r="Y901" i="38"/>
  <c r="AA901" i="38"/>
  <c r="Y902" i="38"/>
  <c r="AA902" i="38"/>
  <c r="Y903" i="38"/>
  <c r="AA903" i="38"/>
  <c r="Y904" i="38"/>
  <c r="AA904" i="38"/>
  <c r="Y905" i="38"/>
  <c r="AA905" i="38"/>
  <c r="Y906" i="38"/>
  <c r="AA906" i="38"/>
  <c r="Y907" i="38"/>
  <c r="AA907" i="38"/>
  <c r="Y908" i="38"/>
  <c r="AA908" i="38"/>
  <c r="Y909" i="38"/>
  <c r="AA909" i="38"/>
  <c r="Y910" i="38"/>
  <c r="AA910" i="38"/>
  <c r="Y911" i="38"/>
  <c r="AA911" i="38"/>
  <c r="Y912" i="38"/>
  <c r="AA912" i="38"/>
  <c r="Y913" i="38"/>
  <c r="AA913" i="38"/>
  <c r="Y914" i="38"/>
  <c r="AA914" i="38"/>
  <c r="Y915" i="38"/>
  <c r="AA915" i="38"/>
  <c r="Y916" i="38"/>
  <c r="AA916" i="38"/>
  <c r="Y917" i="38"/>
  <c r="AA917" i="38"/>
  <c r="Y918" i="38"/>
  <c r="AA918" i="38"/>
  <c r="Y919" i="38"/>
  <c r="Z919" i="38"/>
  <c r="AA919" i="38"/>
  <c r="Y920" i="38"/>
  <c r="Z920" i="38"/>
  <c r="AA920" i="38"/>
  <c r="Y921" i="38"/>
  <c r="Z921" i="38"/>
  <c r="AA921" i="38"/>
  <c r="Y922" i="38"/>
  <c r="Z922" i="38"/>
  <c r="AA922" i="38"/>
  <c r="Y923" i="38"/>
  <c r="Z923" i="38"/>
  <c r="AA923" i="38"/>
  <c r="Y924" i="38"/>
  <c r="Z924" i="38"/>
  <c r="AA924" i="38"/>
  <c r="Y925" i="38"/>
  <c r="Z925" i="38"/>
  <c r="AA925" i="38"/>
  <c r="Y926" i="38"/>
  <c r="Z926" i="38"/>
  <c r="AA926" i="38"/>
  <c r="Y927" i="38"/>
  <c r="Z927" i="38"/>
  <c r="AA927" i="38"/>
  <c r="Y928" i="38"/>
  <c r="Z928" i="38"/>
  <c r="AA928" i="38"/>
  <c r="Y929" i="38"/>
  <c r="Z929" i="38"/>
  <c r="AA929" i="38"/>
  <c r="Y930" i="38"/>
  <c r="Z930" i="38"/>
  <c r="AA930" i="38"/>
  <c r="Y931" i="38"/>
  <c r="Z931" i="38"/>
  <c r="AA931" i="38"/>
  <c r="Y932" i="38"/>
  <c r="Z932" i="38"/>
  <c r="AA932" i="38"/>
  <c r="Y933" i="38"/>
  <c r="Z933" i="38"/>
  <c r="AA933" i="38"/>
  <c r="Y934" i="38"/>
  <c r="Z934" i="38"/>
  <c r="AA934" i="38"/>
  <c r="Y935" i="38"/>
  <c r="Z935" i="38"/>
  <c r="AA935" i="38"/>
  <c r="Y936" i="38"/>
  <c r="Z936" i="38"/>
  <c r="AA936" i="38"/>
  <c r="Y937" i="38"/>
  <c r="Z937" i="38"/>
  <c r="AA937" i="38"/>
  <c r="Y938" i="38"/>
  <c r="Z938" i="38"/>
  <c r="AA938" i="38"/>
  <c r="Y939" i="38"/>
  <c r="Z939" i="38"/>
  <c r="AA939" i="38"/>
  <c r="Y940" i="38"/>
  <c r="Z940" i="38"/>
  <c r="AA940" i="38"/>
  <c r="Y941" i="38"/>
  <c r="Z941" i="38"/>
  <c r="AA941" i="38"/>
  <c r="Y942" i="38"/>
  <c r="Z942" i="38"/>
  <c r="AA942" i="38"/>
  <c r="Y943" i="38"/>
  <c r="Z943" i="38"/>
  <c r="AA943" i="38"/>
  <c r="Y944" i="38"/>
  <c r="Z944" i="38"/>
  <c r="AA944" i="38"/>
  <c r="Y945" i="38"/>
  <c r="Z945" i="38"/>
  <c r="AA945" i="38"/>
  <c r="Y946" i="38"/>
  <c r="Z946" i="38"/>
  <c r="AA946" i="38"/>
  <c r="Y947" i="38"/>
  <c r="AA947" i="38"/>
  <c r="Y948" i="38"/>
  <c r="AA948" i="38"/>
  <c r="Y949" i="38"/>
  <c r="AA949" i="38"/>
  <c r="Y950" i="38"/>
  <c r="AA950" i="38"/>
  <c r="Y951" i="38"/>
  <c r="AA951" i="38"/>
  <c r="Y952" i="38"/>
  <c r="AA952" i="38"/>
  <c r="Y953" i="38"/>
  <c r="AA953" i="38"/>
  <c r="Y954" i="38"/>
  <c r="AA954" i="38"/>
  <c r="Y955" i="38"/>
  <c r="AA955" i="38"/>
  <c r="Y956" i="38"/>
  <c r="AA956" i="38"/>
  <c r="Y957" i="38"/>
  <c r="AA957" i="38"/>
  <c r="Y958" i="38"/>
  <c r="AA958" i="38"/>
  <c r="Y959" i="38"/>
  <c r="AA959" i="38"/>
  <c r="Y960" i="38"/>
  <c r="AA960" i="38"/>
  <c r="Y961" i="38"/>
  <c r="AA961" i="38"/>
  <c r="Y962" i="38"/>
  <c r="AA962" i="38"/>
  <c r="Y963" i="38"/>
  <c r="Z963" i="38"/>
  <c r="AA963" i="38"/>
  <c r="Y964" i="38"/>
  <c r="Z964" i="38"/>
  <c r="AA964" i="38"/>
  <c r="Y965" i="38"/>
  <c r="Z965" i="38"/>
  <c r="AA965" i="38"/>
  <c r="Y966" i="38"/>
  <c r="Z966" i="38"/>
  <c r="AA966" i="38"/>
  <c r="Y967" i="38"/>
  <c r="Z967" i="38"/>
  <c r="AA967" i="38"/>
  <c r="Y968" i="38"/>
  <c r="Z968" i="38"/>
  <c r="AA968" i="38"/>
  <c r="Y969" i="38"/>
  <c r="Z969" i="38"/>
  <c r="AA969" i="38"/>
  <c r="Y970" i="38"/>
  <c r="Z970" i="38"/>
  <c r="AA970" i="38"/>
  <c r="Y971" i="38"/>
  <c r="Z971" i="38"/>
  <c r="AA971" i="38"/>
  <c r="Y972" i="38"/>
  <c r="Z972" i="38"/>
  <c r="AA972" i="38"/>
  <c r="Y973" i="38"/>
  <c r="Z973" i="38"/>
  <c r="AA973" i="38"/>
  <c r="Y974" i="38"/>
  <c r="Z974" i="38"/>
  <c r="AA974" i="38"/>
  <c r="Y975" i="38"/>
  <c r="Z975" i="38"/>
  <c r="AA975" i="38"/>
  <c r="Y976" i="38"/>
  <c r="Z976" i="38"/>
  <c r="AA976" i="38"/>
  <c r="Y977" i="38"/>
  <c r="Z977" i="38"/>
  <c r="AA977" i="38"/>
  <c r="Y978" i="38"/>
  <c r="Z978" i="38"/>
  <c r="AA978" i="38"/>
  <c r="Y979" i="38"/>
  <c r="Z979" i="38"/>
  <c r="AA979" i="38"/>
  <c r="Y980" i="38"/>
  <c r="Z980" i="38"/>
  <c r="AA980" i="38"/>
  <c r="Y981" i="38"/>
  <c r="Z981" i="38"/>
  <c r="AA981" i="38"/>
  <c r="Y982" i="38"/>
  <c r="Z982" i="38"/>
  <c r="AA982" i="38"/>
  <c r="Y983" i="38"/>
  <c r="Z983" i="38"/>
  <c r="AA983" i="38"/>
  <c r="Y984" i="38"/>
  <c r="Z984" i="38"/>
  <c r="AA984" i="38"/>
  <c r="Y985" i="38"/>
  <c r="Z985" i="38"/>
  <c r="AA985" i="38"/>
  <c r="Y986" i="38"/>
  <c r="Z986" i="38"/>
  <c r="AA986" i="38"/>
  <c r="Y987" i="38"/>
  <c r="Z987" i="38"/>
  <c r="AA987" i="38"/>
  <c r="Y988" i="38"/>
  <c r="Z988" i="38"/>
  <c r="AA988" i="38"/>
  <c r="Y989" i="38"/>
  <c r="Z989" i="38"/>
  <c r="AA989" i="38"/>
  <c r="Y990" i="38"/>
  <c r="Z990" i="38"/>
  <c r="AA990" i="38"/>
  <c r="Y991" i="38"/>
  <c r="Z991" i="38"/>
  <c r="AA991" i="38"/>
  <c r="Y992" i="38"/>
  <c r="AA992" i="38"/>
  <c r="Y993" i="38"/>
  <c r="AA993" i="38"/>
  <c r="Y994" i="38"/>
  <c r="AA994" i="38"/>
  <c r="Y995" i="38"/>
  <c r="AA995" i="38"/>
  <c r="Y996" i="38"/>
  <c r="AA996" i="38"/>
  <c r="Y997" i="38"/>
  <c r="AA997" i="38"/>
  <c r="Y998" i="38"/>
  <c r="AA998" i="38"/>
  <c r="Y999" i="38"/>
  <c r="AA999" i="38"/>
  <c r="Y1000" i="38"/>
  <c r="AA1000" i="38"/>
  <c r="Y1001" i="38"/>
  <c r="AA1001" i="38"/>
  <c r="Y1002" i="38"/>
  <c r="AA1002" i="38"/>
  <c r="Y1003" i="38"/>
  <c r="AA1003" i="38"/>
  <c r="Y1004" i="38"/>
  <c r="AA1004" i="38"/>
  <c r="Y1005" i="38"/>
  <c r="AA1005" i="38"/>
  <c r="Y1006" i="38"/>
  <c r="Z1006" i="38"/>
  <c r="AA1006" i="38"/>
  <c r="Y1007" i="38"/>
  <c r="Z1007" i="38"/>
  <c r="AA1007" i="38"/>
  <c r="Y1008" i="38"/>
  <c r="Z1008" i="38"/>
  <c r="AA1008" i="38"/>
  <c r="Y1009" i="38"/>
  <c r="Z1009" i="38"/>
  <c r="AA1009" i="38"/>
  <c r="Y1010" i="38"/>
  <c r="Z1010" i="38"/>
  <c r="AA1010" i="38"/>
  <c r="Y1011" i="38"/>
  <c r="Z1011" i="38"/>
  <c r="AA1011" i="38"/>
  <c r="Y1012" i="38"/>
  <c r="Z1012" i="38"/>
  <c r="AA1012" i="38"/>
  <c r="Y1013" i="38"/>
  <c r="Z1013" i="38"/>
  <c r="AA1013" i="38"/>
  <c r="Y1014" i="38"/>
  <c r="Z1014" i="38"/>
  <c r="AA1014" i="38"/>
  <c r="Y1015" i="38"/>
  <c r="Z1015" i="38"/>
  <c r="AA1015" i="38"/>
  <c r="Y1016" i="38"/>
  <c r="Z1016" i="38"/>
  <c r="AA1016" i="38"/>
  <c r="Y1017" i="38"/>
  <c r="Z1017" i="38"/>
  <c r="AA1017" i="38"/>
  <c r="Y1018" i="38"/>
  <c r="Z1018" i="38"/>
  <c r="AA1018" i="38"/>
  <c r="Y1019" i="38"/>
  <c r="Z1019" i="38"/>
  <c r="AA1019" i="38"/>
  <c r="Y1020" i="38"/>
  <c r="Z1020" i="38"/>
  <c r="AA1020" i="38"/>
  <c r="Y1021" i="38"/>
  <c r="Z1021" i="38"/>
  <c r="AA1021" i="38"/>
  <c r="Y1022" i="38"/>
  <c r="Z1022" i="38"/>
  <c r="AA1022" i="38"/>
  <c r="Y1023" i="38"/>
  <c r="Z1023" i="38"/>
  <c r="AA1023" i="38"/>
  <c r="Y1024" i="38"/>
  <c r="Z1024" i="38"/>
  <c r="AA1024" i="38"/>
  <c r="Y1025" i="38"/>
  <c r="Z1025" i="38"/>
  <c r="AA1025" i="38"/>
  <c r="Y1026" i="38"/>
  <c r="Z1026" i="38"/>
  <c r="AA1026" i="38"/>
  <c r="Y1027" i="38"/>
  <c r="Z1027" i="38"/>
  <c r="AA1027" i="38"/>
  <c r="Y1028" i="38"/>
  <c r="Z1028" i="38"/>
  <c r="AA1028" i="38"/>
  <c r="Y1029" i="38"/>
  <c r="Z1029" i="38"/>
  <c r="AA1029" i="38"/>
  <c r="Y1030" i="38"/>
  <c r="Z1030" i="38"/>
  <c r="AA1030" i="38"/>
  <c r="Y1031" i="38"/>
  <c r="Z1031" i="38"/>
  <c r="AA1031" i="38"/>
  <c r="Y1032" i="38"/>
  <c r="Z1032" i="38"/>
  <c r="AA1032" i="38"/>
  <c r="Y1033" i="38"/>
  <c r="Z1033" i="38"/>
  <c r="AA1033" i="38"/>
  <c r="Y1034" i="38"/>
  <c r="Z1034" i="38"/>
  <c r="AA1034" i="38"/>
  <c r="Y1035" i="38"/>
  <c r="Z1035" i="38"/>
  <c r="AA1035" i="38"/>
  <c r="Y1036" i="38"/>
  <c r="AA1036" i="38"/>
  <c r="Y1037" i="38"/>
  <c r="AA1037" i="38"/>
  <c r="Y1038" i="38"/>
  <c r="AA1038" i="38"/>
  <c r="Y1039" i="38"/>
  <c r="AA1039" i="38"/>
  <c r="Y1040" i="38"/>
  <c r="AA1040" i="38"/>
  <c r="Y1041" i="38"/>
  <c r="AA1041" i="38"/>
  <c r="Y1042" i="38"/>
  <c r="AA1042" i="38"/>
  <c r="Y1043" i="38"/>
  <c r="AA1043" i="38"/>
  <c r="Y1044" i="38"/>
  <c r="AA1044" i="38"/>
  <c r="Y1045" i="38"/>
  <c r="AA1045" i="38"/>
  <c r="Y1046" i="38"/>
  <c r="AA1046" i="38"/>
  <c r="Y1047" i="38"/>
  <c r="AA1047" i="38"/>
  <c r="Y1048" i="38"/>
  <c r="Z1048" i="38"/>
  <c r="AA1048" i="38"/>
  <c r="Y1049" i="38"/>
  <c r="Z1049" i="38"/>
  <c r="AA1049" i="38"/>
  <c r="Y1050" i="38"/>
  <c r="Z1050" i="38"/>
  <c r="AA1050" i="38"/>
  <c r="Y1051" i="38"/>
  <c r="Z1051" i="38"/>
  <c r="AA1051" i="38"/>
  <c r="Y1052" i="38"/>
  <c r="Z1052" i="38"/>
  <c r="AA1052" i="38"/>
  <c r="Y1053" i="38"/>
  <c r="Z1053" i="38"/>
  <c r="AA1053" i="38"/>
  <c r="Y1054" i="38"/>
  <c r="Z1054" i="38"/>
  <c r="AA1054" i="38"/>
  <c r="Y1055" i="38"/>
  <c r="Z1055" i="38"/>
  <c r="AA1055" i="38"/>
  <c r="Y1056" i="38"/>
  <c r="Z1056" i="38"/>
  <c r="AA1056" i="38"/>
  <c r="Y1057" i="38"/>
  <c r="Z1057" i="38"/>
  <c r="AA1057" i="38"/>
  <c r="Y1058" i="38"/>
  <c r="Z1058" i="38"/>
  <c r="AA1058" i="38"/>
  <c r="Y1059" i="38"/>
  <c r="Z1059" i="38"/>
  <c r="AA1059" i="38"/>
  <c r="Y1060" i="38"/>
  <c r="Z1060" i="38"/>
  <c r="AA1060" i="38"/>
  <c r="Y1061" i="38"/>
  <c r="Z1061" i="38"/>
  <c r="AA1061" i="38"/>
  <c r="Y1062" i="38"/>
  <c r="Z1062" i="38"/>
  <c r="AA1062" i="38"/>
  <c r="Y1063" i="38"/>
  <c r="Z1063" i="38"/>
  <c r="AA1063" i="38"/>
  <c r="Y1064" i="38"/>
  <c r="Z1064" i="38"/>
  <c r="AA1064" i="38"/>
  <c r="Y1065" i="38"/>
  <c r="Z1065" i="38"/>
  <c r="AA1065" i="38"/>
  <c r="Y1066" i="38"/>
  <c r="Z1066" i="38"/>
  <c r="AA1066" i="38"/>
  <c r="Y1067" i="38"/>
  <c r="Z1067" i="38"/>
  <c r="AA1067" i="38"/>
  <c r="Y1068" i="38"/>
  <c r="Z1068" i="38"/>
  <c r="AA1068" i="38"/>
  <c r="Y1069" i="38"/>
  <c r="Z1069" i="38"/>
  <c r="AA1069" i="38"/>
  <c r="Y1070" i="38"/>
  <c r="Z1070" i="38"/>
  <c r="AA1070" i="38"/>
  <c r="Y1071" i="38"/>
  <c r="Z1071" i="38"/>
  <c r="AA1071" i="38"/>
  <c r="Y1072" i="38"/>
  <c r="Z1072" i="38"/>
  <c r="AA1072" i="38"/>
  <c r="Y1073" i="38"/>
  <c r="Z1073" i="38"/>
  <c r="AA1073" i="38"/>
  <c r="Y1074" i="38"/>
  <c r="Z1074" i="38"/>
  <c r="AA1074" i="38"/>
  <c r="Y1075" i="38"/>
  <c r="Z1075" i="38"/>
  <c r="AA1075" i="38"/>
  <c r="Y1076" i="38"/>
  <c r="Z1076" i="38"/>
  <c r="AA1076" i="38"/>
  <c r="Y1077" i="38"/>
  <c r="Z1077" i="38"/>
  <c r="AA1077" i="38"/>
  <c r="Y1078" i="38"/>
  <c r="Z1078" i="38"/>
  <c r="AA1078" i="38"/>
  <c r="Y1079" i="38"/>
  <c r="AA1079" i="38"/>
  <c r="Y1080" i="38"/>
  <c r="AA1080" i="38"/>
  <c r="Y1081" i="38"/>
  <c r="AA1081" i="38"/>
  <c r="Y1082" i="38"/>
  <c r="AA1082" i="38"/>
  <c r="Y1083" i="38"/>
  <c r="AA1083" i="38"/>
  <c r="Y1084" i="38"/>
  <c r="AA1084" i="38"/>
  <c r="Y1085" i="38"/>
  <c r="AA1085" i="38"/>
  <c r="Y1086" i="38"/>
  <c r="AA1086" i="38"/>
  <c r="Y1087" i="38"/>
  <c r="AA1087" i="38"/>
  <c r="Y1088" i="38"/>
  <c r="AA1088" i="38"/>
  <c r="Y1089" i="38"/>
  <c r="Z1089" i="38"/>
  <c r="AA1089" i="38"/>
  <c r="Y1090" i="38"/>
  <c r="Z1090" i="38"/>
  <c r="AA1090" i="38"/>
  <c r="Y1091" i="38"/>
  <c r="Z1091" i="38"/>
  <c r="AA1091" i="38"/>
  <c r="Y1092" i="38"/>
  <c r="Z1092" i="38"/>
  <c r="AA1092" i="38"/>
  <c r="Y1093" i="38"/>
  <c r="Z1093" i="38"/>
  <c r="AA1093" i="38"/>
  <c r="Y1094" i="38"/>
  <c r="Z1094" i="38"/>
  <c r="AA1094" i="38"/>
  <c r="Y1095" i="38"/>
  <c r="Z1095" i="38"/>
  <c r="AA1095" i="38"/>
  <c r="Y1096" i="38"/>
  <c r="Z1096" i="38"/>
  <c r="AA1096" i="38"/>
  <c r="Y1097" i="38"/>
  <c r="Z1097" i="38"/>
  <c r="AA1097" i="38"/>
  <c r="Y1098" i="38"/>
  <c r="Z1098" i="38"/>
  <c r="AA1098" i="38"/>
  <c r="Y1099" i="38"/>
  <c r="Z1099" i="38"/>
  <c r="AA1099" i="38"/>
  <c r="Y1100" i="38"/>
  <c r="Z1100" i="38"/>
  <c r="AA1100" i="38"/>
  <c r="Y1101" i="38"/>
  <c r="Z1101" i="38"/>
  <c r="AA1101" i="38"/>
  <c r="Y1102" i="38"/>
  <c r="Z1102" i="38"/>
  <c r="AA1102" i="38"/>
  <c r="Y1103" i="38"/>
  <c r="Z1103" i="38"/>
  <c r="AA1103" i="38"/>
  <c r="Y1104" i="38"/>
  <c r="Z1104" i="38"/>
  <c r="AA1104" i="38"/>
  <c r="Y1105" i="38"/>
  <c r="Z1105" i="38"/>
  <c r="AA1105" i="38"/>
  <c r="Y1106" i="38"/>
  <c r="Z1106" i="38"/>
  <c r="AA1106" i="38"/>
  <c r="Y1107" i="38"/>
  <c r="Z1107" i="38"/>
  <c r="AA1107" i="38"/>
  <c r="Y1108" i="38"/>
  <c r="Z1108" i="38"/>
  <c r="AA1108" i="38"/>
  <c r="Y1109" i="38"/>
  <c r="Z1109" i="38"/>
  <c r="AA1109" i="38"/>
  <c r="Y1110" i="38"/>
  <c r="Z1110" i="38"/>
  <c r="AA1110" i="38"/>
  <c r="Y1111" i="38"/>
  <c r="Z1111" i="38"/>
  <c r="AA1111" i="38"/>
  <c r="Y1112" i="38"/>
  <c r="Z1112" i="38"/>
  <c r="AA1112" i="38"/>
  <c r="Y1113" i="38"/>
  <c r="Z1113" i="38"/>
  <c r="AA1113" i="38"/>
  <c r="Y1114" i="38"/>
  <c r="Z1114" i="38"/>
  <c r="AA1114" i="38"/>
  <c r="Y1115" i="38"/>
  <c r="Z1115" i="38"/>
  <c r="AA1115" i="38"/>
  <c r="Y1116" i="38"/>
  <c r="Z1116" i="38"/>
  <c r="AA1116" i="38"/>
  <c r="Y1117" i="38"/>
  <c r="Z1117" i="38"/>
  <c r="AA1117" i="38"/>
  <c r="Y1118" i="38"/>
  <c r="Z1118" i="38"/>
  <c r="AA1118" i="38"/>
  <c r="Y1119" i="38"/>
  <c r="Z1119" i="38"/>
  <c r="AA1119" i="38"/>
  <c r="Y1120" i="38"/>
  <c r="Z1120" i="38"/>
  <c r="AA1120" i="38"/>
  <c r="Y1121" i="38"/>
  <c r="AA1121" i="38"/>
  <c r="Y1122" i="38"/>
  <c r="AA1122" i="38"/>
  <c r="Y1123" i="38"/>
  <c r="AA1123" i="38"/>
  <c r="Y1124" i="38"/>
  <c r="AA1124" i="38"/>
  <c r="Y1125" i="38"/>
  <c r="AA1125" i="38"/>
  <c r="Y1126" i="38"/>
  <c r="AA1126" i="38"/>
  <c r="Y1127" i="38"/>
  <c r="AA1127" i="38"/>
  <c r="Y1128" i="38"/>
  <c r="AA1128" i="38"/>
  <c r="Y1129" i="38"/>
  <c r="Z1129" i="38"/>
  <c r="AA1129" i="38"/>
  <c r="Y1130" i="38"/>
  <c r="Z1130" i="38"/>
  <c r="AA1130" i="38"/>
  <c r="Y1131" i="38"/>
  <c r="Z1131" i="38"/>
  <c r="AA1131" i="38"/>
  <c r="Y1132" i="38"/>
  <c r="Z1132" i="38"/>
  <c r="AA1132" i="38"/>
  <c r="Y1133" i="38"/>
  <c r="Z1133" i="38"/>
  <c r="AA1133" i="38"/>
  <c r="Y1134" i="38"/>
  <c r="Z1134" i="38"/>
  <c r="AA1134" i="38"/>
  <c r="Y1135" i="38"/>
  <c r="Z1135" i="38"/>
  <c r="AA1135" i="38"/>
  <c r="Y1136" i="38"/>
  <c r="Z1136" i="38"/>
  <c r="AA1136" i="38"/>
  <c r="Y1137" i="38"/>
  <c r="Z1137" i="38"/>
  <c r="AA1137" i="38"/>
  <c r="Y1138" i="38"/>
  <c r="Z1138" i="38"/>
  <c r="AA1138" i="38"/>
  <c r="Y1139" i="38"/>
  <c r="Z1139" i="38"/>
  <c r="AA1139" i="38"/>
  <c r="Y1140" i="38"/>
  <c r="Z1140" i="38"/>
  <c r="AA1140" i="38"/>
  <c r="Y1141" i="38"/>
  <c r="Z1141" i="38"/>
  <c r="AA1141" i="38"/>
  <c r="Y1142" i="38"/>
  <c r="Z1142" i="38"/>
  <c r="AA1142" i="38"/>
  <c r="Y1143" i="38"/>
  <c r="Z1143" i="38"/>
  <c r="AA1143" i="38"/>
  <c r="Y1144" i="38"/>
  <c r="Z1144" i="38"/>
  <c r="AA1144" i="38"/>
  <c r="Y1145" i="38"/>
  <c r="Z1145" i="38"/>
  <c r="AA1145" i="38"/>
  <c r="Y1146" i="38"/>
  <c r="Z1146" i="38"/>
  <c r="AA1146" i="38"/>
  <c r="Y1147" i="38"/>
  <c r="Z1147" i="38"/>
  <c r="AA1147" i="38"/>
  <c r="Y1148" i="38"/>
  <c r="Z1148" i="38"/>
  <c r="AA1148" i="38"/>
  <c r="Y1149" i="38"/>
  <c r="Z1149" i="38"/>
  <c r="AA1149" i="38"/>
  <c r="Y1150" i="38"/>
  <c r="Z1150" i="38"/>
  <c r="AA1150" i="38"/>
  <c r="Y1151" i="38"/>
  <c r="Z1151" i="38"/>
  <c r="AA1151" i="38"/>
  <c r="Y1152" i="38"/>
  <c r="Z1152" i="38"/>
  <c r="AA1152" i="38"/>
  <c r="Y1153" i="38"/>
  <c r="Z1153" i="38"/>
  <c r="AA1153" i="38"/>
  <c r="Y1154" i="38"/>
  <c r="Z1154" i="38"/>
  <c r="AA1154" i="38"/>
  <c r="Y1155" i="38"/>
  <c r="Z1155" i="38"/>
  <c r="AA1155" i="38"/>
  <c r="Y1156" i="38"/>
  <c r="Z1156" i="38"/>
  <c r="AA1156" i="38"/>
  <c r="Y1157" i="38"/>
  <c r="Z1157" i="38"/>
  <c r="AA1157" i="38"/>
  <c r="Y1158" i="38"/>
  <c r="Z1158" i="38"/>
  <c r="AA1158" i="38"/>
  <c r="Y1159" i="38"/>
  <c r="Z1159" i="38"/>
  <c r="AA1159" i="38"/>
  <c r="Y1160" i="38"/>
  <c r="Z1160" i="38"/>
  <c r="AA1160" i="38"/>
  <c r="Y1161" i="38"/>
  <c r="Z1161" i="38"/>
  <c r="AA1161" i="38"/>
  <c r="Y1162" i="38"/>
  <c r="AA1162" i="38"/>
  <c r="Y1163" i="38"/>
  <c r="AA1163" i="38"/>
  <c r="Y1164" i="38"/>
  <c r="AA1164" i="38"/>
  <c r="Y1165" i="38"/>
  <c r="AA1165" i="38"/>
  <c r="Y1166" i="38"/>
  <c r="AA1166" i="38"/>
  <c r="Y1167" i="38"/>
  <c r="AA1167" i="38"/>
  <c r="Y1168" i="38"/>
  <c r="Z1168" i="38"/>
  <c r="AA1168" i="38"/>
  <c r="Y1169" i="38"/>
  <c r="Z1169" i="38"/>
  <c r="AA1169" i="38"/>
  <c r="Y1170" i="38"/>
  <c r="Z1170" i="38"/>
  <c r="AA1170" i="38"/>
  <c r="Y1171" i="38"/>
  <c r="Z1171" i="38"/>
  <c r="AA1171" i="38"/>
  <c r="Y1172" i="38"/>
  <c r="Z1172" i="38"/>
  <c r="AA1172" i="38"/>
  <c r="Y1173" i="38"/>
  <c r="Z1173" i="38"/>
  <c r="AA1173" i="38"/>
  <c r="Y1174" i="38"/>
  <c r="Z1174" i="38"/>
  <c r="AA1174" i="38"/>
  <c r="Y1175" i="38"/>
  <c r="Z1175" i="38"/>
  <c r="AA1175" i="38"/>
  <c r="Y1176" i="38"/>
  <c r="Z1176" i="38"/>
  <c r="AA1176" i="38"/>
  <c r="Y1177" i="38"/>
  <c r="Z1177" i="38"/>
  <c r="AA1177" i="38"/>
  <c r="Y1178" i="38"/>
  <c r="Z1178" i="38"/>
  <c r="AA1178" i="38"/>
  <c r="Y1179" i="38"/>
  <c r="Z1179" i="38"/>
  <c r="AA1179" i="38"/>
  <c r="Y1180" i="38"/>
  <c r="Z1180" i="38"/>
  <c r="AA1180" i="38"/>
  <c r="Y1181" i="38"/>
  <c r="Z1181" i="38"/>
  <c r="AA1181" i="38"/>
  <c r="Y1182" i="38"/>
  <c r="Z1182" i="38"/>
  <c r="AA1182" i="38"/>
  <c r="Y1183" i="38"/>
  <c r="Z1183" i="38"/>
  <c r="AA1183" i="38"/>
  <c r="Y1184" i="38"/>
  <c r="Z1184" i="38"/>
  <c r="AA1184" i="38"/>
  <c r="Y1185" i="38"/>
  <c r="Z1185" i="38"/>
  <c r="AA1185" i="38"/>
  <c r="Y1186" i="38"/>
  <c r="Z1186" i="38"/>
  <c r="AA1186" i="38"/>
  <c r="Y1187" i="38"/>
  <c r="Z1187" i="38"/>
  <c r="AA1187" i="38"/>
  <c r="Y1188" i="38"/>
  <c r="Z1188" i="38"/>
  <c r="AA1188" i="38"/>
  <c r="Y1189" i="38"/>
  <c r="Z1189" i="38"/>
  <c r="AA1189" i="38"/>
  <c r="Y1190" i="38"/>
  <c r="Z1190" i="38"/>
  <c r="AA1190" i="38"/>
  <c r="Y1191" i="38"/>
  <c r="Z1191" i="38"/>
  <c r="AA1191" i="38"/>
  <c r="Y1192" i="38"/>
  <c r="Z1192" i="38"/>
  <c r="AA1192" i="38"/>
  <c r="Y1193" i="38"/>
  <c r="Z1193" i="38"/>
  <c r="AA1193" i="38"/>
  <c r="Y1194" i="38"/>
  <c r="Z1194" i="38"/>
  <c r="AA1194" i="38"/>
  <c r="Y1195" i="38"/>
  <c r="Z1195" i="38"/>
  <c r="AA1195" i="38"/>
  <c r="Y1196" i="38"/>
  <c r="Z1196" i="38"/>
  <c r="AA1196" i="38"/>
  <c r="Y1197" i="38"/>
  <c r="Z1197" i="38"/>
  <c r="AA1197" i="38"/>
  <c r="Y1198" i="38"/>
  <c r="Z1198" i="38"/>
  <c r="AA1198" i="38"/>
  <c r="Y1199" i="38"/>
  <c r="Z1199" i="38"/>
  <c r="AA1199" i="38"/>
  <c r="Y1200" i="38"/>
  <c r="Z1200" i="38"/>
  <c r="AA1200" i="38"/>
  <c r="Y1201" i="38"/>
  <c r="Z1201" i="38"/>
  <c r="AA1201" i="38"/>
  <c r="Y1202" i="38"/>
  <c r="AA1202" i="38"/>
  <c r="Y1203" i="38"/>
  <c r="AA1203" i="38"/>
  <c r="Y1204" i="38"/>
  <c r="AA1204" i="38"/>
  <c r="Y1205" i="38"/>
  <c r="AA1205" i="38"/>
  <c r="Y1206" i="38"/>
  <c r="Z1206" i="38"/>
  <c r="AA1206" i="38"/>
  <c r="Y1207" i="38"/>
  <c r="Z1207" i="38"/>
  <c r="AA1207" i="38"/>
  <c r="Y1208" i="38"/>
  <c r="Z1208" i="38"/>
  <c r="AA1208" i="38"/>
  <c r="Y1209" i="38"/>
  <c r="Z1209" i="38"/>
  <c r="AA1209" i="38"/>
  <c r="Y1210" i="38"/>
  <c r="Z1210" i="38"/>
  <c r="AA1210" i="38"/>
  <c r="Y1211" i="38"/>
  <c r="Z1211" i="38"/>
  <c r="AA1211" i="38"/>
  <c r="Y1212" i="38"/>
  <c r="Z1212" i="38"/>
  <c r="AA1212" i="38"/>
  <c r="Y1213" i="38"/>
  <c r="Z1213" i="38"/>
  <c r="AA1213" i="38"/>
  <c r="Y1214" i="38"/>
  <c r="Z1214" i="38"/>
  <c r="AA1214" i="38"/>
  <c r="Y1215" i="38"/>
  <c r="Z1215" i="38"/>
  <c r="AA1215" i="38"/>
  <c r="Y1216" i="38"/>
  <c r="Z1216" i="38"/>
  <c r="AA1216" i="38"/>
  <c r="Y1217" i="38"/>
  <c r="Z1217" i="38"/>
  <c r="AA1217" i="38"/>
  <c r="Y1218" i="38"/>
  <c r="Z1218" i="38"/>
  <c r="AA1218" i="38"/>
  <c r="Y1219" i="38"/>
  <c r="Z1219" i="38"/>
  <c r="AA1219" i="38"/>
  <c r="Y1220" i="38"/>
  <c r="Z1220" i="38"/>
  <c r="AA1220" i="38"/>
  <c r="Y1221" i="38"/>
  <c r="Z1221" i="38"/>
  <c r="AA1221" i="38"/>
  <c r="Y1222" i="38"/>
  <c r="Z1222" i="38"/>
  <c r="AA1222" i="38"/>
  <c r="Y1223" i="38"/>
  <c r="Z1223" i="38"/>
  <c r="AA1223" i="38"/>
  <c r="Y1224" i="38"/>
  <c r="Z1224" i="38"/>
  <c r="AA1224" i="38"/>
  <c r="Y1225" i="38"/>
  <c r="Z1225" i="38"/>
  <c r="AA1225" i="38"/>
  <c r="Y1226" i="38"/>
  <c r="Z1226" i="38"/>
  <c r="AA1226" i="38"/>
  <c r="Y1227" i="38"/>
  <c r="Z1227" i="38"/>
  <c r="AA1227" i="38"/>
  <c r="Y1228" i="38"/>
  <c r="Z1228" i="38"/>
  <c r="AA1228" i="38"/>
  <c r="Y1229" i="38"/>
  <c r="Z1229" i="38"/>
  <c r="AA1229" i="38"/>
  <c r="Y1230" i="38"/>
  <c r="Z1230" i="38"/>
  <c r="AA1230" i="38"/>
  <c r="Y1231" i="38"/>
  <c r="Z1231" i="38"/>
  <c r="AA1231" i="38"/>
  <c r="Y1232" i="38"/>
  <c r="Z1232" i="38"/>
  <c r="AA1232" i="38"/>
  <c r="Y1233" i="38"/>
  <c r="Z1233" i="38"/>
  <c r="AA1233" i="38"/>
  <c r="Y1234" i="38"/>
  <c r="Z1234" i="38"/>
  <c r="AA1234" i="38"/>
  <c r="Y1235" i="38"/>
  <c r="Z1235" i="38"/>
  <c r="AA1235" i="38"/>
  <c r="Y1236" i="38"/>
  <c r="Z1236" i="38"/>
  <c r="AA1236" i="38"/>
  <c r="Y1237" i="38"/>
  <c r="Z1237" i="38"/>
  <c r="AA1237" i="38"/>
  <c r="Y1238" i="38"/>
  <c r="Z1238" i="38"/>
  <c r="AA1238" i="38"/>
  <c r="Y1239" i="38"/>
  <c r="Z1239" i="38"/>
  <c r="AA1239" i="38"/>
  <c r="Y1240" i="38"/>
  <c r="Z1240" i="38"/>
  <c r="AA1240" i="38"/>
  <c r="Y1241" i="38"/>
  <c r="AA1241" i="38"/>
  <c r="Y1242" i="38"/>
  <c r="AA1242" i="38"/>
  <c r="Y1243" i="38"/>
  <c r="Z1243" i="38"/>
  <c r="AA1243" i="38"/>
  <c r="Y1244" i="38"/>
  <c r="Z1244" i="38"/>
  <c r="AA1244" i="38"/>
  <c r="Y1245" i="38"/>
  <c r="Z1245" i="38"/>
  <c r="AA1245" i="38"/>
  <c r="Y1246" i="38"/>
  <c r="Z1246" i="38"/>
  <c r="AA1246" i="38"/>
  <c r="Y1247" i="38"/>
  <c r="Z1247" i="38"/>
  <c r="AA1247" i="38"/>
  <c r="Y1248" i="38"/>
  <c r="Z1248" i="38"/>
  <c r="AA1248" i="38"/>
  <c r="Y1249" i="38"/>
  <c r="Z1249" i="38"/>
  <c r="AA1249" i="38"/>
  <c r="Y1250" i="38"/>
  <c r="Z1250" i="38"/>
  <c r="AA1250" i="38"/>
  <c r="Y1251" i="38"/>
  <c r="Z1251" i="38"/>
  <c r="AA1251" i="38"/>
  <c r="Y1252" i="38"/>
  <c r="Z1252" i="38"/>
  <c r="AA1252" i="38"/>
  <c r="Y1253" i="38"/>
  <c r="Z1253" i="38"/>
  <c r="AA1253" i="38"/>
  <c r="Y1254" i="38"/>
  <c r="Z1254" i="38"/>
  <c r="AA1254" i="38"/>
  <c r="Y1255" i="38"/>
  <c r="Z1255" i="38"/>
  <c r="AA1255" i="38"/>
  <c r="Y1256" i="38"/>
  <c r="Z1256" i="38"/>
  <c r="AA1256" i="38"/>
  <c r="Y1257" i="38"/>
  <c r="Z1257" i="38"/>
  <c r="AA1257" i="38"/>
  <c r="Y1258" i="38"/>
  <c r="Z1258" i="38"/>
  <c r="AA1258" i="38"/>
  <c r="Y1259" i="38"/>
  <c r="Z1259" i="38"/>
  <c r="AA1259" i="38"/>
  <c r="Y1260" i="38"/>
  <c r="Z1260" i="38"/>
  <c r="AA1260" i="38"/>
  <c r="Y1261" i="38"/>
  <c r="Z1261" i="38"/>
  <c r="AA1261" i="38"/>
  <c r="Y1262" i="38"/>
  <c r="Z1262" i="38"/>
  <c r="AA1262" i="38"/>
  <c r="Y1263" i="38"/>
  <c r="Z1263" i="38"/>
  <c r="AA1263" i="38"/>
  <c r="Y1264" i="38"/>
  <c r="Z1264" i="38"/>
  <c r="AA1264" i="38"/>
  <c r="Y1265" i="38"/>
  <c r="Z1265" i="38"/>
  <c r="AA1265" i="38"/>
  <c r="Y1266" i="38"/>
  <c r="Z1266" i="38"/>
  <c r="AA1266" i="38"/>
  <c r="Y1267" i="38"/>
  <c r="Z1267" i="38"/>
  <c r="AA1267" i="38"/>
  <c r="Y1268" i="38"/>
  <c r="Z1268" i="38"/>
  <c r="AA1268" i="38"/>
  <c r="Y1269" i="38"/>
  <c r="Z1269" i="38"/>
  <c r="AA1269" i="38"/>
  <c r="Y1270" i="38"/>
  <c r="Z1270" i="38"/>
  <c r="AA1270" i="38"/>
  <c r="Y1271" i="38"/>
  <c r="Z1271" i="38"/>
  <c r="AA1271" i="38"/>
  <c r="Y1272" i="38"/>
  <c r="Z1272" i="38"/>
  <c r="AA1272" i="38"/>
  <c r="Y1273" i="38"/>
  <c r="Z1273" i="38"/>
  <c r="AA1273" i="38"/>
  <c r="Y1274" i="38"/>
  <c r="Z1274" i="38"/>
  <c r="AA1274" i="38"/>
  <c r="Y1275" i="38"/>
  <c r="Z1275" i="38"/>
  <c r="AA1275" i="38"/>
  <c r="Y1276" i="38"/>
  <c r="Z1276" i="38"/>
  <c r="AA1276" i="38"/>
  <c r="Y1277" i="38"/>
  <c r="Z1277" i="38"/>
  <c r="AA1277" i="38"/>
  <c r="Y1278" i="38"/>
  <c r="Z1278" i="38"/>
  <c r="AA1278" i="38"/>
  <c r="Y1279" i="38"/>
  <c r="Z1279" i="38"/>
  <c r="AA1279" i="38"/>
  <c r="Y1280" i="38"/>
  <c r="Z1280" i="38"/>
  <c r="AA1280" i="38"/>
  <c r="Y1281" i="38"/>
  <c r="Z1281" i="38"/>
  <c r="AA1281" i="38"/>
  <c r="Y1282" i="38"/>
  <c r="Z1282" i="38"/>
  <c r="AA1282" i="38"/>
  <c r="Y1283" i="38"/>
  <c r="Z1283" i="38"/>
  <c r="AA1283" i="38"/>
  <c r="Y1284" i="38"/>
  <c r="Z1284" i="38"/>
  <c r="AA1284" i="38"/>
  <c r="Y1285" i="38"/>
  <c r="Z1285" i="38"/>
  <c r="AA1285" i="38"/>
  <c r="Y1286" i="38"/>
  <c r="Z1286" i="38"/>
  <c r="AA1286" i="38"/>
  <c r="Y1287" i="38"/>
  <c r="Z1287" i="38"/>
  <c r="AA1287" i="38"/>
  <c r="Y1288" i="38"/>
  <c r="Z1288" i="38"/>
  <c r="AA1288" i="38"/>
  <c r="Y1289" i="38"/>
  <c r="Z1289" i="38"/>
  <c r="AA1289" i="38"/>
  <c r="Y1290" i="38"/>
  <c r="Z1290" i="38"/>
  <c r="AA1290" i="38"/>
  <c r="Y1291" i="38"/>
  <c r="Z1291" i="38"/>
  <c r="AA1291" i="38"/>
  <c r="Y1292" i="38"/>
  <c r="Z1292" i="38"/>
  <c r="AA1292" i="38"/>
  <c r="Y1293" i="38"/>
  <c r="Z1293" i="38"/>
  <c r="AA1293" i="38"/>
  <c r="Y1294" i="38"/>
  <c r="Z1294" i="38"/>
  <c r="AA1294" i="38"/>
  <c r="Y1295" i="38"/>
  <c r="Z1295" i="38"/>
  <c r="AA1295" i="38"/>
  <c r="Y1296" i="38"/>
  <c r="Z1296" i="38"/>
  <c r="AA1296" i="38"/>
  <c r="Y1297" i="38"/>
  <c r="Z1297" i="38"/>
  <c r="AA1297" i="38"/>
  <c r="Y1298" i="38"/>
  <c r="Z1298" i="38"/>
  <c r="AA1298" i="38"/>
  <c r="Y1299" i="38"/>
  <c r="Z1299" i="38"/>
  <c r="AA1299" i="38"/>
  <c r="Y1300" i="38"/>
  <c r="Z1300" i="38"/>
  <c r="AA1300" i="38"/>
  <c r="Y1301" i="38"/>
  <c r="Z1301" i="38"/>
  <c r="AA1301" i="38"/>
  <c r="Y1302" i="38"/>
  <c r="Z1302" i="38"/>
  <c r="AA1302" i="38"/>
  <c r="Y1303" i="38"/>
  <c r="Z1303" i="38"/>
  <c r="AA1303" i="38"/>
  <c r="Y1304" i="38"/>
  <c r="Z1304" i="38"/>
  <c r="AA1304" i="38"/>
  <c r="Y1305" i="38"/>
  <c r="Z1305" i="38"/>
  <c r="AA1305" i="38"/>
  <c r="Y1306" i="38"/>
  <c r="Z1306" i="38"/>
  <c r="AA1306" i="38"/>
  <c r="Y1307" i="38"/>
  <c r="Z1307" i="38"/>
  <c r="AA1307" i="38"/>
  <c r="Y1308" i="38"/>
  <c r="Z1308" i="38"/>
  <c r="AA1308" i="38"/>
  <c r="Y1309" i="38"/>
  <c r="Z1309" i="38"/>
  <c r="AA1309" i="38"/>
  <c r="Y1310" i="38"/>
  <c r="Z1310" i="38"/>
  <c r="AA1310" i="38"/>
  <c r="Y1311" i="38"/>
  <c r="Z1311" i="38"/>
  <c r="AA1311" i="38"/>
  <c r="Y1312" i="38"/>
  <c r="Z1312" i="38"/>
  <c r="AA1312" i="38"/>
  <c r="Y1313" i="38"/>
  <c r="Z1313" i="38"/>
  <c r="AA1313" i="38"/>
  <c r="Y1314" i="38"/>
  <c r="Z1314" i="38"/>
  <c r="AA1314" i="38"/>
  <c r="Y1315" i="38"/>
  <c r="Z1315" i="38"/>
  <c r="AA1315" i="38"/>
  <c r="Y1316" i="38"/>
  <c r="Z1316" i="38"/>
  <c r="AA1316" i="38"/>
  <c r="Y1317" i="38"/>
  <c r="Z1317" i="38"/>
  <c r="AA1317" i="38"/>
  <c r="Y1318" i="38"/>
  <c r="Z1318" i="38"/>
  <c r="AA1318" i="38"/>
  <c r="Y1319" i="38"/>
  <c r="Z1319" i="38"/>
  <c r="AA1319" i="38"/>
  <c r="Y1320" i="38"/>
  <c r="Z1320" i="38"/>
  <c r="AA1320" i="38"/>
  <c r="Y1321" i="38"/>
  <c r="Z1321" i="38"/>
  <c r="AA1321" i="38"/>
  <c r="Y1322" i="38"/>
  <c r="Z1322" i="38"/>
  <c r="AA1322" i="38"/>
  <c r="Y1323" i="38"/>
  <c r="Z1323" i="38"/>
  <c r="AA1323" i="38"/>
  <c r="Y1324" i="38"/>
  <c r="Z1324" i="38"/>
  <c r="AA1324" i="38"/>
  <c r="Y1325" i="38"/>
  <c r="Z1325" i="38"/>
  <c r="AA1325" i="38"/>
  <c r="Y1326" i="38"/>
  <c r="Z1326" i="38"/>
  <c r="AA1326" i="38"/>
  <c r="Y1327" i="38"/>
  <c r="Z1327" i="38"/>
  <c r="AA1327" i="38"/>
  <c r="Y1328" i="38"/>
  <c r="Z1328" i="38"/>
  <c r="AA1328" i="38"/>
  <c r="Y1329" i="38"/>
  <c r="Z1329" i="38"/>
  <c r="AA1329" i="38"/>
  <c r="Y1330" i="38"/>
  <c r="Z1330" i="38"/>
  <c r="AA1330" i="38"/>
  <c r="Y1331" i="38"/>
  <c r="Z1331" i="38"/>
  <c r="AA1331" i="38"/>
  <c r="Y1332" i="38"/>
  <c r="Z1332" i="38"/>
  <c r="AA1332" i="38"/>
  <c r="Y1333" i="38"/>
  <c r="Z1333" i="38"/>
  <c r="AA1333" i="38"/>
  <c r="Y1334" i="38"/>
  <c r="Z1334" i="38"/>
  <c r="AA1334" i="38"/>
  <c r="Y1335" i="38"/>
  <c r="Z1335" i="38"/>
  <c r="AA1335" i="38"/>
  <c r="Y1336" i="38"/>
  <c r="Z1336" i="38"/>
  <c r="AA1336" i="38"/>
  <c r="Y1337" i="38"/>
  <c r="Z1337" i="38"/>
  <c r="AA1337" i="38"/>
  <c r="Y1338" i="38"/>
  <c r="Z1338" i="38"/>
  <c r="AA1338" i="38"/>
  <c r="Y1339" i="38"/>
  <c r="Z1339" i="38"/>
  <c r="AA1339" i="38"/>
  <c r="Y1340" i="38"/>
  <c r="Z1340" i="38"/>
  <c r="AA1340" i="38"/>
  <c r="Y1341" i="38"/>
  <c r="Z1341" i="38"/>
  <c r="AA1341" i="38"/>
  <c r="Y1342" i="38"/>
  <c r="Z1342" i="38"/>
  <c r="AA1342" i="38"/>
  <c r="Y1343" i="38"/>
  <c r="Z1343" i="38"/>
  <c r="AA1343" i="38"/>
  <c r="Y1344" i="38"/>
  <c r="Z1344" i="38"/>
  <c r="AA1344" i="38"/>
  <c r="Y1345" i="38"/>
  <c r="Z1345" i="38"/>
  <c r="AA1345" i="38"/>
  <c r="Y1346" i="38"/>
  <c r="Z1346" i="38"/>
  <c r="AA1346" i="38"/>
  <c r="Y1347" i="38"/>
  <c r="Z1347" i="38"/>
  <c r="AA1347" i="38"/>
  <c r="Y1348" i="38"/>
  <c r="Z1348" i="38"/>
  <c r="AA1348" i="38"/>
  <c r="Y1349" i="38"/>
  <c r="Z1349" i="38"/>
  <c r="AA1349" i="38"/>
  <c r="Y1350" i="38"/>
  <c r="Z1350" i="38"/>
  <c r="AA1350" i="38"/>
  <c r="Y1351" i="38"/>
  <c r="Z1351" i="38"/>
  <c r="AA1351" i="38"/>
  <c r="Y1352" i="38"/>
  <c r="Z1352" i="38"/>
  <c r="AA1352" i="38"/>
  <c r="Y1353" i="38"/>
  <c r="Z1353" i="38"/>
  <c r="AA1353" i="38"/>
  <c r="Y1354" i="38"/>
  <c r="Z1354" i="38"/>
  <c r="AA1354" i="38"/>
  <c r="Y1355" i="38"/>
  <c r="Z1355" i="38"/>
  <c r="AA1355" i="38"/>
  <c r="Y1356" i="38"/>
  <c r="Z1356" i="38"/>
  <c r="AA1356" i="38"/>
  <c r="Y1357" i="38"/>
  <c r="Z1357" i="38"/>
  <c r="AA1357" i="38"/>
  <c r="Y1358" i="38"/>
  <c r="Z1358" i="38"/>
  <c r="AA1358" i="38"/>
  <c r="Y1359" i="38"/>
  <c r="Z1359" i="38"/>
  <c r="AA1359" i="38"/>
  <c r="Y1360" i="38"/>
  <c r="Z1360" i="38"/>
  <c r="AA1360" i="38"/>
  <c r="Y1361" i="38"/>
  <c r="Z1361" i="38"/>
  <c r="AA1361" i="38"/>
  <c r="Y1362" i="38"/>
  <c r="Z1362" i="38"/>
  <c r="AA1362" i="38"/>
  <c r="Y1363" i="38"/>
  <c r="Z1363" i="38"/>
  <c r="AA1363" i="38"/>
  <c r="Y1364" i="38"/>
  <c r="Z1364" i="38"/>
  <c r="AA1364" i="38"/>
  <c r="Y1365" i="38"/>
  <c r="Z1365" i="38"/>
  <c r="AA1365" i="38"/>
  <c r="Y1366" i="38"/>
  <c r="Z1366" i="38"/>
  <c r="AA1366" i="38"/>
  <c r="Y1367" i="38"/>
  <c r="Z1367" i="38"/>
  <c r="AA1367" i="38"/>
  <c r="Y1368" i="38"/>
  <c r="Z1368" i="38"/>
  <c r="AA1368" i="38"/>
  <c r="Y1369" i="38"/>
  <c r="Z1369" i="38"/>
  <c r="AA1369" i="38"/>
  <c r="Y1370" i="38"/>
  <c r="Z1370" i="38"/>
  <c r="AA1370" i="38"/>
  <c r="Y1371" i="38"/>
  <c r="Z1371" i="38"/>
  <c r="AA1371" i="38"/>
  <c r="Y1372" i="38"/>
  <c r="Z1372" i="38"/>
  <c r="AA1372" i="38"/>
  <c r="Y1373" i="38"/>
  <c r="Z1373" i="38"/>
  <c r="AA1373" i="38"/>
  <c r="Y1374" i="38"/>
  <c r="Z1374" i="38"/>
  <c r="AA1374" i="38"/>
  <c r="Y1375" i="38"/>
  <c r="Z1375" i="38"/>
  <c r="AA1375" i="38"/>
  <c r="Y1376" i="38"/>
  <c r="Z1376" i="38"/>
  <c r="AA1376" i="38"/>
  <c r="Y1377" i="38"/>
  <c r="Z1377" i="38"/>
  <c r="AA1377" i="38"/>
  <c r="Y1378" i="38"/>
  <c r="Z1378" i="38"/>
  <c r="AA1378" i="38"/>
  <c r="Y1379" i="38"/>
  <c r="Z1379" i="38"/>
  <c r="AA1379" i="38"/>
  <c r="Y1380" i="38"/>
  <c r="Z1380" i="38"/>
  <c r="AA1380" i="38"/>
  <c r="Y1381" i="38"/>
  <c r="Z1381" i="38"/>
  <c r="AA1381" i="38"/>
  <c r="Y1382" i="38"/>
  <c r="Z1382" i="38"/>
  <c r="AA1382" i="38"/>
  <c r="Y1383" i="38"/>
  <c r="Z1383" i="38"/>
  <c r="AA1383" i="38"/>
  <c r="Y1384" i="38"/>
  <c r="Z1384" i="38"/>
  <c r="AA1384" i="38"/>
  <c r="Y1385" i="38"/>
  <c r="Z1385" i="38"/>
  <c r="AA1385" i="38"/>
  <c r="Y1386" i="38"/>
  <c r="Z1386" i="38"/>
  <c r="AA1386" i="38"/>
  <c r="Y1387" i="38"/>
  <c r="Z1387" i="38"/>
  <c r="AA1387" i="38"/>
  <c r="Y1388" i="38"/>
  <c r="Z1388" i="38"/>
  <c r="AA1388" i="38"/>
  <c r="Y1389" i="38"/>
  <c r="Z1389" i="38"/>
  <c r="AA1389" i="38"/>
  <c r="Y1390" i="38"/>
  <c r="Z1390" i="38"/>
  <c r="AA1390" i="38"/>
  <c r="Y1391" i="38"/>
  <c r="Z1391" i="38"/>
  <c r="AA1391" i="38"/>
  <c r="Y1392" i="38"/>
  <c r="Z1392" i="38"/>
  <c r="AA1392" i="38"/>
  <c r="Y1393" i="38"/>
  <c r="Z1393" i="38"/>
  <c r="AA1393" i="38"/>
  <c r="Y1394" i="38"/>
  <c r="Z1394" i="38"/>
  <c r="AA1394" i="38"/>
  <c r="Y1395" i="38"/>
  <c r="Z1395" i="38"/>
  <c r="AA1395" i="38"/>
  <c r="Y1396" i="38"/>
  <c r="Z1396" i="38"/>
  <c r="AA1396" i="38"/>
  <c r="Y1397" i="38"/>
  <c r="Z1397" i="38"/>
  <c r="AA1397" i="38"/>
  <c r="Y1398" i="38"/>
  <c r="Z1398" i="38"/>
  <c r="AA1398" i="38"/>
  <c r="Y1399" i="38"/>
  <c r="Z1399" i="38"/>
  <c r="AA1399" i="38"/>
  <c r="Y1400" i="38"/>
  <c r="Z1400" i="38"/>
  <c r="AA1400" i="38"/>
  <c r="Y1401" i="38"/>
  <c r="Z1401" i="38"/>
  <c r="AA1401" i="38"/>
  <c r="Y1402" i="38"/>
  <c r="Z1402" i="38"/>
  <c r="AA1402" i="38"/>
  <c r="Y1403" i="38"/>
  <c r="Z1403" i="38"/>
  <c r="AA1403" i="38"/>
  <c r="Y1404" i="38"/>
  <c r="Z1404" i="38"/>
  <c r="AA1404" i="38"/>
  <c r="Y1405" i="38"/>
  <c r="Z1405" i="38"/>
  <c r="AA1405" i="38"/>
  <c r="Y1406" i="38"/>
  <c r="Z1406" i="38"/>
  <c r="AA1406" i="38"/>
  <c r="Y1407" i="38"/>
  <c r="Z1407" i="38"/>
  <c r="AA1407" i="38"/>
  <c r="Y1408" i="38"/>
  <c r="Z1408" i="38"/>
  <c r="AA1408" i="38"/>
  <c r="Y1409" i="38"/>
  <c r="Z1409" i="38"/>
  <c r="AA1409" i="38"/>
  <c r="Y1410" i="38"/>
  <c r="Z1410" i="38"/>
  <c r="AA1410" i="38"/>
  <c r="Y1411" i="38"/>
  <c r="Z1411" i="38"/>
  <c r="AA1411" i="38"/>
  <c r="Y1412" i="38"/>
  <c r="Z1412" i="38"/>
  <c r="AA1412" i="38"/>
  <c r="Y1413" i="38"/>
  <c r="Z1413" i="38"/>
  <c r="AA1413" i="38"/>
  <c r="Y1414" i="38"/>
  <c r="Z1414" i="38"/>
  <c r="AA1414" i="38"/>
  <c r="Y1415" i="38"/>
  <c r="Z1415" i="38"/>
  <c r="AA1415" i="38"/>
  <c r="Y1416" i="38"/>
  <c r="Z1416" i="38"/>
  <c r="AA1416" i="38"/>
  <c r="Y1417" i="38"/>
  <c r="Z1417" i="38"/>
  <c r="AA1417" i="38"/>
  <c r="Y1418" i="38"/>
  <c r="Z1418" i="38"/>
  <c r="AA1418" i="38"/>
  <c r="Y1419" i="38"/>
  <c r="Z1419" i="38"/>
  <c r="AA1419" i="38"/>
  <c r="Y1420" i="38"/>
  <c r="Z1420" i="38"/>
  <c r="AA1420" i="38"/>
  <c r="Y1421" i="38"/>
  <c r="Z1421" i="38"/>
  <c r="AA1421" i="38"/>
  <c r="Y1422" i="38"/>
  <c r="Z1422" i="38"/>
  <c r="AA1422" i="38"/>
  <c r="Y1423" i="38"/>
  <c r="Z1423" i="38"/>
  <c r="AA1423" i="38"/>
  <c r="Y1424" i="38"/>
  <c r="Z1424" i="38"/>
  <c r="AA1424" i="38"/>
  <c r="Y1425" i="38"/>
  <c r="Z1425" i="38"/>
  <c r="AA1425" i="38"/>
  <c r="Y1426" i="38"/>
  <c r="Z1426" i="38"/>
  <c r="AA1426" i="38"/>
  <c r="Y1427" i="38"/>
  <c r="Z1427" i="38"/>
  <c r="AA1427" i="38"/>
  <c r="Y1428" i="38"/>
  <c r="Z1428" i="38"/>
  <c r="AA1428" i="38"/>
  <c r="Y1429" i="38"/>
  <c r="Z1429" i="38"/>
  <c r="AA1429" i="38"/>
  <c r="Y1430" i="38"/>
  <c r="Z1430" i="38"/>
  <c r="AA1430" i="38"/>
  <c r="Y1431" i="38"/>
  <c r="Z1431" i="38"/>
  <c r="AA1431" i="38"/>
  <c r="Y1432" i="38"/>
  <c r="Z1432" i="38"/>
  <c r="AA1432" i="38"/>
  <c r="Y1433" i="38"/>
  <c r="Z1433" i="38"/>
  <c r="AA1433" i="38"/>
  <c r="Y1434" i="38"/>
  <c r="Z1434" i="38"/>
  <c r="AA1434" i="38"/>
  <c r="Y1435" i="38"/>
  <c r="Z1435" i="38"/>
  <c r="AA1435" i="38"/>
  <c r="Y1436" i="38"/>
  <c r="Z1436" i="38"/>
  <c r="AA1436" i="38"/>
  <c r="Y1437" i="38"/>
  <c r="Z1437" i="38"/>
  <c r="AA1437" i="38"/>
  <c r="Y1438" i="38"/>
  <c r="Z1438" i="38"/>
  <c r="AA1438" i="38"/>
  <c r="Y1439" i="38"/>
  <c r="Z1439" i="38"/>
  <c r="AA1439" i="38"/>
  <c r="Y1440" i="38"/>
  <c r="Z1440" i="38"/>
  <c r="AA1440" i="38"/>
  <c r="Y1441" i="38"/>
  <c r="Z1441" i="38"/>
  <c r="AA1441" i="38"/>
  <c r="Y1442" i="38"/>
  <c r="Z1442" i="38"/>
  <c r="AA1442" i="38"/>
  <c r="Y1443" i="38"/>
  <c r="Z1443" i="38"/>
  <c r="AA1443" i="38"/>
  <c r="Y1444" i="38"/>
  <c r="Z1444" i="38"/>
  <c r="AA1444" i="38"/>
  <c r="Y1445" i="38"/>
  <c r="Z1445" i="38"/>
  <c r="AA1445" i="38"/>
  <c r="Y1446" i="38"/>
  <c r="Z1446" i="38"/>
  <c r="AA1446" i="38"/>
  <c r="Y1447" i="38"/>
  <c r="Z1447" i="38"/>
  <c r="AA1447" i="38"/>
  <c r="Y1448" i="38"/>
  <c r="Z1448" i="38"/>
  <c r="AA1448" i="38"/>
  <c r="Y1449" i="38"/>
  <c r="Z1449" i="38"/>
  <c r="AA1449" i="38"/>
  <c r="Y1450" i="38"/>
  <c r="Z1450" i="38"/>
  <c r="AA1450" i="38"/>
  <c r="Y1451" i="38"/>
  <c r="Z1451" i="38"/>
  <c r="AA1451" i="38"/>
  <c r="Y1452" i="38"/>
  <c r="Z1452" i="38"/>
  <c r="AA1452" i="38"/>
  <c r="Y1453" i="38"/>
  <c r="Z1453" i="38"/>
  <c r="AA1453" i="38"/>
  <c r="Y1454" i="38"/>
  <c r="Z1454" i="38"/>
  <c r="AA1454" i="38"/>
  <c r="Y1455" i="38"/>
  <c r="Z1455" i="38"/>
  <c r="AA1455" i="38"/>
  <c r="Y1456" i="38"/>
  <c r="Z1456" i="38"/>
  <c r="AA1456" i="38"/>
  <c r="Y1457" i="38"/>
  <c r="Z1457" i="38"/>
  <c r="AA1457" i="38"/>
  <c r="Y1458" i="38"/>
  <c r="Z1458" i="38"/>
  <c r="AA1458" i="38"/>
  <c r="Y1459" i="38"/>
  <c r="Z1459" i="38"/>
  <c r="AA1459" i="38"/>
  <c r="Y1460" i="38"/>
  <c r="Z1460" i="38"/>
  <c r="AA1460" i="38"/>
  <c r="Y1461" i="38"/>
  <c r="Z1461" i="38"/>
  <c r="AA1461" i="38"/>
  <c r="Y1462" i="38"/>
  <c r="Z1462" i="38"/>
  <c r="AA1462" i="38"/>
  <c r="Y1463" i="38"/>
  <c r="Z1463" i="38"/>
  <c r="AA1463" i="38"/>
  <c r="Y1464" i="38"/>
  <c r="Z1464" i="38"/>
  <c r="AA1464" i="38"/>
  <c r="Y1465" i="38"/>
  <c r="Z1465" i="38"/>
  <c r="AA1465" i="38"/>
  <c r="Y1466" i="38"/>
  <c r="Z1466" i="38"/>
  <c r="AA1466" i="38"/>
  <c r="Y1467" i="38"/>
  <c r="Z1467" i="38"/>
  <c r="AA1467" i="38"/>
  <c r="Y1468" i="38"/>
  <c r="Z1468" i="38"/>
  <c r="AA1468" i="38"/>
  <c r="Y1469" i="38"/>
  <c r="Z1469" i="38"/>
  <c r="AA1469" i="38"/>
  <c r="Y1470" i="38"/>
  <c r="Z1470" i="38"/>
  <c r="AA1470" i="38"/>
  <c r="Y1471" i="38"/>
  <c r="Z1471" i="38"/>
  <c r="AA1471" i="38"/>
  <c r="Y1472" i="38"/>
  <c r="Z1472" i="38"/>
  <c r="AA1472" i="38"/>
  <c r="Y1473" i="38"/>
  <c r="Z1473" i="38"/>
  <c r="AA1473" i="38"/>
  <c r="Y1474" i="38"/>
  <c r="Z1474" i="38"/>
  <c r="AA1474" i="38"/>
  <c r="Y1475" i="38"/>
  <c r="Z1475" i="38"/>
  <c r="AA1475" i="38"/>
  <c r="Y1476" i="38"/>
  <c r="Z1476" i="38"/>
  <c r="AA1476" i="38"/>
  <c r="Y1477" i="38"/>
  <c r="Z1477" i="38"/>
  <c r="AA1477" i="38"/>
  <c r="Y1478" i="38"/>
  <c r="Z1478" i="38"/>
  <c r="AA1478" i="38"/>
  <c r="Y1479" i="38"/>
  <c r="Z1479" i="38"/>
  <c r="AA1479" i="38"/>
  <c r="Y1480" i="38"/>
  <c r="Z1480" i="38"/>
  <c r="AA1480" i="38"/>
  <c r="Y1481" i="38"/>
  <c r="Z1481" i="38"/>
  <c r="AA1481" i="38"/>
  <c r="Y1482" i="38"/>
  <c r="Z1482" i="38"/>
  <c r="AA1482" i="38"/>
  <c r="Y1483" i="38"/>
  <c r="Z1483" i="38"/>
  <c r="AA1483" i="38"/>
  <c r="Y1484" i="38"/>
  <c r="Z1484" i="38"/>
  <c r="AA1484" i="38"/>
  <c r="Y1485" i="38"/>
  <c r="Z1485" i="38"/>
  <c r="AA1485" i="38"/>
  <c r="Y1486" i="38"/>
  <c r="Z1486" i="38"/>
  <c r="AA1486" i="38"/>
  <c r="Y1487" i="38"/>
  <c r="Z1487" i="38"/>
  <c r="AA1487" i="38"/>
  <c r="Y1488" i="38"/>
  <c r="Z1488" i="38"/>
  <c r="AA1488" i="38"/>
  <c r="Y1489" i="38"/>
  <c r="Z1489" i="38"/>
  <c r="AA1489" i="38"/>
  <c r="Y1490" i="38"/>
  <c r="Z1490" i="38"/>
  <c r="AA1490" i="38"/>
  <c r="Y1491" i="38"/>
  <c r="Z1491" i="38"/>
  <c r="AA1491" i="38"/>
  <c r="Y1492" i="38"/>
  <c r="Z1492" i="38"/>
  <c r="AA1492" i="38"/>
  <c r="Y1493" i="38"/>
  <c r="Z1493" i="38"/>
  <c r="AA1493" i="38"/>
  <c r="Y1494" i="38"/>
  <c r="Z1494" i="38"/>
  <c r="AA1494" i="38"/>
  <c r="Y1495" i="38"/>
  <c r="Z1495" i="38"/>
  <c r="AA1495" i="38"/>
  <c r="Y1496" i="38"/>
  <c r="Z1496" i="38"/>
  <c r="AA1496" i="38"/>
  <c r="Y1497" i="38"/>
  <c r="Z1497" i="38"/>
  <c r="AA1497" i="38"/>
  <c r="Y1498" i="38"/>
  <c r="Z1498" i="38"/>
  <c r="AA1498" i="38"/>
  <c r="Y1499" i="38"/>
  <c r="Z1499" i="38"/>
  <c r="AA1499" i="38"/>
  <c r="Y1500" i="38"/>
  <c r="Z1500" i="38"/>
  <c r="AA1500" i="38"/>
  <c r="Y1501" i="38"/>
  <c r="Z1501" i="38"/>
  <c r="AA1501" i="38"/>
  <c r="Y1502" i="38"/>
  <c r="Z1502" i="38"/>
  <c r="AA1502" i="38"/>
  <c r="Y1503" i="38"/>
  <c r="Z1503" i="38"/>
  <c r="AA1503" i="38"/>
  <c r="Y1504" i="38"/>
  <c r="Z1504" i="38"/>
  <c r="AA1504" i="38"/>
  <c r="Y1505" i="38"/>
  <c r="Z1505" i="38"/>
  <c r="AA1505" i="38"/>
  <c r="Y1506" i="38"/>
  <c r="Z1506" i="38"/>
  <c r="AA1506" i="38"/>
  <c r="Y1507" i="38"/>
  <c r="Z1507" i="38"/>
  <c r="AA1507" i="38"/>
  <c r="Y1508" i="38"/>
  <c r="Z1508" i="38"/>
  <c r="AA1508" i="38"/>
  <c r="Y1509" i="38"/>
  <c r="Z1509" i="38"/>
  <c r="AA1509" i="38"/>
  <c r="Y1510" i="38"/>
  <c r="Z1510" i="38"/>
  <c r="AA1510" i="38"/>
  <c r="Y1511" i="38"/>
  <c r="Z1511" i="38"/>
  <c r="AA1511" i="38"/>
  <c r="Y1512" i="38"/>
  <c r="Z1512" i="38"/>
  <c r="AA1512" i="38"/>
  <c r="Y1513" i="38"/>
  <c r="Z1513" i="38"/>
  <c r="AA1513" i="38"/>
  <c r="Y1514" i="38"/>
  <c r="Z1514" i="38"/>
  <c r="AA1514" i="38"/>
  <c r="Y1515" i="38"/>
  <c r="Z1515" i="38"/>
  <c r="AA1515" i="38"/>
  <c r="Y1516" i="38"/>
  <c r="Z1516" i="38"/>
  <c r="AA1516" i="38"/>
  <c r="Y1517" i="38"/>
  <c r="Z1517" i="38"/>
  <c r="AA1517" i="38"/>
  <c r="Y1518" i="38"/>
  <c r="Z1518" i="38"/>
  <c r="AA1518" i="38"/>
  <c r="Y1519" i="38"/>
  <c r="Z1519" i="38"/>
  <c r="AA1519" i="38"/>
  <c r="Y1520" i="38"/>
  <c r="Z1520" i="38"/>
  <c r="AA1520" i="38"/>
  <c r="Y1521" i="38"/>
  <c r="Z1521" i="38"/>
  <c r="AA1521" i="38"/>
  <c r="Y1522" i="38"/>
  <c r="Z1522" i="38"/>
  <c r="AA1522" i="38"/>
  <c r="Y1523" i="38"/>
  <c r="Z1523" i="38"/>
  <c r="AA1523" i="38"/>
  <c r="Y1524" i="38"/>
  <c r="Z1524" i="38"/>
  <c r="AA1524" i="38"/>
  <c r="Y1525" i="38"/>
  <c r="Z1525" i="38"/>
  <c r="AA1525" i="38"/>
  <c r="Y1526" i="38"/>
  <c r="Z1526" i="38"/>
  <c r="AA1526" i="38"/>
  <c r="Y1527" i="38"/>
  <c r="Z1527" i="38"/>
  <c r="AA1527" i="38"/>
  <c r="Y1528" i="38"/>
  <c r="Z1528" i="38"/>
  <c r="AA1528" i="38"/>
  <c r="Y1529" i="38"/>
  <c r="Z1529" i="38"/>
  <c r="AA1529" i="38"/>
  <c r="Y1530" i="38"/>
  <c r="Z1530" i="38"/>
  <c r="AA1530" i="38"/>
  <c r="Y1531" i="38"/>
  <c r="Z1531" i="38"/>
  <c r="AA1531" i="38"/>
  <c r="Y1532" i="38"/>
  <c r="Z1532" i="38"/>
  <c r="AA1532" i="38"/>
  <c r="Y1533" i="38"/>
  <c r="Z1533" i="38"/>
  <c r="AA1533" i="38"/>
  <c r="Y1534" i="38"/>
  <c r="Z1534" i="38"/>
  <c r="AA1534" i="38"/>
  <c r="Y1535" i="38"/>
  <c r="Z1535" i="38"/>
  <c r="AA1535" i="38"/>
  <c r="Y1536" i="38"/>
  <c r="Z1536" i="38"/>
  <c r="AA1536" i="38"/>
  <c r="Y1537" i="38"/>
  <c r="Z1537" i="38"/>
  <c r="AA1537" i="38"/>
  <c r="Y1538" i="38"/>
  <c r="Z1538" i="38"/>
  <c r="AA1538" i="38"/>
  <c r="Y1539" i="38"/>
  <c r="Z1539" i="38"/>
  <c r="AA1539" i="38"/>
  <c r="Y1540" i="38"/>
  <c r="Z1540" i="38"/>
  <c r="AA1540" i="38"/>
  <c r="Y1541" i="38"/>
  <c r="Z1541" i="38"/>
  <c r="AA1541" i="38"/>
  <c r="Y1542" i="38"/>
  <c r="Z1542" i="38"/>
  <c r="AA1542" i="38"/>
  <c r="Y1543" i="38"/>
  <c r="Z1543" i="38"/>
  <c r="AA1543" i="38"/>
  <c r="Y1544" i="38"/>
  <c r="Z1544" i="38"/>
  <c r="AA1544" i="38"/>
  <c r="Y1545" i="38"/>
  <c r="Z1545" i="38"/>
  <c r="AA1545" i="38"/>
  <c r="Y1546" i="38"/>
  <c r="Z1546" i="38"/>
  <c r="AA1546" i="38"/>
  <c r="Y1547" i="38"/>
  <c r="Z1547" i="38"/>
  <c r="AA1547" i="38"/>
  <c r="Y1548" i="38"/>
  <c r="Z1548" i="38"/>
  <c r="AA1548" i="38"/>
  <c r="Y1549" i="38"/>
  <c r="Z1549" i="38"/>
  <c r="AA1549" i="38"/>
  <c r="Y1550" i="38"/>
  <c r="Z1550" i="38"/>
  <c r="AA1550" i="38"/>
  <c r="Y1551" i="38"/>
  <c r="Z1551" i="38"/>
  <c r="AA1551" i="38"/>
  <c r="Y1552" i="38"/>
  <c r="Z1552" i="38"/>
  <c r="AA1552" i="38"/>
  <c r="Y1553" i="38"/>
  <c r="Z1553" i="38"/>
  <c r="AA1553" i="38"/>
  <c r="Y1554" i="38"/>
  <c r="Z1554" i="38"/>
  <c r="AA1554" i="38"/>
  <c r="Y1555" i="38"/>
  <c r="Z1555" i="38"/>
  <c r="AA1555" i="38"/>
  <c r="Y1556" i="38"/>
  <c r="Z1556" i="38"/>
  <c r="AA1556" i="38"/>
  <c r="Y1557" i="38"/>
  <c r="Z1557" i="38"/>
  <c r="AA1557" i="38"/>
  <c r="Y1558" i="38"/>
  <c r="Z1558" i="38"/>
  <c r="AA1558" i="38"/>
  <c r="Y1559" i="38"/>
  <c r="Z1559" i="38"/>
  <c r="AA1559" i="38"/>
  <c r="Y1560" i="38"/>
  <c r="Z1560" i="38"/>
  <c r="AA1560" i="38"/>
  <c r="Y1561" i="38"/>
  <c r="Z1561" i="38"/>
  <c r="AA1561" i="38"/>
  <c r="Y1562" i="38"/>
  <c r="Z1562" i="38"/>
  <c r="AA1562" i="38"/>
  <c r="Y1563" i="38"/>
  <c r="Z1563" i="38"/>
  <c r="AA1563" i="38"/>
  <c r="Y1564" i="38"/>
  <c r="Z1564" i="38"/>
  <c r="AA1564" i="38"/>
  <c r="Y1565" i="38"/>
  <c r="Z1565" i="38"/>
  <c r="AA1565" i="38"/>
  <c r="Y1566" i="38"/>
  <c r="Z1566" i="38"/>
  <c r="AA1566" i="38"/>
  <c r="Y1567" i="38"/>
  <c r="Z1567" i="38"/>
  <c r="AA1567" i="38"/>
  <c r="Y1568" i="38"/>
  <c r="Z1568" i="38"/>
  <c r="AA1568" i="38"/>
  <c r="Y1569" i="38"/>
  <c r="Z1569" i="38"/>
  <c r="AA1569" i="38"/>
  <c r="Y1570" i="38"/>
  <c r="Z1570" i="38"/>
  <c r="AA1570" i="38"/>
  <c r="Y1571" i="38"/>
  <c r="Z1571" i="38"/>
  <c r="AA1571" i="38"/>
  <c r="Y1572" i="38"/>
  <c r="Z1572" i="38"/>
  <c r="AA1572" i="38"/>
  <c r="Y1573" i="38"/>
  <c r="Z1573" i="38"/>
  <c r="AA1573" i="38"/>
  <c r="Y1574" i="38"/>
  <c r="Z1574" i="38"/>
  <c r="AA1574" i="38"/>
  <c r="Y1575" i="38"/>
  <c r="Z1575" i="38"/>
  <c r="AA1575" i="38"/>
  <c r="Y1576" i="38"/>
  <c r="Z1576" i="38"/>
  <c r="AA1576" i="38"/>
  <c r="Y1577" i="38"/>
  <c r="Z1577" i="38"/>
  <c r="AA1577" i="38"/>
  <c r="Y1578" i="38"/>
  <c r="Z1578" i="38"/>
  <c r="AA1578" i="38"/>
  <c r="Y1579" i="38"/>
  <c r="Z1579" i="38"/>
  <c r="AA1579" i="38"/>
  <c r="Y1580" i="38"/>
  <c r="Z1580" i="38"/>
  <c r="AA1580" i="38"/>
  <c r="Y1581" i="38"/>
  <c r="Z1581" i="38"/>
  <c r="AA1581" i="38"/>
  <c r="Y1582" i="38"/>
  <c r="Z1582" i="38"/>
  <c r="AA1582" i="38"/>
  <c r="Y1583" i="38"/>
  <c r="Z1583" i="38"/>
  <c r="AA1583" i="38"/>
  <c r="Y1584" i="38"/>
  <c r="Z1584" i="38"/>
  <c r="AA1584" i="38"/>
  <c r="Z3" i="38"/>
  <c r="AA3" i="38"/>
  <c r="Y3" i="38"/>
  <c r="U4" i="38"/>
  <c r="U5" i="38"/>
  <c r="U6" i="38"/>
  <c r="U7" i="38"/>
  <c r="U8" i="38"/>
  <c r="U9" i="38"/>
  <c r="U10" i="38"/>
  <c r="U11" i="38"/>
  <c r="U12" i="38"/>
  <c r="U13" i="38"/>
  <c r="U14" i="38"/>
  <c r="U15" i="38"/>
  <c r="U16" i="38"/>
  <c r="U17" i="38"/>
  <c r="U18" i="38"/>
  <c r="U19" i="38"/>
  <c r="U20" i="38"/>
  <c r="U21" i="38"/>
  <c r="U22" i="38"/>
  <c r="U23" i="38"/>
  <c r="U24" i="38"/>
  <c r="U25" i="38"/>
  <c r="U26" i="38"/>
  <c r="U27" i="38"/>
  <c r="U28" i="38"/>
  <c r="U29" i="38"/>
  <c r="U30" i="38"/>
  <c r="U31" i="38"/>
  <c r="U32" i="38"/>
  <c r="U33" i="38"/>
  <c r="U34" i="38"/>
  <c r="U35" i="38"/>
  <c r="U36" i="38"/>
  <c r="U37" i="38"/>
  <c r="U38" i="38"/>
  <c r="U39" i="38"/>
  <c r="U40" i="38"/>
  <c r="U41" i="38"/>
  <c r="U42" i="38"/>
  <c r="U43" i="38"/>
  <c r="U44" i="38"/>
  <c r="U45" i="38"/>
  <c r="U46" i="38"/>
  <c r="U47" i="38"/>
  <c r="U48" i="38"/>
  <c r="U49" i="38"/>
  <c r="U50" i="38"/>
  <c r="U51" i="38"/>
  <c r="U52" i="38"/>
  <c r="U53" i="38"/>
  <c r="U54" i="38"/>
  <c r="U55" i="38"/>
  <c r="U56" i="38"/>
  <c r="U57" i="38"/>
  <c r="U58" i="38"/>
  <c r="U59" i="38"/>
  <c r="U60" i="38"/>
  <c r="U61" i="38"/>
  <c r="U62" i="38"/>
  <c r="U63" i="38"/>
  <c r="U64" i="38"/>
  <c r="U65" i="38"/>
  <c r="U66" i="38"/>
  <c r="U67" i="38"/>
  <c r="U68" i="38"/>
  <c r="U69" i="38"/>
  <c r="U70" i="38"/>
  <c r="U71" i="38"/>
  <c r="U72" i="38"/>
  <c r="U73" i="38"/>
  <c r="U74" i="38"/>
  <c r="U75" i="38"/>
  <c r="U76" i="38"/>
  <c r="U77" i="38"/>
  <c r="U78" i="38"/>
  <c r="U79" i="38"/>
  <c r="U80" i="38"/>
  <c r="U81" i="38"/>
  <c r="U82" i="38"/>
  <c r="U83" i="38"/>
  <c r="U84" i="38"/>
  <c r="U85" i="38"/>
  <c r="U86" i="38"/>
  <c r="U87" i="38"/>
  <c r="U88" i="38"/>
  <c r="U89" i="38"/>
  <c r="U90" i="38"/>
  <c r="U91" i="38"/>
  <c r="U92" i="38"/>
  <c r="U93" i="38"/>
  <c r="U94" i="38"/>
  <c r="U95" i="38"/>
  <c r="U96" i="38"/>
  <c r="U97" i="38"/>
  <c r="U98" i="38"/>
  <c r="U99" i="38"/>
  <c r="U100" i="38"/>
  <c r="U101" i="38"/>
  <c r="U102" i="38"/>
  <c r="U103" i="38"/>
  <c r="U104" i="38"/>
  <c r="U105" i="38"/>
  <c r="U106" i="38"/>
  <c r="U107" i="38"/>
  <c r="U108" i="38"/>
  <c r="U109" i="38"/>
  <c r="U110" i="38"/>
  <c r="U111" i="38"/>
  <c r="U112" i="38"/>
  <c r="U113" i="38"/>
  <c r="U114" i="38"/>
  <c r="U115" i="38"/>
  <c r="U116" i="38"/>
  <c r="U117" i="38"/>
  <c r="U118" i="38"/>
  <c r="U119" i="38"/>
  <c r="U120" i="38"/>
  <c r="U121" i="38"/>
  <c r="U122" i="38"/>
  <c r="U123" i="38"/>
  <c r="U124" i="38"/>
  <c r="U125" i="38"/>
  <c r="U126" i="38"/>
  <c r="U127" i="38"/>
  <c r="U128" i="38"/>
  <c r="U129" i="38"/>
  <c r="U130" i="38"/>
  <c r="U131" i="38"/>
  <c r="U132" i="38"/>
  <c r="U133" i="38"/>
  <c r="U134" i="38"/>
  <c r="U135" i="38"/>
  <c r="U136" i="38"/>
  <c r="U137" i="38"/>
  <c r="U138" i="38"/>
  <c r="U139" i="38"/>
  <c r="U140" i="38"/>
  <c r="U141" i="38"/>
  <c r="U142" i="38"/>
  <c r="U143" i="38"/>
  <c r="U144" i="38"/>
  <c r="U145" i="38"/>
  <c r="U146" i="38"/>
  <c r="U147" i="38"/>
  <c r="U148" i="38"/>
  <c r="U149" i="38"/>
  <c r="U150" i="38"/>
  <c r="U151" i="38"/>
  <c r="U152" i="38"/>
  <c r="U153" i="38"/>
  <c r="U154" i="38"/>
  <c r="U155" i="38"/>
  <c r="U156" i="38"/>
  <c r="U157" i="38"/>
  <c r="U158" i="38"/>
  <c r="U159" i="38"/>
  <c r="U160" i="38"/>
  <c r="U161" i="38"/>
  <c r="U162" i="38"/>
  <c r="U163" i="38"/>
  <c r="U164" i="38"/>
  <c r="U165" i="38"/>
  <c r="U166" i="38"/>
  <c r="U167" i="38"/>
  <c r="U168" i="38"/>
  <c r="U169" i="38"/>
  <c r="U170" i="38"/>
  <c r="U171" i="38"/>
  <c r="U172" i="38"/>
  <c r="U173" i="38"/>
  <c r="U174" i="38"/>
  <c r="U175" i="38"/>
  <c r="U176" i="38"/>
  <c r="U177" i="38"/>
  <c r="U178" i="38"/>
  <c r="U179" i="38"/>
  <c r="U180" i="38"/>
  <c r="U181" i="38"/>
  <c r="U182" i="38"/>
  <c r="U183" i="38"/>
  <c r="U184" i="38"/>
  <c r="U185" i="38"/>
  <c r="U186" i="38"/>
  <c r="U187" i="38"/>
  <c r="U188" i="38"/>
  <c r="U189" i="38"/>
  <c r="U190" i="38"/>
  <c r="U191" i="38"/>
  <c r="U192" i="38"/>
  <c r="U193" i="38"/>
  <c r="U194" i="38"/>
  <c r="U195" i="38"/>
  <c r="U196" i="38"/>
  <c r="U197" i="38"/>
  <c r="U198" i="38"/>
  <c r="U199" i="38"/>
  <c r="U200" i="38"/>
  <c r="U201" i="38"/>
  <c r="U202" i="38"/>
  <c r="U203" i="38"/>
  <c r="U204" i="38"/>
  <c r="U205" i="38"/>
  <c r="U206" i="38"/>
  <c r="U207" i="38"/>
  <c r="U208" i="38"/>
  <c r="U209" i="38"/>
  <c r="U210" i="38"/>
  <c r="U211" i="38"/>
  <c r="U212" i="38"/>
  <c r="U213" i="38"/>
  <c r="U214" i="38"/>
  <c r="U215" i="38"/>
  <c r="U216" i="38"/>
  <c r="U217" i="38"/>
  <c r="U218" i="38"/>
  <c r="U219" i="38"/>
  <c r="U220" i="38"/>
  <c r="U221" i="38"/>
  <c r="U222" i="38"/>
  <c r="U223" i="38"/>
  <c r="U224" i="38"/>
  <c r="U225" i="38"/>
  <c r="U226" i="38"/>
  <c r="U227" i="38"/>
  <c r="U228" i="38"/>
  <c r="U229" i="38"/>
  <c r="U230" i="38"/>
  <c r="U231" i="38"/>
  <c r="U232" i="38"/>
  <c r="U233" i="38"/>
  <c r="U234" i="38"/>
  <c r="U235" i="38"/>
  <c r="U236" i="38"/>
  <c r="U237" i="38"/>
  <c r="U238" i="38"/>
  <c r="U239" i="38"/>
  <c r="U240" i="38"/>
  <c r="U241" i="38"/>
  <c r="U242" i="38"/>
  <c r="U243" i="38"/>
  <c r="U244" i="38"/>
  <c r="U245" i="38"/>
  <c r="U246" i="38"/>
  <c r="U247" i="38"/>
  <c r="U248" i="38"/>
  <c r="U249" i="38"/>
  <c r="U250" i="38"/>
  <c r="U251" i="38"/>
  <c r="U252" i="38"/>
  <c r="U253" i="38"/>
  <c r="U254" i="38"/>
  <c r="U255" i="38"/>
  <c r="U256" i="38"/>
  <c r="U257" i="38"/>
  <c r="U258" i="38"/>
  <c r="U259" i="38"/>
  <c r="U260" i="38"/>
  <c r="U261" i="38"/>
  <c r="U262" i="38"/>
  <c r="U263" i="38"/>
  <c r="U264" i="38"/>
  <c r="U265" i="38"/>
  <c r="U266" i="38"/>
  <c r="U267" i="38"/>
  <c r="U268" i="38"/>
  <c r="U269" i="38"/>
  <c r="U270" i="38"/>
  <c r="U271" i="38"/>
  <c r="U272" i="38"/>
  <c r="U273" i="38"/>
  <c r="U274" i="38"/>
  <c r="U275" i="38"/>
  <c r="U276" i="38"/>
  <c r="U277" i="38"/>
  <c r="U278" i="38"/>
  <c r="U279" i="38"/>
  <c r="U280" i="38"/>
  <c r="U281" i="38"/>
  <c r="U282" i="38"/>
  <c r="U283" i="38"/>
  <c r="U284" i="38"/>
  <c r="U285" i="38"/>
  <c r="U286" i="38"/>
  <c r="U287" i="38"/>
  <c r="U288" i="38"/>
  <c r="U289" i="38"/>
  <c r="U290" i="38"/>
  <c r="U291" i="38"/>
  <c r="U292" i="38"/>
  <c r="U293" i="38"/>
  <c r="U294" i="38"/>
  <c r="U295" i="38"/>
  <c r="U296" i="38"/>
  <c r="U297" i="38"/>
  <c r="U298" i="38"/>
  <c r="U299" i="38"/>
  <c r="U300" i="38"/>
  <c r="U301" i="38"/>
  <c r="U302" i="38"/>
  <c r="U303" i="38"/>
  <c r="U304" i="38"/>
  <c r="U305" i="38"/>
  <c r="U306" i="38"/>
  <c r="U307" i="38"/>
  <c r="U308" i="38"/>
  <c r="U309" i="38"/>
  <c r="U310" i="38"/>
  <c r="U311" i="38"/>
  <c r="U312" i="38"/>
  <c r="U313" i="38"/>
  <c r="U314" i="38"/>
  <c r="U315" i="38"/>
  <c r="U316" i="38"/>
  <c r="U317" i="38"/>
  <c r="U318" i="38"/>
  <c r="U319" i="38"/>
  <c r="U320" i="38"/>
  <c r="U321" i="38"/>
  <c r="U322" i="38"/>
  <c r="U323" i="38"/>
  <c r="U324" i="38"/>
  <c r="U325" i="38"/>
  <c r="U326" i="38"/>
  <c r="U327" i="38"/>
  <c r="U328" i="38"/>
  <c r="U329" i="38"/>
  <c r="U330" i="38"/>
  <c r="U331" i="38"/>
  <c r="U332" i="38"/>
  <c r="U333" i="38"/>
  <c r="U334" i="38"/>
  <c r="U335" i="38"/>
  <c r="U336" i="38"/>
  <c r="U337" i="38"/>
  <c r="U338" i="38"/>
  <c r="U339" i="38"/>
  <c r="U340" i="38"/>
  <c r="U341" i="38"/>
  <c r="U342" i="38"/>
  <c r="U343" i="38"/>
  <c r="U344" i="38"/>
  <c r="U345" i="38"/>
  <c r="U346" i="38"/>
  <c r="U347" i="38"/>
  <c r="U348" i="38"/>
  <c r="U349" i="38"/>
  <c r="U350" i="38"/>
  <c r="U351" i="38"/>
  <c r="U352" i="38"/>
  <c r="U353" i="38"/>
  <c r="U354" i="38"/>
  <c r="U355" i="38"/>
  <c r="U356" i="38"/>
  <c r="U357" i="38"/>
  <c r="U358" i="38"/>
  <c r="U359" i="38"/>
  <c r="U360" i="38"/>
  <c r="U361" i="38"/>
  <c r="U362" i="38"/>
  <c r="U363" i="38"/>
  <c r="U364" i="38"/>
  <c r="U365" i="38"/>
  <c r="U366" i="38"/>
  <c r="U367" i="38"/>
  <c r="U368" i="38"/>
  <c r="U369" i="38"/>
  <c r="U370" i="38"/>
  <c r="U371" i="38"/>
  <c r="U372" i="38"/>
  <c r="U373" i="38"/>
  <c r="U374" i="38"/>
  <c r="U375" i="38"/>
  <c r="U376" i="38"/>
  <c r="U377" i="38"/>
  <c r="U378" i="38"/>
  <c r="U379" i="38"/>
  <c r="U380" i="38"/>
  <c r="U381" i="38"/>
  <c r="U382" i="38"/>
  <c r="U383" i="38"/>
  <c r="U384" i="38"/>
  <c r="U385" i="38"/>
  <c r="U386" i="38"/>
  <c r="U387" i="38"/>
  <c r="U388" i="38"/>
  <c r="U389" i="38"/>
  <c r="U390" i="38"/>
  <c r="U391" i="38"/>
  <c r="U392" i="38"/>
  <c r="U393" i="38"/>
  <c r="U394" i="38"/>
  <c r="U395" i="38"/>
  <c r="U396" i="38"/>
  <c r="U397" i="38"/>
  <c r="U398" i="38"/>
  <c r="U399" i="38"/>
  <c r="U400" i="38"/>
  <c r="U401" i="38"/>
  <c r="U402" i="38"/>
  <c r="U403" i="38"/>
  <c r="U404" i="38"/>
  <c r="U405" i="38"/>
  <c r="U406" i="38"/>
  <c r="U407" i="38"/>
  <c r="U408" i="38"/>
  <c r="U409" i="38"/>
  <c r="U410" i="38"/>
  <c r="U411" i="38"/>
  <c r="U412" i="38"/>
  <c r="U413" i="38"/>
  <c r="U414" i="38"/>
  <c r="U415" i="38"/>
  <c r="U416" i="38"/>
  <c r="U417" i="38"/>
  <c r="U418" i="38"/>
  <c r="U419" i="38"/>
  <c r="U420" i="38"/>
  <c r="U421" i="38"/>
  <c r="U422" i="38"/>
  <c r="U423" i="38"/>
  <c r="U424" i="38"/>
  <c r="U425" i="38"/>
  <c r="U426" i="38"/>
  <c r="U427" i="38"/>
  <c r="U428" i="38"/>
  <c r="U429" i="38"/>
  <c r="U430" i="38"/>
  <c r="U431" i="38"/>
  <c r="U432" i="38"/>
  <c r="U433" i="38"/>
  <c r="U434" i="38"/>
  <c r="U435" i="38"/>
  <c r="U436" i="38"/>
  <c r="U437" i="38"/>
  <c r="U438" i="38"/>
  <c r="U439" i="38"/>
  <c r="U440" i="38"/>
  <c r="U441" i="38"/>
  <c r="U442" i="38"/>
  <c r="U443" i="38"/>
  <c r="U444" i="38"/>
  <c r="U445" i="38"/>
  <c r="U446" i="38"/>
  <c r="U447" i="38"/>
  <c r="U448" i="38"/>
  <c r="U449" i="38"/>
  <c r="U450" i="38"/>
  <c r="U451" i="38"/>
  <c r="U452" i="38"/>
  <c r="U453" i="38"/>
  <c r="U454" i="38"/>
  <c r="U455" i="38"/>
  <c r="U456" i="38"/>
  <c r="U457" i="38"/>
  <c r="U458" i="38"/>
  <c r="U459" i="38"/>
  <c r="U460" i="38"/>
  <c r="U461" i="38"/>
  <c r="U462" i="38"/>
  <c r="U463" i="38"/>
  <c r="U464" i="38"/>
  <c r="U465" i="38"/>
  <c r="U466" i="38"/>
  <c r="U467" i="38"/>
  <c r="U468" i="38"/>
  <c r="U469" i="38"/>
  <c r="U470" i="38"/>
  <c r="U471" i="38"/>
  <c r="U472" i="38"/>
  <c r="U473" i="38"/>
  <c r="U474" i="38"/>
  <c r="U475" i="38"/>
  <c r="U476" i="38"/>
  <c r="U477" i="38"/>
  <c r="U478" i="38"/>
  <c r="U479" i="38"/>
  <c r="U480" i="38"/>
  <c r="U481" i="38"/>
  <c r="U482" i="38"/>
  <c r="U483" i="38"/>
  <c r="U484" i="38"/>
  <c r="U485" i="38"/>
  <c r="U486" i="38"/>
  <c r="U487" i="38"/>
  <c r="U488" i="38"/>
  <c r="U489" i="38"/>
  <c r="U490" i="38"/>
  <c r="U491" i="38"/>
  <c r="U492" i="38"/>
  <c r="U493" i="38"/>
  <c r="U494" i="38"/>
  <c r="U495" i="38"/>
  <c r="U496" i="38"/>
  <c r="U497" i="38"/>
  <c r="U498" i="38"/>
  <c r="U499" i="38"/>
  <c r="U500" i="38"/>
  <c r="U501" i="38"/>
  <c r="U502" i="38"/>
  <c r="U503" i="38"/>
  <c r="U504" i="38"/>
  <c r="U505" i="38"/>
  <c r="U506" i="38"/>
  <c r="U507" i="38"/>
  <c r="U508" i="38"/>
  <c r="U509" i="38"/>
  <c r="U510" i="38"/>
  <c r="U511" i="38"/>
  <c r="U512" i="38"/>
  <c r="U513" i="38"/>
  <c r="U514" i="38"/>
  <c r="U515" i="38"/>
  <c r="U516" i="38"/>
  <c r="U517" i="38"/>
  <c r="U518" i="38"/>
  <c r="U519" i="38"/>
  <c r="U520" i="38"/>
  <c r="U521" i="38"/>
  <c r="U522" i="38"/>
  <c r="U523" i="38"/>
  <c r="U524" i="38"/>
  <c r="U525" i="38"/>
  <c r="U526" i="38"/>
  <c r="U527" i="38"/>
  <c r="U528" i="38"/>
  <c r="U529" i="38"/>
  <c r="U530" i="38"/>
  <c r="U531" i="38"/>
  <c r="U532" i="38"/>
  <c r="U533" i="38"/>
  <c r="U534" i="38"/>
  <c r="U535" i="38"/>
  <c r="U536" i="38"/>
  <c r="U537" i="38"/>
  <c r="U538" i="38"/>
  <c r="U539" i="38"/>
  <c r="U540" i="38"/>
  <c r="U541" i="38"/>
  <c r="U542" i="38"/>
  <c r="U543" i="38"/>
  <c r="U544" i="38"/>
  <c r="U545" i="38"/>
  <c r="U546" i="38"/>
  <c r="U547" i="38"/>
  <c r="U548" i="38"/>
  <c r="U549" i="38"/>
  <c r="U550" i="38"/>
  <c r="U551" i="38"/>
  <c r="U552" i="38"/>
  <c r="U553" i="38"/>
  <c r="U554" i="38"/>
  <c r="U555" i="38"/>
  <c r="U556" i="38"/>
  <c r="U557" i="38"/>
  <c r="U558" i="38"/>
  <c r="U559" i="38"/>
  <c r="U560" i="38"/>
  <c r="U561" i="38"/>
  <c r="U562" i="38"/>
  <c r="U563" i="38"/>
  <c r="U564" i="38"/>
  <c r="U565" i="38"/>
  <c r="U566" i="38"/>
  <c r="U567" i="38"/>
  <c r="U568" i="38"/>
  <c r="U569" i="38"/>
  <c r="U570" i="38"/>
  <c r="U571" i="38"/>
  <c r="U572" i="38"/>
  <c r="U573" i="38"/>
  <c r="U574" i="38"/>
  <c r="U575" i="38"/>
  <c r="U576" i="38"/>
  <c r="U577" i="38"/>
  <c r="U578" i="38"/>
  <c r="U579" i="38"/>
  <c r="U580" i="38"/>
  <c r="U581" i="38"/>
  <c r="U582" i="38"/>
  <c r="U583" i="38"/>
  <c r="U584" i="38"/>
  <c r="U585" i="38"/>
  <c r="U586" i="38"/>
  <c r="U587" i="38"/>
  <c r="U588" i="38"/>
  <c r="U589" i="38"/>
  <c r="U590" i="38"/>
  <c r="U591" i="38"/>
  <c r="U592" i="38"/>
  <c r="U593" i="38"/>
  <c r="U594" i="38"/>
  <c r="U595" i="38"/>
  <c r="U596" i="38"/>
  <c r="U597" i="38"/>
  <c r="U598" i="38"/>
  <c r="U599" i="38"/>
  <c r="U600" i="38"/>
  <c r="U601" i="38"/>
  <c r="U602" i="38"/>
  <c r="U603" i="38"/>
  <c r="U604" i="38"/>
  <c r="U605" i="38"/>
  <c r="U606" i="38"/>
  <c r="U607" i="38"/>
  <c r="U608" i="38"/>
  <c r="U609" i="38"/>
  <c r="U610" i="38"/>
  <c r="U611" i="38"/>
  <c r="U612" i="38"/>
  <c r="U613" i="38"/>
  <c r="U614" i="38"/>
  <c r="U615" i="38"/>
  <c r="U616" i="38"/>
  <c r="U617" i="38"/>
  <c r="U618" i="38"/>
  <c r="U619" i="38"/>
  <c r="U620" i="38"/>
  <c r="U621" i="38"/>
  <c r="U622" i="38"/>
  <c r="U623" i="38"/>
  <c r="U624" i="38"/>
  <c r="U625" i="38"/>
  <c r="U626" i="38"/>
  <c r="U627" i="38"/>
  <c r="U628" i="38"/>
  <c r="U629" i="38"/>
  <c r="U630" i="38"/>
  <c r="U631" i="38"/>
  <c r="U632" i="38"/>
  <c r="U633" i="38"/>
  <c r="U634" i="38"/>
  <c r="U635" i="38"/>
  <c r="U636" i="38"/>
  <c r="U637" i="38"/>
  <c r="U638" i="38"/>
  <c r="U639" i="38"/>
  <c r="U640" i="38"/>
  <c r="U641" i="38"/>
  <c r="U642" i="38"/>
  <c r="U643" i="38"/>
  <c r="U644" i="38"/>
  <c r="U645" i="38"/>
  <c r="U646" i="38"/>
  <c r="U647" i="38"/>
  <c r="U648" i="38"/>
  <c r="U649" i="38"/>
  <c r="U650" i="38"/>
  <c r="U651" i="38"/>
  <c r="U652" i="38"/>
  <c r="U653" i="38"/>
  <c r="U654" i="38"/>
  <c r="U655" i="38"/>
  <c r="U656" i="38"/>
  <c r="U657" i="38"/>
  <c r="U658" i="38"/>
  <c r="U659" i="38"/>
  <c r="U660" i="38"/>
  <c r="U661" i="38"/>
  <c r="U662" i="38"/>
  <c r="U663" i="38"/>
  <c r="U664" i="38"/>
  <c r="U665" i="38"/>
  <c r="U666" i="38"/>
  <c r="U667" i="38"/>
  <c r="U668" i="38"/>
  <c r="U669" i="38"/>
  <c r="U670" i="38"/>
  <c r="U671" i="38"/>
  <c r="U672" i="38"/>
  <c r="U673" i="38"/>
  <c r="U674" i="38"/>
  <c r="U675" i="38"/>
  <c r="U676" i="38"/>
  <c r="U677" i="38"/>
  <c r="U678" i="38"/>
  <c r="U679" i="38"/>
  <c r="U680" i="38"/>
  <c r="U681" i="38"/>
  <c r="U682" i="38"/>
  <c r="U683" i="38"/>
  <c r="U684" i="38"/>
  <c r="U685" i="38"/>
  <c r="U686" i="38"/>
  <c r="U687" i="38"/>
  <c r="U688" i="38"/>
  <c r="U689" i="38"/>
  <c r="U690" i="38"/>
  <c r="U691" i="38"/>
  <c r="U692" i="38"/>
  <c r="U693" i="38"/>
  <c r="U694" i="38"/>
  <c r="U695" i="38"/>
  <c r="U696" i="38"/>
  <c r="U697" i="38"/>
  <c r="U698" i="38"/>
  <c r="U699" i="38"/>
  <c r="U700" i="38"/>
  <c r="U701" i="38"/>
  <c r="U702" i="38"/>
  <c r="U703" i="38"/>
  <c r="U704" i="38"/>
  <c r="U705" i="38"/>
  <c r="U706" i="38"/>
  <c r="U707" i="38"/>
  <c r="U708" i="38"/>
  <c r="U709" i="38"/>
  <c r="U710" i="38"/>
  <c r="U711" i="38"/>
  <c r="U712" i="38"/>
  <c r="U713" i="38"/>
  <c r="U714" i="38"/>
  <c r="U715" i="38"/>
  <c r="U716" i="38"/>
  <c r="U717" i="38"/>
  <c r="U718" i="38"/>
  <c r="U719" i="38"/>
  <c r="U720" i="38"/>
  <c r="U721" i="38"/>
  <c r="U722" i="38"/>
  <c r="U723" i="38"/>
  <c r="U724" i="38"/>
  <c r="U725" i="38"/>
  <c r="U726" i="38"/>
  <c r="U727" i="38"/>
  <c r="U728" i="38"/>
  <c r="U729" i="38"/>
  <c r="U730" i="38"/>
  <c r="U731" i="38"/>
  <c r="U732" i="38"/>
  <c r="U733" i="38"/>
  <c r="U734" i="38"/>
  <c r="U735" i="38"/>
  <c r="U736" i="38"/>
  <c r="U737" i="38"/>
  <c r="U738" i="38"/>
  <c r="U739" i="38"/>
  <c r="U740" i="38"/>
  <c r="U741" i="38"/>
  <c r="U742" i="38"/>
  <c r="U743" i="38"/>
  <c r="U744" i="38"/>
  <c r="U745" i="38"/>
  <c r="U746" i="38"/>
  <c r="U747" i="38"/>
  <c r="U748" i="38"/>
  <c r="U749" i="38"/>
  <c r="U750" i="38"/>
  <c r="U751" i="38"/>
  <c r="U752" i="38"/>
  <c r="U753" i="38"/>
  <c r="U754" i="38"/>
  <c r="U755" i="38"/>
  <c r="U756" i="38"/>
  <c r="U757" i="38"/>
  <c r="U758" i="38"/>
  <c r="U759" i="38"/>
  <c r="U760" i="38"/>
  <c r="U761" i="38"/>
  <c r="U762" i="38"/>
  <c r="U763" i="38"/>
  <c r="U764" i="38"/>
  <c r="U765" i="38"/>
  <c r="U766" i="38"/>
  <c r="U767" i="38"/>
  <c r="U768" i="38"/>
  <c r="U769" i="38"/>
  <c r="U770" i="38"/>
  <c r="U771" i="38"/>
  <c r="U772" i="38"/>
  <c r="U773" i="38"/>
  <c r="U774" i="38"/>
  <c r="U775" i="38"/>
  <c r="U776" i="38"/>
  <c r="U777" i="38"/>
  <c r="U778" i="38"/>
  <c r="U779" i="38"/>
  <c r="U780" i="38"/>
  <c r="U781" i="38"/>
  <c r="U782" i="38"/>
  <c r="U783" i="38"/>
  <c r="U784" i="38"/>
  <c r="U785" i="38"/>
  <c r="U786" i="38"/>
  <c r="U787" i="38"/>
  <c r="U788" i="38"/>
  <c r="U789" i="38"/>
  <c r="U790" i="38"/>
  <c r="U791" i="38"/>
  <c r="U792" i="38"/>
  <c r="U793" i="38"/>
  <c r="U794" i="38"/>
  <c r="U795" i="38"/>
  <c r="U796" i="38"/>
  <c r="U797" i="38"/>
  <c r="U798" i="38"/>
  <c r="U799" i="38"/>
  <c r="U800" i="38"/>
  <c r="U801" i="38"/>
  <c r="U802" i="38"/>
  <c r="U803" i="38"/>
  <c r="U804" i="38"/>
  <c r="U805" i="38"/>
  <c r="U806" i="38"/>
  <c r="U807" i="38"/>
  <c r="U808" i="38"/>
  <c r="U809" i="38"/>
  <c r="U810" i="38"/>
  <c r="U811" i="38"/>
  <c r="U812" i="38"/>
  <c r="U813" i="38"/>
  <c r="U814" i="38"/>
  <c r="U815" i="38"/>
  <c r="U816" i="38"/>
  <c r="U817" i="38"/>
  <c r="U818" i="38"/>
  <c r="U819" i="38"/>
  <c r="U820" i="38"/>
  <c r="U821" i="38"/>
  <c r="U822" i="38"/>
  <c r="U823" i="38"/>
  <c r="U824" i="38"/>
  <c r="U825" i="38"/>
  <c r="U826" i="38"/>
  <c r="U827" i="38"/>
  <c r="U828" i="38"/>
  <c r="U829" i="38"/>
  <c r="U830" i="38"/>
  <c r="U831" i="38"/>
  <c r="U832" i="38"/>
  <c r="U833" i="38"/>
  <c r="U834" i="38"/>
  <c r="U835" i="38"/>
  <c r="U836" i="38"/>
  <c r="U837" i="38"/>
  <c r="U838" i="38"/>
  <c r="U839" i="38"/>
  <c r="U840" i="38"/>
  <c r="U841" i="38"/>
  <c r="U842" i="38"/>
  <c r="U843" i="38"/>
  <c r="U844" i="38"/>
  <c r="U845" i="38"/>
  <c r="U846" i="38"/>
  <c r="U847" i="38"/>
  <c r="U848" i="38"/>
  <c r="U849" i="38"/>
  <c r="U850" i="38"/>
  <c r="U851" i="38"/>
  <c r="U852" i="38"/>
  <c r="U853" i="38"/>
  <c r="U854" i="38"/>
  <c r="U855" i="38"/>
  <c r="U856" i="38"/>
  <c r="U857" i="38"/>
  <c r="U858" i="38"/>
  <c r="U859" i="38"/>
  <c r="U860" i="38"/>
  <c r="U861" i="38"/>
  <c r="U862" i="38"/>
  <c r="U863" i="38"/>
  <c r="U864" i="38"/>
  <c r="U865" i="38"/>
  <c r="U866" i="38"/>
  <c r="U867" i="38"/>
  <c r="U868" i="38"/>
  <c r="U869" i="38"/>
  <c r="U870" i="38"/>
  <c r="U871" i="38"/>
  <c r="U872" i="38"/>
  <c r="U873" i="38"/>
  <c r="U874" i="38"/>
  <c r="U875" i="38"/>
  <c r="U876" i="38"/>
  <c r="U877" i="38"/>
  <c r="U878" i="38"/>
  <c r="U879" i="38"/>
  <c r="U880" i="38"/>
  <c r="U881" i="38"/>
  <c r="U882" i="38"/>
  <c r="U883" i="38"/>
  <c r="U884" i="38"/>
  <c r="U885" i="38"/>
  <c r="U886" i="38"/>
  <c r="U887" i="38"/>
  <c r="U888" i="38"/>
  <c r="U889" i="38"/>
  <c r="U890" i="38"/>
  <c r="U891" i="38"/>
  <c r="U892" i="38"/>
  <c r="U893" i="38"/>
  <c r="U894" i="38"/>
  <c r="U895" i="38"/>
  <c r="U896" i="38"/>
  <c r="U897" i="38"/>
  <c r="U898" i="38"/>
  <c r="U899" i="38"/>
  <c r="U900" i="38"/>
  <c r="U901" i="38"/>
  <c r="U902" i="38"/>
  <c r="U903" i="38"/>
  <c r="U904" i="38"/>
  <c r="U905" i="38"/>
  <c r="U906" i="38"/>
  <c r="U907" i="38"/>
  <c r="U908" i="38"/>
  <c r="U909" i="38"/>
  <c r="U910" i="38"/>
  <c r="U911" i="38"/>
  <c r="U912" i="38"/>
  <c r="U913" i="38"/>
  <c r="U914" i="38"/>
  <c r="U915" i="38"/>
  <c r="U916" i="38"/>
  <c r="U917" i="38"/>
  <c r="U918" i="38"/>
  <c r="U919" i="38"/>
  <c r="U920" i="38"/>
  <c r="U921" i="38"/>
  <c r="U922" i="38"/>
  <c r="U923" i="38"/>
  <c r="U924" i="38"/>
  <c r="U925" i="38"/>
  <c r="U926" i="38"/>
  <c r="U927" i="38"/>
  <c r="U928" i="38"/>
  <c r="U929" i="38"/>
  <c r="U930" i="38"/>
  <c r="U931" i="38"/>
  <c r="U932" i="38"/>
  <c r="U933" i="38"/>
  <c r="U934" i="38"/>
  <c r="U935" i="38"/>
  <c r="U936" i="38"/>
  <c r="U937" i="38"/>
  <c r="U938" i="38"/>
  <c r="U939" i="38"/>
  <c r="U940" i="38"/>
  <c r="U941" i="38"/>
  <c r="U942" i="38"/>
  <c r="U943" i="38"/>
  <c r="U944" i="38"/>
  <c r="U945" i="38"/>
  <c r="U946" i="38"/>
  <c r="U947" i="38"/>
  <c r="U948" i="38"/>
  <c r="U949" i="38"/>
  <c r="U950" i="38"/>
  <c r="U951" i="38"/>
  <c r="U952" i="38"/>
  <c r="U953" i="38"/>
  <c r="U954" i="38"/>
  <c r="U955" i="38"/>
  <c r="U956" i="38"/>
  <c r="U957" i="38"/>
  <c r="U958" i="38"/>
  <c r="U959" i="38"/>
  <c r="U960" i="38"/>
  <c r="U961" i="38"/>
  <c r="U962" i="38"/>
  <c r="U963" i="38"/>
  <c r="U964" i="38"/>
  <c r="U965" i="38"/>
  <c r="U966" i="38"/>
  <c r="U967" i="38"/>
  <c r="U968" i="38"/>
  <c r="U969" i="38"/>
  <c r="U970" i="38"/>
  <c r="U971" i="38"/>
  <c r="U972" i="38"/>
  <c r="U973" i="38"/>
  <c r="U974" i="38"/>
  <c r="U975" i="38"/>
  <c r="U976" i="38"/>
  <c r="U977" i="38"/>
  <c r="U978" i="38"/>
  <c r="U979" i="38"/>
  <c r="U980" i="38"/>
  <c r="U981" i="38"/>
  <c r="U982" i="38"/>
  <c r="U983" i="38"/>
  <c r="U984" i="38"/>
  <c r="U985" i="38"/>
  <c r="U986" i="38"/>
  <c r="U987" i="38"/>
  <c r="U988" i="38"/>
  <c r="U989" i="38"/>
  <c r="U990" i="38"/>
  <c r="U991" i="38"/>
  <c r="U992" i="38"/>
  <c r="U993" i="38"/>
  <c r="U994" i="38"/>
  <c r="U995" i="38"/>
  <c r="U996" i="38"/>
  <c r="U997" i="38"/>
  <c r="U998" i="38"/>
  <c r="U999" i="38"/>
  <c r="U1000" i="38"/>
  <c r="U1001" i="38"/>
  <c r="U1002" i="38"/>
  <c r="U1003" i="38"/>
  <c r="U1004" i="38"/>
  <c r="U1005" i="38"/>
  <c r="U1006" i="38"/>
  <c r="U1007" i="38"/>
  <c r="U1008" i="38"/>
  <c r="U1009" i="38"/>
  <c r="U1010" i="38"/>
  <c r="U1011" i="38"/>
  <c r="U1012" i="38"/>
  <c r="U1013" i="38"/>
  <c r="U1014" i="38"/>
  <c r="U1015" i="38"/>
  <c r="U1016" i="38"/>
  <c r="U1017" i="38"/>
  <c r="U1018" i="38"/>
  <c r="U1019" i="38"/>
  <c r="U1020" i="38"/>
  <c r="U1021" i="38"/>
  <c r="U1022" i="38"/>
  <c r="U1023" i="38"/>
  <c r="U1024" i="38"/>
  <c r="U1025" i="38"/>
  <c r="U1026" i="38"/>
  <c r="U1027" i="38"/>
  <c r="U1028" i="38"/>
  <c r="U1029" i="38"/>
  <c r="U1030" i="38"/>
  <c r="U1031" i="38"/>
  <c r="U1032" i="38"/>
  <c r="U1033" i="38"/>
  <c r="U1034" i="38"/>
  <c r="U1035" i="38"/>
  <c r="U1036" i="38"/>
  <c r="U1037" i="38"/>
  <c r="U1038" i="38"/>
  <c r="U1039" i="38"/>
  <c r="U1040" i="38"/>
  <c r="U1041" i="38"/>
  <c r="U1042" i="38"/>
  <c r="U1043" i="38"/>
  <c r="U1044" i="38"/>
  <c r="U1045" i="38"/>
  <c r="U1046" i="38"/>
  <c r="U1047" i="38"/>
  <c r="U1048" i="38"/>
  <c r="U1049" i="38"/>
  <c r="U1050" i="38"/>
  <c r="U1051" i="38"/>
  <c r="U1052" i="38"/>
  <c r="U1053" i="38"/>
  <c r="U1054" i="38"/>
  <c r="U1055" i="38"/>
  <c r="U1056" i="38"/>
  <c r="U1057" i="38"/>
  <c r="U1058" i="38"/>
  <c r="U1059" i="38"/>
  <c r="U1060" i="38"/>
  <c r="U1061" i="38"/>
  <c r="U1062" i="38"/>
  <c r="U1063" i="38"/>
  <c r="U1064" i="38"/>
  <c r="U1065" i="38"/>
  <c r="U1066" i="38"/>
  <c r="U1067" i="38"/>
  <c r="U1068" i="38"/>
  <c r="U1069" i="38"/>
  <c r="U1070" i="38"/>
  <c r="U1071" i="38"/>
  <c r="U1072" i="38"/>
  <c r="U1073" i="38"/>
  <c r="U1074" i="38"/>
  <c r="U1075" i="38"/>
  <c r="U1076" i="38"/>
  <c r="U1077" i="38"/>
  <c r="U1078" i="38"/>
  <c r="U1079" i="38"/>
  <c r="U1080" i="38"/>
  <c r="U1081" i="38"/>
  <c r="U1082" i="38"/>
  <c r="U1083" i="38"/>
  <c r="U1084" i="38"/>
  <c r="U1085" i="38"/>
  <c r="U1086" i="38"/>
  <c r="U1087" i="38"/>
  <c r="U1088" i="38"/>
  <c r="U1089" i="38"/>
  <c r="U1090" i="38"/>
  <c r="U1091" i="38"/>
  <c r="U1092" i="38"/>
  <c r="U1093" i="38"/>
  <c r="U1094" i="38"/>
  <c r="U1095" i="38"/>
  <c r="U1096" i="38"/>
  <c r="U1097" i="38"/>
  <c r="U1098" i="38"/>
  <c r="U1099" i="38"/>
  <c r="U1100" i="38"/>
  <c r="U1101" i="38"/>
  <c r="U1102" i="38"/>
  <c r="U1103" i="38"/>
  <c r="U1104" i="38"/>
  <c r="U1105" i="38"/>
  <c r="U1106" i="38"/>
  <c r="U1107" i="38"/>
  <c r="U1108" i="38"/>
  <c r="U1109" i="38"/>
  <c r="U1110" i="38"/>
  <c r="U1111" i="38"/>
  <c r="U1112" i="38"/>
  <c r="U1113" i="38"/>
  <c r="U1114" i="38"/>
  <c r="U1115" i="38"/>
  <c r="U1116" i="38"/>
  <c r="U1117" i="38"/>
  <c r="U1118" i="38"/>
  <c r="U1119" i="38"/>
  <c r="U1120" i="38"/>
  <c r="U1121" i="38"/>
  <c r="U1122" i="38"/>
  <c r="U1123" i="38"/>
  <c r="U1124" i="38"/>
  <c r="U1125" i="38"/>
  <c r="U1126" i="38"/>
  <c r="U1127" i="38"/>
  <c r="U1128" i="38"/>
  <c r="U1129" i="38"/>
  <c r="U1130" i="38"/>
  <c r="U1131" i="38"/>
  <c r="U1132" i="38"/>
  <c r="U1133" i="38"/>
  <c r="U1134" i="38"/>
  <c r="U1135" i="38"/>
  <c r="U1136" i="38"/>
  <c r="U1137" i="38"/>
  <c r="U1138" i="38"/>
  <c r="U1139" i="38"/>
  <c r="U1140" i="38"/>
  <c r="U1141" i="38"/>
  <c r="U1142" i="38"/>
  <c r="U1143" i="38"/>
  <c r="U1144" i="38"/>
  <c r="U1145" i="38"/>
  <c r="U1146" i="38"/>
  <c r="U1147" i="38"/>
  <c r="U1148" i="38"/>
  <c r="U1149" i="38"/>
  <c r="U1150" i="38"/>
  <c r="U1151" i="38"/>
  <c r="U1152" i="38"/>
  <c r="U1153" i="38"/>
  <c r="U1154" i="38"/>
  <c r="U1155" i="38"/>
  <c r="U1156" i="38"/>
  <c r="U1157" i="38"/>
  <c r="U1158" i="38"/>
  <c r="U1159" i="38"/>
  <c r="U1160" i="38"/>
  <c r="U1161" i="38"/>
  <c r="U1162" i="38"/>
  <c r="U1163" i="38"/>
  <c r="U1164" i="38"/>
  <c r="U1165" i="38"/>
  <c r="U1166" i="38"/>
  <c r="U1167" i="38"/>
  <c r="U1168" i="38"/>
  <c r="U1169" i="38"/>
  <c r="U1170" i="38"/>
  <c r="U1171" i="38"/>
  <c r="U1172" i="38"/>
  <c r="U1173" i="38"/>
  <c r="U1174" i="38"/>
  <c r="U1175" i="38"/>
  <c r="U1176" i="38"/>
  <c r="U1177" i="38"/>
  <c r="U1178" i="38"/>
  <c r="U1179" i="38"/>
  <c r="U1180" i="38"/>
  <c r="U1181" i="38"/>
  <c r="U1182" i="38"/>
  <c r="U1183" i="38"/>
  <c r="U1184" i="38"/>
  <c r="U1185" i="38"/>
  <c r="U1186" i="38"/>
  <c r="U1187" i="38"/>
  <c r="U1188" i="38"/>
  <c r="U1189" i="38"/>
  <c r="U1190" i="38"/>
  <c r="U1191" i="38"/>
  <c r="U1192" i="38"/>
  <c r="U1193" i="38"/>
  <c r="U1194" i="38"/>
  <c r="U1195" i="38"/>
  <c r="U1196" i="38"/>
  <c r="U1197" i="38"/>
  <c r="U1198" i="38"/>
  <c r="U1199" i="38"/>
  <c r="U1200" i="38"/>
  <c r="U1201" i="38"/>
  <c r="U1202" i="38"/>
  <c r="U1203" i="38"/>
  <c r="U1204" i="38"/>
  <c r="U1205" i="38"/>
  <c r="U1206" i="38"/>
  <c r="U1207" i="38"/>
  <c r="U1208" i="38"/>
  <c r="U1209" i="38"/>
  <c r="U1210" i="38"/>
  <c r="U1211" i="38"/>
  <c r="U1212" i="38"/>
  <c r="U1213" i="38"/>
  <c r="U1214" i="38"/>
  <c r="U1215" i="38"/>
  <c r="U1216" i="38"/>
  <c r="U1217" i="38"/>
  <c r="U1218" i="38"/>
  <c r="U1219" i="38"/>
  <c r="U1220" i="38"/>
  <c r="U1221" i="38"/>
  <c r="U1222" i="38"/>
  <c r="U1223" i="38"/>
  <c r="U1224" i="38"/>
  <c r="U1225" i="38"/>
  <c r="U1226" i="38"/>
  <c r="U1227" i="38"/>
  <c r="U1228" i="38"/>
  <c r="U1229" i="38"/>
  <c r="U1230" i="38"/>
  <c r="U1231" i="38"/>
  <c r="U1232" i="38"/>
  <c r="U1233" i="38"/>
  <c r="U1234" i="38"/>
  <c r="U1235" i="38"/>
  <c r="U1236" i="38"/>
  <c r="U1237" i="38"/>
  <c r="U1238" i="38"/>
  <c r="U1239" i="38"/>
  <c r="U1240" i="38"/>
  <c r="U1241" i="38"/>
  <c r="U1242" i="38"/>
  <c r="U1243" i="38"/>
  <c r="U1244" i="38"/>
  <c r="U1245" i="38"/>
  <c r="U1246" i="38"/>
  <c r="U1247" i="38"/>
  <c r="U1248" i="38"/>
  <c r="U1249" i="38"/>
  <c r="U1250" i="38"/>
  <c r="U1251" i="38"/>
  <c r="U1252" i="38"/>
  <c r="U1253" i="38"/>
  <c r="U1254" i="38"/>
  <c r="U1255" i="38"/>
  <c r="U1256" i="38"/>
  <c r="U1257" i="38"/>
  <c r="U1258" i="38"/>
  <c r="U1259" i="38"/>
  <c r="U1260" i="38"/>
  <c r="U1261" i="38"/>
  <c r="U1262" i="38"/>
  <c r="U1263" i="38"/>
  <c r="U1264" i="38"/>
  <c r="U1265" i="38"/>
  <c r="U1266" i="38"/>
  <c r="U1267" i="38"/>
  <c r="U1268" i="38"/>
  <c r="U1269" i="38"/>
  <c r="U1270" i="38"/>
  <c r="U1271" i="38"/>
  <c r="U1272" i="38"/>
  <c r="U1273" i="38"/>
  <c r="U1274" i="38"/>
  <c r="U1275" i="38"/>
  <c r="U1276" i="38"/>
  <c r="U1277" i="38"/>
  <c r="U1278" i="38"/>
  <c r="U1279" i="38"/>
  <c r="U1280" i="38"/>
  <c r="U1281" i="38"/>
  <c r="U1282" i="38"/>
  <c r="U1283" i="38"/>
  <c r="U1284" i="38"/>
  <c r="U1285" i="38"/>
  <c r="U1286" i="38"/>
  <c r="U1287" i="38"/>
  <c r="U1288" i="38"/>
  <c r="U1289" i="38"/>
  <c r="U1290" i="38"/>
  <c r="U1291" i="38"/>
  <c r="U1292" i="38"/>
  <c r="U1293" i="38"/>
  <c r="U1294" i="38"/>
  <c r="U1295" i="38"/>
  <c r="U1296" i="38"/>
  <c r="U1297" i="38"/>
  <c r="U1298" i="38"/>
  <c r="U1299" i="38"/>
  <c r="U1300" i="38"/>
  <c r="U1301" i="38"/>
  <c r="U1302" i="38"/>
  <c r="U1303" i="38"/>
  <c r="U1304" i="38"/>
  <c r="U1305" i="38"/>
  <c r="U1306" i="38"/>
  <c r="U1307" i="38"/>
  <c r="U1308" i="38"/>
  <c r="U1309" i="38"/>
  <c r="U1310" i="38"/>
  <c r="U1311" i="38"/>
  <c r="U1312" i="38"/>
  <c r="U1313" i="38"/>
  <c r="U1314" i="38"/>
  <c r="U1315" i="38"/>
  <c r="U1316" i="38"/>
  <c r="U1317" i="38"/>
  <c r="U1318" i="38"/>
  <c r="U1319" i="38"/>
  <c r="U1320" i="38"/>
  <c r="U1321" i="38"/>
  <c r="U1322" i="38"/>
  <c r="U1323" i="38"/>
  <c r="U1324" i="38"/>
  <c r="U1325" i="38"/>
  <c r="U1326" i="38"/>
  <c r="U1327" i="38"/>
  <c r="U1328" i="38"/>
  <c r="U1329" i="38"/>
  <c r="U1330" i="38"/>
  <c r="U1331" i="38"/>
  <c r="U1332" i="38"/>
  <c r="U1333" i="38"/>
  <c r="U1334" i="38"/>
  <c r="U1335" i="38"/>
  <c r="U1336" i="38"/>
  <c r="U1337" i="38"/>
  <c r="U1338" i="38"/>
  <c r="U1339" i="38"/>
  <c r="U1340" i="38"/>
  <c r="U1341" i="38"/>
  <c r="U1342" i="38"/>
  <c r="U1343" i="38"/>
  <c r="U1344" i="38"/>
  <c r="U1345" i="38"/>
  <c r="U1346" i="38"/>
  <c r="U1347" i="38"/>
  <c r="U1348" i="38"/>
  <c r="U1349" i="38"/>
  <c r="U1350" i="38"/>
  <c r="U1351" i="38"/>
  <c r="U1352" i="38"/>
  <c r="U1353" i="38"/>
  <c r="U1354" i="38"/>
  <c r="U1355" i="38"/>
  <c r="U1356" i="38"/>
  <c r="U1357" i="38"/>
  <c r="U1358" i="38"/>
  <c r="U1359" i="38"/>
  <c r="U1360" i="38"/>
  <c r="U1361" i="38"/>
  <c r="U1362" i="38"/>
  <c r="U1363" i="38"/>
  <c r="U1364" i="38"/>
  <c r="U1365" i="38"/>
  <c r="U1366" i="38"/>
  <c r="U1367" i="38"/>
  <c r="U1368" i="38"/>
  <c r="U1369" i="38"/>
  <c r="U1370" i="38"/>
  <c r="U1371" i="38"/>
  <c r="U1372" i="38"/>
  <c r="U1373" i="38"/>
  <c r="U1374" i="38"/>
  <c r="U1375" i="38"/>
  <c r="U1376" i="38"/>
  <c r="U1377" i="38"/>
  <c r="U1378" i="38"/>
  <c r="U1379" i="38"/>
  <c r="U1380" i="38"/>
  <c r="U1381" i="38"/>
  <c r="U1382" i="38"/>
  <c r="U1383" i="38"/>
  <c r="U1384" i="38"/>
  <c r="U1385" i="38"/>
  <c r="U1386" i="38"/>
  <c r="U1387" i="38"/>
  <c r="U1388" i="38"/>
  <c r="U1389" i="38"/>
  <c r="U1390" i="38"/>
  <c r="U1391" i="38"/>
  <c r="U1392" i="38"/>
  <c r="U1393" i="38"/>
  <c r="U1394" i="38"/>
  <c r="U1395" i="38"/>
  <c r="U1396" i="38"/>
  <c r="U1397" i="38"/>
  <c r="U1398" i="38"/>
  <c r="U1399" i="38"/>
  <c r="U1400" i="38"/>
  <c r="U1401" i="38"/>
  <c r="U1402" i="38"/>
  <c r="U1403" i="38"/>
  <c r="U1404" i="38"/>
  <c r="U1405" i="38"/>
  <c r="U1406" i="38"/>
  <c r="U1407" i="38"/>
  <c r="U1408" i="38"/>
  <c r="U1409" i="38"/>
  <c r="U1410" i="38"/>
  <c r="U1411" i="38"/>
  <c r="U1412" i="38"/>
  <c r="U1413" i="38"/>
  <c r="U1414" i="38"/>
  <c r="U1415" i="38"/>
  <c r="U1416" i="38"/>
  <c r="U1417" i="38"/>
  <c r="U1418" i="38"/>
  <c r="U1419" i="38"/>
  <c r="U1420" i="38"/>
  <c r="U1421" i="38"/>
  <c r="U1422" i="38"/>
  <c r="U1423" i="38"/>
  <c r="U1424" i="38"/>
  <c r="U1425" i="38"/>
  <c r="U1426" i="38"/>
  <c r="U1427" i="38"/>
  <c r="U1428" i="38"/>
  <c r="U1429" i="38"/>
  <c r="U1430" i="38"/>
  <c r="U1431" i="38"/>
  <c r="U1432" i="38"/>
  <c r="U1433" i="38"/>
  <c r="U1434" i="38"/>
  <c r="U1435" i="38"/>
  <c r="U1436" i="38"/>
  <c r="U1437" i="38"/>
  <c r="U1438" i="38"/>
  <c r="U1439" i="38"/>
  <c r="U1440" i="38"/>
  <c r="U1441" i="38"/>
  <c r="U1442" i="38"/>
  <c r="U1443" i="38"/>
  <c r="U1444" i="38"/>
  <c r="U1445" i="38"/>
  <c r="U1446" i="38"/>
  <c r="U1447" i="38"/>
  <c r="U1448" i="38"/>
  <c r="U1449" i="38"/>
  <c r="U1450" i="38"/>
  <c r="U1451" i="38"/>
  <c r="U1452" i="38"/>
  <c r="U1453" i="38"/>
  <c r="U1454" i="38"/>
  <c r="U1455" i="38"/>
  <c r="U1456" i="38"/>
  <c r="U1457" i="38"/>
  <c r="U1458" i="38"/>
  <c r="U1459" i="38"/>
  <c r="U1460" i="38"/>
  <c r="U1461" i="38"/>
  <c r="U1462" i="38"/>
  <c r="U1463" i="38"/>
  <c r="U1464" i="38"/>
  <c r="U1465" i="38"/>
  <c r="U1466" i="38"/>
  <c r="U1467" i="38"/>
  <c r="U1468" i="38"/>
  <c r="U1469" i="38"/>
  <c r="U1470" i="38"/>
  <c r="U1471" i="38"/>
  <c r="U1472" i="38"/>
  <c r="U1473" i="38"/>
  <c r="U1474" i="38"/>
  <c r="U1475" i="38"/>
  <c r="U1476" i="38"/>
  <c r="U1477" i="38"/>
  <c r="U1478" i="38"/>
  <c r="U1479" i="38"/>
  <c r="U1480" i="38"/>
  <c r="U1481" i="38"/>
  <c r="U1482" i="38"/>
  <c r="U1483" i="38"/>
  <c r="U1484" i="38"/>
  <c r="U1485" i="38"/>
  <c r="U1486" i="38"/>
  <c r="U1487" i="38"/>
  <c r="U1488" i="38"/>
  <c r="U1489" i="38"/>
  <c r="U1490" i="38"/>
  <c r="U1491" i="38"/>
  <c r="U1492" i="38"/>
  <c r="U1493" i="38"/>
  <c r="U1494" i="38"/>
  <c r="U1495" i="38"/>
  <c r="U1496" i="38"/>
  <c r="U1497" i="38"/>
  <c r="U1498" i="38"/>
  <c r="U1499" i="38"/>
  <c r="U1500" i="38"/>
  <c r="U1501" i="38"/>
  <c r="U1502" i="38"/>
  <c r="U1503" i="38"/>
  <c r="U1504" i="38"/>
  <c r="U1505" i="38"/>
  <c r="U1506" i="38"/>
  <c r="U1507" i="38"/>
  <c r="U1508" i="38"/>
  <c r="U1509" i="38"/>
  <c r="U1510" i="38"/>
  <c r="U1511" i="38"/>
  <c r="U1512" i="38"/>
  <c r="U1513" i="38"/>
  <c r="U1514" i="38"/>
  <c r="U1515" i="38"/>
  <c r="U1516" i="38"/>
  <c r="U1517" i="38"/>
  <c r="U1518" i="38"/>
  <c r="U1519" i="38"/>
  <c r="U1520" i="38"/>
  <c r="U1521" i="38"/>
  <c r="U1522" i="38"/>
  <c r="U1523" i="38"/>
  <c r="U1524" i="38"/>
  <c r="U1525" i="38"/>
  <c r="U1526" i="38"/>
  <c r="U1527" i="38"/>
  <c r="U1528" i="38"/>
  <c r="U1529" i="38"/>
  <c r="U1530" i="38"/>
  <c r="U1531" i="38"/>
  <c r="U1532" i="38"/>
  <c r="U1533" i="38"/>
  <c r="U1534" i="38"/>
  <c r="U1535" i="38"/>
  <c r="U1536" i="38"/>
  <c r="U1537" i="38"/>
  <c r="U1538" i="38"/>
  <c r="U1539" i="38"/>
  <c r="U1540" i="38"/>
  <c r="U1541" i="38"/>
  <c r="U1542" i="38"/>
  <c r="U1543" i="38"/>
  <c r="U1544" i="38"/>
  <c r="U1545" i="38"/>
  <c r="U1546" i="38"/>
  <c r="U1547" i="38"/>
  <c r="U1548" i="38"/>
  <c r="U1549" i="38"/>
  <c r="U1550" i="38"/>
  <c r="U1551" i="38"/>
  <c r="U1552" i="38"/>
  <c r="U1553" i="38"/>
  <c r="U1554" i="38"/>
  <c r="U1555" i="38"/>
  <c r="U1556" i="38"/>
  <c r="U1557" i="38"/>
  <c r="U1558" i="38"/>
  <c r="U1559" i="38"/>
  <c r="U1560" i="38"/>
  <c r="U1561" i="38"/>
  <c r="U1562" i="38"/>
  <c r="U1563" i="38"/>
  <c r="U1564" i="38"/>
  <c r="U1565" i="38"/>
  <c r="U1566" i="38"/>
  <c r="U1567" i="38"/>
  <c r="U1568" i="38"/>
  <c r="U1569" i="38"/>
  <c r="U1570" i="38"/>
  <c r="U1571" i="38"/>
  <c r="U1572" i="38"/>
  <c r="U1573" i="38"/>
  <c r="U1574" i="38"/>
  <c r="U1575" i="38"/>
  <c r="U1576" i="38"/>
  <c r="U1577" i="38"/>
  <c r="U1578" i="38"/>
  <c r="U1579" i="38"/>
  <c r="U1580" i="38"/>
  <c r="U1581" i="38"/>
  <c r="U1582" i="38"/>
  <c r="U1583" i="38"/>
  <c r="U3" i="38"/>
  <c r="W1584" i="38"/>
  <c r="W4" i="38" a="1"/>
  <c r="W4" i="38" s="1"/>
  <c r="AB4" i="38" s="1"/>
  <c r="W5" i="38" a="1"/>
  <c r="W5" i="38" s="1"/>
  <c r="W6" i="38" a="1"/>
  <c r="W6" i="38" s="1"/>
  <c r="AB6" i="38" s="1"/>
  <c r="W7" i="38" a="1"/>
  <c r="W7" i="38" s="1"/>
  <c r="W8" i="38" a="1"/>
  <c r="W8" i="38" s="1"/>
  <c r="AB8" i="38" s="1"/>
  <c r="W9" i="38" a="1"/>
  <c r="W9" i="38" s="1"/>
  <c r="W10" i="38" a="1"/>
  <c r="W10" i="38" s="1"/>
  <c r="AB10" i="38" s="1"/>
  <c r="W11" i="38" a="1"/>
  <c r="W11" i="38" s="1"/>
  <c r="W12" i="38" a="1"/>
  <c r="W12" i="38" s="1"/>
  <c r="AB12" i="38" s="1"/>
  <c r="W13" i="38" a="1"/>
  <c r="W13" i="38" s="1"/>
  <c r="W14" i="38" a="1"/>
  <c r="W14" i="38" s="1"/>
  <c r="W15" i="38" a="1"/>
  <c r="W15" i="38" s="1"/>
  <c r="W16" i="38" a="1"/>
  <c r="W16" i="38" s="1"/>
  <c r="W17" i="38" a="1"/>
  <c r="W17" i="38" s="1"/>
  <c r="W18" i="38" a="1"/>
  <c r="W18" i="38" s="1"/>
  <c r="W19" i="38" a="1"/>
  <c r="W19" i="38" s="1"/>
  <c r="W20" i="38" a="1"/>
  <c r="W20" i="38" s="1"/>
  <c r="W21" i="38" a="1"/>
  <c r="W21" i="38" s="1"/>
  <c r="W22" i="38" a="1"/>
  <c r="W22" i="38" s="1"/>
  <c r="W23" i="38" a="1"/>
  <c r="W23" i="38" s="1"/>
  <c r="W24" i="38" a="1"/>
  <c r="W24" i="38" s="1"/>
  <c r="W25" i="38" a="1"/>
  <c r="W25" i="38" s="1"/>
  <c r="AB25" i="38" s="1"/>
  <c r="W26" i="38" a="1"/>
  <c r="W26" i="38" s="1"/>
  <c r="W27" i="38" a="1"/>
  <c r="W27" i="38" s="1"/>
  <c r="AB27" i="38" s="1"/>
  <c r="W28" i="38" a="1"/>
  <c r="W28" i="38" s="1"/>
  <c r="W29" i="38" a="1"/>
  <c r="W29" i="38" s="1"/>
  <c r="AB29" i="38" s="1"/>
  <c r="W30" i="38" a="1"/>
  <c r="W30" i="38" s="1"/>
  <c r="W31" i="38" a="1"/>
  <c r="W31" i="38" s="1"/>
  <c r="AB31" i="38" s="1"/>
  <c r="W32" i="38" a="1"/>
  <c r="W32" i="38" s="1"/>
  <c r="W33" i="38" a="1"/>
  <c r="W33" i="38" s="1"/>
  <c r="AB33" i="38" s="1"/>
  <c r="W34" i="38" a="1"/>
  <c r="W34" i="38" s="1"/>
  <c r="W35" i="38" a="1"/>
  <c r="W35" i="38" s="1"/>
  <c r="W36" i="38" a="1"/>
  <c r="W36" i="38" s="1"/>
  <c r="W37" i="38" a="1"/>
  <c r="W37" i="38" s="1"/>
  <c r="W38" i="38" a="1"/>
  <c r="W38" i="38" s="1"/>
  <c r="W39" i="38" a="1"/>
  <c r="W39" i="38" s="1"/>
  <c r="W40" i="38" a="1"/>
  <c r="W40" i="38" s="1"/>
  <c r="W41" i="38" a="1"/>
  <c r="W41" i="38" s="1"/>
  <c r="W42" i="38" a="1"/>
  <c r="W42" i="38" s="1"/>
  <c r="W43" i="38" a="1"/>
  <c r="W43" i="38" s="1"/>
  <c r="W44" i="38" a="1"/>
  <c r="W44" i="38" s="1"/>
  <c r="W45" i="38" a="1"/>
  <c r="W45" i="38" s="1"/>
  <c r="W46" i="38" a="1"/>
  <c r="W46" i="38" s="1"/>
  <c r="W47" i="38" a="1"/>
  <c r="W47" i="38" s="1"/>
  <c r="W48" i="38" a="1"/>
  <c r="W48" i="38" s="1"/>
  <c r="W49" i="38" a="1"/>
  <c r="W49" i="38" s="1"/>
  <c r="W50" i="38" a="1"/>
  <c r="W50" i="38" s="1"/>
  <c r="W51" i="38" a="1"/>
  <c r="W51" i="38" s="1"/>
  <c r="W52" i="38" a="1"/>
  <c r="W52" i="38" s="1"/>
  <c r="W53" i="38" a="1"/>
  <c r="W53" i="38" s="1"/>
  <c r="W54" i="38" a="1"/>
  <c r="W54" i="38" s="1"/>
  <c r="W55" i="38" a="1"/>
  <c r="W55" i="38" s="1"/>
  <c r="W56" i="38" a="1"/>
  <c r="W56" i="38" s="1"/>
  <c r="W57" i="38" a="1"/>
  <c r="W57" i="38" s="1"/>
  <c r="W58" i="38" a="1"/>
  <c r="W58" i="38" s="1"/>
  <c r="W59" i="38" a="1"/>
  <c r="W59" i="38" s="1"/>
  <c r="W60" i="38" a="1"/>
  <c r="W60" i="38" s="1"/>
  <c r="W61" i="38" a="1"/>
  <c r="W61" i="38" s="1"/>
  <c r="W62" i="38" a="1"/>
  <c r="W62" i="38" s="1"/>
  <c r="W63" i="38" a="1"/>
  <c r="W63" i="38" s="1"/>
  <c r="W64" i="38" a="1"/>
  <c r="W64" i="38" s="1"/>
  <c r="W65" i="38" a="1"/>
  <c r="W65" i="38" s="1"/>
  <c r="W66" i="38" a="1"/>
  <c r="W66" i="38" s="1"/>
  <c r="W67" i="38" a="1"/>
  <c r="W67" i="38" s="1"/>
  <c r="W68" i="38" a="1"/>
  <c r="W68" i="38" s="1"/>
  <c r="W69" i="38" a="1"/>
  <c r="W69" i="38" s="1"/>
  <c r="W70" i="38" a="1"/>
  <c r="W70" i="38" s="1"/>
  <c r="AB70" i="38" s="1"/>
  <c r="W71" i="38" a="1"/>
  <c r="W71" i="38" s="1"/>
  <c r="AB71" i="38" s="1"/>
  <c r="W72" i="38" a="1"/>
  <c r="W72" i="38" s="1"/>
  <c r="AB72" i="38" s="1"/>
  <c r="W73" i="38" a="1"/>
  <c r="W73" i="38" s="1"/>
  <c r="W74" i="38" a="1"/>
  <c r="W74" i="38" s="1"/>
  <c r="AB74" i="38" s="1"/>
  <c r="W75" i="38" a="1"/>
  <c r="W75" i="38" s="1"/>
  <c r="AB75" i="38" s="1"/>
  <c r="W76" i="38" a="1"/>
  <c r="W76" i="38" s="1"/>
  <c r="AB76" i="38" s="1"/>
  <c r="W77" i="38" a="1"/>
  <c r="W77" i="38" s="1"/>
  <c r="W78" i="38" a="1"/>
  <c r="W78" i="38" s="1"/>
  <c r="AB78" i="38" s="1"/>
  <c r="W79" i="38" a="1"/>
  <c r="W79" i="38" s="1"/>
  <c r="AB79" i="38" s="1"/>
  <c r="W80" i="38" a="1"/>
  <c r="W80" i="38" s="1"/>
  <c r="AB80" i="38" s="1"/>
  <c r="W81" i="38" a="1"/>
  <c r="W81" i="38" s="1"/>
  <c r="W82" i="38" a="1"/>
  <c r="W82" i="38" s="1"/>
  <c r="W83" i="38" a="1"/>
  <c r="W83" i="38" s="1"/>
  <c r="W84" i="38" a="1"/>
  <c r="W84" i="38" s="1"/>
  <c r="W85" i="38" a="1"/>
  <c r="W85" i="38" s="1"/>
  <c r="W86" i="38" a="1"/>
  <c r="W86" i="38" s="1"/>
  <c r="W87" i="38" a="1"/>
  <c r="W87" i="38" s="1"/>
  <c r="W88" i="38" a="1"/>
  <c r="W88" i="38" s="1"/>
  <c r="W89" i="38" a="1"/>
  <c r="W89" i="38" s="1"/>
  <c r="W90" i="38" a="1"/>
  <c r="W90" i="38" s="1"/>
  <c r="W91" i="38" a="1"/>
  <c r="W91" i="38" s="1"/>
  <c r="W92" i="38" a="1"/>
  <c r="W92" i="38" s="1"/>
  <c r="W93" i="38" a="1"/>
  <c r="W93" i="38" s="1"/>
  <c r="AB93" i="38" s="1"/>
  <c r="W94" i="38" a="1"/>
  <c r="W94" i="38" s="1"/>
  <c r="AB94" i="38" s="1"/>
  <c r="W95" i="38" a="1"/>
  <c r="W95" i="38" s="1"/>
  <c r="AB95" i="38" s="1"/>
  <c r="W96" i="38" a="1"/>
  <c r="W96" i="38" s="1"/>
  <c r="AB96" i="38" s="1"/>
  <c r="W97" i="38" a="1"/>
  <c r="W97" i="38" s="1"/>
  <c r="AB97" i="38" s="1"/>
  <c r="W98" i="38" a="1"/>
  <c r="W98" i="38" s="1"/>
  <c r="AB98" i="38" s="1"/>
  <c r="W99" i="38" a="1"/>
  <c r="W99" i="38" s="1"/>
  <c r="AB99" i="38" s="1"/>
  <c r="W100" i="38" a="1"/>
  <c r="W100" i="38" s="1"/>
  <c r="AB100" i="38" s="1"/>
  <c r="W101" i="38" a="1"/>
  <c r="W101" i="38" s="1"/>
  <c r="AB101" i="38" s="1"/>
  <c r="W102" i="38" a="1"/>
  <c r="W102" i="38" s="1"/>
  <c r="AB102" i="38" s="1"/>
  <c r="W103" i="38" a="1"/>
  <c r="W103" i="38" s="1"/>
  <c r="AB103" i="38" s="1"/>
  <c r="W104" i="38" a="1"/>
  <c r="W104" i="38" s="1"/>
  <c r="AB104" i="38" s="1"/>
  <c r="W105" i="38" a="1"/>
  <c r="W105" i="38" s="1"/>
  <c r="AB105" i="38" s="1"/>
  <c r="W106" i="38" a="1"/>
  <c r="W106" i="38" s="1"/>
  <c r="W107" i="38" a="1"/>
  <c r="W107" i="38" s="1"/>
  <c r="W108" i="38" a="1"/>
  <c r="W108" i="38" s="1"/>
  <c r="W109" i="38" a="1"/>
  <c r="W109" i="38" s="1"/>
  <c r="W110" i="38" a="1"/>
  <c r="W110" i="38" s="1"/>
  <c r="W111" i="38" a="1"/>
  <c r="W111" i="38" s="1"/>
  <c r="W112" i="38" a="1"/>
  <c r="W112" i="38" s="1"/>
  <c r="W113" i="38" a="1"/>
  <c r="W113" i="38" s="1"/>
  <c r="W114" i="38" a="1"/>
  <c r="W114" i="38" s="1"/>
  <c r="W115" i="38" a="1"/>
  <c r="W115" i="38" s="1"/>
  <c r="W116" i="38" a="1"/>
  <c r="W116" i="38" s="1"/>
  <c r="W117" i="38" a="1"/>
  <c r="W117" i="38" s="1"/>
  <c r="W118" i="38" a="1"/>
  <c r="W118" i="38" s="1"/>
  <c r="AB118" i="38" s="1"/>
  <c r="W119" i="38" a="1"/>
  <c r="W119" i="38" s="1"/>
  <c r="AB119" i="38" s="1"/>
  <c r="W120" i="38" a="1"/>
  <c r="W120" i="38" s="1"/>
  <c r="AB120" i="38" s="1"/>
  <c r="W121" i="38" a="1"/>
  <c r="W121" i="38" s="1"/>
  <c r="AB121" i="38" s="1"/>
  <c r="W122" i="38" a="1"/>
  <c r="W122" i="38" s="1"/>
  <c r="AB122" i="38" s="1"/>
  <c r="W123" i="38" a="1"/>
  <c r="W123" i="38" s="1"/>
  <c r="AB123" i="38" s="1"/>
  <c r="W124" i="38" a="1"/>
  <c r="W124" i="38" s="1"/>
  <c r="AB124" i="38" s="1"/>
  <c r="W125" i="38" a="1"/>
  <c r="W125" i="38" s="1"/>
  <c r="AB125" i="38" s="1"/>
  <c r="W126" i="38" a="1"/>
  <c r="W126" i="38" s="1"/>
  <c r="AB126" i="38" s="1"/>
  <c r="W127" i="38" a="1"/>
  <c r="W127" i="38" s="1"/>
  <c r="AB127" i="38" s="1"/>
  <c r="W128" i="38" a="1"/>
  <c r="W128" i="38" s="1"/>
  <c r="AB128" i="38" s="1"/>
  <c r="W129" i="38" a="1"/>
  <c r="W129" i="38" s="1"/>
  <c r="AB129" i="38" s="1"/>
  <c r="W130" i="38" a="1"/>
  <c r="W130" i="38" s="1"/>
  <c r="AB130" i="38" s="1"/>
  <c r="W131" i="38" a="1"/>
  <c r="W131" i="38" s="1"/>
  <c r="W132" i="38" a="1"/>
  <c r="W132" i="38" s="1"/>
  <c r="W133" i="38" a="1"/>
  <c r="W133" i="38" s="1"/>
  <c r="W134" i="38" a="1"/>
  <c r="W134" i="38" s="1"/>
  <c r="W135" i="38" a="1"/>
  <c r="W135" i="38" s="1"/>
  <c r="W136" i="38" a="1"/>
  <c r="W136" i="38" s="1"/>
  <c r="W137" i="38" a="1"/>
  <c r="W137" i="38" s="1"/>
  <c r="W138" i="38" a="1"/>
  <c r="W138" i="38" s="1"/>
  <c r="W139" i="38" a="1"/>
  <c r="W139" i="38" s="1"/>
  <c r="W140" i="38" a="1"/>
  <c r="W140" i="38" s="1"/>
  <c r="W141" i="38" a="1"/>
  <c r="W141" i="38" s="1"/>
  <c r="W142" i="38" a="1"/>
  <c r="W142" i="38" s="1"/>
  <c r="W143" i="38" a="1"/>
  <c r="W143" i="38" s="1"/>
  <c r="W144" i="38" a="1"/>
  <c r="W144" i="38" s="1"/>
  <c r="AB144" i="38" s="1"/>
  <c r="W145" i="38" a="1"/>
  <c r="W145" i="38" s="1"/>
  <c r="AB145" i="38" s="1"/>
  <c r="W146" i="38" a="1"/>
  <c r="W146" i="38" s="1"/>
  <c r="AB146" i="38" s="1"/>
  <c r="W147" i="38" a="1"/>
  <c r="W147" i="38" s="1"/>
  <c r="AB147" i="38" s="1"/>
  <c r="W148" i="38" a="1"/>
  <c r="W148" i="38" s="1"/>
  <c r="AB148" i="38" s="1"/>
  <c r="W149" i="38" a="1"/>
  <c r="W149" i="38" s="1"/>
  <c r="AB149" i="38" s="1"/>
  <c r="W150" i="38" a="1"/>
  <c r="W150" i="38" s="1"/>
  <c r="AB150" i="38" s="1"/>
  <c r="W151" i="38" a="1"/>
  <c r="W151" i="38" s="1"/>
  <c r="AB151" i="38" s="1"/>
  <c r="W152" i="38" a="1"/>
  <c r="W152" i="38" s="1"/>
  <c r="AB152" i="38" s="1"/>
  <c r="W153" i="38" a="1"/>
  <c r="W153" i="38" s="1"/>
  <c r="AB153" i="38" s="1"/>
  <c r="W154" i="38" a="1"/>
  <c r="W154" i="38" s="1"/>
  <c r="AB154" i="38" s="1"/>
  <c r="W155" i="38" a="1"/>
  <c r="W155" i="38" s="1"/>
  <c r="AB155" i="38" s="1"/>
  <c r="W156" i="38" a="1"/>
  <c r="W156" i="38" s="1"/>
  <c r="AB156" i="38" s="1"/>
  <c r="W157" i="38" a="1"/>
  <c r="W157" i="38" s="1"/>
  <c r="AB157" i="38" s="1"/>
  <c r="W158" i="38" a="1"/>
  <c r="W158" i="38" s="1"/>
  <c r="W159" i="38" a="1"/>
  <c r="W159" i="38" s="1"/>
  <c r="W160" i="38" a="1"/>
  <c r="W160" i="38" s="1"/>
  <c r="W161" i="38" a="1"/>
  <c r="W161" i="38" s="1"/>
  <c r="W162" i="38" a="1"/>
  <c r="W162" i="38" s="1"/>
  <c r="W163" i="38" a="1"/>
  <c r="W163" i="38" s="1"/>
  <c r="W164" i="38" a="1"/>
  <c r="W164" i="38" s="1"/>
  <c r="W165" i="38" a="1"/>
  <c r="W165" i="38" s="1"/>
  <c r="W166" i="38" a="1"/>
  <c r="W166" i="38" s="1"/>
  <c r="W167" i="38" a="1"/>
  <c r="W167" i="38" s="1"/>
  <c r="W168" i="38" a="1"/>
  <c r="W168" i="38" s="1"/>
  <c r="W169" i="38" a="1"/>
  <c r="W169" i="38" s="1"/>
  <c r="W170" i="38" a="1"/>
  <c r="W170" i="38" s="1"/>
  <c r="W171" i="38" a="1"/>
  <c r="W171" i="38" s="1"/>
  <c r="AB171" i="38" s="1"/>
  <c r="W172" i="38" a="1"/>
  <c r="W172" i="38" s="1"/>
  <c r="AB172" i="38" s="1"/>
  <c r="W173" i="38" a="1"/>
  <c r="W173" i="38" s="1"/>
  <c r="AB173" i="38" s="1"/>
  <c r="W174" i="38" a="1"/>
  <c r="W174" i="38" s="1"/>
  <c r="AB174" i="38" s="1"/>
  <c r="W175" i="38" a="1"/>
  <c r="W175" i="38" s="1"/>
  <c r="AB175" i="38" s="1"/>
  <c r="W176" i="38" a="1"/>
  <c r="W176" i="38" s="1"/>
  <c r="AB176" i="38" s="1"/>
  <c r="W177" i="38" a="1"/>
  <c r="W177" i="38" s="1"/>
  <c r="AB177" i="38" s="1"/>
  <c r="W178" i="38" a="1"/>
  <c r="W178" i="38" s="1"/>
  <c r="AB178" i="38" s="1"/>
  <c r="W179" i="38" a="1"/>
  <c r="W179" i="38" s="1"/>
  <c r="AB179" i="38" s="1"/>
  <c r="W180" i="38" a="1"/>
  <c r="W180" i="38" s="1"/>
  <c r="AB180" i="38" s="1"/>
  <c r="W181" i="38" a="1"/>
  <c r="W181" i="38" s="1"/>
  <c r="AB181" i="38" s="1"/>
  <c r="W182" i="38" a="1"/>
  <c r="W182" i="38" s="1"/>
  <c r="AB182" i="38" s="1"/>
  <c r="W183" i="38" a="1"/>
  <c r="W183" i="38" s="1"/>
  <c r="AB183" i="38" s="1"/>
  <c r="W184" i="38" a="1"/>
  <c r="W184" i="38" s="1"/>
  <c r="AB184" i="38" s="1"/>
  <c r="W185" i="38" a="1"/>
  <c r="W185" i="38" s="1"/>
  <c r="W186" i="38" a="1"/>
  <c r="W186" i="38" s="1"/>
  <c r="W187" i="38" a="1"/>
  <c r="W187" i="38" s="1"/>
  <c r="W188" i="38" a="1"/>
  <c r="W188" i="38" s="1"/>
  <c r="W189" i="38" a="1"/>
  <c r="W189" i="38" s="1"/>
  <c r="W190" i="38" a="1"/>
  <c r="W190" i="38" s="1"/>
  <c r="W191" i="38" a="1"/>
  <c r="W191" i="38" s="1"/>
  <c r="W192" i="38" a="1"/>
  <c r="W192" i="38" s="1"/>
  <c r="W193" i="38" a="1"/>
  <c r="W193" i="38" s="1"/>
  <c r="W194" i="38" a="1"/>
  <c r="W194" i="38" s="1"/>
  <c r="W195" i="38" a="1"/>
  <c r="W195" i="38" s="1"/>
  <c r="W196" i="38" a="1"/>
  <c r="W196" i="38" s="1"/>
  <c r="W197" i="38" a="1"/>
  <c r="W197" i="38" s="1"/>
  <c r="W198" i="38" a="1"/>
  <c r="W198" i="38" s="1"/>
  <c r="W199" i="38" a="1"/>
  <c r="W199" i="38" s="1"/>
  <c r="AB199" i="38" s="1"/>
  <c r="W200" i="38" a="1"/>
  <c r="W200" i="38" s="1"/>
  <c r="AB200" i="38" s="1"/>
  <c r="W201" i="38" a="1"/>
  <c r="W201" i="38" s="1"/>
  <c r="AB201" i="38" s="1"/>
  <c r="W202" i="38" a="1"/>
  <c r="W202" i="38" s="1"/>
  <c r="AB202" i="38" s="1"/>
  <c r="W203" i="38" a="1"/>
  <c r="W203" i="38" s="1"/>
  <c r="AB203" i="38" s="1"/>
  <c r="W204" i="38" a="1"/>
  <c r="W204" i="38" s="1"/>
  <c r="AB204" i="38" s="1"/>
  <c r="W205" i="38" a="1"/>
  <c r="W205" i="38" s="1"/>
  <c r="AB205" i="38" s="1"/>
  <c r="W206" i="38" a="1"/>
  <c r="W206" i="38" s="1"/>
  <c r="AB206" i="38" s="1"/>
  <c r="W207" i="38" a="1"/>
  <c r="W207" i="38" s="1"/>
  <c r="AB207" i="38" s="1"/>
  <c r="W208" i="38" a="1"/>
  <c r="W208" i="38" s="1"/>
  <c r="AB208" i="38" s="1"/>
  <c r="W209" i="38" a="1"/>
  <c r="W209" i="38" s="1"/>
  <c r="AB209" i="38" s="1"/>
  <c r="W210" i="38" a="1"/>
  <c r="W210" i="38" s="1"/>
  <c r="AB210" i="38" s="1"/>
  <c r="W211" i="38" a="1"/>
  <c r="W211" i="38" s="1"/>
  <c r="AB211" i="38" s="1"/>
  <c r="W212" i="38" a="1"/>
  <c r="W212" i="38" s="1"/>
  <c r="AB212" i="38" s="1"/>
  <c r="W213" i="38" a="1"/>
  <c r="W213" i="38" s="1"/>
  <c r="AB213" i="38" s="1"/>
  <c r="W214" i="38" a="1"/>
  <c r="W214" i="38" s="1"/>
  <c r="W215" i="38" a="1"/>
  <c r="W215" i="38" s="1"/>
  <c r="W216" i="38" a="1"/>
  <c r="W216" i="38" s="1"/>
  <c r="W217" i="38" a="1"/>
  <c r="W217" i="38" s="1"/>
  <c r="W218" i="38" a="1"/>
  <c r="W218" i="38" s="1"/>
  <c r="W219" i="38" a="1"/>
  <c r="W219" i="38" s="1"/>
  <c r="W220" i="38" a="1"/>
  <c r="W220" i="38" s="1"/>
  <c r="W221" i="38" a="1"/>
  <c r="W221" i="38" s="1"/>
  <c r="W222" i="38" a="1"/>
  <c r="W222" i="38" s="1"/>
  <c r="W223" i="38" a="1"/>
  <c r="W223" i="38" s="1"/>
  <c r="W224" i="38" a="1"/>
  <c r="W224" i="38" s="1"/>
  <c r="W225" i="38" a="1"/>
  <c r="W225" i="38" s="1"/>
  <c r="W226" i="38" a="1"/>
  <c r="W226" i="38" s="1"/>
  <c r="W227" i="38" a="1"/>
  <c r="W227" i="38" s="1"/>
  <c r="W228" i="38" a="1"/>
  <c r="W228" i="38" s="1"/>
  <c r="AB228" i="38" s="1"/>
  <c r="W229" i="38" a="1"/>
  <c r="W229" i="38" s="1"/>
  <c r="AB229" i="38" s="1"/>
  <c r="W230" i="38" a="1"/>
  <c r="W230" i="38" s="1"/>
  <c r="AB230" i="38" s="1"/>
  <c r="W231" i="38" a="1"/>
  <c r="W231" i="38" s="1"/>
  <c r="AB231" i="38" s="1"/>
  <c r="W232" i="38" a="1"/>
  <c r="W232" i="38" s="1"/>
  <c r="AB232" i="38" s="1"/>
  <c r="W233" i="38" a="1"/>
  <c r="W233" i="38" s="1"/>
  <c r="AB233" i="38" s="1"/>
  <c r="W234" i="38" a="1"/>
  <c r="W234" i="38" s="1"/>
  <c r="AB234" i="38" s="1"/>
  <c r="W235" i="38" a="1"/>
  <c r="W235" i="38" s="1"/>
  <c r="AB235" i="38" s="1"/>
  <c r="W236" i="38" a="1"/>
  <c r="W236" i="38" s="1"/>
  <c r="AB236" i="38" s="1"/>
  <c r="W237" i="38" a="1"/>
  <c r="W237" i="38" s="1"/>
  <c r="AB237" i="38" s="1"/>
  <c r="W238" i="38" a="1"/>
  <c r="W238" i="38" s="1"/>
  <c r="AB238" i="38" s="1"/>
  <c r="W239" i="38" a="1"/>
  <c r="W239" i="38" s="1"/>
  <c r="AB239" i="38" s="1"/>
  <c r="W240" i="38" a="1"/>
  <c r="W240" i="38" s="1"/>
  <c r="AB240" i="38" s="1"/>
  <c r="W241" i="38" a="1"/>
  <c r="W241" i="38" s="1"/>
  <c r="AB241" i="38" s="1"/>
  <c r="W242" i="38" a="1"/>
  <c r="W242" i="38" s="1"/>
  <c r="AB242" i="38" s="1"/>
  <c r="W243" i="38" a="1"/>
  <c r="W243" i="38" s="1"/>
  <c r="W244" i="38" a="1"/>
  <c r="W244" i="38" s="1"/>
  <c r="W245" i="38" a="1"/>
  <c r="W245" i="38" s="1"/>
  <c r="W246" i="38" a="1"/>
  <c r="W246" i="38" s="1"/>
  <c r="W247" i="38" a="1"/>
  <c r="W247" i="38" s="1"/>
  <c r="W248" i="38" a="1"/>
  <c r="W248" i="38" s="1"/>
  <c r="W249" i="38" a="1"/>
  <c r="W249" i="38" s="1"/>
  <c r="W250" i="38" a="1"/>
  <c r="W250" i="38" s="1"/>
  <c r="W251" i="38" a="1"/>
  <c r="W251" i="38" s="1"/>
  <c r="W252" i="38" a="1"/>
  <c r="W252" i="38" s="1"/>
  <c r="W253" i="38" a="1"/>
  <c r="W253" i="38" s="1"/>
  <c r="W254" i="38" a="1"/>
  <c r="W254" i="38" s="1"/>
  <c r="W255" i="38" a="1"/>
  <c r="W255" i="38" s="1"/>
  <c r="W256" i="38" a="1"/>
  <c r="W256" i="38" s="1"/>
  <c r="W257" i="38" a="1"/>
  <c r="W257" i="38" s="1"/>
  <c r="W258" i="38" a="1"/>
  <c r="W258" i="38" s="1"/>
  <c r="AB258" i="38" s="1"/>
  <c r="W259" i="38" a="1"/>
  <c r="W259" i="38" s="1"/>
  <c r="AB259" i="38" s="1"/>
  <c r="W260" i="38" a="1"/>
  <c r="W260" i="38" s="1"/>
  <c r="AB260" i="38" s="1"/>
  <c r="W261" i="38" a="1"/>
  <c r="W261" i="38" s="1"/>
  <c r="AB261" i="38" s="1"/>
  <c r="W262" i="38" a="1"/>
  <c r="W262" i="38" s="1"/>
  <c r="AB262" i="38" s="1"/>
  <c r="W263" i="38" a="1"/>
  <c r="W263" i="38" s="1"/>
  <c r="AB263" i="38" s="1"/>
  <c r="W264" i="38" a="1"/>
  <c r="W264" i="38" s="1"/>
  <c r="AB264" i="38" s="1"/>
  <c r="W265" i="38" a="1"/>
  <c r="W265" i="38" s="1"/>
  <c r="AB265" i="38" s="1"/>
  <c r="W266" i="38" a="1"/>
  <c r="W266" i="38" s="1"/>
  <c r="AB266" i="38" s="1"/>
  <c r="W267" i="38" a="1"/>
  <c r="W267" i="38" s="1"/>
  <c r="AB267" i="38" s="1"/>
  <c r="W268" i="38" a="1"/>
  <c r="W268" i="38" s="1"/>
  <c r="AB268" i="38" s="1"/>
  <c r="W269" i="38" a="1"/>
  <c r="W269" i="38" s="1"/>
  <c r="AB269" i="38" s="1"/>
  <c r="W270" i="38" a="1"/>
  <c r="W270" i="38" s="1"/>
  <c r="AB270" i="38" s="1"/>
  <c r="W271" i="38" a="1"/>
  <c r="W271" i="38" s="1"/>
  <c r="AB271" i="38" s="1"/>
  <c r="W272" i="38" a="1"/>
  <c r="W272" i="38" s="1"/>
  <c r="AB272" i="38" s="1"/>
  <c r="W273" i="38" a="1"/>
  <c r="W273" i="38" s="1"/>
  <c r="AB273" i="38" s="1"/>
  <c r="W274" i="38" a="1"/>
  <c r="W274" i="38" s="1"/>
  <c r="W275" i="38" a="1"/>
  <c r="W275" i="38" s="1"/>
  <c r="W276" i="38" a="1"/>
  <c r="W276" i="38" s="1"/>
  <c r="W277" i="38" a="1"/>
  <c r="W277" i="38" s="1"/>
  <c r="W278" i="38" a="1"/>
  <c r="W278" i="38" s="1"/>
  <c r="W279" i="38" a="1"/>
  <c r="W279" i="38" s="1"/>
  <c r="W280" i="38" a="1"/>
  <c r="W280" i="38" s="1"/>
  <c r="W281" i="38" a="1"/>
  <c r="W281" i="38" s="1"/>
  <c r="W282" i="38" a="1"/>
  <c r="W282" i="38" s="1"/>
  <c r="W283" i="38" a="1"/>
  <c r="W283" i="38" s="1"/>
  <c r="W284" i="38" a="1"/>
  <c r="W284" i="38" s="1"/>
  <c r="W285" i="38" a="1"/>
  <c r="W285" i="38" s="1"/>
  <c r="W286" i="38" a="1"/>
  <c r="W286" i="38" s="1"/>
  <c r="W287" i="38" a="1"/>
  <c r="W287" i="38" s="1"/>
  <c r="W288" i="38" a="1"/>
  <c r="W288" i="38" s="1"/>
  <c r="W289" i="38" a="1"/>
  <c r="W289" i="38" s="1"/>
  <c r="AB289" i="38" s="1"/>
  <c r="W290" i="38" a="1"/>
  <c r="W290" i="38" s="1"/>
  <c r="AB290" i="38" s="1"/>
  <c r="W291" i="38" a="1"/>
  <c r="W291" i="38" s="1"/>
  <c r="AB291" i="38" s="1"/>
  <c r="W292" i="38" a="1"/>
  <c r="W292" i="38" s="1"/>
  <c r="AB292" i="38" s="1"/>
  <c r="W293" i="38" a="1"/>
  <c r="W293" i="38" s="1"/>
  <c r="AB293" i="38" s="1"/>
  <c r="W294" i="38" a="1"/>
  <c r="W294" i="38" s="1"/>
  <c r="AB294" i="38" s="1"/>
  <c r="W295" i="38" a="1"/>
  <c r="W295" i="38" s="1"/>
  <c r="AB295" i="38" s="1"/>
  <c r="W296" i="38" a="1"/>
  <c r="W296" i="38" s="1"/>
  <c r="AB296" i="38" s="1"/>
  <c r="W297" i="38" a="1"/>
  <c r="W297" i="38" s="1"/>
  <c r="AB297" i="38" s="1"/>
  <c r="W298" i="38" a="1"/>
  <c r="W298" i="38" s="1"/>
  <c r="AB298" i="38" s="1"/>
  <c r="W299" i="38" a="1"/>
  <c r="W299" i="38" s="1"/>
  <c r="AB299" i="38" s="1"/>
  <c r="W300" i="38" a="1"/>
  <c r="W300" i="38" s="1"/>
  <c r="AB300" i="38" s="1"/>
  <c r="W301" i="38" a="1"/>
  <c r="W301" i="38" s="1"/>
  <c r="AB301" i="38" s="1"/>
  <c r="W302" i="38" a="1"/>
  <c r="W302" i="38" s="1"/>
  <c r="AB302" i="38" s="1"/>
  <c r="W303" i="38" a="1"/>
  <c r="W303" i="38" s="1"/>
  <c r="AB303" i="38" s="1"/>
  <c r="W304" i="38" a="1"/>
  <c r="W304" i="38" s="1"/>
  <c r="AB304" i="38" s="1"/>
  <c r="W305" i="38" a="1"/>
  <c r="W305" i="38" s="1"/>
  <c r="W306" i="38" a="1"/>
  <c r="W306" i="38" s="1"/>
  <c r="W307" i="38" a="1"/>
  <c r="W307" i="38" s="1"/>
  <c r="W308" i="38" a="1"/>
  <c r="W308" i="38" s="1"/>
  <c r="W309" i="38" a="1"/>
  <c r="W309" i="38" s="1"/>
  <c r="W310" i="38" a="1"/>
  <c r="W310" i="38" s="1"/>
  <c r="W311" i="38" a="1"/>
  <c r="W311" i="38" s="1"/>
  <c r="W312" i="38" a="1"/>
  <c r="W312" i="38" s="1"/>
  <c r="W313" i="38" a="1"/>
  <c r="W313" i="38" s="1"/>
  <c r="W314" i="38" a="1"/>
  <c r="W314" i="38" s="1"/>
  <c r="W315" i="38" a="1"/>
  <c r="W315" i="38" s="1"/>
  <c r="W316" i="38" a="1"/>
  <c r="W316" i="38" s="1"/>
  <c r="W317" i="38" a="1"/>
  <c r="W317" i="38" s="1"/>
  <c r="W318" i="38" a="1"/>
  <c r="W318" i="38" s="1"/>
  <c r="W319" i="38" a="1"/>
  <c r="W319" i="38" s="1"/>
  <c r="W320" i="38" a="1"/>
  <c r="W320" i="38" s="1"/>
  <c r="W321" i="38" a="1"/>
  <c r="W321" i="38" s="1"/>
  <c r="AB321" i="38" s="1"/>
  <c r="W322" i="38" a="1"/>
  <c r="W322" i="38" s="1"/>
  <c r="AB322" i="38" s="1"/>
  <c r="W323" i="38" a="1"/>
  <c r="W323" i="38" s="1"/>
  <c r="AB323" i="38" s="1"/>
  <c r="W324" i="38" a="1"/>
  <c r="W324" i="38" s="1"/>
  <c r="AB324" i="38" s="1"/>
  <c r="W325" i="38" a="1"/>
  <c r="W325" i="38" s="1"/>
  <c r="AB325" i="38" s="1"/>
  <c r="W326" i="38" a="1"/>
  <c r="W326" i="38" s="1"/>
  <c r="AB326" i="38" s="1"/>
  <c r="W327" i="38" a="1"/>
  <c r="W327" i="38" s="1"/>
  <c r="AB327" i="38" s="1"/>
  <c r="W328" i="38" a="1"/>
  <c r="W328" i="38" s="1"/>
  <c r="AB328" i="38" s="1"/>
  <c r="W329" i="38" a="1"/>
  <c r="W329" i="38" s="1"/>
  <c r="AB329" i="38" s="1"/>
  <c r="W330" i="38" a="1"/>
  <c r="W330" i="38" s="1"/>
  <c r="AB330" i="38" s="1"/>
  <c r="W331" i="38" a="1"/>
  <c r="W331" i="38" s="1"/>
  <c r="AB331" i="38" s="1"/>
  <c r="W332" i="38" a="1"/>
  <c r="W332" i="38" s="1"/>
  <c r="AB332" i="38" s="1"/>
  <c r="W333" i="38" a="1"/>
  <c r="W333" i="38" s="1"/>
  <c r="AB333" i="38" s="1"/>
  <c r="W334" i="38" a="1"/>
  <c r="W334" i="38" s="1"/>
  <c r="AB334" i="38" s="1"/>
  <c r="W335" i="38" a="1"/>
  <c r="W335" i="38" s="1"/>
  <c r="AB335" i="38" s="1"/>
  <c r="W336" i="38" a="1"/>
  <c r="W336" i="38" s="1"/>
  <c r="AB336" i="38" s="1"/>
  <c r="W337" i="38" a="1"/>
  <c r="W337" i="38" s="1"/>
  <c r="AB337" i="38" s="1"/>
  <c r="W338" i="38" a="1"/>
  <c r="W338" i="38" s="1"/>
  <c r="W339" i="38" a="1"/>
  <c r="W339" i="38" s="1"/>
  <c r="W340" i="38" a="1"/>
  <c r="W340" i="38" s="1"/>
  <c r="W341" i="38" a="1"/>
  <c r="W341" i="38" s="1"/>
  <c r="W342" i="38" a="1"/>
  <c r="W342" i="38" s="1"/>
  <c r="W343" i="38" a="1"/>
  <c r="W343" i="38" s="1"/>
  <c r="W344" i="38" a="1"/>
  <c r="W344" i="38" s="1"/>
  <c r="W345" i="38" a="1"/>
  <c r="W345" i="38" s="1"/>
  <c r="W346" i="38" a="1"/>
  <c r="W346" i="38" s="1"/>
  <c r="W347" i="38" a="1"/>
  <c r="W347" i="38" s="1"/>
  <c r="W348" i="38" a="1"/>
  <c r="W348" i="38" s="1"/>
  <c r="W349" i="38" a="1"/>
  <c r="W349" i="38" s="1"/>
  <c r="W350" i="38" a="1"/>
  <c r="W350" i="38" s="1"/>
  <c r="W351" i="38" a="1"/>
  <c r="W351" i="38" s="1"/>
  <c r="W352" i="38" a="1"/>
  <c r="W352" i="38" s="1"/>
  <c r="W353" i="38" a="1"/>
  <c r="W353" i="38" s="1"/>
  <c r="W354" i="38" a="1"/>
  <c r="W354" i="38" s="1"/>
  <c r="AB354" i="38" s="1"/>
  <c r="W355" i="38" a="1"/>
  <c r="W355" i="38" s="1"/>
  <c r="AB355" i="38" s="1"/>
  <c r="W356" i="38" a="1"/>
  <c r="W356" i="38" s="1"/>
  <c r="AB356" i="38" s="1"/>
  <c r="W357" i="38" a="1"/>
  <c r="W357" i="38" s="1"/>
  <c r="AB357" i="38" s="1"/>
  <c r="W358" i="38" a="1"/>
  <c r="W358" i="38" s="1"/>
  <c r="AB358" i="38" s="1"/>
  <c r="W359" i="38" a="1"/>
  <c r="W359" i="38" s="1"/>
  <c r="AB359" i="38" s="1"/>
  <c r="W360" i="38" a="1"/>
  <c r="W360" i="38" s="1"/>
  <c r="AB360" i="38" s="1"/>
  <c r="W361" i="38" a="1"/>
  <c r="W361" i="38" s="1"/>
  <c r="AB361" i="38" s="1"/>
  <c r="W362" i="38" a="1"/>
  <c r="W362" i="38" s="1"/>
  <c r="AB362" i="38" s="1"/>
  <c r="W363" i="38" a="1"/>
  <c r="W363" i="38" s="1"/>
  <c r="AB363" i="38" s="1"/>
  <c r="W364" i="38" a="1"/>
  <c r="W364" i="38" s="1"/>
  <c r="AB364" i="38" s="1"/>
  <c r="W365" i="38" a="1"/>
  <c r="W365" i="38" s="1"/>
  <c r="AB365" i="38" s="1"/>
  <c r="W366" i="38" a="1"/>
  <c r="W366" i="38" s="1"/>
  <c r="AB366" i="38" s="1"/>
  <c r="W367" i="38" a="1"/>
  <c r="W367" i="38" s="1"/>
  <c r="AB367" i="38" s="1"/>
  <c r="W368" i="38" a="1"/>
  <c r="W368" i="38" s="1"/>
  <c r="AB368" i="38" s="1"/>
  <c r="W369" i="38" a="1"/>
  <c r="W369" i="38" s="1"/>
  <c r="AB369" i="38" s="1"/>
  <c r="W370" i="38" a="1"/>
  <c r="W370" i="38" s="1"/>
  <c r="AB370" i="38" s="1"/>
  <c r="W371" i="38" a="1"/>
  <c r="W371" i="38" s="1"/>
  <c r="W372" i="38" a="1"/>
  <c r="W372" i="38" s="1"/>
  <c r="W373" i="38" a="1"/>
  <c r="W373" i="38" s="1"/>
  <c r="W374" i="38" a="1"/>
  <c r="W374" i="38" s="1"/>
  <c r="W375" i="38" a="1"/>
  <c r="W375" i="38" s="1"/>
  <c r="W376" i="38" a="1"/>
  <c r="W376" i="38" s="1"/>
  <c r="W377" i="38" a="1"/>
  <c r="W377" i="38" s="1"/>
  <c r="W378" i="38" a="1"/>
  <c r="W378" i="38" s="1"/>
  <c r="W379" i="38" a="1"/>
  <c r="W379" i="38" s="1"/>
  <c r="W380" i="38" a="1"/>
  <c r="W380" i="38" s="1"/>
  <c r="W381" i="38" a="1"/>
  <c r="W381" i="38" s="1"/>
  <c r="W382" i="38" a="1"/>
  <c r="W382" i="38" s="1"/>
  <c r="W383" i="38" a="1"/>
  <c r="W383" i="38" s="1"/>
  <c r="W384" i="38" a="1"/>
  <c r="W384" i="38" s="1"/>
  <c r="W385" i="38" a="1"/>
  <c r="W385" i="38" s="1"/>
  <c r="W386" i="38" a="1"/>
  <c r="W386" i="38" s="1"/>
  <c r="W387" i="38" a="1"/>
  <c r="W387" i="38" s="1"/>
  <c r="W388" i="38" a="1"/>
  <c r="W388" i="38" s="1"/>
  <c r="AB388" i="38" s="1"/>
  <c r="W389" i="38" a="1"/>
  <c r="W389" i="38" s="1"/>
  <c r="AB389" i="38" s="1"/>
  <c r="W390" i="38" a="1"/>
  <c r="W390" i="38" s="1"/>
  <c r="AB390" i="38" s="1"/>
  <c r="W391" i="38" a="1"/>
  <c r="W391" i="38" s="1"/>
  <c r="AB391" i="38" s="1"/>
  <c r="W392" i="38" a="1"/>
  <c r="W392" i="38" s="1"/>
  <c r="AB392" i="38" s="1"/>
  <c r="W393" i="38" a="1"/>
  <c r="W393" i="38" s="1"/>
  <c r="AB393" i="38" s="1"/>
  <c r="W394" i="38" a="1"/>
  <c r="W394" i="38" s="1"/>
  <c r="AB394" i="38" s="1"/>
  <c r="W395" i="38" a="1"/>
  <c r="W395" i="38" s="1"/>
  <c r="AB395" i="38" s="1"/>
  <c r="W396" i="38" a="1"/>
  <c r="W396" i="38" s="1"/>
  <c r="AB396" i="38" s="1"/>
  <c r="W397" i="38" a="1"/>
  <c r="W397" i="38" s="1"/>
  <c r="AB397" i="38" s="1"/>
  <c r="W398" i="38" a="1"/>
  <c r="W398" i="38" s="1"/>
  <c r="AB398" i="38" s="1"/>
  <c r="W399" i="38" a="1"/>
  <c r="W399" i="38" s="1"/>
  <c r="AB399" i="38" s="1"/>
  <c r="W400" i="38" a="1"/>
  <c r="W400" i="38" s="1"/>
  <c r="AB400" i="38" s="1"/>
  <c r="W401" i="38" a="1"/>
  <c r="W401" i="38" s="1"/>
  <c r="AB401" i="38" s="1"/>
  <c r="W402" i="38" a="1"/>
  <c r="W402" i="38" s="1"/>
  <c r="AB402" i="38" s="1"/>
  <c r="W403" i="38" a="1"/>
  <c r="W403" i="38" s="1"/>
  <c r="AB403" i="38" s="1"/>
  <c r="W404" i="38" a="1"/>
  <c r="W404" i="38" s="1"/>
  <c r="AB404" i="38" s="1"/>
  <c r="W405" i="38" a="1"/>
  <c r="W405" i="38" s="1"/>
  <c r="AB405" i="38" s="1"/>
  <c r="W406" i="38" a="1"/>
  <c r="W406" i="38" s="1"/>
  <c r="W407" i="38" a="1"/>
  <c r="W407" i="38" s="1"/>
  <c r="W408" i="38" a="1"/>
  <c r="W408" i="38" s="1"/>
  <c r="W409" i="38" a="1"/>
  <c r="W409" i="38" s="1"/>
  <c r="W410" i="38" a="1"/>
  <c r="W410" i="38" s="1"/>
  <c r="W411" i="38" a="1"/>
  <c r="W411" i="38" s="1"/>
  <c r="W412" i="38" a="1"/>
  <c r="W412" i="38" s="1"/>
  <c r="W413" i="38" a="1"/>
  <c r="W413" i="38" s="1"/>
  <c r="W414" i="38" a="1"/>
  <c r="W414" i="38" s="1"/>
  <c r="W415" i="38" a="1"/>
  <c r="W415" i="38" s="1"/>
  <c r="W416" i="38" a="1"/>
  <c r="W416" i="38" s="1"/>
  <c r="W417" i="38" a="1"/>
  <c r="W417" i="38" s="1"/>
  <c r="W418" i="38" a="1"/>
  <c r="W418" i="38" s="1"/>
  <c r="W419" i="38" a="1"/>
  <c r="W419" i="38" s="1"/>
  <c r="W420" i="38" a="1"/>
  <c r="W420" i="38" s="1"/>
  <c r="W421" i="38" a="1"/>
  <c r="W421" i="38" s="1"/>
  <c r="W422" i="38" a="1"/>
  <c r="W422" i="38" s="1"/>
  <c r="W423" i="38" a="1"/>
  <c r="W423" i="38" s="1"/>
  <c r="AB423" i="38" s="1"/>
  <c r="W424" i="38" a="1"/>
  <c r="W424" i="38" s="1"/>
  <c r="AB424" i="38" s="1"/>
  <c r="W425" i="38" a="1"/>
  <c r="W425" i="38" s="1"/>
  <c r="AB425" i="38" s="1"/>
  <c r="W426" i="38" a="1"/>
  <c r="W426" i="38" s="1"/>
  <c r="AB426" i="38" s="1"/>
  <c r="W427" i="38" a="1"/>
  <c r="W427" i="38" s="1"/>
  <c r="AB427" i="38" s="1"/>
  <c r="W428" i="38" a="1"/>
  <c r="W428" i="38" s="1"/>
  <c r="AB428" i="38" s="1"/>
  <c r="W429" i="38" a="1"/>
  <c r="W429" i="38" s="1"/>
  <c r="AB429" i="38" s="1"/>
  <c r="W430" i="38" a="1"/>
  <c r="W430" i="38" s="1"/>
  <c r="AB430" i="38" s="1"/>
  <c r="W431" i="38" a="1"/>
  <c r="W431" i="38" s="1"/>
  <c r="AB431" i="38" s="1"/>
  <c r="W432" i="38" a="1"/>
  <c r="W432" i="38" s="1"/>
  <c r="AB432" i="38" s="1"/>
  <c r="W433" i="38" a="1"/>
  <c r="W433" i="38" s="1"/>
  <c r="AB433" i="38" s="1"/>
  <c r="W434" i="38" a="1"/>
  <c r="W434" i="38" s="1"/>
  <c r="AB434" i="38" s="1"/>
  <c r="W435" i="38" a="1"/>
  <c r="W435" i="38" s="1"/>
  <c r="AB435" i="38" s="1"/>
  <c r="W436" i="38" a="1"/>
  <c r="W436" i="38" s="1"/>
  <c r="AB436" i="38" s="1"/>
  <c r="W437" i="38" a="1"/>
  <c r="W437" i="38" s="1"/>
  <c r="AB437" i="38" s="1"/>
  <c r="W438" i="38" a="1"/>
  <c r="W438" i="38" s="1"/>
  <c r="AB438" i="38" s="1"/>
  <c r="W439" i="38" a="1"/>
  <c r="W439" i="38" s="1"/>
  <c r="AB439" i="38" s="1"/>
  <c r="W440" i="38" a="1"/>
  <c r="W440" i="38" s="1"/>
  <c r="AB440" i="38" s="1"/>
  <c r="W441" i="38" a="1"/>
  <c r="W441" i="38" s="1"/>
  <c r="W442" i="38" a="1"/>
  <c r="W442" i="38" s="1"/>
  <c r="W443" i="38" a="1"/>
  <c r="W443" i="38" s="1"/>
  <c r="W444" i="38" a="1"/>
  <c r="W444" i="38" s="1"/>
  <c r="W445" i="38" a="1"/>
  <c r="W445" i="38" s="1"/>
  <c r="W446" i="38" a="1"/>
  <c r="W446" i="38" s="1"/>
  <c r="W447" i="38" a="1"/>
  <c r="W447" i="38" s="1"/>
  <c r="W448" i="38" a="1"/>
  <c r="W448" i="38" s="1"/>
  <c r="W449" i="38" a="1"/>
  <c r="W449" i="38" s="1"/>
  <c r="W450" i="38" a="1"/>
  <c r="W450" i="38" s="1"/>
  <c r="W451" i="38" a="1"/>
  <c r="W451" i="38" s="1"/>
  <c r="W452" i="38" a="1"/>
  <c r="W452" i="38" s="1"/>
  <c r="W453" i="38" a="1"/>
  <c r="W453" i="38" s="1"/>
  <c r="W454" i="38" a="1"/>
  <c r="W454" i="38" s="1"/>
  <c r="W455" i="38" a="1"/>
  <c r="W455" i="38" s="1"/>
  <c r="W456" i="38" a="1"/>
  <c r="W456" i="38" s="1"/>
  <c r="W457" i="38" a="1"/>
  <c r="W457" i="38" s="1"/>
  <c r="W458" i="38" a="1"/>
  <c r="W458" i="38" s="1"/>
  <c r="W459" i="38" a="1"/>
  <c r="W459" i="38" s="1"/>
  <c r="AB459" i="38" s="1"/>
  <c r="W460" i="38" a="1"/>
  <c r="W460" i="38" s="1"/>
  <c r="AB460" i="38" s="1"/>
  <c r="W461" i="38" a="1"/>
  <c r="W461" i="38" s="1"/>
  <c r="AB461" i="38" s="1"/>
  <c r="W462" i="38" a="1"/>
  <c r="W462" i="38" s="1"/>
  <c r="AB462" i="38" s="1"/>
  <c r="W463" i="38" a="1"/>
  <c r="W463" i="38" s="1"/>
  <c r="AB463" i="38" s="1"/>
  <c r="W464" i="38" a="1"/>
  <c r="W464" i="38" s="1"/>
  <c r="AB464" i="38" s="1"/>
  <c r="W465" i="38" a="1"/>
  <c r="W465" i="38" s="1"/>
  <c r="AB465" i="38" s="1"/>
  <c r="W466" i="38" a="1"/>
  <c r="W466" i="38" s="1"/>
  <c r="AB466" i="38" s="1"/>
  <c r="W467" i="38" a="1"/>
  <c r="W467" i="38" s="1"/>
  <c r="AB467" i="38" s="1"/>
  <c r="W468" i="38" a="1"/>
  <c r="W468" i="38" s="1"/>
  <c r="AB468" i="38" s="1"/>
  <c r="W469" i="38" a="1"/>
  <c r="W469" i="38" s="1"/>
  <c r="AB469" i="38" s="1"/>
  <c r="W470" i="38" a="1"/>
  <c r="W470" i="38" s="1"/>
  <c r="AB470" i="38" s="1"/>
  <c r="W471" i="38" a="1"/>
  <c r="W471" i="38" s="1"/>
  <c r="AB471" i="38" s="1"/>
  <c r="W472" i="38" a="1"/>
  <c r="W472" i="38" s="1"/>
  <c r="AB472" i="38" s="1"/>
  <c r="W473" i="38" a="1"/>
  <c r="W473" i="38" s="1"/>
  <c r="AB473" i="38" s="1"/>
  <c r="W474" i="38" a="1"/>
  <c r="W474" i="38" s="1"/>
  <c r="AB474" i="38" s="1"/>
  <c r="W475" i="38" a="1"/>
  <c r="W475" i="38" s="1"/>
  <c r="AB475" i="38" s="1"/>
  <c r="W476" i="38" a="1"/>
  <c r="W476" i="38" s="1"/>
  <c r="AB476" i="38" s="1"/>
  <c r="W477" i="38" a="1"/>
  <c r="W477" i="38" s="1"/>
  <c r="AB477" i="38" s="1"/>
  <c r="W478" i="38" a="1"/>
  <c r="W478" i="38" s="1"/>
  <c r="W479" i="38" a="1"/>
  <c r="W479" i="38" s="1"/>
  <c r="W480" i="38" a="1"/>
  <c r="W480" i="38" s="1"/>
  <c r="W481" i="38" a="1"/>
  <c r="W481" i="38" s="1"/>
  <c r="W482" i="38" a="1"/>
  <c r="W482" i="38" s="1"/>
  <c r="W483" i="38" a="1"/>
  <c r="W483" i="38" s="1"/>
  <c r="W484" i="38" a="1"/>
  <c r="W484" i="38" s="1"/>
  <c r="W485" i="38" a="1"/>
  <c r="W485" i="38" s="1"/>
  <c r="W486" i="38" a="1"/>
  <c r="W486" i="38" s="1"/>
  <c r="W487" i="38" a="1"/>
  <c r="W487" i="38" s="1"/>
  <c r="W488" i="38" a="1"/>
  <c r="W488" i="38" s="1"/>
  <c r="W489" i="38" a="1"/>
  <c r="W489" i="38" s="1"/>
  <c r="W490" i="38" a="1"/>
  <c r="W490" i="38" s="1"/>
  <c r="W491" i="38" a="1"/>
  <c r="W491" i="38" s="1"/>
  <c r="W492" i="38" a="1"/>
  <c r="W492" i="38" s="1"/>
  <c r="W493" i="38" a="1"/>
  <c r="W493" i="38" s="1"/>
  <c r="W494" i="38" a="1"/>
  <c r="W494" i="38" s="1"/>
  <c r="W495" i="38" a="1"/>
  <c r="W495" i="38" s="1"/>
  <c r="W496" i="38" a="1"/>
  <c r="W496" i="38" s="1"/>
  <c r="AB496" i="38" s="1"/>
  <c r="W497" i="38" a="1"/>
  <c r="W497" i="38" s="1"/>
  <c r="AB497" i="38" s="1"/>
  <c r="W498" i="38" a="1"/>
  <c r="W498" i="38" s="1"/>
  <c r="AB498" i="38" s="1"/>
  <c r="W499" i="38" a="1"/>
  <c r="W499" i="38" s="1"/>
  <c r="AB499" i="38" s="1"/>
  <c r="W500" i="38" a="1"/>
  <c r="W500" i="38" s="1"/>
  <c r="AB500" i="38" s="1"/>
  <c r="W501" i="38" a="1"/>
  <c r="W501" i="38" s="1"/>
  <c r="AB501" i="38" s="1"/>
  <c r="W502" i="38" a="1"/>
  <c r="W502" i="38" s="1"/>
  <c r="AB502" i="38" s="1"/>
  <c r="W503" i="38" a="1"/>
  <c r="W503" i="38" s="1"/>
  <c r="AB503" i="38" s="1"/>
  <c r="W504" i="38" a="1"/>
  <c r="W504" i="38" s="1"/>
  <c r="AB504" i="38" s="1"/>
  <c r="W505" i="38" a="1"/>
  <c r="W505" i="38" s="1"/>
  <c r="AB505" i="38" s="1"/>
  <c r="W506" i="38" a="1"/>
  <c r="W506" i="38" s="1"/>
  <c r="AB506" i="38" s="1"/>
  <c r="W507" i="38" a="1"/>
  <c r="W507" i="38" s="1"/>
  <c r="AB507" i="38" s="1"/>
  <c r="W508" i="38" a="1"/>
  <c r="W508" i="38" s="1"/>
  <c r="AB508" i="38" s="1"/>
  <c r="W509" i="38" a="1"/>
  <c r="W509" i="38" s="1"/>
  <c r="AB509" i="38" s="1"/>
  <c r="W510" i="38" a="1"/>
  <c r="W510" i="38" s="1"/>
  <c r="AB510" i="38" s="1"/>
  <c r="W511" i="38" a="1"/>
  <c r="W511" i="38" s="1"/>
  <c r="AB511" i="38" s="1"/>
  <c r="W512" i="38" a="1"/>
  <c r="W512" i="38" s="1"/>
  <c r="AB512" i="38" s="1"/>
  <c r="W513" i="38" a="1"/>
  <c r="W513" i="38" s="1"/>
  <c r="AB513" i="38" s="1"/>
  <c r="W514" i="38" a="1"/>
  <c r="W514" i="38" s="1"/>
  <c r="AB514" i="38" s="1"/>
  <c r="W515" i="38" a="1"/>
  <c r="W515" i="38" s="1"/>
  <c r="W516" i="38" a="1"/>
  <c r="W516" i="38" s="1"/>
  <c r="W517" i="38" a="1"/>
  <c r="W517" i="38" s="1"/>
  <c r="W518" i="38" a="1"/>
  <c r="W518" i="38" s="1"/>
  <c r="W519" i="38" a="1"/>
  <c r="W519" i="38" s="1"/>
  <c r="W520" i="38" a="1"/>
  <c r="W520" i="38" s="1"/>
  <c r="W521" i="38" a="1"/>
  <c r="W521" i="38" s="1"/>
  <c r="W522" i="38" a="1"/>
  <c r="W522" i="38" s="1"/>
  <c r="W523" i="38" a="1"/>
  <c r="W523" i="38" s="1"/>
  <c r="W524" i="38" a="1"/>
  <c r="W524" i="38" s="1"/>
  <c r="W525" i="38" a="1"/>
  <c r="W525" i="38" s="1"/>
  <c r="W526" i="38" a="1"/>
  <c r="W526" i="38" s="1"/>
  <c r="W527" i="38" a="1"/>
  <c r="W527" i="38" s="1"/>
  <c r="W528" i="38" a="1"/>
  <c r="W528" i="38" s="1"/>
  <c r="W529" i="38" a="1"/>
  <c r="W529" i="38" s="1"/>
  <c r="W530" i="38" a="1"/>
  <c r="W530" i="38" s="1"/>
  <c r="W531" i="38" a="1"/>
  <c r="W531" i="38" s="1"/>
  <c r="W532" i="38" a="1"/>
  <c r="W532" i="38" s="1"/>
  <c r="W533" i="38" a="1"/>
  <c r="W533" i="38" s="1"/>
  <c r="W534" i="38" a="1"/>
  <c r="W534" i="38" s="1"/>
  <c r="AB534" i="38" s="1"/>
  <c r="W535" i="38" a="1"/>
  <c r="W535" i="38" s="1"/>
  <c r="AB535" i="38" s="1"/>
  <c r="W536" i="38" a="1"/>
  <c r="W536" i="38" s="1"/>
  <c r="AB536" i="38" s="1"/>
  <c r="W537" i="38" a="1"/>
  <c r="W537" i="38" s="1"/>
  <c r="AB537" i="38" s="1"/>
  <c r="W538" i="38" a="1"/>
  <c r="W538" i="38" s="1"/>
  <c r="AB538" i="38" s="1"/>
  <c r="W539" i="38" a="1"/>
  <c r="W539" i="38" s="1"/>
  <c r="AB539" i="38" s="1"/>
  <c r="W540" i="38" a="1"/>
  <c r="W540" i="38" s="1"/>
  <c r="AB540" i="38" s="1"/>
  <c r="W541" i="38" a="1"/>
  <c r="W541" i="38" s="1"/>
  <c r="AB541" i="38" s="1"/>
  <c r="W542" i="38" a="1"/>
  <c r="W542" i="38" s="1"/>
  <c r="AB542" i="38" s="1"/>
  <c r="W543" i="38" a="1"/>
  <c r="W543" i="38" s="1"/>
  <c r="AB543" i="38" s="1"/>
  <c r="W544" i="38" a="1"/>
  <c r="W544" i="38" s="1"/>
  <c r="AB544" i="38" s="1"/>
  <c r="W545" i="38" a="1"/>
  <c r="W545" i="38" s="1"/>
  <c r="AB545" i="38" s="1"/>
  <c r="W546" i="38" a="1"/>
  <c r="W546" i="38" s="1"/>
  <c r="AB546" i="38" s="1"/>
  <c r="W547" i="38" a="1"/>
  <c r="W547" i="38" s="1"/>
  <c r="AB547" i="38" s="1"/>
  <c r="W548" i="38" a="1"/>
  <c r="W548" i="38" s="1"/>
  <c r="AB548" i="38" s="1"/>
  <c r="W549" i="38" a="1"/>
  <c r="W549" i="38" s="1"/>
  <c r="AB549" i="38" s="1"/>
  <c r="W550" i="38" a="1"/>
  <c r="W550" i="38" s="1"/>
  <c r="AB550" i="38" s="1"/>
  <c r="W551" i="38" a="1"/>
  <c r="W551" i="38" s="1"/>
  <c r="AB551" i="38" s="1"/>
  <c r="W552" i="38" a="1"/>
  <c r="W552" i="38" s="1"/>
  <c r="AB552" i="38" s="1"/>
  <c r="W553" i="38" a="1"/>
  <c r="W553" i="38" s="1"/>
  <c r="AB553" i="38" s="1"/>
  <c r="W554" i="38" a="1"/>
  <c r="W554" i="38" s="1"/>
  <c r="W555" i="38" a="1"/>
  <c r="W555" i="38" s="1"/>
  <c r="W556" i="38" a="1"/>
  <c r="W556" i="38" s="1"/>
  <c r="W557" i="38" a="1"/>
  <c r="W557" i="38" s="1"/>
  <c r="W558" i="38" a="1"/>
  <c r="W558" i="38" s="1"/>
  <c r="W559" i="38" a="1"/>
  <c r="W559" i="38" s="1"/>
  <c r="W560" i="38" a="1"/>
  <c r="W560" i="38" s="1"/>
  <c r="W561" i="38" a="1"/>
  <c r="W561" i="38" s="1"/>
  <c r="W562" i="38" a="1"/>
  <c r="W562" i="38" s="1"/>
  <c r="W563" i="38" a="1"/>
  <c r="W563" i="38" s="1"/>
  <c r="W564" i="38" a="1"/>
  <c r="W564" i="38" s="1"/>
  <c r="W565" i="38" a="1"/>
  <c r="W565" i="38" s="1"/>
  <c r="W566" i="38" a="1"/>
  <c r="W566" i="38" s="1"/>
  <c r="W567" i="38" a="1"/>
  <c r="W567" i="38" s="1"/>
  <c r="W568" i="38" a="1"/>
  <c r="W568" i="38" s="1"/>
  <c r="W569" i="38" a="1"/>
  <c r="W569" i="38" s="1"/>
  <c r="W570" i="38" a="1"/>
  <c r="W570" i="38" s="1"/>
  <c r="W571" i="38" a="1"/>
  <c r="W571" i="38" s="1"/>
  <c r="W572" i="38" a="1"/>
  <c r="W572" i="38" s="1"/>
  <c r="W573" i="38" a="1"/>
  <c r="W573" i="38" s="1"/>
  <c r="AB573" i="38" s="1"/>
  <c r="W574" i="38" a="1"/>
  <c r="W574" i="38" s="1"/>
  <c r="AB574" i="38" s="1"/>
  <c r="W575" i="38" a="1"/>
  <c r="W575" i="38" s="1"/>
  <c r="AB575" i="38" s="1"/>
  <c r="W576" i="38" a="1"/>
  <c r="W576" i="38" s="1"/>
  <c r="AB576" i="38" s="1"/>
  <c r="W577" i="38" a="1"/>
  <c r="W577" i="38" s="1"/>
  <c r="AB577" i="38" s="1"/>
  <c r="W578" i="38" a="1"/>
  <c r="W578" i="38" s="1"/>
  <c r="AB578" i="38" s="1"/>
  <c r="W579" i="38" a="1"/>
  <c r="W579" i="38" s="1"/>
  <c r="AB579" i="38" s="1"/>
  <c r="W580" i="38" a="1"/>
  <c r="W580" i="38" s="1"/>
  <c r="AB580" i="38" s="1"/>
  <c r="W581" i="38" a="1"/>
  <c r="W581" i="38" s="1"/>
  <c r="AB581" i="38" s="1"/>
  <c r="W582" i="38" a="1"/>
  <c r="W582" i="38" s="1"/>
  <c r="AB582" i="38" s="1"/>
  <c r="W583" i="38" a="1"/>
  <c r="W583" i="38" s="1"/>
  <c r="AB583" i="38" s="1"/>
  <c r="W584" i="38" a="1"/>
  <c r="W584" i="38" s="1"/>
  <c r="AB584" i="38" s="1"/>
  <c r="W585" i="38" a="1"/>
  <c r="W585" i="38" s="1"/>
  <c r="AB585" i="38" s="1"/>
  <c r="W586" i="38" a="1"/>
  <c r="W586" i="38" s="1"/>
  <c r="AB586" i="38" s="1"/>
  <c r="W587" i="38" a="1"/>
  <c r="W587" i="38" s="1"/>
  <c r="AB587" i="38" s="1"/>
  <c r="W588" i="38" a="1"/>
  <c r="W588" i="38" s="1"/>
  <c r="AB588" i="38" s="1"/>
  <c r="W589" i="38" a="1"/>
  <c r="W589" i="38" s="1"/>
  <c r="AB589" i="38" s="1"/>
  <c r="W590" i="38" a="1"/>
  <c r="W590" i="38" s="1"/>
  <c r="AB590" i="38" s="1"/>
  <c r="W591" i="38" a="1"/>
  <c r="W591" i="38" s="1"/>
  <c r="AB591" i="38" s="1"/>
  <c r="W592" i="38" a="1"/>
  <c r="W592" i="38" s="1"/>
  <c r="AB592" i="38" s="1"/>
  <c r="W593" i="38" a="1"/>
  <c r="W593" i="38" s="1"/>
  <c r="W594" i="38" a="1"/>
  <c r="W594" i="38" s="1"/>
  <c r="W595" i="38" a="1"/>
  <c r="W595" i="38" s="1"/>
  <c r="W596" i="38" a="1"/>
  <c r="W596" i="38" s="1"/>
  <c r="W597" i="38" a="1"/>
  <c r="W597" i="38" s="1"/>
  <c r="W598" i="38" a="1"/>
  <c r="W598" i="38" s="1"/>
  <c r="W599" i="38" a="1"/>
  <c r="W599" i="38" s="1"/>
  <c r="W600" i="38" a="1"/>
  <c r="W600" i="38" s="1"/>
  <c r="W601" i="38" a="1"/>
  <c r="W601" i="38" s="1"/>
  <c r="W602" i="38" a="1"/>
  <c r="W602" i="38" s="1"/>
  <c r="W603" i="38" a="1"/>
  <c r="W603" i="38" s="1"/>
  <c r="W604" i="38" a="1"/>
  <c r="W604" i="38" s="1"/>
  <c r="W605" i="38" a="1"/>
  <c r="W605" i="38" s="1"/>
  <c r="W606" i="38" a="1"/>
  <c r="W606" i="38" s="1"/>
  <c r="W607" i="38" a="1"/>
  <c r="W607" i="38" s="1"/>
  <c r="W608" i="38" a="1"/>
  <c r="W608" i="38" s="1"/>
  <c r="W609" i="38" a="1"/>
  <c r="W609" i="38" s="1"/>
  <c r="W610" i="38" a="1"/>
  <c r="W610" i="38" s="1"/>
  <c r="W611" i="38" a="1"/>
  <c r="W611" i="38" s="1"/>
  <c r="W612" i="38" a="1"/>
  <c r="W612" i="38" s="1"/>
  <c r="W613" i="38" a="1"/>
  <c r="W613" i="38" s="1"/>
  <c r="AB613" i="38" s="1"/>
  <c r="W614" i="38" a="1"/>
  <c r="W614" i="38" s="1"/>
  <c r="AB614" i="38" s="1"/>
  <c r="W615" i="38" a="1"/>
  <c r="W615" i="38" s="1"/>
  <c r="AB615" i="38" s="1"/>
  <c r="W616" i="38" a="1"/>
  <c r="W616" i="38" s="1"/>
  <c r="AB616" i="38" s="1"/>
  <c r="W617" i="38" a="1"/>
  <c r="W617" i="38" s="1"/>
  <c r="AB617" i="38" s="1"/>
  <c r="W618" i="38" a="1"/>
  <c r="W618" i="38" s="1"/>
  <c r="AB618" i="38" s="1"/>
  <c r="W619" i="38" a="1"/>
  <c r="W619" i="38" s="1"/>
  <c r="AB619" i="38" s="1"/>
  <c r="W620" i="38" a="1"/>
  <c r="W620" i="38" s="1"/>
  <c r="AB620" i="38" s="1"/>
  <c r="W621" i="38" a="1"/>
  <c r="W621" i="38" s="1"/>
  <c r="AB621" i="38" s="1"/>
  <c r="W622" i="38" a="1"/>
  <c r="W622" i="38" s="1"/>
  <c r="AB622" i="38" s="1"/>
  <c r="W623" i="38" a="1"/>
  <c r="W623" i="38" s="1"/>
  <c r="AB623" i="38" s="1"/>
  <c r="W624" i="38" a="1"/>
  <c r="W624" i="38" s="1"/>
  <c r="AB624" i="38" s="1"/>
  <c r="W625" i="38" a="1"/>
  <c r="W625" i="38" s="1"/>
  <c r="AB625" i="38" s="1"/>
  <c r="W626" i="38" a="1"/>
  <c r="W626" i="38" s="1"/>
  <c r="AB626" i="38" s="1"/>
  <c r="W627" i="38" a="1"/>
  <c r="W627" i="38" s="1"/>
  <c r="AB627" i="38" s="1"/>
  <c r="W628" i="38" a="1"/>
  <c r="W628" i="38" s="1"/>
  <c r="AB628" i="38" s="1"/>
  <c r="W629" i="38" a="1"/>
  <c r="W629" i="38" s="1"/>
  <c r="AB629" i="38" s="1"/>
  <c r="W630" i="38" a="1"/>
  <c r="W630" i="38" s="1"/>
  <c r="AB630" i="38" s="1"/>
  <c r="W631" i="38" a="1"/>
  <c r="W631" i="38" s="1"/>
  <c r="AB631" i="38" s="1"/>
  <c r="W632" i="38" a="1"/>
  <c r="W632" i="38" s="1"/>
  <c r="AB632" i="38" s="1"/>
  <c r="W633" i="38" a="1"/>
  <c r="W633" i="38" s="1"/>
  <c r="AB633" i="38" s="1"/>
  <c r="W634" i="38" a="1"/>
  <c r="W634" i="38" s="1"/>
  <c r="W635" i="38" a="1"/>
  <c r="W635" i="38" s="1"/>
  <c r="W636" i="38" a="1"/>
  <c r="W636" i="38" s="1"/>
  <c r="W637" i="38" a="1"/>
  <c r="W637" i="38" s="1"/>
  <c r="W638" i="38" a="1"/>
  <c r="W638" i="38" s="1"/>
  <c r="W639" i="38" a="1"/>
  <c r="W639" i="38" s="1"/>
  <c r="W640" i="38" a="1"/>
  <c r="W640" i="38" s="1"/>
  <c r="W641" i="38" a="1"/>
  <c r="W641" i="38" s="1"/>
  <c r="W642" i="38" a="1"/>
  <c r="W642" i="38" s="1"/>
  <c r="W643" i="38" a="1"/>
  <c r="W643" i="38" s="1"/>
  <c r="W644" i="38" a="1"/>
  <c r="W644" i="38" s="1"/>
  <c r="W645" i="38" a="1"/>
  <c r="W645" i="38" s="1"/>
  <c r="W646" i="38" a="1"/>
  <c r="W646" i="38" s="1"/>
  <c r="W647" i="38" a="1"/>
  <c r="W647" i="38" s="1"/>
  <c r="W648" i="38" a="1"/>
  <c r="W648" i="38" s="1"/>
  <c r="W649" i="38" a="1"/>
  <c r="W649" i="38" s="1"/>
  <c r="W650" i="38" a="1"/>
  <c r="W650" i="38" s="1"/>
  <c r="W651" i="38" a="1"/>
  <c r="W651" i="38" s="1"/>
  <c r="W652" i="38" a="1"/>
  <c r="W652" i="38" s="1"/>
  <c r="W653" i="38" a="1"/>
  <c r="W653" i="38" s="1"/>
  <c r="W654" i="38" a="1"/>
  <c r="W654" i="38" s="1"/>
  <c r="AB654" i="38" s="1"/>
  <c r="W655" i="38" a="1"/>
  <c r="W655" i="38" s="1"/>
  <c r="AB655" i="38" s="1"/>
  <c r="W656" i="38" a="1"/>
  <c r="W656" i="38" s="1"/>
  <c r="AB656" i="38" s="1"/>
  <c r="W657" i="38" a="1"/>
  <c r="W657" i="38" s="1"/>
  <c r="AB657" i="38" s="1"/>
  <c r="W658" i="38" a="1"/>
  <c r="W658" i="38" s="1"/>
  <c r="AB658" i="38" s="1"/>
  <c r="W659" i="38" a="1"/>
  <c r="W659" i="38" s="1"/>
  <c r="AB659" i="38" s="1"/>
  <c r="W660" i="38" a="1"/>
  <c r="W660" i="38" s="1"/>
  <c r="AB660" i="38" s="1"/>
  <c r="W661" i="38" a="1"/>
  <c r="W661" i="38" s="1"/>
  <c r="AB661" i="38" s="1"/>
  <c r="W662" i="38" a="1"/>
  <c r="W662" i="38" s="1"/>
  <c r="AB662" i="38" s="1"/>
  <c r="W663" i="38" a="1"/>
  <c r="W663" i="38" s="1"/>
  <c r="AB663" i="38" s="1"/>
  <c r="W664" i="38" a="1"/>
  <c r="W664" i="38" s="1"/>
  <c r="AB664" i="38" s="1"/>
  <c r="W665" i="38" a="1"/>
  <c r="W665" i="38" s="1"/>
  <c r="AB665" i="38" s="1"/>
  <c r="W666" i="38" a="1"/>
  <c r="W666" i="38" s="1"/>
  <c r="AB666" i="38" s="1"/>
  <c r="W667" i="38" a="1"/>
  <c r="W667" i="38" s="1"/>
  <c r="AB667" i="38" s="1"/>
  <c r="W668" i="38" a="1"/>
  <c r="W668" i="38" s="1"/>
  <c r="AB668" i="38" s="1"/>
  <c r="W669" i="38" a="1"/>
  <c r="W669" i="38" s="1"/>
  <c r="AB669" i="38" s="1"/>
  <c r="W670" i="38" a="1"/>
  <c r="W670" i="38" s="1"/>
  <c r="AB670" i="38" s="1"/>
  <c r="W671" i="38" a="1"/>
  <c r="W671" i="38" s="1"/>
  <c r="AB671" i="38" s="1"/>
  <c r="W672" i="38" a="1"/>
  <c r="W672" i="38" s="1"/>
  <c r="AB672" i="38" s="1"/>
  <c r="W673" i="38" a="1"/>
  <c r="W673" i="38" s="1"/>
  <c r="AB673" i="38" s="1"/>
  <c r="W674" i="38" a="1"/>
  <c r="W674" i="38" s="1"/>
  <c r="AB674" i="38" s="1"/>
  <c r="W675" i="38" a="1"/>
  <c r="W675" i="38" s="1"/>
  <c r="W676" i="38" a="1"/>
  <c r="W676" i="38" s="1"/>
  <c r="W677" i="38" a="1"/>
  <c r="W677" i="38" s="1"/>
  <c r="W678" i="38" a="1"/>
  <c r="W678" i="38" s="1"/>
  <c r="W679" i="38" a="1"/>
  <c r="W679" i="38" s="1"/>
  <c r="W680" i="38" a="1"/>
  <c r="W680" i="38" s="1"/>
  <c r="W681" i="38" a="1"/>
  <c r="W681" i="38" s="1"/>
  <c r="W682" i="38" a="1"/>
  <c r="W682" i="38" s="1"/>
  <c r="W683" i="38" a="1"/>
  <c r="W683" i="38" s="1"/>
  <c r="W684" i="38" a="1"/>
  <c r="W684" i="38" s="1"/>
  <c r="W685" i="38" a="1"/>
  <c r="W685" i="38" s="1"/>
  <c r="W686" i="38" a="1"/>
  <c r="W686" i="38" s="1"/>
  <c r="W687" i="38" a="1"/>
  <c r="W687" i="38" s="1"/>
  <c r="W688" i="38" a="1"/>
  <c r="W688" i="38" s="1"/>
  <c r="W689" i="38" a="1"/>
  <c r="W689" i="38" s="1"/>
  <c r="W690" i="38" a="1"/>
  <c r="W690" i="38" s="1"/>
  <c r="W691" i="38" a="1"/>
  <c r="W691" i="38" s="1"/>
  <c r="W692" i="38" a="1"/>
  <c r="W692" i="38" s="1"/>
  <c r="W693" i="38" a="1"/>
  <c r="W693" i="38" s="1"/>
  <c r="W694" i="38" a="1"/>
  <c r="W694" i="38" s="1"/>
  <c r="W695" i="38" a="1"/>
  <c r="W695" i="38" s="1"/>
  <c r="W696" i="38" a="1"/>
  <c r="W696" i="38" s="1"/>
  <c r="AB696" i="38" s="1"/>
  <c r="W697" i="38" a="1"/>
  <c r="W697" i="38" s="1"/>
  <c r="AB697" i="38" s="1"/>
  <c r="W698" i="38" a="1"/>
  <c r="W698" i="38" s="1"/>
  <c r="AB698" i="38" s="1"/>
  <c r="W699" i="38" a="1"/>
  <c r="W699" i="38" s="1"/>
  <c r="AB699" i="38" s="1"/>
  <c r="W700" i="38" a="1"/>
  <c r="W700" i="38" s="1"/>
  <c r="AB700" i="38" s="1"/>
  <c r="W701" i="38" a="1"/>
  <c r="W701" i="38" s="1"/>
  <c r="AB701" i="38" s="1"/>
  <c r="W702" i="38" a="1"/>
  <c r="W702" i="38" s="1"/>
  <c r="AB702" i="38" s="1"/>
  <c r="W703" i="38" a="1"/>
  <c r="W703" i="38" s="1"/>
  <c r="AB703" i="38" s="1"/>
  <c r="W704" i="38" a="1"/>
  <c r="W704" i="38" s="1"/>
  <c r="AB704" i="38" s="1"/>
  <c r="W705" i="38" a="1"/>
  <c r="W705" i="38" s="1"/>
  <c r="AB705" i="38" s="1"/>
  <c r="W706" i="38" a="1"/>
  <c r="W706" i="38" s="1"/>
  <c r="AB706" i="38" s="1"/>
  <c r="W707" i="38" a="1"/>
  <c r="W707" i="38" s="1"/>
  <c r="AB707" i="38" s="1"/>
  <c r="W708" i="38" a="1"/>
  <c r="W708" i="38" s="1"/>
  <c r="AB708" i="38" s="1"/>
  <c r="W709" i="38" a="1"/>
  <c r="W709" i="38" s="1"/>
  <c r="AB709" i="38" s="1"/>
  <c r="W710" i="38" a="1"/>
  <c r="W710" i="38" s="1"/>
  <c r="AB710" i="38" s="1"/>
  <c r="W711" i="38" a="1"/>
  <c r="W711" i="38" s="1"/>
  <c r="AB711" i="38" s="1"/>
  <c r="W712" i="38" a="1"/>
  <c r="W712" i="38" s="1"/>
  <c r="AB712" i="38" s="1"/>
  <c r="W713" i="38" a="1"/>
  <c r="W713" i="38" s="1"/>
  <c r="AB713" i="38" s="1"/>
  <c r="W714" i="38" a="1"/>
  <c r="W714" i="38" s="1"/>
  <c r="AB714" i="38" s="1"/>
  <c r="W715" i="38" a="1"/>
  <c r="W715" i="38" s="1"/>
  <c r="AB715" i="38" s="1"/>
  <c r="W716" i="38" a="1"/>
  <c r="W716" i="38" s="1"/>
  <c r="AB716" i="38" s="1"/>
  <c r="W717" i="38" a="1"/>
  <c r="W717" i="38" s="1"/>
  <c r="AB717" i="38" s="1"/>
  <c r="W718" i="38" a="1"/>
  <c r="W718" i="38" s="1"/>
  <c r="W719" i="38" a="1"/>
  <c r="W719" i="38" s="1"/>
  <c r="W720" i="38" a="1"/>
  <c r="W720" i="38" s="1"/>
  <c r="W721" i="38" a="1"/>
  <c r="W721" i="38" s="1"/>
  <c r="W722" i="38" a="1"/>
  <c r="W722" i="38" s="1"/>
  <c r="W723" i="38" a="1"/>
  <c r="W723" i="38" s="1"/>
  <c r="W724" i="38" a="1"/>
  <c r="W724" i="38" s="1"/>
  <c r="W725" i="38" a="1"/>
  <c r="W725" i="38" s="1"/>
  <c r="W726" i="38" a="1"/>
  <c r="W726" i="38" s="1"/>
  <c r="W727" i="38" a="1"/>
  <c r="W727" i="38" s="1"/>
  <c r="W728" i="38" a="1"/>
  <c r="W728" i="38" s="1"/>
  <c r="W729" i="38" a="1"/>
  <c r="W729" i="38" s="1"/>
  <c r="W730" i="38" a="1"/>
  <c r="W730" i="38" s="1"/>
  <c r="W731" i="38" a="1"/>
  <c r="W731" i="38" s="1"/>
  <c r="W732" i="38" a="1"/>
  <c r="W732" i="38" s="1"/>
  <c r="W733" i="38" a="1"/>
  <c r="W733" i="38" s="1"/>
  <c r="W734" i="38" a="1"/>
  <c r="W734" i="38" s="1"/>
  <c r="W735" i="38" a="1"/>
  <c r="W735" i="38" s="1"/>
  <c r="W736" i="38" a="1"/>
  <c r="W736" i="38" s="1"/>
  <c r="W737" i="38" a="1"/>
  <c r="W737" i="38" s="1"/>
  <c r="W738" i="38" a="1"/>
  <c r="W738" i="38" s="1"/>
  <c r="W739" i="38" a="1"/>
  <c r="W739" i="38" s="1"/>
  <c r="AB739" i="38" s="1"/>
  <c r="W740" i="38" a="1"/>
  <c r="W740" i="38" s="1"/>
  <c r="AB740" i="38" s="1"/>
  <c r="W741" i="38" a="1"/>
  <c r="W741" i="38" s="1"/>
  <c r="AB741" i="38" s="1"/>
  <c r="W742" i="38" a="1"/>
  <c r="W742" i="38" s="1"/>
  <c r="AB742" i="38" s="1"/>
  <c r="W743" i="38" a="1"/>
  <c r="W743" i="38" s="1"/>
  <c r="AB743" i="38" s="1"/>
  <c r="W744" i="38" a="1"/>
  <c r="W744" i="38" s="1"/>
  <c r="AB744" i="38" s="1"/>
  <c r="W745" i="38" a="1"/>
  <c r="W745" i="38" s="1"/>
  <c r="AB745" i="38" s="1"/>
  <c r="W746" i="38" a="1"/>
  <c r="W746" i="38" s="1"/>
  <c r="AB746" i="38" s="1"/>
  <c r="W747" i="38" a="1"/>
  <c r="W747" i="38" s="1"/>
  <c r="AB747" i="38" s="1"/>
  <c r="W748" i="38" a="1"/>
  <c r="W748" i="38" s="1"/>
  <c r="AB748" i="38" s="1"/>
  <c r="W749" i="38" a="1"/>
  <c r="W749" i="38" s="1"/>
  <c r="AB749" i="38" s="1"/>
  <c r="W750" i="38" a="1"/>
  <c r="W750" i="38" s="1"/>
  <c r="AB750" i="38" s="1"/>
  <c r="W751" i="38" a="1"/>
  <c r="W751" i="38" s="1"/>
  <c r="AB751" i="38" s="1"/>
  <c r="W752" i="38" a="1"/>
  <c r="W752" i="38" s="1"/>
  <c r="AB752" i="38" s="1"/>
  <c r="W753" i="38" a="1"/>
  <c r="W753" i="38" s="1"/>
  <c r="AB753" i="38" s="1"/>
  <c r="W754" i="38" a="1"/>
  <c r="W754" i="38" s="1"/>
  <c r="AB754" i="38" s="1"/>
  <c r="W755" i="38" a="1"/>
  <c r="W755" i="38" s="1"/>
  <c r="AB755" i="38" s="1"/>
  <c r="W756" i="38" a="1"/>
  <c r="W756" i="38" s="1"/>
  <c r="AB756" i="38" s="1"/>
  <c r="W757" i="38" a="1"/>
  <c r="W757" i="38" s="1"/>
  <c r="AB757" i="38" s="1"/>
  <c r="W758" i="38" a="1"/>
  <c r="W758" i="38" s="1"/>
  <c r="AB758" i="38" s="1"/>
  <c r="W759" i="38" a="1"/>
  <c r="W759" i="38" s="1"/>
  <c r="AB759" i="38" s="1"/>
  <c r="W760" i="38" a="1"/>
  <c r="W760" i="38" s="1"/>
  <c r="AB760" i="38" s="1"/>
  <c r="W761" i="38" a="1"/>
  <c r="W761" i="38" s="1"/>
  <c r="W762" i="38" a="1"/>
  <c r="W762" i="38" s="1"/>
  <c r="W763" i="38" a="1"/>
  <c r="W763" i="38" s="1"/>
  <c r="W764" i="38" a="1"/>
  <c r="W764" i="38" s="1"/>
  <c r="W765" i="38" a="1"/>
  <c r="W765" i="38" s="1"/>
  <c r="W766" i="38" a="1"/>
  <c r="W766" i="38" s="1"/>
  <c r="W767" i="38" a="1"/>
  <c r="W767" i="38" s="1"/>
  <c r="W768" i="38" a="1"/>
  <c r="W768" i="38" s="1"/>
  <c r="W769" i="38" a="1"/>
  <c r="W769" i="38" s="1"/>
  <c r="W770" i="38" a="1"/>
  <c r="W770" i="38" s="1"/>
  <c r="W771" i="38" a="1"/>
  <c r="W771" i="38" s="1"/>
  <c r="W772" i="38" a="1"/>
  <c r="W772" i="38" s="1"/>
  <c r="W773" i="38" a="1"/>
  <c r="W773" i="38" s="1"/>
  <c r="W774" i="38" a="1"/>
  <c r="W774" i="38" s="1"/>
  <c r="W775" i="38" a="1"/>
  <c r="W775" i="38" s="1"/>
  <c r="W776" i="38" a="1"/>
  <c r="W776" i="38" s="1"/>
  <c r="W777" i="38" a="1"/>
  <c r="W777" i="38" s="1"/>
  <c r="W778" i="38" a="1"/>
  <c r="W778" i="38" s="1"/>
  <c r="W779" i="38" a="1"/>
  <c r="W779" i="38" s="1"/>
  <c r="W780" i="38" a="1"/>
  <c r="W780" i="38" s="1"/>
  <c r="W781" i="38" a="1"/>
  <c r="W781" i="38" s="1"/>
  <c r="W782" i="38" a="1"/>
  <c r="W782" i="38" s="1"/>
  <c r="W783" i="38" a="1"/>
  <c r="W783" i="38" s="1"/>
  <c r="AB783" i="38" s="1"/>
  <c r="W784" i="38" a="1"/>
  <c r="W784" i="38" s="1"/>
  <c r="AB784" i="38" s="1"/>
  <c r="W785" i="38" a="1"/>
  <c r="W785" i="38" s="1"/>
  <c r="AB785" i="38" s="1"/>
  <c r="W786" i="38" a="1"/>
  <c r="W786" i="38" s="1"/>
  <c r="AB786" i="38" s="1"/>
  <c r="W787" i="38" a="1"/>
  <c r="W787" i="38" s="1"/>
  <c r="AB787" i="38" s="1"/>
  <c r="W788" i="38" a="1"/>
  <c r="W788" i="38" s="1"/>
  <c r="AB788" i="38" s="1"/>
  <c r="W789" i="38" a="1"/>
  <c r="W789" i="38" s="1"/>
  <c r="AB789" i="38" s="1"/>
  <c r="W790" i="38" a="1"/>
  <c r="W790" i="38" s="1"/>
  <c r="AB790" i="38" s="1"/>
  <c r="W791" i="38" a="1"/>
  <c r="W791" i="38" s="1"/>
  <c r="AB791" i="38" s="1"/>
  <c r="W792" i="38" a="1"/>
  <c r="W792" i="38" s="1"/>
  <c r="AB792" i="38" s="1"/>
  <c r="W793" i="38" a="1"/>
  <c r="W793" i="38" s="1"/>
  <c r="AB793" i="38" s="1"/>
  <c r="W794" i="38" a="1"/>
  <c r="W794" i="38" s="1"/>
  <c r="AB794" i="38" s="1"/>
  <c r="W795" i="38" a="1"/>
  <c r="W795" i="38" s="1"/>
  <c r="AB795" i="38" s="1"/>
  <c r="W796" i="38" a="1"/>
  <c r="W796" i="38" s="1"/>
  <c r="AB796" i="38" s="1"/>
  <c r="W797" i="38" a="1"/>
  <c r="W797" i="38" s="1"/>
  <c r="AB797" i="38" s="1"/>
  <c r="W798" i="38" a="1"/>
  <c r="W798" i="38" s="1"/>
  <c r="AB798" i="38" s="1"/>
  <c r="W799" i="38" a="1"/>
  <c r="W799" i="38" s="1"/>
  <c r="AB799" i="38" s="1"/>
  <c r="W800" i="38" a="1"/>
  <c r="W800" i="38" s="1"/>
  <c r="AB800" i="38" s="1"/>
  <c r="W801" i="38" a="1"/>
  <c r="W801" i="38" s="1"/>
  <c r="AB801" i="38" s="1"/>
  <c r="W802" i="38" a="1"/>
  <c r="W802" i="38" s="1"/>
  <c r="AB802" i="38" s="1"/>
  <c r="W803" i="38" a="1"/>
  <c r="W803" i="38" s="1"/>
  <c r="AB803" i="38" s="1"/>
  <c r="W804" i="38" a="1"/>
  <c r="W804" i="38" s="1"/>
  <c r="AB804" i="38" s="1"/>
  <c r="W805" i="38" a="1"/>
  <c r="W805" i="38" s="1"/>
  <c r="AB805" i="38" s="1"/>
  <c r="W806" i="38" a="1"/>
  <c r="W806" i="38" s="1"/>
  <c r="AB806" i="38" s="1"/>
  <c r="W807" i="38" a="1"/>
  <c r="W807" i="38" s="1"/>
  <c r="W808" i="38" a="1"/>
  <c r="W808" i="38" s="1"/>
  <c r="W809" i="38" a="1"/>
  <c r="W809" i="38" s="1"/>
  <c r="W810" i="38" a="1"/>
  <c r="W810" i="38" s="1"/>
  <c r="W811" i="38" a="1"/>
  <c r="W811" i="38" s="1"/>
  <c r="W812" i="38" a="1"/>
  <c r="W812" i="38" s="1"/>
  <c r="W813" i="38" a="1"/>
  <c r="W813" i="38" s="1"/>
  <c r="W814" i="38" a="1"/>
  <c r="W814" i="38" s="1"/>
  <c r="W815" i="38" a="1"/>
  <c r="W815" i="38" s="1"/>
  <c r="W816" i="38" a="1"/>
  <c r="W816" i="38" s="1"/>
  <c r="W817" i="38" a="1"/>
  <c r="W817" i="38" s="1"/>
  <c r="W818" i="38" a="1"/>
  <c r="W818" i="38" s="1"/>
  <c r="W819" i="38" a="1"/>
  <c r="W819" i="38" s="1"/>
  <c r="W820" i="38" a="1"/>
  <c r="W820" i="38" s="1"/>
  <c r="W821" i="38" a="1"/>
  <c r="W821" i="38" s="1"/>
  <c r="W822" i="38" a="1"/>
  <c r="W822" i="38" s="1"/>
  <c r="W823" i="38" a="1"/>
  <c r="W823" i="38" s="1"/>
  <c r="W824" i="38" a="1"/>
  <c r="W824" i="38" s="1"/>
  <c r="W825" i="38" a="1"/>
  <c r="W825" i="38" s="1"/>
  <c r="W826" i="38" a="1"/>
  <c r="W826" i="38" s="1"/>
  <c r="W827" i="38" a="1"/>
  <c r="W827" i="38" s="1"/>
  <c r="W828" i="38" a="1"/>
  <c r="W828" i="38" s="1"/>
  <c r="AB828" i="38" s="1"/>
  <c r="W829" i="38" a="1"/>
  <c r="W829" i="38" s="1"/>
  <c r="AB829" i="38" s="1"/>
  <c r="W830" i="38" a="1"/>
  <c r="W830" i="38" s="1"/>
  <c r="AB830" i="38" s="1"/>
  <c r="W831" i="38" a="1"/>
  <c r="W831" i="38" s="1"/>
  <c r="AB831" i="38" s="1"/>
  <c r="W832" i="38" a="1"/>
  <c r="W832" i="38" s="1"/>
  <c r="AB832" i="38" s="1"/>
  <c r="W833" i="38" a="1"/>
  <c r="W833" i="38" s="1"/>
  <c r="AB833" i="38" s="1"/>
  <c r="W834" i="38" a="1"/>
  <c r="W834" i="38" s="1"/>
  <c r="AB834" i="38" s="1"/>
  <c r="W835" i="38" a="1"/>
  <c r="W835" i="38" s="1"/>
  <c r="AB835" i="38" s="1"/>
  <c r="W836" i="38" a="1"/>
  <c r="W836" i="38" s="1"/>
  <c r="AB836" i="38" s="1"/>
  <c r="W837" i="38" a="1"/>
  <c r="W837" i="38" s="1"/>
  <c r="AB837" i="38" s="1"/>
  <c r="W838" i="38" a="1"/>
  <c r="W838" i="38" s="1"/>
  <c r="AB838" i="38" s="1"/>
  <c r="W839" i="38" a="1"/>
  <c r="W839" i="38" s="1"/>
  <c r="AB839" i="38" s="1"/>
  <c r="W840" i="38" a="1"/>
  <c r="W840" i="38" s="1"/>
  <c r="AB840" i="38" s="1"/>
  <c r="W841" i="38" a="1"/>
  <c r="W841" i="38" s="1"/>
  <c r="AB841" i="38" s="1"/>
  <c r="W842" i="38" a="1"/>
  <c r="W842" i="38" s="1"/>
  <c r="AB842" i="38" s="1"/>
  <c r="W843" i="38" a="1"/>
  <c r="W843" i="38" s="1"/>
  <c r="AB843" i="38" s="1"/>
  <c r="W844" i="38" a="1"/>
  <c r="W844" i="38" s="1"/>
  <c r="AB844" i="38" s="1"/>
  <c r="W845" i="38" a="1"/>
  <c r="W845" i="38" s="1"/>
  <c r="AB845" i="38" s="1"/>
  <c r="W846" i="38" a="1"/>
  <c r="W846" i="38" s="1"/>
  <c r="AB846" i="38" s="1"/>
  <c r="W847" i="38" a="1"/>
  <c r="W847" i="38" s="1"/>
  <c r="AB847" i="38" s="1"/>
  <c r="W848" i="38" a="1"/>
  <c r="W848" i="38" s="1"/>
  <c r="AB848" i="38" s="1"/>
  <c r="W849" i="38" a="1"/>
  <c r="W849" i="38" s="1"/>
  <c r="AB849" i="38" s="1"/>
  <c r="W850" i="38" a="1"/>
  <c r="W850" i="38" s="1"/>
  <c r="AB850" i="38" s="1"/>
  <c r="W851" i="38" a="1"/>
  <c r="W851" i="38" s="1"/>
  <c r="AB851" i="38" s="1"/>
  <c r="W852" i="38" a="1"/>
  <c r="W852" i="38" s="1"/>
  <c r="AB852" i="38" s="1"/>
  <c r="W853" i="38" a="1"/>
  <c r="W853" i="38" s="1"/>
  <c r="AB853" i="38" s="1"/>
  <c r="W854" i="38" a="1"/>
  <c r="W854" i="38" s="1"/>
  <c r="W855" i="38" a="1"/>
  <c r="W855" i="38" s="1"/>
  <c r="W856" i="38" a="1"/>
  <c r="W856" i="38" s="1"/>
  <c r="Z856" i="38" s="1"/>
  <c r="W857" i="38" a="1"/>
  <c r="W857" i="38" s="1"/>
  <c r="W858" i="38" a="1"/>
  <c r="W858" i="38" s="1"/>
  <c r="W859" i="38" a="1"/>
  <c r="W859" i="38" s="1"/>
  <c r="W860" i="38" a="1"/>
  <c r="W860" i="38" s="1"/>
  <c r="Z860" i="38" s="1"/>
  <c r="W861" i="38" a="1"/>
  <c r="W861" i="38" s="1"/>
  <c r="W862" i="38" a="1"/>
  <c r="W862" i="38" s="1"/>
  <c r="W863" i="38" a="1"/>
  <c r="W863" i="38" s="1"/>
  <c r="W864" i="38" a="1"/>
  <c r="W864" i="38" s="1"/>
  <c r="Z864" i="38" s="1"/>
  <c r="W865" i="38" a="1"/>
  <c r="W865" i="38" s="1"/>
  <c r="W866" i="38" a="1"/>
  <c r="W866" i="38" s="1"/>
  <c r="W867" i="38" a="1"/>
  <c r="W867" i="38" s="1"/>
  <c r="W868" i="38" a="1"/>
  <c r="W868" i="38" s="1"/>
  <c r="Z868" i="38" s="1"/>
  <c r="W869" i="38" a="1"/>
  <c r="W869" i="38" s="1"/>
  <c r="W870" i="38" a="1"/>
  <c r="W870" i="38" s="1"/>
  <c r="W871" i="38" a="1"/>
  <c r="W871" i="38" s="1"/>
  <c r="W872" i="38" a="1"/>
  <c r="W872" i="38" s="1"/>
  <c r="Z872" i="38" s="1"/>
  <c r="W873" i="38" a="1"/>
  <c r="W873" i="38" s="1"/>
  <c r="W874" i="38" a="1"/>
  <c r="W874" i="38" s="1"/>
  <c r="AB874" i="38" s="1"/>
  <c r="W875" i="38" a="1"/>
  <c r="W875" i="38" s="1"/>
  <c r="AB875" i="38" s="1"/>
  <c r="W876" i="38" a="1"/>
  <c r="W876" i="38" s="1"/>
  <c r="AB876" i="38" s="1"/>
  <c r="W877" i="38" a="1"/>
  <c r="W877" i="38" s="1"/>
  <c r="AB877" i="38" s="1"/>
  <c r="W878" i="38" a="1"/>
  <c r="W878" i="38" s="1"/>
  <c r="AB878" i="38" s="1"/>
  <c r="W879" i="38" a="1"/>
  <c r="W879" i="38" s="1"/>
  <c r="AB879" i="38" s="1"/>
  <c r="W880" i="38" a="1"/>
  <c r="W880" i="38" s="1"/>
  <c r="AB880" i="38" s="1"/>
  <c r="W881" i="38" a="1"/>
  <c r="W881" i="38" s="1"/>
  <c r="AB881" i="38" s="1"/>
  <c r="W882" i="38" a="1"/>
  <c r="W882" i="38" s="1"/>
  <c r="AB882" i="38" s="1"/>
  <c r="W883" i="38" a="1"/>
  <c r="W883" i="38" s="1"/>
  <c r="AB883" i="38" s="1"/>
  <c r="W884" i="38" a="1"/>
  <c r="W884" i="38" s="1"/>
  <c r="AB884" i="38" s="1"/>
  <c r="W885" i="38" a="1"/>
  <c r="W885" i="38" s="1"/>
  <c r="AB885" i="38" s="1"/>
  <c r="W886" i="38" a="1"/>
  <c r="W886" i="38" s="1"/>
  <c r="AB886" i="38" s="1"/>
  <c r="W887" i="38" a="1"/>
  <c r="W887" i="38" s="1"/>
  <c r="AB887" i="38" s="1"/>
  <c r="W888" i="38" a="1"/>
  <c r="W888" i="38" s="1"/>
  <c r="AB888" i="38" s="1"/>
  <c r="W889" i="38" a="1"/>
  <c r="W889" i="38" s="1"/>
  <c r="AB889" i="38" s="1"/>
  <c r="W890" i="38" a="1"/>
  <c r="W890" i="38" s="1"/>
  <c r="AB890" i="38" s="1"/>
  <c r="W891" i="38" a="1"/>
  <c r="W891" i="38" s="1"/>
  <c r="AB891" i="38" s="1"/>
  <c r="W892" i="38" a="1"/>
  <c r="W892" i="38" s="1"/>
  <c r="AB892" i="38" s="1"/>
  <c r="W893" i="38" a="1"/>
  <c r="W893" i="38" s="1"/>
  <c r="AB893" i="38" s="1"/>
  <c r="W894" i="38" a="1"/>
  <c r="W894" i="38" s="1"/>
  <c r="AB894" i="38" s="1"/>
  <c r="W895" i="38" a="1"/>
  <c r="W895" i="38" s="1"/>
  <c r="AB895" i="38" s="1"/>
  <c r="W896" i="38" a="1"/>
  <c r="W896" i="38" s="1"/>
  <c r="AB896" i="38" s="1"/>
  <c r="W897" i="38" a="1"/>
  <c r="W897" i="38" s="1"/>
  <c r="AB897" i="38" s="1"/>
  <c r="W898" i="38" a="1"/>
  <c r="W898" i="38" s="1"/>
  <c r="AB898" i="38" s="1"/>
  <c r="W899" i="38" a="1"/>
  <c r="W899" i="38" s="1"/>
  <c r="AB899" i="38" s="1"/>
  <c r="W900" i="38" a="1"/>
  <c r="W900" i="38" s="1"/>
  <c r="AB900" i="38" s="1"/>
  <c r="W901" i="38" a="1"/>
  <c r="W901" i="38" s="1"/>
  <c r="W902" i="38" a="1"/>
  <c r="W902" i="38" s="1"/>
  <c r="W903" i="38" a="1"/>
  <c r="W903" i="38" s="1"/>
  <c r="W904" i="38" a="1"/>
  <c r="W904" i="38" s="1"/>
  <c r="Z904" i="38" s="1"/>
  <c r="W905" i="38" a="1"/>
  <c r="W905" i="38" s="1"/>
  <c r="W906" i="38" a="1"/>
  <c r="W906" i="38" s="1"/>
  <c r="W907" i="38" a="1"/>
  <c r="W907" i="38" s="1"/>
  <c r="W908" i="38" a="1"/>
  <c r="W908" i="38" s="1"/>
  <c r="Z908" i="38" s="1"/>
  <c r="W909" i="38" a="1"/>
  <c r="W909" i="38" s="1"/>
  <c r="W910" i="38" a="1"/>
  <c r="W910" i="38" s="1"/>
  <c r="W911" i="38" a="1"/>
  <c r="W911" i="38" s="1"/>
  <c r="W912" i="38" a="1"/>
  <c r="W912" i="38" s="1"/>
  <c r="Z912" i="38" s="1"/>
  <c r="W913" i="38" a="1"/>
  <c r="W913" i="38" s="1"/>
  <c r="W914" i="38" a="1"/>
  <c r="W914" i="38" s="1"/>
  <c r="W915" i="38" a="1"/>
  <c r="W915" i="38" s="1"/>
  <c r="W916" i="38" a="1"/>
  <c r="W916" i="38" s="1"/>
  <c r="Z916" i="38" s="1"/>
  <c r="W917" i="38" a="1"/>
  <c r="W917" i="38" s="1"/>
  <c r="W918" i="38" a="1"/>
  <c r="W918" i="38" s="1"/>
  <c r="W919" i="38" a="1"/>
  <c r="W919" i="38" s="1"/>
  <c r="AB919" i="38" s="1"/>
  <c r="W920" i="38" a="1"/>
  <c r="W920" i="38" s="1"/>
  <c r="AB920" i="38" s="1"/>
  <c r="W921" i="38" a="1"/>
  <c r="W921" i="38" s="1"/>
  <c r="AB921" i="38" s="1"/>
  <c r="W922" i="38" a="1"/>
  <c r="W922" i="38" s="1"/>
  <c r="AB922" i="38" s="1"/>
  <c r="W923" i="38" a="1"/>
  <c r="W923" i="38" s="1"/>
  <c r="AB923" i="38" s="1"/>
  <c r="W924" i="38" a="1"/>
  <c r="W924" i="38" s="1"/>
  <c r="AB924" i="38" s="1"/>
  <c r="W925" i="38" a="1"/>
  <c r="W925" i="38" s="1"/>
  <c r="AB925" i="38" s="1"/>
  <c r="W926" i="38" a="1"/>
  <c r="W926" i="38" s="1"/>
  <c r="AB926" i="38" s="1"/>
  <c r="W927" i="38" a="1"/>
  <c r="W927" i="38" s="1"/>
  <c r="AB927" i="38" s="1"/>
  <c r="W928" i="38" a="1"/>
  <c r="W928" i="38" s="1"/>
  <c r="AB928" i="38" s="1"/>
  <c r="W929" i="38" a="1"/>
  <c r="W929" i="38" s="1"/>
  <c r="AB929" i="38" s="1"/>
  <c r="W930" i="38" a="1"/>
  <c r="W930" i="38" s="1"/>
  <c r="AB930" i="38" s="1"/>
  <c r="W931" i="38" a="1"/>
  <c r="W931" i="38" s="1"/>
  <c r="AB931" i="38" s="1"/>
  <c r="W932" i="38" a="1"/>
  <c r="W932" i="38" s="1"/>
  <c r="AB932" i="38" s="1"/>
  <c r="W933" i="38" a="1"/>
  <c r="W933" i="38" s="1"/>
  <c r="AB933" i="38" s="1"/>
  <c r="W934" i="38" a="1"/>
  <c r="W934" i="38" s="1"/>
  <c r="AB934" i="38" s="1"/>
  <c r="W935" i="38" a="1"/>
  <c r="W935" i="38" s="1"/>
  <c r="AB935" i="38" s="1"/>
  <c r="W936" i="38" a="1"/>
  <c r="W936" i="38" s="1"/>
  <c r="AB936" i="38" s="1"/>
  <c r="W937" i="38" a="1"/>
  <c r="W937" i="38" s="1"/>
  <c r="AB937" i="38" s="1"/>
  <c r="W938" i="38" a="1"/>
  <c r="W938" i="38" s="1"/>
  <c r="AB938" i="38" s="1"/>
  <c r="W939" i="38" a="1"/>
  <c r="W939" i="38" s="1"/>
  <c r="AB939" i="38" s="1"/>
  <c r="W940" i="38" a="1"/>
  <c r="W940" i="38" s="1"/>
  <c r="AB940" i="38" s="1"/>
  <c r="W941" i="38" a="1"/>
  <c r="W941" i="38" s="1"/>
  <c r="AB941" i="38" s="1"/>
  <c r="W942" i="38" a="1"/>
  <c r="W942" i="38" s="1"/>
  <c r="AB942" i="38" s="1"/>
  <c r="W943" i="38" a="1"/>
  <c r="W943" i="38" s="1"/>
  <c r="AB943" i="38" s="1"/>
  <c r="W944" i="38" a="1"/>
  <c r="W944" i="38" s="1"/>
  <c r="AB944" i="38" s="1"/>
  <c r="W945" i="38" a="1"/>
  <c r="W945" i="38" s="1"/>
  <c r="AB945" i="38" s="1"/>
  <c r="W946" i="38" a="1"/>
  <c r="W946" i="38" s="1"/>
  <c r="AB946" i="38" s="1"/>
  <c r="W947" i="38" a="1"/>
  <c r="W947" i="38" s="1"/>
  <c r="W948" i="38" a="1"/>
  <c r="W948" i="38" s="1"/>
  <c r="Z948" i="38" s="1"/>
  <c r="W949" i="38" a="1"/>
  <c r="W949" i="38" s="1"/>
  <c r="W950" i="38" a="1"/>
  <c r="W950" i="38" s="1"/>
  <c r="W951" i="38" a="1"/>
  <c r="W951" i="38" s="1"/>
  <c r="W952" i="38" a="1"/>
  <c r="W952" i="38" s="1"/>
  <c r="Z952" i="38" s="1"/>
  <c r="W953" i="38" a="1"/>
  <c r="W953" i="38" s="1"/>
  <c r="W954" i="38" a="1"/>
  <c r="W954" i="38" s="1"/>
  <c r="W955" i="38" a="1"/>
  <c r="W955" i="38" s="1"/>
  <c r="W956" i="38" a="1"/>
  <c r="W956" i="38" s="1"/>
  <c r="Z956" i="38" s="1"/>
  <c r="W957" i="38" a="1"/>
  <c r="W957" i="38" s="1"/>
  <c r="W958" i="38" a="1"/>
  <c r="W958" i="38" s="1"/>
  <c r="W959" i="38" a="1"/>
  <c r="W959" i="38" s="1"/>
  <c r="W960" i="38" a="1"/>
  <c r="W960" i="38" s="1"/>
  <c r="Z960" i="38" s="1"/>
  <c r="W961" i="38" a="1"/>
  <c r="W961" i="38" s="1"/>
  <c r="W962" i="38" a="1"/>
  <c r="W962" i="38" s="1"/>
  <c r="W963" i="38" a="1"/>
  <c r="W963" i="38" s="1"/>
  <c r="AB963" i="38" s="1"/>
  <c r="W964" i="38" a="1"/>
  <c r="W964" i="38" s="1"/>
  <c r="AB964" i="38" s="1"/>
  <c r="W965" i="38" a="1"/>
  <c r="W965" i="38" s="1"/>
  <c r="AB965" i="38" s="1"/>
  <c r="W966" i="38" a="1"/>
  <c r="W966" i="38" s="1"/>
  <c r="AB966" i="38" s="1"/>
  <c r="W967" i="38" a="1"/>
  <c r="W967" i="38" s="1"/>
  <c r="AB967" i="38" s="1"/>
  <c r="W968" i="38" a="1"/>
  <c r="W968" i="38" s="1"/>
  <c r="AB968" i="38" s="1"/>
  <c r="W969" i="38" a="1"/>
  <c r="W969" i="38" s="1"/>
  <c r="AB969" i="38" s="1"/>
  <c r="W970" i="38" a="1"/>
  <c r="W970" i="38" s="1"/>
  <c r="AB970" i="38" s="1"/>
  <c r="W971" i="38" a="1"/>
  <c r="W971" i="38" s="1"/>
  <c r="AB971" i="38" s="1"/>
  <c r="W972" i="38" a="1"/>
  <c r="W972" i="38" s="1"/>
  <c r="AB972" i="38" s="1"/>
  <c r="W973" i="38" a="1"/>
  <c r="W973" i="38" s="1"/>
  <c r="AB973" i="38" s="1"/>
  <c r="W974" i="38" a="1"/>
  <c r="W974" i="38" s="1"/>
  <c r="AB974" i="38" s="1"/>
  <c r="W975" i="38" a="1"/>
  <c r="W975" i="38" s="1"/>
  <c r="AB975" i="38" s="1"/>
  <c r="W976" i="38" a="1"/>
  <c r="W976" i="38" s="1"/>
  <c r="AB976" i="38" s="1"/>
  <c r="W977" i="38" a="1"/>
  <c r="W977" i="38" s="1"/>
  <c r="AB977" i="38" s="1"/>
  <c r="W978" i="38" a="1"/>
  <c r="W978" i="38" s="1"/>
  <c r="AB978" i="38" s="1"/>
  <c r="W979" i="38" a="1"/>
  <c r="W979" i="38" s="1"/>
  <c r="AB979" i="38" s="1"/>
  <c r="W980" i="38" a="1"/>
  <c r="W980" i="38" s="1"/>
  <c r="AB980" i="38" s="1"/>
  <c r="W981" i="38" a="1"/>
  <c r="W981" i="38" s="1"/>
  <c r="AB981" i="38" s="1"/>
  <c r="W982" i="38" a="1"/>
  <c r="W982" i="38" s="1"/>
  <c r="AB982" i="38" s="1"/>
  <c r="W983" i="38" a="1"/>
  <c r="W983" i="38" s="1"/>
  <c r="AB983" i="38" s="1"/>
  <c r="W984" i="38" a="1"/>
  <c r="W984" i="38" s="1"/>
  <c r="AB984" i="38" s="1"/>
  <c r="W985" i="38" a="1"/>
  <c r="W985" i="38" s="1"/>
  <c r="AB985" i="38" s="1"/>
  <c r="W986" i="38" a="1"/>
  <c r="W986" i="38" s="1"/>
  <c r="AB986" i="38" s="1"/>
  <c r="W987" i="38" a="1"/>
  <c r="W987" i="38" s="1"/>
  <c r="AB987" i="38" s="1"/>
  <c r="W988" i="38" a="1"/>
  <c r="W988" i="38" s="1"/>
  <c r="AB988" i="38" s="1"/>
  <c r="W989" i="38" a="1"/>
  <c r="W989" i="38" s="1"/>
  <c r="AB989" i="38" s="1"/>
  <c r="W990" i="38" a="1"/>
  <c r="W990" i="38" s="1"/>
  <c r="AB990" i="38" s="1"/>
  <c r="W991" i="38" a="1"/>
  <c r="W991" i="38" s="1"/>
  <c r="AB991" i="38" s="1"/>
  <c r="W992" i="38" a="1"/>
  <c r="W992" i="38" s="1"/>
  <c r="Z992" i="38" s="1"/>
  <c r="W993" i="38" a="1"/>
  <c r="W993" i="38" s="1"/>
  <c r="W994" i="38" a="1"/>
  <c r="W994" i="38" s="1"/>
  <c r="W995" i="38" a="1"/>
  <c r="W995" i="38" s="1"/>
  <c r="W996" i="38" a="1"/>
  <c r="W996" i="38" s="1"/>
  <c r="Z996" i="38" s="1"/>
  <c r="W997" i="38" a="1"/>
  <c r="W997" i="38" s="1"/>
  <c r="W998" i="38" a="1"/>
  <c r="W998" i="38" s="1"/>
  <c r="W999" i="38" a="1"/>
  <c r="W999" i="38" s="1"/>
  <c r="W1000" i="38" a="1"/>
  <c r="W1000" i="38" s="1"/>
  <c r="Z1000" i="38" s="1"/>
  <c r="W1001" i="38" a="1"/>
  <c r="W1001" i="38" s="1"/>
  <c r="W1002" i="38" a="1"/>
  <c r="W1002" i="38" s="1"/>
  <c r="W1003" i="38" a="1"/>
  <c r="W1003" i="38" s="1"/>
  <c r="W1004" i="38" a="1"/>
  <c r="W1004" i="38" s="1"/>
  <c r="Z1004" i="38" s="1"/>
  <c r="W1005" i="38" a="1"/>
  <c r="W1005" i="38" s="1"/>
  <c r="W1006" i="38" a="1"/>
  <c r="W1006" i="38" s="1"/>
  <c r="AB1006" i="38" s="1"/>
  <c r="W1007" i="38" a="1"/>
  <c r="W1007" i="38" s="1"/>
  <c r="AB1007" i="38" s="1"/>
  <c r="W1008" i="38" a="1"/>
  <c r="W1008" i="38" s="1"/>
  <c r="AB1008" i="38" s="1"/>
  <c r="W1009" i="38" a="1"/>
  <c r="W1009" i="38" s="1"/>
  <c r="AB1009" i="38" s="1"/>
  <c r="W1010" i="38" a="1"/>
  <c r="W1010" i="38" s="1"/>
  <c r="AB1010" i="38" s="1"/>
  <c r="W1011" i="38" a="1"/>
  <c r="W1011" i="38" s="1"/>
  <c r="AB1011" i="38" s="1"/>
  <c r="W1012" i="38" a="1"/>
  <c r="W1012" i="38" s="1"/>
  <c r="AB1012" i="38" s="1"/>
  <c r="W1013" i="38" a="1"/>
  <c r="W1013" i="38" s="1"/>
  <c r="AB1013" i="38" s="1"/>
  <c r="W1014" i="38" a="1"/>
  <c r="W1014" i="38" s="1"/>
  <c r="AB1014" i="38" s="1"/>
  <c r="W1015" i="38" a="1"/>
  <c r="W1015" i="38" s="1"/>
  <c r="AB1015" i="38" s="1"/>
  <c r="W1016" i="38" a="1"/>
  <c r="W1016" i="38" s="1"/>
  <c r="AB1016" i="38" s="1"/>
  <c r="W1017" i="38" a="1"/>
  <c r="W1017" i="38" s="1"/>
  <c r="AB1017" i="38" s="1"/>
  <c r="W1018" i="38" a="1"/>
  <c r="W1018" i="38" s="1"/>
  <c r="AB1018" i="38" s="1"/>
  <c r="W1019" i="38" a="1"/>
  <c r="W1019" i="38" s="1"/>
  <c r="AB1019" i="38" s="1"/>
  <c r="W1020" i="38" a="1"/>
  <c r="W1020" i="38" s="1"/>
  <c r="AB1020" i="38" s="1"/>
  <c r="W1021" i="38" a="1"/>
  <c r="W1021" i="38" s="1"/>
  <c r="AB1021" i="38" s="1"/>
  <c r="W1022" i="38" a="1"/>
  <c r="W1022" i="38" s="1"/>
  <c r="AB1022" i="38" s="1"/>
  <c r="W1023" i="38" a="1"/>
  <c r="W1023" i="38" s="1"/>
  <c r="AB1023" i="38" s="1"/>
  <c r="W1024" i="38" a="1"/>
  <c r="W1024" i="38" s="1"/>
  <c r="AB1024" i="38" s="1"/>
  <c r="W1025" i="38" a="1"/>
  <c r="W1025" i="38" s="1"/>
  <c r="AB1025" i="38" s="1"/>
  <c r="W1026" i="38" a="1"/>
  <c r="W1026" i="38" s="1"/>
  <c r="AB1026" i="38" s="1"/>
  <c r="W1027" i="38" a="1"/>
  <c r="W1027" i="38" s="1"/>
  <c r="AB1027" i="38" s="1"/>
  <c r="W1028" i="38" a="1"/>
  <c r="W1028" i="38" s="1"/>
  <c r="AB1028" i="38" s="1"/>
  <c r="W1029" i="38" a="1"/>
  <c r="W1029" i="38" s="1"/>
  <c r="AB1029" i="38" s="1"/>
  <c r="W1030" i="38" a="1"/>
  <c r="W1030" i="38" s="1"/>
  <c r="AB1030" i="38" s="1"/>
  <c r="W1031" i="38" a="1"/>
  <c r="W1031" i="38" s="1"/>
  <c r="AB1031" i="38" s="1"/>
  <c r="W1032" i="38" a="1"/>
  <c r="W1032" i="38" s="1"/>
  <c r="AB1032" i="38" s="1"/>
  <c r="W1033" i="38" a="1"/>
  <c r="W1033" i="38" s="1"/>
  <c r="AB1033" i="38" s="1"/>
  <c r="W1034" i="38" a="1"/>
  <c r="W1034" i="38" s="1"/>
  <c r="AB1034" i="38" s="1"/>
  <c r="W1035" i="38" a="1"/>
  <c r="W1035" i="38" s="1"/>
  <c r="AB1035" i="38" s="1"/>
  <c r="W1036" i="38" a="1"/>
  <c r="W1036" i="38" s="1"/>
  <c r="Z1036" i="38" s="1"/>
  <c r="W1037" i="38" a="1"/>
  <c r="W1037" i="38" s="1"/>
  <c r="W1038" i="38" a="1"/>
  <c r="W1038" i="38" s="1"/>
  <c r="W1039" i="38" a="1"/>
  <c r="W1039" i="38" s="1"/>
  <c r="W1040" i="38" a="1"/>
  <c r="W1040" i="38" s="1"/>
  <c r="Z1040" i="38" s="1"/>
  <c r="W1041" i="38" a="1"/>
  <c r="W1041" i="38" s="1"/>
  <c r="W1042" i="38" a="1"/>
  <c r="W1042" i="38" s="1"/>
  <c r="W1043" i="38" a="1"/>
  <c r="W1043" i="38" s="1"/>
  <c r="W1044" i="38" a="1"/>
  <c r="W1044" i="38" s="1"/>
  <c r="Z1044" i="38" s="1"/>
  <c r="W1045" i="38" a="1"/>
  <c r="W1045" i="38" s="1"/>
  <c r="W1046" i="38" a="1"/>
  <c r="W1046" i="38" s="1"/>
  <c r="W1047" i="38" a="1"/>
  <c r="W1047" i="38" s="1"/>
  <c r="W1048" i="38" a="1"/>
  <c r="W1048" i="38" s="1"/>
  <c r="AB1048" i="38" s="1"/>
  <c r="W1049" i="38" a="1"/>
  <c r="W1049" i="38" s="1"/>
  <c r="AB1049" i="38" s="1"/>
  <c r="W1050" i="38" a="1"/>
  <c r="W1050" i="38" s="1"/>
  <c r="AB1050" i="38" s="1"/>
  <c r="W1051" i="38" a="1"/>
  <c r="W1051" i="38" s="1"/>
  <c r="AB1051" i="38" s="1"/>
  <c r="W1052" i="38" a="1"/>
  <c r="W1052" i="38" s="1"/>
  <c r="AB1052" i="38" s="1"/>
  <c r="W1053" i="38" a="1"/>
  <c r="W1053" i="38" s="1"/>
  <c r="AB1053" i="38" s="1"/>
  <c r="W1054" i="38" a="1"/>
  <c r="W1054" i="38" s="1"/>
  <c r="AB1054" i="38" s="1"/>
  <c r="W1055" i="38" a="1"/>
  <c r="W1055" i="38" s="1"/>
  <c r="AB1055" i="38" s="1"/>
  <c r="W1056" i="38" a="1"/>
  <c r="W1056" i="38" s="1"/>
  <c r="AB1056" i="38" s="1"/>
  <c r="W1057" i="38" a="1"/>
  <c r="W1057" i="38" s="1"/>
  <c r="AB1057" i="38" s="1"/>
  <c r="W1058" i="38" a="1"/>
  <c r="W1058" i="38" s="1"/>
  <c r="AB1058" i="38" s="1"/>
  <c r="W1059" i="38" a="1"/>
  <c r="W1059" i="38" s="1"/>
  <c r="AB1059" i="38" s="1"/>
  <c r="W1060" i="38" a="1"/>
  <c r="W1060" i="38" s="1"/>
  <c r="AB1060" i="38" s="1"/>
  <c r="W1061" i="38" a="1"/>
  <c r="W1061" i="38" s="1"/>
  <c r="AB1061" i="38" s="1"/>
  <c r="W1062" i="38" a="1"/>
  <c r="W1062" i="38" s="1"/>
  <c r="AB1062" i="38" s="1"/>
  <c r="W1063" i="38" a="1"/>
  <c r="W1063" i="38" s="1"/>
  <c r="AB1063" i="38" s="1"/>
  <c r="W1064" i="38" a="1"/>
  <c r="W1064" i="38" s="1"/>
  <c r="AB1064" i="38" s="1"/>
  <c r="W1065" i="38" a="1"/>
  <c r="W1065" i="38" s="1"/>
  <c r="AB1065" i="38" s="1"/>
  <c r="W1066" i="38" a="1"/>
  <c r="W1066" i="38" s="1"/>
  <c r="AB1066" i="38" s="1"/>
  <c r="W1067" i="38" a="1"/>
  <c r="W1067" i="38" s="1"/>
  <c r="AB1067" i="38" s="1"/>
  <c r="W1068" i="38" a="1"/>
  <c r="W1068" i="38" s="1"/>
  <c r="AB1068" i="38" s="1"/>
  <c r="W1069" i="38" a="1"/>
  <c r="W1069" i="38" s="1"/>
  <c r="AB1069" i="38" s="1"/>
  <c r="W1070" i="38" a="1"/>
  <c r="W1070" i="38" s="1"/>
  <c r="AB1070" i="38" s="1"/>
  <c r="W1071" i="38" a="1"/>
  <c r="W1071" i="38" s="1"/>
  <c r="AB1071" i="38" s="1"/>
  <c r="W1072" i="38" a="1"/>
  <c r="W1072" i="38" s="1"/>
  <c r="AB1072" i="38" s="1"/>
  <c r="W1073" i="38" a="1"/>
  <c r="W1073" i="38" s="1"/>
  <c r="AB1073" i="38" s="1"/>
  <c r="W1074" i="38" a="1"/>
  <c r="W1074" i="38" s="1"/>
  <c r="AB1074" i="38" s="1"/>
  <c r="W1075" i="38" a="1"/>
  <c r="W1075" i="38" s="1"/>
  <c r="AB1075" i="38" s="1"/>
  <c r="W1076" i="38" a="1"/>
  <c r="W1076" i="38" s="1"/>
  <c r="AB1076" i="38" s="1"/>
  <c r="W1077" i="38" a="1"/>
  <c r="W1077" i="38" s="1"/>
  <c r="AB1077" i="38" s="1"/>
  <c r="W1078" i="38" a="1"/>
  <c r="W1078" i="38" s="1"/>
  <c r="AB1078" i="38" s="1"/>
  <c r="W1079" i="38" a="1"/>
  <c r="W1079" i="38" s="1"/>
  <c r="W1080" i="38" a="1"/>
  <c r="W1080" i="38" s="1"/>
  <c r="Z1080" i="38" s="1"/>
  <c r="W1081" i="38" a="1"/>
  <c r="W1081" i="38" s="1"/>
  <c r="W1082" i="38" a="1"/>
  <c r="W1082" i="38" s="1"/>
  <c r="W1083" i="38" a="1"/>
  <c r="W1083" i="38" s="1"/>
  <c r="W1084" i="38" a="1"/>
  <c r="W1084" i="38" s="1"/>
  <c r="Z1084" i="38" s="1"/>
  <c r="W1085" i="38" a="1"/>
  <c r="W1085" i="38" s="1"/>
  <c r="W1086" i="38" a="1"/>
  <c r="W1086" i="38" s="1"/>
  <c r="W1087" i="38" a="1"/>
  <c r="W1087" i="38" s="1"/>
  <c r="W1088" i="38" a="1"/>
  <c r="W1088" i="38" s="1"/>
  <c r="Z1088" i="38" s="1"/>
  <c r="W1089" i="38" a="1"/>
  <c r="W1089" i="38" s="1"/>
  <c r="AB1089" i="38" s="1"/>
  <c r="W1090" i="38" a="1"/>
  <c r="W1090" i="38" s="1"/>
  <c r="AB1090" i="38" s="1"/>
  <c r="W1091" i="38" a="1"/>
  <c r="W1091" i="38" s="1"/>
  <c r="AB1091" i="38" s="1"/>
  <c r="W1092" i="38" a="1"/>
  <c r="W1092" i="38" s="1"/>
  <c r="AB1092" i="38" s="1"/>
  <c r="W1093" i="38" a="1"/>
  <c r="W1093" i="38" s="1"/>
  <c r="AB1093" i="38" s="1"/>
  <c r="W1094" i="38" a="1"/>
  <c r="W1094" i="38" s="1"/>
  <c r="AB1094" i="38" s="1"/>
  <c r="W1095" i="38" a="1"/>
  <c r="W1095" i="38" s="1"/>
  <c r="AB1095" i="38" s="1"/>
  <c r="W1096" i="38" a="1"/>
  <c r="W1096" i="38" s="1"/>
  <c r="AB1096" i="38" s="1"/>
  <c r="W1097" i="38" a="1"/>
  <c r="W1097" i="38" s="1"/>
  <c r="AB1097" i="38" s="1"/>
  <c r="W1098" i="38" a="1"/>
  <c r="W1098" i="38" s="1"/>
  <c r="AB1098" i="38" s="1"/>
  <c r="W1099" i="38" a="1"/>
  <c r="W1099" i="38" s="1"/>
  <c r="AB1099" i="38" s="1"/>
  <c r="W1100" i="38" a="1"/>
  <c r="W1100" i="38" s="1"/>
  <c r="AB1100" i="38" s="1"/>
  <c r="W1101" i="38" a="1"/>
  <c r="W1101" i="38" s="1"/>
  <c r="AB1101" i="38" s="1"/>
  <c r="W1102" i="38" a="1"/>
  <c r="W1102" i="38" s="1"/>
  <c r="AB1102" i="38" s="1"/>
  <c r="W1103" i="38" a="1"/>
  <c r="W1103" i="38" s="1"/>
  <c r="AB1103" i="38" s="1"/>
  <c r="W1104" i="38" a="1"/>
  <c r="W1104" i="38" s="1"/>
  <c r="AB1104" i="38" s="1"/>
  <c r="W1105" i="38" a="1"/>
  <c r="W1105" i="38" s="1"/>
  <c r="AB1105" i="38" s="1"/>
  <c r="W1106" i="38" a="1"/>
  <c r="W1106" i="38" s="1"/>
  <c r="AB1106" i="38" s="1"/>
  <c r="W1107" i="38" a="1"/>
  <c r="W1107" i="38" s="1"/>
  <c r="AB1107" i="38" s="1"/>
  <c r="W1108" i="38" a="1"/>
  <c r="W1108" i="38" s="1"/>
  <c r="AB1108" i="38" s="1"/>
  <c r="W1109" i="38" a="1"/>
  <c r="W1109" i="38" s="1"/>
  <c r="AB1109" i="38" s="1"/>
  <c r="W1110" i="38" a="1"/>
  <c r="W1110" i="38" s="1"/>
  <c r="AB1110" i="38" s="1"/>
  <c r="W1111" i="38" a="1"/>
  <c r="W1111" i="38" s="1"/>
  <c r="AB1111" i="38" s="1"/>
  <c r="W1112" i="38" a="1"/>
  <c r="W1112" i="38" s="1"/>
  <c r="AB1112" i="38" s="1"/>
  <c r="W1113" i="38" a="1"/>
  <c r="W1113" i="38" s="1"/>
  <c r="AB1113" i="38" s="1"/>
  <c r="W1114" i="38" a="1"/>
  <c r="W1114" i="38" s="1"/>
  <c r="AB1114" i="38" s="1"/>
  <c r="W1115" i="38" a="1"/>
  <c r="W1115" i="38" s="1"/>
  <c r="AB1115" i="38" s="1"/>
  <c r="W1116" i="38" a="1"/>
  <c r="W1116" i="38" s="1"/>
  <c r="AB1116" i="38" s="1"/>
  <c r="W1117" i="38" a="1"/>
  <c r="W1117" i="38" s="1"/>
  <c r="AB1117" i="38" s="1"/>
  <c r="W1118" i="38" a="1"/>
  <c r="W1118" i="38" s="1"/>
  <c r="AB1118" i="38" s="1"/>
  <c r="W1119" i="38" a="1"/>
  <c r="W1119" i="38" s="1"/>
  <c r="AB1119" i="38" s="1"/>
  <c r="W1120" i="38" a="1"/>
  <c r="W1120" i="38" s="1"/>
  <c r="AB1120" i="38" s="1"/>
  <c r="W1121" i="38" a="1"/>
  <c r="W1121" i="38" s="1"/>
  <c r="Z1121" i="38" s="1"/>
  <c r="W1122" i="38" a="1"/>
  <c r="W1122" i="38" s="1"/>
  <c r="Z1122" i="38" s="1"/>
  <c r="W1123" i="38" a="1"/>
  <c r="W1123" i="38" s="1"/>
  <c r="Z1123" i="38" s="1"/>
  <c r="W1124" i="38" a="1"/>
  <c r="W1124" i="38" s="1"/>
  <c r="Z1124" i="38" s="1"/>
  <c r="W1125" i="38" a="1"/>
  <c r="W1125" i="38" s="1"/>
  <c r="Z1125" i="38" s="1"/>
  <c r="W1126" i="38" a="1"/>
  <c r="W1126" i="38" s="1"/>
  <c r="Z1126" i="38" s="1"/>
  <c r="W1127" i="38" a="1"/>
  <c r="W1127" i="38" s="1"/>
  <c r="Z1127" i="38" s="1"/>
  <c r="W1128" i="38" a="1"/>
  <c r="W1128" i="38" s="1"/>
  <c r="Z1128" i="38" s="1"/>
  <c r="W1129" i="38" a="1"/>
  <c r="W1129" i="38" s="1"/>
  <c r="AB1129" i="38" s="1"/>
  <c r="W1130" i="38" a="1"/>
  <c r="W1130" i="38" s="1"/>
  <c r="AB1130" i="38" s="1"/>
  <c r="W1131" i="38" a="1"/>
  <c r="W1131" i="38" s="1"/>
  <c r="AB1131" i="38" s="1"/>
  <c r="W1132" i="38" a="1"/>
  <c r="W1132" i="38" s="1"/>
  <c r="AB1132" i="38" s="1"/>
  <c r="W1133" i="38" a="1"/>
  <c r="W1133" i="38" s="1"/>
  <c r="AB1133" i="38" s="1"/>
  <c r="W1134" i="38" a="1"/>
  <c r="W1134" i="38" s="1"/>
  <c r="AB1134" i="38" s="1"/>
  <c r="W1135" i="38" a="1"/>
  <c r="W1135" i="38" s="1"/>
  <c r="AB1135" i="38" s="1"/>
  <c r="W1136" i="38" a="1"/>
  <c r="W1136" i="38" s="1"/>
  <c r="AB1136" i="38" s="1"/>
  <c r="W1137" i="38" a="1"/>
  <c r="W1137" i="38" s="1"/>
  <c r="AB1137" i="38" s="1"/>
  <c r="W1138" i="38" a="1"/>
  <c r="W1138" i="38" s="1"/>
  <c r="AB1138" i="38" s="1"/>
  <c r="W1139" i="38" a="1"/>
  <c r="W1139" i="38" s="1"/>
  <c r="AB1139" i="38" s="1"/>
  <c r="W1140" i="38" a="1"/>
  <c r="W1140" i="38" s="1"/>
  <c r="AB1140" i="38" s="1"/>
  <c r="W1141" i="38" a="1"/>
  <c r="W1141" i="38" s="1"/>
  <c r="AB1141" i="38" s="1"/>
  <c r="W1142" i="38" a="1"/>
  <c r="W1142" i="38" s="1"/>
  <c r="AB1142" i="38" s="1"/>
  <c r="W1143" i="38" a="1"/>
  <c r="W1143" i="38" s="1"/>
  <c r="AB1143" i="38" s="1"/>
  <c r="W1144" i="38" a="1"/>
  <c r="W1144" i="38" s="1"/>
  <c r="AB1144" i="38" s="1"/>
  <c r="W1145" i="38" a="1"/>
  <c r="W1145" i="38" s="1"/>
  <c r="AB1145" i="38" s="1"/>
  <c r="W1146" i="38" a="1"/>
  <c r="W1146" i="38" s="1"/>
  <c r="AB1146" i="38" s="1"/>
  <c r="W1147" i="38" a="1"/>
  <c r="W1147" i="38" s="1"/>
  <c r="AB1147" i="38" s="1"/>
  <c r="W1148" i="38" a="1"/>
  <c r="W1148" i="38" s="1"/>
  <c r="AB1148" i="38" s="1"/>
  <c r="W1149" i="38" a="1"/>
  <c r="W1149" i="38" s="1"/>
  <c r="AB1149" i="38" s="1"/>
  <c r="W1150" i="38" a="1"/>
  <c r="W1150" i="38" s="1"/>
  <c r="AB1150" i="38" s="1"/>
  <c r="W1151" i="38" a="1"/>
  <c r="W1151" i="38" s="1"/>
  <c r="AB1151" i="38" s="1"/>
  <c r="W1152" i="38" a="1"/>
  <c r="W1152" i="38" s="1"/>
  <c r="AB1152" i="38" s="1"/>
  <c r="W1153" i="38" a="1"/>
  <c r="W1153" i="38" s="1"/>
  <c r="AB1153" i="38" s="1"/>
  <c r="W1154" i="38" a="1"/>
  <c r="W1154" i="38" s="1"/>
  <c r="AB1154" i="38" s="1"/>
  <c r="W1155" i="38" a="1"/>
  <c r="W1155" i="38" s="1"/>
  <c r="AB1155" i="38" s="1"/>
  <c r="W1156" i="38" a="1"/>
  <c r="W1156" i="38" s="1"/>
  <c r="AB1156" i="38" s="1"/>
  <c r="W1157" i="38" a="1"/>
  <c r="W1157" i="38" s="1"/>
  <c r="AB1157" i="38" s="1"/>
  <c r="W1158" i="38" a="1"/>
  <c r="W1158" i="38" s="1"/>
  <c r="AB1158" i="38" s="1"/>
  <c r="W1159" i="38" a="1"/>
  <c r="W1159" i="38" s="1"/>
  <c r="AB1159" i="38" s="1"/>
  <c r="W1160" i="38" a="1"/>
  <c r="W1160" i="38" s="1"/>
  <c r="AB1160" i="38" s="1"/>
  <c r="W1161" i="38" a="1"/>
  <c r="W1161" i="38" s="1"/>
  <c r="AB1161" i="38" s="1"/>
  <c r="W1162" i="38" a="1"/>
  <c r="W1162" i="38" s="1"/>
  <c r="Z1162" i="38" s="1"/>
  <c r="W1163" i="38" a="1"/>
  <c r="W1163" i="38" s="1"/>
  <c r="Z1163" i="38" s="1"/>
  <c r="W1164" i="38" a="1"/>
  <c r="W1164" i="38" s="1"/>
  <c r="Z1164" i="38" s="1"/>
  <c r="W1165" i="38" a="1"/>
  <c r="W1165" i="38" s="1"/>
  <c r="Z1165" i="38" s="1"/>
  <c r="W1166" i="38" a="1"/>
  <c r="W1166" i="38" s="1"/>
  <c r="Z1166" i="38" s="1"/>
  <c r="W1167" i="38" a="1"/>
  <c r="W1167" i="38" s="1"/>
  <c r="Z1167" i="38" s="1"/>
  <c r="W1168" i="38" a="1"/>
  <c r="W1168" i="38" s="1"/>
  <c r="AB1168" i="38" s="1"/>
  <c r="W1169" i="38" a="1"/>
  <c r="W1169" i="38" s="1"/>
  <c r="AB1169" i="38" s="1"/>
  <c r="W1170" i="38" a="1"/>
  <c r="W1170" i="38" s="1"/>
  <c r="AB1170" i="38" s="1"/>
  <c r="W1171" i="38" a="1"/>
  <c r="W1171" i="38" s="1"/>
  <c r="AB1171" i="38" s="1"/>
  <c r="W1172" i="38" a="1"/>
  <c r="W1172" i="38" s="1"/>
  <c r="AB1172" i="38" s="1"/>
  <c r="W1173" i="38" a="1"/>
  <c r="W1173" i="38" s="1"/>
  <c r="AB1173" i="38" s="1"/>
  <c r="W1174" i="38" a="1"/>
  <c r="W1174" i="38" s="1"/>
  <c r="AB1174" i="38" s="1"/>
  <c r="W1175" i="38" a="1"/>
  <c r="W1175" i="38" s="1"/>
  <c r="AB1175" i="38" s="1"/>
  <c r="W1176" i="38" a="1"/>
  <c r="W1176" i="38" s="1"/>
  <c r="AB1176" i="38" s="1"/>
  <c r="W1177" i="38" a="1"/>
  <c r="W1177" i="38" s="1"/>
  <c r="AB1177" i="38" s="1"/>
  <c r="W1178" i="38" a="1"/>
  <c r="W1178" i="38" s="1"/>
  <c r="AB1178" i="38" s="1"/>
  <c r="W1179" i="38" a="1"/>
  <c r="W1179" i="38" s="1"/>
  <c r="AB1179" i="38" s="1"/>
  <c r="W1180" i="38" a="1"/>
  <c r="W1180" i="38" s="1"/>
  <c r="AB1180" i="38" s="1"/>
  <c r="W1181" i="38" a="1"/>
  <c r="W1181" i="38" s="1"/>
  <c r="AB1181" i="38" s="1"/>
  <c r="W1182" i="38" a="1"/>
  <c r="W1182" i="38" s="1"/>
  <c r="AB1182" i="38" s="1"/>
  <c r="W1183" i="38" a="1"/>
  <c r="W1183" i="38" s="1"/>
  <c r="AB1183" i="38" s="1"/>
  <c r="W1184" i="38" a="1"/>
  <c r="W1184" i="38" s="1"/>
  <c r="AB1184" i="38" s="1"/>
  <c r="W1185" i="38" a="1"/>
  <c r="W1185" i="38" s="1"/>
  <c r="AB1185" i="38" s="1"/>
  <c r="W1186" i="38" a="1"/>
  <c r="W1186" i="38" s="1"/>
  <c r="AB1186" i="38" s="1"/>
  <c r="W1187" i="38" a="1"/>
  <c r="W1187" i="38" s="1"/>
  <c r="AB1187" i="38" s="1"/>
  <c r="W1188" i="38" a="1"/>
  <c r="W1188" i="38" s="1"/>
  <c r="AB1188" i="38" s="1"/>
  <c r="W1189" i="38" a="1"/>
  <c r="W1189" i="38" s="1"/>
  <c r="AB1189" i="38" s="1"/>
  <c r="W1190" i="38" a="1"/>
  <c r="W1190" i="38" s="1"/>
  <c r="AB1190" i="38" s="1"/>
  <c r="W1191" i="38" a="1"/>
  <c r="W1191" i="38" s="1"/>
  <c r="AB1191" i="38" s="1"/>
  <c r="W1192" i="38" a="1"/>
  <c r="W1192" i="38" s="1"/>
  <c r="AB1192" i="38" s="1"/>
  <c r="W1193" i="38" a="1"/>
  <c r="W1193" i="38" s="1"/>
  <c r="AB1193" i="38" s="1"/>
  <c r="W1194" i="38" a="1"/>
  <c r="W1194" i="38" s="1"/>
  <c r="AB1194" i="38" s="1"/>
  <c r="W1195" i="38" a="1"/>
  <c r="W1195" i="38" s="1"/>
  <c r="AB1195" i="38" s="1"/>
  <c r="W1196" i="38" a="1"/>
  <c r="W1196" i="38" s="1"/>
  <c r="AB1196" i="38" s="1"/>
  <c r="W1197" i="38" a="1"/>
  <c r="W1197" i="38" s="1"/>
  <c r="AB1197" i="38" s="1"/>
  <c r="W1198" i="38" a="1"/>
  <c r="W1198" i="38" s="1"/>
  <c r="AB1198" i="38" s="1"/>
  <c r="W1199" i="38" a="1"/>
  <c r="W1199" i="38" s="1"/>
  <c r="AB1199" i="38" s="1"/>
  <c r="W1200" i="38" a="1"/>
  <c r="W1200" i="38" s="1"/>
  <c r="AB1200" i="38" s="1"/>
  <c r="W1201" i="38" a="1"/>
  <c r="W1201" i="38" s="1"/>
  <c r="AB1201" i="38" s="1"/>
  <c r="W1202" i="38" a="1"/>
  <c r="W1202" i="38" s="1"/>
  <c r="Z1202" i="38" s="1"/>
  <c r="W1203" i="38" a="1"/>
  <c r="W1203" i="38" s="1"/>
  <c r="Z1203" i="38" s="1"/>
  <c r="W1204" i="38" a="1"/>
  <c r="W1204" i="38" s="1"/>
  <c r="Z1204" i="38" s="1"/>
  <c r="W1205" i="38" a="1"/>
  <c r="W1205" i="38" s="1"/>
  <c r="Z1205" i="38" s="1"/>
  <c r="W1206" i="38" a="1"/>
  <c r="W1206" i="38" s="1"/>
  <c r="AB1206" i="38" s="1"/>
  <c r="W1207" i="38" a="1"/>
  <c r="W1207" i="38" s="1"/>
  <c r="AB1207" i="38" s="1"/>
  <c r="W1208" i="38" a="1"/>
  <c r="W1208" i="38" s="1"/>
  <c r="AB1208" i="38" s="1"/>
  <c r="W1209" i="38" a="1"/>
  <c r="W1209" i="38" s="1"/>
  <c r="AB1209" i="38" s="1"/>
  <c r="W1210" i="38" a="1"/>
  <c r="W1210" i="38" s="1"/>
  <c r="AB1210" i="38" s="1"/>
  <c r="W1211" i="38" a="1"/>
  <c r="W1211" i="38" s="1"/>
  <c r="AB1211" i="38" s="1"/>
  <c r="W1212" i="38" a="1"/>
  <c r="W1212" i="38" s="1"/>
  <c r="AB1212" i="38" s="1"/>
  <c r="W1213" i="38" a="1"/>
  <c r="W1213" i="38" s="1"/>
  <c r="AB1213" i="38" s="1"/>
  <c r="W1214" i="38" a="1"/>
  <c r="W1214" i="38" s="1"/>
  <c r="AB1214" i="38" s="1"/>
  <c r="W1215" i="38" a="1"/>
  <c r="W1215" i="38" s="1"/>
  <c r="AB1215" i="38" s="1"/>
  <c r="W1216" i="38" a="1"/>
  <c r="W1216" i="38" s="1"/>
  <c r="AB1216" i="38" s="1"/>
  <c r="W1217" i="38" a="1"/>
  <c r="W1217" i="38" s="1"/>
  <c r="AB1217" i="38" s="1"/>
  <c r="W1218" i="38" a="1"/>
  <c r="W1218" i="38" s="1"/>
  <c r="AB1218" i="38" s="1"/>
  <c r="W1219" i="38" a="1"/>
  <c r="W1219" i="38" s="1"/>
  <c r="AB1219" i="38" s="1"/>
  <c r="W1220" i="38" a="1"/>
  <c r="W1220" i="38" s="1"/>
  <c r="AB1220" i="38" s="1"/>
  <c r="W1221" i="38" a="1"/>
  <c r="W1221" i="38" s="1"/>
  <c r="AB1221" i="38" s="1"/>
  <c r="W1222" i="38" a="1"/>
  <c r="W1222" i="38" s="1"/>
  <c r="AB1222" i="38" s="1"/>
  <c r="W1223" i="38" a="1"/>
  <c r="W1223" i="38" s="1"/>
  <c r="AB1223" i="38" s="1"/>
  <c r="W1224" i="38" a="1"/>
  <c r="W1224" i="38" s="1"/>
  <c r="AB1224" i="38" s="1"/>
  <c r="W1225" i="38" a="1"/>
  <c r="W1225" i="38" s="1"/>
  <c r="AB1225" i="38" s="1"/>
  <c r="W1226" i="38" a="1"/>
  <c r="W1226" i="38" s="1"/>
  <c r="AB1226" i="38" s="1"/>
  <c r="W1227" i="38" a="1"/>
  <c r="W1227" i="38" s="1"/>
  <c r="AB1227" i="38" s="1"/>
  <c r="W1228" i="38" a="1"/>
  <c r="W1228" i="38" s="1"/>
  <c r="AB1228" i="38" s="1"/>
  <c r="W1229" i="38" a="1"/>
  <c r="W1229" i="38" s="1"/>
  <c r="AB1229" i="38" s="1"/>
  <c r="W1230" i="38" a="1"/>
  <c r="W1230" i="38" s="1"/>
  <c r="AB1230" i="38" s="1"/>
  <c r="W1231" i="38" a="1"/>
  <c r="W1231" i="38" s="1"/>
  <c r="AB1231" i="38" s="1"/>
  <c r="W1232" i="38" a="1"/>
  <c r="W1232" i="38" s="1"/>
  <c r="AB1232" i="38" s="1"/>
  <c r="W1233" i="38" a="1"/>
  <c r="W1233" i="38" s="1"/>
  <c r="AB1233" i="38" s="1"/>
  <c r="W1234" i="38" a="1"/>
  <c r="W1234" i="38" s="1"/>
  <c r="AB1234" i="38" s="1"/>
  <c r="W1235" i="38" a="1"/>
  <c r="W1235" i="38" s="1"/>
  <c r="AB1235" i="38" s="1"/>
  <c r="W1236" i="38" a="1"/>
  <c r="W1236" i="38" s="1"/>
  <c r="AB1236" i="38" s="1"/>
  <c r="W1237" i="38" a="1"/>
  <c r="W1237" i="38" s="1"/>
  <c r="AB1237" i="38" s="1"/>
  <c r="W1238" i="38" a="1"/>
  <c r="W1238" i="38" s="1"/>
  <c r="AB1238" i="38" s="1"/>
  <c r="W1239" i="38" a="1"/>
  <c r="W1239" i="38" s="1"/>
  <c r="AB1239" i="38" s="1"/>
  <c r="W1240" i="38" a="1"/>
  <c r="W1240" i="38" s="1"/>
  <c r="AB1240" i="38" s="1"/>
  <c r="W1241" i="38" a="1"/>
  <c r="W1241" i="38" s="1"/>
  <c r="Z1241" i="38" s="1"/>
  <c r="W1242" i="38" a="1"/>
  <c r="W1242" i="38" s="1"/>
  <c r="Z1242" i="38" s="1"/>
  <c r="W1243" i="38" a="1"/>
  <c r="W1243" i="38" s="1"/>
  <c r="AB1243" i="38" s="1"/>
  <c r="W1244" i="38" a="1"/>
  <c r="W1244" i="38" s="1"/>
  <c r="AB1244" i="38" s="1"/>
  <c r="W1245" i="38" a="1"/>
  <c r="W1245" i="38" s="1"/>
  <c r="AB1245" i="38" s="1"/>
  <c r="W1246" i="38" a="1"/>
  <c r="W1246" i="38" s="1"/>
  <c r="AB1246" i="38" s="1"/>
  <c r="W1247" i="38" a="1"/>
  <c r="W1247" i="38" s="1"/>
  <c r="AB1247" i="38" s="1"/>
  <c r="W1248" i="38" a="1"/>
  <c r="W1248" i="38" s="1"/>
  <c r="AB1248" i="38" s="1"/>
  <c r="W1249" i="38" a="1"/>
  <c r="W1249" i="38" s="1"/>
  <c r="W1250" i="38" a="1"/>
  <c r="W1250" i="38" s="1"/>
  <c r="AB1250" i="38" s="1"/>
  <c r="W1251" i="38" a="1"/>
  <c r="W1251" i="38" s="1"/>
  <c r="AB1251" i="38" s="1"/>
  <c r="W1252" i="38" a="1"/>
  <c r="W1252" i="38" s="1"/>
  <c r="AB1252" i="38" s="1"/>
  <c r="W1253" i="38" a="1"/>
  <c r="W1253" i="38" s="1"/>
  <c r="AB1253" i="38" s="1"/>
  <c r="W1254" i="38" a="1"/>
  <c r="W1254" i="38" s="1"/>
  <c r="AB1254" i="38" s="1"/>
  <c r="W1255" i="38" a="1"/>
  <c r="W1255" i="38" s="1"/>
  <c r="AB1255" i="38" s="1"/>
  <c r="W1256" i="38" a="1"/>
  <c r="W1256" i="38" s="1"/>
  <c r="AB1256" i="38" s="1"/>
  <c r="W1257" i="38" a="1"/>
  <c r="W1257" i="38" s="1"/>
  <c r="AB1257" i="38" s="1"/>
  <c r="W1258" i="38" a="1"/>
  <c r="W1258" i="38" s="1"/>
  <c r="AB1258" i="38" s="1"/>
  <c r="W1259" i="38" a="1"/>
  <c r="W1259" i="38" s="1"/>
  <c r="AB1259" i="38" s="1"/>
  <c r="W1260" i="38" a="1"/>
  <c r="W1260" i="38" s="1"/>
  <c r="W1261" i="38" a="1"/>
  <c r="W1261" i="38" s="1"/>
  <c r="W1262" i="38" a="1"/>
  <c r="W1262" i="38" s="1"/>
  <c r="W1263" i="38" a="1"/>
  <c r="W1263" i="38" s="1"/>
  <c r="W1264" i="38" a="1"/>
  <c r="W1264" i="38" s="1"/>
  <c r="W1265" i="38" a="1"/>
  <c r="W1265" i="38" s="1"/>
  <c r="W1266" i="38" a="1"/>
  <c r="W1266" i="38" s="1"/>
  <c r="W1267" i="38" a="1"/>
  <c r="W1267" i="38" s="1"/>
  <c r="W1268" i="38" a="1"/>
  <c r="W1268" i="38" s="1"/>
  <c r="W1269" i="38" a="1"/>
  <c r="W1269" i="38" s="1"/>
  <c r="W1270" i="38" a="1"/>
  <c r="W1270" i="38" s="1"/>
  <c r="W1271" i="38" a="1"/>
  <c r="W1271" i="38" s="1"/>
  <c r="W1272" i="38" a="1"/>
  <c r="W1272" i="38" s="1"/>
  <c r="W1273" i="38" a="1"/>
  <c r="W1273" i="38" s="1"/>
  <c r="W1274" i="38" a="1"/>
  <c r="W1274" i="38" s="1"/>
  <c r="W1275" i="38" a="1"/>
  <c r="W1275" i="38" s="1"/>
  <c r="W1276" i="38" a="1"/>
  <c r="W1276" i="38" s="1"/>
  <c r="W1277" i="38" a="1"/>
  <c r="W1277" i="38" s="1"/>
  <c r="W1278" i="38" a="1"/>
  <c r="W1278" i="38" s="1"/>
  <c r="W1279" i="38" a="1"/>
  <c r="W1279" i="38" s="1"/>
  <c r="W1280" i="38" a="1"/>
  <c r="W1280" i="38" s="1"/>
  <c r="W1281" i="38" a="1"/>
  <c r="W1281" i="38" s="1"/>
  <c r="W1282" i="38" a="1"/>
  <c r="W1282" i="38" s="1"/>
  <c r="W1283" i="38" a="1"/>
  <c r="W1283" i="38" s="1"/>
  <c r="W1284" i="38" a="1"/>
  <c r="W1284" i="38" s="1"/>
  <c r="W1285" i="38" a="1"/>
  <c r="W1285" i="38" s="1"/>
  <c r="W1286" i="38" a="1"/>
  <c r="W1286" i="38" s="1"/>
  <c r="W1287" i="38" a="1"/>
  <c r="W1287" i="38" s="1"/>
  <c r="W1288" i="38" a="1"/>
  <c r="W1288" i="38" s="1"/>
  <c r="W1289" i="38" a="1"/>
  <c r="W1289" i="38" s="1"/>
  <c r="W1290" i="38" a="1"/>
  <c r="W1290" i="38" s="1"/>
  <c r="W1291" i="38" a="1"/>
  <c r="W1291" i="38" s="1"/>
  <c r="W1292" i="38" a="1"/>
  <c r="W1292" i="38" s="1"/>
  <c r="W1293" i="38" a="1"/>
  <c r="W1293" i="38" s="1"/>
  <c r="W1294" i="38" a="1"/>
  <c r="W1294" i="38" s="1"/>
  <c r="W1295" i="38" a="1"/>
  <c r="W1295" i="38" s="1"/>
  <c r="W1296" i="38" a="1"/>
  <c r="W1296" i="38" s="1"/>
  <c r="W1297" i="38" a="1"/>
  <c r="W1297" i="38" s="1"/>
  <c r="W1298" i="38" a="1"/>
  <c r="W1298" i="38" s="1"/>
  <c r="W1299" i="38" a="1"/>
  <c r="W1299" i="38" s="1"/>
  <c r="W1300" i="38" a="1"/>
  <c r="W1300" i="38" s="1"/>
  <c r="W1301" i="38" a="1"/>
  <c r="W1301" i="38" s="1"/>
  <c r="W1302" i="38" a="1"/>
  <c r="W1302" i="38" s="1"/>
  <c r="W1303" i="38" a="1"/>
  <c r="W1303" i="38" s="1"/>
  <c r="W1304" i="38" a="1"/>
  <c r="W1304" i="38" s="1"/>
  <c r="W1305" i="38" a="1"/>
  <c r="W1305" i="38" s="1"/>
  <c r="W1306" i="38" a="1"/>
  <c r="W1306" i="38" s="1"/>
  <c r="W1307" i="38" a="1"/>
  <c r="W1307" i="38" s="1"/>
  <c r="W1308" i="38" a="1"/>
  <c r="W1308" i="38" s="1"/>
  <c r="W1309" i="38" a="1"/>
  <c r="W1309" i="38" s="1"/>
  <c r="W1310" i="38" a="1"/>
  <c r="W1310" i="38" s="1"/>
  <c r="W1311" i="38" a="1"/>
  <c r="W1311" i="38" s="1"/>
  <c r="W1312" i="38" a="1"/>
  <c r="W1312" i="38" s="1"/>
  <c r="W1313" i="38" a="1"/>
  <c r="W1313" i="38" s="1"/>
  <c r="W1314" i="38" a="1"/>
  <c r="W1314" i="38" s="1"/>
  <c r="W1315" i="38" a="1"/>
  <c r="W1315" i="38" s="1"/>
  <c r="W1316" i="38" a="1"/>
  <c r="W1316" i="38" s="1"/>
  <c r="W1317" i="38" a="1"/>
  <c r="W1317" i="38" s="1"/>
  <c r="W1318" i="38" a="1"/>
  <c r="W1318" i="38" s="1"/>
  <c r="W1319" i="38" a="1"/>
  <c r="W1319" i="38" s="1"/>
  <c r="W1320" i="38" a="1"/>
  <c r="W1320" i="38" s="1"/>
  <c r="W1321" i="38" a="1"/>
  <c r="W1321" i="38" s="1"/>
  <c r="W1322" i="38" a="1"/>
  <c r="W1322" i="38" s="1"/>
  <c r="W1323" i="38" a="1"/>
  <c r="W1323" i="38" s="1"/>
  <c r="W1324" i="38" a="1"/>
  <c r="W1324" i="38" s="1"/>
  <c r="W1325" i="38" a="1"/>
  <c r="W1325" i="38" s="1"/>
  <c r="W1326" i="38" a="1"/>
  <c r="W1326" i="38" s="1"/>
  <c r="W1327" i="38" a="1"/>
  <c r="W1327" i="38" s="1"/>
  <c r="W1328" i="38" a="1"/>
  <c r="W1328" i="38" s="1"/>
  <c r="W1329" i="38" a="1"/>
  <c r="W1329" i="38" s="1"/>
  <c r="W1330" i="38" a="1"/>
  <c r="W1330" i="38" s="1"/>
  <c r="W1331" i="38" a="1"/>
  <c r="W1331" i="38" s="1"/>
  <c r="W1332" i="38" a="1"/>
  <c r="W1332" i="38" s="1"/>
  <c r="W1333" i="38" a="1"/>
  <c r="W1333" i="38" s="1"/>
  <c r="W1334" i="38" a="1"/>
  <c r="W1334" i="38" s="1"/>
  <c r="W1335" i="38" a="1"/>
  <c r="W1335" i="38" s="1"/>
  <c r="W1336" i="38" a="1"/>
  <c r="W1336" i="38" s="1"/>
  <c r="W1337" i="38" a="1"/>
  <c r="W1337" i="38" s="1"/>
  <c r="W1338" i="38" a="1"/>
  <c r="W1338" i="38" s="1"/>
  <c r="W1339" i="38" a="1"/>
  <c r="W1339" i="38" s="1"/>
  <c r="W1340" i="38" a="1"/>
  <c r="W1340" i="38" s="1"/>
  <c r="W1341" i="38" a="1"/>
  <c r="W1341" i="38" s="1"/>
  <c r="W1342" i="38" a="1"/>
  <c r="W1342" i="38" s="1"/>
  <c r="W1343" i="38" a="1"/>
  <c r="W1343" i="38" s="1"/>
  <c r="W1344" i="38" a="1"/>
  <c r="W1344" i="38" s="1"/>
  <c r="W1345" i="38" a="1"/>
  <c r="W1345" i="38" s="1"/>
  <c r="W1346" i="38" a="1"/>
  <c r="W1346" i="38" s="1"/>
  <c r="W1347" i="38" a="1"/>
  <c r="W1347" i="38" s="1"/>
  <c r="W1348" i="38" a="1"/>
  <c r="W1348" i="38" s="1"/>
  <c r="W1349" i="38" a="1"/>
  <c r="W1349" i="38" s="1"/>
  <c r="W1350" i="38" a="1"/>
  <c r="W1350" i="38" s="1"/>
  <c r="W1351" i="38" a="1"/>
  <c r="W1351" i="38" s="1"/>
  <c r="W1352" i="38" a="1"/>
  <c r="W1352" i="38" s="1"/>
  <c r="W1353" i="38" a="1"/>
  <c r="W1353" i="38" s="1"/>
  <c r="W1354" i="38" a="1"/>
  <c r="W1354" i="38" s="1"/>
  <c r="W1355" i="38" a="1"/>
  <c r="W1355" i="38" s="1"/>
  <c r="W1356" i="38" a="1"/>
  <c r="W1356" i="38" s="1"/>
  <c r="W1357" i="38" a="1"/>
  <c r="W1357" i="38" s="1"/>
  <c r="W1358" i="38" a="1"/>
  <c r="W1358" i="38" s="1"/>
  <c r="W1359" i="38" a="1"/>
  <c r="W1359" i="38" s="1"/>
  <c r="W1360" i="38" a="1"/>
  <c r="W1360" i="38" s="1"/>
  <c r="W1361" i="38" a="1"/>
  <c r="W1361" i="38" s="1"/>
  <c r="W1362" i="38" a="1"/>
  <c r="W1362" i="38" s="1"/>
  <c r="W1363" i="38" a="1"/>
  <c r="W1363" i="38" s="1"/>
  <c r="W1364" i="38" a="1"/>
  <c r="W1364" i="38" s="1"/>
  <c r="W1365" i="38" a="1"/>
  <c r="W1365" i="38" s="1"/>
  <c r="W1366" i="38" a="1"/>
  <c r="W1366" i="38" s="1"/>
  <c r="W1367" i="38" a="1"/>
  <c r="W1367" i="38" s="1"/>
  <c r="W1368" i="38" a="1"/>
  <c r="W1368" i="38" s="1"/>
  <c r="W1369" i="38" a="1"/>
  <c r="W1369" i="38" s="1"/>
  <c r="W1370" i="38" a="1"/>
  <c r="W1370" i="38" s="1"/>
  <c r="W1371" i="38" a="1"/>
  <c r="W1371" i="38" s="1"/>
  <c r="W1372" i="38" a="1"/>
  <c r="W1372" i="38" s="1"/>
  <c r="W1373" i="38" a="1"/>
  <c r="W1373" i="38" s="1"/>
  <c r="W1374" i="38" a="1"/>
  <c r="W1374" i="38" s="1"/>
  <c r="W1375" i="38" a="1"/>
  <c r="W1375" i="38" s="1"/>
  <c r="W1376" i="38" a="1"/>
  <c r="W1376" i="38" s="1"/>
  <c r="W1377" i="38" a="1"/>
  <c r="W1377" i="38" s="1"/>
  <c r="W1378" i="38" a="1"/>
  <c r="W1378" i="38" s="1"/>
  <c r="W1379" i="38" a="1"/>
  <c r="W1379" i="38" s="1"/>
  <c r="W1380" i="38" a="1"/>
  <c r="W1380" i="38" s="1"/>
  <c r="W1381" i="38" a="1"/>
  <c r="W1381" i="38" s="1"/>
  <c r="W1382" i="38" a="1"/>
  <c r="W1382" i="38" s="1"/>
  <c r="W1383" i="38" a="1"/>
  <c r="W1383" i="38" s="1"/>
  <c r="W1384" i="38" a="1"/>
  <c r="W1384" i="38" s="1"/>
  <c r="W1385" i="38" a="1"/>
  <c r="W1385" i="38" s="1"/>
  <c r="W1386" i="38" a="1"/>
  <c r="W1386" i="38" s="1"/>
  <c r="W1387" i="38" a="1"/>
  <c r="W1387" i="38" s="1"/>
  <c r="W1388" i="38" a="1"/>
  <c r="W1388" i="38" s="1"/>
  <c r="W1389" i="38" a="1"/>
  <c r="W1389" i="38" s="1"/>
  <c r="W1390" i="38" a="1"/>
  <c r="W1390" i="38" s="1"/>
  <c r="W1391" i="38" a="1"/>
  <c r="W1391" i="38" s="1"/>
  <c r="W1392" i="38" a="1"/>
  <c r="W1392" i="38" s="1"/>
  <c r="W1393" i="38" a="1"/>
  <c r="W1393" i="38" s="1"/>
  <c r="W1394" i="38" a="1"/>
  <c r="W1394" i="38" s="1"/>
  <c r="W1395" i="38" a="1"/>
  <c r="W1395" i="38" s="1"/>
  <c r="W1396" i="38" a="1"/>
  <c r="W1396" i="38" s="1"/>
  <c r="W1397" i="38" a="1"/>
  <c r="W1397" i="38" s="1"/>
  <c r="W1398" i="38" a="1"/>
  <c r="W1398" i="38" s="1"/>
  <c r="W1399" i="38" a="1"/>
  <c r="W1399" i="38" s="1"/>
  <c r="W1400" i="38" a="1"/>
  <c r="W1400" i="38" s="1"/>
  <c r="W1401" i="38" a="1"/>
  <c r="W1401" i="38" s="1"/>
  <c r="W1402" i="38" a="1"/>
  <c r="W1402" i="38" s="1"/>
  <c r="W1403" i="38" a="1"/>
  <c r="W1403" i="38" s="1"/>
  <c r="W1404" i="38" a="1"/>
  <c r="W1404" i="38" s="1"/>
  <c r="W1405" i="38" a="1"/>
  <c r="W1405" i="38" s="1"/>
  <c r="W1406" i="38" a="1"/>
  <c r="W1406" i="38" s="1"/>
  <c r="W1407" i="38" a="1"/>
  <c r="W1407" i="38" s="1"/>
  <c r="W1408" i="38" a="1"/>
  <c r="W1408" i="38" s="1"/>
  <c r="W1409" i="38" a="1"/>
  <c r="W1409" i="38" s="1"/>
  <c r="W1410" i="38" a="1"/>
  <c r="W1410" i="38" s="1"/>
  <c r="W1411" i="38" a="1"/>
  <c r="W1411" i="38" s="1"/>
  <c r="W1412" i="38" a="1"/>
  <c r="W1412" i="38" s="1"/>
  <c r="W1413" i="38" a="1"/>
  <c r="W1413" i="38" s="1"/>
  <c r="W1414" i="38" a="1"/>
  <c r="W1414" i="38" s="1"/>
  <c r="W1415" i="38" a="1"/>
  <c r="W1415" i="38" s="1"/>
  <c r="W1416" i="38" a="1"/>
  <c r="W1416" i="38" s="1"/>
  <c r="W1417" i="38" a="1"/>
  <c r="W1417" i="38" s="1"/>
  <c r="W1418" i="38" a="1"/>
  <c r="W1418" i="38" s="1"/>
  <c r="W1419" i="38" a="1"/>
  <c r="W1419" i="38" s="1"/>
  <c r="W1420" i="38" a="1"/>
  <c r="W1420" i="38" s="1"/>
  <c r="W1421" i="38" a="1"/>
  <c r="W1421" i="38" s="1"/>
  <c r="W1422" i="38" a="1"/>
  <c r="W1422" i="38" s="1"/>
  <c r="W1423" i="38" a="1"/>
  <c r="W1423" i="38" s="1"/>
  <c r="W1424" i="38" a="1"/>
  <c r="W1424" i="38" s="1"/>
  <c r="W1425" i="38" a="1"/>
  <c r="W1425" i="38" s="1"/>
  <c r="W1426" i="38" a="1"/>
  <c r="W1426" i="38" s="1"/>
  <c r="W1427" i="38" a="1"/>
  <c r="W1427" i="38" s="1"/>
  <c r="W1428" i="38" a="1"/>
  <c r="W1428" i="38" s="1"/>
  <c r="W1429" i="38" a="1"/>
  <c r="W1429" i="38" s="1"/>
  <c r="W1430" i="38" a="1"/>
  <c r="W1430" i="38" s="1"/>
  <c r="W1431" i="38" a="1"/>
  <c r="W1431" i="38" s="1"/>
  <c r="W1432" i="38" a="1"/>
  <c r="W1432" i="38" s="1"/>
  <c r="W1433" i="38" a="1"/>
  <c r="W1433" i="38" s="1"/>
  <c r="W1434" i="38" a="1"/>
  <c r="W1434" i="38" s="1"/>
  <c r="W1435" i="38" a="1"/>
  <c r="W1435" i="38" s="1"/>
  <c r="W1436" i="38" a="1"/>
  <c r="W1436" i="38" s="1"/>
  <c r="W1437" i="38" a="1"/>
  <c r="W1437" i="38" s="1"/>
  <c r="W1438" i="38" a="1"/>
  <c r="W1438" i="38" s="1"/>
  <c r="W1439" i="38" a="1"/>
  <c r="W1439" i="38" s="1"/>
  <c r="W1440" i="38" a="1"/>
  <c r="W1440" i="38" s="1"/>
  <c r="W1441" i="38" a="1"/>
  <c r="W1441" i="38" s="1"/>
  <c r="W1442" i="38" a="1"/>
  <c r="W1442" i="38" s="1"/>
  <c r="W1443" i="38" a="1"/>
  <c r="W1443" i="38" s="1"/>
  <c r="W1444" i="38" a="1"/>
  <c r="W1444" i="38" s="1"/>
  <c r="W1445" i="38" a="1"/>
  <c r="W1445" i="38" s="1"/>
  <c r="W1446" i="38" a="1"/>
  <c r="W1446" i="38" s="1"/>
  <c r="W1447" i="38" a="1"/>
  <c r="W1447" i="38" s="1"/>
  <c r="W1448" i="38" a="1"/>
  <c r="W1448" i="38" s="1"/>
  <c r="W1449" i="38" a="1"/>
  <c r="W1449" i="38" s="1"/>
  <c r="W1450" i="38" a="1"/>
  <c r="W1450" i="38" s="1"/>
  <c r="W1451" i="38" a="1"/>
  <c r="W1451" i="38" s="1"/>
  <c r="W1452" i="38" a="1"/>
  <c r="W1452" i="38" s="1"/>
  <c r="W1453" i="38" a="1"/>
  <c r="W1453" i="38" s="1"/>
  <c r="W1454" i="38" a="1"/>
  <c r="W1454" i="38" s="1"/>
  <c r="W1455" i="38" a="1"/>
  <c r="W1455" i="38" s="1"/>
  <c r="W1456" i="38" a="1"/>
  <c r="W1456" i="38" s="1"/>
  <c r="W1457" i="38" a="1"/>
  <c r="W1457" i="38" s="1"/>
  <c r="W1458" i="38" a="1"/>
  <c r="W1458" i="38" s="1"/>
  <c r="W1459" i="38" a="1"/>
  <c r="W1459" i="38" s="1"/>
  <c r="W1460" i="38" a="1"/>
  <c r="W1460" i="38" s="1"/>
  <c r="W1461" i="38" a="1"/>
  <c r="W1461" i="38" s="1"/>
  <c r="W1462" i="38" a="1"/>
  <c r="W1462" i="38" s="1"/>
  <c r="W1463" i="38" a="1"/>
  <c r="W1463" i="38" s="1"/>
  <c r="W1464" i="38" a="1"/>
  <c r="W1464" i="38" s="1"/>
  <c r="W1465" i="38" a="1"/>
  <c r="W1465" i="38" s="1"/>
  <c r="W1466" i="38" a="1"/>
  <c r="W1466" i="38" s="1"/>
  <c r="W1467" i="38" a="1"/>
  <c r="W1467" i="38" s="1"/>
  <c r="W1468" i="38" a="1"/>
  <c r="W1468" i="38" s="1"/>
  <c r="W1469" i="38" a="1"/>
  <c r="W1469" i="38" s="1"/>
  <c r="W1470" i="38" a="1"/>
  <c r="W1470" i="38" s="1"/>
  <c r="W1471" i="38" a="1"/>
  <c r="W1471" i="38" s="1"/>
  <c r="W1472" i="38" a="1"/>
  <c r="W1472" i="38" s="1"/>
  <c r="W1473" i="38" a="1"/>
  <c r="W1473" i="38" s="1"/>
  <c r="W1474" i="38" a="1"/>
  <c r="W1474" i="38" s="1"/>
  <c r="W1475" i="38" a="1"/>
  <c r="W1475" i="38" s="1"/>
  <c r="W1476" i="38" a="1"/>
  <c r="W1476" i="38" s="1"/>
  <c r="W1477" i="38" a="1"/>
  <c r="W1477" i="38" s="1"/>
  <c r="W1478" i="38" a="1"/>
  <c r="W1478" i="38" s="1"/>
  <c r="W1479" i="38" a="1"/>
  <c r="W1479" i="38" s="1"/>
  <c r="W1480" i="38" a="1"/>
  <c r="W1480" i="38" s="1"/>
  <c r="W1481" i="38" a="1"/>
  <c r="W1481" i="38" s="1"/>
  <c r="W1482" i="38" a="1"/>
  <c r="W1482" i="38" s="1"/>
  <c r="W1483" i="38" a="1"/>
  <c r="W1483" i="38" s="1"/>
  <c r="W1484" i="38" a="1"/>
  <c r="W1484" i="38" s="1"/>
  <c r="W1485" i="38" a="1"/>
  <c r="W1485" i="38" s="1"/>
  <c r="W1486" i="38" a="1"/>
  <c r="W1486" i="38" s="1"/>
  <c r="W1487" i="38" a="1"/>
  <c r="W1487" i="38" s="1"/>
  <c r="W1488" i="38" a="1"/>
  <c r="W1488" i="38" s="1"/>
  <c r="W1489" i="38" a="1"/>
  <c r="W1489" i="38" s="1"/>
  <c r="W1490" i="38" a="1"/>
  <c r="W1490" i="38" s="1"/>
  <c r="W1491" i="38" a="1"/>
  <c r="W1491" i="38" s="1"/>
  <c r="W1492" i="38" a="1"/>
  <c r="W1492" i="38" s="1"/>
  <c r="W1493" i="38" a="1"/>
  <c r="W1493" i="38" s="1"/>
  <c r="W1494" i="38" a="1"/>
  <c r="W1494" i="38" s="1"/>
  <c r="W1495" i="38" a="1"/>
  <c r="W1495" i="38" s="1"/>
  <c r="W1496" i="38" a="1"/>
  <c r="W1496" i="38" s="1"/>
  <c r="W1497" i="38" a="1"/>
  <c r="W1497" i="38" s="1"/>
  <c r="W1498" i="38" a="1"/>
  <c r="W1498" i="38" s="1"/>
  <c r="W1499" i="38" a="1"/>
  <c r="W1499" i="38" s="1"/>
  <c r="W1500" i="38" a="1"/>
  <c r="W1500" i="38" s="1"/>
  <c r="W1501" i="38" a="1"/>
  <c r="W1501" i="38" s="1"/>
  <c r="W1502" i="38" a="1"/>
  <c r="W1502" i="38" s="1"/>
  <c r="W1503" i="38" a="1"/>
  <c r="W1503" i="38" s="1"/>
  <c r="W1504" i="38" a="1"/>
  <c r="W1504" i="38" s="1"/>
  <c r="W1505" i="38" a="1"/>
  <c r="W1505" i="38" s="1"/>
  <c r="W1506" i="38" a="1"/>
  <c r="W1506" i="38" s="1"/>
  <c r="W1507" i="38" a="1"/>
  <c r="W1507" i="38" s="1"/>
  <c r="W1508" i="38" a="1"/>
  <c r="W1508" i="38" s="1"/>
  <c r="W1509" i="38" a="1"/>
  <c r="W1509" i="38" s="1"/>
  <c r="W1510" i="38" a="1"/>
  <c r="W1510" i="38" s="1"/>
  <c r="W1511" i="38" a="1"/>
  <c r="W1511" i="38" s="1"/>
  <c r="W1512" i="38" a="1"/>
  <c r="W1512" i="38" s="1"/>
  <c r="W1513" i="38" a="1"/>
  <c r="W1513" i="38" s="1"/>
  <c r="W1514" i="38" a="1"/>
  <c r="W1514" i="38" s="1"/>
  <c r="AB1514" i="38" s="1"/>
  <c r="W1515" i="38" a="1"/>
  <c r="W1515" i="38" s="1"/>
  <c r="AB1515" i="38" s="1"/>
  <c r="W1516" i="38" a="1"/>
  <c r="W1516" i="38" s="1"/>
  <c r="AB1516" i="38" s="1"/>
  <c r="W1517" i="38" a="1"/>
  <c r="W1517" i="38" s="1"/>
  <c r="AB1517" i="38" s="1"/>
  <c r="W1518" i="38" a="1"/>
  <c r="W1518" i="38" s="1"/>
  <c r="AB1518" i="38" s="1"/>
  <c r="W1519" i="38" a="1"/>
  <c r="W1519" i="38" s="1"/>
  <c r="AB1519" i="38" s="1"/>
  <c r="W1520" i="38" a="1"/>
  <c r="W1520" i="38" s="1"/>
  <c r="AB1520" i="38" s="1"/>
  <c r="W1521" i="38" a="1"/>
  <c r="W1521" i="38" s="1"/>
  <c r="AB1521" i="38" s="1"/>
  <c r="W1522" i="38" a="1"/>
  <c r="W1522" i="38" s="1"/>
  <c r="AB1522" i="38" s="1"/>
  <c r="W1523" i="38" a="1"/>
  <c r="W1523" i="38" s="1"/>
  <c r="AB1523" i="38" s="1"/>
  <c r="W1524" i="38" a="1"/>
  <c r="W1524" i="38" s="1"/>
  <c r="AB1524" i="38" s="1"/>
  <c r="W1525" i="38" a="1"/>
  <c r="W1525" i="38" s="1"/>
  <c r="AB1525" i="38" s="1"/>
  <c r="W1526" i="38" a="1"/>
  <c r="W1526" i="38" s="1"/>
  <c r="AB1526" i="38" s="1"/>
  <c r="W1527" i="38" a="1"/>
  <c r="W1527" i="38" s="1"/>
  <c r="W1528" i="38" a="1"/>
  <c r="W1528" i="38" s="1"/>
  <c r="W1529" i="38" a="1"/>
  <c r="W1529" i="38" s="1"/>
  <c r="W1530" i="38" a="1"/>
  <c r="W1530" i="38" s="1"/>
  <c r="W1531" i="38" a="1"/>
  <c r="W1531" i="38" s="1"/>
  <c r="W1532" i="38" a="1"/>
  <c r="W1532" i="38" s="1"/>
  <c r="W1533" i="38" a="1"/>
  <c r="W1533" i="38" s="1"/>
  <c r="W1534" i="38" a="1"/>
  <c r="W1534" i="38" s="1"/>
  <c r="W1535" i="38" a="1"/>
  <c r="W1535" i="38" s="1"/>
  <c r="W1536" i="38" a="1"/>
  <c r="W1536" i="38" s="1"/>
  <c r="W1537" i="38" a="1"/>
  <c r="W1537" i="38" s="1"/>
  <c r="W1538" i="38" a="1"/>
  <c r="W1538" i="38" s="1"/>
  <c r="W1539" i="38" a="1"/>
  <c r="W1539" i="38" s="1"/>
  <c r="W1540" i="38" a="1"/>
  <c r="W1540" i="38" s="1"/>
  <c r="W1541" i="38" a="1"/>
  <c r="W1541" i="38" s="1"/>
  <c r="W1542" i="38" a="1"/>
  <c r="W1542" i="38" s="1"/>
  <c r="W1543" i="38" a="1"/>
  <c r="W1543" i="38" s="1"/>
  <c r="W1544" i="38" a="1"/>
  <c r="W1544" i="38" s="1"/>
  <c r="W1545" i="38" a="1"/>
  <c r="W1545" i="38" s="1"/>
  <c r="W1546" i="38" a="1"/>
  <c r="W1546" i="38" s="1"/>
  <c r="W1547" i="38" a="1"/>
  <c r="W1547" i="38" s="1"/>
  <c r="W1548" i="38" a="1"/>
  <c r="W1548" i="38" s="1"/>
  <c r="W1549" i="38" a="1"/>
  <c r="W1549" i="38" s="1"/>
  <c r="W1550" i="38" a="1"/>
  <c r="W1550" i="38" s="1"/>
  <c r="W1551" i="38" a="1"/>
  <c r="W1551" i="38" s="1"/>
  <c r="W1552" i="38" a="1"/>
  <c r="W1552" i="38" s="1"/>
  <c r="W1553" i="38" a="1"/>
  <c r="W1553" i="38" s="1"/>
  <c r="W1554" i="38" a="1"/>
  <c r="W1554" i="38" s="1"/>
  <c r="W1555" i="38" a="1"/>
  <c r="W1555" i="38" s="1"/>
  <c r="W1556" i="38" a="1"/>
  <c r="W1556" i="38" s="1"/>
  <c r="W1557" i="38" a="1"/>
  <c r="W1557" i="38" s="1"/>
  <c r="W1558" i="38" a="1"/>
  <c r="W1558" i="38" s="1"/>
  <c r="W1559" i="38" a="1"/>
  <c r="W1559" i="38" s="1"/>
  <c r="W1560" i="38" a="1"/>
  <c r="W1560" i="38" s="1"/>
  <c r="W1561" i="38" a="1"/>
  <c r="W1561" i="38" s="1"/>
  <c r="W1562" i="38" a="1"/>
  <c r="W1562" i="38" s="1"/>
  <c r="W1563" i="38" a="1"/>
  <c r="W1563" i="38" s="1"/>
  <c r="W1564" i="38" a="1"/>
  <c r="W1564" i="38" s="1"/>
  <c r="W1565" i="38" a="1"/>
  <c r="W1565" i="38" s="1"/>
  <c r="W1566" i="38" a="1"/>
  <c r="W1566" i="38" s="1"/>
  <c r="W1567" i="38" a="1"/>
  <c r="W1567" i="38" s="1"/>
  <c r="W1568" i="38" a="1"/>
  <c r="W1568" i="38" s="1"/>
  <c r="W1569" i="38" a="1"/>
  <c r="W1569" i="38" s="1"/>
  <c r="W1570" i="38" a="1"/>
  <c r="W1570" i="38" s="1"/>
  <c r="W1571" i="38" a="1"/>
  <c r="W1571" i="38" s="1"/>
  <c r="W1572" i="38" a="1"/>
  <c r="W1572" i="38" s="1"/>
  <c r="W1573" i="38" a="1"/>
  <c r="W1573" i="38" s="1"/>
  <c r="W1574" i="38" a="1"/>
  <c r="W1574" i="38" s="1"/>
  <c r="W1575" i="38" a="1"/>
  <c r="W1575" i="38" s="1"/>
  <c r="W1576" i="38" a="1"/>
  <c r="W1576" i="38" s="1"/>
  <c r="W1577" i="38" a="1"/>
  <c r="W1577" i="38" s="1"/>
  <c r="W1578" i="38" a="1"/>
  <c r="W1578" i="38" s="1"/>
  <c r="W1579" i="38" a="1"/>
  <c r="W1579" i="38" s="1"/>
  <c r="W1580" i="38" a="1"/>
  <c r="W1580" i="38" s="1"/>
  <c r="W1581" i="38" a="1"/>
  <c r="W1581" i="38" s="1"/>
  <c r="W1582" i="38" a="1"/>
  <c r="W1582" i="38" s="1"/>
  <c r="W1583" i="38" a="1"/>
  <c r="W1583" i="38" s="1"/>
  <c r="W3" i="38" a="1"/>
  <c r="W3" i="38" s="1"/>
  <c r="AB3" i="38" s="1"/>
  <c r="AX621" i="1"/>
  <c r="EE620" i="1"/>
  <c r="AX620" i="1"/>
  <c r="AX619" i="1"/>
  <c r="EE618" i="1"/>
  <c r="BY618" i="1"/>
  <c r="BX618" i="1"/>
  <c r="AX618" i="1"/>
  <c r="AX617" i="1"/>
  <c r="AX616" i="1"/>
  <c r="AH620" i="1" l="1"/>
  <c r="Y621" i="1"/>
  <c r="AY621" i="1"/>
  <c r="W619" i="1"/>
  <c r="Z619" i="1"/>
  <c r="U620" i="1"/>
  <c r="Z620" i="1"/>
  <c r="AW620" i="1"/>
  <c r="AY620" i="1" s="1"/>
  <c r="AA620" i="1"/>
  <c r="W620" i="1"/>
  <c r="BD620" i="1"/>
  <c r="CQ620" i="1"/>
  <c r="CV620" i="1" s="1"/>
  <c r="BF620" i="1" a="1"/>
  <c r="BF620" i="1" s="1"/>
  <c r="BA620" i="1"/>
  <c r="BG620" i="1" a="1"/>
  <c r="BG620" i="1" s="1"/>
  <c r="AE619" i="1"/>
  <c r="AB77" i="38"/>
  <c r="Q619" i="1"/>
  <c r="AB619" i="1"/>
  <c r="AA619" i="1"/>
  <c r="AY619" i="1"/>
  <c r="V619" i="1" s="1"/>
  <c r="BF619" i="1" a="1"/>
  <c r="BF619" i="1" s="1"/>
  <c r="BA619" i="1"/>
  <c r="BG619" i="1" a="1"/>
  <c r="BG619" i="1" s="1"/>
  <c r="AB73" i="38"/>
  <c r="AB69" i="38"/>
  <c r="AW618" i="1"/>
  <c r="Q618" i="1" s="1"/>
  <c r="CR618" i="1"/>
  <c r="CP618" i="1"/>
  <c r="U618" i="1" s="1"/>
  <c r="BF618" i="1" a="1"/>
  <c r="BF618" i="1" s="1"/>
  <c r="BH618" i="1" s="1"/>
  <c r="S618" i="1" s="1"/>
  <c r="T618" i="1" s="1"/>
  <c r="BA618" i="1"/>
  <c r="AB55" i="38"/>
  <c r="AB51" i="38"/>
  <c r="AB47" i="38"/>
  <c r="AB34" i="38"/>
  <c r="AB30" i="38"/>
  <c r="AB26" i="38"/>
  <c r="AW617" i="1"/>
  <c r="BX617" i="1"/>
  <c r="CP617" i="1"/>
  <c r="CR617" i="1"/>
  <c r="CW617" i="1" s="1"/>
  <c r="CY617" i="1" s="1"/>
  <c r="AA617" i="1" s="1"/>
  <c r="AY617" i="1"/>
  <c r="BF617" i="1" a="1"/>
  <c r="BF617" i="1" s="1"/>
  <c r="BH617" i="1" s="1"/>
  <c r="BA617" i="1"/>
  <c r="AB11" i="38"/>
  <c r="AB7" i="38"/>
  <c r="AB54" i="38"/>
  <c r="AB50" i="38"/>
  <c r="AB46" i="38"/>
  <c r="AA616" i="1"/>
  <c r="BX616" i="1"/>
  <c r="AB616" i="1"/>
  <c r="Q616" i="1"/>
  <c r="U616" i="1"/>
  <c r="AB13" i="38"/>
  <c r="AB9" i="38"/>
  <c r="AB5" i="38"/>
  <c r="AB56" i="38"/>
  <c r="AB52" i="38"/>
  <c r="AB48" i="38"/>
  <c r="W616" i="1"/>
  <c r="AY616" i="1"/>
  <c r="BF616" i="1" a="1"/>
  <c r="BF616" i="1" s="1"/>
  <c r="BH616" i="1" s="1"/>
  <c r="S616" i="1" s="1"/>
  <c r="T616" i="1" s="1"/>
  <c r="BA616" i="1"/>
  <c r="AB57" i="38"/>
  <c r="AB53" i="38"/>
  <c r="AB49" i="38"/>
  <c r="AB32" i="38"/>
  <c r="AB28" i="38"/>
  <c r="AB24" i="38"/>
  <c r="Z855" i="38"/>
  <c r="AB855" i="38" s="1"/>
  <c r="Z827" i="38"/>
  <c r="AB827" i="38" s="1"/>
  <c r="Z823" i="38"/>
  <c r="AB823" i="38" s="1"/>
  <c r="Z819" i="38"/>
  <c r="AB819" i="38" s="1"/>
  <c r="Z815" i="38"/>
  <c r="AB815" i="38" s="1"/>
  <c r="Z811" i="38"/>
  <c r="AB811" i="38" s="1"/>
  <c r="Z807" i="38"/>
  <c r="AB807" i="38" s="1"/>
  <c r="Z779" i="38"/>
  <c r="AB779" i="38" s="1"/>
  <c r="Z775" i="38"/>
  <c r="AB775" i="38" s="1"/>
  <c r="Z771" i="38"/>
  <c r="AB771" i="38" s="1"/>
  <c r="Z767" i="38"/>
  <c r="AB767" i="38" s="1"/>
  <c r="Z763" i="38"/>
  <c r="AB763" i="38" s="1"/>
  <c r="Z735" i="38"/>
  <c r="AB735" i="38" s="1"/>
  <c r="Z731" i="38"/>
  <c r="AB731" i="38" s="1"/>
  <c r="Z727" i="38"/>
  <c r="AB727" i="38" s="1"/>
  <c r="Z723" i="38"/>
  <c r="AB723" i="38" s="1"/>
  <c r="Z719" i="38"/>
  <c r="AB719" i="38" s="1"/>
  <c r="Z695" i="38"/>
  <c r="AB695" i="38" s="1"/>
  <c r="Z691" i="38"/>
  <c r="AB691" i="38" s="1"/>
  <c r="Z687" i="38"/>
  <c r="AB687" i="38" s="1"/>
  <c r="Z683" i="38"/>
  <c r="AB683" i="38" s="1"/>
  <c r="Z679" i="38"/>
  <c r="AB679" i="38" s="1"/>
  <c r="Z675" i="38"/>
  <c r="AB675" i="38" s="1"/>
  <c r="Z651" i="38"/>
  <c r="AB651" i="38" s="1"/>
  <c r="Z647" i="38"/>
  <c r="AB647" i="38" s="1"/>
  <c r="Z643" i="38"/>
  <c r="AB643" i="38" s="1"/>
  <c r="Z639" i="38"/>
  <c r="AB639" i="38" s="1"/>
  <c r="Z635" i="38"/>
  <c r="AB635" i="38" s="1"/>
  <c r="Z611" i="38"/>
  <c r="AB611" i="38" s="1"/>
  <c r="Z607" i="38"/>
  <c r="AB607" i="38" s="1"/>
  <c r="Z603" i="38"/>
  <c r="AB603" i="38" s="1"/>
  <c r="Z599" i="38"/>
  <c r="AB599" i="38" s="1"/>
  <c r="Z595" i="38"/>
  <c r="AB595" i="38" s="1"/>
  <c r="Z571" i="38"/>
  <c r="AB571" i="38" s="1"/>
  <c r="Z567" i="38"/>
  <c r="AB567" i="38" s="1"/>
  <c r="Z563" i="38"/>
  <c r="AB563" i="38" s="1"/>
  <c r="Z559" i="38"/>
  <c r="AB559" i="38" s="1"/>
  <c r="Z555" i="38"/>
  <c r="AB555" i="38" s="1"/>
  <c r="Z531" i="38"/>
  <c r="AB531" i="38" s="1"/>
  <c r="Z527" i="38"/>
  <c r="AB527" i="38" s="1"/>
  <c r="Z523" i="38"/>
  <c r="AB523" i="38" s="1"/>
  <c r="Z519" i="38"/>
  <c r="AB519" i="38" s="1"/>
  <c r="Z515" i="38"/>
  <c r="AB515" i="38" s="1"/>
  <c r="Z495" i="38"/>
  <c r="AB495" i="38" s="1"/>
  <c r="Z491" i="38"/>
  <c r="AB491" i="38" s="1"/>
  <c r="Z487" i="38"/>
  <c r="AB487" i="38" s="1"/>
  <c r="Z483" i="38"/>
  <c r="AB483" i="38" s="1"/>
  <c r="Z479" i="38"/>
  <c r="AB479" i="38" s="1"/>
  <c r="Z455" i="38"/>
  <c r="AB455" i="38" s="1"/>
  <c r="Z451" i="38"/>
  <c r="AB451" i="38" s="1"/>
  <c r="Z447" i="38"/>
  <c r="AB447" i="38" s="1"/>
  <c r="Z443" i="38"/>
  <c r="AB443" i="38" s="1"/>
  <c r="Z419" i="38"/>
  <c r="AB419" i="38" s="1"/>
  <c r="Z415" i="38"/>
  <c r="AB415" i="38" s="1"/>
  <c r="Z411" i="38"/>
  <c r="AB411" i="38" s="1"/>
  <c r="Z407" i="38"/>
  <c r="AB407" i="38" s="1"/>
  <c r="Z387" i="38"/>
  <c r="AB387" i="38" s="1"/>
  <c r="Z383" i="38"/>
  <c r="AB383" i="38" s="1"/>
  <c r="Z379" i="38"/>
  <c r="AB379" i="38" s="1"/>
  <c r="Z375" i="38"/>
  <c r="AB375" i="38" s="1"/>
  <c r="Z371" i="38"/>
  <c r="AB371" i="38" s="1"/>
  <c r="Z351" i="38"/>
  <c r="AB351" i="38" s="1"/>
  <c r="Z347" i="38"/>
  <c r="AB347" i="38" s="1"/>
  <c r="Z343" i="38"/>
  <c r="AB343" i="38" s="1"/>
  <c r="Z339" i="38"/>
  <c r="AB339" i="38" s="1"/>
  <c r="Z319" i="38"/>
  <c r="AB319" i="38" s="1"/>
  <c r="Z315" i="38"/>
  <c r="AB315" i="38" s="1"/>
  <c r="Z311" i="38"/>
  <c r="AB311" i="38" s="1"/>
  <c r="Z307" i="38"/>
  <c r="AB307" i="38" s="1"/>
  <c r="Z287" i="38"/>
  <c r="AB287" i="38" s="1"/>
  <c r="Z283" i="38"/>
  <c r="AB283" i="38" s="1"/>
  <c r="Z279" i="38"/>
  <c r="AB279" i="38" s="1"/>
  <c r="Z275" i="38"/>
  <c r="AB275" i="38" s="1"/>
  <c r="Z255" i="38"/>
  <c r="AB255" i="38" s="1"/>
  <c r="Z251" i="38"/>
  <c r="AB251" i="38" s="1"/>
  <c r="Z247" i="38"/>
  <c r="AB247" i="38" s="1"/>
  <c r="Z243" i="38"/>
  <c r="AB243" i="38" s="1"/>
  <c r="Z227" i="38"/>
  <c r="AB227" i="38" s="1"/>
  <c r="Z223" i="38"/>
  <c r="AB223" i="38" s="1"/>
  <c r="Z219" i="38"/>
  <c r="AB219" i="38" s="1"/>
  <c r="Z215" i="38"/>
  <c r="AB215" i="38" s="1"/>
  <c r="Z195" i="38"/>
  <c r="AB195" i="38" s="1"/>
  <c r="Z191" i="38"/>
  <c r="AB191" i="38" s="1"/>
  <c r="Z187" i="38"/>
  <c r="AB187" i="38" s="1"/>
  <c r="Z167" i="38"/>
  <c r="AB167" i="38" s="1"/>
  <c r="Z163" i="38"/>
  <c r="AB163" i="38" s="1"/>
  <c r="Z159" i="38"/>
  <c r="AB159" i="38" s="1"/>
  <c r="Z143" i="38"/>
  <c r="AB143" i="38" s="1"/>
  <c r="Z139" i="38"/>
  <c r="AB139" i="38" s="1"/>
  <c r="Z135" i="38"/>
  <c r="AB135" i="38" s="1"/>
  <c r="Z131" i="38"/>
  <c r="AB131" i="38" s="1"/>
  <c r="Z115" i="38"/>
  <c r="AB115" i="38" s="1"/>
  <c r="Z111" i="38"/>
  <c r="AB111" i="38" s="1"/>
  <c r="Z107" i="38"/>
  <c r="AB107" i="38" s="1"/>
  <c r="Z91" i="38"/>
  <c r="AB91" i="38" s="1"/>
  <c r="Z87" i="38"/>
  <c r="AB87" i="38" s="1"/>
  <c r="Z83" i="38"/>
  <c r="AB83" i="38" s="1"/>
  <c r="Z67" i="38"/>
  <c r="AB67" i="38" s="1"/>
  <c r="Z63" i="38"/>
  <c r="AB63" i="38" s="1"/>
  <c r="Z59" i="38"/>
  <c r="AB59" i="38" s="1"/>
  <c r="Z43" i="38"/>
  <c r="AB43" i="38" s="1"/>
  <c r="Z39" i="38"/>
  <c r="AB39" i="38" s="1"/>
  <c r="Z35" i="38"/>
  <c r="AB35" i="38" s="1"/>
  <c r="Z23" i="38"/>
  <c r="AB23" i="38" s="1"/>
  <c r="Z19" i="38"/>
  <c r="AB19" i="38" s="1"/>
  <c r="Z15" i="38"/>
  <c r="AB15" i="38" s="1"/>
  <c r="AB1581" i="38"/>
  <c r="AB1577" i="38"/>
  <c r="AB1573" i="38"/>
  <c r="AB1569" i="38"/>
  <c r="AB1565" i="38"/>
  <c r="AB1561" i="38"/>
  <c r="AB1513" i="38"/>
  <c r="AB1509" i="38"/>
  <c r="AB1505" i="38"/>
  <c r="AB1501" i="38"/>
  <c r="AB1497" i="38"/>
  <c r="AB1493" i="38"/>
  <c r="AB1489" i="38"/>
  <c r="AB1485" i="38"/>
  <c r="AB1481" i="38"/>
  <c r="AB1477" i="38"/>
  <c r="AB1473" i="38"/>
  <c r="AB1469" i="38"/>
  <c r="AB1465" i="38"/>
  <c r="AB1461" i="38"/>
  <c r="AB1457" i="38"/>
  <c r="AB1453" i="38"/>
  <c r="AB1449" i="38"/>
  <c r="AB1445" i="38"/>
  <c r="Z1087" i="38"/>
  <c r="AB1087" i="38" s="1"/>
  <c r="Z1083" i="38"/>
  <c r="AB1083" i="38" s="1"/>
  <c r="Z1079" i="38"/>
  <c r="AB1079" i="38" s="1"/>
  <c r="Z1047" i="38"/>
  <c r="AB1047" i="38" s="1"/>
  <c r="Z1043" i="38"/>
  <c r="AB1043" i="38" s="1"/>
  <c r="Z1039" i="38"/>
  <c r="AB1039" i="38" s="1"/>
  <c r="Z1003" i="38"/>
  <c r="AB1003" i="38" s="1"/>
  <c r="Z999" i="38"/>
  <c r="AB999" i="38" s="1"/>
  <c r="Z995" i="38"/>
  <c r="AB995" i="38" s="1"/>
  <c r="Z959" i="38"/>
  <c r="AB959" i="38" s="1"/>
  <c r="Z955" i="38"/>
  <c r="AB955" i="38" s="1"/>
  <c r="Z951" i="38"/>
  <c r="AB951" i="38" s="1"/>
  <c r="Z947" i="38"/>
  <c r="AB947" i="38" s="1"/>
  <c r="Z915" i="38"/>
  <c r="AB915" i="38" s="1"/>
  <c r="Z911" i="38"/>
  <c r="AB911" i="38" s="1"/>
  <c r="Z907" i="38"/>
  <c r="AB907" i="38" s="1"/>
  <c r="Z903" i="38"/>
  <c r="AB903" i="38" s="1"/>
  <c r="Z871" i="38"/>
  <c r="AB871" i="38" s="1"/>
  <c r="Z867" i="38"/>
  <c r="AB867" i="38" s="1"/>
  <c r="Z863" i="38"/>
  <c r="AB863" i="38" s="1"/>
  <c r="Z859" i="38"/>
  <c r="AB859" i="38" s="1"/>
  <c r="Z854" i="38"/>
  <c r="AB854" i="38" s="1"/>
  <c r="Z826" i="38"/>
  <c r="AB826" i="38" s="1"/>
  <c r="Z822" i="38"/>
  <c r="AB822" i="38" s="1"/>
  <c r="Z818" i="38"/>
  <c r="AB818" i="38" s="1"/>
  <c r="Z814" i="38"/>
  <c r="AB814" i="38" s="1"/>
  <c r="Z810" i="38"/>
  <c r="AB810" i="38" s="1"/>
  <c r="Z782" i="38"/>
  <c r="AB782" i="38" s="1"/>
  <c r="Z778" i="38"/>
  <c r="AB778" i="38" s="1"/>
  <c r="Z774" i="38"/>
  <c r="AB774" i="38" s="1"/>
  <c r="Z770" i="38"/>
  <c r="AB770" i="38" s="1"/>
  <c r="Z766" i="38"/>
  <c r="AB766" i="38" s="1"/>
  <c r="Z762" i="38"/>
  <c r="AB762" i="38" s="1"/>
  <c r="Z738" i="38"/>
  <c r="AB738" i="38" s="1"/>
  <c r="Z734" i="38"/>
  <c r="AB734" i="38" s="1"/>
  <c r="Z730" i="38"/>
  <c r="AB730" i="38" s="1"/>
  <c r="Z726" i="38"/>
  <c r="AB726" i="38" s="1"/>
  <c r="Z722" i="38"/>
  <c r="AB722" i="38" s="1"/>
  <c r="Z718" i="38"/>
  <c r="AB718" i="38" s="1"/>
  <c r="Z694" i="38"/>
  <c r="AB694" i="38" s="1"/>
  <c r="Z690" i="38"/>
  <c r="AB690" i="38" s="1"/>
  <c r="Z686" i="38"/>
  <c r="AB686" i="38" s="1"/>
  <c r="Z682" i="38"/>
  <c r="AB682" i="38" s="1"/>
  <c r="Z678" i="38"/>
  <c r="AB678" i="38" s="1"/>
  <c r="Z650" i="38"/>
  <c r="AB650" i="38" s="1"/>
  <c r="Z646" i="38"/>
  <c r="AB646" i="38" s="1"/>
  <c r="Z642" i="38"/>
  <c r="AB642" i="38" s="1"/>
  <c r="Z638" i="38"/>
  <c r="AB638" i="38" s="1"/>
  <c r="Z634" i="38"/>
  <c r="AB634" i="38" s="1"/>
  <c r="Z610" i="38"/>
  <c r="AB610" i="38" s="1"/>
  <c r="Z606" i="38"/>
  <c r="AB606" i="38" s="1"/>
  <c r="Z602" i="38"/>
  <c r="AB602" i="38" s="1"/>
  <c r="Z598" i="38"/>
  <c r="AB598" i="38" s="1"/>
  <c r="Z594" i="38"/>
  <c r="AB594" i="38" s="1"/>
  <c r="Z570" i="38"/>
  <c r="AB570" i="38" s="1"/>
  <c r="Z566" i="38"/>
  <c r="AB566" i="38" s="1"/>
  <c r="Z562" i="38"/>
  <c r="AB562" i="38" s="1"/>
  <c r="Z558" i="38"/>
  <c r="AB558" i="38" s="1"/>
  <c r="Z554" i="38"/>
  <c r="AB554" i="38" s="1"/>
  <c r="Z530" i="38"/>
  <c r="AB530" i="38" s="1"/>
  <c r="Z526" i="38"/>
  <c r="AB526" i="38" s="1"/>
  <c r="Z522" i="38"/>
  <c r="AB522" i="38" s="1"/>
  <c r="Z518" i="38"/>
  <c r="AB518" i="38" s="1"/>
  <c r="Z494" i="38"/>
  <c r="AB494" i="38" s="1"/>
  <c r="Z490" i="38"/>
  <c r="AB490" i="38" s="1"/>
  <c r="Z486" i="38"/>
  <c r="AB486" i="38" s="1"/>
  <c r="Z482" i="38"/>
  <c r="AB482" i="38" s="1"/>
  <c r="Z478" i="38"/>
  <c r="AB478" i="38" s="1"/>
  <c r="Z458" i="38"/>
  <c r="AB458" i="38" s="1"/>
  <c r="Z454" i="38"/>
  <c r="AB454" i="38" s="1"/>
  <c r="Z450" i="38"/>
  <c r="AB450" i="38" s="1"/>
  <c r="Z446" i="38"/>
  <c r="AB446" i="38" s="1"/>
  <c r="Z442" i="38"/>
  <c r="AB442" i="38" s="1"/>
  <c r="Z422" i="38"/>
  <c r="AB422" i="38" s="1"/>
  <c r="Z418" i="38"/>
  <c r="AB418" i="38" s="1"/>
  <c r="Z414" i="38"/>
  <c r="AB414" i="38" s="1"/>
  <c r="Z410" i="38"/>
  <c r="AB410" i="38" s="1"/>
  <c r="Z406" i="38"/>
  <c r="AB406" i="38" s="1"/>
  <c r="Z386" i="38"/>
  <c r="AB386" i="38" s="1"/>
  <c r="Z382" i="38"/>
  <c r="AB382" i="38" s="1"/>
  <c r="Z378" i="38"/>
  <c r="AB378" i="38" s="1"/>
  <c r="Z374" i="38"/>
  <c r="AB374" i="38" s="1"/>
  <c r="Z350" i="38"/>
  <c r="AB350" i="38" s="1"/>
  <c r="Z346" i="38"/>
  <c r="AB346" i="38" s="1"/>
  <c r="Z342" i="38"/>
  <c r="AB342" i="38" s="1"/>
  <c r="Z338" i="38"/>
  <c r="AB338" i="38" s="1"/>
  <c r="Z318" i="38"/>
  <c r="AB318" i="38" s="1"/>
  <c r="Z314" i="38"/>
  <c r="AB314" i="38" s="1"/>
  <c r="Z310" i="38"/>
  <c r="AB310" i="38" s="1"/>
  <c r="Z306" i="38"/>
  <c r="AB306" i="38" s="1"/>
  <c r="Z286" i="38"/>
  <c r="AB286" i="38" s="1"/>
  <c r="Z282" i="38"/>
  <c r="AB282" i="38" s="1"/>
  <c r="Z278" i="38"/>
  <c r="AB278" i="38" s="1"/>
  <c r="Z274" i="38"/>
  <c r="AB274" i="38" s="1"/>
  <c r="Z254" i="38"/>
  <c r="AB254" i="38" s="1"/>
  <c r="Z250" i="38"/>
  <c r="AB250" i="38" s="1"/>
  <c r="Z246" i="38"/>
  <c r="AB246" i="38" s="1"/>
  <c r="Z226" i="38"/>
  <c r="AB226" i="38" s="1"/>
  <c r="Z222" i="38"/>
  <c r="AB222" i="38" s="1"/>
  <c r="Z218" i="38"/>
  <c r="AB218" i="38" s="1"/>
  <c r="Z214" i="38"/>
  <c r="AB214" i="38" s="1"/>
  <c r="Z198" i="38"/>
  <c r="AB198" i="38" s="1"/>
  <c r="Z194" i="38"/>
  <c r="AB194" i="38" s="1"/>
  <c r="Z190" i="38"/>
  <c r="AB190" i="38" s="1"/>
  <c r="Z186" i="38"/>
  <c r="AB186" i="38" s="1"/>
  <c r="Z170" i="38"/>
  <c r="AB170" i="38" s="1"/>
  <c r="Z166" i="38"/>
  <c r="AB166" i="38" s="1"/>
  <c r="Z162" i="38"/>
  <c r="AB162" i="38" s="1"/>
  <c r="Z158" i="38"/>
  <c r="AB158" i="38" s="1"/>
  <c r="Z142" i="38"/>
  <c r="AB142" i="38" s="1"/>
  <c r="Z138" i="38"/>
  <c r="AB138" i="38" s="1"/>
  <c r="Z134" i="38"/>
  <c r="AB134" i="38" s="1"/>
  <c r="Z114" i="38"/>
  <c r="AB114" i="38" s="1"/>
  <c r="Z110" i="38"/>
  <c r="AB110" i="38" s="1"/>
  <c r="Z106" i="38"/>
  <c r="AB106" i="38" s="1"/>
  <c r="Z90" i="38"/>
  <c r="AB90" i="38" s="1"/>
  <c r="Z86" i="38"/>
  <c r="AB86" i="38" s="1"/>
  <c r="Z82" i="38"/>
  <c r="AB82" i="38" s="1"/>
  <c r="Z66" i="38"/>
  <c r="AB66" i="38" s="1"/>
  <c r="Z62" i="38"/>
  <c r="AB62" i="38" s="1"/>
  <c r="Z58" i="38"/>
  <c r="AB58" i="38" s="1"/>
  <c r="Z42" i="38"/>
  <c r="AB42" i="38" s="1"/>
  <c r="Z38" i="38"/>
  <c r="AB38" i="38" s="1"/>
  <c r="Z22" i="38"/>
  <c r="AB22" i="38" s="1"/>
  <c r="Z18" i="38"/>
  <c r="AB18" i="38" s="1"/>
  <c r="Z14" i="38"/>
  <c r="AB14" i="38" s="1"/>
  <c r="AB1582" i="38"/>
  <c r="AB1578" i="38"/>
  <c r="AB1574" i="38"/>
  <c r="AB1570" i="38"/>
  <c r="AB1566" i="38"/>
  <c r="AB1562" i="38"/>
  <c r="AB1558" i="38"/>
  <c r="AB1554" i="38"/>
  <c r="AB1550" i="38"/>
  <c r="AB1546" i="38"/>
  <c r="AB1542" i="38"/>
  <c r="AB1538" i="38"/>
  <c r="AB1534" i="38"/>
  <c r="AB1530" i="38"/>
  <c r="AB1510" i="38"/>
  <c r="AB1506" i="38"/>
  <c r="AB1502" i="38"/>
  <c r="AB1498" i="38"/>
  <c r="AB1494" i="38"/>
  <c r="AB1490" i="38"/>
  <c r="AB1486" i="38"/>
  <c r="AB1482" i="38"/>
  <c r="AB1478" i="38"/>
  <c r="AB1474" i="38"/>
  <c r="AB1470" i="38"/>
  <c r="AB1466" i="38"/>
  <c r="AB1462" i="38"/>
  <c r="AB1458" i="38"/>
  <c r="AB1454" i="38"/>
  <c r="AB1450" i="38"/>
  <c r="AB1446" i="38"/>
  <c r="AB1442" i="38"/>
  <c r="AB1438" i="38"/>
  <c r="AB1434" i="38"/>
  <c r="AB1430" i="38"/>
  <c r="AB1426" i="38"/>
  <c r="AB1422" i="38"/>
  <c r="AB1418" i="38"/>
  <c r="AB1414" i="38"/>
  <c r="AB1410" i="38"/>
  <c r="AB1406" i="38"/>
  <c r="AB1402" i="38"/>
  <c r="AB1398" i="38"/>
  <c r="AB1394" i="38"/>
  <c r="AB1390" i="38"/>
  <c r="AB1386" i="38"/>
  <c r="AB1382" i="38"/>
  <c r="AB1378" i="38"/>
  <c r="AB1374" i="38"/>
  <c r="AB1370" i="38"/>
  <c r="AB1366" i="38"/>
  <c r="AB1362" i="38"/>
  <c r="AB1358" i="38"/>
  <c r="AB1354" i="38"/>
  <c r="AB1350" i="38"/>
  <c r="AB1346" i="38"/>
  <c r="AB1342" i="38"/>
  <c r="AB1338" i="38"/>
  <c r="AB1334" i="38"/>
  <c r="AB1330" i="38"/>
  <c r="AB1326" i="38"/>
  <c r="AB1322" i="38"/>
  <c r="AB1318" i="38"/>
  <c r="AB1314" i="38"/>
  <c r="AB1310" i="38"/>
  <c r="AB1306" i="38"/>
  <c r="AB1302" i="38"/>
  <c r="AB1298" i="38"/>
  <c r="AB1294" i="38"/>
  <c r="AB1290" i="38"/>
  <c r="AB1286" i="38"/>
  <c r="AB1282" i="38"/>
  <c r="AB1278" i="38"/>
  <c r="AB1274" i="38"/>
  <c r="AB1270" i="38"/>
  <c r="AB1266" i="38"/>
  <c r="AB1262" i="38"/>
  <c r="AB1242" i="38"/>
  <c r="AB1241" i="38"/>
  <c r="AB1205" i="38"/>
  <c r="AB1204" i="38"/>
  <c r="AB1203" i="38"/>
  <c r="AB1202" i="38"/>
  <c r="AB1167" i="38"/>
  <c r="AB1166" i="38"/>
  <c r="AB1165" i="38"/>
  <c r="AB1164" i="38"/>
  <c r="AB1163" i="38"/>
  <c r="AB1162" i="38"/>
  <c r="AB1128" i="38"/>
  <c r="AB1127" i="38"/>
  <c r="AB1126" i="38"/>
  <c r="AB1125" i="38"/>
  <c r="AB1124" i="38"/>
  <c r="AB1123" i="38"/>
  <c r="AB1122" i="38"/>
  <c r="AB1121" i="38"/>
  <c r="Z825" i="38"/>
  <c r="AB825" i="38" s="1"/>
  <c r="Z821" i="38"/>
  <c r="AB821" i="38" s="1"/>
  <c r="Z817" i="38"/>
  <c r="AB817" i="38" s="1"/>
  <c r="Z813" i="38"/>
  <c r="AB813" i="38" s="1"/>
  <c r="Z809" i="38"/>
  <c r="AB809" i="38" s="1"/>
  <c r="Z781" i="38"/>
  <c r="AB781" i="38" s="1"/>
  <c r="Z777" i="38"/>
  <c r="AB777" i="38" s="1"/>
  <c r="Z773" i="38"/>
  <c r="AB773" i="38" s="1"/>
  <c r="Z769" i="38"/>
  <c r="AB769" i="38" s="1"/>
  <c r="Z765" i="38"/>
  <c r="AB765" i="38" s="1"/>
  <c r="Z761" i="38"/>
  <c r="AB761" i="38" s="1"/>
  <c r="Z737" i="38"/>
  <c r="AB737" i="38" s="1"/>
  <c r="Z733" i="38"/>
  <c r="AB733" i="38" s="1"/>
  <c r="Z729" i="38"/>
  <c r="AB729" i="38" s="1"/>
  <c r="Z725" i="38"/>
  <c r="AB725" i="38" s="1"/>
  <c r="Z721" i="38"/>
  <c r="AB721" i="38" s="1"/>
  <c r="Z693" i="38"/>
  <c r="AB693" i="38" s="1"/>
  <c r="Z689" i="38"/>
  <c r="AB689" i="38" s="1"/>
  <c r="Z685" i="38"/>
  <c r="AB685" i="38" s="1"/>
  <c r="Z681" i="38"/>
  <c r="AB681" i="38" s="1"/>
  <c r="Z677" i="38"/>
  <c r="AB677" i="38" s="1"/>
  <c r="Z653" i="38"/>
  <c r="AB653" i="38" s="1"/>
  <c r="Z649" i="38"/>
  <c r="AB649" i="38" s="1"/>
  <c r="Z645" i="38"/>
  <c r="AB645" i="38" s="1"/>
  <c r="Z641" i="38"/>
  <c r="AB641" i="38" s="1"/>
  <c r="Z637" i="38"/>
  <c r="AB637" i="38" s="1"/>
  <c r="Z609" i="38"/>
  <c r="AB609" i="38" s="1"/>
  <c r="Z605" i="38"/>
  <c r="AB605" i="38" s="1"/>
  <c r="Z601" i="38"/>
  <c r="AB601" i="38" s="1"/>
  <c r="Z597" i="38"/>
  <c r="AB597" i="38" s="1"/>
  <c r="Z593" i="38"/>
  <c r="AB593" i="38" s="1"/>
  <c r="Z569" i="38"/>
  <c r="AB569" i="38" s="1"/>
  <c r="Z565" i="38"/>
  <c r="AB565" i="38" s="1"/>
  <c r="Z561" i="38"/>
  <c r="AB561" i="38" s="1"/>
  <c r="Z557" i="38"/>
  <c r="AB557" i="38" s="1"/>
  <c r="Z533" i="38"/>
  <c r="AB533" i="38" s="1"/>
  <c r="Z529" i="38"/>
  <c r="AB529" i="38" s="1"/>
  <c r="Z525" i="38"/>
  <c r="AB525" i="38" s="1"/>
  <c r="Z521" i="38"/>
  <c r="AB521" i="38" s="1"/>
  <c r="Z517" i="38"/>
  <c r="AB517" i="38" s="1"/>
  <c r="Z493" i="38"/>
  <c r="AB493" i="38" s="1"/>
  <c r="Z489" i="38"/>
  <c r="AB489" i="38" s="1"/>
  <c r="Z485" i="38"/>
  <c r="AB485" i="38" s="1"/>
  <c r="Z481" i="38"/>
  <c r="AB481" i="38" s="1"/>
  <c r="Z457" i="38"/>
  <c r="AB457" i="38" s="1"/>
  <c r="Z453" i="38"/>
  <c r="AB453" i="38" s="1"/>
  <c r="Z449" i="38"/>
  <c r="AB449" i="38" s="1"/>
  <c r="Z445" i="38"/>
  <c r="AB445" i="38" s="1"/>
  <c r="Z441" i="38"/>
  <c r="AB441" i="38" s="1"/>
  <c r="Z421" i="38"/>
  <c r="AB421" i="38" s="1"/>
  <c r="Z417" i="38"/>
  <c r="AB417" i="38" s="1"/>
  <c r="Z413" i="38"/>
  <c r="AB413" i="38" s="1"/>
  <c r="Z409" i="38"/>
  <c r="AB409" i="38" s="1"/>
  <c r="Z385" i="38"/>
  <c r="AB385" i="38" s="1"/>
  <c r="Z381" i="38"/>
  <c r="AB381" i="38" s="1"/>
  <c r="Z377" i="38"/>
  <c r="AB377" i="38" s="1"/>
  <c r="Z373" i="38"/>
  <c r="AB373" i="38" s="1"/>
  <c r="Z353" i="38"/>
  <c r="AB353" i="38" s="1"/>
  <c r="Z349" i="38"/>
  <c r="AB349" i="38" s="1"/>
  <c r="Z345" i="38"/>
  <c r="AB345" i="38" s="1"/>
  <c r="Z341" i="38"/>
  <c r="AB341" i="38" s="1"/>
  <c r="Z317" i="38"/>
  <c r="AB317" i="38" s="1"/>
  <c r="Z313" i="38"/>
  <c r="AB313" i="38" s="1"/>
  <c r="Z309" i="38"/>
  <c r="AB309" i="38" s="1"/>
  <c r="Z305" i="38"/>
  <c r="AB305" i="38" s="1"/>
  <c r="Z285" i="38"/>
  <c r="AB285" i="38" s="1"/>
  <c r="Z281" i="38"/>
  <c r="AB281" i="38" s="1"/>
  <c r="Z277" i="38"/>
  <c r="AB277" i="38" s="1"/>
  <c r="Z257" i="38"/>
  <c r="AB257" i="38" s="1"/>
  <c r="Z253" i="38"/>
  <c r="AB253" i="38" s="1"/>
  <c r="Z249" i="38"/>
  <c r="AB249" i="38" s="1"/>
  <c r="Z245" i="38"/>
  <c r="AB245" i="38" s="1"/>
  <c r="Z225" i="38"/>
  <c r="AB225" i="38" s="1"/>
  <c r="Z221" i="38"/>
  <c r="AB221" i="38" s="1"/>
  <c r="Z217" i="38"/>
  <c r="AB217" i="38" s="1"/>
  <c r="Z197" i="38"/>
  <c r="AB197" i="38" s="1"/>
  <c r="Z193" i="38"/>
  <c r="AB193" i="38" s="1"/>
  <c r="Z189" i="38"/>
  <c r="AB189" i="38" s="1"/>
  <c r="Z185" i="38"/>
  <c r="AB185" i="38" s="1"/>
  <c r="Z169" i="38"/>
  <c r="AB169" i="38" s="1"/>
  <c r="Z165" i="38"/>
  <c r="AB165" i="38" s="1"/>
  <c r="Z161" i="38"/>
  <c r="AB161" i="38" s="1"/>
  <c r="Z141" i="38"/>
  <c r="AB141" i="38" s="1"/>
  <c r="Z137" i="38"/>
  <c r="AB137" i="38" s="1"/>
  <c r="Z133" i="38"/>
  <c r="AB133" i="38" s="1"/>
  <c r="Z117" i="38"/>
  <c r="AB117" i="38" s="1"/>
  <c r="Z113" i="38"/>
  <c r="AB113" i="38" s="1"/>
  <c r="Z109" i="38"/>
  <c r="AB109" i="38" s="1"/>
  <c r="Z89" i="38"/>
  <c r="AB89" i="38" s="1"/>
  <c r="Z85" i="38"/>
  <c r="AB85" i="38" s="1"/>
  <c r="Z81" i="38"/>
  <c r="AB81" i="38" s="1"/>
  <c r="Z65" i="38"/>
  <c r="AB65" i="38" s="1"/>
  <c r="Z61" i="38"/>
  <c r="AB61" i="38" s="1"/>
  <c r="Z45" i="38"/>
  <c r="AB45" i="38" s="1"/>
  <c r="Z41" i="38"/>
  <c r="AB41" i="38" s="1"/>
  <c r="Z37" i="38"/>
  <c r="AB37" i="38" s="1"/>
  <c r="Z21" i="38"/>
  <c r="AB21" i="38" s="1"/>
  <c r="Z17" i="38"/>
  <c r="AB17" i="38" s="1"/>
  <c r="AB1583" i="38"/>
  <c r="AB1579" i="38"/>
  <c r="AB1575" i="38"/>
  <c r="AB1571" i="38"/>
  <c r="AB1567" i="38"/>
  <c r="AB1563" i="38"/>
  <c r="AB1559" i="38"/>
  <c r="AB1555" i="38"/>
  <c r="AB1551" i="38"/>
  <c r="AB1547" i="38"/>
  <c r="AB1543" i="38"/>
  <c r="AB1539" i="38"/>
  <c r="AB1535" i="38"/>
  <c r="AB1531" i="38"/>
  <c r="AB1527" i="38"/>
  <c r="AB1511" i="38"/>
  <c r="AB1507" i="38"/>
  <c r="AB1503" i="38"/>
  <c r="AB1499" i="38"/>
  <c r="AB1495" i="38"/>
  <c r="AB1491" i="38"/>
  <c r="AB1487" i="38"/>
  <c r="AB1483" i="38"/>
  <c r="AB1479" i="38"/>
  <c r="AB1475" i="38"/>
  <c r="AB1471" i="38"/>
  <c r="AB1467" i="38"/>
  <c r="AB1463" i="38"/>
  <c r="AB1459" i="38"/>
  <c r="AB1455" i="38"/>
  <c r="AB1451" i="38"/>
  <c r="AB1447" i="38"/>
  <c r="Z1085" i="38"/>
  <c r="AB1085" i="38" s="1"/>
  <c r="Z1081" i="38"/>
  <c r="AB1081" i="38" s="1"/>
  <c r="Z1045" i="38"/>
  <c r="AB1045" i="38" s="1"/>
  <c r="Z1041" i="38"/>
  <c r="AB1041" i="38" s="1"/>
  <c r="Z1037" i="38"/>
  <c r="AB1037" i="38" s="1"/>
  <c r="Z1005" i="38"/>
  <c r="AB1005" i="38" s="1"/>
  <c r="Z1001" i="38"/>
  <c r="AB1001" i="38" s="1"/>
  <c r="Z997" i="38"/>
  <c r="AB997" i="38" s="1"/>
  <c r="Z993" i="38"/>
  <c r="AB993" i="38" s="1"/>
  <c r="Z961" i="38"/>
  <c r="AB961" i="38" s="1"/>
  <c r="Z957" i="38"/>
  <c r="AB957" i="38" s="1"/>
  <c r="Z953" i="38"/>
  <c r="AB953" i="38" s="1"/>
  <c r="Z949" i="38"/>
  <c r="AB949" i="38" s="1"/>
  <c r="Z917" i="38"/>
  <c r="AB917" i="38" s="1"/>
  <c r="Z913" i="38"/>
  <c r="AB913" i="38" s="1"/>
  <c r="Z909" i="38"/>
  <c r="AB909" i="38" s="1"/>
  <c r="Z905" i="38"/>
  <c r="AB905" i="38" s="1"/>
  <c r="Z901" i="38"/>
  <c r="AB901" i="38" s="1"/>
  <c r="Z873" i="38"/>
  <c r="AB873" i="38" s="1"/>
  <c r="Z869" i="38"/>
  <c r="AB869" i="38" s="1"/>
  <c r="Z865" i="38"/>
  <c r="AB865" i="38" s="1"/>
  <c r="Z861" i="38"/>
  <c r="AB861" i="38" s="1"/>
  <c r="Z857" i="38"/>
  <c r="AB857" i="38" s="1"/>
  <c r="AB1088" i="38"/>
  <c r="AB1084" i="38"/>
  <c r="AB1080" i="38"/>
  <c r="AB1044" i="38"/>
  <c r="AB1040" i="38"/>
  <c r="AB1036" i="38"/>
  <c r="AB1004" i="38"/>
  <c r="AB1000" i="38"/>
  <c r="AB996" i="38"/>
  <c r="AB992" i="38"/>
  <c r="AB960" i="38"/>
  <c r="AB956" i="38"/>
  <c r="AB952" i="38"/>
  <c r="AB948" i="38"/>
  <c r="AB916" i="38"/>
  <c r="AB912" i="38"/>
  <c r="AB908" i="38"/>
  <c r="AB904" i="38"/>
  <c r="AB872" i="38"/>
  <c r="AB868" i="38"/>
  <c r="AB864" i="38"/>
  <c r="AB860" i="38"/>
  <c r="AB856" i="38"/>
  <c r="Z824" i="38"/>
  <c r="AB824" i="38" s="1"/>
  <c r="Z820" i="38"/>
  <c r="AB820" i="38" s="1"/>
  <c r="Z816" i="38"/>
  <c r="AB816" i="38" s="1"/>
  <c r="Z812" i="38"/>
  <c r="AB812" i="38" s="1"/>
  <c r="Z808" i="38"/>
  <c r="AB808" i="38" s="1"/>
  <c r="Z780" i="38"/>
  <c r="AB780" i="38" s="1"/>
  <c r="Z776" i="38"/>
  <c r="AB776" i="38" s="1"/>
  <c r="Z772" i="38"/>
  <c r="AB772" i="38" s="1"/>
  <c r="Z768" i="38"/>
  <c r="AB768" i="38" s="1"/>
  <c r="Z764" i="38"/>
  <c r="AB764" i="38" s="1"/>
  <c r="Z736" i="38"/>
  <c r="AB736" i="38" s="1"/>
  <c r="Z732" i="38"/>
  <c r="AB732" i="38" s="1"/>
  <c r="Z728" i="38"/>
  <c r="AB728" i="38" s="1"/>
  <c r="Z724" i="38"/>
  <c r="AB724" i="38" s="1"/>
  <c r="Z720" i="38"/>
  <c r="AB720" i="38" s="1"/>
  <c r="Z692" i="38"/>
  <c r="AB692" i="38" s="1"/>
  <c r="Z688" i="38"/>
  <c r="AB688" i="38" s="1"/>
  <c r="Z684" i="38"/>
  <c r="AB684" i="38" s="1"/>
  <c r="Z680" i="38"/>
  <c r="AB680" i="38" s="1"/>
  <c r="Z676" i="38"/>
  <c r="AB676" i="38" s="1"/>
  <c r="Z652" i="38"/>
  <c r="AB652" i="38" s="1"/>
  <c r="Z648" i="38"/>
  <c r="AB648" i="38" s="1"/>
  <c r="Z644" i="38"/>
  <c r="AB644" i="38" s="1"/>
  <c r="Z640" i="38"/>
  <c r="AB640" i="38" s="1"/>
  <c r="Z636" i="38"/>
  <c r="AB636" i="38" s="1"/>
  <c r="Z612" i="38"/>
  <c r="AB612" i="38" s="1"/>
  <c r="Z608" i="38"/>
  <c r="AB608" i="38" s="1"/>
  <c r="Z604" i="38"/>
  <c r="AB604" i="38" s="1"/>
  <c r="Z600" i="38"/>
  <c r="AB600" i="38" s="1"/>
  <c r="Z596" i="38"/>
  <c r="AB596" i="38" s="1"/>
  <c r="Z572" i="38"/>
  <c r="AB572" i="38" s="1"/>
  <c r="Z568" i="38"/>
  <c r="AB568" i="38" s="1"/>
  <c r="Z564" i="38"/>
  <c r="AB564" i="38" s="1"/>
  <c r="Z560" i="38"/>
  <c r="AB560" i="38" s="1"/>
  <c r="Z556" i="38"/>
  <c r="AB556" i="38" s="1"/>
  <c r="Z532" i="38"/>
  <c r="AB532" i="38" s="1"/>
  <c r="Z528" i="38"/>
  <c r="AB528" i="38" s="1"/>
  <c r="Z524" i="38"/>
  <c r="AB524" i="38" s="1"/>
  <c r="Z520" i="38"/>
  <c r="AB520" i="38" s="1"/>
  <c r="Z516" i="38"/>
  <c r="AB516" i="38" s="1"/>
  <c r="Z492" i="38"/>
  <c r="AB492" i="38" s="1"/>
  <c r="Z488" i="38"/>
  <c r="AB488" i="38" s="1"/>
  <c r="Z484" i="38"/>
  <c r="AB484" i="38" s="1"/>
  <c r="Z480" i="38"/>
  <c r="AB480" i="38" s="1"/>
  <c r="Z456" i="38"/>
  <c r="AB456" i="38" s="1"/>
  <c r="Z452" i="38"/>
  <c r="AB452" i="38" s="1"/>
  <c r="Z448" i="38"/>
  <c r="AB448" i="38" s="1"/>
  <c r="Z444" i="38"/>
  <c r="AB444" i="38" s="1"/>
  <c r="Z420" i="38"/>
  <c r="AB420" i="38" s="1"/>
  <c r="Z416" i="38"/>
  <c r="AB416" i="38" s="1"/>
  <c r="Z412" i="38"/>
  <c r="AB412" i="38" s="1"/>
  <c r="Z408" i="38"/>
  <c r="AB408" i="38" s="1"/>
  <c r="Z384" i="38"/>
  <c r="AB384" i="38" s="1"/>
  <c r="Z380" i="38"/>
  <c r="AB380" i="38" s="1"/>
  <c r="Z376" i="38"/>
  <c r="AB376" i="38" s="1"/>
  <c r="Z372" i="38"/>
  <c r="AB372" i="38" s="1"/>
  <c r="Z352" i="38"/>
  <c r="AB352" i="38" s="1"/>
  <c r="Z348" i="38"/>
  <c r="AB348" i="38" s="1"/>
  <c r="Z344" i="38"/>
  <c r="AB344" i="38" s="1"/>
  <c r="Z340" i="38"/>
  <c r="AB340" i="38" s="1"/>
  <c r="Z320" i="38"/>
  <c r="AB320" i="38" s="1"/>
  <c r="Z316" i="38"/>
  <c r="AB316" i="38" s="1"/>
  <c r="Z312" i="38"/>
  <c r="AB312" i="38" s="1"/>
  <c r="Z308" i="38"/>
  <c r="AB308" i="38" s="1"/>
  <c r="Z288" i="38"/>
  <c r="AB288" i="38" s="1"/>
  <c r="Z284" i="38"/>
  <c r="AB284" i="38" s="1"/>
  <c r="Z280" i="38"/>
  <c r="AB280" i="38" s="1"/>
  <c r="Z276" i="38"/>
  <c r="AB276" i="38" s="1"/>
  <c r="Z256" i="38"/>
  <c r="AB256" i="38" s="1"/>
  <c r="Z252" i="38"/>
  <c r="AB252" i="38" s="1"/>
  <c r="Z248" i="38"/>
  <c r="AB248" i="38" s="1"/>
  <c r="Z244" i="38"/>
  <c r="AB244" i="38" s="1"/>
  <c r="Z224" i="38"/>
  <c r="AB224" i="38" s="1"/>
  <c r="Z220" i="38"/>
  <c r="AB220" i="38" s="1"/>
  <c r="Z216" i="38"/>
  <c r="AB216" i="38" s="1"/>
  <c r="Z196" i="38"/>
  <c r="AB196" i="38" s="1"/>
  <c r="Z192" i="38"/>
  <c r="AB192" i="38" s="1"/>
  <c r="Z188" i="38"/>
  <c r="AB188" i="38" s="1"/>
  <c r="Z168" i="38"/>
  <c r="AB168" i="38" s="1"/>
  <c r="Z164" i="38"/>
  <c r="AB164" i="38" s="1"/>
  <c r="Z160" i="38"/>
  <c r="AB160" i="38" s="1"/>
  <c r="Z140" i="38"/>
  <c r="AB140" i="38" s="1"/>
  <c r="Z136" i="38"/>
  <c r="AB136" i="38" s="1"/>
  <c r="Z132" i="38"/>
  <c r="AB132" i="38" s="1"/>
  <c r="Z116" i="38"/>
  <c r="AB116" i="38" s="1"/>
  <c r="Z112" i="38"/>
  <c r="AB112" i="38" s="1"/>
  <c r="Z108" i="38"/>
  <c r="AB108" i="38" s="1"/>
  <c r="Z92" i="38"/>
  <c r="AB92" i="38" s="1"/>
  <c r="Z88" i="38"/>
  <c r="AB88" i="38" s="1"/>
  <c r="Z84" i="38"/>
  <c r="AB84" i="38" s="1"/>
  <c r="Z68" i="38"/>
  <c r="AB68" i="38" s="1"/>
  <c r="Z64" i="38"/>
  <c r="AB64" i="38" s="1"/>
  <c r="Z60" i="38"/>
  <c r="AB60" i="38" s="1"/>
  <c r="Z44" i="38"/>
  <c r="AB44" i="38" s="1"/>
  <c r="Z40" i="38"/>
  <c r="AB40" i="38" s="1"/>
  <c r="Z36" i="38"/>
  <c r="AB36" i="38" s="1"/>
  <c r="Z20" i="38"/>
  <c r="AB20" i="38" s="1"/>
  <c r="Z16" i="38"/>
  <c r="AB16" i="38" s="1"/>
  <c r="AB1580" i="38"/>
  <c r="AB1576" i="38"/>
  <c r="AB1572" i="38"/>
  <c r="AB1568" i="38"/>
  <c r="AB1564" i="38"/>
  <c r="AB1560" i="38"/>
  <c r="AB1556" i="38"/>
  <c r="AB1552" i="38"/>
  <c r="AB1548" i="38"/>
  <c r="AB1544" i="38"/>
  <c r="AB1540" i="38"/>
  <c r="AB1536" i="38"/>
  <c r="AB1532" i="38"/>
  <c r="AB1528" i="38"/>
  <c r="AB1249" i="38"/>
  <c r="Z1086" i="38"/>
  <c r="AB1086" i="38" s="1"/>
  <c r="Z1082" i="38"/>
  <c r="AB1082" i="38" s="1"/>
  <c r="Z1046" i="38"/>
  <c r="AB1046" i="38" s="1"/>
  <c r="Z1042" i="38"/>
  <c r="AB1042" i="38" s="1"/>
  <c r="Z1038" i="38"/>
  <c r="AB1038" i="38" s="1"/>
  <c r="Z1002" i="38"/>
  <c r="AB1002" i="38" s="1"/>
  <c r="Z998" i="38"/>
  <c r="AB998" i="38" s="1"/>
  <c r="Z994" i="38"/>
  <c r="AB994" i="38" s="1"/>
  <c r="Z962" i="38"/>
  <c r="AB962" i="38" s="1"/>
  <c r="Z958" i="38"/>
  <c r="AB958" i="38" s="1"/>
  <c r="Z954" i="38"/>
  <c r="AB954" i="38" s="1"/>
  <c r="Z950" i="38"/>
  <c r="AB950" i="38" s="1"/>
  <c r="Z918" i="38"/>
  <c r="AB918" i="38" s="1"/>
  <c r="Z914" i="38"/>
  <c r="AB914" i="38" s="1"/>
  <c r="Z910" i="38"/>
  <c r="AB910" i="38" s="1"/>
  <c r="Z906" i="38"/>
  <c r="AB906" i="38" s="1"/>
  <c r="Z902" i="38"/>
  <c r="AB902" i="38" s="1"/>
  <c r="Z870" i="38"/>
  <c r="AB870" i="38" s="1"/>
  <c r="Z866" i="38"/>
  <c r="AB866" i="38" s="1"/>
  <c r="Z862" i="38"/>
  <c r="AB862" i="38" s="1"/>
  <c r="Z858" i="38"/>
  <c r="AB858" i="38" s="1"/>
  <c r="AB1441" i="38"/>
  <c r="AB1437" i="38"/>
  <c r="AB1433" i="38"/>
  <c r="AB1429" i="38"/>
  <c r="AB1425" i="38"/>
  <c r="AB1421" i="38"/>
  <c r="AB1417" i="38"/>
  <c r="AB1413" i="38"/>
  <c r="AB1409" i="38"/>
  <c r="AB1405" i="38"/>
  <c r="AB1401" i="38"/>
  <c r="AB1397" i="38"/>
  <c r="AB1393" i="38"/>
  <c r="AB1389" i="38"/>
  <c r="AB1385" i="38"/>
  <c r="AB1381" i="38"/>
  <c r="AB1377" i="38"/>
  <c r="AB1373" i="38"/>
  <c r="AB1369" i="38"/>
  <c r="AB1365" i="38"/>
  <c r="AB1361" i="38"/>
  <c r="AB1357" i="38"/>
  <c r="AB1353" i="38"/>
  <c r="AB1349" i="38"/>
  <c r="AB1345" i="38"/>
  <c r="AB1341" i="38"/>
  <c r="AB1337" i="38"/>
  <c r="AB1333" i="38"/>
  <c r="AB1329" i="38"/>
  <c r="AB1325" i="38"/>
  <c r="AB1321" i="38"/>
  <c r="AB1317" i="38"/>
  <c r="AB1313" i="38"/>
  <c r="AB1309" i="38"/>
  <c r="AB1443" i="38"/>
  <c r="AB1439" i="38"/>
  <c r="AB1435" i="38"/>
  <c r="AB1431" i="38"/>
  <c r="AB1427" i="38"/>
  <c r="AB1423" i="38"/>
  <c r="AB1419" i="38"/>
  <c r="AB1415" i="38"/>
  <c r="AB1411" i="38"/>
  <c r="AB1407" i="38"/>
  <c r="AB1403" i="38"/>
  <c r="AB1399" i="38"/>
  <c r="AB1395" i="38"/>
  <c r="AB1391" i="38"/>
  <c r="AB1387" i="38"/>
  <c r="AB1383" i="38"/>
  <c r="AB1379" i="38"/>
  <c r="AB1375" i="38"/>
  <c r="AB1371" i="38"/>
  <c r="AB1367" i="38"/>
  <c r="AB1363" i="38"/>
  <c r="AB1359" i="38"/>
  <c r="AB1355" i="38"/>
  <c r="AB1351" i="38"/>
  <c r="AB1347" i="38"/>
  <c r="AB1343" i="38"/>
  <c r="AB1339" i="38"/>
  <c r="AB1335" i="38"/>
  <c r="AB1331" i="38"/>
  <c r="AB1327" i="38"/>
  <c r="AB1323" i="38"/>
  <c r="AB1319" i="38"/>
  <c r="AB1315" i="38"/>
  <c r="AB1311" i="38"/>
  <c r="AB1307" i="38"/>
  <c r="AB1303" i="38"/>
  <c r="AB1299" i="38"/>
  <c r="AB1295" i="38"/>
  <c r="AB1291" i="38"/>
  <c r="AB1287" i="38"/>
  <c r="AB1283" i="38"/>
  <c r="AB1279" i="38"/>
  <c r="AB1275" i="38"/>
  <c r="AB1271" i="38"/>
  <c r="AB1267" i="38"/>
  <c r="AB1263" i="38"/>
  <c r="AB1305" i="38"/>
  <c r="AB1301" i="38"/>
  <c r="AB1297" i="38"/>
  <c r="AB1293" i="38"/>
  <c r="AB1289" i="38"/>
  <c r="AB1285" i="38"/>
  <c r="AB1281" i="38"/>
  <c r="AB1277" i="38"/>
  <c r="AB1273" i="38"/>
  <c r="AB1269" i="38"/>
  <c r="AB1265" i="38"/>
  <c r="AB1261" i="38"/>
  <c r="AB1557" i="38"/>
  <c r="AB1553" i="38"/>
  <c r="AB1549" i="38"/>
  <c r="AB1545" i="38"/>
  <c r="AB1541" i="38"/>
  <c r="AB1537" i="38"/>
  <c r="AB1533" i="38"/>
  <c r="AB1529" i="38"/>
  <c r="AB1512" i="38"/>
  <c r="AB1508" i="38"/>
  <c r="AB1504" i="38"/>
  <c r="AB1500" i="38"/>
  <c r="AB1496" i="38"/>
  <c r="AB1492" i="38"/>
  <c r="AB1488" i="38"/>
  <c r="AB1484" i="38"/>
  <c r="AB1480" i="38"/>
  <c r="AB1476" i="38"/>
  <c r="AB1472" i="38"/>
  <c r="AB1468" i="38"/>
  <c r="AB1464" i="38"/>
  <c r="AB1460" i="38"/>
  <c r="AB1456" i="38"/>
  <c r="AB1452" i="38"/>
  <c r="AB1448" i="38"/>
  <c r="AB1444" i="38"/>
  <c r="AB1440" i="38"/>
  <c r="AB1436" i="38"/>
  <c r="AB1432" i="38"/>
  <c r="AB1428" i="38"/>
  <c r="AB1424" i="38"/>
  <c r="AB1420" i="38"/>
  <c r="AB1416" i="38"/>
  <c r="AB1412" i="38"/>
  <c r="AB1408" i="38"/>
  <c r="AB1404" i="38"/>
  <c r="AB1400" i="38"/>
  <c r="AB1396" i="38"/>
  <c r="AB1392" i="38"/>
  <c r="AB1388" i="38"/>
  <c r="AB1384" i="38"/>
  <c r="AB1380" i="38"/>
  <c r="AB1376" i="38"/>
  <c r="AB1372" i="38"/>
  <c r="AB1368" i="38"/>
  <c r="AB1364" i="38"/>
  <c r="AB1360" i="38"/>
  <c r="AB1356" i="38"/>
  <c r="AB1352" i="38"/>
  <c r="AB1348" i="38"/>
  <c r="AB1344" i="38"/>
  <c r="AB1340" i="38"/>
  <c r="AB1336" i="38"/>
  <c r="AB1332" i="38"/>
  <c r="AB1328" i="38"/>
  <c r="AB1324" i="38"/>
  <c r="AB1320" i="38"/>
  <c r="AB1316" i="38"/>
  <c r="AB1312" i="38"/>
  <c r="AB1308" i="38"/>
  <c r="AB1304" i="38"/>
  <c r="AB1300" i="38"/>
  <c r="AB1296" i="38"/>
  <c r="AB1292" i="38"/>
  <c r="AB1288" i="38"/>
  <c r="AB1284" i="38"/>
  <c r="AB1280" i="38"/>
  <c r="AB1276" i="38"/>
  <c r="AB1272" i="38"/>
  <c r="AB1268" i="38"/>
  <c r="AB1264" i="38"/>
  <c r="AB1260" i="38"/>
  <c r="AB1584" i="38"/>
  <c r="J531" i="34"/>
  <c r="H531" i="34"/>
  <c r="J530" i="34"/>
  <c r="H530" i="34"/>
  <c r="J529" i="34"/>
  <c r="H529" i="34"/>
  <c r="H528" i="34"/>
  <c r="J527" i="34"/>
  <c r="H527" i="34"/>
  <c r="J526" i="34"/>
  <c r="H526" i="34"/>
  <c r="H524" i="34"/>
  <c r="J525" i="34"/>
  <c r="H525" i="34"/>
  <c r="H523" i="34"/>
  <c r="J522" i="34"/>
  <c r="H522" i="34"/>
  <c r="J521" i="34"/>
  <c r="H521" i="34"/>
  <c r="J520" i="34"/>
  <c r="H520" i="34"/>
  <c r="J519" i="34"/>
  <c r="H519" i="34"/>
  <c r="J518" i="34"/>
  <c r="H518" i="34"/>
  <c r="J517" i="34"/>
  <c r="H517" i="34"/>
  <c r="J516" i="34"/>
  <c r="H516" i="34"/>
  <c r="J515" i="34"/>
  <c r="H515" i="34"/>
  <c r="J514" i="34"/>
  <c r="H514" i="34"/>
  <c r="J513" i="34"/>
  <c r="H513" i="34"/>
  <c r="J512" i="34"/>
  <c r="H512" i="34"/>
  <c r="J511" i="34"/>
  <c r="H511" i="34"/>
  <c r="J510" i="34"/>
  <c r="H510" i="34"/>
  <c r="J509" i="34"/>
  <c r="H509" i="34"/>
  <c r="J508" i="34"/>
  <c r="H508" i="34"/>
  <c r="H507" i="34"/>
  <c r="H506" i="34"/>
  <c r="J505" i="34"/>
  <c r="H505" i="34"/>
  <c r="J504" i="34"/>
  <c r="H504" i="34"/>
  <c r="H503" i="34"/>
  <c r="K502" i="34"/>
  <c r="J502" i="34"/>
  <c r="H502" i="34"/>
  <c r="J501" i="34"/>
  <c r="H501" i="34"/>
  <c r="J500" i="34"/>
  <c r="H500" i="34"/>
  <c r="J499" i="34"/>
  <c r="H499" i="34"/>
  <c r="J498" i="34"/>
  <c r="H498" i="34"/>
  <c r="J497" i="34"/>
  <c r="H497" i="34"/>
  <c r="J496" i="34"/>
  <c r="H496" i="34"/>
  <c r="J495" i="34"/>
  <c r="H495" i="34"/>
  <c r="J494" i="34"/>
  <c r="H494" i="34"/>
  <c r="J493" i="34"/>
  <c r="H493" i="34"/>
  <c r="H492" i="34"/>
  <c r="J491" i="34"/>
  <c r="H491" i="34"/>
  <c r="J490" i="34"/>
  <c r="H490" i="34"/>
  <c r="J489" i="34"/>
  <c r="H489" i="34"/>
  <c r="H488" i="34"/>
  <c r="J487" i="34"/>
  <c r="H487" i="34"/>
  <c r="J486" i="34"/>
  <c r="H486" i="34"/>
  <c r="J485" i="34"/>
  <c r="H485" i="34"/>
  <c r="J484" i="34"/>
  <c r="H484" i="34"/>
  <c r="H483" i="34"/>
  <c r="H482" i="34"/>
  <c r="J481" i="34"/>
  <c r="H481" i="34"/>
  <c r="J480" i="34"/>
  <c r="H480" i="34"/>
  <c r="J479" i="34"/>
  <c r="H479" i="34"/>
  <c r="J478" i="34"/>
  <c r="H478" i="34"/>
  <c r="J477" i="34"/>
  <c r="H477" i="34"/>
  <c r="H475" i="34"/>
  <c r="J476" i="34"/>
  <c r="H476" i="34"/>
  <c r="J474" i="34"/>
  <c r="H474" i="34"/>
  <c r="J473" i="34"/>
  <c r="H473" i="34"/>
  <c r="J472" i="34"/>
  <c r="H472" i="34"/>
  <c r="J471" i="34"/>
  <c r="H471" i="34"/>
  <c r="J470" i="34"/>
  <c r="H470" i="34"/>
  <c r="J469" i="34"/>
  <c r="H469" i="34"/>
  <c r="J395" i="34"/>
  <c r="H395" i="34"/>
  <c r="J468" i="34"/>
  <c r="H468" i="34"/>
  <c r="T531" i="34"/>
  <c r="S531" i="34"/>
  <c r="R531" i="34"/>
  <c r="Q531" i="34"/>
  <c r="P531" i="34"/>
  <c r="O531" i="34"/>
  <c r="N531" i="34"/>
  <c r="M531" i="34"/>
  <c r="T530" i="34"/>
  <c r="S530" i="34"/>
  <c r="R530" i="34"/>
  <c r="Q530" i="34"/>
  <c r="P530" i="34"/>
  <c r="O530" i="34"/>
  <c r="N530" i="34"/>
  <c r="M530" i="34"/>
  <c r="T529" i="34"/>
  <c r="S529" i="34"/>
  <c r="R529" i="34"/>
  <c r="Q529" i="34"/>
  <c r="P529" i="34"/>
  <c r="O529" i="34"/>
  <c r="N529" i="34"/>
  <c r="M529" i="34"/>
  <c r="T528" i="34"/>
  <c r="S528" i="34"/>
  <c r="R528" i="34"/>
  <c r="Q528" i="34"/>
  <c r="P528" i="34"/>
  <c r="O528" i="34"/>
  <c r="N528" i="34"/>
  <c r="M528" i="34"/>
  <c r="T527" i="34"/>
  <c r="S527" i="34"/>
  <c r="R527" i="34"/>
  <c r="Q527" i="34"/>
  <c r="P527" i="34"/>
  <c r="O527" i="34"/>
  <c r="N527" i="34"/>
  <c r="M527" i="34"/>
  <c r="T526" i="34"/>
  <c r="S526" i="34"/>
  <c r="R526" i="34"/>
  <c r="Q526" i="34"/>
  <c r="P526" i="34"/>
  <c r="O526" i="34"/>
  <c r="N526" i="34"/>
  <c r="M526" i="34"/>
  <c r="T525" i="34"/>
  <c r="S525" i="34"/>
  <c r="R525" i="34"/>
  <c r="Q525" i="34"/>
  <c r="P525" i="34"/>
  <c r="O525" i="34"/>
  <c r="N525" i="34"/>
  <c r="M525" i="34"/>
  <c r="T524" i="34"/>
  <c r="S524" i="34"/>
  <c r="R524" i="34"/>
  <c r="Q524" i="34"/>
  <c r="P524" i="34"/>
  <c r="O524" i="34"/>
  <c r="N524" i="34"/>
  <c r="M524" i="34"/>
  <c r="T523" i="34"/>
  <c r="S523" i="34"/>
  <c r="R523" i="34"/>
  <c r="Q523" i="34"/>
  <c r="P523" i="34"/>
  <c r="O523" i="34"/>
  <c r="N523" i="34"/>
  <c r="M523" i="34"/>
  <c r="T522" i="34"/>
  <c r="S522" i="34"/>
  <c r="R522" i="34"/>
  <c r="Q522" i="34"/>
  <c r="P522" i="34"/>
  <c r="O522" i="34"/>
  <c r="N522" i="34"/>
  <c r="M522" i="34"/>
  <c r="T521" i="34"/>
  <c r="S521" i="34"/>
  <c r="R521" i="34"/>
  <c r="Q521" i="34"/>
  <c r="P521" i="34"/>
  <c r="O521" i="34"/>
  <c r="N521" i="34"/>
  <c r="M521" i="34"/>
  <c r="T520" i="34"/>
  <c r="S520" i="34"/>
  <c r="R520" i="34"/>
  <c r="Q520" i="34"/>
  <c r="P520" i="34"/>
  <c r="O520" i="34"/>
  <c r="N520" i="34"/>
  <c r="M520" i="34"/>
  <c r="T519" i="34"/>
  <c r="S519" i="34"/>
  <c r="R519" i="34"/>
  <c r="Q519" i="34"/>
  <c r="P519" i="34"/>
  <c r="O519" i="34"/>
  <c r="N519" i="34"/>
  <c r="M519" i="34"/>
  <c r="T518" i="34"/>
  <c r="S518" i="34"/>
  <c r="R518" i="34"/>
  <c r="Q518" i="34"/>
  <c r="P518" i="34"/>
  <c r="O518" i="34"/>
  <c r="N518" i="34"/>
  <c r="M518" i="34"/>
  <c r="T517" i="34"/>
  <c r="S517" i="34"/>
  <c r="R517" i="34"/>
  <c r="Q517" i="34"/>
  <c r="P517" i="34"/>
  <c r="O517" i="34"/>
  <c r="N517" i="34"/>
  <c r="M517" i="34"/>
  <c r="T516" i="34"/>
  <c r="S516" i="34"/>
  <c r="R516" i="34"/>
  <c r="Q516" i="34"/>
  <c r="P516" i="34"/>
  <c r="O516" i="34"/>
  <c r="N516" i="34"/>
  <c r="M516" i="34"/>
  <c r="T515" i="34"/>
  <c r="S515" i="34"/>
  <c r="R515" i="34"/>
  <c r="Q515" i="34"/>
  <c r="P515" i="34"/>
  <c r="O515" i="34"/>
  <c r="N515" i="34"/>
  <c r="M515" i="34"/>
  <c r="T514" i="34"/>
  <c r="S514" i="34"/>
  <c r="R514" i="34"/>
  <c r="Q514" i="34"/>
  <c r="P514" i="34"/>
  <c r="O514" i="34"/>
  <c r="N514" i="34"/>
  <c r="M514" i="34"/>
  <c r="T513" i="34"/>
  <c r="S513" i="34"/>
  <c r="R513" i="34"/>
  <c r="Q513" i="34"/>
  <c r="P513" i="34"/>
  <c r="O513" i="34"/>
  <c r="N513" i="34"/>
  <c r="M513" i="34"/>
  <c r="T512" i="34"/>
  <c r="S512" i="34"/>
  <c r="R512" i="34"/>
  <c r="Q512" i="34"/>
  <c r="P512" i="34"/>
  <c r="O512" i="34"/>
  <c r="N512" i="34"/>
  <c r="M512" i="34"/>
  <c r="T511" i="34"/>
  <c r="S511" i="34"/>
  <c r="R511" i="34"/>
  <c r="Q511" i="34"/>
  <c r="P511" i="34"/>
  <c r="O511" i="34"/>
  <c r="N511" i="34"/>
  <c r="M511" i="34"/>
  <c r="T510" i="34"/>
  <c r="S510" i="34"/>
  <c r="R510" i="34"/>
  <c r="Q510" i="34"/>
  <c r="P510" i="34"/>
  <c r="O510" i="34"/>
  <c r="N510" i="34"/>
  <c r="M510" i="34"/>
  <c r="T509" i="34"/>
  <c r="S509" i="34"/>
  <c r="R509" i="34"/>
  <c r="Q509" i="34"/>
  <c r="P509" i="34"/>
  <c r="O509" i="34"/>
  <c r="N509" i="34"/>
  <c r="M509" i="34"/>
  <c r="T508" i="34"/>
  <c r="S508" i="34"/>
  <c r="R508" i="34"/>
  <c r="Q508" i="34"/>
  <c r="P508" i="34"/>
  <c r="O508" i="34"/>
  <c r="N508" i="34"/>
  <c r="M508" i="34"/>
  <c r="T507" i="34"/>
  <c r="S507" i="34"/>
  <c r="R507" i="34"/>
  <c r="Q507" i="34"/>
  <c r="P507" i="34"/>
  <c r="O507" i="34"/>
  <c r="N507" i="34"/>
  <c r="M507" i="34"/>
  <c r="T506" i="34"/>
  <c r="S506" i="34"/>
  <c r="R506" i="34"/>
  <c r="Q506" i="34"/>
  <c r="P506" i="34"/>
  <c r="O506" i="34"/>
  <c r="N506" i="34"/>
  <c r="M506" i="34"/>
  <c r="T505" i="34"/>
  <c r="S505" i="34"/>
  <c r="R505" i="34"/>
  <c r="Q505" i="34"/>
  <c r="P505" i="34"/>
  <c r="O505" i="34"/>
  <c r="N505" i="34"/>
  <c r="M505" i="34"/>
  <c r="T504" i="34"/>
  <c r="S504" i="34"/>
  <c r="R504" i="34"/>
  <c r="Q504" i="34"/>
  <c r="P504" i="34"/>
  <c r="O504" i="34"/>
  <c r="N504" i="34"/>
  <c r="M504" i="34"/>
  <c r="T503" i="34"/>
  <c r="S503" i="34"/>
  <c r="R503" i="34"/>
  <c r="Q503" i="34"/>
  <c r="P503" i="34"/>
  <c r="O503" i="34"/>
  <c r="N503" i="34"/>
  <c r="M503" i="34"/>
  <c r="T502" i="34"/>
  <c r="S502" i="34"/>
  <c r="R502" i="34"/>
  <c r="Q502" i="34"/>
  <c r="P502" i="34"/>
  <c r="O502" i="34"/>
  <c r="N502" i="34"/>
  <c r="M502" i="34"/>
  <c r="T501" i="34"/>
  <c r="S501" i="34"/>
  <c r="R501" i="34"/>
  <c r="Q501" i="34"/>
  <c r="P501" i="34"/>
  <c r="O501" i="34"/>
  <c r="N501" i="34"/>
  <c r="M501" i="34"/>
  <c r="T500" i="34"/>
  <c r="S500" i="34"/>
  <c r="R500" i="34"/>
  <c r="Q500" i="34"/>
  <c r="P500" i="34"/>
  <c r="O500" i="34"/>
  <c r="N500" i="34"/>
  <c r="M500" i="34"/>
  <c r="T499" i="34"/>
  <c r="S499" i="34"/>
  <c r="R499" i="34"/>
  <c r="Q499" i="34"/>
  <c r="P499" i="34"/>
  <c r="O499" i="34"/>
  <c r="N499" i="34"/>
  <c r="M499" i="34"/>
  <c r="T498" i="34"/>
  <c r="S498" i="34"/>
  <c r="R498" i="34"/>
  <c r="Q498" i="34"/>
  <c r="P498" i="34"/>
  <c r="O498" i="34"/>
  <c r="N498" i="34"/>
  <c r="M498" i="34"/>
  <c r="T497" i="34"/>
  <c r="S497" i="34"/>
  <c r="R497" i="34"/>
  <c r="Q497" i="34"/>
  <c r="P497" i="34"/>
  <c r="O497" i="34"/>
  <c r="N497" i="34"/>
  <c r="M497" i="34"/>
  <c r="T496" i="34"/>
  <c r="S496" i="34"/>
  <c r="R496" i="34"/>
  <c r="Q496" i="34"/>
  <c r="P496" i="34"/>
  <c r="O496" i="34"/>
  <c r="N496" i="34"/>
  <c r="M496" i="34"/>
  <c r="T495" i="34"/>
  <c r="S495" i="34"/>
  <c r="R495" i="34"/>
  <c r="Q495" i="34"/>
  <c r="P495" i="34"/>
  <c r="O495" i="34"/>
  <c r="N495" i="34"/>
  <c r="M495" i="34"/>
  <c r="T494" i="34"/>
  <c r="S494" i="34"/>
  <c r="R494" i="34"/>
  <c r="Q494" i="34"/>
  <c r="P494" i="34"/>
  <c r="O494" i="34"/>
  <c r="N494" i="34"/>
  <c r="M494" i="34"/>
  <c r="T493" i="34"/>
  <c r="S493" i="34"/>
  <c r="R493" i="34"/>
  <c r="Q493" i="34"/>
  <c r="P493" i="34"/>
  <c r="O493" i="34"/>
  <c r="N493" i="34"/>
  <c r="M493" i="34"/>
  <c r="T492" i="34"/>
  <c r="S492" i="34"/>
  <c r="R492" i="34"/>
  <c r="Q492" i="34"/>
  <c r="P492" i="34"/>
  <c r="O492" i="34"/>
  <c r="N492" i="34"/>
  <c r="M492" i="34"/>
  <c r="T491" i="34"/>
  <c r="S491" i="34"/>
  <c r="R491" i="34"/>
  <c r="Q491" i="34"/>
  <c r="P491" i="34"/>
  <c r="O491" i="34"/>
  <c r="N491" i="34"/>
  <c r="M491" i="34"/>
  <c r="T490" i="34"/>
  <c r="S490" i="34"/>
  <c r="R490" i="34"/>
  <c r="Q490" i="34"/>
  <c r="P490" i="34"/>
  <c r="O490" i="34"/>
  <c r="N490" i="34"/>
  <c r="M490" i="34"/>
  <c r="T489" i="34"/>
  <c r="S489" i="34"/>
  <c r="R489" i="34"/>
  <c r="Q489" i="34"/>
  <c r="P489" i="34"/>
  <c r="O489" i="34"/>
  <c r="N489" i="34"/>
  <c r="M489" i="34"/>
  <c r="T488" i="34"/>
  <c r="S488" i="34"/>
  <c r="R488" i="34"/>
  <c r="Q488" i="34"/>
  <c r="P488" i="34"/>
  <c r="O488" i="34"/>
  <c r="N488" i="34"/>
  <c r="M488" i="34"/>
  <c r="T487" i="34"/>
  <c r="S487" i="34"/>
  <c r="R487" i="34"/>
  <c r="Q487" i="34"/>
  <c r="P487" i="34"/>
  <c r="O487" i="34"/>
  <c r="N487" i="34"/>
  <c r="M487" i="34"/>
  <c r="T486" i="34"/>
  <c r="S486" i="34"/>
  <c r="R486" i="34"/>
  <c r="Q486" i="34"/>
  <c r="P486" i="34"/>
  <c r="O486" i="34"/>
  <c r="N486" i="34"/>
  <c r="M486" i="34"/>
  <c r="T485" i="34"/>
  <c r="S485" i="34"/>
  <c r="R485" i="34"/>
  <c r="Q485" i="34"/>
  <c r="P485" i="34"/>
  <c r="O485" i="34"/>
  <c r="N485" i="34"/>
  <c r="M485" i="34"/>
  <c r="T484" i="34"/>
  <c r="S484" i="34"/>
  <c r="R484" i="34"/>
  <c r="Q484" i="34"/>
  <c r="P484" i="34"/>
  <c r="O484" i="34"/>
  <c r="N484" i="34"/>
  <c r="M484" i="34"/>
  <c r="T483" i="34"/>
  <c r="S483" i="34"/>
  <c r="R483" i="34"/>
  <c r="Q483" i="34"/>
  <c r="P483" i="34"/>
  <c r="O483" i="34"/>
  <c r="N483" i="34"/>
  <c r="M483" i="34"/>
  <c r="T482" i="34"/>
  <c r="S482" i="34"/>
  <c r="R482" i="34"/>
  <c r="Q482" i="34"/>
  <c r="P482" i="34"/>
  <c r="O482" i="34"/>
  <c r="N482" i="34"/>
  <c r="M482" i="34"/>
  <c r="T481" i="34"/>
  <c r="S481" i="34"/>
  <c r="R481" i="34"/>
  <c r="Q481" i="34"/>
  <c r="P481" i="34"/>
  <c r="O481" i="34"/>
  <c r="N481" i="34"/>
  <c r="M481" i="34"/>
  <c r="T480" i="34"/>
  <c r="S480" i="34"/>
  <c r="R480" i="34"/>
  <c r="Q480" i="34"/>
  <c r="P480" i="34"/>
  <c r="O480" i="34"/>
  <c r="N480" i="34"/>
  <c r="M480" i="34"/>
  <c r="T479" i="34"/>
  <c r="S479" i="34"/>
  <c r="R479" i="34"/>
  <c r="Q479" i="34"/>
  <c r="P479" i="34"/>
  <c r="O479" i="34"/>
  <c r="N479" i="34"/>
  <c r="M479" i="34"/>
  <c r="T478" i="34"/>
  <c r="S478" i="34"/>
  <c r="R478" i="34"/>
  <c r="Q478" i="34"/>
  <c r="P478" i="34"/>
  <c r="O478" i="34"/>
  <c r="N478" i="34"/>
  <c r="M478" i="34"/>
  <c r="T477" i="34"/>
  <c r="S477" i="34"/>
  <c r="R477" i="34"/>
  <c r="Q477" i="34"/>
  <c r="P477" i="34"/>
  <c r="O477" i="34"/>
  <c r="N477" i="34"/>
  <c r="M477" i="34"/>
  <c r="T476" i="34"/>
  <c r="S476" i="34"/>
  <c r="R476" i="34"/>
  <c r="Q476" i="34"/>
  <c r="P476" i="34"/>
  <c r="O476" i="34"/>
  <c r="N476" i="34"/>
  <c r="M476" i="34"/>
  <c r="S475" i="34"/>
  <c r="O475" i="34"/>
  <c r="R475" i="34"/>
  <c r="T474" i="34"/>
  <c r="S474" i="34"/>
  <c r="R474" i="34"/>
  <c r="Q474" i="34"/>
  <c r="P474" i="34"/>
  <c r="O474" i="34"/>
  <c r="N474" i="34"/>
  <c r="M474" i="34"/>
  <c r="T473" i="34"/>
  <c r="S473" i="34"/>
  <c r="R473" i="34"/>
  <c r="Q473" i="34"/>
  <c r="P473" i="34"/>
  <c r="O473" i="34"/>
  <c r="N473" i="34"/>
  <c r="M473" i="34"/>
  <c r="S472" i="34"/>
  <c r="R472" i="34"/>
  <c r="O472" i="34"/>
  <c r="N472" i="34"/>
  <c r="Q472" i="34"/>
  <c r="T471" i="34"/>
  <c r="S471" i="34"/>
  <c r="R471" i="34"/>
  <c r="Q471" i="34"/>
  <c r="P471" i="34"/>
  <c r="O471" i="34"/>
  <c r="N471" i="34"/>
  <c r="M471" i="34"/>
  <c r="T470" i="34"/>
  <c r="S470" i="34"/>
  <c r="R470" i="34"/>
  <c r="Q470" i="34"/>
  <c r="P470" i="34"/>
  <c r="O470" i="34"/>
  <c r="N470" i="34"/>
  <c r="M470" i="34"/>
  <c r="T469" i="34"/>
  <c r="S469" i="34"/>
  <c r="R469" i="34"/>
  <c r="Q469" i="34"/>
  <c r="P469" i="34"/>
  <c r="O469" i="34"/>
  <c r="N469" i="34"/>
  <c r="M469" i="34"/>
  <c r="T468" i="34"/>
  <c r="S468" i="34"/>
  <c r="R468" i="34"/>
  <c r="Q468" i="34"/>
  <c r="P468" i="34"/>
  <c r="O468" i="34"/>
  <c r="N468" i="34"/>
  <c r="M468" i="34"/>
  <c r="I209" i="14"/>
  <c r="Q209" i="14"/>
  <c r="P209" i="14"/>
  <c r="K205" i="14"/>
  <c r="I205" i="14"/>
  <c r="Q205" i="14"/>
  <c r="P205" i="14"/>
  <c r="K71" i="14"/>
  <c r="I71" i="14"/>
  <c r="P71" i="14"/>
  <c r="Q71" i="14"/>
  <c r="I69" i="14"/>
  <c r="Q69" i="14"/>
  <c r="P69" i="14"/>
  <c r="I54" i="14"/>
  <c r="Q54" i="14"/>
  <c r="P54" i="14"/>
  <c r="BA35" i="31"/>
  <c r="BA34" i="31"/>
  <c r="BA33" i="31"/>
  <c r="BA32" i="31"/>
  <c r="BA31" i="31"/>
  <c r="BA30" i="31"/>
  <c r="BA29" i="31"/>
  <c r="BA28" i="31"/>
  <c r="BA27" i="31"/>
  <c r="BA26" i="31"/>
  <c r="BA25" i="31"/>
  <c r="BA24" i="31"/>
  <c r="BA23" i="31"/>
  <c r="BA22" i="31"/>
  <c r="BA21" i="31"/>
  <c r="BA20" i="31"/>
  <c r="BA19" i="31"/>
  <c r="BA18" i="31"/>
  <c r="BA17" i="31"/>
  <c r="BA16" i="31"/>
  <c r="BA15" i="31"/>
  <c r="BA14" i="31"/>
  <c r="BA13" i="31"/>
  <c r="BA12" i="31"/>
  <c r="BC40" i="30"/>
  <c r="BC39" i="30"/>
  <c r="BC38" i="30"/>
  <c r="BC37" i="30"/>
  <c r="BC36" i="30"/>
  <c r="BC35" i="30"/>
  <c r="BC34" i="30"/>
  <c r="BC33" i="30"/>
  <c r="BC32" i="30"/>
  <c r="BC31" i="30"/>
  <c r="BC30" i="30"/>
  <c r="BC29" i="30"/>
  <c r="BC28" i="30"/>
  <c r="BC27" i="30"/>
  <c r="BC26" i="30"/>
  <c r="BC25" i="30"/>
  <c r="BC24" i="30"/>
  <c r="BC23" i="30"/>
  <c r="BC22" i="30"/>
  <c r="BC21" i="30"/>
  <c r="BC20" i="30"/>
  <c r="BC19" i="30"/>
  <c r="BC18" i="30"/>
  <c r="BC17" i="30"/>
  <c r="CX618" i="1"/>
  <c r="CY618" i="1"/>
  <c r="Y619" i="1" l="1"/>
  <c r="Y620" i="1"/>
  <c r="BH619" i="1"/>
  <c r="S619" i="1" s="1"/>
  <c r="T619" i="1" s="1"/>
  <c r="BH620" i="1"/>
  <c r="BT620" i="1"/>
  <c r="Q620" i="1" s="1"/>
  <c r="AI620" i="1" s="1"/>
  <c r="AY618" i="1"/>
  <c r="V618" i="1" s="1"/>
  <c r="AA618" i="1"/>
  <c r="Y618" i="1" s="1"/>
  <c r="Z618" i="1"/>
  <c r="CQ617" i="1"/>
  <c r="CV617" i="1" s="1"/>
  <c r="DZ617" i="1"/>
  <c r="ED617" i="1" s="1"/>
  <c r="CU617" i="1"/>
  <c r="Z617" i="1"/>
  <c r="U617" i="1"/>
  <c r="W617" i="1"/>
  <c r="Y617" i="1" s="1"/>
  <c r="V616" i="1"/>
  <c r="Y616" i="1"/>
  <c r="P475" i="34"/>
  <c r="T475" i="34"/>
  <c r="P472" i="34"/>
  <c r="T472" i="34"/>
  <c r="M475" i="34"/>
  <c r="Q475" i="34"/>
  <c r="M472" i="34"/>
  <c r="N475" i="34"/>
  <c r="BB16" i="30"/>
  <c r="AZ16" i="30"/>
  <c r="BA17" i="30" s="1"/>
  <c r="AB620" i="1" l="1"/>
  <c r="BX620" i="1"/>
  <c r="V620" i="1" s="1"/>
  <c r="AJ620" i="1" s="1"/>
  <c r="AK620" i="1" s="1"/>
  <c r="BU620" i="1"/>
  <c r="S620" i="1" s="1"/>
  <c r="T620" i="1" s="1"/>
  <c r="S617" i="1"/>
  <c r="T617" i="1" s="1"/>
  <c r="CX617" i="1"/>
  <c r="V617" i="1" s="1"/>
  <c r="Q617" i="1"/>
  <c r="AB617" i="1"/>
  <c r="AJ615" i="1"/>
  <c r="AI615" i="1"/>
  <c r="AG615" i="1"/>
  <c r="AF615" i="1"/>
  <c r="ES615" i="1"/>
  <c r="ER615" i="1"/>
  <c r="ET615" i="1" s="1"/>
  <c r="EQ615" i="1"/>
  <c r="EP615" i="1"/>
  <c r="EO615" i="1"/>
  <c r="EN615" i="1"/>
  <c r="EB615" i="1"/>
  <c r="EA615" i="1"/>
  <c r="DN615" i="1"/>
  <c r="DP615" i="1" s="1"/>
  <c r="DM615" i="1"/>
  <c r="DL615" i="1"/>
  <c r="DO615" i="1" s="1"/>
  <c r="DK615" i="1"/>
  <c r="DJ615" i="1"/>
  <c r="DI615" i="1"/>
  <c r="DH615" i="1"/>
  <c r="DG615" i="1"/>
  <c r="CS615" i="1"/>
  <c r="CR615" i="1"/>
  <c r="CW615" i="1" s="1"/>
  <c r="CY615" i="1" s="1"/>
  <c r="CQ615" i="1"/>
  <c r="CP615" i="1"/>
  <c r="CF615" i="1"/>
  <c r="CE615" i="1"/>
  <c r="CH615" i="1" s="1"/>
  <c r="CD615" i="1"/>
  <c r="CC615" i="1"/>
  <c r="CG615" i="1" s="1"/>
  <c r="BW615" i="1"/>
  <c r="BE615" i="1"/>
  <c r="AV615" i="1"/>
  <c r="AT615" i="1"/>
  <c r="AP615" i="1"/>
  <c r="AO615" i="1"/>
  <c r="BL615" i="6"/>
  <c r="BM615" i="6"/>
  <c r="BN615" i="6"/>
  <c r="BO615" i="6"/>
  <c r="AJ614" i="1"/>
  <c r="AI614" i="1"/>
  <c r="AG614" i="1"/>
  <c r="AF614" i="1"/>
  <c r="ES614" i="1"/>
  <c r="ER614" i="1"/>
  <c r="ET614" i="1" s="1"/>
  <c r="EQ614" i="1"/>
  <c r="EP614" i="1"/>
  <c r="EO614" i="1"/>
  <c r="EN614" i="1"/>
  <c r="EA614" i="1"/>
  <c r="DN614" i="1"/>
  <c r="DP614" i="1" s="1"/>
  <c r="DM614" i="1"/>
  <c r="DL614" i="1"/>
  <c r="DO614" i="1" s="1"/>
  <c r="DK614" i="1"/>
  <c r="DJ614" i="1"/>
  <c r="DI614" i="1"/>
  <c r="DH614" i="1"/>
  <c r="DG614" i="1"/>
  <c r="CT614" i="1"/>
  <c r="CS614" i="1"/>
  <c r="CF614" i="1"/>
  <c r="CE614" i="1"/>
  <c r="CH614" i="1" s="1"/>
  <c r="CD614" i="1"/>
  <c r="CC614" i="1"/>
  <c r="CG614" i="1" s="1"/>
  <c r="BW614" i="1"/>
  <c r="BE614" i="1"/>
  <c r="AV614" i="1"/>
  <c r="AT614" i="1"/>
  <c r="AO614" i="1"/>
  <c r="AP614" i="1" s="1"/>
  <c r="O615" i="1"/>
  <c r="BK615" i="1" s="1"/>
  <c r="O614" i="1"/>
  <c r="BK614" i="1" s="1"/>
  <c r="L615" i="1"/>
  <c r="CB615" i="1" s="1"/>
  <c r="L614" i="1"/>
  <c r="DV614" i="1" s="1"/>
  <c r="L611" i="1"/>
  <c r="F615" i="1"/>
  <c r="BN615" i="1" s="1"/>
  <c r="BO615" i="1" s="1"/>
  <c r="F614" i="1"/>
  <c r="EG614" i="1" s="1"/>
  <c r="B614" i="1"/>
  <c r="B615" i="1"/>
  <c r="BL614" i="6"/>
  <c r="BM614" i="6"/>
  <c r="BN614" i="6"/>
  <c r="BO614" i="6"/>
  <c r="AL615" i="1" l="1"/>
  <c r="AQ615" i="1" s="1"/>
  <c r="BI615" i="1"/>
  <c r="BM615" i="1"/>
  <c r="CT615" i="1"/>
  <c r="EK615" i="1"/>
  <c r="AM615" i="1"/>
  <c r="BB615" i="1" s="1"/>
  <c r="BJ615" i="1"/>
  <c r="BS615" i="1"/>
  <c r="BT615" i="1" s="1"/>
  <c r="BX615" i="1" s="1"/>
  <c r="DR615" i="1"/>
  <c r="CU615" i="1" s="1"/>
  <c r="AN615" i="1"/>
  <c r="BC615" i="1" s="1"/>
  <c r="BD615" i="1" s="1"/>
  <c r="DV615" i="1"/>
  <c r="BL615" i="1"/>
  <c r="EG615" i="1"/>
  <c r="AK615" i="1"/>
  <c r="AH615" i="1"/>
  <c r="AH614" i="1"/>
  <c r="AM614" i="1"/>
  <c r="EL614" i="1"/>
  <c r="EM614" i="1"/>
  <c r="AL614" i="1"/>
  <c r="BI614" i="1"/>
  <c r="BM614" i="1"/>
  <c r="CB614" i="1"/>
  <c r="EK614" i="1"/>
  <c r="BJ614" i="1"/>
  <c r="BS614" i="1"/>
  <c r="BN614" i="1"/>
  <c r="AN614" i="1"/>
  <c r="DR614" i="1"/>
  <c r="AD614" i="1" s="1"/>
  <c r="BL614" i="1"/>
  <c r="AK614" i="1"/>
  <c r="BO614" i="1"/>
  <c r="AZ615" i="1" l="1"/>
  <c r="BF615" i="1" s="1" a="1"/>
  <c r="BF615" i="1" s="1"/>
  <c r="BV615" i="1"/>
  <c r="BY615" i="1" s="1"/>
  <c r="AS615" i="1"/>
  <c r="AU615" i="1" s="1"/>
  <c r="AW615" i="1" s="1"/>
  <c r="CX615" i="1"/>
  <c r="AB615" i="1"/>
  <c r="W615" i="1"/>
  <c r="EL615" i="1"/>
  <c r="EM615" i="1"/>
  <c r="DW615" i="1"/>
  <c r="DX615" i="1"/>
  <c r="DZ615" i="1" s="1"/>
  <c r="AR615" i="1"/>
  <c r="Z615" i="1" s="1"/>
  <c r="AD615" i="1"/>
  <c r="AE615" i="1" s="1"/>
  <c r="CV615" i="1"/>
  <c r="BA615" i="1"/>
  <c r="DX614" i="1"/>
  <c r="DZ614" i="1" s="1"/>
  <c r="ED614" i="1" s="1"/>
  <c r="DW614" i="1"/>
  <c r="DY614" i="1" s="1"/>
  <c r="EC614" i="1" s="1"/>
  <c r="EE614" i="1" s="1"/>
  <c r="EB614" i="1"/>
  <c r="AE614" i="1" s="1"/>
  <c r="BT614" i="1"/>
  <c r="BV614" i="1"/>
  <c r="BY614" i="1" s="1"/>
  <c r="H46" i="25"/>
  <c r="Q51" i="25"/>
  <c r="AJ613" i="1"/>
  <c r="AI613" i="1"/>
  <c r="AG613" i="1"/>
  <c r="AF613" i="1"/>
  <c r="ES613" i="1"/>
  <c r="ER613" i="1"/>
  <c r="ET613" i="1" s="1"/>
  <c r="EQ613" i="1"/>
  <c r="EP613" i="1"/>
  <c r="EO613" i="1"/>
  <c r="EN613" i="1"/>
  <c r="EB613" i="1"/>
  <c r="CT613" i="1"/>
  <c r="CS613" i="1"/>
  <c r="CR613" i="1"/>
  <c r="CQ613" i="1"/>
  <c r="CP613" i="1"/>
  <c r="CF613" i="1"/>
  <c r="CE613" i="1"/>
  <c r="CH613" i="1" s="1"/>
  <c r="CD613" i="1"/>
  <c r="CC613" i="1"/>
  <c r="CG613" i="1" s="1"/>
  <c r="BW613" i="1"/>
  <c r="BE613" i="1"/>
  <c r="AV613" i="1"/>
  <c r="AT613" i="1"/>
  <c r="AO613" i="1"/>
  <c r="AP613" i="1" s="1"/>
  <c r="BL613" i="6"/>
  <c r="BM613" i="6"/>
  <c r="BN613" i="6"/>
  <c r="BO613" i="6"/>
  <c r="AJ612" i="1"/>
  <c r="AI612" i="1"/>
  <c r="AG612" i="1"/>
  <c r="AF612" i="1"/>
  <c r="ES612" i="1"/>
  <c r="ER612" i="1"/>
  <c r="ET612" i="1" s="1"/>
  <c r="EQ612" i="1"/>
  <c r="EP612" i="1"/>
  <c r="EO612" i="1"/>
  <c r="EN612" i="1"/>
  <c r="EB612" i="1"/>
  <c r="EA612" i="1"/>
  <c r="CT612" i="1"/>
  <c r="CS612" i="1"/>
  <c r="CF612" i="1"/>
  <c r="CE612" i="1"/>
  <c r="CH612" i="1" s="1"/>
  <c r="CD612" i="1"/>
  <c r="CC612" i="1"/>
  <c r="CG612" i="1" s="1"/>
  <c r="BW612" i="1"/>
  <c r="BE612" i="1"/>
  <c r="AV612" i="1"/>
  <c r="AT612" i="1"/>
  <c r="AO612" i="1"/>
  <c r="AP612" i="1" s="1"/>
  <c r="BL612" i="6"/>
  <c r="BM612" i="6"/>
  <c r="BN612" i="6"/>
  <c r="BO612" i="6"/>
  <c r="ES611" i="1"/>
  <c r="ER611" i="1"/>
  <c r="ET611" i="1" s="1"/>
  <c r="EQ611" i="1"/>
  <c r="EP611" i="1"/>
  <c r="EO611" i="1"/>
  <c r="EN611" i="1"/>
  <c r="ED611" i="1"/>
  <c r="EC611" i="1"/>
  <c r="EB611" i="1"/>
  <c r="EA611" i="1"/>
  <c r="DN611" i="1"/>
  <c r="DP611" i="1" s="1"/>
  <c r="DM611" i="1"/>
  <c r="DL611" i="1"/>
  <c r="DO611" i="1" s="1"/>
  <c r="DK611" i="1"/>
  <c r="DJ611" i="1"/>
  <c r="DI611" i="1"/>
  <c r="DH611" i="1"/>
  <c r="DG611" i="1"/>
  <c r="CT611" i="1"/>
  <c r="CS611" i="1"/>
  <c r="CR611" i="1"/>
  <c r="CW611" i="1" s="1"/>
  <c r="CY611" i="1" s="1"/>
  <c r="CQ611" i="1"/>
  <c r="CP611" i="1"/>
  <c r="CF611" i="1"/>
  <c r="CE611" i="1"/>
  <c r="CH611" i="1" s="1"/>
  <c r="CD611" i="1"/>
  <c r="CC611" i="1"/>
  <c r="CG611" i="1" s="1"/>
  <c r="BV611" i="1"/>
  <c r="BU611" i="1"/>
  <c r="BT611" i="1"/>
  <c r="BE611" i="1"/>
  <c r="AV611" i="1"/>
  <c r="AT611" i="1"/>
  <c r="AO611" i="1"/>
  <c r="AP611" i="1" s="1"/>
  <c r="BL611" i="6"/>
  <c r="BM611" i="6"/>
  <c r="BN611" i="6"/>
  <c r="BO611" i="6"/>
  <c r="AJ610" i="1"/>
  <c r="AI610" i="1"/>
  <c r="AG610" i="1"/>
  <c r="AF610" i="1"/>
  <c r="ES610" i="1"/>
  <c r="ER610" i="1"/>
  <c r="ET610" i="1" s="1"/>
  <c r="EQ610" i="1"/>
  <c r="EP610" i="1"/>
  <c r="EO610" i="1"/>
  <c r="EN610" i="1"/>
  <c r="EB610" i="1"/>
  <c r="EA610" i="1"/>
  <c r="DN610" i="1"/>
  <c r="DP610" i="1" s="1"/>
  <c r="DM610" i="1"/>
  <c r="DL610" i="1"/>
  <c r="DO610" i="1" s="1"/>
  <c r="DK610" i="1"/>
  <c r="DJ610" i="1"/>
  <c r="DI610" i="1"/>
  <c r="DH610" i="1"/>
  <c r="DG610" i="1"/>
  <c r="CT610" i="1"/>
  <c r="CS610" i="1"/>
  <c r="CR610" i="1"/>
  <c r="CQ610" i="1"/>
  <c r="CP610" i="1"/>
  <c r="CF610" i="1"/>
  <c r="CE610" i="1"/>
  <c r="CH610" i="1" s="1"/>
  <c r="CD610" i="1"/>
  <c r="CC610" i="1"/>
  <c r="CG610" i="1" s="1"/>
  <c r="BW610" i="1"/>
  <c r="BE610" i="1"/>
  <c r="AV610" i="1"/>
  <c r="AT610" i="1"/>
  <c r="AO610" i="1"/>
  <c r="AP610" i="1" s="1"/>
  <c r="BL610" i="6"/>
  <c r="BM610" i="6"/>
  <c r="BN610" i="6"/>
  <c r="BO610" i="6"/>
  <c r="ES609" i="1"/>
  <c r="ER609" i="1"/>
  <c r="ET609" i="1" s="1"/>
  <c r="EQ609" i="1"/>
  <c r="EP609" i="1"/>
  <c r="EO609" i="1"/>
  <c r="EN609" i="1"/>
  <c r="ED609" i="1"/>
  <c r="EC609" i="1"/>
  <c r="EB609" i="1"/>
  <c r="EA609" i="1"/>
  <c r="CW609" i="1"/>
  <c r="CT609" i="1"/>
  <c r="CS609" i="1"/>
  <c r="CR609" i="1"/>
  <c r="CQ609" i="1"/>
  <c r="CP609" i="1"/>
  <c r="CF609" i="1"/>
  <c r="CE609" i="1"/>
  <c r="CH609" i="1" s="1"/>
  <c r="CD609" i="1"/>
  <c r="CC609" i="1"/>
  <c r="CG609" i="1" s="1"/>
  <c r="BV609" i="1"/>
  <c r="BU609" i="1"/>
  <c r="BT609" i="1"/>
  <c r="BE609" i="1"/>
  <c r="AV609" i="1"/>
  <c r="AO609" i="1"/>
  <c r="AP609" i="1" s="1"/>
  <c r="BL609" i="6"/>
  <c r="BM609" i="6"/>
  <c r="BN609" i="6"/>
  <c r="BO609" i="6"/>
  <c r="AJ608" i="1"/>
  <c r="AI608" i="1"/>
  <c r="AG608" i="1"/>
  <c r="AF608" i="1"/>
  <c r="ES608" i="1"/>
  <c r="ER608" i="1"/>
  <c r="ET608" i="1" s="1"/>
  <c r="EQ608" i="1"/>
  <c r="EP608" i="1"/>
  <c r="EO608" i="1"/>
  <c r="EN608" i="1"/>
  <c r="EA608" i="1"/>
  <c r="DN613" i="1"/>
  <c r="DP613" i="1" s="1"/>
  <c r="DM613" i="1"/>
  <c r="DL613" i="1"/>
  <c r="DO613" i="1" s="1"/>
  <c r="DK613" i="1"/>
  <c r="DJ613" i="1"/>
  <c r="DI613" i="1"/>
  <c r="DH613" i="1"/>
  <c r="DG613" i="1"/>
  <c r="DN612" i="1"/>
  <c r="DP612" i="1" s="1"/>
  <c r="DM612" i="1"/>
  <c r="DL612" i="1"/>
  <c r="DO612" i="1" s="1"/>
  <c r="DK612" i="1"/>
  <c r="DJ612" i="1"/>
  <c r="DI612" i="1"/>
  <c r="DH612" i="1"/>
  <c r="DG612" i="1"/>
  <c r="DN609" i="1"/>
  <c r="DP609" i="1" s="1"/>
  <c r="DM609" i="1"/>
  <c r="DL609" i="1"/>
  <c r="DO609" i="1" s="1"/>
  <c r="DK609" i="1"/>
  <c r="DJ609" i="1"/>
  <c r="DI609" i="1"/>
  <c r="DH609" i="1"/>
  <c r="DG609" i="1"/>
  <c r="DN608" i="1"/>
  <c r="DP608" i="1" s="1"/>
  <c r="DM608" i="1"/>
  <c r="DL608" i="1"/>
  <c r="DO608" i="1" s="1"/>
  <c r="DK608" i="1"/>
  <c r="DJ608" i="1"/>
  <c r="DI608" i="1"/>
  <c r="DH608" i="1"/>
  <c r="DG608" i="1"/>
  <c r="CT608" i="1"/>
  <c r="CS608" i="1"/>
  <c r="CF608" i="1"/>
  <c r="CE608" i="1"/>
  <c r="CH608" i="1" s="1"/>
  <c r="CD608" i="1"/>
  <c r="CC608" i="1"/>
  <c r="CG608" i="1" s="1"/>
  <c r="BW608" i="1"/>
  <c r="BE608" i="1"/>
  <c r="AV608" i="1"/>
  <c r="AO608" i="1"/>
  <c r="AP608" i="1" s="1"/>
  <c r="O613" i="1"/>
  <c r="O612" i="1"/>
  <c r="CQ612" i="1" s="1"/>
  <c r="O611" i="1"/>
  <c r="O610" i="1"/>
  <c r="O609" i="1"/>
  <c r="BI609" i="1" s="1"/>
  <c r="O608" i="1"/>
  <c r="L608" i="1"/>
  <c r="L609" i="1"/>
  <c r="DV609" i="1" s="1"/>
  <c r="L610" i="1"/>
  <c r="EK610" i="1" s="1"/>
  <c r="DV611" i="1"/>
  <c r="L612" i="1"/>
  <c r="L613" i="1"/>
  <c r="DV613" i="1" s="1"/>
  <c r="F613" i="1"/>
  <c r="F612" i="1"/>
  <c r="F611" i="1"/>
  <c r="F610" i="1"/>
  <c r="EG610" i="1" s="1"/>
  <c r="EM610" i="1" s="1"/>
  <c r="F609" i="1"/>
  <c r="DR609" i="1" s="1"/>
  <c r="DX609" i="1" s="1"/>
  <c r="F608" i="1"/>
  <c r="EG608" i="1" s="1"/>
  <c r="EM608" i="1" s="1"/>
  <c r="B608" i="1"/>
  <c r="B609" i="1"/>
  <c r="B610" i="1"/>
  <c r="B611" i="1"/>
  <c r="B612" i="1"/>
  <c r="B613" i="1"/>
  <c r="BL608" i="6"/>
  <c r="BM608" i="6"/>
  <c r="BN608" i="6"/>
  <c r="BO608" i="6"/>
  <c r="AX615" i="1"/>
  <c r="BG615" i="1" l="1" a="1"/>
  <c r="BG615" i="1" s="1"/>
  <c r="DY615" i="1"/>
  <c r="EC615" i="1" s="1"/>
  <c r="EE615" i="1" s="1"/>
  <c r="AY615" i="1"/>
  <c r="AA615" i="1"/>
  <c r="Y615" i="1" s="1"/>
  <c r="BH615" i="1"/>
  <c r="BL613" i="1"/>
  <c r="BX614" i="1"/>
  <c r="CB612" i="1"/>
  <c r="AK613" i="1"/>
  <c r="BL610" i="1"/>
  <c r="BM613" i="1"/>
  <c r="BN613" i="1"/>
  <c r="BN610" i="1"/>
  <c r="DR612" i="1"/>
  <c r="DX612" i="1" s="1"/>
  <c r="BS613" i="1"/>
  <c r="EG613" i="1"/>
  <c r="EM613" i="1" s="1"/>
  <c r="EG611" i="1"/>
  <c r="EM611" i="1" s="1"/>
  <c r="DV612" i="1"/>
  <c r="DZ612" i="1" s="1"/>
  <c r="EK613" i="1"/>
  <c r="BS610" i="1"/>
  <c r="BL611" i="1"/>
  <c r="EK611" i="1"/>
  <c r="CB610" i="1"/>
  <c r="BM611" i="1"/>
  <c r="BN611" i="1"/>
  <c r="BL612" i="1"/>
  <c r="EG612" i="1"/>
  <c r="BM610" i="1"/>
  <c r="DR610" i="1"/>
  <c r="AD610" i="1" s="1"/>
  <c r="AE610" i="1" s="1"/>
  <c r="BS611" i="1"/>
  <c r="BW611" i="1" s="1"/>
  <c r="BM612" i="1"/>
  <c r="EK612" i="1"/>
  <c r="DV610" i="1"/>
  <c r="BN612" i="1"/>
  <c r="BS612" i="1"/>
  <c r="CB611" i="1"/>
  <c r="DR611" i="1"/>
  <c r="DX611" i="1" s="1"/>
  <c r="DR613" i="1"/>
  <c r="AH613" i="1"/>
  <c r="AK612" i="1"/>
  <c r="CP612" i="1"/>
  <c r="CR612" i="1"/>
  <c r="AH612" i="1"/>
  <c r="BI611" i="1"/>
  <c r="BJ611" i="1"/>
  <c r="AD611" i="1"/>
  <c r="AE611" i="1" s="1"/>
  <c r="AH610" i="1"/>
  <c r="AK610" i="1"/>
  <c r="EL610" i="1"/>
  <c r="BS608" i="1"/>
  <c r="DR608" i="1"/>
  <c r="DX608" i="1" s="1"/>
  <c r="BM608" i="1"/>
  <c r="DV608" i="1"/>
  <c r="CB609" i="1"/>
  <c r="BL608" i="1"/>
  <c r="EG609" i="1"/>
  <c r="EM609" i="1" s="1"/>
  <c r="EK609" i="1"/>
  <c r="BN608" i="1"/>
  <c r="EK608" i="1"/>
  <c r="CB608" i="1"/>
  <c r="BL609" i="1"/>
  <c r="BM609" i="1"/>
  <c r="BN609" i="1"/>
  <c r="BS609" i="1"/>
  <c r="BW609" i="1" s="1"/>
  <c r="BJ609" i="1"/>
  <c r="AD609" i="1"/>
  <c r="AE609" i="1" s="1"/>
  <c r="CU609" i="1"/>
  <c r="CV609" i="1"/>
  <c r="DW609" i="1"/>
  <c r="AK608" i="1"/>
  <c r="BI608" i="1"/>
  <c r="BJ608" i="1"/>
  <c r="BK608" i="1"/>
  <c r="AH608" i="1"/>
  <c r="EL608" i="1"/>
  <c r="CR316" i="1"/>
  <c r="CQ316" i="1"/>
  <c r="CP316" i="1"/>
  <c r="Q615" i="1" l="1"/>
  <c r="V615" i="1"/>
  <c r="U615" i="1"/>
  <c r="DW612" i="1"/>
  <c r="DY612" i="1" s="1"/>
  <c r="AD612" i="1"/>
  <c r="AE612" i="1" s="1"/>
  <c r="DW611" i="1"/>
  <c r="CU611" i="1"/>
  <c r="CX611" i="1" s="1"/>
  <c r="EL611" i="1"/>
  <c r="EL613" i="1"/>
  <c r="CV611" i="1"/>
  <c r="DW613" i="1"/>
  <c r="DY613" i="1" s="1"/>
  <c r="EC613" i="1" s="1"/>
  <c r="EE613" i="1" s="1"/>
  <c r="DX613" i="1"/>
  <c r="DZ613" i="1" s="1"/>
  <c r="ED613" i="1" s="1"/>
  <c r="DX610" i="1"/>
  <c r="DW610" i="1"/>
  <c r="EM612" i="1"/>
  <c r="EL612" i="1"/>
  <c r="EA613" i="1"/>
  <c r="AD613" i="1" s="1"/>
  <c r="AE613" i="1" s="1"/>
  <c r="AD608" i="1"/>
  <c r="DZ608" i="1"/>
  <c r="ED608" i="1" s="1"/>
  <c r="EL609" i="1"/>
  <c r="DW608" i="1"/>
  <c r="DY608" i="1" s="1"/>
  <c r="EC608" i="1" s="1"/>
  <c r="EE608" i="1" s="1"/>
  <c r="EB608" i="1"/>
  <c r="I152" i="33"/>
  <c r="J152" i="33" s="1"/>
  <c r="C152" i="33"/>
  <c r="E152" i="33"/>
  <c r="F152" i="33" s="1"/>
  <c r="E151" i="33"/>
  <c r="H151" i="33" s="1"/>
  <c r="I151" i="33"/>
  <c r="L151" i="33" s="1"/>
  <c r="E150" i="33"/>
  <c r="E149" i="33"/>
  <c r="H149" i="33" s="1"/>
  <c r="C149" i="33"/>
  <c r="I149" i="33"/>
  <c r="L149" i="33" s="1"/>
  <c r="I148" i="33"/>
  <c r="J148" i="33" s="1"/>
  <c r="C148" i="33"/>
  <c r="E148" i="33"/>
  <c r="F148" i="33" s="1"/>
  <c r="E147" i="33"/>
  <c r="F147" i="33" s="1"/>
  <c r="I147" i="33"/>
  <c r="I146" i="33"/>
  <c r="L146" i="33" s="1"/>
  <c r="E146" i="33"/>
  <c r="H146" i="33" s="1"/>
  <c r="E145" i="33"/>
  <c r="H145" i="33" s="1"/>
  <c r="C145" i="33"/>
  <c r="J145" i="33" s="1"/>
  <c r="I144" i="33"/>
  <c r="L144" i="33" s="1"/>
  <c r="E144" i="33"/>
  <c r="H144" i="33" s="1"/>
  <c r="C144" i="33"/>
  <c r="E143" i="33"/>
  <c r="H143" i="33" s="1"/>
  <c r="C143" i="33"/>
  <c r="F143" i="33" s="1"/>
  <c r="J150" i="33"/>
  <c r="J147" i="33"/>
  <c r="L150" i="33"/>
  <c r="L147" i="33"/>
  <c r="L145" i="33"/>
  <c r="H150" i="33"/>
  <c r="H148" i="33"/>
  <c r="F150" i="33"/>
  <c r="F146" i="33"/>
  <c r="I143" i="33"/>
  <c r="J143" i="33" s="1"/>
  <c r="AE608" i="1" l="1"/>
  <c r="L143" i="33"/>
  <c r="L148" i="33"/>
  <c r="J144" i="33"/>
  <c r="J151" i="33"/>
  <c r="J149" i="33"/>
  <c r="L152" i="33"/>
  <c r="H152" i="33"/>
  <c r="F151" i="33"/>
  <c r="F149" i="33"/>
  <c r="H147" i="33"/>
  <c r="J146" i="33"/>
  <c r="F145" i="33"/>
  <c r="F144" i="33"/>
  <c r="AJ607" i="1"/>
  <c r="AI607" i="1"/>
  <c r="AG607" i="1"/>
  <c r="AF607" i="1"/>
  <c r="ES607" i="1"/>
  <c r="ER607" i="1"/>
  <c r="ET607" i="1" s="1"/>
  <c r="EQ607" i="1"/>
  <c r="EO607" i="1"/>
  <c r="EN607" i="1"/>
  <c r="EB607" i="1"/>
  <c r="CT607" i="1"/>
  <c r="CF607" i="1"/>
  <c r="CE607" i="1"/>
  <c r="CH607" i="1" s="1"/>
  <c r="CD607" i="1"/>
  <c r="CC607" i="1"/>
  <c r="CG607" i="1" s="1"/>
  <c r="BW607" i="1"/>
  <c r="AO607" i="1"/>
  <c r="AO606" i="1"/>
  <c r="BL607" i="6"/>
  <c r="BM607" i="6"/>
  <c r="BN607" i="6"/>
  <c r="BO607" i="6"/>
  <c r="AJ606" i="1"/>
  <c r="AI606" i="1"/>
  <c r="AG606" i="1"/>
  <c r="AF606" i="1"/>
  <c r="ES606" i="1"/>
  <c r="ER606" i="1"/>
  <c r="ET606" i="1" s="1"/>
  <c r="EQ606" i="1"/>
  <c r="EO606" i="1"/>
  <c r="EN606" i="1"/>
  <c r="ED606" i="1"/>
  <c r="EC606" i="1"/>
  <c r="EB606" i="1"/>
  <c r="CW606" i="1"/>
  <c r="CT606" i="1"/>
  <c r="CR606" i="1"/>
  <c r="CQ606" i="1"/>
  <c r="CP606" i="1"/>
  <c r="CF606" i="1"/>
  <c r="CE606" i="1"/>
  <c r="CH606" i="1" s="1"/>
  <c r="CD606" i="1"/>
  <c r="CC606" i="1"/>
  <c r="CG606" i="1" s="1"/>
  <c r="BV606" i="1"/>
  <c r="BU606" i="1"/>
  <c r="BT606" i="1"/>
  <c r="BL606" i="6"/>
  <c r="BM606" i="6"/>
  <c r="BN606" i="6"/>
  <c r="BO606" i="6"/>
  <c r="AJ605" i="1"/>
  <c r="AI605" i="1"/>
  <c r="AG605" i="1"/>
  <c r="AF605" i="1"/>
  <c r="ES605" i="1"/>
  <c r="ER605" i="1"/>
  <c r="ET605" i="1" s="1"/>
  <c r="EQ605" i="1"/>
  <c r="EO605" i="1"/>
  <c r="EN605" i="1"/>
  <c r="EB605" i="1"/>
  <c r="DN607" i="1"/>
  <c r="DP607" i="1" s="1"/>
  <c r="DM607" i="1"/>
  <c r="DL607" i="1"/>
  <c r="DO607" i="1" s="1"/>
  <c r="DK607" i="1"/>
  <c r="DI607" i="1"/>
  <c r="DH607" i="1"/>
  <c r="DG607" i="1"/>
  <c r="DN606" i="1"/>
  <c r="DP606" i="1" s="1"/>
  <c r="DM606" i="1"/>
  <c r="DL606" i="1"/>
  <c r="DO606" i="1" s="1"/>
  <c r="DK606" i="1"/>
  <c r="DI606" i="1"/>
  <c r="DH606" i="1"/>
  <c r="DG606" i="1"/>
  <c r="DN605" i="1"/>
  <c r="DP605" i="1" s="1"/>
  <c r="DM605" i="1"/>
  <c r="DL605" i="1"/>
  <c r="DO605" i="1" s="1"/>
  <c r="DK605" i="1"/>
  <c r="DI605" i="1"/>
  <c r="DH605" i="1"/>
  <c r="DG605" i="1"/>
  <c r="CT605" i="1"/>
  <c r="CR605" i="1"/>
  <c r="CQ605" i="1"/>
  <c r="CP605" i="1"/>
  <c r="CF605" i="1"/>
  <c r="BW605" i="1"/>
  <c r="AO605" i="1"/>
  <c r="BL605" i="6"/>
  <c r="BM605" i="6"/>
  <c r="BN605" i="6"/>
  <c r="BO605" i="6"/>
  <c r="AJ604" i="1"/>
  <c r="AI604" i="1"/>
  <c r="AG604" i="1"/>
  <c r="AF604" i="1"/>
  <c r="ES604" i="1"/>
  <c r="ER604" i="1"/>
  <c r="ET604" i="1" s="1"/>
  <c r="EQ604" i="1"/>
  <c r="EO604" i="1"/>
  <c r="EN604" i="1"/>
  <c r="EB604" i="1"/>
  <c r="DN604" i="1"/>
  <c r="DP604" i="1" s="1"/>
  <c r="DM604" i="1"/>
  <c r="DL604" i="1"/>
  <c r="DO604" i="1" s="1"/>
  <c r="DK604" i="1"/>
  <c r="DI604" i="1"/>
  <c r="DH604" i="1"/>
  <c r="DG604" i="1"/>
  <c r="CT604" i="1"/>
  <c r="CF604" i="1"/>
  <c r="BW604" i="1"/>
  <c r="AO604" i="1"/>
  <c r="O607" i="1"/>
  <c r="O606" i="1"/>
  <c r="O605" i="1"/>
  <c r="O604" i="1"/>
  <c r="L603" i="1"/>
  <c r="L604" i="1"/>
  <c r="EK604" i="1" s="1"/>
  <c r="L605" i="1"/>
  <c r="EK605" i="1" s="1"/>
  <c r="L606" i="1"/>
  <c r="DV606" i="1" s="1"/>
  <c r="L607" i="1"/>
  <c r="F607" i="1"/>
  <c r="BN607" i="1" s="1"/>
  <c r="F606" i="1"/>
  <c r="F605" i="1"/>
  <c r="EG605" i="1" s="1"/>
  <c r="EM605" i="1" s="1"/>
  <c r="F604" i="1"/>
  <c r="EG604" i="1" s="1"/>
  <c r="EM604" i="1" s="1"/>
  <c r="B604" i="1"/>
  <c r="B605" i="1"/>
  <c r="B606" i="1"/>
  <c r="B607" i="1"/>
  <c r="BL604" i="6"/>
  <c r="BM604" i="6"/>
  <c r="BN604" i="6"/>
  <c r="BO604" i="6"/>
  <c r="DV605" i="1" l="1"/>
  <c r="CB607" i="1"/>
  <c r="CB604" i="1"/>
  <c r="AK607" i="1"/>
  <c r="DV607" i="1"/>
  <c r="EG607" i="1"/>
  <c r="EL607" i="1" s="1"/>
  <c r="EK607" i="1"/>
  <c r="BS607" i="1"/>
  <c r="AH607" i="1"/>
  <c r="DR607" i="1"/>
  <c r="DX607" i="1" s="1"/>
  <c r="CB605" i="1"/>
  <c r="EG606" i="1"/>
  <c r="EL606" i="1" s="1"/>
  <c r="EK606" i="1"/>
  <c r="BL604" i="1"/>
  <c r="BN606" i="1"/>
  <c r="BL605" i="1"/>
  <c r="BN604" i="1"/>
  <c r="DV604" i="1"/>
  <c r="BL606" i="1"/>
  <c r="BN605" i="1"/>
  <c r="BS604" i="1"/>
  <c r="BS605" i="1"/>
  <c r="DR604" i="1"/>
  <c r="DR605" i="1"/>
  <c r="DW605" i="1" s="1"/>
  <c r="DR606" i="1"/>
  <c r="CV606" i="1" s="1"/>
  <c r="BL607" i="1"/>
  <c r="BS606" i="1"/>
  <c r="AH606" i="1"/>
  <c r="AK606" i="1"/>
  <c r="AH605" i="1"/>
  <c r="AK605" i="1"/>
  <c r="AK604" i="1"/>
  <c r="EL605" i="1"/>
  <c r="AH604" i="1"/>
  <c r="EL604" i="1"/>
  <c r="EN44" i="1"/>
  <c r="EN91" i="1"/>
  <c r="EN57" i="1"/>
  <c r="EN36" i="1"/>
  <c r="EN40" i="1"/>
  <c r="EN32" i="1"/>
  <c r="EN16" i="1"/>
  <c r="EN33" i="1"/>
  <c r="EN12" i="1"/>
  <c r="EN208" i="1"/>
  <c r="EN82" i="1"/>
  <c r="EN48" i="1"/>
  <c r="EN53" i="1"/>
  <c r="EN288" i="1"/>
  <c r="EN5" i="1"/>
  <c r="EN68" i="1"/>
  <c r="EN77" i="1"/>
  <c r="EN8" i="1"/>
  <c r="EN86" i="1"/>
  <c r="EN533" i="1"/>
  <c r="EN73" i="1"/>
  <c r="EN13" i="1"/>
  <c r="EN94" i="1"/>
  <c r="EN529" i="1"/>
  <c r="EN98" i="1"/>
  <c r="EN29" i="1"/>
  <c r="EN76" i="1"/>
  <c r="EN101" i="1"/>
  <c r="EN49" i="1"/>
  <c r="EN100" i="1"/>
  <c r="EN72" i="1"/>
  <c r="EN210" i="1"/>
  <c r="EN97" i="1"/>
  <c r="EN20" i="1"/>
  <c r="EN37" i="1"/>
  <c r="EN9" i="1"/>
  <c r="EN219" i="1"/>
  <c r="EN46" i="1"/>
  <c r="EN209" i="1"/>
  <c r="EN214" i="1"/>
  <c r="EN89" i="1"/>
  <c r="EN532" i="1"/>
  <c r="EN92" i="1"/>
  <c r="EN212" i="1"/>
  <c r="EN80" i="1"/>
  <c r="EN69" i="1"/>
  <c r="EN25" i="1"/>
  <c r="EN64" i="1"/>
  <c r="EN81" i="1"/>
  <c r="EN530" i="1"/>
  <c r="EN139" i="1"/>
  <c r="EN79" i="1"/>
  <c r="EN338" i="1"/>
  <c r="EN65" i="1"/>
  <c r="EN211" i="1"/>
  <c r="EN294" i="1"/>
  <c r="EN28" i="1"/>
  <c r="EN169" i="1"/>
  <c r="EN157" i="1"/>
  <c r="EN207" i="1"/>
  <c r="EN111" i="1"/>
  <c r="EN17" i="1"/>
  <c r="EN21" i="1"/>
  <c r="EN109" i="1"/>
  <c r="EN50" i="1"/>
  <c r="EN431" i="1"/>
  <c r="EN95" i="1"/>
  <c r="EN356" i="1"/>
  <c r="EN128" i="1"/>
  <c r="EN85" i="1"/>
  <c r="EN24" i="1"/>
  <c r="EN52" i="1"/>
  <c r="EN4" i="1"/>
  <c r="EN264" i="1"/>
  <c r="EN424" i="1"/>
  <c r="EN56" i="1"/>
  <c r="EN238" i="1"/>
  <c r="EN60" i="1"/>
  <c r="EN171" i="1"/>
  <c r="EN146" i="1"/>
  <c r="EN295" i="1"/>
  <c r="EN61" i="1"/>
  <c r="EN41" i="1"/>
  <c r="EN246" i="1"/>
  <c r="EN282" i="1"/>
  <c r="EN22" i="1"/>
  <c r="EN321" i="1"/>
  <c r="EN6" i="1"/>
  <c r="EN182" i="1"/>
  <c r="EN442" i="1"/>
  <c r="EN331" i="1"/>
  <c r="EN393" i="1"/>
  <c r="EN200" i="1"/>
  <c r="EN88" i="1"/>
  <c r="EN134" i="1"/>
  <c r="EN281" i="1"/>
  <c r="EN195" i="1"/>
  <c r="EN515" i="1"/>
  <c r="EN374" i="1"/>
  <c r="EN45" i="1"/>
  <c r="EN83" i="1"/>
  <c r="EN177" i="1"/>
  <c r="EN66" i="1"/>
  <c r="EN313" i="1"/>
  <c r="EN273" i="1"/>
  <c r="EN175" i="1"/>
  <c r="EN367" i="1"/>
  <c r="EN122" i="1"/>
  <c r="EN450" i="1"/>
  <c r="EN43" i="1"/>
  <c r="EN404" i="1"/>
  <c r="EN412" i="1"/>
  <c r="EN547" i="1"/>
  <c r="EN87" i="1"/>
  <c r="EN245" i="1"/>
  <c r="EN58" i="1"/>
  <c r="EN413" i="1"/>
  <c r="EN287" i="1"/>
  <c r="EN179" i="1"/>
  <c r="EN478" i="1"/>
  <c r="EN320" i="1"/>
  <c r="EN339" i="1"/>
  <c r="EN385" i="1"/>
  <c r="EN267" i="1"/>
  <c r="EN559" i="1"/>
  <c r="EN351" i="1"/>
  <c r="EN523" i="1"/>
  <c r="EN96" i="1"/>
  <c r="EN197" i="1"/>
  <c r="EN186" i="1"/>
  <c r="EN38" i="1"/>
  <c r="EN449" i="1"/>
  <c r="EN234" i="1"/>
  <c r="EN159" i="1"/>
  <c r="EN174" i="1"/>
  <c r="EN397" i="1"/>
  <c r="EN289" i="1"/>
  <c r="EN116" i="1"/>
  <c r="EN93" i="1"/>
  <c r="EN539" i="1"/>
  <c r="EN126" i="1"/>
  <c r="EN256" i="1"/>
  <c r="EN516" i="1"/>
  <c r="EN361" i="1"/>
  <c r="EN584" i="1"/>
  <c r="EN189" i="1"/>
  <c r="EN502" i="1"/>
  <c r="EN161" i="1"/>
  <c r="EN136" i="1"/>
  <c r="EN26" i="1"/>
  <c r="EN464" i="1"/>
  <c r="EN342" i="1"/>
  <c r="EN567" i="1"/>
  <c r="EN307" i="1"/>
  <c r="EN119" i="1"/>
  <c r="EN286" i="1"/>
  <c r="EN183" i="1"/>
  <c r="EN84" i="1"/>
  <c r="EN249" i="1"/>
  <c r="EN363" i="1"/>
  <c r="EN512" i="1"/>
  <c r="EN524" i="1"/>
  <c r="EN388" i="1"/>
  <c r="EN205" i="1"/>
  <c r="EN268" i="1"/>
  <c r="EN129" i="1"/>
  <c r="EN242" i="1"/>
  <c r="EN168" i="1"/>
  <c r="EN335" i="1"/>
  <c r="EN193" i="1"/>
  <c r="EN145" i="1"/>
  <c r="EN70" i="1"/>
  <c r="EN151" i="1"/>
  <c r="EN270" i="1"/>
  <c r="EN222" i="1"/>
  <c r="EN216" i="1"/>
  <c r="EN573" i="1"/>
  <c r="EN348" i="1"/>
  <c r="EN438" i="1"/>
  <c r="EN213" i="1"/>
  <c r="EN164" i="1"/>
  <c r="EN585" i="1"/>
  <c r="EN479" i="1"/>
  <c r="EN90" i="1"/>
  <c r="EN435" i="1"/>
  <c r="EN153" i="1"/>
  <c r="EN231" i="1"/>
  <c r="EN124" i="1"/>
  <c r="EN114" i="1"/>
  <c r="EN482" i="1"/>
  <c r="EN206" i="1"/>
  <c r="EN484" i="1"/>
  <c r="EN181" i="1"/>
  <c r="EN453" i="1"/>
  <c r="EN302" i="1"/>
  <c r="EN306" i="1"/>
  <c r="EN520" i="1"/>
  <c r="EN120" i="1"/>
  <c r="EN375" i="1"/>
  <c r="EN299" i="1"/>
  <c r="EN544" i="1"/>
  <c r="EN406" i="1"/>
  <c r="EN500" i="1"/>
  <c r="EN62" i="1"/>
  <c r="EN474" i="1"/>
  <c r="EN187" i="1"/>
  <c r="EN579" i="1"/>
  <c r="EN312" i="1"/>
  <c r="EN333" i="1"/>
  <c r="EN534" i="1"/>
  <c r="EN428" i="1"/>
  <c r="EN31" i="1"/>
  <c r="EN563" i="1"/>
  <c r="EN472" i="1"/>
  <c r="EN74" i="1"/>
  <c r="EN220" i="1"/>
  <c r="EN113" i="1"/>
  <c r="EN491" i="1"/>
  <c r="EN34" i="1"/>
  <c r="EN403" i="1"/>
  <c r="EN599" i="1"/>
  <c r="EN390" i="1"/>
  <c r="EN602" i="1"/>
  <c r="EN454" i="1"/>
  <c r="EN102" i="1"/>
  <c r="EN276" i="1"/>
  <c r="EN237" i="1"/>
  <c r="EN581" i="1"/>
  <c r="EN394" i="1"/>
  <c r="EN555" i="1"/>
  <c r="EN528" i="1"/>
  <c r="EN558" i="1"/>
  <c r="EN137" i="1"/>
  <c r="EN366" i="1"/>
  <c r="EN510" i="1"/>
  <c r="EN360" i="1"/>
  <c r="EN274" i="1"/>
  <c r="EN402" i="1"/>
  <c r="EN117" i="1"/>
  <c r="EN99" i="1"/>
  <c r="EN10" i="1"/>
  <c r="EN379" i="1"/>
  <c r="EN315" i="1"/>
  <c r="EN330" i="1"/>
  <c r="EN505" i="1"/>
  <c r="EN343" i="1"/>
  <c r="EN271" i="1"/>
  <c r="EN420" i="1"/>
  <c r="EN485" i="1"/>
  <c r="EN459" i="1"/>
  <c r="EN42" i="1"/>
  <c r="EN488" i="1"/>
  <c r="EN426" i="1"/>
  <c r="EN548" i="1"/>
  <c r="EN285" i="1"/>
  <c r="EN477" i="1"/>
  <c r="EN228" i="1"/>
  <c r="EN577" i="1"/>
  <c r="EN150" i="1"/>
  <c r="EN309" i="1"/>
  <c r="EN467" i="1"/>
  <c r="EN232" i="1"/>
  <c r="EN591" i="1"/>
  <c r="EN254" i="1"/>
  <c r="EN398" i="1"/>
  <c r="EN317" i="1"/>
  <c r="EN280" i="1"/>
  <c r="EN365" i="1"/>
  <c r="EN407" i="1"/>
  <c r="EN509" i="1"/>
  <c r="EN566" i="1"/>
  <c r="EN260" i="1"/>
  <c r="EN603" i="1"/>
  <c r="EN371" i="1"/>
  <c r="EN105" i="1"/>
  <c r="EN252" i="1"/>
  <c r="EN345" i="1"/>
  <c r="EN30" i="1"/>
  <c r="EN104" i="1"/>
  <c r="EN297" i="1"/>
  <c r="EN576" i="1"/>
  <c r="EN347" i="1"/>
  <c r="EN382" i="1"/>
  <c r="EN462" i="1"/>
  <c r="EN571" i="1"/>
  <c r="EN133" i="1"/>
  <c r="EN400" i="1"/>
  <c r="EN143" i="1"/>
  <c r="EN301" i="1"/>
  <c r="EN293" i="1"/>
  <c r="EN191" i="1"/>
  <c r="EN498" i="1"/>
  <c r="EN542" i="1"/>
  <c r="EN316" i="1"/>
  <c r="EN553" i="1"/>
  <c r="EN436" i="1"/>
  <c r="EN527" i="1"/>
  <c r="EN373" i="1"/>
  <c r="EN236" i="1"/>
  <c r="EN160" i="1"/>
  <c r="EN162" i="1"/>
  <c r="EN422" i="1"/>
  <c r="EN130" i="1"/>
  <c r="EN597" i="1"/>
  <c r="EN355" i="1"/>
  <c r="EN536" i="1"/>
  <c r="EN198" i="1"/>
  <c r="EN300" i="1"/>
  <c r="EN588" i="1"/>
  <c r="EN190" i="1"/>
  <c r="EN401" i="1"/>
  <c r="EN421" i="1"/>
  <c r="EN417" i="1"/>
  <c r="EN118" i="1"/>
  <c r="EN446" i="1"/>
  <c r="EN235" i="1"/>
  <c r="EN318" i="1"/>
  <c r="EN7" i="1"/>
  <c r="EN444" i="1"/>
  <c r="EN103" i="1"/>
  <c r="EN173" i="1"/>
  <c r="EN148" i="1"/>
  <c r="EN458" i="1"/>
  <c r="EN440" i="1"/>
  <c r="EN244" i="1"/>
  <c r="EN23" i="1"/>
  <c r="EN430" i="1"/>
  <c r="EN67" i="1"/>
  <c r="EN262" i="1"/>
  <c r="EN448" i="1"/>
  <c r="EN142" i="1"/>
  <c r="EN364" i="1"/>
  <c r="EN370" i="1"/>
  <c r="EN172" i="1"/>
  <c r="EN192" i="1"/>
  <c r="EN127" i="1"/>
  <c r="EN170" i="1"/>
  <c r="EN152" i="1"/>
  <c r="EN47" i="1"/>
  <c r="EN391" i="1"/>
  <c r="EN19" i="1"/>
  <c r="EN112" i="1"/>
  <c r="EN107" i="1"/>
  <c r="EN239" i="1"/>
  <c r="EN319" i="1"/>
  <c r="EN460" i="1"/>
  <c r="EN411" i="1"/>
  <c r="EN290" i="1"/>
  <c r="EN296" i="1"/>
  <c r="EN221" i="1"/>
  <c r="EN308" i="1"/>
  <c r="EN346" i="1"/>
  <c r="EN496" i="1"/>
  <c r="EN352" i="1"/>
  <c r="EN575" i="1"/>
  <c r="EN437" i="1"/>
  <c r="EN121" i="1"/>
  <c r="EN39" i="1"/>
  <c r="EN261" i="1"/>
  <c r="EN466" i="1"/>
  <c r="EN55" i="1"/>
  <c r="EN71" i="1"/>
  <c r="EN269" i="1"/>
  <c r="EN565" i="1"/>
  <c r="EN156" i="1"/>
  <c r="EN557" i="1"/>
  <c r="EN593" i="1"/>
  <c r="EN27" i="1"/>
  <c r="EN381" i="1"/>
  <c r="EN199" i="1"/>
  <c r="EN399" i="1"/>
  <c r="EN372" i="1"/>
  <c r="EN178" i="1"/>
  <c r="EN241" i="1"/>
  <c r="EN63" i="1"/>
  <c r="EN135" i="1"/>
  <c r="EN233" i="1"/>
  <c r="EN272" i="1"/>
  <c r="EN357" i="1"/>
  <c r="EN194" i="1"/>
  <c r="EN125" i="1"/>
  <c r="EN215" i="1"/>
  <c r="EN166" i="1"/>
  <c r="EN251" i="1"/>
  <c r="EN266" i="1"/>
  <c r="EN201" i="1"/>
  <c r="EN423" i="1"/>
  <c r="EN389" i="1"/>
  <c r="EN147" i="1"/>
  <c r="EN332" i="1"/>
  <c r="EN486" i="1"/>
  <c r="EN408" i="1"/>
  <c r="EN165" i="1"/>
  <c r="EN158" i="1"/>
  <c r="EN349" i="1"/>
  <c r="EN578" i="1"/>
  <c r="EN253" i="1"/>
  <c r="EN514" i="1"/>
  <c r="EN14" i="1"/>
  <c r="EN248" i="1"/>
  <c r="EN131" i="1"/>
  <c r="EN340" i="1"/>
  <c r="EN263" i="1"/>
  <c r="EN326" i="1"/>
  <c r="EN229" i="1"/>
  <c r="EN140" i="1"/>
  <c r="EN277" i="1"/>
  <c r="EN15" i="1"/>
  <c r="EN132" i="1"/>
  <c r="EN218" i="1"/>
  <c r="EN155" i="1"/>
  <c r="EN475" i="1"/>
  <c r="EN138" i="1"/>
  <c r="EN513" i="1"/>
  <c r="EN414" i="1"/>
  <c r="EN115" i="1"/>
  <c r="EN303" i="1"/>
  <c r="EN292" i="1"/>
  <c r="EN600" i="1"/>
  <c r="EN535" i="1"/>
  <c r="EN598" i="1"/>
  <c r="EN284" i="1"/>
  <c r="EN354" i="1"/>
  <c r="EN452" i="1"/>
  <c r="EN323" i="1"/>
  <c r="EN298" i="1"/>
  <c r="EN358" i="1"/>
  <c r="EN223" i="1"/>
  <c r="EN383" i="1"/>
  <c r="EN334" i="1"/>
  <c r="EN141" i="1"/>
  <c r="EN543" i="1"/>
  <c r="EN202" i="1"/>
  <c r="EN255" i="1"/>
  <c r="EN483" i="1"/>
  <c r="EN427" i="1"/>
  <c r="EN106" i="1"/>
  <c r="EN504" i="1"/>
  <c r="EN526" i="1"/>
  <c r="EN386" i="1"/>
  <c r="EN541" i="1"/>
  <c r="EN521" i="1"/>
  <c r="EN362" i="1"/>
  <c r="EN78" i="1"/>
  <c r="EN506" i="1"/>
  <c r="EN369" i="1"/>
  <c r="EN196" i="1"/>
  <c r="EN538" i="1"/>
  <c r="EN227" i="1"/>
  <c r="EN445" i="1"/>
  <c r="EN574" i="1"/>
  <c r="EN583" i="1"/>
  <c r="EN569" i="1"/>
  <c r="EN378" i="1"/>
  <c r="EN560" i="1"/>
  <c r="EN405" i="1"/>
  <c r="EN51" i="1"/>
  <c r="EN250" i="1"/>
  <c r="EN368" i="1"/>
  <c r="EN432" i="1"/>
  <c r="EN468" i="1"/>
  <c r="EN465" i="1"/>
  <c r="EN540" i="1"/>
  <c r="EN461" i="1"/>
  <c r="EN240" i="1"/>
  <c r="EN590" i="1"/>
  <c r="EN54" i="1"/>
  <c r="EN18" i="1"/>
  <c r="EN278" i="1"/>
  <c r="EN469" i="1"/>
  <c r="EN556" i="1"/>
  <c r="EN327" i="1"/>
  <c r="EN595" i="1"/>
  <c r="EN291" i="1"/>
  <c r="EN473" i="1"/>
  <c r="EN594" i="1"/>
  <c r="EN580" i="1"/>
  <c r="EN531" i="1"/>
  <c r="EN324" i="1"/>
  <c r="EN353" i="1"/>
  <c r="EN149" i="1"/>
  <c r="EN419" i="1"/>
  <c r="EN359" i="1"/>
  <c r="EN441" i="1"/>
  <c r="EN409" i="1"/>
  <c r="EN501" i="1"/>
  <c r="EN224" i="1"/>
  <c r="EN247" i="1"/>
  <c r="EN550" i="1"/>
  <c r="EN562" i="1"/>
  <c r="EN185" i="1"/>
  <c r="EN561" i="1"/>
  <c r="EN395" i="1"/>
  <c r="EN507" i="1"/>
  <c r="EN418" i="1"/>
  <c r="EN265" i="1"/>
  <c r="EN433" i="1"/>
  <c r="EN552" i="1"/>
  <c r="EN471" i="1"/>
  <c r="EN492" i="1"/>
  <c r="EN258" i="1"/>
  <c r="EN425" i="1"/>
  <c r="EN570" i="1"/>
  <c r="EN380" i="1"/>
  <c r="EN497" i="1"/>
  <c r="EN487" i="1"/>
  <c r="EN451" i="1"/>
  <c r="EN494" i="1"/>
  <c r="EN518" i="1"/>
  <c r="EN304" i="1"/>
  <c r="EN204" i="1"/>
  <c r="EN476" i="1"/>
  <c r="EN217" i="1"/>
  <c r="EN493" i="1"/>
  <c r="EN537" i="1"/>
  <c r="EN325" i="1"/>
  <c r="EN592" i="1"/>
  <c r="EN587" i="1"/>
  <c r="EN456" i="1"/>
  <c r="EN384" i="1"/>
  <c r="EN337" i="1"/>
  <c r="EN489" i="1"/>
  <c r="EN154" i="1"/>
  <c r="EN481" i="1"/>
  <c r="EN490" i="1"/>
  <c r="EN415" i="1"/>
  <c r="EN329" i="1"/>
  <c r="EN310" i="1"/>
  <c r="EN480" i="1"/>
  <c r="EN601" i="1"/>
  <c r="EN586" i="1"/>
  <c r="EN551" i="1"/>
  <c r="EN144" i="1"/>
  <c r="EN457" i="1"/>
  <c r="EN163" i="1"/>
  <c r="EN522" i="1"/>
  <c r="EN499" i="1"/>
  <c r="EN517" i="1"/>
  <c r="EN589" i="1"/>
  <c r="EN525" i="1"/>
  <c r="EN225" i="1"/>
  <c r="EN123" i="1"/>
  <c r="EN545" i="1"/>
  <c r="EN582" i="1"/>
  <c r="EN279" i="1"/>
  <c r="EN322" i="1"/>
  <c r="EN546" i="1"/>
  <c r="EN568" i="1"/>
  <c r="EN572" i="1"/>
  <c r="EN463" i="1"/>
  <c r="EN283" i="1"/>
  <c r="EN75" i="1"/>
  <c r="EN226" i="1"/>
  <c r="EN108" i="1"/>
  <c r="EN257" i="1"/>
  <c r="EN429" i="1"/>
  <c r="EN410" i="1"/>
  <c r="EN230" i="1"/>
  <c r="EN447" i="1"/>
  <c r="EN243" i="1"/>
  <c r="EN470" i="1"/>
  <c r="EN259" i="1"/>
  <c r="EN167" i="1"/>
  <c r="EN188" i="1"/>
  <c r="EN377" i="1"/>
  <c r="EN341" i="1"/>
  <c r="EN439" i="1"/>
  <c r="EN110" i="1"/>
  <c r="EN392" i="1"/>
  <c r="EN176" i="1"/>
  <c r="EN416" i="1"/>
  <c r="EN503" i="1"/>
  <c r="EN35" i="1"/>
  <c r="EN519" i="1"/>
  <c r="EN564" i="1"/>
  <c r="EN180" i="1"/>
  <c r="EN305" i="1"/>
  <c r="EN203" i="1"/>
  <c r="EN336" i="1"/>
  <c r="EN434" i="1"/>
  <c r="EN311" i="1"/>
  <c r="EN328" i="1"/>
  <c r="EN344" i="1"/>
  <c r="EN59" i="1"/>
  <c r="EN11" i="1"/>
  <c r="EN184" i="1"/>
  <c r="EN495" i="1"/>
  <c r="EN554" i="1"/>
  <c r="EN376" i="1"/>
  <c r="EN455" i="1"/>
  <c r="EN443" i="1"/>
  <c r="EN396" i="1"/>
  <c r="EN596" i="1"/>
  <c r="DY605" i="1" l="1"/>
  <c r="EM607" i="1"/>
  <c r="DW607" i="1"/>
  <c r="DY607" i="1" s="1"/>
  <c r="DZ607" i="1"/>
  <c r="DX605" i="1"/>
  <c r="DZ605" i="1" s="1"/>
  <c r="DW606" i="1"/>
  <c r="DY606" i="1" s="1"/>
  <c r="DX606" i="1"/>
  <c r="DZ606" i="1" s="1"/>
  <c r="EM606" i="1"/>
  <c r="CU606" i="1"/>
  <c r="DX604" i="1"/>
  <c r="DW604" i="1"/>
  <c r="H43" i="25"/>
  <c r="Q55" i="25"/>
  <c r="AF5" i="1"/>
  <c r="AF6" i="1"/>
  <c r="AF7" i="1"/>
  <c r="AF8" i="1"/>
  <c r="AF9" i="1"/>
  <c r="AF10" i="1"/>
  <c r="AF13" i="1"/>
  <c r="AF15" i="1"/>
  <c r="AF16" i="1"/>
  <c r="AF17" i="1"/>
  <c r="AF19" i="1"/>
  <c r="AF20" i="1"/>
  <c r="AF21" i="1"/>
  <c r="AF22" i="1"/>
  <c r="AF23" i="1"/>
  <c r="AF24" i="1"/>
  <c r="AF26" i="1"/>
  <c r="AF27" i="1"/>
  <c r="AF29" i="1"/>
  <c r="AF30" i="1"/>
  <c r="AF31" i="1"/>
  <c r="AF32" i="1"/>
  <c r="AF33" i="1"/>
  <c r="AF34" i="1"/>
  <c r="AF36" i="1"/>
  <c r="AF37" i="1"/>
  <c r="AF38" i="1"/>
  <c r="AF39" i="1"/>
  <c r="AF40" i="1"/>
  <c r="AF42" i="1"/>
  <c r="AF43" i="1"/>
  <c r="AF44" i="1"/>
  <c r="AF45" i="1"/>
  <c r="AF46" i="1"/>
  <c r="AF47" i="1"/>
  <c r="AF48" i="1"/>
  <c r="AF49" i="1"/>
  <c r="AF50" i="1"/>
  <c r="AF51" i="1"/>
  <c r="AF52" i="1"/>
  <c r="AF53" i="1"/>
  <c r="AF55" i="1"/>
  <c r="AF56" i="1"/>
  <c r="AF57" i="1"/>
  <c r="AF58" i="1"/>
  <c r="AF60" i="1"/>
  <c r="AF62" i="1"/>
  <c r="AF63" i="1"/>
  <c r="AF65" i="1"/>
  <c r="AF66" i="1"/>
  <c r="AF67" i="1"/>
  <c r="AF68" i="1"/>
  <c r="AF70" i="1"/>
  <c r="AF71" i="1"/>
  <c r="AF73" i="1"/>
  <c r="AF74" i="1"/>
  <c r="AF76" i="1"/>
  <c r="AF77" i="1"/>
  <c r="AF79" i="1"/>
  <c r="AF81" i="1"/>
  <c r="AF82" i="1"/>
  <c r="AF83" i="1"/>
  <c r="AF84" i="1"/>
  <c r="AF85" i="1"/>
  <c r="AF86" i="1"/>
  <c r="AF87" i="1"/>
  <c r="AF88" i="1"/>
  <c r="AF89" i="1"/>
  <c r="AF90" i="1"/>
  <c r="AF91" i="1"/>
  <c r="AF93" i="1"/>
  <c r="AF94" i="1"/>
  <c r="AF95" i="1"/>
  <c r="AF96" i="1"/>
  <c r="AF98" i="1"/>
  <c r="AF99" i="1"/>
  <c r="AF101" i="1"/>
  <c r="AF102" i="1"/>
  <c r="AF103" i="1"/>
  <c r="AF104" i="1"/>
  <c r="AF105" i="1"/>
  <c r="AF109" i="1"/>
  <c r="AF111" i="1"/>
  <c r="AF112" i="1"/>
  <c r="AF113" i="1"/>
  <c r="AF114" i="1"/>
  <c r="AF115" i="1"/>
  <c r="AF116" i="1"/>
  <c r="AF117" i="1"/>
  <c r="AF118" i="1"/>
  <c r="AF119" i="1"/>
  <c r="AF120" i="1"/>
  <c r="AF122" i="1"/>
  <c r="AF124" i="1"/>
  <c r="AF125" i="1"/>
  <c r="AF126" i="1"/>
  <c r="AF127" i="1"/>
  <c r="AF128" i="1"/>
  <c r="AF129" i="1"/>
  <c r="AF130" i="1"/>
  <c r="AF131" i="1"/>
  <c r="AF132" i="1"/>
  <c r="AF133" i="1"/>
  <c r="AF134" i="1"/>
  <c r="AF135" i="1"/>
  <c r="AF136" i="1"/>
  <c r="AF137" i="1"/>
  <c r="AF139" i="1"/>
  <c r="AF140" i="1"/>
  <c r="AF142" i="1"/>
  <c r="AF143" i="1"/>
  <c r="AF145" i="1"/>
  <c r="AF146" i="1"/>
  <c r="AF147" i="1"/>
  <c r="AF148" i="1"/>
  <c r="AF149" i="1"/>
  <c r="AF150" i="1"/>
  <c r="AF151" i="1"/>
  <c r="AF152" i="1"/>
  <c r="AF153" i="1"/>
  <c r="AF155" i="1"/>
  <c r="AF157" i="1"/>
  <c r="AF158" i="1"/>
  <c r="AF159" i="1"/>
  <c r="AF160" i="1"/>
  <c r="AF161" i="1"/>
  <c r="AF162" i="1"/>
  <c r="AF164" i="1"/>
  <c r="AF166" i="1"/>
  <c r="AF168" i="1"/>
  <c r="AF169" i="1"/>
  <c r="AF170" i="1"/>
  <c r="AF171" i="1"/>
  <c r="AF172" i="1"/>
  <c r="AF173" i="1"/>
  <c r="AF174" i="1"/>
  <c r="AF175" i="1"/>
  <c r="AF177" i="1"/>
  <c r="AF178" i="1"/>
  <c r="AF179" i="1"/>
  <c r="AF181" i="1"/>
  <c r="AF182" i="1"/>
  <c r="AF183" i="1"/>
  <c r="AF185" i="1"/>
  <c r="AF186" i="1"/>
  <c r="AF187" i="1"/>
  <c r="AF189" i="1"/>
  <c r="AF190" i="1"/>
  <c r="AF191" i="1"/>
  <c r="AF193" i="1"/>
  <c r="AF194" i="1"/>
  <c r="AF195" i="1"/>
  <c r="AF196" i="1"/>
  <c r="AF197" i="1"/>
  <c r="AF198" i="1"/>
  <c r="AF199" i="1"/>
  <c r="AF200" i="1"/>
  <c r="AF202" i="1"/>
  <c r="AF205" i="1"/>
  <c r="AF206" i="1"/>
  <c r="AF207" i="1"/>
  <c r="AF209" i="1"/>
  <c r="AF211" i="1"/>
  <c r="AF213" i="1"/>
  <c r="AF214" i="1"/>
  <c r="AF215" i="1"/>
  <c r="AF216" i="1"/>
  <c r="AF218" i="1"/>
  <c r="AF219" i="1"/>
  <c r="AF220" i="1"/>
  <c r="AF221" i="1"/>
  <c r="AF222" i="1"/>
  <c r="AF223" i="1"/>
  <c r="AF228" i="1"/>
  <c r="AF229" i="1"/>
  <c r="AF231" i="1"/>
  <c r="AF232" i="1"/>
  <c r="AF233" i="1"/>
  <c r="AF234" i="1"/>
  <c r="AF235" i="1"/>
  <c r="AF236" i="1"/>
  <c r="AF237" i="1"/>
  <c r="AF238" i="1"/>
  <c r="AF239" i="1"/>
  <c r="AF241" i="1"/>
  <c r="AF242" i="1"/>
  <c r="AF244" i="1"/>
  <c r="AF245" i="1"/>
  <c r="AF246" i="1"/>
  <c r="AF247" i="1"/>
  <c r="AF248" i="1"/>
  <c r="AF249" i="1"/>
  <c r="AF251" i="1"/>
  <c r="AF252" i="1"/>
  <c r="AF253" i="1"/>
  <c r="AF254" i="1"/>
  <c r="AF256" i="1"/>
  <c r="AF260" i="1"/>
  <c r="AF261" i="1"/>
  <c r="AF262" i="1"/>
  <c r="AF264" i="1"/>
  <c r="AF265" i="1"/>
  <c r="AF266" i="1"/>
  <c r="AF267" i="1"/>
  <c r="AF268" i="1"/>
  <c r="AF269" i="1"/>
  <c r="AF270" i="1"/>
  <c r="AF271" i="1"/>
  <c r="AF272" i="1"/>
  <c r="AF273" i="1"/>
  <c r="AF274" i="1"/>
  <c r="AF275" i="1"/>
  <c r="AF276" i="1"/>
  <c r="AF277" i="1"/>
  <c r="AF280" i="1"/>
  <c r="AF281" i="1"/>
  <c r="AF282" i="1"/>
  <c r="AF284" i="1"/>
  <c r="AF285" i="1"/>
  <c r="AF286" i="1"/>
  <c r="AF287" i="1"/>
  <c r="AF288" i="1"/>
  <c r="AF289" i="1"/>
  <c r="AF290" i="1"/>
  <c r="AF292" i="1"/>
  <c r="AF293" i="1"/>
  <c r="AF294" i="1"/>
  <c r="AF295" i="1"/>
  <c r="AF296" i="1"/>
  <c r="AF297" i="1"/>
  <c r="AF298" i="1"/>
  <c r="AF299" i="1"/>
  <c r="AF300" i="1"/>
  <c r="AF301" i="1"/>
  <c r="AF302" i="1"/>
  <c r="AF304" i="1"/>
  <c r="AF306" i="1"/>
  <c r="AF307" i="1"/>
  <c r="AF308" i="1"/>
  <c r="AF309" i="1"/>
  <c r="AF312" i="1"/>
  <c r="AF313" i="1"/>
  <c r="AF314" i="1"/>
  <c r="AF315" i="1"/>
  <c r="AF316" i="1"/>
  <c r="AF317" i="1"/>
  <c r="AF318" i="1"/>
  <c r="AF319" i="1"/>
  <c r="AF320" i="1"/>
  <c r="AF321" i="1"/>
  <c r="AF322" i="1"/>
  <c r="AF323" i="1"/>
  <c r="AF326" i="1"/>
  <c r="AF330" i="1"/>
  <c r="AF331" i="1"/>
  <c r="AF332" i="1"/>
  <c r="AF333" i="1"/>
  <c r="AF334" i="1"/>
  <c r="AF335" i="1"/>
  <c r="AF338" i="1"/>
  <c r="AF339" i="1"/>
  <c r="AF340" i="1"/>
  <c r="AF342" i="1"/>
  <c r="AF343" i="1"/>
  <c r="AF345" i="1"/>
  <c r="AF346" i="1"/>
  <c r="AF347" i="1"/>
  <c r="AF348" i="1"/>
  <c r="AF351" i="1"/>
  <c r="AF352" i="1"/>
  <c r="AF354" i="1"/>
  <c r="AF355" i="1"/>
  <c r="AF356" i="1"/>
  <c r="AF358" i="1"/>
  <c r="AF359" i="1"/>
  <c r="AF360" i="1"/>
  <c r="AF361" i="1"/>
  <c r="AF362" i="1"/>
  <c r="AF363" i="1"/>
  <c r="AF364" i="1"/>
  <c r="AF365" i="1"/>
  <c r="AF366" i="1"/>
  <c r="AF367" i="1"/>
  <c r="AF368" i="1"/>
  <c r="AF370" i="1"/>
  <c r="AF371" i="1"/>
  <c r="AF372" i="1"/>
  <c r="AF373" i="1"/>
  <c r="AF374" i="1"/>
  <c r="AF375" i="1"/>
  <c r="AF378" i="1"/>
  <c r="AF379" i="1"/>
  <c r="AF381" i="1"/>
  <c r="AF382" i="1"/>
  <c r="AF383" i="1"/>
  <c r="AF385" i="1"/>
  <c r="AF387" i="1"/>
  <c r="AF388" i="1"/>
  <c r="AF389" i="1"/>
  <c r="AF390" i="1"/>
  <c r="AF391" i="1"/>
  <c r="AF393" i="1"/>
  <c r="AF394" i="1"/>
  <c r="AF395" i="1"/>
  <c r="AF397" i="1"/>
  <c r="AF398" i="1"/>
  <c r="AF399" i="1"/>
  <c r="AF400" i="1"/>
  <c r="AF401" i="1"/>
  <c r="AF402" i="1"/>
  <c r="AF403" i="1"/>
  <c r="AF404" i="1"/>
  <c r="AF405" i="1"/>
  <c r="AF406" i="1"/>
  <c r="AF407" i="1"/>
  <c r="AF408" i="1"/>
  <c r="AF411" i="1"/>
  <c r="AF412" i="1"/>
  <c r="AF413" i="1"/>
  <c r="AF414" i="1"/>
  <c r="AF415" i="1"/>
  <c r="AF417" i="1"/>
  <c r="AF419" i="1"/>
  <c r="AF420" i="1"/>
  <c r="AF421" i="1"/>
  <c r="AF422" i="1"/>
  <c r="AF424" i="1"/>
  <c r="AF425" i="1"/>
  <c r="AF426" i="1"/>
  <c r="AF427" i="1"/>
  <c r="AF428" i="1"/>
  <c r="AF430" i="1"/>
  <c r="AF431" i="1"/>
  <c r="AF433" i="1"/>
  <c r="AF435" i="1"/>
  <c r="AF436" i="1"/>
  <c r="AF437" i="1"/>
  <c r="AF438" i="1"/>
  <c r="AF440" i="1"/>
  <c r="AF442" i="1"/>
  <c r="AF444" i="1"/>
  <c r="AF445" i="1"/>
  <c r="AF446" i="1"/>
  <c r="AF448" i="1"/>
  <c r="AF449" i="1"/>
  <c r="AF450" i="1"/>
  <c r="AF451" i="1"/>
  <c r="AF452" i="1"/>
  <c r="AF453" i="1"/>
  <c r="AF454" i="1"/>
  <c r="AF457" i="1"/>
  <c r="AF458" i="1"/>
  <c r="AF459" i="1"/>
  <c r="AF461" i="1"/>
  <c r="AF462" i="1"/>
  <c r="AF464" i="1"/>
  <c r="AF465" i="1"/>
  <c r="AF466" i="1"/>
  <c r="AF467" i="1"/>
  <c r="AF469" i="1"/>
  <c r="AF470" i="1"/>
  <c r="AF472" i="1"/>
  <c r="AF473" i="1"/>
  <c r="AF474" i="1"/>
  <c r="AF475" i="1"/>
  <c r="AF477" i="1"/>
  <c r="AF478" i="1"/>
  <c r="AF479" i="1"/>
  <c r="AF480" i="1"/>
  <c r="AF481" i="1"/>
  <c r="AF482" i="1"/>
  <c r="AF483" i="1"/>
  <c r="AF484" i="1"/>
  <c r="AF485" i="1"/>
  <c r="AF486" i="1"/>
  <c r="AF488" i="1"/>
  <c r="AF489" i="1"/>
  <c r="AF490" i="1"/>
  <c r="AF491" i="1"/>
  <c r="AF493" i="1"/>
  <c r="AF496" i="1"/>
  <c r="AF498" i="1"/>
  <c r="AF499" i="1"/>
  <c r="AF500" i="1"/>
  <c r="AF501" i="1"/>
  <c r="AF502" i="1"/>
  <c r="AF504" i="1"/>
  <c r="AF505" i="1"/>
  <c r="AF507" i="1"/>
  <c r="AF508" i="1"/>
  <c r="AF509" i="1"/>
  <c r="AF510" i="1"/>
  <c r="AF511" i="1"/>
  <c r="AF512" i="1"/>
  <c r="AF513" i="1"/>
  <c r="AF514" i="1"/>
  <c r="AF515" i="1"/>
  <c r="AF516" i="1"/>
  <c r="AF517" i="1"/>
  <c r="AF520" i="1"/>
  <c r="AF521" i="1"/>
  <c r="AF523" i="1"/>
  <c r="AF524" i="1"/>
  <c r="AF525" i="1"/>
  <c r="AF526" i="1"/>
  <c r="AF527" i="1"/>
  <c r="AF528" i="1"/>
  <c r="AF529" i="1"/>
  <c r="AF532" i="1"/>
  <c r="AF533" i="1"/>
  <c r="AF534" i="1"/>
  <c r="AF535" i="1"/>
  <c r="AF536" i="1"/>
  <c r="AF537" i="1"/>
  <c r="AF538" i="1"/>
  <c r="AF539" i="1"/>
  <c r="AF541" i="1"/>
  <c r="AF542" i="1"/>
  <c r="AF543" i="1"/>
  <c r="AF544" i="1"/>
  <c r="AF545" i="1"/>
  <c r="AF547" i="1"/>
  <c r="AF548" i="1"/>
  <c r="AF549" i="1"/>
  <c r="AF550" i="1"/>
  <c r="AF553" i="1"/>
  <c r="AF555" i="1"/>
  <c r="AF556" i="1"/>
  <c r="AF557" i="1"/>
  <c r="AF558" i="1"/>
  <c r="AF559" i="1"/>
  <c r="AF560" i="1"/>
  <c r="AF562" i="1"/>
  <c r="AF563" i="1"/>
  <c r="AF565" i="1"/>
  <c r="AF566" i="1"/>
  <c r="AF567" i="1"/>
  <c r="AF568" i="1"/>
  <c r="AF569" i="1"/>
  <c r="AF571" i="1"/>
  <c r="AF572" i="1"/>
  <c r="AF573" i="1"/>
  <c r="AF574" i="1"/>
  <c r="AF575" i="1"/>
  <c r="AF576" i="1"/>
  <c r="AF577" i="1"/>
  <c r="AF578" i="1"/>
  <c r="AF579" i="1"/>
  <c r="AF580" i="1"/>
  <c r="AF581" i="1"/>
  <c r="AF582" i="1"/>
  <c r="AF583" i="1"/>
  <c r="AF584" i="1"/>
  <c r="AF585" i="1"/>
  <c r="AF586" i="1"/>
  <c r="AF587" i="1"/>
  <c r="AF588" i="1"/>
  <c r="AF590" i="1"/>
  <c r="AF591" i="1"/>
  <c r="AF592" i="1"/>
  <c r="AF593" i="1"/>
  <c r="AF597" i="1"/>
  <c r="AF598" i="1"/>
  <c r="AF599" i="1"/>
  <c r="AF600" i="1"/>
  <c r="AF602" i="1"/>
  <c r="AF603" i="1"/>
  <c r="AF4" i="1"/>
  <c r="AJ603" i="1"/>
  <c r="AI603" i="1"/>
  <c r="AG603" i="1"/>
  <c r="ES603" i="1"/>
  <c r="ER603" i="1"/>
  <c r="ET603" i="1" s="1"/>
  <c r="EQ603" i="1"/>
  <c r="EO603" i="1"/>
  <c r="EB603" i="1"/>
  <c r="DN603" i="1"/>
  <c r="DP603" i="1" s="1"/>
  <c r="DM603" i="1"/>
  <c r="DL603" i="1"/>
  <c r="DO603" i="1" s="1"/>
  <c r="DK603" i="1"/>
  <c r="DI603" i="1"/>
  <c r="DH603" i="1"/>
  <c r="DG603" i="1"/>
  <c r="CT603" i="1"/>
  <c r="CF603" i="1"/>
  <c r="CE603" i="1"/>
  <c r="CH603" i="1" s="1"/>
  <c r="CD603" i="1"/>
  <c r="CC603" i="1"/>
  <c r="CG603" i="1" s="1"/>
  <c r="BW603" i="1"/>
  <c r="AO603" i="1"/>
  <c r="BL603" i="6"/>
  <c r="BM603" i="6"/>
  <c r="BN603" i="6"/>
  <c r="BO603" i="6"/>
  <c r="AJ602" i="1"/>
  <c r="AI602" i="1"/>
  <c r="AG602" i="1"/>
  <c r="ES602" i="1"/>
  <c r="ER602" i="1"/>
  <c r="ET602" i="1" s="1"/>
  <c r="EQ602" i="1"/>
  <c r="EO602" i="1"/>
  <c r="EB602" i="1"/>
  <c r="DN602" i="1"/>
  <c r="DP602" i="1" s="1"/>
  <c r="DM602" i="1"/>
  <c r="DL602" i="1"/>
  <c r="DO602" i="1" s="1"/>
  <c r="DK602" i="1"/>
  <c r="DI602" i="1"/>
  <c r="DH602" i="1"/>
  <c r="DG602" i="1"/>
  <c r="CT602" i="1"/>
  <c r="CR602" i="1"/>
  <c r="CW602" i="1" s="1"/>
  <c r="CY602" i="1" s="1"/>
  <c r="CQ602" i="1"/>
  <c r="CP602" i="1"/>
  <c r="CF602" i="1"/>
  <c r="CE602" i="1"/>
  <c r="CH602" i="1" s="1"/>
  <c r="CD602" i="1"/>
  <c r="CC602" i="1"/>
  <c r="CG602" i="1" s="1"/>
  <c r="BW602" i="1"/>
  <c r="AO602" i="1"/>
  <c r="BL602" i="6"/>
  <c r="BM602" i="6"/>
  <c r="BN602" i="6"/>
  <c r="BO602" i="6"/>
  <c r="ES601" i="1"/>
  <c r="ER601" i="1"/>
  <c r="ET601" i="1" s="1"/>
  <c r="EQ601" i="1"/>
  <c r="EO601" i="1"/>
  <c r="ED601" i="1"/>
  <c r="EC601" i="1"/>
  <c r="EB601" i="1"/>
  <c r="DN601" i="1"/>
  <c r="DP601" i="1" s="1"/>
  <c r="DM601" i="1"/>
  <c r="DL601" i="1"/>
  <c r="DO601" i="1" s="1"/>
  <c r="DK601" i="1"/>
  <c r="DI601" i="1"/>
  <c r="DH601" i="1"/>
  <c r="DG601" i="1"/>
  <c r="CT601" i="1"/>
  <c r="CR601" i="1"/>
  <c r="CW601" i="1" s="1"/>
  <c r="CY601" i="1" s="1"/>
  <c r="CQ601" i="1"/>
  <c r="CV601" i="1" s="1"/>
  <c r="CP601" i="1"/>
  <c r="CU601" i="1" s="1"/>
  <c r="CX601" i="1" s="1"/>
  <c r="CF601" i="1"/>
  <c r="CE601" i="1"/>
  <c r="CH601" i="1" s="1"/>
  <c r="CD601" i="1"/>
  <c r="CC601" i="1"/>
  <c r="CG601" i="1" s="1"/>
  <c r="BV601" i="1"/>
  <c r="BU601" i="1"/>
  <c r="BT601" i="1"/>
  <c r="AO601" i="1"/>
  <c r="BL601" i="6"/>
  <c r="BM601" i="6"/>
  <c r="BN601" i="6"/>
  <c r="BO601" i="6"/>
  <c r="EO4" i="1"/>
  <c r="EO5" i="1"/>
  <c r="EO6" i="1"/>
  <c r="EO7" i="1"/>
  <c r="EO8" i="1"/>
  <c r="EO9" i="1"/>
  <c r="EO10" i="1"/>
  <c r="EO11" i="1"/>
  <c r="EO12" i="1"/>
  <c r="EO13" i="1"/>
  <c r="EO14" i="1"/>
  <c r="EO15" i="1"/>
  <c r="EO16" i="1"/>
  <c r="EO17" i="1"/>
  <c r="EO18" i="1"/>
  <c r="EO19" i="1"/>
  <c r="EO20" i="1"/>
  <c r="EO21" i="1"/>
  <c r="EO22" i="1"/>
  <c r="EO23" i="1"/>
  <c r="EO24" i="1"/>
  <c r="EO25" i="1"/>
  <c r="EO26" i="1"/>
  <c r="EO27" i="1"/>
  <c r="EO28" i="1"/>
  <c r="EO29" i="1"/>
  <c r="EO30" i="1"/>
  <c r="EO31" i="1"/>
  <c r="EO32" i="1"/>
  <c r="EO33" i="1"/>
  <c r="EO34" i="1"/>
  <c r="EO35" i="1"/>
  <c r="EO36" i="1"/>
  <c r="EO37" i="1"/>
  <c r="EO38" i="1"/>
  <c r="EO39" i="1"/>
  <c r="EO40" i="1"/>
  <c r="EO41" i="1"/>
  <c r="EO42" i="1"/>
  <c r="EO43" i="1"/>
  <c r="EO44" i="1"/>
  <c r="EO45" i="1"/>
  <c r="EO46" i="1"/>
  <c r="EO47" i="1"/>
  <c r="EO48" i="1"/>
  <c r="EO49" i="1"/>
  <c r="EO50" i="1"/>
  <c r="EO51" i="1"/>
  <c r="EO52" i="1"/>
  <c r="EO53" i="1"/>
  <c r="EO54" i="1"/>
  <c r="EO55" i="1"/>
  <c r="EO56" i="1"/>
  <c r="EO57" i="1"/>
  <c r="EO58" i="1"/>
  <c r="EO59" i="1"/>
  <c r="EO60" i="1"/>
  <c r="EO61" i="1"/>
  <c r="EO62" i="1"/>
  <c r="EO63" i="1"/>
  <c r="EO64" i="1"/>
  <c r="EO65" i="1"/>
  <c r="EO66" i="1"/>
  <c r="EO67" i="1"/>
  <c r="EO68" i="1"/>
  <c r="EO69" i="1"/>
  <c r="EO70" i="1"/>
  <c r="EO71" i="1"/>
  <c r="EO72" i="1"/>
  <c r="EO73" i="1"/>
  <c r="EO74" i="1"/>
  <c r="EO75" i="1"/>
  <c r="EO76" i="1"/>
  <c r="EO77" i="1"/>
  <c r="EO78" i="1"/>
  <c r="EO79" i="1"/>
  <c r="EO80" i="1"/>
  <c r="EO81" i="1"/>
  <c r="EO82" i="1"/>
  <c r="EO83" i="1"/>
  <c r="EO84" i="1"/>
  <c r="EO85" i="1"/>
  <c r="EO86" i="1"/>
  <c r="EO87" i="1"/>
  <c r="EO88" i="1"/>
  <c r="EO89" i="1"/>
  <c r="EO90" i="1"/>
  <c r="EO91" i="1"/>
  <c r="EO92" i="1"/>
  <c r="EO93" i="1"/>
  <c r="EO94" i="1"/>
  <c r="EO95" i="1"/>
  <c r="EO96" i="1"/>
  <c r="EO97" i="1"/>
  <c r="EO98" i="1"/>
  <c r="EO99" i="1"/>
  <c r="EO100" i="1"/>
  <c r="EO101" i="1"/>
  <c r="EO102" i="1"/>
  <c r="EO103" i="1"/>
  <c r="EO104" i="1"/>
  <c r="EO105" i="1"/>
  <c r="EO106" i="1"/>
  <c r="EO107" i="1"/>
  <c r="EO108" i="1"/>
  <c r="EO109" i="1"/>
  <c r="EO110" i="1"/>
  <c r="EO111" i="1"/>
  <c r="EO112" i="1"/>
  <c r="EO113" i="1"/>
  <c r="EO114" i="1"/>
  <c r="EO115" i="1"/>
  <c r="EO116" i="1"/>
  <c r="EO117" i="1"/>
  <c r="EO118" i="1"/>
  <c r="EO119" i="1"/>
  <c r="EO120" i="1"/>
  <c r="EO121" i="1"/>
  <c r="EO122" i="1"/>
  <c r="EO123" i="1"/>
  <c r="EO124" i="1"/>
  <c r="EO125" i="1"/>
  <c r="EO126" i="1"/>
  <c r="EO127" i="1"/>
  <c r="EO128" i="1"/>
  <c r="EO129" i="1"/>
  <c r="EO130" i="1"/>
  <c r="EO131" i="1"/>
  <c r="EO132" i="1"/>
  <c r="EO133" i="1"/>
  <c r="EO134" i="1"/>
  <c r="EO135" i="1"/>
  <c r="EO136" i="1"/>
  <c r="EO137" i="1"/>
  <c r="EO138" i="1"/>
  <c r="EO139" i="1"/>
  <c r="EO140" i="1"/>
  <c r="EO141" i="1"/>
  <c r="EO142" i="1"/>
  <c r="EO143" i="1"/>
  <c r="EO144" i="1"/>
  <c r="EO145" i="1"/>
  <c r="EO146" i="1"/>
  <c r="EO147" i="1"/>
  <c r="EO148" i="1"/>
  <c r="EO149" i="1"/>
  <c r="EO150" i="1"/>
  <c r="EO151" i="1"/>
  <c r="EO152" i="1"/>
  <c r="EO153" i="1"/>
  <c r="EO154" i="1"/>
  <c r="EO155" i="1"/>
  <c r="EO156" i="1"/>
  <c r="EO157" i="1"/>
  <c r="EO158" i="1"/>
  <c r="EO159" i="1"/>
  <c r="EO160" i="1"/>
  <c r="EO161" i="1"/>
  <c r="EO162" i="1"/>
  <c r="EO163" i="1"/>
  <c r="EO164" i="1"/>
  <c r="EO165" i="1"/>
  <c r="EO166" i="1"/>
  <c r="EO167" i="1"/>
  <c r="EO168" i="1"/>
  <c r="EO169" i="1"/>
  <c r="EO170" i="1"/>
  <c r="EO171" i="1"/>
  <c r="EO172" i="1"/>
  <c r="EO173" i="1"/>
  <c r="EO174" i="1"/>
  <c r="EO175" i="1"/>
  <c r="EO176" i="1"/>
  <c r="EO177" i="1"/>
  <c r="EO178" i="1"/>
  <c r="EO179" i="1"/>
  <c r="EO180" i="1"/>
  <c r="EO181" i="1"/>
  <c r="EO182" i="1"/>
  <c r="EO183" i="1"/>
  <c r="EO184" i="1"/>
  <c r="EO185" i="1"/>
  <c r="EO186" i="1"/>
  <c r="EO187" i="1"/>
  <c r="EO188" i="1"/>
  <c r="EO189" i="1"/>
  <c r="EO190" i="1"/>
  <c r="EO191" i="1"/>
  <c r="EO192" i="1"/>
  <c r="EO193" i="1"/>
  <c r="EO194" i="1"/>
  <c r="EO195" i="1"/>
  <c r="EO196" i="1"/>
  <c r="EO197" i="1"/>
  <c r="EO198" i="1"/>
  <c r="EO199" i="1"/>
  <c r="EO200" i="1"/>
  <c r="EO201" i="1"/>
  <c r="EO202" i="1"/>
  <c r="EO203" i="1"/>
  <c r="EO204" i="1"/>
  <c r="EO205" i="1"/>
  <c r="EO206" i="1"/>
  <c r="EO207" i="1"/>
  <c r="EO208" i="1"/>
  <c r="EO209" i="1"/>
  <c r="EO210" i="1"/>
  <c r="EO211" i="1"/>
  <c r="EO212" i="1"/>
  <c r="EO213" i="1"/>
  <c r="EO214" i="1"/>
  <c r="EO215" i="1"/>
  <c r="EO216" i="1"/>
  <c r="EO217" i="1"/>
  <c r="EO218" i="1"/>
  <c r="EO219" i="1"/>
  <c r="EO220" i="1"/>
  <c r="EO221" i="1"/>
  <c r="EO222" i="1"/>
  <c r="EO223" i="1"/>
  <c r="EO224" i="1"/>
  <c r="EO225" i="1"/>
  <c r="EO226" i="1"/>
  <c r="EO227" i="1"/>
  <c r="EO228" i="1"/>
  <c r="EO229" i="1"/>
  <c r="EO230" i="1"/>
  <c r="EO231" i="1"/>
  <c r="EO232" i="1"/>
  <c r="EO233" i="1"/>
  <c r="EO234" i="1"/>
  <c r="EO235" i="1"/>
  <c r="EO236" i="1"/>
  <c r="EO237" i="1"/>
  <c r="EO238" i="1"/>
  <c r="EO239" i="1"/>
  <c r="EO240" i="1"/>
  <c r="EO241" i="1"/>
  <c r="EO242" i="1"/>
  <c r="EO243" i="1"/>
  <c r="EO244" i="1"/>
  <c r="EO245" i="1"/>
  <c r="EO246" i="1"/>
  <c r="EO247" i="1"/>
  <c r="EO248" i="1"/>
  <c r="EO249" i="1"/>
  <c r="EO250" i="1"/>
  <c r="EO251" i="1"/>
  <c r="EO252" i="1"/>
  <c r="EO253" i="1"/>
  <c r="EO254" i="1"/>
  <c r="EO255" i="1"/>
  <c r="EO256" i="1"/>
  <c r="EO257" i="1"/>
  <c r="EO258" i="1"/>
  <c r="EO259" i="1"/>
  <c r="EO260" i="1"/>
  <c r="EO261" i="1"/>
  <c r="EO262" i="1"/>
  <c r="EO263" i="1"/>
  <c r="EO264" i="1"/>
  <c r="EO265" i="1"/>
  <c r="EO266" i="1"/>
  <c r="EO267" i="1"/>
  <c r="EO268" i="1"/>
  <c r="EO269" i="1"/>
  <c r="EO270" i="1"/>
  <c r="EO271" i="1"/>
  <c r="EO272" i="1"/>
  <c r="EO273" i="1"/>
  <c r="EO274" i="1"/>
  <c r="EO276" i="1"/>
  <c r="EO277" i="1"/>
  <c r="EO278" i="1"/>
  <c r="EO279" i="1"/>
  <c r="EO280" i="1"/>
  <c r="EO281" i="1"/>
  <c r="EO282" i="1"/>
  <c r="EO283" i="1"/>
  <c r="EO284" i="1"/>
  <c r="EO285" i="1"/>
  <c r="EO286" i="1"/>
  <c r="EO287" i="1"/>
  <c r="EO288" i="1"/>
  <c r="EO289" i="1"/>
  <c r="EO290" i="1"/>
  <c r="EO291" i="1"/>
  <c r="EO292" i="1"/>
  <c r="EO293" i="1"/>
  <c r="EO294" i="1"/>
  <c r="EO295" i="1"/>
  <c r="EO296" i="1"/>
  <c r="EO297" i="1"/>
  <c r="EO298" i="1"/>
  <c r="EO299" i="1"/>
  <c r="EO300" i="1"/>
  <c r="EO301" i="1"/>
  <c r="EO302" i="1"/>
  <c r="EO303" i="1"/>
  <c r="EO304" i="1"/>
  <c r="EO305" i="1"/>
  <c r="EO306" i="1"/>
  <c r="EO307" i="1"/>
  <c r="EO308" i="1"/>
  <c r="EO309" i="1"/>
  <c r="EO310" i="1"/>
  <c r="EO311" i="1"/>
  <c r="EO312" i="1"/>
  <c r="EO313" i="1"/>
  <c r="EO315" i="1"/>
  <c r="EO316" i="1"/>
  <c r="EO317" i="1"/>
  <c r="EO318" i="1"/>
  <c r="EO319" i="1"/>
  <c r="EO320" i="1"/>
  <c r="EO321" i="1"/>
  <c r="EO322" i="1"/>
  <c r="EO323" i="1"/>
  <c r="EO324" i="1"/>
  <c r="EO325" i="1"/>
  <c r="EO326" i="1"/>
  <c r="EO327" i="1"/>
  <c r="EO328" i="1"/>
  <c r="EO329" i="1"/>
  <c r="EO330" i="1"/>
  <c r="EO331" i="1"/>
  <c r="EO332" i="1"/>
  <c r="EO333" i="1"/>
  <c r="EO334" i="1"/>
  <c r="EO335" i="1"/>
  <c r="EO336" i="1"/>
  <c r="EO337" i="1"/>
  <c r="EO338" i="1"/>
  <c r="EO339" i="1"/>
  <c r="EO340" i="1"/>
  <c r="EO341" i="1"/>
  <c r="EO342" i="1"/>
  <c r="EO343" i="1"/>
  <c r="EO344" i="1"/>
  <c r="EO345" i="1"/>
  <c r="EO346" i="1"/>
  <c r="EO347" i="1"/>
  <c r="EO348" i="1"/>
  <c r="EO349" i="1"/>
  <c r="EO351" i="1"/>
  <c r="EO352" i="1"/>
  <c r="EO353" i="1"/>
  <c r="EO354" i="1"/>
  <c r="EO355" i="1"/>
  <c r="EO356" i="1"/>
  <c r="EO357" i="1"/>
  <c r="EO358" i="1"/>
  <c r="EO359" i="1"/>
  <c r="EO360" i="1"/>
  <c r="EO361" i="1"/>
  <c r="EO362" i="1"/>
  <c r="EO363" i="1"/>
  <c r="EO364" i="1"/>
  <c r="EO365" i="1"/>
  <c r="EO366" i="1"/>
  <c r="EO367" i="1"/>
  <c r="EO368" i="1"/>
  <c r="EO369" i="1"/>
  <c r="EO370" i="1"/>
  <c r="EO371" i="1"/>
  <c r="EO372" i="1"/>
  <c r="EO373" i="1"/>
  <c r="EO374" i="1"/>
  <c r="EO375" i="1"/>
  <c r="EO376" i="1"/>
  <c r="EO377" i="1"/>
  <c r="EO378" i="1"/>
  <c r="EO379" i="1"/>
  <c r="EO380" i="1"/>
  <c r="EO381" i="1"/>
  <c r="EO382" i="1"/>
  <c r="EO383" i="1"/>
  <c r="EO384" i="1"/>
  <c r="EO385" i="1"/>
  <c r="EO386" i="1"/>
  <c r="EO388" i="1"/>
  <c r="EO389" i="1"/>
  <c r="EO390" i="1"/>
  <c r="EO391" i="1"/>
  <c r="EO392" i="1"/>
  <c r="EO393" i="1"/>
  <c r="EO394" i="1"/>
  <c r="EO395" i="1"/>
  <c r="EO396" i="1"/>
  <c r="EO397" i="1"/>
  <c r="EO398" i="1"/>
  <c r="EO399" i="1"/>
  <c r="EO400" i="1"/>
  <c r="EO401" i="1"/>
  <c r="EO402" i="1"/>
  <c r="EO403" i="1"/>
  <c r="EO404" i="1"/>
  <c r="EO405" i="1"/>
  <c r="EO406" i="1"/>
  <c r="EO407" i="1"/>
  <c r="EO408" i="1"/>
  <c r="EO409" i="1"/>
  <c r="EO410" i="1"/>
  <c r="EO411" i="1"/>
  <c r="EO412" i="1"/>
  <c r="EO413" i="1"/>
  <c r="EO414" i="1"/>
  <c r="EO415" i="1"/>
  <c r="EO416" i="1"/>
  <c r="EO417" i="1"/>
  <c r="EO418" i="1"/>
  <c r="EO419" i="1"/>
  <c r="EO420" i="1"/>
  <c r="EO421" i="1"/>
  <c r="EO422" i="1"/>
  <c r="EO423" i="1"/>
  <c r="EO424" i="1"/>
  <c r="EO425" i="1"/>
  <c r="EO426" i="1"/>
  <c r="EO427" i="1"/>
  <c r="EO428" i="1"/>
  <c r="EO429" i="1"/>
  <c r="EO430" i="1"/>
  <c r="EO431" i="1"/>
  <c r="EO432" i="1"/>
  <c r="EO433" i="1"/>
  <c r="EO434" i="1"/>
  <c r="EO435" i="1"/>
  <c r="EO436" i="1"/>
  <c r="EO437" i="1"/>
  <c r="EO438" i="1"/>
  <c r="EO439" i="1"/>
  <c r="EO440" i="1"/>
  <c r="EO441" i="1"/>
  <c r="EO442" i="1"/>
  <c r="EO443" i="1"/>
  <c r="EO444" i="1"/>
  <c r="EO445" i="1"/>
  <c r="EO446" i="1"/>
  <c r="EO447" i="1"/>
  <c r="EO448" i="1"/>
  <c r="EO449" i="1"/>
  <c r="EO450" i="1"/>
  <c r="EO451" i="1"/>
  <c r="EO452" i="1"/>
  <c r="EO453" i="1"/>
  <c r="EO454" i="1"/>
  <c r="EO455" i="1"/>
  <c r="EO456" i="1"/>
  <c r="EO457" i="1"/>
  <c r="EO458" i="1"/>
  <c r="EO459" i="1"/>
  <c r="EO460" i="1"/>
  <c r="EO461" i="1"/>
  <c r="EO462" i="1"/>
  <c r="EO463" i="1"/>
  <c r="EO464" i="1"/>
  <c r="EO465" i="1"/>
  <c r="EO466" i="1"/>
  <c r="EO467" i="1"/>
  <c r="EO468" i="1"/>
  <c r="EO469" i="1"/>
  <c r="EO470" i="1"/>
  <c r="EO471" i="1"/>
  <c r="EO472" i="1"/>
  <c r="EO473" i="1"/>
  <c r="EO474" i="1"/>
  <c r="EO475" i="1"/>
  <c r="EO476" i="1"/>
  <c r="EO477" i="1"/>
  <c r="EO478" i="1"/>
  <c r="EO479" i="1"/>
  <c r="EO480" i="1"/>
  <c r="EO481" i="1"/>
  <c r="EO482" i="1"/>
  <c r="EO483" i="1"/>
  <c r="EO484" i="1"/>
  <c r="EO485" i="1"/>
  <c r="EO486" i="1"/>
  <c r="EO487" i="1"/>
  <c r="EO488" i="1"/>
  <c r="EO489" i="1"/>
  <c r="EO490" i="1"/>
  <c r="EO491" i="1"/>
  <c r="EO492" i="1"/>
  <c r="EO493" i="1"/>
  <c r="EO494" i="1"/>
  <c r="EO495" i="1"/>
  <c r="EO496" i="1"/>
  <c r="EO497" i="1"/>
  <c r="EO498" i="1"/>
  <c r="EO499" i="1"/>
  <c r="EO500" i="1"/>
  <c r="EO501" i="1"/>
  <c r="EO502" i="1"/>
  <c r="EO503" i="1"/>
  <c r="EO504" i="1"/>
  <c r="EO505" i="1"/>
  <c r="EO506" i="1"/>
  <c r="EO507" i="1"/>
  <c r="EO509" i="1"/>
  <c r="EO510" i="1"/>
  <c r="EO512" i="1"/>
  <c r="EO513" i="1"/>
  <c r="EO514" i="1"/>
  <c r="EO515" i="1"/>
  <c r="EO516" i="1"/>
  <c r="EO517" i="1"/>
  <c r="EO518" i="1"/>
  <c r="EO519" i="1"/>
  <c r="EO520" i="1"/>
  <c r="EO521" i="1"/>
  <c r="EO522" i="1"/>
  <c r="EO523" i="1"/>
  <c r="EO524" i="1"/>
  <c r="EO525" i="1"/>
  <c r="EO526" i="1"/>
  <c r="EO527" i="1"/>
  <c r="EO528" i="1"/>
  <c r="EO529" i="1"/>
  <c r="EO530" i="1"/>
  <c r="EO531" i="1"/>
  <c r="EO532" i="1"/>
  <c r="EO533" i="1"/>
  <c r="EO534" i="1"/>
  <c r="EO535" i="1"/>
  <c r="EO536" i="1"/>
  <c r="EO537" i="1"/>
  <c r="EO538" i="1"/>
  <c r="EO539" i="1"/>
  <c r="EO540" i="1"/>
  <c r="EO541" i="1"/>
  <c r="EO542" i="1"/>
  <c r="EO543" i="1"/>
  <c r="EO544" i="1"/>
  <c r="EO545" i="1"/>
  <c r="EO546" i="1"/>
  <c r="EO547" i="1"/>
  <c r="EO548" i="1"/>
  <c r="EO550" i="1"/>
  <c r="EO551" i="1"/>
  <c r="EO552" i="1"/>
  <c r="EO553" i="1"/>
  <c r="EO554" i="1"/>
  <c r="EO555" i="1"/>
  <c r="EO556" i="1"/>
  <c r="EO557" i="1"/>
  <c r="EO558" i="1"/>
  <c r="EO559" i="1"/>
  <c r="EO560" i="1"/>
  <c r="EO561" i="1"/>
  <c r="EO562" i="1"/>
  <c r="EO563" i="1"/>
  <c r="EO564" i="1"/>
  <c r="EO565" i="1"/>
  <c r="EO566" i="1"/>
  <c r="EO567" i="1"/>
  <c r="EO568" i="1"/>
  <c r="EO569" i="1"/>
  <c r="EO570" i="1"/>
  <c r="EO571" i="1"/>
  <c r="EO572" i="1"/>
  <c r="EO573" i="1"/>
  <c r="EO574" i="1"/>
  <c r="EO575" i="1"/>
  <c r="EO576" i="1"/>
  <c r="EO577" i="1"/>
  <c r="EO578" i="1"/>
  <c r="EO579" i="1"/>
  <c r="EO580" i="1"/>
  <c r="EO581" i="1"/>
  <c r="EO582" i="1"/>
  <c r="EO583" i="1"/>
  <c r="EO584" i="1"/>
  <c r="EO585" i="1"/>
  <c r="EO586" i="1"/>
  <c r="EO587" i="1"/>
  <c r="EO588" i="1"/>
  <c r="EO589" i="1"/>
  <c r="EO590" i="1"/>
  <c r="EO591" i="1"/>
  <c r="EO592" i="1"/>
  <c r="EO593" i="1"/>
  <c r="EO594" i="1"/>
  <c r="EO595" i="1"/>
  <c r="EO596" i="1"/>
  <c r="EO597" i="1"/>
  <c r="EO598" i="1"/>
  <c r="EO599" i="1"/>
  <c r="EO600" i="1"/>
  <c r="CV526" i="1"/>
  <c r="CV560" i="1"/>
  <c r="CV593" i="1"/>
  <c r="CV598" i="1"/>
  <c r="EM999" i="1"/>
  <c r="EL999" i="1"/>
  <c r="EM998" i="1"/>
  <c r="EL998" i="1"/>
  <c r="EM997" i="1"/>
  <c r="EL997" i="1"/>
  <c r="EM996" i="1"/>
  <c r="EL996" i="1"/>
  <c r="EM995" i="1"/>
  <c r="EL995" i="1"/>
  <c r="EM994" i="1"/>
  <c r="EL994" i="1"/>
  <c r="EM993" i="1"/>
  <c r="EL993" i="1"/>
  <c r="EM992" i="1"/>
  <c r="EL992" i="1"/>
  <c r="EM991" i="1"/>
  <c r="EL991" i="1"/>
  <c r="EM990" i="1"/>
  <c r="EL990" i="1"/>
  <c r="EM989" i="1"/>
  <c r="EL989" i="1"/>
  <c r="EM988" i="1"/>
  <c r="EL988" i="1"/>
  <c r="EM987" i="1"/>
  <c r="EL987" i="1"/>
  <c r="EM986" i="1"/>
  <c r="EL986" i="1"/>
  <c r="EM985" i="1"/>
  <c r="EL985" i="1"/>
  <c r="EM984" i="1"/>
  <c r="EL984" i="1"/>
  <c r="EM983" i="1"/>
  <c r="EL983" i="1"/>
  <c r="EM982" i="1"/>
  <c r="EL982" i="1"/>
  <c r="EM981" i="1"/>
  <c r="EL981" i="1"/>
  <c r="EM980" i="1"/>
  <c r="EL980" i="1"/>
  <c r="EM979" i="1"/>
  <c r="EL979" i="1"/>
  <c r="EM978" i="1"/>
  <c r="EL978" i="1"/>
  <c r="EM977" i="1"/>
  <c r="EL977" i="1"/>
  <c r="EM976" i="1"/>
  <c r="EL976" i="1"/>
  <c r="EM975" i="1"/>
  <c r="EL975" i="1"/>
  <c r="EM974" i="1"/>
  <c r="EL974" i="1"/>
  <c r="EM973" i="1"/>
  <c r="EL973" i="1"/>
  <c r="EM972" i="1"/>
  <c r="EL972" i="1"/>
  <c r="EM971" i="1"/>
  <c r="EL971" i="1"/>
  <c r="EM970" i="1"/>
  <c r="EL970" i="1"/>
  <c r="EM969" i="1"/>
  <c r="EL969" i="1"/>
  <c r="EM968" i="1"/>
  <c r="EL968" i="1"/>
  <c r="EM967" i="1"/>
  <c r="EL967" i="1"/>
  <c r="EM966" i="1"/>
  <c r="EL966" i="1"/>
  <c r="EM965" i="1"/>
  <c r="EL965" i="1"/>
  <c r="EM964" i="1"/>
  <c r="EL964" i="1"/>
  <c r="EM963" i="1"/>
  <c r="EL963" i="1"/>
  <c r="EM962" i="1"/>
  <c r="EL962" i="1"/>
  <c r="EM961" i="1"/>
  <c r="EL961" i="1"/>
  <c r="EM960" i="1"/>
  <c r="EL960" i="1"/>
  <c r="EM959" i="1"/>
  <c r="EL959" i="1"/>
  <c r="EM958" i="1"/>
  <c r="EL958" i="1"/>
  <c r="EM957" i="1"/>
  <c r="EL957" i="1"/>
  <c r="EM956" i="1"/>
  <c r="EL956" i="1"/>
  <c r="EM955" i="1"/>
  <c r="EL955" i="1"/>
  <c r="EM954" i="1"/>
  <c r="EL954" i="1"/>
  <c r="EM953" i="1"/>
  <c r="EL953" i="1"/>
  <c r="EM952" i="1"/>
  <c r="EL952" i="1"/>
  <c r="EM951" i="1"/>
  <c r="EL951" i="1"/>
  <c r="EM950" i="1"/>
  <c r="EL950" i="1"/>
  <c r="EM949" i="1"/>
  <c r="EL949" i="1"/>
  <c r="EM948" i="1"/>
  <c r="EL948" i="1"/>
  <c r="EM947" i="1"/>
  <c r="EL947" i="1"/>
  <c r="EM946" i="1"/>
  <c r="EL946" i="1"/>
  <c r="EM945" i="1"/>
  <c r="EL945" i="1"/>
  <c r="EM944" i="1"/>
  <c r="EL944" i="1"/>
  <c r="EM943" i="1"/>
  <c r="EL943" i="1"/>
  <c r="EM942" i="1"/>
  <c r="EL942" i="1"/>
  <c r="EM941" i="1"/>
  <c r="EL941" i="1"/>
  <c r="EM940" i="1"/>
  <c r="EL940" i="1"/>
  <c r="EM939" i="1"/>
  <c r="EL939" i="1"/>
  <c r="EM938" i="1"/>
  <c r="EL938" i="1"/>
  <c r="EM937" i="1"/>
  <c r="EL937" i="1"/>
  <c r="EM936" i="1"/>
  <c r="EL936" i="1"/>
  <c r="EM935" i="1"/>
  <c r="EL935" i="1"/>
  <c r="EM934" i="1"/>
  <c r="EL934" i="1"/>
  <c r="EM933" i="1"/>
  <c r="EL933" i="1"/>
  <c r="EM932" i="1"/>
  <c r="EL932" i="1"/>
  <c r="EM931" i="1"/>
  <c r="EL931" i="1"/>
  <c r="EM930" i="1"/>
  <c r="EL930" i="1"/>
  <c r="EM929" i="1"/>
  <c r="EL929" i="1"/>
  <c r="EM928" i="1"/>
  <c r="EL928" i="1"/>
  <c r="EM927" i="1"/>
  <c r="EL927" i="1"/>
  <c r="EM926" i="1"/>
  <c r="EL926" i="1"/>
  <c r="EM925" i="1"/>
  <c r="EL925" i="1"/>
  <c r="EM924" i="1"/>
  <c r="EL924" i="1"/>
  <c r="EM923" i="1"/>
  <c r="EL923" i="1"/>
  <c r="EM922" i="1"/>
  <c r="EL922" i="1"/>
  <c r="EM921" i="1"/>
  <c r="EL921" i="1"/>
  <c r="EM920" i="1"/>
  <c r="EL920" i="1"/>
  <c r="EM919" i="1"/>
  <c r="EL919" i="1"/>
  <c r="EM918" i="1"/>
  <c r="EL918" i="1"/>
  <c r="EM917" i="1"/>
  <c r="EL917" i="1"/>
  <c r="EM916" i="1"/>
  <c r="EL916" i="1"/>
  <c r="EM915" i="1"/>
  <c r="EL915" i="1"/>
  <c r="EM914" i="1"/>
  <c r="EL914" i="1"/>
  <c r="EM913" i="1"/>
  <c r="EL913" i="1"/>
  <c r="EM912" i="1"/>
  <c r="EL912" i="1"/>
  <c r="EM911" i="1"/>
  <c r="EL911" i="1"/>
  <c r="EM910" i="1"/>
  <c r="EL910" i="1"/>
  <c r="EM909" i="1"/>
  <c r="EL909" i="1"/>
  <c r="EM908" i="1"/>
  <c r="EL908" i="1"/>
  <c r="EM907" i="1"/>
  <c r="EL907" i="1"/>
  <c r="EM906" i="1"/>
  <c r="EL906" i="1"/>
  <c r="EM905" i="1"/>
  <c r="EL905" i="1"/>
  <c r="EM904" i="1"/>
  <c r="EL904" i="1"/>
  <c r="EM903" i="1"/>
  <c r="EL903" i="1"/>
  <c r="EM902" i="1"/>
  <c r="EL902" i="1"/>
  <c r="EM901" i="1"/>
  <c r="EL901" i="1"/>
  <c r="EM900" i="1"/>
  <c r="EL900" i="1"/>
  <c r="EM899" i="1"/>
  <c r="EL899" i="1"/>
  <c r="EM898" i="1"/>
  <c r="EL898" i="1"/>
  <c r="EM897" i="1"/>
  <c r="EL897" i="1"/>
  <c r="EM896" i="1"/>
  <c r="EL896" i="1"/>
  <c r="EM895" i="1"/>
  <c r="EL895" i="1"/>
  <c r="EM894" i="1"/>
  <c r="EL894" i="1"/>
  <c r="EM893" i="1"/>
  <c r="EL893" i="1"/>
  <c r="EM892" i="1"/>
  <c r="EL892" i="1"/>
  <c r="EM891" i="1"/>
  <c r="EL891" i="1"/>
  <c r="EM890" i="1"/>
  <c r="EL890" i="1"/>
  <c r="EM889" i="1"/>
  <c r="EL889" i="1"/>
  <c r="EM888" i="1"/>
  <c r="EL888" i="1"/>
  <c r="EM887" i="1"/>
  <c r="EL887" i="1"/>
  <c r="EM886" i="1"/>
  <c r="EL886" i="1"/>
  <c r="EM885" i="1"/>
  <c r="EL885" i="1"/>
  <c r="EM884" i="1"/>
  <c r="EL884" i="1"/>
  <c r="EM883" i="1"/>
  <c r="EL883" i="1"/>
  <c r="EM882" i="1"/>
  <c r="EL882" i="1"/>
  <c r="EM881" i="1"/>
  <c r="EL881" i="1"/>
  <c r="EM880" i="1"/>
  <c r="EL880" i="1"/>
  <c r="EM879" i="1"/>
  <c r="EL879" i="1"/>
  <c r="EM878" i="1"/>
  <c r="EL878" i="1"/>
  <c r="EM877" i="1"/>
  <c r="EL877" i="1"/>
  <c r="EM876" i="1"/>
  <c r="EL876" i="1"/>
  <c r="EM875" i="1"/>
  <c r="EL875" i="1"/>
  <c r="EM874" i="1"/>
  <c r="EL874" i="1"/>
  <c r="EM873" i="1"/>
  <c r="EL873" i="1"/>
  <c r="EM872" i="1"/>
  <c r="EL872" i="1"/>
  <c r="EM871" i="1"/>
  <c r="EL871" i="1"/>
  <c r="EM870" i="1"/>
  <c r="EL870" i="1"/>
  <c r="EM869" i="1"/>
  <c r="EL869" i="1"/>
  <c r="EM868" i="1"/>
  <c r="EL868" i="1"/>
  <c r="EM867" i="1"/>
  <c r="EL867" i="1"/>
  <c r="EM866" i="1"/>
  <c r="EL866" i="1"/>
  <c r="EM865" i="1"/>
  <c r="EL865" i="1"/>
  <c r="EM864" i="1"/>
  <c r="EL864" i="1"/>
  <c r="EM863" i="1"/>
  <c r="EL863" i="1"/>
  <c r="EM862" i="1"/>
  <c r="EL862" i="1"/>
  <c r="EM861" i="1"/>
  <c r="EL861" i="1"/>
  <c r="EM860" i="1"/>
  <c r="EL860" i="1"/>
  <c r="EM859" i="1"/>
  <c r="EL859" i="1"/>
  <c r="EM858" i="1"/>
  <c r="EL858" i="1"/>
  <c r="EM857" i="1"/>
  <c r="EL857" i="1"/>
  <c r="EM856" i="1"/>
  <c r="EL856" i="1"/>
  <c r="EM855" i="1"/>
  <c r="EL855" i="1"/>
  <c r="EM854" i="1"/>
  <c r="EL854" i="1"/>
  <c r="EM853" i="1"/>
  <c r="EL853" i="1"/>
  <c r="EM852" i="1"/>
  <c r="EL852" i="1"/>
  <c r="EM851" i="1"/>
  <c r="EL851" i="1"/>
  <c r="EM850" i="1"/>
  <c r="EL850" i="1"/>
  <c r="EM849" i="1"/>
  <c r="EL849" i="1"/>
  <c r="EM848" i="1"/>
  <c r="EL848" i="1"/>
  <c r="EM847" i="1"/>
  <c r="EL847" i="1"/>
  <c r="EM846" i="1"/>
  <c r="EL846" i="1"/>
  <c r="EM845" i="1"/>
  <c r="EL845" i="1"/>
  <c r="EM844" i="1"/>
  <c r="EL844" i="1"/>
  <c r="EM843" i="1"/>
  <c r="EL843" i="1"/>
  <c r="EM842" i="1"/>
  <c r="EL842" i="1"/>
  <c r="EM841" i="1"/>
  <c r="EL841" i="1"/>
  <c r="EM840" i="1"/>
  <c r="EL840" i="1"/>
  <c r="EM839" i="1"/>
  <c r="EL839" i="1"/>
  <c r="EM838" i="1"/>
  <c r="EL838" i="1"/>
  <c r="EM837" i="1"/>
  <c r="EL837" i="1"/>
  <c r="EM836" i="1"/>
  <c r="EL836" i="1"/>
  <c r="EM835" i="1"/>
  <c r="EL835" i="1"/>
  <c r="EM834" i="1"/>
  <c r="EL834" i="1"/>
  <c r="EM833" i="1"/>
  <c r="EL833" i="1"/>
  <c r="EM832" i="1"/>
  <c r="EL832" i="1"/>
  <c r="EM831" i="1"/>
  <c r="EL831" i="1"/>
  <c r="EM830" i="1"/>
  <c r="EL830" i="1"/>
  <c r="EM829" i="1"/>
  <c r="EL829" i="1"/>
  <c r="EM828" i="1"/>
  <c r="EL828" i="1"/>
  <c r="EM827" i="1"/>
  <c r="EL827" i="1"/>
  <c r="EM826" i="1"/>
  <c r="EL826" i="1"/>
  <c r="EM825" i="1"/>
  <c r="EL825" i="1"/>
  <c r="EM824" i="1"/>
  <c r="EL824" i="1"/>
  <c r="EM823" i="1"/>
  <c r="EL823" i="1"/>
  <c r="EM822" i="1"/>
  <c r="EL822" i="1"/>
  <c r="EM821" i="1"/>
  <c r="EL821" i="1"/>
  <c r="EM820" i="1"/>
  <c r="EL820" i="1"/>
  <c r="EM819" i="1"/>
  <c r="EL819" i="1"/>
  <c r="EM818" i="1"/>
  <c r="EL818" i="1"/>
  <c r="EM817" i="1"/>
  <c r="EL817" i="1"/>
  <c r="EM816" i="1"/>
  <c r="EL816" i="1"/>
  <c r="EM815" i="1"/>
  <c r="EL815" i="1"/>
  <c r="EM814" i="1"/>
  <c r="EL814" i="1"/>
  <c r="EM813" i="1"/>
  <c r="EL813" i="1"/>
  <c r="EM812" i="1"/>
  <c r="EL812" i="1"/>
  <c r="EM811" i="1"/>
  <c r="EL811" i="1"/>
  <c r="EM810" i="1"/>
  <c r="EL810" i="1"/>
  <c r="EM809" i="1"/>
  <c r="EL809" i="1"/>
  <c r="EM808" i="1"/>
  <c r="EL808" i="1"/>
  <c r="EM807" i="1"/>
  <c r="EL807" i="1"/>
  <c r="EM806" i="1"/>
  <c r="EL806" i="1"/>
  <c r="EM805" i="1"/>
  <c r="EL805" i="1"/>
  <c r="EM804" i="1"/>
  <c r="EL804" i="1"/>
  <c r="EM803" i="1"/>
  <c r="EL803" i="1"/>
  <c r="EM802" i="1"/>
  <c r="EL802" i="1"/>
  <c r="EM801" i="1"/>
  <c r="EL801" i="1"/>
  <c r="EM800" i="1"/>
  <c r="EL800" i="1"/>
  <c r="EM799" i="1"/>
  <c r="EL799" i="1"/>
  <c r="EM798" i="1"/>
  <c r="EL798" i="1"/>
  <c r="EM797" i="1"/>
  <c r="EL797" i="1"/>
  <c r="EM796" i="1"/>
  <c r="EL796" i="1"/>
  <c r="EM795" i="1"/>
  <c r="EL795" i="1"/>
  <c r="EM794" i="1"/>
  <c r="EL794" i="1"/>
  <c r="EM793" i="1"/>
  <c r="EL793" i="1"/>
  <c r="EM792" i="1"/>
  <c r="EL792" i="1"/>
  <c r="EM791" i="1"/>
  <c r="EL791" i="1"/>
  <c r="EM790" i="1"/>
  <c r="EL790" i="1"/>
  <c r="EM789" i="1"/>
  <c r="EL789" i="1"/>
  <c r="EM788" i="1"/>
  <c r="EL788" i="1"/>
  <c r="EM787" i="1"/>
  <c r="EL787" i="1"/>
  <c r="EM786" i="1"/>
  <c r="EL786" i="1"/>
  <c r="EM785" i="1"/>
  <c r="EL785" i="1"/>
  <c r="EM784" i="1"/>
  <c r="EL784" i="1"/>
  <c r="EM783" i="1"/>
  <c r="EL783" i="1"/>
  <c r="EM782" i="1"/>
  <c r="EL782" i="1"/>
  <c r="EM781" i="1"/>
  <c r="EL781" i="1"/>
  <c r="EM780" i="1"/>
  <c r="EL780" i="1"/>
  <c r="EM779" i="1"/>
  <c r="EL779" i="1"/>
  <c r="EM778" i="1"/>
  <c r="EL778" i="1"/>
  <c r="EM777" i="1"/>
  <c r="EL777" i="1"/>
  <c r="EM776" i="1"/>
  <c r="EL776" i="1"/>
  <c r="EM775" i="1"/>
  <c r="EL775" i="1"/>
  <c r="EM774" i="1"/>
  <c r="EL774" i="1"/>
  <c r="EM773" i="1"/>
  <c r="EL773" i="1"/>
  <c r="EM772" i="1"/>
  <c r="EL772" i="1"/>
  <c r="EM771" i="1"/>
  <c r="EL771" i="1"/>
  <c r="EM770" i="1"/>
  <c r="EL770" i="1"/>
  <c r="EM769" i="1"/>
  <c r="EL769" i="1"/>
  <c r="EM768" i="1"/>
  <c r="EL768" i="1"/>
  <c r="EM767" i="1"/>
  <c r="EL767" i="1"/>
  <c r="EM766" i="1"/>
  <c r="EL766" i="1"/>
  <c r="EM765" i="1"/>
  <c r="EL765" i="1"/>
  <c r="EM764" i="1"/>
  <c r="EL764" i="1"/>
  <c r="EM763" i="1"/>
  <c r="EL763" i="1"/>
  <c r="EM762" i="1"/>
  <c r="EL762" i="1"/>
  <c r="EM761" i="1"/>
  <c r="EL761" i="1"/>
  <c r="EM760" i="1"/>
  <c r="EL760" i="1"/>
  <c r="EM759" i="1"/>
  <c r="EL759" i="1"/>
  <c r="EM758" i="1"/>
  <c r="EL758" i="1"/>
  <c r="EM757" i="1"/>
  <c r="EL757" i="1"/>
  <c r="EM756" i="1"/>
  <c r="EL756" i="1"/>
  <c r="EM755" i="1"/>
  <c r="EL755" i="1"/>
  <c r="EM754" i="1"/>
  <c r="EL754" i="1"/>
  <c r="EM753" i="1"/>
  <c r="EL753" i="1"/>
  <c r="EM752" i="1"/>
  <c r="EL752" i="1"/>
  <c r="EM751" i="1"/>
  <c r="EL751" i="1"/>
  <c r="EM750" i="1"/>
  <c r="EL750" i="1"/>
  <c r="EM749" i="1"/>
  <c r="EL749" i="1"/>
  <c r="EM748" i="1"/>
  <c r="EL748" i="1"/>
  <c r="EM747" i="1"/>
  <c r="EL747" i="1"/>
  <c r="EM746" i="1"/>
  <c r="EL746" i="1"/>
  <c r="EM745" i="1"/>
  <c r="EL745" i="1"/>
  <c r="EM744" i="1"/>
  <c r="EL744" i="1"/>
  <c r="EM743" i="1"/>
  <c r="EL743" i="1"/>
  <c r="EM742" i="1"/>
  <c r="EL742" i="1"/>
  <c r="EM741" i="1"/>
  <c r="EL741" i="1"/>
  <c r="EM740" i="1"/>
  <c r="EL740" i="1"/>
  <c r="EM739" i="1"/>
  <c r="EL739" i="1"/>
  <c r="EM738" i="1"/>
  <c r="EL738" i="1"/>
  <c r="EM737" i="1"/>
  <c r="EL737" i="1"/>
  <c r="EM736" i="1"/>
  <c r="EL736" i="1"/>
  <c r="EM735" i="1"/>
  <c r="EL735" i="1"/>
  <c r="EM734" i="1"/>
  <c r="EL734" i="1"/>
  <c r="EM733" i="1"/>
  <c r="EL733" i="1"/>
  <c r="EM732" i="1"/>
  <c r="EL732" i="1"/>
  <c r="EM731" i="1"/>
  <c r="EL731" i="1"/>
  <c r="EM730" i="1"/>
  <c r="EL730" i="1"/>
  <c r="EM729" i="1"/>
  <c r="EL729" i="1"/>
  <c r="EM728" i="1"/>
  <c r="EL728" i="1"/>
  <c r="EM727" i="1"/>
  <c r="EL727" i="1"/>
  <c r="EM726" i="1"/>
  <c r="EL726" i="1"/>
  <c r="EM725" i="1"/>
  <c r="EL725" i="1"/>
  <c r="EM724" i="1"/>
  <c r="EL724" i="1"/>
  <c r="EM723" i="1"/>
  <c r="EL723" i="1"/>
  <c r="EM722" i="1"/>
  <c r="EL722" i="1"/>
  <c r="EM721" i="1"/>
  <c r="EL721" i="1"/>
  <c r="EM720" i="1"/>
  <c r="EL720" i="1"/>
  <c r="EM719" i="1"/>
  <c r="EL719" i="1"/>
  <c r="EM718" i="1"/>
  <c r="EL718" i="1"/>
  <c r="EM717" i="1"/>
  <c r="EL717" i="1"/>
  <c r="EM716" i="1"/>
  <c r="EL716" i="1"/>
  <c r="EM715" i="1"/>
  <c r="EL715" i="1"/>
  <c r="EM714" i="1"/>
  <c r="EL714" i="1"/>
  <c r="EM713" i="1"/>
  <c r="EL713" i="1"/>
  <c r="EM712" i="1"/>
  <c r="EL712" i="1"/>
  <c r="EM711" i="1"/>
  <c r="EL711" i="1"/>
  <c r="EM710" i="1"/>
  <c r="EL710" i="1"/>
  <c r="EM709" i="1"/>
  <c r="EL709" i="1"/>
  <c r="EM708" i="1"/>
  <c r="EL708" i="1"/>
  <c r="EM707" i="1"/>
  <c r="EL707" i="1"/>
  <c r="EM706" i="1"/>
  <c r="EL706" i="1"/>
  <c r="EM705" i="1"/>
  <c r="EL705" i="1"/>
  <c r="EM704" i="1"/>
  <c r="EL704" i="1"/>
  <c r="EM703" i="1"/>
  <c r="EL703" i="1"/>
  <c r="EM702" i="1"/>
  <c r="EL702" i="1"/>
  <c r="EM701" i="1"/>
  <c r="EL701" i="1"/>
  <c r="EM700" i="1"/>
  <c r="EL700" i="1"/>
  <c r="EM699" i="1"/>
  <c r="EL699" i="1"/>
  <c r="EM698" i="1"/>
  <c r="EL698" i="1"/>
  <c r="EM697" i="1"/>
  <c r="EL697" i="1"/>
  <c r="EM696" i="1"/>
  <c r="EL696" i="1"/>
  <c r="EM695" i="1"/>
  <c r="EL695" i="1"/>
  <c r="EM694" i="1"/>
  <c r="EL694" i="1"/>
  <c r="EM693" i="1"/>
  <c r="EL693" i="1"/>
  <c r="EM692" i="1"/>
  <c r="EL692" i="1"/>
  <c r="EM691" i="1"/>
  <c r="EL691" i="1"/>
  <c r="EM690" i="1"/>
  <c r="EL690" i="1"/>
  <c r="EM689" i="1"/>
  <c r="EL689" i="1"/>
  <c r="EM688" i="1"/>
  <c r="EL688" i="1"/>
  <c r="EM687" i="1"/>
  <c r="EL687" i="1"/>
  <c r="EM686" i="1"/>
  <c r="EL686" i="1"/>
  <c r="EM685" i="1"/>
  <c r="EL685" i="1"/>
  <c r="EM684" i="1"/>
  <c r="EL684" i="1"/>
  <c r="EM683" i="1"/>
  <c r="EL683" i="1"/>
  <c r="EM682" i="1"/>
  <c r="EL682" i="1"/>
  <c r="EM681" i="1"/>
  <c r="EL681" i="1"/>
  <c r="EM680" i="1"/>
  <c r="EL680" i="1"/>
  <c r="EM679" i="1"/>
  <c r="EL679" i="1"/>
  <c r="EM678" i="1"/>
  <c r="EL678" i="1"/>
  <c r="EM677" i="1"/>
  <c r="EL677" i="1"/>
  <c r="EM676" i="1"/>
  <c r="EL676" i="1"/>
  <c r="EM675" i="1"/>
  <c r="EL675" i="1"/>
  <c r="EM674" i="1"/>
  <c r="EL674" i="1"/>
  <c r="EM673" i="1"/>
  <c r="EL673" i="1"/>
  <c r="EM672" i="1"/>
  <c r="EL672" i="1"/>
  <c r="EM671" i="1"/>
  <c r="EL671" i="1"/>
  <c r="EM670" i="1"/>
  <c r="EL670" i="1"/>
  <c r="EM669" i="1"/>
  <c r="EL669" i="1"/>
  <c r="EM668" i="1"/>
  <c r="EL668" i="1"/>
  <c r="EM667" i="1"/>
  <c r="EL667" i="1"/>
  <c r="EM666" i="1"/>
  <c r="EL666" i="1"/>
  <c r="EM665" i="1"/>
  <c r="EL665" i="1"/>
  <c r="EM664" i="1"/>
  <c r="EL664" i="1"/>
  <c r="EM663" i="1"/>
  <c r="EL663" i="1"/>
  <c r="EM662" i="1"/>
  <c r="EL662" i="1"/>
  <c r="EM661" i="1"/>
  <c r="EL661" i="1"/>
  <c r="EM660" i="1"/>
  <c r="EL660" i="1"/>
  <c r="EM659" i="1"/>
  <c r="EL659" i="1"/>
  <c r="EM658" i="1"/>
  <c r="EL658" i="1"/>
  <c r="EM657" i="1"/>
  <c r="EL657" i="1"/>
  <c r="EM656" i="1"/>
  <c r="EL656" i="1"/>
  <c r="EM655" i="1"/>
  <c r="EL655" i="1"/>
  <c r="EM654" i="1"/>
  <c r="EL654" i="1"/>
  <c r="EM653" i="1"/>
  <c r="EL653" i="1"/>
  <c r="EM652" i="1"/>
  <c r="EL652" i="1"/>
  <c r="EM651" i="1"/>
  <c r="EL651" i="1"/>
  <c r="EM650" i="1"/>
  <c r="EL650" i="1"/>
  <c r="EM649" i="1"/>
  <c r="EL649" i="1"/>
  <c r="EM648" i="1"/>
  <c r="EL648" i="1"/>
  <c r="EM647" i="1"/>
  <c r="EL647" i="1"/>
  <c r="EM646" i="1"/>
  <c r="EL646" i="1"/>
  <c r="EM645" i="1"/>
  <c r="EL645" i="1"/>
  <c r="EM644" i="1"/>
  <c r="EL644" i="1"/>
  <c r="EM643" i="1"/>
  <c r="EL643" i="1"/>
  <c r="EM642" i="1"/>
  <c r="EL642" i="1"/>
  <c r="EM641" i="1"/>
  <c r="EL641" i="1"/>
  <c r="EM640" i="1"/>
  <c r="EL640" i="1"/>
  <c r="EM639" i="1"/>
  <c r="EL639" i="1"/>
  <c r="EM638" i="1"/>
  <c r="EL638" i="1"/>
  <c r="EM637" i="1"/>
  <c r="EL637" i="1"/>
  <c r="EM636" i="1"/>
  <c r="EL636" i="1"/>
  <c r="EM635" i="1"/>
  <c r="EL635" i="1"/>
  <c r="EM634" i="1"/>
  <c r="EL634" i="1"/>
  <c r="EM633" i="1"/>
  <c r="EL633" i="1"/>
  <c r="EM632" i="1"/>
  <c r="EL632" i="1"/>
  <c r="EM631" i="1"/>
  <c r="EL631" i="1"/>
  <c r="EM630" i="1"/>
  <c r="EL630" i="1"/>
  <c r="EM629" i="1"/>
  <c r="EL629" i="1"/>
  <c r="EM628" i="1"/>
  <c r="EL628" i="1"/>
  <c r="EM627" i="1"/>
  <c r="EL627" i="1"/>
  <c r="EM626" i="1"/>
  <c r="EL626" i="1"/>
  <c r="EM625" i="1"/>
  <c r="EL625" i="1"/>
  <c r="EM624" i="1"/>
  <c r="EL624" i="1"/>
  <c r="EM623" i="1"/>
  <c r="EL623" i="1"/>
  <c r="EM622" i="1"/>
  <c r="EL622" i="1"/>
  <c r="EM596" i="1"/>
  <c r="EL596" i="1"/>
  <c r="EM575" i="1"/>
  <c r="EL575" i="1"/>
  <c r="EM541" i="1"/>
  <c r="EL541" i="1"/>
  <c r="EM514" i="1"/>
  <c r="EL514" i="1"/>
  <c r="EM513" i="1"/>
  <c r="EL513" i="1"/>
  <c r="EM511" i="1"/>
  <c r="EL511" i="1"/>
  <c r="CU598" i="1"/>
  <c r="CU593" i="1"/>
  <c r="CU560" i="1"/>
  <c r="CU526" i="1"/>
  <c r="DW916" i="1"/>
  <c r="DX916" i="1"/>
  <c r="DW917" i="1"/>
  <c r="DX917" i="1"/>
  <c r="DW918" i="1"/>
  <c r="DX918" i="1"/>
  <c r="DW919" i="1"/>
  <c r="DX919" i="1"/>
  <c r="DW920" i="1"/>
  <c r="DX920" i="1"/>
  <c r="DW921" i="1"/>
  <c r="DX921" i="1"/>
  <c r="DW922" i="1"/>
  <c r="DX922" i="1"/>
  <c r="DW923" i="1"/>
  <c r="DX923" i="1"/>
  <c r="DW924" i="1"/>
  <c r="DX924" i="1"/>
  <c r="DW925" i="1"/>
  <c r="DX925" i="1"/>
  <c r="DW926" i="1"/>
  <c r="DX926" i="1"/>
  <c r="DW927" i="1"/>
  <c r="DX927" i="1"/>
  <c r="DW928" i="1"/>
  <c r="DX928" i="1"/>
  <c r="DW929" i="1"/>
  <c r="DX929" i="1"/>
  <c r="DW930" i="1"/>
  <c r="DX930" i="1"/>
  <c r="DW931" i="1"/>
  <c r="DX931" i="1"/>
  <c r="DW932" i="1"/>
  <c r="DX932" i="1"/>
  <c r="DW933" i="1"/>
  <c r="DX933" i="1"/>
  <c r="DW934" i="1"/>
  <c r="DX934" i="1"/>
  <c r="DW935" i="1"/>
  <c r="DX935" i="1"/>
  <c r="DW936" i="1"/>
  <c r="DX936" i="1"/>
  <c r="DW937" i="1"/>
  <c r="DX937" i="1"/>
  <c r="DW938" i="1"/>
  <c r="DX938" i="1"/>
  <c r="DW939" i="1"/>
  <c r="DX939" i="1"/>
  <c r="DW940" i="1"/>
  <c r="DX940" i="1"/>
  <c r="DW941" i="1"/>
  <c r="DX941" i="1"/>
  <c r="DW942" i="1"/>
  <c r="DX942" i="1"/>
  <c r="DW943" i="1"/>
  <c r="DX943" i="1"/>
  <c r="DW944" i="1"/>
  <c r="DX944" i="1"/>
  <c r="DW945" i="1"/>
  <c r="DX945" i="1"/>
  <c r="DW946" i="1"/>
  <c r="DX946" i="1"/>
  <c r="DW947" i="1"/>
  <c r="DX947" i="1"/>
  <c r="DW948" i="1"/>
  <c r="DX948" i="1"/>
  <c r="DW949" i="1"/>
  <c r="DX949" i="1"/>
  <c r="DW950" i="1"/>
  <c r="DX950" i="1"/>
  <c r="DW951" i="1"/>
  <c r="DX951" i="1"/>
  <c r="DW952" i="1"/>
  <c r="DX952" i="1"/>
  <c r="DW953" i="1"/>
  <c r="DX953" i="1"/>
  <c r="DW954" i="1"/>
  <c r="DX954" i="1"/>
  <c r="DW955" i="1"/>
  <c r="DX955" i="1"/>
  <c r="DW956" i="1"/>
  <c r="DX956" i="1"/>
  <c r="DW957" i="1"/>
  <c r="DX957" i="1"/>
  <c r="DW958" i="1"/>
  <c r="DX958" i="1"/>
  <c r="DW959" i="1"/>
  <c r="DX959" i="1"/>
  <c r="DW960" i="1"/>
  <c r="DX960" i="1"/>
  <c r="DW961" i="1"/>
  <c r="DX961" i="1"/>
  <c r="DW962" i="1"/>
  <c r="DX962" i="1"/>
  <c r="DW963" i="1"/>
  <c r="DX963" i="1"/>
  <c r="DW964" i="1"/>
  <c r="DX964" i="1"/>
  <c r="DW965" i="1"/>
  <c r="DX965" i="1"/>
  <c r="DW966" i="1"/>
  <c r="DX966" i="1"/>
  <c r="DW967" i="1"/>
  <c r="DX967" i="1"/>
  <c r="DW968" i="1"/>
  <c r="DX968" i="1"/>
  <c r="DW969" i="1"/>
  <c r="DX969" i="1"/>
  <c r="DW970" i="1"/>
  <c r="DX970" i="1"/>
  <c r="DW971" i="1"/>
  <c r="DX971" i="1"/>
  <c r="DW972" i="1"/>
  <c r="DX972" i="1"/>
  <c r="DW973" i="1"/>
  <c r="DX973" i="1"/>
  <c r="DW974" i="1"/>
  <c r="DX974" i="1"/>
  <c r="DW975" i="1"/>
  <c r="DX975" i="1"/>
  <c r="DW976" i="1"/>
  <c r="DX976" i="1"/>
  <c r="DW977" i="1"/>
  <c r="DX977" i="1"/>
  <c r="DW978" i="1"/>
  <c r="DX978" i="1"/>
  <c r="DW979" i="1"/>
  <c r="DX979" i="1"/>
  <c r="DW980" i="1"/>
  <c r="DX980" i="1"/>
  <c r="DW981" i="1"/>
  <c r="DX981" i="1"/>
  <c r="DW982" i="1"/>
  <c r="DX982" i="1"/>
  <c r="DW983" i="1"/>
  <c r="DX983" i="1"/>
  <c r="DW984" i="1"/>
  <c r="DX984" i="1"/>
  <c r="DW985" i="1"/>
  <c r="DX985" i="1"/>
  <c r="DW986" i="1"/>
  <c r="DX986" i="1"/>
  <c r="DW987" i="1"/>
  <c r="DX987" i="1"/>
  <c r="DW988" i="1"/>
  <c r="DX988" i="1"/>
  <c r="DW989" i="1"/>
  <c r="DX989" i="1"/>
  <c r="DW990" i="1"/>
  <c r="DX990" i="1"/>
  <c r="DW991" i="1"/>
  <c r="DX991" i="1"/>
  <c r="DW992" i="1"/>
  <c r="DX992" i="1"/>
  <c r="DW993" i="1"/>
  <c r="DX993" i="1"/>
  <c r="DW994" i="1"/>
  <c r="DX994" i="1"/>
  <c r="DW995" i="1"/>
  <c r="DX995" i="1"/>
  <c r="DW996" i="1"/>
  <c r="DX996" i="1"/>
  <c r="DW997" i="1"/>
  <c r="DX997" i="1"/>
  <c r="DW998" i="1"/>
  <c r="DX998" i="1"/>
  <c r="DW999" i="1"/>
  <c r="DX999" i="1"/>
  <c r="DW511" i="1"/>
  <c r="DX511" i="1"/>
  <c r="DW513" i="1"/>
  <c r="DX513" i="1"/>
  <c r="DW514" i="1"/>
  <c r="DX514" i="1"/>
  <c r="DW541" i="1"/>
  <c r="DX541" i="1"/>
  <c r="DW575" i="1"/>
  <c r="DX575" i="1"/>
  <c r="DW596" i="1"/>
  <c r="DX596" i="1"/>
  <c r="DW622" i="1"/>
  <c r="DX622" i="1"/>
  <c r="DW623" i="1"/>
  <c r="DX623" i="1"/>
  <c r="DW624" i="1"/>
  <c r="DX624" i="1"/>
  <c r="DW625" i="1"/>
  <c r="DX625" i="1"/>
  <c r="DW626" i="1"/>
  <c r="DX626" i="1"/>
  <c r="DW627" i="1"/>
  <c r="DX627" i="1"/>
  <c r="DW628" i="1"/>
  <c r="DX628" i="1"/>
  <c r="DW629" i="1"/>
  <c r="DX629" i="1"/>
  <c r="DW630" i="1"/>
  <c r="DX630" i="1"/>
  <c r="DW631" i="1"/>
  <c r="DX631" i="1"/>
  <c r="DW632" i="1"/>
  <c r="DX632" i="1"/>
  <c r="DW633" i="1"/>
  <c r="DX633" i="1"/>
  <c r="DW634" i="1"/>
  <c r="DX634" i="1"/>
  <c r="DW635" i="1"/>
  <c r="DX635" i="1"/>
  <c r="DW636" i="1"/>
  <c r="DX636" i="1"/>
  <c r="DW637" i="1"/>
  <c r="DX637" i="1"/>
  <c r="DW638" i="1"/>
  <c r="DX638" i="1"/>
  <c r="DW639" i="1"/>
  <c r="DX639" i="1"/>
  <c r="DW640" i="1"/>
  <c r="DX640" i="1"/>
  <c r="DW641" i="1"/>
  <c r="DX641" i="1"/>
  <c r="DW642" i="1"/>
  <c r="DX642" i="1"/>
  <c r="DW643" i="1"/>
  <c r="DX643" i="1"/>
  <c r="DW644" i="1"/>
  <c r="DX644" i="1"/>
  <c r="DW645" i="1"/>
  <c r="DX645" i="1"/>
  <c r="DW646" i="1"/>
  <c r="DX646" i="1"/>
  <c r="DW647" i="1"/>
  <c r="DX647" i="1"/>
  <c r="DW648" i="1"/>
  <c r="DX648" i="1"/>
  <c r="DW649" i="1"/>
  <c r="DX649" i="1"/>
  <c r="DW650" i="1"/>
  <c r="DX650" i="1"/>
  <c r="DW651" i="1"/>
  <c r="DX651" i="1"/>
  <c r="DW652" i="1"/>
  <c r="DX652" i="1"/>
  <c r="DW653" i="1"/>
  <c r="DX653" i="1"/>
  <c r="DW654" i="1"/>
  <c r="DX654" i="1"/>
  <c r="DW655" i="1"/>
  <c r="DX655" i="1"/>
  <c r="DW656" i="1"/>
  <c r="DX656" i="1"/>
  <c r="DW657" i="1"/>
  <c r="DX657" i="1"/>
  <c r="DW658" i="1"/>
  <c r="DX658" i="1"/>
  <c r="DW659" i="1"/>
  <c r="DX659" i="1"/>
  <c r="DW660" i="1"/>
  <c r="DX660" i="1"/>
  <c r="DW661" i="1"/>
  <c r="DX661" i="1"/>
  <c r="DW662" i="1"/>
  <c r="DX662" i="1"/>
  <c r="DW663" i="1"/>
  <c r="DX663" i="1"/>
  <c r="DW664" i="1"/>
  <c r="DX664" i="1"/>
  <c r="DW665" i="1"/>
  <c r="DX665" i="1"/>
  <c r="DW666" i="1"/>
  <c r="DX666" i="1"/>
  <c r="DW667" i="1"/>
  <c r="DX667" i="1"/>
  <c r="DW668" i="1"/>
  <c r="DX668" i="1"/>
  <c r="DW669" i="1"/>
  <c r="DX669" i="1"/>
  <c r="DW670" i="1"/>
  <c r="DX670" i="1"/>
  <c r="DW671" i="1"/>
  <c r="DX671" i="1"/>
  <c r="DW672" i="1"/>
  <c r="DX672" i="1"/>
  <c r="DW673" i="1"/>
  <c r="DX673" i="1"/>
  <c r="DW674" i="1"/>
  <c r="DX674" i="1"/>
  <c r="DW675" i="1"/>
  <c r="DX675" i="1"/>
  <c r="DW676" i="1"/>
  <c r="DX676" i="1"/>
  <c r="DW677" i="1"/>
  <c r="DX677" i="1"/>
  <c r="DW678" i="1"/>
  <c r="DX678" i="1"/>
  <c r="DW679" i="1"/>
  <c r="DX679" i="1"/>
  <c r="DW680" i="1"/>
  <c r="DX680" i="1"/>
  <c r="DW681" i="1"/>
  <c r="DX681" i="1"/>
  <c r="DW682" i="1"/>
  <c r="DX682" i="1"/>
  <c r="DW683" i="1"/>
  <c r="DX683" i="1"/>
  <c r="DW684" i="1"/>
  <c r="DX684" i="1"/>
  <c r="DW685" i="1"/>
  <c r="DX685" i="1"/>
  <c r="DW686" i="1"/>
  <c r="DX686" i="1"/>
  <c r="DW687" i="1"/>
  <c r="DX687" i="1"/>
  <c r="DW688" i="1"/>
  <c r="DX688" i="1"/>
  <c r="DW689" i="1"/>
  <c r="DX689" i="1"/>
  <c r="DW690" i="1"/>
  <c r="DX690" i="1"/>
  <c r="DW691" i="1"/>
  <c r="DX691" i="1"/>
  <c r="DW692" i="1"/>
  <c r="DX692" i="1"/>
  <c r="DW693" i="1"/>
  <c r="DX693" i="1"/>
  <c r="DW694" i="1"/>
  <c r="DX694" i="1"/>
  <c r="DW695" i="1"/>
  <c r="DX695" i="1"/>
  <c r="DW696" i="1"/>
  <c r="DX696" i="1"/>
  <c r="DW697" i="1"/>
  <c r="DX697" i="1"/>
  <c r="DW698" i="1"/>
  <c r="DX698" i="1"/>
  <c r="DW699" i="1"/>
  <c r="DX699" i="1"/>
  <c r="DW700" i="1"/>
  <c r="DX700" i="1"/>
  <c r="DW701" i="1"/>
  <c r="DX701" i="1"/>
  <c r="DW702" i="1"/>
  <c r="DX702" i="1"/>
  <c r="DW703" i="1"/>
  <c r="DX703" i="1"/>
  <c r="DW704" i="1"/>
  <c r="DX704" i="1"/>
  <c r="DW705" i="1"/>
  <c r="DX705" i="1"/>
  <c r="DW706" i="1"/>
  <c r="DX706" i="1"/>
  <c r="DW707" i="1"/>
  <c r="DX707" i="1"/>
  <c r="DW708" i="1"/>
  <c r="DX708" i="1"/>
  <c r="DW709" i="1"/>
  <c r="DX709" i="1"/>
  <c r="DW710" i="1"/>
  <c r="DX710" i="1"/>
  <c r="DW711" i="1"/>
  <c r="DX711" i="1"/>
  <c r="DW712" i="1"/>
  <c r="DX712" i="1"/>
  <c r="DW713" i="1"/>
  <c r="DX713" i="1"/>
  <c r="DW714" i="1"/>
  <c r="DX714" i="1"/>
  <c r="DW715" i="1"/>
  <c r="DX715" i="1"/>
  <c r="DW716" i="1"/>
  <c r="DX716" i="1"/>
  <c r="DW717" i="1"/>
  <c r="DX717" i="1"/>
  <c r="DW718" i="1"/>
  <c r="DX718" i="1"/>
  <c r="DW719" i="1"/>
  <c r="DX719" i="1"/>
  <c r="DW720" i="1"/>
  <c r="DX720" i="1"/>
  <c r="DW721" i="1"/>
  <c r="DX721" i="1"/>
  <c r="DW722" i="1"/>
  <c r="DX722" i="1"/>
  <c r="DW723" i="1"/>
  <c r="DX723" i="1"/>
  <c r="DW724" i="1"/>
  <c r="DX724" i="1"/>
  <c r="DW725" i="1"/>
  <c r="DX725" i="1"/>
  <c r="DW726" i="1"/>
  <c r="DX726" i="1"/>
  <c r="DW727" i="1"/>
  <c r="DX727" i="1"/>
  <c r="DW728" i="1"/>
  <c r="DX728" i="1"/>
  <c r="DW729" i="1"/>
  <c r="DX729" i="1"/>
  <c r="DW730" i="1"/>
  <c r="DX730" i="1"/>
  <c r="DW731" i="1"/>
  <c r="DX731" i="1"/>
  <c r="DW732" i="1"/>
  <c r="DX732" i="1"/>
  <c r="DW733" i="1"/>
  <c r="DX733" i="1"/>
  <c r="DW734" i="1"/>
  <c r="DX734" i="1"/>
  <c r="DW735" i="1"/>
  <c r="DX735" i="1"/>
  <c r="DW736" i="1"/>
  <c r="DX736" i="1"/>
  <c r="DW737" i="1"/>
  <c r="DX737" i="1"/>
  <c r="DW738" i="1"/>
  <c r="DX738" i="1"/>
  <c r="DW739" i="1"/>
  <c r="DX739" i="1"/>
  <c r="DW740" i="1"/>
  <c r="DX740" i="1"/>
  <c r="DW741" i="1"/>
  <c r="DX741" i="1"/>
  <c r="DW742" i="1"/>
  <c r="DX742" i="1"/>
  <c r="DW743" i="1"/>
  <c r="DX743" i="1"/>
  <c r="DW744" i="1"/>
  <c r="DX744" i="1"/>
  <c r="DW745" i="1"/>
  <c r="DX745" i="1"/>
  <c r="DW746" i="1"/>
  <c r="DX746" i="1"/>
  <c r="DW747" i="1"/>
  <c r="DX747" i="1"/>
  <c r="DW748" i="1"/>
  <c r="DX748" i="1"/>
  <c r="DW749" i="1"/>
  <c r="DX749" i="1"/>
  <c r="DW750" i="1"/>
  <c r="DX750" i="1"/>
  <c r="DW751" i="1"/>
  <c r="DX751" i="1"/>
  <c r="DW752" i="1"/>
  <c r="DX752" i="1"/>
  <c r="DW753" i="1"/>
  <c r="DX753" i="1"/>
  <c r="DW754" i="1"/>
  <c r="DX754" i="1"/>
  <c r="DW755" i="1"/>
  <c r="DX755" i="1"/>
  <c r="DW756" i="1"/>
  <c r="DX756" i="1"/>
  <c r="DW757" i="1"/>
  <c r="DX757" i="1"/>
  <c r="DW758" i="1"/>
  <c r="DX758" i="1"/>
  <c r="DW759" i="1"/>
  <c r="DX759" i="1"/>
  <c r="DW760" i="1"/>
  <c r="DX760" i="1"/>
  <c r="DW761" i="1"/>
  <c r="DX761" i="1"/>
  <c r="DW762" i="1"/>
  <c r="DX762" i="1"/>
  <c r="DW763" i="1"/>
  <c r="DX763" i="1"/>
  <c r="DW764" i="1"/>
  <c r="DX764" i="1"/>
  <c r="DW765" i="1"/>
  <c r="DX765" i="1"/>
  <c r="DW766" i="1"/>
  <c r="DX766" i="1"/>
  <c r="DW767" i="1"/>
  <c r="DX767" i="1"/>
  <c r="DW768" i="1"/>
  <c r="DX768" i="1"/>
  <c r="DW769" i="1"/>
  <c r="DX769" i="1"/>
  <c r="DW770" i="1"/>
  <c r="DX770" i="1"/>
  <c r="DW771" i="1"/>
  <c r="DX771" i="1"/>
  <c r="DW772" i="1"/>
  <c r="DX772" i="1"/>
  <c r="DW773" i="1"/>
  <c r="DX773" i="1"/>
  <c r="DW774" i="1"/>
  <c r="DX774" i="1"/>
  <c r="DW775" i="1"/>
  <c r="DX775" i="1"/>
  <c r="DW776" i="1"/>
  <c r="DX776" i="1"/>
  <c r="DW777" i="1"/>
  <c r="DX777" i="1"/>
  <c r="DW778" i="1"/>
  <c r="DX778" i="1"/>
  <c r="DW779" i="1"/>
  <c r="DX779" i="1"/>
  <c r="DW780" i="1"/>
  <c r="DX780" i="1"/>
  <c r="DW781" i="1"/>
  <c r="DX781" i="1"/>
  <c r="DW782" i="1"/>
  <c r="DX782" i="1"/>
  <c r="DW783" i="1"/>
  <c r="DX783" i="1"/>
  <c r="DW784" i="1"/>
  <c r="DX784" i="1"/>
  <c r="DW785" i="1"/>
  <c r="DX785" i="1"/>
  <c r="DW786" i="1"/>
  <c r="DX786" i="1"/>
  <c r="DW787" i="1"/>
  <c r="DX787" i="1"/>
  <c r="DW788" i="1"/>
  <c r="DX788" i="1"/>
  <c r="DW789" i="1"/>
  <c r="DX789" i="1"/>
  <c r="DW790" i="1"/>
  <c r="DX790" i="1"/>
  <c r="DW791" i="1"/>
  <c r="DX791" i="1"/>
  <c r="DW792" i="1"/>
  <c r="DX792" i="1"/>
  <c r="DW793" i="1"/>
  <c r="DX793" i="1"/>
  <c r="DW794" i="1"/>
  <c r="DX794" i="1"/>
  <c r="DW795" i="1"/>
  <c r="DX795" i="1"/>
  <c r="DW796" i="1"/>
  <c r="DX796" i="1"/>
  <c r="DW797" i="1"/>
  <c r="DX797" i="1"/>
  <c r="DW798" i="1"/>
  <c r="DX798" i="1"/>
  <c r="DW799" i="1"/>
  <c r="DX799" i="1"/>
  <c r="DW800" i="1"/>
  <c r="DX800" i="1"/>
  <c r="DW801" i="1"/>
  <c r="DX801" i="1"/>
  <c r="DW802" i="1"/>
  <c r="DX802" i="1"/>
  <c r="DW803" i="1"/>
  <c r="DX803" i="1"/>
  <c r="DW804" i="1"/>
  <c r="DX804" i="1"/>
  <c r="DW805" i="1"/>
  <c r="DX805" i="1"/>
  <c r="DW806" i="1"/>
  <c r="DX806" i="1"/>
  <c r="DW807" i="1"/>
  <c r="DX807" i="1"/>
  <c r="DW808" i="1"/>
  <c r="DX808" i="1"/>
  <c r="DW809" i="1"/>
  <c r="DX809" i="1"/>
  <c r="DW810" i="1"/>
  <c r="DX810" i="1"/>
  <c r="DW811" i="1"/>
  <c r="DX811" i="1"/>
  <c r="DW812" i="1"/>
  <c r="DX812" i="1"/>
  <c r="DW813" i="1"/>
  <c r="DX813" i="1"/>
  <c r="DW814" i="1"/>
  <c r="DX814" i="1"/>
  <c r="DW815" i="1"/>
  <c r="DX815" i="1"/>
  <c r="DW816" i="1"/>
  <c r="DX816" i="1"/>
  <c r="DW817" i="1"/>
  <c r="DX817" i="1"/>
  <c r="DW818" i="1"/>
  <c r="DX818" i="1"/>
  <c r="DW819" i="1"/>
  <c r="DX819" i="1"/>
  <c r="DW820" i="1"/>
  <c r="DX820" i="1"/>
  <c r="DW821" i="1"/>
  <c r="DX821" i="1"/>
  <c r="DW822" i="1"/>
  <c r="DX822" i="1"/>
  <c r="DW823" i="1"/>
  <c r="DX823" i="1"/>
  <c r="DW824" i="1"/>
  <c r="DX824" i="1"/>
  <c r="DW825" i="1"/>
  <c r="DX825" i="1"/>
  <c r="DW826" i="1"/>
  <c r="DX826" i="1"/>
  <c r="DW827" i="1"/>
  <c r="DX827" i="1"/>
  <c r="DW828" i="1"/>
  <c r="DX828" i="1"/>
  <c r="DW829" i="1"/>
  <c r="DX829" i="1"/>
  <c r="DW830" i="1"/>
  <c r="DX830" i="1"/>
  <c r="DW831" i="1"/>
  <c r="DX831" i="1"/>
  <c r="DW832" i="1"/>
  <c r="DX832" i="1"/>
  <c r="DW833" i="1"/>
  <c r="DX833" i="1"/>
  <c r="DW834" i="1"/>
  <c r="DX834" i="1"/>
  <c r="DW835" i="1"/>
  <c r="DX835" i="1"/>
  <c r="DW836" i="1"/>
  <c r="DX836" i="1"/>
  <c r="DW837" i="1"/>
  <c r="DX837" i="1"/>
  <c r="DW838" i="1"/>
  <c r="DX838" i="1"/>
  <c r="DW839" i="1"/>
  <c r="DX839" i="1"/>
  <c r="DW840" i="1"/>
  <c r="DX840" i="1"/>
  <c r="DW841" i="1"/>
  <c r="DX841" i="1"/>
  <c r="DW842" i="1"/>
  <c r="DX842" i="1"/>
  <c r="DW843" i="1"/>
  <c r="DX843" i="1"/>
  <c r="DW844" i="1"/>
  <c r="DX844" i="1"/>
  <c r="DW845" i="1"/>
  <c r="DX845" i="1"/>
  <c r="DW846" i="1"/>
  <c r="DX846" i="1"/>
  <c r="DW847" i="1"/>
  <c r="DX847" i="1"/>
  <c r="DW848" i="1"/>
  <c r="DX848" i="1"/>
  <c r="DW849" i="1"/>
  <c r="DX849" i="1"/>
  <c r="DW850" i="1"/>
  <c r="DX850" i="1"/>
  <c r="DW851" i="1"/>
  <c r="DX851" i="1"/>
  <c r="DW852" i="1"/>
  <c r="DX852" i="1"/>
  <c r="DW853" i="1"/>
  <c r="DX853" i="1"/>
  <c r="DW854" i="1"/>
  <c r="DX854" i="1"/>
  <c r="DW855" i="1"/>
  <c r="DX855" i="1"/>
  <c r="DW856" i="1"/>
  <c r="DX856" i="1"/>
  <c r="DW857" i="1"/>
  <c r="DX857" i="1"/>
  <c r="DW858" i="1"/>
  <c r="DX858" i="1"/>
  <c r="DW859" i="1"/>
  <c r="DX859" i="1"/>
  <c r="DW860" i="1"/>
  <c r="DX860" i="1"/>
  <c r="DW861" i="1"/>
  <c r="DX861" i="1"/>
  <c r="DW862" i="1"/>
  <c r="DX862" i="1"/>
  <c r="DW863" i="1"/>
  <c r="DX863" i="1"/>
  <c r="DW864" i="1"/>
  <c r="DX864" i="1"/>
  <c r="DW865" i="1"/>
  <c r="DX865" i="1"/>
  <c r="DW866" i="1"/>
  <c r="DX866" i="1"/>
  <c r="DW867" i="1"/>
  <c r="DX867" i="1"/>
  <c r="DW868" i="1"/>
  <c r="DX868" i="1"/>
  <c r="DW869" i="1"/>
  <c r="DX869" i="1"/>
  <c r="DW870" i="1"/>
  <c r="DX870" i="1"/>
  <c r="DW871" i="1"/>
  <c r="DX871" i="1"/>
  <c r="DW872" i="1"/>
  <c r="DX872" i="1"/>
  <c r="DW873" i="1"/>
  <c r="DX873" i="1"/>
  <c r="DW874" i="1"/>
  <c r="DX874" i="1"/>
  <c r="DW875" i="1"/>
  <c r="DX875" i="1"/>
  <c r="DW876" i="1"/>
  <c r="DX876" i="1"/>
  <c r="DW877" i="1"/>
  <c r="DX877" i="1"/>
  <c r="DW878" i="1"/>
  <c r="DX878" i="1"/>
  <c r="DW879" i="1"/>
  <c r="DX879" i="1"/>
  <c r="DW880" i="1"/>
  <c r="DX880" i="1"/>
  <c r="DW881" i="1"/>
  <c r="DX881" i="1"/>
  <c r="DW882" i="1"/>
  <c r="DX882" i="1"/>
  <c r="DW883" i="1"/>
  <c r="DX883" i="1"/>
  <c r="DW884" i="1"/>
  <c r="DX884" i="1"/>
  <c r="DW885" i="1"/>
  <c r="DX885" i="1"/>
  <c r="DW886" i="1"/>
  <c r="DX886" i="1"/>
  <c r="DW887" i="1"/>
  <c r="DX887" i="1"/>
  <c r="DW888" i="1"/>
  <c r="DX888" i="1"/>
  <c r="DW889" i="1"/>
  <c r="DX889" i="1"/>
  <c r="DW890" i="1"/>
  <c r="DX890" i="1"/>
  <c r="DW891" i="1"/>
  <c r="DX891" i="1"/>
  <c r="DW892" i="1"/>
  <c r="DX892" i="1"/>
  <c r="DW893" i="1"/>
  <c r="DX893" i="1"/>
  <c r="DW894" i="1"/>
  <c r="DX894" i="1"/>
  <c r="DW895" i="1"/>
  <c r="DX895" i="1"/>
  <c r="DW896" i="1"/>
  <c r="DX896" i="1"/>
  <c r="DW897" i="1"/>
  <c r="DX897" i="1"/>
  <c r="DW898" i="1"/>
  <c r="DX898" i="1"/>
  <c r="DW899" i="1"/>
  <c r="DX899" i="1"/>
  <c r="DW900" i="1"/>
  <c r="DX900" i="1"/>
  <c r="DW901" i="1"/>
  <c r="DX901" i="1"/>
  <c r="DW902" i="1"/>
  <c r="DX902" i="1"/>
  <c r="DW903" i="1"/>
  <c r="DX903" i="1"/>
  <c r="DW904" i="1"/>
  <c r="DX904" i="1"/>
  <c r="DW905" i="1"/>
  <c r="DX905" i="1"/>
  <c r="DW906" i="1"/>
  <c r="DX906" i="1"/>
  <c r="DW907" i="1"/>
  <c r="DX907" i="1"/>
  <c r="DW908" i="1"/>
  <c r="DX908" i="1"/>
  <c r="DW909" i="1"/>
  <c r="DX909" i="1"/>
  <c r="DW910" i="1"/>
  <c r="DX910" i="1"/>
  <c r="DW911" i="1"/>
  <c r="DX911" i="1"/>
  <c r="DW912" i="1"/>
  <c r="DX912" i="1"/>
  <c r="DW913" i="1"/>
  <c r="DX913" i="1"/>
  <c r="DW914" i="1"/>
  <c r="DX914" i="1"/>
  <c r="DW915" i="1"/>
  <c r="DX915" i="1"/>
  <c r="DG574" i="1"/>
  <c r="AJ600" i="1"/>
  <c r="AI600" i="1"/>
  <c r="AG600" i="1"/>
  <c r="ES600" i="1"/>
  <c r="ER600" i="1"/>
  <c r="ET600" i="1" s="1"/>
  <c r="EQ600" i="1"/>
  <c r="EB600" i="1"/>
  <c r="DN600" i="1"/>
  <c r="DP600" i="1" s="1"/>
  <c r="DM600" i="1"/>
  <c r="DL600" i="1"/>
  <c r="DO600" i="1" s="1"/>
  <c r="DK600" i="1"/>
  <c r="DI600" i="1"/>
  <c r="DH600" i="1"/>
  <c r="DG600" i="1"/>
  <c r="CF600" i="1"/>
  <c r="CE600" i="1"/>
  <c r="CH600" i="1" s="1"/>
  <c r="CD600" i="1"/>
  <c r="CC600" i="1"/>
  <c r="CG600" i="1" s="1"/>
  <c r="BW600" i="1"/>
  <c r="AO600" i="1"/>
  <c r="BL600" i="6"/>
  <c r="BM600" i="6"/>
  <c r="BN600" i="6"/>
  <c r="BO600" i="6"/>
  <c r="AJ599" i="1"/>
  <c r="AI599" i="1"/>
  <c r="AG599" i="1"/>
  <c r="ES599" i="1"/>
  <c r="ER599" i="1"/>
  <c r="ET599" i="1" s="1"/>
  <c r="EQ599" i="1"/>
  <c r="EB599" i="1"/>
  <c r="DN599" i="1"/>
  <c r="DP599" i="1" s="1"/>
  <c r="DM599" i="1"/>
  <c r="DL599" i="1"/>
  <c r="DO599" i="1" s="1"/>
  <c r="DK599" i="1"/>
  <c r="DI599" i="1"/>
  <c r="DH599" i="1"/>
  <c r="DG599" i="1"/>
  <c r="CT599" i="1"/>
  <c r="CF599" i="1"/>
  <c r="CE599" i="1"/>
  <c r="CH599" i="1" s="1"/>
  <c r="CD599" i="1"/>
  <c r="CC599" i="1"/>
  <c r="CG599" i="1" s="1"/>
  <c r="BW599" i="1"/>
  <c r="AO599" i="1"/>
  <c r="BL599" i="6"/>
  <c r="BM599" i="6"/>
  <c r="BN599" i="6"/>
  <c r="BO599" i="6"/>
  <c r="AJ598" i="1"/>
  <c r="AI598" i="1"/>
  <c r="AG598" i="1"/>
  <c r="ES598" i="1"/>
  <c r="ER598" i="1"/>
  <c r="ET598" i="1" s="1"/>
  <c r="EQ598" i="1"/>
  <c r="DN598" i="1"/>
  <c r="DP598" i="1" s="1"/>
  <c r="DM598" i="1"/>
  <c r="DL598" i="1"/>
  <c r="DO598" i="1" s="1"/>
  <c r="DK598" i="1"/>
  <c r="DI598" i="1"/>
  <c r="DH598" i="1"/>
  <c r="DG598" i="1"/>
  <c r="CT598" i="1"/>
  <c r="CR598" i="1"/>
  <c r="CW598" i="1" s="1"/>
  <c r="CY598" i="1" s="1"/>
  <c r="CQ598" i="1"/>
  <c r="EM598" i="1" s="1"/>
  <c r="CP598" i="1"/>
  <c r="EL598" i="1" s="1"/>
  <c r="CF598" i="1"/>
  <c r="CE598" i="1"/>
  <c r="CH598" i="1" s="1"/>
  <c r="CD598" i="1"/>
  <c r="CC598" i="1"/>
  <c r="CG598" i="1" s="1"/>
  <c r="BW598" i="1"/>
  <c r="AO598" i="1"/>
  <c r="O598" i="1"/>
  <c r="O599" i="1"/>
  <c r="O600" i="1"/>
  <c r="O601" i="1"/>
  <c r="O602" i="1"/>
  <c r="O603" i="1"/>
  <c r="L598" i="1"/>
  <c r="L599" i="1"/>
  <c r="L600" i="1"/>
  <c r="EK600" i="1" s="1"/>
  <c r="L601" i="1"/>
  <c r="DV601" i="1" s="1"/>
  <c r="L602" i="1"/>
  <c r="EK603" i="1"/>
  <c r="F598" i="1"/>
  <c r="F599" i="1"/>
  <c r="BN599" i="1" s="1"/>
  <c r="F600" i="1"/>
  <c r="F601" i="1"/>
  <c r="F602" i="1"/>
  <c r="BN602" i="1" s="1"/>
  <c r="F603" i="1"/>
  <c r="EG603" i="1" s="1"/>
  <c r="B597" i="1"/>
  <c r="B598" i="1"/>
  <c r="B599" i="1"/>
  <c r="B600" i="1"/>
  <c r="B601" i="1"/>
  <c r="B602" i="1"/>
  <c r="B603" i="1"/>
  <c r="BL598" i="6"/>
  <c r="BM598" i="6"/>
  <c r="BN598" i="6"/>
  <c r="BO598" i="6"/>
  <c r="BS602" i="1" l="1"/>
  <c r="EL603" i="1"/>
  <c r="EM603" i="1"/>
  <c r="CB602" i="1"/>
  <c r="BL603" i="1"/>
  <c r="BN603" i="1"/>
  <c r="BS603" i="1"/>
  <c r="DR602" i="1"/>
  <c r="DX602" i="1" s="1"/>
  <c r="DV602" i="1"/>
  <c r="CB603" i="1"/>
  <c r="DR603" i="1"/>
  <c r="DX603" i="1" s="1"/>
  <c r="EG602" i="1"/>
  <c r="EM602" i="1" s="1"/>
  <c r="DV603" i="1"/>
  <c r="BL602" i="1"/>
  <c r="EK602" i="1"/>
  <c r="AK603" i="1"/>
  <c r="DX601" i="1"/>
  <c r="DW601" i="1"/>
  <c r="AH603" i="1"/>
  <c r="AK602" i="1"/>
  <c r="AH602" i="1"/>
  <c r="EL601" i="1"/>
  <c r="BN601" i="1"/>
  <c r="EK601" i="1"/>
  <c r="BS601" i="1"/>
  <c r="EM601" i="1"/>
  <c r="CB601" i="1"/>
  <c r="BL601" i="1"/>
  <c r="CX598" i="1"/>
  <c r="DX598" i="1"/>
  <c r="DW598" i="1"/>
  <c r="BS599" i="1"/>
  <c r="AK600" i="1"/>
  <c r="AH600" i="1"/>
  <c r="BL599" i="1"/>
  <c r="DR599" i="1"/>
  <c r="BN600" i="1"/>
  <c r="CB599" i="1"/>
  <c r="DV599" i="1"/>
  <c r="BS600" i="1"/>
  <c r="BN598" i="1"/>
  <c r="EG599" i="1"/>
  <c r="CB600" i="1"/>
  <c r="EK599" i="1"/>
  <c r="DR600" i="1"/>
  <c r="DV600" i="1"/>
  <c r="EG600" i="1"/>
  <c r="BL600" i="1"/>
  <c r="AH599" i="1"/>
  <c r="AK599" i="1"/>
  <c r="BS598" i="1"/>
  <c r="AH598" i="1"/>
  <c r="AK598" i="1"/>
  <c r="CB598" i="1"/>
  <c r="DV598" i="1"/>
  <c r="EK598" i="1"/>
  <c r="BL598" i="1"/>
  <c r="AX14" i="30"/>
  <c r="AZ10" i="31"/>
  <c r="AZ11" i="31" s="1"/>
  <c r="DY598" i="1" l="1"/>
  <c r="EC598" i="1" s="1"/>
  <c r="EE598" i="1" s="1"/>
  <c r="CU602" i="1"/>
  <c r="CX602" i="1" s="1"/>
  <c r="DW603" i="1"/>
  <c r="DY603" i="1" s="1"/>
  <c r="DZ603" i="1"/>
  <c r="CV602" i="1"/>
  <c r="DW602" i="1"/>
  <c r="EL602" i="1"/>
  <c r="EM599" i="1"/>
  <c r="EL599" i="1"/>
  <c r="EM600" i="1"/>
  <c r="EL600" i="1"/>
  <c r="DZ598" i="1"/>
  <c r="ED598" i="1" s="1"/>
  <c r="DX600" i="1"/>
  <c r="DW600" i="1"/>
  <c r="DW599" i="1"/>
  <c r="DX599" i="1"/>
  <c r="Q204" i="14"/>
  <c r="P204" i="14"/>
  <c r="K204" i="14"/>
  <c r="I204" i="14"/>
  <c r="AO596" i="1" l="1"/>
  <c r="Q4" i="25"/>
  <c r="Q5" i="25"/>
  <c r="H4" i="25" l="1"/>
  <c r="H5" i="25"/>
  <c r="AJ597" i="1"/>
  <c r="AI597" i="1"/>
  <c r="AG597" i="1"/>
  <c r="ES597" i="1"/>
  <c r="ER597" i="1"/>
  <c r="ET597" i="1" s="1"/>
  <c r="EQ597" i="1"/>
  <c r="EB597" i="1"/>
  <c r="DN597" i="1"/>
  <c r="DP597" i="1" s="1"/>
  <c r="DM597" i="1"/>
  <c r="DL597" i="1"/>
  <c r="DO597" i="1" s="1"/>
  <c r="DK597" i="1"/>
  <c r="DI597" i="1"/>
  <c r="DH597" i="1"/>
  <c r="DG597" i="1"/>
  <c r="CT597" i="1"/>
  <c r="CR597" i="1"/>
  <c r="CQ597" i="1"/>
  <c r="CP597" i="1"/>
  <c r="CF597" i="1"/>
  <c r="CE597" i="1"/>
  <c r="CH597" i="1" s="1"/>
  <c r="CD597" i="1"/>
  <c r="CC597" i="1"/>
  <c r="CG597" i="1" s="1"/>
  <c r="BW597" i="1"/>
  <c r="AO597" i="1"/>
  <c r="BL597" i="6"/>
  <c r="BM597" i="6"/>
  <c r="BN597" i="6"/>
  <c r="BO597" i="6"/>
  <c r="AI4" i="1"/>
  <c r="ES596" i="1"/>
  <c r="ER596" i="1"/>
  <c r="ET596" i="1" s="1"/>
  <c r="EQ596" i="1"/>
  <c r="ED596" i="1"/>
  <c r="EC596" i="1"/>
  <c r="EB596" i="1"/>
  <c r="DN596" i="1"/>
  <c r="DP596" i="1" s="1"/>
  <c r="DM596" i="1"/>
  <c r="DL596" i="1"/>
  <c r="DO596" i="1" s="1"/>
  <c r="DK596" i="1"/>
  <c r="DI596" i="1"/>
  <c r="DH596" i="1"/>
  <c r="DG596" i="1"/>
  <c r="CT596" i="1"/>
  <c r="CF596" i="1"/>
  <c r="BW596" i="1"/>
  <c r="O597" i="1"/>
  <c r="O596" i="1"/>
  <c r="L597" i="1"/>
  <c r="DV597" i="1" s="1"/>
  <c r="L596" i="1"/>
  <c r="EK596" i="1" s="1"/>
  <c r="F597" i="1"/>
  <c r="DR597" i="1" s="1"/>
  <c r="F596" i="1"/>
  <c r="B596" i="1"/>
  <c r="BL596" i="6"/>
  <c r="BM596" i="6"/>
  <c r="BN596" i="6"/>
  <c r="BO596" i="6"/>
  <c r="DW597" i="1" l="1"/>
  <c r="DY597" i="1" s="1"/>
  <c r="DX597" i="1"/>
  <c r="DZ597" i="1" s="1"/>
  <c r="EG597" i="1"/>
  <c r="EK597" i="1"/>
  <c r="BL597" i="1"/>
  <c r="BN597" i="1"/>
  <c r="BS597" i="1"/>
  <c r="CB597" i="1"/>
  <c r="AH597" i="1"/>
  <c r="AK597" i="1"/>
  <c r="BL596" i="1"/>
  <c r="BN596" i="1"/>
  <c r="DV596" i="1"/>
  <c r="BS596" i="1"/>
  <c r="CB596" i="1"/>
  <c r="K26" i="14"/>
  <c r="I26" i="14"/>
  <c r="Q26" i="14"/>
  <c r="P26" i="14"/>
  <c r="K70" i="14"/>
  <c r="I70" i="14"/>
  <c r="Q70" i="14"/>
  <c r="P70" i="14"/>
  <c r="AZ15" i="30"/>
  <c r="AZ13" i="30"/>
  <c r="EM597" i="1" l="1"/>
  <c r="EL597" i="1"/>
  <c r="ES595" i="1"/>
  <c r="ER595" i="1"/>
  <c r="ET595" i="1" s="1"/>
  <c r="EQ595" i="1"/>
  <c r="ED595" i="1"/>
  <c r="EC595" i="1"/>
  <c r="EB595" i="1"/>
  <c r="DN595" i="1"/>
  <c r="DP595" i="1" s="1"/>
  <c r="DM595" i="1"/>
  <c r="DL595" i="1"/>
  <c r="DO595" i="1" s="1"/>
  <c r="DK595" i="1"/>
  <c r="DI595" i="1"/>
  <c r="DH595" i="1"/>
  <c r="DG595" i="1"/>
  <c r="CW595" i="1"/>
  <c r="CT595" i="1"/>
  <c r="CF595" i="1"/>
  <c r="CE595" i="1"/>
  <c r="CH595" i="1" s="1"/>
  <c r="CD595" i="1"/>
  <c r="CC595" i="1"/>
  <c r="CG595" i="1" s="1"/>
  <c r="BV595" i="1"/>
  <c r="BU595" i="1"/>
  <c r="BT595" i="1"/>
  <c r="AO595" i="1"/>
  <c r="BL595" i="6"/>
  <c r="BM595" i="6"/>
  <c r="BN595" i="6"/>
  <c r="BO595" i="6"/>
  <c r="ES594" i="1"/>
  <c r="ER594" i="1"/>
  <c r="ET594" i="1" s="1"/>
  <c r="EQ594" i="1"/>
  <c r="ED594" i="1"/>
  <c r="EC594" i="1"/>
  <c r="EB594" i="1"/>
  <c r="DN594" i="1"/>
  <c r="DP594" i="1" s="1"/>
  <c r="DM594" i="1"/>
  <c r="DL594" i="1"/>
  <c r="DO594" i="1" s="1"/>
  <c r="DK594" i="1"/>
  <c r="DI594" i="1"/>
  <c r="DH594" i="1"/>
  <c r="DG594" i="1"/>
  <c r="CT594" i="1"/>
  <c r="CR594" i="1"/>
  <c r="CW594" i="1" s="1"/>
  <c r="CY594" i="1" s="1"/>
  <c r="CQ594" i="1"/>
  <c r="CP594" i="1"/>
  <c r="CF594" i="1"/>
  <c r="CE594" i="1"/>
  <c r="CH594" i="1" s="1"/>
  <c r="CD594" i="1"/>
  <c r="CC594" i="1"/>
  <c r="CG594" i="1" s="1"/>
  <c r="BW594" i="1"/>
  <c r="AO594" i="1"/>
  <c r="BL594" i="6"/>
  <c r="BM594" i="6"/>
  <c r="BN594" i="6"/>
  <c r="BO594" i="6"/>
  <c r="AJ591" i="1"/>
  <c r="AI591" i="1"/>
  <c r="AG591" i="1"/>
  <c r="ES591" i="1"/>
  <c r="ER591" i="1"/>
  <c r="ET591" i="1" s="1"/>
  <c r="EQ591" i="1"/>
  <c r="DN591" i="1"/>
  <c r="DP591" i="1" s="1"/>
  <c r="DM591" i="1"/>
  <c r="DL591" i="1"/>
  <c r="DO591" i="1" s="1"/>
  <c r="DK591" i="1"/>
  <c r="DI591" i="1"/>
  <c r="DH591" i="1"/>
  <c r="DG591" i="1"/>
  <c r="CW591" i="1"/>
  <c r="CT591" i="1"/>
  <c r="CF591" i="1"/>
  <c r="CE591" i="1"/>
  <c r="CH591" i="1" s="1"/>
  <c r="CD591" i="1"/>
  <c r="CC591" i="1"/>
  <c r="CG591" i="1" s="1"/>
  <c r="BW591" i="1"/>
  <c r="AO591" i="1"/>
  <c r="BL591" i="6"/>
  <c r="BM591" i="6"/>
  <c r="BN591" i="6"/>
  <c r="BO591" i="6"/>
  <c r="BO593" i="6"/>
  <c r="BN593" i="6"/>
  <c r="BM593" i="6"/>
  <c r="BL593" i="6"/>
  <c r="BO592" i="6"/>
  <c r="BN592" i="6"/>
  <c r="BM592" i="6"/>
  <c r="BL592" i="6"/>
  <c r="AJ593" i="1"/>
  <c r="AI593" i="1"/>
  <c r="AG593" i="1"/>
  <c r="ES593" i="1"/>
  <c r="ER593" i="1"/>
  <c r="ET593" i="1" s="1"/>
  <c r="EQ593" i="1"/>
  <c r="EB593" i="1"/>
  <c r="DN593" i="1"/>
  <c r="DP593" i="1" s="1"/>
  <c r="DM593" i="1"/>
  <c r="DL593" i="1"/>
  <c r="DO593" i="1" s="1"/>
  <c r="DK593" i="1"/>
  <c r="DI593" i="1"/>
  <c r="DH593" i="1"/>
  <c r="DG593" i="1"/>
  <c r="CT593" i="1"/>
  <c r="CR593" i="1"/>
  <c r="CW593" i="1" s="1"/>
  <c r="CY593" i="1" s="1"/>
  <c r="CQ593" i="1"/>
  <c r="CP593" i="1"/>
  <c r="CF593" i="1"/>
  <c r="CE593" i="1"/>
  <c r="CH593" i="1" s="1"/>
  <c r="CD593" i="1"/>
  <c r="CC593" i="1"/>
  <c r="CG593" i="1" s="1"/>
  <c r="BW593" i="1"/>
  <c r="AO593" i="1"/>
  <c r="AJ592" i="1"/>
  <c r="AI592" i="1"/>
  <c r="AG592" i="1"/>
  <c r="CF592" i="1"/>
  <c r="CE592" i="1"/>
  <c r="CH592" i="1" s="1"/>
  <c r="CD592" i="1"/>
  <c r="CC592" i="1"/>
  <c r="CG592" i="1" s="1"/>
  <c r="BW592" i="1"/>
  <c r="AO592" i="1"/>
  <c r="DN592" i="1"/>
  <c r="DP592" i="1" s="1"/>
  <c r="DM592" i="1"/>
  <c r="DL592" i="1"/>
  <c r="DO592" i="1" s="1"/>
  <c r="DK592" i="1"/>
  <c r="DI592" i="1"/>
  <c r="DH592" i="1"/>
  <c r="DG592" i="1"/>
  <c r="CT592" i="1"/>
  <c r="ES592" i="1"/>
  <c r="ER592" i="1"/>
  <c r="ET592" i="1" s="1"/>
  <c r="EQ592" i="1"/>
  <c r="EB592" i="1"/>
  <c r="AJ590" i="1"/>
  <c r="AI590" i="1"/>
  <c r="AG590" i="1"/>
  <c r="ES590" i="1"/>
  <c r="ER590" i="1"/>
  <c r="ET590" i="1" s="1"/>
  <c r="EQ590" i="1"/>
  <c r="EB590" i="1"/>
  <c r="DN590" i="1"/>
  <c r="DP590" i="1" s="1"/>
  <c r="DM590" i="1"/>
  <c r="DL590" i="1"/>
  <c r="DO590" i="1" s="1"/>
  <c r="DK590" i="1"/>
  <c r="DI590" i="1"/>
  <c r="DH590" i="1"/>
  <c r="DG590" i="1"/>
  <c r="CF590" i="1"/>
  <c r="CE590" i="1"/>
  <c r="CH590" i="1" s="1"/>
  <c r="CD590" i="1"/>
  <c r="CC590" i="1"/>
  <c r="CG590" i="1" s="1"/>
  <c r="BW590" i="1"/>
  <c r="AO590" i="1"/>
  <c r="O590" i="1"/>
  <c r="O591" i="1"/>
  <c r="O592" i="1"/>
  <c r="O593" i="1"/>
  <c r="O594" i="1"/>
  <c r="O595" i="1"/>
  <c r="L590" i="1"/>
  <c r="EK590" i="1" s="1"/>
  <c r="L591" i="1"/>
  <c r="EK591" i="1" s="1"/>
  <c r="L592" i="1"/>
  <c r="EK592" i="1" s="1"/>
  <c r="L593" i="1"/>
  <c r="L594" i="1"/>
  <c r="DV594" i="1" s="1"/>
  <c r="L595" i="1"/>
  <c r="EK595" i="1" s="1"/>
  <c r="F595" i="1"/>
  <c r="F594" i="1"/>
  <c r="F593" i="1"/>
  <c r="F592" i="1"/>
  <c r="EG592" i="1" s="1"/>
  <c r="F591" i="1"/>
  <c r="BL591" i="1" s="1"/>
  <c r="F590" i="1"/>
  <c r="DR590" i="1" s="1"/>
  <c r="B590" i="1"/>
  <c r="B591" i="1"/>
  <c r="B592" i="1"/>
  <c r="B593" i="1"/>
  <c r="B594" i="1"/>
  <c r="B595" i="1"/>
  <c r="BL590" i="6"/>
  <c r="BM590" i="6"/>
  <c r="BN590" i="6"/>
  <c r="BO590" i="6"/>
  <c r="BA32" i="30" l="1"/>
  <c r="BA29" i="30"/>
  <c r="BA28" i="30"/>
  <c r="BA24" i="30"/>
  <c r="BA19" i="30"/>
  <c r="BA31" i="30"/>
  <c r="BA20" i="30"/>
  <c r="BA35" i="30"/>
  <c r="BA18" i="30"/>
  <c r="BA30" i="30"/>
  <c r="BA27" i="30"/>
  <c r="BA26" i="30"/>
  <c r="BA40" i="30"/>
  <c r="BA34" i="30"/>
  <c r="BA25" i="30"/>
  <c r="BA33" i="30"/>
  <c r="BA39" i="30"/>
  <c r="BA23" i="30"/>
  <c r="BA22" i="30"/>
  <c r="BA37" i="30"/>
  <c r="BA38" i="30"/>
  <c r="BA21" i="30"/>
  <c r="BA36" i="30"/>
  <c r="DX593" i="1"/>
  <c r="EM593" i="1"/>
  <c r="EM592" i="1"/>
  <c r="EL592" i="1"/>
  <c r="DW593" i="1"/>
  <c r="EL593" i="1"/>
  <c r="DW590" i="1"/>
  <c r="DX590" i="1"/>
  <c r="CX593" i="1"/>
  <c r="DR595" i="1"/>
  <c r="DV595" i="1"/>
  <c r="EG595" i="1"/>
  <c r="BS595" i="1"/>
  <c r="EK594" i="1"/>
  <c r="EG594" i="1"/>
  <c r="BL594" i="1"/>
  <c r="BL595" i="1"/>
  <c r="BN594" i="1"/>
  <c r="BS594" i="1"/>
  <c r="DR594" i="1"/>
  <c r="BN595" i="1"/>
  <c r="AK591" i="1"/>
  <c r="BN593" i="1"/>
  <c r="AH591" i="1"/>
  <c r="BN591" i="1"/>
  <c r="BS591" i="1"/>
  <c r="DR591" i="1"/>
  <c r="DV591" i="1"/>
  <c r="EG591" i="1"/>
  <c r="CB593" i="1"/>
  <c r="DV593" i="1"/>
  <c r="EK593" i="1"/>
  <c r="BL593" i="1"/>
  <c r="AK592" i="1"/>
  <c r="BS593" i="1"/>
  <c r="AH593" i="1"/>
  <c r="AK593" i="1"/>
  <c r="AH592" i="1"/>
  <c r="BL592" i="1"/>
  <c r="BN592" i="1"/>
  <c r="BS592" i="1"/>
  <c r="CB592" i="1"/>
  <c r="DR592" i="1"/>
  <c r="DV592" i="1"/>
  <c r="DV590" i="1"/>
  <c r="AH590" i="1"/>
  <c r="CB590" i="1"/>
  <c r="EG590" i="1"/>
  <c r="BL590" i="1"/>
  <c r="BN590" i="1"/>
  <c r="AK590" i="1"/>
  <c r="BS590" i="1"/>
  <c r="C142" i="33"/>
  <c r="E142" i="33"/>
  <c r="F142" i="33" s="1"/>
  <c r="E141" i="33"/>
  <c r="I141" i="33"/>
  <c r="C141" i="33"/>
  <c r="I140" i="33"/>
  <c r="L140" i="33" s="1"/>
  <c r="E140" i="33"/>
  <c r="H140" i="33" s="1"/>
  <c r="E139" i="33"/>
  <c r="F139" i="33" s="1"/>
  <c r="I139" i="33"/>
  <c r="L139" i="33" s="1"/>
  <c r="I138" i="33"/>
  <c r="L138" i="33" s="1"/>
  <c r="E138" i="33"/>
  <c r="F138" i="33" s="1"/>
  <c r="I137" i="33"/>
  <c r="L137" i="33" s="1"/>
  <c r="E137" i="33"/>
  <c r="F137" i="33" s="1"/>
  <c r="I136" i="33"/>
  <c r="J136" i="33" s="1"/>
  <c r="E136" i="33"/>
  <c r="F136" i="33" s="1"/>
  <c r="E135" i="33"/>
  <c r="F135" i="33" s="1"/>
  <c r="C135" i="33"/>
  <c r="I135" i="33"/>
  <c r="J135" i="33" s="1"/>
  <c r="I134" i="33"/>
  <c r="L134" i="33" s="1"/>
  <c r="E134" i="33"/>
  <c r="C134" i="33"/>
  <c r="J134" i="33" s="1"/>
  <c r="H141" i="33"/>
  <c r="H139" i="33"/>
  <c r="H135" i="33"/>
  <c r="H134" i="33"/>
  <c r="H133" i="33"/>
  <c r="F141" i="33"/>
  <c r="F134" i="33"/>
  <c r="F133" i="33"/>
  <c r="L142" i="33"/>
  <c r="L141" i="33"/>
  <c r="L136" i="33"/>
  <c r="L133" i="33"/>
  <c r="J142" i="33"/>
  <c r="J141" i="33"/>
  <c r="J140" i="33"/>
  <c r="J133" i="33"/>
  <c r="J138" i="33" l="1"/>
  <c r="J137" i="33"/>
  <c r="J139" i="33"/>
  <c r="L135" i="33"/>
  <c r="H142" i="33"/>
  <c r="H138" i="33"/>
  <c r="EM595" i="1"/>
  <c r="EL595" i="1"/>
  <c r="CU595" i="1"/>
  <c r="CV595" i="1"/>
  <c r="EL594" i="1"/>
  <c r="EM594" i="1"/>
  <c r="EM591" i="1"/>
  <c r="EL591" i="1"/>
  <c r="CU591" i="1"/>
  <c r="CV591" i="1"/>
  <c r="CU594" i="1"/>
  <c r="CX594" i="1" s="1"/>
  <c r="CV594" i="1"/>
  <c r="EM590" i="1"/>
  <c r="EL590" i="1"/>
  <c r="DW594" i="1"/>
  <c r="DX594" i="1"/>
  <c r="DX592" i="1"/>
  <c r="DZ592" i="1" s="1"/>
  <c r="DW592" i="1"/>
  <c r="DY592" i="1" s="1"/>
  <c r="DW591" i="1"/>
  <c r="DY591" i="1" s="1"/>
  <c r="DX591" i="1"/>
  <c r="DZ591" i="1" s="1"/>
  <c r="ED591" i="1" s="1"/>
  <c r="DW595" i="1"/>
  <c r="DX595" i="1"/>
  <c r="F140" i="33"/>
  <c r="H137" i="33"/>
  <c r="H136" i="33"/>
  <c r="C32" i="24" a="1"/>
  <c r="C32" i="24" s="1"/>
  <c r="C31" i="24" a="1"/>
  <c r="C31" i="24" s="1"/>
  <c r="EC591" i="1" l="1"/>
  <c r="EE591" i="1" s="1"/>
  <c r="H42" i="25"/>
  <c r="H58" i="25"/>
  <c r="H55" i="25"/>
  <c r="H52" i="25"/>
  <c r="H54" i="25"/>
  <c r="H51" i="25"/>
  <c r="H48" i="25"/>
  <c r="H60" i="25"/>
  <c r="H33" i="25"/>
  <c r="H28" i="25"/>
  <c r="H38" i="25"/>
  <c r="H50" i="25"/>
  <c r="H32" i="25"/>
  <c r="H41" i="25"/>
  <c r="H23" i="25"/>
  <c r="H13" i="25"/>
  <c r="H34" i="25"/>
  <c r="H63" i="25"/>
  <c r="H39" i="25"/>
  <c r="H36" i="25"/>
  <c r="H20" i="25"/>
  <c r="H31" i="25"/>
  <c r="H15" i="25"/>
  <c r="H22" i="25"/>
  <c r="H40" i="25"/>
  <c r="H37" i="25"/>
  <c r="H6" i="25"/>
  <c r="H45" i="25"/>
  <c r="H12" i="25"/>
  <c r="H9" i="25"/>
  <c r="H17" i="25"/>
  <c r="H59" i="25"/>
  <c r="H56" i="25"/>
  <c r="H44" i="25"/>
  <c r="H14" i="25"/>
  <c r="H30" i="25"/>
  <c r="H57" i="25"/>
  <c r="H27" i="25"/>
  <c r="H21" i="25"/>
  <c r="H49" i="25"/>
  <c r="H18" i="25"/>
  <c r="H19" i="25"/>
  <c r="H47" i="25"/>
  <c r="H11" i="25"/>
  <c r="H29" i="25"/>
  <c r="H25" i="25"/>
  <c r="H24" i="25"/>
  <c r="H53" i="25"/>
  <c r="H62" i="25"/>
  <c r="H61" i="25"/>
  <c r="H8" i="25"/>
  <c r="H16" i="25"/>
  <c r="H26" i="25"/>
  <c r="H10" i="25"/>
  <c r="H7" i="25"/>
  <c r="H35" i="25"/>
  <c r="Q6" i="25"/>
  <c r="Q11" i="25"/>
  <c r="Q7" i="25"/>
  <c r="Q10" i="25"/>
  <c r="Q9" i="25"/>
  <c r="Q8" i="25"/>
  <c r="Q48" i="25"/>
  <c r="Q49" i="25"/>
  <c r="Q23" i="25"/>
  <c r="Q12" i="25"/>
  <c r="Q13" i="25"/>
  <c r="Q14" i="25"/>
  <c r="Q15" i="25"/>
  <c r="Q22" i="25"/>
  <c r="Q16" i="25"/>
  <c r="Q17" i="25"/>
  <c r="Q29" i="25"/>
  <c r="Q18" i="25"/>
  <c r="Q19" i="25"/>
  <c r="Q43" i="25"/>
  <c r="Q20" i="25"/>
  <c r="Q21" i="25"/>
  <c r="Q28" i="25"/>
  <c r="Q39" i="25"/>
  <c r="Q45" i="25"/>
  <c r="Q24" i="25"/>
  <c r="Q25" i="25"/>
  <c r="Q26" i="25"/>
  <c r="Q40" i="25"/>
  <c r="Q27" i="25"/>
  <c r="Q30" i="25"/>
  <c r="Q37" i="25"/>
  <c r="Q31" i="25"/>
  <c r="Q33" i="25"/>
  <c r="Q32" i="25"/>
  <c r="Q34" i="25"/>
  <c r="Q35" i="25"/>
  <c r="Q42" i="25"/>
  <c r="Q61" i="25"/>
  <c r="Q36" i="25"/>
  <c r="Q38" i="25"/>
  <c r="Q41" i="25"/>
  <c r="Q53" i="25"/>
  <c r="Q44" i="25"/>
  <c r="Q52" i="25"/>
  <c r="Q47" i="25"/>
  <c r="Q46" i="25"/>
  <c r="Q50" i="25"/>
  <c r="Q62" i="25"/>
  <c r="Q58" i="25"/>
  <c r="Q56" i="25"/>
  <c r="Q57" i="25"/>
  <c r="Q59" i="25"/>
  <c r="Q60" i="25"/>
  <c r="Q63" i="25"/>
  <c r="Q54" i="25"/>
  <c r="CR556" i="1" l="1"/>
  <c r="AI490" i="1" l="1"/>
  <c r="AI15" i="1"/>
  <c r="AI185" i="1"/>
  <c r="AI51" i="1"/>
  <c r="AI196" i="1"/>
  <c r="AI481" i="1"/>
  <c r="AI586" i="1"/>
  <c r="AI127" i="1"/>
  <c r="AI55" i="1"/>
  <c r="AI166" i="1"/>
  <c r="AI254" i="1"/>
  <c r="AI461" i="1"/>
  <c r="AI405" i="1"/>
  <c r="AI587" i="1"/>
  <c r="AI355" i="1"/>
  <c r="AI39" i="1"/>
  <c r="AI451" i="1"/>
  <c r="AI550" i="1"/>
  <c r="AI414" i="1"/>
  <c r="AI308" i="1"/>
  <c r="AI31" i="1"/>
  <c r="AI125" i="1"/>
  <c r="AI112" i="1"/>
  <c r="AI160" i="1"/>
  <c r="AI541" i="1"/>
  <c r="AI578" i="1"/>
  <c r="AI67" i="1"/>
  <c r="AI118" i="1"/>
  <c r="AI236" i="1"/>
  <c r="AI179" i="1"/>
  <c r="AI284" i="1"/>
  <c r="AI139" i="1"/>
  <c r="AI247" i="1"/>
  <c r="AI256" i="1"/>
  <c r="AI359" i="1"/>
  <c r="AI323" i="1"/>
  <c r="AI244" i="1"/>
  <c r="AI194" i="1"/>
  <c r="AI135" i="1"/>
  <c r="AI172" i="1"/>
  <c r="AI105" i="1"/>
  <c r="AI568" i="1"/>
  <c r="AI507" i="1"/>
  <c r="AI378" i="1"/>
  <c r="AI266" i="1"/>
  <c r="AI395" i="1"/>
  <c r="AI415" i="1"/>
  <c r="AI433" i="1"/>
  <c r="AI569" i="1"/>
  <c r="AI526" i="1"/>
  <c r="AI202" i="1"/>
  <c r="AI358" i="1"/>
  <c r="AI340" i="1"/>
  <c r="AI248" i="1"/>
  <c r="AI147" i="1"/>
  <c r="AI229" i="1"/>
  <c r="AI178" i="1"/>
  <c r="AI425" i="1"/>
  <c r="AI457" i="1"/>
  <c r="AI199" i="1"/>
  <c r="AI186" i="1"/>
  <c r="AI485" i="1"/>
  <c r="AI332" i="1"/>
  <c r="AI469" i="1"/>
  <c r="AI383" i="1"/>
  <c r="AI486" i="1"/>
  <c r="AI228" i="1"/>
  <c r="AI223" i="1"/>
  <c r="AI136" i="1"/>
  <c r="AI115" i="1"/>
  <c r="AI191" i="1"/>
  <c r="AI114" i="1"/>
  <c r="AI99" i="1"/>
  <c r="AI319" i="1"/>
  <c r="AI113" i="1"/>
  <c r="AI422" i="1"/>
  <c r="AI10" i="1"/>
  <c r="AI290" i="1"/>
  <c r="AI215" i="1"/>
  <c r="AI71" i="1"/>
  <c r="AI27" i="1"/>
  <c r="AI304" i="1"/>
  <c r="AI354" i="1"/>
  <c r="AI140" i="1"/>
  <c r="AI391" i="1"/>
  <c r="AI483" i="1"/>
  <c r="AI484" i="1"/>
  <c r="AI558" i="1"/>
  <c r="AI103" i="1"/>
  <c r="AI131" i="1"/>
  <c r="AI466" i="1"/>
  <c r="AI437" i="1"/>
  <c r="AI362" i="1"/>
  <c r="AI149" i="1"/>
  <c r="AI265" i="1"/>
  <c r="AI470" i="1"/>
  <c r="AI322" i="1"/>
  <c r="AI525" i="1"/>
  <c r="AI517" i="1"/>
  <c r="AI480" i="1"/>
  <c r="AI549" i="1"/>
  <c r="AI508" i="1"/>
  <c r="AI489" i="1"/>
  <c r="AI560" i="1"/>
  <c r="AI452" i="1"/>
  <c r="AI132" i="1"/>
  <c r="AI148" i="1"/>
  <c r="AI130" i="1"/>
  <c r="AI104" i="1"/>
  <c r="AI577" i="1"/>
  <c r="AI488" i="1"/>
  <c r="AI427" i="1"/>
  <c r="AI334" i="1"/>
  <c r="AI389" i="1"/>
  <c r="AI318" i="1"/>
  <c r="AI296" i="1"/>
  <c r="AI50" i="1"/>
  <c r="AI565" i="1"/>
  <c r="AI553" i="1"/>
  <c r="AI142" i="1"/>
  <c r="AI458" i="1"/>
  <c r="AI326" i="1"/>
  <c r="AI292" i="1"/>
  <c r="AI411" i="1"/>
  <c r="AI233" i="1"/>
  <c r="AI298" i="1"/>
  <c r="AI261" i="1"/>
  <c r="AI542" i="1"/>
  <c r="AI293" i="1"/>
  <c r="AI372" i="1"/>
  <c r="AI557" i="1"/>
  <c r="AI436" i="1"/>
  <c r="AI400" i="1"/>
  <c r="AI84" i="1"/>
  <c r="AI171" i="1"/>
  <c r="AI177" i="1"/>
  <c r="AI535" i="1"/>
  <c r="AI285" i="1"/>
  <c r="AI580" i="1"/>
  <c r="AI556" i="1"/>
  <c r="AI513" i="1"/>
  <c r="AI511" i="1"/>
  <c r="AI545" i="1"/>
  <c r="AI537" i="1"/>
  <c r="AI493" i="1"/>
  <c r="AI562" i="1"/>
  <c r="AI501" i="1"/>
  <c r="AI473" i="1"/>
  <c r="AI543" i="1"/>
  <c r="AI241" i="1"/>
  <c r="AI430" i="1"/>
  <c r="AI170" i="1"/>
  <c r="AI314" i="1"/>
  <c r="AI373" i="1"/>
  <c r="AI237" i="1"/>
  <c r="AI527" i="1"/>
  <c r="AI264" i="1"/>
  <c r="AI399" i="1"/>
  <c r="AI448" i="1"/>
  <c r="AI120" i="1"/>
  <c r="AI173" i="1"/>
  <c r="AI19" i="1"/>
  <c r="AI462" i="1"/>
  <c r="AI277" i="1"/>
  <c r="AI269" i="1"/>
  <c r="AI239" i="1"/>
  <c r="AI181" i="1"/>
  <c r="AI117" i="1"/>
  <c r="AI66" i="1"/>
  <c r="AI407" i="1"/>
  <c r="AI260" i="1"/>
  <c r="AI150" i="1"/>
  <c r="AI145" i="1"/>
  <c r="AI514" i="1"/>
  <c r="AI538" i="1"/>
  <c r="AI583" i="1"/>
  <c r="AI504" i="1"/>
  <c r="AI475" i="1"/>
  <c r="AI496" i="1"/>
  <c r="AI575" i="1"/>
  <c r="AI563" i="1"/>
  <c r="AI435" i="1"/>
  <c r="AI315" i="1"/>
  <c r="AI382" i="1"/>
  <c r="AI345" i="1"/>
  <c r="AI268" i="1"/>
  <c r="AI299" i="1"/>
  <c r="AI444" i="1"/>
  <c r="AI42" i="1"/>
  <c r="AI242" i="1"/>
  <c r="AI26" i="1"/>
  <c r="AI459" i="1"/>
  <c r="AI312" i="1"/>
  <c r="AI274" i="1"/>
  <c r="AI450" i="1"/>
  <c r="AI366" i="1"/>
  <c r="AI584" i="1"/>
  <c r="AI231" i="1"/>
  <c r="AI122" i="1"/>
  <c r="AI571" i="1"/>
  <c r="AI555" i="1"/>
  <c r="AI30" i="1"/>
  <c r="AI371" i="1"/>
  <c r="AI454" i="1"/>
  <c r="AI520" i="1"/>
  <c r="AI74" i="1"/>
  <c r="AI474" i="1"/>
  <c r="AI464" i="1"/>
  <c r="AI6" i="1"/>
  <c r="AI187" i="1"/>
  <c r="AI153" i="1"/>
  <c r="AI524" i="1"/>
  <c r="AI238" i="1"/>
  <c r="AI169" i="1"/>
  <c r="AI157" i="1"/>
  <c r="AI58" i="1"/>
  <c r="AI333" i="1"/>
  <c r="AI388" i="1"/>
  <c r="AI222" i="1"/>
  <c r="AI286" i="1"/>
  <c r="AI343" i="1"/>
  <c r="AI289" i="1"/>
  <c r="AI143" i="1"/>
  <c r="AI164" i="1"/>
  <c r="AI174" i="1"/>
  <c r="AI313" i="1"/>
  <c r="AI280" i="1"/>
  <c r="AI102" i="1"/>
  <c r="AI168" i="1"/>
  <c r="AI133" i="1"/>
  <c r="AI252" i="1"/>
  <c r="AI467" i="1"/>
  <c r="AI426" i="1"/>
  <c r="AI124" i="1"/>
  <c r="AI317" i="1"/>
  <c r="AI510" i="1"/>
  <c r="AI500" i="1"/>
  <c r="AI93" i="1"/>
  <c r="AI70" i="1"/>
  <c r="AI200" i="1"/>
  <c r="AI246" i="1"/>
  <c r="AI394" i="1"/>
  <c r="AI428" i="1"/>
  <c r="AI361" i="1"/>
  <c r="AI23" i="1"/>
  <c r="AI262" i="1"/>
  <c r="AI301" i="1"/>
  <c r="AI22" i="1"/>
  <c r="AI276" i="1"/>
  <c r="AI220" i="1"/>
  <c r="AI119" i="1"/>
  <c r="AI478" i="1"/>
  <c r="AI364" i="1"/>
  <c r="AI445" i="1"/>
  <c r="AI309" i="1"/>
  <c r="AI402" i="1"/>
  <c r="AI193" i="1"/>
  <c r="AI81" i="1"/>
  <c r="AI509" i="1"/>
  <c r="AI146" i="1"/>
  <c r="AI161" i="1"/>
  <c r="AI346" i="1"/>
  <c r="AI134" i="1"/>
  <c r="AI347" i="1"/>
  <c r="AI221" i="1"/>
  <c r="AI297" i="1"/>
  <c r="AI162" i="1"/>
  <c r="AI281" i="1"/>
  <c r="AI387" i="1"/>
  <c r="AI424" i="1"/>
  <c r="AI34" i="1"/>
  <c r="AI446" i="1"/>
  <c r="AI440" i="1"/>
  <c r="AI588" i="1"/>
  <c r="AI536" i="1"/>
  <c r="AI375" i="1"/>
  <c r="AI381" i="1"/>
  <c r="AI137" i="1"/>
  <c r="AI198" i="1"/>
  <c r="AI351" i="1"/>
  <c r="AI302" i="1"/>
  <c r="AI219" i="1"/>
  <c r="AI197" i="1"/>
  <c r="AI87" i="1"/>
  <c r="AI338" i="1"/>
  <c r="AI505" i="1"/>
  <c r="AI566" i="1"/>
  <c r="AI477" i="1"/>
  <c r="AI417" i="1"/>
  <c r="AI548" i="1"/>
  <c r="AI330" i="1"/>
  <c r="AI498" i="1"/>
  <c r="AI216" i="1"/>
  <c r="AI403" i="1"/>
  <c r="AI158" i="1"/>
  <c r="AI521" i="1"/>
  <c r="AI397" i="1"/>
  <c r="AI62" i="1"/>
  <c r="AI189" i="1"/>
  <c r="AI515" i="1"/>
  <c r="AI111" i="1"/>
  <c r="AI190" i="1"/>
  <c r="AI63" i="1"/>
  <c r="AI379" i="1"/>
  <c r="AI581" i="1"/>
  <c r="AI442" i="1"/>
  <c r="AI567" i="1"/>
  <c r="AI331" i="1"/>
  <c r="AI404" i="1"/>
  <c r="AI348" i="1"/>
  <c r="AI321" i="1"/>
  <c r="AI195" i="1"/>
  <c r="AI128" i="1"/>
  <c r="AI151" i="1"/>
  <c r="AI539" i="1"/>
  <c r="AI249" i="1"/>
  <c r="AI502" i="1"/>
  <c r="AI412" i="1"/>
  <c r="AI419" i="1"/>
  <c r="AI46" i="1"/>
  <c r="AI159" i="1"/>
  <c r="AI579" i="1"/>
  <c r="AI205" i="1"/>
  <c r="AI295" i="1"/>
  <c r="AI374" i="1"/>
  <c r="AI572" i="1"/>
  <c r="AI582" i="1"/>
  <c r="AI465" i="1"/>
  <c r="AI408" i="1"/>
  <c r="AI368" i="1"/>
  <c r="AI218" i="1"/>
  <c r="AI155" i="1"/>
  <c r="AI253" i="1"/>
  <c r="AI574" i="1"/>
  <c r="AI272" i="1"/>
  <c r="AI352" i="1"/>
  <c r="AI275" i="1"/>
  <c r="AI152" i="1"/>
  <c r="AI251" i="1"/>
  <c r="AI576" i="1"/>
  <c r="AI47" i="1"/>
  <c r="AI370" i="1"/>
  <c r="AI232" i="1"/>
  <c r="AI544" i="1"/>
  <c r="AI528" i="1"/>
  <c r="AI420" i="1"/>
  <c r="AI398" i="1"/>
  <c r="AI482" i="1"/>
  <c r="AI360" i="1"/>
  <c r="AI300" i="1"/>
  <c r="AI235" i="1"/>
  <c r="AI491" i="1"/>
  <c r="AI316" i="1"/>
  <c r="AI421" i="1"/>
  <c r="AI401" i="1"/>
  <c r="AI390" i="1"/>
  <c r="AI7" i="1"/>
  <c r="AI534" i="1"/>
  <c r="AI472" i="1"/>
  <c r="AI129" i="1"/>
  <c r="AI406" i="1"/>
  <c r="AI585" i="1"/>
  <c r="AI512" i="1"/>
  <c r="AI306" i="1"/>
  <c r="AI516" i="1"/>
  <c r="AI365" i="1"/>
  <c r="AI270" i="1"/>
  <c r="AI559" i="1"/>
  <c r="AI385" i="1"/>
  <c r="AI271" i="1"/>
  <c r="AI182" i="1"/>
  <c r="AI96" i="1"/>
  <c r="AI90" i="1"/>
  <c r="AI267" i="1"/>
  <c r="AI339" i="1"/>
  <c r="AI320" i="1"/>
  <c r="AI573" i="1"/>
  <c r="AI413" i="1"/>
  <c r="AI453" i="1"/>
  <c r="AI438" i="1"/>
  <c r="AI367" i="1"/>
  <c r="AI479" i="1"/>
  <c r="AI294" i="1"/>
  <c r="AI335" i="1"/>
  <c r="AI356" i="1"/>
  <c r="AI363" i="1"/>
  <c r="AI307" i="1"/>
  <c r="AI183" i="1"/>
  <c r="AI342" i="1"/>
  <c r="AI43" i="1"/>
  <c r="AI116" i="1"/>
  <c r="AI126" i="1"/>
  <c r="AI449" i="1"/>
  <c r="AI38" i="1"/>
  <c r="AI234" i="1"/>
  <c r="AI523" i="1"/>
  <c r="AI109" i="1"/>
  <c r="AI431" i="1"/>
  <c r="AI245" i="1"/>
  <c r="AI175" i="1"/>
  <c r="AI273" i="1"/>
  <c r="AI547" i="1"/>
  <c r="AI393" i="1"/>
  <c r="AI282" i="1"/>
  <c r="AI83" i="1"/>
  <c r="AI95" i="1"/>
  <c r="AI101" i="1"/>
  <c r="AI77" i="1"/>
  <c r="AI57" i="1"/>
  <c r="AI45" i="1"/>
  <c r="AI29" i="1"/>
  <c r="AI89" i="1"/>
  <c r="AI86" i="1"/>
  <c r="AI5" i="1"/>
  <c r="AI98" i="1"/>
  <c r="AI60" i="1"/>
  <c r="AI79" i="1"/>
  <c r="AI52" i="1"/>
  <c r="AI68" i="1"/>
  <c r="AI91" i="1"/>
  <c r="AI56" i="1"/>
  <c r="AI20" i="1"/>
  <c r="AI40" i="1"/>
  <c r="AI36" i="1"/>
  <c r="AI288" i="1"/>
  <c r="AI16" i="1"/>
  <c r="AI44" i="1"/>
  <c r="AI85" i="1"/>
  <c r="AI21" i="1"/>
  <c r="AI37" i="1"/>
  <c r="AI17" i="1"/>
  <c r="AI53" i="1"/>
  <c r="AI206" i="1"/>
  <c r="AI213" i="1"/>
  <c r="AI287" i="1"/>
  <c r="AI88" i="1"/>
  <c r="AI207" i="1"/>
  <c r="AI24" i="1"/>
  <c r="AI211" i="1"/>
  <c r="AI65" i="1"/>
  <c r="AI532" i="1"/>
  <c r="AI76" i="1"/>
  <c r="AI529" i="1"/>
  <c r="AI94" i="1"/>
  <c r="AI73" i="1"/>
  <c r="AI533" i="1"/>
  <c r="AI214" i="1"/>
  <c r="AI8" i="1"/>
  <c r="AI209" i="1"/>
  <c r="AI9" i="1"/>
  <c r="AI49" i="1"/>
  <c r="AI13" i="1"/>
  <c r="AI32" i="1"/>
  <c r="AI48" i="1"/>
  <c r="AI82" i="1"/>
  <c r="AI33" i="1"/>
  <c r="AI499" i="1"/>
  <c r="K203" i="14" l="1"/>
  <c r="I203" i="14"/>
  <c r="O203" i="14"/>
  <c r="Q203" i="14" s="1"/>
  <c r="K159" i="14"/>
  <c r="I159" i="14"/>
  <c r="O159" i="14"/>
  <c r="Q159" i="14" s="1"/>
  <c r="K158" i="14"/>
  <c r="O158" i="14"/>
  <c r="Q158" i="14" s="1"/>
  <c r="I158" i="14"/>
  <c r="ES589" i="1"/>
  <c r="ER589" i="1"/>
  <c r="ET589" i="1" s="1"/>
  <c r="EQ589" i="1"/>
  <c r="ED589" i="1"/>
  <c r="EC589" i="1"/>
  <c r="EB589" i="1"/>
  <c r="CT589" i="1"/>
  <c r="CR589" i="1"/>
  <c r="CQ589" i="1"/>
  <c r="CP589" i="1"/>
  <c r="CF589" i="1"/>
  <c r="CE589" i="1"/>
  <c r="CH589" i="1" s="1"/>
  <c r="CD589" i="1"/>
  <c r="CC589" i="1"/>
  <c r="CG589" i="1" s="1"/>
  <c r="BW589" i="1"/>
  <c r="AO589" i="1"/>
  <c r="BL589" i="6"/>
  <c r="BM589" i="6"/>
  <c r="BN589" i="6"/>
  <c r="BO589" i="6"/>
  <c r="AJ588" i="1"/>
  <c r="AG588" i="1"/>
  <c r="ES588" i="1"/>
  <c r="ER588" i="1"/>
  <c r="ET588" i="1" s="1"/>
  <c r="EQ588" i="1"/>
  <c r="EB588" i="1"/>
  <c r="DN588" i="1"/>
  <c r="DP588" i="1" s="1"/>
  <c r="DM588" i="1"/>
  <c r="DL588" i="1"/>
  <c r="DO588" i="1" s="1"/>
  <c r="DK588" i="1"/>
  <c r="DI588" i="1"/>
  <c r="DH588" i="1"/>
  <c r="DG588" i="1"/>
  <c r="CT588" i="1"/>
  <c r="CF588" i="1"/>
  <c r="CE588" i="1"/>
  <c r="CH588" i="1" s="1"/>
  <c r="CD588" i="1"/>
  <c r="CC588" i="1"/>
  <c r="CG588" i="1" s="1"/>
  <c r="BW588" i="1"/>
  <c r="AO588" i="1"/>
  <c r="BL588" i="6"/>
  <c r="BM588" i="6"/>
  <c r="BN588" i="6"/>
  <c r="BO588" i="6"/>
  <c r="AJ587" i="1"/>
  <c r="AG587" i="1"/>
  <c r="ES587" i="1"/>
  <c r="ER587" i="1"/>
  <c r="ET587" i="1" s="1"/>
  <c r="EQ587" i="1"/>
  <c r="CR587" i="1"/>
  <c r="CW587" i="1" s="1"/>
  <c r="CY587" i="1" s="1"/>
  <c r="CQ587" i="1"/>
  <c r="CP587" i="1"/>
  <c r="BW587" i="1"/>
  <c r="AO587" i="1"/>
  <c r="BL587" i="6"/>
  <c r="BM587" i="6"/>
  <c r="BN587" i="6"/>
  <c r="BO587" i="6"/>
  <c r="AJ586" i="1"/>
  <c r="AG586" i="1"/>
  <c r="ES586" i="1"/>
  <c r="ER586" i="1"/>
  <c r="ET586" i="1" s="1"/>
  <c r="EQ586" i="1"/>
  <c r="EB586" i="1"/>
  <c r="DN589" i="1"/>
  <c r="DP589" i="1" s="1"/>
  <c r="DM589" i="1"/>
  <c r="DL589" i="1"/>
  <c r="DO589" i="1" s="1"/>
  <c r="DK589" i="1"/>
  <c r="DI589" i="1"/>
  <c r="DH589" i="1"/>
  <c r="DG589" i="1"/>
  <c r="DN587" i="1"/>
  <c r="DP587" i="1" s="1"/>
  <c r="DM587" i="1"/>
  <c r="DL587" i="1"/>
  <c r="DO587" i="1" s="1"/>
  <c r="DK587" i="1"/>
  <c r="DI587" i="1"/>
  <c r="DH587" i="1"/>
  <c r="DG587" i="1"/>
  <c r="DN586" i="1"/>
  <c r="DP586" i="1" s="1"/>
  <c r="DM586" i="1"/>
  <c r="DL586" i="1"/>
  <c r="DO586" i="1" s="1"/>
  <c r="DK586" i="1"/>
  <c r="DI586" i="1"/>
  <c r="DH586" i="1"/>
  <c r="DG586" i="1"/>
  <c r="DG4" i="1"/>
  <c r="DH4" i="1"/>
  <c r="DI4" i="1"/>
  <c r="DG5" i="1"/>
  <c r="DH5" i="1"/>
  <c r="DI5" i="1"/>
  <c r="DG6" i="1"/>
  <c r="DH6" i="1"/>
  <c r="DI6" i="1"/>
  <c r="DG7" i="1"/>
  <c r="DH7" i="1"/>
  <c r="DI7" i="1"/>
  <c r="DG8" i="1"/>
  <c r="DH8" i="1"/>
  <c r="DI8" i="1"/>
  <c r="DG9" i="1"/>
  <c r="DH9" i="1"/>
  <c r="DI9" i="1"/>
  <c r="DG10" i="1"/>
  <c r="DH10" i="1"/>
  <c r="DI10" i="1"/>
  <c r="DG11" i="1"/>
  <c r="DH11" i="1"/>
  <c r="DI11" i="1"/>
  <c r="DG12" i="1"/>
  <c r="DH12" i="1"/>
  <c r="DI12" i="1"/>
  <c r="DG13" i="1"/>
  <c r="DH13" i="1"/>
  <c r="DI13" i="1"/>
  <c r="DG14" i="1"/>
  <c r="DH14" i="1"/>
  <c r="DI14" i="1"/>
  <c r="DG15" i="1"/>
  <c r="DH15" i="1"/>
  <c r="DI15" i="1"/>
  <c r="DG16" i="1"/>
  <c r="DH16" i="1"/>
  <c r="DI16" i="1"/>
  <c r="DG17" i="1"/>
  <c r="DH17" i="1"/>
  <c r="DI17" i="1"/>
  <c r="DG18" i="1"/>
  <c r="DH18" i="1"/>
  <c r="DI18" i="1"/>
  <c r="DG19" i="1"/>
  <c r="DH19" i="1"/>
  <c r="DI19" i="1"/>
  <c r="DG20" i="1"/>
  <c r="DH20" i="1"/>
  <c r="DI20" i="1"/>
  <c r="DG21" i="1"/>
  <c r="DH21" i="1"/>
  <c r="DI21" i="1"/>
  <c r="DG22" i="1"/>
  <c r="DH22" i="1"/>
  <c r="DI22" i="1"/>
  <c r="DG23" i="1"/>
  <c r="DH23" i="1"/>
  <c r="DI23" i="1"/>
  <c r="DG24" i="1"/>
  <c r="DH24" i="1"/>
  <c r="DI24" i="1"/>
  <c r="DG25" i="1"/>
  <c r="DH25" i="1"/>
  <c r="DI25" i="1"/>
  <c r="DG26" i="1"/>
  <c r="DH26" i="1"/>
  <c r="DI26" i="1"/>
  <c r="DG27" i="1"/>
  <c r="DH27" i="1"/>
  <c r="DI27" i="1"/>
  <c r="DG28" i="1"/>
  <c r="DH28" i="1"/>
  <c r="DI28" i="1"/>
  <c r="DG29" i="1"/>
  <c r="DH29" i="1"/>
  <c r="DI29" i="1"/>
  <c r="DG30" i="1"/>
  <c r="DH30" i="1"/>
  <c r="DI30" i="1"/>
  <c r="DG31" i="1"/>
  <c r="DH31" i="1"/>
  <c r="DI31" i="1"/>
  <c r="DG32" i="1"/>
  <c r="DH32" i="1"/>
  <c r="DI32" i="1"/>
  <c r="DG33" i="1"/>
  <c r="DH33" i="1"/>
  <c r="DI33" i="1"/>
  <c r="DG34" i="1"/>
  <c r="DH34" i="1"/>
  <c r="DI34" i="1"/>
  <c r="DG35" i="1"/>
  <c r="DH35" i="1"/>
  <c r="DI35" i="1"/>
  <c r="DG36" i="1"/>
  <c r="DH36" i="1"/>
  <c r="DI36" i="1"/>
  <c r="DG37" i="1"/>
  <c r="DH37" i="1"/>
  <c r="DI37" i="1"/>
  <c r="DG38" i="1"/>
  <c r="DH38" i="1"/>
  <c r="DI38" i="1"/>
  <c r="DG39" i="1"/>
  <c r="DH39" i="1"/>
  <c r="DI39" i="1"/>
  <c r="DG40" i="1"/>
  <c r="DH40" i="1"/>
  <c r="DI40" i="1"/>
  <c r="DG41" i="1"/>
  <c r="DH41" i="1"/>
  <c r="DI41" i="1"/>
  <c r="DG42" i="1"/>
  <c r="DH42" i="1"/>
  <c r="DI42" i="1"/>
  <c r="DG43" i="1"/>
  <c r="DH43" i="1"/>
  <c r="DI43" i="1"/>
  <c r="DG44" i="1"/>
  <c r="DH44" i="1"/>
  <c r="DI44" i="1"/>
  <c r="DG45" i="1"/>
  <c r="DH45" i="1"/>
  <c r="DI45" i="1"/>
  <c r="DG46" i="1"/>
  <c r="DH46" i="1"/>
  <c r="DI46" i="1"/>
  <c r="DG47" i="1"/>
  <c r="DH47" i="1"/>
  <c r="DI47" i="1"/>
  <c r="DG48" i="1"/>
  <c r="DH48" i="1"/>
  <c r="DI48" i="1"/>
  <c r="DG49" i="1"/>
  <c r="DH49" i="1"/>
  <c r="DI49" i="1"/>
  <c r="DG50" i="1"/>
  <c r="DH50" i="1"/>
  <c r="DI50" i="1"/>
  <c r="DG51" i="1"/>
  <c r="DH51" i="1"/>
  <c r="DI51" i="1"/>
  <c r="DG52" i="1"/>
  <c r="DH52" i="1"/>
  <c r="DI52" i="1"/>
  <c r="DG53" i="1"/>
  <c r="DH53" i="1"/>
  <c r="DI53" i="1"/>
  <c r="DG54" i="1"/>
  <c r="DH54" i="1"/>
  <c r="DI54" i="1"/>
  <c r="DG55" i="1"/>
  <c r="DH55" i="1"/>
  <c r="DI55" i="1"/>
  <c r="DG56" i="1"/>
  <c r="DH56" i="1"/>
  <c r="DI56" i="1"/>
  <c r="DG57" i="1"/>
  <c r="DH57" i="1"/>
  <c r="DI57" i="1"/>
  <c r="DG58" i="1"/>
  <c r="DH58" i="1"/>
  <c r="DI58" i="1"/>
  <c r="DG59" i="1"/>
  <c r="DH59" i="1"/>
  <c r="DI59" i="1"/>
  <c r="DG60" i="1"/>
  <c r="DH60" i="1"/>
  <c r="DI60" i="1"/>
  <c r="DG61" i="1"/>
  <c r="DH61" i="1"/>
  <c r="DI61" i="1"/>
  <c r="DG62" i="1"/>
  <c r="DH62" i="1"/>
  <c r="DI62" i="1"/>
  <c r="DG63" i="1"/>
  <c r="DH63" i="1"/>
  <c r="DI63" i="1"/>
  <c r="DG64" i="1"/>
  <c r="DH64" i="1"/>
  <c r="DI64" i="1"/>
  <c r="DG65" i="1"/>
  <c r="DH65" i="1"/>
  <c r="DI65" i="1"/>
  <c r="DG66" i="1"/>
  <c r="DH66" i="1"/>
  <c r="DI66" i="1"/>
  <c r="DG67" i="1"/>
  <c r="DH67" i="1"/>
  <c r="DI67" i="1"/>
  <c r="DG68" i="1"/>
  <c r="DH68" i="1"/>
  <c r="DI68" i="1"/>
  <c r="DG69" i="1"/>
  <c r="DH69" i="1"/>
  <c r="DI69" i="1"/>
  <c r="DG70" i="1"/>
  <c r="DH70" i="1"/>
  <c r="DI70" i="1"/>
  <c r="DG71" i="1"/>
  <c r="DH71" i="1"/>
  <c r="DI71" i="1"/>
  <c r="DG72" i="1"/>
  <c r="DH72" i="1"/>
  <c r="DI72" i="1"/>
  <c r="DG73" i="1"/>
  <c r="DH73" i="1"/>
  <c r="DI73" i="1"/>
  <c r="DG74" i="1"/>
  <c r="DH74" i="1"/>
  <c r="DI74" i="1"/>
  <c r="DG75" i="1"/>
  <c r="DH75" i="1"/>
  <c r="DI75" i="1"/>
  <c r="DG76" i="1"/>
  <c r="DH76" i="1"/>
  <c r="DI76" i="1"/>
  <c r="DG77" i="1"/>
  <c r="DH77" i="1"/>
  <c r="DI77" i="1"/>
  <c r="DG78" i="1"/>
  <c r="DH78" i="1"/>
  <c r="DI78" i="1"/>
  <c r="DG79" i="1"/>
  <c r="DH79" i="1"/>
  <c r="DI79" i="1"/>
  <c r="DG80" i="1"/>
  <c r="DH80" i="1"/>
  <c r="DI80" i="1"/>
  <c r="DG81" i="1"/>
  <c r="DH81" i="1"/>
  <c r="DI81" i="1"/>
  <c r="DG82" i="1"/>
  <c r="DH82" i="1"/>
  <c r="DI82" i="1"/>
  <c r="DG83" i="1"/>
  <c r="DH83" i="1"/>
  <c r="DI83" i="1"/>
  <c r="DG84" i="1"/>
  <c r="DH84" i="1"/>
  <c r="DI84" i="1"/>
  <c r="DG85" i="1"/>
  <c r="DH85" i="1"/>
  <c r="DI85" i="1"/>
  <c r="DG86" i="1"/>
  <c r="DH86" i="1"/>
  <c r="DI86" i="1"/>
  <c r="DG87" i="1"/>
  <c r="DH87" i="1"/>
  <c r="DI87" i="1"/>
  <c r="DG88" i="1"/>
  <c r="DH88" i="1"/>
  <c r="DI88" i="1"/>
  <c r="DG89" i="1"/>
  <c r="DH89" i="1"/>
  <c r="DI89" i="1"/>
  <c r="DG90" i="1"/>
  <c r="DH90" i="1"/>
  <c r="DI90" i="1"/>
  <c r="DG91" i="1"/>
  <c r="DH91" i="1"/>
  <c r="DI91" i="1"/>
  <c r="DG92" i="1"/>
  <c r="DH92" i="1"/>
  <c r="DI92" i="1"/>
  <c r="DG93" i="1"/>
  <c r="DH93" i="1"/>
  <c r="DI93" i="1"/>
  <c r="DG94" i="1"/>
  <c r="DH94" i="1"/>
  <c r="DI94" i="1"/>
  <c r="DG95" i="1"/>
  <c r="DH95" i="1"/>
  <c r="DI95" i="1"/>
  <c r="DG96" i="1"/>
  <c r="DH96" i="1"/>
  <c r="DI96" i="1"/>
  <c r="DG97" i="1"/>
  <c r="DH97" i="1"/>
  <c r="DI97" i="1"/>
  <c r="DG98" i="1"/>
  <c r="DH98" i="1"/>
  <c r="DI98" i="1"/>
  <c r="DG99" i="1"/>
  <c r="DH99" i="1"/>
  <c r="DI99" i="1"/>
  <c r="DG100" i="1"/>
  <c r="DH100" i="1"/>
  <c r="DI100" i="1"/>
  <c r="DG101" i="1"/>
  <c r="DH101" i="1"/>
  <c r="DI101" i="1"/>
  <c r="DG102" i="1"/>
  <c r="DH102" i="1"/>
  <c r="DI102" i="1"/>
  <c r="DG103" i="1"/>
  <c r="DH103" i="1"/>
  <c r="DI103" i="1"/>
  <c r="DG104" i="1"/>
  <c r="DH104" i="1"/>
  <c r="DI104" i="1"/>
  <c r="DG105" i="1"/>
  <c r="DH105" i="1"/>
  <c r="DI105" i="1"/>
  <c r="DG106" i="1"/>
  <c r="DH106" i="1"/>
  <c r="DI106" i="1"/>
  <c r="DG107" i="1"/>
  <c r="DH107" i="1"/>
  <c r="DI107" i="1"/>
  <c r="DG108" i="1"/>
  <c r="DH108" i="1"/>
  <c r="DI108" i="1"/>
  <c r="DG109" i="1"/>
  <c r="DH109" i="1"/>
  <c r="DI109" i="1"/>
  <c r="DG110" i="1"/>
  <c r="DH110" i="1"/>
  <c r="DI110" i="1"/>
  <c r="DG111" i="1"/>
  <c r="DH111" i="1"/>
  <c r="DI111" i="1"/>
  <c r="DG112" i="1"/>
  <c r="DH112" i="1"/>
  <c r="DI112" i="1"/>
  <c r="DG113" i="1"/>
  <c r="DH113" i="1"/>
  <c r="DI113" i="1"/>
  <c r="DG114" i="1"/>
  <c r="DH114" i="1"/>
  <c r="DI114" i="1"/>
  <c r="DG115" i="1"/>
  <c r="DH115" i="1"/>
  <c r="DI115" i="1"/>
  <c r="DG116" i="1"/>
  <c r="DH116" i="1"/>
  <c r="DI116" i="1"/>
  <c r="DG117" i="1"/>
  <c r="DH117" i="1"/>
  <c r="DI117" i="1"/>
  <c r="DG118" i="1"/>
  <c r="DH118" i="1"/>
  <c r="DI118" i="1"/>
  <c r="DG119" i="1"/>
  <c r="DH119" i="1"/>
  <c r="DI119" i="1"/>
  <c r="DG120" i="1"/>
  <c r="DH120" i="1"/>
  <c r="DI120" i="1"/>
  <c r="DG121" i="1"/>
  <c r="DH121" i="1"/>
  <c r="DI121" i="1"/>
  <c r="DG122" i="1"/>
  <c r="DH122" i="1"/>
  <c r="DI122" i="1"/>
  <c r="DG123" i="1"/>
  <c r="DH123" i="1"/>
  <c r="DI123" i="1"/>
  <c r="DG124" i="1"/>
  <c r="DH124" i="1"/>
  <c r="DI124" i="1"/>
  <c r="DG125" i="1"/>
  <c r="DH125" i="1"/>
  <c r="DI125" i="1"/>
  <c r="DG126" i="1"/>
  <c r="DH126" i="1"/>
  <c r="DI126" i="1"/>
  <c r="DG127" i="1"/>
  <c r="DH127" i="1"/>
  <c r="DI127" i="1"/>
  <c r="DG128" i="1"/>
  <c r="DH128" i="1"/>
  <c r="DI128" i="1"/>
  <c r="DG129" i="1"/>
  <c r="DH129" i="1"/>
  <c r="DI129" i="1"/>
  <c r="DG130" i="1"/>
  <c r="DH130" i="1"/>
  <c r="DI130" i="1"/>
  <c r="DG131" i="1"/>
  <c r="DH131" i="1"/>
  <c r="DI131" i="1"/>
  <c r="DG132" i="1"/>
  <c r="DH132" i="1"/>
  <c r="DI132" i="1"/>
  <c r="DG133" i="1"/>
  <c r="DH133" i="1"/>
  <c r="DI133" i="1"/>
  <c r="DG134" i="1"/>
  <c r="DH134" i="1"/>
  <c r="DI134" i="1"/>
  <c r="DG135" i="1"/>
  <c r="DH135" i="1"/>
  <c r="DI135" i="1"/>
  <c r="DG136" i="1"/>
  <c r="DH136" i="1"/>
  <c r="DI136" i="1"/>
  <c r="DG137" i="1"/>
  <c r="DH137" i="1"/>
  <c r="DI137" i="1"/>
  <c r="DG138" i="1"/>
  <c r="DH138" i="1"/>
  <c r="DI138" i="1"/>
  <c r="DG139" i="1"/>
  <c r="DH139" i="1"/>
  <c r="DI139" i="1"/>
  <c r="DG140" i="1"/>
  <c r="DH140" i="1"/>
  <c r="DI140" i="1"/>
  <c r="DG141" i="1"/>
  <c r="DH141" i="1"/>
  <c r="DI141" i="1"/>
  <c r="DG142" i="1"/>
  <c r="DH142" i="1"/>
  <c r="DI142" i="1"/>
  <c r="DG143" i="1"/>
  <c r="DH143" i="1"/>
  <c r="DI143" i="1"/>
  <c r="DG144" i="1"/>
  <c r="DH144" i="1"/>
  <c r="DI144" i="1"/>
  <c r="DG145" i="1"/>
  <c r="DH145" i="1"/>
  <c r="DI145" i="1"/>
  <c r="DG146" i="1"/>
  <c r="DH146" i="1"/>
  <c r="DI146" i="1"/>
  <c r="DG147" i="1"/>
  <c r="DH147" i="1"/>
  <c r="DI147" i="1"/>
  <c r="DG148" i="1"/>
  <c r="DH148" i="1"/>
  <c r="DI148" i="1"/>
  <c r="DG149" i="1"/>
  <c r="DH149" i="1"/>
  <c r="DI149" i="1"/>
  <c r="DG150" i="1"/>
  <c r="DH150" i="1"/>
  <c r="DI150" i="1"/>
  <c r="DG151" i="1"/>
  <c r="DH151" i="1"/>
  <c r="DI151" i="1"/>
  <c r="DG152" i="1"/>
  <c r="DH152" i="1"/>
  <c r="DI152" i="1"/>
  <c r="DG153" i="1"/>
  <c r="DH153" i="1"/>
  <c r="DI153" i="1"/>
  <c r="DG154" i="1"/>
  <c r="DH154" i="1"/>
  <c r="DI154" i="1"/>
  <c r="DG155" i="1"/>
  <c r="DH155" i="1"/>
  <c r="DI155" i="1"/>
  <c r="DG156" i="1"/>
  <c r="DH156" i="1"/>
  <c r="DI156" i="1"/>
  <c r="DG157" i="1"/>
  <c r="DH157" i="1"/>
  <c r="DI157" i="1"/>
  <c r="DG158" i="1"/>
  <c r="DH158" i="1"/>
  <c r="DI158" i="1"/>
  <c r="DG159" i="1"/>
  <c r="DH159" i="1"/>
  <c r="DI159" i="1"/>
  <c r="DG160" i="1"/>
  <c r="DH160" i="1"/>
  <c r="DI160" i="1"/>
  <c r="DG161" i="1"/>
  <c r="DH161" i="1"/>
  <c r="DI161" i="1"/>
  <c r="DG162" i="1"/>
  <c r="DH162" i="1"/>
  <c r="DI162" i="1"/>
  <c r="DG163" i="1"/>
  <c r="DH163" i="1"/>
  <c r="DI163" i="1"/>
  <c r="DG164" i="1"/>
  <c r="DH164" i="1"/>
  <c r="DI164" i="1"/>
  <c r="DG165" i="1"/>
  <c r="DH165" i="1"/>
  <c r="DI165" i="1"/>
  <c r="DG166" i="1"/>
  <c r="DH166" i="1"/>
  <c r="DI166" i="1"/>
  <c r="DG167" i="1"/>
  <c r="DH167" i="1"/>
  <c r="DI167" i="1"/>
  <c r="DG168" i="1"/>
  <c r="DH168" i="1"/>
  <c r="DI168" i="1"/>
  <c r="DG169" i="1"/>
  <c r="DH169" i="1"/>
  <c r="DI169" i="1"/>
  <c r="DG170" i="1"/>
  <c r="DH170" i="1"/>
  <c r="DI170" i="1"/>
  <c r="DG171" i="1"/>
  <c r="DH171" i="1"/>
  <c r="DI171" i="1"/>
  <c r="DG172" i="1"/>
  <c r="DH172" i="1"/>
  <c r="DI172" i="1"/>
  <c r="DG173" i="1"/>
  <c r="DH173" i="1"/>
  <c r="DI173" i="1"/>
  <c r="DG174" i="1"/>
  <c r="DH174" i="1"/>
  <c r="DI174" i="1"/>
  <c r="DG175" i="1"/>
  <c r="DH175" i="1"/>
  <c r="DI175" i="1"/>
  <c r="DG176" i="1"/>
  <c r="DH176" i="1"/>
  <c r="DI176" i="1"/>
  <c r="DG177" i="1"/>
  <c r="DH177" i="1"/>
  <c r="DI177" i="1"/>
  <c r="DG178" i="1"/>
  <c r="DH178" i="1"/>
  <c r="DI178" i="1"/>
  <c r="DG179" i="1"/>
  <c r="DH179" i="1"/>
  <c r="DI179" i="1"/>
  <c r="DG180" i="1"/>
  <c r="DH180" i="1"/>
  <c r="DI180" i="1"/>
  <c r="DG181" i="1"/>
  <c r="DH181" i="1"/>
  <c r="DI181" i="1"/>
  <c r="DG182" i="1"/>
  <c r="DH182" i="1"/>
  <c r="DI182" i="1"/>
  <c r="DG183" i="1"/>
  <c r="DH183" i="1"/>
  <c r="DI183" i="1"/>
  <c r="DG184" i="1"/>
  <c r="DH184" i="1"/>
  <c r="DI184" i="1"/>
  <c r="DG185" i="1"/>
  <c r="DH185" i="1"/>
  <c r="DI185" i="1"/>
  <c r="DG186" i="1"/>
  <c r="DH186" i="1"/>
  <c r="DI186" i="1"/>
  <c r="DG187" i="1"/>
  <c r="DH187" i="1"/>
  <c r="DI187" i="1"/>
  <c r="DG188" i="1"/>
  <c r="DH188" i="1"/>
  <c r="DI188" i="1"/>
  <c r="DG189" i="1"/>
  <c r="DH189" i="1"/>
  <c r="DI189" i="1"/>
  <c r="DG190" i="1"/>
  <c r="DH190" i="1"/>
  <c r="DI190" i="1"/>
  <c r="DG191" i="1"/>
  <c r="DH191" i="1"/>
  <c r="DI191" i="1"/>
  <c r="DG192" i="1"/>
  <c r="DH192" i="1"/>
  <c r="DI192" i="1"/>
  <c r="DG193" i="1"/>
  <c r="DH193" i="1"/>
  <c r="DI193" i="1"/>
  <c r="DG194" i="1"/>
  <c r="DH194" i="1"/>
  <c r="DI194" i="1"/>
  <c r="DG195" i="1"/>
  <c r="DH195" i="1"/>
  <c r="DI195" i="1"/>
  <c r="DG196" i="1"/>
  <c r="DH196" i="1"/>
  <c r="DI196" i="1"/>
  <c r="DG197" i="1"/>
  <c r="DH197" i="1"/>
  <c r="DI197" i="1"/>
  <c r="DG198" i="1"/>
  <c r="DH198" i="1"/>
  <c r="DI198" i="1"/>
  <c r="DG199" i="1"/>
  <c r="DH199" i="1"/>
  <c r="DI199" i="1"/>
  <c r="DG200" i="1"/>
  <c r="DH200" i="1"/>
  <c r="DI200" i="1"/>
  <c r="DG201" i="1"/>
  <c r="DH201" i="1"/>
  <c r="DI201" i="1"/>
  <c r="DG202" i="1"/>
  <c r="DH202" i="1"/>
  <c r="DI202" i="1"/>
  <c r="DG203" i="1"/>
  <c r="DH203" i="1"/>
  <c r="DI203" i="1"/>
  <c r="DG204" i="1"/>
  <c r="DH204" i="1"/>
  <c r="DI204" i="1"/>
  <c r="DG205" i="1"/>
  <c r="DH205" i="1"/>
  <c r="DI205" i="1"/>
  <c r="DG206" i="1"/>
  <c r="DH206" i="1"/>
  <c r="DI206" i="1"/>
  <c r="DG207" i="1"/>
  <c r="DH207" i="1"/>
  <c r="DI207" i="1"/>
  <c r="DG208" i="1"/>
  <c r="DH208" i="1"/>
  <c r="DI208" i="1"/>
  <c r="DG209" i="1"/>
  <c r="DH209" i="1"/>
  <c r="DI209" i="1"/>
  <c r="DG210" i="1"/>
  <c r="DH210" i="1"/>
  <c r="DI210" i="1"/>
  <c r="DG211" i="1"/>
  <c r="DH211" i="1"/>
  <c r="DI211" i="1"/>
  <c r="DG212" i="1"/>
  <c r="DH212" i="1"/>
  <c r="DI212" i="1"/>
  <c r="DG213" i="1"/>
  <c r="DH213" i="1"/>
  <c r="DI213" i="1"/>
  <c r="DG214" i="1"/>
  <c r="DH214" i="1"/>
  <c r="DI214" i="1"/>
  <c r="DG215" i="1"/>
  <c r="DH215" i="1"/>
  <c r="DI215" i="1"/>
  <c r="DG216" i="1"/>
  <c r="DH216" i="1"/>
  <c r="DI216" i="1"/>
  <c r="DG217" i="1"/>
  <c r="DH217" i="1"/>
  <c r="DI217" i="1"/>
  <c r="DG218" i="1"/>
  <c r="DH218" i="1"/>
  <c r="DI218" i="1"/>
  <c r="DG219" i="1"/>
  <c r="DH219" i="1"/>
  <c r="DI219" i="1"/>
  <c r="DG220" i="1"/>
  <c r="DH220" i="1"/>
  <c r="DI220" i="1"/>
  <c r="DG221" i="1"/>
  <c r="DH221" i="1"/>
  <c r="DI221" i="1"/>
  <c r="DG222" i="1"/>
  <c r="DH222" i="1"/>
  <c r="DI222" i="1"/>
  <c r="DG223" i="1"/>
  <c r="DH223" i="1"/>
  <c r="DI223" i="1"/>
  <c r="DG224" i="1"/>
  <c r="DH224" i="1"/>
  <c r="DI224" i="1"/>
  <c r="DG225" i="1"/>
  <c r="DH225" i="1"/>
  <c r="DI225" i="1"/>
  <c r="DG226" i="1"/>
  <c r="DH226" i="1"/>
  <c r="DI226" i="1"/>
  <c r="DG227" i="1"/>
  <c r="DH227" i="1"/>
  <c r="DI227" i="1"/>
  <c r="DG228" i="1"/>
  <c r="DH228" i="1"/>
  <c r="DI228" i="1"/>
  <c r="DG229" i="1"/>
  <c r="DH229" i="1"/>
  <c r="DI229" i="1"/>
  <c r="DG230" i="1"/>
  <c r="DH230" i="1"/>
  <c r="DI230" i="1"/>
  <c r="DG231" i="1"/>
  <c r="DH231" i="1"/>
  <c r="DI231" i="1"/>
  <c r="DG232" i="1"/>
  <c r="DH232" i="1"/>
  <c r="DI232" i="1"/>
  <c r="DG233" i="1"/>
  <c r="DH233" i="1"/>
  <c r="DI233" i="1"/>
  <c r="DG234" i="1"/>
  <c r="DH234" i="1"/>
  <c r="DI234" i="1"/>
  <c r="DG235" i="1"/>
  <c r="DH235" i="1"/>
  <c r="DI235" i="1"/>
  <c r="DG236" i="1"/>
  <c r="DH236" i="1"/>
  <c r="DI236" i="1"/>
  <c r="DG237" i="1"/>
  <c r="DH237" i="1"/>
  <c r="DI237" i="1"/>
  <c r="DG238" i="1"/>
  <c r="DH238" i="1"/>
  <c r="DI238" i="1"/>
  <c r="DG239" i="1"/>
  <c r="DH239" i="1"/>
  <c r="DI239" i="1"/>
  <c r="DG240" i="1"/>
  <c r="DH240" i="1"/>
  <c r="DI240" i="1"/>
  <c r="DG241" i="1"/>
  <c r="DH241" i="1"/>
  <c r="DI241" i="1"/>
  <c r="DG242" i="1"/>
  <c r="DH242" i="1"/>
  <c r="DI242" i="1"/>
  <c r="DG243" i="1"/>
  <c r="DH243" i="1"/>
  <c r="DI243" i="1"/>
  <c r="DG244" i="1"/>
  <c r="DH244" i="1"/>
  <c r="DI244" i="1"/>
  <c r="DG245" i="1"/>
  <c r="DH245" i="1"/>
  <c r="DI245" i="1"/>
  <c r="DG246" i="1"/>
  <c r="DH246" i="1"/>
  <c r="DI246" i="1"/>
  <c r="DG247" i="1"/>
  <c r="DH247" i="1"/>
  <c r="DI247" i="1"/>
  <c r="DG248" i="1"/>
  <c r="DH248" i="1"/>
  <c r="DI248" i="1"/>
  <c r="DG249" i="1"/>
  <c r="DH249" i="1"/>
  <c r="DI249" i="1"/>
  <c r="DG250" i="1"/>
  <c r="DH250" i="1"/>
  <c r="DI250" i="1"/>
  <c r="DG251" i="1"/>
  <c r="DH251" i="1"/>
  <c r="DI251" i="1"/>
  <c r="DG252" i="1"/>
  <c r="DH252" i="1"/>
  <c r="DI252" i="1"/>
  <c r="DG253" i="1"/>
  <c r="DH253" i="1"/>
  <c r="DI253" i="1"/>
  <c r="DG254" i="1"/>
  <c r="DH254" i="1"/>
  <c r="DI254" i="1"/>
  <c r="DG255" i="1"/>
  <c r="DH255" i="1"/>
  <c r="DI255" i="1"/>
  <c r="DG256" i="1"/>
  <c r="DH256" i="1"/>
  <c r="DI256" i="1"/>
  <c r="DG257" i="1"/>
  <c r="DH257" i="1"/>
  <c r="DI257" i="1"/>
  <c r="DG258" i="1"/>
  <c r="DH258" i="1"/>
  <c r="DI258" i="1"/>
  <c r="DG259" i="1"/>
  <c r="DH259" i="1"/>
  <c r="DI259" i="1"/>
  <c r="DG260" i="1"/>
  <c r="DH260" i="1"/>
  <c r="DI260" i="1"/>
  <c r="DG261" i="1"/>
  <c r="DH261" i="1"/>
  <c r="DI261" i="1"/>
  <c r="DG262" i="1"/>
  <c r="DH262" i="1"/>
  <c r="DI262" i="1"/>
  <c r="DG263" i="1"/>
  <c r="DH263" i="1"/>
  <c r="DI263" i="1"/>
  <c r="DG264" i="1"/>
  <c r="DH264" i="1"/>
  <c r="DI264" i="1"/>
  <c r="DG265" i="1"/>
  <c r="DH265" i="1"/>
  <c r="DI265" i="1"/>
  <c r="DG266" i="1"/>
  <c r="DH266" i="1"/>
  <c r="DI266" i="1"/>
  <c r="DG267" i="1"/>
  <c r="DH267" i="1"/>
  <c r="DI267" i="1"/>
  <c r="DG268" i="1"/>
  <c r="DH268" i="1"/>
  <c r="DI268" i="1"/>
  <c r="DG269" i="1"/>
  <c r="DH269" i="1"/>
  <c r="DI269" i="1"/>
  <c r="DG270" i="1"/>
  <c r="DH270" i="1"/>
  <c r="DI270" i="1"/>
  <c r="DG271" i="1"/>
  <c r="DH271" i="1"/>
  <c r="DI271" i="1"/>
  <c r="DG272" i="1"/>
  <c r="DH272" i="1"/>
  <c r="DI272" i="1"/>
  <c r="DG273" i="1"/>
  <c r="DH273" i="1"/>
  <c r="DI273" i="1"/>
  <c r="DG274" i="1"/>
  <c r="DH274" i="1"/>
  <c r="DI274" i="1"/>
  <c r="DG275" i="1"/>
  <c r="DH275" i="1"/>
  <c r="DI275" i="1"/>
  <c r="DG276" i="1"/>
  <c r="DH276" i="1"/>
  <c r="DI276" i="1"/>
  <c r="DG277" i="1"/>
  <c r="DH277" i="1"/>
  <c r="DI277" i="1"/>
  <c r="DG278" i="1"/>
  <c r="DH278" i="1"/>
  <c r="DI278" i="1"/>
  <c r="DG279" i="1"/>
  <c r="DH279" i="1"/>
  <c r="DI279" i="1"/>
  <c r="DG280" i="1"/>
  <c r="DH280" i="1"/>
  <c r="DI280" i="1"/>
  <c r="DG281" i="1"/>
  <c r="DH281" i="1"/>
  <c r="DI281" i="1"/>
  <c r="DG282" i="1"/>
  <c r="DH282" i="1"/>
  <c r="DI282" i="1"/>
  <c r="DG283" i="1"/>
  <c r="DH283" i="1"/>
  <c r="DI283" i="1"/>
  <c r="DG284" i="1"/>
  <c r="DH284" i="1"/>
  <c r="DI284" i="1"/>
  <c r="DG285" i="1"/>
  <c r="DH285" i="1"/>
  <c r="DI285" i="1"/>
  <c r="DG286" i="1"/>
  <c r="DH286" i="1"/>
  <c r="DI286" i="1"/>
  <c r="DG287" i="1"/>
  <c r="DH287" i="1"/>
  <c r="DI287" i="1"/>
  <c r="DG288" i="1"/>
  <c r="DH288" i="1"/>
  <c r="DI288" i="1"/>
  <c r="DG289" i="1"/>
  <c r="DH289" i="1"/>
  <c r="DI289" i="1"/>
  <c r="DG290" i="1"/>
  <c r="DH290" i="1"/>
  <c r="DI290" i="1"/>
  <c r="DG291" i="1"/>
  <c r="DH291" i="1"/>
  <c r="DI291" i="1"/>
  <c r="DG292" i="1"/>
  <c r="DH292" i="1"/>
  <c r="DI292" i="1"/>
  <c r="DG293" i="1"/>
  <c r="DH293" i="1"/>
  <c r="DI293" i="1"/>
  <c r="DG294" i="1"/>
  <c r="DH294" i="1"/>
  <c r="DI294" i="1"/>
  <c r="DG295" i="1"/>
  <c r="DH295" i="1"/>
  <c r="DI295" i="1"/>
  <c r="DG296" i="1"/>
  <c r="DH296" i="1"/>
  <c r="DI296" i="1"/>
  <c r="DG297" i="1"/>
  <c r="DH297" i="1"/>
  <c r="DI297" i="1"/>
  <c r="DG298" i="1"/>
  <c r="DH298" i="1"/>
  <c r="DI298" i="1"/>
  <c r="DG299" i="1"/>
  <c r="DH299" i="1"/>
  <c r="DI299" i="1"/>
  <c r="DG300" i="1"/>
  <c r="DH300" i="1"/>
  <c r="DI300" i="1"/>
  <c r="DG301" i="1"/>
  <c r="DH301" i="1"/>
  <c r="DI301" i="1"/>
  <c r="DG302" i="1"/>
  <c r="DH302" i="1"/>
  <c r="DI302" i="1"/>
  <c r="DG303" i="1"/>
  <c r="DH303" i="1"/>
  <c r="DI303" i="1"/>
  <c r="DG304" i="1"/>
  <c r="DH304" i="1"/>
  <c r="DI304" i="1"/>
  <c r="DG305" i="1"/>
  <c r="DH305" i="1"/>
  <c r="DI305" i="1"/>
  <c r="DG306" i="1"/>
  <c r="DH306" i="1"/>
  <c r="DI306" i="1"/>
  <c r="DG307" i="1"/>
  <c r="DH307" i="1"/>
  <c r="DI307" i="1"/>
  <c r="DG308" i="1"/>
  <c r="DH308" i="1"/>
  <c r="DI308" i="1"/>
  <c r="DG309" i="1"/>
  <c r="DH309" i="1"/>
  <c r="DI309" i="1"/>
  <c r="DG310" i="1"/>
  <c r="DH310" i="1"/>
  <c r="DI310" i="1"/>
  <c r="DG311" i="1"/>
  <c r="DH311" i="1"/>
  <c r="DI311" i="1"/>
  <c r="DG312" i="1"/>
  <c r="DH312" i="1"/>
  <c r="DI312" i="1"/>
  <c r="DG313" i="1"/>
  <c r="DH313" i="1"/>
  <c r="DI313" i="1"/>
  <c r="DG314" i="1"/>
  <c r="DH314" i="1"/>
  <c r="DI314" i="1"/>
  <c r="DG315" i="1"/>
  <c r="DH315" i="1"/>
  <c r="DI315" i="1"/>
  <c r="DG316" i="1"/>
  <c r="DH316" i="1"/>
  <c r="DI316" i="1"/>
  <c r="DG317" i="1"/>
  <c r="DH317" i="1"/>
  <c r="DI317" i="1"/>
  <c r="DG318" i="1"/>
  <c r="DH318" i="1"/>
  <c r="DI318" i="1"/>
  <c r="DG319" i="1"/>
  <c r="DH319" i="1"/>
  <c r="DI319" i="1"/>
  <c r="DG320" i="1"/>
  <c r="DH320" i="1"/>
  <c r="DI320" i="1"/>
  <c r="DG321" i="1"/>
  <c r="DH321" i="1"/>
  <c r="DI321" i="1"/>
  <c r="DG322" i="1"/>
  <c r="DH322" i="1"/>
  <c r="DI322" i="1"/>
  <c r="DG323" i="1"/>
  <c r="DH323" i="1"/>
  <c r="DI323" i="1"/>
  <c r="DG324" i="1"/>
  <c r="DH324" i="1"/>
  <c r="DI324" i="1"/>
  <c r="DG325" i="1"/>
  <c r="DH325" i="1"/>
  <c r="DI325" i="1"/>
  <c r="DG326" i="1"/>
  <c r="DH326" i="1"/>
  <c r="DI326" i="1"/>
  <c r="DG327" i="1"/>
  <c r="DH327" i="1"/>
  <c r="DI327" i="1"/>
  <c r="DG328" i="1"/>
  <c r="DH328" i="1"/>
  <c r="DI328" i="1"/>
  <c r="DG329" i="1"/>
  <c r="DH329" i="1"/>
  <c r="DI329" i="1"/>
  <c r="DG330" i="1"/>
  <c r="DH330" i="1"/>
  <c r="DI330" i="1"/>
  <c r="DG331" i="1"/>
  <c r="DH331" i="1"/>
  <c r="DI331" i="1"/>
  <c r="DG332" i="1"/>
  <c r="DH332" i="1"/>
  <c r="DI332" i="1"/>
  <c r="DG333" i="1"/>
  <c r="DH333" i="1"/>
  <c r="DI333" i="1"/>
  <c r="DG334" i="1"/>
  <c r="DH334" i="1"/>
  <c r="DI334" i="1"/>
  <c r="DG335" i="1"/>
  <c r="DH335" i="1"/>
  <c r="DI335" i="1"/>
  <c r="DG336" i="1"/>
  <c r="DH336" i="1"/>
  <c r="DI336" i="1"/>
  <c r="DG337" i="1"/>
  <c r="DH337" i="1"/>
  <c r="DI337" i="1"/>
  <c r="DG338" i="1"/>
  <c r="DH338" i="1"/>
  <c r="DI338" i="1"/>
  <c r="DG339" i="1"/>
  <c r="DH339" i="1"/>
  <c r="DI339" i="1"/>
  <c r="DG340" i="1"/>
  <c r="DH340" i="1"/>
  <c r="DI340" i="1"/>
  <c r="DG341" i="1"/>
  <c r="DH341" i="1"/>
  <c r="DI341" i="1"/>
  <c r="DG342" i="1"/>
  <c r="DH342" i="1"/>
  <c r="DI342" i="1"/>
  <c r="DG343" i="1"/>
  <c r="DH343" i="1"/>
  <c r="DI343" i="1"/>
  <c r="DG344" i="1"/>
  <c r="DH344" i="1"/>
  <c r="DI344" i="1"/>
  <c r="DG345" i="1"/>
  <c r="DH345" i="1"/>
  <c r="DI345" i="1"/>
  <c r="DG346" i="1"/>
  <c r="DH346" i="1"/>
  <c r="DI346" i="1"/>
  <c r="DG347" i="1"/>
  <c r="DH347" i="1"/>
  <c r="DI347" i="1"/>
  <c r="DG348" i="1"/>
  <c r="DH348" i="1"/>
  <c r="DI348" i="1"/>
  <c r="DG349" i="1"/>
  <c r="DH349" i="1"/>
  <c r="DI349" i="1"/>
  <c r="DG350" i="1"/>
  <c r="DH350" i="1"/>
  <c r="DI350" i="1"/>
  <c r="DG351" i="1"/>
  <c r="DH351" i="1"/>
  <c r="DI351" i="1"/>
  <c r="DG352" i="1"/>
  <c r="DH352" i="1"/>
  <c r="DI352" i="1"/>
  <c r="DG353" i="1"/>
  <c r="DH353" i="1"/>
  <c r="DI353" i="1"/>
  <c r="DG354" i="1"/>
  <c r="DH354" i="1"/>
  <c r="DI354" i="1"/>
  <c r="DG355" i="1"/>
  <c r="DH355" i="1"/>
  <c r="DI355" i="1"/>
  <c r="DG356" i="1"/>
  <c r="DH356" i="1"/>
  <c r="DI356" i="1"/>
  <c r="DG357" i="1"/>
  <c r="DH357" i="1"/>
  <c r="DI357" i="1"/>
  <c r="DG358" i="1"/>
  <c r="DH358" i="1"/>
  <c r="DI358" i="1"/>
  <c r="DG359" i="1"/>
  <c r="DH359" i="1"/>
  <c r="DI359" i="1"/>
  <c r="DG360" i="1"/>
  <c r="DH360" i="1"/>
  <c r="DI360" i="1"/>
  <c r="DG361" i="1"/>
  <c r="DH361" i="1"/>
  <c r="DI361" i="1"/>
  <c r="DG362" i="1"/>
  <c r="DH362" i="1"/>
  <c r="DI362" i="1"/>
  <c r="DG363" i="1"/>
  <c r="DH363" i="1"/>
  <c r="DI363" i="1"/>
  <c r="DG364" i="1"/>
  <c r="DH364" i="1"/>
  <c r="DI364" i="1"/>
  <c r="DG365" i="1"/>
  <c r="DH365" i="1"/>
  <c r="DI365" i="1"/>
  <c r="DG366" i="1"/>
  <c r="DH366" i="1"/>
  <c r="DI366" i="1"/>
  <c r="DG367" i="1"/>
  <c r="DH367" i="1"/>
  <c r="DI367" i="1"/>
  <c r="DG368" i="1"/>
  <c r="DH368" i="1"/>
  <c r="DI368" i="1"/>
  <c r="DG369" i="1"/>
  <c r="DH369" i="1"/>
  <c r="DI369" i="1"/>
  <c r="DG370" i="1"/>
  <c r="DH370" i="1"/>
  <c r="DI370" i="1"/>
  <c r="DG371" i="1"/>
  <c r="DH371" i="1"/>
  <c r="DI371" i="1"/>
  <c r="DG372" i="1"/>
  <c r="DH372" i="1"/>
  <c r="DI372" i="1"/>
  <c r="DG373" i="1"/>
  <c r="DH373" i="1"/>
  <c r="DI373" i="1"/>
  <c r="DG374" i="1"/>
  <c r="DH374" i="1"/>
  <c r="DI374" i="1"/>
  <c r="DG375" i="1"/>
  <c r="DH375" i="1"/>
  <c r="DI375" i="1"/>
  <c r="DG376" i="1"/>
  <c r="DH376" i="1"/>
  <c r="DI376" i="1"/>
  <c r="DG377" i="1"/>
  <c r="DH377" i="1"/>
  <c r="DI377" i="1"/>
  <c r="DG378" i="1"/>
  <c r="DH378" i="1"/>
  <c r="DI378" i="1"/>
  <c r="DG379" i="1"/>
  <c r="DH379" i="1"/>
  <c r="DI379" i="1"/>
  <c r="DG380" i="1"/>
  <c r="DH380" i="1"/>
  <c r="DI380" i="1"/>
  <c r="DG381" i="1"/>
  <c r="DH381" i="1"/>
  <c r="DI381" i="1"/>
  <c r="DG382" i="1"/>
  <c r="DH382" i="1"/>
  <c r="DI382" i="1"/>
  <c r="DG383" i="1"/>
  <c r="DH383" i="1"/>
  <c r="DI383" i="1"/>
  <c r="DG384" i="1"/>
  <c r="DH384" i="1"/>
  <c r="DI384" i="1"/>
  <c r="DG385" i="1"/>
  <c r="DH385" i="1"/>
  <c r="DI385" i="1"/>
  <c r="DG386" i="1"/>
  <c r="DH386" i="1"/>
  <c r="DI386" i="1"/>
  <c r="DG387" i="1"/>
  <c r="DH387" i="1"/>
  <c r="DI387" i="1"/>
  <c r="DG388" i="1"/>
  <c r="DH388" i="1"/>
  <c r="DI388" i="1"/>
  <c r="DG389" i="1"/>
  <c r="DH389" i="1"/>
  <c r="DI389" i="1"/>
  <c r="DG390" i="1"/>
  <c r="DH390" i="1"/>
  <c r="DI390" i="1"/>
  <c r="DG391" i="1"/>
  <c r="DH391" i="1"/>
  <c r="DI391" i="1"/>
  <c r="DG392" i="1"/>
  <c r="DH392" i="1"/>
  <c r="DI392" i="1"/>
  <c r="DG393" i="1"/>
  <c r="DH393" i="1"/>
  <c r="DI393" i="1"/>
  <c r="DG394" i="1"/>
  <c r="DH394" i="1"/>
  <c r="DI394" i="1"/>
  <c r="DG395" i="1"/>
  <c r="DH395" i="1"/>
  <c r="DI395" i="1"/>
  <c r="DG396" i="1"/>
  <c r="DH396" i="1"/>
  <c r="DI396" i="1"/>
  <c r="DG397" i="1"/>
  <c r="DH397" i="1"/>
  <c r="DI397" i="1"/>
  <c r="DG398" i="1"/>
  <c r="DH398" i="1"/>
  <c r="DI398" i="1"/>
  <c r="DG399" i="1"/>
  <c r="DH399" i="1"/>
  <c r="DI399" i="1"/>
  <c r="DG400" i="1"/>
  <c r="DH400" i="1"/>
  <c r="DI400" i="1"/>
  <c r="DG401" i="1"/>
  <c r="DH401" i="1"/>
  <c r="DI401" i="1"/>
  <c r="DG402" i="1"/>
  <c r="DH402" i="1"/>
  <c r="DI402" i="1"/>
  <c r="DG403" i="1"/>
  <c r="DH403" i="1"/>
  <c r="DI403" i="1"/>
  <c r="DG404" i="1"/>
  <c r="DH404" i="1"/>
  <c r="DI404" i="1"/>
  <c r="DG405" i="1"/>
  <c r="DH405" i="1"/>
  <c r="DI405" i="1"/>
  <c r="DG406" i="1"/>
  <c r="DH406" i="1"/>
  <c r="DI406" i="1"/>
  <c r="DG407" i="1"/>
  <c r="DH407" i="1"/>
  <c r="DI407" i="1"/>
  <c r="DG408" i="1"/>
  <c r="DH408" i="1"/>
  <c r="DI408" i="1"/>
  <c r="DG409" i="1"/>
  <c r="DH409" i="1"/>
  <c r="DI409" i="1"/>
  <c r="DG410" i="1"/>
  <c r="DH410" i="1"/>
  <c r="DI410" i="1"/>
  <c r="DG411" i="1"/>
  <c r="DH411" i="1"/>
  <c r="DI411" i="1"/>
  <c r="DG412" i="1"/>
  <c r="DH412" i="1"/>
  <c r="DI412" i="1"/>
  <c r="DG413" i="1"/>
  <c r="DH413" i="1"/>
  <c r="DI413" i="1"/>
  <c r="DG414" i="1"/>
  <c r="DH414" i="1"/>
  <c r="DI414" i="1"/>
  <c r="DG415" i="1"/>
  <c r="DH415" i="1"/>
  <c r="DI415" i="1"/>
  <c r="DG416" i="1"/>
  <c r="DH416" i="1"/>
  <c r="DI416" i="1"/>
  <c r="DG417" i="1"/>
  <c r="DH417" i="1"/>
  <c r="DI417" i="1"/>
  <c r="DG418" i="1"/>
  <c r="DH418" i="1"/>
  <c r="DI418" i="1"/>
  <c r="DG419" i="1"/>
  <c r="DH419" i="1"/>
  <c r="DI419" i="1"/>
  <c r="DG420" i="1"/>
  <c r="DH420" i="1"/>
  <c r="DI420" i="1"/>
  <c r="DG421" i="1"/>
  <c r="DH421" i="1"/>
  <c r="DI421" i="1"/>
  <c r="DG422" i="1"/>
  <c r="DH422" i="1"/>
  <c r="DI422" i="1"/>
  <c r="DG423" i="1"/>
  <c r="DH423" i="1"/>
  <c r="DI423" i="1"/>
  <c r="DG424" i="1"/>
  <c r="DH424" i="1"/>
  <c r="DI424" i="1"/>
  <c r="DG425" i="1"/>
  <c r="DH425" i="1"/>
  <c r="DI425" i="1"/>
  <c r="DG426" i="1"/>
  <c r="DH426" i="1"/>
  <c r="DI426" i="1"/>
  <c r="DG427" i="1"/>
  <c r="DH427" i="1"/>
  <c r="DI427" i="1"/>
  <c r="DG428" i="1"/>
  <c r="DH428" i="1"/>
  <c r="DI428" i="1"/>
  <c r="DG429" i="1"/>
  <c r="DH429" i="1"/>
  <c r="DI429" i="1"/>
  <c r="DG430" i="1"/>
  <c r="DH430" i="1"/>
  <c r="DI430" i="1"/>
  <c r="DG431" i="1"/>
  <c r="DH431" i="1"/>
  <c r="DI431" i="1"/>
  <c r="DG432" i="1"/>
  <c r="DH432" i="1"/>
  <c r="DI432" i="1"/>
  <c r="DG433" i="1"/>
  <c r="DH433" i="1"/>
  <c r="DI433" i="1"/>
  <c r="DG434" i="1"/>
  <c r="DH434" i="1"/>
  <c r="DI434" i="1"/>
  <c r="DG435" i="1"/>
  <c r="DH435" i="1"/>
  <c r="DI435" i="1"/>
  <c r="DG436" i="1"/>
  <c r="DH436" i="1"/>
  <c r="DI436" i="1"/>
  <c r="DG437" i="1"/>
  <c r="DH437" i="1"/>
  <c r="DI437" i="1"/>
  <c r="DG438" i="1"/>
  <c r="DH438" i="1"/>
  <c r="DI438" i="1"/>
  <c r="DG439" i="1"/>
  <c r="DH439" i="1"/>
  <c r="DI439" i="1"/>
  <c r="DG440" i="1"/>
  <c r="DH440" i="1"/>
  <c r="DI440" i="1"/>
  <c r="DG441" i="1"/>
  <c r="DH441" i="1"/>
  <c r="DI441" i="1"/>
  <c r="DG442" i="1"/>
  <c r="DH442" i="1"/>
  <c r="DI442" i="1"/>
  <c r="DG443" i="1"/>
  <c r="DH443" i="1"/>
  <c r="DI443" i="1"/>
  <c r="DG444" i="1"/>
  <c r="DH444" i="1"/>
  <c r="DI444" i="1"/>
  <c r="DG445" i="1"/>
  <c r="DH445" i="1"/>
  <c r="DI445" i="1"/>
  <c r="DG446" i="1"/>
  <c r="DH446" i="1"/>
  <c r="DI446" i="1"/>
  <c r="DG447" i="1"/>
  <c r="DH447" i="1"/>
  <c r="DI447" i="1"/>
  <c r="DG448" i="1"/>
  <c r="DH448" i="1"/>
  <c r="DI448" i="1"/>
  <c r="DG449" i="1"/>
  <c r="DH449" i="1"/>
  <c r="DI449" i="1"/>
  <c r="DG450" i="1"/>
  <c r="DH450" i="1"/>
  <c r="DI450" i="1"/>
  <c r="DG451" i="1"/>
  <c r="DH451" i="1"/>
  <c r="DI451" i="1"/>
  <c r="DG452" i="1"/>
  <c r="DH452" i="1"/>
  <c r="DI452" i="1"/>
  <c r="DG453" i="1"/>
  <c r="DH453" i="1"/>
  <c r="DI453" i="1"/>
  <c r="DG454" i="1"/>
  <c r="DH454" i="1"/>
  <c r="DI454" i="1"/>
  <c r="DG455" i="1"/>
  <c r="DH455" i="1"/>
  <c r="DI455" i="1"/>
  <c r="DG456" i="1"/>
  <c r="DH456" i="1"/>
  <c r="DI456" i="1"/>
  <c r="DG457" i="1"/>
  <c r="DH457" i="1"/>
  <c r="DI457" i="1"/>
  <c r="DG458" i="1"/>
  <c r="DH458" i="1"/>
  <c r="DI458" i="1"/>
  <c r="DG459" i="1"/>
  <c r="DH459" i="1"/>
  <c r="DI459" i="1"/>
  <c r="DG460" i="1"/>
  <c r="DH460" i="1"/>
  <c r="DI460" i="1"/>
  <c r="DG461" i="1"/>
  <c r="DH461" i="1"/>
  <c r="DI461" i="1"/>
  <c r="DG462" i="1"/>
  <c r="DH462" i="1"/>
  <c r="DI462" i="1"/>
  <c r="DG463" i="1"/>
  <c r="DH463" i="1"/>
  <c r="DI463" i="1"/>
  <c r="DG464" i="1"/>
  <c r="DH464" i="1"/>
  <c r="DI464" i="1"/>
  <c r="DG465" i="1"/>
  <c r="DH465" i="1"/>
  <c r="DI465" i="1"/>
  <c r="DG466" i="1"/>
  <c r="DH466" i="1"/>
  <c r="DI466" i="1"/>
  <c r="DG467" i="1"/>
  <c r="DH467" i="1"/>
  <c r="DI467" i="1"/>
  <c r="DG468" i="1"/>
  <c r="DH468" i="1"/>
  <c r="DI468" i="1"/>
  <c r="DG469" i="1"/>
  <c r="DH469" i="1"/>
  <c r="DI469" i="1"/>
  <c r="DG470" i="1"/>
  <c r="DH470" i="1"/>
  <c r="DI470" i="1"/>
  <c r="DG471" i="1"/>
  <c r="DH471" i="1"/>
  <c r="DI471" i="1"/>
  <c r="DG472" i="1"/>
  <c r="DH472" i="1"/>
  <c r="DI472" i="1"/>
  <c r="DG473" i="1"/>
  <c r="DH473" i="1"/>
  <c r="DI473" i="1"/>
  <c r="DG474" i="1"/>
  <c r="DH474" i="1"/>
  <c r="DI474" i="1"/>
  <c r="DG475" i="1"/>
  <c r="DH475" i="1"/>
  <c r="DI475" i="1"/>
  <c r="DG476" i="1"/>
  <c r="DH476" i="1"/>
  <c r="DI476" i="1"/>
  <c r="DG477" i="1"/>
  <c r="DH477" i="1"/>
  <c r="DI477" i="1"/>
  <c r="DG478" i="1"/>
  <c r="DH478" i="1"/>
  <c r="DI478" i="1"/>
  <c r="DG479" i="1"/>
  <c r="DH479" i="1"/>
  <c r="DI479" i="1"/>
  <c r="DG480" i="1"/>
  <c r="DH480" i="1"/>
  <c r="DI480" i="1"/>
  <c r="DG481" i="1"/>
  <c r="DH481" i="1"/>
  <c r="DI481" i="1"/>
  <c r="DG482" i="1"/>
  <c r="DH482" i="1"/>
  <c r="DI482" i="1"/>
  <c r="DG483" i="1"/>
  <c r="DH483" i="1"/>
  <c r="DI483" i="1"/>
  <c r="DG484" i="1"/>
  <c r="DH484" i="1"/>
  <c r="DI484" i="1"/>
  <c r="DG485" i="1"/>
  <c r="DH485" i="1"/>
  <c r="DI485" i="1"/>
  <c r="DG486" i="1"/>
  <c r="DH486" i="1"/>
  <c r="DI486" i="1"/>
  <c r="DG487" i="1"/>
  <c r="DH487" i="1"/>
  <c r="DI487" i="1"/>
  <c r="DG488" i="1"/>
  <c r="DH488" i="1"/>
  <c r="DI488" i="1"/>
  <c r="DG489" i="1"/>
  <c r="DH489" i="1"/>
  <c r="DI489" i="1"/>
  <c r="DG490" i="1"/>
  <c r="DH490" i="1"/>
  <c r="DI490" i="1"/>
  <c r="DG491" i="1"/>
  <c r="DH491" i="1"/>
  <c r="DI491" i="1"/>
  <c r="DG492" i="1"/>
  <c r="DH492" i="1"/>
  <c r="DI492" i="1"/>
  <c r="DG493" i="1"/>
  <c r="DH493" i="1"/>
  <c r="DI493" i="1"/>
  <c r="DG494" i="1"/>
  <c r="DH494" i="1"/>
  <c r="DI494" i="1"/>
  <c r="DG495" i="1"/>
  <c r="DH495" i="1"/>
  <c r="DI495" i="1"/>
  <c r="DG496" i="1"/>
  <c r="DH496" i="1"/>
  <c r="DI496" i="1"/>
  <c r="DG497" i="1"/>
  <c r="DH497" i="1"/>
  <c r="DI497" i="1"/>
  <c r="DG498" i="1"/>
  <c r="DH498" i="1"/>
  <c r="DI498" i="1"/>
  <c r="DG499" i="1"/>
  <c r="DH499" i="1"/>
  <c r="DI499" i="1"/>
  <c r="DG500" i="1"/>
  <c r="DH500" i="1"/>
  <c r="DI500" i="1"/>
  <c r="DG501" i="1"/>
  <c r="DH501" i="1"/>
  <c r="DI501" i="1"/>
  <c r="DG502" i="1"/>
  <c r="DH502" i="1"/>
  <c r="DI502" i="1"/>
  <c r="DG503" i="1"/>
  <c r="DH503" i="1"/>
  <c r="DI503" i="1"/>
  <c r="DG504" i="1"/>
  <c r="DH504" i="1"/>
  <c r="DI504" i="1"/>
  <c r="DG505" i="1"/>
  <c r="DH505" i="1"/>
  <c r="DI505" i="1"/>
  <c r="DG506" i="1"/>
  <c r="DH506" i="1"/>
  <c r="DI506" i="1"/>
  <c r="DG507" i="1"/>
  <c r="DH507" i="1"/>
  <c r="DI507" i="1"/>
  <c r="DG508" i="1"/>
  <c r="DH508" i="1"/>
  <c r="DI508" i="1"/>
  <c r="DG509" i="1"/>
  <c r="DH509" i="1"/>
  <c r="DI509" i="1"/>
  <c r="DG510" i="1"/>
  <c r="DH510" i="1"/>
  <c r="DI510" i="1"/>
  <c r="DG511" i="1"/>
  <c r="DH511" i="1"/>
  <c r="DI511" i="1"/>
  <c r="DG512" i="1"/>
  <c r="DH512" i="1"/>
  <c r="DI512" i="1"/>
  <c r="DG513" i="1"/>
  <c r="DH513" i="1"/>
  <c r="DI513" i="1"/>
  <c r="DG514" i="1"/>
  <c r="DH514" i="1"/>
  <c r="DI514" i="1"/>
  <c r="DG515" i="1"/>
  <c r="DH515" i="1"/>
  <c r="DI515" i="1"/>
  <c r="DG516" i="1"/>
  <c r="DH516" i="1"/>
  <c r="DI516" i="1"/>
  <c r="DG517" i="1"/>
  <c r="DH517" i="1"/>
  <c r="DI517" i="1"/>
  <c r="DG518" i="1"/>
  <c r="DH518" i="1"/>
  <c r="DI518" i="1"/>
  <c r="DG519" i="1"/>
  <c r="DH519" i="1"/>
  <c r="DI519" i="1"/>
  <c r="DG520" i="1"/>
  <c r="DH520" i="1"/>
  <c r="DI520" i="1"/>
  <c r="DG521" i="1"/>
  <c r="DH521" i="1"/>
  <c r="DI521" i="1"/>
  <c r="DG522" i="1"/>
  <c r="DH522" i="1"/>
  <c r="DI522" i="1"/>
  <c r="DG523" i="1"/>
  <c r="DH523" i="1"/>
  <c r="DI523" i="1"/>
  <c r="DG524" i="1"/>
  <c r="DH524" i="1"/>
  <c r="DI524" i="1"/>
  <c r="DG525" i="1"/>
  <c r="DH525" i="1"/>
  <c r="DI525" i="1"/>
  <c r="DG526" i="1"/>
  <c r="DH526" i="1"/>
  <c r="DI526" i="1"/>
  <c r="DG527" i="1"/>
  <c r="DH527" i="1"/>
  <c r="DI527" i="1"/>
  <c r="DG528" i="1"/>
  <c r="DH528" i="1"/>
  <c r="DI528" i="1"/>
  <c r="DG529" i="1"/>
  <c r="DH529" i="1"/>
  <c r="DI529" i="1"/>
  <c r="DG530" i="1"/>
  <c r="DH530" i="1"/>
  <c r="DI530" i="1"/>
  <c r="DG531" i="1"/>
  <c r="DH531" i="1"/>
  <c r="DI531" i="1"/>
  <c r="DG532" i="1"/>
  <c r="DH532" i="1"/>
  <c r="DI532" i="1"/>
  <c r="DG533" i="1"/>
  <c r="DH533" i="1"/>
  <c r="DI533" i="1"/>
  <c r="DG534" i="1"/>
  <c r="DH534" i="1"/>
  <c r="DI534" i="1"/>
  <c r="DG535" i="1"/>
  <c r="DH535" i="1"/>
  <c r="DI535" i="1"/>
  <c r="DG536" i="1"/>
  <c r="DH536" i="1"/>
  <c r="DI536" i="1"/>
  <c r="DG537" i="1"/>
  <c r="DH537" i="1"/>
  <c r="DI537" i="1"/>
  <c r="DG538" i="1"/>
  <c r="DH538" i="1"/>
  <c r="DI538" i="1"/>
  <c r="DG539" i="1"/>
  <c r="DH539" i="1"/>
  <c r="DI539" i="1"/>
  <c r="DG540" i="1"/>
  <c r="DH540" i="1"/>
  <c r="DI540" i="1"/>
  <c r="DG541" i="1"/>
  <c r="DH541" i="1"/>
  <c r="DI541" i="1"/>
  <c r="DG542" i="1"/>
  <c r="DH542" i="1"/>
  <c r="DI542" i="1"/>
  <c r="DG543" i="1"/>
  <c r="DH543" i="1"/>
  <c r="DI543" i="1"/>
  <c r="DG544" i="1"/>
  <c r="DH544" i="1"/>
  <c r="DI544" i="1"/>
  <c r="DG545" i="1"/>
  <c r="DH545" i="1"/>
  <c r="DI545" i="1"/>
  <c r="DG546" i="1"/>
  <c r="DH546" i="1"/>
  <c r="DI546" i="1"/>
  <c r="DG547" i="1"/>
  <c r="DH547" i="1"/>
  <c r="DI547" i="1"/>
  <c r="DG548" i="1"/>
  <c r="DH548" i="1"/>
  <c r="DI548" i="1"/>
  <c r="DG549" i="1"/>
  <c r="DH549" i="1"/>
  <c r="DI549" i="1"/>
  <c r="DG550" i="1"/>
  <c r="DH550" i="1"/>
  <c r="DI550" i="1"/>
  <c r="DG551" i="1"/>
  <c r="DH551" i="1"/>
  <c r="DI551" i="1"/>
  <c r="DG552" i="1"/>
  <c r="DH552" i="1"/>
  <c r="DI552" i="1"/>
  <c r="DG553" i="1"/>
  <c r="DH553" i="1"/>
  <c r="DI553" i="1"/>
  <c r="DG554" i="1"/>
  <c r="DH554" i="1"/>
  <c r="DI554" i="1"/>
  <c r="DG555" i="1"/>
  <c r="DH555" i="1"/>
  <c r="DI555" i="1"/>
  <c r="DG556" i="1"/>
  <c r="DH556" i="1"/>
  <c r="DI556" i="1"/>
  <c r="DG557" i="1"/>
  <c r="DH557" i="1"/>
  <c r="DI557" i="1"/>
  <c r="DG558" i="1"/>
  <c r="DH558" i="1"/>
  <c r="DI558" i="1"/>
  <c r="DG559" i="1"/>
  <c r="DH559" i="1"/>
  <c r="DI559" i="1"/>
  <c r="DG560" i="1"/>
  <c r="DH560" i="1"/>
  <c r="DI560" i="1"/>
  <c r="DG561" i="1"/>
  <c r="DH561" i="1"/>
  <c r="DI561" i="1"/>
  <c r="DG562" i="1"/>
  <c r="DH562" i="1"/>
  <c r="DI562" i="1"/>
  <c r="DG563" i="1"/>
  <c r="DH563" i="1"/>
  <c r="DI563" i="1"/>
  <c r="DG564" i="1"/>
  <c r="DH564" i="1"/>
  <c r="DI564" i="1"/>
  <c r="DG565" i="1"/>
  <c r="DH565" i="1"/>
  <c r="DI565" i="1"/>
  <c r="DG566" i="1"/>
  <c r="DH566" i="1"/>
  <c r="DI566" i="1"/>
  <c r="DG567" i="1"/>
  <c r="DH567" i="1"/>
  <c r="DI567" i="1"/>
  <c r="DG568" i="1"/>
  <c r="DH568" i="1"/>
  <c r="DI568" i="1"/>
  <c r="DG569" i="1"/>
  <c r="DH569" i="1"/>
  <c r="DI569" i="1"/>
  <c r="DG570" i="1"/>
  <c r="DH570" i="1"/>
  <c r="DI570" i="1"/>
  <c r="DG571" i="1"/>
  <c r="DH571" i="1"/>
  <c r="DI571" i="1"/>
  <c r="DG572" i="1"/>
  <c r="DH572" i="1"/>
  <c r="DI572" i="1"/>
  <c r="DG573" i="1"/>
  <c r="DH573" i="1"/>
  <c r="DI573" i="1"/>
  <c r="DH574" i="1"/>
  <c r="DI574" i="1"/>
  <c r="DG575" i="1"/>
  <c r="DH575" i="1"/>
  <c r="DI575" i="1"/>
  <c r="DG576" i="1"/>
  <c r="DH576" i="1"/>
  <c r="DI576" i="1"/>
  <c r="DG577" i="1"/>
  <c r="DH577" i="1"/>
  <c r="DI577" i="1"/>
  <c r="DG578" i="1"/>
  <c r="DH578" i="1"/>
  <c r="DI578" i="1"/>
  <c r="DG579" i="1"/>
  <c r="DH579" i="1"/>
  <c r="DI579" i="1"/>
  <c r="DG580" i="1"/>
  <c r="DH580" i="1"/>
  <c r="DI580" i="1"/>
  <c r="DG581" i="1"/>
  <c r="DH581" i="1"/>
  <c r="DI581" i="1"/>
  <c r="DG582" i="1"/>
  <c r="DH582" i="1"/>
  <c r="DI582" i="1"/>
  <c r="DG583" i="1"/>
  <c r="DH583" i="1"/>
  <c r="DI583" i="1"/>
  <c r="DG584" i="1"/>
  <c r="DH584" i="1"/>
  <c r="DI584" i="1"/>
  <c r="DI585" i="1"/>
  <c r="DH585" i="1"/>
  <c r="DG585" i="1"/>
  <c r="CT586" i="1"/>
  <c r="CR586" i="1"/>
  <c r="CR4" i="1"/>
  <c r="CR5" i="1"/>
  <c r="CR8" i="1"/>
  <c r="CR9" i="1"/>
  <c r="CR10" i="1"/>
  <c r="CR11" i="1"/>
  <c r="CR12" i="1"/>
  <c r="CR13" i="1"/>
  <c r="CR14" i="1"/>
  <c r="CR15" i="1"/>
  <c r="CR16" i="1"/>
  <c r="CR17" i="1"/>
  <c r="CR19" i="1"/>
  <c r="CR20" i="1"/>
  <c r="CR21" i="1"/>
  <c r="CR22" i="1"/>
  <c r="CR23" i="1"/>
  <c r="CR24" i="1"/>
  <c r="CR25" i="1"/>
  <c r="CR26" i="1"/>
  <c r="CR27" i="1"/>
  <c r="CR28" i="1"/>
  <c r="CR29" i="1"/>
  <c r="CR31" i="1"/>
  <c r="CR32" i="1"/>
  <c r="CR33" i="1"/>
  <c r="CR34" i="1"/>
  <c r="CR36" i="1"/>
  <c r="CR37" i="1"/>
  <c r="CR38" i="1"/>
  <c r="CR39" i="1"/>
  <c r="CR40" i="1"/>
  <c r="CR41" i="1"/>
  <c r="CR42" i="1"/>
  <c r="CR43" i="1"/>
  <c r="CR44" i="1"/>
  <c r="CR45" i="1"/>
  <c r="CR47" i="1"/>
  <c r="CR48" i="1"/>
  <c r="CR49" i="1"/>
  <c r="CR51" i="1"/>
  <c r="CR52" i="1"/>
  <c r="CR53" i="1"/>
  <c r="CR54" i="1"/>
  <c r="CR55" i="1"/>
  <c r="CR56" i="1"/>
  <c r="CR57" i="1"/>
  <c r="CR58" i="1"/>
  <c r="CR59" i="1"/>
  <c r="CR60" i="1"/>
  <c r="CR61" i="1"/>
  <c r="CR62" i="1"/>
  <c r="CR63" i="1"/>
  <c r="CR64" i="1"/>
  <c r="CR65" i="1"/>
  <c r="CR66" i="1"/>
  <c r="CR68" i="1"/>
  <c r="CR69" i="1"/>
  <c r="CR70" i="1"/>
  <c r="CR71" i="1"/>
  <c r="CR72" i="1"/>
  <c r="CR73" i="1"/>
  <c r="CR74" i="1"/>
  <c r="CR75" i="1"/>
  <c r="CR76" i="1"/>
  <c r="CR77" i="1"/>
  <c r="CR78" i="1"/>
  <c r="CR79" i="1"/>
  <c r="CR80" i="1"/>
  <c r="CR81" i="1"/>
  <c r="CR82" i="1"/>
  <c r="CR83" i="1"/>
  <c r="CR84" i="1"/>
  <c r="CR85" i="1"/>
  <c r="CR86" i="1"/>
  <c r="CR87" i="1"/>
  <c r="CR88" i="1"/>
  <c r="CR89" i="1"/>
  <c r="CR90" i="1"/>
  <c r="CR91" i="1"/>
  <c r="CR92" i="1"/>
  <c r="CR93" i="1"/>
  <c r="CR94" i="1"/>
  <c r="CR95" i="1"/>
  <c r="CR96" i="1"/>
  <c r="CR97" i="1"/>
  <c r="CR98" i="1"/>
  <c r="CR99" i="1"/>
  <c r="CR100" i="1"/>
  <c r="CR101" i="1"/>
  <c r="CR102" i="1"/>
  <c r="CR103" i="1"/>
  <c r="CR104" i="1"/>
  <c r="CR105" i="1"/>
  <c r="CR106" i="1"/>
  <c r="CR107" i="1"/>
  <c r="CR109" i="1"/>
  <c r="CR111" i="1"/>
  <c r="CR113" i="1"/>
  <c r="CR114" i="1"/>
  <c r="CR115" i="1"/>
  <c r="CR116" i="1"/>
  <c r="CR117" i="1"/>
  <c r="CR119" i="1"/>
  <c r="CR120" i="1"/>
  <c r="CR121" i="1"/>
  <c r="CR122" i="1"/>
  <c r="CR123" i="1"/>
  <c r="CR124" i="1"/>
  <c r="CR126" i="1"/>
  <c r="CR127" i="1"/>
  <c r="CR129" i="1"/>
  <c r="CR131" i="1"/>
  <c r="CR132" i="1"/>
  <c r="CR133" i="1"/>
  <c r="CR136" i="1"/>
  <c r="CR137" i="1"/>
  <c r="CR138" i="1"/>
  <c r="CR139" i="1"/>
  <c r="CR140" i="1"/>
  <c r="CR141" i="1"/>
  <c r="CR142" i="1"/>
  <c r="CR143" i="1"/>
  <c r="CR144" i="1"/>
  <c r="CR145" i="1"/>
  <c r="CR148" i="1"/>
  <c r="CR150" i="1"/>
  <c r="CR152" i="1"/>
  <c r="CR153" i="1"/>
  <c r="CR155" i="1"/>
  <c r="CR156" i="1"/>
  <c r="CR158" i="1"/>
  <c r="CR160" i="1"/>
  <c r="CR164" i="1"/>
  <c r="CR165" i="1"/>
  <c r="CR166" i="1"/>
  <c r="CR168" i="1"/>
  <c r="CR169" i="1"/>
  <c r="CR170" i="1"/>
  <c r="CR171" i="1"/>
  <c r="CR173" i="1"/>
  <c r="CR174" i="1"/>
  <c r="CR175" i="1"/>
  <c r="CR177" i="1"/>
  <c r="CR178" i="1"/>
  <c r="CR179" i="1"/>
  <c r="CR180" i="1"/>
  <c r="CR181" i="1"/>
  <c r="CR182" i="1"/>
  <c r="CR184" i="1"/>
  <c r="CR185" i="1"/>
  <c r="CR186" i="1"/>
  <c r="CR187" i="1"/>
  <c r="CR189" i="1"/>
  <c r="CR191" i="1"/>
  <c r="CR192" i="1"/>
  <c r="CR193" i="1"/>
  <c r="CR196" i="1"/>
  <c r="CR197" i="1"/>
  <c r="CR200" i="1"/>
  <c r="CR201" i="1"/>
  <c r="CR202" i="1"/>
  <c r="CR204" i="1"/>
  <c r="CR206" i="1"/>
  <c r="CR207" i="1"/>
  <c r="CR208" i="1"/>
  <c r="CR209" i="1"/>
  <c r="CR210" i="1"/>
  <c r="CR211" i="1"/>
  <c r="CR212" i="1"/>
  <c r="CR213" i="1"/>
  <c r="CR214" i="1"/>
  <c r="CR215" i="1"/>
  <c r="CR218" i="1"/>
  <c r="CR220" i="1"/>
  <c r="CR223" i="1"/>
  <c r="CR224" i="1"/>
  <c r="CR226" i="1"/>
  <c r="CR227" i="1"/>
  <c r="CR228" i="1"/>
  <c r="CR230" i="1"/>
  <c r="CR232" i="1"/>
  <c r="CR233" i="1"/>
  <c r="CR234" i="1"/>
  <c r="CR237" i="1"/>
  <c r="CR238" i="1"/>
  <c r="CR240" i="1"/>
  <c r="CR241" i="1"/>
  <c r="CR242" i="1"/>
  <c r="CR244" i="1"/>
  <c r="CR246" i="1"/>
  <c r="CR247" i="1"/>
  <c r="CR250" i="1"/>
  <c r="CR252" i="1"/>
  <c r="CR253" i="1"/>
  <c r="CR254" i="1"/>
  <c r="CR255" i="1"/>
  <c r="CR256" i="1"/>
  <c r="CR257" i="1"/>
  <c r="CR260" i="1"/>
  <c r="CR261" i="1"/>
  <c r="CR262" i="1"/>
  <c r="CR264" i="1"/>
  <c r="CR266" i="1"/>
  <c r="CR267" i="1"/>
  <c r="CR270" i="1"/>
  <c r="CR271" i="1"/>
  <c r="CR272" i="1"/>
  <c r="CR273" i="1"/>
  <c r="CR275" i="1"/>
  <c r="CR276" i="1"/>
  <c r="CR277" i="1"/>
  <c r="CR280" i="1"/>
  <c r="CR282" i="1"/>
  <c r="CR283" i="1"/>
  <c r="CR284" i="1"/>
  <c r="CR285" i="1"/>
  <c r="CR287" i="1"/>
  <c r="CR288" i="1"/>
  <c r="CR290" i="1"/>
  <c r="CR294" i="1"/>
  <c r="CR297" i="1"/>
  <c r="CR301" i="1"/>
  <c r="CR303" i="1"/>
  <c r="CR305" i="1"/>
  <c r="CR306" i="1"/>
  <c r="CR307" i="1"/>
  <c r="CR308" i="1"/>
  <c r="CR309" i="1"/>
  <c r="CR311" i="1"/>
  <c r="CR312" i="1"/>
  <c r="CR314" i="1"/>
  <c r="CR317" i="1"/>
  <c r="CR319" i="1"/>
  <c r="CR322" i="1"/>
  <c r="CR328" i="1"/>
  <c r="CR334" i="1"/>
  <c r="CR336" i="1"/>
  <c r="CR338" i="1"/>
  <c r="CR339" i="1"/>
  <c r="CR342" i="1"/>
  <c r="CR344" i="1"/>
  <c r="CR345" i="1"/>
  <c r="CR350" i="1"/>
  <c r="CR352" i="1"/>
  <c r="CR354" i="1"/>
  <c r="CR355" i="1"/>
  <c r="CR357" i="1"/>
  <c r="CR360" i="1"/>
  <c r="CR361" i="1"/>
  <c r="CR363" i="1"/>
  <c r="CR367" i="1"/>
  <c r="CR373" i="1"/>
  <c r="CR377" i="1"/>
  <c r="CR380" i="1"/>
  <c r="CR382" i="1"/>
  <c r="CR383" i="1"/>
  <c r="CR384" i="1"/>
  <c r="CR385" i="1"/>
  <c r="CR386" i="1"/>
  <c r="CR388" i="1"/>
  <c r="CR389" i="1"/>
  <c r="CR390" i="1"/>
  <c r="CR391" i="1"/>
  <c r="CR393" i="1"/>
  <c r="CR394" i="1"/>
  <c r="CR396" i="1"/>
  <c r="CR397" i="1"/>
  <c r="CR400" i="1"/>
  <c r="CR402" i="1"/>
  <c r="CR405" i="1"/>
  <c r="CR406" i="1"/>
  <c r="CR408" i="1"/>
  <c r="CR410" i="1"/>
  <c r="CR413" i="1"/>
  <c r="CR415" i="1"/>
  <c r="CR416" i="1"/>
  <c r="CR418" i="1"/>
  <c r="CR419" i="1"/>
  <c r="CR420" i="1"/>
  <c r="CR422" i="1"/>
  <c r="CR423" i="1"/>
  <c r="CR425" i="1"/>
  <c r="CR426" i="1"/>
  <c r="CR427" i="1"/>
  <c r="CR428" i="1"/>
  <c r="CR430" i="1"/>
  <c r="CR434" i="1"/>
  <c r="CR436" i="1"/>
  <c r="CR440" i="1"/>
  <c r="CR443" i="1"/>
  <c r="CR445" i="1"/>
  <c r="CR448" i="1"/>
  <c r="CR449" i="1"/>
  <c r="CR450" i="1"/>
  <c r="CR451" i="1"/>
  <c r="CR452" i="1"/>
  <c r="CR454" i="1"/>
  <c r="CR457" i="1"/>
  <c r="CR458" i="1"/>
  <c r="CR459" i="1"/>
  <c r="CR460" i="1"/>
  <c r="CR462" i="1"/>
  <c r="CR463" i="1"/>
  <c r="CR465" i="1"/>
  <c r="CR466" i="1"/>
  <c r="CR467" i="1"/>
  <c r="CR470" i="1"/>
  <c r="CR473" i="1"/>
  <c r="CR475" i="1"/>
  <c r="CR476" i="1"/>
  <c r="CR478" i="1"/>
  <c r="CR480" i="1"/>
  <c r="CR481" i="1"/>
  <c r="CR482" i="1"/>
  <c r="CR484" i="1"/>
  <c r="CR485" i="1"/>
  <c r="CR486" i="1"/>
  <c r="CR487" i="1"/>
  <c r="CR488" i="1"/>
  <c r="CR489" i="1"/>
  <c r="CR490" i="1"/>
  <c r="CR493" i="1"/>
  <c r="CR496" i="1"/>
  <c r="CR497" i="1"/>
  <c r="CR499" i="1"/>
  <c r="CR500" i="1"/>
  <c r="CR501" i="1"/>
  <c r="CR504" i="1"/>
  <c r="CR508" i="1"/>
  <c r="CR510" i="1"/>
  <c r="CR511" i="1"/>
  <c r="CR512" i="1"/>
  <c r="CR513" i="1"/>
  <c r="CR514" i="1"/>
  <c r="CR515" i="1"/>
  <c r="CR516" i="1"/>
  <c r="CR517" i="1"/>
  <c r="CR518" i="1"/>
  <c r="CR519" i="1"/>
  <c r="CR520" i="1"/>
  <c r="CR521" i="1"/>
  <c r="CR523" i="1"/>
  <c r="CR524" i="1"/>
  <c r="CR525" i="1"/>
  <c r="CR526" i="1"/>
  <c r="CR527" i="1"/>
  <c r="CR529" i="1"/>
  <c r="CR530" i="1"/>
  <c r="CR532" i="1"/>
  <c r="CR533" i="1"/>
  <c r="CR534" i="1"/>
  <c r="CR535" i="1"/>
  <c r="CR537" i="1"/>
  <c r="CR538" i="1"/>
  <c r="CR540" i="1"/>
  <c r="CR541" i="1"/>
  <c r="CR542" i="1"/>
  <c r="CR543" i="1"/>
  <c r="CR544" i="1"/>
  <c r="CR545" i="1"/>
  <c r="CR547" i="1"/>
  <c r="CR550" i="1"/>
  <c r="CR554" i="1"/>
  <c r="CR559" i="1"/>
  <c r="CR560" i="1"/>
  <c r="CR562" i="1"/>
  <c r="CR569" i="1"/>
  <c r="CR570" i="1"/>
  <c r="CR572" i="1"/>
  <c r="CR575" i="1"/>
  <c r="CR576" i="1"/>
  <c r="CR577" i="1"/>
  <c r="CR578" i="1"/>
  <c r="CR580" i="1"/>
  <c r="CR582" i="1"/>
  <c r="CR583" i="1"/>
  <c r="CR584" i="1"/>
  <c r="CQ586" i="1"/>
  <c r="CQ4" i="1"/>
  <c r="CQ5" i="1"/>
  <c r="CQ8" i="1"/>
  <c r="CQ9" i="1"/>
  <c r="CQ10" i="1"/>
  <c r="CQ11" i="1"/>
  <c r="CQ12" i="1"/>
  <c r="CQ13" i="1"/>
  <c r="CQ14" i="1"/>
  <c r="CQ15" i="1"/>
  <c r="CQ16" i="1"/>
  <c r="CQ17" i="1"/>
  <c r="CQ19" i="1"/>
  <c r="CQ20" i="1"/>
  <c r="CQ21" i="1"/>
  <c r="CQ22" i="1"/>
  <c r="CQ23" i="1"/>
  <c r="CQ24" i="1"/>
  <c r="CQ25" i="1"/>
  <c r="CQ26" i="1"/>
  <c r="CQ27" i="1"/>
  <c r="CQ28" i="1"/>
  <c r="CQ29" i="1"/>
  <c r="CQ31" i="1"/>
  <c r="CQ32" i="1"/>
  <c r="CQ33" i="1"/>
  <c r="CQ34" i="1"/>
  <c r="CQ36" i="1"/>
  <c r="CQ37" i="1"/>
  <c r="CQ38" i="1"/>
  <c r="CQ39" i="1"/>
  <c r="CQ40" i="1"/>
  <c r="CQ41" i="1"/>
  <c r="CQ42" i="1"/>
  <c r="CQ43" i="1"/>
  <c r="CQ44" i="1"/>
  <c r="CQ45" i="1"/>
  <c r="CQ47" i="1"/>
  <c r="CQ48" i="1"/>
  <c r="CQ49" i="1"/>
  <c r="CQ51" i="1"/>
  <c r="CQ52" i="1"/>
  <c r="CQ53" i="1"/>
  <c r="CQ54" i="1"/>
  <c r="CQ55" i="1"/>
  <c r="CQ56" i="1"/>
  <c r="CQ57" i="1"/>
  <c r="CQ58" i="1"/>
  <c r="CQ59" i="1"/>
  <c r="CQ60" i="1"/>
  <c r="CQ61" i="1"/>
  <c r="CQ62" i="1"/>
  <c r="CQ63" i="1"/>
  <c r="CQ64" i="1"/>
  <c r="CQ65" i="1"/>
  <c r="CQ66" i="1"/>
  <c r="CQ68" i="1"/>
  <c r="CQ69" i="1"/>
  <c r="CQ70" i="1"/>
  <c r="CQ71" i="1"/>
  <c r="CQ72" i="1"/>
  <c r="CQ73" i="1"/>
  <c r="CQ74" i="1"/>
  <c r="CQ75" i="1"/>
  <c r="CQ76" i="1"/>
  <c r="CQ77" i="1"/>
  <c r="CQ78" i="1"/>
  <c r="CQ79" i="1"/>
  <c r="CQ80" i="1"/>
  <c r="CQ81" i="1"/>
  <c r="CQ82" i="1"/>
  <c r="CQ83" i="1"/>
  <c r="CQ84" i="1"/>
  <c r="CQ85" i="1"/>
  <c r="CQ86" i="1"/>
  <c r="CQ87" i="1"/>
  <c r="CQ88" i="1"/>
  <c r="CQ89" i="1"/>
  <c r="CQ90" i="1"/>
  <c r="CQ91" i="1"/>
  <c r="CQ92" i="1"/>
  <c r="CQ93" i="1"/>
  <c r="CQ94" i="1"/>
  <c r="CQ95" i="1"/>
  <c r="CQ96" i="1"/>
  <c r="CQ97" i="1"/>
  <c r="CQ98" i="1"/>
  <c r="CQ99" i="1"/>
  <c r="CQ100" i="1"/>
  <c r="CQ101" i="1"/>
  <c r="CQ102" i="1"/>
  <c r="CQ103" i="1"/>
  <c r="CQ104" i="1"/>
  <c r="CQ105" i="1"/>
  <c r="CQ106" i="1"/>
  <c r="CQ107" i="1"/>
  <c r="CQ109" i="1"/>
  <c r="CQ111" i="1"/>
  <c r="CQ113" i="1"/>
  <c r="CQ114" i="1"/>
  <c r="CQ115" i="1"/>
  <c r="CQ116" i="1"/>
  <c r="CQ117" i="1"/>
  <c r="CQ119" i="1"/>
  <c r="CQ120" i="1"/>
  <c r="CQ121" i="1"/>
  <c r="CQ122" i="1"/>
  <c r="CQ123" i="1"/>
  <c r="CQ124" i="1"/>
  <c r="CQ126" i="1"/>
  <c r="CQ127" i="1"/>
  <c r="CQ129" i="1"/>
  <c r="CQ131" i="1"/>
  <c r="CQ132" i="1"/>
  <c r="CQ133" i="1"/>
  <c r="CQ136" i="1"/>
  <c r="CQ137" i="1"/>
  <c r="CQ138" i="1"/>
  <c r="CQ139" i="1"/>
  <c r="CQ141" i="1"/>
  <c r="CQ142" i="1"/>
  <c r="CQ143" i="1"/>
  <c r="CQ144" i="1"/>
  <c r="CQ145" i="1"/>
  <c r="CQ148" i="1"/>
  <c r="CQ150" i="1"/>
  <c r="CQ152" i="1"/>
  <c r="CQ153" i="1"/>
  <c r="CQ155" i="1"/>
  <c r="CQ156" i="1"/>
  <c r="CQ158" i="1"/>
  <c r="CQ160" i="1"/>
  <c r="CQ164" i="1"/>
  <c r="CQ165" i="1"/>
  <c r="CQ166" i="1"/>
  <c r="CQ168" i="1"/>
  <c r="CQ170" i="1"/>
  <c r="CQ171" i="1"/>
  <c r="CQ173" i="1"/>
  <c r="CQ174" i="1"/>
  <c r="CQ175" i="1"/>
  <c r="CQ177" i="1"/>
  <c r="CQ179" i="1"/>
  <c r="CQ180" i="1"/>
  <c r="CQ181" i="1"/>
  <c r="CQ182" i="1"/>
  <c r="CQ184" i="1"/>
  <c r="CQ185" i="1"/>
  <c r="CQ186" i="1"/>
  <c r="CQ187" i="1"/>
  <c r="CQ189" i="1"/>
  <c r="CQ191" i="1"/>
  <c r="CQ192" i="1"/>
  <c r="CQ193" i="1"/>
  <c r="CQ196" i="1"/>
  <c r="CQ197" i="1"/>
  <c r="CQ200" i="1"/>
  <c r="CQ201" i="1"/>
  <c r="CQ204" i="1"/>
  <c r="CQ206" i="1"/>
  <c r="CQ207" i="1"/>
  <c r="CQ208" i="1"/>
  <c r="CQ209" i="1"/>
  <c r="CQ210" i="1"/>
  <c r="CQ211" i="1"/>
  <c r="CQ212" i="1"/>
  <c r="CQ213" i="1"/>
  <c r="CQ214" i="1"/>
  <c r="CQ215" i="1"/>
  <c r="CQ218" i="1"/>
  <c r="CQ220" i="1"/>
  <c r="CQ224" i="1"/>
  <c r="CQ227" i="1"/>
  <c r="CQ228" i="1"/>
  <c r="CQ230" i="1"/>
  <c r="CQ232" i="1"/>
  <c r="CQ233" i="1"/>
  <c r="CQ234" i="1"/>
  <c r="CQ237" i="1"/>
  <c r="CQ238" i="1"/>
  <c r="CQ240" i="1"/>
  <c r="CQ241" i="1"/>
  <c r="CQ242" i="1"/>
  <c r="CQ244" i="1"/>
  <c r="CQ246" i="1"/>
  <c r="CQ247" i="1"/>
  <c r="CQ250" i="1"/>
  <c r="CQ252" i="1"/>
  <c r="CQ254" i="1"/>
  <c r="CQ255" i="1"/>
  <c r="CQ256" i="1"/>
  <c r="CQ260" i="1"/>
  <c r="CQ262" i="1"/>
  <c r="CQ264" i="1"/>
  <c r="CQ266" i="1"/>
  <c r="CQ267" i="1"/>
  <c r="CQ271" i="1"/>
  <c r="CQ273" i="1"/>
  <c r="CQ275" i="1"/>
  <c r="CQ276" i="1"/>
  <c r="CQ280" i="1"/>
  <c r="CQ282" i="1"/>
  <c r="CQ283" i="1"/>
  <c r="CQ285" i="1"/>
  <c r="CQ287" i="1"/>
  <c r="CQ288" i="1"/>
  <c r="CQ294" i="1"/>
  <c r="CQ297" i="1"/>
  <c r="CQ301" i="1"/>
  <c r="CQ303" i="1"/>
  <c r="CQ305" i="1"/>
  <c r="CQ306" i="1"/>
  <c r="CQ307" i="1"/>
  <c r="CQ309" i="1"/>
  <c r="CQ311" i="1"/>
  <c r="CQ312" i="1"/>
  <c r="CQ314" i="1"/>
  <c r="CQ317" i="1"/>
  <c r="CQ319" i="1"/>
  <c r="CQ322" i="1"/>
  <c r="CQ328" i="1"/>
  <c r="CQ334" i="1"/>
  <c r="CQ336" i="1"/>
  <c r="CQ338" i="1"/>
  <c r="CQ339" i="1"/>
  <c r="CQ342" i="1"/>
  <c r="CQ344" i="1"/>
  <c r="CQ345" i="1"/>
  <c r="CQ350" i="1"/>
  <c r="CQ352" i="1"/>
  <c r="CQ357" i="1"/>
  <c r="CQ360" i="1"/>
  <c r="CQ361" i="1"/>
  <c r="CQ363" i="1"/>
  <c r="CQ367" i="1"/>
  <c r="CQ373" i="1"/>
  <c r="CQ377" i="1"/>
  <c r="CQ380" i="1"/>
  <c r="CQ382" i="1"/>
  <c r="CQ383" i="1"/>
  <c r="CQ384" i="1"/>
  <c r="CQ385" i="1"/>
  <c r="CQ386" i="1"/>
  <c r="CQ388" i="1"/>
  <c r="CQ390" i="1"/>
  <c r="CQ393" i="1"/>
  <c r="CQ394" i="1"/>
  <c r="CQ396" i="1"/>
  <c r="CQ397" i="1"/>
  <c r="CQ400" i="1"/>
  <c r="CQ402" i="1"/>
  <c r="CQ405" i="1"/>
  <c r="CQ406" i="1"/>
  <c r="CQ408" i="1"/>
  <c r="CQ410" i="1"/>
  <c r="CQ413" i="1"/>
  <c r="CQ415" i="1"/>
  <c r="CQ416" i="1"/>
  <c r="CQ418" i="1"/>
  <c r="CQ419" i="1"/>
  <c r="CQ420" i="1"/>
  <c r="CQ422" i="1"/>
  <c r="CQ423" i="1"/>
  <c r="CQ425" i="1"/>
  <c r="CQ426" i="1"/>
  <c r="CQ427" i="1"/>
  <c r="CQ428" i="1"/>
  <c r="CQ430" i="1"/>
  <c r="CQ434" i="1"/>
  <c r="CQ436" i="1"/>
  <c r="CQ440" i="1"/>
  <c r="CQ443" i="1"/>
  <c r="CQ445" i="1"/>
  <c r="CQ449" i="1"/>
  <c r="CQ452" i="1"/>
  <c r="CQ454" i="1"/>
  <c r="CQ457" i="1"/>
  <c r="CQ458" i="1"/>
  <c r="CQ459" i="1"/>
  <c r="CQ462" i="1"/>
  <c r="CQ463" i="1"/>
  <c r="CQ467" i="1"/>
  <c r="CQ470" i="1"/>
  <c r="CQ475" i="1"/>
  <c r="CQ476" i="1"/>
  <c r="CQ478" i="1"/>
  <c r="CQ480" i="1"/>
  <c r="CQ481" i="1"/>
  <c r="CQ482" i="1"/>
  <c r="CQ484" i="1"/>
  <c r="CQ485" i="1"/>
  <c r="CQ487" i="1"/>
  <c r="CQ488" i="1"/>
  <c r="CQ489" i="1"/>
  <c r="CQ490" i="1"/>
  <c r="CQ493" i="1"/>
  <c r="CQ496" i="1"/>
  <c r="CQ497" i="1"/>
  <c r="CQ499" i="1"/>
  <c r="CQ500" i="1"/>
  <c r="CQ504" i="1"/>
  <c r="CQ508" i="1"/>
  <c r="CQ510" i="1"/>
  <c r="CQ511" i="1"/>
  <c r="CQ512" i="1"/>
  <c r="CQ513" i="1"/>
  <c r="CQ514" i="1"/>
  <c r="CV514" i="1" s="1"/>
  <c r="CQ515" i="1"/>
  <c r="CQ516" i="1"/>
  <c r="CQ517" i="1"/>
  <c r="CQ518" i="1"/>
  <c r="CQ519" i="1"/>
  <c r="CQ520" i="1"/>
  <c r="CQ521" i="1"/>
  <c r="CQ523" i="1"/>
  <c r="CQ525" i="1"/>
  <c r="CQ526" i="1"/>
  <c r="CQ527" i="1"/>
  <c r="CQ529" i="1"/>
  <c r="CQ530" i="1"/>
  <c r="CQ532" i="1"/>
  <c r="CQ533" i="1"/>
  <c r="CQ534" i="1"/>
  <c r="CQ535" i="1"/>
  <c r="CQ537" i="1"/>
  <c r="CQ538" i="1"/>
  <c r="CQ540" i="1"/>
  <c r="CQ541" i="1"/>
  <c r="CQ542" i="1"/>
  <c r="CQ544" i="1"/>
  <c r="CQ545" i="1"/>
  <c r="CQ547" i="1"/>
  <c r="CQ550" i="1"/>
  <c r="CQ554" i="1"/>
  <c r="CQ556" i="1"/>
  <c r="CQ559" i="1"/>
  <c r="CQ560" i="1"/>
  <c r="CQ562" i="1"/>
  <c r="CQ569" i="1"/>
  <c r="CQ570" i="1"/>
  <c r="CQ572" i="1"/>
  <c r="CQ575" i="1"/>
  <c r="CQ576" i="1"/>
  <c r="CQ577" i="1"/>
  <c r="CQ578" i="1"/>
  <c r="CQ580" i="1"/>
  <c r="CQ582" i="1"/>
  <c r="CQ583" i="1"/>
  <c r="CQ584" i="1"/>
  <c r="CP584" i="1"/>
  <c r="CP586" i="1"/>
  <c r="CP4" i="1"/>
  <c r="CP5" i="1"/>
  <c r="CP8" i="1"/>
  <c r="CP9" i="1"/>
  <c r="CP10" i="1"/>
  <c r="CP11" i="1"/>
  <c r="CP12" i="1"/>
  <c r="CP13" i="1"/>
  <c r="CP14" i="1"/>
  <c r="CP15" i="1"/>
  <c r="CP16" i="1"/>
  <c r="CP17" i="1"/>
  <c r="CP19" i="1"/>
  <c r="CP20" i="1"/>
  <c r="CP21" i="1"/>
  <c r="CP22" i="1"/>
  <c r="CP23" i="1"/>
  <c r="CP24" i="1"/>
  <c r="CP25" i="1"/>
  <c r="CP26" i="1"/>
  <c r="CP27" i="1"/>
  <c r="CP28" i="1"/>
  <c r="CP29" i="1"/>
  <c r="CP31" i="1"/>
  <c r="CP32" i="1"/>
  <c r="CP33" i="1"/>
  <c r="CP34" i="1"/>
  <c r="CP36" i="1"/>
  <c r="CP37" i="1"/>
  <c r="CP38" i="1"/>
  <c r="CP39" i="1"/>
  <c r="CP40" i="1"/>
  <c r="CP41" i="1"/>
  <c r="CP42" i="1"/>
  <c r="CP43" i="1"/>
  <c r="CP44" i="1"/>
  <c r="CP45" i="1"/>
  <c r="CP47" i="1"/>
  <c r="CP48" i="1"/>
  <c r="CP49" i="1"/>
  <c r="CP51" i="1"/>
  <c r="CP52" i="1"/>
  <c r="CP53" i="1"/>
  <c r="CP54" i="1"/>
  <c r="CP55" i="1"/>
  <c r="CP56" i="1"/>
  <c r="CP57" i="1"/>
  <c r="CP58" i="1"/>
  <c r="CP59" i="1"/>
  <c r="CP60" i="1"/>
  <c r="CP61" i="1"/>
  <c r="CP62" i="1"/>
  <c r="CP63" i="1"/>
  <c r="CP64" i="1"/>
  <c r="CP65" i="1"/>
  <c r="CP66" i="1"/>
  <c r="CP68" i="1"/>
  <c r="CP69" i="1"/>
  <c r="CP70" i="1"/>
  <c r="CP71" i="1"/>
  <c r="CP72" i="1"/>
  <c r="CP73" i="1"/>
  <c r="CP74" i="1"/>
  <c r="CP75" i="1"/>
  <c r="CP76" i="1"/>
  <c r="CP77" i="1"/>
  <c r="CP78" i="1"/>
  <c r="CP79" i="1"/>
  <c r="CP80" i="1"/>
  <c r="CP81" i="1"/>
  <c r="CP82" i="1"/>
  <c r="CP83" i="1"/>
  <c r="CP84" i="1"/>
  <c r="CP85" i="1"/>
  <c r="CP86" i="1"/>
  <c r="CP87" i="1"/>
  <c r="CP88" i="1"/>
  <c r="CP89" i="1"/>
  <c r="CP90" i="1"/>
  <c r="CP91" i="1"/>
  <c r="CP92" i="1"/>
  <c r="CP93" i="1"/>
  <c r="CP94" i="1"/>
  <c r="CP95" i="1"/>
  <c r="CP96" i="1"/>
  <c r="CP97" i="1"/>
  <c r="CP98" i="1"/>
  <c r="CP99" i="1"/>
  <c r="CP100" i="1"/>
  <c r="CP101" i="1"/>
  <c r="CP102" i="1"/>
  <c r="CP103" i="1"/>
  <c r="CP104" i="1"/>
  <c r="CP105" i="1"/>
  <c r="CP106" i="1"/>
  <c r="CP107" i="1"/>
  <c r="CP109" i="1"/>
  <c r="CP111" i="1"/>
  <c r="CP113" i="1"/>
  <c r="CP114" i="1"/>
  <c r="CP115" i="1"/>
  <c r="CP116" i="1"/>
  <c r="CP117" i="1"/>
  <c r="CP119" i="1"/>
  <c r="CP120" i="1"/>
  <c r="CP121" i="1"/>
  <c r="CP122" i="1"/>
  <c r="CP123" i="1"/>
  <c r="CP124" i="1"/>
  <c r="CP126" i="1"/>
  <c r="CP127" i="1"/>
  <c r="CP129" i="1"/>
  <c r="CP131" i="1"/>
  <c r="CP132" i="1"/>
  <c r="CP133" i="1"/>
  <c r="CP136" i="1"/>
  <c r="CP137" i="1"/>
  <c r="CP138" i="1"/>
  <c r="CP139" i="1"/>
  <c r="CP141" i="1"/>
  <c r="CP142" i="1"/>
  <c r="CP143" i="1"/>
  <c r="CP144" i="1"/>
  <c r="CP145" i="1"/>
  <c r="CP148" i="1"/>
  <c r="CP150" i="1"/>
  <c r="CP152" i="1"/>
  <c r="CP153" i="1"/>
  <c r="CP155" i="1"/>
  <c r="CP156" i="1"/>
  <c r="CP158" i="1"/>
  <c r="CP160" i="1"/>
  <c r="CP164" i="1"/>
  <c r="CP165" i="1"/>
  <c r="CP166" i="1"/>
  <c r="CP168" i="1"/>
  <c r="CP170" i="1"/>
  <c r="CP171" i="1"/>
  <c r="CP173" i="1"/>
  <c r="CP174" i="1"/>
  <c r="CP175" i="1"/>
  <c r="CP177" i="1"/>
  <c r="CP179" i="1"/>
  <c r="CP180" i="1"/>
  <c r="CP181" i="1"/>
  <c r="CP182" i="1"/>
  <c r="CP184" i="1"/>
  <c r="CP185" i="1"/>
  <c r="CP186" i="1"/>
  <c r="CP187" i="1"/>
  <c r="CP189" i="1"/>
  <c r="CP191" i="1"/>
  <c r="CP192" i="1"/>
  <c r="CP193" i="1"/>
  <c r="CP196" i="1"/>
  <c r="CP197" i="1"/>
  <c r="CP200" i="1"/>
  <c r="CP201" i="1"/>
  <c r="CP204" i="1"/>
  <c r="CP206" i="1"/>
  <c r="CP207" i="1"/>
  <c r="CP208" i="1"/>
  <c r="CP209" i="1"/>
  <c r="CP210" i="1"/>
  <c r="CP211" i="1"/>
  <c r="CP212" i="1"/>
  <c r="CP213" i="1"/>
  <c r="CP214" i="1"/>
  <c r="CP215" i="1"/>
  <c r="CP218" i="1"/>
  <c r="CP220" i="1"/>
  <c r="CP224" i="1"/>
  <c r="CP227" i="1"/>
  <c r="CP228" i="1"/>
  <c r="CP230" i="1"/>
  <c r="CP232" i="1"/>
  <c r="CP233" i="1"/>
  <c r="CP234" i="1"/>
  <c r="CP237" i="1"/>
  <c r="CP238" i="1"/>
  <c r="CP240" i="1"/>
  <c r="CP241" i="1"/>
  <c r="CP242" i="1"/>
  <c r="CP244" i="1"/>
  <c r="CP246" i="1"/>
  <c r="CP247" i="1"/>
  <c r="CP250" i="1"/>
  <c r="CP252" i="1"/>
  <c r="CP254" i="1"/>
  <c r="CP255" i="1"/>
  <c r="CP256" i="1"/>
  <c r="CP260" i="1"/>
  <c r="CP262" i="1"/>
  <c r="CP264" i="1"/>
  <c r="CP266" i="1"/>
  <c r="CP267" i="1"/>
  <c r="CP271" i="1"/>
  <c r="CP273" i="1"/>
  <c r="CP275" i="1"/>
  <c r="CP276" i="1"/>
  <c r="CP280" i="1"/>
  <c r="CP282" i="1"/>
  <c r="CP283" i="1"/>
  <c r="CP285" i="1"/>
  <c r="CP287" i="1"/>
  <c r="CP288" i="1"/>
  <c r="CP294" i="1"/>
  <c r="CP297" i="1"/>
  <c r="CP301" i="1"/>
  <c r="CP303" i="1"/>
  <c r="CP305" i="1"/>
  <c r="CP306" i="1"/>
  <c r="CP307" i="1"/>
  <c r="CP309" i="1"/>
  <c r="CP311" i="1"/>
  <c r="CP312" i="1"/>
  <c r="CP314" i="1"/>
  <c r="CP317" i="1"/>
  <c r="CP319" i="1"/>
  <c r="CP322" i="1"/>
  <c r="CP328" i="1"/>
  <c r="CP334" i="1"/>
  <c r="CP336" i="1"/>
  <c r="CP338" i="1"/>
  <c r="CP339" i="1"/>
  <c r="CP342" i="1"/>
  <c r="CP344" i="1"/>
  <c r="CP345" i="1"/>
  <c r="CP350" i="1"/>
  <c r="CP352" i="1"/>
  <c r="CP357" i="1"/>
  <c r="CP360" i="1"/>
  <c r="CP361" i="1"/>
  <c r="CP363" i="1"/>
  <c r="CP367" i="1"/>
  <c r="CP373" i="1"/>
  <c r="CP377" i="1"/>
  <c r="CP380" i="1"/>
  <c r="CP382" i="1"/>
  <c r="CP383" i="1"/>
  <c r="CP384" i="1"/>
  <c r="CP385" i="1"/>
  <c r="CP386" i="1"/>
  <c r="CP388" i="1"/>
  <c r="CP390" i="1"/>
  <c r="CP393" i="1"/>
  <c r="CP394" i="1"/>
  <c r="CP396" i="1"/>
  <c r="CP397" i="1"/>
  <c r="CP400" i="1"/>
  <c r="CP402" i="1"/>
  <c r="CP405" i="1"/>
  <c r="CP406" i="1"/>
  <c r="CP408" i="1"/>
  <c r="CP410" i="1"/>
  <c r="CP413" i="1"/>
  <c r="CP415" i="1"/>
  <c r="CP416" i="1"/>
  <c r="CP418" i="1"/>
  <c r="CP419" i="1"/>
  <c r="CP420" i="1"/>
  <c r="CP422" i="1"/>
  <c r="CP423" i="1"/>
  <c r="CP425" i="1"/>
  <c r="CP426" i="1"/>
  <c r="CP427" i="1"/>
  <c r="CP428" i="1"/>
  <c r="CP430" i="1"/>
  <c r="CP434" i="1"/>
  <c r="CP436" i="1"/>
  <c r="CP440" i="1"/>
  <c r="CP443" i="1"/>
  <c r="CP445" i="1"/>
  <c r="CP449" i="1"/>
  <c r="CP452" i="1"/>
  <c r="CP454" i="1"/>
  <c r="CP457" i="1"/>
  <c r="CP458" i="1"/>
  <c r="CP459" i="1"/>
  <c r="CP462" i="1"/>
  <c r="CP463" i="1"/>
  <c r="CP467" i="1"/>
  <c r="CP470" i="1"/>
  <c r="CP475" i="1"/>
  <c r="CP476" i="1"/>
  <c r="CP478" i="1"/>
  <c r="CP480" i="1"/>
  <c r="CP481" i="1"/>
  <c r="CP482" i="1"/>
  <c r="CP484" i="1"/>
  <c r="CP485" i="1"/>
  <c r="CP487" i="1"/>
  <c r="CP488" i="1"/>
  <c r="CP489" i="1"/>
  <c r="CP490" i="1"/>
  <c r="CP493" i="1"/>
  <c r="CP496" i="1"/>
  <c r="CP497" i="1"/>
  <c r="CP499" i="1"/>
  <c r="CP500" i="1"/>
  <c r="CP504" i="1"/>
  <c r="CP508" i="1"/>
  <c r="CP510" i="1"/>
  <c r="CP511" i="1"/>
  <c r="CP512" i="1"/>
  <c r="CP513" i="1"/>
  <c r="CP514" i="1"/>
  <c r="CU514" i="1" s="1"/>
  <c r="CP515" i="1"/>
  <c r="CP516" i="1"/>
  <c r="CP517" i="1"/>
  <c r="CP518" i="1"/>
  <c r="CP519" i="1"/>
  <c r="CP520" i="1"/>
  <c r="CP521" i="1"/>
  <c r="CP523" i="1"/>
  <c r="CP525" i="1"/>
  <c r="CP526" i="1"/>
  <c r="CP527" i="1"/>
  <c r="CP529" i="1"/>
  <c r="CP530" i="1"/>
  <c r="CP532" i="1"/>
  <c r="CP533" i="1"/>
  <c r="CP534" i="1"/>
  <c r="CP535" i="1"/>
  <c r="CP537" i="1"/>
  <c r="CP538" i="1"/>
  <c r="CP540" i="1"/>
  <c r="CP541" i="1"/>
  <c r="CP542" i="1"/>
  <c r="CP544" i="1"/>
  <c r="CP545" i="1"/>
  <c r="CP547" i="1"/>
  <c r="CP550" i="1"/>
  <c r="CP554" i="1"/>
  <c r="CP556" i="1"/>
  <c r="CP559" i="1"/>
  <c r="CP560" i="1"/>
  <c r="CP562" i="1"/>
  <c r="CP569" i="1"/>
  <c r="CP570" i="1"/>
  <c r="CP572" i="1"/>
  <c r="CP575" i="1"/>
  <c r="CP576" i="1"/>
  <c r="CP577" i="1"/>
  <c r="CP578" i="1"/>
  <c r="CP580" i="1"/>
  <c r="CP582" i="1"/>
  <c r="CP583" i="1"/>
  <c r="DW560" i="1" l="1"/>
  <c r="EL560" i="1"/>
  <c r="DX560" i="1"/>
  <c r="EM560" i="1"/>
  <c r="DW526" i="1"/>
  <c r="EL526" i="1"/>
  <c r="DX526" i="1"/>
  <c r="EM526" i="1"/>
  <c r="P158" i="14"/>
  <c r="P159" i="14"/>
  <c r="P203" i="14"/>
  <c r="AK588" i="1"/>
  <c r="AH588" i="1"/>
  <c r="AH587" i="1"/>
  <c r="AK587" i="1"/>
  <c r="AH586" i="1"/>
  <c r="AK586" i="1"/>
  <c r="CT566" i="1"/>
  <c r="CE586" i="1"/>
  <c r="CD586" i="1"/>
  <c r="CC586" i="1"/>
  <c r="BW586" i="1"/>
  <c r="AO586" i="1"/>
  <c r="O589" i="1"/>
  <c r="O588" i="1"/>
  <c r="O587" i="1"/>
  <c r="O586" i="1"/>
  <c r="L589" i="1"/>
  <c r="L588" i="1"/>
  <c r="L587" i="1"/>
  <c r="L586" i="1"/>
  <c r="F589" i="1"/>
  <c r="F588" i="1"/>
  <c r="F587" i="1"/>
  <c r="F586" i="1"/>
  <c r="B589" i="1"/>
  <c r="B588" i="1"/>
  <c r="B587" i="1"/>
  <c r="B586" i="1"/>
  <c r="BL586" i="6"/>
  <c r="BM586" i="6"/>
  <c r="BN586" i="6"/>
  <c r="BO586" i="6"/>
  <c r="BN589" i="1" l="1"/>
  <c r="DR589" i="1"/>
  <c r="BL589" i="1"/>
  <c r="EG589" i="1"/>
  <c r="EK589" i="1"/>
  <c r="CB589" i="1"/>
  <c r="BS589" i="1"/>
  <c r="DV589" i="1"/>
  <c r="CB586" i="1"/>
  <c r="BN587" i="1"/>
  <c r="EG587" i="1"/>
  <c r="BL587" i="1"/>
  <c r="DR587" i="1"/>
  <c r="BL588" i="1"/>
  <c r="EG588" i="1"/>
  <c r="DR588" i="1"/>
  <c r="BN588" i="1"/>
  <c r="EG586" i="1"/>
  <c r="DR586" i="1"/>
  <c r="BL586" i="1"/>
  <c r="DV586" i="1"/>
  <c r="EK586" i="1"/>
  <c r="CB587" i="1"/>
  <c r="BS587" i="1"/>
  <c r="EK587" i="1"/>
  <c r="DV587" i="1"/>
  <c r="BN586" i="1"/>
  <c r="BS586" i="1"/>
  <c r="EK588" i="1"/>
  <c r="DV588" i="1"/>
  <c r="CB588" i="1"/>
  <c r="BS588" i="1"/>
  <c r="AJ585" i="1"/>
  <c r="AG585" i="1"/>
  <c r="ES585" i="1"/>
  <c r="ER585" i="1"/>
  <c r="ET585" i="1" s="1"/>
  <c r="EQ585" i="1"/>
  <c r="EB585" i="1"/>
  <c r="DN583" i="1"/>
  <c r="DP583" i="1" s="1"/>
  <c r="DM583" i="1"/>
  <c r="DL583" i="1"/>
  <c r="DO583" i="1" s="1"/>
  <c r="DK583" i="1"/>
  <c r="DN582" i="1"/>
  <c r="DP582" i="1" s="1"/>
  <c r="DM582" i="1"/>
  <c r="DL582" i="1"/>
  <c r="DO582" i="1" s="1"/>
  <c r="DK582" i="1"/>
  <c r="DN581" i="1"/>
  <c r="DP581" i="1" s="1"/>
  <c r="DM581" i="1"/>
  <c r="DL581" i="1"/>
  <c r="DO581" i="1" s="1"/>
  <c r="DK581" i="1"/>
  <c r="DN580" i="1"/>
  <c r="DP580" i="1" s="1"/>
  <c r="DM580" i="1"/>
  <c r="DL580" i="1"/>
  <c r="DO580" i="1" s="1"/>
  <c r="DK580" i="1"/>
  <c r="DN579" i="1"/>
  <c r="DP579" i="1" s="1"/>
  <c r="DM579" i="1"/>
  <c r="DL579" i="1"/>
  <c r="DO579" i="1" s="1"/>
  <c r="DK579" i="1"/>
  <c r="DN578" i="1"/>
  <c r="DP578" i="1" s="1"/>
  <c r="DM578" i="1"/>
  <c r="DL578" i="1"/>
  <c r="DO578" i="1" s="1"/>
  <c r="DK578" i="1"/>
  <c r="DN577" i="1"/>
  <c r="DP577" i="1" s="1"/>
  <c r="DM577" i="1"/>
  <c r="DL577" i="1"/>
  <c r="DO577" i="1" s="1"/>
  <c r="DK577" i="1"/>
  <c r="DN576" i="1"/>
  <c r="DP576" i="1" s="1"/>
  <c r="DM576" i="1"/>
  <c r="DL576" i="1"/>
  <c r="DO576" i="1" s="1"/>
  <c r="DK576" i="1"/>
  <c r="DN575" i="1"/>
  <c r="DP575" i="1" s="1"/>
  <c r="DM575" i="1"/>
  <c r="DL575" i="1"/>
  <c r="DO575" i="1" s="1"/>
  <c r="DK575" i="1"/>
  <c r="DN574" i="1"/>
  <c r="DP574" i="1" s="1"/>
  <c r="DM574" i="1"/>
  <c r="DL574" i="1"/>
  <c r="DO574" i="1" s="1"/>
  <c r="DK574" i="1"/>
  <c r="DN573" i="1"/>
  <c r="DP573" i="1" s="1"/>
  <c r="DM573" i="1"/>
  <c r="DL573" i="1"/>
  <c r="DO573" i="1" s="1"/>
  <c r="DK573" i="1"/>
  <c r="DN584" i="1"/>
  <c r="DP584" i="1" s="1"/>
  <c r="DM584" i="1"/>
  <c r="DL584" i="1"/>
  <c r="DO584" i="1" s="1"/>
  <c r="DK584" i="1"/>
  <c r="DN585" i="1"/>
  <c r="DP585" i="1" s="1"/>
  <c r="DM585" i="1"/>
  <c r="DL585" i="1"/>
  <c r="DO585" i="1" s="1"/>
  <c r="DK585" i="1"/>
  <c r="CW585" i="1"/>
  <c r="CT585" i="1"/>
  <c r="CF585" i="1"/>
  <c r="CE585" i="1"/>
  <c r="CH585" i="1" s="1"/>
  <c r="CD585" i="1"/>
  <c r="CC585" i="1"/>
  <c r="CG585" i="1" s="1"/>
  <c r="BW585" i="1"/>
  <c r="AO585" i="1"/>
  <c r="BL585" i="6"/>
  <c r="BM585" i="6"/>
  <c r="BN585" i="6"/>
  <c r="BO585" i="6"/>
  <c r="ES584" i="1"/>
  <c r="ER584" i="1"/>
  <c r="ET584" i="1" s="1"/>
  <c r="EQ584" i="1"/>
  <c r="CT584" i="1"/>
  <c r="CF584" i="1"/>
  <c r="CE584" i="1"/>
  <c r="CH584" i="1" s="1"/>
  <c r="CD584" i="1"/>
  <c r="CC584" i="1"/>
  <c r="CG584" i="1" s="1"/>
  <c r="BW584" i="1"/>
  <c r="AO584" i="1"/>
  <c r="BL584" i="6"/>
  <c r="BM584" i="6"/>
  <c r="BN584" i="6"/>
  <c r="BO584" i="6"/>
  <c r="AJ583" i="1"/>
  <c r="AG583" i="1"/>
  <c r="ES582" i="1"/>
  <c r="ER582" i="1"/>
  <c r="ET582" i="1" s="1"/>
  <c r="EQ582" i="1"/>
  <c r="ES583" i="1"/>
  <c r="ER583" i="1"/>
  <c r="ET583" i="1" s="1"/>
  <c r="EQ583" i="1"/>
  <c r="EB583" i="1"/>
  <c r="CF583" i="1"/>
  <c r="CE583" i="1"/>
  <c r="CH583" i="1" s="1"/>
  <c r="CD583" i="1"/>
  <c r="CC583" i="1"/>
  <c r="CG583" i="1" s="1"/>
  <c r="BW583" i="1"/>
  <c r="CT583" i="1"/>
  <c r="AO583" i="1"/>
  <c r="BL583" i="6"/>
  <c r="BM583" i="6"/>
  <c r="BN583" i="6"/>
  <c r="BO583" i="6"/>
  <c r="AJ581" i="1"/>
  <c r="AG581" i="1"/>
  <c r="ES581" i="1"/>
  <c r="ER581" i="1"/>
  <c r="ET581" i="1" s="1"/>
  <c r="EQ581" i="1"/>
  <c r="EB581" i="1"/>
  <c r="CT581" i="1"/>
  <c r="CF581" i="1"/>
  <c r="CE581" i="1"/>
  <c r="CH581" i="1" s="1"/>
  <c r="CD581" i="1"/>
  <c r="CC581" i="1"/>
  <c r="CG581" i="1" s="1"/>
  <c r="BW581" i="1"/>
  <c r="AO581" i="1"/>
  <c r="BL581" i="6"/>
  <c r="BM581" i="6"/>
  <c r="BN581" i="6"/>
  <c r="BO581" i="6"/>
  <c r="AJ582" i="1"/>
  <c r="AG582" i="1"/>
  <c r="EB582" i="1"/>
  <c r="CT582" i="1"/>
  <c r="CF582" i="1"/>
  <c r="CE582" i="1"/>
  <c r="CH582" i="1" s="1"/>
  <c r="CD582" i="1"/>
  <c r="CC582" i="1"/>
  <c r="CG582" i="1" s="1"/>
  <c r="BW582" i="1"/>
  <c r="AO582" i="1"/>
  <c r="BO582" i="6"/>
  <c r="BN582" i="6"/>
  <c r="BM582" i="6"/>
  <c r="BL582" i="6"/>
  <c r="AJ580" i="1"/>
  <c r="AG580" i="1"/>
  <c r="ES580" i="1"/>
  <c r="ER580" i="1"/>
  <c r="ET580" i="1" s="1"/>
  <c r="EQ580" i="1"/>
  <c r="EB580" i="1"/>
  <c r="CT580" i="1"/>
  <c r="CF580" i="1"/>
  <c r="CE580" i="1"/>
  <c r="CH580" i="1" s="1"/>
  <c r="CD580" i="1"/>
  <c r="CC580" i="1"/>
  <c r="CG580" i="1" s="1"/>
  <c r="BW580" i="1"/>
  <c r="AO580" i="1"/>
  <c r="O585" i="1"/>
  <c r="O584" i="1"/>
  <c r="O583" i="1"/>
  <c r="O582" i="1"/>
  <c r="O581" i="1"/>
  <c r="O580" i="1"/>
  <c r="L580" i="1"/>
  <c r="DV580" i="1" s="1"/>
  <c r="L581" i="1"/>
  <c r="EK581" i="1" s="1"/>
  <c r="L582" i="1"/>
  <c r="EK582" i="1" s="1"/>
  <c r="L583" i="1"/>
  <c r="L584" i="1"/>
  <c r="L585" i="1"/>
  <c r="EK585" i="1" s="1"/>
  <c r="F580" i="1"/>
  <c r="F581" i="1"/>
  <c r="BN581" i="1" s="1"/>
  <c r="F582" i="1"/>
  <c r="DR582" i="1" s="1"/>
  <c r="F583" i="1"/>
  <c r="F584" i="1"/>
  <c r="F585" i="1"/>
  <c r="EG585" i="1" s="1"/>
  <c r="B580" i="1"/>
  <c r="B581" i="1"/>
  <c r="B582" i="1"/>
  <c r="B583" i="1"/>
  <c r="B584" i="1"/>
  <c r="B585" i="1"/>
  <c r="BL580" i="6"/>
  <c r="BM580" i="6"/>
  <c r="BN580" i="6"/>
  <c r="BO580" i="6"/>
  <c r="EL588" i="1" l="1"/>
  <c r="EM588" i="1"/>
  <c r="CU587" i="1"/>
  <c r="CX587" i="1" s="1"/>
  <c r="CV587" i="1"/>
  <c r="EM587" i="1"/>
  <c r="EL587" i="1"/>
  <c r="EM585" i="1"/>
  <c r="EL585" i="1"/>
  <c r="EM589" i="1"/>
  <c r="EL589" i="1"/>
  <c r="EL586" i="1"/>
  <c r="EM586" i="1"/>
  <c r="DW582" i="1"/>
  <c r="DX582" i="1"/>
  <c r="DW588" i="1"/>
  <c r="DY588" i="1" s="1"/>
  <c r="DX588" i="1"/>
  <c r="DZ588" i="1" s="1"/>
  <c r="DW587" i="1"/>
  <c r="DX587" i="1"/>
  <c r="DZ587" i="1" s="1"/>
  <c r="ED587" i="1" s="1"/>
  <c r="DW586" i="1"/>
  <c r="DX586" i="1"/>
  <c r="DW589" i="1"/>
  <c r="DX589" i="1"/>
  <c r="CF587" i="1"/>
  <c r="AH585" i="1"/>
  <c r="DR583" i="1"/>
  <c r="BS584" i="1"/>
  <c r="BS583" i="1"/>
  <c r="AK585" i="1"/>
  <c r="BS581" i="1"/>
  <c r="CB581" i="1"/>
  <c r="BL583" i="1"/>
  <c r="DV583" i="1"/>
  <c r="DR584" i="1"/>
  <c r="DV584" i="1"/>
  <c r="BL584" i="1"/>
  <c r="EG584" i="1"/>
  <c r="EG583" i="1"/>
  <c r="EK584" i="1"/>
  <c r="EK583" i="1"/>
  <c r="BN584" i="1"/>
  <c r="DR581" i="1"/>
  <c r="DR585" i="1"/>
  <c r="DV581" i="1"/>
  <c r="DV585" i="1"/>
  <c r="BN583" i="1"/>
  <c r="BL585" i="1"/>
  <c r="EG581" i="1"/>
  <c r="BL581" i="1"/>
  <c r="BN585" i="1"/>
  <c r="EG582" i="1"/>
  <c r="BS585" i="1"/>
  <c r="AJ584" i="1"/>
  <c r="AG584" i="1"/>
  <c r="EB584" i="1"/>
  <c r="AK583" i="1"/>
  <c r="AH583" i="1"/>
  <c r="AK581" i="1"/>
  <c r="AH581" i="1"/>
  <c r="CB582" i="1"/>
  <c r="DV582" i="1"/>
  <c r="BL582" i="1"/>
  <c r="AK582" i="1"/>
  <c r="AH582" i="1"/>
  <c r="BN582" i="1"/>
  <c r="BN580" i="1"/>
  <c r="BS582" i="1"/>
  <c r="AK580" i="1"/>
  <c r="BL580" i="1"/>
  <c r="DR580" i="1"/>
  <c r="EG580" i="1"/>
  <c r="EK580" i="1"/>
  <c r="BS580" i="1"/>
  <c r="CB580" i="1"/>
  <c r="AH580" i="1"/>
  <c r="AX15" i="30"/>
  <c r="AX16" i="30"/>
  <c r="AX13" i="30"/>
  <c r="AT10" i="31"/>
  <c r="AT8" i="31"/>
  <c r="AY11" i="31"/>
  <c r="AX11" i="31"/>
  <c r="AW11" i="31"/>
  <c r="AV11" i="31"/>
  <c r="J467" i="34"/>
  <c r="H467" i="34"/>
  <c r="H447" i="34"/>
  <c r="H446" i="34"/>
  <c r="H466" i="34"/>
  <c r="H465" i="34"/>
  <c r="T465" i="34"/>
  <c r="S465" i="34"/>
  <c r="R465" i="34"/>
  <c r="Q465" i="34"/>
  <c r="P465" i="34"/>
  <c r="O465" i="34"/>
  <c r="N465" i="34"/>
  <c r="M465" i="34"/>
  <c r="J464" i="34"/>
  <c r="H464" i="34"/>
  <c r="H463" i="34"/>
  <c r="J462" i="34"/>
  <c r="H462" i="34"/>
  <c r="J461" i="34"/>
  <c r="H461" i="34"/>
  <c r="J460" i="34"/>
  <c r="H460" i="34"/>
  <c r="J459" i="34"/>
  <c r="H459" i="34"/>
  <c r="J458" i="34"/>
  <c r="H458" i="34"/>
  <c r="M458" i="34"/>
  <c r="J457" i="34"/>
  <c r="H457" i="34"/>
  <c r="J456" i="34"/>
  <c r="H456" i="34"/>
  <c r="K455" i="34"/>
  <c r="O455" i="34" s="1"/>
  <c r="J455" i="34"/>
  <c r="H455" i="34"/>
  <c r="J454" i="34"/>
  <c r="H454" i="34"/>
  <c r="J453" i="34"/>
  <c r="H453" i="34"/>
  <c r="K452" i="34"/>
  <c r="N452" i="34" s="1"/>
  <c r="J452" i="34"/>
  <c r="H452" i="34"/>
  <c r="J451" i="34"/>
  <c r="H451" i="34"/>
  <c r="J450" i="34"/>
  <c r="H450" i="34"/>
  <c r="J449" i="34"/>
  <c r="H449" i="34"/>
  <c r="J448" i="34"/>
  <c r="H448" i="34"/>
  <c r="T467" i="34"/>
  <c r="S467" i="34"/>
  <c r="R467" i="34"/>
  <c r="Q467" i="34"/>
  <c r="P467" i="34"/>
  <c r="O467" i="34"/>
  <c r="N467" i="34"/>
  <c r="M467" i="34"/>
  <c r="T466" i="34"/>
  <c r="S466" i="34"/>
  <c r="R466" i="34"/>
  <c r="Q466" i="34"/>
  <c r="P466" i="34"/>
  <c r="O466" i="34"/>
  <c r="N466" i="34"/>
  <c r="M466" i="34"/>
  <c r="T464" i="34"/>
  <c r="S464" i="34"/>
  <c r="R464" i="34"/>
  <c r="Q464" i="34"/>
  <c r="P464" i="34"/>
  <c r="O464" i="34"/>
  <c r="N464" i="34"/>
  <c r="M464" i="34"/>
  <c r="T463" i="34"/>
  <c r="S463" i="34"/>
  <c r="R463" i="34"/>
  <c r="Q463" i="34"/>
  <c r="P463" i="34"/>
  <c r="O463" i="34"/>
  <c r="N463" i="34"/>
  <c r="M463" i="34"/>
  <c r="T462" i="34"/>
  <c r="S462" i="34"/>
  <c r="R462" i="34"/>
  <c r="Q462" i="34"/>
  <c r="P462" i="34"/>
  <c r="O462" i="34"/>
  <c r="N462" i="34"/>
  <c r="M462" i="34"/>
  <c r="T461" i="34"/>
  <c r="S461" i="34"/>
  <c r="R461" i="34"/>
  <c r="Q461" i="34"/>
  <c r="P461" i="34"/>
  <c r="O461" i="34"/>
  <c r="N461" i="34"/>
  <c r="M461" i="34"/>
  <c r="T460" i="34"/>
  <c r="S460" i="34"/>
  <c r="T459" i="34"/>
  <c r="S459" i="34"/>
  <c r="R459" i="34"/>
  <c r="Q459" i="34"/>
  <c r="P459" i="34"/>
  <c r="O459" i="34"/>
  <c r="N459" i="34"/>
  <c r="M459" i="34"/>
  <c r="T457" i="34"/>
  <c r="S457" i="34"/>
  <c r="R457" i="34"/>
  <c r="Q457" i="34"/>
  <c r="P457" i="34"/>
  <c r="O457" i="34"/>
  <c r="N457" i="34"/>
  <c r="M457" i="34"/>
  <c r="T456" i="34"/>
  <c r="S456" i="34"/>
  <c r="R456" i="34"/>
  <c r="Q456" i="34"/>
  <c r="P456" i="34"/>
  <c r="O456" i="34"/>
  <c r="N456" i="34"/>
  <c r="M456" i="34"/>
  <c r="T454" i="34"/>
  <c r="S454" i="34"/>
  <c r="R454" i="34"/>
  <c r="Q454" i="34"/>
  <c r="P454" i="34"/>
  <c r="O454" i="34"/>
  <c r="N454" i="34"/>
  <c r="M454" i="34"/>
  <c r="T453" i="34"/>
  <c r="S453" i="34"/>
  <c r="R453" i="34"/>
  <c r="Q453" i="34"/>
  <c r="P453" i="34"/>
  <c r="O453" i="34"/>
  <c r="N453" i="34"/>
  <c r="M453" i="34"/>
  <c r="T451" i="34"/>
  <c r="S451" i="34"/>
  <c r="R451" i="34"/>
  <c r="Q451" i="34"/>
  <c r="P451" i="34"/>
  <c r="O451" i="34"/>
  <c r="N451" i="34"/>
  <c r="M451" i="34"/>
  <c r="T450" i="34"/>
  <c r="S450" i="34"/>
  <c r="R450" i="34"/>
  <c r="Q450" i="34"/>
  <c r="P450" i="34"/>
  <c r="O450" i="34"/>
  <c r="N450" i="34"/>
  <c r="M450" i="34"/>
  <c r="T449" i="34"/>
  <c r="S449" i="34"/>
  <c r="R449" i="34"/>
  <c r="Q449" i="34"/>
  <c r="P449" i="34"/>
  <c r="O449" i="34"/>
  <c r="N449" i="34"/>
  <c r="M449" i="34"/>
  <c r="T448" i="34"/>
  <c r="S448" i="34"/>
  <c r="R448" i="34"/>
  <c r="Q448" i="34"/>
  <c r="P448" i="34"/>
  <c r="O448" i="34"/>
  <c r="N448" i="34"/>
  <c r="M448" i="34"/>
  <c r="Q157" i="14"/>
  <c r="P157" i="14"/>
  <c r="I157" i="14"/>
  <c r="K53" i="14"/>
  <c r="I53" i="14"/>
  <c r="Q53" i="14"/>
  <c r="P53" i="14"/>
  <c r="K25" i="14"/>
  <c r="Q25" i="14"/>
  <c r="I25" i="14"/>
  <c r="P25" i="14"/>
  <c r="AY22" i="31" l="1"/>
  <c r="AY21" i="31"/>
  <c r="AY35" i="31"/>
  <c r="AY19" i="31"/>
  <c r="AY24" i="31"/>
  <c r="AY23" i="31"/>
  <c r="AY34" i="31"/>
  <c r="AY18" i="31"/>
  <c r="AY17" i="31"/>
  <c r="AY32" i="31"/>
  <c r="AY16" i="31"/>
  <c r="AY33" i="31"/>
  <c r="AY25" i="31"/>
  <c r="AY31" i="31"/>
  <c r="AY15" i="31"/>
  <c r="AY26" i="31"/>
  <c r="AY30" i="31"/>
  <c r="AY14" i="31"/>
  <c r="AY29" i="31"/>
  <c r="AY13" i="31"/>
  <c r="AY28" i="31"/>
  <c r="AY12" i="31"/>
  <c r="AY27" i="31"/>
  <c r="AY20" i="31"/>
  <c r="AY17" i="30"/>
  <c r="AY18" i="30"/>
  <c r="DY587" i="1"/>
  <c r="EC587" i="1" s="1"/>
  <c r="EE587" i="1" s="1"/>
  <c r="EL580" i="1"/>
  <c r="EM580" i="1"/>
  <c r="EM582" i="1"/>
  <c r="EL582" i="1"/>
  <c r="EM583" i="1"/>
  <c r="EL583" i="1"/>
  <c r="EM584" i="1"/>
  <c r="EL584" i="1"/>
  <c r="EM581" i="1"/>
  <c r="EL581" i="1"/>
  <c r="CU585" i="1"/>
  <c r="CV585" i="1"/>
  <c r="DW580" i="1"/>
  <c r="DY580" i="1" s="1"/>
  <c r="DX580" i="1"/>
  <c r="DZ580" i="1" s="1"/>
  <c r="DX584" i="1"/>
  <c r="DW584" i="1"/>
  <c r="DW585" i="1"/>
  <c r="DX585" i="1"/>
  <c r="DW581" i="1"/>
  <c r="DY581" i="1" s="1"/>
  <c r="DX581" i="1"/>
  <c r="DZ581" i="1" s="1"/>
  <c r="ED581" i="1" s="1"/>
  <c r="DW583" i="1"/>
  <c r="DY583" i="1" s="1"/>
  <c r="DX583" i="1"/>
  <c r="DZ583" i="1" s="1"/>
  <c r="AT11" i="31"/>
  <c r="AK584" i="1"/>
  <c r="AH584" i="1"/>
  <c r="AY26" i="30"/>
  <c r="AY37" i="30"/>
  <c r="AY36" i="30"/>
  <c r="AY35" i="30"/>
  <c r="AY31" i="30"/>
  <c r="AY30" i="30"/>
  <c r="AY40" i="30"/>
  <c r="AY19" i="30"/>
  <c r="AY20" i="30"/>
  <c r="AY21" i="30"/>
  <c r="AY25" i="30"/>
  <c r="AY32" i="30"/>
  <c r="AY27" i="30"/>
  <c r="AY22" i="30"/>
  <c r="AY38" i="30"/>
  <c r="AY33" i="30"/>
  <c r="AY28" i="30"/>
  <c r="AY23" i="30"/>
  <c r="AY39" i="30"/>
  <c r="AY34" i="30"/>
  <c r="AY29" i="30"/>
  <c r="AY24" i="30"/>
  <c r="AW25" i="31"/>
  <c r="AW12" i="31"/>
  <c r="AW35" i="31"/>
  <c r="AU35" i="31"/>
  <c r="AU16" i="31"/>
  <c r="AU14" i="31"/>
  <c r="AU28" i="31"/>
  <c r="AU17" i="31"/>
  <c r="AU20" i="31"/>
  <c r="AU18" i="31"/>
  <c r="AU32" i="31"/>
  <c r="AU33" i="31"/>
  <c r="AU21" i="31"/>
  <c r="AU34" i="31"/>
  <c r="AU12" i="31"/>
  <c r="AU22" i="31"/>
  <c r="AU13" i="31"/>
  <c r="AU26" i="31"/>
  <c r="AU29" i="31"/>
  <c r="AW33" i="31"/>
  <c r="AW20" i="31"/>
  <c r="AW28" i="31"/>
  <c r="AW21" i="31"/>
  <c r="AW29" i="31"/>
  <c r="AW16" i="31"/>
  <c r="AW13" i="31"/>
  <c r="AW23" i="31"/>
  <c r="AU24" i="31"/>
  <c r="AU30" i="31"/>
  <c r="AW24" i="31"/>
  <c r="AW17" i="31"/>
  <c r="AW32" i="31"/>
  <c r="AU25" i="31"/>
  <c r="AW14" i="31"/>
  <c r="AW18" i="31"/>
  <c r="AW22" i="31"/>
  <c r="AW26" i="31"/>
  <c r="AW30" i="31"/>
  <c r="AW34" i="31"/>
  <c r="AU15" i="31"/>
  <c r="AU19" i="31"/>
  <c r="AU23" i="31"/>
  <c r="AU27" i="31"/>
  <c r="AU31" i="31"/>
  <c r="AW15" i="31"/>
  <c r="AW19" i="31"/>
  <c r="AW27" i="31"/>
  <c r="AW31" i="31"/>
  <c r="P458" i="34"/>
  <c r="S458" i="34"/>
  <c r="T458" i="34"/>
  <c r="N458" i="34"/>
  <c r="O458" i="34"/>
  <c r="Q458" i="34"/>
  <c r="R458" i="34"/>
  <c r="M455" i="34"/>
  <c r="M452" i="34"/>
  <c r="N455" i="34"/>
  <c r="O452" i="34"/>
  <c r="P455" i="34"/>
  <c r="M460" i="34"/>
  <c r="P452" i="34"/>
  <c r="Q455" i="34"/>
  <c r="N460" i="34"/>
  <c r="Q452" i="34"/>
  <c r="R455" i="34"/>
  <c r="O460" i="34"/>
  <c r="S455" i="34"/>
  <c r="P460" i="34"/>
  <c r="R452" i="34"/>
  <c r="S452" i="34"/>
  <c r="T455" i="34"/>
  <c r="Q460" i="34"/>
  <c r="T452" i="34"/>
  <c r="R460" i="34"/>
  <c r="AJ579" i="1"/>
  <c r="AG579" i="1"/>
  <c r="ES579" i="1"/>
  <c r="ER579" i="1"/>
  <c r="ET579" i="1" s="1"/>
  <c r="EQ579" i="1"/>
  <c r="EB579" i="1"/>
  <c r="CT579" i="1"/>
  <c r="CF579" i="1"/>
  <c r="CE579" i="1"/>
  <c r="CH579" i="1" s="1"/>
  <c r="CD579" i="1"/>
  <c r="CC579" i="1"/>
  <c r="CG579" i="1" s="1"/>
  <c r="BW579" i="1"/>
  <c r="AO579" i="1"/>
  <c r="B579" i="1"/>
  <c r="BL579" i="6"/>
  <c r="BM579" i="6"/>
  <c r="BN579" i="6"/>
  <c r="BO579" i="6"/>
  <c r="AJ578" i="1"/>
  <c r="AG578" i="1"/>
  <c r="ES578" i="1"/>
  <c r="ER578" i="1"/>
  <c r="ET578" i="1" s="1"/>
  <c r="EQ578" i="1"/>
  <c r="EB578" i="1"/>
  <c r="CW578" i="1"/>
  <c r="CY578" i="1" s="1"/>
  <c r="CT578" i="1"/>
  <c r="CE578" i="1"/>
  <c r="CD578" i="1"/>
  <c r="CC578" i="1"/>
  <c r="BW578" i="1"/>
  <c r="AO578" i="1"/>
  <c r="O579" i="1"/>
  <c r="O578" i="1"/>
  <c r="L579" i="1"/>
  <c r="L578" i="1"/>
  <c r="DV578" i="1" s="1"/>
  <c r="F579" i="1"/>
  <c r="BN579" i="1" s="1"/>
  <c r="F578" i="1"/>
  <c r="DR578" i="1" s="1"/>
  <c r="B578" i="1"/>
  <c r="BL578" i="6"/>
  <c r="BM578" i="6"/>
  <c r="BN578" i="6"/>
  <c r="BO578" i="6"/>
  <c r="EC581" i="1" l="1"/>
  <c r="EE581" i="1" s="1"/>
  <c r="CU578" i="1"/>
  <c r="CX578" i="1" s="1"/>
  <c r="CV578" i="1"/>
  <c r="DW578" i="1"/>
  <c r="DX578" i="1"/>
  <c r="AK579" i="1"/>
  <c r="EG579" i="1"/>
  <c r="EG578" i="1"/>
  <c r="BL578" i="1"/>
  <c r="CB579" i="1"/>
  <c r="DR579" i="1"/>
  <c r="EK579" i="1"/>
  <c r="EK578" i="1"/>
  <c r="DV579" i="1"/>
  <c r="AH579" i="1"/>
  <c r="BN578" i="1"/>
  <c r="BS578" i="1"/>
  <c r="CB578" i="1"/>
  <c r="BL579" i="1"/>
  <c r="BS579" i="1"/>
  <c r="AH578" i="1"/>
  <c r="AK578" i="1"/>
  <c r="AJ577" i="1"/>
  <c r="AG577" i="1"/>
  <c r="ES577" i="1"/>
  <c r="ER577" i="1"/>
  <c r="ET577" i="1" s="1"/>
  <c r="EQ577" i="1"/>
  <c r="EB577" i="1"/>
  <c r="CT577" i="1"/>
  <c r="CF577" i="1"/>
  <c r="CE577" i="1"/>
  <c r="CH577" i="1" s="1"/>
  <c r="CD577" i="1"/>
  <c r="CC577" i="1"/>
  <c r="CG577" i="1" s="1"/>
  <c r="BW577" i="1"/>
  <c r="AO577" i="1"/>
  <c r="BL577" i="6"/>
  <c r="BM577" i="6"/>
  <c r="BN577" i="6"/>
  <c r="BO577" i="6"/>
  <c r="AJ576" i="1"/>
  <c r="AG576" i="1"/>
  <c r="ES576" i="1"/>
  <c r="ER576" i="1"/>
  <c r="ET576" i="1" s="1"/>
  <c r="EQ576" i="1"/>
  <c r="EB576" i="1"/>
  <c r="CF576" i="1"/>
  <c r="CE576" i="1"/>
  <c r="CH576" i="1" s="1"/>
  <c r="CD576" i="1"/>
  <c r="CC576" i="1"/>
  <c r="CG576" i="1" s="1"/>
  <c r="BW576" i="1"/>
  <c r="AO576" i="1"/>
  <c r="BL576" i="6"/>
  <c r="BM576" i="6"/>
  <c r="BN576" i="6"/>
  <c r="BO576" i="6"/>
  <c r="AJ575" i="1"/>
  <c r="AG575" i="1"/>
  <c r="ES575" i="1"/>
  <c r="ER575" i="1"/>
  <c r="ET575" i="1" s="1"/>
  <c r="EQ575" i="1"/>
  <c r="EB575" i="1"/>
  <c r="CT575" i="1"/>
  <c r="CF575" i="1"/>
  <c r="CE575" i="1"/>
  <c r="CH575" i="1" s="1"/>
  <c r="CD575" i="1"/>
  <c r="CC575" i="1"/>
  <c r="CG575" i="1" s="1"/>
  <c r="BW575" i="1"/>
  <c r="AO575" i="1"/>
  <c r="BL575" i="6"/>
  <c r="BM575" i="6"/>
  <c r="BN575" i="6"/>
  <c r="BO575" i="6"/>
  <c r="AJ574" i="1"/>
  <c r="AG574" i="1"/>
  <c r="ES574" i="1"/>
  <c r="ER574" i="1"/>
  <c r="ET574" i="1" s="1"/>
  <c r="EQ574" i="1"/>
  <c r="ED574" i="1"/>
  <c r="EC574" i="1"/>
  <c r="EB574" i="1"/>
  <c r="CW574" i="1"/>
  <c r="CT574" i="1"/>
  <c r="CF574" i="1"/>
  <c r="CE574" i="1"/>
  <c r="CH574" i="1" s="1"/>
  <c r="CD574" i="1"/>
  <c r="CC574" i="1"/>
  <c r="CG574" i="1" s="1"/>
  <c r="BV574" i="1"/>
  <c r="BU574" i="1"/>
  <c r="BT574" i="1"/>
  <c r="AO574" i="1"/>
  <c r="BL574" i="6"/>
  <c r="BM574" i="6"/>
  <c r="BN574" i="6"/>
  <c r="BO574" i="6"/>
  <c r="AJ573" i="1"/>
  <c r="AG573" i="1"/>
  <c r="ES573" i="1"/>
  <c r="ER573" i="1"/>
  <c r="ET573" i="1" s="1"/>
  <c r="EQ573" i="1"/>
  <c r="ED573" i="1"/>
  <c r="EC573" i="1"/>
  <c r="EB573" i="1"/>
  <c r="CW573" i="1"/>
  <c r="CT573" i="1"/>
  <c r="CF573" i="1"/>
  <c r="CE573" i="1"/>
  <c r="CD573" i="1"/>
  <c r="CC573" i="1"/>
  <c r="CG573" i="1" s="1"/>
  <c r="BV573" i="1"/>
  <c r="BU573" i="1"/>
  <c r="BT573" i="1"/>
  <c r="AO573" i="1"/>
  <c r="BL573" i="6"/>
  <c r="BM573" i="6"/>
  <c r="BN573" i="6"/>
  <c r="BO573" i="6"/>
  <c r="AJ572" i="1"/>
  <c r="AG572" i="1"/>
  <c r="ES572" i="1"/>
  <c r="ER572" i="1"/>
  <c r="ET572" i="1" s="1"/>
  <c r="EQ572" i="1"/>
  <c r="EB572" i="1"/>
  <c r="DN572" i="1"/>
  <c r="DP572" i="1" s="1"/>
  <c r="DM572" i="1"/>
  <c r="DL572" i="1"/>
  <c r="DO572" i="1" s="1"/>
  <c r="DK572" i="1"/>
  <c r="CT572" i="1"/>
  <c r="CF572" i="1"/>
  <c r="CE572" i="1"/>
  <c r="CH572" i="1" s="1"/>
  <c r="CD572" i="1"/>
  <c r="CC572" i="1"/>
  <c r="CG572" i="1" s="1"/>
  <c r="BW572" i="1"/>
  <c r="AO572" i="1"/>
  <c r="O577" i="1"/>
  <c r="O576" i="1"/>
  <c r="O575" i="1"/>
  <c r="O574" i="1"/>
  <c r="O573" i="1"/>
  <c r="O572" i="1"/>
  <c r="L577" i="1"/>
  <c r="L576" i="1"/>
  <c r="DV576" i="1" s="1"/>
  <c r="L575" i="1"/>
  <c r="DV575" i="1" s="1"/>
  <c r="L574" i="1"/>
  <c r="DV574" i="1" s="1"/>
  <c r="L573" i="1"/>
  <c r="DV573" i="1" s="1"/>
  <c r="L572" i="1"/>
  <c r="F577" i="1"/>
  <c r="BN577" i="1" s="1"/>
  <c r="F576" i="1"/>
  <c r="DR576" i="1" s="1"/>
  <c r="F575" i="1"/>
  <c r="F574" i="1"/>
  <c r="F573" i="1"/>
  <c r="F572" i="1"/>
  <c r="B572" i="1"/>
  <c r="B573" i="1"/>
  <c r="B574" i="1"/>
  <c r="B575" i="1"/>
  <c r="B576" i="1"/>
  <c r="B577" i="1"/>
  <c r="BL572" i="6"/>
  <c r="BM572" i="6"/>
  <c r="BN572" i="6"/>
  <c r="BO572" i="6"/>
  <c r="EL578" i="1" l="1"/>
  <c r="EM578" i="1"/>
  <c r="EM579" i="1"/>
  <c r="EL579" i="1"/>
  <c r="DX576" i="1"/>
  <c r="DW576" i="1"/>
  <c r="DW579" i="1"/>
  <c r="DY579" i="1" s="1"/>
  <c r="DX579" i="1"/>
  <c r="DZ579" i="1" s="1"/>
  <c r="CB572" i="1"/>
  <c r="BS573" i="1"/>
  <c r="EK573" i="1"/>
  <c r="AH577" i="1"/>
  <c r="DR577" i="1"/>
  <c r="CB577" i="1"/>
  <c r="EK575" i="1"/>
  <c r="DV577" i="1"/>
  <c r="EG577" i="1"/>
  <c r="EG574" i="1"/>
  <c r="EK574" i="1"/>
  <c r="EG576" i="1"/>
  <c r="BN575" i="1"/>
  <c r="BS572" i="1"/>
  <c r="DV572" i="1"/>
  <c r="EK576" i="1"/>
  <c r="EK577" i="1"/>
  <c r="EK572" i="1"/>
  <c r="EG572" i="1"/>
  <c r="BS574" i="1"/>
  <c r="BL576" i="1"/>
  <c r="CB573" i="1"/>
  <c r="BL575" i="1"/>
  <c r="CB574" i="1"/>
  <c r="BN576" i="1"/>
  <c r="BL577" i="1"/>
  <c r="DR573" i="1"/>
  <c r="BL572" i="1"/>
  <c r="BS576" i="1"/>
  <c r="EG573" i="1"/>
  <c r="DR574" i="1"/>
  <c r="BS575" i="1"/>
  <c r="BL574" i="1"/>
  <c r="BN572" i="1"/>
  <c r="CB576" i="1"/>
  <c r="BS577" i="1"/>
  <c r="BN574" i="1"/>
  <c r="BL573" i="1"/>
  <c r="DR572" i="1"/>
  <c r="BN573" i="1"/>
  <c r="AK577" i="1"/>
  <c r="AK576" i="1"/>
  <c r="AH576" i="1"/>
  <c r="AH575" i="1"/>
  <c r="AK575" i="1"/>
  <c r="AH574" i="1"/>
  <c r="AK574" i="1"/>
  <c r="AK573" i="1"/>
  <c r="AK572" i="1"/>
  <c r="AH573" i="1"/>
  <c r="CH573" i="1"/>
  <c r="AH572" i="1"/>
  <c r="C132" i="33"/>
  <c r="I132" i="33"/>
  <c r="E132" i="33"/>
  <c r="I131" i="33"/>
  <c r="E131" i="33"/>
  <c r="C131" i="33"/>
  <c r="H84" i="33"/>
  <c r="E130" i="33"/>
  <c r="C130" i="33"/>
  <c r="E129" i="33"/>
  <c r="I129" i="33"/>
  <c r="C129" i="33"/>
  <c r="I128" i="33"/>
  <c r="E128" i="33"/>
  <c r="C128" i="33"/>
  <c r="E127" i="33"/>
  <c r="I127" i="33"/>
  <c r="C127" i="33"/>
  <c r="EL572" i="1" l="1"/>
  <c r="EM572" i="1"/>
  <c r="EM573" i="1"/>
  <c r="EL573" i="1"/>
  <c r="EM576" i="1"/>
  <c r="EL576" i="1"/>
  <c r="CU573" i="1"/>
  <c r="CV573" i="1"/>
  <c r="EM574" i="1"/>
  <c r="EL574" i="1"/>
  <c r="EM577" i="1"/>
  <c r="EL577" i="1"/>
  <c r="CU574" i="1"/>
  <c r="CV574" i="1"/>
  <c r="DW572" i="1"/>
  <c r="DY572" i="1" s="1"/>
  <c r="DX572" i="1"/>
  <c r="DZ572" i="1" s="1"/>
  <c r="DW577" i="1"/>
  <c r="DY577" i="1" s="1"/>
  <c r="DX577" i="1"/>
  <c r="DZ577" i="1" s="1"/>
  <c r="DW574" i="1"/>
  <c r="DY574" i="1" s="1"/>
  <c r="DX574" i="1"/>
  <c r="DZ574" i="1" s="1"/>
  <c r="DW573" i="1"/>
  <c r="DY573" i="1" s="1"/>
  <c r="DX573" i="1"/>
  <c r="DZ573" i="1" s="1"/>
  <c r="I126" i="33"/>
  <c r="J126" i="33" s="1"/>
  <c r="E126" i="33"/>
  <c r="L20" i="33"/>
  <c r="C125" i="33"/>
  <c r="I125" i="33"/>
  <c r="L125" i="33" s="1"/>
  <c r="I124" i="33"/>
  <c r="J124" i="33" s="1"/>
  <c r="E124" i="33"/>
  <c r="F124" i="33" s="1"/>
  <c r="I123" i="33"/>
  <c r="C123" i="33"/>
  <c r="E123" i="33"/>
  <c r="L132" i="33"/>
  <c r="L131" i="33"/>
  <c r="L130" i="33"/>
  <c r="L129" i="33"/>
  <c r="L128" i="33"/>
  <c r="L127" i="33"/>
  <c r="J132" i="33"/>
  <c r="J131" i="33"/>
  <c r="J130" i="33"/>
  <c r="J129" i="33"/>
  <c r="J128" i="33"/>
  <c r="J127" i="33"/>
  <c r="J125" i="33"/>
  <c r="H132" i="33"/>
  <c r="H131" i="33"/>
  <c r="H130" i="33"/>
  <c r="H129" i="33"/>
  <c r="H128" i="33"/>
  <c r="H127" i="33"/>
  <c r="H125" i="33"/>
  <c r="F132" i="33"/>
  <c r="F131" i="33"/>
  <c r="F130" i="33"/>
  <c r="F129" i="33"/>
  <c r="F128" i="33"/>
  <c r="F127" i="33"/>
  <c r="F125" i="33"/>
  <c r="J123" i="33" l="1"/>
  <c r="H124" i="33"/>
  <c r="L123" i="33"/>
  <c r="F126" i="33"/>
  <c r="H126" i="33"/>
  <c r="L126" i="33"/>
  <c r="L124" i="33"/>
  <c r="F123" i="33"/>
  <c r="H123" i="33"/>
  <c r="ES571" i="1"/>
  <c r="ER571" i="1"/>
  <c r="ET571" i="1" s="1"/>
  <c r="EQ571" i="1"/>
  <c r="ES570" i="1"/>
  <c r="ER570" i="1"/>
  <c r="ET570" i="1" s="1"/>
  <c r="EQ570" i="1"/>
  <c r="ES569" i="1"/>
  <c r="ER569" i="1"/>
  <c r="ET569" i="1" s="1"/>
  <c r="EQ569" i="1"/>
  <c r="ES568" i="1"/>
  <c r="ER568" i="1"/>
  <c r="ET568" i="1" s="1"/>
  <c r="EQ568" i="1"/>
  <c r="EB571" i="1"/>
  <c r="ED570" i="1"/>
  <c r="EC570" i="1"/>
  <c r="EB570" i="1"/>
  <c r="EB569" i="1"/>
  <c r="EB568" i="1"/>
  <c r="DN571" i="1"/>
  <c r="DP571" i="1" s="1"/>
  <c r="DM571" i="1"/>
  <c r="DL571" i="1"/>
  <c r="DO571" i="1" s="1"/>
  <c r="DK571" i="1"/>
  <c r="CT571" i="1"/>
  <c r="DN570" i="1"/>
  <c r="DP570" i="1" s="1"/>
  <c r="DM570" i="1"/>
  <c r="DL570" i="1"/>
  <c r="DO570" i="1" s="1"/>
  <c r="DK570" i="1"/>
  <c r="CW570" i="1"/>
  <c r="CY570" i="1" s="1"/>
  <c r="CT570" i="1"/>
  <c r="DN569" i="1"/>
  <c r="DP569" i="1" s="1"/>
  <c r="DM569" i="1"/>
  <c r="DL569" i="1"/>
  <c r="DO569" i="1" s="1"/>
  <c r="DK569" i="1"/>
  <c r="CW569" i="1"/>
  <c r="CY569" i="1" s="1"/>
  <c r="CT569" i="1"/>
  <c r="DN568" i="1"/>
  <c r="DP568" i="1" s="1"/>
  <c r="DM568" i="1"/>
  <c r="DL568" i="1"/>
  <c r="DO568" i="1" s="1"/>
  <c r="DK568" i="1"/>
  <c r="CT568" i="1"/>
  <c r="BW571" i="1"/>
  <c r="BV570" i="1"/>
  <c r="BU570" i="1"/>
  <c r="BT570" i="1"/>
  <c r="BW569" i="1"/>
  <c r="BW568" i="1"/>
  <c r="CF571" i="1"/>
  <c r="CE571" i="1"/>
  <c r="CH571" i="1" s="1"/>
  <c r="CD571" i="1"/>
  <c r="CC571" i="1"/>
  <c r="CG571" i="1" s="1"/>
  <c r="CF570" i="1"/>
  <c r="CE570" i="1"/>
  <c r="CH570" i="1" s="1"/>
  <c r="CD570" i="1"/>
  <c r="CC570" i="1"/>
  <c r="CG570" i="1" s="1"/>
  <c r="CF569" i="1"/>
  <c r="CE569" i="1"/>
  <c r="CH569" i="1" s="1"/>
  <c r="CD569" i="1"/>
  <c r="CC569" i="1"/>
  <c r="CG569" i="1" s="1"/>
  <c r="CF568" i="1"/>
  <c r="CE568" i="1"/>
  <c r="CH568" i="1" s="1"/>
  <c r="CD568" i="1"/>
  <c r="CC568" i="1"/>
  <c r="CG568" i="1" s="1"/>
  <c r="AO571" i="1"/>
  <c r="AJ571" i="1"/>
  <c r="AG571" i="1"/>
  <c r="AO570" i="1"/>
  <c r="AO569" i="1"/>
  <c r="AJ569" i="1"/>
  <c r="AG569" i="1"/>
  <c r="AO568" i="1"/>
  <c r="AJ568" i="1"/>
  <c r="AG568" i="1"/>
  <c r="F571" i="1"/>
  <c r="EG571" i="1" s="1"/>
  <c r="F570" i="1"/>
  <c r="EG570" i="1" s="1"/>
  <c r="F569" i="1"/>
  <c r="F568" i="1"/>
  <c r="O571" i="1"/>
  <c r="O570" i="1"/>
  <c r="O569" i="1"/>
  <c r="O568" i="1"/>
  <c r="L571" i="1"/>
  <c r="DV571" i="1" s="1"/>
  <c r="L570" i="1"/>
  <c r="EK570" i="1" s="1"/>
  <c r="L569" i="1"/>
  <c r="EK569" i="1" s="1"/>
  <c r="L568" i="1"/>
  <c r="EK568" i="1" s="1"/>
  <c r="EL570" i="1" l="1"/>
  <c r="EM570" i="1"/>
  <c r="EM571" i="1"/>
  <c r="EL571" i="1"/>
  <c r="DV569" i="1"/>
  <c r="DV570" i="1"/>
  <c r="BS568" i="1"/>
  <c r="EK571" i="1"/>
  <c r="BS569" i="1"/>
  <c r="DV568" i="1"/>
  <c r="DR569" i="1"/>
  <c r="DR570" i="1"/>
  <c r="DR568" i="1"/>
  <c r="BS571" i="1"/>
  <c r="DR571" i="1"/>
  <c r="EG568" i="1"/>
  <c r="BN570" i="1"/>
  <c r="BN571" i="1"/>
  <c r="BL568" i="1"/>
  <c r="CB568" i="1"/>
  <c r="BS570" i="1"/>
  <c r="BL570" i="1"/>
  <c r="BL571" i="1"/>
  <c r="BL569" i="1"/>
  <c r="BN568" i="1"/>
  <c r="BN569" i="1"/>
  <c r="EG569" i="1"/>
  <c r="CB569" i="1"/>
  <c r="AK571" i="1"/>
  <c r="AK568" i="1"/>
  <c r="AK569" i="1"/>
  <c r="AH571" i="1"/>
  <c r="AH568" i="1"/>
  <c r="AH569" i="1"/>
  <c r="EM568" i="1" l="1"/>
  <c r="EL568" i="1"/>
  <c r="CU570" i="1"/>
  <c r="CX570" i="1" s="1"/>
  <c r="CV570" i="1"/>
  <c r="CU569" i="1"/>
  <c r="CX569" i="1" s="1"/>
  <c r="EM569" i="1"/>
  <c r="EL569" i="1"/>
  <c r="DW571" i="1"/>
  <c r="DY571" i="1" s="1"/>
  <c r="DX571" i="1"/>
  <c r="DZ571" i="1" s="1"/>
  <c r="DX568" i="1"/>
  <c r="DW568" i="1"/>
  <c r="DW570" i="1"/>
  <c r="DX570" i="1"/>
  <c r="DW569" i="1"/>
  <c r="DY569" i="1" s="1"/>
  <c r="DX569" i="1"/>
  <c r="DZ569" i="1" s="1"/>
  <c r="B565" i="1" l="1"/>
  <c r="B566" i="1"/>
  <c r="B567" i="1"/>
  <c r="B568" i="1"/>
  <c r="B569" i="1"/>
  <c r="B570" i="1"/>
  <c r="B571" i="1"/>
  <c r="BO571" i="6"/>
  <c r="BN571" i="6"/>
  <c r="BM571" i="6"/>
  <c r="BL571" i="6"/>
  <c r="BO570" i="6"/>
  <c r="BN570" i="6"/>
  <c r="BM570" i="6"/>
  <c r="BL570" i="6"/>
  <c r="BO569" i="6"/>
  <c r="BN569" i="6"/>
  <c r="BM569" i="6"/>
  <c r="BL569" i="6"/>
  <c r="BO568" i="6"/>
  <c r="BN568" i="6"/>
  <c r="BM568" i="6"/>
  <c r="BL568" i="6"/>
  <c r="O156" i="14" l="1"/>
  <c r="P156" i="14" s="1"/>
  <c r="I156" i="14"/>
  <c r="K208" i="14"/>
  <c r="O208" i="14"/>
  <c r="P208" i="14" s="1"/>
  <c r="I208" i="14"/>
  <c r="Q208" i="14" l="1"/>
  <c r="Q156" i="14"/>
  <c r="AJ567" i="1"/>
  <c r="AG567" i="1"/>
  <c r="ES567" i="1"/>
  <c r="ER567" i="1"/>
  <c r="ET567" i="1" s="1"/>
  <c r="EQ567" i="1"/>
  <c r="DN567" i="1"/>
  <c r="DP567" i="1" s="1"/>
  <c r="DM567" i="1"/>
  <c r="DL567" i="1"/>
  <c r="DO567" i="1" s="1"/>
  <c r="DK567" i="1"/>
  <c r="CT567" i="1"/>
  <c r="CF567" i="1"/>
  <c r="CE567" i="1"/>
  <c r="CH567" i="1" s="1"/>
  <c r="CD567" i="1"/>
  <c r="CC567" i="1"/>
  <c r="CG567" i="1" s="1"/>
  <c r="BW567" i="1"/>
  <c r="AO567" i="1"/>
  <c r="BL567" i="6"/>
  <c r="BM567" i="6"/>
  <c r="BN567" i="6"/>
  <c r="BO567" i="6"/>
  <c r="AJ566" i="1"/>
  <c r="AG566" i="1"/>
  <c r="ES566" i="1"/>
  <c r="ER566" i="1"/>
  <c r="ET566" i="1" s="1"/>
  <c r="EQ566" i="1"/>
  <c r="EB566" i="1"/>
  <c r="DN566" i="1"/>
  <c r="DP566" i="1" s="1"/>
  <c r="DM566" i="1"/>
  <c r="DL566" i="1"/>
  <c r="DO566" i="1" s="1"/>
  <c r="DK566" i="1"/>
  <c r="CF566" i="1"/>
  <c r="CE566" i="1"/>
  <c r="CH566" i="1" s="1"/>
  <c r="CD566" i="1"/>
  <c r="CC566" i="1"/>
  <c r="CG566" i="1" s="1"/>
  <c r="BW566" i="1"/>
  <c r="AO566" i="1"/>
  <c r="BL566" i="6"/>
  <c r="BM566" i="6"/>
  <c r="BN566" i="6"/>
  <c r="BO566" i="6"/>
  <c r="AJ565" i="1"/>
  <c r="AG565" i="1"/>
  <c r="ES565" i="1"/>
  <c r="ER565" i="1"/>
  <c r="ET565" i="1" s="1"/>
  <c r="EQ565" i="1"/>
  <c r="EB565" i="1"/>
  <c r="DN565" i="1"/>
  <c r="DP565" i="1" s="1"/>
  <c r="DM565" i="1"/>
  <c r="DL565" i="1"/>
  <c r="DO565" i="1" s="1"/>
  <c r="DK565" i="1"/>
  <c r="CT565" i="1"/>
  <c r="CF565" i="1"/>
  <c r="CE565" i="1"/>
  <c r="CH565" i="1" s="1"/>
  <c r="CD565" i="1"/>
  <c r="CC565" i="1"/>
  <c r="CG565" i="1" s="1"/>
  <c r="BW565" i="1"/>
  <c r="BW563" i="1"/>
  <c r="AO565" i="1"/>
  <c r="BL565" i="6"/>
  <c r="BM565" i="6"/>
  <c r="BN565" i="6"/>
  <c r="BO565" i="6"/>
  <c r="ES564" i="1"/>
  <c r="ER564" i="1"/>
  <c r="ET564" i="1" s="1"/>
  <c r="EQ564" i="1"/>
  <c r="ED564" i="1"/>
  <c r="EC564" i="1"/>
  <c r="EB564" i="1"/>
  <c r="DN564" i="1"/>
  <c r="DP564" i="1" s="1"/>
  <c r="DM564" i="1"/>
  <c r="DL564" i="1"/>
  <c r="DO564" i="1" s="1"/>
  <c r="DK564" i="1"/>
  <c r="CW564" i="1"/>
  <c r="CT564" i="1"/>
  <c r="CF564" i="1"/>
  <c r="CE564" i="1"/>
  <c r="CH564" i="1" s="1"/>
  <c r="CD564" i="1"/>
  <c r="CC564" i="1"/>
  <c r="CG564" i="1" s="1"/>
  <c r="BV564" i="1"/>
  <c r="BU564" i="1"/>
  <c r="BT564" i="1"/>
  <c r="AO564" i="1"/>
  <c r="BL564" i="6"/>
  <c r="BM564" i="6"/>
  <c r="BN564" i="6"/>
  <c r="BO564" i="6"/>
  <c r="AJ563" i="1"/>
  <c r="AG563" i="1"/>
  <c r="ES563" i="1"/>
  <c r="ER563" i="1"/>
  <c r="ET563" i="1" s="1"/>
  <c r="EQ563" i="1"/>
  <c r="ED563" i="1"/>
  <c r="EC563" i="1"/>
  <c r="EB563" i="1"/>
  <c r="DN563" i="1"/>
  <c r="DP563" i="1" s="1"/>
  <c r="DM563" i="1"/>
  <c r="DL563" i="1"/>
  <c r="DO563" i="1" s="1"/>
  <c r="DK563" i="1"/>
  <c r="CW563" i="1"/>
  <c r="CT563" i="1"/>
  <c r="CF563" i="1"/>
  <c r="CE563" i="1"/>
  <c r="CH563" i="1" s="1"/>
  <c r="CD563" i="1"/>
  <c r="CC563" i="1"/>
  <c r="CG563" i="1" s="1"/>
  <c r="AO563" i="1"/>
  <c r="BL563" i="6"/>
  <c r="BM563" i="6"/>
  <c r="BN563" i="6"/>
  <c r="BO563" i="6"/>
  <c r="AJ562" i="1"/>
  <c r="AG562" i="1"/>
  <c r="ES562" i="1"/>
  <c r="ER562" i="1"/>
  <c r="ET562" i="1" s="1"/>
  <c r="EQ562" i="1"/>
  <c r="EB562" i="1"/>
  <c r="DN562" i="1"/>
  <c r="DP562" i="1" s="1"/>
  <c r="DM562" i="1"/>
  <c r="DL562" i="1"/>
  <c r="DO562" i="1" s="1"/>
  <c r="DK562" i="1"/>
  <c r="CT562" i="1"/>
  <c r="CF562" i="1"/>
  <c r="CE562" i="1"/>
  <c r="CH562" i="1" s="1"/>
  <c r="CD562" i="1"/>
  <c r="CC562" i="1"/>
  <c r="CG562" i="1" s="1"/>
  <c r="BW562" i="1"/>
  <c r="AO562" i="1"/>
  <c r="O567" i="1"/>
  <c r="O566" i="1"/>
  <c r="O565" i="1"/>
  <c r="O564" i="1"/>
  <c r="O563" i="1"/>
  <c r="O562" i="1"/>
  <c r="L567" i="1"/>
  <c r="EK567" i="1" s="1"/>
  <c r="L566" i="1"/>
  <c r="EK566" i="1" s="1"/>
  <c r="L565" i="1"/>
  <c r="DV565" i="1" s="1"/>
  <c r="L564" i="1"/>
  <c r="L563" i="1"/>
  <c r="EK563" i="1" s="1"/>
  <c r="L562" i="1"/>
  <c r="EK562" i="1" s="1"/>
  <c r="F567" i="1"/>
  <c r="F566" i="1"/>
  <c r="DR566" i="1" s="1"/>
  <c r="F565" i="1"/>
  <c r="F564" i="1"/>
  <c r="F563" i="1"/>
  <c r="DR563" i="1" s="1"/>
  <c r="F562" i="1"/>
  <c r="EG562" i="1" s="1"/>
  <c r="B562" i="1"/>
  <c r="B563" i="1"/>
  <c r="B564" i="1"/>
  <c r="BL562" i="6"/>
  <c r="BM562" i="6"/>
  <c r="BN562" i="6"/>
  <c r="BO562" i="6"/>
  <c r="CU563" i="1" l="1"/>
  <c r="CV563" i="1"/>
  <c r="EL562" i="1"/>
  <c r="EM562" i="1"/>
  <c r="DW566" i="1"/>
  <c r="DX566" i="1"/>
  <c r="DW563" i="1"/>
  <c r="DX563" i="1"/>
  <c r="BS564" i="1"/>
  <c r="AK567" i="1"/>
  <c r="BN567" i="1"/>
  <c r="EG565" i="1"/>
  <c r="EG566" i="1"/>
  <c r="DR567" i="1"/>
  <c r="DR565" i="1"/>
  <c r="BL565" i="1"/>
  <c r="BL567" i="1"/>
  <c r="BS567" i="1"/>
  <c r="DV567" i="1"/>
  <c r="EG567" i="1"/>
  <c r="CB567" i="1"/>
  <c r="BL566" i="1"/>
  <c r="BN566" i="1"/>
  <c r="BS566" i="1"/>
  <c r="DV566" i="1"/>
  <c r="CB566" i="1"/>
  <c r="AH567" i="1"/>
  <c r="AK566" i="1"/>
  <c r="AH566" i="1"/>
  <c r="EK565" i="1"/>
  <c r="BN565" i="1"/>
  <c r="DV564" i="1"/>
  <c r="BS563" i="1"/>
  <c r="AK565" i="1"/>
  <c r="BS565" i="1"/>
  <c r="CB565" i="1"/>
  <c r="AH565" i="1"/>
  <c r="BN564" i="1"/>
  <c r="CB564" i="1"/>
  <c r="DR564" i="1"/>
  <c r="EG564" i="1"/>
  <c r="BL564" i="1"/>
  <c r="EK564" i="1"/>
  <c r="CB563" i="1"/>
  <c r="DV563" i="1"/>
  <c r="EG563" i="1"/>
  <c r="BL563" i="1"/>
  <c r="BN563" i="1"/>
  <c r="AH563" i="1"/>
  <c r="AK563" i="1"/>
  <c r="AK562" i="1"/>
  <c r="AH562" i="1"/>
  <c r="BL562" i="1"/>
  <c r="BN562" i="1"/>
  <c r="BS562" i="1"/>
  <c r="CB562" i="1"/>
  <c r="DR562" i="1"/>
  <c r="DV562" i="1"/>
  <c r="J447" i="34"/>
  <c r="J445" i="34"/>
  <c r="J444" i="34"/>
  <c r="J443" i="34"/>
  <c r="H443" i="34"/>
  <c r="J442" i="34"/>
  <c r="H442" i="34"/>
  <c r="J441" i="34"/>
  <c r="H441" i="34"/>
  <c r="J440" i="34"/>
  <c r="K440" i="34"/>
  <c r="T440" i="34" s="1"/>
  <c r="J439" i="34"/>
  <c r="H439" i="34"/>
  <c r="J438" i="34"/>
  <c r="H438" i="34"/>
  <c r="J437" i="34"/>
  <c r="J436" i="34"/>
  <c r="H436" i="34"/>
  <c r="K435" i="34"/>
  <c r="M435" i="34" s="1"/>
  <c r="J435" i="34"/>
  <c r="H435" i="34"/>
  <c r="J434" i="34"/>
  <c r="H434" i="34"/>
  <c r="J433" i="34"/>
  <c r="H433" i="34"/>
  <c r="K432" i="34"/>
  <c r="S432" i="34" s="1"/>
  <c r="J432" i="34"/>
  <c r="H432" i="34"/>
  <c r="J431" i="34"/>
  <c r="J430" i="34"/>
  <c r="J429" i="34"/>
  <c r="J428" i="34"/>
  <c r="T447" i="34"/>
  <c r="S447" i="34"/>
  <c r="R447" i="34"/>
  <c r="Q447" i="34"/>
  <c r="P447" i="34"/>
  <c r="O447" i="34"/>
  <c r="N447" i="34"/>
  <c r="M447" i="34"/>
  <c r="T446" i="34"/>
  <c r="S446" i="34"/>
  <c r="R446" i="34"/>
  <c r="Q446" i="34"/>
  <c r="P446" i="34"/>
  <c r="O446" i="34"/>
  <c r="N446" i="34"/>
  <c r="M446" i="34"/>
  <c r="T445" i="34"/>
  <c r="S445" i="34"/>
  <c r="R445" i="34"/>
  <c r="Q445" i="34"/>
  <c r="P445" i="34"/>
  <c r="O445" i="34"/>
  <c r="N445" i="34"/>
  <c r="M445" i="34"/>
  <c r="H445" i="34"/>
  <c r="T444" i="34"/>
  <c r="S444" i="34"/>
  <c r="R444" i="34"/>
  <c r="Q444" i="34"/>
  <c r="P444" i="34"/>
  <c r="O444" i="34"/>
  <c r="N444" i="34"/>
  <c r="M444" i="34"/>
  <c r="H444" i="34"/>
  <c r="T443" i="34"/>
  <c r="S443" i="34"/>
  <c r="R443" i="34"/>
  <c r="Q443" i="34"/>
  <c r="P443" i="34"/>
  <c r="O443" i="34"/>
  <c r="N443" i="34"/>
  <c r="M443" i="34"/>
  <c r="T442" i="34"/>
  <c r="S442" i="34"/>
  <c r="R442" i="34"/>
  <c r="Q442" i="34"/>
  <c r="P442" i="34"/>
  <c r="O442" i="34"/>
  <c r="N442" i="34"/>
  <c r="M442" i="34"/>
  <c r="T441" i="34"/>
  <c r="S441" i="34"/>
  <c r="R441" i="34"/>
  <c r="Q441" i="34"/>
  <c r="P441" i="34"/>
  <c r="O441" i="34"/>
  <c r="N441" i="34"/>
  <c r="M441" i="34"/>
  <c r="H440" i="34"/>
  <c r="T439" i="34"/>
  <c r="S439" i="34"/>
  <c r="R439" i="34"/>
  <c r="Q439" i="34"/>
  <c r="P439" i="34"/>
  <c r="O439" i="34"/>
  <c r="N439" i="34"/>
  <c r="M439" i="34"/>
  <c r="T438" i="34"/>
  <c r="S438" i="34"/>
  <c r="R438" i="34"/>
  <c r="Q438" i="34"/>
  <c r="P438" i="34"/>
  <c r="O438" i="34"/>
  <c r="N438" i="34"/>
  <c r="M438" i="34"/>
  <c r="T437" i="34"/>
  <c r="S437" i="34"/>
  <c r="R437" i="34"/>
  <c r="Q437" i="34"/>
  <c r="P437" i="34"/>
  <c r="O437" i="34"/>
  <c r="N437" i="34"/>
  <c r="M437" i="34"/>
  <c r="H437" i="34"/>
  <c r="T436" i="34"/>
  <c r="S436" i="34"/>
  <c r="R436" i="34"/>
  <c r="Q436" i="34"/>
  <c r="P436" i="34"/>
  <c r="O436" i="34"/>
  <c r="N436" i="34"/>
  <c r="M436" i="34"/>
  <c r="S435" i="34"/>
  <c r="Q435" i="34"/>
  <c r="N435" i="34"/>
  <c r="T434" i="34"/>
  <c r="S434" i="34"/>
  <c r="R434" i="34"/>
  <c r="Q434" i="34"/>
  <c r="P434" i="34"/>
  <c r="O434" i="34"/>
  <c r="N434" i="34"/>
  <c r="M434" i="34"/>
  <c r="T433" i="34"/>
  <c r="S433" i="34"/>
  <c r="R433" i="34"/>
  <c r="Q433" i="34"/>
  <c r="P433" i="34"/>
  <c r="O433" i="34"/>
  <c r="N433" i="34"/>
  <c r="M433" i="34"/>
  <c r="T432" i="34"/>
  <c r="T431" i="34"/>
  <c r="S431" i="34"/>
  <c r="R431" i="34"/>
  <c r="Q431" i="34"/>
  <c r="P431" i="34"/>
  <c r="O431" i="34"/>
  <c r="N431" i="34"/>
  <c r="M431" i="34"/>
  <c r="H431" i="34"/>
  <c r="T430" i="34"/>
  <c r="S430" i="34"/>
  <c r="R430" i="34"/>
  <c r="Q430" i="34"/>
  <c r="P430" i="34"/>
  <c r="O430" i="34"/>
  <c r="N430" i="34"/>
  <c r="M430" i="34"/>
  <c r="H430" i="34"/>
  <c r="T429" i="34"/>
  <c r="S429" i="34"/>
  <c r="R429" i="34"/>
  <c r="Q429" i="34"/>
  <c r="P429" i="34"/>
  <c r="O429" i="34"/>
  <c r="N429" i="34"/>
  <c r="M429" i="34"/>
  <c r="H429" i="34"/>
  <c r="T428" i="34"/>
  <c r="S428" i="34"/>
  <c r="R428" i="34"/>
  <c r="Q428" i="34"/>
  <c r="P428" i="34"/>
  <c r="O428" i="34"/>
  <c r="N428" i="34"/>
  <c r="M428" i="34"/>
  <c r="H428" i="34"/>
  <c r="DY563" i="1" l="1"/>
  <c r="DY566" i="1"/>
  <c r="EM563" i="1"/>
  <c r="EL563" i="1"/>
  <c r="EM566" i="1"/>
  <c r="EL566" i="1"/>
  <c r="EM565" i="1"/>
  <c r="EL565" i="1"/>
  <c r="CU564" i="1"/>
  <c r="CV564" i="1"/>
  <c r="EM567" i="1"/>
  <c r="EL567" i="1"/>
  <c r="EL564" i="1"/>
  <c r="EM564" i="1"/>
  <c r="DZ563" i="1"/>
  <c r="DZ566" i="1"/>
  <c r="DW565" i="1"/>
  <c r="DX565" i="1"/>
  <c r="DW567" i="1"/>
  <c r="DY567" i="1" s="1"/>
  <c r="DX567" i="1"/>
  <c r="DZ567" i="1" s="1"/>
  <c r="DW562" i="1"/>
  <c r="DY562" i="1" s="1"/>
  <c r="DX562" i="1"/>
  <c r="DZ562" i="1" s="1"/>
  <c r="DW564" i="1"/>
  <c r="DX564" i="1"/>
  <c r="O440" i="34"/>
  <c r="P440" i="34"/>
  <c r="M440" i="34"/>
  <c r="Q440" i="34"/>
  <c r="S440" i="34"/>
  <c r="N440" i="34"/>
  <c r="R440" i="34"/>
  <c r="P435" i="34"/>
  <c r="T435" i="34"/>
  <c r="O435" i="34"/>
  <c r="R435" i="34"/>
  <c r="Q432" i="34"/>
  <c r="N432" i="34"/>
  <c r="M432" i="34"/>
  <c r="R432" i="34"/>
  <c r="O432" i="34"/>
  <c r="P432" i="34"/>
  <c r="ES561" i="1"/>
  <c r="ER561" i="1"/>
  <c r="ET561" i="1" s="1"/>
  <c r="EQ561" i="1"/>
  <c r="ED561" i="1"/>
  <c r="EC561" i="1"/>
  <c r="EB561" i="1"/>
  <c r="DN561" i="1"/>
  <c r="DP561" i="1" s="1"/>
  <c r="DM561" i="1"/>
  <c r="DL561" i="1"/>
  <c r="DO561" i="1" s="1"/>
  <c r="DK561" i="1"/>
  <c r="CT561" i="1"/>
  <c r="CF561" i="1"/>
  <c r="CE561" i="1"/>
  <c r="CH561" i="1" s="1"/>
  <c r="CD561" i="1"/>
  <c r="CC561" i="1"/>
  <c r="CG561" i="1" s="1"/>
  <c r="BW561" i="1"/>
  <c r="AO561" i="1"/>
  <c r="BL561" i="6"/>
  <c r="BM561" i="6"/>
  <c r="BN561" i="6"/>
  <c r="BO561" i="6"/>
  <c r="AJ560" i="1"/>
  <c r="AG560" i="1"/>
  <c r="ES560" i="1"/>
  <c r="ER560" i="1"/>
  <c r="ET560" i="1" s="1"/>
  <c r="EQ560" i="1"/>
  <c r="EB560" i="1"/>
  <c r="DN560" i="1"/>
  <c r="DP560" i="1" s="1"/>
  <c r="DM560" i="1"/>
  <c r="DL560" i="1"/>
  <c r="DO560" i="1" s="1"/>
  <c r="DK560" i="1"/>
  <c r="CT560" i="1"/>
  <c r="CW560" i="1"/>
  <c r="CY560" i="1" s="1"/>
  <c r="CX560" i="1"/>
  <c r="CE560" i="1"/>
  <c r="BW560" i="1"/>
  <c r="AO560" i="1"/>
  <c r="O561" i="1"/>
  <c r="O560" i="1"/>
  <c r="L561" i="1"/>
  <c r="L560" i="1"/>
  <c r="F560" i="1"/>
  <c r="F561" i="1"/>
  <c r="BN561" i="1" s="1"/>
  <c r="B559" i="1"/>
  <c r="B560" i="1"/>
  <c r="B561" i="1"/>
  <c r="BL560" i="6"/>
  <c r="BM560" i="6"/>
  <c r="BN560" i="6"/>
  <c r="BO560" i="6"/>
  <c r="DV560" i="1" l="1"/>
  <c r="BS560" i="1"/>
  <c r="BS561" i="1"/>
  <c r="EK560" i="1"/>
  <c r="CB560" i="1"/>
  <c r="DR561" i="1"/>
  <c r="AK560" i="1"/>
  <c r="CB561" i="1"/>
  <c r="DV561" i="1"/>
  <c r="EG561" i="1"/>
  <c r="EK561" i="1"/>
  <c r="BL561" i="1"/>
  <c r="BN560" i="1"/>
  <c r="AH560" i="1"/>
  <c r="BL560" i="1"/>
  <c r="CC560" i="1"/>
  <c r="CD560" i="1"/>
  <c r="K155" i="14"/>
  <c r="I155" i="14"/>
  <c r="Q155" i="14"/>
  <c r="P155" i="14"/>
  <c r="O155" i="14"/>
  <c r="EM561" i="1" l="1"/>
  <c r="EL561" i="1"/>
  <c r="DW561" i="1"/>
  <c r="DX561" i="1"/>
  <c r="AW16" i="30"/>
  <c r="AV16" i="30"/>
  <c r="AW36" i="30" s="1"/>
  <c r="AU16" i="30"/>
  <c r="AT16" i="30"/>
  <c r="AR15" i="30"/>
  <c r="AR14" i="30"/>
  <c r="AR16" i="30"/>
  <c r="AS40" i="30" s="1"/>
  <c r="AU29" i="30" l="1"/>
  <c r="AW34" i="30"/>
  <c r="AW35" i="30"/>
  <c r="AW25" i="30"/>
  <c r="AW37" i="30"/>
  <c r="AW22" i="30"/>
  <c r="AW38" i="30"/>
  <c r="AW19" i="30"/>
  <c r="AW39" i="30"/>
  <c r="AW20" i="30"/>
  <c r="AW40" i="30"/>
  <c r="AW21" i="30"/>
  <c r="AW23" i="30"/>
  <c r="AW24" i="30"/>
  <c r="AW26" i="30"/>
  <c r="AW27" i="30"/>
  <c r="AW28" i="30"/>
  <c r="AW29" i="30"/>
  <c r="AW30" i="30"/>
  <c r="AW17" i="30"/>
  <c r="AW33" i="30"/>
  <c r="AW31" i="30"/>
  <c r="AW32" i="30"/>
  <c r="AW18" i="30"/>
  <c r="AU28" i="30"/>
  <c r="AU32" i="30"/>
  <c r="AU33" i="30"/>
  <c r="AU31" i="30"/>
  <c r="AU22" i="30"/>
  <c r="AU34" i="30"/>
  <c r="AU30" i="30"/>
  <c r="AU18" i="30"/>
  <c r="AU37" i="30"/>
  <c r="AU36" i="30"/>
  <c r="AU35" i="30"/>
  <c r="AU23" i="30"/>
  <c r="AU24" i="30"/>
  <c r="AU21" i="30"/>
  <c r="AU20" i="30"/>
  <c r="AU39" i="30"/>
  <c r="AU19" i="30"/>
  <c r="AU38" i="30"/>
  <c r="AU27" i="30"/>
  <c r="AU26" i="30"/>
  <c r="AU17" i="30"/>
  <c r="AU25" i="30"/>
  <c r="AU40" i="30"/>
  <c r="AS17" i="30"/>
  <c r="AS26" i="30"/>
  <c r="AS28" i="30"/>
  <c r="AS30" i="30"/>
  <c r="AS32" i="30"/>
  <c r="AS25" i="30"/>
  <c r="AS27" i="30"/>
  <c r="AS29" i="30"/>
  <c r="AS31" i="30"/>
  <c r="AS37" i="30"/>
  <c r="AS33" i="30"/>
  <c r="AS18" i="30"/>
  <c r="AS34" i="30"/>
  <c r="AS19" i="30"/>
  <c r="AS35" i="30"/>
  <c r="AS20" i="30"/>
  <c r="AS36" i="30"/>
  <c r="AS21" i="30"/>
  <c r="AS22" i="30"/>
  <c r="AS38" i="30"/>
  <c r="AS23" i="30"/>
  <c r="AS39" i="30"/>
  <c r="AS24" i="30"/>
  <c r="K202" i="14"/>
  <c r="I202" i="14"/>
  <c r="O202" i="14"/>
  <c r="P202" i="14" s="1"/>
  <c r="I201" i="14"/>
  <c r="O201" i="14"/>
  <c r="P201" i="14" s="1"/>
  <c r="K24" i="14"/>
  <c r="I24" i="14"/>
  <c r="O24" i="14"/>
  <c r="Q24" i="14" s="1"/>
  <c r="Q52" i="14"/>
  <c r="I52" i="14"/>
  <c r="O52" i="14"/>
  <c r="P52" i="14" s="1"/>
  <c r="K52" i="14"/>
  <c r="J427" i="34"/>
  <c r="H427" i="34"/>
  <c r="J426" i="34"/>
  <c r="H426" i="34"/>
  <c r="H425" i="34"/>
  <c r="H424" i="34"/>
  <c r="H423" i="34"/>
  <c r="H422" i="34"/>
  <c r="H421" i="34"/>
  <c r="H420" i="34"/>
  <c r="H419" i="34"/>
  <c r="J418" i="34"/>
  <c r="H418" i="34"/>
  <c r="B537" i="1"/>
  <c r="B538" i="1"/>
  <c r="B539" i="1"/>
  <c r="B540" i="1"/>
  <c r="B541" i="1"/>
  <c r="B542" i="1"/>
  <c r="B543" i="1"/>
  <c r="B544" i="1"/>
  <c r="B545" i="1"/>
  <c r="B546" i="1"/>
  <c r="B547" i="1"/>
  <c r="B548" i="1"/>
  <c r="B549" i="1"/>
  <c r="B550" i="1"/>
  <c r="B551" i="1"/>
  <c r="B552" i="1"/>
  <c r="B553" i="1"/>
  <c r="B554" i="1"/>
  <c r="B555" i="1"/>
  <c r="B556" i="1"/>
  <c r="B557" i="1"/>
  <c r="B558" i="1"/>
  <c r="AJ559" i="1"/>
  <c r="AG559" i="1"/>
  <c r="ES559" i="1"/>
  <c r="ER559" i="1"/>
  <c r="ET559" i="1" s="1"/>
  <c r="EQ559" i="1"/>
  <c r="EB559" i="1"/>
  <c r="DN559" i="1"/>
  <c r="DP559" i="1" s="1"/>
  <c r="DM559" i="1"/>
  <c r="DL559" i="1"/>
  <c r="DO559" i="1" s="1"/>
  <c r="DK559" i="1"/>
  <c r="CT559" i="1"/>
  <c r="CW559" i="1"/>
  <c r="CY559" i="1" s="1"/>
  <c r="CF559" i="1"/>
  <c r="CE559" i="1"/>
  <c r="CH559" i="1" s="1"/>
  <c r="CD559" i="1"/>
  <c r="CC559" i="1"/>
  <c r="CG559" i="1" s="1"/>
  <c r="BW559" i="1"/>
  <c r="AO559" i="1"/>
  <c r="AJ558" i="1"/>
  <c r="AG558" i="1"/>
  <c r="ES558" i="1"/>
  <c r="ER558" i="1"/>
  <c r="ET558" i="1" s="1"/>
  <c r="EQ558" i="1"/>
  <c r="EB558" i="1"/>
  <c r="DN558" i="1"/>
  <c r="DP558" i="1" s="1"/>
  <c r="DM558" i="1"/>
  <c r="DL558" i="1"/>
  <c r="DO558" i="1" s="1"/>
  <c r="DK558" i="1"/>
  <c r="CT558" i="1"/>
  <c r="CF558" i="1"/>
  <c r="CE558" i="1"/>
  <c r="CH558" i="1" s="1"/>
  <c r="CD558" i="1"/>
  <c r="CC558" i="1"/>
  <c r="CG558" i="1" s="1"/>
  <c r="BW558" i="1"/>
  <c r="AO558" i="1"/>
  <c r="BL558" i="6"/>
  <c r="BM558" i="6"/>
  <c r="BN558" i="6"/>
  <c r="BO558" i="6"/>
  <c r="BL559" i="6"/>
  <c r="BM559" i="6"/>
  <c r="BN559" i="6"/>
  <c r="BO559" i="6"/>
  <c r="ES557" i="1"/>
  <c r="ER557" i="1"/>
  <c r="ET557" i="1" s="1"/>
  <c r="EQ557" i="1"/>
  <c r="DN557" i="1"/>
  <c r="DP557" i="1" s="1"/>
  <c r="DM557" i="1"/>
  <c r="DL557" i="1"/>
  <c r="DO557" i="1" s="1"/>
  <c r="DK557" i="1"/>
  <c r="CF557" i="1"/>
  <c r="CE557" i="1"/>
  <c r="CH557" i="1" s="1"/>
  <c r="CD557" i="1"/>
  <c r="CC557" i="1"/>
  <c r="CG557" i="1" s="1"/>
  <c r="BW557" i="1"/>
  <c r="AO557" i="1"/>
  <c r="AJ557" i="1"/>
  <c r="AG557" i="1"/>
  <c r="BL557" i="6"/>
  <c r="BM557" i="6"/>
  <c r="BN557" i="6"/>
  <c r="BO557" i="6"/>
  <c r="AJ556" i="1"/>
  <c r="AG556" i="1"/>
  <c r="ES556" i="1"/>
  <c r="ER556" i="1"/>
  <c r="ET556" i="1" s="1"/>
  <c r="EQ556" i="1"/>
  <c r="EB556" i="1"/>
  <c r="DN556" i="1"/>
  <c r="DP556" i="1" s="1"/>
  <c r="DM556" i="1"/>
  <c r="DL556" i="1"/>
  <c r="DO556" i="1" s="1"/>
  <c r="DK556" i="1"/>
  <c r="CT556" i="1"/>
  <c r="CF556" i="1"/>
  <c r="CE556" i="1"/>
  <c r="CH556" i="1" s="1"/>
  <c r="CD556" i="1"/>
  <c r="CC556" i="1"/>
  <c r="CG556" i="1" s="1"/>
  <c r="BW556" i="1"/>
  <c r="AO556" i="1"/>
  <c r="BL556" i="6"/>
  <c r="BM556" i="6"/>
  <c r="BN556" i="6"/>
  <c r="BO556" i="6"/>
  <c r="ES555" i="1"/>
  <c r="ER555" i="1"/>
  <c r="ET555" i="1" s="1"/>
  <c r="EQ555" i="1"/>
  <c r="EB555" i="1"/>
  <c r="DN555" i="1"/>
  <c r="DP555" i="1" s="1"/>
  <c r="DM555" i="1"/>
  <c r="DL555" i="1"/>
  <c r="DO555" i="1" s="1"/>
  <c r="DK555" i="1"/>
  <c r="CT555" i="1"/>
  <c r="CF555" i="1"/>
  <c r="CE555" i="1"/>
  <c r="CH555" i="1" s="1"/>
  <c r="CD555" i="1"/>
  <c r="CC555" i="1"/>
  <c r="CG555" i="1" s="1"/>
  <c r="BW555" i="1"/>
  <c r="AO555" i="1"/>
  <c r="AJ555" i="1"/>
  <c r="AG555" i="1"/>
  <c r="BL555" i="6"/>
  <c r="BM555" i="6"/>
  <c r="BN555" i="6"/>
  <c r="BO555" i="6"/>
  <c r="ES554" i="1"/>
  <c r="ER554" i="1"/>
  <c r="ET554" i="1" s="1"/>
  <c r="EQ554" i="1"/>
  <c r="ED554" i="1"/>
  <c r="EC554" i="1"/>
  <c r="EB554" i="1"/>
  <c r="DN554" i="1"/>
  <c r="DP554" i="1" s="1"/>
  <c r="DM554" i="1"/>
  <c r="DL554" i="1"/>
  <c r="DO554" i="1" s="1"/>
  <c r="DK554" i="1"/>
  <c r="CT554" i="1"/>
  <c r="CF554" i="1"/>
  <c r="CE554" i="1"/>
  <c r="CH554" i="1" s="1"/>
  <c r="CD554" i="1"/>
  <c r="CC554" i="1"/>
  <c r="CG554" i="1" s="1"/>
  <c r="BV554" i="1"/>
  <c r="BU554" i="1"/>
  <c r="BT554" i="1"/>
  <c r="AO554" i="1"/>
  <c r="O558" i="1"/>
  <c r="O559" i="1"/>
  <c r="O557" i="1"/>
  <c r="O556" i="1"/>
  <c r="O555" i="1"/>
  <c r="O554" i="1"/>
  <c r="L558" i="1"/>
  <c r="EK558" i="1" s="1"/>
  <c r="L559" i="1"/>
  <c r="EK559" i="1" s="1"/>
  <c r="L557" i="1"/>
  <c r="EK557" i="1" s="1"/>
  <c r="L556" i="1"/>
  <c r="EK556" i="1" s="1"/>
  <c r="L555" i="1"/>
  <c r="DV555" i="1" s="1"/>
  <c r="L554" i="1"/>
  <c r="F554" i="1"/>
  <c r="DR554" i="1" s="1"/>
  <c r="F555" i="1"/>
  <c r="F556" i="1"/>
  <c r="F557" i="1"/>
  <c r="F559" i="1"/>
  <c r="EG559" i="1" s="1"/>
  <c r="F558" i="1"/>
  <c r="BL558" i="1" s="1"/>
  <c r="BL554" i="6"/>
  <c r="BM554" i="6"/>
  <c r="BN554" i="6"/>
  <c r="BO554" i="6"/>
  <c r="H567" i="1"/>
  <c r="I567" i="1"/>
  <c r="J567" i="1"/>
  <c r="K567" i="1"/>
  <c r="H568" i="1"/>
  <c r="I568" i="1"/>
  <c r="J568" i="1"/>
  <c r="K568" i="1"/>
  <c r="H569" i="1"/>
  <c r="I569" i="1"/>
  <c r="J569" i="1"/>
  <c r="K569" i="1"/>
  <c r="H570" i="1"/>
  <c r="I570" i="1"/>
  <c r="J570" i="1"/>
  <c r="K570" i="1"/>
  <c r="H571" i="1"/>
  <c r="I571" i="1"/>
  <c r="J571" i="1"/>
  <c r="K571" i="1"/>
  <c r="H572" i="1"/>
  <c r="I572" i="1"/>
  <c r="J572" i="1"/>
  <c r="K572" i="1"/>
  <c r="H573" i="1"/>
  <c r="I573" i="1"/>
  <c r="J573" i="1"/>
  <c r="K573" i="1"/>
  <c r="H574" i="1"/>
  <c r="I574" i="1"/>
  <c r="J574" i="1"/>
  <c r="K574" i="1"/>
  <c r="H575" i="1"/>
  <c r="I575" i="1"/>
  <c r="J575" i="1"/>
  <c r="K575" i="1"/>
  <c r="H576" i="1"/>
  <c r="I576" i="1"/>
  <c r="J576" i="1"/>
  <c r="K576" i="1"/>
  <c r="H577" i="1"/>
  <c r="I577" i="1"/>
  <c r="J577" i="1"/>
  <c r="K577" i="1"/>
  <c r="H578" i="1"/>
  <c r="I578" i="1"/>
  <c r="J578" i="1"/>
  <c r="K578" i="1"/>
  <c r="H579" i="1"/>
  <c r="I579" i="1"/>
  <c r="J579" i="1"/>
  <c r="K579" i="1"/>
  <c r="H580" i="1"/>
  <c r="I580" i="1"/>
  <c r="J580" i="1"/>
  <c r="K580" i="1"/>
  <c r="H581" i="1"/>
  <c r="I581" i="1"/>
  <c r="J581" i="1"/>
  <c r="K581" i="1"/>
  <c r="H582" i="1"/>
  <c r="I582" i="1"/>
  <c r="J582" i="1"/>
  <c r="K582" i="1"/>
  <c r="H583" i="1"/>
  <c r="I583" i="1"/>
  <c r="J583" i="1"/>
  <c r="K583" i="1"/>
  <c r="H584" i="1"/>
  <c r="I584" i="1"/>
  <c r="J584" i="1"/>
  <c r="K584" i="1"/>
  <c r="H585" i="1"/>
  <c r="I585" i="1"/>
  <c r="J585" i="1"/>
  <c r="K585" i="1"/>
  <c r="H586" i="1"/>
  <c r="I586" i="1"/>
  <c r="J586" i="1"/>
  <c r="K586" i="1"/>
  <c r="H587" i="1"/>
  <c r="I587" i="1"/>
  <c r="J587" i="1"/>
  <c r="K587" i="1"/>
  <c r="H588" i="1"/>
  <c r="I588" i="1"/>
  <c r="J588" i="1"/>
  <c r="K588" i="1"/>
  <c r="H589" i="1"/>
  <c r="I589" i="1"/>
  <c r="J589" i="1"/>
  <c r="K589" i="1"/>
  <c r="H590" i="1"/>
  <c r="I590" i="1"/>
  <c r="J590" i="1"/>
  <c r="K590" i="1"/>
  <c r="H591" i="1"/>
  <c r="I591" i="1"/>
  <c r="J591" i="1"/>
  <c r="K591" i="1"/>
  <c r="H592" i="1"/>
  <c r="I592" i="1"/>
  <c r="J592" i="1"/>
  <c r="K592" i="1"/>
  <c r="H593" i="1"/>
  <c r="I593" i="1"/>
  <c r="J593" i="1"/>
  <c r="K593" i="1"/>
  <c r="H594" i="1"/>
  <c r="I594" i="1"/>
  <c r="J594" i="1"/>
  <c r="K594" i="1"/>
  <c r="H595" i="1"/>
  <c r="I595" i="1"/>
  <c r="J595" i="1"/>
  <c r="K595" i="1"/>
  <c r="H596" i="1"/>
  <c r="I596" i="1"/>
  <c r="J596" i="1"/>
  <c r="K596" i="1"/>
  <c r="H597" i="1"/>
  <c r="I597" i="1"/>
  <c r="J597" i="1"/>
  <c r="K597" i="1"/>
  <c r="H598" i="1"/>
  <c r="I598" i="1"/>
  <c r="J598" i="1"/>
  <c r="K598" i="1"/>
  <c r="H599" i="1"/>
  <c r="I599" i="1"/>
  <c r="J599" i="1"/>
  <c r="K599" i="1"/>
  <c r="H600" i="1"/>
  <c r="I600" i="1"/>
  <c r="J600" i="1"/>
  <c r="K600" i="1"/>
  <c r="H601" i="1"/>
  <c r="I601" i="1"/>
  <c r="J601" i="1"/>
  <c r="K601" i="1"/>
  <c r="H602" i="1"/>
  <c r="I602" i="1"/>
  <c r="J602" i="1"/>
  <c r="K602" i="1"/>
  <c r="H603" i="1"/>
  <c r="I603" i="1"/>
  <c r="J603" i="1"/>
  <c r="K603" i="1"/>
  <c r="H604" i="1"/>
  <c r="I604" i="1"/>
  <c r="J604" i="1"/>
  <c r="K604" i="1"/>
  <c r="H605" i="1"/>
  <c r="I605" i="1"/>
  <c r="J605" i="1"/>
  <c r="K605" i="1"/>
  <c r="H606" i="1"/>
  <c r="I606" i="1"/>
  <c r="J606" i="1"/>
  <c r="K606" i="1"/>
  <c r="H607" i="1"/>
  <c r="I607" i="1"/>
  <c r="J607" i="1"/>
  <c r="K607" i="1"/>
  <c r="H608" i="1"/>
  <c r="I608" i="1"/>
  <c r="J608" i="1"/>
  <c r="K608" i="1"/>
  <c r="H609" i="1"/>
  <c r="I609" i="1"/>
  <c r="J609" i="1"/>
  <c r="K609" i="1"/>
  <c r="H610" i="1"/>
  <c r="I610" i="1"/>
  <c r="J610" i="1"/>
  <c r="K610" i="1"/>
  <c r="H611" i="1"/>
  <c r="I611" i="1"/>
  <c r="J611" i="1"/>
  <c r="K611" i="1"/>
  <c r="H612" i="1"/>
  <c r="I612" i="1"/>
  <c r="J612" i="1"/>
  <c r="K612" i="1"/>
  <c r="H613" i="1"/>
  <c r="I613" i="1"/>
  <c r="J613" i="1"/>
  <c r="K613" i="1"/>
  <c r="H614" i="1"/>
  <c r="I614" i="1"/>
  <c r="J614" i="1"/>
  <c r="K614" i="1"/>
  <c r="H615" i="1"/>
  <c r="I615" i="1"/>
  <c r="J615" i="1"/>
  <c r="K615" i="1"/>
  <c r="H616" i="1"/>
  <c r="I616" i="1"/>
  <c r="J616" i="1"/>
  <c r="K616" i="1"/>
  <c r="H617" i="1"/>
  <c r="I617" i="1"/>
  <c r="J617" i="1"/>
  <c r="K617" i="1"/>
  <c r="H618" i="1"/>
  <c r="I618" i="1"/>
  <c r="J618" i="1"/>
  <c r="K618" i="1"/>
  <c r="H619" i="1"/>
  <c r="I619" i="1"/>
  <c r="J619" i="1"/>
  <c r="K619" i="1"/>
  <c r="H620" i="1"/>
  <c r="I620" i="1"/>
  <c r="J620" i="1"/>
  <c r="K620" i="1"/>
  <c r="H621" i="1"/>
  <c r="I621" i="1"/>
  <c r="J621" i="1"/>
  <c r="K621" i="1"/>
  <c r="H622" i="1"/>
  <c r="I622" i="1"/>
  <c r="J622" i="1"/>
  <c r="K622" i="1"/>
  <c r="H623" i="1"/>
  <c r="I623" i="1"/>
  <c r="J623" i="1"/>
  <c r="K623" i="1"/>
  <c r="H624" i="1"/>
  <c r="I624" i="1"/>
  <c r="J624" i="1"/>
  <c r="K624" i="1"/>
  <c r="H625" i="1"/>
  <c r="I625" i="1"/>
  <c r="J625" i="1"/>
  <c r="K625" i="1"/>
  <c r="H626" i="1"/>
  <c r="I626" i="1"/>
  <c r="J626" i="1"/>
  <c r="K626" i="1"/>
  <c r="H627" i="1"/>
  <c r="I627" i="1"/>
  <c r="J627" i="1"/>
  <c r="K627" i="1"/>
  <c r="H628" i="1"/>
  <c r="I628" i="1"/>
  <c r="J628" i="1"/>
  <c r="K628" i="1"/>
  <c r="H629" i="1"/>
  <c r="I629" i="1"/>
  <c r="J629" i="1"/>
  <c r="K629" i="1"/>
  <c r="H630" i="1"/>
  <c r="I630" i="1"/>
  <c r="J630" i="1"/>
  <c r="K630" i="1"/>
  <c r="H631" i="1"/>
  <c r="I631" i="1"/>
  <c r="J631" i="1"/>
  <c r="K631" i="1"/>
  <c r="H632" i="1"/>
  <c r="I632" i="1"/>
  <c r="J632" i="1"/>
  <c r="K632" i="1"/>
  <c r="H633" i="1"/>
  <c r="I633" i="1"/>
  <c r="J633" i="1"/>
  <c r="K633" i="1"/>
  <c r="H634" i="1"/>
  <c r="I634" i="1"/>
  <c r="J634" i="1"/>
  <c r="K634" i="1"/>
  <c r="H635" i="1"/>
  <c r="I635" i="1"/>
  <c r="J635" i="1"/>
  <c r="K635" i="1"/>
  <c r="H636" i="1"/>
  <c r="I636" i="1"/>
  <c r="J636" i="1"/>
  <c r="K636" i="1"/>
  <c r="H637" i="1"/>
  <c r="I637" i="1"/>
  <c r="J637" i="1"/>
  <c r="K637" i="1"/>
  <c r="H638" i="1"/>
  <c r="I638" i="1"/>
  <c r="J638" i="1"/>
  <c r="K638" i="1"/>
  <c r="H639" i="1"/>
  <c r="I639" i="1"/>
  <c r="J639" i="1"/>
  <c r="K639" i="1"/>
  <c r="H640" i="1"/>
  <c r="I640" i="1"/>
  <c r="J640" i="1"/>
  <c r="K640" i="1"/>
  <c r="H641" i="1"/>
  <c r="I641" i="1"/>
  <c r="J641" i="1"/>
  <c r="K641" i="1"/>
  <c r="H642" i="1"/>
  <c r="I642" i="1"/>
  <c r="J642" i="1"/>
  <c r="K642" i="1"/>
  <c r="H643" i="1"/>
  <c r="I643" i="1"/>
  <c r="J643" i="1"/>
  <c r="K643" i="1"/>
  <c r="H644" i="1"/>
  <c r="I644" i="1"/>
  <c r="J644" i="1"/>
  <c r="K644" i="1"/>
  <c r="H645" i="1"/>
  <c r="I645" i="1"/>
  <c r="J645" i="1"/>
  <c r="K645" i="1"/>
  <c r="H646" i="1"/>
  <c r="I646" i="1"/>
  <c r="J646" i="1"/>
  <c r="K646" i="1"/>
  <c r="H647" i="1"/>
  <c r="I647" i="1"/>
  <c r="J647" i="1"/>
  <c r="K647" i="1"/>
  <c r="H648" i="1"/>
  <c r="I648" i="1"/>
  <c r="J648" i="1"/>
  <c r="K648" i="1"/>
  <c r="H649" i="1"/>
  <c r="I649" i="1"/>
  <c r="J649" i="1"/>
  <c r="K649" i="1"/>
  <c r="H650" i="1"/>
  <c r="I650" i="1"/>
  <c r="J650" i="1"/>
  <c r="K650" i="1"/>
  <c r="H651" i="1"/>
  <c r="I651" i="1"/>
  <c r="J651" i="1"/>
  <c r="K651" i="1"/>
  <c r="H652" i="1"/>
  <c r="I652" i="1"/>
  <c r="J652" i="1"/>
  <c r="K652" i="1"/>
  <c r="H653" i="1"/>
  <c r="I653" i="1"/>
  <c r="J653" i="1"/>
  <c r="K653" i="1"/>
  <c r="H654" i="1"/>
  <c r="I654" i="1"/>
  <c r="J654" i="1"/>
  <c r="K654" i="1"/>
  <c r="H655" i="1"/>
  <c r="I655" i="1"/>
  <c r="J655" i="1"/>
  <c r="K655" i="1"/>
  <c r="H656" i="1"/>
  <c r="I656" i="1"/>
  <c r="J656" i="1"/>
  <c r="K656" i="1"/>
  <c r="H657" i="1"/>
  <c r="I657" i="1"/>
  <c r="J657" i="1"/>
  <c r="K657" i="1"/>
  <c r="H658" i="1"/>
  <c r="I658" i="1"/>
  <c r="J658" i="1"/>
  <c r="K658" i="1"/>
  <c r="H659" i="1"/>
  <c r="I659" i="1"/>
  <c r="J659" i="1"/>
  <c r="K659" i="1"/>
  <c r="H660" i="1"/>
  <c r="I660" i="1"/>
  <c r="J660" i="1"/>
  <c r="K660" i="1"/>
  <c r="H661" i="1"/>
  <c r="I661" i="1"/>
  <c r="J661" i="1"/>
  <c r="K661" i="1"/>
  <c r="H662" i="1"/>
  <c r="I662" i="1"/>
  <c r="J662" i="1"/>
  <c r="K662" i="1"/>
  <c r="H663" i="1"/>
  <c r="I663" i="1"/>
  <c r="J663" i="1"/>
  <c r="K663" i="1"/>
  <c r="H664" i="1"/>
  <c r="I664" i="1"/>
  <c r="J664" i="1"/>
  <c r="K664" i="1"/>
  <c r="H665" i="1"/>
  <c r="I665" i="1"/>
  <c r="J665" i="1"/>
  <c r="K665" i="1"/>
  <c r="H666" i="1"/>
  <c r="I666" i="1"/>
  <c r="J666" i="1"/>
  <c r="K666" i="1"/>
  <c r="H667" i="1"/>
  <c r="I667" i="1"/>
  <c r="J667" i="1"/>
  <c r="K667" i="1"/>
  <c r="H668" i="1"/>
  <c r="I668" i="1"/>
  <c r="J668" i="1"/>
  <c r="K668" i="1"/>
  <c r="H669" i="1"/>
  <c r="I669" i="1"/>
  <c r="J669" i="1"/>
  <c r="K669" i="1"/>
  <c r="H670" i="1"/>
  <c r="I670" i="1"/>
  <c r="J670" i="1"/>
  <c r="K670" i="1"/>
  <c r="H671" i="1"/>
  <c r="I671" i="1"/>
  <c r="J671" i="1"/>
  <c r="K671" i="1"/>
  <c r="H672" i="1"/>
  <c r="I672" i="1"/>
  <c r="J672" i="1"/>
  <c r="K672" i="1"/>
  <c r="H673" i="1"/>
  <c r="I673" i="1"/>
  <c r="J673" i="1"/>
  <c r="K673" i="1"/>
  <c r="H674" i="1"/>
  <c r="I674" i="1"/>
  <c r="J674" i="1"/>
  <c r="K674" i="1"/>
  <c r="H675" i="1"/>
  <c r="I675" i="1"/>
  <c r="J675" i="1"/>
  <c r="K675" i="1"/>
  <c r="H676" i="1"/>
  <c r="I676" i="1"/>
  <c r="J676" i="1"/>
  <c r="K676" i="1"/>
  <c r="H677" i="1"/>
  <c r="I677" i="1"/>
  <c r="J677" i="1"/>
  <c r="K677" i="1"/>
  <c r="H678" i="1"/>
  <c r="I678" i="1"/>
  <c r="J678" i="1"/>
  <c r="K678" i="1"/>
  <c r="H679" i="1"/>
  <c r="I679" i="1"/>
  <c r="J679" i="1"/>
  <c r="K679" i="1"/>
  <c r="H680" i="1"/>
  <c r="I680" i="1"/>
  <c r="J680" i="1"/>
  <c r="K680" i="1"/>
  <c r="H681" i="1"/>
  <c r="I681" i="1"/>
  <c r="J681" i="1"/>
  <c r="K681" i="1"/>
  <c r="H682" i="1"/>
  <c r="I682" i="1"/>
  <c r="J682" i="1"/>
  <c r="K682" i="1"/>
  <c r="H683" i="1"/>
  <c r="I683" i="1"/>
  <c r="J683" i="1"/>
  <c r="K683" i="1"/>
  <c r="H684" i="1"/>
  <c r="I684" i="1"/>
  <c r="J684" i="1"/>
  <c r="K684" i="1"/>
  <c r="H685" i="1"/>
  <c r="I685" i="1"/>
  <c r="J685" i="1"/>
  <c r="K685" i="1"/>
  <c r="H686" i="1"/>
  <c r="I686" i="1"/>
  <c r="J686" i="1"/>
  <c r="K686" i="1"/>
  <c r="H687" i="1"/>
  <c r="I687" i="1"/>
  <c r="J687" i="1"/>
  <c r="K687" i="1"/>
  <c r="H688" i="1"/>
  <c r="I688" i="1"/>
  <c r="J688" i="1"/>
  <c r="K688" i="1"/>
  <c r="H689" i="1"/>
  <c r="I689" i="1"/>
  <c r="J689" i="1"/>
  <c r="K689" i="1"/>
  <c r="H690" i="1"/>
  <c r="I690" i="1"/>
  <c r="J690" i="1"/>
  <c r="K690" i="1"/>
  <c r="H691" i="1"/>
  <c r="I691" i="1"/>
  <c r="J691" i="1"/>
  <c r="K691" i="1"/>
  <c r="H692" i="1"/>
  <c r="I692" i="1"/>
  <c r="J692" i="1"/>
  <c r="K692" i="1"/>
  <c r="H693" i="1"/>
  <c r="I693" i="1"/>
  <c r="J693" i="1"/>
  <c r="K693" i="1"/>
  <c r="H694" i="1"/>
  <c r="I694" i="1"/>
  <c r="J694" i="1"/>
  <c r="K694" i="1"/>
  <c r="H695" i="1"/>
  <c r="I695" i="1"/>
  <c r="J695" i="1"/>
  <c r="K695" i="1"/>
  <c r="H696" i="1"/>
  <c r="I696" i="1"/>
  <c r="J696" i="1"/>
  <c r="K696" i="1"/>
  <c r="H697" i="1"/>
  <c r="I697" i="1"/>
  <c r="J697" i="1"/>
  <c r="K697" i="1"/>
  <c r="H698" i="1"/>
  <c r="I698" i="1"/>
  <c r="J698" i="1"/>
  <c r="K698" i="1"/>
  <c r="H699" i="1"/>
  <c r="I699" i="1"/>
  <c r="J699" i="1"/>
  <c r="K699" i="1"/>
  <c r="H700" i="1"/>
  <c r="I700" i="1"/>
  <c r="J700" i="1"/>
  <c r="K700" i="1"/>
  <c r="H701" i="1"/>
  <c r="I701" i="1"/>
  <c r="J701" i="1"/>
  <c r="K701" i="1"/>
  <c r="H702" i="1"/>
  <c r="I702" i="1"/>
  <c r="J702" i="1"/>
  <c r="K702" i="1"/>
  <c r="H703" i="1"/>
  <c r="I703" i="1"/>
  <c r="J703" i="1"/>
  <c r="K703" i="1"/>
  <c r="H704" i="1"/>
  <c r="I704" i="1"/>
  <c r="J704" i="1"/>
  <c r="K704" i="1"/>
  <c r="H705" i="1"/>
  <c r="I705" i="1"/>
  <c r="J705" i="1"/>
  <c r="K705" i="1"/>
  <c r="H706" i="1"/>
  <c r="I706" i="1"/>
  <c r="J706" i="1"/>
  <c r="K706" i="1"/>
  <c r="H707" i="1"/>
  <c r="I707" i="1"/>
  <c r="J707" i="1"/>
  <c r="K707" i="1"/>
  <c r="H708" i="1"/>
  <c r="I708" i="1"/>
  <c r="J708" i="1"/>
  <c r="K708" i="1"/>
  <c r="H709" i="1"/>
  <c r="I709" i="1"/>
  <c r="J709" i="1"/>
  <c r="K709" i="1"/>
  <c r="H710" i="1"/>
  <c r="I710" i="1"/>
  <c r="J710" i="1"/>
  <c r="K710" i="1"/>
  <c r="H711" i="1"/>
  <c r="I711" i="1"/>
  <c r="J711" i="1"/>
  <c r="K711" i="1"/>
  <c r="H712" i="1"/>
  <c r="I712" i="1"/>
  <c r="J712" i="1"/>
  <c r="K712" i="1"/>
  <c r="H713" i="1"/>
  <c r="I713" i="1"/>
  <c r="J713" i="1"/>
  <c r="K713" i="1"/>
  <c r="H714" i="1"/>
  <c r="I714" i="1"/>
  <c r="J714" i="1"/>
  <c r="K714" i="1"/>
  <c r="H715" i="1"/>
  <c r="I715" i="1"/>
  <c r="J715" i="1"/>
  <c r="K715" i="1"/>
  <c r="H716" i="1"/>
  <c r="I716" i="1"/>
  <c r="J716" i="1"/>
  <c r="K716" i="1"/>
  <c r="H717" i="1"/>
  <c r="I717" i="1"/>
  <c r="J717" i="1"/>
  <c r="K717" i="1"/>
  <c r="H718" i="1"/>
  <c r="I718" i="1"/>
  <c r="J718" i="1"/>
  <c r="K718" i="1"/>
  <c r="H719" i="1"/>
  <c r="I719" i="1"/>
  <c r="J719" i="1"/>
  <c r="K719" i="1"/>
  <c r="H720" i="1"/>
  <c r="I720" i="1"/>
  <c r="J720" i="1"/>
  <c r="K720" i="1"/>
  <c r="H721" i="1"/>
  <c r="I721" i="1"/>
  <c r="J721" i="1"/>
  <c r="K721" i="1"/>
  <c r="H722" i="1"/>
  <c r="I722" i="1"/>
  <c r="J722" i="1"/>
  <c r="K722" i="1"/>
  <c r="H723" i="1"/>
  <c r="I723" i="1"/>
  <c r="J723" i="1"/>
  <c r="K723" i="1"/>
  <c r="H724" i="1"/>
  <c r="I724" i="1"/>
  <c r="J724" i="1"/>
  <c r="K724" i="1"/>
  <c r="H725" i="1"/>
  <c r="I725" i="1"/>
  <c r="J725" i="1"/>
  <c r="K725" i="1"/>
  <c r="H726" i="1"/>
  <c r="I726" i="1"/>
  <c r="J726" i="1"/>
  <c r="K726" i="1"/>
  <c r="H727" i="1"/>
  <c r="I727" i="1"/>
  <c r="J727" i="1"/>
  <c r="K727" i="1"/>
  <c r="H728" i="1"/>
  <c r="I728" i="1"/>
  <c r="J728" i="1"/>
  <c r="K728" i="1"/>
  <c r="H729" i="1"/>
  <c r="I729" i="1"/>
  <c r="J729" i="1"/>
  <c r="K729" i="1"/>
  <c r="H730" i="1"/>
  <c r="I730" i="1"/>
  <c r="J730" i="1"/>
  <c r="K730" i="1"/>
  <c r="H731" i="1"/>
  <c r="I731" i="1"/>
  <c r="J731" i="1"/>
  <c r="K731" i="1"/>
  <c r="H732" i="1"/>
  <c r="I732" i="1"/>
  <c r="J732" i="1"/>
  <c r="K732" i="1"/>
  <c r="H733" i="1"/>
  <c r="I733" i="1"/>
  <c r="J733" i="1"/>
  <c r="K733" i="1"/>
  <c r="H734" i="1"/>
  <c r="I734" i="1"/>
  <c r="J734" i="1"/>
  <c r="K734" i="1"/>
  <c r="H735" i="1"/>
  <c r="I735" i="1"/>
  <c r="J735" i="1"/>
  <c r="K735" i="1"/>
  <c r="H736" i="1"/>
  <c r="I736" i="1"/>
  <c r="J736" i="1"/>
  <c r="K736" i="1"/>
  <c r="H737" i="1"/>
  <c r="I737" i="1"/>
  <c r="J737" i="1"/>
  <c r="K737" i="1"/>
  <c r="H738" i="1"/>
  <c r="I738" i="1"/>
  <c r="J738" i="1"/>
  <c r="K738" i="1"/>
  <c r="H739" i="1"/>
  <c r="I739" i="1"/>
  <c r="J739" i="1"/>
  <c r="K739" i="1"/>
  <c r="H740" i="1"/>
  <c r="I740" i="1"/>
  <c r="J740" i="1"/>
  <c r="K740" i="1"/>
  <c r="H741" i="1"/>
  <c r="I741" i="1"/>
  <c r="J741" i="1"/>
  <c r="K741" i="1"/>
  <c r="H742" i="1"/>
  <c r="I742" i="1"/>
  <c r="J742" i="1"/>
  <c r="K742" i="1"/>
  <c r="H743" i="1"/>
  <c r="I743" i="1"/>
  <c r="J743" i="1"/>
  <c r="K743" i="1"/>
  <c r="H744" i="1"/>
  <c r="I744" i="1"/>
  <c r="J744" i="1"/>
  <c r="K744" i="1"/>
  <c r="H745" i="1"/>
  <c r="I745" i="1"/>
  <c r="J745" i="1"/>
  <c r="K745" i="1"/>
  <c r="H746" i="1"/>
  <c r="I746" i="1"/>
  <c r="J746" i="1"/>
  <c r="K746" i="1"/>
  <c r="H747" i="1"/>
  <c r="I747" i="1"/>
  <c r="J747" i="1"/>
  <c r="K747" i="1"/>
  <c r="H748" i="1"/>
  <c r="I748" i="1"/>
  <c r="J748" i="1"/>
  <c r="K748" i="1"/>
  <c r="H749" i="1"/>
  <c r="I749" i="1"/>
  <c r="J749" i="1"/>
  <c r="K749" i="1"/>
  <c r="H750" i="1"/>
  <c r="I750" i="1"/>
  <c r="J750" i="1"/>
  <c r="K750" i="1"/>
  <c r="H751" i="1"/>
  <c r="I751" i="1"/>
  <c r="J751" i="1"/>
  <c r="K751" i="1"/>
  <c r="H752" i="1"/>
  <c r="I752" i="1"/>
  <c r="J752" i="1"/>
  <c r="K752" i="1"/>
  <c r="H753" i="1"/>
  <c r="I753" i="1"/>
  <c r="J753" i="1"/>
  <c r="K753" i="1"/>
  <c r="H754" i="1"/>
  <c r="I754" i="1"/>
  <c r="J754" i="1"/>
  <c r="K754" i="1"/>
  <c r="H755" i="1"/>
  <c r="I755" i="1"/>
  <c r="J755" i="1"/>
  <c r="K755" i="1"/>
  <c r="H756" i="1"/>
  <c r="I756" i="1"/>
  <c r="J756" i="1"/>
  <c r="K756" i="1"/>
  <c r="H757" i="1"/>
  <c r="I757" i="1"/>
  <c r="J757" i="1"/>
  <c r="K757" i="1"/>
  <c r="H758" i="1"/>
  <c r="I758" i="1"/>
  <c r="J758" i="1"/>
  <c r="K758" i="1"/>
  <c r="H759" i="1"/>
  <c r="I759" i="1"/>
  <c r="J759" i="1"/>
  <c r="K759" i="1"/>
  <c r="H760" i="1"/>
  <c r="I760" i="1"/>
  <c r="J760" i="1"/>
  <c r="K760" i="1"/>
  <c r="H761" i="1"/>
  <c r="I761" i="1"/>
  <c r="J761" i="1"/>
  <c r="K761" i="1"/>
  <c r="H762" i="1"/>
  <c r="I762" i="1"/>
  <c r="J762" i="1"/>
  <c r="K762" i="1"/>
  <c r="H763" i="1"/>
  <c r="I763" i="1"/>
  <c r="J763" i="1"/>
  <c r="K763" i="1"/>
  <c r="H764" i="1"/>
  <c r="I764" i="1"/>
  <c r="J764" i="1"/>
  <c r="K764" i="1"/>
  <c r="H765" i="1"/>
  <c r="I765" i="1"/>
  <c r="J765" i="1"/>
  <c r="K765" i="1"/>
  <c r="H766" i="1"/>
  <c r="I766" i="1"/>
  <c r="J766" i="1"/>
  <c r="K766" i="1"/>
  <c r="H767" i="1"/>
  <c r="I767" i="1"/>
  <c r="J767" i="1"/>
  <c r="K767" i="1"/>
  <c r="H768" i="1"/>
  <c r="I768" i="1"/>
  <c r="J768" i="1"/>
  <c r="K768" i="1"/>
  <c r="H769" i="1"/>
  <c r="I769" i="1"/>
  <c r="J769" i="1"/>
  <c r="K769" i="1"/>
  <c r="H770" i="1"/>
  <c r="I770" i="1"/>
  <c r="J770" i="1"/>
  <c r="K770" i="1"/>
  <c r="H771" i="1"/>
  <c r="I771" i="1"/>
  <c r="J771" i="1"/>
  <c r="K771" i="1"/>
  <c r="H772" i="1"/>
  <c r="I772" i="1"/>
  <c r="J772" i="1"/>
  <c r="K772" i="1"/>
  <c r="H773" i="1"/>
  <c r="I773" i="1"/>
  <c r="J773" i="1"/>
  <c r="K773" i="1"/>
  <c r="H774" i="1"/>
  <c r="I774" i="1"/>
  <c r="J774" i="1"/>
  <c r="K774" i="1"/>
  <c r="H775" i="1"/>
  <c r="I775" i="1"/>
  <c r="J775" i="1"/>
  <c r="K775" i="1"/>
  <c r="H776" i="1"/>
  <c r="I776" i="1"/>
  <c r="J776" i="1"/>
  <c r="K776" i="1"/>
  <c r="H777" i="1"/>
  <c r="I777" i="1"/>
  <c r="J777" i="1"/>
  <c r="K777" i="1"/>
  <c r="H778" i="1"/>
  <c r="I778" i="1"/>
  <c r="J778" i="1"/>
  <c r="K778" i="1"/>
  <c r="H779" i="1"/>
  <c r="I779" i="1"/>
  <c r="J779" i="1"/>
  <c r="K779" i="1"/>
  <c r="H780" i="1"/>
  <c r="I780" i="1"/>
  <c r="J780" i="1"/>
  <c r="K780" i="1"/>
  <c r="H781" i="1"/>
  <c r="I781" i="1"/>
  <c r="J781" i="1"/>
  <c r="K781" i="1"/>
  <c r="H782" i="1"/>
  <c r="I782" i="1"/>
  <c r="J782" i="1"/>
  <c r="K782" i="1"/>
  <c r="H783" i="1"/>
  <c r="I783" i="1"/>
  <c r="J783" i="1"/>
  <c r="K783" i="1"/>
  <c r="H784" i="1"/>
  <c r="I784" i="1"/>
  <c r="J784" i="1"/>
  <c r="K784" i="1"/>
  <c r="H785" i="1"/>
  <c r="I785" i="1"/>
  <c r="J785" i="1"/>
  <c r="K785" i="1"/>
  <c r="H786" i="1"/>
  <c r="I786" i="1"/>
  <c r="J786" i="1"/>
  <c r="K786" i="1"/>
  <c r="H787" i="1"/>
  <c r="I787" i="1"/>
  <c r="J787" i="1"/>
  <c r="K787" i="1"/>
  <c r="H788" i="1"/>
  <c r="I788" i="1"/>
  <c r="J788" i="1"/>
  <c r="K788" i="1"/>
  <c r="H789" i="1"/>
  <c r="I789" i="1"/>
  <c r="J789" i="1"/>
  <c r="K789" i="1"/>
  <c r="H790" i="1"/>
  <c r="I790" i="1"/>
  <c r="J790" i="1"/>
  <c r="K790" i="1"/>
  <c r="H791" i="1"/>
  <c r="I791" i="1"/>
  <c r="J791" i="1"/>
  <c r="K791" i="1"/>
  <c r="H792" i="1"/>
  <c r="I792" i="1"/>
  <c r="J792" i="1"/>
  <c r="K792" i="1"/>
  <c r="H793" i="1"/>
  <c r="I793" i="1"/>
  <c r="J793" i="1"/>
  <c r="K793" i="1"/>
  <c r="H794" i="1"/>
  <c r="I794" i="1"/>
  <c r="J794" i="1"/>
  <c r="K794" i="1"/>
  <c r="H795" i="1"/>
  <c r="I795" i="1"/>
  <c r="J795" i="1"/>
  <c r="K795" i="1"/>
  <c r="H796" i="1"/>
  <c r="I796" i="1"/>
  <c r="J796" i="1"/>
  <c r="K796" i="1"/>
  <c r="H797" i="1"/>
  <c r="I797" i="1"/>
  <c r="J797" i="1"/>
  <c r="K797" i="1"/>
  <c r="H798" i="1"/>
  <c r="I798" i="1"/>
  <c r="J798" i="1"/>
  <c r="K798" i="1"/>
  <c r="H799" i="1"/>
  <c r="I799" i="1"/>
  <c r="J799" i="1"/>
  <c r="K799" i="1"/>
  <c r="H800" i="1"/>
  <c r="I800" i="1"/>
  <c r="J800" i="1"/>
  <c r="K800" i="1"/>
  <c r="H801" i="1"/>
  <c r="I801" i="1"/>
  <c r="J801" i="1"/>
  <c r="K801" i="1"/>
  <c r="H802" i="1"/>
  <c r="I802" i="1"/>
  <c r="J802" i="1"/>
  <c r="K802" i="1"/>
  <c r="H803" i="1"/>
  <c r="I803" i="1"/>
  <c r="J803" i="1"/>
  <c r="K803" i="1"/>
  <c r="H804" i="1"/>
  <c r="I804" i="1"/>
  <c r="J804" i="1"/>
  <c r="K804" i="1"/>
  <c r="H805" i="1"/>
  <c r="I805" i="1"/>
  <c r="J805" i="1"/>
  <c r="K805" i="1"/>
  <c r="H806" i="1"/>
  <c r="I806" i="1"/>
  <c r="J806" i="1"/>
  <c r="K806" i="1"/>
  <c r="H807" i="1"/>
  <c r="I807" i="1"/>
  <c r="J807" i="1"/>
  <c r="K807" i="1"/>
  <c r="H808" i="1"/>
  <c r="I808" i="1"/>
  <c r="J808" i="1"/>
  <c r="K808" i="1"/>
  <c r="H809" i="1"/>
  <c r="I809" i="1"/>
  <c r="J809" i="1"/>
  <c r="K809" i="1"/>
  <c r="H810" i="1"/>
  <c r="I810" i="1"/>
  <c r="J810" i="1"/>
  <c r="K810" i="1"/>
  <c r="H811" i="1"/>
  <c r="I811" i="1"/>
  <c r="J811" i="1"/>
  <c r="K811" i="1"/>
  <c r="H812" i="1"/>
  <c r="I812" i="1"/>
  <c r="J812" i="1"/>
  <c r="K812" i="1"/>
  <c r="H813" i="1"/>
  <c r="I813" i="1"/>
  <c r="J813" i="1"/>
  <c r="K813" i="1"/>
  <c r="H814" i="1"/>
  <c r="I814" i="1"/>
  <c r="J814" i="1"/>
  <c r="K814" i="1"/>
  <c r="H815" i="1"/>
  <c r="I815" i="1"/>
  <c r="J815" i="1"/>
  <c r="K815" i="1"/>
  <c r="H816" i="1"/>
  <c r="I816" i="1"/>
  <c r="J816" i="1"/>
  <c r="K816" i="1"/>
  <c r="H817" i="1"/>
  <c r="I817" i="1"/>
  <c r="J817" i="1"/>
  <c r="K817" i="1"/>
  <c r="H818" i="1"/>
  <c r="I818" i="1"/>
  <c r="J818" i="1"/>
  <c r="K818" i="1"/>
  <c r="H819" i="1"/>
  <c r="I819" i="1"/>
  <c r="J819" i="1"/>
  <c r="K819" i="1"/>
  <c r="H820" i="1"/>
  <c r="I820" i="1"/>
  <c r="J820" i="1"/>
  <c r="K820" i="1"/>
  <c r="H821" i="1"/>
  <c r="I821" i="1"/>
  <c r="J821" i="1"/>
  <c r="K821" i="1"/>
  <c r="H822" i="1"/>
  <c r="I822" i="1"/>
  <c r="J822" i="1"/>
  <c r="K822" i="1"/>
  <c r="H823" i="1"/>
  <c r="I823" i="1"/>
  <c r="J823" i="1"/>
  <c r="K823" i="1"/>
  <c r="H824" i="1"/>
  <c r="I824" i="1"/>
  <c r="J824" i="1"/>
  <c r="K824" i="1"/>
  <c r="H825" i="1"/>
  <c r="I825" i="1"/>
  <c r="J825" i="1"/>
  <c r="K825" i="1"/>
  <c r="H826" i="1"/>
  <c r="I826" i="1"/>
  <c r="J826" i="1"/>
  <c r="K826" i="1"/>
  <c r="H827" i="1"/>
  <c r="I827" i="1"/>
  <c r="J827" i="1"/>
  <c r="K827" i="1"/>
  <c r="H828" i="1"/>
  <c r="I828" i="1"/>
  <c r="J828" i="1"/>
  <c r="K828" i="1"/>
  <c r="H829" i="1"/>
  <c r="I829" i="1"/>
  <c r="J829" i="1"/>
  <c r="K829" i="1"/>
  <c r="H830" i="1"/>
  <c r="I830" i="1"/>
  <c r="J830" i="1"/>
  <c r="K830" i="1"/>
  <c r="H831" i="1"/>
  <c r="I831" i="1"/>
  <c r="J831" i="1"/>
  <c r="K831" i="1"/>
  <c r="H832" i="1"/>
  <c r="I832" i="1"/>
  <c r="J832" i="1"/>
  <c r="K832" i="1"/>
  <c r="H833" i="1"/>
  <c r="I833" i="1"/>
  <c r="J833" i="1"/>
  <c r="K833" i="1"/>
  <c r="H834" i="1"/>
  <c r="I834" i="1"/>
  <c r="J834" i="1"/>
  <c r="K834" i="1"/>
  <c r="H835" i="1"/>
  <c r="I835" i="1"/>
  <c r="J835" i="1"/>
  <c r="K835" i="1"/>
  <c r="H836" i="1"/>
  <c r="I836" i="1"/>
  <c r="J836" i="1"/>
  <c r="K836" i="1"/>
  <c r="H837" i="1"/>
  <c r="I837" i="1"/>
  <c r="J837" i="1"/>
  <c r="K837" i="1"/>
  <c r="H838" i="1"/>
  <c r="I838" i="1"/>
  <c r="J838" i="1"/>
  <c r="K838" i="1"/>
  <c r="H839" i="1"/>
  <c r="I839" i="1"/>
  <c r="J839" i="1"/>
  <c r="K839" i="1"/>
  <c r="H840" i="1"/>
  <c r="I840" i="1"/>
  <c r="J840" i="1"/>
  <c r="K840" i="1"/>
  <c r="H841" i="1"/>
  <c r="I841" i="1"/>
  <c r="J841" i="1"/>
  <c r="K841" i="1"/>
  <c r="H842" i="1"/>
  <c r="I842" i="1"/>
  <c r="J842" i="1"/>
  <c r="K842" i="1"/>
  <c r="H843" i="1"/>
  <c r="I843" i="1"/>
  <c r="J843" i="1"/>
  <c r="K843" i="1"/>
  <c r="H844" i="1"/>
  <c r="I844" i="1"/>
  <c r="J844" i="1"/>
  <c r="K844" i="1"/>
  <c r="H845" i="1"/>
  <c r="I845" i="1"/>
  <c r="J845" i="1"/>
  <c r="K845" i="1"/>
  <c r="H846" i="1"/>
  <c r="I846" i="1"/>
  <c r="J846" i="1"/>
  <c r="K846" i="1"/>
  <c r="H847" i="1"/>
  <c r="I847" i="1"/>
  <c r="J847" i="1"/>
  <c r="K847" i="1"/>
  <c r="H848" i="1"/>
  <c r="I848" i="1"/>
  <c r="J848" i="1"/>
  <c r="K848" i="1"/>
  <c r="H849" i="1"/>
  <c r="I849" i="1"/>
  <c r="J849" i="1"/>
  <c r="K849" i="1"/>
  <c r="H850" i="1"/>
  <c r="I850" i="1"/>
  <c r="J850" i="1"/>
  <c r="K850" i="1"/>
  <c r="H851" i="1"/>
  <c r="I851" i="1"/>
  <c r="J851" i="1"/>
  <c r="K851" i="1"/>
  <c r="H852" i="1"/>
  <c r="I852" i="1"/>
  <c r="J852" i="1"/>
  <c r="K852" i="1"/>
  <c r="H853" i="1"/>
  <c r="I853" i="1"/>
  <c r="J853" i="1"/>
  <c r="K853" i="1"/>
  <c r="H854" i="1"/>
  <c r="I854" i="1"/>
  <c r="J854" i="1"/>
  <c r="K854" i="1"/>
  <c r="H855" i="1"/>
  <c r="I855" i="1"/>
  <c r="J855" i="1"/>
  <c r="K855" i="1"/>
  <c r="H856" i="1"/>
  <c r="I856" i="1"/>
  <c r="J856" i="1"/>
  <c r="K856" i="1"/>
  <c r="H857" i="1"/>
  <c r="I857" i="1"/>
  <c r="J857" i="1"/>
  <c r="K857" i="1"/>
  <c r="H858" i="1"/>
  <c r="I858" i="1"/>
  <c r="J858" i="1"/>
  <c r="K858" i="1"/>
  <c r="H859" i="1"/>
  <c r="I859" i="1"/>
  <c r="J859" i="1"/>
  <c r="K859" i="1"/>
  <c r="H860" i="1"/>
  <c r="I860" i="1"/>
  <c r="J860" i="1"/>
  <c r="K860" i="1"/>
  <c r="H861" i="1"/>
  <c r="I861" i="1"/>
  <c r="J861" i="1"/>
  <c r="K861" i="1"/>
  <c r="H862" i="1"/>
  <c r="I862" i="1"/>
  <c r="J862" i="1"/>
  <c r="K862" i="1"/>
  <c r="H863" i="1"/>
  <c r="I863" i="1"/>
  <c r="J863" i="1"/>
  <c r="K863" i="1"/>
  <c r="H864" i="1"/>
  <c r="I864" i="1"/>
  <c r="J864" i="1"/>
  <c r="K864" i="1"/>
  <c r="H865" i="1"/>
  <c r="I865" i="1"/>
  <c r="J865" i="1"/>
  <c r="K865" i="1"/>
  <c r="H866" i="1"/>
  <c r="I866" i="1"/>
  <c r="J866" i="1"/>
  <c r="K866" i="1"/>
  <c r="H867" i="1"/>
  <c r="I867" i="1"/>
  <c r="J867" i="1"/>
  <c r="K867" i="1"/>
  <c r="H868" i="1"/>
  <c r="I868" i="1"/>
  <c r="J868" i="1"/>
  <c r="K868" i="1"/>
  <c r="H869" i="1"/>
  <c r="I869" i="1"/>
  <c r="J869" i="1"/>
  <c r="K869" i="1"/>
  <c r="H870" i="1"/>
  <c r="I870" i="1"/>
  <c r="J870" i="1"/>
  <c r="K870" i="1"/>
  <c r="H871" i="1"/>
  <c r="I871" i="1"/>
  <c r="J871" i="1"/>
  <c r="K871" i="1"/>
  <c r="H872" i="1"/>
  <c r="I872" i="1"/>
  <c r="J872" i="1"/>
  <c r="K872" i="1"/>
  <c r="H873" i="1"/>
  <c r="I873" i="1"/>
  <c r="J873" i="1"/>
  <c r="K873" i="1"/>
  <c r="H874" i="1"/>
  <c r="I874" i="1"/>
  <c r="J874" i="1"/>
  <c r="K874" i="1"/>
  <c r="H875" i="1"/>
  <c r="I875" i="1"/>
  <c r="J875" i="1"/>
  <c r="K875" i="1"/>
  <c r="H876" i="1"/>
  <c r="I876" i="1"/>
  <c r="J876" i="1"/>
  <c r="K876" i="1"/>
  <c r="H877" i="1"/>
  <c r="I877" i="1"/>
  <c r="J877" i="1"/>
  <c r="K877" i="1"/>
  <c r="H878" i="1"/>
  <c r="I878" i="1"/>
  <c r="J878" i="1"/>
  <c r="K878" i="1"/>
  <c r="H879" i="1"/>
  <c r="I879" i="1"/>
  <c r="J879" i="1"/>
  <c r="K879" i="1"/>
  <c r="H880" i="1"/>
  <c r="I880" i="1"/>
  <c r="J880" i="1"/>
  <c r="K880" i="1"/>
  <c r="H881" i="1"/>
  <c r="I881" i="1"/>
  <c r="J881" i="1"/>
  <c r="K881" i="1"/>
  <c r="H882" i="1"/>
  <c r="I882" i="1"/>
  <c r="J882" i="1"/>
  <c r="K882" i="1"/>
  <c r="H883" i="1"/>
  <c r="I883" i="1"/>
  <c r="J883" i="1"/>
  <c r="K883" i="1"/>
  <c r="H884" i="1"/>
  <c r="I884" i="1"/>
  <c r="J884" i="1"/>
  <c r="K884" i="1"/>
  <c r="H885" i="1"/>
  <c r="I885" i="1"/>
  <c r="J885" i="1"/>
  <c r="K885" i="1"/>
  <c r="H886" i="1"/>
  <c r="I886" i="1"/>
  <c r="J886" i="1"/>
  <c r="K886" i="1"/>
  <c r="H887" i="1"/>
  <c r="I887" i="1"/>
  <c r="J887" i="1"/>
  <c r="K887" i="1"/>
  <c r="H888" i="1"/>
  <c r="I888" i="1"/>
  <c r="J888" i="1"/>
  <c r="K888" i="1"/>
  <c r="H889" i="1"/>
  <c r="I889" i="1"/>
  <c r="J889" i="1"/>
  <c r="K889" i="1"/>
  <c r="H890" i="1"/>
  <c r="I890" i="1"/>
  <c r="J890" i="1"/>
  <c r="K890" i="1"/>
  <c r="H891" i="1"/>
  <c r="I891" i="1"/>
  <c r="J891" i="1"/>
  <c r="K891" i="1"/>
  <c r="H892" i="1"/>
  <c r="I892" i="1"/>
  <c r="J892" i="1"/>
  <c r="K892" i="1"/>
  <c r="H893" i="1"/>
  <c r="I893" i="1"/>
  <c r="J893" i="1"/>
  <c r="K893" i="1"/>
  <c r="H894" i="1"/>
  <c r="I894" i="1"/>
  <c r="J894" i="1"/>
  <c r="K894" i="1"/>
  <c r="H895" i="1"/>
  <c r="I895" i="1"/>
  <c r="J895" i="1"/>
  <c r="K895" i="1"/>
  <c r="H896" i="1"/>
  <c r="I896" i="1"/>
  <c r="J896" i="1"/>
  <c r="K896" i="1"/>
  <c r="H897" i="1"/>
  <c r="I897" i="1"/>
  <c r="J897" i="1"/>
  <c r="K897" i="1"/>
  <c r="H898" i="1"/>
  <c r="I898" i="1"/>
  <c r="J898" i="1"/>
  <c r="K898" i="1"/>
  <c r="H899" i="1"/>
  <c r="I899" i="1"/>
  <c r="J899" i="1"/>
  <c r="K899" i="1"/>
  <c r="H900" i="1"/>
  <c r="I900" i="1"/>
  <c r="J900" i="1"/>
  <c r="K900" i="1"/>
  <c r="H901" i="1"/>
  <c r="I901" i="1"/>
  <c r="J901" i="1"/>
  <c r="K901" i="1"/>
  <c r="H902" i="1"/>
  <c r="I902" i="1"/>
  <c r="J902" i="1"/>
  <c r="K902" i="1"/>
  <c r="H903" i="1"/>
  <c r="I903" i="1"/>
  <c r="J903" i="1"/>
  <c r="K903" i="1"/>
  <c r="H904" i="1"/>
  <c r="I904" i="1"/>
  <c r="J904" i="1"/>
  <c r="K904" i="1"/>
  <c r="H905" i="1"/>
  <c r="I905" i="1"/>
  <c r="J905" i="1"/>
  <c r="K905" i="1"/>
  <c r="H906" i="1"/>
  <c r="I906" i="1"/>
  <c r="J906" i="1"/>
  <c r="K906" i="1"/>
  <c r="H907" i="1"/>
  <c r="I907" i="1"/>
  <c r="J907" i="1"/>
  <c r="K907" i="1"/>
  <c r="H908" i="1"/>
  <c r="I908" i="1"/>
  <c r="J908" i="1"/>
  <c r="K908" i="1"/>
  <c r="H909" i="1"/>
  <c r="I909" i="1"/>
  <c r="J909" i="1"/>
  <c r="K909" i="1"/>
  <c r="H910" i="1"/>
  <c r="I910" i="1"/>
  <c r="J910" i="1"/>
  <c r="K910" i="1"/>
  <c r="H911" i="1"/>
  <c r="I911" i="1"/>
  <c r="J911" i="1"/>
  <c r="K911" i="1"/>
  <c r="H912" i="1"/>
  <c r="I912" i="1"/>
  <c r="J912" i="1"/>
  <c r="K912" i="1"/>
  <c r="H913" i="1"/>
  <c r="I913" i="1"/>
  <c r="J913" i="1"/>
  <c r="K913" i="1"/>
  <c r="H914" i="1"/>
  <c r="I914" i="1"/>
  <c r="J914" i="1"/>
  <c r="K914" i="1"/>
  <c r="H915" i="1"/>
  <c r="I915" i="1"/>
  <c r="J915" i="1"/>
  <c r="K915" i="1"/>
  <c r="H916" i="1"/>
  <c r="I916" i="1"/>
  <c r="J916" i="1"/>
  <c r="K916" i="1"/>
  <c r="H917" i="1"/>
  <c r="I917" i="1"/>
  <c r="J917" i="1"/>
  <c r="K917" i="1"/>
  <c r="H918" i="1"/>
  <c r="I918" i="1"/>
  <c r="J918" i="1"/>
  <c r="K918" i="1"/>
  <c r="H919" i="1"/>
  <c r="I919" i="1"/>
  <c r="J919" i="1"/>
  <c r="K919" i="1"/>
  <c r="H920" i="1"/>
  <c r="I920" i="1"/>
  <c r="J920" i="1"/>
  <c r="K920" i="1"/>
  <c r="H921" i="1"/>
  <c r="I921" i="1"/>
  <c r="J921" i="1"/>
  <c r="K921" i="1"/>
  <c r="H922" i="1"/>
  <c r="I922" i="1"/>
  <c r="J922" i="1"/>
  <c r="K922" i="1"/>
  <c r="H923" i="1"/>
  <c r="I923" i="1"/>
  <c r="J923" i="1"/>
  <c r="K923" i="1"/>
  <c r="H924" i="1"/>
  <c r="I924" i="1"/>
  <c r="J924" i="1"/>
  <c r="K924" i="1"/>
  <c r="H925" i="1"/>
  <c r="I925" i="1"/>
  <c r="J925" i="1"/>
  <c r="K925" i="1"/>
  <c r="H926" i="1"/>
  <c r="I926" i="1"/>
  <c r="J926" i="1"/>
  <c r="K926" i="1"/>
  <c r="H927" i="1"/>
  <c r="I927" i="1"/>
  <c r="J927" i="1"/>
  <c r="K927" i="1"/>
  <c r="H928" i="1"/>
  <c r="I928" i="1"/>
  <c r="J928" i="1"/>
  <c r="K928" i="1"/>
  <c r="H929" i="1"/>
  <c r="I929" i="1"/>
  <c r="J929" i="1"/>
  <c r="K929" i="1"/>
  <c r="H930" i="1"/>
  <c r="I930" i="1"/>
  <c r="J930" i="1"/>
  <c r="K930" i="1"/>
  <c r="H931" i="1"/>
  <c r="I931" i="1"/>
  <c r="J931" i="1"/>
  <c r="K931" i="1"/>
  <c r="H932" i="1"/>
  <c r="I932" i="1"/>
  <c r="J932" i="1"/>
  <c r="K932" i="1"/>
  <c r="H933" i="1"/>
  <c r="I933" i="1"/>
  <c r="J933" i="1"/>
  <c r="K933" i="1"/>
  <c r="H934" i="1"/>
  <c r="I934" i="1"/>
  <c r="J934" i="1"/>
  <c r="K934" i="1"/>
  <c r="H935" i="1"/>
  <c r="I935" i="1"/>
  <c r="J935" i="1"/>
  <c r="K935" i="1"/>
  <c r="H936" i="1"/>
  <c r="I936" i="1"/>
  <c r="J936" i="1"/>
  <c r="K936" i="1"/>
  <c r="H937" i="1"/>
  <c r="I937" i="1"/>
  <c r="J937" i="1"/>
  <c r="K937" i="1"/>
  <c r="H938" i="1"/>
  <c r="I938" i="1"/>
  <c r="J938" i="1"/>
  <c r="K938" i="1"/>
  <c r="H939" i="1"/>
  <c r="I939" i="1"/>
  <c r="J939" i="1"/>
  <c r="K939" i="1"/>
  <c r="H940" i="1"/>
  <c r="I940" i="1"/>
  <c r="J940" i="1"/>
  <c r="K940" i="1"/>
  <c r="H941" i="1"/>
  <c r="I941" i="1"/>
  <c r="J941" i="1"/>
  <c r="K941" i="1"/>
  <c r="H942" i="1"/>
  <c r="I942" i="1"/>
  <c r="J942" i="1"/>
  <c r="K942" i="1"/>
  <c r="H943" i="1"/>
  <c r="I943" i="1"/>
  <c r="J943" i="1"/>
  <c r="K943" i="1"/>
  <c r="H944" i="1"/>
  <c r="I944" i="1"/>
  <c r="J944" i="1"/>
  <c r="K944" i="1"/>
  <c r="H945" i="1"/>
  <c r="I945" i="1"/>
  <c r="J945" i="1"/>
  <c r="K945" i="1"/>
  <c r="H946" i="1"/>
  <c r="I946" i="1"/>
  <c r="J946" i="1"/>
  <c r="K946" i="1"/>
  <c r="H947" i="1"/>
  <c r="I947" i="1"/>
  <c r="J947" i="1"/>
  <c r="K947" i="1"/>
  <c r="H948" i="1"/>
  <c r="I948" i="1"/>
  <c r="J948" i="1"/>
  <c r="K948" i="1"/>
  <c r="H949" i="1"/>
  <c r="I949" i="1"/>
  <c r="J949" i="1"/>
  <c r="K949" i="1"/>
  <c r="H950" i="1"/>
  <c r="I950" i="1"/>
  <c r="J950" i="1"/>
  <c r="K950" i="1"/>
  <c r="H951" i="1"/>
  <c r="I951" i="1"/>
  <c r="J951" i="1"/>
  <c r="K951" i="1"/>
  <c r="H952" i="1"/>
  <c r="I952" i="1"/>
  <c r="J952" i="1"/>
  <c r="K952" i="1"/>
  <c r="H953" i="1"/>
  <c r="I953" i="1"/>
  <c r="J953" i="1"/>
  <c r="K953" i="1"/>
  <c r="H954" i="1"/>
  <c r="I954" i="1"/>
  <c r="J954" i="1"/>
  <c r="K954" i="1"/>
  <c r="H955" i="1"/>
  <c r="I955" i="1"/>
  <c r="J955" i="1"/>
  <c r="K955" i="1"/>
  <c r="H956" i="1"/>
  <c r="I956" i="1"/>
  <c r="J956" i="1"/>
  <c r="K956" i="1"/>
  <c r="H957" i="1"/>
  <c r="I957" i="1"/>
  <c r="J957" i="1"/>
  <c r="K957" i="1"/>
  <c r="H958" i="1"/>
  <c r="I958" i="1"/>
  <c r="J958" i="1"/>
  <c r="K958" i="1"/>
  <c r="H959" i="1"/>
  <c r="I959" i="1"/>
  <c r="J959" i="1"/>
  <c r="K959" i="1"/>
  <c r="H960" i="1"/>
  <c r="I960" i="1"/>
  <c r="J960" i="1"/>
  <c r="K960" i="1"/>
  <c r="H961" i="1"/>
  <c r="I961" i="1"/>
  <c r="J961" i="1"/>
  <c r="K961" i="1"/>
  <c r="H962" i="1"/>
  <c r="I962" i="1"/>
  <c r="J962" i="1"/>
  <c r="K962" i="1"/>
  <c r="H963" i="1"/>
  <c r="I963" i="1"/>
  <c r="J963" i="1"/>
  <c r="K963" i="1"/>
  <c r="H964" i="1"/>
  <c r="I964" i="1"/>
  <c r="J964" i="1"/>
  <c r="K964" i="1"/>
  <c r="H965" i="1"/>
  <c r="I965" i="1"/>
  <c r="J965" i="1"/>
  <c r="K965" i="1"/>
  <c r="H966" i="1"/>
  <c r="I966" i="1"/>
  <c r="J966" i="1"/>
  <c r="K966" i="1"/>
  <c r="H967" i="1"/>
  <c r="I967" i="1"/>
  <c r="J967" i="1"/>
  <c r="K967" i="1"/>
  <c r="H968" i="1"/>
  <c r="I968" i="1"/>
  <c r="J968" i="1"/>
  <c r="K968" i="1"/>
  <c r="H969" i="1"/>
  <c r="I969" i="1"/>
  <c r="J969" i="1"/>
  <c r="K969" i="1"/>
  <c r="H970" i="1"/>
  <c r="I970" i="1"/>
  <c r="J970" i="1"/>
  <c r="K970" i="1"/>
  <c r="H971" i="1"/>
  <c r="I971" i="1"/>
  <c r="J971" i="1"/>
  <c r="K971" i="1"/>
  <c r="H972" i="1"/>
  <c r="I972" i="1"/>
  <c r="J972" i="1"/>
  <c r="K972" i="1"/>
  <c r="H973" i="1"/>
  <c r="I973" i="1"/>
  <c r="J973" i="1"/>
  <c r="K973" i="1"/>
  <c r="H974" i="1"/>
  <c r="I974" i="1"/>
  <c r="J974" i="1"/>
  <c r="K974" i="1"/>
  <c r="H975" i="1"/>
  <c r="I975" i="1"/>
  <c r="J975" i="1"/>
  <c r="K975" i="1"/>
  <c r="H976" i="1"/>
  <c r="I976" i="1"/>
  <c r="J976" i="1"/>
  <c r="K976" i="1"/>
  <c r="H977" i="1"/>
  <c r="I977" i="1"/>
  <c r="J977" i="1"/>
  <c r="K977" i="1"/>
  <c r="H978" i="1"/>
  <c r="I978" i="1"/>
  <c r="J978" i="1"/>
  <c r="K978" i="1"/>
  <c r="H979" i="1"/>
  <c r="I979" i="1"/>
  <c r="J979" i="1"/>
  <c r="K979" i="1"/>
  <c r="H980" i="1"/>
  <c r="I980" i="1"/>
  <c r="J980" i="1"/>
  <c r="K980" i="1"/>
  <c r="H981" i="1"/>
  <c r="I981" i="1"/>
  <c r="J981" i="1"/>
  <c r="K981" i="1"/>
  <c r="H982" i="1"/>
  <c r="I982" i="1"/>
  <c r="J982" i="1"/>
  <c r="K982" i="1"/>
  <c r="H983" i="1"/>
  <c r="I983" i="1"/>
  <c r="J983" i="1"/>
  <c r="K983" i="1"/>
  <c r="H984" i="1"/>
  <c r="I984" i="1"/>
  <c r="J984" i="1"/>
  <c r="K984" i="1"/>
  <c r="H985" i="1"/>
  <c r="I985" i="1"/>
  <c r="J985" i="1"/>
  <c r="K985" i="1"/>
  <c r="H986" i="1"/>
  <c r="I986" i="1"/>
  <c r="J986" i="1"/>
  <c r="K986" i="1"/>
  <c r="H987" i="1"/>
  <c r="I987" i="1"/>
  <c r="J987" i="1"/>
  <c r="K987" i="1"/>
  <c r="H988" i="1"/>
  <c r="I988" i="1"/>
  <c r="J988" i="1"/>
  <c r="K988" i="1"/>
  <c r="H989" i="1"/>
  <c r="I989" i="1"/>
  <c r="J989" i="1"/>
  <c r="K989" i="1"/>
  <c r="H990" i="1"/>
  <c r="I990" i="1"/>
  <c r="J990" i="1"/>
  <c r="K990" i="1"/>
  <c r="H991" i="1"/>
  <c r="I991" i="1"/>
  <c r="J991" i="1"/>
  <c r="K991" i="1"/>
  <c r="H992" i="1"/>
  <c r="I992" i="1"/>
  <c r="J992" i="1"/>
  <c r="K992" i="1"/>
  <c r="H993" i="1"/>
  <c r="I993" i="1"/>
  <c r="J993" i="1"/>
  <c r="K993" i="1"/>
  <c r="H994" i="1"/>
  <c r="I994" i="1"/>
  <c r="J994" i="1"/>
  <c r="K994" i="1"/>
  <c r="H995" i="1"/>
  <c r="I995" i="1"/>
  <c r="J995" i="1"/>
  <c r="K995" i="1"/>
  <c r="H996" i="1"/>
  <c r="I996" i="1"/>
  <c r="J996" i="1"/>
  <c r="K996" i="1"/>
  <c r="H997" i="1"/>
  <c r="I997" i="1"/>
  <c r="J997" i="1"/>
  <c r="K997" i="1"/>
  <c r="H998" i="1"/>
  <c r="I998" i="1"/>
  <c r="J998" i="1"/>
  <c r="K998" i="1"/>
  <c r="H999" i="1"/>
  <c r="I999" i="1"/>
  <c r="J999" i="1"/>
  <c r="K999" i="1"/>
  <c r="J560" i="6"/>
  <c r="AK560" i="6" s="1"/>
  <c r="K560" i="6"/>
  <c r="AL560" i="6" s="1"/>
  <c r="L560" i="6"/>
  <c r="AM560" i="6" s="1"/>
  <c r="M560" i="6"/>
  <c r="N560" i="6"/>
  <c r="O560" i="6"/>
  <c r="P560" i="6"/>
  <c r="Q560" i="6"/>
  <c r="R560" i="6"/>
  <c r="S560" i="6"/>
  <c r="T560" i="6"/>
  <c r="U560" i="6"/>
  <c r="J561" i="6"/>
  <c r="AK561" i="6" s="1"/>
  <c r="K561" i="6"/>
  <c r="AL561" i="6" s="1"/>
  <c r="L561" i="6"/>
  <c r="AM561" i="6" s="1"/>
  <c r="M561" i="6"/>
  <c r="N561" i="6"/>
  <c r="O561" i="6"/>
  <c r="P561" i="6"/>
  <c r="Q561" i="6"/>
  <c r="R561" i="6"/>
  <c r="S561" i="6"/>
  <c r="T561" i="6"/>
  <c r="U561" i="6"/>
  <c r="J562" i="6"/>
  <c r="AK562" i="6" s="1"/>
  <c r="K562" i="6"/>
  <c r="AL562" i="6" s="1"/>
  <c r="L562" i="6"/>
  <c r="AM562" i="6" s="1"/>
  <c r="M562" i="6"/>
  <c r="N562" i="6"/>
  <c r="O562" i="6"/>
  <c r="P562" i="6"/>
  <c r="Q562" i="6"/>
  <c r="R562" i="6"/>
  <c r="S562" i="6"/>
  <c r="T562" i="6"/>
  <c r="U562" i="6"/>
  <c r="J563" i="6"/>
  <c r="AK563" i="6" s="1"/>
  <c r="K563" i="6"/>
  <c r="AL563" i="6" s="1"/>
  <c r="L563" i="6"/>
  <c r="AM563" i="6" s="1"/>
  <c r="M563" i="6"/>
  <c r="N563" i="6"/>
  <c r="O563" i="6"/>
  <c r="P563" i="6"/>
  <c r="Q563" i="6"/>
  <c r="R563" i="6"/>
  <c r="S563" i="6"/>
  <c r="T563" i="6"/>
  <c r="U563" i="6"/>
  <c r="J564" i="6"/>
  <c r="AK564" i="6" s="1"/>
  <c r="K564" i="6"/>
  <c r="AL564" i="6" s="1"/>
  <c r="L564" i="6"/>
  <c r="AM564" i="6" s="1"/>
  <c r="M564" i="6"/>
  <c r="N564" i="6"/>
  <c r="O564" i="6"/>
  <c r="P564" i="6"/>
  <c r="Q564" i="6"/>
  <c r="R564" i="6"/>
  <c r="S564" i="6"/>
  <c r="T564" i="6"/>
  <c r="U564" i="6"/>
  <c r="J565" i="6"/>
  <c r="AK565" i="6" s="1"/>
  <c r="K565" i="6"/>
  <c r="AL565" i="6" s="1"/>
  <c r="L565" i="6"/>
  <c r="AM565" i="6" s="1"/>
  <c r="M565" i="6"/>
  <c r="N565" i="6"/>
  <c r="O565" i="6"/>
  <c r="P565" i="6"/>
  <c r="Q565" i="6"/>
  <c r="R565" i="6"/>
  <c r="S565" i="6"/>
  <c r="T565" i="6"/>
  <c r="U565" i="6"/>
  <c r="J566" i="6"/>
  <c r="AK566" i="6" s="1"/>
  <c r="K566" i="6"/>
  <c r="AL566" i="6" s="1"/>
  <c r="L566" i="6"/>
  <c r="AM566" i="6" s="1"/>
  <c r="M566" i="6"/>
  <c r="N566" i="6"/>
  <c r="O566" i="6"/>
  <c r="P566" i="6"/>
  <c r="Q566" i="6"/>
  <c r="R566" i="6"/>
  <c r="S566" i="6"/>
  <c r="T566" i="6"/>
  <c r="U566" i="6"/>
  <c r="J567" i="6"/>
  <c r="AK567" i="6" s="1"/>
  <c r="K567" i="6"/>
  <c r="AL567" i="6" s="1"/>
  <c r="L567" i="6"/>
  <c r="AM567" i="6" s="1"/>
  <c r="M567" i="6"/>
  <c r="N567" i="6"/>
  <c r="O567" i="6"/>
  <c r="P567" i="6"/>
  <c r="Q567" i="6"/>
  <c r="R567" i="6"/>
  <c r="S567" i="6"/>
  <c r="T567" i="6"/>
  <c r="U567" i="6"/>
  <c r="J568" i="6"/>
  <c r="AK568" i="6" s="1"/>
  <c r="K568" i="6"/>
  <c r="AL568" i="6" s="1"/>
  <c r="L568" i="6"/>
  <c r="AM568" i="6" s="1"/>
  <c r="M568" i="6"/>
  <c r="N568" i="6"/>
  <c r="O568" i="6"/>
  <c r="P568" i="6"/>
  <c r="Q568" i="6"/>
  <c r="R568" i="6"/>
  <c r="S568" i="6"/>
  <c r="T568" i="6"/>
  <c r="U568" i="6"/>
  <c r="J569" i="6"/>
  <c r="AK569" i="6" s="1"/>
  <c r="K569" i="6"/>
  <c r="AL569" i="6" s="1"/>
  <c r="L569" i="6"/>
  <c r="AM569" i="6" s="1"/>
  <c r="M569" i="6"/>
  <c r="N569" i="6"/>
  <c r="O569" i="6"/>
  <c r="P569" i="6"/>
  <c r="Q569" i="6"/>
  <c r="R569" i="6"/>
  <c r="S569" i="6"/>
  <c r="T569" i="6"/>
  <c r="U569" i="6"/>
  <c r="J570" i="6"/>
  <c r="AK570" i="6" s="1"/>
  <c r="K570" i="6"/>
  <c r="AL570" i="6" s="1"/>
  <c r="L570" i="6"/>
  <c r="AM570" i="6" s="1"/>
  <c r="M570" i="6"/>
  <c r="N570" i="6"/>
  <c r="O570" i="6"/>
  <c r="P570" i="6"/>
  <c r="Q570" i="6"/>
  <c r="R570" i="6"/>
  <c r="S570" i="6"/>
  <c r="T570" i="6"/>
  <c r="U570" i="6"/>
  <c r="J571" i="6"/>
  <c r="AK571" i="6" s="1"/>
  <c r="K571" i="6"/>
  <c r="AL571" i="6" s="1"/>
  <c r="L571" i="6"/>
  <c r="AM571" i="6" s="1"/>
  <c r="M571" i="6"/>
  <c r="N571" i="6"/>
  <c r="O571" i="6"/>
  <c r="P571" i="6"/>
  <c r="Q571" i="6"/>
  <c r="R571" i="6"/>
  <c r="S571" i="6"/>
  <c r="T571" i="6"/>
  <c r="U571" i="6"/>
  <c r="J572" i="6"/>
  <c r="AK572" i="6" s="1"/>
  <c r="K572" i="6"/>
  <c r="AL572" i="6" s="1"/>
  <c r="L572" i="6"/>
  <c r="AM572" i="6" s="1"/>
  <c r="M572" i="6"/>
  <c r="N572" i="6"/>
  <c r="O572" i="6"/>
  <c r="P572" i="6"/>
  <c r="Q572" i="6"/>
  <c r="R572" i="6"/>
  <c r="S572" i="6"/>
  <c r="T572" i="6"/>
  <c r="U572" i="6"/>
  <c r="J573" i="6"/>
  <c r="AK573" i="6" s="1"/>
  <c r="K573" i="6"/>
  <c r="AL573" i="6" s="1"/>
  <c r="L573" i="6"/>
  <c r="AM573" i="6" s="1"/>
  <c r="M573" i="6"/>
  <c r="N573" i="6"/>
  <c r="O573" i="6"/>
  <c r="P573" i="6"/>
  <c r="Q573" i="6"/>
  <c r="R573" i="6"/>
  <c r="S573" i="6"/>
  <c r="T573" i="6"/>
  <c r="U573" i="6"/>
  <c r="J574" i="6"/>
  <c r="AK574" i="6" s="1"/>
  <c r="K574" i="6"/>
  <c r="AL574" i="6" s="1"/>
  <c r="L574" i="6"/>
  <c r="AM574" i="6" s="1"/>
  <c r="M574" i="6"/>
  <c r="N574" i="6"/>
  <c r="O574" i="6"/>
  <c r="P574" i="6"/>
  <c r="Q574" i="6"/>
  <c r="R574" i="6"/>
  <c r="S574" i="6"/>
  <c r="T574" i="6"/>
  <c r="U574" i="6"/>
  <c r="J575" i="6"/>
  <c r="AK575" i="6" s="1"/>
  <c r="K575" i="6"/>
  <c r="AL575" i="6" s="1"/>
  <c r="L575" i="6"/>
  <c r="AM575" i="6" s="1"/>
  <c r="M575" i="6"/>
  <c r="N575" i="6"/>
  <c r="O575" i="6"/>
  <c r="P575" i="6"/>
  <c r="Q575" i="6"/>
  <c r="R575" i="6"/>
  <c r="S575" i="6"/>
  <c r="T575" i="6"/>
  <c r="U575" i="6"/>
  <c r="J576" i="6"/>
  <c r="AK576" i="6" s="1"/>
  <c r="K576" i="6"/>
  <c r="AL576" i="6" s="1"/>
  <c r="L576" i="6"/>
  <c r="AM576" i="6" s="1"/>
  <c r="M576" i="6"/>
  <c r="N576" i="6"/>
  <c r="O576" i="6"/>
  <c r="P576" i="6"/>
  <c r="Q576" i="6"/>
  <c r="R576" i="6"/>
  <c r="S576" i="6"/>
  <c r="T576" i="6"/>
  <c r="U576" i="6"/>
  <c r="J577" i="6"/>
  <c r="AK577" i="6" s="1"/>
  <c r="K577" i="6"/>
  <c r="AL577" i="6" s="1"/>
  <c r="L577" i="6"/>
  <c r="AM577" i="6" s="1"/>
  <c r="M577" i="6"/>
  <c r="N577" i="6"/>
  <c r="O577" i="6"/>
  <c r="P577" i="6"/>
  <c r="Q577" i="6"/>
  <c r="R577" i="6"/>
  <c r="S577" i="6"/>
  <c r="T577" i="6"/>
  <c r="U577" i="6"/>
  <c r="J578" i="6"/>
  <c r="AK578" i="6" s="1"/>
  <c r="K578" i="6"/>
  <c r="AL578" i="6" s="1"/>
  <c r="L578" i="6"/>
  <c r="AM578" i="6" s="1"/>
  <c r="M578" i="6"/>
  <c r="N578" i="6"/>
  <c r="O578" i="6"/>
  <c r="P578" i="6"/>
  <c r="Q578" i="6"/>
  <c r="R578" i="6"/>
  <c r="S578" i="6"/>
  <c r="T578" i="6"/>
  <c r="U578" i="6"/>
  <c r="J579" i="6"/>
  <c r="AK579" i="6" s="1"/>
  <c r="K579" i="6"/>
  <c r="AL579" i="6" s="1"/>
  <c r="L579" i="6"/>
  <c r="AM579" i="6" s="1"/>
  <c r="M579" i="6"/>
  <c r="N579" i="6"/>
  <c r="O579" i="6"/>
  <c r="P579" i="6"/>
  <c r="Q579" i="6"/>
  <c r="R579" i="6"/>
  <c r="S579" i="6"/>
  <c r="T579" i="6"/>
  <c r="U579" i="6"/>
  <c r="J580" i="6"/>
  <c r="AK580" i="6" s="1"/>
  <c r="K580" i="6"/>
  <c r="AL580" i="6" s="1"/>
  <c r="L580" i="6"/>
  <c r="AM580" i="6" s="1"/>
  <c r="M580" i="6"/>
  <c r="N580" i="6"/>
  <c r="O580" i="6"/>
  <c r="P580" i="6"/>
  <c r="Q580" i="6"/>
  <c r="R580" i="6"/>
  <c r="S580" i="6"/>
  <c r="T580" i="6"/>
  <c r="U580" i="6"/>
  <c r="J581" i="6"/>
  <c r="AK581" i="6" s="1"/>
  <c r="K581" i="6"/>
  <c r="AL581" i="6" s="1"/>
  <c r="L581" i="6"/>
  <c r="AM581" i="6" s="1"/>
  <c r="M581" i="6"/>
  <c r="N581" i="6"/>
  <c r="O581" i="6"/>
  <c r="P581" i="6"/>
  <c r="Q581" i="6"/>
  <c r="R581" i="6"/>
  <c r="S581" i="6"/>
  <c r="T581" i="6"/>
  <c r="U581" i="6"/>
  <c r="J582" i="6"/>
  <c r="AK582" i="6" s="1"/>
  <c r="K582" i="6"/>
  <c r="AL582" i="6" s="1"/>
  <c r="L582" i="6"/>
  <c r="AM582" i="6" s="1"/>
  <c r="M582" i="6"/>
  <c r="N582" i="6"/>
  <c r="O582" i="6"/>
  <c r="P582" i="6"/>
  <c r="Q582" i="6"/>
  <c r="R582" i="6"/>
  <c r="S582" i="6"/>
  <c r="T582" i="6"/>
  <c r="U582" i="6"/>
  <c r="J583" i="6"/>
  <c r="AK583" i="6" s="1"/>
  <c r="K583" i="6"/>
  <c r="AL583" i="6" s="1"/>
  <c r="L583" i="6"/>
  <c r="AM583" i="6" s="1"/>
  <c r="M583" i="6"/>
  <c r="N583" i="6"/>
  <c r="O583" i="6"/>
  <c r="P583" i="6"/>
  <c r="Q583" i="6"/>
  <c r="R583" i="6"/>
  <c r="S583" i="6"/>
  <c r="T583" i="6"/>
  <c r="U583" i="6"/>
  <c r="J584" i="6"/>
  <c r="AK584" i="6" s="1"/>
  <c r="K584" i="6"/>
  <c r="AL584" i="6" s="1"/>
  <c r="L584" i="6"/>
  <c r="AM584" i="6" s="1"/>
  <c r="M584" i="6"/>
  <c r="N584" i="6"/>
  <c r="O584" i="6"/>
  <c r="P584" i="6"/>
  <c r="Q584" i="6"/>
  <c r="R584" i="6"/>
  <c r="S584" i="6"/>
  <c r="T584" i="6"/>
  <c r="U584" i="6"/>
  <c r="J585" i="6"/>
  <c r="AK585" i="6" s="1"/>
  <c r="K585" i="6"/>
  <c r="L585" i="6"/>
  <c r="AM585" i="6" s="1"/>
  <c r="M585" i="6"/>
  <c r="N585" i="6"/>
  <c r="O585" i="6"/>
  <c r="P585" i="6"/>
  <c r="Q585" i="6"/>
  <c r="R585" i="6"/>
  <c r="S585" i="6"/>
  <c r="T585" i="6"/>
  <c r="U585" i="6"/>
  <c r="J586" i="6"/>
  <c r="AK586" i="6" s="1"/>
  <c r="K586" i="6"/>
  <c r="AL586" i="6" s="1"/>
  <c r="L586" i="6"/>
  <c r="AM586" i="6" s="1"/>
  <c r="M586" i="6"/>
  <c r="N586" i="6"/>
  <c r="O586" i="6"/>
  <c r="P586" i="6"/>
  <c r="Q586" i="6"/>
  <c r="R586" i="6"/>
  <c r="S586" i="6"/>
  <c r="T586" i="6"/>
  <c r="U586" i="6"/>
  <c r="J587" i="6"/>
  <c r="AK587" i="6" s="1"/>
  <c r="K587" i="6"/>
  <c r="AL587" i="6" s="1"/>
  <c r="L587" i="6"/>
  <c r="AM587" i="6" s="1"/>
  <c r="M587" i="6"/>
  <c r="N587" i="6"/>
  <c r="O587" i="6"/>
  <c r="P587" i="6"/>
  <c r="Q587" i="6"/>
  <c r="R587" i="6"/>
  <c r="S587" i="6"/>
  <c r="T587" i="6"/>
  <c r="U587" i="6"/>
  <c r="J588" i="6"/>
  <c r="AK588" i="6" s="1"/>
  <c r="K588" i="6"/>
  <c r="AL588" i="6" s="1"/>
  <c r="L588" i="6"/>
  <c r="AM588" i="6" s="1"/>
  <c r="M588" i="6"/>
  <c r="N588" i="6"/>
  <c r="O588" i="6"/>
  <c r="P588" i="6"/>
  <c r="Q588" i="6"/>
  <c r="R588" i="6"/>
  <c r="S588" i="6"/>
  <c r="T588" i="6"/>
  <c r="U588" i="6"/>
  <c r="J589" i="6"/>
  <c r="AK589" i="6" s="1"/>
  <c r="K589" i="6"/>
  <c r="AL589" i="6" s="1"/>
  <c r="L589" i="6"/>
  <c r="AM589" i="6" s="1"/>
  <c r="M589" i="6"/>
  <c r="N589" i="6"/>
  <c r="O589" i="6"/>
  <c r="P589" i="6"/>
  <c r="Q589" i="6"/>
  <c r="R589" i="6"/>
  <c r="S589" i="6"/>
  <c r="T589" i="6"/>
  <c r="U589" i="6"/>
  <c r="J590" i="6"/>
  <c r="AK590" i="6" s="1"/>
  <c r="K590" i="6"/>
  <c r="L590" i="6"/>
  <c r="AM590" i="6" s="1"/>
  <c r="M590" i="6"/>
  <c r="N590" i="6"/>
  <c r="O590" i="6"/>
  <c r="P590" i="6"/>
  <c r="Q590" i="6"/>
  <c r="R590" i="6"/>
  <c r="S590" i="6"/>
  <c r="T590" i="6"/>
  <c r="U590" i="6"/>
  <c r="J591" i="6"/>
  <c r="AK591" i="6" s="1"/>
  <c r="K591" i="6"/>
  <c r="AL591" i="6" s="1"/>
  <c r="L591" i="6"/>
  <c r="AM591" i="6" s="1"/>
  <c r="M591" i="6"/>
  <c r="N591" i="6"/>
  <c r="O591" i="6"/>
  <c r="P591" i="6"/>
  <c r="Q591" i="6"/>
  <c r="R591" i="6"/>
  <c r="S591" i="6"/>
  <c r="T591" i="6"/>
  <c r="U591" i="6"/>
  <c r="J592" i="6"/>
  <c r="AK592" i="6" s="1"/>
  <c r="K592" i="6"/>
  <c r="AL592" i="6" s="1"/>
  <c r="L592" i="6"/>
  <c r="AM592" i="6" s="1"/>
  <c r="M592" i="6"/>
  <c r="N592" i="6"/>
  <c r="O592" i="6"/>
  <c r="P592" i="6"/>
  <c r="Q592" i="6"/>
  <c r="R592" i="6"/>
  <c r="S592" i="6"/>
  <c r="T592" i="6"/>
  <c r="U592" i="6"/>
  <c r="J593" i="6"/>
  <c r="AK593" i="6" s="1"/>
  <c r="K593" i="6"/>
  <c r="L593" i="6"/>
  <c r="AM593" i="6" s="1"/>
  <c r="M593" i="6"/>
  <c r="N593" i="6"/>
  <c r="O593" i="6"/>
  <c r="P593" i="6"/>
  <c r="Q593" i="6"/>
  <c r="R593" i="6"/>
  <c r="S593" i="6"/>
  <c r="T593" i="6"/>
  <c r="U593" i="6"/>
  <c r="J594" i="6"/>
  <c r="AK594" i="6" s="1"/>
  <c r="K594" i="6"/>
  <c r="AL594" i="6" s="1"/>
  <c r="L594" i="6"/>
  <c r="AM594" i="6" s="1"/>
  <c r="M594" i="6"/>
  <c r="N594" i="6"/>
  <c r="O594" i="6"/>
  <c r="P594" i="6"/>
  <c r="Q594" i="6"/>
  <c r="R594" i="6"/>
  <c r="S594" i="6"/>
  <c r="T594" i="6"/>
  <c r="U594" i="6"/>
  <c r="J595" i="6"/>
  <c r="AK595" i="6" s="1"/>
  <c r="K595" i="6"/>
  <c r="AL595" i="6" s="1"/>
  <c r="L595" i="6"/>
  <c r="AM595" i="6" s="1"/>
  <c r="M595" i="6"/>
  <c r="N595" i="6"/>
  <c r="O595" i="6"/>
  <c r="P595" i="6"/>
  <c r="Q595" i="6"/>
  <c r="R595" i="6"/>
  <c r="S595" i="6"/>
  <c r="T595" i="6"/>
  <c r="U595" i="6"/>
  <c r="J596" i="6"/>
  <c r="AK596" i="6" s="1"/>
  <c r="K596" i="6"/>
  <c r="AL596" i="6" s="1"/>
  <c r="L596" i="6"/>
  <c r="AM596" i="6" s="1"/>
  <c r="M596" i="6"/>
  <c r="N596" i="6"/>
  <c r="O596" i="6"/>
  <c r="P596" i="6"/>
  <c r="Q596" i="6"/>
  <c r="R596" i="6"/>
  <c r="S596" i="6"/>
  <c r="T596" i="6"/>
  <c r="U596" i="6"/>
  <c r="J597" i="6"/>
  <c r="AK597" i="6" s="1"/>
  <c r="K597" i="6"/>
  <c r="AL597" i="6" s="1"/>
  <c r="L597" i="6"/>
  <c r="AM597" i="6" s="1"/>
  <c r="M597" i="6"/>
  <c r="N597" i="6"/>
  <c r="O597" i="6"/>
  <c r="P597" i="6"/>
  <c r="Q597" i="6"/>
  <c r="R597" i="6"/>
  <c r="S597" i="6"/>
  <c r="T597" i="6"/>
  <c r="U597" i="6"/>
  <c r="J598" i="6"/>
  <c r="AK598" i="6" s="1"/>
  <c r="K598" i="6"/>
  <c r="L598" i="6"/>
  <c r="AM598" i="6" s="1"/>
  <c r="M598" i="6"/>
  <c r="N598" i="6"/>
  <c r="O598" i="6"/>
  <c r="P598" i="6"/>
  <c r="Q598" i="6"/>
  <c r="R598" i="6"/>
  <c r="S598" i="6"/>
  <c r="T598" i="6"/>
  <c r="U598" i="6"/>
  <c r="J599" i="6"/>
  <c r="AK599" i="6" s="1"/>
  <c r="K599" i="6"/>
  <c r="AL599" i="6" s="1"/>
  <c r="L599" i="6"/>
  <c r="AM599" i="6" s="1"/>
  <c r="M599" i="6"/>
  <c r="N599" i="6"/>
  <c r="O599" i="6"/>
  <c r="P599" i="6"/>
  <c r="Q599" i="6"/>
  <c r="R599" i="6"/>
  <c r="S599" i="6"/>
  <c r="T599" i="6"/>
  <c r="U599" i="6"/>
  <c r="J600" i="6"/>
  <c r="AK600" i="6" s="1"/>
  <c r="K600" i="6"/>
  <c r="AL600" i="6" s="1"/>
  <c r="L600" i="6"/>
  <c r="AM600" i="6" s="1"/>
  <c r="M600" i="6"/>
  <c r="N600" i="6"/>
  <c r="O600" i="6"/>
  <c r="P600" i="6"/>
  <c r="Q600" i="6"/>
  <c r="R600" i="6"/>
  <c r="S600" i="6"/>
  <c r="T600" i="6"/>
  <c r="U600" i="6"/>
  <c r="J601" i="6"/>
  <c r="AK601" i="6" s="1"/>
  <c r="K601" i="6"/>
  <c r="L601" i="6"/>
  <c r="AM601" i="6" s="1"/>
  <c r="M601" i="6"/>
  <c r="N601" i="6"/>
  <c r="O601" i="6"/>
  <c r="P601" i="6"/>
  <c r="Q601" i="6"/>
  <c r="R601" i="6"/>
  <c r="S601" i="6"/>
  <c r="T601" i="6"/>
  <c r="U601" i="6"/>
  <c r="J602" i="6"/>
  <c r="AK602" i="6" s="1"/>
  <c r="K602" i="6"/>
  <c r="AL602" i="6" s="1"/>
  <c r="L602" i="6"/>
  <c r="AM602" i="6" s="1"/>
  <c r="M602" i="6"/>
  <c r="N602" i="6"/>
  <c r="O602" i="6"/>
  <c r="P602" i="6"/>
  <c r="Q602" i="6"/>
  <c r="R602" i="6"/>
  <c r="S602" i="6"/>
  <c r="T602" i="6"/>
  <c r="U602" i="6"/>
  <c r="J603" i="6"/>
  <c r="AK603" i="6" s="1"/>
  <c r="K603" i="6"/>
  <c r="AL603" i="6" s="1"/>
  <c r="L603" i="6"/>
  <c r="AM603" i="6" s="1"/>
  <c r="M603" i="6"/>
  <c r="N603" i="6"/>
  <c r="O603" i="6"/>
  <c r="P603" i="6"/>
  <c r="Q603" i="6"/>
  <c r="R603" i="6"/>
  <c r="S603" i="6"/>
  <c r="T603" i="6"/>
  <c r="U603" i="6"/>
  <c r="J604" i="6"/>
  <c r="AK604" i="6" s="1"/>
  <c r="K604" i="6"/>
  <c r="AL604" i="6" s="1"/>
  <c r="L604" i="6"/>
  <c r="AM604" i="6" s="1"/>
  <c r="M604" i="6"/>
  <c r="N604" i="6"/>
  <c r="O604" i="6"/>
  <c r="P604" i="6"/>
  <c r="Q604" i="6"/>
  <c r="R604" i="6"/>
  <c r="S604" i="6"/>
  <c r="T604" i="6"/>
  <c r="U604" i="6"/>
  <c r="J605" i="6"/>
  <c r="AK605" i="6" s="1"/>
  <c r="K605" i="6"/>
  <c r="AL605" i="6" s="1"/>
  <c r="L605" i="6"/>
  <c r="AM605" i="6" s="1"/>
  <c r="M605" i="6"/>
  <c r="N605" i="6"/>
  <c r="O605" i="6"/>
  <c r="P605" i="6"/>
  <c r="Q605" i="6"/>
  <c r="R605" i="6"/>
  <c r="S605" i="6"/>
  <c r="T605" i="6"/>
  <c r="U605" i="6"/>
  <c r="J606" i="6"/>
  <c r="AK606" i="6" s="1"/>
  <c r="K606" i="6"/>
  <c r="L606" i="6"/>
  <c r="AM606" i="6" s="1"/>
  <c r="M606" i="6"/>
  <c r="N606" i="6"/>
  <c r="O606" i="6"/>
  <c r="P606" i="6"/>
  <c r="Q606" i="6"/>
  <c r="R606" i="6"/>
  <c r="S606" i="6"/>
  <c r="T606" i="6"/>
  <c r="U606" i="6"/>
  <c r="J607" i="6"/>
  <c r="AK607" i="6" s="1"/>
  <c r="K607" i="6"/>
  <c r="AL607" i="6" s="1"/>
  <c r="L607" i="6"/>
  <c r="AM607" i="6" s="1"/>
  <c r="M607" i="6"/>
  <c r="N607" i="6"/>
  <c r="O607" i="6"/>
  <c r="P607" i="6"/>
  <c r="Q607" i="6"/>
  <c r="R607" i="6"/>
  <c r="S607" i="6"/>
  <c r="T607" i="6"/>
  <c r="U607" i="6"/>
  <c r="J608" i="6"/>
  <c r="AK608" i="6" s="1"/>
  <c r="K608" i="6"/>
  <c r="AL608" i="6" s="1"/>
  <c r="AM608" i="1" s="1"/>
  <c r="L608" i="6"/>
  <c r="AM608" i="6" s="1"/>
  <c r="AN608" i="1" s="1"/>
  <c r="M608" i="6"/>
  <c r="N608" i="6"/>
  <c r="O608" i="6"/>
  <c r="P608" i="6"/>
  <c r="Q608" i="6"/>
  <c r="R608" i="6"/>
  <c r="S608" i="6"/>
  <c r="T608" i="6"/>
  <c r="U608" i="6"/>
  <c r="J609" i="6"/>
  <c r="AK609" i="6" s="1"/>
  <c r="K609" i="6"/>
  <c r="L609" i="6"/>
  <c r="AM609" i="6" s="1"/>
  <c r="AN609" i="1" s="1"/>
  <c r="M609" i="6"/>
  <c r="N609" i="6"/>
  <c r="O609" i="6"/>
  <c r="P609" i="6"/>
  <c r="Q609" i="6"/>
  <c r="R609" i="6"/>
  <c r="S609" i="6"/>
  <c r="T609" i="6"/>
  <c r="U609" i="6"/>
  <c r="J610" i="6"/>
  <c r="AK610" i="6" s="1"/>
  <c r="K610" i="6"/>
  <c r="AL610" i="6" s="1"/>
  <c r="L610" i="6"/>
  <c r="AM610" i="6" s="1"/>
  <c r="M610" i="6"/>
  <c r="N610" i="6"/>
  <c r="O610" i="6"/>
  <c r="P610" i="6"/>
  <c r="Q610" i="6"/>
  <c r="R610" i="6"/>
  <c r="S610" i="6"/>
  <c r="AL610" i="1" s="1"/>
  <c r="T610" i="6"/>
  <c r="AM610" i="1" s="1"/>
  <c r="U610" i="6"/>
  <c r="AN610" i="1" s="1"/>
  <c r="J611" i="6"/>
  <c r="AK611" i="6" s="1"/>
  <c r="K611" i="6"/>
  <c r="AL611" i="6" s="1"/>
  <c r="L611" i="6"/>
  <c r="AM611" i="6" s="1"/>
  <c r="M611" i="6"/>
  <c r="N611" i="6"/>
  <c r="O611" i="6"/>
  <c r="P611" i="6"/>
  <c r="Q611" i="6"/>
  <c r="R611" i="6"/>
  <c r="S611" i="6"/>
  <c r="AL611" i="1" s="1"/>
  <c r="T611" i="6"/>
  <c r="AM611" i="1" s="1"/>
  <c r="U611" i="6"/>
  <c r="AN611" i="1" s="1"/>
  <c r="J612" i="6"/>
  <c r="AK612" i="6" s="1"/>
  <c r="K612" i="6"/>
  <c r="AL612" i="6" s="1"/>
  <c r="L612" i="6"/>
  <c r="AM612" i="6" s="1"/>
  <c r="M612" i="6"/>
  <c r="N612" i="6"/>
  <c r="O612" i="6"/>
  <c r="P612" i="6"/>
  <c r="Q612" i="6"/>
  <c r="R612" i="6"/>
  <c r="S612" i="6"/>
  <c r="AL612" i="1" s="1"/>
  <c r="T612" i="6"/>
  <c r="AM612" i="1" s="1"/>
  <c r="U612" i="6"/>
  <c r="AN612" i="1" s="1"/>
  <c r="J613" i="6"/>
  <c r="AK613" i="6" s="1"/>
  <c r="K613" i="6"/>
  <c r="AL613" i="6" s="1"/>
  <c r="L613" i="6"/>
  <c r="AM613" i="6" s="1"/>
  <c r="M613" i="6"/>
  <c r="N613" i="6"/>
  <c r="O613" i="6"/>
  <c r="P613" i="6"/>
  <c r="Q613" i="6"/>
  <c r="R613" i="6"/>
  <c r="S613" i="6"/>
  <c r="AL613" i="1" s="1"/>
  <c r="T613" i="6"/>
  <c r="AM613" i="1" s="1"/>
  <c r="U613" i="6"/>
  <c r="AN613" i="1" s="1"/>
  <c r="J614" i="6"/>
  <c r="AK614" i="6" s="1"/>
  <c r="K614" i="6"/>
  <c r="L614" i="6"/>
  <c r="AM614" i="6" s="1"/>
  <c r="M614" i="6"/>
  <c r="N614" i="6"/>
  <c r="O614" i="6"/>
  <c r="P614" i="6"/>
  <c r="Q614" i="6"/>
  <c r="R614" i="6"/>
  <c r="S614" i="6"/>
  <c r="T614" i="6"/>
  <c r="U614" i="6"/>
  <c r="J615" i="6"/>
  <c r="AK615" i="6" s="1"/>
  <c r="K615" i="6"/>
  <c r="AL615" i="6" s="1"/>
  <c r="L615" i="6"/>
  <c r="AM615" i="6" s="1"/>
  <c r="M615" i="6"/>
  <c r="N615" i="6"/>
  <c r="O615" i="6"/>
  <c r="P615" i="6"/>
  <c r="Q615" i="6"/>
  <c r="R615" i="6"/>
  <c r="S615" i="6"/>
  <c r="T615" i="6"/>
  <c r="U615" i="6"/>
  <c r="J616" i="6"/>
  <c r="AK616" i="6" s="1"/>
  <c r="K616" i="6"/>
  <c r="AL616" i="6" s="1"/>
  <c r="L616" i="6"/>
  <c r="AM616" i="6" s="1"/>
  <c r="M616" i="6"/>
  <c r="N616" i="6"/>
  <c r="O616" i="6"/>
  <c r="P616" i="6"/>
  <c r="Q616" i="6"/>
  <c r="R616" i="6"/>
  <c r="S616" i="6"/>
  <c r="T616" i="6"/>
  <c r="U616" i="6"/>
  <c r="J617" i="6"/>
  <c r="AK617" i="6" s="1"/>
  <c r="K617" i="6"/>
  <c r="L617" i="6"/>
  <c r="AM617" i="6" s="1"/>
  <c r="M617" i="6"/>
  <c r="N617" i="6"/>
  <c r="O617" i="6"/>
  <c r="P617" i="6"/>
  <c r="Q617" i="6"/>
  <c r="R617" i="6"/>
  <c r="S617" i="6"/>
  <c r="T617" i="6"/>
  <c r="U617" i="6"/>
  <c r="J618" i="6"/>
  <c r="AK618" i="6" s="1"/>
  <c r="K618" i="6"/>
  <c r="AL618" i="6" s="1"/>
  <c r="L618" i="6"/>
  <c r="AM618" i="6" s="1"/>
  <c r="M618" i="6"/>
  <c r="N618" i="6"/>
  <c r="O618" i="6"/>
  <c r="P618" i="6"/>
  <c r="Q618" i="6"/>
  <c r="R618" i="6"/>
  <c r="S618" i="6"/>
  <c r="T618" i="6"/>
  <c r="U618" i="6"/>
  <c r="J619" i="6"/>
  <c r="AK619" i="6" s="1"/>
  <c r="K619" i="6"/>
  <c r="AL619" i="6" s="1"/>
  <c r="L619" i="6"/>
  <c r="AM619" i="6" s="1"/>
  <c r="M619" i="6"/>
  <c r="N619" i="6"/>
  <c r="O619" i="6"/>
  <c r="P619" i="6"/>
  <c r="Q619" i="6"/>
  <c r="R619" i="6"/>
  <c r="S619" i="6"/>
  <c r="T619" i="6"/>
  <c r="U619" i="6"/>
  <c r="J620" i="6"/>
  <c r="AK620" i="6" s="1"/>
  <c r="K620" i="6"/>
  <c r="L620" i="6"/>
  <c r="AM620" i="6" s="1"/>
  <c r="M620" i="6"/>
  <c r="N620" i="6"/>
  <c r="O620" i="6"/>
  <c r="P620" i="6"/>
  <c r="Q620" i="6"/>
  <c r="R620" i="6"/>
  <c r="S620" i="6"/>
  <c r="T620" i="6"/>
  <c r="U620" i="6"/>
  <c r="J621" i="6"/>
  <c r="AK621" i="6" s="1"/>
  <c r="K621" i="6"/>
  <c r="AL621" i="6" s="1"/>
  <c r="L621" i="6"/>
  <c r="AM621" i="6" s="1"/>
  <c r="M621" i="6"/>
  <c r="N621" i="6"/>
  <c r="O621" i="6"/>
  <c r="P621" i="6"/>
  <c r="Q621" i="6"/>
  <c r="R621" i="6"/>
  <c r="S621" i="6"/>
  <c r="T621" i="6"/>
  <c r="U621" i="6"/>
  <c r="J622" i="6"/>
  <c r="AK622" i="6" s="1"/>
  <c r="K622" i="6"/>
  <c r="L622" i="6"/>
  <c r="AM622" i="6" s="1"/>
  <c r="M622" i="6"/>
  <c r="N622" i="6"/>
  <c r="O622" i="6"/>
  <c r="P622" i="6"/>
  <c r="Q622" i="6"/>
  <c r="R622" i="6"/>
  <c r="S622" i="6"/>
  <c r="T622" i="6"/>
  <c r="U622" i="6"/>
  <c r="J623" i="6"/>
  <c r="AK623" i="6" s="1"/>
  <c r="K623" i="6"/>
  <c r="AL623" i="6" s="1"/>
  <c r="L623" i="6"/>
  <c r="AM623" i="6" s="1"/>
  <c r="M623" i="6"/>
  <c r="N623" i="6"/>
  <c r="O623" i="6"/>
  <c r="P623" i="6"/>
  <c r="Q623" i="6"/>
  <c r="R623" i="6"/>
  <c r="S623" i="6"/>
  <c r="T623" i="6"/>
  <c r="U623" i="6"/>
  <c r="J624" i="6"/>
  <c r="AK624" i="6" s="1"/>
  <c r="K624" i="6"/>
  <c r="AL624" i="6" s="1"/>
  <c r="L624" i="6"/>
  <c r="AM624" i="6" s="1"/>
  <c r="M624" i="6"/>
  <c r="N624" i="6"/>
  <c r="O624" i="6"/>
  <c r="P624" i="6"/>
  <c r="Q624" i="6"/>
  <c r="R624" i="6"/>
  <c r="S624" i="6"/>
  <c r="T624" i="6"/>
  <c r="U624" i="6"/>
  <c r="J625" i="6"/>
  <c r="AK625" i="6" s="1"/>
  <c r="K625" i="6"/>
  <c r="L625" i="6"/>
  <c r="AM625" i="6" s="1"/>
  <c r="M625" i="6"/>
  <c r="N625" i="6"/>
  <c r="O625" i="6"/>
  <c r="P625" i="6"/>
  <c r="Q625" i="6"/>
  <c r="R625" i="6"/>
  <c r="S625" i="6"/>
  <c r="T625" i="6"/>
  <c r="U625" i="6"/>
  <c r="J626" i="6"/>
  <c r="AK626" i="6" s="1"/>
  <c r="K626" i="6"/>
  <c r="AL626" i="6" s="1"/>
  <c r="L626" i="6"/>
  <c r="AM626" i="6" s="1"/>
  <c r="M626" i="6"/>
  <c r="N626" i="6"/>
  <c r="O626" i="6"/>
  <c r="P626" i="6"/>
  <c r="Q626" i="6"/>
  <c r="R626" i="6"/>
  <c r="S626" i="6"/>
  <c r="T626" i="6"/>
  <c r="U626" i="6"/>
  <c r="J627" i="6"/>
  <c r="AK627" i="6" s="1"/>
  <c r="K627" i="6"/>
  <c r="AL627" i="6" s="1"/>
  <c r="L627" i="6"/>
  <c r="AM627" i="6" s="1"/>
  <c r="M627" i="6"/>
  <c r="N627" i="6"/>
  <c r="O627" i="6"/>
  <c r="P627" i="6"/>
  <c r="Q627" i="6"/>
  <c r="R627" i="6"/>
  <c r="S627" i="6"/>
  <c r="T627" i="6"/>
  <c r="U627" i="6"/>
  <c r="J628" i="6"/>
  <c r="AK628" i="6" s="1"/>
  <c r="K628" i="6"/>
  <c r="AL628" i="6" s="1"/>
  <c r="L628" i="6"/>
  <c r="AM628" i="6" s="1"/>
  <c r="M628" i="6"/>
  <c r="N628" i="6"/>
  <c r="O628" i="6"/>
  <c r="P628" i="6"/>
  <c r="Q628" i="6"/>
  <c r="R628" i="6"/>
  <c r="S628" i="6"/>
  <c r="T628" i="6"/>
  <c r="U628" i="6"/>
  <c r="J629" i="6"/>
  <c r="AK629" i="6" s="1"/>
  <c r="K629" i="6"/>
  <c r="AL629" i="6" s="1"/>
  <c r="L629" i="6"/>
  <c r="AM629" i="6" s="1"/>
  <c r="M629" i="6"/>
  <c r="N629" i="6"/>
  <c r="O629" i="6"/>
  <c r="P629" i="6"/>
  <c r="Q629" i="6"/>
  <c r="R629" i="6"/>
  <c r="S629" i="6"/>
  <c r="T629" i="6"/>
  <c r="U629" i="6"/>
  <c r="J630" i="6"/>
  <c r="AK630" i="6" s="1"/>
  <c r="K630" i="6"/>
  <c r="AL630" i="6" s="1"/>
  <c r="L630" i="6"/>
  <c r="AM630" i="6" s="1"/>
  <c r="M630" i="6"/>
  <c r="N630" i="6"/>
  <c r="O630" i="6"/>
  <c r="P630" i="6"/>
  <c r="Q630" i="6"/>
  <c r="R630" i="6"/>
  <c r="S630" i="6"/>
  <c r="T630" i="6"/>
  <c r="U630" i="6"/>
  <c r="J631" i="6"/>
  <c r="AK631" i="6" s="1"/>
  <c r="K631" i="6"/>
  <c r="AL631" i="6" s="1"/>
  <c r="L631" i="6"/>
  <c r="AM631" i="6" s="1"/>
  <c r="M631" i="6"/>
  <c r="N631" i="6"/>
  <c r="O631" i="6"/>
  <c r="P631" i="6"/>
  <c r="Q631" i="6"/>
  <c r="R631" i="6"/>
  <c r="S631" i="6"/>
  <c r="T631" i="6"/>
  <c r="U631" i="6"/>
  <c r="J632" i="6"/>
  <c r="AK632" i="6" s="1"/>
  <c r="K632" i="6"/>
  <c r="AL632" i="6" s="1"/>
  <c r="L632" i="6"/>
  <c r="AM632" i="6" s="1"/>
  <c r="M632" i="6"/>
  <c r="N632" i="6"/>
  <c r="O632" i="6"/>
  <c r="P632" i="6"/>
  <c r="Q632" i="6"/>
  <c r="R632" i="6"/>
  <c r="S632" i="6"/>
  <c r="T632" i="6"/>
  <c r="U632" i="6"/>
  <c r="J633" i="6"/>
  <c r="AK633" i="6" s="1"/>
  <c r="K633" i="6"/>
  <c r="AL633" i="6" s="1"/>
  <c r="L633" i="6"/>
  <c r="M633" i="6"/>
  <c r="N633" i="6"/>
  <c r="O633" i="6"/>
  <c r="P633" i="6"/>
  <c r="Q633" i="6"/>
  <c r="R633" i="6"/>
  <c r="S633" i="6"/>
  <c r="T633" i="6"/>
  <c r="U633" i="6"/>
  <c r="J634" i="6"/>
  <c r="AK634" i="6" s="1"/>
  <c r="K634" i="6"/>
  <c r="AL634" i="6" s="1"/>
  <c r="L634" i="6"/>
  <c r="AM634" i="6" s="1"/>
  <c r="M634" i="6"/>
  <c r="N634" i="6"/>
  <c r="O634" i="6"/>
  <c r="P634" i="6"/>
  <c r="Q634" i="6"/>
  <c r="R634" i="6"/>
  <c r="S634" i="6"/>
  <c r="T634" i="6"/>
  <c r="U634" i="6"/>
  <c r="J635" i="6"/>
  <c r="AK635" i="6" s="1"/>
  <c r="K635" i="6"/>
  <c r="AL635" i="6" s="1"/>
  <c r="L635" i="6"/>
  <c r="AM635" i="6" s="1"/>
  <c r="M635" i="6"/>
  <c r="N635" i="6"/>
  <c r="O635" i="6"/>
  <c r="P635" i="6"/>
  <c r="Q635" i="6"/>
  <c r="R635" i="6"/>
  <c r="S635" i="6"/>
  <c r="T635" i="6"/>
  <c r="U635" i="6"/>
  <c r="J636" i="6"/>
  <c r="AK636" i="6" s="1"/>
  <c r="K636" i="6"/>
  <c r="L636" i="6"/>
  <c r="AM636" i="6" s="1"/>
  <c r="M636" i="6"/>
  <c r="N636" i="6"/>
  <c r="O636" i="6"/>
  <c r="P636" i="6"/>
  <c r="Q636" i="6"/>
  <c r="R636" i="6"/>
  <c r="S636" i="6"/>
  <c r="T636" i="6"/>
  <c r="U636" i="6"/>
  <c r="J637" i="6"/>
  <c r="AK637" i="6" s="1"/>
  <c r="K637" i="6"/>
  <c r="L637" i="6"/>
  <c r="AM637" i="6" s="1"/>
  <c r="M637" i="6"/>
  <c r="N637" i="6"/>
  <c r="O637" i="6"/>
  <c r="P637" i="6"/>
  <c r="Q637" i="6"/>
  <c r="R637" i="6"/>
  <c r="S637" i="6"/>
  <c r="T637" i="6"/>
  <c r="U637" i="6"/>
  <c r="J638" i="6"/>
  <c r="AK638" i="6" s="1"/>
  <c r="K638" i="6"/>
  <c r="AL638" i="6" s="1"/>
  <c r="L638" i="6"/>
  <c r="AM638" i="6" s="1"/>
  <c r="M638" i="6"/>
  <c r="N638" i="6"/>
  <c r="O638" i="6"/>
  <c r="P638" i="6"/>
  <c r="Q638" i="6"/>
  <c r="R638" i="6"/>
  <c r="S638" i="6"/>
  <c r="T638" i="6"/>
  <c r="U638" i="6"/>
  <c r="J639" i="6"/>
  <c r="AK639" i="6" s="1"/>
  <c r="K639" i="6"/>
  <c r="AL639" i="6" s="1"/>
  <c r="L639" i="6"/>
  <c r="AM639" i="6" s="1"/>
  <c r="M639" i="6"/>
  <c r="N639" i="6"/>
  <c r="O639" i="6"/>
  <c r="P639" i="6"/>
  <c r="Q639" i="6"/>
  <c r="R639" i="6"/>
  <c r="S639" i="6"/>
  <c r="T639" i="6"/>
  <c r="U639" i="6"/>
  <c r="J640" i="6"/>
  <c r="AK640" i="6" s="1"/>
  <c r="K640" i="6"/>
  <c r="AL640" i="6" s="1"/>
  <c r="L640" i="6"/>
  <c r="AM640" i="6" s="1"/>
  <c r="M640" i="6"/>
  <c r="N640" i="6"/>
  <c r="O640" i="6"/>
  <c r="P640" i="6"/>
  <c r="Q640" i="6"/>
  <c r="R640" i="6"/>
  <c r="S640" i="6"/>
  <c r="T640" i="6"/>
  <c r="U640" i="6"/>
  <c r="J641" i="6"/>
  <c r="AK641" i="6" s="1"/>
  <c r="K641" i="6"/>
  <c r="AL641" i="6" s="1"/>
  <c r="L641" i="6"/>
  <c r="AM641" i="6" s="1"/>
  <c r="M641" i="6"/>
  <c r="N641" i="6"/>
  <c r="O641" i="6"/>
  <c r="P641" i="6"/>
  <c r="Q641" i="6"/>
  <c r="R641" i="6"/>
  <c r="S641" i="6"/>
  <c r="T641" i="6"/>
  <c r="U641" i="6"/>
  <c r="J642" i="6"/>
  <c r="AK642" i="6" s="1"/>
  <c r="K642" i="6"/>
  <c r="AL642" i="6" s="1"/>
  <c r="L642" i="6"/>
  <c r="AM642" i="6" s="1"/>
  <c r="M642" i="6"/>
  <c r="N642" i="6"/>
  <c r="O642" i="6"/>
  <c r="P642" i="6"/>
  <c r="Q642" i="6"/>
  <c r="R642" i="6"/>
  <c r="S642" i="6"/>
  <c r="T642" i="6"/>
  <c r="U642" i="6"/>
  <c r="J643" i="6"/>
  <c r="AK643" i="6" s="1"/>
  <c r="K643" i="6"/>
  <c r="AL643" i="6" s="1"/>
  <c r="L643" i="6"/>
  <c r="AM643" i="6" s="1"/>
  <c r="M643" i="6"/>
  <c r="N643" i="6"/>
  <c r="O643" i="6"/>
  <c r="P643" i="6"/>
  <c r="Q643" i="6"/>
  <c r="R643" i="6"/>
  <c r="S643" i="6"/>
  <c r="T643" i="6"/>
  <c r="U643" i="6"/>
  <c r="J644" i="6"/>
  <c r="AK644" i="6" s="1"/>
  <c r="K644" i="6"/>
  <c r="L644" i="6"/>
  <c r="AM644" i="6" s="1"/>
  <c r="M644" i="6"/>
  <c r="N644" i="6"/>
  <c r="O644" i="6"/>
  <c r="P644" i="6"/>
  <c r="Q644" i="6"/>
  <c r="R644" i="6"/>
  <c r="S644" i="6"/>
  <c r="T644" i="6"/>
  <c r="U644" i="6"/>
  <c r="J645" i="6"/>
  <c r="AK645" i="6" s="1"/>
  <c r="K645" i="6"/>
  <c r="AL645" i="6" s="1"/>
  <c r="L645" i="6"/>
  <c r="AM645" i="6" s="1"/>
  <c r="M645" i="6"/>
  <c r="N645" i="6"/>
  <c r="O645" i="6"/>
  <c r="P645" i="6"/>
  <c r="Q645" i="6"/>
  <c r="R645" i="6"/>
  <c r="S645" i="6"/>
  <c r="T645" i="6"/>
  <c r="U645" i="6"/>
  <c r="J646" i="6"/>
  <c r="AK646" i="6" s="1"/>
  <c r="K646" i="6"/>
  <c r="AL646" i="6" s="1"/>
  <c r="L646" i="6"/>
  <c r="AM646" i="6" s="1"/>
  <c r="M646" i="6"/>
  <c r="N646" i="6"/>
  <c r="O646" i="6"/>
  <c r="P646" i="6"/>
  <c r="Q646" i="6"/>
  <c r="R646" i="6"/>
  <c r="S646" i="6"/>
  <c r="T646" i="6"/>
  <c r="U646" i="6"/>
  <c r="J647" i="6"/>
  <c r="AK647" i="6" s="1"/>
  <c r="K647" i="6"/>
  <c r="AL647" i="6" s="1"/>
  <c r="L647" i="6"/>
  <c r="AM647" i="6" s="1"/>
  <c r="M647" i="6"/>
  <c r="N647" i="6"/>
  <c r="O647" i="6"/>
  <c r="P647" i="6"/>
  <c r="Q647" i="6"/>
  <c r="R647" i="6"/>
  <c r="S647" i="6"/>
  <c r="T647" i="6"/>
  <c r="U647" i="6"/>
  <c r="J648" i="6"/>
  <c r="AK648" i="6" s="1"/>
  <c r="K648" i="6"/>
  <c r="AL648" i="6" s="1"/>
  <c r="L648" i="6"/>
  <c r="AM648" i="6" s="1"/>
  <c r="M648" i="6"/>
  <c r="N648" i="6"/>
  <c r="O648" i="6"/>
  <c r="P648" i="6"/>
  <c r="Q648" i="6"/>
  <c r="R648" i="6"/>
  <c r="S648" i="6"/>
  <c r="T648" i="6"/>
  <c r="U648" i="6"/>
  <c r="J649" i="6"/>
  <c r="AK649" i="6" s="1"/>
  <c r="K649" i="6"/>
  <c r="AL649" i="6" s="1"/>
  <c r="L649" i="6"/>
  <c r="AM649" i="6" s="1"/>
  <c r="M649" i="6"/>
  <c r="N649" i="6"/>
  <c r="O649" i="6"/>
  <c r="P649" i="6"/>
  <c r="Q649" i="6"/>
  <c r="R649" i="6"/>
  <c r="S649" i="6"/>
  <c r="T649" i="6"/>
  <c r="U649" i="6"/>
  <c r="J650" i="6"/>
  <c r="AK650" i="6" s="1"/>
  <c r="K650" i="6"/>
  <c r="AL650" i="6" s="1"/>
  <c r="L650" i="6"/>
  <c r="AM650" i="6" s="1"/>
  <c r="M650" i="6"/>
  <c r="N650" i="6"/>
  <c r="O650" i="6"/>
  <c r="P650" i="6"/>
  <c r="Q650" i="6"/>
  <c r="R650" i="6"/>
  <c r="S650" i="6"/>
  <c r="T650" i="6"/>
  <c r="U650" i="6"/>
  <c r="J651" i="6"/>
  <c r="AK651" i="6" s="1"/>
  <c r="K651" i="6"/>
  <c r="AL651" i="6" s="1"/>
  <c r="L651" i="6"/>
  <c r="AM651" i="6" s="1"/>
  <c r="M651" i="6"/>
  <c r="N651" i="6"/>
  <c r="O651" i="6"/>
  <c r="P651" i="6"/>
  <c r="Q651" i="6"/>
  <c r="R651" i="6"/>
  <c r="S651" i="6"/>
  <c r="T651" i="6"/>
  <c r="U651" i="6"/>
  <c r="J652" i="6"/>
  <c r="AK652" i="6" s="1"/>
  <c r="K652" i="6"/>
  <c r="L652" i="6"/>
  <c r="AM652" i="6" s="1"/>
  <c r="M652" i="6"/>
  <c r="N652" i="6"/>
  <c r="O652" i="6"/>
  <c r="P652" i="6"/>
  <c r="Q652" i="6"/>
  <c r="R652" i="6"/>
  <c r="S652" i="6"/>
  <c r="T652" i="6"/>
  <c r="U652" i="6"/>
  <c r="J653" i="6"/>
  <c r="AK653" i="6" s="1"/>
  <c r="K653" i="6"/>
  <c r="AL653" i="6" s="1"/>
  <c r="L653" i="6"/>
  <c r="AM653" i="6" s="1"/>
  <c r="M653" i="6"/>
  <c r="N653" i="6"/>
  <c r="O653" i="6"/>
  <c r="P653" i="6"/>
  <c r="Q653" i="6"/>
  <c r="R653" i="6"/>
  <c r="S653" i="6"/>
  <c r="T653" i="6"/>
  <c r="U653" i="6"/>
  <c r="J654" i="6"/>
  <c r="AK654" i="6" s="1"/>
  <c r="K654" i="6"/>
  <c r="AL654" i="6" s="1"/>
  <c r="L654" i="6"/>
  <c r="AM654" i="6" s="1"/>
  <c r="M654" i="6"/>
  <c r="N654" i="6"/>
  <c r="O654" i="6"/>
  <c r="P654" i="6"/>
  <c r="Q654" i="6"/>
  <c r="R654" i="6"/>
  <c r="S654" i="6"/>
  <c r="T654" i="6"/>
  <c r="U654" i="6"/>
  <c r="J655" i="6"/>
  <c r="AK655" i="6" s="1"/>
  <c r="K655" i="6"/>
  <c r="AL655" i="6" s="1"/>
  <c r="L655" i="6"/>
  <c r="AM655" i="6" s="1"/>
  <c r="M655" i="6"/>
  <c r="N655" i="6"/>
  <c r="O655" i="6"/>
  <c r="P655" i="6"/>
  <c r="Q655" i="6"/>
  <c r="R655" i="6"/>
  <c r="S655" i="6"/>
  <c r="T655" i="6"/>
  <c r="U655" i="6"/>
  <c r="J656" i="6"/>
  <c r="AK656" i="6" s="1"/>
  <c r="K656" i="6"/>
  <c r="L656" i="6"/>
  <c r="AM656" i="6" s="1"/>
  <c r="M656" i="6"/>
  <c r="N656" i="6"/>
  <c r="O656" i="6"/>
  <c r="P656" i="6"/>
  <c r="Q656" i="6"/>
  <c r="R656" i="6"/>
  <c r="S656" i="6"/>
  <c r="T656" i="6"/>
  <c r="U656" i="6"/>
  <c r="J657" i="6"/>
  <c r="AK657" i="6" s="1"/>
  <c r="K657" i="6"/>
  <c r="AL657" i="6" s="1"/>
  <c r="L657" i="6"/>
  <c r="AM657" i="6" s="1"/>
  <c r="M657" i="6"/>
  <c r="N657" i="6"/>
  <c r="O657" i="6"/>
  <c r="P657" i="6"/>
  <c r="Q657" i="6"/>
  <c r="R657" i="6"/>
  <c r="S657" i="6"/>
  <c r="T657" i="6"/>
  <c r="U657" i="6"/>
  <c r="J658" i="6"/>
  <c r="AK658" i="6" s="1"/>
  <c r="K658" i="6"/>
  <c r="AL658" i="6" s="1"/>
  <c r="L658" i="6"/>
  <c r="AM658" i="6" s="1"/>
  <c r="M658" i="6"/>
  <c r="N658" i="6"/>
  <c r="O658" i="6"/>
  <c r="P658" i="6"/>
  <c r="Q658" i="6"/>
  <c r="R658" i="6"/>
  <c r="S658" i="6"/>
  <c r="T658" i="6"/>
  <c r="U658" i="6"/>
  <c r="J659" i="6"/>
  <c r="K659" i="6"/>
  <c r="AL659" i="6" s="1"/>
  <c r="L659" i="6"/>
  <c r="AM659" i="6" s="1"/>
  <c r="M659" i="6"/>
  <c r="N659" i="6"/>
  <c r="O659" i="6"/>
  <c r="P659" i="6"/>
  <c r="Q659" i="6"/>
  <c r="R659" i="6"/>
  <c r="S659" i="6"/>
  <c r="T659" i="6"/>
  <c r="U659" i="6"/>
  <c r="J660" i="6"/>
  <c r="AK660" i="6" s="1"/>
  <c r="K660" i="6"/>
  <c r="AL660" i="6" s="1"/>
  <c r="L660" i="6"/>
  <c r="AM660" i="6" s="1"/>
  <c r="M660" i="6"/>
  <c r="N660" i="6"/>
  <c r="O660" i="6"/>
  <c r="P660" i="6"/>
  <c r="Q660" i="6"/>
  <c r="R660" i="6"/>
  <c r="S660" i="6"/>
  <c r="T660" i="6"/>
  <c r="U660" i="6"/>
  <c r="J661" i="6"/>
  <c r="AK661" i="6" s="1"/>
  <c r="K661" i="6"/>
  <c r="AL661" i="6" s="1"/>
  <c r="L661" i="6"/>
  <c r="AM661" i="6" s="1"/>
  <c r="M661" i="6"/>
  <c r="N661" i="6"/>
  <c r="O661" i="6"/>
  <c r="P661" i="6"/>
  <c r="Q661" i="6"/>
  <c r="R661" i="6"/>
  <c r="S661" i="6"/>
  <c r="T661" i="6"/>
  <c r="U661" i="6"/>
  <c r="J662" i="6"/>
  <c r="AK662" i="6" s="1"/>
  <c r="K662" i="6"/>
  <c r="L662" i="6"/>
  <c r="AM662" i="6" s="1"/>
  <c r="M662" i="6"/>
  <c r="N662" i="6"/>
  <c r="O662" i="6"/>
  <c r="P662" i="6"/>
  <c r="Q662" i="6"/>
  <c r="R662" i="6"/>
  <c r="S662" i="6"/>
  <c r="T662" i="6"/>
  <c r="U662" i="6"/>
  <c r="J663" i="6"/>
  <c r="AK663" i="6" s="1"/>
  <c r="K663" i="6"/>
  <c r="AL663" i="6" s="1"/>
  <c r="L663" i="6"/>
  <c r="AM663" i="6" s="1"/>
  <c r="M663" i="6"/>
  <c r="N663" i="6"/>
  <c r="O663" i="6"/>
  <c r="P663" i="6"/>
  <c r="Q663" i="6"/>
  <c r="R663" i="6"/>
  <c r="S663" i="6"/>
  <c r="T663" i="6"/>
  <c r="U663" i="6"/>
  <c r="J664" i="6"/>
  <c r="AK664" i="6" s="1"/>
  <c r="K664" i="6"/>
  <c r="AL664" i="6" s="1"/>
  <c r="L664" i="6"/>
  <c r="M664" i="6"/>
  <c r="N664" i="6"/>
  <c r="O664" i="6"/>
  <c r="P664" i="6"/>
  <c r="Q664" i="6"/>
  <c r="R664" i="6"/>
  <c r="S664" i="6"/>
  <c r="T664" i="6"/>
  <c r="U664" i="6"/>
  <c r="J665" i="6"/>
  <c r="AK665" i="6" s="1"/>
  <c r="K665" i="6"/>
  <c r="AL665" i="6" s="1"/>
  <c r="L665" i="6"/>
  <c r="AM665" i="6" s="1"/>
  <c r="M665" i="6"/>
  <c r="N665" i="6"/>
  <c r="O665" i="6"/>
  <c r="P665" i="6"/>
  <c r="Q665" i="6"/>
  <c r="R665" i="6"/>
  <c r="S665" i="6"/>
  <c r="T665" i="6"/>
  <c r="U665" i="6"/>
  <c r="J666" i="6"/>
  <c r="AK666" i="6" s="1"/>
  <c r="K666" i="6"/>
  <c r="AL666" i="6" s="1"/>
  <c r="L666" i="6"/>
  <c r="M666" i="6"/>
  <c r="N666" i="6"/>
  <c r="O666" i="6"/>
  <c r="P666" i="6"/>
  <c r="Q666" i="6"/>
  <c r="R666" i="6"/>
  <c r="S666" i="6"/>
  <c r="T666" i="6"/>
  <c r="U666" i="6"/>
  <c r="J667" i="6"/>
  <c r="K667" i="6"/>
  <c r="AL667" i="6" s="1"/>
  <c r="L667" i="6"/>
  <c r="AM667" i="6" s="1"/>
  <c r="M667" i="6"/>
  <c r="N667" i="6"/>
  <c r="O667" i="6"/>
  <c r="P667" i="6"/>
  <c r="Q667" i="6"/>
  <c r="R667" i="6"/>
  <c r="S667" i="6"/>
  <c r="T667" i="6"/>
  <c r="U667" i="6"/>
  <c r="J668" i="6"/>
  <c r="AK668" i="6" s="1"/>
  <c r="K668" i="6"/>
  <c r="L668" i="6"/>
  <c r="AM668" i="6" s="1"/>
  <c r="M668" i="6"/>
  <c r="N668" i="6"/>
  <c r="O668" i="6"/>
  <c r="P668" i="6"/>
  <c r="Q668" i="6"/>
  <c r="R668" i="6"/>
  <c r="S668" i="6"/>
  <c r="T668" i="6"/>
  <c r="U668" i="6"/>
  <c r="J669" i="6"/>
  <c r="AK669" i="6" s="1"/>
  <c r="K669" i="6"/>
  <c r="AL669" i="6" s="1"/>
  <c r="L669" i="6"/>
  <c r="AM669" i="6" s="1"/>
  <c r="M669" i="6"/>
  <c r="N669" i="6"/>
  <c r="O669" i="6"/>
  <c r="P669" i="6"/>
  <c r="Q669" i="6"/>
  <c r="R669" i="6"/>
  <c r="S669" i="6"/>
  <c r="T669" i="6"/>
  <c r="U669" i="6"/>
  <c r="J670" i="6"/>
  <c r="AK670" i="6" s="1"/>
  <c r="K670" i="6"/>
  <c r="L670" i="6"/>
  <c r="AM670" i="6" s="1"/>
  <c r="M670" i="6"/>
  <c r="N670" i="6"/>
  <c r="O670" i="6"/>
  <c r="P670" i="6"/>
  <c r="Q670" i="6"/>
  <c r="R670" i="6"/>
  <c r="S670" i="6"/>
  <c r="T670" i="6"/>
  <c r="U670" i="6"/>
  <c r="J671" i="6"/>
  <c r="AK671" i="6" s="1"/>
  <c r="K671" i="6"/>
  <c r="AL671" i="6" s="1"/>
  <c r="L671" i="6"/>
  <c r="AM671" i="6" s="1"/>
  <c r="M671" i="6"/>
  <c r="N671" i="6"/>
  <c r="O671" i="6"/>
  <c r="P671" i="6"/>
  <c r="Q671" i="6"/>
  <c r="R671" i="6"/>
  <c r="S671" i="6"/>
  <c r="T671" i="6"/>
  <c r="U671" i="6"/>
  <c r="J672" i="6"/>
  <c r="AK672" i="6" s="1"/>
  <c r="K672" i="6"/>
  <c r="AL672" i="6" s="1"/>
  <c r="L672" i="6"/>
  <c r="AM672" i="6" s="1"/>
  <c r="M672" i="6"/>
  <c r="N672" i="6"/>
  <c r="O672" i="6"/>
  <c r="P672" i="6"/>
  <c r="Q672" i="6"/>
  <c r="R672" i="6"/>
  <c r="S672" i="6"/>
  <c r="T672" i="6"/>
  <c r="U672" i="6"/>
  <c r="J673" i="6"/>
  <c r="AK673" i="6" s="1"/>
  <c r="K673" i="6"/>
  <c r="AL673" i="6" s="1"/>
  <c r="L673" i="6"/>
  <c r="AM673" i="6" s="1"/>
  <c r="M673" i="6"/>
  <c r="N673" i="6"/>
  <c r="O673" i="6"/>
  <c r="P673" i="6"/>
  <c r="Q673" i="6"/>
  <c r="R673" i="6"/>
  <c r="S673" i="6"/>
  <c r="T673" i="6"/>
  <c r="U673" i="6"/>
  <c r="J674" i="6"/>
  <c r="AK674" i="6" s="1"/>
  <c r="K674" i="6"/>
  <c r="L674" i="6"/>
  <c r="AM674" i="6" s="1"/>
  <c r="M674" i="6"/>
  <c r="N674" i="6"/>
  <c r="O674" i="6"/>
  <c r="P674" i="6"/>
  <c r="Q674" i="6"/>
  <c r="R674" i="6"/>
  <c r="S674" i="6"/>
  <c r="T674" i="6"/>
  <c r="U674" i="6"/>
  <c r="J675" i="6"/>
  <c r="AK675" i="6" s="1"/>
  <c r="K675" i="6"/>
  <c r="AL675" i="6" s="1"/>
  <c r="L675" i="6"/>
  <c r="AM675" i="6" s="1"/>
  <c r="M675" i="6"/>
  <c r="N675" i="6"/>
  <c r="O675" i="6"/>
  <c r="P675" i="6"/>
  <c r="Q675" i="6"/>
  <c r="R675" i="6"/>
  <c r="S675" i="6"/>
  <c r="T675" i="6"/>
  <c r="U675" i="6"/>
  <c r="J676" i="6"/>
  <c r="AK676" i="6" s="1"/>
  <c r="K676" i="6"/>
  <c r="L676" i="6"/>
  <c r="AM676" i="6" s="1"/>
  <c r="M676" i="6"/>
  <c r="N676" i="6"/>
  <c r="O676" i="6"/>
  <c r="P676" i="6"/>
  <c r="Q676" i="6"/>
  <c r="R676" i="6"/>
  <c r="S676" i="6"/>
  <c r="T676" i="6"/>
  <c r="U676" i="6"/>
  <c r="J677" i="6"/>
  <c r="AK677" i="6" s="1"/>
  <c r="K677" i="6"/>
  <c r="AL677" i="6" s="1"/>
  <c r="L677" i="6"/>
  <c r="AM677" i="6" s="1"/>
  <c r="M677" i="6"/>
  <c r="N677" i="6"/>
  <c r="O677" i="6"/>
  <c r="P677" i="6"/>
  <c r="Q677" i="6"/>
  <c r="R677" i="6"/>
  <c r="S677" i="6"/>
  <c r="T677" i="6"/>
  <c r="U677" i="6"/>
  <c r="J678" i="6"/>
  <c r="AK678" i="6" s="1"/>
  <c r="K678" i="6"/>
  <c r="L678" i="6"/>
  <c r="AM678" i="6" s="1"/>
  <c r="M678" i="6"/>
  <c r="N678" i="6"/>
  <c r="O678" i="6"/>
  <c r="P678" i="6"/>
  <c r="Q678" i="6"/>
  <c r="R678" i="6"/>
  <c r="S678" i="6"/>
  <c r="T678" i="6"/>
  <c r="U678" i="6"/>
  <c r="J679" i="6"/>
  <c r="AK679" i="6" s="1"/>
  <c r="K679" i="6"/>
  <c r="L679" i="6"/>
  <c r="AM679" i="6" s="1"/>
  <c r="M679" i="6"/>
  <c r="N679" i="6"/>
  <c r="O679" i="6"/>
  <c r="P679" i="6"/>
  <c r="Q679" i="6"/>
  <c r="R679" i="6"/>
  <c r="S679" i="6"/>
  <c r="T679" i="6"/>
  <c r="U679" i="6"/>
  <c r="J680" i="6"/>
  <c r="AK680" i="6" s="1"/>
  <c r="K680" i="6"/>
  <c r="AL680" i="6" s="1"/>
  <c r="L680" i="6"/>
  <c r="AM680" i="6" s="1"/>
  <c r="M680" i="6"/>
  <c r="N680" i="6"/>
  <c r="O680" i="6"/>
  <c r="P680" i="6"/>
  <c r="Q680" i="6"/>
  <c r="R680" i="6"/>
  <c r="S680" i="6"/>
  <c r="T680" i="6"/>
  <c r="U680" i="6"/>
  <c r="J681" i="6"/>
  <c r="AK681" i="6" s="1"/>
  <c r="K681" i="6"/>
  <c r="AL681" i="6" s="1"/>
  <c r="L681" i="6"/>
  <c r="AM681" i="6" s="1"/>
  <c r="M681" i="6"/>
  <c r="N681" i="6"/>
  <c r="O681" i="6"/>
  <c r="P681" i="6"/>
  <c r="Q681" i="6"/>
  <c r="R681" i="6"/>
  <c r="S681" i="6"/>
  <c r="T681" i="6"/>
  <c r="U681" i="6"/>
  <c r="J682" i="6"/>
  <c r="AK682" i="6" s="1"/>
  <c r="K682" i="6"/>
  <c r="AL682" i="6" s="1"/>
  <c r="L682" i="6"/>
  <c r="AM682" i="6" s="1"/>
  <c r="M682" i="6"/>
  <c r="N682" i="6"/>
  <c r="O682" i="6"/>
  <c r="P682" i="6"/>
  <c r="Q682" i="6"/>
  <c r="R682" i="6"/>
  <c r="S682" i="6"/>
  <c r="T682" i="6"/>
  <c r="U682" i="6"/>
  <c r="J683" i="6"/>
  <c r="AK683" i="6" s="1"/>
  <c r="K683" i="6"/>
  <c r="AL683" i="6" s="1"/>
  <c r="L683" i="6"/>
  <c r="AM683" i="6" s="1"/>
  <c r="M683" i="6"/>
  <c r="N683" i="6"/>
  <c r="O683" i="6"/>
  <c r="P683" i="6"/>
  <c r="Q683" i="6"/>
  <c r="R683" i="6"/>
  <c r="S683" i="6"/>
  <c r="T683" i="6"/>
  <c r="U683" i="6"/>
  <c r="J684" i="6"/>
  <c r="AK684" i="6" s="1"/>
  <c r="K684" i="6"/>
  <c r="AL684" i="6" s="1"/>
  <c r="L684" i="6"/>
  <c r="AM684" i="6" s="1"/>
  <c r="M684" i="6"/>
  <c r="N684" i="6"/>
  <c r="O684" i="6"/>
  <c r="P684" i="6"/>
  <c r="Q684" i="6"/>
  <c r="R684" i="6"/>
  <c r="S684" i="6"/>
  <c r="T684" i="6"/>
  <c r="U684" i="6"/>
  <c r="J685" i="6"/>
  <c r="AK685" i="6" s="1"/>
  <c r="K685" i="6"/>
  <c r="AL685" i="6" s="1"/>
  <c r="L685" i="6"/>
  <c r="AM685" i="6" s="1"/>
  <c r="M685" i="6"/>
  <c r="N685" i="6"/>
  <c r="O685" i="6"/>
  <c r="P685" i="6"/>
  <c r="Q685" i="6"/>
  <c r="R685" i="6"/>
  <c r="S685" i="6"/>
  <c r="T685" i="6"/>
  <c r="U685" i="6"/>
  <c r="J686" i="6"/>
  <c r="AK686" i="6" s="1"/>
  <c r="K686" i="6"/>
  <c r="L686" i="6"/>
  <c r="AM686" i="6" s="1"/>
  <c r="M686" i="6"/>
  <c r="N686" i="6"/>
  <c r="O686" i="6"/>
  <c r="P686" i="6"/>
  <c r="Q686" i="6"/>
  <c r="R686" i="6"/>
  <c r="S686" i="6"/>
  <c r="T686" i="6"/>
  <c r="U686" i="6"/>
  <c r="J687" i="6"/>
  <c r="AK687" i="6" s="1"/>
  <c r="K687" i="6"/>
  <c r="AL687" i="6" s="1"/>
  <c r="L687" i="6"/>
  <c r="AM687" i="6" s="1"/>
  <c r="M687" i="6"/>
  <c r="N687" i="6"/>
  <c r="O687" i="6"/>
  <c r="P687" i="6"/>
  <c r="Q687" i="6"/>
  <c r="R687" i="6"/>
  <c r="S687" i="6"/>
  <c r="T687" i="6"/>
  <c r="U687" i="6"/>
  <c r="J688" i="6"/>
  <c r="AK688" i="6" s="1"/>
  <c r="K688" i="6"/>
  <c r="AL688" i="6" s="1"/>
  <c r="L688" i="6"/>
  <c r="M688" i="6"/>
  <c r="N688" i="6"/>
  <c r="O688" i="6"/>
  <c r="P688" i="6"/>
  <c r="Q688" i="6"/>
  <c r="R688" i="6"/>
  <c r="S688" i="6"/>
  <c r="T688" i="6"/>
  <c r="U688" i="6"/>
  <c r="J689" i="6"/>
  <c r="AK689" i="6" s="1"/>
  <c r="K689" i="6"/>
  <c r="AL689" i="6" s="1"/>
  <c r="L689" i="6"/>
  <c r="AM689" i="6" s="1"/>
  <c r="M689" i="6"/>
  <c r="N689" i="6"/>
  <c r="O689" i="6"/>
  <c r="P689" i="6"/>
  <c r="Q689" i="6"/>
  <c r="R689" i="6"/>
  <c r="S689" i="6"/>
  <c r="T689" i="6"/>
  <c r="U689" i="6"/>
  <c r="J690" i="6"/>
  <c r="AK690" i="6" s="1"/>
  <c r="K690" i="6"/>
  <c r="L690" i="6"/>
  <c r="AM690" i="6" s="1"/>
  <c r="M690" i="6"/>
  <c r="N690" i="6"/>
  <c r="O690" i="6"/>
  <c r="P690" i="6"/>
  <c r="Q690" i="6"/>
  <c r="R690" i="6"/>
  <c r="S690" i="6"/>
  <c r="T690" i="6"/>
  <c r="U690" i="6"/>
  <c r="J691" i="6"/>
  <c r="AK691" i="6" s="1"/>
  <c r="K691" i="6"/>
  <c r="AL691" i="6" s="1"/>
  <c r="L691" i="6"/>
  <c r="AM691" i="6" s="1"/>
  <c r="M691" i="6"/>
  <c r="N691" i="6"/>
  <c r="O691" i="6"/>
  <c r="P691" i="6"/>
  <c r="Q691" i="6"/>
  <c r="R691" i="6"/>
  <c r="S691" i="6"/>
  <c r="T691" i="6"/>
  <c r="U691" i="6"/>
  <c r="J692" i="6"/>
  <c r="AK692" i="6" s="1"/>
  <c r="K692" i="6"/>
  <c r="AL692" i="6" s="1"/>
  <c r="L692" i="6"/>
  <c r="M692" i="6"/>
  <c r="N692" i="6"/>
  <c r="O692" i="6"/>
  <c r="P692" i="6"/>
  <c r="Q692" i="6"/>
  <c r="R692" i="6"/>
  <c r="S692" i="6"/>
  <c r="T692" i="6"/>
  <c r="U692" i="6"/>
  <c r="J693" i="6"/>
  <c r="AK693" i="6" s="1"/>
  <c r="K693" i="6"/>
  <c r="AL693" i="6" s="1"/>
  <c r="L693" i="6"/>
  <c r="AM693" i="6" s="1"/>
  <c r="M693" i="6"/>
  <c r="N693" i="6"/>
  <c r="O693" i="6"/>
  <c r="P693" i="6"/>
  <c r="Q693" i="6"/>
  <c r="R693" i="6"/>
  <c r="S693" i="6"/>
  <c r="T693" i="6"/>
  <c r="U693" i="6"/>
  <c r="J694" i="6"/>
  <c r="AK694" i="6" s="1"/>
  <c r="K694" i="6"/>
  <c r="AL694" i="6" s="1"/>
  <c r="L694" i="6"/>
  <c r="AM694" i="6" s="1"/>
  <c r="M694" i="6"/>
  <c r="N694" i="6"/>
  <c r="O694" i="6"/>
  <c r="P694" i="6"/>
  <c r="Q694" i="6"/>
  <c r="R694" i="6"/>
  <c r="S694" i="6"/>
  <c r="T694" i="6"/>
  <c r="U694" i="6"/>
  <c r="J695" i="6"/>
  <c r="AK695" i="6" s="1"/>
  <c r="K695" i="6"/>
  <c r="AL695" i="6" s="1"/>
  <c r="L695" i="6"/>
  <c r="M695" i="6"/>
  <c r="N695" i="6"/>
  <c r="O695" i="6"/>
  <c r="P695" i="6"/>
  <c r="Q695" i="6"/>
  <c r="R695" i="6"/>
  <c r="S695" i="6"/>
  <c r="T695" i="6"/>
  <c r="U695" i="6"/>
  <c r="J696" i="6"/>
  <c r="AK696" i="6" s="1"/>
  <c r="K696" i="6"/>
  <c r="AL696" i="6" s="1"/>
  <c r="L696" i="6"/>
  <c r="AM696" i="6" s="1"/>
  <c r="M696" i="6"/>
  <c r="N696" i="6"/>
  <c r="O696" i="6"/>
  <c r="P696" i="6"/>
  <c r="Q696" i="6"/>
  <c r="R696" i="6"/>
  <c r="S696" i="6"/>
  <c r="T696" i="6"/>
  <c r="U696" i="6"/>
  <c r="J697" i="6"/>
  <c r="K697" i="6"/>
  <c r="AL697" i="6" s="1"/>
  <c r="L697" i="6"/>
  <c r="M697" i="6"/>
  <c r="N697" i="6"/>
  <c r="O697" i="6"/>
  <c r="P697" i="6"/>
  <c r="Q697" i="6"/>
  <c r="R697" i="6"/>
  <c r="S697" i="6"/>
  <c r="T697" i="6"/>
  <c r="U697" i="6"/>
  <c r="J698" i="6"/>
  <c r="AK698" i="6" s="1"/>
  <c r="K698" i="6"/>
  <c r="AL698" i="6" s="1"/>
  <c r="L698" i="6"/>
  <c r="M698" i="6"/>
  <c r="N698" i="6"/>
  <c r="O698" i="6"/>
  <c r="P698" i="6"/>
  <c r="Q698" i="6"/>
  <c r="R698" i="6"/>
  <c r="S698" i="6"/>
  <c r="T698" i="6"/>
  <c r="U698" i="6"/>
  <c r="J699" i="6"/>
  <c r="AK699" i="6" s="1"/>
  <c r="K699" i="6"/>
  <c r="AL699" i="6" s="1"/>
  <c r="L699" i="6"/>
  <c r="M699" i="6"/>
  <c r="N699" i="6"/>
  <c r="O699" i="6"/>
  <c r="P699" i="6"/>
  <c r="Q699" i="6"/>
  <c r="R699" i="6"/>
  <c r="S699" i="6"/>
  <c r="T699" i="6"/>
  <c r="U699" i="6"/>
  <c r="J700" i="6"/>
  <c r="AK700" i="6" s="1"/>
  <c r="K700" i="6"/>
  <c r="AL700" i="6" s="1"/>
  <c r="L700" i="6"/>
  <c r="AM700" i="6" s="1"/>
  <c r="M700" i="6"/>
  <c r="N700" i="6"/>
  <c r="O700" i="6"/>
  <c r="P700" i="6"/>
  <c r="Q700" i="6"/>
  <c r="R700" i="6"/>
  <c r="S700" i="6"/>
  <c r="T700" i="6"/>
  <c r="U700" i="6"/>
  <c r="J701" i="6"/>
  <c r="AK701" i="6" s="1"/>
  <c r="K701" i="6"/>
  <c r="AL701" i="6" s="1"/>
  <c r="L701" i="6"/>
  <c r="AM701" i="6" s="1"/>
  <c r="M701" i="6"/>
  <c r="N701" i="6"/>
  <c r="O701" i="6"/>
  <c r="P701" i="6"/>
  <c r="Q701" i="6"/>
  <c r="R701" i="6"/>
  <c r="S701" i="6"/>
  <c r="T701" i="6"/>
  <c r="U701" i="6"/>
  <c r="J702" i="6"/>
  <c r="K702" i="6"/>
  <c r="L702" i="6"/>
  <c r="AM702" i="6" s="1"/>
  <c r="M702" i="6"/>
  <c r="N702" i="6"/>
  <c r="O702" i="6"/>
  <c r="P702" i="6"/>
  <c r="Q702" i="6"/>
  <c r="R702" i="6"/>
  <c r="S702" i="6"/>
  <c r="T702" i="6"/>
  <c r="U702" i="6"/>
  <c r="J703" i="6"/>
  <c r="AK703" i="6" s="1"/>
  <c r="K703" i="6"/>
  <c r="AL703" i="6" s="1"/>
  <c r="L703" i="6"/>
  <c r="AM703" i="6" s="1"/>
  <c r="M703" i="6"/>
  <c r="N703" i="6"/>
  <c r="O703" i="6"/>
  <c r="P703" i="6"/>
  <c r="Q703" i="6"/>
  <c r="R703" i="6"/>
  <c r="S703" i="6"/>
  <c r="T703" i="6"/>
  <c r="U703" i="6"/>
  <c r="J704" i="6"/>
  <c r="AK704" i="6" s="1"/>
  <c r="K704" i="6"/>
  <c r="AL704" i="6" s="1"/>
  <c r="L704" i="6"/>
  <c r="AM704" i="6" s="1"/>
  <c r="M704" i="6"/>
  <c r="N704" i="6"/>
  <c r="O704" i="6"/>
  <c r="P704" i="6"/>
  <c r="Q704" i="6"/>
  <c r="R704" i="6"/>
  <c r="S704" i="6"/>
  <c r="T704" i="6"/>
  <c r="U704" i="6"/>
  <c r="J705" i="6"/>
  <c r="AK705" i="6" s="1"/>
  <c r="K705" i="6"/>
  <c r="AL705" i="6" s="1"/>
  <c r="L705" i="6"/>
  <c r="AM705" i="6" s="1"/>
  <c r="M705" i="6"/>
  <c r="N705" i="6"/>
  <c r="O705" i="6"/>
  <c r="P705" i="6"/>
  <c r="Q705" i="6"/>
  <c r="R705" i="6"/>
  <c r="S705" i="6"/>
  <c r="T705" i="6"/>
  <c r="U705" i="6"/>
  <c r="J706" i="6"/>
  <c r="AK706" i="6" s="1"/>
  <c r="K706" i="6"/>
  <c r="AL706" i="6" s="1"/>
  <c r="L706" i="6"/>
  <c r="M706" i="6"/>
  <c r="N706" i="6"/>
  <c r="O706" i="6"/>
  <c r="P706" i="6"/>
  <c r="Q706" i="6"/>
  <c r="R706" i="6"/>
  <c r="S706" i="6"/>
  <c r="T706" i="6"/>
  <c r="U706" i="6"/>
  <c r="J707" i="6"/>
  <c r="K707" i="6"/>
  <c r="AL707" i="6" s="1"/>
  <c r="L707" i="6"/>
  <c r="AM707" i="6" s="1"/>
  <c r="M707" i="6"/>
  <c r="N707" i="6"/>
  <c r="O707" i="6"/>
  <c r="P707" i="6"/>
  <c r="Q707" i="6"/>
  <c r="R707" i="6"/>
  <c r="S707" i="6"/>
  <c r="T707" i="6"/>
  <c r="U707" i="6"/>
  <c r="J708" i="6"/>
  <c r="AK708" i="6" s="1"/>
  <c r="K708" i="6"/>
  <c r="AL708" i="6" s="1"/>
  <c r="L708" i="6"/>
  <c r="M708" i="6"/>
  <c r="N708" i="6"/>
  <c r="O708" i="6"/>
  <c r="P708" i="6"/>
  <c r="Q708" i="6"/>
  <c r="R708" i="6"/>
  <c r="S708" i="6"/>
  <c r="T708" i="6"/>
  <c r="U708" i="6"/>
  <c r="J709" i="6"/>
  <c r="K709" i="6"/>
  <c r="AL709" i="6" s="1"/>
  <c r="L709" i="6"/>
  <c r="M709" i="6"/>
  <c r="N709" i="6"/>
  <c r="O709" i="6"/>
  <c r="P709" i="6"/>
  <c r="Q709" i="6"/>
  <c r="R709" i="6"/>
  <c r="S709" i="6"/>
  <c r="T709" i="6"/>
  <c r="U709" i="6"/>
  <c r="J710" i="6"/>
  <c r="AK710" i="6" s="1"/>
  <c r="K710" i="6"/>
  <c r="AL710" i="6" s="1"/>
  <c r="L710" i="6"/>
  <c r="M710" i="6"/>
  <c r="N710" i="6"/>
  <c r="O710" i="6"/>
  <c r="P710" i="6"/>
  <c r="Q710" i="6"/>
  <c r="R710" i="6"/>
  <c r="S710" i="6"/>
  <c r="T710" i="6"/>
  <c r="U710" i="6"/>
  <c r="J711" i="6"/>
  <c r="AK711" i="6" s="1"/>
  <c r="K711" i="6"/>
  <c r="AL711" i="6" s="1"/>
  <c r="L711" i="6"/>
  <c r="AM711" i="6" s="1"/>
  <c r="M711" i="6"/>
  <c r="N711" i="6"/>
  <c r="O711" i="6"/>
  <c r="P711" i="6"/>
  <c r="Q711" i="6"/>
  <c r="R711" i="6"/>
  <c r="S711" i="6"/>
  <c r="T711" i="6"/>
  <c r="U711" i="6"/>
  <c r="J712" i="6"/>
  <c r="AK712" i="6" s="1"/>
  <c r="K712" i="6"/>
  <c r="AL712" i="6" s="1"/>
  <c r="L712" i="6"/>
  <c r="AM712" i="6" s="1"/>
  <c r="M712" i="6"/>
  <c r="N712" i="6"/>
  <c r="O712" i="6"/>
  <c r="P712" i="6"/>
  <c r="Q712" i="6"/>
  <c r="R712" i="6"/>
  <c r="S712" i="6"/>
  <c r="T712" i="6"/>
  <c r="U712" i="6"/>
  <c r="J713" i="6"/>
  <c r="AK713" i="6" s="1"/>
  <c r="K713" i="6"/>
  <c r="AL713" i="6" s="1"/>
  <c r="L713" i="6"/>
  <c r="AM713" i="6" s="1"/>
  <c r="M713" i="6"/>
  <c r="N713" i="6"/>
  <c r="O713" i="6"/>
  <c r="P713" i="6"/>
  <c r="Q713" i="6"/>
  <c r="R713" i="6"/>
  <c r="S713" i="6"/>
  <c r="T713" i="6"/>
  <c r="U713" i="6"/>
  <c r="J714" i="6"/>
  <c r="AK714" i="6" s="1"/>
  <c r="K714" i="6"/>
  <c r="L714" i="6"/>
  <c r="AM714" i="6" s="1"/>
  <c r="M714" i="6"/>
  <c r="N714" i="6"/>
  <c r="O714" i="6"/>
  <c r="P714" i="6"/>
  <c r="Q714" i="6"/>
  <c r="R714" i="6"/>
  <c r="S714" i="6"/>
  <c r="T714" i="6"/>
  <c r="U714" i="6"/>
  <c r="J715" i="6"/>
  <c r="AK715" i="6" s="1"/>
  <c r="K715" i="6"/>
  <c r="AL715" i="6" s="1"/>
  <c r="L715" i="6"/>
  <c r="AM715" i="6" s="1"/>
  <c r="M715" i="6"/>
  <c r="N715" i="6"/>
  <c r="O715" i="6"/>
  <c r="P715" i="6"/>
  <c r="Q715" i="6"/>
  <c r="R715" i="6"/>
  <c r="S715" i="6"/>
  <c r="T715" i="6"/>
  <c r="U715" i="6"/>
  <c r="J716" i="6"/>
  <c r="AK716" i="6" s="1"/>
  <c r="K716" i="6"/>
  <c r="AL716" i="6" s="1"/>
  <c r="L716" i="6"/>
  <c r="AM716" i="6" s="1"/>
  <c r="M716" i="6"/>
  <c r="N716" i="6"/>
  <c r="O716" i="6"/>
  <c r="P716" i="6"/>
  <c r="Q716" i="6"/>
  <c r="R716" i="6"/>
  <c r="S716" i="6"/>
  <c r="T716" i="6"/>
  <c r="U716" i="6"/>
  <c r="J717" i="6"/>
  <c r="AK717" i="6" s="1"/>
  <c r="K717" i="6"/>
  <c r="AL717" i="6" s="1"/>
  <c r="L717" i="6"/>
  <c r="M717" i="6"/>
  <c r="N717" i="6"/>
  <c r="O717" i="6"/>
  <c r="P717" i="6"/>
  <c r="Q717" i="6"/>
  <c r="R717" i="6"/>
  <c r="S717" i="6"/>
  <c r="T717" i="6"/>
  <c r="U717" i="6"/>
  <c r="J718" i="6"/>
  <c r="AK718" i="6" s="1"/>
  <c r="K718" i="6"/>
  <c r="AL718" i="6" s="1"/>
  <c r="L718" i="6"/>
  <c r="AM718" i="6" s="1"/>
  <c r="M718" i="6"/>
  <c r="N718" i="6"/>
  <c r="O718" i="6"/>
  <c r="P718" i="6"/>
  <c r="Q718" i="6"/>
  <c r="R718" i="6"/>
  <c r="S718" i="6"/>
  <c r="T718" i="6"/>
  <c r="U718" i="6"/>
  <c r="J719" i="6"/>
  <c r="AK719" i="6" s="1"/>
  <c r="K719" i="6"/>
  <c r="AL719" i="6" s="1"/>
  <c r="L719" i="6"/>
  <c r="AM719" i="6" s="1"/>
  <c r="M719" i="6"/>
  <c r="N719" i="6"/>
  <c r="O719" i="6"/>
  <c r="P719" i="6"/>
  <c r="Q719" i="6"/>
  <c r="R719" i="6"/>
  <c r="S719" i="6"/>
  <c r="T719" i="6"/>
  <c r="U719" i="6"/>
  <c r="J720" i="6"/>
  <c r="AK720" i="6" s="1"/>
  <c r="K720" i="6"/>
  <c r="AL720" i="6" s="1"/>
  <c r="L720" i="6"/>
  <c r="AM720" i="6" s="1"/>
  <c r="M720" i="6"/>
  <c r="N720" i="6"/>
  <c r="O720" i="6"/>
  <c r="P720" i="6"/>
  <c r="Q720" i="6"/>
  <c r="R720" i="6"/>
  <c r="S720" i="6"/>
  <c r="T720" i="6"/>
  <c r="U720" i="6"/>
  <c r="J721" i="6"/>
  <c r="AK721" i="6" s="1"/>
  <c r="K721" i="6"/>
  <c r="AL721" i="6" s="1"/>
  <c r="L721" i="6"/>
  <c r="M721" i="6"/>
  <c r="N721" i="6"/>
  <c r="O721" i="6"/>
  <c r="P721" i="6"/>
  <c r="Q721" i="6"/>
  <c r="R721" i="6"/>
  <c r="S721" i="6"/>
  <c r="T721" i="6"/>
  <c r="U721" i="6"/>
  <c r="J722" i="6"/>
  <c r="AK722" i="6" s="1"/>
  <c r="K722" i="6"/>
  <c r="L722" i="6"/>
  <c r="AM722" i="6" s="1"/>
  <c r="M722" i="6"/>
  <c r="N722" i="6"/>
  <c r="O722" i="6"/>
  <c r="P722" i="6"/>
  <c r="Q722" i="6"/>
  <c r="R722" i="6"/>
  <c r="S722" i="6"/>
  <c r="T722" i="6"/>
  <c r="U722" i="6"/>
  <c r="J723" i="6"/>
  <c r="AK723" i="6" s="1"/>
  <c r="K723" i="6"/>
  <c r="AL723" i="6" s="1"/>
  <c r="L723" i="6"/>
  <c r="AM723" i="6" s="1"/>
  <c r="M723" i="6"/>
  <c r="N723" i="6"/>
  <c r="O723" i="6"/>
  <c r="P723" i="6"/>
  <c r="Q723" i="6"/>
  <c r="R723" i="6"/>
  <c r="S723" i="6"/>
  <c r="T723" i="6"/>
  <c r="U723" i="6"/>
  <c r="J724" i="6"/>
  <c r="K724" i="6"/>
  <c r="AL724" i="6" s="1"/>
  <c r="L724" i="6"/>
  <c r="AM724" i="6" s="1"/>
  <c r="M724" i="6"/>
  <c r="N724" i="6"/>
  <c r="O724" i="6"/>
  <c r="P724" i="6"/>
  <c r="Q724" i="6"/>
  <c r="R724" i="6"/>
  <c r="S724" i="6"/>
  <c r="T724" i="6"/>
  <c r="U724" i="6"/>
  <c r="J725" i="6"/>
  <c r="AK725" i="6" s="1"/>
  <c r="K725" i="6"/>
  <c r="AL725" i="6" s="1"/>
  <c r="L725" i="6"/>
  <c r="AM725" i="6" s="1"/>
  <c r="M725" i="6"/>
  <c r="N725" i="6"/>
  <c r="O725" i="6"/>
  <c r="P725" i="6"/>
  <c r="Q725" i="6"/>
  <c r="R725" i="6"/>
  <c r="S725" i="6"/>
  <c r="T725" i="6"/>
  <c r="U725" i="6"/>
  <c r="J726" i="6"/>
  <c r="AK726" i="6" s="1"/>
  <c r="K726" i="6"/>
  <c r="AL726" i="6" s="1"/>
  <c r="L726" i="6"/>
  <c r="AM726" i="6" s="1"/>
  <c r="M726" i="6"/>
  <c r="N726" i="6"/>
  <c r="O726" i="6"/>
  <c r="P726" i="6"/>
  <c r="Q726" i="6"/>
  <c r="R726" i="6"/>
  <c r="S726" i="6"/>
  <c r="T726" i="6"/>
  <c r="U726" i="6"/>
  <c r="J727" i="6"/>
  <c r="AK727" i="6" s="1"/>
  <c r="K727" i="6"/>
  <c r="AL727" i="6" s="1"/>
  <c r="L727" i="6"/>
  <c r="AM727" i="6" s="1"/>
  <c r="M727" i="6"/>
  <c r="N727" i="6"/>
  <c r="O727" i="6"/>
  <c r="P727" i="6"/>
  <c r="Q727" i="6"/>
  <c r="R727" i="6"/>
  <c r="S727" i="6"/>
  <c r="T727" i="6"/>
  <c r="U727" i="6"/>
  <c r="J728" i="6"/>
  <c r="AK728" i="6" s="1"/>
  <c r="K728" i="6"/>
  <c r="AL728" i="6" s="1"/>
  <c r="L728" i="6"/>
  <c r="AM728" i="6" s="1"/>
  <c r="M728" i="6"/>
  <c r="N728" i="6"/>
  <c r="O728" i="6"/>
  <c r="P728" i="6"/>
  <c r="Q728" i="6"/>
  <c r="R728" i="6"/>
  <c r="S728" i="6"/>
  <c r="T728" i="6"/>
  <c r="U728" i="6"/>
  <c r="J729" i="6"/>
  <c r="AK729" i="6" s="1"/>
  <c r="K729" i="6"/>
  <c r="AL729" i="6" s="1"/>
  <c r="L729" i="6"/>
  <c r="M729" i="6"/>
  <c r="N729" i="6"/>
  <c r="O729" i="6"/>
  <c r="P729" i="6"/>
  <c r="Q729" i="6"/>
  <c r="R729" i="6"/>
  <c r="S729" i="6"/>
  <c r="T729" i="6"/>
  <c r="U729" i="6"/>
  <c r="J730" i="6"/>
  <c r="AK730" i="6" s="1"/>
  <c r="K730" i="6"/>
  <c r="AL730" i="6" s="1"/>
  <c r="L730" i="6"/>
  <c r="AM730" i="6" s="1"/>
  <c r="M730" i="6"/>
  <c r="N730" i="6"/>
  <c r="O730" i="6"/>
  <c r="P730" i="6"/>
  <c r="Q730" i="6"/>
  <c r="R730" i="6"/>
  <c r="S730" i="6"/>
  <c r="T730" i="6"/>
  <c r="U730" i="6"/>
  <c r="J731" i="6"/>
  <c r="AK731" i="6" s="1"/>
  <c r="K731" i="6"/>
  <c r="AL731" i="6" s="1"/>
  <c r="L731" i="6"/>
  <c r="M731" i="6"/>
  <c r="N731" i="6"/>
  <c r="O731" i="6"/>
  <c r="P731" i="6"/>
  <c r="Q731" i="6"/>
  <c r="R731" i="6"/>
  <c r="S731" i="6"/>
  <c r="T731" i="6"/>
  <c r="U731" i="6"/>
  <c r="J732" i="6"/>
  <c r="AK732" i="6" s="1"/>
  <c r="K732" i="6"/>
  <c r="AL732" i="6" s="1"/>
  <c r="L732" i="6"/>
  <c r="AM732" i="6" s="1"/>
  <c r="M732" i="6"/>
  <c r="N732" i="6"/>
  <c r="O732" i="6"/>
  <c r="P732" i="6"/>
  <c r="Q732" i="6"/>
  <c r="R732" i="6"/>
  <c r="S732" i="6"/>
  <c r="T732" i="6"/>
  <c r="U732" i="6"/>
  <c r="J733" i="6"/>
  <c r="AK733" i="6" s="1"/>
  <c r="K733" i="6"/>
  <c r="AL733" i="6" s="1"/>
  <c r="L733" i="6"/>
  <c r="AM733" i="6" s="1"/>
  <c r="M733" i="6"/>
  <c r="N733" i="6"/>
  <c r="O733" i="6"/>
  <c r="P733" i="6"/>
  <c r="Q733" i="6"/>
  <c r="R733" i="6"/>
  <c r="S733" i="6"/>
  <c r="T733" i="6"/>
  <c r="U733" i="6"/>
  <c r="J734" i="6"/>
  <c r="AK734" i="6" s="1"/>
  <c r="K734" i="6"/>
  <c r="AL734" i="6" s="1"/>
  <c r="L734" i="6"/>
  <c r="M734" i="6"/>
  <c r="N734" i="6"/>
  <c r="O734" i="6"/>
  <c r="P734" i="6"/>
  <c r="Q734" i="6"/>
  <c r="R734" i="6"/>
  <c r="S734" i="6"/>
  <c r="T734" i="6"/>
  <c r="U734" i="6"/>
  <c r="J735" i="6"/>
  <c r="AK735" i="6" s="1"/>
  <c r="K735" i="6"/>
  <c r="AL735" i="6" s="1"/>
  <c r="L735" i="6"/>
  <c r="AM735" i="6" s="1"/>
  <c r="M735" i="6"/>
  <c r="N735" i="6"/>
  <c r="O735" i="6"/>
  <c r="P735" i="6"/>
  <c r="Q735" i="6"/>
  <c r="R735" i="6"/>
  <c r="S735" i="6"/>
  <c r="T735" i="6"/>
  <c r="U735" i="6"/>
  <c r="J736" i="6"/>
  <c r="K736" i="6"/>
  <c r="AL736" i="6" s="1"/>
  <c r="L736" i="6"/>
  <c r="AM736" i="6" s="1"/>
  <c r="M736" i="6"/>
  <c r="N736" i="6"/>
  <c r="O736" i="6"/>
  <c r="P736" i="6"/>
  <c r="Q736" i="6"/>
  <c r="R736" i="6"/>
  <c r="S736" i="6"/>
  <c r="T736" i="6"/>
  <c r="U736" i="6"/>
  <c r="J737" i="6"/>
  <c r="AK737" i="6" s="1"/>
  <c r="K737" i="6"/>
  <c r="AL737" i="6" s="1"/>
  <c r="L737" i="6"/>
  <c r="AM737" i="6" s="1"/>
  <c r="M737" i="6"/>
  <c r="N737" i="6"/>
  <c r="O737" i="6"/>
  <c r="P737" i="6"/>
  <c r="Q737" i="6"/>
  <c r="R737" i="6"/>
  <c r="S737" i="6"/>
  <c r="T737" i="6"/>
  <c r="U737" i="6"/>
  <c r="J738" i="6"/>
  <c r="AK738" i="6" s="1"/>
  <c r="K738" i="6"/>
  <c r="AL738" i="6" s="1"/>
  <c r="L738" i="6"/>
  <c r="M738" i="6"/>
  <c r="N738" i="6"/>
  <c r="O738" i="6"/>
  <c r="P738" i="6"/>
  <c r="Q738" i="6"/>
  <c r="R738" i="6"/>
  <c r="S738" i="6"/>
  <c r="T738" i="6"/>
  <c r="U738" i="6"/>
  <c r="J739" i="6"/>
  <c r="AK739" i="6" s="1"/>
  <c r="K739" i="6"/>
  <c r="AL739" i="6" s="1"/>
  <c r="L739" i="6"/>
  <c r="AM739" i="6" s="1"/>
  <c r="M739" i="6"/>
  <c r="N739" i="6"/>
  <c r="O739" i="6"/>
  <c r="P739" i="6"/>
  <c r="Q739" i="6"/>
  <c r="R739" i="6"/>
  <c r="S739" i="6"/>
  <c r="T739" i="6"/>
  <c r="U739" i="6"/>
  <c r="J740" i="6"/>
  <c r="AK740" i="6" s="1"/>
  <c r="K740" i="6"/>
  <c r="AL740" i="6" s="1"/>
  <c r="L740" i="6"/>
  <c r="AM740" i="6" s="1"/>
  <c r="M740" i="6"/>
  <c r="N740" i="6"/>
  <c r="O740" i="6"/>
  <c r="P740" i="6"/>
  <c r="Q740" i="6"/>
  <c r="R740" i="6"/>
  <c r="S740" i="6"/>
  <c r="T740" i="6"/>
  <c r="U740" i="6"/>
  <c r="J741" i="6"/>
  <c r="AK741" i="6" s="1"/>
  <c r="K741" i="6"/>
  <c r="AL741" i="6" s="1"/>
  <c r="L741" i="6"/>
  <c r="AM741" i="6" s="1"/>
  <c r="M741" i="6"/>
  <c r="N741" i="6"/>
  <c r="O741" i="6"/>
  <c r="P741" i="6"/>
  <c r="Q741" i="6"/>
  <c r="R741" i="6"/>
  <c r="S741" i="6"/>
  <c r="T741" i="6"/>
  <c r="U741" i="6"/>
  <c r="J742" i="6"/>
  <c r="AK742" i="6" s="1"/>
  <c r="K742" i="6"/>
  <c r="AL742" i="6" s="1"/>
  <c r="L742" i="6"/>
  <c r="AM742" i="6" s="1"/>
  <c r="M742" i="6"/>
  <c r="N742" i="6"/>
  <c r="O742" i="6"/>
  <c r="P742" i="6"/>
  <c r="Q742" i="6"/>
  <c r="R742" i="6"/>
  <c r="S742" i="6"/>
  <c r="T742" i="6"/>
  <c r="U742" i="6"/>
  <c r="J743" i="6"/>
  <c r="AK743" i="6" s="1"/>
  <c r="K743" i="6"/>
  <c r="AL743" i="6" s="1"/>
  <c r="L743" i="6"/>
  <c r="AM743" i="6" s="1"/>
  <c r="M743" i="6"/>
  <c r="N743" i="6"/>
  <c r="O743" i="6"/>
  <c r="P743" i="6"/>
  <c r="Q743" i="6"/>
  <c r="R743" i="6"/>
  <c r="S743" i="6"/>
  <c r="T743" i="6"/>
  <c r="U743" i="6"/>
  <c r="J744" i="6"/>
  <c r="AK744" i="6" s="1"/>
  <c r="K744" i="6"/>
  <c r="AL744" i="6" s="1"/>
  <c r="L744" i="6"/>
  <c r="AM744" i="6" s="1"/>
  <c r="M744" i="6"/>
  <c r="N744" i="6"/>
  <c r="O744" i="6"/>
  <c r="P744" i="6"/>
  <c r="Q744" i="6"/>
  <c r="R744" i="6"/>
  <c r="S744" i="6"/>
  <c r="T744" i="6"/>
  <c r="U744" i="6"/>
  <c r="J745" i="6"/>
  <c r="AK745" i="6" s="1"/>
  <c r="K745" i="6"/>
  <c r="AL745" i="6" s="1"/>
  <c r="L745" i="6"/>
  <c r="AM745" i="6" s="1"/>
  <c r="M745" i="6"/>
  <c r="N745" i="6"/>
  <c r="O745" i="6"/>
  <c r="P745" i="6"/>
  <c r="Q745" i="6"/>
  <c r="R745" i="6"/>
  <c r="S745" i="6"/>
  <c r="T745" i="6"/>
  <c r="U745" i="6"/>
  <c r="J746" i="6"/>
  <c r="K746" i="6"/>
  <c r="AL746" i="6" s="1"/>
  <c r="L746" i="6"/>
  <c r="M746" i="6"/>
  <c r="N746" i="6"/>
  <c r="O746" i="6"/>
  <c r="P746" i="6"/>
  <c r="Q746" i="6"/>
  <c r="R746" i="6"/>
  <c r="S746" i="6"/>
  <c r="T746" i="6"/>
  <c r="U746" i="6"/>
  <c r="J747" i="6"/>
  <c r="AK747" i="6" s="1"/>
  <c r="K747" i="6"/>
  <c r="AL747" i="6" s="1"/>
  <c r="L747" i="6"/>
  <c r="AM747" i="6" s="1"/>
  <c r="M747" i="6"/>
  <c r="N747" i="6"/>
  <c r="O747" i="6"/>
  <c r="P747" i="6"/>
  <c r="Q747" i="6"/>
  <c r="R747" i="6"/>
  <c r="S747" i="6"/>
  <c r="T747" i="6"/>
  <c r="U747" i="6"/>
  <c r="J748" i="6"/>
  <c r="AK748" i="6" s="1"/>
  <c r="K748" i="6"/>
  <c r="AL748" i="6" s="1"/>
  <c r="L748" i="6"/>
  <c r="M748" i="6"/>
  <c r="N748" i="6"/>
  <c r="O748" i="6"/>
  <c r="P748" i="6"/>
  <c r="Q748" i="6"/>
  <c r="R748" i="6"/>
  <c r="S748" i="6"/>
  <c r="T748" i="6"/>
  <c r="U748" i="6"/>
  <c r="J749" i="6"/>
  <c r="AK749" i="6" s="1"/>
  <c r="K749" i="6"/>
  <c r="AL749" i="6" s="1"/>
  <c r="L749" i="6"/>
  <c r="AM749" i="6" s="1"/>
  <c r="M749" i="6"/>
  <c r="N749" i="6"/>
  <c r="O749" i="6"/>
  <c r="P749" i="6"/>
  <c r="Q749" i="6"/>
  <c r="R749" i="6"/>
  <c r="S749" i="6"/>
  <c r="T749" i="6"/>
  <c r="U749" i="6"/>
  <c r="J750" i="6"/>
  <c r="AK750" i="6" s="1"/>
  <c r="K750" i="6"/>
  <c r="AL750" i="6" s="1"/>
  <c r="L750" i="6"/>
  <c r="AM750" i="6" s="1"/>
  <c r="M750" i="6"/>
  <c r="N750" i="6"/>
  <c r="O750" i="6"/>
  <c r="P750" i="6"/>
  <c r="Q750" i="6"/>
  <c r="R750" i="6"/>
  <c r="S750" i="6"/>
  <c r="T750" i="6"/>
  <c r="U750" i="6"/>
  <c r="J751" i="6"/>
  <c r="AK751" i="6" s="1"/>
  <c r="K751" i="6"/>
  <c r="AL751" i="6" s="1"/>
  <c r="L751" i="6"/>
  <c r="M751" i="6"/>
  <c r="N751" i="6"/>
  <c r="O751" i="6"/>
  <c r="P751" i="6"/>
  <c r="Q751" i="6"/>
  <c r="R751" i="6"/>
  <c r="S751" i="6"/>
  <c r="T751" i="6"/>
  <c r="U751" i="6"/>
  <c r="J752" i="6"/>
  <c r="AK752" i="6" s="1"/>
  <c r="K752" i="6"/>
  <c r="AL752" i="6" s="1"/>
  <c r="L752" i="6"/>
  <c r="AM752" i="6" s="1"/>
  <c r="M752" i="6"/>
  <c r="N752" i="6"/>
  <c r="O752" i="6"/>
  <c r="P752" i="6"/>
  <c r="Q752" i="6"/>
  <c r="R752" i="6"/>
  <c r="S752" i="6"/>
  <c r="T752" i="6"/>
  <c r="U752" i="6"/>
  <c r="J753" i="6"/>
  <c r="AK753" i="6" s="1"/>
  <c r="K753" i="6"/>
  <c r="AL753" i="6" s="1"/>
  <c r="L753" i="6"/>
  <c r="AM753" i="6" s="1"/>
  <c r="M753" i="6"/>
  <c r="N753" i="6"/>
  <c r="O753" i="6"/>
  <c r="P753" i="6"/>
  <c r="Q753" i="6"/>
  <c r="R753" i="6"/>
  <c r="S753" i="6"/>
  <c r="T753" i="6"/>
  <c r="U753" i="6"/>
  <c r="J754" i="6"/>
  <c r="AK754" i="6" s="1"/>
  <c r="K754" i="6"/>
  <c r="AL754" i="6" s="1"/>
  <c r="L754" i="6"/>
  <c r="AM754" i="6" s="1"/>
  <c r="M754" i="6"/>
  <c r="N754" i="6"/>
  <c r="O754" i="6"/>
  <c r="P754" i="6"/>
  <c r="Q754" i="6"/>
  <c r="R754" i="6"/>
  <c r="S754" i="6"/>
  <c r="T754" i="6"/>
  <c r="U754" i="6"/>
  <c r="J755" i="6"/>
  <c r="AK755" i="6" s="1"/>
  <c r="K755" i="6"/>
  <c r="AL755" i="6" s="1"/>
  <c r="L755" i="6"/>
  <c r="AM755" i="6" s="1"/>
  <c r="M755" i="6"/>
  <c r="N755" i="6"/>
  <c r="O755" i="6"/>
  <c r="P755" i="6"/>
  <c r="Q755" i="6"/>
  <c r="R755" i="6"/>
  <c r="S755" i="6"/>
  <c r="T755" i="6"/>
  <c r="U755" i="6"/>
  <c r="J756" i="6"/>
  <c r="AK756" i="6" s="1"/>
  <c r="K756" i="6"/>
  <c r="AL756" i="6" s="1"/>
  <c r="L756" i="6"/>
  <c r="AM756" i="6" s="1"/>
  <c r="M756" i="6"/>
  <c r="N756" i="6"/>
  <c r="O756" i="6"/>
  <c r="P756" i="6"/>
  <c r="Q756" i="6"/>
  <c r="R756" i="6"/>
  <c r="S756" i="6"/>
  <c r="T756" i="6"/>
  <c r="U756" i="6"/>
  <c r="J757" i="6"/>
  <c r="AK757" i="6" s="1"/>
  <c r="K757" i="6"/>
  <c r="AL757" i="6" s="1"/>
  <c r="L757" i="6"/>
  <c r="M757" i="6"/>
  <c r="N757" i="6"/>
  <c r="O757" i="6"/>
  <c r="P757" i="6"/>
  <c r="Q757" i="6"/>
  <c r="R757" i="6"/>
  <c r="S757" i="6"/>
  <c r="T757" i="6"/>
  <c r="U757" i="6"/>
  <c r="J758" i="6"/>
  <c r="AK758" i="6" s="1"/>
  <c r="K758" i="6"/>
  <c r="AL758" i="6" s="1"/>
  <c r="L758" i="6"/>
  <c r="AM758" i="6" s="1"/>
  <c r="M758" i="6"/>
  <c r="N758" i="6"/>
  <c r="O758" i="6"/>
  <c r="P758" i="6"/>
  <c r="Q758" i="6"/>
  <c r="R758" i="6"/>
  <c r="S758" i="6"/>
  <c r="T758" i="6"/>
  <c r="U758" i="6"/>
  <c r="J759" i="6"/>
  <c r="AK759" i="6" s="1"/>
  <c r="K759" i="6"/>
  <c r="AL759" i="6" s="1"/>
  <c r="L759" i="6"/>
  <c r="AM759" i="6" s="1"/>
  <c r="M759" i="6"/>
  <c r="N759" i="6"/>
  <c r="O759" i="6"/>
  <c r="P759" i="6"/>
  <c r="Q759" i="6"/>
  <c r="R759" i="6"/>
  <c r="S759" i="6"/>
  <c r="T759" i="6"/>
  <c r="U759" i="6"/>
  <c r="J760" i="6"/>
  <c r="AK760" i="6" s="1"/>
  <c r="K760" i="6"/>
  <c r="AL760" i="6" s="1"/>
  <c r="L760" i="6"/>
  <c r="AM760" i="6" s="1"/>
  <c r="M760" i="6"/>
  <c r="N760" i="6"/>
  <c r="O760" i="6"/>
  <c r="P760" i="6"/>
  <c r="Q760" i="6"/>
  <c r="R760" i="6"/>
  <c r="S760" i="6"/>
  <c r="T760" i="6"/>
  <c r="U760" i="6"/>
  <c r="J761" i="6"/>
  <c r="AK761" i="6" s="1"/>
  <c r="K761" i="6"/>
  <c r="AL761" i="6" s="1"/>
  <c r="L761" i="6"/>
  <c r="AM761" i="6" s="1"/>
  <c r="M761" i="6"/>
  <c r="N761" i="6"/>
  <c r="O761" i="6"/>
  <c r="P761" i="6"/>
  <c r="Q761" i="6"/>
  <c r="R761" i="6"/>
  <c r="S761" i="6"/>
  <c r="T761" i="6"/>
  <c r="U761" i="6"/>
  <c r="J762" i="6"/>
  <c r="AK762" i="6" s="1"/>
  <c r="K762" i="6"/>
  <c r="AL762" i="6" s="1"/>
  <c r="L762" i="6"/>
  <c r="M762" i="6"/>
  <c r="N762" i="6"/>
  <c r="O762" i="6"/>
  <c r="P762" i="6"/>
  <c r="Q762" i="6"/>
  <c r="R762" i="6"/>
  <c r="S762" i="6"/>
  <c r="T762" i="6"/>
  <c r="U762" i="6"/>
  <c r="J763" i="6"/>
  <c r="AK763" i="6" s="1"/>
  <c r="K763" i="6"/>
  <c r="AL763" i="6" s="1"/>
  <c r="L763" i="6"/>
  <c r="M763" i="6"/>
  <c r="N763" i="6"/>
  <c r="O763" i="6"/>
  <c r="P763" i="6"/>
  <c r="Q763" i="6"/>
  <c r="R763" i="6"/>
  <c r="S763" i="6"/>
  <c r="T763" i="6"/>
  <c r="U763" i="6"/>
  <c r="J764" i="6"/>
  <c r="AK764" i="6" s="1"/>
  <c r="K764" i="6"/>
  <c r="AL764" i="6" s="1"/>
  <c r="L764" i="6"/>
  <c r="AM764" i="6" s="1"/>
  <c r="M764" i="6"/>
  <c r="N764" i="6"/>
  <c r="O764" i="6"/>
  <c r="P764" i="6"/>
  <c r="Q764" i="6"/>
  <c r="R764" i="6"/>
  <c r="S764" i="6"/>
  <c r="T764" i="6"/>
  <c r="U764" i="6"/>
  <c r="J765" i="6"/>
  <c r="AK765" i="6" s="1"/>
  <c r="K765" i="6"/>
  <c r="AL765" i="6" s="1"/>
  <c r="L765" i="6"/>
  <c r="M765" i="6"/>
  <c r="N765" i="6"/>
  <c r="O765" i="6"/>
  <c r="P765" i="6"/>
  <c r="Q765" i="6"/>
  <c r="R765" i="6"/>
  <c r="S765" i="6"/>
  <c r="T765" i="6"/>
  <c r="U765" i="6"/>
  <c r="J766" i="6"/>
  <c r="AK766" i="6" s="1"/>
  <c r="K766" i="6"/>
  <c r="AL766" i="6" s="1"/>
  <c r="L766" i="6"/>
  <c r="M766" i="6"/>
  <c r="N766" i="6"/>
  <c r="O766" i="6"/>
  <c r="P766" i="6"/>
  <c r="Q766" i="6"/>
  <c r="R766" i="6"/>
  <c r="S766" i="6"/>
  <c r="T766" i="6"/>
  <c r="U766" i="6"/>
  <c r="J767" i="6"/>
  <c r="AK767" i="6" s="1"/>
  <c r="K767" i="6"/>
  <c r="AL767" i="6" s="1"/>
  <c r="L767" i="6"/>
  <c r="AM767" i="6" s="1"/>
  <c r="M767" i="6"/>
  <c r="N767" i="6"/>
  <c r="O767" i="6"/>
  <c r="P767" i="6"/>
  <c r="Q767" i="6"/>
  <c r="R767" i="6"/>
  <c r="S767" i="6"/>
  <c r="T767" i="6"/>
  <c r="U767" i="6"/>
  <c r="J768" i="6"/>
  <c r="AK768" i="6" s="1"/>
  <c r="K768" i="6"/>
  <c r="AL768" i="6" s="1"/>
  <c r="L768" i="6"/>
  <c r="AM768" i="6" s="1"/>
  <c r="M768" i="6"/>
  <c r="N768" i="6"/>
  <c r="O768" i="6"/>
  <c r="P768" i="6"/>
  <c r="Q768" i="6"/>
  <c r="R768" i="6"/>
  <c r="S768" i="6"/>
  <c r="T768" i="6"/>
  <c r="U768" i="6"/>
  <c r="J769" i="6"/>
  <c r="AK769" i="6" s="1"/>
  <c r="K769" i="6"/>
  <c r="AL769" i="6" s="1"/>
  <c r="L769" i="6"/>
  <c r="AM769" i="6" s="1"/>
  <c r="M769" i="6"/>
  <c r="N769" i="6"/>
  <c r="O769" i="6"/>
  <c r="P769" i="6"/>
  <c r="Q769" i="6"/>
  <c r="R769" i="6"/>
  <c r="S769" i="6"/>
  <c r="T769" i="6"/>
  <c r="U769" i="6"/>
  <c r="J770" i="6"/>
  <c r="AK770" i="6" s="1"/>
  <c r="K770" i="6"/>
  <c r="AL770" i="6" s="1"/>
  <c r="L770" i="6"/>
  <c r="AM770" i="6" s="1"/>
  <c r="M770" i="6"/>
  <c r="N770" i="6"/>
  <c r="O770" i="6"/>
  <c r="P770" i="6"/>
  <c r="Q770" i="6"/>
  <c r="R770" i="6"/>
  <c r="S770" i="6"/>
  <c r="T770" i="6"/>
  <c r="U770" i="6"/>
  <c r="J771" i="6"/>
  <c r="AK771" i="6" s="1"/>
  <c r="K771" i="6"/>
  <c r="AL771" i="6" s="1"/>
  <c r="L771" i="6"/>
  <c r="AM771" i="6" s="1"/>
  <c r="M771" i="6"/>
  <c r="N771" i="6"/>
  <c r="O771" i="6"/>
  <c r="P771" i="6"/>
  <c r="Q771" i="6"/>
  <c r="R771" i="6"/>
  <c r="S771" i="6"/>
  <c r="T771" i="6"/>
  <c r="U771" i="6"/>
  <c r="J772" i="6"/>
  <c r="AK772" i="6" s="1"/>
  <c r="K772" i="6"/>
  <c r="AL772" i="6" s="1"/>
  <c r="L772" i="6"/>
  <c r="AM772" i="6" s="1"/>
  <c r="M772" i="6"/>
  <c r="N772" i="6"/>
  <c r="O772" i="6"/>
  <c r="P772" i="6"/>
  <c r="Q772" i="6"/>
  <c r="R772" i="6"/>
  <c r="S772" i="6"/>
  <c r="T772" i="6"/>
  <c r="U772" i="6"/>
  <c r="J773" i="6"/>
  <c r="K773" i="6"/>
  <c r="AL773" i="6" s="1"/>
  <c r="L773" i="6"/>
  <c r="AM773" i="6" s="1"/>
  <c r="M773" i="6"/>
  <c r="N773" i="6"/>
  <c r="O773" i="6"/>
  <c r="P773" i="6"/>
  <c r="Q773" i="6"/>
  <c r="R773" i="6"/>
  <c r="S773" i="6"/>
  <c r="T773" i="6"/>
  <c r="U773" i="6"/>
  <c r="J774" i="6"/>
  <c r="AK774" i="6" s="1"/>
  <c r="K774" i="6"/>
  <c r="AL774" i="6" s="1"/>
  <c r="L774" i="6"/>
  <c r="AM774" i="6" s="1"/>
  <c r="M774" i="6"/>
  <c r="N774" i="6"/>
  <c r="O774" i="6"/>
  <c r="P774" i="6"/>
  <c r="Q774" i="6"/>
  <c r="R774" i="6"/>
  <c r="S774" i="6"/>
  <c r="T774" i="6"/>
  <c r="U774" i="6"/>
  <c r="J775" i="6"/>
  <c r="AK775" i="6" s="1"/>
  <c r="K775" i="6"/>
  <c r="AL775" i="6" s="1"/>
  <c r="L775" i="6"/>
  <c r="AM775" i="6" s="1"/>
  <c r="M775" i="6"/>
  <c r="N775" i="6"/>
  <c r="O775" i="6"/>
  <c r="P775" i="6"/>
  <c r="Q775" i="6"/>
  <c r="R775" i="6"/>
  <c r="S775" i="6"/>
  <c r="T775" i="6"/>
  <c r="U775" i="6"/>
  <c r="J776" i="6"/>
  <c r="AK776" i="6" s="1"/>
  <c r="K776" i="6"/>
  <c r="AL776" i="6" s="1"/>
  <c r="L776" i="6"/>
  <c r="AM776" i="6" s="1"/>
  <c r="M776" i="6"/>
  <c r="N776" i="6"/>
  <c r="O776" i="6"/>
  <c r="P776" i="6"/>
  <c r="Q776" i="6"/>
  <c r="R776" i="6"/>
  <c r="S776" i="6"/>
  <c r="T776" i="6"/>
  <c r="U776" i="6"/>
  <c r="J777" i="6"/>
  <c r="AK777" i="6" s="1"/>
  <c r="K777" i="6"/>
  <c r="AL777" i="6" s="1"/>
  <c r="L777" i="6"/>
  <c r="AM777" i="6" s="1"/>
  <c r="M777" i="6"/>
  <c r="N777" i="6"/>
  <c r="O777" i="6"/>
  <c r="P777" i="6"/>
  <c r="Q777" i="6"/>
  <c r="R777" i="6"/>
  <c r="S777" i="6"/>
  <c r="T777" i="6"/>
  <c r="U777" i="6"/>
  <c r="J778" i="6"/>
  <c r="AK778" i="6" s="1"/>
  <c r="K778" i="6"/>
  <c r="AL778" i="6" s="1"/>
  <c r="L778" i="6"/>
  <c r="AM778" i="6" s="1"/>
  <c r="M778" i="6"/>
  <c r="N778" i="6"/>
  <c r="O778" i="6"/>
  <c r="P778" i="6"/>
  <c r="Q778" i="6"/>
  <c r="R778" i="6"/>
  <c r="S778" i="6"/>
  <c r="T778" i="6"/>
  <c r="U778" i="6"/>
  <c r="J779" i="6"/>
  <c r="K779" i="6"/>
  <c r="AL779" i="6" s="1"/>
  <c r="L779" i="6"/>
  <c r="AM779" i="6" s="1"/>
  <c r="M779" i="6"/>
  <c r="N779" i="6"/>
  <c r="O779" i="6"/>
  <c r="P779" i="6"/>
  <c r="Q779" i="6"/>
  <c r="R779" i="6"/>
  <c r="S779" i="6"/>
  <c r="T779" i="6"/>
  <c r="U779" i="6"/>
  <c r="J780" i="6"/>
  <c r="AK780" i="6" s="1"/>
  <c r="K780" i="6"/>
  <c r="AL780" i="6" s="1"/>
  <c r="L780" i="6"/>
  <c r="AM780" i="6" s="1"/>
  <c r="M780" i="6"/>
  <c r="N780" i="6"/>
  <c r="O780" i="6"/>
  <c r="P780" i="6"/>
  <c r="Q780" i="6"/>
  <c r="R780" i="6"/>
  <c r="S780" i="6"/>
  <c r="T780" i="6"/>
  <c r="U780" i="6"/>
  <c r="J781" i="6"/>
  <c r="AK781" i="6" s="1"/>
  <c r="K781" i="6"/>
  <c r="AL781" i="6" s="1"/>
  <c r="L781" i="6"/>
  <c r="AM781" i="6" s="1"/>
  <c r="M781" i="6"/>
  <c r="N781" i="6"/>
  <c r="O781" i="6"/>
  <c r="P781" i="6"/>
  <c r="Q781" i="6"/>
  <c r="R781" i="6"/>
  <c r="S781" i="6"/>
  <c r="T781" i="6"/>
  <c r="U781" i="6"/>
  <c r="J782" i="6"/>
  <c r="K782" i="6"/>
  <c r="AL782" i="6" s="1"/>
  <c r="L782" i="6"/>
  <c r="AM782" i="6" s="1"/>
  <c r="M782" i="6"/>
  <c r="N782" i="6"/>
  <c r="O782" i="6"/>
  <c r="P782" i="6"/>
  <c r="Q782" i="6"/>
  <c r="R782" i="6"/>
  <c r="S782" i="6"/>
  <c r="T782" i="6"/>
  <c r="U782" i="6"/>
  <c r="J783" i="6"/>
  <c r="AK783" i="6" s="1"/>
  <c r="K783" i="6"/>
  <c r="AL783" i="6" s="1"/>
  <c r="L783" i="6"/>
  <c r="AM783" i="6" s="1"/>
  <c r="M783" i="6"/>
  <c r="N783" i="6"/>
  <c r="O783" i="6"/>
  <c r="P783" i="6"/>
  <c r="Q783" i="6"/>
  <c r="R783" i="6"/>
  <c r="S783" i="6"/>
  <c r="T783" i="6"/>
  <c r="U783" i="6"/>
  <c r="J784" i="6"/>
  <c r="AK784" i="6" s="1"/>
  <c r="K784" i="6"/>
  <c r="AL784" i="6" s="1"/>
  <c r="L784" i="6"/>
  <c r="AM784" i="6" s="1"/>
  <c r="M784" i="6"/>
  <c r="N784" i="6"/>
  <c r="O784" i="6"/>
  <c r="P784" i="6"/>
  <c r="Q784" i="6"/>
  <c r="R784" i="6"/>
  <c r="S784" i="6"/>
  <c r="T784" i="6"/>
  <c r="U784" i="6"/>
  <c r="J785" i="6"/>
  <c r="AK785" i="6" s="1"/>
  <c r="K785" i="6"/>
  <c r="AL785" i="6" s="1"/>
  <c r="L785" i="6"/>
  <c r="AM785" i="6" s="1"/>
  <c r="M785" i="6"/>
  <c r="N785" i="6"/>
  <c r="O785" i="6"/>
  <c r="P785" i="6"/>
  <c r="Q785" i="6"/>
  <c r="R785" i="6"/>
  <c r="S785" i="6"/>
  <c r="T785" i="6"/>
  <c r="U785" i="6"/>
  <c r="J786" i="6"/>
  <c r="AK786" i="6" s="1"/>
  <c r="K786" i="6"/>
  <c r="AL786" i="6" s="1"/>
  <c r="L786" i="6"/>
  <c r="AM786" i="6" s="1"/>
  <c r="M786" i="6"/>
  <c r="N786" i="6"/>
  <c r="O786" i="6"/>
  <c r="P786" i="6"/>
  <c r="Q786" i="6"/>
  <c r="R786" i="6"/>
  <c r="S786" i="6"/>
  <c r="T786" i="6"/>
  <c r="U786" i="6"/>
  <c r="J787" i="6"/>
  <c r="K787" i="6"/>
  <c r="AL787" i="6" s="1"/>
  <c r="L787" i="6"/>
  <c r="AM787" i="6" s="1"/>
  <c r="M787" i="6"/>
  <c r="N787" i="6"/>
  <c r="O787" i="6"/>
  <c r="P787" i="6"/>
  <c r="Q787" i="6"/>
  <c r="R787" i="6"/>
  <c r="S787" i="6"/>
  <c r="T787" i="6"/>
  <c r="U787" i="6"/>
  <c r="J788" i="6"/>
  <c r="AK788" i="6" s="1"/>
  <c r="K788" i="6"/>
  <c r="AL788" i="6" s="1"/>
  <c r="L788" i="6"/>
  <c r="AM788" i="6" s="1"/>
  <c r="M788" i="6"/>
  <c r="N788" i="6"/>
  <c r="O788" i="6"/>
  <c r="P788" i="6"/>
  <c r="Q788" i="6"/>
  <c r="R788" i="6"/>
  <c r="S788" i="6"/>
  <c r="T788" i="6"/>
  <c r="U788" i="6"/>
  <c r="J789" i="6"/>
  <c r="AK789" i="6" s="1"/>
  <c r="K789" i="6"/>
  <c r="AL789" i="6" s="1"/>
  <c r="L789" i="6"/>
  <c r="AM789" i="6" s="1"/>
  <c r="M789" i="6"/>
  <c r="N789" i="6"/>
  <c r="O789" i="6"/>
  <c r="P789" i="6"/>
  <c r="Q789" i="6"/>
  <c r="R789" i="6"/>
  <c r="S789" i="6"/>
  <c r="T789" i="6"/>
  <c r="U789" i="6"/>
  <c r="J790" i="6"/>
  <c r="AK790" i="6" s="1"/>
  <c r="K790" i="6"/>
  <c r="AL790" i="6" s="1"/>
  <c r="L790" i="6"/>
  <c r="AM790" i="6" s="1"/>
  <c r="M790" i="6"/>
  <c r="N790" i="6"/>
  <c r="O790" i="6"/>
  <c r="P790" i="6"/>
  <c r="Q790" i="6"/>
  <c r="R790" i="6"/>
  <c r="S790" i="6"/>
  <c r="T790" i="6"/>
  <c r="U790" i="6"/>
  <c r="J791" i="6"/>
  <c r="AK791" i="6" s="1"/>
  <c r="K791" i="6"/>
  <c r="AL791" i="6" s="1"/>
  <c r="L791" i="6"/>
  <c r="AM791" i="6" s="1"/>
  <c r="M791" i="6"/>
  <c r="N791" i="6"/>
  <c r="O791" i="6"/>
  <c r="P791" i="6"/>
  <c r="Q791" i="6"/>
  <c r="R791" i="6"/>
  <c r="S791" i="6"/>
  <c r="T791" i="6"/>
  <c r="U791" i="6"/>
  <c r="J792" i="6"/>
  <c r="AK792" i="6" s="1"/>
  <c r="K792" i="6"/>
  <c r="AL792" i="6" s="1"/>
  <c r="L792" i="6"/>
  <c r="M792" i="6"/>
  <c r="N792" i="6"/>
  <c r="O792" i="6"/>
  <c r="P792" i="6"/>
  <c r="Q792" i="6"/>
  <c r="R792" i="6"/>
  <c r="S792" i="6"/>
  <c r="T792" i="6"/>
  <c r="U792" i="6"/>
  <c r="J793" i="6"/>
  <c r="AK793" i="6" s="1"/>
  <c r="K793" i="6"/>
  <c r="AL793" i="6" s="1"/>
  <c r="L793" i="6"/>
  <c r="AM793" i="6" s="1"/>
  <c r="M793" i="6"/>
  <c r="N793" i="6"/>
  <c r="O793" i="6"/>
  <c r="P793" i="6"/>
  <c r="Q793" i="6"/>
  <c r="R793" i="6"/>
  <c r="S793" i="6"/>
  <c r="T793" i="6"/>
  <c r="U793" i="6"/>
  <c r="J794" i="6"/>
  <c r="AK794" i="6" s="1"/>
  <c r="K794" i="6"/>
  <c r="AL794" i="6" s="1"/>
  <c r="L794" i="6"/>
  <c r="M794" i="6"/>
  <c r="N794" i="6"/>
  <c r="O794" i="6"/>
  <c r="P794" i="6"/>
  <c r="Q794" i="6"/>
  <c r="R794" i="6"/>
  <c r="S794" i="6"/>
  <c r="T794" i="6"/>
  <c r="U794" i="6"/>
  <c r="J795" i="6"/>
  <c r="AK795" i="6" s="1"/>
  <c r="K795" i="6"/>
  <c r="AL795" i="6" s="1"/>
  <c r="L795" i="6"/>
  <c r="M795" i="6"/>
  <c r="N795" i="6"/>
  <c r="O795" i="6"/>
  <c r="P795" i="6"/>
  <c r="Q795" i="6"/>
  <c r="R795" i="6"/>
  <c r="S795" i="6"/>
  <c r="T795" i="6"/>
  <c r="U795" i="6"/>
  <c r="J796" i="6"/>
  <c r="K796" i="6"/>
  <c r="AL796" i="6" s="1"/>
  <c r="L796" i="6"/>
  <c r="AM796" i="6" s="1"/>
  <c r="M796" i="6"/>
  <c r="N796" i="6"/>
  <c r="O796" i="6"/>
  <c r="P796" i="6"/>
  <c r="Q796" i="6"/>
  <c r="R796" i="6"/>
  <c r="S796" i="6"/>
  <c r="T796" i="6"/>
  <c r="U796" i="6"/>
  <c r="J797" i="6"/>
  <c r="AK797" i="6" s="1"/>
  <c r="K797" i="6"/>
  <c r="AL797" i="6" s="1"/>
  <c r="L797" i="6"/>
  <c r="M797" i="6"/>
  <c r="N797" i="6"/>
  <c r="O797" i="6"/>
  <c r="P797" i="6"/>
  <c r="Q797" i="6"/>
  <c r="R797" i="6"/>
  <c r="S797" i="6"/>
  <c r="T797" i="6"/>
  <c r="U797" i="6"/>
  <c r="J798" i="6"/>
  <c r="AK798" i="6" s="1"/>
  <c r="K798" i="6"/>
  <c r="AL798" i="6" s="1"/>
  <c r="L798" i="6"/>
  <c r="AM798" i="6" s="1"/>
  <c r="M798" i="6"/>
  <c r="N798" i="6"/>
  <c r="O798" i="6"/>
  <c r="P798" i="6"/>
  <c r="Q798" i="6"/>
  <c r="R798" i="6"/>
  <c r="S798" i="6"/>
  <c r="T798" i="6"/>
  <c r="U798" i="6"/>
  <c r="J799" i="6"/>
  <c r="AK799" i="6" s="1"/>
  <c r="K799" i="6"/>
  <c r="AL799" i="6" s="1"/>
  <c r="L799" i="6"/>
  <c r="AM799" i="6" s="1"/>
  <c r="M799" i="6"/>
  <c r="N799" i="6"/>
  <c r="O799" i="6"/>
  <c r="P799" i="6"/>
  <c r="Q799" i="6"/>
  <c r="R799" i="6"/>
  <c r="S799" i="6"/>
  <c r="T799" i="6"/>
  <c r="U799" i="6"/>
  <c r="J800" i="6"/>
  <c r="K800" i="6"/>
  <c r="AL800" i="6" s="1"/>
  <c r="L800" i="6"/>
  <c r="AM800" i="6" s="1"/>
  <c r="M800" i="6"/>
  <c r="N800" i="6"/>
  <c r="O800" i="6"/>
  <c r="P800" i="6"/>
  <c r="Q800" i="6"/>
  <c r="R800" i="6"/>
  <c r="S800" i="6"/>
  <c r="T800" i="6"/>
  <c r="U800" i="6"/>
  <c r="J801" i="6"/>
  <c r="AK801" i="6" s="1"/>
  <c r="K801" i="6"/>
  <c r="AL801" i="6" s="1"/>
  <c r="L801" i="6"/>
  <c r="AM801" i="6" s="1"/>
  <c r="M801" i="6"/>
  <c r="N801" i="6"/>
  <c r="O801" i="6"/>
  <c r="P801" i="6"/>
  <c r="Q801" i="6"/>
  <c r="R801" i="6"/>
  <c r="S801" i="6"/>
  <c r="T801" i="6"/>
  <c r="U801" i="6"/>
  <c r="J802" i="6"/>
  <c r="AK802" i="6" s="1"/>
  <c r="K802" i="6"/>
  <c r="AL802" i="6" s="1"/>
  <c r="L802" i="6"/>
  <c r="AM802" i="6" s="1"/>
  <c r="M802" i="6"/>
  <c r="N802" i="6"/>
  <c r="O802" i="6"/>
  <c r="P802" i="6"/>
  <c r="Q802" i="6"/>
  <c r="R802" i="6"/>
  <c r="S802" i="6"/>
  <c r="T802" i="6"/>
  <c r="U802" i="6"/>
  <c r="J803" i="6"/>
  <c r="AK803" i="6" s="1"/>
  <c r="K803" i="6"/>
  <c r="AL803" i="6" s="1"/>
  <c r="L803" i="6"/>
  <c r="M803" i="6"/>
  <c r="N803" i="6"/>
  <c r="O803" i="6"/>
  <c r="P803" i="6"/>
  <c r="Q803" i="6"/>
  <c r="R803" i="6"/>
  <c r="S803" i="6"/>
  <c r="T803" i="6"/>
  <c r="U803" i="6"/>
  <c r="J804" i="6"/>
  <c r="AK804" i="6" s="1"/>
  <c r="K804" i="6"/>
  <c r="AL804" i="6" s="1"/>
  <c r="L804" i="6"/>
  <c r="M804" i="6"/>
  <c r="N804" i="6"/>
  <c r="O804" i="6"/>
  <c r="P804" i="6"/>
  <c r="Q804" i="6"/>
  <c r="R804" i="6"/>
  <c r="S804" i="6"/>
  <c r="T804" i="6"/>
  <c r="U804" i="6"/>
  <c r="J805" i="6"/>
  <c r="AK805" i="6" s="1"/>
  <c r="K805" i="6"/>
  <c r="AL805" i="6" s="1"/>
  <c r="L805" i="6"/>
  <c r="AM805" i="6" s="1"/>
  <c r="M805" i="6"/>
  <c r="N805" i="6"/>
  <c r="O805" i="6"/>
  <c r="P805" i="6"/>
  <c r="Q805" i="6"/>
  <c r="R805" i="6"/>
  <c r="S805" i="6"/>
  <c r="T805" i="6"/>
  <c r="U805" i="6"/>
  <c r="J806" i="6"/>
  <c r="AK806" i="6" s="1"/>
  <c r="K806" i="6"/>
  <c r="AL806" i="6" s="1"/>
  <c r="L806" i="6"/>
  <c r="M806" i="6"/>
  <c r="N806" i="6"/>
  <c r="O806" i="6"/>
  <c r="P806" i="6"/>
  <c r="Q806" i="6"/>
  <c r="R806" i="6"/>
  <c r="S806" i="6"/>
  <c r="T806" i="6"/>
  <c r="U806" i="6"/>
  <c r="J807" i="6"/>
  <c r="AK807" i="6" s="1"/>
  <c r="K807" i="6"/>
  <c r="AL807" i="6" s="1"/>
  <c r="L807" i="6"/>
  <c r="AM807" i="6" s="1"/>
  <c r="M807" i="6"/>
  <c r="N807" i="6"/>
  <c r="O807" i="6"/>
  <c r="P807" i="6"/>
  <c r="Q807" i="6"/>
  <c r="R807" i="6"/>
  <c r="S807" i="6"/>
  <c r="T807" i="6"/>
  <c r="U807" i="6"/>
  <c r="J808" i="6"/>
  <c r="AK808" i="6" s="1"/>
  <c r="K808" i="6"/>
  <c r="AL808" i="6" s="1"/>
  <c r="L808" i="6"/>
  <c r="AM808" i="6" s="1"/>
  <c r="M808" i="6"/>
  <c r="N808" i="6"/>
  <c r="O808" i="6"/>
  <c r="P808" i="6"/>
  <c r="Q808" i="6"/>
  <c r="R808" i="6"/>
  <c r="S808" i="6"/>
  <c r="T808" i="6"/>
  <c r="U808" i="6"/>
  <c r="J809" i="6"/>
  <c r="K809" i="6"/>
  <c r="AL809" i="6" s="1"/>
  <c r="L809" i="6"/>
  <c r="AM809" i="6" s="1"/>
  <c r="M809" i="6"/>
  <c r="N809" i="6"/>
  <c r="O809" i="6"/>
  <c r="P809" i="6"/>
  <c r="Q809" i="6"/>
  <c r="R809" i="6"/>
  <c r="S809" i="6"/>
  <c r="T809" i="6"/>
  <c r="U809" i="6"/>
  <c r="J810" i="6"/>
  <c r="AK810" i="6" s="1"/>
  <c r="K810" i="6"/>
  <c r="AL810" i="6" s="1"/>
  <c r="L810" i="6"/>
  <c r="AM810" i="6" s="1"/>
  <c r="M810" i="6"/>
  <c r="N810" i="6"/>
  <c r="O810" i="6"/>
  <c r="P810" i="6"/>
  <c r="Q810" i="6"/>
  <c r="R810" i="6"/>
  <c r="S810" i="6"/>
  <c r="T810" i="6"/>
  <c r="U810" i="6"/>
  <c r="J811" i="6"/>
  <c r="AK811" i="6" s="1"/>
  <c r="K811" i="6"/>
  <c r="AL811" i="6" s="1"/>
  <c r="L811" i="6"/>
  <c r="AM811" i="6" s="1"/>
  <c r="M811" i="6"/>
  <c r="N811" i="6"/>
  <c r="O811" i="6"/>
  <c r="P811" i="6"/>
  <c r="Q811" i="6"/>
  <c r="R811" i="6"/>
  <c r="S811" i="6"/>
  <c r="T811" i="6"/>
  <c r="U811" i="6"/>
  <c r="J812" i="6"/>
  <c r="AK812" i="6" s="1"/>
  <c r="K812" i="6"/>
  <c r="AL812" i="6" s="1"/>
  <c r="L812" i="6"/>
  <c r="AM812" i="6" s="1"/>
  <c r="M812" i="6"/>
  <c r="N812" i="6"/>
  <c r="O812" i="6"/>
  <c r="P812" i="6"/>
  <c r="Q812" i="6"/>
  <c r="R812" i="6"/>
  <c r="S812" i="6"/>
  <c r="T812" i="6"/>
  <c r="U812" i="6"/>
  <c r="J813" i="6"/>
  <c r="AK813" i="6" s="1"/>
  <c r="K813" i="6"/>
  <c r="AL813" i="6" s="1"/>
  <c r="L813" i="6"/>
  <c r="AM813" i="6" s="1"/>
  <c r="M813" i="6"/>
  <c r="N813" i="6"/>
  <c r="O813" i="6"/>
  <c r="P813" i="6"/>
  <c r="Q813" i="6"/>
  <c r="R813" i="6"/>
  <c r="S813" i="6"/>
  <c r="T813" i="6"/>
  <c r="U813" i="6"/>
  <c r="J814" i="6"/>
  <c r="AK814" i="6" s="1"/>
  <c r="K814" i="6"/>
  <c r="AL814" i="6" s="1"/>
  <c r="L814" i="6"/>
  <c r="AM814" i="6" s="1"/>
  <c r="M814" i="6"/>
  <c r="N814" i="6"/>
  <c r="O814" i="6"/>
  <c r="P814" i="6"/>
  <c r="Q814" i="6"/>
  <c r="R814" i="6"/>
  <c r="S814" i="6"/>
  <c r="T814" i="6"/>
  <c r="U814" i="6"/>
  <c r="J815" i="6"/>
  <c r="AK815" i="6" s="1"/>
  <c r="K815" i="6"/>
  <c r="AL815" i="6" s="1"/>
  <c r="L815" i="6"/>
  <c r="AM815" i="6" s="1"/>
  <c r="M815" i="6"/>
  <c r="N815" i="6"/>
  <c r="O815" i="6"/>
  <c r="P815" i="6"/>
  <c r="Q815" i="6"/>
  <c r="R815" i="6"/>
  <c r="S815" i="6"/>
  <c r="T815" i="6"/>
  <c r="U815" i="6"/>
  <c r="J816" i="6"/>
  <c r="AK816" i="6" s="1"/>
  <c r="K816" i="6"/>
  <c r="AL816" i="6" s="1"/>
  <c r="L816" i="6"/>
  <c r="AM816" i="6" s="1"/>
  <c r="M816" i="6"/>
  <c r="N816" i="6"/>
  <c r="O816" i="6"/>
  <c r="P816" i="6"/>
  <c r="Q816" i="6"/>
  <c r="R816" i="6"/>
  <c r="S816" i="6"/>
  <c r="T816" i="6"/>
  <c r="U816" i="6"/>
  <c r="J817" i="6"/>
  <c r="AK817" i="6" s="1"/>
  <c r="K817" i="6"/>
  <c r="AL817" i="6" s="1"/>
  <c r="L817" i="6"/>
  <c r="AM817" i="6" s="1"/>
  <c r="M817" i="6"/>
  <c r="N817" i="6"/>
  <c r="O817" i="6"/>
  <c r="P817" i="6"/>
  <c r="Q817" i="6"/>
  <c r="R817" i="6"/>
  <c r="S817" i="6"/>
  <c r="T817" i="6"/>
  <c r="U817" i="6"/>
  <c r="J818" i="6"/>
  <c r="AK818" i="6" s="1"/>
  <c r="K818" i="6"/>
  <c r="L818" i="6"/>
  <c r="AM818" i="6" s="1"/>
  <c r="M818" i="6"/>
  <c r="N818" i="6"/>
  <c r="O818" i="6"/>
  <c r="P818" i="6"/>
  <c r="Q818" i="6"/>
  <c r="R818" i="6"/>
  <c r="S818" i="6"/>
  <c r="T818" i="6"/>
  <c r="U818" i="6"/>
  <c r="J819" i="6"/>
  <c r="AK819" i="6" s="1"/>
  <c r="K819" i="6"/>
  <c r="AL819" i="6" s="1"/>
  <c r="L819" i="6"/>
  <c r="AM819" i="6" s="1"/>
  <c r="M819" i="6"/>
  <c r="N819" i="6"/>
  <c r="O819" i="6"/>
  <c r="P819" i="6"/>
  <c r="Q819" i="6"/>
  <c r="R819" i="6"/>
  <c r="S819" i="6"/>
  <c r="T819" i="6"/>
  <c r="U819" i="6"/>
  <c r="J820" i="6"/>
  <c r="AK820" i="6" s="1"/>
  <c r="K820" i="6"/>
  <c r="AL820" i="6" s="1"/>
  <c r="L820" i="6"/>
  <c r="AM820" i="6" s="1"/>
  <c r="M820" i="6"/>
  <c r="N820" i="6"/>
  <c r="O820" i="6"/>
  <c r="P820" i="6"/>
  <c r="Q820" i="6"/>
  <c r="R820" i="6"/>
  <c r="S820" i="6"/>
  <c r="T820" i="6"/>
  <c r="U820" i="6"/>
  <c r="J821" i="6"/>
  <c r="AK821" i="6" s="1"/>
  <c r="K821" i="6"/>
  <c r="AL821" i="6" s="1"/>
  <c r="L821" i="6"/>
  <c r="AM821" i="6" s="1"/>
  <c r="M821" i="6"/>
  <c r="N821" i="6"/>
  <c r="O821" i="6"/>
  <c r="P821" i="6"/>
  <c r="Q821" i="6"/>
  <c r="R821" i="6"/>
  <c r="S821" i="6"/>
  <c r="T821" i="6"/>
  <c r="U821" i="6"/>
  <c r="J822" i="6"/>
  <c r="AK822" i="6" s="1"/>
  <c r="K822" i="6"/>
  <c r="AL822" i="6" s="1"/>
  <c r="L822" i="6"/>
  <c r="AM822" i="6" s="1"/>
  <c r="M822" i="6"/>
  <c r="N822" i="6"/>
  <c r="O822" i="6"/>
  <c r="P822" i="6"/>
  <c r="Q822" i="6"/>
  <c r="R822" i="6"/>
  <c r="S822" i="6"/>
  <c r="T822" i="6"/>
  <c r="U822" i="6"/>
  <c r="J823" i="6"/>
  <c r="AK823" i="6" s="1"/>
  <c r="K823" i="6"/>
  <c r="AL823" i="6" s="1"/>
  <c r="L823" i="6"/>
  <c r="AM823" i="6" s="1"/>
  <c r="M823" i="6"/>
  <c r="N823" i="6"/>
  <c r="O823" i="6"/>
  <c r="P823" i="6"/>
  <c r="Q823" i="6"/>
  <c r="R823" i="6"/>
  <c r="S823" i="6"/>
  <c r="T823" i="6"/>
  <c r="U823" i="6"/>
  <c r="J824" i="6"/>
  <c r="AK824" i="6" s="1"/>
  <c r="K824" i="6"/>
  <c r="AL824" i="6" s="1"/>
  <c r="L824" i="6"/>
  <c r="AM824" i="6" s="1"/>
  <c r="M824" i="6"/>
  <c r="N824" i="6"/>
  <c r="O824" i="6"/>
  <c r="P824" i="6"/>
  <c r="Q824" i="6"/>
  <c r="R824" i="6"/>
  <c r="S824" i="6"/>
  <c r="T824" i="6"/>
  <c r="U824" i="6"/>
  <c r="J825" i="6"/>
  <c r="AK825" i="6" s="1"/>
  <c r="K825" i="6"/>
  <c r="AL825" i="6" s="1"/>
  <c r="L825" i="6"/>
  <c r="AM825" i="6" s="1"/>
  <c r="M825" i="6"/>
  <c r="N825" i="6"/>
  <c r="O825" i="6"/>
  <c r="P825" i="6"/>
  <c r="Q825" i="6"/>
  <c r="R825" i="6"/>
  <c r="S825" i="6"/>
  <c r="T825" i="6"/>
  <c r="U825" i="6"/>
  <c r="J826" i="6"/>
  <c r="AK826" i="6" s="1"/>
  <c r="K826" i="6"/>
  <c r="AL826" i="6" s="1"/>
  <c r="L826" i="6"/>
  <c r="AM826" i="6" s="1"/>
  <c r="M826" i="6"/>
  <c r="N826" i="6"/>
  <c r="O826" i="6"/>
  <c r="P826" i="6"/>
  <c r="Q826" i="6"/>
  <c r="R826" i="6"/>
  <c r="S826" i="6"/>
  <c r="T826" i="6"/>
  <c r="U826" i="6"/>
  <c r="J827" i="6"/>
  <c r="AK827" i="6" s="1"/>
  <c r="K827" i="6"/>
  <c r="AL827" i="6" s="1"/>
  <c r="L827" i="6"/>
  <c r="AM827" i="6" s="1"/>
  <c r="M827" i="6"/>
  <c r="N827" i="6"/>
  <c r="O827" i="6"/>
  <c r="P827" i="6"/>
  <c r="Q827" i="6"/>
  <c r="R827" i="6"/>
  <c r="S827" i="6"/>
  <c r="T827" i="6"/>
  <c r="U827" i="6"/>
  <c r="J828" i="6"/>
  <c r="AK828" i="6" s="1"/>
  <c r="K828" i="6"/>
  <c r="AL828" i="6" s="1"/>
  <c r="L828" i="6"/>
  <c r="AM828" i="6" s="1"/>
  <c r="M828" i="6"/>
  <c r="N828" i="6"/>
  <c r="O828" i="6"/>
  <c r="P828" i="6"/>
  <c r="Q828" i="6"/>
  <c r="R828" i="6"/>
  <c r="S828" i="6"/>
  <c r="T828" i="6"/>
  <c r="U828" i="6"/>
  <c r="J829" i="6"/>
  <c r="AK829" i="6" s="1"/>
  <c r="K829" i="6"/>
  <c r="AL829" i="6" s="1"/>
  <c r="L829" i="6"/>
  <c r="AM829" i="6" s="1"/>
  <c r="M829" i="6"/>
  <c r="N829" i="6"/>
  <c r="O829" i="6"/>
  <c r="P829" i="6"/>
  <c r="Q829" i="6"/>
  <c r="R829" i="6"/>
  <c r="S829" i="6"/>
  <c r="T829" i="6"/>
  <c r="U829" i="6"/>
  <c r="J830" i="6"/>
  <c r="AK830" i="6" s="1"/>
  <c r="K830" i="6"/>
  <c r="AL830" i="6" s="1"/>
  <c r="L830" i="6"/>
  <c r="AM830" i="6" s="1"/>
  <c r="M830" i="6"/>
  <c r="N830" i="6"/>
  <c r="O830" i="6"/>
  <c r="P830" i="6"/>
  <c r="Q830" i="6"/>
  <c r="R830" i="6"/>
  <c r="S830" i="6"/>
  <c r="T830" i="6"/>
  <c r="U830" i="6"/>
  <c r="J831" i="6"/>
  <c r="AK831" i="6" s="1"/>
  <c r="K831" i="6"/>
  <c r="AL831" i="6" s="1"/>
  <c r="L831" i="6"/>
  <c r="AM831" i="6" s="1"/>
  <c r="M831" i="6"/>
  <c r="N831" i="6"/>
  <c r="O831" i="6"/>
  <c r="P831" i="6"/>
  <c r="Q831" i="6"/>
  <c r="R831" i="6"/>
  <c r="S831" i="6"/>
  <c r="T831" i="6"/>
  <c r="U831" i="6"/>
  <c r="J832" i="6"/>
  <c r="AK832" i="6" s="1"/>
  <c r="K832" i="6"/>
  <c r="AL832" i="6" s="1"/>
  <c r="L832" i="6"/>
  <c r="AM832" i="6" s="1"/>
  <c r="M832" i="6"/>
  <c r="N832" i="6"/>
  <c r="O832" i="6"/>
  <c r="P832" i="6"/>
  <c r="Q832" i="6"/>
  <c r="R832" i="6"/>
  <c r="S832" i="6"/>
  <c r="T832" i="6"/>
  <c r="U832" i="6"/>
  <c r="J833" i="6"/>
  <c r="AK833" i="6" s="1"/>
  <c r="K833" i="6"/>
  <c r="AL833" i="6" s="1"/>
  <c r="L833" i="6"/>
  <c r="AM833" i="6" s="1"/>
  <c r="M833" i="6"/>
  <c r="N833" i="6"/>
  <c r="O833" i="6"/>
  <c r="P833" i="6"/>
  <c r="Q833" i="6"/>
  <c r="R833" i="6"/>
  <c r="S833" i="6"/>
  <c r="T833" i="6"/>
  <c r="U833" i="6"/>
  <c r="J834" i="6"/>
  <c r="AK834" i="6" s="1"/>
  <c r="K834" i="6"/>
  <c r="AL834" i="6" s="1"/>
  <c r="L834" i="6"/>
  <c r="AM834" i="6" s="1"/>
  <c r="M834" i="6"/>
  <c r="N834" i="6"/>
  <c r="O834" i="6"/>
  <c r="P834" i="6"/>
  <c r="Q834" i="6"/>
  <c r="R834" i="6"/>
  <c r="S834" i="6"/>
  <c r="T834" i="6"/>
  <c r="U834" i="6"/>
  <c r="J835" i="6"/>
  <c r="AK835" i="6" s="1"/>
  <c r="K835" i="6"/>
  <c r="AL835" i="6" s="1"/>
  <c r="L835" i="6"/>
  <c r="AM835" i="6" s="1"/>
  <c r="M835" i="6"/>
  <c r="N835" i="6"/>
  <c r="O835" i="6"/>
  <c r="P835" i="6"/>
  <c r="Q835" i="6"/>
  <c r="R835" i="6"/>
  <c r="S835" i="6"/>
  <c r="T835" i="6"/>
  <c r="U835" i="6"/>
  <c r="J836" i="6"/>
  <c r="AK836" i="6" s="1"/>
  <c r="K836" i="6"/>
  <c r="AL836" i="6" s="1"/>
  <c r="L836" i="6"/>
  <c r="AM836" i="6" s="1"/>
  <c r="M836" i="6"/>
  <c r="N836" i="6"/>
  <c r="O836" i="6"/>
  <c r="P836" i="6"/>
  <c r="Q836" i="6"/>
  <c r="R836" i="6"/>
  <c r="S836" i="6"/>
  <c r="T836" i="6"/>
  <c r="U836" i="6"/>
  <c r="J837" i="6"/>
  <c r="AK837" i="6" s="1"/>
  <c r="K837" i="6"/>
  <c r="L837" i="6"/>
  <c r="AM837" i="6" s="1"/>
  <c r="M837" i="6"/>
  <c r="N837" i="6"/>
  <c r="O837" i="6"/>
  <c r="P837" i="6"/>
  <c r="Q837" i="6"/>
  <c r="R837" i="6"/>
  <c r="S837" i="6"/>
  <c r="T837" i="6"/>
  <c r="U837" i="6"/>
  <c r="J838" i="6"/>
  <c r="AK838" i="6" s="1"/>
  <c r="K838" i="6"/>
  <c r="AL838" i="6" s="1"/>
  <c r="L838" i="6"/>
  <c r="AM838" i="6" s="1"/>
  <c r="M838" i="6"/>
  <c r="N838" i="6"/>
  <c r="O838" i="6"/>
  <c r="P838" i="6"/>
  <c r="Q838" i="6"/>
  <c r="R838" i="6"/>
  <c r="S838" i="6"/>
  <c r="T838" i="6"/>
  <c r="U838" i="6"/>
  <c r="J839" i="6"/>
  <c r="AK839" i="6" s="1"/>
  <c r="K839" i="6"/>
  <c r="AL839" i="6" s="1"/>
  <c r="L839" i="6"/>
  <c r="AM839" i="6" s="1"/>
  <c r="M839" i="6"/>
  <c r="N839" i="6"/>
  <c r="O839" i="6"/>
  <c r="P839" i="6"/>
  <c r="Q839" i="6"/>
  <c r="R839" i="6"/>
  <c r="S839" i="6"/>
  <c r="T839" i="6"/>
  <c r="U839" i="6"/>
  <c r="J840" i="6"/>
  <c r="AK840" i="6" s="1"/>
  <c r="K840" i="6"/>
  <c r="AL840" i="6" s="1"/>
  <c r="L840" i="6"/>
  <c r="AM840" i="6" s="1"/>
  <c r="M840" i="6"/>
  <c r="N840" i="6"/>
  <c r="O840" i="6"/>
  <c r="P840" i="6"/>
  <c r="Q840" i="6"/>
  <c r="R840" i="6"/>
  <c r="S840" i="6"/>
  <c r="T840" i="6"/>
  <c r="U840" i="6"/>
  <c r="J841" i="6"/>
  <c r="AK841" i="6" s="1"/>
  <c r="K841" i="6"/>
  <c r="AL841" i="6" s="1"/>
  <c r="L841" i="6"/>
  <c r="AM841" i="6" s="1"/>
  <c r="M841" i="6"/>
  <c r="N841" i="6"/>
  <c r="O841" i="6"/>
  <c r="P841" i="6"/>
  <c r="Q841" i="6"/>
  <c r="R841" i="6"/>
  <c r="S841" i="6"/>
  <c r="T841" i="6"/>
  <c r="U841" i="6"/>
  <c r="J842" i="6"/>
  <c r="AK842" i="6" s="1"/>
  <c r="K842" i="6"/>
  <c r="AL842" i="6" s="1"/>
  <c r="L842" i="6"/>
  <c r="AM842" i="6" s="1"/>
  <c r="M842" i="6"/>
  <c r="N842" i="6"/>
  <c r="O842" i="6"/>
  <c r="P842" i="6"/>
  <c r="Q842" i="6"/>
  <c r="R842" i="6"/>
  <c r="S842" i="6"/>
  <c r="T842" i="6"/>
  <c r="U842" i="6"/>
  <c r="J843" i="6"/>
  <c r="AK843" i="6" s="1"/>
  <c r="K843" i="6"/>
  <c r="AL843" i="6" s="1"/>
  <c r="L843" i="6"/>
  <c r="AM843" i="6" s="1"/>
  <c r="M843" i="6"/>
  <c r="N843" i="6"/>
  <c r="O843" i="6"/>
  <c r="P843" i="6"/>
  <c r="Q843" i="6"/>
  <c r="R843" i="6"/>
  <c r="S843" i="6"/>
  <c r="T843" i="6"/>
  <c r="U843" i="6"/>
  <c r="J844" i="6"/>
  <c r="AK844" i="6" s="1"/>
  <c r="K844" i="6"/>
  <c r="AL844" i="6" s="1"/>
  <c r="L844" i="6"/>
  <c r="AM844" i="6" s="1"/>
  <c r="M844" i="6"/>
  <c r="N844" i="6"/>
  <c r="O844" i="6"/>
  <c r="P844" i="6"/>
  <c r="Q844" i="6"/>
  <c r="R844" i="6"/>
  <c r="S844" i="6"/>
  <c r="T844" i="6"/>
  <c r="U844" i="6"/>
  <c r="J845" i="6"/>
  <c r="AK845" i="6" s="1"/>
  <c r="K845" i="6"/>
  <c r="AL845" i="6" s="1"/>
  <c r="L845" i="6"/>
  <c r="AM845" i="6" s="1"/>
  <c r="M845" i="6"/>
  <c r="N845" i="6"/>
  <c r="O845" i="6"/>
  <c r="P845" i="6"/>
  <c r="Q845" i="6"/>
  <c r="R845" i="6"/>
  <c r="S845" i="6"/>
  <c r="T845" i="6"/>
  <c r="U845" i="6"/>
  <c r="J846" i="6"/>
  <c r="AK846" i="6" s="1"/>
  <c r="K846" i="6"/>
  <c r="AL846" i="6" s="1"/>
  <c r="L846" i="6"/>
  <c r="AM846" i="6" s="1"/>
  <c r="M846" i="6"/>
  <c r="N846" i="6"/>
  <c r="O846" i="6"/>
  <c r="P846" i="6"/>
  <c r="Q846" i="6"/>
  <c r="R846" i="6"/>
  <c r="S846" i="6"/>
  <c r="T846" i="6"/>
  <c r="U846" i="6"/>
  <c r="J847" i="6"/>
  <c r="AK847" i="6" s="1"/>
  <c r="K847" i="6"/>
  <c r="AL847" i="6" s="1"/>
  <c r="L847" i="6"/>
  <c r="AM847" i="6" s="1"/>
  <c r="M847" i="6"/>
  <c r="N847" i="6"/>
  <c r="O847" i="6"/>
  <c r="P847" i="6"/>
  <c r="Q847" i="6"/>
  <c r="R847" i="6"/>
  <c r="S847" i="6"/>
  <c r="T847" i="6"/>
  <c r="U847" i="6"/>
  <c r="J848" i="6"/>
  <c r="AK848" i="6" s="1"/>
  <c r="K848" i="6"/>
  <c r="AL848" i="6" s="1"/>
  <c r="L848" i="6"/>
  <c r="AM848" i="6" s="1"/>
  <c r="M848" i="6"/>
  <c r="N848" i="6"/>
  <c r="O848" i="6"/>
  <c r="P848" i="6"/>
  <c r="Q848" i="6"/>
  <c r="R848" i="6"/>
  <c r="S848" i="6"/>
  <c r="T848" i="6"/>
  <c r="U848" i="6"/>
  <c r="J849" i="6"/>
  <c r="AK849" i="6" s="1"/>
  <c r="K849" i="6"/>
  <c r="AL849" i="6" s="1"/>
  <c r="L849" i="6"/>
  <c r="AM849" i="6" s="1"/>
  <c r="M849" i="6"/>
  <c r="N849" i="6"/>
  <c r="O849" i="6"/>
  <c r="P849" i="6"/>
  <c r="Q849" i="6"/>
  <c r="R849" i="6"/>
  <c r="S849" i="6"/>
  <c r="T849" i="6"/>
  <c r="U849" i="6"/>
  <c r="J850" i="6"/>
  <c r="AK850" i="6" s="1"/>
  <c r="K850" i="6"/>
  <c r="AL850" i="6" s="1"/>
  <c r="L850" i="6"/>
  <c r="AM850" i="6" s="1"/>
  <c r="M850" i="6"/>
  <c r="N850" i="6"/>
  <c r="O850" i="6"/>
  <c r="P850" i="6"/>
  <c r="Q850" i="6"/>
  <c r="R850" i="6"/>
  <c r="S850" i="6"/>
  <c r="T850" i="6"/>
  <c r="U850" i="6"/>
  <c r="J851" i="6"/>
  <c r="AK851" i="6" s="1"/>
  <c r="K851" i="6"/>
  <c r="L851" i="6"/>
  <c r="AM851" i="6" s="1"/>
  <c r="M851" i="6"/>
  <c r="N851" i="6"/>
  <c r="O851" i="6"/>
  <c r="P851" i="6"/>
  <c r="Q851" i="6"/>
  <c r="R851" i="6"/>
  <c r="S851" i="6"/>
  <c r="T851" i="6"/>
  <c r="U851" i="6"/>
  <c r="J852" i="6"/>
  <c r="AK852" i="6" s="1"/>
  <c r="K852" i="6"/>
  <c r="AL852" i="6" s="1"/>
  <c r="L852" i="6"/>
  <c r="AM852" i="6" s="1"/>
  <c r="M852" i="6"/>
  <c r="N852" i="6"/>
  <c r="O852" i="6"/>
  <c r="P852" i="6"/>
  <c r="Q852" i="6"/>
  <c r="R852" i="6"/>
  <c r="S852" i="6"/>
  <c r="T852" i="6"/>
  <c r="U852" i="6"/>
  <c r="J853" i="6"/>
  <c r="AK853" i="6" s="1"/>
  <c r="K853" i="6"/>
  <c r="AL853" i="6" s="1"/>
  <c r="L853" i="6"/>
  <c r="AM853" i="6" s="1"/>
  <c r="M853" i="6"/>
  <c r="N853" i="6"/>
  <c r="O853" i="6"/>
  <c r="P853" i="6"/>
  <c r="Q853" i="6"/>
  <c r="R853" i="6"/>
  <c r="S853" i="6"/>
  <c r="T853" i="6"/>
  <c r="U853" i="6"/>
  <c r="J854" i="6"/>
  <c r="AK854" i="6" s="1"/>
  <c r="K854" i="6"/>
  <c r="AL854" i="6" s="1"/>
  <c r="L854" i="6"/>
  <c r="AM854" i="6" s="1"/>
  <c r="M854" i="6"/>
  <c r="N854" i="6"/>
  <c r="O854" i="6"/>
  <c r="P854" i="6"/>
  <c r="Q854" i="6"/>
  <c r="R854" i="6"/>
  <c r="S854" i="6"/>
  <c r="T854" i="6"/>
  <c r="U854" i="6"/>
  <c r="J855" i="6"/>
  <c r="AK855" i="6" s="1"/>
  <c r="K855" i="6"/>
  <c r="AL855" i="6" s="1"/>
  <c r="L855" i="6"/>
  <c r="AM855" i="6" s="1"/>
  <c r="M855" i="6"/>
  <c r="N855" i="6"/>
  <c r="O855" i="6"/>
  <c r="P855" i="6"/>
  <c r="Q855" i="6"/>
  <c r="R855" i="6"/>
  <c r="S855" i="6"/>
  <c r="T855" i="6"/>
  <c r="U855" i="6"/>
  <c r="J856" i="6"/>
  <c r="AK856" i="6" s="1"/>
  <c r="K856" i="6"/>
  <c r="AL856" i="6" s="1"/>
  <c r="L856" i="6"/>
  <c r="AM856" i="6" s="1"/>
  <c r="M856" i="6"/>
  <c r="N856" i="6"/>
  <c r="O856" i="6"/>
  <c r="P856" i="6"/>
  <c r="Q856" i="6"/>
  <c r="R856" i="6"/>
  <c r="S856" i="6"/>
  <c r="T856" i="6"/>
  <c r="U856" i="6"/>
  <c r="J857" i="6"/>
  <c r="AK857" i="6" s="1"/>
  <c r="K857" i="6"/>
  <c r="AL857" i="6" s="1"/>
  <c r="L857" i="6"/>
  <c r="AM857" i="6" s="1"/>
  <c r="M857" i="6"/>
  <c r="N857" i="6"/>
  <c r="O857" i="6"/>
  <c r="P857" i="6"/>
  <c r="Q857" i="6"/>
  <c r="R857" i="6"/>
  <c r="S857" i="6"/>
  <c r="T857" i="6"/>
  <c r="U857" i="6"/>
  <c r="J858" i="6"/>
  <c r="AK858" i="6" s="1"/>
  <c r="K858" i="6"/>
  <c r="AL858" i="6" s="1"/>
  <c r="L858" i="6"/>
  <c r="AM858" i="6" s="1"/>
  <c r="M858" i="6"/>
  <c r="N858" i="6"/>
  <c r="O858" i="6"/>
  <c r="P858" i="6"/>
  <c r="Q858" i="6"/>
  <c r="R858" i="6"/>
  <c r="S858" i="6"/>
  <c r="T858" i="6"/>
  <c r="U858" i="6"/>
  <c r="J859" i="6"/>
  <c r="AK859" i="6" s="1"/>
  <c r="K859" i="6"/>
  <c r="L859" i="6"/>
  <c r="AM859" i="6" s="1"/>
  <c r="M859" i="6"/>
  <c r="N859" i="6"/>
  <c r="O859" i="6"/>
  <c r="P859" i="6"/>
  <c r="Q859" i="6"/>
  <c r="R859" i="6"/>
  <c r="S859" i="6"/>
  <c r="T859" i="6"/>
  <c r="U859" i="6"/>
  <c r="J860" i="6"/>
  <c r="AK860" i="6" s="1"/>
  <c r="K860" i="6"/>
  <c r="AL860" i="6" s="1"/>
  <c r="L860" i="6"/>
  <c r="AM860" i="6" s="1"/>
  <c r="M860" i="6"/>
  <c r="N860" i="6"/>
  <c r="O860" i="6"/>
  <c r="P860" i="6"/>
  <c r="Q860" i="6"/>
  <c r="R860" i="6"/>
  <c r="S860" i="6"/>
  <c r="T860" i="6"/>
  <c r="U860" i="6"/>
  <c r="J861" i="6"/>
  <c r="AK861" i="6" s="1"/>
  <c r="K861" i="6"/>
  <c r="AL861" i="6" s="1"/>
  <c r="L861" i="6"/>
  <c r="AM861" i="6" s="1"/>
  <c r="M861" i="6"/>
  <c r="N861" i="6"/>
  <c r="O861" i="6"/>
  <c r="P861" i="6"/>
  <c r="Q861" i="6"/>
  <c r="R861" i="6"/>
  <c r="S861" i="6"/>
  <c r="T861" i="6"/>
  <c r="U861" i="6"/>
  <c r="J862" i="6"/>
  <c r="AK862" i="6" s="1"/>
  <c r="K862" i="6"/>
  <c r="AL862" i="6" s="1"/>
  <c r="L862" i="6"/>
  <c r="AM862" i="6" s="1"/>
  <c r="M862" i="6"/>
  <c r="N862" i="6"/>
  <c r="O862" i="6"/>
  <c r="P862" i="6"/>
  <c r="Q862" i="6"/>
  <c r="R862" i="6"/>
  <c r="S862" i="6"/>
  <c r="T862" i="6"/>
  <c r="U862" i="6"/>
  <c r="J863" i="6"/>
  <c r="AK863" i="6" s="1"/>
  <c r="K863" i="6"/>
  <c r="AL863" i="6" s="1"/>
  <c r="L863" i="6"/>
  <c r="AM863" i="6" s="1"/>
  <c r="M863" i="6"/>
  <c r="N863" i="6"/>
  <c r="O863" i="6"/>
  <c r="P863" i="6"/>
  <c r="Q863" i="6"/>
  <c r="R863" i="6"/>
  <c r="S863" i="6"/>
  <c r="T863" i="6"/>
  <c r="U863" i="6"/>
  <c r="J864" i="6"/>
  <c r="AK864" i="6" s="1"/>
  <c r="K864" i="6"/>
  <c r="AL864" i="6" s="1"/>
  <c r="L864" i="6"/>
  <c r="AM864" i="6" s="1"/>
  <c r="M864" i="6"/>
  <c r="N864" i="6"/>
  <c r="O864" i="6"/>
  <c r="P864" i="6"/>
  <c r="Q864" i="6"/>
  <c r="R864" i="6"/>
  <c r="S864" i="6"/>
  <c r="T864" i="6"/>
  <c r="U864" i="6"/>
  <c r="J865" i="6"/>
  <c r="AK865" i="6" s="1"/>
  <c r="K865" i="6"/>
  <c r="L865" i="6"/>
  <c r="AM865" i="6" s="1"/>
  <c r="M865" i="6"/>
  <c r="N865" i="6"/>
  <c r="O865" i="6"/>
  <c r="P865" i="6"/>
  <c r="Q865" i="6"/>
  <c r="R865" i="6"/>
  <c r="S865" i="6"/>
  <c r="T865" i="6"/>
  <c r="U865" i="6"/>
  <c r="J866" i="6"/>
  <c r="AK866" i="6" s="1"/>
  <c r="K866" i="6"/>
  <c r="AL866" i="6" s="1"/>
  <c r="L866" i="6"/>
  <c r="AM866" i="6" s="1"/>
  <c r="M866" i="6"/>
  <c r="N866" i="6"/>
  <c r="O866" i="6"/>
  <c r="P866" i="6"/>
  <c r="Q866" i="6"/>
  <c r="R866" i="6"/>
  <c r="S866" i="6"/>
  <c r="T866" i="6"/>
  <c r="U866" i="6"/>
  <c r="J867" i="6"/>
  <c r="AK867" i="6" s="1"/>
  <c r="K867" i="6"/>
  <c r="AL867" i="6" s="1"/>
  <c r="L867" i="6"/>
  <c r="AM867" i="6" s="1"/>
  <c r="M867" i="6"/>
  <c r="N867" i="6"/>
  <c r="O867" i="6"/>
  <c r="P867" i="6"/>
  <c r="Q867" i="6"/>
  <c r="R867" i="6"/>
  <c r="S867" i="6"/>
  <c r="T867" i="6"/>
  <c r="U867" i="6"/>
  <c r="J868" i="6"/>
  <c r="AK868" i="6" s="1"/>
  <c r="K868" i="6"/>
  <c r="AL868" i="6" s="1"/>
  <c r="L868" i="6"/>
  <c r="AM868" i="6" s="1"/>
  <c r="M868" i="6"/>
  <c r="N868" i="6"/>
  <c r="O868" i="6"/>
  <c r="P868" i="6"/>
  <c r="Q868" i="6"/>
  <c r="R868" i="6"/>
  <c r="S868" i="6"/>
  <c r="T868" i="6"/>
  <c r="U868" i="6"/>
  <c r="J869" i="6"/>
  <c r="AK869" i="6" s="1"/>
  <c r="K869" i="6"/>
  <c r="AL869" i="6" s="1"/>
  <c r="L869" i="6"/>
  <c r="M869" i="6"/>
  <c r="N869" i="6"/>
  <c r="O869" i="6"/>
  <c r="P869" i="6"/>
  <c r="Q869" i="6"/>
  <c r="R869" i="6"/>
  <c r="S869" i="6"/>
  <c r="T869" i="6"/>
  <c r="U869" i="6"/>
  <c r="J870" i="6"/>
  <c r="AK870" i="6" s="1"/>
  <c r="K870" i="6"/>
  <c r="L870" i="6"/>
  <c r="AM870" i="6" s="1"/>
  <c r="M870" i="6"/>
  <c r="N870" i="6"/>
  <c r="O870" i="6"/>
  <c r="P870" i="6"/>
  <c r="Q870" i="6"/>
  <c r="R870" i="6"/>
  <c r="S870" i="6"/>
  <c r="T870" i="6"/>
  <c r="U870" i="6"/>
  <c r="J871" i="6"/>
  <c r="AK871" i="6" s="1"/>
  <c r="K871" i="6"/>
  <c r="AL871" i="6" s="1"/>
  <c r="L871" i="6"/>
  <c r="AM871" i="6" s="1"/>
  <c r="M871" i="6"/>
  <c r="N871" i="6"/>
  <c r="O871" i="6"/>
  <c r="P871" i="6"/>
  <c r="Q871" i="6"/>
  <c r="R871" i="6"/>
  <c r="S871" i="6"/>
  <c r="T871" i="6"/>
  <c r="U871" i="6"/>
  <c r="J872" i="6"/>
  <c r="AK872" i="6" s="1"/>
  <c r="K872" i="6"/>
  <c r="AL872" i="6" s="1"/>
  <c r="L872" i="6"/>
  <c r="AM872" i="6" s="1"/>
  <c r="M872" i="6"/>
  <c r="N872" i="6"/>
  <c r="O872" i="6"/>
  <c r="P872" i="6"/>
  <c r="Q872" i="6"/>
  <c r="R872" i="6"/>
  <c r="S872" i="6"/>
  <c r="T872" i="6"/>
  <c r="U872" i="6"/>
  <c r="J873" i="6"/>
  <c r="AK873" i="6" s="1"/>
  <c r="K873" i="6"/>
  <c r="AL873" i="6" s="1"/>
  <c r="L873" i="6"/>
  <c r="AM873" i="6" s="1"/>
  <c r="M873" i="6"/>
  <c r="N873" i="6"/>
  <c r="O873" i="6"/>
  <c r="P873" i="6"/>
  <c r="Q873" i="6"/>
  <c r="R873" i="6"/>
  <c r="S873" i="6"/>
  <c r="T873" i="6"/>
  <c r="U873" i="6"/>
  <c r="J874" i="6"/>
  <c r="AK874" i="6" s="1"/>
  <c r="K874" i="6"/>
  <c r="AL874" i="6" s="1"/>
  <c r="L874" i="6"/>
  <c r="AM874" i="6" s="1"/>
  <c r="M874" i="6"/>
  <c r="N874" i="6"/>
  <c r="O874" i="6"/>
  <c r="P874" i="6"/>
  <c r="Q874" i="6"/>
  <c r="R874" i="6"/>
  <c r="S874" i="6"/>
  <c r="T874" i="6"/>
  <c r="U874" i="6"/>
  <c r="J875" i="6"/>
  <c r="AK875" i="6" s="1"/>
  <c r="K875" i="6"/>
  <c r="L875" i="6"/>
  <c r="AM875" i="6" s="1"/>
  <c r="M875" i="6"/>
  <c r="N875" i="6"/>
  <c r="O875" i="6"/>
  <c r="P875" i="6"/>
  <c r="Q875" i="6"/>
  <c r="R875" i="6"/>
  <c r="S875" i="6"/>
  <c r="T875" i="6"/>
  <c r="U875" i="6"/>
  <c r="J876" i="6"/>
  <c r="AK876" i="6" s="1"/>
  <c r="K876" i="6"/>
  <c r="AL876" i="6" s="1"/>
  <c r="L876" i="6"/>
  <c r="AM876" i="6" s="1"/>
  <c r="M876" i="6"/>
  <c r="N876" i="6"/>
  <c r="O876" i="6"/>
  <c r="P876" i="6"/>
  <c r="Q876" i="6"/>
  <c r="R876" i="6"/>
  <c r="S876" i="6"/>
  <c r="T876" i="6"/>
  <c r="U876" i="6"/>
  <c r="J877" i="6"/>
  <c r="AK877" i="6" s="1"/>
  <c r="K877" i="6"/>
  <c r="AL877" i="6" s="1"/>
  <c r="L877" i="6"/>
  <c r="AM877" i="6" s="1"/>
  <c r="M877" i="6"/>
  <c r="N877" i="6"/>
  <c r="O877" i="6"/>
  <c r="P877" i="6"/>
  <c r="Q877" i="6"/>
  <c r="R877" i="6"/>
  <c r="S877" i="6"/>
  <c r="T877" i="6"/>
  <c r="U877" i="6"/>
  <c r="J878" i="6"/>
  <c r="AK878" i="6" s="1"/>
  <c r="K878" i="6"/>
  <c r="AL878" i="6" s="1"/>
  <c r="L878" i="6"/>
  <c r="M878" i="6"/>
  <c r="N878" i="6"/>
  <c r="O878" i="6"/>
  <c r="P878" i="6"/>
  <c r="Q878" i="6"/>
  <c r="R878" i="6"/>
  <c r="S878" i="6"/>
  <c r="T878" i="6"/>
  <c r="U878" i="6"/>
  <c r="J879" i="6"/>
  <c r="AK879" i="6" s="1"/>
  <c r="K879" i="6"/>
  <c r="AL879" i="6" s="1"/>
  <c r="L879" i="6"/>
  <c r="AM879" i="6" s="1"/>
  <c r="M879" i="6"/>
  <c r="N879" i="6"/>
  <c r="O879" i="6"/>
  <c r="P879" i="6"/>
  <c r="Q879" i="6"/>
  <c r="R879" i="6"/>
  <c r="S879" i="6"/>
  <c r="T879" i="6"/>
  <c r="U879" i="6"/>
  <c r="J880" i="6"/>
  <c r="AK880" i="6" s="1"/>
  <c r="K880" i="6"/>
  <c r="AL880" i="6" s="1"/>
  <c r="L880" i="6"/>
  <c r="AM880" i="6" s="1"/>
  <c r="M880" i="6"/>
  <c r="N880" i="6"/>
  <c r="O880" i="6"/>
  <c r="P880" i="6"/>
  <c r="Q880" i="6"/>
  <c r="R880" i="6"/>
  <c r="S880" i="6"/>
  <c r="T880" i="6"/>
  <c r="U880" i="6"/>
  <c r="J881" i="6"/>
  <c r="AK881" i="6" s="1"/>
  <c r="K881" i="6"/>
  <c r="AL881" i="6" s="1"/>
  <c r="L881" i="6"/>
  <c r="AM881" i="6" s="1"/>
  <c r="M881" i="6"/>
  <c r="N881" i="6"/>
  <c r="O881" i="6"/>
  <c r="P881" i="6"/>
  <c r="Q881" i="6"/>
  <c r="R881" i="6"/>
  <c r="S881" i="6"/>
  <c r="T881" i="6"/>
  <c r="U881" i="6"/>
  <c r="J882" i="6"/>
  <c r="AK882" i="6" s="1"/>
  <c r="K882" i="6"/>
  <c r="AL882" i="6" s="1"/>
  <c r="L882" i="6"/>
  <c r="AM882" i="6" s="1"/>
  <c r="M882" i="6"/>
  <c r="N882" i="6"/>
  <c r="O882" i="6"/>
  <c r="P882" i="6"/>
  <c r="Q882" i="6"/>
  <c r="R882" i="6"/>
  <c r="S882" i="6"/>
  <c r="T882" i="6"/>
  <c r="U882" i="6"/>
  <c r="J883" i="6"/>
  <c r="AK883" i="6" s="1"/>
  <c r="K883" i="6"/>
  <c r="L883" i="6"/>
  <c r="AM883" i="6" s="1"/>
  <c r="M883" i="6"/>
  <c r="N883" i="6"/>
  <c r="O883" i="6"/>
  <c r="P883" i="6"/>
  <c r="Q883" i="6"/>
  <c r="R883" i="6"/>
  <c r="S883" i="6"/>
  <c r="T883" i="6"/>
  <c r="U883" i="6"/>
  <c r="J884" i="6"/>
  <c r="AK884" i="6" s="1"/>
  <c r="K884" i="6"/>
  <c r="AL884" i="6" s="1"/>
  <c r="L884" i="6"/>
  <c r="AM884" i="6" s="1"/>
  <c r="M884" i="6"/>
  <c r="N884" i="6"/>
  <c r="O884" i="6"/>
  <c r="P884" i="6"/>
  <c r="Q884" i="6"/>
  <c r="R884" i="6"/>
  <c r="S884" i="6"/>
  <c r="T884" i="6"/>
  <c r="U884" i="6"/>
  <c r="J885" i="6"/>
  <c r="AK885" i="6" s="1"/>
  <c r="K885" i="6"/>
  <c r="AL885" i="6" s="1"/>
  <c r="L885" i="6"/>
  <c r="AM885" i="6" s="1"/>
  <c r="M885" i="6"/>
  <c r="N885" i="6"/>
  <c r="O885" i="6"/>
  <c r="P885" i="6"/>
  <c r="Q885" i="6"/>
  <c r="R885" i="6"/>
  <c r="S885" i="6"/>
  <c r="T885" i="6"/>
  <c r="U885" i="6"/>
  <c r="J886" i="6"/>
  <c r="AK886" i="6" s="1"/>
  <c r="K886" i="6"/>
  <c r="AL886" i="6" s="1"/>
  <c r="L886" i="6"/>
  <c r="AM886" i="6" s="1"/>
  <c r="M886" i="6"/>
  <c r="N886" i="6"/>
  <c r="O886" i="6"/>
  <c r="P886" i="6"/>
  <c r="Q886" i="6"/>
  <c r="R886" i="6"/>
  <c r="S886" i="6"/>
  <c r="T886" i="6"/>
  <c r="U886" i="6"/>
  <c r="J887" i="6"/>
  <c r="AK887" i="6" s="1"/>
  <c r="K887" i="6"/>
  <c r="AL887" i="6" s="1"/>
  <c r="L887" i="6"/>
  <c r="AM887" i="6" s="1"/>
  <c r="M887" i="6"/>
  <c r="N887" i="6"/>
  <c r="O887" i="6"/>
  <c r="P887" i="6"/>
  <c r="Q887" i="6"/>
  <c r="R887" i="6"/>
  <c r="S887" i="6"/>
  <c r="T887" i="6"/>
  <c r="U887" i="6"/>
  <c r="J888" i="6"/>
  <c r="AK888" i="6" s="1"/>
  <c r="K888" i="6"/>
  <c r="AL888" i="6" s="1"/>
  <c r="L888" i="6"/>
  <c r="AM888" i="6" s="1"/>
  <c r="M888" i="6"/>
  <c r="N888" i="6"/>
  <c r="O888" i="6"/>
  <c r="P888" i="6"/>
  <c r="Q888" i="6"/>
  <c r="R888" i="6"/>
  <c r="S888" i="6"/>
  <c r="T888" i="6"/>
  <c r="U888" i="6"/>
  <c r="J889" i="6"/>
  <c r="AK889" i="6" s="1"/>
  <c r="K889" i="6"/>
  <c r="AL889" i="6" s="1"/>
  <c r="L889" i="6"/>
  <c r="AM889" i="6" s="1"/>
  <c r="M889" i="6"/>
  <c r="N889" i="6"/>
  <c r="O889" i="6"/>
  <c r="P889" i="6"/>
  <c r="Q889" i="6"/>
  <c r="R889" i="6"/>
  <c r="S889" i="6"/>
  <c r="T889" i="6"/>
  <c r="U889" i="6"/>
  <c r="J890" i="6"/>
  <c r="AK890" i="6" s="1"/>
  <c r="K890" i="6"/>
  <c r="AL890" i="6" s="1"/>
  <c r="L890" i="6"/>
  <c r="AM890" i="6" s="1"/>
  <c r="M890" i="6"/>
  <c r="N890" i="6"/>
  <c r="O890" i="6"/>
  <c r="P890" i="6"/>
  <c r="Q890" i="6"/>
  <c r="R890" i="6"/>
  <c r="S890" i="6"/>
  <c r="T890" i="6"/>
  <c r="U890" i="6"/>
  <c r="J891" i="6"/>
  <c r="AK891" i="6" s="1"/>
  <c r="K891" i="6"/>
  <c r="L891" i="6"/>
  <c r="AM891" i="6" s="1"/>
  <c r="M891" i="6"/>
  <c r="N891" i="6"/>
  <c r="O891" i="6"/>
  <c r="P891" i="6"/>
  <c r="Q891" i="6"/>
  <c r="R891" i="6"/>
  <c r="S891" i="6"/>
  <c r="T891" i="6"/>
  <c r="U891" i="6"/>
  <c r="J892" i="6"/>
  <c r="AK892" i="6" s="1"/>
  <c r="K892" i="6"/>
  <c r="AL892" i="6" s="1"/>
  <c r="L892" i="6"/>
  <c r="AM892" i="6" s="1"/>
  <c r="M892" i="6"/>
  <c r="N892" i="6"/>
  <c r="O892" i="6"/>
  <c r="P892" i="6"/>
  <c r="Q892" i="6"/>
  <c r="R892" i="6"/>
  <c r="S892" i="6"/>
  <c r="T892" i="6"/>
  <c r="U892" i="6"/>
  <c r="J893" i="6"/>
  <c r="AK893" i="6" s="1"/>
  <c r="K893" i="6"/>
  <c r="AL893" i="6" s="1"/>
  <c r="L893" i="6"/>
  <c r="AM893" i="6" s="1"/>
  <c r="M893" i="6"/>
  <c r="N893" i="6"/>
  <c r="O893" i="6"/>
  <c r="P893" i="6"/>
  <c r="Q893" i="6"/>
  <c r="R893" i="6"/>
  <c r="S893" i="6"/>
  <c r="T893" i="6"/>
  <c r="U893" i="6"/>
  <c r="J894" i="6"/>
  <c r="AK894" i="6" s="1"/>
  <c r="K894" i="6"/>
  <c r="AL894" i="6" s="1"/>
  <c r="L894" i="6"/>
  <c r="AM894" i="6" s="1"/>
  <c r="M894" i="6"/>
  <c r="N894" i="6"/>
  <c r="O894" i="6"/>
  <c r="P894" i="6"/>
  <c r="Q894" i="6"/>
  <c r="R894" i="6"/>
  <c r="S894" i="6"/>
  <c r="T894" i="6"/>
  <c r="U894" i="6"/>
  <c r="J895" i="6"/>
  <c r="AK895" i="6" s="1"/>
  <c r="K895" i="6"/>
  <c r="AL895" i="6" s="1"/>
  <c r="L895" i="6"/>
  <c r="AM895" i="6" s="1"/>
  <c r="M895" i="6"/>
  <c r="N895" i="6"/>
  <c r="O895" i="6"/>
  <c r="P895" i="6"/>
  <c r="Q895" i="6"/>
  <c r="R895" i="6"/>
  <c r="S895" i="6"/>
  <c r="T895" i="6"/>
  <c r="U895" i="6"/>
  <c r="J896" i="6"/>
  <c r="AK896" i="6" s="1"/>
  <c r="K896" i="6"/>
  <c r="AL896" i="6" s="1"/>
  <c r="L896" i="6"/>
  <c r="AM896" i="6" s="1"/>
  <c r="M896" i="6"/>
  <c r="N896" i="6"/>
  <c r="O896" i="6"/>
  <c r="P896" i="6"/>
  <c r="Q896" i="6"/>
  <c r="R896" i="6"/>
  <c r="S896" i="6"/>
  <c r="T896" i="6"/>
  <c r="U896" i="6"/>
  <c r="J897" i="6"/>
  <c r="AK897" i="6" s="1"/>
  <c r="K897" i="6"/>
  <c r="AL897" i="6" s="1"/>
  <c r="L897" i="6"/>
  <c r="AM897" i="6" s="1"/>
  <c r="M897" i="6"/>
  <c r="N897" i="6"/>
  <c r="O897" i="6"/>
  <c r="P897" i="6"/>
  <c r="Q897" i="6"/>
  <c r="R897" i="6"/>
  <c r="S897" i="6"/>
  <c r="T897" i="6"/>
  <c r="U897" i="6"/>
  <c r="J898" i="6"/>
  <c r="AK898" i="6" s="1"/>
  <c r="K898" i="6"/>
  <c r="AL898" i="6" s="1"/>
  <c r="L898" i="6"/>
  <c r="AM898" i="6" s="1"/>
  <c r="M898" i="6"/>
  <c r="N898" i="6"/>
  <c r="O898" i="6"/>
  <c r="P898" i="6"/>
  <c r="Q898" i="6"/>
  <c r="R898" i="6"/>
  <c r="S898" i="6"/>
  <c r="T898" i="6"/>
  <c r="U898" i="6"/>
  <c r="J899" i="6"/>
  <c r="AK899" i="6" s="1"/>
  <c r="K899" i="6"/>
  <c r="AL899" i="6" s="1"/>
  <c r="L899" i="6"/>
  <c r="AM899" i="6" s="1"/>
  <c r="M899" i="6"/>
  <c r="N899" i="6"/>
  <c r="O899" i="6"/>
  <c r="P899" i="6"/>
  <c r="Q899" i="6"/>
  <c r="R899" i="6"/>
  <c r="S899" i="6"/>
  <c r="T899" i="6"/>
  <c r="U899" i="6"/>
  <c r="J900" i="6"/>
  <c r="AK900" i="6" s="1"/>
  <c r="K900" i="6"/>
  <c r="AL900" i="6" s="1"/>
  <c r="L900" i="6"/>
  <c r="AM900" i="6" s="1"/>
  <c r="M900" i="6"/>
  <c r="N900" i="6"/>
  <c r="O900" i="6"/>
  <c r="P900" i="6"/>
  <c r="Q900" i="6"/>
  <c r="R900" i="6"/>
  <c r="S900" i="6"/>
  <c r="T900" i="6"/>
  <c r="U900" i="6"/>
  <c r="J901" i="6"/>
  <c r="AK901" i="6" s="1"/>
  <c r="K901" i="6"/>
  <c r="AL901" i="6" s="1"/>
  <c r="L901" i="6"/>
  <c r="AM901" i="6" s="1"/>
  <c r="M901" i="6"/>
  <c r="N901" i="6"/>
  <c r="O901" i="6"/>
  <c r="P901" i="6"/>
  <c r="Q901" i="6"/>
  <c r="R901" i="6"/>
  <c r="S901" i="6"/>
  <c r="T901" i="6"/>
  <c r="U901" i="6"/>
  <c r="J902" i="6"/>
  <c r="AK902" i="6" s="1"/>
  <c r="K902" i="6"/>
  <c r="AL902" i="6" s="1"/>
  <c r="L902" i="6"/>
  <c r="AM902" i="6" s="1"/>
  <c r="M902" i="6"/>
  <c r="N902" i="6"/>
  <c r="O902" i="6"/>
  <c r="P902" i="6"/>
  <c r="Q902" i="6"/>
  <c r="R902" i="6"/>
  <c r="S902" i="6"/>
  <c r="T902" i="6"/>
  <c r="U902" i="6"/>
  <c r="J903" i="6"/>
  <c r="AK903" i="6" s="1"/>
  <c r="K903" i="6"/>
  <c r="AL903" i="6" s="1"/>
  <c r="L903" i="6"/>
  <c r="AM903" i="6" s="1"/>
  <c r="M903" i="6"/>
  <c r="N903" i="6"/>
  <c r="O903" i="6"/>
  <c r="P903" i="6"/>
  <c r="Q903" i="6"/>
  <c r="R903" i="6"/>
  <c r="S903" i="6"/>
  <c r="T903" i="6"/>
  <c r="U903" i="6"/>
  <c r="J904" i="6"/>
  <c r="AK904" i="6" s="1"/>
  <c r="K904" i="6"/>
  <c r="AL904" i="6" s="1"/>
  <c r="L904" i="6"/>
  <c r="AM904" i="6" s="1"/>
  <c r="M904" i="6"/>
  <c r="N904" i="6"/>
  <c r="O904" i="6"/>
  <c r="P904" i="6"/>
  <c r="Q904" i="6"/>
  <c r="R904" i="6"/>
  <c r="S904" i="6"/>
  <c r="T904" i="6"/>
  <c r="U904" i="6"/>
  <c r="J905" i="6"/>
  <c r="AK905" i="6" s="1"/>
  <c r="K905" i="6"/>
  <c r="AL905" i="6" s="1"/>
  <c r="L905" i="6"/>
  <c r="AM905" i="6" s="1"/>
  <c r="M905" i="6"/>
  <c r="N905" i="6"/>
  <c r="O905" i="6"/>
  <c r="P905" i="6"/>
  <c r="Q905" i="6"/>
  <c r="R905" i="6"/>
  <c r="S905" i="6"/>
  <c r="T905" i="6"/>
  <c r="U905" i="6"/>
  <c r="J906" i="6"/>
  <c r="AK906" i="6" s="1"/>
  <c r="K906" i="6"/>
  <c r="AL906" i="6" s="1"/>
  <c r="L906" i="6"/>
  <c r="AM906" i="6" s="1"/>
  <c r="M906" i="6"/>
  <c r="N906" i="6"/>
  <c r="O906" i="6"/>
  <c r="P906" i="6"/>
  <c r="Q906" i="6"/>
  <c r="R906" i="6"/>
  <c r="S906" i="6"/>
  <c r="T906" i="6"/>
  <c r="U906" i="6"/>
  <c r="J907" i="6"/>
  <c r="AK907" i="6" s="1"/>
  <c r="K907" i="6"/>
  <c r="AL907" i="6" s="1"/>
  <c r="L907" i="6"/>
  <c r="AM907" i="6" s="1"/>
  <c r="M907" i="6"/>
  <c r="N907" i="6"/>
  <c r="O907" i="6"/>
  <c r="P907" i="6"/>
  <c r="Q907" i="6"/>
  <c r="R907" i="6"/>
  <c r="S907" i="6"/>
  <c r="T907" i="6"/>
  <c r="U907" i="6"/>
  <c r="J908" i="6"/>
  <c r="AK908" i="6" s="1"/>
  <c r="K908" i="6"/>
  <c r="L908" i="6"/>
  <c r="AM908" i="6" s="1"/>
  <c r="M908" i="6"/>
  <c r="N908" i="6"/>
  <c r="O908" i="6"/>
  <c r="P908" i="6"/>
  <c r="Q908" i="6"/>
  <c r="R908" i="6"/>
  <c r="S908" i="6"/>
  <c r="T908" i="6"/>
  <c r="U908" i="6"/>
  <c r="J909" i="6"/>
  <c r="AK909" i="6" s="1"/>
  <c r="K909" i="6"/>
  <c r="AL909" i="6" s="1"/>
  <c r="L909" i="6"/>
  <c r="AM909" i="6" s="1"/>
  <c r="M909" i="6"/>
  <c r="N909" i="6"/>
  <c r="O909" i="6"/>
  <c r="P909" i="6"/>
  <c r="Q909" i="6"/>
  <c r="R909" i="6"/>
  <c r="S909" i="6"/>
  <c r="T909" i="6"/>
  <c r="U909" i="6"/>
  <c r="J910" i="6"/>
  <c r="AK910" i="6" s="1"/>
  <c r="K910" i="6"/>
  <c r="AL910" i="6" s="1"/>
  <c r="L910" i="6"/>
  <c r="M910" i="6"/>
  <c r="N910" i="6"/>
  <c r="O910" i="6"/>
  <c r="P910" i="6"/>
  <c r="Q910" i="6"/>
  <c r="R910" i="6"/>
  <c r="S910" i="6"/>
  <c r="T910" i="6"/>
  <c r="U910" i="6"/>
  <c r="J911" i="6"/>
  <c r="AK911" i="6" s="1"/>
  <c r="K911" i="6"/>
  <c r="L911" i="6"/>
  <c r="AM911" i="6" s="1"/>
  <c r="M911" i="6"/>
  <c r="N911" i="6"/>
  <c r="O911" i="6"/>
  <c r="P911" i="6"/>
  <c r="Q911" i="6"/>
  <c r="R911" i="6"/>
  <c r="S911" i="6"/>
  <c r="T911" i="6"/>
  <c r="U911" i="6"/>
  <c r="J912" i="6"/>
  <c r="AK912" i="6" s="1"/>
  <c r="K912" i="6"/>
  <c r="L912" i="6"/>
  <c r="AM912" i="6" s="1"/>
  <c r="M912" i="6"/>
  <c r="N912" i="6"/>
  <c r="O912" i="6"/>
  <c r="P912" i="6"/>
  <c r="Q912" i="6"/>
  <c r="R912" i="6"/>
  <c r="S912" i="6"/>
  <c r="T912" i="6"/>
  <c r="U912" i="6"/>
  <c r="J913" i="6"/>
  <c r="AK913" i="6" s="1"/>
  <c r="K913" i="6"/>
  <c r="L913" i="6"/>
  <c r="AM913" i="6" s="1"/>
  <c r="M913" i="6"/>
  <c r="N913" i="6"/>
  <c r="O913" i="6"/>
  <c r="P913" i="6"/>
  <c r="Q913" i="6"/>
  <c r="R913" i="6"/>
  <c r="S913" i="6"/>
  <c r="T913" i="6"/>
  <c r="U913" i="6"/>
  <c r="J914" i="6"/>
  <c r="AK914" i="6" s="1"/>
  <c r="K914" i="6"/>
  <c r="AL914" i="6" s="1"/>
  <c r="L914" i="6"/>
  <c r="AM914" i="6" s="1"/>
  <c r="M914" i="6"/>
  <c r="N914" i="6"/>
  <c r="O914" i="6"/>
  <c r="P914" i="6"/>
  <c r="Q914" i="6"/>
  <c r="R914" i="6"/>
  <c r="S914" i="6"/>
  <c r="T914" i="6"/>
  <c r="U914" i="6"/>
  <c r="J915" i="6"/>
  <c r="AK915" i="6" s="1"/>
  <c r="K915" i="6"/>
  <c r="L915" i="6"/>
  <c r="AM915" i="6" s="1"/>
  <c r="M915" i="6"/>
  <c r="N915" i="6"/>
  <c r="O915" i="6"/>
  <c r="P915" i="6"/>
  <c r="Q915" i="6"/>
  <c r="R915" i="6"/>
  <c r="S915" i="6"/>
  <c r="T915" i="6"/>
  <c r="U915" i="6"/>
  <c r="J916" i="6"/>
  <c r="AK916" i="6" s="1"/>
  <c r="K916" i="6"/>
  <c r="AL916" i="6" s="1"/>
  <c r="L916" i="6"/>
  <c r="AM916" i="6" s="1"/>
  <c r="M916" i="6"/>
  <c r="N916" i="6"/>
  <c r="O916" i="6"/>
  <c r="P916" i="6"/>
  <c r="Q916" i="6"/>
  <c r="R916" i="6"/>
  <c r="S916" i="6"/>
  <c r="T916" i="6"/>
  <c r="U916" i="6"/>
  <c r="J917" i="6"/>
  <c r="AK917" i="6" s="1"/>
  <c r="K917" i="6"/>
  <c r="AL917" i="6" s="1"/>
  <c r="L917" i="6"/>
  <c r="AM917" i="6" s="1"/>
  <c r="M917" i="6"/>
  <c r="N917" i="6"/>
  <c r="O917" i="6"/>
  <c r="P917" i="6"/>
  <c r="Q917" i="6"/>
  <c r="R917" i="6"/>
  <c r="S917" i="6"/>
  <c r="T917" i="6"/>
  <c r="U917" i="6"/>
  <c r="J918" i="6"/>
  <c r="K918" i="6"/>
  <c r="AL918" i="6" s="1"/>
  <c r="L918" i="6"/>
  <c r="AM918" i="6" s="1"/>
  <c r="M918" i="6"/>
  <c r="N918" i="6"/>
  <c r="O918" i="6"/>
  <c r="P918" i="6"/>
  <c r="Q918" i="6"/>
  <c r="R918" i="6"/>
  <c r="S918" i="6"/>
  <c r="T918" i="6"/>
  <c r="U918" i="6"/>
  <c r="J919" i="6"/>
  <c r="AK919" i="6" s="1"/>
  <c r="K919" i="6"/>
  <c r="L919" i="6"/>
  <c r="AM919" i="6" s="1"/>
  <c r="M919" i="6"/>
  <c r="N919" i="6"/>
  <c r="O919" i="6"/>
  <c r="P919" i="6"/>
  <c r="Q919" i="6"/>
  <c r="R919" i="6"/>
  <c r="S919" i="6"/>
  <c r="T919" i="6"/>
  <c r="U919" i="6"/>
  <c r="J920" i="6"/>
  <c r="AK920" i="6" s="1"/>
  <c r="K920" i="6"/>
  <c r="AL920" i="6" s="1"/>
  <c r="L920" i="6"/>
  <c r="AM920" i="6" s="1"/>
  <c r="M920" i="6"/>
  <c r="N920" i="6"/>
  <c r="O920" i="6"/>
  <c r="P920" i="6"/>
  <c r="Q920" i="6"/>
  <c r="R920" i="6"/>
  <c r="S920" i="6"/>
  <c r="T920" i="6"/>
  <c r="U920" i="6"/>
  <c r="J921" i="6"/>
  <c r="K921" i="6"/>
  <c r="AL921" i="6" s="1"/>
  <c r="L921" i="6"/>
  <c r="AM921" i="6" s="1"/>
  <c r="M921" i="6"/>
  <c r="N921" i="6"/>
  <c r="O921" i="6"/>
  <c r="P921" i="6"/>
  <c r="Q921" i="6"/>
  <c r="R921" i="6"/>
  <c r="S921" i="6"/>
  <c r="T921" i="6"/>
  <c r="U921" i="6"/>
  <c r="J922" i="6"/>
  <c r="AK922" i="6" s="1"/>
  <c r="K922" i="6"/>
  <c r="AL922" i="6" s="1"/>
  <c r="L922" i="6"/>
  <c r="AM922" i="6" s="1"/>
  <c r="M922" i="6"/>
  <c r="N922" i="6"/>
  <c r="O922" i="6"/>
  <c r="P922" i="6"/>
  <c r="Q922" i="6"/>
  <c r="R922" i="6"/>
  <c r="S922" i="6"/>
  <c r="T922" i="6"/>
  <c r="U922" i="6"/>
  <c r="J923" i="6"/>
  <c r="AK923" i="6" s="1"/>
  <c r="K923" i="6"/>
  <c r="AL923" i="6" s="1"/>
  <c r="L923" i="6"/>
  <c r="AM923" i="6" s="1"/>
  <c r="M923" i="6"/>
  <c r="N923" i="6"/>
  <c r="O923" i="6"/>
  <c r="P923" i="6"/>
  <c r="Q923" i="6"/>
  <c r="R923" i="6"/>
  <c r="S923" i="6"/>
  <c r="T923" i="6"/>
  <c r="U923" i="6"/>
  <c r="J924" i="6"/>
  <c r="AK924" i="6" s="1"/>
  <c r="K924" i="6"/>
  <c r="AL924" i="6" s="1"/>
  <c r="L924" i="6"/>
  <c r="AM924" i="6" s="1"/>
  <c r="M924" i="6"/>
  <c r="N924" i="6"/>
  <c r="O924" i="6"/>
  <c r="P924" i="6"/>
  <c r="Q924" i="6"/>
  <c r="R924" i="6"/>
  <c r="S924" i="6"/>
  <c r="T924" i="6"/>
  <c r="U924" i="6"/>
  <c r="J925" i="6"/>
  <c r="AK925" i="6" s="1"/>
  <c r="K925" i="6"/>
  <c r="AL925" i="6" s="1"/>
  <c r="L925" i="6"/>
  <c r="AM925" i="6" s="1"/>
  <c r="M925" i="6"/>
  <c r="N925" i="6"/>
  <c r="O925" i="6"/>
  <c r="P925" i="6"/>
  <c r="Q925" i="6"/>
  <c r="R925" i="6"/>
  <c r="S925" i="6"/>
  <c r="T925" i="6"/>
  <c r="U925" i="6"/>
  <c r="J926" i="6"/>
  <c r="AK926" i="6" s="1"/>
  <c r="K926" i="6"/>
  <c r="AL926" i="6" s="1"/>
  <c r="L926" i="6"/>
  <c r="M926" i="6"/>
  <c r="N926" i="6"/>
  <c r="O926" i="6"/>
  <c r="P926" i="6"/>
  <c r="Q926" i="6"/>
  <c r="R926" i="6"/>
  <c r="S926" i="6"/>
  <c r="T926" i="6"/>
  <c r="U926" i="6"/>
  <c r="J927" i="6"/>
  <c r="AK927" i="6" s="1"/>
  <c r="K927" i="6"/>
  <c r="L927" i="6"/>
  <c r="AM927" i="6" s="1"/>
  <c r="M927" i="6"/>
  <c r="N927" i="6"/>
  <c r="O927" i="6"/>
  <c r="P927" i="6"/>
  <c r="Q927" i="6"/>
  <c r="R927" i="6"/>
  <c r="S927" i="6"/>
  <c r="T927" i="6"/>
  <c r="U927" i="6"/>
  <c r="J928" i="6"/>
  <c r="AK928" i="6" s="1"/>
  <c r="K928" i="6"/>
  <c r="AL928" i="6" s="1"/>
  <c r="L928" i="6"/>
  <c r="AM928" i="6" s="1"/>
  <c r="M928" i="6"/>
  <c r="N928" i="6"/>
  <c r="O928" i="6"/>
  <c r="P928" i="6"/>
  <c r="Q928" i="6"/>
  <c r="R928" i="6"/>
  <c r="S928" i="6"/>
  <c r="T928" i="6"/>
  <c r="U928" i="6"/>
  <c r="J929" i="6"/>
  <c r="AK929" i="6" s="1"/>
  <c r="K929" i="6"/>
  <c r="AL929" i="6" s="1"/>
  <c r="L929" i="6"/>
  <c r="M929" i="6"/>
  <c r="N929" i="6"/>
  <c r="O929" i="6"/>
  <c r="P929" i="6"/>
  <c r="Q929" i="6"/>
  <c r="R929" i="6"/>
  <c r="S929" i="6"/>
  <c r="T929" i="6"/>
  <c r="U929" i="6"/>
  <c r="J930" i="6"/>
  <c r="AK930" i="6" s="1"/>
  <c r="K930" i="6"/>
  <c r="AL930" i="6" s="1"/>
  <c r="L930" i="6"/>
  <c r="M930" i="6"/>
  <c r="N930" i="6"/>
  <c r="O930" i="6"/>
  <c r="P930" i="6"/>
  <c r="Q930" i="6"/>
  <c r="R930" i="6"/>
  <c r="S930" i="6"/>
  <c r="T930" i="6"/>
  <c r="U930" i="6"/>
  <c r="J931" i="6"/>
  <c r="AK931" i="6" s="1"/>
  <c r="K931" i="6"/>
  <c r="AL931" i="6" s="1"/>
  <c r="L931" i="6"/>
  <c r="AM931" i="6" s="1"/>
  <c r="M931" i="6"/>
  <c r="N931" i="6"/>
  <c r="O931" i="6"/>
  <c r="P931" i="6"/>
  <c r="Q931" i="6"/>
  <c r="R931" i="6"/>
  <c r="S931" i="6"/>
  <c r="T931" i="6"/>
  <c r="U931" i="6"/>
  <c r="J932" i="6"/>
  <c r="AK932" i="6" s="1"/>
  <c r="K932" i="6"/>
  <c r="L932" i="6"/>
  <c r="AM932" i="6" s="1"/>
  <c r="M932" i="6"/>
  <c r="N932" i="6"/>
  <c r="O932" i="6"/>
  <c r="P932" i="6"/>
  <c r="Q932" i="6"/>
  <c r="R932" i="6"/>
  <c r="S932" i="6"/>
  <c r="T932" i="6"/>
  <c r="U932" i="6"/>
  <c r="J933" i="6"/>
  <c r="AK933" i="6" s="1"/>
  <c r="K933" i="6"/>
  <c r="AL933" i="6" s="1"/>
  <c r="L933" i="6"/>
  <c r="AM933" i="6" s="1"/>
  <c r="M933" i="6"/>
  <c r="N933" i="6"/>
  <c r="O933" i="6"/>
  <c r="P933" i="6"/>
  <c r="Q933" i="6"/>
  <c r="R933" i="6"/>
  <c r="S933" i="6"/>
  <c r="T933" i="6"/>
  <c r="U933" i="6"/>
  <c r="J934" i="6"/>
  <c r="AK934" i="6" s="1"/>
  <c r="K934" i="6"/>
  <c r="AL934" i="6" s="1"/>
  <c r="L934" i="6"/>
  <c r="AM934" i="6" s="1"/>
  <c r="M934" i="6"/>
  <c r="N934" i="6"/>
  <c r="O934" i="6"/>
  <c r="P934" i="6"/>
  <c r="Q934" i="6"/>
  <c r="R934" i="6"/>
  <c r="S934" i="6"/>
  <c r="T934" i="6"/>
  <c r="U934" i="6"/>
  <c r="J935" i="6"/>
  <c r="AK935" i="6" s="1"/>
  <c r="K935" i="6"/>
  <c r="AL935" i="6" s="1"/>
  <c r="L935" i="6"/>
  <c r="AM935" i="6" s="1"/>
  <c r="M935" i="6"/>
  <c r="N935" i="6"/>
  <c r="O935" i="6"/>
  <c r="P935" i="6"/>
  <c r="Q935" i="6"/>
  <c r="R935" i="6"/>
  <c r="S935" i="6"/>
  <c r="T935" i="6"/>
  <c r="U935" i="6"/>
  <c r="J936" i="6"/>
  <c r="K936" i="6"/>
  <c r="AL936" i="6" s="1"/>
  <c r="L936" i="6"/>
  <c r="AM936" i="6" s="1"/>
  <c r="M936" i="6"/>
  <c r="N936" i="6"/>
  <c r="O936" i="6"/>
  <c r="P936" i="6"/>
  <c r="Q936" i="6"/>
  <c r="R936" i="6"/>
  <c r="S936" i="6"/>
  <c r="T936" i="6"/>
  <c r="U936" i="6"/>
  <c r="J937" i="6"/>
  <c r="AK937" i="6" s="1"/>
  <c r="K937" i="6"/>
  <c r="AL937" i="6" s="1"/>
  <c r="L937" i="6"/>
  <c r="M937" i="6"/>
  <c r="N937" i="6"/>
  <c r="O937" i="6"/>
  <c r="P937" i="6"/>
  <c r="Q937" i="6"/>
  <c r="R937" i="6"/>
  <c r="S937" i="6"/>
  <c r="T937" i="6"/>
  <c r="U937" i="6"/>
  <c r="J938" i="6"/>
  <c r="AK938" i="6" s="1"/>
  <c r="K938" i="6"/>
  <c r="AL938" i="6" s="1"/>
  <c r="L938" i="6"/>
  <c r="AM938" i="6" s="1"/>
  <c r="M938" i="6"/>
  <c r="N938" i="6"/>
  <c r="O938" i="6"/>
  <c r="P938" i="6"/>
  <c r="Q938" i="6"/>
  <c r="R938" i="6"/>
  <c r="S938" i="6"/>
  <c r="T938" i="6"/>
  <c r="U938" i="6"/>
  <c r="J939" i="6"/>
  <c r="AK939" i="6" s="1"/>
  <c r="K939" i="6"/>
  <c r="AL939" i="6" s="1"/>
  <c r="L939" i="6"/>
  <c r="M939" i="6"/>
  <c r="N939" i="6"/>
  <c r="O939" i="6"/>
  <c r="P939" i="6"/>
  <c r="Q939" i="6"/>
  <c r="R939" i="6"/>
  <c r="S939" i="6"/>
  <c r="T939" i="6"/>
  <c r="U939" i="6"/>
  <c r="J940" i="6"/>
  <c r="AK940" i="6" s="1"/>
  <c r="K940" i="6"/>
  <c r="AL940" i="6" s="1"/>
  <c r="L940" i="6"/>
  <c r="AM940" i="6" s="1"/>
  <c r="M940" i="6"/>
  <c r="N940" i="6"/>
  <c r="O940" i="6"/>
  <c r="P940" i="6"/>
  <c r="Q940" i="6"/>
  <c r="R940" i="6"/>
  <c r="S940" i="6"/>
  <c r="T940" i="6"/>
  <c r="U940" i="6"/>
  <c r="J941" i="6"/>
  <c r="AK941" i="6" s="1"/>
  <c r="K941" i="6"/>
  <c r="AL941" i="6" s="1"/>
  <c r="L941" i="6"/>
  <c r="AM941" i="6" s="1"/>
  <c r="M941" i="6"/>
  <c r="N941" i="6"/>
  <c r="O941" i="6"/>
  <c r="P941" i="6"/>
  <c r="Q941" i="6"/>
  <c r="R941" i="6"/>
  <c r="S941" i="6"/>
  <c r="T941" i="6"/>
  <c r="U941" i="6"/>
  <c r="J942" i="6"/>
  <c r="AK942" i="6" s="1"/>
  <c r="K942" i="6"/>
  <c r="AL942" i="6" s="1"/>
  <c r="L942" i="6"/>
  <c r="AM942" i="6" s="1"/>
  <c r="M942" i="6"/>
  <c r="N942" i="6"/>
  <c r="O942" i="6"/>
  <c r="P942" i="6"/>
  <c r="Q942" i="6"/>
  <c r="R942" i="6"/>
  <c r="S942" i="6"/>
  <c r="T942" i="6"/>
  <c r="U942" i="6"/>
  <c r="J943" i="6"/>
  <c r="AK943" i="6" s="1"/>
  <c r="K943" i="6"/>
  <c r="AL943" i="6" s="1"/>
  <c r="L943" i="6"/>
  <c r="AM943" i="6" s="1"/>
  <c r="M943" i="6"/>
  <c r="N943" i="6"/>
  <c r="O943" i="6"/>
  <c r="P943" i="6"/>
  <c r="Q943" i="6"/>
  <c r="R943" i="6"/>
  <c r="S943" i="6"/>
  <c r="T943" i="6"/>
  <c r="U943" i="6"/>
  <c r="J944" i="6"/>
  <c r="K944" i="6"/>
  <c r="AL944" i="6" s="1"/>
  <c r="L944" i="6"/>
  <c r="AM944" i="6" s="1"/>
  <c r="M944" i="6"/>
  <c r="N944" i="6"/>
  <c r="O944" i="6"/>
  <c r="P944" i="6"/>
  <c r="Q944" i="6"/>
  <c r="R944" i="6"/>
  <c r="S944" i="6"/>
  <c r="T944" i="6"/>
  <c r="U944" i="6"/>
  <c r="J945" i="6"/>
  <c r="AK945" i="6" s="1"/>
  <c r="K945" i="6"/>
  <c r="AL945" i="6" s="1"/>
  <c r="L945" i="6"/>
  <c r="M945" i="6"/>
  <c r="N945" i="6"/>
  <c r="O945" i="6"/>
  <c r="P945" i="6"/>
  <c r="Q945" i="6"/>
  <c r="R945" i="6"/>
  <c r="S945" i="6"/>
  <c r="T945" i="6"/>
  <c r="U945" i="6"/>
  <c r="J946" i="6"/>
  <c r="AK946" i="6" s="1"/>
  <c r="K946" i="6"/>
  <c r="AL946" i="6" s="1"/>
  <c r="L946" i="6"/>
  <c r="AM946" i="6" s="1"/>
  <c r="M946" i="6"/>
  <c r="N946" i="6"/>
  <c r="O946" i="6"/>
  <c r="P946" i="6"/>
  <c r="Q946" i="6"/>
  <c r="R946" i="6"/>
  <c r="S946" i="6"/>
  <c r="T946" i="6"/>
  <c r="U946" i="6"/>
  <c r="J947" i="6"/>
  <c r="AK947" i="6" s="1"/>
  <c r="K947" i="6"/>
  <c r="AL947" i="6" s="1"/>
  <c r="L947" i="6"/>
  <c r="AM947" i="6" s="1"/>
  <c r="M947" i="6"/>
  <c r="N947" i="6"/>
  <c r="O947" i="6"/>
  <c r="P947" i="6"/>
  <c r="Q947" i="6"/>
  <c r="R947" i="6"/>
  <c r="S947" i="6"/>
  <c r="T947" i="6"/>
  <c r="U947" i="6"/>
  <c r="J948" i="6"/>
  <c r="AK948" i="6" s="1"/>
  <c r="K948" i="6"/>
  <c r="AL948" i="6" s="1"/>
  <c r="L948" i="6"/>
  <c r="AM948" i="6" s="1"/>
  <c r="M948" i="6"/>
  <c r="N948" i="6"/>
  <c r="O948" i="6"/>
  <c r="P948" i="6"/>
  <c r="Q948" i="6"/>
  <c r="R948" i="6"/>
  <c r="S948" i="6"/>
  <c r="T948" i="6"/>
  <c r="U948" i="6"/>
  <c r="J949" i="6"/>
  <c r="AK949" i="6" s="1"/>
  <c r="K949" i="6"/>
  <c r="AL949" i="6" s="1"/>
  <c r="L949" i="6"/>
  <c r="AM949" i="6" s="1"/>
  <c r="M949" i="6"/>
  <c r="N949" i="6"/>
  <c r="O949" i="6"/>
  <c r="P949" i="6"/>
  <c r="Q949" i="6"/>
  <c r="R949" i="6"/>
  <c r="S949" i="6"/>
  <c r="T949" i="6"/>
  <c r="U949" i="6"/>
  <c r="J950" i="6"/>
  <c r="AK950" i="6" s="1"/>
  <c r="K950" i="6"/>
  <c r="AL950" i="6" s="1"/>
  <c r="L950" i="6"/>
  <c r="AM950" i="6" s="1"/>
  <c r="M950" i="6"/>
  <c r="N950" i="6"/>
  <c r="O950" i="6"/>
  <c r="P950" i="6"/>
  <c r="Q950" i="6"/>
  <c r="R950" i="6"/>
  <c r="S950" i="6"/>
  <c r="T950" i="6"/>
  <c r="U950" i="6"/>
  <c r="J951" i="6"/>
  <c r="AK951" i="6" s="1"/>
  <c r="K951" i="6"/>
  <c r="AL951" i="6" s="1"/>
  <c r="L951" i="6"/>
  <c r="AM951" i="6" s="1"/>
  <c r="M951" i="6"/>
  <c r="N951" i="6"/>
  <c r="O951" i="6"/>
  <c r="P951" i="6"/>
  <c r="Q951" i="6"/>
  <c r="R951" i="6"/>
  <c r="S951" i="6"/>
  <c r="T951" i="6"/>
  <c r="U951" i="6"/>
  <c r="J952" i="6"/>
  <c r="K952" i="6"/>
  <c r="AL952" i="6" s="1"/>
  <c r="L952" i="6"/>
  <c r="AM952" i="6" s="1"/>
  <c r="M952" i="6"/>
  <c r="N952" i="6"/>
  <c r="O952" i="6"/>
  <c r="P952" i="6"/>
  <c r="Q952" i="6"/>
  <c r="R952" i="6"/>
  <c r="S952" i="6"/>
  <c r="T952" i="6"/>
  <c r="U952" i="6"/>
  <c r="J953" i="6"/>
  <c r="AK953" i="6" s="1"/>
  <c r="K953" i="6"/>
  <c r="AL953" i="6" s="1"/>
  <c r="L953" i="6"/>
  <c r="M953" i="6"/>
  <c r="N953" i="6"/>
  <c r="O953" i="6"/>
  <c r="P953" i="6"/>
  <c r="Q953" i="6"/>
  <c r="R953" i="6"/>
  <c r="S953" i="6"/>
  <c r="T953" i="6"/>
  <c r="U953" i="6"/>
  <c r="J954" i="6"/>
  <c r="K954" i="6"/>
  <c r="AL954" i="6" s="1"/>
  <c r="L954" i="6"/>
  <c r="AM954" i="6" s="1"/>
  <c r="M954" i="6"/>
  <c r="N954" i="6"/>
  <c r="O954" i="6"/>
  <c r="P954" i="6"/>
  <c r="Q954" i="6"/>
  <c r="R954" i="6"/>
  <c r="S954" i="6"/>
  <c r="T954" i="6"/>
  <c r="U954" i="6"/>
  <c r="J955" i="6"/>
  <c r="AK955" i="6" s="1"/>
  <c r="K955" i="6"/>
  <c r="AL955" i="6" s="1"/>
  <c r="L955" i="6"/>
  <c r="AM955" i="6" s="1"/>
  <c r="M955" i="6"/>
  <c r="N955" i="6"/>
  <c r="O955" i="6"/>
  <c r="P955" i="6"/>
  <c r="Q955" i="6"/>
  <c r="R955" i="6"/>
  <c r="S955" i="6"/>
  <c r="T955" i="6"/>
  <c r="U955" i="6"/>
  <c r="J956" i="6"/>
  <c r="AK956" i="6" s="1"/>
  <c r="K956" i="6"/>
  <c r="AL956" i="6" s="1"/>
  <c r="L956" i="6"/>
  <c r="AM956" i="6" s="1"/>
  <c r="M956" i="6"/>
  <c r="N956" i="6"/>
  <c r="O956" i="6"/>
  <c r="P956" i="6"/>
  <c r="Q956" i="6"/>
  <c r="R956" i="6"/>
  <c r="S956" i="6"/>
  <c r="T956" i="6"/>
  <c r="U956" i="6"/>
  <c r="J957" i="6"/>
  <c r="AK957" i="6" s="1"/>
  <c r="K957" i="6"/>
  <c r="AL957" i="6" s="1"/>
  <c r="L957" i="6"/>
  <c r="AM957" i="6" s="1"/>
  <c r="M957" i="6"/>
  <c r="N957" i="6"/>
  <c r="O957" i="6"/>
  <c r="P957" i="6"/>
  <c r="Q957" i="6"/>
  <c r="R957" i="6"/>
  <c r="S957" i="6"/>
  <c r="T957" i="6"/>
  <c r="U957" i="6"/>
  <c r="J958" i="6"/>
  <c r="AK958" i="6" s="1"/>
  <c r="K958" i="6"/>
  <c r="AL958" i="6" s="1"/>
  <c r="L958" i="6"/>
  <c r="AM958" i="6" s="1"/>
  <c r="M958" i="6"/>
  <c r="N958" i="6"/>
  <c r="O958" i="6"/>
  <c r="P958" i="6"/>
  <c r="Q958" i="6"/>
  <c r="R958" i="6"/>
  <c r="S958" i="6"/>
  <c r="T958" i="6"/>
  <c r="U958" i="6"/>
  <c r="J959" i="6"/>
  <c r="AK959" i="6" s="1"/>
  <c r="K959" i="6"/>
  <c r="AL959" i="6" s="1"/>
  <c r="L959" i="6"/>
  <c r="AM959" i="6" s="1"/>
  <c r="M959" i="6"/>
  <c r="N959" i="6"/>
  <c r="O959" i="6"/>
  <c r="P959" i="6"/>
  <c r="Q959" i="6"/>
  <c r="R959" i="6"/>
  <c r="S959" i="6"/>
  <c r="T959" i="6"/>
  <c r="U959" i="6"/>
  <c r="J960" i="6"/>
  <c r="AK960" i="6" s="1"/>
  <c r="K960" i="6"/>
  <c r="AL960" i="6" s="1"/>
  <c r="L960" i="6"/>
  <c r="AM960" i="6" s="1"/>
  <c r="M960" i="6"/>
  <c r="N960" i="6"/>
  <c r="O960" i="6"/>
  <c r="P960" i="6"/>
  <c r="Q960" i="6"/>
  <c r="R960" i="6"/>
  <c r="S960" i="6"/>
  <c r="T960" i="6"/>
  <c r="U960" i="6"/>
  <c r="J961" i="6"/>
  <c r="AK961" i="6" s="1"/>
  <c r="K961" i="6"/>
  <c r="AL961" i="6" s="1"/>
  <c r="L961" i="6"/>
  <c r="AM961" i="6" s="1"/>
  <c r="M961" i="6"/>
  <c r="N961" i="6"/>
  <c r="O961" i="6"/>
  <c r="P961" i="6"/>
  <c r="Q961" i="6"/>
  <c r="R961" i="6"/>
  <c r="S961" i="6"/>
  <c r="T961" i="6"/>
  <c r="U961" i="6"/>
  <c r="J962" i="6"/>
  <c r="AK962" i="6" s="1"/>
  <c r="K962" i="6"/>
  <c r="AL962" i="6" s="1"/>
  <c r="L962" i="6"/>
  <c r="AM962" i="6" s="1"/>
  <c r="M962" i="6"/>
  <c r="N962" i="6"/>
  <c r="O962" i="6"/>
  <c r="P962" i="6"/>
  <c r="Q962" i="6"/>
  <c r="R962" i="6"/>
  <c r="S962" i="6"/>
  <c r="T962" i="6"/>
  <c r="U962" i="6"/>
  <c r="J963" i="6"/>
  <c r="AK963" i="6" s="1"/>
  <c r="K963" i="6"/>
  <c r="AL963" i="6" s="1"/>
  <c r="L963" i="6"/>
  <c r="AM963" i="6" s="1"/>
  <c r="M963" i="6"/>
  <c r="N963" i="6"/>
  <c r="O963" i="6"/>
  <c r="P963" i="6"/>
  <c r="Q963" i="6"/>
  <c r="R963" i="6"/>
  <c r="S963" i="6"/>
  <c r="T963" i="6"/>
  <c r="U963" i="6"/>
  <c r="J964" i="6"/>
  <c r="AK964" i="6" s="1"/>
  <c r="K964" i="6"/>
  <c r="AL964" i="6" s="1"/>
  <c r="L964" i="6"/>
  <c r="AM964" i="6" s="1"/>
  <c r="M964" i="6"/>
  <c r="N964" i="6"/>
  <c r="O964" i="6"/>
  <c r="P964" i="6"/>
  <c r="Q964" i="6"/>
  <c r="R964" i="6"/>
  <c r="S964" i="6"/>
  <c r="T964" i="6"/>
  <c r="U964" i="6"/>
  <c r="J965" i="6"/>
  <c r="AK965" i="6" s="1"/>
  <c r="K965" i="6"/>
  <c r="AL965" i="6" s="1"/>
  <c r="L965" i="6"/>
  <c r="AM965" i="6" s="1"/>
  <c r="M965" i="6"/>
  <c r="N965" i="6"/>
  <c r="O965" i="6"/>
  <c r="P965" i="6"/>
  <c r="Q965" i="6"/>
  <c r="R965" i="6"/>
  <c r="S965" i="6"/>
  <c r="T965" i="6"/>
  <c r="U965" i="6"/>
  <c r="J966" i="6"/>
  <c r="AK966" i="6" s="1"/>
  <c r="K966" i="6"/>
  <c r="AL966" i="6" s="1"/>
  <c r="L966" i="6"/>
  <c r="AM966" i="6" s="1"/>
  <c r="M966" i="6"/>
  <c r="N966" i="6"/>
  <c r="O966" i="6"/>
  <c r="P966" i="6"/>
  <c r="Q966" i="6"/>
  <c r="R966" i="6"/>
  <c r="S966" i="6"/>
  <c r="T966" i="6"/>
  <c r="U966" i="6"/>
  <c r="J967" i="6"/>
  <c r="AK967" i="6" s="1"/>
  <c r="K967" i="6"/>
  <c r="AL967" i="6" s="1"/>
  <c r="L967" i="6"/>
  <c r="AM967" i="6" s="1"/>
  <c r="M967" i="6"/>
  <c r="N967" i="6"/>
  <c r="O967" i="6"/>
  <c r="P967" i="6"/>
  <c r="Q967" i="6"/>
  <c r="R967" i="6"/>
  <c r="S967" i="6"/>
  <c r="T967" i="6"/>
  <c r="U967" i="6"/>
  <c r="J968" i="6"/>
  <c r="AK968" i="6" s="1"/>
  <c r="K968" i="6"/>
  <c r="AL968" i="6" s="1"/>
  <c r="L968" i="6"/>
  <c r="AM968" i="6" s="1"/>
  <c r="M968" i="6"/>
  <c r="N968" i="6"/>
  <c r="O968" i="6"/>
  <c r="P968" i="6"/>
  <c r="Q968" i="6"/>
  <c r="R968" i="6"/>
  <c r="S968" i="6"/>
  <c r="T968" i="6"/>
  <c r="U968" i="6"/>
  <c r="J969" i="6"/>
  <c r="AK969" i="6" s="1"/>
  <c r="K969" i="6"/>
  <c r="AL969" i="6" s="1"/>
  <c r="L969" i="6"/>
  <c r="AM969" i="6" s="1"/>
  <c r="M969" i="6"/>
  <c r="N969" i="6"/>
  <c r="O969" i="6"/>
  <c r="P969" i="6"/>
  <c r="Q969" i="6"/>
  <c r="R969" i="6"/>
  <c r="S969" i="6"/>
  <c r="T969" i="6"/>
  <c r="U969" i="6"/>
  <c r="J970" i="6"/>
  <c r="AK970" i="6" s="1"/>
  <c r="K970" i="6"/>
  <c r="AL970" i="6" s="1"/>
  <c r="L970" i="6"/>
  <c r="AM970" i="6" s="1"/>
  <c r="M970" i="6"/>
  <c r="N970" i="6"/>
  <c r="O970" i="6"/>
  <c r="P970" i="6"/>
  <c r="Q970" i="6"/>
  <c r="R970" i="6"/>
  <c r="S970" i="6"/>
  <c r="T970" i="6"/>
  <c r="U970" i="6"/>
  <c r="J971" i="6"/>
  <c r="AK971" i="6" s="1"/>
  <c r="K971" i="6"/>
  <c r="AL971" i="6" s="1"/>
  <c r="L971" i="6"/>
  <c r="AM971" i="6" s="1"/>
  <c r="M971" i="6"/>
  <c r="N971" i="6"/>
  <c r="O971" i="6"/>
  <c r="P971" i="6"/>
  <c r="Q971" i="6"/>
  <c r="R971" i="6"/>
  <c r="S971" i="6"/>
  <c r="T971" i="6"/>
  <c r="U971" i="6"/>
  <c r="J972" i="6"/>
  <c r="AK972" i="6" s="1"/>
  <c r="K972" i="6"/>
  <c r="AL972" i="6" s="1"/>
  <c r="L972" i="6"/>
  <c r="AM972" i="6" s="1"/>
  <c r="M972" i="6"/>
  <c r="N972" i="6"/>
  <c r="O972" i="6"/>
  <c r="P972" i="6"/>
  <c r="Q972" i="6"/>
  <c r="R972" i="6"/>
  <c r="S972" i="6"/>
  <c r="T972" i="6"/>
  <c r="U972" i="6"/>
  <c r="J973" i="6"/>
  <c r="AK973" i="6" s="1"/>
  <c r="K973" i="6"/>
  <c r="AL973" i="6" s="1"/>
  <c r="L973" i="6"/>
  <c r="AM973" i="6" s="1"/>
  <c r="M973" i="6"/>
  <c r="N973" i="6"/>
  <c r="O973" i="6"/>
  <c r="P973" i="6"/>
  <c r="Q973" i="6"/>
  <c r="R973" i="6"/>
  <c r="S973" i="6"/>
  <c r="T973" i="6"/>
  <c r="U973" i="6"/>
  <c r="J974" i="6"/>
  <c r="AK974" i="6" s="1"/>
  <c r="K974" i="6"/>
  <c r="AL974" i="6" s="1"/>
  <c r="L974" i="6"/>
  <c r="AM974" i="6" s="1"/>
  <c r="M974" i="6"/>
  <c r="N974" i="6"/>
  <c r="O974" i="6"/>
  <c r="P974" i="6"/>
  <c r="Q974" i="6"/>
  <c r="R974" i="6"/>
  <c r="S974" i="6"/>
  <c r="T974" i="6"/>
  <c r="U974" i="6"/>
  <c r="J975" i="6"/>
  <c r="AK975" i="6" s="1"/>
  <c r="K975" i="6"/>
  <c r="AL975" i="6" s="1"/>
  <c r="L975" i="6"/>
  <c r="AM975" i="6" s="1"/>
  <c r="M975" i="6"/>
  <c r="N975" i="6"/>
  <c r="O975" i="6"/>
  <c r="P975" i="6"/>
  <c r="Q975" i="6"/>
  <c r="R975" i="6"/>
  <c r="S975" i="6"/>
  <c r="T975" i="6"/>
  <c r="U975" i="6"/>
  <c r="J976" i="6"/>
  <c r="AK976" i="6" s="1"/>
  <c r="K976" i="6"/>
  <c r="AL976" i="6" s="1"/>
  <c r="L976" i="6"/>
  <c r="AM976" i="6" s="1"/>
  <c r="M976" i="6"/>
  <c r="N976" i="6"/>
  <c r="O976" i="6"/>
  <c r="P976" i="6"/>
  <c r="Q976" i="6"/>
  <c r="R976" i="6"/>
  <c r="S976" i="6"/>
  <c r="T976" i="6"/>
  <c r="U976" i="6"/>
  <c r="J977" i="6"/>
  <c r="AK977" i="6" s="1"/>
  <c r="K977" i="6"/>
  <c r="AL977" i="6" s="1"/>
  <c r="L977" i="6"/>
  <c r="AM977" i="6" s="1"/>
  <c r="M977" i="6"/>
  <c r="N977" i="6"/>
  <c r="O977" i="6"/>
  <c r="P977" i="6"/>
  <c r="Q977" i="6"/>
  <c r="R977" i="6"/>
  <c r="S977" i="6"/>
  <c r="T977" i="6"/>
  <c r="U977" i="6"/>
  <c r="J978" i="6"/>
  <c r="AK978" i="6" s="1"/>
  <c r="K978" i="6"/>
  <c r="AL978" i="6" s="1"/>
  <c r="L978" i="6"/>
  <c r="AM978" i="6" s="1"/>
  <c r="M978" i="6"/>
  <c r="N978" i="6"/>
  <c r="O978" i="6"/>
  <c r="P978" i="6"/>
  <c r="Q978" i="6"/>
  <c r="R978" i="6"/>
  <c r="S978" i="6"/>
  <c r="T978" i="6"/>
  <c r="U978" i="6"/>
  <c r="J979" i="6"/>
  <c r="AK979" i="6" s="1"/>
  <c r="K979" i="6"/>
  <c r="AL979" i="6" s="1"/>
  <c r="L979" i="6"/>
  <c r="AM979" i="6" s="1"/>
  <c r="M979" i="6"/>
  <c r="N979" i="6"/>
  <c r="O979" i="6"/>
  <c r="P979" i="6"/>
  <c r="Q979" i="6"/>
  <c r="R979" i="6"/>
  <c r="S979" i="6"/>
  <c r="T979" i="6"/>
  <c r="U979" i="6"/>
  <c r="J980" i="6"/>
  <c r="AK980" i="6" s="1"/>
  <c r="K980" i="6"/>
  <c r="AL980" i="6" s="1"/>
  <c r="L980" i="6"/>
  <c r="AM980" i="6" s="1"/>
  <c r="M980" i="6"/>
  <c r="N980" i="6"/>
  <c r="O980" i="6"/>
  <c r="P980" i="6"/>
  <c r="Q980" i="6"/>
  <c r="R980" i="6"/>
  <c r="S980" i="6"/>
  <c r="T980" i="6"/>
  <c r="U980" i="6"/>
  <c r="J981" i="6"/>
  <c r="AK981" i="6" s="1"/>
  <c r="K981" i="6"/>
  <c r="AL981" i="6" s="1"/>
  <c r="L981" i="6"/>
  <c r="AM981" i="6" s="1"/>
  <c r="M981" i="6"/>
  <c r="N981" i="6"/>
  <c r="O981" i="6"/>
  <c r="P981" i="6"/>
  <c r="Q981" i="6"/>
  <c r="R981" i="6"/>
  <c r="S981" i="6"/>
  <c r="T981" i="6"/>
  <c r="U981" i="6"/>
  <c r="J982" i="6"/>
  <c r="AK982" i="6" s="1"/>
  <c r="K982" i="6"/>
  <c r="AL982" i="6" s="1"/>
  <c r="L982" i="6"/>
  <c r="AM982" i="6" s="1"/>
  <c r="M982" i="6"/>
  <c r="N982" i="6"/>
  <c r="O982" i="6"/>
  <c r="P982" i="6"/>
  <c r="Q982" i="6"/>
  <c r="R982" i="6"/>
  <c r="S982" i="6"/>
  <c r="T982" i="6"/>
  <c r="U982" i="6"/>
  <c r="J983" i="6"/>
  <c r="AK983" i="6" s="1"/>
  <c r="K983" i="6"/>
  <c r="AL983" i="6" s="1"/>
  <c r="L983" i="6"/>
  <c r="AM983" i="6" s="1"/>
  <c r="M983" i="6"/>
  <c r="N983" i="6"/>
  <c r="O983" i="6"/>
  <c r="P983" i="6"/>
  <c r="Q983" i="6"/>
  <c r="R983" i="6"/>
  <c r="S983" i="6"/>
  <c r="T983" i="6"/>
  <c r="U983" i="6"/>
  <c r="J984" i="6"/>
  <c r="AK984" i="6" s="1"/>
  <c r="K984" i="6"/>
  <c r="AL984" i="6" s="1"/>
  <c r="L984" i="6"/>
  <c r="AM984" i="6" s="1"/>
  <c r="M984" i="6"/>
  <c r="N984" i="6"/>
  <c r="O984" i="6"/>
  <c r="P984" i="6"/>
  <c r="Q984" i="6"/>
  <c r="R984" i="6"/>
  <c r="S984" i="6"/>
  <c r="T984" i="6"/>
  <c r="U984" i="6"/>
  <c r="J985" i="6"/>
  <c r="AK985" i="6" s="1"/>
  <c r="K985" i="6"/>
  <c r="L985" i="6"/>
  <c r="AM985" i="6" s="1"/>
  <c r="M985" i="6"/>
  <c r="N985" i="6"/>
  <c r="O985" i="6"/>
  <c r="P985" i="6"/>
  <c r="Q985" i="6"/>
  <c r="R985" i="6"/>
  <c r="S985" i="6"/>
  <c r="T985" i="6"/>
  <c r="U985" i="6"/>
  <c r="J986" i="6"/>
  <c r="AK986" i="6" s="1"/>
  <c r="K986" i="6"/>
  <c r="AL986" i="6" s="1"/>
  <c r="L986" i="6"/>
  <c r="AM986" i="6" s="1"/>
  <c r="M986" i="6"/>
  <c r="N986" i="6"/>
  <c r="O986" i="6"/>
  <c r="P986" i="6"/>
  <c r="Q986" i="6"/>
  <c r="R986" i="6"/>
  <c r="S986" i="6"/>
  <c r="T986" i="6"/>
  <c r="U986" i="6"/>
  <c r="J987" i="6"/>
  <c r="AK987" i="6" s="1"/>
  <c r="K987" i="6"/>
  <c r="AL987" i="6" s="1"/>
  <c r="L987" i="6"/>
  <c r="AM987" i="6" s="1"/>
  <c r="M987" i="6"/>
  <c r="N987" i="6"/>
  <c r="O987" i="6"/>
  <c r="P987" i="6"/>
  <c r="Q987" i="6"/>
  <c r="R987" i="6"/>
  <c r="S987" i="6"/>
  <c r="T987" i="6"/>
  <c r="U987" i="6"/>
  <c r="J988" i="6"/>
  <c r="AK988" i="6" s="1"/>
  <c r="K988" i="6"/>
  <c r="AL988" i="6" s="1"/>
  <c r="L988" i="6"/>
  <c r="AM988" i="6" s="1"/>
  <c r="M988" i="6"/>
  <c r="N988" i="6"/>
  <c r="O988" i="6"/>
  <c r="P988" i="6"/>
  <c r="Q988" i="6"/>
  <c r="R988" i="6"/>
  <c r="S988" i="6"/>
  <c r="T988" i="6"/>
  <c r="U988" i="6"/>
  <c r="J989" i="6"/>
  <c r="AK989" i="6" s="1"/>
  <c r="K989" i="6"/>
  <c r="AL989" i="6" s="1"/>
  <c r="L989" i="6"/>
  <c r="AM989" i="6" s="1"/>
  <c r="M989" i="6"/>
  <c r="N989" i="6"/>
  <c r="O989" i="6"/>
  <c r="P989" i="6"/>
  <c r="Q989" i="6"/>
  <c r="R989" i="6"/>
  <c r="S989" i="6"/>
  <c r="T989" i="6"/>
  <c r="U989" i="6"/>
  <c r="J990" i="6"/>
  <c r="AK990" i="6" s="1"/>
  <c r="K990" i="6"/>
  <c r="L990" i="6"/>
  <c r="AM990" i="6" s="1"/>
  <c r="M990" i="6"/>
  <c r="N990" i="6"/>
  <c r="O990" i="6"/>
  <c r="P990" i="6"/>
  <c r="Q990" i="6"/>
  <c r="R990" i="6"/>
  <c r="S990" i="6"/>
  <c r="T990" i="6"/>
  <c r="U990" i="6"/>
  <c r="J991" i="6"/>
  <c r="AK991" i="6" s="1"/>
  <c r="K991" i="6"/>
  <c r="AL991" i="6" s="1"/>
  <c r="L991" i="6"/>
  <c r="AM991" i="6" s="1"/>
  <c r="M991" i="6"/>
  <c r="N991" i="6"/>
  <c r="O991" i="6"/>
  <c r="P991" i="6"/>
  <c r="Q991" i="6"/>
  <c r="R991" i="6"/>
  <c r="S991" i="6"/>
  <c r="T991" i="6"/>
  <c r="U991" i="6"/>
  <c r="J992" i="6"/>
  <c r="AK992" i="6" s="1"/>
  <c r="K992" i="6"/>
  <c r="AL992" i="6" s="1"/>
  <c r="L992" i="6"/>
  <c r="AM992" i="6" s="1"/>
  <c r="M992" i="6"/>
  <c r="N992" i="6"/>
  <c r="O992" i="6"/>
  <c r="P992" i="6"/>
  <c r="Q992" i="6"/>
  <c r="R992" i="6"/>
  <c r="S992" i="6"/>
  <c r="T992" i="6"/>
  <c r="U992" i="6"/>
  <c r="J993" i="6"/>
  <c r="AK993" i="6" s="1"/>
  <c r="K993" i="6"/>
  <c r="L993" i="6"/>
  <c r="AM993" i="6" s="1"/>
  <c r="M993" i="6"/>
  <c r="N993" i="6"/>
  <c r="O993" i="6"/>
  <c r="P993" i="6"/>
  <c r="Q993" i="6"/>
  <c r="R993" i="6"/>
  <c r="S993" i="6"/>
  <c r="T993" i="6"/>
  <c r="U993" i="6"/>
  <c r="J994" i="6"/>
  <c r="AK994" i="6" s="1"/>
  <c r="K994" i="6"/>
  <c r="AL994" i="6" s="1"/>
  <c r="L994" i="6"/>
  <c r="AM994" i="6" s="1"/>
  <c r="M994" i="6"/>
  <c r="N994" i="6"/>
  <c r="O994" i="6"/>
  <c r="P994" i="6"/>
  <c r="Q994" i="6"/>
  <c r="R994" i="6"/>
  <c r="S994" i="6"/>
  <c r="T994" i="6"/>
  <c r="U994" i="6"/>
  <c r="J995" i="6"/>
  <c r="AK995" i="6" s="1"/>
  <c r="K995" i="6"/>
  <c r="AL995" i="6" s="1"/>
  <c r="L995" i="6"/>
  <c r="AM995" i="6" s="1"/>
  <c r="M995" i="6"/>
  <c r="N995" i="6"/>
  <c r="O995" i="6"/>
  <c r="P995" i="6"/>
  <c r="Q995" i="6"/>
  <c r="R995" i="6"/>
  <c r="S995" i="6"/>
  <c r="T995" i="6"/>
  <c r="U995" i="6"/>
  <c r="J996" i="6"/>
  <c r="AK996" i="6" s="1"/>
  <c r="K996" i="6"/>
  <c r="AL996" i="6" s="1"/>
  <c r="L996" i="6"/>
  <c r="AM996" i="6" s="1"/>
  <c r="M996" i="6"/>
  <c r="N996" i="6"/>
  <c r="O996" i="6"/>
  <c r="P996" i="6"/>
  <c r="Q996" i="6"/>
  <c r="R996" i="6"/>
  <c r="S996" i="6"/>
  <c r="T996" i="6"/>
  <c r="U996" i="6"/>
  <c r="J997" i="6"/>
  <c r="AK997" i="6" s="1"/>
  <c r="K997" i="6"/>
  <c r="AL997" i="6" s="1"/>
  <c r="L997" i="6"/>
  <c r="AM997" i="6" s="1"/>
  <c r="M997" i="6"/>
  <c r="N997" i="6"/>
  <c r="O997" i="6"/>
  <c r="P997" i="6"/>
  <c r="Q997" i="6"/>
  <c r="R997" i="6"/>
  <c r="S997" i="6"/>
  <c r="T997" i="6"/>
  <c r="U997" i="6"/>
  <c r="J998" i="6"/>
  <c r="AK998" i="6" s="1"/>
  <c r="K998" i="6"/>
  <c r="AL998" i="6" s="1"/>
  <c r="L998" i="6"/>
  <c r="AM998" i="6" s="1"/>
  <c r="M998" i="6"/>
  <c r="N998" i="6"/>
  <c r="O998" i="6"/>
  <c r="P998" i="6"/>
  <c r="Q998" i="6"/>
  <c r="R998" i="6"/>
  <c r="S998" i="6"/>
  <c r="T998" i="6"/>
  <c r="U998" i="6"/>
  <c r="J999" i="6"/>
  <c r="AK999" i="6" s="1"/>
  <c r="K999" i="6"/>
  <c r="AL999" i="6" s="1"/>
  <c r="L999" i="6"/>
  <c r="AM999" i="6" s="1"/>
  <c r="M999" i="6"/>
  <c r="N999" i="6"/>
  <c r="O999" i="6"/>
  <c r="P999" i="6"/>
  <c r="Q999" i="6"/>
  <c r="R999" i="6"/>
  <c r="S999" i="6"/>
  <c r="T999" i="6"/>
  <c r="U999" i="6"/>
  <c r="AZ614" i="1" l="1"/>
  <c r="AQ614" i="1"/>
  <c r="AR614" i="1"/>
  <c r="BB614" i="1"/>
  <c r="AS614" i="1"/>
  <c r="BC614" i="1"/>
  <c r="AR612" i="1"/>
  <c r="AS612" i="1"/>
  <c r="AU612" i="1" s="1"/>
  <c r="BB612" i="1"/>
  <c r="BC612" i="1"/>
  <c r="BD612" i="1" s="1"/>
  <c r="AQ612" i="1"/>
  <c r="AZ612" i="1"/>
  <c r="BC611" i="1"/>
  <c r="BD611" i="1" s="1"/>
  <c r="AS611" i="1"/>
  <c r="AU611" i="1" s="1"/>
  <c r="AR611" i="1"/>
  <c r="BB611" i="1"/>
  <c r="DZ611" i="1" s="1"/>
  <c r="AZ611" i="1"/>
  <c r="AQ611" i="1"/>
  <c r="AQ613" i="1"/>
  <c r="AZ613" i="1"/>
  <c r="BB610" i="1"/>
  <c r="AS610" i="1"/>
  <c r="AU610" i="1" s="1"/>
  <c r="BC610" i="1"/>
  <c r="BD610" i="1" s="1"/>
  <c r="AR610" i="1"/>
  <c r="AZ610" i="1"/>
  <c r="AQ610" i="1"/>
  <c r="DY610" i="1" s="1"/>
  <c r="EC610" i="1" s="1"/>
  <c r="EE610" i="1" s="1"/>
  <c r="AR613" i="1"/>
  <c r="AS613" i="1"/>
  <c r="AU613" i="1" s="1"/>
  <c r="BB613" i="1"/>
  <c r="BC613" i="1"/>
  <c r="BD613" i="1" s="1"/>
  <c r="AS608" i="1"/>
  <c r="BC608" i="1"/>
  <c r="AR608" i="1"/>
  <c r="BB608" i="1"/>
  <c r="AL608" i="1"/>
  <c r="AT608" i="1"/>
  <c r="AS609" i="1"/>
  <c r="BC609" i="1"/>
  <c r="AL609" i="1"/>
  <c r="AT607" i="1"/>
  <c r="AT604" i="1"/>
  <c r="AT605" i="1"/>
  <c r="AT588" i="1"/>
  <c r="AT584" i="1"/>
  <c r="AT603" i="1"/>
  <c r="AT602" i="1"/>
  <c r="AT589" i="1"/>
  <c r="AT581" i="1"/>
  <c r="EM559" i="1"/>
  <c r="EL559" i="1"/>
  <c r="DW554" i="1"/>
  <c r="DX554" i="1"/>
  <c r="AT583" i="1"/>
  <c r="AT599" i="1"/>
  <c r="AT595" i="1"/>
  <c r="AT591" i="1"/>
  <c r="AT600" i="1"/>
  <c r="AT596" i="1"/>
  <c r="AT592" i="1"/>
  <c r="AT597" i="1"/>
  <c r="AT587" i="1"/>
  <c r="AT594" i="1"/>
  <c r="AT586" i="1"/>
  <c r="AT582" i="1"/>
  <c r="P24" i="14"/>
  <c r="V817" i="6"/>
  <c r="Y817" i="6" s="1"/>
  <c r="V564" i="6"/>
  <c r="AT579" i="1"/>
  <c r="AT580" i="1"/>
  <c r="AT578" i="1"/>
  <c r="W967" i="6"/>
  <c r="Z967" i="6" s="1"/>
  <c r="AT565" i="1"/>
  <c r="AT575" i="1"/>
  <c r="AT571" i="1"/>
  <c r="AT567" i="1"/>
  <c r="X758" i="6"/>
  <c r="AD758" i="6" s="1"/>
  <c r="AT576" i="1"/>
  <c r="AT572" i="1"/>
  <c r="AT568" i="1"/>
  <c r="AT564" i="1"/>
  <c r="W856" i="6"/>
  <c r="AC856" i="6" s="1"/>
  <c r="X848" i="6"/>
  <c r="AD848" i="6" s="1"/>
  <c r="AT577" i="1"/>
  <c r="AT573" i="1"/>
  <c r="AT569" i="1"/>
  <c r="W932" i="6"/>
  <c r="AF932" i="6" s="1"/>
  <c r="AT574" i="1"/>
  <c r="AT570" i="1"/>
  <c r="AT566" i="1"/>
  <c r="Q201" i="14"/>
  <c r="Q202" i="14"/>
  <c r="W905" i="6"/>
  <c r="Z905" i="6" s="1"/>
  <c r="AT561" i="1"/>
  <c r="V893" i="6"/>
  <c r="Y893" i="6" s="1"/>
  <c r="X656" i="6"/>
  <c r="AJ656" i="6" s="1"/>
  <c r="X857" i="6"/>
  <c r="AG857" i="6" s="1"/>
  <c r="AT562" i="1"/>
  <c r="V894" i="6"/>
  <c r="AE894" i="6" s="1"/>
  <c r="W873" i="6"/>
  <c r="V935" i="6"/>
  <c r="AB935" i="6" s="1"/>
  <c r="X940" i="6"/>
  <c r="AA940" i="6" s="1"/>
  <c r="AT563" i="1"/>
  <c r="W887" i="6"/>
  <c r="AF887" i="6" s="1"/>
  <c r="W998" i="6"/>
  <c r="AC998" i="6" s="1"/>
  <c r="X941" i="6"/>
  <c r="AJ941" i="6" s="1"/>
  <c r="AT560" i="1"/>
  <c r="V784" i="6"/>
  <c r="Y784" i="6" s="1"/>
  <c r="V780" i="6"/>
  <c r="Y780" i="6" s="1"/>
  <c r="X702" i="6"/>
  <c r="AD702" i="6" s="1"/>
  <c r="V761" i="6"/>
  <c r="AH761" i="6" s="1"/>
  <c r="X756" i="6"/>
  <c r="AA756" i="6" s="1"/>
  <c r="V735" i="6"/>
  <c r="Y735" i="6" s="1"/>
  <c r="V728" i="6"/>
  <c r="Y728" i="6" s="1"/>
  <c r="X563" i="6"/>
  <c r="AJ563" i="6" s="1"/>
  <c r="V938" i="6"/>
  <c r="AE938" i="6" s="1"/>
  <c r="V760" i="6"/>
  <c r="AB760" i="6" s="1"/>
  <c r="V633" i="6"/>
  <c r="Y633" i="6" s="1"/>
  <c r="W889" i="6"/>
  <c r="AC889" i="6" s="1"/>
  <c r="X593" i="6"/>
  <c r="AA593" i="6" s="1"/>
  <c r="W597" i="6"/>
  <c r="AI597" i="6" s="1"/>
  <c r="X696" i="6"/>
  <c r="AD696" i="6" s="1"/>
  <c r="V597" i="6"/>
  <c r="Y597" i="6" s="1"/>
  <c r="W692" i="6"/>
  <c r="AI692" i="6" s="1"/>
  <c r="V716" i="6"/>
  <c r="AH716" i="6" s="1"/>
  <c r="W639" i="6"/>
  <c r="AF639" i="6" s="1"/>
  <c r="V877" i="6"/>
  <c r="Y877" i="6" s="1"/>
  <c r="X826" i="6"/>
  <c r="AA826" i="6" s="1"/>
  <c r="X933" i="6"/>
  <c r="AJ933" i="6" s="1"/>
  <c r="V841" i="6"/>
  <c r="AE841" i="6" s="1"/>
  <c r="W924" i="6"/>
  <c r="AF924" i="6" s="1"/>
  <c r="W853" i="6"/>
  <c r="AI853" i="6" s="1"/>
  <c r="W959" i="6"/>
  <c r="AI959" i="6" s="1"/>
  <c r="W942" i="6"/>
  <c r="AC942" i="6" s="1"/>
  <c r="V897" i="6"/>
  <c r="W836" i="6"/>
  <c r="AI836" i="6" s="1"/>
  <c r="V751" i="6"/>
  <c r="AH751" i="6" s="1"/>
  <c r="W605" i="6"/>
  <c r="AI605" i="6" s="1"/>
  <c r="V954" i="6"/>
  <c r="AB954" i="6" s="1"/>
  <c r="V659" i="6"/>
  <c r="AH659" i="6" s="1"/>
  <c r="X774" i="6"/>
  <c r="AA774" i="6" s="1"/>
  <c r="V627" i="6"/>
  <c r="Y627" i="6" s="1"/>
  <c r="W565" i="6"/>
  <c r="Z565" i="6" s="1"/>
  <c r="W842" i="6"/>
  <c r="Z842" i="6" s="1"/>
  <c r="W714" i="6"/>
  <c r="AF714" i="6" s="1"/>
  <c r="V677" i="6"/>
  <c r="AH677" i="6" s="1"/>
  <c r="X922" i="6"/>
  <c r="AG922" i="6" s="1"/>
  <c r="W831" i="6"/>
  <c r="Z831" i="6" s="1"/>
  <c r="V810" i="6"/>
  <c r="Y810" i="6" s="1"/>
  <c r="V723" i="6"/>
  <c r="Y723" i="6" s="1"/>
  <c r="X682" i="6"/>
  <c r="W675" i="6"/>
  <c r="AI675" i="6" s="1"/>
  <c r="W952" i="6"/>
  <c r="AI952" i="6" s="1"/>
  <c r="X944" i="6"/>
  <c r="AD944" i="6" s="1"/>
  <c r="V899" i="6"/>
  <c r="Y899" i="6" s="1"/>
  <c r="W885" i="6"/>
  <c r="Z885" i="6" s="1"/>
  <c r="W855" i="6"/>
  <c r="AF855" i="6" s="1"/>
  <c r="X772" i="6"/>
  <c r="AD772" i="6" s="1"/>
  <c r="X770" i="6"/>
  <c r="AD770" i="6" s="1"/>
  <c r="W691" i="6"/>
  <c r="AI691" i="6" s="1"/>
  <c r="X613" i="6"/>
  <c r="AA613" i="6" s="1"/>
  <c r="W564" i="6"/>
  <c r="AF564" i="6" s="1"/>
  <c r="V926" i="6"/>
  <c r="AE926" i="6" s="1"/>
  <c r="W838" i="6"/>
  <c r="Z838" i="6" s="1"/>
  <c r="V695" i="6"/>
  <c r="Y695" i="6" s="1"/>
  <c r="V577" i="6"/>
  <c r="AB577" i="6" s="1"/>
  <c r="V868" i="6"/>
  <c r="Y868" i="6" s="1"/>
  <c r="W864" i="6"/>
  <c r="Z864" i="6" s="1"/>
  <c r="W860" i="6"/>
  <c r="AC860" i="6" s="1"/>
  <c r="V678" i="6"/>
  <c r="AH678" i="6" s="1"/>
  <c r="W599" i="6"/>
  <c r="Z599" i="6" s="1"/>
  <c r="V997" i="6"/>
  <c r="AB997" i="6" s="1"/>
  <c r="V845" i="6"/>
  <c r="Y845" i="6" s="1"/>
  <c r="X792" i="6"/>
  <c r="AD792" i="6" s="1"/>
  <c r="X652" i="6"/>
  <c r="AD652" i="6" s="1"/>
  <c r="X789" i="6"/>
  <c r="AA789" i="6" s="1"/>
  <c r="X730" i="6"/>
  <c r="AJ730" i="6" s="1"/>
  <c r="V725" i="6"/>
  <c r="AH725" i="6" s="1"/>
  <c r="V580" i="6"/>
  <c r="AE580" i="6" s="1"/>
  <c r="W976" i="6"/>
  <c r="Z976" i="6" s="1"/>
  <c r="V861" i="6"/>
  <c r="AB861" i="6" s="1"/>
  <c r="X705" i="6"/>
  <c r="AA705" i="6" s="1"/>
  <c r="V998" i="6"/>
  <c r="X874" i="6"/>
  <c r="AJ874" i="6" s="1"/>
  <c r="V842" i="6"/>
  <c r="AE842" i="6" s="1"/>
  <c r="V769" i="6"/>
  <c r="AB769" i="6" s="1"/>
  <c r="V691" i="6"/>
  <c r="Y691" i="6" s="1"/>
  <c r="W687" i="6"/>
  <c r="AF687" i="6" s="1"/>
  <c r="X650" i="6"/>
  <c r="AA650" i="6" s="1"/>
  <c r="V623" i="6"/>
  <c r="Y623" i="6" s="1"/>
  <c r="V605" i="6"/>
  <c r="AH605" i="6" s="1"/>
  <c r="W591" i="6"/>
  <c r="AC591" i="6" s="1"/>
  <c r="W567" i="6"/>
  <c r="Z567" i="6" s="1"/>
  <c r="W975" i="6"/>
  <c r="AI975" i="6" s="1"/>
  <c r="W900" i="6"/>
  <c r="AF900" i="6" s="1"/>
  <c r="W874" i="6"/>
  <c r="AI874" i="6" s="1"/>
  <c r="V829" i="6"/>
  <c r="AH829" i="6" s="1"/>
  <c r="W823" i="6"/>
  <c r="Z823" i="6" s="1"/>
  <c r="V752" i="6"/>
  <c r="X628" i="6"/>
  <c r="AG628" i="6" s="1"/>
  <c r="V586" i="6"/>
  <c r="Y586" i="6" s="1"/>
  <c r="X952" i="6"/>
  <c r="AD952" i="6" s="1"/>
  <c r="V943" i="6"/>
  <c r="Y943" i="6" s="1"/>
  <c r="W843" i="6"/>
  <c r="Z843" i="6" s="1"/>
  <c r="X805" i="6"/>
  <c r="AA805" i="6" s="1"/>
  <c r="X765" i="6"/>
  <c r="AG765" i="6" s="1"/>
  <c r="AK954" i="6"/>
  <c r="V612" i="6"/>
  <c r="AE612" i="6" s="1"/>
  <c r="X565" i="6"/>
  <c r="AJ565" i="6" s="1"/>
  <c r="X862" i="6"/>
  <c r="AD862" i="6" s="1"/>
  <c r="W844" i="6"/>
  <c r="AI844" i="6" s="1"/>
  <c r="V787" i="6"/>
  <c r="Y787" i="6" s="1"/>
  <c r="V740" i="6"/>
  <c r="AB740" i="6" s="1"/>
  <c r="X714" i="6"/>
  <c r="AJ714" i="6" s="1"/>
  <c r="V701" i="6"/>
  <c r="AB701" i="6" s="1"/>
  <c r="W629" i="6"/>
  <c r="AC629" i="6" s="1"/>
  <c r="W616" i="6"/>
  <c r="AI616" i="6" s="1"/>
  <c r="V592" i="6"/>
  <c r="Y592" i="6" s="1"/>
  <c r="W578" i="6"/>
  <c r="AC578" i="6" s="1"/>
  <c r="W981" i="6"/>
  <c r="Z981" i="6" s="1"/>
  <c r="X880" i="6"/>
  <c r="AJ880" i="6" s="1"/>
  <c r="X798" i="6"/>
  <c r="AJ798" i="6" s="1"/>
  <c r="X786" i="6"/>
  <c r="AG786" i="6" s="1"/>
  <c r="W745" i="6"/>
  <c r="Z745" i="6" s="1"/>
  <c r="V642" i="6"/>
  <c r="AE642" i="6" s="1"/>
  <c r="X638" i="6"/>
  <c r="AA638" i="6" s="1"/>
  <c r="V578" i="6"/>
  <c r="AB578" i="6" s="1"/>
  <c r="V869" i="6"/>
  <c r="AB869" i="6" s="1"/>
  <c r="AK659" i="6"/>
  <c r="W986" i="6"/>
  <c r="AF986" i="6" s="1"/>
  <c r="X959" i="6"/>
  <c r="AG959" i="6" s="1"/>
  <c r="W789" i="6"/>
  <c r="Z789" i="6" s="1"/>
  <c r="V732" i="6"/>
  <c r="AB732" i="6" s="1"/>
  <c r="X710" i="6"/>
  <c r="AG710" i="6" s="1"/>
  <c r="W603" i="6"/>
  <c r="AF603" i="6" s="1"/>
  <c r="V598" i="6"/>
  <c r="Y598" i="6" s="1"/>
  <c r="W888" i="6"/>
  <c r="Z888" i="6" s="1"/>
  <c r="V849" i="6"/>
  <c r="Y849" i="6" s="1"/>
  <c r="V789" i="6"/>
  <c r="AE789" i="6" s="1"/>
  <c r="W763" i="6"/>
  <c r="AF763" i="6" s="1"/>
  <c r="V741" i="6"/>
  <c r="Y741" i="6" s="1"/>
  <c r="X715" i="6"/>
  <c r="AG715" i="6" s="1"/>
  <c r="X711" i="6"/>
  <c r="AJ711" i="6" s="1"/>
  <c r="W671" i="6"/>
  <c r="AC671" i="6" s="1"/>
  <c r="V657" i="6"/>
  <c r="Y657" i="6" s="1"/>
  <c r="V593" i="6"/>
  <c r="AE593" i="6" s="1"/>
  <c r="X581" i="6"/>
  <c r="AJ581" i="6" s="1"/>
  <c r="W978" i="6"/>
  <c r="AC978" i="6" s="1"/>
  <c r="V959" i="6"/>
  <c r="Y959" i="6" s="1"/>
  <c r="AM792" i="6"/>
  <c r="X790" i="6"/>
  <c r="AJ790" i="6" s="1"/>
  <c r="W711" i="6"/>
  <c r="Z711" i="6" s="1"/>
  <c r="V653" i="6"/>
  <c r="Y653" i="6" s="1"/>
  <c r="X622" i="6"/>
  <c r="AD622" i="6" s="1"/>
  <c r="X599" i="6"/>
  <c r="AA599" i="6" s="1"/>
  <c r="W570" i="6"/>
  <c r="AF570" i="6" s="1"/>
  <c r="X561" i="6"/>
  <c r="AA561" i="6" s="1"/>
  <c r="W903" i="6"/>
  <c r="AF903" i="6" s="1"/>
  <c r="W799" i="6"/>
  <c r="AF799" i="6" s="1"/>
  <c r="X763" i="6"/>
  <c r="AG763" i="6" s="1"/>
  <c r="X742" i="6"/>
  <c r="AG742" i="6" s="1"/>
  <c r="V715" i="6"/>
  <c r="AE715" i="6" s="1"/>
  <c r="W650" i="6"/>
  <c r="AI650" i="6" s="1"/>
  <c r="V645" i="6"/>
  <c r="Y645" i="6" s="1"/>
  <c r="X958" i="6"/>
  <c r="AG958" i="6" s="1"/>
  <c r="W991" i="6"/>
  <c r="Z991" i="6" s="1"/>
  <c r="X960" i="6"/>
  <c r="AG960" i="6" s="1"/>
  <c r="V854" i="6"/>
  <c r="Y854" i="6" s="1"/>
  <c r="W841" i="6"/>
  <c r="AC841" i="6" s="1"/>
  <c r="V821" i="6"/>
  <c r="AH821" i="6" s="1"/>
  <c r="V790" i="6"/>
  <c r="Y790" i="6" s="1"/>
  <c r="W755" i="6"/>
  <c r="AI755" i="6" s="1"/>
  <c r="W720" i="6"/>
  <c r="AI720" i="6" s="1"/>
  <c r="V690" i="6"/>
  <c r="AB690" i="6" s="1"/>
  <c r="X686" i="6"/>
  <c r="AJ686" i="6" s="1"/>
  <c r="X646" i="6"/>
  <c r="V622" i="6"/>
  <c r="Y622" i="6" s="1"/>
  <c r="W580" i="6"/>
  <c r="Z580" i="6" s="1"/>
  <c r="W575" i="6"/>
  <c r="Z575" i="6" s="1"/>
  <c r="V561" i="6"/>
  <c r="AB561" i="6" s="1"/>
  <c r="X803" i="6"/>
  <c r="AJ803" i="6" s="1"/>
  <c r="V720" i="6"/>
  <c r="AH720" i="6" s="1"/>
  <c r="W672" i="6"/>
  <c r="AF672" i="6" s="1"/>
  <c r="W646" i="6"/>
  <c r="AC646" i="6" s="1"/>
  <c r="X640" i="6"/>
  <c r="AJ640" i="6" s="1"/>
  <c r="V628" i="6"/>
  <c r="AH628" i="6" s="1"/>
  <c r="X627" i="6"/>
  <c r="AJ627" i="6" s="1"/>
  <c r="X600" i="6"/>
  <c r="AJ600" i="6" s="1"/>
  <c r="W994" i="6"/>
  <c r="AF994" i="6" s="1"/>
  <c r="W965" i="6"/>
  <c r="AC965" i="6" s="1"/>
  <c r="W716" i="6"/>
  <c r="AF716" i="6" s="1"/>
  <c r="W712" i="6"/>
  <c r="AI712" i="6" s="1"/>
  <c r="V672" i="6"/>
  <c r="AB672" i="6" s="1"/>
  <c r="W664" i="6"/>
  <c r="Z664" i="6" s="1"/>
  <c r="X623" i="6"/>
  <c r="X633" i="6"/>
  <c r="AG633" i="6" s="1"/>
  <c r="V983" i="6"/>
  <c r="Y983" i="6" s="1"/>
  <c r="AM763" i="6"/>
  <c r="X664" i="6"/>
  <c r="AD664" i="6" s="1"/>
  <c r="X999" i="6"/>
  <c r="AA999" i="6" s="1"/>
  <c r="V971" i="6"/>
  <c r="AE971" i="6" s="1"/>
  <c r="X949" i="6"/>
  <c r="AA949" i="6" s="1"/>
  <c r="V939" i="6"/>
  <c r="Y939" i="6" s="1"/>
  <c r="V928" i="6"/>
  <c r="AH928" i="6" s="1"/>
  <c r="W922" i="6"/>
  <c r="AC922" i="6" s="1"/>
  <c r="X917" i="6"/>
  <c r="AD917" i="6" s="1"/>
  <c r="W906" i="6"/>
  <c r="Z906" i="6" s="1"/>
  <c r="V900" i="6"/>
  <c r="AB900" i="6" s="1"/>
  <c r="W893" i="6"/>
  <c r="AC893" i="6" s="1"/>
  <c r="W886" i="6"/>
  <c r="AF886" i="6" s="1"/>
  <c r="W869" i="6"/>
  <c r="AI869" i="6" s="1"/>
  <c r="V860" i="6"/>
  <c r="AH860" i="6" s="1"/>
  <c r="W776" i="6"/>
  <c r="Z776" i="6" s="1"/>
  <c r="W756" i="6"/>
  <c r="AF756" i="6" s="1"/>
  <c r="X722" i="6"/>
  <c r="AD722" i="6" s="1"/>
  <c r="AL714" i="6"/>
  <c r="X712" i="6"/>
  <c r="AJ712" i="6" s="1"/>
  <c r="X693" i="6"/>
  <c r="AD693" i="6" s="1"/>
  <c r="V673" i="6"/>
  <c r="AB673" i="6" s="1"/>
  <c r="W669" i="6"/>
  <c r="AF669" i="6" s="1"/>
  <c r="X659" i="6"/>
  <c r="AG659" i="6" s="1"/>
  <c r="V639" i="6"/>
  <c r="W618" i="6"/>
  <c r="AC618" i="6" s="1"/>
  <c r="X606" i="6"/>
  <c r="AA606" i="6" s="1"/>
  <c r="V599" i="6"/>
  <c r="Y599" i="6" s="1"/>
  <c r="V569" i="6"/>
  <c r="AH569" i="6" s="1"/>
  <c r="V729" i="6"/>
  <c r="Y729" i="6" s="1"/>
  <c r="W999" i="6"/>
  <c r="Z999" i="6" s="1"/>
  <c r="V984" i="6"/>
  <c r="Y984" i="6" s="1"/>
  <c r="W982" i="6"/>
  <c r="AC982" i="6" s="1"/>
  <c r="V968" i="6"/>
  <c r="AB968" i="6" s="1"/>
  <c r="V873" i="6"/>
  <c r="Y873" i="6" s="1"/>
  <c r="V866" i="6"/>
  <c r="AE866" i="6" s="1"/>
  <c r="W839" i="6"/>
  <c r="AF839" i="6" s="1"/>
  <c r="V718" i="6"/>
  <c r="Y718" i="6" s="1"/>
  <c r="V703" i="6"/>
  <c r="AB703" i="6" s="1"/>
  <c r="W679" i="6"/>
  <c r="AC679" i="6" s="1"/>
  <c r="X985" i="6"/>
  <c r="AG985" i="6" s="1"/>
  <c r="X969" i="6"/>
  <c r="W901" i="6"/>
  <c r="AI901" i="6" s="1"/>
  <c r="W895" i="6"/>
  <c r="AI895" i="6" s="1"/>
  <c r="W881" i="6"/>
  <c r="AC881" i="6" s="1"/>
  <c r="X870" i="6"/>
  <c r="AD870" i="6" s="1"/>
  <c r="V864" i="6"/>
  <c r="AE864" i="6" s="1"/>
  <c r="W845" i="6"/>
  <c r="AF845" i="6" s="1"/>
  <c r="W743" i="6"/>
  <c r="AF743" i="6" s="1"/>
  <c r="W738" i="6"/>
  <c r="AI738" i="6" s="1"/>
  <c r="W728" i="6"/>
  <c r="AI728" i="6" s="1"/>
  <c r="W719" i="6"/>
  <c r="Z719" i="6" s="1"/>
  <c r="X704" i="6"/>
  <c r="W698" i="6"/>
  <c r="AF698" i="6" s="1"/>
  <c r="W647" i="6"/>
  <c r="AI647" i="6" s="1"/>
  <c r="W640" i="6"/>
  <c r="AC640" i="6" s="1"/>
  <c r="V629" i="6"/>
  <c r="AE629" i="6" s="1"/>
  <c r="X624" i="6"/>
  <c r="X594" i="6"/>
  <c r="AG594" i="6" s="1"/>
  <c r="W988" i="6"/>
  <c r="AC988" i="6" s="1"/>
  <c r="X983" i="6"/>
  <c r="AA983" i="6" s="1"/>
  <c r="V961" i="6"/>
  <c r="AH961" i="6" s="1"/>
  <c r="X935" i="6"/>
  <c r="AD935" i="6" s="1"/>
  <c r="X924" i="6"/>
  <c r="AA924" i="6" s="1"/>
  <c r="V895" i="6"/>
  <c r="AH895" i="6" s="1"/>
  <c r="W854" i="6"/>
  <c r="AC854" i="6" s="1"/>
  <c r="X846" i="6"/>
  <c r="AD846" i="6" s="1"/>
  <c r="W807" i="6"/>
  <c r="AC807" i="6" s="1"/>
  <c r="X779" i="6"/>
  <c r="AJ779" i="6" s="1"/>
  <c r="W777" i="6"/>
  <c r="AI777" i="6" s="1"/>
  <c r="X767" i="6"/>
  <c r="AD767" i="6" s="1"/>
  <c r="X753" i="6"/>
  <c r="AG753" i="6" s="1"/>
  <c r="V743" i="6"/>
  <c r="Y743" i="6" s="1"/>
  <c r="W734" i="6"/>
  <c r="AI734" i="6" s="1"/>
  <c r="X723" i="6"/>
  <c r="AD723" i="6" s="1"/>
  <c r="V717" i="6"/>
  <c r="AE717" i="6" s="1"/>
  <c r="V708" i="6"/>
  <c r="Y708" i="6" s="1"/>
  <c r="V698" i="6"/>
  <c r="AB698" i="6" s="1"/>
  <c r="X670" i="6"/>
  <c r="AD670" i="6" s="1"/>
  <c r="V640" i="6"/>
  <c r="AH640" i="6" s="1"/>
  <c r="W635" i="6"/>
  <c r="AF635" i="6" s="1"/>
  <c r="V600" i="6"/>
  <c r="AE600" i="6" s="1"/>
  <c r="W594" i="6"/>
  <c r="Z594" i="6" s="1"/>
  <c r="V946" i="6"/>
  <c r="Y946" i="6" s="1"/>
  <c r="V934" i="6"/>
  <c r="AH934" i="6" s="1"/>
  <c r="V988" i="6"/>
  <c r="AB988" i="6" s="1"/>
  <c r="W983" i="6"/>
  <c r="Z983" i="6" s="1"/>
  <c r="W935" i="6"/>
  <c r="AF935" i="6" s="1"/>
  <c r="W896" i="6"/>
  <c r="AI896" i="6" s="1"/>
  <c r="W882" i="6"/>
  <c r="W876" i="6"/>
  <c r="AF876" i="6" s="1"/>
  <c r="W872" i="6"/>
  <c r="AF872" i="6" s="1"/>
  <c r="W858" i="6"/>
  <c r="AC858" i="6" s="1"/>
  <c r="W846" i="6"/>
  <c r="Z846" i="6" s="1"/>
  <c r="V836" i="6"/>
  <c r="AH836" i="6" s="1"/>
  <c r="V825" i="6"/>
  <c r="AE825" i="6" s="1"/>
  <c r="W810" i="6"/>
  <c r="Z810" i="6" s="1"/>
  <c r="X796" i="6"/>
  <c r="AD796" i="6" s="1"/>
  <c r="V791" i="6"/>
  <c r="Y791" i="6" s="1"/>
  <c r="W772" i="6"/>
  <c r="Z772" i="6" s="1"/>
  <c r="X744" i="6"/>
  <c r="AD744" i="6" s="1"/>
  <c r="V734" i="6"/>
  <c r="Y734" i="6" s="1"/>
  <c r="X724" i="6"/>
  <c r="AG724" i="6" s="1"/>
  <c r="X713" i="6"/>
  <c r="AJ713" i="6" s="1"/>
  <c r="W681" i="6"/>
  <c r="AF681" i="6" s="1"/>
  <c r="V630" i="6"/>
  <c r="AH630" i="6" s="1"/>
  <c r="V624" i="6"/>
  <c r="AE624" i="6" s="1"/>
  <c r="W619" i="6"/>
  <c r="AI619" i="6" s="1"/>
  <c r="W589" i="6"/>
  <c r="AI589" i="6" s="1"/>
  <c r="X576" i="6"/>
  <c r="AD576" i="6" s="1"/>
  <c r="W562" i="6"/>
  <c r="AF562" i="6" s="1"/>
  <c r="V930" i="6"/>
  <c r="Y930" i="6" s="1"/>
  <c r="X925" i="6"/>
  <c r="AA925" i="6" s="1"/>
  <c r="X871" i="6"/>
  <c r="AG871" i="6" s="1"/>
  <c r="X859" i="6"/>
  <c r="AD859" i="6" s="1"/>
  <c r="X847" i="6"/>
  <c r="AD847" i="6" s="1"/>
  <c r="X838" i="6"/>
  <c r="AA838" i="6" s="1"/>
  <c r="V837" i="6"/>
  <c r="Y837" i="6" s="1"/>
  <c r="W826" i="6"/>
  <c r="AI826" i="6" s="1"/>
  <c r="V767" i="6"/>
  <c r="AB767" i="6" s="1"/>
  <c r="V753" i="6"/>
  <c r="AE753" i="6" s="1"/>
  <c r="W744" i="6"/>
  <c r="Z744" i="6" s="1"/>
  <c r="X739" i="6"/>
  <c r="AD739" i="6" s="1"/>
  <c r="W726" i="6"/>
  <c r="AI726" i="6" s="1"/>
  <c r="W713" i="6"/>
  <c r="Z713" i="6" s="1"/>
  <c r="W702" i="6"/>
  <c r="Z702" i="6" s="1"/>
  <c r="V694" i="6"/>
  <c r="AH694" i="6" s="1"/>
  <c r="X662" i="6"/>
  <c r="AD662" i="6" s="1"/>
  <c r="W661" i="6"/>
  <c r="AF661" i="6" s="1"/>
  <c r="X641" i="6"/>
  <c r="AA641" i="6" s="1"/>
  <c r="V601" i="6"/>
  <c r="AB601" i="6" s="1"/>
  <c r="W571" i="6"/>
  <c r="AI571" i="6" s="1"/>
  <c r="V994" i="6"/>
  <c r="AB994" i="6" s="1"/>
  <c r="X989" i="6"/>
  <c r="AD989" i="6" s="1"/>
  <c r="W962" i="6"/>
  <c r="AC962" i="6" s="1"/>
  <c r="V955" i="6"/>
  <c r="AB955" i="6" s="1"/>
  <c r="W950" i="6"/>
  <c r="AI950" i="6" s="1"/>
  <c r="V947" i="6"/>
  <c r="Y947" i="6" s="1"/>
  <c r="X936" i="6"/>
  <c r="AA936" i="6" s="1"/>
  <c r="V924" i="6"/>
  <c r="AH924" i="6" s="1"/>
  <c r="W902" i="6"/>
  <c r="AF902" i="6" s="1"/>
  <c r="X976" i="6"/>
  <c r="AA976" i="6" s="1"/>
  <c r="X973" i="6"/>
  <c r="AD973" i="6" s="1"/>
  <c r="V962" i="6"/>
  <c r="AE962" i="6" s="1"/>
  <c r="W956" i="6"/>
  <c r="AI956" i="6" s="1"/>
  <c r="X931" i="6"/>
  <c r="AA931" i="6" s="1"/>
  <c r="X930" i="6"/>
  <c r="AG930" i="6" s="1"/>
  <c r="W916" i="6"/>
  <c r="AC916" i="6" s="1"/>
  <c r="X890" i="6"/>
  <c r="AA890" i="6" s="1"/>
  <c r="W871" i="6"/>
  <c r="AC871" i="6" s="1"/>
  <c r="W870" i="6"/>
  <c r="AC870" i="6" s="1"/>
  <c r="W847" i="6"/>
  <c r="AI847" i="6" s="1"/>
  <c r="W773" i="6"/>
  <c r="AF773" i="6" s="1"/>
  <c r="W739" i="6"/>
  <c r="Z739" i="6" s="1"/>
  <c r="X735" i="6"/>
  <c r="AG735" i="6" s="1"/>
  <c r="V705" i="6"/>
  <c r="AH705" i="6" s="1"/>
  <c r="V688" i="6"/>
  <c r="Y688" i="6" s="1"/>
  <c r="AL679" i="6"/>
  <c r="W651" i="6"/>
  <c r="Z651" i="6" s="1"/>
  <c r="W631" i="6"/>
  <c r="AI631" i="6" s="1"/>
  <c r="W608" i="6"/>
  <c r="Z608" i="6" s="1"/>
  <c r="W602" i="6"/>
  <c r="AI602" i="6" s="1"/>
  <c r="W595" i="6"/>
  <c r="AI595" i="6" s="1"/>
  <c r="W583" i="6"/>
  <c r="AF583" i="6" s="1"/>
  <c r="X577" i="6"/>
  <c r="AA577" i="6" s="1"/>
  <c r="V576" i="6"/>
  <c r="AB576" i="6" s="1"/>
  <c r="V565" i="6"/>
  <c r="Y565" i="6" s="1"/>
  <c r="V921" i="6"/>
  <c r="AE921" i="6" s="1"/>
  <c r="W995" i="6"/>
  <c r="AF995" i="6" s="1"/>
  <c r="V975" i="6"/>
  <c r="Y975" i="6" s="1"/>
  <c r="X951" i="6"/>
  <c r="AJ951" i="6" s="1"/>
  <c r="W914" i="6"/>
  <c r="AC914" i="6" s="1"/>
  <c r="V905" i="6"/>
  <c r="AE905" i="6" s="1"/>
  <c r="W897" i="6"/>
  <c r="AI897" i="6" s="1"/>
  <c r="W877" i="6"/>
  <c r="AC877" i="6" s="1"/>
  <c r="W811" i="6"/>
  <c r="Z811" i="6" s="1"/>
  <c r="V792" i="6"/>
  <c r="AE792" i="6" s="1"/>
  <c r="X754" i="6"/>
  <c r="AG754" i="6" s="1"/>
  <c r="X747" i="6"/>
  <c r="AG747" i="6" s="1"/>
  <c r="V706" i="6"/>
  <c r="Y706" i="6" s="1"/>
  <c r="V699" i="6"/>
  <c r="AH699" i="6" s="1"/>
  <c r="V682" i="6"/>
  <c r="Y682" i="6" s="1"/>
  <c r="X671" i="6"/>
  <c r="AD671" i="6" s="1"/>
  <c r="X667" i="6"/>
  <c r="AJ667" i="6" s="1"/>
  <c r="V641" i="6"/>
  <c r="AH641" i="6" s="1"/>
  <c r="W638" i="6"/>
  <c r="AC638" i="6" s="1"/>
  <c r="X632" i="6"/>
  <c r="AA632" i="6" s="1"/>
  <c r="V631" i="6"/>
  <c r="AB631" i="6" s="1"/>
  <c r="V625" i="6"/>
  <c r="AE625" i="6" s="1"/>
  <c r="V615" i="6"/>
  <c r="Y615" i="6" s="1"/>
  <c r="W596" i="6"/>
  <c r="AI596" i="6" s="1"/>
  <c r="X584" i="6"/>
  <c r="AA584" i="6" s="1"/>
  <c r="W658" i="6"/>
  <c r="AI658" i="6" s="1"/>
  <c r="X612" i="6"/>
  <c r="AG612" i="6" s="1"/>
  <c r="V976" i="6"/>
  <c r="Y976" i="6" s="1"/>
  <c r="X980" i="6"/>
  <c r="AG980" i="6" s="1"/>
  <c r="X977" i="6"/>
  <c r="AD977" i="6" s="1"/>
  <c r="V963" i="6"/>
  <c r="AE963" i="6" s="1"/>
  <c r="X947" i="6"/>
  <c r="AD947" i="6" s="1"/>
  <c r="W926" i="6"/>
  <c r="AC926" i="6" s="1"/>
  <c r="W921" i="6"/>
  <c r="AF921" i="6" s="1"/>
  <c r="W878" i="6"/>
  <c r="AC878" i="6" s="1"/>
  <c r="W835" i="6"/>
  <c r="Z835" i="6" s="1"/>
  <c r="W827" i="6"/>
  <c r="AF827" i="6" s="1"/>
  <c r="W822" i="6"/>
  <c r="Z822" i="6" s="1"/>
  <c r="V802" i="6"/>
  <c r="AE802" i="6" s="1"/>
  <c r="W740" i="6"/>
  <c r="Z740" i="6" s="1"/>
  <c r="X720" i="6"/>
  <c r="AJ720" i="6" s="1"/>
  <c r="W704" i="6"/>
  <c r="Z704" i="6" s="1"/>
  <c r="X700" i="6"/>
  <c r="AA700" i="6" s="1"/>
  <c r="W683" i="6"/>
  <c r="AI683" i="6" s="1"/>
  <c r="V671" i="6"/>
  <c r="AH671" i="6" s="1"/>
  <c r="W663" i="6"/>
  <c r="AC663" i="6" s="1"/>
  <c r="W642" i="6"/>
  <c r="AC642" i="6" s="1"/>
  <c r="V632" i="6"/>
  <c r="AE632" i="6" s="1"/>
  <c r="W626" i="6"/>
  <c r="AI626" i="6" s="1"/>
  <c r="X854" i="6"/>
  <c r="AJ854" i="6" s="1"/>
  <c r="W840" i="6"/>
  <c r="AF840" i="6" s="1"/>
  <c r="V822" i="6"/>
  <c r="Y822" i="6" s="1"/>
  <c r="W812" i="6"/>
  <c r="AI812" i="6" s="1"/>
  <c r="V793" i="6"/>
  <c r="AE793" i="6" s="1"/>
  <c r="X788" i="6"/>
  <c r="AG788" i="6" s="1"/>
  <c r="V774" i="6"/>
  <c r="AB774" i="6" s="1"/>
  <c r="X879" i="6"/>
  <c r="AG879" i="6" s="1"/>
  <c r="V878" i="6"/>
  <c r="AE878" i="6" s="1"/>
  <c r="V833" i="6"/>
  <c r="Y833" i="6" s="1"/>
  <c r="X769" i="6"/>
  <c r="AG769" i="6" s="1"/>
  <c r="W996" i="6"/>
  <c r="AI996" i="6" s="1"/>
  <c r="V974" i="6"/>
  <c r="Y974" i="6" s="1"/>
  <c r="W958" i="6"/>
  <c r="AF958" i="6" s="1"/>
  <c r="X943" i="6"/>
  <c r="AD943" i="6" s="1"/>
  <c r="V937" i="6"/>
  <c r="Y937" i="6" s="1"/>
  <c r="X927" i="6"/>
  <c r="AD927" i="6" s="1"/>
  <c r="X926" i="6"/>
  <c r="AA926" i="6" s="1"/>
  <c r="V910" i="6"/>
  <c r="AE910" i="6" s="1"/>
  <c r="W879" i="6"/>
  <c r="AC879" i="6" s="1"/>
  <c r="X878" i="6"/>
  <c r="AJ878" i="6" s="1"/>
  <c r="W862" i="6"/>
  <c r="AC862" i="6" s="1"/>
  <c r="X849" i="6"/>
  <c r="AD849" i="6" s="1"/>
  <c r="V840" i="6"/>
  <c r="AH840" i="6" s="1"/>
  <c r="W803" i="6"/>
  <c r="AC803" i="6" s="1"/>
  <c r="W736" i="6"/>
  <c r="Z736" i="6" s="1"/>
  <c r="W715" i="6"/>
  <c r="Z715" i="6" s="1"/>
  <c r="V710" i="6"/>
  <c r="AE710" i="6" s="1"/>
  <c r="W705" i="6"/>
  <c r="Z705" i="6" s="1"/>
  <c r="V700" i="6"/>
  <c r="AH700" i="6" s="1"/>
  <c r="W684" i="6"/>
  <c r="Z684" i="6" s="1"/>
  <c r="X672" i="6"/>
  <c r="AG672" i="6" s="1"/>
  <c r="X668" i="6"/>
  <c r="AJ668" i="6" s="1"/>
  <c r="V655" i="6"/>
  <c r="AH655" i="6" s="1"/>
  <c r="V654" i="6"/>
  <c r="AB654" i="6" s="1"/>
  <c r="W643" i="6"/>
  <c r="AF643" i="6" s="1"/>
  <c r="V637" i="6"/>
  <c r="AH637" i="6" s="1"/>
  <c r="W633" i="6"/>
  <c r="AC633" i="6" s="1"/>
  <c r="X611" i="6"/>
  <c r="AJ611" i="6" s="1"/>
  <c r="X598" i="6"/>
  <c r="AA598" i="6" s="1"/>
  <c r="X568" i="6"/>
  <c r="AA568" i="6" s="1"/>
  <c r="X562" i="6"/>
  <c r="AD562" i="6" s="1"/>
  <c r="W604" i="6"/>
  <c r="Z604" i="6" s="1"/>
  <c r="X592" i="6"/>
  <c r="AA592" i="6" s="1"/>
  <c r="W579" i="6"/>
  <c r="AF579" i="6" s="1"/>
  <c r="X560" i="6"/>
  <c r="AJ560" i="6" s="1"/>
  <c r="V560" i="6"/>
  <c r="Y560" i="6" s="1"/>
  <c r="X955" i="6"/>
  <c r="AA955" i="6" s="1"/>
  <c r="V950" i="6"/>
  <c r="AE950" i="6" s="1"/>
  <c r="V805" i="6"/>
  <c r="AB805" i="6" s="1"/>
  <c r="AL990" i="6"/>
  <c r="W990" i="6"/>
  <c r="AC990" i="6" s="1"/>
  <c r="W816" i="6"/>
  <c r="AI816" i="6" s="1"/>
  <c r="AK918" i="6"/>
  <c r="V918" i="6"/>
  <c r="AH918" i="6" s="1"/>
  <c r="V981" i="6"/>
  <c r="AH981" i="6" s="1"/>
  <c r="X982" i="6"/>
  <c r="AD982" i="6" s="1"/>
  <c r="AL919" i="6"/>
  <c r="W919" i="6"/>
  <c r="Z919" i="6" s="1"/>
  <c r="V813" i="6"/>
  <c r="Y813" i="6" s="1"/>
  <c r="AC932" i="6"/>
  <c r="AI932" i="6"/>
  <c r="X939" i="6"/>
  <c r="AG939" i="6" s="1"/>
  <c r="W824" i="6"/>
  <c r="Z824" i="6" s="1"/>
  <c r="W970" i="6"/>
  <c r="Z970" i="6" s="1"/>
  <c r="W993" i="6"/>
  <c r="AC993" i="6" s="1"/>
  <c r="W973" i="6"/>
  <c r="AF973" i="6" s="1"/>
  <c r="X956" i="6"/>
  <c r="AD956" i="6" s="1"/>
  <c r="X910" i="6"/>
  <c r="AA910" i="6" s="1"/>
  <c r="AM910" i="6"/>
  <c r="W819" i="6"/>
  <c r="AF819" i="6" s="1"/>
  <c r="X997" i="6"/>
  <c r="AD997" i="6" s="1"/>
  <c r="V978" i="6"/>
  <c r="AH978" i="6" s="1"/>
  <c r="W997" i="6"/>
  <c r="AI997" i="6" s="1"/>
  <c r="V992" i="6"/>
  <c r="AB992" i="6" s="1"/>
  <c r="X984" i="6"/>
  <c r="AJ984" i="6" s="1"/>
  <c r="W974" i="6"/>
  <c r="AC974" i="6" s="1"/>
  <c r="W947" i="6"/>
  <c r="AI947" i="6" s="1"/>
  <c r="W918" i="6"/>
  <c r="AF918" i="6" s="1"/>
  <c r="V909" i="6"/>
  <c r="AB909" i="6" s="1"/>
  <c r="X893" i="6"/>
  <c r="AD893" i="6" s="1"/>
  <c r="W868" i="6"/>
  <c r="AF868" i="6" s="1"/>
  <c r="X843" i="6"/>
  <c r="AG843" i="6" s="1"/>
  <c r="X842" i="6"/>
  <c r="AA842" i="6" s="1"/>
  <c r="X841" i="6"/>
  <c r="AJ841" i="6" s="1"/>
  <c r="X837" i="6"/>
  <c r="AG837" i="6" s="1"/>
  <c r="X836" i="6"/>
  <c r="AD836" i="6" s="1"/>
  <c r="W833" i="6"/>
  <c r="AC833" i="6" s="1"/>
  <c r="V831" i="6"/>
  <c r="Y831" i="6" s="1"/>
  <c r="V766" i="6"/>
  <c r="Y766" i="6" s="1"/>
  <c r="X698" i="6"/>
  <c r="AD698" i="6" s="1"/>
  <c r="AM698" i="6"/>
  <c r="W989" i="6"/>
  <c r="AI989" i="6" s="1"/>
  <c r="W980" i="6"/>
  <c r="AI980" i="6" s="1"/>
  <c r="X972" i="6"/>
  <c r="AJ972" i="6" s="1"/>
  <c r="V958" i="6"/>
  <c r="Y958" i="6" s="1"/>
  <c r="X938" i="6"/>
  <c r="AG938" i="6" s="1"/>
  <c r="W934" i="6"/>
  <c r="AF934" i="6" s="1"/>
  <c r="W929" i="6"/>
  <c r="AF929" i="6" s="1"/>
  <c r="X923" i="6"/>
  <c r="AJ923" i="6" s="1"/>
  <c r="X921" i="6"/>
  <c r="AG921" i="6" s="1"/>
  <c r="X810" i="6"/>
  <c r="AA810" i="6" s="1"/>
  <c r="V779" i="6"/>
  <c r="AH779" i="6" s="1"/>
  <c r="X990" i="6"/>
  <c r="AA990" i="6" s="1"/>
  <c r="X991" i="6"/>
  <c r="AJ991" i="6" s="1"/>
  <c r="V989" i="6"/>
  <c r="AE989" i="6" s="1"/>
  <c r="V980" i="6"/>
  <c r="AH980" i="6" s="1"/>
  <c r="W972" i="6"/>
  <c r="AI972" i="6" s="1"/>
  <c r="X968" i="6"/>
  <c r="AA968" i="6" s="1"/>
  <c r="X963" i="6"/>
  <c r="AJ963" i="6" s="1"/>
  <c r="W944" i="6"/>
  <c r="AF944" i="6" s="1"/>
  <c r="W943" i="6"/>
  <c r="AF943" i="6" s="1"/>
  <c r="AM939" i="6"/>
  <c r="W938" i="6"/>
  <c r="AF938" i="6" s="1"/>
  <c r="V933" i="6"/>
  <c r="AB933" i="6" s="1"/>
  <c r="V931" i="6"/>
  <c r="AB931" i="6" s="1"/>
  <c r="V929" i="6"/>
  <c r="AE929" i="6" s="1"/>
  <c r="X928" i="6"/>
  <c r="AD928" i="6" s="1"/>
  <c r="V922" i="6"/>
  <c r="AB922" i="6" s="1"/>
  <c r="X900" i="6"/>
  <c r="AA900" i="6" s="1"/>
  <c r="X882" i="6"/>
  <c r="AD882" i="6" s="1"/>
  <c r="X876" i="6"/>
  <c r="AA876" i="6" s="1"/>
  <c r="W863" i="6"/>
  <c r="AI863" i="6" s="1"/>
  <c r="W849" i="6"/>
  <c r="AI849" i="6" s="1"/>
  <c r="V846" i="6"/>
  <c r="AH846" i="6" s="1"/>
  <c r="W828" i="6"/>
  <c r="Z828" i="6" s="1"/>
  <c r="X818" i="6"/>
  <c r="AD818" i="6" s="1"/>
  <c r="W783" i="6"/>
  <c r="Z783" i="6" s="1"/>
  <c r="V777" i="6"/>
  <c r="Y777" i="6" s="1"/>
  <c r="X773" i="6"/>
  <c r="AD773" i="6" s="1"/>
  <c r="W767" i="6"/>
  <c r="Z767" i="6" s="1"/>
  <c r="V756" i="6"/>
  <c r="AH756" i="6" s="1"/>
  <c r="W992" i="6"/>
  <c r="AI992" i="6" s="1"/>
  <c r="V990" i="6"/>
  <c r="Y990" i="6" s="1"/>
  <c r="X981" i="6"/>
  <c r="AJ981" i="6" s="1"/>
  <c r="V972" i="6"/>
  <c r="AH972" i="6" s="1"/>
  <c r="W964" i="6"/>
  <c r="AI964" i="6" s="1"/>
  <c r="W963" i="6"/>
  <c r="AI963" i="6" s="1"/>
  <c r="X950" i="6"/>
  <c r="AG950" i="6" s="1"/>
  <c r="W948" i="6"/>
  <c r="AF948" i="6" s="1"/>
  <c r="V932" i="6"/>
  <c r="Y932" i="6" s="1"/>
  <c r="W930" i="6"/>
  <c r="AC930" i="6" s="1"/>
  <c r="X929" i="6"/>
  <c r="AG929" i="6" s="1"/>
  <c r="X902" i="6"/>
  <c r="AD902" i="6" s="1"/>
  <c r="X901" i="6"/>
  <c r="AJ901" i="6" s="1"/>
  <c r="X881" i="6"/>
  <c r="AJ881" i="6" s="1"/>
  <c r="W850" i="6"/>
  <c r="AI850" i="6" s="1"/>
  <c r="W837" i="6"/>
  <c r="Z837" i="6" s="1"/>
  <c r="W806" i="6"/>
  <c r="Z806" i="6" s="1"/>
  <c r="V794" i="6"/>
  <c r="AB794" i="6" s="1"/>
  <c r="W791" i="6"/>
  <c r="Z791" i="6" s="1"/>
  <c r="V783" i="6"/>
  <c r="AH783" i="6" s="1"/>
  <c r="V782" i="6"/>
  <c r="Y782" i="6" s="1"/>
  <c r="X768" i="6"/>
  <c r="AD768" i="6" s="1"/>
  <c r="AM765" i="6"/>
  <c r="V714" i="6"/>
  <c r="Y714" i="6" s="1"/>
  <c r="AM699" i="6"/>
  <c r="X699" i="6"/>
  <c r="AD699" i="6" s="1"/>
  <c r="AL670" i="6"/>
  <c r="W670" i="6"/>
  <c r="AI670" i="6" s="1"/>
  <c r="V850" i="6"/>
  <c r="Y850" i="6" s="1"/>
  <c r="X820" i="6"/>
  <c r="AG820" i="6" s="1"/>
  <c r="X817" i="6"/>
  <c r="AG817" i="6" s="1"/>
  <c r="X816" i="6"/>
  <c r="AD816" i="6" s="1"/>
  <c r="W813" i="6"/>
  <c r="AC813" i="6" s="1"/>
  <c r="V803" i="6"/>
  <c r="AE803" i="6" s="1"/>
  <c r="X800" i="6"/>
  <c r="AD800" i="6" s="1"/>
  <c r="W792" i="6"/>
  <c r="AI792" i="6" s="1"/>
  <c r="W790" i="6"/>
  <c r="AC790" i="6" s="1"/>
  <c r="W784" i="6"/>
  <c r="AC784" i="6" s="1"/>
  <c r="AK779" i="6"/>
  <c r="X778" i="6"/>
  <c r="AA778" i="6" s="1"/>
  <c r="X775" i="6"/>
  <c r="AA775" i="6" s="1"/>
  <c r="W768" i="6"/>
  <c r="AI768" i="6" s="1"/>
  <c r="X966" i="6"/>
  <c r="AJ966" i="6" s="1"/>
  <c r="W951" i="6"/>
  <c r="Z951" i="6" s="1"/>
  <c r="X884" i="6"/>
  <c r="AD884" i="6" s="1"/>
  <c r="V883" i="6"/>
  <c r="AH883" i="6" s="1"/>
  <c r="V881" i="6"/>
  <c r="AB881" i="6" s="1"/>
  <c r="X823" i="6"/>
  <c r="AG823" i="6" s="1"/>
  <c r="W817" i="6"/>
  <c r="AC817" i="6" s="1"/>
  <c r="X815" i="6"/>
  <c r="AJ815" i="6" s="1"/>
  <c r="V814" i="6"/>
  <c r="Y814" i="6" s="1"/>
  <c r="X812" i="6"/>
  <c r="AJ812" i="6" s="1"/>
  <c r="X809" i="6"/>
  <c r="AA809" i="6" s="1"/>
  <c r="X808" i="6"/>
  <c r="AD808" i="6" s="1"/>
  <c r="X787" i="6"/>
  <c r="AG787" i="6" s="1"/>
  <c r="W786" i="6"/>
  <c r="AC786" i="6" s="1"/>
  <c r="X780" i="6"/>
  <c r="AA780" i="6" s="1"/>
  <c r="X755" i="6"/>
  <c r="AG755" i="6" s="1"/>
  <c r="V733" i="6"/>
  <c r="Y733" i="6" s="1"/>
  <c r="V965" i="6"/>
  <c r="AE965" i="6" s="1"/>
  <c r="X994" i="6"/>
  <c r="AG994" i="6" s="1"/>
  <c r="W984" i="6"/>
  <c r="AC984" i="6" s="1"/>
  <c r="X974" i="6"/>
  <c r="AD974" i="6" s="1"/>
  <c r="V973" i="6"/>
  <c r="Y973" i="6" s="1"/>
  <c r="W966" i="6"/>
  <c r="AI966" i="6" s="1"/>
  <c r="W946" i="6"/>
  <c r="AI946" i="6" s="1"/>
  <c r="AL932" i="6"/>
  <c r="AM930" i="6"/>
  <c r="AM926" i="6"/>
  <c r="V904" i="6"/>
  <c r="Y904" i="6" s="1"/>
  <c r="AM878" i="6"/>
  <c r="X827" i="6"/>
  <c r="AA827" i="6" s="1"/>
  <c r="X825" i="6"/>
  <c r="AJ825" i="6" s="1"/>
  <c r="X822" i="6"/>
  <c r="AJ822" i="6" s="1"/>
  <c r="X821" i="6"/>
  <c r="AG821" i="6" s="1"/>
  <c r="V819" i="6"/>
  <c r="AB819" i="6" s="1"/>
  <c r="V816" i="6"/>
  <c r="Y816" i="6" s="1"/>
  <c r="W808" i="6"/>
  <c r="AI808" i="6" s="1"/>
  <c r="W797" i="6"/>
  <c r="AC797" i="6" s="1"/>
  <c r="W796" i="6"/>
  <c r="AI796" i="6" s="1"/>
  <c r="V795" i="6"/>
  <c r="Y795" i="6" s="1"/>
  <c r="V786" i="6"/>
  <c r="AH786" i="6" s="1"/>
  <c r="X781" i="6"/>
  <c r="AJ781" i="6" s="1"/>
  <c r="X750" i="6"/>
  <c r="AG750" i="6" s="1"/>
  <c r="X745" i="6"/>
  <c r="AG745" i="6" s="1"/>
  <c r="V949" i="6"/>
  <c r="Y949" i="6" s="1"/>
  <c r="X946" i="6"/>
  <c r="AJ946" i="6" s="1"/>
  <c r="V993" i="6"/>
  <c r="Y993" i="6" s="1"/>
  <c r="X995" i="6"/>
  <c r="AD995" i="6" s="1"/>
  <c r="V982" i="6"/>
  <c r="AB982" i="6" s="1"/>
  <c r="X975" i="6"/>
  <c r="AG975" i="6" s="1"/>
  <c r="X967" i="6"/>
  <c r="AA967" i="6" s="1"/>
  <c r="V966" i="6"/>
  <c r="Y966" i="6" s="1"/>
  <c r="X957" i="6"/>
  <c r="AD957" i="6" s="1"/>
  <c r="AK921" i="6"/>
  <c r="X914" i="6"/>
  <c r="AD914" i="6" s="1"/>
  <c r="X907" i="6"/>
  <c r="AA907" i="6" s="1"/>
  <c r="X906" i="6"/>
  <c r="AG906" i="6" s="1"/>
  <c r="X905" i="6"/>
  <c r="AA905" i="6" s="1"/>
  <c r="X886" i="6"/>
  <c r="AD886" i="6" s="1"/>
  <c r="V884" i="6"/>
  <c r="Y884" i="6" s="1"/>
  <c r="AL870" i="6"/>
  <c r="X858" i="6"/>
  <c r="AA858" i="6" s="1"/>
  <c r="W852" i="6"/>
  <c r="AF852" i="6" s="1"/>
  <c r="W821" i="6"/>
  <c r="Z821" i="6" s="1"/>
  <c r="V815" i="6"/>
  <c r="V812" i="6"/>
  <c r="AB812" i="6" s="1"/>
  <c r="V808" i="6"/>
  <c r="AB808" i="6" s="1"/>
  <c r="AM803" i="6"/>
  <c r="W788" i="6"/>
  <c r="AI788" i="6" s="1"/>
  <c r="AK782" i="6"/>
  <c r="W769" i="6"/>
  <c r="Z769" i="6" s="1"/>
  <c r="W761" i="6"/>
  <c r="AC761" i="6" s="1"/>
  <c r="W718" i="6"/>
  <c r="Z718" i="6" s="1"/>
  <c r="V995" i="6"/>
  <c r="AE995" i="6" s="1"/>
  <c r="X986" i="6"/>
  <c r="AA986" i="6" s="1"/>
  <c r="V985" i="6"/>
  <c r="AE985" i="6" s="1"/>
  <c r="W968" i="6"/>
  <c r="AF968" i="6" s="1"/>
  <c r="V957" i="6"/>
  <c r="AE957" i="6" s="1"/>
  <c r="W955" i="6"/>
  <c r="AC955" i="6" s="1"/>
  <c r="V907" i="6"/>
  <c r="AH907" i="6" s="1"/>
  <c r="V885" i="6"/>
  <c r="Y885" i="6" s="1"/>
  <c r="V862" i="6"/>
  <c r="AE862" i="6" s="1"/>
  <c r="V858" i="6"/>
  <c r="Y858" i="6" s="1"/>
  <c r="V856" i="6"/>
  <c r="AH856" i="6" s="1"/>
  <c r="V855" i="6"/>
  <c r="AH855" i="6" s="1"/>
  <c r="V826" i="6"/>
  <c r="AB826" i="6" s="1"/>
  <c r="V811" i="6"/>
  <c r="Y811" i="6" s="1"/>
  <c r="X802" i="6"/>
  <c r="AD802" i="6" s="1"/>
  <c r="X799" i="6"/>
  <c r="AA799" i="6" s="1"/>
  <c r="V798" i="6"/>
  <c r="AH798" i="6" s="1"/>
  <c r="X776" i="6"/>
  <c r="AD776" i="6" s="1"/>
  <c r="V771" i="6"/>
  <c r="Y771" i="6" s="1"/>
  <c r="AM734" i="6"/>
  <c r="X734" i="6"/>
  <c r="AA734" i="6" s="1"/>
  <c r="AL722" i="6"/>
  <c r="W722" i="6"/>
  <c r="AC722" i="6" s="1"/>
  <c r="X987" i="6"/>
  <c r="AA987" i="6" s="1"/>
  <c r="W923" i="6"/>
  <c r="AC923" i="6" s="1"/>
  <c r="X891" i="6"/>
  <c r="AA891" i="6" s="1"/>
  <c r="V890" i="6"/>
  <c r="AB890" i="6" s="1"/>
  <c r="V889" i="6"/>
  <c r="AB889" i="6" s="1"/>
  <c r="V888" i="6"/>
  <c r="AH888" i="6" s="1"/>
  <c r="X863" i="6"/>
  <c r="AG863" i="6" s="1"/>
  <c r="W848" i="6"/>
  <c r="Z848" i="6" s="1"/>
  <c r="V804" i="6"/>
  <c r="Y804" i="6" s="1"/>
  <c r="X793" i="6"/>
  <c r="AD793" i="6" s="1"/>
  <c r="V742" i="6"/>
  <c r="Y742" i="6" s="1"/>
  <c r="V999" i="6"/>
  <c r="AB999" i="6" s="1"/>
  <c r="X996" i="6"/>
  <c r="AG996" i="6" s="1"/>
  <c r="W987" i="6"/>
  <c r="AF987" i="6" s="1"/>
  <c r="V986" i="6"/>
  <c r="Y986" i="6" s="1"/>
  <c r="W985" i="6"/>
  <c r="AI985" i="6" s="1"/>
  <c r="X978" i="6"/>
  <c r="AG978" i="6" s="1"/>
  <c r="V977" i="6"/>
  <c r="AB977" i="6" s="1"/>
  <c r="X964" i="6"/>
  <c r="AA964" i="6" s="1"/>
  <c r="X948" i="6"/>
  <c r="AJ948" i="6" s="1"/>
  <c r="X830" i="6"/>
  <c r="AJ830" i="6" s="1"/>
  <c r="W829" i="6"/>
  <c r="AF829" i="6" s="1"/>
  <c r="W775" i="6"/>
  <c r="W774" i="6"/>
  <c r="Z774" i="6" s="1"/>
  <c r="X743" i="6"/>
  <c r="AJ743" i="6" s="1"/>
  <c r="X992" i="6"/>
  <c r="AA992" i="6" s="1"/>
  <c r="V987" i="6"/>
  <c r="AE987" i="6" s="1"/>
  <c r="X979" i="6"/>
  <c r="AA979" i="6" s="1"/>
  <c r="X970" i="6"/>
  <c r="AD970" i="6" s="1"/>
  <c r="V969" i="6"/>
  <c r="Y969" i="6" s="1"/>
  <c r="X962" i="6"/>
  <c r="AA962" i="6" s="1"/>
  <c r="X919" i="6"/>
  <c r="AD919" i="6" s="1"/>
  <c r="V917" i="6"/>
  <c r="AE917" i="6" s="1"/>
  <c r="V916" i="6"/>
  <c r="AB916" i="6" s="1"/>
  <c r="V891" i="6"/>
  <c r="AB891" i="6" s="1"/>
  <c r="X866" i="6"/>
  <c r="AD866" i="6" s="1"/>
  <c r="V865" i="6"/>
  <c r="AB865" i="6" s="1"/>
  <c r="X850" i="6"/>
  <c r="AD850" i="6" s="1"/>
  <c r="X832" i="6"/>
  <c r="AD832" i="6" s="1"/>
  <c r="V775" i="6"/>
  <c r="AB775" i="6" s="1"/>
  <c r="V754" i="6"/>
  <c r="AH754" i="6" s="1"/>
  <c r="X741" i="6"/>
  <c r="AG741" i="6" s="1"/>
  <c r="AM692" i="6"/>
  <c r="X692" i="6"/>
  <c r="AD692" i="6" s="1"/>
  <c r="W979" i="6"/>
  <c r="Z979" i="6" s="1"/>
  <c r="X971" i="6"/>
  <c r="AD971" i="6" s="1"/>
  <c r="W940" i="6"/>
  <c r="AI940" i="6" s="1"/>
  <c r="X911" i="6"/>
  <c r="AD911" i="6" s="1"/>
  <c r="X898" i="6"/>
  <c r="AJ898" i="6" s="1"/>
  <c r="V867" i="6"/>
  <c r="AE867" i="6" s="1"/>
  <c r="W866" i="6"/>
  <c r="AF866" i="6" s="1"/>
  <c r="X835" i="6"/>
  <c r="AD835" i="6" s="1"/>
  <c r="V834" i="6"/>
  <c r="Y834" i="6" s="1"/>
  <c r="X831" i="6"/>
  <c r="AA831" i="6" s="1"/>
  <c r="W801" i="6"/>
  <c r="AF801" i="6" s="1"/>
  <c r="AK787" i="6"/>
  <c r="W779" i="6"/>
  <c r="AI779" i="6" s="1"/>
  <c r="V765" i="6"/>
  <c r="Y765" i="6" s="1"/>
  <c r="V996" i="6"/>
  <c r="Y996" i="6" s="1"/>
  <c r="X998" i="6"/>
  <c r="AD998" i="6" s="1"/>
  <c r="X993" i="6"/>
  <c r="AD993" i="6" s="1"/>
  <c r="V991" i="6"/>
  <c r="Y991" i="6" s="1"/>
  <c r="X988" i="6"/>
  <c r="AJ988" i="6" s="1"/>
  <c r="V979" i="6"/>
  <c r="AE979" i="6" s="1"/>
  <c r="W971" i="6"/>
  <c r="AF971" i="6" s="1"/>
  <c r="V970" i="6"/>
  <c r="AE970" i="6" s="1"/>
  <c r="V964" i="6"/>
  <c r="AE964" i="6" s="1"/>
  <c r="W957" i="6"/>
  <c r="Z957" i="6" s="1"/>
  <c r="W954" i="6"/>
  <c r="Z954" i="6" s="1"/>
  <c r="W936" i="6"/>
  <c r="AC936" i="6" s="1"/>
  <c r="W920" i="6"/>
  <c r="AF920" i="6" s="1"/>
  <c r="W909" i="6"/>
  <c r="AI909" i="6" s="1"/>
  <c r="X897" i="6"/>
  <c r="AG897" i="6" s="1"/>
  <c r="X896" i="6"/>
  <c r="AA896" i="6" s="1"/>
  <c r="X894" i="6"/>
  <c r="AJ894" i="6" s="1"/>
  <c r="X868" i="6"/>
  <c r="AG868" i="6" s="1"/>
  <c r="X833" i="6"/>
  <c r="V797" i="6"/>
  <c r="AE797" i="6" s="1"/>
  <c r="V785" i="6"/>
  <c r="AE785" i="6" s="1"/>
  <c r="W780" i="6"/>
  <c r="AI780" i="6" s="1"/>
  <c r="V757" i="6"/>
  <c r="Y757" i="6" s="1"/>
  <c r="W752" i="6"/>
  <c r="AC752" i="6" s="1"/>
  <c r="W682" i="6"/>
  <c r="AF682" i="6" s="1"/>
  <c r="X666" i="6"/>
  <c r="AA666" i="6" s="1"/>
  <c r="W654" i="6"/>
  <c r="Z654" i="6" s="1"/>
  <c r="AM633" i="6"/>
  <c r="W615" i="6"/>
  <c r="Z615" i="6" s="1"/>
  <c r="V611" i="6"/>
  <c r="AE611" i="6" s="1"/>
  <c r="W586" i="6"/>
  <c r="Z586" i="6" s="1"/>
  <c r="X726" i="6"/>
  <c r="AD726" i="6" s="1"/>
  <c r="W725" i="6"/>
  <c r="Z725" i="6" s="1"/>
  <c r="W723" i="6"/>
  <c r="AC723" i="6" s="1"/>
  <c r="X676" i="6"/>
  <c r="AJ676" i="6" s="1"/>
  <c r="AM664" i="6"/>
  <c r="X647" i="6"/>
  <c r="AD647" i="6" s="1"/>
  <c r="W627" i="6"/>
  <c r="AF627" i="6" s="1"/>
  <c r="X607" i="6"/>
  <c r="AD607" i="6" s="1"/>
  <c r="V606" i="6"/>
  <c r="AB606" i="6" s="1"/>
  <c r="X564" i="6"/>
  <c r="AG564" i="6" s="1"/>
  <c r="W563" i="6"/>
  <c r="AF563" i="6" s="1"/>
  <c r="V764" i="6"/>
  <c r="AB764" i="6" s="1"/>
  <c r="V759" i="6"/>
  <c r="AE759" i="6" s="1"/>
  <c r="V727" i="6"/>
  <c r="AB727" i="6" s="1"/>
  <c r="V722" i="6"/>
  <c r="Y722" i="6" s="1"/>
  <c r="W703" i="6"/>
  <c r="AF703" i="6" s="1"/>
  <c r="V667" i="6"/>
  <c r="AB667" i="6" s="1"/>
  <c r="W645" i="6"/>
  <c r="AF645" i="6" s="1"/>
  <c r="W637" i="6"/>
  <c r="AI637" i="6" s="1"/>
  <c r="W588" i="6"/>
  <c r="AI588" i="6" s="1"/>
  <c r="W573" i="6"/>
  <c r="AF573" i="6" s="1"/>
  <c r="W572" i="6"/>
  <c r="Z572" i="6" s="1"/>
  <c r="V563" i="6"/>
  <c r="AE563" i="6" s="1"/>
  <c r="V562" i="6"/>
  <c r="Y562" i="6" s="1"/>
  <c r="CB554" i="1"/>
  <c r="V747" i="6"/>
  <c r="AE747" i="6" s="1"/>
  <c r="X728" i="6"/>
  <c r="AD728" i="6" s="1"/>
  <c r="X725" i="6"/>
  <c r="AA725" i="6" s="1"/>
  <c r="W680" i="6"/>
  <c r="AI680" i="6" s="1"/>
  <c r="V675" i="6"/>
  <c r="AB675" i="6" s="1"/>
  <c r="AK667" i="6"/>
  <c r="AM666" i="6"/>
  <c r="X649" i="6"/>
  <c r="AG649" i="6" s="1"/>
  <c r="X620" i="6"/>
  <c r="AD620" i="6" s="1"/>
  <c r="X609" i="6"/>
  <c r="AA609" i="6" s="1"/>
  <c r="X608" i="6"/>
  <c r="AJ608" i="6" s="1"/>
  <c r="V607" i="6"/>
  <c r="AH607" i="6" s="1"/>
  <c r="X589" i="6"/>
  <c r="AA589" i="6" s="1"/>
  <c r="X588" i="6"/>
  <c r="AG588" i="6" s="1"/>
  <c r="V587" i="6"/>
  <c r="AE587" i="6" s="1"/>
  <c r="X583" i="6"/>
  <c r="AA583" i="6" s="1"/>
  <c r="V582" i="6"/>
  <c r="AE582" i="6" s="1"/>
  <c r="V581" i="6"/>
  <c r="AB581" i="6" s="1"/>
  <c r="X573" i="6"/>
  <c r="AD573" i="6" s="1"/>
  <c r="X572" i="6"/>
  <c r="AG572" i="6" s="1"/>
  <c r="X567" i="6"/>
  <c r="AJ567" i="6" s="1"/>
  <c r="V566" i="6"/>
  <c r="AB566" i="6" s="1"/>
  <c r="W623" i="6"/>
  <c r="AC623" i="6" s="1"/>
  <c r="W621" i="6"/>
  <c r="AI621" i="6" s="1"/>
  <c r="V571" i="6"/>
  <c r="AE571" i="6" s="1"/>
  <c r="W748" i="6"/>
  <c r="AC748" i="6" s="1"/>
  <c r="W730" i="6"/>
  <c r="AF730" i="6" s="1"/>
  <c r="X707" i="6"/>
  <c r="AJ707" i="6" s="1"/>
  <c r="W694" i="6"/>
  <c r="AC694" i="6" s="1"/>
  <c r="W677" i="6"/>
  <c r="Z677" i="6" s="1"/>
  <c r="V660" i="6"/>
  <c r="Y660" i="6" s="1"/>
  <c r="W659" i="6"/>
  <c r="AF659" i="6" s="1"/>
  <c r="X657" i="6"/>
  <c r="AA657" i="6" s="1"/>
  <c r="X651" i="6"/>
  <c r="V649" i="6"/>
  <c r="AB649" i="6" s="1"/>
  <c r="W634" i="6"/>
  <c r="Z634" i="6" s="1"/>
  <c r="X621" i="6"/>
  <c r="AJ621" i="6" s="1"/>
  <c r="V620" i="6"/>
  <c r="Y620" i="6" s="1"/>
  <c r="W611" i="6"/>
  <c r="AC611" i="6" s="1"/>
  <c r="X610" i="6"/>
  <c r="AG610" i="6" s="1"/>
  <c r="V609" i="6"/>
  <c r="AE609" i="6" s="1"/>
  <c r="V608" i="6"/>
  <c r="AB608" i="6" s="1"/>
  <c r="V588" i="6"/>
  <c r="AH588" i="6" s="1"/>
  <c r="V583" i="6"/>
  <c r="Y583" i="6" s="1"/>
  <c r="V572" i="6"/>
  <c r="Y572" i="6" s="1"/>
  <c r="V567" i="6"/>
  <c r="Y567" i="6" s="1"/>
  <c r="X764" i="6"/>
  <c r="AG764" i="6" s="1"/>
  <c r="V750" i="6"/>
  <c r="AH750" i="6" s="1"/>
  <c r="V719" i="6"/>
  <c r="AB719" i="6" s="1"/>
  <c r="X706" i="6"/>
  <c r="AA706" i="6" s="1"/>
  <c r="W689" i="6"/>
  <c r="AC689" i="6" s="1"/>
  <c r="W688" i="6"/>
  <c r="Z688" i="6" s="1"/>
  <c r="V658" i="6"/>
  <c r="AE658" i="6" s="1"/>
  <c r="W657" i="6"/>
  <c r="AC657" i="6" s="1"/>
  <c r="W655" i="6"/>
  <c r="AI655" i="6" s="1"/>
  <c r="V650" i="6"/>
  <c r="AB650" i="6" s="1"/>
  <c r="V619" i="6"/>
  <c r="AB619" i="6" s="1"/>
  <c r="X614" i="6"/>
  <c r="AA614" i="6" s="1"/>
  <c r="X585" i="6"/>
  <c r="AA585" i="6" s="1"/>
  <c r="V584" i="6"/>
  <c r="Y584" i="6" s="1"/>
  <c r="V568" i="6"/>
  <c r="AE568" i="6" s="1"/>
  <c r="AL702" i="6"/>
  <c r="X654" i="6"/>
  <c r="AA654" i="6" s="1"/>
  <c r="X615" i="6"/>
  <c r="AD615" i="6" s="1"/>
  <c r="V610" i="6"/>
  <c r="AE610" i="6" s="1"/>
  <c r="X604" i="6"/>
  <c r="AG604" i="6" s="1"/>
  <c r="X587" i="6"/>
  <c r="AJ587" i="6" s="1"/>
  <c r="X586" i="6"/>
  <c r="AD586" i="6" s="1"/>
  <c r="X569" i="6"/>
  <c r="AA569" i="6" s="1"/>
  <c r="W749" i="6"/>
  <c r="AC749" i="6" s="1"/>
  <c r="W666" i="6"/>
  <c r="AF666" i="6" s="1"/>
  <c r="V661" i="6"/>
  <c r="AE661" i="6" s="1"/>
  <c r="W653" i="6"/>
  <c r="Z653" i="6" s="1"/>
  <c r="X629" i="6"/>
  <c r="AA629" i="6" s="1"/>
  <c r="X616" i="6"/>
  <c r="AG616" i="6" s="1"/>
  <c r="V614" i="6"/>
  <c r="Y614" i="6" s="1"/>
  <c r="X605" i="6"/>
  <c r="AJ605" i="6" s="1"/>
  <c r="V603" i="6"/>
  <c r="AE603" i="6" s="1"/>
  <c r="X597" i="6"/>
  <c r="AD597" i="6" s="1"/>
  <c r="X596" i="6"/>
  <c r="AG596" i="6" s="1"/>
  <c r="W587" i="6"/>
  <c r="AF587" i="6" s="1"/>
  <c r="V585" i="6"/>
  <c r="AH585" i="6" s="1"/>
  <c r="X574" i="6"/>
  <c r="AA574" i="6" s="1"/>
  <c r="X571" i="6"/>
  <c r="AG571" i="6" s="1"/>
  <c r="X570" i="6"/>
  <c r="AD570" i="6" s="1"/>
  <c r="W630" i="6"/>
  <c r="AC630" i="6" s="1"/>
  <c r="W628" i="6"/>
  <c r="AF628" i="6" s="1"/>
  <c r="V604" i="6"/>
  <c r="AH604" i="6" s="1"/>
  <c r="W764" i="6"/>
  <c r="Z764" i="6" s="1"/>
  <c r="V763" i="6"/>
  <c r="AB763" i="6" s="1"/>
  <c r="V762" i="6"/>
  <c r="Y762" i="6" s="1"/>
  <c r="X759" i="6"/>
  <c r="AJ759" i="6" s="1"/>
  <c r="X736" i="6"/>
  <c r="AA736" i="6" s="1"/>
  <c r="W732" i="6"/>
  <c r="Z732" i="6" s="1"/>
  <c r="X727" i="6"/>
  <c r="AJ727" i="6" s="1"/>
  <c r="W696" i="6"/>
  <c r="AC696" i="6" s="1"/>
  <c r="W693" i="6"/>
  <c r="AF693" i="6" s="1"/>
  <c r="X687" i="6"/>
  <c r="AG687" i="6" s="1"/>
  <c r="V683" i="6"/>
  <c r="AH683" i="6" s="1"/>
  <c r="X681" i="6"/>
  <c r="AJ681" i="6" s="1"/>
  <c r="V680" i="6"/>
  <c r="AE680" i="6" s="1"/>
  <c r="X663" i="6"/>
  <c r="AD663" i="6" s="1"/>
  <c r="X618" i="6"/>
  <c r="AG618" i="6" s="1"/>
  <c r="X617" i="6"/>
  <c r="AD617" i="6" s="1"/>
  <c r="V616" i="6"/>
  <c r="AE616" i="6" s="1"/>
  <c r="V596" i="6"/>
  <c r="AH596" i="6" s="1"/>
  <c r="V595" i="6"/>
  <c r="AE595" i="6" s="1"/>
  <c r="W581" i="6"/>
  <c r="AC581" i="6" s="1"/>
  <c r="X580" i="6"/>
  <c r="AG580" i="6" s="1"/>
  <c r="V579" i="6"/>
  <c r="AE579" i="6" s="1"/>
  <c r="X575" i="6"/>
  <c r="AA575" i="6" s="1"/>
  <c r="V574" i="6"/>
  <c r="AH574" i="6" s="1"/>
  <c r="V570" i="6"/>
  <c r="AB570" i="6" s="1"/>
  <c r="V755" i="6"/>
  <c r="Y755" i="6" s="1"/>
  <c r="W754" i="6"/>
  <c r="Z754" i="6" s="1"/>
  <c r="W753" i="6"/>
  <c r="Z753" i="6" s="1"/>
  <c r="X752" i="6"/>
  <c r="AJ752" i="6" s="1"/>
  <c r="W735" i="6"/>
  <c r="X716" i="6"/>
  <c r="AA716" i="6" s="1"/>
  <c r="V685" i="6"/>
  <c r="Y685" i="6" s="1"/>
  <c r="X684" i="6"/>
  <c r="AG684" i="6" s="1"/>
  <c r="V681" i="6"/>
  <c r="AB681" i="6" s="1"/>
  <c r="X669" i="6"/>
  <c r="AG669" i="6" s="1"/>
  <c r="V663" i="6"/>
  <c r="AE663" i="6" s="1"/>
  <c r="X636" i="6"/>
  <c r="AG636" i="6" s="1"/>
  <c r="X635" i="6"/>
  <c r="AD635" i="6" s="1"/>
  <c r="V618" i="6"/>
  <c r="AH618" i="6" s="1"/>
  <c r="V617" i="6"/>
  <c r="AH617" i="6" s="1"/>
  <c r="X591" i="6"/>
  <c r="AA591" i="6" s="1"/>
  <c r="V590" i="6"/>
  <c r="AB590" i="6" s="1"/>
  <c r="V575" i="6"/>
  <c r="AB575" i="6" s="1"/>
  <c r="W760" i="6"/>
  <c r="AI760" i="6" s="1"/>
  <c r="V709" i="6"/>
  <c r="Y709" i="6" s="1"/>
  <c r="W700" i="6"/>
  <c r="AI700" i="6" s="1"/>
  <c r="V692" i="6"/>
  <c r="X690" i="6"/>
  <c r="AA690" i="6" s="1"/>
  <c r="W685" i="6"/>
  <c r="AF685" i="6" s="1"/>
  <c r="X674" i="6"/>
  <c r="AG674" i="6" s="1"/>
  <c r="W667" i="6"/>
  <c r="Z667" i="6" s="1"/>
  <c r="W660" i="6"/>
  <c r="Z660" i="6" s="1"/>
  <c r="X658" i="6"/>
  <c r="AJ658" i="6" s="1"/>
  <c r="X642" i="6"/>
  <c r="AD642" i="6" s="1"/>
  <c r="W632" i="6"/>
  <c r="Z632" i="6" s="1"/>
  <c r="X625" i="6"/>
  <c r="AJ625" i="6" s="1"/>
  <c r="W613" i="6"/>
  <c r="AI613" i="6" s="1"/>
  <c r="W612" i="6"/>
  <c r="AC612" i="6" s="1"/>
  <c r="W610" i="6"/>
  <c r="AI610" i="6" s="1"/>
  <c r="X602" i="6"/>
  <c r="AG602" i="6" s="1"/>
  <c r="X601" i="6"/>
  <c r="AD601" i="6" s="1"/>
  <c r="W600" i="6"/>
  <c r="AC600" i="6" s="1"/>
  <c r="V591" i="6"/>
  <c r="AE591" i="6" s="1"/>
  <c r="X579" i="6"/>
  <c r="AD579" i="6" s="1"/>
  <c r="X578" i="6"/>
  <c r="AD578" i="6" s="1"/>
  <c r="W577" i="6"/>
  <c r="AF577" i="6" s="1"/>
  <c r="W561" i="6"/>
  <c r="AC561" i="6" s="1"/>
  <c r="AK559" i="1"/>
  <c r="EK555" i="1"/>
  <c r="CB557" i="1"/>
  <c r="AH559" i="1"/>
  <c r="BN556" i="1"/>
  <c r="BS556" i="1"/>
  <c r="BL555" i="1"/>
  <c r="CB556" i="1"/>
  <c r="BN555" i="1"/>
  <c r="BL557" i="1"/>
  <c r="BS555" i="1"/>
  <c r="DR556" i="1"/>
  <c r="DR555" i="1"/>
  <c r="DV556" i="1"/>
  <c r="BN557" i="1"/>
  <c r="CB555" i="1"/>
  <c r="EG556" i="1"/>
  <c r="BS557" i="1"/>
  <c r="DR557" i="1"/>
  <c r="EG555" i="1"/>
  <c r="DV557" i="1"/>
  <c r="AH558" i="1"/>
  <c r="EG557" i="1"/>
  <c r="BL556" i="1"/>
  <c r="BN558" i="1"/>
  <c r="BS558" i="1"/>
  <c r="CB558" i="1"/>
  <c r="DR558" i="1"/>
  <c r="DV558" i="1"/>
  <c r="EG558" i="1"/>
  <c r="AK558" i="1"/>
  <c r="BN559" i="1"/>
  <c r="BS559" i="1"/>
  <c r="BL559" i="1"/>
  <c r="CB559" i="1"/>
  <c r="DR559" i="1"/>
  <c r="DV559" i="1"/>
  <c r="AK556" i="1"/>
  <c r="AH557" i="1"/>
  <c r="AK557" i="1"/>
  <c r="AH556" i="1"/>
  <c r="AK555" i="1"/>
  <c r="AH555" i="1"/>
  <c r="DV554" i="1"/>
  <c r="BL554" i="1"/>
  <c r="EG554" i="1"/>
  <c r="BN554" i="1"/>
  <c r="EK554" i="1"/>
  <c r="BS554" i="1"/>
  <c r="Y998" i="6"/>
  <c r="AB998" i="6"/>
  <c r="AE998" i="6"/>
  <c r="AH998" i="6"/>
  <c r="AA959" i="6"/>
  <c r="AD959" i="6"/>
  <c r="AA969" i="6"/>
  <c r="AD969" i="6"/>
  <c r="AG969" i="6"/>
  <c r="AJ969" i="6"/>
  <c r="AI922" i="6"/>
  <c r="AL593" i="6"/>
  <c r="W593" i="6"/>
  <c r="X954" i="6"/>
  <c r="X942" i="6"/>
  <c r="AL913" i="6"/>
  <c r="W913" i="6"/>
  <c r="V940" i="6"/>
  <c r="AG917" i="6"/>
  <c r="AA917" i="6"/>
  <c r="AL908" i="6"/>
  <c r="W908" i="6"/>
  <c r="AI873" i="6"/>
  <c r="Z873" i="6"/>
  <c r="AF873" i="6"/>
  <c r="AC873" i="6"/>
  <c r="AJ870" i="6"/>
  <c r="AG870" i="6"/>
  <c r="AL912" i="6"/>
  <c r="W912" i="6"/>
  <c r="X934" i="6"/>
  <c r="W925" i="6"/>
  <c r="W917" i="6"/>
  <c r="W977" i="6"/>
  <c r="W969" i="6"/>
  <c r="AL993" i="6"/>
  <c r="AL985" i="6"/>
  <c r="X965" i="6"/>
  <c r="AM929" i="6"/>
  <c r="AB924" i="6"/>
  <c r="AD901" i="6"/>
  <c r="W961" i="6"/>
  <c r="W945" i="6"/>
  <c r="W941" i="6"/>
  <c r="W928" i="6"/>
  <c r="AF999" i="6"/>
  <c r="V960" i="6"/>
  <c r="W953" i="6"/>
  <c r="V945" i="6"/>
  <c r="V941" i="6"/>
  <c r="X918" i="6"/>
  <c r="V901" i="6"/>
  <c r="V953" i="6"/>
  <c r="AM945" i="6"/>
  <c r="X945" i="6"/>
  <c r="W937" i="6"/>
  <c r="W933" i="6"/>
  <c r="AB868" i="6"/>
  <c r="AH868" i="6"/>
  <c r="AE868" i="6"/>
  <c r="AM953" i="6"/>
  <c r="X953" i="6"/>
  <c r="AI986" i="6"/>
  <c r="V956" i="6"/>
  <c r="V951" i="6"/>
  <c r="V942" i="6"/>
  <c r="AM937" i="6"/>
  <c r="X937" i="6"/>
  <c r="X932" i="6"/>
  <c r="AL927" i="6"/>
  <c r="W927" i="6"/>
  <c r="AH897" i="6"/>
  <c r="AB897" i="6"/>
  <c r="AE897" i="6"/>
  <c r="Y897" i="6"/>
  <c r="AL911" i="6"/>
  <c r="W911" i="6"/>
  <c r="AL891" i="6"/>
  <c r="W891" i="6"/>
  <c r="Z882" i="6"/>
  <c r="AC882" i="6"/>
  <c r="AF882" i="6"/>
  <c r="AI882" i="6"/>
  <c r="AF864" i="6"/>
  <c r="V925" i="6"/>
  <c r="AA933" i="6"/>
  <c r="AL915" i="6"/>
  <c r="W915" i="6"/>
  <c r="X961" i="6"/>
  <c r="V948" i="6"/>
  <c r="AH947" i="6"/>
  <c r="AK944" i="6"/>
  <c r="V944" i="6"/>
  <c r="X913" i="6"/>
  <c r="AA901" i="6"/>
  <c r="AK952" i="6"/>
  <c r="V952" i="6"/>
  <c r="AE961" i="6"/>
  <c r="V967" i="6"/>
  <c r="W960" i="6"/>
  <c r="W949" i="6"/>
  <c r="W939" i="6"/>
  <c r="AK936" i="6"/>
  <c r="V936" i="6"/>
  <c r="AC935" i="6"/>
  <c r="AJ917" i="6"/>
  <c r="V913" i="6"/>
  <c r="AB910" i="6"/>
  <c r="AH910" i="6"/>
  <c r="Y910" i="6"/>
  <c r="W898" i="6"/>
  <c r="V915" i="6"/>
  <c r="W910" i="6"/>
  <c r="X909" i="6"/>
  <c r="X904" i="6"/>
  <c r="X899" i="6"/>
  <c r="W892" i="6"/>
  <c r="V887" i="6"/>
  <c r="X865" i="6"/>
  <c r="W861" i="6"/>
  <c r="V857" i="6"/>
  <c r="X851" i="6"/>
  <c r="V927" i="6"/>
  <c r="V911" i="6"/>
  <c r="X883" i="6"/>
  <c r="V880" i="6"/>
  <c r="X873" i="6"/>
  <c r="X856" i="6"/>
  <c r="X814" i="6"/>
  <c r="Z869" i="6"/>
  <c r="AF869" i="6"/>
  <c r="Z850" i="6"/>
  <c r="W865" i="6"/>
  <c r="AL865" i="6"/>
  <c r="AL851" i="6"/>
  <c r="W851" i="6"/>
  <c r="AL818" i="6"/>
  <c r="W818" i="6"/>
  <c r="AM804" i="6"/>
  <c r="X804" i="6"/>
  <c r="X916" i="6"/>
  <c r="V906" i="6"/>
  <c r="V896" i="6"/>
  <c r="X889" i="6"/>
  <c r="V886" i="6"/>
  <c r="AL883" i="6"/>
  <c r="W883" i="6"/>
  <c r="V876" i="6"/>
  <c r="X872" i="6"/>
  <c r="X869" i="6"/>
  <c r="AM869" i="6"/>
  <c r="X855" i="6"/>
  <c r="W907" i="6"/>
  <c r="X903" i="6"/>
  <c r="W894" i="6"/>
  <c r="W884" i="6"/>
  <c r="V879" i="6"/>
  <c r="AE808" i="6"/>
  <c r="X912" i="6"/>
  <c r="X908" i="6"/>
  <c r="X892" i="6"/>
  <c r="X875" i="6"/>
  <c r="V872" i="6"/>
  <c r="X861" i="6"/>
  <c r="W857" i="6"/>
  <c r="X834" i="6"/>
  <c r="V919" i="6"/>
  <c r="V914" i="6"/>
  <c r="V903" i="6"/>
  <c r="V898" i="6"/>
  <c r="X895" i="6"/>
  <c r="X885" i="6"/>
  <c r="V882" i="6"/>
  <c r="W880" i="6"/>
  <c r="V870" i="6"/>
  <c r="AC869" i="6"/>
  <c r="X867" i="6"/>
  <c r="AF850" i="6"/>
  <c r="W931" i="6"/>
  <c r="V912" i="6"/>
  <c r="V908" i="6"/>
  <c r="W904" i="6"/>
  <c r="W899" i="6"/>
  <c r="V892" i="6"/>
  <c r="W890" i="6"/>
  <c r="X888" i="6"/>
  <c r="V875" i="6"/>
  <c r="Y865" i="6"/>
  <c r="AJ835" i="6"/>
  <c r="AM795" i="6"/>
  <c r="X795" i="6"/>
  <c r="AL859" i="6"/>
  <c r="W859" i="6"/>
  <c r="AI856" i="6"/>
  <c r="AL875" i="6"/>
  <c r="W875" i="6"/>
  <c r="Y869" i="6"/>
  <c r="X920" i="6"/>
  <c r="V871" i="6"/>
  <c r="AH841" i="6"/>
  <c r="AK796" i="6"/>
  <c r="V796" i="6"/>
  <c r="AF889" i="6"/>
  <c r="V923" i="6"/>
  <c r="V920" i="6"/>
  <c r="X915" i="6"/>
  <c r="V902" i="6"/>
  <c r="X887" i="6"/>
  <c r="X877" i="6"/>
  <c r="V874" i="6"/>
  <c r="AH854" i="6"/>
  <c r="V853" i="6"/>
  <c r="X860" i="6"/>
  <c r="X845" i="6"/>
  <c r="X840" i="6"/>
  <c r="W825" i="6"/>
  <c r="V807" i="6"/>
  <c r="AK800" i="6"/>
  <c r="V800" i="6"/>
  <c r="AM794" i="6"/>
  <c r="X794" i="6"/>
  <c r="X864" i="6"/>
  <c r="V851" i="6"/>
  <c r="AI835" i="6"/>
  <c r="V835" i="6"/>
  <c r="V830" i="6"/>
  <c r="V820" i="6"/>
  <c r="V801" i="6"/>
  <c r="AL837" i="6"/>
  <c r="V847" i="6"/>
  <c r="V827" i="6"/>
  <c r="AB822" i="6"/>
  <c r="AH822" i="6"/>
  <c r="V806" i="6"/>
  <c r="V832" i="6"/>
  <c r="X819" i="6"/>
  <c r="AM806" i="6"/>
  <c r="X806" i="6"/>
  <c r="W867" i="6"/>
  <c r="X852" i="6"/>
  <c r="X844" i="6"/>
  <c r="X839" i="6"/>
  <c r="X829" i="6"/>
  <c r="X824" i="6"/>
  <c r="AE822" i="6"/>
  <c r="AB834" i="6"/>
  <c r="Y802" i="6"/>
  <c r="V852" i="6"/>
  <c r="V844" i="6"/>
  <c r="V839" i="6"/>
  <c r="AF835" i="6"/>
  <c r="W830" i="6"/>
  <c r="V824" i="6"/>
  <c r="W820" i="6"/>
  <c r="W815" i="6"/>
  <c r="X811" i="6"/>
  <c r="AK809" i="6"/>
  <c r="V809" i="6"/>
  <c r="W805" i="6"/>
  <c r="V799" i="6"/>
  <c r="AH802" i="6"/>
  <c r="AM797" i="6"/>
  <c r="X797" i="6"/>
  <c r="AM757" i="6"/>
  <c r="X757" i="6"/>
  <c r="V848" i="6"/>
  <c r="W832" i="6"/>
  <c r="AG831" i="6"/>
  <c r="X828" i="6"/>
  <c r="X813" i="6"/>
  <c r="W809" i="6"/>
  <c r="AB802" i="6"/>
  <c r="W800" i="6"/>
  <c r="AM738" i="6"/>
  <c r="X738" i="6"/>
  <c r="V859" i="6"/>
  <c r="X853" i="6"/>
  <c r="AE826" i="6"/>
  <c r="V818" i="6"/>
  <c r="W804" i="6"/>
  <c r="W785" i="6"/>
  <c r="V863" i="6"/>
  <c r="AC846" i="6"/>
  <c r="V843" i="6"/>
  <c r="V838" i="6"/>
  <c r="W834" i="6"/>
  <c r="V828" i="6"/>
  <c r="V823" i="6"/>
  <c r="W814" i="6"/>
  <c r="X807" i="6"/>
  <c r="W794" i="6"/>
  <c r="X791" i="6"/>
  <c r="X785" i="6"/>
  <c r="X784" i="6"/>
  <c r="X783" i="6"/>
  <c r="W782" i="6"/>
  <c r="W771" i="6"/>
  <c r="X748" i="6"/>
  <c r="AM748" i="6"/>
  <c r="V778" i="6"/>
  <c r="Y752" i="6"/>
  <c r="AB752" i="6"/>
  <c r="AE752" i="6"/>
  <c r="AM746" i="6"/>
  <c r="X746" i="6"/>
  <c r="V730" i="6"/>
  <c r="AC734" i="6"/>
  <c r="AF734" i="6"/>
  <c r="AE729" i="6"/>
  <c r="AH729" i="6"/>
  <c r="AB729" i="6"/>
  <c r="AI767" i="6"/>
  <c r="AK746" i="6"/>
  <c r="V746" i="6"/>
  <c r="Z728" i="6"/>
  <c r="AM721" i="6"/>
  <c r="X721" i="6"/>
  <c r="V772" i="6"/>
  <c r="AE767" i="6"/>
  <c r="V749" i="6"/>
  <c r="AK736" i="6"/>
  <c r="V736" i="6"/>
  <c r="V724" i="6"/>
  <c r="AK724" i="6"/>
  <c r="X718" i="6"/>
  <c r="W770" i="6"/>
  <c r="AM708" i="6"/>
  <c r="X708" i="6"/>
  <c r="W802" i="6"/>
  <c r="X801" i="6"/>
  <c r="W781" i="6"/>
  <c r="X777" i="6"/>
  <c r="AJ767" i="6"/>
  <c r="W762" i="6"/>
  <c r="V748" i="6"/>
  <c r="V737" i="6"/>
  <c r="X782" i="6"/>
  <c r="X771" i="6"/>
  <c r="V768" i="6"/>
  <c r="W766" i="6"/>
  <c r="W795" i="6"/>
  <c r="W793" i="6"/>
  <c r="X762" i="6"/>
  <c r="AM762" i="6"/>
  <c r="X760" i="6"/>
  <c r="AD724" i="6"/>
  <c r="AA724" i="6"/>
  <c r="W778" i="6"/>
  <c r="AM766" i="6"/>
  <c r="X766" i="6"/>
  <c r="AI752" i="6"/>
  <c r="AA763" i="6"/>
  <c r="AD763" i="6"/>
  <c r="AJ763" i="6"/>
  <c r="AM731" i="6"/>
  <c r="X731" i="6"/>
  <c r="V788" i="6"/>
  <c r="W787" i="6"/>
  <c r="AK773" i="6"/>
  <c r="V773" i="6"/>
  <c r="AA767" i="6"/>
  <c r="W758" i="6"/>
  <c r="AI744" i="6"/>
  <c r="AC744" i="6"/>
  <c r="AF744" i="6"/>
  <c r="AM710" i="6"/>
  <c r="W798" i="6"/>
  <c r="AM751" i="6"/>
  <c r="X751" i="6"/>
  <c r="AD742" i="6"/>
  <c r="AI739" i="6"/>
  <c r="AC739" i="6"/>
  <c r="X733" i="6"/>
  <c r="AM729" i="6"/>
  <c r="X729" i="6"/>
  <c r="AG713" i="6"/>
  <c r="V770" i="6"/>
  <c r="V712" i="6"/>
  <c r="AK709" i="6"/>
  <c r="V781" i="6"/>
  <c r="V776" i="6"/>
  <c r="AB753" i="6"/>
  <c r="AH752" i="6"/>
  <c r="W737" i="6"/>
  <c r="W759" i="6"/>
  <c r="W742" i="6"/>
  <c r="Z680" i="6"/>
  <c r="AC680" i="6"/>
  <c r="V758" i="6"/>
  <c r="W757" i="6"/>
  <c r="W751" i="6"/>
  <c r="V738" i="6"/>
  <c r="W729" i="6"/>
  <c r="AD714" i="6"/>
  <c r="AM709" i="6"/>
  <c r="X709" i="6"/>
  <c r="AK702" i="6"/>
  <c r="V702" i="6"/>
  <c r="AJ671" i="6"/>
  <c r="AF711" i="6"/>
  <c r="AG686" i="6"/>
  <c r="AE703" i="6"/>
  <c r="AL674" i="6"/>
  <c r="W674" i="6"/>
  <c r="W765" i="6"/>
  <c r="V745" i="6"/>
  <c r="V739" i="6"/>
  <c r="AL668" i="6"/>
  <c r="W668" i="6"/>
  <c r="W746" i="6"/>
  <c r="W731" i="6"/>
  <c r="V726" i="6"/>
  <c r="W706" i="6"/>
  <c r="AL676" i="6"/>
  <c r="W676" i="6"/>
  <c r="X761" i="6"/>
  <c r="X749" i="6"/>
  <c r="W741" i="6"/>
  <c r="X737" i="6"/>
  <c r="V731" i="6"/>
  <c r="X719" i="6"/>
  <c r="AM697" i="6"/>
  <c r="X697" i="6"/>
  <c r="AL686" i="6"/>
  <c r="W686" i="6"/>
  <c r="AC712" i="6"/>
  <c r="AF712" i="6"/>
  <c r="Z712" i="6"/>
  <c r="AK707" i="6"/>
  <c r="V707" i="6"/>
  <c r="W750" i="6"/>
  <c r="W733" i="6"/>
  <c r="AM706" i="6"/>
  <c r="V697" i="6"/>
  <c r="AK697" i="6"/>
  <c r="AM695" i="6"/>
  <c r="X695" i="6"/>
  <c r="X694" i="6"/>
  <c r="AI714" i="6"/>
  <c r="AC714" i="6"/>
  <c r="AF671" i="6"/>
  <c r="AI671" i="6"/>
  <c r="Z671" i="6"/>
  <c r="Z670" i="6"/>
  <c r="AF670" i="6"/>
  <c r="AD682" i="6"/>
  <c r="AJ682" i="6"/>
  <c r="AA682" i="6"/>
  <c r="AG682" i="6"/>
  <c r="Y698" i="6"/>
  <c r="AE698" i="6"/>
  <c r="V687" i="6"/>
  <c r="AB677" i="6"/>
  <c r="AE677" i="6"/>
  <c r="Y677" i="6"/>
  <c r="AI745" i="6"/>
  <c r="V744" i="6"/>
  <c r="X740" i="6"/>
  <c r="AB728" i="6"/>
  <c r="AM717" i="6"/>
  <c r="X717" i="6"/>
  <c r="V713" i="6"/>
  <c r="W710" i="6"/>
  <c r="V696" i="6"/>
  <c r="W747" i="6"/>
  <c r="AH740" i="6"/>
  <c r="X732" i="6"/>
  <c r="W727" i="6"/>
  <c r="V721" i="6"/>
  <c r="V693" i="6"/>
  <c r="AL656" i="6"/>
  <c r="W656" i="6"/>
  <c r="W717" i="6"/>
  <c r="V704" i="6"/>
  <c r="W695" i="6"/>
  <c r="AM688" i="6"/>
  <c r="X688" i="6"/>
  <c r="V674" i="6"/>
  <c r="AD659" i="6"/>
  <c r="Z650" i="6"/>
  <c r="AC650" i="6"/>
  <c r="AF650" i="6"/>
  <c r="AB639" i="6"/>
  <c r="AE639" i="6"/>
  <c r="Y639" i="6"/>
  <c r="X701" i="6"/>
  <c r="X680" i="6"/>
  <c r="W709" i="6"/>
  <c r="W707" i="6"/>
  <c r="W697" i="6"/>
  <c r="W724" i="6"/>
  <c r="X703" i="6"/>
  <c r="AH672" i="6"/>
  <c r="V665" i="6"/>
  <c r="X644" i="6"/>
  <c r="AH639" i="6"/>
  <c r="AF640" i="6"/>
  <c r="W721" i="6"/>
  <c r="W699" i="6"/>
  <c r="V679" i="6"/>
  <c r="X678" i="6"/>
  <c r="AD651" i="6"/>
  <c r="AJ651" i="6"/>
  <c r="AA651" i="6"/>
  <c r="AG651" i="6"/>
  <c r="W648" i="6"/>
  <c r="V644" i="6"/>
  <c r="AL636" i="6"/>
  <c r="W636" i="6"/>
  <c r="AL652" i="6"/>
  <c r="W652" i="6"/>
  <c r="AJ646" i="6"/>
  <c r="AD646" i="6"/>
  <c r="AG646" i="6"/>
  <c r="AA646" i="6"/>
  <c r="AL644" i="6"/>
  <c r="W644" i="6"/>
  <c r="AF646" i="6"/>
  <c r="V711" i="6"/>
  <c r="W701" i="6"/>
  <c r="X689" i="6"/>
  <c r="AL678" i="6"/>
  <c r="W678" i="6"/>
  <c r="W708" i="6"/>
  <c r="Y701" i="6"/>
  <c r="AE701" i="6"/>
  <c r="X675" i="6"/>
  <c r="AH701" i="6"/>
  <c r="AL690" i="6"/>
  <c r="W690" i="6"/>
  <c r="V689" i="6"/>
  <c r="V669" i="6"/>
  <c r="AL662" i="6"/>
  <c r="W662" i="6"/>
  <c r="X660" i="6"/>
  <c r="V684" i="6"/>
  <c r="X673" i="6"/>
  <c r="V664" i="6"/>
  <c r="V648" i="6"/>
  <c r="V643" i="6"/>
  <c r="V638" i="6"/>
  <c r="W673" i="6"/>
  <c r="V662" i="6"/>
  <c r="X645" i="6"/>
  <c r="AD624" i="6"/>
  <c r="AG624" i="6"/>
  <c r="AJ624" i="6"/>
  <c r="AE565" i="6"/>
  <c r="AD623" i="6"/>
  <c r="AJ623" i="6"/>
  <c r="AA623" i="6"/>
  <c r="V635" i="6"/>
  <c r="X685" i="6"/>
  <c r="X665" i="6"/>
  <c r="V656" i="6"/>
  <c r="V652" i="6"/>
  <c r="AL637" i="6"/>
  <c r="X637" i="6"/>
  <c r="AH615" i="6"/>
  <c r="W665" i="6"/>
  <c r="V647" i="6"/>
  <c r="AH642" i="6"/>
  <c r="Y642" i="6"/>
  <c r="X634" i="6"/>
  <c r="V621" i="6"/>
  <c r="AD632" i="6"/>
  <c r="AL625" i="6"/>
  <c r="W625" i="6"/>
  <c r="AL622" i="6"/>
  <c r="W622" i="6"/>
  <c r="X683" i="6"/>
  <c r="V676" i="6"/>
  <c r="X661" i="6"/>
  <c r="W649" i="6"/>
  <c r="X639" i="6"/>
  <c r="V634" i="6"/>
  <c r="X631" i="6"/>
  <c r="AG623" i="6"/>
  <c r="AL620" i="6"/>
  <c r="W620" i="6"/>
  <c r="AA624" i="6"/>
  <c r="X691" i="6"/>
  <c r="V670" i="6"/>
  <c r="X655" i="6"/>
  <c r="X653" i="6"/>
  <c r="V651" i="6"/>
  <c r="V646" i="6"/>
  <c r="W641" i="6"/>
  <c r="V686" i="6"/>
  <c r="X679" i="6"/>
  <c r="V668" i="6"/>
  <c r="AF647" i="6"/>
  <c r="V636" i="6"/>
  <c r="AI633" i="6"/>
  <c r="AG606" i="6"/>
  <c r="AJ606" i="6"/>
  <c r="X677" i="6"/>
  <c r="V666" i="6"/>
  <c r="X648" i="6"/>
  <c r="X643" i="6"/>
  <c r="V589" i="6"/>
  <c r="AL585" i="6"/>
  <c r="AT585" i="1" s="1"/>
  <c r="W585" i="6"/>
  <c r="AB622" i="6"/>
  <c r="AL609" i="6"/>
  <c r="AM609" i="1" s="1"/>
  <c r="W609" i="6"/>
  <c r="X603" i="6"/>
  <c r="AL590" i="6"/>
  <c r="W590" i="6"/>
  <c r="AG581" i="6"/>
  <c r="W569" i="6"/>
  <c r="AL606" i="6"/>
  <c r="W606" i="6"/>
  <c r="X630" i="6"/>
  <c r="X619" i="6"/>
  <c r="V602" i="6"/>
  <c r="AA576" i="6"/>
  <c r="V573" i="6"/>
  <c r="X626" i="6"/>
  <c r="V626" i="6"/>
  <c r="W607" i="6"/>
  <c r="AL601" i="6"/>
  <c r="W601" i="6"/>
  <c r="AB598" i="6"/>
  <c r="X595" i="6"/>
  <c r="X582" i="6"/>
  <c r="AH564" i="6"/>
  <c r="Y564" i="6"/>
  <c r="AB564" i="6"/>
  <c r="AE564" i="6"/>
  <c r="AL598" i="6"/>
  <c r="W598" i="6"/>
  <c r="W624" i="6"/>
  <c r="AL617" i="6"/>
  <c r="W617" i="6"/>
  <c r="V613" i="6"/>
  <c r="V594" i="6"/>
  <c r="X566" i="6"/>
  <c r="AL614" i="6"/>
  <c r="W614" i="6"/>
  <c r="AH593" i="6"/>
  <c r="X590" i="6"/>
  <c r="W592" i="6"/>
  <c r="W584" i="6"/>
  <c r="W576" i="6"/>
  <c r="W568" i="6"/>
  <c r="W560" i="6"/>
  <c r="Z564" i="6"/>
  <c r="W582" i="6"/>
  <c r="W574" i="6"/>
  <c r="W566" i="6"/>
  <c r="E121" i="33"/>
  <c r="F121" i="33" s="1"/>
  <c r="I121" i="33"/>
  <c r="L121" i="33" s="1"/>
  <c r="I120" i="33"/>
  <c r="E120" i="33"/>
  <c r="H120" i="33" s="1"/>
  <c r="C120" i="33"/>
  <c r="E119" i="33"/>
  <c r="H119" i="33" s="1"/>
  <c r="I119" i="33"/>
  <c r="L119" i="33" s="1"/>
  <c r="C119" i="33"/>
  <c r="E118" i="33"/>
  <c r="E117" i="33"/>
  <c r="I117" i="33"/>
  <c r="J117" i="33" s="1"/>
  <c r="I116" i="33"/>
  <c r="J116" i="33" s="1"/>
  <c r="E116" i="33"/>
  <c r="H116" i="33" s="1"/>
  <c r="E115" i="33"/>
  <c r="H115" i="33" s="1"/>
  <c r="I115" i="33"/>
  <c r="L115" i="33" s="1"/>
  <c r="I114" i="33"/>
  <c r="L114" i="33" s="1"/>
  <c r="C114" i="33"/>
  <c r="E114" i="33"/>
  <c r="C113" i="33"/>
  <c r="L122" i="33"/>
  <c r="L120" i="33"/>
  <c r="L118" i="33"/>
  <c r="F122" i="33"/>
  <c r="F118" i="33"/>
  <c r="F117" i="33"/>
  <c r="J122" i="33"/>
  <c r="J121" i="33"/>
  <c r="J118" i="33"/>
  <c r="H122" i="33"/>
  <c r="H121" i="33"/>
  <c r="H118" i="33"/>
  <c r="H117" i="33"/>
  <c r="H113" i="33"/>
  <c r="E113" i="33"/>
  <c r="I113" i="33"/>
  <c r="L113" i="33" s="1"/>
  <c r="AX614" i="1"/>
  <c r="CQ614" i="1" l="1"/>
  <c r="CV614" i="1" s="1"/>
  <c r="BD614" i="1"/>
  <c r="AU614" i="1"/>
  <c r="AW614" i="1" s="1"/>
  <c r="CR614" i="1"/>
  <c r="CW614" i="1" s="1"/>
  <c r="CP614" i="1"/>
  <c r="BG614" i="1" a="1"/>
  <c r="BG614" i="1" s="1"/>
  <c r="BF614" i="1" a="1"/>
  <c r="BF614" i="1" s="1"/>
  <c r="BA614" i="1"/>
  <c r="BG613" i="1" a="1"/>
  <c r="BG613" i="1" s="1"/>
  <c r="BA613" i="1"/>
  <c r="BF613" i="1" a="1"/>
  <c r="BF613" i="1" s="1"/>
  <c r="BF611" i="1" a="1"/>
  <c r="BF611" i="1" s="1"/>
  <c r="BA611" i="1"/>
  <c r="BG611" i="1" a="1"/>
  <c r="BG611" i="1" s="1"/>
  <c r="AG611" i="1"/>
  <c r="DY611" i="1"/>
  <c r="Z611" i="1"/>
  <c r="BF612" i="1" a="1"/>
  <c r="BF612" i="1" s="1"/>
  <c r="BA612" i="1"/>
  <c r="BG612" i="1" a="1"/>
  <c r="BG612" i="1" s="1"/>
  <c r="Z613" i="1"/>
  <c r="U613" i="1"/>
  <c r="BF610" i="1" a="1"/>
  <c r="BF610" i="1" s="1"/>
  <c r="BA610" i="1"/>
  <c r="DZ610" i="1" s="1"/>
  <c r="ED610" i="1" s="1"/>
  <c r="BG610" i="1" a="1"/>
  <c r="BG610" i="1" s="1"/>
  <c r="Z610" i="1"/>
  <c r="U610" i="1"/>
  <c r="U612" i="1"/>
  <c r="Z612" i="1"/>
  <c r="AU608" i="1"/>
  <c r="AD831" i="6"/>
  <c r="AI862" i="6"/>
  <c r="AJ959" i="6"/>
  <c r="AA652" i="6"/>
  <c r="AC565" i="6"/>
  <c r="AH654" i="6"/>
  <c r="AH734" i="6"/>
  <c r="AC850" i="6"/>
  <c r="AF888" i="6"/>
  <c r="AD774" i="6"/>
  <c r="AG827" i="6"/>
  <c r="AJ827" i="6"/>
  <c r="AH780" i="6"/>
  <c r="AH570" i="6"/>
  <c r="Y767" i="6"/>
  <c r="AD827" i="6"/>
  <c r="AA667" i="6"/>
  <c r="AF642" i="6"/>
  <c r="AI824" i="6"/>
  <c r="AZ609" i="1"/>
  <c r="AQ609" i="1"/>
  <c r="AT609" i="1"/>
  <c r="AU609" i="1" s="1"/>
  <c r="AQ608" i="1"/>
  <c r="AZ608" i="1"/>
  <c r="BB609" i="1"/>
  <c r="DZ609" i="1" s="1"/>
  <c r="AR609" i="1"/>
  <c r="BD608" i="1"/>
  <c r="J119" i="33"/>
  <c r="F113" i="33"/>
  <c r="AT606" i="1"/>
  <c r="AD606" i="6"/>
  <c r="AD788" i="6"/>
  <c r="AF633" i="6"/>
  <c r="AF846" i="6"/>
  <c r="AF739" i="6"/>
  <c r="AE834" i="6"/>
  <c r="AE865" i="6"/>
  <c r="AH834" i="6"/>
  <c r="AI677" i="6"/>
  <c r="AF881" i="6"/>
  <c r="AH682" i="6"/>
  <c r="Y700" i="6"/>
  <c r="Y705" i="6"/>
  <c r="AF565" i="6"/>
  <c r="AH576" i="6"/>
  <c r="AJ652" i="6"/>
  <c r="Z619" i="6"/>
  <c r="AG652" i="6"/>
  <c r="Z642" i="6"/>
  <c r="AJ699" i="6"/>
  <c r="AB761" i="6"/>
  <c r="AH935" i="6"/>
  <c r="AA699" i="6"/>
  <c r="Y761" i="6"/>
  <c r="AH893" i="6"/>
  <c r="AC698" i="6"/>
  <c r="AE761" i="6"/>
  <c r="AB893" i="6"/>
  <c r="AB885" i="6"/>
  <c r="AE988" i="6"/>
  <c r="AH562" i="6"/>
  <c r="AI698" i="6"/>
  <c r="AF777" i="6"/>
  <c r="AI872" i="6"/>
  <c r="Y988" i="6"/>
  <c r="AE562" i="6"/>
  <c r="Z777" i="6"/>
  <c r="AE837" i="6"/>
  <c r="AD822" i="6"/>
  <c r="Z893" i="6"/>
  <c r="AH988" i="6"/>
  <c r="Z698" i="6"/>
  <c r="Y576" i="6"/>
  <c r="Y672" i="6"/>
  <c r="AB657" i="6"/>
  <c r="AC777" i="6"/>
  <c r="AB837" i="6"/>
  <c r="AH877" i="6"/>
  <c r="AB829" i="6"/>
  <c r="AH837" i="6"/>
  <c r="AB877" i="6"/>
  <c r="AE682" i="6"/>
  <c r="AB734" i="6"/>
  <c r="AB682" i="6"/>
  <c r="AG770" i="6"/>
  <c r="AE734" i="6"/>
  <c r="AH717" i="6"/>
  <c r="Z988" i="6"/>
  <c r="AE605" i="6"/>
  <c r="AE700" i="6"/>
  <c r="AG699" i="6"/>
  <c r="AB963" i="6"/>
  <c r="AJ588" i="6"/>
  <c r="AA769" i="6"/>
  <c r="Y829" i="6"/>
  <c r="Y867" i="6"/>
  <c r="Y717" i="6"/>
  <c r="AE976" i="6"/>
  <c r="AC677" i="6"/>
  <c r="AG705" i="6"/>
  <c r="AC670" i="6"/>
  <c r="AI893" i="6"/>
  <c r="AE622" i="6"/>
  <c r="AE560" i="6"/>
  <c r="AB612" i="6"/>
  <c r="AI983" i="6"/>
  <c r="Y612" i="6"/>
  <c r="AC826" i="6"/>
  <c r="AI723" i="6"/>
  <c r="AH612" i="6"/>
  <c r="Y632" i="6"/>
  <c r="AE631" i="6"/>
  <c r="AC647" i="6"/>
  <c r="AE756" i="6"/>
  <c r="AF826" i="6"/>
  <c r="AB609" i="6"/>
  <c r="AB705" i="6"/>
  <c r="AE916" i="6"/>
  <c r="AG608" i="6"/>
  <c r="Z647" i="6"/>
  <c r="AH703" i="6"/>
  <c r="AA713" i="6"/>
  <c r="AE705" i="6"/>
  <c r="AB756" i="6"/>
  <c r="AF823" i="6"/>
  <c r="Y703" i="6"/>
  <c r="AC810" i="6"/>
  <c r="AB565" i="6"/>
  <c r="AG671" i="6"/>
  <c r="AI918" i="6"/>
  <c r="AB970" i="6"/>
  <c r="Y569" i="6"/>
  <c r="AB715" i="6"/>
  <c r="AA671" i="6"/>
  <c r="AI842" i="6"/>
  <c r="Z918" i="6"/>
  <c r="AJ724" i="6"/>
  <c r="AB766" i="6"/>
  <c r="AB867" i="6"/>
  <c r="Y740" i="6"/>
  <c r="AF893" i="6"/>
  <c r="AC619" i="6"/>
  <c r="AB717" i="6"/>
  <c r="AF619" i="6"/>
  <c r="AE672" i="6"/>
  <c r="AE657" i="6"/>
  <c r="AE695" i="6"/>
  <c r="AJ742" i="6"/>
  <c r="AH622" i="6"/>
  <c r="AH631" i="6"/>
  <c r="AA742" i="6"/>
  <c r="AE561" i="6"/>
  <c r="AE924" i="6"/>
  <c r="Z872" i="6"/>
  <c r="AG569" i="6"/>
  <c r="AH561" i="6"/>
  <c r="AH609" i="6"/>
  <c r="AB637" i="6"/>
  <c r="Z723" i="6"/>
  <c r="Y842" i="6"/>
  <c r="AC864" i="6"/>
  <c r="AF877" i="6"/>
  <c r="AB604" i="6"/>
  <c r="Z637" i="6"/>
  <c r="AB742" i="6"/>
  <c r="AH619" i="6"/>
  <c r="AF637" i="6"/>
  <c r="Y616" i="6"/>
  <c r="Z836" i="6"/>
  <c r="AB571" i="6"/>
  <c r="AD628" i="6"/>
  <c r="AI740" i="6"/>
  <c r="AA745" i="6"/>
  <c r="Y571" i="6"/>
  <c r="AH616" i="6"/>
  <c r="AC675" i="6"/>
  <c r="AC726" i="6"/>
  <c r="AC740" i="6"/>
  <c r="AC789" i="6"/>
  <c r="AB771" i="6"/>
  <c r="AF836" i="6"/>
  <c r="AB895" i="6"/>
  <c r="AB685" i="6"/>
  <c r="Z675" i="6"/>
  <c r="Y864" i="6"/>
  <c r="AJ593" i="6"/>
  <c r="AG579" i="6"/>
  <c r="Z629" i="6"/>
  <c r="AD633" i="6"/>
  <c r="AF675" i="6"/>
  <c r="AH571" i="6"/>
  <c r="Z597" i="6"/>
  <c r="AI629" i="6"/>
  <c r="AA633" i="6"/>
  <c r="AE645" i="6"/>
  <c r="AG690" i="6"/>
  <c r="AF776" i="6"/>
  <c r="AF764" i="6"/>
  <c r="AF629" i="6"/>
  <c r="AJ633" i="6"/>
  <c r="AB645" i="6"/>
  <c r="AA620" i="6"/>
  <c r="AD690" i="6"/>
  <c r="AI790" i="6"/>
  <c r="AG812" i="6"/>
  <c r="AF952" i="6"/>
  <c r="AF651" i="6"/>
  <c r="AF723" i="6"/>
  <c r="AF790" i="6"/>
  <c r="AH645" i="6"/>
  <c r="AJ620" i="6"/>
  <c r="Y609" i="6"/>
  <c r="AJ684" i="6"/>
  <c r="Z790" i="6"/>
  <c r="AI864" i="6"/>
  <c r="AC918" i="6"/>
  <c r="AC863" i="6"/>
  <c r="AA608" i="6"/>
  <c r="Y659" i="6"/>
  <c r="AI711" i="6"/>
  <c r="AH784" i="6"/>
  <c r="AF784" i="6"/>
  <c r="AD871" i="6"/>
  <c r="AH899" i="6"/>
  <c r="AC573" i="6"/>
  <c r="AB659" i="6"/>
  <c r="AC711" i="6"/>
  <c r="Z784" i="6"/>
  <c r="AE873" i="6"/>
  <c r="AJ846" i="6"/>
  <c r="AI877" i="6"/>
  <c r="AJ609" i="6"/>
  <c r="AI843" i="6"/>
  <c r="AB854" i="6"/>
  <c r="AD629" i="6"/>
  <c r="AH680" i="6"/>
  <c r="AI687" i="6"/>
  <c r="AI981" i="6"/>
  <c r="AJ629" i="6"/>
  <c r="AG611" i="6"/>
  <c r="AC687" i="6"/>
  <c r="AF692" i="6"/>
  <c r="AI730" i="6"/>
  <c r="AF981" i="6"/>
  <c r="Y561" i="6"/>
  <c r="AC637" i="6"/>
  <c r="AG698" i="6"/>
  <c r="AG620" i="6"/>
  <c r="Z687" i="6"/>
  <c r="AC692" i="6"/>
  <c r="AF789" i="6"/>
  <c r="AH742" i="6"/>
  <c r="AC981" i="6"/>
  <c r="AH873" i="6"/>
  <c r="AD609" i="6"/>
  <c r="AH608" i="6"/>
  <c r="Z692" i="6"/>
  <c r="AF748" i="6"/>
  <c r="AI885" i="6"/>
  <c r="AG935" i="6"/>
  <c r="AJ999" i="6"/>
  <c r="AE854" i="6"/>
  <c r="AI577" i="6"/>
  <c r="AG629" i="6"/>
  <c r="AA950" i="6"/>
  <c r="AG999" i="6"/>
  <c r="AD608" i="6"/>
  <c r="AG722" i="6"/>
  <c r="AJ569" i="6"/>
  <c r="AA618" i="6"/>
  <c r="AG614" i="6"/>
  <c r="AC730" i="6"/>
  <c r="AB980" i="6"/>
  <c r="AD999" i="6"/>
  <c r="AB976" i="6"/>
  <c r="AJ768" i="6"/>
  <c r="AE681" i="6"/>
  <c r="AG768" i="6"/>
  <c r="AD930" i="6"/>
  <c r="Z646" i="6"/>
  <c r="AH598" i="6"/>
  <c r="AI646" i="6"/>
  <c r="AF843" i="6"/>
  <c r="AH957" i="6"/>
  <c r="AF677" i="6"/>
  <c r="Z817" i="6"/>
  <c r="AG989" i="6"/>
  <c r="AB700" i="6"/>
  <c r="AJ989" i="6"/>
  <c r="AI642" i="6"/>
  <c r="AH766" i="6"/>
  <c r="AC824" i="6"/>
  <c r="AF828" i="6"/>
  <c r="AE576" i="6"/>
  <c r="Z577" i="6"/>
  <c r="AH592" i="6"/>
  <c r="AC605" i="6"/>
  <c r="AJ601" i="6"/>
  <c r="AD569" i="6"/>
  <c r="Z657" i="6"/>
  <c r="AD720" i="6"/>
  <c r="AG676" i="6"/>
  <c r="AI776" i="6"/>
  <c r="AE819" i="6"/>
  <c r="AH819" i="6"/>
  <c r="AE983" i="6"/>
  <c r="AC958" i="6"/>
  <c r="Z605" i="6"/>
  <c r="AJ598" i="6"/>
  <c r="AG609" i="6"/>
  <c r="Y591" i="6"/>
  <c r="AC616" i="6"/>
  <c r="AF657" i="6"/>
  <c r="AB680" i="6"/>
  <c r="AA676" i="6"/>
  <c r="AC776" i="6"/>
  <c r="AE751" i="6"/>
  <c r="Z958" i="6"/>
  <c r="AA958" i="6"/>
  <c r="Y631" i="6"/>
  <c r="AB765" i="6"/>
  <c r="AG598" i="6"/>
  <c r="AF616" i="6"/>
  <c r="AD676" i="6"/>
  <c r="Y751" i="6"/>
  <c r="AG941" i="6"/>
  <c r="AI958" i="6"/>
  <c r="AD598" i="6"/>
  <c r="AB640" i="6"/>
  <c r="Z616" i="6"/>
  <c r="AH732" i="6"/>
  <c r="AC952" i="6"/>
  <c r="AI998" i="6"/>
  <c r="AE981" i="6"/>
  <c r="AJ741" i="6"/>
  <c r="AI635" i="6"/>
  <c r="Y732" i="6"/>
  <c r="AJ793" i="6"/>
  <c r="AA982" i="6"/>
  <c r="Y878" i="6"/>
  <c r="Z952" i="6"/>
  <c r="AJ584" i="6"/>
  <c r="AF658" i="6"/>
  <c r="Z635" i="6"/>
  <c r="AJ734" i="6"/>
  <c r="Y840" i="6"/>
  <c r="Z860" i="6"/>
  <c r="AC635" i="6"/>
  <c r="AC658" i="6"/>
  <c r="AD752" i="6"/>
  <c r="AB798" i="6"/>
  <c r="AI860" i="6"/>
  <c r="AC991" i="6"/>
  <c r="AA570" i="6"/>
  <c r="AB586" i="6"/>
  <c r="AD614" i="6"/>
  <c r="Z658" i="6"/>
  <c r="AB720" i="6"/>
  <c r="AG752" i="6"/>
  <c r="AG803" i="6"/>
  <c r="Y798" i="6"/>
  <c r="AF860" i="6"/>
  <c r="AJ944" i="6"/>
  <c r="AB995" i="6"/>
  <c r="Y720" i="6"/>
  <c r="AB678" i="6"/>
  <c r="AA752" i="6"/>
  <c r="AI756" i="6"/>
  <c r="AG944" i="6"/>
  <c r="AJ570" i="6"/>
  <c r="AG570" i="6"/>
  <c r="AD710" i="6"/>
  <c r="AC661" i="6"/>
  <c r="AA741" i="6"/>
  <c r="Y678" i="6"/>
  <c r="AJ710" i="6"/>
  <c r="Z743" i="6"/>
  <c r="AF833" i="6"/>
  <c r="AG891" i="6"/>
  <c r="Z852" i="6"/>
  <c r="AH963" i="6"/>
  <c r="AA770" i="6"/>
  <c r="AF605" i="6"/>
  <c r="AI661" i="6"/>
  <c r="AE720" i="6"/>
  <c r="AE678" i="6"/>
  <c r="Y566" i="6"/>
  <c r="AF597" i="6"/>
  <c r="AC631" i="6"/>
  <c r="Z661" i="6"/>
  <c r="AA696" i="6"/>
  <c r="AA710" i="6"/>
  <c r="AI743" i="6"/>
  <c r="AB858" i="6"/>
  <c r="AA944" i="6"/>
  <c r="AF998" i="6"/>
  <c r="AJ770" i="6"/>
  <c r="AG696" i="6"/>
  <c r="AE840" i="6"/>
  <c r="AI810" i="6"/>
  <c r="Y895" i="6"/>
  <c r="AC603" i="6"/>
  <c r="AJ568" i="6"/>
  <c r="Y715" i="6"/>
  <c r="AG681" i="6"/>
  <c r="AG714" i="6"/>
  <c r="Z748" i="6"/>
  <c r="Y725" i="6"/>
  <c r="AE750" i="6"/>
  <c r="AB840" i="6"/>
  <c r="AG796" i="6"/>
  <c r="AA790" i="6"/>
  <c r="AB841" i="6"/>
  <c r="AJ879" i="6"/>
  <c r="Y954" i="6"/>
  <c r="AD946" i="6"/>
  <c r="AF956" i="6"/>
  <c r="AA960" i="6"/>
  <c r="AG946" i="6"/>
  <c r="AJ796" i="6"/>
  <c r="AE943" i="6"/>
  <c r="AB593" i="6"/>
  <c r="AJ612" i="6"/>
  <c r="AG568" i="6"/>
  <c r="Y637" i="6"/>
  <c r="AJ666" i="6"/>
  <c r="AF704" i="6"/>
  <c r="AD681" i="6"/>
  <c r="AA714" i="6"/>
  <c r="AI748" i="6"/>
  <c r="Z730" i="6"/>
  <c r="AH792" i="6"/>
  <c r="AE766" i="6"/>
  <c r="AI817" i="6"/>
  <c r="AA796" i="6"/>
  <c r="AG790" i="6"/>
  <c r="AG850" i="6"/>
  <c r="Y846" i="6"/>
  <c r="Z986" i="6"/>
  <c r="Z962" i="6"/>
  <c r="AB723" i="6"/>
  <c r="AH954" i="6"/>
  <c r="AD960" i="6"/>
  <c r="AJ614" i="6"/>
  <c r="AI657" i="6"/>
  <c r="AE637" i="6"/>
  <c r="AG666" i="6"/>
  <c r="AC704" i="6"/>
  <c r="Y792" i="6"/>
  <c r="AJ836" i="6"/>
  <c r="AB846" i="6"/>
  <c r="AA825" i="6"/>
  <c r="AF957" i="6"/>
  <c r="AC983" i="6"/>
  <c r="AE899" i="6"/>
  <c r="AE893" i="6"/>
  <c r="AD878" i="6"/>
  <c r="AE569" i="6"/>
  <c r="AI580" i="6"/>
  <c r="AF753" i="6"/>
  <c r="AF738" i="6"/>
  <c r="AI822" i="6"/>
  <c r="AB899" i="6"/>
  <c r="AA612" i="6"/>
  <c r="AA681" i="6"/>
  <c r="AD790" i="6"/>
  <c r="AC672" i="6"/>
  <c r="AC664" i="6"/>
  <c r="AA754" i="6"/>
  <c r="AE895" i="6"/>
  <c r="AB966" i="6"/>
  <c r="AA602" i="6"/>
  <c r="AC580" i="6"/>
  <c r="Y600" i="6"/>
  <c r="AD602" i="6"/>
  <c r="AH633" i="6"/>
  <c r="Z672" i="6"/>
  <c r="AF664" i="6"/>
  <c r="AC743" i="6"/>
  <c r="AJ754" i="6"/>
  <c r="AD941" i="6"/>
  <c r="Y905" i="6"/>
  <c r="AJ939" i="6"/>
  <c r="AG963" i="6"/>
  <c r="AJ705" i="6"/>
  <c r="AI664" i="6"/>
  <c r="AI672" i="6"/>
  <c r="AD754" i="6"/>
  <c r="AB905" i="6"/>
  <c r="AI828" i="6"/>
  <c r="AJ940" i="6"/>
  <c r="AJ994" i="6"/>
  <c r="AD963" i="6"/>
  <c r="Z602" i="6"/>
  <c r="AE607" i="6"/>
  <c r="AD705" i="6"/>
  <c r="AG664" i="6"/>
  <c r="AF822" i="6"/>
  <c r="AA871" i="6"/>
  <c r="AF810" i="6"/>
  <c r="AH905" i="6"/>
  <c r="AJ925" i="6"/>
  <c r="AC828" i="6"/>
  <c r="AG940" i="6"/>
  <c r="AA963" i="6"/>
  <c r="Y769" i="6"/>
  <c r="AB597" i="6"/>
  <c r="AB607" i="6"/>
  <c r="Y793" i="6"/>
  <c r="AD727" i="6"/>
  <c r="AI823" i="6"/>
  <c r="AI854" i="6"/>
  <c r="AJ871" i="6"/>
  <c r="AJ960" i="6"/>
  <c r="AD940" i="6"/>
  <c r="AJ586" i="6"/>
  <c r="AC779" i="6"/>
  <c r="AE922" i="6"/>
  <c r="AD743" i="6"/>
  <c r="Z659" i="6"/>
  <c r="AB878" i="6"/>
  <c r="AF854" i="6"/>
  <c r="Z956" i="6"/>
  <c r="AB708" i="6"/>
  <c r="AH715" i="6"/>
  <c r="Z854" i="6"/>
  <c r="AH950" i="6"/>
  <c r="AG586" i="6"/>
  <c r="AH600" i="6"/>
  <c r="AB633" i="6"/>
  <c r="AF791" i="6"/>
  <c r="Y593" i="6"/>
  <c r="AD612" i="6"/>
  <c r="Y841" i="6"/>
  <c r="AF991" i="6"/>
  <c r="AC718" i="6"/>
  <c r="Z792" i="6"/>
  <c r="AD991" i="6"/>
  <c r="AH575" i="6"/>
  <c r="AH590" i="6"/>
  <c r="AE623" i="6"/>
  <c r="Z640" i="6"/>
  <c r="Z833" i="6"/>
  <c r="Y575" i="6"/>
  <c r="AE640" i="6"/>
  <c r="Z631" i="6"/>
  <c r="AD713" i="6"/>
  <c r="AH767" i="6"/>
  <c r="AE732" i="6"/>
  <c r="AC792" i="6"/>
  <c r="AA879" i="6"/>
  <c r="AH865" i="6"/>
  <c r="AI935" i="6"/>
  <c r="AG952" i="6"/>
  <c r="AC985" i="6"/>
  <c r="Y962" i="6"/>
  <c r="AG997" i="6"/>
  <c r="AE633" i="6"/>
  <c r="AF612" i="6"/>
  <c r="AB642" i="6"/>
  <c r="AD666" i="6"/>
  <c r="AB750" i="6"/>
  <c r="AH782" i="6"/>
  <c r="AI803" i="6"/>
  <c r="AH878" i="6"/>
  <c r="AB921" i="6"/>
  <c r="AI991" i="6"/>
  <c r="AC905" i="6"/>
  <c r="AF774" i="6"/>
  <c r="AB782" i="6"/>
  <c r="AB937" i="6"/>
  <c r="Y921" i="6"/>
  <c r="AA882" i="6"/>
  <c r="AD857" i="6"/>
  <c r="AH921" i="6"/>
  <c r="AH955" i="6"/>
  <c r="Z855" i="6"/>
  <c r="AE782" i="6"/>
  <c r="AG613" i="6"/>
  <c r="AI679" i="6"/>
  <c r="AJ659" i="6"/>
  <c r="AI688" i="6"/>
  <c r="AH858" i="6"/>
  <c r="AG835" i="6"/>
  <c r="AF964" i="6"/>
  <c r="AA659" i="6"/>
  <c r="Y727" i="6"/>
  <c r="AG667" i="6"/>
  <c r="AF679" i="6"/>
  <c r="AJ650" i="6"/>
  <c r="AJ753" i="6"/>
  <c r="AB759" i="6"/>
  <c r="AE858" i="6"/>
  <c r="AA835" i="6"/>
  <c r="Y931" i="6"/>
  <c r="AI920" i="6"/>
  <c r="AJ952" i="6"/>
  <c r="AE653" i="6"/>
  <c r="AE814" i="6"/>
  <c r="AA857" i="6"/>
  <c r="Z610" i="6"/>
  <c r="AD687" i="6"/>
  <c r="AB735" i="6"/>
  <c r="AI801" i="6"/>
  <c r="AB884" i="6"/>
  <c r="AD753" i="6"/>
  <c r="AG730" i="6"/>
  <c r="AJ613" i="6"/>
  <c r="AA720" i="6"/>
  <c r="Y683" i="6"/>
  <c r="AA753" i="6"/>
  <c r="Y756" i="6"/>
  <c r="AH735" i="6"/>
  <c r="Z803" i="6"/>
  <c r="AH814" i="6"/>
  <c r="AC847" i="6"/>
  <c r="Y955" i="6"/>
  <c r="AG925" i="6"/>
  <c r="AH884" i="6"/>
  <c r="Y981" i="6"/>
  <c r="AH769" i="6"/>
  <c r="Z612" i="6"/>
  <c r="Z655" i="6"/>
  <c r="AD613" i="6"/>
  <c r="AD667" i="6"/>
  <c r="AA640" i="6"/>
  <c r="Z700" i="6"/>
  <c r="AG662" i="6"/>
  <c r="AE735" i="6"/>
  <c r="AE816" i="6"/>
  <c r="AF803" i="6"/>
  <c r="AB814" i="6"/>
  <c r="AH842" i="6"/>
  <c r="Z845" i="6"/>
  <c r="Z847" i="6"/>
  <c r="AD925" i="6"/>
  <c r="AJ982" i="6"/>
  <c r="AI612" i="6"/>
  <c r="AD650" i="6"/>
  <c r="AJ672" i="6"/>
  <c r="Z623" i="6"/>
  <c r="AA573" i="6"/>
  <c r="AJ573" i="6"/>
  <c r="AJ642" i="6"/>
  <c r="AI704" i="6"/>
  <c r="AE775" i="6"/>
  <c r="AB751" i="6"/>
  <c r="AB842" i="6"/>
  <c r="AF847" i="6"/>
  <c r="AA952" i="6"/>
  <c r="AG982" i="6"/>
  <c r="AI640" i="6"/>
  <c r="AF792" i="6"/>
  <c r="AE955" i="6"/>
  <c r="AC964" i="6"/>
  <c r="AF610" i="6"/>
  <c r="AG727" i="6"/>
  <c r="Z935" i="6"/>
  <c r="Z922" i="6"/>
  <c r="Y607" i="6"/>
  <c r="AJ647" i="6"/>
  <c r="Z797" i="6"/>
  <c r="AI855" i="6"/>
  <c r="AE845" i="6"/>
  <c r="AI905" i="6"/>
  <c r="AB780" i="6"/>
  <c r="AF797" i="6"/>
  <c r="AG792" i="6"/>
  <c r="AC855" i="6"/>
  <c r="AB845" i="6"/>
  <c r="AG849" i="6"/>
  <c r="AF905" i="6"/>
  <c r="AI797" i="6"/>
  <c r="AG640" i="6"/>
  <c r="AB757" i="6"/>
  <c r="AA792" i="6"/>
  <c r="AH845" i="6"/>
  <c r="AJ849" i="6"/>
  <c r="Z561" i="6"/>
  <c r="AG707" i="6"/>
  <c r="AB856" i="6"/>
  <c r="AG911" i="6"/>
  <c r="AB623" i="6"/>
  <c r="AF561" i="6"/>
  <c r="AJ589" i="6"/>
  <c r="AB653" i="6"/>
  <c r="AA702" i="6"/>
  <c r="AG712" i="6"/>
  <c r="AJ693" i="6"/>
  <c r="AA758" i="6"/>
  <c r="AF788" i="6"/>
  <c r="Z841" i="6"/>
  <c r="AA880" i="6"/>
  <c r="AF992" i="6"/>
  <c r="AF841" i="6"/>
  <c r="AH653" i="6"/>
  <c r="AG758" i="6"/>
  <c r="AG772" i="6"/>
  <c r="Z788" i="6"/>
  <c r="AI888" i="6"/>
  <c r="AC808" i="6"/>
  <c r="AB918" i="6"/>
  <c r="AD880" i="6"/>
  <c r="AC992" i="6"/>
  <c r="AC639" i="6"/>
  <c r="AD640" i="6"/>
  <c r="AD707" i="6"/>
  <c r="AI639" i="6"/>
  <c r="AD765" i="6"/>
  <c r="AA772" i="6"/>
  <c r="AC788" i="6"/>
  <c r="AG880" i="6"/>
  <c r="Z992" i="6"/>
  <c r="Z639" i="6"/>
  <c r="AI789" i="6"/>
  <c r="Z611" i="6"/>
  <c r="AA649" i="6"/>
  <c r="Z630" i="6"/>
  <c r="AJ765" i="6"/>
  <c r="AE774" i="6"/>
  <c r="AA765" i="6"/>
  <c r="AJ772" i="6"/>
  <c r="AJ792" i="6"/>
  <c r="AH849" i="6"/>
  <c r="AD712" i="6"/>
  <c r="Y595" i="6"/>
  <c r="AF596" i="6"/>
  <c r="AE627" i="6"/>
  <c r="AJ649" i="6"/>
  <c r="AF630" i="6"/>
  <c r="AE671" i="6"/>
  <c r="AJ663" i="6"/>
  <c r="Y890" i="6"/>
  <c r="AB969" i="6"/>
  <c r="AF984" i="6"/>
  <c r="AJ758" i="6"/>
  <c r="Z600" i="6"/>
  <c r="AB627" i="6"/>
  <c r="AB671" i="6"/>
  <c r="AE716" i="6"/>
  <c r="AJ774" i="6"/>
  <c r="AE779" i="6"/>
  <c r="AG805" i="6"/>
  <c r="Y987" i="6"/>
  <c r="Z984" i="6"/>
  <c r="AG702" i="6"/>
  <c r="AH627" i="6"/>
  <c r="AG650" i="6"/>
  <c r="AB716" i="6"/>
  <c r="Z749" i="6"/>
  <c r="AG774" i="6"/>
  <c r="AA798" i="6"/>
  <c r="AI806" i="6"/>
  <c r="AJ805" i="6"/>
  <c r="AF985" i="6"/>
  <c r="AI561" i="6"/>
  <c r="AJ702" i="6"/>
  <c r="Y716" i="6"/>
  <c r="AT601" i="1"/>
  <c r="AA616" i="6"/>
  <c r="AD798" i="6"/>
  <c r="AD805" i="6"/>
  <c r="AC888" i="6"/>
  <c r="AH623" i="6"/>
  <c r="AG798" i="6"/>
  <c r="AI971" i="6"/>
  <c r="AI603" i="6"/>
  <c r="Z603" i="6"/>
  <c r="AB986" i="6"/>
  <c r="AC760" i="6"/>
  <c r="AG987" i="6"/>
  <c r="AA966" i="6"/>
  <c r="AA663" i="6"/>
  <c r="AG901" i="6"/>
  <c r="AE769" i="6"/>
  <c r="AB629" i="6"/>
  <c r="AD668" i="6"/>
  <c r="AA686" i="6"/>
  <c r="AH753" i="6"/>
  <c r="AB779" i="6"/>
  <c r="AC906" i="6"/>
  <c r="AF962" i="6"/>
  <c r="AI978" i="6"/>
  <c r="AA870" i="6"/>
  <c r="Y950" i="6"/>
  <c r="AD985" i="6"/>
  <c r="AG563" i="6"/>
  <c r="Y590" i="6"/>
  <c r="Z681" i="6"/>
  <c r="AD686" i="6"/>
  <c r="Y753" i="6"/>
  <c r="AH757" i="6"/>
  <c r="AD823" i="6"/>
  <c r="Y779" i="6"/>
  <c r="AH771" i="6"/>
  <c r="AF922" i="6"/>
  <c r="AI615" i="6"/>
  <c r="AE590" i="6"/>
  <c r="AE614" i="6"/>
  <c r="AH565" i="6"/>
  <c r="AJ690" i="6"/>
  <c r="AG767" i="6"/>
  <c r="AI846" i="6"/>
  <c r="Z799" i="6"/>
  <c r="AC836" i="6"/>
  <c r="AF862" i="6"/>
  <c r="AE846" i="6"/>
  <c r="AJ857" i="6"/>
  <c r="AA874" i="6"/>
  <c r="Y965" i="6"/>
  <c r="AJ968" i="6"/>
  <c r="AB579" i="6"/>
  <c r="AC799" i="6"/>
  <c r="AF615" i="6"/>
  <c r="Y641" i="6"/>
  <c r="Z773" i="6"/>
  <c r="AI799" i="6"/>
  <c r="AJ788" i="6"/>
  <c r="AD874" i="6"/>
  <c r="AC995" i="6"/>
  <c r="Y606" i="6"/>
  <c r="AI682" i="6"/>
  <c r="AB641" i="6"/>
  <c r="AA815" i="6"/>
  <c r="Z995" i="6"/>
  <c r="AJ848" i="6"/>
  <c r="AH817" i="6"/>
  <c r="AG927" i="6"/>
  <c r="AB587" i="6"/>
  <c r="Z682" i="6"/>
  <c r="AG711" i="6"/>
  <c r="AH775" i="6"/>
  <c r="AB817" i="6"/>
  <c r="AA788" i="6"/>
  <c r="AJ850" i="6"/>
  <c r="Z870" i="6"/>
  <c r="AD815" i="6"/>
  <c r="Z978" i="6"/>
  <c r="AI995" i="6"/>
  <c r="AB981" i="6"/>
  <c r="AE984" i="6"/>
  <c r="AH587" i="6"/>
  <c r="AJ800" i="6"/>
  <c r="AB603" i="6"/>
  <c r="AD711" i="6"/>
  <c r="Y603" i="6"/>
  <c r="AH698" i="6"/>
  <c r="AA711" i="6"/>
  <c r="AB743" i="6"/>
  <c r="AG800" i="6"/>
  <c r="AJ947" i="6"/>
  <c r="Y894" i="6"/>
  <c r="AH603" i="6"/>
  <c r="Z716" i="6"/>
  <c r="AF761" i="6"/>
  <c r="AI694" i="6"/>
  <c r="AH743" i="6"/>
  <c r="AE817" i="6"/>
  <c r="AA800" i="6"/>
  <c r="AC950" i="6"/>
  <c r="AH894" i="6"/>
  <c r="AI716" i="6"/>
  <c r="AG778" i="6"/>
  <c r="AE743" i="6"/>
  <c r="AB894" i="6"/>
  <c r="Z950" i="6"/>
  <c r="AB950" i="6"/>
  <c r="AF906" i="6"/>
  <c r="AH629" i="6"/>
  <c r="AC896" i="6"/>
  <c r="AA985" i="6"/>
  <c r="AF980" i="6"/>
  <c r="AC716" i="6"/>
  <c r="AH606" i="6"/>
  <c r="Y629" i="6"/>
  <c r="AI773" i="6"/>
  <c r="Z896" i="6"/>
  <c r="AA854" i="6"/>
  <c r="AB985" i="6"/>
  <c r="AJ985" i="6"/>
  <c r="Z980" i="6"/>
  <c r="AE606" i="6"/>
  <c r="AA668" i="6"/>
  <c r="AE675" i="6"/>
  <c r="AC773" i="6"/>
  <c r="AF896" i="6"/>
  <c r="Y961" i="6"/>
  <c r="AF950" i="6"/>
  <c r="CU559" i="1"/>
  <c r="CX559" i="1" s="1"/>
  <c r="CV559" i="1"/>
  <c r="EM555" i="1"/>
  <c r="EL555" i="1"/>
  <c r="EL556" i="1"/>
  <c r="EM556" i="1"/>
  <c r="EL554" i="1"/>
  <c r="EM554" i="1"/>
  <c r="EM558" i="1"/>
  <c r="EL558" i="1"/>
  <c r="EM557" i="1"/>
  <c r="EL557" i="1"/>
  <c r="DW559" i="1"/>
  <c r="DX559" i="1"/>
  <c r="DW557" i="1"/>
  <c r="DY557" i="1" s="1"/>
  <c r="DX557" i="1"/>
  <c r="DZ557" i="1" s="1"/>
  <c r="ED557" i="1" s="1"/>
  <c r="DW555" i="1"/>
  <c r="DX555" i="1"/>
  <c r="DW558" i="1"/>
  <c r="DX558" i="1"/>
  <c r="DW556" i="1"/>
  <c r="DY556" i="1" s="1"/>
  <c r="DX556" i="1"/>
  <c r="DZ556" i="1" s="1"/>
  <c r="AB605" i="6"/>
  <c r="AJ618" i="6"/>
  <c r="AC691" i="6"/>
  <c r="AB789" i="6"/>
  <c r="Y750" i="6"/>
  <c r="AE757" i="6"/>
  <c r="Z734" i="6"/>
  <c r="Y789" i="6"/>
  <c r="AJ831" i="6"/>
  <c r="AC842" i="6"/>
  <c r="AE798" i="6"/>
  <c r="AF849" i="6"/>
  <c r="AE935" i="6"/>
  <c r="Z877" i="6"/>
  <c r="AJ882" i="6"/>
  <c r="AA994" i="6"/>
  <c r="AC980" i="6"/>
  <c r="Y935" i="6"/>
  <c r="AB568" i="6"/>
  <c r="AD618" i="6"/>
  <c r="AF691" i="6"/>
  <c r="AJ716" i="6"/>
  <c r="AE947" i="6"/>
  <c r="AB947" i="6"/>
  <c r="AH974" i="6"/>
  <c r="AD994" i="6"/>
  <c r="AF817" i="6"/>
  <c r="AJ607" i="6"/>
  <c r="AC938" i="6"/>
  <c r="Z691" i="6"/>
  <c r="AI627" i="6"/>
  <c r="AC705" i="6"/>
  <c r="AJ756" i="6"/>
  <c r="AC971" i="6"/>
  <c r="AE650" i="6"/>
  <c r="AD756" i="6"/>
  <c r="AF842" i="6"/>
  <c r="Z971" i="6"/>
  <c r="AI628" i="6"/>
  <c r="Y650" i="6"/>
  <c r="AG756" i="6"/>
  <c r="AJ786" i="6"/>
  <c r="AG826" i="6"/>
  <c r="Z973" i="6"/>
  <c r="AH650" i="6"/>
  <c r="AD786" i="6"/>
  <c r="AJ826" i="6"/>
  <c r="AA656" i="6"/>
  <c r="AG716" i="6"/>
  <c r="AA786" i="6"/>
  <c r="AD826" i="6"/>
  <c r="AC628" i="6"/>
  <c r="AD716" i="6"/>
  <c r="AA610" i="6"/>
  <c r="AC769" i="6"/>
  <c r="AI833" i="6"/>
  <c r="AH867" i="6"/>
  <c r="Y916" i="6"/>
  <c r="Y922" i="6"/>
  <c r="AI967" i="6"/>
  <c r="AJ610" i="6"/>
  <c r="AC666" i="6"/>
  <c r="AA692" i="6"/>
  <c r="AA727" i="6"/>
  <c r="AE918" i="6"/>
  <c r="Y934" i="6"/>
  <c r="AH983" i="6"/>
  <c r="Z628" i="6"/>
  <c r="AD610" i="6"/>
  <c r="AI666" i="6"/>
  <c r="AG656" i="6"/>
  <c r="Y605" i="6"/>
  <c r="AD656" i="6"/>
  <c r="AJ789" i="6"/>
  <c r="AG884" i="6"/>
  <c r="AF611" i="6"/>
  <c r="AT598" i="1"/>
  <c r="AF623" i="6"/>
  <c r="AA707" i="6"/>
  <c r="AH727" i="6"/>
  <c r="AC872" i="6"/>
  <c r="AE884" i="6"/>
  <c r="AF983" i="6"/>
  <c r="AI988" i="6"/>
  <c r="Z932" i="6"/>
  <c r="AC986" i="6"/>
  <c r="AC732" i="6"/>
  <c r="AG866" i="6"/>
  <c r="AH728" i="6"/>
  <c r="Z963" i="6"/>
  <c r="AI630" i="6"/>
  <c r="AG692" i="6"/>
  <c r="AD821" i="6"/>
  <c r="AF760" i="6"/>
  <c r="AD975" i="6"/>
  <c r="AE877" i="6"/>
  <c r="AJ692" i="6"/>
  <c r="AG663" i="6"/>
  <c r="Z760" i="6"/>
  <c r="AC852" i="6"/>
  <c r="AG900" i="6"/>
  <c r="AA975" i="6"/>
  <c r="AT593" i="1"/>
  <c r="AF660" i="6"/>
  <c r="AI660" i="6"/>
  <c r="AC660" i="6"/>
  <c r="AB979" i="6"/>
  <c r="Z895" i="6"/>
  <c r="AF655" i="6"/>
  <c r="AF749" i="6"/>
  <c r="Y979" i="6"/>
  <c r="AF895" i="6"/>
  <c r="AT590" i="1"/>
  <c r="AI749" i="6"/>
  <c r="AI611" i="6"/>
  <c r="AC682" i="6"/>
  <c r="AE660" i="6"/>
  <c r="AC895" i="6"/>
  <c r="AC599" i="6"/>
  <c r="AI599" i="6"/>
  <c r="AF599" i="6"/>
  <c r="AE599" i="6"/>
  <c r="AB599" i="6"/>
  <c r="AH599" i="6"/>
  <c r="AJ602" i="6"/>
  <c r="AE601" i="6"/>
  <c r="AB600" i="6"/>
  <c r="AF602" i="6"/>
  <c r="AE598" i="6"/>
  <c r="AC597" i="6"/>
  <c r="AH597" i="6"/>
  <c r="AE597" i="6"/>
  <c r="AC596" i="6"/>
  <c r="Z596" i="6"/>
  <c r="AH595" i="6"/>
  <c r="AJ594" i="6"/>
  <c r="AD594" i="6"/>
  <c r="AD593" i="6"/>
  <c r="AG593" i="6"/>
  <c r="AB592" i="6"/>
  <c r="AE592" i="6"/>
  <c r="AI591" i="6"/>
  <c r="F119" i="33"/>
  <c r="AA946" i="6"/>
  <c r="Y977" i="6"/>
  <c r="AJ696" i="6"/>
  <c r="L116" i="33"/>
  <c r="AI732" i="6"/>
  <c r="AA911" i="6"/>
  <c r="AJ905" i="6"/>
  <c r="AC753" i="6"/>
  <c r="AE885" i="6"/>
  <c r="J114" i="33"/>
  <c r="AF667" i="6"/>
  <c r="AA586" i="6"/>
  <c r="AH586" i="6"/>
  <c r="AE586" i="6"/>
  <c r="AA588" i="6"/>
  <c r="AF588" i="6"/>
  <c r="Z588" i="6"/>
  <c r="Y587" i="6"/>
  <c r="AC588" i="6"/>
  <c r="AB588" i="6"/>
  <c r="Y588" i="6"/>
  <c r="AD588" i="6"/>
  <c r="AE588" i="6"/>
  <c r="AJ687" i="6"/>
  <c r="AD900" i="6"/>
  <c r="Y918" i="6"/>
  <c r="AH986" i="6"/>
  <c r="AH966" i="6"/>
  <c r="AA997" i="6"/>
  <c r="AG988" i="6"/>
  <c r="Y640" i="6"/>
  <c r="AE728" i="6"/>
  <c r="AF978" i="6"/>
  <c r="AH808" i="6"/>
  <c r="AE986" i="6"/>
  <c r="AJ975" i="6"/>
  <c r="AJ997" i="6"/>
  <c r="Y630" i="6"/>
  <c r="AH922" i="6"/>
  <c r="AE969" i="6"/>
  <c r="AG979" i="6"/>
  <c r="AC897" i="6"/>
  <c r="AF688" i="6"/>
  <c r="Y819" i="6"/>
  <c r="AI974" i="6"/>
  <c r="AC987" i="6"/>
  <c r="AG991" i="6"/>
  <c r="AA989" i="6"/>
  <c r="Y964" i="6"/>
  <c r="AE630" i="6"/>
  <c r="Y881" i="6"/>
  <c r="AH881" i="6"/>
  <c r="Z985" i="6"/>
  <c r="AA991" i="6"/>
  <c r="Z761" i="6"/>
  <c r="AD591" i="6"/>
  <c r="AG587" i="6"/>
  <c r="AI623" i="6"/>
  <c r="AD649" i="6"/>
  <c r="AE683" i="6"/>
  <c r="AA687" i="6"/>
  <c r="AA726" i="6"/>
  <c r="AI769" i="6"/>
  <c r="AH777" i="6"/>
  <c r="AB932" i="6"/>
  <c r="AJ890" i="6"/>
  <c r="AC924" i="6"/>
  <c r="AH969" i="6"/>
  <c r="AE928" i="6"/>
  <c r="AC885" i="6"/>
  <c r="AC754" i="6"/>
  <c r="AC967" i="6"/>
  <c r="AG591" i="6"/>
  <c r="AF621" i="6"/>
  <c r="AA625" i="6"/>
  <c r="AB620" i="6"/>
  <c r="AH667" i="6"/>
  <c r="AC688" i="6"/>
  <c r="AB683" i="6"/>
  <c r="AA768" i="6"/>
  <c r="AD779" i="6"/>
  <c r="AD734" i="6"/>
  <c r="AI761" i="6"/>
  <c r="AB786" i="6"/>
  <c r="AG838" i="6"/>
  <c r="Z862" i="6"/>
  <c r="AD910" i="6"/>
  <c r="AJ979" i="6"/>
  <c r="AA996" i="6"/>
  <c r="AF946" i="6"/>
  <c r="AD988" i="6"/>
  <c r="AC669" i="6"/>
  <c r="AE780" i="6"/>
  <c r="AE784" i="6"/>
  <c r="Y994" i="6"/>
  <c r="AF966" i="6"/>
  <c r="Z669" i="6"/>
  <c r="AE786" i="6"/>
  <c r="Z930" i="6"/>
  <c r="Y889" i="6"/>
  <c r="AH994" i="6"/>
  <c r="AC966" i="6"/>
  <c r="AJ592" i="6"/>
  <c r="Y786" i="6"/>
  <c r="AD838" i="6"/>
  <c r="AD625" i="6"/>
  <c r="AE699" i="6"/>
  <c r="AG779" i="6"/>
  <c r="AH813" i="6"/>
  <c r="AJ838" i="6"/>
  <c r="AD592" i="6"/>
  <c r="AD600" i="6"/>
  <c r="AF613" i="6"/>
  <c r="AG621" i="6"/>
  <c r="AB699" i="6"/>
  <c r="AH932" i="6"/>
  <c r="AI930" i="6"/>
  <c r="AH889" i="6"/>
  <c r="AF996" i="6"/>
  <c r="AE994" i="6"/>
  <c r="Z966" i="6"/>
  <c r="AC843" i="6"/>
  <c r="AI994" i="6"/>
  <c r="Z621" i="6"/>
  <c r="AG625" i="6"/>
  <c r="AG592" i="6"/>
  <c r="AC613" i="6"/>
  <c r="AD621" i="6"/>
  <c r="Y658" i="6"/>
  <c r="AI645" i="6"/>
  <c r="AF930" i="6"/>
  <c r="AC996" i="6"/>
  <c r="AJ974" i="6"/>
  <c r="AH658" i="6"/>
  <c r="AG907" i="6"/>
  <c r="AG914" i="6"/>
  <c r="AI868" i="6"/>
  <c r="Z996" i="6"/>
  <c r="AB710" i="6"/>
  <c r="AE777" i="6"/>
  <c r="AJ914" i="6"/>
  <c r="AC868" i="6"/>
  <c r="AJ964" i="6"/>
  <c r="AJ591" i="6"/>
  <c r="AB658" i="6"/>
  <c r="Z613" i="6"/>
  <c r="AA621" i="6"/>
  <c r="AE617" i="6"/>
  <c r="Y699" i="6"/>
  <c r="Y710" i="6"/>
  <c r="AI705" i="6"/>
  <c r="AG744" i="6"/>
  <c r="AI659" i="6"/>
  <c r="AH795" i="6"/>
  <c r="AI784" i="6"/>
  <c r="AF783" i="6"/>
  <c r="AG808" i="6"/>
  <c r="Y888" i="6"/>
  <c r="Z868" i="6"/>
  <c r="AF967" i="6"/>
  <c r="AA922" i="6"/>
  <c r="Y999" i="6"/>
  <c r="AB957" i="6"/>
  <c r="AA604" i="6"/>
  <c r="Z645" i="6"/>
  <c r="AG561" i="6"/>
  <c r="AH578" i="6"/>
  <c r="AB595" i="6"/>
  <c r="Y617" i="6"/>
  <c r="AH714" i="6"/>
  <c r="AJ674" i="6"/>
  <c r="AA744" i="6"/>
  <c r="AC659" i="6"/>
  <c r="AA843" i="6"/>
  <c r="AC783" i="6"/>
  <c r="Y826" i="6"/>
  <c r="AJ808" i="6"/>
  <c r="AJ922" i="6"/>
  <c r="Y957" i="6"/>
  <c r="AF954" i="6"/>
  <c r="Z679" i="6"/>
  <c r="Z738" i="6"/>
  <c r="AB961" i="6"/>
  <c r="AB959" i="6"/>
  <c r="AA779" i="6"/>
  <c r="AB777" i="6"/>
  <c r="AB617" i="6"/>
  <c r="AH710" i="6"/>
  <c r="AB714" i="6"/>
  <c r="AA674" i="6"/>
  <c r="AJ787" i="6"/>
  <c r="AJ843" i="6"/>
  <c r="AI783" i="6"/>
  <c r="AH826" i="6"/>
  <c r="AA808" i="6"/>
  <c r="AD759" i="6"/>
  <c r="AE762" i="6"/>
  <c r="AJ907" i="6"/>
  <c r="AJ891" i="6"/>
  <c r="Y855" i="6"/>
  <c r="AC839" i="6"/>
  <c r="AB926" i="6"/>
  <c r="AJ977" i="6"/>
  <c r="AC934" i="6"/>
  <c r="AC738" i="6"/>
  <c r="AE620" i="6"/>
  <c r="AH620" i="6"/>
  <c r="AF769" i="6"/>
  <c r="Y671" i="6"/>
  <c r="AF705" i="6"/>
  <c r="AE578" i="6"/>
  <c r="Z583" i="6"/>
  <c r="Y585" i="6"/>
  <c r="AD587" i="6"/>
  <c r="AG638" i="6"/>
  <c r="AE714" i="6"/>
  <c r="AD674" i="6"/>
  <c r="AJ744" i="6"/>
  <c r="AD843" i="6"/>
  <c r="AA759" i="6"/>
  <c r="AD907" i="6"/>
  <c r="AD891" i="6"/>
  <c r="AE855" i="6"/>
  <c r="AI839" i="6"/>
  <c r="AD964" i="6"/>
  <c r="AJ950" i="6"/>
  <c r="AH958" i="6"/>
  <c r="Z938" i="6"/>
  <c r="AH755" i="6"/>
  <c r="AJ604" i="6"/>
  <c r="AC645" i="6"/>
  <c r="AE585" i="6"/>
  <c r="AA587" i="6"/>
  <c r="AJ638" i="6"/>
  <c r="AG759" i="6"/>
  <c r="AB855" i="6"/>
  <c r="AG890" i="6"/>
  <c r="AC725" i="6"/>
  <c r="AD950" i="6"/>
  <c r="AI669" i="6"/>
  <c r="AB585" i="6"/>
  <c r="AJ726" i="6"/>
  <c r="AE932" i="6"/>
  <c r="AD890" i="6"/>
  <c r="AJ580" i="6"/>
  <c r="AF580" i="6"/>
  <c r="Y580" i="6"/>
  <c r="AH580" i="6"/>
  <c r="AB580" i="6"/>
  <c r="AJ585" i="6"/>
  <c r="AD585" i="6"/>
  <c r="AD581" i="6"/>
  <c r="AA581" i="6"/>
  <c r="AG585" i="6"/>
  <c r="AD584" i="6"/>
  <c r="AE583" i="6"/>
  <c r="AA579" i="6"/>
  <c r="AJ579" i="6"/>
  <c r="AH579" i="6"/>
  <c r="Y578" i="6"/>
  <c r="AI604" i="6"/>
  <c r="Y570" i="6"/>
  <c r="AC583" i="6"/>
  <c r="AG635" i="6"/>
  <c r="AB695" i="6"/>
  <c r="AE741" i="6"/>
  <c r="AB661" i="6"/>
  <c r="AA747" i="6"/>
  <c r="AA662" i="6"/>
  <c r="AC848" i="6"/>
  <c r="AJ823" i="6"/>
  <c r="AF718" i="6"/>
  <c r="AB813" i="6"/>
  <c r="AE810" i="6"/>
  <c r="AA847" i="6"/>
  <c r="Y866" i="6"/>
  <c r="Z900" i="6"/>
  <c r="AI965" i="6"/>
  <c r="AA930" i="6"/>
  <c r="AJ910" i="6"/>
  <c r="AG905" i="6"/>
  <c r="AJ906" i="6"/>
  <c r="AH976" i="6"/>
  <c r="Y997" i="6"/>
  <c r="AH810" i="6"/>
  <c r="AD580" i="6"/>
  <c r="AF631" i="6"/>
  <c r="AI689" i="6"/>
  <c r="AC693" i="6"/>
  <c r="AG693" i="6"/>
  <c r="AF728" i="6"/>
  <c r="AF772" i="6"/>
  <c r="AC811" i="6"/>
  <c r="AC909" i="6"/>
  <c r="AE890" i="6"/>
  <c r="AF901" i="6"/>
  <c r="AA849" i="6"/>
  <c r="AB983" i="6"/>
  <c r="Y928" i="6"/>
  <c r="AB866" i="6"/>
  <c r="Z826" i="6"/>
  <c r="AJ562" i="6"/>
  <c r="AE604" i="6"/>
  <c r="AG584" i="6"/>
  <c r="AA580" i="6"/>
  <c r="AI634" i="6"/>
  <c r="AF689" i="6"/>
  <c r="Z693" i="6"/>
  <c r="AI696" i="6"/>
  <c r="AA693" i="6"/>
  <c r="AF786" i="6"/>
  <c r="AC728" i="6"/>
  <c r="AC772" i="6"/>
  <c r="AC791" i="6"/>
  <c r="AD736" i="6"/>
  <c r="Z856" i="6"/>
  <c r="AG847" i="6"/>
  <c r="Z901" i="6"/>
  <c r="AH866" i="6"/>
  <c r="AD938" i="6"/>
  <c r="AJ938" i="6"/>
  <c r="AD951" i="6"/>
  <c r="AE980" i="6"/>
  <c r="AB928" i="6"/>
  <c r="AB610" i="6"/>
  <c r="AJ847" i="6"/>
  <c r="AA615" i="6"/>
  <c r="AH939" i="6"/>
  <c r="Y610" i="6"/>
  <c r="Y604" i="6"/>
  <c r="AC595" i="6"/>
  <c r="AJ615" i="6"/>
  <c r="AJ739" i="6"/>
  <c r="AE811" i="6"/>
  <c r="AH803" i="6"/>
  <c r="AJ863" i="6"/>
  <c r="AF856" i="6"/>
  <c r="AJ802" i="6"/>
  <c r="AF885" i="6"/>
  <c r="Y825" i="6"/>
  <c r="AA923" i="6"/>
  <c r="Z948" i="6"/>
  <c r="AE933" i="6"/>
  <c r="AE939" i="6"/>
  <c r="AA938" i="6"/>
  <c r="AJ996" i="6"/>
  <c r="AH968" i="6"/>
  <c r="AD929" i="6"/>
  <c r="Y980" i="6"/>
  <c r="AA980" i="6"/>
  <c r="AI979" i="6"/>
  <c r="AD769" i="6"/>
  <c r="AC683" i="6"/>
  <c r="AC767" i="6"/>
  <c r="AH624" i="6"/>
  <c r="Z683" i="6"/>
  <c r="AD700" i="6"/>
  <c r="AH610" i="6"/>
  <c r="AD611" i="6"/>
  <c r="Z595" i="6"/>
  <c r="AB569" i="6"/>
  <c r="AG615" i="6"/>
  <c r="AF683" i="6"/>
  <c r="AE659" i="6"/>
  <c r="AH691" i="6"/>
  <c r="AF736" i="6"/>
  <c r="AE673" i="6"/>
  <c r="AJ700" i="6"/>
  <c r="AG726" i="6"/>
  <c r="AI753" i="6"/>
  <c r="AA739" i="6"/>
  <c r="AA730" i="6"/>
  <c r="AB755" i="6"/>
  <c r="AH833" i="6"/>
  <c r="AJ858" i="6"/>
  <c r="AA802" i="6"/>
  <c r="AH825" i="6"/>
  <c r="AB930" i="6"/>
  <c r="AG923" i="6"/>
  <c r="Y933" i="6"/>
  <c r="AB939" i="6"/>
  <c r="Y929" i="6"/>
  <c r="AH982" i="6"/>
  <c r="Y968" i="6"/>
  <c r="AJ929" i="6"/>
  <c r="AJ980" i="6"/>
  <c r="AJ958" i="6"/>
  <c r="AH996" i="6"/>
  <c r="AH938" i="6"/>
  <c r="AF696" i="6"/>
  <c r="AG949" i="6"/>
  <c r="AD980" i="6"/>
  <c r="AC979" i="6"/>
  <c r="AA611" i="6"/>
  <c r="AE691" i="6"/>
  <c r="AC736" i="6"/>
  <c r="AH673" i="6"/>
  <c r="AG700" i="6"/>
  <c r="AF720" i="6"/>
  <c r="AF767" i="6"/>
  <c r="AF694" i="6"/>
  <c r="AA750" i="6"/>
  <c r="AA722" i="6"/>
  <c r="AD730" i="6"/>
  <c r="AJ773" i="6"/>
  <c r="AD803" i="6"/>
  <c r="AD809" i="6"/>
  <c r="AE755" i="6"/>
  <c r="AB833" i="6"/>
  <c r="AE833" i="6"/>
  <c r="AG802" i="6"/>
  <c r="AB825" i="6"/>
  <c r="AD923" i="6"/>
  <c r="AC903" i="6"/>
  <c r="AB946" i="6"/>
  <c r="AH929" i="6"/>
  <c r="AI976" i="6"/>
  <c r="Y982" i="6"/>
  <c r="AE968" i="6"/>
  <c r="AA929" i="6"/>
  <c r="AD958" i="6"/>
  <c r="AB938" i="6"/>
  <c r="AG562" i="6"/>
  <c r="AI693" i="6"/>
  <c r="AI772" i="6"/>
  <c r="AJ919" i="6"/>
  <c r="AF595" i="6"/>
  <c r="AG589" i="6"/>
  <c r="AC571" i="6"/>
  <c r="AD596" i="6"/>
  <c r="AJ561" i="6"/>
  <c r="AD589" i="6"/>
  <c r="Z571" i="6"/>
  <c r="AA596" i="6"/>
  <c r="Y663" i="6"/>
  <c r="AB691" i="6"/>
  <c r="AI736" i="6"/>
  <c r="Z703" i="6"/>
  <c r="Y673" i="6"/>
  <c r="AI667" i="6"/>
  <c r="Z720" i="6"/>
  <c r="AD706" i="6"/>
  <c r="Z694" i="6"/>
  <c r="AJ722" i="6"/>
  <c r="AG773" i="6"/>
  <c r="AC831" i="6"/>
  <c r="AA803" i="6"/>
  <c r="AA841" i="6"/>
  <c r="Z959" i="6"/>
  <c r="AH933" i="6"/>
  <c r="Z903" i="6"/>
  <c r="AH943" i="6"/>
  <c r="AF976" i="6"/>
  <c r="AA977" i="6"/>
  <c r="AH964" i="6"/>
  <c r="Y938" i="6"/>
  <c r="AC900" i="6"/>
  <c r="AC587" i="6"/>
  <c r="AF916" i="6"/>
  <c r="AE946" i="6"/>
  <c r="AC976" i="6"/>
  <c r="AC632" i="6"/>
  <c r="AI715" i="6"/>
  <c r="AD775" i="6"/>
  <c r="AC844" i="6"/>
  <c r="AD561" i="6"/>
  <c r="Y601" i="6"/>
  <c r="AF571" i="6"/>
  <c r="AA635" i="6"/>
  <c r="AE690" i="6"/>
  <c r="AF632" i="6"/>
  <c r="AC715" i="6"/>
  <c r="AC703" i="6"/>
  <c r="Y774" i="6"/>
  <c r="AC720" i="6"/>
  <c r="AA773" i="6"/>
  <c r="AI791" i="6"/>
  <c r="Y803" i="6"/>
  <c r="AJ775" i="6"/>
  <c r="AA848" i="6"/>
  <c r="Z916" i="6"/>
  <c r="Z886" i="6"/>
  <c r="AD841" i="6"/>
  <c r="AD863" i="6"/>
  <c r="AE856" i="6"/>
  <c r="Z844" i="6"/>
  <c r="AE959" i="6"/>
  <c r="AF959" i="6"/>
  <c r="AG898" i="6"/>
  <c r="AC959" i="6"/>
  <c r="AH946" i="6"/>
  <c r="AH977" i="6"/>
  <c r="AG977" i="6"/>
  <c r="AH774" i="6"/>
  <c r="AI916" i="6"/>
  <c r="AG841" i="6"/>
  <c r="AB741" i="6"/>
  <c r="Z587" i="6"/>
  <c r="AI587" i="6"/>
  <c r="AH581" i="6"/>
  <c r="AH601" i="6"/>
  <c r="AE618" i="6"/>
  <c r="AJ635" i="6"/>
  <c r="Y690" i="6"/>
  <c r="AI632" i="6"/>
  <c r="AI719" i="6"/>
  <c r="Z714" i="6"/>
  <c r="AB784" i="6"/>
  <c r="AG848" i="6"/>
  <c r="Z768" i="6"/>
  <c r="AG775" i="6"/>
  <c r="AE930" i="6"/>
  <c r="AC886" i="6"/>
  <c r="AH890" i="6"/>
  <c r="AF844" i="6"/>
  <c r="AH916" i="6"/>
  <c r="AF725" i="6"/>
  <c r="AE977" i="6"/>
  <c r="Y985" i="6"/>
  <c r="AF740" i="6"/>
  <c r="AE570" i="6"/>
  <c r="Z689" i="6"/>
  <c r="AA863" i="6"/>
  <c r="AF604" i="6"/>
  <c r="AB618" i="6"/>
  <c r="AH690" i="6"/>
  <c r="AC719" i="6"/>
  <c r="AD747" i="6"/>
  <c r="AC768" i="6"/>
  <c r="AG842" i="6"/>
  <c r="AI845" i="6"/>
  <c r="AI886" i="6"/>
  <c r="AJ893" i="6"/>
  <c r="AH959" i="6"/>
  <c r="AI990" i="6"/>
  <c r="AH997" i="6"/>
  <c r="AJ949" i="6"/>
  <c r="AB943" i="6"/>
  <c r="AC604" i="6"/>
  <c r="AB611" i="6"/>
  <c r="AI583" i="6"/>
  <c r="Y618" i="6"/>
  <c r="AE706" i="6"/>
  <c r="Y661" i="6"/>
  <c r="AJ747" i="6"/>
  <c r="AB810" i="6"/>
  <c r="AJ809" i="6"/>
  <c r="AJ842" i="6"/>
  <c r="AC845" i="6"/>
  <c r="AG893" i="6"/>
  <c r="AI900" i="6"/>
  <c r="AG933" i="6"/>
  <c r="AG910" i="6"/>
  <c r="AI955" i="6"/>
  <c r="AE997" i="6"/>
  <c r="AF811" i="6"/>
  <c r="AI703" i="6"/>
  <c r="AF719" i="6"/>
  <c r="AH706" i="6"/>
  <c r="AB706" i="6"/>
  <c r="AH661" i="6"/>
  <c r="AJ662" i="6"/>
  <c r="AI718" i="6"/>
  <c r="AE813" i="6"/>
  <c r="AG809" i="6"/>
  <c r="AD842" i="6"/>
  <c r="AD933" i="6"/>
  <c r="AF990" i="6"/>
  <c r="Z994" i="6"/>
  <c r="AJ736" i="6"/>
  <c r="Z881" i="6"/>
  <c r="AJ654" i="6"/>
  <c r="AD616" i="6"/>
  <c r="AG600" i="6"/>
  <c r="AB591" i="6"/>
  <c r="Y624" i="6"/>
  <c r="AA684" i="6"/>
  <c r="AI651" i="6"/>
  <c r="AF700" i="6"/>
  <c r="AE641" i="6"/>
  <c r="AH719" i="6"/>
  <c r="AB725" i="6"/>
  <c r="AF779" i="6"/>
  <c r="AH804" i="6"/>
  <c r="AE861" i="6"/>
  <c r="AI831" i="6"/>
  <c r="AB864" i="6"/>
  <c r="Z876" i="6"/>
  <c r="AC849" i="6"/>
  <c r="Z897" i="6"/>
  <c r="AD825" i="6"/>
  <c r="AH917" i="6"/>
  <c r="AI999" i="6"/>
  <c r="AC999" i="6"/>
  <c r="AF975" i="6"/>
  <c r="AH995" i="6"/>
  <c r="AC973" i="6"/>
  <c r="AB989" i="6"/>
  <c r="AF989" i="6"/>
  <c r="AF947" i="6"/>
  <c r="Z726" i="6"/>
  <c r="AB762" i="6"/>
  <c r="AF831" i="6"/>
  <c r="Z902" i="6"/>
  <c r="AI982" i="6"/>
  <c r="AG876" i="6"/>
  <c r="AB917" i="6"/>
  <c r="Y989" i="6"/>
  <c r="AC989" i="6"/>
  <c r="AC947" i="6"/>
  <c r="AC564" i="6"/>
  <c r="AJ617" i="6"/>
  <c r="AI564" i="6"/>
  <c r="AA600" i="6"/>
  <c r="AC615" i="6"/>
  <c r="AC654" i="6"/>
  <c r="AD638" i="6"/>
  <c r="AI654" i="6"/>
  <c r="AB624" i="6"/>
  <c r="AD684" i="6"/>
  <c r="AB663" i="6"/>
  <c r="AD672" i="6"/>
  <c r="AC700" i="6"/>
  <c r="AF745" i="6"/>
  <c r="AC745" i="6"/>
  <c r="Z696" i="6"/>
  <c r="AE727" i="6"/>
  <c r="AG781" i="6"/>
  <c r="AG739" i="6"/>
  <c r="AB792" i="6"/>
  <c r="AH762" i="6"/>
  <c r="AI902" i="6"/>
  <c r="AF879" i="6"/>
  <c r="AH869" i="6"/>
  <c r="AB873" i="6"/>
  <c r="Y808" i="6"/>
  <c r="Z849" i="6"/>
  <c r="AD879" i="6"/>
  <c r="Z840" i="6"/>
  <c r="AD876" i="6"/>
  <c r="AF936" i="6"/>
  <c r="AI903" i="6"/>
  <c r="AH885" i="6"/>
  <c r="AI852" i="6"/>
  <c r="AJ930" i="6"/>
  <c r="AD949" i="6"/>
  <c r="AG919" i="6"/>
  <c r="AG859" i="6"/>
  <c r="AA607" i="6"/>
  <c r="AI973" i="6"/>
  <c r="Z947" i="6"/>
  <c r="AC823" i="6"/>
  <c r="Y883" i="6"/>
  <c r="Z570" i="6"/>
  <c r="Y581" i="6"/>
  <c r="AG605" i="6"/>
  <c r="AF591" i="6"/>
  <c r="AG597" i="6"/>
  <c r="Z626" i="6"/>
  <c r="AB616" i="6"/>
  <c r="AH663" i="6"/>
  <c r="AG657" i="6"/>
  <c r="AG668" i="6"/>
  <c r="AA698" i="6"/>
  <c r="AJ723" i="6"/>
  <c r="AC713" i="6"/>
  <c r="Y675" i="6"/>
  <c r="AG743" i="6"/>
  <c r="AB709" i="6"/>
  <c r="AG734" i="6"/>
  <c r="Z779" i="6"/>
  <c r="AC756" i="6"/>
  <c r="AI764" i="6"/>
  <c r="AE742" i="6"/>
  <c r="Z889" i="6"/>
  <c r="AA850" i="6"/>
  <c r="AE869" i="6"/>
  <c r="AI813" i="6"/>
  <c r="AE883" i="6"/>
  <c r="AA893" i="6"/>
  <c r="AD897" i="6"/>
  <c r="AA941" i="6"/>
  <c r="AC929" i="6"/>
  <c r="Y924" i="6"/>
  <c r="AI924" i="6"/>
  <c r="AJ936" i="6"/>
  <c r="AI725" i="6"/>
  <c r="AG951" i="6"/>
  <c r="AA973" i="6"/>
  <c r="AF963" i="6"/>
  <c r="AG968" i="6"/>
  <c r="AH979" i="6"/>
  <c r="AB694" i="6"/>
  <c r="Z975" i="6"/>
  <c r="AF713" i="6"/>
  <c r="AA776" i="6"/>
  <c r="AC764" i="6"/>
  <c r="AI889" i="6"/>
  <c r="AD799" i="6"/>
  <c r="AA830" i="6"/>
  <c r="Y821" i="6"/>
  <c r="AF813" i="6"/>
  <c r="AI858" i="6"/>
  <c r="AB883" i="6"/>
  <c r="AF909" i="6"/>
  <c r="AI921" i="6"/>
  <c r="AG886" i="6"/>
  <c r="AG936" i="6"/>
  <c r="AJ973" i="6"/>
  <c r="AF972" i="6"/>
  <c r="AB971" i="6"/>
  <c r="AJ956" i="6"/>
  <c r="AC876" i="6"/>
  <c r="Z756" i="6"/>
  <c r="AG736" i="6"/>
  <c r="AE794" i="6"/>
  <c r="AA622" i="6"/>
  <c r="AH708" i="6"/>
  <c r="AD657" i="6"/>
  <c r="AI713" i="6"/>
  <c r="AJ735" i="6"/>
  <c r="AF755" i="6"/>
  <c r="AJ657" i="6"/>
  <c r="AD735" i="6"/>
  <c r="AC755" i="6"/>
  <c r="AG793" i="6"/>
  <c r="AC827" i="6"/>
  <c r="AE891" i="6"/>
  <c r="AJ799" i="6"/>
  <c r="AG830" i="6"/>
  <c r="AD868" i="6"/>
  <c r="AE821" i="6"/>
  <c r="Z813" i="6"/>
  <c r="Z858" i="6"/>
  <c r="AD820" i="6"/>
  <c r="Z909" i="6"/>
  <c r="AI936" i="6"/>
  <c r="AC921" i="6"/>
  <c r="AA886" i="6"/>
  <c r="Z924" i="6"/>
  <c r="AJ902" i="6"/>
  <c r="AI929" i="6"/>
  <c r="AJ962" i="6"/>
  <c r="Z987" i="6"/>
  <c r="AI968" i="6"/>
  <c r="AJ995" i="6"/>
  <c r="AG981" i="6"/>
  <c r="AA951" i="6"/>
  <c r="AC963" i="6"/>
  <c r="AC972" i="6"/>
  <c r="AE958" i="6"/>
  <c r="Y971" i="6"/>
  <c r="AA947" i="6"/>
  <c r="AC887" i="6"/>
  <c r="AI570" i="6"/>
  <c r="AG776" i="6"/>
  <c r="Z982" i="6"/>
  <c r="AD605" i="6"/>
  <c r="AG583" i="6"/>
  <c r="AA605" i="6"/>
  <c r="AH577" i="6"/>
  <c r="AA597" i="6"/>
  <c r="AH567" i="6"/>
  <c r="AE628" i="6"/>
  <c r="AH625" i="6"/>
  <c r="AJ622" i="6"/>
  <c r="Y694" i="6"/>
  <c r="AD583" i="6"/>
  <c r="AE577" i="6"/>
  <c r="AC577" i="6"/>
  <c r="AE596" i="6"/>
  <c r="AJ597" i="6"/>
  <c r="AE567" i="6"/>
  <c r="AB628" i="6"/>
  <c r="AB625" i="6"/>
  <c r="AG622" i="6"/>
  <c r="AI643" i="6"/>
  <c r="AH765" i="6"/>
  <c r="AA735" i="6"/>
  <c r="AJ698" i="6"/>
  <c r="Z755" i="6"/>
  <c r="AH861" i="6"/>
  <c r="AC812" i="6"/>
  <c r="Z780" i="6"/>
  <c r="AF768" i="6"/>
  <c r="AB803" i="6"/>
  <c r="AG799" i="6"/>
  <c r="AA881" i="6"/>
  <c r="AD830" i="6"/>
  <c r="AI876" i="6"/>
  <c r="AB821" i="6"/>
  <c r="AC821" i="6"/>
  <c r="Z839" i="6"/>
  <c r="AD955" i="6"/>
  <c r="AI943" i="6"/>
  <c r="Z921" i="6"/>
  <c r="AI970" i="6"/>
  <c r="AE937" i="6"/>
  <c r="AJ896" i="6"/>
  <c r="AJ886" i="6"/>
  <c r="AE829" i="6"/>
  <c r="Z929" i="6"/>
  <c r="AG874" i="6"/>
  <c r="AD962" i="6"/>
  <c r="AI987" i="6"/>
  <c r="AC968" i="6"/>
  <c r="AG995" i="6"/>
  <c r="AH949" i="6"/>
  <c r="AH975" i="6"/>
  <c r="Z972" i="6"/>
  <c r="AB958" i="6"/>
  <c r="AH971" i="6"/>
  <c r="AJ993" i="6"/>
  <c r="AE723" i="6"/>
  <c r="Z965" i="6"/>
  <c r="Y963" i="6"/>
  <c r="AD563" i="6"/>
  <c r="AB596" i="6"/>
  <c r="AJ632" i="6"/>
  <c r="AE685" i="6"/>
  <c r="AJ715" i="6"/>
  <c r="AE765" i="6"/>
  <c r="Y763" i="6"/>
  <c r="Z812" i="6"/>
  <c r="AF780" i="6"/>
  <c r="AE849" i="6"/>
  <c r="AJ876" i="6"/>
  <c r="AF821" i="6"/>
  <c r="AC943" i="6"/>
  <c r="AJ900" i="6"/>
  <c r="Y926" i="6"/>
  <c r="AC975" i="6"/>
  <c r="AG896" i="6"/>
  <c r="AA927" i="6"/>
  <c r="AE904" i="6"/>
  <c r="Z936" i="6"/>
  <c r="AG962" i="6"/>
  <c r="AJ986" i="6"/>
  <c r="AH993" i="6"/>
  <c r="AB949" i="6"/>
  <c r="AJ983" i="6"/>
  <c r="AB962" i="6"/>
  <c r="AE975" i="6"/>
  <c r="AG993" i="6"/>
  <c r="AE725" i="6"/>
  <c r="AH760" i="6"/>
  <c r="AC902" i="6"/>
  <c r="AG789" i="6"/>
  <c r="AF965" i="6"/>
  <c r="Z887" i="6"/>
  <c r="AH675" i="6"/>
  <c r="AA743" i="6"/>
  <c r="AC853" i="6"/>
  <c r="AI881" i="6"/>
  <c r="AJ583" i="6"/>
  <c r="Y577" i="6"/>
  <c r="Z591" i="6"/>
  <c r="Y628" i="6"/>
  <c r="AE708" i="6"/>
  <c r="AC643" i="6"/>
  <c r="AJ725" i="6"/>
  <c r="AA563" i="6"/>
  <c r="AI600" i="6"/>
  <c r="Y596" i="6"/>
  <c r="AF654" i="6"/>
  <c r="AE572" i="6"/>
  <c r="Z643" i="6"/>
  <c r="AD725" i="6"/>
  <c r="AH685" i="6"/>
  <c r="AD715" i="6"/>
  <c r="AG723" i="6"/>
  <c r="AF732" i="6"/>
  <c r="AE763" i="6"/>
  <c r="AH747" i="6"/>
  <c r="AF812" i="6"/>
  <c r="Z801" i="6"/>
  <c r="AC780" i="6"/>
  <c r="AF816" i="6"/>
  <c r="AB849" i="6"/>
  <c r="AA822" i="6"/>
  <c r="AH926" i="6"/>
  <c r="AD896" i="6"/>
  <c r="AJ927" i="6"/>
  <c r="AB904" i="6"/>
  <c r="AE999" i="6"/>
  <c r="AG986" i="6"/>
  <c r="AE993" i="6"/>
  <c r="AE949" i="6"/>
  <c r="AG983" i="6"/>
  <c r="AH962" i="6"/>
  <c r="AB975" i="6"/>
  <c r="AD972" i="6"/>
  <c r="AG984" i="6"/>
  <c r="AC997" i="6"/>
  <c r="AE760" i="6"/>
  <c r="Z998" i="6"/>
  <c r="AD789" i="6"/>
  <c r="AI887" i="6"/>
  <c r="AE581" i="6"/>
  <c r="AF626" i="6"/>
  <c r="Y625" i="6"/>
  <c r="AA572" i="6"/>
  <c r="AF600" i="6"/>
  <c r="AH568" i="6"/>
  <c r="AH614" i="6"/>
  <c r="AB572" i="6"/>
  <c r="AA715" i="6"/>
  <c r="AA723" i="6"/>
  <c r="AB747" i="6"/>
  <c r="AC816" i="6"/>
  <c r="Z816" i="6"/>
  <c r="AI879" i="6"/>
  <c r="AG822" i="6"/>
  <c r="AA862" i="6"/>
  <c r="AF853" i="6"/>
  <c r="AG854" i="6"/>
  <c r="AD922" i="6"/>
  <c r="AI837" i="6"/>
  <c r="AH904" i="6"/>
  <c r="AD986" i="6"/>
  <c r="AB993" i="6"/>
  <c r="AD983" i="6"/>
  <c r="AH984" i="6"/>
  <c r="Z942" i="6"/>
  <c r="AD984" i="6"/>
  <c r="Z997" i="6"/>
  <c r="Y760" i="6"/>
  <c r="AI838" i="6"/>
  <c r="AE804" i="6"/>
  <c r="AC838" i="6"/>
  <c r="AJ990" i="6"/>
  <c r="AA984" i="6"/>
  <c r="AD936" i="6"/>
  <c r="AC589" i="6"/>
  <c r="AH591" i="6"/>
  <c r="AG632" i="6"/>
  <c r="AB614" i="6"/>
  <c r="AG654" i="6"/>
  <c r="AC651" i="6"/>
  <c r="Y764" i="6"/>
  <c r="AJ776" i="6"/>
  <c r="Y747" i="6"/>
  <c r="AH850" i="6"/>
  <c r="AB804" i="6"/>
  <c r="AC901" i="6"/>
  <c r="AD854" i="6"/>
  <c r="Y917" i="6"/>
  <c r="AG955" i="6"/>
  <c r="AF837" i="6"/>
  <c r="AA935" i="6"/>
  <c r="AG882" i="6"/>
  <c r="AD987" i="6"/>
  <c r="Y995" i="6"/>
  <c r="AA906" i="6"/>
  <c r="AD990" i="6"/>
  <c r="AB984" i="6"/>
  <c r="AF942" i="6"/>
  <c r="AF988" i="6"/>
  <c r="AA712" i="6"/>
  <c r="Y861" i="6"/>
  <c r="AF589" i="6"/>
  <c r="AE764" i="6"/>
  <c r="AJ862" i="6"/>
  <c r="AJ955" i="6"/>
  <c r="AC837" i="6"/>
  <c r="AF982" i="6"/>
  <c r="AI942" i="6"/>
  <c r="AA594" i="6"/>
  <c r="AJ616" i="6"/>
  <c r="Z589" i="6"/>
  <c r="AA672" i="6"/>
  <c r="AD654" i="6"/>
  <c r="AH764" i="6"/>
  <c r="AB850" i="6"/>
  <c r="Z853" i="6"/>
  <c r="AI827" i="6"/>
  <c r="AH864" i="6"/>
  <c r="AF897" i="6"/>
  <c r="AG825" i="6"/>
  <c r="AJ987" i="6"/>
  <c r="AH989" i="6"/>
  <c r="AI578" i="6"/>
  <c r="AF578" i="6"/>
  <c r="Y579" i="6"/>
  <c r="Z578" i="6"/>
  <c r="AC579" i="6"/>
  <c r="Z579" i="6"/>
  <c r="AI579" i="6"/>
  <c r="AJ576" i="6"/>
  <c r="AG576" i="6"/>
  <c r="AE575" i="6"/>
  <c r="AJ572" i="6"/>
  <c r="AF572" i="6"/>
  <c r="AC572" i="6"/>
  <c r="AI572" i="6"/>
  <c r="AH572" i="6"/>
  <c r="AJ575" i="6"/>
  <c r="AB574" i="6"/>
  <c r="AI575" i="6"/>
  <c r="AG575" i="6"/>
  <c r="AF575" i="6"/>
  <c r="AD575" i="6"/>
  <c r="AC575" i="6"/>
  <c r="AJ577" i="6"/>
  <c r="AG577" i="6"/>
  <c r="AD577" i="6"/>
  <c r="AJ574" i="6"/>
  <c r="AD574" i="6"/>
  <c r="AG574" i="6"/>
  <c r="AD572" i="6"/>
  <c r="AD568" i="6"/>
  <c r="Y568" i="6"/>
  <c r="AA562" i="6"/>
  <c r="AI567" i="6"/>
  <c r="AE566" i="6"/>
  <c r="AF567" i="6"/>
  <c r="AC567" i="6"/>
  <c r="AH566" i="6"/>
  <c r="AG565" i="6"/>
  <c r="AD565" i="6"/>
  <c r="AA565" i="6"/>
  <c r="AI962" i="6"/>
  <c r="AI870" i="6"/>
  <c r="AF979" i="6"/>
  <c r="AD906" i="6"/>
  <c r="AB630" i="6"/>
  <c r="AF955" i="6"/>
  <c r="AF858" i="6"/>
  <c r="AE740" i="6"/>
  <c r="Z871" i="6"/>
  <c r="AI871" i="6"/>
  <c r="AF871" i="6"/>
  <c r="AF726" i="6"/>
  <c r="Z968" i="6"/>
  <c r="AC835" i="6"/>
  <c r="AB562" i="6"/>
  <c r="AB563" i="6"/>
  <c r="Y563" i="6"/>
  <c r="AI565" i="6"/>
  <c r="AH563" i="6"/>
  <c r="AJ564" i="6"/>
  <c r="AA564" i="6"/>
  <c r="AD564" i="6"/>
  <c r="AJ769" i="6"/>
  <c r="AI811" i="6"/>
  <c r="AE694" i="6"/>
  <c r="Y856" i="6"/>
  <c r="AD968" i="6"/>
  <c r="AI954" i="6"/>
  <c r="AH723" i="6"/>
  <c r="AE954" i="6"/>
  <c r="AA628" i="6"/>
  <c r="AH695" i="6"/>
  <c r="AC602" i="6"/>
  <c r="AG862" i="6"/>
  <c r="AC801" i="6"/>
  <c r="AG815" i="6"/>
  <c r="AA919" i="6"/>
  <c r="AG964" i="6"/>
  <c r="AJ935" i="6"/>
  <c r="AE881" i="6"/>
  <c r="AF974" i="6"/>
  <c r="AD978" i="6"/>
  <c r="Z955" i="6"/>
  <c r="AB965" i="6"/>
  <c r="Z934" i="6"/>
  <c r="AG998" i="6"/>
  <c r="AF715" i="6"/>
  <c r="AJ628" i="6"/>
  <c r="AI934" i="6"/>
  <c r="AH789" i="6"/>
  <c r="AH657" i="6"/>
  <c r="AF838" i="6"/>
  <c r="AC994" i="6"/>
  <c r="AF870" i="6"/>
  <c r="AG966" i="6"/>
  <c r="AI841" i="6"/>
  <c r="AC626" i="6"/>
  <c r="AH937" i="6"/>
  <c r="AB929" i="6"/>
  <c r="AD905" i="6"/>
  <c r="AA995" i="6"/>
  <c r="AI938" i="6"/>
  <c r="AE688" i="6"/>
  <c r="AD599" i="6"/>
  <c r="AH584" i="6"/>
  <c r="AE574" i="6"/>
  <c r="AB632" i="6"/>
  <c r="AC667" i="6"/>
  <c r="AF680" i="6"/>
  <c r="Y836" i="6"/>
  <c r="Y794" i="6"/>
  <c r="AA820" i="6"/>
  <c r="AF926" i="6"/>
  <c r="AD924" i="6"/>
  <c r="Z914" i="6"/>
  <c r="AI984" i="6"/>
  <c r="Y900" i="6"/>
  <c r="AF874" i="6"/>
  <c r="Y611" i="6"/>
  <c r="Y574" i="6"/>
  <c r="AH632" i="6"/>
  <c r="AG658" i="6"/>
  <c r="AB787" i="6"/>
  <c r="AF808" i="6"/>
  <c r="AB987" i="6"/>
  <c r="AJ998" i="6"/>
  <c r="AH790" i="6"/>
  <c r="AG720" i="6"/>
  <c r="AC562" i="6"/>
  <c r="AG567" i="6"/>
  <c r="AG573" i="6"/>
  <c r="AG560" i="6"/>
  <c r="Z666" i="6"/>
  <c r="AA658" i="6"/>
  <c r="AH763" i="6"/>
  <c r="AH722" i="6"/>
  <c r="AE836" i="6"/>
  <c r="AE787" i="6"/>
  <c r="AA836" i="6"/>
  <c r="AF824" i="6"/>
  <c r="AG858" i="6"/>
  <c r="Z808" i="6"/>
  <c r="AH797" i="6"/>
  <c r="AD858" i="6"/>
  <c r="AE889" i="6"/>
  <c r="AH987" i="6"/>
  <c r="AE974" i="6"/>
  <c r="AD966" i="6"/>
  <c r="AJ976" i="6"/>
  <c r="AC954" i="6"/>
  <c r="AA988" i="6"/>
  <c r="AA998" i="6"/>
  <c r="AH787" i="6"/>
  <c r="AD567" i="6"/>
  <c r="AD560" i="6"/>
  <c r="AF702" i="6"/>
  <c r="AD658" i="6"/>
  <c r="AH759" i="6"/>
  <c r="AB722" i="6"/>
  <c r="AB790" i="6"/>
  <c r="AD780" i="6"/>
  <c r="AB797" i="6"/>
  <c r="AB974" i="6"/>
  <c r="AG976" i="6"/>
  <c r="AI562" i="6"/>
  <c r="AC570" i="6"/>
  <c r="AH900" i="6"/>
  <c r="AH611" i="6"/>
  <c r="Z562" i="6"/>
  <c r="Z663" i="6"/>
  <c r="AD764" i="6"/>
  <c r="AE722" i="6"/>
  <c r="AE718" i="6"/>
  <c r="AE831" i="6"/>
  <c r="AE790" i="6"/>
  <c r="AE900" i="6"/>
  <c r="AH862" i="6"/>
  <c r="AJ868" i="6"/>
  <c r="AJ780" i="6"/>
  <c r="AC874" i="6"/>
  <c r="Y797" i="6"/>
  <c r="AA943" i="6"/>
  <c r="AD976" i="6"/>
  <c r="AE991" i="6"/>
  <c r="AG924" i="6"/>
  <c r="AB836" i="6"/>
  <c r="AH930" i="6"/>
  <c r="AG947" i="6"/>
  <c r="AA560" i="6"/>
  <c r="AA636" i="6"/>
  <c r="AI663" i="6"/>
  <c r="AE649" i="6"/>
  <c r="AE754" i="6"/>
  <c r="Y759" i="6"/>
  <c r="AH718" i="6"/>
  <c r="Y862" i="6"/>
  <c r="AG780" i="6"/>
  <c r="Z874" i="6"/>
  <c r="AJ943" i="6"/>
  <c r="AE966" i="6"/>
  <c r="AB964" i="6"/>
  <c r="AH992" i="6"/>
  <c r="AA567" i="6"/>
  <c r="AJ599" i="6"/>
  <c r="AG627" i="6"/>
  <c r="AI638" i="6"/>
  <c r="AJ636" i="6"/>
  <c r="AF663" i="6"/>
  <c r="AB688" i="6"/>
  <c r="Y649" i="6"/>
  <c r="AB754" i="6"/>
  <c r="AB718" i="6"/>
  <c r="AI866" i="6"/>
  <c r="AB862" i="6"/>
  <c r="AA818" i="6"/>
  <c r="AH990" i="6"/>
  <c r="AB978" i="6"/>
  <c r="Y992" i="6"/>
  <c r="AG599" i="6"/>
  <c r="AF638" i="6"/>
  <c r="AD636" i="6"/>
  <c r="AH688" i="6"/>
  <c r="AH649" i="6"/>
  <c r="Y754" i="6"/>
  <c r="Z763" i="6"/>
  <c r="AG836" i="6"/>
  <c r="AC866" i="6"/>
  <c r="AG818" i="6"/>
  <c r="AE990" i="6"/>
  <c r="Y978" i="6"/>
  <c r="AE992" i="6"/>
  <c r="AD741" i="6"/>
  <c r="AH741" i="6"/>
  <c r="Z638" i="6"/>
  <c r="AC653" i="6"/>
  <c r="AC763" i="6"/>
  <c r="Z866" i="6"/>
  <c r="AJ818" i="6"/>
  <c r="AJ967" i="6"/>
  <c r="AB990" i="6"/>
  <c r="AE978" i="6"/>
  <c r="AI653" i="6"/>
  <c r="AC684" i="6"/>
  <c r="AJ670" i="6"/>
  <c r="AI763" i="6"/>
  <c r="AG943" i="6"/>
  <c r="Z993" i="6"/>
  <c r="AG967" i="6"/>
  <c r="AA993" i="6"/>
  <c r="Z633" i="6"/>
  <c r="AF618" i="6"/>
  <c r="AF653" i="6"/>
  <c r="AF684" i="6"/>
  <c r="AA670" i="6"/>
  <c r="Y775" i="6"/>
  <c r="AJ921" i="6"/>
  <c r="AI993" i="6"/>
  <c r="AD967" i="6"/>
  <c r="AI829" i="6"/>
  <c r="AD921" i="6"/>
  <c r="Z926" i="6"/>
  <c r="AA970" i="6"/>
  <c r="AF993" i="6"/>
  <c r="AE584" i="6"/>
  <c r="AI684" i="6"/>
  <c r="AG670" i="6"/>
  <c r="Z618" i="6"/>
  <c r="AB584" i="6"/>
  <c r="AB567" i="6"/>
  <c r="AA627" i="6"/>
  <c r="AC702" i="6"/>
  <c r="AC829" i="6"/>
  <c r="AH794" i="6"/>
  <c r="AJ820" i="6"/>
  <c r="AJ924" i="6"/>
  <c r="AI914" i="6"/>
  <c r="AA921" i="6"/>
  <c r="AI926" i="6"/>
  <c r="AG607" i="6"/>
  <c r="AD979" i="6"/>
  <c r="AD996" i="6"/>
  <c r="AG974" i="6"/>
  <c r="AG973" i="6"/>
  <c r="AG990" i="6"/>
  <c r="Z989" i="6"/>
  <c r="AF997" i="6"/>
  <c r="AI906" i="6"/>
  <c r="AD627" i="6"/>
  <c r="AI702" i="6"/>
  <c r="Z829" i="6"/>
  <c r="AF914" i="6"/>
  <c r="AH999" i="6"/>
  <c r="AA974" i="6"/>
  <c r="AI618" i="6"/>
  <c r="AB582" i="6"/>
  <c r="AD669" i="6"/>
  <c r="AB860" i="6"/>
  <c r="AI840" i="6"/>
  <c r="AD894" i="6"/>
  <c r="AI951" i="6"/>
  <c r="AA978" i="6"/>
  <c r="AE996" i="6"/>
  <c r="AA971" i="6"/>
  <c r="AI594" i="6"/>
  <c r="AA878" i="6"/>
  <c r="AG878" i="6"/>
  <c r="AJ704" i="6"/>
  <c r="AD704" i="6"/>
  <c r="AB583" i="6"/>
  <c r="Y582" i="6"/>
  <c r="AA669" i="6"/>
  <c r="AG704" i="6"/>
  <c r="AF878" i="6"/>
  <c r="AC840" i="6"/>
  <c r="Z920" i="6"/>
  <c r="AC951" i="6"/>
  <c r="AJ978" i="6"/>
  <c r="AB996" i="6"/>
  <c r="AJ971" i="6"/>
  <c r="AC594" i="6"/>
  <c r="AE934" i="6"/>
  <c r="AB934" i="6"/>
  <c r="AH583" i="6"/>
  <c r="AJ669" i="6"/>
  <c r="AI878" i="6"/>
  <c r="AI821" i="6"/>
  <c r="AA898" i="6"/>
  <c r="AF951" i="6"/>
  <c r="AG971" i="6"/>
  <c r="Z879" i="6"/>
  <c r="AF594" i="6"/>
  <c r="Z964" i="6"/>
  <c r="Y654" i="6"/>
  <c r="AE654" i="6"/>
  <c r="AC608" i="6"/>
  <c r="AE783" i="6"/>
  <c r="Z878" i="6"/>
  <c r="AG948" i="6"/>
  <c r="AD898" i="6"/>
  <c r="AA859" i="6"/>
  <c r="AJ957" i="6"/>
  <c r="AH973" i="6"/>
  <c r="AE972" i="6"/>
  <c r="AA846" i="6"/>
  <c r="AG846" i="6"/>
  <c r="AF581" i="6"/>
  <c r="AB660" i="6"/>
  <c r="AA664" i="6"/>
  <c r="Z807" i="6"/>
  <c r="AI608" i="6"/>
  <c r="AH660" i="6"/>
  <c r="AF807" i="6"/>
  <c r="AD948" i="6"/>
  <c r="AJ859" i="6"/>
  <c r="AD926" i="6"/>
  <c r="AH985" i="6"/>
  <c r="AA957" i="6"/>
  <c r="AE982" i="6"/>
  <c r="AB973" i="6"/>
  <c r="AB972" i="6"/>
  <c r="AH965" i="6"/>
  <c r="AH793" i="6"/>
  <c r="AE615" i="6"/>
  <c r="AI807" i="6"/>
  <c r="AB615" i="6"/>
  <c r="AJ664" i="6"/>
  <c r="Z722" i="6"/>
  <c r="Y783" i="6"/>
  <c r="AF608" i="6"/>
  <c r="AA704" i="6"/>
  <c r="AI685" i="6"/>
  <c r="AF722" i="6"/>
  <c r="AJ755" i="6"/>
  <c r="AC796" i="6"/>
  <c r="Z943" i="6"/>
  <c r="AJ926" i="6"/>
  <c r="AG957" i="6"/>
  <c r="AE973" i="6"/>
  <c r="Y972" i="6"/>
  <c r="AA948" i="6"/>
  <c r="AB793" i="6"/>
  <c r="AJ832" i="6"/>
  <c r="AC956" i="6"/>
  <c r="AG926" i="6"/>
  <c r="AE655" i="6"/>
  <c r="AI722" i="6"/>
  <c r="AA755" i="6"/>
  <c r="AJ816" i="6"/>
  <c r="AJ992" i="6"/>
  <c r="AC563" i="6"/>
  <c r="AJ728" i="6"/>
  <c r="AG931" i="6"/>
  <c r="AG992" i="6"/>
  <c r="AC822" i="6"/>
  <c r="Z563" i="6"/>
  <c r="AG728" i="6"/>
  <c r="AG816" i="6"/>
  <c r="AG810" i="6"/>
  <c r="AE771" i="6"/>
  <c r="AH791" i="6"/>
  <c r="AI919" i="6"/>
  <c r="AE907" i="6"/>
  <c r="AJ931" i="6"/>
  <c r="AD992" i="6"/>
  <c r="AI563" i="6"/>
  <c r="AA578" i="6"/>
  <c r="AA728" i="6"/>
  <c r="AG832" i="6"/>
  <c r="AB791" i="6"/>
  <c r="AF919" i="6"/>
  <c r="Y907" i="6"/>
  <c r="AD931" i="6"/>
  <c r="AH991" i="6"/>
  <c r="Z827" i="6"/>
  <c r="AJ578" i="6"/>
  <c r="AE791" i="6"/>
  <c r="AC919" i="6"/>
  <c r="Y655" i="6"/>
  <c r="AD571" i="6"/>
  <c r="AB907" i="6"/>
  <c r="AG578" i="6"/>
  <c r="AA571" i="6"/>
  <c r="AJ596" i="6"/>
  <c r="AD641" i="6"/>
  <c r="AB783" i="6"/>
  <c r="AH709" i="6"/>
  <c r="AJ706" i="6"/>
  <c r="AD787" i="6"/>
  <c r="AA832" i="6"/>
  <c r="AA793" i="6"/>
  <c r="AA866" i="6"/>
  <c r="AA914" i="6"/>
  <c r="AJ911" i="6"/>
  <c r="AG894" i="6"/>
  <c r="Y909" i="6"/>
  <c r="AC627" i="6"/>
  <c r="AJ970" i="6"/>
  <c r="AC946" i="6"/>
  <c r="AD981" i="6"/>
  <c r="AG972" i="6"/>
  <c r="Y970" i="6"/>
  <c r="AB991" i="6"/>
  <c r="AB655" i="6"/>
  <c r="AC681" i="6"/>
  <c r="AI681" i="6"/>
  <c r="AE909" i="6"/>
  <c r="AH582" i="6"/>
  <c r="AJ571" i="6"/>
  <c r="AG641" i="6"/>
  <c r="AC655" i="6"/>
  <c r="AE709" i="6"/>
  <c r="AG706" i="6"/>
  <c r="AA787" i="6"/>
  <c r="AA816" i="6"/>
  <c r="AJ866" i="6"/>
  <c r="AA894" i="6"/>
  <c r="AH909" i="6"/>
  <c r="AC920" i="6"/>
  <c r="Z627" i="6"/>
  <c r="AG970" i="6"/>
  <c r="Z946" i="6"/>
  <c r="AA981" i="6"/>
  <c r="AA972" i="6"/>
  <c r="AH970" i="6"/>
  <c r="Y860" i="6"/>
  <c r="AD755" i="6"/>
  <c r="AD604" i="6"/>
  <c r="AC621" i="6"/>
  <c r="AJ641" i="6"/>
  <c r="AE860" i="6"/>
  <c r="AH560" i="6"/>
  <c r="AB560" i="6"/>
  <c r="Y692" i="6"/>
  <c r="AB692" i="6"/>
  <c r="AE692" i="6"/>
  <c r="AH692" i="6"/>
  <c r="AB811" i="6"/>
  <c r="AH811" i="6"/>
  <c r="AA902" i="6"/>
  <c r="AG902" i="6"/>
  <c r="AF863" i="6"/>
  <c r="Z863" i="6"/>
  <c r="AJ833" i="6"/>
  <c r="AA833" i="6"/>
  <c r="AD833" i="6"/>
  <c r="AG833" i="6"/>
  <c r="AA601" i="6"/>
  <c r="AG601" i="6"/>
  <c r="AA617" i="6"/>
  <c r="AG617" i="6"/>
  <c r="Y608" i="6"/>
  <c r="AE608" i="6"/>
  <c r="AD745" i="6"/>
  <c r="AJ745" i="6"/>
  <c r="AJ837" i="6"/>
  <c r="AD837" i="6"/>
  <c r="AA837" i="6"/>
  <c r="Y805" i="6"/>
  <c r="AE805" i="6"/>
  <c r="AH805" i="6"/>
  <c r="AF923" i="6"/>
  <c r="Z923" i="6"/>
  <c r="AI923" i="6"/>
  <c r="AD750" i="6"/>
  <c r="AJ750" i="6"/>
  <c r="AE733" i="6"/>
  <c r="AB733" i="6"/>
  <c r="AH733" i="6"/>
  <c r="Z990" i="6"/>
  <c r="AI735" i="6"/>
  <c r="Z735" i="6"/>
  <c r="AC735" i="6"/>
  <c r="AF735" i="6"/>
  <c r="AA868" i="6"/>
  <c r="AG725" i="6"/>
  <c r="AA781" i="6"/>
  <c r="AD781" i="6"/>
  <c r="AC948" i="6"/>
  <c r="AI948" i="6"/>
  <c r="AA928" i="6"/>
  <c r="AJ928" i="6"/>
  <c r="AF970" i="6"/>
  <c r="AC970" i="6"/>
  <c r="AJ897" i="6"/>
  <c r="AA897" i="6"/>
  <c r="AB795" i="6"/>
  <c r="AE795" i="6"/>
  <c r="AJ884" i="6"/>
  <c r="AA884" i="6"/>
  <c r="AF754" i="6"/>
  <c r="AI754" i="6"/>
  <c r="Y680" i="6"/>
  <c r="AA647" i="6"/>
  <c r="AG647" i="6"/>
  <c r="AC940" i="6"/>
  <c r="Z940" i="6"/>
  <c r="AF940" i="6"/>
  <c r="Z796" i="6"/>
  <c r="AF796" i="6"/>
  <c r="AE931" i="6"/>
  <c r="AH931" i="6"/>
  <c r="Z573" i="6"/>
  <c r="AI573" i="6"/>
  <c r="AJ817" i="6"/>
  <c r="AA817" i="6"/>
  <c r="AD817" i="6"/>
  <c r="AC819" i="6"/>
  <c r="AI819" i="6"/>
  <c r="AG642" i="6"/>
  <c r="AA642" i="6"/>
  <c r="Y719" i="6"/>
  <c r="AE719" i="6"/>
  <c r="AC634" i="6"/>
  <c r="AF634" i="6"/>
  <c r="AC610" i="6"/>
  <c r="Z752" i="6"/>
  <c r="AF752" i="6"/>
  <c r="Y891" i="6"/>
  <c r="AH891" i="6"/>
  <c r="AH812" i="6"/>
  <c r="Y812" i="6"/>
  <c r="AE812" i="6"/>
  <c r="AB815" i="6"/>
  <c r="Y815" i="6"/>
  <c r="AE815" i="6"/>
  <c r="AH815" i="6"/>
  <c r="AH816" i="6"/>
  <c r="AB816" i="6"/>
  <c r="Z786" i="6"/>
  <c r="AI786" i="6"/>
  <c r="AJ810" i="6"/>
  <c r="AD810" i="6"/>
  <c r="Z974" i="6"/>
  <c r="AA764" i="6"/>
  <c r="AJ764" i="6"/>
  <c r="AC957" i="6"/>
  <c r="AI957" i="6"/>
  <c r="AC806" i="6"/>
  <c r="AF806" i="6"/>
  <c r="Z819" i="6"/>
  <c r="AE850" i="6"/>
  <c r="AA939" i="6"/>
  <c r="AD939" i="6"/>
  <c r="Y667" i="6"/>
  <c r="AE667" i="6"/>
  <c r="AF848" i="6"/>
  <c r="AI848" i="6"/>
  <c r="AJ821" i="6"/>
  <c r="AA821" i="6"/>
  <c r="AA823" i="6"/>
  <c r="AC944" i="6"/>
  <c r="Z944" i="6"/>
  <c r="AI944" i="6"/>
  <c r="AG928" i="6"/>
  <c r="Z685" i="6"/>
  <c r="AC685" i="6"/>
  <c r="Z581" i="6"/>
  <c r="AI581" i="6"/>
  <c r="Y619" i="6"/>
  <c r="AE619" i="6"/>
  <c r="AF586" i="6"/>
  <c r="AC586" i="6"/>
  <c r="AI586" i="6"/>
  <c r="AC774" i="6"/>
  <c r="AI774" i="6"/>
  <c r="AB888" i="6"/>
  <c r="AE888" i="6"/>
  <c r="AD812" i="6"/>
  <c r="AA812" i="6"/>
  <c r="AD778" i="6"/>
  <c r="AJ778" i="6"/>
  <c r="AD881" i="6"/>
  <c r="AG881" i="6"/>
  <c r="AA956" i="6"/>
  <c r="AG956" i="6"/>
  <c r="Y681" i="6"/>
  <c r="AH681" i="6"/>
  <c r="Y785" i="6"/>
  <c r="AB785" i="6"/>
  <c r="AH785" i="6"/>
  <c r="AI775" i="6"/>
  <c r="Z775" i="6"/>
  <c r="AC775" i="6"/>
  <c r="AF775" i="6"/>
  <c r="AB831" i="6"/>
  <c r="AH831" i="6"/>
  <c r="Z607" i="6"/>
  <c r="AF607" i="6"/>
  <c r="AI607" i="6"/>
  <c r="AC607" i="6"/>
  <c r="AH636" i="6"/>
  <c r="AB636" i="6"/>
  <c r="AE636" i="6"/>
  <c r="Y636" i="6"/>
  <c r="AH648" i="6"/>
  <c r="Y648" i="6"/>
  <c r="AB648" i="6"/>
  <c r="AE648" i="6"/>
  <c r="Z678" i="6"/>
  <c r="AI678" i="6"/>
  <c r="AF678" i="6"/>
  <c r="AC678" i="6"/>
  <c r="AD644" i="6"/>
  <c r="AA644" i="6"/>
  <c r="AG644" i="6"/>
  <c r="AJ644" i="6"/>
  <c r="AI727" i="6"/>
  <c r="Z727" i="6"/>
  <c r="AF727" i="6"/>
  <c r="AC727" i="6"/>
  <c r="Z686" i="6"/>
  <c r="AF686" i="6"/>
  <c r="AC686" i="6"/>
  <c r="AI686" i="6"/>
  <c r="AC765" i="6"/>
  <c r="AI765" i="6"/>
  <c r="Z765" i="6"/>
  <c r="AF765" i="6"/>
  <c r="AI795" i="6"/>
  <c r="Z795" i="6"/>
  <c r="AC795" i="6"/>
  <c r="AF795" i="6"/>
  <c r="AG746" i="6"/>
  <c r="AD746" i="6"/>
  <c r="AJ746" i="6"/>
  <c r="AA746" i="6"/>
  <c r="Z814" i="6"/>
  <c r="AC814" i="6"/>
  <c r="AF814" i="6"/>
  <c r="AI814" i="6"/>
  <c r="AE863" i="6"/>
  <c r="AB863" i="6"/>
  <c r="AH863" i="6"/>
  <c r="Y863" i="6"/>
  <c r="AE859" i="6"/>
  <c r="Y859" i="6"/>
  <c r="AB859" i="6"/>
  <c r="AH859" i="6"/>
  <c r="Z830" i="6"/>
  <c r="AC830" i="6"/>
  <c r="AF830" i="6"/>
  <c r="AI830" i="6"/>
  <c r="Z890" i="6"/>
  <c r="AC890" i="6"/>
  <c r="AF890" i="6"/>
  <c r="AI890" i="6"/>
  <c r="AA885" i="6"/>
  <c r="AJ885" i="6"/>
  <c r="AD885" i="6"/>
  <c r="AG885" i="6"/>
  <c r="Z857" i="6"/>
  <c r="AC857" i="6"/>
  <c r="AI857" i="6"/>
  <c r="AF857" i="6"/>
  <c r="AB886" i="6"/>
  <c r="AH886" i="6"/>
  <c r="Y886" i="6"/>
  <c r="AE886" i="6"/>
  <c r="Z898" i="6"/>
  <c r="AF898" i="6"/>
  <c r="AI898" i="6"/>
  <c r="AC898" i="6"/>
  <c r="AI915" i="6"/>
  <c r="Z915" i="6"/>
  <c r="AF915" i="6"/>
  <c r="AC915" i="6"/>
  <c r="AH652" i="6"/>
  <c r="AB652" i="6"/>
  <c r="Y652" i="6"/>
  <c r="AE652" i="6"/>
  <c r="AC708" i="6"/>
  <c r="AI708" i="6"/>
  <c r="Z708" i="6"/>
  <c r="AF708" i="6"/>
  <c r="AC733" i="6"/>
  <c r="AI733" i="6"/>
  <c r="Z733" i="6"/>
  <c r="AF733" i="6"/>
  <c r="AC737" i="6"/>
  <c r="AI737" i="6"/>
  <c r="Z737" i="6"/>
  <c r="AF737" i="6"/>
  <c r="AB613" i="6"/>
  <c r="AE613" i="6"/>
  <c r="AH613" i="6"/>
  <c r="Y613" i="6"/>
  <c r="AE602" i="6"/>
  <c r="AH602" i="6"/>
  <c r="Y602" i="6"/>
  <c r="AB602" i="6"/>
  <c r="AB589" i="6"/>
  <c r="AE589" i="6"/>
  <c r="AH589" i="6"/>
  <c r="Y589" i="6"/>
  <c r="AD643" i="6"/>
  <c r="AJ643" i="6"/>
  <c r="AA643" i="6"/>
  <c r="AG643" i="6"/>
  <c r="AJ673" i="6"/>
  <c r="AA673" i="6"/>
  <c r="AD673" i="6"/>
  <c r="AG673" i="6"/>
  <c r="AC707" i="6"/>
  <c r="AI707" i="6"/>
  <c r="AF707" i="6"/>
  <c r="Z707" i="6"/>
  <c r="AC750" i="6"/>
  <c r="Z750" i="6"/>
  <c r="AI750" i="6"/>
  <c r="AF750" i="6"/>
  <c r="AC766" i="6"/>
  <c r="AF766" i="6"/>
  <c r="Z766" i="6"/>
  <c r="AI766" i="6"/>
  <c r="AG738" i="6"/>
  <c r="AJ738" i="6"/>
  <c r="AA738" i="6"/>
  <c r="AD738" i="6"/>
  <c r="AC805" i="6"/>
  <c r="AF805" i="6"/>
  <c r="AI805" i="6"/>
  <c r="Z805" i="6"/>
  <c r="AB839" i="6"/>
  <c r="Y839" i="6"/>
  <c r="AE839" i="6"/>
  <c r="AH839" i="6"/>
  <c r="AG806" i="6"/>
  <c r="AA806" i="6"/>
  <c r="AD806" i="6"/>
  <c r="AJ806" i="6"/>
  <c r="AH820" i="6"/>
  <c r="Y820" i="6"/>
  <c r="AB820" i="6"/>
  <c r="AE820" i="6"/>
  <c r="AF899" i="6"/>
  <c r="AI899" i="6"/>
  <c r="Z899" i="6"/>
  <c r="AC899" i="6"/>
  <c r="AD895" i="6"/>
  <c r="AJ895" i="6"/>
  <c r="AA895" i="6"/>
  <c r="AG895" i="6"/>
  <c r="AI851" i="6"/>
  <c r="Z851" i="6"/>
  <c r="AF851" i="6"/>
  <c r="AC851" i="6"/>
  <c r="AG865" i="6"/>
  <c r="AA865" i="6"/>
  <c r="AD865" i="6"/>
  <c r="AJ865" i="6"/>
  <c r="AI937" i="6"/>
  <c r="AC937" i="6"/>
  <c r="AF937" i="6"/>
  <c r="Z937" i="6"/>
  <c r="Y941" i="6"/>
  <c r="AE941" i="6"/>
  <c r="AB941" i="6"/>
  <c r="AH941" i="6"/>
  <c r="AF941" i="6"/>
  <c r="AI941" i="6"/>
  <c r="Z941" i="6"/>
  <c r="AC941" i="6"/>
  <c r="AC593" i="6"/>
  <c r="AF593" i="6"/>
  <c r="AI593" i="6"/>
  <c r="Z593" i="6"/>
  <c r="AD590" i="6"/>
  <c r="AG590" i="6"/>
  <c r="AJ590" i="6"/>
  <c r="AA590" i="6"/>
  <c r="AD861" i="6"/>
  <c r="AJ861" i="6"/>
  <c r="AA861" i="6"/>
  <c r="AG861" i="6"/>
  <c r="AD630" i="6"/>
  <c r="AG630" i="6"/>
  <c r="AA630" i="6"/>
  <c r="AJ630" i="6"/>
  <c r="AC569" i="6"/>
  <c r="AF569" i="6"/>
  <c r="AI569" i="6"/>
  <c r="Z569" i="6"/>
  <c r="AD648" i="6"/>
  <c r="AA648" i="6"/>
  <c r="AG648" i="6"/>
  <c r="AJ648" i="6"/>
  <c r="AJ661" i="6"/>
  <c r="AA661" i="6"/>
  <c r="AD661" i="6"/>
  <c r="AG661" i="6"/>
  <c r="AH684" i="6"/>
  <c r="Y684" i="6"/>
  <c r="AE684" i="6"/>
  <c r="AB684" i="6"/>
  <c r="AB665" i="6"/>
  <c r="Y665" i="6"/>
  <c r="AE665" i="6"/>
  <c r="AH665" i="6"/>
  <c r="AA717" i="6"/>
  <c r="AD717" i="6"/>
  <c r="AJ717" i="6"/>
  <c r="AG717" i="6"/>
  <c r="Y731" i="6"/>
  <c r="AE731" i="6"/>
  <c r="AH731" i="6"/>
  <c r="AB731" i="6"/>
  <c r="Z668" i="6"/>
  <c r="AC668" i="6"/>
  <c r="AF668" i="6"/>
  <c r="AI668" i="6"/>
  <c r="AC729" i="6"/>
  <c r="AI729" i="6"/>
  <c r="Z729" i="6"/>
  <c r="AF729" i="6"/>
  <c r="AG708" i="6"/>
  <c r="AD708" i="6"/>
  <c r="AA708" i="6"/>
  <c r="AJ708" i="6"/>
  <c r="AB823" i="6"/>
  <c r="AH823" i="6"/>
  <c r="Y823" i="6"/>
  <c r="AE823" i="6"/>
  <c r="AC809" i="6"/>
  <c r="Z809" i="6"/>
  <c r="AF809" i="6"/>
  <c r="AI809" i="6"/>
  <c r="AH848" i="6"/>
  <c r="AE848" i="6"/>
  <c r="Y848" i="6"/>
  <c r="AB848" i="6"/>
  <c r="AB809" i="6"/>
  <c r="AE809" i="6"/>
  <c r="Y809" i="6"/>
  <c r="AH809" i="6"/>
  <c r="AB830" i="6"/>
  <c r="AH830" i="6"/>
  <c r="Y830" i="6"/>
  <c r="AE830" i="6"/>
  <c r="AD915" i="6"/>
  <c r="AJ915" i="6"/>
  <c r="AA915" i="6"/>
  <c r="AG915" i="6"/>
  <c r="AF875" i="6"/>
  <c r="AI875" i="6"/>
  <c r="AC875" i="6"/>
  <c r="Z875" i="6"/>
  <c r="AB898" i="6"/>
  <c r="AH898" i="6"/>
  <c r="Y898" i="6"/>
  <c r="AE898" i="6"/>
  <c r="AH896" i="6"/>
  <c r="Y896" i="6"/>
  <c r="AB896" i="6"/>
  <c r="AE896" i="6"/>
  <c r="AE952" i="6"/>
  <c r="Y952" i="6"/>
  <c r="AH952" i="6"/>
  <c r="AB952" i="6"/>
  <c r="AG945" i="6"/>
  <c r="AA945" i="6"/>
  <c r="AD945" i="6"/>
  <c r="AJ945" i="6"/>
  <c r="Y945" i="6"/>
  <c r="AE945" i="6"/>
  <c r="AB945" i="6"/>
  <c r="AH945" i="6"/>
  <c r="AI945" i="6"/>
  <c r="Z945" i="6"/>
  <c r="AC945" i="6"/>
  <c r="AF945" i="6"/>
  <c r="AA732" i="6"/>
  <c r="AG732" i="6"/>
  <c r="AD732" i="6"/>
  <c r="AJ732" i="6"/>
  <c r="Y799" i="6"/>
  <c r="AE799" i="6"/>
  <c r="AB799" i="6"/>
  <c r="AH799" i="6"/>
  <c r="AB827" i="6"/>
  <c r="Y827" i="6"/>
  <c r="AE827" i="6"/>
  <c r="AH827" i="6"/>
  <c r="AB902" i="6"/>
  <c r="AH902" i="6"/>
  <c r="Y902" i="6"/>
  <c r="AE902" i="6"/>
  <c r="AJ889" i="6"/>
  <c r="AA889" i="6"/>
  <c r="AG889" i="6"/>
  <c r="AD889" i="6"/>
  <c r="AE936" i="6"/>
  <c r="Y936" i="6"/>
  <c r="AB936" i="6"/>
  <c r="AH936" i="6"/>
  <c r="AB956" i="6"/>
  <c r="AE956" i="6"/>
  <c r="Y956" i="6"/>
  <c r="AH956" i="6"/>
  <c r="AC617" i="6"/>
  <c r="AF617" i="6"/>
  <c r="AI617" i="6"/>
  <c r="Z617" i="6"/>
  <c r="Z560" i="6"/>
  <c r="AC560" i="6"/>
  <c r="AF560" i="6"/>
  <c r="AI560" i="6"/>
  <c r="AG595" i="6"/>
  <c r="AJ595" i="6"/>
  <c r="AA595" i="6"/>
  <c r="AD595" i="6"/>
  <c r="AJ619" i="6"/>
  <c r="AA619" i="6"/>
  <c r="AD619" i="6"/>
  <c r="AG619" i="6"/>
  <c r="AH668" i="6"/>
  <c r="AB668" i="6"/>
  <c r="Y668" i="6"/>
  <c r="AE668" i="6"/>
  <c r="Z662" i="6"/>
  <c r="AF662" i="6"/>
  <c r="AI662" i="6"/>
  <c r="AC662" i="6"/>
  <c r="AJ689" i="6"/>
  <c r="AA689" i="6"/>
  <c r="AG689" i="6"/>
  <c r="AD689" i="6"/>
  <c r="AD678" i="6"/>
  <c r="AG678" i="6"/>
  <c r="AJ678" i="6"/>
  <c r="AA678" i="6"/>
  <c r="AD688" i="6"/>
  <c r="AA688" i="6"/>
  <c r="AG688" i="6"/>
  <c r="AJ688" i="6"/>
  <c r="AA737" i="6"/>
  <c r="AG737" i="6"/>
  <c r="AD737" i="6"/>
  <c r="AJ737" i="6"/>
  <c r="Z674" i="6"/>
  <c r="AC674" i="6"/>
  <c r="AI674" i="6"/>
  <c r="AF674" i="6"/>
  <c r="Y738" i="6"/>
  <c r="AE738" i="6"/>
  <c r="AB738" i="6"/>
  <c r="AH738" i="6"/>
  <c r="AB768" i="6"/>
  <c r="Y768" i="6"/>
  <c r="AE768" i="6"/>
  <c r="AH768" i="6"/>
  <c r="AC762" i="6"/>
  <c r="Z762" i="6"/>
  <c r="AI762" i="6"/>
  <c r="AF762" i="6"/>
  <c r="AA718" i="6"/>
  <c r="AG718" i="6"/>
  <c r="AJ718" i="6"/>
  <c r="AD718" i="6"/>
  <c r="AA748" i="6"/>
  <c r="AG748" i="6"/>
  <c r="AJ748" i="6"/>
  <c r="AD748" i="6"/>
  <c r="AI804" i="6"/>
  <c r="AF804" i="6"/>
  <c r="Z804" i="6"/>
  <c r="AC804" i="6"/>
  <c r="AJ813" i="6"/>
  <c r="AA813" i="6"/>
  <c r="AD813" i="6"/>
  <c r="AG813" i="6"/>
  <c r="AD824" i="6"/>
  <c r="AA824" i="6"/>
  <c r="AG824" i="6"/>
  <c r="AJ824" i="6"/>
  <c r="AG794" i="6"/>
  <c r="AJ794" i="6"/>
  <c r="AA794" i="6"/>
  <c r="AD794" i="6"/>
  <c r="AE920" i="6"/>
  <c r="AH920" i="6"/>
  <c r="Y920" i="6"/>
  <c r="AB920" i="6"/>
  <c r="AG920" i="6"/>
  <c r="AA920" i="6"/>
  <c r="AD920" i="6"/>
  <c r="AJ920" i="6"/>
  <c r="AF904" i="6"/>
  <c r="Z904" i="6"/>
  <c r="AC904" i="6"/>
  <c r="AI904" i="6"/>
  <c r="AB903" i="6"/>
  <c r="Y903" i="6"/>
  <c r="AH903" i="6"/>
  <c r="AE903" i="6"/>
  <c r="AH872" i="6"/>
  <c r="Y872" i="6"/>
  <c r="AB872" i="6"/>
  <c r="AE872" i="6"/>
  <c r="AE887" i="6"/>
  <c r="AB887" i="6"/>
  <c r="Y887" i="6"/>
  <c r="AH887" i="6"/>
  <c r="Z861" i="6"/>
  <c r="AF861" i="6"/>
  <c r="AC861" i="6"/>
  <c r="AI861" i="6"/>
  <c r="AF891" i="6"/>
  <c r="AI891" i="6"/>
  <c r="AC891" i="6"/>
  <c r="Z891" i="6"/>
  <c r="AF933" i="6"/>
  <c r="AI933" i="6"/>
  <c r="Z933" i="6"/>
  <c r="AC933" i="6"/>
  <c r="Z568" i="6"/>
  <c r="AC568" i="6"/>
  <c r="AF568" i="6"/>
  <c r="AI568" i="6"/>
  <c r="Z624" i="6"/>
  <c r="AF624" i="6"/>
  <c r="AI624" i="6"/>
  <c r="AC624" i="6"/>
  <c r="Z590" i="6"/>
  <c r="AC590" i="6"/>
  <c r="AF590" i="6"/>
  <c r="AI590" i="6"/>
  <c r="AH666" i="6"/>
  <c r="Y666" i="6"/>
  <c r="AE666" i="6"/>
  <c r="AB666" i="6"/>
  <c r="AJ679" i="6"/>
  <c r="AG679" i="6"/>
  <c r="AD679" i="6"/>
  <c r="AA679" i="6"/>
  <c r="AH676" i="6"/>
  <c r="Y676" i="6"/>
  <c r="AB676" i="6"/>
  <c r="AE676" i="6"/>
  <c r="AF636" i="6"/>
  <c r="Z636" i="6"/>
  <c r="AC636" i="6"/>
  <c r="AI636" i="6"/>
  <c r="AB679" i="6"/>
  <c r="AH679" i="6"/>
  <c r="Y679" i="6"/>
  <c r="AE679" i="6"/>
  <c r="AI709" i="6"/>
  <c r="Z709" i="6"/>
  <c r="AC709" i="6"/>
  <c r="AF709" i="6"/>
  <c r="AA694" i="6"/>
  <c r="AG694" i="6"/>
  <c r="AD694" i="6"/>
  <c r="AJ694" i="6"/>
  <c r="AC741" i="6"/>
  <c r="AI741" i="6"/>
  <c r="Z741" i="6"/>
  <c r="AF741" i="6"/>
  <c r="AI751" i="6"/>
  <c r="AC751" i="6"/>
  <c r="Z751" i="6"/>
  <c r="AF751" i="6"/>
  <c r="Y776" i="6"/>
  <c r="AB776" i="6"/>
  <c r="AE776" i="6"/>
  <c r="AH776" i="6"/>
  <c r="AG771" i="6"/>
  <c r="AA771" i="6"/>
  <c r="AD771" i="6"/>
  <c r="AJ771" i="6"/>
  <c r="AE749" i="6"/>
  <c r="Y749" i="6"/>
  <c r="AB749" i="6"/>
  <c r="AH749" i="6"/>
  <c r="AH828" i="6"/>
  <c r="Y828" i="6"/>
  <c r="AB828" i="6"/>
  <c r="AE828" i="6"/>
  <c r="AA757" i="6"/>
  <c r="AD757" i="6"/>
  <c r="AJ757" i="6"/>
  <c r="AG757" i="6"/>
  <c r="AH844" i="6"/>
  <c r="Y844" i="6"/>
  <c r="AB844" i="6"/>
  <c r="AE844" i="6"/>
  <c r="AB835" i="6"/>
  <c r="Y835" i="6"/>
  <c r="AE835" i="6"/>
  <c r="AH835" i="6"/>
  <c r="AB923" i="6"/>
  <c r="AH923" i="6"/>
  <c r="Y923" i="6"/>
  <c r="AE923" i="6"/>
  <c r="AH908" i="6"/>
  <c r="AB908" i="6"/>
  <c r="Y908" i="6"/>
  <c r="AE908" i="6"/>
  <c r="AD875" i="6"/>
  <c r="AJ875" i="6"/>
  <c r="AA875" i="6"/>
  <c r="AG875" i="6"/>
  <c r="Z865" i="6"/>
  <c r="AC865" i="6"/>
  <c r="AF865" i="6"/>
  <c r="AI865" i="6"/>
  <c r="AJ856" i="6"/>
  <c r="AA856" i="6"/>
  <c r="AD856" i="6"/>
  <c r="AG856" i="6"/>
  <c r="Z939" i="6"/>
  <c r="AC939" i="6"/>
  <c r="AI939" i="6"/>
  <c r="AF939" i="6"/>
  <c r="AE944" i="6"/>
  <c r="Y944" i="6"/>
  <c r="AB944" i="6"/>
  <c r="AH944" i="6"/>
  <c r="AI927" i="6"/>
  <c r="Z927" i="6"/>
  <c r="AF927" i="6"/>
  <c r="AC927" i="6"/>
  <c r="AG965" i="6"/>
  <c r="AJ965" i="6"/>
  <c r="AD965" i="6"/>
  <c r="AA965" i="6"/>
  <c r="AC609" i="6"/>
  <c r="AF609" i="6"/>
  <c r="AI609" i="6"/>
  <c r="Z609" i="6"/>
  <c r="AJ677" i="6"/>
  <c r="AD677" i="6"/>
  <c r="AG677" i="6"/>
  <c r="AA677" i="6"/>
  <c r="AH686" i="6"/>
  <c r="AE686" i="6"/>
  <c r="AB686" i="6"/>
  <c r="Y686" i="6"/>
  <c r="Z641" i="6"/>
  <c r="AF641" i="6"/>
  <c r="AI641" i="6"/>
  <c r="AC641" i="6"/>
  <c r="AJ683" i="6"/>
  <c r="AA683" i="6"/>
  <c r="AD683" i="6"/>
  <c r="AG683" i="6"/>
  <c r="AH656" i="6"/>
  <c r="AB656" i="6"/>
  <c r="AE656" i="6"/>
  <c r="Y656" i="6"/>
  <c r="AC695" i="6"/>
  <c r="AI695" i="6"/>
  <c r="Z695" i="6"/>
  <c r="AF695" i="6"/>
  <c r="AI747" i="6"/>
  <c r="Z747" i="6"/>
  <c r="AF747" i="6"/>
  <c r="AC747" i="6"/>
  <c r="AA695" i="6"/>
  <c r="AD695" i="6"/>
  <c r="AJ695" i="6"/>
  <c r="AG695" i="6"/>
  <c r="AG697" i="6"/>
  <c r="AA697" i="6"/>
  <c r="AD697" i="6"/>
  <c r="AJ697" i="6"/>
  <c r="AI706" i="6"/>
  <c r="AF706" i="6"/>
  <c r="AC706" i="6"/>
  <c r="Z706" i="6"/>
  <c r="AC757" i="6"/>
  <c r="AI757" i="6"/>
  <c r="Z757" i="6"/>
  <c r="AF757" i="6"/>
  <c r="Y746" i="6"/>
  <c r="AE746" i="6"/>
  <c r="AH746" i="6"/>
  <c r="AB746" i="6"/>
  <c r="AI771" i="6"/>
  <c r="Z771" i="6"/>
  <c r="AC771" i="6"/>
  <c r="AF771" i="6"/>
  <c r="Y852" i="6"/>
  <c r="AB852" i="6"/>
  <c r="AE852" i="6"/>
  <c r="AH852" i="6"/>
  <c r="AJ829" i="6"/>
  <c r="AA829" i="6"/>
  <c r="AD829" i="6"/>
  <c r="AG829" i="6"/>
  <c r="Y800" i="6"/>
  <c r="AB800" i="6"/>
  <c r="AE800" i="6"/>
  <c r="AH800" i="6"/>
  <c r="AH853" i="6"/>
  <c r="AB853" i="6"/>
  <c r="Y853" i="6"/>
  <c r="AE853" i="6"/>
  <c r="Y796" i="6"/>
  <c r="AE796" i="6"/>
  <c r="AH796" i="6"/>
  <c r="AB796" i="6"/>
  <c r="AH912" i="6"/>
  <c r="AB912" i="6"/>
  <c r="Y912" i="6"/>
  <c r="AE912" i="6"/>
  <c r="AB914" i="6"/>
  <c r="AH914" i="6"/>
  <c r="Y914" i="6"/>
  <c r="AE914" i="6"/>
  <c r="AD855" i="6"/>
  <c r="AA855" i="6"/>
  <c r="AG855" i="6"/>
  <c r="AJ855" i="6"/>
  <c r="AJ873" i="6"/>
  <c r="AA873" i="6"/>
  <c r="AD873" i="6"/>
  <c r="AG873" i="6"/>
  <c r="Z892" i="6"/>
  <c r="AF892" i="6"/>
  <c r="AC892" i="6"/>
  <c r="AI892" i="6"/>
  <c r="AH925" i="6"/>
  <c r="Y925" i="6"/>
  <c r="AE925" i="6"/>
  <c r="AB925" i="6"/>
  <c r="Z953" i="6"/>
  <c r="AC953" i="6"/>
  <c r="AF953" i="6"/>
  <c r="AI953" i="6"/>
  <c r="Z961" i="6"/>
  <c r="AC961" i="6"/>
  <c r="AF961" i="6"/>
  <c r="AI961" i="6"/>
  <c r="Z925" i="6"/>
  <c r="AF925" i="6"/>
  <c r="AI925" i="6"/>
  <c r="AC925" i="6"/>
  <c r="AF912" i="6"/>
  <c r="Z912" i="6"/>
  <c r="AI912" i="6"/>
  <c r="AC912" i="6"/>
  <c r="Z584" i="6"/>
  <c r="AC584" i="6"/>
  <c r="AF584" i="6"/>
  <c r="AI584" i="6"/>
  <c r="AB669" i="6"/>
  <c r="AE669" i="6"/>
  <c r="AH669" i="6"/>
  <c r="Y669" i="6"/>
  <c r="AA740" i="6"/>
  <c r="AG740" i="6"/>
  <c r="AJ740" i="6"/>
  <c r="AD740" i="6"/>
  <c r="AA749" i="6"/>
  <c r="AJ749" i="6"/>
  <c r="AG749" i="6"/>
  <c r="AD749" i="6"/>
  <c r="AE758" i="6"/>
  <c r="Y758" i="6"/>
  <c r="AB758" i="6"/>
  <c r="AH758" i="6"/>
  <c r="AC742" i="6"/>
  <c r="Z742" i="6"/>
  <c r="AI742" i="6"/>
  <c r="AF742" i="6"/>
  <c r="AG751" i="6"/>
  <c r="AA751" i="6"/>
  <c r="AD751" i="6"/>
  <c r="AJ751" i="6"/>
  <c r="AE773" i="6"/>
  <c r="AH773" i="6"/>
  <c r="Y773" i="6"/>
  <c r="AB773" i="6"/>
  <c r="AE778" i="6"/>
  <c r="Y778" i="6"/>
  <c r="AB778" i="6"/>
  <c r="AH778" i="6"/>
  <c r="AB818" i="6"/>
  <c r="AH818" i="6"/>
  <c r="Y818" i="6"/>
  <c r="AE818" i="6"/>
  <c r="AI931" i="6"/>
  <c r="Z931" i="6"/>
  <c r="AF931" i="6"/>
  <c r="AC931" i="6"/>
  <c r="Y919" i="6"/>
  <c r="AE919" i="6"/>
  <c r="AH919" i="6"/>
  <c r="AB919" i="6"/>
  <c r="AB906" i="6"/>
  <c r="AH906" i="6"/>
  <c r="AE906" i="6"/>
  <c r="Y906" i="6"/>
  <c r="AH913" i="6"/>
  <c r="Y913" i="6"/>
  <c r="AB913" i="6"/>
  <c r="AE913" i="6"/>
  <c r="AJ913" i="6"/>
  <c r="AA913" i="6"/>
  <c r="AG913" i="6"/>
  <c r="AD913" i="6"/>
  <c r="AD932" i="6"/>
  <c r="AG932" i="6"/>
  <c r="AJ932" i="6"/>
  <c r="AA932" i="6"/>
  <c r="Y953" i="6"/>
  <c r="AE953" i="6"/>
  <c r="AB953" i="6"/>
  <c r="AH953" i="6"/>
  <c r="AB901" i="6"/>
  <c r="AH901" i="6"/>
  <c r="AE901" i="6"/>
  <c r="Y901" i="6"/>
  <c r="Z649" i="6"/>
  <c r="AF649" i="6"/>
  <c r="AC649" i="6"/>
  <c r="AI649" i="6"/>
  <c r="Y892" i="6"/>
  <c r="AH892" i="6"/>
  <c r="AB892" i="6"/>
  <c r="AE892" i="6"/>
  <c r="AH626" i="6"/>
  <c r="Y626" i="6"/>
  <c r="AB626" i="6"/>
  <c r="AE626" i="6"/>
  <c r="AB646" i="6"/>
  <c r="AH646" i="6"/>
  <c r="AE646" i="6"/>
  <c r="Y646" i="6"/>
  <c r="AJ665" i="6"/>
  <c r="AA665" i="6"/>
  <c r="AD665" i="6"/>
  <c r="AG665" i="6"/>
  <c r="Z592" i="6"/>
  <c r="AF592" i="6"/>
  <c r="AI592" i="6"/>
  <c r="AC592" i="6"/>
  <c r="AD626" i="6"/>
  <c r="AA626" i="6"/>
  <c r="AG626" i="6"/>
  <c r="AJ626" i="6"/>
  <c r="AB651" i="6"/>
  <c r="AH651" i="6"/>
  <c r="Y651" i="6"/>
  <c r="AE651" i="6"/>
  <c r="AJ675" i="6"/>
  <c r="AA675" i="6"/>
  <c r="AG675" i="6"/>
  <c r="AD675" i="6"/>
  <c r="Y744" i="6"/>
  <c r="AB744" i="6"/>
  <c r="AE744" i="6"/>
  <c r="AH744" i="6"/>
  <c r="AA761" i="6"/>
  <c r="AJ761" i="6"/>
  <c r="AD761" i="6"/>
  <c r="AG761" i="6"/>
  <c r="AI759" i="6"/>
  <c r="Z759" i="6"/>
  <c r="AF759" i="6"/>
  <c r="AC759" i="6"/>
  <c r="AE781" i="6"/>
  <c r="AH781" i="6"/>
  <c r="Y781" i="6"/>
  <c r="AB781" i="6"/>
  <c r="AG766" i="6"/>
  <c r="AJ766" i="6"/>
  <c r="AA766" i="6"/>
  <c r="AD766" i="6"/>
  <c r="AA777" i="6"/>
  <c r="AD777" i="6"/>
  <c r="AG777" i="6"/>
  <c r="AJ777" i="6"/>
  <c r="Z834" i="6"/>
  <c r="AC834" i="6"/>
  <c r="AF834" i="6"/>
  <c r="AI834" i="6"/>
  <c r="AD811" i="6"/>
  <c r="AJ811" i="6"/>
  <c r="AA811" i="6"/>
  <c r="AG811" i="6"/>
  <c r="Y807" i="6"/>
  <c r="AE807" i="6"/>
  <c r="AH807" i="6"/>
  <c r="AB807" i="6"/>
  <c r="AG795" i="6"/>
  <c r="AA795" i="6"/>
  <c r="AD795" i="6"/>
  <c r="AJ795" i="6"/>
  <c r="AD834" i="6"/>
  <c r="AJ834" i="6"/>
  <c r="AA834" i="6"/>
  <c r="AG834" i="6"/>
  <c r="AE879" i="6"/>
  <c r="AB879" i="6"/>
  <c r="Y879" i="6"/>
  <c r="AH879" i="6"/>
  <c r="AD869" i="6"/>
  <c r="AG869" i="6"/>
  <c r="AA869" i="6"/>
  <c r="AJ869" i="6"/>
  <c r="AD916" i="6"/>
  <c r="AG916" i="6"/>
  <c r="AJ916" i="6"/>
  <c r="AA916" i="6"/>
  <c r="AD899" i="6"/>
  <c r="AJ899" i="6"/>
  <c r="AA899" i="6"/>
  <c r="AG899" i="6"/>
  <c r="AG937" i="6"/>
  <c r="AA937" i="6"/>
  <c r="AD937" i="6"/>
  <c r="AJ937" i="6"/>
  <c r="AJ918" i="6"/>
  <c r="AA918" i="6"/>
  <c r="AG918" i="6"/>
  <c r="AD918" i="6"/>
  <c r="AA942" i="6"/>
  <c r="AG942" i="6"/>
  <c r="AD942" i="6"/>
  <c r="AJ942" i="6"/>
  <c r="Y573" i="6"/>
  <c r="AB573" i="6"/>
  <c r="AE573" i="6"/>
  <c r="AH573" i="6"/>
  <c r="AJ653" i="6"/>
  <c r="AG653" i="6"/>
  <c r="AA653" i="6"/>
  <c r="AD653" i="6"/>
  <c r="AB647" i="6"/>
  <c r="Y647" i="6"/>
  <c r="AE647" i="6"/>
  <c r="AH647" i="6"/>
  <c r="AB635" i="6"/>
  <c r="AE635" i="6"/>
  <c r="AH635" i="6"/>
  <c r="Y635" i="6"/>
  <c r="AI701" i="6"/>
  <c r="AC701" i="6"/>
  <c r="Z701" i="6"/>
  <c r="AF701" i="6"/>
  <c r="AF644" i="6"/>
  <c r="Z644" i="6"/>
  <c r="AC644" i="6"/>
  <c r="AI644" i="6"/>
  <c r="AC717" i="6"/>
  <c r="AI717" i="6"/>
  <c r="Z717" i="6"/>
  <c r="AF717" i="6"/>
  <c r="Y693" i="6"/>
  <c r="AE693" i="6"/>
  <c r="AB693" i="6"/>
  <c r="AH693" i="6"/>
  <c r="Y697" i="6"/>
  <c r="AE697" i="6"/>
  <c r="AB697" i="6"/>
  <c r="AH697" i="6"/>
  <c r="Z676" i="6"/>
  <c r="AC676" i="6"/>
  <c r="AF676" i="6"/>
  <c r="AI676" i="6"/>
  <c r="Y702" i="6"/>
  <c r="AB702" i="6"/>
  <c r="AE702" i="6"/>
  <c r="AH702" i="6"/>
  <c r="AA729" i="6"/>
  <c r="AD729" i="6"/>
  <c r="AJ729" i="6"/>
  <c r="AG729" i="6"/>
  <c r="AI787" i="6"/>
  <c r="AF787" i="6"/>
  <c r="Z787" i="6"/>
  <c r="AC787" i="6"/>
  <c r="AG760" i="6"/>
  <c r="AA760" i="6"/>
  <c r="AJ760" i="6"/>
  <c r="AD760" i="6"/>
  <c r="AC782" i="6"/>
  <c r="Z782" i="6"/>
  <c r="AF782" i="6"/>
  <c r="AI782" i="6"/>
  <c r="AC785" i="6"/>
  <c r="AI785" i="6"/>
  <c r="Z785" i="6"/>
  <c r="AF785" i="6"/>
  <c r="AD839" i="6"/>
  <c r="AJ839" i="6"/>
  <c r="AA839" i="6"/>
  <c r="AG839" i="6"/>
  <c r="AD819" i="6"/>
  <c r="AJ819" i="6"/>
  <c r="AA819" i="6"/>
  <c r="AG819" i="6"/>
  <c r="AC859" i="6"/>
  <c r="AF859" i="6"/>
  <c r="Z859" i="6"/>
  <c r="AI859" i="6"/>
  <c r="Z884" i="6"/>
  <c r="AF884" i="6"/>
  <c r="AC884" i="6"/>
  <c r="AI884" i="6"/>
  <c r="AG872" i="6"/>
  <c r="AD872" i="6"/>
  <c r="AA872" i="6"/>
  <c r="AJ872" i="6"/>
  <c r="AJ814" i="6"/>
  <c r="AD814" i="6"/>
  <c r="AG814" i="6"/>
  <c r="AA814" i="6"/>
  <c r="AH880" i="6"/>
  <c r="Y880" i="6"/>
  <c r="AB880" i="6"/>
  <c r="AE880" i="6"/>
  <c r="AF949" i="6"/>
  <c r="AI949" i="6"/>
  <c r="Z949" i="6"/>
  <c r="AC949" i="6"/>
  <c r="AB948" i="6"/>
  <c r="AE948" i="6"/>
  <c r="Y948" i="6"/>
  <c r="AH948" i="6"/>
  <c r="AE960" i="6"/>
  <c r="AH960" i="6"/>
  <c r="Y960" i="6"/>
  <c r="AB960" i="6"/>
  <c r="Y940" i="6"/>
  <c r="AB940" i="6"/>
  <c r="AE940" i="6"/>
  <c r="AH940" i="6"/>
  <c r="AF652" i="6"/>
  <c r="Z652" i="6"/>
  <c r="AC652" i="6"/>
  <c r="AI652" i="6"/>
  <c r="AE704" i="6"/>
  <c r="Y704" i="6"/>
  <c r="AB704" i="6"/>
  <c r="AH704" i="6"/>
  <c r="Z598" i="6"/>
  <c r="AC598" i="6"/>
  <c r="AF598" i="6"/>
  <c r="AI598" i="6"/>
  <c r="AA566" i="6"/>
  <c r="AD566" i="6"/>
  <c r="AG566" i="6"/>
  <c r="AJ566" i="6"/>
  <c r="Z606" i="6"/>
  <c r="AC606" i="6"/>
  <c r="AF606" i="6"/>
  <c r="AI606" i="6"/>
  <c r="AJ655" i="6"/>
  <c r="AG655" i="6"/>
  <c r="AA655" i="6"/>
  <c r="AD655" i="6"/>
  <c r="AB621" i="6"/>
  <c r="AE621" i="6"/>
  <c r="AH621" i="6"/>
  <c r="Y621" i="6"/>
  <c r="AJ685" i="6"/>
  <c r="AD685" i="6"/>
  <c r="AG685" i="6"/>
  <c r="AA685" i="6"/>
  <c r="AE711" i="6"/>
  <c r="AH711" i="6"/>
  <c r="Y711" i="6"/>
  <c r="AB711" i="6"/>
  <c r="Y788" i="6"/>
  <c r="AB788" i="6"/>
  <c r="AE788" i="6"/>
  <c r="AH788" i="6"/>
  <c r="AC781" i="6"/>
  <c r="AI781" i="6"/>
  <c r="Z781" i="6"/>
  <c r="AF781" i="6"/>
  <c r="Y724" i="6"/>
  <c r="AH724" i="6"/>
  <c r="AB724" i="6"/>
  <c r="AE724" i="6"/>
  <c r="AA783" i="6"/>
  <c r="AG783" i="6"/>
  <c r="AD783" i="6"/>
  <c r="AJ783" i="6"/>
  <c r="AB838" i="6"/>
  <c r="AH838" i="6"/>
  <c r="Y838" i="6"/>
  <c r="AE838" i="6"/>
  <c r="AA797" i="6"/>
  <c r="AD797" i="6"/>
  <c r="AG797" i="6"/>
  <c r="AJ797" i="6"/>
  <c r="AF815" i="6"/>
  <c r="AI815" i="6"/>
  <c r="Z815" i="6"/>
  <c r="AC815" i="6"/>
  <c r="AB851" i="6"/>
  <c r="Y851" i="6"/>
  <c r="AE851" i="6"/>
  <c r="AH851" i="6"/>
  <c r="AB875" i="6"/>
  <c r="AE875" i="6"/>
  <c r="AH875" i="6"/>
  <c r="Y875" i="6"/>
  <c r="AA804" i="6"/>
  <c r="AD804" i="6"/>
  <c r="AG804" i="6"/>
  <c r="AJ804" i="6"/>
  <c r="AD883" i="6"/>
  <c r="AJ883" i="6"/>
  <c r="AA883" i="6"/>
  <c r="AG883" i="6"/>
  <c r="AD904" i="6"/>
  <c r="AA904" i="6"/>
  <c r="AG904" i="6"/>
  <c r="AJ904" i="6"/>
  <c r="AG953" i="6"/>
  <c r="AA953" i="6"/>
  <c r="AD953" i="6"/>
  <c r="AJ953" i="6"/>
  <c r="AC969" i="6"/>
  <c r="AF969" i="6"/>
  <c r="AI969" i="6"/>
  <c r="Z969" i="6"/>
  <c r="AE594" i="6"/>
  <c r="AH594" i="6"/>
  <c r="Y594" i="6"/>
  <c r="AB594" i="6"/>
  <c r="Z566" i="6"/>
  <c r="AC566" i="6"/>
  <c r="AF566" i="6"/>
  <c r="AI566" i="6"/>
  <c r="Z622" i="6"/>
  <c r="AC622" i="6"/>
  <c r="AF622" i="6"/>
  <c r="AI622" i="6"/>
  <c r="AJ645" i="6"/>
  <c r="AD645" i="6"/>
  <c r="AG645" i="6"/>
  <c r="AA645" i="6"/>
  <c r="AC699" i="6"/>
  <c r="AI699" i="6"/>
  <c r="Z699" i="6"/>
  <c r="AF699" i="6"/>
  <c r="AE696" i="6"/>
  <c r="Y696" i="6"/>
  <c r="AB696" i="6"/>
  <c r="AH696" i="6"/>
  <c r="AH707" i="6"/>
  <c r="Y707" i="6"/>
  <c r="AB707" i="6"/>
  <c r="AE707" i="6"/>
  <c r="AE726" i="6"/>
  <c r="AB726" i="6"/>
  <c r="Y726" i="6"/>
  <c r="AH726" i="6"/>
  <c r="AA709" i="6"/>
  <c r="AG709" i="6"/>
  <c r="AD709" i="6"/>
  <c r="AJ709" i="6"/>
  <c r="AE770" i="6"/>
  <c r="Y770" i="6"/>
  <c r="AB770" i="6"/>
  <c r="AH770" i="6"/>
  <c r="AA733" i="6"/>
  <c r="AD733" i="6"/>
  <c r="AJ733" i="6"/>
  <c r="AG733" i="6"/>
  <c r="AA731" i="6"/>
  <c r="AG731" i="6"/>
  <c r="AJ731" i="6"/>
  <c r="AD731" i="6"/>
  <c r="AG762" i="6"/>
  <c r="AJ762" i="6"/>
  <c r="AA762" i="6"/>
  <c r="AD762" i="6"/>
  <c r="AG782" i="6"/>
  <c r="AJ782" i="6"/>
  <c r="AA782" i="6"/>
  <c r="AD782" i="6"/>
  <c r="AF770" i="6"/>
  <c r="AC770" i="6"/>
  <c r="Z770" i="6"/>
  <c r="AI770" i="6"/>
  <c r="Y736" i="6"/>
  <c r="AE736" i="6"/>
  <c r="AB736" i="6"/>
  <c r="AH736" i="6"/>
  <c r="AA784" i="6"/>
  <c r="AG784" i="6"/>
  <c r="AD784" i="6"/>
  <c r="AJ784" i="6"/>
  <c r="AD828" i="6"/>
  <c r="AJ828" i="6"/>
  <c r="AA828" i="6"/>
  <c r="AG828" i="6"/>
  <c r="AE806" i="6"/>
  <c r="AB806" i="6"/>
  <c r="Y806" i="6"/>
  <c r="AH806" i="6"/>
  <c r="AJ864" i="6"/>
  <c r="AA864" i="6"/>
  <c r="AG864" i="6"/>
  <c r="AD864" i="6"/>
  <c r="Z825" i="6"/>
  <c r="AF825" i="6"/>
  <c r="AC825" i="6"/>
  <c r="AI825" i="6"/>
  <c r="AB874" i="6"/>
  <c r="AH874" i="6"/>
  <c r="Y874" i="6"/>
  <c r="AE874" i="6"/>
  <c r="AE871" i="6"/>
  <c r="AB871" i="6"/>
  <c r="AH871" i="6"/>
  <c r="Y871" i="6"/>
  <c r="AD867" i="6"/>
  <c r="AG867" i="6"/>
  <c r="AJ867" i="6"/>
  <c r="AA867" i="6"/>
  <c r="AA909" i="6"/>
  <c r="AD909" i="6"/>
  <c r="AJ909" i="6"/>
  <c r="AG909" i="6"/>
  <c r="AF911" i="6"/>
  <c r="Z911" i="6"/>
  <c r="AC911" i="6"/>
  <c r="AI911" i="6"/>
  <c r="AH942" i="6"/>
  <c r="Y942" i="6"/>
  <c r="AB942" i="6"/>
  <c r="AE942" i="6"/>
  <c r="AA934" i="6"/>
  <c r="AG934" i="6"/>
  <c r="AD934" i="6"/>
  <c r="AJ934" i="6"/>
  <c r="AC585" i="6"/>
  <c r="AF585" i="6"/>
  <c r="AI585" i="6"/>
  <c r="Z585" i="6"/>
  <c r="AH664" i="6"/>
  <c r="Y664" i="6"/>
  <c r="AE664" i="6"/>
  <c r="AB664" i="6"/>
  <c r="Z614" i="6"/>
  <c r="AC614" i="6"/>
  <c r="AF614" i="6"/>
  <c r="AI614" i="6"/>
  <c r="AA582" i="6"/>
  <c r="AD582" i="6"/>
  <c r="AG582" i="6"/>
  <c r="AJ582" i="6"/>
  <c r="AC601" i="6"/>
  <c r="AF601" i="6"/>
  <c r="AI601" i="6"/>
  <c r="Z601" i="6"/>
  <c r="AH670" i="6"/>
  <c r="AE670" i="6"/>
  <c r="Y670" i="6"/>
  <c r="AB670" i="6"/>
  <c r="AF665" i="6"/>
  <c r="Z665" i="6"/>
  <c r="AI665" i="6"/>
  <c r="AC665" i="6"/>
  <c r="AH662" i="6"/>
  <c r="Y662" i="6"/>
  <c r="AB662" i="6"/>
  <c r="AE662" i="6"/>
  <c r="AB689" i="6"/>
  <c r="Y689" i="6"/>
  <c r="AE689" i="6"/>
  <c r="AH689" i="6"/>
  <c r="AD680" i="6"/>
  <c r="AG680" i="6"/>
  <c r="AA680" i="6"/>
  <c r="AJ680" i="6"/>
  <c r="AI731" i="6"/>
  <c r="Z731" i="6"/>
  <c r="AF731" i="6"/>
  <c r="AC731" i="6"/>
  <c r="AG721" i="6"/>
  <c r="AA721" i="6"/>
  <c r="AD721" i="6"/>
  <c r="AJ721" i="6"/>
  <c r="AA785" i="6"/>
  <c r="AD785" i="6"/>
  <c r="AG785" i="6"/>
  <c r="AJ785" i="6"/>
  <c r="AB843" i="6"/>
  <c r="Y843" i="6"/>
  <c r="AE843" i="6"/>
  <c r="AH843" i="6"/>
  <c r="AD844" i="6"/>
  <c r="AA844" i="6"/>
  <c r="AG844" i="6"/>
  <c r="AJ844" i="6"/>
  <c r="AB847" i="6"/>
  <c r="AE847" i="6"/>
  <c r="AH847" i="6"/>
  <c r="Y847" i="6"/>
  <c r="AA877" i="6"/>
  <c r="AJ877" i="6"/>
  <c r="AD877" i="6"/>
  <c r="AG877" i="6"/>
  <c r="AD892" i="6"/>
  <c r="AG892" i="6"/>
  <c r="AJ892" i="6"/>
  <c r="AA892" i="6"/>
  <c r="AC894" i="6"/>
  <c r="Z894" i="6"/>
  <c r="AF894" i="6"/>
  <c r="AI894" i="6"/>
  <c r="Y876" i="6"/>
  <c r="AH876" i="6"/>
  <c r="AB876" i="6"/>
  <c r="AE876" i="6"/>
  <c r="Z818" i="6"/>
  <c r="AI818" i="6"/>
  <c r="AC818" i="6"/>
  <c r="AF818" i="6"/>
  <c r="Z910" i="6"/>
  <c r="AC910" i="6"/>
  <c r="AI910" i="6"/>
  <c r="AF910" i="6"/>
  <c r="AC960" i="6"/>
  <c r="AF960" i="6"/>
  <c r="AI960" i="6"/>
  <c r="Z960" i="6"/>
  <c r="AC977" i="6"/>
  <c r="AF977" i="6"/>
  <c r="AI977" i="6"/>
  <c r="Z977" i="6"/>
  <c r="Z908" i="6"/>
  <c r="AF908" i="6"/>
  <c r="AC908" i="6"/>
  <c r="AI908" i="6"/>
  <c r="Z913" i="6"/>
  <c r="AF913" i="6"/>
  <c r="AC913" i="6"/>
  <c r="AI913" i="6"/>
  <c r="Z576" i="6"/>
  <c r="AC576" i="6"/>
  <c r="AF576" i="6"/>
  <c r="AI576" i="6"/>
  <c r="Z574" i="6"/>
  <c r="AC574" i="6"/>
  <c r="AF574" i="6"/>
  <c r="AI574" i="6"/>
  <c r="Z582" i="6"/>
  <c r="AC582" i="6"/>
  <c r="AF582" i="6"/>
  <c r="AI582" i="6"/>
  <c r="AJ691" i="6"/>
  <c r="AA691" i="6"/>
  <c r="AD691" i="6"/>
  <c r="AG691" i="6"/>
  <c r="Z620" i="6"/>
  <c r="AC620" i="6"/>
  <c r="AF620" i="6"/>
  <c r="AI620" i="6"/>
  <c r="AA631" i="6"/>
  <c r="AD631" i="6"/>
  <c r="AG631" i="6"/>
  <c r="AJ631" i="6"/>
  <c r="AF625" i="6"/>
  <c r="AI625" i="6"/>
  <c r="AC625" i="6"/>
  <c r="Z625" i="6"/>
  <c r="AF673" i="6"/>
  <c r="AC673" i="6"/>
  <c r="AI673" i="6"/>
  <c r="Z673" i="6"/>
  <c r="Z690" i="6"/>
  <c r="AC690" i="6"/>
  <c r="AF690" i="6"/>
  <c r="AI690" i="6"/>
  <c r="Z721" i="6"/>
  <c r="AF721" i="6"/>
  <c r="AI721" i="6"/>
  <c r="AC721" i="6"/>
  <c r="AI697" i="6"/>
  <c r="AF697" i="6"/>
  <c r="Z697" i="6"/>
  <c r="AC697" i="6"/>
  <c r="Z656" i="6"/>
  <c r="AF656" i="6"/>
  <c r="AC656" i="6"/>
  <c r="AI656" i="6"/>
  <c r="AC710" i="6"/>
  <c r="AI710" i="6"/>
  <c r="AF710" i="6"/>
  <c r="Z710" i="6"/>
  <c r="AE712" i="6"/>
  <c r="AB712" i="6"/>
  <c r="Y712" i="6"/>
  <c r="AH712" i="6"/>
  <c r="AC758" i="6"/>
  <c r="Z758" i="6"/>
  <c r="AI758" i="6"/>
  <c r="AF758" i="6"/>
  <c r="AC778" i="6"/>
  <c r="AF778" i="6"/>
  <c r="AI778" i="6"/>
  <c r="Z778" i="6"/>
  <c r="AE737" i="6"/>
  <c r="AH737" i="6"/>
  <c r="Y737" i="6"/>
  <c r="AB737" i="6"/>
  <c r="AJ801" i="6"/>
  <c r="AD801" i="6"/>
  <c r="AG801" i="6"/>
  <c r="AA801" i="6"/>
  <c r="Y772" i="6"/>
  <c r="AB772" i="6"/>
  <c r="AH772" i="6"/>
  <c r="AE772" i="6"/>
  <c r="AG807" i="6"/>
  <c r="AA807" i="6"/>
  <c r="AD807" i="6"/>
  <c r="AJ807" i="6"/>
  <c r="Z832" i="6"/>
  <c r="AF832" i="6"/>
  <c r="AC832" i="6"/>
  <c r="AI832" i="6"/>
  <c r="AF820" i="6"/>
  <c r="Z820" i="6"/>
  <c r="AC820" i="6"/>
  <c r="AI820" i="6"/>
  <c r="AA852" i="6"/>
  <c r="AG852" i="6"/>
  <c r="AJ852" i="6"/>
  <c r="AD852" i="6"/>
  <c r="AH832" i="6"/>
  <c r="Y832" i="6"/>
  <c r="AB832" i="6"/>
  <c r="AE832" i="6"/>
  <c r="AB870" i="6"/>
  <c r="AH870" i="6"/>
  <c r="Y870" i="6"/>
  <c r="AE870" i="6"/>
  <c r="AD908" i="6"/>
  <c r="AA908" i="6"/>
  <c r="AJ908" i="6"/>
  <c r="AG908" i="6"/>
  <c r="AD903" i="6"/>
  <c r="AJ903" i="6"/>
  <c r="AA903" i="6"/>
  <c r="AG903" i="6"/>
  <c r="AF883" i="6"/>
  <c r="AI883" i="6"/>
  <c r="Z883" i="6"/>
  <c r="AC883" i="6"/>
  <c r="AB915" i="6"/>
  <c r="Y915" i="6"/>
  <c r="AE915" i="6"/>
  <c r="AH915" i="6"/>
  <c r="Y967" i="6"/>
  <c r="AB967" i="6"/>
  <c r="AE967" i="6"/>
  <c r="AH967" i="6"/>
  <c r="AA954" i="6"/>
  <c r="AG954" i="6"/>
  <c r="AD954" i="6"/>
  <c r="AJ954" i="6"/>
  <c r="AG603" i="6"/>
  <c r="AJ603" i="6"/>
  <c r="AA603" i="6"/>
  <c r="AD603" i="6"/>
  <c r="AB634" i="6"/>
  <c r="AE634" i="6"/>
  <c r="AH634" i="6"/>
  <c r="Y634" i="6"/>
  <c r="AB638" i="6"/>
  <c r="AH638" i="6"/>
  <c r="Y638" i="6"/>
  <c r="AE638" i="6"/>
  <c r="AH644" i="6"/>
  <c r="AB644" i="6"/>
  <c r="AE644" i="6"/>
  <c r="Y644" i="6"/>
  <c r="AA703" i="6"/>
  <c r="AG703" i="6"/>
  <c r="AD703" i="6"/>
  <c r="AJ703" i="6"/>
  <c r="AB687" i="6"/>
  <c r="AE687" i="6"/>
  <c r="AH687" i="6"/>
  <c r="Y687" i="6"/>
  <c r="AC746" i="6"/>
  <c r="AI746" i="6"/>
  <c r="Z746" i="6"/>
  <c r="AF746" i="6"/>
  <c r="Y739" i="6"/>
  <c r="AE739" i="6"/>
  <c r="AH739" i="6"/>
  <c r="AB739" i="6"/>
  <c r="Y748" i="6"/>
  <c r="AB748" i="6"/>
  <c r="AE748" i="6"/>
  <c r="AH748" i="6"/>
  <c r="Z802" i="6"/>
  <c r="AI802" i="6"/>
  <c r="AC802" i="6"/>
  <c r="AF802" i="6"/>
  <c r="AA791" i="6"/>
  <c r="AG791" i="6"/>
  <c r="AD791" i="6"/>
  <c r="AJ791" i="6"/>
  <c r="AH824" i="6"/>
  <c r="Y824" i="6"/>
  <c r="AB824" i="6"/>
  <c r="AE824" i="6"/>
  <c r="AF867" i="6"/>
  <c r="AC867" i="6"/>
  <c r="AI867" i="6"/>
  <c r="Z867" i="6"/>
  <c r="AD840" i="6"/>
  <c r="AG840" i="6"/>
  <c r="AJ840" i="6"/>
  <c r="AA840" i="6"/>
  <c r="AD887" i="6"/>
  <c r="AJ887" i="6"/>
  <c r="AA887" i="6"/>
  <c r="AG887" i="6"/>
  <c r="AF880" i="6"/>
  <c r="Z880" i="6"/>
  <c r="AC880" i="6"/>
  <c r="AI880" i="6"/>
  <c r="AD912" i="6"/>
  <c r="AA912" i="6"/>
  <c r="AG912" i="6"/>
  <c r="AJ912" i="6"/>
  <c r="AB911" i="6"/>
  <c r="Y911" i="6"/>
  <c r="AH911" i="6"/>
  <c r="AE911" i="6"/>
  <c r="AD851" i="6"/>
  <c r="AJ851" i="6"/>
  <c r="AA851" i="6"/>
  <c r="AG851" i="6"/>
  <c r="AG961" i="6"/>
  <c r="AA961" i="6"/>
  <c r="AD961" i="6"/>
  <c r="AJ961" i="6"/>
  <c r="AH951" i="6"/>
  <c r="Y951" i="6"/>
  <c r="AB951" i="6"/>
  <c r="AE951" i="6"/>
  <c r="Z917" i="6"/>
  <c r="AF917" i="6"/>
  <c r="AI917" i="6"/>
  <c r="AC917" i="6"/>
  <c r="AJ860" i="6"/>
  <c r="AA860" i="6"/>
  <c r="AG860" i="6"/>
  <c r="AD860" i="6"/>
  <c r="AD639" i="6"/>
  <c r="AJ639" i="6"/>
  <c r="AA639" i="6"/>
  <c r="AG639" i="6"/>
  <c r="AD634" i="6"/>
  <c r="AG634" i="6"/>
  <c r="AA634" i="6"/>
  <c r="AJ634" i="6"/>
  <c r="AJ637" i="6"/>
  <c r="AD637" i="6"/>
  <c r="AG637" i="6"/>
  <c r="AA637" i="6"/>
  <c r="AB643" i="6"/>
  <c r="Y643" i="6"/>
  <c r="AH643" i="6"/>
  <c r="AE643" i="6"/>
  <c r="AD660" i="6"/>
  <c r="AA660" i="6"/>
  <c r="AJ660" i="6"/>
  <c r="AG660" i="6"/>
  <c r="Z648" i="6"/>
  <c r="AF648" i="6"/>
  <c r="AI648" i="6"/>
  <c r="AC648" i="6"/>
  <c r="AC724" i="6"/>
  <c r="AF724" i="6"/>
  <c r="Z724" i="6"/>
  <c r="AI724" i="6"/>
  <c r="AA701" i="6"/>
  <c r="AG701" i="6"/>
  <c r="AJ701" i="6"/>
  <c r="AD701" i="6"/>
  <c r="AH674" i="6"/>
  <c r="Y674" i="6"/>
  <c r="AB674" i="6"/>
  <c r="AE674" i="6"/>
  <c r="AE721" i="6"/>
  <c r="Y721" i="6"/>
  <c r="AB721" i="6"/>
  <c r="AH721" i="6"/>
  <c r="Y713" i="6"/>
  <c r="AE713" i="6"/>
  <c r="AB713" i="6"/>
  <c r="AH713" i="6"/>
  <c r="AA719" i="6"/>
  <c r="AG719" i="6"/>
  <c r="AD719" i="6"/>
  <c r="AJ719" i="6"/>
  <c r="AE745" i="6"/>
  <c r="AH745" i="6"/>
  <c r="AB745" i="6"/>
  <c r="Y745" i="6"/>
  <c r="Z798" i="6"/>
  <c r="AC798" i="6"/>
  <c r="AF798" i="6"/>
  <c r="AI798" i="6"/>
  <c r="AC793" i="6"/>
  <c r="AI793" i="6"/>
  <c r="Z793" i="6"/>
  <c r="AF793" i="6"/>
  <c r="Y730" i="6"/>
  <c r="AE730" i="6"/>
  <c r="AH730" i="6"/>
  <c r="AB730" i="6"/>
  <c r="Z794" i="6"/>
  <c r="AF794" i="6"/>
  <c r="AC794" i="6"/>
  <c r="AI794" i="6"/>
  <c r="AG853" i="6"/>
  <c r="AJ853" i="6"/>
  <c r="AD853" i="6"/>
  <c r="AA853" i="6"/>
  <c r="AC800" i="6"/>
  <c r="AI800" i="6"/>
  <c r="Z800" i="6"/>
  <c r="AF800" i="6"/>
  <c r="AE801" i="6"/>
  <c r="AH801" i="6"/>
  <c r="AB801" i="6"/>
  <c r="Y801" i="6"/>
  <c r="AJ845" i="6"/>
  <c r="AA845" i="6"/>
  <c r="AD845" i="6"/>
  <c r="AG845" i="6"/>
  <c r="AG888" i="6"/>
  <c r="AD888" i="6"/>
  <c r="AJ888" i="6"/>
  <c r="AA888" i="6"/>
  <c r="AB882" i="6"/>
  <c r="AH882" i="6"/>
  <c r="Y882" i="6"/>
  <c r="AE882" i="6"/>
  <c r="AF907" i="6"/>
  <c r="AI907" i="6"/>
  <c r="Z907" i="6"/>
  <c r="AC907" i="6"/>
  <c r="AH927" i="6"/>
  <c r="Y927" i="6"/>
  <c r="AE927" i="6"/>
  <c r="AB927" i="6"/>
  <c r="AH857" i="6"/>
  <c r="AE857" i="6"/>
  <c r="Y857" i="6"/>
  <c r="AB857" i="6"/>
  <c r="AF928" i="6"/>
  <c r="AC928" i="6"/>
  <c r="Z928" i="6"/>
  <c r="AI928" i="6"/>
  <c r="F120" i="33"/>
  <c r="J120" i="33"/>
  <c r="L117" i="33"/>
  <c r="F116" i="33"/>
  <c r="F115" i="33"/>
  <c r="J115" i="33"/>
  <c r="F114" i="33"/>
  <c r="H114" i="33"/>
  <c r="J113" i="33"/>
  <c r="AJ553" i="1"/>
  <c r="AG553" i="1"/>
  <c r="ES553" i="1"/>
  <c r="ER553" i="1"/>
  <c r="ET553" i="1" s="1"/>
  <c r="EQ553" i="1"/>
  <c r="EB553" i="1"/>
  <c r="DN553" i="1"/>
  <c r="DP553" i="1" s="1"/>
  <c r="DM553" i="1"/>
  <c r="DL553" i="1"/>
  <c r="DO553" i="1" s="1"/>
  <c r="DK553" i="1"/>
  <c r="CT553" i="1"/>
  <c r="ES552" i="1"/>
  <c r="ER552" i="1"/>
  <c r="ET552" i="1" s="1"/>
  <c r="EQ552" i="1"/>
  <c r="ED552" i="1"/>
  <c r="EC552" i="1"/>
  <c r="EB552" i="1"/>
  <c r="DN552" i="1"/>
  <c r="DP552" i="1" s="1"/>
  <c r="DM552" i="1"/>
  <c r="DL552" i="1"/>
  <c r="DO552" i="1" s="1"/>
  <c r="DK552" i="1"/>
  <c r="CW552" i="1"/>
  <c r="CT552" i="1"/>
  <c r="ES551" i="1"/>
  <c r="ER551" i="1"/>
  <c r="ET551" i="1" s="1"/>
  <c r="EQ551" i="1"/>
  <c r="ED551" i="1"/>
  <c r="EC551" i="1"/>
  <c r="EB551" i="1"/>
  <c r="DN551" i="1"/>
  <c r="DP551" i="1" s="1"/>
  <c r="DM551" i="1"/>
  <c r="DL551" i="1"/>
  <c r="DO551" i="1" s="1"/>
  <c r="DK551" i="1"/>
  <c r="CT551" i="1"/>
  <c r="CF553" i="1"/>
  <c r="CE553" i="1"/>
  <c r="CH553" i="1" s="1"/>
  <c r="CD553" i="1"/>
  <c r="CC553" i="1"/>
  <c r="CG553" i="1" s="1"/>
  <c r="BW553" i="1"/>
  <c r="CF552" i="1"/>
  <c r="CE552" i="1"/>
  <c r="CH552" i="1" s="1"/>
  <c r="CD552" i="1"/>
  <c r="CC552" i="1"/>
  <c r="CG552" i="1" s="1"/>
  <c r="BV552" i="1"/>
  <c r="BU552" i="1"/>
  <c r="BT552" i="1"/>
  <c r="CF551" i="1"/>
  <c r="CE551" i="1"/>
  <c r="CH551" i="1" s="1"/>
  <c r="CD551" i="1"/>
  <c r="CC551" i="1"/>
  <c r="CG551" i="1" s="1"/>
  <c r="BW551" i="1"/>
  <c r="AO553" i="1"/>
  <c r="AO552" i="1"/>
  <c r="AO551" i="1"/>
  <c r="BL553" i="6"/>
  <c r="BM553" i="6"/>
  <c r="BN553" i="6"/>
  <c r="BO553" i="6"/>
  <c r="BL552" i="6"/>
  <c r="BM552" i="6"/>
  <c r="BN552" i="6"/>
  <c r="BO552" i="6"/>
  <c r="BL551" i="6"/>
  <c r="BM551" i="6"/>
  <c r="BN551" i="6"/>
  <c r="BO551" i="6"/>
  <c r="AJ550" i="1"/>
  <c r="AG550" i="1"/>
  <c r="ES550" i="1"/>
  <c r="ER550" i="1"/>
  <c r="ET550" i="1" s="1"/>
  <c r="EQ550" i="1"/>
  <c r="DN550" i="1"/>
  <c r="DP550" i="1" s="1"/>
  <c r="DM550" i="1"/>
  <c r="DL550" i="1"/>
  <c r="DO550" i="1" s="1"/>
  <c r="DK550" i="1"/>
  <c r="CW550" i="1"/>
  <c r="CY550" i="1" s="1"/>
  <c r="CT550" i="1"/>
  <c r="BW550" i="1"/>
  <c r="AO550" i="1"/>
  <c r="BL550" i="6"/>
  <c r="BM550" i="6"/>
  <c r="BN550" i="6"/>
  <c r="BO550" i="6"/>
  <c r="AJ549" i="1"/>
  <c r="AG549" i="1"/>
  <c r="EQ549" i="1"/>
  <c r="EB549" i="1"/>
  <c r="DN549" i="1"/>
  <c r="DP549" i="1" s="1"/>
  <c r="DM549" i="1"/>
  <c r="DL549" i="1"/>
  <c r="DO549" i="1" s="1"/>
  <c r="DK549" i="1"/>
  <c r="CT549" i="1"/>
  <c r="CF549" i="1"/>
  <c r="CE549" i="1"/>
  <c r="CH549" i="1" s="1"/>
  <c r="CD549" i="1"/>
  <c r="CC549" i="1"/>
  <c r="CG549" i="1" s="1"/>
  <c r="BW549" i="1"/>
  <c r="AO549" i="1"/>
  <c r="O549" i="1"/>
  <c r="O550" i="1"/>
  <c r="O551" i="1"/>
  <c r="O552" i="1"/>
  <c r="O553" i="1"/>
  <c r="L549" i="1"/>
  <c r="L550" i="1"/>
  <c r="DV550" i="1" s="1"/>
  <c r="L551" i="1"/>
  <c r="DV551" i="1" s="1"/>
  <c r="L552" i="1"/>
  <c r="L553" i="1"/>
  <c r="EK553" i="1" s="1"/>
  <c r="F549" i="1"/>
  <c r="EG549" i="1" s="1"/>
  <c r="F550" i="1"/>
  <c r="EG550" i="1" s="1"/>
  <c r="F551" i="1"/>
  <c r="BN551" i="1" s="1"/>
  <c r="F552" i="1"/>
  <c r="F553" i="1"/>
  <c r="BL549" i="6"/>
  <c r="BM549" i="6"/>
  <c r="BN549" i="6"/>
  <c r="BO549" i="6"/>
  <c r="BH614" i="1" l="1"/>
  <c r="CY614" i="1"/>
  <c r="AA614" i="1" s="1"/>
  <c r="W614" i="1"/>
  <c r="AY614" i="1"/>
  <c r="CU614" i="1"/>
  <c r="Q614" i="1" s="1"/>
  <c r="U614" i="1"/>
  <c r="Z614" i="1"/>
  <c r="BH610" i="1"/>
  <c r="BH612" i="1"/>
  <c r="BH613" i="1"/>
  <c r="BH611" i="1"/>
  <c r="U611" i="1"/>
  <c r="AF611" i="1"/>
  <c r="AH611" i="1" s="1"/>
  <c r="AG609" i="1"/>
  <c r="DY609" i="1"/>
  <c r="U609" i="1" s="1"/>
  <c r="Z609" i="1"/>
  <c r="BG608" i="1" a="1"/>
  <c r="BG608" i="1" s="1"/>
  <c r="BF608" i="1" a="1"/>
  <c r="BF608" i="1" s="1"/>
  <c r="BA608" i="1"/>
  <c r="CQ608" i="1" s="1"/>
  <c r="CV608" i="1" s="1"/>
  <c r="CP608" i="1"/>
  <c r="CR608" i="1"/>
  <c r="CW608" i="1" s="1"/>
  <c r="BD609" i="1"/>
  <c r="BA609" i="1"/>
  <c r="BF609" i="1" a="1"/>
  <c r="BF609" i="1" s="1"/>
  <c r="BG609" i="1" a="1"/>
  <c r="BG609" i="1" s="1"/>
  <c r="EC557" i="1"/>
  <c r="EE557" i="1" s="1"/>
  <c r="EM549" i="1"/>
  <c r="EL549" i="1"/>
  <c r="EM550" i="1"/>
  <c r="EL550" i="1"/>
  <c r="CR553" i="1"/>
  <c r="CP553" i="1"/>
  <c r="CQ553" i="1"/>
  <c r="BS549" i="1"/>
  <c r="AH553" i="1"/>
  <c r="DR553" i="1"/>
  <c r="DV553" i="1"/>
  <c r="EK549" i="1"/>
  <c r="EG553" i="1"/>
  <c r="AK553" i="1"/>
  <c r="DV549" i="1"/>
  <c r="CB553" i="1"/>
  <c r="EK550" i="1"/>
  <c r="EK551" i="1"/>
  <c r="BS552" i="1"/>
  <c r="CB549" i="1"/>
  <c r="BL550" i="1"/>
  <c r="BN550" i="1"/>
  <c r="CB552" i="1"/>
  <c r="EG551" i="1"/>
  <c r="BS550" i="1"/>
  <c r="BL553" i="1"/>
  <c r="DR552" i="1"/>
  <c r="BN553" i="1"/>
  <c r="DV552" i="1"/>
  <c r="BL549" i="1"/>
  <c r="CB550" i="1"/>
  <c r="CF550" i="1" s="1"/>
  <c r="DR550" i="1"/>
  <c r="BN549" i="1"/>
  <c r="BL552" i="1"/>
  <c r="BS551" i="1"/>
  <c r="BS553" i="1"/>
  <c r="DR549" i="1"/>
  <c r="BN552" i="1"/>
  <c r="CB551" i="1"/>
  <c r="EG552" i="1"/>
  <c r="BL551" i="1"/>
  <c r="EK552" i="1"/>
  <c r="DR551" i="1"/>
  <c r="AK550" i="1"/>
  <c r="AH550" i="1"/>
  <c r="AK549" i="1"/>
  <c r="AH549" i="1"/>
  <c r="AH66" i="35"/>
  <c r="AG66" i="35"/>
  <c r="AF66" i="35"/>
  <c r="Y614" i="1" l="1"/>
  <c r="CX614" i="1"/>
  <c r="V614" i="1" s="1"/>
  <c r="AB614" i="1"/>
  <c r="BH608" i="1"/>
  <c r="BH609" i="1"/>
  <c r="CY608" i="1"/>
  <c r="Z608" i="1"/>
  <c r="U608" i="1"/>
  <c r="CU608" i="1"/>
  <c r="AF609" i="1"/>
  <c r="AH609" i="1" s="1"/>
  <c r="EN549" i="1"/>
  <c r="CU552" i="1"/>
  <c r="CV552" i="1"/>
  <c r="EM551" i="1"/>
  <c r="EL551" i="1"/>
  <c r="EM552" i="1"/>
  <c r="EL552" i="1"/>
  <c r="CU550" i="1"/>
  <c r="CX550" i="1" s="1"/>
  <c r="CV550" i="1"/>
  <c r="EM553" i="1"/>
  <c r="EL553" i="1"/>
  <c r="EO549" i="1"/>
  <c r="DW550" i="1"/>
  <c r="DX550" i="1"/>
  <c r="DZ550" i="1" s="1"/>
  <c r="ED550" i="1" s="1"/>
  <c r="DW553" i="1"/>
  <c r="DY553" i="1" s="1"/>
  <c r="DX553" i="1"/>
  <c r="DZ553" i="1" s="1"/>
  <c r="DW551" i="1"/>
  <c r="DX551" i="1"/>
  <c r="DX552" i="1"/>
  <c r="DW552" i="1"/>
  <c r="DW549" i="1"/>
  <c r="DX549" i="1"/>
  <c r="I110" i="14"/>
  <c r="O110" i="14"/>
  <c r="P110" i="14" s="1"/>
  <c r="K107" i="14"/>
  <c r="O107" i="14"/>
  <c r="P107" i="14" s="1"/>
  <c r="I107" i="14"/>
  <c r="K103" i="14"/>
  <c r="O103" i="14"/>
  <c r="P103" i="14"/>
  <c r="Q103" i="14"/>
  <c r="I103" i="14"/>
  <c r="K95" i="14"/>
  <c r="O95" i="14"/>
  <c r="P95" i="14" s="1"/>
  <c r="I95" i="14"/>
  <c r="CX608" i="1" l="1"/>
  <c r="DY550" i="1"/>
  <c r="EC550" i="1" s="1"/>
  <c r="EE550" i="1" s="1"/>
  <c r="Q107" i="14"/>
  <c r="Q95" i="14"/>
  <c r="Q110" i="14"/>
  <c r="K91" i="14"/>
  <c r="O91" i="14"/>
  <c r="Q91" i="14" s="1"/>
  <c r="I91" i="14"/>
  <c r="K87" i="14"/>
  <c r="O87" i="14"/>
  <c r="Q87" i="14" s="1"/>
  <c r="I87" i="14"/>
  <c r="O83" i="14"/>
  <c r="Q83" i="14" s="1"/>
  <c r="I83" i="14"/>
  <c r="O79" i="14"/>
  <c r="Q79" i="14" s="1"/>
  <c r="I79" i="14"/>
  <c r="J417" i="34"/>
  <c r="H417" i="34"/>
  <c r="J416" i="34"/>
  <c r="H416" i="34"/>
  <c r="J415" i="34"/>
  <c r="H415" i="34"/>
  <c r="K414" i="34"/>
  <c r="P414" i="34" s="1"/>
  <c r="J414" i="34"/>
  <c r="H414" i="34"/>
  <c r="J413" i="34"/>
  <c r="H413" i="34"/>
  <c r="J412" i="34"/>
  <c r="H412" i="34"/>
  <c r="J411" i="34"/>
  <c r="H411" i="34"/>
  <c r="J410" i="34"/>
  <c r="H410" i="34"/>
  <c r="J409" i="34"/>
  <c r="H409" i="34"/>
  <c r="J408" i="34"/>
  <c r="H408" i="34"/>
  <c r="J407" i="34"/>
  <c r="H407" i="34"/>
  <c r="J406" i="34"/>
  <c r="H406" i="34"/>
  <c r="J404" i="34"/>
  <c r="H404" i="34"/>
  <c r="K403" i="34"/>
  <c r="J403" i="34"/>
  <c r="H403" i="34"/>
  <c r="J402" i="34"/>
  <c r="H402" i="34"/>
  <c r="J401" i="34"/>
  <c r="H401" i="34"/>
  <c r="H400" i="34"/>
  <c r="M400" i="34"/>
  <c r="K399" i="34"/>
  <c r="R399" i="34" s="1"/>
  <c r="J399" i="34"/>
  <c r="H399" i="34"/>
  <c r="T427" i="34"/>
  <c r="S427" i="34"/>
  <c r="R427" i="34"/>
  <c r="Q427" i="34"/>
  <c r="P427" i="34"/>
  <c r="O427" i="34"/>
  <c r="N427" i="34"/>
  <c r="M427" i="34"/>
  <c r="T426" i="34"/>
  <c r="S426" i="34"/>
  <c r="R426" i="34"/>
  <c r="Q426" i="34"/>
  <c r="P426" i="34"/>
  <c r="O426" i="34"/>
  <c r="N426" i="34"/>
  <c r="M426" i="34"/>
  <c r="T425" i="34"/>
  <c r="S425" i="34"/>
  <c r="R425" i="34"/>
  <c r="Q425" i="34"/>
  <c r="P425" i="34"/>
  <c r="O425" i="34"/>
  <c r="N425" i="34"/>
  <c r="M425" i="34"/>
  <c r="T424" i="34"/>
  <c r="S424" i="34"/>
  <c r="R424" i="34"/>
  <c r="Q424" i="34"/>
  <c r="P424" i="34"/>
  <c r="O424" i="34"/>
  <c r="N424" i="34"/>
  <c r="M424" i="34"/>
  <c r="T423" i="34"/>
  <c r="S423" i="34"/>
  <c r="R423" i="34"/>
  <c r="Q423" i="34"/>
  <c r="P423" i="34"/>
  <c r="O423" i="34"/>
  <c r="N423" i="34"/>
  <c r="M423" i="34"/>
  <c r="T422" i="34"/>
  <c r="S422" i="34"/>
  <c r="R422" i="34"/>
  <c r="Q422" i="34"/>
  <c r="P422" i="34"/>
  <c r="O422" i="34"/>
  <c r="N422" i="34"/>
  <c r="M422" i="34"/>
  <c r="T421" i="34"/>
  <c r="S421" i="34"/>
  <c r="R421" i="34"/>
  <c r="Q421" i="34"/>
  <c r="P421" i="34"/>
  <c r="O421" i="34"/>
  <c r="N421" i="34"/>
  <c r="M421" i="34"/>
  <c r="T420" i="34"/>
  <c r="S420" i="34"/>
  <c r="R420" i="34"/>
  <c r="Q420" i="34"/>
  <c r="P420" i="34"/>
  <c r="O420" i="34"/>
  <c r="N420" i="34"/>
  <c r="M420" i="34"/>
  <c r="T419" i="34"/>
  <c r="S419" i="34"/>
  <c r="R419" i="34"/>
  <c r="Q419" i="34"/>
  <c r="P419" i="34"/>
  <c r="O419" i="34"/>
  <c r="N419" i="34"/>
  <c r="M419" i="34"/>
  <c r="T418" i="34"/>
  <c r="S418" i="34"/>
  <c r="R418" i="34"/>
  <c r="Q418" i="34"/>
  <c r="P418" i="34"/>
  <c r="O418" i="34"/>
  <c r="N418" i="34"/>
  <c r="M418" i="34"/>
  <c r="T417" i="34"/>
  <c r="S417" i="34"/>
  <c r="R417" i="34"/>
  <c r="Q417" i="34"/>
  <c r="P417" i="34"/>
  <c r="O417" i="34"/>
  <c r="N417" i="34"/>
  <c r="M417" i="34"/>
  <c r="T416" i="34"/>
  <c r="S416" i="34"/>
  <c r="R416" i="34"/>
  <c r="Q416" i="34"/>
  <c r="P416" i="34"/>
  <c r="O416" i="34"/>
  <c r="N416" i="34"/>
  <c r="M416" i="34"/>
  <c r="T415" i="34"/>
  <c r="S415" i="34"/>
  <c r="R415" i="34"/>
  <c r="Q415" i="34"/>
  <c r="P415" i="34"/>
  <c r="O415" i="34"/>
  <c r="N415" i="34"/>
  <c r="M415" i="34"/>
  <c r="T414" i="34"/>
  <c r="R414" i="34"/>
  <c r="Q414" i="34"/>
  <c r="M414" i="34"/>
  <c r="T413" i="34"/>
  <c r="S413" i="34"/>
  <c r="R413" i="34"/>
  <c r="Q413" i="34"/>
  <c r="P413" i="34"/>
  <c r="O413" i="34"/>
  <c r="N413" i="34"/>
  <c r="M413" i="34"/>
  <c r="T412" i="34"/>
  <c r="S412" i="34"/>
  <c r="R412" i="34"/>
  <c r="Q412" i="34"/>
  <c r="P412" i="34"/>
  <c r="O412" i="34"/>
  <c r="N412" i="34"/>
  <c r="M412" i="34"/>
  <c r="T411" i="34"/>
  <c r="S411" i="34"/>
  <c r="R411" i="34"/>
  <c r="Q411" i="34"/>
  <c r="P411" i="34"/>
  <c r="O411" i="34"/>
  <c r="N411" i="34"/>
  <c r="M411" i="34"/>
  <c r="T410" i="34"/>
  <c r="S410" i="34"/>
  <c r="R410" i="34"/>
  <c r="Q410" i="34"/>
  <c r="P410" i="34"/>
  <c r="O410" i="34"/>
  <c r="N410" i="34"/>
  <c r="M410" i="34"/>
  <c r="T409" i="34"/>
  <c r="S409" i="34"/>
  <c r="R409" i="34"/>
  <c r="Q409" i="34"/>
  <c r="P409" i="34"/>
  <c r="O409" i="34"/>
  <c r="N409" i="34"/>
  <c r="M409" i="34"/>
  <c r="T408" i="34"/>
  <c r="S408" i="34"/>
  <c r="R408" i="34"/>
  <c r="Q408" i="34"/>
  <c r="P408" i="34"/>
  <c r="O408" i="34"/>
  <c r="N408" i="34"/>
  <c r="M408" i="34"/>
  <c r="T407" i="34"/>
  <c r="S407" i="34"/>
  <c r="R407" i="34"/>
  <c r="Q407" i="34"/>
  <c r="P407" i="34"/>
  <c r="O407" i="34"/>
  <c r="N407" i="34"/>
  <c r="M407" i="34"/>
  <c r="T406" i="34"/>
  <c r="S406" i="34"/>
  <c r="R406" i="34"/>
  <c r="Q406" i="34"/>
  <c r="P406" i="34"/>
  <c r="O406" i="34"/>
  <c r="N406" i="34"/>
  <c r="M406" i="34"/>
  <c r="T405" i="34"/>
  <c r="S405" i="34"/>
  <c r="R405" i="34"/>
  <c r="Q405" i="34"/>
  <c r="P405" i="34"/>
  <c r="O405" i="34"/>
  <c r="N405" i="34"/>
  <c r="M405" i="34"/>
  <c r="T404" i="34"/>
  <c r="S404" i="34"/>
  <c r="R404" i="34"/>
  <c r="Q404" i="34"/>
  <c r="P404" i="34"/>
  <c r="O404" i="34"/>
  <c r="N404" i="34"/>
  <c r="M404" i="34"/>
  <c r="T403" i="34"/>
  <c r="S403" i="34"/>
  <c r="R403" i="34"/>
  <c r="Q403" i="34"/>
  <c r="P403" i="34"/>
  <c r="O403" i="34"/>
  <c r="N403" i="34"/>
  <c r="M403" i="34"/>
  <c r="T402" i="34"/>
  <c r="S402" i="34"/>
  <c r="R402" i="34"/>
  <c r="Q402" i="34"/>
  <c r="P402" i="34"/>
  <c r="O402" i="34"/>
  <c r="N402" i="34"/>
  <c r="M402" i="34"/>
  <c r="T401" i="34"/>
  <c r="S401" i="34"/>
  <c r="R401" i="34"/>
  <c r="Q401" i="34"/>
  <c r="P401" i="34"/>
  <c r="O401" i="34"/>
  <c r="N401" i="34"/>
  <c r="M401" i="34"/>
  <c r="T400" i="34"/>
  <c r="S400" i="34"/>
  <c r="R400" i="34"/>
  <c r="Q400" i="34"/>
  <c r="P400" i="34"/>
  <c r="O400" i="34"/>
  <c r="N400" i="34"/>
  <c r="T399" i="34"/>
  <c r="S399" i="34"/>
  <c r="T398" i="34"/>
  <c r="S398" i="34"/>
  <c r="R398" i="34"/>
  <c r="Q398" i="34"/>
  <c r="P398" i="34"/>
  <c r="O398" i="34"/>
  <c r="N398" i="34"/>
  <c r="M398" i="34"/>
  <c r="H398" i="34"/>
  <c r="K99" i="14"/>
  <c r="P100" i="14"/>
  <c r="O99" i="14"/>
  <c r="P99" i="14" s="1"/>
  <c r="I99" i="14"/>
  <c r="K75" i="14"/>
  <c r="I75" i="14"/>
  <c r="O75" i="14"/>
  <c r="Q75" i="14" s="1"/>
  <c r="O112" i="14"/>
  <c r="Q112" i="14" s="1"/>
  <c r="K112" i="14"/>
  <c r="I112" i="14"/>
  <c r="K114" i="14"/>
  <c r="I114" i="14"/>
  <c r="Q114" i="14"/>
  <c r="O114" i="14"/>
  <c r="P114" i="14" s="1"/>
  <c r="O200" i="14"/>
  <c r="P200" i="14" s="1"/>
  <c r="K200" i="14"/>
  <c r="I200" i="14"/>
  <c r="S414" i="34" l="1"/>
  <c r="P112" i="14"/>
  <c r="P91" i="14"/>
  <c r="N414" i="34"/>
  <c r="O414" i="34"/>
  <c r="Q99" i="14"/>
  <c r="P83" i="14"/>
  <c r="P75" i="14"/>
  <c r="Q200" i="14"/>
  <c r="P87" i="14"/>
  <c r="P79" i="14"/>
  <c r="M399" i="34"/>
  <c r="N399" i="34"/>
  <c r="O399" i="34"/>
  <c r="P399" i="34"/>
  <c r="Q399" i="34"/>
  <c r="AJ548" i="1"/>
  <c r="AG548" i="1"/>
  <c r="ES548" i="1"/>
  <c r="ER548" i="1"/>
  <c r="ET548" i="1" s="1"/>
  <c r="EQ548" i="1"/>
  <c r="EB548" i="1"/>
  <c r="DN548" i="1"/>
  <c r="DP548" i="1" s="1"/>
  <c r="DM548" i="1"/>
  <c r="DL548" i="1"/>
  <c r="DO548" i="1" s="1"/>
  <c r="DK548" i="1"/>
  <c r="CT548" i="1"/>
  <c r="CF548" i="1"/>
  <c r="CE548" i="1"/>
  <c r="CH548" i="1" s="1"/>
  <c r="CD548" i="1"/>
  <c r="CC548" i="1"/>
  <c r="CG548" i="1" s="1"/>
  <c r="AO548" i="1"/>
  <c r="BL548" i="6"/>
  <c r="BM548" i="6"/>
  <c r="BN548" i="6"/>
  <c r="BO548" i="6"/>
  <c r="AJ547" i="1"/>
  <c r="AG547" i="1"/>
  <c r="ES547" i="1"/>
  <c r="ER547" i="1"/>
  <c r="ET547" i="1" s="1"/>
  <c r="EQ547" i="1"/>
  <c r="ED547" i="1"/>
  <c r="EC547" i="1"/>
  <c r="EB547" i="1"/>
  <c r="DN547" i="1"/>
  <c r="DP547" i="1" s="1"/>
  <c r="DM547" i="1"/>
  <c r="DL547" i="1"/>
  <c r="DO547" i="1" s="1"/>
  <c r="DK547" i="1"/>
  <c r="CW547" i="1"/>
  <c r="CT547" i="1"/>
  <c r="CF547" i="1"/>
  <c r="CE547" i="1"/>
  <c r="CH547" i="1" s="1"/>
  <c r="CD547" i="1"/>
  <c r="CC547" i="1"/>
  <c r="CG547" i="1" s="1"/>
  <c r="BV547" i="1"/>
  <c r="BU547" i="1"/>
  <c r="BT547" i="1"/>
  <c r="AO547" i="1"/>
  <c r="BL547" i="6"/>
  <c r="BM547" i="6"/>
  <c r="BN547" i="6"/>
  <c r="BO547" i="6"/>
  <c r="ES546" i="1"/>
  <c r="ER546" i="1"/>
  <c r="ET546" i="1" s="1"/>
  <c r="EQ546" i="1"/>
  <c r="ED546" i="1"/>
  <c r="EC546" i="1"/>
  <c r="EB546" i="1"/>
  <c r="DN546" i="1"/>
  <c r="DP546" i="1" s="1"/>
  <c r="DM546" i="1"/>
  <c r="DL546" i="1"/>
  <c r="DO546" i="1" s="1"/>
  <c r="DK546" i="1"/>
  <c r="CW546" i="1"/>
  <c r="CT546" i="1"/>
  <c r="CF546" i="1"/>
  <c r="CE546" i="1"/>
  <c r="CH546" i="1" s="1"/>
  <c r="CD546" i="1"/>
  <c r="CC546" i="1"/>
  <c r="CG546" i="1" s="1"/>
  <c r="BV546" i="1"/>
  <c r="BU546" i="1"/>
  <c r="BT546" i="1"/>
  <c r="AO546" i="1"/>
  <c r="BL546" i="6"/>
  <c r="BM546" i="6"/>
  <c r="BN546" i="6"/>
  <c r="BO546" i="6"/>
  <c r="AJ545" i="1"/>
  <c r="AG545" i="1"/>
  <c r="ES545" i="1"/>
  <c r="ER545" i="1"/>
  <c r="ET545" i="1" s="1"/>
  <c r="EQ545" i="1"/>
  <c r="EB545" i="1"/>
  <c r="DN545" i="1"/>
  <c r="DP545" i="1" s="1"/>
  <c r="DM545" i="1"/>
  <c r="DL545" i="1"/>
  <c r="DO545" i="1" s="1"/>
  <c r="DK545" i="1"/>
  <c r="CT545" i="1"/>
  <c r="CF545" i="1"/>
  <c r="CE545" i="1"/>
  <c r="CH545" i="1" s="1"/>
  <c r="CD545" i="1"/>
  <c r="CC545" i="1"/>
  <c r="CG545" i="1" s="1"/>
  <c r="BW545" i="1"/>
  <c r="AO545" i="1"/>
  <c r="BL545" i="6"/>
  <c r="BM545" i="6"/>
  <c r="BN545" i="6"/>
  <c r="BO545" i="6"/>
  <c r="AJ544" i="1"/>
  <c r="AG544" i="1"/>
  <c r="ES544" i="1"/>
  <c r="ER544" i="1"/>
  <c r="ET544" i="1" s="1"/>
  <c r="EQ544" i="1"/>
  <c r="EB544" i="1"/>
  <c r="DN544" i="1"/>
  <c r="DP544" i="1" s="1"/>
  <c r="DM544" i="1"/>
  <c r="DL544" i="1"/>
  <c r="DO544" i="1" s="1"/>
  <c r="DK544" i="1"/>
  <c r="CT544" i="1"/>
  <c r="CW544" i="1"/>
  <c r="CY544" i="1" s="1"/>
  <c r="CF544" i="1"/>
  <c r="CE544" i="1"/>
  <c r="CH544" i="1" s="1"/>
  <c r="CD544" i="1"/>
  <c r="CC544" i="1"/>
  <c r="CG544" i="1" s="1"/>
  <c r="BW544" i="1"/>
  <c r="AO544" i="1"/>
  <c r="BL544" i="6"/>
  <c r="BM544" i="6"/>
  <c r="BN544" i="6"/>
  <c r="BO544" i="6"/>
  <c r="AJ543" i="1"/>
  <c r="AG543" i="1"/>
  <c r="ES543" i="1"/>
  <c r="ER543" i="1"/>
  <c r="ET543" i="1" s="1"/>
  <c r="EQ543" i="1"/>
  <c r="EB543" i="1"/>
  <c r="DN543" i="1"/>
  <c r="DP543" i="1" s="1"/>
  <c r="DM543" i="1"/>
  <c r="DL543" i="1"/>
  <c r="DO543" i="1" s="1"/>
  <c r="DK543" i="1"/>
  <c r="CT543" i="1"/>
  <c r="CF543" i="1"/>
  <c r="CE543" i="1"/>
  <c r="CH543" i="1" s="1"/>
  <c r="CD543" i="1"/>
  <c r="CC543" i="1"/>
  <c r="CG543" i="1" s="1"/>
  <c r="BW543" i="1"/>
  <c r="AO543" i="1"/>
  <c r="O543" i="1"/>
  <c r="O544" i="1"/>
  <c r="O545" i="1"/>
  <c r="O546" i="1"/>
  <c r="O547" i="1"/>
  <c r="O548" i="1"/>
  <c r="L543" i="1"/>
  <c r="EK543" i="1" s="1"/>
  <c r="L544" i="1"/>
  <c r="DV544" i="1" s="1"/>
  <c r="L545" i="1"/>
  <c r="DV545" i="1" s="1"/>
  <c r="L546" i="1"/>
  <c r="L547" i="1"/>
  <c r="EK547" i="1" s="1"/>
  <c r="L548" i="1"/>
  <c r="DV548" i="1" s="1"/>
  <c r="F543" i="1"/>
  <c r="F544" i="1"/>
  <c r="EG544" i="1" s="1"/>
  <c r="F545" i="1"/>
  <c r="DR545" i="1" s="1"/>
  <c r="F546" i="1"/>
  <c r="F547" i="1"/>
  <c r="EG547" i="1" s="1"/>
  <c r="F548" i="1"/>
  <c r="BL543" i="6"/>
  <c r="BM543" i="6"/>
  <c r="BN543" i="6"/>
  <c r="BO543" i="6"/>
  <c r="EM544" i="1" l="1"/>
  <c r="EL544" i="1"/>
  <c r="EM547" i="1"/>
  <c r="EL547" i="1"/>
  <c r="DW545" i="1"/>
  <c r="DY545" i="1" s="1"/>
  <c r="DX545" i="1"/>
  <c r="DZ545" i="1" s="1"/>
  <c r="BN546" i="1"/>
  <c r="BL544" i="1"/>
  <c r="BS544" i="1"/>
  <c r="BS546" i="1"/>
  <c r="BL543" i="1"/>
  <c r="DR543" i="1"/>
  <c r="EG543" i="1"/>
  <c r="EK544" i="1"/>
  <c r="CB546" i="1"/>
  <c r="EG545" i="1"/>
  <c r="DR546" i="1"/>
  <c r="EG548" i="1"/>
  <c r="EK545" i="1"/>
  <c r="DV546" i="1"/>
  <c r="CB547" i="1"/>
  <c r="EK548" i="1"/>
  <c r="BN543" i="1"/>
  <c r="BN544" i="1"/>
  <c r="BL548" i="1"/>
  <c r="BS543" i="1"/>
  <c r="BL545" i="1"/>
  <c r="EG546" i="1"/>
  <c r="DR547" i="1"/>
  <c r="BN548" i="1"/>
  <c r="CB543" i="1"/>
  <c r="BN545" i="1"/>
  <c r="BL546" i="1"/>
  <c r="EK546" i="1"/>
  <c r="DV547" i="1"/>
  <c r="DV543" i="1"/>
  <c r="CB544" i="1"/>
  <c r="BS545" i="1"/>
  <c r="BS548" i="1"/>
  <c r="DR544" i="1"/>
  <c r="CB545" i="1"/>
  <c r="BL547" i="1"/>
  <c r="CB548" i="1"/>
  <c r="BN547" i="1"/>
  <c r="DR548" i="1"/>
  <c r="BS547" i="1"/>
  <c r="AK548" i="1"/>
  <c r="AH548" i="1"/>
  <c r="AK547" i="1"/>
  <c r="AH547" i="1"/>
  <c r="AH545" i="1"/>
  <c r="AK545" i="1"/>
  <c r="AH544" i="1"/>
  <c r="AK544" i="1"/>
  <c r="AK543" i="1"/>
  <c r="AH543" i="1"/>
  <c r="P42" i="31"/>
  <c r="AR11" i="31"/>
  <c r="AS12" i="31" s="1"/>
  <c r="AQ25" i="31"/>
  <c r="AQ11" i="31"/>
  <c r="AQ24" i="31" s="1"/>
  <c r="AP11" i="31"/>
  <c r="AO11" i="31"/>
  <c r="AJ542" i="1"/>
  <c r="AG542" i="1"/>
  <c r="ES542" i="1"/>
  <c r="ER542" i="1"/>
  <c r="ET542" i="1" s="1"/>
  <c r="EQ542" i="1"/>
  <c r="EB542" i="1"/>
  <c r="CT542" i="1"/>
  <c r="CF542" i="1"/>
  <c r="CE542" i="1"/>
  <c r="CH542" i="1" s="1"/>
  <c r="CD542" i="1"/>
  <c r="CC542" i="1"/>
  <c r="CG542" i="1" s="1"/>
  <c r="BW542" i="1"/>
  <c r="AO542" i="1"/>
  <c r="BL542" i="6"/>
  <c r="BM542" i="6"/>
  <c r="BN542" i="6"/>
  <c r="BO542" i="6"/>
  <c r="AJ541" i="1"/>
  <c r="AG541" i="1"/>
  <c r="ES541" i="1"/>
  <c r="ER541" i="1"/>
  <c r="ET541" i="1" s="1"/>
  <c r="EQ541" i="1"/>
  <c r="EB541" i="1"/>
  <c r="DN542" i="1"/>
  <c r="DP542" i="1" s="1"/>
  <c r="DM542" i="1"/>
  <c r="DL542" i="1"/>
  <c r="DO542" i="1" s="1"/>
  <c r="DK542" i="1"/>
  <c r="DN541" i="1"/>
  <c r="DP541" i="1" s="1"/>
  <c r="DM541" i="1"/>
  <c r="DL541" i="1"/>
  <c r="DO541" i="1" s="1"/>
  <c r="DK541" i="1"/>
  <c r="CT541" i="1"/>
  <c r="CC541" i="1"/>
  <c r="BW541" i="1"/>
  <c r="AO541" i="1"/>
  <c r="O541" i="1"/>
  <c r="O542" i="1"/>
  <c r="L541" i="1"/>
  <c r="CB541" i="1" s="1"/>
  <c r="L542" i="1"/>
  <c r="F541" i="1"/>
  <c r="BL541" i="1" s="1"/>
  <c r="F542" i="1"/>
  <c r="EG542" i="1" s="1"/>
  <c r="BL541" i="6"/>
  <c r="BM541" i="6"/>
  <c r="BN541" i="6"/>
  <c r="BO541" i="6"/>
  <c r="AP16" i="30"/>
  <c r="AQ17" i="30" s="1"/>
  <c r="AL16" i="30"/>
  <c r="AM20" i="30" s="1"/>
  <c r="AN16" i="30"/>
  <c r="AO19" i="30" s="1"/>
  <c r="AO18" i="30" l="1"/>
  <c r="AQ24" i="30"/>
  <c r="AQ26" i="31"/>
  <c r="CU547" i="1"/>
  <c r="CV547" i="1"/>
  <c r="EM543" i="1"/>
  <c r="EL543" i="1"/>
  <c r="EL546" i="1"/>
  <c r="EM546" i="1"/>
  <c r="CU544" i="1"/>
  <c r="CX544" i="1" s="1"/>
  <c r="CV544" i="1"/>
  <c r="EM542" i="1"/>
  <c r="EL542" i="1"/>
  <c r="EL548" i="1"/>
  <c r="EM548" i="1"/>
  <c r="CU546" i="1"/>
  <c r="CV546" i="1"/>
  <c r="EM545" i="1"/>
  <c r="EL545" i="1"/>
  <c r="DW546" i="1"/>
  <c r="DX546" i="1"/>
  <c r="DW548" i="1"/>
  <c r="DX548" i="1"/>
  <c r="DW547" i="1"/>
  <c r="DY547" i="1" s="1"/>
  <c r="DX547" i="1"/>
  <c r="DZ547" i="1" s="1"/>
  <c r="DW543" i="1"/>
  <c r="DY543" i="1" s="1"/>
  <c r="DX543" i="1"/>
  <c r="DZ543" i="1" s="1"/>
  <c r="DX544" i="1"/>
  <c r="DW544" i="1"/>
  <c r="AO14" i="31"/>
  <c r="AQ12" i="31"/>
  <c r="AQ28" i="31"/>
  <c r="AQ14" i="31"/>
  <c r="AQ30" i="31"/>
  <c r="AQ15" i="31"/>
  <c r="AQ31" i="31"/>
  <c r="AQ29" i="31"/>
  <c r="AQ16" i="31"/>
  <c r="AQ32" i="31"/>
  <c r="AQ27" i="31"/>
  <c r="AQ17" i="31"/>
  <c r="AQ33" i="31"/>
  <c r="AQ18" i="31"/>
  <c r="AQ34" i="31"/>
  <c r="AQ19" i="31"/>
  <c r="AQ35" i="31"/>
  <c r="AQ20" i="31"/>
  <c r="AQ21" i="31"/>
  <c r="AO34" i="30"/>
  <c r="AQ13" i="31"/>
  <c r="AO33" i="30"/>
  <c r="AO26" i="30"/>
  <c r="AQ23" i="31"/>
  <c r="AO16" i="31"/>
  <c r="AQ22" i="31"/>
  <c r="AO25" i="30"/>
  <c r="BW548" i="1"/>
  <c r="BS542" i="1"/>
  <c r="AK542" i="1"/>
  <c r="AS30" i="31"/>
  <c r="AS32" i="31"/>
  <c r="AS29" i="31"/>
  <c r="AS16" i="31"/>
  <c r="AS31" i="31"/>
  <c r="AS14" i="31"/>
  <c r="AS13" i="31"/>
  <c r="AS17" i="31"/>
  <c r="AS28" i="31"/>
  <c r="AS27" i="31"/>
  <c r="AS15" i="31"/>
  <c r="AN11" i="31"/>
  <c r="AO21" i="31" s="1"/>
  <c r="AH542" i="1"/>
  <c r="EK542" i="1"/>
  <c r="CB542" i="1"/>
  <c r="DR542" i="1"/>
  <c r="BL542" i="1"/>
  <c r="DV542" i="1"/>
  <c r="BN542" i="1"/>
  <c r="BN541" i="1"/>
  <c r="DV541" i="1"/>
  <c r="EK541" i="1"/>
  <c r="BS541" i="1"/>
  <c r="AK541" i="1"/>
  <c r="AH541" i="1"/>
  <c r="CD541" i="1"/>
  <c r="CE541" i="1"/>
  <c r="AS26" i="31"/>
  <c r="AS25" i="31"/>
  <c r="AS24" i="31"/>
  <c r="AS23" i="31"/>
  <c r="AS22" i="31"/>
  <c r="AS21" i="31"/>
  <c r="AS20" i="31"/>
  <c r="AS35" i="31"/>
  <c r="AS19" i="31"/>
  <c r="AS34" i="31"/>
  <c r="AS18" i="31"/>
  <c r="AS33" i="31"/>
  <c r="AQ30" i="30"/>
  <c r="AQ26" i="30"/>
  <c r="AQ29" i="30"/>
  <c r="AQ28" i="30"/>
  <c r="AQ25" i="30"/>
  <c r="AQ27" i="30"/>
  <c r="AQ31" i="30"/>
  <c r="AO17" i="30"/>
  <c r="AO40" i="30"/>
  <c r="AQ40" i="30"/>
  <c r="AQ23" i="30"/>
  <c r="AQ39" i="30"/>
  <c r="AQ32" i="30"/>
  <c r="AM26" i="30"/>
  <c r="AM25" i="30"/>
  <c r="AM19" i="30"/>
  <c r="AM27" i="30"/>
  <c r="AM35" i="30"/>
  <c r="AM34" i="30"/>
  <c r="AM33" i="30"/>
  <c r="AM18" i="30"/>
  <c r="AM17" i="30"/>
  <c r="AM32" i="30"/>
  <c r="AO23" i="30"/>
  <c r="AO24" i="30"/>
  <c r="AM24" i="30"/>
  <c r="AO39" i="30"/>
  <c r="AO31" i="30"/>
  <c r="AO30" i="30"/>
  <c r="AQ38" i="30"/>
  <c r="AQ22" i="30"/>
  <c r="AO38" i="30"/>
  <c r="AO22" i="30"/>
  <c r="AM38" i="30"/>
  <c r="AQ21" i="30"/>
  <c r="AO37" i="30"/>
  <c r="AQ20" i="30"/>
  <c r="AM37" i="30"/>
  <c r="AM29" i="30"/>
  <c r="AQ35" i="30"/>
  <c r="AO28" i="30"/>
  <c r="AQ34" i="30"/>
  <c r="AQ18" i="30"/>
  <c r="AM40" i="30"/>
  <c r="AM39" i="30"/>
  <c r="AM31" i="30"/>
  <c r="AM23" i="30"/>
  <c r="AM30" i="30"/>
  <c r="AM22" i="30"/>
  <c r="AQ37" i="30"/>
  <c r="AO29" i="30"/>
  <c r="AO21" i="30"/>
  <c r="AQ36" i="30"/>
  <c r="AM21" i="30"/>
  <c r="AQ19" i="30"/>
  <c r="AO36" i="30"/>
  <c r="AO20" i="30"/>
  <c r="AM36" i="30"/>
  <c r="AM28" i="30"/>
  <c r="AQ33" i="30"/>
  <c r="AO32" i="30"/>
  <c r="AO35" i="30"/>
  <c r="AO27" i="30"/>
  <c r="P113" i="14"/>
  <c r="K113" i="14"/>
  <c r="I113" i="14"/>
  <c r="O113" i="14"/>
  <c r="Q113" i="14" s="1"/>
  <c r="K111" i="14"/>
  <c r="I111" i="14"/>
  <c r="O111" i="14"/>
  <c r="P111" i="14" s="1"/>
  <c r="I68" i="14"/>
  <c r="O68" i="14"/>
  <c r="P68" i="14" s="1"/>
  <c r="K51" i="14"/>
  <c r="O51" i="14"/>
  <c r="P51" i="14" s="1"/>
  <c r="I51" i="14"/>
  <c r="AO12" i="31" l="1"/>
  <c r="AO23" i="31"/>
  <c r="DW542" i="1"/>
  <c r="DY542" i="1" s="1"/>
  <c r="DX542" i="1"/>
  <c r="DZ542" i="1" s="1"/>
  <c r="AO13" i="31"/>
  <c r="AO29" i="31"/>
  <c r="AO25" i="31"/>
  <c r="AO27" i="31"/>
  <c r="AO28" i="31"/>
  <c r="AO22" i="31"/>
  <c r="AO26" i="31"/>
  <c r="AO17" i="31"/>
  <c r="AO33" i="31"/>
  <c r="AO30" i="31"/>
  <c r="AO18" i="31"/>
  <c r="AO34" i="31"/>
  <c r="AO32" i="31"/>
  <c r="AO19" i="31"/>
  <c r="AO35" i="31"/>
  <c r="AO15" i="31"/>
  <c r="AO24" i="31"/>
  <c r="AO31" i="31"/>
  <c r="AO20" i="31"/>
  <c r="Q51" i="14"/>
  <c r="Q68" i="14"/>
  <c r="Q111" i="14"/>
  <c r="E112" i="33"/>
  <c r="I112" i="33"/>
  <c r="C112" i="33"/>
  <c r="E110" i="33"/>
  <c r="I110" i="33"/>
  <c r="E109" i="33"/>
  <c r="I109" i="33"/>
  <c r="I108" i="33"/>
  <c r="E108" i="33"/>
  <c r="E107" i="33"/>
  <c r="I107" i="33"/>
  <c r="E105" i="33"/>
  <c r="I105" i="33"/>
  <c r="E104" i="33"/>
  <c r="I104" i="33"/>
  <c r="E103" i="33"/>
  <c r="I103" i="33"/>
  <c r="C103" i="33"/>
  <c r="B535" i="1" l="1"/>
  <c r="ED540" i="1"/>
  <c r="EC540" i="1"/>
  <c r="EB540" i="1"/>
  <c r="CW540" i="1"/>
  <c r="CT540" i="1"/>
  <c r="BV540" i="1"/>
  <c r="BU540" i="1"/>
  <c r="BT540" i="1"/>
  <c r="AJ539" i="1"/>
  <c r="AG539" i="1"/>
  <c r="CT539" i="1"/>
  <c r="BW539" i="1"/>
  <c r="AJ536" i="1"/>
  <c r="AG536" i="1"/>
  <c r="EB536" i="1"/>
  <c r="CT536" i="1"/>
  <c r="BW536" i="1"/>
  <c r="AJ534" i="1"/>
  <c r="AG534" i="1"/>
  <c r="EB534" i="1"/>
  <c r="CT534" i="1"/>
  <c r="BW534" i="1"/>
  <c r="AJ533" i="1"/>
  <c r="AG533" i="1"/>
  <c r="AJ532" i="1"/>
  <c r="AG532" i="1"/>
  <c r="BW533" i="1"/>
  <c r="EB532" i="1"/>
  <c r="ED531" i="1"/>
  <c r="EC531" i="1"/>
  <c r="EB531" i="1"/>
  <c r="CW531" i="1"/>
  <c r="CT531" i="1"/>
  <c r="BW531" i="1"/>
  <c r="ED530" i="1"/>
  <c r="EC530" i="1"/>
  <c r="EB530" i="1"/>
  <c r="BV530" i="1"/>
  <c r="BU530" i="1"/>
  <c r="BT530" i="1"/>
  <c r="AJ529" i="1"/>
  <c r="AG529" i="1"/>
  <c r="CW533" i="1"/>
  <c r="CY533" i="1" s="1"/>
  <c r="CT533" i="1"/>
  <c r="CW532" i="1"/>
  <c r="CY532" i="1" s="1"/>
  <c r="CT532" i="1"/>
  <c r="CW530" i="1"/>
  <c r="CY530" i="1" s="1"/>
  <c r="CT530" i="1"/>
  <c r="CW529" i="1"/>
  <c r="CY529" i="1" s="1"/>
  <c r="CT529" i="1"/>
  <c r="BW529" i="1"/>
  <c r="AJ538" i="1"/>
  <c r="AG538" i="1"/>
  <c r="CT538" i="1"/>
  <c r="BW538" i="1"/>
  <c r="ES538" i="1"/>
  <c r="ER538" i="1"/>
  <c r="ET538" i="1" s="1"/>
  <c r="EQ538" i="1"/>
  <c r="EB538" i="1"/>
  <c r="AJ537" i="1"/>
  <c r="AG537" i="1"/>
  <c r="ES540" i="1"/>
  <c r="ER540" i="1"/>
  <c r="ET540" i="1" s="1"/>
  <c r="EQ540" i="1"/>
  <c r="ES539" i="1"/>
  <c r="ER539" i="1"/>
  <c r="ET539" i="1" s="1"/>
  <c r="EQ539" i="1"/>
  <c r="ES537" i="1"/>
  <c r="ER537" i="1"/>
  <c r="ET537" i="1" s="1"/>
  <c r="EQ537" i="1"/>
  <c r="ES536" i="1"/>
  <c r="ER536" i="1"/>
  <c r="ET536" i="1" s="1"/>
  <c r="EQ536" i="1"/>
  <c r="ES535" i="1"/>
  <c r="ER535" i="1"/>
  <c r="ET535" i="1" s="1"/>
  <c r="EQ535" i="1"/>
  <c r="ES534" i="1"/>
  <c r="ER534" i="1"/>
  <c r="ET534" i="1" s="1"/>
  <c r="EQ534" i="1"/>
  <c r="ES533" i="1"/>
  <c r="ER533" i="1"/>
  <c r="ET533" i="1" s="1"/>
  <c r="EQ533" i="1"/>
  <c r="ES532" i="1"/>
  <c r="ER532" i="1"/>
  <c r="ET532" i="1" s="1"/>
  <c r="EQ532" i="1"/>
  <c r="ES531" i="1"/>
  <c r="ER531" i="1"/>
  <c r="ET531" i="1" s="1"/>
  <c r="EQ531" i="1"/>
  <c r="ES530" i="1"/>
  <c r="ER530" i="1"/>
  <c r="ET530" i="1" s="1"/>
  <c r="EQ530" i="1"/>
  <c r="ES529" i="1"/>
  <c r="ER529" i="1"/>
  <c r="ET529" i="1" s="1"/>
  <c r="EQ529" i="1"/>
  <c r="EB537" i="1"/>
  <c r="CT537" i="1"/>
  <c r="CF540" i="1"/>
  <c r="CE540" i="1"/>
  <c r="CH540" i="1" s="1"/>
  <c r="CD540" i="1"/>
  <c r="CC540" i="1"/>
  <c r="CG540" i="1" s="1"/>
  <c r="CF539" i="1"/>
  <c r="CE539" i="1"/>
  <c r="CH539" i="1" s="1"/>
  <c r="CD539" i="1"/>
  <c r="CC539" i="1"/>
  <c r="CG539" i="1" s="1"/>
  <c r="CF538" i="1"/>
  <c r="CE538" i="1"/>
  <c r="CH538" i="1" s="1"/>
  <c r="CD538" i="1"/>
  <c r="CC538" i="1"/>
  <c r="CG538" i="1" s="1"/>
  <c r="CF537" i="1"/>
  <c r="CE537" i="1"/>
  <c r="CH537" i="1" s="1"/>
  <c r="CD537" i="1"/>
  <c r="CC537" i="1"/>
  <c r="CG537" i="1" s="1"/>
  <c r="CF536" i="1"/>
  <c r="CE536" i="1"/>
  <c r="CH536" i="1" s="1"/>
  <c r="CD536" i="1"/>
  <c r="CC536" i="1"/>
  <c r="CG536" i="1" s="1"/>
  <c r="CF535" i="1"/>
  <c r="CE535" i="1"/>
  <c r="CH535" i="1" s="1"/>
  <c r="CD535" i="1"/>
  <c r="CC535" i="1"/>
  <c r="CG535" i="1" s="1"/>
  <c r="CF534" i="1"/>
  <c r="CE534" i="1"/>
  <c r="CD534" i="1"/>
  <c r="CC534" i="1"/>
  <c r="CG534" i="1" s="1"/>
  <c r="CF533" i="1"/>
  <c r="CE533" i="1"/>
  <c r="CH533" i="1" s="1"/>
  <c r="CD533" i="1"/>
  <c r="CC533" i="1"/>
  <c r="CG533" i="1" s="1"/>
  <c r="CF532" i="1"/>
  <c r="CE532" i="1"/>
  <c r="CH532" i="1" s="1"/>
  <c r="CD532" i="1"/>
  <c r="CC532" i="1"/>
  <c r="CG532" i="1" s="1"/>
  <c r="CF531" i="1"/>
  <c r="CE531" i="1"/>
  <c r="CH531" i="1" s="1"/>
  <c r="CD531" i="1"/>
  <c r="CC531" i="1"/>
  <c r="CG531" i="1" s="1"/>
  <c r="CF530" i="1"/>
  <c r="CE530" i="1"/>
  <c r="CD530" i="1"/>
  <c r="CC530" i="1"/>
  <c r="CG530" i="1" s="1"/>
  <c r="CF529" i="1"/>
  <c r="CE529" i="1"/>
  <c r="CH529" i="1" s="1"/>
  <c r="CD529" i="1"/>
  <c r="CC529" i="1"/>
  <c r="CG529" i="1" s="1"/>
  <c r="BW537" i="1"/>
  <c r="AJ535" i="1"/>
  <c r="AG535" i="1"/>
  <c r="DN540" i="1"/>
  <c r="DP540" i="1" s="1"/>
  <c r="DM540" i="1"/>
  <c r="DL540" i="1"/>
  <c r="DO540" i="1" s="1"/>
  <c r="DK540" i="1"/>
  <c r="DN539" i="1"/>
  <c r="DP539" i="1" s="1"/>
  <c r="DM539" i="1"/>
  <c r="DL539" i="1"/>
  <c r="DO539" i="1" s="1"/>
  <c r="DK539" i="1"/>
  <c r="DN538" i="1"/>
  <c r="DP538" i="1" s="1"/>
  <c r="DM538" i="1"/>
  <c r="DL538" i="1"/>
  <c r="DO538" i="1" s="1"/>
  <c r="DK538" i="1"/>
  <c r="DN537" i="1"/>
  <c r="DP537" i="1" s="1"/>
  <c r="DM537" i="1"/>
  <c r="DL537" i="1"/>
  <c r="DO537" i="1" s="1"/>
  <c r="DK537" i="1"/>
  <c r="DN536" i="1"/>
  <c r="DP536" i="1" s="1"/>
  <c r="DM536" i="1"/>
  <c r="DL536" i="1"/>
  <c r="DO536" i="1" s="1"/>
  <c r="DK536" i="1"/>
  <c r="DN535" i="1"/>
  <c r="DP535" i="1" s="1"/>
  <c r="DM535" i="1"/>
  <c r="DL535" i="1"/>
  <c r="DO535" i="1" s="1"/>
  <c r="DK535" i="1"/>
  <c r="DN534" i="1"/>
  <c r="DP534" i="1" s="1"/>
  <c r="DM534" i="1"/>
  <c r="DL534" i="1"/>
  <c r="DO534" i="1" s="1"/>
  <c r="DK534" i="1"/>
  <c r="DN533" i="1"/>
  <c r="DP533" i="1" s="1"/>
  <c r="DM533" i="1"/>
  <c r="DL533" i="1"/>
  <c r="DO533" i="1" s="1"/>
  <c r="DK533" i="1"/>
  <c r="DN532" i="1"/>
  <c r="DP532" i="1" s="1"/>
  <c r="DM532" i="1"/>
  <c r="DL532" i="1"/>
  <c r="DO532" i="1" s="1"/>
  <c r="DK532" i="1"/>
  <c r="DN531" i="1"/>
  <c r="DP531" i="1" s="1"/>
  <c r="DM531" i="1"/>
  <c r="DL531" i="1"/>
  <c r="DO531" i="1" s="1"/>
  <c r="DK531" i="1"/>
  <c r="DN530" i="1"/>
  <c r="DP530" i="1" s="1"/>
  <c r="DM530" i="1"/>
  <c r="DL530" i="1"/>
  <c r="DO530" i="1" s="1"/>
  <c r="DK530" i="1"/>
  <c r="DN529" i="1"/>
  <c r="DP529" i="1" s="1"/>
  <c r="DM529" i="1"/>
  <c r="DL529" i="1"/>
  <c r="DO529" i="1" s="1"/>
  <c r="DK529" i="1"/>
  <c r="BW535" i="1"/>
  <c r="AO540" i="1"/>
  <c r="AO539" i="1"/>
  <c r="AO538" i="1"/>
  <c r="AO537" i="1"/>
  <c r="AO536" i="1"/>
  <c r="AO535" i="1"/>
  <c r="AO534" i="1"/>
  <c r="AO533" i="1"/>
  <c r="AO532" i="1"/>
  <c r="AO531" i="1"/>
  <c r="AO530" i="1"/>
  <c r="AO529" i="1"/>
  <c r="O529" i="1"/>
  <c r="O530" i="1"/>
  <c r="O531" i="1"/>
  <c r="O532" i="1"/>
  <c r="O533" i="1"/>
  <c r="O534" i="1"/>
  <c r="O535" i="1"/>
  <c r="O536" i="1"/>
  <c r="O537" i="1"/>
  <c r="O538" i="1"/>
  <c r="O539" i="1"/>
  <c r="O540" i="1"/>
  <c r="L529" i="1"/>
  <c r="L530" i="1"/>
  <c r="L531" i="1"/>
  <c r="DV531" i="1" s="1"/>
  <c r="L532" i="1"/>
  <c r="DV532" i="1" s="1"/>
  <c r="L533" i="1"/>
  <c r="L534" i="1"/>
  <c r="L535" i="1"/>
  <c r="L536" i="1"/>
  <c r="L537" i="1"/>
  <c r="L538" i="1"/>
  <c r="L539" i="1"/>
  <c r="EK539" i="1" s="1"/>
  <c r="L540" i="1"/>
  <c r="EK540" i="1" s="1"/>
  <c r="F528" i="1"/>
  <c r="F529" i="1"/>
  <c r="F530" i="1"/>
  <c r="DR530" i="1" s="1"/>
  <c r="F531" i="1"/>
  <c r="F532" i="1"/>
  <c r="BL532" i="1" s="1"/>
  <c r="F533" i="1"/>
  <c r="F534" i="1"/>
  <c r="BL534" i="1" s="1"/>
  <c r="F535" i="1"/>
  <c r="F536" i="1"/>
  <c r="F537" i="1"/>
  <c r="F538" i="1"/>
  <c r="F539" i="1"/>
  <c r="F540" i="1"/>
  <c r="BL540" i="1" s="1"/>
  <c r="BL540" i="6"/>
  <c r="BM540" i="6"/>
  <c r="BN540" i="6"/>
  <c r="BO540" i="6"/>
  <c r="BL539" i="6"/>
  <c r="BM539" i="6"/>
  <c r="BN539" i="6"/>
  <c r="BO539" i="6"/>
  <c r="BL538" i="6"/>
  <c r="BM538" i="6"/>
  <c r="BN538" i="6"/>
  <c r="BO538" i="6"/>
  <c r="BL537" i="6"/>
  <c r="BM537" i="6"/>
  <c r="BN537" i="6"/>
  <c r="BO537" i="6"/>
  <c r="BL536" i="6"/>
  <c r="BM536" i="6"/>
  <c r="BN536" i="6"/>
  <c r="BO536" i="6"/>
  <c r="BL535" i="6"/>
  <c r="BM535" i="6"/>
  <c r="BN535" i="6"/>
  <c r="BO535" i="6"/>
  <c r="BL534" i="6"/>
  <c r="BM534" i="6"/>
  <c r="BN534" i="6"/>
  <c r="BO534" i="6"/>
  <c r="BL533" i="6"/>
  <c r="BM533" i="6"/>
  <c r="BN533" i="6"/>
  <c r="BO533" i="6"/>
  <c r="BL532" i="6"/>
  <c r="BM532" i="6"/>
  <c r="BN532" i="6"/>
  <c r="BO532" i="6"/>
  <c r="BL531" i="6"/>
  <c r="BM531" i="6"/>
  <c r="BN531" i="6"/>
  <c r="BO531" i="6"/>
  <c r="BL530" i="6"/>
  <c r="BM530" i="6"/>
  <c r="BN530" i="6"/>
  <c r="BO530" i="6"/>
  <c r="B529" i="1"/>
  <c r="B530" i="1"/>
  <c r="B531" i="1"/>
  <c r="B532" i="1"/>
  <c r="B533" i="1"/>
  <c r="B534" i="1"/>
  <c r="B536" i="1"/>
  <c r="H531" i="1"/>
  <c r="H530" i="1"/>
  <c r="BL529" i="6"/>
  <c r="BM529" i="6"/>
  <c r="BN529" i="6"/>
  <c r="BO529" i="6"/>
  <c r="H32" i="5"/>
  <c r="H31" i="5"/>
  <c r="CU530" i="1" l="1"/>
  <c r="CX530" i="1" s="1"/>
  <c r="CV530" i="1"/>
  <c r="DW530" i="1"/>
  <c r="DX530" i="1"/>
  <c r="AH537" i="1"/>
  <c r="AH529" i="1"/>
  <c r="DR539" i="1"/>
  <c r="DV539" i="1"/>
  <c r="AH539" i="1"/>
  <c r="DR540" i="1"/>
  <c r="DV540" i="1"/>
  <c r="BS540" i="1"/>
  <c r="BS539" i="1"/>
  <c r="AH532" i="1"/>
  <c r="AK536" i="1"/>
  <c r="AK539" i="1"/>
  <c r="AK537" i="1"/>
  <c r="AK532" i="1"/>
  <c r="AK533" i="1"/>
  <c r="BS530" i="1"/>
  <c r="BL530" i="1"/>
  <c r="EK531" i="1"/>
  <c r="AH536" i="1"/>
  <c r="BL538" i="1"/>
  <c r="DR534" i="1"/>
  <c r="BN530" i="1"/>
  <c r="BS531" i="1"/>
  <c r="BN534" i="1"/>
  <c r="AK538" i="1"/>
  <c r="AK529" i="1"/>
  <c r="EG537" i="1"/>
  <c r="DR537" i="1"/>
  <c r="BL537" i="1"/>
  <c r="BN533" i="1"/>
  <c r="DR533" i="1"/>
  <c r="EG529" i="1"/>
  <c r="DR529" i="1"/>
  <c r="EK538" i="1"/>
  <c r="DV538" i="1"/>
  <c r="BS538" i="1"/>
  <c r="BN538" i="1"/>
  <c r="EK534" i="1"/>
  <c r="DV534" i="1"/>
  <c r="BN529" i="1"/>
  <c r="CB530" i="1"/>
  <c r="EK530" i="1"/>
  <c r="BS534" i="1"/>
  <c r="EG540" i="1"/>
  <c r="BN540" i="1"/>
  <c r="BL536" i="1"/>
  <c r="DR536" i="1"/>
  <c r="EG536" i="1"/>
  <c r="BN536" i="1"/>
  <c r="DR532" i="1"/>
  <c r="EG532" i="1"/>
  <c r="BN532" i="1"/>
  <c r="EK537" i="1"/>
  <c r="DV537" i="1"/>
  <c r="CB537" i="1"/>
  <c r="BS537" i="1"/>
  <c r="BS533" i="1"/>
  <c r="CB533" i="1"/>
  <c r="DV533" i="1"/>
  <c r="EK533" i="1"/>
  <c r="DV529" i="1"/>
  <c r="EK529" i="1"/>
  <c r="CB529" i="1"/>
  <c r="BS529" i="1"/>
  <c r="BL533" i="1"/>
  <c r="CB534" i="1"/>
  <c r="EG533" i="1"/>
  <c r="BN535" i="1"/>
  <c r="EG535" i="1"/>
  <c r="DR535" i="1"/>
  <c r="EG531" i="1"/>
  <c r="BL531" i="1"/>
  <c r="DR531" i="1"/>
  <c r="CB540" i="1"/>
  <c r="DV536" i="1"/>
  <c r="EK536" i="1"/>
  <c r="CB536" i="1"/>
  <c r="BS536" i="1"/>
  <c r="CB532" i="1"/>
  <c r="BS532" i="1"/>
  <c r="BL529" i="1"/>
  <c r="CB538" i="1"/>
  <c r="EK532" i="1"/>
  <c r="DV530" i="1"/>
  <c r="EG539" i="1"/>
  <c r="BN539" i="1"/>
  <c r="BL539" i="1"/>
  <c r="CB539" i="1"/>
  <c r="BS535" i="1"/>
  <c r="BN531" i="1"/>
  <c r="BL535" i="1"/>
  <c r="BN537" i="1"/>
  <c r="CB531" i="1"/>
  <c r="CB535" i="1"/>
  <c r="EG534" i="1"/>
  <c r="AH533" i="1"/>
  <c r="DV535" i="1"/>
  <c r="EK535" i="1"/>
  <c r="DR538" i="1"/>
  <c r="EG538" i="1"/>
  <c r="AH534" i="1"/>
  <c r="EG530" i="1"/>
  <c r="AH538" i="1"/>
  <c r="AK534" i="1"/>
  <c r="Z32" i="5"/>
  <c r="Z31" i="5"/>
  <c r="DY530" i="1" l="1"/>
  <c r="EL538" i="1"/>
  <c r="EM538" i="1"/>
  <c r="EL540" i="1"/>
  <c r="EM540" i="1"/>
  <c r="EM537" i="1"/>
  <c r="EL537" i="1"/>
  <c r="EM531" i="1"/>
  <c r="EL531" i="1"/>
  <c r="CU540" i="1"/>
  <c r="CV540" i="1"/>
  <c r="EM539" i="1"/>
  <c r="EL539" i="1"/>
  <c r="EM535" i="1"/>
  <c r="EL535" i="1"/>
  <c r="CU531" i="1"/>
  <c r="CV531" i="1"/>
  <c r="EM533" i="1"/>
  <c r="EL533" i="1"/>
  <c r="EL532" i="1"/>
  <c r="EM532" i="1"/>
  <c r="EL530" i="1"/>
  <c r="EM530" i="1"/>
  <c r="CU532" i="1"/>
  <c r="CX532" i="1" s="1"/>
  <c r="CV532" i="1"/>
  <c r="CU529" i="1"/>
  <c r="CX529" i="1" s="1"/>
  <c r="CV529" i="1"/>
  <c r="EM536" i="1"/>
  <c r="EL536" i="1"/>
  <c r="EM529" i="1"/>
  <c r="EL529" i="1"/>
  <c r="EM534" i="1"/>
  <c r="EL534" i="1"/>
  <c r="CU533" i="1"/>
  <c r="CX533" i="1" s="1"/>
  <c r="CV533" i="1"/>
  <c r="DZ530" i="1"/>
  <c r="DW537" i="1"/>
  <c r="DY537" i="1" s="1"/>
  <c r="DX537" i="1"/>
  <c r="DZ537" i="1" s="1"/>
  <c r="DW540" i="1"/>
  <c r="DX540" i="1"/>
  <c r="DW535" i="1"/>
  <c r="DY535" i="1" s="1"/>
  <c r="DX535" i="1"/>
  <c r="DZ535" i="1" s="1"/>
  <c r="DW534" i="1"/>
  <c r="DY534" i="1" s="1"/>
  <c r="DX534" i="1"/>
  <c r="DZ534" i="1" s="1"/>
  <c r="DW531" i="1"/>
  <c r="DX531" i="1"/>
  <c r="DW538" i="1"/>
  <c r="DX538" i="1"/>
  <c r="DW539" i="1"/>
  <c r="DY539" i="1" s="1"/>
  <c r="DX539" i="1"/>
  <c r="DZ539" i="1" s="1"/>
  <c r="DW532" i="1"/>
  <c r="DY532" i="1" s="1"/>
  <c r="EC532" i="1" s="1"/>
  <c r="EE532" i="1" s="1"/>
  <c r="DX532" i="1"/>
  <c r="DZ532" i="1" s="1"/>
  <c r="ED532" i="1" s="1"/>
  <c r="DW529" i="1"/>
  <c r="DX529" i="1"/>
  <c r="DZ529" i="1" s="1"/>
  <c r="ED529" i="1" s="1"/>
  <c r="DX536" i="1"/>
  <c r="DW536" i="1"/>
  <c r="DW533" i="1"/>
  <c r="DY533" i="1" s="1"/>
  <c r="DX533" i="1"/>
  <c r="DZ533" i="1" s="1"/>
  <c r="BU532" i="1"/>
  <c r="CH534" i="1"/>
  <c r="BV532" i="1"/>
  <c r="BT532" i="1"/>
  <c r="CH530" i="1"/>
  <c r="AH535" i="1"/>
  <c r="AK535" i="1"/>
  <c r="F112" i="33"/>
  <c r="F111" i="33"/>
  <c r="F110" i="33"/>
  <c r="F109" i="33"/>
  <c r="F108" i="33"/>
  <c r="F107" i="33"/>
  <c r="F106" i="33"/>
  <c r="F105" i="33"/>
  <c r="F104" i="33"/>
  <c r="F103" i="33"/>
  <c r="H112" i="33"/>
  <c r="H111" i="33"/>
  <c r="H110" i="33"/>
  <c r="H109" i="33"/>
  <c r="H108" i="33"/>
  <c r="H107" i="33"/>
  <c r="H106" i="33"/>
  <c r="H105" i="33"/>
  <c r="H104" i="33"/>
  <c r="H103" i="33"/>
  <c r="L112" i="33"/>
  <c r="L111" i="33"/>
  <c r="L110" i="33"/>
  <c r="L109" i="33"/>
  <c r="L108" i="33"/>
  <c r="L107" i="33"/>
  <c r="L106" i="33"/>
  <c r="L105" i="33"/>
  <c r="L104" i="33"/>
  <c r="L103" i="33"/>
  <c r="J112" i="33"/>
  <c r="J111" i="33"/>
  <c r="J110" i="33"/>
  <c r="J109" i="33"/>
  <c r="J108" i="33"/>
  <c r="J107" i="33"/>
  <c r="J106" i="33"/>
  <c r="J105" i="33"/>
  <c r="J104" i="33"/>
  <c r="J103" i="33"/>
  <c r="DY529" i="1" l="1"/>
  <c r="EC529" i="1" s="1"/>
  <c r="EE529" i="1" s="1"/>
  <c r="AJ528" i="1"/>
  <c r="AG528" i="1"/>
  <c r="ES528" i="1"/>
  <c r="ER528" i="1"/>
  <c r="ET528" i="1" s="1"/>
  <c r="EQ528" i="1"/>
  <c r="DN528" i="1"/>
  <c r="DP528" i="1" s="1"/>
  <c r="DM528" i="1"/>
  <c r="DL528" i="1"/>
  <c r="DO528" i="1" s="1"/>
  <c r="DK528" i="1"/>
  <c r="CW528" i="1"/>
  <c r="CT528" i="1"/>
  <c r="CF528" i="1"/>
  <c r="CE528" i="1"/>
  <c r="CH528" i="1" s="1"/>
  <c r="CD528" i="1"/>
  <c r="CC528" i="1"/>
  <c r="CG528" i="1" s="1"/>
  <c r="BW528" i="1"/>
  <c r="AO528" i="1"/>
  <c r="BL528" i="6"/>
  <c r="BM528" i="6"/>
  <c r="BN528" i="6"/>
  <c r="BO528" i="6"/>
  <c r="AJ527" i="1"/>
  <c r="AG527" i="1"/>
  <c r="ES527" i="1"/>
  <c r="ER527" i="1"/>
  <c r="ET527" i="1" s="1"/>
  <c r="EQ527" i="1"/>
  <c r="EB527" i="1"/>
  <c r="DN527" i="1"/>
  <c r="DP527" i="1" s="1"/>
  <c r="DM527" i="1"/>
  <c r="DL527" i="1"/>
  <c r="DO527" i="1" s="1"/>
  <c r="DK527" i="1"/>
  <c r="CT527" i="1"/>
  <c r="CF527" i="1"/>
  <c r="CE527" i="1"/>
  <c r="CH527" i="1" s="1"/>
  <c r="CD527" i="1"/>
  <c r="CC527" i="1"/>
  <c r="CG527" i="1" s="1"/>
  <c r="BW527" i="1"/>
  <c r="AO527" i="1"/>
  <c r="BL527" i="6"/>
  <c r="BM527" i="6"/>
  <c r="BN527" i="6"/>
  <c r="BO527" i="6"/>
  <c r="AJ526" i="1"/>
  <c r="AG526" i="1"/>
  <c r="ES526" i="1"/>
  <c r="ER526" i="1"/>
  <c r="ET526" i="1" s="1"/>
  <c r="EQ526" i="1"/>
  <c r="DN526" i="1"/>
  <c r="DP526" i="1" s="1"/>
  <c r="DM526" i="1"/>
  <c r="DL526" i="1"/>
  <c r="DO526" i="1" s="1"/>
  <c r="DK526" i="1"/>
  <c r="CT526" i="1"/>
  <c r="CW526" i="1"/>
  <c r="CY526" i="1" s="1"/>
  <c r="CX526" i="1"/>
  <c r="CF526" i="1"/>
  <c r="CE526" i="1"/>
  <c r="CH526" i="1" s="1"/>
  <c r="CD526" i="1"/>
  <c r="CC526" i="1"/>
  <c r="CG526" i="1" s="1"/>
  <c r="BW526" i="1"/>
  <c r="AO526" i="1"/>
  <c r="BL526" i="6"/>
  <c r="BM526" i="6"/>
  <c r="BN526" i="6"/>
  <c r="BO526" i="6"/>
  <c r="AJ525" i="1"/>
  <c r="AG525" i="1"/>
  <c r="ES525" i="1"/>
  <c r="ER525" i="1"/>
  <c r="ET525" i="1" s="1"/>
  <c r="EQ525" i="1"/>
  <c r="EB525" i="1"/>
  <c r="DN525" i="1"/>
  <c r="DP525" i="1" s="1"/>
  <c r="DM525" i="1"/>
  <c r="DL525" i="1"/>
  <c r="DO525" i="1" s="1"/>
  <c r="DK525" i="1"/>
  <c r="CT525" i="1"/>
  <c r="CF525" i="1"/>
  <c r="CE525" i="1"/>
  <c r="CH525" i="1" s="1"/>
  <c r="CD525" i="1"/>
  <c r="CC525" i="1"/>
  <c r="CG525" i="1" s="1"/>
  <c r="BW525" i="1"/>
  <c r="AO525" i="1"/>
  <c r="O528" i="1"/>
  <c r="O527" i="1"/>
  <c r="O526" i="1"/>
  <c r="O525" i="1"/>
  <c r="L528" i="1"/>
  <c r="DV528" i="1" s="1"/>
  <c r="L527" i="1"/>
  <c r="EK527" i="1" s="1"/>
  <c r="L526" i="1"/>
  <c r="L525" i="1"/>
  <c r="DV525" i="1" s="1"/>
  <c r="F524" i="1"/>
  <c r="F525" i="1"/>
  <c r="F526" i="1"/>
  <c r="F527" i="1"/>
  <c r="DR527" i="1" s="1"/>
  <c r="BN528" i="1"/>
  <c r="B525" i="1"/>
  <c r="B526" i="1"/>
  <c r="B527" i="1"/>
  <c r="B528" i="1"/>
  <c r="BL525" i="6"/>
  <c r="BM525" i="6"/>
  <c r="BN525" i="6"/>
  <c r="BO525" i="6"/>
  <c r="DW527" i="1" l="1"/>
  <c r="DX527" i="1"/>
  <c r="BN526" i="1"/>
  <c r="EK528" i="1"/>
  <c r="BS528" i="1"/>
  <c r="EG528" i="1"/>
  <c r="BL528" i="1"/>
  <c r="DR528" i="1"/>
  <c r="CB528" i="1"/>
  <c r="AH528" i="1"/>
  <c r="AK528" i="1"/>
  <c r="AK527" i="1"/>
  <c r="BS526" i="1"/>
  <c r="BN527" i="1"/>
  <c r="EK526" i="1"/>
  <c r="BL526" i="1"/>
  <c r="DV527" i="1"/>
  <c r="CB526" i="1"/>
  <c r="BS527" i="1"/>
  <c r="CB527" i="1"/>
  <c r="AH527" i="1"/>
  <c r="DV526" i="1"/>
  <c r="DY526" i="1" s="1"/>
  <c r="BL527" i="1"/>
  <c r="EG527" i="1"/>
  <c r="BN525" i="1"/>
  <c r="EG525" i="1"/>
  <c r="AH526" i="1"/>
  <c r="AK526" i="1"/>
  <c r="AK525" i="1"/>
  <c r="AH525" i="1"/>
  <c r="CB525" i="1"/>
  <c r="DR525" i="1"/>
  <c r="BL525" i="1"/>
  <c r="EK525" i="1"/>
  <c r="BS525" i="1"/>
  <c r="J397" i="34"/>
  <c r="H397" i="34"/>
  <c r="J396" i="34"/>
  <c r="H396" i="34"/>
  <c r="J465" i="34"/>
  <c r="H394" i="34"/>
  <c r="J393" i="34"/>
  <c r="H393" i="34"/>
  <c r="H392" i="34"/>
  <c r="H391" i="34"/>
  <c r="J390" i="34"/>
  <c r="H390" i="34"/>
  <c r="H389" i="34"/>
  <c r="H388" i="34"/>
  <c r="T397" i="34"/>
  <c r="S397" i="34"/>
  <c r="R397" i="34"/>
  <c r="Q397" i="34"/>
  <c r="P397" i="34"/>
  <c r="O397" i="34"/>
  <c r="N397" i="34"/>
  <c r="M397" i="34"/>
  <c r="T396" i="34"/>
  <c r="S396" i="34"/>
  <c r="R396" i="34"/>
  <c r="Q396" i="34"/>
  <c r="P396" i="34"/>
  <c r="O396" i="34"/>
  <c r="N396" i="34"/>
  <c r="M396" i="34"/>
  <c r="T395" i="34"/>
  <c r="S395" i="34"/>
  <c r="R395" i="34"/>
  <c r="Q395" i="34"/>
  <c r="P395" i="34"/>
  <c r="O395" i="34"/>
  <c r="N395" i="34"/>
  <c r="M395" i="34"/>
  <c r="T394" i="34"/>
  <c r="S394" i="34"/>
  <c r="R394" i="34"/>
  <c r="Q394" i="34"/>
  <c r="P394" i="34"/>
  <c r="O394" i="34"/>
  <c r="N394" i="34"/>
  <c r="M394" i="34"/>
  <c r="T393" i="34"/>
  <c r="S393" i="34"/>
  <c r="R393" i="34"/>
  <c r="Q393" i="34"/>
  <c r="P393" i="34"/>
  <c r="O393" i="34"/>
  <c r="N393" i="34"/>
  <c r="M393" i="34"/>
  <c r="T392" i="34"/>
  <c r="S392" i="34"/>
  <c r="R392" i="34"/>
  <c r="Q392" i="34"/>
  <c r="P392" i="34"/>
  <c r="O392" i="34"/>
  <c r="N392" i="34"/>
  <c r="M392" i="34"/>
  <c r="T391" i="34"/>
  <c r="S391" i="34"/>
  <c r="R391" i="34"/>
  <c r="Q391" i="34"/>
  <c r="P391" i="34"/>
  <c r="O391" i="34"/>
  <c r="N391" i="34"/>
  <c r="M391" i="34"/>
  <c r="T390" i="34"/>
  <c r="S390" i="34"/>
  <c r="R390" i="34"/>
  <c r="Q390" i="34"/>
  <c r="P390" i="34"/>
  <c r="O390" i="34"/>
  <c r="N390" i="34"/>
  <c r="M390" i="34"/>
  <c r="T389" i="34"/>
  <c r="S389" i="34"/>
  <c r="R389" i="34"/>
  <c r="Q389" i="34"/>
  <c r="P389" i="34"/>
  <c r="O389" i="34"/>
  <c r="N389" i="34"/>
  <c r="M389" i="34"/>
  <c r="T388" i="34"/>
  <c r="S388" i="34"/>
  <c r="R388" i="34"/>
  <c r="Q388" i="34"/>
  <c r="P388" i="34"/>
  <c r="O388" i="34"/>
  <c r="N388" i="34"/>
  <c r="M388" i="34"/>
  <c r="EM525" i="1" l="1"/>
  <c r="EL525" i="1"/>
  <c r="EM527" i="1"/>
  <c r="EL527" i="1"/>
  <c r="CU528" i="1"/>
  <c r="CV528" i="1"/>
  <c r="EM528" i="1"/>
  <c r="EL528" i="1"/>
  <c r="DZ526" i="1"/>
  <c r="ED526" i="1" s="1"/>
  <c r="EC526" i="1"/>
  <c r="EE526" i="1" s="1"/>
  <c r="DW525" i="1"/>
  <c r="DX525" i="1"/>
  <c r="DX528" i="1"/>
  <c r="DZ528" i="1" s="1"/>
  <c r="DW528" i="1"/>
  <c r="DY528" i="1" s="1"/>
  <c r="I207" i="14"/>
  <c r="P207" i="14"/>
  <c r="Q207" i="14"/>
  <c r="I154" i="14"/>
  <c r="O154" i="14"/>
  <c r="Q154" i="14" s="1"/>
  <c r="O153" i="14"/>
  <c r="P153" i="14" s="1"/>
  <c r="I153" i="14"/>
  <c r="Q153" i="14" l="1"/>
  <c r="P154" i="14"/>
  <c r="AJ524" i="1"/>
  <c r="AG524" i="1"/>
  <c r="ES524" i="1"/>
  <c r="ER524" i="1"/>
  <c r="ET524" i="1" s="1"/>
  <c r="EQ524" i="1"/>
  <c r="EB524" i="1"/>
  <c r="DN524" i="1"/>
  <c r="DP524" i="1" s="1"/>
  <c r="DM524" i="1"/>
  <c r="DL524" i="1"/>
  <c r="DO524" i="1" s="1"/>
  <c r="DK524" i="1"/>
  <c r="CF524" i="1"/>
  <c r="CE524" i="1"/>
  <c r="CH524" i="1" s="1"/>
  <c r="CD524" i="1"/>
  <c r="CC524" i="1"/>
  <c r="CG524" i="1" s="1"/>
  <c r="BW524" i="1"/>
  <c r="AO524" i="1"/>
  <c r="BL524" i="6"/>
  <c r="BM524" i="6"/>
  <c r="BN524" i="6"/>
  <c r="BO524" i="6"/>
  <c r="AJ523" i="1"/>
  <c r="AG523" i="1"/>
  <c r="ES523" i="1"/>
  <c r="ER523" i="1"/>
  <c r="ET523" i="1" s="1"/>
  <c r="EQ523" i="1"/>
  <c r="ED523" i="1"/>
  <c r="EC523" i="1"/>
  <c r="EB523" i="1"/>
  <c r="DN523" i="1"/>
  <c r="DP523" i="1" s="1"/>
  <c r="DM523" i="1"/>
  <c r="DL523" i="1"/>
  <c r="DO523" i="1" s="1"/>
  <c r="DK523" i="1"/>
  <c r="CW523" i="1"/>
  <c r="CY523" i="1" s="1"/>
  <c r="CT523" i="1"/>
  <c r="CF523" i="1"/>
  <c r="CE523" i="1"/>
  <c r="CH523" i="1" s="1"/>
  <c r="CD523" i="1"/>
  <c r="CC523" i="1"/>
  <c r="CG523" i="1" s="1"/>
  <c r="BV523" i="1"/>
  <c r="BU523" i="1"/>
  <c r="BT523" i="1"/>
  <c r="AO523" i="1"/>
  <c r="BL523" i="6"/>
  <c r="BM523" i="6"/>
  <c r="BN523" i="6"/>
  <c r="BO523" i="6"/>
  <c r="ES522" i="1"/>
  <c r="ER522" i="1"/>
  <c r="ET522" i="1" s="1"/>
  <c r="EQ522" i="1"/>
  <c r="ED522" i="1"/>
  <c r="EC522" i="1"/>
  <c r="EB522" i="1"/>
  <c r="DN522" i="1"/>
  <c r="DP522" i="1" s="1"/>
  <c r="DM522" i="1"/>
  <c r="DL522" i="1"/>
  <c r="DO522" i="1" s="1"/>
  <c r="DK522" i="1"/>
  <c r="CW522" i="1"/>
  <c r="CT522" i="1"/>
  <c r="CF522" i="1"/>
  <c r="CE522" i="1"/>
  <c r="CH522" i="1" s="1"/>
  <c r="CD522" i="1"/>
  <c r="CC522" i="1"/>
  <c r="CG522" i="1" s="1"/>
  <c r="BW522" i="1"/>
  <c r="AO522" i="1"/>
  <c r="BL522" i="6"/>
  <c r="BM522" i="6"/>
  <c r="BN522" i="6"/>
  <c r="BO522" i="6"/>
  <c r="AJ521" i="1"/>
  <c r="AG521" i="1"/>
  <c r="ES521" i="1"/>
  <c r="ER521" i="1"/>
  <c r="ET521" i="1" s="1"/>
  <c r="EQ521" i="1"/>
  <c r="EB521" i="1"/>
  <c r="DN521" i="1"/>
  <c r="DP521" i="1" s="1"/>
  <c r="DM521" i="1"/>
  <c r="DL521" i="1"/>
  <c r="DO521" i="1" s="1"/>
  <c r="DK521" i="1"/>
  <c r="CT521" i="1"/>
  <c r="CF521" i="1"/>
  <c r="CE521" i="1"/>
  <c r="CH521" i="1" s="1"/>
  <c r="CD521" i="1"/>
  <c r="CC521" i="1"/>
  <c r="CG521" i="1" s="1"/>
  <c r="BW521" i="1"/>
  <c r="AO521" i="1"/>
  <c r="BL521" i="6"/>
  <c r="BM521" i="6"/>
  <c r="BN521" i="6"/>
  <c r="BO521" i="6"/>
  <c r="AJ520" i="1"/>
  <c r="AG520" i="1"/>
  <c r="ES520" i="1"/>
  <c r="ER520" i="1"/>
  <c r="ET520" i="1" s="1"/>
  <c r="EQ520" i="1"/>
  <c r="DN520" i="1"/>
  <c r="DP520" i="1" s="1"/>
  <c r="DM520" i="1"/>
  <c r="DL520" i="1"/>
  <c r="DO520" i="1" s="1"/>
  <c r="DK520" i="1"/>
  <c r="CF520" i="1"/>
  <c r="CE520" i="1"/>
  <c r="CH520" i="1" s="1"/>
  <c r="CD520" i="1"/>
  <c r="CC520" i="1"/>
  <c r="CG520" i="1" s="1"/>
  <c r="BW520" i="1"/>
  <c r="AO520" i="1"/>
  <c r="BL520" i="6"/>
  <c r="BM520" i="6"/>
  <c r="BN520" i="6"/>
  <c r="BO520" i="6"/>
  <c r="ES519" i="1"/>
  <c r="ER519" i="1"/>
  <c r="ET519" i="1" s="1"/>
  <c r="EQ519" i="1"/>
  <c r="ED519" i="1"/>
  <c r="EC519" i="1"/>
  <c r="EB519" i="1"/>
  <c r="DN519" i="1"/>
  <c r="DP519" i="1" s="1"/>
  <c r="DM519" i="1"/>
  <c r="DL519" i="1"/>
  <c r="DO519" i="1" s="1"/>
  <c r="DK519" i="1"/>
  <c r="CW519" i="1"/>
  <c r="CT519" i="1"/>
  <c r="CF519" i="1"/>
  <c r="CE519" i="1"/>
  <c r="CH519" i="1" s="1"/>
  <c r="CD519" i="1"/>
  <c r="CC519" i="1"/>
  <c r="CG519" i="1" s="1"/>
  <c r="BV519" i="1"/>
  <c r="BU519" i="1"/>
  <c r="BT519" i="1"/>
  <c r="AO519" i="1"/>
  <c r="O524" i="1"/>
  <c r="O523" i="1"/>
  <c r="O522" i="1"/>
  <c r="O521" i="1"/>
  <c r="O520" i="1"/>
  <c r="O519" i="1"/>
  <c r="L524" i="1"/>
  <c r="EK524" i="1" s="1"/>
  <c r="L523" i="1"/>
  <c r="EK523" i="1" s="1"/>
  <c r="L522" i="1"/>
  <c r="L521" i="1"/>
  <c r="L520" i="1"/>
  <c r="EK520" i="1" s="1"/>
  <c r="L519" i="1"/>
  <c r="EK519" i="1" s="1"/>
  <c r="BN524" i="1"/>
  <c r="F523" i="1"/>
  <c r="DR523" i="1" s="1"/>
  <c r="F522" i="1"/>
  <c r="EG522" i="1" s="1"/>
  <c r="F521" i="1"/>
  <c r="EG521" i="1" s="1"/>
  <c r="F520" i="1"/>
  <c r="DR520" i="1" s="1"/>
  <c r="F519" i="1"/>
  <c r="DR519" i="1" s="1"/>
  <c r="B519" i="1"/>
  <c r="B520" i="1"/>
  <c r="B521" i="1"/>
  <c r="B522" i="1"/>
  <c r="B523" i="1"/>
  <c r="B524" i="1"/>
  <c r="BL519" i="6"/>
  <c r="BM519" i="6"/>
  <c r="BN519" i="6"/>
  <c r="BO519" i="6"/>
  <c r="CU523" i="1" l="1"/>
  <c r="CX523" i="1" s="1"/>
  <c r="CV523" i="1"/>
  <c r="CU519" i="1"/>
  <c r="CV519" i="1"/>
  <c r="EM521" i="1"/>
  <c r="EL521" i="1"/>
  <c r="EL522" i="1"/>
  <c r="EM522" i="1"/>
  <c r="DW519" i="1"/>
  <c r="DX519" i="1"/>
  <c r="DX520" i="1"/>
  <c r="DW520" i="1"/>
  <c r="DW523" i="1"/>
  <c r="DX523" i="1"/>
  <c r="DV523" i="1"/>
  <c r="CB522" i="1"/>
  <c r="AK524" i="1"/>
  <c r="DV520" i="1"/>
  <c r="BL522" i="1"/>
  <c r="CB524" i="1"/>
  <c r="AH524" i="1"/>
  <c r="DR522" i="1"/>
  <c r="BS521" i="1"/>
  <c r="BN522" i="1"/>
  <c r="BL524" i="1"/>
  <c r="BL519" i="1"/>
  <c r="EK522" i="1"/>
  <c r="EG523" i="1"/>
  <c r="BL523" i="1"/>
  <c r="BS522" i="1"/>
  <c r="CB523" i="1"/>
  <c r="DR524" i="1"/>
  <c r="EG524" i="1"/>
  <c r="BN523" i="1"/>
  <c r="BS523" i="1"/>
  <c r="BS524" i="1"/>
  <c r="DV522" i="1"/>
  <c r="DV524" i="1"/>
  <c r="AH523" i="1"/>
  <c r="AK523" i="1"/>
  <c r="AK521" i="1"/>
  <c r="AH521" i="1"/>
  <c r="BN519" i="1"/>
  <c r="DV521" i="1"/>
  <c r="EK521" i="1"/>
  <c r="EG519" i="1"/>
  <c r="BL520" i="1"/>
  <c r="CB520" i="1"/>
  <c r="BL521" i="1"/>
  <c r="CB521" i="1"/>
  <c r="DV519" i="1"/>
  <c r="BN521" i="1"/>
  <c r="BS519" i="1"/>
  <c r="CB519" i="1"/>
  <c r="EG520" i="1"/>
  <c r="BN520" i="1"/>
  <c r="BS520" i="1"/>
  <c r="DR521" i="1"/>
  <c r="AH520" i="1"/>
  <c r="AK520" i="1"/>
  <c r="ES518" i="1"/>
  <c r="ER518" i="1"/>
  <c r="ET518" i="1" s="1"/>
  <c r="EQ518" i="1"/>
  <c r="ED518" i="1"/>
  <c r="EC518" i="1"/>
  <c r="EB518" i="1"/>
  <c r="DN518" i="1"/>
  <c r="DP518" i="1" s="1"/>
  <c r="DM518" i="1"/>
  <c r="DL518" i="1"/>
  <c r="DO518" i="1" s="1"/>
  <c r="DK518" i="1"/>
  <c r="CW518" i="1"/>
  <c r="CT518" i="1"/>
  <c r="CF518" i="1"/>
  <c r="CE518" i="1"/>
  <c r="CH518" i="1" s="1"/>
  <c r="CD518" i="1"/>
  <c r="CC518" i="1"/>
  <c r="CG518" i="1" s="1"/>
  <c r="BV518" i="1"/>
  <c r="BU518" i="1"/>
  <c r="BT518" i="1"/>
  <c r="AO518" i="1"/>
  <c r="BL518" i="6"/>
  <c r="BM518" i="6"/>
  <c r="BN518" i="6"/>
  <c r="BO518" i="6"/>
  <c r="AJ517" i="1"/>
  <c r="AG517" i="1"/>
  <c r="ES517" i="1"/>
  <c r="ER517" i="1"/>
  <c r="ET517" i="1" s="1"/>
  <c r="EQ517" i="1"/>
  <c r="DN517" i="1"/>
  <c r="DP517" i="1" s="1"/>
  <c r="DM517" i="1"/>
  <c r="DL517" i="1"/>
  <c r="DO517" i="1" s="1"/>
  <c r="DK517" i="1"/>
  <c r="CT517" i="1"/>
  <c r="CW517" i="1"/>
  <c r="CY517" i="1" s="1"/>
  <c r="CF517" i="1"/>
  <c r="BW517" i="1"/>
  <c r="AO517" i="1"/>
  <c r="O517" i="1"/>
  <c r="O518" i="1"/>
  <c r="L517" i="1"/>
  <c r="BS517" i="1" s="1"/>
  <c r="L518" i="1"/>
  <c r="DV518" i="1" s="1"/>
  <c r="F517" i="1"/>
  <c r="F518" i="1"/>
  <c r="B517" i="1"/>
  <c r="B518" i="1"/>
  <c r="BL517" i="6"/>
  <c r="BM517" i="6"/>
  <c r="BN517" i="6"/>
  <c r="BO517" i="6"/>
  <c r="DY523" i="1" l="1"/>
  <c r="DY520" i="1"/>
  <c r="EM519" i="1"/>
  <c r="EL519" i="1"/>
  <c r="EM523" i="1"/>
  <c r="EL523" i="1"/>
  <c r="EM520" i="1"/>
  <c r="EL520" i="1"/>
  <c r="CU522" i="1"/>
  <c r="CV522" i="1"/>
  <c r="EL524" i="1"/>
  <c r="EM524" i="1"/>
  <c r="DZ520" i="1"/>
  <c r="DZ523" i="1"/>
  <c r="DW522" i="1"/>
  <c r="DX522" i="1"/>
  <c r="DW524" i="1"/>
  <c r="DX524" i="1"/>
  <c r="DW521" i="1"/>
  <c r="DY521" i="1" s="1"/>
  <c r="DX521" i="1"/>
  <c r="DZ521" i="1" s="1"/>
  <c r="EG518" i="1"/>
  <c r="EK518" i="1"/>
  <c r="DR518" i="1"/>
  <c r="CB518" i="1"/>
  <c r="BL518" i="1"/>
  <c r="BN518" i="1"/>
  <c r="BS518" i="1"/>
  <c r="AK517" i="1"/>
  <c r="EG517" i="1"/>
  <c r="DR517" i="1"/>
  <c r="EK517" i="1"/>
  <c r="AH517" i="1"/>
  <c r="BN517" i="1"/>
  <c r="CB517" i="1"/>
  <c r="DV517" i="1"/>
  <c r="BL517" i="1"/>
  <c r="I152" i="14"/>
  <c r="O152" i="14"/>
  <c r="P152" i="14" s="1"/>
  <c r="J387" i="34"/>
  <c r="H387" i="34"/>
  <c r="J384" i="34"/>
  <c r="H384" i="34"/>
  <c r="J383" i="34"/>
  <c r="H383" i="34"/>
  <c r="J381" i="34"/>
  <c r="H381" i="34"/>
  <c r="J380" i="34"/>
  <c r="H380" i="34"/>
  <c r="M378" i="34"/>
  <c r="N378" i="34"/>
  <c r="O378" i="34"/>
  <c r="P378" i="34"/>
  <c r="Q378" i="34"/>
  <c r="R378" i="34"/>
  <c r="S378" i="34"/>
  <c r="T378" i="34"/>
  <c r="M379" i="34"/>
  <c r="N379" i="34"/>
  <c r="O379" i="34"/>
  <c r="P379" i="34"/>
  <c r="Q379" i="34"/>
  <c r="R379" i="34"/>
  <c r="S379" i="34"/>
  <c r="T379" i="34"/>
  <c r="M380" i="34"/>
  <c r="N380" i="34"/>
  <c r="O380" i="34"/>
  <c r="P380" i="34"/>
  <c r="Q380" i="34"/>
  <c r="R380" i="34"/>
  <c r="S380" i="34"/>
  <c r="T380" i="34"/>
  <c r="M381" i="34"/>
  <c r="N381" i="34"/>
  <c r="O381" i="34"/>
  <c r="P381" i="34"/>
  <c r="Q381" i="34"/>
  <c r="R381" i="34"/>
  <c r="S381" i="34"/>
  <c r="T381" i="34"/>
  <c r="M382" i="34"/>
  <c r="N382" i="34"/>
  <c r="O382" i="34"/>
  <c r="P382" i="34"/>
  <c r="Q382" i="34"/>
  <c r="R382" i="34"/>
  <c r="S382" i="34"/>
  <c r="T382" i="34"/>
  <c r="M383" i="34"/>
  <c r="N383" i="34"/>
  <c r="O383" i="34"/>
  <c r="P383" i="34"/>
  <c r="Q383" i="34"/>
  <c r="R383" i="34"/>
  <c r="S383" i="34"/>
  <c r="T383" i="34"/>
  <c r="M384" i="34"/>
  <c r="N384" i="34"/>
  <c r="O384" i="34"/>
  <c r="P384" i="34"/>
  <c r="Q384" i="34"/>
  <c r="R384" i="34"/>
  <c r="S384" i="34"/>
  <c r="T384" i="34"/>
  <c r="M385" i="34"/>
  <c r="N385" i="34"/>
  <c r="O385" i="34"/>
  <c r="P385" i="34"/>
  <c r="Q385" i="34"/>
  <c r="R385" i="34"/>
  <c r="S385" i="34"/>
  <c r="T385" i="34"/>
  <c r="M386" i="34"/>
  <c r="N386" i="34"/>
  <c r="O386" i="34"/>
  <c r="P386" i="34"/>
  <c r="Q386" i="34"/>
  <c r="R386" i="34"/>
  <c r="S386" i="34"/>
  <c r="T386" i="34"/>
  <c r="M387" i="34"/>
  <c r="N387" i="34"/>
  <c r="O387" i="34"/>
  <c r="P387" i="34"/>
  <c r="Q387" i="34"/>
  <c r="R387" i="34"/>
  <c r="S387" i="34"/>
  <c r="T387" i="34"/>
  <c r="J378" i="34"/>
  <c r="H378" i="34"/>
  <c r="CU518" i="1" l="1"/>
  <c r="CV518" i="1"/>
  <c r="EM518" i="1"/>
  <c r="EL518" i="1"/>
  <c r="CU517" i="1"/>
  <c r="CX517" i="1" s="1"/>
  <c r="CV517" i="1"/>
  <c r="EM517" i="1"/>
  <c r="EL517" i="1"/>
  <c r="DW518" i="1"/>
  <c r="DX518" i="1"/>
  <c r="DW517" i="1"/>
  <c r="DY517" i="1" s="1"/>
  <c r="DX517" i="1"/>
  <c r="DZ517" i="1" s="1"/>
  <c r="ED517" i="1" s="1"/>
  <c r="Q152" i="14"/>
  <c r="Q67" i="14"/>
  <c r="P67" i="14"/>
  <c r="I67" i="14"/>
  <c r="P32" i="14"/>
  <c r="Q32" i="14"/>
  <c r="I32" i="14"/>
  <c r="AJ516" i="1"/>
  <c r="AG516" i="1"/>
  <c r="ES516" i="1"/>
  <c r="ER516" i="1"/>
  <c r="ET516" i="1" s="1"/>
  <c r="EQ516" i="1"/>
  <c r="DN516" i="1"/>
  <c r="DP516" i="1" s="1"/>
  <c r="DM516" i="1"/>
  <c r="DL516" i="1"/>
  <c r="DO516" i="1" s="1"/>
  <c r="DK516" i="1"/>
  <c r="CT516" i="1"/>
  <c r="CW516" i="1"/>
  <c r="CY516" i="1" s="1"/>
  <c r="AO516" i="1"/>
  <c r="BL516" i="6"/>
  <c r="BM516" i="6"/>
  <c r="BN516" i="6"/>
  <c r="BO516" i="6"/>
  <c r="AJ515" i="1"/>
  <c r="AG515" i="1"/>
  <c r="ES515" i="1"/>
  <c r="ER515" i="1"/>
  <c r="ET515" i="1" s="1"/>
  <c r="EQ515" i="1"/>
  <c r="EB515" i="1"/>
  <c r="DN515" i="1"/>
  <c r="DP515" i="1" s="1"/>
  <c r="DM515" i="1"/>
  <c r="DL515" i="1"/>
  <c r="DO515" i="1" s="1"/>
  <c r="DK515" i="1"/>
  <c r="CT515" i="1"/>
  <c r="CW515" i="1"/>
  <c r="CY515" i="1" s="1"/>
  <c r="AO515" i="1"/>
  <c r="BL515" i="6"/>
  <c r="BM515" i="6"/>
  <c r="BN515" i="6"/>
  <c r="BO515" i="6"/>
  <c r="AJ514" i="1"/>
  <c r="AG514" i="1"/>
  <c r="EQ513" i="1"/>
  <c r="ER513" i="1"/>
  <c r="ET513" i="1" s="1"/>
  <c r="ES513" i="1"/>
  <c r="EQ514" i="1"/>
  <c r="ER514" i="1"/>
  <c r="ET514" i="1" s="1"/>
  <c r="ES514" i="1"/>
  <c r="EB514" i="1"/>
  <c r="DN514" i="1"/>
  <c r="DP514" i="1" s="1"/>
  <c r="DM514" i="1"/>
  <c r="DL514" i="1"/>
  <c r="DO514" i="1" s="1"/>
  <c r="DK514" i="1"/>
  <c r="CT514" i="1"/>
  <c r="CW514" i="1"/>
  <c r="CY514" i="1" s="1"/>
  <c r="CX514" i="1"/>
  <c r="AO514" i="1"/>
  <c r="BL514" i="6"/>
  <c r="BM514" i="6"/>
  <c r="BN514" i="6"/>
  <c r="BO514" i="6"/>
  <c r="AJ513" i="1"/>
  <c r="AG513" i="1"/>
  <c r="EB513" i="1"/>
  <c r="DN513" i="1"/>
  <c r="DP513" i="1" s="1"/>
  <c r="DM513" i="1"/>
  <c r="DL513" i="1"/>
  <c r="DO513" i="1" s="1"/>
  <c r="DK513" i="1"/>
  <c r="CT513" i="1"/>
  <c r="AO513" i="1"/>
  <c r="BL513" i="6"/>
  <c r="BM513" i="6"/>
  <c r="BN513" i="6"/>
  <c r="BO513" i="6"/>
  <c r="AJ512" i="1"/>
  <c r="AG512" i="1"/>
  <c r="ES512" i="1"/>
  <c r="ER512" i="1"/>
  <c r="ET512" i="1" s="1"/>
  <c r="EQ512" i="1"/>
  <c r="DN512" i="1"/>
  <c r="DP512" i="1" s="1"/>
  <c r="DM512" i="1"/>
  <c r="DL512" i="1"/>
  <c r="DO512" i="1" s="1"/>
  <c r="DK512" i="1"/>
  <c r="AO512" i="1"/>
  <c r="BL512" i="6"/>
  <c r="BM512" i="6"/>
  <c r="BN512" i="6"/>
  <c r="BO512" i="6"/>
  <c r="CF516" i="1"/>
  <c r="CE516" i="1"/>
  <c r="CH516" i="1" s="1"/>
  <c r="CD516" i="1"/>
  <c r="CC516" i="1"/>
  <c r="CG516" i="1" s="1"/>
  <c r="CF515" i="1"/>
  <c r="CE515" i="1"/>
  <c r="CD515" i="1"/>
  <c r="CC515" i="1"/>
  <c r="CG515" i="1" s="1"/>
  <c r="CF514" i="1"/>
  <c r="CE514" i="1"/>
  <c r="CH514" i="1" s="1"/>
  <c r="CD514" i="1"/>
  <c r="CC514" i="1"/>
  <c r="CG514" i="1" s="1"/>
  <c r="CF513" i="1"/>
  <c r="CE513" i="1"/>
  <c r="CD513" i="1"/>
  <c r="CC513" i="1"/>
  <c r="CG513" i="1" s="1"/>
  <c r="CF512" i="1"/>
  <c r="CE512" i="1"/>
  <c r="CH512" i="1" s="1"/>
  <c r="CD512" i="1"/>
  <c r="CC512" i="1"/>
  <c r="CG512" i="1" s="1"/>
  <c r="BV512" i="1"/>
  <c r="BU512" i="1"/>
  <c r="BT512" i="1"/>
  <c r="BW516" i="1"/>
  <c r="BW515" i="1"/>
  <c r="BW514" i="1"/>
  <c r="BW513" i="1"/>
  <c r="AJ511" i="1"/>
  <c r="AG511" i="1"/>
  <c r="EQ511" i="1"/>
  <c r="EB511" i="1"/>
  <c r="DN511" i="1"/>
  <c r="DP511" i="1" s="1"/>
  <c r="DM511" i="1"/>
  <c r="DL511" i="1"/>
  <c r="DO511" i="1" s="1"/>
  <c r="DK511" i="1"/>
  <c r="CT511" i="1"/>
  <c r="CF511" i="1"/>
  <c r="CE511" i="1"/>
  <c r="CH511" i="1" s="1"/>
  <c r="CD511" i="1"/>
  <c r="CC511" i="1"/>
  <c r="CG511" i="1" s="1"/>
  <c r="BW511" i="1"/>
  <c r="AO511" i="1"/>
  <c r="O516" i="1"/>
  <c r="O515" i="1"/>
  <c r="O514" i="1"/>
  <c r="O513" i="1"/>
  <c r="O512" i="1"/>
  <c r="O511" i="1"/>
  <c r="L511" i="1"/>
  <c r="DV511" i="1" s="1"/>
  <c r="DY511" i="1" s="1"/>
  <c r="L512" i="1"/>
  <c r="EK512" i="1" s="1"/>
  <c r="L513" i="1"/>
  <c r="EK513" i="1" s="1"/>
  <c r="L514" i="1"/>
  <c r="DV514" i="1" s="1"/>
  <c r="DY514" i="1" s="1"/>
  <c r="L515" i="1"/>
  <c r="L516" i="1"/>
  <c r="EQ352" i="1"/>
  <c r="ER352" i="1"/>
  <c r="ET352" i="1" s="1"/>
  <c r="ES352" i="1"/>
  <c r="EQ353" i="1"/>
  <c r="ER353" i="1"/>
  <c r="ET353" i="1" s="1"/>
  <c r="ES353" i="1"/>
  <c r="EQ354" i="1"/>
  <c r="ER354" i="1"/>
  <c r="ET354" i="1" s="1"/>
  <c r="ES354" i="1"/>
  <c r="EQ355" i="1"/>
  <c r="ER355" i="1"/>
  <c r="ET355" i="1" s="1"/>
  <c r="ES355" i="1"/>
  <c r="EQ356" i="1"/>
  <c r="ER356" i="1"/>
  <c r="ET356" i="1" s="1"/>
  <c r="ES356" i="1"/>
  <c r="EQ357" i="1"/>
  <c r="ER357" i="1"/>
  <c r="ET357" i="1" s="1"/>
  <c r="ES357" i="1"/>
  <c r="EQ358" i="1"/>
  <c r="ER358" i="1"/>
  <c r="ET358" i="1" s="1"/>
  <c r="ES358" i="1"/>
  <c r="EQ359" i="1"/>
  <c r="ER359" i="1"/>
  <c r="ET359" i="1" s="1"/>
  <c r="ES359" i="1"/>
  <c r="EQ360" i="1"/>
  <c r="ER360" i="1"/>
  <c r="ET360" i="1" s="1"/>
  <c r="ES360" i="1"/>
  <c r="EQ361" i="1"/>
  <c r="ER361" i="1"/>
  <c r="ET361" i="1" s="1"/>
  <c r="ES361" i="1"/>
  <c r="EQ362" i="1"/>
  <c r="ER362" i="1"/>
  <c r="ET362" i="1" s="1"/>
  <c r="ES362" i="1"/>
  <c r="EQ363" i="1"/>
  <c r="ER363" i="1"/>
  <c r="ET363" i="1" s="1"/>
  <c r="ES363" i="1"/>
  <c r="EQ364" i="1"/>
  <c r="ER364" i="1"/>
  <c r="ET364" i="1" s="1"/>
  <c r="ES364" i="1"/>
  <c r="EQ365" i="1"/>
  <c r="ER365" i="1"/>
  <c r="ET365" i="1" s="1"/>
  <c r="ES365" i="1"/>
  <c r="EQ366" i="1"/>
  <c r="ER366" i="1"/>
  <c r="ET366" i="1" s="1"/>
  <c r="ES366" i="1"/>
  <c r="EQ367" i="1"/>
  <c r="ER367" i="1"/>
  <c r="ET367" i="1" s="1"/>
  <c r="ES367" i="1"/>
  <c r="EQ368" i="1"/>
  <c r="ER368" i="1"/>
  <c r="ET368" i="1" s="1"/>
  <c r="ES368" i="1"/>
  <c r="EQ369" i="1"/>
  <c r="ER369" i="1"/>
  <c r="ET369" i="1" s="1"/>
  <c r="ES369" i="1"/>
  <c r="EQ370" i="1"/>
  <c r="ER370" i="1"/>
  <c r="ET370" i="1" s="1"/>
  <c r="ES370" i="1"/>
  <c r="EQ371" i="1"/>
  <c r="ER371" i="1"/>
  <c r="ET371" i="1" s="1"/>
  <c r="ES371" i="1"/>
  <c r="EQ372" i="1"/>
  <c r="ER372" i="1"/>
  <c r="ET372" i="1" s="1"/>
  <c r="ES372" i="1"/>
  <c r="EQ373" i="1"/>
  <c r="ER373" i="1"/>
  <c r="ET373" i="1" s="1"/>
  <c r="ES373" i="1"/>
  <c r="EQ374" i="1"/>
  <c r="ER374" i="1"/>
  <c r="ET374" i="1" s="1"/>
  <c r="ES374" i="1"/>
  <c r="EQ375" i="1"/>
  <c r="ER375" i="1"/>
  <c r="ET375" i="1" s="1"/>
  <c r="ES375" i="1"/>
  <c r="EQ376" i="1"/>
  <c r="ER376" i="1"/>
  <c r="ET376" i="1" s="1"/>
  <c r="ES376" i="1"/>
  <c r="EQ377" i="1"/>
  <c r="ER377" i="1"/>
  <c r="ET377" i="1" s="1"/>
  <c r="ES377" i="1"/>
  <c r="EQ378" i="1"/>
  <c r="ER378" i="1"/>
  <c r="ET378" i="1" s="1"/>
  <c r="ES378" i="1"/>
  <c r="EQ379" i="1"/>
  <c r="ER379" i="1"/>
  <c r="ET379" i="1" s="1"/>
  <c r="ES379" i="1"/>
  <c r="EQ380" i="1"/>
  <c r="ER380" i="1"/>
  <c r="ET380" i="1" s="1"/>
  <c r="ES380" i="1"/>
  <c r="EQ381" i="1"/>
  <c r="ER381" i="1"/>
  <c r="ET381" i="1" s="1"/>
  <c r="ES381" i="1"/>
  <c r="EQ382" i="1"/>
  <c r="ER382" i="1"/>
  <c r="ET382" i="1" s="1"/>
  <c r="ES382" i="1"/>
  <c r="EQ383" i="1"/>
  <c r="ER383" i="1"/>
  <c r="ET383" i="1" s="1"/>
  <c r="ES383" i="1"/>
  <c r="EQ384" i="1"/>
  <c r="ER384" i="1"/>
  <c r="ET384" i="1" s="1"/>
  <c r="ES384" i="1"/>
  <c r="EQ385" i="1"/>
  <c r="ER385" i="1"/>
  <c r="ET385" i="1" s="1"/>
  <c r="ES385" i="1"/>
  <c r="EQ386" i="1"/>
  <c r="ER386" i="1"/>
  <c r="ET386" i="1" s="1"/>
  <c r="ES386" i="1"/>
  <c r="EQ387" i="1"/>
  <c r="EQ388" i="1"/>
  <c r="ER388" i="1"/>
  <c r="ET388" i="1" s="1"/>
  <c r="ES388" i="1"/>
  <c r="EQ389" i="1"/>
  <c r="ER389" i="1"/>
  <c r="ET389" i="1" s="1"/>
  <c r="ES389" i="1"/>
  <c r="EQ390" i="1"/>
  <c r="ER390" i="1"/>
  <c r="ET390" i="1" s="1"/>
  <c r="ES390" i="1"/>
  <c r="EQ391" i="1"/>
  <c r="ER391" i="1"/>
  <c r="ET391" i="1" s="1"/>
  <c r="ES391" i="1"/>
  <c r="EQ392" i="1"/>
  <c r="ER392" i="1"/>
  <c r="ET392" i="1" s="1"/>
  <c r="ES392" i="1"/>
  <c r="EQ393" i="1"/>
  <c r="ER393" i="1"/>
  <c r="ET393" i="1" s="1"/>
  <c r="ES393" i="1"/>
  <c r="EQ394" i="1"/>
  <c r="ER394" i="1"/>
  <c r="ET394" i="1" s="1"/>
  <c r="ES394" i="1"/>
  <c r="EQ395" i="1"/>
  <c r="ER395" i="1"/>
  <c r="ET395" i="1" s="1"/>
  <c r="ES395" i="1"/>
  <c r="EQ396" i="1"/>
  <c r="ER396" i="1"/>
  <c r="ET396" i="1" s="1"/>
  <c r="ES396" i="1"/>
  <c r="EQ397" i="1"/>
  <c r="ER397" i="1"/>
  <c r="ET397" i="1" s="1"/>
  <c r="ES397" i="1"/>
  <c r="EQ398" i="1"/>
  <c r="ER398" i="1"/>
  <c r="ET398" i="1" s="1"/>
  <c r="ES398" i="1"/>
  <c r="EQ399" i="1"/>
  <c r="ER399" i="1"/>
  <c r="ET399" i="1" s="1"/>
  <c r="ES399" i="1"/>
  <c r="EQ400" i="1"/>
  <c r="ER400" i="1"/>
  <c r="ET400" i="1" s="1"/>
  <c r="ES400" i="1"/>
  <c r="EQ401" i="1"/>
  <c r="ER401" i="1"/>
  <c r="ET401" i="1" s="1"/>
  <c r="ES401" i="1"/>
  <c r="EQ402" i="1"/>
  <c r="ER402" i="1"/>
  <c r="ET402" i="1" s="1"/>
  <c r="ES402" i="1"/>
  <c r="EQ403" i="1"/>
  <c r="ER403" i="1"/>
  <c r="ET403" i="1" s="1"/>
  <c r="ES403" i="1"/>
  <c r="EQ404" i="1"/>
  <c r="ER404" i="1"/>
  <c r="ET404" i="1" s="1"/>
  <c r="ES404" i="1"/>
  <c r="EQ405" i="1"/>
  <c r="ER405" i="1"/>
  <c r="ET405" i="1" s="1"/>
  <c r="ES405" i="1"/>
  <c r="EQ406" i="1"/>
  <c r="ER406" i="1"/>
  <c r="ET406" i="1" s="1"/>
  <c r="ES406" i="1"/>
  <c r="EQ407" i="1"/>
  <c r="ER407" i="1"/>
  <c r="ET407" i="1" s="1"/>
  <c r="ES407" i="1"/>
  <c r="EQ408" i="1"/>
  <c r="ER408" i="1"/>
  <c r="ET408" i="1" s="1"/>
  <c r="ES408" i="1"/>
  <c r="EQ409" i="1"/>
  <c r="ER409" i="1"/>
  <c r="ET409" i="1" s="1"/>
  <c r="ES409" i="1"/>
  <c r="EQ410" i="1"/>
  <c r="ER410" i="1"/>
  <c r="ET410" i="1" s="1"/>
  <c r="ES410" i="1"/>
  <c r="EQ411" i="1"/>
  <c r="ER411" i="1"/>
  <c r="ET411" i="1" s="1"/>
  <c r="ES411" i="1"/>
  <c r="EQ412" i="1"/>
  <c r="ER412" i="1"/>
  <c r="ET412" i="1" s="1"/>
  <c r="ES412" i="1"/>
  <c r="EQ413" i="1"/>
  <c r="ER413" i="1"/>
  <c r="ET413" i="1" s="1"/>
  <c r="ES413" i="1"/>
  <c r="EQ414" i="1"/>
  <c r="ER414" i="1"/>
  <c r="ET414" i="1" s="1"/>
  <c r="ES414" i="1"/>
  <c r="EQ415" i="1"/>
  <c r="ER415" i="1"/>
  <c r="ET415" i="1" s="1"/>
  <c r="ES415" i="1"/>
  <c r="EQ416" i="1"/>
  <c r="ER416" i="1"/>
  <c r="ET416" i="1" s="1"/>
  <c r="ES416" i="1"/>
  <c r="EQ417" i="1"/>
  <c r="ER417" i="1"/>
  <c r="ET417" i="1" s="1"/>
  <c r="ES417" i="1"/>
  <c r="EQ418" i="1"/>
  <c r="ER418" i="1"/>
  <c r="ET418" i="1" s="1"/>
  <c r="ES418" i="1"/>
  <c r="EQ419" i="1"/>
  <c r="ER419" i="1"/>
  <c r="ET419" i="1" s="1"/>
  <c r="ES419" i="1"/>
  <c r="EQ420" i="1"/>
  <c r="ER420" i="1"/>
  <c r="ET420" i="1" s="1"/>
  <c r="ES420" i="1"/>
  <c r="EQ421" i="1"/>
  <c r="ER421" i="1"/>
  <c r="ET421" i="1" s="1"/>
  <c r="ES421" i="1"/>
  <c r="EQ422" i="1"/>
  <c r="ER422" i="1"/>
  <c r="ET422" i="1" s="1"/>
  <c r="ES422" i="1"/>
  <c r="EQ423" i="1"/>
  <c r="ER423" i="1"/>
  <c r="ET423" i="1" s="1"/>
  <c r="ES423" i="1"/>
  <c r="EQ424" i="1"/>
  <c r="ER424" i="1"/>
  <c r="ET424" i="1" s="1"/>
  <c r="ES424" i="1"/>
  <c r="EQ425" i="1"/>
  <c r="ER425" i="1"/>
  <c r="ET425" i="1" s="1"/>
  <c r="ES425" i="1"/>
  <c r="EQ426" i="1"/>
  <c r="ER426" i="1"/>
  <c r="ET426" i="1" s="1"/>
  <c r="ES426" i="1"/>
  <c r="EQ427" i="1"/>
  <c r="ER427" i="1"/>
  <c r="ET427" i="1" s="1"/>
  <c r="ES427" i="1"/>
  <c r="EQ428" i="1"/>
  <c r="ER428" i="1"/>
  <c r="ET428" i="1" s="1"/>
  <c r="ES428" i="1"/>
  <c r="EQ429" i="1"/>
  <c r="ER429" i="1"/>
  <c r="ET429" i="1" s="1"/>
  <c r="ES429" i="1"/>
  <c r="EQ430" i="1"/>
  <c r="ER430" i="1"/>
  <c r="ET430" i="1" s="1"/>
  <c r="ES430" i="1"/>
  <c r="EQ431" i="1"/>
  <c r="ER431" i="1"/>
  <c r="ET431" i="1" s="1"/>
  <c r="ES431" i="1"/>
  <c r="EQ432" i="1"/>
  <c r="ER432" i="1"/>
  <c r="ET432" i="1" s="1"/>
  <c r="ES432" i="1"/>
  <c r="EQ433" i="1"/>
  <c r="ER433" i="1"/>
  <c r="ET433" i="1" s="1"/>
  <c r="ES433" i="1"/>
  <c r="EQ434" i="1"/>
  <c r="ER434" i="1"/>
  <c r="ET434" i="1" s="1"/>
  <c r="ES434" i="1"/>
  <c r="EQ435" i="1"/>
  <c r="ER435" i="1"/>
  <c r="ET435" i="1" s="1"/>
  <c r="ES435" i="1"/>
  <c r="EQ436" i="1"/>
  <c r="ER436" i="1"/>
  <c r="ET436" i="1" s="1"/>
  <c r="ES436" i="1"/>
  <c r="EQ437" i="1"/>
  <c r="ER437" i="1"/>
  <c r="ET437" i="1" s="1"/>
  <c r="ES437" i="1"/>
  <c r="EQ438" i="1"/>
  <c r="ER438" i="1"/>
  <c r="ET438" i="1" s="1"/>
  <c r="ES438" i="1"/>
  <c r="EQ439" i="1"/>
  <c r="ER439" i="1"/>
  <c r="ET439" i="1" s="1"/>
  <c r="ES439" i="1"/>
  <c r="EQ440" i="1"/>
  <c r="ER440" i="1"/>
  <c r="ET440" i="1" s="1"/>
  <c r="ES440" i="1"/>
  <c r="EQ441" i="1"/>
  <c r="ER441" i="1"/>
  <c r="ET441" i="1" s="1"/>
  <c r="ES441" i="1"/>
  <c r="EQ442" i="1"/>
  <c r="ER442" i="1"/>
  <c r="ET442" i="1" s="1"/>
  <c r="ES442" i="1"/>
  <c r="EQ443" i="1"/>
  <c r="ER443" i="1"/>
  <c r="ET443" i="1" s="1"/>
  <c r="ES443" i="1"/>
  <c r="EQ444" i="1"/>
  <c r="ER444" i="1"/>
  <c r="ET444" i="1" s="1"/>
  <c r="ES444" i="1"/>
  <c r="EQ445" i="1"/>
  <c r="ER445" i="1"/>
  <c r="ET445" i="1" s="1"/>
  <c r="ES445" i="1"/>
  <c r="EQ446" i="1"/>
  <c r="ER446" i="1"/>
  <c r="ET446" i="1" s="1"/>
  <c r="ES446" i="1"/>
  <c r="EQ447" i="1"/>
  <c r="ER447" i="1"/>
  <c r="ET447" i="1" s="1"/>
  <c r="ES447" i="1"/>
  <c r="EQ448" i="1"/>
  <c r="ER448" i="1"/>
  <c r="ET448" i="1" s="1"/>
  <c r="ES448" i="1"/>
  <c r="EQ449" i="1"/>
  <c r="ER449" i="1"/>
  <c r="ET449" i="1" s="1"/>
  <c r="ES449" i="1"/>
  <c r="EQ450" i="1"/>
  <c r="ER450" i="1"/>
  <c r="ET450" i="1" s="1"/>
  <c r="ES450" i="1"/>
  <c r="EQ451" i="1"/>
  <c r="ER451" i="1"/>
  <c r="ET451" i="1" s="1"/>
  <c r="ES451" i="1"/>
  <c r="EQ452" i="1"/>
  <c r="ER452" i="1"/>
  <c r="ET452" i="1" s="1"/>
  <c r="ES452" i="1"/>
  <c r="EQ453" i="1"/>
  <c r="ER453" i="1"/>
  <c r="ET453" i="1" s="1"/>
  <c r="ES453" i="1"/>
  <c r="EQ454" i="1"/>
  <c r="ER454" i="1"/>
  <c r="ET454" i="1" s="1"/>
  <c r="ES454" i="1"/>
  <c r="EQ455" i="1"/>
  <c r="ER455" i="1"/>
  <c r="ET455" i="1" s="1"/>
  <c r="ES455" i="1"/>
  <c r="EQ456" i="1"/>
  <c r="ER456" i="1"/>
  <c r="ET456" i="1" s="1"/>
  <c r="ES456" i="1"/>
  <c r="EQ457" i="1"/>
  <c r="ER457" i="1"/>
  <c r="ET457" i="1" s="1"/>
  <c r="ES457" i="1"/>
  <c r="EQ458" i="1"/>
  <c r="ER458" i="1"/>
  <c r="ET458" i="1" s="1"/>
  <c r="ES458" i="1"/>
  <c r="EQ459" i="1"/>
  <c r="ER459" i="1"/>
  <c r="ET459" i="1" s="1"/>
  <c r="ES459" i="1"/>
  <c r="EQ460" i="1"/>
  <c r="ER460" i="1"/>
  <c r="ET460" i="1" s="1"/>
  <c r="ES460" i="1"/>
  <c r="EQ461" i="1"/>
  <c r="ER461" i="1"/>
  <c r="ET461" i="1" s="1"/>
  <c r="ES461" i="1"/>
  <c r="EQ462" i="1"/>
  <c r="ER462" i="1"/>
  <c r="ET462" i="1" s="1"/>
  <c r="ES462" i="1"/>
  <c r="EQ463" i="1"/>
  <c r="ER463" i="1"/>
  <c r="ET463" i="1" s="1"/>
  <c r="ES463" i="1"/>
  <c r="EQ464" i="1"/>
  <c r="ER464" i="1"/>
  <c r="ET464" i="1" s="1"/>
  <c r="ES464" i="1"/>
  <c r="EQ465" i="1"/>
  <c r="ER465" i="1"/>
  <c r="ET465" i="1" s="1"/>
  <c r="ES465" i="1"/>
  <c r="EQ466" i="1"/>
  <c r="ER466" i="1"/>
  <c r="ET466" i="1" s="1"/>
  <c r="ES466" i="1"/>
  <c r="EQ467" i="1"/>
  <c r="ER467" i="1"/>
  <c r="ET467" i="1" s="1"/>
  <c r="ES467" i="1"/>
  <c r="EQ468" i="1"/>
  <c r="ER468" i="1"/>
  <c r="ET468" i="1" s="1"/>
  <c r="ES468" i="1"/>
  <c r="EQ469" i="1"/>
  <c r="ER469" i="1"/>
  <c r="ET469" i="1" s="1"/>
  <c r="ES469" i="1"/>
  <c r="EQ470" i="1"/>
  <c r="ER470" i="1"/>
  <c r="ET470" i="1" s="1"/>
  <c r="ES470" i="1"/>
  <c r="EQ471" i="1"/>
  <c r="ER471" i="1"/>
  <c r="ET471" i="1" s="1"/>
  <c r="ES471" i="1"/>
  <c r="EQ472" i="1"/>
  <c r="ER472" i="1"/>
  <c r="ET472" i="1" s="1"/>
  <c r="ES472" i="1"/>
  <c r="EQ473" i="1"/>
  <c r="ER473" i="1"/>
  <c r="ET473" i="1" s="1"/>
  <c r="ES473" i="1"/>
  <c r="EQ474" i="1"/>
  <c r="ER474" i="1"/>
  <c r="ET474" i="1" s="1"/>
  <c r="ES474" i="1"/>
  <c r="EQ475" i="1"/>
  <c r="ER475" i="1"/>
  <c r="ET475" i="1" s="1"/>
  <c r="ES475" i="1"/>
  <c r="EQ476" i="1"/>
  <c r="ER476" i="1"/>
  <c r="ET476" i="1" s="1"/>
  <c r="ES476" i="1"/>
  <c r="EQ477" i="1"/>
  <c r="ER477" i="1"/>
  <c r="ET477" i="1" s="1"/>
  <c r="ES477" i="1"/>
  <c r="EQ478" i="1"/>
  <c r="ER478" i="1"/>
  <c r="ET478" i="1" s="1"/>
  <c r="ES478" i="1"/>
  <c r="EQ479" i="1"/>
  <c r="ER479" i="1"/>
  <c r="ET479" i="1" s="1"/>
  <c r="ES479" i="1"/>
  <c r="EQ480" i="1"/>
  <c r="ER480" i="1"/>
  <c r="ET480" i="1" s="1"/>
  <c r="ES480" i="1"/>
  <c r="EQ481" i="1"/>
  <c r="ER481" i="1"/>
  <c r="ET481" i="1" s="1"/>
  <c r="ES481" i="1"/>
  <c r="EQ482" i="1"/>
  <c r="ER482" i="1"/>
  <c r="ET482" i="1" s="1"/>
  <c r="ES482" i="1"/>
  <c r="EQ483" i="1"/>
  <c r="ER483" i="1"/>
  <c r="ET483" i="1" s="1"/>
  <c r="ES483" i="1"/>
  <c r="EQ484" i="1"/>
  <c r="ER484" i="1"/>
  <c r="ET484" i="1" s="1"/>
  <c r="ES484" i="1"/>
  <c r="EQ485" i="1"/>
  <c r="ER485" i="1"/>
  <c r="ET485" i="1" s="1"/>
  <c r="ES485" i="1"/>
  <c r="EQ486" i="1"/>
  <c r="ER486" i="1"/>
  <c r="ET486" i="1" s="1"/>
  <c r="ES486" i="1"/>
  <c r="EQ487" i="1"/>
  <c r="ER487" i="1"/>
  <c r="ET487" i="1" s="1"/>
  <c r="ES487" i="1"/>
  <c r="EQ488" i="1"/>
  <c r="ER488" i="1"/>
  <c r="ET488" i="1" s="1"/>
  <c r="ES488" i="1"/>
  <c r="EQ489" i="1"/>
  <c r="ER489" i="1"/>
  <c r="ET489" i="1" s="1"/>
  <c r="ES489" i="1"/>
  <c r="EQ490" i="1"/>
  <c r="ER490" i="1"/>
  <c r="ET490" i="1" s="1"/>
  <c r="ES490" i="1"/>
  <c r="EQ491" i="1"/>
  <c r="ER491" i="1"/>
  <c r="ET491" i="1" s="1"/>
  <c r="ES491" i="1"/>
  <c r="EQ492" i="1"/>
  <c r="ER492" i="1"/>
  <c r="ET492" i="1" s="1"/>
  <c r="ES492" i="1"/>
  <c r="EQ493" i="1"/>
  <c r="ER493" i="1"/>
  <c r="ET493" i="1" s="1"/>
  <c r="ES493" i="1"/>
  <c r="EQ494" i="1"/>
  <c r="ER494" i="1"/>
  <c r="ET494" i="1" s="1"/>
  <c r="ES494" i="1"/>
  <c r="EQ495" i="1"/>
  <c r="ER495" i="1"/>
  <c r="ET495" i="1" s="1"/>
  <c r="ES495" i="1"/>
  <c r="EQ496" i="1"/>
  <c r="ER496" i="1"/>
  <c r="ET496" i="1" s="1"/>
  <c r="ES496" i="1"/>
  <c r="EQ497" i="1"/>
  <c r="ER497" i="1"/>
  <c r="ET497" i="1" s="1"/>
  <c r="ES497" i="1"/>
  <c r="EQ498" i="1"/>
  <c r="ER498" i="1"/>
  <c r="ET498" i="1" s="1"/>
  <c r="ES498" i="1"/>
  <c r="EQ499" i="1"/>
  <c r="ER499" i="1"/>
  <c r="ET499" i="1" s="1"/>
  <c r="ES499" i="1"/>
  <c r="EQ500" i="1"/>
  <c r="ER500" i="1"/>
  <c r="ET500" i="1" s="1"/>
  <c r="ES500" i="1"/>
  <c r="EQ501" i="1"/>
  <c r="ER501" i="1"/>
  <c r="ET501" i="1" s="1"/>
  <c r="ES501" i="1"/>
  <c r="EQ502" i="1"/>
  <c r="ER502" i="1"/>
  <c r="ET502" i="1" s="1"/>
  <c r="ES502" i="1"/>
  <c r="EQ503" i="1"/>
  <c r="ER503" i="1"/>
  <c r="ET503" i="1" s="1"/>
  <c r="ES503" i="1"/>
  <c r="EQ504" i="1"/>
  <c r="ER504" i="1"/>
  <c r="ET504" i="1" s="1"/>
  <c r="ES504" i="1"/>
  <c r="EQ505" i="1"/>
  <c r="ER505" i="1"/>
  <c r="ET505" i="1" s="1"/>
  <c r="ES505" i="1"/>
  <c r="EQ506" i="1"/>
  <c r="ER506" i="1"/>
  <c r="ET506" i="1" s="1"/>
  <c r="ES506" i="1"/>
  <c r="EQ507" i="1"/>
  <c r="ER507" i="1"/>
  <c r="ET507" i="1" s="1"/>
  <c r="ES507" i="1"/>
  <c r="EQ508" i="1"/>
  <c r="EQ509" i="1"/>
  <c r="ER509" i="1"/>
  <c r="ET509" i="1" s="1"/>
  <c r="ES509" i="1"/>
  <c r="EQ510" i="1"/>
  <c r="ER510" i="1"/>
  <c r="ET510" i="1" s="1"/>
  <c r="ES510" i="1"/>
  <c r="ES351" i="1"/>
  <c r="ER351" i="1"/>
  <c r="ET351" i="1" s="1"/>
  <c r="EQ351" i="1"/>
  <c r="ES350" i="1"/>
  <c r="ER350" i="1"/>
  <c r="EQ350" i="1"/>
  <c r="ES349" i="1"/>
  <c r="ER349" i="1"/>
  <c r="ET349" i="1" s="1"/>
  <c r="EQ349" i="1"/>
  <c r="EQ5" i="1"/>
  <c r="ER5" i="1"/>
  <c r="ET5" i="1" s="1"/>
  <c r="ES5" i="1"/>
  <c r="EQ6" i="1"/>
  <c r="ER6" i="1"/>
  <c r="ET6" i="1" s="1"/>
  <c r="ES6" i="1"/>
  <c r="EQ7" i="1"/>
  <c r="ER7" i="1"/>
  <c r="ET7" i="1" s="1"/>
  <c r="ES7" i="1"/>
  <c r="EQ8" i="1"/>
  <c r="ER8" i="1"/>
  <c r="ET8" i="1" s="1"/>
  <c r="ES8" i="1"/>
  <c r="EQ9" i="1"/>
  <c r="ER9" i="1"/>
  <c r="ET9" i="1" s="1"/>
  <c r="ES9" i="1"/>
  <c r="EQ10" i="1"/>
  <c r="ER10" i="1"/>
  <c r="ET10" i="1" s="1"/>
  <c r="ES10" i="1"/>
  <c r="EQ11" i="1"/>
  <c r="ER11" i="1"/>
  <c r="ET11" i="1" s="1"/>
  <c r="ES11" i="1"/>
  <c r="EQ12" i="1"/>
  <c r="ER12" i="1"/>
  <c r="ET12" i="1" s="1"/>
  <c r="ES12" i="1"/>
  <c r="EQ13" i="1"/>
  <c r="ER13" i="1"/>
  <c r="ET13" i="1" s="1"/>
  <c r="ES13" i="1"/>
  <c r="EQ14" i="1"/>
  <c r="ER14" i="1"/>
  <c r="ET14" i="1" s="1"/>
  <c r="ES14" i="1"/>
  <c r="EQ15" i="1"/>
  <c r="ER15" i="1"/>
  <c r="ET15" i="1" s="1"/>
  <c r="ES15" i="1"/>
  <c r="EQ16" i="1"/>
  <c r="ER16" i="1"/>
  <c r="ET16" i="1" s="1"/>
  <c r="ES16" i="1"/>
  <c r="EQ17" i="1"/>
  <c r="ER17" i="1"/>
  <c r="ET17" i="1" s="1"/>
  <c r="ES17" i="1"/>
  <c r="EQ18" i="1"/>
  <c r="ER18" i="1"/>
  <c r="ET18" i="1" s="1"/>
  <c r="ES18" i="1"/>
  <c r="EQ19" i="1"/>
  <c r="ER19" i="1"/>
  <c r="ET19" i="1" s="1"/>
  <c r="ES19" i="1"/>
  <c r="EQ20" i="1"/>
  <c r="ER20" i="1"/>
  <c r="ET20" i="1" s="1"/>
  <c r="ES20" i="1"/>
  <c r="EQ21" i="1"/>
  <c r="ER21" i="1"/>
  <c r="ET21" i="1" s="1"/>
  <c r="ES21" i="1"/>
  <c r="EQ22" i="1"/>
  <c r="ER22" i="1"/>
  <c r="ET22" i="1" s="1"/>
  <c r="ES22" i="1"/>
  <c r="EQ23" i="1"/>
  <c r="ER23" i="1"/>
  <c r="ET23" i="1" s="1"/>
  <c r="ES23" i="1"/>
  <c r="EQ24" i="1"/>
  <c r="ER24" i="1"/>
  <c r="ET24" i="1" s="1"/>
  <c r="ES24" i="1"/>
  <c r="EQ25" i="1"/>
  <c r="ER25" i="1"/>
  <c r="ET25" i="1" s="1"/>
  <c r="ES25" i="1"/>
  <c r="EQ26" i="1"/>
  <c r="ER26" i="1"/>
  <c r="ET26" i="1" s="1"/>
  <c r="ES26" i="1"/>
  <c r="EQ27" i="1"/>
  <c r="ER27" i="1"/>
  <c r="ET27" i="1" s="1"/>
  <c r="ES27" i="1"/>
  <c r="EQ28" i="1"/>
  <c r="ER28" i="1"/>
  <c r="ET28" i="1" s="1"/>
  <c r="ES28" i="1"/>
  <c r="EQ29" i="1"/>
  <c r="ER29" i="1"/>
  <c r="ET29" i="1" s="1"/>
  <c r="ES29" i="1"/>
  <c r="EQ30" i="1"/>
  <c r="ER30" i="1"/>
  <c r="ET30" i="1" s="1"/>
  <c r="ES30" i="1"/>
  <c r="EQ31" i="1"/>
  <c r="ER31" i="1"/>
  <c r="ET31" i="1" s="1"/>
  <c r="ES31" i="1"/>
  <c r="EQ32" i="1"/>
  <c r="ER32" i="1"/>
  <c r="ET32" i="1" s="1"/>
  <c r="ES32" i="1"/>
  <c r="EQ33" i="1"/>
  <c r="ER33" i="1"/>
  <c r="ET33" i="1" s="1"/>
  <c r="ES33" i="1"/>
  <c r="EQ34" i="1"/>
  <c r="ER34" i="1"/>
  <c r="ET34" i="1" s="1"/>
  <c r="ES34" i="1"/>
  <c r="EQ35" i="1"/>
  <c r="ER35" i="1"/>
  <c r="ET35" i="1" s="1"/>
  <c r="ES35" i="1"/>
  <c r="EQ36" i="1"/>
  <c r="ER36" i="1"/>
  <c r="ET36" i="1" s="1"/>
  <c r="ES36" i="1"/>
  <c r="EQ37" i="1"/>
  <c r="ER37" i="1"/>
  <c r="ET37" i="1" s="1"/>
  <c r="ES37" i="1"/>
  <c r="EQ38" i="1"/>
  <c r="ER38" i="1"/>
  <c r="ET38" i="1" s="1"/>
  <c r="ES38" i="1"/>
  <c r="EQ39" i="1"/>
  <c r="ER39" i="1"/>
  <c r="ET39" i="1" s="1"/>
  <c r="ES39" i="1"/>
  <c r="EQ40" i="1"/>
  <c r="ER40" i="1"/>
  <c r="ET40" i="1" s="1"/>
  <c r="ES40" i="1"/>
  <c r="EQ41" i="1"/>
  <c r="ER41" i="1"/>
  <c r="ET41" i="1" s="1"/>
  <c r="ES41" i="1"/>
  <c r="EQ42" i="1"/>
  <c r="ER42" i="1"/>
  <c r="ET42" i="1" s="1"/>
  <c r="ES42" i="1"/>
  <c r="EQ43" i="1"/>
  <c r="ER43" i="1"/>
  <c r="ET43" i="1" s="1"/>
  <c r="ES43" i="1"/>
  <c r="EQ44" i="1"/>
  <c r="ER44" i="1"/>
  <c r="ET44" i="1" s="1"/>
  <c r="ES44" i="1"/>
  <c r="EQ45" i="1"/>
  <c r="ER45" i="1"/>
  <c r="ET45" i="1" s="1"/>
  <c r="ES45" i="1"/>
  <c r="EQ46" i="1"/>
  <c r="ER46" i="1"/>
  <c r="ET46" i="1" s="1"/>
  <c r="ES46" i="1"/>
  <c r="EQ47" i="1"/>
  <c r="ER47" i="1"/>
  <c r="ET47" i="1" s="1"/>
  <c r="ES47" i="1"/>
  <c r="EQ48" i="1"/>
  <c r="ER48" i="1"/>
  <c r="ET48" i="1" s="1"/>
  <c r="ES48" i="1"/>
  <c r="EQ49" i="1"/>
  <c r="ER49" i="1"/>
  <c r="ET49" i="1" s="1"/>
  <c r="ES49" i="1"/>
  <c r="EQ50" i="1"/>
  <c r="ER50" i="1"/>
  <c r="ET50" i="1" s="1"/>
  <c r="ES50" i="1"/>
  <c r="EQ51" i="1"/>
  <c r="ER51" i="1"/>
  <c r="ET51" i="1" s="1"/>
  <c r="ES51" i="1"/>
  <c r="EQ52" i="1"/>
  <c r="ER52" i="1"/>
  <c r="ET52" i="1" s="1"/>
  <c r="ES52" i="1"/>
  <c r="EQ53" i="1"/>
  <c r="ER53" i="1"/>
  <c r="ET53" i="1" s="1"/>
  <c r="ES53" i="1"/>
  <c r="EQ54" i="1"/>
  <c r="ER54" i="1"/>
  <c r="ET54" i="1" s="1"/>
  <c r="ES54" i="1"/>
  <c r="EQ55" i="1"/>
  <c r="ER55" i="1"/>
  <c r="ET55" i="1" s="1"/>
  <c r="ES55" i="1"/>
  <c r="EQ56" i="1"/>
  <c r="ER56" i="1"/>
  <c r="ET56" i="1" s="1"/>
  <c r="ES56" i="1"/>
  <c r="EQ57" i="1"/>
  <c r="ER57" i="1"/>
  <c r="ET57" i="1" s="1"/>
  <c r="ES57" i="1"/>
  <c r="EQ58" i="1"/>
  <c r="ER58" i="1"/>
  <c r="ET58" i="1" s="1"/>
  <c r="ES58" i="1"/>
  <c r="EQ59" i="1"/>
  <c r="ER59" i="1"/>
  <c r="ET59" i="1" s="1"/>
  <c r="ES59" i="1"/>
  <c r="EQ60" i="1"/>
  <c r="ER60" i="1"/>
  <c r="ET60" i="1" s="1"/>
  <c r="ES60" i="1"/>
  <c r="EQ61" i="1"/>
  <c r="ER61" i="1"/>
  <c r="ET61" i="1" s="1"/>
  <c r="ES61" i="1"/>
  <c r="EQ62" i="1"/>
  <c r="ER62" i="1"/>
  <c r="ET62" i="1" s="1"/>
  <c r="ES62" i="1"/>
  <c r="EQ63" i="1"/>
  <c r="ER63" i="1"/>
  <c r="ET63" i="1" s="1"/>
  <c r="ES63" i="1"/>
  <c r="EQ64" i="1"/>
  <c r="ER64" i="1"/>
  <c r="ET64" i="1" s="1"/>
  <c r="ES64" i="1"/>
  <c r="EQ65" i="1"/>
  <c r="ER65" i="1"/>
  <c r="ET65" i="1" s="1"/>
  <c r="ES65" i="1"/>
  <c r="EQ66" i="1"/>
  <c r="ER66" i="1"/>
  <c r="ET66" i="1" s="1"/>
  <c r="ES66" i="1"/>
  <c r="EQ67" i="1"/>
  <c r="ER67" i="1"/>
  <c r="ET67" i="1" s="1"/>
  <c r="ES67" i="1"/>
  <c r="EQ68" i="1"/>
  <c r="ER68" i="1"/>
  <c r="ET68" i="1" s="1"/>
  <c r="ES68" i="1"/>
  <c r="EQ69" i="1"/>
  <c r="ER69" i="1"/>
  <c r="ET69" i="1" s="1"/>
  <c r="ES69" i="1"/>
  <c r="EQ70" i="1"/>
  <c r="ER70" i="1"/>
  <c r="ET70" i="1" s="1"/>
  <c r="ES70" i="1"/>
  <c r="EQ71" i="1"/>
  <c r="ER71" i="1"/>
  <c r="ET71" i="1" s="1"/>
  <c r="ES71" i="1"/>
  <c r="EQ72" i="1"/>
  <c r="ER72" i="1"/>
  <c r="ET72" i="1" s="1"/>
  <c r="ES72" i="1"/>
  <c r="EQ73" i="1"/>
  <c r="ER73" i="1"/>
  <c r="ET73" i="1" s="1"/>
  <c r="ES73" i="1"/>
  <c r="EQ74" i="1"/>
  <c r="ER74" i="1"/>
  <c r="ET74" i="1" s="1"/>
  <c r="ES74" i="1"/>
  <c r="EQ75" i="1"/>
  <c r="ER75" i="1"/>
  <c r="ET75" i="1" s="1"/>
  <c r="ES75" i="1"/>
  <c r="EQ76" i="1"/>
  <c r="ER76" i="1"/>
  <c r="ET76" i="1" s="1"/>
  <c r="ES76" i="1"/>
  <c r="EQ77" i="1"/>
  <c r="ER77" i="1"/>
  <c r="ET77" i="1" s="1"/>
  <c r="ES77" i="1"/>
  <c r="EQ78" i="1"/>
  <c r="ER78" i="1"/>
  <c r="ET78" i="1" s="1"/>
  <c r="ES78" i="1"/>
  <c r="EQ79" i="1"/>
  <c r="ER79" i="1"/>
  <c r="ET79" i="1" s="1"/>
  <c r="ES79" i="1"/>
  <c r="EQ80" i="1"/>
  <c r="ER80" i="1"/>
  <c r="ET80" i="1" s="1"/>
  <c r="ES80" i="1"/>
  <c r="EQ81" i="1"/>
  <c r="ER81" i="1"/>
  <c r="ET81" i="1" s="1"/>
  <c r="ES81" i="1"/>
  <c r="EQ82" i="1"/>
  <c r="ER82" i="1"/>
  <c r="ET82" i="1" s="1"/>
  <c r="ES82" i="1"/>
  <c r="EQ83" i="1"/>
  <c r="ER83" i="1"/>
  <c r="ET83" i="1" s="1"/>
  <c r="ES83" i="1"/>
  <c r="EQ84" i="1"/>
  <c r="ER84" i="1"/>
  <c r="ET84" i="1" s="1"/>
  <c r="ES84" i="1"/>
  <c r="EQ85" i="1"/>
  <c r="ER85" i="1"/>
  <c r="ET85" i="1" s="1"/>
  <c r="ES85" i="1"/>
  <c r="EQ86" i="1"/>
  <c r="ER86" i="1"/>
  <c r="ET86" i="1" s="1"/>
  <c r="ES86" i="1"/>
  <c r="EQ87" i="1"/>
  <c r="ER87" i="1"/>
  <c r="ET87" i="1" s="1"/>
  <c r="ES87" i="1"/>
  <c r="EQ88" i="1"/>
  <c r="ER88" i="1"/>
  <c r="ET88" i="1" s="1"/>
  <c r="ES88" i="1"/>
  <c r="EQ89" i="1"/>
  <c r="ER89" i="1"/>
  <c r="ET89" i="1" s="1"/>
  <c r="ES89" i="1"/>
  <c r="EQ90" i="1"/>
  <c r="ER90" i="1"/>
  <c r="ET90" i="1" s="1"/>
  <c r="ES90" i="1"/>
  <c r="EQ91" i="1"/>
  <c r="ER91" i="1"/>
  <c r="ET91" i="1" s="1"/>
  <c r="ES91" i="1"/>
  <c r="EQ92" i="1"/>
  <c r="ER92" i="1"/>
  <c r="ET92" i="1" s="1"/>
  <c r="ES92" i="1"/>
  <c r="EQ93" i="1"/>
  <c r="ER93" i="1"/>
  <c r="ET93" i="1" s="1"/>
  <c r="ES93" i="1"/>
  <c r="EQ94" i="1"/>
  <c r="ER94" i="1"/>
  <c r="ET94" i="1" s="1"/>
  <c r="ES94" i="1"/>
  <c r="EQ95" i="1"/>
  <c r="ER95" i="1"/>
  <c r="ET95" i="1" s="1"/>
  <c r="ES95" i="1"/>
  <c r="EQ96" i="1"/>
  <c r="ER96" i="1"/>
  <c r="ET96" i="1" s="1"/>
  <c r="ES96" i="1"/>
  <c r="EQ97" i="1"/>
  <c r="ER97" i="1"/>
  <c r="ET97" i="1" s="1"/>
  <c r="ES97" i="1"/>
  <c r="EQ98" i="1"/>
  <c r="ER98" i="1"/>
  <c r="ET98" i="1" s="1"/>
  <c r="ES98" i="1"/>
  <c r="EQ99" i="1"/>
  <c r="ER99" i="1"/>
  <c r="ET99" i="1" s="1"/>
  <c r="ES99" i="1"/>
  <c r="EQ100" i="1"/>
  <c r="ER100" i="1"/>
  <c r="ET100" i="1" s="1"/>
  <c r="ES100" i="1"/>
  <c r="EQ101" i="1"/>
  <c r="ER101" i="1"/>
  <c r="ET101" i="1" s="1"/>
  <c r="ES101" i="1"/>
  <c r="EQ102" i="1"/>
  <c r="ER102" i="1"/>
  <c r="ET102" i="1" s="1"/>
  <c r="ES102" i="1"/>
  <c r="EQ103" i="1"/>
  <c r="ER103" i="1"/>
  <c r="ET103" i="1" s="1"/>
  <c r="ES103" i="1"/>
  <c r="EQ104" i="1"/>
  <c r="ER104" i="1"/>
  <c r="ET104" i="1" s="1"/>
  <c r="ES104" i="1"/>
  <c r="EQ105" i="1"/>
  <c r="ER105" i="1"/>
  <c r="ET105" i="1" s="1"/>
  <c r="ES105" i="1"/>
  <c r="EQ106" i="1"/>
  <c r="ER106" i="1"/>
  <c r="ET106" i="1" s="1"/>
  <c r="ES106" i="1"/>
  <c r="EQ107" i="1"/>
  <c r="ER107" i="1"/>
  <c r="ET107" i="1" s="1"/>
  <c r="ES107" i="1"/>
  <c r="EQ108" i="1"/>
  <c r="ER108" i="1"/>
  <c r="ET108" i="1" s="1"/>
  <c r="ES108" i="1"/>
  <c r="EQ109" i="1"/>
  <c r="ER109" i="1"/>
  <c r="ET109" i="1" s="1"/>
  <c r="ES109" i="1"/>
  <c r="EQ110" i="1"/>
  <c r="ER110" i="1"/>
  <c r="ET110" i="1" s="1"/>
  <c r="ES110" i="1"/>
  <c r="EQ111" i="1"/>
  <c r="ER111" i="1"/>
  <c r="ET111" i="1" s="1"/>
  <c r="ES111" i="1"/>
  <c r="EQ112" i="1"/>
  <c r="ER112" i="1"/>
  <c r="ET112" i="1" s="1"/>
  <c r="ES112" i="1"/>
  <c r="EQ113" i="1"/>
  <c r="ER113" i="1"/>
  <c r="ET113" i="1" s="1"/>
  <c r="ES113" i="1"/>
  <c r="EQ114" i="1"/>
  <c r="ER114" i="1"/>
  <c r="ET114" i="1" s="1"/>
  <c r="ES114" i="1"/>
  <c r="EQ115" i="1"/>
  <c r="ER115" i="1"/>
  <c r="ET115" i="1" s="1"/>
  <c r="ES115" i="1"/>
  <c r="EQ116" i="1"/>
  <c r="ER116" i="1"/>
  <c r="ET116" i="1" s="1"/>
  <c r="ES116" i="1"/>
  <c r="EQ117" i="1"/>
  <c r="ER117" i="1"/>
  <c r="ET117" i="1" s="1"/>
  <c r="ES117" i="1"/>
  <c r="EQ118" i="1"/>
  <c r="ER118" i="1"/>
  <c r="ET118" i="1" s="1"/>
  <c r="ES118" i="1"/>
  <c r="EQ119" i="1"/>
  <c r="ER119" i="1"/>
  <c r="ET119" i="1" s="1"/>
  <c r="ES119" i="1"/>
  <c r="EQ120" i="1"/>
  <c r="ER120" i="1"/>
  <c r="ET120" i="1" s="1"/>
  <c r="ES120" i="1"/>
  <c r="EQ121" i="1"/>
  <c r="ER121" i="1"/>
  <c r="ET121" i="1" s="1"/>
  <c r="ES121" i="1"/>
  <c r="EQ122" i="1"/>
  <c r="ER122" i="1"/>
  <c r="ET122" i="1" s="1"/>
  <c r="ES122" i="1"/>
  <c r="EQ123" i="1"/>
  <c r="ER123" i="1"/>
  <c r="ET123" i="1" s="1"/>
  <c r="ES123" i="1"/>
  <c r="EQ124" i="1"/>
  <c r="ER124" i="1"/>
  <c r="ET124" i="1" s="1"/>
  <c r="ES124" i="1"/>
  <c r="EQ125" i="1"/>
  <c r="ER125" i="1"/>
  <c r="ET125" i="1" s="1"/>
  <c r="ES125" i="1"/>
  <c r="EQ126" i="1"/>
  <c r="ER126" i="1"/>
  <c r="ET126" i="1" s="1"/>
  <c r="ES126" i="1"/>
  <c r="EQ127" i="1"/>
  <c r="ER127" i="1"/>
  <c r="ET127" i="1" s="1"/>
  <c r="ES127" i="1"/>
  <c r="EQ128" i="1"/>
  <c r="ER128" i="1"/>
  <c r="ET128" i="1" s="1"/>
  <c r="ES128" i="1"/>
  <c r="EQ129" i="1"/>
  <c r="ER129" i="1"/>
  <c r="ET129" i="1" s="1"/>
  <c r="ES129" i="1"/>
  <c r="EQ130" i="1"/>
  <c r="ER130" i="1"/>
  <c r="ET130" i="1" s="1"/>
  <c r="ES130" i="1"/>
  <c r="EQ131" i="1"/>
  <c r="ER131" i="1"/>
  <c r="ET131" i="1" s="1"/>
  <c r="ES131" i="1"/>
  <c r="EQ132" i="1"/>
  <c r="ER132" i="1"/>
  <c r="ET132" i="1" s="1"/>
  <c r="ES132" i="1"/>
  <c r="EQ133" i="1"/>
  <c r="ER133" i="1"/>
  <c r="ET133" i="1" s="1"/>
  <c r="ES133" i="1"/>
  <c r="EQ134" i="1"/>
  <c r="ER134" i="1"/>
  <c r="ET134" i="1" s="1"/>
  <c r="ES134" i="1"/>
  <c r="EQ135" i="1"/>
  <c r="ER135" i="1"/>
  <c r="ET135" i="1" s="1"/>
  <c r="ES135" i="1"/>
  <c r="EQ136" i="1"/>
  <c r="ER136" i="1"/>
  <c r="ET136" i="1" s="1"/>
  <c r="ES136" i="1"/>
  <c r="EQ137" i="1"/>
  <c r="ER137" i="1"/>
  <c r="ET137" i="1" s="1"/>
  <c r="ES137" i="1"/>
  <c r="EQ138" i="1"/>
  <c r="ER138" i="1"/>
  <c r="ET138" i="1" s="1"/>
  <c r="ES138" i="1"/>
  <c r="EQ139" i="1"/>
  <c r="ER139" i="1"/>
  <c r="ET139" i="1" s="1"/>
  <c r="ES139" i="1"/>
  <c r="EQ140" i="1"/>
  <c r="ER140" i="1"/>
  <c r="ET140" i="1" s="1"/>
  <c r="ES140" i="1"/>
  <c r="EQ141" i="1"/>
  <c r="ER141" i="1"/>
  <c r="ET141" i="1" s="1"/>
  <c r="ES141" i="1"/>
  <c r="EQ142" i="1"/>
  <c r="ER142" i="1"/>
  <c r="ET142" i="1" s="1"/>
  <c r="ES142" i="1"/>
  <c r="EQ143" i="1"/>
  <c r="ER143" i="1"/>
  <c r="ET143" i="1" s="1"/>
  <c r="ES143" i="1"/>
  <c r="EQ144" i="1"/>
  <c r="ER144" i="1"/>
  <c r="ET144" i="1" s="1"/>
  <c r="ES144" i="1"/>
  <c r="EQ145" i="1"/>
  <c r="ER145" i="1"/>
  <c r="ET145" i="1" s="1"/>
  <c r="ES145" i="1"/>
  <c r="EQ146" i="1"/>
  <c r="ER146" i="1"/>
  <c r="ET146" i="1" s="1"/>
  <c r="ES146" i="1"/>
  <c r="EQ147" i="1"/>
  <c r="ER147" i="1"/>
  <c r="ET147" i="1" s="1"/>
  <c r="ES147" i="1"/>
  <c r="EQ148" i="1"/>
  <c r="ER148" i="1"/>
  <c r="ET148" i="1" s="1"/>
  <c r="ES148" i="1"/>
  <c r="EQ149" i="1"/>
  <c r="ER149" i="1"/>
  <c r="ET149" i="1" s="1"/>
  <c r="ES149" i="1"/>
  <c r="EQ150" i="1"/>
  <c r="ER150" i="1"/>
  <c r="ET150" i="1" s="1"/>
  <c r="ES150" i="1"/>
  <c r="EQ151" i="1"/>
  <c r="ER151" i="1"/>
  <c r="ET151" i="1" s="1"/>
  <c r="ES151" i="1"/>
  <c r="EQ152" i="1"/>
  <c r="ER152" i="1"/>
  <c r="ET152" i="1" s="1"/>
  <c r="ES152" i="1"/>
  <c r="EQ153" i="1"/>
  <c r="ER153" i="1"/>
  <c r="ET153" i="1" s="1"/>
  <c r="ES153" i="1"/>
  <c r="EQ154" i="1"/>
  <c r="ER154" i="1"/>
  <c r="ET154" i="1" s="1"/>
  <c r="ES154" i="1"/>
  <c r="EQ155" i="1"/>
  <c r="ER155" i="1"/>
  <c r="ET155" i="1" s="1"/>
  <c r="ES155" i="1"/>
  <c r="EQ156" i="1"/>
  <c r="ER156" i="1"/>
  <c r="ET156" i="1" s="1"/>
  <c r="ES156" i="1"/>
  <c r="EQ157" i="1"/>
  <c r="ER157" i="1"/>
  <c r="ET157" i="1" s="1"/>
  <c r="ES157" i="1"/>
  <c r="EQ158" i="1"/>
  <c r="ER158" i="1"/>
  <c r="ET158" i="1" s="1"/>
  <c r="ES158" i="1"/>
  <c r="EQ159" i="1"/>
  <c r="ER159" i="1"/>
  <c r="ET159" i="1" s="1"/>
  <c r="ES159" i="1"/>
  <c r="EQ160" i="1"/>
  <c r="ER160" i="1"/>
  <c r="ET160" i="1" s="1"/>
  <c r="ES160" i="1"/>
  <c r="EQ161" i="1"/>
  <c r="ER161" i="1"/>
  <c r="ET161" i="1" s="1"/>
  <c r="ES161" i="1"/>
  <c r="EQ162" i="1"/>
  <c r="ER162" i="1"/>
  <c r="ET162" i="1" s="1"/>
  <c r="ES162" i="1"/>
  <c r="EQ163" i="1"/>
  <c r="ER163" i="1"/>
  <c r="ET163" i="1" s="1"/>
  <c r="ES163" i="1"/>
  <c r="EQ164" i="1"/>
  <c r="ER164" i="1"/>
  <c r="ET164" i="1" s="1"/>
  <c r="ES164" i="1"/>
  <c r="EQ165" i="1"/>
  <c r="ER165" i="1"/>
  <c r="ET165" i="1" s="1"/>
  <c r="ES165" i="1"/>
  <c r="EQ166" i="1"/>
  <c r="ER166" i="1"/>
  <c r="ET166" i="1" s="1"/>
  <c r="ES166" i="1"/>
  <c r="EQ167" i="1"/>
  <c r="ER167" i="1"/>
  <c r="ET167" i="1" s="1"/>
  <c r="ES167" i="1"/>
  <c r="EQ168" i="1"/>
  <c r="ER168" i="1"/>
  <c r="ET168" i="1" s="1"/>
  <c r="ES168" i="1"/>
  <c r="EQ169" i="1"/>
  <c r="ER169" i="1"/>
  <c r="ET169" i="1" s="1"/>
  <c r="ES169" i="1"/>
  <c r="EQ170" i="1"/>
  <c r="ER170" i="1"/>
  <c r="ET170" i="1" s="1"/>
  <c r="ES170" i="1"/>
  <c r="EQ171" i="1"/>
  <c r="ER171" i="1"/>
  <c r="ET171" i="1" s="1"/>
  <c r="ES171" i="1"/>
  <c r="EQ172" i="1"/>
  <c r="ER172" i="1"/>
  <c r="ET172" i="1" s="1"/>
  <c r="ES172" i="1"/>
  <c r="EQ173" i="1"/>
  <c r="ER173" i="1"/>
  <c r="ET173" i="1" s="1"/>
  <c r="ES173" i="1"/>
  <c r="EQ174" i="1"/>
  <c r="ER174" i="1"/>
  <c r="ET174" i="1" s="1"/>
  <c r="ES174" i="1"/>
  <c r="EQ175" i="1"/>
  <c r="ER175" i="1"/>
  <c r="ET175" i="1" s="1"/>
  <c r="ES175" i="1"/>
  <c r="EQ176" i="1"/>
  <c r="ER176" i="1"/>
  <c r="ET176" i="1" s="1"/>
  <c r="ES176" i="1"/>
  <c r="EQ177" i="1"/>
  <c r="ER177" i="1"/>
  <c r="ET177" i="1" s="1"/>
  <c r="ES177" i="1"/>
  <c r="EQ178" i="1"/>
  <c r="ER178" i="1"/>
  <c r="ET178" i="1" s="1"/>
  <c r="ES178" i="1"/>
  <c r="EQ179" i="1"/>
  <c r="ER179" i="1"/>
  <c r="ET179" i="1" s="1"/>
  <c r="ES179" i="1"/>
  <c r="EQ180" i="1"/>
  <c r="ER180" i="1"/>
  <c r="ET180" i="1" s="1"/>
  <c r="ES180" i="1"/>
  <c r="EQ181" i="1"/>
  <c r="ER181" i="1"/>
  <c r="ET181" i="1" s="1"/>
  <c r="ES181" i="1"/>
  <c r="EQ182" i="1"/>
  <c r="ER182" i="1"/>
  <c r="ET182" i="1" s="1"/>
  <c r="ES182" i="1"/>
  <c r="EQ183" i="1"/>
  <c r="ER183" i="1"/>
  <c r="ET183" i="1" s="1"/>
  <c r="ES183" i="1"/>
  <c r="EQ184" i="1"/>
  <c r="ER184" i="1"/>
  <c r="ET184" i="1" s="1"/>
  <c r="ES184" i="1"/>
  <c r="EQ185" i="1"/>
  <c r="ER185" i="1"/>
  <c r="ET185" i="1" s="1"/>
  <c r="ES185" i="1"/>
  <c r="EQ186" i="1"/>
  <c r="ER186" i="1"/>
  <c r="ET186" i="1" s="1"/>
  <c r="ES186" i="1"/>
  <c r="EQ187" i="1"/>
  <c r="ER187" i="1"/>
  <c r="ET187" i="1" s="1"/>
  <c r="ES187" i="1"/>
  <c r="EQ188" i="1"/>
  <c r="ER188" i="1"/>
  <c r="ET188" i="1" s="1"/>
  <c r="ES188" i="1"/>
  <c r="EQ189" i="1"/>
  <c r="ER189" i="1"/>
  <c r="ET189" i="1" s="1"/>
  <c r="ES189" i="1"/>
  <c r="EQ190" i="1"/>
  <c r="ER190" i="1"/>
  <c r="ET190" i="1" s="1"/>
  <c r="ES190" i="1"/>
  <c r="EQ191" i="1"/>
  <c r="ER191" i="1"/>
  <c r="ET191" i="1" s="1"/>
  <c r="ES191" i="1"/>
  <c r="EQ192" i="1"/>
  <c r="ER192" i="1"/>
  <c r="ET192" i="1" s="1"/>
  <c r="ES192" i="1"/>
  <c r="EQ193" i="1"/>
  <c r="ER193" i="1"/>
  <c r="ET193" i="1" s="1"/>
  <c r="ES193" i="1"/>
  <c r="EQ194" i="1"/>
  <c r="ER194" i="1"/>
  <c r="ET194" i="1" s="1"/>
  <c r="ES194" i="1"/>
  <c r="EQ195" i="1"/>
  <c r="ER195" i="1"/>
  <c r="ET195" i="1" s="1"/>
  <c r="ES195" i="1"/>
  <c r="EQ196" i="1"/>
  <c r="ER196" i="1"/>
  <c r="ET196" i="1" s="1"/>
  <c r="ES196" i="1"/>
  <c r="EQ197" i="1"/>
  <c r="ER197" i="1"/>
  <c r="ET197" i="1" s="1"/>
  <c r="ES197" i="1"/>
  <c r="EQ198" i="1"/>
  <c r="ER198" i="1"/>
  <c r="ET198" i="1" s="1"/>
  <c r="ES198" i="1"/>
  <c r="EQ199" i="1"/>
  <c r="ER199" i="1"/>
  <c r="ET199" i="1" s="1"/>
  <c r="ES199" i="1"/>
  <c r="EQ200" i="1"/>
  <c r="ER200" i="1"/>
  <c r="ET200" i="1" s="1"/>
  <c r="ES200" i="1"/>
  <c r="EQ201" i="1"/>
  <c r="ER201" i="1"/>
  <c r="ET201" i="1" s="1"/>
  <c r="ES201" i="1"/>
  <c r="EQ202" i="1"/>
  <c r="ER202" i="1"/>
  <c r="ET202" i="1" s="1"/>
  <c r="ES202" i="1"/>
  <c r="EQ203" i="1"/>
  <c r="ER203" i="1"/>
  <c r="ET203" i="1" s="1"/>
  <c r="ES203" i="1"/>
  <c r="EQ204" i="1"/>
  <c r="ER204" i="1"/>
  <c r="ET204" i="1" s="1"/>
  <c r="ES204" i="1"/>
  <c r="EQ205" i="1"/>
  <c r="ER205" i="1"/>
  <c r="ET205" i="1" s="1"/>
  <c r="ES205" i="1"/>
  <c r="EQ206" i="1"/>
  <c r="ER206" i="1"/>
  <c r="ET206" i="1" s="1"/>
  <c r="ES206" i="1"/>
  <c r="EQ207" i="1"/>
  <c r="ER207" i="1"/>
  <c r="ET207" i="1" s="1"/>
  <c r="ES207" i="1"/>
  <c r="EQ208" i="1"/>
  <c r="ER208" i="1"/>
  <c r="ET208" i="1" s="1"/>
  <c r="ES208" i="1"/>
  <c r="EQ209" i="1"/>
  <c r="ER209" i="1"/>
  <c r="ET209" i="1" s="1"/>
  <c r="ES209" i="1"/>
  <c r="EQ210" i="1"/>
  <c r="ER210" i="1"/>
  <c r="ET210" i="1" s="1"/>
  <c r="ES210" i="1"/>
  <c r="EQ211" i="1"/>
  <c r="ER211" i="1"/>
  <c r="ET211" i="1" s="1"/>
  <c r="ES211" i="1"/>
  <c r="EQ212" i="1"/>
  <c r="ER212" i="1"/>
  <c r="ET212" i="1" s="1"/>
  <c r="ES212" i="1"/>
  <c r="EQ213" i="1"/>
  <c r="ER213" i="1"/>
  <c r="ET213" i="1" s="1"/>
  <c r="ES213" i="1"/>
  <c r="EQ214" i="1"/>
  <c r="ER214" i="1"/>
  <c r="ET214" i="1" s="1"/>
  <c r="ES214" i="1"/>
  <c r="EQ215" i="1"/>
  <c r="ER215" i="1"/>
  <c r="ET215" i="1" s="1"/>
  <c r="ES215" i="1"/>
  <c r="EQ216" i="1"/>
  <c r="ER216" i="1"/>
  <c r="ET216" i="1" s="1"/>
  <c r="ES216" i="1"/>
  <c r="EQ217" i="1"/>
  <c r="ER217" i="1"/>
  <c r="ET217" i="1" s="1"/>
  <c r="ES217" i="1"/>
  <c r="EQ218" i="1"/>
  <c r="ER218" i="1"/>
  <c r="ET218" i="1" s="1"/>
  <c r="ES218" i="1"/>
  <c r="EQ219" i="1"/>
  <c r="ER219" i="1"/>
  <c r="ET219" i="1" s="1"/>
  <c r="ES219" i="1"/>
  <c r="EQ220" i="1"/>
  <c r="ER220" i="1"/>
  <c r="ET220" i="1" s="1"/>
  <c r="ES220" i="1"/>
  <c r="EQ221" i="1"/>
  <c r="ER221" i="1"/>
  <c r="ET221" i="1" s="1"/>
  <c r="ES221" i="1"/>
  <c r="EQ222" i="1"/>
  <c r="ER222" i="1"/>
  <c r="ET222" i="1" s="1"/>
  <c r="ES222" i="1"/>
  <c r="EQ223" i="1"/>
  <c r="ER223" i="1"/>
  <c r="ET223" i="1" s="1"/>
  <c r="ES223" i="1"/>
  <c r="EQ224" i="1"/>
  <c r="ER224" i="1"/>
  <c r="ET224" i="1" s="1"/>
  <c r="ES224" i="1"/>
  <c r="EQ225" i="1"/>
  <c r="ER225" i="1"/>
  <c r="ET225" i="1" s="1"/>
  <c r="ES225" i="1"/>
  <c r="EQ226" i="1"/>
  <c r="ER226" i="1"/>
  <c r="ET226" i="1" s="1"/>
  <c r="ES226" i="1"/>
  <c r="EQ227" i="1"/>
  <c r="ER227" i="1"/>
  <c r="ET227" i="1" s="1"/>
  <c r="ES227" i="1"/>
  <c r="EQ228" i="1"/>
  <c r="ER228" i="1"/>
  <c r="ET228" i="1" s="1"/>
  <c r="ES228" i="1"/>
  <c r="EQ229" i="1"/>
  <c r="ER229" i="1"/>
  <c r="ET229" i="1" s="1"/>
  <c r="ES229" i="1"/>
  <c r="EQ230" i="1"/>
  <c r="ER230" i="1"/>
  <c r="ET230" i="1" s="1"/>
  <c r="ES230" i="1"/>
  <c r="EQ231" i="1"/>
  <c r="ER231" i="1"/>
  <c r="ET231" i="1" s="1"/>
  <c r="ES231" i="1"/>
  <c r="EQ232" i="1"/>
  <c r="ER232" i="1"/>
  <c r="ET232" i="1" s="1"/>
  <c r="ES232" i="1"/>
  <c r="EQ233" i="1"/>
  <c r="ER233" i="1"/>
  <c r="ET233" i="1" s="1"/>
  <c r="ES233" i="1"/>
  <c r="EQ234" i="1"/>
  <c r="ER234" i="1"/>
  <c r="ET234" i="1" s="1"/>
  <c r="ES234" i="1"/>
  <c r="EQ235" i="1"/>
  <c r="ER235" i="1"/>
  <c r="ET235" i="1" s="1"/>
  <c r="ES235" i="1"/>
  <c r="EQ236" i="1"/>
  <c r="ER236" i="1"/>
  <c r="ET236" i="1" s="1"/>
  <c r="ES236" i="1"/>
  <c r="EQ237" i="1"/>
  <c r="ER237" i="1"/>
  <c r="ET237" i="1" s="1"/>
  <c r="ES237" i="1"/>
  <c r="EQ238" i="1"/>
  <c r="ER238" i="1"/>
  <c r="ET238" i="1" s="1"/>
  <c r="ES238" i="1"/>
  <c r="EQ239" i="1"/>
  <c r="ER239" i="1"/>
  <c r="ET239" i="1" s="1"/>
  <c r="ES239" i="1"/>
  <c r="EQ240" i="1"/>
  <c r="ER240" i="1"/>
  <c r="ET240" i="1" s="1"/>
  <c r="ES240" i="1"/>
  <c r="EQ241" i="1"/>
  <c r="ER241" i="1"/>
  <c r="ET241" i="1" s="1"/>
  <c r="ES241" i="1"/>
  <c r="EQ242" i="1"/>
  <c r="ER242" i="1"/>
  <c r="ET242" i="1" s="1"/>
  <c r="ES242" i="1"/>
  <c r="EQ243" i="1"/>
  <c r="ER243" i="1"/>
  <c r="ET243" i="1" s="1"/>
  <c r="ES243" i="1"/>
  <c r="EQ244" i="1"/>
  <c r="ER244" i="1"/>
  <c r="ET244" i="1" s="1"/>
  <c r="ES244" i="1"/>
  <c r="EQ245" i="1"/>
  <c r="ER245" i="1"/>
  <c r="ET245" i="1" s="1"/>
  <c r="ES245" i="1"/>
  <c r="EQ246" i="1"/>
  <c r="ER246" i="1"/>
  <c r="ET246" i="1" s="1"/>
  <c r="ES246" i="1"/>
  <c r="EQ247" i="1"/>
  <c r="ER247" i="1"/>
  <c r="ET247" i="1" s="1"/>
  <c r="ES247" i="1"/>
  <c r="EQ248" i="1"/>
  <c r="ER248" i="1"/>
  <c r="ET248" i="1" s="1"/>
  <c r="ES248" i="1"/>
  <c r="EQ249" i="1"/>
  <c r="ER249" i="1"/>
  <c r="ET249" i="1" s="1"/>
  <c r="ES249" i="1"/>
  <c r="EQ250" i="1"/>
  <c r="ER250" i="1"/>
  <c r="ET250" i="1" s="1"/>
  <c r="ES250" i="1"/>
  <c r="EQ251" i="1"/>
  <c r="ER251" i="1"/>
  <c r="ET251" i="1" s="1"/>
  <c r="ES251" i="1"/>
  <c r="EQ252" i="1"/>
  <c r="ER252" i="1"/>
  <c r="ET252" i="1" s="1"/>
  <c r="ES252" i="1"/>
  <c r="EQ253" i="1"/>
  <c r="ER253" i="1"/>
  <c r="ET253" i="1" s="1"/>
  <c r="ES253" i="1"/>
  <c r="EQ254" i="1"/>
  <c r="ER254" i="1"/>
  <c r="ET254" i="1" s="1"/>
  <c r="ES254" i="1"/>
  <c r="EQ255" i="1"/>
  <c r="ER255" i="1"/>
  <c r="ET255" i="1" s="1"/>
  <c r="ES255" i="1"/>
  <c r="EQ256" i="1"/>
  <c r="ER256" i="1"/>
  <c r="ET256" i="1" s="1"/>
  <c r="ES256" i="1"/>
  <c r="EQ257" i="1"/>
  <c r="ER257" i="1"/>
  <c r="ET257" i="1" s="1"/>
  <c r="ES257" i="1"/>
  <c r="EQ258" i="1"/>
  <c r="ER258" i="1"/>
  <c r="ET258" i="1" s="1"/>
  <c r="ES258" i="1"/>
  <c r="EQ259" i="1"/>
  <c r="ER259" i="1"/>
  <c r="ET259" i="1" s="1"/>
  <c r="ES259" i="1"/>
  <c r="EQ260" i="1"/>
  <c r="ER260" i="1"/>
  <c r="ET260" i="1" s="1"/>
  <c r="ES260" i="1"/>
  <c r="EQ261" i="1"/>
  <c r="ER261" i="1"/>
  <c r="ET261" i="1" s="1"/>
  <c r="ES261" i="1"/>
  <c r="EQ262" i="1"/>
  <c r="ER262" i="1"/>
  <c r="ET262" i="1" s="1"/>
  <c r="ES262" i="1"/>
  <c r="EQ263" i="1"/>
  <c r="ER263" i="1"/>
  <c r="ET263" i="1" s="1"/>
  <c r="ES263" i="1"/>
  <c r="EQ264" i="1"/>
  <c r="ER264" i="1"/>
  <c r="ET264" i="1" s="1"/>
  <c r="ES264" i="1"/>
  <c r="EQ265" i="1"/>
  <c r="ER265" i="1"/>
  <c r="ET265" i="1" s="1"/>
  <c r="ES265" i="1"/>
  <c r="EQ266" i="1"/>
  <c r="ER266" i="1"/>
  <c r="ET266" i="1" s="1"/>
  <c r="ES266" i="1"/>
  <c r="EQ267" i="1"/>
  <c r="ER267" i="1"/>
  <c r="ET267" i="1" s="1"/>
  <c r="ES267" i="1"/>
  <c r="EQ268" i="1"/>
  <c r="ER268" i="1"/>
  <c r="ET268" i="1" s="1"/>
  <c r="ES268" i="1"/>
  <c r="EQ269" i="1"/>
  <c r="ER269" i="1"/>
  <c r="ET269" i="1" s="1"/>
  <c r="ES269" i="1"/>
  <c r="EQ270" i="1"/>
  <c r="ER270" i="1"/>
  <c r="ET270" i="1" s="1"/>
  <c r="ES270" i="1"/>
  <c r="EQ271" i="1"/>
  <c r="ER271" i="1"/>
  <c r="ET271" i="1" s="1"/>
  <c r="ES271" i="1"/>
  <c r="EQ272" i="1"/>
  <c r="ER272" i="1"/>
  <c r="ET272" i="1" s="1"/>
  <c r="ES272" i="1"/>
  <c r="EQ273" i="1"/>
  <c r="ER273" i="1"/>
  <c r="ET273" i="1" s="1"/>
  <c r="ES273" i="1"/>
  <c r="EQ274" i="1"/>
  <c r="ER274" i="1"/>
  <c r="ET274" i="1" s="1"/>
  <c r="ES274" i="1"/>
  <c r="EQ275" i="1"/>
  <c r="EQ276" i="1"/>
  <c r="ER276" i="1"/>
  <c r="ET276" i="1" s="1"/>
  <c r="ES276" i="1"/>
  <c r="EQ277" i="1"/>
  <c r="ER277" i="1"/>
  <c r="ET277" i="1" s="1"/>
  <c r="ES277" i="1"/>
  <c r="EQ278" i="1"/>
  <c r="ER278" i="1"/>
  <c r="ET278" i="1" s="1"/>
  <c r="ES278" i="1"/>
  <c r="EQ279" i="1"/>
  <c r="ER279" i="1"/>
  <c r="ET279" i="1" s="1"/>
  <c r="ES279" i="1"/>
  <c r="EQ280" i="1"/>
  <c r="ER280" i="1"/>
  <c r="ET280" i="1" s="1"/>
  <c r="ES280" i="1"/>
  <c r="EQ281" i="1"/>
  <c r="ER281" i="1"/>
  <c r="ET281" i="1" s="1"/>
  <c r="ES281" i="1"/>
  <c r="EQ282" i="1"/>
  <c r="ER282" i="1"/>
  <c r="ET282" i="1" s="1"/>
  <c r="ES282" i="1"/>
  <c r="EQ283" i="1"/>
  <c r="ER283" i="1"/>
  <c r="ET283" i="1" s="1"/>
  <c r="ES283" i="1"/>
  <c r="EQ284" i="1"/>
  <c r="ER284" i="1"/>
  <c r="ET284" i="1" s="1"/>
  <c r="ES284" i="1"/>
  <c r="EQ285" i="1"/>
  <c r="ER285" i="1"/>
  <c r="ET285" i="1" s="1"/>
  <c r="ES285" i="1"/>
  <c r="EQ286" i="1"/>
  <c r="ER286" i="1"/>
  <c r="ET286" i="1" s="1"/>
  <c r="ES286" i="1"/>
  <c r="EQ287" i="1"/>
  <c r="ER287" i="1"/>
  <c r="ET287" i="1" s="1"/>
  <c r="ES287" i="1"/>
  <c r="EQ288" i="1"/>
  <c r="ER288" i="1"/>
  <c r="ET288" i="1" s="1"/>
  <c r="ES288" i="1"/>
  <c r="EQ289" i="1"/>
  <c r="ER289" i="1"/>
  <c r="ET289" i="1" s="1"/>
  <c r="ES289" i="1"/>
  <c r="EQ290" i="1"/>
  <c r="ER290" i="1"/>
  <c r="ET290" i="1" s="1"/>
  <c r="ES290" i="1"/>
  <c r="EQ291" i="1"/>
  <c r="ER291" i="1"/>
  <c r="ET291" i="1" s="1"/>
  <c r="ES291" i="1"/>
  <c r="EQ292" i="1"/>
  <c r="ER292" i="1"/>
  <c r="ET292" i="1" s="1"/>
  <c r="ES292" i="1"/>
  <c r="EQ293" i="1"/>
  <c r="ER293" i="1"/>
  <c r="ET293" i="1" s="1"/>
  <c r="ES293" i="1"/>
  <c r="EQ294" i="1"/>
  <c r="ER294" i="1"/>
  <c r="ET294" i="1" s="1"/>
  <c r="ES294" i="1"/>
  <c r="EQ295" i="1"/>
  <c r="ER295" i="1"/>
  <c r="ET295" i="1" s="1"/>
  <c r="ES295" i="1"/>
  <c r="EQ296" i="1"/>
  <c r="ER296" i="1"/>
  <c r="ET296" i="1" s="1"/>
  <c r="ES296" i="1"/>
  <c r="EQ297" i="1"/>
  <c r="ER297" i="1"/>
  <c r="ET297" i="1" s="1"/>
  <c r="ES297" i="1"/>
  <c r="EQ298" i="1"/>
  <c r="ER298" i="1"/>
  <c r="ET298" i="1" s="1"/>
  <c r="ES298" i="1"/>
  <c r="EQ299" i="1"/>
  <c r="ER299" i="1"/>
  <c r="ET299" i="1" s="1"/>
  <c r="ES299" i="1"/>
  <c r="EQ300" i="1"/>
  <c r="ER300" i="1"/>
  <c r="ET300" i="1" s="1"/>
  <c r="ES300" i="1"/>
  <c r="EQ301" i="1"/>
  <c r="ER301" i="1"/>
  <c r="ET301" i="1" s="1"/>
  <c r="ES301" i="1"/>
  <c r="EQ302" i="1"/>
  <c r="ER302" i="1"/>
  <c r="ET302" i="1" s="1"/>
  <c r="ES302" i="1"/>
  <c r="EQ303" i="1"/>
  <c r="ER303" i="1"/>
  <c r="ET303" i="1" s="1"/>
  <c r="ES303" i="1"/>
  <c r="EQ304" i="1"/>
  <c r="ER304" i="1"/>
  <c r="ET304" i="1" s="1"/>
  <c r="ES304" i="1"/>
  <c r="EQ305" i="1"/>
  <c r="ER305" i="1"/>
  <c r="ET305" i="1" s="1"/>
  <c r="ES305" i="1"/>
  <c r="EQ306" i="1"/>
  <c r="ER306" i="1"/>
  <c r="ET306" i="1" s="1"/>
  <c r="ES306" i="1"/>
  <c r="EQ307" i="1"/>
  <c r="ER307" i="1"/>
  <c r="ET307" i="1" s="1"/>
  <c r="ES307" i="1"/>
  <c r="EQ308" i="1"/>
  <c r="ER308" i="1"/>
  <c r="ET308" i="1" s="1"/>
  <c r="ES308" i="1"/>
  <c r="EQ309" i="1"/>
  <c r="ER309" i="1"/>
  <c r="ET309" i="1" s="1"/>
  <c r="ES309" i="1"/>
  <c r="EQ310" i="1"/>
  <c r="ER310" i="1"/>
  <c r="ET310" i="1" s="1"/>
  <c r="ES310" i="1"/>
  <c r="EQ311" i="1"/>
  <c r="ER311" i="1"/>
  <c r="ET311" i="1" s="1"/>
  <c r="ES311" i="1"/>
  <c r="EQ312" i="1"/>
  <c r="ER312" i="1"/>
  <c r="ET312" i="1" s="1"/>
  <c r="ES312" i="1"/>
  <c r="EQ313" i="1"/>
  <c r="ER313" i="1"/>
  <c r="ET313" i="1" s="1"/>
  <c r="ES313" i="1"/>
  <c r="EQ314" i="1"/>
  <c r="EQ315" i="1"/>
  <c r="ER315" i="1"/>
  <c r="ET315" i="1" s="1"/>
  <c r="ES315" i="1"/>
  <c r="EQ316" i="1"/>
  <c r="ER316" i="1"/>
  <c r="ET316" i="1" s="1"/>
  <c r="ES316" i="1"/>
  <c r="EQ317" i="1"/>
  <c r="ER317" i="1"/>
  <c r="ET317" i="1" s="1"/>
  <c r="ES317" i="1"/>
  <c r="EQ318" i="1"/>
  <c r="ER318" i="1"/>
  <c r="ET318" i="1" s="1"/>
  <c r="ES318" i="1"/>
  <c r="EQ319" i="1"/>
  <c r="ER319" i="1"/>
  <c r="ET319" i="1" s="1"/>
  <c r="ES319" i="1"/>
  <c r="EQ320" i="1"/>
  <c r="ER320" i="1"/>
  <c r="ET320" i="1" s="1"/>
  <c r="ES320" i="1"/>
  <c r="EQ321" i="1"/>
  <c r="ER321" i="1"/>
  <c r="ET321" i="1" s="1"/>
  <c r="ES321" i="1"/>
  <c r="EQ322" i="1"/>
  <c r="ER322" i="1"/>
  <c r="ET322" i="1" s="1"/>
  <c r="ES322" i="1"/>
  <c r="EQ323" i="1"/>
  <c r="ER323" i="1"/>
  <c r="ET323" i="1" s="1"/>
  <c r="ES323" i="1"/>
  <c r="EQ324" i="1"/>
  <c r="ER324" i="1"/>
  <c r="ET324" i="1" s="1"/>
  <c r="ES324" i="1"/>
  <c r="EQ325" i="1"/>
  <c r="ER325" i="1"/>
  <c r="ET325" i="1" s="1"/>
  <c r="ES325" i="1"/>
  <c r="EQ326" i="1"/>
  <c r="ER326" i="1"/>
  <c r="ET326" i="1" s="1"/>
  <c r="ES326" i="1"/>
  <c r="EQ327" i="1"/>
  <c r="ER327" i="1"/>
  <c r="ET327" i="1" s="1"/>
  <c r="ES327" i="1"/>
  <c r="EQ328" i="1"/>
  <c r="ER328" i="1"/>
  <c r="ET328" i="1" s="1"/>
  <c r="ES328" i="1"/>
  <c r="EQ329" i="1"/>
  <c r="ER329" i="1"/>
  <c r="ET329" i="1" s="1"/>
  <c r="ES329" i="1"/>
  <c r="EQ330" i="1"/>
  <c r="ER330" i="1"/>
  <c r="ET330" i="1" s="1"/>
  <c r="ES330" i="1"/>
  <c r="EQ331" i="1"/>
  <c r="ER331" i="1"/>
  <c r="ET331" i="1" s="1"/>
  <c r="ES331" i="1"/>
  <c r="EQ332" i="1"/>
  <c r="ER332" i="1"/>
  <c r="ET332" i="1" s="1"/>
  <c r="ES332" i="1"/>
  <c r="EQ333" i="1"/>
  <c r="ER333" i="1"/>
  <c r="ET333" i="1" s="1"/>
  <c r="ES333" i="1"/>
  <c r="EQ334" i="1"/>
  <c r="ER334" i="1"/>
  <c r="ET334" i="1" s="1"/>
  <c r="ES334" i="1"/>
  <c r="EQ335" i="1"/>
  <c r="ER335" i="1"/>
  <c r="ET335" i="1" s="1"/>
  <c r="ES335" i="1"/>
  <c r="EQ336" i="1"/>
  <c r="ER336" i="1"/>
  <c r="ET336" i="1" s="1"/>
  <c r="ES336" i="1"/>
  <c r="EQ337" i="1"/>
  <c r="ER337" i="1"/>
  <c r="ET337" i="1" s="1"/>
  <c r="ES337" i="1"/>
  <c r="EQ338" i="1"/>
  <c r="ER338" i="1"/>
  <c r="ET338" i="1" s="1"/>
  <c r="ES338" i="1"/>
  <c r="EQ339" i="1"/>
  <c r="ER339" i="1"/>
  <c r="ET339" i="1" s="1"/>
  <c r="ES339" i="1"/>
  <c r="EQ340" i="1"/>
  <c r="ER340" i="1"/>
  <c r="ET340" i="1" s="1"/>
  <c r="ES340" i="1"/>
  <c r="EQ341" i="1"/>
  <c r="ER341" i="1"/>
  <c r="ET341" i="1" s="1"/>
  <c r="ES341" i="1"/>
  <c r="EQ342" i="1"/>
  <c r="ER342" i="1"/>
  <c r="ET342" i="1" s="1"/>
  <c r="ES342" i="1"/>
  <c r="EQ343" i="1"/>
  <c r="ER343" i="1"/>
  <c r="ET343" i="1" s="1"/>
  <c r="ES343" i="1"/>
  <c r="EQ344" i="1"/>
  <c r="ER344" i="1"/>
  <c r="ET344" i="1" s="1"/>
  <c r="ES344" i="1"/>
  <c r="EQ345" i="1"/>
  <c r="ER345" i="1"/>
  <c r="ET345" i="1" s="1"/>
  <c r="ES345" i="1"/>
  <c r="EQ346" i="1"/>
  <c r="ER346" i="1"/>
  <c r="ET346" i="1" s="1"/>
  <c r="ES346" i="1"/>
  <c r="EQ347" i="1"/>
  <c r="ER347" i="1"/>
  <c r="ET347" i="1" s="1"/>
  <c r="ES347" i="1"/>
  <c r="EQ348" i="1"/>
  <c r="ER348" i="1"/>
  <c r="ET348" i="1" s="1"/>
  <c r="ES348" i="1"/>
  <c r="ES4" i="1"/>
  <c r="ER4" i="1"/>
  <c r="ET4" i="1" s="1"/>
  <c r="EQ4" i="1"/>
  <c r="EB4" i="1"/>
  <c r="EB6" i="1"/>
  <c r="EB7" i="1"/>
  <c r="EC7" i="1"/>
  <c r="ED7" i="1"/>
  <c r="EB9" i="1"/>
  <c r="EB10" i="1"/>
  <c r="EB11" i="1"/>
  <c r="EC11" i="1"/>
  <c r="ED11" i="1"/>
  <c r="EB12" i="1"/>
  <c r="EC12" i="1"/>
  <c r="ED12" i="1"/>
  <c r="EB13" i="1"/>
  <c r="EB14" i="1"/>
  <c r="EC14" i="1"/>
  <c r="ED14" i="1"/>
  <c r="EB15" i="1"/>
  <c r="EB16" i="1"/>
  <c r="EB17" i="1"/>
  <c r="EB18" i="1"/>
  <c r="EC18" i="1"/>
  <c r="ED18" i="1"/>
  <c r="EB20" i="1"/>
  <c r="EB21" i="1"/>
  <c r="EB22" i="1"/>
  <c r="EB23" i="1"/>
  <c r="EB24" i="1"/>
  <c r="EB25" i="1"/>
  <c r="EC25" i="1"/>
  <c r="ED25" i="1"/>
  <c r="EB27" i="1"/>
  <c r="EB28" i="1"/>
  <c r="EC28" i="1"/>
  <c r="ED28" i="1"/>
  <c r="EB29" i="1"/>
  <c r="EB30" i="1"/>
  <c r="EB31" i="1"/>
  <c r="EB32" i="1"/>
  <c r="EC32" i="1"/>
  <c r="ED32" i="1"/>
  <c r="EB33" i="1"/>
  <c r="EB34" i="1"/>
  <c r="EB35" i="1"/>
  <c r="EC35" i="1"/>
  <c r="ED35" i="1"/>
  <c r="EB36" i="1"/>
  <c r="EB38" i="1"/>
  <c r="EC38" i="1"/>
  <c r="ED38" i="1"/>
  <c r="EB39" i="1"/>
  <c r="EB40" i="1"/>
  <c r="EB41" i="1"/>
  <c r="EC41" i="1"/>
  <c r="ED41" i="1"/>
  <c r="EB42" i="1"/>
  <c r="EB43" i="1"/>
  <c r="EB44" i="1"/>
  <c r="EB45" i="1"/>
  <c r="EB47" i="1"/>
  <c r="EC47" i="1"/>
  <c r="ED47" i="1"/>
  <c r="EB48" i="1"/>
  <c r="EB49" i="1"/>
  <c r="EC49" i="1"/>
  <c r="ED49" i="1"/>
  <c r="EB51" i="1"/>
  <c r="EB52" i="1"/>
  <c r="EB54" i="1"/>
  <c r="EC54" i="1"/>
  <c r="ED54" i="1"/>
  <c r="EB55" i="1"/>
  <c r="EB56" i="1"/>
  <c r="EB57" i="1"/>
  <c r="EB58" i="1"/>
  <c r="EB59" i="1"/>
  <c r="EC59" i="1"/>
  <c r="ED59" i="1"/>
  <c r="EB60" i="1"/>
  <c r="EB61" i="1"/>
  <c r="EC61" i="1"/>
  <c r="ED61" i="1"/>
  <c r="EB62" i="1"/>
  <c r="EB64" i="1"/>
  <c r="EC64" i="1"/>
  <c r="ED64" i="1"/>
  <c r="EB65" i="1"/>
  <c r="EB66" i="1"/>
  <c r="EB67" i="1"/>
  <c r="EB68" i="1"/>
  <c r="EB69" i="1"/>
  <c r="EC69" i="1"/>
  <c r="ED69" i="1"/>
  <c r="EB70" i="1"/>
  <c r="EB71" i="1"/>
  <c r="EB72" i="1"/>
  <c r="EC72" i="1"/>
  <c r="ED72" i="1"/>
  <c r="EB73" i="1"/>
  <c r="EB74" i="1"/>
  <c r="EB75" i="1"/>
  <c r="EC75" i="1"/>
  <c r="ED75" i="1"/>
  <c r="EB77" i="1"/>
  <c r="EB78" i="1"/>
  <c r="EC78" i="1"/>
  <c r="ED78" i="1"/>
  <c r="EB79" i="1"/>
  <c r="EB80" i="1"/>
  <c r="EC80" i="1"/>
  <c r="ED80" i="1"/>
  <c r="EB81" i="1"/>
  <c r="EB82" i="1"/>
  <c r="EB83" i="1"/>
  <c r="EB85" i="1"/>
  <c r="EB87" i="1"/>
  <c r="EB88" i="1"/>
  <c r="EB89" i="1"/>
  <c r="EB90" i="1"/>
  <c r="EC90" i="1"/>
  <c r="ED90" i="1"/>
  <c r="EB91" i="1"/>
  <c r="EC91" i="1"/>
  <c r="ED91" i="1"/>
  <c r="EB92" i="1"/>
  <c r="EC92" i="1"/>
  <c r="ED92" i="1"/>
  <c r="EB94" i="1"/>
  <c r="EB95" i="1"/>
  <c r="EB96" i="1"/>
  <c r="EB97" i="1"/>
  <c r="EC97" i="1"/>
  <c r="ED97" i="1"/>
  <c r="EB98" i="1"/>
  <c r="EB99" i="1"/>
  <c r="EB100" i="1"/>
  <c r="EC100" i="1"/>
  <c r="ED100" i="1"/>
  <c r="EB102" i="1"/>
  <c r="EB103" i="1"/>
  <c r="EB104" i="1"/>
  <c r="EB105" i="1"/>
  <c r="EB106" i="1"/>
  <c r="EC106" i="1"/>
  <c r="ED106" i="1"/>
  <c r="EB107" i="1"/>
  <c r="EC107" i="1"/>
  <c r="ED107" i="1"/>
  <c r="EB108" i="1"/>
  <c r="EC108" i="1"/>
  <c r="ED108" i="1"/>
  <c r="EB109" i="1"/>
  <c r="EB110" i="1"/>
  <c r="EC110" i="1"/>
  <c r="ED110" i="1"/>
  <c r="EB112" i="1"/>
  <c r="EB113" i="1"/>
  <c r="EB114" i="1"/>
  <c r="EB115" i="1"/>
  <c r="EB116" i="1"/>
  <c r="EC116" i="1"/>
  <c r="ED116" i="1"/>
  <c r="EB117" i="1"/>
  <c r="EB118" i="1"/>
  <c r="EB121" i="1"/>
  <c r="EC121" i="1"/>
  <c r="ED121" i="1"/>
  <c r="EB123" i="1"/>
  <c r="EC123" i="1"/>
  <c r="ED123" i="1"/>
  <c r="EB125" i="1"/>
  <c r="EB126" i="1"/>
  <c r="EC126" i="1"/>
  <c r="ED126" i="1"/>
  <c r="EB127" i="1"/>
  <c r="EB129" i="1"/>
  <c r="EB130" i="1"/>
  <c r="EC130" i="1"/>
  <c r="ED130" i="1"/>
  <c r="EB131" i="1"/>
  <c r="EB132" i="1"/>
  <c r="EB133" i="1"/>
  <c r="EB136" i="1"/>
  <c r="EB137" i="1"/>
  <c r="EB138" i="1"/>
  <c r="EC138" i="1"/>
  <c r="ED138" i="1"/>
  <c r="EB139" i="1"/>
  <c r="EB140" i="1"/>
  <c r="EB141" i="1"/>
  <c r="EC141" i="1"/>
  <c r="ED141" i="1"/>
  <c r="EB143" i="1"/>
  <c r="EB144" i="1"/>
  <c r="EC144" i="1"/>
  <c r="ED144" i="1"/>
  <c r="EB145" i="1"/>
  <c r="EB146" i="1"/>
  <c r="EB148" i="1"/>
  <c r="EB149" i="1"/>
  <c r="EB150" i="1"/>
  <c r="EB153" i="1"/>
  <c r="EB154" i="1"/>
  <c r="EC154" i="1"/>
  <c r="ED154" i="1"/>
  <c r="EB155" i="1"/>
  <c r="EB156" i="1"/>
  <c r="EC156" i="1"/>
  <c r="ED156" i="1"/>
  <c r="EB158" i="1"/>
  <c r="EB159" i="1"/>
  <c r="EB161" i="1"/>
  <c r="EB162" i="1"/>
  <c r="EB163" i="1"/>
  <c r="EC163" i="1"/>
  <c r="ED163" i="1"/>
  <c r="EB164" i="1"/>
  <c r="EB165" i="1"/>
  <c r="EC165" i="1"/>
  <c r="ED165" i="1"/>
  <c r="EB167" i="1"/>
  <c r="EC167" i="1"/>
  <c r="ED167" i="1"/>
  <c r="EB169" i="1"/>
  <c r="EB170" i="1"/>
  <c r="EB171" i="1"/>
  <c r="EB172" i="1"/>
  <c r="EB173" i="1"/>
  <c r="EB174" i="1"/>
  <c r="EB175" i="1"/>
  <c r="EC175" i="1"/>
  <c r="ED175" i="1"/>
  <c r="EB176" i="1"/>
  <c r="EC176" i="1"/>
  <c r="ED176" i="1"/>
  <c r="EB177" i="1"/>
  <c r="EB178" i="1"/>
  <c r="EB179" i="1"/>
  <c r="EB180" i="1"/>
  <c r="EC180" i="1"/>
  <c r="ED180" i="1"/>
  <c r="EB181" i="1"/>
  <c r="EB183" i="1"/>
  <c r="EC183" i="1"/>
  <c r="ED183" i="1"/>
  <c r="EB184" i="1"/>
  <c r="EC184" i="1"/>
  <c r="ED184" i="1"/>
  <c r="EB185" i="1"/>
  <c r="EB186" i="1"/>
  <c r="EB187" i="1"/>
  <c r="EB188" i="1"/>
  <c r="EC188" i="1"/>
  <c r="ED188" i="1"/>
  <c r="EB189" i="1"/>
  <c r="EB191" i="1"/>
  <c r="EB192" i="1"/>
  <c r="EC192" i="1"/>
  <c r="ED192" i="1"/>
  <c r="EB194" i="1"/>
  <c r="EB196" i="1"/>
  <c r="EB197" i="1"/>
  <c r="EB198" i="1"/>
  <c r="EC198" i="1"/>
  <c r="ED198" i="1"/>
  <c r="EB199" i="1"/>
  <c r="EB201" i="1"/>
  <c r="EC201" i="1"/>
  <c r="ED201" i="1"/>
  <c r="EB202" i="1"/>
  <c r="EB203" i="1"/>
  <c r="EC203" i="1"/>
  <c r="ED203" i="1"/>
  <c r="EB204" i="1"/>
  <c r="EC204" i="1"/>
  <c r="ED204" i="1"/>
  <c r="EB205" i="1"/>
  <c r="EB206" i="1"/>
  <c r="EB208" i="1"/>
  <c r="EC208" i="1"/>
  <c r="ED208" i="1"/>
  <c r="EB209" i="1"/>
  <c r="EB210" i="1"/>
  <c r="EC210" i="1"/>
  <c r="ED210" i="1"/>
  <c r="EB212" i="1"/>
  <c r="EC212" i="1"/>
  <c r="ED212" i="1"/>
  <c r="EB213" i="1"/>
  <c r="EB215" i="1"/>
  <c r="EB216" i="1"/>
  <c r="EB217" i="1"/>
  <c r="EC217" i="1"/>
  <c r="ED217" i="1"/>
  <c r="EB218" i="1"/>
  <c r="EB220" i="1"/>
  <c r="EB222" i="1"/>
  <c r="EB223" i="1"/>
  <c r="EB224" i="1"/>
  <c r="EC224" i="1"/>
  <c r="ED224" i="1"/>
  <c r="EB225" i="1"/>
  <c r="EC225" i="1"/>
  <c r="ED225" i="1"/>
  <c r="EB226" i="1"/>
  <c r="EC226" i="1"/>
  <c r="ED226" i="1"/>
  <c r="EB227" i="1"/>
  <c r="EC227" i="1"/>
  <c r="ED227" i="1"/>
  <c r="EB228" i="1"/>
  <c r="EB229" i="1"/>
  <c r="EB230" i="1"/>
  <c r="EC230" i="1"/>
  <c r="ED230" i="1"/>
  <c r="EB232" i="1"/>
  <c r="EB234" i="1"/>
  <c r="EC234" i="1"/>
  <c r="ED234" i="1"/>
  <c r="EB235" i="1"/>
  <c r="EC235" i="1"/>
  <c r="ED235" i="1"/>
  <c r="EB237" i="1"/>
  <c r="EB238" i="1"/>
  <c r="EB239" i="1"/>
  <c r="EB240" i="1"/>
  <c r="EC240" i="1"/>
  <c r="ED240" i="1"/>
  <c r="EB241" i="1"/>
  <c r="EB243" i="1"/>
  <c r="EC243" i="1"/>
  <c r="ED243" i="1"/>
  <c r="EB244" i="1"/>
  <c r="EB245" i="1"/>
  <c r="EC245" i="1"/>
  <c r="ED245" i="1"/>
  <c r="EB246" i="1"/>
  <c r="EB247" i="1"/>
  <c r="EB250" i="1"/>
  <c r="EC250" i="1"/>
  <c r="ED250" i="1"/>
  <c r="EB251" i="1"/>
  <c r="EB252" i="1"/>
  <c r="EB253" i="1"/>
  <c r="EB254" i="1"/>
  <c r="EB255" i="1"/>
  <c r="EC255" i="1"/>
  <c r="ED255" i="1"/>
  <c r="EB256" i="1"/>
  <c r="EB257" i="1"/>
  <c r="EC257" i="1"/>
  <c r="ED257" i="1"/>
  <c r="EB258" i="1"/>
  <c r="EC258" i="1"/>
  <c r="ED258" i="1"/>
  <c r="EB259" i="1"/>
  <c r="EC259" i="1"/>
  <c r="ED259" i="1"/>
  <c r="EB260" i="1"/>
  <c r="EB262" i="1"/>
  <c r="EB263" i="1"/>
  <c r="EC263" i="1"/>
  <c r="ED263" i="1"/>
  <c r="EB264" i="1"/>
  <c r="EB265" i="1"/>
  <c r="EB266" i="1"/>
  <c r="EB267" i="1"/>
  <c r="EB268" i="1"/>
  <c r="EB270" i="1"/>
  <c r="EB271" i="1"/>
  <c r="EC271" i="1"/>
  <c r="ED271" i="1"/>
  <c r="EB272" i="1"/>
  <c r="EB273" i="1"/>
  <c r="EC273" i="1"/>
  <c r="ED273" i="1"/>
  <c r="EB274" i="1"/>
  <c r="EB276" i="1"/>
  <c r="EB277" i="1"/>
  <c r="EB278" i="1"/>
  <c r="EC278" i="1"/>
  <c r="ED278" i="1"/>
  <c r="EB279" i="1"/>
  <c r="EC279" i="1"/>
  <c r="ED279" i="1"/>
  <c r="EB280" i="1"/>
  <c r="EB281" i="1"/>
  <c r="EB282" i="1"/>
  <c r="EC282" i="1"/>
  <c r="ED282" i="1"/>
  <c r="EB283" i="1"/>
  <c r="EC283" i="1"/>
  <c r="ED283" i="1"/>
  <c r="EB284" i="1"/>
  <c r="EB285" i="1"/>
  <c r="EB287" i="1"/>
  <c r="EB288" i="1"/>
  <c r="EB289" i="1"/>
  <c r="EB290" i="1"/>
  <c r="EB291" i="1"/>
  <c r="EC291" i="1"/>
  <c r="ED291" i="1"/>
  <c r="EB292" i="1"/>
  <c r="EB295" i="1"/>
  <c r="EB297" i="1"/>
  <c r="EB298" i="1"/>
  <c r="EB299" i="1"/>
  <c r="EB300" i="1"/>
  <c r="EC300" i="1"/>
  <c r="ED300" i="1"/>
  <c r="EB301" i="1"/>
  <c r="EB302" i="1"/>
  <c r="EB303" i="1"/>
  <c r="EC303" i="1"/>
  <c r="ED303" i="1"/>
  <c r="EB304" i="1"/>
  <c r="EB305" i="1"/>
  <c r="EC305" i="1"/>
  <c r="ED305" i="1"/>
  <c r="EB306" i="1"/>
  <c r="EB307" i="1"/>
  <c r="EC307" i="1"/>
  <c r="ED307" i="1"/>
  <c r="EB309" i="1"/>
  <c r="EB310" i="1"/>
  <c r="EC310" i="1"/>
  <c r="ED310" i="1"/>
  <c r="EB311" i="1"/>
  <c r="EC311" i="1"/>
  <c r="ED311" i="1"/>
  <c r="EB312" i="1"/>
  <c r="EB314" i="1"/>
  <c r="EB315" i="1"/>
  <c r="EB316" i="1"/>
  <c r="EC316" i="1"/>
  <c r="ED316" i="1"/>
  <c r="EB317" i="1"/>
  <c r="EB318" i="1"/>
  <c r="EB319" i="1"/>
  <c r="EB320" i="1"/>
  <c r="EB322" i="1"/>
  <c r="EB324" i="1"/>
  <c r="EC324" i="1"/>
  <c r="ED324" i="1"/>
  <c r="EB325" i="1"/>
  <c r="EC325" i="1"/>
  <c r="ED325" i="1"/>
  <c r="EB326" i="1"/>
  <c r="EB327" i="1"/>
  <c r="EC327" i="1"/>
  <c r="ED327" i="1"/>
  <c r="EB328" i="1"/>
  <c r="EC328" i="1"/>
  <c r="ED328" i="1"/>
  <c r="EB329" i="1"/>
  <c r="EC329" i="1"/>
  <c r="ED329" i="1"/>
  <c r="EB330" i="1"/>
  <c r="EB331" i="1"/>
  <c r="EB334" i="1"/>
  <c r="EB335" i="1"/>
  <c r="EC335" i="1"/>
  <c r="ED335" i="1"/>
  <c r="EB336" i="1"/>
  <c r="EC336" i="1"/>
  <c r="ED336" i="1"/>
  <c r="EB337" i="1"/>
  <c r="EC337" i="1"/>
  <c r="ED337" i="1"/>
  <c r="EB339" i="1"/>
  <c r="EB341" i="1"/>
  <c r="EC341" i="1"/>
  <c r="ED341" i="1"/>
  <c r="EB342" i="1"/>
  <c r="EC342" i="1"/>
  <c r="ED342" i="1"/>
  <c r="EB344" i="1"/>
  <c r="EC344" i="1"/>
  <c r="ED344" i="1"/>
  <c r="EB345" i="1"/>
  <c r="EB346" i="1"/>
  <c r="EB347" i="1"/>
  <c r="EB348" i="1"/>
  <c r="EB349" i="1"/>
  <c r="EC349" i="1"/>
  <c r="ED349" i="1"/>
  <c r="EB350" i="1"/>
  <c r="EC350" i="1"/>
  <c r="ED350" i="1"/>
  <c r="EB352" i="1"/>
  <c r="EB353" i="1"/>
  <c r="EC353" i="1"/>
  <c r="ED353" i="1"/>
  <c r="EB354" i="1"/>
  <c r="EB357" i="1"/>
  <c r="EC357" i="1"/>
  <c r="ED357" i="1"/>
  <c r="EB358" i="1"/>
  <c r="EB359" i="1"/>
  <c r="EB360" i="1"/>
  <c r="EB362" i="1"/>
  <c r="EB363" i="1"/>
  <c r="EC363" i="1"/>
  <c r="ED363" i="1"/>
  <c r="EB365" i="1"/>
  <c r="EC365" i="1"/>
  <c r="ED365" i="1"/>
  <c r="EB366" i="1"/>
  <c r="EB367" i="1"/>
  <c r="EB368" i="1"/>
  <c r="EB369" i="1"/>
  <c r="EC369" i="1"/>
  <c r="ED369" i="1"/>
  <c r="EB370" i="1"/>
  <c r="EC370" i="1"/>
  <c r="ED370" i="1"/>
  <c r="EB371" i="1"/>
  <c r="EB372" i="1"/>
  <c r="EB373" i="1"/>
  <c r="EB374" i="1"/>
  <c r="EB375" i="1"/>
  <c r="EB376" i="1"/>
  <c r="EC376" i="1"/>
  <c r="ED376" i="1"/>
  <c r="EB377" i="1"/>
  <c r="EC377" i="1"/>
  <c r="ED377" i="1"/>
  <c r="EB378" i="1"/>
  <c r="EB380" i="1"/>
  <c r="EC380" i="1"/>
  <c r="ED380" i="1"/>
  <c r="EB381" i="1"/>
  <c r="EB382" i="1"/>
  <c r="EB383" i="1"/>
  <c r="EB384" i="1"/>
  <c r="EC384" i="1"/>
  <c r="ED384" i="1"/>
  <c r="EB385" i="1"/>
  <c r="EB386" i="1"/>
  <c r="EC386" i="1"/>
  <c r="ED386" i="1"/>
  <c r="EB387" i="1"/>
  <c r="EB389" i="1"/>
  <c r="EB390" i="1"/>
  <c r="EB391" i="1"/>
  <c r="EB392" i="1"/>
  <c r="EC392" i="1"/>
  <c r="ED392" i="1"/>
  <c r="EB393" i="1"/>
  <c r="EC393" i="1"/>
  <c r="ED393" i="1"/>
  <c r="EB394" i="1"/>
  <c r="EB395" i="1"/>
  <c r="EB396" i="1"/>
  <c r="EC396" i="1"/>
  <c r="ED396" i="1"/>
  <c r="EB397" i="1"/>
  <c r="EB398" i="1"/>
  <c r="EB400" i="1"/>
  <c r="EB401" i="1"/>
  <c r="EC401" i="1"/>
  <c r="ED401" i="1"/>
  <c r="EB402" i="1"/>
  <c r="EB403" i="1"/>
  <c r="EB404" i="1"/>
  <c r="EB405" i="1"/>
  <c r="EB406" i="1"/>
  <c r="EB407" i="1"/>
  <c r="EB409" i="1"/>
  <c r="EC409" i="1"/>
  <c r="ED409" i="1"/>
  <c r="EB410" i="1"/>
  <c r="EC410" i="1"/>
  <c r="ED410" i="1"/>
  <c r="EB411" i="1"/>
  <c r="EB412" i="1"/>
  <c r="EB413" i="1"/>
  <c r="EB414" i="1"/>
  <c r="EB415" i="1"/>
  <c r="EB416" i="1"/>
  <c r="EC416" i="1"/>
  <c r="ED416" i="1"/>
  <c r="EB417" i="1"/>
  <c r="EB418" i="1"/>
  <c r="EC418" i="1"/>
  <c r="ED418" i="1"/>
  <c r="EB419" i="1"/>
  <c r="EB420" i="1"/>
  <c r="EB421" i="1"/>
  <c r="EC421" i="1"/>
  <c r="ED421" i="1"/>
  <c r="EB423" i="1"/>
  <c r="EC423" i="1"/>
  <c r="ED423" i="1"/>
  <c r="EB425" i="1"/>
  <c r="EB426" i="1"/>
  <c r="EB427" i="1"/>
  <c r="EB428" i="1"/>
  <c r="EB429" i="1"/>
  <c r="EC429" i="1"/>
  <c r="ED429" i="1"/>
  <c r="EB431" i="1"/>
  <c r="EB432" i="1"/>
  <c r="EC432" i="1"/>
  <c r="ED432" i="1"/>
  <c r="EB433" i="1"/>
  <c r="EB434" i="1"/>
  <c r="EC434" i="1"/>
  <c r="ED434" i="1"/>
  <c r="EB436" i="1"/>
  <c r="EB437" i="1"/>
  <c r="EB438" i="1"/>
  <c r="EC438" i="1"/>
  <c r="ED438" i="1"/>
  <c r="EB439" i="1"/>
  <c r="EC439" i="1"/>
  <c r="ED439" i="1"/>
  <c r="EB440" i="1"/>
  <c r="EB441" i="1"/>
  <c r="EC441" i="1"/>
  <c r="ED441" i="1"/>
  <c r="EB443" i="1"/>
  <c r="EC443" i="1"/>
  <c r="ED443" i="1"/>
  <c r="EB444" i="1"/>
  <c r="EB445" i="1"/>
  <c r="EB446" i="1"/>
  <c r="EB447" i="1"/>
  <c r="EC447" i="1"/>
  <c r="ED447" i="1"/>
  <c r="EB449" i="1"/>
  <c r="EC449" i="1"/>
  <c r="ED449" i="1"/>
  <c r="EB450" i="1"/>
  <c r="EB451" i="1"/>
  <c r="EB453" i="1"/>
  <c r="EC453" i="1"/>
  <c r="ED453" i="1"/>
  <c r="EB455" i="1"/>
  <c r="EC455" i="1"/>
  <c r="ED455" i="1"/>
  <c r="EB456" i="1"/>
  <c r="EC456" i="1"/>
  <c r="ED456" i="1"/>
  <c r="EB457" i="1"/>
  <c r="EB458" i="1"/>
  <c r="EB459" i="1"/>
  <c r="EB460" i="1"/>
  <c r="EC460" i="1"/>
  <c r="ED460" i="1"/>
  <c r="EB462" i="1"/>
  <c r="EB463" i="1"/>
  <c r="EC463" i="1"/>
  <c r="ED463" i="1"/>
  <c r="EB464" i="1"/>
  <c r="EB465" i="1"/>
  <c r="EB466" i="1"/>
  <c r="EB467" i="1"/>
  <c r="EB468" i="1"/>
  <c r="EC468" i="1"/>
  <c r="ED468" i="1"/>
  <c r="EB469" i="1"/>
  <c r="EB470" i="1"/>
  <c r="EB471" i="1"/>
  <c r="EC471" i="1"/>
  <c r="ED471" i="1"/>
  <c r="EB473" i="1"/>
  <c r="EB475" i="1"/>
  <c r="EB476" i="1"/>
  <c r="EC476" i="1"/>
  <c r="ED476" i="1"/>
  <c r="EB477" i="1"/>
  <c r="EB478" i="1"/>
  <c r="EB479" i="1"/>
  <c r="EC479" i="1"/>
  <c r="ED479" i="1"/>
  <c r="EB481" i="1"/>
  <c r="EB482" i="1"/>
  <c r="EB484" i="1"/>
  <c r="EB485" i="1"/>
  <c r="EB486" i="1"/>
  <c r="EB487" i="1"/>
  <c r="EC487" i="1"/>
  <c r="ED487" i="1"/>
  <c r="EB488" i="1"/>
  <c r="EB489" i="1"/>
  <c r="EB492" i="1"/>
  <c r="EC492" i="1"/>
  <c r="ED492" i="1"/>
  <c r="EB493" i="1"/>
  <c r="EB494" i="1"/>
  <c r="EC494" i="1"/>
  <c r="ED494" i="1"/>
  <c r="EB495" i="1"/>
  <c r="EC495" i="1"/>
  <c r="ED495" i="1"/>
  <c r="EB496" i="1"/>
  <c r="EB497" i="1"/>
  <c r="EC497" i="1"/>
  <c r="ED497" i="1"/>
  <c r="EB498" i="1"/>
  <c r="EB499" i="1"/>
  <c r="EB500" i="1"/>
  <c r="EB501" i="1"/>
  <c r="EB502" i="1"/>
  <c r="EB503" i="1"/>
  <c r="EC503" i="1"/>
  <c r="ED503" i="1"/>
  <c r="EB504" i="1"/>
  <c r="EB505" i="1"/>
  <c r="EB506" i="1"/>
  <c r="EC506" i="1"/>
  <c r="ED506" i="1"/>
  <c r="EB508" i="1"/>
  <c r="F516" i="1"/>
  <c r="F515" i="1"/>
  <c r="F514" i="1"/>
  <c r="F513" i="1"/>
  <c r="F512" i="1"/>
  <c r="F511" i="1"/>
  <c r="B511" i="1"/>
  <c r="B512" i="1"/>
  <c r="B513" i="1"/>
  <c r="B514" i="1"/>
  <c r="B515" i="1"/>
  <c r="B516" i="1"/>
  <c r="BL511" i="6"/>
  <c r="BM511" i="6"/>
  <c r="BN511" i="6"/>
  <c r="BO511" i="6"/>
  <c r="EC517" i="1" l="1"/>
  <c r="EE517" i="1" s="1"/>
  <c r="DZ514" i="1"/>
  <c r="DZ511" i="1"/>
  <c r="AK516" i="1"/>
  <c r="AH516" i="1"/>
  <c r="DR515" i="1"/>
  <c r="BL515" i="1"/>
  <c r="BN515" i="1"/>
  <c r="EG515" i="1"/>
  <c r="BN512" i="1"/>
  <c r="EG512" i="1"/>
  <c r="DR512" i="1"/>
  <c r="BL512" i="1"/>
  <c r="BS516" i="1"/>
  <c r="BN511" i="1"/>
  <c r="BL511" i="1"/>
  <c r="EG516" i="1"/>
  <c r="DR516" i="1"/>
  <c r="BL516" i="1"/>
  <c r="BN516" i="1"/>
  <c r="BN513" i="1"/>
  <c r="CB513" i="1"/>
  <c r="BL513" i="1"/>
  <c r="BS515" i="1"/>
  <c r="BN514" i="1"/>
  <c r="BL514" i="1"/>
  <c r="EK511" i="1"/>
  <c r="BS514" i="1"/>
  <c r="CB515" i="1"/>
  <c r="DV513" i="1"/>
  <c r="EK514" i="1"/>
  <c r="DV515" i="1"/>
  <c r="DV516" i="1"/>
  <c r="EK516" i="1"/>
  <c r="CB511" i="1"/>
  <c r="BS513" i="1"/>
  <c r="BS512" i="1"/>
  <c r="CB512" i="1"/>
  <c r="CB516" i="1"/>
  <c r="DV512" i="1"/>
  <c r="EK515" i="1"/>
  <c r="BS511" i="1"/>
  <c r="CB514" i="1"/>
  <c r="AH515" i="1"/>
  <c r="AK515" i="1"/>
  <c r="AK514" i="1"/>
  <c r="CH515" i="1"/>
  <c r="AH514" i="1"/>
  <c r="AH513" i="1"/>
  <c r="AK513" i="1"/>
  <c r="CH513" i="1"/>
  <c r="AK512" i="1"/>
  <c r="AH512" i="1"/>
  <c r="AK511" i="1"/>
  <c r="AH511" i="1"/>
  <c r="L102" i="33"/>
  <c r="L101" i="33"/>
  <c r="L100" i="33"/>
  <c r="L99" i="33"/>
  <c r="L98" i="33"/>
  <c r="L97" i="33"/>
  <c r="L96" i="33"/>
  <c r="L95" i="33"/>
  <c r="L94" i="33"/>
  <c r="L93" i="33"/>
  <c r="J102" i="33"/>
  <c r="J101" i="33"/>
  <c r="J100" i="33"/>
  <c r="J99" i="33"/>
  <c r="J98" i="33"/>
  <c r="J97" i="33"/>
  <c r="J96" i="33"/>
  <c r="J95" i="33"/>
  <c r="J94" i="33"/>
  <c r="J93" i="33"/>
  <c r="H102" i="33"/>
  <c r="H101" i="33"/>
  <c r="H100" i="33"/>
  <c r="H99" i="33"/>
  <c r="H98" i="33"/>
  <c r="H97" i="33"/>
  <c r="H96" i="33"/>
  <c r="H95" i="33"/>
  <c r="H94" i="33"/>
  <c r="H93" i="33"/>
  <c r="H89" i="33"/>
  <c r="F102" i="33"/>
  <c r="F101" i="33"/>
  <c r="F100" i="33"/>
  <c r="F99" i="33"/>
  <c r="F98" i="33"/>
  <c r="F97" i="33"/>
  <c r="F96" i="33"/>
  <c r="F95" i="33"/>
  <c r="F94" i="33"/>
  <c r="F93" i="33"/>
  <c r="EM512" i="1" l="1"/>
  <c r="EL512" i="1"/>
  <c r="EM515" i="1"/>
  <c r="EL515" i="1"/>
  <c r="CU515" i="1"/>
  <c r="CX515" i="1" s="1"/>
  <c r="CV515" i="1"/>
  <c r="CU516" i="1"/>
  <c r="CX516" i="1" s="1"/>
  <c r="CV516" i="1"/>
  <c r="EL516" i="1"/>
  <c r="EM516" i="1"/>
  <c r="DW516" i="1"/>
  <c r="DX516" i="1"/>
  <c r="DZ516" i="1" s="1"/>
  <c r="ED516" i="1" s="1"/>
  <c r="DX512" i="1"/>
  <c r="DZ512" i="1" s="1"/>
  <c r="DW512" i="1"/>
  <c r="DY512" i="1" s="1"/>
  <c r="DW515" i="1"/>
  <c r="DX515" i="1"/>
  <c r="DZ515" i="1" s="1"/>
  <c r="ED515" i="1" s="1"/>
  <c r="T377" i="34"/>
  <c r="S377" i="34"/>
  <c r="R377" i="34"/>
  <c r="Q377" i="34"/>
  <c r="P377" i="34"/>
  <c r="O377" i="34"/>
  <c r="N377" i="34"/>
  <c r="M377" i="34"/>
  <c r="T376" i="34"/>
  <c r="S376" i="34"/>
  <c r="R376" i="34"/>
  <c r="Q376" i="34"/>
  <c r="P376" i="34"/>
  <c r="O376" i="34"/>
  <c r="N376" i="34"/>
  <c r="M376" i="34"/>
  <c r="T375" i="34"/>
  <c r="S375" i="34"/>
  <c r="R375" i="34"/>
  <c r="Q375" i="34"/>
  <c r="P375" i="34"/>
  <c r="O375" i="34"/>
  <c r="N375" i="34"/>
  <c r="M375" i="34"/>
  <c r="T374" i="34"/>
  <c r="S374" i="34"/>
  <c r="R374" i="34"/>
  <c r="Q374" i="34"/>
  <c r="P374" i="34"/>
  <c r="O374" i="34"/>
  <c r="N374" i="34"/>
  <c r="M374" i="34"/>
  <c r="T373" i="34"/>
  <c r="S373" i="34"/>
  <c r="R373" i="34"/>
  <c r="Q373" i="34"/>
  <c r="P373" i="34"/>
  <c r="O373" i="34"/>
  <c r="N373" i="34"/>
  <c r="M373" i="34"/>
  <c r="T372" i="34"/>
  <c r="S372" i="34"/>
  <c r="R372" i="34"/>
  <c r="Q372" i="34"/>
  <c r="P372" i="34"/>
  <c r="O372" i="34"/>
  <c r="N372" i="34"/>
  <c r="M372" i="34"/>
  <c r="T371" i="34"/>
  <c r="S371" i="34"/>
  <c r="R371" i="34"/>
  <c r="Q371" i="34"/>
  <c r="P371" i="34"/>
  <c r="O371" i="34"/>
  <c r="N371" i="34"/>
  <c r="M371" i="34"/>
  <c r="T370" i="34"/>
  <c r="S370" i="34"/>
  <c r="R370" i="34"/>
  <c r="Q370" i="34"/>
  <c r="P370" i="34"/>
  <c r="O370" i="34"/>
  <c r="N370" i="34"/>
  <c r="M370" i="34"/>
  <c r="T369" i="34"/>
  <c r="S369" i="34"/>
  <c r="R369" i="34"/>
  <c r="Q369" i="34"/>
  <c r="P369" i="34"/>
  <c r="O369" i="34"/>
  <c r="N369" i="34"/>
  <c r="M369" i="34"/>
  <c r="T368" i="34"/>
  <c r="S368" i="34"/>
  <c r="R368" i="34"/>
  <c r="Q368" i="34"/>
  <c r="P368" i="34"/>
  <c r="O368" i="34"/>
  <c r="N368" i="34"/>
  <c r="M368" i="34"/>
  <c r="M188" i="34"/>
  <c r="N188" i="34"/>
  <c r="O188" i="34"/>
  <c r="P188" i="34"/>
  <c r="Q188" i="34"/>
  <c r="R188" i="34"/>
  <c r="S188" i="34"/>
  <c r="T188" i="34"/>
  <c r="M189" i="34"/>
  <c r="N189" i="34"/>
  <c r="O189" i="34"/>
  <c r="P189" i="34"/>
  <c r="Q189" i="34"/>
  <c r="R189" i="34"/>
  <c r="S189" i="34"/>
  <c r="T189" i="34"/>
  <c r="M190" i="34"/>
  <c r="N190" i="34"/>
  <c r="O190" i="34"/>
  <c r="P190" i="34"/>
  <c r="Q190" i="34"/>
  <c r="R190" i="34"/>
  <c r="S190" i="34"/>
  <c r="T190" i="34"/>
  <c r="M191" i="34"/>
  <c r="N191" i="34"/>
  <c r="O191" i="34"/>
  <c r="P191" i="34"/>
  <c r="Q191" i="34"/>
  <c r="R191" i="34"/>
  <c r="S191" i="34"/>
  <c r="T191" i="34"/>
  <c r="M192" i="34"/>
  <c r="N192" i="34"/>
  <c r="O192" i="34"/>
  <c r="P192" i="34"/>
  <c r="Q192" i="34"/>
  <c r="R192" i="34"/>
  <c r="S192" i="34"/>
  <c r="T192" i="34"/>
  <c r="M193" i="34"/>
  <c r="N193" i="34"/>
  <c r="O193" i="34"/>
  <c r="P193" i="34"/>
  <c r="Q193" i="34"/>
  <c r="R193" i="34"/>
  <c r="S193" i="34"/>
  <c r="T193" i="34"/>
  <c r="M194" i="34"/>
  <c r="N194" i="34"/>
  <c r="O194" i="34"/>
  <c r="P194" i="34"/>
  <c r="Q194" i="34"/>
  <c r="R194" i="34"/>
  <c r="S194" i="34"/>
  <c r="T194" i="34"/>
  <c r="M195" i="34"/>
  <c r="N195" i="34"/>
  <c r="O195" i="34"/>
  <c r="P195" i="34"/>
  <c r="Q195" i="34"/>
  <c r="R195" i="34"/>
  <c r="S195" i="34"/>
  <c r="T195" i="34"/>
  <c r="M196" i="34"/>
  <c r="N196" i="34"/>
  <c r="O196" i="34"/>
  <c r="P196" i="34"/>
  <c r="Q196" i="34"/>
  <c r="R196" i="34"/>
  <c r="S196" i="34"/>
  <c r="T196" i="34"/>
  <c r="M197" i="34"/>
  <c r="N197" i="34"/>
  <c r="O197" i="34"/>
  <c r="P197" i="34"/>
  <c r="Q197" i="34"/>
  <c r="R197" i="34"/>
  <c r="S197" i="34"/>
  <c r="T197" i="34"/>
  <c r="M198" i="34"/>
  <c r="N198" i="34"/>
  <c r="O198" i="34"/>
  <c r="P198" i="34"/>
  <c r="Q198" i="34"/>
  <c r="R198" i="34"/>
  <c r="S198" i="34"/>
  <c r="T198" i="34"/>
  <c r="M199" i="34"/>
  <c r="N199" i="34"/>
  <c r="O199" i="34"/>
  <c r="P199" i="34"/>
  <c r="Q199" i="34"/>
  <c r="R199" i="34"/>
  <c r="S199" i="34"/>
  <c r="T199" i="34"/>
  <c r="M200" i="34"/>
  <c r="N200" i="34"/>
  <c r="O200" i="34"/>
  <c r="P200" i="34"/>
  <c r="Q200" i="34"/>
  <c r="R200" i="34"/>
  <c r="S200" i="34"/>
  <c r="T200" i="34"/>
  <c r="M201" i="34"/>
  <c r="N201" i="34"/>
  <c r="O201" i="34"/>
  <c r="P201" i="34"/>
  <c r="Q201" i="34"/>
  <c r="R201" i="34"/>
  <c r="S201" i="34"/>
  <c r="T201" i="34"/>
  <c r="M202" i="34"/>
  <c r="N202" i="34"/>
  <c r="O202" i="34"/>
  <c r="P202" i="34"/>
  <c r="Q202" i="34"/>
  <c r="R202" i="34"/>
  <c r="S202" i="34"/>
  <c r="T202" i="34"/>
  <c r="M203" i="34"/>
  <c r="N203" i="34"/>
  <c r="O203" i="34"/>
  <c r="P203" i="34"/>
  <c r="Q203" i="34"/>
  <c r="R203" i="34"/>
  <c r="S203" i="34"/>
  <c r="T203" i="34"/>
  <c r="M139" i="34"/>
  <c r="N139" i="34"/>
  <c r="O139" i="34"/>
  <c r="P139" i="34"/>
  <c r="Q139" i="34"/>
  <c r="R139" i="34"/>
  <c r="S139" i="34"/>
  <c r="T139" i="34"/>
  <c r="M140" i="34"/>
  <c r="N140" i="34"/>
  <c r="O140" i="34"/>
  <c r="P140" i="34"/>
  <c r="Q140" i="34"/>
  <c r="R140" i="34"/>
  <c r="S140" i="34"/>
  <c r="T140" i="34"/>
  <c r="M141" i="34"/>
  <c r="N141" i="34"/>
  <c r="O141" i="34"/>
  <c r="P141" i="34"/>
  <c r="Q141" i="34"/>
  <c r="R141" i="34"/>
  <c r="S141" i="34"/>
  <c r="T141" i="34"/>
  <c r="M142" i="34"/>
  <c r="N142" i="34"/>
  <c r="O142" i="34"/>
  <c r="P142" i="34"/>
  <c r="Q142" i="34"/>
  <c r="R142" i="34"/>
  <c r="S142" i="34"/>
  <c r="T142" i="34"/>
  <c r="M143" i="34"/>
  <c r="N143" i="34"/>
  <c r="O143" i="34"/>
  <c r="P143" i="34"/>
  <c r="Q143" i="34"/>
  <c r="R143" i="34"/>
  <c r="S143" i="34"/>
  <c r="T143" i="34"/>
  <c r="M144" i="34"/>
  <c r="N144" i="34"/>
  <c r="O144" i="34"/>
  <c r="P144" i="34"/>
  <c r="Q144" i="34"/>
  <c r="R144" i="34"/>
  <c r="S144" i="34"/>
  <c r="T144" i="34"/>
  <c r="M145" i="34"/>
  <c r="N145" i="34"/>
  <c r="O145" i="34"/>
  <c r="P145" i="34"/>
  <c r="Q145" i="34"/>
  <c r="R145" i="34"/>
  <c r="S145" i="34"/>
  <c r="T145" i="34"/>
  <c r="M146" i="34"/>
  <c r="N146" i="34"/>
  <c r="O146" i="34"/>
  <c r="P146" i="34"/>
  <c r="Q146" i="34"/>
  <c r="R146" i="34"/>
  <c r="S146" i="34"/>
  <c r="T146" i="34"/>
  <c r="M147" i="34"/>
  <c r="N147" i="34"/>
  <c r="O147" i="34"/>
  <c r="P147" i="34"/>
  <c r="Q147" i="34"/>
  <c r="R147" i="34"/>
  <c r="S147" i="34"/>
  <c r="T147" i="34"/>
  <c r="M148" i="34"/>
  <c r="N148" i="34"/>
  <c r="O148" i="34"/>
  <c r="P148" i="34"/>
  <c r="Q148" i="34"/>
  <c r="R148" i="34"/>
  <c r="S148" i="34"/>
  <c r="T148" i="34"/>
  <c r="M149" i="34"/>
  <c r="N149" i="34"/>
  <c r="O149" i="34"/>
  <c r="P149" i="34"/>
  <c r="Q149" i="34"/>
  <c r="R149" i="34"/>
  <c r="S149" i="34"/>
  <c r="T149" i="34"/>
  <c r="M150" i="34"/>
  <c r="N150" i="34"/>
  <c r="O150" i="34"/>
  <c r="P150" i="34"/>
  <c r="Q150" i="34"/>
  <c r="R150" i="34"/>
  <c r="S150" i="34"/>
  <c r="T150" i="34"/>
  <c r="M151" i="34"/>
  <c r="N151" i="34"/>
  <c r="O151" i="34"/>
  <c r="P151" i="34"/>
  <c r="Q151" i="34"/>
  <c r="R151" i="34"/>
  <c r="S151" i="34"/>
  <c r="T151" i="34"/>
  <c r="M152" i="34"/>
  <c r="N152" i="34"/>
  <c r="O152" i="34"/>
  <c r="P152" i="34"/>
  <c r="Q152" i="34"/>
  <c r="R152" i="34"/>
  <c r="S152" i="34"/>
  <c r="T152" i="34"/>
  <c r="M153" i="34"/>
  <c r="N153" i="34"/>
  <c r="O153" i="34"/>
  <c r="P153" i="34"/>
  <c r="Q153" i="34"/>
  <c r="R153" i="34"/>
  <c r="S153" i="34"/>
  <c r="T153" i="34"/>
  <c r="DY516" i="1" l="1"/>
  <c r="EC516" i="1" s="1"/>
  <c r="EE516" i="1" s="1"/>
  <c r="DY515" i="1"/>
  <c r="EC515" i="1" s="1"/>
  <c r="EE515" i="1" s="1"/>
  <c r="AJ510" i="1"/>
  <c r="AG510" i="1"/>
  <c r="AJ509" i="1"/>
  <c r="AG509" i="1"/>
  <c r="EB510" i="1"/>
  <c r="DN510" i="1"/>
  <c r="DP510" i="1" s="1"/>
  <c r="DM510" i="1"/>
  <c r="DL510" i="1"/>
  <c r="DO510" i="1" s="1"/>
  <c r="DK510" i="1"/>
  <c r="DN509" i="1"/>
  <c r="DP509" i="1" s="1"/>
  <c r="DM509" i="1"/>
  <c r="DL509" i="1"/>
  <c r="DO509" i="1" s="1"/>
  <c r="DK509" i="1"/>
  <c r="CT510" i="1"/>
  <c r="CF510" i="1"/>
  <c r="CE510" i="1"/>
  <c r="CH510" i="1" s="1"/>
  <c r="CD510" i="1"/>
  <c r="CC510" i="1"/>
  <c r="CG510" i="1" s="1"/>
  <c r="CF509" i="1"/>
  <c r="CE509" i="1"/>
  <c r="CH509" i="1" s="1"/>
  <c r="CD509" i="1"/>
  <c r="CC509" i="1"/>
  <c r="CG509" i="1" s="1"/>
  <c r="BW510" i="1"/>
  <c r="BW509" i="1"/>
  <c r="AO510" i="1"/>
  <c r="AO509" i="1"/>
  <c r="BO510" i="6"/>
  <c r="BN510" i="6"/>
  <c r="BM510" i="6"/>
  <c r="BL510" i="6"/>
  <c r="BO509" i="6"/>
  <c r="BN509" i="6"/>
  <c r="BM509" i="6"/>
  <c r="BL509" i="6"/>
  <c r="CW508" i="1"/>
  <c r="CY508" i="1" s="1"/>
  <c r="CT508" i="1"/>
  <c r="AH509" i="1" l="1"/>
  <c r="AK509" i="1"/>
  <c r="AK510" i="1"/>
  <c r="AH510" i="1"/>
  <c r="AJ507" i="1"/>
  <c r="AG507" i="1"/>
  <c r="DN508" i="1"/>
  <c r="DP508" i="1" s="1"/>
  <c r="DM508" i="1"/>
  <c r="DL508" i="1"/>
  <c r="DO508" i="1" s="1"/>
  <c r="DK508" i="1"/>
  <c r="DN507" i="1"/>
  <c r="DP507" i="1" s="1"/>
  <c r="DM507" i="1"/>
  <c r="DL507" i="1"/>
  <c r="DO507" i="1" s="1"/>
  <c r="DK507" i="1"/>
  <c r="CT507" i="1"/>
  <c r="CF507" i="1"/>
  <c r="CE507" i="1"/>
  <c r="CH507" i="1" s="1"/>
  <c r="CD507" i="1"/>
  <c r="CC507" i="1"/>
  <c r="CG507" i="1" s="1"/>
  <c r="BW507" i="1"/>
  <c r="AO507" i="1"/>
  <c r="BL507" i="6"/>
  <c r="BM507" i="6"/>
  <c r="BN507" i="6"/>
  <c r="BO507" i="6"/>
  <c r="AJ508" i="1"/>
  <c r="AG508" i="1"/>
  <c r="CF508" i="1"/>
  <c r="CE508" i="1"/>
  <c r="CH508" i="1" s="1"/>
  <c r="CD508" i="1"/>
  <c r="CC508" i="1"/>
  <c r="CG508" i="1" s="1"/>
  <c r="BW508" i="1"/>
  <c r="AO508" i="1"/>
  <c r="O508" i="1"/>
  <c r="O507" i="1"/>
  <c r="O509" i="1"/>
  <c r="O510" i="1"/>
  <c r="L506" i="1"/>
  <c r="L508" i="1"/>
  <c r="EK508" i="1" s="1"/>
  <c r="L507" i="1"/>
  <c r="L509" i="1"/>
  <c r="L510" i="1"/>
  <c r="F510" i="1"/>
  <c r="F509" i="1"/>
  <c r="F507" i="1"/>
  <c r="EG507" i="1" s="1"/>
  <c r="F508" i="1"/>
  <c r="BL508" i="1" s="1"/>
  <c r="B510" i="1"/>
  <c r="B509" i="1"/>
  <c r="B507" i="1"/>
  <c r="B508" i="1"/>
  <c r="BL508" i="6"/>
  <c r="BM508" i="6"/>
  <c r="BN508" i="6"/>
  <c r="BO508" i="6"/>
  <c r="EM507" i="1" l="1"/>
  <c r="EL507" i="1"/>
  <c r="EK509" i="1"/>
  <c r="CB509" i="1"/>
  <c r="BS509" i="1"/>
  <c r="DV509" i="1"/>
  <c r="EG510" i="1"/>
  <c r="DR510" i="1"/>
  <c r="BN510" i="1"/>
  <c r="BL510" i="1"/>
  <c r="DR509" i="1"/>
  <c r="EG509" i="1"/>
  <c r="BN509" i="1"/>
  <c r="BL509" i="1"/>
  <c r="EK510" i="1"/>
  <c r="DV510" i="1"/>
  <c r="CB510" i="1"/>
  <c r="BS510" i="1"/>
  <c r="AK507" i="1"/>
  <c r="AH507" i="1"/>
  <c r="BS507" i="1"/>
  <c r="CB508" i="1"/>
  <c r="DR507" i="1"/>
  <c r="EK507" i="1"/>
  <c r="BN508" i="1"/>
  <c r="DR508" i="1"/>
  <c r="EG508" i="1"/>
  <c r="BN507" i="1"/>
  <c r="CB507" i="1"/>
  <c r="DV507" i="1"/>
  <c r="BS508" i="1"/>
  <c r="DV508" i="1"/>
  <c r="BL507" i="1"/>
  <c r="AH508" i="1"/>
  <c r="AK508" i="1"/>
  <c r="O151" i="14"/>
  <c r="P151" i="14" s="1"/>
  <c r="I151" i="14"/>
  <c r="O150" i="14"/>
  <c r="P150" i="14" s="1"/>
  <c r="I150" i="14"/>
  <c r="O149" i="14"/>
  <c r="P149" i="14" s="1"/>
  <c r="I149" i="14"/>
  <c r="O199" i="14"/>
  <c r="Q199" i="14" s="1"/>
  <c r="I199" i="14"/>
  <c r="EM509" i="1" l="1"/>
  <c r="EL509" i="1"/>
  <c r="EL508" i="1"/>
  <c r="EN508" i="1" s="1"/>
  <c r="EM508" i="1"/>
  <c r="EO508" i="1" s="1"/>
  <c r="CU508" i="1"/>
  <c r="CX508" i="1" s="1"/>
  <c r="EM510" i="1"/>
  <c r="EL510" i="1"/>
  <c r="DW509" i="1"/>
  <c r="DY509" i="1" s="1"/>
  <c r="DX509" i="1"/>
  <c r="DZ509" i="1" s="1"/>
  <c r="ED509" i="1" s="1"/>
  <c r="DW510" i="1"/>
  <c r="DY510" i="1" s="1"/>
  <c r="DX510" i="1"/>
  <c r="DZ510" i="1" s="1"/>
  <c r="DW508" i="1"/>
  <c r="DX508" i="1"/>
  <c r="DW507" i="1"/>
  <c r="DX507" i="1"/>
  <c r="DZ507" i="1" s="1"/>
  <c r="ED507" i="1" s="1"/>
  <c r="P199" i="14"/>
  <c r="Q149" i="14"/>
  <c r="Q150" i="14"/>
  <c r="Q151" i="14"/>
  <c r="EC509" i="1" l="1"/>
  <c r="EE509" i="1" s="1"/>
  <c r="DY507" i="1"/>
  <c r="EC507" i="1" s="1"/>
  <c r="EE507" i="1" s="1"/>
  <c r="AJ505" i="1"/>
  <c r="AG505" i="1"/>
  <c r="DN505" i="1"/>
  <c r="DP505" i="1" s="1"/>
  <c r="DM505" i="1"/>
  <c r="DL505" i="1"/>
  <c r="DO505" i="1" s="1"/>
  <c r="DK505" i="1"/>
  <c r="CT505" i="1"/>
  <c r="CF505" i="1"/>
  <c r="CE505" i="1"/>
  <c r="CH505" i="1" s="1"/>
  <c r="CD505" i="1"/>
  <c r="CC505" i="1"/>
  <c r="CG505" i="1" s="1"/>
  <c r="BW505" i="1"/>
  <c r="AO505" i="1"/>
  <c r="BL505" i="6"/>
  <c r="BM505" i="6"/>
  <c r="BN505" i="6"/>
  <c r="BO505" i="6"/>
  <c r="DN506" i="1"/>
  <c r="DP506" i="1" s="1"/>
  <c r="DM506" i="1"/>
  <c r="DL506" i="1"/>
  <c r="DO506" i="1" s="1"/>
  <c r="DK506" i="1"/>
  <c r="CW506" i="1"/>
  <c r="CT506" i="1"/>
  <c r="CF506" i="1"/>
  <c r="CE506" i="1"/>
  <c r="CH506" i="1" s="1"/>
  <c r="CD506" i="1"/>
  <c r="CC506" i="1"/>
  <c r="CG506" i="1" s="1"/>
  <c r="BV506" i="1"/>
  <c r="BU506" i="1"/>
  <c r="BT506" i="1"/>
  <c r="AO506" i="1"/>
  <c r="B501" i="1"/>
  <c r="B502" i="1"/>
  <c r="B503" i="1"/>
  <c r="B504" i="1"/>
  <c r="B506" i="1"/>
  <c r="B505" i="1"/>
  <c r="BL506" i="6"/>
  <c r="BM506" i="6"/>
  <c r="BN506" i="6"/>
  <c r="BO506" i="6"/>
  <c r="AJ502" i="1"/>
  <c r="AG502" i="1"/>
  <c r="DN502" i="1"/>
  <c r="DP502" i="1" s="1"/>
  <c r="DM502" i="1"/>
  <c r="DL502" i="1"/>
  <c r="DO502" i="1" s="1"/>
  <c r="DK502" i="1"/>
  <c r="CT502" i="1"/>
  <c r="CF502" i="1"/>
  <c r="CE502" i="1"/>
  <c r="CH502" i="1" s="1"/>
  <c r="CD502" i="1"/>
  <c r="CC502" i="1"/>
  <c r="CG502" i="1" s="1"/>
  <c r="BW502" i="1"/>
  <c r="AO502" i="1"/>
  <c r="BL502" i="6"/>
  <c r="BM502" i="6"/>
  <c r="BN502" i="6"/>
  <c r="BO502" i="6"/>
  <c r="AJ504" i="1"/>
  <c r="AG504" i="1"/>
  <c r="DN504" i="1"/>
  <c r="DP504" i="1" s="1"/>
  <c r="DM504" i="1"/>
  <c r="DL504" i="1"/>
  <c r="DO504" i="1" s="1"/>
  <c r="DK504" i="1"/>
  <c r="CT504" i="1"/>
  <c r="CF504" i="1"/>
  <c r="CE504" i="1"/>
  <c r="CD504" i="1"/>
  <c r="CC504" i="1"/>
  <c r="CG504" i="1" s="1"/>
  <c r="AO504" i="1"/>
  <c r="BL504" i="6"/>
  <c r="BM504" i="6"/>
  <c r="BN504" i="6"/>
  <c r="BO504" i="6"/>
  <c r="DN503" i="1"/>
  <c r="DP503" i="1" s="1"/>
  <c r="DM503" i="1"/>
  <c r="DL503" i="1"/>
  <c r="DO503" i="1" s="1"/>
  <c r="DK503" i="1"/>
  <c r="CF503" i="1"/>
  <c r="CE503" i="1"/>
  <c r="CH503" i="1" s="1"/>
  <c r="CD503" i="1"/>
  <c r="CC503" i="1"/>
  <c r="CG503" i="1" s="1"/>
  <c r="BV503" i="1"/>
  <c r="BU503" i="1"/>
  <c r="BT503" i="1"/>
  <c r="AO503" i="1"/>
  <c r="BO503" i="6"/>
  <c r="BN503" i="6"/>
  <c r="BM503" i="6"/>
  <c r="BL503" i="6"/>
  <c r="AJ501" i="1"/>
  <c r="AG501" i="1"/>
  <c r="DN501" i="1"/>
  <c r="DP501" i="1" s="1"/>
  <c r="DM501" i="1"/>
  <c r="DL501" i="1"/>
  <c r="DO501" i="1" s="1"/>
  <c r="DK501" i="1"/>
  <c r="CT501" i="1"/>
  <c r="CF501" i="1"/>
  <c r="CE501" i="1"/>
  <c r="CH501" i="1" s="1"/>
  <c r="CD501" i="1"/>
  <c r="CC501" i="1"/>
  <c r="CG501" i="1" s="1"/>
  <c r="BW501" i="1"/>
  <c r="AO501" i="1"/>
  <c r="O501" i="1"/>
  <c r="O502" i="1"/>
  <c r="O503" i="1"/>
  <c r="O504" i="1"/>
  <c r="O506" i="1"/>
  <c r="O505" i="1"/>
  <c r="L505" i="1"/>
  <c r="DV505" i="1" s="1"/>
  <c r="EK506" i="1"/>
  <c r="L504" i="1"/>
  <c r="EK504" i="1" s="1"/>
  <c r="L503" i="1"/>
  <c r="EK503" i="1" s="1"/>
  <c r="L502" i="1"/>
  <c r="L501" i="1"/>
  <c r="EK501" i="1" s="1"/>
  <c r="F501" i="1"/>
  <c r="EG501" i="1" s="1"/>
  <c r="F502" i="1"/>
  <c r="F503" i="1"/>
  <c r="F504" i="1"/>
  <c r="EG504" i="1" s="1"/>
  <c r="F506" i="1"/>
  <c r="BN506" i="1" s="1"/>
  <c r="F505" i="1"/>
  <c r="DR505" i="1" s="1"/>
  <c r="BL501" i="6"/>
  <c r="BM501" i="6"/>
  <c r="BN501" i="6"/>
  <c r="BO501" i="6"/>
  <c r="EM504" i="1" l="1"/>
  <c r="EL504" i="1"/>
  <c r="EM501" i="1"/>
  <c r="EL501" i="1"/>
  <c r="DW505" i="1"/>
  <c r="DX505" i="1"/>
  <c r="EG505" i="1"/>
  <c r="EK505" i="1"/>
  <c r="BL505" i="1"/>
  <c r="BN505" i="1"/>
  <c r="BS505" i="1"/>
  <c r="CB505" i="1"/>
  <c r="EG506" i="1"/>
  <c r="CB506" i="1"/>
  <c r="BS506" i="1"/>
  <c r="DV506" i="1"/>
  <c r="DR506" i="1"/>
  <c r="AK505" i="1"/>
  <c r="AH505" i="1"/>
  <c r="AK502" i="1"/>
  <c r="CB502" i="1"/>
  <c r="DR502" i="1"/>
  <c r="DV502" i="1"/>
  <c r="BL506" i="1"/>
  <c r="EG502" i="1"/>
  <c r="EK502" i="1"/>
  <c r="AH502" i="1"/>
  <c r="EG503" i="1"/>
  <c r="BL501" i="1"/>
  <c r="BN501" i="1"/>
  <c r="BL503" i="1"/>
  <c r="BN504" i="1"/>
  <c r="BL504" i="1"/>
  <c r="BS504" i="1"/>
  <c r="BS501" i="1"/>
  <c r="BN503" i="1"/>
  <c r="BS503" i="1"/>
  <c r="CB501" i="1"/>
  <c r="DR501" i="1"/>
  <c r="DV501" i="1"/>
  <c r="DR503" i="1"/>
  <c r="CB504" i="1"/>
  <c r="BL502" i="1"/>
  <c r="DV503" i="1"/>
  <c r="CB503" i="1"/>
  <c r="DR504" i="1"/>
  <c r="BN502" i="1"/>
  <c r="DV504" i="1"/>
  <c r="BS502" i="1"/>
  <c r="AK504" i="1"/>
  <c r="AH504" i="1"/>
  <c r="CH504" i="1"/>
  <c r="AH501" i="1"/>
  <c r="AK501" i="1"/>
  <c r="J367" i="34"/>
  <c r="J366" i="34"/>
  <c r="J365" i="34"/>
  <c r="J364" i="34"/>
  <c r="H364" i="34"/>
  <c r="J363" i="34"/>
  <c r="H363" i="34"/>
  <c r="J362" i="34"/>
  <c r="H362" i="34"/>
  <c r="J361" i="34"/>
  <c r="H361" i="34"/>
  <c r="J360" i="34"/>
  <c r="H360" i="34"/>
  <c r="K359" i="34"/>
  <c r="P359" i="34" s="1"/>
  <c r="J359" i="34"/>
  <c r="H359" i="34"/>
  <c r="J358" i="34"/>
  <c r="H358" i="34"/>
  <c r="J357" i="34"/>
  <c r="H357" i="34"/>
  <c r="J356" i="34"/>
  <c r="H356" i="34"/>
  <c r="J354" i="34"/>
  <c r="H354" i="34"/>
  <c r="J352" i="34"/>
  <c r="H352" i="34"/>
  <c r="J350" i="34"/>
  <c r="H350" i="34"/>
  <c r="J349" i="34"/>
  <c r="J348" i="34"/>
  <c r="H348" i="34"/>
  <c r="M348" i="34"/>
  <c r="N348" i="34"/>
  <c r="O348" i="34"/>
  <c r="P348" i="34"/>
  <c r="Q348" i="34"/>
  <c r="R348" i="34"/>
  <c r="S348" i="34"/>
  <c r="T348" i="34"/>
  <c r="H349" i="34"/>
  <c r="M349" i="34"/>
  <c r="N349" i="34"/>
  <c r="O349" i="34"/>
  <c r="P349" i="34"/>
  <c r="Q349" i="34"/>
  <c r="R349" i="34"/>
  <c r="S349" i="34"/>
  <c r="T349" i="34"/>
  <c r="M350" i="34"/>
  <c r="N350" i="34"/>
  <c r="O350" i="34"/>
  <c r="P350" i="34"/>
  <c r="Q350" i="34"/>
  <c r="R350" i="34"/>
  <c r="S350" i="34"/>
  <c r="T350" i="34"/>
  <c r="H351" i="34"/>
  <c r="M351" i="34"/>
  <c r="N351" i="34"/>
  <c r="O351" i="34"/>
  <c r="P351" i="34"/>
  <c r="Q351" i="34"/>
  <c r="R351" i="34"/>
  <c r="S351" i="34"/>
  <c r="T351" i="34"/>
  <c r="M352" i="34"/>
  <c r="N352" i="34"/>
  <c r="O352" i="34"/>
  <c r="P352" i="34"/>
  <c r="Q352" i="34"/>
  <c r="R352" i="34"/>
  <c r="S352" i="34"/>
  <c r="T352" i="34"/>
  <c r="H353" i="34"/>
  <c r="M353" i="34"/>
  <c r="N353" i="34"/>
  <c r="O353" i="34"/>
  <c r="P353" i="34"/>
  <c r="Q353" i="34"/>
  <c r="R353" i="34"/>
  <c r="S353" i="34"/>
  <c r="T353" i="34"/>
  <c r="M354" i="34"/>
  <c r="N354" i="34"/>
  <c r="O354" i="34"/>
  <c r="P354" i="34"/>
  <c r="Q354" i="34"/>
  <c r="R354" i="34"/>
  <c r="S354" i="34"/>
  <c r="T354" i="34"/>
  <c r="H355" i="34"/>
  <c r="M355" i="34"/>
  <c r="N355" i="34"/>
  <c r="O355" i="34"/>
  <c r="P355" i="34"/>
  <c r="Q355" i="34"/>
  <c r="R355" i="34"/>
  <c r="S355" i="34"/>
  <c r="T355" i="34"/>
  <c r="M356" i="34"/>
  <c r="N356" i="34"/>
  <c r="O356" i="34"/>
  <c r="P356" i="34"/>
  <c r="Q356" i="34"/>
  <c r="R356" i="34"/>
  <c r="S356" i="34"/>
  <c r="T356" i="34"/>
  <c r="M357" i="34"/>
  <c r="N357" i="34"/>
  <c r="O357" i="34"/>
  <c r="P357" i="34"/>
  <c r="Q357" i="34"/>
  <c r="R357" i="34"/>
  <c r="S357" i="34"/>
  <c r="T357" i="34"/>
  <c r="M358" i="34"/>
  <c r="N358" i="34"/>
  <c r="O358" i="34"/>
  <c r="P358" i="34"/>
  <c r="Q358" i="34"/>
  <c r="R358" i="34"/>
  <c r="S358" i="34"/>
  <c r="T358" i="34"/>
  <c r="S359" i="34"/>
  <c r="M360" i="34"/>
  <c r="N360" i="34"/>
  <c r="O360" i="34"/>
  <c r="P360" i="34"/>
  <c r="Q360" i="34"/>
  <c r="R360" i="34"/>
  <c r="S360" i="34"/>
  <c r="T360" i="34"/>
  <c r="M361" i="34"/>
  <c r="N361" i="34"/>
  <c r="O361" i="34"/>
  <c r="P361" i="34"/>
  <c r="Q361" i="34"/>
  <c r="R361" i="34"/>
  <c r="S361" i="34"/>
  <c r="T361" i="34"/>
  <c r="M362" i="34"/>
  <c r="N362" i="34"/>
  <c r="O362" i="34"/>
  <c r="P362" i="34"/>
  <c r="Q362" i="34"/>
  <c r="R362" i="34"/>
  <c r="S362" i="34"/>
  <c r="T362" i="34"/>
  <c r="M363" i="34"/>
  <c r="N363" i="34"/>
  <c r="O363" i="34"/>
  <c r="P363" i="34"/>
  <c r="Q363" i="34"/>
  <c r="R363" i="34"/>
  <c r="S363" i="34"/>
  <c r="T363" i="34"/>
  <c r="M364" i="34"/>
  <c r="N364" i="34"/>
  <c r="O364" i="34"/>
  <c r="P364" i="34"/>
  <c r="Q364" i="34"/>
  <c r="R364" i="34"/>
  <c r="S364" i="34"/>
  <c r="T364" i="34"/>
  <c r="H365" i="34"/>
  <c r="M365" i="34"/>
  <c r="N365" i="34"/>
  <c r="O365" i="34"/>
  <c r="P365" i="34"/>
  <c r="Q365" i="34"/>
  <c r="R365" i="34"/>
  <c r="S365" i="34"/>
  <c r="T365" i="34"/>
  <c r="H366" i="34"/>
  <c r="M366" i="34"/>
  <c r="N366" i="34"/>
  <c r="O366" i="34"/>
  <c r="P366" i="34"/>
  <c r="Q366" i="34"/>
  <c r="R366" i="34"/>
  <c r="S366" i="34"/>
  <c r="T366" i="34"/>
  <c r="H367" i="34"/>
  <c r="M367" i="34"/>
  <c r="N367" i="34"/>
  <c r="O367" i="34"/>
  <c r="P367" i="34"/>
  <c r="Q367" i="34"/>
  <c r="R367" i="34"/>
  <c r="S367" i="34"/>
  <c r="T367" i="34"/>
  <c r="AJ500" i="1"/>
  <c r="AG500" i="1"/>
  <c r="DN500" i="1"/>
  <c r="DP500" i="1" s="1"/>
  <c r="DM500" i="1"/>
  <c r="DL500" i="1"/>
  <c r="DO500" i="1" s="1"/>
  <c r="DK500" i="1"/>
  <c r="CT500" i="1"/>
  <c r="CF500" i="1"/>
  <c r="CE500" i="1"/>
  <c r="CH500" i="1" s="1"/>
  <c r="CD500" i="1"/>
  <c r="CC500" i="1"/>
  <c r="CG500" i="1" s="1"/>
  <c r="BW500" i="1"/>
  <c r="AO500" i="1"/>
  <c r="BL500" i="6"/>
  <c r="BM500" i="6"/>
  <c r="BN500" i="6"/>
  <c r="BO500" i="6"/>
  <c r="AJ499" i="1"/>
  <c r="AG499" i="1"/>
  <c r="DN499" i="1"/>
  <c r="DP499" i="1" s="1"/>
  <c r="DM499" i="1"/>
  <c r="DL499" i="1"/>
  <c r="DO499" i="1" s="1"/>
  <c r="DK499" i="1"/>
  <c r="CT499" i="1"/>
  <c r="CT498" i="1"/>
  <c r="BW499" i="1"/>
  <c r="AO499" i="1"/>
  <c r="O499" i="1"/>
  <c r="O500" i="1"/>
  <c r="B499" i="1"/>
  <c r="B500" i="1"/>
  <c r="BL499" i="6"/>
  <c r="BM499" i="6"/>
  <c r="BN499" i="6"/>
  <c r="BO499" i="6"/>
  <c r="EL506" i="1" l="1"/>
  <c r="EM506" i="1"/>
  <c r="EM503" i="1"/>
  <c r="EL503" i="1"/>
  <c r="EM502" i="1"/>
  <c r="EL502" i="1"/>
  <c r="EM505" i="1"/>
  <c r="EL505" i="1"/>
  <c r="CU506" i="1"/>
  <c r="CV506" i="1"/>
  <c r="DX504" i="1"/>
  <c r="DZ504" i="1" s="1"/>
  <c r="DW504" i="1"/>
  <c r="DY504" i="1" s="1"/>
  <c r="DW503" i="1"/>
  <c r="DX503" i="1"/>
  <c r="DW501" i="1"/>
  <c r="DX501" i="1"/>
  <c r="DW506" i="1"/>
  <c r="DX506" i="1"/>
  <c r="DW502" i="1"/>
  <c r="DX502" i="1"/>
  <c r="R359" i="34"/>
  <c r="Q359" i="34"/>
  <c r="AH500" i="1"/>
  <c r="AK500" i="1"/>
  <c r="N359" i="34"/>
  <c r="M359" i="34"/>
  <c r="O359" i="34"/>
  <c r="T359" i="34"/>
  <c r="AK499" i="1"/>
  <c r="AH499" i="1"/>
  <c r="L377" i="1"/>
  <c r="C3" i="24" l="1" a="1"/>
  <c r="C3" i="24" s="1"/>
  <c r="O490" i="1"/>
  <c r="F500" i="1" l="1"/>
  <c r="F499" i="1"/>
  <c r="L500" i="1"/>
  <c r="L499" i="1"/>
  <c r="AJ498" i="1"/>
  <c r="AG498" i="1"/>
  <c r="BW498" i="1"/>
  <c r="AO498" i="1"/>
  <c r="BL498" i="6"/>
  <c r="BM498" i="6"/>
  <c r="BN498" i="6"/>
  <c r="BO498" i="6"/>
  <c r="CT497" i="1"/>
  <c r="CW497" i="1"/>
  <c r="CY497" i="1" s="1"/>
  <c r="BW497" i="1"/>
  <c r="AO497" i="1"/>
  <c r="H497" i="1"/>
  <c r="BL497" i="6"/>
  <c r="BM497" i="6"/>
  <c r="BN497" i="6"/>
  <c r="BO497" i="6"/>
  <c r="AJ496" i="1"/>
  <c r="AG496" i="1"/>
  <c r="EK500" i="1" l="1"/>
  <c r="DV500" i="1"/>
  <c r="DR500" i="1"/>
  <c r="CB500" i="1"/>
  <c r="BS500" i="1"/>
  <c r="BN500" i="1"/>
  <c r="BL500" i="1"/>
  <c r="EG500" i="1"/>
  <c r="EK499" i="1"/>
  <c r="DV499" i="1"/>
  <c r="CB499" i="1"/>
  <c r="BS499" i="1"/>
  <c r="BL499" i="1"/>
  <c r="EG499" i="1"/>
  <c r="DR499" i="1"/>
  <c r="BN499" i="1"/>
  <c r="AK498" i="1"/>
  <c r="AH498" i="1"/>
  <c r="AH496" i="1"/>
  <c r="AK496" i="1"/>
  <c r="CT496" i="1"/>
  <c r="BW496" i="1"/>
  <c r="AO496" i="1"/>
  <c r="BL496" i="6"/>
  <c r="BM496" i="6"/>
  <c r="BN496" i="6"/>
  <c r="BO496" i="6"/>
  <c r="CW495" i="1"/>
  <c r="CT495" i="1"/>
  <c r="BW495" i="1"/>
  <c r="AO495" i="1"/>
  <c r="BL495" i="6"/>
  <c r="BM495" i="6"/>
  <c r="BN495" i="6"/>
  <c r="BO495" i="6"/>
  <c r="CF498" i="1"/>
  <c r="CE498" i="1"/>
  <c r="CD498" i="1"/>
  <c r="CC498" i="1"/>
  <c r="CG498" i="1" s="1"/>
  <c r="CF497" i="1"/>
  <c r="CE497" i="1"/>
  <c r="CD497" i="1"/>
  <c r="CC497" i="1"/>
  <c r="CG497" i="1" s="1"/>
  <c r="CF496" i="1"/>
  <c r="CE496" i="1"/>
  <c r="CD496" i="1"/>
  <c r="CC496" i="1"/>
  <c r="CG496" i="1" s="1"/>
  <c r="CF495" i="1"/>
  <c r="CE495" i="1"/>
  <c r="CH495" i="1" s="1"/>
  <c r="CD495" i="1"/>
  <c r="CC495" i="1"/>
  <c r="CG495" i="1" s="1"/>
  <c r="CF494" i="1"/>
  <c r="CE494" i="1"/>
  <c r="CH494" i="1" s="1"/>
  <c r="CD494" i="1"/>
  <c r="CC494" i="1"/>
  <c r="CG494" i="1" s="1"/>
  <c r="BV494" i="1"/>
  <c r="BU494" i="1"/>
  <c r="BT494" i="1"/>
  <c r="AO494" i="1"/>
  <c r="BL494" i="6"/>
  <c r="BM494" i="6"/>
  <c r="BN494" i="6"/>
  <c r="BO494" i="6"/>
  <c r="AJ493" i="1"/>
  <c r="AG493" i="1"/>
  <c r="DN498" i="1"/>
  <c r="DP498" i="1" s="1"/>
  <c r="DM498" i="1"/>
  <c r="DL498" i="1"/>
  <c r="DO498" i="1" s="1"/>
  <c r="DK498" i="1"/>
  <c r="DN497" i="1"/>
  <c r="DP497" i="1" s="1"/>
  <c r="DM497" i="1"/>
  <c r="DL497" i="1"/>
  <c r="DO497" i="1" s="1"/>
  <c r="DK497" i="1"/>
  <c r="DN496" i="1"/>
  <c r="DP496" i="1" s="1"/>
  <c r="DM496" i="1"/>
  <c r="DL496" i="1"/>
  <c r="DO496" i="1" s="1"/>
  <c r="DK496" i="1"/>
  <c r="DN495" i="1"/>
  <c r="DP495" i="1" s="1"/>
  <c r="DM495" i="1"/>
  <c r="DL495" i="1"/>
  <c r="DO495" i="1" s="1"/>
  <c r="DK495" i="1"/>
  <c r="DN494" i="1"/>
  <c r="DP494" i="1" s="1"/>
  <c r="DM494" i="1"/>
  <c r="DL494" i="1"/>
  <c r="DO494" i="1" s="1"/>
  <c r="DK494" i="1"/>
  <c r="DN493" i="1"/>
  <c r="DP493" i="1" s="1"/>
  <c r="DM493" i="1"/>
  <c r="DL493" i="1"/>
  <c r="DO493" i="1" s="1"/>
  <c r="DK493" i="1"/>
  <c r="CT493" i="1"/>
  <c r="CF493" i="1"/>
  <c r="CE493" i="1"/>
  <c r="CH493" i="1" s="1"/>
  <c r="CD493" i="1"/>
  <c r="CC493" i="1"/>
  <c r="CG493" i="1" s="1"/>
  <c r="BW493" i="1"/>
  <c r="AO493" i="1"/>
  <c r="O493" i="1"/>
  <c r="O494" i="1"/>
  <c r="O495" i="1"/>
  <c r="O496" i="1"/>
  <c r="O497" i="1"/>
  <c r="O498" i="1"/>
  <c r="L493" i="1"/>
  <c r="DV493" i="1" s="1"/>
  <c r="L494" i="1"/>
  <c r="DV494" i="1" s="1"/>
  <c r="L495" i="1"/>
  <c r="DV495" i="1" s="1"/>
  <c r="L496" i="1"/>
  <c r="DV496" i="1" s="1"/>
  <c r="L497" i="1"/>
  <c r="L498" i="1"/>
  <c r="F492" i="1"/>
  <c r="F493" i="1"/>
  <c r="F494" i="1"/>
  <c r="F495" i="1"/>
  <c r="DR495" i="1" s="1"/>
  <c r="F496" i="1"/>
  <c r="F497" i="1"/>
  <c r="F498" i="1"/>
  <c r="B493" i="1"/>
  <c r="B494" i="1"/>
  <c r="B495" i="1"/>
  <c r="B496" i="1"/>
  <c r="B497" i="1"/>
  <c r="B498" i="1"/>
  <c r="BL493" i="6"/>
  <c r="BM493" i="6"/>
  <c r="BN493" i="6"/>
  <c r="BO493" i="6"/>
  <c r="EW22" i="1"/>
  <c r="CU495" i="1" l="1"/>
  <c r="CV495" i="1"/>
  <c r="EM499" i="1"/>
  <c r="EL499" i="1"/>
  <c r="EL500" i="1"/>
  <c r="EM500" i="1"/>
  <c r="DW499" i="1"/>
  <c r="DY499" i="1" s="1"/>
  <c r="DX499" i="1"/>
  <c r="DZ499" i="1" s="1"/>
  <c r="DW500" i="1"/>
  <c r="DY500" i="1" s="1"/>
  <c r="DX500" i="1"/>
  <c r="DZ500" i="1" s="1"/>
  <c r="DW495" i="1"/>
  <c r="DX495" i="1"/>
  <c r="CF499" i="1"/>
  <c r="EG498" i="1"/>
  <c r="BN498" i="1"/>
  <c r="BL498" i="1"/>
  <c r="DR498" i="1"/>
  <c r="BL496" i="1"/>
  <c r="EG497" i="1"/>
  <c r="DR497" i="1"/>
  <c r="BN497" i="1"/>
  <c r="BL497" i="1"/>
  <c r="EG496" i="1"/>
  <c r="DR496" i="1"/>
  <c r="BN496" i="1"/>
  <c r="BS496" i="1"/>
  <c r="EK498" i="1"/>
  <c r="DV498" i="1"/>
  <c r="BS498" i="1"/>
  <c r="EK497" i="1"/>
  <c r="BS497" i="1"/>
  <c r="DV497" i="1"/>
  <c r="CH498" i="1"/>
  <c r="CH497" i="1"/>
  <c r="CH496" i="1"/>
  <c r="CT494" i="1"/>
  <c r="CW494" i="1"/>
  <c r="EK493" i="1"/>
  <c r="CB496" i="1"/>
  <c r="BL494" i="1"/>
  <c r="CB495" i="1"/>
  <c r="BN494" i="1"/>
  <c r="BS494" i="1"/>
  <c r="EK496" i="1"/>
  <c r="EK494" i="1"/>
  <c r="BL495" i="1"/>
  <c r="BL493" i="1"/>
  <c r="DR493" i="1"/>
  <c r="EG495" i="1"/>
  <c r="BN495" i="1"/>
  <c r="CB494" i="1"/>
  <c r="CB497" i="1"/>
  <c r="EK495" i="1"/>
  <c r="BS495" i="1"/>
  <c r="BN493" i="1"/>
  <c r="DR494" i="1"/>
  <c r="BS493" i="1"/>
  <c r="EG493" i="1"/>
  <c r="CB493" i="1"/>
  <c r="CB498" i="1"/>
  <c r="EG494" i="1"/>
  <c r="AH493" i="1"/>
  <c r="AK493" i="1"/>
  <c r="O66" i="14"/>
  <c r="P66" i="14" s="1"/>
  <c r="K66" i="14"/>
  <c r="I66" i="14"/>
  <c r="O148" i="14"/>
  <c r="Q148" i="14" s="1"/>
  <c r="I148" i="14"/>
  <c r="O30" i="14"/>
  <c r="Q30" i="14" s="1"/>
  <c r="K30" i="14"/>
  <c r="I30" i="14"/>
  <c r="EM494" i="1" l="1"/>
  <c r="EL494" i="1"/>
  <c r="CU494" i="1"/>
  <c r="CV494" i="1"/>
  <c r="CU497" i="1"/>
  <c r="CX497" i="1" s="1"/>
  <c r="CV497" i="1"/>
  <c r="EM496" i="1"/>
  <c r="EL496" i="1"/>
  <c r="EM497" i="1"/>
  <c r="EL497" i="1"/>
  <c r="EM495" i="1"/>
  <c r="EL495" i="1"/>
  <c r="EM493" i="1"/>
  <c r="EL493" i="1"/>
  <c r="EL498" i="1"/>
  <c r="EM498" i="1"/>
  <c r="DW493" i="1"/>
  <c r="DY493" i="1" s="1"/>
  <c r="DX493" i="1"/>
  <c r="DZ493" i="1" s="1"/>
  <c r="DW498" i="1"/>
  <c r="DY498" i="1" s="1"/>
  <c r="DX498" i="1"/>
  <c r="DZ498" i="1" s="1"/>
  <c r="DW494" i="1"/>
  <c r="DX494" i="1"/>
  <c r="DX496" i="1"/>
  <c r="DZ496" i="1" s="1"/>
  <c r="DW496" i="1"/>
  <c r="DY496" i="1" s="1"/>
  <c r="DW497" i="1"/>
  <c r="DX497" i="1"/>
  <c r="P30" i="14"/>
  <c r="P148" i="14"/>
  <c r="Q66" i="14"/>
  <c r="E90" i="33"/>
  <c r="H90" i="33" s="1"/>
  <c r="F89" i="33"/>
  <c r="E87" i="33"/>
  <c r="H87" i="33" s="1"/>
  <c r="E86" i="33"/>
  <c r="H86" i="33" s="1"/>
  <c r="E85" i="33"/>
  <c r="H85" i="33" s="1"/>
  <c r="E92" i="33"/>
  <c r="H92" i="33" s="1"/>
  <c r="F87" i="33" l="1"/>
  <c r="F85" i="33"/>
  <c r="F86" i="33"/>
  <c r="F90" i="33"/>
  <c r="F84" i="33"/>
  <c r="E91" i="33" l="1"/>
  <c r="H91" i="33" s="1"/>
  <c r="F91" i="33" l="1"/>
  <c r="E88" i="33"/>
  <c r="H88" i="33" s="1"/>
  <c r="E83" i="33"/>
  <c r="H83" i="33" s="1"/>
  <c r="I92" i="33"/>
  <c r="C92" i="33"/>
  <c r="F92" i="33" s="1"/>
  <c r="I91" i="33"/>
  <c r="L91" i="33" s="1"/>
  <c r="L90" i="33"/>
  <c r="J90" i="33"/>
  <c r="L89" i="33"/>
  <c r="J89" i="33"/>
  <c r="I88" i="33"/>
  <c r="L88" i="33" s="1"/>
  <c r="I87" i="33"/>
  <c r="J87" i="33" s="1"/>
  <c r="I86" i="33"/>
  <c r="J86" i="33" s="1"/>
  <c r="I85" i="33"/>
  <c r="J85" i="33" s="1"/>
  <c r="L85" i="33"/>
  <c r="I84" i="33"/>
  <c r="J84" i="33" s="1"/>
  <c r="J92" i="33" l="1"/>
  <c r="L86" i="33"/>
  <c r="L84" i="33"/>
  <c r="L87" i="33"/>
  <c r="J91" i="33"/>
  <c r="L92" i="33"/>
  <c r="F88" i="33"/>
  <c r="J88" i="33"/>
  <c r="C83" i="33"/>
  <c r="F83" i="33" s="1"/>
  <c r="L83" i="33"/>
  <c r="J83" i="33" l="1"/>
  <c r="CW492" i="1"/>
  <c r="CT492" i="1"/>
  <c r="BV492" i="1"/>
  <c r="BU492" i="1"/>
  <c r="BT492" i="1"/>
  <c r="AO492" i="1"/>
  <c r="BL492" i="6"/>
  <c r="BM492" i="6"/>
  <c r="BN492" i="6"/>
  <c r="BO492" i="6"/>
  <c r="AJ491" i="1"/>
  <c r="AG491" i="1"/>
  <c r="CW491" i="1"/>
  <c r="CT491" i="1"/>
  <c r="BW491" i="1"/>
  <c r="AO491" i="1"/>
  <c r="BL491" i="6"/>
  <c r="BM491" i="6"/>
  <c r="BN491" i="6"/>
  <c r="BO491" i="6"/>
  <c r="AJ490" i="1"/>
  <c r="AG490" i="1"/>
  <c r="CT490" i="1"/>
  <c r="BW490" i="1"/>
  <c r="AO490" i="1"/>
  <c r="BL490" i="6"/>
  <c r="BM490" i="6"/>
  <c r="BN490" i="6"/>
  <c r="BO490" i="6"/>
  <c r="AJ489" i="1"/>
  <c r="AG489" i="1"/>
  <c r="CF492" i="1"/>
  <c r="CE492" i="1"/>
  <c r="CH492" i="1" s="1"/>
  <c r="CD492" i="1"/>
  <c r="CC492" i="1"/>
  <c r="CG492" i="1" s="1"/>
  <c r="CF491" i="1"/>
  <c r="CE491" i="1"/>
  <c r="CH491" i="1" s="1"/>
  <c r="CD491" i="1"/>
  <c r="CC491" i="1"/>
  <c r="CG491" i="1" s="1"/>
  <c r="CF490" i="1"/>
  <c r="CE490" i="1"/>
  <c r="CH490" i="1" s="1"/>
  <c r="CD490" i="1"/>
  <c r="CC490" i="1"/>
  <c r="CG490" i="1" s="1"/>
  <c r="DN492" i="1"/>
  <c r="DP492" i="1" s="1"/>
  <c r="DM492" i="1"/>
  <c r="DL492" i="1"/>
  <c r="DO492" i="1" s="1"/>
  <c r="DK492" i="1"/>
  <c r="DN491" i="1"/>
  <c r="DP491" i="1" s="1"/>
  <c r="DM491" i="1"/>
  <c r="DL491" i="1"/>
  <c r="DO491" i="1" s="1"/>
  <c r="DK491" i="1"/>
  <c r="DN490" i="1"/>
  <c r="DP490" i="1" s="1"/>
  <c r="DM490" i="1"/>
  <c r="DL490" i="1"/>
  <c r="DO490" i="1" s="1"/>
  <c r="DK490" i="1"/>
  <c r="DN489" i="1"/>
  <c r="DP489" i="1" s="1"/>
  <c r="DM489" i="1"/>
  <c r="DL489" i="1"/>
  <c r="DO489" i="1" s="1"/>
  <c r="DK489" i="1"/>
  <c r="CT489" i="1"/>
  <c r="CF489" i="1"/>
  <c r="CE489" i="1"/>
  <c r="CH489" i="1" s="1"/>
  <c r="CD489" i="1"/>
  <c r="CC489" i="1"/>
  <c r="CG489" i="1" s="1"/>
  <c r="BW489" i="1"/>
  <c r="AO489" i="1"/>
  <c r="O492" i="1"/>
  <c r="O491" i="1"/>
  <c r="O489" i="1"/>
  <c r="L492" i="1"/>
  <c r="L491" i="1"/>
  <c r="EK491" i="1" s="1"/>
  <c r="L490" i="1"/>
  <c r="L489" i="1"/>
  <c r="EK489" i="1" s="1"/>
  <c r="DR492" i="1"/>
  <c r="F491" i="1"/>
  <c r="EG491" i="1" s="1"/>
  <c r="F490" i="1"/>
  <c r="EG490" i="1" s="1"/>
  <c r="F489" i="1"/>
  <c r="B489" i="1"/>
  <c r="B490" i="1"/>
  <c r="B491" i="1"/>
  <c r="B492" i="1"/>
  <c r="BL489" i="6"/>
  <c r="BM489" i="6"/>
  <c r="BN489" i="6"/>
  <c r="BO489" i="6"/>
  <c r="EM491" i="1" l="1"/>
  <c r="EL491" i="1"/>
  <c r="CU492" i="1"/>
  <c r="CV492" i="1"/>
  <c r="EL490" i="1"/>
  <c r="EM490" i="1"/>
  <c r="DW492" i="1"/>
  <c r="DX492" i="1"/>
  <c r="BL492" i="1"/>
  <c r="AK491" i="1"/>
  <c r="BL491" i="1"/>
  <c r="BN491" i="1"/>
  <c r="BS491" i="1"/>
  <c r="BS490" i="1"/>
  <c r="AH491" i="1"/>
  <c r="DR491" i="1"/>
  <c r="AK490" i="1"/>
  <c r="CB490" i="1"/>
  <c r="EK490" i="1"/>
  <c r="DV490" i="1"/>
  <c r="CB489" i="1"/>
  <c r="DV489" i="1"/>
  <c r="BL490" i="1"/>
  <c r="BN490" i="1"/>
  <c r="DR490" i="1"/>
  <c r="AH490" i="1"/>
  <c r="AK489" i="1"/>
  <c r="CB491" i="1"/>
  <c r="BN489" i="1"/>
  <c r="EG492" i="1"/>
  <c r="DR489" i="1"/>
  <c r="EG489" i="1"/>
  <c r="BL489" i="1"/>
  <c r="BS489" i="1"/>
  <c r="AH489" i="1"/>
  <c r="L4" i="33"/>
  <c r="L5" i="33"/>
  <c r="L6" i="33"/>
  <c r="L7" i="33"/>
  <c r="L8" i="33"/>
  <c r="L9" i="33"/>
  <c r="L10" i="33"/>
  <c r="L11" i="33"/>
  <c r="L12" i="33"/>
  <c r="L13" i="33"/>
  <c r="L14" i="33"/>
  <c r="L15" i="33"/>
  <c r="L16" i="33"/>
  <c r="L17" i="33"/>
  <c r="L18" i="33"/>
  <c r="L19" i="33"/>
  <c r="L21" i="33"/>
  <c r="L22" i="33"/>
  <c r="L23" i="33"/>
  <c r="L24" i="33"/>
  <c r="L25" i="33"/>
  <c r="L26" i="33"/>
  <c r="L27" i="33"/>
  <c r="L28" i="33"/>
  <c r="L29" i="33"/>
  <c r="L30" i="33"/>
  <c r="L31" i="33"/>
  <c r="L32" i="33"/>
  <c r="L33" i="33"/>
  <c r="L34" i="33"/>
  <c r="L35" i="33"/>
  <c r="L36" i="33"/>
  <c r="L37" i="33"/>
  <c r="L38" i="33"/>
  <c r="L39" i="33"/>
  <c r="L40" i="33"/>
  <c r="L41" i="33"/>
  <c r="L42" i="33"/>
  <c r="L43" i="33"/>
  <c r="L44" i="33"/>
  <c r="L45" i="33"/>
  <c r="L46" i="33"/>
  <c r="L47" i="33"/>
  <c r="L48" i="33"/>
  <c r="L49" i="33"/>
  <c r="L50" i="33"/>
  <c r="L51" i="33"/>
  <c r="L52" i="33"/>
  <c r="L53" i="33"/>
  <c r="L54" i="33"/>
  <c r="L55" i="33"/>
  <c r="L56" i="33"/>
  <c r="L57" i="33"/>
  <c r="L58" i="33"/>
  <c r="L59" i="33"/>
  <c r="L60" i="33"/>
  <c r="L61" i="33"/>
  <c r="L62" i="33"/>
  <c r="L63" i="33"/>
  <c r="L64" i="33"/>
  <c r="L68" i="33"/>
  <c r="L69" i="33"/>
  <c r="L71" i="33"/>
  <c r="L72" i="33"/>
  <c r="L75" i="33"/>
  <c r="L78" i="33"/>
  <c r="L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4" i="33"/>
  <c r="H78" i="33"/>
  <c r="H3" i="33"/>
  <c r="J4" i="33"/>
  <c r="J5" i="33"/>
  <c r="J6" i="33"/>
  <c r="J7" i="33"/>
  <c r="J8" i="33"/>
  <c r="J9" i="33"/>
  <c r="J10" i="33"/>
  <c r="J11" i="33"/>
  <c r="J12" i="33"/>
  <c r="J13" i="33"/>
  <c r="J14" i="33"/>
  <c r="J15" i="33"/>
  <c r="J16" i="33"/>
  <c r="J17" i="33"/>
  <c r="J18" i="33"/>
  <c r="J19" i="33"/>
  <c r="J20" i="33"/>
  <c r="J21" i="33"/>
  <c r="J22" i="33"/>
  <c r="J23" i="33"/>
  <c r="J24" i="33"/>
  <c r="J25" i="33"/>
  <c r="J26" i="33"/>
  <c r="J27" i="33"/>
  <c r="J28" i="33"/>
  <c r="J29" i="33"/>
  <c r="J30" i="33"/>
  <c r="J31" i="33"/>
  <c r="J32" i="33"/>
  <c r="J33" i="33"/>
  <c r="J34" i="33"/>
  <c r="J35" i="33"/>
  <c r="J36" i="33"/>
  <c r="J37" i="33"/>
  <c r="J38" i="33"/>
  <c r="J39" i="33"/>
  <c r="J40" i="33"/>
  <c r="J41" i="33"/>
  <c r="J42" i="33"/>
  <c r="J43" i="33"/>
  <c r="J44" i="33"/>
  <c r="J45" i="33"/>
  <c r="J46" i="33"/>
  <c r="J47" i="33"/>
  <c r="J48" i="33"/>
  <c r="J49" i="33"/>
  <c r="J50" i="33"/>
  <c r="J51" i="33"/>
  <c r="J52" i="33"/>
  <c r="J53" i="33"/>
  <c r="J54" i="33"/>
  <c r="J55" i="33"/>
  <c r="J56" i="33"/>
  <c r="J57" i="33"/>
  <c r="J58" i="33"/>
  <c r="J59" i="33"/>
  <c r="J60" i="33"/>
  <c r="J61" i="33"/>
  <c r="J62" i="33"/>
  <c r="J64" i="33"/>
  <c r="J68" i="33"/>
  <c r="J69" i="33"/>
  <c r="J71" i="33"/>
  <c r="J75" i="33"/>
  <c r="J78" i="33"/>
  <c r="J3" i="33"/>
  <c r="EM489" i="1" l="1"/>
  <c r="EL489" i="1"/>
  <c r="CU491" i="1"/>
  <c r="CV491" i="1"/>
  <c r="EL492" i="1"/>
  <c r="EM492" i="1"/>
  <c r="DW489" i="1"/>
  <c r="DY489" i="1" s="1"/>
  <c r="DX489" i="1"/>
  <c r="DZ489" i="1" s="1"/>
  <c r="DW491" i="1"/>
  <c r="DY491" i="1" s="1"/>
  <c r="DX491" i="1"/>
  <c r="DZ491" i="1" s="1"/>
  <c r="DW490" i="1"/>
  <c r="DX490" i="1"/>
  <c r="DZ490" i="1" s="1"/>
  <c r="ED490" i="1" s="1"/>
  <c r="C4" i="24" a="1"/>
  <c r="C4" i="24" s="1"/>
  <c r="C5" i="24" a="1"/>
  <c r="C5" i="24" s="1"/>
  <c r="C6" i="24" a="1"/>
  <c r="C6" i="24" s="1"/>
  <c r="C7" i="24" a="1"/>
  <c r="C7" i="24" s="1"/>
  <c r="C8" i="24" a="1"/>
  <c r="C8" i="24" s="1"/>
  <c r="C9" i="24" a="1"/>
  <c r="C9" i="24" s="1"/>
  <c r="C10" i="24" a="1"/>
  <c r="C10" i="24" s="1"/>
  <c r="C11" i="24" a="1"/>
  <c r="C11" i="24" s="1"/>
  <c r="C12" i="24" a="1"/>
  <c r="C12" i="24" s="1"/>
  <c r="C13" i="24" a="1"/>
  <c r="C13" i="24" s="1"/>
  <c r="C14" i="24" a="1"/>
  <c r="C14" i="24" s="1"/>
  <c r="C15" i="24" a="1"/>
  <c r="C15" i="24" s="1"/>
  <c r="C16" i="24" a="1"/>
  <c r="C16" i="24" s="1"/>
  <c r="C17" i="24" a="1"/>
  <c r="C17" i="24" s="1"/>
  <c r="C18" i="24" a="1"/>
  <c r="C18" i="24" s="1"/>
  <c r="C19" i="24" a="1"/>
  <c r="C19" i="24" s="1"/>
  <c r="C20" i="24" a="1"/>
  <c r="C20" i="24" s="1"/>
  <c r="C21" i="24" a="1"/>
  <c r="C21" i="24" s="1"/>
  <c r="C22" i="24" a="1"/>
  <c r="C22" i="24" s="1"/>
  <c r="C23" i="24" a="1"/>
  <c r="C23" i="24" s="1"/>
  <c r="C24" i="24" a="1"/>
  <c r="C24" i="24" s="1"/>
  <c r="C25" i="24" a="1"/>
  <c r="C25" i="24" s="1"/>
  <c r="C26" i="24" a="1"/>
  <c r="C26" i="24" s="1"/>
  <c r="C27" i="24" a="1"/>
  <c r="C27" i="24" s="1"/>
  <c r="C28" i="24" a="1"/>
  <c r="C28" i="24" s="1"/>
  <c r="C29" i="24" a="1"/>
  <c r="C29" i="24" s="1"/>
  <c r="C30" i="24" a="1"/>
  <c r="C30" i="24" s="1"/>
  <c r="DN487" i="1"/>
  <c r="DP487" i="1" s="1"/>
  <c r="DM487" i="1"/>
  <c r="DL487" i="1"/>
  <c r="DO487" i="1" s="1"/>
  <c r="DK487" i="1"/>
  <c r="CT487" i="1"/>
  <c r="CW487" i="1"/>
  <c r="CY487" i="1" s="1"/>
  <c r="CF487" i="1"/>
  <c r="CE487" i="1"/>
  <c r="CH487" i="1" s="1"/>
  <c r="CD487" i="1"/>
  <c r="CC487" i="1"/>
  <c r="CG487" i="1" s="1"/>
  <c r="BW487" i="1"/>
  <c r="AO487" i="1"/>
  <c r="AJ488" i="1"/>
  <c r="AG488" i="1"/>
  <c r="DN488" i="1"/>
  <c r="DP488" i="1" s="1"/>
  <c r="DM488" i="1"/>
  <c r="DL488" i="1"/>
  <c r="DO488" i="1" s="1"/>
  <c r="DK488" i="1"/>
  <c r="CT488" i="1"/>
  <c r="CF488" i="1"/>
  <c r="CE488" i="1"/>
  <c r="CH488" i="1" s="1"/>
  <c r="CD488" i="1"/>
  <c r="CC488" i="1"/>
  <c r="CG488" i="1" s="1"/>
  <c r="BW488" i="1"/>
  <c r="AO488" i="1"/>
  <c r="AJ484" i="1"/>
  <c r="AG484" i="1"/>
  <c r="DN484" i="1"/>
  <c r="DP484" i="1" s="1"/>
  <c r="DM484" i="1"/>
  <c r="DL484" i="1"/>
  <c r="DO484" i="1" s="1"/>
  <c r="DK484" i="1"/>
  <c r="CT484" i="1"/>
  <c r="CW484" i="1"/>
  <c r="CY484" i="1" s="1"/>
  <c r="CF484" i="1"/>
  <c r="CE484" i="1"/>
  <c r="CH484" i="1" s="1"/>
  <c r="CD484" i="1"/>
  <c r="CC484" i="1"/>
  <c r="CG484" i="1" s="1"/>
  <c r="BW484" i="1"/>
  <c r="AO484" i="1"/>
  <c r="AJ486" i="1"/>
  <c r="AG486" i="1"/>
  <c r="DN486" i="1"/>
  <c r="DP486" i="1" s="1"/>
  <c r="DM486" i="1"/>
  <c r="DL486" i="1"/>
  <c r="DO486" i="1" s="1"/>
  <c r="DK486" i="1"/>
  <c r="CT486" i="1"/>
  <c r="CF486" i="1"/>
  <c r="CE486" i="1"/>
  <c r="CH486" i="1" s="1"/>
  <c r="CD486" i="1"/>
  <c r="CC486" i="1"/>
  <c r="CG486" i="1" s="1"/>
  <c r="BW486" i="1"/>
  <c r="AO486" i="1"/>
  <c r="AJ483" i="1"/>
  <c r="AG483" i="1"/>
  <c r="DN483" i="1"/>
  <c r="DP483" i="1" s="1"/>
  <c r="DM483" i="1"/>
  <c r="DL483" i="1"/>
  <c r="DO483" i="1" s="1"/>
  <c r="DK483" i="1"/>
  <c r="CF483" i="1"/>
  <c r="CE483" i="1"/>
  <c r="CH483" i="1" s="1"/>
  <c r="CD483" i="1"/>
  <c r="CC483" i="1"/>
  <c r="CG483" i="1" s="1"/>
  <c r="BW483" i="1"/>
  <c r="AO483" i="1"/>
  <c r="AJ485" i="1"/>
  <c r="AG485" i="1"/>
  <c r="DN485" i="1"/>
  <c r="DP485" i="1" s="1"/>
  <c r="DM485" i="1"/>
  <c r="DL485" i="1"/>
  <c r="DO485" i="1" s="1"/>
  <c r="DK485" i="1"/>
  <c r="CT485" i="1"/>
  <c r="CF485" i="1"/>
  <c r="CE485" i="1"/>
  <c r="CH485" i="1" s="1"/>
  <c r="CD485" i="1"/>
  <c r="CC485" i="1"/>
  <c r="CG485" i="1" s="1"/>
  <c r="BW485" i="1"/>
  <c r="AO485" i="1"/>
  <c r="O485" i="1"/>
  <c r="O484" i="1"/>
  <c r="O483" i="1"/>
  <c r="O486" i="1"/>
  <c r="O488" i="1"/>
  <c r="O487" i="1"/>
  <c r="L485" i="1"/>
  <c r="EK485" i="1" s="1"/>
  <c r="L484" i="1"/>
  <c r="L483" i="1"/>
  <c r="EK483" i="1" s="1"/>
  <c r="L486" i="1"/>
  <c r="L488" i="1"/>
  <c r="L487" i="1"/>
  <c r="F487" i="1"/>
  <c r="EG487" i="1" s="1"/>
  <c r="F488" i="1"/>
  <c r="DR488" i="1" s="1"/>
  <c r="F486" i="1"/>
  <c r="F483" i="1"/>
  <c r="F484" i="1"/>
  <c r="BN484" i="1" s="1"/>
  <c r="F485" i="1"/>
  <c r="EG485" i="1" s="1"/>
  <c r="B485" i="1"/>
  <c r="B484" i="1"/>
  <c r="B483" i="1"/>
  <c r="B486" i="1"/>
  <c r="B488" i="1"/>
  <c r="B487" i="1"/>
  <c r="BL485" i="6"/>
  <c r="BM485" i="6"/>
  <c r="BN485" i="6"/>
  <c r="BO485" i="6"/>
  <c r="BL484" i="6"/>
  <c r="BM484" i="6"/>
  <c r="BN484" i="6"/>
  <c r="BO484" i="6"/>
  <c r="BL483" i="6"/>
  <c r="BM483" i="6"/>
  <c r="BN483" i="6"/>
  <c r="BO483" i="6"/>
  <c r="BL486" i="6"/>
  <c r="BM486" i="6"/>
  <c r="BN486" i="6"/>
  <c r="BO486" i="6"/>
  <c r="BL488" i="6"/>
  <c r="BM488" i="6"/>
  <c r="BN488" i="6"/>
  <c r="BO488" i="6"/>
  <c r="BL487" i="6"/>
  <c r="BM487" i="6"/>
  <c r="BN487" i="6"/>
  <c r="BO487" i="6"/>
  <c r="DY490" i="1" l="1"/>
  <c r="EC490" i="1" s="1"/>
  <c r="EE490" i="1" s="1"/>
  <c r="EM485" i="1"/>
  <c r="EL485" i="1"/>
  <c r="EM487" i="1"/>
  <c r="EL487" i="1"/>
  <c r="DX488" i="1"/>
  <c r="DW488" i="1"/>
  <c r="CB487" i="1"/>
  <c r="DV487" i="1"/>
  <c r="EK487" i="1"/>
  <c r="BL487" i="1"/>
  <c r="BN487" i="1"/>
  <c r="BS487" i="1"/>
  <c r="DR487" i="1"/>
  <c r="CB486" i="1"/>
  <c r="BL484" i="1"/>
  <c r="CB488" i="1"/>
  <c r="DR484" i="1"/>
  <c r="BS484" i="1"/>
  <c r="EG484" i="1"/>
  <c r="BL488" i="1"/>
  <c r="CB484" i="1"/>
  <c r="BN486" i="1"/>
  <c r="DV488" i="1"/>
  <c r="EG488" i="1"/>
  <c r="DV484" i="1"/>
  <c r="EK488" i="1"/>
  <c r="EK484" i="1"/>
  <c r="BN488" i="1"/>
  <c r="BS488" i="1"/>
  <c r="AK488" i="1"/>
  <c r="AH488" i="1"/>
  <c r="AK484" i="1"/>
  <c r="AH484" i="1"/>
  <c r="AK486" i="1"/>
  <c r="DV486" i="1"/>
  <c r="DR486" i="1"/>
  <c r="EG486" i="1"/>
  <c r="EK486" i="1"/>
  <c r="BL486" i="1"/>
  <c r="BS486" i="1"/>
  <c r="AH486" i="1"/>
  <c r="AK483" i="1"/>
  <c r="BN483" i="1"/>
  <c r="BS483" i="1"/>
  <c r="DR483" i="1"/>
  <c r="BL485" i="1"/>
  <c r="BN485" i="1"/>
  <c r="DV483" i="1"/>
  <c r="BS485" i="1"/>
  <c r="CB483" i="1"/>
  <c r="EG483" i="1"/>
  <c r="CB485" i="1"/>
  <c r="DR485" i="1"/>
  <c r="DV485" i="1"/>
  <c r="BL483" i="1"/>
  <c r="AH483" i="1"/>
  <c r="AK485" i="1"/>
  <c r="AH485" i="1"/>
  <c r="J346" i="34"/>
  <c r="H346" i="34"/>
  <c r="J347" i="34"/>
  <c r="H347" i="34"/>
  <c r="J345" i="34"/>
  <c r="H345" i="34"/>
  <c r="J344" i="34"/>
  <c r="H344" i="34"/>
  <c r="J343" i="34"/>
  <c r="H343" i="34"/>
  <c r="J342" i="34"/>
  <c r="H342" i="34"/>
  <c r="H341" i="34"/>
  <c r="J341" i="34"/>
  <c r="J340" i="34"/>
  <c r="H340" i="34"/>
  <c r="J339" i="34"/>
  <c r="H339" i="34"/>
  <c r="J338" i="34"/>
  <c r="H338" i="34"/>
  <c r="J337" i="34"/>
  <c r="H337" i="34"/>
  <c r="J336" i="34"/>
  <c r="H336" i="34"/>
  <c r="J335" i="34"/>
  <c r="H335" i="34"/>
  <c r="J334" i="34"/>
  <c r="H334" i="34"/>
  <c r="J333" i="34"/>
  <c r="H333" i="34"/>
  <c r="J332" i="34"/>
  <c r="H332" i="34"/>
  <c r="J331" i="34"/>
  <c r="H331" i="34"/>
  <c r="J330" i="34"/>
  <c r="H330" i="34"/>
  <c r="J329" i="34"/>
  <c r="H329" i="34"/>
  <c r="J328" i="34"/>
  <c r="H328" i="34"/>
  <c r="Q147" i="14"/>
  <c r="P147" i="14"/>
  <c r="I147" i="14"/>
  <c r="CU487" i="1" l="1"/>
  <c r="CX487" i="1" s="1"/>
  <c r="CV487" i="1"/>
  <c r="EM488" i="1"/>
  <c r="EL488" i="1"/>
  <c r="EM486" i="1"/>
  <c r="EL486" i="1"/>
  <c r="EM483" i="1"/>
  <c r="EL483" i="1"/>
  <c r="EL484" i="1"/>
  <c r="EM484" i="1"/>
  <c r="CU484" i="1"/>
  <c r="CX484" i="1" s="1"/>
  <c r="CV484" i="1"/>
  <c r="DW484" i="1"/>
  <c r="DX484" i="1"/>
  <c r="DZ484" i="1" s="1"/>
  <c r="ED484" i="1" s="1"/>
  <c r="DW486" i="1"/>
  <c r="DY486" i="1" s="1"/>
  <c r="DX486" i="1"/>
  <c r="DZ486" i="1" s="1"/>
  <c r="DW483" i="1"/>
  <c r="DX483" i="1"/>
  <c r="DZ483" i="1" s="1"/>
  <c r="ED483" i="1" s="1"/>
  <c r="DW487" i="1"/>
  <c r="DX487" i="1"/>
  <c r="DW485" i="1"/>
  <c r="DX485" i="1"/>
  <c r="DZ485" i="1" s="1"/>
  <c r="ED485" i="1" s="1"/>
  <c r="T347" i="34"/>
  <c r="S347" i="34"/>
  <c r="R347" i="34"/>
  <c r="Q347" i="34"/>
  <c r="P347" i="34"/>
  <c r="O347" i="34"/>
  <c r="N347" i="34"/>
  <c r="M347" i="34"/>
  <c r="T346" i="34"/>
  <c r="S346" i="34"/>
  <c r="R346" i="34"/>
  <c r="Q346" i="34"/>
  <c r="P346" i="34"/>
  <c r="O346" i="34"/>
  <c r="N346" i="34"/>
  <c r="M346" i="34"/>
  <c r="T345" i="34"/>
  <c r="S345" i="34"/>
  <c r="R345" i="34"/>
  <c r="Q345" i="34"/>
  <c r="P345" i="34"/>
  <c r="O345" i="34"/>
  <c r="N345" i="34"/>
  <c r="M345" i="34"/>
  <c r="T344" i="34"/>
  <c r="S344" i="34"/>
  <c r="R344" i="34"/>
  <c r="Q344" i="34"/>
  <c r="P344" i="34"/>
  <c r="O344" i="34"/>
  <c r="N344" i="34"/>
  <c r="M344" i="34"/>
  <c r="T343" i="34"/>
  <c r="S343" i="34"/>
  <c r="R343" i="34"/>
  <c r="Q343" i="34"/>
  <c r="P343" i="34"/>
  <c r="O343" i="34"/>
  <c r="N343" i="34"/>
  <c r="M343" i="34"/>
  <c r="T342" i="34"/>
  <c r="S342" i="34"/>
  <c r="R342" i="34"/>
  <c r="Q342" i="34"/>
  <c r="P342" i="34"/>
  <c r="O342" i="34"/>
  <c r="N342" i="34"/>
  <c r="M342" i="34"/>
  <c r="T341" i="34"/>
  <c r="S341" i="34"/>
  <c r="R341" i="34"/>
  <c r="Q341" i="34"/>
  <c r="P341" i="34"/>
  <c r="O341" i="34"/>
  <c r="N341" i="34"/>
  <c r="M341" i="34"/>
  <c r="T340" i="34"/>
  <c r="S340" i="34"/>
  <c r="R340" i="34"/>
  <c r="Q340" i="34"/>
  <c r="P340" i="34"/>
  <c r="O340" i="34"/>
  <c r="N340" i="34"/>
  <c r="M340" i="34"/>
  <c r="T339" i="34"/>
  <c r="S339" i="34"/>
  <c r="R339" i="34"/>
  <c r="Q339" i="34"/>
  <c r="P339" i="34"/>
  <c r="O339" i="34"/>
  <c r="N339" i="34"/>
  <c r="M339" i="34"/>
  <c r="T338" i="34"/>
  <c r="S338" i="34"/>
  <c r="R338" i="34"/>
  <c r="Q338" i="34"/>
  <c r="P338" i="34"/>
  <c r="O338" i="34"/>
  <c r="N338" i="34"/>
  <c r="M338" i="34"/>
  <c r="T337" i="34"/>
  <c r="S337" i="34"/>
  <c r="R337" i="34"/>
  <c r="Q337" i="34"/>
  <c r="P337" i="34"/>
  <c r="O337" i="34"/>
  <c r="N337" i="34"/>
  <c r="M337" i="34"/>
  <c r="T336" i="34"/>
  <c r="S336" i="34"/>
  <c r="R336" i="34"/>
  <c r="Q336" i="34"/>
  <c r="P336" i="34"/>
  <c r="O336" i="34"/>
  <c r="N336" i="34"/>
  <c r="M336" i="34"/>
  <c r="T335" i="34"/>
  <c r="S335" i="34"/>
  <c r="R335" i="34"/>
  <c r="Q335" i="34"/>
  <c r="P335" i="34"/>
  <c r="O335" i="34"/>
  <c r="N335" i="34"/>
  <c r="M335" i="34"/>
  <c r="T334" i="34"/>
  <c r="S334" i="34"/>
  <c r="R334" i="34"/>
  <c r="Q334" i="34"/>
  <c r="P334" i="34"/>
  <c r="O334" i="34"/>
  <c r="N334" i="34"/>
  <c r="M334" i="34"/>
  <c r="T333" i="34"/>
  <c r="S333" i="34"/>
  <c r="R333" i="34"/>
  <c r="Q333" i="34"/>
  <c r="P333" i="34"/>
  <c r="O333" i="34"/>
  <c r="N333" i="34"/>
  <c r="M333" i="34"/>
  <c r="T332" i="34"/>
  <c r="S332" i="34"/>
  <c r="R332" i="34"/>
  <c r="Q332" i="34"/>
  <c r="P332" i="34"/>
  <c r="O332" i="34"/>
  <c r="N332" i="34"/>
  <c r="M332" i="34"/>
  <c r="T331" i="34"/>
  <c r="S331" i="34"/>
  <c r="R331" i="34"/>
  <c r="Q331" i="34"/>
  <c r="P331" i="34"/>
  <c r="O331" i="34"/>
  <c r="N331" i="34"/>
  <c r="M331" i="34"/>
  <c r="T330" i="34"/>
  <c r="S330" i="34"/>
  <c r="R330" i="34"/>
  <c r="Q330" i="34"/>
  <c r="P330" i="34"/>
  <c r="O330" i="34"/>
  <c r="N330" i="34"/>
  <c r="M330" i="34"/>
  <c r="T329" i="34"/>
  <c r="S329" i="34"/>
  <c r="R329" i="34"/>
  <c r="Q329" i="34"/>
  <c r="P329" i="34"/>
  <c r="O329" i="34"/>
  <c r="N329" i="34"/>
  <c r="M329" i="34"/>
  <c r="T328" i="34"/>
  <c r="S328" i="34"/>
  <c r="R328" i="34"/>
  <c r="Q328" i="34"/>
  <c r="P328" i="34"/>
  <c r="O328" i="34"/>
  <c r="N328" i="34"/>
  <c r="M328" i="34"/>
  <c r="AJ482" i="1"/>
  <c r="AG482" i="1"/>
  <c r="DN482" i="1"/>
  <c r="DP482" i="1" s="1"/>
  <c r="DM482" i="1"/>
  <c r="DL482" i="1"/>
  <c r="DO482" i="1" s="1"/>
  <c r="DK482" i="1"/>
  <c r="CT482" i="1"/>
  <c r="CW482" i="1"/>
  <c r="CY482" i="1" s="1"/>
  <c r="CF482" i="1"/>
  <c r="CE482" i="1"/>
  <c r="CH482" i="1" s="1"/>
  <c r="CD482" i="1"/>
  <c r="CC482" i="1"/>
  <c r="CG482" i="1" s="1"/>
  <c r="BW482" i="1"/>
  <c r="AO482" i="1"/>
  <c r="BL482" i="6"/>
  <c r="BM482" i="6"/>
  <c r="BN482" i="6"/>
  <c r="BO482" i="6"/>
  <c r="AJ480" i="1"/>
  <c r="AG480" i="1"/>
  <c r="DN480" i="1"/>
  <c r="DP480" i="1" s="1"/>
  <c r="DM480" i="1"/>
  <c r="DL480" i="1"/>
  <c r="DO480" i="1" s="1"/>
  <c r="DK480" i="1"/>
  <c r="CF480" i="1"/>
  <c r="BW480" i="1"/>
  <c r="AO480" i="1"/>
  <c r="BL480" i="6"/>
  <c r="BM480" i="6"/>
  <c r="BN480" i="6"/>
  <c r="BO480" i="6"/>
  <c r="AJ481" i="1"/>
  <c r="AG481" i="1"/>
  <c r="DN481" i="1"/>
  <c r="DP481" i="1" s="1"/>
  <c r="DM481" i="1"/>
  <c r="DL481" i="1"/>
  <c r="DO481" i="1" s="1"/>
  <c r="DK481" i="1"/>
  <c r="CT481" i="1"/>
  <c r="CE481" i="1"/>
  <c r="CD481" i="1"/>
  <c r="CC481" i="1"/>
  <c r="BW481" i="1"/>
  <c r="AO481" i="1"/>
  <c r="O479" i="1"/>
  <c r="O481" i="1"/>
  <c r="O480" i="1"/>
  <c r="O482" i="1"/>
  <c r="L479" i="1"/>
  <c r="L481" i="1"/>
  <c r="EK481" i="1" s="1"/>
  <c r="L480" i="1"/>
  <c r="EK480" i="1" s="1"/>
  <c r="L482" i="1"/>
  <c r="EK482" i="1" s="1"/>
  <c r="F481" i="1"/>
  <c r="EG481" i="1" s="1"/>
  <c r="F480" i="1"/>
  <c r="F482" i="1"/>
  <c r="EG482" i="1" s="1"/>
  <c r="B481" i="1"/>
  <c r="B480" i="1"/>
  <c r="B482" i="1"/>
  <c r="BL481" i="6"/>
  <c r="BM481" i="6"/>
  <c r="BN481" i="6"/>
  <c r="BO481" i="6"/>
  <c r="DY483" i="1" l="1"/>
  <c r="EC483" i="1" s="1"/>
  <c r="EE483" i="1" s="1"/>
  <c r="DY485" i="1"/>
  <c r="EC485" i="1" s="1"/>
  <c r="EE485" i="1" s="1"/>
  <c r="DY484" i="1"/>
  <c r="EC484" i="1" s="1"/>
  <c r="EE484" i="1" s="1"/>
  <c r="EM481" i="1"/>
  <c r="EL481" i="1"/>
  <c r="EL482" i="1"/>
  <c r="EM482" i="1"/>
  <c r="BL482" i="1"/>
  <c r="BN482" i="1"/>
  <c r="BS482" i="1"/>
  <c r="CB482" i="1"/>
  <c r="DR482" i="1"/>
  <c r="DV482" i="1"/>
  <c r="AH482" i="1"/>
  <c r="AK482" i="1"/>
  <c r="DV480" i="1"/>
  <c r="BS480" i="1"/>
  <c r="CB480" i="1"/>
  <c r="CB481" i="1"/>
  <c r="AH480" i="1"/>
  <c r="BL480" i="1"/>
  <c r="BN480" i="1"/>
  <c r="DR480" i="1"/>
  <c r="EG480" i="1"/>
  <c r="AK480" i="1"/>
  <c r="AH481" i="1"/>
  <c r="BS481" i="1"/>
  <c r="DV481" i="1"/>
  <c r="AK481" i="1"/>
  <c r="BL481" i="1"/>
  <c r="BN481" i="1"/>
  <c r="DR481" i="1"/>
  <c r="J6" i="36"/>
  <c r="J11" i="36" s="1"/>
  <c r="I6" i="36"/>
  <c r="I11" i="36" s="1"/>
  <c r="C21" i="36"/>
  <c r="C28" i="36"/>
  <c r="C24" i="36"/>
  <c r="C17" i="36"/>
  <c r="C7" i="36"/>
  <c r="C23" i="36"/>
  <c r="C15" i="36"/>
  <c r="C32" i="36"/>
  <c r="C8" i="36"/>
  <c r="C26" i="36"/>
  <c r="C14" i="36"/>
  <c r="C16" i="36"/>
  <c r="C30" i="36"/>
  <c r="C22" i="36"/>
  <c r="C35" i="36"/>
  <c r="C20" i="36"/>
  <c r="C12" i="36"/>
  <c r="C29" i="36"/>
  <c r="C25" i="36"/>
  <c r="C37" i="36"/>
  <c r="C36" i="36"/>
  <c r="C34" i="36"/>
  <c r="C33" i="36"/>
  <c r="C11" i="36"/>
  <c r="C13" i="36"/>
  <c r="C19" i="36"/>
  <c r="C31" i="36"/>
  <c r="C10" i="36"/>
  <c r="C9" i="36"/>
  <c r="C18" i="36"/>
  <c r="C27" i="36"/>
  <c r="CU482" i="1" l="1"/>
  <c r="CX482" i="1" s="1"/>
  <c r="CV482" i="1"/>
  <c r="EM480" i="1"/>
  <c r="EL480" i="1"/>
  <c r="DW481" i="1"/>
  <c r="DX481" i="1"/>
  <c r="DW482" i="1"/>
  <c r="DX482" i="1"/>
  <c r="DX480" i="1"/>
  <c r="DZ480" i="1" s="1"/>
  <c r="ED480" i="1" s="1"/>
  <c r="DW480" i="1"/>
  <c r="DY480" i="1" s="1"/>
  <c r="J12" i="36"/>
  <c r="I12" i="36"/>
  <c r="D37" i="36"/>
  <c r="D36" i="36"/>
  <c r="D35" i="36"/>
  <c r="D27" i="36"/>
  <c r="D30" i="36"/>
  <c r="D28" i="36"/>
  <c r="D34" i="36"/>
  <c r="D33" i="36"/>
  <c r="D32" i="36"/>
  <c r="D31" i="36"/>
  <c r="D29" i="36"/>
  <c r="D20" i="36"/>
  <c r="F20" i="36" s="1"/>
  <c r="D13" i="36"/>
  <c r="D16" i="36"/>
  <c r="F16" i="36" s="1"/>
  <c r="D19" i="36"/>
  <c r="F19" i="36" s="1"/>
  <c r="D9" i="36"/>
  <c r="D25" i="36"/>
  <c r="D11" i="36"/>
  <c r="F11" i="36" s="1"/>
  <c r="D12" i="36"/>
  <c r="F12" i="36" s="1"/>
  <c r="D22" i="36"/>
  <c r="F22" i="36" s="1"/>
  <c r="D15" i="36"/>
  <c r="F15" i="36" s="1"/>
  <c r="D8" i="36"/>
  <c r="D17" i="36"/>
  <c r="F17" i="36" s="1"/>
  <c r="D21" i="36"/>
  <c r="F21" i="36" s="1"/>
  <c r="D14" i="36"/>
  <c r="F14" i="36" s="1"/>
  <c r="D23" i="36"/>
  <c r="F23" i="36" s="1"/>
  <c r="D24" i="36"/>
  <c r="D10" i="36"/>
  <c r="D18" i="36"/>
  <c r="D26" i="36"/>
  <c r="Q86" i="28"/>
  <c r="N86" i="28" s="1"/>
  <c r="P86" i="28"/>
  <c r="M86" i="28" s="1"/>
  <c r="O86" i="28"/>
  <c r="L86" i="28" s="1"/>
  <c r="P206" i="14"/>
  <c r="Q206" i="14"/>
  <c r="I206" i="14"/>
  <c r="AL11" i="31"/>
  <c r="AM35" i="31" s="1"/>
  <c r="EC480" i="1" l="1"/>
  <c r="EE480" i="1" s="1"/>
  <c r="F26" i="36"/>
  <c r="G26" i="36"/>
  <c r="G18" i="36"/>
  <c r="F18" i="36"/>
  <c r="F10" i="36"/>
  <c r="G10" i="36"/>
  <c r="G24" i="36"/>
  <c r="F24" i="36"/>
  <c r="F13" i="36"/>
  <c r="G13" i="36"/>
  <c r="G8" i="36"/>
  <c r="F8" i="36"/>
  <c r="F27" i="36"/>
  <c r="G27" i="36"/>
  <c r="G25" i="36"/>
  <c r="F25" i="36"/>
  <c r="F9" i="36"/>
  <c r="G9" i="36"/>
  <c r="AM26" i="31"/>
  <c r="AM29" i="31"/>
  <c r="AM20" i="31"/>
  <c r="AM21" i="31"/>
  <c r="AM22" i="31"/>
  <c r="AM16" i="31"/>
  <c r="AM18" i="31"/>
  <c r="AM19" i="31"/>
  <c r="AM23" i="31"/>
  <c r="AM24" i="31"/>
  <c r="AM25" i="31"/>
  <c r="AM27" i="31"/>
  <c r="AM13" i="31"/>
  <c r="AM17" i="31"/>
  <c r="AM12" i="31"/>
  <c r="AM28" i="31"/>
  <c r="AM30" i="31"/>
  <c r="AM14" i="31"/>
  <c r="AM15" i="31"/>
  <c r="AM31" i="31"/>
  <c r="AM32" i="31"/>
  <c r="AM33" i="31"/>
  <c r="AM34" i="31"/>
  <c r="BZ57" i="35"/>
  <c r="BZ56" i="35"/>
  <c r="BZ55" i="35"/>
  <c r="BZ54" i="35"/>
  <c r="BZ53" i="35"/>
  <c r="BZ52" i="35"/>
  <c r="BZ51" i="35"/>
  <c r="BZ50" i="35"/>
  <c r="BZ49" i="35"/>
  <c r="BZ48" i="35"/>
  <c r="BZ47" i="35"/>
  <c r="BZ46" i="35"/>
  <c r="BZ45" i="35"/>
  <c r="Z45" i="35"/>
  <c r="R45" i="35"/>
  <c r="BZ44" i="35"/>
  <c r="Z44" i="35"/>
  <c r="R44" i="35"/>
  <c r="BZ43" i="35"/>
  <c r="Z43" i="35"/>
  <c r="R43" i="35"/>
  <c r="BZ42" i="35"/>
  <c r="Z42" i="35"/>
  <c r="R42" i="35"/>
  <c r="BZ41" i="35"/>
  <c r="R41" i="35"/>
  <c r="BZ40" i="35"/>
  <c r="Z40" i="35"/>
  <c r="R40" i="35"/>
  <c r="BZ39" i="35"/>
  <c r="Z39" i="35"/>
  <c r="R39" i="35"/>
  <c r="BZ38" i="35"/>
  <c r="Z38" i="35"/>
  <c r="R38" i="35"/>
  <c r="BZ37" i="35"/>
  <c r="R37" i="35"/>
  <c r="BZ36" i="35"/>
  <c r="Z36" i="35"/>
  <c r="R36" i="35"/>
  <c r="BZ35" i="35"/>
  <c r="Y35" i="35"/>
  <c r="Z35" i="35" s="1"/>
  <c r="R35" i="35"/>
  <c r="BZ34" i="35"/>
  <c r="Z34" i="35"/>
  <c r="R34" i="35"/>
  <c r="BZ33" i="35"/>
  <c r="R33" i="35"/>
  <c r="BZ32" i="35"/>
  <c r="Y32" i="35"/>
  <c r="Z32" i="35" s="1"/>
  <c r="R32" i="35"/>
  <c r="BZ31" i="35"/>
  <c r="Y31" i="35"/>
  <c r="Z31" i="35" s="1"/>
  <c r="R31" i="35"/>
  <c r="BZ30" i="35"/>
  <c r="Y30" i="35"/>
  <c r="Z30" i="35" s="1"/>
  <c r="R30" i="35"/>
  <c r="BZ29" i="35"/>
  <c r="R29" i="35"/>
  <c r="BZ28" i="35"/>
  <c r="Z28" i="35"/>
  <c r="R28" i="35"/>
  <c r="BZ27" i="35"/>
  <c r="Z27" i="35"/>
  <c r="R27" i="35"/>
  <c r="BZ26" i="35"/>
  <c r="Z26" i="35"/>
  <c r="R26" i="35"/>
  <c r="BZ25" i="35"/>
  <c r="Y25" i="35"/>
  <c r="Z25" i="35" s="1"/>
  <c r="R25" i="35"/>
  <c r="BZ24" i="35"/>
  <c r="Z24" i="35"/>
  <c r="R24" i="35"/>
  <c r="BZ23" i="35"/>
  <c r="Y23" i="35"/>
  <c r="Z23" i="35" s="1"/>
  <c r="R23" i="35"/>
  <c r="BZ22" i="35"/>
  <c r="Z22" i="35"/>
  <c r="R22" i="35"/>
  <c r="BZ21" i="35"/>
  <c r="Y21" i="35"/>
  <c r="Z21" i="35" s="1"/>
  <c r="R21" i="35"/>
  <c r="BZ20" i="35"/>
  <c r="Z20" i="35"/>
  <c r="R20" i="35"/>
  <c r="BZ19" i="35"/>
  <c r="Y19" i="35"/>
  <c r="Z19" i="35" s="1"/>
  <c r="R19" i="35"/>
  <c r="BZ18" i="35"/>
  <c r="BH18" i="35"/>
  <c r="BG18" i="35"/>
  <c r="BH19" i="35" s="1"/>
  <c r="BF18" i="35"/>
  <c r="BE18" i="35"/>
  <c r="BD18" i="35"/>
  <c r="BE19" i="35" s="1"/>
  <c r="BC18" i="35"/>
  <c r="BD19" i="35" s="1"/>
  <c r="BB18" i="35"/>
  <c r="BC19" i="35" s="1"/>
  <c r="BA18" i="35"/>
  <c r="BB19" i="35" s="1"/>
  <c r="AZ18" i="35"/>
  <c r="BA19" i="35" s="1"/>
  <c r="AY18" i="35"/>
  <c r="AZ19" i="35" s="1"/>
  <c r="AX18" i="35"/>
  <c r="AY19" i="35" s="1"/>
  <c r="AW18" i="35"/>
  <c r="AX19" i="35" s="1"/>
  <c r="AV18" i="35"/>
  <c r="AW19" i="35" s="1"/>
  <c r="R18" i="35"/>
  <c r="BW16" i="35"/>
  <c r="BW18" i="35" s="1"/>
  <c r="BV16" i="35"/>
  <c r="BV18" i="35" s="1"/>
  <c r="BU16" i="35"/>
  <c r="BT16" i="35"/>
  <c r="BS16" i="35"/>
  <c r="BR16" i="35"/>
  <c r="BQ16" i="35"/>
  <c r="BP16" i="35"/>
  <c r="BO16" i="35"/>
  <c r="BN16" i="35"/>
  <c r="BN18" i="35" s="1"/>
  <c r="BM16" i="35"/>
  <c r="BL16" i="35"/>
  <c r="BK16" i="35"/>
  <c r="BK18" i="35" s="1"/>
  <c r="BJ16" i="35"/>
  <c r="AS16" i="35"/>
  <c r="AS49" i="35" s="1"/>
  <c r="AR16" i="35"/>
  <c r="AR18" i="35" s="1"/>
  <c r="AQ16" i="35"/>
  <c r="AQ18" i="35" s="1"/>
  <c r="AP16" i="35"/>
  <c r="AP36" i="35" s="1"/>
  <c r="AO16" i="35"/>
  <c r="AO36" i="35" s="1"/>
  <c r="AN16" i="35"/>
  <c r="AN36" i="35" s="1"/>
  <c r="AM16" i="35"/>
  <c r="AL16" i="35"/>
  <c r="AK16" i="35"/>
  <c r="AJ16" i="35"/>
  <c r="AI16" i="35"/>
  <c r="AI33" i="35" s="1"/>
  <c r="AH16" i="35"/>
  <c r="AH27" i="35" s="1"/>
  <c r="AG16" i="35"/>
  <c r="AG39" i="35" s="1"/>
  <c r="AF16" i="35"/>
  <c r="AF39" i="35" s="1"/>
  <c r="M204" i="34"/>
  <c r="N204" i="34"/>
  <c r="O204" i="34"/>
  <c r="P204" i="34"/>
  <c r="Q204" i="34"/>
  <c r="R204" i="34"/>
  <c r="S204" i="34"/>
  <c r="T204" i="34"/>
  <c r="M205" i="34"/>
  <c r="N205" i="34"/>
  <c r="O205" i="34"/>
  <c r="P205" i="34"/>
  <c r="Q205" i="34"/>
  <c r="R205" i="34"/>
  <c r="S205" i="34"/>
  <c r="T205" i="34"/>
  <c r="M206" i="34"/>
  <c r="N206" i="34"/>
  <c r="O206" i="34"/>
  <c r="P206" i="34"/>
  <c r="Q206" i="34"/>
  <c r="R206" i="34"/>
  <c r="S206" i="34"/>
  <c r="T206" i="34"/>
  <c r="M207" i="34"/>
  <c r="N207" i="34"/>
  <c r="O207" i="34"/>
  <c r="P207" i="34"/>
  <c r="Q207" i="34"/>
  <c r="R207" i="34"/>
  <c r="S207" i="34"/>
  <c r="T207" i="34"/>
  <c r="M208" i="34"/>
  <c r="N208" i="34"/>
  <c r="O208" i="34"/>
  <c r="P208" i="34"/>
  <c r="Q208" i="34"/>
  <c r="R208" i="34"/>
  <c r="S208" i="34"/>
  <c r="T208" i="34"/>
  <c r="M209" i="34"/>
  <c r="N209" i="34"/>
  <c r="O209" i="34"/>
  <c r="P209" i="34"/>
  <c r="Q209" i="34"/>
  <c r="R209" i="34"/>
  <c r="S209" i="34"/>
  <c r="T209" i="34"/>
  <c r="M210" i="34"/>
  <c r="N210" i="34"/>
  <c r="O210" i="34"/>
  <c r="P210" i="34"/>
  <c r="Q210" i="34"/>
  <c r="R210" i="34"/>
  <c r="S210" i="34"/>
  <c r="T210" i="34"/>
  <c r="M211" i="34"/>
  <c r="N211" i="34"/>
  <c r="O211" i="34"/>
  <c r="P211" i="34"/>
  <c r="Q211" i="34"/>
  <c r="R211" i="34"/>
  <c r="S211" i="34"/>
  <c r="T211" i="34"/>
  <c r="M212" i="34"/>
  <c r="N212" i="34"/>
  <c r="O212" i="34"/>
  <c r="P212" i="34"/>
  <c r="Q212" i="34"/>
  <c r="R212" i="34"/>
  <c r="S212" i="34"/>
  <c r="T212" i="34"/>
  <c r="M213" i="34"/>
  <c r="N213" i="34"/>
  <c r="O213" i="34"/>
  <c r="P213" i="34"/>
  <c r="Q213" i="34"/>
  <c r="R213" i="34"/>
  <c r="S213" i="34"/>
  <c r="T213" i="34"/>
  <c r="M217" i="34"/>
  <c r="N217" i="34"/>
  <c r="O217" i="34"/>
  <c r="P217" i="34"/>
  <c r="Q217" i="34"/>
  <c r="R217" i="34"/>
  <c r="S217" i="34"/>
  <c r="T217" i="34"/>
  <c r="M220" i="34"/>
  <c r="N220" i="34"/>
  <c r="O220" i="34"/>
  <c r="P220" i="34"/>
  <c r="Q220" i="34"/>
  <c r="R220" i="34"/>
  <c r="S220" i="34"/>
  <c r="T220" i="34"/>
  <c r="M221" i="34"/>
  <c r="N221" i="34"/>
  <c r="O221" i="34"/>
  <c r="P221" i="34"/>
  <c r="Q221" i="34"/>
  <c r="R221" i="34"/>
  <c r="S221" i="34"/>
  <c r="T221" i="34"/>
  <c r="M223" i="34"/>
  <c r="N223" i="34"/>
  <c r="O223" i="34"/>
  <c r="P223" i="34"/>
  <c r="Q223" i="34"/>
  <c r="R223" i="34"/>
  <c r="S223" i="34"/>
  <c r="T223" i="34"/>
  <c r="M224" i="34"/>
  <c r="N224" i="34"/>
  <c r="O224" i="34"/>
  <c r="P224" i="34"/>
  <c r="Q224" i="34"/>
  <c r="R224" i="34"/>
  <c r="S224" i="34"/>
  <c r="T224" i="34"/>
  <c r="M225" i="34"/>
  <c r="N225" i="34"/>
  <c r="O225" i="34"/>
  <c r="P225" i="34"/>
  <c r="Q225" i="34"/>
  <c r="R225" i="34"/>
  <c r="S225" i="34"/>
  <c r="T225" i="34"/>
  <c r="M226" i="34"/>
  <c r="N226" i="34"/>
  <c r="O226" i="34"/>
  <c r="P226" i="34"/>
  <c r="Q226" i="34"/>
  <c r="R226" i="34"/>
  <c r="S226" i="34"/>
  <c r="T226" i="34"/>
  <c r="M227" i="34"/>
  <c r="N227" i="34"/>
  <c r="O227" i="34"/>
  <c r="P227" i="34"/>
  <c r="Q227" i="34"/>
  <c r="R227" i="34"/>
  <c r="S227" i="34"/>
  <c r="T227" i="34"/>
  <c r="M228" i="34"/>
  <c r="N228" i="34"/>
  <c r="O228" i="34"/>
  <c r="P228" i="34"/>
  <c r="Q228" i="34"/>
  <c r="R228" i="34"/>
  <c r="S228" i="34"/>
  <c r="T228" i="34"/>
  <c r="M229" i="34"/>
  <c r="N229" i="34"/>
  <c r="O229" i="34"/>
  <c r="P229" i="34"/>
  <c r="Q229" i="34"/>
  <c r="R229" i="34"/>
  <c r="S229" i="34"/>
  <c r="T229" i="34"/>
  <c r="M230" i="34"/>
  <c r="N230" i="34"/>
  <c r="O230" i="34"/>
  <c r="P230" i="34"/>
  <c r="Q230" i="34"/>
  <c r="R230" i="34"/>
  <c r="S230" i="34"/>
  <c r="T230" i="34"/>
  <c r="M231" i="34"/>
  <c r="N231" i="34"/>
  <c r="O231" i="34"/>
  <c r="P231" i="34"/>
  <c r="Q231" i="34"/>
  <c r="R231" i="34"/>
  <c r="S231" i="34"/>
  <c r="T231" i="34"/>
  <c r="M233" i="34"/>
  <c r="N233" i="34"/>
  <c r="O233" i="34"/>
  <c r="P233" i="34"/>
  <c r="Q233" i="34"/>
  <c r="R233" i="34"/>
  <c r="S233" i="34"/>
  <c r="T233" i="34"/>
  <c r="M234" i="34"/>
  <c r="N234" i="34"/>
  <c r="O234" i="34"/>
  <c r="P234" i="34"/>
  <c r="Q234" i="34"/>
  <c r="R234" i="34"/>
  <c r="S234" i="34"/>
  <c r="T234" i="34"/>
  <c r="M235" i="34"/>
  <c r="N235" i="34"/>
  <c r="O235" i="34"/>
  <c r="P235" i="34"/>
  <c r="Q235" i="34"/>
  <c r="R235" i="34"/>
  <c r="S235" i="34"/>
  <c r="T235" i="34"/>
  <c r="M236" i="34"/>
  <c r="N236" i="34"/>
  <c r="O236" i="34"/>
  <c r="P236" i="34"/>
  <c r="Q236" i="34"/>
  <c r="R236" i="34"/>
  <c r="S236" i="34"/>
  <c r="T236" i="34"/>
  <c r="M237" i="34"/>
  <c r="N237" i="34"/>
  <c r="O237" i="34"/>
  <c r="P237" i="34"/>
  <c r="Q237" i="34"/>
  <c r="R237" i="34"/>
  <c r="S237" i="34"/>
  <c r="T237" i="34"/>
  <c r="M238" i="34"/>
  <c r="N238" i="34"/>
  <c r="O238" i="34"/>
  <c r="P238" i="34"/>
  <c r="Q238" i="34"/>
  <c r="R238" i="34"/>
  <c r="S238" i="34"/>
  <c r="T238" i="34"/>
  <c r="M239" i="34"/>
  <c r="N239" i="34"/>
  <c r="O239" i="34"/>
  <c r="P239" i="34"/>
  <c r="Q239" i="34"/>
  <c r="R239" i="34"/>
  <c r="S239" i="34"/>
  <c r="T239" i="34"/>
  <c r="M241" i="34"/>
  <c r="N241" i="34"/>
  <c r="O241" i="34"/>
  <c r="P241" i="34"/>
  <c r="Q241" i="34"/>
  <c r="R241" i="34"/>
  <c r="S241" i="34"/>
  <c r="T241" i="34"/>
  <c r="M242" i="34"/>
  <c r="N242" i="34"/>
  <c r="O242" i="34"/>
  <c r="P242" i="34"/>
  <c r="Q242" i="34"/>
  <c r="R242" i="34"/>
  <c r="S242" i="34"/>
  <c r="T242" i="34"/>
  <c r="M243" i="34"/>
  <c r="N243" i="34"/>
  <c r="O243" i="34"/>
  <c r="P243" i="34"/>
  <c r="Q243" i="34"/>
  <c r="R243" i="34"/>
  <c r="S243" i="34"/>
  <c r="T243" i="34"/>
  <c r="M244" i="34"/>
  <c r="N244" i="34"/>
  <c r="O244" i="34"/>
  <c r="P244" i="34"/>
  <c r="Q244" i="34"/>
  <c r="R244" i="34"/>
  <c r="S244" i="34"/>
  <c r="T244" i="34"/>
  <c r="M245" i="34"/>
  <c r="N245" i="34"/>
  <c r="O245" i="34"/>
  <c r="P245" i="34"/>
  <c r="Q245" i="34"/>
  <c r="R245" i="34"/>
  <c r="S245" i="34"/>
  <c r="T245" i="34"/>
  <c r="M246" i="34"/>
  <c r="N246" i="34"/>
  <c r="O246" i="34"/>
  <c r="P246" i="34"/>
  <c r="Q246" i="34"/>
  <c r="R246" i="34"/>
  <c r="S246" i="34"/>
  <c r="T246" i="34"/>
  <c r="M247" i="34"/>
  <c r="N247" i="34"/>
  <c r="O247" i="34"/>
  <c r="P247" i="34"/>
  <c r="Q247" i="34"/>
  <c r="R247" i="34"/>
  <c r="S247" i="34"/>
  <c r="T247" i="34"/>
  <c r="M248" i="34"/>
  <c r="N248" i="34"/>
  <c r="O248" i="34"/>
  <c r="P248" i="34"/>
  <c r="Q248" i="34"/>
  <c r="R248" i="34"/>
  <c r="S248" i="34"/>
  <c r="T248" i="34"/>
  <c r="M249" i="34"/>
  <c r="N249" i="34"/>
  <c r="O249" i="34"/>
  <c r="P249" i="34"/>
  <c r="Q249" i="34"/>
  <c r="R249" i="34"/>
  <c r="S249" i="34"/>
  <c r="T249" i="34"/>
  <c r="M250" i="34"/>
  <c r="N250" i="34"/>
  <c r="O250" i="34"/>
  <c r="P250" i="34"/>
  <c r="Q250" i="34"/>
  <c r="R250" i="34"/>
  <c r="S250" i="34"/>
  <c r="T250" i="34"/>
  <c r="M251" i="34"/>
  <c r="N251" i="34"/>
  <c r="O251" i="34"/>
  <c r="P251" i="34"/>
  <c r="Q251" i="34"/>
  <c r="R251" i="34"/>
  <c r="S251" i="34"/>
  <c r="T251" i="34"/>
  <c r="M252" i="34"/>
  <c r="N252" i="34"/>
  <c r="O252" i="34"/>
  <c r="P252" i="34"/>
  <c r="Q252" i="34"/>
  <c r="R252" i="34"/>
  <c r="S252" i="34"/>
  <c r="T252" i="34"/>
  <c r="M253" i="34"/>
  <c r="N253" i="34"/>
  <c r="O253" i="34"/>
  <c r="P253" i="34"/>
  <c r="Q253" i="34"/>
  <c r="R253" i="34"/>
  <c r="S253" i="34"/>
  <c r="T253" i="34"/>
  <c r="M254" i="34"/>
  <c r="N254" i="34"/>
  <c r="O254" i="34"/>
  <c r="P254" i="34"/>
  <c r="Q254" i="34"/>
  <c r="R254" i="34"/>
  <c r="S254" i="34"/>
  <c r="T254" i="34"/>
  <c r="M255" i="34"/>
  <c r="N255" i="34"/>
  <c r="O255" i="34"/>
  <c r="P255" i="34"/>
  <c r="Q255" i="34"/>
  <c r="R255" i="34"/>
  <c r="S255" i="34"/>
  <c r="T255" i="34"/>
  <c r="M256" i="34"/>
  <c r="N256" i="34"/>
  <c r="O256" i="34"/>
  <c r="P256" i="34"/>
  <c r="Q256" i="34"/>
  <c r="R256" i="34"/>
  <c r="S256" i="34"/>
  <c r="T256" i="34"/>
  <c r="M257" i="34"/>
  <c r="N257" i="34"/>
  <c r="O257" i="34"/>
  <c r="P257" i="34"/>
  <c r="Q257" i="34"/>
  <c r="R257" i="34"/>
  <c r="S257" i="34"/>
  <c r="T257" i="34"/>
  <c r="M258" i="34"/>
  <c r="N258" i="34"/>
  <c r="O258" i="34"/>
  <c r="P258" i="34"/>
  <c r="Q258" i="34"/>
  <c r="R258" i="34"/>
  <c r="S258" i="34"/>
  <c r="T258" i="34"/>
  <c r="M259" i="34"/>
  <c r="N259" i="34"/>
  <c r="O259" i="34"/>
  <c r="P259" i="34"/>
  <c r="Q259" i="34"/>
  <c r="R259" i="34"/>
  <c r="S259" i="34"/>
  <c r="T259" i="34"/>
  <c r="M260" i="34"/>
  <c r="N260" i="34"/>
  <c r="O260" i="34"/>
  <c r="P260" i="34"/>
  <c r="Q260" i="34"/>
  <c r="R260" i="34"/>
  <c r="S260" i="34"/>
  <c r="T260" i="34"/>
  <c r="M261" i="34"/>
  <c r="N261" i="34"/>
  <c r="O261" i="34"/>
  <c r="P261" i="34"/>
  <c r="Q261" i="34"/>
  <c r="R261" i="34"/>
  <c r="S261" i="34"/>
  <c r="T261" i="34"/>
  <c r="M262" i="34"/>
  <c r="N262" i="34"/>
  <c r="O262" i="34"/>
  <c r="P262" i="34"/>
  <c r="Q262" i="34"/>
  <c r="R262" i="34"/>
  <c r="S262" i="34"/>
  <c r="T262" i="34"/>
  <c r="M263" i="34"/>
  <c r="N263" i="34"/>
  <c r="O263" i="34"/>
  <c r="P263" i="34"/>
  <c r="Q263" i="34"/>
  <c r="R263" i="34"/>
  <c r="S263" i="34"/>
  <c r="T263" i="34"/>
  <c r="M264" i="34"/>
  <c r="N264" i="34"/>
  <c r="O264" i="34"/>
  <c r="P264" i="34"/>
  <c r="Q264" i="34"/>
  <c r="R264" i="34"/>
  <c r="S264" i="34"/>
  <c r="T264" i="34"/>
  <c r="M265" i="34"/>
  <c r="N265" i="34"/>
  <c r="O265" i="34"/>
  <c r="P265" i="34"/>
  <c r="Q265" i="34"/>
  <c r="R265" i="34"/>
  <c r="S265" i="34"/>
  <c r="T265" i="34"/>
  <c r="M266" i="34"/>
  <c r="N266" i="34"/>
  <c r="O266" i="34"/>
  <c r="P266" i="34"/>
  <c r="Q266" i="34"/>
  <c r="R266" i="34"/>
  <c r="S266" i="34"/>
  <c r="T266" i="34"/>
  <c r="M267" i="34"/>
  <c r="N267" i="34"/>
  <c r="O267" i="34"/>
  <c r="P267" i="34"/>
  <c r="Q267" i="34"/>
  <c r="R267" i="34"/>
  <c r="S267" i="34"/>
  <c r="T267" i="34"/>
  <c r="M268" i="34"/>
  <c r="N268" i="34"/>
  <c r="O268" i="34"/>
  <c r="P268" i="34"/>
  <c r="Q268" i="34"/>
  <c r="R268" i="34"/>
  <c r="S268" i="34"/>
  <c r="T268" i="34"/>
  <c r="M269" i="34"/>
  <c r="N269" i="34"/>
  <c r="O269" i="34"/>
  <c r="P269" i="34"/>
  <c r="Q269" i="34"/>
  <c r="R269" i="34"/>
  <c r="S269" i="34"/>
  <c r="T269" i="34"/>
  <c r="M270" i="34"/>
  <c r="N270" i="34"/>
  <c r="O270" i="34"/>
  <c r="P270" i="34"/>
  <c r="Q270" i="34"/>
  <c r="R270" i="34"/>
  <c r="S270" i="34"/>
  <c r="T270" i="34"/>
  <c r="M271" i="34"/>
  <c r="N271" i="34"/>
  <c r="O271" i="34"/>
  <c r="P271" i="34"/>
  <c r="Q271" i="34"/>
  <c r="R271" i="34"/>
  <c r="S271" i="34"/>
  <c r="T271" i="34"/>
  <c r="M272" i="34"/>
  <c r="N272" i="34"/>
  <c r="O272" i="34"/>
  <c r="P272" i="34"/>
  <c r="Q272" i="34"/>
  <c r="R272" i="34"/>
  <c r="S272" i="34"/>
  <c r="T272" i="34"/>
  <c r="M273" i="34"/>
  <c r="N273" i="34"/>
  <c r="O273" i="34"/>
  <c r="P273" i="34"/>
  <c r="Q273" i="34"/>
  <c r="R273" i="34"/>
  <c r="S273" i="34"/>
  <c r="T273" i="34"/>
  <c r="M274" i="34"/>
  <c r="N274" i="34"/>
  <c r="O274" i="34"/>
  <c r="P274" i="34"/>
  <c r="Q274" i="34"/>
  <c r="R274" i="34"/>
  <c r="S274" i="34"/>
  <c r="T274" i="34"/>
  <c r="M275" i="34"/>
  <c r="N275" i="34"/>
  <c r="O275" i="34"/>
  <c r="P275" i="34"/>
  <c r="Q275" i="34"/>
  <c r="R275" i="34"/>
  <c r="S275" i="34"/>
  <c r="T275" i="34"/>
  <c r="M276" i="34"/>
  <c r="N276" i="34"/>
  <c r="O276" i="34"/>
  <c r="P276" i="34"/>
  <c r="Q276" i="34"/>
  <c r="R276" i="34"/>
  <c r="S276" i="34"/>
  <c r="T276" i="34"/>
  <c r="M277" i="34"/>
  <c r="N277" i="34"/>
  <c r="O277" i="34"/>
  <c r="P277" i="34"/>
  <c r="Q277" i="34"/>
  <c r="R277" i="34"/>
  <c r="S277" i="34"/>
  <c r="T277" i="34"/>
  <c r="M278" i="34"/>
  <c r="N278" i="34"/>
  <c r="O278" i="34"/>
  <c r="P278" i="34"/>
  <c r="Q278" i="34"/>
  <c r="R278" i="34"/>
  <c r="S278" i="34"/>
  <c r="T278" i="34"/>
  <c r="M279" i="34"/>
  <c r="N279" i="34"/>
  <c r="O279" i="34"/>
  <c r="P279" i="34"/>
  <c r="Q279" i="34"/>
  <c r="R279" i="34"/>
  <c r="S279" i="34"/>
  <c r="T279" i="34"/>
  <c r="M280" i="34"/>
  <c r="N280" i="34"/>
  <c r="O280" i="34"/>
  <c r="P280" i="34"/>
  <c r="Q280" i="34"/>
  <c r="R280" i="34"/>
  <c r="S280" i="34"/>
  <c r="T280" i="34"/>
  <c r="M281" i="34"/>
  <c r="N281" i="34"/>
  <c r="O281" i="34"/>
  <c r="P281" i="34"/>
  <c r="Q281" i="34"/>
  <c r="R281" i="34"/>
  <c r="S281" i="34"/>
  <c r="T281" i="34"/>
  <c r="M282" i="34"/>
  <c r="N282" i="34"/>
  <c r="O282" i="34"/>
  <c r="P282" i="34"/>
  <c r="Q282" i="34"/>
  <c r="R282" i="34"/>
  <c r="S282" i="34"/>
  <c r="T282" i="34"/>
  <c r="M283" i="34"/>
  <c r="N283" i="34"/>
  <c r="O283" i="34"/>
  <c r="P283" i="34"/>
  <c r="Q283" i="34"/>
  <c r="R283" i="34"/>
  <c r="S283" i="34"/>
  <c r="T283" i="34"/>
  <c r="M284" i="34"/>
  <c r="N284" i="34"/>
  <c r="O284" i="34"/>
  <c r="P284" i="34"/>
  <c r="Q284" i="34"/>
  <c r="R284" i="34"/>
  <c r="S284" i="34"/>
  <c r="T284" i="34"/>
  <c r="M285" i="34"/>
  <c r="N285" i="34"/>
  <c r="O285" i="34"/>
  <c r="P285" i="34"/>
  <c r="Q285" i="34"/>
  <c r="R285" i="34"/>
  <c r="S285" i="34"/>
  <c r="T285" i="34"/>
  <c r="M286" i="34"/>
  <c r="N286" i="34"/>
  <c r="O286" i="34"/>
  <c r="P286" i="34"/>
  <c r="Q286" i="34"/>
  <c r="R286" i="34"/>
  <c r="S286" i="34"/>
  <c r="T286" i="34"/>
  <c r="M287" i="34"/>
  <c r="N287" i="34"/>
  <c r="O287" i="34"/>
  <c r="P287" i="34"/>
  <c r="Q287" i="34"/>
  <c r="R287" i="34"/>
  <c r="S287" i="34"/>
  <c r="T287" i="34"/>
  <c r="M289" i="34"/>
  <c r="N289" i="34"/>
  <c r="O289" i="34"/>
  <c r="P289" i="34"/>
  <c r="Q289" i="34"/>
  <c r="R289" i="34"/>
  <c r="S289" i="34"/>
  <c r="T289" i="34"/>
  <c r="M290" i="34"/>
  <c r="N290" i="34"/>
  <c r="O290" i="34"/>
  <c r="P290" i="34"/>
  <c r="Q290" i="34"/>
  <c r="R290" i="34"/>
  <c r="S290" i="34"/>
  <c r="T290" i="34"/>
  <c r="M291" i="34"/>
  <c r="N291" i="34"/>
  <c r="O291" i="34"/>
  <c r="P291" i="34"/>
  <c r="Q291" i="34"/>
  <c r="R291" i="34"/>
  <c r="S291" i="34"/>
  <c r="T291" i="34"/>
  <c r="M292" i="34"/>
  <c r="N292" i="34"/>
  <c r="O292" i="34"/>
  <c r="P292" i="34"/>
  <c r="Q292" i="34"/>
  <c r="R292" i="34"/>
  <c r="S292" i="34"/>
  <c r="T292" i="34"/>
  <c r="M293" i="34"/>
  <c r="N293" i="34"/>
  <c r="O293" i="34"/>
  <c r="P293" i="34"/>
  <c r="Q293" i="34"/>
  <c r="R293" i="34"/>
  <c r="S293" i="34"/>
  <c r="T293" i="34"/>
  <c r="M294" i="34"/>
  <c r="N294" i="34"/>
  <c r="O294" i="34"/>
  <c r="P294" i="34"/>
  <c r="Q294" i="34"/>
  <c r="R294" i="34"/>
  <c r="S294" i="34"/>
  <c r="T294" i="34"/>
  <c r="M296" i="34"/>
  <c r="N296" i="34"/>
  <c r="O296" i="34"/>
  <c r="P296" i="34"/>
  <c r="Q296" i="34"/>
  <c r="R296" i="34"/>
  <c r="S296" i="34"/>
  <c r="T296" i="34"/>
  <c r="M297" i="34"/>
  <c r="N297" i="34"/>
  <c r="O297" i="34"/>
  <c r="P297" i="34"/>
  <c r="Q297" i="34"/>
  <c r="R297" i="34"/>
  <c r="S297" i="34"/>
  <c r="T297" i="34"/>
  <c r="M298" i="34"/>
  <c r="N298" i="34"/>
  <c r="O298" i="34"/>
  <c r="P298" i="34"/>
  <c r="Q298" i="34"/>
  <c r="R298" i="34"/>
  <c r="S298" i="34"/>
  <c r="T298" i="34"/>
  <c r="M299" i="34"/>
  <c r="N299" i="34"/>
  <c r="O299" i="34"/>
  <c r="P299" i="34"/>
  <c r="Q299" i="34"/>
  <c r="R299" i="34"/>
  <c r="S299" i="34"/>
  <c r="T299" i="34"/>
  <c r="M300" i="34"/>
  <c r="N300" i="34"/>
  <c r="O300" i="34"/>
  <c r="P300" i="34"/>
  <c r="Q300" i="34"/>
  <c r="R300" i="34"/>
  <c r="S300" i="34"/>
  <c r="T300" i="34"/>
  <c r="M301" i="34"/>
  <c r="N301" i="34"/>
  <c r="O301" i="34"/>
  <c r="P301" i="34"/>
  <c r="Q301" i="34"/>
  <c r="R301" i="34"/>
  <c r="S301" i="34"/>
  <c r="T301" i="34"/>
  <c r="M302" i="34"/>
  <c r="N302" i="34"/>
  <c r="O302" i="34"/>
  <c r="P302" i="34"/>
  <c r="Q302" i="34"/>
  <c r="R302" i="34"/>
  <c r="S302" i="34"/>
  <c r="T302" i="34"/>
  <c r="M303" i="34"/>
  <c r="N303" i="34"/>
  <c r="O303" i="34"/>
  <c r="P303" i="34"/>
  <c r="Q303" i="34"/>
  <c r="R303" i="34"/>
  <c r="S303" i="34"/>
  <c r="T303" i="34"/>
  <c r="M304" i="34"/>
  <c r="N304" i="34"/>
  <c r="O304" i="34"/>
  <c r="P304" i="34"/>
  <c r="Q304" i="34"/>
  <c r="R304" i="34"/>
  <c r="S304" i="34"/>
  <c r="T304" i="34"/>
  <c r="M305" i="34"/>
  <c r="N305" i="34"/>
  <c r="O305" i="34"/>
  <c r="P305" i="34"/>
  <c r="Q305" i="34"/>
  <c r="R305" i="34"/>
  <c r="S305" i="34"/>
  <c r="T305" i="34"/>
  <c r="M306" i="34"/>
  <c r="N306" i="34"/>
  <c r="O306" i="34"/>
  <c r="P306" i="34"/>
  <c r="Q306" i="34"/>
  <c r="R306" i="34"/>
  <c r="S306" i="34"/>
  <c r="T306" i="34"/>
  <c r="M307" i="34"/>
  <c r="N307" i="34"/>
  <c r="O307" i="34"/>
  <c r="P307" i="34"/>
  <c r="Q307" i="34"/>
  <c r="R307" i="34"/>
  <c r="S307" i="34"/>
  <c r="T307" i="34"/>
  <c r="M308" i="34"/>
  <c r="N308" i="34"/>
  <c r="O308" i="34"/>
  <c r="P308" i="34"/>
  <c r="Q308" i="34"/>
  <c r="R308" i="34"/>
  <c r="S308" i="34"/>
  <c r="T308" i="34"/>
  <c r="M309" i="34"/>
  <c r="N309" i="34"/>
  <c r="O309" i="34"/>
  <c r="P309" i="34"/>
  <c r="Q309" i="34"/>
  <c r="R309" i="34"/>
  <c r="S309" i="34"/>
  <c r="T309" i="34"/>
  <c r="M310" i="34"/>
  <c r="N310" i="34"/>
  <c r="O310" i="34"/>
  <c r="P310" i="34"/>
  <c r="Q310" i="34"/>
  <c r="R310" i="34"/>
  <c r="S310" i="34"/>
  <c r="T310" i="34"/>
  <c r="M311" i="34"/>
  <c r="N311" i="34"/>
  <c r="O311" i="34"/>
  <c r="P311" i="34"/>
  <c r="Q311" i="34"/>
  <c r="R311" i="34"/>
  <c r="S311" i="34"/>
  <c r="T311" i="34"/>
  <c r="M312" i="34"/>
  <c r="N312" i="34"/>
  <c r="O312" i="34"/>
  <c r="P312" i="34"/>
  <c r="Q312" i="34"/>
  <c r="R312" i="34"/>
  <c r="S312" i="34"/>
  <c r="T312" i="34"/>
  <c r="M313" i="34"/>
  <c r="N313" i="34"/>
  <c r="O313" i="34"/>
  <c r="P313" i="34"/>
  <c r="Q313" i="34"/>
  <c r="R313" i="34"/>
  <c r="S313" i="34"/>
  <c r="T313" i="34"/>
  <c r="M314" i="34"/>
  <c r="N314" i="34"/>
  <c r="O314" i="34"/>
  <c r="P314" i="34"/>
  <c r="Q314" i="34"/>
  <c r="R314" i="34"/>
  <c r="S314" i="34"/>
  <c r="T314" i="34"/>
  <c r="M315" i="34"/>
  <c r="N315" i="34"/>
  <c r="O315" i="34"/>
  <c r="P315" i="34"/>
  <c r="Q315" i="34"/>
  <c r="R315" i="34"/>
  <c r="S315" i="34"/>
  <c r="T315" i="34"/>
  <c r="M316" i="34"/>
  <c r="N316" i="34"/>
  <c r="O316" i="34"/>
  <c r="P316" i="34"/>
  <c r="Q316" i="34"/>
  <c r="R316" i="34"/>
  <c r="S316" i="34"/>
  <c r="T316" i="34"/>
  <c r="M317" i="34"/>
  <c r="N317" i="34"/>
  <c r="O317" i="34"/>
  <c r="P317" i="34"/>
  <c r="Q317" i="34"/>
  <c r="R317" i="34"/>
  <c r="S317" i="34"/>
  <c r="T317" i="34"/>
  <c r="M318" i="34"/>
  <c r="N318" i="34"/>
  <c r="O318" i="34"/>
  <c r="P318" i="34"/>
  <c r="Q318" i="34"/>
  <c r="R318" i="34"/>
  <c r="S318" i="34"/>
  <c r="T318" i="34"/>
  <c r="M319" i="34"/>
  <c r="N319" i="34"/>
  <c r="O319" i="34"/>
  <c r="P319" i="34"/>
  <c r="Q319" i="34"/>
  <c r="R319" i="34"/>
  <c r="S319" i="34"/>
  <c r="T319" i="34"/>
  <c r="M320" i="34"/>
  <c r="N320" i="34"/>
  <c r="O320" i="34"/>
  <c r="P320" i="34"/>
  <c r="Q320" i="34"/>
  <c r="R320" i="34"/>
  <c r="S320" i="34"/>
  <c r="T320" i="34"/>
  <c r="M321" i="34"/>
  <c r="N321" i="34"/>
  <c r="O321" i="34"/>
  <c r="P321" i="34"/>
  <c r="Q321" i="34"/>
  <c r="R321" i="34"/>
  <c r="S321" i="34"/>
  <c r="T321" i="34"/>
  <c r="M322" i="34"/>
  <c r="N322" i="34"/>
  <c r="O322" i="34"/>
  <c r="P322" i="34"/>
  <c r="Q322" i="34"/>
  <c r="R322" i="34"/>
  <c r="S322" i="34"/>
  <c r="T322" i="34"/>
  <c r="M323" i="34"/>
  <c r="N323" i="34"/>
  <c r="O323" i="34"/>
  <c r="P323" i="34"/>
  <c r="Q323" i="34"/>
  <c r="R323" i="34"/>
  <c r="S323" i="34"/>
  <c r="T323" i="34"/>
  <c r="M324" i="34"/>
  <c r="N324" i="34"/>
  <c r="O324" i="34"/>
  <c r="P324" i="34"/>
  <c r="Q324" i="34"/>
  <c r="R324" i="34"/>
  <c r="S324" i="34"/>
  <c r="T324" i="34"/>
  <c r="M325" i="34"/>
  <c r="N325" i="34"/>
  <c r="O325" i="34"/>
  <c r="P325" i="34"/>
  <c r="Q325" i="34"/>
  <c r="R325" i="34"/>
  <c r="S325" i="34"/>
  <c r="T325" i="34"/>
  <c r="M326" i="34"/>
  <c r="N326" i="34"/>
  <c r="O326" i="34"/>
  <c r="P326" i="34"/>
  <c r="Q326" i="34"/>
  <c r="R326" i="34"/>
  <c r="S326" i="34"/>
  <c r="T326" i="34"/>
  <c r="M327" i="34"/>
  <c r="N327" i="34"/>
  <c r="O327" i="34"/>
  <c r="P327" i="34"/>
  <c r="Q327" i="34"/>
  <c r="R327" i="34"/>
  <c r="S327" i="34"/>
  <c r="T327" i="34"/>
  <c r="J327" i="34"/>
  <c r="H327" i="34"/>
  <c r="J326" i="34"/>
  <c r="H326" i="34"/>
  <c r="J325" i="34"/>
  <c r="H325" i="34"/>
  <c r="J324" i="34"/>
  <c r="H324" i="34"/>
  <c r="J323" i="34"/>
  <c r="H323" i="34"/>
  <c r="J322" i="34"/>
  <c r="H322" i="34"/>
  <c r="J321" i="34"/>
  <c r="H321" i="34"/>
  <c r="J320" i="34"/>
  <c r="H320" i="34"/>
  <c r="J319" i="34"/>
  <c r="H319" i="34"/>
  <c r="J318" i="34"/>
  <c r="H318" i="34"/>
  <c r="J317" i="34"/>
  <c r="H317" i="34"/>
  <c r="J316" i="34"/>
  <c r="H316" i="34"/>
  <c r="J315" i="34"/>
  <c r="H315" i="34"/>
  <c r="J314" i="34"/>
  <c r="H314" i="34"/>
  <c r="J313" i="34"/>
  <c r="H313" i="34"/>
  <c r="J312" i="34"/>
  <c r="H312" i="34"/>
  <c r="J311" i="34"/>
  <c r="H311" i="34"/>
  <c r="J310" i="34"/>
  <c r="H310" i="34"/>
  <c r="J309" i="34"/>
  <c r="H309" i="34"/>
  <c r="J308" i="34"/>
  <c r="H308" i="34"/>
  <c r="J307" i="34"/>
  <c r="H307" i="34"/>
  <c r="J306" i="34"/>
  <c r="H306" i="34"/>
  <c r="J305" i="34"/>
  <c r="H305" i="34"/>
  <c r="J304" i="34"/>
  <c r="H304" i="34"/>
  <c r="J303" i="34"/>
  <c r="H303" i="34"/>
  <c r="J302" i="34"/>
  <c r="H302" i="34"/>
  <c r="J301" i="34"/>
  <c r="H301" i="34"/>
  <c r="J300" i="34"/>
  <c r="H300" i="34"/>
  <c r="J299" i="34"/>
  <c r="H299" i="34"/>
  <c r="J298" i="34"/>
  <c r="H298" i="34"/>
  <c r="J297" i="34"/>
  <c r="H297" i="34"/>
  <c r="J296" i="34"/>
  <c r="H296" i="34"/>
  <c r="K295" i="34"/>
  <c r="M295" i="34" s="1"/>
  <c r="J295" i="34"/>
  <c r="H295" i="34"/>
  <c r="J294" i="34"/>
  <c r="H294" i="34"/>
  <c r="J293" i="34"/>
  <c r="H293" i="34"/>
  <c r="J292" i="34"/>
  <c r="H292" i="34"/>
  <c r="J291" i="34"/>
  <c r="H291" i="34"/>
  <c r="J290" i="34"/>
  <c r="H290" i="34"/>
  <c r="J289" i="34"/>
  <c r="H289" i="34"/>
  <c r="K288" i="34"/>
  <c r="P288" i="34" s="1"/>
  <c r="J288" i="34"/>
  <c r="H288" i="34"/>
  <c r="J287" i="34"/>
  <c r="H287" i="34"/>
  <c r="J286" i="34"/>
  <c r="H286" i="34"/>
  <c r="J285" i="34"/>
  <c r="H285" i="34"/>
  <c r="J284" i="34"/>
  <c r="H284" i="34"/>
  <c r="J283" i="34"/>
  <c r="H283" i="34"/>
  <c r="J282" i="34"/>
  <c r="H282" i="34"/>
  <c r="J281" i="34"/>
  <c r="H281" i="34"/>
  <c r="J280" i="34"/>
  <c r="H280" i="34"/>
  <c r="J279" i="34"/>
  <c r="H279" i="34"/>
  <c r="J278" i="34"/>
  <c r="H278" i="34"/>
  <c r="J277" i="34"/>
  <c r="H277" i="34"/>
  <c r="J276" i="34"/>
  <c r="H276" i="34"/>
  <c r="J275" i="34"/>
  <c r="H275" i="34"/>
  <c r="J274" i="34"/>
  <c r="H274" i="34"/>
  <c r="J273" i="34"/>
  <c r="H273" i="34"/>
  <c r="J272" i="34"/>
  <c r="H272" i="34"/>
  <c r="J271" i="34"/>
  <c r="H271" i="34"/>
  <c r="J270" i="34"/>
  <c r="H270" i="34"/>
  <c r="J269" i="34"/>
  <c r="H269" i="34"/>
  <c r="J268" i="34"/>
  <c r="H268" i="34"/>
  <c r="J267" i="34"/>
  <c r="H267" i="34"/>
  <c r="H266" i="34"/>
  <c r="H265" i="34"/>
  <c r="H264" i="34"/>
  <c r="H263" i="34"/>
  <c r="H262" i="34"/>
  <c r="H261" i="34"/>
  <c r="H260" i="34"/>
  <c r="H259" i="34"/>
  <c r="H258" i="34"/>
  <c r="H257" i="34"/>
  <c r="H256" i="34"/>
  <c r="H255" i="34"/>
  <c r="H254" i="34"/>
  <c r="H253" i="34"/>
  <c r="H252" i="34"/>
  <c r="H251" i="34"/>
  <c r="H250" i="34"/>
  <c r="H249" i="34"/>
  <c r="H248" i="34"/>
  <c r="H247" i="34"/>
  <c r="H246" i="34"/>
  <c r="J245" i="34"/>
  <c r="H245" i="34"/>
  <c r="J244" i="34"/>
  <c r="H244" i="34"/>
  <c r="J243" i="34"/>
  <c r="H243" i="34"/>
  <c r="J242" i="34"/>
  <c r="H242" i="34"/>
  <c r="J241" i="34"/>
  <c r="H241" i="34"/>
  <c r="K240" i="34"/>
  <c r="P240" i="34" s="1"/>
  <c r="J240" i="34"/>
  <c r="H240" i="34"/>
  <c r="J239" i="34"/>
  <c r="H239" i="34"/>
  <c r="J238" i="34"/>
  <c r="H238" i="34"/>
  <c r="J237" i="34"/>
  <c r="H237" i="34"/>
  <c r="J236" i="34"/>
  <c r="H236" i="34"/>
  <c r="J235" i="34"/>
  <c r="H235" i="34"/>
  <c r="J234" i="34"/>
  <c r="H234" i="34"/>
  <c r="J233" i="34"/>
  <c r="H233" i="34"/>
  <c r="K232" i="34"/>
  <c r="P232" i="34" s="1"/>
  <c r="J232" i="34"/>
  <c r="H232" i="34"/>
  <c r="J231" i="34"/>
  <c r="H231" i="34"/>
  <c r="J230" i="34"/>
  <c r="H230" i="34"/>
  <c r="J229" i="34"/>
  <c r="H229" i="34"/>
  <c r="J228" i="34"/>
  <c r="H228" i="34"/>
  <c r="J227" i="34"/>
  <c r="H227" i="34"/>
  <c r="J226" i="34"/>
  <c r="H226" i="34"/>
  <c r="J225" i="34"/>
  <c r="H225" i="34"/>
  <c r="J224" i="34"/>
  <c r="H224" i="34"/>
  <c r="J223" i="34"/>
  <c r="H223" i="34"/>
  <c r="K222" i="34"/>
  <c r="P222" i="34" s="1"/>
  <c r="J222" i="34"/>
  <c r="H222" i="34"/>
  <c r="J221" i="34"/>
  <c r="H221" i="34"/>
  <c r="J220" i="34"/>
  <c r="H220" i="34"/>
  <c r="K219" i="34"/>
  <c r="M219" i="34" s="1"/>
  <c r="J219" i="34"/>
  <c r="H219" i="34"/>
  <c r="K218" i="34"/>
  <c r="P218" i="34" s="1"/>
  <c r="J218" i="34"/>
  <c r="H218" i="34"/>
  <c r="J217" i="34"/>
  <c r="H217" i="34"/>
  <c r="K216" i="34"/>
  <c r="P216" i="34" s="1"/>
  <c r="J216" i="34"/>
  <c r="H216" i="34"/>
  <c r="K215" i="34"/>
  <c r="M215" i="34" s="1"/>
  <c r="J215" i="34"/>
  <c r="H215" i="34"/>
  <c r="K214" i="34"/>
  <c r="P214" i="34" s="1"/>
  <c r="J214" i="34"/>
  <c r="H214" i="34"/>
  <c r="J213" i="34"/>
  <c r="H213" i="34"/>
  <c r="J212" i="34"/>
  <c r="H212" i="34"/>
  <c r="J211" i="34"/>
  <c r="H211" i="34"/>
  <c r="J210" i="34"/>
  <c r="H210" i="34"/>
  <c r="J209" i="34"/>
  <c r="H209" i="34"/>
  <c r="J208" i="34"/>
  <c r="H208" i="34"/>
  <c r="J207" i="34"/>
  <c r="H207" i="34"/>
  <c r="J206" i="34"/>
  <c r="H206" i="34"/>
  <c r="J205" i="34"/>
  <c r="H205" i="34"/>
  <c r="J204" i="34"/>
  <c r="H204" i="34"/>
  <c r="M154" i="34"/>
  <c r="N154" i="34"/>
  <c r="O154" i="34"/>
  <c r="P154" i="34"/>
  <c r="Q154" i="34"/>
  <c r="R154" i="34"/>
  <c r="S154" i="34"/>
  <c r="T154" i="34"/>
  <c r="M155" i="34"/>
  <c r="N155" i="34"/>
  <c r="O155" i="34"/>
  <c r="P155" i="34"/>
  <c r="Q155" i="34"/>
  <c r="R155" i="34"/>
  <c r="S155" i="34"/>
  <c r="T155" i="34"/>
  <c r="M156" i="34"/>
  <c r="N156" i="34"/>
  <c r="O156" i="34"/>
  <c r="P156" i="34"/>
  <c r="Q156" i="34"/>
  <c r="R156" i="34"/>
  <c r="S156" i="34"/>
  <c r="T156" i="34"/>
  <c r="M157" i="34"/>
  <c r="N157" i="34"/>
  <c r="O157" i="34"/>
  <c r="P157" i="34"/>
  <c r="Q157" i="34"/>
  <c r="R157" i="34"/>
  <c r="S157" i="34"/>
  <c r="T157" i="34"/>
  <c r="M158" i="34"/>
  <c r="N158" i="34"/>
  <c r="O158" i="34"/>
  <c r="P158" i="34"/>
  <c r="Q158" i="34"/>
  <c r="R158" i="34"/>
  <c r="S158" i="34"/>
  <c r="T158" i="34"/>
  <c r="M159" i="34"/>
  <c r="N159" i="34"/>
  <c r="O159" i="34"/>
  <c r="P159" i="34"/>
  <c r="Q159" i="34"/>
  <c r="R159" i="34"/>
  <c r="S159" i="34"/>
  <c r="T159" i="34"/>
  <c r="M160" i="34"/>
  <c r="N160" i="34"/>
  <c r="O160" i="34"/>
  <c r="P160" i="34"/>
  <c r="Q160" i="34"/>
  <c r="R160" i="34"/>
  <c r="S160" i="34"/>
  <c r="T160" i="34"/>
  <c r="M161" i="34"/>
  <c r="N161" i="34"/>
  <c r="O161" i="34"/>
  <c r="P161" i="34"/>
  <c r="Q161" i="34"/>
  <c r="R161" i="34"/>
  <c r="S161" i="34"/>
  <c r="T161" i="34"/>
  <c r="M162" i="34"/>
  <c r="N162" i="34"/>
  <c r="O162" i="34"/>
  <c r="P162" i="34"/>
  <c r="Q162" i="34"/>
  <c r="R162" i="34"/>
  <c r="S162" i="34"/>
  <c r="T162" i="34"/>
  <c r="M163" i="34"/>
  <c r="N163" i="34"/>
  <c r="O163" i="34"/>
  <c r="P163" i="34"/>
  <c r="Q163" i="34"/>
  <c r="R163" i="34"/>
  <c r="S163" i="34"/>
  <c r="T163" i="34"/>
  <c r="M164" i="34"/>
  <c r="N164" i="34"/>
  <c r="O164" i="34"/>
  <c r="P164" i="34"/>
  <c r="Q164" i="34"/>
  <c r="R164" i="34"/>
  <c r="S164" i="34"/>
  <c r="T164" i="34"/>
  <c r="M165" i="34"/>
  <c r="N165" i="34"/>
  <c r="O165" i="34"/>
  <c r="P165" i="34"/>
  <c r="Q165" i="34"/>
  <c r="R165" i="34"/>
  <c r="S165" i="34"/>
  <c r="T165" i="34"/>
  <c r="M166" i="34"/>
  <c r="N166" i="34"/>
  <c r="O166" i="34"/>
  <c r="P166" i="34"/>
  <c r="Q166" i="34"/>
  <c r="R166" i="34"/>
  <c r="S166" i="34"/>
  <c r="T166" i="34"/>
  <c r="M167" i="34"/>
  <c r="N167" i="34"/>
  <c r="O167" i="34"/>
  <c r="P167" i="34"/>
  <c r="Q167" i="34"/>
  <c r="R167" i="34"/>
  <c r="S167" i="34"/>
  <c r="T167" i="34"/>
  <c r="M168" i="34"/>
  <c r="N168" i="34"/>
  <c r="O168" i="34"/>
  <c r="P168" i="34"/>
  <c r="Q168" i="34"/>
  <c r="R168" i="34"/>
  <c r="S168" i="34"/>
  <c r="T168" i="34"/>
  <c r="M169" i="34"/>
  <c r="N169" i="34"/>
  <c r="O169" i="34"/>
  <c r="P169" i="34"/>
  <c r="Q169" i="34"/>
  <c r="R169" i="34"/>
  <c r="S169" i="34"/>
  <c r="T169" i="34"/>
  <c r="M170" i="34"/>
  <c r="N170" i="34"/>
  <c r="O170" i="34"/>
  <c r="P170" i="34"/>
  <c r="Q170" i="34"/>
  <c r="R170" i="34"/>
  <c r="S170" i="34"/>
  <c r="T170" i="34"/>
  <c r="M171" i="34"/>
  <c r="N171" i="34"/>
  <c r="O171" i="34"/>
  <c r="P171" i="34"/>
  <c r="Q171" i="34"/>
  <c r="R171" i="34"/>
  <c r="S171" i="34"/>
  <c r="T171" i="34"/>
  <c r="M172" i="34"/>
  <c r="N172" i="34"/>
  <c r="O172" i="34"/>
  <c r="P172" i="34"/>
  <c r="Q172" i="34"/>
  <c r="R172" i="34"/>
  <c r="S172" i="34"/>
  <c r="T172" i="34"/>
  <c r="M173" i="34"/>
  <c r="N173" i="34"/>
  <c r="O173" i="34"/>
  <c r="P173" i="34"/>
  <c r="Q173" i="34"/>
  <c r="R173" i="34"/>
  <c r="S173" i="34"/>
  <c r="T173" i="34"/>
  <c r="M174" i="34"/>
  <c r="N174" i="34"/>
  <c r="O174" i="34"/>
  <c r="P174" i="34"/>
  <c r="Q174" i="34"/>
  <c r="R174" i="34"/>
  <c r="S174" i="34"/>
  <c r="T174" i="34"/>
  <c r="M175" i="34"/>
  <c r="N175" i="34"/>
  <c r="O175" i="34"/>
  <c r="P175" i="34"/>
  <c r="Q175" i="34"/>
  <c r="R175" i="34"/>
  <c r="S175" i="34"/>
  <c r="T175" i="34"/>
  <c r="M176" i="34"/>
  <c r="N176" i="34"/>
  <c r="O176" i="34"/>
  <c r="P176" i="34"/>
  <c r="Q176" i="34"/>
  <c r="R176" i="34"/>
  <c r="S176" i="34"/>
  <c r="T176" i="34"/>
  <c r="M177" i="34"/>
  <c r="N177" i="34"/>
  <c r="O177" i="34"/>
  <c r="P177" i="34"/>
  <c r="Q177" i="34"/>
  <c r="R177" i="34"/>
  <c r="S177" i="34"/>
  <c r="T177" i="34"/>
  <c r="M178" i="34"/>
  <c r="N178" i="34"/>
  <c r="O178" i="34"/>
  <c r="P178" i="34"/>
  <c r="Q178" i="34"/>
  <c r="R178" i="34"/>
  <c r="S178" i="34"/>
  <c r="T178" i="34"/>
  <c r="M179" i="34"/>
  <c r="N179" i="34"/>
  <c r="O179" i="34"/>
  <c r="P179" i="34"/>
  <c r="Q179" i="34"/>
  <c r="R179" i="34"/>
  <c r="S179" i="34"/>
  <c r="T179" i="34"/>
  <c r="M180" i="34"/>
  <c r="N180" i="34"/>
  <c r="O180" i="34"/>
  <c r="P180" i="34"/>
  <c r="Q180" i="34"/>
  <c r="R180" i="34"/>
  <c r="S180" i="34"/>
  <c r="T180" i="34"/>
  <c r="M181" i="34"/>
  <c r="N181" i="34"/>
  <c r="O181" i="34"/>
  <c r="P181" i="34"/>
  <c r="Q181" i="34"/>
  <c r="R181" i="34"/>
  <c r="S181" i="34"/>
  <c r="T181" i="34"/>
  <c r="M182" i="34"/>
  <c r="N182" i="34"/>
  <c r="O182" i="34"/>
  <c r="P182" i="34"/>
  <c r="Q182" i="34"/>
  <c r="R182" i="34"/>
  <c r="S182" i="34"/>
  <c r="T182" i="34"/>
  <c r="M183" i="34"/>
  <c r="N183" i="34"/>
  <c r="O183" i="34"/>
  <c r="P183" i="34"/>
  <c r="Q183" i="34"/>
  <c r="R183" i="34"/>
  <c r="S183" i="34"/>
  <c r="T183" i="34"/>
  <c r="M185" i="34"/>
  <c r="N185" i="34"/>
  <c r="O185" i="34"/>
  <c r="P185" i="34"/>
  <c r="Q185" i="34"/>
  <c r="R185" i="34"/>
  <c r="S185" i="34"/>
  <c r="T185" i="34"/>
  <c r="M186" i="34"/>
  <c r="N186" i="34"/>
  <c r="O186" i="34"/>
  <c r="P186" i="34"/>
  <c r="Q186" i="34"/>
  <c r="R186" i="34"/>
  <c r="S186" i="34"/>
  <c r="T186" i="34"/>
  <c r="M187" i="34"/>
  <c r="N187" i="34"/>
  <c r="O187" i="34"/>
  <c r="P187" i="34"/>
  <c r="Q187" i="34"/>
  <c r="R187" i="34"/>
  <c r="S187" i="34"/>
  <c r="T187" i="34"/>
  <c r="J188" i="34"/>
  <c r="H188" i="34"/>
  <c r="J187" i="34"/>
  <c r="H187" i="34"/>
  <c r="J186" i="34"/>
  <c r="H186" i="34"/>
  <c r="J185" i="34"/>
  <c r="H185" i="34"/>
  <c r="K184" i="34"/>
  <c r="M184" i="34" s="1"/>
  <c r="J184" i="34"/>
  <c r="H184" i="34"/>
  <c r="J183" i="34"/>
  <c r="H183" i="34"/>
  <c r="J182" i="34"/>
  <c r="H182" i="34"/>
  <c r="J181" i="34"/>
  <c r="H181" i="34"/>
  <c r="J180" i="34"/>
  <c r="H180" i="34"/>
  <c r="J179" i="34"/>
  <c r="H179" i="34"/>
  <c r="J178" i="34"/>
  <c r="H178" i="34"/>
  <c r="J177" i="34"/>
  <c r="H177" i="34"/>
  <c r="J176" i="34"/>
  <c r="H176" i="34"/>
  <c r="J175" i="34"/>
  <c r="H175" i="34"/>
  <c r="J174" i="34"/>
  <c r="H174" i="34"/>
  <c r="J173" i="34"/>
  <c r="H173" i="34"/>
  <c r="J172" i="34"/>
  <c r="H172" i="34"/>
  <c r="J171" i="34"/>
  <c r="H171" i="34"/>
  <c r="J170" i="34"/>
  <c r="H170" i="34"/>
  <c r="J169" i="34"/>
  <c r="H169" i="34"/>
  <c r="J168" i="34"/>
  <c r="H168" i="34"/>
  <c r="J167" i="34"/>
  <c r="H167" i="34"/>
  <c r="J166" i="34"/>
  <c r="H166" i="34"/>
  <c r="J165" i="34"/>
  <c r="H165" i="34"/>
  <c r="J164" i="34"/>
  <c r="H164" i="34"/>
  <c r="J163" i="34"/>
  <c r="H163" i="34"/>
  <c r="J162" i="34"/>
  <c r="H162" i="34"/>
  <c r="J161" i="34"/>
  <c r="H161" i="34"/>
  <c r="J160" i="34"/>
  <c r="H160" i="34"/>
  <c r="J159" i="34"/>
  <c r="H159" i="34"/>
  <c r="J158" i="34"/>
  <c r="H158" i="34"/>
  <c r="J157" i="34"/>
  <c r="H157" i="34"/>
  <c r="J156" i="34"/>
  <c r="H156" i="34"/>
  <c r="J155" i="34"/>
  <c r="H155" i="34"/>
  <c r="J154" i="34"/>
  <c r="H154" i="34"/>
  <c r="M104" i="34"/>
  <c r="N104" i="34"/>
  <c r="O104" i="34"/>
  <c r="P104" i="34"/>
  <c r="Q104" i="34"/>
  <c r="R104" i="34"/>
  <c r="S104" i="34"/>
  <c r="T104" i="34"/>
  <c r="M106" i="34"/>
  <c r="N106" i="34"/>
  <c r="O106" i="34"/>
  <c r="P106" i="34"/>
  <c r="Q106" i="34"/>
  <c r="R106" i="34"/>
  <c r="S106" i="34"/>
  <c r="T106" i="34"/>
  <c r="M107" i="34"/>
  <c r="N107" i="34"/>
  <c r="O107" i="34"/>
  <c r="P107" i="34"/>
  <c r="Q107" i="34"/>
  <c r="R107" i="34"/>
  <c r="S107" i="34"/>
  <c r="T107" i="34"/>
  <c r="M108" i="34"/>
  <c r="N108" i="34"/>
  <c r="O108" i="34"/>
  <c r="P108" i="34"/>
  <c r="Q108" i="34"/>
  <c r="R108" i="34"/>
  <c r="S108" i="34"/>
  <c r="T108" i="34"/>
  <c r="M109" i="34"/>
  <c r="N109" i="34"/>
  <c r="O109" i="34"/>
  <c r="P109" i="34"/>
  <c r="Q109" i="34"/>
  <c r="R109" i="34"/>
  <c r="S109" i="34"/>
  <c r="T109" i="34"/>
  <c r="M110" i="34"/>
  <c r="N110" i="34"/>
  <c r="O110" i="34"/>
  <c r="P110" i="34"/>
  <c r="Q110" i="34"/>
  <c r="R110" i="34"/>
  <c r="S110" i="34"/>
  <c r="T110" i="34"/>
  <c r="M111" i="34"/>
  <c r="N111" i="34"/>
  <c r="O111" i="34"/>
  <c r="P111" i="34"/>
  <c r="Q111" i="34"/>
  <c r="R111" i="34"/>
  <c r="S111" i="34"/>
  <c r="T111" i="34"/>
  <c r="M112" i="34"/>
  <c r="N112" i="34"/>
  <c r="O112" i="34"/>
  <c r="P112" i="34"/>
  <c r="Q112" i="34"/>
  <c r="R112" i="34"/>
  <c r="S112" i="34"/>
  <c r="T112" i="34"/>
  <c r="M113" i="34"/>
  <c r="N113" i="34"/>
  <c r="O113" i="34"/>
  <c r="P113" i="34"/>
  <c r="Q113" i="34"/>
  <c r="R113" i="34"/>
  <c r="S113" i="34"/>
  <c r="T113" i="34"/>
  <c r="M114" i="34"/>
  <c r="N114" i="34"/>
  <c r="O114" i="34"/>
  <c r="P114" i="34"/>
  <c r="Q114" i="34"/>
  <c r="R114" i="34"/>
  <c r="S114" i="34"/>
  <c r="T114" i="34"/>
  <c r="M115" i="34"/>
  <c r="N115" i="34"/>
  <c r="O115" i="34"/>
  <c r="P115" i="34"/>
  <c r="Q115" i="34"/>
  <c r="R115" i="34"/>
  <c r="S115" i="34"/>
  <c r="T115" i="34"/>
  <c r="M116" i="34"/>
  <c r="N116" i="34"/>
  <c r="O116" i="34"/>
  <c r="P116" i="34"/>
  <c r="Q116" i="34"/>
  <c r="R116" i="34"/>
  <c r="S116" i="34"/>
  <c r="T116" i="34"/>
  <c r="M117" i="34"/>
  <c r="N117" i="34"/>
  <c r="O117" i="34"/>
  <c r="P117" i="34"/>
  <c r="Q117" i="34"/>
  <c r="R117" i="34"/>
  <c r="S117" i="34"/>
  <c r="T117" i="34"/>
  <c r="M118" i="34"/>
  <c r="N118" i="34"/>
  <c r="O118" i="34"/>
  <c r="P118" i="34"/>
  <c r="Q118" i="34"/>
  <c r="R118" i="34"/>
  <c r="S118" i="34"/>
  <c r="T118" i="34"/>
  <c r="M119" i="34"/>
  <c r="N119" i="34"/>
  <c r="O119" i="34"/>
  <c r="P119" i="34"/>
  <c r="Q119" i="34"/>
  <c r="R119" i="34"/>
  <c r="S119" i="34"/>
  <c r="T119" i="34"/>
  <c r="M120" i="34"/>
  <c r="N120" i="34"/>
  <c r="O120" i="34"/>
  <c r="P120" i="34"/>
  <c r="Q120" i="34"/>
  <c r="R120" i="34"/>
  <c r="S120" i="34"/>
  <c r="T120" i="34"/>
  <c r="M121" i="34"/>
  <c r="N121" i="34"/>
  <c r="O121" i="34"/>
  <c r="P121" i="34"/>
  <c r="Q121" i="34"/>
  <c r="R121" i="34"/>
  <c r="S121" i="34"/>
  <c r="T121" i="34"/>
  <c r="M122" i="34"/>
  <c r="N122" i="34"/>
  <c r="O122" i="34"/>
  <c r="P122" i="34"/>
  <c r="Q122" i="34"/>
  <c r="R122" i="34"/>
  <c r="S122" i="34"/>
  <c r="T122" i="34"/>
  <c r="M123" i="34"/>
  <c r="N123" i="34"/>
  <c r="O123" i="34"/>
  <c r="P123" i="34"/>
  <c r="Q123" i="34"/>
  <c r="R123" i="34"/>
  <c r="S123" i="34"/>
  <c r="T123" i="34"/>
  <c r="M124" i="34"/>
  <c r="N124" i="34"/>
  <c r="O124" i="34"/>
  <c r="P124" i="34"/>
  <c r="Q124" i="34"/>
  <c r="R124" i="34"/>
  <c r="S124" i="34"/>
  <c r="T124" i="34"/>
  <c r="M125" i="34"/>
  <c r="N125" i="34"/>
  <c r="O125" i="34"/>
  <c r="P125" i="34"/>
  <c r="Q125" i="34"/>
  <c r="R125" i="34"/>
  <c r="S125" i="34"/>
  <c r="T125" i="34"/>
  <c r="M127" i="34"/>
  <c r="N127" i="34"/>
  <c r="O127" i="34"/>
  <c r="P127" i="34"/>
  <c r="Q127" i="34"/>
  <c r="R127" i="34"/>
  <c r="S127" i="34"/>
  <c r="T127" i="34"/>
  <c r="M128" i="34"/>
  <c r="N128" i="34"/>
  <c r="O128" i="34"/>
  <c r="P128" i="34"/>
  <c r="Q128" i="34"/>
  <c r="R128" i="34"/>
  <c r="S128" i="34"/>
  <c r="T128" i="34"/>
  <c r="M129" i="34"/>
  <c r="N129" i="34"/>
  <c r="O129" i="34"/>
  <c r="P129" i="34"/>
  <c r="Q129" i="34"/>
  <c r="R129" i="34"/>
  <c r="S129" i="34"/>
  <c r="T129" i="34"/>
  <c r="M130" i="34"/>
  <c r="N130" i="34"/>
  <c r="O130" i="34"/>
  <c r="P130" i="34"/>
  <c r="Q130" i="34"/>
  <c r="R130" i="34"/>
  <c r="S130" i="34"/>
  <c r="T130" i="34"/>
  <c r="M132" i="34"/>
  <c r="N132" i="34"/>
  <c r="O132" i="34"/>
  <c r="P132" i="34"/>
  <c r="Q132" i="34"/>
  <c r="R132" i="34"/>
  <c r="S132" i="34"/>
  <c r="T132" i="34"/>
  <c r="M134" i="34"/>
  <c r="N134" i="34"/>
  <c r="O134" i="34"/>
  <c r="P134" i="34"/>
  <c r="Q134" i="34"/>
  <c r="R134" i="34"/>
  <c r="S134" i="34"/>
  <c r="T134" i="34"/>
  <c r="M135" i="34"/>
  <c r="N135" i="34"/>
  <c r="O135" i="34"/>
  <c r="P135" i="34"/>
  <c r="Q135" i="34"/>
  <c r="R135" i="34"/>
  <c r="S135" i="34"/>
  <c r="T135" i="34"/>
  <c r="M136" i="34"/>
  <c r="N136" i="34"/>
  <c r="O136" i="34"/>
  <c r="P136" i="34"/>
  <c r="Q136" i="34"/>
  <c r="R136" i="34"/>
  <c r="S136" i="34"/>
  <c r="T136" i="34"/>
  <c r="M137" i="34"/>
  <c r="N137" i="34"/>
  <c r="O137" i="34"/>
  <c r="P137" i="34"/>
  <c r="Q137" i="34"/>
  <c r="R137" i="34"/>
  <c r="S137" i="34"/>
  <c r="T137" i="34"/>
  <c r="M138" i="34"/>
  <c r="N138" i="34"/>
  <c r="O138" i="34"/>
  <c r="P138" i="34"/>
  <c r="Q138" i="34"/>
  <c r="R138" i="34"/>
  <c r="S138" i="34"/>
  <c r="T138" i="34"/>
  <c r="J138" i="34"/>
  <c r="H138" i="34"/>
  <c r="J137" i="34"/>
  <c r="H137" i="34"/>
  <c r="J136" i="34"/>
  <c r="H136" i="34"/>
  <c r="J135" i="34"/>
  <c r="H135" i="34"/>
  <c r="J134" i="34"/>
  <c r="H134" i="34"/>
  <c r="K133" i="34"/>
  <c r="R133" i="34" s="1"/>
  <c r="J133" i="34"/>
  <c r="H133" i="34"/>
  <c r="J132" i="34"/>
  <c r="H132" i="34"/>
  <c r="K131" i="34"/>
  <c r="S131" i="34" s="1"/>
  <c r="J131" i="34"/>
  <c r="H131" i="34"/>
  <c r="J130" i="34"/>
  <c r="H130" i="34"/>
  <c r="J129" i="34"/>
  <c r="H129" i="34"/>
  <c r="J128" i="34"/>
  <c r="H128" i="34"/>
  <c r="J127" i="34"/>
  <c r="H127" i="34"/>
  <c r="K126" i="34"/>
  <c r="M126" i="34" s="1"/>
  <c r="J126" i="34"/>
  <c r="H126" i="34"/>
  <c r="J125" i="34"/>
  <c r="H125" i="34"/>
  <c r="J124" i="34"/>
  <c r="H124" i="34"/>
  <c r="J123" i="34"/>
  <c r="H123" i="34"/>
  <c r="J122" i="34"/>
  <c r="H122" i="34"/>
  <c r="J121" i="34"/>
  <c r="H121" i="34"/>
  <c r="J120" i="34"/>
  <c r="H120" i="34"/>
  <c r="J119" i="34"/>
  <c r="H119" i="34"/>
  <c r="J118" i="34"/>
  <c r="H118" i="34"/>
  <c r="J117" i="34"/>
  <c r="H117" i="34"/>
  <c r="J116" i="34"/>
  <c r="H116" i="34"/>
  <c r="J115" i="34"/>
  <c r="H115" i="34"/>
  <c r="J114" i="34"/>
  <c r="H114" i="34"/>
  <c r="J113" i="34"/>
  <c r="H113" i="34"/>
  <c r="J112" i="34"/>
  <c r="H112" i="34"/>
  <c r="J111" i="34"/>
  <c r="H111" i="34"/>
  <c r="J110" i="34"/>
  <c r="H110" i="34"/>
  <c r="J109" i="34"/>
  <c r="H109" i="34"/>
  <c r="J108" i="34"/>
  <c r="H108" i="34"/>
  <c r="J107" i="34"/>
  <c r="H107" i="34"/>
  <c r="J106" i="34"/>
  <c r="H106" i="34"/>
  <c r="K105" i="34"/>
  <c r="R105" i="34" s="1"/>
  <c r="J105" i="34"/>
  <c r="H105" i="34"/>
  <c r="J104" i="34"/>
  <c r="H104" i="34"/>
  <c r="M54" i="34"/>
  <c r="N54" i="34"/>
  <c r="O54" i="34"/>
  <c r="P54" i="34"/>
  <c r="Q54" i="34"/>
  <c r="R54" i="34"/>
  <c r="S54" i="34"/>
  <c r="T54" i="34"/>
  <c r="M55" i="34"/>
  <c r="N55" i="34"/>
  <c r="O55" i="34"/>
  <c r="P55" i="34"/>
  <c r="Q55" i="34"/>
  <c r="R55" i="34"/>
  <c r="S55" i="34"/>
  <c r="T55" i="34"/>
  <c r="M56" i="34"/>
  <c r="N56" i="34"/>
  <c r="O56" i="34"/>
  <c r="P56" i="34"/>
  <c r="Q56" i="34"/>
  <c r="R56" i="34"/>
  <c r="S56" i="34"/>
  <c r="T56" i="34"/>
  <c r="M57" i="34"/>
  <c r="N57" i="34"/>
  <c r="O57" i="34"/>
  <c r="P57" i="34"/>
  <c r="Q57" i="34"/>
  <c r="R57" i="34"/>
  <c r="S57" i="34"/>
  <c r="T57" i="34"/>
  <c r="M58" i="34"/>
  <c r="N58" i="34"/>
  <c r="O58" i="34"/>
  <c r="P58" i="34"/>
  <c r="Q58" i="34"/>
  <c r="R58" i="34"/>
  <c r="S58" i="34"/>
  <c r="T58" i="34"/>
  <c r="M59" i="34"/>
  <c r="N59" i="34"/>
  <c r="O59" i="34"/>
  <c r="P59" i="34"/>
  <c r="Q59" i="34"/>
  <c r="R59" i="34"/>
  <c r="S59" i="34"/>
  <c r="T59" i="34"/>
  <c r="M60" i="34"/>
  <c r="N60" i="34"/>
  <c r="O60" i="34"/>
  <c r="P60" i="34"/>
  <c r="Q60" i="34"/>
  <c r="R60" i="34"/>
  <c r="S60" i="34"/>
  <c r="T60" i="34"/>
  <c r="M61" i="34"/>
  <c r="N61" i="34"/>
  <c r="O61" i="34"/>
  <c r="P61" i="34"/>
  <c r="Q61" i="34"/>
  <c r="R61" i="34"/>
  <c r="S61" i="34"/>
  <c r="T61" i="34"/>
  <c r="M62" i="34"/>
  <c r="N62" i="34"/>
  <c r="O62" i="34"/>
  <c r="P62" i="34"/>
  <c r="Q62" i="34"/>
  <c r="R62" i="34"/>
  <c r="S62" i="34"/>
  <c r="T62" i="34"/>
  <c r="M63" i="34"/>
  <c r="N63" i="34"/>
  <c r="O63" i="34"/>
  <c r="P63" i="34"/>
  <c r="Q63" i="34"/>
  <c r="R63" i="34"/>
  <c r="S63" i="34"/>
  <c r="T63" i="34"/>
  <c r="M64" i="34"/>
  <c r="N64" i="34"/>
  <c r="O64" i="34"/>
  <c r="P64" i="34"/>
  <c r="Q64" i="34"/>
  <c r="R64" i="34"/>
  <c r="S64" i="34"/>
  <c r="T64" i="34"/>
  <c r="M65" i="34"/>
  <c r="N65" i="34"/>
  <c r="O65" i="34"/>
  <c r="P65" i="34"/>
  <c r="Q65" i="34"/>
  <c r="R65" i="34"/>
  <c r="S65" i="34"/>
  <c r="T65" i="34"/>
  <c r="M66" i="34"/>
  <c r="N66" i="34"/>
  <c r="O66" i="34"/>
  <c r="P66" i="34"/>
  <c r="Q66" i="34"/>
  <c r="R66" i="34"/>
  <c r="S66" i="34"/>
  <c r="T66" i="34"/>
  <c r="M67" i="34"/>
  <c r="N67" i="34"/>
  <c r="O67" i="34"/>
  <c r="P67" i="34"/>
  <c r="Q67" i="34"/>
  <c r="R67" i="34"/>
  <c r="S67" i="34"/>
  <c r="T67" i="34"/>
  <c r="M68" i="34"/>
  <c r="N68" i="34"/>
  <c r="O68" i="34"/>
  <c r="P68" i="34"/>
  <c r="Q68" i="34"/>
  <c r="R68" i="34"/>
  <c r="S68" i="34"/>
  <c r="T68" i="34"/>
  <c r="M69" i="34"/>
  <c r="N69" i="34"/>
  <c r="O69" i="34"/>
  <c r="P69" i="34"/>
  <c r="Q69" i="34"/>
  <c r="R69" i="34"/>
  <c r="S69" i="34"/>
  <c r="T69" i="34"/>
  <c r="M70" i="34"/>
  <c r="N70" i="34"/>
  <c r="O70" i="34"/>
  <c r="P70" i="34"/>
  <c r="Q70" i="34"/>
  <c r="R70" i="34"/>
  <c r="S70" i="34"/>
  <c r="T70" i="34"/>
  <c r="M71" i="34"/>
  <c r="N71" i="34"/>
  <c r="O71" i="34"/>
  <c r="P71" i="34"/>
  <c r="Q71" i="34"/>
  <c r="R71" i="34"/>
  <c r="S71" i="34"/>
  <c r="T71" i="34"/>
  <c r="M72" i="34"/>
  <c r="N72" i="34"/>
  <c r="O72" i="34"/>
  <c r="P72" i="34"/>
  <c r="Q72" i="34"/>
  <c r="R72" i="34"/>
  <c r="S72" i="34"/>
  <c r="T72" i="34"/>
  <c r="M73" i="34"/>
  <c r="N73" i="34"/>
  <c r="O73" i="34"/>
  <c r="P73" i="34"/>
  <c r="Q73" i="34"/>
  <c r="R73" i="34"/>
  <c r="S73" i="34"/>
  <c r="T73" i="34"/>
  <c r="M74" i="34"/>
  <c r="N74" i="34"/>
  <c r="O74" i="34"/>
  <c r="P74" i="34"/>
  <c r="Q74" i="34"/>
  <c r="R74" i="34"/>
  <c r="S74" i="34"/>
  <c r="T74" i="34"/>
  <c r="M75" i="34"/>
  <c r="N75" i="34"/>
  <c r="O75" i="34"/>
  <c r="P75" i="34"/>
  <c r="Q75" i="34"/>
  <c r="R75" i="34"/>
  <c r="S75" i="34"/>
  <c r="T75" i="34"/>
  <c r="M76" i="34"/>
  <c r="N76" i="34"/>
  <c r="O76" i="34"/>
  <c r="P76" i="34"/>
  <c r="Q76" i="34"/>
  <c r="R76" i="34"/>
  <c r="S76" i="34"/>
  <c r="T76" i="34"/>
  <c r="M77" i="34"/>
  <c r="N77" i="34"/>
  <c r="O77" i="34"/>
  <c r="P77" i="34"/>
  <c r="Q77" i="34"/>
  <c r="R77" i="34"/>
  <c r="S77" i="34"/>
  <c r="T77" i="34"/>
  <c r="M78" i="34"/>
  <c r="N78" i="34"/>
  <c r="O78" i="34"/>
  <c r="P78" i="34"/>
  <c r="Q78" i="34"/>
  <c r="R78" i="34"/>
  <c r="S78" i="34"/>
  <c r="T78" i="34"/>
  <c r="M79" i="34"/>
  <c r="N79" i="34"/>
  <c r="O79" i="34"/>
  <c r="P79" i="34"/>
  <c r="Q79" i="34"/>
  <c r="R79" i="34"/>
  <c r="S79" i="34"/>
  <c r="T79" i="34"/>
  <c r="M80" i="34"/>
  <c r="N80" i="34"/>
  <c r="O80" i="34"/>
  <c r="P80" i="34"/>
  <c r="Q80" i="34"/>
  <c r="R80" i="34"/>
  <c r="S80" i="34"/>
  <c r="T80" i="34"/>
  <c r="M81" i="34"/>
  <c r="N81" i="34"/>
  <c r="O81" i="34"/>
  <c r="P81" i="34"/>
  <c r="Q81" i="34"/>
  <c r="R81" i="34"/>
  <c r="S81" i="34"/>
  <c r="T81" i="34"/>
  <c r="M82" i="34"/>
  <c r="N82" i="34"/>
  <c r="O82" i="34"/>
  <c r="P82" i="34"/>
  <c r="Q82" i="34"/>
  <c r="R82" i="34"/>
  <c r="S82" i="34"/>
  <c r="T82" i="34"/>
  <c r="M83" i="34"/>
  <c r="N83" i="34"/>
  <c r="O83" i="34"/>
  <c r="P83" i="34"/>
  <c r="Q83" i="34"/>
  <c r="R83" i="34"/>
  <c r="S83" i="34"/>
  <c r="T83" i="34"/>
  <c r="M84" i="34"/>
  <c r="N84" i="34"/>
  <c r="O84" i="34"/>
  <c r="P84" i="34"/>
  <c r="Q84" i="34"/>
  <c r="R84" i="34"/>
  <c r="S84" i="34"/>
  <c r="T84" i="34"/>
  <c r="M85" i="34"/>
  <c r="N85" i="34"/>
  <c r="O85" i="34"/>
  <c r="P85" i="34"/>
  <c r="Q85" i="34"/>
  <c r="R85" i="34"/>
  <c r="S85" i="34"/>
  <c r="T85" i="34"/>
  <c r="M86" i="34"/>
  <c r="N86" i="34"/>
  <c r="O86" i="34"/>
  <c r="P86" i="34"/>
  <c r="Q86" i="34"/>
  <c r="R86" i="34"/>
  <c r="S86" i="34"/>
  <c r="T86" i="34"/>
  <c r="M87" i="34"/>
  <c r="N87" i="34"/>
  <c r="O87" i="34"/>
  <c r="P87" i="34"/>
  <c r="Q87" i="34"/>
  <c r="R87" i="34"/>
  <c r="S87" i="34"/>
  <c r="T87" i="34"/>
  <c r="M88" i="34"/>
  <c r="N88" i="34"/>
  <c r="O88" i="34"/>
  <c r="P88" i="34"/>
  <c r="Q88" i="34"/>
  <c r="R88" i="34"/>
  <c r="S88" i="34"/>
  <c r="T88" i="34"/>
  <c r="M89" i="34"/>
  <c r="N89" i="34"/>
  <c r="O89" i="34"/>
  <c r="P89" i="34"/>
  <c r="Q89" i="34"/>
  <c r="R89" i="34"/>
  <c r="S89" i="34"/>
  <c r="T89" i="34"/>
  <c r="M90" i="34"/>
  <c r="N90" i="34"/>
  <c r="O90" i="34"/>
  <c r="P90" i="34"/>
  <c r="Q90" i="34"/>
  <c r="R90" i="34"/>
  <c r="S90" i="34"/>
  <c r="T90" i="34"/>
  <c r="M91" i="34"/>
  <c r="N91" i="34"/>
  <c r="O91" i="34"/>
  <c r="P91" i="34"/>
  <c r="Q91" i="34"/>
  <c r="R91" i="34"/>
  <c r="S91" i="34"/>
  <c r="T91" i="34"/>
  <c r="M92" i="34"/>
  <c r="N92" i="34"/>
  <c r="O92" i="34"/>
  <c r="P92" i="34"/>
  <c r="Q92" i="34"/>
  <c r="R92" i="34"/>
  <c r="S92" i="34"/>
  <c r="T92" i="34"/>
  <c r="M93" i="34"/>
  <c r="N93" i="34"/>
  <c r="O93" i="34"/>
  <c r="P93" i="34"/>
  <c r="Q93" i="34"/>
  <c r="R93" i="34"/>
  <c r="S93" i="34"/>
  <c r="T93" i="34"/>
  <c r="M94" i="34"/>
  <c r="N94" i="34"/>
  <c r="O94" i="34"/>
  <c r="P94" i="34"/>
  <c r="Q94" i="34"/>
  <c r="R94" i="34"/>
  <c r="S94" i="34"/>
  <c r="T94" i="34"/>
  <c r="M95" i="34"/>
  <c r="N95" i="34"/>
  <c r="O95" i="34"/>
  <c r="P95" i="34"/>
  <c r="Q95" i="34"/>
  <c r="R95" i="34"/>
  <c r="S95" i="34"/>
  <c r="T95" i="34"/>
  <c r="M96" i="34"/>
  <c r="N96" i="34"/>
  <c r="O96" i="34"/>
  <c r="P96" i="34"/>
  <c r="Q96" i="34"/>
  <c r="R96" i="34"/>
  <c r="S96" i="34"/>
  <c r="T96" i="34"/>
  <c r="M97" i="34"/>
  <c r="N97" i="34"/>
  <c r="O97" i="34"/>
  <c r="P97" i="34"/>
  <c r="Q97" i="34"/>
  <c r="R97" i="34"/>
  <c r="S97" i="34"/>
  <c r="T97" i="34"/>
  <c r="M98" i="34"/>
  <c r="N98" i="34"/>
  <c r="O98" i="34"/>
  <c r="P98" i="34"/>
  <c r="Q98" i="34"/>
  <c r="R98" i="34"/>
  <c r="S98" i="34"/>
  <c r="T98" i="34"/>
  <c r="M99" i="34"/>
  <c r="N99" i="34"/>
  <c r="O99" i="34"/>
  <c r="P99" i="34"/>
  <c r="Q99" i="34"/>
  <c r="R99" i="34"/>
  <c r="S99" i="34"/>
  <c r="T99" i="34"/>
  <c r="M100" i="34"/>
  <c r="N100" i="34"/>
  <c r="O100" i="34"/>
  <c r="P100" i="34"/>
  <c r="Q100" i="34"/>
  <c r="R100" i="34"/>
  <c r="S100" i="34"/>
  <c r="T100" i="34"/>
  <c r="M101" i="34"/>
  <c r="N101" i="34"/>
  <c r="O101" i="34"/>
  <c r="P101" i="34"/>
  <c r="Q101" i="34"/>
  <c r="R101" i="34"/>
  <c r="S101" i="34"/>
  <c r="T101" i="34"/>
  <c r="M102" i="34"/>
  <c r="N102" i="34"/>
  <c r="O102" i="34"/>
  <c r="P102" i="34"/>
  <c r="Q102" i="34"/>
  <c r="R102" i="34"/>
  <c r="S102" i="34"/>
  <c r="T102" i="34"/>
  <c r="M103" i="34"/>
  <c r="N103" i="34"/>
  <c r="O103" i="34"/>
  <c r="P103" i="34"/>
  <c r="Q103" i="34"/>
  <c r="R103" i="34"/>
  <c r="S103" i="34"/>
  <c r="T103" i="34"/>
  <c r="N53" i="34"/>
  <c r="O53" i="34"/>
  <c r="P53" i="34"/>
  <c r="Q53" i="34"/>
  <c r="R53" i="34"/>
  <c r="S53" i="34"/>
  <c r="T53" i="34"/>
  <c r="J103" i="34"/>
  <c r="H103" i="34"/>
  <c r="J102" i="34"/>
  <c r="H102" i="34"/>
  <c r="J101" i="34"/>
  <c r="H101" i="34"/>
  <c r="J100" i="34"/>
  <c r="H100" i="34"/>
  <c r="J99" i="34"/>
  <c r="H99" i="34"/>
  <c r="J98" i="34"/>
  <c r="H98" i="34"/>
  <c r="J97" i="34"/>
  <c r="H97" i="34"/>
  <c r="J96" i="34"/>
  <c r="H96" i="34"/>
  <c r="J95" i="34"/>
  <c r="H95" i="34"/>
  <c r="J94" i="34"/>
  <c r="H94" i="34"/>
  <c r="J93" i="34"/>
  <c r="H93" i="34"/>
  <c r="J92" i="34"/>
  <c r="H92" i="34"/>
  <c r="J91" i="34"/>
  <c r="H91" i="34"/>
  <c r="J90" i="34"/>
  <c r="H90" i="34"/>
  <c r="J89" i="34"/>
  <c r="H89" i="34"/>
  <c r="J88" i="34"/>
  <c r="H88" i="34"/>
  <c r="J87" i="34"/>
  <c r="H87" i="34"/>
  <c r="J86" i="34"/>
  <c r="H86" i="34"/>
  <c r="J85" i="34"/>
  <c r="H85" i="34"/>
  <c r="J84" i="34"/>
  <c r="H84" i="34"/>
  <c r="J83" i="34"/>
  <c r="H83" i="34"/>
  <c r="J82" i="34"/>
  <c r="H82" i="34"/>
  <c r="J81" i="34"/>
  <c r="H81" i="34"/>
  <c r="J80" i="34"/>
  <c r="H80" i="34"/>
  <c r="J79" i="34"/>
  <c r="H79" i="34"/>
  <c r="J78" i="34"/>
  <c r="H78" i="34"/>
  <c r="J77" i="34"/>
  <c r="H77" i="34"/>
  <c r="J76" i="34"/>
  <c r="H76" i="34"/>
  <c r="J75" i="34"/>
  <c r="H75" i="34"/>
  <c r="J74" i="34"/>
  <c r="H74" i="34"/>
  <c r="J73" i="34"/>
  <c r="H73" i="34"/>
  <c r="J72" i="34"/>
  <c r="H72" i="34"/>
  <c r="J71" i="34"/>
  <c r="H71" i="34"/>
  <c r="J70" i="34"/>
  <c r="H70" i="34"/>
  <c r="J69" i="34"/>
  <c r="H69" i="34"/>
  <c r="J68" i="34"/>
  <c r="H68" i="34"/>
  <c r="J67" i="34"/>
  <c r="H67" i="34"/>
  <c r="J66" i="34"/>
  <c r="H66" i="34"/>
  <c r="J65" i="34"/>
  <c r="H65" i="34"/>
  <c r="J64" i="34"/>
  <c r="H64" i="34"/>
  <c r="J63" i="34"/>
  <c r="H63" i="34"/>
  <c r="J62" i="34"/>
  <c r="H62" i="34"/>
  <c r="J61" i="34"/>
  <c r="H61" i="34"/>
  <c r="J60" i="34"/>
  <c r="H60" i="34"/>
  <c r="J59" i="34"/>
  <c r="H59" i="34"/>
  <c r="J58" i="34"/>
  <c r="H58" i="34"/>
  <c r="J57" i="34"/>
  <c r="H57" i="34"/>
  <c r="J56" i="34"/>
  <c r="H56" i="34"/>
  <c r="J55" i="34"/>
  <c r="H55" i="34"/>
  <c r="J54" i="34"/>
  <c r="H54" i="34"/>
  <c r="M5" i="34"/>
  <c r="N5" i="34"/>
  <c r="O5" i="34"/>
  <c r="P5" i="34"/>
  <c r="Q5" i="34"/>
  <c r="R5" i="34"/>
  <c r="S5" i="34"/>
  <c r="T5" i="34"/>
  <c r="M6" i="34"/>
  <c r="N6" i="34"/>
  <c r="O6" i="34"/>
  <c r="P6" i="34"/>
  <c r="Q6" i="34"/>
  <c r="R6" i="34"/>
  <c r="S6" i="34"/>
  <c r="T6" i="34"/>
  <c r="M7" i="34"/>
  <c r="N7" i="34"/>
  <c r="O7" i="34"/>
  <c r="P7" i="34"/>
  <c r="Q7" i="34"/>
  <c r="R7" i="34"/>
  <c r="S7" i="34"/>
  <c r="T7" i="34"/>
  <c r="M8" i="34"/>
  <c r="N8" i="34"/>
  <c r="O8" i="34"/>
  <c r="P8" i="34"/>
  <c r="Q8" i="34"/>
  <c r="R8" i="34"/>
  <c r="S8" i="34"/>
  <c r="T8" i="34"/>
  <c r="M9" i="34"/>
  <c r="N9" i="34"/>
  <c r="O9" i="34"/>
  <c r="P9" i="34"/>
  <c r="Q9" i="34"/>
  <c r="R9" i="34"/>
  <c r="S9" i="34"/>
  <c r="T9" i="34"/>
  <c r="M10" i="34"/>
  <c r="N10" i="34"/>
  <c r="O10" i="34"/>
  <c r="P10" i="34"/>
  <c r="Q10" i="34"/>
  <c r="R10" i="34"/>
  <c r="S10" i="34"/>
  <c r="T10" i="34"/>
  <c r="M11" i="34"/>
  <c r="N11" i="34"/>
  <c r="O11" i="34"/>
  <c r="P11" i="34"/>
  <c r="Q11" i="34"/>
  <c r="R11" i="34"/>
  <c r="S11" i="34"/>
  <c r="T11" i="34"/>
  <c r="M12" i="34"/>
  <c r="N12" i="34"/>
  <c r="O12" i="34"/>
  <c r="P12" i="34"/>
  <c r="Q12" i="34"/>
  <c r="R12" i="34"/>
  <c r="S12" i="34"/>
  <c r="T12" i="34"/>
  <c r="M13" i="34"/>
  <c r="N13" i="34"/>
  <c r="O13" i="34"/>
  <c r="P13" i="34"/>
  <c r="Q13" i="34"/>
  <c r="R13" i="34"/>
  <c r="S13" i="34"/>
  <c r="T13" i="34"/>
  <c r="M14" i="34"/>
  <c r="N14" i="34"/>
  <c r="O14" i="34"/>
  <c r="P14" i="34"/>
  <c r="Q14" i="34"/>
  <c r="R14" i="34"/>
  <c r="S14" i="34"/>
  <c r="T14" i="34"/>
  <c r="M15" i="34"/>
  <c r="N15" i="34"/>
  <c r="O15" i="34"/>
  <c r="P15" i="34"/>
  <c r="Q15" i="34"/>
  <c r="R15" i="34"/>
  <c r="S15" i="34"/>
  <c r="T15" i="34"/>
  <c r="M16" i="34"/>
  <c r="N16" i="34"/>
  <c r="O16" i="34"/>
  <c r="P16" i="34"/>
  <c r="Q16" i="34"/>
  <c r="R16" i="34"/>
  <c r="S16" i="34"/>
  <c r="T16" i="34"/>
  <c r="M17" i="34"/>
  <c r="N17" i="34"/>
  <c r="O17" i="34"/>
  <c r="P17" i="34"/>
  <c r="Q17" i="34"/>
  <c r="R17" i="34"/>
  <c r="S17" i="34"/>
  <c r="T17" i="34"/>
  <c r="M18" i="34"/>
  <c r="N18" i="34"/>
  <c r="O18" i="34"/>
  <c r="P18" i="34"/>
  <c r="Q18" i="34"/>
  <c r="R18" i="34"/>
  <c r="S18" i="34"/>
  <c r="T18" i="34"/>
  <c r="M19" i="34"/>
  <c r="N19" i="34"/>
  <c r="O19" i="34"/>
  <c r="P19" i="34"/>
  <c r="Q19" i="34"/>
  <c r="R19" i="34"/>
  <c r="S19" i="34"/>
  <c r="T19" i="34"/>
  <c r="M20" i="34"/>
  <c r="N20" i="34"/>
  <c r="O20" i="34"/>
  <c r="P20" i="34"/>
  <c r="Q20" i="34"/>
  <c r="R20" i="34"/>
  <c r="S20" i="34"/>
  <c r="T20" i="34"/>
  <c r="M21" i="34"/>
  <c r="N21" i="34"/>
  <c r="O21" i="34"/>
  <c r="P21" i="34"/>
  <c r="Q21" i="34"/>
  <c r="R21" i="34"/>
  <c r="S21" i="34"/>
  <c r="T21" i="34"/>
  <c r="M22" i="34"/>
  <c r="N22" i="34"/>
  <c r="O22" i="34"/>
  <c r="P22" i="34"/>
  <c r="Q22" i="34"/>
  <c r="R22" i="34"/>
  <c r="S22" i="34"/>
  <c r="T22" i="34"/>
  <c r="M23" i="34"/>
  <c r="N23" i="34"/>
  <c r="O23" i="34"/>
  <c r="P23" i="34"/>
  <c r="Q23" i="34"/>
  <c r="R23" i="34"/>
  <c r="S23" i="34"/>
  <c r="T23" i="34"/>
  <c r="M24" i="34"/>
  <c r="N24" i="34"/>
  <c r="O24" i="34"/>
  <c r="P24" i="34"/>
  <c r="Q24" i="34"/>
  <c r="R24" i="34"/>
  <c r="S24" i="34"/>
  <c r="T24" i="34"/>
  <c r="M25" i="34"/>
  <c r="N25" i="34"/>
  <c r="O25" i="34"/>
  <c r="P25" i="34"/>
  <c r="Q25" i="34"/>
  <c r="R25" i="34"/>
  <c r="S25" i="34"/>
  <c r="T25" i="34"/>
  <c r="M26" i="34"/>
  <c r="N26" i="34"/>
  <c r="O26" i="34"/>
  <c r="P26" i="34"/>
  <c r="Q26" i="34"/>
  <c r="R26" i="34"/>
  <c r="S26" i="34"/>
  <c r="T26" i="34"/>
  <c r="M27" i="34"/>
  <c r="N27" i="34"/>
  <c r="O27" i="34"/>
  <c r="P27" i="34"/>
  <c r="Q27" i="34"/>
  <c r="R27" i="34"/>
  <c r="S27" i="34"/>
  <c r="T27" i="34"/>
  <c r="M28" i="34"/>
  <c r="N28" i="34"/>
  <c r="O28" i="34"/>
  <c r="P28" i="34"/>
  <c r="Q28" i="34"/>
  <c r="R28" i="34"/>
  <c r="S28" i="34"/>
  <c r="T28" i="34"/>
  <c r="M29" i="34"/>
  <c r="N29" i="34"/>
  <c r="O29" i="34"/>
  <c r="P29" i="34"/>
  <c r="Q29" i="34"/>
  <c r="R29" i="34"/>
  <c r="S29" i="34"/>
  <c r="T29" i="34"/>
  <c r="M30" i="34"/>
  <c r="N30" i="34"/>
  <c r="O30" i="34"/>
  <c r="P30" i="34"/>
  <c r="Q30" i="34"/>
  <c r="R30" i="34"/>
  <c r="S30" i="34"/>
  <c r="T30" i="34"/>
  <c r="M31" i="34"/>
  <c r="N31" i="34"/>
  <c r="O31" i="34"/>
  <c r="P31" i="34"/>
  <c r="Q31" i="34"/>
  <c r="R31" i="34"/>
  <c r="S31" i="34"/>
  <c r="T31" i="34"/>
  <c r="M32" i="34"/>
  <c r="N32" i="34"/>
  <c r="O32" i="34"/>
  <c r="P32" i="34"/>
  <c r="Q32" i="34"/>
  <c r="R32" i="34"/>
  <c r="S32" i="34"/>
  <c r="T32" i="34"/>
  <c r="M33" i="34"/>
  <c r="N33" i="34"/>
  <c r="O33" i="34"/>
  <c r="P33" i="34"/>
  <c r="Q33" i="34"/>
  <c r="R33" i="34"/>
  <c r="S33" i="34"/>
  <c r="T33" i="34"/>
  <c r="M34" i="34"/>
  <c r="N34" i="34"/>
  <c r="O34" i="34"/>
  <c r="P34" i="34"/>
  <c r="Q34" i="34"/>
  <c r="R34" i="34"/>
  <c r="S34" i="34"/>
  <c r="T34" i="34"/>
  <c r="M35" i="34"/>
  <c r="N35" i="34"/>
  <c r="O35" i="34"/>
  <c r="P35" i="34"/>
  <c r="Q35" i="34"/>
  <c r="R35" i="34"/>
  <c r="S35" i="34"/>
  <c r="T35" i="34"/>
  <c r="M36" i="34"/>
  <c r="N36" i="34"/>
  <c r="O36" i="34"/>
  <c r="P36" i="34"/>
  <c r="Q36" i="34"/>
  <c r="R36" i="34"/>
  <c r="S36" i="34"/>
  <c r="T36" i="34"/>
  <c r="M37" i="34"/>
  <c r="N37" i="34"/>
  <c r="O37" i="34"/>
  <c r="P37" i="34"/>
  <c r="Q37" i="34"/>
  <c r="R37" i="34"/>
  <c r="S37" i="34"/>
  <c r="T37" i="34"/>
  <c r="M38" i="34"/>
  <c r="N38" i="34"/>
  <c r="O38" i="34"/>
  <c r="P38" i="34"/>
  <c r="Q38" i="34"/>
  <c r="R38" i="34"/>
  <c r="S38" i="34"/>
  <c r="T38" i="34"/>
  <c r="M39" i="34"/>
  <c r="N39" i="34"/>
  <c r="O39" i="34"/>
  <c r="P39" i="34"/>
  <c r="Q39" i="34"/>
  <c r="R39" i="34"/>
  <c r="S39" i="34"/>
  <c r="T39" i="34"/>
  <c r="M40" i="34"/>
  <c r="N40" i="34"/>
  <c r="O40" i="34"/>
  <c r="P40" i="34"/>
  <c r="Q40" i="34"/>
  <c r="R40" i="34"/>
  <c r="S40" i="34"/>
  <c r="T40" i="34"/>
  <c r="M41" i="34"/>
  <c r="N41" i="34"/>
  <c r="O41" i="34"/>
  <c r="P41" i="34"/>
  <c r="Q41" i="34"/>
  <c r="R41" i="34"/>
  <c r="S41" i="34"/>
  <c r="T41" i="34"/>
  <c r="M42" i="34"/>
  <c r="N42" i="34"/>
  <c r="O42" i="34"/>
  <c r="P42" i="34"/>
  <c r="Q42" i="34"/>
  <c r="R42" i="34"/>
  <c r="S42" i="34"/>
  <c r="T42" i="34"/>
  <c r="M43" i="34"/>
  <c r="N43" i="34"/>
  <c r="O43" i="34"/>
  <c r="P43" i="34"/>
  <c r="Q43" i="34"/>
  <c r="R43" i="34"/>
  <c r="S43" i="34"/>
  <c r="T43" i="34"/>
  <c r="M44" i="34"/>
  <c r="N44" i="34"/>
  <c r="O44" i="34"/>
  <c r="P44" i="34"/>
  <c r="Q44" i="34"/>
  <c r="R44" i="34"/>
  <c r="S44" i="34"/>
  <c r="T44" i="34"/>
  <c r="M45" i="34"/>
  <c r="N45" i="34"/>
  <c r="O45" i="34"/>
  <c r="P45" i="34"/>
  <c r="Q45" i="34"/>
  <c r="R45" i="34"/>
  <c r="S45" i="34"/>
  <c r="T45" i="34"/>
  <c r="M46" i="34"/>
  <c r="N46" i="34"/>
  <c r="O46" i="34"/>
  <c r="P46" i="34"/>
  <c r="Q46" i="34"/>
  <c r="R46" i="34"/>
  <c r="S46" i="34"/>
  <c r="T46" i="34"/>
  <c r="M47" i="34"/>
  <c r="N47" i="34"/>
  <c r="O47" i="34"/>
  <c r="P47" i="34"/>
  <c r="Q47" i="34"/>
  <c r="R47" i="34"/>
  <c r="S47" i="34"/>
  <c r="T47" i="34"/>
  <c r="M48" i="34"/>
  <c r="N48" i="34"/>
  <c r="O48" i="34"/>
  <c r="P48" i="34"/>
  <c r="Q48" i="34"/>
  <c r="R48" i="34"/>
  <c r="S48" i="34"/>
  <c r="T48" i="34"/>
  <c r="M49" i="34"/>
  <c r="N49" i="34"/>
  <c r="O49" i="34"/>
  <c r="P49" i="34"/>
  <c r="Q49" i="34"/>
  <c r="R49" i="34"/>
  <c r="S49" i="34"/>
  <c r="T49" i="34"/>
  <c r="M50" i="34"/>
  <c r="N50" i="34"/>
  <c r="O50" i="34"/>
  <c r="P50" i="34"/>
  <c r="Q50" i="34"/>
  <c r="R50" i="34"/>
  <c r="S50" i="34"/>
  <c r="T50" i="34"/>
  <c r="M51" i="34"/>
  <c r="N51" i="34"/>
  <c r="O51" i="34"/>
  <c r="P51" i="34"/>
  <c r="Q51" i="34"/>
  <c r="R51" i="34"/>
  <c r="S51" i="34"/>
  <c r="T51" i="34"/>
  <c r="M52" i="34"/>
  <c r="N52" i="34"/>
  <c r="O52" i="34"/>
  <c r="P52" i="34"/>
  <c r="Q52" i="34"/>
  <c r="R52" i="34"/>
  <c r="S52" i="34"/>
  <c r="T52" i="34"/>
  <c r="M53" i="34"/>
  <c r="N4" i="34"/>
  <c r="O4" i="34"/>
  <c r="P4" i="34"/>
  <c r="Q4" i="34"/>
  <c r="R4" i="34"/>
  <c r="S4" i="34"/>
  <c r="T4" i="34"/>
  <c r="M4" i="34"/>
  <c r="J7" i="34"/>
  <c r="J53" i="34"/>
  <c r="H53" i="34"/>
  <c r="J52" i="34"/>
  <c r="H52" i="34"/>
  <c r="J51" i="34"/>
  <c r="H51" i="34"/>
  <c r="J50" i="34"/>
  <c r="H50" i="34"/>
  <c r="J49" i="34"/>
  <c r="H49" i="34"/>
  <c r="J48" i="34"/>
  <c r="H48" i="34"/>
  <c r="J47" i="34"/>
  <c r="H47" i="34"/>
  <c r="J46" i="34"/>
  <c r="H46" i="34"/>
  <c r="J45" i="34"/>
  <c r="H45" i="34"/>
  <c r="J44" i="34"/>
  <c r="H44" i="34"/>
  <c r="J43" i="34"/>
  <c r="H43" i="34"/>
  <c r="J42" i="34"/>
  <c r="H42" i="34"/>
  <c r="J41" i="34"/>
  <c r="H41" i="34"/>
  <c r="J40" i="34"/>
  <c r="H40" i="34"/>
  <c r="J39" i="34"/>
  <c r="H39" i="34"/>
  <c r="J38" i="34"/>
  <c r="H38" i="34"/>
  <c r="J37" i="34"/>
  <c r="H37" i="34"/>
  <c r="J36" i="34"/>
  <c r="H36" i="34"/>
  <c r="J35" i="34"/>
  <c r="H35" i="34"/>
  <c r="J34" i="34"/>
  <c r="H34" i="34"/>
  <c r="J33" i="34"/>
  <c r="H33" i="34"/>
  <c r="J32" i="34"/>
  <c r="H32" i="34"/>
  <c r="J31" i="34"/>
  <c r="H31" i="34"/>
  <c r="J30" i="34"/>
  <c r="H30" i="34"/>
  <c r="J29" i="34"/>
  <c r="H29" i="34"/>
  <c r="J28" i="34"/>
  <c r="H28" i="34"/>
  <c r="J27" i="34"/>
  <c r="H27" i="34"/>
  <c r="J26" i="34"/>
  <c r="H26" i="34"/>
  <c r="J25" i="34"/>
  <c r="H25" i="34"/>
  <c r="J24" i="34"/>
  <c r="H24" i="34"/>
  <c r="J23" i="34"/>
  <c r="H23" i="34"/>
  <c r="J22" i="34"/>
  <c r="H22" i="34"/>
  <c r="J21" i="34"/>
  <c r="H21" i="34"/>
  <c r="J20" i="34"/>
  <c r="H20" i="34"/>
  <c r="J19" i="34"/>
  <c r="H19" i="34"/>
  <c r="J18" i="34"/>
  <c r="H18" i="34"/>
  <c r="J17" i="34"/>
  <c r="H17" i="34"/>
  <c r="J16" i="34"/>
  <c r="H16" i="34"/>
  <c r="J15" i="34"/>
  <c r="H15" i="34"/>
  <c r="J14" i="34"/>
  <c r="H14" i="34"/>
  <c r="J13" i="34"/>
  <c r="H13" i="34"/>
  <c r="J12" i="34"/>
  <c r="H12" i="34"/>
  <c r="J11" i="34"/>
  <c r="H11" i="34"/>
  <c r="J10" i="34"/>
  <c r="H10" i="34"/>
  <c r="J9" i="34"/>
  <c r="H9" i="34"/>
  <c r="J8" i="34"/>
  <c r="H8" i="34"/>
  <c r="H7" i="34"/>
  <c r="J6" i="34"/>
  <c r="H6" i="34"/>
  <c r="J5" i="34"/>
  <c r="H5" i="34"/>
  <c r="J4" i="34"/>
  <c r="H4" i="34"/>
  <c r="I82" i="33"/>
  <c r="L82" i="33" s="1"/>
  <c r="E82" i="33"/>
  <c r="H82" i="33" s="1"/>
  <c r="C82" i="33"/>
  <c r="I81" i="33"/>
  <c r="E81" i="33"/>
  <c r="I80" i="33"/>
  <c r="E80" i="33"/>
  <c r="I79" i="33"/>
  <c r="E79" i="33"/>
  <c r="F78" i="33"/>
  <c r="I77" i="33"/>
  <c r="E77" i="33"/>
  <c r="I76" i="33"/>
  <c r="E76" i="33"/>
  <c r="H76" i="33" s="1"/>
  <c r="E75" i="33"/>
  <c r="I74" i="33"/>
  <c r="E74" i="33"/>
  <c r="I73" i="33"/>
  <c r="E73" i="33"/>
  <c r="H73" i="33" s="1"/>
  <c r="C73" i="33"/>
  <c r="E72" i="33"/>
  <c r="H72" i="33" s="1"/>
  <c r="C72" i="33"/>
  <c r="J72" i="33" s="1"/>
  <c r="E71" i="33"/>
  <c r="I70" i="33"/>
  <c r="E70" i="33"/>
  <c r="E69" i="33"/>
  <c r="E68" i="33"/>
  <c r="I67" i="33"/>
  <c r="E67" i="33"/>
  <c r="I66" i="33"/>
  <c r="E66" i="33"/>
  <c r="I65" i="33"/>
  <c r="E65" i="33"/>
  <c r="F64" i="33"/>
  <c r="E63" i="33"/>
  <c r="H63" i="33" s="1"/>
  <c r="C63" i="33"/>
  <c r="J63" i="33" s="1"/>
  <c r="F62" i="33"/>
  <c r="F61" i="33"/>
  <c r="F60" i="33"/>
  <c r="F59" i="33"/>
  <c r="F58" i="33"/>
  <c r="F57" i="33"/>
  <c r="F56" i="33"/>
  <c r="F55" i="33"/>
  <c r="F54" i="33"/>
  <c r="F53" i="33"/>
  <c r="F52" i="33"/>
  <c r="F51" i="33"/>
  <c r="F50" i="33"/>
  <c r="F49" i="33"/>
  <c r="F48" i="33"/>
  <c r="F47" i="33"/>
  <c r="F46" i="33"/>
  <c r="F45" i="33"/>
  <c r="F44" i="33"/>
  <c r="F43" i="33"/>
  <c r="F42" i="33"/>
  <c r="F41" i="33"/>
  <c r="F40" i="33"/>
  <c r="F39" i="33"/>
  <c r="F38" i="33"/>
  <c r="F37" i="33"/>
  <c r="F36" i="33"/>
  <c r="F35" i="33"/>
  <c r="F34" i="33"/>
  <c r="F33" i="33"/>
  <c r="F32" i="33"/>
  <c r="F31" i="33"/>
  <c r="F30" i="33"/>
  <c r="F29" i="33"/>
  <c r="F28" i="33"/>
  <c r="F27" i="33"/>
  <c r="F26" i="33"/>
  <c r="F25" i="33"/>
  <c r="F24" i="33"/>
  <c r="F23" i="33"/>
  <c r="F22" i="33"/>
  <c r="F21" i="33"/>
  <c r="F20" i="33"/>
  <c r="F19" i="33"/>
  <c r="F18" i="33"/>
  <c r="F17" i="33"/>
  <c r="F16" i="33"/>
  <c r="F15" i="33"/>
  <c r="F14" i="33"/>
  <c r="F13" i="33"/>
  <c r="F12" i="33"/>
  <c r="F11" i="33"/>
  <c r="F10" i="33"/>
  <c r="F9" i="33"/>
  <c r="F8" i="33"/>
  <c r="F7" i="33"/>
  <c r="F6" i="33"/>
  <c r="F5" i="33"/>
  <c r="F4" i="33"/>
  <c r="F3" i="33"/>
  <c r="T218" i="34" l="1"/>
  <c r="Q215" i="34"/>
  <c r="Q105" i="34"/>
  <c r="Q184" i="34"/>
  <c r="S218" i="34"/>
  <c r="R218" i="34"/>
  <c r="T232" i="34"/>
  <c r="S232" i="34"/>
  <c r="Q219" i="34"/>
  <c r="O184" i="34"/>
  <c r="R219" i="34"/>
  <c r="R215" i="34"/>
  <c r="T240" i="34"/>
  <c r="T295" i="34"/>
  <c r="S240" i="34"/>
  <c r="R295" i="34"/>
  <c r="R240" i="34"/>
  <c r="N184" i="34"/>
  <c r="Q295" i="34"/>
  <c r="O295" i="34"/>
  <c r="T288" i="34"/>
  <c r="T222" i="34"/>
  <c r="T216" i="34"/>
  <c r="S288" i="34"/>
  <c r="S222" i="34"/>
  <c r="S216" i="34"/>
  <c r="T214" i="34"/>
  <c r="R288" i="34"/>
  <c r="R222" i="34"/>
  <c r="R216" i="34"/>
  <c r="O288" i="34"/>
  <c r="O240" i="34"/>
  <c r="O232" i="34"/>
  <c r="O222" i="34"/>
  <c r="O218" i="34"/>
  <c r="O216" i="34"/>
  <c r="O214" i="34"/>
  <c r="F80" i="33"/>
  <c r="H80" i="33"/>
  <c r="J80" i="33"/>
  <c r="L80" i="33"/>
  <c r="N288" i="34"/>
  <c r="N240" i="34"/>
  <c r="N232" i="34"/>
  <c r="N222" i="34"/>
  <c r="N218" i="34"/>
  <c r="N216" i="34"/>
  <c r="N214" i="34"/>
  <c r="J79" i="33"/>
  <c r="L79" i="33"/>
  <c r="F81" i="33"/>
  <c r="H81" i="33"/>
  <c r="M288" i="34"/>
  <c r="M240" i="34"/>
  <c r="M232" i="34"/>
  <c r="M222" i="34"/>
  <c r="M218" i="34"/>
  <c r="M216" i="34"/>
  <c r="M214" i="34"/>
  <c r="F68" i="33"/>
  <c r="H68" i="33"/>
  <c r="T219" i="34"/>
  <c r="T215" i="34"/>
  <c r="J77" i="33"/>
  <c r="L77" i="33"/>
  <c r="F70" i="33"/>
  <c r="H70" i="33"/>
  <c r="J81" i="33"/>
  <c r="L81" i="33"/>
  <c r="J73" i="33"/>
  <c r="L73" i="33"/>
  <c r="S295" i="34"/>
  <c r="S219" i="34"/>
  <c r="S215" i="34"/>
  <c r="F77" i="33"/>
  <c r="H77" i="33"/>
  <c r="J65" i="33"/>
  <c r="L65" i="33"/>
  <c r="F66" i="33"/>
  <c r="H66" i="33"/>
  <c r="F75" i="33"/>
  <c r="H75" i="33"/>
  <c r="P295" i="34"/>
  <c r="P219" i="34"/>
  <c r="P215" i="34"/>
  <c r="F65" i="33"/>
  <c r="H65" i="33"/>
  <c r="O219" i="34"/>
  <c r="O215" i="34"/>
  <c r="J66" i="33"/>
  <c r="L66" i="33"/>
  <c r="F67" i="33"/>
  <c r="H67" i="33"/>
  <c r="F76" i="33"/>
  <c r="R131" i="34"/>
  <c r="N295" i="34"/>
  <c r="N219" i="34"/>
  <c r="N215" i="34"/>
  <c r="F74" i="33"/>
  <c r="H74" i="33"/>
  <c r="J74" i="33"/>
  <c r="L74" i="33"/>
  <c r="J67" i="33"/>
  <c r="L67" i="33"/>
  <c r="J76" i="33"/>
  <c r="L76" i="33"/>
  <c r="Q131" i="34"/>
  <c r="S214" i="34"/>
  <c r="R232" i="34"/>
  <c r="R214" i="34"/>
  <c r="J70" i="33"/>
  <c r="L70" i="33"/>
  <c r="F79" i="33"/>
  <c r="H79" i="33"/>
  <c r="Q288" i="34"/>
  <c r="Q240" i="34"/>
  <c r="Q232" i="34"/>
  <c r="Q222" i="34"/>
  <c r="Q218" i="34"/>
  <c r="Q216" i="34"/>
  <c r="Q214" i="34"/>
  <c r="F69" i="33"/>
  <c r="H69" i="33"/>
  <c r="F71" i="33"/>
  <c r="H71" i="33"/>
  <c r="F82" i="33"/>
  <c r="J82" i="33"/>
  <c r="F73" i="33"/>
  <c r="F72" i="33"/>
  <c r="F63" i="33"/>
  <c r="BP18" i="35"/>
  <c r="BQ18" i="35"/>
  <c r="BT18" i="35"/>
  <c r="BU18" i="35"/>
  <c r="BW19" i="35"/>
  <c r="I25" i="36"/>
  <c r="J25" i="36"/>
  <c r="H25" i="36"/>
  <c r="H27" i="36"/>
  <c r="I27" i="36"/>
  <c r="J27" i="36"/>
  <c r="J8" i="36"/>
  <c r="I8" i="36"/>
  <c r="H8" i="36"/>
  <c r="J13" i="36"/>
  <c r="H13" i="36"/>
  <c r="I13" i="36"/>
  <c r="I24" i="36"/>
  <c r="J24" i="36"/>
  <c r="H24" i="36"/>
  <c r="H10" i="36"/>
  <c r="I10" i="36"/>
  <c r="J10" i="36"/>
  <c r="I18" i="36"/>
  <c r="H18" i="36"/>
  <c r="J18" i="36"/>
  <c r="H9" i="36"/>
  <c r="I9" i="36"/>
  <c r="J9" i="36"/>
  <c r="H26" i="36"/>
  <c r="I26" i="36"/>
  <c r="J26" i="36"/>
  <c r="AX20" i="35"/>
  <c r="BL19" i="35"/>
  <c r="AY20" i="35"/>
  <c r="BM19" i="35"/>
  <c r="AZ20" i="35"/>
  <c r="BN19" i="35"/>
  <c r="BA20" i="35"/>
  <c r="BO19" i="35"/>
  <c r="BB20" i="35"/>
  <c r="BP19" i="35"/>
  <c r="BC20" i="35"/>
  <c r="BQ19" i="35"/>
  <c r="BD20" i="35"/>
  <c r="BR19" i="35"/>
  <c r="BE20" i="35"/>
  <c r="BS19" i="35"/>
  <c r="BF20" i="35"/>
  <c r="BT19" i="35"/>
  <c r="AJ34" i="35"/>
  <c r="AJ42" i="35"/>
  <c r="AJ35" i="35"/>
  <c r="AJ56" i="35"/>
  <c r="AJ52" i="35"/>
  <c r="AJ48" i="35"/>
  <c r="AJ43" i="35"/>
  <c r="AJ36" i="35"/>
  <c r="AJ44" i="35"/>
  <c r="AJ28" i="35"/>
  <c r="AJ37" i="35"/>
  <c r="AJ57" i="35"/>
  <c r="AJ53" i="35"/>
  <c r="AJ49" i="35"/>
  <c r="AJ45" i="35"/>
  <c r="AJ38" i="35"/>
  <c r="AJ29" i="35"/>
  <c r="AJ30" i="35"/>
  <c r="AJ39" i="35"/>
  <c r="AJ31" i="35"/>
  <c r="AJ54" i="35"/>
  <c r="AJ50" i="35"/>
  <c r="AJ46" i="35"/>
  <c r="AJ32" i="35"/>
  <c r="AJ40" i="35"/>
  <c r="AJ55" i="35"/>
  <c r="AJ51" i="35"/>
  <c r="AJ47" i="35"/>
  <c r="AJ41" i="35"/>
  <c r="AK42" i="35"/>
  <c r="AK35" i="35"/>
  <c r="AK56" i="35"/>
  <c r="AK52" i="35"/>
  <c r="AK48" i="35"/>
  <c r="AK43" i="35"/>
  <c r="AK36" i="35"/>
  <c r="AK44" i="35"/>
  <c r="AK37" i="35"/>
  <c r="AK57" i="35"/>
  <c r="AK53" i="35"/>
  <c r="AK49" i="35"/>
  <c r="AK45" i="35"/>
  <c r="AK38" i="35"/>
  <c r="AK29" i="35"/>
  <c r="AK30" i="35"/>
  <c r="AK39" i="35"/>
  <c r="AK31" i="35"/>
  <c r="AK54" i="35"/>
  <c r="AK50" i="35"/>
  <c r="AK46" i="35"/>
  <c r="AK32" i="35"/>
  <c r="AK40" i="35"/>
  <c r="AN18" i="35"/>
  <c r="AO19" i="35"/>
  <c r="BF19" i="35"/>
  <c r="AQ20" i="35"/>
  <c r="AR21" i="35"/>
  <c r="AG24" i="35"/>
  <c r="AH25" i="35"/>
  <c r="AJ26" i="35"/>
  <c r="AP27" i="35"/>
  <c r="AP28" i="35"/>
  <c r="AO48" i="35"/>
  <c r="AL56" i="35"/>
  <c r="AL52" i="35"/>
  <c r="AL48" i="35"/>
  <c r="AL43" i="35"/>
  <c r="AL36" i="35"/>
  <c r="AL27" i="35"/>
  <c r="AL44" i="35"/>
  <c r="AL28" i="35"/>
  <c r="AL37" i="35"/>
  <c r="AL57" i="35"/>
  <c r="AL53" i="35"/>
  <c r="AL49" i="35"/>
  <c r="AL45" i="35"/>
  <c r="AL38" i="35"/>
  <c r="AL29" i="35"/>
  <c r="AL30" i="35"/>
  <c r="AL39" i="35"/>
  <c r="AL31" i="35"/>
  <c r="AL54" i="35"/>
  <c r="AL50" i="35"/>
  <c r="AL46" i="35"/>
  <c r="AL32" i="35"/>
  <c r="AL40" i="35"/>
  <c r="AL33" i="35"/>
  <c r="AL42" i="35"/>
  <c r="AO18" i="35"/>
  <c r="AP19" i="35"/>
  <c r="BG19" i="35"/>
  <c r="AR20" i="35"/>
  <c r="AS21" i="35"/>
  <c r="AF23" i="35"/>
  <c r="AH24" i="35"/>
  <c r="AI25" i="35"/>
  <c r="AK26" i="35"/>
  <c r="AR27" i="35"/>
  <c r="AQ28" i="35"/>
  <c r="AF32" i="35"/>
  <c r="AP48" i="35"/>
  <c r="AS53" i="35"/>
  <c r="AM56" i="35"/>
  <c r="AM52" i="35"/>
  <c r="AM48" i="35"/>
  <c r="AM43" i="35"/>
  <c r="AM36" i="35"/>
  <c r="AM27" i="35"/>
  <c r="AM44" i="35"/>
  <c r="AM28" i="35"/>
  <c r="AM37" i="35"/>
  <c r="AM57" i="35"/>
  <c r="AM53" i="35"/>
  <c r="AM49" i="35"/>
  <c r="AM45" i="35"/>
  <c r="AM38" i="35"/>
  <c r="AM29" i="35"/>
  <c r="AM30" i="35"/>
  <c r="AM39" i="35"/>
  <c r="AM31" i="35"/>
  <c r="AM54" i="35"/>
  <c r="AM50" i="35"/>
  <c r="AM46" i="35"/>
  <c r="AM32" i="35"/>
  <c r="AM40" i="35"/>
  <c r="AM33" i="35"/>
  <c r="AM55" i="35"/>
  <c r="AM51" i="35"/>
  <c r="AM47" i="35"/>
  <c r="AM41" i="35"/>
  <c r="AP18" i="35"/>
  <c r="AQ19" i="35"/>
  <c r="AS20" i="35"/>
  <c r="AF22" i="35"/>
  <c r="AG23" i="35"/>
  <c r="AI24" i="35"/>
  <c r="AJ25" i="35"/>
  <c r="AL26" i="35"/>
  <c r="AR28" i="35"/>
  <c r="AG32" i="35"/>
  <c r="AG46" i="35"/>
  <c r="AN44" i="35"/>
  <c r="AN28" i="35"/>
  <c r="AN37" i="35"/>
  <c r="AN57" i="35"/>
  <c r="AN53" i="35"/>
  <c r="AN49" i="35"/>
  <c r="AN45" i="35"/>
  <c r="AN38" i="35"/>
  <c r="AN30" i="35"/>
  <c r="AN39" i="35"/>
  <c r="AN31" i="35"/>
  <c r="AN54" i="35"/>
  <c r="AN50" i="35"/>
  <c r="AN46" i="35"/>
  <c r="AN32" i="35"/>
  <c r="AN40" i="35"/>
  <c r="AN33" i="35"/>
  <c r="AN55" i="35"/>
  <c r="AN51" i="35"/>
  <c r="AN47" i="35"/>
  <c r="AN41" i="35"/>
  <c r="AN34" i="35"/>
  <c r="AN56" i="35"/>
  <c r="AN52" i="35"/>
  <c r="AN48" i="35"/>
  <c r="AN43" i="35"/>
  <c r="AR19" i="35"/>
  <c r="AG22" i="35"/>
  <c r="AH23" i="35"/>
  <c r="AJ24" i="35"/>
  <c r="AK25" i="35"/>
  <c r="AM26" i="35"/>
  <c r="AH32" i="35"/>
  <c r="AH40" i="35"/>
  <c r="AH46" i="35"/>
  <c r="AK51" i="35"/>
  <c r="AO44" i="35"/>
  <c r="AO28" i="35"/>
  <c r="AO37" i="35"/>
  <c r="AO57" i="35"/>
  <c r="AO53" i="35"/>
  <c r="AO49" i="35"/>
  <c r="AO45" i="35"/>
  <c r="AO38" i="35"/>
  <c r="AO29" i="35"/>
  <c r="AO39" i="35"/>
  <c r="AO31" i="35"/>
  <c r="AO54" i="35"/>
  <c r="AO50" i="35"/>
  <c r="AO46" i="35"/>
  <c r="AO32" i="35"/>
  <c r="AO40" i="35"/>
  <c r="AO33" i="35"/>
  <c r="AO55" i="35"/>
  <c r="AO51" i="35"/>
  <c r="AO47" i="35"/>
  <c r="AO41" i="35"/>
  <c r="AO34" i="35"/>
  <c r="AO42" i="35"/>
  <c r="AO35" i="35"/>
  <c r="AS19" i="35"/>
  <c r="AF21" i="35"/>
  <c r="AH22" i="35"/>
  <c r="AI23" i="35"/>
  <c r="AK24" i="35"/>
  <c r="AL25" i="35"/>
  <c r="AN26" i="35"/>
  <c r="AL35" i="35"/>
  <c r="AI40" i="35"/>
  <c r="AM42" i="35"/>
  <c r="AL51" i="35"/>
  <c r="AO56" i="35"/>
  <c r="AP37" i="35"/>
  <c r="AP57" i="35"/>
  <c r="AP53" i="35"/>
  <c r="AP49" i="35"/>
  <c r="AP45" i="35"/>
  <c r="AP38" i="35"/>
  <c r="AP29" i="35"/>
  <c r="AP30" i="35"/>
  <c r="AP39" i="35"/>
  <c r="AP31" i="35"/>
  <c r="AP54" i="35"/>
  <c r="AP50" i="35"/>
  <c r="AP46" i="35"/>
  <c r="AP32" i="35"/>
  <c r="AP40" i="35"/>
  <c r="AP33" i="35"/>
  <c r="AP55" i="35"/>
  <c r="AP51" i="35"/>
  <c r="AP47" i="35"/>
  <c r="AP41" i="35"/>
  <c r="AP34" i="35"/>
  <c r="AP42" i="35"/>
  <c r="AP35" i="35"/>
  <c r="AP44" i="35"/>
  <c r="AS18" i="35"/>
  <c r="AF20" i="35"/>
  <c r="AG21" i="35"/>
  <c r="AI22" i="35"/>
  <c r="AJ23" i="35"/>
  <c r="AL24" i="35"/>
  <c r="AM25" i="35"/>
  <c r="AO26" i="35"/>
  <c r="AM35" i="35"/>
  <c r="AN42" i="35"/>
  <c r="AP56" i="35"/>
  <c r="AQ57" i="35"/>
  <c r="AQ53" i="35"/>
  <c r="AQ49" i="35"/>
  <c r="AQ45" i="35"/>
  <c r="AQ38" i="35"/>
  <c r="AQ29" i="35"/>
  <c r="AQ30" i="35"/>
  <c r="AQ39" i="35"/>
  <c r="AQ31" i="35"/>
  <c r="AQ54" i="35"/>
  <c r="AQ50" i="35"/>
  <c r="AQ46" i="35"/>
  <c r="AQ32" i="35"/>
  <c r="AQ40" i="35"/>
  <c r="AQ33" i="35"/>
  <c r="AQ55" i="35"/>
  <c r="AQ51" i="35"/>
  <c r="AQ47" i="35"/>
  <c r="AQ41" i="35"/>
  <c r="AQ34" i="35"/>
  <c r="AQ42" i="35"/>
  <c r="AQ35" i="35"/>
  <c r="AQ56" i="35"/>
  <c r="AQ52" i="35"/>
  <c r="AQ48" i="35"/>
  <c r="AQ43" i="35"/>
  <c r="AQ36" i="35"/>
  <c r="AQ27" i="35"/>
  <c r="BL18" i="35"/>
  <c r="AG20" i="35"/>
  <c r="AH21" i="35"/>
  <c r="AJ22" i="35"/>
  <c r="AK23" i="35"/>
  <c r="AM24" i="35"/>
  <c r="AN25" i="35"/>
  <c r="AP26" i="35"/>
  <c r="AF31" i="35"/>
  <c r="AN35" i="35"/>
  <c r="AQ44" i="35"/>
  <c r="AG54" i="35"/>
  <c r="AR38" i="35"/>
  <c r="AR29" i="35"/>
  <c r="AR30" i="35"/>
  <c r="AR39" i="35"/>
  <c r="AR31" i="35"/>
  <c r="AR54" i="35"/>
  <c r="AR50" i="35"/>
  <c r="AR46" i="35"/>
  <c r="AR32" i="35"/>
  <c r="AR40" i="35"/>
  <c r="AR33" i="35"/>
  <c r="AR55" i="35"/>
  <c r="AR51" i="35"/>
  <c r="AR47" i="35"/>
  <c r="AR41" i="35"/>
  <c r="AR34" i="35"/>
  <c r="AR42" i="35"/>
  <c r="AR35" i="35"/>
  <c r="AR56" i="35"/>
  <c r="AR52" i="35"/>
  <c r="AR48" i="35"/>
  <c r="AR43" i="35"/>
  <c r="AR36" i="35"/>
  <c r="AR57" i="35"/>
  <c r="AR53" i="35"/>
  <c r="AR49" i="35"/>
  <c r="AR45" i="35"/>
  <c r="BM18" i="35"/>
  <c r="AF19" i="35"/>
  <c r="AH20" i="35"/>
  <c r="AI21" i="35"/>
  <c r="AK22" i="35"/>
  <c r="AL23" i="35"/>
  <c r="AN24" i="35"/>
  <c r="AO25" i="35"/>
  <c r="AQ26" i="35"/>
  <c r="AG31" i="35"/>
  <c r="AR44" i="35"/>
  <c r="AH54" i="35"/>
  <c r="AS30" i="35"/>
  <c r="AS39" i="35"/>
  <c r="AS31" i="35"/>
  <c r="AS54" i="35"/>
  <c r="AS50" i="35"/>
  <c r="AS46" i="35"/>
  <c r="AS32" i="35"/>
  <c r="AS40" i="35"/>
  <c r="AS33" i="35"/>
  <c r="AS55" i="35"/>
  <c r="AS51" i="35"/>
  <c r="AS47" i="35"/>
  <c r="AS41" i="35"/>
  <c r="AS34" i="35"/>
  <c r="AS42" i="35"/>
  <c r="AS35" i="35"/>
  <c r="AS56" i="35"/>
  <c r="AS52" i="35"/>
  <c r="AS48" i="35"/>
  <c r="AS43" i="35"/>
  <c r="AS36" i="35"/>
  <c r="AS27" i="35"/>
  <c r="AS44" i="35"/>
  <c r="AS28" i="35"/>
  <c r="AS38" i="35"/>
  <c r="AF18" i="35"/>
  <c r="AG19" i="35"/>
  <c r="AI20" i="35"/>
  <c r="AJ21" i="35"/>
  <c r="AL22" i="35"/>
  <c r="AM23" i="35"/>
  <c r="AO24" i="35"/>
  <c r="AP25" i="35"/>
  <c r="AR26" i="35"/>
  <c r="AF27" i="35"/>
  <c r="AF30" i="35"/>
  <c r="AK34" i="35"/>
  <c r="AG18" i="35"/>
  <c r="BO18" i="35"/>
  <c r="AH19" i="35"/>
  <c r="AJ20" i="35"/>
  <c r="AK21" i="35"/>
  <c r="AM22" i="35"/>
  <c r="AN23" i="35"/>
  <c r="AP24" i="35"/>
  <c r="AQ25" i="35"/>
  <c r="AS26" i="35"/>
  <c r="AG27" i="35"/>
  <c r="AO30" i="35"/>
  <c r="AL34" i="35"/>
  <c r="AK47" i="35"/>
  <c r="AH18" i="35"/>
  <c r="AI19" i="35"/>
  <c r="AK20" i="35"/>
  <c r="AL21" i="35"/>
  <c r="AN22" i="35"/>
  <c r="AO23" i="35"/>
  <c r="AQ24" i="35"/>
  <c r="AR25" i="35"/>
  <c r="AM34" i="35"/>
  <c r="AL47" i="35"/>
  <c r="AO52" i="35"/>
  <c r="AF40" i="35"/>
  <c r="AF33" i="35"/>
  <c r="AF55" i="35"/>
  <c r="AF51" i="35"/>
  <c r="AF47" i="35"/>
  <c r="AF41" i="35"/>
  <c r="AF34" i="35"/>
  <c r="AF42" i="35"/>
  <c r="AF35" i="35"/>
  <c r="AF56" i="35"/>
  <c r="AF52" i="35"/>
  <c r="AF48" i="35"/>
  <c r="AF43" i="35"/>
  <c r="AF36" i="35"/>
  <c r="AF44" i="35"/>
  <c r="AF28" i="35"/>
  <c r="AF37" i="35"/>
  <c r="AF57" i="35"/>
  <c r="AF53" i="35"/>
  <c r="AF49" i="35"/>
  <c r="AF45" i="35"/>
  <c r="AF38" i="35"/>
  <c r="AF29" i="35"/>
  <c r="AF54" i="35"/>
  <c r="AF50" i="35"/>
  <c r="AF46" i="35"/>
  <c r="AI18" i="35"/>
  <c r="AJ19" i="35"/>
  <c r="AL20" i="35"/>
  <c r="AM21" i="35"/>
  <c r="AO22" i="35"/>
  <c r="AP23" i="35"/>
  <c r="AR24" i="35"/>
  <c r="AS25" i="35"/>
  <c r="AI27" i="35"/>
  <c r="AN29" i="35"/>
  <c r="AQ37" i="35"/>
  <c r="AK41" i="35"/>
  <c r="AP52" i="35"/>
  <c r="AS57" i="35"/>
  <c r="AG33" i="35"/>
  <c r="AG55" i="35"/>
  <c r="AG51" i="35"/>
  <c r="AG47" i="35"/>
  <c r="AG41" i="35"/>
  <c r="AG34" i="35"/>
  <c r="AG42" i="35"/>
  <c r="AG35" i="35"/>
  <c r="AG56" i="35"/>
  <c r="AG52" i="35"/>
  <c r="AG48" i="35"/>
  <c r="AG43" i="35"/>
  <c r="AG36" i="35"/>
  <c r="AG44" i="35"/>
  <c r="AG28" i="35"/>
  <c r="AG37" i="35"/>
  <c r="AG57" i="35"/>
  <c r="AG53" i="35"/>
  <c r="AG49" i="35"/>
  <c r="AG45" i="35"/>
  <c r="AG38" i="35"/>
  <c r="AG29" i="35"/>
  <c r="AG30" i="35"/>
  <c r="AG40" i="35"/>
  <c r="AJ18" i="35"/>
  <c r="BR18" i="35"/>
  <c r="AK19" i="35"/>
  <c r="AM20" i="35"/>
  <c r="AN21" i="35"/>
  <c r="AP22" i="35"/>
  <c r="AQ23" i="35"/>
  <c r="AS24" i="35"/>
  <c r="AF26" i="35"/>
  <c r="AJ27" i="35"/>
  <c r="AS29" i="35"/>
  <c r="AR37" i="35"/>
  <c r="AL41" i="35"/>
  <c r="AG50" i="35"/>
  <c r="AH33" i="35"/>
  <c r="AH55" i="35"/>
  <c r="AH51" i="35"/>
  <c r="AH47" i="35"/>
  <c r="AH41" i="35"/>
  <c r="AH34" i="35"/>
  <c r="AH42" i="35"/>
  <c r="AH35" i="35"/>
  <c r="AH56" i="35"/>
  <c r="AH52" i="35"/>
  <c r="AH48" i="35"/>
  <c r="AH43" i="35"/>
  <c r="AH36" i="35"/>
  <c r="AH44" i="35"/>
  <c r="AH28" i="35"/>
  <c r="AH37" i="35"/>
  <c r="AH57" i="35"/>
  <c r="AH53" i="35"/>
  <c r="AH49" i="35"/>
  <c r="AH45" i="35"/>
  <c r="AH38" i="35"/>
  <c r="AH29" i="35"/>
  <c r="AH30" i="35"/>
  <c r="AH39" i="35"/>
  <c r="AH31" i="35"/>
  <c r="AK18" i="35"/>
  <c r="BS18" i="35"/>
  <c r="AL19" i="35"/>
  <c r="AN20" i="35"/>
  <c r="AO21" i="35"/>
  <c r="AQ22" i="35"/>
  <c r="AR23" i="35"/>
  <c r="AG26" i="35"/>
  <c r="AK27" i="35"/>
  <c r="AJ33" i="35"/>
  <c r="AS37" i="35"/>
  <c r="AO43" i="35"/>
  <c r="AS45" i="35"/>
  <c r="AH50" i="35"/>
  <c r="AK55" i="35"/>
  <c r="AI55" i="35"/>
  <c r="AI51" i="35"/>
  <c r="AI47" i="35"/>
  <c r="AI41" i="35"/>
  <c r="AI34" i="35"/>
  <c r="AI42" i="35"/>
  <c r="AI35" i="35"/>
  <c r="AI56" i="35"/>
  <c r="AI52" i="35"/>
  <c r="AI48" i="35"/>
  <c r="AI43" i="35"/>
  <c r="AI36" i="35"/>
  <c r="AI44" i="35"/>
  <c r="AI28" i="35"/>
  <c r="AI37" i="35"/>
  <c r="AI57" i="35"/>
  <c r="AI53" i="35"/>
  <c r="AI49" i="35"/>
  <c r="AI45" i="35"/>
  <c r="AI38" i="35"/>
  <c r="AI29" i="35"/>
  <c r="AI30" i="35"/>
  <c r="AI39" i="35"/>
  <c r="AI31" i="35"/>
  <c r="AI54" i="35"/>
  <c r="AI50" i="35"/>
  <c r="AI46" i="35"/>
  <c r="AI32" i="35"/>
  <c r="AL18" i="35"/>
  <c r="AM19" i="35"/>
  <c r="AO20" i="35"/>
  <c r="AP21" i="35"/>
  <c r="AR22" i="35"/>
  <c r="AS23" i="35"/>
  <c r="AF25" i="35"/>
  <c r="AH26" i="35"/>
  <c r="AN27" i="35"/>
  <c r="AK33" i="35"/>
  <c r="AP43" i="35"/>
  <c r="AL55" i="35"/>
  <c r="AM18" i="35"/>
  <c r="AN19" i="35"/>
  <c r="AP20" i="35"/>
  <c r="AQ21" i="35"/>
  <c r="AS22" i="35"/>
  <c r="AF24" i="35"/>
  <c r="AG25" i="35"/>
  <c r="AI26" i="35"/>
  <c r="AO27" i="35"/>
  <c r="AK28" i="35"/>
  <c r="Q133" i="34"/>
  <c r="P133" i="34"/>
  <c r="P131" i="34"/>
  <c r="P105" i="34"/>
  <c r="O133" i="34"/>
  <c r="O131" i="34"/>
  <c r="O105" i="34"/>
  <c r="N133" i="34"/>
  <c r="N131" i="34"/>
  <c r="N105" i="34"/>
  <c r="M133" i="34"/>
  <c r="M131" i="34"/>
  <c r="M105" i="34"/>
  <c r="T184" i="34"/>
  <c r="T126" i="34"/>
  <c r="S184" i="34"/>
  <c r="S126" i="34"/>
  <c r="R184" i="34"/>
  <c r="R126" i="34"/>
  <c r="Q126" i="34"/>
  <c r="P184" i="34"/>
  <c r="P126" i="34"/>
  <c r="O126" i="34"/>
  <c r="N126" i="34"/>
  <c r="T133" i="34"/>
  <c r="T131" i="34"/>
  <c r="T105" i="34"/>
  <c r="S133" i="34"/>
  <c r="S105" i="34"/>
  <c r="AU19" i="35" l="1"/>
  <c r="AV20" i="35" s="1"/>
  <c r="AU31" i="35"/>
  <c r="AV32" i="35" s="1"/>
  <c r="AU39" i="35"/>
  <c r="AV40" i="35" s="1"/>
  <c r="AU54" i="35"/>
  <c r="BJ54" i="35" s="1"/>
  <c r="BF21" i="35"/>
  <c r="BT20" i="35"/>
  <c r="AU38" i="35"/>
  <c r="AU41" i="35"/>
  <c r="AU30" i="35"/>
  <c r="AU21" i="35"/>
  <c r="BV19" i="35"/>
  <c r="BH20" i="35"/>
  <c r="BW20" i="35" s="1"/>
  <c r="BE21" i="35"/>
  <c r="BS20" i="35"/>
  <c r="AU42" i="35"/>
  <c r="AU47" i="35"/>
  <c r="AU27" i="35"/>
  <c r="AU29" i="35"/>
  <c r="AU45" i="35"/>
  <c r="AU24" i="35"/>
  <c r="AU49" i="35"/>
  <c r="AU51" i="35"/>
  <c r="BD21" i="35"/>
  <c r="BR20" i="35"/>
  <c r="AU55" i="35"/>
  <c r="AU57" i="35"/>
  <c r="BJ57" i="35" s="1"/>
  <c r="AU33" i="35"/>
  <c r="BG20" i="35"/>
  <c r="BU19" i="35"/>
  <c r="BC21" i="35"/>
  <c r="BQ20" i="35"/>
  <c r="AU37" i="35"/>
  <c r="AU40" i="35"/>
  <c r="AU22" i="35"/>
  <c r="AU34" i="35"/>
  <c r="BB21" i="35"/>
  <c r="BP20" i="35"/>
  <c r="AU28" i="35"/>
  <c r="AU44" i="35"/>
  <c r="AU32" i="35"/>
  <c r="AU53" i="35"/>
  <c r="AU36" i="35"/>
  <c r="BJ31" i="35"/>
  <c r="AU43" i="35"/>
  <c r="BA21" i="35"/>
  <c r="BO20" i="35"/>
  <c r="AU48" i="35"/>
  <c r="AU18" i="35"/>
  <c r="AZ21" i="35"/>
  <c r="BN20" i="35"/>
  <c r="AU52" i="35"/>
  <c r="AU46" i="35"/>
  <c r="AU56" i="35"/>
  <c r="AU20" i="35"/>
  <c r="BG21" i="35"/>
  <c r="BU20" i="35"/>
  <c r="AU25" i="35"/>
  <c r="AU26" i="35"/>
  <c r="AU50" i="35"/>
  <c r="AU35" i="35"/>
  <c r="AU23" i="35"/>
  <c r="AY21" i="35"/>
  <c r="BM20" i="35"/>
  <c r="AV55" i="35" l="1"/>
  <c r="BJ19" i="35"/>
  <c r="BJ39" i="35"/>
  <c r="BF22" i="35"/>
  <c r="BT21" i="35"/>
  <c r="AV44" i="35"/>
  <c r="BJ43" i="35"/>
  <c r="AV28" i="35"/>
  <c r="BJ27" i="35"/>
  <c r="AV26" i="35"/>
  <c r="BJ25" i="35"/>
  <c r="AV36" i="35"/>
  <c r="BJ35" i="35"/>
  <c r="AV27" i="35"/>
  <c r="BJ26" i="35"/>
  <c r="BD22" i="35"/>
  <c r="BR21" i="35"/>
  <c r="BH22" i="35"/>
  <c r="BW22" i="35" s="1"/>
  <c r="BV21" i="35"/>
  <c r="BJ46" i="35"/>
  <c r="AV47" i="35"/>
  <c r="BJ29" i="35"/>
  <c r="AV30" i="35"/>
  <c r="AV33" i="35"/>
  <c r="BJ32" i="35"/>
  <c r="AV45" i="35"/>
  <c r="BJ44" i="35"/>
  <c r="AV34" i="35"/>
  <c r="BJ33" i="35"/>
  <c r="AW21" i="35"/>
  <c r="BK20" i="35"/>
  <c r="AV42" i="35"/>
  <c r="BJ41" i="35"/>
  <c r="BB22" i="35"/>
  <c r="BP21" i="35"/>
  <c r="BJ50" i="35"/>
  <c r="AV51" i="35"/>
  <c r="AV37" i="35"/>
  <c r="BJ36" i="35"/>
  <c r="BH21" i="35"/>
  <c r="BW21" i="35" s="1"/>
  <c r="BV20" i="35"/>
  <c r="AV22" i="35"/>
  <c r="BJ21" i="35"/>
  <c r="BJ38" i="35"/>
  <c r="AV39" i="35"/>
  <c r="BJ22" i="35"/>
  <c r="AV23" i="35"/>
  <c r="BJ37" i="35"/>
  <c r="AV38" i="35"/>
  <c r="AW33" i="35"/>
  <c r="BK32" i="35"/>
  <c r="AV50" i="35"/>
  <c r="BJ49" i="35"/>
  <c r="BG22" i="35"/>
  <c r="BU21" i="35"/>
  <c r="AV24" i="35"/>
  <c r="BJ23" i="35"/>
  <c r="BJ47" i="35"/>
  <c r="AV48" i="35"/>
  <c r="AV21" i="35"/>
  <c r="BJ20" i="35"/>
  <c r="BJ56" i="35"/>
  <c r="AV57" i="35"/>
  <c r="BK57" i="35" s="1"/>
  <c r="BJ30" i="35"/>
  <c r="AV31" i="35"/>
  <c r="BE22" i="35"/>
  <c r="BS21" i="35"/>
  <c r="BA22" i="35"/>
  <c r="BO21" i="35"/>
  <c r="BJ51" i="35"/>
  <c r="AV52" i="35"/>
  <c r="AV19" i="35"/>
  <c r="BJ18" i="35"/>
  <c r="BY18" i="35" s="1"/>
  <c r="BJ48" i="35"/>
  <c r="AV49" i="35"/>
  <c r="BK55" i="35"/>
  <c r="AW56" i="35"/>
  <c r="AV25" i="35"/>
  <c r="BJ24" i="35"/>
  <c r="AV41" i="35"/>
  <c r="BJ40" i="35"/>
  <c r="AV43" i="35"/>
  <c r="BJ42" i="35"/>
  <c r="AV54" i="35"/>
  <c r="BJ53" i="35"/>
  <c r="AV29" i="35"/>
  <c r="BJ28" i="35"/>
  <c r="BJ55" i="35"/>
  <c r="AV56" i="35"/>
  <c r="BJ52" i="35"/>
  <c r="AV53" i="35"/>
  <c r="BC22" i="35"/>
  <c r="BQ21" i="35"/>
  <c r="AV35" i="35"/>
  <c r="BJ34" i="35"/>
  <c r="AZ22" i="35"/>
  <c r="BN21" i="35"/>
  <c r="AV46" i="35"/>
  <c r="BJ45" i="35"/>
  <c r="AW41" i="35"/>
  <c r="BK40" i="35"/>
  <c r="AW36" i="35" l="1"/>
  <c r="BK35" i="35"/>
  <c r="BE23" i="35"/>
  <c r="BS22" i="35"/>
  <c r="AW24" i="35"/>
  <c r="BK23" i="35"/>
  <c r="AW28" i="35"/>
  <c r="BK27" i="35"/>
  <c r="BK22" i="35"/>
  <c r="AW23" i="35"/>
  <c r="AW37" i="35"/>
  <c r="BK36" i="35"/>
  <c r="BD23" i="35"/>
  <c r="BR22" i="35"/>
  <c r="AW50" i="35"/>
  <c r="BK49" i="35"/>
  <c r="AW25" i="35"/>
  <c r="BK24" i="35"/>
  <c r="AW27" i="35"/>
  <c r="BK26" i="35"/>
  <c r="BK38" i="35"/>
  <c r="AW39" i="35"/>
  <c r="AW43" i="35"/>
  <c r="BK42" i="35"/>
  <c r="AW26" i="35"/>
  <c r="BK25" i="35"/>
  <c r="AW40" i="35"/>
  <c r="BK39" i="35"/>
  <c r="AW35" i="35"/>
  <c r="BK34" i="35"/>
  <c r="AW20" i="35"/>
  <c r="BK19" i="35"/>
  <c r="BY19" i="35" s="1"/>
  <c r="AW34" i="35"/>
  <c r="BK33" i="35"/>
  <c r="BL56" i="35"/>
  <c r="AX57" i="35"/>
  <c r="BM57" i="35" s="1"/>
  <c r="AW22" i="35"/>
  <c r="BK21" i="35"/>
  <c r="BK56" i="35"/>
  <c r="AW57" i="35"/>
  <c r="BL57" i="35" s="1"/>
  <c r="BK52" i="35"/>
  <c r="AW53" i="35"/>
  <c r="BH23" i="35"/>
  <c r="BW23" i="35" s="1"/>
  <c r="BV22" i="35"/>
  <c r="BK54" i="35"/>
  <c r="AW55" i="35"/>
  <c r="BK50" i="35"/>
  <c r="AW51" i="35"/>
  <c r="BK30" i="35"/>
  <c r="AW31" i="35"/>
  <c r="AW44" i="35"/>
  <c r="BK43" i="35"/>
  <c r="AW45" i="35"/>
  <c r="BK44" i="35"/>
  <c r="AX22" i="35"/>
  <c r="BL21" i="35"/>
  <c r="AW30" i="35"/>
  <c r="BK29" i="35"/>
  <c r="AW38" i="35"/>
  <c r="BK37" i="35"/>
  <c r="AW29" i="35"/>
  <c r="BK28" i="35"/>
  <c r="BK46" i="35"/>
  <c r="AW47" i="35"/>
  <c r="BB23" i="35"/>
  <c r="BP22" i="35"/>
  <c r="BK51" i="35"/>
  <c r="AW52" i="35"/>
  <c r="BK47" i="35"/>
  <c r="AW48" i="35"/>
  <c r="AW54" i="35"/>
  <c r="BK53" i="35"/>
  <c r="BK48" i="35"/>
  <c r="AW49" i="35"/>
  <c r="AW46" i="35"/>
  <c r="BK45" i="35"/>
  <c r="AX42" i="35"/>
  <c r="BL41" i="35"/>
  <c r="BF23" i="35"/>
  <c r="BT22" i="35"/>
  <c r="BA23" i="35"/>
  <c r="BO22" i="35"/>
  <c r="AW42" i="35"/>
  <c r="BK41" i="35"/>
  <c r="BK31" i="35"/>
  <c r="AW32" i="35"/>
  <c r="AX34" i="35"/>
  <c r="BL33" i="35"/>
  <c r="BC23" i="35"/>
  <c r="BQ22" i="35"/>
  <c r="BG23" i="35"/>
  <c r="BU22" i="35"/>
  <c r="AX29" i="35" l="1"/>
  <c r="BL28" i="35"/>
  <c r="AX25" i="35"/>
  <c r="BL24" i="35"/>
  <c r="BL52" i="35"/>
  <c r="AX53" i="35"/>
  <c r="BH24" i="35"/>
  <c r="BW24" i="35" s="1"/>
  <c r="BV23" i="35"/>
  <c r="AX35" i="35"/>
  <c r="BL34" i="35"/>
  <c r="AY43" i="35"/>
  <c r="BM42" i="35"/>
  <c r="AX46" i="35"/>
  <c r="BL45" i="35"/>
  <c r="AX50" i="35"/>
  <c r="BL49" i="35"/>
  <c r="BL50" i="35"/>
  <c r="AX51" i="35"/>
  <c r="AY35" i="35"/>
  <c r="BM34" i="35"/>
  <c r="AX30" i="35"/>
  <c r="BL29" i="35"/>
  <c r="AX28" i="35"/>
  <c r="BL27" i="35"/>
  <c r="AX43" i="35"/>
  <c r="BL42" i="35"/>
  <c r="AX41" i="35"/>
  <c r="BL40" i="35"/>
  <c r="BE24" i="35"/>
  <c r="BS23" i="35"/>
  <c r="BF24" i="35"/>
  <c r="BT23" i="35"/>
  <c r="AX21" i="35"/>
  <c r="BL20" i="35"/>
  <c r="BY20" i="35" s="1"/>
  <c r="AY23" i="35"/>
  <c r="BM22" i="35"/>
  <c r="BL47" i="35"/>
  <c r="AX48" i="35"/>
  <c r="BL46" i="35"/>
  <c r="AX47" i="35"/>
  <c r="AX26" i="35"/>
  <c r="BL25" i="35"/>
  <c r="AX33" i="35"/>
  <c r="BL32" i="35"/>
  <c r="AX39" i="35"/>
  <c r="BL38" i="35"/>
  <c r="BB24" i="35"/>
  <c r="BP23" i="35"/>
  <c r="BL54" i="35"/>
  <c r="AX55" i="35"/>
  <c r="BL31" i="35"/>
  <c r="AX32" i="35"/>
  <c r="AX23" i="35"/>
  <c r="BL22" i="35"/>
  <c r="BL26" i="35"/>
  <c r="AX27" i="35"/>
  <c r="AX36" i="35"/>
  <c r="BL35" i="35"/>
  <c r="AX38" i="35"/>
  <c r="BL37" i="35"/>
  <c r="BC24" i="35"/>
  <c r="BQ23" i="35"/>
  <c r="BD24" i="35"/>
  <c r="BR23" i="35"/>
  <c r="AX54" i="35"/>
  <c r="BL53" i="35"/>
  <c r="BL48" i="35"/>
  <c r="AX49" i="35"/>
  <c r="BL51" i="35"/>
  <c r="AX52" i="35"/>
  <c r="AX44" i="35"/>
  <c r="BL43" i="35"/>
  <c r="BL55" i="35"/>
  <c r="AX56" i="35"/>
  <c r="AX45" i="35"/>
  <c r="BL44" i="35"/>
  <c r="BL30" i="35"/>
  <c r="AX31" i="35"/>
  <c r="AX37" i="35"/>
  <c r="BL36" i="35"/>
  <c r="BG24" i="35"/>
  <c r="BU23" i="35"/>
  <c r="BL39" i="35"/>
  <c r="AX40" i="35"/>
  <c r="BL23" i="35"/>
  <c r="AX24" i="35"/>
  <c r="BM46" i="35" l="1"/>
  <c r="AY47" i="35"/>
  <c r="BD25" i="35"/>
  <c r="BR24" i="35"/>
  <c r="AY42" i="35"/>
  <c r="BM41" i="35"/>
  <c r="AZ44" i="35"/>
  <c r="BN43" i="35"/>
  <c r="BC25" i="35"/>
  <c r="BQ24" i="35"/>
  <c r="BM39" i="35"/>
  <c r="AY40" i="35"/>
  <c r="BM24" i="35"/>
  <c r="AY25" i="35"/>
  <c r="AY45" i="35"/>
  <c r="BM44" i="35"/>
  <c r="AY28" i="35"/>
  <c r="BM27" i="35"/>
  <c r="BM47" i="35"/>
  <c r="AY48" i="35"/>
  <c r="AY44" i="35"/>
  <c r="BM43" i="35"/>
  <c r="AY36" i="35"/>
  <c r="BM35" i="35"/>
  <c r="AY37" i="35"/>
  <c r="BM36" i="35"/>
  <c r="BM56" i="35"/>
  <c r="AY57" i="35"/>
  <c r="BN57" i="35" s="1"/>
  <c r="AY27" i="35"/>
  <c r="BM26" i="35"/>
  <c r="AY41" i="35"/>
  <c r="BM40" i="35"/>
  <c r="BM48" i="35"/>
  <c r="AY49" i="35"/>
  <c r="AY34" i="35"/>
  <c r="BM33" i="35"/>
  <c r="BM52" i="35"/>
  <c r="AY53" i="35"/>
  <c r="AY29" i="35"/>
  <c r="BM28" i="35"/>
  <c r="BM49" i="35"/>
  <c r="AY50" i="35"/>
  <c r="AY24" i="35"/>
  <c r="BM23" i="35"/>
  <c r="BM53" i="35"/>
  <c r="AY54" i="35"/>
  <c r="BM50" i="35"/>
  <c r="AY51" i="35"/>
  <c r="BF25" i="35"/>
  <c r="BT24" i="35"/>
  <c r="AY33" i="35"/>
  <c r="BM32" i="35"/>
  <c r="AY31" i="35"/>
  <c r="BM30" i="35"/>
  <c r="BE25" i="35"/>
  <c r="BS24" i="35"/>
  <c r="BG25" i="35"/>
  <c r="BU24" i="35"/>
  <c r="BH25" i="35"/>
  <c r="BW25" i="35" s="1"/>
  <c r="BV24" i="35"/>
  <c r="AZ24" i="35"/>
  <c r="BN23" i="35"/>
  <c r="BM45" i="35"/>
  <c r="AY46" i="35"/>
  <c r="AY39" i="35"/>
  <c r="BM38" i="35"/>
  <c r="BM55" i="35"/>
  <c r="AY56" i="35"/>
  <c r="AZ36" i="35"/>
  <c r="BN35" i="35"/>
  <c r="AY26" i="35"/>
  <c r="BM25" i="35"/>
  <c r="BM51" i="35"/>
  <c r="AY52" i="35"/>
  <c r="AY38" i="35"/>
  <c r="BM37" i="35"/>
  <c r="BM54" i="35"/>
  <c r="AY55" i="35"/>
  <c r="BM31" i="35"/>
  <c r="AY32" i="35"/>
  <c r="AY22" i="35"/>
  <c r="BM21" i="35"/>
  <c r="BY21" i="35" s="1"/>
  <c r="AY30" i="35"/>
  <c r="BM29" i="35"/>
  <c r="BA37" i="35" l="1"/>
  <c r="BO36" i="35"/>
  <c r="BN56" i="35"/>
  <c r="AZ57" i="35"/>
  <c r="BO57" i="35" s="1"/>
  <c r="BN24" i="35"/>
  <c r="AZ25" i="35"/>
  <c r="BF26" i="35"/>
  <c r="BT25" i="35"/>
  <c r="AZ26" i="35"/>
  <c r="BN25" i="35"/>
  <c r="AZ41" i="35"/>
  <c r="BN40" i="35"/>
  <c r="BH26" i="35"/>
  <c r="BW26" i="35" s="1"/>
  <c r="BV25" i="35"/>
  <c r="BD26" i="35"/>
  <c r="BR25" i="35"/>
  <c r="AZ23" i="35"/>
  <c r="BN22" i="35"/>
  <c r="BY22" i="35" s="1"/>
  <c r="BN45" i="35"/>
  <c r="AZ46" i="35"/>
  <c r="BN39" i="35"/>
  <c r="AZ40" i="35"/>
  <c r="AZ30" i="35"/>
  <c r="BN29" i="35"/>
  <c r="AZ39" i="35"/>
  <c r="BN38" i="35"/>
  <c r="BN55" i="35"/>
  <c r="AZ56" i="35"/>
  <c r="AZ47" i="35"/>
  <c r="BN46" i="35"/>
  <c r="AZ37" i="35"/>
  <c r="BN36" i="35"/>
  <c r="BA45" i="35"/>
  <c r="BO44" i="35"/>
  <c r="BN47" i="35"/>
  <c r="AZ48" i="35"/>
  <c r="AZ34" i="35"/>
  <c r="BN33" i="35"/>
  <c r="BN52" i="35"/>
  <c r="AZ53" i="35"/>
  <c r="AZ42" i="35"/>
  <c r="BN41" i="35"/>
  <c r="BN49" i="35"/>
  <c r="AZ50" i="35"/>
  <c r="AZ45" i="35"/>
  <c r="BN44" i="35"/>
  <c r="AZ43" i="35"/>
  <c r="BN42" i="35"/>
  <c r="AZ28" i="35"/>
  <c r="BN27" i="35"/>
  <c r="AZ33" i="35"/>
  <c r="BN32" i="35"/>
  <c r="AZ38" i="35"/>
  <c r="BN37" i="35"/>
  <c r="BA25" i="35"/>
  <c r="BO24" i="35"/>
  <c r="BG26" i="35"/>
  <c r="BU25" i="35"/>
  <c r="AZ35" i="35"/>
  <c r="BN34" i="35"/>
  <c r="AZ55" i="35"/>
  <c r="BN54" i="35"/>
  <c r="BN48" i="35"/>
  <c r="AZ49" i="35"/>
  <c r="AZ29" i="35"/>
  <c r="BN28" i="35"/>
  <c r="AZ51" i="35"/>
  <c r="BN50" i="35"/>
  <c r="AZ32" i="35"/>
  <c r="BN31" i="35"/>
  <c r="BN53" i="35"/>
  <c r="AZ54" i="35"/>
  <c r="BN51" i="35"/>
  <c r="AZ52" i="35"/>
  <c r="AZ31" i="35"/>
  <c r="BN30" i="35"/>
  <c r="BN26" i="35"/>
  <c r="AZ27" i="35"/>
  <c r="BE26" i="35"/>
  <c r="BS25" i="35"/>
  <c r="BO25" i="35" l="1"/>
  <c r="BA26" i="35"/>
  <c r="BB38" i="35"/>
  <c r="BP37" i="35"/>
  <c r="BA29" i="35"/>
  <c r="BO28" i="35"/>
  <c r="BA28" i="35"/>
  <c r="BO27" i="35"/>
  <c r="BA24" i="35"/>
  <c r="BO23" i="35"/>
  <c r="BY23" i="35" s="1"/>
  <c r="BE27" i="35"/>
  <c r="BS26" i="35"/>
  <c r="BF27" i="35"/>
  <c r="BT26" i="35"/>
  <c r="BA36" i="35"/>
  <c r="BO35" i="35"/>
  <c r="BA30" i="35"/>
  <c r="BO29" i="35"/>
  <c r="BA47" i="35"/>
  <c r="BO46" i="35"/>
  <c r="BA44" i="35"/>
  <c r="BO43" i="35"/>
  <c r="BA38" i="35"/>
  <c r="BO37" i="35"/>
  <c r="BA32" i="35"/>
  <c r="BO31" i="35"/>
  <c r="BA51" i="35"/>
  <c r="BO50" i="35"/>
  <c r="BO47" i="35"/>
  <c r="BA48" i="35"/>
  <c r="BA55" i="35"/>
  <c r="BO54" i="35"/>
  <c r="BH27" i="35"/>
  <c r="BW27" i="35" s="1"/>
  <c r="BV26" i="35"/>
  <c r="BO56" i="35"/>
  <c r="BA57" i="35"/>
  <c r="BP57" i="35" s="1"/>
  <c r="BA41" i="35"/>
  <c r="BO40" i="35"/>
  <c r="BO45" i="35"/>
  <c r="BA46" i="35"/>
  <c r="BA43" i="35"/>
  <c r="BO42" i="35"/>
  <c r="BO48" i="35"/>
  <c r="BA49" i="35"/>
  <c r="BO49" i="35"/>
  <c r="BA50" i="35"/>
  <c r="BP45" i="35"/>
  <c r="BB46" i="35"/>
  <c r="BO55" i="35"/>
  <c r="BA56" i="35"/>
  <c r="BO52" i="35"/>
  <c r="BA53" i="35"/>
  <c r="BA42" i="35"/>
  <c r="BO41" i="35"/>
  <c r="BO32" i="35"/>
  <c r="BA33" i="35"/>
  <c r="BO53" i="35"/>
  <c r="BA54" i="35"/>
  <c r="BA40" i="35"/>
  <c r="BO39" i="35"/>
  <c r="BA27" i="35"/>
  <c r="BO26" i="35"/>
  <c r="BA34" i="35"/>
  <c r="BO33" i="35"/>
  <c r="BB26" i="35"/>
  <c r="BP25" i="35"/>
  <c r="BA39" i="35"/>
  <c r="BO38" i="35"/>
  <c r="BO51" i="35"/>
  <c r="BA52" i="35"/>
  <c r="BA35" i="35"/>
  <c r="BO34" i="35"/>
  <c r="BA31" i="35"/>
  <c r="BO30" i="35"/>
  <c r="BG27" i="35"/>
  <c r="BU26" i="35"/>
  <c r="BU27" i="35" l="1"/>
  <c r="BG28" i="35"/>
  <c r="BP33" i="35"/>
  <c r="BB34" i="35"/>
  <c r="BB44" i="35"/>
  <c r="BP43" i="35"/>
  <c r="BP51" i="35"/>
  <c r="BB52" i="35"/>
  <c r="BF28" i="35"/>
  <c r="BT27" i="35"/>
  <c r="BB47" i="35"/>
  <c r="BP46" i="35"/>
  <c r="BB55" i="35"/>
  <c r="BP54" i="35"/>
  <c r="BB43" i="35"/>
  <c r="BP42" i="35"/>
  <c r="BP32" i="35"/>
  <c r="BB33" i="35"/>
  <c r="BB25" i="35"/>
  <c r="BP24" i="35"/>
  <c r="BY24" i="35" s="1"/>
  <c r="BP53" i="35"/>
  <c r="BB54" i="35"/>
  <c r="BC27" i="35"/>
  <c r="BQ26" i="35"/>
  <c r="BB39" i="35"/>
  <c r="BP38" i="35"/>
  <c r="BB29" i="35"/>
  <c r="BP28" i="35"/>
  <c r="BP52" i="35"/>
  <c r="BB53" i="35"/>
  <c r="BP56" i="35"/>
  <c r="BB57" i="35"/>
  <c r="BQ57" i="35" s="1"/>
  <c r="BB42" i="35"/>
  <c r="BP41" i="35"/>
  <c r="BB45" i="35"/>
  <c r="BP44" i="35"/>
  <c r="BB30" i="35"/>
  <c r="BP29" i="35"/>
  <c r="BV27" i="35"/>
  <c r="BH28" i="35"/>
  <c r="BW28" i="35" s="1"/>
  <c r="BB35" i="35"/>
  <c r="BP34" i="35"/>
  <c r="BQ46" i="35"/>
  <c r="BC47" i="35"/>
  <c r="BP47" i="35"/>
  <c r="BB48" i="35"/>
  <c r="BC39" i="35"/>
  <c r="BQ38" i="35"/>
  <c r="BB40" i="35"/>
  <c r="BP39" i="35"/>
  <c r="BP26" i="35"/>
  <c r="BB27" i="35"/>
  <c r="BP27" i="35"/>
  <c r="BB28" i="35"/>
  <c r="BB51" i="35"/>
  <c r="BP50" i="35"/>
  <c r="BB31" i="35"/>
  <c r="BP30" i="35"/>
  <c r="BB36" i="35"/>
  <c r="BP35" i="35"/>
  <c r="BP48" i="35"/>
  <c r="BB49" i="35"/>
  <c r="BB32" i="35"/>
  <c r="BP31" i="35"/>
  <c r="BB41" i="35"/>
  <c r="BP40" i="35"/>
  <c r="BP49" i="35"/>
  <c r="BB50" i="35"/>
  <c r="BP55" i="35"/>
  <c r="BB56" i="35"/>
  <c r="BB37" i="35"/>
  <c r="BP36" i="35"/>
  <c r="BC37" i="35" l="1"/>
  <c r="BQ36" i="35"/>
  <c r="BC30" i="35"/>
  <c r="BQ29" i="35"/>
  <c r="BC32" i="35"/>
  <c r="BQ31" i="35"/>
  <c r="BC40" i="35"/>
  <c r="BQ39" i="35"/>
  <c r="BQ55" i="35"/>
  <c r="BC56" i="35"/>
  <c r="BC36" i="35"/>
  <c r="BQ35" i="35"/>
  <c r="BQ56" i="35"/>
  <c r="BC57" i="35"/>
  <c r="BR57" i="35" s="1"/>
  <c r="BQ51" i="35"/>
  <c r="BC52" i="35"/>
  <c r="BC31" i="35"/>
  <c r="BQ30" i="35"/>
  <c r="BC45" i="35"/>
  <c r="BQ44" i="35"/>
  <c r="BC28" i="35"/>
  <c r="BQ27" i="35"/>
  <c r="BQ34" i="35"/>
  <c r="BC35" i="35"/>
  <c r="BQ47" i="35"/>
  <c r="BC48" i="35"/>
  <c r="BQ52" i="35"/>
  <c r="BC53" i="35"/>
  <c r="BC38" i="35"/>
  <c r="BQ37" i="35"/>
  <c r="BQ53" i="35"/>
  <c r="BC54" i="35"/>
  <c r="BQ54" i="35"/>
  <c r="BC55" i="35"/>
  <c r="BQ48" i="35"/>
  <c r="BC49" i="35"/>
  <c r="BG29" i="35"/>
  <c r="BU28" i="35"/>
  <c r="BQ50" i="35"/>
  <c r="BC51" i="35"/>
  <c r="BC26" i="35"/>
  <c r="BQ25" i="35"/>
  <c r="BY25" i="35" s="1"/>
  <c r="BQ41" i="35"/>
  <c r="BC42" i="35"/>
  <c r="BC34" i="35"/>
  <c r="BQ33" i="35"/>
  <c r="BC33" i="35"/>
  <c r="BQ32" i="35"/>
  <c r="BD48" i="35"/>
  <c r="BR47" i="35"/>
  <c r="BD28" i="35"/>
  <c r="BR27" i="35"/>
  <c r="BC29" i="35"/>
  <c r="BQ28" i="35"/>
  <c r="BQ45" i="35"/>
  <c r="BC46" i="35"/>
  <c r="BH29" i="35"/>
  <c r="BW29" i="35" s="1"/>
  <c r="BV28" i="35"/>
  <c r="BC41" i="35"/>
  <c r="BQ40" i="35"/>
  <c r="BC43" i="35"/>
  <c r="BQ42" i="35"/>
  <c r="BQ49" i="35"/>
  <c r="BC50" i="35"/>
  <c r="BD40" i="35"/>
  <c r="BR39" i="35"/>
  <c r="BC44" i="35"/>
  <c r="BQ43" i="35"/>
  <c r="BD34" i="35" l="1"/>
  <c r="BR33" i="35"/>
  <c r="BR34" i="35"/>
  <c r="BD35" i="35"/>
  <c r="BD37" i="35"/>
  <c r="BR36" i="35"/>
  <c r="BR53" i="35"/>
  <c r="BD54" i="35"/>
  <c r="BR56" i="35"/>
  <c r="BD57" i="35"/>
  <c r="BS57" i="35" s="1"/>
  <c r="BD43" i="35"/>
  <c r="BR42" i="35"/>
  <c r="BR48" i="35"/>
  <c r="BD49" i="35"/>
  <c r="BD52" i="35"/>
  <c r="BR51" i="35"/>
  <c r="BD41" i="35"/>
  <c r="BR40" i="35"/>
  <c r="BD39" i="35"/>
  <c r="BR38" i="35"/>
  <c r="BR46" i="35"/>
  <c r="BD47" i="35"/>
  <c r="BH30" i="35"/>
  <c r="BW30" i="35" s="1"/>
  <c r="BV29" i="35"/>
  <c r="BD29" i="35"/>
  <c r="BR28" i="35"/>
  <c r="BD33" i="35"/>
  <c r="BR32" i="35"/>
  <c r="BD45" i="35"/>
  <c r="BR44" i="35"/>
  <c r="BE29" i="35"/>
  <c r="BS28" i="35"/>
  <c r="BR49" i="35"/>
  <c r="BD50" i="35"/>
  <c r="BR45" i="35"/>
  <c r="BD46" i="35"/>
  <c r="BD31" i="35"/>
  <c r="BR30" i="35"/>
  <c r="BD44" i="35"/>
  <c r="BR43" i="35"/>
  <c r="BD27" i="35"/>
  <c r="BR26" i="35"/>
  <c r="BY26" i="35" s="1"/>
  <c r="BD36" i="35"/>
  <c r="BR35" i="35"/>
  <c r="BD30" i="35"/>
  <c r="BR29" i="35"/>
  <c r="BE41" i="35"/>
  <c r="BS40" i="35"/>
  <c r="BD56" i="35"/>
  <c r="BR55" i="35"/>
  <c r="BR41" i="35"/>
  <c r="BD42" i="35"/>
  <c r="BR50" i="35"/>
  <c r="BD51" i="35"/>
  <c r="BS48" i="35"/>
  <c r="BE49" i="35"/>
  <c r="BD32" i="35"/>
  <c r="BR31" i="35"/>
  <c r="BD38" i="35"/>
  <c r="BR37" i="35"/>
  <c r="BR54" i="35"/>
  <c r="BD55" i="35"/>
  <c r="BR52" i="35"/>
  <c r="BD53" i="35"/>
  <c r="BS45" i="35" l="1"/>
  <c r="BE46" i="35"/>
  <c r="BE34" i="35"/>
  <c r="BS33" i="35"/>
  <c r="BE39" i="35"/>
  <c r="BS38" i="35"/>
  <c r="BE30" i="35"/>
  <c r="BS29" i="35"/>
  <c r="BE33" i="35"/>
  <c r="BS32" i="35"/>
  <c r="BE38" i="35"/>
  <c r="BS37" i="35"/>
  <c r="BE28" i="35"/>
  <c r="BS27" i="35"/>
  <c r="BY27" i="35" s="1"/>
  <c r="BS54" i="35"/>
  <c r="BE55" i="35"/>
  <c r="BE32" i="35"/>
  <c r="BS31" i="35"/>
  <c r="BE40" i="35"/>
  <c r="BS39" i="35"/>
  <c r="BS35" i="35"/>
  <c r="BE36" i="35"/>
  <c r="BS49" i="35"/>
  <c r="BE50" i="35"/>
  <c r="BE52" i="35"/>
  <c r="BS51" i="35"/>
  <c r="BS42" i="35"/>
  <c r="BE43" i="35"/>
  <c r="BS50" i="35"/>
  <c r="BE51" i="35"/>
  <c r="BS53" i="35"/>
  <c r="BE54" i="35"/>
  <c r="BS56" i="35"/>
  <c r="BE57" i="35"/>
  <c r="BT57" i="35" s="1"/>
  <c r="BS41" i="35"/>
  <c r="BE42" i="35"/>
  <c r="BE44" i="35"/>
  <c r="BS43" i="35"/>
  <c r="BE48" i="35"/>
  <c r="BS47" i="35"/>
  <c r="BS46" i="35"/>
  <c r="BE47" i="35"/>
  <c r="BS34" i="35"/>
  <c r="BE35" i="35"/>
  <c r="BE31" i="35"/>
  <c r="BS30" i="35"/>
  <c r="BE37" i="35"/>
  <c r="BS36" i="35"/>
  <c r="BT49" i="35"/>
  <c r="BF50" i="35"/>
  <c r="BE45" i="35"/>
  <c r="BS44" i="35"/>
  <c r="BE56" i="35"/>
  <c r="BS55" i="35"/>
  <c r="BF42" i="35"/>
  <c r="BT41" i="35"/>
  <c r="BT29" i="35"/>
  <c r="BF30" i="35"/>
  <c r="BS52" i="35"/>
  <c r="BE53" i="35"/>
  <c r="BF29" i="35" l="1"/>
  <c r="BT28" i="35"/>
  <c r="BY28" i="35" s="1"/>
  <c r="BT35" i="35"/>
  <c r="BF36" i="35"/>
  <c r="BF44" i="35"/>
  <c r="BT43" i="35"/>
  <c r="BT47" i="35"/>
  <c r="BF48" i="35"/>
  <c r="BT52" i="35"/>
  <c r="BF53" i="35"/>
  <c r="BT53" i="35"/>
  <c r="BF54" i="35"/>
  <c r="BT50" i="35"/>
  <c r="BF51" i="35"/>
  <c r="BF40" i="35"/>
  <c r="BT39" i="35"/>
  <c r="BF52" i="35"/>
  <c r="BT51" i="35"/>
  <c r="BF31" i="35"/>
  <c r="BT30" i="35"/>
  <c r="BF37" i="35"/>
  <c r="BT36" i="35"/>
  <c r="BU50" i="35"/>
  <c r="BG51" i="35"/>
  <c r="BF41" i="35"/>
  <c r="BT40" i="35"/>
  <c r="BF35" i="35"/>
  <c r="BT34" i="35"/>
  <c r="BG31" i="35"/>
  <c r="BU30" i="35"/>
  <c r="BT48" i="35"/>
  <c r="BF49" i="35"/>
  <c r="BF45" i="35"/>
  <c r="BT44" i="35"/>
  <c r="BT46" i="35"/>
  <c r="BF47" i="35"/>
  <c r="BF32" i="35"/>
  <c r="BT31" i="35"/>
  <c r="BF34" i="35"/>
  <c r="BT33" i="35"/>
  <c r="BT42" i="35"/>
  <c r="BF43" i="35"/>
  <c r="BT54" i="35"/>
  <c r="BF55" i="35"/>
  <c r="BF33" i="35"/>
  <c r="BT32" i="35"/>
  <c r="BT56" i="35"/>
  <c r="BF57" i="35"/>
  <c r="BU57" i="35" s="1"/>
  <c r="BF38" i="35"/>
  <c r="BT37" i="35"/>
  <c r="BF56" i="35"/>
  <c r="BT55" i="35"/>
  <c r="BF39" i="35"/>
  <c r="BT38" i="35"/>
  <c r="BU42" i="35"/>
  <c r="BG43" i="35"/>
  <c r="BT45" i="35"/>
  <c r="BF46" i="35"/>
  <c r="BG34" i="35" l="1"/>
  <c r="BU33" i="35"/>
  <c r="BH32" i="35"/>
  <c r="BW32" i="35" s="1"/>
  <c r="BV31" i="35"/>
  <c r="BU35" i="35"/>
  <c r="BG36" i="35"/>
  <c r="BU53" i="35"/>
  <c r="BG54" i="35"/>
  <c r="BV51" i="35"/>
  <c r="BH52" i="35"/>
  <c r="BW52" i="35" s="1"/>
  <c r="BG42" i="35"/>
  <c r="BU41" i="35"/>
  <c r="BV43" i="35"/>
  <c r="BH44" i="35"/>
  <c r="BW44" i="35" s="1"/>
  <c r="BG40" i="35"/>
  <c r="BU39" i="35"/>
  <c r="BG33" i="35"/>
  <c r="BU32" i="35"/>
  <c r="BG38" i="35"/>
  <c r="BU37" i="35"/>
  <c r="BG45" i="35"/>
  <c r="BU44" i="35"/>
  <c r="BU47" i="35"/>
  <c r="BG48" i="35"/>
  <c r="BG37" i="35"/>
  <c r="BU36" i="35"/>
  <c r="BU46" i="35"/>
  <c r="BG47" i="35"/>
  <c r="BU56" i="35"/>
  <c r="BG57" i="35"/>
  <c r="BV57" i="35" s="1"/>
  <c r="BG32" i="35"/>
  <c r="BU31" i="35"/>
  <c r="BU51" i="35"/>
  <c r="BG52" i="35"/>
  <c r="BU54" i="35"/>
  <c r="BG55" i="35"/>
  <c r="BU43" i="35"/>
  <c r="BG44" i="35"/>
  <c r="BU55" i="35"/>
  <c r="BG56" i="35"/>
  <c r="BG39" i="35"/>
  <c r="BU38" i="35"/>
  <c r="BU45" i="35"/>
  <c r="BG46" i="35"/>
  <c r="BU52" i="35"/>
  <c r="BG53" i="35"/>
  <c r="BG30" i="35"/>
  <c r="BU29" i="35"/>
  <c r="BY29" i="35" s="1"/>
  <c r="BG35" i="35"/>
  <c r="BU34" i="35"/>
  <c r="BU49" i="35"/>
  <c r="BG50" i="35"/>
  <c r="BU48" i="35"/>
  <c r="BG49" i="35"/>
  <c r="BG41" i="35"/>
  <c r="BU40" i="35"/>
  <c r="BH41" i="35" l="1"/>
  <c r="BW41" i="35" s="1"/>
  <c r="BV40" i="35"/>
  <c r="BH31" i="35"/>
  <c r="BW31" i="35" s="1"/>
  <c r="BY31" i="35" s="1"/>
  <c r="BV30" i="35"/>
  <c r="BY30" i="35" s="1"/>
  <c r="BV53" i="35"/>
  <c r="BH54" i="35"/>
  <c r="BW54" i="35" s="1"/>
  <c r="BV50" i="35"/>
  <c r="BH51" i="35"/>
  <c r="BW51" i="35" s="1"/>
  <c r="BY51" i="35" s="1"/>
  <c r="BY32" i="35"/>
  <c r="BV46" i="35"/>
  <c r="BH47" i="35"/>
  <c r="BW47" i="35" s="1"/>
  <c r="BY47" i="35" s="1"/>
  <c r="BH49" i="35"/>
  <c r="BW49" i="35" s="1"/>
  <c r="BV48" i="35"/>
  <c r="BV54" i="35"/>
  <c r="BH55" i="35"/>
  <c r="BW55" i="35" s="1"/>
  <c r="BV55" i="35"/>
  <c r="BH56" i="35"/>
  <c r="BW56" i="35" s="1"/>
  <c r="BH33" i="35"/>
  <c r="BW33" i="35" s="1"/>
  <c r="BV32" i="35"/>
  <c r="BH38" i="35"/>
  <c r="BW38" i="35" s="1"/>
  <c r="BV37" i="35"/>
  <c r="BH42" i="35"/>
  <c r="BW42" i="35" s="1"/>
  <c r="BV41" i="35"/>
  <c r="BH45" i="35"/>
  <c r="BW45" i="35" s="1"/>
  <c r="BV44" i="35"/>
  <c r="BY44" i="35" s="1"/>
  <c r="BV45" i="35"/>
  <c r="BH46" i="35"/>
  <c r="BW46" i="35" s="1"/>
  <c r="BH39" i="35"/>
  <c r="BW39" i="35" s="1"/>
  <c r="BV38" i="35"/>
  <c r="BH53" i="35"/>
  <c r="BW53" i="35" s="1"/>
  <c r="BY53" i="35" s="1"/>
  <c r="BV52" i="35"/>
  <c r="BY52" i="35" s="1"/>
  <c r="BH36" i="35"/>
  <c r="BW36" i="35" s="1"/>
  <c r="BV35" i="35"/>
  <c r="BH34" i="35"/>
  <c r="BW34" i="35" s="1"/>
  <c r="BV33" i="35"/>
  <c r="BH35" i="35"/>
  <c r="BW35" i="35" s="1"/>
  <c r="BY35" i="35" s="1"/>
  <c r="BV34" i="35"/>
  <c r="BV47" i="35"/>
  <c r="BH48" i="35"/>
  <c r="BW48" i="35" s="1"/>
  <c r="BH43" i="35"/>
  <c r="BW43" i="35" s="1"/>
  <c r="BY43" i="35" s="1"/>
  <c r="BV42" i="35"/>
  <c r="BH40" i="35"/>
  <c r="BW40" i="35" s="1"/>
  <c r="BY40" i="35" s="1"/>
  <c r="BV39" i="35"/>
  <c r="BH57" i="35"/>
  <c r="BW57" i="35" s="1"/>
  <c r="BY57" i="35" s="1"/>
  <c r="BV56" i="35"/>
  <c r="BV49" i="35"/>
  <c r="BH50" i="35"/>
  <c r="BW50" i="35" s="1"/>
  <c r="BH37" i="35"/>
  <c r="BW37" i="35" s="1"/>
  <c r="BV36" i="35"/>
  <c r="BY46" i="35" l="1"/>
  <c r="BY39" i="35"/>
  <c r="BY54" i="35"/>
  <c r="BY45" i="35"/>
  <c r="BY48" i="35"/>
  <c r="BY38" i="35"/>
  <c r="BY34" i="35"/>
  <c r="BY56" i="35"/>
  <c r="BY42" i="35"/>
  <c r="BY33" i="35"/>
  <c r="AJ66" i="35" s="1"/>
  <c r="BY37" i="35"/>
  <c r="BY36" i="35"/>
  <c r="BY49" i="35"/>
  <c r="BY50" i="35"/>
  <c r="BY55" i="35"/>
  <c r="BY41" i="35"/>
  <c r="BE16" i="32" l="1"/>
  <c r="BE21" i="32" s="1"/>
  <c r="BD16" i="32"/>
  <c r="BD21" i="32" s="1"/>
  <c r="BC16" i="32"/>
  <c r="BC21" i="32" s="1"/>
  <c r="BB16" i="32"/>
  <c r="BB21" i="32" s="1"/>
  <c r="BA16" i="32"/>
  <c r="BA21" i="32" s="1"/>
  <c r="AZ16" i="32"/>
  <c r="AZ21" i="32" s="1"/>
  <c r="AY16" i="32"/>
  <c r="AY21" i="32" s="1"/>
  <c r="AX16" i="32"/>
  <c r="AX21" i="32" s="1"/>
  <c r="AW16" i="32"/>
  <c r="AW21" i="32" s="1"/>
  <c r="AV16" i="32"/>
  <c r="AV21" i="32" s="1"/>
  <c r="AU16" i="32"/>
  <c r="AU21" i="32" s="1"/>
  <c r="AT16" i="32"/>
  <c r="AT21" i="32" s="1"/>
  <c r="AS16" i="32"/>
  <c r="AS21" i="32" s="1"/>
  <c r="AR16" i="32"/>
  <c r="AR21" i="32" s="1"/>
  <c r="AQ16" i="32"/>
  <c r="AQ21" i="32" s="1"/>
  <c r="AP16" i="32"/>
  <c r="AP21" i="32" s="1"/>
  <c r="AO16" i="32"/>
  <c r="AO21" i="32" s="1"/>
  <c r="AN16" i="32"/>
  <c r="AN21" i="32" s="1"/>
  <c r="AM16" i="32"/>
  <c r="AM21" i="32" s="1"/>
  <c r="AL16" i="32"/>
  <c r="AL21" i="32" s="1"/>
  <c r="AK16" i="32"/>
  <c r="AK21" i="32" s="1"/>
  <c r="AJ16" i="32"/>
  <c r="AJ21" i="32" s="1"/>
  <c r="AI16" i="32"/>
  <c r="AI21" i="32" s="1"/>
  <c r="AH16" i="32"/>
  <c r="AH21" i="32" s="1"/>
  <c r="AG16" i="32"/>
  <c r="AG21" i="32" s="1"/>
  <c r="AF16" i="32"/>
  <c r="AF21" i="32" s="1"/>
  <c r="AE16" i="32"/>
  <c r="AE21" i="32" s="1"/>
  <c r="AD16" i="32"/>
  <c r="AD21" i="32" s="1"/>
  <c r="AC16" i="32"/>
  <c r="AC21" i="32" s="1"/>
  <c r="AB16" i="32"/>
  <c r="AB21" i="32" s="1"/>
  <c r="AA16" i="32"/>
  <c r="AA21" i="32" s="1"/>
  <c r="Z16" i="32"/>
  <c r="Z21" i="32" s="1"/>
  <c r="Y16" i="32"/>
  <c r="Y21" i="32" s="1"/>
  <c r="X16" i="32"/>
  <c r="X21" i="32" s="1"/>
  <c r="W16" i="32"/>
  <c r="W21" i="32" s="1"/>
  <c r="V16" i="32"/>
  <c r="V21" i="32" s="1"/>
  <c r="U16" i="32"/>
  <c r="U21" i="32" s="1"/>
  <c r="T16" i="32"/>
  <c r="T21" i="32" s="1"/>
  <c r="S16" i="32"/>
  <c r="S21" i="32" s="1"/>
  <c r="R16" i="32"/>
  <c r="R21" i="32" s="1"/>
  <c r="Q16" i="32"/>
  <c r="Q21" i="32" s="1"/>
  <c r="P16" i="32"/>
  <c r="P21" i="32" s="1"/>
  <c r="O16" i="32"/>
  <c r="O21" i="32" s="1"/>
  <c r="N16" i="32"/>
  <c r="N21" i="32" s="1"/>
  <c r="M16" i="32"/>
  <c r="M21" i="32" s="1"/>
  <c r="L16" i="32"/>
  <c r="L21" i="32" s="1"/>
  <c r="K16" i="32"/>
  <c r="K21" i="32" s="1"/>
  <c r="J16" i="32"/>
  <c r="J21" i="32" s="1"/>
  <c r="I16" i="32"/>
  <c r="I21" i="32" s="1"/>
  <c r="H16" i="32"/>
  <c r="H21" i="32" s="1"/>
  <c r="G16" i="32"/>
  <c r="G21" i="32" s="1"/>
  <c r="F16" i="32"/>
  <c r="F21" i="32" s="1"/>
  <c r="E16" i="32"/>
  <c r="E21" i="32" s="1"/>
  <c r="D16" i="32"/>
  <c r="D21" i="32" s="1"/>
  <c r="C16" i="32"/>
  <c r="C21" i="32" s="1"/>
  <c r="B16" i="32"/>
  <c r="B21" i="32" s="1"/>
  <c r="BE15" i="32"/>
  <c r="BE25" i="32" s="1"/>
  <c r="BD15" i="32"/>
  <c r="BD25" i="32" s="1"/>
  <c r="BC15" i="32"/>
  <c r="BC25" i="32" s="1"/>
  <c r="BB15" i="32"/>
  <c r="BB25" i="32" s="1"/>
  <c r="BA15" i="32"/>
  <c r="BA25" i="32" s="1"/>
  <c r="AZ15" i="32"/>
  <c r="AZ25" i="32" s="1"/>
  <c r="AY15" i="32"/>
  <c r="AY25" i="32" s="1"/>
  <c r="AX15" i="32"/>
  <c r="AX25" i="32" s="1"/>
  <c r="AW15" i="32"/>
  <c r="AV15" i="32"/>
  <c r="AU15" i="32"/>
  <c r="AT15" i="32"/>
  <c r="AS15" i="32"/>
  <c r="AR15" i="32"/>
  <c r="AQ15" i="32"/>
  <c r="AQ20" i="32" s="1"/>
  <c r="AP15" i="32"/>
  <c r="AO15" i="32"/>
  <c r="AO25" i="32" s="1"/>
  <c r="AN15" i="32"/>
  <c r="AN25" i="32" s="1"/>
  <c r="AM15" i="32"/>
  <c r="AM25" i="32" s="1"/>
  <c r="AL15" i="32"/>
  <c r="AL25" i="32" s="1"/>
  <c r="AK15" i="32"/>
  <c r="AK25" i="32" s="1"/>
  <c r="AJ15" i="32"/>
  <c r="AJ25" i="32" s="1"/>
  <c r="AI15" i="32"/>
  <c r="AI25" i="32" s="1"/>
  <c r="AH15" i="32"/>
  <c r="AH25" i="32" s="1"/>
  <c r="AG15" i="32"/>
  <c r="AF15" i="32"/>
  <c r="AE15" i="32"/>
  <c r="AD15" i="32"/>
  <c r="AC15" i="32"/>
  <c r="AB15" i="32"/>
  <c r="AA15" i="32"/>
  <c r="Z15" i="32"/>
  <c r="Y15" i="32"/>
  <c r="Y25" i="32" s="1"/>
  <c r="X15" i="32"/>
  <c r="X25" i="32" s="1"/>
  <c r="W15" i="32"/>
  <c r="W25" i="32" s="1"/>
  <c r="V15" i="32"/>
  <c r="V25" i="32" s="1"/>
  <c r="U15" i="32"/>
  <c r="U25" i="32" s="1"/>
  <c r="T15" i="32"/>
  <c r="T25" i="32" s="1"/>
  <c r="S15" i="32"/>
  <c r="S25" i="32" s="1"/>
  <c r="R15" i="32"/>
  <c r="R25" i="32" s="1"/>
  <c r="Q15" i="32"/>
  <c r="P15" i="32"/>
  <c r="O15" i="32"/>
  <c r="N15" i="32"/>
  <c r="M15" i="32"/>
  <c r="L15" i="32"/>
  <c r="K15" i="32"/>
  <c r="K20" i="32" s="1"/>
  <c r="J15" i="32"/>
  <c r="I15" i="32"/>
  <c r="I25" i="32" s="1"/>
  <c r="H15" i="32"/>
  <c r="H25" i="32" s="1"/>
  <c r="G15" i="32"/>
  <c r="G25" i="32" s="1"/>
  <c r="F15" i="32"/>
  <c r="F25" i="32" s="1"/>
  <c r="E15" i="32"/>
  <c r="E25" i="32" s="1"/>
  <c r="D15" i="32"/>
  <c r="D25" i="32" s="1"/>
  <c r="C15" i="32"/>
  <c r="C25" i="32" s="1"/>
  <c r="B15" i="32"/>
  <c r="B25" i="32" s="1"/>
  <c r="BE14" i="32"/>
  <c r="BE24" i="32" s="1"/>
  <c r="BD14" i="32"/>
  <c r="BD24" i="32" s="1"/>
  <c r="BC14" i="32"/>
  <c r="BC24" i="32" s="1"/>
  <c r="BB14" i="32"/>
  <c r="BB24" i="32" s="1"/>
  <c r="BA14" i="32"/>
  <c r="BA24" i="32" s="1"/>
  <c r="AZ14" i="32"/>
  <c r="AZ24" i="32" s="1"/>
  <c r="AY14" i="32"/>
  <c r="AY19" i="32" s="1"/>
  <c r="AX14" i="32"/>
  <c r="AX24" i="32" s="1"/>
  <c r="AW14" i="32"/>
  <c r="AW24" i="32" s="1"/>
  <c r="AV14" i="32"/>
  <c r="AV24" i="32" s="1"/>
  <c r="AU14" i="32"/>
  <c r="AU24" i="32" s="1"/>
  <c r="AT14" i="32"/>
  <c r="AT24" i="32" s="1"/>
  <c r="AS14" i="32"/>
  <c r="AS24" i="32" s="1"/>
  <c r="AR14" i="32"/>
  <c r="AR24" i="32" s="1"/>
  <c r="AQ14" i="32"/>
  <c r="AQ24" i="32" s="1"/>
  <c r="AP14" i="32"/>
  <c r="AP24" i="32" s="1"/>
  <c r="AO14" i="32"/>
  <c r="AO24" i="32" s="1"/>
  <c r="AN14" i="32"/>
  <c r="AN24" i="32" s="1"/>
  <c r="AM14" i="32"/>
  <c r="AM24" i="32" s="1"/>
  <c r="AL14" i="32"/>
  <c r="AL24" i="32" s="1"/>
  <c r="AK14" i="32"/>
  <c r="AK24" i="32" s="1"/>
  <c r="AJ14" i="32"/>
  <c r="AJ24" i="32" s="1"/>
  <c r="AI14" i="32"/>
  <c r="AI24" i="32" s="1"/>
  <c r="AH14" i="32"/>
  <c r="AH24" i="32" s="1"/>
  <c r="AG14" i="32"/>
  <c r="AG24" i="32" s="1"/>
  <c r="AF14" i="32"/>
  <c r="AF24" i="32" s="1"/>
  <c r="AE14" i="32"/>
  <c r="AE24" i="32" s="1"/>
  <c r="AD14" i="32"/>
  <c r="AD24" i="32" s="1"/>
  <c r="AC14" i="32"/>
  <c r="AC24" i="32" s="1"/>
  <c r="AB14" i="32"/>
  <c r="AB24" i="32" s="1"/>
  <c r="AA14" i="32"/>
  <c r="AA24" i="32" s="1"/>
  <c r="Z14" i="32"/>
  <c r="Z24" i="32" s="1"/>
  <c r="Y14" i="32"/>
  <c r="Y24" i="32" s="1"/>
  <c r="X14" i="32"/>
  <c r="X24" i="32" s="1"/>
  <c r="W14" i="32"/>
  <c r="W24" i="32" s="1"/>
  <c r="V14" i="32"/>
  <c r="V19" i="32" s="1"/>
  <c r="U14" i="32"/>
  <c r="U24" i="32" s="1"/>
  <c r="T14" i="32"/>
  <c r="T24" i="32" s="1"/>
  <c r="S14" i="32"/>
  <c r="S24" i="32" s="1"/>
  <c r="R14" i="32"/>
  <c r="R24" i="32" s="1"/>
  <c r="Q14" i="32"/>
  <c r="Q24" i="32" s="1"/>
  <c r="P14" i="32"/>
  <c r="P24" i="32" s="1"/>
  <c r="O14" i="32"/>
  <c r="O24" i="32" s="1"/>
  <c r="N14" i="32"/>
  <c r="N24" i="32" s="1"/>
  <c r="M14" i="32"/>
  <c r="M24" i="32" s="1"/>
  <c r="L14" i="32"/>
  <c r="L24" i="32" s="1"/>
  <c r="K14" i="32"/>
  <c r="K24" i="32" s="1"/>
  <c r="J14" i="32"/>
  <c r="J24" i="32" s="1"/>
  <c r="I14" i="32"/>
  <c r="I24" i="32" s="1"/>
  <c r="H14" i="32"/>
  <c r="H24" i="32" s="1"/>
  <c r="G14" i="32"/>
  <c r="G24" i="32" s="1"/>
  <c r="F14" i="32"/>
  <c r="F24" i="32" s="1"/>
  <c r="E14" i="32"/>
  <c r="E24" i="32" s="1"/>
  <c r="D14" i="32"/>
  <c r="D24" i="32" s="1"/>
  <c r="C14" i="32"/>
  <c r="C24" i="32" s="1"/>
  <c r="B14" i="32"/>
  <c r="B24" i="32" s="1"/>
  <c r="BE13" i="32"/>
  <c r="BE23" i="32" s="1"/>
  <c r="BD13" i="32"/>
  <c r="BD23" i="32" s="1"/>
  <c r="BC13" i="32"/>
  <c r="BC23" i="32" s="1"/>
  <c r="BB13" i="32"/>
  <c r="BB23" i="32" s="1"/>
  <c r="BA13" i="32"/>
  <c r="BA23" i="32" s="1"/>
  <c r="AZ13" i="32"/>
  <c r="AZ23" i="32" s="1"/>
  <c r="AY13" i="32"/>
  <c r="AY23" i="32" s="1"/>
  <c r="AX13" i="32"/>
  <c r="AX23" i="32" s="1"/>
  <c r="AW13" i="32"/>
  <c r="AW23" i="32" s="1"/>
  <c r="AV13" i="32"/>
  <c r="AV23" i="32" s="1"/>
  <c r="AU13" i="32"/>
  <c r="AT13" i="32"/>
  <c r="AT18" i="32" s="1"/>
  <c r="AS13" i="32"/>
  <c r="AR13" i="32"/>
  <c r="AQ13" i="32"/>
  <c r="AQ18" i="32" s="1"/>
  <c r="AP13" i="32"/>
  <c r="AP23" i="32" s="1"/>
  <c r="AO13" i="32"/>
  <c r="AO23" i="32" s="1"/>
  <c r="AN13" i="32"/>
  <c r="AN23" i="32" s="1"/>
  <c r="AM13" i="32"/>
  <c r="AM23" i="32" s="1"/>
  <c r="AL13" i="32"/>
  <c r="AL18" i="32" s="1"/>
  <c r="AK13" i="32"/>
  <c r="AK23" i="32" s="1"/>
  <c r="AJ13" i="32"/>
  <c r="AJ23" i="32" s="1"/>
  <c r="AI13" i="32"/>
  <c r="AI23" i="32" s="1"/>
  <c r="AH13" i="32"/>
  <c r="AH23" i="32" s="1"/>
  <c r="AG13" i="32"/>
  <c r="AG23" i="32" s="1"/>
  <c r="AF13" i="32"/>
  <c r="AF23" i="32" s="1"/>
  <c r="AE13" i="32"/>
  <c r="AD13" i="32"/>
  <c r="AD23" i="32" s="1"/>
  <c r="AC13" i="32"/>
  <c r="AB13" i="32"/>
  <c r="AA13" i="32"/>
  <c r="Z13" i="32"/>
  <c r="Z23" i="32" s="1"/>
  <c r="Y13" i="32"/>
  <c r="Y23" i="32" s="1"/>
  <c r="X13" i="32"/>
  <c r="X23" i="32" s="1"/>
  <c r="W13" i="32"/>
  <c r="W23" i="32" s="1"/>
  <c r="V13" i="32"/>
  <c r="V23" i="32" s="1"/>
  <c r="U13" i="32"/>
  <c r="U23" i="32" s="1"/>
  <c r="T13" i="32"/>
  <c r="T23" i="32" s="1"/>
  <c r="S13" i="32"/>
  <c r="S23" i="32" s="1"/>
  <c r="R13" i="32"/>
  <c r="R23" i="32" s="1"/>
  <c r="Q13" i="32"/>
  <c r="Q23" i="32" s="1"/>
  <c r="P13" i="32"/>
  <c r="P23" i="32" s="1"/>
  <c r="O13" i="32"/>
  <c r="N13" i="32"/>
  <c r="N23" i="32" s="1"/>
  <c r="M13" i="32"/>
  <c r="L13" i="32"/>
  <c r="K13" i="32"/>
  <c r="J13" i="32"/>
  <c r="J23" i="32" s="1"/>
  <c r="I13" i="32"/>
  <c r="I23" i="32" s="1"/>
  <c r="H13" i="32"/>
  <c r="H23" i="32" s="1"/>
  <c r="G13" i="32"/>
  <c r="G23" i="32" s="1"/>
  <c r="F13" i="32"/>
  <c r="F18" i="32" s="1"/>
  <c r="E13" i="32"/>
  <c r="E23" i="32" s="1"/>
  <c r="D13" i="32"/>
  <c r="D23" i="32" s="1"/>
  <c r="C13" i="32"/>
  <c r="C23" i="32" s="1"/>
  <c r="B13" i="32"/>
  <c r="B23" i="32" s="1"/>
  <c r="AJ11" i="31"/>
  <c r="AK35" i="31" s="1"/>
  <c r="AH11" i="31"/>
  <c r="AI35" i="31" s="1"/>
  <c r="AF11" i="31"/>
  <c r="AG23" i="31" s="1"/>
  <c r="AD11" i="31"/>
  <c r="AE32" i="31" s="1"/>
  <c r="Z11" i="31"/>
  <c r="AA33" i="31" s="1"/>
  <c r="X11" i="31"/>
  <c r="Y13" i="31" s="1"/>
  <c r="V10" i="31"/>
  <c r="R10" i="31"/>
  <c r="P10" i="31"/>
  <c r="T9" i="31"/>
  <c r="T11" i="31" s="1"/>
  <c r="R9" i="31"/>
  <c r="P9" i="31"/>
  <c r="AB8" i="31"/>
  <c r="AB11" i="31" s="1"/>
  <c r="V8" i="31"/>
  <c r="W21" i="30"/>
  <c r="U21" i="30"/>
  <c r="AJ16" i="30"/>
  <c r="AK40" i="30" s="1"/>
  <c r="AH16" i="30"/>
  <c r="AI33" i="30" s="1"/>
  <c r="AF16" i="30"/>
  <c r="AG26" i="30" s="1"/>
  <c r="AD16" i="30"/>
  <c r="AE28" i="30" s="1"/>
  <c r="AB16" i="30"/>
  <c r="AC30" i="30" s="1"/>
  <c r="Z16" i="30"/>
  <c r="AA32" i="30" s="1"/>
  <c r="X16" i="30"/>
  <c r="Y34" i="30" s="1"/>
  <c r="V16" i="30"/>
  <c r="W36" i="30" s="1"/>
  <c r="T16" i="30"/>
  <c r="U38" i="30" s="1"/>
  <c r="R15" i="30"/>
  <c r="P15" i="30"/>
  <c r="P16" i="30" s="1"/>
  <c r="L15" i="30"/>
  <c r="J15" i="30"/>
  <c r="R14" i="30"/>
  <c r="R16" i="30" s="1"/>
  <c r="N14" i="30"/>
  <c r="N16" i="30" s="1"/>
  <c r="O28" i="30" s="1"/>
  <c r="L14" i="30"/>
  <c r="J14" i="30"/>
  <c r="AA23" i="32" l="1"/>
  <c r="L23" i="32"/>
  <c r="AB23" i="32"/>
  <c r="AR23" i="32"/>
  <c r="K23" i="32"/>
  <c r="M23" i="32"/>
  <c r="AC23" i="32"/>
  <c r="AS23" i="32"/>
  <c r="O23" i="32"/>
  <c r="AE23" i="32"/>
  <c r="AU23" i="32"/>
  <c r="Q25" i="32"/>
  <c r="AI16" i="31"/>
  <c r="L25" i="32"/>
  <c r="AB25" i="32"/>
  <c r="AE21" i="30"/>
  <c r="AK16" i="31"/>
  <c r="M25" i="32"/>
  <c r="AC25" i="32"/>
  <c r="V11" i="31"/>
  <c r="W17" i="31" s="1"/>
  <c r="AA18" i="31"/>
  <c r="AA18" i="30"/>
  <c r="AA22" i="31"/>
  <c r="O25" i="32"/>
  <c r="AE25" i="32"/>
  <c r="AI29" i="31"/>
  <c r="P25" i="32"/>
  <c r="AF25" i="32"/>
  <c r="AV25" i="32"/>
  <c r="AA17" i="30"/>
  <c r="AA30" i="31"/>
  <c r="AG25" i="32"/>
  <c r="AW25" i="32"/>
  <c r="AA27" i="30"/>
  <c r="AA36" i="30"/>
  <c r="AG28" i="30"/>
  <c r="Y31" i="30"/>
  <c r="AA31" i="30"/>
  <c r="S40" i="30"/>
  <c r="S21" i="30"/>
  <c r="Q26" i="30"/>
  <c r="Q37" i="30"/>
  <c r="AK28" i="30"/>
  <c r="AI28" i="30"/>
  <c r="AG21" i="30"/>
  <c r="AE37" i="30"/>
  <c r="AK17" i="30"/>
  <c r="AI21" i="30"/>
  <c r="AG37" i="30"/>
  <c r="AK21" i="30"/>
  <c r="AC39" i="30"/>
  <c r="AK33" i="30"/>
  <c r="AE23" i="30"/>
  <c r="AG23" i="30"/>
  <c r="J16" i="30"/>
  <c r="K32" i="30" s="1"/>
  <c r="AK23" i="30"/>
  <c r="L16" i="30"/>
  <c r="M39" i="30" s="1"/>
  <c r="Y27" i="30"/>
  <c r="M30" i="30"/>
  <c r="M23" i="30"/>
  <c r="O37" i="30"/>
  <c r="U33" i="30"/>
  <c r="U37" i="30"/>
  <c r="S19" i="30"/>
  <c r="W33" i="30"/>
  <c r="W38" i="30"/>
  <c r="U19" i="30"/>
  <c r="Y19" i="30"/>
  <c r="W22" i="30"/>
  <c r="Y25" i="30"/>
  <c r="W29" i="30"/>
  <c r="AA34" i="30"/>
  <c r="Y38" i="30"/>
  <c r="U24" i="30"/>
  <c r="AA19" i="30"/>
  <c r="Y22" i="30"/>
  <c r="AA25" i="30"/>
  <c r="Y29" i="30"/>
  <c r="Q35" i="30"/>
  <c r="S28" i="30"/>
  <c r="Y24" i="30"/>
  <c r="AI19" i="30"/>
  <c r="U26" i="30"/>
  <c r="O30" i="30"/>
  <c r="U35" i="30"/>
  <c r="U40" i="30"/>
  <c r="AA24" i="30"/>
  <c r="AK19" i="30"/>
  <c r="O23" i="30"/>
  <c r="W26" i="30"/>
  <c r="Q30" i="30"/>
  <c r="W35" i="30"/>
  <c r="W40" i="30"/>
  <c r="AG19" i="30"/>
  <c r="AA22" i="30"/>
  <c r="AA29" i="30"/>
  <c r="S17" i="30"/>
  <c r="Y20" i="30"/>
  <c r="Q23" i="30"/>
  <c r="Y26" i="30"/>
  <c r="AE30" i="30"/>
  <c r="AG35" i="30"/>
  <c r="S33" i="30"/>
  <c r="Y33" i="30"/>
  <c r="W19" i="30"/>
  <c r="S35" i="30"/>
  <c r="U17" i="30"/>
  <c r="AA20" i="30"/>
  <c r="S23" i="30"/>
  <c r="AI26" i="30"/>
  <c r="AG30" i="30"/>
  <c r="AI35" i="30"/>
  <c r="S26" i="30"/>
  <c r="W17" i="30"/>
  <c r="O21" i="30"/>
  <c r="AA23" i="30"/>
  <c r="AK26" i="30"/>
  <c r="U31" i="30"/>
  <c r="AK35" i="30"/>
  <c r="Q28" i="30"/>
  <c r="Q19" i="30"/>
  <c r="W24" i="30"/>
  <c r="Y17" i="30"/>
  <c r="Q21" i="30"/>
  <c r="AC23" i="30"/>
  <c r="W27" i="30"/>
  <c r="W31" i="30"/>
  <c r="Y36" i="30"/>
  <c r="U33" i="31"/>
  <c r="U16" i="31"/>
  <c r="U26" i="31"/>
  <c r="U28" i="31"/>
  <c r="U20" i="31"/>
  <c r="U34" i="31"/>
  <c r="U14" i="31"/>
  <c r="U22" i="31"/>
  <c r="U12" i="31"/>
  <c r="U32" i="31"/>
  <c r="U24" i="31"/>
  <c r="U18" i="31"/>
  <c r="U30" i="31"/>
  <c r="AK28" i="31"/>
  <c r="AE29" i="31"/>
  <c r="AG17" i="31"/>
  <c r="AI22" i="31"/>
  <c r="AK29" i="31"/>
  <c r="AI24" i="31"/>
  <c r="AI17" i="31"/>
  <c r="P11" i="31"/>
  <c r="Q14" i="31" s="1"/>
  <c r="AK12" i="31"/>
  <c r="AK24" i="31"/>
  <c r="AI30" i="31"/>
  <c r="AI12" i="31"/>
  <c r="R11" i="31"/>
  <c r="S19" i="31" s="1"/>
  <c r="AE13" i="31"/>
  <c r="AE25" i="31"/>
  <c r="AE22" i="31"/>
  <c r="AK17" i="31"/>
  <c r="AG13" i="31"/>
  <c r="AE18" i="31"/>
  <c r="AI25" i="31"/>
  <c r="AI32" i="31"/>
  <c r="AE17" i="31"/>
  <c r="AI13" i="31"/>
  <c r="AI18" i="31"/>
  <c r="AK25" i="31"/>
  <c r="AK32" i="31"/>
  <c r="AE33" i="31"/>
  <c r="AI20" i="31"/>
  <c r="AA26" i="31"/>
  <c r="AI33" i="31"/>
  <c r="AA14" i="31"/>
  <c r="AK20" i="31"/>
  <c r="AE26" i="31"/>
  <c r="AK33" i="31"/>
  <c r="AK13" i="31"/>
  <c r="AE14" i="31"/>
  <c r="AE21" i="31"/>
  <c r="AI26" i="31"/>
  <c r="AI14" i="31"/>
  <c r="AI21" i="31"/>
  <c r="AA34" i="31"/>
  <c r="AK21" i="31"/>
  <c r="AI28" i="31"/>
  <c r="AI34" i="31"/>
  <c r="J25" i="32"/>
  <c r="Z25" i="32"/>
  <c r="AP25" i="32"/>
  <c r="AA25" i="32"/>
  <c r="AR25" i="32"/>
  <c r="AS25" i="32"/>
  <c r="N25" i="32"/>
  <c r="AD25" i="32"/>
  <c r="AT25" i="32"/>
  <c r="AU25" i="32"/>
  <c r="S19" i="32"/>
  <c r="K25" i="32"/>
  <c r="J18" i="32"/>
  <c r="Z18" i="32"/>
  <c r="AP18" i="32"/>
  <c r="B19" i="32"/>
  <c r="R19" i="32"/>
  <c r="AH19" i="32"/>
  <c r="AX19" i="32"/>
  <c r="J20" i="32"/>
  <c r="Z20" i="32"/>
  <c r="AP20" i="32"/>
  <c r="AA18" i="32"/>
  <c r="L18" i="32"/>
  <c r="AB18" i="32"/>
  <c r="AR18" i="32"/>
  <c r="D19" i="32"/>
  <c r="T19" i="32"/>
  <c r="AJ19" i="32"/>
  <c r="AZ19" i="32"/>
  <c r="L20" i="32"/>
  <c r="AB20" i="32"/>
  <c r="AR20" i="32"/>
  <c r="M18" i="32"/>
  <c r="AC18" i="32"/>
  <c r="AS18" i="32"/>
  <c r="E19" i="32"/>
  <c r="U19" i="32"/>
  <c r="AK19" i="32"/>
  <c r="BA19" i="32"/>
  <c r="M20" i="32"/>
  <c r="AC20" i="32"/>
  <c r="AS20" i="32"/>
  <c r="AA20" i="32"/>
  <c r="AQ25" i="32"/>
  <c r="N18" i="32"/>
  <c r="F19" i="32"/>
  <c r="AL19" i="32"/>
  <c r="BB19" i="32"/>
  <c r="N20" i="32"/>
  <c r="AD20" i="32"/>
  <c r="AT20" i="32"/>
  <c r="V24" i="32"/>
  <c r="AQ23" i="32"/>
  <c r="O18" i="32"/>
  <c r="AE18" i="32"/>
  <c r="AU18" i="32"/>
  <c r="G19" i="32"/>
  <c r="W19" i="32"/>
  <c r="AM19" i="32"/>
  <c r="BC19" i="32"/>
  <c r="O20" i="32"/>
  <c r="AE20" i="32"/>
  <c r="AU20" i="32"/>
  <c r="K18" i="32"/>
  <c r="AT23" i="32"/>
  <c r="P18" i="32"/>
  <c r="AF18" i="32"/>
  <c r="AV18" i="32"/>
  <c r="H19" i="32"/>
  <c r="X19" i="32"/>
  <c r="AN19" i="32"/>
  <c r="BD19" i="32"/>
  <c r="P20" i="32"/>
  <c r="AF20" i="32"/>
  <c r="AV20" i="32"/>
  <c r="C19" i="32"/>
  <c r="AY24" i="32"/>
  <c r="Q18" i="32"/>
  <c r="AG18" i="32"/>
  <c r="AW18" i="32"/>
  <c r="I19" i="32"/>
  <c r="Y19" i="32"/>
  <c r="AO19" i="32"/>
  <c r="BE19" i="32"/>
  <c r="Q20" i="32"/>
  <c r="AG20" i="32"/>
  <c r="AW20" i="32"/>
  <c r="B18" i="32"/>
  <c r="R18" i="32"/>
  <c r="AH18" i="32"/>
  <c r="AX18" i="32"/>
  <c r="J19" i="32"/>
  <c r="Z19" i="32"/>
  <c r="AP19" i="32"/>
  <c r="B20" i="32"/>
  <c r="R20" i="32"/>
  <c r="AH20" i="32"/>
  <c r="AX20" i="32"/>
  <c r="C18" i="32"/>
  <c r="S18" i="32"/>
  <c r="AI18" i="32"/>
  <c r="AY18" i="32"/>
  <c r="K19" i="32"/>
  <c r="AA19" i="32"/>
  <c r="AQ19" i="32"/>
  <c r="C20" i="32"/>
  <c r="S20" i="32"/>
  <c r="AI20" i="32"/>
  <c r="AY20" i="32"/>
  <c r="D18" i="32"/>
  <c r="T18" i="32"/>
  <c r="AJ18" i="32"/>
  <c r="AZ18" i="32"/>
  <c r="L19" i="32"/>
  <c r="AB19" i="32"/>
  <c r="AR19" i="32"/>
  <c r="D20" i="32"/>
  <c r="T20" i="32"/>
  <c r="AJ20" i="32"/>
  <c r="AZ20" i="32"/>
  <c r="AD18" i="32"/>
  <c r="E18" i="32"/>
  <c r="U18" i="32"/>
  <c r="AK18" i="32"/>
  <c r="BA18" i="32"/>
  <c r="M19" i="32"/>
  <c r="AC19" i="32"/>
  <c r="AS19" i="32"/>
  <c r="E20" i="32"/>
  <c r="U20" i="32"/>
  <c r="AK20" i="32"/>
  <c r="BA20" i="32"/>
  <c r="BB18" i="32"/>
  <c r="N19" i="32"/>
  <c r="AD19" i="32"/>
  <c r="AT19" i="32"/>
  <c r="F20" i="32"/>
  <c r="V20" i="32"/>
  <c r="AL20" i="32"/>
  <c r="BB20" i="32"/>
  <c r="F23" i="32"/>
  <c r="AL23" i="32"/>
  <c r="AI19" i="32"/>
  <c r="G18" i="32"/>
  <c r="W18" i="32"/>
  <c r="AM18" i="32"/>
  <c r="BC18" i="32"/>
  <c r="O19" i="32"/>
  <c r="AE19" i="32"/>
  <c r="AU19" i="32"/>
  <c r="G20" i="32"/>
  <c r="W20" i="32"/>
  <c r="AM20" i="32"/>
  <c r="BC20" i="32"/>
  <c r="H18" i="32"/>
  <c r="X18" i="32"/>
  <c r="AN18" i="32"/>
  <c r="BD18" i="32"/>
  <c r="P19" i="32"/>
  <c r="AF19" i="32"/>
  <c r="AV19" i="32"/>
  <c r="H20" i="32"/>
  <c r="X20" i="32"/>
  <c r="AN20" i="32"/>
  <c r="BD20" i="32"/>
  <c r="V18" i="32"/>
  <c r="I18" i="32"/>
  <c r="Y18" i="32"/>
  <c r="AO18" i="32"/>
  <c r="BE18" i="32"/>
  <c r="Q19" i="32"/>
  <c r="AG19" i="32"/>
  <c r="AW19" i="32"/>
  <c r="I20" i="32"/>
  <c r="Y20" i="32"/>
  <c r="AO20" i="32"/>
  <c r="BE20" i="32"/>
  <c r="AC28" i="31"/>
  <c r="AC24" i="31"/>
  <c r="AC16" i="31"/>
  <c r="AC32" i="31"/>
  <c r="AC20" i="31"/>
  <c r="AC12" i="31"/>
  <c r="AC35" i="31"/>
  <c r="AC31" i="31"/>
  <c r="AC27" i="31"/>
  <c r="AC23" i="31"/>
  <c r="AC19" i="31"/>
  <c r="AC15" i="31"/>
  <c r="AC34" i="31"/>
  <c r="AC30" i="31"/>
  <c r="AC26" i="31"/>
  <c r="AC18" i="31"/>
  <c r="AC14" i="31"/>
  <c r="AC22" i="31"/>
  <c r="AC33" i="31"/>
  <c r="AC29" i="31"/>
  <c r="AC25" i="31"/>
  <c r="AC21" i="31"/>
  <c r="AC17" i="31"/>
  <c r="AC13" i="31"/>
  <c r="Q31" i="31"/>
  <c r="Q35" i="31"/>
  <c r="Q27" i="31"/>
  <c r="Q23" i="31"/>
  <c r="Q19" i="31"/>
  <c r="Q15" i="31"/>
  <c r="Q34" i="31"/>
  <c r="Q30" i="31"/>
  <c r="Q26" i="31"/>
  <c r="Q22" i="31"/>
  <c r="Q18" i="31"/>
  <c r="Q33" i="31"/>
  <c r="Q29" i="31"/>
  <c r="Q25" i="31"/>
  <c r="Q21" i="31"/>
  <c r="Q17" i="31"/>
  <c r="Q13" i="31"/>
  <c r="Q32" i="31"/>
  <c r="Q28" i="31"/>
  <c r="Q24" i="31"/>
  <c r="Q20" i="31"/>
  <c r="Q16" i="31"/>
  <c r="Q12" i="31"/>
  <c r="S13" i="31"/>
  <c r="S33" i="31"/>
  <c r="S25" i="31"/>
  <c r="S28" i="31"/>
  <c r="S21" i="31"/>
  <c r="S32" i="31"/>
  <c r="W31" i="31"/>
  <c r="W12" i="31"/>
  <c r="W28" i="31"/>
  <c r="AG19" i="31"/>
  <c r="AG31" i="31"/>
  <c r="AG12" i="31"/>
  <c r="Y14" i="31"/>
  <c r="U15" i="31"/>
  <c r="AG16" i="31"/>
  <c r="Y18" i="31"/>
  <c r="U19" i="31"/>
  <c r="AG20" i="31"/>
  <c r="Y22" i="31"/>
  <c r="U23" i="31"/>
  <c r="AG24" i="31"/>
  <c r="Y26" i="31"/>
  <c r="U27" i="31"/>
  <c r="AG28" i="31"/>
  <c r="Y30" i="31"/>
  <c r="U31" i="31"/>
  <c r="AG32" i="31"/>
  <c r="Y34" i="31"/>
  <c r="U35" i="31"/>
  <c r="Y19" i="31"/>
  <c r="Y31" i="31"/>
  <c r="Y15" i="31"/>
  <c r="AG21" i="31"/>
  <c r="Y23" i="31"/>
  <c r="AG25" i="31"/>
  <c r="Y27" i="31"/>
  <c r="AG29" i="31"/>
  <c r="AG33" i="31"/>
  <c r="Y35" i="31"/>
  <c r="AA19" i="31"/>
  <c r="AA23" i="31"/>
  <c r="AE30" i="31"/>
  <c r="W32" i="31"/>
  <c r="AA35" i="31"/>
  <c r="Y12" i="31"/>
  <c r="U13" i="31"/>
  <c r="AG14" i="31"/>
  <c r="Y16" i="31"/>
  <c r="U17" i="31"/>
  <c r="AG18" i="31"/>
  <c r="Y20" i="31"/>
  <c r="U21" i="31"/>
  <c r="AG22" i="31"/>
  <c r="Y24" i="31"/>
  <c r="U25" i="31"/>
  <c r="AG26" i="31"/>
  <c r="Y28" i="31"/>
  <c r="U29" i="31"/>
  <c r="AG30" i="31"/>
  <c r="Y32" i="31"/>
  <c r="AG34" i="31"/>
  <c r="W19" i="31"/>
  <c r="AE34" i="31"/>
  <c r="W23" i="31"/>
  <c r="AA27" i="31"/>
  <c r="W13" i="31"/>
  <c r="AE15" i="31"/>
  <c r="AA16" i="31"/>
  <c r="AA20" i="31"/>
  <c r="W21" i="31"/>
  <c r="AE23" i="31"/>
  <c r="AA24" i="31"/>
  <c r="W25" i="31"/>
  <c r="AE27" i="31"/>
  <c r="AA28" i="31"/>
  <c r="W29" i="31"/>
  <c r="AE31" i="31"/>
  <c r="AA32" i="31"/>
  <c r="W33" i="31"/>
  <c r="AE35" i="31"/>
  <c r="AK14" i="31"/>
  <c r="AK18" i="31"/>
  <c r="AK22" i="31"/>
  <c r="AK26" i="31"/>
  <c r="AK30" i="31"/>
  <c r="AK34" i="31"/>
  <c r="W15" i="31"/>
  <c r="W35" i="31"/>
  <c r="AA31" i="31"/>
  <c r="AG27" i="31"/>
  <c r="W16" i="31"/>
  <c r="W24" i="31"/>
  <c r="AA12" i="31"/>
  <c r="AE19" i="31"/>
  <c r="AG15" i="31"/>
  <c r="Y29" i="31"/>
  <c r="AG35" i="31"/>
  <c r="W27" i="31"/>
  <c r="AA15" i="31"/>
  <c r="W20" i="31"/>
  <c r="Y17" i="31"/>
  <c r="Y21" i="31"/>
  <c r="Y25" i="31"/>
  <c r="Y33" i="31"/>
  <c r="AE12" i="31"/>
  <c r="AA13" i="31"/>
  <c r="W14" i="31"/>
  <c r="AI15" i="31"/>
  <c r="AE16" i="31"/>
  <c r="AA17" i="31"/>
  <c r="W18" i="31"/>
  <c r="AI19" i="31"/>
  <c r="AE20" i="31"/>
  <c r="AA21" i="31"/>
  <c r="W22" i="31"/>
  <c r="AI23" i="31"/>
  <c r="AE24" i="31"/>
  <c r="AA25" i="31"/>
  <c r="W26" i="31"/>
  <c r="AI27" i="31"/>
  <c r="AE28" i="31"/>
  <c r="AA29" i="31"/>
  <c r="W30" i="31"/>
  <c r="AI31" i="31"/>
  <c r="W34" i="31"/>
  <c r="AK15" i="31"/>
  <c r="AK19" i="31"/>
  <c r="AK23" i="31"/>
  <c r="AK27" i="31"/>
  <c r="AK31" i="31"/>
  <c r="K28" i="30"/>
  <c r="K19" i="30"/>
  <c r="K35" i="30"/>
  <c r="K25" i="30"/>
  <c r="K26" i="30"/>
  <c r="K33" i="30"/>
  <c r="K40" i="30"/>
  <c r="K24" i="30"/>
  <c r="K18" i="30"/>
  <c r="K34" i="30"/>
  <c r="AC25" i="30"/>
  <c r="O39" i="30"/>
  <c r="AE39" i="30"/>
  <c r="O32" i="30"/>
  <c r="AE32" i="30"/>
  <c r="M34" i="30"/>
  <c r="AC34" i="30"/>
  <c r="AI37" i="30"/>
  <c r="AC18" i="30"/>
  <c r="AE25" i="30"/>
  <c r="AI30" i="30"/>
  <c r="S37" i="30"/>
  <c r="AK37" i="30"/>
  <c r="Q39" i="30"/>
  <c r="AG39" i="30"/>
  <c r="O18" i="30"/>
  <c r="AE18" i="30"/>
  <c r="M20" i="30"/>
  <c r="AC20" i="30"/>
  <c r="AI23" i="30"/>
  <c r="U28" i="30"/>
  <c r="S30" i="30"/>
  <c r="AK30" i="30"/>
  <c r="Q32" i="30"/>
  <c r="AG32" i="30"/>
  <c r="O34" i="30"/>
  <c r="AE34" i="30"/>
  <c r="AC36" i="30"/>
  <c r="AA38" i="30"/>
  <c r="AI39" i="30"/>
  <c r="Y40" i="30"/>
  <c r="AC27" i="30"/>
  <c r="Q25" i="30"/>
  <c r="AG25" i="30"/>
  <c r="AE27" i="30"/>
  <c r="AI32" i="30"/>
  <c r="S39" i="30"/>
  <c r="AK39" i="30"/>
  <c r="AE20" i="30"/>
  <c r="AC22" i="30"/>
  <c r="AI25" i="30"/>
  <c r="W28" i="30"/>
  <c r="U30" i="30"/>
  <c r="S32" i="30"/>
  <c r="AK32" i="30"/>
  <c r="Q34" i="30"/>
  <c r="AG34" i="30"/>
  <c r="O36" i="30"/>
  <c r="AE36" i="30"/>
  <c r="M38" i="30"/>
  <c r="AC38" i="30"/>
  <c r="AA40" i="30"/>
  <c r="U23" i="30"/>
  <c r="S25" i="30"/>
  <c r="AK25" i="30"/>
  <c r="Q27" i="30"/>
  <c r="AG27" i="30"/>
  <c r="O29" i="30"/>
  <c r="AE29" i="30"/>
  <c r="M31" i="30"/>
  <c r="AC31" i="30"/>
  <c r="AA33" i="30"/>
  <c r="AI34" i="30"/>
  <c r="Y35" i="30"/>
  <c r="W37" i="30"/>
  <c r="U39" i="30"/>
  <c r="O25" i="30"/>
  <c r="O20" i="30"/>
  <c r="S18" i="30"/>
  <c r="AK18" i="30"/>
  <c r="Q20" i="30"/>
  <c r="AG20" i="30"/>
  <c r="O22" i="30"/>
  <c r="AE22" i="30"/>
  <c r="M24" i="30"/>
  <c r="AC24" i="30"/>
  <c r="AA26" i="30"/>
  <c r="AI27" i="30"/>
  <c r="Y28" i="30"/>
  <c r="W30" i="30"/>
  <c r="U32" i="30"/>
  <c r="S34" i="30"/>
  <c r="AK34" i="30"/>
  <c r="Q36" i="30"/>
  <c r="AG36" i="30"/>
  <c r="O38" i="30"/>
  <c r="AE38" i="30"/>
  <c r="AC40" i="30"/>
  <c r="AC32" i="30"/>
  <c r="M29" i="30"/>
  <c r="AI20" i="30"/>
  <c r="Y21" i="30"/>
  <c r="W23" i="30"/>
  <c r="U25" i="30"/>
  <c r="S27" i="30"/>
  <c r="AK27" i="30"/>
  <c r="Q29" i="30"/>
  <c r="AG29" i="30"/>
  <c r="O31" i="30"/>
  <c r="AE31" i="30"/>
  <c r="AC33" i="30"/>
  <c r="AA35" i="30"/>
  <c r="AI36" i="30"/>
  <c r="Y37" i="30"/>
  <c r="W39" i="30"/>
  <c r="M18" i="30"/>
  <c r="AG18" i="30"/>
  <c r="U18" i="30"/>
  <c r="S20" i="30"/>
  <c r="AK20" i="30"/>
  <c r="Q22" i="30"/>
  <c r="AG22" i="30"/>
  <c r="O24" i="30"/>
  <c r="AE24" i="30"/>
  <c r="AC26" i="30"/>
  <c r="AA28" i="30"/>
  <c r="AI29" i="30"/>
  <c r="Y30" i="30"/>
  <c r="W32" i="30"/>
  <c r="U34" i="30"/>
  <c r="S36" i="30"/>
  <c r="AK36" i="30"/>
  <c r="Q38" i="30"/>
  <c r="AG38" i="30"/>
  <c r="O40" i="30"/>
  <c r="AE40" i="30"/>
  <c r="M17" i="30"/>
  <c r="O17" i="30"/>
  <c r="AE17" i="30"/>
  <c r="AC19" i="30"/>
  <c r="AA21" i="30"/>
  <c r="AI22" i="30"/>
  <c r="Y23" i="30"/>
  <c r="W25" i="30"/>
  <c r="U27" i="30"/>
  <c r="S29" i="30"/>
  <c r="AK29" i="30"/>
  <c r="Q31" i="30"/>
  <c r="AG31" i="30"/>
  <c r="O33" i="30"/>
  <c r="AE33" i="30"/>
  <c r="M35" i="30"/>
  <c r="AC35" i="30"/>
  <c r="AA37" i="30"/>
  <c r="AI38" i="30"/>
  <c r="Y39" i="30"/>
  <c r="Q18" i="30"/>
  <c r="AI18" i="30"/>
  <c r="AC17" i="30"/>
  <c r="W18" i="30"/>
  <c r="U20" i="30"/>
  <c r="S22" i="30"/>
  <c r="AK22" i="30"/>
  <c r="Q24" i="30"/>
  <c r="AG24" i="30"/>
  <c r="O26" i="30"/>
  <c r="AE26" i="30"/>
  <c r="M28" i="30"/>
  <c r="AC28" i="30"/>
  <c r="AA30" i="30"/>
  <c r="AI31" i="30"/>
  <c r="Y32" i="30"/>
  <c r="W34" i="30"/>
  <c r="U36" i="30"/>
  <c r="S38" i="30"/>
  <c r="AK38" i="30"/>
  <c r="Q40" i="30"/>
  <c r="AG40" i="30"/>
  <c r="O27" i="30"/>
  <c r="AG17" i="30"/>
  <c r="O19" i="30"/>
  <c r="AE19" i="30"/>
  <c r="M21" i="30"/>
  <c r="AC21" i="30"/>
  <c r="AI24" i="30"/>
  <c r="U29" i="30"/>
  <c r="S31" i="30"/>
  <c r="AK31" i="30"/>
  <c r="Q33" i="30"/>
  <c r="AG33" i="30"/>
  <c r="O35" i="30"/>
  <c r="AE35" i="30"/>
  <c r="M37" i="30"/>
  <c r="AC37" i="30"/>
  <c r="AA39" i="30"/>
  <c r="AI40" i="30"/>
  <c r="AC29" i="30"/>
  <c r="Q17" i="30"/>
  <c r="AI17" i="30"/>
  <c r="Y18" i="30"/>
  <c r="W20" i="30"/>
  <c r="U22" i="30"/>
  <c r="S24" i="30"/>
  <c r="AK24" i="30"/>
  <c r="K36" i="30" l="1"/>
  <c r="K21" i="30"/>
  <c r="K29" i="30"/>
  <c r="K37" i="30"/>
  <c r="M40" i="30"/>
  <c r="M36" i="30"/>
  <c r="K27" i="30"/>
  <c r="K17" i="30"/>
  <c r="M22" i="30"/>
  <c r="K20" i="30"/>
  <c r="K30" i="30"/>
  <c r="M33" i="30"/>
  <c r="M27" i="30"/>
  <c r="K22" i="30"/>
  <c r="K23" i="30"/>
  <c r="M19" i="30"/>
  <c r="M26" i="30"/>
  <c r="M25" i="30"/>
  <c r="K38" i="30"/>
  <c r="K39" i="30"/>
  <c r="M32" i="30"/>
  <c r="K31" i="30"/>
  <c r="S17" i="31"/>
  <c r="S22" i="31"/>
  <c r="S26" i="31"/>
  <c r="S23" i="31"/>
  <c r="S27" i="31"/>
  <c r="S31" i="31"/>
  <c r="S35" i="31"/>
  <c r="S29" i="31"/>
  <c r="S30" i="31"/>
  <c r="S34" i="31"/>
  <c r="S12" i="31"/>
  <c r="S16" i="31"/>
  <c r="S14" i="31"/>
  <c r="S20" i="31"/>
  <c r="S18" i="31"/>
  <c r="S15" i="31"/>
  <c r="S24" i="31"/>
  <c r="O109" i="14" l="1"/>
  <c r="P109" i="14" s="1"/>
  <c r="I109" i="14"/>
  <c r="O28" i="14"/>
  <c r="Q28" i="14" s="1"/>
  <c r="K28" i="14"/>
  <c r="I28" i="14"/>
  <c r="B468" i="1"/>
  <c r="B469" i="1"/>
  <c r="B470" i="1"/>
  <c r="B471" i="1"/>
  <c r="B472" i="1"/>
  <c r="B473" i="1"/>
  <c r="B474" i="1"/>
  <c r="B475" i="1"/>
  <c r="B476" i="1"/>
  <c r="B477" i="1"/>
  <c r="B478" i="1"/>
  <c r="B479" i="1"/>
  <c r="AJ477" i="1"/>
  <c r="AG477" i="1"/>
  <c r="CT477" i="1"/>
  <c r="BV477" i="1"/>
  <c r="BU477" i="1"/>
  <c r="BT477" i="1"/>
  <c r="AO477" i="1"/>
  <c r="BO477" i="6"/>
  <c r="BN477" i="6"/>
  <c r="AJ478" i="1"/>
  <c r="AG478" i="1"/>
  <c r="CT478" i="1"/>
  <c r="CW478" i="1"/>
  <c r="CY478" i="1" s="1"/>
  <c r="BW478" i="1"/>
  <c r="AO478" i="1"/>
  <c r="BM478" i="6"/>
  <c r="BV476" i="1"/>
  <c r="BU476" i="1"/>
  <c r="BT476" i="1"/>
  <c r="AO476" i="1"/>
  <c r="BM476" i="6"/>
  <c r="AJ479" i="1"/>
  <c r="AG479" i="1"/>
  <c r="CW479" i="1"/>
  <c r="CT479" i="1"/>
  <c r="BV479" i="1"/>
  <c r="BU479" i="1"/>
  <c r="BT479" i="1"/>
  <c r="AO479" i="1"/>
  <c r="BL479" i="6"/>
  <c r="AJ474" i="1"/>
  <c r="AG474" i="1"/>
  <c r="CT474" i="1"/>
  <c r="BW474" i="1"/>
  <c r="AO474" i="1"/>
  <c r="BL473" i="6"/>
  <c r="BM473" i="6"/>
  <c r="BN473" i="6"/>
  <c r="BO473" i="6"/>
  <c r="BL475" i="6"/>
  <c r="BM475" i="6"/>
  <c r="BN475" i="6"/>
  <c r="BO475" i="6"/>
  <c r="BL474" i="6"/>
  <c r="BM474" i="6"/>
  <c r="BN474" i="6"/>
  <c r="BO474" i="6"/>
  <c r="BM479" i="6"/>
  <c r="BN479" i="6"/>
  <c r="BO479" i="6"/>
  <c r="BL476" i="6"/>
  <c r="BL478" i="6"/>
  <c r="BN478" i="6"/>
  <c r="BO478" i="6"/>
  <c r="BL477" i="6"/>
  <c r="BM477" i="6"/>
  <c r="AJ475" i="1"/>
  <c r="AG475" i="1"/>
  <c r="CW475" i="1"/>
  <c r="CT475" i="1"/>
  <c r="BW475" i="1"/>
  <c r="AO475" i="1"/>
  <c r="AJ473" i="1"/>
  <c r="AG473" i="1"/>
  <c r="DN477" i="1"/>
  <c r="DP477" i="1" s="1"/>
  <c r="DM477" i="1"/>
  <c r="DL477" i="1"/>
  <c r="DO477" i="1" s="1"/>
  <c r="DK477" i="1"/>
  <c r="DN478" i="1"/>
  <c r="DP478" i="1" s="1"/>
  <c r="DM478" i="1"/>
  <c r="DL478" i="1"/>
  <c r="DO478" i="1" s="1"/>
  <c r="DK478" i="1"/>
  <c r="DN476" i="1"/>
  <c r="DP476" i="1" s="1"/>
  <c r="DM476" i="1"/>
  <c r="DL476" i="1"/>
  <c r="DO476" i="1" s="1"/>
  <c r="DK476" i="1"/>
  <c r="DN479" i="1"/>
  <c r="DP479" i="1" s="1"/>
  <c r="DM479" i="1"/>
  <c r="DL479" i="1"/>
  <c r="DO479" i="1" s="1"/>
  <c r="DK479" i="1"/>
  <c r="DN474" i="1"/>
  <c r="DP474" i="1" s="1"/>
  <c r="DM474" i="1"/>
  <c r="DL474" i="1"/>
  <c r="DO474" i="1" s="1"/>
  <c r="DK474" i="1"/>
  <c r="DN475" i="1"/>
  <c r="DP475" i="1" s="1"/>
  <c r="DM475" i="1"/>
  <c r="DL475" i="1"/>
  <c r="DO475" i="1" s="1"/>
  <c r="DK475" i="1"/>
  <c r="DN473" i="1"/>
  <c r="DP473" i="1" s="1"/>
  <c r="DM473" i="1"/>
  <c r="DL473" i="1"/>
  <c r="DO473" i="1" s="1"/>
  <c r="DK473" i="1"/>
  <c r="CT473" i="1"/>
  <c r="CF477" i="1"/>
  <c r="CE477" i="1"/>
  <c r="CH477" i="1" s="1"/>
  <c r="CD477" i="1"/>
  <c r="CC477" i="1"/>
  <c r="CG477" i="1" s="1"/>
  <c r="CF478" i="1"/>
  <c r="CE478" i="1"/>
  <c r="CH478" i="1" s="1"/>
  <c r="CD478" i="1"/>
  <c r="CC478" i="1"/>
  <c r="CG478" i="1" s="1"/>
  <c r="CF476" i="1"/>
  <c r="CE476" i="1"/>
  <c r="CH476" i="1" s="1"/>
  <c r="CD476" i="1"/>
  <c r="CC476" i="1"/>
  <c r="CG476" i="1" s="1"/>
  <c r="CF479" i="1"/>
  <c r="CE479" i="1"/>
  <c r="CH479" i="1" s="1"/>
  <c r="CD479" i="1"/>
  <c r="CC479" i="1"/>
  <c r="CG479" i="1" s="1"/>
  <c r="CF474" i="1"/>
  <c r="CE474" i="1"/>
  <c r="CH474" i="1" s="1"/>
  <c r="CD474" i="1"/>
  <c r="CC474" i="1"/>
  <c r="CG474" i="1" s="1"/>
  <c r="CF475" i="1"/>
  <c r="CE475" i="1"/>
  <c r="CD475" i="1"/>
  <c r="CC475" i="1"/>
  <c r="CG475" i="1" s="1"/>
  <c r="CF473" i="1"/>
  <c r="CE473" i="1"/>
  <c r="CH473" i="1" s="1"/>
  <c r="CD473" i="1"/>
  <c r="CC473" i="1"/>
  <c r="CG473" i="1" s="1"/>
  <c r="BW473" i="1"/>
  <c r="AO473" i="1"/>
  <c r="O473" i="1"/>
  <c r="O475" i="1"/>
  <c r="O474" i="1"/>
  <c r="O476" i="1"/>
  <c r="O478" i="1"/>
  <c r="O477" i="1"/>
  <c r="L472" i="1"/>
  <c r="L473" i="1"/>
  <c r="EK473" i="1" s="1"/>
  <c r="L475" i="1"/>
  <c r="L474" i="1"/>
  <c r="EK474" i="1" s="1"/>
  <c r="L476" i="1"/>
  <c r="L478" i="1"/>
  <c r="DV478" i="1" s="1"/>
  <c r="L477" i="1"/>
  <c r="EK477" i="1" s="1"/>
  <c r="F473" i="1"/>
  <c r="DR473" i="1" s="1"/>
  <c r="F475" i="1"/>
  <c r="F474" i="1"/>
  <c r="BL474" i="1" s="1"/>
  <c r="F479" i="1"/>
  <c r="F476" i="1"/>
  <c r="F478" i="1"/>
  <c r="EG478" i="1" s="1"/>
  <c r="F477" i="1"/>
  <c r="EG477" i="1" s="1"/>
  <c r="EM477" i="1" l="1"/>
  <c r="EL477" i="1"/>
  <c r="EM478" i="1"/>
  <c r="EL478" i="1"/>
  <c r="DW473" i="1"/>
  <c r="DX473" i="1"/>
  <c r="P28" i="14"/>
  <c r="Q109" i="14"/>
  <c r="BN475" i="1"/>
  <c r="BN478" i="1"/>
  <c r="BS478" i="1"/>
  <c r="DR477" i="1"/>
  <c r="DV477" i="1"/>
  <c r="DR478" i="1"/>
  <c r="BL477" i="1"/>
  <c r="CB475" i="1"/>
  <c r="BN477" i="1"/>
  <c r="BS477" i="1"/>
  <c r="AK477" i="1"/>
  <c r="BL478" i="1"/>
  <c r="AH477" i="1"/>
  <c r="AK478" i="1"/>
  <c r="AH478" i="1"/>
  <c r="BS479" i="1"/>
  <c r="BS476" i="1"/>
  <c r="BL473" i="1"/>
  <c r="EG473" i="1"/>
  <c r="CB478" i="1"/>
  <c r="CB476" i="1"/>
  <c r="BS475" i="1"/>
  <c r="EG476" i="1"/>
  <c r="EK476" i="1"/>
  <c r="BN473" i="1"/>
  <c r="EG475" i="1"/>
  <c r="EG479" i="1"/>
  <c r="BS474" i="1"/>
  <c r="DV479" i="1"/>
  <c r="DR476" i="1"/>
  <c r="BN474" i="1"/>
  <c r="DR479" i="1"/>
  <c r="EK479" i="1"/>
  <c r="EK478" i="1"/>
  <c r="DV476" i="1"/>
  <c r="EK475" i="1"/>
  <c r="BS473" i="1"/>
  <c r="CB477" i="1"/>
  <c r="CB474" i="1"/>
  <c r="CB479" i="1"/>
  <c r="BL479" i="1"/>
  <c r="CB473" i="1"/>
  <c r="DR474" i="1"/>
  <c r="BL476" i="1"/>
  <c r="DV473" i="1"/>
  <c r="DV474" i="1"/>
  <c r="BN479" i="1"/>
  <c r="BN476" i="1"/>
  <c r="DR475" i="1"/>
  <c r="AK479" i="1"/>
  <c r="EG474" i="1"/>
  <c r="DV475" i="1"/>
  <c r="BL475" i="1"/>
  <c r="EL476" i="1" l="1"/>
  <c r="EM476" i="1"/>
  <c r="CU478" i="1"/>
  <c r="CX478" i="1" s="1"/>
  <c r="CV478" i="1"/>
  <c r="EL474" i="1"/>
  <c r="EM474" i="1"/>
  <c r="EM473" i="1"/>
  <c r="EL473" i="1"/>
  <c r="CU475" i="1"/>
  <c r="CV475" i="1"/>
  <c r="CU479" i="1"/>
  <c r="CV479" i="1"/>
  <c r="EM479" i="1"/>
  <c r="EL479" i="1"/>
  <c r="EM475" i="1"/>
  <c r="EL475" i="1"/>
  <c r="DW478" i="1"/>
  <c r="DX478" i="1"/>
  <c r="DZ478" i="1" s="1"/>
  <c r="ED478" i="1" s="1"/>
  <c r="DW477" i="1"/>
  <c r="DY477" i="1" s="1"/>
  <c r="DX477" i="1"/>
  <c r="DZ477" i="1" s="1"/>
  <c r="DW474" i="1"/>
  <c r="DX474" i="1"/>
  <c r="DZ474" i="1" s="1"/>
  <c r="ED474" i="1" s="1"/>
  <c r="DW479" i="1"/>
  <c r="DY479" i="1" s="1"/>
  <c r="DX479" i="1"/>
  <c r="DZ479" i="1" s="1"/>
  <c r="DW475" i="1"/>
  <c r="DY475" i="1" s="1"/>
  <c r="DX475" i="1"/>
  <c r="DZ475" i="1" s="1"/>
  <c r="DW476" i="1"/>
  <c r="DX476" i="1"/>
  <c r="DY478" i="1" l="1"/>
  <c r="EC478" i="1" s="1"/>
  <c r="EE478" i="1" s="1"/>
  <c r="DY474" i="1"/>
  <c r="EC474" i="1" s="1"/>
  <c r="EE474" i="1" s="1"/>
  <c r="BO476" i="6"/>
  <c r="BN476" i="6"/>
  <c r="AH479" i="1"/>
  <c r="AK475" i="1"/>
  <c r="AH474" i="1"/>
  <c r="AK474" i="1"/>
  <c r="CH475" i="1"/>
  <c r="AH475" i="1"/>
  <c r="AH473" i="1"/>
  <c r="AK473" i="1"/>
  <c r="AB5" i="19"/>
  <c r="AB4" i="19"/>
  <c r="AA5" i="19"/>
  <c r="AA4" i="19"/>
  <c r="Z4" i="19"/>
  <c r="Z5" i="19"/>
  <c r="T4" i="19"/>
  <c r="U4" i="19"/>
  <c r="V4" i="19"/>
  <c r="W4" i="19"/>
  <c r="X4" i="19"/>
  <c r="Y4" i="19"/>
  <c r="AC4" i="19"/>
  <c r="AD4" i="19"/>
  <c r="AE4" i="19"/>
  <c r="AF4" i="19"/>
  <c r="AG4" i="19"/>
  <c r="T5" i="19"/>
  <c r="U5" i="19"/>
  <c r="V5" i="19"/>
  <c r="W5" i="19"/>
  <c r="X5" i="19"/>
  <c r="Y5" i="19"/>
  <c r="AC5" i="19"/>
  <c r="AD5" i="19"/>
  <c r="AE5" i="19"/>
  <c r="AF5" i="19"/>
  <c r="AG5" i="19"/>
  <c r="S4" i="19"/>
  <c r="S5" i="19"/>
  <c r="AJ472" i="1" l="1"/>
  <c r="AG472" i="1"/>
  <c r="CW472" i="1"/>
  <c r="CT472" i="1"/>
  <c r="AO472" i="1"/>
  <c r="BL472" i="6"/>
  <c r="BM472" i="6"/>
  <c r="BN472" i="6"/>
  <c r="BO472" i="6"/>
  <c r="CW471" i="1"/>
  <c r="CT471" i="1"/>
  <c r="BV472" i="1"/>
  <c r="BU472" i="1"/>
  <c r="BT472" i="1"/>
  <c r="BV471" i="1"/>
  <c r="BU471" i="1"/>
  <c r="BT471" i="1"/>
  <c r="AO471" i="1"/>
  <c r="BL471" i="6"/>
  <c r="BM471" i="6"/>
  <c r="BN471" i="6"/>
  <c r="BO471" i="6"/>
  <c r="AJ470" i="1"/>
  <c r="AG470" i="1"/>
  <c r="CT470" i="1"/>
  <c r="BW470" i="1"/>
  <c r="AO470" i="1"/>
  <c r="BL470" i="6"/>
  <c r="BM470" i="6"/>
  <c r="BN470" i="6"/>
  <c r="BO470" i="6"/>
  <c r="AJ469" i="1"/>
  <c r="AG469" i="1"/>
  <c r="DN472" i="1"/>
  <c r="DP472" i="1" s="1"/>
  <c r="DM472" i="1"/>
  <c r="DL472" i="1"/>
  <c r="DO472" i="1" s="1"/>
  <c r="DK472" i="1"/>
  <c r="DN471" i="1"/>
  <c r="DP471" i="1" s="1"/>
  <c r="DM471" i="1"/>
  <c r="DL471" i="1"/>
  <c r="DO471" i="1" s="1"/>
  <c r="DK471" i="1"/>
  <c r="DN470" i="1"/>
  <c r="DP470" i="1" s="1"/>
  <c r="DM470" i="1"/>
  <c r="DL470" i="1"/>
  <c r="DO470" i="1" s="1"/>
  <c r="DK470" i="1"/>
  <c r="DN469" i="1"/>
  <c r="DP469" i="1" s="1"/>
  <c r="DM469" i="1"/>
  <c r="DL469" i="1"/>
  <c r="DO469" i="1" s="1"/>
  <c r="DK469" i="1"/>
  <c r="CT469" i="1"/>
  <c r="CF472" i="1"/>
  <c r="CE472" i="1"/>
  <c r="CH472" i="1" s="1"/>
  <c r="CD472" i="1"/>
  <c r="CC472" i="1"/>
  <c r="CG472" i="1" s="1"/>
  <c r="CF471" i="1"/>
  <c r="CE471" i="1"/>
  <c r="CH471" i="1" s="1"/>
  <c r="CD471" i="1"/>
  <c r="CC471" i="1"/>
  <c r="CG471" i="1" s="1"/>
  <c r="CF470" i="1"/>
  <c r="CE470" i="1"/>
  <c r="CH470" i="1" s="1"/>
  <c r="CD470" i="1"/>
  <c r="CC470" i="1"/>
  <c r="CG470" i="1" s="1"/>
  <c r="CF469" i="1"/>
  <c r="CE469" i="1"/>
  <c r="CH469" i="1" s="1"/>
  <c r="CD469" i="1"/>
  <c r="CC469" i="1"/>
  <c r="CG469" i="1" s="1"/>
  <c r="BW469" i="1"/>
  <c r="AO469" i="1"/>
  <c r="O472" i="1"/>
  <c r="O471" i="1"/>
  <c r="O470" i="1"/>
  <c r="O469" i="1"/>
  <c r="DV472" i="1"/>
  <c r="L471" i="1"/>
  <c r="EK471" i="1" s="1"/>
  <c r="L470" i="1"/>
  <c r="L469" i="1"/>
  <c r="F472" i="1"/>
  <c r="F471" i="1"/>
  <c r="BN471" i="1" s="1"/>
  <c r="F470" i="1"/>
  <c r="F469" i="1"/>
  <c r="DR469" i="1" s="1"/>
  <c r="BL469" i="6"/>
  <c r="BM469" i="6"/>
  <c r="BN469" i="6"/>
  <c r="BO469" i="6"/>
  <c r="DW469" i="1" l="1"/>
  <c r="DX469" i="1"/>
  <c r="CB469" i="1"/>
  <c r="EK469" i="1"/>
  <c r="DV469" i="1"/>
  <c r="EG469" i="1"/>
  <c r="BL472" i="1"/>
  <c r="BL469" i="1"/>
  <c r="AH472" i="1"/>
  <c r="BS469" i="1"/>
  <c r="CB470" i="1"/>
  <c r="DV470" i="1"/>
  <c r="AK472" i="1"/>
  <c r="BS471" i="1"/>
  <c r="CB471" i="1"/>
  <c r="DR470" i="1"/>
  <c r="BN472" i="1"/>
  <c r="BS472" i="1"/>
  <c r="BN469" i="1"/>
  <c r="EG470" i="1"/>
  <c r="EG472" i="1"/>
  <c r="CB472" i="1"/>
  <c r="EK470" i="1"/>
  <c r="EK472" i="1"/>
  <c r="BL470" i="1"/>
  <c r="DR472" i="1"/>
  <c r="BN470" i="1"/>
  <c r="BS470" i="1"/>
  <c r="BL471" i="1"/>
  <c r="DR471" i="1"/>
  <c r="EG471" i="1"/>
  <c r="DV471" i="1"/>
  <c r="AH470" i="1"/>
  <c r="AK470" i="1"/>
  <c r="AH469" i="1"/>
  <c r="AK469" i="1"/>
  <c r="I60" i="14"/>
  <c r="I78" i="14"/>
  <c r="I195" i="14"/>
  <c r="I198" i="14"/>
  <c r="I197" i="14"/>
  <c r="I192" i="14"/>
  <c r="I194" i="14"/>
  <c r="I47" i="14"/>
  <c r="I189" i="14"/>
  <c r="I50" i="14"/>
  <c r="I193" i="14"/>
  <c r="I64" i="14"/>
  <c r="I46" i="14"/>
  <c r="I82" i="14"/>
  <c r="I86" i="14"/>
  <c r="I190" i="14"/>
  <c r="I21" i="14"/>
  <c r="I188" i="14"/>
  <c r="I14" i="14"/>
  <c r="I106" i="14"/>
  <c r="I121" i="14"/>
  <c r="I142" i="14"/>
  <c r="I48" i="14"/>
  <c r="I22" i="14"/>
  <c r="I102" i="14"/>
  <c r="I191" i="14"/>
  <c r="I94" i="14"/>
  <c r="I45" i="14"/>
  <c r="I187" i="14"/>
  <c r="I181" i="14"/>
  <c r="I49" i="14"/>
  <c r="I169" i="14"/>
  <c r="I73" i="14"/>
  <c r="I182" i="14"/>
  <c r="I62" i="14"/>
  <c r="I81" i="14"/>
  <c r="I18" i="14"/>
  <c r="I20" i="14"/>
  <c r="I19" i="14"/>
  <c r="I23" i="14"/>
  <c r="I183" i="14"/>
  <c r="I63" i="14"/>
  <c r="I65" i="14"/>
  <c r="I40" i="14"/>
  <c r="I184" i="14"/>
  <c r="I77" i="14"/>
  <c r="I41" i="14"/>
  <c r="I74" i="14"/>
  <c r="I185" i="14"/>
  <c r="I90" i="14"/>
  <c r="I122" i="14"/>
  <c r="I98" i="14"/>
  <c r="I16" i="14"/>
  <c r="I44" i="14"/>
  <c r="I17" i="14"/>
  <c r="I105" i="14"/>
  <c r="I101" i="14"/>
  <c r="I42" i="14"/>
  <c r="I11" i="14"/>
  <c r="I15" i="14"/>
  <c r="I13" i="14"/>
  <c r="I56" i="14"/>
  <c r="I12" i="14"/>
  <c r="I186" i="14"/>
  <c r="I37" i="14"/>
  <c r="I10" i="14"/>
  <c r="I97" i="14"/>
  <c r="I89" i="14"/>
  <c r="I115" i="14"/>
  <c r="I9" i="14"/>
  <c r="I145" i="14"/>
  <c r="I38" i="14"/>
  <c r="I8" i="14"/>
  <c r="I85" i="14"/>
  <c r="I138" i="14"/>
  <c r="I143" i="14"/>
  <c r="I93" i="14"/>
  <c r="I137" i="14"/>
  <c r="I6" i="14"/>
  <c r="I35" i="14"/>
  <c r="I125" i="14"/>
  <c r="I131" i="14"/>
  <c r="I141" i="14"/>
  <c r="I135" i="14"/>
  <c r="I33" i="14"/>
  <c r="I3" i="14"/>
  <c r="I130" i="14"/>
  <c r="I140" i="14"/>
  <c r="I116" i="14"/>
  <c r="I34" i="14"/>
  <c r="I36" i="14"/>
  <c r="I29" i="14"/>
  <c r="I7" i="14"/>
  <c r="I39" i="14"/>
  <c r="I123" i="14"/>
  <c r="I139" i="14"/>
  <c r="I144" i="14"/>
  <c r="I146" i="14"/>
  <c r="I59" i="14"/>
  <c r="I120" i="14"/>
  <c r="I118" i="14"/>
  <c r="I5" i="14"/>
  <c r="I27" i="14"/>
  <c r="I61" i="14"/>
  <c r="I119" i="14"/>
  <c r="I117" i="14"/>
  <c r="I57" i="14"/>
  <c r="I127" i="14"/>
  <c r="I128" i="14"/>
  <c r="I72" i="14"/>
  <c r="I88" i="14"/>
  <c r="I136" i="14"/>
  <c r="I126" i="14"/>
  <c r="I96" i="14"/>
  <c r="I132" i="14"/>
  <c r="I129" i="14"/>
  <c r="I124" i="14"/>
  <c r="I80" i="14"/>
  <c r="I76" i="14"/>
  <c r="I134" i="14"/>
  <c r="I133" i="14"/>
  <c r="I84" i="14"/>
  <c r="I100" i="14"/>
  <c r="I92" i="14"/>
  <c r="I104" i="14"/>
  <c r="I174" i="14"/>
  <c r="I4" i="14"/>
  <c r="I175" i="14"/>
  <c r="I163" i="14"/>
  <c r="I55" i="14"/>
  <c r="I162" i="14"/>
  <c r="I176" i="14"/>
  <c r="I180" i="14"/>
  <c r="I173" i="14"/>
  <c r="I171" i="14"/>
  <c r="I177" i="14"/>
  <c r="I161" i="14"/>
  <c r="I167" i="14"/>
  <c r="I165" i="14"/>
  <c r="I170" i="14"/>
  <c r="I166" i="14"/>
  <c r="I168" i="14"/>
  <c r="I172" i="14"/>
  <c r="I164" i="14"/>
  <c r="I179" i="14"/>
  <c r="I31" i="14"/>
  <c r="I178" i="14"/>
  <c r="I43" i="14"/>
  <c r="I160" i="14"/>
  <c r="I58" i="14"/>
  <c r="I108" i="14"/>
  <c r="CU471" i="1" l="1"/>
  <c r="CV471" i="1"/>
  <c r="CU472" i="1"/>
  <c r="CV472" i="1"/>
  <c r="EM469" i="1"/>
  <c r="EL469" i="1"/>
  <c r="EM472" i="1"/>
  <c r="EL472" i="1"/>
  <c r="EM470" i="1"/>
  <c r="EL470" i="1"/>
  <c r="EM471" i="1"/>
  <c r="EL471" i="1"/>
  <c r="DW471" i="1"/>
  <c r="DX471" i="1"/>
  <c r="DX472" i="1"/>
  <c r="DZ472" i="1" s="1"/>
  <c r="ED472" i="1" s="1"/>
  <c r="DW472" i="1"/>
  <c r="DW470" i="1"/>
  <c r="DX470" i="1"/>
  <c r="O389" i="1"/>
  <c r="O51" i="1"/>
  <c r="O19" i="1"/>
  <c r="O55" i="1"/>
  <c r="O241" i="1"/>
  <c r="O399" i="1"/>
  <c r="O140" i="1"/>
  <c r="O166" i="1"/>
  <c r="O381" i="1"/>
  <c r="O350" i="1"/>
  <c r="O296" i="1"/>
  <c r="O196" i="1"/>
  <c r="O328" i="1"/>
  <c r="O290" i="1"/>
  <c r="O215" i="1"/>
  <c r="O391" i="1"/>
  <c r="O272" i="1"/>
  <c r="O239" i="1"/>
  <c r="O184" i="1"/>
  <c r="O352" i="1"/>
  <c r="O336" i="1"/>
  <c r="O155" i="1"/>
  <c r="O103" i="1"/>
  <c r="O63" i="1"/>
  <c r="O11" i="1"/>
  <c r="O59" i="1"/>
  <c r="O221" i="1"/>
  <c r="O269" i="1"/>
  <c r="O308" i="1"/>
  <c r="O135" i="1"/>
  <c r="O148" i="1"/>
  <c r="O344" i="1"/>
  <c r="O261" i="1"/>
  <c r="O275" i="1"/>
  <c r="O346" i="1"/>
  <c r="O458" i="1"/>
  <c r="O314" i="1"/>
  <c r="O251" i="1"/>
  <c r="O115" i="1"/>
  <c r="O125" i="1"/>
  <c r="O170" i="1"/>
  <c r="O448" i="1"/>
  <c r="O194" i="1"/>
  <c r="O364" i="1"/>
  <c r="O318" i="1"/>
  <c r="O218" i="1"/>
  <c r="O178" i="1"/>
  <c r="O173" i="1"/>
  <c r="O311" i="1"/>
  <c r="O142" i="1"/>
  <c r="O466" i="1"/>
  <c r="O440" i="1"/>
  <c r="O67" i="1"/>
  <c r="O152" i="1"/>
  <c r="O191" i="1"/>
  <c r="O71" i="1"/>
  <c r="O23" i="1"/>
  <c r="O199" i="1"/>
  <c r="O176" i="1"/>
  <c r="O203" i="1"/>
  <c r="O15" i="1"/>
  <c r="O35" i="1"/>
  <c r="O47" i="1"/>
  <c r="O280" i="1"/>
  <c r="O305" i="1"/>
  <c r="O118" i="1"/>
  <c r="O411" i="1"/>
  <c r="O160" i="1"/>
  <c r="O430" i="1"/>
  <c r="O392" i="1"/>
  <c r="O180" i="1"/>
  <c r="O422" i="1"/>
  <c r="O301" i="1"/>
  <c r="O293" i="1"/>
  <c r="O355" i="1"/>
  <c r="O188" i="1"/>
  <c r="O347" i="1"/>
  <c r="O226" i="1"/>
  <c r="O373" i="1"/>
  <c r="O236" i="1"/>
  <c r="O416" i="1"/>
  <c r="O259" i="1"/>
  <c r="O434" i="1"/>
  <c r="O319" i="1"/>
  <c r="O439" i="1"/>
  <c r="O110" i="1"/>
  <c r="O243" i="1"/>
  <c r="O370" i="1"/>
  <c r="O244" i="1"/>
  <c r="O172" i="1"/>
  <c r="O167" i="1"/>
  <c r="O410" i="1"/>
  <c r="O254" i="1"/>
  <c r="O341" i="1"/>
  <c r="O190" i="1"/>
  <c r="O162" i="1"/>
  <c r="O108" i="1"/>
  <c r="O123" i="1"/>
  <c r="O402" i="1"/>
  <c r="O447" i="1"/>
  <c r="O257" i="1"/>
  <c r="O39" i="1"/>
  <c r="O377" i="1"/>
  <c r="O198" i="1"/>
  <c r="O429" i="1"/>
  <c r="O300" i="1"/>
  <c r="O262" i="1"/>
  <c r="O112" i="1"/>
  <c r="O127" i="1"/>
  <c r="O105" i="1"/>
  <c r="O316" i="1"/>
  <c r="O235" i="1"/>
  <c r="O421" i="1"/>
  <c r="O230" i="1"/>
  <c r="O181" i="1"/>
  <c r="O75" i="1"/>
  <c r="O7" i="1"/>
  <c r="O31" i="1"/>
  <c r="O401" i="1"/>
  <c r="O283" i="1"/>
  <c r="O279" i="1"/>
  <c r="O365" i="1"/>
  <c r="O137" i="1"/>
  <c r="O120" i="1"/>
  <c r="O225" i="1"/>
  <c r="O144" i="1"/>
  <c r="O463" i="1"/>
  <c r="O130" i="1"/>
  <c r="O163" i="1"/>
  <c r="O329" i="1"/>
  <c r="O310" i="1"/>
  <c r="O271" i="1"/>
  <c r="O154" i="1"/>
  <c r="O337" i="1"/>
  <c r="O43" i="1"/>
  <c r="O384" i="1"/>
  <c r="O217" i="1"/>
  <c r="AG457" i="1"/>
  <c r="P198" i="14"/>
  <c r="Q198" i="14"/>
  <c r="K198" i="14"/>
  <c r="DY472" i="1" l="1"/>
  <c r="EC472" i="1" s="1"/>
  <c r="EE472" i="1" s="1"/>
  <c r="H5" i="5"/>
  <c r="H6" i="5"/>
  <c r="H7" i="5"/>
  <c r="H8" i="5"/>
  <c r="H9" i="5"/>
  <c r="H10" i="5"/>
  <c r="H11" i="5"/>
  <c r="H12" i="5"/>
  <c r="H13" i="5"/>
  <c r="H14" i="5"/>
  <c r="H15" i="5"/>
  <c r="H16" i="5"/>
  <c r="H17" i="5"/>
  <c r="H18" i="5"/>
  <c r="H19" i="5"/>
  <c r="H20" i="5"/>
  <c r="H21" i="5"/>
  <c r="H22" i="5"/>
  <c r="H23" i="5"/>
  <c r="H24" i="5"/>
  <c r="H25" i="5"/>
  <c r="H26" i="5"/>
  <c r="H27" i="5"/>
  <c r="H28" i="5"/>
  <c r="AJ467" i="1" l="1"/>
  <c r="AG467" i="1"/>
  <c r="CT467" i="1"/>
  <c r="BW467" i="1"/>
  <c r="AO467" i="1"/>
  <c r="CW468" i="1"/>
  <c r="CT468" i="1"/>
  <c r="BV468" i="1"/>
  <c r="BU468" i="1"/>
  <c r="BT468" i="1"/>
  <c r="AO468" i="1"/>
  <c r="AJ466" i="1"/>
  <c r="AG466" i="1"/>
  <c r="CT466" i="1"/>
  <c r="BW466" i="1"/>
  <c r="AO466" i="1"/>
  <c r="AJ464" i="1"/>
  <c r="AG464" i="1"/>
  <c r="CT464" i="1"/>
  <c r="BW464" i="1"/>
  <c r="AO464" i="1"/>
  <c r="CT463" i="1"/>
  <c r="BW463" i="1"/>
  <c r="AO463" i="1"/>
  <c r="BL464" i="6"/>
  <c r="BM464" i="6"/>
  <c r="BN464" i="6"/>
  <c r="BO464" i="6"/>
  <c r="BL463" i="6"/>
  <c r="BM463" i="6"/>
  <c r="BN463" i="6"/>
  <c r="BO463" i="6"/>
  <c r="BL466" i="6"/>
  <c r="BM466" i="6"/>
  <c r="BN466" i="6"/>
  <c r="BO466" i="6"/>
  <c r="BL468" i="6"/>
  <c r="BM468" i="6"/>
  <c r="BN468" i="6"/>
  <c r="BO468" i="6"/>
  <c r="BL467" i="6"/>
  <c r="BM467" i="6"/>
  <c r="BN467" i="6"/>
  <c r="BO467" i="6"/>
  <c r="AJ465" i="1"/>
  <c r="AG465" i="1"/>
  <c r="DN467" i="1"/>
  <c r="DP467" i="1" s="1"/>
  <c r="DM467" i="1"/>
  <c r="DL467" i="1"/>
  <c r="DO467" i="1" s="1"/>
  <c r="DK467" i="1"/>
  <c r="DN468" i="1"/>
  <c r="DP468" i="1" s="1"/>
  <c r="DM468" i="1"/>
  <c r="DL468" i="1"/>
  <c r="DO468" i="1" s="1"/>
  <c r="DK468" i="1"/>
  <c r="DN466" i="1"/>
  <c r="DP466" i="1" s="1"/>
  <c r="DM466" i="1"/>
  <c r="DL466" i="1"/>
  <c r="DO466" i="1" s="1"/>
  <c r="DK466" i="1"/>
  <c r="DN463" i="1"/>
  <c r="DP463" i="1" s="1"/>
  <c r="DM463" i="1"/>
  <c r="DL463" i="1"/>
  <c r="DO463" i="1" s="1"/>
  <c r="DK463" i="1"/>
  <c r="DN464" i="1"/>
  <c r="DP464" i="1" s="1"/>
  <c r="DM464" i="1"/>
  <c r="DL464" i="1"/>
  <c r="DO464" i="1" s="1"/>
  <c r="DK464" i="1"/>
  <c r="DN465" i="1"/>
  <c r="DP465" i="1" s="1"/>
  <c r="DM465" i="1"/>
  <c r="DL465" i="1"/>
  <c r="DO465" i="1" s="1"/>
  <c r="DK465" i="1"/>
  <c r="CT465" i="1"/>
  <c r="CF467" i="1"/>
  <c r="CE467" i="1"/>
  <c r="CH467" i="1" s="1"/>
  <c r="CD467" i="1"/>
  <c r="CC467" i="1"/>
  <c r="CG467" i="1" s="1"/>
  <c r="CF468" i="1"/>
  <c r="CE468" i="1"/>
  <c r="CH468" i="1" s="1"/>
  <c r="CD468" i="1"/>
  <c r="CC468" i="1"/>
  <c r="CG468" i="1" s="1"/>
  <c r="CF466" i="1"/>
  <c r="CE466" i="1"/>
  <c r="CH466" i="1" s="1"/>
  <c r="CD466" i="1"/>
  <c r="CC466" i="1"/>
  <c r="CG466" i="1" s="1"/>
  <c r="CF463" i="1"/>
  <c r="CE463" i="1"/>
  <c r="CH463" i="1" s="1"/>
  <c r="CD463" i="1"/>
  <c r="CC463" i="1"/>
  <c r="CG463" i="1" s="1"/>
  <c r="CF464" i="1"/>
  <c r="CE464" i="1"/>
  <c r="CH464" i="1" s="1"/>
  <c r="CD464" i="1"/>
  <c r="CC464" i="1"/>
  <c r="CG464" i="1" s="1"/>
  <c r="CF465" i="1"/>
  <c r="CE465" i="1"/>
  <c r="CH465" i="1" s="1"/>
  <c r="CD465" i="1"/>
  <c r="CC465" i="1"/>
  <c r="CG465" i="1" s="1"/>
  <c r="BW465" i="1"/>
  <c r="AO465" i="1"/>
  <c r="O465" i="1"/>
  <c r="O464" i="1"/>
  <c r="O468" i="1"/>
  <c r="O467" i="1"/>
  <c r="L465" i="1"/>
  <c r="DV465" i="1" s="1"/>
  <c r="L464" i="1"/>
  <c r="EK464" i="1" s="1"/>
  <c r="L463" i="1"/>
  <c r="EK463" i="1" s="1"/>
  <c r="L466" i="1"/>
  <c r="EK466" i="1" s="1"/>
  <c r="L468" i="1"/>
  <c r="EK468" i="1" s="1"/>
  <c r="L467" i="1"/>
  <c r="EK467" i="1" s="1"/>
  <c r="F465" i="1"/>
  <c r="F464" i="1"/>
  <c r="EG464" i="1" s="1"/>
  <c r="F463" i="1"/>
  <c r="EG463" i="1" s="1"/>
  <c r="F466" i="1"/>
  <c r="EG466" i="1" s="1"/>
  <c r="F468" i="1"/>
  <c r="F467" i="1"/>
  <c r="EG467" i="1" s="1"/>
  <c r="B461" i="1"/>
  <c r="B462" i="1"/>
  <c r="B465" i="1"/>
  <c r="B464" i="1"/>
  <c r="B463" i="1"/>
  <c r="B466" i="1"/>
  <c r="B467" i="1"/>
  <c r="BL465" i="6"/>
  <c r="BM465" i="6"/>
  <c r="BN465" i="6"/>
  <c r="BO465" i="6"/>
  <c r="Q197" i="14"/>
  <c r="P197" i="14"/>
  <c r="O146" i="14"/>
  <c r="P146" i="14" s="1"/>
  <c r="O144" i="14"/>
  <c r="P144" i="14" s="1"/>
  <c r="O143" i="14"/>
  <c r="P143" i="14" s="1"/>
  <c r="P145" i="14"/>
  <c r="Q145" i="14"/>
  <c r="Q144" i="14" l="1"/>
  <c r="Q143" i="14"/>
  <c r="EM463" i="1"/>
  <c r="EL463" i="1"/>
  <c r="EM464" i="1"/>
  <c r="EL464" i="1"/>
  <c r="EL466" i="1"/>
  <c r="EM466" i="1"/>
  <c r="EM467" i="1"/>
  <c r="EL467" i="1"/>
  <c r="Q146" i="14"/>
  <c r="DR467" i="1"/>
  <c r="DV467" i="1"/>
  <c r="BL467" i="1"/>
  <c r="BN467" i="1"/>
  <c r="BS467" i="1"/>
  <c r="AH467" i="1"/>
  <c r="AK467" i="1"/>
  <c r="AH466" i="1"/>
  <c r="DR468" i="1"/>
  <c r="BL468" i="1"/>
  <c r="DV468" i="1"/>
  <c r="BN468" i="1"/>
  <c r="BS468" i="1"/>
  <c r="AK466" i="1"/>
  <c r="BN465" i="1"/>
  <c r="BS464" i="1"/>
  <c r="DV466" i="1"/>
  <c r="BN464" i="1"/>
  <c r="DR466" i="1"/>
  <c r="DR464" i="1"/>
  <c r="BL466" i="1"/>
  <c r="DV464" i="1"/>
  <c r="BN466" i="1"/>
  <c r="BS466" i="1"/>
  <c r="BL464" i="1"/>
  <c r="AH464" i="1"/>
  <c r="AK464" i="1"/>
  <c r="EK465" i="1"/>
  <c r="DR463" i="1"/>
  <c r="DV463" i="1"/>
  <c r="BL463" i="1"/>
  <c r="CB468" i="1"/>
  <c r="BN463" i="1"/>
  <c r="BS463" i="1"/>
  <c r="BS465" i="1"/>
  <c r="CB465" i="1"/>
  <c r="EG465" i="1"/>
  <c r="CB463" i="1"/>
  <c r="CB467" i="1"/>
  <c r="CB466" i="1"/>
  <c r="EG468" i="1"/>
  <c r="CB464" i="1"/>
  <c r="AH465" i="1"/>
  <c r="DR465" i="1"/>
  <c r="AK465" i="1"/>
  <c r="BL465" i="1"/>
  <c r="O461" i="1"/>
  <c r="EM465" i="1" l="1"/>
  <c r="EL465" i="1"/>
  <c r="EL468" i="1"/>
  <c r="EM468" i="1"/>
  <c r="CU468" i="1"/>
  <c r="CV468" i="1"/>
  <c r="DW463" i="1"/>
  <c r="DX463" i="1"/>
  <c r="DW465" i="1"/>
  <c r="DX465" i="1"/>
  <c r="DW468" i="1"/>
  <c r="DX468" i="1"/>
  <c r="DX464" i="1"/>
  <c r="DZ464" i="1" s="1"/>
  <c r="DW464" i="1"/>
  <c r="DY464" i="1" s="1"/>
  <c r="DW466" i="1"/>
  <c r="DY466" i="1" s="1"/>
  <c r="DX466" i="1"/>
  <c r="DZ466" i="1" s="1"/>
  <c r="DW467" i="1"/>
  <c r="DX467" i="1"/>
  <c r="AJ462" i="1"/>
  <c r="AG462" i="1"/>
  <c r="CT462" i="1"/>
  <c r="BW462" i="1"/>
  <c r="AO462" i="1"/>
  <c r="BL462" i="6"/>
  <c r="BM462" i="6"/>
  <c r="BN462" i="6"/>
  <c r="BO462" i="6"/>
  <c r="AJ461" i="1"/>
  <c r="AG461" i="1"/>
  <c r="DN462" i="1"/>
  <c r="DP462" i="1" s="1"/>
  <c r="DM462" i="1"/>
  <c r="DL462" i="1"/>
  <c r="DO462" i="1" s="1"/>
  <c r="DK462" i="1"/>
  <c r="DN461" i="1"/>
  <c r="DP461" i="1" s="1"/>
  <c r="DM461" i="1"/>
  <c r="DL461" i="1"/>
  <c r="DO461" i="1" s="1"/>
  <c r="DK461" i="1"/>
  <c r="CT461" i="1"/>
  <c r="CF462" i="1"/>
  <c r="CE462" i="1"/>
  <c r="CH462" i="1" s="1"/>
  <c r="CD462" i="1"/>
  <c r="CC462" i="1"/>
  <c r="CG462" i="1" s="1"/>
  <c r="CF461" i="1"/>
  <c r="CE461" i="1"/>
  <c r="CH461" i="1" s="1"/>
  <c r="CD461" i="1"/>
  <c r="CC461" i="1"/>
  <c r="CG461" i="1" s="1"/>
  <c r="BW461" i="1"/>
  <c r="AO461" i="1"/>
  <c r="O462" i="1"/>
  <c r="L462" i="1"/>
  <c r="L461" i="1"/>
  <c r="EK461" i="1" s="1"/>
  <c r="F461" i="1"/>
  <c r="EG461" i="1" s="1"/>
  <c r="F462" i="1"/>
  <c r="BL461" i="6"/>
  <c r="BM461" i="6"/>
  <c r="BN461" i="6"/>
  <c r="BO461" i="6"/>
  <c r="EM461" i="1" l="1"/>
  <c r="EL461" i="1"/>
  <c r="AK462" i="1"/>
  <c r="BS462" i="1"/>
  <c r="DR462" i="1"/>
  <c r="CB462" i="1"/>
  <c r="DV462" i="1"/>
  <c r="EK462" i="1"/>
  <c r="AH462" i="1"/>
  <c r="BL461" i="1"/>
  <c r="BN461" i="1"/>
  <c r="DR461" i="1"/>
  <c r="BS461" i="1"/>
  <c r="DV461" i="1"/>
  <c r="CB461" i="1"/>
  <c r="BL462" i="1"/>
  <c r="BN462" i="1"/>
  <c r="EG462" i="1"/>
  <c r="AK461" i="1"/>
  <c r="AH461" i="1"/>
  <c r="EM462" i="1" l="1"/>
  <c r="EL462" i="1"/>
  <c r="DW461" i="1"/>
  <c r="DX461" i="1"/>
  <c r="DZ461" i="1" s="1"/>
  <c r="ED461" i="1" s="1"/>
  <c r="DW462" i="1"/>
  <c r="DY462" i="1" s="1"/>
  <c r="DX462" i="1"/>
  <c r="DZ462" i="1" s="1"/>
  <c r="F229" i="1"/>
  <c r="H229" i="1"/>
  <c r="I229" i="1"/>
  <c r="J229" i="1"/>
  <c r="K229" i="1"/>
  <c r="L229" i="1"/>
  <c r="O229" i="1"/>
  <c r="AG229" i="1"/>
  <c r="AJ229" i="1"/>
  <c r="AO229" i="1"/>
  <c r="DY461" i="1" l="1"/>
  <c r="EC461" i="1" s="1"/>
  <c r="EE461" i="1" s="1"/>
  <c r="AK229" i="1"/>
  <c r="AH229" i="1"/>
  <c r="BL229" i="1"/>
  <c r="BN229" i="1"/>
  <c r="CT460" i="1"/>
  <c r="BW460" i="1"/>
  <c r="AO460" i="1"/>
  <c r="BL460" i="6"/>
  <c r="AJ459" i="1"/>
  <c r="AG459" i="1"/>
  <c r="CT459" i="1"/>
  <c r="CW459" i="1"/>
  <c r="CY459" i="1" s="1"/>
  <c r="BW459" i="1"/>
  <c r="AO459" i="1"/>
  <c r="BM459" i="6"/>
  <c r="BL459" i="6"/>
  <c r="BM460" i="6"/>
  <c r="BO459" i="6"/>
  <c r="BN459" i="6"/>
  <c r="BO458" i="6"/>
  <c r="BN458" i="6"/>
  <c r="BM458" i="6"/>
  <c r="BL458" i="6"/>
  <c r="AJ458" i="1"/>
  <c r="AG458" i="1"/>
  <c r="CT458" i="1"/>
  <c r="CW458" i="1"/>
  <c r="CY458" i="1" s="1"/>
  <c r="BW458" i="1"/>
  <c r="AO458" i="1"/>
  <c r="DN460" i="1"/>
  <c r="DP460" i="1" s="1"/>
  <c r="DM460" i="1"/>
  <c r="DL460" i="1"/>
  <c r="DO460" i="1" s="1"/>
  <c r="DK460" i="1"/>
  <c r="DN459" i="1"/>
  <c r="DP459" i="1" s="1"/>
  <c r="DM459" i="1"/>
  <c r="DL459" i="1"/>
  <c r="DO459" i="1" s="1"/>
  <c r="DK459" i="1"/>
  <c r="DN458" i="1"/>
  <c r="DP458" i="1" s="1"/>
  <c r="DM458" i="1"/>
  <c r="DL458" i="1"/>
  <c r="DO458" i="1" s="1"/>
  <c r="DK458" i="1"/>
  <c r="DN456" i="1"/>
  <c r="DP456" i="1" s="1"/>
  <c r="DM456" i="1"/>
  <c r="DL456" i="1"/>
  <c r="DO456" i="1" s="1"/>
  <c r="DK456" i="1"/>
  <c r="CW456" i="1"/>
  <c r="CT456" i="1"/>
  <c r="CF460" i="1"/>
  <c r="CE460" i="1"/>
  <c r="CH460" i="1" s="1"/>
  <c r="CD460" i="1"/>
  <c r="CC460" i="1"/>
  <c r="CG460" i="1" s="1"/>
  <c r="CF459" i="1"/>
  <c r="CE459" i="1"/>
  <c r="CH459" i="1" s="1"/>
  <c r="CD459" i="1"/>
  <c r="CC459" i="1"/>
  <c r="CG459" i="1" s="1"/>
  <c r="CF458" i="1"/>
  <c r="CE458" i="1"/>
  <c r="CH458" i="1" s="1"/>
  <c r="CD458" i="1"/>
  <c r="CC458" i="1"/>
  <c r="CG458" i="1" s="1"/>
  <c r="CF456" i="1"/>
  <c r="CE456" i="1"/>
  <c r="CH456" i="1" s="1"/>
  <c r="CD456" i="1"/>
  <c r="CC456" i="1"/>
  <c r="CG456" i="1" s="1"/>
  <c r="BV456" i="1"/>
  <c r="BU456" i="1"/>
  <c r="BT456" i="1"/>
  <c r="AO456" i="1"/>
  <c r="BO456" i="6"/>
  <c r="BN456" i="6"/>
  <c r="BM456" i="6"/>
  <c r="BL456" i="6"/>
  <c r="AJ457" i="1"/>
  <c r="DN457" i="1"/>
  <c r="DP457" i="1" s="1"/>
  <c r="DM457" i="1"/>
  <c r="DL457" i="1"/>
  <c r="DO457" i="1" s="1"/>
  <c r="DK457" i="1"/>
  <c r="CT457" i="1"/>
  <c r="CF457" i="1"/>
  <c r="CE457" i="1"/>
  <c r="CD457" i="1"/>
  <c r="CC457" i="1"/>
  <c r="CG457" i="1" s="1"/>
  <c r="BW457" i="1"/>
  <c r="AO457" i="1"/>
  <c r="BO457" i="6"/>
  <c r="BN457" i="6"/>
  <c r="BM457" i="6"/>
  <c r="BL457" i="6"/>
  <c r="DN455" i="1"/>
  <c r="DP455" i="1" s="1"/>
  <c r="DM455" i="1"/>
  <c r="DL455" i="1"/>
  <c r="DO455" i="1" s="1"/>
  <c r="DK455" i="1"/>
  <c r="CW455" i="1"/>
  <c r="CT455" i="1"/>
  <c r="CF455" i="1"/>
  <c r="CE455" i="1"/>
  <c r="CH455" i="1" s="1"/>
  <c r="CD455" i="1"/>
  <c r="CC455" i="1"/>
  <c r="CG455" i="1" s="1"/>
  <c r="BV455" i="1"/>
  <c r="BU455" i="1"/>
  <c r="BT455" i="1"/>
  <c r="AO455" i="1"/>
  <c r="O454" i="1"/>
  <c r="O455" i="1"/>
  <c r="O456" i="1"/>
  <c r="O457" i="1"/>
  <c r="O459" i="1"/>
  <c r="O460" i="1"/>
  <c r="L460" i="1"/>
  <c r="EK460" i="1" s="1"/>
  <c r="L459" i="1"/>
  <c r="L458" i="1"/>
  <c r="L457" i="1"/>
  <c r="DV457" i="1" s="1"/>
  <c r="L456" i="1"/>
  <c r="DV456" i="1" s="1"/>
  <c r="L455" i="1"/>
  <c r="EK455" i="1" s="1"/>
  <c r="F455" i="1"/>
  <c r="EG455" i="1" s="1"/>
  <c r="F456" i="1"/>
  <c r="F457" i="1"/>
  <c r="DR457" i="1" s="1"/>
  <c r="F458" i="1"/>
  <c r="BL458" i="1" s="1"/>
  <c r="F459" i="1"/>
  <c r="BN459" i="1" s="1"/>
  <c r="F460" i="1"/>
  <c r="B455" i="1"/>
  <c r="B456" i="1"/>
  <c r="B457" i="1"/>
  <c r="B458" i="1"/>
  <c r="B459" i="1"/>
  <c r="B460" i="1"/>
  <c r="BL455" i="6"/>
  <c r="BM455" i="6"/>
  <c r="BN455" i="6"/>
  <c r="BO455" i="6"/>
  <c r="EM455" i="1" l="1"/>
  <c r="EL455" i="1"/>
  <c r="DW457" i="1"/>
  <c r="DX457" i="1"/>
  <c r="CH457" i="1"/>
  <c r="BS458" i="1"/>
  <c r="BS456" i="1"/>
  <c r="DV460" i="1"/>
  <c r="DR460" i="1"/>
  <c r="BS459" i="1"/>
  <c r="CB460" i="1"/>
  <c r="EG456" i="1"/>
  <c r="EG459" i="1"/>
  <c r="CB456" i="1"/>
  <c r="EK456" i="1"/>
  <c r="EK459" i="1"/>
  <c r="DR458" i="1"/>
  <c r="DV458" i="1"/>
  <c r="DR459" i="1"/>
  <c r="DV459" i="1"/>
  <c r="BL460" i="1"/>
  <c r="CB458" i="1"/>
  <c r="BN460" i="1"/>
  <c r="EG458" i="1"/>
  <c r="EG460" i="1"/>
  <c r="BS460" i="1"/>
  <c r="BL456" i="1"/>
  <c r="EK458" i="1"/>
  <c r="BN458" i="1"/>
  <c r="BL459" i="1"/>
  <c r="AK459" i="1"/>
  <c r="DR456" i="1"/>
  <c r="BN456" i="1"/>
  <c r="CB459" i="1"/>
  <c r="BN460" i="6"/>
  <c r="BO460" i="6"/>
  <c r="AH459" i="1"/>
  <c r="AH458" i="1"/>
  <c r="AK458" i="1"/>
  <c r="BL457" i="1"/>
  <c r="EG457" i="1"/>
  <c r="EK457" i="1"/>
  <c r="BN457" i="1"/>
  <c r="BS457" i="1"/>
  <c r="CB457" i="1"/>
  <c r="AK457" i="1"/>
  <c r="AH457" i="1"/>
  <c r="CB455" i="1"/>
  <c r="DR455" i="1"/>
  <c r="DV455" i="1"/>
  <c r="BL455" i="1"/>
  <c r="BN455" i="1"/>
  <c r="BS455" i="1"/>
  <c r="H434" i="1"/>
  <c r="EM456" i="1" l="1"/>
  <c r="EL456" i="1"/>
  <c r="EM457" i="1"/>
  <c r="EL457" i="1"/>
  <c r="EL460" i="1"/>
  <c r="EM460" i="1"/>
  <c r="EL458" i="1"/>
  <c r="EM458" i="1"/>
  <c r="CU459" i="1"/>
  <c r="CX459" i="1" s="1"/>
  <c r="CV459" i="1"/>
  <c r="CU455" i="1"/>
  <c r="CV455" i="1"/>
  <c r="CU458" i="1"/>
  <c r="CX458" i="1" s="1"/>
  <c r="CV458" i="1"/>
  <c r="CU456" i="1"/>
  <c r="CV456" i="1"/>
  <c r="EM459" i="1"/>
  <c r="EL459" i="1"/>
  <c r="DW455" i="1"/>
  <c r="DX455" i="1"/>
  <c r="DW458" i="1"/>
  <c r="DX458" i="1"/>
  <c r="DW460" i="1"/>
  <c r="DX460" i="1"/>
  <c r="DX456" i="1"/>
  <c r="DW456" i="1"/>
  <c r="DW459" i="1"/>
  <c r="DX459" i="1"/>
  <c r="K117" i="14"/>
  <c r="K116" i="14"/>
  <c r="O65" i="14" l="1"/>
  <c r="Q65" i="14" s="1"/>
  <c r="K65" i="14"/>
  <c r="O50" i="14"/>
  <c r="Q50" i="14" s="1"/>
  <c r="K50" i="14"/>
  <c r="P50" i="14" l="1"/>
  <c r="P65" i="14"/>
  <c r="O362" i="1"/>
  <c r="AJ454" i="1" l="1"/>
  <c r="AG454" i="1"/>
  <c r="BW454" i="1"/>
  <c r="AO454" i="1"/>
  <c r="BL454" i="6"/>
  <c r="AJ453" i="1"/>
  <c r="AG453" i="1"/>
  <c r="DN454" i="1"/>
  <c r="DP454" i="1" s="1"/>
  <c r="DM454" i="1"/>
  <c r="DL454" i="1"/>
  <c r="DO454" i="1" s="1"/>
  <c r="DK454" i="1"/>
  <c r="DN453" i="1"/>
  <c r="DP453" i="1" s="1"/>
  <c r="DM453" i="1"/>
  <c r="DL453" i="1"/>
  <c r="DO453" i="1" s="1"/>
  <c r="DK453" i="1"/>
  <c r="CW453" i="1"/>
  <c r="CT453" i="1"/>
  <c r="BV453" i="1"/>
  <c r="BU453" i="1"/>
  <c r="BT453" i="1"/>
  <c r="AO453" i="1"/>
  <c r="BL451" i="6"/>
  <c r="BM451" i="6"/>
  <c r="BN451" i="6"/>
  <c r="BO451" i="6"/>
  <c r="BL452" i="6"/>
  <c r="BM452" i="6"/>
  <c r="BN452" i="6"/>
  <c r="BO452" i="6"/>
  <c r="BL453" i="6"/>
  <c r="BM453" i="6"/>
  <c r="BN453" i="6"/>
  <c r="BO453" i="6"/>
  <c r="BM454" i="6"/>
  <c r="BN454" i="6"/>
  <c r="BO454" i="6"/>
  <c r="AJ452" i="1"/>
  <c r="AG452" i="1"/>
  <c r="DN452" i="1"/>
  <c r="DP452" i="1" s="1"/>
  <c r="DM452" i="1"/>
  <c r="DL452" i="1"/>
  <c r="DO452" i="1" s="1"/>
  <c r="DK452" i="1"/>
  <c r="CT452" i="1"/>
  <c r="CW452" i="1"/>
  <c r="CY452" i="1" s="1"/>
  <c r="CF454" i="1"/>
  <c r="CE454" i="1"/>
  <c r="CH454" i="1" s="1"/>
  <c r="CD454" i="1"/>
  <c r="CC454" i="1"/>
  <c r="CG454" i="1" s="1"/>
  <c r="CF453" i="1"/>
  <c r="CE453" i="1"/>
  <c r="CH453" i="1" s="1"/>
  <c r="CD453" i="1"/>
  <c r="CC453" i="1"/>
  <c r="CG453" i="1" s="1"/>
  <c r="CF452" i="1"/>
  <c r="CE452" i="1"/>
  <c r="CD452" i="1"/>
  <c r="CC452" i="1"/>
  <c r="CG452" i="1" s="1"/>
  <c r="BW452" i="1"/>
  <c r="AO452" i="1"/>
  <c r="AJ451" i="1"/>
  <c r="AG451" i="1"/>
  <c r="DN451" i="1"/>
  <c r="DP451" i="1" s="1"/>
  <c r="DM451" i="1"/>
  <c r="DL451" i="1"/>
  <c r="DO451" i="1" s="1"/>
  <c r="DK451" i="1"/>
  <c r="CT451" i="1"/>
  <c r="CF451" i="1"/>
  <c r="CE451" i="1"/>
  <c r="CH451" i="1" s="1"/>
  <c r="CD451" i="1"/>
  <c r="CC451" i="1"/>
  <c r="CG451" i="1" s="1"/>
  <c r="BW451" i="1"/>
  <c r="AO451" i="1"/>
  <c r="O453" i="1"/>
  <c r="O452" i="1"/>
  <c r="O451" i="1"/>
  <c r="L454" i="1"/>
  <c r="DV454" i="1" s="1"/>
  <c r="L453" i="1"/>
  <c r="EK453" i="1" s="1"/>
  <c r="L452" i="1"/>
  <c r="DV452" i="1" s="1"/>
  <c r="L451" i="1"/>
  <c r="H451" i="1"/>
  <c r="F454" i="1"/>
  <c r="EG454" i="1" s="1"/>
  <c r="F453" i="1"/>
  <c r="F452" i="1"/>
  <c r="EG452" i="1" s="1"/>
  <c r="F451" i="1"/>
  <c r="EG451" i="1" s="1"/>
  <c r="B451" i="1"/>
  <c r="B452" i="1"/>
  <c r="B453" i="1"/>
  <c r="B454" i="1"/>
  <c r="U451" i="6"/>
  <c r="T451" i="6"/>
  <c r="S451" i="6"/>
  <c r="R451" i="6"/>
  <c r="Q451" i="6"/>
  <c r="P451" i="6"/>
  <c r="O451" i="6"/>
  <c r="N451" i="6"/>
  <c r="M451" i="6"/>
  <c r="L451" i="6"/>
  <c r="AM451" i="6" s="1"/>
  <c r="K451" i="6"/>
  <c r="AL451" i="6" s="1"/>
  <c r="J451" i="6"/>
  <c r="AK451" i="6" s="1"/>
  <c r="EM454" i="1" l="1"/>
  <c r="EL454" i="1"/>
  <c r="EM451" i="1"/>
  <c r="EL451" i="1"/>
  <c r="EL452" i="1"/>
  <c r="EM452" i="1"/>
  <c r="X451" i="6"/>
  <c r="AJ451" i="6" s="1"/>
  <c r="AT451" i="1"/>
  <c r="V451" i="6"/>
  <c r="AB451" i="6" s="1"/>
  <c r="W451" i="6"/>
  <c r="AI451" i="6" s="1"/>
  <c r="CH452" i="1"/>
  <c r="BS454" i="1"/>
  <c r="DR454" i="1"/>
  <c r="BN454" i="1"/>
  <c r="BL454" i="1"/>
  <c r="AH454" i="1"/>
  <c r="AK454" i="1"/>
  <c r="AH453" i="1"/>
  <c r="AK453" i="1"/>
  <c r="EG453" i="1"/>
  <c r="CB454" i="1"/>
  <c r="EK454" i="1"/>
  <c r="BS453" i="1"/>
  <c r="DR453" i="1"/>
  <c r="DV453" i="1"/>
  <c r="DR451" i="1"/>
  <c r="BS451" i="1"/>
  <c r="CB452" i="1"/>
  <c r="BL453" i="1"/>
  <c r="CB451" i="1"/>
  <c r="DV451" i="1"/>
  <c r="CB453" i="1"/>
  <c r="BN453" i="1"/>
  <c r="EK451" i="1"/>
  <c r="BL452" i="1"/>
  <c r="BN452" i="1"/>
  <c r="DR452" i="1"/>
  <c r="CV452" i="1" s="1"/>
  <c r="BL451" i="1"/>
  <c r="BS452" i="1"/>
  <c r="BN451" i="1"/>
  <c r="EK452" i="1"/>
  <c r="AH452" i="1"/>
  <c r="AK452" i="1"/>
  <c r="AH451" i="1"/>
  <c r="AK451" i="1"/>
  <c r="BN319" i="6"/>
  <c r="BO130" i="6"/>
  <c r="BO47" i="6"/>
  <c r="CU453" i="1" l="1"/>
  <c r="CV453" i="1"/>
  <c r="EM453" i="1"/>
  <c r="EL453" i="1"/>
  <c r="CU452" i="1"/>
  <c r="CX452" i="1" s="1"/>
  <c r="DW454" i="1"/>
  <c r="DX454" i="1"/>
  <c r="DZ454" i="1" s="1"/>
  <c r="ED454" i="1" s="1"/>
  <c r="DW452" i="1"/>
  <c r="DX452" i="1"/>
  <c r="DZ452" i="1" s="1"/>
  <c r="ED452" i="1" s="1"/>
  <c r="DW453" i="1"/>
  <c r="DY453" i="1" s="1"/>
  <c r="DX453" i="1"/>
  <c r="DZ453" i="1" s="1"/>
  <c r="DW451" i="1"/>
  <c r="DX451" i="1"/>
  <c r="AA451" i="6"/>
  <c r="AD451" i="6"/>
  <c r="AG451" i="6"/>
  <c r="Y451" i="6"/>
  <c r="AH451" i="6"/>
  <c r="AE451" i="6"/>
  <c r="Z451" i="6"/>
  <c r="AC451" i="6"/>
  <c r="AF451" i="6"/>
  <c r="AJ450" i="1"/>
  <c r="AG450" i="1"/>
  <c r="CT450" i="1"/>
  <c r="CW450" i="1"/>
  <c r="CY450" i="1" s="1"/>
  <c r="BW450" i="1"/>
  <c r="AO450" i="1"/>
  <c r="AJ449" i="1"/>
  <c r="AG449" i="1"/>
  <c r="CW449" i="1"/>
  <c r="CT449" i="1"/>
  <c r="BV449" i="1"/>
  <c r="BU449" i="1"/>
  <c r="BT449" i="1"/>
  <c r="AO449" i="1"/>
  <c r="AJ448" i="1"/>
  <c r="AG448" i="1"/>
  <c r="DK5" i="1"/>
  <c r="DK6" i="1"/>
  <c r="DK7" i="1"/>
  <c r="DK8" i="1"/>
  <c r="DK9" i="1"/>
  <c r="DK10" i="1"/>
  <c r="DK11" i="1"/>
  <c r="DK12" i="1"/>
  <c r="DK13" i="1"/>
  <c r="DK14" i="1"/>
  <c r="DK15" i="1"/>
  <c r="DK16" i="1"/>
  <c r="DK17" i="1"/>
  <c r="DK18" i="1"/>
  <c r="DK19" i="1"/>
  <c r="DK20" i="1"/>
  <c r="DK21" i="1"/>
  <c r="DK22" i="1"/>
  <c r="DK23" i="1"/>
  <c r="DK24" i="1"/>
  <c r="DK25" i="1"/>
  <c r="DK26" i="1"/>
  <c r="DK27" i="1"/>
  <c r="DK28" i="1"/>
  <c r="DK29" i="1"/>
  <c r="DK30" i="1"/>
  <c r="DK31" i="1"/>
  <c r="DK32" i="1"/>
  <c r="DK33" i="1"/>
  <c r="DK34" i="1"/>
  <c r="DK35" i="1"/>
  <c r="DK36" i="1"/>
  <c r="DK37" i="1"/>
  <c r="DK38" i="1"/>
  <c r="DK39" i="1"/>
  <c r="DK40" i="1"/>
  <c r="DK41" i="1"/>
  <c r="DK42" i="1"/>
  <c r="DK43" i="1"/>
  <c r="DK44" i="1"/>
  <c r="DK45" i="1"/>
  <c r="DK46" i="1"/>
  <c r="DK47" i="1"/>
  <c r="DK48" i="1"/>
  <c r="DK49" i="1"/>
  <c r="DK50" i="1"/>
  <c r="DK51" i="1"/>
  <c r="DK52" i="1"/>
  <c r="DK53" i="1"/>
  <c r="DK54" i="1"/>
  <c r="DK55" i="1"/>
  <c r="DK56" i="1"/>
  <c r="DK57" i="1"/>
  <c r="DK58" i="1"/>
  <c r="DK59" i="1"/>
  <c r="DK60" i="1"/>
  <c r="DK61" i="1"/>
  <c r="DK62" i="1"/>
  <c r="DK63" i="1"/>
  <c r="DK64" i="1"/>
  <c r="DK65" i="1"/>
  <c r="DK66" i="1"/>
  <c r="DK67" i="1"/>
  <c r="DK68" i="1"/>
  <c r="DK69" i="1"/>
  <c r="DK70" i="1"/>
  <c r="DK71" i="1"/>
  <c r="DK72" i="1"/>
  <c r="DK73" i="1"/>
  <c r="DK74" i="1"/>
  <c r="DK75" i="1"/>
  <c r="DK76" i="1"/>
  <c r="DK77" i="1"/>
  <c r="DK78" i="1"/>
  <c r="DK79" i="1"/>
  <c r="DK80" i="1"/>
  <c r="DK81" i="1"/>
  <c r="DK82" i="1"/>
  <c r="DK83" i="1"/>
  <c r="DK84" i="1"/>
  <c r="DK85" i="1"/>
  <c r="DK86" i="1"/>
  <c r="DK87" i="1"/>
  <c r="DK88" i="1"/>
  <c r="DK89" i="1"/>
  <c r="DK90" i="1"/>
  <c r="DK91" i="1"/>
  <c r="DK92" i="1"/>
  <c r="DK93" i="1"/>
  <c r="DK94" i="1"/>
  <c r="DK95" i="1"/>
  <c r="DK96" i="1"/>
  <c r="DK97" i="1"/>
  <c r="DK98" i="1"/>
  <c r="DK99" i="1"/>
  <c r="DK100" i="1"/>
  <c r="DK101" i="1"/>
  <c r="DK102" i="1"/>
  <c r="DK103" i="1"/>
  <c r="DK104" i="1"/>
  <c r="DK105" i="1"/>
  <c r="DK106" i="1"/>
  <c r="DK107" i="1"/>
  <c r="DK108" i="1"/>
  <c r="DK109" i="1"/>
  <c r="DK110" i="1"/>
  <c r="DK111" i="1"/>
  <c r="DK112" i="1"/>
  <c r="DK113" i="1"/>
  <c r="DK114" i="1"/>
  <c r="DK115" i="1"/>
  <c r="DK116" i="1"/>
  <c r="DK117" i="1"/>
  <c r="DK118" i="1"/>
  <c r="DK119" i="1"/>
  <c r="DK120" i="1"/>
  <c r="DK121" i="1"/>
  <c r="DK122" i="1"/>
  <c r="DK123" i="1"/>
  <c r="DK124" i="1"/>
  <c r="DK125" i="1"/>
  <c r="DK126" i="1"/>
  <c r="DK127" i="1"/>
  <c r="DK128" i="1"/>
  <c r="DK129" i="1"/>
  <c r="DK130" i="1"/>
  <c r="DK131" i="1"/>
  <c r="DK132" i="1"/>
  <c r="DK133" i="1"/>
  <c r="DK134" i="1"/>
  <c r="DK135" i="1"/>
  <c r="DK136" i="1"/>
  <c r="DK137" i="1"/>
  <c r="DK138" i="1"/>
  <c r="DK139" i="1"/>
  <c r="DK140" i="1"/>
  <c r="DK141" i="1"/>
  <c r="DK142" i="1"/>
  <c r="DK143" i="1"/>
  <c r="DK144" i="1"/>
  <c r="DK145" i="1"/>
  <c r="DK146" i="1"/>
  <c r="DK147" i="1"/>
  <c r="DK148" i="1"/>
  <c r="DK149" i="1"/>
  <c r="DK150" i="1"/>
  <c r="DK151" i="1"/>
  <c r="DK152" i="1"/>
  <c r="DK153" i="1"/>
  <c r="DK154" i="1"/>
  <c r="DK155" i="1"/>
  <c r="DK156" i="1"/>
  <c r="DK157" i="1"/>
  <c r="DK158" i="1"/>
  <c r="DK159" i="1"/>
  <c r="DK160" i="1"/>
  <c r="DK161" i="1"/>
  <c r="DK162" i="1"/>
  <c r="DK163" i="1"/>
  <c r="DK164" i="1"/>
  <c r="DK165" i="1"/>
  <c r="DK166" i="1"/>
  <c r="DK167" i="1"/>
  <c r="DK168" i="1"/>
  <c r="DK169" i="1"/>
  <c r="DK170" i="1"/>
  <c r="DK171" i="1"/>
  <c r="DK172" i="1"/>
  <c r="DK173" i="1"/>
  <c r="DK174" i="1"/>
  <c r="DK175" i="1"/>
  <c r="DK176" i="1"/>
  <c r="DK177" i="1"/>
  <c r="DK178" i="1"/>
  <c r="DK179" i="1"/>
  <c r="DK180" i="1"/>
  <c r="DK181" i="1"/>
  <c r="DK182" i="1"/>
  <c r="DK183" i="1"/>
  <c r="DK184" i="1"/>
  <c r="DK185" i="1"/>
  <c r="DK186" i="1"/>
  <c r="DK187" i="1"/>
  <c r="DK188" i="1"/>
  <c r="DK189" i="1"/>
  <c r="DK190" i="1"/>
  <c r="DK191" i="1"/>
  <c r="DK192" i="1"/>
  <c r="DK193" i="1"/>
  <c r="DK194" i="1"/>
  <c r="DK195" i="1"/>
  <c r="DK196" i="1"/>
  <c r="DK197" i="1"/>
  <c r="DK198" i="1"/>
  <c r="DK199" i="1"/>
  <c r="DK200" i="1"/>
  <c r="DK201" i="1"/>
  <c r="DK202" i="1"/>
  <c r="DK203" i="1"/>
  <c r="DK204" i="1"/>
  <c r="DK205" i="1"/>
  <c r="DK206" i="1"/>
  <c r="DK207" i="1"/>
  <c r="DK208" i="1"/>
  <c r="DK209" i="1"/>
  <c r="DK210" i="1"/>
  <c r="DK211" i="1"/>
  <c r="DK212" i="1"/>
  <c r="DK213" i="1"/>
  <c r="DK214" i="1"/>
  <c r="DK215" i="1"/>
  <c r="DK216" i="1"/>
  <c r="DK217" i="1"/>
  <c r="DK218" i="1"/>
  <c r="DK219" i="1"/>
  <c r="DK220" i="1"/>
  <c r="DK221" i="1"/>
  <c r="DK222" i="1"/>
  <c r="DK223" i="1"/>
  <c r="DK224" i="1"/>
  <c r="DK225" i="1"/>
  <c r="DK226" i="1"/>
  <c r="DK227" i="1"/>
  <c r="DK228" i="1"/>
  <c r="DK229" i="1"/>
  <c r="DK230" i="1"/>
  <c r="DK231" i="1"/>
  <c r="DK232" i="1"/>
  <c r="DK233" i="1"/>
  <c r="DK234" i="1"/>
  <c r="DK235" i="1"/>
  <c r="DK236" i="1"/>
  <c r="DK237" i="1"/>
  <c r="DK238" i="1"/>
  <c r="DK239" i="1"/>
  <c r="DK240" i="1"/>
  <c r="DK241" i="1"/>
  <c r="DK242" i="1"/>
  <c r="DK243" i="1"/>
  <c r="DK244" i="1"/>
  <c r="DK245" i="1"/>
  <c r="DK246" i="1"/>
  <c r="DK247" i="1"/>
  <c r="DK248" i="1"/>
  <c r="DK249" i="1"/>
  <c r="DK250" i="1"/>
  <c r="DK251" i="1"/>
  <c r="DK252" i="1"/>
  <c r="DK253" i="1"/>
  <c r="DK254" i="1"/>
  <c r="DK255" i="1"/>
  <c r="DK256" i="1"/>
  <c r="DK257" i="1"/>
  <c r="DK258" i="1"/>
  <c r="DK259" i="1"/>
  <c r="DK260" i="1"/>
  <c r="DK261" i="1"/>
  <c r="DK262" i="1"/>
  <c r="DK263" i="1"/>
  <c r="DK264" i="1"/>
  <c r="DK265" i="1"/>
  <c r="DK266" i="1"/>
  <c r="DK267" i="1"/>
  <c r="DK268" i="1"/>
  <c r="DK269" i="1"/>
  <c r="DK270" i="1"/>
  <c r="DK271" i="1"/>
  <c r="DK272" i="1"/>
  <c r="DK273" i="1"/>
  <c r="DK274" i="1"/>
  <c r="DK275" i="1"/>
  <c r="DK276" i="1"/>
  <c r="DK277" i="1"/>
  <c r="DK278" i="1"/>
  <c r="DK279" i="1"/>
  <c r="DK280" i="1"/>
  <c r="DK281" i="1"/>
  <c r="DK282" i="1"/>
  <c r="DK283" i="1"/>
  <c r="DK284" i="1"/>
  <c r="DK285" i="1"/>
  <c r="DK286" i="1"/>
  <c r="DK287" i="1"/>
  <c r="DK288" i="1"/>
  <c r="DK289" i="1"/>
  <c r="DK290" i="1"/>
  <c r="DK291" i="1"/>
  <c r="DK292" i="1"/>
  <c r="DK293" i="1"/>
  <c r="DK294" i="1"/>
  <c r="DK295" i="1"/>
  <c r="DK296" i="1"/>
  <c r="DK297" i="1"/>
  <c r="DK298" i="1"/>
  <c r="DK299" i="1"/>
  <c r="DK300" i="1"/>
  <c r="DK301" i="1"/>
  <c r="DK302" i="1"/>
  <c r="DK303" i="1"/>
  <c r="DK304" i="1"/>
  <c r="DK305" i="1"/>
  <c r="DK306" i="1"/>
  <c r="DK307" i="1"/>
  <c r="DK308" i="1"/>
  <c r="DK309" i="1"/>
  <c r="DK310" i="1"/>
  <c r="DK311" i="1"/>
  <c r="DK312" i="1"/>
  <c r="DK313" i="1"/>
  <c r="DK314" i="1"/>
  <c r="DK315" i="1"/>
  <c r="DK316" i="1"/>
  <c r="DK317" i="1"/>
  <c r="DK318" i="1"/>
  <c r="DK319" i="1"/>
  <c r="DK320" i="1"/>
  <c r="DK321" i="1"/>
  <c r="DK322" i="1"/>
  <c r="DK323" i="1"/>
  <c r="DK324" i="1"/>
  <c r="DK325" i="1"/>
  <c r="DK326" i="1"/>
  <c r="DK327" i="1"/>
  <c r="DK328" i="1"/>
  <c r="DK329" i="1"/>
  <c r="DK330" i="1"/>
  <c r="DK331" i="1"/>
  <c r="DK332" i="1"/>
  <c r="DK333" i="1"/>
  <c r="DK334" i="1"/>
  <c r="DK335" i="1"/>
  <c r="DK336" i="1"/>
  <c r="DK337" i="1"/>
  <c r="DK338" i="1"/>
  <c r="DK339" i="1"/>
  <c r="DK340" i="1"/>
  <c r="DK341" i="1"/>
  <c r="DK342" i="1"/>
  <c r="DK343" i="1"/>
  <c r="DK344" i="1"/>
  <c r="DK345" i="1"/>
  <c r="DK346" i="1"/>
  <c r="DK347" i="1"/>
  <c r="DK348" i="1"/>
  <c r="DK349" i="1"/>
  <c r="DK350" i="1"/>
  <c r="DK351" i="1"/>
  <c r="DK352" i="1"/>
  <c r="DK353" i="1"/>
  <c r="DK354" i="1"/>
  <c r="DK355" i="1"/>
  <c r="DK356" i="1"/>
  <c r="DK357" i="1"/>
  <c r="DK358" i="1"/>
  <c r="DK359" i="1"/>
  <c r="DK360" i="1"/>
  <c r="DK361" i="1"/>
  <c r="DK362" i="1"/>
  <c r="DK363" i="1"/>
  <c r="DK364" i="1"/>
  <c r="DK365" i="1"/>
  <c r="DK366" i="1"/>
  <c r="DK367" i="1"/>
  <c r="DK368" i="1"/>
  <c r="DK369" i="1"/>
  <c r="DK370" i="1"/>
  <c r="DK371" i="1"/>
  <c r="DK372" i="1"/>
  <c r="DK373" i="1"/>
  <c r="DK374" i="1"/>
  <c r="DK375" i="1"/>
  <c r="DK376" i="1"/>
  <c r="DK377" i="1"/>
  <c r="DK378" i="1"/>
  <c r="DK379" i="1"/>
  <c r="DK380" i="1"/>
  <c r="DK381" i="1"/>
  <c r="DK382" i="1"/>
  <c r="DK383" i="1"/>
  <c r="DK384" i="1"/>
  <c r="DK385" i="1"/>
  <c r="DK386" i="1"/>
  <c r="DK387" i="1"/>
  <c r="DK388" i="1"/>
  <c r="DK389" i="1"/>
  <c r="DK390" i="1"/>
  <c r="DK391" i="1"/>
  <c r="DK392" i="1"/>
  <c r="DK393" i="1"/>
  <c r="DK394" i="1"/>
  <c r="DK395" i="1"/>
  <c r="DK396" i="1"/>
  <c r="DK397" i="1"/>
  <c r="DK398" i="1"/>
  <c r="DK399" i="1"/>
  <c r="DK400" i="1"/>
  <c r="DK401" i="1"/>
  <c r="DK402" i="1"/>
  <c r="DK403" i="1"/>
  <c r="DK404" i="1"/>
  <c r="DK405" i="1"/>
  <c r="DK406" i="1"/>
  <c r="DK407" i="1"/>
  <c r="DK408" i="1"/>
  <c r="DK409" i="1"/>
  <c r="DK410" i="1"/>
  <c r="DK411" i="1"/>
  <c r="DK412" i="1"/>
  <c r="DK413" i="1"/>
  <c r="DK414" i="1"/>
  <c r="DK415" i="1"/>
  <c r="DK416" i="1"/>
  <c r="DK417" i="1"/>
  <c r="DK418" i="1"/>
  <c r="DK419" i="1"/>
  <c r="DK420" i="1"/>
  <c r="DK421" i="1"/>
  <c r="DK422" i="1"/>
  <c r="DK423" i="1"/>
  <c r="DK424" i="1"/>
  <c r="DK425" i="1"/>
  <c r="DK426" i="1"/>
  <c r="DK427" i="1"/>
  <c r="DK428" i="1"/>
  <c r="DK429" i="1"/>
  <c r="DK430" i="1"/>
  <c r="DK431" i="1"/>
  <c r="DK432" i="1"/>
  <c r="DK433" i="1"/>
  <c r="DK434" i="1"/>
  <c r="DK435" i="1"/>
  <c r="DK436" i="1"/>
  <c r="DK437" i="1"/>
  <c r="DK438" i="1"/>
  <c r="DK439" i="1"/>
  <c r="DK440" i="1"/>
  <c r="DK441" i="1"/>
  <c r="DK442" i="1"/>
  <c r="DK443" i="1"/>
  <c r="DK444" i="1"/>
  <c r="DK445" i="1"/>
  <c r="DK446" i="1"/>
  <c r="DK447" i="1"/>
  <c r="DK448" i="1"/>
  <c r="DK449" i="1"/>
  <c r="DK450" i="1"/>
  <c r="DK4" i="1"/>
  <c r="CT5" i="1"/>
  <c r="CT6" i="1"/>
  <c r="CT7" i="1"/>
  <c r="CT8" i="1"/>
  <c r="CT9" i="1"/>
  <c r="CT10" i="1"/>
  <c r="CT11" i="1"/>
  <c r="CT12" i="1"/>
  <c r="CT13" i="1"/>
  <c r="CT14" i="1"/>
  <c r="CT15" i="1"/>
  <c r="CT16" i="1"/>
  <c r="CT17" i="1"/>
  <c r="CT18" i="1"/>
  <c r="CT20" i="1"/>
  <c r="CT21" i="1"/>
  <c r="CT22" i="1"/>
  <c r="CT24" i="1"/>
  <c r="CT25" i="1"/>
  <c r="CT27" i="1"/>
  <c r="CT28" i="1"/>
  <c r="CT29" i="1"/>
  <c r="CT30" i="1"/>
  <c r="CT31" i="1"/>
  <c r="CT32" i="1"/>
  <c r="CT33" i="1"/>
  <c r="CT34" i="1"/>
  <c r="CT36" i="1"/>
  <c r="CT37" i="1"/>
  <c r="CT38" i="1"/>
  <c r="CT39" i="1"/>
  <c r="CT40" i="1"/>
  <c r="CT41" i="1"/>
  <c r="CT42" i="1"/>
  <c r="CT43" i="1"/>
  <c r="CT44" i="1"/>
  <c r="CT45" i="1"/>
  <c r="CT46" i="1"/>
  <c r="CT47" i="1"/>
  <c r="CT48" i="1"/>
  <c r="CT49" i="1"/>
  <c r="CT51" i="1"/>
  <c r="CT52" i="1"/>
  <c r="CT53" i="1"/>
  <c r="CT54" i="1"/>
  <c r="CT55" i="1"/>
  <c r="CT56" i="1"/>
  <c r="CT57" i="1"/>
  <c r="CT59" i="1"/>
  <c r="CT60" i="1"/>
  <c r="CT61" i="1"/>
  <c r="CT62" i="1"/>
  <c r="CT64" i="1"/>
  <c r="CT65" i="1"/>
  <c r="CT66" i="1"/>
  <c r="CT68" i="1"/>
  <c r="CT69" i="1"/>
  <c r="CT70" i="1"/>
  <c r="CT71" i="1"/>
  <c r="CT72" i="1"/>
  <c r="CT73" i="1"/>
  <c r="CT74" i="1"/>
  <c r="CT75" i="1"/>
  <c r="CT76" i="1"/>
  <c r="CT77" i="1"/>
  <c r="CT78" i="1"/>
  <c r="CT79" i="1"/>
  <c r="CT80" i="1"/>
  <c r="CT81" i="1"/>
  <c r="CT82" i="1"/>
  <c r="CT83" i="1"/>
  <c r="CT84" i="1"/>
  <c r="CT85" i="1"/>
  <c r="CT86" i="1"/>
  <c r="CT88" i="1"/>
  <c r="CT89" i="1"/>
  <c r="CT90" i="1"/>
  <c r="CT91" i="1"/>
  <c r="CT92" i="1"/>
  <c r="CT93" i="1"/>
  <c r="CT94" i="1"/>
  <c r="CT95" i="1"/>
  <c r="CT96" i="1"/>
  <c r="CT97" i="1"/>
  <c r="CT98" i="1"/>
  <c r="CT99" i="1"/>
  <c r="CT100" i="1"/>
  <c r="CT101" i="1"/>
  <c r="CT102" i="1"/>
  <c r="CT103" i="1"/>
  <c r="CT104" i="1"/>
  <c r="CT105" i="1"/>
  <c r="CT106" i="1"/>
  <c r="CT108" i="1"/>
  <c r="CT109" i="1"/>
  <c r="CT110" i="1"/>
  <c r="CT111" i="1"/>
  <c r="CT112" i="1"/>
  <c r="CT113" i="1"/>
  <c r="CT114" i="1"/>
  <c r="CT115" i="1"/>
  <c r="CT116" i="1"/>
  <c r="CT117" i="1"/>
  <c r="CT119" i="1"/>
  <c r="CT120" i="1"/>
  <c r="CT121" i="1"/>
  <c r="CT123" i="1"/>
  <c r="CT124" i="1"/>
  <c r="CT125" i="1"/>
  <c r="CT126" i="1"/>
  <c r="CT127" i="1"/>
  <c r="CT128" i="1"/>
  <c r="CT129" i="1"/>
  <c r="CT130" i="1"/>
  <c r="CT131" i="1"/>
  <c r="CT132" i="1"/>
  <c r="CT133" i="1"/>
  <c r="CT135" i="1"/>
  <c r="CT136" i="1"/>
  <c r="CT138" i="1"/>
  <c r="CT139" i="1"/>
  <c r="CT140" i="1"/>
  <c r="CT141" i="1"/>
  <c r="CT142" i="1"/>
  <c r="CT143" i="1"/>
  <c r="CT144" i="1"/>
  <c r="CT145" i="1"/>
  <c r="CT147" i="1"/>
  <c r="CT148" i="1"/>
  <c r="CT149" i="1"/>
  <c r="CT150" i="1"/>
  <c r="CT151" i="1"/>
  <c r="CT153" i="1"/>
  <c r="CT154" i="1"/>
  <c r="CT155" i="1"/>
  <c r="CT156" i="1"/>
  <c r="CT158" i="1"/>
  <c r="CT159" i="1"/>
  <c r="CT161" i="1"/>
  <c r="CT163" i="1"/>
  <c r="CT164" i="1"/>
  <c r="CT165" i="1"/>
  <c r="CT167" i="1"/>
  <c r="CT168" i="1"/>
  <c r="CT169" i="1"/>
  <c r="CT170" i="1"/>
  <c r="CT171" i="1"/>
  <c r="CT172" i="1"/>
  <c r="CT174" i="1"/>
  <c r="CT175" i="1"/>
  <c r="CT177" i="1"/>
  <c r="CT178" i="1"/>
  <c r="CT179" i="1"/>
  <c r="CT180" i="1"/>
  <c r="CT181" i="1"/>
  <c r="CT182" i="1"/>
  <c r="CT183" i="1"/>
  <c r="CT184" i="1"/>
  <c r="CT185" i="1"/>
  <c r="CT186" i="1"/>
  <c r="CT187" i="1"/>
  <c r="CT188" i="1"/>
  <c r="CT189" i="1"/>
  <c r="CT190" i="1"/>
  <c r="CT191" i="1"/>
  <c r="CT192" i="1"/>
  <c r="CT193" i="1"/>
  <c r="CT194" i="1"/>
  <c r="CT195" i="1"/>
  <c r="CT196" i="1"/>
  <c r="CT198" i="1"/>
  <c r="CT199" i="1"/>
  <c r="CT200" i="1"/>
  <c r="CT201" i="1"/>
  <c r="CT202" i="1"/>
  <c r="CT203" i="1"/>
  <c r="CT204" i="1"/>
  <c r="CT205" i="1"/>
  <c r="CT206" i="1"/>
  <c r="CT207" i="1"/>
  <c r="CT208" i="1"/>
  <c r="CT209" i="1"/>
  <c r="CT210" i="1"/>
  <c r="CT211" i="1"/>
  <c r="CT212" i="1"/>
  <c r="CT213" i="1"/>
  <c r="CT214" i="1"/>
  <c r="CT215" i="1"/>
  <c r="CT216" i="1"/>
  <c r="CT217" i="1"/>
  <c r="CT218" i="1"/>
  <c r="CT220" i="1"/>
  <c r="CT222" i="1"/>
  <c r="CT223" i="1"/>
  <c r="CT224" i="1"/>
  <c r="CT225" i="1"/>
  <c r="CT226" i="1"/>
  <c r="CT227" i="1"/>
  <c r="CT228" i="1"/>
  <c r="CT230" i="1"/>
  <c r="CT232" i="1"/>
  <c r="CT233" i="1"/>
  <c r="CT234" i="1"/>
  <c r="CT235" i="1"/>
  <c r="CT237" i="1"/>
  <c r="CT238" i="1"/>
  <c r="CT239" i="1"/>
  <c r="CT240" i="1"/>
  <c r="CT241" i="1"/>
  <c r="CT243" i="1"/>
  <c r="CT244" i="1"/>
  <c r="CT245" i="1"/>
  <c r="CT246" i="1"/>
  <c r="CT247" i="1"/>
  <c r="CT248" i="1"/>
  <c r="CT250" i="1"/>
  <c r="CT251" i="1"/>
  <c r="CT252" i="1"/>
  <c r="CT253" i="1"/>
  <c r="CT254" i="1"/>
  <c r="CT255" i="1"/>
  <c r="CT256" i="1"/>
  <c r="CT257" i="1"/>
  <c r="CT258" i="1"/>
  <c r="CT259" i="1"/>
  <c r="CT260" i="1"/>
  <c r="CT261" i="1"/>
  <c r="CT262" i="1"/>
  <c r="CT263" i="1"/>
  <c r="CT264" i="1"/>
  <c r="CT265" i="1"/>
  <c r="CT267" i="1"/>
  <c r="CT268" i="1"/>
  <c r="CT271" i="1"/>
  <c r="CT272" i="1"/>
  <c r="CT273" i="1"/>
  <c r="CT274" i="1"/>
  <c r="CT275" i="1"/>
  <c r="CT276" i="1"/>
  <c r="CT277" i="1"/>
  <c r="CT278" i="1"/>
  <c r="CT279" i="1"/>
  <c r="CT280" i="1"/>
  <c r="CT281" i="1"/>
  <c r="CT282" i="1"/>
  <c r="CT283" i="1"/>
  <c r="CT284" i="1"/>
  <c r="CT285" i="1"/>
  <c r="CT287" i="1"/>
  <c r="CT288" i="1"/>
  <c r="CT289" i="1"/>
  <c r="CT290" i="1"/>
  <c r="CT291" i="1"/>
  <c r="CT292" i="1"/>
  <c r="CT294" i="1"/>
  <c r="CT295" i="1"/>
  <c r="CT296" i="1"/>
  <c r="CT297" i="1"/>
  <c r="CT298" i="1"/>
  <c r="CT300" i="1"/>
  <c r="CT301" i="1"/>
  <c r="CT302" i="1"/>
  <c r="CT303" i="1"/>
  <c r="CT304" i="1"/>
  <c r="CT305" i="1"/>
  <c r="CT306" i="1"/>
  <c r="CT307" i="1"/>
  <c r="CT308" i="1"/>
  <c r="CT309" i="1"/>
  <c r="CT310" i="1"/>
  <c r="CT311" i="1"/>
  <c r="CT312" i="1"/>
  <c r="CT313" i="1"/>
  <c r="CT314" i="1"/>
  <c r="CT316" i="1"/>
  <c r="CT317" i="1"/>
  <c r="CT318" i="1"/>
  <c r="CT319" i="1"/>
  <c r="CT320" i="1"/>
  <c r="CT321" i="1"/>
  <c r="CT322" i="1"/>
  <c r="CT323" i="1"/>
  <c r="CT324" i="1"/>
  <c r="CT325" i="1"/>
  <c r="CT326" i="1"/>
  <c r="CT327" i="1"/>
  <c r="CT328" i="1"/>
  <c r="CT329" i="1"/>
  <c r="CT330" i="1"/>
  <c r="CT331" i="1"/>
  <c r="CT334" i="1"/>
  <c r="CT335" i="1"/>
  <c r="CT336" i="1"/>
  <c r="CT337" i="1"/>
  <c r="CT339" i="1"/>
  <c r="CT340" i="1"/>
  <c r="CT341" i="1"/>
  <c r="CT342" i="1"/>
  <c r="CT343" i="1"/>
  <c r="CT344" i="1"/>
  <c r="CT345" i="1"/>
  <c r="CT346" i="1"/>
  <c r="CT348" i="1"/>
  <c r="CT349" i="1"/>
  <c r="CT350" i="1"/>
  <c r="CT351" i="1"/>
  <c r="CT353" i="1"/>
  <c r="CT354" i="1"/>
  <c r="CT355" i="1"/>
  <c r="CT356" i="1"/>
  <c r="CT357" i="1"/>
  <c r="CT358" i="1"/>
  <c r="CT359" i="1"/>
  <c r="CT360" i="1"/>
  <c r="CT361" i="1"/>
  <c r="CT362" i="1"/>
  <c r="CT363" i="1"/>
  <c r="CT365" i="1"/>
  <c r="CT366" i="1"/>
  <c r="CT367" i="1"/>
  <c r="CT368" i="1"/>
  <c r="CT369" i="1"/>
  <c r="CT370" i="1"/>
  <c r="CT371" i="1"/>
  <c r="CT373" i="1"/>
  <c r="CT374" i="1"/>
  <c r="CT375" i="1"/>
  <c r="CT376" i="1"/>
  <c r="CT377" i="1"/>
  <c r="CT378" i="1"/>
  <c r="CT379" i="1"/>
  <c r="CT380" i="1"/>
  <c r="CT381" i="1"/>
  <c r="CT382" i="1"/>
  <c r="CT383" i="1"/>
  <c r="CT384" i="1"/>
  <c r="CT385" i="1"/>
  <c r="CT386" i="1"/>
  <c r="CT387" i="1"/>
  <c r="CT389" i="1"/>
  <c r="CT390" i="1"/>
  <c r="CT391" i="1"/>
  <c r="CT393" i="1"/>
  <c r="CT394" i="1"/>
  <c r="CT395" i="1"/>
  <c r="CT396" i="1"/>
  <c r="CT398" i="1"/>
  <c r="CT399" i="1"/>
  <c r="CT400" i="1"/>
  <c r="CT401" i="1"/>
  <c r="CT402" i="1"/>
  <c r="CT403" i="1"/>
  <c r="CT404" i="1"/>
  <c r="CT405" i="1"/>
  <c r="CT406" i="1"/>
  <c r="CT409" i="1"/>
  <c r="CT410" i="1"/>
  <c r="CT411" i="1"/>
  <c r="CT412" i="1"/>
  <c r="CT413" i="1"/>
  <c r="CT415" i="1"/>
  <c r="CT416" i="1"/>
  <c r="CT417" i="1"/>
  <c r="CT418" i="1"/>
  <c r="CT419" i="1"/>
  <c r="CT420" i="1"/>
  <c r="CT421" i="1"/>
  <c r="CT422" i="1"/>
  <c r="CT423" i="1"/>
  <c r="CT425" i="1"/>
  <c r="CT426" i="1"/>
  <c r="CT427" i="1"/>
  <c r="CT428" i="1"/>
  <c r="CT429" i="1"/>
  <c r="CT430" i="1"/>
  <c r="CT431" i="1"/>
  <c r="CT432" i="1"/>
  <c r="CT433" i="1"/>
  <c r="CT434" i="1"/>
  <c r="CT436" i="1"/>
  <c r="CT437" i="1"/>
  <c r="CT438" i="1"/>
  <c r="CT439" i="1"/>
  <c r="CT440" i="1"/>
  <c r="CT441" i="1"/>
  <c r="CT442" i="1"/>
  <c r="CT443" i="1"/>
  <c r="CT444" i="1"/>
  <c r="CT445" i="1"/>
  <c r="CT446" i="1"/>
  <c r="CT447" i="1"/>
  <c r="CT4" i="1"/>
  <c r="BW448" i="1"/>
  <c r="AO448" i="1"/>
  <c r="CW447" i="1"/>
  <c r="CF447" i="1"/>
  <c r="CE447" i="1"/>
  <c r="CH447" i="1" s="1"/>
  <c r="CD447" i="1"/>
  <c r="CC447" i="1"/>
  <c r="CG447" i="1" s="1"/>
  <c r="BV447" i="1"/>
  <c r="BU447" i="1"/>
  <c r="BT447" i="1"/>
  <c r="AO447" i="1"/>
  <c r="BL447" i="6"/>
  <c r="AJ446" i="1"/>
  <c r="AG446" i="1"/>
  <c r="BW446" i="1"/>
  <c r="AO446" i="1"/>
  <c r="AJ445" i="1"/>
  <c r="AG445" i="1"/>
  <c r="DN450" i="1"/>
  <c r="DP450" i="1" s="1"/>
  <c r="DM450" i="1"/>
  <c r="DL450" i="1"/>
  <c r="DO450" i="1" s="1"/>
  <c r="DN449" i="1"/>
  <c r="DP449" i="1" s="1"/>
  <c r="DM449" i="1"/>
  <c r="DL449" i="1"/>
  <c r="DO449" i="1" s="1"/>
  <c r="DN448" i="1"/>
  <c r="DP448" i="1" s="1"/>
  <c r="DM448" i="1"/>
  <c r="DL448" i="1"/>
  <c r="DO448" i="1" s="1"/>
  <c r="DN447" i="1"/>
  <c r="DP447" i="1" s="1"/>
  <c r="DM447" i="1"/>
  <c r="DL447" i="1"/>
  <c r="DO447" i="1" s="1"/>
  <c r="DN446" i="1"/>
  <c r="DP446" i="1" s="1"/>
  <c r="DM446" i="1"/>
  <c r="DL446" i="1"/>
  <c r="DO446" i="1" s="1"/>
  <c r="DN445" i="1"/>
  <c r="DP445" i="1" s="1"/>
  <c r="DM445" i="1"/>
  <c r="DL445" i="1"/>
  <c r="DO445" i="1" s="1"/>
  <c r="CW445" i="1"/>
  <c r="CY445" i="1" s="1"/>
  <c r="CF450" i="1"/>
  <c r="CE450" i="1"/>
  <c r="CH450" i="1" s="1"/>
  <c r="CD450" i="1"/>
  <c r="CC450" i="1"/>
  <c r="CG450" i="1" s="1"/>
  <c r="CF449" i="1"/>
  <c r="CE449" i="1"/>
  <c r="CH449" i="1" s="1"/>
  <c r="CD449" i="1"/>
  <c r="CC449" i="1"/>
  <c r="CG449" i="1" s="1"/>
  <c r="CF448" i="1"/>
  <c r="CE448" i="1"/>
  <c r="CH448" i="1" s="1"/>
  <c r="CD448" i="1"/>
  <c r="CC448" i="1"/>
  <c r="CG448" i="1" s="1"/>
  <c r="CF446" i="1"/>
  <c r="CE446" i="1"/>
  <c r="CH446" i="1" s="1"/>
  <c r="CD446" i="1"/>
  <c r="CC446" i="1"/>
  <c r="CG446" i="1" s="1"/>
  <c r="CF445" i="1"/>
  <c r="CE445" i="1"/>
  <c r="CH445" i="1" s="1"/>
  <c r="CD445" i="1"/>
  <c r="CC445" i="1"/>
  <c r="CG445" i="1" s="1"/>
  <c r="BW445" i="1"/>
  <c r="AO445" i="1"/>
  <c r="O445" i="1"/>
  <c r="O446" i="1"/>
  <c r="O449" i="1"/>
  <c r="O450" i="1"/>
  <c r="L445" i="1"/>
  <c r="DV445" i="1" s="1"/>
  <c r="L446" i="1"/>
  <c r="DV446" i="1" s="1"/>
  <c r="L447" i="1"/>
  <c r="EK447" i="1" s="1"/>
  <c r="L448" i="1"/>
  <c r="DV448" i="1" s="1"/>
  <c r="L449" i="1"/>
  <c r="L450" i="1"/>
  <c r="F445" i="1"/>
  <c r="F446" i="1"/>
  <c r="EG446" i="1" s="1"/>
  <c r="F447" i="1"/>
  <c r="EG447" i="1" s="1"/>
  <c r="F448" i="1"/>
  <c r="EG448" i="1" s="1"/>
  <c r="F449" i="1"/>
  <c r="EG449" i="1" s="1"/>
  <c r="F450" i="1"/>
  <c r="EG450" i="1" s="1"/>
  <c r="B450" i="1"/>
  <c r="B449" i="1"/>
  <c r="B448" i="1"/>
  <c r="B447" i="1"/>
  <c r="B446" i="1"/>
  <c r="B445" i="1"/>
  <c r="BO450" i="6"/>
  <c r="BN450" i="6"/>
  <c r="BM450" i="6"/>
  <c r="BL450" i="6"/>
  <c r="BO449" i="6"/>
  <c r="BN449" i="6"/>
  <c r="BM449" i="6"/>
  <c r="BL449" i="6"/>
  <c r="BO448" i="6"/>
  <c r="BN448" i="6"/>
  <c r="BM448" i="6"/>
  <c r="BL448" i="6"/>
  <c r="BO447" i="6"/>
  <c r="BN447" i="6"/>
  <c r="BM447" i="6"/>
  <c r="BO446" i="6"/>
  <c r="BN446" i="6"/>
  <c r="BM446" i="6"/>
  <c r="BL446" i="6"/>
  <c r="BO445" i="6"/>
  <c r="BN445" i="6"/>
  <c r="BM445" i="6"/>
  <c r="BL445" i="6"/>
  <c r="DY452" i="1" l="1"/>
  <c r="EC452" i="1" s="1"/>
  <c r="EE452" i="1" s="1"/>
  <c r="DY454" i="1"/>
  <c r="EC454" i="1" s="1"/>
  <c r="EE454" i="1" s="1"/>
  <c r="EL450" i="1"/>
  <c r="EM450" i="1"/>
  <c r="EM449" i="1"/>
  <c r="EL449" i="1"/>
  <c r="EM448" i="1"/>
  <c r="EL448" i="1"/>
  <c r="EM447" i="1"/>
  <c r="EL447" i="1"/>
  <c r="EM446" i="1"/>
  <c r="EL446" i="1"/>
  <c r="BS449" i="1"/>
  <c r="BS450" i="1"/>
  <c r="BL449" i="1"/>
  <c r="DR450" i="1"/>
  <c r="DV450" i="1"/>
  <c r="DR449" i="1"/>
  <c r="BL450" i="1"/>
  <c r="DV449" i="1"/>
  <c r="BS448" i="1"/>
  <c r="BN449" i="1"/>
  <c r="BN450" i="1"/>
  <c r="DR448" i="1"/>
  <c r="AK450" i="1"/>
  <c r="AH450" i="1"/>
  <c r="AK449" i="1"/>
  <c r="AH449" i="1"/>
  <c r="AK448" i="1"/>
  <c r="AH448" i="1"/>
  <c r="BS447" i="1"/>
  <c r="CB447" i="1"/>
  <c r="BL447" i="1"/>
  <c r="BL448" i="1"/>
  <c r="DR447" i="1"/>
  <c r="BN447" i="1"/>
  <c r="DV447" i="1"/>
  <c r="BN448" i="1"/>
  <c r="AK446" i="1"/>
  <c r="AH446" i="1"/>
  <c r="DR446" i="1"/>
  <c r="BS446" i="1"/>
  <c r="CB445" i="1"/>
  <c r="BL446" i="1"/>
  <c r="BN446" i="1"/>
  <c r="AH445" i="1"/>
  <c r="CB450" i="1"/>
  <c r="CB449" i="1"/>
  <c r="CB448" i="1"/>
  <c r="EK450" i="1"/>
  <c r="CB446" i="1"/>
  <c r="BS445" i="1"/>
  <c r="EK446" i="1"/>
  <c r="AK445" i="1"/>
  <c r="DR445" i="1"/>
  <c r="EG445" i="1"/>
  <c r="BL445" i="1"/>
  <c r="EK445" i="1"/>
  <c r="EK449" i="1"/>
  <c r="BN445" i="1"/>
  <c r="EK448" i="1"/>
  <c r="AJ444" i="1"/>
  <c r="AG444" i="1"/>
  <c r="CM444" i="1"/>
  <c r="CF444" i="1"/>
  <c r="CE444" i="1"/>
  <c r="CH444" i="1" s="1"/>
  <c r="CD444" i="1"/>
  <c r="CC444" i="1"/>
  <c r="CG444" i="1" s="1"/>
  <c r="BW444" i="1"/>
  <c r="AO444" i="1"/>
  <c r="O444" i="1"/>
  <c r="BO444" i="6"/>
  <c r="BN444" i="6"/>
  <c r="BM444" i="6"/>
  <c r="BL444" i="6"/>
  <c r="DN444" i="1"/>
  <c r="DP444" i="1" s="1"/>
  <c r="DM444" i="1"/>
  <c r="DL444" i="1"/>
  <c r="DO444" i="1" s="1"/>
  <c r="DN443" i="1"/>
  <c r="DP443" i="1" s="1"/>
  <c r="DM443" i="1"/>
  <c r="DL443" i="1"/>
  <c r="DO443" i="1" s="1"/>
  <c r="CW443" i="1"/>
  <c r="CY443" i="1" s="1"/>
  <c r="CF443" i="1"/>
  <c r="CE443" i="1"/>
  <c r="CH443" i="1" s="1"/>
  <c r="CD443" i="1"/>
  <c r="CC443" i="1"/>
  <c r="CG443" i="1" s="1"/>
  <c r="BW443" i="1"/>
  <c r="AO443" i="1"/>
  <c r="O443" i="1"/>
  <c r="L444" i="1"/>
  <c r="DV444" i="1" s="1"/>
  <c r="L443" i="1"/>
  <c r="BS443" i="1" s="1"/>
  <c r="F444" i="1"/>
  <c r="EG444" i="1" s="1"/>
  <c r="F443" i="1"/>
  <c r="EG443" i="1" s="1"/>
  <c r="B444" i="1"/>
  <c r="B443" i="1"/>
  <c r="BL443" i="6"/>
  <c r="BM443" i="6"/>
  <c r="BN443" i="6"/>
  <c r="BO443" i="6"/>
  <c r="CU449" i="1" l="1"/>
  <c r="CV449" i="1"/>
  <c r="EL444" i="1"/>
  <c r="EM444" i="1"/>
  <c r="EM443" i="1"/>
  <c r="EL443" i="1"/>
  <c r="EM445" i="1"/>
  <c r="EL445" i="1"/>
  <c r="CU445" i="1"/>
  <c r="CX445" i="1" s="1"/>
  <c r="CV445" i="1"/>
  <c r="CU447" i="1"/>
  <c r="CV447" i="1"/>
  <c r="DW446" i="1"/>
  <c r="DX446" i="1"/>
  <c r="DX448" i="1"/>
  <c r="DW448" i="1"/>
  <c r="DW445" i="1"/>
  <c r="DX445" i="1"/>
  <c r="DW447" i="1"/>
  <c r="DX447" i="1"/>
  <c r="DW449" i="1"/>
  <c r="DY449" i="1" s="1"/>
  <c r="DX449" i="1"/>
  <c r="DZ449" i="1" s="1"/>
  <c r="DW450" i="1"/>
  <c r="DX450" i="1"/>
  <c r="CR444" i="1"/>
  <c r="CP444" i="1"/>
  <c r="CQ444" i="1"/>
  <c r="BL444" i="1"/>
  <c r="BS444" i="1"/>
  <c r="CB444" i="1"/>
  <c r="EK444" i="1"/>
  <c r="DR444" i="1"/>
  <c r="BN444" i="1"/>
  <c r="AK444" i="1"/>
  <c r="AH444" i="1"/>
  <c r="EK443" i="1"/>
  <c r="BL443" i="1"/>
  <c r="BN443" i="1"/>
  <c r="CB443" i="1"/>
  <c r="DR443" i="1"/>
  <c r="DV443" i="1"/>
  <c r="O23" i="14"/>
  <c r="Q23" i="14" s="1"/>
  <c r="Q64" i="14"/>
  <c r="P64" i="14"/>
  <c r="O142" i="14"/>
  <c r="P142" i="14" s="1"/>
  <c r="K196" i="14"/>
  <c r="AJ442" i="1"/>
  <c r="AG442" i="1"/>
  <c r="BW442" i="1"/>
  <c r="AO442" i="1"/>
  <c r="BW441" i="1"/>
  <c r="AO441" i="1"/>
  <c r="AJ440" i="1"/>
  <c r="AG440" i="1"/>
  <c r="CW440" i="1"/>
  <c r="CY440" i="1" s="1"/>
  <c r="BW440" i="1"/>
  <c r="AO440" i="1"/>
  <c r="AJ438" i="1"/>
  <c r="AG438" i="1"/>
  <c r="CW438" i="1"/>
  <c r="BV438" i="1"/>
  <c r="BU438" i="1"/>
  <c r="BT438" i="1"/>
  <c r="AO438" i="1"/>
  <c r="CU443" i="1" l="1"/>
  <c r="CX443" i="1" s="1"/>
  <c r="CV443" i="1"/>
  <c r="DW444" i="1"/>
  <c r="DY444" i="1" s="1"/>
  <c r="DX444" i="1"/>
  <c r="DZ444" i="1" s="1"/>
  <c r="DW443" i="1"/>
  <c r="DX443" i="1"/>
  <c r="P23" i="14"/>
  <c r="Q142" i="14"/>
  <c r="AH442" i="1"/>
  <c r="AK442" i="1"/>
  <c r="AK440" i="1"/>
  <c r="AH440" i="1"/>
  <c r="AH438" i="1"/>
  <c r="AK438" i="1"/>
  <c r="AG4" i="1"/>
  <c r="AG5" i="1"/>
  <c r="AG6" i="1"/>
  <c r="AG7" i="1"/>
  <c r="AG8" i="1"/>
  <c r="AG9" i="1"/>
  <c r="AG10" i="1"/>
  <c r="AG13" i="1"/>
  <c r="AG15" i="1"/>
  <c r="AG16" i="1"/>
  <c r="AG17" i="1"/>
  <c r="AG19" i="1"/>
  <c r="AG20" i="1"/>
  <c r="AG21" i="1"/>
  <c r="AG22" i="1"/>
  <c r="AG23" i="1"/>
  <c r="AG24" i="1"/>
  <c r="AG26" i="1"/>
  <c r="AG27" i="1"/>
  <c r="AG29" i="1"/>
  <c r="AG30" i="1"/>
  <c r="AG31" i="1"/>
  <c r="AG32" i="1"/>
  <c r="AG33" i="1"/>
  <c r="AG34" i="1"/>
  <c r="AG36" i="1"/>
  <c r="AG37" i="1"/>
  <c r="AG38" i="1"/>
  <c r="AG39" i="1"/>
  <c r="AG40" i="1"/>
  <c r="AG42" i="1"/>
  <c r="AG43" i="1"/>
  <c r="AG44" i="1"/>
  <c r="AG45" i="1"/>
  <c r="AG46" i="1"/>
  <c r="AG47" i="1"/>
  <c r="AG48" i="1"/>
  <c r="AG49" i="1"/>
  <c r="AG50" i="1"/>
  <c r="AG51" i="1"/>
  <c r="AG52" i="1"/>
  <c r="AG53" i="1"/>
  <c r="AG55" i="1"/>
  <c r="AG56" i="1"/>
  <c r="AG57" i="1"/>
  <c r="AG58" i="1"/>
  <c r="AG60" i="1"/>
  <c r="AG62" i="1"/>
  <c r="AG63" i="1"/>
  <c r="AG65" i="1"/>
  <c r="AG66" i="1"/>
  <c r="AG67" i="1"/>
  <c r="AG68" i="1"/>
  <c r="AG70" i="1"/>
  <c r="AG71" i="1"/>
  <c r="AG73" i="1"/>
  <c r="AG74" i="1"/>
  <c r="AG76" i="1"/>
  <c r="AG77" i="1"/>
  <c r="AG79" i="1"/>
  <c r="AG81" i="1"/>
  <c r="AG82" i="1"/>
  <c r="AG83" i="1"/>
  <c r="AG84" i="1"/>
  <c r="AG85" i="1"/>
  <c r="AG86" i="1"/>
  <c r="AG87" i="1"/>
  <c r="AG88" i="1"/>
  <c r="AG89" i="1"/>
  <c r="AG90" i="1"/>
  <c r="AG91" i="1"/>
  <c r="AG93" i="1"/>
  <c r="AG94" i="1"/>
  <c r="AG95" i="1"/>
  <c r="AG96" i="1"/>
  <c r="AG98" i="1"/>
  <c r="AG99" i="1"/>
  <c r="AG101" i="1"/>
  <c r="AG102" i="1"/>
  <c r="AG103" i="1"/>
  <c r="AG104" i="1"/>
  <c r="AG105" i="1"/>
  <c r="AG109" i="1"/>
  <c r="AG111" i="1"/>
  <c r="AG112" i="1"/>
  <c r="AG113" i="1"/>
  <c r="AG114" i="1"/>
  <c r="AG115" i="1"/>
  <c r="AG116" i="1"/>
  <c r="AG117" i="1"/>
  <c r="AG118" i="1"/>
  <c r="AG119" i="1"/>
  <c r="AG120" i="1"/>
  <c r="AG122" i="1"/>
  <c r="AG124" i="1"/>
  <c r="AG125" i="1"/>
  <c r="AG126" i="1"/>
  <c r="AG127" i="1"/>
  <c r="AG128" i="1"/>
  <c r="AG129" i="1"/>
  <c r="AG130" i="1"/>
  <c r="AG131" i="1"/>
  <c r="AG132" i="1"/>
  <c r="AG133" i="1"/>
  <c r="AG134" i="1"/>
  <c r="AG135" i="1"/>
  <c r="AG136" i="1"/>
  <c r="AG137" i="1"/>
  <c r="AG139" i="1"/>
  <c r="AG140" i="1"/>
  <c r="AG142" i="1"/>
  <c r="AG143" i="1"/>
  <c r="AG145" i="1"/>
  <c r="AG146" i="1"/>
  <c r="AG147" i="1"/>
  <c r="AG148" i="1"/>
  <c r="AG149" i="1"/>
  <c r="AG150" i="1"/>
  <c r="AG151" i="1"/>
  <c r="AG152" i="1"/>
  <c r="AG153" i="1"/>
  <c r="AG155" i="1"/>
  <c r="AG157" i="1"/>
  <c r="AG158" i="1"/>
  <c r="AG159" i="1"/>
  <c r="AG160" i="1"/>
  <c r="AG161" i="1"/>
  <c r="AG162" i="1"/>
  <c r="AG164" i="1"/>
  <c r="AG166" i="1"/>
  <c r="AG168" i="1"/>
  <c r="AG169" i="1"/>
  <c r="AG170" i="1"/>
  <c r="AG171" i="1"/>
  <c r="AG172" i="1"/>
  <c r="AG173" i="1"/>
  <c r="AG174" i="1"/>
  <c r="AG175" i="1"/>
  <c r="AG177" i="1"/>
  <c r="AG178" i="1"/>
  <c r="AG179" i="1"/>
  <c r="AG181" i="1"/>
  <c r="AG182" i="1"/>
  <c r="AG183" i="1"/>
  <c r="AG185" i="1"/>
  <c r="AG186" i="1"/>
  <c r="AG187" i="1"/>
  <c r="AG189" i="1"/>
  <c r="AG190" i="1"/>
  <c r="AG191" i="1"/>
  <c r="AG193" i="1"/>
  <c r="AG194" i="1"/>
  <c r="AG195" i="1"/>
  <c r="AG196" i="1"/>
  <c r="AG197" i="1"/>
  <c r="AG198" i="1"/>
  <c r="AG199" i="1"/>
  <c r="AG200" i="1"/>
  <c r="AG202" i="1"/>
  <c r="AG205" i="1"/>
  <c r="AG206" i="1"/>
  <c r="AG207" i="1"/>
  <c r="AG209" i="1"/>
  <c r="AG211" i="1"/>
  <c r="AG213" i="1"/>
  <c r="AG214" i="1"/>
  <c r="AG215" i="1"/>
  <c r="AG216" i="1"/>
  <c r="AG218" i="1"/>
  <c r="AG219" i="1"/>
  <c r="AG220" i="1"/>
  <c r="AG221" i="1"/>
  <c r="AG222" i="1"/>
  <c r="AG223" i="1"/>
  <c r="AG228" i="1"/>
  <c r="AG231" i="1"/>
  <c r="AG232" i="1"/>
  <c r="AG233" i="1"/>
  <c r="AG234" i="1"/>
  <c r="AG235" i="1"/>
  <c r="AG236" i="1"/>
  <c r="AG237" i="1"/>
  <c r="AG238" i="1"/>
  <c r="AG239" i="1"/>
  <c r="AG241" i="1"/>
  <c r="AG242" i="1"/>
  <c r="AG244" i="1"/>
  <c r="AG245" i="1"/>
  <c r="AG246" i="1"/>
  <c r="AG247" i="1"/>
  <c r="AG248" i="1"/>
  <c r="AG249" i="1"/>
  <c r="AG251" i="1"/>
  <c r="AG252" i="1"/>
  <c r="AG253" i="1"/>
  <c r="AG254" i="1"/>
  <c r="AG256" i="1"/>
  <c r="AG260" i="1"/>
  <c r="AG261" i="1"/>
  <c r="AG262" i="1"/>
  <c r="AG264" i="1"/>
  <c r="AG265" i="1"/>
  <c r="AG266" i="1"/>
  <c r="AG267" i="1"/>
  <c r="AG268" i="1"/>
  <c r="AG269" i="1"/>
  <c r="AG270" i="1"/>
  <c r="AG271" i="1"/>
  <c r="AG272" i="1"/>
  <c r="AG273" i="1"/>
  <c r="AG274" i="1"/>
  <c r="AG275" i="1"/>
  <c r="AG276" i="1"/>
  <c r="AG277" i="1"/>
  <c r="AG280" i="1"/>
  <c r="AG281" i="1"/>
  <c r="AG282" i="1"/>
  <c r="AG284" i="1"/>
  <c r="AG285" i="1"/>
  <c r="AG286" i="1"/>
  <c r="AG287" i="1"/>
  <c r="AG288" i="1"/>
  <c r="AG289" i="1"/>
  <c r="AG290" i="1"/>
  <c r="AG292" i="1"/>
  <c r="AG293" i="1"/>
  <c r="AG294" i="1"/>
  <c r="AG295" i="1"/>
  <c r="AG296" i="1"/>
  <c r="AG297" i="1"/>
  <c r="AG298" i="1"/>
  <c r="AG299" i="1"/>
  <c r="AG300" i="1"/>
  <c r="AG301" i="1"/>
  <c r="AG302" i="1"/>
  <c r="AG304" i="1"/>
  <c r="AG306" i="1"/>
  <c r="AG307" i="1"/>
  <c r="AG308" i="1"/>
  <c r="AG309" i="1"/>
  <c r="AG312" i="1"/>
  <c r="AG313" i="1"/>
  <c r="AG314" i="1"/>
  <c r="AG315" i="1"/>
  <c r="AG316" i="1"/>
  <c r="AG317" i="1"/>
  <c r="AG318" i="1"/>
  <c r="AG319" i="1"/>
  <c r="AG320" i="1"/>
  <c r="AG321" i="1"/>
  <c r="AG322" i="1"/>
  <c r="AG323" i="1"/>
  <c r="AG326" i="1"/>
  <c r="AG330" i="1"/>
  <c r="AG331" i="1"/>
  <c r="AG332" i="1"/>
  <c r="AG333" i="1"/>
  <c r="AG334" i="1"/>
  <c r="AG335" i="1"/>
  <c r="AG338" i="1"/>
  <c r="AG339" i="1"/>
  <c r="AG340" i="1"/>
  <c r="AG342" i="1"/>
  <c r="AG343" i="1"/>
  <c r="AG345" i="1"/>
  <c r="AG346" i="1"/>
  <c r="AG347" i="1"/>
  <c r="AG348" i="1"/>
  <c r="AG351" i="1"/>
  <c r="AG352" i="1"/>
  <c r="AG354" i="1"/>
  <c r="AG355" i="1"/>
  <c r="AG356" i="1"/>
  <c r="AG358" i="1"/>
  <c r="AG359" i="1"/>
  <c r="AG360" i="1"/>
  <c r="AG361" i="1"/>
  <c r="AG362" i="1"/>
  <c r="AG363" i="1"/>
  <c r="AG364" i="1"/>
  <c r="AG365" i="1"/>
  <c r="AG366" i="1"/>
  <c r="AG367" i="1"/>
  <c r="AG368" i="1"/>
  <c r="AG370" i="1"/>
  <c r="AG371" i="1"/>
  <c r="AG372" i="1"/>
  <c r="AG373" i="1"/>
  <c r="AG374" i="1"/>
  <c r="AG375" i="1"/>
  <c r="AG378" i="1"/>
  <c r="AG379" i="1"/>
  <c r="AG381" i="1"/>
  <c r="AG382" i="1"/>
  <c r="AG383" i="1"/>
  <c r="AG385" i="1"/>
  <c r="AG387" i="1"/>
  <c r="AG388" i="1"/>
  <c r="AG389" i="1"/>
  <c r="AG390" i="1"/>
  <c r="AG391" i="1"/>
  <c r="AG393" i="1"/>
  <c r="AG394" i="1"/>
  <c r="AG395" i="1"/>
  <c r="AG397" i="1"/>
  <c r="AG398" i="1"/>
  <c r="AG399" i="1"/>
  <c r="AG400" i="1"/>
  <c r="AG401" i="1"/>
  <c r="AG402" i="1"/>
  <c r="AG403" i="1"/>
  <c r="AG404" i="1"/>
  <c r="AG405" i="1"/>
  <c r="AG406" i="1"/>
  <c r="AG407" i="1"/>
  <c r="AG408" i="1"/>
  <c r="AG411" i="1"/>
  <c r="AG412" i="1"/>
  <c r="AG413" i="1"/>
  <c r="AG414" i="1"/>
  <c r="AG415" i="1"/>
  <c r="AG417" i="1"/>
  <c r="AG419" i="1"/>
  <c r="AG420" i="1"/>
  <c r="AG421" i="1"/>
  <c r="AG422" i="1"/>
  <c r="AG424" i="1"/>
  <c r="AG425" i="1"/>
  <c r="AG426" i="1"/>
  <c r="AG427" i="1"/>
  <c r="AG428" i="1"/>
  <c r="AG430" i="1"/>
  <c r="AG431" i="1"/>
  <c r="AG433" i="1"/>
  <c r="AG435" i="1"/>
  <c r="AG436" i="1"/>
  <c r="AG437" i="1"/>
  <c r="CW439" i="1"/>
  <c r="BV439" i="1"/>
  <c r="BU439" i="1"/>
  <c r="BT439" i="1"/>
  <c r="AO439" i="1"/>
  <c r="BM439" i="6"/>
  <c r="AJ437" i="1"/>
  <c r="DN442" i="1"/>
  <c r="DP442" i="1" s="1"/>
  <c r="DM442" i="1"/>
  <c r="DL442" i="1"/>
  <c r="DO442" i="1" s="1"/>
  <c r="DN441" i="1"/>
  <c r="DP441" i="1" s="1"/>
  <c r="DM441" i="1"/>
  <c r="DL441" i="1"/>
  <c r="DO441" i="1" s="1"/>
  <c r="DN440" i="1"/>
  <c r="DP440" i="1" s="1"/>
  <c r="DM440" i="1"/>
  <c r="DL440" i="1"/>
  <c r="DO440" i="1" s="1"/>
  <c r="DN439" i="1"/>
  <c r="DP439" i="1" s="1"/>
  <c r="DM439" i="1"/>
  <c r="DL439" i="1"/>
  <c r="DO439" i="1" s="1"/>
  <c r="DN438" i="1"/>
  <c r="DP438" i="1" s="1"/>
  <c r="DM438" i="1"/>
  <c r="DL438" i="1"/>
  <c r="DO438" i="1" s="1"/>
  <c r="DN437" i="1"/>
  <c r="DP437" i="1" s="1"/>
  <c r="DM437" i="1"/>
  <c r="DL437" i="1"/>
  <c r="DO437" i="1" s="1"/>
  <c r="CF442" i="1"/>
  <c r="CE442" i="1"/>
  <c r="CD442" i="1"/>
  <c r="CC442" i="1"/>
  <c r="CG442" i="1" s="1"/>
  <c r="CF441" i="1"/>
  <c r="CE441" i="1"/>
  <c r="CD441" i="1"/>
  <c r="CC441" i="1"/>
  <c r="CG441" i="1" s="1"/>
  <c r="CF440" i="1"/>
  <c r="CE440" i="1"/>
  <c r="CD440" i="1"/>
  <c r="CC440" i="1"/>
  <c r="CG440" i="1" s="1"/>
  <c r="CF439" i="1"/>
  <c r="CE439" i="1"/>
  <c r="CH439" i="1" s="1"/>
  <c r="CD439" i="1"/>
  <c r="CC439" i="1"/>
  <c r="CG439" i="1" s="1"/>
  <c r="CF438" i="1"/>
  <c r="CE438" i="1"/>
  <c r="CD438" i="1"/>
  <c r="CC438" i="1"/>
  <c r="CG438" i="1" s="1"/>
  <c r="CF437" i="1"/>
  <c r="CE437" i="1"/>
  <c r="CH437" i="1" s="1"/>
  <c r="CD437" i="1"/>
  <c r="CC437" i="1"/>
  <c r="CG437" i="1" s="1"/>
  <c r="BW437" i="1"/>
  <c r="AO437" i="1"/>
  <c r="O437" i="1"/>
  <c r="O438" i="1"/>
  <c r="O441" i="1"/>
  <c r="O442" i="1"/>
  <c r="L442" i="1"/>
  <c r="L441" i="1"/>
  <c r="L440" i="1"/>
  <c r="DV440" i="1" s="1"/>
  <c r="L439" i="1"/>
  <c r="L438" i="1"/>
  <c r="L437" i="1"/>
  <c r="F437" i="1"/>
  <c r="DR437" i="1" s="1"/>
  <c r="F438" i="1"/>
  <c r="F439" i="1"/>
  <c r="EG439" i="1" s="1"/>
  <c r="F440" i="1"/>
  <c r="F441" i="1"/>
  <c r="F442" i="1"/>
  <c r="B437" i="1"/>
  <c r="B438" i="1"/>
  <c r="B439" i="1"/>
  <c r="B440" i="1"/>
  <c r="B441" i="1"/>
  <c r="B442" i="1"/>
  <c r="BO442" i="6"/>
  <c r="BN442" i="6"/>
  <c r="BM442" i="6"/>
  <c r="BL442" i="6"/>
  <c r="BO441" i="6"/>
  <c r="BN441" i="6"/>
  <c r="BM441" i="6"/>
  <c r="BL441" i="6"/>
  <c r="BO440" i="6"/>
  <c r="BN440" i="6"/>
  <c r="BM440" i="6"/>
  <c r="BL440" i="6"/>
  <c r="BO439" i="6"/>
  <c r="BN439" i="6"/>
  <c r="BO438" i="6"/>
  <c r="BN438" i="6"/>
  <c r="BM438" i="6"/>
  <c r="BL438" i="6"/>
  <c r="BO437" i="6"/>
  <c r="BN437" i="6"/>
  <c r="BM437" i="6"/>
  <c r="BL437" i="6"/>
  <c r="EM439" i="1" l="1"/>
  <c r="EL439" i="1"/>
  <c r="DW437" i="1"/>
  <c r="DX437" i="1"/>
  <c r="EG442" i="1"/>
  <c r="BN442" i="1"/>
  <c r="BL442" i="1"/>
  <c r="DR442" i="1"/>
  <c r="EG438" i="1"/>
  <c r="BL438" i="1"/>
  <c r="DR438" i="1"/>
  <c r="BN438" i="1"/>
  <c r="EG441" i="1"/>
  <c r="DR441" i="1"/>
  <c r="BL441" i="1"/>
  <c r="BN441" i="1"/>
  <c r="DV438" i="1"/>
  <c r="BS438" i="1"/>
  <c r="EK440" i="1"/>
  <c r="BS440" i="1"/>
  <c r="EK441" i="1"/>
  <c r="DV441" i="1"/>
  <c r="BS441" i="1"/>
  <c r="EK442" i="1"/>
  <c r="BS442" i="1"/>
  <c r="DV442" i="1"/>
  <c r="BN440" i="1"/>
  <c r="BL440" i="1"/>
  <c r="DR440" i="1"/>
  <c r="CH442" i="1"/>
  <c r="CH441" i="1"/>
  <c r="CH440" i="1"/>
  <c r="CH438" i="1"/>
  <c r="CB440" i="1"/>
  <c r="BS439" i="1"/>
  <c r="CB437" i="1"/>
  <c r="CB438" i="1"/>
  <c r="EK439" i="1"/>
  <c r="DR439" i="1"/>
  <c r="DV439" i="1"/>
  <c r="CB441" i="1"/>
  <c r="BL439" i="1"/>
  <c r="EK438" i="1"/>
  <c r="EG440" i="1"/>
  <c r="CB442" i="1"/>
  <c r="BN439" i="1"/>
  <c r="CB439" i="1"/>
  <c r="DV437" i="1"/>
  <c r="EG437" i="1"/>
  <c r="EK437" i="1"/>
  <c r="BL437" i="1"/>
  <c r="BN437" i="1"/>
  <c r="BS437" i="1"/>
  <c r="AK437" i="1"/>
  <c r="BL439" i="6"/>
  <c r="AH437" i="1"/>
  <c r="BL434" i="6"/>
  <c r="CU440" i="1" l="1"/>
  <c r="CX440" i="1" s="1"/>
  <c r="CV440" i="1"/>
  <c r="EM441" i="1"/>
  <c r="EL441" i="1"/>
  <c r="EM440" i="1"/>
  <c r="EL440" i="1"/>
  <c r="CU438" i="1"/>
  <c r="CV438" i="1"/>
  <c r="EM438" i="1"/>
  <c r="EL438" i="1"/>
  <c r="EL442" i="1"/>
  <c r="EM442" i="1"/>
  <c r="CU439" i="1"/>
  <c r="CV439" i="1"/>
  <c r="EM437" i="1"/>
  <c r="EL437" i="1"/>
  <c r="DW441" i="1"/>
  <c r="DX441" i="1"/>
  <c r="DX440" i="1"/>
  <c r="DZ440" i="1" s="1"/>
  <c r="ED440" i="1" s="1"/>
  <c r="DW440" i="1"/>
  <c r="DW438" i="1"/>
  <c r="DY438" i="1" s="1"/>
  <c r="DX438" i="1"/>
  <c r="DZ438" i="1" s="1"/>
  <c r="DW442" i="1"/>
  <c r="DY442" i="1" s="1"/>
  <c r="DX442" i="1"/>
  <c r="DZ442" i="1" s="1"/>
  <c r="DW439" i="1"/>
  <c r="DX439" i="1"/>
  <c r="S22" i="19"/>
  <c r="T22" i="19"/>
  <c r="U22" i="19"/>
  <c r="V22" i="19"/>
  <c r="W22" i="19"/>
  <c r="X22" i="19"/>
  <c r="Y22" i="19"/>
  <c r="Z22" i="19"/>
  <c r="AA22" i="19"/>
  <c r="AB22" i="19"/>
  <c r="AC22" i="19"/>
  <c r="AD22" i="19"/>
  <c r="AE22" i="19"/>
  <c r="AF22" i="19"/>
  <c r="AG22" i="19"/>
  <c r="S23" i="19"/>
  <c r="T23" i="19"/>
  <c r="U23" i="19"/>
  <c r="V23" i="19"/>
  <c r="W23" i="19"/>
  <c r="X23" i="19"/>
  <c r="Y23" i="19"/>
  <c r="Z23" i="19"/>
  <c r="AA23" i="19"/>
  <c r="AB23" i="19"/>
  <c r="AC23" i="19"/>
  <c r="AD23" i="19"/>
  <c r="AE23" i="19"/>
  <c r="AF23" i="19"/>
  <c r="AG23" i="19"/>
  <c r="S24" i="19"/>
  <c r="T24" i="19"/>
  <c r="U24" i="19"/>
  <c r="V24" i="19"/>
  <c r="W24" i="19"/>
  <c r="X24" i="19"/>
  <c r="Y24" i="19"/>
  <c r="Z24" i="19"/>
  <c r="AA24" i="19"/>
  <c r="AB24" i="19"/>
  <c r="AC24" i="19"/>
  <c r="AD24" i="19"/>
  <c r="AE24" i="19"/>
  <c r="AF24" i="19"/>
  <c r="AG24" i="19"/>
  <c r="S25" i="19"/>
  <c r="T25" i="19"/>
  <c r="U25" i="19"/>
  <c r="V25" i="19"/>
  <c r="W25" i="19"/>
  <c r="X25" i="19"/>
  <c r="Y25" i="19"/>
  <c r="Z25" i="19"/>
  <c r="AA25" i="19"/>
  <c r="AB25" i="19"/>
  <c r="AC25" i="19"/>
  <c r="AD25" i="19"/>
  <c r="AE25" i="19"/>
  <c r="AF25" i="19"/>
  <c r="AG25" i="19"/>
  <c r="S26" i="19"/>
  <c r="T26" i="19"/>
  <c r="U26" i="19"/>
  <c r="V26" i="19"/>
  <c r="W26" i="19"/>
  <c r="X26" i="19"/>
  <c r="Y26" i="19"/>
  <c r="Z26" i="19"/>
  <c r="AA26" i="19"/>
  <c r="AB26" i="19"/>
  <c r="AC26" i="19"/>
  <c r="AD26" i="19"/>
  <c r="AE26" i="19"/>
  <c r="AF26" i="19"/>
  <c r="AG26" i="19"/>
  <c r="DY440" i="1" l="1"/>
  <c r="EC440" i="1" s="1"/>
  <c r="EE440" i="1" s="1"/>
  <c r="O33" i="28"/>
  <c r="L33" i="28" s="1"/>
  <c r="P33" i="28"/>
  <c r="M33" i="28" s="1"/>
  <c r="Q33" i="28"/>
  <c r="N33" i="28" s="1"/>
  <c r="O34" i="28"/>
  <c r="L34" i="28" s="1"/>
  <c r="P34" i="28"/>
  <c r="M34" i="28" s="1"/>
  <c r="Q34" i="28"/>
  <c r="N34" i="28" s="1"/>
  <c r="O35" i="28"/>
  <c r="L35" i="28" s="1"/>
  <c r="P35" i="28"/>
  <c r="M35" i="28" s="1"/>
  <c r="Q35" i="28"/>
  <c r="N35" i="28" s="1"/>
  <c r="O36" i="28"/>
  <c r="L36" i="28" s="1"/>
  <c r="P36" i="28"/>
  <c r="M36" i="28" s="1"/>
  <c r="Q36" i="28"/>
  <c r="N36" i="28" s="1"/>
  <c r="O37" i="28"/>
  <c r="L37" i="28" s="1"/>
  <c r="P37" i="28"/>
  <c r="M37" i="28" s="1"/>
  <c r="Q37" i="28"/>
  <c r="N37" i="28" s="1"/>
  <c r="O38" i="28"/>
  <c r="L38" i="28" s="1"/>
  <c r="P38" i="28"/>
  <c r="M38" i="28" s="1"/>
  <c r="Q38" i="28"/>
  <c r="N38" i="28" s="1"/>
  <c r="O39" i="28"/>
  <c r="L39" i="28" s="1"/>
  <c r="P39" i="28"/>
  <c r="M39" i="28" s="1"/>
  <c r="Q39" i="28"/>
  <c r="N39" i="28" s="1"/>
  <c r="O40" i="28"/>
  <c r="L40" i="28" s="1"/>
  <c r="P40" i="28"/>
  <c r="M40" i="28" s="1"/>
  <c r="Q40" i="28"/>
  <c r="N40" i="28" s="1"/>
  <c r="O41" i="28"/>
  <c r="L41" i="28" s="1"/>
  <c r="P41" i="28"/>
  <c r="M41" i="28" s="1"/>
  <c r="Q41" i="28"/>
  <c r="N41" i="28" s="1"/>
  <c r="O42" i="28"/>
  <c r="L42" i="28" s="1"/>
  <c r="P42" i="28"/>
  <c r="M42" i="28" s="1"/>
  <c r="Q42" i="28"/>
  <c r="N42" i="28" s="1"/>
  <c r="O43" i="28"/>
  <c r="L43" i="28" s="1"/>
  <c r="P43" i="28"/>
  <c r="M43" i="28" s="1"/>
  <c r="Q43" i="28"/>
  <c r="N43" i="28" s="1"/>
  <c r="O44" i="28"/>
  <c r="L44" i="28" s="1"/>
  <c r="P44" i="28"/>
  <c r="M44" i="28" s="1"/>
  <c r="Q44" i="28"/>
  <c r="N44" i="28" s="1"/>
  <c r="O45" i="28"/>
  <c r="L45" i="28" s="1"/>
  <c r="P45" i="28"/>
  <c r="M45" i="28" s="1"/>
  <c r="Q45" i="28"/>
  <c r="N45" i="28" s="1"/>
  <c r="O46" i="28"/>
  <c r="L46" i="28" s="1"/>
  <c r="P46" i="28"/>
  <c r="M46" i="28" s="1"/>
  <c r="Q46" i="28"/>
  <c r="N46" i="28" s="1"/>
  <c r="O47" i="28"/>
  <c r="L47" i="28" s="1"/>
  <c r="P47" i="28"/>
  <c r="M47" i="28" s="1"/>
  <c r="Q47" i="28"/>
  <c r="N47" i="28" s="1"/>
  <c r="O48" i="28"/>
  <c r="L48" i="28" s="1"/>
  <c r="P48" i="28"/>
  <c r="M48" i="28" s="1"/>
  <c r="Q48" i="28"/>
  <c r="N48" i="28" s="1"/>
  <c r="O49" i="28"/>
  <c r="L49" i="28" s="1"/>
  <c r="P49" i="28"/>
  <c r="M49" i="28" s="1"/>
  <c r="Q49" i="28"/>
  <c r="N49" i="28" s="1"/>
  <c r="O50" i="28"/>
  <c r="L50" i="28" s="1"/>
  <c r="P50" i="28"/>
  <c r="M50" i="28" s="1"/>
  <c r="Q50" i="28"/>
  <c r="N50" i="28" s="1"/>
  <c r="O51" i="28"/>
  <c r="L51" i="28" s="1"/>
  <c r="P51" i="28"/>
  <c r="M51" i="28" s="1"/>
  <c r="Q51" i="28"/>
  <c r="N51" i="28" s="1"/>
  <c r="O52" i="28"/>
  <c r="L52" i="28" s="1"/>
  <c r="P52" i="28"/>
  <c r="M52" i="28" s="1"/>
  <c r="Q52" i="28"/>
  <c r="N52" i="28" s="1"/>
  <c r="O53" i="28"/>
  <c r="L53" i="28" s="1"/>
  <c r="P53" i="28"/>
  <c r="M53" i="28" s="1"/>
  <c r="Q53" i="28"/>
  <c r="N53" i="28" s="1"/>
  <c r="O54" i="28"/>
  <c r="L54" i="28" s="1"/>
  <c r="P54" i="28"/>
  <c r="M54" i="28" s="1"/>
  <c r="Q54" i="28"/>
  <c r="N54" i="28" s="1"/>
  <c r="O55" i="28"/>
  <c r="L55" i="28" s="1"/>
  <c r="P55" i="28"/>
  <c r="M55" i="28" s="1"/>
  <c r="Q55" i="28"/>
  <c r="N55" i="28" s="1"/>
  <c r="O56" i="28"/>
  <c r="L56" i="28" s="1"/>
  <c r="P56" i="28"/>
  <c r="M56" i="28" s="1"/>
  <c r="Q56" i="28"/>
  <c r="N56" i="28" s="1"/>
  <c r="O57" i="28"/>
  <c r="L57" i="28" s="1"/>
  <c r="P57" i="28"/>
  <c r="M57" i="28" s="1"/>
  <c r="Q57" i="28"/>
  <c r="N57" i="28" s="1"/>
  <c r="O58" i="28"/>
  <c r="L58" i="28" s="1"/>
  <c r="P58" i="28"/>
  <c r="M58" i="28" s="1"/>
  <c r="Q58" i="28"/>
  <c r="N58" i="28" s="1"/>
  <c r="O59" i="28"/>
  <c r="L59" i="28" s="1"/>
  <c r="P59" i="28"/>
  <c r="M59" i="28" s="1"/>
  <c r="Q59" i="28"/>
  <c r="N59" i="28" s="1"/>
  <c r="O60" i="28"/>
  <c r="L60" i="28" s="1"/>
  <c r="P60" i="28"/>
  <c r="M60" i="28" s="1"/>
  <c r="Q60" i="28"/>
  <c r="N60" i="28" s="1"/>
  <c r="O61" i="28"/>
  <c r="L61" i="28" s="1"/>
  <c r="P61" i="28"/>
  <c r="M61" i="28" s="1"/>
  <c r="Q61" i="28"/>
  <c r="N61" i="28" s="1"/>
  <c r="O62" i="28"/>
  <c r="L62" i="28" s="1"/>
  <c r="P62" i="28"/>
  <c r="M62" i="28" s="1"/>
  <c r="Q62" i="28"/>
  <c r="N62" i="28" s="1"/>
  <c r="O63" i="28"/>
  <c r="L63" i="28" s="1"/>
  <c r="P63" i="28"/>
  <c r="M63" i="28" s="1"/>
  <c r="Q63" i="28"/>
  <c r="N63" i="28" s="1"/>
  <c r="O64" i="28"/>
  <c r="L64" i="28" s="1"/>
  <c r="P64" i="28"/>
  <c r="M64" i="28" s="1"/>
  <c r="Q64" i="28"/>
  <c r="N64" i="28" s="1"/>
  <c r="O65" i="28"/>
  <c r="L65" i="28" s="1"/>
  <c r="P65" i="28"/>
  <c r="M65" i="28" s="1"/>
  <c r="Q65" i="28"/>
  <c r="N65" i="28" s="1"/>
  <c r="O66" i="28"/>
  <c r="L66" i="28" s="1"/>
  <c r="P66" i="28"/>
  <c r="M66" i="28" s="1"/>
  <c r="Q66" i="28"/>
  <c r="N66" i="28" s="1"/>
  <c r="O67" i="28"/>
  <c r="L67" i="28" s="1"/>
  <c r="P67" i="28"/>
  <c r="M67" i="28" s="1"/>
  <c r="Q67" i="28"/>
  <c r="N67" i="28" s="1"/>
  <c r="O68" i="28"/>
  <c r="L68" i="28" s="1"/>
  <c r="P68" i="28"/>
  <c r="M68" i="28" s="1"/>
  <c r="Q68" i="28"/>
  <c r="N68" i="28" s="1"/>
  <c r="O69" i="28"/>
  <c r="L69" i="28" s="1"/>
  <c r="P69" i="28"/>
  <c r="M69" i="28" s="1"/>
  <c r="Q69" i="28"/>
  <c r="N69" i="28" s="1"/>
  <c r="O70" i="28"/>
  <c r="L70" i="28" s="1"/>
  <c r="P70" i="28"/>
  <c r="M70" i="28" s="1"/>
  <c r="Q70" i="28"/>
  <c r="N70" i="28" s="1"/>
  <c r="O71" i="28"/>
  <c r="L71" i="28" s="1"/>
  <c r="P71" i="28"/>
  <c r="M71" i="28" s="1"/>
  <c r="Q71" i="28"/>
  <c r="N71" i="28" s="1"/>
  <c r="O72" i="28"/>
  <c r="L72" i="28" s="1"/>
  <c r="P72" i="28"/>
  <c r="M72" i="28" s="1"/>
  <c r="Q72" i="28"/>
  <c r="N72" i="28" s="1"/>
  <c r="O73" i="28"/>
  <c r="L73" i="28" s="1"/>
  <c r="P73" i="28"/>
  <c r="M73" i="28" s="1"/>
  <c r="Q73" i="28"/>
  <c r="N73" i="28" s="1"/>
  <c r="O74" i="28"/>
  <c r="L74" i="28" s="1"/>
  <c r="P74" i="28"/>
  <c r="M74" i="28" s="1"/>
  <c r="Q74" i="28"/>
  <c r="N74" i="28" s="1"/>
  <c r="O75" i="28"/>
  <c r="L75" i="28" s="1"/>
  <c r="P75" i="28"/>
  <c r="M75" i="28" s="1"/>
  <c r="Q75" i="28"/>
  <c r="N75" i="28" s="1"/>
  <c r="O76" i="28"/>
  <c r="L76" i="28" s="1"/>
  <c r="P76" i="28"/>
  <c r="M76" i="28" s="1"/>
  <c r="Q76" i="28"/>
  <c r="N76" i="28" s="1"/>
  <c r="O77" i="28"/>
  <c r="L77" i="28" s="1"/>
  <c r="P77" i="28"/>
  <c r="M77" i="28" s="1"/>
  <c r="Q77" i="28"/>
  <c r="N77" i="28" s="1"/>
  <c r="O78" i="28"/>
  <c r="L78" i="28" s="1"/>
  <c r="P78" i="28"/>
  <c r="M78" i="28" s="1"/>
  <c r="Q78" i="28"/>
  <c r="N78" i="28" s="1"/>
  <c r="O79" i="28"/>
  <c r="L79" i="28" s="1"/>
  <c r="P79" i="28"/>
  <c r="M79" i="28" s="1"/>
  <c r="Q79" i="28"/>
  <c r="N79" i="28" s="1"/>
  <c r="O80" i="28"/>
  <c r="L80" i="28" s="1"/>
  <c r="P80" i="28"/>
  <c r="M80" i="28" s="1"/>
  <c r="Q80" i="28"/>
  <c r="N80" i="28" s="1"/>
  <c r="O81" i="28"/>
  <c r="L81" i="28" s="1"/>
  <c r="P81" i="28"/>
  <c r="M81" i="28" s="1"/>
  <c r="Q81" i="28"/>
  <c r="N81" i="28" s="1"/>
  <c r="O82" i="28"/>
  <c r="L82" i="28" s="1"/>
  <c r="P82" i="28"/>
  <c r="M82" i="28" s="1"/>
  <c r="Q82" i="28"/>
  <c r="N82" i="28" s="1"/>
  <c r="O83" i="28"/>
  <c r="L83" i="28" s="1"/>
  <c r="P83" i="28"/>
  <c r="M83" i="28" s="1"/>
  <c r="Q83" i="28"/>
  <c r="N83" i="28" s="1"/>
  <c r="O84" i="28"/>
  <c r="L84" i="28" s="1"/>
  <c r="P84" i="28"/>
  <c r="M84" i="28" s="1"/>
  <c r="Q84" i="28"/>
  <c r="N84" i="28" s="1"/>
  <c r="O85" i="28"/>
  <c r="L85" i="28" s="1"/>
  <c r="P85" i="28"/>
  <c r="M85" i="28" s="1"/>
  <c r="Q85" i="28"/>
  <c r="N85" i="28" s="1"/>
  <c r="O87" i="28"/>
  <c r="L87" i="28" s="1"/>
  <c r="P87" i="28"/>
  <c r="M87" i="28" s="1"/>
  <c r="Q87" i="28"/>
  <c r="N87" i="28" s="1"/>
  <c r="O88" i="28"/>
  <c r="L88" i="28" s="1"/>
  <c r="P88" i="28"/>
  <c r="M88" i="28" s="1"/>
  <c r="Q88" i="28"/>
  <c r="N88" i="28" s="1"/>
  <c r="O89" i="28"/>
  <c r="L89" i="28" s="1"/>
  <c r="P89" i="28"/>
  <c r="M89" i="28" s="1"/>
  <c r="Q89" i="28"/>
  <c r="N89" i="28" s="1"/>
  <c r="O90" i="28"/>
  <c r="L90" i="28" s="1"/>
  <c r="P90" i="28"/>
  <c r="M90" i="28" s="1"/>
  <c r="Q90" i="28"/>
  <c r="N90" i="28" s="1"/>
  <c r="O91" i="28"/>
  <c r="L91" i="28" s="1"/>
  <c r="P91" i="28"/>
  <c r="M91" i="28" s="1"/>
  <c r="Q91" i="28"/>
  <c r="N91" i="28" s="1"/>
  <c r="O92" i="28"/>
  <c r="L92" i="28" s="1"/>
  <c r="P92" i="28"/>
  <c r="M92" i="28" s="1"/>
  <c r="Q92" i="28"/>
  <c r="N92" i="28" s="1"/>
  <c r="O93" i="28"/>
  <c r="L93" i="28" s="1"/>
  <c r="P93" i="28"/>
  <c r="M93" i="28" s="1"/>
  <c r="Q93" i="28"/>
  <c r="N93" i="28" s="1"/>
  <c r="O94" i="28"/>
  <c r="L94" i="28" s="1"/>
  <c r="P94" i="28"/>
  <c r="M94" i="28" s="1"/>
  <c r="Q94" i="28"/>
  <c r="N94" i="28" s="1"/>
  <c r="O95" i="28"/>
  <c r="L95" i="28" s="1"/>
  <c r="P95" i="28"/>
  <c r="M95" i="28" s="1"/>
  <c r="Q95" i="28"/>
  <c r="N95" i="28" s="1"/>
  <c r="O96" i="28"/>
  <c r="L96" i="28" s="1"/>
  <c r="P96" i="28"/>
  <c r="M96" i="28" s="1"/>
  <c r="Q96" i="28"/>
  <c r="N96" i="28" s="1"/>
  <c r="O97" i="28"/>
  <c r="L97" i="28" s="1"/>
  <c r="P97" i="28"/>
  <c r="M97" i="28" s="1"/>
  <c r="Q97" i="28"/>
  <c r="N97" i="28" s="1"/>
  <c r="O98" i="28"/>
  <c r="L98" i="28" s="1"/>
  <c r="P98" i="28"/>
  <c r="M98" i="28" s="1"/>
  <c r="Q98" i="28"/>
  <c r="N98" i="28" s="1"/>
  <c r="O99" i="28"/>
  <c r="L99" i="28" s="1"/>
  <c r="P99" i="28"/>
  <c r="M99" i="28" s="1"/>
  <c r="Q99" i="28"/>
  <c r="N99" i="28" s="1"/>
  <c r="P12" i="28"/>
  <c r="M12" i="28" s="1"/>
  <c r="Q32" i="28"/>
  <c r="N32" i="28" s="1"/>
  <c r="P32" i="28"/>
  <c r="M32" i="28" s="1"/>
  <c r="O32" i="28"/>
  <c r="L32" i="28" s="1"/>
  <c r="Q31" i="28"/>
  <c r="N31" i="28" s="1"/>
  <c r="P31" i="28"/>
  <c r="M31" i="28" s="1"/>
  <c r="O31" i="28"/>
  <c r="L31" i="28" s="1"/>
  <c r="Q30" i="28"/>
  <c r="N30" i="28" s="1"/>
  <c r="P30" i="28"/>
  <c r="M30" i="28" s="1"/>
  <c r="O30" i="28"/>
  <c r="L30" i="28" s="1"/>
  <c r="Q29" i="28"/>
  <c r="N29" i="28" s="1"/>
  <c r="P29" i="28"/>
  <c r="M29" i="28" s="1"/>
  <c r="O29" i="28"/>
  <c r="L29" i="28" s="1"/>
  <c r="Q28" i="28"/>
  <c r="N28" i="28" s="1"/>
  <c r="P28" i="28"/>
  <c r="M28" i="28" s="1"/>
  <c r="O28" i="28"/>
  <c r="L28" i="28" s="1"/>
  <c r="Q27" i="28"/>
  <c r="N27" i="28" s="1"/>
  <c r="P27" i="28"/>
  <c r="M27" i="28" s="1"/>
  <c r="O27" i="28"/>
  <c r="L27" i="28" s="1"/>
  <c r="Q26" i="28"/>
  <c r="N26" i="28" s="1"/>
  <c r="P26" i="28"/>
  <c r="M26" i="28" s="1"/>
  <c r="O26" i="28"/>
  <c r="L26" i="28" s="1"/>
  <c r="Q25" i="28"/>
  <c r="N25" i="28" s="1"/>
  <c r="P25" i="28"/>
  <c r="M25" i="28" s="1"/>
  <c r="O25" i="28"/>
  <c r="L25" i="28" s="1"/>
  <c r="Q24" i="28"/>
  <c r="N24" i="28" s="1"/>
  <c r="P24" i="28"/>
  <c r="M24" i="28" s="1"/>
  <c r="O24" i="28"/>
  <c r="L24" i="28" s="1"/>
  <c r="O4" i="28"/>
  <c r="L4" i="28" s="1"/>
  <c r="P4" i="28"/>
  <c r="M4" i="28" s="1"/>
  <c r="Q4" i="28"/>
  <c r="N4" i="28" s="1"/>
  <c r="O5" i="28"/>
  <c r="L5" i="28" s="1"/>
  <c r="P5" i="28"/>
  <c r="M5" i="28" s="1"/>
  <c r="Q5" i="28"/>
  <c r="N5" i="28" s="1"/>
  <c r="O6" i="28"/>
  <c r="L6" i="28" s="1"/>
  <c r="P6" i="28"/>
  <c r="M6" i="28" s="1"/>
  <c r="Q6" i="28"/>
  <c r="N6" i="28" s="1"/>
  <c r="O7" i="28"/>
  <c r="L7" i="28" s="1"/>
  <c r="P7" i="28"/>
  <c r="M7" i="28" s="1"/>
  <c r="Q7" i="28"/>
  <c r="N7" i="28" s="1"/>
  <c r="O8" i="28"/>
  <c r="L8" i="28" s="1"/>
  <c r="P8" i="28"/>
  <c r="M8" i="28" s="1"/>
  <c r="Q8" i="28"/>
  <c r="N8" i="28" s="1"/>
  <c r="O9" i="28"/>
  <c r="L9" i="28" s="1"/>
  <c r="P9" i="28"/>
  <c r="M9" i="28" s="1"/>
  <c r="Q9" i="28"/>
  <c r="N9" i="28" s="1"/>
  <c r="O10" i="28"/>
  <c r="L10" i="28" s="1"/>
  <c r="P10" i="28"/>
  <c r="M10" i="28" s="1"/>
  <c r="Q10" i="28"/>
  <c r="N10" i="28" s="1"/>
  <c r="O11" i="28"/>
  <c r="L11" i="28" s="1"/>
  <c r="P11" i="28"/>
  <c r="M11" i="28" s="1"/>
  <c r="Q11" i="28"/>
  <c r="N11" i="28" s="1"/>
  <c r="O12" i="28"/>
  <c r="L12" i="28" s="1"/>
  <c r="Q12" i="28"/>
  <c r="N12" i="28" s="1"/>
  <c r="O13" i="28"/>
  <c r="L13" i="28" s="1"/>
  <c r="P13" i="28"/>
  <c r="M13" i="28" s="1"/>
  <c r="Q13" i="28"/>
  <c r="N13" i="28" s="1"/>
  <c r="O14" i="28"/>
  <c r="L14" i="28" s="1"/>
  <c r="P14" i="28"/>
  <c r="M14" i="28" s="1"/>
  <c r="Q14" i="28"/>
  <c r="N14" i="28" s="1"/>
  <c r="O15" i="28"/>
  <c r="L15" i="28" s="1"/>
  <c r="P15" i="28"/>
  <c r="M15" i="28" s="1"/>
  <c r="Q15" i="28"/>
  <c r="N15" i="28" s="1"/>
  <c r="O16" i="28"/>
  <c r="L16" i="28" s="1"/>
  <c r="P16" i="28"/>
  <c r="M16" i="28" s="1"/>
  <c r="Q16" i="28"/>
  <c r="N16" i="28" s="1"/>
  <c r="O17" i="28"/>
  <c r="L17" i="28" s="1"/>
  <c r="P17" i="28"/>
  <c r="M17" i="28" s="1"/>
  <c r="Q17" i="28"/>
  <c r="N17" i="28" s="1"/>
  <c r="O18" i="28"/>
  <c r="L18" i="28" s="1"/>
  <c r="P18" i="28"/>
  <c r="M18" i="28" s="1"/>
  <c r="Q18" i="28"/>
  <c r="N18" i="28" s="1"/>
  <c r="O19" i="28"/>
  <c r="L19" i="28" s="1"/>
  <c r="P19" i="28"/>
  <c r="M19" i="28" s="1"/>
  <c r="Q19" i="28"/>
  <c r="N19" i="28" s="1"/>
  <c r="O20" i="28"/>
  <c r="L20" i="28" s="1"/>
  <c r="P20" i="28"/>
  <c r="M20" i="28" s="1"/>
  <c r="Q20" i="28"/>
  <c r="N20" i="28" s="1"/>
  <c r="O21" i="28"/>
  <c r="L21" i="28" s="1"/>
  <c r="P21" i="28"/>
  <c r="M21" i="28" s="1"/>
  <c r="Q21" i="28"/>
  <c r="N21" i="28" s="1"/>
  <c r="O22" i="28"/>
  <c r="L22" i="28" s="1"/>
  <c r="P22" i="28"/>
  <c r="M22" i="28" s="1"/>
  <c r="Q22" i="28"/>
  <c r="N22" i="28" s="1"/>
  <c r="O23" i="28"/>
  <c r="L23" i="28" s="1"/>
  <c r="P23" i="28"/>
  <c r="M23" i="28" s="1"/>
  <c r="Q23" i="28"/>
  <c r="N23" i="28" s="1"/>
  <c r="Q3" i="28"/>
  <c r="N3" i="28" s="1"/>
  <c r="P3" i="28"/>
  <c r="M3" i="28" s="1"/>
  <c r="O3" i="28"/>
  <c r="L3" i="28" s="1"/>
  <c r="P196" i="14" l="1"/>
  <c r="Q196" i="14"/>
  <c r="I196" i="14"/>
  <c r="D81" i="24"/>
  <c r="D80" i="24"/>
  <c r="D79" i="24"/>
  <c r="D78" i="24"/>
  <c r="D77" i="24"/>
  <c r="D76" i="24"/>
  <c r="D75" i="24"/>
  <c r="D74" i="24"/>
  <c r="D73" i="24"/>
  <c r="D72" i="24"/>
  <c r="D71" i="24"/>
  <c r="D70" i="24"/>
  <c r="D69" i="24"/>
  <c r="D68" i="24"/>
  <c r="D67" i="24"/>
  <c r="C67" i="24"/>
  <c r="AJ436" i="1" l="1"/>
  <c r="BW436" i="1"/>
  <c r="AO436" i="1"/>
  <c r="BL436" i="6"/>
  <c r="BM436" i="6"/>
  <c r="BN436" i="6"/>
  <c r="BO436" i="6"/>
  <c r="AJ435" i="1"/>
  <c r="BW435" i="1"/>
  <c r="AO435" i="1"/>
  <c r="BL435" i="6"/>
  <c r="BM435" i="6"/>
  <c r="BN435" i="6"/>
  <c r="BO435" i="6"/>
  <c r="O433" i="1"/>
  <c r="AJ433" i="1"/>
  <c r="BW433" i="1"/>
  <c r="AO433" i="1"/>
  <c r="BL433" i="6"/>
  <c r="BM433" i="6"/>
  <c r="BN433" i="6"/>
  <c r="BO433" i="6"/>
  <c r="CF436" i="1"/>
  <c r="CE436" i="1"/>
  <c r="CH436" i="1" s="1"/>
  <c r="CD436" i="1"/>
  <c r="CC436" i="1"/>
  <c r="CG436" i="1" s="1"/>
  <c r="CF435" i="1"/>
  <c r="CE435" i="1"/>
  <c r="CH435" i="1" s="1"/>
  <c r="CD435" i="1"/>
  <c r="CC435" i="1"/>
  <c r="CG435" i="1" s="1"/>
  <c r="CF433" i="1"/>
  <c r="CE433" i="1"/>
  <c r="CH433" i="1" s="1"/>
  <c r="CD433" i="1"/>
  <c r="CC433" i="1"/>
  <c r="CG433" i="1" s="1"/>
  <c r="DN436" i="1"/>
  <c r="DP436" i="1" s="1"/>
  <c r="DM436" i="1"/>
  <c r="DL436" i="1"/>
  <c r="DO436" i="1" s="1"/>
  <c r="DN435" i="1"/>
  <c r="DP435" i="1" s="1"/>
  <c r="DM435" i="1"/>
  <c r="DL435" i="1"/>
  <c r="DO435" i="1" s="1"/>
  <c r="DN433" i="1"/>
  <c r="DP433" i="1" s="1"/>
  <c r="DM433" i="1"/>
  <c r="DL433" i="1"/>
  <c r="DO433" i="1" s="1"/>
  <c r="DN434" i="1"/>
  <c r="DP434" i="1" s="1"/>
  <c r="DM434" i="1"/>
  <c r="DL434" i="1"/>
  <c r="DO434" i="1" s="1"/>
  <c r="CW434" i="1"/>
  <c r="CF434" i="1"/>
  <c r="CE434" i="1"/>
  <c r="CH434" i="1" s="1"/>
  <c r="CD434" i="1"/>
  <c r="CC434" i="1"/>
  <c r="CG434" i="1" s="1"/>
  <c r="BW434" i="1"/>
  <c r="AO434" i="1"/>
  <c r="O436" i="1"/>
  <c r="O435" i="1"/>
  <c r="L436" i="1"/>
  <c r="EK436" i="1" s="1"/>
  <c r="L435" i="1"/>
  <c r="EK435" i="1" s="1"/>
  <c r="L433" i="1"/>
  <c r="L434" i="1"/>
  <c r="F436" i="1"/>
  <c r="EG436" i="1" s="1"/>
  <c r="F435" i="1"/>
  <c r="EG435" i="1" s="1"/>
  <c r="F433" i="1"/>
  <c r="EG433" i="1" s="1"/>
  <c r="F434" i="1"/>
  <c r="B434" i="1"/>
  <c r="B433" i="1"/>
  <c r="B435" i="1"/>
  <c r="B436" i="1"/>
  <c r="BM434" i="6"/>
  <c r="BN434" i="6"/>
  <c r="BO434" i="6"/>
  <c r="EM435" i="1" l="1"/>
  <c r="EL435" i="1"/>
  <c r="EL436" i="1"/>
  <c r="EM436" i="1"/>
  <c r="EM433" i="1"/>
  <c r="EL433" i="1"/>
  <c r="DV434" i="1"/>
  <c r="BS434" i="1"/>
  <c r="DR435" i="1"/>
  <c r="BS433" i="1"/>
  <c r="AH436" i="1"/>
  <c r="BS436" i="1"/>
  <c r="BL435" i="1"/>
  <c r="BN435" i="1"/>
  <c r="BS435" i="1"/>
  <c r="DR436" i="1"/>
  <c r="DV436" i="1"/>
  <c r="DV435" i="1"/>
  <c r="BL436" i="1"/>
  <c r="AK436" i="1"/>
  <c r="BN436" i="1"/>
  <c r="AH435" i="1"/>
  <c r="AK435" i="1"/>
  <c r="AH433" i="1"/>
  <c r="AK433" i="1"/>
  <c r="DR433" i="1"/>
  <c r="DV433" i="1"/>
  <c r="BL433" i="1"/>
  <c r="BN433" i="1"/>
  <c r="BN434" i="1"/>
  <c r="BL434" i="1"/>
  <c r="CB433" i="1"/>
  <c r="CB436" i="1"/>
  <c r="CB434" i="1"/>
  <c r="EK433" i="1"/>
  <c r="CB435" i="1"/>
  <c r="EG434" i="1"/>
  <c r="EK434" i="1"/>
  <c r="DR434" i="1"/>
  <c r="CU434" i="1" l="1"/>
  <c r="CV434" i="1"/>
  <c r="EL434" i="1"/>
  <c r="EM434" i="1"/>
  <c r="DW436" i="1"/>
  <c r="DY436" i="1" s="1"/>
  <c r="DX436" i="1"/>
  <c r="DZ436" i="1" s="1"/>
  <c r="DW433" i="1"/>
  <c r="DX433" i="1"/>
  <c r="DW435" i="1"/>
  <c r="DX435" i="1"/>
  <c r="DZ435" i="1" s="1"/>
  <c r="ED435" i="1" s="1"/>
  <c r="DW434" i="1"/>
  <c r="DX434" i="1"/>
  <c r="DY435" i="1" l="1"/>
  <c r="EC435" i="1" s="1"/>
  <c r="EE435" i="1" s="1"/>
  <c r="BW415" i="1"/>
  <c r="CC415" i="1"/>
  <c r="CG415" i="1" s="1"/>
  <c r="CD415" i="1"/>
  <c r="CE415" i="1"/>
  <c r="CH415" i="1" s="1"/>
  <c r="CF415" i="1"/>
  <c r="CW368" i="1"/>
  <c r="CW358" i="1"/>
  <c r="CW194" i="1"/>
  <c r="CW135" i="1"/>
  <c r="CW376" i="1"/>
  <c r="CW251" i="1"/>
  <c r="CW11" i="1"/>
  <c r="CY11" i="1" s="1"/>
  <c r="CW59" i="1"/>
  <c r="CW170" i="1"/>
  <c r="CY170" i="1" s="1"/>
  <c r="CW344" i="1"/>
  <c r="CW148" i="1"/>
  <c r="CY148" i="1" s="1"/>
  <c r="CW180" i="1"/>
  <c r="CW203" i="1"/>
  <c r="CW370" i="1"/>
  <c r="CY370" i="1" s="1"/>
  <c r="CW47" i="1"/>
  <c r="CY47" i="1" s="1"/>
  <c r="CW416" i="1"/>
  <c r="CY416" i="1" s="1"/>
  <c r="CW188" i="1"/>
  <c r="CW167" i="1"/>
  <c r="CW341" i="1"/>
  <c r="CY341" i="1" s="1"/>
  <c r="CW377" i="1"/>
  <c r="CW243" i="1"/>
  <c r="CW410" i="1"/>
  <c r="CW230" i="1"/>
  <c r="CW108" i="1"/>
  <c r="CW429" i="1"/>
  <c r="CW300" i="1"/>
  <c r="CY300" i="1" s="1"/>
  <c r="CW316" i="1"/>
  <c r="CW235" i="1"/>
  <c r="CW421" i="1"/>
  <c r="CW206" i="1"/>
  <c r="CY206" i="1" s="1"/>
  <c r="CW398" i="1"/>
  <c r="CW7" i="1"/>
  <c r="CW401" i="1"/>
  <c r="CW153" i="1"/>
  <c r="CW213" i="1"/>
  <c r="CY213" i="1" s="1"/>
  <c r="CW181" i="1"/>
  <c r="CY181" i="1" s="1"/>
  <c r="CW279" i="1"/>
  <c r="CW365" i="1"/>
  <c r="CY365" i="1" s="1"/>
  <c r="CW130" i="1"/>
  <c r="CW225" i="1"/>
  <c r="CW144" i="1"/>
  <c r="CW385" i="1"/>
  <c r="CW182" i="1"/>
  <c r="CW163" i="1"/>
  <c r="CW329" i="1"/>
  <c r="CW310" i="1"/>
  <c r="CY310" i="1" s="1"/>
  <c r="CW271" i="1"/>
  <c r="CW287" i="1"/>
  <c r="CY287" i="1" s="1"/>
  <c r="CW154" i="1"/>
  <c r="CW337" i="1"/>
  <c r="CW83" i="1"/>
  <c r="CY83" i="1" s="1"/>
  <c r="CW313" i="1"/>
  <c r="CW45" i="1"/>
  <c r="CY45" i="1" s="1"/>
  <c r="CW96" i="1"/>
  <c r="CW14" i="1"/>
  <c r="CW60" i="1"/>
  <c r="CY60" i="1" s="1"/>
  <c r="CW88" i="1"/>
  <c r="CY88" i="1" s="1"/>
  <c r="CW217" i="1"/>
  <c r="CW369" i="1"/>
  <c r="CW418" i="1"/>
  <c r="CW90" i="1"/>
  <c r="CW56" i="1"/>
  <c r="CY56" i="1" s="1"/>
  <c r="CW356" i="1"/>
  <c r="CW138" i="1"/>
  <c r="CW211" i="1"/>
  <c r="CY211" i="1" s="1"/>
  <c r="CW85" i="1"/>
  <c r="CY85" i="1" s="1"/>
  <c r="CW24" i="1"/>
  <c r="CY24" i="1" s="1"/>
  <c r="CW294" i="1"/>
  <c r="CW207" i="1"/>
  <c r="CY207" i="1" s="1"/>
  <c r="CW95" i="1"/>
  <c r="CY95" i="1" s="1"/>
  <c r="CW335" i="1"/>
  <c r="CW52" i="1"/>
  <c r="CY52" i="1" s="1"/>
  <c r="CW409" i="1"/>
  <c r="CW21" i="1"/>
  <c r="CY21" i="1" s="1"/>
  <c r="CW363" i="1"/>
  <c r="CW4" i="1"/>
  <c r="CY4" i="1" s="1"/>
  <c r="CW204" i="1"/>
  <c r="CW17" i="1"/>
  <c r="CY17" i="1" s="1"/>
  <c r="CW307" i="1"/>
  <c r="CY307" i="1" s="1"/>
  <c r="CW156" i="1"/>
  <c r="CW353" i="1"/>
  <c r="CW342" i="1"/>
  <c r="CW324" i="1"/>
  <c r="CW43" i="1"/>
  <c r="CW79" i="1"/>
  <c r="CY79" i="1" s="1"/>
  <c r="CW65" i="1"/>
  <c r="CY65" i="1" s="1"/>
  <c r="CW183" i="1"/>
  <c r="CW291" i="1"/>
  <c r="CW357" i="1"/>
  <c r="CW126" i="1"/>
  <c r="CY126" i="1" s="1"/>
  <c r="CW116" i="1"/>
  <c r="CW327" i="1"/>
  <c r="CW121" i="1"/>
  <c r="CW278" i="1"/>
  <c r="CW18" i="1"/>
  <c r="CW54" i="1"/>
  <c r="CW38" i="1"/>
  <c r="CY38" i="1" s="1"/>
  <c r="CW234" i="1"/>
  <c r="CY234" i="1" s="1"/>
  <c r="CW250" i="1"/>
  <c r="CW386" i="1"/>
  <c r="CW245" i="1"/>
  <c r="CW240" i="1"/>
  <c r="CW165" i="1"/>
  <c r="CY165" i="1" s="1"/>
  <c r="CW192" i="1"/>
  <c r="CW349" i="1"/>
  <c r="CW76" i="1"/>
  <c r="CY76" i="1" s="1"/>
  <c r="CW37" i="1"/>
  <c r="CY37" i="1" s="1"/>
  <c r="CW303" i="1"/>
  <c r="CW175" i="1"/>
  <c r="CY175" i="1" s="1"/>
  <c r="CW273" i="1"/>
  <c r="CY273" i="1" s="1"/>
  <c r="CW29" i="1"/>
  <c r="CY29" i="1" s="1"/>
  <c r="CW432" i="1"/>
  <c r="CW423" i="1"/>
  <c r="CW101" i="1"/>
  <c r="CY101" i="1" s="1"/>
  <c r="CW201" i="1"/>
  <c r="CW227" i="1"/>
  <c r="CY227" i="1" s="1"/>
  <c r="CW106" i="1"/>
  <c r="CW73" i="1"/>
  <c r="CY73" i="1" s="1"/>
  <c r="CW393" i="1"/>
  <c r="CW209" i="1"/>
  <c r="CY209" i="1" s="1"/>
  <c r="CW94" i="1"/>
  <c r="CY94" i="1" s="1"/>
  <c r="CW282" i="1"/>
  <c r="CW41" i="1"/>
  <c r="CY41" i="1" s="1"/>
  <c r="CW61" i="1"/>
  <c r="CY61" i="1" s="1"/>
  <c r="CW86" i="1"/>
  <c r="CY86" i="1" s="1"/>
  <c r="CW8" i="1"/>
  <c r="CY8" i="1" s="1"/>
  <c r="CW263" i="1"/>
  <c r="CW5" i="1"/>
  <c r="CY5" i="1" s="1"/>
  <c r="CW78" i="1"/>
  <c r="CY78" i="1" s="1"/>
  <c r="CW53" i="1"/>
  <c r="CY53" i="1" s="1"/>
  <c r="CW89" i="1"/>
  <c r="CY89" i="1" s="1"/>
  <c r="CW20" i="1"/>
  <c r="CY20" i="1" s="1"/>
  <c r="CW214" i="1"/>
  <c r="CY214" i="1" s="1"/>
  <c r="CW68" i="1"/>
  <c r="CY68" i="1" s="1"/>
  <c r="CW28" i="1"/>
  <c r="CY28" i="1" s="1"/>
  <c r="CW212" i="1"/>
  <c r="CY212" i="1" s="1"/>
  <c r="CW13" i="1"/>
  <c r="CY13" i="1" s="1"/>
  <c r="CW255" i="1"/>
  <c r="CW25" i="1"/>
  <c r="CY25" i="1" s="1"/>
  <c r="CW40" i="1"/>
  <c r="CY40" i="1" s="1"/>
  <c r="CW9" i="1"/>
  <c r="CY9" i="1" s="1"/>
  <c r="CW64" i="1"/>
  <c r="CY64" i="1" s="1"/>
  <c r="CW69" i="1"/>
  <c r="CY69" i="1" s="1"/>
  <c r="CW98" i="1"/>
  <c r="CY98" i="1" s="1"/>
  <c r="CW92" i="1"/>
  <c r="CY92" i="1" s="1"/>
  <c r="CW80" i="1"/>
  <c r="CY80" i="1" s="1"/>
  <c r="CW49" i="1"/>
  <c r="CY49" i="1" s="1"/>
  <c r="CW12" i="1"/>
  <c r="CY12" i="1" s="1"/>
  <c r="CW32" i="1"/>
  <c r="CY32" i="1" s="1"/>
  <c r="CW77" i="1"/>
  <c r="CY77" i="1" s="1"/>
  <c r="CW33" i="1"/>
  <c r="CY33" i="1" s="1"/>
  <c r="CW72" i="1"/>
  <c r="CY72" i="1" s="1"/>
  <c r="CW100" i="1"/>
  <c r="CY100" i="1" s="1"/>
  <c r="CW210" i="1"/>
  <c r="CY210" i="1" s="1"/>
  <c r="CW97" i="1"/>
  <c r="CY97" i="1" s="1"/>
  <c r="CW48" i="1"/>
  <c r="CY48" i="1" s="1"/>
  <c r="CW288" i="1"/>
  <c r="CY288" i="1" s="1"/>
  <c r="CW82" i="1"/>
  <c r="CY82" i="1" s="1"/>
  <c r="CW36" i="1"/>
  <c r="CY36" i="1" s="1"/>
  <c r="CW16" i="1"/>
  <c r="CY16" i="1" s="1"/>
  <c r="CW57" i="1"/>
  <c r="CY57" i="1" s="1"/>
  <c r="CW44" i="1"/>
  <c r="CY44" i="1" s="1"/>
  <c r="CW208" i="1"/>
  <c r="CY208" i="1" s="1"/>
  <c r="CW91" i="1"/>
  <c r="CY91" i="1" s="1"/>
  <c r="DL415" i="1"/>
  <c r="DO415" i="1" s="1"/>
  <c r="DM415" i="1"/>
  <c r="DN415" i="1"/>
  <c r="DP415" i="1" s="1"/>
  <c r="DL149" i="1"/>
  <c r="DO149" i="1" s="1"/>
  <c r="DM149" i="1"/>
  <c r="DN149" i="1"/>
  <c r="DP149" i="1" s="1"/>
  <c r="DL304" i="1"/>
  <c r="DO304" i="1" s="1"/>
  <c r="DM304" i="1"/>
  <c r="DN304" i="1"/>
  <c r="DP304" i="1" s="1"/>
  <c r="DL265" i="1"/>
  <c r="DO265" i="1" s="1"/>
  <c r="DM265" i="1"/>
  <c r="DN265" i="1"/>
  <c r="DP265" i="1" s="1"/>
  <c r="DL425" i="1"/>
  <c r="DO425" i="1" s="1"/>
  <c r="DM425" i="1"/>
  <c r="DN425" i="1"/>
  <c r="DP425" i="1" s="1"/>
  <c r="DL247" i="1"/>
  <c r="DO247" i="1" s="1"/>
  <c r="DM247" i="1"/>
  <c r="DN247" i="1"/>
  <c r="DP247" i="1" s="1"/>
  <c r="DL185" i="1"/>
  <c r="DO185" i="1" s="1"/>
  <c r="DM185" i="1"/>
  <c r="DN185" i="1"/>
  <c r="DP185" i="1" s="1"/>
  <c r="DL419" i="1"/>
  <c r="DO419" i="1" s="1"/>
  <c r="DM419" i="1"/>
  <c r="DN419" i="1"/>
  <c r="DP419" i="1" s="1"/>
  <c r="DL395" i="1"/>
  <c r="DO395" i="1" s="1"/>
  <c r="DM395" i="1"/>
  <c r="DN395" i="1"/>
  <c r="DP395" i="1" s="1"/>
  <c r="DL359" i="1"/>
  <c r="DO359" i="1" s="1"/>
  <c r="DM359" i="1"/>
  <c r="DN359" i="1"/>
  <c r="DP359" i="1" s="1"/>
  <c r="DL378" i="1"/>
  <c r="DO378" i="1" s="1"/>
  <c r="DM378" i="1"/>
  <c r="DN378" i="1"/>
  <c r="DP378" i="1" s="1"/>
  <c r="DL387" i="1"/>
  <c r="DO387" i="1" s="1"/>
  <c r="DM387" i="1"/>
  <c r="DN387" i="1"/>
  <c r="DP387" i="1" s="1"/>
  <c r="DL51" i="1"/>
  <c r="DO51" i="1" s="1"/>
  <c r="DM51" i="1"/>
  <c r="DN51" i="1"/>
  <c r="DP51" i="1" s="1"/>
  <c r="DL405" i="1"/>
  <c r="DO405" i="1" s="1"/>
  <c r="DM405" i="1"/>
  <c r="DN405" i="1"/>
  <c r="DP405" i="1" s="1"/>
  <c r="DL196" i="1"/>
  <c r="DO196" i="1" s="1"/>
  <c r="DM196" i="1"/>
  <c r="DN196" i="1"/>
  <c r="DP196" i="1" s="1"/>
  <c r="DL362" i="1"/>
  <c r="DO362" i="1" s="1"/>
  <c r="DM362" i="1"/>
  <c r="DN362" i="1"/>
  <c r="DP362" i="1" s="1"/>
  <c r="DL334" i="1"/>
  <c r="DO334" i="1" s="1"/>
  <c r="DM334" i="1"/>
  <c r="DN334" i="1"/>
  <c r="DP334" i="1" s="1"/>
  <c r="DL427" i="1"/>
  <c r="DO427" i="1" s="1"/>
  <c r="DM427" i="1"/>
  <c r="DN427" i="1"/>
  <c r="DP427" i="1" s="1"/>
  <c r="DL383" i="1"/>
  <c r="DO383" i="1" s="1"/>
  <c r="DM383" i="1"/>
  <c r="DN383" i="1"/>
  <c r="DP383" i="1" s="1"/>
  <c r="DL223" i="1"/>
  <c r="DO223" i="1" s="1"/>
  <c r="DM223" i="1"/>
  <c r="DN223" i="1"/>
  <c r="DP223" i="1" s="1"/>
  <c r="DL414" i="1"/>
  <c r="DO414" i="1" s="1"/>
  <c r="DM414" i="1"/>
  <c r="DN414" i="1"/>
  <c r="DP414" i="1" s="1"/>
  <c r="DL298" i="1"/>
  <c r="DO298" i="1" s="1"/>
  <c r="DM298" i="1"/>
  <c r="DN298" i="1"/>
  <c r="DP298" i="1" s="1"/>
  <c r="DL323" i="1"/>
  <c r="DO323" i="1" s="1"/>
  <c r="DM323" i="1"/>
  <c r="DN323" i="1"/>
  <c r="DP323" i="1" s="1"/>
  <c r="DL115" i="1"/>
  <c r="DO115" i="1" s="1"/>
  <c r="DM115" i="1"/>
  <c r="DN115" i="1"/>
  <c r="DP115" i="1" s="1"/>
  <c r="DL326" i="1"/>
  <c r="DO326" i="1" s="1"/>
  <c r="DM326" i="1"/>
  <c r="DN326" i="1"/>
  <c r="DP326" i="1" s="1"/>
  <c r="DL354" i="1"/>
  <c r="DO354" i="1" s="1"/>
  <c r="DM354" i="1"/>
  <c r="DN354" i="1"/>
  <c r="DP354" i="1" s="1"/>
  <c r="DL292" i="1"/>
  <c r="DO292" i="1" s="1"/>
  <c r="DM292" i="1"/>
  <c r="DN292" i="1"/>
  <c r="DP292" i="1" s="1"/>
  <c r="DL132" i="1"/>
  <c r="DO132" i="1" s="1"/>
  <c r="DM132" i="1"/>
  <c r="DN132" i="1"/>
  <c r="DP132" i="1" s="1"/>
  <c r="DL277" i="1"/>
  <c r="DO277" i="1" s="1"/>
  <c r="DM277" i="1"/>
  <c r="DN277" i="1"/>
  <c r="DP277" i="1" s="1"/>
  <c r="DL389" i="1"/>
  <c r="DO389" i="1" s="1"/>
  <c r="DM389" i="1"/>
  <c r="DN389" i="1"/>
  <c r="DP389" i="1" s="1"/>
  <c r="DL140" i="1"/>
  <c r="DO140" i="1" s="1"/>
  <c r="DM140" i="1"/>
  <c r="DN140" i="1"/>
  <c r="DP140" i="1" s="1"/>
  <c r="DL131" i="1"/>
  <c r="DO131" i="1" s="1"/>
  <c r="DM131" i="1"/>
  <c r="DN131" i="1"/>
  <c r="DP131" i="1" s="1"/>
  <c r="DL408" i="1"/>
  <c r="DO408" i="1" s="1"/>
  <c r="DM408" i="1"/>
  <c r="DN408" i="1"/>
  <c r="DP408" i="1" s="1"/>
  <c r="DL248" i="1"/>
  <c r="DO248" i="1" s="1"/>
  <c r="DM248" i="1"/>
  <c r="DN248" i="1"/>
  <c r="DP248" i="1" s="1"/>
  <c r="DL158" i="1"/>
  <c r="DO158" i="1" s="1"/>
  <c r="DM158" i="1"/>
  <c r="DN158" i="1"/>
  <c r="DP158" i="1" s="1"/>
  <c r="DL229" i="1"/>
  <c r="DO229" i="1" s="1"/>
  <c r="DM229" i="1"/>
  <c r="DN229" i="1"/>
  <c r="DP229" i="1" s="1"/>
  <c r="DL332" i="1"/>
  <c r="DO332" i="1" s="1"/>
  <c r="DM332" i="1"/>
  <c r="DN332" i="1"/>
  <c r="DP332" i="1" s="1"/>
  <c r="DL15" i="1"/>
  <c r="DO15" i="1" s="1"/>
  <c r="DM15" i="1"/>
  <c r="DN15" i="1"/>
  <c r="DP15" i="1" s="1"/>
  <c r="DL340" i="1"/>
  <c r="DO340" i="1" s="1"/>
  <c r="DM340" i="1"/>
  <c r="DN340" i="1"/>
  <c r="DP340" i="1" s="1"/>
  <c r="DL202" i="1"/>
  <c r="DO202" i="1" s="1"/>
  <c r="DM202" i="1"/>
  <c r="DN202" i="1"/>
  <c r="DP202" i="1" s="1"/>
  <c r="DL215" i="1"/>
  <c r="DO215" i="1" s="1"/>
  <c r="DM215" i="1"/>
  <c r="DN215" i="1"/>
  <c r="DP215" i="1" s="1"/>
  <c r="DL125" i="1"/>
  <c r="DO125" i="1" s="1"/>
  <c r="DM125" i="1"/>
  <c r="DN125" i="1"/>
  <c r="DP125" i="1" s="1"/>
  <c r="DL368" i="1"/>
  <c r="DO368" i="1" s="1"/>
  <c r="DM368" i="1"/>
  <c r="DN368" i="1"/>
  <c r="DP368" i="1" s="1"/>
  <c r="DL266" i="1"/>
  <c r="DO266" i="1" s="1"/>
  <c r="DM266" i="1"/>
  <c r="DN266" i="1"/>
  <c r="DP266" i="1" s="1"/>
  <c r="DL284" i="1"/>
  <c r="DO284" i="1" s="1"/>
  <c r="DM284" i="1"/>
  <c r="DN284" i="1"/>
  <c r="DP284" i="1" s="1"/>
  <c r="DL166" i="1"/>
  <c r="DO166" i="1" s="1"/>
  <c r="DM166" i="1"/>
  <c r="DN166" i="1"/>
  <c r="DP166" i="1" s="1"/>
  <c r="DL147" i="1"/>
  <c r="DO147" i="1" s="1"/>
  <c r="DM147" i="1"/>
  <c r="DN147" i="1"/>
  <c r="DP147" i="1" s="1"/>
  <c r="DL155" i="1"/>
  <c r="DO155" i="1" s="1"/>
  <c r="DM155" i="1"/>
  <c r="DN155" i="1"/>
  <c r="DP155" i="1" s="1"/>
  <c r="DL399" i="1"/>
  <c r="DO399" i="1" s="1"/>
  <c r="DM399" i="1"/>
  <c r="DN399" i="1"/>
  <c r="DP399" i="1" s="1"/>
  <c r="DL381" i="1"/>
  <c r="DO381" i="1" s="1"/>
  <c r="DM381" i="1"/>
  <c r="DN381" i="1"/>
  <c r="DP381" i="1" s="1"/>
  <c r="DL396" i="1"/>
  <c r="DO396" i="1" s="1"/>
  <c r="DM396" i="1"/>
  <c r="DN396" i="1"/>
  <c r="DP396" i="1" s="1"/>
  <c r="DL199" i="1"/>
  <c r="DO199" i="1" s="1"/>
  <c r="DM199" i="1"/>
  <c r="DN199" i="1"/>
  <c r="DP199" i="1" s="1"/>
  <c r="DL178" i="1"/>
  <c r="DO178" i="1" s="1"/>
  <c r="DM178" i="1"/>
  <c r="DN178" i="1"/>
  <c r="DP178" i="1" s="1"/>
  <c r="DL358" i="1"/>
  <c r="DO358" i="1" s="1"/>
  <c r="DM358" i="1"/>
  <c r="DN358" i="1"/>
  <c r="DP358" i="1" s="1"/>
  <c r="DL194" i="1"/>
  <c r="DO194" i="1" s="1"/>
  <c r="DM194" i="1"/>
  <c r="DN194" i="1"/>
  <c r="DP194" i="1" s="1"/>
  <c r="DL135" i="1"/>
  <c r="DO135" i="1" s="1"/>
  <c r="DM135" i="1"/>
  <c r="DN135" i="1"/>
  <c r="DP135" i="1" s="1"/>
  <c r="DL63" i="1"/>
  <c r="DO63" i="1" s="1"/>
  <c r="DM63" i="1"/>
  <c r="DN63" i="1"/>
  <c r="DP63" i="1" s="1"/>
  <c r="DL218" i="1"/>
  <c r="DO218" i="1" s="1"/>
  <c r="DM218" i="1"/>
  <c r="DN218" i="1"/>
  <c r="DP218" i="1" s="1"/>
  <c r="DL269" i="1"/>
  <c r="DO269" i="1" s="1"/>
  <c r="DM269" i="1"/>
  <c r="DN269" i="1"/>
  <c r="DP269" i="1" s="1"/>
  <c r="DL372" i="1"/>
  <c r="DO372" i="1" s="1"/>
  <c r="DM372" i="1"/>
  <c r="DN372" i="1"/>
  <c r="DP372" i="1" s="1"/>
  <c r="DL352" i="1"/>
  <c r="DO352" i="1" s="1"/>
  <c r="DM352" i="1"/>
  <c r="DN352" i="1"/>
  <c r="DP352" i="1" s="1"/>
  <c r="DL253" i="1"/>
  <c r="DO253" i="1" s="1"/>
  <c r="DM253" i="1"/>
  <c r="DN253" i="1"/>
  <c r="DP253" i="1" s="1"/>
  <c r="DL308" i="1"/>
  <c r="DO308" i="1" s="1"/>
  <c r="DM308" i="1"/>
  <c r="DN308" i="1"/>
  <c r="DP308" i="1" s="1"/>
  <c r="DL376" i="1"/>
  <c r="DO376" i="1" s="1"/>
  <c r="DM376" i="1"/>
  <c r="DN376" i="1"/>
  <c r="DP376" i="1" s="1"/>
  <c r="DL71" i="1"/>
  <c r="DO71" i="1" s="1"/>
  <c r="DM71" i="1"/>
  <c r="DN71" i="1"/>
  <c r="DP71" i="1" s="1"/>
  <c r="DL39" i="1"/>
  <c r="DO39" i="1" s="1"/>
  <c r="DM39" i="1"/>
  <c r="DN39" i="1"/>
  <c r="DP39" i="1" s="1"/>
  <c r="DL152" i="1"/>
  <c r="DO152" i="1" s="1"/>
  <c r="DM152" i="1"/>
  <c r="DN152" i="1"/>
  <c r="DP152" i="1" s="1"/>
  <c r="DL233" i="1"/>
  <c r="DO233" i="1" s="1"/>
  <c r="DM233" i="1"/>
  <c r="DN233" i="1"/>
  <c r="DP233" i="1" s="1"/>
  <c r="DL27" i="1"/>
  <c r="DO27" i="1" s="1"/>
  <c r="DM27" i="1"/>
  <c r="DN27" i="1"/>
  <c r="DP27" i="1" s="1"/>
  <c r="DL221" i="1"/>
  <c r="DO221" i="1" s="1"/>
  <c r="DM221" i="1"/>
  <c r="DN221" i="1"/>
  <c r="DP221" i="1" s="1"/>
  <c r="DL19" i="1"/>
  <c r="DO19" i="1" s="1"/>
  <c r="DM19" i="1"/>
  <c r="DN19" i="1"/>
  <c r="DP19" i="1" s="1"/>
  <c r="DL364" i="1"/>
  <c r="DO364" i="1" s="1"/>
  <c r="DM364" i="1"/>
  <c r="DN364" i="1"/>
  <c r="DP364" i="1" s="1"/>
  <c r="DL411" i="1"/>
  <c r="DO411" i="1" s="1"/>
  <c r="DM411" i="1"/>
  <c r="DN411" i="1"/>
  <c r="DP411" i="1" s="1"/>
  <c r="DL272" i="1"/>
  <c r="DO272" i="1" s="1"/>
  <c r="DM272" i="1"/>
  <c r="DN272" i="1"/>
  <c r="DP272" i="1" s="1"/>
  <c r="DL241" i="1"/>
  <c r="DO241" i="1" s="1"/>
  <c r="DM241" i="1"/>
  <c r="DN241" i="1"/>
  <c r="DP241" i="1" s="1"/>
  <c r="DL296" i="1"/>
  <c r="DO296" i="1" s="1"/>
  <c r="DM296" i="1"/>
  <c r="DN296" i="1"/>
  <c r="DP296" i="1" s="1"/>
  <c r="DL112" i="1"/>
  <c r="DO112" i="1" s="1"/>
  <c r="DM112" i="1"/>
  <c r="DN112" i="1"/>
  <c r="DP112" i="1" s="1"/>
  <c r="DL319" i="1"/>
  <c r="DO319" i="1" s="1"/>
  <c r="DM319" i="1"/>
  <c r="DN319" i="1"/>
  <c r="DP319" i="1" s="1"/>
  <c r="DL55" i="1"/>
  <c r="DO55" i="1" s="1"/>
  <c r="DM55" i="1"/>
  <c r="DN55" i="1"/>
  <c r="DP55" i="1" s="1"/>
  <c r="DL275" i="1"/>
  <c r="DO275" i="1" s="1"/>
  <c r="DM275" i="1"/>
  <c r="DN275" i="1"/>
  <c r="DP275" i="1" s="1"/>
  <c r="DL127" i="1"/>
  <c r="DO127" i="1" s="1"/>
  <c r="DM127" i="1"/>
  <c r="DN127" i="1"/>
  <c r="DP127" i="1" s="1"/>
  <c r="DL239" i="1"/>
  <c r="DO239" i="1" s="1"/>
  <c r="DM239" i="1"/>
  <c r="DN239" i="1"/>
  <c r="DP239" i="1" s="1"/>
  <c r="DL172" i="1"/>
  <c r="DO172" i="1" s="1"/>
  <c r="DM172" i="1"/>
  <c r="DN172" i="1"/>
  <c r="DP172" i="1" s="1"/>
  <c r="DL262" i="1"/>
  <c r="DO262" i="1" s="1"/>
  <c r="DM262" i="1"/>
  <c r="DN262" i="1"/>
  <c r="DP262" i="1" s="1"/>
  <c r="DL430" i="1"/>
  <c r="DO430" i="1" s="1"/>
  <c r="DM430" i="1"/>
  <c r="DN430" i="1"/>
  <c r="DP430" i="1" s="1"/>
  <c r="DL184" i="1"/>
  <c r="DO184" i="1" s="1"/>
  <c r="DM184" i="1"/>
  <c r="DN184" i="1"/>
  <c r="DP184" i="1" s="1"/>
  <c r="DL346" i="1"/>
  <c r="DO346" i="1" s="1"/>
  <c r="DM346" i="1"/>
  <c r="DN346" i="1"/>
  <c r="DP346" i="1" s="1"/>
  <c r="DL261" i="1"/>
  <c r="DO261" i="1" s="1"/>
  <c r="DM261" i="1"/>
  <c r="DN261" i="1"/>
  <c r="DP261" i="1" s="1"/>
  <c r="DL244" i="1"/>
  <c r="DO244" i="1" s="1"/>
  <c r="DM244" i="1"/>
  <c r="DN244" i="1"/>
  <c r="DP244" i="1" s="1"/>
  <c r="DL173" i="1"/>
  <c r="DO173" i="1" s="1"/>
  <c r="DM173" i="1"/>
  <c r="DN173" i="1"/>
  <c r="DP173" i="1" s="1"/>
  <c r="DL251" i="1"/>
  <c r="DO251" i="1" s="1"/>
  <c r="DM251" i="1"/>
  <c r="DN251" i="1"/>
  <c r="DP251" i="1" s="1"/>
  <c r="DL391" i="1"/>
  <c r="DO391" i="1" s="1"/>
  <c r="DM391" i="1"/>
  <c r="DN391" i="1"/>
  <c r="DP391" i="1" s="1"/>
  <c r="DL290" i="1"/>
  <c r="DO290" i="1" s="1"/>
  <c r="DM290" i="1"/>
  <c r="DN290" i="1"/>
  <c r="DP290" i="1" s="1"/>
  <c r="DL67" i="1"/>
  <c r="DO67" i="1" s="1"/>
  <c r="DM67" i="1"/>
  <c r="DN67" i="1"/>
  <c r="DP67" i="1" s="1"/>
  <c r="DL23" i="1"/>
  <c r="DO23" i="1" s="1"/>
  <c r="DM23" i="1"/>
  <c r="DN23" i="1"/>
  <c r="DP23" i="1" s="1"/>
  <c r="DL417" i="1"/>
  <c r="DO417" i="1" s="1"/>
  <c r="DM417" i="1"/>
  <c r="DN417" i="1"/>
  <c r="DP417" i="1" s="1"/>
  <c r="DL142" i="1"/>
  <c r="DO142" i="1" s="1"/>
  <c r="DM142" i="1"/>
  <c r="DN142" i="1"/>
  <c r="DP142" i="1" s="1"/>
  <c r="DL11" i="1"/>
  <c r="DO11" i="1" s="1"/>
  <c r="DM11" i="1"/>
  <c r="DN11" i="1"/>
  <c r="DP11" i="1" s="1"/>
  <c r="DL59" i="1"/>
  <c r="DO59" i="1" s="1"/>
  <c r="DM59" i="1"/>
  <c r="DN59" i="1"/>
  <c r="DP59" i="1" s="1"/>
  <c r="DL170" i="1"/>
  <c r="DO170" i="1" s="1"/>
  <c r="DM170" i="1"/>
  <c r="DN170" i="1"/>
  <c r="DP170" i="1" s="1"/>
  <c r="DL236" i="1"/>
  <c r="DO236" i="1" s="1"/>
  <c r="DM236" i="1"/>
  <c r="DN236" i="1"/>
  <c r="DP236" i="1" s="1"/>
  <c r="DL190" i="1"/>
  <c r="DO190" i="1" s="1"/>
  <c r="DM190" i="1"/>
  <c r="DN190" i="1"/>
  <c r="DP190" i="1" s="1"/>
  <c r="DL328" i="1"/>
  <c r="DO328" i="1" s="1"/>
  <c r="DM328" i="1"/>
  <c r="DN328" i="1"/>
  <c r="DP328" i="1" s="1"/>
  <c r="DL160" i="1"/>
  <c r="DO160" i="1" s="1"/>
  <c r="DM160" i="1"/>
  <c r="DN160" i="1"/>
  <c r="DP160" i="1" s="1"/>
  <c r="DL344" i="1"/>
  <c r="DO344" i="1" s="1"/>
  <c r="DM344" i="1"/>
  <c r="DN344" i="1"/>
  <c r="DP344" i="1" s="1"/>
  <c r="DL133" i="1"/>
  <c r="DO133" i="1" s="1"/>
  <c r="DM133" i="1"/>
  <c r="DN133" i="1"/>
  <c r="DP133" i="1" s="1"/>
  <c r="DL118" i="1"/>
  <c r="DO118" i="1" s="1"/>
  <c r="DM118" i="1"/>
  <c r="DN118" i="1"/>
  <c r="DP118" i="1" s="1"/>
  <c r="DL314" i="1"/>
  <c r="DO314" i="1" s="1"/>
  <c r="DM314" i="1"/>
  <c r="DN314" i="1"/>
  <c r="DP314" i="1" s="1"/>
  <c r="DL350" i="1"/>
  <c r="DO350" i="1" s="1"/>
  <c r="DM350" i="1"/>
  <c r="DN350" i="1"/>
  <c r="DP350" i="1" s="1"/>
  <c r="DL103" i="1"/>
  <c r="DO103" i="1" s="1"/>
  <c r="DM103" i="1"/>
  <c r="DN103" i="1"/>
  <c r="DP103" i="1" s="1"/>
  <c r="DL148" i="1"/>
  <c r="DO148" i="1" s="1"/>
  <c r="DM148" i="1"/>
  <c r="DN148" i="1"/>
  <c r="DP148" i="1" s="1"/>
  <c r="DL311" i="1"/>
  <c r="DO311" i="1" s="1"/>
  <c r="DM311" i="1"/>
  <c r="DN311" i="1"/>
  <c r="DP311" i="1" s="1"/>
  <c r="DL318" i="1"/>
  <c r="DO318" i="1" s="1"/>
  <c r="DM318" i="1"/>
  <c r="DN318" i="1"/>
  <c r="DP318" i="1" s="1"/>
  <c r="DL176" i="1"/>
  <c r="DO176" i="1" s="1"/>
  <c r="DM176" i="1"/>
  <c r="DN176" i="1"/>
  <c r="DP176" i="1" s="1"/>
  <c r="DL336" i="1"/>
  <c r="DO336" i="1" s="1"/>
  <c r="DM336" i="1"/>
  <c r="DN336" i="1"/>
  <c r="DP336" i="1" s="1"/>
  <c r="DL301" i="1"/>
  <c r="DO301" i="1" s="1"/>
  <c r="DM301" i="1"/>
  <c r="DN301" i="1"/>
  <c r="DP301" i="1" s="1"/>
  <c r="DL252" i="1"/>
  <c r="DO252" i="1" s="1"/>
  <c r="DM252" i="1"/>
  <c r="DN252" i="1"/>
  <c r="DP252" i="1" s="1"/>
  <c r="DL104" i="1"/>
  <c r="DO104" i="1" s="1"/>
  <c r="DM104" i="1"/>
  <c r="DN104" i="1"/>
  <c r="DP104" i="1" s="1"/>
  <c r="DL297" i="1"/>
  <c r="DO297" i="1" s="1"/>
  <c r="DM297" i="1"/>
  <c r="DN297" i="1"/>
  <c r="DP297" i="1" s="1"/>
  <c r="DL143" i="1"/>
  <c r="DO143" i="1" s="1"/>
  <c r="DM143" i="1"/>
  <c r="DN143" i="1"/>
  <c r="DP143" i="1" s="1"/>
  <c r="DL400" i="1"/>
  <c r="DO400" i="1" s="1"/>
  <c r="DM400" i="1"/>
  <c r="DN400" i="1"/>
  <c r="DP400" i="1" s="1"/>
  <c r="DL180" i="1"/>
  <c r="DO180" i="1" s="1"/>
  <c r="DM180" i="1"/>
  <c r="DN180" i="1"/>
  <c r="DP180" i="1" s="1"/>
  <c r="DL347" i="1"/>
  <c r="DO347" i="1" s="1"/>
  <c r="DM347" i="1"/>
  <c r="DN347" i="1"/>
  <c r="DP347" i="1" s="1"/>
  <c r="DL293" i="1"/>
  <c r="DO293" i="1" s="1"/>
  <c r="DM293" i="1"/>
  <c r="DN293" i="1"/>
  <c r="DP293" i="1" s="1"/>
  <c r="DL382" i="1"/>
  <c r="DO382" i="1" s="1"/>
  <c r="DM382" i="1"/>
  <c r="DN382" i="1"/>
  <c r="DP382" i="1" s="1"/>
  <c r="DL203" i="1"/>
  <c r="DO203" i="1" s="1"/>
  <c r="DM203" i="1"/>
  <c r="DN203" i="1"/>
  <c r="DP203" i="1" s="1"/>
  <c r="DL305" i="1"/>
  <c r="DO305" i="1" s="1"/>
  <c r="DM305" i="1"/>
  <c r="DN305" i="1"/>
  <c r="DP305" i="1" s="1"/>
  <c r="DL42" i="1"/>
  <c r="DO42" i="1" s="1"/>
  <c r="DM42" i="1"/>
  <c r="DN42" i="1"/>
  <c r="DP42" i="1" s="1"/>
  <c r="DL285" i="1"/>
  <c r="DO285" i="1" s="1"/>
  <c r="DM285" i="1"/>
  <c r="DN285" i="1"/>
  <c r="DP285" i="1" s="1"/>
  <c r="DL392" i="1"/>
  <c r="DO392" i="1" s="1"/>
  <c r="DM392" i="1"/>
  <c r="DN392" i="1"/>
  <c r="DP392" i="1" s="1"/>
  <c r="DL345" i="1"/>
  <c r="DO345" i="1" s="1"/>
  <c r="DM345" i="1"/>
  <c r="DN345" i="1"/>
  <c r="DP345" i="1" s="1"/>
  <c r="DL232" i="1"/>
  <c r="DO232" i="1" s="1"/>
  <c r="DM232" i="1"/>
  <c r="DN232" i="1"/>
  <c r="DP232" i="1" s="1"/>
  <c r="DL260" i="1"/>
  <c r="DO260" i="1" s="1"/>
  <c r="DM260" i="1"/>
  <c r="DN260" i="1"/>
  <c r="DP260" i="1" s="1"/>
  <c r="DL355" i="1"/>
  <c r="DO355" i="1" s="1"/>
  <c r="DM355" i="1"/>
  <c r="DN355" i="1"/>
  <c r="DP355" i="1" s="1"/>
  <c r="DL371" i="1"/>
  <c r="DO371" i="1" s="1"/>
  <c r="DM371" i="1"/>
  <c r="DN371" i="1"/>
  <c r="DP371" i="1" s="1"/>
  <c r="DL422" i="1"/>
  <c r="DO422" i="1" s="1"/>
  <c r="DM422" i="1"/>
  <c r="DN422" i="1"/>
  <c r="DP422" i="1" s="1"/>
  <c r="DL110" i="1"/>
  <c r="DO110" i="1" s="1"/>
  <c r="DM110" i="1"/>
  <c r="DN110" i="1"/>
  <c r="DP110" i="1" s="1"/>
  <c r="DL407" i="1"/>
  <c r="DO407" i="1" s="1"/>
  <c r="DM407" i="1"/>
  <c r="DN407" i="1"/>
  <c r="DP407" i="1" s="1"/>
  <c r="DL105" i="1"/>
  <c r="DO105" i="1" s="1"/>
  <c r="DM105" i="1"/>
  <c r="DN105" i="1"/>
  <c r="DP105" i="1" s="1"/>
  <c r="DL426" i="1"/>
  <c r="DO426" i="1" s="1"/>
  <c r="DM426" i="1"/>
  <c r="DN426" i="1"/>
  <c r="DP426" i="1" s="1"/>
  <c r="DL317" i="1"/>
  <c r="DO317" i="1" s="1"/>
  <c r="DM317" i="1"/>
  <c r="DN317" i="1"/>
  <c r="DP317" i="1" s="1"/>
  <c r="DL30" i="1"/>
  <c r="DO30" i="1" s="1"/>
  <c r="DM30" i="1"/>
  <c r="DN30" i="1"/>
  <c r="DP30" i="1" s="1"/>
  <c r="DL370" i="1"/>
  <c r="DO370" i="1" s="1"/>
  <c r="DM370" i="1"/>
  <c r="DN370" i="1"/>
  <c r="DP370" i="1" s="1"/>
  <c r="DL35" i="1"/>
  <c r="DO35" i="1" s="1"/>
  <c r="DM35" i="1"/>
  <c r="DN35" i="1"/>
  <c r="DP35" i="1" s="1"/>
  <c r="DL150" i="1"/>
  <c r="DO150" i="1" s="1"/>
  <c r="DM150" i="1"/>
  <c r="DN150" i="1"/>
  <c r="DP150" i="1" s="1"/>
  <c r="DL228" i="1"/>
  <c r="DO228" i="1" s="1"/>
  <c r="DM228" i="1"/>
  <c r="DN228" i="1"/>
  <c r="DP228" i="1" s="1"/>
  <c r="DL47" i="1"/>
  <c r="DO47" i="1" s="1"/>
  <c r="DM47" i="1"/>
  <c r="DN47" i="1"/>
  <c r="DP47" i="1" s="1"/>
  <c r="DL10" i="1"/>
  <c r="DO10" i="1" s="1"/>
  <c r="DM10" i="1"/>
  <c r="DN10" i="1"/>
  <c r="DP10" i="1" s="1"/>
  <c r="DL379" i="1"/>
  <c r="DO379" i="1" s="1"/>
  <c r="DM379" i="1"/>
  <c r="DN379" i="1"/>
  <c r="DP379" i="1" s="1"/>
  <c r="DL315" i="1"/>
  <c r="DO315" i="1" s="1"/>
  <c r="DM315" i="1"/>
  <c r="DN315" i="1"/>
  <c r="DP315" i="1" s="1"/>
  <c r="DL330" i="1"/>
  <c r="DO330" i="1" s="1"/>
  <c r="DM330" i="1"/>
  <c r="DN330" i="1"/>
  <c r="DP330" i="1" s="1"/>
  <c r="DL343" i="1"/>
  <c r="DO343" i="1" s="1"/>
  <c r="DM343" i="1"/>
  <c r="DN343" i="1"/>
  <c r="DP343" i="1" s="1"/>
  <c r="DL117" i="1"/>
  <c r="DO117" i="1" s="1"/>
  <c r="DM117" i="1"/>
  <c r="DN117" i="1"/>
  <c r="DP117" i="1" s="1"/>
  <c r="DL191" i="1"/>
  <c r="DO191" i="1" s="1"/>
  <c r="DM191" i="1"/>
  <c r="DN191" i="1"/>
  <c r="DP191" i="1" s="1"/>
  <c r="DL416" i="1"/>
  <c r="DO416" i="1" s="1"/>
  <c r="DM416" i="1"/>
  <c r="DN416" i="1"/>
  <c r="DP416" i="1" s="1"/>
  <c r="DL373" i="1"/>
  <c r="DO373" i="1" s="1"/>
  <c r="DM373" i="1"/>
  <c r="DN373" i="1"/>
  <c r="DP373" i="1" s="1"/>
  <c r="DL237" i="1"/>
  <c r="DO237" i="1" s="1"/>
  <c r="DM237" i="1"/>
  <c r="DN237" i="1"/>
  <c r="DP237" i="1" s="1"/>
  <c r="DL274" i="1"/>
  <c r="DO274" i="1" s="1"/>
  <c r="DM274" i="1"/>
  <c r="DN274" i="1"/>
  <c r="DP274" i="1" s="1"/>
  <c r="DL366" i="1"/>
  <c r="DO366" i="1" s="1"/>
  <c r="DM366" i="1"/>
  <c r="DN366" i="1"/>
  <c r="DP366" i="1" s="1"/>
  <c r="DL102" i="1"/>
  <c r="DO102" i="1" s="1"/>
  <c r="DM102" i="1"/>
  <c r="DN102" i="1"/>
  <c r="DP102" i="1" s="1"/>
  <c r="DL394" i="1"/>
  <c r="DO394" i="1" s="1"/>
  <c r="DM394" i="1"/>
  <c r="DN394" i="1"/>
  <c r="DP394" i="1" s="1"/>
  <c r="DL162" i="1"/>
  <c r="DO162" i="1" s="1"/>
  <c r="DM162" i="1"/>
  <c r="DN162" i="1"/>
  <c r="DP162" i="1" s="1"/>
  <c r="DL188" i="1"/>
  <c r="DO188" i="1" s="1"/>
  <c r="DM188" i="1"/>
  <c r="DN188" i="1"/>
  <c r="DP188" i="1" s="1"/>
  <c r="DL167" i="1"/>
  <c r="DO167" i="1" s="1"/>
  <c r="DM167" i="1"/>
  <c r="DN167" i="1"/>
  <c r="DP167" i="1" s="1"/>
  <c r="DL428" i="1"/>
  <c r="DO428" i="1" s="1"/>
  <c r="DM428" i="1"/>
  <c r="DN428" i="1"/>
  <c r="DP428" i="1" s="1"/>
  <c r="DL259" i="1"/>
  <c r="DO259" i="1" s="1"/>
  <c r="DM259" i="1"/>
  <c r="DN259" i="1"/>
  <c r="DP259" i="1" s="1"/>
  <c r="DL99" i="1"/>
  <c r="DO99" i="1" s="1"/>
  <c r="DM99" i="1"/>
  <c r="DN99" i="1"/>
  <c r="DP99" i="1" s="1"/>
  <c r="DL341" i="1"/>
  <c r="DO341" i="1" s="1"/>
  <c r="DM341" i="1"/>
  <c r="DN341" i="1"/>
  <c r="DP341" i="1" s="1"/>
  <c r="DL220" i="1"/>
  <c r="DO220" i="1" s="1"/>
  <c r="DM220" i="1"/>
  <c r="DN220" i="1"/>
  <c r="DP220" i="1" s="1"/>
  <c r="DL124" i="1"/>
  <c r="DO124" i="1" s="1"/>
  <c r="DM124" i="1"/>
  <c r="DN124" i="1"/>
  <c r="DP124" i="1" s="1"/>
  <c r="DL113" i="1"/>
  <c r="DO113" i="1" s="1"/>
  <c r="DM113" i="1"/>
  <c r="DN113" i="1"/>
  <c r="DP113" i="1" s="1"/>
  <c r="DL333" i="1"/>
  <c r="DO333" i="1" s="1"/>
  <c r="DM333" i="1"/>
  <c r="DN333" i="1"/>
  <c r="DP333" i="1" s="1"/>
  <c r="DL187" i="1"/>
  <c r="DO187" i="1" s="1"/>
  <c r="DM187" i="1"/>
  <c r="DN187" i="1"/>
  <c r="DP187" i="1" s="1"/>
  <c r="DL377" i="1"/>
  <c r="DO377" i="1" s="1"/>
  <c r="DM377" i="1"/>
  <c r="DN377" i="1"/>
  <c r="DP377" i="1" s="1"/>
  <c r="DL403" i="1"/>
  <c r="DO403" i="1" s="1"/>
  <c r="DM403" i="1"/>
  <c r="DN403" i="1"/>
  <c r="DP403" i="1" s="1"/>
  <c r="DL137" i="1"/>
  <c r="DO137" i="1" s="1"/>
  <c r="DM137" i="1"/>
  <c r="DN137" i="1"/>
  <c r="DP137" i="1" s="1"/>
  <c r="DL375" i="1"/>
  <c r="DO375" i="1" s="1"/>
  <c r="DM375" i="1"/>
  <c r="DN375" i="1"/>
  <c r="DP375" i="1" s="1"/>
  <c r="DL74" i="1"/>
  <c r="DO74" i="1" s="1"/>
  <c r="DM74" i="1"/>
  <c r="DN74" i="1"/>
  <c r="DP74" i="1" s="1"/>
  <c r="DL243" i="1"/>
  <c r="DO243" i="1" s="1"/>
  <c r="DM243" i="1"/>
  <c r="DN243" i="1"/>
  <c r="DP243" i="1" s="1"/>
  <c r="DL312" i="1"/>
  <c r="DO312" i="1" s="1"/>
  <c r="DM312" i="1"/>
  <c r="DN312" i="1"/>
  <c r="DP312" i="1" s="1"/>
  <c r="DL280" i="1"/>
  <c r="DO280" i="1" s="1"/>
  <c r="DM280" i="1"/>
  <c r="DN280" i="1"/>
  <c r="DP280" i="1" s="1"/>
  <c r="DL34" i="1"/>
  <c r="DO34" i="1" s="1"/>
  <c r="DM34" i="1"/>
  <c r="DN34" i="1"/>
  <c r="DP34" i="1" s="1"/>
  <c r="DL410" i="1"/>
  <c r="DO410" i="1" s="1"/>
  <c r="DM410" i="1"/>
  <c r="DN410" i="1"/>
  <c r="DP410" i="1" s="1"/>
  <c r="DL257" i="1"/>
  <c r="DO257" i="1" s="1"/>
  <c r="DM257" i="1"/>
  <c r="DN257" i="1"/>
  <c r="DP257" i="1" s="1"/>
  <c r="DL75" i="1"/>
  <c r="DO75" i="1" s="1"/>
  <c r="DM75" i="1"/>
  <c r="DN75" i="1"/>
  <c r="DP75" i="1" s="1"/>
  <c r="DL230" i="1"/>
  <c r="DO230" i="1" s="1"/>
  <c r="DM230" i="1"/>
  <c r="DN230" i="1"/>
  <c r="DP230" i="1" s="1"/>
  <c r="DL302" i="1"/>
  <c r="DO302" i="1" s="1"/>
  <c r="DM302" i="1"/>
  <c r="DN302" i="1"/>
  <c r="DP302" i="1" s="1"/>
  <c r="DL254" i="1"/>
  <c r="DO254" i="1" s="1"/>
  <c r="DM254" i="1"/>
  <c r="DN254" i="1"/>
  <c r="DP254" i="1" s="1"/>
  <c r="DL108" i="1"/>
  <c r="DO108" i="1" s="1"/>
  <c r="DM108" i="1"/>
  <c r="DN108" i="1"/>
  <c r="DP108" i="1" s="1"/>
  <c r="DL198" i="1"/>
  <c r="DO198" i="1" s="1"/>
  <c r="DM198" i="1"/>
  <c r="DN198" i="1"/>
  <c r="DP198" i="1" s="1"/>
  <c r="DL299" i="1"/>
  <c r="DO299" i="1" s="1"/>
  <c r="DM299" i="1"/>
  <c r="DN299" i="1"/>
  <c r="DP299" i="1" s="1"/>
  <c r="DL231" i="1"/>
  <c r="DO231" i="1" s="1"/>
  <c r="DM231" i="1"/>
  <c r="DN231" i="1"/>
  <c r="DP231" i="1" s="1"/>
  <c r="DL206" i="1"/>
  <c r="DO206" i="1" s="1"/>
  <c r="DM206" i="1"/>
  <c r="DN206" i="1"/>
  <c r="DP206" i="1" s="1"/>
  <c r="DL429" i="1"/>
  <c r="DO429" i="1" s="1"/>
  <c r="DM429" i="1"/>
  <c r="DN429" i="1"/>
  <c r="DP429" i="1" s="1"/>
  <c r="DL300" i="1"/>
  <c r="DO300" i="1" s="1"/>
  <c r="DM300" i="1"/>
  <c r="DN300" i="1"/>
  <c r="DP300" i="1" s="1"/>
  <c r="DL168" i="1"/>
  <c r="DO168" i="1" s="1"/>
  <c r="DM168" i="1"/>
  <c r="DN168" i="1"/>
  <c r="DP168" i="1" s="1"/>
  <c r="DL316" i="1"/>
  <c r="DO316" i="1" s="1"/>
  <c r="DM316" i="1"/>
  <c r="DN316" i="1"/>
  <c r="DP316" i="1" s="1"/>
  <c r="DL235" i="1"/>
  <c r="DO235" i="1" s="1"/>
  <c r="DM235" i="1"/>
  <c r="DN235" i="1"/>
  <c r="DP235" i="1" s="1"/>
  <c r="DL348" i="1"/>
  <c r="DO348" i="1" s="1"/>
  <c r="DM348" i="1"/>
  <c r="DN348" i="1"/>
  <c r="DP348" i="1" s="1"/>
  <c r="DL421" i="1"/>
  <c r="DO421" i="1" s="1"/>
  <c r="DM421" i="1"/>
  <c r="DN421" i="1"/>
  <c r="DP421" i="1" s="1"/>
  <c r="DL388" i="1"/>
  <c r="DO388" i="1" s="1"/>
  <c r="DM388" i="1"/>
  <c r="DN388" i="1"/>
  <c r="DP388" i="1" s="1"/>
  <c r="DL398" i="1"/>
  <c r="DO398" i="1" s="1"/>
  <c r="DM398" i="1"/>
  <c r="DN398" i="1"/>
  <c r="DP398" i="1" s="1"/>
  <c r="DL226" i="1"/>
  <c r="DO226" i="1" s="1"/>
  <c r="DM226" i="1"/>
  <c r="DN226" i="1"/>
  <c r="DP226" i="1" s="1"/>
  <c r="DL114" i="1"/>
  <c r="DO114" i="1" s="1"/>
  <c r="DM114" i="1"/>
  <c r="DN114" i="1"/>
  <c r="DP114" i="1" s="1"/>
  <c r="DL153" i="1"/>
  <c r="DO153" i="1" s="1"/>
  <c r="DM153" i="1"/>
  <c r="DN153" i="1"/>
  <c r="DP153" i="1" s="1"/>
  <c r="DL7" i="1"/>
  <c r="DO7" i="1" s="1"/>
  <c r="DM7" i="1"/>
  <c r="DN7" i="1"/>
  <c r="DP7" i="1" s="1"/>
  <c r="DL283" i="1"/>
  <c r="DO283" i="1" s="1"/>
  <c r="DM283" i="1"/>
  <c r="DN283" i="1"/>
  <c r="DP283" i="1" s="1"/>
  <c r="DL402" i="1"/>
  <c r="DO402" i="1" s="1"/>
  <c r="DM402" i="1"/>
  <c r="DN402" i="1"/>
  <c r="DP402" i="1" s="1"/>
  <c r="DL420" i="1"/>
  <c r="DO420" i="1" s="1"/>
  <c r="DM420" i="1"/>
  <c r="DN420" i="1"/>
  <c r="DP420" i="1" s="1"/>
  <c r="DL401" i="1"/>
  <c r="DO401" i="1" s="1"/>
  <c r="DM401" i="1"/>
  <c r="DN401" i="1"/>
  <c r="DP401" i="1" s="1"/>
  <c r="DL213" i="1"/>
  <c r="DO213" i="1" s="1"/>
  <c r="DM213" i="1"/>
  <c r="DN213" i="1"/>
  <c r="DP213" i="1" s="1"/>
  <c r="DL222" i="1"/>
  <c r="DO222" i="1" s="1"/>
  <c r="DM222" i="1"/>
  <c r="DN222" i="1"/>
  <c r="DP222" i="1" s="1"/>
  <c r="DL193" i="1"/>
  <c r="DO193" i="1" s="1"/>
  <c r="DM193" i="1"/>
  <c r="DN193" i="1"/>
  <c r="DP193" i="1" s="1"/>
  <c r="DL120" i="1"/>
  <c r="DO120" i="1" s="1"/>
  <c r="DM120" i="1"/>
  <c r="DN120" i="1"/>
  <c r="DP120" i="1" s="1"/>
  <c r="DL84" i="1"/>
  <c r="DO84" i="1" s="1"/>
  <c r="DM84" i="1"/>
  <c r="DN84" i="1"/>
  <c r="DP84" i="1" s="1"/>
  <c r="DL309" i="1"/>
  <c r="DO309" i="1" s="1"/>
  <c r="DM309" i="1"/>
  <c r="DN309" i="1"/>
  <c r="DP309" i="1" s="1"/>
  <c r="DL161" i="1"/>
  <c r="DO161" i="1" s="1"/>
  <c r="DM161" i="1"/>
  <c r="DN161" i="1"/>
  <c r="DP161" i="1" s="1"/>
  <c r="DL390" i="1"/>
  <c r="DO390" i="1" s="1"/>
  <c r="DM390" i="1"/>
  <c r="DN390" i="1"/>
  <c r="DP390" i="1" s="1"/>
  <c r="DL151" i="1"/>
  <c r="DO151" i="1" s="1"/>
  <c r="DM151" i="1"/>
  <c r="DN151" i="1"/>
  <c r="DP151" i="1" s="1"/>
  <c r="DL249" i="1"/>
  <c r="DO249" i="1" s="1"/>
  <c r="DM249" i="1"/>
  <c r="DN249" i="1"/>
  <c r="DP249" i="1" s="1"/>
  <c r="DL145" i="1"/>
  <c r="DO145" i="1" s="1"/>
  <c r="DM145" i="1"/>
  <c r="DN145" i="1"/>
  <c r="DP145" i="1" s="1"/>
  <c r="DL360" i="1"/>
  <c r="DO360" i="1" s="1"/>
  <c r="DM360" i="1"/>
  <c r="DN360" i="1"/>
  <c r="DP360" i="1" s="1"/>
  <c r="DL129" i="1"/>
  <c r="DO129" i="1" s="1"/>
  <c r="DM129" i="1"/>
  <c r="DN129" i="1"/>
  <c r="DP129" i="1" s="1"/>
  <c r="DL268" i="1"/>
  <c r="DO268" i="1" s="1"/>
  <c r="DM268" i="1"/>
  <c r="DN268" i="1"/>
  <c r="DP268" i="1" s="1"/>
  <c r="DL361" i="1"/>
  <c r="DO361" i="1" s="1"/>
  <c r="DM361" i="1"/>
  <c r="DN361" i="1"/>
  <c r="DP361" i="1" s="1"/>
  <c r="DL93" i="1"/>
  <c r="DO93" i="1" s="1"/>
  <c r="DM93" i="1"/>
  <c r="DN93" i="1"/>
  <c r="DP93" i="1" s="1"/>
  <c r="DL397" i="1"/>
  <c r="DO397" i="1" s="1"/>
  <c r="DM397" i="1"/>
  <c r="DN397" i="1"/>
  <c r="DP397" i="1" s="1"/>
  <c r="DL242" i="1"/>
  <c r="DO242" i="1" s="1"/>
  <c r="DM242" i="1"/>
  <c r="DN242" i="1"/>
  <c r="DP242" i="1" s="1"/>
  <c r="DL164" i="1"/>
  <c r="DO164" i="1" s="1"/>
  <c r="DM164" i="1"/>
  <c r="DN164" i="1"/>
  <c r="DP164" i="1" s="1"/>
  <c r="DL26" i="1"/>
  <c r="DO26" i="1" s="1"/>
  <c r="DM26" i="1"/>
  <c r="DN26" i="1"/>
  <c r="DP26" i="1" s="1"/>
  <c r="DL31" i="1"/>
  <c r="DO31" i="1" s="1"/>
  <c r="DM31" i="1"/>
  <c r="DN31" i="1"/>
  <c r="DP31" i="1" s="1"/>
  <c r="DL306" i="1"/>
  <c r="DO306" i="1" s="1"/>
  <c r="DM306" i="1"/>
  <c r="DN306" i="1"/>
  <c r="DP306" i="1" s="1"/>
  <c r="DL276" i="1"/>
  <c r="DO276" i="1" s="1"/>
  <c r="DM276" i="1"/>
  <c r="DN276" i="1"/>
  <c r="DP276" i="1" s="1"/>
  <c r="DL181" i="1"/>
  <c r="DO181" i="1" s="1"/>
  <c r="DM181" i="1"/>
  <c r="DN181" i="1"/>
  <c r="DP181" i="1" s="1"/>
  <c r="DL286" i="1"/>
  <c r="DO286" i="1" s="1"/>
  <c r="DM286" i="1"/>
  <c r="DN286" i="1"/>
  <c r="DP286" i="1" s="1"/>
  <c r="DL279" i="1"/>
  <c r="DO279" i="1" s="1"/>
  <c r="DM279" i="1"/>
  <c r="DN279" i="1"/>
  <c r="DP279" i="1" s="1"/>
  <c r="DL365" i="1"/>
  <c r="DO365" i="1" s="1"/>
  <c r="DM365" i="1"/>
  <c r="DN365" i="1"/>
  <c r="DP365" i="1" s="1"/>
  <c r="DL123" i="1"/>
  <c r="DO123" i="1" s="1"/>
  <c r="DM123" i="1"/>
  <c r="DN123" i="1"/>
  <c r="DP123" i="1" s="1"/>
  <c r="DL130" i="1"/>
  <c r="DO130" i="1" s="1"/>
  <c r="DM130" i="1"/>
  <c r="DN130" i="1"/>
  <c r="DP130" i="1" s="1"/>
  <c r="DL406" i="1"/>
  <c r="DO406" i="1" s="1"/>
  <c r="DM406" i="1"/>
  <c r="DN406" i="1"/>
  <c r="DP406" i="1" s="1"/>
  <c r="DL385" i="1"/>
  <c r="DO385" i="1" s="1"/>
  <c r="DM385" i="1"/>
  <c r="DN385" i="1"/>
  <c r="DP385" i="1" s="1"/>
  <c r="DL289" i="1"/>
  <c r="DO289" i="1" s="1"/>
  <c r="DM289" i="1"/>
  <c r="DN289" i="1"/>
  <c r="DP289" i="1" s="1"/>
  <c r="DL62" i="1"/>
  <c r="DO62" i="1" s="1"/>
  <c r="DM62" i="1"/>
  <c r="DN62" i="1"/>
  <c r="DP62" i="1" s="1"/>
  <c r="DL174" i="1"/>
  <c r="DO174" i="1" s="1"/>
  <c r="DM174" i="1"/>
  <c r="DN174" i="1"/>
  <c r="DP174" i="1" s="1"/>
  <c r="DL225" i="1"/>
  <c r="DO225" i="1" s="1"/>
  <c r="DM225" i="1"/>
  <c r="DN225" i="1"/>
  <c r="DP225" i="1" s="1"/>
  <c r="DL144" i="1"/>
  <c r="DO144" i="1" s="1"/>
  <c r="DM144" i="1"/>
  <c r="DN144" i="1"/>
  <c r="DP144" i="1" s="1"/>
  <c r="DL186" i="1"/>
  <c r="DO186" i="1" s="1"/>
  <c r="DM186" i="1"/>
  <c r="DN186" i="1"/>
  <c r="DP186" i="1" s="1"/>
  <c r="DL182" i="1"/>
  <c r="DO182" i="1" s="1"/>
  <c r="DM182" i="1"/>
  <c r="DN182" i="1"/>
  <c r="DP182" i="1" s="1"/>
  <c r="DL70" i="1"/>
  <c r="DO70" i="1" s="1"/>
  <c r="DM70" i="1"/>
  <c r="DN70" i="1"/>
  <c r="DP70" i="1" s="1"/>
  <c r="DL134" i="1"/>
  <c r="DO134" i="1" s="1"/>
  <c r="DM134" i="1"/>
  <c r="DN134" i="1"/>
  <c r="DP134" i="1" s="1"/>
  <c r="DL287" i="1"/>
  <c r="DO287" i="1" s="1"/>
  <c r="DM287" i="1"/>
  <c r="DN287" i="1"/>
  <c r="DP287" i="1" s="1"/>
  <c r="DL216" i="1"/>
  <c r="DO216" i="1" s="1"/>
  <c r="DM216" i="1"/>
  <c r="DN216" i="1"/>
  <c r="DP216" i="1" s="1"/>
  <c r="DL122" i="1"/>
  <c r="DO122" i="1" s="1"/>
  <c r="DM122" i="1"/>
  <c r="DN122" i="1"/>
  <c r="DP122" i="1" s="1"/>
  <c r="DL163" i="1"/>
  <c r="DO163" i="1" s="1"/>
  <c r="DM163" i="1"/>
  <c r="DN163" i="1"/>
  <c r="DP163" i="1" s="1"/>
  <c r="DL189" i="1"/>
  <c r="DO189" i="1" s="1"/>
  <c r="DM189" i="1"/>
  <c r="DN189" i="1"/>
  <c r="DP189" i="1" s="1"/>
  <c r="DL329" i="1"/>
  <c r="DO329" i="1" s="1"/>
  <c r="DM329" i="1"/>
  <c r="DN329" i="1"/>
  <c r="DP329" i="1" s="1"/>
  <c r="DL310" i="1"/>
  <c r="DO310" i="1" s="1"/>
  <c r="DM310" i="1"/>
  <c r="DN310" i="1"/>
  <c r="DP310" i="1" s="1"/>
  <c r="DL404" i="1"/>
  <c r="DO404" i="1" s="1"/>
  <c r="DM404" i="1"/>
  <c r="DN404" i="1"/>
  <c r="DP404" i="1" s="1"/>
  <c r="DL271" i="1"/>
  <c r="DO271" i="1" s="1"/>
  <c r="DM271" i="1"/>
  <c r="DN271" i="1"/>
  <c r="DP271" i="1" s="1"/>
  <c r="DL200" i="1"/>
  <c r="DO200" i="1" s="1"/>
  <c r="DM200" i="1"/>
  <c r="DN200" i="1"/>
  <c r="DP200" i="1" s="1"/>
  <c r="DL205" i="1"/>
  <c r="DO205" i="1" s="1"/>
  <c r="DM205" i="1"/>
  <c r="DN205" i="1"/>
  <c r="DP205" i="1" s="1"/>
  <c r="DL412" i="1"/>
  <c r="DO412" i="1" s="1"/>
  <c r="DM412" i="1"/>
  <c r="DN412" i="1"/>
  <c r="DP412" i="1" s="1"/>
  <c r="DL154" i="1"/>
  <c r="DO154" i="1" s="1"/>
  <c r="DM154" i="1"/>
  <c r="DN154" i="1"/>
  <c r="DP154" i="1" s="1"/>
  <c r="DL351" i="1"/>
  <c r="DO351" i="1" s="1"/>
  <c r="DM351" i="1"/>
  <c r="DN351" i="1"/>
  <c r="DP351" i="1" s="1"/>
  <c r="DL270" i="1"/>
  <c r="DO270" i="1" s="1"/>
  <c r="DM270" i="1"/>
  <c r="DN270" i="1"/>
  <c r="DP270" i="1" s="1"/>
  <c r="DL146" i="1"/>
  <c r="DO146" i="1" s="1"/>
  <c r="DM146" i="1"/>
  <c r="DN146" i="1"/>
  <c r="DP146" i="1" s="1"/>
  <c r="DL58" i="1"/>
  <c r="DO58" i="1" s="1"/>
  <c r="DM58" i="1"/>
  <c r="DN58" i="1"/>
  <c r="DP58" i="1" s="1"/>
  <c r="DL119" i="1"/>
  <c r="DO119" i="1" s="1"/>
  <c r="DM119" i="1"/>
  <c r="DN119" i="1"/>
  <c r="DP119" i="1" s="1"/>
  <c r="DL83" i="1"/>
  <c r="DO83" i="1" s="1"/>
  <c r="DM83" i="1"/>
  <c r="DN83" i="1"/>
  <c r="DP83" i="1" s="1"/>
  <c r="DL281" i="1"/>
  <c r="DO281" i="1" s="1"/>
  <c r="DM281" i="1"/>
  <c r="DN281" i="1"/>
  <c r="DP281" i="1" s="1"/>
  <c r="DL337" i="1"/>
  <c r="DO337" i="1" s="1"/>
  <c r="DM337" i="1"/>
  <c r="DN337" i="1"/>
  <c r="DP337" i="1" s="1"/>
  <c r="DL331" i="1"/>
  <c r="DO331" i="1" s="1"/>
  <c r="DM331" i="1"/>
  <c r="DN331" i="1"/>
  <c r="DP331" i="1" s="1"/>
  <c r="DL45" i="1"/>
  <c r="DO45" i="1" s="1"/>
  <c r="DM45" i="1"/>
  <c r="DN45" i="1"/>
  <c r="DP45" i="1" s="1"/>
  <c r="DL313" i="1"/>
  <c r="DO313" i="1" s="1"/>
  <c r="DM313" i="1"/>
  <c r="DN313" i="1"/>
  <c r="DP313" i="1" s="1"/>
  <c r="DL321" i="1"/>
  <c r="DO321" i="1" s="1"/>
  <c r="DM321" i="1"/>
  <c r="DN321" i="1"/>
  <c r="DP321" i="1" s="1"/>
  <c r="DL171" i="1"/>
  <c r="DO171" i="1" s="1"/>
  <c r="DM171" i="1"/>
  <c r="DN171" i="1"/>
  <c r="DP171" i="1" s="1"/>
  <c r="DL424" i="1"/>
  <c r="DO424" i="1" s="1"/>
  <c r="DM424" i="1"/>
  <c r="DN424" i="1"/>
  <c r="DP424" i="1" s="1"/>
  <c r="DL195" i="1"/>
  <c r="DO195" i="1" s="1"/>
  <c r="DM195" i="1"/>
  <c r="DN195" i="1"/>
  <c r="DP195" i="1" s="1"/>
  <c r="DL96" i="1"/>
  <c r="DO96" i="1" s="1"/>
  <c r="DM96" i="1"/>
  <c r="DN96" i="1"/>
  <c r="DP96" i="1" s="1"/>
  <c r="DL384" i="1"/>
  <c r="DO384" i="1" s="1"/>
  <c r="DM384" i="1"/>
  <c r="DN384" i="1"/>
  <c r="DP384" i="1" s="1"/>
  <c r="DL60" i="1"/>
  <c r="DO60" i="1" s="1"/>
  <c r="DM60" i="1"/>
  <c r="DN60" i="1"/>
  <c r="DP60" i="1" s="1"/>
  <c r="DL88" i="1"/>
  <c r="DO88" i="1" s="1"/>
  <c r="DM88" i="1"/>
  <c r="DN88" i="1"/>
  <c r="DP88" i="1" s="1"/>
  <c r="DL339" i="1"/>
  <c r="DO339" i="1" s="1"/>
  <c r="DM339" i="1"/>
  <c r="DN339" i="1"/>
  <c r="DP339" i="1" s="1"/>
  <c r="DL197" i="1"/>
  <c r="DO197" i="1" s="1"/>
  <c r="DM197" i="1"/>
  <c r="DN197" i="1"/>
  <c r="DP197" i="1" s="1"/>
  <c r="DL325" i="1"/>
  <c r="DO325" i="1" s="1"/>
  <c r="DM325" i="1"/>
  <c r="DN325" i="1"/>
  <c r="DP325" i="1" s="1"/>
  <c r="DL159" i="1"/>
  <c r="DO159" i="1" s="1"/>
  <c r="DM159" i="1"/>
  <c r="DN159" i="1"/>
  <c r="DP159" i="1" s="1"/>
  <c r="DL50" i="1"/>
  <c r="DO50" i="1" s="1"/>
  <c r="DM50" i="1"/>
  <c r="DN50" i="1"/>
  <c r="DP50" i="1" s="1"/>
  <c r="DL14" i="1"/>
  <c r="DO14" i="1" s="1"/>
  <c r="DM14" i="1"/>
  <c r="DN14" i="1"/>
  <c r="DP14" i="1" s="1"/>
  <c r="DL157" i="1"/>
  <c r="DO157" i="1" s="1"/>
  <c r="DM157" i="1"/>
  <c r="DN157" i="1"/>
  <c r="DP157" i="1" s="1"/>
  <c r="DL217" i="1"/>
  <c r="DO217" i="1" s="1"/>
  <c r="DM217" i="1"/>
  <c r="DN217" i="1"/>
  <c r="DP217" i="1" s="1"/>
  <c r="DL413" i="1"/>
  <c r="DO413" i="1" s="1"/>
  <c r="DM413" i="1"/>
  <c r="DN413" i="1"/>
  <c r="DP413" i="1" s="1"/>
  <c r="DL56" i="1"/>
  <c r="DO56" i="1" s="1"/>
  <c r="DM56" i="1"/>
  <c r="DN56" i="1"/>
  <c r="DP56" i="1" s="1"/>
  <c r="DL256" i="1"/>
  <c r="DO256" i="1" s="1"/>
  <c r="DM256" i="1"/>
  <c r="DN256" i="1"/>
  <c r="DP256" i="1" s="1"/>
  <c r="DL369" i="1"/>
  <c r="DO369" i="1" s="1"/>
  <c r="DM369" i="1"/>
  <c r="DN369" i="1"/>
  <c r="DP369" i="1" s="1"/>
  <c r="DL128" i="1"/>
  <c r="DO128" i="1" s="1"/>
  <c r="DM128" i="1"/>
  <c r="DN128" i="1"/>
  <c r="DP128" i="1" s="1"/>
  <c r="DL418" i="1"/>
  <c r="DO418" i="1" s="1"/>
  <c r="DM418" i="1"/>
  <c r="DN418" i="1"/>
  <c r="DP418" i="1" s="1"/>
  <c r="DL90" i="1"/>
  <c r="DO90" i="1" s="1"/>
  <c r="DM90" i="1"/>
  <c r="DN90" i="1"/>
  <c r="DP90" i="1" s="1"/>
  <c r="DL267" i="1"/>
  <c r="DO267" i="1" s="1"/>
  <c r="DM267" i="1"/>
  <c r="DN267" i="1"/>
  <c r="DP267" i="1" s="1"/>
  <c r="DL24" i="1"/>
  <c r="DO24" i="1" s="1"/>
  <c r="DM24" i="1"/>
  <c r="DN24" i="1"/>
  <c r="DP24" i="1" s="1"/>
  <c r="DL177" i="1"/>
  <c r="DO177" i="1" s="1"/>
  <c r="DM177" i="1"/>
  <c r="DN177" i="1"/>
  <c r="DP177" i="1" s="1"/>
  <c r="DL85" i="1"/>
  <c r="DO85" i="1" s="1"/>
  <c r="DM85" i="1"/>
  <c r="DN85" i="1"/>
  <c r="DP85" i="1" s="1"/>
  <c r="DL356" i="1"/>
  <c r="DO356" i="1" s="1"/>
  <c r="DM356" i="1"/>
  <c r="DN356" i="1"/>
  <c r="DP356" i="1" s="1"/>
  <c r="DL95" i="1"/>
  <c r="DO95" i="1" s="1"/>
  <c r="DM95" i="1"/>
  <c r="DN95" i="1"/>
  <c r="DP95" i="1" s="1"/>
  <c r="DL138" i="1"/>
  <c r="DO138" i="1" s="1"/>
  <c r="DM138" i="1"/>
  <c r="DN138" i="1"/>
  <c r="DP138" i="1" s="1"/>
  <c r="DL380" i="1"/>
  <c r="DO380" i="1" s="1"/>
  <c r="DM380" i="1"/>
  <c r="DN380" i="1"/>
  <c r="DP380" i="1" s="1"/>
  <c r="DL52" i="1"/>
  <c r="DO52" i="1" s="1"/>
  <c r="DM52" i="1"/>
  <c r="DN52" i="1"/>
  <c r="DP52" i="1" s="1"/>
  <c r="DL211" i="1"/>
  <c r="DO211" i="1" s="1"/>
  <c r="DM211" i="1"/>
  <c r="DN211" i="1"/>
  <c r="DP211" i="1" s="1"/>
  <c r="DL179" i="1"/>
  <c r="DO179" i="1" s="1"/>
  <c r="DM179" i="1"/>
  <c r="DN179" i="1"/>
  <c r="DP179" i="1" s="1"/>
  <c r="DL21" i="1"/>
  <c r="DO21" i="1" s="1"/>
  <c r="DM21" i="1"/>
  <c r="DN21" i="1"/>
  <c r="DP21" i="1" s="1"/>
  <c r="DL87" i="1"/>
  <c r="DO87" i="1" s="1"/>
  <c r="DM87" i="1"/>
  <c r="DN87" i="1"/>
  <c r="DP87" i="1" s="1"/>
  <c r="DL294" i="1"/>
  <c r="DO294" i="1" s="1"/>
  <c r="DM294" i="1"/>
  <c r="DN294" i="1"/>
  <c r="DP294" i="1" s="1"/>
  <c r="DL136" i="1"/>
  <c r="DO136" i="1" s="1"/>
  <c r="DM136" i="1"/>
  <c r="DN136" i="1"/>
  <c r="DP136" i="1" s="1"/>
  <c r="DL66" i="1"/>
  <c r="DO66" i="1" s="1"/>
  <c r="DM66" i="1"/>
  <c r="DN66" i="1"/>
  <c r="DP66" i="1" s="1"/>
  <c r="DL207" i="1"/>
  <c r="DO207" i="1" s="1"/>
  <c r="DM207" i="1"/>
  <c r="DN207" i="1"/>
  <c r="DP207" i="1" s="1"/>
  <c r="DL4" i="1"/>
  <c r="DO4" i="1" s="1"/>
  <c r="DM4" i="1"/>
  <c r="DN4" i="1"/>
  <c r="DP4" i="1" s="1"/>
  <c r="DL17" i="1"/>
  <c r="DO17" i="1" s="1"/>
  <c r="DM17" i="1"/>
  <c r="DN17" i="1"/>
  <c r="DP17" i="1" s="1"/>
  <c r="DL335" i="1"/>
  <c r="DO335" i="1" s="1"/>
  <c r="DM335" i="1"/>
  <c r="DN335" i="1"/>
  <c r="DP335" i="1" s="1"/>
  <c r="DL258" i="1"/>
  <c r="DO258" i="1" s="1"/>
  <c r="DM258" i="1"/>
  <c r="DN258" i="1"/>
  <c r="DP258" i="1" s="1"/>
  <c r="DL224" i="1"/>
  <c r="DO224" i="1" s="1"/>
  <c r="DM224" i="1"/>
  <c r="DN224" i="1"/>
  <c r="DP224" i="1" s="1"/>
  <c r="DL409" i="1"/>
  <c r="DO409" i="1" s="1"/>
  <c r="DM409" i="1"/>
  <c r="DN409" i="1"/>
  <c r="DP409" i="1" s="1"/>
  <c r="DL338" i="1"/>
  <c r="DO338" i="1" s="1"/>
  <c r="DM338" i="1"/>
  <c r="DN338" i="1"/>
  <c r="DP338" i="1" s="1"/>
  <c r="DL204" i="1"/>
  <c r="DO204" i="1" s="1"/>
  <c r="DM204" i="1"/>
  <c r="DN204" i="1"/>
  <c r="DP204" i="1" s="1"/>
  <c r="DL363" i="1"/>
  <c r="DO363" i="1" s="1"/>
  <c r="DM363" i="1"/>
  <c r="DN363" i="1"/>
  <c r="DP363" i="1" s="1"/>
  <c r="DL79" i="1"/>
  <c r="DO79" i="1" s="1"/>
  <c r="DM79" i="1"/>
  <c r="DN79" i="1"/>
  <c r="DP79" i="1" s="1"/>
  <c r="DL6" i="1"/>
  <c r="DO6" i="1" s="1"/>
  <c r="DM6" i="1"/>
  <c r="DN6" i="1"/>
  <c r="DP6" i="1" s="1"/>
  <c r="DL65" i="1"/>
  <c r="DO65" i="1" s="1"/>
  <c r="DM65" i="1"/>
  <c r="DN65" i="1"/>
  <c r="DP65" i="1" s="1"/>
  <c r="DL307" i="1"/>
  <c r="DO307" i="1" s="1"/>
  <c r="DM307" i="1"/>
  <c r="DN307" i="1"/>
  <c r="DP307" i="1" s="1"/>
  <c r="DL156" i="1"/>
  <c r="DO156" i="1" s="1"/>
  <c r="DM156" i="1"/>
  <c r="DN156" i="1"/>
  <c r="DP156" i="1" s="1"/>
  <c r="DL320" i="1"/>
  <c r="DO320" i="1" s="1"/>
  <c r="DM320" i="1"/>
  <c r="DN320" i="1"/>
  <c r="DP320" i="1" s="1"/>
  <c r="DL353" i="1"/>
  <c r="DO353" i="1" s="1"/>
  <c r="DM353" i="1"/>
  <c r="DN353" i="1"/>
  <c r="DP353" i="1" s="1"/>
  <c r="DL342" i="1"/>
  <c r="DO342" i="1" s="1"/>
  <c r="DM342" i="1"/>
  <c r="DN342" i="1"/>
  <c r="DP342" i="1" s="1"/>
  <c r="DL324" i="1"/>
  <c r="DO324" i="1" s="1"/>
  <c r="DM324" i="1"/>
  <c r="DN324" i="1"/>
  <c r="DP324" i="1" s="1"/>
  <c r="DL141" i="1"/>
  <c r="DO141" i="1" s="1"/>
  <c r="DM141" i="1"/>
  <c r="DN141" i="1"/>
  <c r="DP141" i="1" s="1"/>
  <c r="DL367" i="1"/>
  <c r="DO367" i="1" s="1"/>
  <c r="DM367" i="1"/>
  <c r="DN367" i="1"/>
  <c r="DP367" i="1" s="1"/>
  <c r="DL374" i="1"/>
  <c r="DO374" i="1" s="1"/>
  <c r="DM374" i="1"/>
  <c r="DN374" i="1"/>
  <c r="DP374" i="1" s="1"/>
  <c r="DL183" i="1"/>
  <c r="DO183" i="1" s="1"/>
  <c r="DM183" i="1"/>
  <c r="DN183" i="1"/>
  <c r="DP183" i="1" s="1"/>
  <c r="DL43" i="1"/>
  <c r="DO43" i="1" s="1"/>
  <c r="DM43" i="1"/>
  <c r="DN43" i="1"/>
  <c r="DP43" i="1" s="1"/>
  <c r="DL291" i="1"/>
  <c r="DO291" i="1" s="1"/>
  <c r="DM291" i="1"/>
  <c r="DN291" i="1"/>
  <c r="DP291" i="1" s="1"/>
  <c r="DL357" i="1"/>
  <c r="DO357" i="1" s="1"/>
  <c r="DM357" i="1"/>
  <c r="DN357" i="1"/>
  <c r="DP357" i="1" s="1"/>
  <c r="DL126" i="1"/>
  <c r="DO126" i="1" s="1"/>
  <c r="DM126" i="1"/>
  <c r="DN126" i="1"/>
  <c r="DP126" i="1" s="1"/>
  <c r="DL116" i="1"/>
  <c r="DO116" i="1" s="1"/>
  <c r="DM116" i="1"/>
  <c r="DN116" i="1"/>
  <c r="DP116" i="1" s="1"/>
  <c r="DL327" i="1"/>
  <c r="DO327" i="1" s="1"/>
  <c r="DM327" i="1"/>
  <c r="DN327" i="1"/>
  <c r="DP327" i="1" s="1"/>
  <c r="DL121" i="1"/>
  <c r="DO121" i="1" s="1"/>
  <c r="DM121" i="1"/>
  <c r="DN121" i="1"/>
  <c r="DP121" i="1" s="1"/>
  <c r="DL278" i="1"/>
  <c r="DO278" i="1" s="1"/>
  <c r="DM278" i="1"/>
  <c r="DN278" i="1"/>
  <c r="DP278" i="1" s="1"/>
  <c r="DL295" i="1"/>
  <c r="DO295" i="1" s="1"/>
  <c r="DM295" i="1"/>
  <c r="DN295" i="1"/>
  <c r="DP295" i="1" s="1"/>
  <c r="DL18" i="1"/>
  <c r="DO18" i="1" s="1"/>
  <c r="DM18" i="1"/>
  <c r="DN18" i="1"/>
  <c r="DP18" i="1" s="1"/>
  <c r="DL54" i="1"/>
  <c r="DO54" i="1" s="1"/>
  <c r="DM54" i="1"/>
  <c r="DN54" i="1"/>
  <c r="DP54" i="1" s="1"/>
  <c r="DL38" i="1"/>
  <c r="DO38" i="1" s="1"/>
  <c r="DM38" i="1"/>
  <c r="DN38" i="1"/>
  <c r="DP38" i="1" s="1"/>
  <c r="DL46" i="1"/>
  <c r="DO46" i="1" s="1"/>
  <c r="DM46" i="1"/>
  <c r="DN46" i="1"/>
  <c r="DP46" i="1" s="1"/>
  <c r="DL234" i="1"/>
  <c r="DO234" i="1" s="1"/>
  <c r="DM234" i="1"/>
  <c r="DN234" i="1"/>
  <c r="DP234" i="1" s="1"/>
  <c r="DL238" i="1"/>
  <c r="DO238" i="1" s="1"/>
  <c r="DM238" i="1"/>
  <c r="DN238" i="1"/>
  <c r="DP238" i="1" s="1"/>
  <c r="DL22" i="1"/>
  <c r="DO22" i="1" s="1"/>
  <c r="DM22" i="1"/>
  <c r="DN22" i="1"/>
  <c r="DP22" i="1" s="1"/>
  <c r="DL250" i="1"/>
  <c r="DO250" i="1" s="1"/>
  <c r="DM250" i="1"/>
  <c r="DN250" i="1"/>
  <c r="DP250" i="1" s="1"/>
  <c r="DL431" i="1"/>
  <c r="DO431" i="1" s="1"/>
  <c r="DM431" i="1"/>
  <c r="DN431" i="1"/>
  <c r="DP431" i="1" s="1"/>
  <c r="DL386" i="1"/>
  <c r="DO386" i="1" s="1"/>
  <c r="DM386" i="1"/>
  <c r="DN386" i="1"/>
  <c r="DP386" i="1" s="1"/>
  <c r="DL245" i="1"/>
  <c r="DO245" i="1" s="1"/>
  <c r="DM245" i="1"/>
  <c r="DN245" i="1"/>
  <c r="DP245" i="1" s="1"/>
  <c r="DL169" i="1"/>
  <c r="DO169" i="1" s="1"/>
  <c r="DM169" i="1"/>
  <c r="DN169" i="1"/>
  <c r="DP169" i="1" s="1"/>
  <c r="DL246" i="1"/>
  <c r="DO246" i="1" s="1"/>
  <c r="DM246" i="1"/>
  <c r="DN246" i="1"/>
  <c r="DP246" i="1" s="1"/>
  <c r="DL240" i="1"/>
  <c r="DO240" i="1" s="1"/>
  <c r="DM240" i="1"/>
  <c r="DN240" i="1"/>
  <c r="DP240" i="1" s="1"/>
  <c r="DL165" i="1"/>
  <c r="DO165" i="1" s="1"/>
  <c r="DM165" i="1"/>
  <c r="DN165" i="1"/>
  <c r="DP165" i="1" s="1"/>
  <c r="DL192" i="1"/>
  <c r="DO192" i="1" s="1"/>
  <c r="DM192" i="1"/>
  <c r="DN192" i="1"/>
  <c r="DP192" i="1" s="1"/>
  <c r="DL349" i="1"/>
  <c r="DO349" i="1" s="1"/>
  <c r="DM349" i="1"/>
  <c r="DN349" i="1"/>
  <c r="DP349" i="1" s="1"/>
  <c r="DL76" i="1"/>
  <c r="DO76" i="1" s="1"/>
  <c r="DM76" i="1"/>
  <c r="DN76" i="1"/>
  <c r="DP76" i="1" s="1"/>
  <c r="DL107" i="1"/>
  <c r="DO107" i="1" s="1"/>
  <c r="DM107" i="1"/>
  <c r="DN107" i="1"/>
  <c r="DP107" i="1" s="1"/>
  <c r="DL219" i="1"/>
  <c r="DO219" i="1" s="1"/>
  <c r="DM219" i="1"/>
  <c r="DN219" i="1"/>
  <c r="DP219" i="1" s="1"/>
  <c r="DL37" i="1"/>
  <c r="DO37" i="1" s="1"/>
  <c r="DM37" i="1"/>
  <c r="DN37" i="1"/>
  <c r="DP37" i="1" s="1"/>
  <c r="DL109" i="1"/>
  <c r="DO109" i="1" s="1"/>
  <c r="DM109" i="1"/>
  <c r="DN109" i="1"/>
  <c r="DP109" i="1" s="1"/>
  <c r="DL303" i="1"/>
  <c r="DO303" i="1" s="1"/>
  <c r="DM303" i="1"/>
  <c r="DN303" i="1"/>
  <c r="DP303" i="1" s="1"/>
  <c r="DL175" i="1"/>
  <c r="DO175" i="1" s="1"/>
  <c r="DM175" i="1"/>
  <c r="DN175" i="1"/>
  <c r="DP175" i="1" s="1"/>
  <c r="DL264" i="1"/>
  <c r="DO264" i="1" s="1"/>
  <c r="DM264" i="1"/>
  <c r="DN264" i="1"/>
  <c r="DP264" i="1" s="1"/>
  <c r="DL273" i="1"/>
  <c r="DO273" i="1" s="1"/>
  <c r="DM273" i="1"/>
  <c r="DN273" i="1"/>
  <c r="DP273" i="1" s="1"/>
  <c r="DL111" i="1"/>
  <c r="DO111" i="1" s="1"/>
  <c r="DM111" i="1"/>
  <c r="DN111" i="1"/>
  <c r="DP111" i="1" s="1"/>
  <c r="DL81" i="1"/>
  <c r="DO81" i="1" s="1"/>
  <c r="DM81" i="1"/>
  <c r="DN81" i="1"/>
  <c r="DP81" i="1" s="1"/>
  <c r="DL432" i="1"/>
  <c r="DO432" i="1" s="1"/>
  <c r="DM432" i="1"/>
  <c r="DN432" i="1"/>
  <c r="DP432" i="1" s="1"/>
  <c r="DL29" i="1"/>
  <c r="DO29" i="1" s="1"/>
  <c r="DM29" i="1"/>
  <c r="DN29" i="1"/>
  <c r="DP29" i="1" s="1"/>
  <c r="DL423" i="1"/>
  <c r="DO423" i="1" s="1"/>
  <c r="DM423" i="1"/>
  <c r="DN423" i="1"/>
  <c r="DP423" i="1" s="1"/>
  <c r="DL201" i="1"/>
  <c r="DO201" i="1" s="1"/>
  <c r="DM201" i="1"/>
  <c r="DN201" i="1"/>
  <c r="DP201" i="1" s="1"/>
  <c r="DL101" i="1"/>
  <c r="DO101" i="1" s="1"/>
  <c r="DM101" i="1"/>
  <c r="DN101" i="1"/>
  <c r="DP101" i="1" s="1"/>
  <c r="DL139" i="1"/>
  <c r="DO139" i="1" s="1"/>
  <c r="DM139" i="1"/>
  <c r="DN139" i="1"/>
  <c r="DP139" i="1" s="1"/>
  <c r="DL227" i="1"/>
  <c r="DO227" i="1" s="1"/>
  <c r="DM227" i="1"/>
  <c r="DN227" i="1"/>
  <c r="DP227" i="1" s="1"/>
  <c r="DL106" i="1"/>
  <c r="DO106" i="1" s="1"/>
  <c r="DM106" i="1"/>
  <c r="DN106" i="1"/>
  <c r="DP106" i="1" s="1"/>
  <c r="DL73" i="1"/>
  <c r="DO73" i="1" s="1"/>
  <c r="DM73" i="1"/>
  <c r="DN73" i="1"/>
  <c r="DP73" i="1" s="1"/>
  <c r="DL393" i="1"/>
  <c r="DO393" i="1" s="1"/>
  <c r="DM393" i="1"/>
  <c r="DN393" i="1"/>
  <c r="DP393" i="1" s="1"/>
  <c r="DL94" i="1"/>
  <c r="DO94" i="1" s="1"/>
  <c r="DM94" i="1"/>
  <c r="DN94" i="1"/>
  <c r="DP94" i="1" s="1"/>
  <c r="DL282" i="1"/>
  <c r="DO282" i="1" s="1"/>
  <c r="DM282" i="1"/>
  <c r="DN282" i="1"/>
  <c r="DP282" i="1" s="1"/>
  <c r="DL209" i="1"/>
  <c r="DO209" i="1" s="1"/>
  <c r="DM209" i="1"/>
  <c r="DN209" i="1"/>
  <c r="DP209" i="1" s="1"/>
  <c r="DL41" i="1"/>
  <c r="DO41" i="1" s="1"/>
  <c r="DM41" i="1"/>
  <c r="DN41" i="1"/>
  <c r="DP41" i="1" s="1"/>
  <c r="DL61" i="1"/>
  <c r="DO61" i="1" s="1"/>
  <c r="DM61" i="1"/>
  <c r="DN61" i="1"/>
  <c r="DP61" i="1" s="1"/>
  <c r="DL86" i="1"/>
  <c r="DO86" i="1" s="1"/>
  <c r="DM86" i="1"/>
  <c r="DN86" i="1"/>
  <c r="DP86" i="1" s="1"/>
  <c r="DL8" i="1"/>
  <c r="DO8" i="1" s="1"/>
  <c r="DM8" i="1"/>
  <c r="DN8" i="1"/>
  <c r="DP8" i="1" s="1"/>
  <c r="DL263" i="1"/>
  <c r="DO263" i="1" s="1"/>
  <c r="DM263" i="1"/>
  <c r="DN263" i="1"/>
  <c r="DP263" i="1" s="1"/>
  <c r="DL78" i="1"/>
  <c r="DO78" i="1" s="1"/>
  <c r="DM78" i="1"/>
  <c r="DN78" i="1"/>
  <c r="DP78" i="1" s="1"/>
  <c r="DL5" i="1"/>
  <c r="DO5" i="1" s="1"/>
  <c r="DM5" i="1"/>
  <c r="DN5" i="1"/>
  <c r="DP5" i="1" s="1"/>
  <c r="DL53" i="1"/>
  <c r="DO53" i="1" s="1"/>
  <c r="DM53" i="1"/>
  <c r="DN53" i="1"/>
  <c r="DP53" i="1" s="1"/>
  <c r="DL20" i="1"/>
  <c r="DO20" i="1" s="1"/>
  <c r="DM20" i="1"/>
  <c r="DN20" i="1"/>
  <c r="DP20" i="1" s="1"/>
  <c r="DL89" i="1"/>
  <c r="DO89" i="1" s="1"/>
  <c r="DM89" i="1"/>
  <c r="DN89" i="1"/>
  <c r="DP89" i="1" s="1"/>
  <c r="DL68" i="1"/>
  <c r="DO68" i="1" s="1"/>
  <c r="DM68" i="1"/>
  <c r="DN68" i="1"/>
  <c r="DP68" i="1" s="1"/>
  <c r="DL214" i="1"/>
  <c r="DO214" i="1" s="1"/>
  <c r="DM214" i="1"/>
  <c r="DN214" i="1"/>
  <c r="DP214" i="1" s="1"/>
  <c r="DL28" i="1"/>
  <c r="DO28" i="1" s="1"/>
  <c r="DM28" i="1"/>
  <c r="DN28" i="1"/>
  <c r="DP28" i="1" s="1"/>
  <c r="DL212" i="1"/>
  <c r="DO212" i="1" s="1"/>
  <c r="DM212" i="1"/>
  <c r="DN212" i="1"/>
  <c r="DP212" i="1" s="1"/>
  <c r="DL255" i="1"/>
  <c r="DO255" i="1" s="1"/>
  <c r="DM255" i="1"/>
  <c r="DN255" i="1"/>
  <c r="DP255" i="1" s="1"/>
  <c r="DL25" i="1"/>
  <c r="DO25" i="1" s="1"/>
  <c r="DM25" i="1"/>
  <c r="DN25" i="1"/>
  <c r="DP25" i="1" s="1"/>
  <c r="DL40" i="1"/>
  <c r="DO40" i="1" s="1"/>
  <c r="DM40" i="1"/>
  <c r="DN40" i="1"/>
  <c r="DP40" i="1" s="1"/>
  <c r="DL13" i="1"/>
  <c r="DO13" i="1" s="1"/>
  <c r="DM13" i="1"/>
  <c r="DN13" i="1"/>
  <c r="DP13" i="1" s="1"/>
  <c r="DL69" i="1"/>
  <c r="DO69" i="1" s="1"/>
  <c r="DM69" i="1"/>
  <c r="DN69" i="1"/>
  <c r="DP69" i="1" s="1"/>
  <c r="DL9" i="1"/>
  <c r="DO9" i="1" s="1"/>
  <c r="DM9" i="1"/>
  <c r="DN9" i="1"/>
  <c r="DP9" i="1" s="1"/>
  <c r="DL64" i="1"/>
  <c r="DO64" i="1" s="1"/>
  <c r="DM64" i="1"/>
  <c r="DN64" i="1"/>
  <c r="DP64" i="1" s="1"/>
  <c r="DL98" i="1"/>
  <c r="DO98" i="1" s="1"/>
  <c r="DM98" i="1"/>
  <c r="DN98" i="1"/>
  <c r="DP98" i="1" s="1"/>
  <c r="DL92" i="1"/>
  <c r="DO92" i="1" s="1"/>
  <c r="DM92" i="1"/>
  <c r="DN92" i="1"/>
  <c r="DP92" i="1" s="1"/>
  <c r="DL80" i="1"/>
  <c r="DO80" i="1" s="1"/>
  <c r="DM80" i="1"/>
  <c r="DN80" i="1"/>
  <c r="DP80" i="1" s="1"/>
  <c r="DL49" i="1"/>
  <c r="DO49" i="1" s="1"/>
  <c r="DM49" i="1"/>
  <c r="DN49" i="1"/>
  <c r="DP49" i="1" s="1"/>
  <c r="DL12" i="1"/>
  <c r="DO12" i="1" s="1"/>
  <c r="DM12" i="1"/>
  <c r="DN12" i="1"/>
  <c r="DP12" i="1" s="1"/>
  <c r="DL32" i="1"/>
  <c r="DO32" i="1" s="1"/>
  <c r="DM32" i="1"/>
  <c r="DN32" i="1"/>
  <c r="DP32" i="1" s="1"/>
  <c r="DL77" i="1"/>
  <c r="DO77" i="1" s="1"/>
  <c r="DM77" i="1"/>
  <c r="DN77" i="1"/>
  <c r="DP77" i="1" s="1"/>
  <c r="DL72" i="1"/>
  <c r="DO72" i="1" s="1"/>
  <c r="DM72" i="1"/>
  <c r="DN72" i="1"/>
  <c r="DP72" i="1" s="1"/>
  <c r="DL100" i="1"/>
  <c r="DO100" i="1" s="1"/>
  <c r="DM100" i="1"/>
  <c r="DN100" i="1"/>
  <c r="DP100" i="1" s="1"/>
  <c r="DL210" i="1"/>
  <c r="DO210" i="1" s="1"/>
  <c r="DM210" i="1"/>
  <c r="DN210" i="1"/>
  <c r="DP210" i="1" s="1"/>
  <c r="DL97" i="1"/>
  <c r="DO97" i="1" s="1"/>
  <c r="DM97" i="1"/>
  <c r="DN97" i="1"/>
  <c r="DP97" i="1" s="1"/>
  <c r="DL33" i="1"/>
  <c r="DO33" i="1" s="1"/>
  <c r="DM33" i="1"/>
  <c r="DN33" i="1"/>
  <c r="DP33" i="1" s="1"/>
  <c r="DL48" i="1"/>
  <c r="DO48" i="1" s="1"/>
  <c r="DM48" i="1"/>
  <c r="DN48" i="1"/>
  <c r="DP48" i="1" s="1"/>
  <c r="DL288" i="1"/>
  <c r="DO288" i="1" s="1"/>
  <c r="DM288" i="1"/>
  <c r="DN288" i="1"/>
  <c r="DP288" i="1" s="1"/>
  <c r="DL82" i="1"/>
  <c r="DO82" i="1" s="1"/>
  <c r="DM82" i="1"/>
  <c r="DN82" i="1"/>
  <c r="DP82" i="1" s="1"/>
  <c r="DL36" i="1"/>
  <c r="DO36" i="1" s="1"/>
  <c r="DM36" i="1"/>
  <c r="DN36" i="1"/>
  <c r="DP36" i="1" s="1"/>
  <c r="DL16" i="1"/>
  <c r="DO16" i="1" s="1"/>
  <c r="DM16" i="1"/>
  <c r="DN16" i="1"/>
  <c r="DP16" i="1" s="1"/>
  <c r="DL57" i="1"/>
  <c r="DO57" i="1" s="1"/>
  <c r="DM57" i="1"/>
  <c r="DN57" i="1"/>
  <c r="DP57" i="1" s="1"/>
  <c r="DL44" i="1"/>
  <c r="DO44" i="1" s="1"/>
  <c r="DM44" i="1"/>
  <c r="DN44" i="1"/>
  <c r="DP44" i="1" s="1"/>
  <c r="DL208" i="1"/>
  <c r="DO208" i="1" s="1"/>
  <c r="DM208" i="1"/>
  <c r="DN208" i="1"/>
  <c r="DP208" i="1" s="1"/>
  <c r="DL91" i="1"/>
  <c r="DO91" i="1" s="1"/>
  <c r="DM91" i="1"/>
  <c r="DN91" i="1"/>
  <c r="DP91" i="1" s="1"/>
  <c r="DN322" i="1"/>
  <c r="DP322" i="1" s="1"/>
  <c r="DM322" i="1"/>
  <c r="DL322" i="1"/>
  <c r="DO322" i="1" s="1"/>
  <c r="B217" i="1"/>
  <c r="BL4" i="6" l="1"/>
  <c r="BL5" i="6"/>
  <c r="BL6" i="6"/>
  <c r="BL7" i="6"/>
  <c r="BL8" i="6"/>
  <c r="BL9" i="6"/>
  <c r="BL10" i="6"/>
  <c r="BL11" i="6"/>
  <c r="BL12" i="6"/>
  <c r="BL13" i="6"/>
  <c r="BL14" i="6"/>
  <c r="BL15" i="6"/>
  <c r="BL16" i="6"/>
  <c r="BL17" i="6"/>
  <c r="BL18" i="6"/>
  <c r="BL19" i="6"/>
  <c r="BL20" i="6"/>
  <c r="BL21" i="6"/>
  <c r="BL22" i="6"/>
  <c r="BL23" i="6"/>
  <c r="BL24" i="6"/>
  <c r="BL25" i="6"/>
  <c r="BL26" i="6"/>
  <c r="BL27" i="6"/>
  <c r="BL28" i="6"/>
  <c r="BL29" i="6"/>
  <c r="BL30" i="6"/>
  <c r="BL31" i="6"/>
  <c r="BL32" i="6"/>
  <c r="BL33" i="6"/>
  <c r="BL34" i="6"/>
  <c r="BL35" i="6"/>
  <c r="BL36" i="6"/>
  <c r="BL37" i="6"/>
  <c r="BL38" i="6"/>
  <c r="BL39" i="6"/>
  <c r="BL40" i="6"/>
  <c r="BL41" i="6"/>
  <c r="BL42" i="6"/>
  <c r="BL43" i="6"/>
  <c r="BL44" i="6"/>
  <c r="BL45" i="6"/>
  <c r="BL46" i="6"/>
  <c r="BL47" i="6"/>
  <c r="BL48" i="6"/>
  <c r="BL49" i="6"/>
  <c r="BL50" i="6"/>
  <c r="BL51" i="6"/>
  <c r="BL52" i="6"/>
  <c r="BL53" i="6"/>
  <c r="BL54" i="6"/>
  <c r="BL55" i="6"/>
  <c r="BL56" i="6"/>
  <c r="BL57" i="6"/>
  <c r="BL58" i="6"/>
  <c r="BL59" i="6"/>
  <c r="BL60" i="6"/>
  <c r="BL61" i="6"/>
  <c r="BL62" i="6"/>
  <c r="BL63" i="6"/>
  <c r="BL64" i="6"/>
  <c r="BL65" i="6"/>
  <c r="BL66" i="6"/>
  <c r="BL67" i="6"/>
  <c r="BL68" i="6"/>
  <c r="BL69" i="6"/>
  <c r="BL70" i="6"/>
  <c r="BL71" i="6"/>
  <c r="BL72" i="6"/>
  <c r="BL73" i="6"/>
  <c r="BL74" i="6"/>
  <c r="BL75" i="6"/>
  <c r="BL76" i="6"/>
  <c r="BL77" i="6"/>
  <c r="BL78" i="6"/>
  <c r="BL79" i="6"/>
  <c r="BL80" i="6"/>
  <c r="BL81" i="6"/>
  <c r="BL82" i="6"/>
  <c r="BL83" i="6"/>
  <c r="BL84" i="6"/>
  <c r="BL85" i="6"/>
  <c r="BL86" i="6"/>
  <c r="BL87" i="6"/>
  <c r="BL88" i="6"/>
  <c r="BL89" i="6"/>
  <c r="BL90" i="6"/>
  <c r="BL91" i="6"/>
  <c r="BL92" i="6"/>
  <c r="BL93" i="6"/>
  <c r="BL94" i="6"/>
  <c r="BL95" i="6"/>
  <c r="BL96" i="6"/>
  <c r="BL97" i="6"/>
  <c r="BL98" i="6"/>
  <c r="BL99" i="6"/>
  <c r="BL100" i="6"/>
  <c r="BL101" i="6"/>
  <c r="BL102" i="6"/>
  <c r="BL103" i="6"/>
  <c r="BL104" i="6"/>
  <c r="BL105" i="6"/>
  <c r="BL106" i="6"/>
  <c r="BL107" i="6"/>
  <c r="BL108" i="6"/>
  <c r="BL109" i="6"/>
  <c r="BL110" i="6"/>
  <c r="BL111" i="6"/>
  <c r="BL112" i="6"/>
  <c r="BL113" i="6"/>
  <c r="BL114" i="6"/>
  <c r="BL115" i="6"/>
  <c r="BL116" i="6"/>
  <c r="BL117" i="6"/>
  <c r="BL118" i="6"/>
  <c r="BL119" i="6"/>
  <c r="BL120" i="6"/>
  <c r="BL121" i="6"/>
  <c r="BL122" i="6"/>
  <c r="BL123" i="6"/>
  <c r="BL124" i="6"/>
  <c r="BL125" i="6"/>
  <c r="BL126" i="6"/>
  <c r="BL127" i="6"/>
  <c r="BL128" i="6"/>
  <c r="BL129" i="6"/>
  <c r="BL130" i="6"/>
  <c r="BL131" i="6"/>
  <c r="BL132" i="6"/>
  <c r="BL133" i="6"/>
  <c r="BL134" i="6"/>
  <c r="BL135" i="6"/>
  <c r="BL136" i="6"/>
  <c r="BL137" i="6"/>
  <c r="BL138" i="6"/>
  <c r="BL139" i="6"/>
  <c r="BL140" i="6"/>
  <c r="BL141" i="6"/>
  <c r="BL142" i="6"/>
  <c r="BL143" i="6"/>
  <c r="BL144" i="6"/>
  <c r="BL145" i="6"/>
  <c r="BL146" i="6"/>
  <c r="BL147" i="6"/>
  <c r="BL148" i="6"/>
  <c r="BL149" i="6"/>
  <c r="BL150" i="6"/>
  <c r="BL151" i="6"/>
  <c r="BL152" i="6"/>
  <c r="BL153" i="6"/>
  <c r="BL154" i="6"/>
  <c r="BL155" i="6"/>
  <c r="BL156" i="6"/>
  <c r="BL157" i="6"/>
  <c r="BL158" i="6"/>
  <c r="BL159" i="6"/>
  <c r="BL160" i="6"/>
  <c r="BL161" i="6"/>
  <c r="BL162" i="6"/>
  <c r="BL163" i="6"/>
  <c r="BL164" i="6"/>
  <c r="BL165" i="6"/>
  <c r="BL166" i="6"/>
  <c r="BL167" i="6"/>
  <c r="BL168" i="6"/>
  <c r="BL169" i="6"/>
  <c r="BL170" i="6"/>
  <c r="BL171" i="6"/>
  <c r="BL172" i="6"/>
  <c r="BL173" i="6"/>
  <c r="BL174" i="6"/>
  <c r="BL175" i="6"/>
  <c r="BL176" i="6"/>
  <c r="BL177" i="6"/>
  <c r="BL178" i="6"/>
  <c r="BL179" i="6"/>
  <c r="BL180" i="6"/>
  <c r="BL181" i="6"/>
  <c r="BL182" i="6"/>
  <c r="BL183" i="6"/>
  <c r="BL184" i="6"/>
  <c r="BL185" i="6"/>
  <c r="BL186" i="6"/>
  <c r="BL187" i="6"/>
  <c r="BL188" i="6"/>
  <c r="BL189" i="6"/>
  <c r="BL190" i="6"/>
  <c r="BL191" i="6"/>
  <c r="BL192" i="6"/>
  <c r="BL193" i="6"/>
  <c r="BL194" i="6"/>
  <c r="BL195" i="6"/>
  <c r="BL196" i="6"/>
  <c r="BL197" i="6"/>
  <c r="BL198" i="6"/>
  <c r="BL199" i="6"/>
  <c r="BL200" i="6"/>
  <c r="BL201" i="6"/>
  <c r="BL202" i="6"/>
  <c r="BL203" i="6"/>
  <c r="BL204" i="6"/>
  <c r="BL205" i="6"/>
  <c r="BL206" i="6"/>
  <c r="BL207" i="6"/>
  <c r="BL208" i="6"/>
  <c r="BL209" i="6"/>
  <c r="BL210" i="6"/>
  <c r="BL211" i="6"/>
  <c r="BL212" i="6"/>
  <c r="BL213" i="6"/>
  <c r="BL214" i="6"/>
  <c r="BL215" i="6"/>
  <c r="BL216" i="6"/>
  <c r="BL217" i="6"/>
  <c r="BL218" i="6"/>
  <c r="BL219" i="6"/>
  <c r="BL220" i="6"/>
  <c r="BL221" i="6"/>
  <c r="BL222" i="6"/>
  <c r="BL223" i="6"/>
  <c r="BL224" i="6"/>
  <c r="BL225" i="6"/>
  <c r="BL226" i="6"/>
  <c r="BL227" i="6"/>
  <c r="BL228" i="6"/>
  <c r="BL229" i="6"/>
  <c r="BL230" i="6"/>
  <c r="BL231" i="6"/>
  <c r="BL232" i="6"/>
  <c r="BL233" i="6"/>
  <c r="BL234" i="6"/>
  <c r="BL235" i="6"/>
  <c r="BL236" i="6"/>
  <c r="BL237" i="6"/>
  <c r="BL238" i="6"/>
  <c r="BL239" i="6"/>
  <c r="BL240" i="6"/>
  <c r="BL241" i="6"/>
  <c r="BL242" i="6"/>
  <c r="BL243" i="6"/>
  <c r="BL244" i="6"/>
  <c r="BL245" i="6"/>
  <c r="BL246" i="6"/>
  <c r="BL247" i="6"/>
  <c r="BL248" i="6"/>
  <c r="BL249" i="6"/>
  <c r="BL250" i="6"/>
  <c r="BL251" i="6"/>
  <c r="BL252" i="6"/>
  <c r="BL253" i="6"/>
  <c r="BL254" i="6"/>
  <c r="BL255" i="6"/>
  <c r="BL256" i="6"/>
  <c r="BL257" i="6"/>
  <c r="BL258" i="6"/>
  <c r="BL259" i="6"/>
  <c r="BL260" i="6"/>
  <c r="BL261" i="6"/>
  <c r="BL262" i="6"/>
  <c r="BL263" i="6"/>
  <c r="BL264" i="6"/>
  <c r="BL265" i="6"/>
  <c r="BL266" i="6"/>
  <c r="BL267" i="6"/>
  <c r="BL268" i="6"/>
  <c r="BL269" i="6"/>
  <c r="BL270" i="6"/>
  <c r="BL271" i="6"/>
  <c r="BL272" i="6"/>
  <c r="BL273" i="6"/>
  <c r="BL274" i="6"/>
  <c r="BL275" i="6"/>
  <c r="BL276" i="6"/>
  <c r="BL277" i="6"/>
  <c r="BL278" i="6"/>
  <c r="BL279" i="6"/>
  <c r="BL280" i="6"/>
  <c r="BL281" i="6"/>
  <c r="BL282" i="6"/>
  <c r="BL283" i="6"/>
  <c r="BL284" i="6"/>
  <c r="BL285" i="6"/>
  <c r="BL286" i="6"/>
  <c r="BL287" i="6"/>
  <c r="BL288" i="6"/>
  <c r="BL289" i="6"/>
  <c r="BL290" i="6"/>
  <c r="BL291" i="6"/>
  <c r="BL292" i="6"/>
  <c r="BL293" i="6"/>
  <c r="BL294" i="6"/>
  <c r="BL295" i="6"/>
  <c r="BL296" i="6"/>
  <c r="BL297" i="6"/>
  <c r="BL298" i="6"/>
  <c r="BL299" i="6"/>
  <c r="BL300" i="6"/>
  <c r="BL301" i="6"/>
  <c r="BL302" i="6"/>
  <c r="BL303" i="6"/>
  <c r="BL304" i="6"/>
  <c r="BL305" i="6"/>
  <c r="BL306" i="6"/>
  <c r="BL307" i="6"/>
  <c r="BL308" i="6"/>
  <c r="BL309" i="6"/>
  <c r="BL310" i="6"/>
  <c r="BL311" i="6"/>
  <c r="BL312" i="6"/>
  <c r="BL313" i="6"/>
  <c r="BL314" i="6"/>
  <c r="BL315" i="6"/>
  <c r="BL316" i="6"/>
  <c r="BL317" i="6"/>
  <c r="BL318" i="6"/>
  <c r="BL319" i="6"/>
  <c r="BL320" i="6"/>
  <c r="BL321" i="6"/>
  <c r="BL322" i="6"/>
  <c r="BL323" i="6"/>
  <c r="BL324" i="6"/>
  <c r="BL325" i="6"/>
  <c r="BL326" i="6"/>
  <c r="BL327" i="6"/>
  <c r="BL328" i="6"/>
  <c r="BL329" i="6"/>
  <c r="BL330" i="6"/>
  <c r="BL331" i="6"/>
  <c r="BL332" i="6"/>
  <c r="BL333" i="6"/>
  <c r="BL334" i="6"/>
  <c r="BL335" i="6"/>
  <c r="BL336" i="6"/>
  <c r="BL337" i="6"/>
  <c r="BL338" i="6"/>
  <c r="BL339" i="6"/>
  <c r="BL340" i="6"/>
  <c r="BL341" i="6"/>
  <c r="BL342" i="6"/>
  <c r="BL343" i="6"/>
  <c r="BL344" i="6"/>
  <c r="BL345" i="6"/>
  <c r="BL346" i="6"/>
  <c r="BL347" i="6"/>
  <c r="BL348" i="6"/>
  <c r="BL349" i="6"/>
  <c r="BL350" i="6"/>
  <c r="BL351" i="6"/>
  <c r="BL352" i="6"/>
  <c r="BL353" i="6"/>
  <c r="BL354" i="6"/>
  <c r="BL355" i="6"/>
  <c r="BL356" i="6"/>
  <c r="BL357" i="6"/>
  <c r="BL358" i="6"/>
  <c r="BL359" i="6"/>
  <c r="BL360" i="6"/>
  <c r="BL361" i="6"/>
  <c r="BL362" i="6"/>
  <c r="BL363" i="6"/>
  <c r="BL364" i="6"/>
  <c r="BL365" i="6"/>
  <c r="BL366" i="6"/>
  <c r="BL367" i="6"/>
  <c r="BL368" i="6"/>
  <c r="BL369" i="6"/>
  <c r="BL370" i="6"/>
  <c r="BL371" i="6"/>
  <c r="BL372" i="6"/>
  <c r="BL373" i="6"/>
  <c r="BL374" i="6"/>
  <c r="BL375" i="6"/>
  <c r="BL376" i="6"/>
  <c r="BL377" i="6"/>
  <c r="BL378" i="6"/>
  <c r="BL379" i="6"/>
  <c r="BL380" i="6"/>
  <c r="BL381" i="6"/>
  <c r="BL382" i="6"/>
  <c r="BL383" i="6"/>
  <c r="BL384" i="6"/>
  <c r="BL385" i="6"/>
  <c r="BL386" i="6"/>
  <c r="BL387" i="6"/>
  <c r="BL388" i="6"/>
  <c r="BL389" i="6"/>
  <c r="BL390" i="6"/>
  <c r="BL391" i="6"/>
  <c r="BL392" i="6"/>
  <c r="BL393" i="6"/>
  <c r="BL394" i="6"/>
  <c r="BL395" i="6"/>
  <c r="BL396" i="6"/>
  <c r="BL397" i="6"/>
  <c r="BL398" i="6"/>
  <c r="BL399" i="6"/>
  <c r="BL400" i="6"/>
  <c r="BL401" i="6"/>
  <c r="BL402" i="6"/>
  <c r="BL403" i="6"/>
  <c r="BL404" i="6"/>
  <c r="BL405" i="6"/>
  <c r="BL406" i="6"/>
  <c r="BL407" i="6"/>
  <c r="BL408" i="6"/>
  <c r="BL409" i="6"/>
  <c r="BL410" i="6"/>
  <c r="BL411" i="6"/>
  <c r="BL412" i="6"/>
  <c r="BL413" i="6"/>
  <c r="BL414" i="6"/>
  <c r="BL415" i="6"/>
  <c r="BL416" i="6"/>
  <c r="BL417" i="6"/>
  <c r="BL418" i="6"/>
  <c r="BL419" i="6"/>
  <c r="BL420" i="6"/>
  <c r="BL421" i="6"/>
  <c r="BL422" i="6"/>
  <c r="BL423" i="6"/>
  <c r="BL424" i="6"/>
  <c r="BL425" i="6"/>
  <c r="BL426" i="6"/>
  <c r="BL427" i="6"/>
  <c r="BL428" i="6"/>
  <c r="BL429" i="6"/>
  <c r="BL430" i="6"/>
  <c r="BL431" i="6"/>
  <c r="BL432" i="6"/>
  <c r="BM382" i="6"/>
  <c r="P195" i="14"/>
  <c r="Q195" i="14"/>
  <c r="Q194" i="14"/>
  <c r="P194" i="14"/>
  <c r="Q141" i="14"/>
  <c r="P141" i="14"/>
  <c r="BV432" i="1"/>
  <c r="BU432" i="1"/>
  <c r="BT432" i="1"/>
  <c r="AJ431" i="1" l="1"/>
  <c r="BW431" i="1"/>
  <c r="AJ428" i="1"/>
  <c r="CF428" i="1"/>
  <c r="CE428" i="1"/>
  <c r="CH428" i="1" s="1"/>
  <c r="CD428" i="1"/>
  <c r="CC428" i="1"/>
  <c r="CG428" i="1" s="1"/>
  <c r="BW428" i="1"/>
  <c r="AO167" i="1"/>
  <c r="AK431" i="1" l="1"/>
  <c r="AH431" i="1"/>
  <c r="AK428" i="1"/>
  <c r="AH428" i="1"/>
  <c r="F151" i="1"/>
  <c r="F152" i="1"/>
  <c r="F153" i="1"/>
  <c r="F154" i="1"/>
  <c r="F155" i="1"/>
  <c r="F156" i="1"/>
  <c r="F157" i="1"/>
  <c r="F158" i="1"/>
  <c r="F159" i="1"/>
  <c r="F160" i="1"/>
  <c r="F161" i="1"/>
  <c r="F162" i="1"/>
  <c r="F163" i="1"/>
  <c r="F164" i="1"/>
  <c r="F165" i="1"/>
  <c r="F166" i="1"/>
  <c r="F167" i="1"/>
  <c r="BL167" i="1" s="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DR427" i="1" s="1"/>
  <c r="F428" i="1"/>
  <c r="F429" i="1"/>
  <c r="DR429" i="1" s="1"/>
  <c r="F430" i="1"/>
  <c r="EG430" i="1" s="1"/>
  <c r="F431" i="1"/>
  <c r="DR431" i="1" s="1"/>
  <c r="F432" i="1"/>
  <c r="DR432" i="1" s="1"/>
  <c r="BV429" i="1"/>
  <c r="BU429" i="1"/>
  <c r="BT429" i="1"/>
  <c r="AJ427" i="1"/>
  <c r="BW427" i="1"/>
  <c r="BM427" i="6"/>
  <c r="AJ430" i="1"/>
  <c r="CF432" i="1"/>
  <c r="CE432" i="1"/>
  <c r="CD432" i="1"/>
  <c r="CC432" i="1"/>
  <c r="CG432" i="1" s="1"/>
  <c r="CF431" i="1"/>
  <c r="CE431" i="1"/>
  <c r="CD431" i="1"/>
  <c r="CC431" i="1"/>
  <c r="CG431" i="1" s="1"/>
  <c r="CF430" i="1"/>
  <c r="CE430" i="1"/>
  <c r="CD430" i="1"/>
  <c r="CC430" i="1"/>
  <c r="CG430" i="1" s="1"/>
  <c r="CF429" i="1"/>
  <c r="CE429" i="1"/>
  <c r="CH429" i="1" s="1"/>
  <c r="CD429" i="1"/>
  <c r="CC429" i="1"/>
  <c r="CG429" i="1" s="1"/>
  <c r="CF427" i="1"/>
  <c r="CE427" i="1"/>
  <c r="CH427" i="1" s="1"/>
  <c r="CD427" i="1"/>
  <c r="CC427" i="1"/>
  <c r="CG427" i="1" s="1"/>
  <c r="CF426" i="1"/>
  <c r="CE426" i="1"/>
  <c r="CH426" i="1" s="1"/>
  <c r="CD426" i="1"/>
  <c r="CC426" i="1"/>
  <c r="CG426" i="1" s="1"/>
  <c r="BW430" i="1"/>
  <c r="AO432" i="1"/>
  <c r="AO431" i="1"/>
  <c r="AO430" i="1"/>
  <c r="AO429" i="1"/>
  <c r="AO428" i="1"/>
  <c r="AO427" i="1"/>
  <c r="O427" i="1"/>
  <c r="O428" i="1"/>
  <c r="O431" i="1"/>
  <c r="O432" i="1"/>
  <c r="L432" i="1"/>
  <c r="L431" i="1"/>
  <c r="DV431" i="1" s="1"/>
  <c r="L430" i="1"/>
  <c r="DV430" i="1" s="1"/>
  <c r="L429" i="1"/>
  <c r="DV429" i="1" s="1"/>
  <c r="L428" i="1"/>
  <c r="L427" i="1"/>
  <c r="B432" i="1"/>
  <c r="B431" i="1"/>
  <c r="B430" i="1"/>
  <c r="B429" i="1"/>
  <c r="B428" i="1"/>
  <c r="B427" i="1"/>
  <c r="BO432" i="6"/>
  <c r="BN432" i="6"/>
  <c r="BM432" i="6"/>
  <c r="BO431" i="6"/>
  <c r="BN431" i="6"/>
  <c r="BM431" i="6"/>
  <c r="BO430" i="6"/>
  <c r="BN430" i="6"/>
  <c r="BM430" i="6"/>
  <c r="BO429" i="6"/>
  <c r="BN429" i="6"/>
  <c r="BM429" i="6"/>
  <c r="BO428" i="6"/>
  <c r="BN428" i="6"/>
  <c r="BM428" i="6"/>
  <c r="BO427" i="6"/>
  <c r="BN427" i="6"/>
  <c r="CU432" i="1" l="1"/>
  <c r="CV432" i="1"/>
  <c r="EM430" i="1"/>
  <c r="EL430" i="1"/>
  <c r="CU429" i="1"/>
  <c r="CV429" i="1"/>
  <c r="DX432" i="1"/>
  <c r="DW432" i="1"/>
  <c r="DW431" i="1"/>
  <c r="DX431" i="1"/>
  <c r="DW429" i="1"/>
  <c r="DX429" i="1"/>
  <c r="DW427" i="1"/>
  <c r="DX427" i="1"/>
  <c r="BS432" i="1"/>
  <c r="DV432" i="1"/>
  <c r="CH432" i="1"/>
  <c r="CH431" i="1"/>
  <c r="DV428" i="1"/>
  <c r="BS428" i="1"/>
  <c r="CB428" i="1"/>
  <c r="EG428" i="1"/>
  <c r="DR428" i="1"/>
  <c r="EK431" i="1"/>
  <c r="BS431" i="1"/>
  <c r="BL428" i="1"/>
  <c r="BL427" i="1"/>
  <c r="BL429" i="1"/>
  <c r="BN431" i="1"/>
  <c r="BL430" i="1"/>
  <c r="CB427" i="1"/>
  <c r="BS430" i="1"/>
  <c r="BL431" i="1"/>
  <c r="EG431" i="1"/>
  <c r="DR430" i="1"/>
  <c r="EG427" i="1"/>
  <c r="CB432" i="1"/>
  <c r="BN428" i="1"/>
  <c r="CB430" i="1"/>
  <c r="EK428" i="1"/>
  <c r="EK430" i="1"/>
  <c r="EK432" i="1"/>
  <c r="EG432" i="1"/>
  <c r="BN430" i="1"/>
  <c r="BL432" i="1"/>
  <c r="CB431" i="1"/>
  <c r="DV427" i="1"/>
  <c r="BN432" i="1"/>
  <c r="EG429" i="1"/>
  <c r="EK427" i="1"/>
  <c r="EK429" i="1"/>
  <c r="BN427" i="1"/>
  <c r="BN429" i="1"/>
  <c r="CB429" i="1"/>
  <c r="BS429" i="1"/>
  <c r="BS427" i="1"/>
  <c r="AK427" i="1"/>
  <c r="AH427" i="1"/>
  <c r="AK430" i="1"/>
  <c r="AH430" i="1"/>
  <c r="CH430" i="1"/>
  <c r="DY427" i="1" l="1"/>
  <c r="EM432" i="1"/>
  <c r="EL432" i="1"/>
  <c r="EL428" i="1"/>
  <c r="EM428" i="1"/>
  <c r="EM427" i="1"/>
  <c r="EL427" i="1"/>
  <c r="EM431" i="1"/>
  <c r="EL431" i="1"/>
  <c r="EM429" i="1"/>
  <c r="EL429" i="1"/>
  <c r="DZ427" i="1"/>
  <c r="DW430" i="1"/>
  <c r="DX430" i="1"/>
  <c r="DZ430" i="1" s="1"/>
  <c r="ED430" i="1" s="1"/>
  <c r="DW428" i="1"/>
  <c r="DX428" i="1"/>
  <c r="DY430" i="1" l="1"/>
  <c r="EC430" i="1" s="1"/>
  <c r="EE430" i="1" s="1"/>
  <c r="AJ426" i="1"/>
  <c r="AO426" i="1"/>
  <c r="AJ425" i="1"/>
  <c r="AO425" i="1"/>
  <c r="O426" i="1"/>
  <c r="O425" i="1"/>
  <c r="B426" i="1"/>
  <c r="B425" i="1"/>
  <c r="BO426" i="6"/>
  <c r="BN426" i="6"/>
  <c r="BM426" i="6"/>
  <c r="BO425" i="6"/>
  <c r="BN425" i="6"/>
  <c r="BM425" i="6"/>
  <c r="AH426" i="1" l="1"/>
  <c r="AK426" i="1"/>
  <c r="AH425" i="1"/>
  <c r="AK425" i="1"/>
  <c r="P164" i="14" l="1"/>
  <c r="BW426" i="1" l="1"/>
  <c r="CF425" i="1"/>
  <c r="CE425" i="1"/>
  <c r="CD425" i="1"/>
  <c r="CC425" i="1"/>
  <c r="CG425" i="1" s="1"/>
  <c r="L425" i="1"/>
  <c r="L426" i="1"/>
  <c r="CB426" i="1" s="1"/>
  <c r="BW425" i="1"/>
  <c r="EK426" i="1" l="1"/>
  <c r="DV426" i="1"/>
  <c r="DR426" i="1"/>
  <c r="BN426" i="1"/>
  <c r="BL426" i="1"/>
  <c r="EG426" i="1"/>
  <c r="EG425" i="1"/>
  <c r="DR425" i="1"/>
  <c r="BN425" i="1"/>
  <c r="BL425" i="1"/>
  <c r="CB425" i="1"/>
  <c r="EK425" i="1"/>
  <c r="DV425" i="1"/>
  <c r="CH425" i="1"/>
  <c r="BS426" i="1"/>
  <c r="BS425" i="1"/>
  <c r="AJ424" i="1"/>
  <c r="BW424" i="1"/>
  <c r="AO424" i="1"/>
  <c r="BM424" i="6"/>
  <c r="BN424" i="6"/>
  <c r="BO424" i="6"/>
  <c r="BV423" i="1"/>
  <c r="BU423" i="1"/>
  <c r="BT423" i="1"/>
  <c r="EM425" i="1" l="1"/>
  <c r="EL425" i="1"/>
  <c r="EL426" i="1"/>
  <c r="EM426" i="1"/>
  <c r="DW425" i="1"/>
  <c r="DY425" i="1" s="1"/>
  <c r="DX425" i="1"/>
  <c r="DZ425" i="1" s="1"/>
  <c r="DW426" i="1"/>
  <c r="DX426" i="1"/>
  <c r="AK424" i="1"/>
  <c r="AH424" i="1"/>
  <c r="AO423" i="1"/>
  <c r="BM423" i="6"/>
  <c r="BN423" i="6"/>
  <c r="BO423" i="6"/>
  <c r="AJ422" i="1"/>
  <c r="BW422" i="1"/>
  <c r="AO422" i="1"/>
  <c r="BM422" i="6"/>
  <c r="BN422" i="6"/>
  <c r="BO422" i="6"/>
  <c r="AJ421" i="1"/>
  <c r="BV421" i="1"/>
  <c r="BU421" i="1"/>
  <c r="BT421" i="1"/>
  <c r="AO421" i="1"/>
  <c r="BM421" i="6"/>
  <c r="BN421" i="6"/>
  <c r="BO421" i="6"/>
  <c r="AJ420" i="1"/>
  <c r="CW420" i="1"/>
  <c r="CY420" i="1" s="1"/>
  <c r="BW420" i="1"/>
  <c r="AO420" i="1"/>
  <c r="BM420" i="6"/>
  <c r="BN420" i="6"/>
  <c r="BO420" i="6"/>
  <c r="AJ419" i="1"/>
  <c r="CF424" i="1"/>
  <c r="CE424" i="1"/>
  <c r="CD424" i="1"/>
  <c r="CC424" i="1"/>
  <c r="CG424" i="1" s="1"/>
  <c r="CF423" i="1"/>
  <c r="CE423" i="1"/>
  <c r="CD423" i="1"/>
  <c r="CC423" i="1"/>
  <c r="CF422" i="1"/>
  <c r="CE422" i="1"/>
  <c r="CH422" i="1" s="1"/>
  <c r="CD422" i="1"/>
  <c r="CC422" i="1"/>
  <c r="CG422" i="1" s="1"/>
  <c r="CF421" i="1"/>
  <c r="CE421" i="1"/>
  <c r="CH421" i="1" s="1"/>
  <c r="CD421" i="1"/>
  <c r="CC421" i="1"/>
  <c r="CG421" i="1" s="1"/>
  <c r="CF420" i="1"/>
  <c r="CE420" i="1"/>
  <c r="CH420" i="1" s="1"/>
  <c r="CD420" i="1"/>
  <c r="CC420" i="1"/>
  <c r="CG420" i="1" s="1"/>
  <c r="CF419" i="1"/>
  <c r="CE419" i="1"/>
  <c r="CH419" i="1" s="1"/>
  <c r="CD419" i="1"/>
  <c r="CC419" i="1"/>
  <c r="CG419" i="1" s="1"/>
  <c r="BW419" i="1"/>
  <c r="AO419" i="1"/>
  <c r="O424" i="1"/>
  <c r="O423" i="1"/>
  <c r="O420" i="1"/>
  <c r="O419" i="1"/>
  <c r="L424" i="1"/>
  <c r="L423" i="1"/>
  <c r="L422" i="1"/>
  <c r="EK422" i="1" s="1"/>
  <c r="L421" i="1"/>
  <c r="L420" i="1"/>
  <c r="L419" i="1"/>
  <c r="DV419" i="1" s="1"/>
  <c r="EG422" i="1"/>
  <c r="BL421" i="1"/>
  <c r="EG420" i="1"/>
  <c r="DR419" i="1"/>
  <c r="B419" i="1"/>
  <c r="B420" i="1"/>
  <c r="B421" i="1"/>
  <c r="B422" i="1"/>
  <c r="B423" i="1"/>
  <c r="B424" i="1"/>
  <c r="BM419" i="6"/>
  <c r="BN419" i="6"/>
  <c r="BO419" i="6"/>
  <c r="EL420" i="1" l="1"/>
  <c r="EM420" i="1"/>
  <c r="EM422" i="1"/>
  <c r="EL422" i="1"/>
  <c r="DW419" i="1"/>
  <c r="DY419" i="1" s="1"/>
  <c r="DX419" i="1"/>
  <c r="DZ419" i="1" s="1"/>
  <c r="DR421" i="1"/>
  <c r="CB421" i="1"/>
  <c r="EK424" i="1"/>
  <c r="DV424" i="1"/>
  <c r="EG424" i="1"/>
  <c r="BL424" i="1"/>
  <c r="DR424" i="1"/>
  <c r="BS424" i="1"/>
  <c r="BN424" i="1"/>
  <c r="CH424" i="1"/>
  <c r="AK422" i="1"/>
  <c r="BN421" i="1"/>
  <c r="BN422" i="1"/>
  <c r="BS422" i="1"/>
  <c r="BS421" i="1"/>
  <c r="BN423" i="1"/>
  <c r="BL423" i="1"/>
  <c r="DR423" i="1"/>
  <c r="CB420" i="1"/>
  <c r="CB423" i="1"/>
  <c r="DV423" i="1"/>
  <c r="BS423" i="1"/>
  <c r="DV421" i="1"/>
  <c r="DR422" i="1"/>
  <c r="BL422" i="1"/>
  <c r="DV422" i="1"/>
  <c r="CG423" i="1"/>
  <c r="CH423" i="1"/>
  <c r="AH422" i="1"/>
  <c r="AK421" i="1"/>
  <c r="AH421" i="1"/>
  <c r="AK420" i="1"/>
  <c r="EG421" i="1"/>
  <c r="EG423" i="1"/>
  <c r="DR420" i="1"/>
  <c r="EK421" i="1"/>
  <c r="EK423" i="1"/>
  <c r="DV420" i="1"/>
  <c r="BL420" i="1"/>
  <c r="BN420" i="1"/>
  <c r="BS420" i="1"/>
  <c r="EK420" i="1"/>
  <c r="AH420" i="1"/>
  <c r="AK419" i="1"/>
  <c r="CB424" i="1"/>
  <c r="CB422" i="1"/>
  <c r="BS419" i="1"/>
  <c r="CB419" i="1"/>
  <c r="EK419" i="1"/>
  <c r="EG419" i="1"/>
  <c r="BL419" i="1"/>
  <c r="BN419" i="1"/>
  <c r="AH419" i="1"/>
  <c r="Q22" i="14"/>
  <c r="P22" i="14"/>
  <c r="Q49" i="14"/>
  <c r="P49" i="14"/>
  <c r="EM424" i="1" l="1"/>
  <c r="EL424" i="1"/>
  <c r="EM421" i="1"/>
  <c r="EL421" i="1"/>
  <c r="CU421" i="1"/>
  <c r="CV421" i="1"/>
  <c r="CU420" i="1"/>
  <c r="CX420" i="1" s="1"/>
  <c r="CV420" i="1"/>
  <c r="EM423" i="1"/>
  <c r="EL423" i="1"/>
  <c r="CU423" i="1"/>
  <c r="CV423" i="1"/>
  <c r="EM419" i="1"/>
  <c r="EL419" i="1"/>
  <c r="DX424" i="1"/>
  <c r="DZ424" i="1" s="1"/>
  <c r="DW424" i="1"/>
  <c r="DY424" i="1" s="1"/>
  <c r="DW420" i="1"/>
  <c r="DY420" i="1" s="1"/>
  <c r="DX420" i="1"/>
  <c r="DZ420" i="1" s="1"/>
  <c r="DW423" i="1"/>
  <c r="DX423" i="1"/>
  <c r="DW421" i="1"/>
  <c r="DY421" i="1" s="1"/>
  <c r="DX421" i="1"/>
  <c r="DZ421" i="1" s="1"/>
  <c r="DW422" i="1"/>
  <c r="DX422" i="1"/>
  <c r="DZ422" i="1" s="1"/>
  <c r="ED422" i="1" s="1"/>
  <c r="DY422" i="1" l="1"/>
  <c r="EC422" i="1" s="1"/>
  <c r="EE422" i="1" s="1"/>
  <c r="CF418" i="1"/>
  <c r="CE418" i="1"/>
  <c r="CH418" i="1" s="1"/>
  <c r="CD418" i="1"/>
  <c r="CC418" i="1"/>
  <c r="CG418" i="1" s="1"/>
  <c r="AO418" i="1"/>
  <c r="BM418" i="6"/>
  <c r="BN418" i="6"/>
  <c r="BO418" i="6"/>
  <c r="AJ417" i="1"/>
  <c r="CF417" i="1"/>
  <c r="CE417" i="1"/>
  <c r="CH417" i="1" s="1"/>
  <c r="CD417" i="1"/>
  <c r="CC417" i="1"/>
  <c r="CG417" i="1" s="1"/>
  <c r="BW417" i="1"/>
  <c r="AO417" i="1"/>
  <c r="BM417" i="6"/>
  <c r="BN417" i="6"/>
  <c r="BO417" i="6"/>
  <c r="CF416" i="1"/>
  <c r="CE416" i="1"/>
  <c r="CH416" i="1" s="1"/>
  <c r="CD416" i="1"/>
  <c r="CC416" i="1"/>
  <c r="CG416" i="1" s="1"/>
  <c r="BV416" i="1"/>
  <c r="BU416" i="1"/>
  <c r="BT416" i="1"/>
  <c r="AO416" i="1"/>
  <c r="BM416" i="6"/>
  <c r="BN416" i="6"/>
  <c r="BO416" i="6"/>
  <c r="AJ414" i="1"/>
  <c r="CF414" i="1"/>
  <c r="CE414" i="1"/>
  <c r="CH414" i="1" s="1"/>
  <c r="CD414" i="1"/>
  <c r="CC414" i="1"/>
  <c r="CG414" i="1" s="1"/>
  <c r="BW414" i="1"/>
  <c r="AO414" i="1"/>
  <c r="BM414" i="6"/>
  <c r="BN414" i="6"/>
  <c r="BO414" i="6"/>
  <c r="BO415" i="6"/>
  <c r="BN415" i="6"/>
  <c r="BM415" i="6"/>
  <c r="AJ415" i="1"/>
  <c r="AO415" i="1"/>
  <c r="O418" i="1"/>
  <c r="O417" i="1"/>
  <c r="O415" i="1"/>
  <c r="O414" i="1"/>
  <c r="L414" i="1"/>
  <c r="DV414" i="1" s="1"/>
  <c r="L415" i="1"/>
  <c r="L416" i="1"/>
  <c r="DV416" i="1" s="1"/>
  <c r="L417" i="1"/>
  <c r="DV417" i="1" s="1"/>
  <c r="L418" i="1"/>
  <c r="EK418" i="1" s="1"/>
  <c r="EG415" i="1"/>
  <c r="EG416" i="1"/>
  <c r="DR417" i="1"/>
  <c r="B414" i="1"/>
  <c r="B415" i="1"/>
  <c r="B416" i="1"/>
  <c r="B417" i="1"/>
  <c r="B418" i="1"/>
  <c r="EM416" i="1" l="1"/>
  <c r="EL416" i="1"/>
  <c r="EM415" i="1"/>
  <c r="EL415" i="1"/>
  <c r="DW417" i="1"/>
  <c r="DY417" i="1" s="1"/>
  <c r="DX417" i="1"/>
  <c r="DZ417" i="1" s="1"/>
  <c r="BS415" i="1"/>
  <c r="CB415" i="1"/>
  <c r="EK415" i="1"/>
  <c r="DR418" i="1"/>
  <c r="BN418" i="1"/>
  <c r="BL418" i="1"/>
  <c r="BS418" i="1"/>
  <c r="BV418" i="1" s="1"/>
  <c r="DV418" i="1"/>
  <c r="CB418" i="1"/>
  <c r="EG418" i="1"/>
  <c r="EK417" i="1"/>
  <c r="BT418" i="1"/>
  <c r="BU418" i="1"/>
  <c r="AH417" i="1"/>
  <c r="BL417" i="1"/>
  <c r="EG417" i="1"/>
  <c r="EK414" i="1"/>
  <c r="BN417" i="1"/>
  <c r="BS417" i="1"/>
  <c r="CB417" i="1"/>
  <c r="AK417" i="1"/>
  <c r="BS416" i="1"/>
  <c r="EK416" i="1"/>
  <c r="DR414" i="1"/>
  <c r="CB414" i="1"/>
  <c r="CB416" i="1"/>
  <c r="DV415" i="1"/>
  <c r="DR416" i="1"/>
  <c r="BL416" i="1"/>
  <c r="AK414" i="1"/>
  <c r="BN416" i="1"/>
  <c r="CU418" i="1" l="1"/>
  <c r="CV418" i="1"/>
  <c r="EM417" i="1"/>
  <c r="EL417" i="1"/>
  <c r="CU416" i="1"/>
  <c r="CX416" i="1" s="1"/>
  <c r="CV416" i="1"/>
  <c r="EL418" i="1"/>
  <c r="EM418" i="1"/>
  <c r="DX416" i="1"/>
  <c r="DW416" i="1"/>
  <c r="DW414" i="1"/>
  <c r="DX414" i="1"/>
  <c r="DW418" i="1"/>
  <c r="DX418" i="1"/>
  <c r="AK415" i="1"/>
  <c r="BS414" i="1"/>
  <c r="BN414" i="1"/>
  <c r="EG414" i="1"/>
  <c r="BL414" i="1"/>
  <c r="AH414" i="1"/>
  <c r="BL415" i="1"/>
  <c r="BN415" i="1"/>
  <c r="DR415" i="1"/>
  <c r="AH415" i="1"/>
  <c r="P4" i="14"/>
  <c r="P5" i="14"/>
  <c r="P6" i="14"/>
  <c r="P7" i="14"/>
  <c r="P8" i="14"/>
  <c r="P9" i="14"/>
  <c r="P10" i="14"/>
  <c r="P15" i="14"/>
  <c r="P17" i="14"/>
  <c r="P18" i="14"/>
  <c r="P19" i="14"/>
  <c r="P27" i="14"/>
  <c r="P29" i="14"/>
  <c r="P31" i="14"/>
  <c r="P33" i="14"/>
  <c r="P34" i="14"/>
  <c r="P35" i="14"/>
  <c r="P36" i="14"/>
  <c r="P37" i="14"/>
  <c r="P38" i="14"/>
  <c r="P39" i="14"/>
  <c r="P45" i="14"/>
  <c r="P46" i="14"/>
  <c r="P55" i="14"/>
  <c r="P57" i="14"/>
  <c r="P59" i="14"/>
  <c r="P61" i="14"/>
  <c r="P73" i="14"/>
  <c r="P74" i="14"/>
  <c r="P76" i="14"/>
  <c r="P77" i="14"/>
  <c r="P78" i="14"/>
  <c r="P80" i="14"/>
  <c r="P81" i="14"/>
  <c r="P82" i="14"/>
  <c r="P84" i="14"/>
  <c r="P85" i="14"/>
  <c r="P86" i="14"/>
  <c r="P88" i="14"/>
  <c r="P89" i="14"/>
  <c r="P90" i="14"/>
  <c r="P92" i="14"/>
  <c r="P93" i="14"/>
  <c r="P94" i="14"/>
  <c r="P96" i="14"/>
  <c r="P97" i="14"/>
  <c r="P98" i="14"/>
  <c r="P101" i="14"/>
  <c r="P104" i="14"/>
  <c r="P105" i="14"/>
  <c r="P106" i="14"/>
  <c r="P115" i="14"/>
  <c r="P121" i="14"/>
  <c r="P122" i="14"/>
  <c r="P124" i="14"/>
  <c r="P127" i="14"/>
  <c r="P128" i="14"/>
  <c r="P129" i="14"/>
  <c r="P130" i="14"/>
  <c r="P131" i="14"/>
  <c r="P132" i="14"/>
  <c r="P133" i="14"/>
  <c r="P134" i="14"/>
  <c r="P160" i="14"/>
  <c r="P161" i="14"/>
  <c r="P162" i="14"/>
  <c r="P163" i="14"/>
  <c r="P165" i="14"/>
  <c r="P166" i="14"/>
  <c r="P167" i="14"/>
  <c r="P168" i="14"/>
  <c r="P169" i="14"/>
  <c r="P170" i="14"/>
  <c r="P171" i="14"/>
  <c r="P172" i="14"/>
  <c r="P173" i="14"/>
  <c r="P174" i="14"/>
  <c r="P175" i="14"/>
  <c r="P176" i="14"/>
  <c r="P177" i="14"/>
  <c r="P178" i="14"/>
  <c r="P179" i="14"/>
  <c r="P180" i="14"/>
  <c r="P181" i="14"/>
  <c r="P182" i="14"/>
  <c r="P183" i="14"/>
  <c r="P184" i="14"/>
  <c r="P185" i="14"/>
  <c r="P186" i="14"/>
  <c r="P187" i="14"/>
  <c r="P188" i="14"/>
  <c r="P189" i="14"/>
  <c r="P190" i="14"/>
  <c r="P191" i="14"/>
  <c r="P3" i="14"/>
  <c r="EM414" i="1" l="1"/>
  <c r="EL414" i="1"/>
  <c r="DW415" i="1"/>
  <c r="DX415" i="1"/>
  <c r="O72" i="14"/>
  <c r="P72" i="14" s="1"/>
  <c r="O117" i="14"/>
  <c r="P117" i="14" s="1"/>
  <c r="Q117" i="14"/>
  <c r="O116" i="14"/>
  <c r="P116" i="14" s="1"/>
  <c r="O118" i="14"/>
  <c r="P118" i="14" s="1"/>
  <c r="O193" i="14"/>
  <c r="P193" i="14" s="1"/>
  <c r="O140" i="14"/>
  <c r="P140" i="14" s="1"/>
  <c r="O139" i="14"/>
  <c r="P139" i="14" s="1"/>
  <c r="O138" i="14"/>
  <c r="P138" i="14" s="1"/>
  <c r="O137" i="14"/>
  <c r="P137" i="14" s="1"/>
  <c r="Q137" i="14"/>
  <c r="O136" i="14"/>
  <c r="P136" i="14" s="1"/>
  <c r="O135" i="14"/>
  <c r="P135" i="14" s="1"/>
  <c r="Q77" i="14"/>
  <c r="O63" i="14"/>
  <c r="P63" i="14" s="1"/>
  <c r="O48" i="14"/>
  <c r="O47" i="14"/>
  <c r="P47" i="14" s="1"/>
  <c r="K47" i="14"/>
  <c r="O21" i="14"/>
  <c r="P21" i="14" s="1"/>
  <c r="Q21" i="14"/>
  <c r="O20" i="14"/>
  <c r="P20" i="14" s="1"/>
  <c r="K20" i="14"/>
  <c r="Q193" i="14" l="1"/>
  <c r="P48" i="14"/>
  <c r="Q48" i="14"/>
  <c r="Q136" i="14"/>
  <c r="Q72" i="14"/>
  <c r="Q118" i="14"/>
  <c r="Q138" i="14"/>
  <c r="Q116" i="14"/>
  <c r="Q135" i="14"/>
  <c r="Q140" i="14"/>
  <c r="Q47" i="14"/>
  <c r="Q63" i="14"/>
  <c r="Q139" i="14"/>
  <c r="Q20" i="14"/>
  <c r="CC4" i="1"/>
  <c r="CG4" i="1" s="1"/>
  <c r="CD4" i="1"/>
  <c r="CE4" i="1"/>
  <c r="CH4" i="1" s="1"/>
  <c r="CF4" i="1"/>
  <c r="CC5" i="1"/>
  <c r="CG5" i="1" s="1"/>
  <c r="CD5" i="1"/>
  <c r="CE5" i="1"/>
  <c r="CH5" i="1" s="1"/>
  <c r="CF5" i="1"/>
  <c r="CC6" i="1"/>
  <c r="CG6" i="1" s="1"/>
  <c r="CD6" i="1"/>
  <c r="CE6" i="1"/>
  <c r="CH6" i="1" s="1"/>
  <c r="CF6" i="1"/>
  <c r="CC7" i="1"/>
  <c r="CG7" i="1" s="1"/>
  <c r="CD7" i="1"/>
  <c r="CE7" i="1"/>
  <c r="CH7" i="1" s="1"/>
  <c r="CF7" i="1"/>
  <c r="CC8" i="1"/>
  <c r="CG8" i="1" s="1"/>
  <c r="CD8" i="1"/>
  <c r="CE8" i="1"/>
  <c r="CH8" i="1" s="1"/>
  <c r="CF8" i="1"/>
  <c r="CC9" i="1"/>
  <c r="CG9" i="1" s="1"/>
  <c r="CD9" i="1"/>
  <c r="CE9" i="1"/>
  <c r="CH9" i="1" s="1"/>
  <c r="CF9" i="1"/>
  <c r="CC10" i="1"/>
  <c r="CG10" i="1" s="1"/>
  <c r="CD10" i="1"/>
  <c r="CE10" i="1"/>
  <c r="CH10" i="1" s="1"/>
  <c r="CF10" i="1"/>
  <c r="CC11" i="1"/>
  <c r="CG11" i="1" s="1"/>
  <c r="CD11" i="1"/>
  <c r="CE11" i="1"/>
  <c r="CH11" i="1" s="1"/>
  <c r="CF11" i="1"/>
  <c r="CC12" i="1"/>
  <c r="CG12" i="1" s="1"/>
  <c r="CD12" i="1"/>
  <c r="CE12" i="1"/>
  <c r="CH12" i="1" s="1"/>
  <c r="CF12" i="1"/>
  <c r="CC13" i="1"/>
  <c r="CG13" i="1" s="1"/>
  <c r="CD13" i="1"/>
  <c r="CE13" i="1"/>
  <c r="CH13" i="1" s="1"/>
  <c r="CF13" i="1"/>
  <c r="CC14" i="1"/>
  <c r="CG14" i="1" s="1"/>
  <c r="CD14" i="1"/>
  <c r="CE14" i="1"/>
  <c r="CH14" i="1" s="1"/>
  <c r="CF14" i="1"/>
  <c r="CC15" i="1"/>
  <c r="CG15" i="1" s="1"/>
  <c r="CD15" i="1"/>
  <c r="CE15" i="1"/>
  <c r="CH15" i="1" s="1"/>
  <c r="CF15" i="1"/>
  <c r="CC16" i="1"/>
  <c r="CG16" i="1" s="1"/>
  <c r="CD16" i="1"/>
  <c r="CE16" i="1"/>
  <c r="CH16" i="1" s="1"/>
  <c r="CF16" i="1"/>
  <c r="CC17" i="1"/>
  <c r="CG17" i="1" s="1"/>
  <c r="CD17" i="1"/>
  <c r="CE17" i="1"/>
  <c r="CH17" i="1" s="1"/>
  <c r="CF17" i="1"/>
  <c r="CC18" i="1"/>
  <c r="CG18" i="1" s="1"/>
  <c r="CD18" i="1"/>
  <c r="CE18" i="1"/>
  <c r="CH18" i="1" s="1"/>
  <c r="CF18" i="1"/>
  <c r="CC19" i="1"/>
  <c r="CG19" i="1" s="1"/>
  <c r="CD19" i="1"/>
  <c r="CE19" i="1"/>
  <c r="CH19" i="1" s="1"/>
  <c r="CF19" i="1"/>
  <c r="CC20" i="1"/>
  <c r="CG20" i="1" s="1"/>
  <c r="CD20" i="1"/>
  <c r="CE20" i="1"/>
  <c r="CH20" i="1" s="1"/>
  <c r="CF20" i="1"/>
  <c r="CC21" i="1"/>
  <c r="CG21" i="1" s="1"/>
  <c r="CD21" i="1"/>
  <c r="CE21" i="1"/>
  <c r="CH21" i="1" s="1"/>
  <c r="CF21" i="1"/>
  <c r="CC22" i="1"/>
  <c r="CG22" i="1" s="1"/>
  <c r="CD22" i="1"/>
  <c r="CE22" i="1"/>
  <c r="CH22" i="1" s="1"/>
  <c r="CF22" i="1"/>
  <c r="CC23" i="1"/>
  <c r="CG23" i="1" s="1"/>
  <c r="CD23" i="1"/>
  <c r="CE23" i="1"/>
  <c r="CH23" i="1" s="1"/>
  <c r="CF23" i="1"/>
  <c r="CC24" i="1"/>
  <c r="CG24" i="1" s="1"/>
  <c r="CD24" i="1"/>
  <c r="CE24" i="1"/>
  <c r="CH24" i="1" s="1"/>
  <c r="CF24" i="1"/>
  <c r="CC25" i="1"/>
  <c r="CG25" i="1" s="1"/>
  <c r="CD25" i="1"/>
  <c r="CE25" i="1"/>
  <c r="CH25" i="1" s="1"/>
  <c r="CF25" i="1"/>
  <c r="CC26" i="1"/>
  <c r="CG26" i="1" s="1"/>
  <c r="CD26" i="1"/>
  <c r="CE26" i="1"/>
  <c r="CH26" i="1" s="1"/>
  <c r="CF26" i="1"/>
  <c r="CC27" i="1"/>
  <c r="CG27" i="1" s="1"/>
  <c r="CD27" i="1"/>
  <c r="CE27" i="1"/>
  <c r="CH27" i="1" s="1"/>
  <c r="CF27" i="1"/>
  <c r="CC28" i="1"/>
  <c r="CG28" i="1" s="1"/>
  <c r="CD28" i="1"/>
  <c r="CE28" i="1"/>
  <c r="CH28" i="1" s="1"/>
  <c r="CF28" i="1"/>
  <c r="CC29" i="1"/>
  <c r="CG29" i="1" s="1"/>
  <c r="CD29" i="1"/>
  <c r="CE29" i="1"/>
  <c r="CH29" i="1" s="1"/>
  <c r="CF29" i="1"/>
  <c r="CC30" i="1"/>
  <c r="CG30" i="1" s="1"/>
  <c r="CD30" i="1"/>
  <c r="CE30" i="1"/>
  <c r="CH30" i="1" s="1"/>
  <c r="CF30" i="1"/>
  <c r="CC31" i="1"/>
  <c r="CG31" i="1" s="1"/>
  <c r="CD31" i="1"/>
  <c r="CE31" i="1"/>
  <c r="CH31" i="1" s="1"/>
  <c r="CF31" i="1"/>
  <c r="CC32" i="1"/>
  <c r="CG32" i="1" s="1"/>
  <c r="CD32" i="1"/>
  <c r="CE32" i="1"/>
  <c r="CH32" i="1" s="1"/>
  <c r="CF32" i="1"/>
  <c r="CC33" i="1"/>
  <c r="CG33" i="1" s="1"/>
  <c r="CD33" i="1"/>
  <c r="CE33" i="1"/>
  <c r="CH33" i="1" s="1"/>
  <c r="CF33" i="1"/>
  <c r="CC34" i="1"/>
  <c r="CG34" i="1" s="1"/>
  <c r="CD34" i="1"/>
  <c r="CE34" i="1"/>
  <c r="CH34" i="1" s="1"/>
  <c r="CF34" i="1"/>
  <c r="CC35" i="1"/>
  <c r="CG35" i="1" s="1"/>
  <c r="CD35" i="1"/>
  <c r="CE35" i="1"/>
  <c r="CH35" i="1" s="1"/>
  <c r="CF35" i="1"/>
  <c r="CC36" i="1"/>
  <c r="CG36" i="1" s="1"/>
  <c r="CD36" i="1"/>
  <c r="CE36" i="1"/>
  <c r="CH36" i="1" s="1"/>
  <c r="CF36" i="1"/>
  <c r="CC37" i="1"/>
  <c r="CG37" i="1" s="1"/>
  <c r="CD37" i="1"/>
  <c r="CE37" i="1"/>
  <c r="CH37" i="1" s="1"/>
  <c r="CF37" i="1"/>
  <c r="CC38" i="1"/>
  <c r="CG38" i="1" s="1"/>
  <c r="CD38" i="1"/>
  <c r="CE38" i="1"/>
  <c r="CH38" i="1" s="1"/>
  <c r="CF38" i="1"/>
  <c r="CC39" i="1"/>
  <c r="CG39" i="1" s="1"/>
  <c r="CD39" i="1"/>
  <c r="CE39" i="1"/>
  <c r="CH39" i="1" s="1"/>
  <c r="CF39" i="1"/>
  <c r="CC40" i="1"/>
  <c r="CG40" i="1" s="1"/>
  <c r="CD40" i="1"/>
  <c r="CE40" i="1"/>
  <c r="CH40" i="1" s="1"/>
  <c r="CF40" i="1"/>
  <c r="CC41" i="1"/>
  <c r="CG41" i="1" s="1"/>
  <c r="CD41" i="1"/>
  <c r="CE41" i="1"/>
  <c r="CH41" i="1" s="1"/>
  <c r="CF41" i="1"/>
  <c r="CC42" i="1"/>
  <c r="CG42" i="1" s="1"/>
  <c r="CD42" i="1"/>
  <c r="CE42" i="1"/>
  <c r="CH42" i="1" s="1"/>
  <c r="CF42" i="1"/>
  <c r="CC43" i="1"/>
  <c r="CG43" i="1" s="1"/>
  <c r="CD43" i="1"/>
  <c r="CE43" i="1"/>
  <c r="CH43" i="1" s="1"/>
  <c r="CF43" i="1"/>
  <c r="CC44" i="1"/>
  <c r="CG44" i="1" s="1"/>
  <c r="CD44" i="1"/>
  <c r="CE44" i="1"/>
  <c r="CH44" i="1" s="1"/>
  <c r="CF44" i="1"/>
  <c r="CC45" i="1"/>
  <c r="CG45" i="1" s="1"/>
  <c r="CD45" i="1"/>
  <c r="CE45" i="1"/>
  <c r="CH45" i="1" s="1"/>
  <c r="CF45" i="1"/>
  <c r="CC46" i="1"/>
  <c r="CG46" i="1" s="1"/>
  <c r="CD46" i="1"/>
  <c r="CE46" i="1"/>
  <c r="CH46" i="1" s="1"/>
  <c r="CF46" i="1"/>
  <c r="CC47" i="1"/>
  <c r="CG47" i="1" s="1"/>
  <c r="CD47" i="1"/>
  <c r="CE47" i="1"/>
  <c r="CH47" i="1" s="1"/>
  <c r="CF47" i="1"/>
  <c r="CC48" i="1"/>
  <c r="CG48" i="1" s="1"/>
  <c r="CD48" i="1"/>
  <c r="CE48" i="1"/>
  <c r="CH48" i="1" s="1"/>
  <c r="CF48" i="1"/>
  <c r="CC49" i="1"/>
  <c r="CG49" i="1" s="1"/>
  <c r="CD49" i="1"/>
  <c r="CE49" i="1"/>
  <c r="CH49" i="1" s="1"/>
  <c r="CF49" i="1"/>
  <c r="CC50" i="1"/>
  <c r="CG50" i="1" s="1"/>
  <c r="CD50" i="1"/>
  <c r="CE50" i="1"/>
  <c r="CH50" i="1" s="1"/>
  <c r="CF50" i="1"/>
  <c r="CC51" i="1"/>
  <c r="CG51" i="1" s="1"/>
  <c r="CD51" i="1"/>
  <c r="CE51" i="1"/>
  <c r="CH51" i="1" s="1"/>
  <c r="CF51" i="1"/>
  <c r="CC52" i="1"/>
  <c r="CG52" i="1" s="1"/>
  <c r="CD52" i="1"/>
  <c r="CE52" i="1"/>
  <c r="CH52" i="1" s="1"/>
  <c r="CF52" i="1"/>
  <c r="CC53" i="1"/>
  <c r="CG53" i="1" s="1"/>
  <c r="CD53" i="1"/>
  <c r="CE53" i="1"/>
  <c r="CH53" i="1" s="1"/>
  <c r="CF53" i="1"/>
  <c r="CC54" i="1"/>
  <c r="CG54" i="1" s="1"/>
  <c r="CD54" i="1"/>
  <c r="CE54" i="1"/>
  <c r="CH54" i="1" s="1"/>
  <c r="CF54" i="1"/>
  <c r="CC55" i="1"/>
  <c r="CG55" i="1" s="1"/>
  <c r="CD55" i="1"/>
  <c r="CE55" i="1"/>
  <c r="CH55" i="1" s="1"/>
  <c r="CF55" i="1"/>
  <c r="CC56" i="1"/>
  <c r="CG56" i="1" s="1"/>
  <c r="CD56" i="1"/>
  <c r="CE56" i="1"/>
  <c r="CH56" i="1" s="1"/>
  <c r="CF56" i="1"/>
  <c r="CC57" i="1"/>
  <c r="CG57" i="1" s="1"/>
  <c r="CD57" i="1"/>
  <c r="CE57" i="1"/>
  <c r="CH57" i="1" s="1"/>
  <c r="CF57" i="1"/>
  <c r="CC58" i="1"/>
  <c r="CG58" i="1" s="1"/>
  <c r="CD58" i="1"/>
  <c r="CE58" i="1"/>
  <c r="CH58" i="1" s="1"/>
  <c r="CF58" i="1"/>
  <c r="CC59" i="1"/>
  <c r="CG59" i="1" s="1"/>
  <c r="CD59" i="1"/>
  <c r="CE59" i="1"/>
  <c r="CH59" i="1" s="1"/>
  <c r="CF59" i="1"/>
  <c r="CC60" i="1"/>
  <c r="CG60" i="1" s="1"/>
  <c r="CD60" i="1"/>
  <c r="CE60" i="1"/>
  <c r="CH60" i="1" s="1"/>
  <c r="CF60" i="1"/>
  <c r="CC61" i="1"/>
  <c r="CG61" i="1" s="1"/>
  <c r="CD61" i="1"/>
  <c r="CE61" i="1"/>
  <c r="CH61" i="1" s="1"/>
  <c r="CF61" i="1"/>
  <c r="CC62" i="1"/>
  <c r="CG62" i="1" s="1"/>
  <c r="CD62" i="1"/>
  <c r="CE62" i="1"/>
  <c r="CH62" i="1" s="1"/>
  <c r="CF62" i="1"/>
  <c r="CC63" i="1"/>
  <c r="CG63" i="1" s="1"/>
  <c r="CD63" i="1"/>
  <c r="CE63" i="1"/>
  <c r="CH63" i="1" s="1"/>
  <c r="CF63" i="1"/>
  <c r="CC64" i="1"/>
  <c r="CG64" i="1" s="1"/>
  <c r="CD64" i="1"/>
  <c r="CE64" i="1"/>
  <c r="CH64" i="1" s="1"/>
  <c r="CF64" i="1"/>
  <c r="CC65" i="1"/>
  <c r="CG65" i="1" s="1"/>
  <c r="CD65" i="1"/>
  <c r="CE65" i="1"/>
  <c r="CH65" i="1" s="1"/>
  <c r="CF65" i="1"/>
  <c r="CC66" i="1"/>
  <c r="CG66" i="1" s="1"/>
  <c r="CD66" i="1"/>
  <c r="CE66" i="1"/>
  <c r="CH66" i="1" s="1"/>
  <c r="CF66" i="1"/>
  <c r="CC67" i="1"/>
  <c r="CG67" i="1" s="1"/>
  <c r="CD67" i="1"/>
  <c r="CE67" i="1"/>
  <c r="CH67" i="1" s="1"/>
  <c r="CF67" i="1"/>
  <c r="CC68" i="1"/>
  <c r="CG68" i="1" s="1"/>
  <c r="CD68" i="1"/>
  <c r="CE68" i="1"/>
  <c r="CH68" i="1" s="1"/>
  <c r="CF68" i="1"/>
  <c r="CC69" i="1"/>
  <c r="CG69" i="1" s="1"/>
  <c r="CD69" i="1"/>
  <c r="CE69" i="1"/>
  <c r="CH69" i="1" s="1"/>
  <c r="CF69" i="1"/>
  <c r="CC70" i="1"/>
  <c r="CG70" i="1" s="1"/>
  <c r="CD70" i="1"/>
  <c r="CE70" i="1"/>
  <c r="CH70" i="1" s="1"/>
  <c r="CF70" i="1"/>
  <c r="CC71" i="1"/>
  <c r="CG71" i="1" s="1"/>
  <c r="CD71" i="1"/>
  <c r="CE71" i="1"/>
  <c r="CH71" i="1" s="1"/>
  <c r="CF71" i="1"/>
  <c r="CC72" i="1"/>
  <c r="CG72" i="1" s="1"/>
  <c r="CD72" i="1"/>
  <c r="CE72" i="1"/>
  <c r="CH72" i="1" s="1"/>
  <c r="CF72" i="1"/>
  <c r="CC73" i="1"/>
  <c r="CG73" i="1" s="1"/>
  <c r="CD73" i="1"/>
  <c r="CE73" i="1"/>
  <c r="CH73" i="1" s="1"/>
  <c r="CF73" i="1"/>
  <c r="CC74" i="1"/>
  <c r="CG74" i="1" s="1"/>
  <c r="CD74" i="1"/>
  <c r="CE74" i="1"/>
  <c r="CH74" i="1" s="1"/>
  <c r="CF74" i="1"/>
  <c r="CC75" i="1"/>
  <c r="CG75" i="1" s="1"/>
  <c r="CD75" i="1"/>
  <c r="CE75" i="1"/>
  <c r="CH75" i="1" s="1"/>
  <c r="CF75" i="1"/>
  <c r="CC76" i="1"/>
  <c r="CG76" i="1" s="1"/>
  <c r="CD76" i="1"/>
  <c r="CE76" i="1"/>
  <c r="CH76" i="1" s="1"/>
  <c r="CF76" i="1"/>
  <c r="CC77" i="1"/>
  <c r="CG77" i="1" s="1"/>
  <c r="CD77" i="1"/>
  <c r="CE77" i="1"/>
  <c r="CH77" i="1" s="1"/>
  <c r="CF77" i="1"/>
  <c r="CC78" i="1"/>
  <c r="CG78" i="1" s="1"/>
  <c r="CD78" i="1"/>
  <c r="CE78" i="1"/>
  <c r="CH78" i="1" s="1"/>
  <c r="CF78" i="1"/>
  <c r="CC79" i="1"/>
  <c r="CG79" i="1" s="1"/>
  <c r="CD79" i="1"/>
  <c r="CE79" i="1"/>
  <c r="CH79" i="1" s="1"/>
  <c r="CF79" i="1"/>
  <c r="CC80" i="1"/>
  <c r="CG80" i="1" s="1"/>
  <c r="CD80" i="1"/>
  <c r="CE80" i="1"/>
  <c r="CH80" i="1" s="1"/>
  <c r="CF80" i="1"/>
  <c r="CC81" i="1"/>
  <c r="CG81" i="1" s="1"/>
  <c r="CD81" i="1"/>
  <c r="CE81" i="1"/>
  <c r="CH81" i="1" s="1"/>
  <c r="CF81" i="1"/>
  <c r="CC82" i="1"/>
  <c r="CG82" i="1" s="1"/>
  <c r="CD82" i="1"/>
  <c r="CE82" i="1"/>
  <c r="CH82" i="1" s="1"/>
  <c r="CF82" i="1"/>
  <c r="CC83" i="1"/>
  <c r="CG83" i="1" s="1"/>
  <c r="CD83" i="1"/>
  <c r="CE83" i="1"/>
  <c r="CH83" i="1" s="1"/>
  <c r="CF83" i="1"/>
  <c r="CC84" i="1"/>
  <c r="CG84" i="1" s="1"/>
  <c r="CD84" i="1"/>
  <c r="CE84" i="1"/>
  <c r="CH84" i="1" s="1"/>
  <c r="CF84" i="1"/>
  <c r="CC85" i="1"/>
  <c r="CG85" i="1" s="1"/>
  <c r="CD85" i="1"/>
  <c r="CE85" i="1"/>
  <c r="CH85" i="1" s="1"/>
  <c r="CF85" i="1"/>
  <c r="CC86" i="1"/>
  <c r="CG86" i="1" s="1"/>
  <c r="CD86" i="1"/>
  <c r="CE86" i="1"/>
  <c r="CH86" i="1" s="1"/>
  <c r="CF86" i="1"/>
  <c r="CC87" i="1"/>
  <c r="CG87" i="1" s="1"/>
  <c r="CD87" i="1"/>
  <c r="CE87" i="1"/>
  <c r="CH87" i="1" s="1"/>
  <c r="CF87" i="1"/>
  <c r="CC88" i="1"/>
  <c r="CG88" i="1" s="1"/>
  <c r="CD88" i="1"/>
  <c r="CE88" i="1"/>
  <c r="CH88" i="1" s="1"/>
  <c r="CF88" i="1"/>
  <c r="CC89" i="1"/>
  <c r="CG89" i="1" s="1"/>
  <c r="CD89" i="1"/>
  <c r="CE89" i="1"/>
  <c r="CH89" i="1" s="1"/>
  <c r="CF89" i="1"/>
  <c r="CC90" i="1"/>
  <c r="CG90" i="1" s="1"/>
  <c r="CD90" i="1"/>
  <c r="CE90" i="1"/>
  <c r="CH90" i="1" s="1"/>
  <c r="CF90" i="1"/>
  <c r="CC91" i="1"/>
  <c r="CG91" i="1" s="1"/>
  <c r="CD91" i="1"/>
  <c r="CE91" i="1"/>
  <c r="CH91" i="1" s="1"/>
  <c r="CF91" i="1"/>
  <c r="CC92" i="1"/>
  <c r="CG92" i="1" s="1"/>
  <c r="CD92" i="1"/>
  <c r="CE92" i="1"/>
  <c r="CH92" i="1" s="1"/>
  <c r="CF92" i="1"/>
  <c r="CC93" i="1"/>
  <c r="CG93" i="1" s="1"/>
  <c r="CD93" i="1"/>
  <c r="CE93" i="1"/>
  <c r="CH93" i="1" s="1"/>
  <c r="CF93" i="1"/>
  <c r="CC94" i="1"/>
  <c r="CG94" i="1" s="1"/>
  <c r="CD94" i="1"/>
  <c r="CE94" i="1"/>
  <c r="CH94" i="1" s="1"/>
  <c r="CF94" i="1"/>
  <c r="CC95" i="1"/>
  <c r="CG95" i="1" s="1"/>
  <c r="CD95" i="1"/>
  <c r="CE95" i="1"/>
  <c r="CH95" i="1" s="1"/>
  <c r="CF95" i="1"/>
  <c r="CC96" i="1"/>
  <c r="CG96" i="1" s="1"/>
  <c r="CD96" i="1"/>
  <c r="CE96" i="1"/>
  <c r="CH96" i="1" s="1"/>
  <c r="CF96" i="1"/>
  <c r="CC97" i="1"/>
  <c r="CG97" i="1" s="1"/>
  <c r="CD97" i="1"/>
  <c r="CE97" i="1"/>
  <c r="CH97" i="1" s="1"/>
  <c r="CF97" i="1"/>
  <c r="CC98" i="1"/>
  <c r="CG98" i="1" s="1"/>
  <c r="CD98" i="1"/>
  <c r="CE98" i="1"/>
  <c r="CH98" i="1" s="1"/>
  <c r="CF98" i="1"/>
  <c r="CC99" i="1"/>
  <c r="CG99" i="1" s="1"/>
  <c r="CD99" i="1"/>
  <c r="CE99" i="1"/>
  <c r="CH99" i="1" s="1"/>
  <c r="CF99" i="1"/>
  <c r="CC100" i="1"/>
  <c r="CG100" i="1" s="1"/>
  <c r="CD100" i="1"/>
  <c r="CE100" i="1"/>
  <c r="CH100" i="1" s="1"/>
  <c r="CF100" i="1"/>
  <c r="CC101" i="1"/>
  <c r="CG101" i="1" s="1"/>
  <c r="CD101" i="1"/>
  <c r="CE101" i="1"/>
  <c r="CH101" i="1" s="1"/>
  <c r="CF101" i="1"/>
  <c r="CC102" i="1"/>
  <c r="CG102" i="1" s="1"/>
  <c r="CD102" i="1"/>
  <c r="CE102" i="1"/>
  <c r="CH102" i="1" s="1"/>
  <c r="CF102" i="1"/>
  <c r="CC103" i="1"/>
  <c r="CG103" i="1" s="1"/>
  <c r="CD103" i="1"/>
  <c r="CE103" i="1"/>
  <c r="CH103" i="1" s="1"/>
  <c r="CF103" i="1"/>
  <c r="CC104" i="1"/>
  <c r="CG104" i="1" s="1"/>
  <c r="CD104" i="1"/>
  <c r="CE104" i="1"/>
  <c r="CH104" i="1" s="1"/>
  <c r="CF104" i="1"/>
  <c r="CC105" i="1"/>
  <c r="CG105" i="1" s="1"/>
  <c r="CD105" i="1"/>
  <c r="CE105" i="1"/>
  <c r="CH105" i="1" s="1"/>
  <c r="CF105" i="1"/>
  <c r="CC106" i="1"/>
  <c r="CG106" i="1" s="1"/>
  <c r="CD106" i="1"/>
  <c r="CE106" i="1"/>
  <c r="CH106" i="1" s="1"/>
  <c r="CF106" i="1"/>
  <c r="CC107" i="1"/>
  <c r="CG107" i="1" s="1"/>
  <c r="CD107" i="1"/>
  <c r="CE107" i="1"/>
  <c r="CH107" i="1" s="1"/>
  <c r="CF107" i="1"/>
  <c r="CC108" i="1"/>
  <c r="CG108" i="1" s="1"/>
  <c r="CD108" i="1"/>
  <c r="CE108" i="1"/>
  <c r="CH108" i="1" s="1"/>
  <c r="CF108" i="1"/>
  <c r="CC109" i="1"/>
  <c r="CG109" i="1" s="1"/>
  <c r="CD109" i="1"/>
  <c r="CE109" i="1"/>
  <c r="CH109" i="1" s="1"/>
  <c r="CF109" i="1"/>
  <c r="CC110" i="1"/>
  <c r="CG110" i="1" s="1"/>
  <c r="CD110" i="1"/>
  <c r="CE110" i="1"/>
  <c r="CH110" i="1" s="1"/>
  <c r="CF110" i="1"/>
  <c r="CC111" i="1"/>
  <c r="CG111" i="1" s="1"/>
  <c r="CD111" i="1"/>
  <c r="CE111" i="1"/>
  <c r="CH111" i="1" s="1"/>
  <c r="CF111" i="1"/>
  <c r="CC112" i="1"/>
  <c r="CG112" i="1" s="1"/>
  <c r="CD112" i="1"/>
  <c r="CE112" i="1"/>
  <c r="CH112" i="1" s="1"/>
  <c r="CF112" i="1"/>
  <c r="CC113" i="1"/>
  <c r="CG113" i="1" s="1"/>
  <c r="CD113" i="1"/>
  <c r="CE113" i="1"/>
  <c r="CH113" i="1" s="1"/>
  <c r="CF113" i="1"/>
  <c r="CC114" i="1"/>
  <c r="CG114" i="1" s="1"/>
  <c r="CD114" i="1"/>
  <c r="CE114" i="1"/>
  <c r="CH114" i="1" s="1"/>
  <c r="CF114" i="1"/>
  <c r="CC115" i="1"/>
  <c r="CG115" i="1" s="1"/>
  <c r="CD115" i="1"/>
  <c r="CE115" i="1"/>
  <c r="CH115" i="1" s="1"/>
  <c r="CF115" i="1"/>
  <c r="CC116" i="1"/>
  <c r="CG116" i="1" s="1"/>
  <c r="CD116" i="1"/>
  <c r="CE116" i="1"/>
  <c r="CH116" i="1" s="1"/>
  <c r="CF116" i="1"/>
  <c r="CC117" i="1"/>
  <c r="CG117" i="1" s="1"/>
  <c r="CD117" i="1"/>
  <c r="CE117" i="1"/>
  <c r="CH117" i="1" s="1"/>
  <c r="CF117" i="1"/>
  <c r="CC118" i="1"/>
  <c r="CG118" i="1" s="1"/>
  <c r="CD118" i="1"/>
  <c r="CE118" i="1"/>
  <c r="CH118" i="1" s="1"/>
  <c r="CF118" i="1"/>
  <c r="CC119" i="1"/>
  <c r="CG119" i="1" s="1"/>
  <c r="CD119" i="1"/>
  <c r="CE119" i="1"/>
  <c r="CH119" i="1" s="1"/>
  <c r="CF119" i="1"/>
  <c r="CC120" i="1"/>
  <c r="CG120" i="1" s="1"/>
  <c r="CD120" i="1"/>
  <c r="CE120" i="1"/>
  <c r="CH120" i="1" s="1"/>
  <c r="CF120" i="1"/>
  <c r="CC121" i="1"/>
  <c r="CG121" i="1" s="1"/>
  <c r="CD121" i="1"/>
  <c r="CE121" i="1"/>
  <c r="CH121" i="1" s="1"/>
  <c r="CF121" i="1"/>
  <c r="CC122" i="1"/>
  <c r="CG122" i="1" s="1"/>
  <c r="CD122" i="1"/>
  <c r="CE122" i="1"/>
  <c r="CH122" i="1" s="1"/>
  <c r="CF122" i="1"/>
  <c r="CC123" i="1"/>
  <c r="CG123" i="1" s="1"/>
  <c r="CD123" i="1"/>
  <c r="CE123" i="1"/>
  <c r="CH123" i="1" s="1"/>
  <c r="CF123" i="1"/>
  <c r="CC124" i="1"/>
  <c r="CG124" i="1" s="1"/>
  <c r="CD124" i="1"/>
  <c r="CE124" i="1"/>
  <c r="CH124" i="1" s="1"/>
  <c r="CF124" i="1"/>
  <c r="CC125" i="1"/>
  <c r="CG125" i="1" s="1"/>
  <c r="CD125" i="1"/>
  <c r="CE125" i="1"/>
  <c r="CH125" i="1" s="1"/>
  <c r="CF125" i="1"/>
  <c r="CC126" i="1"/>
  <c r="CG126" i="1" s="1"/>
  <c r="CD126" i="1"/>
  <c r="CE126" i="1"/>
  <c r="CH126" i="1" s="1"/>
  <c r="CF126" i="1"/>
  <c r="CC127" i="1"/>
  <c r="CG127" i="1" s="1"/>
  <c r="CD127" i="1"/>
  <c r="CE127" i="1"/>
  <c r="CH127" i="1" s="1"/>
  <c r="CF127" i="1"/>
  <c r="CC128" i="1"/>
  <c r="CG128" i="1" s="1"/>
  <c r="CD128" i="1"/>
  <c r="CE128" i="1"/>
  <c r="CH128" i="1" s="1"/>
  <c r="CF128" i="1"/>
  <c r="CC129" i="1"/>
  <c r="CG129" i="1" s="1"/>
  <c r="CD129" i="1"/>
  <c r="CE129" i="1"/>
  <c r="CH129" i="1" s="1"/>
  <c r="CF129" i="1"/>
  <c r="CC130" i="1"/>
  <c r="CG130" i="1" s="1"/>
  <c r="CD130" i="1"/>
  <c r="CE130" i="1"/>
  <c r="CH130" i="1" s="1"/>
  <c r="CF130" i="1"/>
  <c r="CC131" i="1"/>
  <c r="CG131" i="1" s="1"/>
  <c r="CD131" i="1"/>
  <c r="CE131" i="1"/>
  <c r="CH131" i="1" s="1"/>
  <c r="CF131" i="1"/>
  <c r="CC132" i="1"/>
  <c r="CG132" i="1" s="1"/>
  <c r="CD132" i="1"/>
  <c r="CE132" i="1"/>
  <c r="CH132" i="1" s="1"/>
  <c r="CF132" i="1"/>
  <c r="CC133" i="1"/>
  <c r="CG133" i="1" s="1"/>
  <c r="CD133" i="1"/>
  <c r="CE133" i="1"/>
  <c r="CH133" i="1" s="1"/>
  <c r="CF133" i="1"/>
  <c r="CC134" i="1"/>
  <c r="CG134" i="1" s="1"/>
  <c r="CD134" i="1"/>
  <c r="CE134" i="1"/>
  <c r="CH134" i="1" s="1"/>
  <c r="CF134" i="1"/>
  <c r="CC135" i="1"/>
  <c r="CG135" i="1" s="1"/>
  <c r="CD135" i="1"/>
  <c r="CE135" i="1"/>
  <c r="CH135" i="1" s="1"/>
  <c r="CF135" i="1"/>
  <c r="CC136" i="1"/>
  <c r="CG136" i="1" s="1"/>
  <c r="CD136" i="1"/>
  <c r="CE136" i="1"/>
  <c r="CH136" i="1" s="1"/>
  <c r="CF136" i="1"/>
  <c r="CC137" i="1"/>
  <c r="CG137" i="1" s="1"/>
  <c r="CD137" i="1"/>
  <c r="CE137" i="1"/>
  <c r="CH137" i="1" s="1"/>
  <c r="CF137" i="1"/>
  <c r="CC138" i="1"/>
  <c r="CG138" i="1" s="1"/>
  <c r="CD138" i="1"/>
  <c r="CE138" i="1"/>
  <c r="CH138" i="1" s="1"/>
  <c r="CF138" i="1"/>
  <c r="CC139" i="1"/>
  <c r="CG139" i="1" s="1"/>
  <c r="CD139" i="1"/>
  <c r="CE139" i="1"/>
  <c r="CH139" i="1" s="1"/>
  <c r="CF139" i="1"/>
  <c r="CC140" i="1"/>
  <c r="CG140" i="1" s="1"/>
  <c r="CD140" i="1"/>
  <c r="CE140" i="1"/>
  <c r="CH140" i="1" s="1"/>
  <c r="CF140" i="1"/>
  <c r="CC141" i="1"/>
  <c r="CG141" i="1" s="1"/>
  <c r="CD141" i="1"/>
  <c r="CE141" i="1"/>
  <c r="CH141" i="1" s="1"/>
  <c r="CF141" i="1"/>
  <c r="CC142" i="1"/>
  <c r="CG142" i="1" s="1"/>
  <c r="CD142" i="1"/>
  <c r="CE142" i="1"/>
  <c r="CH142" i="1" s="1"/>
  <c r="CF142" i="1"/>
  <c r="CC143" i="1"/>
  <c r="CG143" i="1" s="1"/>
  <c r="CD143" i="1"/>
  <c r="CE143" i="1"/>
  <c r="CH143" i="1" s="1"/>
  <c r="CF143" i="1"/>
  <c r="CC144" i="1"/>
  <c r="CG144" i="1" s="1"/>
  <c r="CD144" i="1"/>
  <c r="CE144" i="1"/>
  <c r="CH144" i="1" s="1"/>
  <c r="CF144" i="1"/>
  <c r="CC145" i="1"/>
  <c r="CG145" i="1" s="1"/>
  <c r="CD145" i="1"/>
  <c r="CE145" i="1"/>
  <c r="CH145" i="1" s="1"/>
  <c r="CF145" i="1"/>
  <c r="CC146" i="1"/>
  <c r="CG146" i="1" s="1"/>
  <c r="CD146" i="1"/>
  <c r="CE146" i="1"/>
  <c r="CH146" i="1" s="1"/>
  <c r="CF146" i="1"/>
  <c r="CC147" i="1"/>
  <c r="CG147" i="1" s="1"/>
  <c r="CD147" i="1"/>
  <c r="CE147" i="1"/>
  <c r="CH147" i="1" s="1"/>
  <c r="CF147" i="1"/>
  <c r="CC148" i="1"/>
  <c r="CG148" i="1" s="1"/>
  <c r="CD148" i="1"/>
  <c r="CE148" i="1"/>
  <c r="CH148" i="1" s="1"/>
  <c r="CF148" i="1"/>
  <c r="CC149" i="1"/>
  <c r="CG149" i="1" s="1"/>
  <c r="CD149" i="1"/>
  <c r="CE149" i="1"/>
  <c r="CH149" i="1" s="1"/>
  <c r="CF149" i="1"/>
  <c r="CC150" i="1"/>
  <c r="CG150" i="1" s="1"/>
  <c r="CD150" i="1"/>
  <c r="CE150" i="1"/>
  <c r="CH150" i="1" s="1"/>
  <c r="CF150" i="1"/>
  <c r="CC151" i="1"/>
  <c r="CG151" i="1" s="1"/>
  <c r="CD151" i="1"/>
  <c r="CE151" i="1"/>
  <c r="CH151" i="1" s="1"/>
  <c r="CF151" i="1"/>
  <c r="CC152" i="1"/>
  <c r="CG152" i="1" s="1"/>
  <c r="CD152" i="1"/>
  <c r="CE152" i="1"/>
  <c r="CH152" i="1" s="1"/>
  <c r="CF152" i="1"/>
  <c r="CC153" i="1"/>
  <c r="CG153" i="1" s="1"/>
  <c r="CD153" i="1"/>
  <c r="CE153" i="1"/>
  <c r="CH153" i="1" s="1"/>
  <c r="CF153" i="1"/>
  <c r="CC154" i="1"/>
  <c r="CG154" i="1" s="1"/>
  <c r="CD154" i="1"/>
  <c r="CE154" i="1"/>
  <c r="CH154" i="1" s="1"/>
  <c r="CF154" i="1"/>
  <c r="CC155" i="1"/>
  <c r="CG155" i="1" s="1"/>
  <c r="CD155" i="1"/>
  <c r="CE155" i="1"/>
  <c r="CH155" i="1" s="1"/>
  <c r="CF155" i="1"/>
  <c r="CC156" i="1"/>
  <c r="CG156" i="1" s="1"/>
  <c r="CD156" i="1"/>
  <c r="CE156" i="1"/>
  <c r="CH156" i="1" s="1"/>
  <c r="CF156" i="1"/>
  <c r="CC157" i="1"/>
  <c r="CG157" i="1" s="1"/>
  <c r="CD157" i="1"/>
  <c r="CE157" i="1"/>
  <c r="CH157" i="1" s="1"/>
  <c r="CF157" i="1"/>
  <c r="CC158" i="1"/>
  <c r="CG158" i="1" s="1"/>
  <c r="CD158" i="1"/>
  <c r="CE158" i="1"/>
  <c r="CH158" i="1" s="1"/>
  <c r="CF158" i="1"/>
  <c r="CC159" i="1"/>
  <c r="CG159" i="1" s="1"/>
  <c r="CD159" i="1"/>
  <c r="CE159" i="1"/>
  <c r="CH159" i="1" s="1"/>
  <c r="CF159" i="1"/>
  <c r="CC160" i="1"/>
  <c r="CG160" i="1" s="1"/>
  <c r="CD160" i="1"/>
  <c r="CE160" i="1"/>
  <c r="CH160" i="1" s="1"/>
  <c r="CF160" i="1"/>
  <c r="CC161" i="1"/>
  <c r="CG161" i="1" s="1"/>
  <c r="CD161" i="1"/>
  <c r="CE161" i="1"/>
  <c r="CH161" i="1" s="1"/>
  <c r="CF161" i="1"/>
  <c r="CC162" i="1"/>
  <c r="CG162" i="1" s="1"/>
  <c r="CD162" i="1"/>
  <c r="CE162" i="1"/>
  <c r="CH162" i="1" s="1"/>
  <c r="CF162" i="1"/>
  <c r="CC163" i="1"/>
  <c r="CG163" i="1" s="1"/>
  <c r="CD163" i="1"/>
  <c r="CE163" i="1"/>
  <c r="CH163" i="1" s="1"/>
  <c r="CF163" i="1"/>
  <c r="CC164" i="1"/>
  <c r="CG164" i="1" s="1"/>
  <c r="CD164" i="1"/>
  <c r="CE164" i="1"/>
  <c r="CH164" i="1" s="1"/>
  <c r="CF164" i="1"/>
  <c r="CC165" i="1"/>
  <c r="CG165" i="1" s="1"/>
  <c r="CD165" i="1"/>
  <c r="CE165" i="1"/>
  <c r="CH165" i="1" s="1"/>
  <c r="CF165" i="1"/>
  <c r="CC166" i="1"/>
  <c r="CG166" i="1" s="1"/>
  <c r="CD166" i="1"/>
  <c r="CE166" i="1"/>
  <c r="CH166" i="1" s="1"/>
  <c r="CF166" i="1"/>
  <c r="CC167" i="1"/>
  <c r="CG167" i="1" s="1"/>
  <c r="CD167" i="1"/>
  <c r="CE167" i="1"/>
  <c r="CH167" i="1" s="1"/>
  <c r="CF167" i="1"/>
  <c r="CC168" i="1"/>
  <c r="CG168" i="1" s="1"/>
  <c r="CD168" i="1"/>
  <c r="CE168" i="1"/>
  <c r="CH168" i="1" s="1"/>
  <c r="CF168" i="1"/>
  <c r="CC169" i="1"/>
  <c r="CG169" i="1" s="1"/>
  <c r="CD169" i="1"/>
  <c r="CE169" i="1"/>
  <c r="CH169" i="1" s="1"/>
  <c r="CF169" i="1"/>
  <c r="CC170" i="1"/>
  <c r="CG170" i="1" s="1"/>
  <c r="CD170" i="1"/>
  <c r="CE170" i="1"/>
  <c r="CH170" i="1" s="1"/>
  <c r="CF170" i="1"/>
  <c r="CC171" i="1"/>
  <c r="CG171" i="1" s="1"/>
  <c r="CD171" i="1"/>
  <c r="CE171" i="1"/>
  <c r="CH171" i="1" s="1"/>
  <c r="CF171" i="1"/>
  <c r="CC172" i="1"/>
  <c r="CG172" i="1" s="1"/>
  <c r="CD172" i="1"/>
  <c r="CE172" i="1"/>
  <c r="CH172" i="1" s="1"/>
  <c r="CF172" i="1"/>
  <c r="CC173" i="1"/>
  <c r="CG173" i="1" s="1"/>
  <c r="CD173" i="1"/>
  <c r="CE173" i="1"/>
  <c r="CH173" i="1" s="1"/>
  <c r="CF173" i="1"/>
  <c r="CC174" i="1"/>
  <c r="CG174" i="1" s="1"/>
  <c r="CD174" i="1"/>
  <c r="CE174" i="1"/>
  <c r="CH174" i="1" s="1"/>
  <c r="CF174" i="1"/>
  <c r="CC175" i="1"/>
  <c r="CG175" i="1" s="1"/>
  <c r="CD175" i="1"/>
  <c r="CE175" i="1"/>
  <c r="CH175" i="1" s="1"/>
  <c r="CF175" i="1"/>
  <c r="CC176" i="1"/>
  <c r="CG176" i="1" s="1"/>
  <c r="CD176" i="1"/>
  <c r="CE176" i="1"/>
  <c r="CH176" i="1" s="1"/>
  <c r="CF176" i="1"/>
  <c r="CC177" i="1"/>
  <c r="CG177" i="1" s="1"/>
  <c r="CD177" i="1"/>
  <c r="CE177" i="1"/>
  <c r="CH177" i="1" s="1"/>
  <c r="CF177" i="1"/>
  <c r="CC178" i="1"/>
  <c r="CG178" i="1" s="1"/>
  <c r="CD178" i="1"/>
  <c r="CE178" i="1"/>
  <c r="CH178" i="1" s="1"/>
  <c r="CF178" i="1"/>
  <c r="CC179" i="1"/>
  <c r="CG179" i="1" s="1"/>
  <c r="CD179" i="1"/>
  <c r="CE179" i="1"/>
  <c r="CH179" i="1" s="1"/>
  <c r="CF179" i="1"/>
  <c r="CC180" i="1"/>
  <c r="CG180" i="1" s="1"/>
  <c r="CD180" i="1"/>
  <c r="CE180" i="1"/>
  <c r="CH180" i="1" s="1"/>
  <c r="CF180" i="1"/>
  <c r="CC181" i="1"/>
  <c r="CG181" i="1" s="1"/>
  <c r="CD181" i="1"/>
  <c r="CE181" i="1"/>
  <c r="CH181" i="1" s="1"/>
  <c r="CF181" i="1"/>
  <c r="CC182" i="1"/>
  <c r="CG182" i="1" s="1"/>
  <c r="CD182" i="1"/>
  <c r="CE182" i="1"/>
  <c r="CH182" i="1" s="1"/>
  <c r="CF182" i="1"/>
  <c r="CC183" i="1"/>
  <c r="CG183" i="1" s="1"/>
  <c r="CD183" i="1"/>
  <c r="CE183" i="1"/>
  <c r="CH183" i="1" s="1"/>
  <c r="CF183" i="1"/>
  <c r="CC184" i="1"/>
  <c r="CG184" i="1" s="1"/>
  <c r="CD184" i="1"/>
  <c r="CE184" i="1"/>
  <c r="CH184" i="1" s="1"/>
  <c r="CF184" i="1"/>
  <c r="CC185" i="1"/>
  <c r="CG185" i="1" s="1"/>
  <c r="CD185" i="1"/>
  <c r="CE185" i="1"/>
  <c r="CH185" i="1" s="1"/>
  <c r="CF185" i="1"/>
  <c r="CC186" i="1"/>
  <c r="CG186" i="1" s="1"/>
  <c r="CD186" i="1"/>
  <c r="CE186" i="1"/>
  <c r="CH186" i="1" s="1"/>
  <c r="CF186" i="1"/>
  <c r="CC187" i="1"/>
  <c r="CG187" i="1" s="1"/>
  <c r="CD187" i="1"/>
  <c r="CE187" i="1"/>
  <c r="CH187" i="1" s="1"/>
  <c r="CF187" i="1"/>
  <c r="CC188" i="1"/>
  <c r="CG188" i="1" s="1"/>
  <c r="CD188" i="1"/>
  <c r="CE188" i="1"/>
  <c r="CH188" i="1" s="1"/>
  <c r="CF188" i="1"/>
  <c r="CC189" i="1"/>
  <c r="CG189" i="1" s="1"/>
  <c r="CD189" i="1"/>
  <c r="CE189" i="1"/>
  <c r="CH189" i="1" s="1"/>
  <c r="CF189" i="1"/>
  <c r="CC190" i="1"/>
  <c r="CG190" i="1" s="1"/>
  <c r="CD190" i="1"/>
  <c r="CE190" i="1"/>
  <c r="CH190" i="1" s="1"/>
  <c r="CF190" i="1"/>
  <c r="CC191" i="1"/>
  <c r="CG191" i="1" s="1"/>
  <c r="CD191" i="1"/>
  <c r="CE191" i="1"/>
  <c r="CH191" i="1" s="1"/>
  <c r="CF191" i="1"/>
  <c r="CC192" i="1"/>
  <c r="CG192" i="1" s="1"/>
  <c r="CD192" i="1"/>
  <c r="CE192" i="1"/>
  <c r="CH192" i="1" s="1"/>
  <c r="CF192" i="1"/>
  <c r="CC193" i="1"/>
  <c r="CG193" i="1" s="1"/>
  <c r="CD193" i="1"/>
  <c r="CE193" i="1"/>
  <c r="CH193" i="1" s="1"/>
  <c r="CF193" i="1"/>
  <c r="CC194" i="1"/>
  <c r="CG194" i="1" s="1"/>
  <c r="CD194" i="1"/>
  <c r="CE194" i="1"/>
  <c r="CH194" i="1" s="1"/>
  <c r="CF194" i="1"/>
  <c r="CC195" i="1"/>
  <c r="CG195" i="1" s="1"/>
  <c r="CD195" i="1"/>
  <c r="CE195" i="1"/>
  <c r="CH195" i="1" s="1"/>
  <c r="CF195" i="1"/>
  <c r="CC196" i="1"/>
  <c r="CG196" i="1" s="1"/>
  <c r="CD196" i="1"/>
  <c r="CE196" i="1"/>
  <c r="CH196" i="1" s="1"/>
  <c r="CF196" i="1"/>
  <c r="CC197" i="1"/>
  <c r="CG197" i="1" s="1"/>
  <c r="CD197" i="1"/>
  <c r="CE197" i="1"/>
  <c r="CH197" i="1" s="1"/>
  <c r="CF197" i="1"/>
  <c r="CC198" i="1"/>
  <c r="CG198" i="1" s="1"/>
  <c r="CD198" i="1"/>
  <c r="CE198" i="1"/>
  <c r="CH198" i="1" s="1"/>
  <c r="CF198" i="1"/>
  <c r="CC199" i="1"/>
  <c r="CG199" i="1" s="1"/>
  <c r="CD199" i="1"/>
  <c r="CE199" i="1"/>
  <c r="CH199" i="1" s="1"/>
  <c r="CF199" i="1"/>
  <c r="CC200" i="1"/>
  <c r="CG200" i="1" s="1"/>
  <c r="CD200" i="1"/>
  <c r="CE200" i="1"/>
  <c r="CH200" i="1" s="1"/>
  <c r="CF200" i="1"/>
  <c r="CC201" i="1"/>
  <c r="CG201" i="1" s="1"/>
  <c r="CD201" i="1"/>
  <c r="CE201" i="1"/>
  <c r="CH201" i="1" s="1"/>
  <c r="CF201" i="1"/>
  <c r="CC202" i="1"/>
  <c r="CG202" i="1" s="1"/>
  <c r="CD202" i="1"/>
  <c r="CE202" i="1"/>
  <c r="CH202" i="1" s="1"/>
  <c r="CF202" i="1"/>
  <c r="CC203" i="1"/>
  <c r="CG203" i="1" s="1"/>
  <c r="CD203" i="1"/>
  <c r="CE203" i="1"/>
  <c r="CH203" i="1" s="1"/>
  <c r="CF203" i="1"/>
  <c r="CC204" i="1"/>
  <c r="CG204" i="1" s="1"/>
  <c r="CD204" i="1"/>
  <c r="CE204" i="1"/>
  <c r="CH204" i="1" s="1"/>
  <c r="CF204" i="1"/>
  <c r="CC205" i="1"/>
  <c r="CG205" i="1" s="1"/>
  <c r="CD205" i="1"/>
  <c r="CE205" i="1"/>
  <c r="CH205" i="1" s="1"/>
  <c r="CF205" i="1"/>
  <c r="CC206" i="1"/>
  <c r="CG206" i="1" s="1"/>
  <c r="CD206" i="1"/>
  <c r="CE206" i="1"/>
  <c r="CH206" i="1" s="1"/>
  <c r="CF206" i="1"/>
  <c r="CC207" i="1"/>
  <c r="CG207" i="1" s="1"/>
  <c r="CD207" i="1"/>
  <c r="CE207" i="1"/>
  <c r="CH207" i="1" s="1"/>
  <c r="CF207" i="1"/>
  <c r="CC208" i="1"/>
  <c r="CG208" i="1" s="1"/>
  <c r="CD208" i="1"/>
  <c r="CE208" i="1"/>
  <c r="CH208" i="1" s="1"/>
  <c r="CF208" i="1"/>
  <c r="CC209" i="1"/>
  <c r="CG209" i="1" s="1"/>
  <c r="CD209" i="1"/>
  <c r="CE209" i="1"/>
  <c r="CH209" i="1" s="1"/>
  <c r="CF209" i="1"/>
  <c r="CC210" i="1"/>
  <c r="CG210" i="1" s="1"/>
  <c r="CD210" i="1"/>
  <c r="CE210" i="1"/>
  <c r="CH210" i="1" s="1"/>
  <c r="CF210" i="1"/>
  <c r="CC211" i="1"/>
  <c r="CG211" i="1" s="1"/>
  <c r="CD211" i="1"/>
  <c r="CE211" i="1"/>
  <c r="CH211" i="1" s="1"/>
  <c r="CF211" i="1"/>
  <c r="CC212" i="1"/>
  <c r="CG212" i="1" s="1"/>
  <c r="CD212" i="1"/>
  <c r="CE212" i="1"/>
  <c r="CH212" i="1" s="1"/>
  <c r="CF212" i="1"/>
  <c r="CC213" i="1"/>
  <c r="CG213" i="1" s="1"/>
  <c r="CD213" i="1"/>
  <c r="CE213" i="1"/>
  <c r="CH213" i="1" s="1"/>
  <c r="CF213" i="1"/>
  <c r="CC214" i="1"/>
  <c r="CG214" i="1" s="1"/>
  <c r="CD214" i="1"/>
  <c r="CE214" i="1"/>
  <c r="CH214" i="1" s="1"/>
  <c r="CF214" i="1"/>
  <c r="CC215" i="1"/>
  <c r="CG215" i="1" s="1"/>
  <c r="CD215" i="1"/>
  <c r="CE215" i="1"/>
  <c r="CH215" i="1" s="1"/>
  <c r="CF215" i="1"/>
  <c r="CC216" i="1"/>
  <c r="CG216" i="1" s="1"/>
  <c r="CD216" i="1"/>
  <c r="CE216" i="1"/>
  <c r="CH216" i="1" s="1"/>
  <c r="CF216" i="1"/>
  <c r="CC217" i="1"/>
  <c r="CG217" i="1" s="1"/>
  <c r="CD217" i="1"/>
  <c r="CE217" i="1"/>
  <c r="CH217" i="1" s="1"/>
  <c r="CF217" i="1"/>
  <c r="CC218" i="1"/>
  <c r="CG218" i="1" s="1"/>
  <c r="CD218" i="1"/>
  <c r="CE218" i="1"/>
  <c r="CH218" i="1" s="1"/>
  <c r="CF218" i="1"/>
  <c r="CC219" i="1"/>
  <c r="CG219" i="1" s="1"/>
  <c r="CD219" i="1"/>
  <c r="CE219" i="1"/>
  <c r="CH219" i="1" s="1"/>
  <c r="CF219" i="1"/>
  <c r="CC220" i="1"/>
  <c r="CG220" i="1" s="1"/>
  <c r="CD220" i="1"/>
  <c r="CE220" i="1"/>
  <c r="CH220" i="1" s="1"/>
  <c r="CF220" i="1"/>
  <c r="CC221" i="1"/>
  <c r="CG221" i="1" s="1"/>
  <c r="CD221" i="1"/>
  <c r="CE221" i="1"/>
  <c r="CH221" i="1" s="1"/>
  <c r="CF221" i="1"/>
  <c r="CC222" i="1"/>
  <c r="CG222" i="1" s="1"/>
  <c r="CD222" i="1"/>
  <c r="CE222" i="1"/>
  <c r="CH222" i="1" s="1"/>
  <c r="CF222" i="1"/>
  <c r="CC223" i="1"/>
  <c r="CG223" i="1" s="1"/>
  <c r="CD223" i="1"/>
  <c r="CE223" i="1"/>
  <c r="CH223" i="1" s="1"/>
  <c r="CF223" i="1"/>
  <c r="CC224" i="1"/>
  <c r="CG224" i="1" s="1"/>
  <c r="CD224" i="1"/>
  <c r="CE224" i="1"/>
  <c r="CH224" i="1" s="1"/>
  <c r="CF224" i="1"/>
  <c r="CC225" i="1"/>
  <c r="CG225" i="1" s="1"/>
  <c r="CD225" i="1"/>
  <c r="CE225" i="1"/>
  <c r="CH225" i="1" s="1"/>
  <c r="CF225" i="1"/>
  <c r="CC226" i="1"/>
  <c r="CG226" i="1" s="1"/>
  <c r="CD226" i="1"/>
  <c r="CE226" i="1"/>
  <c r="CH226" i="1" s="1"/>
  <c r="CF226" i="1"/>
  <c r="CC227" i="1"/>
  <c r="CG227" i="1" s="1"/>
  <c r="CD227" i="1"/>
  <c r="CE227" i="1"/>
  <c r="CH227" i="1" s="1"/>
  <c r="CF227" i="1"/>
  <c r="CC228" i="1"/>
  <c r="CG228" i="1" s="1"/>
  <c r="CD228" i="1"/>
  <c r="CE228" i="1"/>
  <c r="CH228" i="1" s="1"/>
  <c r="CF228" i="1"/>
  <c r="CC229" i="1"/>
  <c r="CG229" i="1" s="1"/>
  <c r="CD229" i="1"/>
  <c r="CE229" i="1"/>
  <c r="CH229" i="1" s="1"/>
  <c r="CF229" i="1"/>
  <c r="CC230" i="1"/>
  <c r="CG230" i="1" s="1"/>
  <c r="CD230" i="1"/>
  <c r="CE230" i="1"/>
  <c r="CH230" i="1" s="1"/>
  <c r="CF230" i="1"/>
  <c r="CC231" i="1"/>
  <c r="CG231" i="1" s="1"/>
  <c r="CD231" i="1"/>
  <c r="CE231" i="1"/>
  <c r="CH231" i="1" s="1"/>
  <c r="CF231" i="1"/>
  <c r="CC232" i="1"/>
  <c r="CG232" i="1" s="1"/>
  <c r="CD232" i="1"/>
  <c r="CE232" i="1"/>
  <c r="CH232" i="1" s="1"/>
  <c r="CF232" i="1"/>
  <c r="CC233" i="1"/>
  <c r="CG233" i="1" s="1"/>
  <c r="CD233" i="1"/>
  <c r="CE233" i="1"/>
  <c r="CH233" i="1" s="1"/>
  <c r="CF233" i="1"/>
  <c r="CC234" i="1"/>
  <c r="CG234" i="1" s="1"/>
  <c r="CD234" i="1"/>
  <c r="CE234" i="1"/>
  <c r="CH234" i="1" s="1"/>
  <c r="CF234" i="1"/>
  <c r="CC235" i="1"/>
  <c r="CG235" i="1" s="1"/>
  <c r="CD235" i="1"/>
  <c r="CE235" i="1"/>
  <c r="CH235" i="1" s="1"/>
  <c r="CF235" i="1"/>
  <c r="CC236" i="1"/>
  <c r="CG236" i="1" s="1"/>
  <c r="CD236" i="1"/>
  <c r="CE236" i="1"/>
  <c r="CH236" i="1" s="1"/>
  <c r="CF236" i="1"/>
  <c r="CC237" i="1"/>
  <c r="CG237" i="1" s="1"/>
  <c r="CD237" i="1"/>
  <c r="CE237" i="1"/>
  <c r="CH237" i="1" s="1"/>
  <c r="CF237" i="1"/>
  <c r="CC238" i="1"/>
  <c r="CG238" i="1" s="1"/>
  <c r="CD238" i="1"/>
  <c r="CE238" i="1"/>
  <c r="CH238" i="1" s="1"/>
  <c r="CF238" i="1"/>
  <c r="CC239" i="1"/>
  <c r="CG239" i="1" s="1"/>
  <c r="CD239" i="1"/>
  <c r="CE239" i="1"/>
  <c r="CH239" i="1" s="1"/>
  <c r="CF239" i="1"/>
  <c r="CC240" i="1"/>
  <c r="CG240" i="1" s="1"/>
  <c r="CD240" i="1"/>
  <c r="CE240" i="1"/>
  <c r="CH240" i="1" s="1"/>
  <c r="CF240" i="1"/>
  <c r="CC241" i="1"/>
  <c r="CG241" i="1" s="1"/>
  <c r="CD241" i="1"/>
  <c r="CE241" i="1"/>
  <c r="CH241" i="1" s="1"/>
  <c r="CF241" i="1"/>
  <c r="CC242" i="1"/>
  <c r="CG242" i="1" s="1"/>
  <c r="CD242" i="1"/>
  <c r="CE242" i="1"/>
  <c r="CH242" i="1" s="1"/>
  <c r="CF242" i="1"/>
  <c r="CC243" i="1"/>
  <c r="CG243" i="1" s="1"/>
  <c r="CD243" i="1"/>
  <c r="CE243" i="1"/>
  <c r="CH243" i="1" s="1"/>
  <c r="CF243" i="1"/>
  <c r="CC244" i="1"/>
  <c r="CG244" i="1" s="1"/>
  <c r="CD244" i="1"/>
  <c r="CE244" i="1"/>
  <c r="CH244" i="1" s="1"/>
  <c r="CF244" i="1"/>
  <c r="CC245" i="1"/>
  <c r="CG245" i="1" s="1"/>
  <c r="CD245" i="1"/>
  <c r="CE245" i="1"/>
  <c r="CH245" i="1" s="1"/>
  <c r="CF245" i="1"/>
  <c r="CC246" i="1"/>
  <c r="CG246" i="1" s="1"/>
  <c r="CD246" i="1"/>
  <c r="CE246" i="1"/>
  <c r="CH246" i="1" s="1"/>
  <c r="CF246" i="1"/>
  <c r="CC247" i="1"/>
  <c r="CG247" i="1" s="1"/>
  <c r="CD247" i="1"/>
  <c r="CE247" i="1"/>
  <c r="CH247" i="1" s="1"/>
  <c r="CF247" i="1"/>
  <c r="CC248" i="1"/>
  <c r="CG248" i="1" s="1"/>
  <c r="CD248" i="1"/>
  <c r="CE248" i="1"/>
  <c r="CH248" i="1" s="1"/>
  <c r="CF248" i="1"/>
  <c r="CC249" i="1"/>
  <c r="CG249" i="1" s="1"/>
  <c r="CD249" i="1"/>
  <c r="CE249" i="1"/>
  <c r="CH249" i="1" s="1"/>
  <c r="CF249" i="1"/>
  <c r="CC250" i="1"/>
  <c r="CG250" i="1" s="1"/>
  <c r="CD250" i="1"/>
  <c r="CE250" i="1"/>
  <c r="CH250" i="1" s="1"/>
  <c r="CF250" i="1"/>
  <c r="CC251" i="1"/>
  <c r="CG251" i="1" s="1"/>
  <c r="CD251" i="1"/>
  <c r="CE251" i="1"/>
  <c r="CH251" i="1" s="1"/>
  <c r="CF251" i="1"/>
  <c r="CC252" i="1"/>
  <c r="CG252" i="1" s="1"/>
  <c r="CD252" i="1"/>
  <c r="CE252" i="1"/>
  <c r="CH252" i="1" s="1"/>
  <c r="CF252" i="1"/>
  <c r="CC253" i="1"/>
  <c r="CG253" i="1" s="1"/>
  <c r="CD253" i="1"/>
  <c r="CE253" i="1"/>
  <c r="CH253" i="1" s="1"/>
  <c r="CF253" i="1"/>
  <c r="CC254" i="1"/>
  <c r="CG254" i="1" s="1"/>
  <c r="CD254" i="1"/>
  <c r="CE254" i="1"/>
  <c r="CH254" i="1" s="1"/>
  <c r="CF254" i="1"/>
  <c r="CC255" i="1"/>
  <c r="CG255" i="1" s="1"/>
  <c r="CD255" i="1"/>
  <c r="CE255" i="1"/>
  <c r="CH255" i="1" s="1"/>
  <c r="CF255" i="1"/>
  <c r="CC256" i="1"/>
  <c r="CG256" i="1" s="1"/>
  <c r="CD256" i="1"/>
  <c r="CE256" i="1"/>
  <c r="CH256" i="1" s="1"/>
  <c r="CF256" i="1"/>
  <c r="CC257" i="1"/>
  <c r="CG257" i="1" s="1"/>
  <c r="CD257" i="1"/>
  <c r="CE257" i="1"/>
  <c r="CH257" i="1" s="1"/>
  <c r="CF257" i="1"/>
  <c r="CC258" i="1"/>
  <c r="CG258" i="1" s="1"/>
  <c r="CD258" i="1"/>
  <c r="CE258" i="1"/>
  <c r="CH258" i="1" s="1"/>
  <c r="CF258" i="1"/>
  <c r="CC259" i="1"/>
  <c r="CG259" i="1" s="1"/>
  <c r="CD259" i="1"/>
  <c r="CE259" i="1"/>
  <c r="CH259" i="1" s="1"/>
  <c r="CF259" i="1"/>
  <c r="CC260" i="1"/>
  <c r="CG260" i="1" s="1"/>
  <c r="CD260" i="1"/>
  <c r="CE260" i="1"/>
  <c r="CH260" i="1" s="1"/>
  <c r="CF260" i="1"/>
  <c r="CC261" i="1"/>
  <c r="CG261" i="1" s="1"/>
  <c r="CD261" i="1"/>
  <c r="CE261" i="1"/>
  <c r="CH261" i="1" s="1"/>
  <c r="CF261" i="1"/>
  <c r="CC262" i="1"/>
  <c r="CG262" i="1" s="1"/>
  <c r="CD262" i="1"/>
  <c r="CE262" i="1"/>
  <c r="CH262" i="1" s="1"/>
  <c r="CF262" i="1"/>
  <c r="CC263" i="1"/>
  <c r="CG263" i="1" s="1"/>
  <c r="CD263" i="1"/>
  <c r="CE263" i="1"/>
  <c r="CH263" i="1" s="1"/>
  <c r="CF263" i="1"/>
  <c r="CC264" i="1"/>
  <c r="CG264" i="1" s="1"/>
  <c r="CD264" i="1"/>
  <c r="CE264" i="1"/>
  <c r="CH264" i="1" s="1"/>
  <c r="CF264" i="1"/>
  <c r="CC265" i="1"/>
  <c r="CG265" i="1" s="1"/>
  <c r="CD265" i="1"/>
  <c r="CE265" i="1"/>
  <c r="CH265" i="1" s="1"/>
  <c r="CF265" i="1"/>
  <c r="CC266" i="1"/>
  <c r="CG266" i="1" s="1"/>
  <c r="CD266" i="1"/>
  <c r="CE266" i="1"/>
  <c r="CH266" i="1" s="1"/>
  <c r="CF266" i="1"/>
  <c r="CC267" i="1"/>
  <c r="CG267" i="1" s="1"/>
  <c r="CD267" i="1"/>
  <c r="CE267" i="1"/>
  <c r="CH267" i="1" s="1"/>
  <c r="CF267" i="1"/>
  <c r="CC268" i="1"/>
  <c r="CG268" i="1" s="1"/>
  <c r="CD268" i="1"/>
  <c r="CE268" i="1"/>
  <c r="CH268" i="1" s="1"/>
  <c r="CF268" i="1"/>
  <c r="CC269" i="1"/>
  <c r="CG269" i="1" s="1"/>
  <c r="CD269" i="1"/>
  <c r="CE269" i="1"/>
  <c r="CH269" i="1" s="1"/>
  <c r="CF269" i="1"/>
  <c r="CC270" i="1"/>
  <c r="CG270" i="1" s="1"/>
  <c r="CD270" i="1"/>
  <c r="CE270" i="1"/>
  <c r="CH270" i="1" s="1"/>
  <c r="CF270" i="1"/>
  <c r="CC271" i="1"/>
  <c r="CG271" i="1" s="1"/>
  <c r="CD271" i="1"/>
  <c r="CE271" i="1"/>
  <c r="CH271" i="1" s="1"/>
  <c r="CF271" i="1"/>
  <c r="CC272" i="1"/>
  <c r="CG272" i="1" s="1"/>
  <c r="CD272" i="1"/>
  <c r="CE272" i="1"/>
  <c r="CH272" i="1" s="1"/>
  <c r="CF272" i="1"/>
  <c r="CC273" i="1"/>
  <c r="CG273" i="1" s="1"/>
  <c r="CD273" i="1"/>
  <c r="CE273" i="1"/>
  <c r="CH273" i="1" s="1"/>
  <c r="CF273" i="1"/>
  <c r="CC274" i="1"/>
  <c r="CG274" i="1" s="1"/>
  <c r="CD274" i="1"/>
  <c r="CE274" i="1"/>
  <c r="CH274" i="1" s="1"/>
  <c r="CF274" i="1"/>
  <c r="CC275" i="1"/>
  <c r="CG275" i="1" s="1"/>
  <c r="CD275" i="1"/>
  <c r="CE275" i="1"/>
  <c r="CH275" i="1" s="1"/>
  <c r="CF275" i="1"/>
  <c r="CC276" i="1"/>
  <c r="CG276" i="1" s="1"/>
  <c r="CD276" i="1"/>
  <c r="CE276" i="1"/>
  <c r="CH276" i="1" s="1"/>
  <c r="CF276" i="1"/>
  <c r="CC277" i="1"/>
  <c r="CG277" i="1" s="1"/>
  <c r="CD277" i="1"/>
  <c r="CE277" i="1"/>
  <c r="CH277" i="1" s="1"/>
  <c r="CF277" i="1"/>
  <c r="CC278" i="1"/>
  <c r="CG278" i="1" s="1"/>
  <c r="CD278" i="1"/>
  <c r="CE278" i="1"/>
  <c r="CH278" i="1" s="1"/>
  <c r="CF278" i="1"/>
  <c r="CC279" i="1"/>
  <c r="CG279" i="1" s="1"/>
  <c r="CD279" i="1"/>
  <c r="CE279" i="1"/>
  <c r="CH279" i="1" s="1"/>
  <c r="CF279" i="1"/>
  <c r="CC280" i="1"/>
  <c r="CG280" i="1" s="1"/>
  <c r="CD280" i="1"/>
  <c r="CE280" i="1"/>
  <c r="CH280" i="1" s="1"/>
  <c r="CF280" i="1"/>
  <c r="CC281" i="1"/>
  <c r="CG281" i="1" s="1"/>
  <c r="CD281" i="1"/>
  <c r="CE281" i="1"/>
  <c r="CH281" i="1" s="1"/>
  <c r="CF281" i="1"/>
  <c r="CC282" i="1"/>
  <c r="CG282" i="1" s="1"/>
  <c r="CD282" i="1"/>
  <c r="CE282" i="1"/>
  <c r="CH282" i="1" s="1"/>
  <c r="CF282" i="1"/>
  <c r="CC283" i="1"/>
  <c r="CG283" i="1" s="1"/>
  <c r="CD283" i="1"/>
  <c r="CE283" i="1"/>
  <c r="CH283" i="1" s="1"/>
  <c r="CF283" i="1"/>
  <c r="CC284" i="1"/>
  <c r="CG284" i="1" s="1"/>
  <c r="CD284" i="1"/>
  <c r="CE284" i="1"/>
  <c r="CH284" i="1" s="1"/>
  <c r="CF284" i="1"/>
  <c r="CC285" i="1"/>
  <c r="CG285" i="1" s="1"/>
  <c r="CD285" i="1"/>
  <c r="CE285" i="1"/>
  <c r="CH285" i="1" s="1"/>
  <c r="CF285" i="1"/>
  <c r="CC286" i="1"/>
  <c r="CG286" i="1" s="1"/>
  <c r="CD286" i="1"/>
  <c r="CE286" i="1"/>
  <c r="CH286" i="1" s="1"/>
  <c r="CF286" i="1"/>
  <c r="CC287" i="1"/>
  <c r="CG287" i="1" s="1"/>
  <c r="CD287" i="1"/>
  <c r="CE287" i="1"/>
  <c r="CH287" i="1" s="1"/>
  <c r="CF287" i="1"/>
  <c r="CC288" i="1"/>
  <c r="CG288" i="1" s="1"/>
  <c r="CD288" i="1"/>
  <c r="CE288" i="1"/>
  <c r="CH288" i="1" s="1"/>
  <c r="CF288" i="1"/>
  <c r="CC289" i="1"/>
  <c r="CG289" i="1" s="1"/>
  <c r="CD289" i="1"/>
  <c r="CE289" i="1"/>
  <c r="CH289" i="1" s="1"/>
  <c r="CF289" i="1"/>
  <c r="CC290" i="1"/>
  <c r="CG290" i="1" s="1"/>
  <c r="CD290" i="1"/>
  <c r="CE290" i="1"/>
  <c r="CH290" i="1" s="1"/>
  <c r="CF290" i="1"/>
  <c r="CC291" i="1"/>
  <c r="CG291" i="1" s="1"/>
  <c r="CD291" i="1"/>
  <c r="CE291" i="1"/>
  <c r="CH291" i="1" s="1"/>
  <c r="CF291" i="1"/>
  <c r="CC292" i="1"/>
  <c r="CG292" i="1" s="1"/>
  <c r="CD292" i="1"/>
  <c r="CE292" i="1"/>
  <c r="CH292" i="1" s="1"/>
  <c r="CF292" i="1"/>
  <c r="CC293" i="1"/>
  <c r="CG293" i="1" s="1"/>
  <c r="CD293" i="1"/>
  <c r="CE293" i="1"/>
  <c r="CH293" i="1" s="1"/>
  <c r="CF293" i="1"/>
  <c r="CC294" i="1"/>
  <c r="CG294" i="1" s="1"/>
  <c r="CD294" i="1"/>
  <c r="CE294" i="1"/>
  <c r="CH294" i="1" s="1"/>
  <c r="CF294" i="1"/>
  <c r="CC295" i="1"/>
  <c r="CG295" i="1" s="1"/>
  <c r="CD295" i="1"/>
  <c r="CE295" i="1"/>
  <c r="CH295" i="1" s="1"/>
  <c r="CF295" i="1"/>
  <c r="CC296" i="1"/>
  <c r="CD296" i="1"/>
  <c r="CE296" i="1"/>
  <c r="CC297" i="1"/>
  <c r="CG297" i="1" s="1"/>
  <c r="CD297" i="1"/>
  <c r="CE297" i="1"/>
  <c r="CH297" i="1" s="1"/>
  <c r="CF297" i="1"/>
  <c r="CC298" i="1"/>
  <c r="CG298" i="1" s="1"/>
  <c r="CD298" i="1"/>
  <c r="CE298" i="1"/>
  <c r="CH298" i="1" s="1"/>
  <c r="CF298" i="1"/>
  <c r="CC299" i="1"/>
  <c r="CG299" i="1" s="1"/>
  <c r="CD299" i="1"/>
  <c r="CE299" i="1"/>
  <c r="CH299" i="1" s="1"/>
  <c r="CF299" i="1"/>
  <c r="CC300" i="1"/>
  <c r="CG300" i="1" s="1"/>
  <c r="CD300" i="1"/>
  <c r="CE300" i="1"/>
  <c r="CH300" i="1" s="1"/>
  <c r="CF300" i="1"/>
  <c r="CC301" i="1"/>
  <c r="CG301" i="1" s="1"/>
  <c r="CD301" i="1"/>
  <c r="CE301" i="1"/>
  <c r="CH301" i="1" s="1"/>
  <c r="CF301" i="1"/>
  <c r="CC302" i="1"/>
  <c r="CG302" i="1" s="1"/>
  <c r="CD302" i="1"/>
  <c r="CE302" i="1"/>
  <c r="CH302" i="1" s="1"/>
  <c r="CF302" i="1"/>
  <c r="CC303" i="1"/>
  <c r="CG303" i="1" s="1"/>
  <c r="CD303" i="1"/>
  <c r="CE303" i="1"/>
  <c r="CH303" i="1" s="1"/>
  <c r="CF303" i="1"/>
  <c r="CC304" i="1"/>
  <c r="CG304" i="1" s="1"/>
  <c r="CD304" i="1"/>
  <c r="CE304" i="1"/>
  <c r="CH304" i="1" s="1"/>
  <c r="CF304" i="1"/>
  <c r="CC305" i="1"/>
  <c r="CG305" i="1" s="1"/>
  <c r="CD305" i="1"/>
  <c r="CE305" i="1"/>
  <c r="CH305" i="1" s="1"/>
  <c r="CF305" i="1"/>
  <c r="CC306" i="1"/>
  <c r="CG306" i="1" s="1"/>
  <c r="CD306" i="1"/>
  <c r="CE306" i="1"/>
  <c r="CH306" i="1" s="1"/>
  <c r="CF306" i="1"/>
  <c r="CC307" i="1"/>
  <c r="CG307" i="1" s="1"/>
  <c r="CD307" i="1"/>
  <c r="CE307" i="1"/>
  <c r="CH307" i="1" s="1"/>
  <c r="CF307" i="1"/>
  <c r="CC308" i="1"/>
  <c r="CG308" i="1" s="1"/>
  <c r="CD308" i="1"/>
  <c r="CE308" i="1"/>
  <c r="CH308" i="1" s="1"/>
  <c r="CF308" i="1"/>
  <c r="CC309" i="1"/>
  <c r="CG309" i="1" s="1"/>
  <c r="CD309" i="1"/>
  <c r="CE309" i="1"/>
  <c r="CH309" i="1" s="1"/>
  <c r="CF309" i="1"/>
  <c r="CC310" i="1"/>
  <c r="CG310" i="1" s="1"/>
  <c r="CD310" i="1"/>
  <c r="CE310" i="1"/>
  <c r="CH310" i="1" s="1"/>
  <c r="CF310" i="1"/>
  <c r="CC311" i="1"/>
  <c r="CG311" i="1" s="1"/>
  <c r="CD311" i="1"/>
  <c r="CE311" i="1"/>
  <c r="CH311" i="1" s="1"/>
  <c r="CF311" i="1"/>
  <c r="CC312" i="1"/>
  <c r="CG312" i="1" s="1"/>
  <c r="CD312" i="1"/>
  <c r="CE312" i="1"/>
  <c r="CH312" i="1" s="1"/>
  <c r="CF312" i="1"/>
  <c r="CC313" i="1"/>
  <c r="CG313" i="1" s="1"/>
  <c r="CD313" i="1"/>
  <c r="CE313" i="1"/>
  <c r="CH313" i="1" s="1"/>
  <c r="CF313" i="1"/>
  <c r="CC314" i="1"/>
  <c r="CG314" i="1" s="1"/>
  <c r="CD314" i="1"/>
  <c r="CE314" i="1"/>
  <c r="CH314" i="1" s="1"/>
  <c r="CF314" i="1"/>
  <c r="CC315" i="1"/>
  <c r="CG315" i="1" s="1"/>
  <c r="CD315" i="1"/>
  <c r="CE315" i="1"/>
  <c r="CH315" i="1" s="1"/>
  <c r="CF315" i="1"/>
  <c r="CC316" i="1"/>
  <c r="CG316" i="1" s="1"/>
  <c r="CD316" i="1"/>
  <c r="CE316" i="1"/>
  <c r="CH316" i="1" s="1"/>
  <c r="CF316" i="1"/>
  <c r="CC317" i="1"/>
  <c r="CG317" i="1" s="1"/>
  <c r="CD317" i="1"/>
  <c r="CE317" i="1"/>
  <c r="CH317" i="1" s="1"/>
  <c r="CF317" i="1"/>
  <c r="CC318" i="1"/>
  <c r="CG318" i="1" s="1"/>
  <c r="CD318" i="1"/>
  <c r="CE318" i="1"/>
  <c r="CH318" i="1" s="1"/>
  <c r="CF318" i="1"/>
  <c r="CC319" i="1"/>
  <c r="CG319" i="1" s="1"/>
  <c r="CD319" i="1"/>
  <c r="CE319" i="1"/>
  <c r="CH319" i="1" s="1"/>
  <c r="CF319" i="1"/>
  <c r="CC320" i="1"/>
  <c r="CG320" i="1" s="1"/>
  <c r="CD320" i="1"/>
  <c r="CE320" i="1"/>
  <c r="CH320" i="1" s="1"/>
  <c r="CF320" i="1"/>
  <c r="CC321" i="1"/>
  <c r="CG321" i="1" s="1"/>
  <c r="CD321" i="1"/>
  <c r="CE321" i="1"/>
  <c r="CH321" i="1" s="1"/>
  <c r="CF321" i="1"/>
  <c r="CF322" i="1"/>
  <c r="CC323" i="1"/>
  <c r="CG323" i="1" s="1"/>
  <c r="CD323" i="1"/>
  <c r="CE323" i="1"/>
  <c r="CH323" i="1" s="1"/>
  <c r="CF323" i="1"/>
  <c r="CC324" i="1"/>
  <c r="CG324" i="1" s="1"/>
  <c r="CD324" i="1"/>
  <c r="CE324" i="1"/>
  <c r="CH324" i="1" s="1"/>
  <c r="CF324" i="1"/>
  <c r="CC325" i="1"/>
  <c r="CG325" i="1" s="1"/>
  <c r="CD325" i="1"/>
  <c r="CE325" i="1"/>
  <c r="CH325" i="1" s="1"/>
  <c r="CF325" i="1"/>
  <c r="CC326" i="1"/>
  <c r="CG326" i="1" s="1"/>
  <c r="CD326" i="1"/>
  <c r="CE326" i="1"/>
  <c r="CH326" i="1" s="1"/>
  <c r="CF326" i="1"/>
  <c r="CC327" i="1"/>
  <c r="CG327" i="1" s="1"/>
  <c r="CD327" i="1"/>
  <c r="CE327" i="1"/>
  <c r="CH327" i="1" s="1"/>
  <c r="CF327" i="1"/>
  <c r="CC328" i="1"/>
  <c r="CG328" i="1" s="1"/>
  <c r="CD328" i="1"/>
  <c r="CE328" i="1"/>
  <c r="CH328" i="1" s="1"/>
  <c r="CF328" i="1"/>
  <c r="CC329" i="1"/>
  <c r="CG329" i="1" s="1"/>
  <c r="CD329" i="1"/>
  <c r="CE329" i="1"/>
  <c r="CH329" i="1" s="1"/>
  <c r="CF329" i="1"/>
  <c r="CC330" i="1"/>
  <c r="CG330" i="1" s="1"/>
  <c r="CD330" i="1"/>
  <c r="CE330" i="1"/>
  <c r="CH330" i="1" s="1"/>
  <c r="CF330" i="1"/>
  <c r="CC331" i="1"/>
  <c r="CG331" i="1" s="1"/>
  <c r="CD331" i="1"/>
  <c r="CE331" i="1"/>
  <c r="CH331" i="1" s="1"/>
  <c r="CF331" i="1"/>
  <c r="CF332" i="1"/>
  <c r="CC333" i="1"/>
  <c r="CG333" i="1" s="1"/>
  <c r="CD333" i="1"/>
  <c r="CE333" i="1"/>
  <c r="CH333" i="1" s="1"/>
  <c r="CF333" i="1"/>
  <c r="CC334" i="1"/>
  <c r="CG334" i="1" s="1"/>
  <c r="CD334" i="1"/>
  <c r="CE334" i="1"/>
  <c r="CH334" i="1" s="1"/>
  <c r="CF334" i="1"/>
  <c r="CC335" i="1"/>
  <c r="CG335" i="1" s="1"/>
  <c r="CD335" i="1"/>
  <c r="CE335" i="1"/>
  <c r="CH335" i="1" s="1"/>
  <c r="CF335" i="1"/>
  <c r="CC336" i="1"/>
  <c r="CG336" i="1" s="1"/>
  <c r="CD336" i="1"/>
  <c r="CE336" i="1"/>
  <c r="CH336" i="1" s="1"/>
  <c r="CF336" i="1"/>
  <c r="CC337" i="1"/>
  <c r="CG337" i="1" s="1"/>
  <c r="CD337" i="1"/>
  <c r="CE337" i="1"/>
  <c r="CH337" i="1" s="1"/>
  <c r="CF337" i="1"/>
  <c r="CC338" i="1"/>
  <c r="CG338" i="1" s="1"/>
  <c r="CD338" i="1"/>
  <c r="CE338" i="1"/>
  <c r="CH338" i="1" s="1"/>
  <c r="CF338" i="1"/>
  <c r="CC339" i="1"/>
  <c r="CG339" i="1" s="1"/>
  <c r="CD339" i="1"/>
  <c r="CE339" i="1"/>
  <c r="CH339" i="1" s="1"/>
  <c r="CF339" i="1"/>
  <c r="CC340" i="1"/>
  <c r="CG340" i="1" s="1"/>
  <c r="CD340" i="1"/>
  <c r="CE340" i="1"/>
  <c r="CH340" i="1" s="1"/>
  <c r="CF340" i="1"/>
  <c r="CC341" i="1"/>
  <c r="CG341" i="1" s="1"/>
  <c r="CD341" i="1"/>
  <c r="CE341" i="1"/>
  <c r="CH341" i="1" s="1"/>
  <c r="CF341" i="1"/>
  <c r="CC342" i="1"/>
  <c r="CG342" i="1" s="1"/>
  <c r="CD342" i="1"/>
  <c r="CE342" i="1"/>
  <c r="CH342" i="1" s="1"/>
  <c r="CF342" i="1"/>
  <c r="CC343" i="1"/>
  <c r="CG343" i="1" s="1"/>
  <c r="CD343" i="1"/>
  <c r="CE343" i="1"/>
  <c r="CH343" i="1" s="1"/>
  <c r="CF343" i="1"/>
  <c r="CC344" i="1"/>
  <c r="CG344" i="1" s="1"/>
  <c r="CD344" i="1"/>
  <c r="CE344" i="1"/>
  <c r="CH344" i="1" s="1"/>
  <c r="CF344" i="1"/>
  <c r="CC345" i="1"/>
  <c r="CG345" i="1" s="1"/>
  <c r="CD345" i="1"/>
  <c r="CE345" i="1"/>
  <c r="CH345" i="1" s="1"/>
  <c r="CF345" i="1"/>
  <c r="CC346" i="1"/>
  <c r="CG346" i="1" s="1"/>
  <c r="CD346" i="1"/>
  <c r="CE346" i="1"/>
  <c r="CH346" i="1" s="1"/>
  <c r="CF346" i="1"/>
  <c r="CC347" i="1"/>
  <c r="CG347" i="1" s="1"/>
  <c r="CD347" i="1"/>
  <c r="CE347" i="1"/>
  <c r="CH347" i="1" s="1"/>
  <c r="CF347" i="1"/>
  <c r="CC348" i="1"/>
  <c r="CG348" i="1" s="1"/>
  <c r="CD348" i="1"/>
  <c r="CE348" i="1"/>
  <c r="CH348" i="1" s="1"/>
  <c r="CF348" i="1"/>
  <c r="CC349" i="1"/>
  <c r="CG349" i="1" s="1"/>
  <c r="CD349" i="1"/>
  <c r="CE349" i="1"/>
  <c r="CH349" i="1" s="1"/>
  <c r="CF349" i="1"/>
  <c r="CC350" i="1"/>
  <c r="CG350" i="1" s="1"/>
  <c r="CD350" i="1"/>
  <c r="CE350" i="1"/>
  <c r="CH350" i="1" s="1"/>
  <c r="CF350" i="1"/>
  <c r="CC351" i="1"/>
  <c r="CG351" i="1" s="1"/>
  <c r="CD351" i="1"/>
  <c r="CE351" i="1"/>
  <c r="CH351" i="1" s="1"/>
  <c r="CF351" i="1"/>
  <c r="CC352" i="1"/>
  <c r="CG352" i="1" s="1"/>
  <c r="CD352" i="1"/>
  <c r="CE352" i="1"/>
  <c r="CH352" i="1" s="1"/>
  <c r="CF352" i="1"/>
  <c r="CC353" i="1"/>
  <c r="CG353" i="1" s="1"/>
  <c r="CD353" i="1"/>
  <c r="CE353" i="1"/>
  <c r="CH353" i="1" s="1"/>
  <c r="CF353" i="1"/>
  <c r="CC354" i="1"/>
  <c r="CG354" i="1" s="1"/>
  <c r="CD354" i="1"/>
  <c r="CE354" i="1"/>
  <c r="CH354" i="1" s="1"/>
  <c r="CF354" i="1"/>
  <c r="CC355" i="1"/>
  <c r="CG355" i="1" s="1"/>
  <c r="CD355" i="1"/>
  <c r="CE355" i="1"/>
  <c r="CH355" i="1" s="1"/>
  <c r="CF355" i="1"/>
  <c r="CC356" i="1"/>
  <c r="CG356" i="1" s="1"/>
  <c r="CD356" i="1"/>
  <c r="CE356" i="1"/>
  <c r="CH356" i="1" s="1"/>
  <c r="CF356" i="1"/>
  <c r="CC357" i="1"/>
  <c r="CG357" i="1" s="1"/>
  <c r="CD357" i="1"/>
  <c r="CE357" i="1"/>
  <c r="CH357" i="1" s="1"/>
  <c r="CF357" i="1"/>
  <c r="CC358" i="1"/>
  <c r="CG358" i="1" s="1"/>
  <c r="CD358" i="1"/>
  <c r="CE358" i="1"/>
  <c r="CH358" i="1" s="1"/>
  <c r="CF358" i="1"/>
  <c r="CC359" i="1"/>
  <c r="CG359" i="1" s="1"/>
  <c r="CD359" i="1"/>
  <c r="CE359" i="1"/>
  <c r="CH359" i="1" s="1"/>
  <c r="CF359" i="1"/>
  <c r="CC360" i="1"/>
  <c r="CG360" i="1" s="1"/>
  <c r="CD360" i="1"/>
  <c r="CE360" i="1"/>
  <c r="CH360" i="1" s="1"/>
  <c r="CF360" i="1"/>
  <c r="CC361" i="1"/>
  <c r="CG361" i="1" s="1"/>
  <c r="CD361" i="1"/>
  <c r="CE361" i="1"/>
  <c r="CH361" i="1" s="1"/>
  <c r="CF361" i="1"/>
  <c r="CC362" i="1"/>
  <c r="CG362" i="1" s="1"/>
  <c r="CD362" i="1"/>
  <c r="CE362" i="1"/>
  <c r="CH362" i="1" s="1"/>
  <c r="CF362" i="1"/>
  <c r="CC363" i="1"/>
  <c r="CG363" i="1" s="1"/>
  <c r="CD363" i="1"/>
  <c r="CE363" i="1"/>
  <c r="CH363" i="1" s="1"/>
  <c r="CF363" i="1"/>
  <c r="CC364" i="1"/>
  <c r="CG364" i="1" s="1"/>
  <c r="CD364" i="1"/>
  <c r="CE364" i="1"/>
  <c r="CH364" i="1" s="1"/>
  <c r="CF364" i="1"/>
  <c r="CC365" i="1"/>
  <c r="CG365" i="1" s="1"/>
  <c r="CD365" i="1"/>
  <c r="CE365" i="1"/>
  <c r="CH365" i="1" s="1"/>
  <c r="CF365" i="1"/>
  <c r="CC366" i="1"/>
  <c r="CG366" i="1" s="1"/>
  <c r="CD366" i="1"/>
  <c r="CE366" i="1"/>
  <c r="CH366" i="1" s="1"/>
  <c r="CF366" i="1"/>
  <c r="CC367" i="1"/>
  <c r="CG367" i="1" s="1"/>
  <c r="CD367" i="1"/>
  <c r="CE367" i="1"/>
  <c r="CH367" i="1" s="1"/>
  <c r="CF367" i="1"/>
  <c r="CC368" i="1"/>
  <c r="CD368" i="1"/>
  <c r="CE368" i="1"/>
  <c r="CC369" i="1" l="1"/>
  <c r="CG369" i="1" s="1"/>
  <c r="CD369" i="1"/>
  <c r="CE369" i="1"/>
  <c r="CH369" i="1" s="1"/>
  <c r="CF369" i="1"/>
  <c r="CC370" i="1"/>
  <c r="CG370" i="1" s="1"/>
  <c r="CD370" i="1"/>
  <c r="CE370" i="1"/>
  <c r="CH370" i="1" s="1"/>
  <c r="CF370" i="1"/>
  <c r="CC371" i="1"/>
  <c r="CG371" i="1" s="1"/>
  <c r="CD371" i="1"/>
  <c r="CE371" i="1"/>
  <c r="CH371" i="1" s="1"/>
  <c r="CF371" i="1"/>
  <c r="CC372" i="1"/>
  <c r="CG372" i="1" s="1"/>
  <c r="CD372" i="1"/>
  <c r="CE372" i="1"/>
  <c r="CH372" i="1" s="1"/>
  <c r="CF372" i="1"/>
  <c r="CC373" i="1"/>
  <c r="CG373" i="1" s="1"/>
  <c r="CD373" i="1"/>
  <c r="CE373" i="1"/>
  <c r="CH373" i="1" s="1"/>
  <c r="CF373" i="1"/>
  <c r="CC374" i="1"/>
  <c r="CG374" i="1" s="1"/>
  <c r="CD374" i="1"/>
  <c r="CE374" i="1"/>
  <c r="CH374" i="1" s="1"/>
  <c r="CF374" i="1"/>
  <c r="CC375" i="1"/>
  <c r="CG375" i="1" s="1"/>
  <c r="CD375" i="1"/>
  <c r="CE375" i="1"/>
  <c r="CH375" i="1" s="1"/>
  <c r="CF375" i="1"/>
  <c r="CC376" i="1"/>
  <c r="CG376" i="1" s="1"/>
  <c r="CD376" i="1"/>
  <c r="CE376" i="1"/>
  <c r="CH376" i="1" s="1"/>
  <c r="CF376" i="1"/>
  <c r="CC377" i="1"/>
  <c r="CG377" i="1" s="1"/>
  <c r="CD377" i="1"/>
  <c r="CE377" i="1"/>
  <c r="CH377" i="1" s="1"/>
  <c r="CF377" i="1"/>
  <c r="CC378" i="1"/>
  <c r="CG378" i="1" s="1"/>
  <c r="CD378" i="1"/>
  <c r="CE378" i="1"/>
  <c r="CH378" i="1" s="1"/>
  <c r="CF378" i="1"/>
  <c r="CC379" i="1"/>
  <c r="CG379" i="1" s="1"/>
  <c r="CD379" i="1"/>
  <c r="CE379" i="1"/>
  <c r="CH379" i="1" s="1"/>
  <c r="CF379" i="1"/>
  <c r="CC380" i="1"/>
  <c r="CG380" i="1" s="1"/>
  <c r="CD380" i="1"/>
  <c r="CE380" i="1"/>
  <c r="CH380" i="1" s="1"/>
  <c r="CF380" i="1"/>
  <c r="CC381" i="1"/>
  <c r="CG381" i="1" s="1"/>
  <c r="CD381" i="1"/>
  <c r="CE381" i="1"/>
  <c r="CH381" i="1" s="1"/>
  <c r="CF381" i="1"/>
  <c r="CC382" i="1"/>
  <c r="CG382" i="1" s="1"/>
  <c r="CD382" i="1"/>
  <c r="CE382" i="1"/>
  <c r="CH382" i="1" s="1"/>
  <c r="CF382" i="1"/>
  <c r="CC383" i="1"/>
  <c r="CG383" i="1" s="1"/>
  <c r="CD383" i="1"/>
  <c r="CE383" i="1"/>
  <c r="CH383" i="1" s="1"/>
  <c r="CF383" i="1"/>
  <c r="CC384" i="1"/>
  <c r="CG384" i="1" s="1"/>
  <c r="CD384" i="1"/>
  <c r="CE384" i="1"/>
  <c r="CH384" i="1" s="1"/>
  <c r="CF384" i="1"/>
  <c r="CC385" i="1"/>
  <c r="CG385" i="1" s="1"/>
  <c r="CD385" i="1"/>
  <c r="CE385" i="1"/>
  <c r="CH385" i="1" s="1"/>
  <c r="CF385" i="1"/>
  <c r="CC386" i="1"/>
  <c r="CG386" i="1" s="1"/>
  <c r="CD386" i="1"/>
  <c r="CE386" i="1"/>
  <c r="CH386" i="1" s="1"/>
  <c r="CF386" i="1"/>
  <c r="CC387" i="1"/>
  <c r="CG387" i="1" s="1"/>
  <c r="CD387" i="1"/>
  <c r="CE387" i="1"/>
  <c r="CH387" i="1" s="1"/>
  <c r="CF387" i="1"/>
  <c r="CC388" i="1"/>
  <c r="CG388" i="1" s="1"/>
  <c r="CD388" i="1"/>
  <c r="CE388" i="1"/>
  <c r="CH388" i="1" s="1"/>
  <c r="CF388" i="1"/>
  <c r="CC389" i="1"/>
  <c r="CG389" i="1" s="1"/>
  <c r="CD389" i="1"/>
  <c r="CE389" i="1"/>
  <c r="CH389" i="1" s="1"/>
  <c r="CF389" i="1"/>
  <c r="CC390" i="1"/>
  <c r="CG390" i="1" s="1"/>
  <c r="CD390" i="1"/>
  <c r="CE390" i="1"/>
  <c r="CH390" i="1" s="1"/>
  <c r="CF390" i="1"/>
  <c r="CC391" i="1"/>
  <c r="CG391" i="1" s="1"/>
  <c r="CD391" i="1"/>
  <c r="CE391" i="1"/>
  <c r="CH391" i="1" s="1"/>
  <c r="CF391" i="1"/>
  <c r="CC392" i="1"/>
  <c r="CG392" i="1" s="1"/>
  <c r="CD392" i="1"/>
  <c r="CE392" i="1"/>
  <c r="CH392" i="1" s="1"/>
  <c r="CF392" i="1"/>
  <c r="CC393" i="1"/>
  <c r="CG393" i="1" s="1"/>
  <c r="CD393" i="1"/>
  <c r="CE393" i="1"/>
  <c r="CH393" i="1" s="1"/>
  <c r="CF393" i="1"/>
  <c r="CC394" i="1"/>
  <c r="CG394" i="1" s="1"/>
  <c r="CD394" i="1"/>
  <c r="CE394" i="1"/>
  <c r="CH394" i="1" s="1"/>
  <c r="CF394" i="1"/>
  <c r="CC395" i="1"/>
  <c r="CG395" i="1" s="1"/>
  <c r="CD395" i="1"/>
  <c r="CE395" i="1"/>
  <c r="CH395" i="1" s="1"/>
  <c r="CF395" i="1"/>
  <c r="CC396" i="1"/>
  <c r="CG396" i="1" s="1"/>
  <c r="CD396" i="1"/>
  <c r="CE396" i="1"/>
  <c r="CH396" i="1" s="1"/>
  <c r="CF396" i="1"/>
  <c r="CC397" i="1"/>
  <c r="CG397" i="1" s="1"/>
  <c r="CD397" i="1"/>
  <c r="CE397" i="1"/>
  <c r="CH397" i="1" s="1"/>
  <c r="CF397" i="1"/>
  <c r="CC398" i="1"/>
  <c r="CG398" i="1" s="1"/>
  <c r="CD398" i="1"/>
  <c r="CE398" i="1"/>
  <c r="CH398" i="1" s="1"/>
  <c r="CF398" i="1"/>
  <c r="CC399" i="1"/>
  <c r="CG399" i="1" s="1"/>
  <c r="CD399" i="1"/>
  <c r="CE399" i="1"/>
  <c r="CH399" i="1" s="1"/>
  <c r="CF399" i="1"/>
  <c r="CC400" i="1"/>
  <c r="CG400" i="1" s="1"/>
  <c r="CD400" i="1"/>
  <c r="CE400" i="1"/>
  <c r="CH400" i="1" s="1"/>
  <c r="CF400" i="1"/>
  <c r="CC401" i="1"/>
  <c r="CG401" i="1" s="1"/>
  <c r="CD401" i="1"/>
  <c r="CE401" i="1"/>
  <c r="CH401" i="1" s="1"/>
  <c r="CF401" i="1"/>
  <c r="CC402" i="1"/>
  <c r="CG402" i="1" s="1"/>
  <c r="CD402" i="1"/>
  <c r="CE402" i="1"/>
  <c r="CH402" i="1" s="1"/>
  <c r="CF402" i="1"/>
  <c r="CC403" i="1"/>
  <c r="CG403" i="1" s="1"/>
  <c r="CD403" i="1"/>
  <c r="CE403" i="1"/>
  <c r="CH403" i="1" s="1"/>
  <c r="CF403" i="1"/>
  <c r="CC404" i="1"/>
  <c r="CG404" i="1" s="1"/>
  <c r="CD404" i="1"/>
  <c r="CE404" i="1"/>
  <c r="CH404" i="1" s="1"/>
  <c r="CF404" i="1"/>
  <c r="CC405" i="1"/>
  <c r="CG405" i="1" s="1"/>
  <c r="CD405" i="1"/>
  <c r="CE405" i="1"/>
  <c r="CH405" i="1" s="1"/>
  <c r="CF405" i="1"/>
  <c r="CC406" i="1"/>
  <c r="CG406" i="1" s="1"/>
  <c r="CD406" i="1"/>
  <c r="CE406" i="1"/>
  <c r="CH406" i="1" s="1"/>
  <c r="CF406" i="1"/>
  <c r="CC407" i="1"/>
  <c r="CG407" i="1" s="1"/>
  <c r="CD407" i="1"/>
  <c r="CE407" i="1"/>
  <c r="CH407" i="1" s="1"/>
  <c r="CF407" i="1"/>
  <c r="CC408" i="1"/>
  <c r="CG408" i="1" s="1"/>
  <c r="CD408" i="1"/>
  <c r="CE408" i="1"/>
  <c r="CH408" i="1" s="1"/>
  <c r="CF408" i="1"/>
  <c r="CC409" i="1"/>
  <c r="CG409" i="1" s="1"/>
  <c r="CD409" i="1"/>
  <c r="CE409" i="1"/>
  <c r="CH409" i="1" s="1"/>
  <c r="CF409" i="1"/>
  <c r="CC410" i="1"/>
  <c r="CG410" i="1" s="1"/>
  <c r="CD410" i="1"/>
  <c r="CE410" i="1"/>
  <c r="CH410" i="1" s="1"/>
  <c r="CF410" i="1"/>
  <c r="CC411" i="1"/>
  <c r="CG411" i="1" s="1"/>
  <c r="CD411" i="1"/>
  <c r="CE411" i="1"/>
  <c r="CH411" i="1" s="1"/>
  <c r="CF411" i="1"/>
  <c r="CC412" i="1"/>
  <c r="CG412" i="1" s="1"/>
  <c r="CD412" i="1"/>
  <c r="CE412" i="1"/>
  <c r="CH412" i="1" s="1"/>
  <c r="CF412" i="1"/>
  <c r="CC413" i="1"/>
  <c r="CG413" i="1" s="1"/>
  <c r="CD413" i="1"/>
  <c r="CE413" i="1"/>
  <c r="CH413" i="1" s="1"/>
  <c r="CF413" i="1"/>
  <c r="AJ13" i="1" l="1"/>
  <c r="AJ15" i="1"/>
  <c r="AJ16" i="1"/>
  <c r="AJ17" i="1"/>
  <c r="AJ19" i="1"/>
  <c r="AJ20" i="1"/>
  <c r="AJ21" i="1"/>
  <c r="AJ22" i="1"/>
  <c r="AJ23" i="1"/>
  <c r="AJ24" i="1"/>
  <c r="AJ26" i="1"/>
  <c r="AJ27" i="1"/>
  <c r="AJ29" i="1"/>
  <c r="AJ30" i="1"/>
  <c r="AJ31" i="1"/>
  <c r="AJ32" i="1"/>
  <c r="AJ33" i="1"/>
  <c r="AJ34" i="1"/>
  <c r="AJ36" i="1"/>
  <c r="AJ37" i="1"/>
  <c r="AJ38" i="1"/>
  <c r="AJ39" i="1"/>
  <c r="AJ40" i="1"/>
  <c r="AJ42" i="1"/>
  <c r="AJ43" i="1"/>
  <c r="AJ44" i="1"/>
  <c r="AJ45" i="1"/>
  <c r="AJ46" i="1"/>
  <c r="AJ47" i="1"/>
  <c r="AJ48" i="1"/>
  <c r="AJ49" i="1"/>
  <c r="AJ50" i="1"/>
  <c r="AJ51" i="1"/>
  <c r="AJ52" i="1"/>
  <c r="AJ53" i="1"/>
  <c r="AJ55" i="1"/>
  <c r="AJ56" i="1"/>
  <c r="AJ57" i="1"/>
  <c r="AJ58" i="1"/>
  <c r="AJ60" i="1"/>
  <c r="AJ62" i="1"/>
  <c r="AJ63" i="1"/>
  <c r="AJ65" i="1"/>
  <c r="AJ66" i="1"/>
  <c r="AJ67" i="1"/>
  <c r="AJ68" i="1"/>
  <c r="AJ70" i="1"/>
  <c r="AJ71" i="1"/>
  <c r="AJ73" i="1"/>
  <c r="AJ74" i="1"/>
  <c r="AJ76" i="1"/>
  <c r="AJ77" i="1"/>
  <c r="AJ79" i="1"/>
  <c r="AJ81" i="1"/>
  <c r="AJ82" i="1"/>
  <c r="AJ83" i="1"/>
  <c r="AJ84" i="1"/>
  <c r="AJ85" i="1"/>
  <c r="AJ86" i="1"/>
  <c r="AJ87" i="1"/>
  <c r="AJ88" i="1"/>
  <c r="AJ89" i="1"/>
  <c r="AJ90" i="1"/>
  <c r="AJ91" i="1"/>
  <c r="AJ93" i="1"/>
  <c r="AJ94" i="1"/>
  <c r="AJ95" i="1"/>
  <c r="AJ96" i="1"/>
  <c r="AJ98" i="1"/>
  <c r="AJ99" i="1"/>
  <c r="AJ101" i="1"/>
  <c r="AJ102" i="1"/>
  <c r="AJ103" i="1"/>
  <c r="AJ104" i="1"/>
  <c r="AJ105" i="1"/>
  <c r="AJ109" i="1"/>
  <c r="AJ111" i="1"/>
  <c r="AJ112" i="1"/>
  <c r="AJ113" i="1"/>
  <c r="AJ114" i="1"/>
  <c r="AJ115" i="1"/>
  <c r="AJ116" i="1"/>
  <c r="AJ117" i="1"/>
  <c r="AJ118" i="1"/>
  <c r="AJ119" i="1"/>
  <c r="AJ120" i="1"/>
  <c r="AJ122" i="1"/>
  <c r="AJ124" i="1"/>
  <c r="AJ125" i="1"/>
  <c r="AJ126" i="1"/>
  <c r="AJ127" i="1"/>
  <c r="AJ128" i="1"/>
  <c r="AJ129" i="1"/>
  <c r="AJ130" i="1"/>
  <c r="AJ131" i="1"/>
  <c r="AJ132" i="1"/>
  <c r="AJ133" i="1"/>
  <c r="AJ134" i="1"/>
  <c r="AJ135" i="1"/>
  <c r="AJ136" i="1"/>
  <c r="AJ137" i="1"/>
  <c r="AJ139" i="1"/>
  <c r="AJ140" i="1"/>
  <c r="AJ142" i="1"/>
  <c r="AJ143" i="1"/>
  <c r="AJ145" i="1"/>
  <c r="AJ146" i="1"/>
  <c r="AJ147" i="1"/>
  <c r="AJ148" i="1"/>
  <c r="AJ149" i="1"/>
  <c r="AJ150" i="1"/>
  <c r="AJ151" i="1"/>
  <c r="AJ152" i="1"/>
  <c r="AJ153" i="1"/>
  <c r="AJ155" i="1"/>
  <c r="AJ157" i="1"/>
  <c r="AJ158" i="1"/>
  <c r="AJ159" i="1"/>
  <c r="AJ160" i="1"/>
  <c r="AJ161" i="1"/>
  <c r="AJ162" i="1"/>
  <c r="AJ164" i="1"/>
  <c r="AJ166" i="1"/>
  <c r="AJ168" i="1"/>
  <c r="AJ169" i="1"/>
  <c r="AJ170" i="1"/>
  <c r="AJ171" i="1"/>
  <c r="AJ172" i="1"/>
  <c r="AJ173" i="1"/>
  <c r="AJ174" i="1"/>
  <c r="AJ175" i="1"/>
  <c r="AJ177" i="1"/>
  <c r="AJ178" i="1"/>
  <c r="AJ179" i="1"/>
  <c r="AJ181" i="1"/>
  <c r="AJ182" i="1"/>
  <c r="AJ183" i="1"/>
  <c r="AJ185" i="1"/>
  <c r="AJ186" i="1"/>
  <c r="AJ187" i="1"/>
  <c r="AJ189" i="1"/>
  <c r="AJ190" i="1"/>
  <c r="AJ191" i="1"/>
  <c r="AJ193" i="1"/>
  <c r="AJ194" i="1"/>
  <c r="AJ195" i="1"/>
  <c r="AJ196" i="1"/>
  <c r="AJ197" i="1"/>
  <c r="AJ198" i="1"/>
  <c r="AJ199" i="1"/>
  <c r="AJ200" i="1"/>
  <c r="AJ202" i="1"/>
  <c r="AJ205" i="1"/>
  <c r="AJ206" i="1"/>
  <c r="AJ207" i="1"/>
  <c r="AJ209" i="1"/>
  <c r="AJ211" i="1"/>
  <c r="AJ213" i="1"/>
  <c r="AJ214" i="1"/>
  <c r="AJ215" i="1"/>
  <c r="AJ216" i="1"/>
  <c r="AJ218" i="1"/>
  <c r="AJ219" i="1"/>
  <c r="AJ220" i="1"/>
  <c r="AJ221" i="1"/>
  <c r="AJ222" i="1"/>
  <c r="AJ223" i="1"/>
  <c r="AJ228" i="1"/>
  <c r="AJ231" i="1"/>
  <c r="AJ232" i="1"/>
  <c r="AJ233" i="1"/>
  <c r="AJ234" i="1"/>
  <c r="AJ235" i="1"/>
  <c r="AJ236" i="1"/>
  <c r="AJ237" i="1"/>
  <c r="AJ238" i="1"/>
  <c r="AJ239" i="1"/>
  <c r="AJ241" i="1"/>
  <c r="AJ242" i="1"/>
  <c r="AJ244" i="1"/>
  <c r="AJ245" i="1"/>
  <c r="AJ246" i="1"/>
  <c r="AJ247" i="1"/>
  <c r="AJ248" i="1"/>
  <c r="AJ249" i="1"/>
  <c r="AJ251" i="1"/>
  <c r="AJ252" i="1"/>
  <c r="AJ253" i="1"/>
  <c r="AJ254" i="1"/>
  <c r="AJ256" i="1"/>
  <c r="AJ260" i="1"/>
  <c r="AJ261" i="1"/>
  <c r="AJ262" i="1"/>
  <c r="AJ264" i="1"/>
  <c r="AJ265" i="1"/>
  <c r="AJ266" i="1"/>
  <c r="AJ267" i="1"/>
  <c r="AJ268" i="1"/>
  <c r="AJ269" i="1"/>
  <c r="AJ270" i="1"/>
  <c r="AJ271" i="1"/>
  <c r="AJ272" i="1"/>
  <c r="AJ273" i="1"/>
  <c r="AJ274" i="1"/>
  <c r="AJ275" i="1"/>
  <c r="AJ276" i="1"/>
  <c r="AJ277" i="1"/>
  <c r="AJ280" i="1"/>
  <c r="AJ281" i="1"/>
  <c r="AJ282" i="1"/>
  <c r="AJ284" i="1"/>
  <c r="AJ285" i="1"/>
  <c r="AJ286" i="1"/>
  <c r="AJ287" i="1"/>
  <c r="AJ288" i="1"/>
  <c r="AJ289" i="1"/>
  <c r="AJ290" i="1"/>
  <c r="AJ292" i="1"/>
  <c r="AJ293" i="1"/>
  <c r="AJ294" i="1"/>
  <c r="AJ295" i="1"/>
  <c r="AJ296" i="1"/>
  <c r="AJ297" i="1"/>
  <c r="AJ298" i="1"/>
  <c r="AJ299" i="1"/>
  <c r="AJ300" i="1"/>
  <c r="AJ301" i="1"/>
  <c r="AJ302" i="1"/>
  <c r="AJ304" i="1"/>
  <c r="AJ306" i="1"/>
  <c r="AJ307" i="1"/>
  <c r="AJ308" i="1"/>
  <c r="AJ309" i="1"/>
  <c r="AJ312" i="1"/>
  <c r="AJ313" i="1"/>
  <c r="AJ314" i="1"/>
  <c r="AJ315" i="1"/>
  <c r="AJ316" i="1"/>
  <c r="AJ317" i="1"/>
  <c r="AJ318" i="1"/>
  <c r="AJ319" i="1"/>
  <c r="AJ320" i="1"/>
  <c r="AJ321" i="1"/>
  <c r="AJ322" i="1"/>
  <c r="AJ323" i="1"/>
  <c r="AJ326" i="1"/>
  <c r="AJ330" i="1"/>
  <c r="AJ331" i="1"/>
  <c r="AJ332" i="1"/>
  <c r="AJ333" i="1"/>
  <c r="AJ334" i="1"/>
  <c r="AJ335" i="1"/>
  <c r="AJ338" i="1"/>
  <c r="AJ339" i="1"/>
  <c r="AJ340" i="1"/>
  <c r="AJ342" i="1"/>
  <c r="AJ343" i="1"/>
  <c r="AJ345" i="1"/>
  <c r="AJ346" i="1"/>
  <c r="AJ347" i="1"/>
  <c r="AJ348" i="1"/>
  <c r="AJ351" i="1"/>
  <c r="AJ352" i="1"/>
  <c r="AJ354" i="1"/>
  <c r="AJ355" i="1"/>
  <c r="AJ356" i="1"/>
  <c r="AJ358" i="1"/>
  <c r="AJ359" i="1"/>
  <c r="AJ360" i="1"/>
  <c r="AJ361" i="1"/>
  <c r="AJ362" i="1"/>
  <c r="AJ363" i="1"/>
  <c r="AJ364" i="1"/>
  <c r="AJ365" i="1"/>
  <c r="AJ366" i="1"/>
  <c r="AJ367" i="1"/>
  <c r="AJ368" i="1"/>
  <c r="AJ370" i="1"/>
  <c r="AJ371" i="1"/>
  <c r="AJ372" i="1"/>
  <c r="AJ373" i="1"/>
  <c r="AJ374" i="1"/>
  <c r="AJ375" i="1"/>
  <c r="AJ378" i="1"/>
  <c r="AJ379" i="1"/>
  <c r="AJ381" i="1"/>
  <c r="AJ382" i="1"/>
  <c r="AJ383" i="1"/>
  <c r="AJ385" i="1"/>
  <c r="AJ387" i="1"/>
  <c r="AJ388" i="1"/>
  <c r="AJ389" i="1"/>
  <c r="AJ390" i="1"/>
  <c r="AJ391" i="1"/>
  <c r="AJ393" i="1"/>
  <c r="AJ394" i="1"/>
  <c r="AJ395" i="1"/>
  <c r="AJ397" i="1"/>
  <c r="AJ398" i="1"/>
  <c r="AJ399" i="1"/>
  <c r="AJ400" i="1"/>
  <c r="AJ401" i="1"/>
  <c r="AJ402" i="1"/>
  <c r="AJ403" i="1"/>
  <c r="AJ404" i="1"/>
  <c r="AK32" i="1" l="1"/>
  <c r="AK284" i="1"/>
  <c r="AK273" i="1"/>
  <c r="AK147" i="1"/>
  <c r="AK136" i="1"/>
  <c r="AK96" i="1"/>
  <c r="AK77" i="1"/>
  <c r="AK37" i="1"/>
  <c r="AK17" i="1"/>
  <c r="AK145" i="1"/>
  <c r="AK52" i="1"/>
  <c r="AK268" i="1"/>
  <c r="AK378" i="1"/>
  <c r="AK359" i="1"/>
  <c r="AK134" i="1"/>
  <c r="AK403" i="1"/>
  <c r="AK318" i="1"/>
  <c r="AK308" i="1"/>
  <c r="AK289" i="1"/>
  <c r="AK270" i="1"/>
  <c r="AK216" i="1"/>
  <c r="AK205" i="1"/>
  <c r="AK173" i="1"/>
  <c r="AK133" i="1"/>
  <c r="AK340" i="1"/>
  <c r="AK393" i="1"/>
  <c r="AK379" i="1"/>
  <c r="AK368" i="1"/>
  <c r="AK360" i="1"/>
  <c r="AK348" i="1"/>
  <c r="AK323" i="1"/>
  <c r="AK315" i="1"/>
  <c r="AK304" i="1"/>
  <c r="AK68" i="1"/>
  <c r="AK371" i="1"/>
  <c r="AK264" i="1"/>
  <c r="AK175" i="1"/>
  <c r="AK95" i="1"/>
  <c r="AK112" i="1"/>
  <c r="AK99" i="1"/>
  <c r="AK239" i="1"/>
  <c r="AK132" i="1"/>
  <c r="AK124" i="1"/>
  <c r="AK114" i="1"/>
  <c r="AK316" i="1"/>
  <c r="AK306" i="1"/>
  <c r="AK296" i="1"/>
  <c r="AK287" i="1"/>
  <c r="AK276" i="1"/>
  <c r="AK150" i="1"/>
  <c r="AK140" i="1"/>
  <c r="AK213" i="1"/>
  <c r="AK82" i="1"/>
  <c r="AK286" i="1"/>
  <c r="AK120" i="1"/>
  <c r="AK148" i="1"/>
  <c r="AK387" i="1"/>
  <c r="AK374" i="1"/>
  <c r="AK365" i="1"/>
  <c r="AK356" i="1"/>
  <c r="AK345" i="1"/>
  <c r="AK372" i="1"/>
  <c r="AK248" i="1"/>
  <c r="AK152" i="1"/>
  <c r="AK143" i="1"/>
  <c r="AK260" i="1"/>
  <c r="AK247" i="1"/>
  <c r="AK228" i="1"/>
  <c r="AK215" i="1"/>
  <c r="AK84" i="1"/>
  <c r="AK51" i="1"/>
  <c r="AK43" i="1"/>
  <c r="AK13" i="1"/>
  <c r="AK335" i="1"/>
  <c r="AK388" i="1"/>
  <c r="AK334" i="1"/>
  <c r="AK293" i="1"/>
  <c r="AK253" i="1"/>
  <c r="AK244" i="1"/>
  <c r="AK234" i="1"/>
  <c r="AK158" i="1"/>
  <c r="AK101" i="1"/>
  <c r="AK122" i="1"/>
  <c r="AK274" i="1"/>
  <c r="AK252" i="1"/>
  <c r="AK197" i="1"/>
  <c r="AK168" i="1"/>
  <c r="AK157" i="1"/>
  <c r="AK39" i="1"/>
  <c r="AK404" i="1"/>
  <c r="AK333" i="1"/>
  <c r="AK91" i="1"/>
  <c r="AK364" i="1"/>
  <c r="AK320" i="1"/>
  <c r="AK332" i="1"/>
  <c r="AK241" i="1"/>
  <c r="AK219" i="1"/>
  <c r="AK196" i="1"/>
  <c r="AK166" i="1"/>
  <c r="AK98" i="1"/>
  <c r="AK245" i="1"/>
  <c r="AK292" i="1"/>
  <c r="AK394" i="1"/>
  <c r="AK354" i="1"/>
  <c r="AK342" i="1"/>
  <c r="AK319" i="1"/>
  <c r="AK309" i="1"/>
  <c r="AK290" i="1"/>
  <c r="AK128" i="1"/>
  <c r="AK118" i="1"/>
  <c r="AK88" i="1"/>
  <c r="AK67" i="1"/>
  <c r="AK56" i="1"/>
  <c r="AK346" i="1"/>
  <c r="AK83" i="1"/>
  <c r="AK312" i="1"/>
  <c r="AK352" i="1"/>
  <c r="AK280" i="1"/>
  <c r="AK206" i="1"/>
  <c r="AK195" i="1"/>
  <c r="AK185" i="1"/>
  <c r="AK164" i="1"/>
  <c r="AK179" i="1"/>
  <c r="AK60" i="1"/>
  <c r="AK183" i="1"/>
  <c r="AK261" i="1"/>
  <c r="AK285" i="1"/>
  <c r="AK131" i="1"/>
  <c r="AK370" i="1"/>
  <c r="AK351" i="1"/>
  <c r="AK317" i="1"/>
  <c r="AK307" i="1"/>
  <c r="AK277" i="1"/>
  <c r="AK269" i="1"/>
  <c r="AK126" i="1"/>
  <c r="AK116" i="1"/>
  <c r="AK53" i="1"/>
  <c r="AK36" i="1"/>
  <c r="AK16" i="1"/>
  <c r="AK149" i="1"/>
  <c r="AK381" i="1"/>
  <c r="AK339" i="1"/>
  <c r="AK326" i="1"/>
  <c r="AK237" i="1"/>
  <c r="AK161" i="1"/>
  <c r="AK115" i="1"/>
  <c r="AK85" i="1"/>
  <c r="AK254" i="1"/>
  <c r="AK246" i="1"/>
  <c r="AK236" i="1"/>
  <c r="AK200" i="1"/>
  <c r="AK181" i="1"/>
  <c r="AK160" i="1"/>
  <c r="AK397" i="1"/>
  <c r="AK358" i="1"/>
  <c r="AK338" i="1"/>
  <c r="AK249" i="1"/>
  <c r="AK233" i="1"/>
  <c r="AK211" i="1"/>
  <c r="AK198" i="1"/>
  <c r="AK189" i="1"/>
  <c r="AK169" i="1"/>
  <c r="AK142" i="1"/>
  <c r="AK19" i="1"/>
  <c r="AK232" i="1"/>
  <c r="AK220" i="1"/>
  <c r="AK55" i="1"/>
  <c r="AK373" i="1"/>
  <c r="AK322" i="1"/>
  <c r="AK302" i="1"/>
  <c r="AK275" i="1"/>
  <c r="AK231" i="1"/>
  <c r="AK125" i="1"/>
  <c r="AK104" i="1"/>
  <c r="AK76" i="1"/>
  <c r="AK45" i="1"/>
  <c r="AK355" i="1"/>
  <c r="AK321" i="1"/>
  <c r="AK313" i="1"/>
  <c r="AK301" i="1"/>
  <c r="AK256" i="1"/>
  <c r="AK94" i="1"/>
  <c r="AK63" i="1"/>
  <c r="AK300" i="1"/>
  <c r="AK44" i="1"/>
  <c r="AK24" i="1"/>
  <c r="AK15" i="1"/>
  <c r="AK73" i="1"/>
  <c r="AK23" i="1"/>
  <c r="AK401" i="1"/>
  <c r="AK391" i="1"/>
  <c r="AK282" i="1"/>
  <c r="AK272" i="1"/>
  <c r="AK400" i="1"/>
  <c r="AK390" i="1"/>
  <c r="AK361" i="1"/>
  <c r="AK182" i="1"/>
  <c r="AK172" i="1"/>
  <c r="AK129" i="1"/>
  <c r="AK70" i="1"/>
  <c r="AK389" i="1"/>
  <c r="AK40" i="1"/>
  <c r="AK31" i="1"/>
  <c r="AK21" i="1"/>
  <c r="AK288" i="1"/>
  <c r="AK262" i="1"/>
  <c r="AK57" i="1"/>
  <c r="AK117" i="1"/>
  <c r="AK48" i="1"/>
  <c r="AK20" i="1"/>
  <c r="AK398" i="1"/>
  <c r="AK385" i="1"/>
  <c r="AK267" i="1"/>
  <c r="AK199" i="1"/>
  <c r="AK193" i="1"/>
  <c r="AK186" i="1"/>
  <c r="AK159" i="1"/>
  <c r="AK146" i="1"/>
  <c r="AK139" i="1"/>
  <c r="AK105" i="1"/>
  <c r="AK71" i="1"/>
  <c r="AK65" i="1"/>
  <c r="AK58" i="1"/>
  <c r="AK38" i="1"/>
  <c r="AK299" i="1"/>
  <c r="AK266" i="1"/>
  <c r="AK151" i="1"/>
  <c r="AK111" i="1"/>
  <c r="AK383" i="1"/>
  <c r="AK331" i="1"/>
  <c r="AK298" i="1"/>
  <c r="AK265" i="1"/>
  <c r="AK218" i="1"/>
  <c r="AK191" i="1"/>
  <c r="AK178" i="1"/>
  <c r="AK171" i="1"/>
  <c r="AK137" i="1"/>
  <c r="AK103" i="1"/>
  <c r="AK90" i="1"/>
  <c r="AK50" i="1"/>
  <c r="AK30" i="1"/>
  <c r="AK363" i="1"/>
  <c r="AK343" i="1"/>
  <c r="AK330" i="1"/>
  <c r="AK297" i="1"/>
  <c r="AK271" i="1"/>
  <c r="AK238" i="1"/>
  <c r="AK177" i="1"/>
  <c r="AK170" i="1"/>
  <c r="AK130" i="1"/>
  <c r="AK89" i="1"/>
  <c r="AK49" i="1"/>
  <c r="AK29" i="1"/>
  <c r="AK22" i="1"/>
  <c r="AK402" i="1"/>
  <c r="AK382" i="1"/>
  <c r="AK251" i="1"/>
  <c r="AK190" i="1"/>
  <c r="AK109" i="1"/>
  <c r="AK102" i="1"/>
  <c r="AK62" i="1"/>
  <c r="AK42" i="1"/>
  <c r="AK395" i="1"/>
  <c r="AK375" i="1"/>
  <c r="AK362" i="1"/>
  <c r="AK223" i="1"/>
  <c r="AK135" i="1"/>
  <c r="AK209" i="1"/>
  <c r="AK202" i="1"/>
  <c r="AK162" i="1"/>
  <c r="AK155" i="1"/>
  <c r="AK87" i="1"/>
  <c r="AK81" i="1"/>
  <c r="AK74" i="1"/>
  <c r="AK367" i="1"/>
  <c r="AK295" i="1"/>
  <c r="AK222" i="1"/>
  <c r="AK47" i="1"/>
  <c r="AK34" i="1"/>
  <c r="AK27" i="1"/>
  <c r="AK347" i="1"/>
  <c r="AK281" i="1"/>
  <c r="AK242" i="1"/>
  <c r="AK235" i="1"/>
  <c r="AK221" i="1"/>
  <c r="AK214" i="1"/>
  <c r="AK174" i="1"/>
  <c r="AK127" i="1"/>
  <c r="AK93" i="1"/>
  <c r="AK86" i="1"/>
  <c r="AK46" i="1"/>
  <c r="AK33" i="1"/>
  <c r="AK26" i="1"/>
  <c r="AK314" i="1"/>
  <c r="AK294" i="1"/>
  <c r="AK399" i="1"/>
  <c r="AK366" i="1"/>
  <c r="AK207" i="1"/>
  <c r="AK194" i="1"/>
  <c r="AK187" i="1"/>
  <c r="AK153" i="1"/>
  <c r="AK119" i="1"/>
  <c r="AK113" i="1"/>
  <c r="AK79" i="1"/>
  <c r="AK66" i="1"/>
  <c r="AJ413" i="1"/>
  <c r="CW413" i="1"/>
  <c r="CY413" i="1" s="1"/>
  <c r="BW413" i="1"/>
  <c r="AO413" i="1"/>
  <c r="AJ412" i="1"/>
  <c r="BW412" i="1"/>
  <c r="AO412" i="1"/>
  <c r="AJ411" i="1"/>
  <c r="BW411" i="1"/>
  <c r="AO411" i="1"/>
  <c r="BV410" i="1"/>
  <c r="BU410" i="1"/>
  <c r="BT410" i="1"/>
  <c r="AO410" i="1"/>
  <c r="BV409" i="1"/>
  <c r="BU409" i="1"/>
  <c r="BT409" i="1"/>
  <c r="AO409" i="1"/>
  <c r="BO409" i="6"/>
  <c r="BO413" i="6"/>
  <c r="BN413" i="6"/>
  <c r="BM413" i="6"/>
  <c r="BO412" i="6"/>
  <c r="BN412" i="6"/>
  <c r="BM412" i="6"/>
  <c r="BO411" i="6"/>
  <c r="BN411" i="6"/>
  <c r="BM411" i="6"/>
  <c r="BO410" i="6"/>
  <c r="BN410" i="6"/>
  <c r="BM410" i="6"/>
  <c r="BN409" i="6"/>
  <c r="BM409" i="6"/>
  <c r="BO408" i="6"/>
  <c r="BN408" i="6"/>
  <c r="BM408" i="6"/>
  <c r="AJ408" i="1"/>
  <c r="BW408" i="1"/>
  <c r="AO408" i="1"/>
  <c r="B408" i="1"/>
  <c r="B409" i="1"/>
  <c r="B410" i="1"/>
  <c r="B411" i="1"/>
  <c r="B412" i="1"/>
  <c r="B413" i="1"/>
  <c r="O413" i="1"/>
  <c r="O412" i="1"/>
  <c r="O409" i="1"/>
  <c r="O408" i="1"/>
  <c r="L408" i="1"/>
  <c r="L409" i="1"/>
  <c r="L410" i="1"/>
  <c r="L411" i="1"/>
  <c r="L412" i="1"/>
  <c r="DV412" i="1" s="1"/>
  <c r="L413" i="1"/>
  <c r="EG413" i="1"/>
  <c r="EG412" i="1"/>
  <c r="DR411" i="1"/>
  <c r="BL410" i="1"/>
  <c r="BL409" i="1"/>
  <c r="EG408" i="1"/>
  <c r="EM408" i="1" l="1"/>
  <c r="EL408" i="1"/>
  <c r="EM413" i="1"/>
  <c r="EL413" i="1"/>
  <c r="EL412" i="1"/>
  <c r="EM412" i="1"/>
  <c r="DW411" i="1"/>
  <c r="DX411" i="1"/>
  <c r="BS413" i="1"/>
  <c r="BL413" i="1"/>
  <c r="BN413" i="1"/>
  <c r="EK413" i="1"/>
  <c r="CB413" i="1"/>
  <c r="CB412" i="1"/>
  <c r="DV411" i="1"/>
  <c r="CB411" i="1"/>
  <c r="DV410" i="1"/>
  <c r="CB410" i="1"/>
  <c r="CB408" i="1"/>
  <c r="BL412" i="1"/>
  <c r="DV413" i="1"/>
  <c r="BN412" i="1"/>
  <c r="DV409" i="1"/>
  <c r="CB409" i="1"/>
  <c r="BS412" i="1"/>
  <c r="AH413" i="1"/>
  <c r="AK413" i="1"/>
  <c r="AH412" i="1"/>
  <c r="AK412" i="1"/>
  <c r="EK408" i="1"/>
  <c r="AH411" i="1"/>
  <c r="DV408" i="1"/>
  <c r="EK412" i="1"/>
  <c r="BL408" i="1"/>
  <c r="EK411" i="1"/>
  <c r="BN411" i="1"/>
  <c r="BS408" i="1"/>
  <c r="BN408" i="1"/>
  <c r="DR408" i="1"/>
  <c r="EK409" i="1"/>
  <c r="BS411" i="1"/>
  <c r="EK410" i="1"/>
  <c r="BN409" i="1"/>
  <c r="BN410" i="1"/>
  <c r="DR409" i="1"/>
  <c r="BS409" i="1"/>
  <c r="BS410" i="1"/>
  <c r="DR410" i="1"/>
  <c r="BL411" i="1"/>
  <c r="DR413" i="1"/>
  <c r="DR412" i="1"/>
  <c r="EG409" i="1"/>
  <c r="EG410" i="1"/>
  <c r="EG411" i="1"/>
  <c r="AK411" i="1"/>
  <c r="AH408" i="1"/>
  <c r="AK408" i="1"/>
  <c r="AJ407" i="1"/>
  <c r="BW407" i="1"/>
  <c r="AO407" i="1"/>
  <c r="BO407" i="6"/>
  <c r="BN407" i="6"/>
  <c r="BM407" i="6"/>
  <c r="BO406" i="6"/>
  <c r="BN406" i="6"/>
  <c r="BM406" i="6"/>
  <c r="BO405" i="6"/>
  <c r="BN405" i="6"/>
  <c r="BM405" i="6"/>
  <c r="AJ406" i="1"/>
  <c r="BW406" i="1"/>
  <c r="AO406" i="1"/>
  <c r="AJ405" i="1"/>
  <c r="BW405" i="1"/>
  <c r="AO405" i="1"/>
  <c r="O407" i="1"/>
  <c r="O406" i="1"/>
  <c r="O405" i="1"/>
  <c r="L407" i="1"/>
  <c r="L406" i="1"/>
  <c r="L405" i="1"/>
  <c r="CB405" i="1" s="1"/>
  <c r="DR407" i="1"/>
  <c r="B406" i="1"/>
  <c r="B407" i="1"/>
  <c r="B405" i="1"/>
  <c r="J406" i="6"/>
  <c r="AK406" i="6" s="1"/>
  <c r="K406" i="6"/>
  <c r="AL406" i="6" s="1"/>
  <c r="L406" i="6"/>
  <c r="AM406" i="6" s="1"/>
  <c r="M406" i="6"/>
  <c r="N406" i="6"/>
  <c r="O406" i="6"/>
  <c r="P406" i="6"/>
  <c r="Q406" i="6"/>
  <c r="R406" i="6"/>
  <c r="S406" i="6"/>
  <c r="T406" i="6"/>
  <c r="U406" i="6"/>
  <c r="J407" i="6"/>
  <c r="AK407" i="6" s="1"/>
  <c r="K407" i="6"/>
  <c r="AL407" i="6" s="1"/>
  <c r="L407" i="6"/>
  <c r="AM407" i="6" s="1"/>
  <c r="M407" i="6"/>
  <c r="N407" i="6"/>
  <c r="O407" i="6"/>
  <c r="P407" i="6"/>
  <c r="Q407" i="6"/>
  <c r="R407" i="6"/>
  <c r="S407" i="6"/>
  <c r="T407" i="6"/>
  <c r="U407" i="6"/>
  <c r="J408" i="6"/>
  <c r="AK408" i="6" s="1"/>
  <c r="K408" i="6"/>
  <c r="AL408" i="6" s="1"/>
  <c r="L408" i="6"/>
  <c r="AM408" i="6" s="1"/>
  <c r="M408" i="6"/>
  <c r="N408" i="6"/>
  <c r="O408" i="6"/>
  <c r="P408" i="6"/>
  <c r="Q408" i="6"/>
  <c r="R408" i="6"/>
  <c r="S408" i="6"/>
  <c r="T408" i="6"/>
  <c r="U408" i="6"/>
  <c r="J409" i="6"/>
  <c r="AK409" i="6" s="1"/>
  <c r="K409" i="6"/>
  <c r="L409" i="6"/>
  <c r="AM409" i="6" s="1"/>
  <c r="M409" i="6"/>
  <c r="N409" i="6"/>
  <c r="O409" i="6"/>
  <c r="P409" i="6"/>
  <c r="Q409" i="6"/>
  <c r="R409" i="6"/>
  <c r="S409" i="6"/>
  <c r="T409" i="6"/>
  <c r="U409" i="6"/>
  <c r="J410" i="6"/>
  <c r="AK410" i="6" s="1"/>
  <c r="K410" i="6"/>
  <c r="L410" i="6"/>
  <c r="AM410" i="6" s="1"/>
  <c r="M410" i="6"/>
  <c r="N410" i="6"/>
  <c r="O410" i="6"/>
  <c r="P410" i="6"/>
  <c r="Q410" i="6"/>
  <c r="R410" i="6"/>
  <c r="S410" i="6"/>
  <c r="T410" i="6"/>
  <c r="U410" i="6"/>
  <c r="J411" i="6"/>
  <c r="AK411" i="6" s="1"/>
  <c r="K411" i="6"/>
  <c r="AL411" i="6" s="1"/>
  <c r="L411" i="6"/>
  <c r="AM411" i="6" s="1"/>
  <c r="M411" i="6"/>
  <c r="N411" i="6"/>
  <c r="O411" i="6"/>
  <c r="P411" i="6"/>
  <c r="Q411" i="6"/>
  <c r="R411" i="6"/>
  <c r="S411" i="6"/>
  <c r="T411" i="6"/>
  <c r="U411" i="6"/>
  <c r="J412" i="6"/>
  <c r="AK412" i="6" s="1"/>
  <c r="K412" i="6"/>
  <c r="AL412" i="6" s="1"/>
  <c r="L412" i="6"/>
  <c r="AM412" i="6" s="1"/>
  <c r="M412" i="6"/>
  <c r="N412" i="6"/>
  <c r="O412" i="6"/>
  <c r="P412" i="6"/>
  <c r="Q412" i="6"/>
  <c r="R412" i="6"/>
  <c r="S412" i="6"/>
  <c r="T412" i="6"/>
  <c r="U412" i="6"/>
  <c r="J413" i="6"/>
  <c r="AK413" i="6" s="1"/>
  <c r="K413" i="6"/>
  <c r="L413" i="6"/>
  <c r="AM413" i="6" s="1"/>
  <c r="M413" i="6"/>
  <c r="N413" i="6"/>
  <c r="O413" i="6"/>
  <c r="P413" i="6"/>
  <c r="Q413" i="6"/>
  <c r="R413" i="6"/>
  <c r="S413" i="6"/>
  <c r="T413" i="6"/>
  <c r="U413" i="6"/>
  <c r="J414" i="6"/>
  <c r="AK414" i="6" s="1"/>
  <c r="K414" i="6"/>
  <c r="AL414" i="6" s="1"/>
  <c r="L414" i="6"/>
  <c r="AM414" i="6" s="1"/>
  <c r="M414" i="6"/>
  <c r="N414" i="6"/>
  <c r="O414" i="6"/>
  <c r="P414" i="6"/>
  <c r="Q414" i="6"/>
  <c r="R414" i="6"/>
  <c r="S414" i="6"/>
  <c r="T414" i="6"/>
  <c r="U414" i="6"/>
  <c r="J415" i="6"/>
  <c r="AK415" i="6" s="1"/>
  <c r="K415" i="6"/>
  <c r="L415" i="6"/>
  <c r="AM415" i="6" s="1"/>
  <c r="M415" i="6"/>
  <c r="N415" i="6"/>
  <c r="O415" i="6"/>
  <c r="P415" i="6"/>
  <c r="Q415" i="6"/>
  <c r="R415" i="6"/>
  <c r="S415" i="6"/>
  <c r="T415" i="6"/>
  <c r="U415" i="6"/>
  <c r="J416" i="6"/>
  <c r="AK416" i="6" s="1"/>
  <c r="K416" i="6"/>
  <c r="AL416" i="6" s="1"/>
  <c r="L416" i="6"/>
  <c r="AM416" i="6" s="1"/>
  <c r="M416" i="6"/>
  <c r="N416" i="6"/>
  <c r="O416" i="6"/>
  <c r="P416" i="6"/>
  <c r="Q416" i="6"/>
  <c r="R416" i="6"/>
  <c r="S416" i="6"/>
  <c r="T416" i="6"/>
  <c r="U416" i="6"/>
  <c r="J417" i="6"/>
  <c r="AK417" i="6" s="1"/>
  <c r="K417" i="6"/>
  <c r="L417" i="6"/>
  <c r="AM417" i="6" s="1"/>
  <c r="M417" i="6"/>
  <c r="N417" i="6"/>
  <c r="O417" i="6"/>
  <c r="P417" i="6"/>
  <c r="Q417" i="6"/>
  <c r="R417" i="6"/>
  <c r="S417" i="6"/>
  <c r="T417" i="6"/>
  <c r="U417" i="6"/>
  <c r="J418" i="6"/>
  <c r="AK418" i="6" s="1"/>
  <c r="K418" i="6"/>
  <c r="AL418" i="6" s="1"/>
  <c r="L418" i="6"/>
  <c r="AM418" i="6" s="1"/>
  <c r="M418" i="6"/>
  <c r="N418" i="6"/>
  <c r="O418" i="6"/>
  <c r="P418" i="6"/>
  <c r="Q418" i="6"/>
  <c r="R418" i="6"/>
  <c r="S418" i="6"/>
  <c r="T418" i="6"/>
  <c r="U418" i="6"/>
  <c r="J419" i="6"/>
  <c r="AK419" i="6" s="1"/>
  <c r="K419" i="6"/>
  <c r="L419" i="6"/>
  <c r="AM419" i="6" s="1"/>
  <c r="M419" i="6"/>
  <c r="N419" i="6"/>
  <c r="O419" i="6"/>
  <c r="P419" i="6"/>
  <c r="Q419" i="6"/>
  <c r="R419" i="6"/>
  <c r="S419" i="6"/>
  <c r="T419" i="6"/>
  <c r="U419" i="6"/>
  <c r="J420" i="6"/>
  <c r="AK420" i="6" s="1"/>
  <c r="K420" i="6"/>
  <c r="AL420" i="6" s="1"/>
  <c r="L420" i="6"/>
  <c r="AM420" i="6" s="1"/>
  <c r="M420" i="6"/>
  <c r="N420" i="6"/>
  <c r="O420" i="6"/>
  <c r="P420" i="6"/>
  <c r="Q420" i="6"/>
  <c r="R420" i="6"/>
  <c r="S420" i="6"/>
  <c r="T420" i="6"/>
  <c r="U420" i="6"/>
  <c r="J421" i="6"/>
  <c r="AK421" i="6" s="1"/>
  <c r="K421" i="6"/>
  <c r="L421" i="6"/>
  <c r="AM421" i="6" s="1"/>
  <c r="M421" i="6"/>
  <c r="N421" i="6"/>
  <c r="O421" i="6"/>
  <c r="P421" i="6"/>
  <c r="Q421" i="6"/>
  <c r="R421" i="6"/>
  <c r="S421" i="6"/>
  <c r="T421" i="6"/>
  <c r="U421" i="6"/>
  <c r="J422" i="6"/>
  <c r="AK422" i="6" s="1"/>
  <c r="K422" i="6"/>
  <c r="AL422" i="6" s="1"/>
  <c r="L422" i="6"/>
  <c r="AM422" i="6" s="1"/>
  <c r="M422" i="6"/>
  <c r="N422" i="6"/>
  <c r="O422" i="6"/>
  <c r="P422" i="6"/>
  <c r="Q422" i="6"/>
  <c r="R422" i="6"/>
  <c r="S422" i="6"/>
  <c r="T422" i="6"/>
  <c r="U422" i="6"/>
  <c r="J423" i="6"/>
  <c r="AK423" i="6" s="1"/>
  <c r="K423" i="6"/>
  <c r="L423" i="6"/>
  <c r="AM423" i="6" s="1"/>
  <c r="M423" i="6"/>
  <c r="N423" i="6"/>
  <c r="O423" i="6"/>
  <c r="P423" i="6"/>
  <c r="Q423" i="6"/>
  <c r="R423" i="6"/>
  <c r="S423" i="6"/>
  <c r="T423" i="6"/>
  <c r="U423" i="6"/>
  <c r="J424" i="6"/>
  <c r="AK424" i="6" s="1"/>
  <c r="K424" i="6"/>
  <c r="L424" i="6"/>
  <c r="AM424" i="6" s="1"/>
  <c r="M424" i="6"/>
  <c r="N424" i="6"/>
  <c r="O424" i="6"/>
  <c r="P424" i="6"/>
  <c r="Q424" i="6"/>
  <c r="R424" i="6"/>
  <c r="S424" i="6"/>
  <c r="T424" i="6"/>
  <c r="U424" i="6"/>
  <c r="J425" i="6"/>
  <c r="AK425" i="6" s="1"/>
  <c r="K425" i="6"/>
  <c r="AL425" i="6" s="1"/>
  <c r="L425" i="6"/>
  <c r="AM425" i="6" s="1"/>
  <c r="M425" i="6"/>
  <c r="N425" i="6"/>
  <c r="O425" i="6"/>
  <c r="P425" i="6"/>
  <c r="Q425" i="6"/>
  <c r="R425" i="6"/>
  <c r="S425" i="6"/>
  <c r="T425" i="6"/>
  <c r="U425" i="6"/>
  <c r="J426" i="6"/>
  <c r="AK426" i="6" s="1"/>
  <c r="K426" i="6"/>
  <c r="AL426" i="6" s="1"/>
  <c r="L426" i="6"/>
  <c r="AM426" i="6" s="1"/>
  <c r="M426" i="6"/>
  <c r="N426" i="6"/>
  <c r="O426" i="6"/>
  <c r="P426" i="6"/>
  <c r="Q426" i="6"/>
  <c r="R426" i="6"/>
  <c r="S426" i="6"/>
  <c r="T426" i="6"/>
  <c r="U426" i="6"/>
  <c r="J427" i="6"/>
  <c r="AK427" i="6" s="1"/>
  <c r="K427" i="6"/>
  <c r="AL427" i="6" s="1"/>
  <c r="L427" i="6"/>
  <c r="AM427" i="6" s="1"/>
  <c r="M427" i="6"/>
  <c r="N427" i="6"/>
  <c r="O427" i="6"/>
  <c r="P427" i="6"/>
  <c r="Q427" i="6"/>
  <c r="R427" i="6"/>
  <c r="S427" i="6"/>
  <c r="T427" i="6"/>
  <c r="U427" i="6"/>
  <c r="J428" i="6"/>
  <c r="AK428" i="6" s="1"/>
  <c r="K428" i="6"/>
  <c r="AL428" i="6" s="1"/>
  <c r="L428" i="6"/>
  <c r="AM428" i="6" s="1"/>
  <c r="M428" i="6"/>
  <c r="N428" i="6"/>
  <c r="O428" i="6"/>
  <c r="P428" i="6"/>
  <c r="Q428" i="6"/>
  <c r="R428" i="6"/>
  <c r="S428" i="6"/>
  <c r="T428" i="6"/>
  <c r="U428" i="6"/>
  <c r="J429" i="6"/>
  <c r="AK429" i="6" s="1"/>
  <c r="K429" i="6"/>
  <c r="AL429" i="6" s="1"/>
  <c r="L429" i="6"/>
  <c r="AM429" i="6" s="1"/>
  <c r="M429" i="6"/>
  <c r="N429" i="6"/>
  <c r="O429" i="6"/>
  <c r="P429" i="6"/>
  <c r="Q429" i="6"/>
  <c r="R429" i="6"/>
  <c r="S429" i="6"/>
  <c r="T429" i="6"/>
  <c r="U429" i="6"/>
  <c r="J430" i="6"/>
  <c r="AK430" i="6" s="1"/>
  <c r="K430" i="6"/>
  <c r="AL430" i="6" s="1"/>
  <c r="L430" i="6"/>
  <c r="AM430" i="6" s="1"/>
  <c r="M430" i="6"/>
  <c r="N430" i="6"/>
  <c r="O430" i="6"/>
  <c r="P430" i="6"/>
  <c r="Q430" i="6"/>
  <c r="R430" i="6"/>
  <c r="S430" i="6"/>
  <c r="T430" i="6"/>
  <c r="U430" i="6"/>
  <c r="J431" i="6"/>
  <c r="AK431" i="6" s="1"/>
  <c r="K431" i="6"/>
  <c r="AL431" i="6" s="1"/>
  <c r="L431" i="6"/>
  <c r="AM431" i="6" s="1"/>
  <c r="M431" i="6"/>
  <c r="N431" i="6"/>
  <c r="O431" i="6"/>
  <c r="P431" i="6"/>
  <c r="Q431" i="6"/>
  <c r="R431" i="6"/>
  <c r="S431" i="6"/>
  <c r="T431" i="6"/>
  <c r="U431" i="6"/>
  <c r="J432" i="6"/>
  <c r="AK432" i="6" s="1"/>
  <c r="K432" i="6"/>
  <c r="AL432" i="6" s="1"/>
  <c r="L432" i="6"/>
  <c r="M432" i="6"/>
  <c r="N432" i="6"/>
  <c r="O432" i="6"/>
  <c r="P432" i="6"/>
  <c r="Q432" i="6"/>
  <c r="R432" i="6"/>
  <c r="S432" i="6"/>
  <c r="T432" i="6"/>
  <c r="U432" i="6"/>
  <c r="J434" i="6"/>
  <c r="AK434" i="6" s="1"/>
  <c r="K434" i="6"/>
  <c r="AL434" i="6" s="1"/>
  <c r="L434" i="6"/>
  <c r="AM434" i="6" s="1"/>
  <c r="M434" i="6"/>
  <c r="N434" i="6"/>
  <c r="O434" i="6"/>
  <c r="P434" i="6"/>
  <c r="Q434" i="6"/>
  <c r="R434" i="6"/>
  <c r="S434" i="6"/>
  <c r="T434" i="6"/>
  <c r="U434" i="6"/>
  <c r="J433" i="6"/>
  <c r="AK433" i="6" s="1"/>
  <c r="K433" i="6"/>
  <c r="AL433" i="6" s="1"/>
  <c r="L433" i="6"/>
  <c r="AM433" i="6" s="1"/>
  <c r="M433" i="6"/>
  <c r="N433" i="6"/>
  <c r="O433" i="6"/>
  <c r="P433" i="6"/>
  <c r="Q433" i="6"/>
  <c r="R433" i="6"/>
  <c r="S433" i="6"/>
  <c r="T433" i="6"/>
  <c r="U433" i="6"/>
  <c r="J435" i="6"/>
  <c r="AK435" i="6" s="1"/>
  <c r="K435" i="6"/>
  <c r="AL435" i="6" s="1"/>
  <c r="L435" i="6"/>
  <c r="AM435" i="6" s="1"/>
  <c r="M435" i="6"/>
  <c r="N435" i="6"/>
  <c r="O435" i="6"/>
  <c r="P435" i="6"/>
  <c r="Q435" i="6"/>
  <c r="R435" i="6"/>
  <c r="S435" i="6"/>
  <c r="T435" i="6"/>
  <c r="U435" i="6"/>
  <c r="J436" i="6"/>
  <c r="AK436" i="6" s="1"/>
  <c r="K436" i="6"/>
  <c r="AL436" i="6" s="1"/>
  <c r="L436" i="6"/>
  <c r="AM436" i="6" s="1"/>
  <c r="M436" i="6"/>
  <c r="N436" i="6"/>
  <c r="O436" i="6"/>
  <c r="P436" i="6"/>
  <c r="Q436" i="6"/>
  <c r="R436" i="6"/>
  <c r="S436" i="6"/>
  <c r="T436" i="6"/>
  <c r="U436" i="6"/>
  <c r="J437" i="6"/>
  <c r="AK437" i="6" s="1"/>
  <c r="K437" i="6"/>
  <c r="AL437" i="6" s="1"/>
  <c r="L437" i="6"/>
  <c r="AM437" i="6" s="1"/>
  <c r="M437" i="6"/>
  <c r="N437" i="6"/>
  <c r="O437" i="6"/>
  <c r="P437" i="6"/>
  <c r="Q437" i="6"/>
  <c r="R437" i="6"/>
  <c r="S437" i="6"/>
  <c r="T437" i="6"/>
  <c r="U437" i="6"/>
  <c r="J438" i="6"/>
  <c r="AK438" i="6" s="1"/>
  <c r="K438" i="6"/>
  <c r="AL438" i="6" s="1"/>
  <c r="L438" i="6"/>
  <c r="AM438" i="6" s="1"/>
  <c r="M438" i="6"/>
  <c r="N438" i="6"/>
  <c r="O438" i="6"/>
  <c r="P438" i="6"/>
  <c r="Q438" i="6"/>
  <c r="R438" i="6"/>
  <c r="S438" i="6"/>
  <c r="T438" i="6"/>
  <c r="U438" i="6"/>
  <c r="J439" i="6"/>
  <c r="AK439" i="6" s="1"/>
  <c r="K439" i="6"/>
  <c r="AL439" i="6" s="1"/>
  <c r="L439" i="6"/>
  <c r="M439" i="6"/>
  <c r="N439" i="6"/>
  <c r="O439" i="6"/>
  <c r="P439" i="6"/>
  <c r="Q439" i="6"/>
  <c r="R439" i="6"/>
  <c r="S439" i="6"/>
  <c r="T439" i="6"/>
  <c r="U439" i="6"/>
  <c r="J440" i="6"/>
  <c r="AK440" i="6" s="1"/>
  <c r="K440" i="6"/>
  <c r="AL440" i="6" s="1"/>
  <c r="L440" i="6"/>
  <c r="M440" i="6"/>
  <c r="N440" i="6"/>
  <c r="O440" i="6"/>
  <c r="P440" i="6"/>
  <c r="Q440" i="6"/>
  <c r="R440" i="6"/>
  <c r="S440" i="6"/>
  <c r="T440" i="6"/>
  <c r="U440" i="6"/>
  <c r="J441" i="6"/>
  <c r="K441" i="6"/>
  <c r="AL441" i="6" s="1"/>
  <c r="L441" i="6"/>
  <c r="M441" i="6"/>
  <c r="N441" i="6"/>
  <c r="O441" i="6"/>
  <c r="P441" i="6"/>
  <c r="Q441" i="6"/>
  <c r="R441" i="6"/>
  <c r="S441" i="6"/>
  <c r="T441" i="6"/>
  <c r="U441" i="6"/>
  <c r="J442" i="6"/>
  <c r="AK442" i="6" s="1"/>
  <c r="K442" i="6"/>
  <c r="AL442" i="6" s="1"/>
  <c r="L442" i="6"/>
  <c r="M442" i="6"/>
  <c r="N442" i="6"/>
  <c r="O442" i="6"/>
  <c r="P442" i="6"/>
  <c r="Q442" i="6"/>
  <c r="R442" i="6"/>
  <c r="S442" i="6"/>
  <c r="T442" i="6"/>
  <c r="U442" i="6"/>
  <c r="J443" i="6"/>
  <c r="AK443" i="6" s="1"/>
  <c r="K443" i="6"/>
  <c r="AL443" i="6" s="1"/>
  <c r="L443" i="6"/>
  <c r="AM443" i="6" s="1"/>
  <c r="M443" i="6"/>
  <c r="N443" i="6"/>
  <c r="O443" i="6"/>
  <c r="P443" i="6"/>
  <c r="Q443" i="6"/>
  <c r="R443" i="6"/>
  <c r="S443" i="6"/>
  <c r="T443" i="6"/>
  <c r="U443" i="6"/>
  <c r="J444" i="6"/>
  <c r="AK444" i="6" s="1"/>
  <c r="K444" i="6"/>
  <c r="AL444" i="6" s="1"/>
  <c r="L444" i="6"/>
  <c r="AM444" i="6" s="1"/>
  <c r="M444" i="6"/>
  <c r="N444" i="6"/>
  <c r="O444" i="6"/>
  <c r="P444" i="6"/>
  <c r="Q444" i="6"/>
  <c r="R444" i="6"/>
  <c r="S444" i="6"/>
  <c r="T444" i="6"/>
  <c r="U444" i="6"/>
  <c r="J445" i="6"/>
  <c r="AK445" i="6" s="1"/>
  <c r="K445" i="6"/>
  <c r="AL445" i="6" s="1"/>
  <c r="L445" i="6"/>
  <c r="M445" i="6"/>
  <c r="N445" i="6"/>
  <c r="O445" i="6"/>
  <c r="P445" i="6"/>
  <c r="Q445" i="6"/>
  <c r="R445" i="6"/>
  <c r="S445" i="6"/>
  <c r="T445" i="6"/>
  <c r="U445" i="6"/>
  <c r="J446" i="6"/>
  <c r="AK446" i="6" s="1"/>
  <c r="K446" i="6"/>
  <c r="AL446" i="6" s="1"/>
  <c r="L446" i="6"/>
  <c r="AM446" i="6" s="1"/>
  <c r="M446" i="6"/>
  <c r="N446" i="6"/>
  <c r="O446" i="6"/>
  <c r="P446" i="6"/>
  <c r="Q446" i="6"/>
  <c r="R446" i="6"/>
  <c r="S446" i="6"/>
  <c r="T446" i="6"/>
  <c r="U446" i="6"/>
  <c r="J447" i="6"/>
  <c r="AK447" i="6" s="1"/>
  <c r="K447" i="6"/>
  <c r="AL447" i="6" s="1"/>
  <c r="L447" i="6"/>
  <c r="AM447" i="6" s="1"/>
  <c r="M447" i="6"/>
  <c r="N447" i="6"/>
  <c r="O447" i="6"/>
  <c r="P447" i="6"/>
  <c r="Q447" i="6"/>
  <c r="R447" i="6"/>
  <c r="S447" i="6"/>
  <c r="T447" i="6"/>
  <c r="U447" i="6"/>
  <c r="J448" i="6"/>
  <c r="AK448" i="6" s="1"/>
  <c r="K448" i="6"/>
  <c r="AL448" i="6" s="1"/>
  <c r="L448" i="6"/>
  <c r="AM448" i="6" s="1"/>
  <c r="M448" i="6"/>
  <c r="N448" i="6"/>
  <c r="O448" i="6"/>
  <c r="P448" i="6"/>
  <c r="Q448" i="6"/>
  <c r="R448" i="6"/>
  <c r="S448" i="6"/>
  <c r="T448" i="6"/>
  <c r="U448" i="6"/>
  <c r="J449" i="6"/>
  <c r="AK449" i="6" s="1"/>
  <c r="K449" i="6"/>
  <c r="AL449" i="6" s="1"/>
  <c r="L449" i="6"/>
  <c r="M449" i="6"/>
  <c r="N449" i="6"/>
  <c r="O449" i="6"/>
  <c r="P449" i="6"/>
  <c r="Q449" i="6"/>
  <c r="R449" i="6"/>
  <c r="S449" i="6"/>
  <c r="T449" i="6"/>
  <c r="U449" i="6"/>
  <c r="J450" i="6"/>
  <c r="AK450" i="6" s="1"/>
  <c r="K450" i="6"/>
  <c r="AL450" i="6" s="1"/>
  <c r="L450" i="6"/>
  <c r="AM450" i="6" s="1"/>
  <c r="M450" i="6"/>
  <c r="N450" i="6"/>
  <c r="O450" i="6"/>
  <c r="P450" i="6"/>
  <c r="Q450" i="6"/>
  <c r="R450" i="6"/>
  <c r="S450" i="6"/>
  <c r="T450" i="6"/>
  <c r="U450" i="6"/>
  <c r="J452" i="6"/>
  <c r="AK452" i="6" s="1"/>
  <c r="K452" i="6"/>
  <c r="AL452" i="6" s="1"/>
  <c r="L452" i="6"/>
  <c r="M452" i="6"/>
  <c r="N452" i="6"/>
  <c r="O452" i="6"/>
  <c r="P452" i="6"/>
  <c r="Q452" i="6"/>
  <c r="R452" i="6"/>
  <c r="S452" i="6"/>
  <c r="T452" i="6"/>
  <c r="U452" i="6"/>
  <c r="J453" i="6"/>
  <c r="AK453" i="6" s="1"/>
  <c r="K453" i="6"/>
  <c r="L453" i="6"/>
  <c r="AM453" i="6" s="1"/>
  <c r="M453" i="6"/>
  <c r="N453" i="6"/>
  <c r="O453" i="6"/>
  <c r="P453" i="6"/>
  <c r="Q453" i="6"/>
  <c r="R453" i="6"/>
  <c r="S453" i="6"/>
  <c r="T453" i="6"/>
  <c r="U453" i="6"/>
  <c r="J454" i="6"/>
  <c r="AK454" i="6" s="1"/>
  <c r="K454" i="6"/>
  <c r="AL454" i="6" s="1"/>
  <c r="L454" i="6"/>
  <c r="AM454" i="6" s="1"/>
  <c r="M454" i="6"/>
  <c r="N454" i="6"/>
  <c r="O454" i="6"/>
  <c r="P454" i="6"/>
  <c r="Q454" i="6"/>
  <c r="R454" i="6"/>
  <c r="S454" i="6"/>
  <c r="T454" i="6"/>
  <c r="U454" i="6"/>
  <c r="J455" i="6"/>
  <c r="AK455" i="6" s="1"/>
  <c r="K455" i="6"/>
  <c r="AL455" i="6" s="1"/>
  <c r="L455" i="6"/>
  <c r="AM455" i="6" s="1"/>
  <c r="M455" i="6"/>
  <c r="N455" i="6"/>
  <c r="O455" i="6"/>
  <c r="P455" i="6"/>
  <c r="Q455" i="6"/>
  <c r="R455" i="6"/>
  <c r="S455" i="6"/>
  <c r="T455" i="6"/>
  <c r="U455" i="6"/>
  <c r="J456" i="6"/>
  <c r="AK456" i="6" s="1"/>
  <c r="K456" i="6"/>
  <c r="AL456" i="6" s="1"/>
  <c r="L456" i="6"/>
  <c r="AM456" i="6" s="1"/>
  <c r="M456" i="6"/>
  <c r="N456" i="6"/>
  <c r="O456" i="6"/>
  <c r="P456" i="6"/>
  <c r="Q456" i="6"/>
  <c r="R456" i="6"/>
  <c r="S456" i="6"/>
  <c r="T456" i="6"/>
  <c r="U456" i="6"/>
  <c r="J457" i="6"/>
  <c r="AK457" i="6" s="1"/>
  <c r="K457" i="6"/>
  <c r="AL457" i="6" s="1"/>
  <c r="L457" i="6"/>
  <c r="AM457" i="6" s="1"/>
  <c r="M457" i="6"/>
  <c r="N457" i="6"/>
  <c r="O457" i="6"/>
  <c r="P457" i="6"/>
  <c r="Q457" i="6"/>
  <c r="R457" i="6"/>
  <c r="S457" i="6"/>
  <c r="T457" i="6"/>
  <c r="U457" i="6"/>
  <c r="J458" i="6"/>
  <c r="AK458" i="6" s="1"/>
  <c r="K458" i="6"/>
  <c r="AL458" i="6" s="1"/>
  <c r="L458" i="6"/>
  <c r="M458" i="6"/>
  <c r="N458" i="6"/>
  <c r="O458" i="6"/>
  <c r="P458" i="6"/>
  <c r="Q458" i="6"/>
  <c r="R458" i="6"/>
  <c r="S458" i="6"/>
  <c r="T458" i="6"/>
  <c r="U458" i="6"/>
  <c r="J459" i="6"/>
  <c r="AK459" i="6" s="1"/>
  <c r="K459" i="6"/>
  <c r="AL459" i="6" s="1"/>
  <c r="L459" i="6"/>
  <c r="AM459" i="6" s="1"/>
  <c r="M459" i="6"/>
  <c r="N459" i="6"/>
  <c r="O459" i="6"/>
  <c r="P459" i="6"/>
  <c r="Q459" i="6"/>
  <c r="R459" i="6"/>
  <c r="S459" i="6"/>
  <c r="T459" i="6"/>
  <c r="U459" i="6"/>
  <c r="J460" i="6"/>
  <c r="AK460" i="6" s="1"/>
  <c r="K460" i="6"/>
  <c r="AL460" i="6" s="1"/>
  <c r="L460" i="6"/>
  <c r="AM460" i="6" s="1"/>
  <c r="M460" i="6"/>
  <c r="N460" i="6"/>
  <c r="O460" i="6"/>
  <c r="P460" i="6"/>
  <c r="Q460" i="6"/>
  <c r="R460" i="6"/>
  <c r="S460" i="6"/>
  <c r="T460" i="6"/>
  <c r="U460" i="6"/>
  <c r="J461" i="6"/>
  <c r="AK461" i="6" s="1"/>
  <c r="K461" i="6"/>
  <c r="AL461" i="6" s="1"/>
  <c r="L461" i="6"/>
  <c r="AM461" i="6" s="1"/>
  <c r="M461" i="6"/>
  <c r="N461" i="6"/>
  <c r="O461" i="6"/>
  <c r="P461" i="6"/>
  <c r="Q461" i="6"/>
  <c r="R461" i="6"/>
  <c r="S461" i="6"/>
  <c r="T461" i="6"/>
  <c r="U461" i="6"/>
  <c r="J462" i="6"/>
  <c r="AK462" i="6" s="1"/>
  <c r="K462" i="6"/>
  <c r="AL462" i="6" s="1"/>
  <c r="L462" i="6"/>
  <c r="AM462" i="6" s="1"/>
  <c r="M462" i="6"/>
  <c r="N462" i="6"/>
  <c r="O462" i="6"/>
  <c r="P462" i="6"/>
  <c r="Q462" i="6"/>
  <c r="R462" i="6"/>
  <c r="S462" i="6"/>
  <c r="T462" i="6"/>
  <c r="U462" i="6"/>
  <c r="J465" i="6"/>
  <c r="AK465" i="6" s="1"/>
  <c r="K465" i="6"/>
  <c r="AL465" i="6" s="1"/>
  <c r="L465" i="6"/>
  <c r="AM465" i="6" s="1"/>
  <c r="M465" i="6"/>
  <c r="N465" i="6"/>
  <c r="O465" i="6"/>
  <c r="P465" i="6"/>
  <c r="Q465" i="6"/>
  <c r="R465" i="6"/>
  <c r="S465" i="6"/>
  <c r="T465" i="6"/>
  <c r="U465" i="6"/>
  <c r="J464" i="6"/>
  <c r="AK464" i="6" s="1"/>
  <c r="K464" i="6"/>
  <c r="AL464" i="6" s="1"/>
  <c r="L464" i="6"/>
  <c r="AM464" i="6" s="1"/>
  <c r="M464" i="6"/>
  <c r="N464" i="6"/>
  <c r="O464" i="6"/>
  <c r="P464" i="6"/>
  <c r="Q464" i="6"/>
  <c r="R464" i="6"/>
  <c r="S464" i="6"/>
  <c r="T464" i="6"/>
  <c r="U464" i="6"/>
  <c r="J463" i="6"/>
  <c r="AK463" i="6" s="1"/>
  <c r="K463" i="6"/>
  <c r="AL463" i="6" s="1"/>
  <c r="L463" i="6"/>
  <c r="AM463" i="6" s="1"/>
  <c r="M463" i="6"/>
  <c r="N463" i="6"/>
  <c r="O463" i="6"/>
  <c r="P463" i="6"/>
  <c r="Q463" i="6"/>
  <c r="R463" i="6"/>
  <c r="S463" i="6"/>
  <c r="T463" i="6"/>
  <c r="U463" i="6"/>
  <c r="J466" i="6"/>
  <c r="AK466" i="6" s="1"/>
  <c r="K466" i="6"/>
  <c r="AL466" i="6" s="1"/>
  <c r="L466" i="6"/>
  <c r="AM466" i="6" s="1"/>
  <c r="M466" i="6"/>
  <c r="N466" i="6"/>
  <c r="O466" i="6"/>
  <c r="P466" i="6"/>
  <c r="Q466" i="6"/>
  <c r="R466" i="6"/>
  <c r="S466" i="6"/>
  <c r="T466" i="6"/>
  <c r="U466" i="6"/>
  <c r="J468" i="6"/>
  <c r="AK468" i="6" s="1"/>
  <c r="K468" i="6"/>
  <c r="AL468" i="6" s="1"/>
  <c r="L468" i="6"/>
  <c r="AM468" i="6" s="1"/>
  <c r="M468" i="6"/>
  <c r="N468" i="6"/>
  <c r="O468" i="6"/>
  <c r="P468" i="6"/>
  <c r="Q468" i="6"/>
  <c r="R468" i="6"/>
  <c r="S468" i="6"/>
  <c r="T468" i="6"/>
  <c r="U468" i="6"/>
  <c r="J467" i="6"/>
  <c r="AK467" i="6" s="1"/>
  <c r="K467" i="6"/>
  <c r="AL467" i="6" s="1"/>
  <c r="L467" i="6"/>
  <c r="AM467" i="6" s="1"/>
  <c r="M467" i="6"/>
  <c r="N467" i="6"/>
  <c r="O467" i="6"/>
  <c r="P467" i="6"/>
  <c r="Q467" i="6"/>
  <c r="R467" i="6"/>
  <c r="S467" i="6"/>
  <c r="T467" i="6"/>
  <c r="U467" i="6"/>
  <c r="J469" i="6"/>
  <c r="AK469" i="6" s="1"/>
  <c r="K469" i="6"/>
  <c r="AL469" i="6" s="1"/>
  <c r="L469" i="6"/>
  <c r="AM469" i="6" s="1"/>
  <c r="M469" i="6"/>
  <c r="N469" i="6"/>
  <c r="O469" i="6"/>
  <c r="P469" i="6"/>
  <c r="Q469" i="6"/>
  <c r="R469" i="6"/>
  <c r="S469" i="6"/>
  <c r="T469" i="6"/>
  <c r="U469" i="6"/>
  <c r="J470" i="6"/>
  <c r="AK470" i="6" s="1"/>
  <c r="K470" i="6"/>
  <c r="AL470" i="6" s="1"/>
  <c r="L470" i="6"/>
  <c r="AM470" i="6" s="1"/>
  <c r="M470" i="6"/>
  <c r="N470" i="6"/>
  <c r="O470" i="6"/>
  <c r="P470" i="6"/>
  <c r="Q470" i="6"/>
  <c r="R470" i="6"/>
  <c r="S470" i="6"/>
  <c r="T470" i="6"/>
  <c r="U470" i="6"/>
  <c r="J471" i="6"/>
  <c r="AK471" i="6" s="1"/>
  <c r="K471" i="6"/>
  <c r="AL471" i="6" s="1"/>
  <c r="L471" i="6"/>
  <c r="AM471" i="6" s="1"/>
  <c r="M471" i="6"/>
  <c r="N471" i="6"/>
  <c r="O471" i="6"/>
  <c r="P471" i="6"/>
  <c r="Q471" i="6"/>
  <c r="R471" i="6"/>
  <c r="S471" i="6"/>
  <c r="T471" i="6"/>
  <c r="U471" i="6"/>
  <c r="J472" i="6"/>
  <c r="AK472" i="6" s="1"/>
  <c r="K472" i="6"/>
  <c r="AL472" i="6" s="1"/>
  <c r="L472" i="6"/>
  <c r="AM472" i="6" s="1"/>
  <c r="M472" i="6"/>
  <c r="N472" i="6"/>
  <c r="O472" i="6"/>
  <c r="P472" i="6"/>
  <c r="Q472" i="6"/>
  <c r="R472" i="6"/>
  <c r="S472" i="6"/>
  <c r="T472" i="6"/>
  <c r="U472" i="6"/>
  <c r="J473" i="6"/>
  <c r="AK473" i="6" s="1"/>
  <c r="K473" i="6"/>
  <c r="AL473" i="6" s="1"/>
  <c r="L473" i="6"/>
  <c r="M473" i="6"/>
  <c r="N473" i="6"/>
  <c r="O473" i="6"/>
  <c r="P473" i="6"/>
  <c r="Q473" i="6"/>
  <c r="R473" i="6"/>
  <c r="S473" i="6"/>
  <c r="T473" i="6"/>
  <c r="U473" i="6"/>
  <c r="J475" i="6"/>
  <c r="AK475" i="6" s="1"/>
  <c r="K475" i="6"/>
  <c r="AL475" i="6" s="1"/>
  <c r="L475" i="6"/>
  <c r="AM475" i="6" s="1"/>
  <c r="M475" i="6"/>
  <c r="N475" i="6"/>
  <c r="O475" i="6"/>
  <c r="P475" i="6"/>
  <c r="Q475" i="6"/>
  <c r="R475" i="6"/>
  <c r="S475" i="6"/>
  <c r="T475" i="6"/>
  <c r="U475" i="6"/>
  <c r="J474" i="6"/>
  <c r="AK474" i="6" s="1"/>
  <c r="K474" i="6"/>
  <c r="AL474" i="6" s="1"/>
  <c r="L474" i="6"/>
  <c r="AM474" i="6" s="1"/>
  <c r="M474" i="6"/>
  <c r="N474" i="6"/>
  <c r="O474" i="6"/>
  <c r="P474" i="6"/>
  <c r="Q474" i="6"/>
  <c r="R474" i="6"/>
  <c r="S474" i="6"/>
  <c r="T474" i="6"/>
  <c r="U474" i="6"/>
  <c r="J479" i="6"/>
  <c r="AK479" i="6" s="1"/>
  <c r="K479" i="6"/>
  <c r="AL479" i="6" s="1"/>
  <c r="L479" i="6"/>
  <c r="AM479" i="6" s="1"/>
  <c r="M479" i="6"/>
  <c r="N479" i="6"/>
  <c r="O479" i="6"/>
  <c r="P479" i="6"/>
  <c r="Q479" i="6"/>
  <c r="R479" i="6"/>
  <c r="S479" i="6"/>
  <c r="T479" i="6"/>
  <c r="U479" i="6"/>
  <c r="J476" i="6"/>
  <c r="AK476" i="6" s="1"/>
  <c r="K476" i="6"/>
  <c r="AL476" i="6" s="1"/>
  <c r="L476" i="6"/>
  <c r="AM476" i="6" s="1"/>
  <c r="M476" i="6"/>
  <c r="N476" i="6"/>
  <c r="O476" i="6"/>
  <c r="P476" i="6"/>
  <c r="Q476" i="6"/>
  <c r="R476" i="6"/>
  <c r="S476" i="6"/>
  <c r="T476" i="6"/>
  <c r="U476" i="6"/>
  <c r="J478" i="6"/>
  <c r="AK478" i="6" s="1"/>
  <c r="K478" i="6"/>
  <c r="AL478" i="6" s="1"/>
  <c r="L478" i="6"/>
  <c r="AM478" i="6" s="1"/>
  <c r="M478" i="6"/>
  <c r="N478" i="6"/>
  <c r="O478" i="6"/>
  <c r="P478" i="6"/>
  <c r="Q478" i="6"/>
  <c r="R478" i="6"/>
  <c r="S478" i="6"/>
  <c r="T478" i="6"/>
  <c r="U478" i="6"/>
  <c r="J477" i="6"/>
  <c r="AK477" i="6" s="1"/>
  <c r="K477" i="6"/>
  <c r="AL477" i="6" s="1"/>
  <c r="L477" i="6"/>
  <c r="AM477" i="6" s="1"/>
  <c r="M477" i="6"/>
  <c r="N477" i="6"/>
  <c r="O477" i="6"/>
  <c r="P477" i="6"/>
  <c r="Q477" i="6"/>
  <c r="R477" i="6"/>
  <c r="S477" i="6"/>
  <c r="T477" i="6"/>
  <c r="U477" i="6"/>
  <c r="J481" i="6"/>
  <c r="AK481" i="6" s="1"/>
  <c r="K481" i="6"/>
  <c r="AL481" i="6" s="1"/>
  <c r="L481" i="6"/>
  <c r="AM481" i="6" s="1"/>
  <c r="M481" i="6"/>
  <c r="N481" i="6"/>
  <c r="O481" i="6"/>
  <c r="P481" i="6"/>
  <c r="Q481" i="6"/>
  <c r="R481" i="6"/>
  <c r="S481" i="6"/>
  <c r="T481" i="6"/>
  <c r="U481" i="6"/>
  <c r="J480" i="6"/>
  <c r="AK480" i="6" s="1"/>
  <c r="K480" i="6"/>
  <c r="AL480" i="6" s="1"/>
  <c r="L480" i="6"/>
  <c r="AM480" i="6" s="1"/>
  <c r="M480" i="6"/>
  <c r="N480" i="6"/>
  <c r="O480" i="6"/>
  <c r="P480" i="6"/>
  <c r="Q480" i="6"/>
  <c r="R480" i="6"/>
  <c r="S480" i="6"/>
  <c r="T480" i="6"/>
  <c r="U480" i="6"/>
  <c r="J482" i="6"/>
  <c r="AK482" i="6" s="1"/>
  <c r="K482" i="6"/>
  <c r="AL482" i="6" s="1"/>
  <c r="L482" i="6"/>
  <c r="AM482" i="6" s="1"/>
  <c r="M482" i="6"/>
  <c r="N482" i="6"/>
  <c r="O482" i="6"/>
  <c r="P482" i="6"/>
  <c r="Q482" i="6"/>
  <c r="R482" i="6"/>
  <c r="S482" i="6"/>
  <c r="T482" i="6"/>
  <c r="U482" i="6"/>
  <c r="J485" i="6"/>
  <c r="AK485" i="6" s="1"/>
  <c r="K485" i="6"/>
  <c r="AL485" i="6" s="1"/>
  <c r="L485" i="6"/>
  <c r="AM485" i="6" s="1"/>
  <c r="M485" i="6"/>
  <c r="N485" i="6"/>
  <c r="O485" i="6"/>
  <c r="P485" i="6"/>
  <c r="Q485" i="6"/>
  <c r="R485" i="6"/>
  <c r="S485" i="6"/>
  <c r="T485" i="6"/>
  <c r="U485" i="6"/>
  <c r="J484" i="6"/>
  <c r="K484" i="6"/>
  <c r="AL484" i="6" s="1"/>
  <c r="L484" i="6"/>
  <c r="M484" i="6"/>
  <c r="N484" i="6"/>
  <c r="O484" i="6"/>
  <c r="P484" i="6"/>
  <c r="Q484" i="6"/>
  <c r="R484" i="6"/>
  <c r="S484" i="6"/>
  <c r="T484" i="6"/>
  <c r="U484" i="6"/>
  <c r="J483" i="6"/>
  <c r="AK483" i="6" s="1"/>
  <c r="K483" i="6"/>
  <c r="AL483" i="6" s="1"/>
  <c r="L483" i="6"/>
  <c r="AM483" i="6" s="1"/>
  <c r="M483" i="6"/>
  <c r="N483" i="6"/>
  <c r="O483" i="6"/>
  <c r="P483" i="6"/>
  <c r="Q483" i="6"/>
  <c r="R483" i="6"/>
  <c r="S483" i="6"/>
  <c r="T483" i="6"/>
  <c r="U483" i="6"/>
  <c r="J486" i="6"/>
  <c r="AK486" i="6" s="1"/>
  <c r="K486" i="6"/>
  <c r="AL486" i="6" s="1"/>
  <c r="L486" i="6"/>
  <c r="AM486" i="6" s="1"/>
  <c r="M486" i="6"/>
  <c r="N486" i="6"/>
  <c r="O486" i="6"/>
  <c r="P486" i="6"/>
  <c r="Q486" i="6"/>
  <c r="R486" i="6"/>
  <c r="S486" i="6"/>
  <c r="T486" i="6"/>
  <c r="U486" i="6"/>
  <c r="J488" i="6"/>
  <c r="AK488" i="6" s="1"/>
  <c r="K488" i="6"/>
  <c r="AL488" i="6" s="1"/>
  <c r="L488" i="6"/>
  <c r="AM488" i="6" s="1"/>
  <c r="M488" i="6"/>
  <c r="N488" i="6"/>
  <c r="O488" i="6"/>
  <c r="P488" i="6"/>
  <c r="Q488" i="6"/>
  <c r="R488" i="6"/>
  <c r="S488" i="6"/>
  <c r="T488" i="6"/>
  <c r="U488" i="6"/>
  <c r="J487" i="6"/>
  <c r="AK487" i="6" s="1"/>
  <c r="K487" i="6"/>
  <c r="AL487" i="6" s="1"/>
  <c r="L487" i="6"/>
  <c r="AM487" i="6" s="1"/>
  <c r="M487" i="6"/>
  <c r="N487" i="6"/>
  <c r="O487" i="6"/>
  <c r="P487" i="6"/>
  <c r="Q487" i="6"/>
  <c r="R487" i="6"/>
  <c r="S487" i="6"/>
  <c r="T487" i="6"/>
  <c r="U487" i="6"/>
  <c r="J489" i="6"/>
  <c r="AK489" i="6" s="1"/>
  <c r="K489" i="6"/>
  <c r="AL489" i="6" s="1"/>
  <c r="L489" i="6"/>
  <c r="AM489" i="6" s="1"/>
  <c r="M489" i="6"/>
  <c r="N489" i="6"/>
  <c r="O489" i="6"/>
  <c r="P489" i="6"/>
  <c r="Q489" i="6"/>
  <c r="R489" i="6"/>
  <c r="S489" i="6"/>
  <c r="T489" i="6"/>
  <c r="U489" i="6"/>
  <c r="J490" i="6"/>
  <c r="AK490" i="6" s="1"/>
  <c r="K490" i="6"/>
  <c r="AL490" i="6" s="1"/>
  <c r="L490" i="6"/>
  <c r="AM490" i="6" s="1"/>
  <c r="M490" i="6"/>
  <c r="N490" i="6"/>
  <c r="O490" i="6"/>
  <c r="P490" i="6"/>
  <c r="Q490" i="6"/>
  <c r="R490" i="6"/>
  <c r="S490" i="6"/>
  <c r="T490" i="6"/>
  <c r="U490" i="6"/>
  <c r="J491" i="6"/>
  <c r="AK491" i="6" s="1"/>
  <c r="K491" i="6"/>
  <c r="AL491" i="6" s="1"/>
  <c r="L491" i="6"/>
  <c r="AM491" i="6" s="1"/>
  <c r="M491" i="6"/>
  <c r="N491" i="6"/>
  <c r="O491" i="6"/>
  <c r="P491" i="6"/>
  <c r="Q491" i="6"/>
  <c r="R491" i="6"/>
  <c r="S491" i="6"/>
  <c r="T491" i="6"/>
  <c r="U491" i="6"/>
  <c r="J492" i="6"/>
  <c r="AK492" i="6" s="1"/>
  <c r="K492" i="6"/>
  <c r="AL492" i="6" s="1"/>
  <c r="L492" i="6"/>
  <c r="AM492" i="6" s="1"/>
  <c r="M492" i="6"/>
  <c r="N492" i="6"/>
  <c r="O492" i="6"/>
  <c r="P492" i="6"/>
  <c r="Q492" i="6"/>
  <c r="R492" i="6"/>
  <c r="S492" i="6"/>
  <c r="T492" i="6"/>
  <c r="U492" i="6"/>
  <c r="J493" i="6"/>
  <c r="AK493" i="6" s="1"/>
  <c r="K493" i="6"/>
  <c r="AL493" i="6" s="1"/>
  <c r="L493" i="6"/>
  <c r="AM493" i="6" s="1"/>
  <c r="M493" i="6"/>
  <c r="N493" i="6"/>
  <c r="O493" i="6"/>
  <c r="P493" i="6"/>
  <c r="Q493" i="6"/>
  <c r="R493" i="6"/>
  <c r="S493" i="6"/>
  <c r="T493" i="6"/>
  <c r="U493" i="6"/>
  <c r="J494" i="6"/>
  <c r="AK494" i="6" s="1"/>
  <c r="K494" i="6"/>
  <c r="AL494" i="6" s="1"/>
  <c r="L494" i="6"/>
  <c r="AM494" i="6" s="1"/>
  <c r="M494" i="6"/>
  <c r="N494" i="6"/>
  <c r="O494" i="6"/>
  <c r="P494" i="6"/>
  <c r="Q494" i="6"/>
  <c r="R494" i="6"/>
  <c r="S494" i="6"/>
  <c r="T494" i="6"/>
  <c r="U494" i="6"/>
  <c r="J495" i="6"/>
  <c r="AK495" i="6" s="1"/>
  <c r="K495" i="6"/>
  <c r="AL495" i="6" s="1"/>
  <c r="L495" i="6"/>
  <c r="AM495" i="6" s="1"/>
  <c r="M495" i="6"/>
  <c r="N495" i="6"/>
  <c r="O495" i="6"/>
  <c r="P495" i="6"/>
  <c r="Q495" i="6"/>
  <c r="R495" i="6"/>
  <c r="S495" i="6"/>
  <c r="T495" i="6"/>
  <c r="U495" i="6"/>
  <c r="J496" i="6"/>
  <c r="AK496" i="6" s="1"/>
  <c r="K496" i="6"/>
  <c r="AL496" i="6" s="1"/>
  <c r="L496" i="6"/>
  <c r="AM496" i="6" s="1"/>
  <c r="M496" i="6"/>
  <c r="N496" i="6"/>
  <c r="O496" i="6"/>
  <c r="P496" i="6"/>
  <c r="Q496" i="6"/>
  <c r="R496" i="6"/>
  <c r="S496" i="6"/>
  <c r="T496" i="6"/>
  <c r="U496" i="6"/>
  <c r="J497" i="6"/>
  <c r="AK497" i="6" s="1"/>
  <c r="K497" i="6"/>
  <c r="AL497" i="6" s="1"/>
  <c r="L497" i="6"/>
  <c r="AM497" i="6" s="1"/>
  <c r="M497" i="6"/>
  <c r="N497" i="6"/>
  <c r="O497" i="6"/>
  <c r="P497" i="6"/>
  <c r="Q497" i="6"/>
  <c r="R497" i="6"/>
  <c r="S497" i="6"/>
  <c r="T497" i="6"/>
  <c r="U497" i="6"/>
  <c r="J498" i="6"/>
  <c r="AK498" i="6" s="1"/>
  <c r="K498" i="6"/>
  <c r="AL498" i="6" s="1"/>
  <c r="L498" i="6"/>
  <c r="AM498" i="6" s="1"/>
  <c r="M498" i="6"/>
  <c r="N498" i="6"/>
  <c r="O498" i="6"/>
  <c r="P498" i="6"/>
  <c r="Q498" i="6"/>
  <c r="R498" i="6"/>
  <c r="S498" i="6"/>
  <c r="T498" i="6"/>
  <c r="U498" i="6"/>
  <c r="J499" i="6"/>
  <c r="AK499" i="6" s="1"/>
  <c r="K499" i="6"/>
  <c r="AL499" i="6" s="1"/>
  <c r="L499" i="6"/>
  <c r="AM499" i="6" s="1"/>
  <c r="M499" i="6"/>
  <c r="N499" i="6"/>
  <c r="O499" i="6"/>
  <c r="P499" i="6"/>
  <c r="Q499" i="6"/>
  <c r="R499" i="6"/>
  <c r="S499" i="6"/>
  <c r="T499" i="6"/>
  <c r="U499" i="6"/>
  <c r="J500" i="6"/>
  <c r="AK500" i="6" s="1"/>
  <c r="K500" i="6"/>
  <c r="AL500" i="6" s="1"/>
  <c r="L500" i="6"/>
  <c r="AM500" i="6" s="1"/>
  <c r="M500" i="6"/>
  <c r="N500" i="6"/>
  <c r="O500" i="6"/>
  <c r="P500" i="6"/>
  <c r="Q500" i="6"/>
  <c r="R500" i="6"/>
  <c r="S500" i="6"/>
  <c r="T500" i="6"/>
  <c r="U500" i="6"/>
  <c r="J501" i="6"/>
  <c r="AK501" i="6" s="1"/>
  <c r="K501" i="6"/>
  <c r="AL501" i="6" s="1"/>
  <c r="L501" i="6"/>
  <c r="AM501" i="6" s="1"/>
  <c r="M501" i="6"/>
  <c r="N501" i="6"/>
  <c r="O501" i="6"/>
  <c r="P501" i="6"/>
  <c r="Q501" i="6"/>
  <c r="R501" i="6"/>
  <c r="S501" i="6"/>
  <c r="T501" i="6"/>
  <c r="U501" i="6"/>
  <c r="J502" i="6"/>
  <c r="AK502" i="6" s="1"/>
  <c r="K502" i="6"/>
  <c r="AL502" i="6" s="1"/>
  <c r="L502" i="6"/>
  <c r="AM502" i="6" s="1"/>
  <c r="M502" i="6"/>
  <c r="N502" i="6"/>
  <c r="O502" i="6"/>
  <c r="P502" i="6"/>
  <c r="Q502" i="6"/>
  <c r="R502" i="6"/>
  <c r="S502" i="6"/>
  <c r="T502" i="6"/>
  <c r="U502" i="6"/>
  <c r="J503" i="6"/>
  <c r="AK503" i="6" s="1"/>
  <c r="K503" i="6"/>
  <c r="AL503" i="6" s="1"/>
  <c r="L503" i="6"/>
  <c r="M503" i="6"/>
  <c r="N503" i="6"/>
  <c r="O503" i="6"/>
  <c r="P503" i="6"/>
  <c r="Q503" i="6"/>
  <c r="R503" i="6"/>
  <c r="S503" i="6"/>
  <c r="T503" i="6"/>
  <c r="U503" i="6"/>
  <c r="J504" i="6"/>
  <c r="AK504" i="6" s="1"/>
  <c r="K504" i="6"/>
  <c r="L504" i="6"/>
  <c r="AM504" i="6" s="1"/>
  <c r="M504" i="6"/>
  <c r="N504" i="6"/>
  <c r="O504" i="6"/>
  <c r="P504" i="6"/>
  <c r="Q504" i="6"/>
  <c r="R504" i="6"/>
  <c r="S504" i="6"/>
  <c r="T504" i="6"/>
  <c r="U504" i="6"/>
  <c r="J506" i="6"/>
  <c r="AK506" i="6" s="1"/>
  <c r="K506" i="6"/>
  <c r="AL506" i="6" s="1"/>
  <c r="L506" i="6"/>
  <c r="AM506" i="6" s="1"/>
  <c r="M506" i="6"/>
  <c r="N506" i="6"/>
  <c r="O506" i="6"/>
  <c r="P506" i="6"/>
  <c r="Q506" i="6"/>
  <c r="R506" i="6"/>
  <c r="S506" i="6"/>
  <c r="T506" i="6"/>
  <c r="U506" i="6"/>
  <c r="J505" i="6"/>
  <c r="AK505" i="6" s="1"/>
  <c r="K505" i="6"/>
  <c r="AL505" i="6" s="1"/>
  <c r="L505" i="6"/>
  <c r="AM505" i="6" s="1"/>
  <c r="M505" i="6"/>
  <c r="N505" i="6"/>
  <c r="O505" i="6"/>
  <c r="P505" i="6"/>
  <c r="Q505" i="6"/>
  <c r="R505" i="6"/>
  <c r="S505" i="6"/>
  <c r="T505" i="6"/>
  <c r="U505" i="6"/>
  <c r="J508" i="6"/>
  <c r="AK508" i="6" s="1"/>
  <c r="K508" i="6"/>
  <c r="AL508" i="6" s="1"/>
  <c r="L508" i="6"/>
  <c r="AM508" i="6" s="1"/>
  <c r="M508" i="6"/>
  <c r="N508" i="6"/>
  <c r="O508" i="6"/>
  <c r="P508" i="6"/>
  <c r="Q508" i="6"/>
  <c r="R508" i="6"/>
  <c r="S508" i="6"/>
  <c r="T508" i="6"/>
  <c r="U508" i="6"/>
  <c r="J507" i="6"/>
  <c r="AK507" i="6" s="1"/>
  <c r="K507" i="6"/>
  <c r="AL507" i="6" s="1"/>
  <c r="L507" i="6"/>
  <c r="AM507" i="6" s="1"/>
  <c r="M507" i="6"/>
  <c r="N507" i="6"/>
  <c r="O507" i="6"/>
  <c r="P507" i="6"/>
  <c r="Q507" i="6"/>
  <c r="R507" i="6"/>
  <c r="S507" i="6"/>
  <c r="T507" i="6"/>
  <c r="U507" i="6"/>
  <c r="J509" i="6"/>
  <c r="AK509" i="6" s="1"/>
  <c r="K509" i="6"/>
  <c r="AL509" i="6" s="1"/>
  <c r="L509" i="6"/>
  <c r="AM509" i="6" s="1"/>
  <c r="M509" i="6"/>
  <c r="N509" i="6"/>
  <c r="O509" i="6"/>
  <c r="P509" i="6"/>
  <c r="Q509" i="6"/>
  <c r="R509" i="6"/>
  <c r="S509" i="6"/>
  <c r="T509" i="6"/>
  <c r="U509" i="6"/>
  <c r="J510" i="6"/>
  <c r="AK510" i="6" s="1"/>
  <c r="K510" i="6"/>
  <c r="AL510" i="6" s="1"/>
  <c r="L510" i="6"/>
  <c r="AM510" i="6" s="1"/>
  <c r="M510" i="6"/>
  <c r="N510" i="6"/>
  <c r="O510" i="6"/>
  <c r="P510" i="6"/>
  <c r="Q510" i="6"/>
  <c r="R510" i="6"/>
  <c r="S510" i="6"/>
  <c r="T510" i="6"/>
  <c r="U510" i="6"/>
  <c r="J511" i="6"/>
  <c r="AK511" i="6" s="1"/>
  <c r="K511" i="6"/>
  <c r="AL511" i="6" s="1"/>
  <c r="L511" i="6"/>
  <c r="M511" i="6"/>
  <c r="N511" i="6"/>
  <c r="O511" i="6"/>
  <c r="P511" i="6"/>
  <c r="Q511" i="6"/>
  <c r="R511" i="6"/>
  <c r="S511" i="6"/>
  <c r="T511" i="6"/>
  <c r="U511" i="6"/>
  <c r="J512" i="6"/>
  <c r="AK512" i="6" s="1"/>
  <c r="K512" i="6"/>
  <c r="AL512" i="6" s="1"/>
  <c r="L512" i="6"/>
  <c r="AM512" i="6" s="1"/>
  <c r="M512" i="6"/>
  <c r="N512" i="6"/>
  <c r="O512" i="6"/>
  <c r="P512" i="6"/>
  <c r="Q512" i="6"/>
  <c r="R512" i="6"/>
  <c r="S512" i="6"/>
  <c r="T512" i="6"/>
  <c r="U512" i="6"/>
  <c r="J513" i="6"/>
  <c r="AK513" i="6" s="1"/>
  <c r="K513" i="6"/>
  <c r="AL513" i="6" s="1"/>
  <c r="L513" i="6"/>
  <c r="AM513" i="6" s="1"/>
  <c r="M513" i="6"/>
  <c r="N513" i="6"/>
  <c r="O513" i="6"/>
  <c r="P513" i="6"/>
  <c r="Q513" i="6"/>
  <c r="R513" i="6"/>
  <c r="S513" i="6"/>
  <c r="T513" i="6"/>
  <c r="U513" i="6"/>
  <c r="J514" i="6"/>
  <c r="AK514" i="6" s="1"/>
  <c r="K514" i="6"/>
  <c r="AL514" i="6" s="1"/>
  <c r="L514" i="6"/>
  <c r="AM514" i="6" s="1"/>
  <c r="M514" i="6"/>
  <c r="N514" i="6"/>
  <c r="O514" i="6"/>
  <c r="P514" i="6"/>
  <c r="Q514" i="6"/>
  <c r="R514" i="6"/>
  <c r="S514" i="6"/>
  <c r="T514" i="6"/>
  <c r="U514" i="6"/>
  <c r="J515" i="6"/>
  <c r="AK515" i="6" s="1"/>
  <c r="K515" i="6"/>
  <c r="AL515" i="6" s="1"/>
  <c r="L515" i="6"/>
  <c r="AM515" i="6" s="1"/>
  <c r="M515" i="6"/>
  <c r="N515" i="6"/>
  <c r="O515" i="6"/>
  <c r="P515" i="6"/>
  <c r="Q515" i="6"/>
  <c r="R515" i="6"/>
  <c r="S515" i="6"/>
  <c r="T515" i="6"/>
  <c r="U515" i="6"/>
  <c r="J516" i="6"/>
  <c r="AK516" i="6" s="1"/>
  <c r="K516" i="6"/>
  <c r="AL516" i="6" s="1"/>
  <c r="L516" i="6"/>
  <c r="AM516" i="6" s="1"/>
  <c r="M516" i="6"/>
  <c r="N516" i="6"/>
  <c r="O516" i="6"/>
  <c r="P516" i="6"/>
  <c r="Q516" i="6"/>
  <c r="R516" i="6"/>
  <c r="S516" i="6"/>
  <c r="T516" i="6"/>
  <c r="U516" i="6"/>
  <c r="J517" i="6"/>
  <c r="AK517" i="6" s="1"/>
  <c r="K517" i="6"/>
  <c r="AL517" i="6" s="1"/>
  <c r="L517" i="6"/>
  <c r="AM517" i="6" s="1"/>
  <c r="M517" i="6"/>
  <c r="N517" i="6"/>
  <c r="O517" i="6"/>
  <c r="P517" i="6"/>
  <c r="Q517" i="6"/>
  <c r="R517" i="6"/>
  <c r="S517" i="6"/>
  <c r="T517" i="6"/>
  <c r="U517" i="6"/>
  <c r="J518" i="6"/>
  <c r="AK518" i="6" s="1"/>
  <c r="K518" i="6"/>
  <c r="AL518" i="6" s="1"/>
  <c r="L518" i="6"/>
  <c r="AM518" i="6" s="1"/>
  <c r="M518" i="6"/>
  <c r="N518" i="6"/>
  <c r="O518" i="6"/>
  <c r="P518" i="6"/>
  <c r="Q518" i="6"/>
  <c r="R518" i="6"/>
  <c r="S518" i="6"/>
  <c r="T518" i="6"/>
  <c r="U518" i="6"/>
  <c r="J519" i="6"/>
  <c r="AK519" i="6" s="1"/>
  <c r="K519" i="6"/>
  <c r="AL519" i="6" s="1"/>
  <c r="L519" i="6"/>
  <c r="M519" i="6"/>
  <c r="N519" i="6"/>
  <c r="O519" i="6"/>
  <c r="P519" i="6"/>
  <c r="Q519" i="6"/>
  <c r="R519" i="6"/>
  <c r="S519" i="6"/>
  <c r="T519" i="6"/>
  <c r="U519" i="6"/>
  <c r="J520" i="6"/>
  <c r="AK520" i="6" s="1"/>
  <c r="K520" i="6"/>
  <c r="AL520" i="6" s="1"/>
  <c r="L520" i="6"/>
  <c r="AM520" i="6" s="1"/>
  <c r="M520" i="6"/>
  <c r="N520" i="6"/>
  <c r="O520" i="6"/>
  <c r="P520" i="6"/>
  <c r="Q520" i="6"/>
  <c r="R520" i="6"/>
  <c r="S520" i="6"/>
  <c r="T520" i="6"/>
  <c r="U520" i="6"/>
  <c r="J521" i="6"/>
  <c r="AK521" i="6" s="1"/>
  <c r="K521" i="6"/>
  <c r="AL521" i="6" s="1"/>
  <c r="L521" i="6"/>
  <c r="AM521" i="6" s="1"/>
  <c r="M521" i="6"/>
  <c r="N521" i="6"/>
  <c r="O521" i="6"/>
  <c r="P521" i="6"/>
  <c r="Q521" i="6"/>
  <c r="R521" i="6"/>
  <c r="S521" i="6"/>
  <c r="T521" i="6"/>
  <c r="U521" i="6"/>
  <c r="J522" i="6"/>
  <c r="AK522" i="6" s="1"/>
  <c r="K522" i="6"/>
  <c r="AL522" i="6" s="1"/>
  <c r="L522" i="6"/>
  <c r="AM522" i="6" s="1"/>
  <c r="M522" i="6"/>
  <c r="N522" i="6"/>
  <c r="O522" i="6"/>
  <c r="P522" i="6"/>
  <c r="Q522" i="6"/>
  <c r="R522" i="6"/>
  <c r="S522" i="6"/>
  <c r="T522" i="6"/>
  <c r="U522" i="6"/>
  <c r="J523" i="6"/>
  <c r="AK523" i="6" s="1"/>
  <c r="K523" i="6"/>
  <c r="AL523" i="6" s="1"/>
  <c r="L523" i="6"/>
  <c r="AM523" i="6" s="1"/>
  <c r="M523" i="6"/>
  <c r="N523" i="6"/>
  <c r="O523" i="6"/>
  <c r="P523" i="6"/>
  <c r="Q523" i="6"/>
  <c r="R523" i="6"/>
  <c r="S523" i="6"/>
  <c r="T523" i="6"/>
  <c r="U523" i="6"/>
  <c r="J524" i="6"/>
  <c r="AK524" i="6" s="1"/>
  <c r="K524" i="6"/>
  <c r="AL524" i="6" s="1"/>
  <c r="L524" i="6"/>
  <c r="AM524" i="6" s="1"/>
  <c r="M524" i="6"/>
  <c r="N524" i="6"/>
  <c r="O524" i="6"/>
  <c r="P524" i="6"/>
  <c r="Q524" i="6"/>
  <c r="R524" i="6"/>
  <c r="S524" i="6"/>
  <c r="T524" i="6"/>
  <c r="U524" i="6"/>
  <c r="J525" i="6"/>
  <c r="AK525" i="6" s="1"/>
  <c r="K525" i="6"/>
  <c r="AL525" i="6" s="1"/>
  <c r="L525" i="6"/>
  <c r="AM525" i="6" s="1"/>
  <c r="M525" i="6"/>
  <c r="N525" i="6"/>
  <c r="O525" i="6"/>
  <c r="P525" i="6"/>
  <c r="Q525" i="6"/>
  <c r="R525" i="6"/>
  <c r="S525" i="6"/>
  <c r="T525" i="6"/>
  <c r="U525" i="6"/>
  <c r="J526" i="6"/>
  <c r="AK526" i="6" s="1"/>
  <c r="K526" i="6"/>
  <c r="AL526" i="6" s="1"/>
  <c r="L526" i="6"/>
  <c r="AM526" i="6" s="1"/>
  <c r="M526" i="6"/>
  <c r="N526" i="6"/>
  <c r="O526" i="6"/>
  <c r="P526" i="6"/>
  <c r="Q526" i="6"/>
  <c r="R526" i="6"/>
  <c r="S526" i="6"/>
  <c r="T526" i="6"/>
  <c r="U526" i="6"/>
  <c r="J527" i="6"/>
  <c r="AK527" i="6" s="1"/>
  <c r="K527" i="6"/>
  <c r="AL527" i="6" s="1"/>
  <c r="L527" i="6"/>
  <c r="AM527" i="6" s="1"/>
  <c r="M527" i="6"/>
  <c r="N527" i="6"/>
  <c r="O527" i="6"/>
  <c r="P527" i="6"/>
  <c r="Q527" i="6"/>
  <c r="R527" i="6"/>
  <c r="S527" i="6"/>
  <c r="T527" i="6"/>
  <c r="U527" i="6"/>
  <c r="J528" i="6"/>
  <c r="AK528" i="6" s="1"/>
  <c r="K528" i="6"/>
  <c r="AL528" i="6" s="1"/>
  <c r="L528" i="6"/>
  <c r="AM528" i="6" s="1"/>
  <c r="M528" i="6"/>
  <c r="N528" i="6"/>
  <c r="O528" i="6"/>
  <c r="P528" i="6"/>
  <c r="Q528" i="6"/>
  <c r="R528" i="6"/>
  <c r="S528" i="6"/>
  <c r="T528" i="6"/>
  <c r="U528" i="6"/>
  <c r="J529" i="6"/>
  <c r="AK529" i="6" s="1"/>
  <c r="K529" i="6"/>
  <c r="AL529" i="6" s="1"/>
  <c r="L529" i="6"/>
  <c r="AM529" i="6" s="1"/>
  <c r="M529" i="6"/>
  <c r="N529" i="6"/>
  <c r="O529" i="6"/>
  <c r="P529" i="6"/>
  <c r="Q529" i="6"/>
  <c r="R529" i="6"/>
  <c r="S529" i="6"/>
  <c r="T529" i="6"/>
  <c r="U529" i="6"/>
  <c r="J530" i="6"/>
  <c r="AK530" i="6" s="1"/>
  <c r="K530" i="6"/>
  <c r="AL530" i="6" s="1"/>
  <c r="L530" i="6"/>
  <c r="AM530" i="6" s="1"/>
  <c r="M530" i="6"/>
  <c r="N530" i="6"/>
  <c r="O530" i="6"/>
  <c r="P530" i="6"/>
  <c r="Q530" i="6"/>
  <c r="R530" i="6"/>
  <c r="S530" i="6"/>
  <c r="T530" i="6"/>
  <c r="U530" i="6"/>
  <c r="J531" i="6"/>
  <c r="AK531" i="6" s="1"/>
  <c r="K531" i="6"/>
  <c r="AL531" i="6" s="1"/>
  <c r="L531" i="6"/>
  <c r="AM531" i="6" s="1"/>
  <c r="M531" i="6"/>
  <c r="N531" i="6"/>
  <c r="O531" i="6"/>
  <c r="P531" i="6"/>
  <c r="Q531" i="6"/>
  <c r="R531" i="6"/>
  <c r="S531" i="6"/>
  <c r="T531" i="6"/>
  <c r="U531" i="6"/>
  <c r="J532" i="6"/>
  <c r="AK532" i="6" s="1"/>
  <c r="K532" i="6"/>
  <c r="AL532" i="6" s="1"/>
  <c r="L532" i="6"/>
  <c r="AM532" i="6" s="1"/>
  <c r="M532" i="6"/>
  <c r="N532" i="6"/>
  <c r="O532" i="6"/>
  <c r="P532" i="6"/>
  <c r="Q532" i="6"/>
  <c r="R532" i="6"/>
  <c r="S532" i="6"/>
  <c r="T532" i="6"/>
  <c r="U532" i="6"/>
  <c r="J533" i="6"/>
  <c r="AK533" i="6" s="1"/>
  <c r="K533" i="6"/>
  <c r="AL533" i="6" s="1"/>
  <c r="L533" i="6"/>
  <c r="AM533" i="6" s="1"/>
  <c r="M533" i="6"/>
  <c r="N533" i="6"/>
  <c r="O533" i="6"/>
  <c r="P533" i="6"/>
  <c r="Q533" i="6"/>
  <c r="R533" i="6"/>
  <c r="S533" i="6"/>
  <c r="T533" i="6"/>
  <c r="U533" i="6"/>
  <c r="J534" i="6"/>
  <c r="AK534" i="6" s="1"/>
  <c r="K534" i="6"/>
  <c r="AL534" i="6" s="1"/>
  <c r="L534" i="6"/>
  <c r="AM534" i="6" s="1"/>
  <c r="M534" i="6"/>
  <c r="N534" i="6"/>
  <c r="O534" i="6"/>
  <c r="P534" i="6"/>
  <c r="Q534" i="6"/>
  <c r="R534" i="6"/>
  <c r="S534" i="6"/>
  <c r="T534" i="6"/>
  <c r="U534" i="6"/>
  <c r="J535" i="6"/>
  <c r="AK535" i="6" s="1"/>
  <c r="K535" i="6"/>
  <c r="AL535" i="6" s="1"/>
  <c r="L535" i="6"/>
  <c r="AM535" i="6" s="1"/>
  <c r="M535" i="6"/>
  <c r="N535" i="6"/>
  <c r="O535" i="6"/>
  <c r="P535" i="6"/>
  <c r="Q535" i="6"/>
  <c r="R535" i="6"/>
  <c r="S535" i="6"/>
  <c r="T535" i="6"/>
  <c r="U535" i="6"/>
  <c r="J536" i="6"/>
  <c r="AK536" i="6" s="1"/>
  <c r="K536" i="6"/>
  <c r="AL536" i="6" s="1"/>
  <c r="L536" i="6"/>
  <c r="AM536" i="6" s="1"/>
  <c r="M536" i="6"/>
  <c r="N536" i="6"/>
  <c r="O536" i="6"/>
  <c r="P536" i="6"/>
  <c r="Q536" i="6"/>
  <c r="R536" i="6"/>
  <c r="S536" i="6"/>
  <c r="T536" i="6"/>
  <c r="U536" i="6"/>
  <c r="J537" i="6"/>
  <c r="AK537" i="6" s="1"/>
  <c r="K537" i="6"/>
  <c r="AL537" i="6" s="1"/>
  <c r="L537" i="6"/>
  <c r="AM537" i="6" s="1"/>
  <c r="M537" i="6"/>
  <c r="N537" i="6"/>
  <c r="O537" i="6"/>
  <c r="P537" i="6"/>
  <c r="Q537" i="6"/>
  <c r="R537" i="6"/>
  <c r="S537" i="6"/>
  <c r="T537" i="6"/>
  <c r="U537" i="6"/>
  <c r="J538" i="6"/>
  <c r="AK538" i="6" s="1"/>
  <c r="K538" i="6"/>
  <c r="AL538" i="6" s="1"/>
  <c r="L538" i="6"/>
  <c r="AM538" i="6" s="1"/>
  <c r="M538" i="6"/>
  <c r="N538" i="6"/>
  <c r="O538" i="6"/>
  <c r="P538" i="6"/>
  <c r="Q538" i="6"/>
  <c r="R538" i="6"/>
  <c r="S538" i="6"/>
  <c r="T538" i="6"/>
  <c r="U538" i="6"/>
  <c r="J539" i="6"/>
  <c r="AK539" i="6" s="1"/>
  <c r="K539" i="6"/>
  <c r="AL539" i="6" s="1"/>
  <c r="L539" i="6"/>
  <c r="AM539" i="6" s="1"/>
  <c r="M539" i="6"/>
  <c r="N539" i="6"/>
  <c r="O539" i="6"/>
  <c r="P539" i="6"/>
  <c r="Q539" i="6"/>
  <c r="R539" i="6"/>
  <c r="S539" i="6"/>
  <c r="T539" i="6"/>
  <c r="U539" i="6"/>
  <c r="J540" i="6"/>
  <c r="AK540" i="6" s="1"/>
  <c r="K540" i="6"/>
  <c r="AL540" i="6" s="1"/>
  <c r="L540" i="6"/>
  <c r="AM540" i="6" s="1"/>
  <c r="M540" i="6"/>
  <c r="N540" i="6"/>
  <c r="O540" i="6"/>
  <c r="P540" i="6"/>
  <c r="Q540" i="6"/>
  <c r="R540" i="6"/>
  <c r="S540" i="6"/>
  <c r="T540" i="6"/>
  <c r="U540" i="6"/>
  <c r="J541" i="6"/>
  <c r="AK541" i="6" s="1"/>
  <c r="K541" i="6"/>
  <c r="AL541" i="6" s="1"/>
  <c r="L541" i="6"/>
  <c r="AM541" i="6" s="1"/>
  <c r="M541" i="6"/>
  <c r="N541" i="6"/>
  <c r="O541" i="6"/>
  <c r="P541" i="6"/>
  <c r="Q541" i="6"/>
  <c r="R541" i="6"/>
  <c r="S541" i="6"/>
  <c r="T541" i="6"/>
  <c r="U541" i="6"/>
  <c r="J542" i="6"/>
  <c r="AK542" i="6" s="1"/>
  <c r="K542" i="6"/>
  <c r="AL542" i="6" s="1"/>
  <c r="L542" i="6"/>
  <c r="AM542" i="6" s="1"/>
  <c r="M542" i="6"/>
  <c r="N542" i="6"/>
  <c r="O542" i="6"/>
  <c r="P542" i="6"/>
  <c r="Q542" i="6"/>
  <c r="R542" i="6"/>
  <c r="S542" i="6"/>
  <c r="T542" i="6"/>
  <c r="U542" i="6"/>
  <c r="J543" i="6"/>
  <c r="AK543" i="6" s="1"/>
  <c r="K543" i="6"/>
  <c r="AL543" i="6" s="1"/>
  <c r="L543" i="6"/>
  <c r="AM543" i="6" s="1"/>
  <c r="M543" i="6"/>
  <c r="N543" i="6"/>
  <c r="O543" i="6"/>
  <c r="P543" i="6"/>
  <c r="Q543" i="6"/>
  <c r="R543" i="6"/>
  <c r="S543" i="6"/>
  <c r="T543" i="6"/>
  <c r="U543" i="6"/>
  <c r="J544" i="6"/>
  <c r="AK544" i="6" s="1"/>
  <c r="K544" i="6"/>
  <c r="AL544" i="6" s="1"/>
  <c r="L544" i="6"/>
  <c r="AM544" i="6" s="1"/>
  <c r="M544" i="6"/>
  <c r="N544" i="6"/>
  <c r="O544" i="6"/>
  <c r="P544" i="6"/>
  <c r="Q544" i="6"/>
  <c r="R544" i="6"/>
  <c r="S544" i="6"/>
  <c r="T544" i="6"/>
  <c r="U544" i="6"/>
  <c r="J545" i="6"/>
  <c r="AK545" i="6" s="1"/>
  <c r="K545" i="6"/>
  <c r="AL545" i="6" s="1"/>
  <c r="L545" i="6"/>
  <c r="AM545" i="6" s="1"/>
  <c r="M545" i="6"/>
  <c r="N545" i="6"/>
  <c r="O545" i="6"/>
  <c r="P545" i="6"/>
  <c r="Q545" i="6"/>
  <c r="R545" i="6"/>
  <c r="S545" i="6"/>
  <c r="T545" i="6"/>
  <c r="U545" i="6"/>
  <c r="J546" i="6"/>
  <c r="AK546" i="6" s="1"/>
  <c r="K546" i="6"/>
  <c r="AL546" i="6" s="1"/>
  <c r="L546" i="6"/>
  <c r="AM546" i="6" s="1"/>
  <c r="M546" i="6"/>
  <c r="N546" i="6"/>
  <c r="O546" i="6"/>
  <c r="P546" i="6"/>
  <c r="Q546" i="6"/>
  <c r="R546" i="6"/>
  <c r="S546" i="6"/>
  <c r="T546" i="6"/>
  <c r="U546" i="6"/>
  <c r="J547" i="6"/>
  <c r="AK547" i="6" s="1"/>
  <c r="K547" i="6"/>
  <c r="AL547" i="6" s="1"/>
  <c r="L547" i="6"/>
  <c r="AM547" i="6" s="1"/>
  <c r="M547" i="6"/>
  <c r="N547" i="6"/>
  <c r="O547" i="6"/>
  <c r="P547" i="6"/>
  <c r="Q547" i="6"/>
  <c r="R547" i="6"/>
  <c r="S547" i="6"/>
  <c r="T547" i="6"/>
  <c r="U547" i="6"/>
  <c r="J548" i="6"/>
  <c r="AK548" i="6" s="1"/>
  <c r="K548" i="6"/>
  <c r="AL548" i="6" s="1"/>
  <c r="L548" i="6"/>
  <c r="AM548" i="6" s="1"/>
  <c r="M548" i="6"/>
  <c r="N548" i="6"/>
  <c r="O548" i="6"/>
  <c r="P548" i="6"/>
  <c r="Q548" i="6"/>
  <c r="R548" i="6"/>
  <c r="S548" i="6"/>
  <c r="T548" i="6"/>
  <c r="U548" i="6"/>
  <c r="J549" i="6"/>
  <c r="AK549" i="6" s="1"/>
  <c r="K549" i="6"/>
  <c r="AL549" i="6" s="1"/>
  <c r="L549" i="6"/>
  <c r="AM549" i="6" s="1"/>
  <c r="M549" i="6"/>
  <c r="N549" i="6"/>
  <c r="O549" i="6"/>
  <c r="P549" i="6"/>
  <c r="Q549" i="6"/>
  <c r="R549" i="6"/>
  <c r="S549" i="6"/>
  <c r="T549" i="6"/>
  <c r="U549" i="6"/>
  <c r="J550" i="6"/>
  <c r="AK550" i="6" s="1"/>
  <c r="K550" i="6"/>
  <c r="AL550" i="6" s="1"/>
  <c r="L550" i="6"/>
  <c r="AM550" i="6" s="1"/>
  <c r="M550" i="6"/>
  <c r="N550" i="6"/>
  <c r="O550" i="6"/>
  <c r="P550" i="6"/>
  <c r="Q550" i="6"/>
  <c r="R550" i="6"/>
  <c r="S550" i="6"/>
  <c r="T550" i="6"/>
  <c r="U550" i="6"/>
  <c r="J551" i="6"/>
  <c r="AK551" i="6" s="1"/>
  <c r="K551" i="6"/>
  <c r="AL551" i="6" s="1"/>
  <c r="L551" i="6"/>
  <c r="AM551" i="6" s="1"/>
  <c r="M551" i="6"/>
  <c r="N551" i="6"/>
  <c r="O551" i="6"/>
  <c r="P551" i="6"/>
  <c r="Q551" i="6"/>
  <c r="R551" i="6"/>
  <c r="S551" i="6"/>
  <c r="T551" i="6"/>
  <c r="U551" i="6"/>
  <c r="J552" i="6"/>
  <c r="AK552" i="6" s="1"/>
  <c r="K552" i="6"/>
  <c r="AL552" i="6" s="1"/>
  <c r="L552" i="6"/>
  <c r="AM552" i="6" s="1"/>
  <c r="M552" i="6"/>
  <c r="N552" i="6"/>
  <c r="O552" i="6"/>
  <c r="P552" i="6"/>
  <c r="Q552" i="6"/>
  <c r="R552" i="6"/>
  <c r="S552" i="6"/>
  <c r="T552" i="6"/>
  <c r="U552" i="6"/>
  <c r="J553" i="6"/>
  <c r="AK553" i="6" s="1"/>
  <c r="K553" i="6"/>
  <c r="AL553" i="6" s="1"/>
  <c r="L553" i="6"/>
  <c r="AM553" i="6" s="1"/>
  <c r="M553" i="6"/>
  <c r="N553" i="6"/>
  <c r="O553" i="6"/>
  <c r="P553" i="6"/>
  <c r="Q553" i="6"/>
  <c r="R553" i="6"/>
  <c r="S553" i="6"/>
  <c r="T553" i="6"/>
  <c r="U553" i="6"/>
  <c r="J554" i="6"/>
  <c r="AK554" i="6" s="1"/>
  <c r="K554" i="6"/>
  <c r="AL554" i="6" s="1"/>
  <c r="L554" i="6"/>
  <c r="AM554" i="6" s="1"/>
  <c r="M554" i="6"/>
  <c r="N554" i="6"/>
  <c r="O554" i="6"/>
  <c r="P554" i="6"/>
  <c r="Q554" i="6"/>
  <c r="R554" i="6"/>
  <c r="S554" i="6"/>
  <c r="T554" i="6"/>
  <c r="U554" i="6"/>
  <c r="J555" i="6"/>
  <c r="AK555" i="6" s="1"/>
  <c r="K555" i="6"/>
  <c r="AL555" i="6" s="1"/>
  <c r="L555" i="6"/>
  <c r="AM555" i="6" s="1"/>
  <c r="M555" i="6"/>
  <c r="N555" i="6"/>
  <c r="O555" i="6"/>
  <c r="P555" i="6"/>
  <c r="Q555" i="6"/>
  <c r="R555" i="6"/>
  <c r="S555" i="6"/>
  <c r="T555" i="6"/>
  <c r="U555" i="6"/>
  <c r="J556" i="6"/>
  <c r="AK556" i="6" s="1"/>
  <c r="K556" i="6"/>
  <c r="AL556" i="6" s="1"/>
  <c r="L556" i="6"/>
  <c r="AM556" i="6" s="1"/>
  <c r="M556" i="6"/>
  <c r="N556" i="6"/>
  <c r="O556" i="6"/>
  <c r="P556" i="6"/>
  <c r="Q556" i="6"/>
  <c r="R556" i="6"/>
  <c r="S556" i="6"/>
  <c r="T556" i="6"/>
  <c r="U556" i="6"/>
  <c r="J557" i="6"/>
  <c r="AK557" i="6" s="1"/>
  <c r="K557" i="6"/>
  <c r="AL557" i="6" s="1"/>
  <c r="L557" i="6"/>
  <c r="AM557" i="6" s="1"/>
  <c r="M557" i="6"/>
  <c r="N557" i="6"/>
  <c r="O557" i="6"/>
  <c r="P557" i="6"/>
  <c r="Q557" i="6"/>
  <c r="R557" i="6"/>
  <c r="S557" i="6"/>
  <c r="T557" i="6"/>
  <c r="U557" i="6"/>
  <c r="J559" i="6"/>
  <c r="AK559" i="6" s="1"/>
  <c r="K559" i="6"/>
  <c r="AL559" i="6" s="1"/>
  <c r="L559" i="6"/>
  <c r="AM559" i="6" s="1"/>
  <c r="M559" i="6"/>
  <c r="N559" i="6"/>
  <c r="O559" i="6"/>
  <c r="P559" i="6"/>
  <c r="Q559" i="6"/>
  <c r="R559" i="6"/>
  <c r="S559" i="6"/>
  <c r="T559" i="6"/>
  <c r="U559" i="6"/>
  <c r="J558" i="6"/>
  <c r="AK558" i="6" s="1"/>
  <c r="K558" i="6"/>
  <c r="AL558" i="6" s="1"/>
  <c r="L558" i="6"/>
  <c r="AM558" i="6" s="1"/>
  <c r="M558" i="6"/>
  <c r="N558" i="6"/>
  <c r="O558" i="6"/>
  <c r="P558" i="6"/>
  <c r="Q558" i="6"/>
  <c r="R558" i="6"/>
  <c r="S558" i="6"/>
  <c r="T558" i="6"/>
  <c r="U558" i="6"/>
  <c r="J4" i="6"/>
  <c r="AK4" i="6" s="1"/>
  <c r="K4" i="6"/>
  <c r="AL4" i="6" s="1"/>
  <c r="L4" i="6"/>
  <c r="AM4" i="6" s="1"/>
  <c r="M4" i="6"/>
  <c r="N4" i="6"/>
  <c r="O4" i="6"/>
  <c r="P4" i="6"/>
  <c r="Q4" i="6"/>
  <c r="R4" i="6"/>
  <c r="S4" i="6"/>
  <c r="T4" i="6"/>
  <c r="U4" i="6"/>
  <c r="J5" i="6"/>
  <c r="AK5" i="6" s="1"/>
  <c r="K5" i="6"/>
  <c r="AL5" i="6" s="1"/>
  <c r="L5" i="6"/>
  <c r="AM5" i="6" s="1"/>
  <c r="M5" i="6"/>
  <c r="N5" i="6"/>
  <c r="O5" i="6"/>
  <c r="P5" i="6"/>
  <c r="Q5" i="6"/>
  <c r="R5" i="6"/>
  <c r="S5" i="6"/>
  <c r="T5" i="6"/>
  <c r="U5" i="6"/>
  <c r="J6" i="6"/>
  <c r="AK6" i="6" s="1"/>
  <c r="K6" i="6"/>
  <c r="AL6" i="6" s="1"/>
  <c r="L6" i="6"/>
  <c r="AM6" i="6" s="1"/>
  <c r="M6" i="6"/>
  <c r="N6" i="6"/>
  <c r="O6" i="6"/>
  <c r="P6" i="6"/>
  <c r="Q6" i="6"/>
  <c r="R6" i="6"/>
  <c r="S6" i="6"/>
  <c r="T6" i="6"/>
  <c r="U6" i="6"/>
  <c r="J7" i="6"/>
  <c r="AK7" i="6" s="1"/>
  <c r="K7" i="6"/>
  <c r="AL7" i="6" s="1"/>
  <c r="L7" i="6"/>
  <c r="AM7" i="6" s="1"/>
  <c r="M7" i="6"/>
  <c r="N7" i="6"/>
  <c r="O7" i="6"/>
  <c r="P7" i="6"/>
  <c r="Q7" i="6"/>
  <c r="R7" i="6"/>
  <c r="S7" i="6"/>
  <c r="T7" i="6"/>
  <c r="U7" i="6"/>
  <c r="J8" i="6"/>
  <c r="AK8" i="6" s="1"/>
  <c r="K8" i="6"/>
  <c r="AL8" i="6" s="1"/>
  <c r="L8" i="6"/>
  <c r="AM8" i="6" s="1"/>
  <c r="M8" i="6"/>
  <c r="N8" i="6"/>
  <c r="O8" i="6"/>
  <c r="P8" i="6"/>
  <c r="Q8" i="6"/>
  <c r="R8" i="6"/>
  <c r="S8" i="6"/>
  <c r="T8" i="6"/>
  <c r="U8" i="6"/>
  <c r="J9" i="6"/>
  <c r="AK9" i="6" s="1"/>
  <c r="K9" i="6"/>
  <c r="AL9" i="6" s="1"/>
  <c r="L9" i="6"/>
  <c r="AM9" i="6" s="1"/>
  <c r="M9" i="6"/>
  <c r="N9" i="6"/>
  <c r="O9" i="6"/>
  <c r="P9" i="6"/>
  <c r="Q9" i="6"/>
  <c r="R9" i="6"/>
  <c r="S9" i="6"/>
  <c r="T9" i="6"/>
  <c r="U9" i="6"/>
  <c r="J10" i="6"/>
  <c r="AK10" i="6" s="1"/>
  <c r="K10" i="6"/>
  <c r="AL10" i="6" s="1"/>
  <c r="L10" i="6"/>
  <c r="AM10" i="6" s="1"/>
  <c r="M10" i="6"/>
  <c r="N10" i="6"/>
  <c r="O10" i="6"/>
  <c r="P10" i="6"/>
  <c r="Q10" i="6"/>
  <c r="R10" i="6"/>
  <c r="S10" i="6"/>
  <c r="T10" i="6"/>
  <c r="U10" i="6"/>
  <c r="J11" i="6"/>
  <c r="AK11" i="6" s="1"/>
  <c r="K11" i="6"/>
  <c r="AL11" i="6" s="1"/>
  <c r="L11" i="6"/>
  <c r="AM11" i="6" s="1"/>
  <c r="M11" i="6"/>
  <c r="N11" i="6"/>
  <c r="O11" i="6"/>
  <c r="P11" i="6"/>
  <c r="Q11" i="6"/>
  <c r="R11" i="6"/>
  <c r="S11" i="6"/>
  <c r="T11" i="6"/>
  <c r="U11" i="6"/>
  <c r="J12" i="6"/>
  <c r="AK12" i="6" s="1"/>
  <c r="K12" i="6"/>
  <c r="AL12" i="6" s="1"/>
  <c r="L12" i="6"/>
  <c r="AM12" i="6" s="1"/>
  <c r="M12" i="6"/>
  <c r="N12" i="6"/>
  <c r="O12" i="6"/>
  <c r="P12" i="6"/>
  <c r="Q12" i="6"/>
  <c r="R12" i="6"/>
  <c r="S12" i="6"/>
  <c r="T12" i="6"/>
  <c r="U12" i="6"/>
  <c r="J13" i="6"/>
  <c r="AK13" i="6" s="1"/>
  <c r="K13" i="6"/>
  <c r="AL13" i="6" s="1"/>
  <c r="L13" i="6"/>
  <c r="AM13" i="6" s="1"/>
  <c r="M13" i="6"/>
  <c r="N13" i="6"/>
  <c r="O13" i="6"/>
  <c r="P13" i="6"/>
  <c r="Q13" i="6"/>
  <c r="R13" i="6"/>
  <c r="S13" i="6"/>
  <c r="T13" i="6"/>
  <c r="U13" i="6"/>
  <c r="J14" i="6"/>
  <c r="AK14" i="6" s="1"/>
  <c r="K14" i="6"/>
  <c r="AL14" i="6" s="1"/>
  <c r="L14" i="6"/>
  <c r="AM14" i="6" s="1"/>
  <c r="M14" i="6"/>
  <c r="N14" i="6"/>
  <c r="O14" i="6"/>
  <c r="P14" i="6"/>
  <c r="Q14" i="6"/>
  <c r="R14" i="6"/>
  <c r="S14" i="6"/>
  <c r="T14" i="6"/>
  <c r="U14" i="6"/>
  <c r="J15" i="6"/>
  <c r="AK15" i="6" s="1"/>
  <c r="K15" i="6"/>
  <c r="AL15" i="6" s="1"/>
  <c r="L15" i="6"/>
  <c r="AM15" i="6" s="1"/>
  <c r="M15" i="6"/>
  <c r="N15" i="6"/>
  <c r="O15" i="6"/>
  <c r="P15" i="6"/>
  <c r="Q15" i="6"/>
  <c r="R15" i="6"/>
  <c r="S15" i="6"/>
  <c r="T15" i="6"/>
  <c r="U15" i="6"/>
  <c r="J16" i="6"/>
  <c r="AK16" i="6" s="1"/>
  <c r="K16" i="6"/>
  <c r="AL16" i="6" s="1"/>
  <c r="L16" i="6"/>
  <c r="AM16" i="6" s="1"/>
  <c r="M16" i="6"/>
  <c r="N16" i="6"/>
  <c r="O16" i="6"/>
  <c r="P16" i="6"/>
  <c r="Q16" i="6"/>
  <c r="R16" i="6"/>
  <c r="S16" i="6"/>
  <c r="T16" i="6"/>
  <c r="U16" i="6"/>
  <c r="J17" i="6"/>
  <c r="AK17" i="6" s="1"/>
  <c r="K17" i="6"/>
  <c r="AL17" i="6" s="1"/>
  <c r="L17" i="6"/>
  <c r="AM17" i="6" s="1"/>
  <c r="M17" i="6"/>
  <c r="N17" i="6"/>
  <c r="O17" i="6"/>
  <c r="P17" i="6"/>
  <c r="Q17" i="6"/>
  <c r="R17" i="6"/>
  <c r="S17" i="6"/>
  <c r="T17" i="6"/>
  <c r="U17" i="6"/>
  <c r="J18" i="6"/>
  <c r="AK18" i="6" s="1"/>
  <c r="K18" i="6"/>
  <c r="AL18" i="6" s="1"/>
  <c r="L18" i="6"/>
  <c r="AM18" i="6" s="1"/>
  <c r="M18" i="6"/>
  <c r="N18" i="6"/>
  <c r="O18" i="6"/>
  <c r="P18" i="6"/>
  <c r="Q18" i="6"/>
  <c r="R18" i="6"/>
  <c r="S18" i="6"/>
  <c r="T18" i="6"/>
  <c r="U18" i="6"/>
  <c r="J19" i="6"/>
  <c r="AK19" i="6" s="1"/>
  <c r="K19" i="6"/>
  <c r="AL19" i="6" s="1"/>
  <c r="L19" i="6"/>
  <c r="AM19" i="6" s="1"/>
  <c r="M19" i="6"/>
  <c r="N19" i="6"/>
  <c r="O19" i="6"/>
  <c r="P19" i="6"/>
  <c r="Q19" i="6"/>
  <c r="R19" i="6"/>
  <c r="S19" i="6"/>
  <c r="T19" i="6"/>
  <c r="U19" i="6"/>
  <c r="J20" i="6"/>
  <c r="AK20" i="6" s="1"/>
  <c r="K20" i="6"/>
  <c r="L20" i="6"/>
  <c r="AM20" i="6" s="1"/>
  <c r="M20" i="6"/>
  <c r="N20" i="6"/>
  <c r="O20" i="6"/>
  <c r="P20" i="6"/>
  <c r="Q20" i="6"/>
  <c r="R20" i="6"/>
  <c r="S20" i="6"/>
  <c r="T20" i="6"/>
  <c r="U20" i="6"/>
  <c r="J21" i="6"/>
  <c r="AK21" i="6" s="1"/>
  <c r="K21" i="6"/>
  <c r="AL21" i="6" s="1"/>
  <c r="L21" i="6"/>
  <c r="AM21" i="6" s="1"/>
  <c r="M21" i="6"/>
  <c r="N21" i="6"/>
  <c r="O21" i="6"/>
  <c r="P21" i="6"/>
  <c r="Q21" i="6"/>
  <c r="R21" i="6"/>
  <c r="S21" i="6"/>
  <c r="T21" i="6"/>
  <c r="U21" i="6"/>
  <c r="J22" i="6"/>
  <c r="AK22" i="6" s="1"/>
  <c r="K22" i="6"/>
  <c r="L22" i="6"/>
  <c r="AM22" i="6" s="1"/>
  <c r="M22" i="6"/>
  <c r="N22" i="6"/>
  <c r="O22" i="6"/>
  <c r="P22" i="6"/>
  <c r="Q22" i="6"/>
  <c r="R22" i="6"/>
  <c r="S22" i="6"/>
  <c r="T22" i="6"/>
  <c r="U22" i="6"/>
  <c r="J23" i="6"/>
  <c r="AK23" i="6" s="1"/>
  <c r="K23" i="6"/>
  <c r="AL23" i="6" s="1"/>
  <c r="L23" i="6"/>
  <c r="AM23" i="6" s="1"/>
  <c r="M23" i="6"/>
  <c r="N23" i="6"/>
  <c r="O23" i="6"/>
  <c r="P23" i="6"/>
  <c r="Q23" i="6"/>
  <c r="R23" i="6"/>
  <c r="S23" i="6"/>
  <c r="T23" i="6"/>
  <c r="U23" i="6"/>
  <c r="J24" i="6"/>
  <c r="AK24" i="6" s="1"/>
  <c r="K24" i="6"/>
  <c r="AL24" i="6" s="1"/>
  <c r="L24" i="6"/>
  <c r="AM24" i="6" s="1"/>
  <c r="M24" i="6"/>
  <c r="N24" i="6"/>
  <c r="O24" i="6"/>
  <c r="P24" i="6"/>
  <c r="Q24" i="6"/>
  <c r="R24" i="6"/>
  <c r="S24" i="6"/>
  <c r="T24" i="6"/>
  <c r="U24" i="6"/>
  <c r="J25" i="6"/>
  <c r="AK25" i="6" s="1"/>
  <c r="K25" i="6"/>
  <c r="AL25" i="6" s="1"/>
  <c r="L25" i="6"/>
  <c r="AM25" i="6" s="1"/>
  <c r="M25" i="6"/>
  <c r="N25" i="6"/>
  <c r="O25" i="6"/>
  <c r="P25" i="6"/>
  <c r="Q25" i="6"/>
  <c r="R25" i="6"/>
  <c r="S25" i="6"/>
  <c r="T25" i="6"/>
  <c r="U25" i="6"/>
  <c r="J26" i="6"/>
  <c r="AK26" i="6" s="1"/>
  <c r="K26" i="6"/>
  <c r="AL26" i="6" s="1"/>
  <c r="L26" i="6"/>
  <c r="AM26" i="6" s="1"/>
  <c r="M26" i="6"/>
  <c r="N26" i="6"/>
  <c r="O26" i="6"/>
  <c r="P26" i="6"/>
  <c r="Q26" i="6"/>
  <c r="R26" i="6"/>
  <c r="S26" i="6"/>
  <c r="T26" i="6"/>
  <c r="U26" i="6"/>
  <c r="J27" i="6"/>
  <c r="AK27" i="6" s="1"/>
  <c r="K27" i="6"/>
  <c r="AL27" i="6" s="1"/>
  <c r="L27" i="6"/>
  <c r="AM27" i="6" s="1"/>
  <c r="M27" i="6"/>
  <c r="N27" i="6"/>
  <c r="O27" i="6"/>
  <c r="P27" i="6"/>
  <c r="Q27" i="6"/>
  <c r="R27" i="6"/>
  <c r="S27" i="6"/>
  <c r="T27" i="6"/>
  <c r="U27" i="6"/>
  <c r="J28" i="6"/>
  <c r="AK28" i="6" s="1"/>
  <c r="K28" i="6"/>
  <c r="AL28" i="6" s="1"/>
  <c r="L28" i="6"/>
  <c r="AM28" i="6" s="1"/>
  <c r="M28" i="6"/>
  <c r="N28" i="6"/>
  <c r="O28" i="6"/>
  <c r="P28" i="6"/>
  <c r="Q28" i="6"/>
  <c r="R28" i="6"/>
  <c r="S28" i="6"/>
  <c r="T28" i="6"/>
  <c r="U28" i="6"/>
  <c r="J29" i="6"/>
  <c r="AK29" i="6" s="1"/>
  <c r="K29" i="6"/>
  <c r="AL29" i="6" s="1"/>
  <c r="L29" i="6"/>
  <c r="AM29" i="6" s="1"/>
  <c r="M29" i="6"/>
  <c r="N29" i="6"/>
  <c r="O29" i="6"/>
  <c r="P29" i="6"/>
  <c r="Q29" i="6"/>
  <c r="R29" i="6"/>
  <c r="S29" i="6"/>
  <c r="T29" i="6"/>
  <c r="U29" i="6"/>
  <c r="J30" i="6"/>
  <c r="AK30" i="6" s="1"/>
  <c r="K30" i="6"/>
  <c r="AL30" i="6" s="1"/>
  <c r="L30" i="6"/>
  <c r="AM30" i="6" s="1"/>
  <c r="M30" i="6"/>
  <c r="N30" i="6"/>
  <c r="O30" i="6"/>
  <c r="P30" i="6"/>
  <c r="Q30" i="6"/>
  <c r="R30" i="6"/>
  <c r="S30" i="6"/>
  <c r="T30" i="6"/>
  <c r="U30" i="6"/>
  <c r="J31" i="6"/>
  <c r="AK31" i="6" s="1"/>
  <c r="K31" i="6"/>
  <c r="L31" i="6"/>
  <c r="AM31" i="6" s="1"/>
  <c r="M31" i="6"/>
  <c r="N31" i="6"/>
  <c r="O31" i="6"/>
  <c r="P31" i="6"/>
  <c r="Q31" i="6"/>
  <c r="R31" i="6"/>
  <c r="S31" i="6"/>
  <c r="T31" i="6"/>
  <c r="U31" i="6"/>
  <c r="J32" i="6"/>
  <c r="AK32" i="6" s="1"/>
  <c r="K32" i="6"/>
  <c r="AL32" i="6" s="1"/>
  <c r="L32" i="6"/>
  <c r="AM32" i="6" s="1"/>
  <c r="M32" i="6"/>
  <c r="N32" i="6"/>
  <c r="O32" i="6"/>
  <c r="P32" i="6"/>
  <c r="Q32" i="6"/>
  <c r="R32" i="6"/>
  <c r="S32" i="6"/>
  <c r="T32" i="6"/>
  <c r="U32" i="6"/>
  <c r="J33" i="6"/>
  <c r="AK33" i="6" s="1"/>
  <c r="K33" i="6"/>
  <c r="AL33" i="6" s="1"/>
  <c r="L33" i="6"/>
  <c r="AM33" i="6" s="1"/>
  <c r="M33" i="6"/>
  <c r="N33" i="6"/>
  <c r="O33" i="6"/>
  <c r="P33" i="6"/>
  <c r="Q33" i="6"/>
  <c r="R33" i="6"/>
  <c r="S33" i="6"/>
  <c r="T33" i="6"/>
  <c r="U33" i="6"/>
  <c r="J34" i="6"/>
  <c r="AK34" i="6" s="1"/>
  <c r="K34" i="6"/>
  <c r="AL34" i="6" s="1"/>
  <c r="L34" i="6"/>
  <c r="AM34" i="6" s="1"/>
  <c r="M34" i="6"/>
  <c r="N34" i="6"/>
  <c r="O34" i="6"/>
  <c r="P34" i="6"/>
  <c r="Q34" i="6"/>
  <c r="R34" i="6"/>
  <c r="S34" i="6"/>
  <c r="T34" i="6"/>
  <c r="U34" i="6"/>
  <c r="J35" i="6"/>
  <c r="AK35" i="6" s="1"/>
  <c r="K35" i="6"/>
  <c r="AL35" i="6" s="1"/>
  <c r="L35" i="6"/>
  <c r="AM35" i="6" s="1"/>
  <c r="M35" i="6"/>
  <c r="N35" i="6"/>
  <c r="O35" i="6"/>
  <c r="P35" i="6"/>
  <c r="Q35" i="6"/>
  <c r="R35" i="6"/>
  <c r="S35" i="6"/>
  <c r="T35" i="6"/>
  <c r="U35" i="6"/>
  <c r="J36" i="6"/>
  <c r="AK36" i="6" s="1"/>
  <c r="K36" i="6"/>
  <c r="AL36" i="6" s="1"/>
  <c r="L36" i="6"/>
  <c r="M36" i="6"/>
  <c r="N36" i="6"/>
  <c r="O36" i="6"/>
  <c r="P36" i="6"/>
  <c r="Q36" i="6"/>
  <c r="R36" i="6"/>
  <c r="S36" i="6"/>
  <c r="T36" i="6"/>
  <c r="U36" i="6"/>
  <c r="J37" i="6"/>
  <c r="AK37" i="6" s="1"/>
  <c r="K37" i="6"/>
  <c r="AL37" i="6" s="1"/>
  <c r="L37" i="6"/>
  <c r="AM37" i="6" s="1"/>
  <c r="M37" i="6"/>
  <c r="N37" i="6"/>
  <c r="O37" i="6"/>
  <c r="P37" i="6"/>
  <c r="Q37" i="6"/>
  <c r="R37" i="6"/>
  <c r="S37" i="6"/>
  <c r="T37" i="6"/>
  <c r="U37" i="6"/>
  <c r="J38" i="6"/>
  <c r="AK38" i="6" s="1"/>
  <c r="K38" i="6"/>
  <c r="AL38" i="6" s="1"/>
  <c r="L38" i="6"/>
  <c r="M38" i="6"/>
  <c r="N38" i="6"/>
  <c r="O38" i="6"/>
  <c r="P38" i="6"/>
  <c r="Q38" i="6"/>
  <c r="R38" i="6"/>
  <c r="S38" i="6"/>
  <c r="T38" i="6"/>
  <c r="U38" i="6"/>
  <c r="J39" i="6"/>
  <c r="AK39" i="6" s="1"/>
  <c r="K39" i="6"/>
  <c r="AL39" i="6" s="1"/>
  <c r="L39" i="6"/>
  <c r="AM39" i="6" s="1"/>
  <c r="M39" i="6"/>
  <c r="N39" i="6"/>
  <c r="O39" i="6"/>
  <c r="P39" i="6"/>
  <c r="Q39" i="6"/>
  <c r="R39" i="6"/>
  <c r="S39" i="6"/>
  <c r="T39" i="6"/>
  <c r="U39" i="6"/>
  <c r="J40" i="6"/>
  <c r="AK40" i="6" s="1"/>
  <c r="K40" i="6"/>
  <c r="AL40" i="6" s="1"/>
  <c r="L40" i="6"/>
  <c r="M40" i="6"/>
  <c r="N40" i="6"/>
  <c r="O40" i="6"/>
  <c r="P40" i="6"/>
  <c r="Q40" i="6"/>
  <c r="R40" i="6"/>
  <c r="S40" i="6"/>
  <c r="T40" i="6"/>
  <c r="U40" i="6"/>
  <c r="J41" i="6"/>
  <c r="AK41" i="6" s="1"/>
  <c r="K41" i="6"/>
  <c r="AL41" i="6" s="1"/>
  <c r="L41" i="6"/>
  <c r="AM41" i="6" s="1"/>
  <c r="M41" i="6"/>
  <c r="N41" i="6"/>
  <c r="O41" i="6"/>
  <c r="P41" i="6"/>
  <c r="Q41" i="6"/>
  <c r="R41" i="6"/>
  <c r="S41" i="6"/>
  <c r="T41" i="6"/>
  <c r="U41" i="6"/>
  <c r="J42" i="6"/>
  <c r="AK42" i="6" s="1"/>
  <c r="K42" i="6"/>
  <c r="AL42" i="6" s="1"/>
  <c r="L42" i="6"/>
  <c r="AM42" i="6" s="1"/>
  <c r="M42" i="6"/>
  <c r="N42" i="6"/>
  <c r="O42" i="6"/>
  <c r="P42" i="6"/>
  <c r="Q42" i="6"/>
  <c r="R42" i="6"/>
  <c r="S42" i="6"/>
  <c r="T42" i="6"/>
  <c r="U42" i="6"/>
  <c r="J43" i="6"/>
  <c r="AK43" i="6" s="1"/>
  <c r="K43" i="6"/>
  <c r="AL43" i="6" s="1"/>
  <c r="L43" i="6"/>
  <c r="AM43" i="6" s="1"/>
  <c r="M43" i="6"/>
  <c r="N43" i="6"/>
  <c r="O43" i="6"/>
  <c r="P43" i="6"/>
  <c r="Q43" i="6"/>
  <c r="R43" i="6"/>
  <c r="S43" i="6"/>
  <c r="T43" i="6"/>
  <c r="U43" i="6"/>
  <c r="J44" i="6"/>
  <c r="AK44" i="6" s="1"/>
  <c r="K44" i="6"/>
  <c r="AL44" i="6" s="1"/>
  <c r="L44" i="6"/>
  <c r="AM44" i="6" s="1"/>
  <c r="M44" i="6"/>
  <c r="N44" i="6"/>
  <c r="O44" i="6"/>
  <c r="P44" i="6"/>
  <c r="Q44" i="6"/>
  <c r="R44" i="6"/>
  <c r="S44" i="6"/>
  <c r="T44" i="6"/>
  <c r="U44" i="6"/>
  <c r="J45" i="6"/>
  <c r="AK45" i="6" s="1"/>
  <c r="K45" i="6"/>
  <c r="AL45" i="6" s="1"/>
  <c r="L45" i="6"/>
  <c r="AM45" i="6" s="1"/>
  <c r="M45" i="6"/>
  <c r="N45" i="6"/>
  <c r="O45" i="6"/>
  <c r="P45" i="6"/>
  <c r="Q45" i="6"/>
  <c r="R45" i="6"/>
  <c r="S45" i="6"/>
  <c r="T45" i="6"/>
  <c r="U45" i="6"/>
  <c r="J46" i="6"/>
  <c r="K46" i="6"/>
  <c r="AL46" i="6" s="1"/>
  <c r="L46" i="6"/>
  <c r="AM46" i="6" s="1"/>
  <c r="M46" i="6"/>
  <c r="N46" i="6"/>
  <c r="O46" i="6"/>
  <c r="P46" i="6"/>
  <c r="Q46" i="6"/>
  <c r="R46" i="6"/>
  <c r="S46" i="6"/>
  <c r="T46" i="6"/>
  <c r="U46" i="6"/>
  <c r="J47" i="6"/>
  <c r="AK47" i="6" s="1"/>
  <c r="K47" i="6"/>
  <c r="AL47" i="6" s="1"/>
  <c r="L47" i="6"/>
  <c r="AM47" i="6" s="1"/>
  <c r="M47" i="6"/>
  <c r="N47" i="6"/>
  <c r="O47" i="6"/>
  <c r="P47" i="6"/>
  <c r="Q47" i="6"/>
  <c r="R47" i="6"/>
  <c r="S47" i="6"/>
  <c r="T47" i="6"/>
  <c r="U47" i="6"/>
  <c r="J48" i="6"/>
  <c r="AK48" i="6" s="1"/>
  <c r="K48" i="6"/>
  <c r="AL48" i="6" s="1"/>
  <c r="L48" i="6"/>
  <c r="AM48" i="6" s="1"/>
  <c r="M48" i="6"/>
  <c r="N48" i="6"/>
  <c r="O48" i="6"/>
  <c r="P48" i="6"/>
  <c r="Q48" i="6"/>
  <c r="R48" i="6"/>
  <c r="S48" i="6"/>
  <c r="T48" i="6"/>
  <c r="U48" i="6"/>
  <c r="J49" i="6"/>
  <c r="AK49" i="6" s="1"/>
  <c r="K49" i="6"/>
  <c r="AL49" i="6" s="1"/>
  <c r="L49" i="6"/>
  <c r="AM49" i="6" s="1"/>
  <c r="M49" i="6"/>
  <c r="N49" i="6"/>
  <c r="O49" i="6"/>
  <c r="P49" i="6"/>
  <c r="Q49" i="6"/>
  <c r="R49" i="6"/>
  <c r="S49" i="6"/>
  <c r="T49" i="6"/>
  <c r="U49" i="6"/>
  <c r="J50" i="6"/>
  <c r="AK50" i="6" s="1"/>
  <c r="K50" i="6"/>
  <c r="AL50" i="6" s="1"/>
  <c r="L50" i="6"/>
  <c r="AM50" i="6" s="1"/>
  <c r="M50" i="6"/>
  <c r="N50" i="6"/>
  <c r="O50" i="6"/>
  <c r="P50" i="6"/>
  <c r="Q50" i="6"/>
  <c r="R50" i="6"/>
  <c r="S50" i="6"/>
  <c r="T50" i="6"/>
  <c r="U50" i="6"/>
  <c r="J51" i="6"/>
  <c r="AK51" i="6" s="1"/>
  <c r="K51" i="6"/>
  <c r="AL51" i="6" s="1"/>
  <c r="L51" i="6"/>
  <c r="AM51" i="6" s="1"/>
  <c r="M51" i="6"/>
  <c r="N51" i="6"/>
  <c r="O51" i="6"/>
  <c r="P51" i="6"/>
  <c r="Q51" i="6"/>
  <c r="R51" i="6"/>
  <c r="S51" i="6"/>
  <c r="T51" i="6"/>
  <c r="U51" i="6"/>
  <c r="J52" i="6"/>
  <c r="AK52" i="6" s="1"/>
  <c r="K52" i="6"/>
  <c r="AL52" i="6" s="1"/>
  <c r="L52" i="6"/>
  <c r="AM52" i="6" s="1"/>
  <c r="M52" i="6"/>
  <c r="N52" i="6"/>
  <c r="O52" i="6"/>
  <c r="P52" i="6"/>
  <c r="Q52" i="6"/>
  <c r="R52" i="6"/>
  <c r="S52" i="6"/>
  <c r="T52" i="6"/>
  <c r="U52" i="6"/>
  <c r="J53" i="6"/>
  <c r="AK53" i="6" s="1"/>
  <c r="K53" i="6"/>
  <c r="AL53" i="6" s="1"/>
  <c r="L53" i="6"/>
  <c r="AM53" i="6" s="1"/>
  <c r="M53" i="6"/>
  <c r="N53" i="6"/>
  <c r="O53" i="6"/>
  <c r="P53" i="6"/>
  <c r="Q53" i="6"/>
  <c r="R53" i="6"/>
  <c r="S53" i="6"/>
  <c r="T53" i="6"/>
  <c r="U53" i="6"/>
  <c r="J54" i="6"/>
  <c r="AK54" i="6" s="1"/>
  <c r="K54" i="6"/>
  <c r="AL54" i="6" s="1"/>
  <c r="L54" i="6"/>
  <c r="AM54" i="6" s="1"/>
  <c r="M54" i="6"/>
  <c r="N54" i="6"/>
  <c r="O54" i="6"/>
  <c r="P54" i="6"/>
  <c r="Q54" i="6"/>
  <c r="R54" i="6"/>
  <c r="S54" i="6"/>
  <c r="T54" i="6"/>
  <c r="U54" i="6"/>
  <c r="J55" i="6"/>
  <c r="AK55" i="6" s="1"/>
  <c r="K55" i="6"/>
  <c r="AL55" i="6" s="1"/>
  <c r="L55" i="6"/>
  <c r="AM55" i="6" s="1"/>
  <c r="M55" i="6"/>
  <c r="N55" i="6"/>
  <c r="O55" i="6"/>
  <c r="P55" i="6"/>
  <c r="Q55" i="6"/>
  <c r="R55" i="6"/>
  <c r="S55" i="6"/>
  <c r="T55" i="6"/>
  <c r="U55" i="6"/>
  <c r="J56" i="6"/>
  <c r="AK56" i="6" s="1"/>
  <c r="K56" i="6"/>
  <c r="L56" i="6"/>
  <c r="AM56" i="6" s="1"/>
  <c r="M56" i="6"/>
  <c r="N56" i="6"/>
  <c r="O56" i="6"/>
  <c r="P56" i="6"/>
  <c r="Q56" i="6"/>
  <c r="R56" i="6"/>
  <c r="S56" i="6"/>
  <c r="T56" i="6"/>
  <c r="U56" i="6"/>
  <c r="J57" i="6"/>
  <c r="AK57" i="6" s="1"/>
  <c r="K57" i="6"/>
  <c r="AL57" i="6" s="1"/>
  <c r="L57" i="6"/>
  <c r="AM57" i="6" s="1"/>
  <c r="M57" i="6"/>
  <c r="N57" i="6"/>
  <c r="O57" i="6"/>
  <c r="P57" i="6"/>
  <c r="Q57" i="6"/>
  <c r="R57" i="6"/>
  <c r="S57" i="6"/>
  <c r="T57" i="6"/>
  <c r="U57" i="6"/>
  <c r="J58" i="6"/>
  <c r="AK58" i="6" s="1"/>
  <c r="K58" i="6"/>
  <c r="AL58" i="6" s="1"/>
  <c r="L58" i="6"/>
  <c r="AM58" i="6" s="1"/>
  <c r="M58" i="6"/>
  <c r="N58" i="6"/>
  <c r="O58" i="6"/>
  <c r="P58" i="6"/>
  <c r="Q58" i="6"/>
  <c r="R58" i="6"/>
  <c r="S58" i="6"/>
  <c r="T58" i="6"/>
  <c r="U58" i="6"/>
  <c r="J59" i="6"/>
  <c r="AK59" i="6" s="1"/>
  <c r="K59" i="6"/>
  <c r="AL59" i="6" s="1"/>
  <c r="L59" i="6"/>
  <c r="AM59" i="6" s="1"/>
  <c r="M59" i="6"/>
  <c r="N59" i="6"/>
  <c r="O59" i="6"/>
  <c r="P59" i="6"/>
  <c r="Q59" i="6"/>
  <c r="R59" i="6"/>
  <c r="S59" i="6"/>
  <c r="T59" i="6"/>
  <c r="U59" i="6"/>
  <c r="J60" i="6"/>
  <c r="AK60" i="6" s="1"/>
  <c r="K60" i="6"/>
  <c r="AL60" i="6" s="1"/>
  <c r="L60" i="6"/>
  <c r="AM60" i="6" s="1"/>
  <c r="M60" i="6"/>
  <c r="N60" i="6"/>
  <c r="O60" i="6"/>
  <c r="P60" i="6"/>
  <c r="Q60" i="6"/>
  <c r="R60" i="6"/>
  <c r="S60" i="6"/>
  <c r="T60" i="6"/>
  <c r="U60" i="6"/>
  <c r="J61" i="6"/>
  <c r="AK61" i="6" s="1"/>
  <c r="K61" i="6"/>
  <c r="AL61" i="6" s="1"/>
  <c r="L61" i="6"/>
  <c r="AM61" i="6" s="1"/>
  <c r="M61" i="6"/>
  <c r="N61" i="6"/>
  <c r="O61" i="6"/>
  <c r="P61" i="6"/>
  <c r="Q61" i="6"/>
  <c r="R61" i="6"/>
  <c r="S61" i="6"/>
  <c r="T61" i="6"/>
  <c r="U61" i="6"/>
  <c r="J62" i="6"/>
  <c r="AK62" i="6" s="1"/>
  <c r="K62" i="6"/>
  <c r="AL62" i="6" s="1"/>
  <c r="L62" i="6"/>
  <c r="AM62" i="6" s="1"/>
  <c r="M62" i="6"/>
  <c r="N62" i="6"/>
  <c r="O62" i="6"/>
  <c r="P62" i="6"/>
  <c r="Q62" i="6"/>
  <c r="R62" i="6"/>
  <c r="S62" i="6"/>
  <c r="T62" i="6"/>
  <c r="U62" i="6"/>
  <c r="J63" i="6"/>
  <c r="AK63" i="6" s="1"/>
  <c r="K63" i="6"/>
  <c r="AL63" i="6" s="1"/>
  <c r="L63" i="6"/>
  <c r="AM63" i="6" s="1"/>
  <c r="M63" i="6"/>
  <c r="N63" i="6"/>
  <c r="O63" i="6"/>
  <c r="P63" i="6"/>
  <c r="Q63" i="6"/>
  <c r="R63" i="6"/>
  <c r="S63" i="6"/>
  <c r="T63" i="6"/>
  <c r="U63" i="6"/>
  <c r="J64" i="6"/>
  <c r="AK64" i="6" s="1"/>
  <c r="K64" i="6"/>
  <c r="AL64" i="6" s="1"/>
  <c r="L64" i="6"/>
  <c r="AM64" i="6" s="1"/>
  <c r="M64" i="6"/>
  <c r="N64" i="6"/>
  <c r="O64" i="6"/>
  <c r="P64" i="6"/>
  <c r="Q64" i="6"/>
  <c r="R64" i="6"/>
  <c r="S64" i="6"/>
  <c r="T64" i="6"/>
  <c r="U64" i="6"/>
  <c r="J65" i="6"/>
  <c r="AK65" i="6" s="1"/>
  <c r="K65" i="6"/>
  <c r="AL65" i="6" s="1"/>
  <c r="L65" i="6"/>
  <c r="AM65" i="6" s="1"/>
  <c r="M65" i="6"/>
  <c r="N65" i="6"/>
  <c r="O65" i="6"/>
  <c r="P65" i="6"/>
  <c r="Q65" i="6"/>
  <c r="R65" i="6"/>
  <c r="S65" i="6"/>
  <c r="T65" i="6"/>
  <c r="U65" i="6"/>
  <c r="J66" i="6"/>
  <c r="AK66" i="6" s="1"/>
  <c r="K66" i="6"/>
  <c r="AL66" i="6" s="1"/>
  <c r="L66" i="6"/>
  <c r="AM66" i="6" s="1"/>
  <c r="M66" i="6"/>
  <c r="N66" i="6"/>
  <c r="O66" i="6"/>
  <c r="P66" i="6"/>
  <c r="Q66" i="6"/>
  <c r="R66" i="6"/>
  <c r="S66" i="6"/>
  <c r="T66" i="6"/>
  <c r="U66" i="6"/>
  <c r="J67" i="6"/>
  <c r="AK67" i="6" s="1"/>
  <c r="K67" i="6"/>
  <c r="L67" i="6"/>
  <c r="AM67" i="6" s="1"/>
  <c r="M67" i="6"/>
  <c r="N67" i="6"/>
  <c r="O67" i="6"/>
  <c r="P67" i="6"/>
  <c r="Q67" i="6"/>
  <c r="R67" i="6"/>
  <c r="S67" i="6"/>
  <c r="T67" i="6"/>
  <c r="U67" i="6"/>
  <c r="J68" i="6"/>
  <c r="AK68" i="6" s="1"/>
  <c r="K68" i="6"/>
  <c r="L68" i="6"/>
  <c r="AM68" i="6" s="1"/>
  <c r="M68" i="6"/>
  <c r="N68" i="6"/>
  <c r="O68" i="6"/>
  <c r="P68" i="6"/>
  <c r="Q68" i="6"/>
  <c r="R68" i="6"/>
  <c r="S68" i="6"/>
  <c r="T68" i="6"/>
  <c r="U68" i="6"/>
  <c r="J69" i="6"/>
  <c r="AK69" i="6" s="1"/>
  <c r="K69" i="6"/>
  <c r="AL69" i="6" s="1"/>
  <c r="L69" i="6"/>
  <c r="AM69" i="6" s="1"/>
  <c r="M69" i="6"/>
  <c r="N69" i="6"/>
  <c r="O69" i="6"/>
  <c r="P69" i="6"/>
  <c r="Q69" i="6"/>
  <c r="R69" i="6"/>
  <c r="S69" i="6"/>
  <c r="T69" i="6"/>
  <c r="U69" i="6"/>
  <c r="J70" i="6"/>
  <c r="AK70" i="6" s="1"/>
  <c r="K70" i="6"/>
  <c r="AL70" i="6" s="1"/>
  <c r="L70" i="6"/>
  <c r="AM70" i="6" s="1"/>
  <c r="M70" i="6"/>
  <c r="N70" i="6"/>
  <c r="O70" i="6"/>
  <c r="P70" i="6"/>
  <c r="Q70" i="6"/>
  <c r="R70" i="6"/>
  <c r="S70" i="6"/>
  <c r="T70" i="6"/>
  <c r="U70" i="6"/>
  <c r="J71" i="6"/>
  <c r="AK71" i="6" s="1"/>
  <c r="K71" i="6"/>
  <c r="AL71" i="6" s="1"/>
  <c r="L71" i="6"/>
  <c r="AM71" i="6" s="1"/>
  <c r="M71" i="6"/>
  <c r="N71" i="6"/>
  <c r="O71" i="6"/>
  <c r="P71" i="6"/>
  <c r="Q71" i="6"/>
  <c r="R71" i="6"/>
  <c r="S71" i="6"/>
  <c r="T71" i="6"/>
  <c r="U71" i="6"/>
  <c r="J72" i="6"/>
  <c r="AK72" i="6" s="1"/>
  <c r="K72" i="6"/>
  <c r="AL72" i="6" s="1"/>
  <c r="L72" i="6"/>
  <c r="AM72" i="6" s="1"/>
  <c r="M72" i="6"/>
  <c r="N72" i="6"/>
  <c r="O72" i="6"/>
  <c r="P72" i="6"/>
  <c r="Q72" i="6"/>
  <c r="R72" i="6"/>
  <c r="S72" i="6"/>
  <c r="T72" i="6"/>
  <c r="U72" i="6"/>
  <c r="J73" i="6"/>
  <c r="AK73" i="6" s="1"/>
  <c r="K73" i="6"/>
  <c r="AL73" i="6" s="1"/>
  <c r="L73" i="6"/>
  <c r="AM73" i="6" s="1"/>
  <c r="M73" i="6"/>
  <c r="N73" i="6"/>
  <c r="O73" i="6"/>
  <c r="P73" i="6"/>
  <c r="Q73" i="6"/>
  <c r="R73" i="6"/>
  <c r="S73" i="6"/>
  <c r="T73" i="6"/>
  <c r="U73" i="6"/>
  <c r="J74" i="6"/>
  <c r="AK74" i="6" s="1"/>
  <c r="K74" i="6"/>
  <c r="AL74" i="6" s="1"/>
  <c r="L74" i="6"/>
  <c r="AM74" i="6" s="1"/>
  <c r="M74" i="6"/>
  <c r="N74" i="6"/>
  <c r="O74" i="6"/>
  <c r="P74" i="6"/>
  <c r="Q74" i="6"/>
  <c r="R74" i="6"/>
  <c r="S74" i="6"/>
  <c r="T74" i="6"/>
  <c r="U74" i="6"/>
  <c r="J75" i="6"/>
  <c r="AK75" i="6" s="1"/>
  <c r="K75" i="6"/>
  <c r="L75" i="6"/>
  <c r="AM75" i="6" s="1"/>
  <c r="M75" i="6"/>
  <c r="N75" i="6"/>
  <c r="O75" i="6"/>
  <c r="P75" i="6"/>
  <c r="Q75" i="6"/>
  <c r="R75" i="6"/>
  <c r="S75" i="6"/>
  <c r="T75" i="6"/>
  <c r="U75" i="6"/>
  <c r="J76" i="6"/>
  <c r="AK76" i="6" s="1"/>
  <c r="K76" i="6"/>
  <c r="AL76" i="6" s="1"/>
  <c r="L76" i="6"/>
  <c r="AM76" i="6" s="1"/>
  <c r="M76" i="6"/>
  <c r="N76" i="6"/>
  <c r="O76" i="6"/>
  <c r="P76" i="6"/>
  <c r="Q76" i="6"/>
  <c r="R76" i="6"/>
  <c r="S76" i="6"/>
  <c r="T76" i="6"/>
  <c r="U76" i="6"/>
  <c r="J77" i="6"/>
  <c r="AK77" i="6" s="1"/>
  <c r="K77" i="6"/>
  <c r="AL77" i="6" s="1"/>
  <c r="L77" i="6"/>
  <c r="AM77" i="6" s="1"/>
  <c r="M77" i="6"/>
  <c r="N77" i="6"/>
  <c r="O77" i="6"/>
  <c r="P77" i="6"/>
  <c r="Q77" i="6"/>
  <c r="R77" i="6"/>
  <c r="S77" i="6"/>
  <c r="T77" i="6"/>
  <c r="U77" i="6"/>
  <c r="J78" i="6"/>
  <c r="AK78" i="6" s="1"/>
  <c r="K78" i="6"/>
  <c r="AL78" i="6" s="1"/>
  <c r="L78" i="6"/>
  <c r="AM78" i="6" s="1"/>
  <c r="M78" i="6"/>
  <c r="N78" i="6"/>
  <c r="O78" i="6"/>
  <c r="P78" i="6"/>
  <c r="Q78" i="6"/>
  <c r="R78" i="6"/>
  <c r="S78" i="6"/>
  <c r="T78" i="6"/>
  <c r="U78" i="6"/>
  <c r="J79" i="6"/>
  <c r="AK79" i="6" s="1"/>
  <c r="K79" i="6"/>
  <c r="L79" i="6"/>
  <c r="AM79" i="6" s="1"/>
  <c r="M79" i="6"/>
  <c r="N79" i="6"/>
  <c r="O79" i="6"/>
  <c r="P79" i="6"/>
  <c r="Q79" i="6"/>
  <c r="R79" i="6"/>
  <c r="S79" i="6"/>
  <c r="T79" i="6"/>
  <c r="U79" i="6"/>
  <c r="J80" i="6"/>
  <c r="AK80" i="6" s="1"/>
  <c r="K80" i="6"/>
  <c r="AL80" i="6" s="1"/>
  <c r="L80" i="6"/>
  <c r="AM80" i="6" s="1"/>
  <c r="M80" i="6"/>
  <c r="N80" i="6"/>
  <c r="O80" i="6"/>
  <c r="P80" i="6"/>
  <c r="Q80" i="6"/>
  <c r="R80" i="6"/>
  <c r="S80" i="6"/>
  <c r="T80" i="6"/>
  <c r="U80" i="6"/>
  <c r="J81" i="6"/>
  <c r="AK81" i="6" s="1"/>
  <c r="K81" i="6"/>
  <c r="AL81" i="6" s="1"/>
  <c r="L81" i="6"/>
  <c r="AM81" i="6" s="1"/>
  <c r="M81" i="6"/>
  <c r="N81" i="6"/>
  <c r="O81" i="6"/>
  <c r="P81" i="6"/>
  <c r="Q81" i="6"/>
  <c r="R81" i="6"/>
  <c r="S81" i="6"/>
  <c r="T81" i="6"/>
  <c r="U81" i="6"/>
  <c r="J82" i="6"/>
  <c r="AK82" i="6" s="1"/>
  <c r="K82" i="6"/>
  <c r="AL82" i="6" s="1"/>
  <c r="L82" i="6"/>
  <c r="AM82" i="6" s="1"/>
  <c r="M82" i="6"/>
  <c r="N82" i="6"/>
  <c r="O82" i="6"/>
  <c r="P82" i="6"/>
  <c r="Q82" i="6"/>
  <c r="R82" i="6"/>
  <c r="S82" i="6"/>
  <c r="T82" i="6"/>
  <c r="U82" i="6"/>
  <c r="J83" i="6"/>
  <c r="AK83" i="6" s="1"/>
  <c r="K83" i="6"/>
  <c r="L83" i="6"/>
  <c r="AM83" i="6" s="1"/>
  <c r="M83" i="6"/>
  <c r="N83" i="6"/>
  <c r="O83" i="6"/>
  <c r="P83" i="6"/>
  <c r="Q83" i="6"/>
  <c r="R83" i="6"/>
  <c r="S83" i="6"/>
  <c r="T83" i="6"/>
  <c r="U83" i="6"/>
  <c r="J84" i="6"/>
  <c r="AK84" i="6" s="1"/>
  <c r="K84" i="6"/>
  <c r="L84" i="6"/>
  <c r="AM84" i="6" s="1"/>
  <c r="M84" i="6"/>
  <c r="N84" i="6"/>
  <c r="O84" i="6"/>
  <c r="P84" i="6"/>
  <c r="Q84" i="6"/>
  <c r="R84" i="6"/>
  <c r="S84" i="6"/>
  <c r="T84" i="6"/>
  <c r="U84" i="6"/>
  <c r="J85" i="6"/>
  <c r="AK85" i="6" s="1"/>
  <c r="K85" i="6"/>
  <c r="AL85" i="6" s="1"/>
  <c r="L85" i="6"/>
  <c r="M85" i="6"/>
  <c r="N85" i="6"/>
  <c r="O85" i="6"/>
  <c r="P85" i="6"/>
  <c r="Q85" i="6"/>
  <c r="R85" i="6"/>
  <c r="S85" i="6"/>
  <c r="T85" i="6"/>
  <c r="U85" i="6"/>
  <c r="J86" i="6"/>
  <c r="AK86" i="6" s="1"/>
  <c r="K86" i="6"/>
  <c r="AL86" i="6" s="1"/>
  <c r="L86" i="6"/>
  <c r="AM86" i="6" s="1"/>
  <c r="M86" i="6"/>
  <c r="N86" i="6"/>
  <c r="O86" i="6"/>
  <c r="P86" i="6"/>
  <c r="Q86" i="6"/>
  <c r="R86" i="6"/>
  <c r="S86" i="6"/>
  <c r="T86" i="6"/>
  <c r="U86" i="6"/>
  <c r="J87" i="6"/>
  <c r="AK87" i="6" s="1"/>
  <c r="K87" i="6"/>
  <c r="AL87" i="6" s="1"/>
  <c r="L87" i="6"/>
  <c r="AM87" i="6" s="1"/>
  <c r="M87" i="6"/>
  <c r="N87" i="6"/>
  <c r="O87" i="6"/>
  <c r="P87" i="6"/>
  <c r="Q87" i="6"/>
  <c r="R87" i="6"/>
  <c r="S87" i="6"/>
  <c r="T87" i="6"/>
  <c r="U87" i="6"/>
  <c r="J88" i="6"/>
  <c r="AK88" i="6" s="1"/>
  <c r="K88" i="6"/>
  <c r="AL88" i="6" s="1"/>
  <c r="L88" i="6"/>
  <c r="AM88" i="6" s="1"/>
  <c r="M88" i="6"/>
  <c r="N88" i="6"/>
  <c r="O88" i="6"/>
  <c r="P88" i="6"/>
  <c r="Q88" i="6"/>
  <c r="R88" i="6"/>
  <c r="S88" i="6"/>
  <c r="T88" i="6"/>
  <c r="U88" i="6"/>
  <c r="J89" i="6"/>
  <c r="AK89" i="6" s="1"/>
  <c r="K89" i="6"/>
  <c r="AL89" i="6" s="1"/>
  <c r="L89" i="6"/>
  <c r="AM89" i="6" s="1"/>
  <c r="M89" i="6"/>
  <c r="N89" i="6"/>
  <c r="O89" i="6"/>
  <c r="P89" i="6"/>
  <c r="Q89" i="6"/>
  <c r="R89" i="6"/>
  <c r="S89" i="6"/>
  <c r="T89" i="6"/>
  <c r="U89" i="6"/>
  <c r="J90" i="6"/>
  <c r="AK90" i="6" s="1"/>
  <c r="K90" i="6"/>
  <c r="AL90" i="6" s="1"/>
  <c r="L90" i="6"/>
  <c r="AM90" i="6" s="1"/>
  <c r="M90" i="6"/>
  <c r="N90" i="6"/>
  <c r="O90" i="6"/>
  <c r="P90" i="6"/>
  <c r="Q90" i="6"/>
  <c r="R90" i="6"/>
  <c r="S90" i="6"/>
  <c r="T90" i="6"/>
  <c r="U90" i="6"/>
  <c r="J91" i="6"/>
  <c r="AK91" i="6" s="1"/>
  <c r="K91" i="6"/>
  <c r="AL91" i="6" s="1"/>
  <c r="L91" i="6"/>
  <c r="AM91" i="6" s="1"/>
  <c r="M91" i="6"/>
  <c r="N91" i="6"/>
  <c r="O91" i="6"/>
  <c r="P91" i="6"/>
  <c r="Q91" i="6"/>
  <c r="R91" i="6"/>
  <c r="S91" i="6"/>
  <c r="T91" i="6"/>
  <c r="U91" i="6"/>
  <c r="J92" i="6"/>
  <c r="AK92" i="6" s="1"/>
  <c r="K92" i="6"/>
  <c r="AL92" i="6" s="1"/>
  <c r="L92" i="6"/>
  <c r="AM92" i="6" s="1"/>
  <c r="M92" i="6"/>
  <c r="N92" i="6"/>
  <c r="O92" i="6"/>
  <c r="P92" i="6"/>
  <c r="Q92" i="6"/>
  <c r="R92" i="6"/>
  <c r="S92" i="6"/>
  <c r="T92" i="6"/>
  <c r="U92" i="6"/>
  <c r="J93" i="6"/>
  <c r="AK93" i="6" s="1"/>
  <c r="K93" i="6"/>
  <c r="AL93" i="6" s="1"/>
  <c r="L93" i="6"/>
  <c r="AM93" i="6" s="1"/>
  <c r="M93" i="6"/>
  <c r="N93" i="6"/>
  <c r="O93" i="6"/>
  <c r="P93" i="6"/>
  <c r="Q93" i="6"/>
  <c r="R93" i="6"/>
  <c r="S93" i="6"/>
  <c r="T93" i="6"/>
  <c r="U93" i="6"/>
  <c r="J94" i="6"/>
  <c r="AK94" i="6" s="1"/>
  <c r="K94" i="6"/>
  <c r="AL94" i="6" s="1"/>
  <c r="L94" i="6"/>
  <c r="AM94" i="6" s="1"/>
  <c r="M94" i="6"/>
  <c r="N94" i="6"/>
  <c r="O94" i="6"/>
  <c r="P94" i="6"/>
  <c r="Q94" i="6"/>
  <c r="R94" i="6"/>
  <c r="S94" i="6"/>
  <c r="T94" i="6"/>
  <c r="U94" i="6"/>
  <c r="J95" i="6"/>
  <c r="AK95" i="6" s="1"/>
  <c r="K95" i="6"/>
  <c r="L95" i="6"/>
  <c r="AM95" i="6" s="1"/>
  <c r="M95" i="6"/>
  <c r="N95" i="6"/>
  <c r="O95" i="6"/>
  <c r="P95" i="6"/>
  <c r="Q95" i="6"/>
  <c r="R95" i="6"/>
  <c r="S95" i="6"/>
  <c r="T95" i="6"/>
  <c r="U95" i="6"/>
  <c r="J96" i="6"/>
  <c r="AK96" i="6" s="1"/>
  <c r="K96" i="6"/>
  <c r="AL96" i="6" s="1"/>
  <c r="L96" i="6"/>
  <c r="AM96" i="6" s="1"/>
  <c r="M96" i="6"/>
  <c r="N96" i="6"/>
  <c r="O96" i="6"/>
  <c r="P96" i="6"/>
  <c r="Q96" i="6"/>
  <c r="R96" i="6"/>
  <c r="S96" i="6"/>
  <c r="T96" i="6"/>
  <c r="U96" i="6"/>
  <c r="J97" i="6"/>
  <c r="AK97" i="6" s="1"/>
  <c r="K97" i="6"/>
  <c r="AL97" i="6" s="1"/>
  <c r="L97" i="6"/>
  <c r="AM97" i="6" s="1"/>
  <c r="M97" i="6"/>
  <c r="N97" i="6"/>
  <c r="O97" i="6"/>
  <c r="P97" i="6"/>
  <c r="Q97" i="6"/>
  <c r="R97" i="6"/>
  <c r="S97" i="6"/>
  <c r="T97" i="6"/>
  <c r="U97" i="6"/>
  <c r="J98" i="6"/>
  <c r="AK98" i="6" s="1"/>
  <c r="K98" i="6"/>
  <c r="AL98" i="6" s="1"/>
  <c r="L98" i="6"/>
  <c r="AM98" i="6" s="1"/>
  <c r="M98" i="6"/>
  <c r="N98" i="6"/>
  <c r="O98" i="6"/>
  <c r="P98" i="6"/>
  <c r="Q98" i="6"/>
  <c r="R98" i="6"/>
  <c r="S98" i="6"/>
  <c r="T98" i="6"/>
  <c r="U98" i="6"/>
  <c r="J99" i="6"/>
  <c r="AK99" i="6" s="1"/>
  <c r="K99" i="6"/>
  <c r="L99" i="6"/>
  <c r="AM99" i="6" s="1"/>
  <c r="M99" i="6"/>
  <c r="N99" i="6"/>
  <c r="O99" i="6"/>
  <c r="P99" i="6"/>
  <c r="Q99" i="6"/>
  <c r="R99" i="6"/>
  <c r="S99" i="6"/>
  <c r="T99" i="6"/>
  <c r="U99" i="6"/>
  <c r="J100" i="6"/>
  <c r="AK100" i="6" s="1"/>
  <c r="K100" i="6"/>
  <c r="AL100" i="6" s="1"/>
  <c r="L100" i="6"/>
  <c r="AM100" i="6" s="1"/>
  <c r="M100" i="6"/>
  <c r="N100" i="6"/>
  <c r="O100" i="6"/>
  <c r="P100" i="6"/>
  <c r="Q100" i="6"/>
  <c r="R100" i="6"/>
  <c r="S100" i="6"/>
  <c r="T100" i="6"/>
  <c r="U100" i="6"/>
  <c r="J101" i="6"/>
  <c r="AK101" i="6" s="1"/>
  <c r="K101" i="6"/>
  <c r="AL101" i="6" s="1"/>
  <c r="L101" i="6"/>
  <c r="AM101" i="6" s="1"/>
  <c r="M101" i="6"/>
  <c r="N101" i="6"/>
  <c r="O101" i="6"/>
  <c r="P101" i="6"/>
  <c r="Q101" i="6"/>
  <c r="R101" i="6"/>
  <c r="S101" i="6"/>
  <c r="T101" i="6"/>
  <c r="U101" i="6"/>
  <c r="J102" i="6"/>
  <c r="AK102" i="6" s="1"/>
  <c r="K102" i="6"/>
  <c r="AL102" i="6" s="1"/>
  <c r="L102" i="6"/>
  <c r="AM102" i="6" s="1"/>
  <c r="M102" i="6"/>
  <c r="N102" i="6"/>
  <c r="O102" i="6"/>
  <c r="P102" i="6"/>
  <c r="Q102" i="6"/>
  <c r="R102" i="6"/>
  <c r="S102" i="6"/>
  <c r="T102" i="6"/>
  <c r="U102" i="6"/>
  <c r="J103" i="6"/>
  <c r="AK103" i="6" s="1"/>
  <c r="K103" i="6"/>
  <c r="AL103" i="6" s="1"/>
  <c r="L103" i="6"/>
  <c r="AM103" i="6" s="1"/>
  <c r="M103" i="6"/>
  <c r="N103" i="6"/>
  <c r="O103" i="6"/>
  <c r="P103" i="6"/>
  <c r="Q103" i="6"/>
  <c r="R103" i="6"/>
  <c r="S103" i="6"/>
  <c r="T103" i="6"/>
  <c r="U103" i="6"/>
  <c r="J104" i="6"/>
  <c r="AK104" i="6" s="1"/>
  <c r="K104" i="6"/>
  <c r="AL104" i="6" s="1"/>
  <c r="L104" i="6"/>
  <c r="AM104" i="6" s="1"/>
  <c r="M104" i="6"/>
  <c r="N104" i="6"/>
  <c r="O104" i="6"/>
  <c r="P104" i="6"/>
  <c r="Q104" i="6"/>
  <c r="R104" i="6"/>
  <c r="S104" i="6"/>
  <c r="T104" i="6"/>
  <c r="U104" i="6"/>
  <c r="J105" i="6"/>
  <c r="AK105" i="6" s="1"/>
  <c r="K105" i="6"/>
  <c r="AL105" i="6" s="1"/>
  <c r="L105" i="6"/>
  <c r="AM105" i="6" s="1"/>
  <c r="M105" i="6"/>
  <c r="N105" i="6"/>
  <c r="O105" i="6"/>
  <c r="P105" i="6"/>
  <c r="Q105" i="6"/>
  <c r="R105" i="6"/>
  <c r="S105" i="6"/>
  <c r="T105" i="6"/>
  <c r="U105" i="6"/>
  <c r="J106" i="6"/>
  <c r="AK106" i="6" s="1"/>
  <c r="K106" i="6"/>
  <c r="AL106" i="6" s="1"/>
  <c r="L106" i="6"/>
  <c r="AM106" i="6" s="1"/>
  <c r="M106" i="6"/>
  <c r="N106" i="6"/>
  <c r="O106" i="6"/>
  <c r="P106" i="6"/>
  <c r="Q106" i="6"/>
  <c r="R106" i="6"/>
  <c r="S106" i="6"/>
  <c r="T106" i="6"/>
  <c r="U106" i="6"/>
  <c r="J107" i="6"/>
  <c r="AK107" i="6" s="1"/>
  <c r="K107" i="6"/>
  <c r="AL107" i="6" s="1"/>
  <c r="L107" i="6"/>
  <c r="M107" i="6"/>
  <c r="N107" i="6"/>
  <c r="O107" i="6"/>
  <c r="P107" i="6"/>
  <c r="Q107" i="6"/>
  <c r="R107" i="6"/>
  <c r="S107" i="6"/>
  <c r="T107" i="6"/>
  <c r="U107" i="6"/>
  <c r="J108" i="6"/>
  <c r="AK108" i="6" s="1"/>
  <c r="K108" i="6"/>
  <c r="AL108" i="6" s="1"/>
  <c r="L108" i="6"/>
  <c r="AM108" i="6" s="1"/>
  <c r="M108" i="6"/>
  <c r="N108" i="6"/>
  <c r="O108" i="6"/>
  <c r="P108" i="6"/>
  <c r="Q108" i="6"/>
  <c r="R108" i="6"/>
  <c r="S108" i="6"/>
  <c r="T108" i="6"/>
  <c r="U108" i="6"/>
  <c r="J109" i="6"/>
  <c r="AK109" i="6" s="1"/>
  <c r="K109" i="6"/>
  <c r="L109" i="6"/>
  <c r="AM109" i="6" s="1"/>
  <c r="M109" i="6"/>
  <c r="N109" i="6"/>
  <c r="O109" i="6"/>
  <c r="P109" i="6"/>
  <c r="Q109" i="6"/>
  <c r="R109" i="6"/>
  <c r="S109" i="6"/>
  <c r="T109" i="6"/>
  <c r="U109" i="6"/>
  <c r="J110" i="6"/>
  <c r="AK110" i="6" s="1"/>
  <c r="K110" i="6"/>
  <c r="AL110" i="6" s="1"/>
  <c r="L110" i="6"/>
  <c r="AM110" i="6" s="1"/>
  <c r="M110" i="6"/>
  <c r="N110" i="6"/>
  <c r="O110" i="6"/>
  <c r="P110" i="6"/>
  <c r="Q110" i="6"/>
  <c r="R110" i="6"/>
  <c r="S110" i="6"/>
  <c r="T110" i="6"/>
  <c r="U110" i="6"/>
  <c r="J111" i="6"/>
  <c r="AK111" i="6" s="1"/>
  <c r="K111" i="6"/>
  <c r="AL111" i="6" s="1"/>
  <c r="L111" i="6"/>
  <c r="AM111" i="6" s="1"/>
  <c r="M111" i="6"/>
  <c r="N111" i="6"/>
  <c r="O111" i="6"/>
  <c r="P111" i="6"/>
  <c r="Q111" i="6"/>
  <c r="R111" i="6"/>
  <c r="S111" i="6"/>
  <c r="T111" i="6"/>
  <c r="U111" i="6"/>
  <c r="J112" i="6"/>
  <c r="AK112" i="6" s="1"/>
  <c r="K112" i="6"/>
  <c r="AL112" i="6" s="1"/>
  <c r="L112" i="6"/>
  <c r="AM112" i="6" s="1"/>
  <c r="M112" i="6"/>
  <c r="N112" i="6"/>
  <c r="O112" i="6"/>
  <c r="P112" i="6"/>
  <c r="Q112" i="6"/>
  <c r="R112" i="6"/>
  <c r="S112" i="6"/>
  <c r="T112" i="6"/>
  <c r="U112" i="6"/>
  <c r="J113" i="6"/>
  <c r="AK113" i="6" s="1"/>
  <c r="K113" i="6"/>
  <c r="AL113" i="6" s="1"/>
  <c r="L113" i="6"/>
  <c r="AM113" i="6" s="1"/>
  <c r="M113" i="6"/>
  <c r="N113" i="6"/>
  <c r="O113" i="6"/>
  <c r="P113" i="6"/>
  <c r="Q113" i="6"/>
  <c r="R113" i="6"/>
  <c r="S113" i="6"/>
  <c r="T113" i="6"/>
  <c r="U113" i="6"/>
  <c r="J114" i="6"/>
  <c r="AK114" i="6" s="1"/>
  <c r="K114" i="6"/>
  <c r="AL114" i="6" s="1"/>
  <c r="L114" i="6"/>
  <c r="AM114" i="6" s="1"/>
  <c r="M114" i="6"/>
  <c r="N114" i="6"/>
  <c r="O114" i="6"/>
  <c r="P114" i="6"/>
  <c r="Q114" i="6"/>
  <c r="R114" i="6"/>
  <c r="S114" i="6"/>
  <c r="T114" i="6"/>
  <c r="U114" i="6"/>
  <c r="J115" i="6"/>
  <c r="AK115" i="6" s="1"/>
  <c r="K115" i="6"/>
  <c r="AL115" i="6" s="1"/>
  <c r="L115" i="6"/>
  <c r="AM115" i="6" s="1"/>
  <c r="M115" i="6"/>
  <c r="N115" i="6"/>
  <c r="O115" i="6"/>
  <c r="P115" i="6"/>
  <c r="Q115" i="6"/>
  <c r="R115" i="6"/>
  <c r="S115" i="6"/>
  <c r="T115" i="6"/>
  <c r="U115" i="6"/>
  <c r="J116" i="6"/>
  <c r="AK116" i="6" s="1"/>
  <c r="K116" i="6"/>
  <c r="AL116" i="6" s="1"/>
  <c r="L116" i="6"/>
  <c r="AM116" i="6" s="1"/>
  <c r="M116" i="6"/>
  <c r="N116" i="6"/>
  <c r="O116" i="6"/>
  <c r="P116" i="6"/>
  <c r="Q116" i="6"/>
  <c r="R116" i="6"/>
  <c r="S116" i="6"/>
  <c r="T116" i="6"/>
  <c r="U116" i="6"/>
  <c r="J117" i="6"/>
  <c r="AK117" i="6" s="1"/>
  <c r="K117" i="6"/>
  <c r="AL117" i="6" s="1"/>
  <c r="L117" i="6"/>
  <c r="AM117" i="6" s="1"/>
  <c r="M117" i="6"/>
  <c r="N117" i="6"/>
  <c r="O117" i="6"/>
  <c r="P117" i="6"/>
  <c r="Q117" i="6"/>
  <c r="R117" i="6"/>
  <c r="S117" i="6"/>
  <c r="T117" i="6"/>
  <c r="U117" i="6"/>
  <c r="J118" i="6"/>
  <c r="AK118" i="6" s="1"/>
  <c r="K118" i="6"/>
  <c r="AL118" i="6" s="1"/>
  <c r="L118" i="6"/>
  <c r="AM118" i="6" s="1"/>
  <c r="M118" i="6"/>
  <c r="N118" i="6"/>
  <c r="O118" i="6"/>
  <c r="P118" i="6"/>
  <c r="Q118" i="6"/>
  <c r="R118" i="6"/>
  <c r="S118" i="6"/>
  <c r="T118" i="6"/>
  <c r="U118" i="6"/>
  <c r="J119" i="6"/>
  <c r="AK119" i="6" s="1"/>
  <c r="K119" i="6"/>
  <c r="AL119" i="6" s="1"/>
  <c r="L119" i="6"/>
  <c r="AM119" i="6" s="1"/>
  <c r="M119" i="6"/>
  <c r="N119" i="6"/>
  <c r="O119" i="6"/>
  <c r="P119" i="6"/>
  <c r="Q119" i="6"/>
  <c r="R119" i="6"/>
  <c r="S119" i="6"/>
  <c r="T119" i="6"/>
  <c r="U119" i="6"/>
  <c r="J120" i="6"/>
  <c r="AK120" i="6" s="1"/>
  <c r="K120" i="6"/>
  <c r="AL120" i="6" s="1"/>
  <c r="L120" i="6"/>
  <c r="AM120" i="6" s="1"/>
  <c r="M120" i="6"/>
  <c r="N120" i="6"/>
  <c r="O120" i="6"/>
  <c r="P120" i="6"/>
  <c r="Q120" i="6"/>
  <c r="R120" i="6"/>
  <c r="S120" i="6"/>
  <c r="T120" i="6"/>
  <c r="U120" i="6"/>
  <c r="J121" i="6"/>
  <c r="AK121" i="6" s="1"/>
  <c r="K121" i="6"/>
  <c r="AL121" i="6" s="1"/>
  <c r="L121" i="6"/>
  <c r="AM121" i="6" s="1"/>
  <c r="M121" i="6"/>
  <c r="N121" i="6"/>
  <c r="O121" i="6"/>
  <c r="P121" i="6"/>
  <c r="Q121" i="6"/>
  <c r="R121" i="6"/>
  <c r="S121" i="6"/>
  <c r="T121" i="6"/>
  <c r="U121" i="6"/>
  <c r="J122" i="6"/>
  <c r="AK122" i="6" s="1"/>
  <c r="K122" i="6"/>
  <c r="AL122" i="6" s="1"/>
  <c r="L122" i="6"/>
  <c r="AM122" i="6" s="1"/>
  <c r="M122" i="6"/>
  <c r="N122" i="6"/>
  <c r="O122" i="6"/>
  <c r="P122" i="6"/>
  <c r="Q122" i="6"/>
  <c r="R122" i="6"/>
  <c r="S122" i="6"/>
  <c r="T122" i="6"/>
  <c r="U122" i="6"/>
  <c r="J123" i="6"/>
  <c r="AK123" i="6" s="1"/>
  <c r="K123" i="6"/>
  <c r="AL123" i="6" s="1"/>
  <c r="L123" i="6"/>
  <c r="AM123" i="6" s="1"/>
  <c r="M123" i="6"/>
  <c r="N123" i="6"/>
  <c r="O123" i="6"/>
  <c r="P123" i="6"/>
  <c r="Q123" i="6"/>
  <c r="R123" i="6"/>
  <c r="S123" i="6"/>
  <c r="T123" i="6"/>
  <c r="U123" i="6"/>
  <c r="J124" i="6"/>
  <c r="AK124" i="6" s="1"/>
  <c r="K124" i="6"/>
  <c r="AL124" i="6" s="1"/>
  <c r="L124" i="6"/>
  <c r="AM124" i="6" s="1"/>
  <c r="M124" i="6"/>
  <c r="N124" i="6"/>
  <c r="O124" i="6"/>
  <c r="P124" i="6"/>
  <c r="Q124" i="6"/>
  <c r="R124" i="6"/>
  <c r="S124" i="6"/>
  <c r="T124" i="6"/>
  <c r="U124" i="6"/>
  <c r="J125" i="6"/>
  <c r="AK125" i="6" s="1"/>
  <c r="K125" i="6"/>
  <c r="AL125" i="6" s="1"/>
  <c r="L125" i="6"/>
  <c r="AM125" i="6" s="1"/>
  <c r="M125" i="6"/>
  <c r="N125" i="6"/>
  <c r="O125" i="6"/>
  <c r="P125" i="6"/>
  <c r="Q125" i="6"/>
  <c r="R125" i="6"/>
  <c r="S125" i="6"/>
  <c r="T125" i="6"/>
  <c r="U125" i="6"/>
  <c r="J126" i="6"/>
  <c r="AK126" i="6" s="1"/>
  <c r="K126" i="6"/>
  <c r="AL126" i="6" s="1"/>
  <c r="L126" i="6"/>
  <c r="AM126" i="6" s="1"/>
  <c r="M126" i="6"/>
  <c r="N126" i="6"/>
  <c r="O126" i="6"/>
  <c r="P126" i="6"/>
  <c r="Q126" i="6"/>
  <c r="R126" i="6"/>
  <c r="S126" i="6"/>
  <c r="T126" i="6"/>
  <c r="U126" i="6"/>
  <c r="J127" i="6"/>
  <c r="AK127" i="6" s="1"/>
  <c r="K127" i="6"/>
  <c r="AL127" i="6" s="1"/>
  <c r="L127" i="6"/>
  <c r="AM127" i="6" s="1"/>
  <c r="M127" i="6"/>
  <c r="N127" i="6"/>
  <c r="O127" i="6"/>
  <c r="P127" i="6"/>
  <c r="Q127" i="6"/>
  <c r="R127" i="6"/>
  <c r="S127" i="6"/>
  <c r="T127" i="6"/>
  <c r="U127" i="6"/>
  <c r="J128" i="6"/>
  <c r="AK128" i="6" s="1"/>
  <c r="K128" i="6"/>
  <c r="AL128" i="6" s="1"/>
  <c r="L128" i="6"/>
  <c r="AM128" i="6" s="1"/>
  <c r="M128" i="6"/>
  <c r="N128" i="6"/>
  <c r="O128" i="6"/>
  <c r="P128" i="6"/>
  <c r="Q128" i="6"/>
  <c r="R128" i="6"/>
  <c r="S128" i="6"/>
  <c r="T128" i="6"/>
  <c r="U128" i="6"/>
  <c r="J129" i="6"/>
  <c r="AK129" i="6" s="1"/>
  <c r="K129" i="6"/>
  <c r="AL129" i="6" s="1"/>
  <c r="L129" i="6"/>
  <c r="AM129" i="6" s="1"/>
  <c r="M129" i="6"/>
  <c r="N129" i="6"/>
  <c r="O129" i="6"/>
  <c r="P129" i="6"/>
  <c r="Q129" i="6"/>
  <c r="R129" i="6"/>
  <c r="S129" i="6"/>
  <c r="T129" i="6"/>
  <c r="U129" i="6"/>
  <c r="J130" i="6"/>
  <c r="AK130" i="6" s="1"/>
  <c r="K130" i="6"/>
  <c r="AL130" i="6" s="1"/>
  <c r="L130" i="6"/>
  <c r="AM130" i="6" s="1"/>
  <c r="M130" i="6"/>
  <c r="N130" i="6"/>
  <c r="O130" i="6"/>
  <c r="P130" i="6"/>
  <c r="Q130" i="6"/>
  <c r="R130" i="6"/>
  <c r="S130" i="6"/>
  <c r="T130" i="6"/>
  <c r="U130" i="6"/>
  <c r="J131" i="6"/>
  <c r="AK131" i="6" s="1"/>
  <c r="K131" i="6"/>
  <c r="AL131" i="6" s="1"/>
  <c r="L131" i="6"/>
  <c r="AM131" i="6" s="1"/>
  <c r="M131" i="6"/>
  <c r="N131" i="6"/>
  <c r="O131" i="6"/>
  <c r="P131" i="6"/>
  <c r="Q131" i="6"/>
  <c r="R131" i="6"/>
  <c r="S131" i="6"/>
  <c r="T131" i="6"/>
  <c r="U131" i="6"/>
  <c r="J132" i="6"/>
  <c r="AK132" i="6" s="1"/>
  <c r="K132" i="6"/>
  <c r="AL132" i="6" s="1"/>
  <c r="L132" i="6"/>
  <c r="AM132" i="6" s="1"/>
  <c r="M132" i="6"/>
  <c r="N132" i="6"/>
  <c r="O132" i="6"/>
  <c r="P132" i="6"/>
  <c r="Q132" i="6"/>
  <c r="R132" i="6"/>
  <c r="S132" i="6"/>
  <c r="T132" i="6"/>
  <c r="U132" i="6"/>
  <c r="J133" i="6"/>
  <c r="AK133" i="6" s="1"/>
  <c r="K133" i="6"/>
  <c r="AL133" i="6" s="1"/>
  <c r="L133" i="6"/>
  <c r="AM133" i="6" s="1"/>
  <c r="M133" i="6"/>
  <c r="N133" i="6"/>
  <c r="O133" i="6"/>
  <c r="P133" i="6"/>
  <c r="Q133" i="6"/>
  <c r="R133" i="6"/>
  <c r="S133" i="6"/>
  <c r="T133" i="6"/>
  <c r="U133" i="6"/>
  <c r="J134" i="6"/>
  <c r="AK134" i="6" s="1"/>
  <c r="K134" i="6"/>
  <c r="AL134" i="6" s="1"/>
  <c r="L134" i="6"/>
  <c r="AM134" i="6" s="1"/>
  <c r="M134" i="6"/>
  <c r="N134" i="6"/>
  <c r="O134" i="6"/>
  <c r="P134" i="6"/>
  <c r="Q134" i="6"/>
  <c r="R134" i="6"/>
  <c r="S134" i="6"/>
  <c r="T134" i="6"/>
  <c r="U134" i="6"/>
  <c r="J135" i="6"/>
  <c r="AK135" i="6" s="1"/>
  <c r="K135" i="6"/>
  <c r="AL135" i="6" s="1"/>
  <c r="L135" i="6"/>
  <c r="AM135" i="6" s="1"/>
  <c r="M135" i="6"/>
  <c r="N135" i="6"/>
  <c r="O135" i="6"/>
  <c r="P135" i="6"/>
  <c r="Q135" i="6"/>
  <c r="R135" i="6"/>
  <c r="S135" i="6"/>
  <c r="T135" i="6"/>
  <c r="U135" i="6"/>
  <c r="J136" i="6"/>
  <c r="AK136" i="6" s="1"/>
  <c r="K136" i="6"/>
  <c r="AL136" i="6" s="1"/>
  <c r="L136" i="6"/>
  <c r="AM136" i="6" s="1"/>
  <c r="M136" i="6"/>
  <c r="N136" i="6"/>
  <c r="O136" i="6"/>
  <c r="P136" i="6"/>
  <c r="Q136" i="6"/>
  <c r="R136" i="6"/>
  <c r="S136" i="6"/>
  <c r="T136" i="6"/>
  <c r="U136" i="6"/>
  <c r="J137" i="6"/>
  <c r="AK137" i="6" s="1"/>
  <c r="K137" i="6"/>
  <c r="AL137" i="6" s="1"/>
  <c r="L137" i="6"/>
  <c r="AM137" i="6" s="1"/>
  <c r="M137" i="6"/>
  <c r="N137" i="6"/>
  <c r="O137" i="6"/>
  <c r="P137" i="6"/>
  <c r="Q137" i="6"/>
  <c r="R137" i="6"/>
  <c r="S137" i="6"/>
  <c r="T137" i="6"/>
  <c r="U137" i="6"/>
  <c r="J138" i="6"/>
  <c r="AK138" i="6" s="1"/>
  <c r="K138" i="6"/>
  <c r="AL138" i="6" s="1"/>
  <c r="L138" i="6"/>
  <c r="AM138" i="6" s="1"/>
  <c r="M138" i="6"/>
  <c r="N138" i="6"/>
  <c r="O138" i="6"/>
  <c r="P138" i="6"/>
  <c r="Q138" i="6"/>
  <c r="R138" i="6"/>
  <c r="S138" i="6"/>
  <c r="T138" i="6"/>
  <c r="U138" i="6"/>
  <c r="J139" i="6"/>
  <c r="AK139" i="6" s="1"/>
  <c r="K139" i="6"/>
  <c r="AL139" i="6" s="1"/>
  <c r="L139" i="6"/>
  <c r="AM139" i="6" s="1"/>
  <c r="M139" i="6"/>
  <c r="N139" i="6"/>
  <c r="O139" i="6"/>
  <c r="P139" i="6"/>
  <c r="Q139" i="6"/>
  <c r="R139" i="6"/>
  <c r="S139" i="6"/>
  <c r="T139" i="6"/>
  <c r="U139" i="6"/>
  <c r="J140" i="6"/>
  <c r="AK140" i="6" s="1"/>
  <c r="K140" i="6"/>
  <c r="AL140" i="6" s="1"/>
  <c r="L140" i="6"/>
  <c r="AM140" i="6" s="1"/>
  <c r="M140" i="6"/>
  <c r="N140" i="6"/>
  <c r="O140" i="6"/>
  <c r="P140" i="6"/>
  <c r="Q140" i="6"/>
  <c r="R140" i="6"/>
  <c r="S140" i="6"/>
  <c r="T140" i="6"/>
  <c r="U140" i="6"/>
  <c r="J141" i="6"/>
  <c r="AK141" i="6" s="1"/>
  <c r="K141" i="6"/>
  <c r="AL141" i="6" s="1"/>
  <c r="L141" i="6"/>
  <c r="AM141" i="6" s="1"/>
  <c r="M141" i="6"/>
  <c r="N141" i="6"/>
  <c r="O141" i="6"/>
  <c r="P141" i="6"/>
  <c r="Q141" i="6"/>
  <c r="R141" i="6"/>
  <c r="S141" i="6"/>
  <c r="T141" i="6"/>
  <c r="U141" i="6"/>
  <c r="J142" i="6"/>
  <c r="AK142" i="6" s="1"/>
  <c r="K142" i="6"/>
  <c r="AL142" i="6" s="1"/>
  <c r="L142" i="6"/>
  <c r="AM142" i="6" s="1"/>
  <c r="M142" i="6"/>
  <c r="N142" i="6"/>
  <c r="O142" i="6"/>
  <c r="P142" i="6"/>
  <c r="Q142" i="6"/>
  <c r="R142" i="6"/>
  <c r="S142" i="6"/>
  <c r="T142" i="6"/>
  <c r="U142" i="6"/>
  <c r="J143" i="6"/>
  <c r="AK143" i="6" s="1"/>
  <c r="K143" i="6"/>
  <c r="AL143" i="6" s="1"/>
  <c r="L143" i="6"/>
  <c r="AM143" i="6" s="1"/>
  <c r="M143" i="6"/>
  <c r="N143" i="6"/>
  <c r="O143" i="6"/>
  <c r="P143" i="6"/>
  <c r="Q143" i="6"/>
  <c r="R143" i="6"/>
  <c r="S143" i="6"/>
  <c r="T143" i="6"/>
  <c r="U143" i="6"/>
  <c r="J144" i="6"/>
  <c r="AK144" i="6" s="1"/>
  <c r="K144" i="6"/>
  <c r="AL144" i="6" s="1"/>
  <c r="L144" i="6"/>
  <c r="AM144" i="6" s="1"/>
  <c r="M144" i="6"/>
  <c r="N144" i="6"/>
  <c r="O144" i="6"/>
  <c r="P144" i="6"/>
  <c r="Q144" i="6"/>
  <c r="R144" i="6"/>
  <c r="S144" i="6"/>
  <c r="T144" i="6"/>
  <c r="U144" i="6"/>
  <c r="J145" i="6"/>
  <c r="AK145" i="6" s="1"/>
  <c r="K145" i="6"/>
  <c r="AL145" i="6" s="1"/>
  <c r="L145" i="6"/>
  <c r="AM145" i="6" s="1"/>
  <c r="M145" i="6"/>
  <c r="N145" i="6"/>
  <c r="O145" i="6"/>
  <c r="P145" i="6"/>
  <c r="Q145" i="6"/>
  <c r="R145" i="6"/>
  <c r="S145" i="6"/>
  <c r="T145" i="6"/>
  <c r="U145" i="6"/>
  <c r="J146" i="6"/>
  <c r="AK146" i="6" s="1"/>
  <c r="K146" i="6"/>
  <c r="AL146" i="6" s="1"/>
  <c r="L146" i="6"/>
  <c r="AM146" i="6" s="1"/>
  <c r="M146" i="6"/>
  <c r="N146" i="6"/>
  <c r="O146" i="6"/>
  <c r="P146" i="6"/>
  <c r="Q146" i="6"/>
  <c r="R146" i="6"/>
  <c r="S146" i="6"/>
  <c r="T146" i="6"/>
  <c r="U146" i="6"/>
  <c r="J147" i="6"/>
  <c r="AK147" i="6" s="1"/>
  <c r="K147" i="6"/>
  <c r="AL147" i="6" s="1"/>
  <c r="L147" i="6"/>
  <c r="AM147" i="6" s="1"/>
  <c r="M147" i="6"/>
  <c r="N147" i="6"/>
  <c r="O147" i="6"/>
  <c r="P147" i="6"/>
  <c r="Q147" i="6"/>
  <c r="R147" i="6"/>
  <c r="S147" i="6"/>
  <c r="T147" i="6"/>
  <c r="U147" i="6"/>
  <c r="J148" i="6"/>
  <c r="AK148" i="6" s="1"/>
  <c r="K148" i="6"/>
  <c r="AL148" i="6" s="1"/>
  <c r="L148" i="6"/>
  <c r="AM148" i="6" s="1"/>
  <c r="M148" i="6"/>
  <c r="N148" i="6"/>
  <c r="O148" i="6"/>
  <c r="P148" i="6"/>
  <c r="Q148" i="6"/>
  <c r="R148" i="6"/>
  <c r="S148" i="6"/>
  <c r="T148" i="6"/>
  <c r="U148" i="6"/>
  <c r="J149" i="6"/>
  <c r="AK149" i="6" s="1"/>
  <c r="K149" i="6"/>
  <c r="AL149" i="6" s="1"/>
  <c r="L149" i="6"/>
  <c r="AM149" i="6" s="1"/>
  <c r="M149" i="6"/>
  <c r="N149" i="6"/>
  <c r="O149" i="6"/>
  <c r="P149" i="6"/>
  <c r="Q149" i="6"/>
  <c r="R149" i="6"/>
  <c r="S149" i="6"/>
  <c r="T149" i="6"/>
  <c r="U149" i="6"/>
  <c r="J150" i="6"/>
  <c r="AK150" i="6" s="1"/>
  <c r="K150" i="6"/>
  <c r="AL150" i="6" s="1"/>
  <c r="L150" i="6"/>
  <c r="AM150" i="6" s="1"/>
  <c r="M150" i="6"/>
  <c r="N150" i="6"/>
  <c r="O150" i="6"/>
  <c r="P150" i="6"/>
  <c r="Q150" i="6"/>
  <c r="R150" i="6"/>
  <c r="S150" i="6"/>
  <c r="T150" i="6"/>
  <c r="U150" i="6"/>
  <c r="J151" i="6"/>
  <c r="AK151" i="6" s="1"/>
  <c r="K151" i="6"/>
  <c r="AL151" i="6" s="1"/>
  <c r="L151" i="6"/>
  <c r="AM151" i="6" s="1"/>
  <c r="M151" i="6"/>
  <c r="N151" i="6"/>
  <c r="O151" i="6"/>
  <c r="P151" i="6"/>
  <c r="Q151" i="6"/>
  <c r="R151" i="6"/>
  <c r="S151" i="6"/>
  <c r="T151" i="6"/>
  <c r="U151" i="6"/>
  <c r="J152" i="6"/>
  <c r="AK152" i="6" s="1"/>
  <c r="K152" i="6"/>
  <c r="AL152" i="6" s="1"/>
  <c r="L152" i="6"/>
  <c r="AM152" i="6" s="1"/>
  <c r="M152" i="6"/>
  <c r="N152" i="6"/>
  <c r="O152" i="6"/>
  <c r="P152" i="6"/>
  <c r="Q152" i="6"/>
  <c r="R152" i="6"/>
  <c r="S152" i="6"/>
  <c r="T152" i="6"/>
  <c r="U152" i="6"/>
  <c r="J153" i="6"/>
  <c r="AK153" i="6" s="1"/>
  <c r="K153" i="6"/>
  <c r="AL153" i="6" s="1"/>
  <c r="L153" i="6"/>
  <c r="AM153" i="6" s="1"/>
  <c r="M153" i="6"/>
  <c r="N153" i="6"/>
  <c r="O153" i="6"/>
  <c r="P153" i="6"/>
  <c r="Q153" i="6"/>
  <c r="R153" i="6"/>
  <c r="S153" i="6"/>
  <c r="T153" i="6"/>
  <c r="U153" i="6"/>
  <c r="J154" i="6"/>
  <c r="AK154" i="6" s="1"/>
  <c r="K154" i="6"/>
  <c r="AL154" i="6" s="1"/>
  <c r="L154" i="6"/>
  <c r="AM154" i="6" s="1"/>
  <c r="M154" i="6"/>
  <c r="N154" i="6"/>
  <c r="O154" i="6"/>
  <c r="P154" i="6"/>
  <c r="Q154" i="6"/>
  <c r="R154" i="6"/>
  <c r="S154" i="6"/>
  <c r="T154" i="6"/>
  <c r="U154" i="6"/>
  <c r="J155" i="6"/>
  <c r="AK155" i="6" s="1"/>
  <c r="K155" i="6"/>
  <c r="AL155" i="6" s="1"/>
  <c r="L155" i="6"/>
  <c r="M155" i="6"/>
  <c r="N155" i="6"/>
  <c r="O155" i="6"/>
  <c r="P155" i="6"/>
  <c r="Q155" i="6"/>
  <c r="R155" i="6"/>
  <c r="S155" i="6"/>
  <c r="T155" i="6"/>
  <c r="U155" i="6"/>
  <c r="J156" i="6"/>
  <c r="AK156" i="6" s="1"/>
  <c r="K156" i="6"/>
  <c r="AL156" i="6" s="1"/>
  <c r="L156" i="6"/>
  <c r="AM156" i="6" s="1"/>
  <c r="M156" i="6"/>
  <c r="N156" i="6"/>
  <c r="O156" i="6"/>
  <c r="P156" i="6"/>
  <c r="Q156" i="6"/>
  <c r="R156" i="6"/>
  <c r="S156" i="6"/>
  <c r="T156" i="6"/>
  <c r="U156" i="6"/>
  <c r="J157" i="6"/>
  <c r="AK157" i="6" s="1"/>
  <c r="K157" i="6"/>
  <c r="AL157" i="6" s="1"/>
  <c r="L157" i="6"/>
  <c r="AM157" i="6" s="1"/>
  <c r="M157" i="6"/>
  <c r="N157" i="6"/>
  <c r="O157" i="6"/>
  <c r="P157" i="6"/>
  <c r="Q157" i="6"/>
  <c r="R157" i="6"/>
  <c r="S157" i="6"/>
  <c r="T157" i="6"/>
  <c r="U157" i="6"/>
  <c r="J158" i="6"/>
  <c r="AK158" i="6" s="1"/>
  <c r="K158" i="6"/>
  <c r="AL158" i="6" s="1"/>
  <c r="L158" i="6"/>
  <c r="AM158" i="6" s="1"/>
  <c r="M158" i="6"/>
  <c r="N158" i="6"/>
  <c r="O158" i="6"/>
  <c r="P158" i="6"/>
  <c r="Q158" i="6"/>
  <c r="R158" i="6"/>
  <c r="S158" i="6"/>
  <c r="T158" i="6"/>
  <c r="U158" i="6"/>
  <c r="J159" i="6"/>
  <c r="AK159" i="6" s="1"/>
  <c r="K159" i="6"/>
  <c r="AL159" i="6" s="1"/>
  <c r="L159" i="6"/>
  <c r="AM159" i="6" s="1"/>
  <c r="M159" i="6"/>
  <c r="N159" i="6"/>
  <c r="O159" i="6"/>
  <c r="P159" i="6"/>
  <c r="Q159" i="6"/>
  <c r="R159" i="6"/>
  <c r="S159" i="6"/>
  <c r="T159" i="6"/>
  <c r="U159" i="6"/>
  <c r="J160" i="6"/>
  <c r="AK160" i="6" s="1"/>
  <c r="K160" i="6"/>
  <c r="AL160" i="6" s="1"/>
  <c r="L160" i="6"/>
  <c r="AM160" i="6" s="1"/>
  <c r="M160" i="6"/>
  <c r="N160" i="6"/>
  <c r="O160" i="6"/>
  <c r="P160" i="6"/>
  <c r="Q160" i="6"/>
  <c r="R160" i="6"/>
  <c r="S160" i="6"/>
  <c r="T160" i="6"/>
  <c r="U160" i="6"/>
  <c r="J161" i="6"/>
  <c r="AK161" i="6" s="1"/>
  <c r="K161" i="6"/>
  <c r="AL161" i="6" s="1"/>
  <c r="L161" i="6"/>
  <c r="AM161" i="6" s="1"/>
  <c r="M161" i="6"/>
  <c r="N161" i="6"/>
  <c r="O161" i="6"/>
  <c r="P161" i="6"/>
  <c r="Q161" i="6"/>
  <c r="R161" i="6"/>
  <c r="S161" i="6"/>
  <c r="T161" i="6"/>
  <c r="U161" i="6"/>
  <c r="J162" i="6"/>
  <c r="AK162" i="6" s="1"/>
  <c r="K162" i="6"/>
  <c r="AL162" i="6" s="1"/>
  <c r="L162" i="6"/>
  <c r="M162" i="6"/>
  <c r="N162" i="6"/>
  <c r="O162" i="6"/>
  <c r="P162" i="6"/>
  <c r="Q162" i="6"/>
  <c r="R162" i="6"/>
  <c r="S162" i="6"/>
  <c r="T162" i="6"/>
  <c r="U162" i="6"/>
  <c r="J163" i="6"/>
  <c r="AK163" i="6" s="1"/>
  <c r="K163" i="6"/>
  <c r="AL163" i="6" s="1"/>
  <c r="L163" i="6"/>
  <c r="M163" i="6"/>
  <c r="N163" i="6"/>
  <c r="O163" i="6"/>
  <c r="P163" i="6"/>
  <c r="Q163" i="6"/>
  <c r="R163" i="6"/>
  <c r="S163" i="6"/>
  <c r="T163" i="6"/>
  <c r="U163" i="6"/>
  <c r="J164" i="6"/>
  <c r="AK164" i="6" s="1"/>
  <c r="K164" i="6"/>
  <c r="AL164" i="6" s="1"/>
  <c r="L164" i="6"/>
  <c r="AM164" i="6" s="1"/>
  <c r="M164" i="6"/>
  <c r="N164" i="6"/>
  <c r="O164" i="6"/>
  <c r="P164" i="6"/>
  <c r="Q164" i="6"/>
  <c r="R164" i="6"/>
  <c r="S164" i="6"/>
  <c r="T164" i="6"/>
  <c r="U164" i="6"/>
  <c r="J165" i="6"/>
  <c r="AK165" i="6" s="1"/>
  <c r="K165" i="6"/>
  <c r="AL165" i="6" s="1"/>
  <c r="L165" i="6"/>
  <c r="AM165" i="6" s="1"/>
  <c r="M165" i="6"/>
  <c r="N165" i="6"/>
  <c r="O165" i="6"/>
  <c r="P165" i="6"/>
  <c r="Q165" i="6"/>
  <c r="R165" i="6"/>
  <c r="S165" i="6"/>
  <c r="T165" i="6"/>
  <c r="U165" i="6"/>
  <c r="J166" i="6"/>
  <c r="AK166" i="6" s="1"/>
  <c r="K166" i="6"/>
  <c r="AL166" i="6" s="1"/>
  <c r="L166" i="6"/>
  <c r="AM166" i="6" s="1"/>
  <c r="M166" i="6"/>
  <c r="N166" i="6"/>
  <c r="O166" i="6"/>
  <c r="P166" i="6"/>
  <c r="Q166" i="6"/>
  <c r="R166" i="6"/>
  <c r="S166" i="6"/>
  <c r="T166" i="6"/>
  <c r="U166" i="6"/>
  <c r="J167" i="6"/>
  <c r="AK167" i="6" s="1"/>
  <c r="K167" i="6"/>
  <c r="AL167" i="6" s="1"/>
  <c r="L167" i="6"/>
  <c r="AM167" i="6" s="1"/>
  <c r="M167" i="6"/>
  <c r="N167" i="6"/>
  <c r="O167" i="6"/>
  <c r="P167" i="6"/>
  <c r="Q167" i="6"/>
  <c r="R167" i="6"/>
  <c r="S167" i="6"/>
  <c r="T167" i="6"/>
  <c r="U167" i="6"/>
  <c r="J168" i="6"/>
  <c r="AK168" i="6" s="1"/>
  <c r="K168" i="6"/>
  <c r="AL168" i="6" s="1"/>
  <c r="L168" i="6"/>
  <c r="AM168" i="6" s="1"/>
  <c r="M168" i="6"/>
  <c r="N168" i="6"/>
  <c r="O168" i="6"/>
  <c r="P168" i="6"/>
  <c r="Q168" i="6"/>
  <c r="R168" i="6"/>
  <c r="S168" i="6"/>
  <c r="T168" i="6"/>
  <c r="U168" i="6"/>
  <c r="J169" i="6"/>
  <c r="AK169" i="6" s="1"/>
  <c r="K169" i="6"/>
  <c r="AL169" i="6" s="1"/>
  <c r="L169" i="6"/>
  <c r="M169" i="6"/>
  <c r="N169" i="6"/>
  <c r="O169" i="6"/>
  <c r="P169" i="6"/>
  <c r="Q169" i="6"/>
  <c r="R169" i="6"/>
  <c r="S169" i="6"/>
  <c r="T169" i="6"/>
  <c r="U169" i="6"/>
  <c r="J170" i="6"/>
  <c r="AK170" i="6" s="1"/>
  <c r="K170" i="6"/>
  <c r="AL170" i="6" s="1"/>
  <c r="L170" i="6"/>
  <c r="AM170" i="6" s="1"/>
  <c r="M170" i="6"/>
  <c r="N170" i="6"/>
  <c r="O170" i="6"/>
  <c r="P170" i="6"/>
  <c r="Q170" i="6"/>
  <c r="R170" i="6"/>
  <c r="S170" i="6"/>
  <c r="T170" i="6"/>
  <c r="U170" i="6"/>
  <c r="J171" i="6"/>
  <c r="AK171" i="6" s="1"/>
  <c r="K171" i="6"/>
  <c r="AL171" i="6" s="1"/>
  <c r="L171" i="6"/>
  <c r="AM171" i="6" s="1"/>
  <c r="M171" i="6"/>
  <c r="N171" i="6"/>
  <c r="O171" i="6"/>
  <c r="P171" i="6"/>
  <c r="Q171" i="6"/>
  <c r="R171" i="6"/>
  <c r="S171" i="6"/>
  <c r="T171" i="6"/>
  <c r="U171" i="6"/>
  <c r="J172" i="6"/>
  <c r="AK172" i="6" s="1"/>
  <c r="K172" i="6"/>
  <c r="AL172" i="6" s="1"/>
  <c r="L172" i="6"/>
  <c r="M172" i="6"/>
  <c r="N172" i="6"/>
  <c r="O172" i="6"/>
  <c r="P172" i="6"/>
  <c r="Q172" i="6"/>
  <c r="R172" i="6"/>
  <c r="S172" i="6"/>
  <c r="T172" i="6"/>
  <c r="U172" i="6"/>
  <c r="J173" i="6"/>
  <c r="AK173" i="6" s="1"/>
  <c r="K173" i="6"/>
  <c r="AL173" i="6" s="1"/>
  <c r="L173" i="6"/>
  <c r="AM173" i="6" s="1"/>
  <c r="M173" i="6"/>
  <c r="N173" i="6"/>
  <c r="O173" i="6"/>
  <c r="P173" i="6"/>
  <c r="Q173" i="6"/>
  <c r="R173" i="6"/>
  <c r="S173" i="6"/>
  <c r="T173" i="6"/>
  <c r="U173" i="6"/>
  <c r="J174" i="6"/>
  <c r="AK174" i="6" s="1"/>
  <c r="K174" i="6"/>
  <c r="AL174" i="6" s="1"/>
  <c r="L174" i="6"/>
  <c r="AM174" i="6" s="1"/>
  <c r="M174" i="6"/>
  <c r="N174" i="6"/>
  <c r="O174" i="6"/>
  <c r="P174" i="6"/>
  <c r="Q174" i="6"/>
  <c r="R174" i="6"/>
  <c r="S174" i="6"/>
  <c r="T174" i="6"/>
  <c r="U174" i="6"/>
  <c r="J175" i="6"/>
  <c r="AK175" i="6" s="1"/>
  <c r="K175" i="6"/>
  <c r="AL175" i="6" s="1"/>
  <c r="L175" i="6"/>
  <c r="AM175" i="6" s="1"/>
  <c r="M175" i="6"/>
  <c r="N175" i="6"/>
  <c r="O175" i="6"/>
  <c r="P175" i="6"/>
  <c r="Q175" i="6"/>
  <c r="R175" i="6"/>
  <c r="S175" i="6"/>
  <c r="T175" i="6"/>
  <c r="U175" i="6"/>
  <c r="J176" i="6"/>
  <c r="AK176" i="6" s="1"/>
  <c r="K176" i="6"/>
  <c r="AL176" i="6" s="1"/>
  <c r="L176" i="6"/>
  <c r="AM176" i="6" s="1"/>
  <c r="M176" i="6"/>
  <c r="N176" i="6"/>
  <c r="O176" i="6"/>
  <c r="P176" i="6"/>
  <c r="Q176" i="6"/>
  <c r="R176" i="6"/>
  <c r="S176" i="6"/>
  <c r="T176" i="6"/>
  <c r="U176" i="6"/>
  <c r="J177" i="6"/>
  <c r="AK177" i="6" s="1"/>
  <c r="K177" i="6"/>
  <c r="AL177" i="6" s="1"/>
  <c r="L177" i="6"/>
  <c r="AM177" i="6" s="1"/>
  <c r="M177" i="6"/>
  <c r="N177" i="6"/>
  <c r="O177" i="6"/>
  <c r="P177" i="6"/>
  <c r="Q177" i="6"/>
  <c r="R177" i="6"/>
  <c r="S177" i="6"/>
  <c r="T177" i="6"/>
  <c r="U177" i="6"/>
  <c r="J178" i="6"/>
  <c r="AK178" i="6" s="1"/>
  <c r="K178" i="6"/>
  <c r="AL178" i="6" s="1"/>
  <c r="L178" i="6"/>
  <c r="M178" i="6"/>
  <c r="N178" i="6"/>
  <c r="O178" i="6"/>
  <c r="P178" i="6"/>
  <c r="Q178" i="6"/>
  <c r="R178" i="6"/>
  <c r="S178" i="6"/>
  <c r="T178" i="6"/>
  <c r="U178" i="6"/>
  <c r="J179" i="6"/>
  <c r="AK179" i="6" s="1"/>
  <c r="K179" i="6"/>
  <c r="L179" i="6"/>
  <c r="AM179" i="6" s="1"/>
  <c r="M179" i="6"/>
  <c r="N179" i="6"/>
  <c r="O179" i="6"/>
  <c r="P179" i="6"/>
  <c r="Q179" i="6"/>
  <c r="R179" i="6"/>
  <c r="S179" i="6"/>
  <c r="T179" i="6"/>
  <c r="U179" i="6"/>
  <c r="J180" i="6"/>
  <c r="AK180" i="6" s="1"/>
  <c r="K180" i="6"/>
  <c r="AL180" i="6" s="1"/>
  <c r="L180" i="6"/>
  <c r="AM180" i="6" s="1"/>
  <c r="M180" i="6"/>
  <c r="N180" i="6"/>
  <c r="O180" i="6"/>
  <c r="P180" i="6"/>
  <c r="Q180" i="6"/>
  <c r="R180" i="6"/>
  <c r="S180" i="6"/>
  <c r="T180" i="6"/>
  <c r="U180" i="6"/>
  <c r="J181" i="6"/>
  <c r="AK181" i="6" s="1"/>
  <c r="K181" i="6"/>
  <c r="AL181" i="6" s="1"/>
  <c r="L181" i="6"/>
  <c r="AM181" i="6" s="1"/>
  <c r="M181" i="6"/>
  <c r="N181" i="6"/>
  <c r="O181" i="6"/>
  <c r="P181" i="6"/>
  <c r="Q181" i="6"/>
  <c r="R181" i="6"/>
  <c r="S181" i="6"/>
  <c r="T181" i="6"/>
  <c r="U181" i="6"/>
  <c r="J182" i="6"/>
  <c r="AK182" i="6" s="1"/>
  <c r="K182" i="6"/>
  <c r="AL182" i="6" s="1"/>
  <c r="L182" i="6"/>
  <c r="AM182" i="6" s="1"/>
  <c r="M182" i="6"/>
  <c r="N182" i="6"/>
  <c r="O182" i="6"/>
  <c r="P182" i="6"/>
  <c r="Q182" i="6"/>
  <c r="R182" i="6"/>
  <c r="S182" i="6"/>
  <c r="T182" i="6"/>
  <c r="U182" i="6"/>
  <c r="J183" i="6"/>
  <c r="AK183" i="6" s="1"/>
  <c r="K183" i="6"/>
  <c r="AL183" i="6" s="1"/>
  <c r="L183" i="6"/>
  <c r="AM183" i="6" s="1"/>
  <c r="M183" i="6"/>
  <c r="N183" i="6"/>
  <c r="O183" i="6"/>
  <c r="P183" i="6"/>
  <c r="Q183" i="6"/>
  <c r="R183" i="6"/>
  <c r="S183" i="6"/>
  <c r="T183" i="6"/>
  <c r="U183" i="6"/>
  <c r="J184" i="6"/>
  <c r="AK184" i="6" s="1"/>
  <c r="K184" i="6"/>
  <c r="AL184" i="6" s="1"/>
  <c r="L184" i="6"/>
  <c r="AM184" i="6" s="1"/>
  <c r="M184" i="6"/>
  <c r="N184" i="6"/>
  <c r="O184" i="6"/>
  <c r="P184" i="6"/>
  <c r="Q184" i="6"/>
  <c r="R184" i="6"/>
  <c r="S184" i="6"/>
  <c r="T184" i="6"/>
  <c r="U184" i="6"/>
  <c r="J185" i="6"/>
  <c r="AK185" i="6" s="1"/>
  <c r="K185" i="6"/>
  <c r="AL185" i="6" s="1"/>
  <c r="L185" i="6"/>
  <c r="AM185" i="6" s="1"/>
  <c r="M185" i="6"/>
  <c r="N185" i="6"/>
  <c r="O185" i="6"/>
  <c r="P185" i="6"/>
  <c r="Q185" i="6"/>
  <c r="R185" i="6"/>
  <c r="S185" i="6"/>
  <c r="T185" i="6"/>
  <c r="U185" i="6"/>
  <c r="J186" i="6"/>
  <c r="AK186" i="6" s="1"/>
  <c r="K186" i="6"/>
  <c r="AL186" i="6" s="1"/>
  <c r="L186" i="6"/>
  <c r="AM186" i="6" s="1"/>
  <c r="M186" i="6"/>
  <c r="N186" i="6"/>
  <c r="O186" i="6"/>
  <c r="P186" i="6"/>
  <c r="Q186" i="6"/>
  <c r="R186" i="6"/>
  <c r="S186" i="6"/>
  <c r="T186" i="6"/>
  <c r="U186" i="6"/>
  <c r="J187" i="6"/>
  <c r="AK187" i="6" s="1"/>
  <c r="K187" i="6"/>
  <c r="AL187" i="6" s="1"/>
  <c r="L187" i="6"/>
  <c r="AM187" i="6" s="1"/>
  <c r="M187" i="6"/>
  <c r="N187" i="6"/>
  <c r="O187" i="6"/>
  <c r="P187" i="6"/>
  <c r="Q187" i="6"/>
  <c r="R187" i="6"/>
  <c r="S187" i="6"/>
  <c r="T187" i="6"/>
  <c r="U187" i="6"/>
  <c r="J188" i="6"/>
  <c r="AK188" i="6" s="1"/>
  <c r="K188" i="6"/>
  <c r="AL188" i="6" s="1"/>
  <c r="L188" i="6"/>
  <c r="AM188" i="6" s="1"/>
  <c r="M188" i="6"/>
  <c r="N188" i="6"/>
  <c r="O188" i="6"/>
  <c r="P188" i="6"/>
  <c r="Q188" i="6"/>
  <c r="R188" i="6"/>
  <c r="S188" i="6"/>
  <c r="T188" i="6"/>
  <c r="U188" i="6"/>
  <c r="J189" i="6"/>
  <c r="AK189" i="6" s="1"/>
  <c r="K189" i="6"/>
  <c r="AL189" i="6" s="1"/>
  <c r="L189" i="6"/>
  <c r="AM189" i="6" s="1"/>
  <c r="M189" i="6"/>
  <c r="N189" i="6"/>
  <c r="O189" i="6"/>
  <c r="P189" i="6"/>
  <c r="Q189" i="6"/>
  <c r="R189" i="6"/>
  <c r="S189" i="6"/>
  <c r="T189" i="6"/>
  <c r="U189" i="6"/>
  <c r="J190" i="6"/>
  <c r="AK190" i="6" s="1"/>
  <c r="K190" i="6"/>
  <c r="AL190" i="6" s="1"/>
  <c r="L190" i="6"/>
  <c r="AM190" i="6" s="1"/>
  <c r="M190" i="6"/>
  <c r="N190" i="6"/>
  <c r="O190" i="6"/>
  <c r="P190" i="6"/>
  <c r="Q190" i="6"/>
  <c r="R190" i="6"/>
  <c r="S190" i="6"/>
  <c r="T190" i="6"/>
  <c r="U190" i="6"/>
  <c r="J191" i="6"/>
  <c r="AK191" i="6" s="1"/>
  <c r="K191" i="6"/>
  <c r="AL191" i="6" s="1"/>
  <c r="L191" i="6"/>
  <c r="AM191" i="6" s="1"/>
  <c r="M191" i="6"/>
  <c r="N191" i="6"/>
  <c r="O191" i="6"/>
  <c r="P191" i="6"/>
  <c r="Q191" i="6"/>
  <c r="R191" i="6"/>
  <c r="S191" i="6"/>
  <c r="T191" i="6"/>
  <c r="U191" i="6"/>
  <c r="J192" i="6"/>
  <c r="AK192" i="6" s="1"/>
  <c r="K192" i="6"/>
  <c r="AL192" i="6" s="1"/>
  <c r="L192" i="6"/>
  <c r="AM192" i="6" s="1"/>
  <c r="M192" i="6"/>
  <c r="N192" i="6"/>
  <c r="O192" i="6"/>
  <c r="P192" i="6"/>
  <c r="Q192" i="6"/>
  <c r="R192" i="6"/>
  <c r="S192" i="6"/>
  <c r="T192" i="6"/>
  <c r="U192" i="6"/>
  <c r="J193" i="6"/>
  <c r="AK193" i="6" s="1"/>
  <c r="K193" i="6"/>
  <c r="AL193" i="6" s="1"/>
  <c r="L193" i="6"/>
  <c r="AM193" i="6" s="1"/>
  <c r="M193" i="6"/>
  <c r="N193" i="6"/>
  <c r="O193" i="6"/>
  <c r="P193" i="6"/>
  <c r="Q193" i="6"/>
  <c r="R193" i="6"/>
  <c r="S193" i="6"/>
  <c r="T193" i="6"/>
  <c r="U193" i="6"/>
  <c r="J194" i="6"/>
  <c r="AK194" i="6" s="1"/>
  <c r="K194" i="6"/>
  <c r="AL194" i="6" s="1"/>
  <c r="L194" i="6"/>
  <c r="AM194" i="6" s="1"/>
  <c r="M194" i="6"/>
  <c r="N194" i="6"/>
  <c r="O194" i="6"/>
  <c r="P194" i="6"/>
  <c r="Q194" i="6"/>
  <c r="R194" i="6"/>
  <c r="S194" i="6"/>
  <c r="T194" i="6"/>
  <c r="U194" i="6"/>
  <c r="J195" i="6"/>
  <c r="AK195" i="6" s="1"/>
  <c r="K195" i="6"/>
  <c r="AL195" i="6" s="1"/>
  <c r="L195" i="6"/>
  <c r="AM195" i="6" s="1"/>
  <c r="M195" i="6"/>
  <c r="N195" i="6"/>
  <c r="O195" i="6"/>
  <c r="P195" i="6"/>
  <c r="Q195" i="6"/>
  <c r="R195" i="6"/>
  <c r="S195" i="6"/>
  <c r="T195" i="6"/>
  <c r="U195" i="6"/>
  <c r="J196" i="6"/>
  <c r="K196" i="6"/>
  <c r="L196" i="6"/>
  <c r="M196" i="6"/>
  <c r="N196" i="6"/>
  <c r="O196" i="6"/>
  <c r="P196" i="6"/>
  <c r="Q196" i="6"/>
  <c r="R196" i="6"/>
  <c r="J197" i="6"/>
  <c r="AK197" i="6" s="1"/>
  <c r="K197" i="6"/>
  <c r="AL197" i="6" s="1"/>
  <c r="L197" i="6"/>
  <c r="AM197" i="6" s="1"/>
  <c r="M197" i="6"/>
  <c r="N197" i="6"/>
  <c r="O197" i="6"/>
  <c r="P197" i="6"/>
  <c r="Q197" i="6"/>
  <c r="R197" i="6"/>
  <c r="S197" i="6"/>
  <c r="T197" i="6"/>
  <c r="U197" i="6"/>
  <c r="J198" i="6"/>
  <c r="AK198" i="6" s="1"/>
  <c r="K198" i="6"/>
  <c r="AL198" i="6" s="1"/>
  <c r="L198" i="6"/>
  <c r="M198" i="6"/>
  <c r="N198" i="6"/>
  <c r="O198" i="6"/>
  <c r="P198" i="6"/>
  <c r="Q198" i="6"/>
  <c r="R198" i="6"/>
  <c r="S198" i="6"/>
  <c r="T198" i="6"/>
  <c r="U198" i="6"/>
  <c r="J199" i="6"/>
  <c r="AK199" i="6" s="1"/>
  <c r="K199" i="6"/>
  <c r="L199" i="6"/>
  <c r="AM199" i="6" s="1"/>
  <c r="M199" i="6"/>
  <c r="N199" i="6"/>
  <c r="O199" i="6"/>
  <c r="P199" i="6"/>
  <c r="Q199" i="6"/>
  <c r="R199" i="6"/>
  <c r="S199" i="6"/>
  <c r="T199" i="6"/>
  <c r="U199" i="6"/>
  <c r="J200" i="6"/>
  <c r="AK200" i="6" s="1"/>
  <c r="K200" i="6"/>
  <c r="AL200" i="6" s="1"/>
  <c r="L200" i="6"/>
  <c r="AM200" i="6" s="1"/>
  <c r="M200" i="6"/>
  <c r="N200" i="6"/>
  <c r="O200" i="6"/>
  <c r="P200" i="6"/>
  <c r="Q200" i="6"/>
  <c r="R200" i="6"/>
  <c r="S200" i="6"/>
  <c r="T200" i="6"/>
  <c r="U200" i="6"/>
  <c r="J201" i="6"/>
  <c r="AK201" i="6" s="1"/>
  <c r="K201" i="6"/>
  <c r="AL201" i="6" s="1"/>
  <c r="L201" i="6"/>
  <c r="AM201" i="6" s="1"/>
  <c r="M201" i="6"/>
  <c r="N201" i="6"/>
  <c r="O201" i="6"/>
  <c r="P201" i="6"/>
  <c r="Q201" i="6"/>
  <c r="R201" i="6"/>
  <c r="S201" i="6"/>
  <c r="T201" i="6"/>
  <c r="U201" i="6"/>
  <c r="J202" i="6"/>
  <c r="AK202" i="6" s="1"/>
  <c r="K202" i="6"/>
  <c r="AL202" i="6" s="1"/>
  <c r="L202" i="6"/>
  <c r="AM202" i="6" s="1"/>
  <c r="M202" i="6"/>
  <c r="N202" i="6"/>
  <c r="O202" i="6"/>
  <c r="P202" i="6"/>
  <c r="Q202" i="6"/>
  <c r="R202" i="6"/>
  <c r="S202" i="6"/>
  <c r="T202" i="6"/>
  <c r="U202" i="6"/>
  <c r="J203" i="6"/>
  <c r="AK203" i="6" s="1"/>
  <c r="K203" i="6"/>
  <c r="AL203" i="6" s="1"/>
  <c r="L203" i="6"/>
  <c r="AM203" i="6" s="1"/>
  <c r="M203" i="6"/>
  <c r="N203" i="6"/>
  <c r="O203" i="6"/>
  <c r="P203" i="6"/>
  <c r="Q203" i="6"/>
  <c r="R203" i="6"/>
  <c r="S203" i="6"/>
  <c r="T203" i="6"/>
  <c r="U203" i="6"/>
  <c r="J204" i="6"/>
  <c r="AK204" i="6" s="1"/>
  <c r="K204" i="6"/>
  <c r="AL204" i="6" s="1"/>
  <c r="L204" i="6"/>
  <c r="AM204" i="6" s="1"/>
  <c r="M204" i="6"/>
  <c r="N204" i="6"/>
  <c r="O204" i="6"/>
  <c r="P204" i="6"/>
  <c r="Q204" i="6"/>
  <c r="R204" i="6"/>
  <c r="S204" i="6"/>
  <c r="T204" i="6"/>
  <c r="U204" i="6"/>
  <c r="J205" i="6"/>
  <c r="AK205" i="6" s="1"/>
  <c r="K205" i="6"/>
  <c r="AL205" i="6" s="1"/>
  <c r="L205" i="6"/>
  <c r="AM205" i="6" s="1"/>
  <c r="M205" i="6"/>
  <c r="N205" i="6"/>
  <c r="O205" i="6"/>
  <c r="P205" i="6"/>
  <c r="Q205" i="6"/>
  <c r="R205" i="6"/>
  <c r="S205" i="6"/>
  <c r="T205" i="6"/>
  <c r="U205" i="6"/>
  <c r="J206" i="6"/>
  <c r="AK206" i="6" s="1"/>
  <c r="K206" i="6"/>
  <c r="AL206" i="6" s="1"/>
  <c r="L206" i="6"/>
  <c r="AM206" i="6" s="1"/>
  <c r="M206" i="6"/>
  <c r="N206" i="6"/>
  <c r="O206" i="6"/>
  <c r="P206" i="6"/>
  <c r="Q206" i="6"/>
  <c r="R206" i="6"/>
  <c r="S206" i="6"/>
  <c r="T206" i="6"/>
  <c r="U206" i="6"/>
  <c r="J207" i="6"/>
  <c r="AK207" i="6" s="1"/>
  <c r="K207" i="6"/>
  <c r="AL207" i="6" s="1"/>
  <c r="L207" i="6"/>
  <c r="AM207" i="6" s="1"/>
  <c r="M207" i="6"/>
  <c r="N207" i="6"/>
  <c r="O207" i="6"/>
  <c r="P207" i="6"/>
  <c r="Q207" i="6"/>
  <c r="R207" i="6"/>
  <c r="S207" i="6"/>
  <c r="T207" i="6"/>
  <c r="U207" i="6"/>
  <c r="J208" i="6"/>
  <c r="AK208" i="6" s="1"/>
  <c r="K208" i="6"/>
  <c r="L208" i="6"/>
  <c r="AM208" i="6" s="1"/>
  <c r="M208" i="6"/>
  <c r="N208" i="6"/>
  <c r="O208" i="6"/>
  <c r="P208" i="6"/>
  <c r="Q208" i="6"/>
  <c r="R208" i="6"/>
  <c r="S208" i="6"/>
  <c r="T208" i="6"/>
  <c r="U208" i="6"/>
  <c r="J209" i="6"/>
  <c r="AK209" i="6" s="1"/>
  <c r="K209" i="6"/>
  <c r="AL209" i="6" s="1"/>
  <c r="L209" i="6"/>
  <c r="AM209" i="6" s="1"/>
  <c r="M209" i="6"/>
  <c r="N209" i="6"/>
  <c r="O209" i="6"/>
  <c r="P209" i="6"/>
  <c r="Q209" i="6"/>
  <c r="R209" i="6"/>
  <c r="S209" i="6"/>
  <c r="T209" i="6"/>
  <c r="U209" i="6"/>
  <c r="J210" i="6"/>
  <c r="AK210" i="6" s="1"/>
  <c r="K210" i="6"/>
  <c r="AL210" i="6" s="1"/>
  <c r="L210" i="6"/>
  <c r="AM210" i="6" s="1"/>
  <c r="M210" i="6"/>
  <c r="N210" i="6"/>
  <c r="O210" i="6"/>
  <c r="P210" i="6"/>
  <c r="Q210" i="6"/>
  <c r="R210" i="6"/>
  <c r="S210" i="6"/>
  <c r="T210" i="6"/>
  <c r="U210" i="6"/>
  <c r="J211" i="6"/>
  <c r="AK211" i="6" s="1"/>
  <c r="K211" i="6"/>
  <c r="AL211" i="6" s="1"/>
  <c r="L211" i="6"/>
  <c r="AM211" i="6" s="1"/>
  <c r="M211" i="6"/>
  <c r="N211" i="6"/>
  <c r="O211" i="6"/>
  <c r="P211" i="6"/>
  <c r="Q211" i="6"/>
  <c r="R211" i="6"/>
  <c r="S211" i="6"/>
  <c r="T211" i="6"/>
  <c r="U211" i="6"/>
  <c r="J212" i="6"/>
  <c r="AK212" i="6" s="1"/>
  <c r="K212" i="6"/>
  <c r="AL212" i="6" s="1"/>
  <c r="L212" i="6"/>
  <c r="AM212" i="6" s="1"/>
  <c r="M212" i="6"/>
  <c r="N212" i="6"/>
  <c r="O212" i="6"/>
  <c r="P212" i="6"/>
  <c r="Q212" i="6"/>
  <c r="R212" i="6"/>
  <c r="S212" i="6"/>
  <c r="T212" i="6"/>
  <c r="U212" i="6"/>
  <c r="J213" i="6"/>
  <c r="AK213" i="6" s="1"/>
  <c r="K213" i="6"/>
  <c r="AL213" i="6" s="1"/>
  <c r="L213" i="6"/>
  <c r="AM213" i="6" s="1"/>
  <c r="M213" i="6"/>
  <c r="N213" i="6"/>
  <c r="O213" i="6"/>
  <c r="P213" i="6"/>
  <c r="Q213" i="6"/>
  <c r="R213" i="6"/>
  <c r="S213" i="6"/>
  <c r="T213" i="6"/>
  <c r="U213" i="6"/>
  <c r="J214" i="6"/>
  <c r="AK214" i="6" s="1"/>
  <c r="K214" i="6"/>
  <c r="AL214" i="6" s="1"/>
  <c r="L214" i="6"/>
  <c r="AM214" i="6" s="1"/>
  <c r="M214" i="6"/>
  <c r="N214" i="6"/>
  <c r="O214" i="6"/>
  <c r="P214" i="6"/>
  <c r="Q214" i="6"/>
  <c r="R214" i="6"/>
  <c r="S214" i="6"/>
  <c r="T214" i="6"/>
  <c r="U214" i="6"/>
  <c r="J215" i="6"/>
  <c r="AK215" i="6" s="1"/>
  <c r="K215" i="6"/>
  <c r="AL215" i="6" s="1"/>
  <c r="L215" i="6"/>
  <c r="AM215" i="6" s="1"/>
  <c r="M215" i="6"/>
  <c r="N215" i="6"/>
  <c r="O215" i="6"/>
  <c r="P215" i="6"/>
  <c r="Q215" i="6"/>
  <c r="R215" i="6"/>
  <c r="S215" i="6"/>
  <c r="T215" i="6"/>
  <c r="U215" i="6"/>
  <c r="J216" i="6"/>
  <c r="AK216" i="6" s="1"/>
  <c r="K216" i="6"/>
  <c r="AL216" i="6" s="1"/>
  <c r="L216" i="6"/>
  <c r="AM216" i="6" s="1"/>
  <c r="M216" i="6"/>
  <c r="N216" i="6"/>
  <c r="O216" i="6"/>
  <c r="P216" i="6"/>
  <c r="Q216" i="6"/>
  <c r="R216" i="6"/>
  <c r="S216" i="6"/>
  <c r="T216" i="6"/>
  <c r="U216" i="6"/>
  <c r="J217" i="6"/>
  <c r="AK217" i="6" s="1"/>
  <c r="K217" i="6"/>
  <c r="AL217" i="6" s="1"/>
  <c r="L217" i="6"/>
  <c r="AM217" i="6" s="1"/>
  <c r="M217" i="6"/>
  <c r="N217" i="6"/>
  <c r="O217" i="6"/>
  <c r="P217" i="6"/>
  <c r="Q217" i="6"/>
  <c r="R217" i="6"/>
  <c r="S217" i="6"/>
  <c r="T217" i="6"/>
  <c r="U217" i="6"/>
  <c r="J218" i="6"/>
  <c r="AK218" i="6" s="1"/>
  <c r="K218" i="6"/>
  <c r="AL218" i="6" s="1"/>
  <c r="L218" i="6"/>
  <c r="AM218" i="6" s="1"/>
  <c r="M218" i="6"/>
  <c r="N218" i="6"/>
  <c r="O218" i="6"/>
  <c r="P218" i="6"/>
  <c r="Q218" i="6"/>
  <c r="R218" i="6"/>
  <c r="S218" i="6"/>
  <c r="T218" i="6"/>
  <c r="U218" i="6"/>
  <c r="J219" i="6"/>
  <c r="AK219" i="6" s="1"/>
  <c r="K219" i="6"/>
  <c r="AL219" i="6" s="1"/>
  <c r="L219" i="6"/>
  <c r="AM219" i="6" s="1"/>
  <c r="M219" i="6"/>
  <c r="N219" i="6"/>
  <c r="O219" i="6"/>
  <c r="P219" i="6"/>
  <c r="Q219" i="6"/>
  <c r="R219" i="6"/>
  <c r="S219" i="6"/>
  <c r="T219" i="6"/>
  <c r="U219" i="6"/>
  <c r="J220" i="6"/>
  <c r="AK220" i="6" s="1"/>
  <c r="K220" i="6"/>
  <c r="AL220" i="6" s="1"/>
  <c r="L220" i="6"/>
  <c r="AM220" i="6" s="1"/>
  <c r="M220" i="6"/>
  <c r="N220" i="6"/>
  <c r="O220" i="6"/>
  <c r="P220" i="6"/>
  <c r="Q220" i="6"/>
  <c r="R220" i="6"/>
  <c r="S220" i="6"/>
  <c r="T220" i="6"/>
  <c r="U220" i="6"/>
  <c r="J221" i="6"/>
  <c r="AK221" i="6" s="1"/>
  <c r="K221" i="6"/>
  <c r="AL221" i="6" s="1"/>
  <c r="L221" i="6"/>
  <c r="AM221" i="6" s="1"/>
  <c r="M221" i="6"/>
  <c r="N221" i="6"/>
  <c r="O221" i="6"/>
  <c r="P221" i="6"/>
  <c r="Q221" i="6"/>
  <c r="R221" i="6"/>
  <c r="S221" i="6"/>
  <c r="T221" i="6"/>
  <c r="U221" i="6"/>
  <c r="J222" i="6"/>
  <c r="AK222" i="6" s="1"/>
  <c r="K222" i="6"/>
  <c r="L222" i="6"/>
  <c r="AM222" i="6" s="1"/>
  <c r="M222" i="6"/>
  <c r="N222" i="6"/>
  <c r="O222" i="6"/>
  <c r="P222" i="6"/>
  <c r="Q222" i="6"/>
  <c r="R222" i="6"/>
  <c r="S222" i="6"/>
  <c r="T222" i="6"/>
  <c r="U222" i="6"/>
  <c r="J223" i="6"/>
  <c r="AK223" i="6" s="1"/>
  <c r="K223" i="6"/>
  <c r="AL223" i="6" s="1"/>
  <c r="L223" i="6"/>
  <c r="AM223" i="6" s="1"/>
  <c r="M223" i="6"/>
  <c r="N223" i="6"/>
  <c r="O223" i="6"/>
  <c r="P223" i="6"/>
  <c r="Q223" i="6"/>
  <c r="R223" i="6"/>
  <c r="S223" i="6"/>
  <c r="T223" i="6"/>
  <c r="U223" i="6"/>
  <c r="J224" i="6"/>
  <c r="AK224" i="6" s="1"/>
  <c r="K224" i="6"/>
  <c r="AL224" i="6" s="1"/>
  <c r="L224" i="6"/>
  <c r="AM224" i="6" s="1"/>
  <c r="M224" i="6"/>
  <c r="N224" i="6"/>
  <c r="O224" i="6"/>
  <c r="P224" i="6"/>
  <c r="Q224" i="6"/>
  <c r="R224" i="6"/>
  <c r="S224" i="6"/>
  <c r="T224" i="6"/>
  <c r="U224" i="6"/>
  <c r="J225" i="6"/>
  <c r="AK225" i="6" s="1"/>
  <c r="K225" i="6"/>
  <c r="AL225" i="6" s="1"/>
  <c r="L225" i="6"/>
  <c r="AM225" i="6" s="1"/>
  <c r="M225" i="6"/>
  <c r="N225" i="6"/>
  <c r="O225" i="6"/>
  <c r="P225" i="6"/>
  <c r="Q225" i="6"/>
  <c r="R225" i="6"/>
  <c r="S225" i="6"/>
  <c r="T225" i="6"/>
  <c r="U225" i="6"/>
  <c r="J226" i="6"/>
  <c r="AK226" i="6" s="1"/>
  <c r="K226" i="6"/>
  <c r="L226" i="6"/>
  <c r="AM226" i="6" s="1"/>
  <c r="M226" i="6"/>
  <c r="N226" i="6"/>
  <c r="O226" i="6"/>
  <c r="P226" i="6"/>
  <c r="Q226" i="6"/>
  <c r="R226" i="6"/>
  <c r="S226" i="6"/>
  <c r="T226" i="6"/>
  <c r="U226" i="6"/>
  <c r="J227" i="6"/>
  <c r="AK227" i="6" s="1"/>
  <c r="K227" i="6"/>
  <c r="AL227" i="6" s="1"/>
  <c r="L227" i="6"/>
  <c r="AM227" i="6" s="1"/>
  <c r="M227" i="6"/>
  <c r="N227" i="6"/>
  <c r="O227" i="6"/>
  <c r="P227" i="6"/>
  <c r="Q227" i="6"/>
  <c r="R227" i="6"/>
  <c r="S227" i="6"/>
  <c r="T227" i="6"/>
  <c r="U227" i="6"/>
  <c r="J228" i="6"/>
  <c r="AK228" i="6" s="1"/>
  <c r="K228" i="6"/>
  <c r="AL228" i="6" s="1"/>
  <c r="L228" i="6"/>
  <c r="AM228" i="6" s="1"/>
  <c r="M228" i="6"/>
  <c r="N228" i="6"/>
  <c r="O228" i="6"/>
  <c r="P228" i="6"/>
  <c r="Q228" i="6"/>
  <c r="R228" i="6"/>
  <c r="S228" i="6"/>
  <c r="T228" i="6"/>
  <c r="U228" i="6"/>
  <c r="J229" i="6"/>
  <c r="AK229" i="6" s="1"/>
  <c r="K229" i="6"/>
  <c r="AL229" i="6" s="1"/>
  <c r="L229" i="6"/>
  <c r="AM229" i="6" s="1"/>
  <c r="M229" i="6"/>
  <c r="N229" i="6"/>
  <c r="O229" i="6"/>
  <c r="P229" i="6"/>
  <c r="Q229" i="6"/>
  <c r="R229" i="6"/>
  <c r="S229" i="6"/>
  <c r="T229" i="6"/>
  <c r="U229" i="6"/>
  <c r="J230" i="6"/>
  <c r="AK230" i="6" s="1"/>
  <c r="K230" i="6"/>
  <c r="AL230" i="6" s="1"/>
  <c r="L230" i="6"/>
  <c r="AM230" i="6" s="1"/>
  <c r="M230" i="6"/>
  <c r="N230" i="6"/>
  <c r="O230" i="6"/>
  <c r="P230" i="6"/>
  <c r="Q230" i="6"/>
  <c r="R230" i="6"/>
  <c r="S230" i="6"/>
  <c r="T230" i="6"/>
  <c r="U230" i="6"/>
  <c r="J231" i="6"/>
  <c r="AK231" i="6" s="1"/>
  <c r="K231" i="6"/>
  <c r="AL231" i="6" s="1"/>
  <c r="L231" i="6"/>
  <c r="AM231" i="6" s="1"/>
  <c r="M231" i="6"/>
  <c r="N231" i="6"/>
  <c r="O231" i="6"/>
  <c r="P231" i="6"/>
  <c r="Q231" i="6"/>
  <c r="R231" i="6"/>
  <c r="S231" i="6"/>
  <c r="T231" i="6"/>
  <c r="U231" i="6"/>
  <c r="J232" i="6"/>
  <c r="AK232" i="6" s="1"/>
  <c r="K232" i="6"/>
  <c r="AL232" i="6" s="1"/>
  <c r="L232" i="6"/>
  <c r="AM232" i="6" s="1"/>
  <c r="M232" i="6"/>
  <c r="N232" i="6"/>
  <c r="O232" i="6"/>
  <c r="P232" i="6"/>
  <c r="Q232" i="6"/>
  <c r="R232" i="6"/>
  <c r="S232" i="6"/>
  <c r="T232" i="6"/>
  <c r="U232" i="6"/>
  <c r="J233" i="6"/>
  <c r="AK233" i="6" s="1"/>
  <c r="K233" i="6"/>
  <c r="AL233" i="6" s="1"/>
  <c r="L233" i="6"/>
  <c r="AM233" i="6" s="1"/>
  <c r="M233" i="6"/>
  <c r="N233" i="6"/>
  <c r="O233" i="6"/>
  <c r="P233" i="6"/>
  <c r="Q233" i="6"/>
  <c r="R233" i="6"/>
  <c r="S233" i="6"/>
  <c r="T233" i="6"/>
  <c r="U233" i="6"/>
  <c r="J234" i="6"/>
  <c r="AK234" i="6" s="1"/>
  <c r="K234" i="6"/>
  <c r="L234" i="6"/>
  <c r="AM234" i="6" s="1"/>
  <c r="M234" i="6"/>
  <c r="N234" i="6"/>
  <c r="O234" i="6"/>
  <c r="P234" i="6"/>
  <c r="Q234" i="6"/>
  <c r="R234" i="6"/>
  <c r="S234" i="6"/>
  <c r="T234" i="6"/>
  <c r="U234" i="6"/>
  <c r="J235" i="6"/>
  <c r="AK235" i="6" s="1"/>
  <c r="K235" i="6"/>
  <c r="AL235" i="6" s="1"/>
  <c r="L235" i="6"/>
  <c r="AM235" i="6" s="1"/>
  <c r="M235" i="6"/>
  <c r="N235" i="6"/>
  <c r="O235" i="6"/>
  <c r="P235" i="6"/>
  <c r="Q235" i="6"/>
  <c r="R235" i="6"/>
  <c r="S235" i="6"/>
  <c r="T235" i="6"/>
  <c r="U235" i="6"/>
  <c r="J236" i="6"/>
  <c r="AK236" i="6" s="1"/>
  <c r="K236" i="6"/>
  <c r="AL236" i="6" s="1"/>
  <c r="L236" i="6"/>
  <c r="AM236" i="6" s="1"/>
  <c r="M236" i="6"/>
  <c r="N236" i="6"/>
  <c r="O236" i="6"/>
  <c r="P236" i="6"/>
  <c r="Q236" i="6"/>
  <c r="R236" i="6"/>
  <c r="S236" i="6"/>
  <c r="T236" i="6"/>
  <c r="U236" i="6"/>
  <c r="J237" i="6"/>
  <c r="AK237" i="6" s="1"/>
  <c r="K237" i="6"/>
  <c r="AL237" i="6" s="1"/>
  <c r="L237" i="6"/>
  <c r="AM237" i="6" s="1"/>
  <c r="M237" i="6"/>
  <c r="N237" i="6"/>
  <c r="O237" i="6"/>
  <c r="P237" i="6"/>
  <c r="Q237" i="6"/>
  <c r="R237" i="6"/>
  <c r="S237" i="6"/>
  <c r="T237" i="6"/>
  <c r="U237" i="6"/>
  <c r="J238" i="6"/>
  <c r="AK238" i="6" s="1"/>
  <c r="K238" i="6"/>
  <c r="AL238" i="6" s="1"/>
  <c r="L238" i="6"/>
  <c r="AM238" i="6" s="1"/>
  <c r="M238" i="6"/>
  <c r="N238" i="6"/>
  <c r="O238" i="6"/>
  <c r="P238" i="6"/>
  <c r="Q238" i="6"/>
  <c r="R238" i="6"/>
  <c r="S238" i="6"/>
  <c r="T238" i="6"/>
  <c r="U238" i="6"/>
  <c r="J239" i="6"/>
  <c r="AK239" i="6" s="1"/>
  <c r="K239" i="6"/>
  <c r="AL239" i="6" s="1"/>
  <c r="L239" i="6"/>
  <c r="AM239" i="6" s="1"/>
  <c r="M239" i="6"/>
  <c r="N239" i="6"/>
  <c r="O239" i="6"/>
  <c r="P239" i="6"/>
  <c r="Q239" i="6"/>
  <c r="R239" i="6"/>
  <c r="S239" i="6"/>
  <c r="T239" i="6"/>
  <c r="U239" i="6"/>
  <c r="J240" i="6"/>
  <c r="AK240" i="6" s="1"/>
  <c r="K240" i="6"/>
  <c r="AL240" i="6" s="1"/>
  <c r="L240" i="6"/>
  <c r="AM240" i="6" s="1"/>
  <c r="M240" i="6"/>
  <c r="N240" i="6"/>
  <c r="O240" i="6"/>
  <c r="P240" i="6"/>
  <c r="Q240" i="6"/>
  <c r="R240" i="6"/>
  <c r="S240" i="6"/>
  <c r="T240" i="6"/>
  <c r="U240" i="6"/>
  <c r="J241" i="6"/>
  <c r="AK241" i="6" s="1"/>
  <c r="K241" i="6"/>
  <c r="AL241" i="6" s="1"/>
  <c r="L241" i="6"/>
  <c r="AM241" i="6" s="1"/>
  <c r="M241" i="6"/>
  <c r="N241" i="6"/>
  <c r="O241" i="6"/>
  <c r="P241" i="6"/>
  <c r="Q241" i="6"/>
  <c r="R241" i="6"/>
  <c r="S241" i="6"/>
  <c r="T241" i="6"/>
  <c r="U241" i="6"/>
  <c r="J242" i="6"/>
  <c r="AK242" i="6" s="1"/>
  <c r="K242" i="6"/>
  <c r="AL242" i="6" s="1"/>
  <c r="L242" i="6"/>
  <c r="AM242" i="6" s="1"/>
  <c r="M242" i="6"/>
  <c r="N242" i="6"/>
  <c r="O242" i="6"/>
  <c r="P242" i="6"/>
  <c r="Q242" i="6"/>
  <c r="R242" i="6"/>
  <c r="S242" i="6"/>
  <c r="T242" i="6"/>
  <c r="U242" i="6"/>
  <c r="J243" i="6"/>
  <c r="AK243" i="6" s="1"/>
  <c r="K243" i="6"/>
  <c r="AL243" i="6" s="1"/>
  <c r="L243" i="6"/>
  <c r="AM243" i="6" s="1"/>
  <c r="M243" i="6"/>
  <c r="N243" i="6"/>
  <c r="O243" i="6"/>
  <c r="P243" i="6"/>
  <c r="Q243" i="6"/>
  <c r="R243" i="6"/>
  <c r="S243" i="6"/>
  <c r="T243" i="6"/>
  <c r="U243" i="6"/>
  <c r="J244" i="6"/>
  <c r="AK244" i="6" s="1"/>
  <c r="K244" i="6"/>
  <c r="AL244" i="6" s="1"/>
  <c r="L244" i="6"/>
  <c r="AM244" i="6" s="1"/>
  <c r="M244" i="6"/>
  <c r="N244" i="6"/>
  <c r="O244" i="6"/>
  <c r="P244" i="6"/>
  <c r="Q244" i="6"/>
  <c r="R244" i="6"/>
  <c r="S244" i="6"/>
  <c r="T244" i="6"/>
  <c r="U244" i="6"/>
  <c r="J245" i="6"/>
  <c r="AK245" i="6" s="1"/>
  <c r="K245" i="6"/>
  <c r="AL245" i="6" s="1"/>
  <c r="L245" i="6"/>
  <c r="AM245" i="6" s="1"/>
  <c r="M245" i="6"/>
  <c r="N245" i="6"/>
  <c r="O245" i="6"/>
  <c r="P245" i="6"/>
  <c r="Q245" i="6"/>
  <c r="R245" i="6"/>
  <c r="S245" i="6"/>
  <c r="T245" i="6"/>
  <c r="U245" i="6"/>
  <c r="J246" i="6"/>
  <c r="AK246" i="6" s="1"/>
  <c r="K246" i="6"/>
  <c r="AL246" i="6" s="1"/>
  <c r="L246" i="6"/>
  <c r="AM246" i="6" s="1"/>
  <c r="M246" i="6"/>
  <c r="N246" i="6"/>
  <c r="O246" i="6"/>
  <c r="P246" i="6"/>
  <c r="Q246" i="6"/>
  <c r="R246" i="6"/>
  <c r="S246" i="6"/>
  <c r="T246" i="6"/>
  <c r="U246" i="6"/>
  <c r="J247" i="6"/>
  <c r="AK247" i="6" s="1"/>
  <c r="K247" i="6"/>
  <c r="AL247" i="6" s="1"/>
  <c r="L247" i="6"/>
  <c r="AM247" i="6" s="1"/>
  <c r="M247" i="6"/>
  <c r="N247" i="6"/>
  <c r="O247" i="6"/>
  <c r="P247" i="6"/>
  <c r="Q247" i="6"/>
  <c r="R247" i="6"/>
  <c r="S247" i="6"/>
  <c r="T247" i="6"/>
  <c r="U247" i="6"/>
  <c r="J248" i="6"/>
  <c r="AK248" i="6" s="1"/>
  <c r="K248" i="6"/>
  <c r="AL248" i="6" s="1"/>
  <c r="L248" i="6"/>
  <c r="AM248" i="6" s="1"/>
  <c r="M248" i="6"/>
  <c r="N248" i="6"/>
  <c r="O248" i="6"/>
  <c r="P248" i="6"/>
  <c r="Q248" i="6"/>
  <c r="R248" i="6"/>
  <c r="S248" i="6"/>
  <c r="T248" i="6"/>
  <c r="U248" i="6"/>
  <c r="J249" i="6"/>
  <c r="AK249" i="6" s="1"/>
  <c r="K249" i="6"/>
  <c r="AL249" i="6" s="1"/>
  <c r="L249" i="6"/>
  <c r="AM249" i="6" s="1"/>
  <c r="M249" i="6"/>
  <c r="N249" i="6"/>
  <c r="O249" i="6"/>
  <c r="P249" i="6"/>
  <c r="Q249" i="6"/>
  <c r="R249" i="6"/>
  <c r="S249" i="6"/>
  <c r="T249" i="6"/>
  <c r="U249" i="6"/>
  <c r="J250" i="6"/>
  <c r="AK250" i="6" s="1"/>
  <c r="K250" i="6"/>
  <c r="L250" i="6"/>
  <c r="AM250" i="6" s="1"/>
  <c r="M250" i="6"/>
  <c r="N250" i="6"/>
  <c r="O250" i="6"/>
  <c r="P250" i="6"/>
  <c r="Q250" i="6"/>
  <c r="R250" i="6"/>
  <c r="S250" i="6"/>
  <c r="T250" i="6"/>
  <c r="U250" i="6"/>
  <c r="J251" i="6"/>
  <c r="AK251" i="6" s="1"/>
  <c r="K251" i="6"/>
  <c r="AL251" i="6" s="1"/>
  <c r="L251" i="6"/>
  <c r="AM251" i="6" s="1"/>
  <c r="M251" i="6"/>
  <c r="N251" i="6"/>
  <c r="O251" i="6"/>
  <c r="P251" i="6"/>
  <c r="Q251" i="6"/>
  <c r="R251" i="6"/>
  <c r="S251" i="6"/>
  <c r="T251" i="6"/>
  <c r="U251" i="6"/>
  <c r="J252" i="6"/>
  <c r="AK252" i="6" s="1"/>
  <c r="K252" i="6"/>
  <c r="L252" i="6"/>
  <c r="AM252" i="6" s="1"/>
  <c r="M252" i="6"/>
  <c r="N252" i="6"/>
  <c r="O252" i="6"/>
  <c r="P252" i="6"/>
  <c r="Q252" i="6"/>
  <c r="R252" i="6"/>
  <c r="S252" i="6"/>
  <c r="T252" i="6"/>
  <c r="U252" i="6"/>
  <c r="J253" i="6"/>
  <c r="AK253" i="6" s="1"/>
  <c r="K253" i="6"/>
  <c r="AL253" i="6" s="1"/>
  <c r="L253" i="6"/>
  <c r="AM253" i="6" s="1"/>
  <c r="M253" i="6"/>
  <c r="N253" i="6"/>
  <c r="O253" i="6"/>
  <c r="P253" i="6"/>
  <c r="Q253" i="6"/>
  <c r="R253" i="6"/>
  <c r="S253" i="6"/>
  <c r="T253" i="6"/>
  <c r="U253" i="6"/>
  <c r="J254" i="6"/>
  <c r="AK254" i="6" s="1"/>
  <c r="K254" i="6"/>
  <c r="AL254" i="6" s="1"/>
  <c r="L254" i="6"/>
  <c r="AM254" i="6" s="1"/>
  <c r="M254" i="6"/>
  <c r="N254" i="6"/>
  <c r="O254" i="6"/>
  <c r="P254" i="6"/>
  <c r="Q254" i="6"/>
  <c r="R254" i="6"/>
  <c r="S254" i="6"/>
  <c r="T254" i="6"/>
  <c r="U254" i="6"/>
  <c r="J255" i="6"/>
  <c r="AK255" i="6" s="1"/>
  <c r="K255" i="6"/>
  <c r="AL255" i="6" s="1"/>
  <c r="L255" i="6"/>
  <c r="AM255" i="6" s="1"/>
  <c r="M255" i="6"/>
  <c r="N255" i="6"/>
  <c r="O255" i="6"/>
  <c r="P255" i="6"/>
  <c r="Q255" i="6"/>
  <c r="R255" i="6"/>
  <c r="S255" i="6"/>
  <c r="T255" i="6"/>
  <c r="U255" i="6"/>
  <c r="J256" i="6"/>
  <c r="AK256" i="6" s="1"/>
  <c r="K256" i="6"/>
  <c r="L256" i="6"/>
  <c r="AM256" i="6" s="1"/>
  <c r="M256" i="6"/>
  <c r="N256" i="6"/>
  <c r="O256" i="6"/>
  <c r="P256" i="6"/>
  <c r="Q256" i="6"/>
  <c r="R256" i="6"/>
  <c r="S256" i="6"/>
  <c r="T256" i="6"/>
  <c r="U256" i="6"/>
  <c r="J257" i="6"/>
  <c r="AK257" i="6" s="1"/>
  <c r="K257" i="6"/>
  <c r="AL257" i="6" s="1"/>
  <c r="L257" i="6"/>
  <c r="AM257" i="6" s="1"/>
  <c r="M257" i="6"/>
  <c r="N257" i="6"/>
  <c r="O257" i="6"/>
  <c r="P257" i="6"/>
  <c r="Q257" i="6"/>
  <c r="R257" i="6"/>
  <c r="S257" i="6"/>
  <c r="T257" i="6"/>
  <c r="U257" i="6"/>
  <c r="J258" i="6"/>
  <c r="AK258" i="6" s="1"/>
  <c r="K258" i="6"/>
  <c r="L258" i="6"/>
  <c r="AM258" i="6" s="1"/>
  <c r="M258" i="6"/>
  <c r="N258" i="6"/>
  <c r="O258" i="6"/>
  <c r="P258" i="6"/>
  <c r="Q258" i="6"/>
  <c r="R258" i="6"/>
  <c r="S258" i="6"/>
  <c r="T258" i="6"/>
  <c r="U258" i="6"/>
  <c r="J259" i="6"/>
  <c r="AK259" i="6" s="1"/>
  <c r="K259" i="6"/>
  <c r="AL259" i="6" s="1"/>
  <c r="L259" i="6"/>
  <c r="AM259" i="6" s="1"/>
  <c r="M259" i="6"/>
  <c r="N259" i="6"/>
  <c r="O259" i="6"/>
  <c r="P259" i="6"/>
  <c r="Q259" i="6"/>
  <c r="R259" i="6"/>
  <c r="S259" i="6"/>
  <c r="T259" i="6"/>
  <c r="U259" i="6"/>
  <c r="J260" i="6"/>
  <c r="AK260" i="6" s="1"/>
  <c r="K260" i="6"/>
  <c r="AL260" i="6" s="1"/>
  <c r="L260" i="6"/>
  <c r="M260" i="6"/>
  <c r="N260" i="6"/>
  <c r="O260" i="6"/>
  <c r="P260" i="6"/>
  <c r="Q260" i="6"/>
  <c r="R260" i="6"/>
  <c r="S260" i="6"/>
  <c r="T260" i="6"/>
  <c r="U260" i="6"/>
  <c r="J261" i="6"/>
  <c r="AK261" i="6" s="1"/>
  <c r="K261" i="6"/>
  <c r="AL261" i="6" s="1"/>
  <c r="L261" i="6"/>
  <c r="AM261" i="6" s="1"/>
  <c r="M261" i="6"/>
  <c r="N261" i="6"/>
  <c r="O261" i="6"/>
  <c r="P261" i="6"/>
  <c r="Q261" i="6"/>
  <c r="R261" i="6"/>
  <c r="S261" i="6"/>
  <c r="T261" i="6"/>
  <c r="U261" i="6"/>
  <c r="J262" i="6"/>
  <c r="AK262" i="6" s="1"/>
  <c r="K262" i="6"/>
  <c r="L262" i="6"/>
  <c r="AM262" i="6" s="1"/>
  <c r="M262" i="6"/>
  <c r="N262" i="6"/>
  <c r="O262" i="6"/>
  <c r="P262" i="6"/>
  <c r="Q262" i="6"/>
  <c r="R262" i="6"/>
  <c r="S262" i="6"/>
  <c r="T262" i="6"/>
  <c r="U262" i="6"/>
  <c r="J263" i="6"/>
  <c r="AK263" i="6" s="1"/>
  <c r="K263" i="6"/>
  <c r="AL263" i="6" s="1"/>
  <c r="L263" i="6"/>
  <c r="AM263" i="6" s="1"/>
  <c r="M263" i="6"/>
  <c r="N263" i="6"/>
  <c r="O263" i="6"/>
  <c r="P263" i="6"/>
  <c r="Q263" i="6"/>
  <c r="R263" i="6"/>
  <c r="S263" i="6"/>
  <c r="T263" i="6"/>
  <c r="U263" i="6"/>
  <c r="J264" i="6"/>
  <c r="AK264" i="6" s="1"/>
  <c r="K264" i="6"/>
  <c r="AL264" i="6" s="1"/>
  <c r="L264" i="6"/>
  <c r="M264" i="6"/>
  <c r="N264" i="6"/>
  <c r="O264" i="6"/>
  <c r="P264" i="6"/>
  <c r="Q264" i="6"/>
  <c r="R264" i="6"/>
  <c r="S264" i="6"/>
  <c r="T264" i="6"/>
  <c r="U264" i="6"/>
  <c r="J265" i="6"/>
  <c r="AK265" i="6" s="1"/>
  <c r="K265" i="6"/>
  <c r="AL265" i="6" s="1"/>
  <c r="L265" i="6"/>
  <c r="AM265" i="6" s="1"/>
  <c r="M265" i="6"/>
  <c r="N265" i="6"/>
  <c r="O265" i="6"/>
  <c r="P265" i="6"/>
  <c r="Q265" i="6"/>
  <c r="R265" i="6"/>
  <c r="S265" i="6"/>
  <c r="T265" i="6"/>
  <c r="U265" i="6"/>
  <c r="J266" i="6"/>
  <c r="AK266" i="6" s="1"/>
  <c r="K266" i="6"/>
  <c r="L266" i="6"/>
  <c r="AM266" i="6" s="1"/>
  <c r="M266" i="6"/>
  <c r="N266" i="6"/>
  <c r="O266" i="6"/>
  <c r="P266" i="6"/>
  <c r="Q266" i="6"/>
  <c r="R266" i="6"/>
  <c r="S266" i="6"/>
  <c r="T266" i="6"/>
  <c r="U266" i="6"/>
  <c r="J267" i="6"/>
  <c r="AK267" i="6" s="1"/>
  <c r="K267" i="6"/>
  <c r="AL267" i="6" s="1"/>
  <c r="L267" i="6"/>
  <c r="AM267" i="6" s="1"/>
  <c r="M267" i="6"/>
  <c r="N267" i="6"/>
  <c r="O267" i="6"/>
  <c r="P267" i="6"/>
  <c r="Q267" i="6"/>
  <c r="R267" i="6"/>
  <c r="S267" i="6"/>
  <c r="T267" i="6"/>
  <c r="U267" i="6"/>
  <c r="J268" i="6"/>
  <c r="AK268" i="6" s="1"/>
  <c r="K268" i="6"/>
  <c r="AL268" i="6" s="1"/>
  <c r="L268" i="6"/>
  <c r="AM268" i="6" s="1"/>
  <c r="M268" i="6"/>
  <c r="N268" i="6"/>
  <c r="O268" i="6"/>
  <c r="P268" i="6"/>
  <c r="Q268" i="6"/>
  <c r="R268" i="6"/>
  <c r="S268" i="6"/>
  <c r="T268" i="6"/>
  <c r="U268" i="6"/>
  <c r="J269" i="6"/>
  <c r="AK269" i="6" s="1"/>
  <c r="K269" i="6"/>
  <c r="AL269" i="6" s="1"/>
  <c r="L269" i="6"/>
  <c r="AM269" i="6" s="1"/>
  <c r="M269" i="6"/>
  <c r="N269" i="6"/>
  <c r="O269" i="6"/>
  <c r="P269" i="6"/>
  <c r="Q269" i="6"/>
  <c r="R269" i="6"/>
  <c r="S269" i="6"/>
  <c r="T269" i="6"/>
  <c r="U269" i="6"/>
  <c r="J270" i="6"/>
  <c r="AK270" i="6" s="1"/>
  <c r="K270" i="6"/>
  <c r="AL270" i="6" s="1"/>
  <c r="L270" i="6"/>
  <c r="AM270" i="6" s="1"/>
  <c r="M270" i="6"/>
  <c r="N270" i="6"/>
  <c r="O270" i="6"/>
  <c r="P270" i="6"/>
  <c r="Q270" i="6"/>
  <c r="R270" i="6"/>
  <c r="S270" i="6"/>
  <c r="T270" i="6"/>
  <c r="U270" i="6"/>
  <c r="J271" i="6"/>
  <c r="AK271" i="6" s="1"/>
  <c r="K271" i="6"/>
  <c r="AL271" i="6" s="1"/>
  <c r="L271" i="6"/>
  <c r="AM271" i="6" s="1"/>
  <c r="M271" i="6"/>
  <c r="N271" i="6"/>
  <c r="O271" i="6"/>
  <c r="P271" i="6"/>
  <c r="Q271" i="6"/>
  <c r="R271" i="6"/>
  <c r="S271" i="6"/>
  <c r="T271" i="6"/>
  <c r="U271" i="6"/>
  <c r="J272" i="6"/>
  <c r="AK272" i="6" s="1"/>
  <c r="K272" i="6"/>
  <c r="AL272" i="6" s="1"/>
  <c r="L272" i="6"/>
  <c r="AM272" i="6" s="1"/>
  <c r="M272" i="6"/>
  <c r="N272" i="6"/>
  <c r="O272" i="6"/>
  <c r="P272" i="6"/>
  <c r="Q272" i="6"/>
  <c r="R272" i="6"/>
  <c r="S272" i="6"/>
  <c r="T272" i="6"/>
  <c r="U272" i="6"/>
  <c r="J273" i="6"/>
  <c r="AK273" i="6" s="1"/>
  <c r="K273" i="6"/>
  <c r="AL273" i="6" s="1"/>
  <c r="L273" i="6"/>
  <c r="AM273" i="6" s="1"/>
  <c r="M273" i="6"/>
  <c r="N273" i="6"/>
  <c r="O273" i="6"/>
  <c r="P273" i="6"/>
  <c r="Q273" i="6"/>
  <c r="R273" i="6"/>
  <c r="S273" i="6"/>
  <c r="T273" i="6"/>
  <c r="U273" i="6"/>
  <c r="J274" i="6"/>
  <c r="AK274" i="6" s="1"/>
  <c r="K274" i="6"/>
  <c r="AL274" i="6" s="1"/>
  <c r="L274" i="6"/>
  <c r="AM274" i="6" s="1"/>
  <c r="M274" i="6"/>
  <c r="N274" i="6"/>
  <c r="O274" i="6"/>
  <c r="P274" i="6"/>
  <c r="Q274" i="6"/>
  <c r="R274" i="6"/>
  <c r="S274" i="6"/>
  <c r="T274" i="6"/>
  <c r="U274" i="6"/>
  <c r="J275" i="6"/>
  <c r="AK275" i="6" s="1"/>
  <c r="K275" i="6"/>
  <c r="AL275" i="6" s="1"/>
  <c r="L275" i="6"/>
  <c r="AM275" i="6" s="1"/>
  <c r="M275" i="6"/>
  <c r="N275" i="6"/>
  <c r="O275" i="6"/>
  <c r="P275" i="6"/>
  <c r="Q275" i="6"/>
  <c r="R275" i="6"/>
  <c r="S275" i="6"/>
  <c r="T275" i="6"/>
  <c r="U275" i="6"/>
  <c r="J276" i="6"/>
  <c r="AK276" i="6" s="1"/>
  <c r="K276" i="6"/>
  <c r="AL276" i="6" s="1"/>
  <c r="L276" i="6"/>
  <c r="AM276" i="6" s="1"/>
  <c r="M276" i="6"/>
  <c r="N276" i="6"/>
  <c r="O276" i="6"/>
  <c r="P276" i="6"/>
  <c r="Q276" i="6"/>
  <c r="R276" i="6"/>
  <c r="S276" i="6"/>
  <c r="T276" i="6"/>
  <c r="U276" i="6"/>
  <c r="J277" i="6"/>
  <c r="AK277" i="6" s="1"/>
  <c r="K277" i="6"/>
  <c r="AL277" i="6" s="1"/>
  <c r="L277" i="6"/>
  <c r="AM277" i="6" s="1"/>
  <c r="M277" i="6"/>
  <c r="N277" i="6"/>
  <c r="O277" i="6"/>
  <c r="P277" i="6"/>
  <c r="Q277" i="6"/>
  <c r="R277" i="6"/>
  <c r="S277" i="6"/>
  <c r="T277" i="6"/>
  <c r="U277" i="6"/>
  <c r="J278" i="6"/>
  <c r="AK278" i="6" s="1"/>
  <c r="K278" i="6"/>
  <c r="AL278" i="6" s="1"/>
  <c r="L278" i="6"/>
  <c r="AM278" i="6" s="1"/>
  <c r="M278" i="6"/>
  <c r="N278" i="6"/>
  <c r="O278" i="6"/>
  <c r="P278" i="6"/>
  <c r="Q278" i="6"/>
  <c r="R278" i="6"/>
  <c r="S278" i="6"/>
  <c r="T278" i="6"/>
  <c r="U278" i="6"/>
  <c r="J279" i="6"/>
  <c r="AK279" i="6" s="1"/>
  <c r="K279" i="6"/>
  <c r="AL279" i="6" s="1"/>
  <c r="L279" i="6"/>
  <c r="AM279" i="6" s="1"/>
  <c r="M279" i="6"/>
  <c r="N279" i="6"/>
  <c r="O279" i="6"/>
  <c r="P279" i="6"/>
  <c r="Q279" i="6"/>
  <c r="R279" i="6"/>
  <c r="S279" i="6"/>
  <c r="T279" i="6"/>
  <c r="U279" i="6"/>
  <c r="J280" i="6"/>
  <c r="K280" i="6"/>
  <c r="L280" i="6"/>
  <c r="M280" i="6"/>
  <c r="N280" i="6"/>
  <c r="O280" i="6"/>
  <c r="P280" i="6"/>
  <c r="Q280" i="6"/>
  <c r="R280" i="6"/>
  <c r="J281" i="6"/>
  <c r="AK281" i="6" s="1"/>
  <c r="K281" i="6"/>
  <c r="AL281" i="6" s="1"/>
  <c r="L281" i="6"/>
  <c r="AM281" i="6" s="1"/>
  <c r="M281" i="6"/>
  <c r="N281" i="6"/>
  <c r="O281" i="6"/>
  <c r="P281" i="6"/>
  <c r="Q281" i="6"/>
  <c r="R281" i="6"/>
  <c r="S281" i="6"/>
  <c r="T281" i="6"/>
  <c r="U281" i="6"/>
  <c r="J282" i="6"/>
  <c r="AK282" i="6" s="1"/>
  <c r="K282" i="6"/>
  <c r="AL282" i="6" s="1"/>
  <c r="L282" i="6"/>
  <c r="AM282" i="6" s="1"/>
  <c r="M282" i="6"/>
  <c r="N282" i="6"/>
  <c r="O282" i="6"/>
  <c r="P282" i="6"/>
  <c r="Q282" i="6"/>
  <c r="R282" i="6"/>
  <c r="S282" i="6"/>
  <c r="T282" i="6"/>
  <c r="U282" i="6"/>
  <c r="J283" i="6"/>
  <c r="AK283" i="6" s="1"/>
  <c r="K283" i="6"/>
  <c r="AL283" i="6" s="1"/>
  <c r="L283" i="6"/>
  <c r="AM283" i="6" s="1"/>
  <c r="M283" i="6"/>
  <c r="N283" i="6"/>
  <c r="O283" i="6"/>
  <c r="P283" i="6"/>
  <c r="Q283" i="6"/>
  <c r="R283" i="6"/>
  <c r="S283" i="6"/>
  <c r="T283" i="6"/>
  <c r="U283" i="6"/>
  <c r="J284" i="6"/>
  <c r="AK284" i="6" s="1"/>
  <c r="K284" i="6"/>
  <c r="AL284" i="6" s="1"/>
  <c r="L284" i="6"/>
  <c r="AM284" i="6" s="1"/>
  <c r="M284" i="6"/>
  <c r="N284" i="6"/>
  <c r="O284" i="6"/>
  <c r="P284" i="6"/>
  <c r="Q284" i="6"/>
  <c r="R284" i="6"/>
  <c r="S284" i="6"/>
  <c r="T284" i="6"/>
  <c r="U284" i="6"/>
  <c r="J285" i="6"/>
  <c r="AK285" i="6" s="1"/>
  <c r="K285" i="6"/>
  <c r="AL285" i="6" s="1"/>
  <c r="L285" i="6"/>
  <c r="AM285" i="6" s="1"/>
  <c r="M285" i="6"/>
  <c r="N285" i="6"/>
  <c r="O285" i="6"/>
  <c r="P285" i="6"/>
  <c r="Q285" i="6"/>
  <c r="R285" i="6"/>
  <c r="S285" i="6"/>
  <c r="T285" i="6"/>
  <c r="U285" i="6"/>
  <c r="J286" i="6"/>
  <c r="AK286" i="6" s="1"/>
  <c r="K286" i="6"/>
  <c r="AL286" i="6" s="1"/>
  <c r="L286" i="6"/>
  <c r="AM286" i="6" s="1"/>
  <c r="M286" i="6"/>
  <c r="N286" i="6"/>
  <c r="O286" i="6"/>
  <c r="P286" i="6"/>
  <c r="Q286" i="6"/>
  <c r="R286" i="6"/>
  <c r="S286" i="6"/>
  <c r="T286" i="6"/>
  <c r="U286" i="6"/>
  <c r="J287" i="6"/>
  <c r="AK287" i="6" s="1"/>
  <c r="K287" i="6"/>
  <c r="AL287" i="6" s="1"/>
  <c r="L287" i="6"/>
  <c r="AM287" i="6" s="1"/>
  <c r="M287" i="6"/>
  <c r="N287" i="6"/>
  <c r="O287" i="6"/>
  <c r="P287" i="6"/>
  <c r="Q287" i="6"/>
  <c r="R287" i="6"/>
  <c r="S287" i="6"/>
  <c r="T287" i="6"/>
  <c r="U287" i="6"/>
  <c r="J288" i="6"/>
  <c r="AK288" i="6" s="1"/>
  <c r="K288" i="6"/>
  <c r="AL288" i="6" s="1"/>
  <c r="L288" i="6"/>
  <c r="AM288" i="6" s="1"/>
  <c r="M288" i="6"/>
  <c r="N288" i="6"/>
  <c r="O288" i="6"/>
  <c r="P288" i="6"/>
  <c r="Q288" i="6"/>
  <c r="R288" i="6"/>
  <c r="S288" i="6"/>
  <c r="T288" i="6"/>
  <c r="U288" i="6"/>
  <c r="J289" i="6"/>
  <c r="AK289" i="6" s="1"/>
  <c r="K289" i="6"/>
  <c r="AL289" i="6" s="1"/>
  <c r="L289" i="6"/>
  <c r="AM289" i="6" s="1"/>
  <c r="M289" i="6"/>
  <c r="N289" i="6"/>
  <c r="O289" i="6"/>
  <c r="P289" i="6"/>
  <c r="Q289" i="6"/>
  <c r="R289" i="6"/>
  <c r="S289" i="6"/>
  <c r="T289" i="6"/>
  <c r="U289" i="6"/>
  <c r="J290" i="6"/>
  <c r="AK290" i="6" s="1"/>
  <c r="K290" i="6"/>
  <c r="AL290" i="6" s="1"/>
  <c r="L290" i="6"/>
  <c r="AM290" i="6" s="1"/>
  <c r="M290" i="6"/>
  <c r="N290" i="6"/>
  <c r="O290" i="6"/>
  <c r="P290" i="6"/>
  <c r="Q290" i="6"/>
  <c r="R290" i="6"/>
  <c r="S290" i="6"/>
  <c r="T290" i="6"/>
  <c r="U290" i="6"/>
  <c r="J291" i="6"/>
  <c r="AK291" i="6" s="1"/>
  <c r="K291" i="6"/>
  <c r="AL291" i="6" s="1"/>
  <c r="L291" i="6"/>
  <c r="AM291" i="6" s="1"/>
  <c r="M291" i="6"/>
  <c r="N291" i="6"/>
  <c r="O291" i="6"/>
  <c r="P291" i="6"/>
  <c r="Q291" i="6"/>
  <c r="R291" i="6"/>
  <c r="S291" i="6"/>
  <c r="T291" i="6"/>
  <c r="U291" i="6"/>
  <c r="J292" i="6"/>
  <c r="AK292" i="6" s="1"/>
  <c r="K292" i="6"/>
  <c r="AL292" i="6" s="1"/>
  <c r="L292" i="6"/>
  <c r="AM292" i="6" s="1"/>
  <c r="M292" i="6"/>
  <c r="N292" i="6"/>
  <c r="O292" i="6"/>
  <c r="P292" i="6"/>
  <c r="Q292" i="6"/>
  <c r="R292" i="6"/>
  <c r="S292" i="6"/>
  <c r="T292" i="6"/>
  <c r="U292" i="6"/>
  <c r="J293" i="6"/>
  <c r="AK293" i="6" s="1"/>
  <c r="K293" i="6"/>
  <c r="AL293" i="6" s="1"/>
  <c r="L293" i="6"/>
  <c r="AM293" i="6" s="1"/>
  <c r="M293" i="6"/>
  <c r="N293" i="6"/>
  <c r="O293" i="6"/>
  <c r="P293" i="6"/>
  <c r="Q293" i="6"/>
  <c r="R293" i="6"/>
  <c r="S293" i="6"/>
  <c r="T293" i="6"/>
  <c r="U293" i="6"/>
  <c r="J294" i="6"/>
  <c r="AK294" i="6" s="1"/>
  <c r="K294" i="6"/>
  <c r="AL294" i="6" s="1"/>
  <c r="L294" i="6"/>
  <c r="AM294" i="6" s="1"/>
  <c r="M294" i="6"/>
  <c r="N294" i="6"/>
  <c r="O294" i="6"/>
  <c r="P294" i="6"/>
  <c r="Q294" i="6"/>
  <c r="R294" i="6"/>
  <c r="S294" i="6"/>
  <c r="T294" i="6"/>
  <c r="U294" i="6"/>
  <c r="J295" i="6"/>
  <c r="AK295" i="6" s="1"/>
  <c r="K295" i="6"/>
  <c r="L295" i="6"/>
  <c r="AM295" i="6" s="1"/>
  <c r="M295" i="6"/>
  <c r="N295" i="6"/>
  <c r="O295" i="6"/>
  <c r="P295" i="6"/>
  <c r="Q295" i="6"/>
  <c r="R295" i="6"/>
  <c r="S295" i="6"/>
  <c r="T295" i="6"/>
  <c r="U295" i="6"/>
  <c r="J296" i="6"/>
  <c r="AK296" i="6" s="1"/>
  <c r="K296" i="6"/>
  <c r="AL296" i="6" s="1"/>
  <c r="L296" i="6"/>
  <c r="AM296" i="6" s="1"/>
  <c r="M296" i="6"/>
  <c r="N296" i="6"/>
  <c r="O296" i="6"/>
  <c r="P296" i="6"/>
  <c r="Q296" i="6"/>
  <c r="R296" i="6"/>
  <c r="S296" i="6"/>
  <c r="T296" i="6"/>
  <c r="U296" i="6"/>
  <c r="J297" i="6"/>
  <c r="AK297" i="6" s="1"/>
  <c r="K297" i="6"/>
  <c r="AL297" i="6" s="1"/>
  <c r="L297" i="6"/>
  <c r="AM297" i="6" s="1"/>
  <c r="M297" i="6"/>
  <c r="N297" i="6"/>
  <c r="O297" i="6"/>
  <c r="P297" i="6"/>
  <c r="Q297" i="6"/>
  <c r="R297" i="6"/>
  <c r="S297" i="6"/>
  <c r="T297" i="6"/>
  <c r="U297" i="6"/>
  <c r="J298" i="6"/>
  <c r="AK298" i="6" s="1"/>
  <c r="K298" i="6"/>
  <c r="AL298" i="6" s="1"/>
  <c r="L298" i="6"/>
  <c r="AM298" i="6" s="1"/>
  <c r="M298" i="6"/>
  <c r="N298" i="6"/>
  <c r="O298" i="6"/>
  <c r="P298" i="6"/>
  <c r="Q298" i="6"/>
  <c r="R298" i="6"/>
  <c r="S298" i="6"/>
  <c r="T298" i="6"/>
  <c r="U298" i="6"/>
  <c r="J299" i="6"/>
  <c r="AK299" i="6" s="1"/>
  <c r="K299" i="6"/>
  <c r="AL299" i="6" s="1"/>
  <c r="L299" i="6"/>
  <c r="AM299" i="6" s="1"/>
  <c r="M299" i="6"/>
  <c r="N299" i="6"/>
  <c r="O299" i="6"/>
  <c r="P299" i="6"/>
  <c r="Q299" i="6"/>
  <c r="R299" i="6"/>
  <c r="S299" i="6"/>
  <c r="T299" i="6"/>
  <c r="U299" i="6"/>
  <c r="J300" i="6"/>
  <c r="AK300" i="6" s="1"/>
  <c r="K300" i="6"/>
  <c r="AL300" i="6" s="1"/>
  <c r="L300" i="6"/>
  <c r="AM300" i="6" s="1"/>
  <c r="M300" i="6"/>
  <c r="N300" i="6"/>
  <c r="O300" i="6"/>
  <c r="P300" i="6"/>
  <c r="Q300" i="6"/>
  <c r="R300" i="6"/>
  <c r="S300" i="6"/>
  <c r="T300" i="6"/>
  <c r="U300" i="6"/>
  <c r="J301" i="6"/>
  <c r="AK301" i="6" s="1"/>
  <c r="K301" i="6"/>
  <c r="AL301" i="6" s="1"/>
  <c r="L301" i="6"/>
  <c r="AM301" i="6" s="1"/>
  <c r="M301" i="6"/>
  <c r="N301" i="6"/>
  <c r="O301" i="6"/>
  <c r="P301" i="6"/>
  <c r="Q301" i="6"/>
  <c r="R301" i="6"/>
  <c r="S301" i="6"/>
  <c r="T301" i="6"/>
  <c r="U301" i="6"/>
  <c r="J302" i="6"/>
  <c r="AK302" i="6" s="1"/>
  <c r="K302" i="6"/>
  <c r="AL302" i="6" s="1"/>
  <c r="L302" i="6"/>
  <c r="AM302" i="6" s="1"/>
  <c r="M302" i="6"/>
  <c r="N302" i="6"/>
  <c r="O302" i="6"/>
  <c r="P302" i="6"/>
  <c r="Q302" i="6"/>
  <c r="R302" i="6"/>
  <c r="S302" i="6"/>
  <c r="T302" i="6"/>
  <c r="U302" i="6"/>
  <c r="J303" i="6"/>
  <c r="AK303" i="6" s="1"/>
  <c r="K303" i="6"/>
  <c r="AL303" i="6" s="1"/>
  <c r="L303" i="6"/>
  <c r="AM303" i="6" s="1"/>
  <c r="M303" i="6"/>
  <c r="N303" i="6"/>
  <c r="O303" i="6"/>
  <c r="P303" i="6"/>
  <c r="Q303" i="6"/>
  <c r="R303" i="6"/>
  <c r="S303" i="6"/>
  <c r="T303" i="6"/>
  <c r="U303" i="6"/>
  <c r="J304" i="6"/>
  <c r="AK304" i="6" s="1"/>
  <c r="K304" i="6"/>
  <c r="AL304" i="6" s="1"/>
  <c r="L304" i="6"/>
  <c r="AM304" i="6" s="1"/>
  <c r="M304" i="6"/>
  <c r="N304" i="6"/>
  <c r="O304" i="6"/>
  <c r="P304" i="6"/>
  <c r="Q304" i="6"/>
  <c r="R304" i="6"/>
  <c r="S304" i="6"/>
  <c r="T304" i="6"/>
  <c r="U304" i="6"/>
  <c r="J305" i="6"/>
  <c r="AK305" i="6" s="1"/>
  <c r="K305" i="6"/>
  <c r="L305" i="6"/>
  <c r="AM305" i="6" s="1"/>
  <c r="M305" i="6"/>
  <c r="N305" i="6"/>
  <c r="O305" i="6"/>
  <c r="P305" i="6"/>
  <c r="Q305" i="6"/>
  <c r="R305" i="6"/>
  <c r="S305" i="6"/>
  <c r="T305" i="6"/>
  <c r="U305" i="6"/>
  <c r="J306" i="6"/>
  <c r="AK306" i="6" s="1"/>
  <c r="K306" i="6"/>
  <c r="AL306" i="6" s="1"/>
  <c r="L306" i="6"/>
  <c r="AM306" i="6" s="1"/>
  <c r="M306" i="6"/>
  <c r="N306" i="6"/>
  <c r="O306" i="6"/>
  <c r="P306" i="6"/>
  <c r="Q306" i="6"/>
  <c r="R306" i="6"/>
  <c r="S306" i="6"/>
  <c r="T306" i="6"/>
  <c r="U306" i="6"/>
  <c r="J307" i="6"/>
  <c r="AK307" i="6" s="1"/>
  <c r="K307" i="6"/>
  <c r="AL307" i="6" s="1"/>
  <c r="L307" i="6"/>
  <c r="AM307" i="6" s="1"/>
  <c r="M307" i="6"/>
  <c r="N307" i="6"/>
  <c r="O307" i="6"/>
  <c r="P307" i="6"/>
  <c r="Q307" i="6"/>
  <c r="R307" i="6"/>
  <c r="S307" i="6"/>
  <c r="T307" i="6"/>
  <c r="U307" i="6"/>
  <c r="J308" i="6"/>
  <c r="AK308" i="6" s="1"/>
  <c r="K308" i="6"/>
  <c r="AL308" i="6" s="1"/>
  <c r="L308" i="6"/>
  <c r="AM308" i="6" s="1"/>
  <c r="M308" i="6"/>
  <c r="N308" i="6"/>
  <c r="O308" i="6"/>
  <c r="P308" i="6"/>
  <c r="Q308" i="6"/>
  <c r="R308" i="6"/>
  <c r="S308" i="6"/>
  <c r="T308" i="6"/>
  <c r="U308" i="6"/>
  <c r="J309" i="6"/>
  <c r="AK309" i="6" s="1"/>
  <c r="K309" i="6"/>
  <c r="AL309" i="6" s="1"/>
  <c r="L309" i="6"/>
  <c r="AM309" i="6" s="1"/>
  <c r="M309" i="6"/>
  <c r="N309" i="6"/>
  <c r="O309" i="6"/>
  <c r="P309" i="6"/>
  <c r="Q309" i="6"/>
  <c r="R309" i="6"/>
  <c r="S309" i="6"/>
  <c r="T309" i="6"/>
  <c r="U309" i="6"/>
  <c r="J310" i="6"/>
  <c r="AK310" i="6" s="1"/>
  <c r="K310" i="6"/>
  <c r="AL310" i="6" s="1"/>
  <c r="L310" i="6"/>
  <c r="AM310" i="6" s="1"/>
  <c r="M310" i="6"/>
  <c r="N310" i="6"/>
  <c r="O310" i="6"/>
  <c r="P310" i="6"/>
  <c r="Q310" i="6"/>
  <c r="R310" i="6"/>
  <c r="S310" i="6"/>
  <c r="T310" i="6"/>
  <c r="U310" i="6"/>
  <c r="J311" i="6"/>
  <c r="AK311" i="6" s="1"/>
  <c r="K311" i="6"/>
  <c r="AL311" i="6" s="1"/>
  <c r="L311" i="6"/>
  <c r="AM311" i="6" s="1"/>
  <c r="M311" i="6"/>
  <c r="N311" i="6"/>
  <c r="O311" i="6"/>
  <c r="P311" i="6"/>
  <c r="Q311" i="6"/>
  <c r="R311" i="6"/>
  <c r="S311" i="6"/>
  <c r="T311" i="6"/>
  <c r="U311" i="6"/>
  <c r="J312" i="6"/>
  <c r="AK312" i="6" s="1"/>
  <c r="K312" i="6"/>
  <c r="AL312" i="6" s="1"/>
  <c r="L312" i="6"/>
  <c r="AM312" i="6" s="1"/>
  <c r="M312" i="6"/>
  <c r="N312" i="6"/>
  <c r="O312" i="6"/>
  <c r="P312" i="6"/>
  <c r="Q312" i="6"/>
  <c r="R312" i="6"/>
  <c r="S312" i="6"/>
  <c r="T312" i="6"/>
  <c r="U312" i="6"/>
  <c r="J313" i="6"/>
  <c r="AK313" i="6" s="1"/>
  <c r="K313" i="6"/>
  <c r="AL313" i="6" s="1"/>
  <c r="L313" i="6"/>
  <c r="AM313" i="6" s="1"/>
  <c r="M313" i="6"/>
  <c r="N313" i="6"/>
  <c r="O313" i="6"/>
  <c r="P313" i="6"/>
  <c r="Q313" i="6"/>
  <c r="R313" i="6"/>
  <c r="S313" i="6"/>
  <c r="T313" i="6"/>
  <c r="U313" i="6"/>
  <c r="J314" i="6"/>
  <c r="AK314" i="6" s="1"/>
  <c r="K314" i="6"/>
  <c r="AL314" i="6" s="1"/>
  <c r="L314" i="6"/>
  <c r="AM314" i="6" s="1"/>
  <c r="M314" i="6"/>
  <c r="N314" i="6"/>
  <c r="O314" i="6"/>
  <c r="P314" i="6"/>
  <c r="Q314" i="6"/>
  <c r="R314" i="6"/>
  <c r="S314" i="6"/>
  <c r="T314" i="6"/>
  <c r="U314" i="6"/>
  <c r="J315" i="6"/>
  <c r="AK315" i="6" s="1"/>
  <c r="K315" i="6"/>
  <c r="AL315" i="6" s="1"/>
  <c r="L315" i="6"/>
  <c r="AM315" i="6" s="1"/>
  <c r="M315" i="6"/>
  <c r="N315" i="6"/>
  <c r="O315" i="6"/>
  <c r="P315" i="6"/>
  <c r="Q315" i="6"/>
  <c r="R315" i="6"/>
  <c r="S315" i="6"/>
  <c r="T315" i="6"/>
  <c r="U315" i="6"/>
  <c r="J316" i="6"/>
  <c r="AK316" i="6" s="1"/>
  <c r="K316" i="6"/>
  <c r="AL316" i="6" s="1"/>
  <c r="L316" i="6"/>
  <c r="AM316" i="6" s="1"/>
  <c r="M316" i="6"/>
  <c r="N316" i="6"/>
  <c r="O316" i="6"/>
  <c r="P316" i="6"/>
  <c r="Q316" i="6"/>
  <c r="R316" i="6"/>
  <c r="S316" i="6"/>
  <c r="T316" i="6"/>
  <c r="U316" i="6"/>
  <c r="J317" i="6"/>
  <c r="AK317" i="6" s="1"/>
  <c r="K317" i="6"/>
  <c r="AL317" i="6" s="1"/>
  <c r="L317" i="6"/>
  <c r="AM317" i="6" s="1"/>
  <c r="M317" i="6"/>
  <c r="N317" i="6"/>
  <c r="O317" i="6"/>
  <c r="P317" i="6"/>
  <c r="Q317" i="6"/>
  <c r="R317" i="6"/>
  <c r="S317" i="6"/>
  <c r="T317" i="6"/>
  <c r="U317" i="6"/>
  <c r="J318" i="6"/>
  <c r="AK318" i="6" s="1"/>
  <c r="K318" i="6"/>
  <c r="AL318" i="6" s="1"/>
  <c r="L318" i="6"/>
  <c r="AM318" i="6" s="1"/>
  <c r="M318" i="6"/>
  <c r="N318" i="6"/>
  <c r="O318" i="6"/>
  <c r="P318" i="6"/>
  <c r="Q318" i="6"/>
  <c r="R318" i="6"/>
  <c r="S318" i="6"/>
  <c r="T318" i="6"/>
  <c r="U318" i="6"/>
  <c r="J319" i="6"/>
  <c r="AK319" i="6" s="1"/>
  <c r="K319" i="6"/>
  <c r="AL319" i="6" s="1"/>
  <c r="L319" i="6"/>
  <c r="AM319" i="6" s="1"/>
  <c r="M319" i="6"/>
  <c r="N319" i="6"/>
  <c r="O319" i="6"/>
  <c r="P319" i="6"/>
  <c r="Q319" i="6"/>
  <c r="R319" i="6"/>
  <c r="S319" i="6"/>
  <c r="T319" i="6"/>
  <c r="U319" i="6"/>
  <c r="J320" i="6"/>
  <c r="AK320" i="6" s="1"/>
  <c r="K320" i="6"/>
  <c r="AL320" i="6" s="1"/>
  <c r="L320" i="6"/>
  <c r="AM320" i="6" s="1"/>
  <c r="M320" i="6"/>
  <c r="N320" i="6"/>
  <c r="O320" i="6"/>
  <c r="P320" i="6"/>
  <c r="Q320" i="6"/>
  <c r="R320" i="6"/>
  <c r="S320" i="6"/>
  <c r="T320" i="6"/>
  <c r="U320" i="6"/>
  <c r="J321" i="6"/>
  <c r="AK321" i="6" s="1"/>
  <c r="K321" i="6"/>
  <c r="AL321" i="6" s="1"/>
  <c r="L321" i="6"/>
  <c r="AM321" i="6" s="1"/>
  <c r="M321" i="6"/>
  <c r="N321" i="6"/>
  <c r="O321" i="6"/>
  <c r="P321" i="6"/>
  <c r="Q321" i="6"/>
  <c r="R321" i="6"/>
  <c r="S321" i="6"/>
  <c r="T321" i="6"/>
  <c r="U321" i="6"/>
  <c r="J322" i="6"/>
  <c r="AK322" i="6" s="1"/>
  <c r="K322" i="6"/>
  <c r="AL322" i="6" s="1"/>
  <c r="L322" i="6"/>
  <c r="AM322" i="6" s="1"/>
  <c r="M322" i="6"/>
  <c r="N322" i="6"/>
  <c r="O322" i="6"/>
  <c r="P322" i="6"/>
  <c r="Q322" i="6"/>
  <c r="R322" i="6"/>
  <c r="S322" i="6"/>
  <c r="T322" i="6"/>
  <c r="U322" i="6"/>
  <c r="J323" i="6"/>
  <c r="AK323" i="6" s="1"/>
  <c r="K323" i="6"/>
  <c r="AL323" i="6" s="1"/>
  <c r="L323" i="6"/>
  <c r="AM323" i="6" s="1"/>
  <c r="M323" i="6"/>
  <c r="N323" i="6"/>
  <c r="O323" i="6"/>
  <c r="P323" i="6"/>
  <c r="Q323" i="6"/>
  <c r="R323" i="6"/>
  <c r="S323" i="6"/>
  <c r="T323" i="6"/>
  <c r="U323" i="6"/>
  <c r="J324" i="6"/>
  <c r="AK324" i="6" s="1"/>
  <c r="K324" i="6"/>
  <c r="AL324" i="6" s="1"/>
  <c r="L324" i="6"/>
  <c r="AM324" i="6" s="1"/>
  <c r="M324" i="6"/>
  <c r="N324" i="6"/>
  <c r="O324" i="6"/>
  <c r="P324" i="6"/>
  <c r="Q324" i="6"/>
  <c r="R324" i="6"/>
  <c r="S324" i="6"/>
  <c r="T324" i="6"/>
  <c r="U324" i="6"/>
  <c r="J325" i="6"/>
  <c r="AK325" i="6" s="1"/>
  <c r="K325" i="6"/>
  <c r="AL325" i="6" s="1"/>
  <c r="L325" i="6"/>
  <c r="AM325" i="6" s="1"/>
  <c r="M325" i="6"/>
  <c r="N325" i="6"/>
  <c r="O325" i="6"/>
  <c r="P325" i="6"/>
  <c r="Q325" i="6"/>
  <c r="R325" i="6"/>
  <c r="S325" i="6"/>
  <c r="T325" i="6"/>
  <c r="U325" i="6"/>
  <c r="J326" i="6"/>
  <c r="AK326" i="6" s="1"/>
  <c r="K326" i="6"/>
  <c r="L326" i="6"/>
  <c r="AM326" i="6" s="1"/>
  <c r="M326" i="6"/>
  <c r="N326" i="6"/>
  <c r="O326" i="6"/>
  <c r="P326" i="6"/>
  <c r="Q326" i="6"/>
  <c r="R326" i="6"/>
  <c r="S326" i="6"/>
  <c r="T326" i="6"/>
  <c r="U326" i="6"/>
  <c r="J327" i="6"/>
  <c r="AK327" i="6" s="1"/>
  <c r="K327" i="6"/>
  <c r="AL327" i="6" s="1"/>
  <c r="L327" i="6"/>
  <c r="AM327" i="6" s="1"/>
  <c r="M327" i="6"/>
  <c r="N327" i="6"/>
  <c r="O327" i="6"/>
  <c r="P327" i="6"/>
  <c r="Q327" i="6"/>
  <c r="R327" i="6"/>
  <c r="S327" i="6"/>
  <c r="T327" i="6"/>
  <c r="U327" i="6"/>
  <c r="J328" i="6"/>
  <c r="AK328" i="6" s="1"/>
  <c r="K328" i="6"/>
  <c r="AL328" i="6" s="1"/>
  <c r="L328" i="6"/>
  <c r="AM328" i="6" s="1"/>
  <c r="M328" i="6"/>
  <c r="N328" i="6"/>
  <c r="O328" i="6"/>
  <c r="P328" i="6"/>
  <c r="Q328" i="6"/>
  <c r="R328" i="6"/>
  <c r="S328" i="6"/>
  <c r="T328" i="6"/>
  <c r="U328" i="6"/>
  <c r="J329" i="6"/>
  <c r="AK329" i="6" s="1"/>
  <c r="K329" i="6"/>
  <c r="AL329" i="6" s="1"/>
  <c r="L329" i="6"/>
  <c r="AM329" i="6" s="1"/>
  <c r="M329" i="6"/>
  <c r="N329" i="6"/>
  <c r="O329" i="6"/>
  <c r="P329" i="6"/>
  <c r="Q329" i="6"/>
  <c r="R329" i="6"/>
  <c r="S329" i="6"/>
  <c r="T329" i="6"/>
  <c r="U329" i="6"/>
  <c r="J330" i="6"/>
  <c r="AK330" i="6" s="1"/>
  <c r="K330" i="6"/>
  <c r="AL330" i="6" s="1"/>
  <c r="L330" i="6"/>
  <c r="AM330" i="6" s="1"/>
  <c r="M330" i="6"/>
  <c r="N330" i="6"/>
  <c r="O330" i="6"/>
  <c r="P330" i="6"/>
  <c r="Q330" i="6"/>
  <c r="R330" i="6"/>
  <c r="S330" i="6"/>
  <c r="T330" i="6"/>
  <c r="U330" i="6"/>
  <c r="J331" i="6"/>
  <c r="AK331" i="6" s="1"/>
  <c r="K331" i="6"/>
  <c r="AL331" i="6" s="1"/>
  <c r="L331" i="6"/>
  <c r="AM331" i="6" s="1"/>
  <c r="M331" i="6"/>
  <c r="N331" i="6"/>
  <c r="O331" i="6"/>
  <c r="P331" i="6"/>
  <c r="Q331" i="6"/>
  <c r="R331" i="6"/>
  <c r="S331" i="6"/>
  <c r="T331" i="6"/>
  <c r="U331" i="6"/>
  <c r="J332" i="6"/>
  <c r="AK332" i="6" s="1"/>
  <c r="K332" i="6"/>
  <c r="L332" i="6"/>
  <c r="AM332" i="6" s="1"/>
  <c r="M332" i="6"/>
  <c r="N332" i="6"/>
  <c r="O332" i="6"/>
  <c r="P332" i="6"/>
  <c r="Q332" i="6"/>
  <c r="R332" i="6"/>
  <c r="S332" i="6"/>
  <c r="T332" i="6"/>
  <c r="U332" i="6"/>
  <c r="J333" i="6"/>
  <c r="AK333" i="6" s="1"/>
  <c r="K333" i="6"/>
  <c r="AL333" i="6" s="1"/>
  <c r="L333" i="6"/>
  <c r="AM333" i="6" s="1"/>
  <c r="M333" i="6"/>
  <c r="N333" i="6"/>
  <c r="O333" i="6"/>
  <c r="P333" i="6"/>
  <c r="Q333" i="6"/>
  <c r="R333" i="6"/>
  <c r="S333" i="6"/>
  <c r="T333" i="6"/>
  <c r="U333" i="6"/>
  <c r="J334" i="6"/>
  <c r="AK334" i="6" s="1"/>
  <c r="K334" i="6"/>
  <c r="AL334" i="6" s="1"/>
  <c r="L334" i="6"/>
  <c r="AM334" i="6" s="1"/>
  <c r="M334" i="6"/>
  <c r="N334" i="6"/>
  <c r="O334" i="6"/>
  <c r="P334" i="6"/>
  <c r="Q334" i="6"/>
  <c r="R334" i="6"/>
  <c r="S334" i="6"/>
  <c r="T334" i="6"/>
  <c r="U334" i="6"/>
  <c r="J335" i="6"/>
  <c r="AK335" i="6" s="1"/>
  <c r="K335" i="6"/>
  <c r="AL335" i="6" s="1"/>
  <c r="L335" i="6"/>
  <c r="AM335" i="6" s="1"/>
  <c r="M335" i="6"/>
  <c r="N335" i="6"/>
  <c r="O335" i="6"/>
  <c r="P335" i="6"/>
  <c r="Q335" i="6"/>
  <c r="R335" i="6"/>
  <c r="S335" i="6"/>
  <c r="T335" i="6"/>
  <c r="U335" i="6"/>
  <c r="J336" i="6"/>
  <c r="AK336" i="6" s="1"/>
  <c r="K336" i="6"/>
  <c r="AL336" i="6" s="1"/>
  <c r="L336" i="6"/>
  <c r="AM336" i="6" s="1"/>
  <c r="M336" i="6"/>
  <c r="N336" i="6"/>
  <c r="O336" i="6"/>
  <c r="P336" i="6"/>
  <c r="Q336" i="6"/>
  <c r="R336" i="6"/>
  <c r="S336" i="6"/>
  <c r="T336" i="6"/>
  <c r="U336" i="6"/>
  <c r="J337" i="6"/>
  <c r="AK337" i="6" s="1"/>
  <c r="K337" i="6"/>
  <c r="AL337" i="6" s="1"/>
  <c r="L337" i="6"/>
  <c r="AM337" i="6" s="1"/>
  <c r="M337" i="6"/>
  <c r="N337" i="6"/>
  <c r="O337" i="6"/>
  <c r="P337" i="6"/>
  <c r="Q337" i="6"/>
  <c r="R337" i="6"/>
  <c r="S337" i="6"/>
  <c r="T337" i="6"/>
  <c r="U337" i="6"/>
  <c r="J338" i="6"/>
  <c r="AK338" i="6" s="1"/>
  <c r="K338" i="6"/>
  <c r="AL338" i="6" s="1"/>
  <c r="L338" i="6"/>
  <c r="AM338" i="6" s="1"/>
  <c r="M338" i="6"/>
  <c r="N338" i="6"/>
  <c r="O338" i="6"/>
  <c r="P338" i="6"/>
  <c r="Q338" i="6"/>
  <c r="R338" i="6"/>
  <c r="S338" i="6"/>
  <c r="T338" i="6"/>
  <c r="U338" i="6"/>
  <c r="J339" i="6"/>
  <c r="AK339" i="6" s="1"/>
  <c r="K339" i="6"/>
  <c r="AL339" i="6" s="1"/>
  <c r="L339" i="6"/>
  <c r="AM339" i="6" s="1"/>
  <c r="M339" i="6"/>
  <c r="N339" i="6"/>
  <c r="O339" i="6"/>
  <c r="P339" i="6"/>
  <c r="Q339" i="6"/>
  <c r="R339" i="6"/>
  <c r="S339" i="6"/>
  <c r="T339" i="6"/>
  <c r="U339" i="6"/>
  <c r="J340" i="6"/>
  <c r="AK340" i="6" s="1"/>
  <c r="K340" i="6"/>
  <c r="AL340" i="6" s="1"/>
  <c r="L340" i="6"/>
  <c r="AM340" i="6" s="1"/>
  <c r="M340" i="6"/>
  <c r="N340" i="6"/>
  <c r="O340" i="6"/>
  <c r="P340" i="6"/>
  <c r="Q340" i="6"/>
  <c r="R340" i="6"/>
  <c r="S340" i="6"/>
  <c r="T340" i="6"/>
  <c r="U340" i="6"/>
  <c r="J341" i="6"/>
  <c r="AK341" i="6" s="1"/>
  <c r="K341" i="6"/>
  <c r="AL341" i="6" s="1"/>
  <c r="L341" i="6"/>
  <c r="AM341" i="6" s="1"/>
  <c r="M341" i="6"/>
  <c r="N341" i="6"/>
  <c r="O341" i="6"/>
  <c r="P341" i="6"/>
  <c r="Q341" i="6"/>
  <c r="R341" i="6"/>
  <c r="S341" i="6"/>
  <c r="T341" i="6"/>
  <c r="U341" i="6"/>
  <c r="J342" i="6"/>
  <c r="AK342" i="6" s="1"/>
  <c r="K342" i="6"/>
  <c r="L342" i="6"/>
  <c r="AM342" i="6" s="1"/>
  <c r="M342" i="6"/>
  <c r="N342" i="6"/>
  <c r="O342" i="6"/>
  <c r="P342" i="6"/>
  <c r="Q342" i="6"/>
  <c r="R342" i="6"/>
  <c r="S342" i="6"/>
  <c r="T342" i="6"/>
  <c r="U342" i="6"/>
  <c r="J343" i="6"/>
  <c r="AK343" i="6" s="1"/>
  <c r="K343" i="6"/>
  <c r="AL343" i="6" s="1"/>
  <c r="L343" i="6"/>
  <c r="AM343" i="6" s="1"/>
  <c r="M343" i="6"/>
  <c r="N343" i="6"/>
  <c r="O343" i="6"/>
  <c r="P343" i="6"/>
  <c r="Q343" i="6"/>
  <c r="R343" i="6"/>
  <c r="S343" i="6"/>
  <c r="T343" i="6"/>
  <c r="U343" i="6"/>
  <c r="J344" i="6"/>
  <c r="AK344" i="6" s="1"/>
  <c r="K344" i="6"/>
  <c r="AL344" i="6" s="1"/>
  <c r="L344" i="6"/>
  <c r="AM344" i="6" s="1"/>
  <c r="M344" i="6"/>
  <c r="N344" i="6"/>
  <c r="O344" i="6"/>
  <c r="P344" i="6"/>
  <c r="Q344" i="6"/>
  <c r="R344" i="6"/>
  <c r="S344" i="6"/>
  <c r="T344" i="6"/>
  <c r="U344" i="6"/>
  <c r="J345" i="6"/>
  <c r="AK345" i="6" s="1"/>
  <c r="K345" i="6"/>
  <c r="AL345" i="6" s="1"/>
  <c r="L345" i="6"/>
  <c r="AM345" i="6" s="1"/>
  <c r="M345" i="6"/>
  <c r="N345" i="6"/>
  <c r="O345" i="6"/>
  <c r="P345" i="6"/>
  <c r="Q345" i="6"/>
  <c r="R345" i="6"/>
  <c r="S345" i="6"/>
  <c r="T345" i="6"/>
  <c r="U345" i="6"/>
  <c r="J346" i="6"/>
  <c r="AK346" i="6" s="1"/>
  <c r="K346" i="6"/>
  <c r="AL346" i="6" s="1"/>
  <c r="L346" i="6"/>
  <c r="AM346" i="6" s="1"/>
  <c r="M346" i="6"/>
  <c r="N346" i="6"/>
  <c r="O346" i="6"/>
  <c r="P346" i="6"/>
  <c r="Q346" i="6"/>
  <c r="R346" i="6"/>
  <c r="S346" i="6"/>
  <c r="T346" i="6"/>
  <c r="U346" i="6"/>
  <c r="J347" i="6"/>
  <c r="AK347" i="6" s="1"/>
  <c r="K347" i="6"/>
  <c r="AL347" i="6" s="1"/>
  <c r="L347" i="6"/>
  <c r="AM347" i="6" s="1"/>
  <c r="M347" i="6"/>
  <c r="N347" i="6"/>
  <c r="O347" i="6"/>
  <c r="P347" i="6"/>
  <c r="Q347" i="6"/>
  <c r="R347" i="6"/>
  <c r="S347" i="6"/>
  <c r="T347" i="6"/>
  <c r="U347" i="6"/>
  <c r="J348" i="6"/>
  <c r="AK348" i="6" s="1"/>
  <c r="K348" i="6"/>
  <c r="AL348" i="6" s="1"/>
  <c r="L348" i="6"/>
  <c r="AM348" i="6" s="1"/>
  <c r="M348" i="6"/>
  <c r="N348" i="6"/>
  <c r="O348" i="6"/>
  <c r="P348" i="6"/>
  <c r="Q348" i="6"/>
  <c r="R348" i="6"/>
  <c r="S348" i="6"/>
  <c r="T348" i="6"/>
  <c r="U348" i="6"/>
  <c r="J349" i="6"/>
  <c r="AK349" i="6" s="1"/>
  <c r="K349" i="6"/>
  <c r="AL349" i="6" s="1"/>
  <c r="L349" i="6"/>
  <c r="AM349" i="6" s="1"/>
  <c r="M349" i="6"/>
  <c r="N349" i="6"/>
  <c r="O349" i="6"/>
  <c r="P349" i="6"/>
  <c r="Q349" i="6"/>
  <c r="R349" i="6"/>
  <c r="S349" i="6"/>
  <c r="T349" i="6"/>
  <c r="U349" i="6"/>
  <c r="J350" i="6"/>
  <c r="AK350" i="6" s="1"/>
  <c r="K350" i="6"/>
  <c r="AL350" i="6" s="1"/>
  <c r="L350" i="6"/>
  <c r="AM350" i="6" s="1"/>
  <c r="M350" i="6"/>
  <c r="N350" i="6"/>
  <c r="O350" i="6"/>
  <c r="P350" i="6"/>
  <c r="Q350" i="6"/>
  <c r="R350" i="6"/>
  <c r="S350" i="6"/>
  <c r="T350" i="6"/>
  <c r="U350" i="6"/>
  <c r="J351" i="6"/>
  <c r="AK351" i="6" s="1"/>
  <c r="K351" i="6"/>
  <c r="AL351" i="6" s="1"/>
  <c r="L351" i="6"/>
  <c r="AM351" i="6" s="1"/>
  <c r="M351" i="6"/>
  <c r="N351" i="6"/>
  <c r="O351" i="6"/>
  <c r="P351" i="6"/>
  <c r="Q351" i="6"/>
  <c r="R351" i="6"/>
  <c r="S351" i="6"/>
  <c r="T351" i="6"/>
  <c r="U351" i="6"/>
  <c r="J352" i="6"/>
  <c r="AK352" i="6" s="1"/>
  <c r="K352" i="6"/>
  <c r="AL352" i="6" s="1"/>
  <c r="L352" i="6"/>
  <c r="AM352" i="6" s="1"/>
  <c r="M352" i="6"/>
  <c r="N352" i="6"/>
  <c r="O352" i="6"/>
  <c r="P352" i="6"/>
  <c r="Q352" i="6"/>
  <c r="R352" i="6"/>
  <c r="S352" i="6"/>
  <c r="T352" i="6"/>
  <c r="U352" i="6"/>
  <c r="J353" i="6"/>
  <c r="AK353" i="6" s="1"/>
  <c r="K353" i="6"/>
  <c r="AL353" i="6" s="1"/>
  <c r="L353" i="6"/>
  <c r="AM353" i="6" s="1"/>
  <c r="M353" i="6"/>
  <c r="N353" i="6"/>
  <c r="O353" i="6"/>
  <c r="P353" i="6"/>
  <c r="Q353" i="6"/>
  <c r="R353" i="6"/>
  <c r="S353" i="6"/>
  <c r="T353" i="6"/>
  <c r="U353" i="6"/>
  <c r="J354" i="6"/>
  <c r="AK354" i="6" s="1"/>
  <c r="K354" i="6"/>
  <c r="AL354" i="6" s="1"/>
  <c r="L354" i="6"/>
  <c r="AM354" i="6" s="1"/>
  <c r="M354" i="6"/>
  <c r="N354" i="6"/>
  <c r="O354" i="6"/>
  <c r="P354" i="6"/>
  <c r="Q354" i="6"/>
  <c r="R354" i="6"/>
  <c r="S354" i="6"/>
  <c r="T354" i="6"/>
  <c r="U354" i="6"/>
  <c r="J355" i="6"/>
  <c r="AK355" i="6" s="1"/>
  <c r="K355" i="6"/>
  <c r="AL355" i="6" s="1"/>
  <c r="L355" i="6"/>
  <c r="AM355" i="6" s="1"/>
  <c r="M355" i="6"/>
  <c r="N355" i="6"/>
  <c r="O355" i="6"/>
  <c r="P355" i="6"/>
  <c r="Q355" i="6"/>
  <c r="R355" i="6"/>
  <c r="S355" i="6"/>
  <c r="T355" i="6"/>
  <c r="U355" i="6"/>
  <c r="J356" i="6"/>
  <c r="AK356" i="6" s="1"/>
  <c r="K356" i="6"/>
  <c r="AL356" i="6" s="1"/>
  <c r="L356" i="6"/>
  <c r="AM356" i="6" s="1"/>
  <c r="M356" i="6"/>
  <c r="N356" i="6"/>
  <c r="O356" i="6"/>
  <c r="P356" i="6"/>
  <c r="Q356" i="6"/>
  <c r="R356" i="6"/>
  <c r="S356" i="6"/>
  <c r="T356" i="6"/>
  <c r="U356" i="6"/>
  <c r="J357" i="6"/>
  <c r="AK357" i="6" s="1"/>
  <c r="K357" i="6"/>
  <c r="AL357" i="6" s="1"/>
  <c r="L357" i="6"/>
  <c r="AM357" i="6" s="1"/>
  <c r="M357" i="6"/>
  <c r="N357" i="6"/>
  <c r="O357" i="6"/>
  <c r="P357" i="6"/>
  <c r="Q357" i="6"/>
  <c r="R357" i="6"/>
  <c r="S357" i="6"/>
  <c r="T357" i="6"/>
  <c r="U357" i="6"/>
  <c r="J358" i="6"/>
  <c r="AK358" i="6" s="1"/>
  <c r="K358" i="6"/>
  <c r="AL358" i="6" s="1"/>
  <c r="L358" i="6"/>
  <c r="AM358" i="6" s="1"/>
  <c r="M358" i="6"/>
  <c r="N358" i="6"/>
  <c r="O358" i="6"/>
  <c r="P358" i="6"/>
  <c r="Q358" i="6"/>
  <c r="R358" i="6"/>
  <c r="S358" i="6"/>
  <c r="T358" i="6"/>
  <c r="U358" i="6"/>
  <c r="J359" i="6"/>
  <c r="AK359" i="6" s="1"/>
  <c r="K359" i="6"/>
  <c r="AL359" i="6" s="1"/>
  <c r="L359" i="6"/>
  <c r="AM359" i="6" s="1"/>
  <c r="M359" i="6"/>
  <c r="N359" i="6"/>
  <c r="O359" i="6"/>
  <c r="P359" i="6"/>
  <c r="Q359" i="6"/>
  <c r="R359" i="6"/>
  <c r="S359" i="6"/>
  <c r="T359" i="6"/>
  <c r="U359" i="6"/>
  <c r="J360" i="6"/>
  <c r="AK360" i="6" s="1"/>
  <c r="K360" i="6"/>
  <c r="AL360" i="6" s="1"/>
  <c r="L360" i="6"/>
  <c r="AM360" i="6" s="1"/>
  <c r="M360" i="6"/>
  <c r="N360" i="6"/>
  <c r="O360" i="6"/>
  <c r="P360" i="6"/>
  <c r="Q360" i="6"/>
  <c r="R360" i="6"/>
  <c r="S360" i="6"/>
  <c r="T360" i="6"/>
  <c r="U360" i="6"/>
  <c r="J361" i="6"/>
  <c r="AK361" i="6" s="1"/>
  <c r="K361" i="6"/>
  <c r="AL361" i="6" s="1"/>
  <c r="L361" i="6"/>
  <c r="AM361" i="6" s="1"/>
  <c r="M361" i="6"/>
  <c r="N361" i="6"/>
  <c r="O361" i="6"/>
  <c r="P361" i="6"/>
  <c r="Q361" i="6"/>
  <c r="R361" i="6"/>
  <c r="S361" i="6"/>
  <c r="T361" i="6"/>
  <c r="U361" i="6"/>
  <c r="J362" i="6"/>
  <c r="AK362" i="6" s="1"/>
  <c r="K362" i="6"/>
  <c r="AL362" i="6" s="1"/>
  <c r="L362" i="6"/>
  <c r="AM362" i="6" s="1"/>
  <c r="M362" i="6"/>
  <c r="N362" i="6"/>
  <c r="O362" i="6"/>
  <c r="P362" i="6"/>
  <c r="Q362" i="6"/>
  <c r="R362" i="6"/>
  <c r="S362" i="6"/>
  <c r="T362" i="6"/>
  <c r="U362" i="6"/>
  <c r="J363" i="6"/>
  <c r="AK363" i="6" s="1"/>
  <c r="K363" i="6"/>
  <c r="AL363" i="6" s="1"/>
  <c r="L363" i="6"/>
  <c r="AM363" i="6" s="1"/>
  <c r="M363" i="6"/>
  <c r="N363" i="6"/>
  <c r="O363" i="6"/>
  <c r="P363" i="6"/>
  <c r="Q363" i="6"/>
  <c r="R363" i="6"/>
  <c r="S363" i="6"/>
  <c r="T363" i="6"/>
  <c r="U363" i="6"/>
  <c r="J364" i="6"/>
  <c r="AK364" i="6" s="1"/>
  <c r="K364" i="6"/>
  <c r="AL364" i="6" s="1"/>
  <c r="L364" i="6"/>
  <c r="AM364" i="6" s="1"/>
  <c r="M364" i="6"/>
  <c r="N364" i="6"/>
  <c r="O364" i="6"/>
  <c r="P364" i="6"/>
  <c r="Q364" i="6"/>
  <c r="R364" i="6"/>
  <c r="S364" i="6"/>
  <c r="T364" i="6"/>
  <c r="U364" i="6"/>
  <c r="J365" i="6"/>
  <c r="AK365" i="6" s="1"/>
  <c r="K365" i="6"/>
  <c r="AL365" i="6" s="1"/>
  <c r="L365" i="6"/>
  <c r="AM365" i="6" s="1"/>
  <c r="M365" i="6"/>
  <c r="N365" i="6"/>
  <c r="O365" i="6"/>
  <c r="P365" i="6"/>
  <c r="Q365" i="6"/>
  <c r="R365" i="6"/>
  <c r="S365" i="6"/>
  <c r="T365" i="6"/>
  <c r="U365" i="6"/>
  <c r="J366" i="6"/>
  <c r="AK366" i="6" s="1"/>
  <c r="K366" i="6"/>
  <c r="AL366" i="6" s="1"/>
  <c r="L366" i="6"/>
  <c r="AM366" i="6" s="1"/>
  <c r="M366" i="6"/>
  <c r="N366" i="6"/>
  <c r="O366" i="6"/>
  <c r="P366" i="6"/>
  <c r="Q366" i="6"/>
  <c r="R366" i="6"/>
  <c r="S366" i="6"/>
  <c r="T366" i="6"/>
  <c r="U366" i="6"/>
  <c r="J367" i="6"/>
  <c r="AK367" i="6" s="1"/>
  <c r="K367" i="6"/>
  <c r="AL367" i="6" s="1"/>
  <c r="L367" i="6"/>
  <c r="AM367" i="6" s="1"/>
  <c r="M367" i="6"/>
  <c r="N367" i="6"/>
  <c r="O367" i="6"/>
  <c r="P367" i="6"/>
  <c r="Q367" i="6"/>
  <c r="R367" i="6"/>
  <c r="S367" i="6"/>
  <c r="T367" i="6"/>
  <c r="U367" i="6"/>
  <c r="J368" i="6"/>
  <c r="AK368" i="6" s="1"/>
  <c r="K368" i="6"/>
  <c r="AL368" i="6" s="1"/>
  <c r="L368" i="6"/>
  <c r="AM368" i="6" s="1"/>
  <c r="M368" i="6"/>
  <c r="N368" i="6"/>
  <c r="O368" i="6"/>
  <c r="P368" i="6"/>
  <c r="Q368" i="6"/>
  <c r="R368" i="6"/>
  <c r="S368" i="6"/>
  <c r="T368" i="6"/>
  <c r="U368" i="6"/>
  <c r="J369" i="6"/>
  <c r="AK369" i="6" s="1"/>
  <c r="K369" i="6"/>
  <c r="AL369" i="6" s="1"/>
  <c r="L369" i="6"/>
  <c r="AM369" i="6" s="1"/>
  <c r="M369" i="6"/>
  <c r="N369" i="6"/>
  <c r="O369" i="6"/>
  <c r="P369" i="6"/>
  <c r="Q369" i="6"/>
  <c r="R369" i="6"/>
  <c r="S369" i="6"/>
  <c r="T369" i="6"/>
  <c r="U369" i="6"/>
  <c r="J370" i="6"/>
  <c r="AK370" i="6" s="1"/>
  <c r="K370" i="6"/>
  <c r="AL370" i="6" s="1"/>
  <c r="L370" i="6"/>
  <c r="AM370" i="6" s="1"/>
  <c r="M370" i="6"/>
  <c r="N370" i="6"/>
  <c r="O370" i="6"/>
  <c r="P370" i="6"/>
  <c r="Q370" i="6"/>
  <c r="R370" i="6"/>
  <c r="S370" i="6"/>
  <c r="T370" i="6"/>
  <c r="U370" i="6"/>
  <c r="J371" i="6"/>
  <c r="AK371" i="6" s="1"/>
  <c r="K371" i="6"/>
  <c r="AL371" i="6" s="1"/>
  <c r="L371" i="6"/>
  <c r="AM371" i="6" s="1"/>
  <c r="M371" i="6"/>
  <c r="N371" i="6"/>
  <c r="O371" i="6"/>
  <c r="P371" i="6"/>
  <c r="Q371" i="6"/>
  <c r="R371" i="6"/>
  <c r="S371" i="6"/>
  <c r="T371" i="6"/>
  <c r="U371" i="6"/>
  <c r="J372" i="6"/>
  <c r="AK372" i="6" s="1"/>
  <c r="K372" i="6"/>
  <c r="AL372" i="6" s="1"/>
  <c r="L372" i="6"/>
  <c r="AM372" i="6" s="1"/>
  <c r="M372" i="6"/>
  <c r="N372" i="6"/>
  <c r="O372" i="6"/>
  <c r="P372" i="6"/>
  <c r="Q372" i="6"/>
  <c r="R372" i="6"/>
  <c r="S372" i="6"/>
  <c r="T372" i="6"/>
  <c r="U372" i="6"/>
  <c r="J373" i="6"/>
  <c r="AK373" i="6" s="1"/>
  <c r="K373" i="6"/>
  <c r="AL373" i="6" s="1"/>
  <c r="L373" i="6"/>
  <c r="AM373" i="6" s="1"/>
  <c r="M373" i="6"/>
  <c r="N373" i="6"/>
  <c r="O373" i="6"/>
  <c r="P373" i="6"/>
  <c r="Q373" i="6"/>
  <c r="R373" i="6"/>
  <c r="S373" i="6"/>
  <c r="T373" i="6"/>
  <c r="U373" i="6"/>
  <c r="J374" i="6"/>
  <c r="AK374" i="6" s="1"/>
  <c r="K374" i="6"/>
  <c r="AL374" i="6" s="1"/>
  <c r="L374" i="6"/>
  <c r="AM374" i="6" s="1"/>
  <c r="M374" i="6"/>
  <c r="N374" i="6"/>
  <c r="O374" i="6"/>
  <c r="P374" i="6"/>
  <c r="Q374" i="6"/>
  <c r="R374" i="6"/>
  <c r="S374" i="6"/>
  <c r="T374" i="6"/>
  <c r="U374" i="6"/>
  <c r="J375" i="6"/>
  <c r="AK375" i="6" s="1"/>
  <c r="K375" i="6"/>
  <c r="AL375" i="6" s="1"/>
  <c r="L375" i="6"/>
  <c r="AM375" i="6" s="1"/>
  <c r="M375" i="6"/>
  <c r="N375" i="6"/>
  <c r="O375" i="6"/>
  <c r="P375" i="6"/>
  <c r="Q375" i="6"/>
  <c r="R375" i="6"/>
  <c r="S375" i="6"/>
  <c r="T375" i="6"/>
  <c r="U375" i="6"/>
  <c r="J376" i="6"/>
  <c r="AK376" i="6" s="1"/>
  <c r="K376" i="6"/>
  <c r="AL376" i="6" s="1"/>
  <c r="L376" i="6"/>
  <c r="AM376" i="6" s="1"/>
  <c r="M376" i="6"/>
  <c r="N376" i="6"/>
  <c r="O376" i="6"/>
  <c r="P376" i="6"/>
  <c r="Q376" i="6"/>
  <c r="R376" i="6"/>
  <c r="S376" i="6"/>
  <c r="T376" i="6"/>
  <c r="U376" i="6"/>
  <c r="J377" i="6"/>
  <c r="AK377" i="6" s="1"/>
  <c r="K377" i="6"/>
  <c r="AL377" i="6" s="1"/>
  <c r="L377" i="6"/>
  <c r="AM377" i="6" s="1"/>
  <c r="M377" i="6"/>
  <c r="N377" i="6"/>
  <c r="O377" i="6"/>
  <c r="P377" i="6"/>
  <c r="Q377" i="6"/>
  <c r="R377" i="6"/>
  <c r="S377" i="6"/>
  <c r="T377" i="6"/>
  <c r="U377" i="6"/>
  <c r="J378" i="6"/>
  <c r="AK378" i="6" s="1"/>
  <c r="K378" i="6"/>
  <c r="AL378" i="6" s="1"/>
  <c r="L378" i="6"/>
  <c r="AM378" i="6" s="1"/>
  <c r="M378" i="6"/>
  <c r="N378" i="6"/>
  <c r="O378" i="6"/>
  <c r="P378" i="6"/>
  <c r="Q378" i="6"/>
  <c r="R378" i="6"/>
  <c r="S378" i="6"/>
  <c r="T378" i="6"/>
  <c r="U378" i="6"/>
  <c r="J379" i="6"/>
  <c r="AK379" i="6" s="1"/>
  <c r="K379" i="6"/>
  <c r="AL379" i="6" s="1"/>
  <c r="L379" i="6"/>
  <c r="AM379" i="6" s="1"/>
  <c r="M379" i="6"/>
  <c r="N379" i="6"/>
  <c r="O379" i="6"/>
  <c r="P379" i="6"/>
  <c r="Q379" i="6"/>
  <c r="R379" i="6"/>
  <c r="S379" i="6"/>
  <c r="T379" i="6"/>
  <c r="U379" i="6"/>
  <c r="J380" i="6"/>
  <c r="AK380" i="6" s="1"/>
  <c r="K380" i="6"/>
  <c r="AL380" i="6" s="1"/>
  <c r="L380" i="6"/>
  <c r="AM380" i="6" s="1"/>
  <c r="M380" i="6"/>
  <c r="N380" i="6"/>
  <c r="O380" i="6"/>
  <c r="P380" i="6"/>
  <c r="Q380" i="6"/>
  <c r="R380" i="6"/>
  <c r="S380" i="6"/>
  <c r="T380" i="6"/>
  <c r="U380" i="6"/>
  <c r="J381" i="6"/>
  <c r="AK381" i="6" s="1"/>
  <c r="K381" i="6"/>
  <c r="AL381" i="6" s="1"/>
  <c r="L381" i="6"/>
  <c r="AM381" i="6" s="1"/>
  <c r="M381" i="6"/>
  <c r="N381" i="6"/>
  <c r="O381" i="6"/>
  <c r="P381" i="6"/>
  <c r="Q381" i="6"/>
  <c r="R381" i="6"/>
  <c r="S381" i="6"/>
  <c r="T381" i="6"/>
  <c r="U381" i="6"/>
  <c r="J382" i="6"/>
  <c r="AK382" i="6" s="1"/>
  <c r="K382" i="6"/>
  <c r="AL382" i="6" s="1"/>
  <c r="L382" i="6"/>
  <c r="AM382" i="6" s="1"/>
  <c r="M382" i="6"/>
  <c r="N382" i="6"/>
  <c r="O382" i="6"/>
  <c r="P382" i="6"/>
  <c r="Q382" i="6"/>
  <c r="R382" i="6"/>
  <c r="S382" i="6"/>
  <c r="T382" i="6"/>
  <c r="U382" i="6"/>
  <c r="J383" i="6"/>
  <c r="AK383" i="6" s="1"/>
  <c r="K383" i="6"/>
  <c r="AL383" i="6" s="1"/>
  <c r="L383" i="6"/>
  <c r="AM383" i="6" s="1"/>
  <c r="M383" i="6"/>
  <c r="N383" i="6"/>
  <c r="O383" i="6"/>
  <c r="P383" i="6"/>
  <c r="Q383" i="6"/>
  <c r="R383" i="6"/>
  <c r="S383" i="6"/>
  <c r="T383" i="6"/>
  <c r="U383" i="6"/>
  <c r="J384" i="6"/>
  <c r="AK384" i="6" s="1"/>
  <c r="K384" i="6"/>
  <c r="AL384" i="6" s="1"/>
  <c r="L384" i="6"/>
  <c r="AM384" i="6" s="1"/>
  <c r="M384" i="6"/>
  <c r="N384" i="6"/>
  <c r="O384" i="6"/>
  <c r="P384" i="6"/>
  <c r="Q384" i="6"/>
  <c r="R384" i="6"/>
  <c r="S384" i="6"/>
  <c r="T384" i="6"/>
  <c r="U384" i="6"/>
  <c r="J385" i="6"/>
  <c r="AK385" i="6" s="1"/>
  <c r="K385" i="6"/>
  <c r="AL385" i="6" s="1"/>
  <c r="L385" i="6"/>
  <c r="AM385" i="6" s="1"/>
  <c r="M385" i="6"/>
  <c r="N385" i="6"/>
  <c r="O385" i="6"/>
  <c r="P385" i="6"/>
  <c r="Q385" i="6"/>
  <c r="R385" i="6"/>
  <c r="S385" i="6"/>
  <c r="T385" i="6"/>
  <c r="U385" i="6"/>
  <c r="J386" i="6"/>
  <c r="AK386" i="6" s="1"/>
  <c r="K386" i="6"/>
  <c r="AL386" i="6" s="1"/>
  <c r="L386" i="6"/>
  <c r="AM386" i="6" s="1"/>
  <c r="M386" i="6"/>
  <c r="N386" i="6"/>
  <c r="O386" i="6"/>
  <c r="P386" i="6"/>
  <c r="Q386" i="6"/>
  <c r="R386" i="6"/>
  <c r="S386" i="6"/>
  <c r="T386" i="6"/>
  <c r="U386" i="6"/>
  <c r="J387" i="6"/>
  <c r="AK387" i="6" s="1"/>
  <c r="K387" i="6"/>
  <c r="AL387" i="6" s="1"/>
  <c r="L387" i="6"/>
  <c r="AM387" i="6" s="1"/>
  <c r="M387" i="6"/>
  <c r="N387" i="6"/>
  <c r="O387" i="6"/>
  <c r="P387" i="6"/>
  <c r="Q387" i="6"/>
  <c r="R387" i="6"/>
  <c r="S387" i="6"/>
  <c r="T387" i="6"/>
  <c r="U387" i="6"/>
  <c r="J388" i="6"/>
  <c r="AK388" i="6" s="1"/>
  <c r="K388" i="6"/>
  <c r="AL388" i="6" s="1"/>
  <c r="L388" i="6"/>
  <c r="AM388" i="6" s="1"/>
  <c r="M388" i="6"/>
  <c r="N388" i="6"/>
  <c r="O388" i="6"/>
  <c r="P388" i="6"/>
  <c r="Q388" i="6"/>
  <c r="R388" i="6"/>
  <c r="S388" i="6"/>
  <c r="T388" i="6"/>
  <c r="U388" i="6"/>
  <c r="J389" i="6"/>
  <c r="AK389" i="6" s="1"/>
  <c r="K389" i="6"/>
  <c r="AL389" i="6" s="1"/>
  <c r="L389" i="6"/>
  <c r="AM389" i="6" s="1"/>
  <c r="M389" i="6"/>
  <c r="N389" i="6"/>
  <c r="O389" i="6"/>
  <c r="P389" i="6"/>
  <c r="Q389" i="6"/>
  <c r="R389" i="6"/>
  <c r="S389" i="6"/>
  <c r="T389" i="6"/>
  <c r="U389" i="6"/>
  <c r="J390" i="6"/>
  <c r="AK390" i="6" s="1"/>
  <c r="K390" i="6"/>
  <c r="AL390" i="6" s="1"/>
  <c r="L390" i="6"/>
  <c r="AM390" i="6" s="1"/>
  <c r="M390" i="6"/>
  <c r="N390" i="6"/>
  <c r="O390" i="6"/>
  <c r="P390" i="6"/>
  <c r="Q390" i="6"/>
  <c r="R390" i="6"/>
  <c r="S390" i="6"/>
  <c r="T390" i="6"/>
  <c r="U390" i="6"/>
  <c r="J391" i="6"/>
  <c r="AK391" i="6" s="1"/>
  <c r="K391" i="6"/>
  <c r="AL391" i="6" s="1"/>
  <c r="L391" i="6"/>
  <c r="AM391" i="6" s="1"/>
  <c r="M391" i="6"/>
  <c r="N391" i="6"/>
  <c r="O391" i="6"/>
  <c r="P391" i="6"/>
  <c r="Q391" i="6"/>
  <c r="R391" i="6"/>
  <c r="S391" i="6"/>
  <c r="T391" i="6"/>
  <c r="U391" i="6"/>
  <c r="J392" i="6"/>
  <c r="AK392" i="6" s="1"/>
  <c r="K392" i="6"/>
  <c r="AL392" i="6" s="1"/>
  <c r="L392" i="6"/>
  <c r="AM392" i="6" s="1"/>
  <c r="M392" i="6"/>
  <c r="N392" i="6"/>
  <c r="O392" i="6"/>
  <c r="P392" i="6"/>
  <c r="Q392" i="6"/>
  <c r="R392" i="6"/>
  <c r="S392" i="6"/>
  <c r="T392" i="6"/>
  <c r="U392" i="6"/>
  <c r="J393" i="6"/>
  <c r="AK393" i="6" s="1"/>
  <c r="K393" i="6"/>
  <c r="AL393" i="6" s="1"/>
  <c r="L393" i="6"/>
  <c r="AM393" i="6" s="1"/>
  <c r="M393" i="6"/>
  <c r="N393" i="6"/>
  <c r="O393" i="6"/>
  <c r="P393" i="6"/>
  <c r="Q393" i="6"/>
  <c r="R393" i="6"/>
  <c r="S393" i="6"/>
  <c r="T393" i="6"/>
  <c r="U393" i="6"/>
  <c r="J394" i="6"/>
  <c r="AK394" i="6" s="1"/>
  <c r="K394" i="6"/>
  <c r="AL394" i="6" s="1"/>
  <c r="L394" i="6"/>
  <c r="AM394" i="6" s="1"/>
  <c r="M394" i="6"/>
  <c r="N394" i="6"/>
  <c r="O394" i="6"/>
  <c r="P394" i="6"/>
  <c r="Q394" i="6"/>
  <c r="R394" i="6"/>
  <c r="S394" i="6"/>
  <c r="T394" i="6"/>
  <c r="U394" i="6"/>
  <c r="J395" i="6"/>
  <c r="AK395" i="6" s="1"/>
  <c r="K395" i="6"/>
  <c r="AL395" i="6" s="1"/>
  <c r="L395" i="6"/>
  <c r="AM395" i="6" s="1"/>
  <c r="M395" i="6"/>
  <c r="N395" i="6"/>
  <c r="O395" i="6"/>
  <c r="P395" i="6"/>
  <c r="Q395" i="6"/>
  <c r="R395" i="6"/>
  <c r="S395" i="6"/>
  <c r="T395" i="6"/>
  <c r="U395" i="6"/>
  <c r="J396" i="6"/>
  <c r="AK396" i="6" s="1"/>
  <c r="K396" i="6"/>
  <c r="AL396" i="6" s="1"/>
  <c r="L396" i="6"/>
  <c r="AM396" i="6" s="1"/>
  <c r="M396" i="6"/>
  <c r="N396" i="6"/>
  <c r="O396" i="6"/>
  <c r="P396" i="6"/>
  <c r="Q396" i="6"/>
  <c r="R396" i="6"/>
  <c r="S396" i="6"/>
  <c r="T396" i="6"/>
  <c r="U396" i="6"/>
  <c r="J397" i="6"/>
  <c r="AK397" i="6" s="1"/>
  <c r="K397" i="6"/>
  <c r="AL397" i="6" s="1"/>
  <c r="L397" i="6"/>
  <c r="AM397" i="6" s="1"/>
  <c r="M397" i="6"/>
  <c r="N397" i="6"/>
  <c r="O397" i="6"/>
  <c r="P397" i="6"/>
  <c r="Q397" i="6"/>
  <c r="R397" i="6"/>
  <c r="S397" i="6"/>
  <c r="T397" i="6"/>
  <c r="U397" i="6"/>
  <c r="J398" i="6"/>
  <c r="AK398" i="6" s="1"/>
  <c r="K398" i="6"/>
  <c r="AL398" i="6" s="1"/>
  <c r="L398" i="6"/>
  <c r="AM398" i="6" s="1"/>
  <c r="M398" i="6"/>
  <c r="N398" i="6"/>
  <c r="O398" i="6"/>
  <c r="P398" i="6"/>
  <c r="Q398" i="6"/>
  <c r="R398" i="6"/>
  <c r="S398" i="6"/>
  <c r="T398" i="6"/>
  <c r="U398" i="6"/>
  <c r="J399" i="6"/>
  <c r="AK399" i="6" s="1"/>
  <c r="K399" i="6"/>
  <c r="AL399" i="6" s="1"/>
  <c r="L399" i="6"/>
  <c r="AM399" i="6" s="1"/>
  <c r="M399" i="6"/>
  <c r="N399" i="6"/>
  <c r="O399" i="6"/>
  <c r="P399" i="6"/>
  <c r="Q399" i="6"/>
  <c r="R399" i="6"/>
  <c r="S399" i="6"/>
  <c r="T399" i="6"/>
  <c r="U399" i="6"/>
  <c r="J400" i="6"/>
  <c r="AK400" i="6" s="1"/>
  <c r="K400" i="6"/>
  <c r="AL400" i="6" s="1"/>
  <c r="L400" i="6"/>
  <c r="AM400" i="6" s="1"/>
  <c r="M400" i="6"/>
  <c r="N400" i="6"/>
  <c r="O400" i="6"/>
  <c r="P400" i="6"/>
  <c r="Q400" i="6"/>
  <c r="R400" i="6"/>
  <c r="S400" i="6"/>
  <c r="T400" i="6"/>
  <c r="U400" i="6"/>
  <c r="J401" i="6"/>
  <c r="AK401" i="6" s="1"/>
  <c r="K401" i="6"/>
  <c r="AL401" i="6" s="1"/>
  <c r="L401" i="6"/>
  <c r="AM401" i="6" s="1"/>
  <c r="M401" i="6"/>
  <c r="N401" i="6"/>
  <c r="O401" i="6"/>
  <c r="P401" i="6"/>
  <c r="Q401" i="6"/>
  <c r="R401" i="6"/>
  <c r="S401" i="6"/>
  <c r="T401" i="6"/>
  <c r="U401" i="6"/>
  <c r="J402" i="6"/>
  <c r="AK402" i="6" s="1"/>
  <c r="K402" i="6"/>
  <c r="AL402" i="6" s="1"/>
  <c r="L402" i="6"/>
  <c r="AM402" i="6" s="1"/>
  <c r="M402" i="6"/>
  <c r="N402" i="6"/>
  <c r="O402" i="6"/>
  <c r="P402" i="6"/>
  <c r="Q402" i="6"/>
  <c r="R402" i="6"/>
  <c r="S402" i="6"/>
  <c r="T402" i="6"/>
  <c r="U402" i="6"/>
  <c r="J403" i="6"/>
  <c r="AK403" i="6" s="1"/>
  <c r="K403" i="6"/>
  <c r="AL403" i="6" s="1"/>
  <c r="L403" i="6"/>
  <c r="AM403" i="6" s="1"/>
  <c r="M403" i="6"/>
  <c r="N403" i="6"/>
  <c r="O403" i="6"/>
  <c r="P403" i="6"/>
  <c r="Q403" i="6"/>
  <c r="R403" i="6"/>
  <c r="S403" i="6"/>
  <c r="T403" i="6"/>
  <c r="U403" i="6"/>
  <c r="J404" i="6"/>
  <c r="AK404" i="6" s="1"/>
  <c r="K404" i="6"/>
  <c r="AL404" i="6" s="1"/>
  <c r="L404" i="6"/>
  <c r="AM404" i="6" s="1"/>
  <c r="M404" i="6"/>
  <c r="N404" i="6"/>
  <c r="O404" i="6"/>
  <c r="P404" i="6"/>
  <c r="Q404" i="6"/>
  <c r="R404" i="6"/>
  <c r="S404" i="6"/>
  <c r="T404" i="6"/>
  <c r="U404" i="6"/>
  <c r="R405" i="6"/>
  <c r="Q405" i="6"/>
  <c r="P405" i="6"/>
  <c r="M405" i="6"/>
  <c r="O405" i="6"/>
  <c r="N405" i="6"/>
  <c r="DY411" i="1" l="1"/>
  <c r="CU409" i="1"/>
  <c r="CV409" i="1"/>
  <c r="EM411" i="1"/>
  <c r="EL411" i="1"/>
  <c r="EL410" i="1"/>
  <c r="EM410" i="1"/>
  <c r="EM409" i="1"/>
  <c r="EL409" i="1"/>
  <c r="CU413" i="1"/>
  <c r="CX413" i="1" s="1"/>
  <c r="CV413" i="1"/>
  <c r="CU410" i="1"/>
  <c r="CV410" i="1"/>
  <c r="DZ411" i="1"/>
  <c r="DW412" i="1"/>
  <c r="DX412" i="1"/>
  <c r="DZ412" i="1" s="1"/>
  <c r="ED412" i="1" s="1"/>
  <c r="DW410" i="1"/>
  <c r="DX410" i="1"/>
  <c r="DW413" i="1"/>
  <c r="DY413" i="1" s="1"/>
  <c r="DX413" i="1"/>
  <c r="DZ413" i="1" s="1"/>
  <c r="DW409" i="1"/>
  <c r="DX409" i="1"/>
  <c r="DW407" i="1"/>
  <c r="DX407" i="1"/>
  <c r="DX408" i="1"/>
  <c r="DZ408" i="1" s="1"/>
  <c r="DW408" i="1"/>
  <c r="DY408" i="1" s="1"/>
  <c r="AT542" i="1"/>
  <c r="AT556" i="1"/>
  <c r="AT552" i="1"/>
  <c r="AT548" i="1"/>
  <c r="AT544" i="1"/>
  <c r="AT557" i="1"/>
  <c r="AT553" i="1"/>
  <c r="AT549" i="1"/>
  <c r="AT545" i="1"/>
  <c r="AT541" i="1"/>
  <c r="AT559" i="1"/>
  <c r="AT554" i="1"/>
  <c r="AT550" i="1"/>
  <c r="AT546" i="1"/>
  <c r="AT558" i="1"/>
  <c r="AT555" i="1"/>
  <c r="AT551" i="1"/>
  <c r="AT547" i="1"/>
  <c r="AT543" i="1"/>
  <c r="AT540" i="1"/>
  <c r="AT536" i="1"/>
  <c r="AT532" i="1"/>
  <c r="AT537" i="1"/>
  <c r="AT533" i="1"/>
  <c r="AT529" i="1"/>
  <c r="AT538" i="1"/>
  <c r="AT534" i="1"/>
  <c r="AT530" i="1"/>
  <c r="AT539" i="1"/>
  <c r="AT535" i="1"/>
  <c r="AT531" i="1"/>
  <c r="AT513" i="1"/>
  <c r="AT510" i="1"/>
  <c r="AT528" i="1"/>
  <c r="AT527" i="1"/>
  <c r="AT526" i="1"/>
  <c r="AT524" i="1"/>
  <c r="AT523" i="1"/>
  <c r="AT522" i="1"/>
  <c r="AT521" i="1"/>
  <c r="AT520" i="1"/>
  <c r="AT518" i="1"/>
  <c r="AT517" i="1"/>
  <c r="AT516" i="1"/>
  <c r="AT515" i="1"/>
  <c r="AT514" i="1"/>
  <c r="AT512" i="1"/>
  <c r="AT509" i="1"/>
  <c r="AT525" i="1"/>
  <c r="AT507" i="1"/>
  <c r="AT508" i="1"/>
  <c r="AT500" i="1"/>
  <c r="AT492" i="1"/>
  <c r="AT506" i="1"/>
  <c r="AT501" i="1"/>
  <c r="AT505" i="1"/>
  <c r="AT502" i="1"/>
  <c r="AT499" i="1"/>
  <c r="AT496" i="1"/>
  <c r="AT497" i="1"/>
  <c r="AT498" i="1"/>
  <c r="AT493" i="1"/>
  <c r="AT494" i="1"/>
  <c r="AT495" i="1"/>
  <c r="AT491" i="1"/>
  <c r="AT489" i="1"/>
  <c r="AT490" i="1"/>
  <c r="AT487" i="1"/>
  <c r="AT488" i="1"/>
  <c r="AT486" i="1"/>
  <c r="AT485" i="1"/>
  <c r="AT483" i="1"/>
  <c r="AT482" i="1"/>
  <c r="AT472" i="1"/>
  <c r="AT481" i="1"/>
  <c r="AT480" i="1"/>
  <c r="AT469" i="1"/>
  <c r="AT471" i="1"/>
  <c r="AT470" i="1"/>
  <c r="AT479" i="1"/>
  <c r="AT476" i="1"/>
  <c r="AT478" i="1"/>
  <c r="AT475" i="1"/>
  <c r="AT477" i="1"/>
  <c r="AT474" i="1"/>
  <c r="AT465" i="1"/>
  <c r="AT467" i="1"/>
  <c r="AT464" i="1"/>
  <c r="AT463" i="1"/>
  <c r="AT461" i="1"/>
  <c r="AT466" i="1"/>
  <c r="AT462" i="1"/>
  <c r="AT468" i="1"/>
  <c r="AT460" i="1"/>
  <c r="AT456" i="1"/>
  <c r="AT457" i="1"/>
  <c r="AT229" i="1"/>
  <c r="AT454" i="1"/>
  <c r="AT459" i="1"/>
  <c r="AT455" i="1"/>
  <c r="AT436" i="1"/>
  <c r="AT435" i="1"/>
  <c r="AT447" i="1"/>
  <c r="AT448" i="1"/>
  <c r="AT450" i="1"/>
  <c r="AT446" i="1"/>
  <c r="AT434" i="1"/>
  <c r="AT444" i="1"/>
  <c r="AT437" i="1"/>
  <c r="AT438" i="1"/>
  <c r="AT443" i="1"/>
  <c r="AT433" i="1"/>
  <c r="AT308" i="1"/>
  <c r="AT167" i="1"/>
  <c r="AT431" i="1"/>
  <c r="AT428" i="1"/>
  <c r="AT430" i="1"/>
  <c r="AT429" i="1"/>
  <c r="AT427" i="1"/>
  <c r="AT425" i="1"/>
  <c r="AT426" i="1"/>
  <c r="AT422" i="1"/>
  <c r="AT420" i="1"/>
  <c r="AT416" i="1"/>
  <c r="AT418" i="1"/>
  <c r="AT414" i="1"/>
  <c r="V167" i="6"/>
  <c r="AH167" i="6" s="1"/>
  <c r="V147" i="6"/>
  <c r="AE147" i="6" s="1"/>
  <c r="X256" i="6"/>
  <c r="AD256" i="6" s="1"/>
  <c r="W159" i="6"/>
  <c r="AI159" i="6" s="1"/>
  <c r="V60" i="6"/>
  <c r="AH60" i="6" s="1"/>
  <c r="V12" i="6"/>
  <c r="Y12" i="6" s="1"/>
  <c r="V399" i="6"/>
  <c r="AE399" i="6" s="1"/>
  <c r="W414" i="6"/>
  <c r="AC414" i="6" s="1"/>
  <c r="V120" i="6"/>
  <c r="AE120" i="6" s="1"/>
  <c r="W340" i="6"/>
  <c r="AI340" i="6" s="1"/>
  <c r="X88" i="6"/>
  <c r="AJ88" i="6" s="1"/>
  <c r="V393" i="6"/>
  <c r="AH393" i="6" s="1"/>
  <c r="X56" i="6"/>
  <c r="AJ56" i="6" s="1"/>
  <c r="V197" i="6"/>
  <c r="AE197" i="6" s="1"/>
  <c r="W58" i="6"/>
  <c r="AI58" i="6" s="1"/>
  <c r="X202" i="6"/>
  <c r="AD202" i="6" s="1"/>
  <c r="W183" i="6"/>
  <c r="AF183" i="6" s="1"/>
  <c r="X151" i="6"/>
  <c r="AJ151" i="6" s="1"/>
  <c r="X139" i="6"/>
  <c r="AA139" i="6" s="1"/>
  <c r="CB406" i="1"/>
  <c r="X404" i="6"/>
  <c r="AG404" i="6" s="1"/>
  <c r="V299" i="6"/>
  <c r="AE299" i="6" s="1"/>
  <c r="V224" i="6"/>
  <c r="AH224" i="6" s="1"/>
  <c r="V102" i="6"/>
  <c r="AB102" i="6" s="1"/>
  <c r="V439" i="6"/>
  <c r="Y439" i="6" s="1"/>
  <c r="V394" i="6"/>
  <c r="AB394" i="6" s="1"/>
  <c r="V334" i="6"/>
  <c r="AE334" i="6" s="1"/>
  <c r="W223" i="6"/>
  <c r="Z223" i="6" s="1"/>
  <c r="X158" i="6"/>
  <c r="AJ158" i="6" s="1"/>
  <c r="W105" i="6"/>
  <c r="AF105" i="6" s="1"/>
  <c r="X450" i="6"/>
  <c r="AA450" i="6" s="1"/>
  <c r="X236" i="6"/>
  <c r="AA236" i="6" s="1"/>
  <c r="V105" i="6"/>
  <c r="AB105" i="6" s="1"/>
  <c r="V35" i="6"/>
  <c r="AH35" i="6" s="1"/>
  <c r="X473" i="6"/>
  <c r="AJ473" i="6" s="1"/>
  <c r="V486" i="6"/>
  <c r="AE486" i="6" s="1"/>
  <c r="X400" i="6"/>
  <c r="AG400" i="6" s="1"/>
  <c r="W143" i="6"/>
  <c r="AI143" i="6" s="1"/>
  <c r="W537" i="6"/>
  <c r="AC537" i="6" s="1"/>
  <c r="X504" i="6"/>
  <c r="AJ504" i="6" s="1"/>
  <c r="V385" i="6"/>
  <c r="AB385" i="6" s="1"/>
  <c r="W507" i="6"/>
  <c r="AI507" i="6" s="1"/>
  <c r="V507" i="6"/>
  <c r="AE507" i="6" s="1"/>
  <c r="V392" i="6"/>
  <c r="AB392" i="6" s="1"/>
  <c r="V388" i="6"/>
  <c r="AB388" i="6" s="1"/>
  <c r="V384" i="6"/>
  <c r="Y384" i="6" s="1"/>
  <c r="V285" i="6"/>
  <c r="AH285" i="6" s="1"/>
  <c r="V172" i="6"/>
  <c r="Y172" i="6" s="1"/>
  <c r="V168" i="6"/>
  <c r="Y168" i="6" s="1"/>
  <c r="X99" i="6"/>
  <c r="AD99" i="6" s="1"/>
  <c r="X534" i="6"/>
  <c r="AA534" i="6" s="1"/>
  <c r="V433" i="6"/>
  <c r="Y433" i="6" s="1"/>
  <c r="X189" i="6"/>
  <c r="AD189" i="6" s="1"/>
  <c r="W91" i="6"/>
  <c r="AI91" i="6" s="1"/>
  <c r="V478" i="6"/>
  <c r="AB478" i="6" s="1"/>
  <c r="V463" i="6"/>
  <c r="AH463" i="6" s="1"/>
  <c r="X402" i="6"/>
  <c r="AG402" i="6" s="1"/>
  <c r="V397" i="6"/>
  <c r="AE397" i="6" s="1"/>
  <c r="X177" i="6"/>
  <c r="AA177" i="6" s="1"/>
  <c r="V164" i="6"/>
  <c r="AH164" i="6" s="1"/>
  <c r="V123" i="6"/>
  <c r="AB123" i="6" s="1"/>
  <c r="W338" i="6"/>
  <c r="AI338" i="6" s="1"/>
  <c r="X306" i="6"/>
  <c r="AG306" i="6" s="1"/>
  <c r="W181" i="6"/>
  <c r="AC181" i="6" s="1"/>
  <c r="W173" i="6"/>
  <c r="AC173" i="6" s="1"/>
  <c r="W492" i="6"/>
  <c r="Z492" i="6" s="1"/>
  <c r="V66" i="6"/>
  <c r="AE66" i="6" s="1"/>
  <c r="W34" i="6"/>
  <c r="Z34" i="6" s="1"/>
  <c r="X30" i="6"/>
  <c r="AG30" i="6" s="1"/>
  <c r="V455" i="6"/>
  <c r="AB455" i="6" s="1"/>
  <c r="X403" i="6"/>
  <c r="AA403" i="6" s="1"/>
  <c r="V158" i="6"/>
  <c r="AB158" i="6" s="1"/>
  <c r="X157" i="6"/>
  <c r="AD157" i="6" s="1"/>
  <c r="W356" i="6"/>
  <c r="AF356" i="6" s="1"/>
  <c r="X352" i="6"/>
  <c r="AA352" i="6" s="1"/>
  <c r="X345" i="6"/>
  <c r="AD345" i="6" s="1"/>
  <c r="V343" i="6"/>
  <c r="AH343" i="6" s="1"/>
  <c r="W54" i="6"/>
  <c r="AF54" i="6" s="1"/>
  <c r="W42" i="6"/>
  <c r="Z42" i="6" s="1"/>
  <c r="X532" i="6"/>
  <c r="AJ532" i="6" s="1"/>
  <c r="AT407" i="1"/>
  <c r="V398" i="6"/>
  <c r="Y398" i="6" s="1"/>
  <c r="V111" i="6"/>
  <c r="AH111" i="6" s="1"/>
  <c r="X94" i="6"/>
  <c r="AA94" i="6" s="1"/>
  <c r="X44" i="6"/>
  <c r="AD44" i="6" s="1"/>
  <c r="V42" i="6"/>
  <c r="AE42" i="6" s="1"/>
  <c r="X4" i="6"/>
  <c r="AD4" i="6" s="1"/>
  <c r="V490" i="6"/>
  <c r="AH490" i="6" s="1"/>
  <c r="V468" i="6"/>
  <c r="AH468" i="6" s="1"/>
  <c r="X438" i="6"/>
  <c r="AD438" i="6" s="1"/>
  <c r="V269" i="6"/>
  <c r="AH269" i="6" s="1"/>
  <c r="W29" i="6"/>
  <c r="AF29" i="6" s="1"/>
  <c r="W8" i="6"/>
  <c r="AC8" i="6" s="1"/>
  <c r="X223" i="6"/>
  <c r="AJ223" i="6" s="1"/>
  <c r="V159" i="6"/>
  <c r="AH159" i="6" s="1"/>
  <c r="W67" i="6"/>
  <c r="AI67" i="6" s="1"/>
  <c r="V48" i="6"/>
  <c r="AH48" i="6" s="1"/>
  <c r="X355" i="6"/>
  <c r="AA355" i="6" s="1"/>
  <c r="W204" i="6"/>
  <c r="Z204" i="6" s="1"/>
  <c r="V162" i="6"/>
  <c r="AB162" i="6" s="1"/>
  <c r="W51" i="6"/>
  <c r="AI51" i="6" s="1"/>
  <c r="V475" i="6"/>
  <c r="AH475" i="6" s="1"/>
  <c r="W261" i="6"/>
  <c r="AC261" i="6" s="1"/>
  <c r="X138" i="6"/>
  <c r="AA138" i="6" s="1"/>
  <c r="V51" i="6"/>
  <c r="AH51" i="6" s="1"/>
  <c r="W512" i="6"/>
  <c r="Z512" i="6" s="1"/>
  <c r="V232" i="6"/>
  <c r="AB232" i="6" s="1"/>
  <c r="X215" i="6"/>
  <c r="AG215" i="6" s="1"/>
  <c r="X113" i="6"/>
  <c r="AJ113" i="6" s="1"/>
  <c r="V473" i="6"/>
  <c r="AH473" i="6" s="1"/>
  <c r="W407" i="6"/>
  <c r="AF407" i="6" s="1"/>
  <c r="W397" i="6"/>
  <c r="Z397" i="6" s="1"/>
  <c r="X383" i="6"/>
  <c r="AA383" i="6" s="1"/>
  <c r="W378" i="6"/>
  <c r="AC378" i="6" s="1"/>
  <c r="X371" i="6"/>
  <c r="AD371" i="6" s="1"/>
  <c r="X240" i="6"/>
  <c r="AA240" i="6" s="1"/>
  <c r="W202" i="6"/>
  <c r="AI202" i="6" s="1"/>
  <c r="X176" i="6"/>
  <c r="AG176" i="6" s="1"/>
  <c r="V171" i="6"/>
  <c r="Y171" i="6" s="1"/>
  <c r="V139" i="6"/>
  <c r="Y139" i="6" s="1"/>
  <c r="V128" i="6"/>
  <c r="AH128" i="6" s="1"/>
  <c r="X124" i="6"/>
  <c r="AD124" i="6" s="1"/>
  <c r="V70" i="6"/>
  <c r="Y70" i="6" s="1"/>
  <c r="V50" i="6"/>
  <c r="AB50" i="6" s="1"/>
  <c r="V41" i="6"/>
  <c r="AB41" i="6" s="1"/>
  <c r="V537" i="6"/>
  <c r="Y537" i="6" s="1"/>
  <c r="V452" i="6"/>
  <c r="AB452" i="6" s="1"/>
  <c r="V443" i="6"/>
  <c r="Y443" i="6" s="1"/>
  <c r="W433" i="6"/>
  <c r="AC433" i="6" s="1"/>
  <c r="W416" i="6"/>
  <c r="Z416" i="6" s="1"/>
  <c r="W214" i="6"/>
  <c r="Z214" i="6" s="1"/>
  <c r="V149" i="6"/>
  <c r="AH149" i="6" s="1"/>
  <c r="V557" i="6"/>
  <c r="AB557" i="6" s="1"/>
  <c r="V523" i="6"/>
  <c r="Y523" i="6" s="1"/>
  <c r="X435" i="6"/>
  <c r="AA435" i="6" s="1"/>
  <c r="X428" i="6"/>
  <c r="AG428" i="6" s="1"/>
  <c r="W426" i="6"/>
  <c r="AI426" i="6" s="1"/>
  <c r="X334" i="6"/>
  <c r="AJ334" i="6" s="1"/>
  <c r="V333" i="6"/>
  <c r="Y333" i="6" s="1"/>
  <c r="V309" i="6"/>
  <c r="AH309" i="6" s="1"/>
  <c r="W275" i="6"/>
  <c r="Z275" i="6" s="1"/>
  <c r="W218" i="6"/>
  <c r="AI218" i="6" s="1"/>
  <c r="V153" i="6"/>
  <c r="AE153" i="6" s="1"/>
  <c r="V143" i="6"/>
  <c r="AE143" i="6" s="1"/>
  <c r="W87" i="6"/>
  <c r="Z87" i="6" s="1"/>
  <c r="W62" i="6"/>
  <c r="AF62" i="6" s="1"/>
  <c r="V47" i="6"/>
  <c r="AH47" i="6" s="1"/>
  <c r="V553" i="6"/>
  <c r="AE553" i="6" s="1"/>
  <c r="V529" i="6"/>
  <c r="Y529" i="6" s="1"/>
  <c r="V519" i="6"/>
  <c r="AB519" i="6" s="1"/>
  <c r="V494" i="6"/>
  <c r="AH494" i="6" s="1"/>
  <c r="V449" i="6"/>
  <c r="AH449" i="6" s="1"/>
  <c r="V440" i="6"/>
  <c r="AH440" i="6" s="1"/>
  <c r="X436" i="6"/>
  <c r="AG436" i="6" s="1"/>
  <c r="W357" i="6"/>
  <c r="Z357" i="6" s="1"/>
  <c r="W386" i="6"/>
  <c r="AC386" i="6" s="1"/>
  <c r="V170" i="6"/>
  <c r="Y170" i="6" s="1"/>
  <c r="W89" i="6"/>
  <c r="AI89" i="6" s="1"/>
  <c r="X83" i="6"/>
  <c r="AG83" i="6" s="1"/>
  <c r="V82" i="6"/>
  <c r="AB82" i="6" s="1"/>
  <c r="W10" i="6"/>
  <c r="AI10" i="6" s="1"/>
  <c r="V543" i="6"/>
  <c r="Y543" i="6" s="1"/>
  <c r="W473" i="6"/>
  <c r="Z473" i="6" s="1"/>
  <c r="V431" i="6"/>
  <c r="AH431" i="6" s="1"/>
  <c r="X423" i="6"/>
  <c r="AG423" i="6" s="1"/>
  <c r="V422" i="6"/>
  <c r="AH422" i="6" s="1"/>
  <c r="V296" i="6"/>
  <c r="Y296" i="6" s="1"/>
  <c r="W291" i="6"/>
  <c r="Z291" i="6" s="1"/>
  <c r="X281" i="6"/>
  <c r="AD281" i="6" s="1"/>
  <c r="W201" i="6"/>
  <c r="AF201" i="6" s="1"/>
  <c r="V38" i="6"/>
  <c r="AB38" i="6" s="1"/>
  <c r="V28" i="6"/>
  <c r="AH28" i="6" s="1"/>
  <c r="W520" i="6"/>
  <c r="AC520" i="6" s="1"/>
  <c r="V496" i="6"/>
  <c r="AH496" i="6" s="1"/>
  <c r="V492" i="6"/>
  <c r="AH492" i="6" s="1"/>
  <c r="X476" i="6"/>
  <c r="AD476" i="6" s="1"/>
  <c r="X457" i="6"/>
  <c r="AJ457" i="6" s="1"/>
  <c r="W216" i="6"/>
  <c r="AF216" i="6" s="1"/>
  <c r="W21" i="6"/>
  <c r="AF21" i="6" s="1"/>
  <c r="V429" i="6"/>
  <c r="AE429" i="6" s="1"/>
  <c r="X324" i="6"/>
  <c r="AA324" i="6" s="1"/>
  <c r="W319" i="6"/>
  <c r="Z319" i="6" s="1"/>
  <c r="V273" i="6"/>
  <c r="AH273" i="6" s="1"/>
  <c r="V169" i="6"/>
  <c r="Y169" i="6" s="1"/>
  <c r="V151" i="6"/>
  <c r="AE151" i="6" s="1"/>
  <c r="W126" i="6"/>
  <c r="Z126" i="6" s="1"/>
  <c r="V73" i="6"/>
  <c r="Y73" i="6" s="1"/>
  <c r="W24" i="6"/>
  <c r="AC24" i="6" s="1"/>
  <c r="X540" i="6"/>
  <c r="AA540" i="6" s="1"/>
  <c r="W446" i="6"/>
  <c r="Z446" i="6" s="1"/>
  <c r="X437" i="6"/>
  <c r="AD437" i="6" s="1"/>
  <c r="V418" i="6"/>
  <c r="AH418" i="6" s="1"/>
  <c r="V390" i="6"/>
  <c r="Y390" i="6" s="1"/>
  <c r="V137" i="6"/>
  <c r="Y137" i="6" s="1"/>
  <c r="X136" i="6"/>
  <c r="AG136" i="6" s="1"/>
  <c r="V53" i="6"/>
  <c r="AB53" i="6" s="1"/>
  <c r="X550" i="6"/>
  <c r="AA550" i="6" s="1"/>
  <c r="W516" i="6"/>
  <c r="AI516" i="6" s="1"/>
  <c r="V500" i="6"/>
  <c r="AH500" i="6" s="1"/>
  <c r="V481" i="6"/>
  <c r="AB481" i="6" s="1"/>
  <c r="V446" i="6"/>
  <c r="AT406" i="1"/>
  <c r="V179" i="6"/>
  <c r="AE179" i="6" s="1"/>
  <c r="W210" i="6"/>
  <c r="AC210" i="6" s="1"/>
  <c r="X170" i="6"/>
  <c r="AA170" i="6" s="1"/>
  <c r="V303" i="6"/>
  <c r="AB303" i="6" s="1"/>
  <c r="V289" i="6"/>
  <c r="AH289" i="6" s="1"/>
  <c r="X252" i="6"/>
  <c r="AG252" i="6" s="1"/>
  <c r="V216" i="6"/>
  <c r="AB216" i="6" s="1"/>
  <c r="X192" i="6"/>
  <c r="AG192" i="6" s="1"/>
  <c r="X45" i="6"/>
  <c r="AD45" i="6" s="1"/>
  <c r="V44" i="6"/>
  <c r="AH44" i="6" s="1"/>
  <c r="X25" i="6"/>
  <c r="AA25" i="6" s="1"/>
  <c r="V482" i="6"/>
  <c r="AB482" i="6" s="1"/>
  <c r="AM473" i="6"/>
  <c r="V462" i="6"/>
  <c r="Y462" i="6" s="1"/>
  <c r="X444" i="6"/>
  <c r="AJ444" i="6" s="1"/>
  <c r="X361" i="6"/>
  <c r="AD361" i="6" s="1"/>
  <c r="V315" i="6"/>
  <c r="AE315" i="6" s="1"/>
  <c r="V277" i="6"/>
  <c r="AH277" i="6" s="1"/>
  <c r="W267" i="6"/>
  <c r="Z267" i="6" s="1"/>
  <c r="V240" i="6"/>
  <c r="AH240" i="6" s="1"/>
  <c r="W215" i="6"/>
  <c r="Z215" i="6" s="1"/>
  <c r="V160" i="6"/>
  <c r="AB160" i="6" s="1"/>
  <c r="V150" i="6"/>
  <c r="AE150" i="6" s="1"/>
  <c r="X141" i="6"/>
  <c r="AA141" i="6" s="1"/>
  <c r="AL67" i="6"/>
  <c r="W35" i="6"/>
  <c r="AF35" i="6" s="1"/>
  <c r="W12" i="6"/>
  <c r="AI12" i="6" s="1"/>
  <c r="W483" i="6"/>
  <c r="AF483" i="6" s="1"/>
  <c r="V442" i="6"/>
  <c r="AB442" i="6" s="1"/>
  <c r="X429" i="6"/>
  <c r="AD429" i="6" s="1"/>
  <c r="V380" i="6"/>
  <c r="AB380" i="6" s="1"/>
  <c r="W283" i="6"/>
  <c r="Z283" i="6" s="1"/>
  <c r="W524" i="6"/>
  <c r="AF524" i="6" s="1"/>
  <c r="V498" i="6"/>
  <c r="AH498" i="6" s="1"/>
  <c r="W422" i="6"/>
  <c r="AI422" i="6" s="1"/>
  <c r="W104" i="6"/>
  <c r="AI104" i="6" s="1"/>
  <c r="V401" i="6"/>
  <c r="AE401" i="6" s="1"/>
  <c r="V396" i="6"/>
  <c r="Y396" i="6" s="1"/>
  <c r="V374" i="6"/>
  <c r="Y374" i="6" s="1"/>
  <c r="W336" i="6"/>
  <c r="AF336" i="6" s="1"/>
  <c r="W373" i="6"/>
  <c r="AC373" i="6" s="1"/>
  <c r="X323" i="6"/>
  <c r="AJ323" i="6" s="1"/>
  <c r="V295" i="6"/>
  <c r="AB295" i="6" s="1"/>
  <c r="V293" i="6"/>
  <c r="AH293" i="6" s="1"/>
  <c r="V225" i="6"/>
  <c r="Y225" i="6" s="1"/>
  <c r="V201" i="6"/>
  <c r="AB201" i="6" s="1"/>
  <c r="W161" i="6"/>
  <c r="AF161" i="6" s="1"/>
  <c r="V132" i="6"/>
  <c r="AB132" i="6" s="1"/>
  <c r="V501" i="6"/>
  <c r="AH501" i="6" s="1"/>
  <c r="V491" i="6"/>
  <c r="AB491" i="6" s="1"/>
  <c r="W420" i="6"/>
  <c r="AF420" i="6" s="1"/>
  <c r="X415" i="6"/>
  <c r="AJ415" i="6" s="1"/>
  <c r="EK407" i="1"/>
  <c r="CB407" i="1"/>
  <c r="V402" i="6"/>
  <c r="AB402" i="6" s="1"/>
  <c r="X341" i="6"/>
  <c r="AD341" i="6" s="1"/>
  <c r="X335" i="6"/>
  <c r="AD335" i="6" s="1"/>
  <c r="V313" i="6"/>
  <c r="AH313" i="6" s="1"/>
  <c r="V81" i="6"/>
  <c r="AE81" i="6" s="1"/>
  <c r="V366" i="6"/>
  <c r="Y366" i="6" s="1"/>
  <c r="AK46" i="6"/>
  <c r="V46" i="6"/>
  <c r="AB46" i="6" s="1"/>
  <c r="V391" i="6"/>
  <c r="AB391" i="6" s="1"/>
  <c r="W365" i="6"/>
  <c r="AC365" i="6" s="1"/>
  <c r="V283" i="6"/>
  <c r="AH283" i="6" s="1"/>
  <c r="W22" i="6"/>
  <c r="Z22" i="6" s="1"/>
  <c r="V435" i="6"/>
  <c r="AH435" i="6" s="1"/>
  <c r="X395" i="6"/>
  <c r="AJ395" i="6" s="1"/>
  <c r="W380" i="6"/>
  <c r="AC380" i="6" s="1"/>
  <c r="W350" i="6"/>
  <c r="AF350" i="6" s="1"/>
  <c r="V322" i="6"/>
  <c r="AB322" i="6" s="1"/>
  <c r="W212" i="6"/>
  <c r="AF212" i="6" s="1"/>
  <c r="W187" i="6"/>
  <c r="AC187" i="6" s="1"/>
  <c r="W23" i="6"/>
  <c r="AF23" i="6" s="1"/>
  <c r="AT411" i="1"/>
  <c r="V403" i="6"/>
  <c r="AE403" i="6" s="1"/>
  <c r="X401" i="6"/>
  <c r="AA401" i="6" s="1"/>
  <c r="W398" i="6"/>
  <c r="AC398" i="6" s="1"/>
  <c r="X389" i="6"/>
  <c r="AA389" i="6" s="1"/>
  <c r="V376" i="6"/>
  <c r="AE376" i="6" s="1"/>
  <c r="X363" i="6"/>
  <c r="AD363" i="6" s="1"/>
  <c r="V267" i="6"/>
  <c r="AH267" i="6" s="1"/>
  <c r="X180" i="6"/>
  <c r="AA180" i="6" s="1"/>
  <c r="V305" i="6"/>
  <c r="AB305" i="6" s="1"/>
  <c r="W323" i="6"/>
  <c r="AC323" i="6" s="1"/>
  <c r="V404" i="6"/>
  <c r="AE404" i="6" s="1"/>
  <c r="X396" i="6"/>
  <c r="AG396" i="6" s="1"/>
  <c r="X384" i="6"/>
  <c r="AD384" i="6" s="1"/>
  <c r="V381" i="6"/>
  <c r="AE381" i="6" s="1"/>
  <c r="V361" i="6"/>
  <c r="AH361" i="6" s="1"/>
  <c r="V342" i="6"/>
  <c r="AE342" i="6" s="1"/>
  <c r="V323" i="6"/>
  <c r="Y323" i="6" s="1"/>
  <c r="V222" i="6"/>
  <c r="AH222" i="6" s="1"/>
  <c r="V215" i="6"/>
  <c r="AH215" i="6" s="1"/>
  <c r="X362" i="6"/>
  <c r="AA362" i="6" s="1"/>
  <c r="W348" i="6"/>
  <c r="AF348" i="6" s="1"/>
  <c r="V326" i="6"/>
  <c r="AE326" i="6" s="1"/>
  <c r="W311" i="6"/>
  <c r="AI311" i="6" s="1"/>
  <c r="AL68" i="6"/>
  <c r="W68" i="6"/>
  <c r="AI68" i="6" s="1"/>
  <c r="V352" i="6"/>
  <c r="AE352" i="6" s="1"/>
  <c r="W399" i="6"/>
  <c r="AI399" i="6" s="1"/>
  <c r="X390" i="6"/>
  <c r="AG390" i="6" s="1"/>
  <c r="V341" i="6"/>
  <c r="AB341" i="6" s="1"/>
  <c r="W330" i="6"/>
  <c r="AC330" i="6" s="1"/>
  <c r="X314" i="6"/>
  <c r="AG314" i="6" s="1"/>
  <c r="X216" i="6"/>
  <c r="AD216" i="6" s="1"/>
  <c r="X168" i="6"/>
  <c r="AD168" i="6" s="1"/>
  <c r="W69" i="6"/>
  <c r="AC69" i="6" s="1"/>
  <c r="X479" i="6"/>
  <c r="AG479" i="6" s="1"/>
  <c r="AT408" i="1"/>
  <c r="AK441" i="6"/>
  <c r="V441" i="6"/>
  <c r="AH441" i="6" s="1"/>
  <c r="X342" i="6"/>
  <c r="AA342" i="6" s="1"/>
  <c r="V291" i="6"/>
  <c r="AH291" i="6" s="1"/>
  <c r="X159" i="6"/>
  <c r="AJ159" i="6" s="1"/>
  <c r="AK484" i="6"/>
  <c r="V484" i="6"/>
  <c r="AH484" i="6" s="1"/>
  <c r="X391" i="6"/>
  <c r="AD391" i="6" s="1"/>
  <c r="V395" i="6"/>
  <c r="AH395" i="6" s="1"/>
  <c r="W383" i="6"/>
  <c r="AC383" i="6" s="1"/>
  <c r="W297" i="6"/>
  <c r="Z297" i="6" s="1"/>
  <c r="V400" i="6"/>
  <c r="AE400" i="6" s="1"/>
  <c r="V371" i="6"/>
  <c r="AH371" i="6" s="1"/>
  <c r="V389" i="6"/>
  <c r="AB389" i="6" s="1"/>
  <c r="V363" i="6"/>
  <c r="AE363" i="6" s="1"/>
  <c r="V275" i="6"/>
  <c r="AH275" i="6" s="1"/>
  <c r="V259" i="6"/>
  <c r="AB259" i="6" s="1"/>
  <c r="W191" i="6"/>
  <c r="AI191" i="6" s="1"/>
  <c r="W97" i="6"/>
  <c r="AI97" i="6" s="1"/>
  <c r="W351" i="6"/>
  <c r="AC351" i="6" s="1"/>
  <c r="X346" i="6"/>
  <c r="AA346" i="6" s="1"/>
  <c r="V345" i="6"/>
  <c r="Y345" i="6" s="1"/>
  <c r="W339" i="6"/>
  <c r="AC339" i="6" s="1"/>
  <c r="V298" i="6"/>
  <c r="Y298" i="6" s="1"/>
  <c r="V246" i="6"/>
  <c r="AE246" i="6" s="1"/>
  <c r="X241" i="6"/>
  <c r="AG241" i="6" s="1"/>
  <c r="V234" i="6"/>
  <c r="AE234" i="6" s="1"/>
  <c r="W230" i="6"/>
  <c r="AI230" i="6" s="1"/>
  <c r="X197" i="6"/>
  <c r="AD197" i="6" s="1"/>
  <c r="V193" i="6"/>
  <c r="AE193" i="6" s="1"/>
  <c r="V185" i="6"/>
  <c r="AE185" i="6" s="1"/>
  <c r="V176" i="6"/>
  <c r="AH176" i="6" s="1"/>
  <c r="V163" i="6"/>
  <c r="AH163" i="6" s="1"/>
  <c r="X107" i="6"/>
  <c r="AJ107" i="6" s="1"/>
  <c r="W63" i="6"/>
  <c r="AC63" i="6" s="1"/>
  <c r="W48" i="6"/>
  <c r="AF48" i="6" s="1"/>
  <c r="V37" i="6"/>
  <c r="Y37" i="6" s="1"/>
  <c r="V34" i="6"/>
  <c r="Y34" i="6" s="1"/>
  <c r="X24" i="6"/>
  <c r="AA24" i="6" s="1"/>
  <c r="W547" i="6"/>
  <c r="AC547" i="6" s="1"/>
  <c r="W529" i="6"/>
  <c r="Z529" i="6" s="1"/>
  <c r="V516" i="6"/>
  <c r="AE516" i="6" s="1"/>
  <c r="W486" i="6"/>
  <c r="Z486" i="6" s="1"/>
  <c r="X475" i="6"/>
  <c r="AJ475" i="6" s="1"/>
  <c r="V469" i="6"/>
  <c r="AH469" i="6" s="1"/>
  <c r="W468" i="6"/>
  <c r="Z468" i="6" s="1"/>
  <c r="W455" i="6"/>
  <c r="Z455" i="6" s="1"/>
  <c r="X446" i="6"/>
  <c r="AA446" i="6" s="1"/>
  <c r="X433" i="6"/>
  <c r="AG433" i="6" s="1"/>
  <c r="V255" i="6"/>
  <c r="Y255" i="6" s="1"/>
  <c r="W239" i="6"/>
  <c r="AC239" i="6" s="1"/>
  <c r="W233" i="6"/>
  <c r="AC233" i="6" s="1"/>
  <c r="X225" i="6"/>
  <c r="AG225" i="6" s="1"/>
  <c r="X210" i="6"/>
  <c r="AJ210" i="6" s="1"/>
  <c r="V209" i="6"/>
  <c r="Y209" i="6" s="1"/>
  <c r="W206" i="6"/>
  <c r="Z206" i="6" s="1"/>
  <c r="W197" i="6"/>
  <c r="AI197" i="6" s="1"/>
  <c r="X164" i="6"/>
  <c r="AJ164" i="6" s="1"/>
  <c r="X143" i="6"/>
  <c r="AD143" i="6" s="1"/>
  <c r="W138" i="6"/>
  <c r="Z138" i="6" s="1"/>
  <c r="W120" i="6"/>
  <c r="AF120" i="6" s="1"/>
  <c r="V110" i="6"/>
  <c r="AB110" i="6" s="1"/>
  <c r="X105" i="6"/>
  <c r="AA105" i="6" s="1"/>
  <c r="W102" i="6"/>
  <c r="AF102" i="6" s="1"/>
  <c r="W55" i="6"/>
  <c r="Z55" i="6" s="1"/>
  <c r="W526" i="6"/>
  <c r="AI526" i="6" s="1"/>
  <c r="W220" i="6"/>
  <c r="AC220" i="6" s="1"/>
  <c r="V199" i="6"/>
  <c r="AB199" i="6" s="1"/>
  <c r="X111" i="6"/>
  <c r="AA111" i="6" s="1"/>
  <c r="W98" i="6"/>
  <c r="AC98" i="6" s="1"/>
  <c r="V31" i="6"/>
  <c r="AE31" i="6" s="1"/>
  <c r="X7" i="6"/>
  <c r="AA7" i="6" s="1"/>
  <c r="X548" i="6"/>
  <c r="AA548" i="6" s="1"/>
  <c r="V535" i="6"/>
  <c r="Y535" i="6" s="1"/>
  <c r="X510" i="6"/>
  <c r="AJ510" i="6" s="1"/>
  <c r="X496" i="6"/>
  <c r="AD496" i="6" s="1"/>
  <c r="V488" i="6"/>
  <c r="AB488" i="6" s="1"/>
  <c r="V480" i="6"/>
  <c r="AH480" i="6" s="1"/>
  <c r="V476" i="6"/>
  <c r="AH476" i="6" s="1"/>
  <c r="V426" i="6"/>
  <c r="AH426" i="6" s="1"/>
  <c r="AT412" i="1"/>
  <c r="V406" i="6"/>
  <c r="AB406" i="6" s="1"/>
  <c r="X296" i="6"/>
  <c r="AD296" i="6" s="1"/>
  <c r="W242" i="6"/>
  <c r="AI242" i="6" s="1"/>
  <c r="V189" i="6"/>
  <c r="AE189" i="6" s="1"/>
  <c r="V177" i="6"/>
  <c r="AE177" i="6" s="1"/>
  <c r="V114" i="6"/>
  <c r="AH114" i="6" s="1"/>
  <c r="X57" i="6"/>
  <c r="AA57" i="6" s="1"/>
  <c r="W49" i="6"/>
  <c r="AF49" i="6" s="1"/>
  <c r="W555" i="6"/>
  <c r="AC555" i="6" s="1"/>
  <c r="X518" i="6"/>
  <c r="AA518" i="6" s="1"/>
  <c r="V504" i="6"/>
  <c r="AE504" i="6" s="1"/>
  <c r="V502" i="6"/>
  <c r="Y502" i="6" s="1"/>
  <c r="W487" i="6"/>
  <c r="Z487" i="6" s="1"/>
  <c r="V485" i="6"/>
  <c r="AH485" i="6" s="1"/>
  <c r="V470" i="6"/>
  <c r="Y470" i="6" s="1"/>
  <c r="V465" i="6"/>
  <c r="AH465" i="6" s="1"/>
  <c r="X462" i="6"/>
  <c r="AG462" i="6" s="1"/>
  <c r="X459" i="6"/>
  <c r="AA459" i="6" s="1"/>
  <c r="W450" i="6"/>
  <c r="AF450" i="6" s="1"/>
  <c r="W438" i="6"/>
  <c r="Z438" i="6" s="1"/>
  <c r="X427" i="6"/>
  <c r="AD427" i="6" s="1"/>
  <c r="W304" i="6"/>
  <c r="AC304" i="6" s="1"/>
  <c r="V301" i="6"/>
  <c r="AE301" i="6" s="1"/>
  <c r="W257" i="6"/>
  <c r="Z257" i="6" s="1"/>
  <c r="X234" i="6"/>
  <c r="AA234" i="6" s="1"/>
  <c r="X207" i="6"/>
  <c r="AJ207" i="6" s="1"/>
  <c r="X193" i="6"/>
  <c r="AD193" i="6" s="1"/>
  <c r="X188" i="6"/>
  <c r="AG188" i="6" s="1"/>
  <c r="X184" i="6"/>
  <c r="AG184" i="6" s="1"/>
  <c r="V181" i="6"/>
  <c r="AE181" i="6" s="1"/>
  <c r="X129" i="6"/>
  <c r="AJ129" i="6" s="1"/>
  <c r="X90" i="6"/>
  <c r="AA90" i="6" s="1"/>
  <c r="V77" i="6"/>
  <c r="Y77" i="6" s="1"/>
  <c r="V64" i="6"/>
  <c r="AE64" i="6" s="1"/>
  <c r="V45" i="6"/>
  <c r="Y45" i="6" s="1"/>
  <c r="V36" i="6"/>
  <c r="Y36" i="6" s="1"/>
  <c r="X15" i="6"/>
  <c r="AJ15" i="6" s="1"/>
  <c r="X556" i="6"/>
  <c r="AG556" i="6" s="1"/>
  <c r="X542" i="6"/>
  <c r="AA542" i="6" s="1"/>
  <c r="V505" i="6"/>
  <c r="AE505" i="6" s="1"/>
  <c r="V477" i="6"/>
  <c r="AH477" i="6" s="1"/>
  <c r="V474" i="6"/>
  <c r="AH474" i="6" s="1"/>
  <c r="V432" i="6"/>
  <c r="Y432" i="6" s="1"/>
  <c r="W427" i="6"/>
  <c r="Z427" i="6" s="1"/>
  <c r="X421" i="6"/>
  <c r="AJ421" i="6" s="1"/>
  <c r="X325" i="6"/>
  <c r="AG325" i="6" s="1"/>
  <c r="V281" i="6"/>
  <c r="AH281" i="6" s="1"/>
  <c r="X243" i="6"/>
  <c r="AG243" i="6" s="1"/>
  <c r="X221" i="6"/>
  <c r="AJ221" i="6" s="1"/>
  <c r="W200" i="6"/>
  <c r="AC200" i="6" s="1"/>
  <c r="W195" i="6"/>
  <c r="AC195" i="6" s="1"/>
  <c r="X165" i="6"/>
  <c r="AD165" i="6" s="1"/>
  <c r="W145" i="6"/>
  <c r="Z145" i="6" s="1"/>
  <c r="V122" i="6"/>
  <c r="AH122" i="6" s="1"/>
  <c r="X110" i="6"/>
  <c r="AA110" i="6" s="1"/>
  <c r="W93" i="6"/>
  <c r="AI93" i="6" s="1"/>
  <c r="W65" i="6"/>
  <c r="AC65" i="6" s="1"/>
  <c r="W50" i="6"/>
  <c r="AC50" i="6" s="1"/>
  <c r="V43" i="6"/>
  <c r="AB43" i="6" s="1"/>
  <c r="W30" i="6"/>
  <c r="AC30" i="6" s="1"/>
  <c r="V25" i="6"/>
  <c r="AE25" i="6" s="1"/>
  <c r="W4" i="6"/>
  <c r="AI4" i="6" s="1"/>
  <c r="V525" i="6"/>
  <c r="Y525" i="6" s="1"/>
  <c r="X521" i="6"/>
  <c r="AD521" i="6" s="1"/>
  <c r="V489" i="6"/>
  <c r="AB489" i="6" s="1"/>
  <c r="W457" i="6"/>
  <c r="AI457" i="6" s="1"/>
  <c r="X454" i="6"/>
  <c r="AJ454" i="6" s="1"/>
  <c r="V445" i="6"/>
  <c r="AH445" i="6" s="1"/>
  <c r="W434" i="6"/>
  <c r="AI434" i="6" s="1"/>
  <c r="W411" i="6"/>
  <c r="AI411" i="6" s="1"/>
  <c r="W335" i="6"/>
  <c r="AC335" i="6" s="1"/>
  <c r="W315" i="6"/>
  <c r="AF315" i="6" s="1"/>
  <c r="X305" i="6"/>
  <c r="AA305" i="6" s="1"/>
  <c r="X295" i="6"/>
  <c r="AA295" i="6" s="1"/>
  <c r="V287" i="6"/>
  <c r="AH287" i="6" s="1"/>
  <c r="V279" i="6"/>
  <c r="AH279" i="6" s="1"/>
  <c r="V271" i="6"/>
  <c r="AH271" i="6" s="1"/>
  <c r="W260" i="6"/>
  <c r="Z260" i="6" s="1"/>
  <c r="W219" i="6"/>
  <c r="AF219" i="6" s="1"/>
  <c r="W171" i="6"/>
  <c r="AI171" i="6" s="1"/>
  <c r="V145" i="6"/>
  <c r="AE145" i="6" s="1"/>
  <c r="V141" i="6"/>
  <c r="AE141" i="6" s="1"/>
  <c r="X140" i="6"/>
  <c r="AG140" i="6" s="1"/>
  <c r="V104" i="6"/>
  <c r="AH104" i="6" s="1"/>
  <c r="W33" i="6"/>
  <c r="Z33" i="6" s="1"/>
  <c r="X31" i="6"/>
  <c r="AA31" i="6" s="1"/>
  <c r="V30" i="6"/>
  <c r="Y30" i="6" s="1"/>
  <c r="X16" i="6"/>
  <c r="AA16" i="6" s="1"/>
  <c r="V8" i="6"/>
  <c r="Y8" i="6" s="1"/>
  <c r="W531" i="6"/>
  <c r="AC531" i="6" s="1"/>
  <c r="X512" i="6"/>
  <c r="AJ512" i="6" s="1"/>
  <c r="V511" i="6"/>
  <c r="AB511" i="6" s="1"/>
  <c r="W490" i="6"/>
  <c r="Z490" i="6" s="1"/>
  <c r="V479" i="6"/>
  <c r="AB479" i="6" s="1"/>
  <c r="V471" i="6"/>
  <c r="AH471" i="6" s="1"/>
  <c r="X463" i="6"/>
  <c r="AJ463" i="6" s="1"/>
  <c r="V464" i="6"/>
  <c r="AB464" i="6" s="1"/>
  <c r="V457" i="6"/>
  <c r="AB457" i="6" s="1"/>
  <c r="V434" i="6"/>
  <c r="AE434" i="6" s="1"/>
  <c r="W428" i="6"/>
  <c r="AI428" i="6" s="1"/>
  <c r="V316" i="6"/>
  <c r="AH316" i="6" s="1"/>
  <c r="X301" i="6"/>
  <c r="AA301" i="6" s="1"/>
  <c r="X289" i="6"/>
  <c r="AD289" i="6" s="1"/>
  <c r="V288" i="6"/>
  <c r="AB288" i="6" s="1"/>
  <c r="X273" i="6"/>
  <c r="AD273" i="6" s="1"/>
  <c r="V272" i="6"/>
  <c r="AH272" i="6" s="1"/>
  <c r="V241" i="6"/>
  <c r="Y241" i="6" s="1"/>
  <c r="W238" i="6"/>
  <c r="AI238" i="6" s="1"/>
  <c r="V208" i="6"/>
  <c r="Y208" i="6" s="1"/>
  <c r="V156" i="6"/>
  <c r="AB156" i="6" s="1"/>
  <c r="W153" i="6"/>
  <c r="Z153" i="6" s="1"/>
  <c r="V130" i="6"/>
  <c r="AE130" i="6" s="1"/>
  <c r="V118" i="6"/>
  <c r="AE118" i="6" s="1"/>
  <c r="V116" i="6"/>
  <c r="Y116" i="6" s="1"/>
  <c r="W107" i="6"/>
  <c r="Z107" i="6" s="1"/>
  <c r="X92" i="6"/>
  <c r="AA92" i="6" s="1"/>
  <c r="W84" i="6"/>
  <c r="AF84" i="6" s="1"/>
  <c r="X34" i="6"/>
  <c r="AG34" i="6" s="1"/>
  <c r="W27" i="6"/>
  <c r="AI27" i="6" s="1"/>
  <c r="W522" i="6"/>
  <c r="AF522" i="6" s="1"/>
  <c r="V483" i="6"/>
  <c r="AB483" i="6" s="1"/>
  <c r="W472" i="6"/>
  <c r="AF472" i="6" s="1"/>
  <c r="W466" i="6"/>
  <c r="Z466" i="6" s="1"/>
  <c r="V448" i="6"/>
  <c r="AB448" i="6" s="1"/>
  <c r="W418" i="6"/>
  <c r="Z418" i="6" s="1"/>
  <c r="V472" i="6"/>
  <c r="AH472" i="6" s="1"/>
  <c r="X468" i="6"/>
  <c r="AA468" i="6" s="1"/>
  <c r="V362" i="6"/>
  <c r="AE362" i="6" s="1"/>
  <c r="X333" i="6"/>
  <c r="AG333" i="6" s="1"/>
  <c r="X327" i="6"/>
  <c r="AJ327" i="6" s="1"/>
  <c r="V324" i="6"/>
  <c r="Y324" i="6" s="1"/>
  <c r="V317" i="6"/>
  <c r="AE317" i="6" s="1"/>
  <c r="W306" i="6"/>
  <c r="AC306" i="6" s="1"/>
  <c r="X266" i="6"/>
  <c r="AG266" i="6" s="1"/>
  <c r="W255" i="6"/>
  <c r="AC255" i="6" s="1"/>
  <c r="X239" i="6"/>
  <c r="AG239" i="6" s="1"/>
  <c r="X233" i="6"/>
  <c r="AG233" i="6" s="1"/>
  <c r="W231" i="6"/>
  <c r="AC231" i="6" s="1"/>
  <c r="X42" i="6"/>
  <c r="AG42" i="6" s="1"/>
  <c r="V39" i="6"/>
  <c r="AH39" i="6" s="1"/>
  <c r="X28" i="6"/>
  <c r="AG28" i="6" s="1"/>
  <c r="X11" i="6"/>
  <c r="AA11" i="6" s="1"/>
  <c r="X464" i="6"/>
  <c r="AJ464" i="6" s="1"/>
  <c r="W459" i="6"/>
  <c r="Z459" i="6" s="1"/>
  <c r="W447" i="6"/>
  <c r="AI447" i="6" s="1"/>
  <c r="V437" i="6"/>
  <c r="AH437" i="6" s="1"/>
  <c r="W435" i="6"/>
  <c r="Z435" i="6" s="1"/>
  <c r="X426" i="6"/>
  <c r="AG426" i="6" s="1"/>
  <c r="X424" i="6"/>
  <c r="AA424" i="6" s="1"/>
  <c r="W410" i="6"/>
  <c r="AC410" i="6" s="1"/>
  <c r="W207" i="6"/>
  <c r="Z207" i="6" s="1"/>
  <c r="V183" i="6"/>
  <c r="AB183" i="6" s="1"/>
  <c r="V166" i="6"/>
  <c r="AB166" i="6" s="1"/>
  <c r="V161" i="6"/>
  <c r="AH161" i="6" s="1"/>
  <c r="V52" i="6"/>
  <c r="AB52" i="6" s="1"/>
  <c r="V49" i="6"/>
  <c r="AE49" i="6" s="1"/>
  <c r="AL22" i="6"/>
  <c r="X552" i="6"/>
  <c r="AA552" i="6" s="1"/>
  <c r="V551" i="6"/>
  <c r="AH551" i="6" s="1"/>
  <c r="W545" i="6"/>
  <c r="Z545" i="6" s="1"/>
  <c r="V527" i="6"/>
  <c r="Y527" i="6" s="1"/>
  <c r="W514" i="6"/>
  <c r="AF514" i="6" s="1"/>
  <c r="V493" i="6"/>
  <c r="AB493" i="6" s="1"/>
  <c r="V487" i="6"/>
  <c r="AH487" i="6" s="1"/>
  <c r="V461" i="6"/>
  <c r="AH461" i="6" s="1"/>
  <c r="V459" i="6"/>
  <c r="AH459" i="6" s="1"/>
  <c r="X456" i="6"/>
  <c r="AD456" i="6" s="1"/>
  <c r="V450" i="6"/>
  <c r="AB450" i="6" s="1"/>
  <c r="V447" i="6"/>
  <c r="Y447" i="6" s="1"/>
  <c r="V444" i="6"/>
  <c r="AB444" i="6" s="1"/>
  <c r="X417" i="6"/>
  <c r="AA417" i="6" s="1"/>
  <c r="V416" i="6"/>
  <c r="AH416" i="6" s="1"/>
  <c r="W406" i="6"/>
  <c r="Z406" i="6" s="1"/>
  <c r="V355" i="6"/>
  <c r="Y355" i="6" s="1"/>
  <c r="V346" i="6"/>
  <c r="AE346" i="6" s="1"/>
  <c r="W325" i="6"/>
  <c r="Z325" i="6" s="1"/>
  <c r="W321" i="6"/>
  <c r="Z321" i="6" s="1"/>
  <c r="V318" i="6"/>
  <c r="AH318" i="6" s="1"/>
  <c r="W221" i="6"/>
  <c r="AF221" i="6" s="1"/>
  <c r="X208" i="6"/>
  <c r="AD208" i="6" s="1"/>
  <c r="V207" i="6"/>
  <c r="Y207" i="6" s="1"/>
  <c r="V200" i="6"/>
  <c r="AH200" i="6" s="1"/>
  <c r="W186" i="6"/>
  <c r="AC186" i="6" s="1"/>
  <c r="V184" i="6"/>
  <c r="Y184" i="6" s="1"/>
  <c r="V178" i="6"/>
  <c r="AB178" i="6" s="1"/>
  <c r="V175" i="6"/>
  <c r="AE175" i="6" s="1"/>
  <c r="V157" i="6"/>
  <c r="AH157" i="6" s="1"/>
  <c r="V155" i="6"/>
  <c r="AH155" i="6" s="1"/>
  <c r="W134" i="6"/>
  <c r="AC134" i="6" s="1"/>
  <c r="V125" i="6"/>
  <c r="AB125" i="6" s="1"/>
  <c r="X118" i="6"/>
  <c r="AD118" i="6" s="1"/>
  <c r="V117" i="6"/>
  <c r="AB117" i="6" s="1"/>
  <c r="W112" i="6"/>
  <c r="AF112" i="6" s="1"/>
  <c r="V93" i="6"/>
  <c r="AH93" i="6" s="1"/>
  <c r="X5" i="6"/>
  <c r="AA5" i="6" s="1"/>
  <c r="V4" i="6"/>
  <c r="AH4" i="6" s="1"/>
  <c r="V545" i="6"/>
  <c r="Y545" i="6" s="1"/>
  <c r="W521" i="6"/>
  <c r="AI521" i="6" s="1"/>
  <c r="X515" i="6"/>
  <c r="AD515" i="6" s="1"/>
  <c r="V514" i="6"/>
  <c r="AH514" i="6" s="1"/>
  <c r="X508" i="6"/>
  <c r="AJ508" i="6" s="1"/>
  <c r="W505" i="6"/>
  <c r="Z505" i="6" s="1"/>
  <c r="X483" i="6"/>
  <c r="AD483" i="6" s="1"/>
  <c r="W477" i="6"/>
  <c r="Z477" i="6" s="1"/>
  <c r="X448" i="6"/>
  <c r="AJ448" i="6" s="1"/>
  <c r="X430" i="6"/>
  <c r="AG430" i="6" s="1"/>
  <c r="V427" i="6"/>
  <c r="AH427" i="6" s="1"/>
  <c r="V368" i="6"/>
  <c r="AE368" i="6" s="1"/>
  <c r="W358" i="6"/>
  <c r="AF358" i="6" s="1"/>
  <c r="W328" i="6"/>
  <c r="AI328" i="6" s="1"/>
  <c r="X326" i="6"/>
  <c r="AA326" i="6" s="1"/>
  <c r="V325" i="6"/>
  <c r="Y325" i="6" s="1"/>
  <c r="V307" i="6"/>
  <c r="AE307" i="6" s="1"/>
  <c r="X304" i="6"/>
  <c r="AD304" i="6" s="1"/>
  <c r="V260" i="6"/>
  <c r="AB260" i="6" s="1"/>
  <c r="V243" i="6"/>
  <c r="Y243" i="6" s="1"/>
  <c r="V237" i="6"/>
  <c r="AB237" i="6" s="1"/>
  <c r="X232" i="6"/>
  <c r="AA232" i="6" s="1"/>
  <c r="W192" i="6"/>
  <c r="AI192" i="6" s="1"/>
  <c r="X142" i="6"/>
  <c r="AG142" i="6" s="1"/>
  <c r="X137" i="6"/>
  <c r="AG137" i="6" s="1"/>
  <c r="V112" i="6"/>
  <c r="AB112" i="6" s="1"/>
  <c r="W71" i="6"/>
  <c r="AI71" i="6" s="1"/>
  <c r="V61" i="6"/>
  <c r="Y61" i="6" s="1"/>
  <c r="V40" i="6"/>
  <c r="AH40" i="6" s="1"/>
  <c r="W36" i="6"/>
  <c r="AF36" i="6" s="1"/>
  <c r="W539" i="6"/>
  <c r="Z539" i="6" s="1"/>
  <c r="W494" i="6"/>
  <c r="Z494" i="6" s="1"/>
  <c r="X472" i="6"/>
  <c r="AG472" i="6" s="1"/>
  <c r="W463" i="6"/>
  <c r="Z463" i="6" s="1"/>
  <c r="W408" i="6"/>
  <c r="AC408" i="6" s="1"/>
  <c r="X412" i="6"/>
  <c r="AD412" i="6" s="1"/>
  <c r="W412" i="6"/>
  <c r="AF412" i="6" s="1"/>
  <c r="X410" i="6"/>
  <c r="AA410" i="6" s="1"/>
  <c r="AL410" i="6"/>
  <c r="AK407" i="1"/>
  <c r="X408" i="6"/>
  <c r="AG408" i="6" s="1"/>
  <c r="X409" i="6"/>
  <c r="AA409" i="6" s="1"/>
  <c r="V411" i="6"/>
  <c r="AE411" i="6" s="1"/>
  <c r="V408" i="6"/>
  <c r="Y408" i="6" s="1"/>
  <c r="BN406" i="1"/>
  <c r="BS407" i="1"/>
  <c r="DV407" i="1"/>
  <c r="DY407" i="1" s="1"/>
  <c r="BS406" i="1"/>
  <c r="DR406" i="1"/>
  <c r="EG406" i="1"/>
  <c r="BL407" i="1"/>
  <c r="EG407" i="1"/>
  <c r="BL406" i="1"/>
  <c r="DV406" i="1"/>
  <c r="EK406" i="1"/>
  <c r="BN407" i="1"/>
  <c r="AH407" i="1"/>
  <c r="AH406" i="1"/>
  <c r="AK406" i="1"/>
  <c r="X406" i="6"/>
  <c r="AD406" i="6" s="1"/>
  <c r="AH405" i="1"/>
  <c r="EK405" i="1"/>
  <c r="DV405" i="1"/>
  <c r="AK405" i="1"/>
  <c r="BN405" i="1"/>
  <c r="EG405" i="1"/>
  <c r="DR405" i="1"/>
  <c r="BL405" i="1"/>
  <c r="BS405" i="1"/>
  <c r="AL326" i="6"/>
  <c r="W326" i="6"/>
  <c r="AI326" i="6" s="1"/>
  <c r="AL295" i="6"/>
  <c r="W295" i="6"/>
  <c r="Z295" i="6" s="1"/>
  <c r="W404" i="6"/>
  <c r="AC404" i="6" s="1"/>
  <c r="W403" i="6"/>
  <c r="AI403" i="6" s="1"/>
  <c r="W402" i="6"/>
  <c r="AF402" i="6" s="1"/>
  <c r="W401" i="6"/>
  <c r="AI401" i="6" s="1"/>
  <c r="W400" i="6"/>
  <c r="AC400" i="6" s="1"/>
  <c r="X394" i="6"/>
  <c r="AG394" i="6" s="1"/>
  <c r="X393" i="6"/>
  <c r="AJ393" i="6" s="1"/>
  <c r="X392" i="6"/>
  <c r="AG392" i="6" s="1"/>
  <c r="X388" i="6"/>
  <c r="AG388" i="6" s="1"/>
  <c r="X387" i="6"/>
  <c r="AA387" i="6" s="1"/>
  <c r="V387" i="6"/>
  <c r="AE387" i="6" s="1"/>
  <c r="V386" i="6"/>
  <c r="AH386" i="6" s="1"/>
  <c r="X386" i="6"/>
  <c r="AA386" i="6" s="1"/>
  <c r="V383" i="6"/>
  <c r="AE383" i="6" s="1"/>
  <c r="W381" i="6"/>
  <c r="AI381" i="6" s="1"/>
  <c r="W376" i="6"/>
  <c r="AI376" i="6" s="1"/>
  <c r="W375" i="6"/>
  <c r="AC375" i="6" s="1"/>
  <c r="X373" i="6"/>
  <c r="AA373" i="6" s="1"/>
  <c r="V373" i="6"/>
  <c r="AE373" i="6" s="1"/>
  <c r="X372" i="6"/>
  <c r="AG372" i="6" s="1"/>
  <c r="W370" i="6"/>
  <c r="Z370" i="6" s="1"/>
  <c r="W368" i="6"/>
  <c r="AC368" i="6" s="1"/>
  <c r="W367" i="6"/>
  <c r="AC367" i="6" s="1"/>
  <c r="X365" i="6"/>
  <c r="AD365" i="6" s="1"/>
  <c r="V365" i="6"/>
  <c r="AE365" i="6" s="1"/>
  <c r="X364" i="6"/>
  <c r="AG364" i="6" s="1"/>
  <c r="W362" i="6"/>
  <c r="AC362" i="6" s="1"/>
  <c r="V358" i="6"/>
  <c r="AE358" i="6" s="1"/>
  <c r="X358" i="6"/>
  <c r="AA358" i="6" s="1"/>
  <c r="X357" i="6"/>
  <c r="AG357" i="6" s="1"/>
  <c r="V357" i="6"/>
  <c r="AH357" i="6" s="1"/>
  <c r="W353" i="6"/>
  <c r="AC353" i="6" s="1"/>
  <c r="W352" i="6"/>
  <c r="AI352" i="6" s="1"/>
  <c r="X351" i="6"/>
  <c r="AG351" i="6" s="1"/>
  <c r="V351" i="6"/>
  <c r="Y351" i="6" s="1"/>
  <c r="V348" i="6"/>
  <c r="AE348" i="6" s="1"/>
  <c r="X348" i="6"/>
  <c r="AA348" i="6" s="1"/>
  <c r="W347" i="6"/>
  <c r="AC347" i="6" s="1"/>
  <c r="W346" i="6"/>
  <c r="AI346" i="6" s="1"/>
  <c r="V340" i="6"/>
  <c r="AE340" i="6" s="1"/>
  <c r="X340" i="6"/>
  <c r="AA340" i="6" s="1"/>
  <c r="X339" i="6"/>
  <c r="AG339" i="6" s="1"/>
  <c r="V339" i="6"/>
  <c r="Y339" i="6" s="1"/>
  <c r="W337" i="6"/>
  <c r="AC337" i="6" s="1"/>
  <c r="W334" i="6"/>
  <c r="AI334" i="6" s="1"/>
  <c r="V332" i="6"/>
  <c r="AE332" i="6" s="1"/>
  <c r="X332" i="6"/>
  <c r="AA332" i="6" s="1"/>
  <c r="AL332" i="6"/>
  <c r="W332" i="6"/>
  <c r="AI332" i="6" s="1"/>
  <c r="W331" i="6"/>
  <c r="AC331" i="6" s="1"/>
  <c r="AL305" i="6"/>
  <c r="W305" i="6"/>
  <c r="AF305" i="6" s="1"/>
  <c r="AL256" i="6"/>
  <c r="W256" i="6"/>
  <c r="Z256" i="6" s="1"/>
  <c r="AL234" i="6"/>
  <c r="W234" i="6"/>
  <c r="AI234" i="6" s="1"/>
  <c r="X156" i="6"/>
  <c r="AG156" i="6" s="1"/>
  <c r="AL342" i="6"/>
  <c r="W342" i="6"/>
  <c r="AI342" i="6" s="1"/>
  <c r="W393" i="6"/>
  <c r="AI393" i="6" s="1"/>
  <c r="W392" i="6"/>
  <c r="Z392" i="6" s="1"/>
  <c r="W388" i="6"/>
  <c r="AC388" i="6" s="1"/>
  <c r="V382" i="6"/>
  <c r="Y382" i="6" s="1"/>
  <c r="X382" i="6"/>
  <c r="AD382" i="6" s="1"/>
  <c r="W377" i="6"/>
  <c r="AF377" i="6" s="1"/>
  <c r="X375" i="6"/>
  <c r="AA375" i="6" s="1"/>
  <c r="V375" i="6"/>
  <c r="AE375" i="6" s="1"/>
  <c r="V372" i="6"/>
  <c r="AE372" i="6" s="1"/>
  <c r="V370" i="6"/>
  <c r="AE370" i="6" s="1"/>
  <c r="W369" i="6"/>
  <c r="AC369" i="6" s="1"/>
  <c r="X367" i="6"/>
  <c r="AA367" i="6" s="1"/>
  <c r="V367" i="6"/>
  <c r="AE367" i="6" s="1"/>
  <c r="V364" i="6"/>
  <c r="AE364" i="6" s="1"/>
  <c r="V360" i="6"/>
  <c r="AE360" i="6" s="1"/>
  <c r="X360" i="6"/>
  <c r="AA360" i="6" s="1"/>
  <c r="W359" i="6"/>
  <c r="AC359" i="6" s="1"/>
  <c r="V354" i="6"/>
  <c r="AE354" i="6" s="1"/>
  <c r="X354" i="6"/>
  <c r="AA354" i="6" s="1"/>
  <c r="X353" i="6"/>
  <c r="AG353" i="6" s="1"/>
  <c r="V353" i="6"/>
  <c r="AH353" i="6" s="1"/>
  <c r="W349" i="6"/>
  <c r="Z349" i="6" s="1"/>
  <c r="X347" i="6"/>
  <c r="AJ347" i="6" s="1"/>
  <c r="V347" i="6"/>
  <c r="Y347" i="6" s="1"/>
  <c r="V344" i="6"/>
  <c r="AE344" i="6" s="1"/>
  <c r="X344" i="6"/>
  <c r="AA344" i="6" s="1"/>
  <c r="W343" i="6"/>
  <c r="AC343" i="6" s="1"/>
  <c r="W329" i="6"/>
  <c r="AC329" i="6" s="1"/>
  <c r="X322" i="6"/>
  <c r="AJ322" i="6" s="1"/>
  <c r="AM264" i="6"/>
  <c r="X264" i="6"/>
  <c r="AJ264" i="6" s="1"/>
  <c r="AM163" i="6"/>
  <c r="X163" i="6"/>
  <c r="AD163" i="6" s="1"/>
  <c r="AL250" i="6"/>
  <c r="W250" i="6"/>
  <c r="AI250" i="6" s="1"/>
  <c r="W394" i="6"/>
  <c r="AC394" i="6" s="1"/>
  <c r="X399" i="6"/>
  <c r="AA399" i="6" s="1"/>
  <c r="X398" i="6"/>
  <c r="AG398" i="6" s="1"/>
  <c r="X397" i="6"/>
  <c r="AG397" i="6" s="1"/>
  <c r="W396" i="6"/>
  <c r="AC396" i="6" s="1"/>
  <c r="W395" i="6"/>
  <c r="Z395" i="6" s="1"/>
  <c r="W391" i="6"/>
  <c r="AC391" i="6" s="1"/>
  <c r="W390" i="6"/>
  <c r="AC390" i="6" s="1"/>
  <c r="W389" i="6"/>
  <c r="AI389" i="6" s="1"/>
  <c r="W384" i="6"/>
  <c r="AC384" i="6" s="1"/>
  <c r="W382" i="6"/>
  <c r="AF382" i="6" s="1"/>
  <c r="X380" i="6"/>
  <c r="AG380" i="6" s="1"/>
  <c r="X379" i="6"/>
  <c r="AD379" i="6" s="1"/>
  <c r="V379" i="6"/>
  <c r="AE379" i="6" s="1"/>
  <c r="V378" i="6"/>
  <c r="Y378" i="6" s="1"/>
  <c r="X378" i="6"/>
  <c r="AG378" i="6" s="1"/>
  <c r="X377" i="6"/>
  <c r="AA377" i="6" s="1"/>
  <c r="V377" i="6"/>
  <c r="AB377" i="6" s="1"/>
  <c r="X376" i="6"/>
  <c r="AG376" i="6" s="1"/>
  <c r="W374" i="6"/>
  <c r="AC374" i="6" s="1"/>
  <c r="W372" i="6"/>
  <c r="AF372" i="6" s="1"/>
  <c r="W371" i="6"/>
  <c r="AC371" i="6" s="1"/>
  <c r="X369" i="6"/>
  <c r="AD369" i="6" s="1"/>
  <c r="V369" i="6"/>
  <c r="AE369" i="6" s="1"/>
  <c r="X368" i="6"/>
  <c r="AG368" i="6" s="1"/>
  <c r="W366" i="6"/>
  <c r="AC366" i="6" s="1"/>
  <c r="W364" i="6"/>
  <c r="Z364" i="6" s="1"/>
  <c r="W363" i="6"/>
  <c r="AC363" i="6" s="1"/>
  <c r="W361" i="6"/>
  <c r="AC361" i="6" s="1"/>
  <c r="W360" i="6"/>
  <c r="AF360" i="6" s="1"/>
  <c r="X359" i="6"/>
  <c r="AG359" i="6" s="1"/>
  <c r="V359" i="6"/>
  <c r="Y359" i="6" s="1"/>
  <c r="V356" i="6"/>
  <c r="AE356" i="6" s="1"/>
  <c r="X356" i="6"/>
  <c r="AA356" i="6" s="1"/>
  <c r="W355" i="6"/>
  <c r="AC355" i="6" s="1"/>
  <c r="W354" i="6"/>
  <c r="Z354" i="6" s="1"/>
  <c r="V350" i="6"/>
  <c r="AE350" i="6" s="1"/>
  <c r="X350" i="6"/>
  <c r="AA350" i="6" s="1"/>
  <c r="X349" i="6"/>
  <c r="AG349" i="6" s="1"/>
  <c r="V349" i="6"/>
  <c r="Y349" i="6" s="1"/>
  <c r="W345" i="6"/>
  <c r="AC345" i="6" s="1"/>
  <c r="W344" i="6"/>
  <c r="AF344" i="6" s="1"/>
  <c r="X343" i="6"/>
  <c r="AA343" i="6" s="1"/>
  <c r="W341" i="6"/>
  <c r="AC341" i="6" s="1"/>
  <c r="V336" i="6"/>
  <c r="AE336" i="6" s="1"/>
  <c r="X336" i="6"/>
  <c r="AA336" i="6" s="1"/>
  <c r="V335" i="6"/>
  <c r="Y335" i="6" s="1"/>
  <c r="V330" i="6"/>
  <c r="AE330" i="6" s="1"/>
  <c r="X330" i="6"/>
  <c r="AA330" i="6" s="1"/>
  <c r="X329" i="6"/>
  <c r="AG329" i="6" s="1"/>
  <c r="V329" i="6"/>
  <c r="Y329" i="6" s="1"/>
  <c r="AL262" i="6"/>
  <c r="W262" i="6"/>
  <c r="AF262" i="6" s="1"/>
  <c r="W314" i="6"/>
  <c r="Z314" i="6" s="1"/>
  <c r="X313" i="6"/>
  <c r="AA313" i="6" s="1"/>
  <c r="W312" i="6"/>
  <c r="AC312" i="6" s="1"/>
  <c r="X309" i="6"/>
  <c r="AJ309" i="6" s="1"/>
  <c r="V306" i="6"/>
  <c r="Y306" i="6" s="1"/>
  <c r="V304" i="6"/>
  <c r="Y304" i="6" s="1"/>
  <c r="X303" i="6"/>
  <c r="AA303" i="6" s="1"/>
  <c r="W301" i="6"/>
  <c r="AF301" i="6" s="1"/>
  <c r="X299" i="6"/>
  <c r="AJ299" i="6" s="1"/>
  <c r="V294" i="6"/>
  <c r="AH294" i="6" s="1"/>
  <c r="W289" i="6"/>
  <c r="Z289" i="6" s="1"/>
  <c r="X287" i="6"/>
  <c r="AD287" i="6" s="1"/>
  <c r="V286" i="6"/>
  <c r="AB286" i="6" s="1"/>
  <c r="W281" i="6"/>
  <c r="Z281" i="6" s="1"/>
  <c r="X279" i="6"/>
  <c r="AD279" i="6" s="1"/>
  <c r="V278" i="6"/>
  <c r="AB278" i="6" s="1"/>
  <c r="W273" i="6"/>
  <c r="Z273" i="6" s="1"/>
  <c r="X271" i="6"/>
  <c r="AD271" i="6" s="1"/>
  <c r="V270" i="6"/>
  <c r="AB270" i="6" s="1"/>
  <c r="W265" i="6"/>
  <c r="Z265" i="6" s="1"/>
  <c r="V261" i="6"/>
  <c r="AH261" i="6" s="1"/>
  <c r="V257" i="6"/>
  <c r="AE257" i="6" s="1"/>
  <c r="X253" i="6"/>
  <c r="AD253" i="6" s="1"/>
  <c r="W249" i="6"/>
  <c r="AF249" i="6" s="1"/>
  <c r="X246" i="6"/>
  <c r="AA246" i="6" s="1"/>
  <c r="V239" i="6"/>
  <c r="Y239" i="6" s="1"/>
  <c r="V233" i="6"/>
  <c r="Y233" i="6" s="1"/>
  <c r="X224" i="6"/>
  <c r="AD224" i="6" s="1"/>
  <c r="V223" i="6"/>
  <c r="Y223" i="6" s="1"/>
  <c r="X222" i="6"/>
  <c r="AD222" i="6" s="1"/>
  <c r="AL222" i="6"/>
  <c r="W222" i="6"/>
  <c r="AF222" i="6" s="1"/>
  <c r="V221" i="6"/>
  <c r="AB221" i="6" s="1"/>
  <c r="W213" i="6"/>
  <c r="Z213" i="6" s="1"/>
  <c r="W205" i="6"/>
  <c r="AF205" i="6" s="1"/>
  <c r="W193" i="6"/>
  <c r="AC193" i="6" s="1"/>
  <c r="X179" i="6"/>
  <c r="AA179" i="6" s="1"/>
  <c r="AL179" i="6"/>
  <c r="W179" i="6"/>
  <c r="AF179" i="6" s="1"/>
  <c r="W177" i="6"/>
  <c r="AI177" i="6" s="1"/>
  <c r="W174" i="6"/>
  <c r="AC174" i="6" s="1"/>
  <c r="X149" i="6"/>
  <c r="AD149" i="6" s="1"/>
  <c r="V148" i="6"/>
  <c r="AH148" i="6" s="1"/>
  <c r="W141" i="6"/>
  <c r="AF141" i="6" s="1"/>
  <c r="W136" i="6"/>
  <c r="AC136" i="6" s="1"/>
  <c r="AL83" i="6"/>
  <c r="W83" i="6"/>
  <c r="AI83" i="6" s="1"/>
  <c r="V338" i="6"/>
  <c r="AE338" i="6" s="1"/>
  <c r="X338" i="6"/>
  <c r="AA338" i="6" s="1"/>
  <c r="X337" i="6"/>
  <c r="AD337" i="6" s="1"/>
  <c r="V337" i="6"/>
  <c r="Y337" i="6" s="1"/>
  <c r="W333" i="6"/>
  <c r="AC333" i="6" s="1"/>
  <c r="X331" i="6"/>
  <c r="AA331" i="6" s="1"/>
  <c r="V331" i="6"/>
  <c r="Y331" i="6" s="1"/>
  <c r="V328" i="6"/>
  <c r="AE328" i="6" s="1"/>
  <c r="X328" i="6"/>
  <c r="AA328" i="6" s="1"/>
  <c r="W327" i="6"/>
  <c r="AC327" i="6" s="1"/>
  <c r="W322" i="6"/>
  <c r="AI322" i="6" s="1"/>
  <c r="V321" i="6"/>
  <c r="AH321" i="6" s="1"/>
  <c r="X321" i="6"/>
  <c r="AA321" i="6" s="1"/>
  <c r="W320" i="6"/>
  <c r="AC320" i="6" s="1"/>
  <c r="X317" i="6"/>
  <c r="AJ317" i="6" s="1"/>
  <c r="V314" i="6"/>
  <c r="Y314" i="6" s="1"/>
  <c r="W313" i="6"/>
  <c r="AF313" i="6" s="1"/>
  <c r="X312" i="6"/>
  <c r="AJ312" i="6" s="1"/>
  <c r="V312" i="6"/>
  <c r="Y312" i="6" s="1"/>
  <c r="V311" i="6"/>
  <c r="AB311" i="6" s="1"/>
  <c r="X311" i="6"/>
  <c r="AA311" i="6" s="1"/>
  <c r="W309" i="6"/>
  <c r="AC309" i="6" s="1"/>
  <c r="X307" i="6"/>
  <c r="AJ307" i="6" s="1"/>
  <c r="W303" i="6"/>
  <c r="Z303" i="6" s="1"/>
  <c r="V302" i="6"/>
  <c r="AE302" i="6" s="1"/>
  <c r="V300" i="6"/>
  <c r="AH300" i="6" s="1"/>
  <c r="W299" i="6"/>
  <c r="AC299" i="6" s="1"/>
  <c r="X293" i="6"/>
  <c r="AD293" i="6" s="1"/>
  <c r="V292" i="6"/>
  <c r="AB292" i="6" s="1"/>
  <c r="W287" i="6"/>
  <c r="Z287" i="6" s="1"/>
  <c r="X285" i="6"/>
  <c r="AD285" i="6" s="1"/>
  <c r="V284" i="6"/>
  <c r="AB284" i="6" s="1"/>
  <c r="W279" i="6"/>
  <c r="Z279" i="6" s="1"/>
  <c r="X277" i="6"/>
  <c r="AD277" i="6" s="1"/>
  <c r="V276" i="6"/>
  <c r="AB276" i="6" s="1"/>
  <c r="W271" i="6"/>
  <c r="Z271" i="6" s="1"/>
  <c r="X269" i="6"/>
  <c r="AD269" i="6" s="1"/>
  <c r="V268" i="6"/>
  <c r="AB268" i="6" s="1"/>
  <c r="V265" i="6"/>
  <c r="AE265" i="6" s="1"/>
  <c r="W264" i="6"/>
  <c r="Z264" i="6" s="1"/>
  <c r="W263" i="6"/>
  <c r="AI263" i="6" s="1"/>
  <c r="X262" i="6"/>
  <c r="AA262" i="6" s="1"/>
  <c r="V262" i="6"/>
  <c r="AE262" i="6" s="1"/>
  <c r="X259" i="6"/>
  <c r="AG259" i="6" s="1"/>
  <c r="W254" i="6"/>
  <c r="AI254" i="6" s="1"/>
  <c r="W253" i="6"/>
  <c r="AF253" i="6" s="1"/>
  <c r="W251" i="6"/>
  <c r="AF251" i="6" s="1"/>
  <c r="V250" i="6"/>
  <c r="AH250" i="6" s="1"/>
  <c r="X249" i="6"/>
  <c r="AG249" i="6" s="1"/>
  <c r="V249" i="6"/>
  <c r="Y249" i="6" s="1"/>
  <c r="V248" i="6"/>
  <c r="AH248" i="6" s="1"/>
  <c r="X248" i="6"/>
  <c r="AA248" i="6" s="1"/>
  <c r="W247" i="6"/>
  <c r="AC247" i="6" s="1"/>
  <c r="W246" i="6"/>
  <c r="AI246" i="6" s="1"/>
  <c r="W245" i="6"/>
  <c r="AI245" i="6" s="1"/>
  <c r="V242" i="6"/>
  <c r="AE242" i="6" s="1"/>
  <c r="X242" i="6"/>
  <c r="AA242" i="6" s="1"/>
  <c r="W237" i="6"/>
  <c r="Z237" i="6" s="1"/>
  <c r="W235" i="6"/>
  <c r="AC235" i="6" s="1"/>
  <c r="V230" i="6"/>
  <c r="AE230" i="6" s="1"/>
  <c r="X230" i="6"/>
  <c r="AA230" i="6" s="1"/>
  <c r="W229" i="6"/>
  <c r="AC229" i="6" s="1"/>
  <c r="X227" i="6"/>
  <c r="AG227" i="6" s="1"/>
  <c r="V227" i="6"/>
  <c r="Y227" i="6" s="1"/>
  <c r="W224" i="6"/>
  <c r="AC224" i="6" s="1"/>
  <c r="V218" i="6"/>
  <c r="AH218" i="6" s="1"/>
  <c r="X218" i="6"/>
  <c r="AD218" i="6" s="1"/>
  <c r="X217" i="6"/>
  <c r="AJ217" i="6" s="1"/>
  <c r="V217" i="6"/>
  <c r="Y217" i="6" s="1"/>
  <c r="X199" i="6"/>
  <c r="AJ199" i="6" s="1"/>
  <c r="AL199" i="6"/>
  <c r="W199" i="6"/>
  <c r="Z199" i="6" s="1"/>
  <c r="W189" i="6"/>
  <c r="AI189" i="6" s="1"/>
  <c r="V182" i="6"/>
  <c r="AB182" i="6" s="1"/>
  <c r="V180" i="6"/>
  <c r="AE180" i="6" s="1"/>
  <c r="V165" i="6"/>
  <c r="AH165" i="6" s="1"/>
  <c r="AM162" i="6"/>
  <c r="X162" i="6"/>
  <c r="AG162" i="6" s="1"/>
  <c r="AM155" i="6"/>
  <c r="X155" i="6"/>
  <c r="AJ155" i="6" s="1"/>
  <c r="W151" i="6"/>
  <c r="Z151" i="6" s="1"/>
  <c r="W142" i="6"/>
  <c r="AI142" i="6" s="1"/>
  <c r="W139" i="6"/>
  <c r="AI139" i="6" s="1"/>
  <c r="X132" i="6"/>
  <c r="AJ132" i="6" s="1"/>
  <c r="V124" i="6"/>
  <c r="AH124" i="6" s="1"/>
  <c r="X116" i="6"/>
  <c r="AD116" i="6" s="1"/>
  <c r="V115" i="6"/>
  <c r="AB115" i="6" s="1"/>
  <c r="V327" i="6"/>
  <c r="Y327" i="6" s="1"/>
  <c r="X320" i="6"/>
  <c r="AJ320" i="6" s="1"/>
  <c r="V320" i="6"/>
  <c r="Y320" i="6" s="1"/>
  <c r="V319" i="6"/>
  <c r="AB319" i="6" s="1"/>
  <c r="X319" i="6"/>
  <c r="AA319" i="6" s="1"/>
  <c r="W317" i="6"/>
  <c r="AF317" i="6" s="1"/>
  <c r="X315" i="6"/>
  <c r="AG315" i="6" s="1"/>
  <c r="V310" i="6"/>
  <c r="AH310" i="6" s="1"/>
  <c r="V308" i="6"/>
  <c r="AE308" i="6" s="1"/>
  <c r="W307" i="6"/>
  <c r="AF307" i="6" s="1"/>
  <c r="X298" i="6"/>
  <c r="AG298" i="6" s="1"/>
  <c r="W298" i="6"/>
  <c r="Z298" i="6" s="1"/>
  <c r="V297" i="6"/>
  <c r="AB297" i="6" s="1"/>
  <c r="X297" i="6"/>
  <c r="AA297" i="6" s="1"/>
  <c r="W296" i="6"/>
  <c r="AC296" i="6" s="1"/>
  <c r="W293" i="6"/>
  <c r="Z293" i="6" s="1"/>
  <c r="X291" i="6"/>
  <c r="AD291" i="6" s="1"/>
  <c r="V290" i="6"/>
  <c r="AB290" i="6" s="1"/>
  <c r="W285" i="6"/>
  <c r="Z285" i="6" s="1"/>
  <c r="X283" i="6"/>
  <c r="AD283" i="6" s="1"/>
  <c r="V282" i="6"/>
  <c r="AB282" i="6" s="1"/>
  <c r="W277" i="6"/>
  <c r="Z277" i="6" s="1"/>
  <c r="X275" i="6"/>
  <c r="AD275" i="6" s="1"/>
  <c r="V274" i="6"/>
  <c r="AB274" i="6" s="1"/>
  <c r="W269" i="6"/>
  <c r="Z269" i="6" s="1"/>
  <c r="X267" i="6"/>
  <c r="AD267" i="6" s="1"/>
  <c r="V263" i="6"/>
  <c r="Y263" i="6" s="1"/>
  <c r="X261" i="6"/>
  <c r="AJ261" i="6" s="1"/>
  <c r="W259" i="6"/>
  <c r="AF259" i="6" s="1"/>
  <c r="X258" i="6"/>
  <c r="AA258" i="6" s="1"/>
  <c r="V254" i="6"/>
  <c r="AB254" i="6" s="1"/>
  <c r="V251" i="6"/>
  <c r="AE251" i="6" s="1"/>
  <c r="X247" i="6"/>
  <c r="AG247" i="6" s="1"/>
  <c r="V247" i="6"/>
  <c r="Y247" i="6" s="1"/>
  <c r="X245" i="6"/>
  <c r="AG245" i="6" s="1"/>
  <c r="V245" i="6"/>
  <c r="Y245" i="6" s="1"/>
  <c r="V244" i="6"/>
  <c r="AE244" i="6" s="1"/>
  <c r="X244" i="6"/>
  <c r="AA244" i="6" s="1"/>
  <c r="W243" i="6"/>
  <c r="AC243" i="6" s="1"/>
  <c r="W241" i="6"/>
  <c r="AF241" i="6" s="1"/>
  <c r="X237" i="6"/>
  <c r="AG237" i="6" s="1"/>
  <c r="V236" i="6"/>
  <c r="AE236" i="6" s="1"/>
  <c r="X235" i="6"/>
  <c r="AG235" i="6" s="1"/>
  <c r="V235" i="6"/>
  <c r="Y235" i="6" s="1"/>
  <c r="V226" i="6"/>
  <c r="AE226" i="6" s="1"/>
  <c r="X226" i="6"/>
  <c r="AA226" i="6" s="1"/>
  <c r="AL226" i="6"/>
  <c r="W226" i="6"/>
  <c r="AI226" i="6" s="1"/>
  <c r="V210" i="6"/>
  <c r="AH210" i="6" s="1"/>
  <c r="X209" i="6"/>
  <c r="AJ209" i="6" s="1"/>
  <c r="AL208" i="6"/>
  <c r="W208" i="6"/>
  <c r="AF208" i="6" s="1"/>
  <c r="V202" i="6"/>
  <c r="AH202" i="6" s="1"/>
  <c r="X200" i="6"/>
  <c r="AD200" i="6" s="1"/>
  <c r="W188" i="6"/>
  <c r="AI188" i="6" s="1"/>
  <c r="X185" i="6"/>
  <c r="AD185" i="6" s="1"/>
  <c r="X183" i="6"/>
  <c r="AG183" i="6" s="1"/>
  <c r="AM178" i="6"/>
  <c r="X178" i="6"/>
  <c r="AJ178" i="6" s="1"/>
  <c r="W176" i="6"/>
  <c r="AC176" i="6" s="1"/>
  <c r="AM169" i="6"/>
  <c r="X169" i="6"/>
  <c r="AG169" i="6" s="1"/>
  <c r="W140" i="6"/>
  <c r="AC140" i="6" s="1"/>
  <c r="W137" i="6"/>
  <c r="AI137" i="6" s="1"/>
  <c r="W135" i="6"/>
  <c r="AI135" i="6" s="1"/>
  <c r="W129" i="6"/>
  <c r="AF129" i="6" s="1"/>
  <c r="W118" i="6"/>
  <c r="AC118" i="6" s="1"/>
  <c r="X101" i="6"/>
  <c r="AD101" i="6" s="1"/>
  <c r="AL99" i="6"/>
  <c r="W99" i="6"/>
  <c r="Z99" i="6" s="1"/>
  <c r="AL95" i="6"/>
  <c r="W95" i="6"/>
  <c r="AI95" i="6" s="1"/>
  <c r="V214" i="6"/>
  <c r="AH214" i="6" s="1"/>
  <c r="X214" i="6"/>
  <c r="AA214" i="6" s="1"/>
  <c r="X213" i="6"/>
  <c r="AJ213" i="6" s="1"/>
  <c r="V213" i="6"/>
  <c r="AB213" i="6" s="1"/>
  <c r="W211" i="6"/>
  <c r="Z211" i="6" s="1"/>
  <c r="V206" i="6"/>
  <c r="AH206" i="6" s="1"/>
  <c r="X206" i="6"/>
  <c r="AJ206" i="6" s="1"/>
  <c r="X205" i="6"/>
  <c r="AJ205" i="6" s="1"/>
  <c r="V205" i="6"/>
  <c r="AB205" i="6" s="1"/>
  <c r="W203" i="6"/>
  <c r="AF203" i="6" s="1"/>
  <c r="V198" i="6"/>
  <c r="AH198" i="6" s="1"/>
  <c r="V195" i="6"/>
  <c r="Y195" i="6" s="1"/>
  <c r="X195" i="6"/>
  <c r="AG195" i="6" s="1"/>
  <c r="V194" i="6"/>
  <c r="AB194" i="6" s="1"/>
  <c r="V191" i="6"/>
  <c r="Y191" i="6" s="1"/>
  <c r="X191" i="6"/>
  <c r="AG191" i="6" s="1"/>
  <c r="V190" i="6"/>
  <c r="AB190" i="6" s="1"/>
  <c r="W185" i="6"/>
  <c r="AC185" i="6" s="1"/>
  <c r="W184" i="6"/>
  <c r="AI184" i="6" s="1"/>
  <c r="W182" i="6"/>
  <c r="AC182" i="6" s="1"/>
  <c r="W180" i="6"/>
  <c r="AC180" i="6" s="1"/>
  <c r="V174" i="6"/>
  <c r="AH174" i="6" s="1"/>
  <c r="W166" i="6"/>
  <c r="AF166" i="6" s="1"/>
  <c r="W165" i="6"/>
  <c r="AF165" i="6" s="1"/>
  <c r="W157" i="6"/>
  <c r="AC157" i="6" s="1"/>
  <c r="V154" i="6"/>
  <c r="AB154" i="6" s="1"/>
  <c r="W149" i="6"/>
  <c r="Z149" i="6" s="1"/>
  <c r="X147" i="6"/>
  <c r="AD147" i="6" s="1"/>
  <c r="V146" i="6"/>
  <c r="AB146" i="6" s="1"/>
  <c r="V142" i="6"/>
  <c r="Y142" i="6" s="1"/>
  <c r="V140" i="6"/>
  <c r="AB140" i="6" s="1"/>
  <c r="V138" i="6"/>
  <c r="AE138" i="6" s="1"/>
  <c r="V136" i="6"/>
  <c r="Y136" i="6" s="1"/>
  <c r="X135" i="6"/>
  <c r="AJ135" i="6" s="1"/>
  <c r="V135" i="6"/>
  <c r="AE135" i="6" s="1"/>
  <c r="V134" i="6"/>
  <c r="AH134" i="6" s="1"/>
  <c r="X134" i="6"/>
  <c r="AJ134" i="6" s="1"/>
  <c r="W132" i="6"/>
  <c r="AF132" i="6" s="1"/>
  <c r="X130" i="6"/>
  <c r="AJ130" i="6" s="1"/>
  <c r="V129" i="6"/>
  <c r="AH129" i="6" s="1"/>
  <c r="X128" i="6"/>
  <c r="AJ128" i="6" s="1"/>
  <c r="W127" i="6"/>
  <c r="AC127" i="6" s="1"/>
  <c r="W124" i="6"/>
  <c r="Z124" i="6" s="1"/>
  <c r="X122" i="6"/>
  <c r="AD122" i="6" s="1"/>
  <c r="V121" i="6"/>
  <c r="AB121" i="6" s="1"/>
  <c r="W116" i="6"/>
  <c r="AF116" i="6" s="1"/>
  <c r="X114" i="6"/>
  <c r="AD114" i="6" s="1"/>
  <c r="V113" i="6"/>
  <c r="AB113" i="6" s="1"/>
  <c r="W110" i="6"/>
  <c r="AF110" i="6" s="1"/>
  <c r="X109" i="6"/>
  <c r="AD109" i="6" s="1"/>
  <c r="W106" i="6"/>
  <c r="AI106" i="6" s="1"/>
  <c r="V103" i="6"/>
  <c r="AH103" i="6" s="1"/>
  <c r="W100" i="6"/>
  <c r="AC100" i="6" s="1"/>
  <c r="X96" i="6"/>
  <c r="AJ96" i="6" s="1"/>
  <c r="AL75" i="6"/>
  <c r="W75" i="6"/>
  <c r="AI75" i="6" s="1"/>
  <c r="AL56" i="6"/>
  <c r="W56" i="6"/>
  <c r="AC56" i="6" s="1"/>
  <c r="V238" i="6"/>
  <c r="AE238" i="6" s="1"/>
  <c r="X238" i="6"/>
  <c r="AA238" i="6" s="1"/>
  <c r="X231" i="6"/>
  <c r="AG231" i="6" s="1"/>
  <c r="V231" i="6"/>
  <c r="Y231" i="6" s="1"/>
  <c r="X229" i="6"/>
  <c r="AG229" i="6" s="1"/>
  <c r="V229" i="6"/>
  <c r="Y229" i="6" s="1"/>
  <c r="V228" i="6"/>
  <c r="AE228" i="6" s="1"/>
  <c r="X228" i="6"/>
  <c r="AA228" i="6" s="1"/>
  <c r="W227" i="6"/>
  <c r="AC227" i="6" s="1"/>
  <c r="W225" i="6"/>
  <c r="Z225" i="6" s="1"/>
  <c r="V220" i="6"/>
  <c r="AH220" i="6" s="1"/>
  <c r="X220" i="6"/>
  <c r="AA220" i="6" s="1"/>
  <c r="X219" i="6"/>
  <c r="AJ219" i="6" s="1"/>
  <c r="V219" i="6"/>
  <c r="AB219" i="6" s="1"/>
  <c r="W217" i="6"/>
  <c r="AF217" i="6" s="1"/>
  <c r="V212" i="6"/>
  <c r="Y212" i="6" s="1"/>
  <c r="X212" i="6"/>
  <c r="AG212" i="6" s="1"/>
  <c r="X211" i="6"/>
  <c r="AG211" i="6" s="1"/>
  <c r="V211" i="6"/>
  <c r="Y211" i="6" s="1"/>
  <c r="W209" i="6"/>
  <c r="AI209" i="6" s="1"/>
  <c r="V204" i="6"/>
  <c r="AH204" i="6" s="1"/>
  <c r="X204" i="6"/>
  <c r="AD204" i="6" s="1"/>
  <c r="X203" i="6"/>
  <c r="AG203" i="6" s="1"/>
  <c r="V203" i="6"/>
  <c r="AB203" i="6" s="1"/>
  <c r="W198" i="6"/>
  <c r="Z198" i="6" s="1"/>
  <c r="X198" i="6"/>
  <c r="AJ198" i="6" s="1"/>
  <c r="W194" i="6"/>
  <c r="AC194" i="6" s="1"/>
  <c r="V192" i="6"/>
  <c r="AH192" i="6" s="1"/>
  <c r="W190" i="6"/>
  <c r="AC190" i="6" s="1"/>
  <c r="V188" i="6"/>
  <c r="AH188" i="6" s="1"/>
  <c r="V187" i="6"/>
  <c r="Y187" i="6" s="1"/>
  <c r="X187" i="6"/>
  <c r="AG187" i="6" s="1"/>
  <c r="V186" i="6"/>
  <c r="AB186" i="6" s="1"/>
  <c r="X181" i="6"/>
  <c r="AD181" i="6" s="1"/>
  <c r="W175" i="6"/>
  <c r="AI175" i="6" s="1"/>
  <c r="V173" i="6"/>
  <c r="Y173" i="6" s="1"/>
  <c r="X173" i="6"/>
  <c r="AG173" i="6" s="1"/>
  <c r="X171" i="6"/>
  <c r="AA171" i="6" s="1"/>
  <c r="W169" i="6"/>
  <c r="AC169" i="6" s="1"/>
  <c r="W163" i="6"/>
  <c r="Z163" i="6" s="1"/>
  <c r="X161" i="6"/>
  <c r="AD161" i="6" s="1"/>
  <c r="X160" i="6"/>
  <c r="AA160" i="6" s="1"/>
  <c r="W155" i="6"/>
  <c r="Z155" i="6" s="1"/>
  <c r="X153" i="6"/>
  <c r="AD153" i="6" s="1"/>
  <c r="V152" i="6"/>
  <c r="AB152" i="6" s="1"/>
  <c r="W147" i="6"/>
  <c r="Z147" i="6" s="1"/>
  <c r="X145" i="6"/>
  <c r="AD145" i="6" s="1"/>
  <c r="V144" i="6"/>
  <c r="AB144" i="6" s="1"/>
  <c r="V133" i="6"/>
  <c r="AE133" i="6" s="1"/>
  <c r="V131" i="6"/>
  <c r="AH131" i="6" s="1"/>
  <c r="W130" i="6"/>
  <c r="AF130" i="6" s="1"/>
  <c r="W128" i="6"/>
  <c r="AF128" i="6" s="1"/>
  <c r="X127" i="6"/>
  <c r="AD127" i="6" s="1"/>
  <c r="V127" i="6"/>
  <c r="AB127" i="6" s="1"/>
  <c r="V126" i="6"/>
  <c r="AB126" i="6" s="1"/>
  <c r="X126" i="6"/>
  <c r="AJ126" i="6" s="1"/>
  <c r="W122" i="6"/>
  <c r="Z122" i="6" s="1"/>
  <c r="X120" i="6"/>
  <c r="AD120" i="6" s="1"/>
  <c r="V119" i="6"/>
  <c r="AB119" i="6" s="1"/>
  <c r="W114" i="6"/>
  <c r="AF114" i="6" s="1"/>
  <c r="X112" i="6"/>
  <c r="AD112" i="6" s="1"/>
  <c r="V108" i="6"/>
  <c r="AE108" i="6" s="1"/>
  <c r="AM107" i="6"/>
  <c r="V106" i="6"/>
  <c r="Y106" i="6" s="1"/>
  <c r="W103" i="6"/>
  <c r="Z103" i="6" s="1"/>
  <c r="V100" i="6"/>
  <c r="AH100" i="6" s="1"/>
  <c r="V98" i="6"/>
  <c r="AB98" i="6" s="1"/>
  <c r="AL79" i="6"/>
  <c r="W79" i="6"/>
  <c r="AI79" i="6" s="1"/>
  <c r="W111" i="6"/>
  <c r="AF111" i="6" s="1"/>
  <c r="W108" i="6"/>
  <c r="Z108" i="6" s="1"/>
  <c r="X104" i="6"/>
  <c r="AJ104" i="6" s="1"/>
  <c r="X102" i="6"/>
  <c r="AD102" i="6" s="1"/>
  <c r="X97" i="6"/>
  <c r="AG97" i="6" s="1"/>
  <c r="V95" i="6"/>
  <c r="AH95" i="6" s="1"/>
  <c r="V91" i="6"/>
  <c r="AH91" i="6" s="1"/>
  <c r="V87" i="6"/>
  <c r="AH87" i="6" s="1"/>
  <c r="X86" i="6"/>
  <c r="AG86" i="6" s="1"/>
  <c r="W85" i="6"/>
  <c r="Z85" i="6" s="1"/>
  <c r="AL84" i="6"/>
  <c r="X80" i="6"/>
  <c r="AD80" i="6" s="1"/>
  <c r="X76" i="6"/>
  <c r="AA76" i="6" s="1"/>
  <c r="X72" i="6"/>
  <c r="AA72" i="6" s="1"/>
  <c r="V69" i="6"/>
  <c r="AH69" i="6" s="1"/>
  <c r="V67" i="6"/>
  <c r="AB67" i="6" s="1"/>
  <c r="V65" i="6"/>
  <c r="Y65" i="6" s="1"/>
  <c r="V63" i="6"/>
  <c r="Y63" i="6" s="1"/>
  <c r="V62" i="6"/>
  <c r="AB62" i="6" s="1"/>
  <c r="X59" i="6"/>
  <c r="AJ59" i="6" s="1"/>
  <c r="X58" i="6"/>
  <c r="AD58" i="6" s="1"/>
  <c r="W57" i="6"/>
  <c r="Z57" i="6" s="1"/>
  <c r="V55" i="6"/>
  <c r="Y55" i="6" s="1"/>
  <c r="X37" i="6"/>
  <c r="AG37" i="6" s="1"/>
  <c r="W37" i="6"/>
  <c r="AI37" i="6" s="1"/>
  <c r="X84" i="6"/>
  <c r="AG84" i="6" s="1"/>
  <c r="V79" i="6"/>
  <c r="Y79" i="6" s="1"/>
  <c r="V75" i="6"/>
  <c r="Y75" i="6" s="1"/>
  <c r="X70" i="6"/>
  <c r="AA70" i="6" s="1"/>
  <c r="X66" i="6"/>
  <c r="AA66" i="6" s="1"/>
  <c r="X64" i="6"/>
  <c r="AA64" i="6" s="1"/>
  <c r="X61" i="6"/>
  <c r="AD61" i="6" s="1"/>
  <c r="X60" i="6"/>
  <c r="AG60" i="6" s="1"/>
  <c r="W59" i="6"/>
  <c r="Z59" i="6" s="1"/>
  <c r="V57" i="6"/>
  <c r="AE57" i="6" s="1"/>
  <c r="V56" i="6"/>
  <c r="AB56" i="6" s="1"/>
  <c r="X53" i="6"/>
  <c r="AA53" i="6" s="1"/>
  <c r="X52" i="6"/>
  <c r="AJ52" i="6" s="1"/>
  <c r="W44" i="6"/>
  <c r="Z44" i="6" s="1"/>
  <c r="AM40" i="6"/>
  <c r="X40" i="6"/>
  <c r="AJ40" i="6" s="1"/>
  <c r="AL31" i="6"/>
  <c r="W31" i="6"/>
  <c r="AF31" i="6" s="1"/>
  <c r="V89" i="6"/>
  <c r="AE89" i="6" s="1"/>
  <c r="W81" i="6"/>
  <c r="AF81" i="6" s="1"/>
  <c r="X78" i="6"/>
  <c r="AA78" i="6" s="1"/>
  <c r="W77" i="6"/>
  <c r="AI77" i="6" s="1"/>
  <c r="X74" i="6"/>
  <c r="AA74" i="6" s="1"/>
  <c r="W73" i="6"/>
  <c r="AI73" i="6" s="1"/>
  <c r="V71" i="6"/>
  <c r="Y71" i="6" s="1"/>
  <c r="W70" i="6"/>
  <c r="AI70" i="6" s="1"/>
  <c r="X68" i="6"/>
  <c r="AA68" i="6" s="1"/>
  <c r="X65" i="6"/>
  <c r="AG65" i="6" s="1"/>
  <c r="X63" i="6"/>
  <c r="AG63" i="6" s="1"/>
  <c r="X62" i="6"/>
  <c r="AJ62" i="6" s="1"/>
  <c r="W61" i="6"/>
  <c r="AF61" i="6" s="1"/>
  <c r="W60" i="6"/>
  <c r="Z60" i="6" s="1"/>
  <c r="V59" i="6"/>
  <c r="AE59" i="6" s="1"/>
  <c r="V58" i="6"/>
  <c r="AE58" i="6" s="1"/>
  <c r="X55" i="6"/>
  <c r="AA55" i="6" s="1"/>
  <c r="V54" i="6"/>
  <c r="AE54" i="6" s="1"/>
  <c r="X54" i="6"/>
  <c r="AJ54" i="6" s="1"/>
  <c r="W53" i="6"/>
  <c r="AF53" i="6" s="1"/>
  <c r="W52" i="6"/>
  <c r="AC52" i="6" s="1"/>
  <c r="X51" i="6"/>
  <c r="AJ51" i="6" s="1"/>
  <c r="X50" i="6"/>
  <c r="AJ50" i="6" s="1"/>
  <c r="X49" i="6"/>
  <c r="AJ49" i="6" s="1"/>
  <c r="X48" i="6"/>
  <c r="AA48" i="6" s="1"/>
  <c r="X47" i="6"/>
  <c r="AD47" i="6" s="1"/>
  <c r="W45" i="6"/>
  <c r="AF45" i="6" s="1"/>
  <c r="AM38" i="6"/>
  <c r="X38" i="6"/>
  <c r="AJ38" i="6" s="1"/>
  <c r="AM36" i="6"/>
  <c r="X36" i="6"/>
  <c r="AG36" i="6" s="1"/>
  <c r="W32" i="6"/>
  <c r="AC32" i="6" s="1"/>
  <c r="W40" i="6"/>
  <c r="AC40" i="6" s="1"/>
  <c r="W38" i="6"/>
  <c r="Z38" i="6" s="1"/>
  <c r="X35" i="6"/>
  <c r="AJ35" i="6" s="1"/>
  <c r="X32" i="6"/>
  <c r="AD32" i="6" s="1"/>
  <c r="V32" i="6"/>
  <c r="Y32" i="6" s="1"/>
  <c r="V29" i="6"/>
  <c r="AE29" i="6" s="1"/>
  <c r="X29" i="6"/>
  <c r="AA29" i="6" s="1"/>
  <c r="W28" i="6"/>
  <c r="AC28" i="6" s="1"/>
  <c r="V23" i="6"/>
  <c r="AE23" i="6" s="1"/>
  <c r="X23" i="6"/>
  <c r="AA23" i="6" s="1"/>
  <c r="V18" i="6"/>
  <c r="AE18" i="6" s="1"/>
  <c r="V17" i="6"/>
  <c r="AE17" i="6" s="1"/>
  <c r="X13" i="6"/>
  <c r="AA13" i="6" s="1"/>
  <c r="X9" i="6"/>
  <c r="AA9" i="6" s="1"/>
  <c r="V6" i="6"/>
  <c r="Y6" i="6" s="1"/>
  <c r="V5" i="6"/>
  <c r="AB5" i="6" s="1"/>
  <c r="V558" i="6"/>
  <c r="AE558" i="6" s="1"/>
  <c r="X559" i="6"/>
  <c r="AG559" i="6" s="1"/>
  <c r="W557" i="6"/>
  <c r="Z557" i="6" s="1"/>
  <c r="W553" i="6"/>
  <c r="AC553" i="6" s="1"/>
  <c r="W551" i="6"/>
  <c r="AI551" i="6" s="1"/>
  <c r="V549" i="6"/>
  <c r="Y549" i="6" s="1"/>
  <c r="X546" i="6"/>
  <c r="AA546" i="6" s="1"/>
  <c r="W543" i="6"/>
  <c r="Z543" i="6" s="1"/>
  <c r="V541" i="6"/>
  <c r="Y541" i="6" s="1"/>
  <c r="X538" i="6"/>
  <c r="AA538" i="6" s="1"/>
  <c r="W535" i="6"/>
  <c r="Z535" i="6" s="1"/>
  <c r="V533" i="6"/>
  <c r="Y533" i="6" s="1"/>
  <c r="X530" i="6"/>
  <c r="AA530" i="6" s="1"/>
  <c r="W527" i="6"/>
  <c r="Z527" i="6" s="1"/>
  <c r="W525" i="6"/>
  <c r="Z525" i="6" s="1"/>
  <c r="V518" i="6"/>
  <c r="AB518" i="6" s="1"/>
  <c r="V512" i="6"/>
  <c r="AE512" i="6" s="1"/>
  <c r="AL504" i="6"/>
  <c r="W504" i="6"/>
  <c r="AF504" i="6" s="1"/>
  <c r="W26" i="6"/>
  <c r="AC26" i="6" s="1"/>
  <c r="W25" i="6"/>
  <c r="AF25" i="6" s="1"/>
  <c r="V24" i="6"/>
  <c r="Y24" i="6" s="1"/>
  <c r="V22" i="6"/>
  <c r="AH22" i="6" s="1"/>
  <c r="V21" i="6"/>
  <c r="AE21" i="6" s="1"/>
  <c r="W14" i="6"/>
  <c r="AC14" i="6" s="1"/>
  <c r="V33" i="6"/>
  <c r="AE33" i="6" s="1"/>
  <c r="X33" i="6"/>
  <c r="AA33" i="6" s="1"/>
  <c r="V27" i="6"/>
  <c r="AE27" i="6" s="1"/>
  <c r="X27" i="6"/>
  <c r="AA27" i="6" s="1"/>
  <c r="X26" i="6"/>
  <c r="AA26" i="6" s="1"/>
  <c r="V26" i="6"/>
  <c r="Y26" i="6" s="1"/>
  <c r="X20" i="6"/>
  <c r="AG20" i="6" s="1"/>
  <c r="X19" i="6"/>
  <c r="AD19" i="6" s="1"/>
  <c r="W18" i="6"/>
  <c r="AI18" i="6" s="1"/>
  <c r="W17" i="6"/>
  <c r="AI17" i="6" s="1"/>
  <c r="V14" i="6"/>
  <c r="AE14" i="6" s="1"/>
  <c r="V10" i="6"/>
  <c r="Y10" i="6" s="1"/>
  <c r="W6" i="6"/>
  <c r="AF6" i="6" s="1"/>
  <c r="W5" i="6"/>
  <c r="Z5" i="6" s="1"/>
  <c r="W558" i="6"/>
  <c r="Z558" i="6" s="1"/>
  <c r="V555" i="6"/>
  <c r="AE555" i="6" s="1"/>
  <c r="X554" i="6"/>
  <c r="AG554" i="6" s="1"/>
  <c r="W549" i="6"/>
  <c r="AF549" i="6" s="1"/>
  <c r="V547" i="6"/>
  <c r="Y547" i="6" s="1"/>
  <c r="X544" i="6"/>
  <c r="AA544" i="6" s="1"/>
  <c r="W541" i="6"/>
  <c r="Z541" i="6" s="1"/>
  <c r="V539" i="6"/>
  <c r="Y539" i="6" s="1"/>
  <c r="X536" i="6"/>
  <c r="AA536" i="6" s="1"/>
  <c r="W533" i="6"/>
  <c r="Z533" i="6" s="1"/>
  <c r="V531" i="6"/>
  <c r="Y531" i="6" s="1"/>
  <c r="X528" i="6"/>
  <c r="AA528" i="6" s="1"/>
  <c r="X526" i="6"/>
  <c r="AA526" i="6" s="1"/>
  <c r="V521" i="6"/>
  <c r="Y521" i="6" s="1"/>
  <c r="V510" i="6"/>
  <c r="Y510" i="6" s="1"/>
  <c r="W523" i="6"/>
  <c r="Z523" i="6" s="1"/>
  <c r="V520" i="6"/>
  <c r="Y520" i="6" s="1"/>
  <c r="X520" i="6"/>
  <c r="AD520" i="6" s="1"/>
  <c r="V517" i="6"/>
  <c r="AH517" i="6" s="1"/>
  <c r="X516" i="6"/>
  <c r="AJ516" i="6" s="1"/>
  <c r="V515" i="6"/>
  <c r="AH515" i="6" s="1"/>
  <c r="X514" i="6"/>
  <c r="AG514" i="6" s="1"/>
  <c r="X513" i="6"/>
  <c r="AD513" i="6" s="1"/>
  <c r="V513" i="6"/>
  <c r="AH513" i="6" s="1"/>
  <c r="V509" i="6"/>
  <c r="AH509" i="6" s="1"/>
  <c r="X507" i="6"/>
  <c r="AJ507" i="6" s="1"/>
  <c r="V508" i="6"/>
  <c r="AH508" i="6" s="1"/>
  <c r="X505" i="6"/>
  <c r="AJ505" i="6" s="1"/>
  <c r="X506" i="6"/>
  <c r="AD506" i="6" s="1"/>
  <c r="V506" i="6"/>
  <c r="AH506" i="6" s="1"/>
  <c r="W502" i="6"/>
  <c r="AI502" i="6" s="1"/>
  <c r="W500" i="6"/>
  <c r="Z500" i="6" s="1"/>
  <c r="V499" i="6"/>
  <c r="AB499" i="6" s="1"/>
  <c r="X494" i="6"/>
  <c r="AD494" i="6" s="1"/>
  <c r="X492" i="6"/>
  <c r="AD492" i="6" s="1"/>
  <c r="X490" i="6"/>
  <c r="AD490" i="6" s="1"/>
  <c r="X487" i="6"/>
  <c r="AD487" i="6" s="1"/>
  <c r="X486" i="6"/>
  <c r="AD486" i="6" s="1"/>
  <c r="W480" i="6"/>
  <c r="Z480" i="6" s="1"/>
  <c r="X477" i="6"/>
  <c r="AD477" i="6" s="1"/>
  <c r="X478" i="6"/>
  <c r="AG478" i="6" s="1"/>
  <c r="AM452" i="6"/>
  <c r="X452" i="6"/>
  <c r="AJ452" i="6" s="1"/>
  <c r="AL424" i="6"/>
  <c r="AT424" i="1" s="1"/>
  <c r="W424" i="6"/>
  <c r="AI424" i="6" s="1"/>
  <c r="V503" i="6"/>
  <c r="AE503" i="6" s="1"/>
  <c r="X498" i="6"/>
  <c r="AD498" i="6" s="1"/>
  <c r="W496" i="6"/>
  <c r="Z496" i="6" s="1"/>
  <c r="V495" i="6"/>
  <c r="AB495" i="6" s="1"/>
  <c r="X485" i="6"/>
  <c r="AA485" i="6" s="1"/>
  <c r="X482" i="6"/>
  <c r="AD482" i="6" s="1"/>
  <c r="W476" i="6"/>
  <c r="Z476" i="6" s="1"/>
  <c r="X474" i="6"/>
  <c r="AG474" i="6" s="1"/>
  <c r="AM442" i="6"/>
  <c r="X442" i="6"/>
  <c r="AA442" i="6" s="1"/>
  <c r="AM440" i="6"/>
  <c r="X440" i="6"/>
  <c r="AJ440" i="6" s="1"/>
  <c r="AM432" i="6"/>
  <c r="X432" i="6"/>
  <c r="AD432" i="6" s="1"/>
  <c r="X524" i="6"/>
  <c r="AA524" i="6" s="1"/>
  <c r="X522" i="6"/>
  <c r="AA522" i="6" s="1"/>
  <c r="W518" i="6"/>
  <c r="AF518" i="6" s="1"/>
  <c r="W515" i="6"/>
  <c r="AF515" i="6" s="1"/>
  <c r="W513" i="6"/>
  <c r="AF513" i="6" s="1"/>
  <c r="W510" i="6"/>
  <c r="AF510" i="6" s="1"/>
  <c r="W508" i="6"/>
  <c r="AF508" i="6" s="1"/>
  <c r="W506" i="6"/>
  <c r="AF506" i="6" s="1"/>
  <c r="X502" i="6"/>
  <c r="AD502" i="6" s="1"/>
  <c r="X500" i="6"/>
  <c r="AD500" i="6" s="1"/>
  <c r="W498" i="6"/>
  <c r="Z498" i="6" s="1"/>
  <c r="V497" i="6"/>
  <c r="AB497" i="6" s="1"/>
  <c r="W485" i="6"/>
  <c r="AF485" i="6" s="1"/>
  <c r="X480" i="6"/>
  <c r="AD480" i="6" s="1"/>
  <c r="X481" i="6"/>
  <c r="AD481" i="6" s="1"/>
  <c r="W469" i="6"/>
  <c r="Z469" i="6" s="1"/>
  <c r="AL409" i="6"/>
  <c r="W409" i="6"/>
  <c r="AI409" i="6" s="1"/>
  <c r="W475" i="6"/>
  <c r="AF475" i="6" s="1"/>
  <c r="W471" i="6"/>
  <c r="Z471" i="6" s="1"/>
  <c r="X469" i="6"/>
  <c r="AA469" i="6" s="1"/>
  <c r="W467" i="6"/>
  <c r="AF467" i="6" s="1"/>
  <c r="V466" i="6"/>
  <c r="AE466" i="6" s="1"/>
  <c r="W465" i="6"/>
  <c r="Z465" i="6" s="1"/>
  <c r="W461" i="6"/>
  <c r="Z461" i="6" s="1"/>
  <c r="W460" i="6"/>
  <c r="AF460" i="6" s="1"/>
  <c r="W456" i="6"/>
  <c r="AF456" i="6" s="1"/>
  <c r="X455" i="6"/>
  <c r="AJ455" i="6" s="1"/>
  <c r="W454" i="6"/>
  <c r="AF454" i="6" s="1"/>
  <c r="V438" i="6"/>
  <c r="AH438" i="6" s="1"/>
  <c r="W437" i="6"/>
  <c r="Z437" i="6" s="1"/>
  <c r="V436" i="6"/>
  <c r="AH436" i="6" s="1"/>
  <c r="X431" i="6"/>
  <c r="AD431" i="6" s="1"/>
  <c r="W430" i="6"/>
  <c r="AC430" i="6" s="1"/>
  <c r="W429" i="6"/>
  <c r="Z429" i="6" s="1"/>
  <c r="V428" i="6"/>
  <c r="AB428" i="6" s="1"/>
  <c r="W425" i="6"/>
  <c r="Z425" i="6" s="1"/>
  <c r="V420" i="6"/>
  <c r="AE420" i="6" s="1"/>
  <c r="V414" i="6"/>
  <c r="AB414" i="6" s="1"/>
  <c r="X413" i="6"/>
  <c r="AG413" i="6" s="1"/>
  <c r="V412" i="6"/>
  <c r="Y412" i="6" s="1"/>
  <c r="X411" i="6"/>
  <c r="AA411" i="6" s="1"/>
  <c r="V410" i="6"/>
  <c r="Y410" i="6" s="1"/>
  <c r="W474" i="6"/>
  <c r="AI474" i="6" s="1"/>
  <c r="X471" i="6"/>
  <c r="AA471" i="6" s="1"/>
  <c r="W470" i="6"/>
  <c r="AF470" i="6" s="1"/>
  <c r="V467" i="6"/>
  <c r="AH467" i="6" s="1"/>
  <c r="W464" i="6"/>
  <c r="AF464" i="6" s="1"/>
  <c r="X465" i="6"/>
  <c r="AJ465" i="6" s="1"/>
  <c r="W462" i="6"/>
  <c r="AF462" i="6" s="1"/>
  <c r="X461" i="6"/>
  <c r="AD461" i="6" s="1"/>
  <c r="V460" i="6"/>
  <c r="AB460" i="6" s="1"/>
  <c r="W458" i="6"/>
  <c r="AF458" i="6" s="1"/>
  <c r="V456" i="6"/>
  <c r="AB456" i="6" s="1"/>
  <c r="V454" i="6"/>
  <c r="AB454" i="6" s="1"/>
  <c r="V453" i="6"/>
  <c r="AE453" i="6" s="1"/>
  <c r="X453" i="6"/>
  <c r="AG453" i="6" s="1"/>
  <c r="W453" i="6"/>
  <c r="AC453" i="6" s="1"/>
  <c r="W443" i="6"/>
  <c r="AC443" i="6" s="1"/>
  <c r="W442" i="6"/>
  <c r="AF442" i="6" s="1"/>
  <c r="X434" i="6"/>
  <c r="AD434" i="6" s="1"/>
  <c r="W432" i="6"/>
  <c r="AF432" i="6" s="1"/>
  <c r="W431" i="6"/>
  <c r="Z431" i="6" s="1"/>
  <c r="V430" i="6"/>
  <c r="Y430" i="6" s="1"/>
  <c r="V425" i="6"/>
  <c r="AH425" i="6" s="1"/>
  <c r="X419" i="6"/>
  <c r="AA419" i="6" s="1"/>
  <c r="V409" i="6"/>
  <c r="AE409" i="6" s="1"/>
  <c r="V407" i="6"/>
  <c r="AE407" i="6" s="1"/>
  <c r="X407" i="6"/>
  <c r="AA407" i="6" s="1"/>
  <c r="V458" i="6"/>
  <c r="AB458" i="6" s="1"/>
  <c r="W559" i="6"/>
  <c r="W556" i="6"/>
  <c r="W554" i="6"/>
  <c r="W552" i="6"/>
  <c r="X558" i="6"/>
  <c r="V559" i="6"/>
  <c r="X557" i="6"/>
  <c r="V556" i="6"/>
  <c r="X555" i="6"/>
  <c r="V554" i="6"/>
  <c r="X553" i="6"/>
  <c r="V552" i="6"/>
  <c r="W550" i="6"/>
  <c r="W548" i="6"/>
  <c r="W546" i="6"/>
  <c r="W544" i="6"/>
  <c r="W542" i="6"/>
  <c r="W540" i="6"/>
  <c r="W538" i="6"/>
  <c r="W536" i="6"/>
  <c r="W534" i="6"/>
  <c r="W532" i="6"/>
  <c r="W530" i="6"/>
  <c r="W528" i="6"/>
  <c r="AM519" i="6"/>
  <c r="X519" i="6"/>
  <c r="AM503" i="6"/>
  <c r="X503" i="6"/>
  <c r="AM511" i="6"/>
  <c r="X511" i="6"/>
  <c r="X551" i="6"/>
  <c r="V550" i="6"/>
  <c r="X549" i="6"/>
  <c r="V548" i="6"/>
  <c r="X547" i="6"/>
  <c r="V546" i="6"/>
  <c r="X545" i="6"/>
  <c r="V544" i="6"/>
  <c r="X543" i="6"/>
  <c r="V542" i="6"/>
  <c r="X541" i="6"/>
  <c r="V540" i="6"/>
  <c r="X539" i="6"/>
  <c r="V538" i="6"/>
  <c r="X537" i="6"/>
  <c r="V536" i="6"/>
  <c r="X535" i="6"/>
  <c r="V534" i="6"/>
  <c r="X533" i="6"/>
  <c r="V532" i="6"/>
  <c r="X531" i="6"/>
  <c r="V530" i="6"/>
  <c r="X529" i="6"/>
  <c r="V528" i="6"/>
  <c r="X527" i="6"/>
  <c r="V526" i="6"/>
  <c r="X525" i="6"/>
  <c r="V524" i="6"/>
  <c r="X523" i="6"/>
  <c r="V522" i="6"/>
  <c r="X517" i="6"/>
  <c r="W517" i="6"/>
  <c r="X509" i="6"/>
  <c r="W509" i="6"/>
  <c r="X501" i="6"/>
  <c r="W501" i="6"/>
  <c r="X499" i="6"/>
  <c r="W499" i="6"/>
  <c r="X497" i="6"/>
  <c r="W497" i="6"/>
  <c r="X495" i="6"/>
  <c r="W495" i="6"/>
  <c r="X493" i="6"/>
  <c r="W493" i="6"/>
  <c r="X491" i="6"/>
  <c r="W491" i="6"/>
  <c r="X489" i="6"/>
  <c r="W489" i="6"/>
  <c r="X488" i="6"/>
  <c r="W488" i="6"/>
  <c r="W519" i="6"/>
  <c r="W511" i="6"/>
  <c r="W503" i="6"/>
  <c r="AM484" i="6"/>
  <c r="X484" i="6"/>
  <c r="AM441" i="6"/>
  <c r="X441" i="6"/>
  <c r="AM458" i="6"/>
  <c r="X458" i="6"/>
  <c r="W482" i="6"/>
  <c r="W481" i="6"/>
  <c r="W478" i="6"/>
  <c r="W479" i="6"/>
  <c r="X470" i="6"/>
  <c r="X467" i="6"/>
  <c r="X466" i="6"/>
  <c r="AM439" i="6"/>
  <c r="X439" i="6"/>
  <c r="W484" i="6"/>
  <c r="AL453" i="6"/>
  <c r="AM449" i="6"/>
  <c r="X449" i="6"/>
  <c r="X460" i="6"/>
  <c r="AM445" i="6"/>
  <c r="X445" i="6"/>
  <c r="AL413" i="6"/>
  <c r="W413" i="6"/>
  <c r="W449" i="6"/>
  <c r="W445" i="6"/>
  <c r="W441" i="6"/>
  <c r="W439" i="6"/>
  <c r="W436" i="6"/>
  <c r="W452" i="6"/>
  <c r="W448" i="6"/>
  <c r="X447" i="6"/>
  <c r="W444" i="6"/>
  <c r="X443" i="6"/>
  <c r="W440" i="6"/>
  <c r="AL421" i="6"/>
  <c r="W421" i="6"/>
  <c r="AL423" i="6"/>
  <c r="W423" i="6"/>
  <c r="AL415" i="6"/>
  <c r="W415" i="6"/>
  <c r="AL417" i="6"/>
  <c r="W417" i="6"/>
  <c r="AL419" i="6"/>
  <c r="W419" i="6"/>
  <c r="V424" i="6"/>
  <c r="X425" i="6"/>
  <c r="V423" i="6"/>
  <c r="X422" i="6"/>
  <c r="V421" i="6"/>
  <c r="X420" i="6"/>
  <c r="V419" i="6"/>
  <c r="X418" i="6"/>
  <c r="V417" i="6"/>
  <c r="X416" i="6"/>
  <c r="V415" i="6"/>
  <c r="X414" i="6"/>
  <c r="V413" i="6"/>
  <c r="X385" i="6"/>
  <c r="X374" i="6"/>
  <c r="X370" i="6"/>
  <c r="X366" i="6"/>
  <c r="W385" i="6"/>
  <c r="W387" i="6"/>
  <c r="X381" i="6"/>
  <c r="W379" i="6"/>
  <c r="W324" i="6"/>
  <c r="X316" i="6"/>
  <c r="W316" i="6"/>
  <c r="X308" i="6"/>
  <c r="W308" i="6"/>
  <c r="X300" i="6"/>
  <c r="W300" i="6"/>
  <c r="X318" i="6"/>
  <c r="W318" i="6"/>
  <c r="X310" i="6"/>
  <c r="W310" i="6"/>
  <c r="X302" i="6"/>
  <c r="W302" i="6"/>
  <c r="X294" i="6"/>
  <c r="W294" i="6"/>
  <c r="X292" i="6"/>
  <c r="W292" i="6"/>
  <c r="X290" i="6"/>
  <c r="W290" i="6"/>
  <c r="X288" i="6"/>
  <c r="W288" i="6"/>
  <c r="X286" i="6"/>
  <c r="W286" i="6"/>
  <c r="X284" i="6"/>
  <c r="W284" i="6"/>
  <c r="X282" i="6"/>
  <c r="W282" i="6"/>
  <c r="X278" i="6"/>
  <c r="W278" i="6"/>
  <c r="X276" i="6"/>
  <c r="W276" i="6"/>
  <c r="X274" i="6"/>
  <c r="W274" i="6"/>
  <c r="X272" i="6"/>
  <c r="W272" i="6"/>
  <c r="X270" i="6"/>
  <c r="W270" i="6"/>
  <c r="X268" i="6"/>
  <c r="W268" i="6"/>
  <c r="AM260" i="6"/>
  <c r="X260" i="6"/>
  <c r="AL266" i="6"/>
  <c r="W266" i="6"/>
  <c r="AL258" i="6"/>
  <c r="W258" i="6"/>
  <c r="AL252" i="6"/>
  <c r="W252" i="6"/>
  <c r="V264" i="6"/>
  <c r="X263" i="6"/>
  <c r="V256" i="6"/>
  <c r="X255" i="6"/>
  <c r="V253" i="6"/>
  <c r="X251" i="6"/>
  <c r="W248" i="6"/>
  <c r="W244" i="6"/>
  <c r="W240" i="6"/>
  <c r="W236" i="6"/>
  <c r="W232" i="6"/>
  <c r="W228" i="6"/>
  <c r="V266" i="6"/>
  <c r="X265" i="6"/>
  <c r="V258" i="6"/>
  <c r="X257" i="6"/>
  <c r="X254" i="6"/>
  <c r="V252" i="6"/>
  <c r="X250" i="6"/>
  <c r="AM198" i="6"/>
  <c r="X194" i="6"/>
  <c r="X190" i="6"/>
  <c r="X186" i="6"/>
  <c r="X182" i="6"/>
  <c r="X175" i="6"/>
  <c r="AM172" i="6"/>
  <c r="X172" i="6"/>
  <c r="X201" i="6"/>
  <c r="X174" i="6"/>
  <c r="W172" i="6"/>
  <c r="W167" i="6"/>
  <c r="X166" i="6"/>
  <c r="X154" i="6"/>
  <c r="W154" i="6"/>
  <c r="X152" i="6"/>
  <c r="W152" i="6"/>
  <c r="X150" i="6"/>
  <c r="W150" i="6"/>
  <c r="X148" i="6"/>
  <c r="W148" i="6"/>
  <c r="X146" i="6"/>
  <c r="W146" i="6"/>
  <c r="X144" i="6"/>
  <c r="W144" i="6"/>
  <c r="W178" i="6"/>
  <c r="W170" i="6"/>
  <c r="W168" i="6"/>
  <c r="X167" i="6"/>
  <c r="W164" i="6"/>
  <c r="W162" i="6"/>
  <c r="W160" i="6"/>
  <c r="W158" i="6"/>
  <c r="W156" i="6"/>
  <c r="X131" i="6"/>
  <c r="W131" i="6"/>
  <c r="X133" i="6"/>
  <c r="W133" i="6"/>
  <c r="X125" i="6"/>
  <c r="W125" i="6"/>
  <c r="X123" i="6"/>
  <c r="W123" i="6"/>
  <c r="X121" i="6"/>
  <c r="W121" i="6"/>
  <c r="X119" i="6"/>
  <c r="W119" i="6"/>
  <c r="X117" i="6"/>
  <c r="W117" i="6"/>
  <c r="X115" i="6"/>
  <c r="W115" i="6"/>
  <c r="W113" i="6"/>
  <c r="AL109" i="6"/>
  <c r="W109" i="6"/>
  <c r="W86" i="6"/>
  <c r="V107" i="6"/>
  <c r="X106" i="6"/>
  <c r="X103" i="6"/>
  <c r="W101" i="6"/>
  <c r="V99" i="6"/>
  <c r="V97" i="6"/>
  <c r="W96" i="6"/>
  <c r="W94" i="6"/>
  <c r="W92" i="6"/>
  <c r="W90" i="6"/>
  <c r="W88" i="6"/>
  <c r="V86" i="6"/>
  <c r="V109" i="6"/>
  <c r="X108" i="6"/>
  <c r="V101" i="6"/>
  <c r="X100" i="6"/>
  <c r="X98" i="6"/>
  <c r="V96" i="6"/>
  <c r="X95" i="6"/>
  <c r="V94" i="6"/>
  <c r="X93" i="6"/>
  <c r="V92" i="6"/>
  <c r="X91" i="6"/>
  <c r="V90" i="6"/>
  <c r="X89" i="6"/>
  <c r="V88" i="6"/>
  <c r="X87" i="6"/>
  <c r="AM85" i="6"/>
  <c r="X85" i="6"/>
  <c r="W80" i="6"/>
  <c r="W78" i="6"/>
  <c r="W76" i="6"/>
  <c r="W74" i="6"/>
  <c r="W72" i="6"/>
  <c r="V84" i="6"/>
  <c r="X82" i="6"/>
  <c r="V80" i="6"/>
  <c r="X79" i="6"/>
  <c r="V78" i="6"/>
  <c r="X77" i="6"/>
  <c r="V76" i="6"/>
  <c r="X75" i="6"/>
  <c r="V74" i="6"/>
  <c r="X73" i="6"/>
  <c r="V72" i="6"/>
  <c r="X71" i="6"/>
  <c r="V85" i="6"/>
  <c r="V83" i="6"/>
  <c r="W82" i="6"/>
  <c r="X81" i="6"/>
  <c r="X69" i="6"/>
  <c r="V68" i="6"/>
  <c r="W66" i="6"/>
  <c r="W64" i="6"/>
  <c r="X67" i="6"/>
  <c r="W47" i="6"/>
  <c r="X46" i="6"/>
  <c r="X43" i="6"/>
  <c r="X41" i="6"/>
  <c r="X39" i="6"/>
  <c r="W46" i="6"/>
  <c r="W43" i="6"/>
  <c r="W41" i="6"/>
  <c r="W39" i="6"/>
  <c r="AL20" i="6"/>
  <c r="W20" i="6"/>
  <c r="W16" i="6"/>
  <c r="W13" i="6"/>
  <c r="W11" i="6"/>
  <c r="W9" i="6"/>
  <c r="W7" i="6"/>
  <c r="X22" i="6"/>
  <c r="V20" i="6"/>
  <c r="W19" i="6"/>
  <c r="X18" i="6"/>
  <c r="V16" i="6"/>
  <c r="W15" i="6"/>
  <c r="X14" i="6"/>
  <c r="V13" i="6"/>
  <c r="X12" i="6"/>
  <c r="V11" i="6"/>
  <c r="X10" i="6"/>
  <c r="V9" i="6"/>
  <c r="X8" i="6"/>
  <c r="V7" i="6"/>
  <c r="X6" i="6"/>
  <c r="X21" i="6"/>
  <c r="V19" i="6"/>
  <c r="X17" i="6"/>
  <c r="V15" i="6"/>
  <c r="BW404" i="1"/>
  <c r="AO404" i="1"/>
  <c r="BW403" i="1"/>
  <c r="AO403" i="1"/>
  <c r="BV402" i="1"/>
  <c r="BU402" i="1"/>
  <c r="BT402" i="1"/>
  <c r="AO402" i="1"/>
  <c r="BV401" i="1"/>
  <c r="BU401" i="1"/>
  <c r="BT401" i="1"/>
  <c r="AO401" i="1"/>
  <c r="BW400" i="1"/>
  <c r="AO400" i="1"/>
  <c r="BM400" i="6"/>
  <c r="BO404" i="6"/>
  <c r="BN404" i="6"/>
  <c r="BM404" i="6"/>
  <c r="BO403" i="6"/>
  <c r="BN403" i="6"/>
  <c r="BM403" i="6"/>
  <c r="BO402" i="6"/>
  <c r="BN402" i="6"/>
  <c r="BM402" i="6"/>
  <c r="BO401" i="6"/>
  <c r="BN401" i="6"/>
  <c r="BM401" i="6"/>
  <c r="BO399" i="6"/>
  <c r="BN399" i="6"/>
  <c r="BM399" i="6"/>
  <c r="BW399" i="1"/>
  <c r="AO399" i="1"/>
  <c r="O400" i="1"/>
  <c r="O403" i="1"/>
  <c r="O404" i="1"/>
  <c r="L399" i="1"/>
  <c r="L400" i="1"/>
  <c r="L401" i="1"/>
  <c r="L402" i="1"/>
  <c r="L403" i="1"/>
  <c r="L404" i="1"/>
  <c r="BN404" i="1"/>
  <c r="B399" i="1"/>
  <c r="B400" i="1"/>
  <c r="B401" i="1"/>
  <c r="B402" i="1"/>
  <c r="B403" i="1"/>
  <c r="B404" i="1"/>
  <c r="AE455" i="6" l="1"/>
  <c r="Y42" i="6"/>
  <c r="DY412" i="1"/>
  <c r="EC412" i="1" s="1"/>
  <c r="EE412" i="1" s="1"/>
  <c r="EM405" i="1"/>
  <c r="EL405" i="1"/>
  <c r="EM406" i="1"/>
  <c r="EL406" i="1"/>
  <c r="EM407" i="1"/>
  <c r="EL407" i="1"/>
  <c r="DZ407" i="1"/>
  <c r="DW406" i="1"/>
  <c r="DX406" i="1"/>
  <c r="DW405" i="1"/>
  <c r="DY405" i="1" s="1"/>
  <c r="DX405" i="1"/>
  <c r="DZ405" i="1" s="1"/>
  <c r="AJ241" i="6"/>
  <c r="AA241" i="6"/>
  <c r="AD241" i="6"/>
  <c r="AG25" i="6"/>
  <c r="AD94" i="6"/>
  <c r="AA176" i="6"/>
  <c r="AD25" i="6"/>
  <c r="Y455" i="6"/>
  <c r="AT519" i="1"/>
  <c r="AT511" i="1"/>
  <c r="AF12" i="6"/>
  <c r="AC12" i="6"/>
  <c r="Z12" i="6"/>
  <c r="AJ25" i="6"/>
  <c r="AT504" i="1"/>
  <c r="AT503" i="1"/>
  <c r="Y399" i="6"/>
  <c r="AE341" i="6"/>
  <c r="AH341" i="6"/>
  <c r="Z93" i="6"/>
  <c r="AG323" i="6"/>
  <c r="AF93" i="6"/>
  <c r="AE395" i="6"/>
  <c r="AC93" i="6"/>
  <c r="AA30" i="6"/>
  <c r="Y299" i="6"/>
  <c r="AC197" i="6"/>
  <c r="AE44" i="6"/>
  <c r="AH299" i="6"/>
  <c r="Z202" i="6"/>
  <c r="AT484" i="1"/>
  <c r="AJ94" i="6"/>
  <c r="AF214" i="6"/>
  <c r="AG94" i="6"/>
  <c r="AC214" i="6"/>
  <c r="Y120" i="6"/>
  <c r="AE102" i="6"/>
  <c r="AB120" i="6"/>
  <c r="AE478" i="6"/>
  <c r="Y102" i="6"/>
  <c r="Y478" i="6"/>
  <c r="AF537" i="6"/>
  <c r="AI537" i="6"/>
  <c r="AE519" i="6"/>
  <c r="Z537" i="6"/>
  <c r="AH102" i="6"/>
  <c r="AE171" i="6"/>
  <c r="AH120" i="6"/>
  <c r="Z516" i="6"/>
  <c r="AH478" i="6"/>
  <c r="AD24" i="6"/>
  <c r="Z333" i="6"/>
  <c r="AD92" i="6"/>
  <c r="AC249" i="6"/>
  <c r="AJ360" i="6"/>
  <c r="AT473" i="1"/>
  <c r="AF473" i="6"/>
  <c r="AA379" i="6"/>
  <c r="AT453" i="1"/>
  <c r="AB446" i="6"/>
  <c r="AE446" i="6"/>
  <c r="AT452" i="1"/>
  <c r="AT458" i="1"/>
  <c r="AH455" i="6"/>
  <c r="AJ542" i="6"/>
  <c r="AG542" i="6"/>
  <c r="AG92" i="6"/>
  <c r="AF370" i="6"/>
  <c r="AJ92" i="6"/>
  <c r="Y301" i="6"/>
  <c r="AB301" i="6"/>
  <c r="AH162" i="6"/>
  <c r="AD240" i="6"/>
  <c r="AG341" i="6"/>
  <c r="AE122" i="6"/>
  <c r="Y162" i="6"/>
  <c r="AJ240" i="6"/>
  <c r="Y104" i="6"/>
  <c r="AA400" i="6"/>
  <c r="AJ341" i="6"/>
  <c r="AA341" i="6"/>
  <c r="AE162" i="6"/>
  <c r="AG240" i="6"/>
  <c r="AD327" i="6"/>
  <c r="AD332" i="6"/>
  <c r="AJ332" i="6"/>
  <c r="AH336" i="6"/>
  <c r="AG332" i="6"/>
  <c r="Y357" i="6"/>
  <c r="AB357" i="6"/>
  <c r="AE357" i="6"/>
  <c r="AB40" i="6"/>
  <c r="AB543" i="6"/>
  <c r="AG210" i="6"/>
  <c r="AC402" i="6"/>
  <c r="Y60" i="6"/>
  <c r="AH543" i="6"/>
  <c r="AA210" i="6"/>
  <c r="AB60" i="6"/>
  <c r="AD210" i="6"/>
  <c r="AG111" i="6"/>
  <c r="AB217" i="6"/>
  <c r="AC216" i="6"/>
  <c r="Y66" i="6"/>
  <c r="AB66" i="6"/>
  <c r="AB116" i="6"/>
  <c r="AC145" i="6"/>
  <c r="AI216" i="6"/>
  <c r="AE543" i="6"/>
  <c r="Z62" i="6"/>
  <c r="Y177" i="6"/>
  <c r="Z216" i="6"/>
  <c r="AH486" i="6"/>
  <c r="AD355" i="6"/>
  <c r="AD534" i="6"/>
  <c r="AI62" i="6"/>
  <c r="AC62" i="6"/>
  <c r="AC416" i="6"/>
  <c r="AG534" i="6"/>
  <c r="AH66" i="6"/>
  <c r="Y486" i="6"/>
  <c r="AI416" i="6"/>
  <c r="AJ534" i="6"/>
  <c r="AE60" i="6"/>
  <c r="AF416" i="6"/>
  <c r="AB486" i="6"/>
  <c r="AF333" i="6"/>
  <c r="AD111" i="6"/>
  <c r="AH398" i="6"/>
  <c r="AD225" i="6"/>
  <c r="AG355" i="6"/>
  <c r="AA457" i="6"/>
  <c r="AI402" i="6"/>
  <c r="Y118" i="6"/>
  <c r="Z375" i="6"/>
  <c r="AF375" i="6"/>
  <c r="Z402" i="6"/>
  <c r="AI378" i="6"/>
  <c r="AI375" i="6"/>
  <c r="AF378" i="6"/>
  <c r="AF404" i="6"/>
  <c r="AH36" i="6"/>
  <c r="AE398" i="6"/>
  <c r="AI404" i="6"/>
  <c r="AJ111" i="6"/>
  <c r="Z378" i="6"/>
  <c r="AE377" i="6"/>
  <c r="AI214" i="6"/>
  <c r="AJ355" i="6"/>
  <c r="AT449" i="1"/>
  <c r="Z116" i="6"/>
  <c r="AC287" i="6"/>
  <c r="AF287" i="6"/>
  <c r="AF383" i="6"/>
  <c r="AI287" i="6"/>
  <c r="AB128" i="6"/>
  <c r="AF83" i="6"/>
  <c r="AI320" i="6"/>
  <c r="AF330" i="6"/>
  <c r="Z83" i="6"/>
  <c r="Z320" i="6"/>
  <c r="AD428" i="6"/>
  <c r="AC516" i="6"/>
  <c r="AB462" i="6"/>
  <c r="AC83" i="6"/>
  <c r="AF516" i="6"/>
  <c r="AH439" i="6"/>
  <c r="AB439" i="6"/>
  <c r="AE439" i="6"/>
  <c r="AD504" i="6"/>
  <c r="Y494" i="6"/>
  <c r="AA504" i="6"/>
  <c r="AB494" i="6"/>
  <c r="AG504" i="6"/>
  <c r="AE494" i="6"/>
  <c r="Z340" i="6"/>
  <c r="AC340" i="6"/>
  <c r="AF340" i="6"/>
  <c r="AT445" i="1"/>
  <c r="AT440" i="1"/>
  <c r="AD214" i="6"/>
  <c r="AT439" i="1"/>
  <c r="AC466" i="6"/>
  <c r="AT442" i="1"/>
  <c r="AJ214" i="6"/>
  <c r="AT441" i="1"/>
  <c r="AD357" i="6"/>
  <c r="AB332" i="6"/>
  <c r="AC209" i="6"/>
  <c r="AI207" i="6"/>
  <c r="AC207" i="6"/>
  <c r="Z186" i="6"/>
  <c r="AE75" i="6"/>
  <c r="AF207" i="6"/>
  <c r="AC177" i="6"/>
  <c r="AA349" i="6"/>
  <c r="AD349" i="6"/>
  <c r="AI186" i="6"/>
  <c r="AG369" i="6"/>
  <c r="AE173" i="6"/>
  <c r="Y179" i="6"/>
  <c r="AC468" i="6"/>
  <c r="AH75" i="6"/>
  <c r="Y315" i="6"/>
  <c r="AF58" i="6"/>
  <c r="AF555" i="6"/>
  <c r="AI31" i="6"/>
  <c r="AH323" i="6"/>
  <c r="Y446" i="6"/>
  <c r="AF512" i="6"/>
  <c r="AC31" i="6"/>
  <c r="AH98" i="6"/>
  <c r="AA438" i="6"/>
  <c r="AJ168" i="6"/>
  <c r="AI356" i="6"/>
  <c r="AB211" i="6"/>
  <c r="AC521" i="6"/>
  <c r="AJ496" i="6"/>
  <c r="AE388" i="6"/>
  <c r="AC4" i="6"/>
  <c r="AC58" i="6"/>
  <c r="Z105" i="6"/>
  <c r="AF4" i="6"/>
  <c r="AI105" i="6"/>
  <c r="AH388" i="6"/>
  <c r="Y369" i="6"/>
  <c r="AC105" i="6"/>
  <c r="AF369" i="6"/>
  <c r="AI369" i="6"/>
  <c r="Z58" i="6"/>
  <c r="Y388" i="6"/>
  <c r="AH369" i="6"/>
  <c r="Z188" i="6"/>
  <c r="AB349" i="6"/>
  <c r="AF343" i="6"/>
  <c r="AB369" i="6"/>
  <c r="AE349" i="6"/>
  <c r="AH349" i="6"/>
  <c r="Z81" i="6"/>
  <c r="AH127" i="6"/>
  <c r="AD129" i="6"/>
  <c r="AF275" i="6"/>
  <c r="AC389" i="6"/>
  <c r="Z389" i="6"/>
  <c r="AF389" i="6"/>
  <c r="AH54" i="6"/>
  <c r="Y54" i="6"/>
  <c r="AG170" i="6"/>
  <c r="AJ19" i="6"/>
  <c r="AG26" i="6"/>
  <c r="AD158" i="6"/>
  <c r="Y183" i="6"/>
  <c r="AB179" i="6"/>
  <c r="Y272" i="6"/>
  <c r="AG456" i="6"/>
  <c r="AC201" i="6"/>
  <c r="AH315" i="6"/>
  <c r="AH483" i="6"/>
  <c r="AH179" i="6"/>
  <c r="AE278" i="6"/>
  <c r="AH132" i="6"/>
  <c r="AG177" i="6"/>
  <c r="AF186" i="6"/>
  <c r="AJ349" i="6"/>
  <c r="AA158" i="6"/>
  <c r="Y193" i="6"/>
  <c r="AE215" i="6"/>
  <c r="AI468" i="6"/>
  <c r="AF468" i="6"/>
  <c r="AG158" i="6"/>
  <c r="Y197" i="6"/>
  <c r="AH197" i="6"/>
  <c r="Y215" i="6"/>
  <c r="AF255" i="6"/>
  <c r="AC283" i="6"/>
  <c r="AG340" i="6"/>
  <c r="AH450" i="6"/>
  <c r="AJ26" i="6"/>
  <c r="AG145" i="6"/>
  <c r="AB215" i="6"/>
  <c r="AF283" i="6"/>
  <c r="AJ340" i="6"/>
  <c r="Y450" i="6"/>
  <c r="AB315" i="6"/>
  <c r="AD26" i="6"/>
  <c r="AJ145" i="6"/>
  <c r="AJ177" i="6"/>
  <c r="AI231" i="6"/>
  <c r="AI283" i="6"/>
  <c r="AE392" i="6"/>
  <c r="AE450" i="6"/>
  <c r="AJ456" i="6"/>
  <c r="AD177" i="6"/>
  <c r="AA145" i="6"/>
  <c r="AI120" i="6"/>
  <c r="AE164" i="6"/>
  <c r="AC120" i="6"/>
  <c r="Y164" i="6"/>
  <c r="Y392" i="6"/>
  <c r="AB164" i="6"/>
  <c r="AB197" i="6"/>
  <c r="Z120" i="6"/>
  <c r="AH184" i="6"/>
  <c r="AH180" i="6"/>
  <c r="AC234" i="6"/>
  <c r="AJ369" i="6"/>
  <c r="AE132" i="6"/>
  <c r="AE184" i="6"/>
  <c r="AF234" i="6"/>
  <c r="AA369" i="6"/>
  <c r="AA456" i="6"/>
  <c r="AD340" i="6"/>
  <c r="Z234" i="6"/>
  <c r="AE98" i="6"/>
  <c r="AB142" i="6"/>
  <c r="AC230" i="6"/>
  <c r="Z106" i="6"/>
  <c r="AE231" i="6"/>
  <c r="AF231" i="6"/>
  <c r="AJ438" i="6"/>
  <c r="AB376" i="6"/>
  <c r="Z365" i="6"/>
  <c r="Z231" i="6"/>
  <c r="AH231" i="6"/>
  <c r="AB323" i="6"/>
  <c r="Z348" i="6"/>
  <c r="AG438" i="6"/>
  <c r="AG496" i="6"/>
  <c r="Z31" i="6"/>
  <c r="AC267" i="6"/>
  <c r="AA496" i="6"/>
  <c r="AF520" i="6"/>
  <c r="AF466" i="6"/>
  <c r="AA168" i="6"/>
  <c r="AF267" i="6"/>
  <c r="Y426" i="6"/>
  <c r="Z520" i="6"/>
  <c r="AB170" i="6"/>
  <c r="AG129" i="6"/>
  <c r="AG168" i="6"/>
  <c r="AF209" i="6"/>
  <c r="AI267" i="6"/>
  <c r="AA261" i="6"/>
  <c r="Z356" i="6"/>
  <c r="AI520" i="6"/>
  <c r="AE323" i="6"/>
  <c r="AC275" i="6"/>
  <c r="AJ304" i="6"/>
  <c r="AC356" i="6"/>
  <c r="AF521" i="6"/>
  <c r="AB525" i="6"/>
  <c r="AB55" i="6"/>
  <c r="AE55" i="6"/>
  <c r="AE201" i="6"/>
  <c r="AJ232" i="6"/>
  <c r="AI275" i="6"/>
  <c r="AA304" i="6"/>
  <c r="AE525" i="6"/>
  <c r="Z521" i="6"/>
  <c r="AG304" i="6"/>
  <c r="AD170" i="6"/>
  <c r="AH201" i="6"/>
  <c r="AD232" i="6"/>
  <c r="Y281" i="6"/>
  <c r="AH525" i="6"/>
  <c r="AG232" i="6"/>
  <c r="AG126" i="6"/>
  <c r="AJ170" i="6"/>
  <c r="AB281" i="6"/>
  <c r="AH376" i="6"/>
  <c r="AB403" i="6"/>
  <c r="AI466" i="6"/>
  <c r="AE170" i="6"/>
  <c r="AH194" i="6"/>
  <c r="AE281" i="6"/>
  <c r="Y376" i="6"/>
  <c r="Y403" i="6"/>
  <c r="AH403" i="6"/>
  <c r="AH170" i="6"/>
  <c r="AH55" i="6"/>
  <c r="Y238" i="6"/>
  <c r="AJ29" i="6"/>
  <c r="Z185" i="6"/>
  <c r="AI185" i="6"/>
  <c r="AF185" i="6"/>
  <c r="Y157" i="6"/>
  <c r="AG214" i="6"/>
  <c r="AG518" i="6"/>
  <c r="AD417" i="6"/>
  <c r="AJ102" i="6"/>
  <c r="AB370" i="6"/>
  <c r="Z327" i="6"/>
  <c r="AB44" i="6"/>
  <c r="AB104" i="6"/>
  <c r="AJ189" i="6"/>
  <c r="AB209" i="6"/>
  <c r="AI358" i="6"/>
  <c r="AG373" i="6"/>
  <c r="AJ373" i="6"/>
  <c r="Y44" i="6"/>
  <c r="AE104" i="6"/>
  <c r="AB299" i="6"/>
  <c r="AJ30" i="6"/>
  <c r="AG189" i="6"/>
  <c r="AD242" i="6"/>
  <c r="AG321" i="6"/>
  <c r="AH399" i="6"/>
  <c r="AA44" i="6"/>
  <c r="AD30" i="6"/>
  <c r="AF202" i="6"/>
  <c r="Z384" i="6"/>
  <c r="AG24" i="6"/>
  <c r="AC51" i="6"/>
  <c r="AD64" i="6"/>
  <c r="AG44" i="6"/>
  <c r="AF51" i="6"/>
  <c r="AA189" i="6"/>
  <c r="AC202" i="6"/>
  <c r="AG64" i="6"/>
  <c r="AF373" i="6"/>
  <c r="Z51" i="6"/>
  <c r="AI35" i="6"/>
  <c r="AI373" i="6"/>
  <c r="Z403" i="6"/>
  <c r="Z35" i="6"/>
  <c r="Z358" i="6"/>
  <c r="AC403" i="6"/>
  <c r="AC35" i="6"/>
  <c r="AC358" i="6"/>
  <c r="AF403" i="6"/>
  <c r="Z434" i="6"/>
  <c r="Z373" i="6"/>
  <c r="Y122" i="6"/>
  <c r="Z428" i="6"/>
  <c r="AE40" i="6"/>
  <c r="AJ24" i="6"/>
  <c r="Y40" i="6"/>
  <c r="AB122" i="6"/>
  <c r="AF353" i="6"/>
  <c r="AC428" i="6"/>
  <c r="AJ44" i="6"/>
  <c r="AJ230" i="6"/>
  <c r="Z353" i="6"/>
  <c r="AB399" i="6"/>
  <c r="AF189" i="6"/>
  <c r="AC189" i="6"/>
  <c r="AC263" i="6"/>
  <c r="AF263" i="6"/>
  <c r="Z189" i="6"/>
  <c r="AH153" i="6"/>
  <c r="AJ328" i="6"/>
  <c r="AA58" i="6"/>
  <c r="AD60" i="6"/>
  <c r="AJ60" i="6"/>
  <c r="AG242" i="6"/>
  <c r="AH302" i="6"/>
  <c r="AJ242" i="6"/>
  <c r="AJ296" i="6"/>
  <c r="Y401" i="6"/>
  <c r="AG296" i="6"/>
  <c r="AH57" i="6"/>
  <c r="AJ247" i="6"/>
  <c r="Y210" i="6"/>
  <c r="AF215" i="6"/>
  <c r="Y51" i="6"/>
  <c r="AB54" i="6"/>
  <c r="AJ64" i="6"/>
  <c r="Y128" i="6"/>
  <c r="Z184" i="6"/>
  <c r="AE203" i="6"/>
  <c r="AF293" i="6"/>
  <c r="AE294" i="6"/>
  <c r="AA296" i="6"/>
  <c r="AJ518" i="6"/>
  <c r="Z10" i="6"/>
  <c r="AD457" i="6"/>
  <c r="AC171" i="6"/>
  <c r="Y435" i="6"/>
  <c r="AD459" i="6"/>
  <c r="AG459" i="6"/>
  <c r="AA207" i="6"/>
  <c r="AI247" i="6"/>
  <c r="AH401" i="6"/>
  <c r="AB435" i="6"/>
  <c r="AJ459" i="6"/>
  <c r="AB51" i="6"/>
  <c r="AF10" i="6"/>
  <c r="Z77" i="6"/>
  <c r="AI293" i="6"/>
  <c r="AC87" i="6"/>
  <c r="AD88" i="6"/>
  <c r="AD207" i="6"/>
  <c r="Z247" i="6"/>
  <c r="AG311" i="6"/>
  <c r="AG344" i="6"/>
  <c r="Y370" i="6"/>
  <c r="AH377" i="6"/>
  <c r="Y474" i="6"/>
  <c r="AE51" i="6"/>
  <c r="AE32" i="6"/>
  <c r="AF42" i="6"/>
  <c r="AD74" i="6"/>
  <c r="AJ90" i="6"/>
  <c r="Y108" i="6"/>
  <c r="AG207" i="6"/>
  <c r="AF247" i="6"/>
  <c r="AJ311" i="6"/>
  <c r="AD311" i="6"/>
  <c r="AJ344" i="6"/>
  <c r="Y377" i="6"/>
  <c r="AJ428" i="6"/>
  <c r="AB474" i="6"/>
  <c r="AC293" i="6"/>
  <c r="AH32" i="6"/>
  <c r="AG74" i="6"/>
  <c r="AC77" i="6"/>
  <c r="Y115" i="6"/>
  <c r="AA428" i="6"/>
  <c r="AE474" i="6"/>
  <c r="AC10" i="6"/>
  <c r="AH115" i="6"/>
  <c r="AG269" i="6"/>
  <c r="AC53" i="6"/>
  <c r="AF87" i="6"/>
  <c r="AJ256" i="6"/>
  <c r="AJ269" i="6"/>
  <c r="AD518" i="6"/>
  <c r="AI87" i="6"/>
  <c r="AJ74" i="6"/>
  <c r="AE115" i="6"/>
  <c r="AE128" i="6"/>
  <c r="AG157" i="6"/>
  <c r="AA157" i="6"/>
  <c r="AI53" i="6"/>
  <c r="AB63" i="6"/>
  <c r="AC81" i="6"/>
  <c r="AG159" i="6"/>
  <c r="AB157" i="6"/>
  <c r="AA159" i="6"/>
  <c r="AF176" i="6"/>
  <c r="AE217" i="6"/>
  <c r="AB468" i="6"/>
  <c r="AJ157" i="6"/>
  <c r="AA269" i="6"/>
  <c r="Y468" i="6"/>
  <c r="Z53" i="6"/>
  <c r="AE63" i="6"/>
  <c r="AI81" i="6"/>
  <c r="Z97" i="6"/>
  <c r="AG134" i="6"/>
  <c r="AI176" i="6"/>
  <c r="AH217" i="6"/>
  <c r="AB401" i="6"/>
  <c r="AE468" i="6"/>
  <c r="AG457" i="6"/>
  <c r="AF77" i="6"/>
  <c r="AH63" i="6"/>
  <c r="AH133" i="6"/>
  <c r="AF175" i="6"/>
  <c r="AC215" i="6"/>
  <c r="AE211" i="6"/>
  <c r="AI249" i="6"/>
  <c r="Z4" i="6"/>
  <c r="AD151" i="6"/>
  <c r="Z249" i="6"/>
  <c r="AI85" i="6"/>
  <c r="AG114" i="6"/>
  <c r="Y283" i="6"/>
  <c r="AI301" i="6"/>
  <c r="AE511" i="6"/>
  <c r="AC85" i="6"/>
  <c r="AJ114" i="6"/>
  <c r="AD142" i="6"/>
  <c r="Y153" i="6"/>
  <c r="AI179" i="6"/>
  <c r="AJ231" i="6"/>
  <c r="Z193" i="6"/>
  <c r="AB283" i="6"/>
  <c r="Z301" i="6"/>
  <c r="AB330" i="6"/>
  <c r="AD415" i="6"/>
  <c r="AC446" i="6"/>
  <c r="Y465" i="6"/>
  <c r="AH511" i="6"/>
  <c r="AC104" i="6"/>
  <c r="AF85" i="6"/>
  <c r="Z104" i="6"/>
  <c r="AF99" i="6"/>
  <c r="AB153" i="6"/>
  <c r="Z175" i="6"/>
  <c r="AB185" i="6"/>
  <c r="AI193" i="6"/>
  <c r="AE283" i="6"/>
  <c r="AC301" i="6"/>
  <c r="AB465" i="6"/>
  <c r="AI22" i="6"/>
  <c r="AF104" i="6"/>
  <c r="AF24" i="6"/>
  <c r="Y185" i="6"/>
  <c r="AF193" i="6"/>
  <c r="AB347" i="6"/>
  <c r="AE465" i="6"/>
  <c r="Y479" i="6"/>
  <c r="AF446" i="6"/>
  <c r="Z14" i="6"/>
  <c r="AI24" i="6"/>
  <c r="AB77" i="6"/>
  <c r="Y275" i="6"/>
  <c r="AI260" i="6"/>
  <c r="AE347" i="6"/>
  <c r="AT432" i="1"/>
  <c r="Z24" i="6"/>
  <c r="Y39" i="6"/>
  <c r="AE77" i="6"/>
  <c r="AC218" i="6"/>
  <c r="AA243" i="6"/>
  <c r="AB275" i="6"/>
  <c r="AH77" i="6"/>
  <c r="AJ83" i="6"/>
  <c r="AC99" i="6"/>
  <c r="AD243" i="6"/>
  <c r="AA229" i="6"/>
  <c r="AJ248" i="6"/>
  <c r="AE275" i="6"/>
  <c r="AJ386" i="6"/>
  <c r="AJ412" i="6"/>
  <c r="AG412" i="6"/>
  <c r="AA88" i="6"/>
  <c r="AD83" i="6"/>
  <c r="AI99" i="6"/>
  <c r="AJ243" i="6"/>
  <c r="AA256" i="6"/>
  <c r="AE248" i="6"/>
  <c r="Y279" i="6"/>
  <c r="AA412" i="6"/>
  <c r="AB27" i="6"/>
  <c r="AC22" i="6"/>
  <c r="AA233" i="6"/>
  <c r="AB279" i="6"/>
  <c r="AJ382" i="6"/>
  <c r="AC142" i="6"/>
  <c r="AF22" i="6"/>
  <c r="AH185" i="6"/>
  <c r="AF250" i="6"/>
  <c r="AD233" i="6"/>
  <c r="AE279" i="6"/>
  <c r="AA382" i="6"/>
  <c r="AA415" i="6"/>
  <c r="AD90" i="6"/>
  <c r="AH138" i="6"/>
  <c r="AB172" i="6"/>
  <c r="AB208" i="6"/>
  <c r="AJ233" i="6"/>
  <c r="AA359" i="6"/>
  <c r="AG382" i="6"/>
  <c r="Y511" i="6"/>
  <c r="AG90" i="6"/>
  <c r="AG204" i="6"/>
  <c r="AG58" i="6"/>
  <c r="Y112" i="6"/>
  <c r="Y135" i="6"/>
  <c r="AJ353" i="6"/>
  <c r="AG361" i="6"/>
  <c r="AA353" i="6"/>
  <c r="Y361" i="6"/>
  <c r="AB361" i="6"/>
  <c r="AG256" i="6"/>
  <c r="AA51" i="6"/>
  <c r="AJ58" i="6"/>
  <c r="AE188" i="6"/>
  <c r="AI235" i="6"/>
  <c r="AB75" i="6"/>
  <c r="AG59" i="6"/>
  <c r="AF235" i="6"/>
  <c r="Y203" i="6"/>
  <c r="AB298" i="6"/>
  <c r="AD353" i="6"/>
  <c r="AE361" i="6"/>
  <c r="AB184" i="6"/>
  <c r="AD388" i="6"/>
  <c r="Z134" i="6"/>
  <c r="AD59" i="6"/>
  <c r="Y201" i="6"/>
  <c r="Y262" i="6"/>
  <c r="AD408" i="6"/>
  <c r="AC406" i="6"/>
  <c r="AA59" i="6"/>
  <c r="AB262" i="6"/>
  <c r="AF406" i="6"/>
  <c r="AD97" i="6"/>
  <c r="AJ28" i="6"/>
  <c r="AB246" i="6"/>
  <c r="AA245" i="6"/>
  <c r="AH262" i="6"/>
  <c r="AJ314" i="6"/>
  <c r="AI406" i="6"/>
  <c r="AA28" i="6"/>
  <c r="AE290" i="6"/>
  <c r="AG320" i="6"/>
  <c r="AI383" i="6"/>
  <c r="AF26" i="6"/>
  <c r="AD28" i="6"/>
  <c r="AC59" i="6"/>
  <c r="AC153" i="6"/>
  <c r="AA314" i="6"/>
  <c r="AA320" i="6"/>
  <c r="AF547" i="6"/>
  <c r="Z73" i="6"/>
  <c r="AH221" i="6"/>
  <c r="AD314" i="6"/>
  <c r="AD444" i="6"/>
  <c r="AI547" i="6"/>
  <c r="AF59" i="6"/>
  <c r="AF134" i="6"/>
  <c r="AI59" i="6"/>
  <c r="Y141" i="6"/>
  <c r="AF206" i="6"/>
  <c r="Y221" i="6"/>
  <c r="AE209" i="6"/>
  <c r="Z547" i="6"/>
  <c r="AI206" i="6"/>
  <c r="AI42" i="6"/>
  <c r="AI25" i="6"/>
  <c r="AD29" i="6"/>
  <c r="AA97" i="6"/>
  <c r="AH209" i="6"/>
  <c r="AE298" i="6"/>
  <c r="Z26" i="6"/>
  <c r="AI134" i="6"/>
  <c r="AG29" i="6"/>
  <c r="AA60" i="6"/>
  <c r="AA126" i="6"/>
  <c r="AB165" i="6"/>
  <c r="AH298" i="6"/>
  <c r="AA454" i="6"/>
  <c r="AG105" i="6"/>
  <c r="AG141" i="6"/>
  <c r="AH186" i="6"/>
  <c r="AB238" i="6"/>
  <c r="AB336" i="6"/>
  <c r="AE385" i="6"/>
  <c r="AH347" i="6"/>
  <c r="AG403" i="6"/>
  <c r="AE435" i="6"/>
  <c r="AE441" i="6"/>
  <c r="AE557" i="6"/>
  <c r="AE186" i="6"/>
  <c r="AH238" i="6"/>
  <c r="AF337" i="6"/>
  <c r="Y441" i="6"/>
  <c r="AJ105" i="6"/>
  <c r="AB47" i="6"/>
  <c r="AD105" i="6"/>
  <c r="AI337" i="6"/>
  <c r="AD402" i="6"/>
  <c r="AJ4" i="6"/>
  <c r="AB307" i="6"/>
  <c r="Z337" i="6"/>
  <c r="AB396" i="6"/>
  <c r="AG4" i="6"/>
  <c r="Y149" i="6"/>
  <c r="AG147" i="6"/>
  <c r="AH257" i="6"/>
  <c r="AH254" i="6"/>
  <c r="AH385" i="6"/>
  <c r="AB383" i="6"/>
  <c r="AA4" i="6"/>
  <c r="AG116" i="6"/>
  <c r="AB149" i="6"/>
  <c r="AJ147" i="6"/>
  <c r="Y186" i="6"/>
  <c r="Z261" i="6"/>
  <c r="AD350" i="6"/>
  <c r="Y385" i="6"/>
  <c r="AH42" i="6"/>
  <c r="AA472" i="6"/>
  <c r="AG88" i="6"/>
  <c r="Y150" i="6"/>
  <c r="AA212" i="6"/>
  <c r="AH358" i="6"/>
  <c r="Y393" i="6"/>
  <c r="AC494" i="6"/>
  <c r="AD472" i="6"/>
  <c r="AA122" i="6"/>
  <c r="AJ195" i="6"/>
  <c r="AH216" i="6"/>
  <c r="AD212" i="6"/>
  <c r="Y358" i="6"/>
  <c r="AE394" i="6"/>
  <c r="AH396" i="6"/>
  <c r="AG122" i="6"/>
  <c r="AB134" i="6"/>
  <c r="AC281" i="6"/>
  <c r="AF295" i="6"/>
  <c r="AB358" i="6"/>
  <c r="AE396" i="6"/>
  <c r="AD446" i="6"/>
  <c r="AI261" i="6"/>
  <c r="AJ122" i="6"/>
  <c r="AE306" i="6"/>
  <c r="AH394" i="6"/>
  <c r="AB441" i="6"/>
  <c r="AJ446" i="6"/>
  <c r="AC5" i="6"/>
  <c r="AJ212" i="6"/>
  <c r="Z334" i="6"/>
  <c r="AE475" i="6"/>
  <c r="Y463" i="6"/>
  <c r="AG446" i="6"/>
  <c r="AE149" i="6"/>
  <c r="AD20" i="6"/>
  <c r="Y47" i="6"/>
  <c r="AB42" i="6"/>
  <c r="AB137" i="6"/>
  <c r="AB171" i="6"/>
  <c r="AJ176" i="6"/>
  <c r="AB306" i="6"/>
  <c r="AC334" i="6"/>
  <c r="AB463" i="6"/>
  <c r="Y475" i="6"/>
  <c r="AA147" i="6"/>
  <c r="AE47" i="6"/>
  <c r="AD176" i="6"/>
  <c r="AF334" i="6"/>
  <c r="AE463" i="6"/>
  <c r="AB475" i="6"/>
  <c r="Y394" i="6"/>
  <c r="AD230" i="6"/>
  <c r="Y307" i="6"/>
  <c r="AD321" i="6"/>
  <c r="AJ321" i="6"/>
  <c r="Y336" i="6"/>
  <c r="Y91" i="6"/>
  <c r="AB545" i="6"/>
  <c r="AE545" i="6"/>
  <c r="AI26" i="6"/>
  <c r="AC57" i="6"/>
  <c r="AJ97" i="6"/>
  <c r="AF254" i="6"/>
  <c r="AH372" i="6"/>
  <c r="AF327" i="6"/>
  <c r="AH374" i="6"/>
  <c r="AH545" i="6"/>
  <c r="Z254" i="6"/>
  <c r="Y372" i="6"/>
  <c r="AF57" i="6"/>
  <c r="AA49" i="6"/>
  <c r="AI57" i="6"/>
  <c r="AE374" i="6"/>
  <c r="AT421" i="1"/>
  <c r="AE292" i="6"/>
  <c r="AH292" i="6"/>
  <c r="AH307" i="6"/>
  <c r="AB91" i="6"/>
  <c r="Y292" i="6"/>
  <c r="Z381" i="6"/>
  <c r="Y57" i="6"/>
  <c r="AE91" i="6"/>
  <c r="AE245" i="6"/>
  <c r="AF381" i="6"/>
  <c r="AH245" i="6"/>
  <c r="AB57" i="6"/>
  <c r="AG230" i="6"/>
  <c r="AB245" i="6"/>
  <c r="AH327" i="6"/>
  <c r="AD358" i="6"/>
  <c r="AT423" i="1"/>
  <c r="AG350" i="6"/>
  <c r="Y87" i="6"/>
  <c r="AA114" i="6"/>
  <c r="AB138" i="6"/>
  <c r="Z142" i="6"/>
  <c r="Z209" i="6"/>
  <c r="AG248" i="6"/>
  <c r="AI371" i="6"/>
  <c r="AA408" i="6"/>
  <c r="AD542" i="6"/>
  <c r="AJ556" i="6"/>
  <c r="AG110" i="6"/>
  <c r="AE10" i="6"/>
  <c r="AJ229" i="6"/>
  <c r="AJ350" i="6"/>
  <c r="AI414" i="6"/>
  <c r="Y138" i="6"/>
  <c r="Y505" i="6"/>
  <c r="AH10" i="6"/>
  <c r="AC49" i="6"/>
  <c r="AG57" i="6"/>
  <c r="AF95" i="6"/>
  <c r="AE140" i="6"/>
  <c r="AC175" i="6"/>
  <c r="AA231" i="6"/>
  <c r="AH211" i="6"/>
  <c r="AC257" i="6"/>
  <c r="AF428" i="6"/>
  <c r="AB505" i="6"/>
  <c r="AH140" i="6"/>
  <c r="AD231" i="6"/>
  <c r="AF257" i="6"/>
  <c r="Z367" i="6"/>
  <c r="AA37" i="6"/>
  <c r="AJ333" i="6"/>
  <c r="AD52" i="6"/>
  <c r="AJ110" i="6"/>
  <c r="AE142" i="6"/>
  <c r="AH301" i="6"/>
  <c r="AB398" i="6"/>
  <c r="AI271" i="6"/>
  <c r="Y140" i="6"/>
  <c r="AE61" i="6"/>
  <c r="AB100" i="6"/>
  <c r="AH142" i="6"/>
  <c r="AH190" i="6"/>
  <c r="Z371" i="6"/>
  <c r="AA83" i="6"/>
  <c r="AB87" i="6"/>
  <c r="AJ191" i="6"/>
  <c r="AE190" i="6"/>
  <c r="AA235" i="6"/>
  <c r="AC289" i="6"/>
  <c r="AD362" i="6"/>
  <c r="AG371" i="6"/>
  <c r="AB10" i="6"/>
  <c r="AD229" i="6"/>
  <c r="AB231" i="6"/>
  <c r="AD235" i="6"/>
  <c r="AA217" i="6"/>
  <c r="AF289" i="6"/>
  <c r="AC434" i="6"/>
  <c r="AI446" i="6"/>
  <c r="Z49" i="6"/>
  <c r="AI257" i="6"/>
  <c r="AD110" i="6"/>
  <c r="AC33" i="6"/>
  <c r="AE87" i="6"/>
  <c r="AI116" i="6"/>
  <c r="Z128" i="6"/>
  <c r="Y214" i="6"/>
  <c r="AJ235" i="6"/>
  <c r="AD217" i="6"/>
  <c r="AI289" i="6"/>
  <c r="AF367" i="6"/>
  <c r="AI398" i="6"/>
  <c r="AF434" i="6"/>
  <c r="Y492" i="6"/>
  <c r="AI49" i="6"/>
  <c r="AB23" i="6"/>
  <c r="Y98" i="6"/>
  <c r="Z112" i="6"/>
  <c r="AC116" i="6"/>
  <c r="AI128" i="6"/>
  <c r="AB214" i="6"/>
  <c r="AG217" i="6"/>
  <c r="Z398" i="6"/>
  <c r="AA464" i="6"/>
  <c r="AB492" i="6"/>
  <c r="AC95" i="6"/>
  <c r="Z95" i="6"/>
  <c r="AE113" i="6"/>
  <c r="AC128" i="6"/>
  <c r="Y204" i="6"/>
  <c r="AF398" i="6"/>
  <c r="AE492" i="6"/>
  <c r="AE535" i="6"/>
  <c r="AH505" i="6"/>
  <c r="AD248" i="6"/>
  <c r="AH113" i="6"/>
  <c r="AF371" i="6"/>
  <c r="AJ408" i="6"/>
  <c r="AH535" i="6"/>
  <c r="AF34" i="6"/>
  <c r="AF89" i="6"/>
  <c r="Z218" i="6"/>
  <c r="Y28" i="6"/>
  <c r="Z89" i="6"/>
  <c r="AD134" i="6"/>
  <c r="AB177" i="6"/>
  <c r="Z171" i="6"/>
  <c r="AD247" i="6"/>
  <c r="AJ226" i="6"/>
  <c r="AD198" i="6"/>
  <c r="Y257" i="6"/>
  <c r="AI353" i="6"/>
  <c r="AD373" i="6"/>
  <c r="AG377" i="6"/>
  <c r="AE327" i="6"/>
  <c r="AH380" i="6"/>
  <c r="AE472" i="6"/>
  <c r="AA463" i="6"/>
  <c r="AE457" i="6"/>
  <c r="AI69" i="6"/>
  <c r="AB103" i="6"/>
  <c r="AE156" i="6"/>
  <c r="Y182" i="6"/>
  <c r="AF210" i="6"/>
  <c r="AB174" i="6"/>
  <c r="Y246" i="6"/>
  <c r="AD245" i="6"/>
  <c r="AH203" i="6"/>
  <c r="AB257" i="6"/>
  <c r="Y380" i="6"/>
  <c r="AJ359" i="6"/>
  <c r="AI327" i="6"/>
  <c r="AA20" i="6"/>
  <c r="Y46" i="6"/>
  <c r="AB48" i="6"/>
  <c r="AC42" i="6"/>
  <c r="AC61" i="6"/>
  <c r="AH135" i="6"/>
  <c r="Y174" i="6"/>
  <c r="AE214" i="6"/>
  <c r="Y230" i="6"/>
  <c r="AH246" i="6"/>
  <c r="AC297" i="6"/>
  <c r="AD377" i="6"/>
  <c r="AG383" i="6"/>
  <c r="AH46" i="6"/>
  <c r="AJ20" i="6"/>
  <c r="Z98" i="6"/>
  <c r="Y113" i="6"/>
  <c r="Y130" i="6"/>
  <c r="AB135" i="6"/>
  <c r="Z176" i="6"/>
  <c r="AF218" i="6"/>
  <c r="AE174" i="6"/>
  <c r="AJ259" i="6"/>
  <c r="AB230" i="6"/>
  <c r="AI225" i="6"/>
  <c r="AI265" i="6"/>
  <c r="AE300" i="6"/>
  <c r="AF297" i="6"/>
  <c r="AJ401" i="6"/>
  <c r="Z386" i="6"/>
  <c r="AF433" i="6"/>
  <c r="AF171" i="6"/>
  <c r="AC265" i="6"/>
  <c r="AH342" i="6"/>
  <c r="AI433" i="6"/>
  <c r="AG401" i="6"/>
  <c r="AA404" i="6"/>
  <c r="AE12" i="6"/>
  <c r="AJ80" i="6"/>
  <c r="Z173" i="6"/>
  <c r="AH182" i="6"/>
  <c r="Z169" i="6"/>
  <c r="Z192" i="6"/>
  <c r="AB204" i="6"/>
  <c r="AF225" i="6"/>
  <c r="AH304" i="6"/>
  <c r="AF265" i="6"/>
  <c r="AE380" i="6"/>
  <c r="AJ377" i="6"/>
  <c r="AE335" i="6"/>
  <c r="Y342" i="6"/>
  <c r="AF386" i="6"/>
  <c r="Z433" i="6"/>
  <c r="AH12" i="6"/>
  <c r="AH31" i="6"/>
  <c r="AB141" i="6"/>
  <c r="AI173" i="6"/>
  <c r="Y190" i="6"/>
  <c r="AE182" i="6"/>
  <c r="AI169" i="6"/>
  <c r="Y222" i="6"/>
  <c r="AE204" i="6"/>
  <c r="AG228" i="6"/>
  <c r="AH335" i="6"/>
  <c r="AB342" i="6"/>
  <c r="AF169" i="6"/>
  <c r="AH230" i="6"/>
  <c r="Y31" i="6"/>
  <c r="AE45" i="6"/>
  <c r="AF69" i="6"/>
  <c r="Z69" i="6"/>
  <c r="Z159" i="6"/>
  <c r="AF173" i="6"/>
  <c r="AB222" i="6"/>
  <c r="AJ228" i="6"/>
  <c r="AD383" i="6"/>
  <c r="AJ398" i="6"/>
  <c r="AD398" i="6"/>
  <c r="AJ361" i="6"/>
  <c r="Y448" i="6"/>
  <c r="AD540" i="6"/>
  <c r="AB472" i="6"/>
  <c r="AI98" i="6"/>
  <c r="AE46" i="6"/>
  <c r="AB12" i="6"/>
  <c r="AB130" i="6"/>
  <c r="AJ109" i="6"/>
  <c r="AC159" i="6"/>
  <c r="AJ383" i="6"/>
  <c r="AA361" i="6"/>
  <c r="AB433" i="6"/>
  <c r="AE448" i="6"/>
  <c r="AA483" i="6"/>
  <c r="AF529" i="6"/>
  <c r="AG540" i="6"/>
  <c r="AF98" i="6"/>
  <c r="AE222" i="6"/>
  <c r="AC242" i="6"/>
  <c r="AB28" i="6"/>
  <c r="Y48" i="6"/>
  <c r="AE73" i="6"/>
  <c r="AG109" i="6"/>
  <c r="Z161" i="6"/>
  <c r="Z137" i="6"/>
  <c r="AF159" i="6"/>
  <c r="AB206" i="6"/>
  <c r="AF242" i="6"/>
  <c r="AG216" i="6"/>
  <c r="Y277" i="6"/>
  <c r="AI386" i="6"/>
  <c r="AJ400" i="6"/>
  <c r="Z450" i="6"/>
  <c r="Y496" i="6"/>
  <c r="AI529" i="6"/>
  <c r="Z457" i="6"/>
  <c r="AJ540" i="6"/>
  <c r="AJ483" i="6"/>
  <c r="AI210" i="6"/>
  <c r="AJ245" i="6"/>
  <c r="Y472" i="6"/>
  <c r="AE48" i="6"/>
  <c r="AB73" i="6"/>
  <c r="Y206" i="6"/>
  <c r="AD228" i="6"/>
  <c r="AE28" i="6"/>
  <c r="AH73" i="6"/>
  <c r="AC89" i="6"/>
  <c r="AA109" i="6"/>
  <c r="AC137" i="6"/>
  <c r="Y165" i="6"/>
  <c r="AE206" i="6"/>
  <c r="AC225" i="6"/>
  <c r="Z242" i="6"/>
  <c r="AJ216" i="6"/>
  <c r="AA209" i="6"/>
  <c r="AB277" i="6"/>
  <c r="AD400" i="6"/>
  <c r="AE433" i="6"/>
  <c r="AC450" i="6"/>
  <c r="AB496" i="6"/>
  <c r="AC529" i="6"/>
  <c r="AC457" i="6"/>
  <c r="AG483" i="6"/>
  <c r="Z210" i="6"/>
  <c r="AD401" i="6"/>
  <c r="AH130" i="6"/>
  <c r="AF137" i="6"/>
  <c r="AE165" i="6"/>
  <c r="AG165" i="6"/>
  <c r="AC206" i="6"/>
  <c r="AA216" i="6"/>
  <c r="AD209" i="6"/>
  <c r="AG198" i="6"/>
  <c r="AE277" i="6"/>
  <c r="AG291" i="6"/>
  <c r="AH433" i="6"/>
  <c r="AI450" i="6"/>
  <c r="AD463" i="6"/>
  <c r="AE496" i="6"/>
  <c r="AH457" i="6"/>
  <c r="AH448" i="6"/>
  <c r="AA134" i="6"/>
  <c r="AG209" i="6"/>
  <c r="AA198" i="6"/>
  <c r="AJ291" i="6"/>
  <c r="AD404" i="6"/>
  <c r="AA398" i="6"/>
  <c r="AG463" i="6"/>
  <c r="Y457" i="6"/>
  <c r="AG40" i="6"/>
  <c r="Y156" i="6"/>
  <c r="AB31" i="6"/>
  <c r="Y18" i="6"/>
  <c r="AH177" i="6"/>
  <c r="AA291" i="6"/>
  <c r="AJ404" i="6"/>
  <c r="AC75" i="6"/>
  <c r="AG104" i="6"/>
  <c r="AF261" i="6"/>
  <c r="AI295" i="6"/>
  <c r="Z362" i="6"/>
  <c r="AB339" i="6"/>
  <c r="AD320" i="6"/>
  <c r="AG386" i="6"/>
  <c r="AG55" i="6"/>
  <c r="AC277" i="6"/>
  <c r="AE339" i="6"/>
  <c r="AD326" i="6"/>
  <c r="Y386" i="6"/>
  <c r="AJ55" i="6"/>
  <c r="AI203" i="6"/>
  <c r="AF277" i="6"/>
  <c r="Z372" i="6"/>
  <c r="AB374" i="6"/>
  <c r="AJ402" i="6"/>
  <c r="AH339" i="6"/>
  <c r="AH350" i="6"/>
  <c r="Z114" i="6"/>
  <c r="AI277" i="6"/>
  <c r="AC372" i="6"/>
  <c r="AI372" i="6"/>
  <c r="AJ339" i="6"/>
  <c r="AE5" i="6"/>
  <c r="AF32" i="6"/>
  <c r="AD55" i="6"/>
  <c r="AH219" i="6"/>
  <c r="AJ244" i="6"/>
  <c r="AA339" i="6"/>
  <c r="AB350" i="6"/>
  <c r="Y431" i="6"/>
  <c r="AD386" i="6"/>
  <c r="AH5" i="6"/>
  <c r="AI32" i="6"/>
  <c r="Z251" i="6"/>
  <c r="Y219" i="6"/>
  <c r="AD244" i="6"/>
  <c r="AD339" i="6"/>
  <c r="AB393" i="6"/>
  <c r="AJ354" i="6"/>
  <c r="AB431" i="6"/>
  <c r="AD403" i="6"/>
  <c r="AE219" i="6"/>
  <c r="AG244" i="6"/>
  <c r="Y350" i="6"/>
  <c r="Z40" i="6"/>
  <c r="AI114" i="6"/>
  <c r="AD227" i="6"/>
  <c r="AH334" i="6"/>
  <c r="AE431" i="6"/>
  <c r="AE393" i="6"/>
  <c r="Y5" i="6"/>
  <c r="Z32" i="6"/>
  <c r="AE53" i="6"/>
  <c r="AD126" i="6"/>
  <c r="AC114" i="6"/>
  <c r="AH171" i="6"/>
  <c r="Y290" i="6"/>
  <c r="Y334" i="6"/>
  <c r="AJ364" i="6"/>
  <c r="AH553" i="6"/>
  <c r="AG128" i="6"/>
  <c r="AB334" i="6"/>
  <c r="AA364" i="6"/>
  <c r="Z507" i="6"/>
  <c r="Y553" i="6"/>
  <c r="AA104" i="6"/>
  <c r="AF75" i="6"/>
  <c r="AH67" i="6"/>
  <c r="AF40" i="6"/>
  <c r="Z118" i="6"/>
  <c r="AH306" i="6"/>
  <c r="AD364" i="6"/>
  <c r="AC507" i="6"/>
  <c r="AB553" i="6"/>
  <c r="AI40" i="6"/>
  <c r="AG153" i="6"/>
  <c r="AF507" i="6"/>
  <c r="Z75" i="6"/>
  <c r="AJ153" i="6"/>
  <c r="AH557" i="6"/>
  <c r="AJ403" i="6"/>
  <c r="AJ112" i="6"/>
  <c r="AA153" i="6"/>
  <c r="AE207" i="6"/>
  <c r="AJ424" i="6"/>
  <c r="Y557" i="6"/>
  <c r="AF118" i="6"/>
  <c r="AI157" i="6"/>
  <c r="AH207" i="6"/>
  <c r="AC295" i="6"/>
  <c r="AI317" i="6"/>
  <c r="AA402" i="6"/>
  <c r="AH53" i="6"/>
  <c r="Y82" i="6"/>
  <c r="AH118" i="6"/>
  <c r="AE158" i="6"/>
  <c r="AB118" i="6"/>
  <c r="AF145" i="6"/>
  <c r="AE194" i="6"/>
  <c r="AC204" i="6"/>
  <c r="AH344" i="6"/>
  <c r="Z342" i="6"/>
  <c r="AG362" i="6"/>
  <c r="AI382" i="6"/>
  <c r="AF380" i="6"/>
  <c r="AG437" i="6"/>
  <c r="AJ138" i="6"/>
  <c r="AH402" i="6"/>
  <c r="Y402" i="6"/>
  <c r="AE144" i="6"/>
  <c r="Y344" i="6"/>
  <c r="Y434" i="6"/>
  <c r="AJ437" i="6"/>
  <c r="AG138" i="6"/>
  <c r="AC342" i="6"/>
  <c r="AI380" i="6"/>
  <c r="AI34" i="6"/>
  <c r="AF38" i="6"/>
  <c r="AF55" i="6"/>
  <c r="Y95" i="6"/>
  <c r="AH82" i="6"/>
  <c r="AE125" i="6"/>
  <c r="AH144" i="6"/>
  <c r="AF204" i="6"/>
  <c r="AB344" i="6"/>
  <c r="AF342" i="6"/>
  <c r="AH397" i="6"/>
  <c r="Z380" i="6"/>
  <c r="AB434" i="6"/>
  <c r="AC34" i="6"/>
  <c r="AC55" i="6"/>
  <c r="AE82" i="6"/>
  <c r="AI145" i="6"/>
  <c r="AI38" i="6"/>
  <c r="AD78" i="6"/>
  <c r="AI55" i="6"/>
  <c r="Y144" i="6"/>
  <c r="AI223" i="6"/>
  <c r="Z345" i="6"/>
  <c r="AH434" i="6"/>
  <c r="AH507" i="6"/>
  <c r="AB523" i="6"/>
  <c r="AC38" i="6"/>
  <c r="AA54" i="6"/>
  <c r="AJ78" i="6"/>
  <c r="AA56" i="6"/>
  <c r="Z91" i="6"/>
  <c r="AF138" i="6"/>
  <c r="AJ181" i="6"/>
  <c r="AC223" i="6"/>
  <c r="AE402" i="6"/>
  <c r="AE445" i="6"/>
  <c r="AJ552" i="6"/>
  <c r="AH523" i="6"/>
  <c r="AA556" i="6"/>
  <c r="AH158" i="6"/>
  <c r="AG78" i="6"/>
  <c r="AE523" i="6"/>
  <c r="AE79" i="6"/>
  <c r="AG61" i="6"/>
  <c r="AE62" i="6"/>
  <c r="AD56" i="6"/>
  <c r="AC138" i="6"/>
  <c r="AG181" i="6"/>
  <c r="AC222" i="6"/>
  <c r="AF223" i="6"/>
  <c r="AH308" i="6"/>
  <c r="AB351" i="6"/>
  <c r="AF414" i="6"/>
  <c r="AA437" i="6"/>
  <c r="Y445" i="6"/>
  <c r="AD556" i="6"/>
  <c r="AI204" i="6"/>
  <c r="AH139" i="6"/>
  <c r="AD54" i="6"/>
  <c r="AG54" i="6"/>
  <c r="AJ61" i="6"/>
  <c r="AH62" i="6"/>
  <c r="AG56" i="6"/>
  <c r="AC91" i="6"/>
  <c r="AD138" i="6"/>
  <c r="AH143" i="6"/>
  <c r="AE146" i="6"/>
  <c r="AC273" i="6"/>
  <c r="AE351" i="6"/>
  <c r="AB397" i="6"/>
  <c r="AG389" i="6"/>
  <c r="AJ476" i="6"/>
  <c r="AJ389" i="6"/>
  <c r="AE139" i="6"/>
  <c r="AA61" i="6"/>
  <c r="Y62" i="6"/>
  <c r="AA107" i="6"/>
  <c r="Y111" i="6"/>
  <c r="AB139" i="6"/>
  <c r="AH146" i="6"/>
  <c r="Y194" i="6"/>
  <c r="AF273" i="6"/>
  <c r="AH351" i="6"/>
  <c r="AG476" i="6"/>
  <c r="AB111" i="6"/>
  <c r="AE111" i="6"/>
  <c r="AC143" i="6"/>
  <c r="AI221" i="6"/>
  <c r="Z336" i="6"/>
  <c r="AI392" i="6"/>
  <c r="AJ372" i="6"/>
  <c r="AB445" i="6"/>
  <c r="Y507" i="6"/>
  <c r="AB529" i="6"/>
  <c r="Z143" i="6"/>
  <c r="AF91" i="6"/>
  <c r="AF143" i="6"/>
  <c r="Z221" i="6"/>
  <c r="AA211" i="6"/>
  <c r="AC336" i="6"/>
  <c r="AB507" i="6"/>
  <c r="AE529" i="6"/>
  <c r="AD140" i="6"/>
  <c r="Y224" i="6"/>
  <c r="AG238" i="6"/>
  <c r="AJ211" i="6"/>
  <c r="AJ371" i="6"/>
  <c r="AI336" i="6"/>
  <c r="AH529" i="6"/>
  <c r="AT419" i="1"/>
  <c r="AB95" i="6"/>
  <c r="Y121" i="6"/>
  <c r="AE106" i="6"/>
  <c r="AA140" i="6"/>
  <c r="Y143" i="6"/>
  <c r="AB224" i="6"/>
  <c r="AJ238" i="6"/>
  <c r="AJ362" i="6"/>
  <c r="AA371" i="6"/>
  <c r="Y397" i="6"/>
  <c r="Y490" i="6"/>
  <c r="AJ7" i="6"/>
  <c r="AE95" i="6"/>
  <c r="AE121" i="6"/>
  <c r="AH106" i="6"/>
  <c r="Y158" i="6"/>
  <c r="AB143" i="6"/>
  <c r="AA181" i="6"/>
  <c r="AE224" i="6"/>
  <c r="AD238" i="6"/>
  <c r="AF365" i="6"/>
  <c r="AA476" i="6"/>
  <c r="AB490" i="6"/>
  <c r="Y146" i="6"/>
  <c r="AH121" i="6"/>
  <c r="AB106" i="6"/>
  <c r="AI365" i="6"/>
  <c r="AD389" i="6"/>
  <c r="Z414" i="6"/>
  <c r="AE490" i="6"/>
  <c r="AB272" i="6"/>
  <c r="AG326" i="6"/>
  <c r="AJ13" i="6"/>
  <c r="AD5" i="6"/>
  <c r="AF30" i="6"/>
  <c r="AI61" i="6"/>
  <c r="AH151" i="6"/>
  <c r="Y151" i="6"/>
  <c r="AA151" i="6"/>
  <c r="Y181" i="6"/>
  <c r="AA205" i="6"/>
  <c r="AB207" i="6"/>
  <c r="AI281" i="6"/>
  <c r="AA279" i="6"/>
  <c r="AB325" i="6"/>
  <c r="AH381" i="6"/>
  <c r="AJ326" i="6"/>
  <c r="AJ384" i="6"/>
  <c r="AC392" i="6"/>
  <c r="AJ436" i="6"/>
  <c r="Y461" i="6"/>
  <c r="AE459" i="6"/>
  <c r="AE502" i="6"/>
  <c r="AA391" i="6"/>
  <c r="AH41" i="6"/>
  <c r="AH79" i="6"/>
  <c r="AG151" i="6"/>
  <c r="Y343" i="6"/>
  <c r="AF8" i="6"/>
  <c r="AI494" i="6"/>
  <c r="Z17" i="6"/>
  <c r="AG5" i="6"/>
  <c r="Z61" i="6"/>
  <c r="AI129" i="6"/>
  <c r="AB151" i="6"/>
  <c r="AD205" i="6"/>
  <c r="AJ315" i="6"/>
  <c r="AE325" i="6"/>
  <c r="AF329" i="6"/>
  <c r="Z393" i="6"/>
  <c r="AA436" i="6"/>
  <c r="AB461" i="6"/>
  <c r="AG279" i="6"/>
  <c r="AJ279" i="6"/>
  <c r="AB459" i="6"/>
  <c r="AI30" i="6"/>
  <c r="AB18" i="6"/>
  <c r="AJ5" i="6"/>
  <c r="Z30" i="6"/>
  <c r="AA62" i="6"/>
  <c r="Z129" i="6"/>
  <c r="Z165" i="6"/>
  <c r="Y200" i="6"/>
  <c r="AG205" i="6"/>
  <c r="AI243" i="6"/>
  <c r="AH325" i="6"/>
  <c r="AI329" i="6"/>
  <c r="AC364" i="6"/>
  <c r="AC393" i="6"/>
  <c r="AB426" i="6"/>
  <c r="AD436" i="6"/>
  <c r="AE462" i="6"/>
  <c r="AE461" i="6"/>
  <c r="Z201" i="6"/>
  <c r="AF392" i="6"/>
  <c r="Z23" i="6"/>
  <c r="AD62" i="6"/>
  <c r="AG113" i="6"/>
  <c r="AE200" i="6"/>
  <c r="Z243" i="6"/>
  <c r="AG295" i="6"/>
  <c r="Z328" i="6"/>
  <c r="AJ365" i="6"/>
  <c r="Z329" i="6"/>
  <c r="Y381" i="6"/>
  <c r="AD266" i="6"/>
  <c r="AF393" i="6"/>
  <c r="AF410" i="6"/>
  <c r="AH462" i="6"/>
  <c r="AI201" i="6"/>
  <c r="AA384" i="6"/>
  <c r="Y459" i="6"/>
  <c r="Z8" i="6"/>
  <c r="AB4" i="6"/>
  <c r="AB17" i="6"/>
  <c r="AI23" i="6"/>
  <c r="AC23" i="6"/>
  <c r="AG62" i="6"/>
  <c r="Y119" i="6"/>
  <c r="AA113" i="6"/>
  <c r="AA155" i="6"/>
  <c r="AF243" i="6"/>
  <c r="Y218" i="6"/>
  <c r="AE233" i="6"/>
  <c r="AJ295" i="6"/>
  <c r="AE284" i="6"/>
  <c r="AC328" i="6"/>
  <c r="AI330" i="6"/>
  <c r="AG384" i="6"/>
  <c r="AA388" i="6"/>
  <c r="AJ388" i="6"/>
  <c r="AJ426" i="6"/>
  <c r="Y476" i="6"/>
  <c r="AC539" i="6"/>
  <c r="AH446" i="6"/>
  <c r="AH18" i="6"/>
  <c r="Y4" i="6"/>
  <c r="AH17" i="6"/>
  <c r="AC18" i="6"/>
  <c r="AE4" i="6"/>
  <c r="AC17" i="6"/>
  <c r="AC60" i="6"/>
  <c r="AE119" i="6"/>
  <c r="AD113" i="6"/>
  <c r="Z190" i="6"/>
  <c r="AG208" i="6"/>
  <c r="AG224" i="6"/>
  <c r="AB218" i="6"/>
  <c r="AH233" i="6"/>
  <c r="AH284" i="6"/>
  <c r="AD322" i="6"/>
  <c r="AF328" i="6"/>
  <c r="AD421" i="6"/>
  <c r="AB476" i="6"/>
  <c r="AF531" i="6"/>
  <c r="AI8" i="6"/>
  <c r="AB24" i="6"/>
  <c r="AH119" i="6"/>
  <c r="AI190" i="6"/>
  <c r="AJ208" i="6"/>
  <c r="AJ224" i="6"/>
  <c r="AE218" i="6"/>
  <c r="AB233" i="6"/>
  <c r="AF256" i="6"/>
  <c r="Y284" i="6"/>
  <c r="Z341" i="6"/>
  <c r="AJ391" i="6"/>
  <c r="AE476" i="6"/>
  <c r="AI531" i="6"/>
  <c r="AI410" i="6"/>
  <c r="AG424" i="6"/>
  <c r="AF494" i="6"/>
  <c r="AG13" i="6"/>
  <c r="AE8" i="6"/>
  <c r="AE24" i="6"/>
  <c r="AH37" i="6"/>
  <c r="AA120" i="6"/>
  <c r="AF187" i="6"/>
  <c r="AA208" i="6"/>
  <c r="AA224" i="6"/>
  <c r="AE249" i="6"/>
  <c r="AI256" i="6"/>
  <c r="AG289" i="6"/>
  <c r="Y341" i="6"/>
  <c r="AD392" i="6"/>
  <c r="AG391" i="6"/>
  <c r="Z531" i="6"/>
  <c r="AF539" i="6"/>
  <c r="AJ225" i="6"/>
  <c r="AC36" i="6"/>
  <c r="AH24" i="6"/>
  <c r="AI36" i="6"/>
  <c r="AE41" i="6"/>
  <c r="AG120" i="6"/>
  <c r="AH249" i="6"/>
  <c r="AC256" i="6"/>
  <c r="AC269" i="6"/>
  <c r="AJ289" i="6"/>
  <c r="AH314" i="6"/>
  <c r="AH364" i="6"/>
  <c r="AH442" i="6"/>
  <c r="AI539" i="6"/>
  <c r="AH181" i="6"/>
  <c r="Z25" i="6"/>
  <c r="Z36" i="6"/>
  <c r="AD40" i="6"/>
  <c r="AJ120" i="6"/>
  <c r="Y105" i="6"/>
  <c r="AC129" i="6"/>
  <c r="AF190" i="6"/>
  <c r="AB249" i="6"/>
  <c r="AF269" i="6"/>
  <c r="AA289" i="6"/>
  <c r="Y364" i="6"/>
  <c r="AJ367" i="6"/>
  <c r="Y367" i="6"/>
  <c r="Y442" i="6"/>
  <c r="AA38" i="6"/>
  <c r="Y17" i="6"/>
  <c r="AC25" i="6"/>
  <c r="Y147" i="6"/>
  <c r="AC165" i="6"/>
  <c r="AI269" i="6"/>
  <c r="AC279" i="6"/>
  <c r="AG275" i="6"/>
  <c r="AD295" i="6"/>
  <c r="AE345" i="6"/>
  <c r="AF364" i="6"/>
  <c r="AI364" i="6"/>
  <c r="AE442" i="6"/>
  <c r="AD13" i="6"/>
  <c r="AH147" i="6"/>
  <c r="AB200" i="6"/>
  <c r="AB181" i="6"/>
  <c r="AF281" i="6"/>
  <c r="AD424" i="6"/>
  <c r="AA40" i="6"/>
  <c r="AG72" i="6"/>
  <c r="AB147" i="6"/>
  <c r="AI165" i="6"/>
  <c r="AJ275" i="6"/>
  <c r="AH345" i="6"/>
  <c r="Z330" i="6"/>
  <c r="AJ379" i="6"/>
  <c r="Y481" i="6"/>
  <c r="Y41" i="6"/>
  <c r="AC27" i="6"/>
  <c r="AJ72" i="6"/>
  <c r="AB79" i="6"/>
  <c r="AA225" i="6"/>
  <c r="AA275" i="6"/>
  <c r="AB381" i="6"/>
  <c r="AG379" i="6"/>
  <c r="Z410" i="6"/>
  <c r="AE67" i="6"/>
  <c r="AB61" i="6"/>
  <c r="AH89" i="6"/>
  <c r="AF97" i="6"/>
  <c r="AG112" i="6"/>
  <c r="Z127" i="6"/>
  <c r="AC183" i="6"/>
  <c r="AE221" i="6"/>
  <c r="AA215" i="6"/>
  <c r="AG226" i="6"/>
  <c r="AF309" i="6"/>
  <c r="AG331" i="6"/>
  <c r="AJ396" i="6"/>
  <c r="AG345" i="6"/>
  <c r="AA390" i="6"/>
  <c r="AH502" i="6"/>
  <c r="AG16" i="6"/>
  <c r="AC147" i="6"/>
  <c r="AF63" i="6"/>
  <c r="AF147" i="6"/>
  <c r="AE270" i="6"/>
  <c r="AH255" i="6"/>
  <c r="AB502" i="6"/>
  <c r="Z183" i="6"/>
  <c r="AE124" i="6"/>
  <c r="Y58" i="6"/>
  <c r="AI63" i="6"/>
  <c r="AD104" i="6"/>
  <c r="Y124" i="6"/>
  <c r="AI147" i="6"/>
  <c r="AH152" i="6"/>
  <c r="AJ187" i="6"/>
  <c r="AA188" i="6"/>
  <c r="AB226" i="6"/>
  <c r="AH270" i="6"/>
  <c r="AG281" i="6"/>
  <c r="AE255" i="6"/>
  <c r="AB331" i="6"/>
  <c r="Z352" i="6"/>
  <c r="AH481" i="6"/>
  <c r="AI183" i="6"/>
  <c r="AH58" i="6"/>
  <c r="AF71" i="6"/>
  <c r="AB58" i="6"/>
  <c r="AB124" i="6"/>
  <c r="Y152" i="6"/>
  <c r="AH226" i="6"/>
  <c r="Y270" i="6"/>
  <c r="AJ281" i="6"/>
  <c r="AJ331" i="6"/>
  <c r="AF331" i="6"/>
  <c r="AA396" i="6"/>
  <c r="AC352" i="6"/>
  <c r="AE440" i="6"/>
  <c r="AH61" i="6"/>
  <c r="AH108" i="6"/>
  <c r="Y226" i="6"/>
  <c r="Z63" i="6"/>
  <c r="AJ36" i="6"/>
  <c r="Y59" i="6"/>
  <c r="Y67" i="6"/>
  <c r="Z71" i="6"/>
  <c r="AC71" i="6"/>
  <c r="AI84" i="6"/>
  <c r="AB212" i="6"/>
  <c r="AG271" i="6"/>
  <c r="AA281" i="6"/>
  <c r="AI333" i="6"/>
  <c r="AD331" i="6"/>
  <c r="Z331" i="6"/>
  <c r="AF352" i="6"/>
  <c r="AC401" i="6"/>
  <c r="AE481" i="6"/>
  <c r="AH504" i="6"/>
  <c r="Y89" i="6"/>
  <c r="AB108" i="6"/>
  <c r="AE152" i="6"/>
  <c r="AB59" i="6"/>
  <c r="AF239" i="6"/>
  <c r="AI217" i="6"/>
  <c r="Y293" i="6"/>
  <c r="AJ271" i="6"/>
  <c r="AJ329" i="6"/>
  <c r="Y313" i="6"/>
  <c r="AJ258" i="6"/>
  <c r="Z401" i="6"/>
  <c r="Y480" i="6"/>
  <c r="Y504" i="6"/>
  <c r="AB293" i="6"/>
  <c r="AA271" i="6"/>
  <c r="AF401" i="6"/>
  <c r="AB480" i="6"/>
  <c r="AB504" i="6"/>
  <c r="AB316" i="6"/>
  <c r="Z217" i="6"/>
  <c r="Y322" i="6"/>
  <c r="AF351" i="6"/>
  <c r="AC399" i="6"/>
  <c r="AE6" i="6"/>
  <c r="AJ16" i="6"/>
  <c r="AJ34" i="6"/>
  <c r="AH59" i="6"/>
  <c r="AG70" i="6"/>
  <c r="AB65" i="6"/>
  <c r="Y93" i="6"/>
  <c r="AF149" i="6"/>
  <c r="AC217" i="6"/>
  <c r="AJ236" i="6"/>
  <c r="AE293" i="6"/>
  <c r="AJ301" i="6"/>
  <c r="AE316" i="6"/>
  <c r="AF321" i="6"/>
  <c r="AD329" i="6"/>
  <c r="AH322" i="6"/>
  <c r="AI351" i="6"/>
  <c r="AF399" i="6"/>
  <c r="AE480" i="6"/>
  <c r="AE484" i="6"/>
  <c r="Y316" i="6"/>
  <c r="AD70" i="6"/>
  <c r="AC149" i="6"/>
  <c r="AH6" i="6"/>
  <c r="AD16" i="6"/>
  <c r="AA34" i="6"/>
  <c r="AJ70" i="6"/>
  <c r="AE65" i="6"/>
  <c r="AC97" i="6"/>
  <c r="AI149" i="6"/>
  <c r="Y167" i="6"/>
  <c r="AD236" i="6"/>
  <c r="Z332" i="6"/>
  <c r="AE322" i="6"/>
  <c r="Z315" i="6"/>
  <c r="Z399" i="6"/>
  <c r="Y484" i="6"/>
  <c r="AE488" i="6"/>
  <c r="AD159" i="6"/>
  <c r="AE169" i="6"/>
  <c r="AD258" i="6"/>
  <c r="AD34" i="6"/>
  <c r="AH65" i="6"/>
  <c r="AI112" i="6"/>
  <c r="Y148" i="6"/>
  <c r="AE167" i="6"/>
  <c r="Y285" i="6"/>
  <c r="AC332" i="6"/>
  <c r="AI377" i="6"/>
  <c r="AI315" i="6"/>
  <c r="AD390" i="6"/>
  <c r="AD409" i="6"/>
  <c r="AH488" i="6"/>
  <c r="AB167" i="6"/>
  <c r="AB6" i="6"/>
  <c r="AA329" i="6"/>
  <c r="AD66" i="6"/>
  <c r="AC112" i="6"/>
  <c r="AG149" i="6"/>
  <c r="AB169" i="6"/>
  <c r="AB285" i="6"/>
  <c r="AE324" i="6"/>
  <c r="AF332" i="6"/>
  <c r="AH368" i="6"/>
  <c r="AC315" i="6"/>
  <c r="Z338" i="6"/>
  <c r="AF355" i="6"/>
  <c r="AF391" i="6"/>
  <c r="AG409" i="6"/>
  <c r="Y488" i="6"/>
  <c r="AB484" i="6"/>
  <c r="AD9" i="6"/>
  <c r="AA36" i="6"/>
  <c r="AG66" i="6"/>
  <c r="AJ149" i="6"/>
  <c r="AH169" i="6"/>
  <c r="AJ183" i="6"/>
  <c r="AE285" i="6"/>
  <c r="AE268" i="6"/>
  <c r="AG309" i="6"/>
  <c r="AI309" i="6"/>
  <c r="Y368" i="6"/>
  <c r="AC338" i="6"/>
  <c r="AI355" i="6"/>
  <c r="AJ345" i="6"/>
  <c r="AI391" i="6"/>
  <c r="AJ409" i="6"/>
  <c r="AC447" i="6"/>
  <c r="AD226" i="6"/>
  <c r="AG236" i="6"/>
  <c r="AG9" i="6"/>
  <c r="AD36" i="6"/>
  <c r="AI48" i="6"/>
  <c r="AJ66" i="6"/>
  <c r="AB89" i="6"/>
  <c r="AA149" i="6"/>
  <c r="AH268" i="6"/>
  <c r="Z309" i="6"/>
  <c r="AF338" i="6"/>
  <c r="AD396" i="6"/>
  <c r="Z355" i="6"/>
  <c r="AA345" i="6"/>
  <c r="AJ390" i="6"/>
  <c r="AJ9" i="6"/>
  <c r="AC48" i="6"/>
  <c r="AA112" i="6"/>
  <c r="AI127" i="6"/>
  <c r="Y268" i="6"/>
  <c r="AH324" i="6"/>
  <c r="AH141" i="6"/>
  <c r="AC475" i="6"/>
  <c r="AT417" i="1"/>
  <c r="AT415" i="1"/>
  <c r="AG417" i="6"/>
  <c r="AG415" i="6"/>
  <c r="AD526" i="6"/>
  <c r="AI33" i="6"/>
  <c r="AF33" i="6"/>
  <c r="Z79" i="6"/>
  <c r="AC208" i="6"/>
  <c r="AG285" i="6"/>
  <c r="AC253" i="6"/>
  <c r="AA333" i="6"/>
  <c r="AB313" i="6"/>
  <c r="AD464" i="6"/>
  <c r="AI555" i="6"/>
  <c r="Z555" i="6"/>
  <c r="Y551" i="6"/>
  <c r="AI229" i="6"/>
  <c r="Y244" i="6"/>
  <c r="AJ285" i="6"/>
  <c r="AI253" i="6"/>
  <c r="AD333" i="6"/>
  <c r="AG464" i="6"/>
  <c r="Y163" i="6"/>
  <c r="Z229" i="6"/>
  <c r="AB244" i="6"/>
  <c r="AA285" i="6"/>
  <c r="Z253" i="6"/>
  <c r="AB163" i="6"/>
  <c r="AF229" i="6"/>
  <c r="AH244" i="6"/>
  <c r="AE286" i="6"/>
  <c r="AB551" i="6"/>
  <c r="AE163" i="6"/>
  <c r="AH286" i="6"/>
  <c r="AH295" i="6"/>
  <c r="AE551" i="6"/>
  <c r="AI220" i="6"/>
  <c r="AC102" i="6"/>
  <c r="AF191" i="6"/>
  <c r="Y286" i="6"/>
  <c r="AE295" i="6"/>
  <c r="AD53" i="6"/>
  <c r="Z102" i="6"/>
  <c r="AC191" i="6"/>
  <c r="AD179" i="6"/>
  <c r="Y295" i="6"/>
  <c r="AH346" i="6"/>
  <c r="Z411" i="6"/>
  <c r="AJ433" i="6"/>
  <c r="AD510" i="6"/>
  <c r="AI102" i="6"/>
  <c r="AJ179" i="6"/>
  <c r="AA213" i="6"/>
  <c r="AG234" i="6"/>
  <c r="AH232" i="6"/>
  <c r="Y291" i="6"/>
  <c r="AF376" i="6"/>
  <c r="Y346" i="6"/>
  <c r="AC411" i="6"/>
  <c r="AA433" i="6"/>
  <c r="AA510" i="6"/>
  <c r="AG179" i="6"/>
  <c r="AD213" i="6"/>
  <c r="AJ234" i="6"/>
  <c r="AB291" i="6"/>
  <c r="AB346" i="6"/>
  <c r="AF411" i="6"/>
  <c r="AD433" i="6"/>
  <c r="AH70" i="6"/>
  <c r="AG213" i="6"/>
  <c r="AD234" i="6"/>
  <c r="AE291" i="6"/>
  <c r="Z376" i="6"/>
  <c r="AG510" i="6"/>
  <c r="AA118" i="6"/>
  <c r="AD135" i="6"/>
  <c r="AJ127" i="6"/>
  <c r="AC376" i="6"/>
  <c r="AE70" i="6"/>
  <c r="AB70" i="6"/>
  <c r="AG118" i="6"/>
  <c r="AG127" i="6"/>
  <c r="AE239" i="6"/>
  <c r="Y477" i="6"/>
  <c r="AJ118" i="6"/>
  <c r="AH239" i="6"/>
  <c r="AB477" i="6"/>
  <c r="AB239" i="6"/>
  <c r="AG317" i="6"/>
  <c r="AJ357" i="6"/>
  <c r="AE313" i="6"/>
  <c r="AH332" i="6"/>
  <c r="AE477" i="6"/>
  <c r="Y482" i="6"/>
  <c r="AJ203" i="6"/>
  <c r="AA357" i="6"/>
  <c r="Y332" i="6"/>
  <c r="AG360" i="6"/>
  <c r="Z191" i="6"/>
  <c r="AH156" i="6"/>
  <c r="AI476" i="6"/>
  <c r="AI396" i="6"/>
  <c r="AC485" i="6"/>
  <c r="AC525" i="6"/>
  <c r="Z396" i="6"/>
  <c r="AH392" i="6"/>
  <c r="AF469" i="6"/>
  <c r="AB26" i="6"/>
  <c r="AH166" i="6"/>
  <c r="AI138" i="6"/>
  <c r="AE208" i="6"/>
  <c r="Y248" i="6"/>
  <c r="AB329" i="6"/>
  <c r="AG335" i="6"/>
  <c r="AB384" i="6"/>
  <c r="AJ335" i="6"/>
  <c r="AH363" i="6"/>
  <c r="Y469" i="6"/>
  <c r="AE26" i="6"/>
  <c r="AH193" i="6"/>
  <c r="AH208" i="6"/>
  <c r="AB248" i="6"/>
  <c r="AE329" i="6"/>
  <c r="AH384" i="6"/>
  <c r="AA335" i="6"/>
  <c r="Y363" i="6"/>
  <c r="AB469" i="6"/>
  <c r="AD395" i="6"/>
  <c r="AH26" i="6"/>
  <c r="Y273" i="6"/>
  <c r="AH329" i="6"/>
  <c r="AB363" i="6"/>
  <c r="AE469" i="6"/>
  <c r="AG505" i="6"/>
  <c r="AJ515" i="6"/>
  <c r="AA395" i="6"/>
  <c r="AB273" i="6"/>
  <c r="Z307" i="6"/>
  <c r="AD450" i="6"/>
  <c r="AG515" i="6"/>
  <c r="AJ63" i="6"/>
  <c r="AB189" i="6"/>
  <c r="AE273" i="6"/>
  <c r="AG395" i="6"/>
  <c r="AJ450" i="6"/>
  <c r="AB447" i="6"/>
  <c r="AA515" i="6"/>
  <c r="AA63" i="6"/>
  <c r="AC122" i="6"/>
  <c r="AE166" i="6"/>
  <c r="Y189" i="6"/>
  <c r="AH260" i="6"/>
  <c r="AC354" i="6"/>
  <c r="AG450" i="6"/>
  <c r="AH447" i="6"/>
  <c r="AD63" i="6"/>
  <c r="Y166" i="6"/>
  <c r="AH311" i="6"/>
  <c r="AE447" i="6"/>
  <c r="AD160" i="6"/>
  <c r="AE311" i="6"/>
  <c r="AE384" i="6"/>
  <c r="AI483" i="6"/>
  <c r="AG406" i="6"/>
  <c r="AH482" i="6"/>
  <c r="AD23" i="6"/>
  <c r="AJ160" i="6"/>
  <c r="AG160" i="6"/>
  <c r="AB193" i="6"/>
  <c r="Y311" i="6"/>
  <c r="AI354" i="6"/>
  <c r="AE482" i="6"/>
  <c r="Z483" i="6"/>
  <c r="AJ406" i="6"/>
  <c r="AF438" i="6"/>
  <c r="AC483" i="6"/>
  <c r="AA406" i="6"/>
  <c r="AJ23" i="6"/>
  <c r="AE178" i="6"/>
  <c r="AC151" i="6"/>
  <c r="AG218" i="6"/>
  <c r="Y269" i="6"/>
  <c r="AC438" i="6"/>
  <c r="AG23" i="6"/>
  <c r="Z45" i="6"/>
  <c r="AD76" i="6"/>
  <c r="AF151" i="6"/>
  <c r="AI174" i="6"/>
  <c r="AD206" i="6"/>
  <c r="AG202" i="6"/>
  <c r="AJ218" i="6"/>
  <c r="AB269" i="6"/>
  <c r="AI438" i="6"/>
  <c r="AG76" i="6"/>
  <c r="AI151" i="6"/>
  <c r="AH189" i="6"/>
  <c r="AJ202" i="6"/>
  <c r="AA218" i="6"/>
  <c r="AE269" i="6"/>
  <c r="AB337" i="6"/>
  <c r="Y500" i="6"/>
  <c r="AC45" i="6"/>
  <c r="AJ76" i="6"/>
  <c r="AA202" i="6"/>
  <c r="Y232" i="6"/>
  <c r="AC271" i="6"/>
  <c r="AH337" i="6"/>
  <c r="AB500" i="6"/>
  <c r="AA323" i="6"/>
  <c r="AD323" i="6"/>
  <c r="AI45" i="6"/>
  <c r="AE232" i="6"/>
  <c r="AF271" i="6"/>
  <c r="AB436" i="6"/>
  <c r="AE500" i="6"/>
  <c r="AF525" i="6"/>
  <c r="Y35" i="6"/>
  <c r="AC106" i="6"/>
  <c r="AC126" i="6"/>
  <c r="AE134" i="6"/>
  <c r="AF153" i="6"/>
  <c r="AD139" i="6"/>
  <c r="AA165" i="6"/>
  <c r="AB176" i="6"/>
  <c r="AD330" i="6"/>
  <c r="AG444" i="6"/>
  <c r="AD454" i="6"/>
  <c r="AE38" i="6"/>
  <c r="AB35" i="6"/>
  <c r="AF106" i="6"/>
  <c r="AF126" i="6"/>
  <c r="Y134" i="6"/>
  <c r="AI153" i="6"/>
  <c r="AG139" i="6"/>
  <c r="AB223" i="6"/>
  <c r="AD356" i="6"/>
  <c r="AG330" i="6"/>
  <c r="AA444" i="6"/>
  <c r="AC455" i="6"/>
  <c r="AC510" i="6"/>
  <c r="AG454" i="6"/>
  <c r="AB81" i="6"/>
  <c r="AH110" i="6"/>
  <c r="AJ139" i="6"/>
  <c r="AI211" i="6"/>
  <c r="AA223" i="6"/>
  <c r="Z181" i="6"/>
  <c r="AF198" i="6"/>
  <c r="AG356" i="6"/>
  <c r="AF368" i="6"/>
  <c r="AA347" i="6"/>
  <c r="AJ330" i="6"/>
  <c r="AF455" i="6"/>
  <c r="AC54" i="6"/>
  <c r="AH81" i="6"/>
  <c r="AE110" i="6"/>
  <c r="AD223" i="6"/>
  <c r="AI181" i="6"/>
  <c r="AI198" i="6"/>
  <c r="AJ356" i="6"/>
  <c r="AI455" i="6"/>
  <c r="AE35" i="6"/>
  <c r="Z54" i="6"/>
  <c r="Y110" i="6"/>
  <c r="AH145" i="6"/>
  <c r="AG223" i="6"/>
  <c r="AI227" i="6"/>
  <c r="AF181" i="6"/>
  <c r="AC198" i="6"/>
  <c r="AI368" i="6"/>
  <c r="AB412" i="6"/>
  <c r="AD7" i="6"/>
  <c r="AI126" i="6"/>
  <c r="Z227" i="6"/>
  <c r="AE225" i="6"/>
  <c r="AE259" i="6"/>
  <c r="Y375" i="6"/>
  <c r="AF418" i="6"/>
  <c r="AG7" i="6"/>
  <c r="Y161" i="6"/>
  <c r="AF227" i="6"/>
  <c r="AH225" i="6"/>
  <c r="Y259" i="6"/>
  <c r="AH375" i="6"/>
  <c r="AB161" i="6"/>
  <c r="AB225" i="6"/>
  <c r="AE310" i="6"/>
  <c r="AH259" i="6"/>
  <c r="AB375" i="6"/>
  <c r="AC418" i="6"/>
  <c r="AD15" i="6"/>
  <c r="AG155" i="6"/>
  <c r="AE161" i="6"/>
  <c r="Y176" i="6"/>
  <c r="AG347" i="6"/>
  <c r="AI418" i="6"/>
  <c r="AD155" i="6"/>
  <c r="AJ165" i="6"/>
  <c r="AC163" i="6"/>
  <c r="AE176" i="6"/>
  <c r="AE274" i="6"/>
  <c r="AA312" i="6"/>
  <c r="AD348" i="6"/>
  <c r="AE305" i="6"/>
  <c r="Y145" i="6"/>
  <c r="AF163" i="6"/>
  <c r="AH175" i="6"/>
  <c r="AH274" i="6"/>
  <c r="AD312" i="6"/>
  <c r="AB333" i="6"/>
  <c r="AG348" i="6"/>
  <c r="AH305" i="6"/>
  <c r="AG393" i="6"/>
  <c r="Y473" i="6"/>
  <c r="AE464" i="6"/>
  <c r="Y81" i="6"/>
  <c r="AB145" i="6"/>
  <c r="AI163" i="6"/>
  <c r="AB175" i="6"/>
  <c r="Y274" i="6"/>
  <c r="AE333" i="6"/>
  <c r="AJ348" i="6"/>
  <c r="Y305" i="6"/>
  <c r="AD342" i="6"/>
  <c r="AB473" i="6"/>
  <c r="AH464" i="6"/>
  <c r="AH168" i="6"/>
  <c r="AG33" i="6"/>
  <c r="AG53" i="6"/>
  <c r="AD86" i="6"/>
  <c r="Y175" i="6"/>
  <c r="AG342" i="6"/>
  <c r="Z368" i="6"/>
  <c r="AG429" i="6"/>
  <c r="AE473" i="6"/>
  <c r="Y464" i="6"/>
  <c r="Y514" i="6"/>
  <c r="AB168" i="6"/>
  <c r="AD33" i="6"/>
  <c r="AJ33" i="6"/>
  <c r="AJ53" i="6"/>
  <c r="AE168" i="6"/>
  <c r="AJ342" i="6"/>
  <c r="AJ429" i="6"/>
  <c r="Y444" i="6"/>
  <c r="AB514" i="6"/>
  <c r="AH444" i="6"/>
  <c r="AI54" i="6"/>
  <c r="AA429" i="6"/>
  <c r="AE444" i="6"/>
  <c r="AE467" i="6"/>
  <c r="AF388" i="6"/>
  <c r="AB327" i="6"/>
  <c r="Y458" i="6"/>
  <c r="Z470" i="6"/>
  <c r="AE412" i="6"/>
  <c r="Y420" i="6"/>
  <c r="AB420" i="6"/>
  <c r="AG513" i="6"/>
  <c r="AJ478" i="6"/>
  <c r="Z460" i="6"/>
  <c r="AH503" i="6"/>
  <c r="AD419" i="6"/>
  <c r="AA461" i="6"/>
  <c r="AA477" i="6"/>
  <c r="AE436" i="6"/>
  <c r="AJ419" i="6"/>
  <c r="AI460" i="6"/>
  <c r="AA481" i="6"/>
  <c r="AG481" i="6"/>
  <c r="AJ453" i="6"/>
  <c r="AH420" i="6"/>
  <c r="AJ140" i="6"/>
  <c r="AF476" i="6"/>
  <c r="AD536" i="6"/>
  <c r="AD440" i="6"/>
  <c r="AJ432" i="6"/>
  <c r="AI508" i="6"/>
  <c r="AF498" i="6"/>
  <c r="AE497" i="6"/>
  <c r="AH497" i="6"/>
  <c r="AI467" i="6"/>
  <c r="AH456" i="6"/>
  <c r="AG526" i="6"/>
  <c r="AH409" i="6"/>
  <c r="Z467" i="6"/>
  <c r="Y436" i="6"/>
  <c r="AI469" i="6"/>
  <c r="AI465" i="6"/>
  <c r="AH466" i="6"/>
  <c r="AE456" i="6"/>
  <c r="AG494" i="6"/>
  <c r="AJ494" i="6"/>
  <c r="Y407" i="6"/>
  <c r="Y456" i="6"/>
  <c r="AA494" i="6"/>
  <c r="AI525" i="6"/>
  <c r="AD469" i="6"/>
  <c r="AE414" i="6"/>
  <c r="AC425" i="6"/>
  <c r="AD474" i="6"/>
  <c r="AI470" i="6"/>
  <c r="AC458" i="6"/>
  <c r="AA413" i="6"/>
  <c r="AG461" i="6"/>
  <c r="AJ481" i="6"/>
  <c r="AE508" i="6"/>
  <c r="AI527" i="6"/>
  <c r="AF424" i="6"/>
  <c r="AA432" i="6"/>
  <c r="AB425" i="6"/>
  <c r="AE425" i="6"/>
  <c r="AJ526" i="6"/>
  <c r="AH518" i="6"/>
  <c r="AH458" i="6"/>
  <c r="AJ498" i="6"/>
  <c r="AI510" i="6"/>
  <c r="AG507" i="6"/>
  <c r="AH510" i="6"/>
  <c r="AG419" i="6"/>
  <c r="AG431" i="6"/>
  <c r="AA453" i="6"/>
  <c r="AC460" i="6"/>
  <c r="Z485" i="6"/>
  <c r="AH558" i="6"/>
  <c r="AC254" i="6"/>
  <c r="AJ461" i="6"/>
  <c r="AC476" i="6"/>
  <c r="AA455" i="6"/>
  <c r="AG520" i="6"/>
  <c r="AI432" i="6"/>
  <c r="AC432" i="6"/>
  <c r="AH412" i="6"/>
  <c r="AE454" i="6"/>
  <c r="AE458" i="6"/>
  <c r="AB25" i="6"/>
  <c r="Y43" i="6"/>
  <c r="Z27" i="6"/>
  <c r="Y50" i="6"/>
  <c r="AA86" i="6"/>
  <c r="AA116" i="6"/>
  <c r="AE105" i="6"/>
  <c r="AI122" i="6"/>
  <c r="AA129" i="6"/>
  <c r="AI161" i="6"/>
  <c r="AA184" i="6"/>
  <c r="AA206" i="6"/>
  <c r="AC237" i="6"/>
  <c r="AJ253" i="6"/>
  <c r="AF237" i="6"/>
  <c r="AG301" i="6"/>
  <c r="AD305" i="6"/>
  <c r="AG328" i="6"/>
  <c r="AJ352" i="6"/>
  <c r="AA327" i="6"/>
  <c r="AI344" i="6"/>
  <c r="AG354" i="6"/>
  <c r="AI400" i="6"/>
  <c r="AC512" i="6"/>
  <c r="AE50" i="6"/>
  <c r="AF27" i="6"/>
  <c r="AH50" i="6"/>
  <c r="AG52" i="6"/>
  <c r="AA99" i="6"/>
  <c r="AJ86" i="6"/>
  <c r="AJ116" i="6"/>
  <c r="AH105" i="6"/>
  <c r="AF122" i="6"/>
  <c r="AJ184" i="6"/>
  <c r="AF197" i="6"/>
  <c r="AD215" i="6"/>
  <c r="AG261" i="6"/>
  <c r="AJ306" i="6"/>
  <c r="AI331" i="6"/>
  <c r="AI370" i="6"/>
  <c r="AA421" i="6"/>
  <c r="AG473" i="6"/>
  <c r="AC470" i="6"/>
  <c r="AC473" i="6"/>
  <c r="Y406" i="6"/>
  <c r="AB547" i="6"/>
  <c r="AH43" i="6"/>
  <c r="AD11" i="6"/>
  <c r="AI29" i="6"/>
  <c r="AA52" i="6"/>
  <c r="AG132" i="6"/>
  <c r="AA137" i="6"/>
  <c r="AH172" i="6"/>
  <c r="AE240" i="6"/>
  <c r="AG200" i="6"/>
  <c r="AJ215" i="6"/>
  <c r="Y240" i="6"/>
  <c r="AF264" i="6"/>
  <c r="AD306" i="6"/>
  <c r="AD261" i="6"/>
  <c r="AC370" i="6"/>
  <c r="AF396" i="6"/>
  <c r="Y418" i="6"/>
  <c r="AG421" i="6"/>
  <c r="AI473" i="6"/>
  <c r="AH519" i="6"/>
  <c r="AE406" i="6"/>
  <c r="AD512" i="6"/>
  <c r="AG538" i="6"/>
  <c r="AE389" i="6"/>
  <c r="AH389" i="6"/>
  <c r="AC21" i="6"/>
  <c r="Z100" i="6"/>
  <c r="AE160" i="6"/>
  <c r="AE172" i="6"/>
  <c r="AA200" i="6"/>
  <c r="AB240" i="6"/>
  <c r="AI264" i="6"/>
  <c r="AB418" i="6"/>
  <c r="AA473" i="6"/>
  <c r="AH406" i="6"/>
  <c r="AF551" i="6"/>
  <c r="AA512" i="6"/>
  <c r="Y379" i="6"/>
  <c r="AG11" i="6"/>
  <c r="AJ11" i="6"/>
  <c r="AI21" i="6"/>
  <c r="AH33" i="6"/>
  <c r="AJ99" i="6"/>
  <c r="Y123" i="6"/>
  <c r="AI132" i="6"/>
  <c r="AE205" i="6"/>
  <c r="AJ200" i="6"/>
  <c r="AD211" i="6"/>
  <c r="Y220" i="6"/>
  <c r="AA252" i="6"/>
  <c r="AC264" i="6"/>
  <c r="AF322" i="6"/>
  <c r="Y389" i="6"/>
  <c r="AH373" i="6"/>
  <c r="AE418" i="6"/>
  <c r="AC465" i="6"/>
  <c r="AC459" i="6"/>
  <c r="AJ462" i="6"/>
  <c r="AC545" i="6"/>
  <c r="Z551" i="6"/>
  <c r="AG512" i="6"/>
  <c r="AD473" i="6"/>
  <c r="Z21" i="6"/>
  <c r="Y33" i="6"/>
  <c r="AE43" i="6"/>
  <c r="AE123" i="6"/>
  <c r="Z132" i="6"/>
  <c r="AF136" i="6"/>
  <c r="AH205" i="6"/>
  <c r="AB220" i="6"/>
  <c r="AB314" i="6"/>
  <c r="Z322" i="6"/>
  <c r="AJ351" i="6"/>
  <c r="AA380" i="6"/>
  <c r="Y373" i="6"/>
  <c r="AF366" i="6"/>
  <c r="AB449" i="6"/>
  <c r="AF465" i="6"/>
  <c r="Z454" i="6"/>
  <c r="AF459" i="6"/>
  <c r="AA462" i="6"/>
  <c r="AI412" i="6"/>
  <c r="AB33" i="6"/>
  <c r="AH123" i="6"/>
  <c r="AI136" i="6"/>
  <c r="AJ197" i="6"/>
  <c r="Y205" i="6"/>
  <c r="AI205" i="6"/>
  <c r="AE220" i="6"/>
  <c r="AC322" i="6"/>
  <c r="AA351" i="6"/>
  <c r="Z344" i="6"/>
  <c r="AB373" i="6"/>
  <c r="AI366" i="6"/>
  <c r="AG435" i="6"/>
  <c r="Y449" i="6"/>
  <c r="AA475" i="6"/>
  <c r="AD462" i="6"/>
  <c r="AC412" i="6"/>
  <c r="AI52" i="6"/>
  <c r="Z29" i="6"/>
  <c r="AH29" i="6"/>
  <c r="Z52" i="6"/>
  <c r="AE56" i="6"/>
  <c r="AC73" i="6"/>
  <c r="AA124" i="6"/>
  <c r="Z166" i="6"/>
  <c r="Z136" i="6"/>
  <c r="AA185" i="6"/>
  <c r="AG197" i="6"/>
  <c r="AE235" i="6"/>
  <c r="AJ180" i="6"/>
  <c r="Z205" i="6"/>
  <c r="Y317" i="6"/>
  <c r="AG299" i="6"/>
  <c r="AH356" i="6"/>
  <c r="Z326" i="6"/>
  <c r="AD351" i="6"/>
  <c r="AC344" i="6"/>
  <c r="Z366" i="6"/>
  <c r="AJ435" i="6"/>
  <c r="AD475" i="6"/>
  <c r="AI506" i="6"/>
  <c r="AF545" i="6"/>
  <c r="AD528" i="6"/>
  <c r="Z412" i="6"/>
  <c r="AB45" i="6"/>
  <c r="AD435" i="6"/>
  <c r="AA306" i="6"/>
  <c r="AC29" i="6"/>
  <c r="Y29" i="6"/>
  <c r="AF52" i="6"/>
  <c r="AH56" i="6"/>
  <c r="AG124" i="6"/>
  <c r="AJ156" i="6"/>
  <c r="AG143" i="6"/>
  <c r="AA197" i="6"/>
  <c r="AH235" i="6"/>
  <c r="AG180" i="6"/>
  <c r="AC205" i="6"/>
  <c r="AA264" i="6"/>
  <c r="AB317" i="6"/>
  <c r="AH303" i="6"/>
  <c r="AH348" i="6"/>
  <c r="AC326" i="6"/>
  <c r="AC469" i="6"/>
  <c r="AC477" i="6"/>
  <c r="AG475" i="6"/>
  <c r="Z506" i="6"/>
  <c r="AI545" i="6"/>
  <c r="AG528" i="6"/>
  <c r="Y125" i="6"/>
  <c r="AB8" i="6"/>
  <c r="AB29" i="6"/>
  <c r="AF73" i="6"/>
  <c r="Y56" i="6"/>
  <c r="AJ124" i="6"/>
  <c r="AJ143" i="6"/>
  <c r="AB235" i="6"/>
  <c r="Y236" i="6"/>
  <c r="AE303" i="6"/>
  <c r="Y348" i="6"/>
  <c r="AF326" i="6"/>
  <c r="AB355" i="6"/>
  <c r="AI394" i="6"/>
  <c r="AF477" i="6"/>
  <c r="AG99" i="6"/>
  <c r="AE288" i="6"/>
  <c r="AI296" i="6"/>
  <c r="Z259" i="6"/>
  <c r="AG305" i="6"/>
  <c r="Y303" i="6"/>
  <c r="AB348" i="6"/>
  <c r="AJ380" i="6"/>
  <c r="AE355" i="6"/>
  <c r="AJ394" i="6"/>
  <c r="AF394" i="6"/>
  <c r="AD423" i="6"/>
  <c r="AI477" i="6"/>
  <c r="AD552" i="6"/>
  <c r="AB470" i="6"/>
  <c r="Y519" i="6"/>
  <c r="AC213" i="6"/>
  <c r="AH8" i="6"/>
  <c r="AC166" i="6"/>
  <c r="AH236" i="6"/>
  <c r="Y287" i="6"/>
  <c r="AH288" i="6"/>
  <c r="Z296" i="6"/>
  <c r="AH317" i="6"/>
  <c r="AI259" i="6"/>
  <c r="AJ305" i="6"/>
  <c r="AJ325" i="6"/>
  <c r="AB343" i="6"/>
  <c r="AH355" i="6"/>
  <c r="AA394" i="6"/>
  <c r="Z394" i="6"/>
  <c r="AC426" i="6"/>
  <c r="AG552" i="6"/>
  <c r="AE470" i="6"/>
  <c r="AB521" i="6"/>
  <c r="AI166" i="6"/>
  <c r="AC84" i="6"/>
  <c r="AH25" i="6"/>
  <c r="Z84" i="6"/>
  <c r="AC161" i="6"/>
  <c r="AJ185" i="6"/>
  <c r="AG206" i="6"/>
  <c r="AI237" i="6"/>
  <c r="AB287" i="6"/>
  <c r="Y288" i="6"/>
  <c r="AC259" i="6"/>
  <c r="AI299" i="6"/>
  <c r="AA325" i="6"/>
  <c r="AG327" i="6"/>
  <c r="AD352" i="6"/>
  <c r="AE343" i="6"/>
  <c r="AH330" i="6"/>
  <c r="AB430" i="6"/>
  <c r="AF425" i="6"/>
  <c r="AI512" i="6"/>
  <c r="AH470" i="6"/>
  <c r="AE521" i="6"/>
  <c r="AJ544" i="6"/>
  <c r="AA143" i="6"/>
  <c r="AB236" i="6"/>
  <c r="AH125" i="6"/>
  <c r="Y25" i="6"/>
  <c r="AD184" i="6"/>
  <c r="AG185" i="6"/>
  <c r="AE287" i="6"/>
  <c r="AF299" i="6"/>
  <c r="AD325" i="6"/>
  <c r="AD328" i="6"/>
  <c r="AG352" i="6"/>
  <c r="AD380" i="6"/>
  <c r="AD394" i="6"/>
  <c r="Y330" i="6"/>
  <c r="AD354" i="6"/>
  <c r="Y425" i="6"/>
  <c r="AI425" i="6"/>
  <c r="AF553" i="6"/>
  <c r="AH521" i="6"/>
  <c r="AD301" i="6"/>
  <c r="AF180" i="6"/>
  <c r="AA45" i="6"/>
  <c r="AE131" i="6"/>
  <c r="AA135" i="6"/>
  <c r="AE157" i="6"/>
  <c r="AC211" i="6"/>
  <c r="Z230" i="6"/>
  <c r="AE199" i="6"/>
  <c r="AJ204" i="6"/>
  <c r="AE261" i="6"/>
  <c r="AH333" i="6"/>
  <c r="Z323" i="6"/>
  <c r="Y353" i="6"/>
  <c r="AF361" i="6"/>
  <c r="AE331" i="6"/>
  <c r="AI335" i="6"/>
  <c r="Y371" i="6"/>
  <c r="AJ417" i="6"/>
  <c r="Y485" i="6"/>
  <c r="AG508" i="6"/>
  <c r="AG546" i="6"/>
  <c r="AB485" i="6"/>
  <c r="AB39" i="6"/>
  <c r="Z220" i="6"/>
  <c r="Y237" i="6"/>
  <c r="AG45" i="6"/>
  <c r="AD31" i="6"/>
  <c r="AC110" i="6"/>
  <c r="AB136" i="6"/>
  <c r="AF211" i="6"/>
  <c r="AC245" i="6"/>
  <c r="Y199" i="6"/>
  <c r="Y234" i="6"/>
  <c r="Y202" i="6"/>
  <c r="AE237" i="6"/>
  <c r="AA204" i="6"/>
  <c r="Y309" i="6"/>
  <c r="Y261" i="6"/>
  <c r="AI361" i="6"/>
  <c r="AH331" i="6"/>
  <c r="Z335" i="6"/>
  <c r="AB371" i="6"/>
  <c r="AB432" i="6"/>
  <c r="Y452" i="6"/>
  <c r="AE485" i="6"/>
  <c r="AC487" i="6"/>
  <c r="AE515" i="6"/>
  <c r="AA508" i="6"/>
  <c r="AJ546" i="6"/>
  <c r="AH452" i="6"/>
  <c r="AB400" i="6"/>
  <c r="Y49" i="6"/>
  <c r="AA42" i="6"/>
  <c r="AJ65" i="6"/>
  <c r="AA65" i="6"/>
  <c r="Z110" i="6"/>
  <c r="AI107" i="6"/>
  <c r="AH116" i="6"/>
  <c r="AE136" i="6"/>
  <c r="AJ173" i="6"/>
  <c r="AF182" i="6"/>
  <c r="AE213" i="6"/>
  <c r="AC246" i="6"/>
  <c r="AH199" i="6"/>
  <c r="AB234" i="6"/>
  <c r="AB202" i="6"/>
  <c r="AH237" i="6"/>
  <c r="AB309" i="6"/>
  <c r="AB261" i="6"/>
  <c r="Z361" i="6"/>
  <c r="AE371" i="6"/>
  <c r="AE452" i="6"/>
  <c r="AB443" i="6"/>
  <c r="AF487" i="6"/>
  <c r="AD468" i="6"/>
  <c r="AD508" i="6"/>
  <c r="AH539" i="6"/>
  <c r="AE309" i="6"/>
  <c r="AE260" i="6"/>
  <c r="Y400" i="6"/>
  <c r="AJ45" i="6"/>
  <c r="AA532" i="6"/>
  <c r="AG31" i="6"/>
  <c r="AJ31" i="6"/>
  <c r="AH52" i="6"/>
  <c r="AD65" i="6"/>
  <c r="AI110" i="6"/>
  <c r="AC107" i="6"/>
  <c r="AH136" i="6"/>
  <c r="AD173" i="6"/>
  <c r="AD192" i="6"/>
  <c r="AJ193" i="6"/>
  <c r="AF220" i="6"/>
  <c r="AJ192" i="6"/>
  <c r="AH213" i="6"/>
  <c r="AF246" i="6"/>
  <c r="AH234" i="6"/>
  <c r="AE202" i="6"/>
  <c r="AE229" i="6"/>
  <c r="AC291" i="6"/>
  <c r="AE296" i="6"/>
  <c r="AF349" i="6"/>
  <c r="Z404" i="6"/>
  <c r="AJ431" i="6"/>
  <c r="AH443" i="6"/>
  <c r="AI487" i="6"/>
  <c r="AC496" i="6"/>
  <c r="AG468" i="6"/>
  <c r="Y497" i="6"/>
  <c r="AH516" i="6"/>
  <c r="AC551" i="6"/>
  <c r="AB506" i="6"/>
  <c r="AE547" i="6"/>
  <c r="AA554" i="6"/>
  <c r="AJ42" i="6"/>
  <c r="AE52" i="6"/>
  <c r="AC349" i="6"/>
  <c r="AG48" i="6"/>
  <c r="AC67" i="6"/>
  <c r="AF65" i="6"/>
  <c r="AF107" i="6"/>
  <c r="AF140" i="6"/>
  <c r="Y155" i="6"/>
  <c r="Y159" i="6"/>
  <c r="AI130" i="6"/>
  <c r="AA173" i="6"/>
  <c r="AA192" i="6"/>
  <c r="AG193" i="6"/>
  <c r="Y213" i="6"/>
  <c r="Z246" i="6"/>
  <c r="AH229" i="6"/>
  <c r="AA237" i="6"/>
  <c r="AF291" i="6"/>
  <c r="AH296" i="6"/>
  <c r="AB296" i="6"/>
  <c r="AI349" i="6"/>
  <c r="AB362" i="6"/>
  <c r="AF408" i="6"/>
  <c r="AA431" i="6"/>
  <c r="AE438" i="6"/>
  <c r="AC463" i="6"/>
  <c r="AE443" i="6"/>
  <c r="AF496" i="6"/>
  <c r="AJ468" i="6"/>
  <c r="AG487" i="6"/>
  <c r="Y506" i="6"/>
  <c r="AH547" i="6"/>
  <c r="AH555" i="6"/>
  <c r="Y52" i="6"/>
  <c r="AF230" i="6"/>
  <c r="AG47" i="6"/>
  <c r="CB403" i="1"/>
  <c r="AD27" i="6"/>
  <c r="AJ47" i="6"/>
  <c r="AD42" i="6"/>
  <c r="AA47" i="6"/>
  <c r="AI65" i="6"/>
  <c r="AI140" i="6"/>
  <c r="AB155" i="6"/>
  <c r="AB159" i="6"/>
  <c r="Z130" i="6"/>
  <c r="Z182" i="6"/>
  <c r="Z180" i="6"/>
  <c r="Z235" i="6"/>
  <c r="AB229" i="6"/>
  <c r="AD237" i="6"/>
  <c r="AI291" i="6"/>
  <c r="AI298" i="6"/>
  <c r="AD344" i="6"/>
  <c r="AC381" i="6"/>
  <c r="AH400" i="6"/>
  <c r="AC395" i="6"/>
  <c r="AC420" i="6"/>
  <c r="AE432" i="6"/>
  <c r="AF463" i="6"/>
  <c r="AC467" i="6"/>
  <c r="Z432" i="6"/>
  <c r="AI496" i="6"/>
  <c r="AJ487" i="6"/>
  <c r="AE499" i="6"/>
  <c r="AF535" i="6"/>
  <c r="AE506" i="6"/>
  <c r="AD522" i="6"/>
  <c r="AB549" i="6"/>
  <c r="Y416" i="6"/>
  <c r="AB148" i="6"/>
  <c r="AF335" i="6"/>
  <c r="AG27" i="6"/>
  <c r="Z68" i="6"/>
  <c r="Z65" i="6"/>
  <c r="Z140" i="6"/>
  <c r="AE155" i="6"/>
  <c r="AE159" i="6"/>
  <c r="AC130" i="6"/>
  <c r="AA163" i="6"/>
  <c r="AA193" i="6"/>
  <c r="AI182" i="6"/>
  <c r="AI180" i="6"/>
  <c r="AJ237" i="6"/>
  <c r="AH263" i="6"/>
  <c r="AH328" i="6"/>
  <c r="Z363" i="6"/>
  <c r="AI323" i="6"/>
  <c r="AH362" i="6"/>
  <c r="AB353" i="6"/>
  <c r="AH378" i="6"/>
  <c r="Z420" i="6"/>
  <c r="AI420" i="6"/>
  <c r="AH432" i="6"/>
  <c r="AI463" i="6"/>
  <c r="AF453" i="6"/>
  <c r="Y516" i="6"/>
  <c r="AA487" i="6"/>
  <c r="AH499" i="6"/>
  <c r="AC541" i="6"/>
  <c r="AG522" i="6"/>
  <c r="AD530" i="6"/>
  <c r="AE549" i="6"/>
  <c r="AB416" i="6"/>
  <c r="AJ27" i="6"/>
  <c r="AE39" i="6"/>
  <c r="Z67" i="6"/>
  <c r="AD164" i="6"/>
  <c r="AE263" i="6"/>
  <c r="Y356" i="6"/>
  <c r="AF323" i="6"/>
  <c r="Y362" i="6"/>
  <c r="Z377" i="6"/>
  <c r="AE353" i="6"/>
  <c r="AC397" i="6"/>
  <c r="AB378" i="6"/>
  <c r="Z422" i="6"/>
  <c r="AI407" i="6"/>
  <c r="Z453" i="6"/>
  <c r="AC492" i="6"/>
  <c r="AB516" i="6"/>
  <c r="AE491" i="6"/>
  <c r="Y499" i="6"/>
  <c r="Y466" i="6"/>
  <c r="AI505" i="6"/>
  <c r="AJ522" i="6"/>
  <c r="AG530" i="6"/>
  <c r="AH549" i="6"/>
  <c r="AE416" i="6"/>
  <c r="AH27" i="6"/>
  <c r="AF67" i="6"/>
  <c r="AI50" i="6"/>
  <c r="AD68" i="6"/>
  <c r="Z141" i="6"/>
  <c r="AB263" i="6"/>
  <c r="AI303" i="6"/>
  <c r="AB356" i="6"/>
  <c r="AB335" i="6"/>
  <c r="AJ387" i="6"/>
  <c r="AF397" i="6"/>
  <c r="AE378" i="6"/>
  <c r="Z407" i="6"/>
  <c r="AJ434" i="6"/>
  <c r="AI453" i="6"/>
  <c r="AF492" i="6"/>
  <c r="AH491" i="6"/>
  <c r="AC505" i="6"/>
  <c r="AD532" i="6"/>
  <c r="AD550" i="6"/>
  <c r="AC357" i="6"/>
  <c r="AF213" i="6"/>
  <c r="Y27" i="6"/>
  <c r="AH49" i="6"/>
  <c r="AF50" i="6"/>
  <c r="AG68" i="6"/>
  <c r="AC141" i="6"/>
  <c r="AD141" i="6"/>
  <c r="AD199" i="6"/>
  <c r="AD171" i="6"/>
  <c r="Y228" i="6"/>
  <c r="AG303" i="6"/>
  <c r="AC319" i="6"/>
  <c r="Y265" i="6"/>
  <c r="AF357" i="6"/>
  <c r="AJ375" i="6"/>
  <c r="AG324" i="6"/>
  <c r="AD387" i="6"/>
  <c r="AI397" i="6"/>
  <c r="AC407" i="6"/>
  <c r="AI454" i="6"/>
  <c r="AI492" i="6"/>
  <c r="Y491" i="6"/>
  <c r="AE520" i="6"/>
  <c r="AF505" i="6"/>
  <c r="AH512" i="6"/>
  <c r="AG532" i="6"/>
  <c r="AG550" i="6"/>
  <c r="AB228" i="6"/>
  <c r="AJ303" i="6"/>
  <c r="AF319" i="6"/>
  <c r="AH265" i="6"/>
  <c r="AH352" i="6"/>
  <c r="AI357" i="6"/>
  <c r="AJ324" i="6"/>
  <c r="AI363" i="6"/>
  <c r="Z408" i="6"/>
  <c r="AG482" i="6"/>
  <c r="Y512" i="6"/>
  <c r="AJ550" i="6"/>
  <c r="AB30" i="6"/>
  <c r="Z50" i="6"/>
  <c r="AJ68" i="6"/>
  <c r="AE243" i="6"/>
  <c r="AI103" i="6"/>
  <c r="AE100" i="6"/>
  <c r="AI141" i="6"/>
  <c r="AJ141" i="6"/>
  <c r="AA199" i="6"/>
  <c r="AG171" i="6"/>
  <c r="AH243" i="6"/>
  <c r="AA203" i="6"/>
  <c r="AH228" i="6"/>
  <c r="Z245" i="6"/>
  <c r="AC303" i="6"/>
  <c r="AB265" i="6"/>
  <c r="AI319" i="6"/>
  <c r="Y352" i="6"/>
  <c r="AD324" i="6"/>
  <c r="AF422" i="6"/>
  <c r="AC422" i="6"/>
  <c r="AC427" i="6"/>
  <c r="AC454" i="6"/>
  <c r="AC486" i="6"/>
  <c r="Z510" i="6"/>
  <c r="AB512" i="6"/>
  <c r="AE514" i="6"/>
  <c r="AF103" i="6"/>
  <c r="AG163" i="6"/>
  <c r="AJ171" i="6"/>
  <c r="AF28" i="6"/>
  <c r="AE30" i="6"/>
  <c r="AH30" i="6"/>
  <c r="AC103" i="6"/>
  <c r="Y100" i="6"/>
  <c r="AE116" i="6"/>
  <c r="AF142" i="6"/>
  <c r="AA164" i="6"/>
  <c r="AE148" i="6"/>
  <c r="AG199" i="6"/>
  <c r="AB243" i="6"/>
  <c r="Z197" i="6"/>
  <c r="AI213" i="6"/>
  <c r="AD203" i="6"/>
  <c r="AF245" i="6"/>
  <c r="AF303" i="6"/>
  <c r="AJ267" i="6"/>
  <c r="AD303" i="6"/>
  <c r="AB352" i="6"/>
  <c r="AG258" i="6"/>
  <c r="AF427" i="6"/>
  <c r="AE426" i="6"/>
  <c r="AF486" i="6"/>
  <c r="Z515" i="6"/>
  <c r="AC377" i="6"/>
  <c r="AG135" i="6"/>
  <c r="AH23" i="6"/>
  <c r="AI28" i="6"/>
  <c r="Y53" i="6"/>
  <c r="Y23" i="6"/>
  <c r="Z28" i="6"/>
  <c r="AG164" i="6"/>
  <c r="AD188" i="6"/>
  <c r="AJ188" i="6"/>
  <c r="AE304" i="6"/>
  <c r="AB304" i="6"/>
  <c r="AD343" i="6"/>
  <c r="AH370" i="6"/>
  <c r="AI427" i="6"/>
  <c r="AG477" i="6"/>
  <c r="AI459" i="6"/>
  <c r="AI486" i="6"/>
  <c r="AH495" i="6"/>
  <c r="AC535" i="6"/>
  <c r="AB32" i="6"/>
  <c r="Z48" i="6"/>
  <c r="AB37" i="6"/>
  <c r="AD72" i="6"/>
  <c r="AD57" i="6"/>
  <c r="AF100" i="6"/>
  <c r="AD136" i="6"/>
  <c r="AE127" i="6"/>
  <c r="Y160" i="6"/>
  <c r="AJ137" i="6"/>
  <c r="AH150" i="6"/>
  <c r="AF157" i="6"/>
  <c r="AE192" i="6"/>
  <c r="Z200" i="6"/>
  <c r="AA247" i="6"/>
  <c r="AE216" i="6"/>
  <c r="AD220" i="6"/>
  <c r="AC321" i="6"/>
  <c r="AG312" i="6"/>
  <c r="AB345" i="6"/>
  <c r="AG336" i="6"/>
  <c r="AI341" i="6"/>
  <c r="AD360" i="6"/>
  <c r="AE359" i="6"/>
  <c r="AB386" i="6"/>
  <c r="Z391" i="6"/>
  <c r="AH429" i="6"/>
  <c r="AD410" i="6"/>
  <c r="Y440" i="6"/>
  <c r="Z426" i="6"/>
  <c r="AG480" i="6"/>
  <c r="Z475" i="6"/>
  <c r="AI480" i="6"/>
  <c r="AE487" i="6"/>
  <c r="Y489" i="6"/>
  <c r="AJ513" i="6"/>
  <c r="AB535" i="6"/>
  <c r="AH541" i="6"/>
  <c r="AI553" i="6"/>
  <c r="AA513" i="6"/>
  <c r="AI14" i="6"/>
  <c r="AA334" i="6"/>
  <c r="AA162" i="6"/>
  <c r="AB210" i="6"/>
  <c r="AB312" i="6"/>
  <c r="AA426" i="6"/>
  <c r="AF457" i="6"/>
  <c r="Y501" i="6"/>
  <c r="AC250" i="6"/>
  <c r="AH45" i="6"/>
  <c r="AI44" i="6"/>
  <c r="AG319" i="6"/>
  <c r="AA32" i="6"/>
  <c r="AF44" i="6"/>
  <c r="AC44" i="6"/>
  <c r="AC70" i="6"/>
  <c r="Y127" i="6"/>
  <c r="AA142" i="6"/>
  <c r="AD162" i="6"/>
  <c r="AA127" i="6"/>
  <c r="Z179" i="6"/>
  <c r="AI200" i="6"/>
  <c r="AI219" i="6"/>
  <c r="Z250" i="6"/>
  <c r="AD180" i="6"/>
  <c r="AC221" i="6"/>
  <c r="AE210" i="6"/>
  <c r="AF279" i="6"/>
  <c r="Y289" i="6"/>
  <c r="AJ319" i="6"/>
  <c r="AH276" i="6"/>
  <c r="AI312" i="6"/>
  <c r="AC260" i="6"/>
  <c r="AB255" i="6"/>
  <c r="AG313" i="6"/>
  <c r="AJ363" i="6"/>
  <c r="AE297" i="6"/>
  <c r="AD346" i="6"/>
  <c r="Z351" i="6"/>
  <c r="AF359" i="6"/>
  <c r="AG387" i="6"/>
  <c r="AF395" i="6"/>
  <c r="AF374" i="6"/>
  <c r="AJ407" i="6"/>
  <c r="Y427" i="6"/>
  <c r="AE428" i="6"/>
  <c r="AD426" i="6"/>
  <c r="AD453" i="6"/>
  <c r="AE493" i="6"/>
  <c r="AI518" i="6"/>
  <c r="AG536" i="6"/>
  <c r="AB501" i="6"/>
  <c r="AJ163" i="6"/>
  <c r="AH160" i="6"/>
  <c r="AB318" i="6"/>
  <c r="AJ32" i="6"/>
  <c r="Z70" i="6"/>
  <c r="AE276" i="6"/>
  <c r="AG32" i="6"/>
  <c r="AF70" i="6"/>
  <c r="AB93" i="6"/>
  <c r="AJ101" i="6"/>
  <c r="AC111" i="6"/>
  <c r="AJ162" i="6"/>
  <c r="AF195" i="6"/>
  <c r="AC179" i="6"/>
  <c r="Z219" i="6"/>
  <c r="AC226" i="6"/>
  <c r="AC238" i="6"/>
  <c r="AH251" i="6"/>
  <c r="Y267" i="6"/>
  <c r="AI279" i="6"/>
  <c r="AC285" i="6"/>
  <c r="AB289" i="6"/>
  <c r="Y276" i="6"/>
  <c r="AE282" i="6"/>
  <c r="Z312" i="6"/>
  <c r="AF260" i="6"/>
  <c r="AJ313" i="6"/>
  <c r="AA363" i="6"/>
  <c r="AH297" i="6"/>
  <c r="AG337" i="6"/>
  <c r="AG346" i="6"/>
  <c r="AI359" i="6"/>
  <c r="Y395" i="6"/>
  <c r="AI395" i="6"/>
  <c r="AJ376" i="6"/>
  <c r="AB427" i="6"/>
  <c r="AH428" i="6"/>
  <c r="AE437" i="6"/>
  <c r="AI485" i="6"/>
  <c r="AG486" i="6"/>
  <c r="AH493" i="6"/>
  <c r="AG500" i="6"/>
  <c r="AF558" i="6"/>
  <c r="Z518" i="6"/>
  <c r="AI549" i="6"/>
  <c r="AJ536" i="6"/>
  <c r="AI504" i="6"/>
  <c r="AI297" i="6"/>
  <c r="Y318" i="6"/>
  <c r="AG363" i="6"/>
  <c r="AB390" i="6"/>
  <c r="AI273" i="6"/>
  <c r="AD359" i="6"/>
  <c r="AB14" i="6"/>
  <c r="AH21" i="6"/>
  <c r="AG101" i="6"/>
  <c r="AE93" i="6"/>
  <c r="AI111" i="6"/>
  <c r="Y132" i="6"/>
  <c r="AD178" i="6"/>
  <c r="AC219" i="6"/>
  <c r="AF226" i="6"/>
  <c r="AF238" i="6"/>
  <c r="AB251" i="6"/>
  <c r="AE223" i="6"/>
  <c r="AI215" i="6"/>
  <c r="Y250" i="6"/>
  <c r="AB267" i="6"/>
  <c r="AF285" i="6"/>
  <c r="AE289" i="6"/>
  <c r="AC262" i="6"/>
  <c r="AG277" i="6"/>
  <c r="AH282" i="6"/>
  <c r="AC313" i="6"/>
  <c r="AI350" i="6"/>
  <c r="Z346" i="6"/>
  <c r="Y297" i="6"/>
  <c r="AD338" i="6"/>
  <c r="AJ346" i="6"/>
  <c r="Z359" i="6"/>
  <c r="AA376" i="6"/>
  <c r="Y422" i="6"/>
  <c r="AE427" i="6"/>
  <c r="Y428" i="6"/>
  <c r="AF430" i="6"/>
  <c r="Y437" i="6"/>
  <c r="AC471" i="6"/>
  <c r="AG432" i="6"/>
  <c r="Y453" i="6"/>
  <c r="AI458" i="6"/>
  <c r="AJ486" i="6"/>
  <c r="Y493" i="6"/>
  <c r="AJ500" i="6"/>
  <c r="AC533" i="6"/>
  <c r="AI558" i="6"/>
  <c r="AC518" i="6"/>
  <c r="AJ506" i="6"/>
  <c r="Z524" i="6"/>
  <c r="Y467" i="6"/>
  <c r="Z549" i="6"/>
  <c r="AJ530" i="6"/>
  <c r="AB537" i="6"/>
  <c r="Z504" i="6"/>
  <c r="AH137" i="6"/>
  <c r="AH14" i="6"/>
  <c r="Y21" i="6"/>
  <c r="Y14" i="6"/>
  <c r="AB21" i="6"/>
  <c r="AE129" i="6"/>
  <c r="Z111" i="6"/>
  <c r="AI118" i="6"/>
  <c r="AH196" i="6"/>
  <c r="Z226" i="6"/>
  <c r="Z238" i="6"/>
  <c r="AH223" i="6"/>
  <c r="AI239" i="6"/>
  <c r="AE250" i="6"/>
  <c r="AE267" i="6"/>
  <c r="AI285" i="6"/>
  <c r="AE320" i="6"/>
  <c r="AJ277" i="6"/>
  <c r="Y282" i="6"/>
  <c r="AJ266" i="6"/>
  <c r="AC346" i="6"/>
  <c r="AG365" i="6"/>
  <c r="AG338" i="6"/>
  <c r="AI360" i="6"/>
  <c r="AE382" i="6"/>
  <c r="AD376" i="6"/>
  <c r="AB422" i="6"/>
  <c r="AF429" i="6"/>
  <c r="AC435" i="6"/>
  <c r="AI430" i="6"/>
  <c r="AB437" i="6"/>
  <c r="Z456" i="6"/>
  <c r="AF471" i="6"/>
  <c r="Z458" i="6"/>
  <c r="Y498" i="6"/>
  <c r="AA486" i="6"/>
  <c r="AA500" i="6"/>
  <c r="AC524" i="6"/>
  <c r="AB531" i="6"/>
  <c r="AE537" i="6"/>
  <c r="AC504" i="6"/>
  <c r="AB49" i="6"/>
  <c r="AE137" i="6"/>
  <c r="Z311" i="6"/>
  <c r="AE366" i="6"/>
  <c r="AJ142" i="6"/>
  <c r="AG130" i="6"/>
  <c r="AH195" i="6"/>
  <c r="AE227" i="6"/>
  <c r="Z239" i="6"/>
  <c r="AB250" i="6"/>
  <c r="AH320" i="6"/>
  <c r="AA277" i="6"/>
  <c r="AG283" i="6"/>
  <c r="AB395" i="6"/>
  <c r="AA266" i="6"/>
  <c r="AF346" i="6"/>
  <c r="AJ338" i="6"/>
  <c r="AH382" i="6"/>
  <c r="AG411" i="6"/>
  <c r="AE422" i="6"/>
  <c r="Y429" i="6"/>
  <c r="AF435" i="6"/>
  <c r="Z430" i="6"/>
  <c r="AE449" i="6"/>
  <c r="AC456" i="6"/>
  <c r="AI464" i="6"/>
  <c r="AI471" i="6"/>
  <c r="AF461" i="6"/>
  <c r="AB498" i="6"/>
  <c r="AE501" i="6"/>
  <c r="AI524" i="6"/>
  <c r="AJ472" i="6"/>
  <c r="AJ524" i="6"/>
  <c r="AE531" i="6"/>
  <c r="AH537" i="6"/>
  <c r="AJ554" i="6"/>
  <c r="AF200" i="6"/>
  <c r="AI321" i="6"/>
  <c r="AT410" i="1"/>
  <c r="AH227" i="6"/>
  <c r="AA219" i="6"/>
  <c r="AC311" i="6"/>
  <c r="AJ283" i="6"/>
  <c r="Y338" i="6"/>
  <c r="AH354" i="6"/>
  <c r="AB382" i="6"/>
  <c r="AF409" i="6"/>
  <c r="AB429" i="6"/>
  <c r="AI435" i="6"/>
  <c r="Z464" i="6"/>
  <c r="Y471" i="6"/>
  <c r="AD442" i="6"/>
  <c r="AE498" i="6"/>
  <c r="Z526" i="6"/>
  <c r="AH531" i="6"/>
  <c r="AE513" i="6"/>
  <c r="AH479" i="6"/>
  <c r="AB440" i="6"/>
  <c r="Z157" i="6"/>
  <c r="AA156" i="6"/>
  <c r="Z194" i="6"/>
  <c r="AB195" i="6"/>
  <c r="AB227" i="6"/>
  <c r="AE241" i="6"/>
  <c r="AD219" i="6"/>
  <c r="AF311" i="6"/>
  <c r="AE272" i="6"/>
  <c r="AH278" i="6"/>
  <c r="AA283" i="6"/>
  <c r="AE318" i="6"/>
  <c r="AH319" i="6"/>
  <c r="AI348" i="6"/>
  <c r="Y354" i="6"/>
  <c r="AJ337" i="6"/>
  <c r="AC348" i="6"/>
  <c r="AE430" i="6"/>
  <c r="AJ430" i="6"/>
  <c r="AC464" i="6"/>
  <c r="AB471" i="6"/>
  <c r="AJ442" i="6"/>
  <c r="Y483" i="6"/>
  <c r="AC500" i="6"/>
  <c r="AC526" i="6"/>
  <c r="AI514" i="6"/>
  <c r="AD554" i="6"/>
  <c r="AB368" i="6"/>
  <c r="AE195" i="6"/>
  <c r="AF17" i="6"/>
  <c r="AE36" i="6"/>
  <c r="Y69" i="6"/>
  <c r="AG161" i="6"/>
  <c r="AE112" i="6"/>
  <c r="AD156" i="6"/>
  <c r="AE154" i="6"/>
  <c r="AI194" i="6"/>
  <c r="AA227" i="6"/>
  <c r="AA239" i="6"/>
  <c r="AH241" i="6"/>
  <c r="AA249" i="6"/>
  <c r="AG219" i="6"/>
  <c r="AE312" i="6"/>
  <c r="Y278" i="6"/>
  <c r="AE319" i="6"/>
  <c r="AD334" i="6"/>
  <c r="AB354" i="6"/>
  <c r="AA337" i="6"/>
  <c r="Z360" i="6"/>
  <c r="AF390" i="6"/>
  <c r="AC431" i="6"/>
  <c r="AA423" i="6"/>
  <c r="AH430" i="6"/>
  <c r="AA430" i="6"/>
  <c r="AE479" i="6"/>
  <c r="AE471" i="6"/>
  <c r="AA480" i="6"/>
  <c r="AG442" i="6"/>
  <c r="AB466" i="6"/>
  <c r="AF526" i="6"/>
  <c r="AD546" i="6"/>
  <c r="AC514" i="6"/>
  <c r="Y260" i="6"/>
  <c r="AH154" i="6"/>
  <c r="AA161" i="6"/>
  <c r="AF224" i="6"/>
  <c r="AG222" i="6"/>
  <c r="AD239" i="6"/>
  <c r="AB241" i="6"/>
  <c r="AD249" i="6"/>
  <c r="AH312" i="6"/>
  <c r="AI304" i="6"/>
  <c r="AD319" i="6"/>
  <c r="AH340" i="6"/>
  <c r="Y319" i="6"/>
  <c r="AH326" i="6"/>
  <c r="AG334" i="6"/>
  <c r="AC360" i="6"/>
  <c r="AH365" i="6"/>
  <c r="AF431" i="6"/>
  <c r="AD430" i="6"/>
  <c r="AI472" i="6"/>
  <c r="AI462" i="6"/>
  <c r="AG485" i="6"/>
  <c r="AE483" i="6"/>
  <c r="AA465" i="6"/>
  <c r="Z514" i="6"/>
  <c r="AJ479" i="6"/>
  <c r="Z553" i="6"/>
  <c r="AB150" i="6"/>
  <c r="Z369" i="6"/>
  <c r="AI255" i="6"/>
  <c r="Y38" i="6"/>
  <c r="AH38" i="6"/>
  <c r="AH112" i="6"/>
  <c r="Y154" i="6"/>
  <c r="Z203" i="6"/>
  <c r="AJ222" i="6"/>
  <c r="AJ227" i="6"/>
  <c r="AJ239" i="6"/>
  <c r="AE247" i="6"/>
  <c r="Z262" i="6"/>
  <c r="AJ249" i="6"/>
  <c r="AG220" i="6"/>
  <c r="AJ252" i="6"/>
  <c r="AI314" i="6"/>
  <c r="Z304" i="6"/>
  <c r="AD313" i="6"/>
  <c r="AB320" i="6"/>
  <c r="AA365" i="6"/>
  <c r="Y340" i="6"/>
  <c r="Z350" i="6"/>
  <c r="Y326" i="6"/>
  <c r="Y365" i="6"/>
  <c r="AG410" i="6"/>
  <c r="AI431" i="6"/>
  <c r="AJ423" i="6"/>
  <c r="Z472" i="6"/>
  <c r="Z462" i="6"/>
  <c r="Z502" i="6"/>
  <c r="AI535" i="6"/>
  <c r="AA479" i="6"/>
  <c r="AC506" i="6"/>
  <c r="AB36" i="6"/>
  <c r="Z255" i="6"/>
  <c r="AF14" i="6"/>
  <c r="AA101" i="6"/>
  <c r="AE37" i="6"/>
  <c r="AF79" i="6"/>
  <c r="AJ57" i="6"/>
  <c r="AC79" i="6"/>
  <c r="AD96" i="6"/>
  <c r="AI100" i="6"/>
  <c r="AA136" i="6"/>
  <c r="AC132" i="6"/>
  <c r="AD137" i="6"/>
  <c r="AG178" i="6"/>
  <c r="AF194" i="6"/>
  <c r="AC203" i="6"/>
  <c r="AA222" i="6"/>
  <c r="AH247" i="6"/>
  <c r="Y216" i="6"/>
  <c r="AI262" i="6"/>
  <c r="AJ220" i="6"/>
  <c r="AD252" i="6"/>
  <c r="AB340" i="6"/>
  <c r="AC350" i="6"/>
  <c r="AB326" i="6"/>
  <c r="AH366" i="6"/>
  <c r="AE390" i="6"/>
  <c r="AB365" i="6"/>
  <c r="AE386" i="6"/>
  <c r="AJ410" i="6"/>
  <c r="AF426" i="6"/>
  <c r="AC472" i="6"/>
  <c r="AC480" i="6"/>
  <c r="AC462" i="6"/>
  <c r="Y487" i="6"/>
  <c r="AG502" i="6"/>
  <c r="AE489" i="6"/>
  <c r="AA502" i="6"/>
  <c r="AD479" i="6"/>
  <c r="AB541" i="6"/>
  <c r="AF304" i="6"/>
  <c r="AJ136" i="6"/>
  <c r="CB400" i="1"/>
  <c r="AA178" i="6"/>
  <c r="AB247" i="6"/>
  <c r="Y251" i="6"/>
  <c r="AF341" i="6"/>
  <c r="AB366" i="6"/>
  <c r="AH390" i="6"/>
  <c r="AJ368" i="6"/>
  <c r="AI475" i="6"/>
  <c r="AF480" i="6"/>
  <c r="AB487" i="6"/>
  <c r="AJ502" i="6"/>
  <c r="AH489" i="6"/>
  <c r="AB510" i="6"/>
  <c r="AE541" i="6"/>
  <c r="Z383" i="6"/>
  <c r="AA50" i="6"/>
  <c r="AI124" i="6"/>
  <c r="AE212" i="6"/>
  <c r="AA267" i="6"/>
  <c r="AG273" i="6"/>
  <c r="Y391" i="6"/>
  <c r="AG399" i="6"/>
  <c r="AI388" i="6"/>
  <c r="AG490" i="6"/>
  <c r="AI522" i="6"/>
  <c r="AF192" i="6"/>
  <c r="AC192" i="6"/>
  <c r="AB71" i="6"/>
  <c r="AC68" i="6"/>
  <c r="Z56" i="6"/>
  <c r="AH64" i="6"/>
  <c r="AE71" i="6"/>
  <c r="AF68" i="6"/>
  <c r="AC124" i="6"/>
  <c r="Y242" i="6"/>
  <c r="AH212" i="6"/>
  <c r="AJ273" i="6"/>
  <c r="AJ399" i="6"/>
  <c r="Z388" i="6"/>
  <c r="AG427" i="6"/>
  <c r="AG452" i="6"/>
  <c r="AI456" i="6"/>
  <c r="AF500" i="6"/>
  <c r="AJ490" i="6"/>
  <c r="AE510" i="6"/>
  <c r="AJ528" i="6"/>
  <c r="AB513" i="6"/>
  <c r="AJ477" i="6"/>
  <c r="AF127" i="6"/>
  <c r="AI408" i="6"/>
  <c r="Y22" i="6"/>
  <c r="Y64" i="6"/>
  <c r="AH71" i="6"/>
  <c r="AF124" i="6"/>
  <c r="Z139" i="6"/>
  <c r="AH191" i="6"/>
  <c r="AC241" i="6"/>
  <c r="AB242" i="6"/>
  <c r="AH187" i="6"/>
  <c r="AI306" i="6"/>
  <c r="AA273" i="6"/>
  <c r="Y321" i="6"/>
  <c r="AJ427" i="6"/>
  <c r="AD448" i="6"/>
  <c r="AA452" i="6"/>
  <c r="AI500" i="6"/>
  <c r="AI513" i="6"/>
  <c r="AA490" i="6"/>
  <c r="AC523" i="6"/>
  <c r="Y513" i="6"/>
  <c r="AC325" i="6"/>
  <c r="AB324" i="6"/>
  <c r="AF18" i="6"/>
  <c r="AE22" i="6"/>
  <c r="AB64" i="6"/>
  <c r="Y117" i="6"/>
  <c r="AC139" i="6"/>
  <c r="AC212" i="6"/>
  <c r="AE191" i="6"/>
  <c r="AH242" i="6"/>
  <c r="AE187" i="6"/>
  <c r="AJ262" i="6"/>
  <c r="Z306" i="6"/>
  <c r="AA427" i="6"/>
  <c r="Z443" i="6"/>
  <c r="Z513" i="6"/>
  <c r="AF557" i="6"/>
  <c r="AD107" i="6"/>
  <c r="AG107" i="6"/>
  <c r="Z18" i="6"/>
  <c r="AB22" i="6"/>
  <c r="AE117" i="6"/>
  <c r="AF139" i="6"/>
  <c r="AE126" i="6"/>
  <c r="AB191" i="6"/>
  <c r="AB187" i="6"/>
  <c r="AG262" i="6"/>
  <c r="Z442" i="6"/>
  <c r="AE460" i="6"/>
  <c r="AC490" i="6"/>
  <c r="AI557" i="6"/>
  <c r="AI212" i="6"/>
  <c r="AB404" i="6"/>
  <c r="AH126" i="6"/>
  <c r="AD262" i="6"/>
  <c r="AF339" i="6"/>
  <c r="AA378" i="6"/>
  <c r="Y438" i="6"/>
  <c r="AF490" i="6"/>
  <c r="AD471" i="6"/>
  <c r="AC513" i="6"/>
  <c r="AF541" i="6"/>
  <c r="Z212" i="6"/>
  <c r="Y404" i="6"/>
  <c r="AH117" i="6"/>
  <c r="AE114" i="6"/>
  <c r="AI108" i="6"/>
  <c r="Y114" i="6"/>
  <c r="AC155" i="6"/>
  <c r="Y126" i="6"/>
  <c r="AI199" i="6"/>
  <c r="AH404" i="6"/>
  <c r="AI339" i="6"/>
  <c r="AJ378" i="6"/>
  <c r="AC442" i="6"/>
  <c r="AI490" i="6"/>
  <c r="Z474" i="6"/>
  <c r="AD548" i="6"/>
  <c r="AI541" i="6"/>
  <c r="AD169" i="6"/>
  <c r="Y178" i="6"/>
  <c r="AH178" i="6"/>
  <c r="AT413" i="1"/>
  <c r="AC108" i="6"/>
  <c r="AB114" i="6"/>
  <c r="AF155" i="6"/>
  <c r="AG246" i="6"/>
  <c r="AJ298" i="6"/>
  <c r="Z339" i="6"/>
  <c r="AD378" i="6"/>
  <c r="AI442" i="6"/>
  <c r="AC474" i="6"/>
  <c r="AG516" i="6"/>
  <c r="AG548" i="6"/>
  <c r="AF108" i="6"/>
  <c r="AI155" i="6"/>
  <c r="AJ246" i="6"/>
  <c r="AI233" i="6"/>
  <c r="AA298" i="6"/>
  <c r="AH360" i="6"/>
  <c r="AF347" i="6"/>
  <c r="AF437" i="6"/>
  <c r="AF474" i="6"/>
  <c r="AF527" i="6"/>
  <c r="AJ548" i="6"/>
  <c r="AC557" i="6"/>
  <c r="AF320" i="6"/>
  <c r="AH391" i="6"/>
  <c r="AE183" i="6"/>
  <c r="AH183" i="6"/>
  <c r="AB69" i="6"/>
  <c r="AD246" i="6"/>
  <c r="Z233" i="6"/>
  <c r="AD298" i="6"/>
  <c r="Y360" i="6"/>
  <c r="AI347" i="6"/>
  <c r="Y387" i="6"/>
  <c r="AE517" i="6"/>
  <c r="AC558" i="6"/>
  <c r="AG521" i="6"/>
  <c r="AE391" i="6"/>
  <c r="AB34" i="6"/>
  <c r="AE69" i="6"/>
  <c r="AA221" i="6"/>
  <c r="AF233" i="6"/>
  <c r="AI241" i="6"/>
  <c r="AG287" i="6"/>
  <c r="AC305" i="6"/>
  <c r="AF325" i="6"/>
  <c r="AB360" i="6"/>
  <c r="Z347" i="6"/>
  <c r="AD452" i="6"/>
  <c r="AC527" i="6"/>
  <c r="AC549" i="6"/>
  <c r="Z522" i="6"/>
  <c r="AD538" i="6"/>
  <c r="AJ559" i="6"/>
  <c r="CB404" i="1"/>
  <c r="CB402" i="1"/>
  <c r="AG35" i="6"/>
  <c r="AE34" i="6"/>
  <c r="AA84" i="6"/>
  <c r="AD221" i="6"/>
  <c r="Z241" i="6"/>
  <c r="Y271" i="6"/>
  <c r="AJ287" i="6"/>
  <c r="AG293" i="6"/>
  <c r="AI325" i="6"/>
  <c r="AG448" i="6"/>
  <c r="AC522" i="6"/>
  <c r="AA559" i="6"/>
  <c r="AF306" i="6"/>
  <c r="CB401" i="1"/>
  <c r="AH34" i="6"/>
  <c r="AD84" i="6"/>
  <c r="AG221" i="6"/>
  <c r="AB271" i="6"/>
  <c r="AA287" i="6"/>
  <c r="AJ293" i="6"/>
  <c r="AA448" i="6"/>
  <c r="Z447" i="6"/>
  <c r="AE495" i="6"/>
  <c r="AB467" i="6"/>
  <c r="AJ521" i="6"/>
  <c r="AB527" i="6"/>
  <c r="AJ538" i="6"/>
  <c r="AF523" i="6"/>
  <c r="AD559" i="6"/>
  <c r="AA15" i="6"/>
  <c r="AG15" i="6"/>
  <c r="AJ84" i="6"/>
  <c r="AE271" i="6"/>
  <c r="AA293" i="6"/>
  <c r="AF345" i="6"/>
  <c r="AF447" i="6"/>
  <c r="AA521" i="6"/>
  <c r="AE527" i="6"/>
  <c r="AB539" i="6"/>
  <c r="AI523" i="6"/>
  <c r="AB438" i="6"/>
  <c r="AF296" i="6"/>
  <c r="AB364" i="6"/>
  <c r="Z195" i="6"/>
  <c r="AI195" i="6"/>
  <c r="CB399" i="1"/>
  <c r="AG267" i="6"/>
  <c r="AI345" i="6"/>
  <c r="Y495" i="6"/>
  <c r="AH527" i="6"/>
  <c r="AE539" i="6"/>
  <c r="AT409" i="1"/>
  <c r="Z187" i="6"/>
  <c r="AI187" i="6"/>
  <c r="AJ413" i="6"/>
  <c r="AH411" i="6"/>
  <c r="Y411" i="6"/>
  <c r="AB411" i="6"/>
  <c r="AH410" i="6"/>
  <c r="AC409" i="6"/>
  <c r="Z409" i="6"/>
  <c r="AB408" i="6"/>
  <c r="AE408" i="6"/>
  <c r="AH408" i="6"/>
  <c r="Y409" i="6"/>
  <c r="AB410" i="6"/>
  <c r="AB409" i="6"/>
  <c r="AD413" i="6"/>
  <c r="AE410" i="6"/>
  <c r="AD407" i="6"/>
  <c r="AG407" i="6"/>
  <c r="EK399" i="1"/>
  <c r="DV399" i="1"/>
  <c r="EK402" i="1"/>
  <c r="DV402" i="1"/>
  <c r="BN399" i="1"/>
  <c r="EK401" i="1"/>
  <c r="DV401" i="1"/>
  <c r="EK404" i="1"/>
  <c r="DV404" i="1"/>
  <c r="EK400" i="1"/>
  <c r="DV400" i="1"/>
  <c r="EK403" i="1"/>
  <c r="DV403" i="1"/>
  <c r="EG403" i="1"/>
  <c r="BN403" i="1"/>
  <c r="EG402" i="1"/>
  <c r="BN402" i="1"/>
  <c r="BS404" i="1"/>
  <c r="BS400" i="1"/>
  <c r="BS401" i="1"/>
  <c r="EG401" i="1"/>
  <c r="BN401" i="1"/>
  <c r="BS399" i="1"/>
  <c r="BS403" i="1"/>
  <c r="BL400" i="1"/>
  <c r="BN400" i="1"/>
  <c r="BS402" i="1"/>
  <c r="Y509" i="6"/>
  <c r="AB509" i="6"/>
  <c r="AD514" i="6"/>
  <c r="AA514" i="6"/>
  <c r="Z6" i="6"/>
  <c r="AC6" i="6"/>
  <c r="AI6" i="6"/>
  <c r="AD49" i="6"/>
  <c r="AG49" i="6"/>
  <c r="AF37" i="6"/>
  <c r="Z37" i="6"/>
  <c r="AC37" i="6"/>
  <c r="AA102" i="6"/>
  <c r="AG102" i="6"/>
  <c r="Y131" i="6"/>
  <c r="AB131" i="6"/>
  <c r="AB188" i="6"/>
  <c r="Y188" i="6"/>
  <c r="AA130" i="6"/>
  <c r="AD130" i="6"/>
  <c r="AC184" i="6"/>
  <c r="AF184" i="6"/>
  <c r="AB198" i="6"/>
  <c r="Y198" i="6"/>
  <c r="AE198" i="6"/>
  <c r="AF188" i="6"/>
  <c r="AC188" i="6"/>
  <c r="Z208" i="6"/>
  <c r="AI208" i="6"/>
  <c r="AD259" i="6"/>
  <c r="AA259" i="6"/>
  <c r="AA307" i="6"/>
  <c r="AD307" i="6"/>
  <c r="Z177" i="6"/>
  <c r="AF177" i="6"/>
  <c r="Y294" i="6"/>
  <c r="AB294" i="6"/>
  <c r="AA397" i="6"/>
  <c r="AD397" i="6"/>
  <c r="AD264" i="6"/>
  <c r="AG264" i="6"/>
  <c r="Z263" i="6"/>
  <c r="AG307" i="6"/>
  <c r="Y254" i="6"/>
  <c r="AG297" i="6"/>
  <c r="Z299" i="6"/>
  <c r="AE321" i="6"/>
  <c r="AE337" i="6"/>
  <c r="Y328" i="6"/>
  <c r="AJ336" i="6"/>
  <c r="AG343" i="6"/>
  <c r="AD347" i="6"/>
  <c r="AF354" i="6"/>
  <c r="AH359" i="6"/>
  <c r="AI307" i="6"/>
  <c r="Z317" i="6"/>
  <c r="AB338" i="6"/>
  <c r="AI343" i="6"/>
  <c r="AG358" i="6"/>
  <c r="AI367" i="6"/>
  <c r="AA392" i="6"/>
  <c r="AH367" i="6"/>
  <c r="AA372" i="6"/>
  <c r="Y383" i="6"/>
  <c r="AH387" i="6"/>
  <c r="Z400" i="6"/>
  <c r="AA368" i="6"/>
  <c r="AI374" i="6"/>
  <c r="AH379" i="6"/>
  <c r="AF384" i="6"/>
  <c r="AI390" i="6"/>
  <c r="AB407" i="6"/>
  <c r="AJ411" i="6"/>
  <c r="AH414" i="6"/>
  <c r="Z424" i="6"/>
  <c r="AI429" i="6"/>
  <c r="AA434" i="6"/>
  <c r="AG440" i="6"/>
  <c r="AH454" i="6"/>
  <c r="AA474" i="6"/>
  <c r="AF443" i="6"/>
  <c r="AH460" i="6"/>
  <c r="AI461" i="6"/>
  <c r="AA478" i="6"/>
  <c r="AI498" i="6"/>
  <c r="AD455" i="6"/>
  <c r="AG469" i="6"/>
  <c r="AG471" i="6"/>
  <c r="AJ474" i="6"/>
  <c r="AG492" i="6"/>
  <c r="AA498" i="6"/>
  <c r="AD465" i="6"/>
  <c r="AJ482" i="6"/>
  <c r="AJ514" i="6"/>
  <c r="Z508" i="6"/>
  <c r="AA520" i="6"/>
  <c r="AC502" i="6"/>
  <c r="AF543" i="6"/>
  <c r="AG506" i="6"/>
  <c r="AB533" i="6"/>
  <c r="AE518" i="6"/>
  <c r="AF533" i="6"/>
  <c r="Y558" i="6"/>
  <c r="Y555" i="6"/>
  <c r="AJ485" i="6"/>
  <c r="AD485" i="6"/>
  <c r="Y503" i="6"/>
  <c r="AB503" i="6"/>
  <c r="AD505" i="6"/>
  <c r="AA505" i="6"/>
  <c r="Y515" i="6"/>
  <c r="AB515" i="6"/>
  <c r="AH520" i="6"/>
  <c r="AB520" i="6"/>
  <c r="AA35" i="6"/>
  <c r="AD35" i="6"/>
  <c r="AG50" i="6"/>
  <c r="AD50" i="6"/>
  <c r="AD37" i="6"/>
  <c r="AJ37" i="6"/>
  <c r="AA80" i="6"/>
  <c r="AG80" i="6"/>
  <c r="Y133" i="6"/>
  <c r="AB133" i="6"/>
  <c r="Y103" i="6"/>
  <c r="AE103" i="6"/>
  <c r="AC135" i="6"/>
  <c r="Z135" i="6"/>
  <c r="AF135" i="6"/>
  <c r="AJ161" i="6"/>
  <c r="Y308" i="6"/>
  <c r="AB308" i="6"/>
  <c r="AC251" i="6"/>
  <c r="AI251" i="6"/>
  <c r="Y300" i="6"/>
  <c r="AB300" i="6"/>
  <c r="AF312" i="6"/>
  <c r="AA317" i="6"/>
  <c r="AD317" i="6"/>
  <c r="AA253" i="6"/>
  <c r="AG253" i="6"/>
  <c r="AA299" i="6"/>
  <c r="AD299" i="6"/>
  <c r="AD367" i="6"/>
  <c r="AG367" i="6"/>
  <c r="AB372" i="6"/>
  <c r="AA393" i="6"/>
  <c r="AD393" i="6"/>
  <c r="AE254" i="6"/>
  <c r="AJ297" i="6"/>
  <c r="AB328" i="6"/>
  <c r="AJ343" i="6"/>
  <c r="AJ397" i="6"/>
  <c r="AC307" i="6"/>
  <c r="AC317" i="6"/>
  <c r="Z343" i="6"/>
  <c r="AJ358" i="6"/>
  <c r="AB367" i="6"/>
  <c r="AD372" i="6"/>
  <c r="AH383" i="6"/>
  <c r="AB387" i="6"/>
  <c r="AF400" i="6"/>
  <c r="AD368" i="6"/>
  <c r="Z374" i="6"/>
  <c r="AB379" i="6"/>
  <c r="AI384" i="6"/>
  <c r="Z390" i="6"/>
  <c r="Y414" i="6"/>
  <c r="AC424" i="6"/>
  <c r="AI437" i="6"/>
  <c r="AA440" i="6"/>
  <c r="Y454" i="6"/>
  <c r="AI443" i="6"/>
  <c r="Y460" i="6"/>
  <c r="AD478" i="6"/>
  <c r="AG455" i="6"/>
  <c r="AJ469" i="6"/>
  <c r="AJ471" i="6"/>
  <c r="AJ492" i="6"/>
  <c r="AG465" i="6"/>
  <c r="AA482" i="6"/>
  <c r="AJ520" i="6"/>
  <c r="AF502" i="6"/>
  <c r="AI543" i="6"/>
  <c r="AA506" i="6"/>
  <c r="AC515" i="6"/>
  <c r="AD524" i="6"/>
  <c r="AE533" i="6"/>
  <c r="AD544" i="6"/>
  <c r="Y518" i="6"/>
  <c r="AI533" i="6"/>
  <c r="AB558" i="6"/>
  <c r="AB555" i="6"/>
  <c r="Y508" i="6"/>
  <c r="AB508" i="6"/>
  <c r="AD516" i="6"/>
  <c r="AA516" i="6"/>
  <c r="AG38" i="6"/>
  <c r="AD38" i="6"/>
  <c r="AD51" i="6"/>
  <c r="AG51" i="6"/>
  <c r="AF60" i="6"/>
  <c r="AI60" i="6"/>
  <c r="AH173" i="6"/>
  <c r="AB173" i="6"/>
  <c r="AD187" i="6"/>
  <c r="AA187" i="6"/>
  <c r="AB192" i="6"/>
  <c r="Y192" i="6"/>
  <c r="AA128" i="6"/>
  <c r="AD128" i="6"/>
  <c r="AD195" i="6"/>
  <c r="AA195" i="6"/>
  <c r="AA183" i="6"/>
  <c r="AD183" i="6"/>
  <c r="AC298" i="6"/>
  <c r="AF298" i="6"/>
  <c r="Y310" i="6"/>
  <c r="AB310" i="6"/>
  <c r="AA132" i="6"/>
  <c r="AD132" i="6"/>
  <c r="AB180" i="6"/>
  <c r="Y180" i="6"/>
  <c r="Z224" i="6"/>
  <c r="AI224" i="6"/>
  <c r="Y302" i="6"/>
  <c r="AB302" i="6"/>
  <c r="AC314" i="6"/>
  <c r="AF314" i="6"/>
  <c r="AD399" i="6"/>
  <c r="AA322" i="6"/>
  <c r="AG322" i="6"/>
  <c r="AI305" i="6"/>
  <c r="Z305" i="6"/>
  <c r="AF362" i="6"/>
  <c r="AI362" i="6"/>
  <c r="AH290" i="6"/>
  <c r="AD297" i="6"/>
  <c r="AE314" i="6"/>
  <c r="AB321" i="6"/>
  <c r="AD336" i="6"/>
  <c r="AB359" i="6"/>
  <c r="AH338" i="6"/>
  <c r="AF363" i="6"/>
  <c r="AJ392" i="6"/>
  <c r="AH407" i="6"/>
  <c r="AD411" i="6"/>
  <c r="AC429" i="6"/>
  <c r="AG434" i="6"/>
  <c r="AC437" i="6"/>
  <c r="AC461" i="6"/>
  <c r="AC498" i="6"/>
  <c r="AA492" i="6"/>
  <c r="AG498" i="6"/>
  <c r="AE509" i="6"/>
  <c r="AC508" i="6"/>
  <c r="AC543" i="6"/>
  <c r="AI515" i="6"/>
  <c r="AG524" i="6"/>
  <c r="AH533" i="6"/>
  <c r="AG544" i="6"/>
  <c r="AB453" i="6"/>
  <c r="AH453" i="6"/>
  <c r="AJ480" i="6"/>
  <c r="AD507" i="6"/>
  <c r="AA507" i="6"/>
  <c r="Y517" i="6"/>
  <c r="AB517" i="6"/>
  <c r="AF5" i="6"/>
  <c r="AI5" i="6"/>
  <c r="AG19" i="6"/>
  <c r="AA19" i="6"/>
  <c r="AJ48" i="6"/>
  <c r="AD48" i="6"/>
  <c r="AF56" i="6"/>
  <c r="AI56" i="6"/>
  <c r="AA96" i="6"/>
  <c r="AG96" i="6"/>
  <c r="AB129" i="6"/>
  <c r="Y129" i="6"/>
  <c r="AD191" i="6"/>
  <c r="AA191" i="6"/>
  <c r="AJ169" i="6"/>
  <c r="AA169" i="6"/>
  <c r="AA315" i="6"/>
  <c r="AD315" i="6"/>
  <c r="AF199" i="6"/>
  <c r="AC199" i="6"/>
  <c r="AI313" i="6"/>
  <c r="Z313" i="6"/>
  <c r="Z174" i="6"/>
  <c r="AF174" i="6"/>
  <c r="Z222" i="6"/>
  <c r="AI222" i="6"/>
  <c r="AA309" i="6"/>
  <c r="AD309" i="6"/>
  <c r="AC382" i="6"/>
  <c r="Z382" i="6"/>
  <c r="AD375" i="6"/>
  <c r="AG375" i="6"/>
  <c r="AB415" i="6"/>
  <c r="Y415" i="6"/>
  <c r="AH415" i="6"/>
  <c r="AE415" i="6"/>
  <c r="AG447" i="6"/>
  <c r="AA447" i="6"/>
  <c r="AJ447" i="6"/>
  <c r="AD447" i="6"/>
  <c r="AG467" i="6"/>
  <c r="AD467" i="6"/>
  <c r="AA467" i="6"/>
  <c r="AJ467" i="6"/>
  <c r="AG489" i="6"/>
  <c r="AD489" i="6"/>
  <c r="AA489" i="6"/>
  <c r="AJ489" i="6"/>
  <c r="AD501" i="6"/>
  <c r="AA501" i="6"/>
  <c r="AJ501" i="6"/>
  <c r="AG501" i="6"/>
  <c r="AB526" i="6"/>
  <c r="Y526" i="6"/>
  <c r="AH526" i="6"/>
  <c r="AE526" i="6"/>
  <c r="AF532" i="6"/>
  <c r="AC532" i="6"/>
  <c r="Z532" i="6"/>
  <c r="AI532" i="6"/>
  <c r="AA553" i="6"/>
  <c r="AJ553" i="6"/>
  <c r="AD553" i="6"/>
  <c r="AG553" i="6"/>
  <c r="AC559" i="6"/>
  <c r="Z559" i="6"/>
  <c r="AI559" i="6"/>
  <c r="AF559" i="6"/>
  <c r="AD416" i="6"/>
  <c r="AA416" i="6"/>
  <c r="AJ416" i="6"/>
  <c r="AG416" i="6"/>
  <c r="AD420" i="6"/>
  <c r="AA420" i="6"/>
  <c r="AJ420" i="6"/>
  <c r="AG420" i="6"/>
  <c r="AA425" i="6"/>
  <c r="AJ425" i="6"/>
  <c r="AG425" i="6"/>
  <c r="AD425" i="6"/>
  <c r="AH424" i="6"/>
  <c r="AB424" i="6"/>
  <c r="Y424" i="6"/>
  <c r="AE424" i="6"/>
  <c r="AF419" i="6"/>
  <c r="AC419" i="6"/>
  <c r="Z419" i="6"/>
  <c r="AI419" i="6"/>
  <c r="AI440" i="6"/>
  <c r="AC440" i="6"/>
  <c r="AF440" i="6"/>
  <c r="Z440" i="6"/>
  <c r="AI444" i="6"/>
  <c r="AC444" i="6"/>
  <c r="AF444" i="6"/>
  <c r="Z444" i="6"/>
  <c r="AI448" i="6"/>
  <c r="AC448" i="6"/>
  <c r="AF448" i="6"/>
  <c r="Z448" i="6"/>
  <c r="AI452" i="6"/>
  <c r="AC452" i="6"/>
  <c r="AF452" i="6"/>
  <c r="Z452" i="6"/>
  <c r="AC436" i="6"/>
  <c r="Z436" i="6"/>
  <c r="AI436" i="6"/>
  <c r="AF436" i="6"/>
  <c r="AC445" i="6"/>
  <c r="AI445" i="6"/>
  <c r="AF445" i="6"/>
  <c r="Z445" i="6"/>
  <c r="AF413" i="6"/>
  <c r="AC413" i="6"/>
  <c r="Z413" i="6"/>
  <c r="AI413" i="6"/>
  <c r="AG460" i="6"/>
  <c r="AD460" i="6"/>
  <c r="AA460" i="6"/>
  <c r="AJ460" i="6"/>
  <c r="AG470" i="6"/>
  <c r="AD470" i="6"/>
  <c r="AA470" i="6"/>
  <c r="AJ470" i="6"/>
  <c r="AG484" i="6"/>
  <c r="AA484" i="6"/>
  <c r="AJ484" i="6"/>
  <c r="AD484" i="6"/>
  <c r="Z511" i="6"/>
  <c r="AI511" i="6"/>
  <c r="AC511" i="6"/>
  <c r="AF511" i="6"/>
  <c r="AC488" i="6"/>
  <c r="Z488" i="6"/>
  <c r="AI488" i="6"/>
  <c r="AF488" i="6"/>
  <c r="AC491" i="6"/>
  <c r="Z491" i="6"/>
  <c r="AI491" i="6"/>
  <c r="AF491" i="6"/>
  <c r="AC495" i="6"/>
  <c r="Z495" i="6"/>
  <c r="AI495" i="6"/>
  <c r="AF495" i="6"/>
  <c r="AC499" i="6"/>
  <c r="Z499" i="6"/>
  <c r="AI499" i="6"/>
  <c r="AF499" i="6"/>
  <c r="Z517" i="6"/>
  <c r="AI517" i="6"/>
  <c r="AC517" i="6"/>
  <c r="AF517" i="6"/>
  <c r="AD529" i="6"/>
  <c r="AA529" i="6"/>
  <c r="AJ529" i="6"/>
  <c r="AG529" i="6"/>
  <c r="AB534" i="6"/>
  <c r="Y534" i="6"/>
  <c r="AH534" i="6"/>
  <c r="AE534" i="6"/>
  <c r="AD537" i="6"/>
  <c r="AA537" i="6"/>
  <c r="AJ537" i="6"/>
  <c r="AG537" i="6"/>
  <c r="AB542" i="6"/>
  <c r="Y542" i="6"/>
  <c r="AH542" i="6"/>
  <c r="AE542" i="6"/>
  <c r="AD545" i="6"/>
  <c r="AA545" i="6"/>
  <c r="AJ545" i="6"/>
  <c r="AG545" i="6"/>
  <c r="AB550" i="6"/>
  <c r="Y550" i="6"/>
  <c r="AH550" i="6"/>
  <c r="AE550" i="6"/>
  <c r="AF534" i="6"/>
  <c r="AC534" i="6"/>
  <c r="Z534" i="6"/>
  <c r="AI534" i="6"/>
  <c r="AF542" i="6"/>
  <c r="AC542" i="6"/>
  <c r="Z542" i="6"/>
  <c r="AI542" i="6"/>
  <c r="AF550" i="6"/>
  <c r="AC550" i="6"/>
  <c r="Z550" i="6"/>
  <c r="AI550" i="6"/>
  <c r="Y554" i="6"/>
  <c r="AH554" i="6"/>
  <c r="AB554" i="6"/>
  <c r="AE554" i="6"/>
  <c r="Y559" i="6"/>
  <c r="AH559" i="6"/>
  <c r="AB559" i="6"/>
  <c r="AE559" i="6"/>
  <c r="AC552" i="6"/>
  <c r="Z552" i="6"/>
  <c r="AI552" i="6"/>
  <c r="AF552" i="6"/>
  <c r="AB419" i="6"/>
  <c r="Y419" i="6"/>
  <c r="AH419" i="6"/>
  <c r="AE419" i="6"/>
  <c r="AC439" i="6"/>
  <c r="Z439" i="6"/>
  <c r="AF439" i="6"/>
  <c r="AI439" i="6"/>
  <c r="AG449" i="6"/>
  <c r="AA449" i="6"/>
  <c r="AJ449" i="6"/>
  <c r="AD449" i="6"/>
  <c r="AC479" i="6"/>
  <c r="Z479" i="6"/>
  <c r="AI479" i="6"/>
  <c r="AF479" i="6"/>
  <c r="Z519" i="6"/>
  <c r="AI519" i="6"/>
  <c r="AC519" i="6"/>
  <c r="AF519" i="6"/>
  <c r="AG497" i="6"/>
  <c r="AD497" i="6"/>
  <c r="AA497" i="6"/>
  <c r="AJ497" i="6"/>
  <c r="AB522" i="6"/>
  <c r="Y522" i="6"/>
  <c r="AH522" i="6"/>
  <c r="AE522" i="6"/>
  <c r="AB528" i="6"/>
  <c r="Y528" i="6"/>
  <c r="AH528" i="6"/>
  <c r="AE528" i="6"/>
  <c r="AB536" i="6"/>
  <c r="Y536" i="6"/>
  <c r="AH536" i="6"/>
  <c r="AE536" i="6"/>
  <c r="AB544" i="6"/>
  <c r="Y544" i="6"/>
  <c r="AH544" i="6"/>
  <c r="AE544" i="6"/>
  <c r="AF540" i="6"/>
  <c r="AC540" i="6"/>
  <c r="Z540" i="6"/>
  <c r="AI540" i="6"/>
  <c r="AA557" i="6"/>
  <c r="AJ557" i="6"/>
  <c r="AD557" i="6"/>
  <c r="AG557" i="6"/>
  <c r="AB413" i="6"/>
  <c r="Y413" i="6"/>
  <c r="AH413" i="6"/>
  <c r="AE413" i="6"/>
  <c r="AB417" i="6"/>
  <c r="Y417" i="6"/>
  <c r="AH417" i="6"/>
  <c r="AE417" i="6"/>
  <c r="AB421" i="6"/>
  <c r="Y421" i="6"/>
  <c r="AH421" i="6"/>
  <c r="AE421" i="6"/>
  <c r="AF423" i="6"/>
  <c r="Z423" i="6"/>
  <c r="AI423" i="6"/>
  <c r="AC423" i="6"/>
  <c r="AF421" i="6"/>
  <c r="AC421" i="6"/>
  <c r="Z421" i="6"/>
  <c r="AI421" i="6"/>
  <c r="AG445" i="6"/>
  <c r="AA445" i="6"/>
  <c r="AJ445" i="6"/>
  <c r="AD445" i="6"/>
  <c r="AG439" i="6"/>
  <c r="AJ439" i="6"/>
  <c r="AD439" i="6"/>
  <c r="AA439" i="6"/>
  <c r="AC478" i="6"/>
  <c r="Z478" i="6"/>
  <c r="AI478" i="6"/>
  <c r="AF478" i="6"/>
  <c r="AC482" i="6"/>
  <c r="Z482" i="6"/>
  <c r="AI482" i="6"/>
  <c r="AF482" i="6"/>
  <c r="Z503" i="6"/>
  <c r="AI503" i="6"/>
  <c r="AC503" i="6"/>
  <c r="AF503" i="6"/>
  <c r="AG488" i="6"/>
  <c r="AD488" i="6"/>
  <c r="AA488" i="6"/>
  <c r="AJ488" i="6"/>
  <c r="AG491" i="6"/>
  <c r="AD491" i="6"/>
  <c r="AA491" i="6"/>
  <c r="AJ491" i="6"/>
  <c r="AG495" i="6"/>
  <c r="AD495" i="6"/>
  <c r="AA495" i="6"/>
  <c r="AJ495" i="6"/>
  <c r="AG499" i="6"/>
  <c r="AD499" i="6"/>
  <c r="AA499" i="6"/>
  <c r="AJ499" i="6"/>
  <c r="Z509" i="6"/>
  <c r="AI509" i="6"/>
  <c r="AC509" i="6"/>
  <c r="AF509" i="6"/>
  <c r="AD517" i="6"/>
  <c r="AA517" i="6"/>
  <c r="AJ517" i="6"/>
  <c r="AG517" i="6"/>
  <c r="AD523" i="6"/>
  <c r="AA523" i="6"/>
  <c r="AJ523" i="6"/>
  <c r="AG523" i="6"/>
  <c r="AD525" i="6"/>
  <c r="AA525" i="6"/>
  <c r="AJ525" i="6"/>
  <c r="AG525" i="6"/>
  <c r="AD527" i="6"/>
  <c r="AA527" i="6"/>
  <c r="AJ527" i="6"/>
  <c r="AG527" i="6"/>
  <c r="AB532" i="6"/>
  <c r="Y532" i="6"/>
  <c r="AH532" i="6"/>
  <c r="AE532" i="6"/>
  <c r="AD535" i="6"/>
  <c r="AA535" i="6"/>
  <c r="AJ535" i="6"/>
  <c r="AG535" i="6"/>
  <c r="AB540" i="6"/>
  <c r="Y540" i="6"/>
  <c r="AH540" i="6"/>
  <c r="AE540" i="6"/>
  <c r="AD543" i="6"/>
  <c r="AA543" i="6"/>
  <c r="AJ543" i="6"/>
  <c r="AG543" i="6"/>
  <c r="AB548" i="6"/>
  <c r="Y548" i="6"/>
  <c r="AH548" i="6"/>
  <c r="AE548" i="6"/>
  <c r="AD551" i="6"/>
  <c r="AA551" i="6"/>
  <c r="AJ551" i="6"/>
  <c r="AG551" i="6"/>
  <c r="AD503" i="6"/>
  <c r="AA503" i="6"/>
  <c r="AG503" i="6"/>
  <c r="AJ503" i="6"/>
  <c r="AF528" i="6"/>
  <c r="AC528" i="6"/>
  <c r="Z528" i="6"/>
  <c r="AI528" i="6"/>
  <c r="AF536" i="6"/>
  <c r="AC536" i="6"/>
  <c r="Z536" i="6"/>
  <c r="AI536" i="6"/>
  <c r="AF544" i="6"/>
  <c r="AC544" i="6"/>
  <c r="Z544" i="6"/>
  <c r="AI544" i="6"/>
  <c r="Y552" i="6"/>
  <c r="AH552" i="6"/>
  <c r="AB552" i="6"/>
  <c r="AE552" i="6"/>
  <c r="AA555" i="6"/>
  <c r="AJ555" i="6"/>
  <c r="AD555" i="6"/>
  <c r="AG555" i="6"/>
  <c r="AA558" i="6"/>
  <c r="AJ558" i="6"/>
  <c r="AD558" i="6"/>
  <c r="AG558" i="6"/>
  <c r="AC554" i="6"/>
  <c r="Z554" i="6"/>
  <c r="AI554" i="6"/>
  <c r="AF554" i="6"/>
  <c r="AB423" i="6"/>
  <c r="AH423" i="6"/>
  <c r="AE423" i="6"/>
  <c r="Y423" i="6"/>
  <c r="AG443" i="6"/>
  <c r="AA443" i="6"/>
  <c r="AJ443" i="6"/>
  <c r="AD443" i="6"/>
  <c r="AC481" i="6"/>
  <c r="Z481" i="6"/>
  <c r="AI481" i="6"/>
  <c r="AF481" i="6"/>
  <c r="AG493" i="6"/>
  <c r="AD493" i="6"/>
  <c r="AA493" i="6"/>
  <c r="AJ493" i="6"/>
  <c r="AB524" i="6"/>
  <c r="Y524" i="6"/>
  <c r="AH524" i="6"/>
  <c r="AE524" i="6"/>
  <c r="AD531" i="6"/>
  <c r="AA531" i="6"/>
  <c r="AJ531" i="6"/>
  <c r="AG531" i="6"/>
  <c r="AD539" i="6"/>
  <c r="AA539" i="6"/>
  <c r="AJ539" i="6"/>
  <c r="AG539" i="6"/>
  <c r="AD547" i="6"/>
  <c r="AA547" i="6"/>
  <c r="AJ547" i="6"/>
  <c r="AG547" i="6"/>
  <c r="AF548" i="6"/>
  <c r="AC548" i="6"/>
  <c r="Z548" i="6"/>
  <c r="AI548" i="6"/>
  <c r="AD414" i="6"/>
  <c r="AA414" i="6"/>
  <c r="AJ414" i="6"/>
  <c r="AG414" i="6"/>
  <c r="AD418" i="6"/>
  <c r="AA418" i="6"/>
  <c r="AJ418" i="6"/>
  <c r="AG418" i="6"/>
  <c r="AD422" i="6"/>
  <c r="AA422" i="6"/>
  <c r="AJ422" i="6"/>
  <c r="AG422" i="6"/>
  <c r="AF417" i="6"/>
  <c r="AC417" i="6"/>
  <c r="Z417" i="6"/>
  <c r="AI417" i="6"/>
  <c r="AF415" i="6"/>
  <c r="AC415" i="6"/>
  <c r="Z415" i="6"/>
  <c r="AI415" i="6"/>
  <c r="AC441" i="6"/>
  <c r="AI441" i="6"/>
  <c r="AF441" i="6"/>
  <c r="Z441" i="6"/>
  <c r="AC449" i="6"/>
  <c r="AI449" i="6"/>
  <c r="AF449" i="6"/>
  <c r="Z449" i="6"/>
  <c r="AC484" i="6"/>
  <c r="AI484" i="6"/>
  <c r="AF484" i="6"/>
  <c r="Z484" i="6"/>
  <c r="AG466" i="6"/>
  <c r="AD466" i="6"/>
  <c r="AA466" i="6"/>
  <c r="AJ466" i="6"/>
  <c r="AG458" i="6"/>
  <c r="AD458" i="6"/>
  <c r="AA458" i="6"/>
  <c r="AJ458" i="6"/>
  <c r="AG441" i="6"/>
  <c r="AA441" i="6"/>
  <c r="AJ441" i="6"/>
  <c r="AD441" i="6"/>
  <c r="AC489" i="6"/>
  <c r="Z489" i="6"/>
  <c r="AI489" i="6"/>
  <c r="AF489" i="6"/>
  <c r="AC493" i="6"/>
  <c r="Z493" i="6"/>
  <c r="AI493" i="6"/>
  <c r="AF493" i="6"/>
  <c r="AC497" i="6"/>
  <c r="Z497" i="6"/>
  <c r="AI497" i="6"/>
  <c r="AF497" i="6"/>
  <c r="Z501" i="6"/>
  <c r="AI501" i="6"/>
  <c r="AC501" i="6"/>
  <c r="AF501" i="6"/>
  <c r="AD509" i="6"/>
  <c r="AA509" i="6"/>
  <c r="AJ509" i="6"/>
  <c r="AG509" i="6"/>
  <c r="AB530" i="6"/>
  <c r="Y530" i="6"/>
  <c r="AH530" i="6"/>
  <c r="AE530" i="6"/>
  <c r="AD533" i="6"/>
  <c r="AA533" i="6"/>
  <c r="AJ533" i="6"/>
  <c r="AG533" i="6"/>
  <c r="AB538" i="6"/>
  <c r="Y538" i="6"/>
  <c r="AH538" i="6"/>
  <c r="AE538" i="6"/>
  <c r="AD541" i="6"/>
  <c r="AA541" i="6"/>
  <c r="AJ541" i="6"/>
  <c r="AG541" i="6"/>
  <c r="AB546" i="6"/>
  <c r="Y546" i="6"/>
  <c r="AH546" i="6"/>
  <c r="AE546" i="6"/>
  <c r="AD549" i="6"/>
  <c r="AA549" i="6"/>
  <c r="AJ549" i="6"/>
  <c r="AG549" i="6"/>
  <c r="AD511" i="6"/>
  <c r="AA511" i="6"/>
  <c r="AG511" i="6"/>
  <c r="AJ511" i="6"/>
  <c r="AD519" i="6"/>
  <c r="AA519" i="6"/>
  <c r="AG519" i="6"/>
  <c r="AJ519" i="6"/>
  <c r="AF530" i="6"/>
  <c r="AC530" i="6"/>
  <c r="Z530" i="6"/>
  <c r="AI530" i="6"/>
  <c r="AF538" i="6"/>
  <c r="AC538" i="6"/>
  <c r="Z538" i="6"/>
  <c r="AI538" i="6"/>
  <c r="AF546" i="6"/>
  <c r="AC546" i="6"/>
  <c r="Z546" i="6"/>
  <c r="AI546" i="6"/>
  <c r="Y556" i="6"/>
  <c r="AH556" i="6"/>
  <c r="AB556" i="6"/>
  <c r="AE556" i="6"/>
  <c r="AC556" i="6"/>
  <c r="Z556" i="6"/>
  <c r="AI556" i="6"/>
  <c r="AF556" i="6"/>
  <c r="AJ17" i="6"/>
  <c r="AD17" i="6"/>
  <c r="AG17" i="6"/>
  <c r="AA17" i="6"/>
  <c r="AB19" i="6"/>
  <c r="AH19" i="6"/>
  <c r="AE19" i="6"/>
  <c r="Y19" i="6"/>
  <c r="AB9" i="6"/>
  <c r="Y9" i="6"/>
  <c r="AH9" i="6"/>
  <c r="AE9" i="6"/>
  <c r="AB13" i="6"/>
  <c r="Y13" i="6"/>
  <c r="AH13" i="6"/>
  <c r="AE13" i="6"/>
  <c r="AH16" i="6"/>
  <c r="AB16" i="6"/>
  <c r="Y16" i="6"/>
  <c r="AE16" i="6"/>
  <c r="AH20" i="6"/>
  <c r="AB20" i="6"/>
  <c r="AE20" i="6"/>
  <c r="Y20" i="6"/>
  <c r="AF9" i="6"/>
  <c r="AC9" i="6"/>
  <c r="Z9" i="6"/>
  <c r="AI9" i="6"/>
  <c r="AF13" i="6"/>
  <c r="AC13" i="6"/>
  <c r="Z13" i="6"/>
  <c r="AI13" i="6"/>
  <c r="AI39" i="6"/>
  <c r="AC39" i="6"/>
  <c r="Z39" i="6"/>
  <c r="AF39" i="6"/>
  <c r="AC46" i="6"/>
  <c r="AI46" i="6"/>
  <c r="AF46" i="6"/>
  <c r="Z46" i="6"/>
  <c r="AA39" i="6"/>
  <c r="AG39" i="6"/>
  <c r="AD39" i="6"/>
  <c r="AJ39" i="6"/>
  <c r="AA43" i="6"/>
  <c r="AG43" i="6"/>
  <c r="AD43" i="6"/>
  <c r="AJ43" i="6"/>
  <c r="AI47" i="6"/>
  <c r="AC47" i="6"/>
  <c r="Z47" i="6"/>
  <c r="AF47" i="6"/>
  <c r="AF64" i="6"/>
  <c r="AC64" i="6"/>
  <c r="Z64" i="6"/>
  <c r="AI64" i="6"/>
  <c r="AH83" i="6"/>
  <c r="AB83" i="6"/>
  <c r="AE83" i="6"/>
  <c r="Y83" i="6"/>
  <c r="AD71" i="6"/>
  <c r="AA71" i="6"/>
  <c r="AJ71" i="6"/>
  <c r="AG71" i="6"/>
  <c r="AD75" i="6"/>
  <c r="AA75" i="6"/>
  <c r="AJ75" i="6"/>
  <c r="AG75" i="6"/>
  <c r="AD79" i="6"/>
  <c r="AA79" i="6"/>
  <c r="AJ79" i="6"/>
  <c r="AG79" i="6"/>
  <c r="AB90" i="6"/>
  <c r="Y90" i="6"/>
  <c r="AH90" i="6"/>
  <c r="AE90" i="6"/>
  <c r="AD93" i="6"/>
  <c r="AA93" i="6"/>
  <c r="AJ93" i="6"/>
  <c r="AG93" i="6"/>
  <c r="AJ98" i="6"/>
  <c r="AD98" i="6"/>
  <c r="AG98" i="6"/>
  <c r="AA98" i="6"/>
  <c r="AH101" i="6"/>
  <c r="AB101" i="6"/>
  <c r="Y101" i="6"/>
  <c r="AE101" i="6"/>
  <c r="AB86" i="6"/>
  <c r="Y86" i="6"/>
  <c r="AE86" i="6"/>
  <c r="AH86" i="6"/>
  <c r="AF90" i="6"/>
  <c r="AC90" i="6"/>
  <c r="Z90" i="6"/>
  <c r="AI90" i="6"/>
  <c r="AF94" i="6"/>
  <c r="AC94" i="6"/>
  <c r="Z94" i="6"/>
  <c r="AI94" i="6"/>
  <c r="AD103" i="6"/>
  <c r="AG103" i="6"/>
  <c r="AJ103" i="6"/>
  <c r="AA103" i="6"/>
  <c r="AH107" i="6"/>
  <c r="Y107" i="6"/>
  <c r="AE107" i="6"/>
  <c r="AB107" i="6"/>
  <c r="Z109" i="6"/>
  <c r="AF109" i="6"/>
  <c r="AC109" i="6"/>
  <c r="AI109" i="6"/>
  <c r="AD117" i="6"/>
  <c r="AA117" i="6"/>
  <c r="AG117" i="6"/>
  <c r="AJ117" i="6"/>
  <c r="AD121" i="6"/>
  <c r="AA121" i="6"/>
  <c r="AG121" i="6"/>
  <c r="AJ121" i="6"/>
  <c r="AD125" i="6"/>
  <c r="AA125" i="6"/>
  <c r="AG125" i="6"/>
  <c r="AJ125" i="6"/>
  <c r="Z133" i="6"/>
  <c r="AI133" i="6"/>
  <c r="AC133" i="6"/>
  <c r="AF133" i="6"/>
  <c r="AD131" i="6"/>
  <c r="AA131" i="6"/>
  <c r="AJ131" i="6"/>
  <c r="AG131" i="6"/>
  <c r="AC156" i="6"/>
  <c r="Z156" i="6"/>
  <c r="AI156" i="6"/>
  <c r="AF156" i="6"/>
  <c r="AC158" i="6"/>
  <c r="Z158" i="6"/>
  <c r="AI158" i="6"/>
  <c r="AF158" i="6"/>
  <c r="AC160" i="6"/>
  <c r="Z160" i="6"/>
  <c r="AI160" i="6"/>
  <c r="AF160" i="6"/>
  <c r="AC162" i="6"/>
  <c r="Z162" i="6"/>
  <c r="AI162" i="6"/>
  <c r="AF162" i="6"/>
  <c r="AC164" i="6"/>
  <c r="AI164" i="6"/>
  <c r="AF164" i="6"/>
  <c r="Z164" i="6"/>
  <c r="AA167" i="6"/>
  <c r="AG167" i="6"/>
  <c r="AJ167" i="6"/>
  <c r="AD167" i="6"/>
  <c r="AG144" i="6"/>
  <c r="AD144" i="6"/>
  <c r="AA144" i="6"/>
  <c r="AJ144" i="6"/>
  <c r="AG148" i="6"/>
  <c r="AD148" i="6"/>
  <c r="AA148" i="6"/>
  <c r="AJ148" i="6"/>
  <c r="AG152" i="6"/>
  <c r="AD152" i="6"/>
  <c r="AA152" i="6"/>
  <c r="AJ152" i="6"/>
  <c r="AG166" i="6"/>
  <c r="AA166" i="6"/>
  <c r="AJ166" i="6"/>
  <c r="AD166" i="6"/>
  <c r="AA172" i="6"/>
  <c r="AG172" i="6"/>
  <c r="AD172" i="6"/>
  <c r="AJ172" i="6"/>
  <c r="AA182" i="6"/>
  <c r="AD182" i="6"/>
  <c r="AG182" i="6"/>
  <c r="AJ182" i="6"/>
  <c r="AA186" i="6"/>
  <c r="AD186" i="6"/>
  <c r="AG186" i="6"/>
  <c r="AJ186" i="6"/>
  <c r="AA194" i="6"/>
  <c r="AD194" i="6"/>
  <c r="AG194" i="6"/>
  <c r="AJ194" i="6"/>
  <c r="Z232" i="6"/>
  <c r="AF232" i="6"/>
  <c r="AC232" i="6"/>
  <c r="AI232" i="6"/>
  <c r="Z248" i="6"/>
  <c r="AF248" i="6"/>
  <c r="AC248" i="6"/>
  <c r="AI248" i="6"/>
  <c r="AH256" i="6"/>
  <c r="Y256" i="6"/>
  <c r="AE256" i="6"/>
  <c r="AB256" i="6"/>
  <c r="Z252" i="6"/>
  <c r="AF252" i="6"/>
  <c r="AI252" i="6"/>
  <c r="AC252" i="6"/>
  <c r="AC270" i="6"/>
  <c r="Z270" i="6"/>
  <c r="AI270" i="6"/>
  <c r="AF270" i="6"/>
  <c r="AC274" i="6"/>
  <c r="Z274" i="6"/>
  <c r="AI274" i="6"/>
  <c r="AF274" i="6"/>
  <c r="AC278" i="6"/>
  <c r="Z278" i="6"/>
  <c r="AI278" i="6"/>
  <c r="AF278" i="6"/>
  <c r="AC282" i="6"/>
  <c r="Z282" i="6"/>
  <c r="AI282" i="6"/>
  <c r="AF282" i="6"/>
  <c r="AC286" i="6"/>
  <c r="Z286" i="6"/>
  <c r="AI286" i="6"/>
  <c r="AF286" i="6"/>
  <c r="AC290" i="6"/>
  <c r="Z290" i="6"/>
  <c r="AI290" i="6"/>
  <c r="AF290" i="6"/>
  <c r="Z294" i="6"/>
  <c r="AI294" i="6"/>
  <c r="AC294" i="6"/>
  <c r="AF294" i="6"/>
  <c r="AD302" i="6"/>
  <c r="AA302" i="6"/>
  <c r="AJ302" i="6"/>
  <c r="AG302" i="6"/>
  <c r="Z300" i="6"/>
  <c r="AI300" i="6"/>
  <c r="AC300" i="6"/>
  <c r="AF300" i="6"/>
  <c r="AD308" i="6"/>
  <c r="AA308" i="6"/>
  <c r="AG308" i="6"/>
  <c r="AJ308" i="6"/>
  <c r="AA381" i="6"/>
  <c r="AJ381" i="6"/>
  <c r="AG381" i="6"/>
  <c r="AD381" i="6"/>
  <c r="AG370" i="6"/>
  <c r="AD370" i="6"/>
  <c r="AA370" i="6"/>
  <c r="AJ370" i="6"/>
  <c r="AJ21" i="6"/>
  <c r="AD21" i="6"/>
  <c r="AG21" i="6"/>
  <c r="AA21" i="6"/>
  <c r="AD6" i="6"/>
  <c r="AA6" i="6"/>
  <c r="AJ6" i="6"/>
  <c r="AG6" i="6"/>
  <c r="AD10" i="6"/>
  <c r="AA10" i="6"/>
  <c r="AJ10" i="6"/>
  <c r="AG10" i="6"/>
  <c r="AD14" i="6"/>
  <c r="AJ14" i="6"/>
  <c r="AG14" i="6"/>
  <c r="AA14" i="6"/>
  <c r="AD18" i="6"/>
  <c r="AJ18" i="6"/>
  <c r="AG18" i="6"/>
  <c r="AA18" i="6"/>
  <c r="AD22" i="6"/>
  <c r="AJ22" i="6"/>
  <c r="AG22" i="6"/>
  <c r="AA22" i="6"/>
  <c r="Z20" i="6"/>
  <c r="AF20" i="6"/>
  <c r="AI20" i="6"/>
  <c r="AC20" i="6"/>
  <c r="AD67" i="6"/>
  <c r="AA67" i="6"/>
  <c r="AJ67" i="6"/>
  <c r="AG67" i="6"/>
  <c r="AF66" i="6"/>
  <c r="AC66" i="6"/>
  <c r="Z66" i="6"/>
  <c r="AI66" i="6"/>
  <c r="AD69" i="6"/>
  <c r="AA69" i="6"/>
  <c r="AJ69" i="6"/>
  <c r="AG69" i="6"/>
  <c r="AD81" i="6"/>
  <c r="AJ81" i="6"/>
  <c r="AG81" i="6"/>
  <c r="AA81" i="6"/>
  <c r="AB72" i="6"/>
  <c r="Y72" i="6"/>
  <c r="AH72" i="6"/>
  <c r="AE72" i="6"/>
  <c r="AB76" i="6"/>
  <c r="Y76" i="6"/>
  <c r="AH76" i="6"/>
  <c r="AE76" i="6"/>
  <c r="AB80" i="6"/>
  <c r="AH80" i="6"/>
  <c r="Y80" i="6"/>
  <c r="AE80" i="6"/>
  <c r="AB84" i="6"/>
  <c r="AH84" i="6"/>
  <c r="AE84" i="6"/>
  <c r="Y84" i="6"/>
  <c r="AF74" i="6"/>
  <c r="AC74" i="6"/>
  <c r="Z74" i="6"/>
  <c r="AI74" i="6"/>
  <c r="AF78" i="6"/>
  <c r="AC78" i="6"/>
  <c r="Z78" i="6"/>
  <c r="AI78" i="6"/>
  <c r="AD85" i="6"/>
  <c r="AA85" i="6"/>
  <c r="AG85" i="6"/>
  <c r="AJ85" i="6"/>
  <c r="AB88" i="6"/>
  <c r="Y88" i="6"/>
  <c r="AH88" i="6"/>
  <c r="AE88" i="6"/>
  <c r="AD91" i="6"/>
  <c r="AA91" i="6"/>
  <c r="AJ91" i="6"/>
  <c r="AG91" i="6"/>
  <c r="AB96" i="6"/>
  <c r="AH96" i="6"/>
  <c r="AE96" i="6"/>
  <c r="Y96" i="6"/>
  <c r="AJ108" i="6"/>
  <c r="AD108" i="6"/>
  <c r="AA108" i="6"/>
  <c r="AG108" i="6"/>
  <c r="Z101" i="6"/>
  <c r="AF101" i="6"/>
  <c r="AC101" i="6"/>
  <c r="AI101" i="6"/>
  <c r="AF86" i="6"/>
  <c r="AI86" i="6"/>
  <c r="Z86" i="6"/>
  <c r="AC86" i="6"/>
  <c r="Z113" i="6"/>
  <c r="AI113" i="6"/>
  <c r="AC113" i="6"/>
  <c r="AF113" i="6"/>
  <c r="Z115" i="6"/>
  <c r="AI115" i="6"/>
  <c r="AC115" i="6"/>
  <c r="AF115" i="6"/>
  <c r="Z119" i="6"/>
  <c r="AI119" i="6"/>
  <c r="AC119" i="6"/>
  <c r="AF119" i="6"/>
  <c r="Z123" i="6"/>
  <c r="AI123" i="6"/>
  <c r="AC123" i="6"/>
  <c r="AF123" i="6"/>
  <c r="AD133" i="6"/>
  <c r="AA133" i="6"/>
  <c r="AG133" i="6"/>
  <c r="AJ133" i="6"/>
  <c r="AC168" i="6"/>
  <c r="AI168" i="6"/>
  <c r="AF168" i="6"/>
  <c r="Z168" i="6"/>
  <c r="AC146" i="6"/>
  <c r="Z146" i="6"/>
  <c r="AI146" i="6"/>
  <c r="AF146" i="6"/>
  <c r="AC150" i="6"/>
  <c r="Z150" i="6"/>
  <c r="AI150" i="6"/>
  <c r="AF150" i="6"/>
  <c r="AC154" i="6"/>
  <c r="Z154" i="6"/>
  <c r="AI154" i="6"/>
  <c r="AF154" i="6"/>
  <c r="AI167" i="6"/>
  <c r="AC167" i="6"/>
  <c r="AF167" i="6"/>
  <c r="Z167" i="6"/>
  <c r="AJ257" i="6"/>
  <c r="AA257" i="6"/>
  <c r="AG257" i="6"/>
  <c r="AD257" i="6"/>
  <c r="AJ265" i="6"/>
  <c r="AA265" i="6"/>
  <c r="AG265" i="6"/>
  <c r="AD265" i="6"/>
  <c r="Z228" i="6"/>
  <c r="AF228" i="6"/>
  <c r="AC228" i="6"/>
  <c r="AI228" i="6"/>
  <c r="Z244" i="6"/>
  <c r="AF244" i="6"/>
  <c r="AC244" i="6"/>
  <c r="AI244" i="6"/>
  <c r="AB253" i="6"/>
  <c r="AH253" i="6"/>
  <c r="Y253" i="6"/>
  <c r="AE253" i="6"/>
  <c r="Z258" i="6"/>
  <c r="AF258" i="6"/>
  <c r="AC258" i="6"/>
  <c r="AI258" i="6"/>
  <c r="AC266" i="6"/>
  <c r="Z266" i="6"/>
  <c r="AI266" i="6"/>
  <c r="AF266" i="6"/>
  <c r="AD260" i="6"/>
  <c r="AA260" i="6"/>
  <c r="AG260" i="6"/>
  <c r="AJ260" i="6"/>
  <c r="AG270" i="6"/>
  <c r="AD270" i="6"/>
  <c r="AA270" i="6"/>
  <c r="AJ270" i="6"/>
  <c r="AG274" i="6"/>
  <c r="AD274" i="6"/>
  <c r="AA274" i="6"/>
  <c r="AJ274" i="6"/>
  <c r="AG278" i="6"/>
  <c r="AD278" i="6"/>
  <c r="AA278" i="6"/>
  <c r="AJ278" i="6"/>
  <c r="AG282" i="6"/>
  <c r="AD282" i="6"/>
  <c r="AA282" i="6"/>
  <c r="AJ282" i="6"/>
  <c r="AG286" i="6"/>
  <c r="AD286" i="6"/>
  <c r="AA286" i="6"/>
  <c r="AJ286" i="6"/>
  <c r="AG290" i="6"/>
  <c r="AD290" i="6"/>
  <c r="AA290" i="6"/>
  <c r="AJ290" i="6"/>
  <c r="AD294" i="6"/>
  <c r="AA294" i="6"/>
  <c r="AJ294" i="6"/>
  <c r="AG294" i="6"/>
  <c r="Z318" i="6"/>
  <c r="AI318" i="6"/>
  <c r="AC318" i="6"/>
  <c r="AF318" i="6"/>
  <c r="AD300" i="6"/>
  <c r="AA300" i="6"/>
  <c r="AG300" i="6"/>
  <c r="AJ300" i="6"/>
  <c r="AI379" i="6"/>
  <c r="Z379" i="6"/>
  <c r="AF379" i="6"/>
  <c r="AC379" i="6"/>
  <c r="AI387" i="6"/>
  <c r="AC387" i="6"/>
  <c r="Z387" i="6"/>
  <c r="AF387" i="6"/>
  <c r="AG374" i="6"/>
  <c r="AD374" i="6"/>
  <c r="AJ374" i="6"/>
  <c r="AA374" i="6"/>
  <c r="AB7" i="6"/>
  <c r="Y7" i="6"/>
  <c r="AH7" i="6"/>
  <c r="AE7" i="6"/>
  <c r="AB11" i="6"/>
  <c r="Y11" i="6"/>
  <c r="AH11" i="6"/>
  <c r="AE11" i="6"/>
  <c r="AF7" i="6"/>
  <c r="AC7" i="6"/>
  <c r="Z7" i="6"/>
  <c r="AI7" i="6"/>
  <c r="AF11" i="6"/>
  <c r="AC11" i="6"/>
  <c r="Z11" i="6"/>
  <c r="AI11" i="6"/>
  <c r="AI43" i="6"/>
  <c r="AC43" i="6"/>
  <c r="Z43" i="6"/>
  <c r="AF43" i="6"/>
  <c r="AA41" i="6"/>
  <c r="AG41" i="6"/>
  <c r="AD41" i="6"/>
  <c r="AJ41" i="6"/>
  <c r="AH85" i="6"/>
  <c r="AB85" i="6"/>
  <c r="Y85" i="6"/>
  <c r="AE85" i="6"/>
  <c r="AD73" i="6"/>
  <c r="AA73" i="6"/>
  <c r="AJ73" i="6"/>
  <c r="AG73" i="6"/>
  <c r="AD77" i="6"/>
  <c r="AA77" i="6"/>
  <c r="AJ77" i="6"/>
  <c r="AG77" i="6"/>
  <c r="AJ82" i="6"/>
  <c r="AD82" i="6"/>
  <c r="AG82" i="6"/>
  <c r="AA82" i="6"/>
  <c r="AD89" i="6"/>
  <c r="AA89" i="6"/>
  <c r="AJ89" i="6"/>
  <c r="AG89" i="6"/>
  <c r="AB94" i="6"/>
  <c r="Y94" i="6"/>
  <c r="AH94" i="6"/>
  <c r="AE94" i="6"/>
  <c r="AH109" i="6"/>
  <c r="AB109" i="6"/>
  <c r="Y109" i="6"/>
  <c r="AE109" i="6"/>
  <c r="AF88" i="6"/>
  <c r="AC88" i="6"/>
  <c r="Z88" i="6"/>
  <c r="AI88" i="6"/>
  <c r="AF92" i="6"/>
  <c r="AC92" i="6"/>
  <c r="Z92" i="6"/>
  <c r="AI92" i="6"/>
  <c r="AF96" i="6"/>
  <c r="Z96" i="6"/>
  <c r="AC96" i="6"/>
  <c r="AI96" i="6"/>
  <c r="AH99" i="6"/>
  <c r="Y99" i="6"/>
  <c r="AE99" i="6"/>
  <c r="AB99" i="6"/>
  <c r="AD115" i="6"/>
  <c r="AA115" i="6"/>
  <c r="AG115" i="6"/>
  <c r="AJ115" i="6"/>
  <c r="AD119" i="6"/>
  <c r="AA119" i="6"/>
  <c r="AG119" i="6"/>
  <c r="AJ119" i="6"/>
  <c r="AD123" i="6"/>
  <c r="AA123" i="6"/>
  <c r="AG123" i="6"/>
  <c r="AJ123" i="6"/>
  <c r="AI170" i="6"/>
  <c r="AC170" i="6"/>
  <c r="Z170" i="6"/>
  <c r="AF170" i="6"/>
  <c r="AG146" i="6"/>
  <c r="AD146" i="6"/>
  <c r="AA146" i="6"/>
  <c r="AJ146" i="6"/>
  <c r="AG150" i="6"/>
  <c r="AD150" i="6"/>
  <c r="AA150" i="6"/>
  <c r="AJ150" i="6"/>
  <c r="AG154" i="6"/>
  <c r="AD154" i="6"/>
  <c r="AA154" i="6"/>
  <c r="AJ154" i="6"/>
  <c r="AI172" i="6"/>
  <c r="AC172" i="6"/>
  <c r="Z172" i="6"/>
  <c r="AF172" i="6"/>
  <c r="AA190" i="6"/>
  <c r="AD190" i="6"/>
  <c r="AG190" i="6"/>
  <c r="AJ190" i="6"/>
  <c r="AH252" i="6"/>
  <c r="AB252" i="6"/>
  <c r="AE252" i="6"/>
  <c r="Y252" i="6"/>
  <c r="AH258" i="6"/>
  <c r="Y258" i="6"/>
  <c r="AE258" i="6"/>
  <c r="AB258" i="6"/>
  <c r="Y266" i="6"/>
  <c r="AH266" i="6"/>
  <c r="AE266" i="6"/>
  <c r="AB266" i="6"/>
  <c r="Z240" i="6"/>
  <c r="AF240" i="6"/>
  <c r="AC240" i="6"/>
  <c r="AI240" i="6"/>
  <c r="AJ255" i="6"/>
  <c r="AA255" i="6"/>
  <c r="AG255" i="6"/>
  <c r="AD255" i="6"/>
  <c r="AJ263" i="6"/>
  <c r="AA263" i="6"/>
  <c r="AG263" i="6"/>
  <c r="AD263" i="6"/>
  <c r="AC268" i="6"/>
  <c r="Z268" i="6"/>
  <c r="AI268" i="6"/>
  <c r="AF268" i="6"/>
  <c r="AC272" i="6"/>
  <c r="Z272" i="6"/>
  <c r="AI272" i="6"/>
  <c r="AF272" i="6"/>
  <c r="AC276" i="6"/>
  <c r="Z276" i="6"/>
  <c r="AI276" i="6"/>
  <c r="AF276" i="6"/>
  <c r="AC284" i="6"/>
  <c r="Z284" i="6"/>
  <c r="AI284" i="6"/>
  <c r="AF284" i="6"/>
  <c r="AC288" i="6"/>
  <c r="Z288" i="6"/>
  <c r="AI288" i="6"/>
  <c r="AF288" i="6"/>
  <c r="AC292" i="6"/>
  <c r="Z292" i="6"/>
  <c r="AI292" i="6"/>
  <c r="AF292" i="6"/>
  <c r="Z310" i="6"/>
  <c r="AI310" i="6"/>
  <c r="AC310" i="6"/>
  <c r="AF310" i="6"/>
  <c r="AD318" i="6"/>
  <c r="AA318" i="6"/>
  <c r="AJ318" i="6"/>
  <c r="AG318" i="6"/>
  <c r="Z316" i="6"/>
  <c r="AI316" i="6"/>
  <c r="AC316" i="6"/>
  <c r="AF316" i="6"/>
  <c r="AI385" i="6"/>
  <c r="Z385" i="6"/>
  <c r="AF385" i="6"/>
  <c r="AC385" i="6"/>
  <c r="AA385" i="6"/>
  <c r="AD385" i="6"/>
  <c r="AJ385" i="6"/>
  <c r="AG385" i="6"/>
  <c r="AB15" i="6"/>
  <c r="AH15" i="6"/>
  <c r="AE15" i="6"/>
  <c r="Y15" i="6"/>
  <c r="AD8" i="6"/>
  <c r="AA8" i="6"/>
  <c r="AJ8" i="6"/>
  <c r="AG8" i="6"/>
  <c r="AD12" i="6"/>
  <c r="AA12" i="6"/>
  <c r="AJ12" i="6"/>
  <c r="AG12" i="6"/>
  <c r="AF15" i="6"/>
  <c r="Z15" i="6"/>
  <c r="AI15" i="6"/>
  <c r="AC15" i="6"/>
  <c r="AF19" i="6"/>
  <c r="Z19" i="6"/>
  <c r="AC19" i="6"/>
  <c r="AI19" i="6"/>
  <c r="Z16" i="6"/>
  <c r="AF16" i="6"/>
  <c r="AI16" i="6"/>
  <c r="AC16" i="6"/>
  <c r="AI41" i="6"/>
  <c r="AC41" i="6"/>
  <c r="Z41" i="6"/>
  <c r="AF41" i="6"/>
  <c r="AG46" i="6"/>
  <c r="AA46" i="6"/>
  <c r="AJ46" i="6"/>
  <c r="AD46" i="6"/>
  <c r="AB68" i="6"/>
  <c r="Y68" i="6"/>
  <c r="AH68" i="6"/>
  <c r="AE68" i="6"/>
  <c r="AF82" i="6"/>
  <c r="Z82" i="6"/>
  <c r="AI82" i="6"/>
  <c r="AC82" i="6"/>
  <c r="AB74" i="6"/>
  <c r="Y74" i="6"/>
  <c r="AH74" i="6"/>
  <c r="AE74" i="6"/>
  <c r="AB78" i="6"/>
  <c r="Y78" i="6"/>
  <c r="AH78" i="6"/>
  <c r="AE78" i="6"/>
  <c r="AF72" i="6"/>
  <c r="AC72" i="6"/>
  <c r="Z72" i="6"/>
  <c r="AI72" i="6"/>
  <c r="AF76" i="6"/>
  <c r="AC76" i="6"/>
  <c r="Z76" i="6"/>
  <c r="AI76" i="6"/>
  <c r="AF80" i="6"/>
  <c r="Z80" i="6"/>
  <c r="AI80" i="6"/>
  <c r="AC80" i="6"/>
  <c r="AD87" i="6"/>
  <c r="AA87" i="6"/>
  <c r="AJ87" i="6"/>
  <c r="AG87" i="6"/>
  <c r="AB92" i="6"/>
  <c r="Y92" i="6"/>
  <c r="AH92" i="6"/>
  <c r="AE92" i="6"/>
  <c r="AD95" i="6"/>
  <c r="AA95" i="6"/>
  <c r="AJ95" i="6"/>
  <c r="AG95" i="6"/>
  <c r="AJ100" i="6"/>
  <c r="AD100" i="6"/>
  <c r="AA100" i="6"/>
  <c r="AG100" i="6"/>
  <c r="AH97" i="6"/>
  <c r="AB97" i="6"/>
  <c r="AE97" i="6"/>
  <c r="Y97" i="6"/>
  <c r="AJ106" i="6"/>
  <c r="AA106" i="6"/>
  <c r="AG106" i="6"/>
  <c r="AD106" i="6"/>
  <c r="Z117" i="6"/>
  <c r="AI117" i="6"/>
  <c r="AC117" i="6"/>
  <c r="AF117" i="6"/>
  <c r="Z121" i="6"/>
  <c r="AI121" i="6"/>
  <c r="AC121" i="6"/>
  <c r="AF121" i="6"/>
  <c r="Z125" i="6"/>
  <c r="AI125" i="6"/>
  <c r="AC125" i="6"/>
  <c r="AF125" i="6"/>
  <c r="Z131" i="6"/>
  <c r="AI131" i="6"/>
  <c r="AC131" i="6"/>
  <c r="AF131" i="6"/>
  <c r="AI178" i="6"/>
  <c r="Z178" i="6"/>
  <c r="AF178" i="6"/>
  <c r="AC178" i="6"/>
  <c r="AC144" i="6"/>
  <c r="Z144" i="6"/>
  <c r="AI144" i="6"/>
  <c r="AF144" i="6"/>
  <c r="AC148" i="6"/>
  <c r="Z148" i="6"/>
  <c r="AI148" i="6"/>
  <c r="AF148" i="6"/>
  <c r="AC152" i="6"/>
  <c r="Z152" i="6"/>
  <c r="AI152" i="6"/>
  <c r="AF152" i="6"/>
  <c r="AA174" i="6"/>
  <c r="AD174" i="6"/>
  <c r="AJ174" i="6"/>
  <c r="AG174" i="6"/>
  <c r="AJ201" i="6"/>
  <c r="AG201" i="6"/>
  <c r="AD201" i="6"/>
  <c r="AA201" i="6"/>
  <c r="AG175" i="6"/>
  <c r="AA175" i="6"/>
  <c r="AJ175" i="6"/>
  <c r="AD175" i="6"/>
  <c r="AD250" i="6"/>
  <c r="AJ250" i="6"/>
  <c r="AG250" i="6"/>
  <c r="AA250" i="6"/>
  <c r="AD254" i="6"/>
  <c r="AJ254" i="6"/>
  <c r="AG254" i="6"/>
  <c r="AA254" i="6"/>
  <c r="Z236" i="6"/>
  <c r="AF236" i="6"/>
  <c r="AC236" i="6"/>
  <c r="AI236" i="6"/>
  <c r="AJ251" i="6"/>
  <c r="AD251" i="6"/>
  <c r="AG251" i="6"/>
  <c r="AA251" i="6"/>
  <c r="AH264" i="6"/>
  <c r="Y264" i="6"/>
  <c r="AE264" i="6"/>
  <c r="AB264" i="6"/>
  <c r="AG268" i="6"/>
  <c r="AD268" i="6"/>
  <c r="AA268" i="6"/>
  <c r="AJ268" i="6"/>
  <c r="AG272" i="6"/>
  <c r="AD272" i="6"/>
  <c r="AA272" i="6"/>
  <c r="AJ272" i="6"/>
  <c r="AG276" i="6"/>
  <c r="AD276" i="6"/>
  <c r="AA276" i="6"/>
  <c r="AJ276" i="6"/>
  <c r="AG284" i="6"/>
  <c r="AD284" i="6"/>
  <c r="AA284" i="6"/>
  <c r="AJ284" i="6"/>
  <c r="AG288" i="6"/>
  <c r="AD288" i="6"/>
  <c r="AA288" i="6"/>
  <c r="AJ288" i="6"/>
  <c r="AG292" i="6"/>
  <c r="AD292" i="6"/>
  <c r="AA292" i="6"/>
  <c r="AJ292" i="6"/>
  <c r="Z302" i="6"/>
  <c r="AI302" i="6"/>
  <c r="AC302" i="6"/>
  <c r="AF302" i="6"/>
  <c r="AD310" i="6"/>
  <c r="AA310" i="6"/>
  <c r="AJ310" i="6"/>
  <c r="AG310" i="6"/>
  <c r="Z308" i="6"/>
  <c r="AI308" i="6"/>
  <c r="AC308" i="6"/>
  <c r="AF308" i="6"/>
  <c r="AD316" i="6"/>
  <c r="AA316" i="6"/>
  <c r="AG316" i="6"/>
  <c r="AJ316" i="6"/>
  <c r="AI324" i="6"/>
  <c r="Z324" i="6"/>
  <c r="AF324" i="6"/>
  <c r="AC324" i="6"/>
  <c r="AG366" i="6"/>
  <c r="AD366" i="6"/>
  <c r="AA366" i="6"/>
  <c r="AJ366" i="6"/>
  <c r="AH404" i="1"/>
  <c r="EG399" i="1"/>
  <c r="BL401" i="1"/>
  <c r="DR404" i="1"/>
  <c r="EG404" i="1"/>
  <c r="DR399" i="1"/>
  <c r="EG400" i="1"/>
  <c r="DR401" i="1"/>
  <c r="BL404" i="1"/>
  <c r="BL399" i="1"/>
  <c r="BL402" i="1"/>
  <c r="BL403" i="1"/>
  <c r="DR400" i="1"/>
  <c r="DR402" i="1"/>
  <c r="DR403" i="1"/>
  <c r="AH403" i="1"/>
  <c r="AH402" i="1"/>
  <c r="AH401" i="1"/>
  <c r="AH400" i="1"/>
  <c r="BN400" i="6"/>
  <c r="BO400" i="6"/>
  <c r="AH399" i="1"/>
  <c r="BW398" i="1"/>
  <c r="AO398" i="1"/>
  <c r="BO398" i="6"/>
  <c r="BN398" i="6"/>
  <c r="BM398" i="6"/>
  <c r="BO397" i="6"/>
  <c r="BN397" i="6"/>
  <c r="BM397" i="6"/>
  <c r="BW397" i="1"/>
  <c r="AO397" i="1"/>
  <c r="EL402" i="1" l="1"/>
  <c r="EM402" i="1"/>
  <c r="EM403" i="1"/>
  <c r="EL403" i="1"/>
  <c r="CU401" i="1"/>
  <c r="CV401" i="1"/>
  <c r="EM400" i="1"/>
  <c r="EL400" i="1"/>
  <c r="EM401" i="1"/>
  <c r="EL401" i="1"/>
  <c r="EL404" i="1"/>
  <c r="EM404" i="1"/>
  <c r="EM399" i="1"/>
  <c r="EL399" i="1"/>
  <c r="DW404" i="1"/>
  <c r="DX404" i="1"/>
  <c r="DW399" i="1"/>
  <c r="DY399" i="1" s="1"/>
  <c r="DX399" i="1"/>
  <c r="DZ399" i="1" s="1"/>
  <c r="ED399" i="1" s="1"/>
  <c r="DW401" i="1"/>
  <c r="DY401" i="1" s="1"/>
  <c r="DX401" i="1"/>
  <c r="DZ401" i="1" s="1"/>
  <c r="DW403" i="1"/>
  <c r="DX403" i="1"/>
  <c r="DW402" i="1"/>
  <c r="DY402" i="1" s="1"/>
  <c r="DX402" i="1"/>
  <c r="DZ402" i="1" s="1"/>
  <c r="DX400" i="1"/>
  <c r="DZ400" i="1" s="1"/>
  <c r="DW400" i="1"/>
  <c r="DY400" i="1" s="1"/>
  <c r="AH398" i="1"/>
  <c r="AH397" i="1"/>
  <c r="BW396" i="1"/>
  <c r="AO396" i="1"/>
  <c r="BM396" i="6"/>
  <c r="BN396" i="6"/>
  <c r="BO396" i="6"/>
  <c r="BW395" i="1"/>
  <c r="AO395" i="1"/>
  <c r="O398" i="1"/>
  <c r="O397" i="1"/>
  <c r="O396" i="1"/>
  <c r="O395" i="1"/>
  <c r="L398" i="1"/>
  <c r="L397" i="1"/>
  <c r="L396" i="1"/>
  <c r="L395" i="1"/>
  <c r="BN398" i="1"/>
  <c r="BN397" i="1"/>
  <c r="B395" i="1"/>
  <c r="B396" i="1"/>
  <c r="B397" i="1"/>
  <c r="B398" i="1"/>
  <c r="BM395" i="6"/>
  <c r="BN395" i="6"/>
  <c r="BO395" i="6"/>
  <c r="EC399" i="1" l="1"/>
  <c r="EE399" i="1" s="1"/>
  <c r="CB395" i="1"/>
  <c r="CB398" i="1"/>
  <c r="CB396" i="1"/>
  <c r="CB397" i="1"/>
  <c r="BN395" i="1"/>
  <c r="BN396" i="1"/>
  <c r="EK398" i="1"/>
  <c r="DV398" i="1"/>
  <c r="EK395" i="1"/>
  <c r="DV395" i="1"/>
  <c r="EK396" i="1"/>
  <c r="DV396" i="1"/>
  <c r="EK397" i="1"/>
  <c r="DV397" i="1"/>
  <c r="BS395" i="1"/>
  <c r="BS396" i="1"/>
  <c r="BS397" i="1"/>
  <c r="BS398" i="1"/>
  <c r="BL397" i="1"/>
  <c r="EG397" i="1"/>
  <c r="DR397" i="1"/>
  <c r="EG398" i="1"/>
  <c r="DR398" i="1"/>
  <c r="BL398" i="1"/>
  <c r="DR396" i="1"/>
  <c r="BL396" i="1"/>
  <c r="AH395" i="1"/>
  <c r="EG396" i="1"/>
  <c r="BL395" i="1"/>
  <c r="DR395" i="1"/>
  <c r="EG395" i="1"/>
  <c r="EL396" i="1" l="1"/>
  <c r="EM396" i="1"/>
  <c r="CU398" i="1"/>
  <c r="CV398" i="1"/>
  <c r="EM398" i="1"/>
  <c r="EL398" i="1"/>
  <c r="EM395" i="1"/>
  <c r="EL395" i="1"/>
  <c r="EM397" i="1"/>
  <c r="EL397" i="1"/>
  <c r="DW395" i="1"/>
  <c r="DY395" i="1" s="1"/>
  <c r="DX395" i="1"/>
  <c r="DZ395" i="1" s="1"/>
  <c r="DW396" i="1"/>
  <c r="DX396" i="1"/>
  <c r="DW398" i="1"/>
  <c r="DY398" i="1" s="1"/>
  <c r="DX398" i="1"/>
  <c r="DZ398" i="1" s="1"/>
  <c r="DW397" i="1"/>
  <c r="DX397" i="1"/>
  <c r="B376" i="1"/>
  <c r="EW40" i="1" l="1"/>
  <c r="EW43" i="1"/>
  <c r="CP389" i="1" l="1"/>
  <c r="DY457" i="1"/>
  <c r="DY458" i="1"/>
  <c r="DY538" i="1"/>
  <c r="DY465" i="1"/>
  <c r="DY448" i="1"/>
  <c r="DY450" i="1"/>
  <c r="EC450" i="1" s="1"/>
  <c r="EE450" i="1" s="1"/>
  <c r="CP257" i="1"/>
  <c r="CP466" i="1"/>
  <c r="CP448" i="1"/>
  <c r="CP450" i="1"/>
  <c r="CP223" i="1"/>
  <c r="CP486" i="1"/>
  <c r="CP284" i="1"/>
  <c r="FA31" i="1"/>
  <c r="BM605" i="1" l="1"/>
  <c r="BM604" i="1"/>
  <c r="BM606" i="1"/>
  <c r="BM607" i="1"/>
  <c r="BM602" i="1"/>
  <c r="BM601" i="1"/>
  <c r="BM603" i="1"/>
  <c r="CU450" i="1"/>
  <c r="CX450" i="1" s="1"/>
  <c r="BM600" i="1"/>
  <c r="BM599" i="1"/>
  <c r="BM598" i="1"/>
  <c r="BM596" i="1"/>
  <c r="BM597" i="1"/>
  <c r="BM591" i="1"/>
  <c r="BM594" i="1"/>
  <c r="BM595" i="1"/>
  <c r="BM592" i="1"/>
  <c r="BM593" i="1"/>
  <c r="BM589" i="1"/>
  <c r="BM590" i="1"/>
  <c r="BM587" i="1"/>
  <c r="BM586" i="1"/>
  <c r="BM588" i="1"/>
  <c r="BM581" i="1"/>
  <c r="BM583" i="1"/>
  <c r="BM584" i="1"/>
  <c r="BM585" i="1"/>
  <c r="BM580" i="1"/>
  <c r="BM582" i="1"/>
  <c r="BM578" i="1"/>
  <c r="BM579" i="1"/>
  <c r="BM576" i="1"/>
  <c r="BM575" i="1"/>
  <c r="BM573" i="1"/>
  <c r="BM574" i="1"/>
  <c r="BM572" i="1"/>
  <c r="BM577" i="1"/>
  <c r="BM570" i="1"/>
  <c r="BM571" i="1"/>
  <c r="BM568" i="1"/>
  <c r="BM569" i="1"/>
  <c r="BM554" i="1"/>
  <c r="BM565" i="1"/>
  <c r="BM567" i="1"/>
  <c r="BM566" i="1"/>
  <c r="BM563" i="1"/>
  <c r="BM564" i="1"/>
  <c r="BM562" i="1"/>
  <c r="BM560" i="1"/>
  <c r="BM561" i="1"/>
  <c r="BM556" i="1"/>
  <c r="BM559" i="1"/>
  <c r="BM555" i="1"/>
  <c r="BM558" i="1"/>
  <c r="BM557" i="1"/>
  <c r="BM550" i="1"/>
  <c r="BM553" i="1"/>
  <c r="BM552" i="1"/>
  <c r="BM551" i="1"/>
  <c r="BM549" i="1"/>
  <c r="BM543" i="1"/>
  <c r="BM544" i="1"/>
  <c r="BM546" i="1"/>
  <c r="BM545" i="1"/>
  <c r="BM548" i="1"/>
  <c r="BM547" i="1"/>
  <c r="BM542" i="1"/>
  <c r="BM541" i="1"/>
  <c r="BM535" i="1"/>
  <c r="BM539" i="1"/>
  <c r="BM530" i="1"/>
  <c r="BM531" i="1"/>
  <c r="BM533" i="1"/>
  <c r="BM536" i="1"/>
  <c r="BM529" i="1"/>
  <c r="BM532" i="1"/>
  <c r="BM538" i="1"/>
  <c r="BM534" i="1"/>
  <c r="BM537" i="1"/>
  <c r="BM540" i="1"/>
  <c r="BM528" i="1"/>
  <c r="BM527" i="1"/>
  <c r="BM525" i="1"/>
  <c r="BM526" i="1"/>
  <c r="BM522" i="1"/>
  <c r="BM520" i="1"/>
  <c r="BM521" i="1"/>
  <c r="BM519" i="1"/>
  <c r="BM523" i="1"/>
  <c r="BM524" i="1"/>
  <c r="BM518" i="1"/>
  <c r="BM517" i="1"/>
  <c r="BM515" i="1"/>
  <c r="BM512" i="1"/>
  <c r="BM514" i="1"/>
  <c r="BM513" i="1"/>
  <c r="BM511" i="1"/>
  <c r="BM516" i="1"/>
  <c r="BM509" i="1"/>
  <c r="BM508" i="1"/>
  <c r="BM510" i="1"/>
  <c r="BM507" i="1"/>
  <c r="BM505" i="1"/>
  <c r="BM506" i="1"/>
  <c r="BM501" i="1"/>
  <c r="BM502" i="1"/>
  <c r="BM504" i="1"/>
  <c r="BM503" i="1"/>
  <c r="BM499" i="1"/>
  <c r="BM500" i="1"/>
  <c r="BM494" i="1"/>
  <c r="BM496" i="1"/>
  <c r="BM495" i="1"/>
  <c r="BM497" i="1"/>
  <c r="BM493" i="1"/>
  <c r="BM498" i="1"/>
  <c r="BM487" i="1"/>
  <c r="BM492" i="1"/>
  <c r="BM489" i="1"/>
  <c r="BM491" i="1"/>
  <c r="BM490" i="1"/>
  <c r="BM482" i="1"/>
  <c r="BM486" i="1"/>
  <c r="BM488" i="1"/>
  <c r="BM484" i="1"/>
  <c r="BM483" i="1"/>
  <c r="BM485" i="1"/>
  <c r="BM481" i="1"/>
  <c r="BM480" i="1"/>
  <c r="BM478" i="1"/>
  <c r="BM477" i="1"/>
  <c r="BM473" i="1"/>
  <c r="BM476" i="1"/>
  <c r="BM479" i="1"/>
  <c r="BM475" i="1"/>
  <c r="BM474" i="1"/>
  <c r="BM470" i="1"/>
  <c r="BM471" i="1"/>
  <c r="BM472" i="1"/>
  <c r="BM469" i="1"/>
  <c r="BM468" i="1"/>
  <c r="BM467" i="1"/>
  <c r="BM466" i="1"/>
  <c r="BM464" i="1"/>
  <c r="BM463" i="1"/>
  <c r="BM465" i="1"/>
  <c r="BM229" i="1"/>
  <c r="BM461" i="1"/>
  <c r="BM462" i="1"/>
  <c r="BM458" i="1"/>
  <c r="BM459" i="1"/>
  <c r="BM457" i="1"/>
  <c r="BM456" i="1"/>
  <c r="BM460" i="1"/>
  <c r="BM454" i="1"/>
  <c r="BM455" i="1"/>
  <c r="BM451" i="1"/>
  <c r="BM453" i="1"/>
  <c r="BM452" i="1"/>
  <c r="BM449" i="1"/>
  <c r="BM450" i="1"/>
  <c r="BM446" i="1"/>
  <c r="BM447" i="1"/>
  <c r="BM448" i="1"/>
  <c r="BM445" i="1"/>
  <c r="BM443" i="1"/>
  <c r="BM444" i="1"/>
  <c r="BM442" i="1"/>
  <c r="BM441" i="1"/>
  <c r="BM440" i="1"/>
  <c r="BM438" i="1"/>
  <c r="BM437" i="1"/>
  <c r="BM439" i="1"/>
  <c r="BM436" i="1"/>
  <c r="BM435" i="1"/>
  <c r="BM434" i="1"/>
  <c r="BM433" i="1"/>
  <c r="BM428" i="1"/>
  <c r="BM431" i="1"/>
  <c r="BM429" i="1"/>
  <c r="BM167" i="1"/>
  <c r="BM432" i="1"/>
  <c r="BM427" i="1"/>
  <c r="BM430" i="1"/>
  <c r="BM425" i="1"/>
  <c r="BM426" i="1"/>
  <c r="BM422" i="1"/>
  <c r="BM420" i="1"/>
  <c r="BM419" i="1"/>
  <c r="BM423" i="1"/>
  <c r="BM424" i="1"/>
  <c r="BM421" i="1"/>
  <c r="BM415" i="1"/>
  <c r="BM418" i="1"/>
  <c r="BM414" i="1"/>
  <c r="BM416" i="1"/>
  <c r="BM417" i="1"/>
  <c r="BM413" i="1"/>
  <c r="BM412" i="1"/>
  <c r="BM410" i="1"/>
  <c r="BM409" i="1"/>
  <c r="BM408" i="1"/>
  <c r="BM411" i="1"/>
  <c r="BM405" i="1"/>
  <c r="BM407" i="1"/>
  <c r="BM406" i="1"/>
  <c r="BM401" i="1"/>
  <c r="BM403" i="1"/>
  <c r="BM402" i="1"/>
  <c r="BM400" i="1"/>
  <c r="BM399" i="1"/>
  <c r="BM404" i="1"/>
  <c r="BM395" i="1"/>
  <c r="BM398" i="1"/>
  <c r="BM396" i="1"/>
  <c r="BM397" i="1"/>
  <c r="CW132" i="1"/>
  <c r="CY132" i="1" s="1"/>
  <c r="CW131" i="1"/>
  <c r="CY131" i="1" s="1"/>
  <c r="CW158" i="1"/>
  <c r="CY158" i="1" s="1"/>
  <c r="CW215" i="1"/>
  <c r="CY215" i="1" s="1"/>
  <c r="CW166" i="1"/>
  <c r="CY166" i="1" s="1"/>
  <c r="CW71" i="1"/>
  <c r="CY71" i="1" s="1"/>
  <c r="CW253" i="1"/>
  <c r="CY253" i="1" s="1"/>
  <c r="CW27" i="1"/>
  <c r="CY27" i="1" s="1"/>
  <c r="CW233" i="1"/>
  <c r="CY233" i="1" s="1"/>
  <c r="CW241" i="1"/>
  <c r="CY241" i="1" s="1"/>
  <c r="CW275" i="1"/>
  <c r="CY275" i="1" s="1"/>
  <c r="CW262" i="1"/>
  <c r="CY262" i="1" s="1"/>
  <c r="CW314" i="1"/>
  <c r="CY314" i="1" s="1"/>
  <c r="CW142" i="1"/>
  <c r="CY142" i="1" s="1"/>
  <c r="CW301" i="1"/>
  <c r="CY301" i="1" s="1"/>
  <c r="CW103" i="1"/>
  <c r="CY103" i="1" s="1"/>
  <c r="CW285" i="1"/>
  <c r="CY285" i="1" s="1"/>
  <c r="CW260" i="1"/>
  <c r="CY260" i="1" s="1"/>
  <c r="CW150" i="1"/>
  <c r="CY150" i="1" s="1"/>
  <c r="CW74" i="1"/>
  <c r="CY74" i="1" s="1"/>
  <c r="CW312" i="1"/>
  <c r="CY312" i="1" s="1"/>
  <c r="CW168" i="1"/>
  <c r="CY168" i="1" s="1"/>
  <c r="CW193" i="1"/>
  <c r="CY193" i="1" s="1"/>
  <c r="CW309" i="1"/>
  <c r="CY309" i="1" s="1"/>
  <c r="CW360" i="1"/>
  <c r="CY360" i="1" s="1"/>
  <c r="CW390" i="1"/>
  <c r="CY390" i="1" s="1"/>
  <c r="CW120" i="1"/>
  <c r="CY120" i="1" s="1"/>
  <c r="CW31" i="1"/>
  <c r="CY31" i="1" s="1"/>
  <c r="CW62" i="1"/>
  <c r="CY62" i="1" s="1"/>
  <c r="CW123" i="1"/>
  <c r="CY123" i="1" s="1"/>
  <c r="CW189" i="1"/>
  <c r="CY189" i="1" s="1"/>
  <c r="CW119" i="1"/>
  <c r="CY119" i="1" s="1"/>
  <c r="CW339" i="1"/>
  <c r="CY339" i="1" s="1"/>
  <c r="CW384" i="1"/>
  <c r="CY384" i="1" s="1"/>
  <c r="CW267" i="1"/>
  <c r="CY267" i="1" s="1"/>
  <c r="CW238" i="1"/>
  <c r="CY238" i="1" s="1"/>
  <c r="CW22" i="1"/>
  <c r="CY22" i="1" s="1"/>
  <c r="CW109" i="1"/>
  <c r="CY109" i="1" s="1"/>
  <c r="CW81" i="1"/>
  <c r="CY81" i="1" s="1"/>
  <c r="CW111" i="1"/>
  <c r="CY111" i="1" s="1"/>
  <c r="BV131" i="1"/>
  <c r="BV158" i="1"/>
  <c r="BV251" i="1"/>
  <c r="BV11" i="1"/>
  <c r="BV59" i="1"/>
  <c r="BV344" i="1"/>
  <c r="BV203" i="1"/>
  <c r="BV305" i="1"/>
  <c r="BV148" i="1"/>
  <c r="BV35" i="1"/>
  <c r="BV47" i="1"/>
  <c r="BV188" i="1"/>
  <c r="BV191" i="1"/>
  <c r="BV259" i="1"/>
  <c r="BV167" i="1"/>
  <c r="BV341" i="1"/>
  <c r="BV377" i="1"/>
  <c r="BV243" i="1"/>
  <c r="BV137" i="1"/>
  <c r="BV280" i="1"/>
  <c r="BV257" i="1"/>
  <c r="BV230" i="1"/>
  <c r="BV108" i="1"/>
  <c r="BV198" i="1"/>
  <c r="BV300" i="1"/>
  <c r="BV316" i="1"/>
  <c r="BV235" i="1"/>
  <c r="BV161" i="1"/>
  <c r="BV7" i="1"/>
  <c r="BV283" i="1"/>
  <c r="BV93" i="1"/>
  <c r="BV276" i="1"/>
  <c r="BV279" i="1"/>
  <c r="BV365" i="1"/>
  <c r="BV130" i="1"/>
  <c r="BV186" i="1"/>
  <c r="BV123" i="1"/>
  <c r="BV182" i="1"/>
  <c r="BV225" i="1"/>
  <c r="BV144" i="1"/>
  <c r="BV146" i="1"/>
  <c r="BV281" i="1"/>
  <c r="BV205" i="1"/>
  <c r="BV163" i="1"/>
  <c r="BV200" i="1"/>
  <c r="BV329" i="1"/>
  <c r="BV310" i="1"/>
  <c r="BV271" i="1"/>
  <c r="BV154" i="1"/>
  <c r="BV337" i="1"/>
  <c r="BV14" i="1"/>
  <c r="BV369" i="1"/>
  <c r="BV159" i="1"/>
  <c r="BV50" i="1"/>
  <c r="BV384" i="1"/>
  <c r="BV217" i="1"/>
  <c r="BV294" i="1"/>
  <c r="BV335" i="1"/>
  <c r="BV65" i="1"/>
  <c r="BV363" i="1"/>
  <c r="BV307" i="1"/>
  <c r="BV66" i="1"/>
  <c r="BV353" i="1"/>
  <c r="BV342" i="1"/>
  <c r="BV324" i="1"/>
  <c r="BV141" i="1"/>
  <c r="BV183" i="1"/>
  <c r="BV291" i="1"/>
  <c r="BV357" i="1"/>
  <c r="BV126" i="1"/>
  <c r="BV116" i="1"/>
  <c r="BV327" i="1"/>
  <c r="BV121" i="1"/>
  <c r="BV278" i="1"/>
  <c r="BV54" i="1"/>
  <c r="BV18" i="1"/>
  <c r="BV38" i="1"/>
  <c r="BV234" i="1"/>
  <c r="BV295" i="1"/>
  <c r="BV250" i="1"/>
  <c r="BV386" i="1"/>
  <c r="BV245" i="1"/>
  <c r="BV240" i="1"/>
  <c r="BV165" i="1"/>
  <c r="BV192" i="1"/>
  <c r="BV349" i="1"/>
  <c r="BV73" i="1"/>
  <c r="BV303" i="1"/>
  <c r="BV219" i="1"/>
  <c r="BV175" i="1"/>
  <c r="BV273" i="1"/>
  <c r="BV43" i="1"/>
  <c r="BV201" i="1"/>
  <c r="BV81" i="1"/>
  <c r="BV227" i="1"/>
  <c r="BV106" i="1"/>
  <c r="BV8" i="1"/>
  <c r="BV393" i="1"/>
  <c r="BV282" i="1"/>
  <c r="BV212" i="1"/>
  <c r="BV263" i="1"/>
  <c r="BV78" i="1"/>
  <c r="BV64" i="1"/>
  <c r="BV13" i="1"/>
  <c r="BV92" i="1"/>
  <c r="BV80" i="1"/>
  <c r="BV49" i="1"/>
  <c r="BV9" i="1"/>
  <c r="BV255" i="1"/>
  <c r="BV12" i="1"/>
  <c r="BV32" i="1"/>
  <c r="BV100" i="1"/>
  <c r="BV72" i="1"/>
  <c r="BV210" i="1"/>
  <c r="BV97" i="1"/>
  <c r="BV33" i="1"/>
  <c r="BV48" i="1"/>
  <c r="BV208" i="1"/>
  <c r="EW47" i="1"/>
  <c r="FA46" i="1"/>
  <c r="EW46" i="1"/>
  <c r="FA43" i="1"/>
  <c r="FA40" i="1"/>
  <c r="DZ538" i="1" l="1"/>
  <c r="DZ465" i="1"/>
  <c r="DZ448" i="1"/>
  <c r="DZ450" i="1"/>
  <c r="ED450" i="1" s="1"/>
  <c r="CQ389" i="1"/>
  <c r="DZ457" i="1"/>
  <c r="DZ458" i="1"/>
  <c r="CQ450" i="1"/>
  <c r="CV450" i="1" s="1"/>
  <c r="CQ223" i="1"/>
  <c r="CQ486" i="1"/>
  <c r="CQ284" i="1"/>
  <c r="CQ448" i="1"/>
  <c r="CQ257" i="1"/>
  <c r="CQ466" i="1"/>
  <c r="BU131" i="1" l="1"/>
  <c r="BU158" i="1"/>
  <c r="BU251" i="1"/>
  <c r="BU11" i="1"/>
  <c r="BU59" i="1"/>
  <c r="BU344" i="1"/>
  <c r="BU203" i="1"/>
  <c r="BU305" i="1"/>
  <c r="BU148" i="1"/>
  <c r="BU35" i="1"/>
  <c r="BU47" i="1"/>
  <c r="BU188" i="1"/>
  <c r="BU191" i="1"/>
  <c r="BU259" i="1"/>
  <c r="BU167" i="1"/>
  <c r="BU341" i="1"/>
  <c r="BU377" i="1"/>
  <c r="BU243" i="1"/>
  <c r="BU137" i="1"/>
  <c r="BU280" i="1"/>
  <c r="BU257" i="1"/>
  <c r="BU230" i="1"/>
  <c r="BU108" i="1"/>
  <c r="BU198" i="1"/>
  <c r="BU300" i="1"/>
  <c r="BU316" i="1"/>
  <c r="BU235" i="1"/>
  <c r="BU161" i="1"/>
  <c r="BU7" i="1"/>
  <c r="BU283" i="1"/>
  <c r="BU93" i="1"/>
  <c r="BU276" i="1"/>
  <c r="BU279" i="1"/>
  <c r="BU365" i="1"/>
  <c r="BU130" i="1"/>
  <c r="BU186" i="1"/>
  <c r="BU123" i="1"/>
  <c r="BU182" i="1"/>
  <c r="BU225" i="1"/>
  <c r="BU144" i="1"/>
  <c r="BU146" i="1"/>
  <c r="BU281" i="1"/>
  <c r="BU205" i="1"/>
  <c r="BU163" i="1"/>
  <c r="BU200" i="1"/>
  <c r="BU329" i="1"/>
  <c r="BU310" i="1"/>
  <c r="BU271" i="1"/>
  <c r="BU154" i="1"/>
  <c r="BU337" i="1"/>
  <c r="BU14" i="1"/>
  <c r="BU369" i="1"/>
  <c r="BU159" i="1"/>
  <c r="BU50" i="1"/>
  <c r="BU384" i="1"/>
  <c r="BU217" i="1"/>
  <c r="BU294" i="1"/>
  <c r="BU335" i="1"/>
  <c r="BU65" i="1"/>
  <c r="BU363" i="1"/>
  <c r="BU307" i="1"/>
  <c r="BU66" i="1"/>
  <c r="BU353" i="1"/>
  <c r="BU342" i="1"/>
  <c r="BU324" i="1"/>
  <c r="BU141" i="1"/>
  <c r="BU183" i="1"/>
  <c r="BU291" i="1"/>
  <c r="BU357" i="1"/>
  <c r="BU126" i="1"/>
  <c r="BU116" i="1"/>
  <c r="BU327" i="1"/>
  <c r="BU121" i="1"/>
  <c r="BU278" i="1"/>
  <c r="BU54" i="1"/>
  <c r="BU18" i="1"/>
  <c r="BU38" i="1"/>
  <c r="BU234" i="1"/>
  <c r="BU295" i="1"/>
  <c r="BU250" i="1"/>
  <c r="BU386" i="1"/>
  <c r="BU245" i="1"/>
  <c r="BU240" i="1"/>
  <c r="BU165" i="1"/>
  <c r="BU192" i="1"/>
  <c r="BU349" i="1"/>
  <c r="BU73" i="1"/>
  <c r="BU303" i="1"/>
  <c r="BU219" i="1"/>
  <c r="BU175" i="1"/>
  <c r="BU273" i="1"/>
  <c r="BU81" i="1"/>
  <c r="BU43" i="1"/>
  <c r="BU201" i="1"/>
  <c r="BU227" i="1"/>
  <c r="BU106" i="1"/>
  <c r="BU8" i="1"/>
  <c r="BU393" i="1"/>
  <c r="BU282" i="1"/>
  <c r="BU212" i="1"/>
  <c r="BU263" i="1"/>
  <c r="BU78" i="1"/>
  <c r="BU64" i="1"/>
  <c r="BU13" i="1"/>
  <c r="BU92" i="1"/>
  <c r="BU80" i="1"/>
  <c r="BU49" i="1"/>
  <c r="BU9" i="1"/>
  <c r="BU255" i="1"/>
  <c r="BU12" i="1"/>
  <c r="BU32" i="1"/>
  <c r="BU100" i="1"/>
  <c r="BU72" i="1"/>
  <c r="BU210" i="1"/>
  <c r="BU97" i="1"/>
  <c r="BU33" i="1"/>
  <c r="BU48" i="1"/>
  <c r="BU208" i="1"/>
  <c r="FI17" i="1" l="1"/>
  <c r="FJ17" i="1"/>
  <c r="FI18" i="1"/>
  <c r="FJ18" i="1"/>
  <c r="FI19" i="1"/>
  <c r="FJ19" i="1"/>
  <c r="FI20" i="1"/>
  <c r="FJ20" i="1"/>
  <c r="FI21" i="1"/>
  <c r="FJ21" i="1"/>
  <c r="FI22" i="1"/>
  <c r="FJ22" i="1"/>
  <c r="FI23" i="1"/>
  <c r="FJ23" i="1"/>
  <c r="FJ16" i="1"/>
  <c r="FI16" i="1"/>
  <c r="FB13" i="1"/>
  <c r="FB18" i="1" s="1"/>
  <c r="FB12" i="1"/>
  <c r="FB17" i="1" s="1"/>
  <c r="FA59" i="1" s="1"/>
  <c r="FA60" i="1"/>
  <c r="FA32" i="1"/>
  <c r="FA63" i="1"/>
  <c r="CV576" i="1" l="1"/>
  <c r="CV535" i="1"/>
  <c r="CV520" i="1"/>
  <c r="CV512" i="1"/>
  <c r="CV480" i="1"/>
  <c r="CV476" i="1"/>
  <c r="CV454" i="1"/>
  <c r="CV408" i="1"/>
  <c r="CV397" i="1"/>
  <c r="CV448" i="1"/>
  <c r="ED567" i="1"/>
  <c r="ED539" i="1"/>
  <c r="ED533" i="1"/>
  <c r="ED535" i="1"/>
  <c r="ED528" i="1"/>
  <c r="ED520" i="1"/>
  <c r="ED512" i="1"/>
  <c r="ED491" i="1"/>
  <c r="ED442" i="1"/>
  <c r="ED424" i="1"/>
  <c r="ED408" i="1"/>
  <c r="ED448" i="1"/>
  <c r="AJ10" i="1" l="1"/>
  <c r="AJ7" i="1"/>
  <c r="AJ4" i="1"/>
  <c r="AJ6" i="1"/>
  <c r="AJ8" i="1"/>
  <c r="AJ5" i="1"/>
  <c r="AJ9" i="1"/>
  <c r="AO149" i="1"/>
  <c r="AO265" i="1"/>
  <c r="AO304" i="1"/>
  <c r="AO185" i="1"/>
  <c r="AO247" i="1"/>
  <c r="AO359" i="1"/>
  <c r="AO378" i="1"/>
  <c r="AO387" i="1"/>
  <c r="AO51" i="1"/>
  <c r="AO196" i="1"/>
  <c r="AO223" i="1"/>
  <c r="AO334" i="1"/>
  <c r="AO362" i="1"/>
  <c r="AO115" i="1"/>
  <c r="AO323" i="1"/>
  <c r="AO383" i="1"/>
  <c r="AO326" i="1"/>
  <c r="AO298" i="1"/>
  <c r="AO132" i="1"/>
  <c r="AO389" i="1"/>
  <c r="AO292" i="1"/>
  <c r="AO354" i="1"/>
  <c r="AO131" i="1"/>
  <c r="AO140" i="1"/>
  <c r="AO248" i="1"/>
  <c r="AO277" i="1"/>
  <c r="AO158" i="1"/>
  <c r="AO266" i="1"/>
  <c r="AO332" i="1"/>
  <c r="AO15" i="1"/>
  <c r="AO368" i="1"/>
  <c r="AO125" i="1"/>
  <c r="AO284" i="1"/>
  <c r="AO215" i="1"/>
  <c r="AO340" i="1"/>
  <c r="AO166" i="1"/>
  <c r="AO155" i="1"/>
  <c r="AO202" i="1"/>
  <c r="AO381" i="1"/>
  <c r="AO147" i="1"/>
  <c r="AO199" i="1"/>
  <c r="AO178" i="1"/>
  <c r="AO194" i="1"/>
  <c r="AO63" i="1"/>
  <c r="AO135" i="1"/>
  <c r="AO218" i="1"/>
  <c r="AO372" i="1"/>
  <c r="AO352" i="1"/>
  <c r="AO358" i="1"/>
  <c r="AO269" i="1"/>
  <c r="AO308" i="1"/>
  <c r="AO152" i="1"/>
  <c r="AO39" i="1"/>
  <c r="AO71" i="1"/>
  <c r="AO221" i="1"/>
  <c r="AO364" i="1"/>
  <c r="AO376" i="1"/>
  <c r="AO19" i="1"/>
  <c r="AO233" i="1"/>
  <c r="AO112" i="1"/>
  <c r="AO253" i="1"/>
  <c r="AO241" i="1"/>
  <c r="AO27" i="1"/>
  <c r="AO296" i="1"/>
  <c r="AO272" i="1"/>
  <c r="AO275" i="1"/>
  <c r="AO127" i="1"/>
  <c r="AO319" i="1"/>
  <c r="AO55" i="1"/>
  <c r="AO172" i="1"/>
  <c r="AO262" i="1"/>
  <c r="AO239" i="1"/>
  <c r="AO244" i="1"/>
  <c r="AO173" i="1"/>
  <c r="AO251" i="1"/>
  <c r="AO184" i="1"/>
  <c r="AO346" i="1"/>
  <c r="AO261" i="1"/>
  <c r="AO67" i="1"/>
  <c r="AO133" i="1"/>
  <c r="AO290" i="1"/>
  <c r="AO236" i="1"/>
  <c r="AO190" i="1"/>
  <c r="AO23" i="1"/>
  <c r="AO118" i="1"/>
  <c r="AO391" i="1"/>
  <c r="AO160" i="1"/>
  <c r="AO11" i="1"/>
  <c r="AO59" i="1"/>
  <c r="AO252" i="1"/>
  <c r="AO297" i="1"/>
  <c r="AO142" i="1"/>
  <c r="AO104" i="1"/>
  <c r="AO314" i="1"/>
  <c r="AO344" i="1"/>
  <c r="AO143" i="1"/>
  <c r="AO42" i="1"/>
  <c r="AO301" i="1"/>
  <c r="AO170" i="1"/>
  <c r="AO176" i="1"/>
  <c r="AO382" i="1"/>
  <c r="AO232" i="1"/>
  <c r="AO318" i="1"/>
  <c r="AO285" i="1"/>
  <c r="AO347" i="1"/>
  <c r="AO328" i="1"/>
  <c r="AO260" i="1"/>
  <c r="AO345" i="1"/>
  <c r="AO350" i="1"/>
  <c r="AO293" i="1"/>
  <c r="AO379" i="1"/>
  <c r="AO371" i="1"/>
  <c r="AO317" i="1"/>
  <c r="AO180" i="1"/>
  <c r="AO30" i="1"/>
  <c r="AO10" i="1"/>
  <c r="AO311" i="1"/>
  <c r="AO105" i="1"/>
  <c r="AO228" i="1"/>
  <c r="AO203" i="1"/>
  <c r="AO330" i="1"/>
  <c r="AO343" i="1"/>
  <c r="AO315" i="1"/>
  <c r="AO150" i="1"/>
  <c r="AO392" i="1"/>
  <c r="AO336" i="1"/>
  <c r="AO103" i="1"/>
  <c r="AO117" i="1"/>
  <c r="AO305" i="1"/>
  <c r="AO237" i="1"/>
  <c r="AO110" i="1"/>
  <c r="AO274" i="1"/>
  <c r="AO355" i="1"/>
  <c r="AO102" i="1"/>
  <c r="AO370" i="1"/>
  <c r="AO394" i="1"/>
  <c r="AO124" i="1"/>
  <c r="AO366" i="1"/>
  <c r="AO148" i="1"/>
  <c r="AO333" i="1"/>
  <c r="AO35" i="1"/>
  <c r="AO47" i="1"/>
  <c r="AO113" i="1"/>
  <c r="AO99" i="1"/>
  <c r="AO375" i="1"/>
  <c r="AO220" i="1"/>
  <c r="AO187" i="1"/>
  <c r="AO74" i="1"/>
  <c r="AO206" i="1"/>
  <c r="AO34" i="1"/>
  <c r="AO312" i="1"/>
  <c r="AO302" i="1"/>
  <c r="AO188" i="1"/>
  <c r="AO231" i="1"/>
  <c r="AO137" i="1"/>
  <c r="AO168" i="1"/>
  <c r="AO259" i="1"/>
  <c r="AO162" i="1"/>
  <c r="AO299" i="1"/>
  <c r="AO341" i="1"/>
  <c r="AO213" i="1"/>
  <c r="AO191" i="1"/>
  <c r="AO388" i="1"/>
  <c r="AO373" i="1"/>
  <c r="AO377" i="1"/>
  <c r="AO348" i="1"/>
  <c r="AO243" i="1"/>
  <c r="AO114" i="1"/>
  <c r="AO222" i="1"/>
  <c r="AO257" i="1"/>
  <c r="AO153" i="1"/>
  <c r="AO230" i="1"/>
  <c r="AO108" i="1"/>
  <c r="AO161" i="1"/>
  <c r="AO84" i="1"/>
  <c r="AO280" i="1"/>
  <c r="AO151" i="1"/>
  <c r="AO198" i="1"/>
  <c r="AO75" i="1"/>
  <c r="AO193" i="1"/>
  <c r="AO249" i="1"/>
  <c r="AO268" i="1"/>
  <c r="AO93" i="1"/>
  <c r="AO300" i="1"/>
  <c r="AO129" i="1"/>
  <c r="AO316" i="1"/>
  <c r="AO145" i="1"/>
  <c r="AO361" i="1"/>
  <c r="AO235" i="1"/>
  <c r="AO254" i="1"/>
  <c r="AO26" i="1"/>
  <c r="AO242" i="1"/>
  <c r="AO7" i="1"/>
  <c r="AO309" i="1"/>
  <c r="AO283" i="1"/>
  <c r="AO390" i="1"/>
  <c r="AO164" i="1"/>
  <c r="AO360" i="1"/>
  <c r="AO286" i="1"/>
  <c r="AO226" i="1"/>
  <c r="AO276" i="1"/>
  <c r="AO385" i="1"/>
  <c r="AO287" i="1"/>
  <c r="AO306" i="1"/>
  <c r="AO289" i="1"/>
  <c r="AO120" i="1"/>
  <c r="AO182" i="1"/>
  <c r="AO174" i="1"/>
  <c r="AO134" i="1"/>
  <c r="AO122" i="1"/>
  <c r="AO62" i="1"/>
  <c r="AO83" i="1"/>
  <c r="AO186" i="1"/>
  <c r="AO200" i="1"/>
  <c r="AO45" i="1"/>
  <c r="AO365" i="1"/>
  <c r="AO146" i="1"/>
  <c r="AO130" i="1"/>
  <c r="AO279" i="1"/>
  <c r="AO58" i="1"/>
  <c r="AO281" i="1"/>
  <c r="AO181" i="1"/>
  <c r="AO88" i="1"/>
  <c r="AO60" i="1"/>
  <c r="AO144" i="1"/>
  <c r="AO331" i="1"/>
  <c r="AO31" i="1"/>
  <c r="AO225" i="1"/>
  <c r="AO70" i="1"/>
  <c r="AO189" i="1"/>
  <c r="AO351" i="1"/>
  <c r="AO123" i="1"/>
  <c r="AO321" i="1"/>
  <c r="AO313" i="1"/>
  <c r="AO216" i="1"/>
  <c r="AO171" i="1"/>
  <c r="AO205" i="1"/>
  <c r="AO270" i="1"/>
  <c r="AO56" i="1"/>
  <c r="AO195" i="1"/>
  <c r="AO119" i="1"/>
  <c r="AO163" i="1"/>
  <c r="AO329" i="1"/>
  <c r="AO310" i="1"/>
  <c r="AO211" i="1"/>
  <c r="AO271" i="1"/>
  <c r="AO24" i="1"/>
  <c r="AO154" i="1"/>
  <c r="AO85" i="1"/>
  <c r="AO95" i="1"/>
  <c r="AO157" i="1"/>
  <c r="AO50" i="1"/>
  <c r="AO207" i="1"/>
  <c r="AO52" i="1"/>
  <c r="AO96" i="1"/>
  <c r="AO21" i="1"/>
  <c r="AO14" i="1"/>
  <c r="AO337" i="1"/>
  <c r="AO128" i="1"/>
  <c r="AO17" i="1"/>
  <c r="AO4" i="1"/>
  <c r="AO256" i="1"/>
  <c r="AO79" i="1"/>
  <c r="AO339" i="1"/>
  <c r="AO356" i="1"/>
  <c r="AO325" i="1"/>
  <c r="AO369" i="1"/>
  <c r="AO159" i="1"/>
  <c r="AO65" i="1"/>
  <c r="AO90" i="1"/>
  <c r="AO294" i="1"/>
  <c r="AO197" i="1"/>
  <c r="AO138" i="1"/>
  <c r="AO384" i="1"/>
  <c r="AO338" i="1"/>
  <c r="AO335" i="1"/>
  <c r="AO136" i="1"/>
  <c r="AO217" i="1"/>
  <c r="AO363" i="1"/>
  <c r="AO204" i="1"/>
  <c r="AO179" i="1"/>
  <c r="AO156" i="1"/>
  <c r="AO307" i="1"/>
  <c r="AO380" i="1"/>
  <c r="AO177" i="1"/>
  <c r="AO324" i="1"/>
  <c r="AO76" i="1"/>
  <c r="AO342" i="1"/>
  <c r="AO353" i="1"/>
  <c r="AO267" i="1"/>
  <c r="AO66" i="1"/>
  <c r="AO46" i="1"/>
  <c r="AO37" i="1"/>
  <c r="AO87" i="1"/>
  <c r="AO183" i="1"/>
  <c r="AO6" i="1"/>
  <c r="AO224" i="1"/>
  <c r="AO258" i="1"/>
  <c r="AO291" i="1"/>
  <c r="AO357" i="1"/>
  <c r="AO121" i="1"/>
  <c r="AO126" i="1"/>
  <c r="AO116" i="1"/>
  <c r="AO320" i="1"/>
  <c r="AO367" i="1"/>
  <c r="AO327" i="1"/>
  <c r="AO141" i="1"/>
  <c r="AO374" i="1"/>
  <c r="AO38" i="1"/>
  <c r="AO18" i="1"/>
  <c r="AO54" i="1"/>
  <c r="AO29" i="1"/>
  <c r="AO278" i="1"/>
  <c r="AO101" i="1"/>
  <c r="AO234" i="1"/>
  <c r="AO250" i="1"/>
  <c r="AO295" i="1"/>
  <c r="AO107" i="1"/>
  <c r="AO245" i="1"/>
  <c r="AO386" i="1"/>
  <c r="AO73" i="1"/>
  <c r="AO219" i="1"/>
  <c r="AO165" i="1"/>
  <c r="AO349" i="1"/>
  <c r="AO192" i="1"/>
  <c r="AO240" i="1"/>
  <c r="AO94" i="1"/>
  <c r="AO238" i="1"/>
  <c r="AO303" i="1"/>
  <c r="AO86" i="1"/>
  <c r="AO169" i="1"/>
  <c r="AO175" i="1"/>
  <c r="AO8" i="1"/>
  <c r="AO273" i="1"/>
  <c r="AO41" i="1"/>
  <c r="AO61" i="1"/>
  <c r="AO5" i="1"/>
  <c r="AO201" i="1"/>
  <c r="AO227" i="1"/>
  <c r="AO53" i="1"/>
  <c r="AO22" i="1"/>
  <c r="AO246" i="1"/>
  <c r="AO106" i="1"/>
  <c r="AO209" i="1"/>
  <c r="AO81" i="1"/>
  <c r="AO393" i="1"/>
  <c r="AO264" i="1"/>
  <c r="AO111" i="1"/>
  <c r="AO109" i="1"/>
  <c r="AO43" i="1"/>
  <c r="AO68" i="1"/>
  <c r="AO20" i="1"/>
  <c r="AO282" i="1"/>
  <c r="AO89" i="1"/>
  <c r="AO28" i="1"/>
  <c r="AO139" i="1"/>
  <c r="AO212" i="1"/>
  <c r="AO25" i="1"/>
  <c r="AO263" i="1"/>
  <c r="AO40" i="1"/>
  <c r="AO78" i="1"/>
  <c r="AO214" i="1"/>
  <c r="AO69" i="1"/>
  <c r="AO64" i="1"/>
  <c r="AO32" i="1"/>
  <c r="AO12" i="1"/>
  <c r="AO92" i="1"/>
  <c r="AO49" i="1"/>
  <c r="AO80" i="1"/>
  <c r="AO9" i="1"/>
  <c r="AO13" i="1"/>
  <c r="AO255" i="1"/>
  <c r="AO98" i="1"/>
  <c r="AO72" i="1"/>
  <c r="AO100" i="1"/>
  <c r="AO210" i="1"/>
  <c r="AO97" i="1"/>
  <c r="AO77" i="1"/>
  <c r="AO48" i="1"/>
  <c r="AO33" i="1"/>
  <c r="AO288" i="1"/>
  <c r="AO82" i="1"/>
  <c r="AO36" i="1"/>
  <c r="AO16" i="1"/>
  <c r="AO57" i="1"/>
  <c r="AO208" i="1"/>
  <c r="AO44" i="1"/>
  <c r="AO91" i="1"/>
  <c r="AO322" i="1"/>
  <c r="AH111" i="1" l="1"/>
  <c r="AH234" i="1"/>
  <c r="AH38" i="1"/>
  <c r="AH171" i="1"/>
  <c r="AH134" i="1"/>
  <c r="AH26" i="1"/>
  <c r="AH361" i="1"/>
  <c r="AH332" i="1"/>
  <c r="AK7" i="1"/>
  <c r="AH168" i="1"/>
  <c r="AH99" i="1"/>
  <c r="AH274" i="1"/>
  <c r="AH102" i="1"/>
  <c r="AH237" i="1"/>
  <c r="AH16" i="1"/>
  <c r="AH36" i="1"/>
  <c r="AH48" i="1"/>
  <c r="AH33" i="1"/>
  <c r="AH136" i="1"/>
  <c r="AH66" i="1"/>
  <c r="AH267" i="1"/>
  <c r="AH294" i="1"/>
  <c r="AH256" i="1"/>
  <c r="AH159" i="1"/>
  <c r="AH199" i="1"/>
  <c r="AH60" i="1"/>
  <c r="AH313" i="1"/>
  <c r="AH331" i="1"/>
  <c r="AH281" i="1"/>
  <c r="AH174" i="1"/>
  <c r="AH120" i="1"/>
  <c r="AK9" i="1"/>
  <c r="AH367" i="1"/>
  <c r="AH126" i="1"/>
  <c r="AH87" i="1"/>
  <c r="AH4" i="1"/>
  <c r="AH17" i="1"/>
  <c r="AH197" i="1"/>
  <c r="AH211" i="1"/>
  <c r="AH254" i="1"/>
  <c r="AH316" i="1"/>
  <c r="AH300" i="1"/>
  <c r="AH302" i="1"/>
  <c r="AH312" i="1"/>
  <c r="AH137" i="1"/>
  <c r="AH187" i="1"/>
  <c r="AH49" i="1"/>
  <c r="AH20" i="1"/>
  <c r="AH5" i="1"/>
  <c r="AH47" i="1"/>
  <c r="AH370" i="1"/>
  <c r="AH347" i="1"/>
  <c r="AH262" i="1"/>
  <c r="AH319" i="1"/>
  <c r="AH178" i="1"/>
  <c r="AH86" i="1"/>
  <c r="AH246" i="1"/>
  <c r="AH43" i="1"/>
  <c r="AH94" i="1"/>
  <c r="AH46" i="1"/>
  <c r="AH360" i="1"/>
  <c r="AH309" i="1"/>
  <c r="AH322" i="1"/>
  <c r="AH91" i="1"/>
  <c r="AH40" i="1"/>
  <c r="AH214" i="1"/>
  <c r="AK5" i="1"/>
  <c r="AH374" i="1"/>
  <c r="AK4" i="1"/>
  <c r="AH50" i="1"/>
  <c r="AH119" i="1"/>
  <c r="AH56" i="1"/>
  <c r="AH195" i="1"/>
  <c r="AH287" i="1"/>
  <c r="AH164" i="1"/>
  <c r="AH242" i="1"/>
  <c r="AH114" i="1"/>
  <c r="AH388" i="1"/>
  <c r="AH153" i="1"/>
  <c r="AH375" i="1"/>
  <c r="AH150" i="1"/>
  <c r="AK10" i="1"/>
  <c r="AH381" i="1"/>
  <c r="AH15" i="1"/>
  <c r="AH22" i="1"/>
  <c r="AH219" i="1"/>
  <c r="AH73" i="1"/>
  <c r="AH238" i="1"/>
  <c r="AH95" i="1"/>
  <c r="AH321" i="1"/>
  <c r="AH93" i="1"/>
  <c r="AH390" i="1"/>
  <c r="AH198" i="1"/>
  <c r="AH231" i="1"/>
  <c r="AH299" i="1"/>
  <c r="AH39" i="1"/>
  <c r="AH71" i="1"/>
  <c r="AH215" i="1"/>
  <c r="AH68" i="1"/>
  <c r="AH88" i="1"/>
  <c r="AH205" i="1"/>
  <c r="AH146" i="1"/>
  <c r="AH31" i="1"/>
  <c r="AH365" i="1"/>
  <c r="AH306" i="1"/>
  <c r="AH145" i="1"/>
  <c r="AH7" i="1"/>
  <c r="AH373" i="1"/>
  <c r="AH124" i="1"/>
  <c r="AH34" i="1"/>
  <c r="AH74" i="1"/>
  <c r="AH333" i="1"/>
  <c r="AH220" i="1"/>
  <c r="AH343" i="1"/>
  <c r="AH315" i="1"/>
  <c r="AH30" i="1"/>
  <c r="AH10" i="1"/>
  <c r="AH317" i="1"/>
  <c r="AH104" i="1"/>
  <c r="AH301" i="1"/>
  <c r="AH142" i="1"/>
  <c r="AH297" i="1"/>
  <c r="AH272" i="1"/>
  <c r="AH296" i="1"/>
  <c r="AH233" i="1"/>
  <c r="AH241" i="1"/>
  <c r="AH358" i="1"/>
  <c r="AH158" i="1"/>
  <c r="AH131" i="1"/>
  <c r="AH354" i="1"/>
  <c r="AH196" i="1"/>
  <c r="AH387" i="1"/>
  <c r="AH247" i="1"/>
  <c r="AH359" i="1"/>
  <c r="AH185" i="1"/>
  <c r="AH221" i="1"/>
  <c r="AH308" i="1"/>
  <c r="AH82" i="1"/>
  <c r="AH77" i="1"/>
  <c r="AH9" i="1"/>
  <c r="AH209" i="1"/>
  <c r="AH8" i="1"/>
  <c r="AH264" i="1"/>
  <c r="AH101" i="1"/>
  <c r="AH295" i="1"/>
  <c r="AH29" i="1"/>
  <c r="AH37" i="1"/>
  <c r="AH128" i="1"/>
  <c r="AH339" i="1"/>
  <c r="AH90" i="1"/>
  <c r="AH45" i="1"/>
  <c r="AH62" i="1"/>
  <c r="AH181" i="1"/>
  <c r="AH84" i="1"/>
  <c r="AH222" i="1"/>
  <c r="AH113" i="1"/>
  <c r="AH394" i="1"/>
  <c r="AH379" i="1"/>
  <c r="AH285" i="1"/>
  <c r="AH260" i="1"/>
  <c r="AH293" i="1"/>
  <c r="AH42" i="1"/>
  <c r="AH382" i="1"/>
  <c r="AH170" i="1"/>
  <c r="AH118" i="1"/>
  <c r="AH23" i="1"/>
  <c r="AH391" i="1"/>
  <c r="AH133" i="1"/>
  <c r="AH261" i="1"/>
  <c r="AH63" i="1"/>
  <c r="AH135" i="1"/>
  <c r="AH340" i="1"/>
  <c r="AH368" i="1"/>
  <c r="AH266" i="1"/>
  <c r="AH284" i="1"/>
  <c r="AH389" i="1"/>
  <c r="AH132" i="1"/>
  <c r="AH298" i="1"/>
  <c r="AH326" i="1"/>
  <c r="AH223" i="1"/>
  <c r="AH265" i="1"/>
  <c r="AH149" i="1"/>
  <c r="AH44" i="1"/>
  <c r="AH57" i="1"/>
  <c r="AH288" i="1"/>
  <c r="AH32" i="1"/>
  <c r="AH98" i="1"/>
  <c r="AK6" i="1"/>
  <c r="AH177" i="1"/>
  <c r="AH363" i="1"/>
  <c r="AH52" i="1"/>
  <c r="AH207" i="1"/>
  <c r="AH157" i="1"/>
  <c r="AH351" i="1"/>
  <c r="AH271" i="1"/>
  <c r="AH151" i="1"/>
  <c r="AH249" i="1"/>
  <c r="AH129" i="1"/>
  <c r="AH280" i="1"/>
  <c r="AH335" i="1"/>
  <c r="AH356" i="1"/>
  <c r="AH85" i="1"/>
  <c r="AH96" i="1"/>
  <c r="AH270" i="1"/>
  <c r="AH200" i="1"/>
  <c r="AH189" i="1"/>
  <c r="AH216" i="1"/>
  <c r="AH289" i="1"/>
  <c r="AH286" i="1"/>
  <c r="AH348" i="1"/>
  <c r="AK8" i="1"/>
  <c r="AH273" i="1"/>
  <c r="AH320" i="1"/>
  <c r="AH179" i="1"/>
  <c r="AH21" i="1"/>
  <c r="AH24" i="1"/>
  <c r="AH122" i="1"/>
  <c r="AH58" i="1"/>
  <c r="AH70" i="1"/>
  <c r="AH83" i="1"/>
  <c r="AH182" i="1"/>
  <c r="AH193" i="1"/>
  <c r="AH213" i="1"/>
  <c r="AH162" i="1"/>
  <c r="AH191" i="1"/>
  <c r="AH355" i="1"/>
  <c r="AH330" i="1"/>
  <c r="AH228" i="1"/>
  <c r="AH105" i="1"/>
  <c r="AH371" i="1"/>
  <c r="AH148" i="1"/>
  <c r="AH67" i="1"/>
  <c r="AH290" i="1"/>
  <c r="AH127" i="1"/>
  <c r="AH112" i="1"/>
  <c r="AH352" i="1"/>
  <c r="AH194" i="1"/>
  <c r="AH166" i="1"/>
  <c r="AH147" i="1"/>
  <c r="AH277" i="1"/>
  <c r="AH292" i="1"/>
  <c r="AH362" i="1"/>
  <c r="AH268" i="1"/>
  <c r="AH206" i="1"/>
  <c r="AH366" i="1"/>
  <c r="AH117" i="1"/>
  <c r="AH345" i="1"/>
  <c r="AH232" i="1"/>
  <c r="AH103" i="1"/>
  <c r="AH318" i="1"/>
  <c r="AH190" i="1"/>
  <c r="AH252" i="1"/>
  <c r="AH236" i="1"/>
  <c r="AH160" i="1"/>
  <c r="AH251" i="1"/>
  <c r="AH346" i="1"/>
  <c r="AH275" i="1"/>
  <c r="AH239" i="1"/>
  <c r="AH27" i="1"/>
  <c r="AH152" i="1"/>
  <c r="AH269" i="1"/>
  <c r="AH125" i="1"/>
  <c r="AH248" i="1"/>
  <c r="AH115" i="1"/>
  <c r="AH323" i="1"/>
  <c r="AH383" i="1"/>
  <c r="AH334" i="1"/>
  <c r="AH378" i="1"/>
  <c r="AH304" i="1"/>
  <c r="AH143" i="1"/>
  <c r="AH314" i="1"/>
  <c r="AH173" i="1"/>
  <c r="AH244" i="1"/>
  <c r="AH172" i="1"/>
  <c r="AH55" i="1"/>
  <c r="AH364" i="1"/>
  <c r="AH19" i="1"/>
  <c r="AH253" i="1"/>
  <c r="AH218" i="1"/>
  <c r="AH372" i="1"/>
  <c r="AH155" i="1"/>
  <c r="AH202" i="1"/>
  <c r="AH140" i="1"/>
  <c r="AH51" i="1"/>
  <c r="AH89" i="1"/>
  <c r="AH282" i="1"/>
  <c r="AH393" i="1"/>
  <c r="AH175" i="1"/>
  <c r="AH169" i="1"/>
  <c r="AH245" i="1"/>
  <c r="AH13" i="1"/>
  <c r="AH139" i="1"/>
  <c r="AH53" i="1"/>
  <c r="AH109" i="1"/>
  <c r="AH81" i="1"/>
  <c r="AH76" i="1"/>
  <c r="AH116" i="1"/>
  <c r="AH183" i="1"/>
  <c r="AH6" i="1"/>
  <c r="AH342" i="1"/>
  <c r="AH65" i="1"/>
  <c r="AH307" i="1"/>
  <c r="AH338" i="1"/>
  <c r="AH385" i="1"/>
  <c r="AH276" i="1"/>
  <c r="AH161" i="1"/>
  <c r="AH235" i="1"/>
  <c r="AH79" i="1"/>
  <c r="AH186" i="1"/>
  <c r="AH130" i="1"/>
  <c r="BW394" i="1"/>
  <c r="BT393" i="1"/>
  <c r="BW390" i="1"/>
  <c r="BM390" i="6" l="1"/>
  <c r="BW392" i="1"/>
  <c r="BO392" i="6"/>
  <c r="BW391" i="1"/>
  <c r="BM389" i="6"/>
  <c r="BN389" i="6"/>
  <c r="BO389" i="6"/>
  <c r="BN390" i="6"/>
  <c r="BO390" i="6"/>
  <c r="BM391" i="6"/>
  <c r="BN391" i="6"/>
  <c r="BO391" i="6"/>
  <c r="BM392" i="6"/>
  <c r="BN392" i="6"/>
  <c r="BM393" i="6"/>
  <c r="BN393" i="6"/>
  <c r="BO393" i="6"/>
  <c r="BM394" i="6"/>
  <c r="BN394" i="6"/>
  <c r="BO394" i="6"/>
  <c r="BW389" i="1"/>
  <c r="O390" i="1"/>
  <c r="O393" i="1"/>
  <c r="O394" i="1"/>
  <c r="L394" i="1"/>
  <c r="L393" i="1"/>
  <c r="L392" i="1"/>
  <c r="L391" i="1"/>
  <c r="L390" i="1"/>
  <c r="L389" i="1"/>
  <c r="BN394" i="1"/>
  <c r="BN393" i="1"/>
  <c r="BN390" i="1"/>
  <c r="B389" i="1"/>
  <c r="B390" i="1"/>
  <c r="B391" i="1"/>
  <c r="B392" i="1"/>
  <c r="B393" i="1"/>
  <c r="B394" i="1"/>
  <c r="CB389" i="1" l="1"/>
  <c r="CB390" i="1"/>
  <c r="CB391" i="1"/>
  <c r="CB392" i="1"/>
  <c r="CB393" i="1"/>
  <c r="CB394" i="1"/>
  <c r="BN392" i="1"/>
  <c r="BN391" i="1"/>
  <c r="EK391" i="1"/>
  <c r="DV391" i="1"/>
  <c r="EK392" i="1"/>
  <c r="DV392" i="1"/>
  <c r="EK389" i="1"/>
  <c r="DV389" i="1"/>
  <c r="EK393" i="1"/>
  <c r="DV393" i="1"/>
  <c r="EK390" i="1"/>
  <c r="DV390" i="1"/>
  <c r="EK394" i="1"/>
  <c r="DV394" i="1"/>
  <c r="BN389" i="1"/>
  <c r="BS393" i="1"/>
  <c r="BS390" i="1"/>
  <c r="BS394" i="1"/>
  <c r="BS391" i="1"/>
  <c r="BS389" i="1"/>
  <c r="BS392" i="1"/>
  <c r="BL389" i="1"/>
  <c r="BM389" i="1"/>
  <c r="BL393" i="1"/>
  <c r="BM393" i="1"/>
  <c r="BL391" i="1"/>
  <c r="BM391" i="1"/>
  <c r="BL392" i="1"/>
  <c r="BM392" i="1"/>
  <c r="BL390" i="1"/>
  <c r="BM390" i="1"/>
  <c r="BL394" i="1"/>
  <c r="BM394" i="1"/>
  <c r="EG389" i="1"/>
  <c r="EG394" i="1"/>
  <c r="DR394" i="1"/>
  <c r="DR393" i="1"/>
  <c r="EG393" i="1"/>
  <c r="DR390" i="1"/>
  <c r="EG390" i="1"/>
  <c r="EG392" i="1"/>
  <c r="DR392" i="1"/>
  <c r="DR391" i="1"/>
  <c r="EG391" i="1"/>
  <c r="DR389" i="1"/>
  <c r="BW322" i="1"/>
  <c r="EM390" i="1" l="1"/>
  <c r="EL390" i="1"/>
  <c r="EM393" i="1"/>
  <c r="EL393" i="1"/>
  <c r="CU393" i="1"/>
  <c r="CV393" i="1"/>
  <c r="EL394" i="1"/>
  <c r="EM394" i="1"/>
  <c r="EM389" i="1"/>
  <c r="EL389" i="1"/>
  <c r="CU390" i="1"/>
  <c r="CX390" i="1" s="1"/>
  <c r="CV390" i="1"/>
  <c r="EM392" i="1"/>
  <c r="EL392" i="1"/>
  <c r="EM391" i="1"/>
  <c r="EL391" i="1"/>
  <c r="DW393" i="1"/>
  <c r="DY393" i="1" s="1"/>
  <c r="DX393" i="1"/>
  <c r="DZ393" i="1" s="1"/>
  <c r="DX392" i="1"/>
  <c r="DW392" i="1"/>
  <c r="DW390" i="1"/>
  <c r="DY390" i="1" s="1"/>
  <c r="DX390" i="1"/>
  <c r="DZ390" i="1" s="1"/>
  <c r="DW394" i="1"/>
  <c r="DY394" i="1" s="1"/>
  <c r="DX394" i="1"/>
  <c r="DZ394" i="1" s="1"/>
  <c r="DW389" i="1"/>
  <c r="DX389" i="1"/>
  <c r="DW391" i="1"/>
  <c r="DY391" i="1" s="1"/>
  <c r="DX391" i="1"/>
  <c r="DZ391" i="1" s="1"/>
  <c r="BO388" i="6"/>
  <c r="BN388" i="6"/>
  <c r="BM388" i="6"/>
  <c r="BW388" i="1"/>
  <c r="BW387" i="1" l="1"/>
  <c r="B388" i="1"/>
  <c r="B387" i="1"/>
  <c r="L386" i="1"/>
  <c r="L387" i="1"/>
  <c r="L388" i="1"/>
  <c r="EK386" i="1" l="1"/>
  <c r="DV386" i="1"/>
  <c r="EK388" i="1"/>
  <c r="DV388" i="1"/>
  <c r="EK387" i="1"/>
  <c r="DV387" i="1"/>
  <c r="BT386" i="1"/>
  <c r="O387" i="1" l="1"/>
  <c r="O388" i="1"/>
  <c r="CB387" i="1"/>
  <c r="CB388" i="1"/>
  <c r="BO387" i="6"/>
  <c r="BN387" i="6"/>
  <c r="BM387" i="6"/>
  <c r="BN388" i="1" l="1"/>
  <c r="BS388" i="1"/>
  <c r="BN387" i="1"/>
  <c r="BS387" i="1"/>
  <c r="BL388" i="1"/>
  <c r="BM388" i="1"/>
  <c r="BL387" i="1"/>
  <c r="BM387" i="1"/>
  <c r="DR388" i="1"/>
  <c r="EG388" i="1"/>
  <c r="DR387" i="1"/>
  <c r="EG387" i="1"/>
  <c r="BO22" i="6"/>
  <c r="BO151" i="6"/>
  <c r="EL388" i="1" l="1"/>
  <c r="EM388" i="1"/>
  <c r="CV388" i="1"/>
  <c r="EM387" i="1"/>
  <c r="EO387" i="1" s="1"/>
  <c r="EL387" i="1"/>
  <c r="EN387" i="1" s="1"/>
  <c r="DW388" i="1"/>
  <c r="DX388" i="1"/>
  <c r="DZ388" i="1" s="1"/>
  <c r="ED388" i="1" s="1"/>
  <c r="DW387" i="1"/>
  <c r="DX387" i="1"/>
  <c r="L11" i="1"/>
  <c r="DY388" i="1" l="1"/>
  <c r="EC388" i="1" s="1"/>
  <c r="EE388" i="1" s="1"/>
  <c r="EK11" i="1"/>
  <c r="DV11" i="1"/>
  <c r="BM386" i="6"/>
  <c r="BN386" i="6"/>
  <c r="BO386" i="6"/>
  <c r="BW385" i="1"/>
  <c r="BM385" i="6"/>
  <c r="BN385" i="6"/>
  <c r="BO385" i="6"/>
  <c r="BT384" i="1"/>
  <c r="BM384" i="6"/>
  <c r="BN384" i="6"/>
  <c r="BO384" i="6"/>
  <c r="BW383" i="1"/>
  <c r="BM383" i="6"/>
  <c r="BN383" i="6"/>
  <c r="BO383" i="6"/>
  <c r="BW382" i="1"/>
  <c r="BN382" i="6"/>
  <c r="BO382" i="6"/>
  <c r="BW381" i="1"/>
  <c r="O382" i="1"/>
  <c r="O383" i="1"/>
  <c r="O385" i="1"/>
  <c r="O386" i="1"/>
  <c r="L385" i="1"/>
  <c r="L384" i="1"/>
  <c r="L383" i="1"/>
  <c r="L382" i="1"/>
  <c r="L381" i="1"/>
  <c r="B381" i="1"/>
  <c r="B382" i="1"/>
  <c r="B383" i="1"/>
  <c r="B384" i="1"/>
  <c r="B385" i="1"/>
  <c r="B386" i="1"/>
  <c r="BN374" i="1"/>
  <c r="BN375" i="1"/>
  <c r="BN379" i="1"/>
  <c r="BN380" i="1"/>
  <c r="CB386" i="1"/>
  <c r="BM381" i="6"/>
  <c r="BN381" i="6"/>
  <c r="BO381" i="6"/>
  <c r="BN383" i="1" l="1"/>
  <c r="CB381" i="1"/>
  <c r="CB382" i="1"/>
  <c r="CB383" i="1"/>
  <c r="CB384" i="1"/>
  <c r="CB385" i="1"/>
  <c r="EK384" i="1"/>
  <c r="DV384" i="1"/>
  <c r="EK381" i="1"/>
  <c r="DV381" i="1"/>
  <c r="EK385" i="1"/>
  <c r="DV385" i="1"/>
  <c r="EK382" i="1"/>
  <c r="DV382" i="1"/>
  <c r="EK383" i="1"/>
  <c r="DV383" i="1"/>
  <c r="BN386" i="1"/>
  <c r="BS386" i="1"/>
  <c r="BM382" i="1"/>
  <c r="BN382" i="1"/>
  <c r="BS382" i="1"/>
  <c r="BS381" i="1"/>
  <c r="BM385" i="1"/>
  <c r="BN385" i="1"/>
  <c r="BN381" i="1"/>
  <c r="BS383" i="1"/>
  <c r="BS385" i="1"/>
  <c r="BM384" i="1"/>
  <c r="BN384" i="1"/>
  <c r="BS384" i="1"/>
  <c r="BL377" i="1"/>
  <c r="BM377" i="1"/>
  <c r="BL376" i="1"/>
  <c r="BM376" i="1"/>
  <c r="BL383" i="1"/>
  <c r="BM383" i="1"/>
  <c r="BL375" i="1"/>
  <c r="BM375" i="1"/>
  <c r="BL381" i="1"/>
  <c r="BM381" i="1"/>
  <c r="BL380" i="1"/>
  <c r="BM380" i="1"/>
  <c r="BL379" i="1"/>
  <c r="BM379" i="1"/>
  <c r="BL386" i="1"/>
  <c r="BM386" i="1"/>
  <c r="BL378" i="1"/>
  <c r="BM378" i="1"/>
  <c r="BL374" i="1"/>
  <c r="BM374" i="1"/>
  <c r="EG382" i="1"/>
  <c r="BL382" i="1"/>
  <c r="BL384" i="1"/>
  <c r="EG385" i="1"/>
  <c r="BL385" i="1"/>
  <c r="EG383" i="1"/>
  <c r="EG381" i="1"/>
  <c r="DR384" i="1"/>
  <c r="DR386" i="1"/>
  <c r="DR382" i="1"/>
  <c r="DR385" i="1"/>
  <c r="DR383" i="1"/>
  <c r="EG386" i="1"/>
  <c r="EG384" i="1"/>
  <c r="DR381" i="1"/>
  <c r="DR380" i="1"/>
  <c r="BW380" i="1"/>
  <c r="BM380" i="6"/>
  <c r="BN380" i="6"/>
  <c r="BO380" i="6"/>
  <c r="DR379" i="1"/>
  <c r="EG380" i="1"/>
  <c r="EG379" i="1"/>
  <c r="BW379" i="1"/>
  <c r="O379" i="1"/>
  <c r="O380" i="1"/>
  <c r="L380" i="1"/>
  <c r="CB380" i="1" s="1"/>
  <c r="L379" i="1"/>
  <c r="CB379" i="1" s="1"/>
  <c r="B377" i="1"/>
  <c r="B378" i="1"/>
  <c r="B379" i="1"/>
  <c r="B380" i="1"/>
  <c r="BM379" i="6"/>
  <c r="BN379" i="6"/>
  <c r="BO379" i="6"/>
  <c r="BW378" i="1"/>
  <c r="BM378" i="6"/>
  <c r="BN378" i="6"/>
  <c r="BO378" i="6"/>
  <c r="BT377" i="1"/>
  <c r="BM377" i="6"/>
  <c r="BN377" i="6"/>
  <c r="BO377" i="6"/>
  <c r="BW376" i="1"/>
  <c r="O376" i="1"/>
  <c r="O378" i="1"/>
  <c r="L376" i="1"/>
  <c r="CB376" i="1" s="1"/>
  <c r="CB377" i="1"/>
  <c r="L378" i="1"/>
  <c r="CB378" i="1" s="1"/>
  <c r="DR376" i="1"/>
  <c r="EG377" i="1"/>
  <c r="BM376" i="6"/>
  <c r="BN376" i="6"/>
  <c r="BO376" i="6"/>
  <c r="EM384" i="1" l="1"/>
  <c r="EL384" i="1"/>
  <c r="EL386" i="1"/>
  <c r="EM386" i="1"/>
  <c r="CU385" i="1"/>
  <c r="CV385" i="1"/>
  <c r="CU384" i="1"/>
  <c r="CX384" i="1" s="1"/>
  <c r="CV384" i="1"/>
  <c r="EM379" i="1"/>
  <c r="EL379" i="1"/>
  <c r="EM381" i="1"/>
  <c r="EL381" i="1"/>
  <c r="CU386" i="1"/>
  <c r="CV386" i="1"/>
  <c r="EL380" i="1"/>
  <c r="EM380" i="1"/>
  <c r="EM383" i="1"/>
  <c r="EL383" i="1"/>
  <c r="EM385" i="1"/>
  <c r="EL385" i="1"/>
  <c r="EM377" i="1"/>
  <c r="EL377" i="1"/>
  <c r="CU376" i="1"/>
  <c r="CV376" i="1"/>
  <c r="EM382" i="1"/>
  <c r="EL382" i="1"/>
  <c r="DW385" i="1"/>
  <c r="DX385" i="1"/>
  <c r="DW386" i="1"/>
  <c r="DX386" i="1"/>
  <c r="DX384" i="1"/>
  <c r="DW384" i="1"/>
  <c r="DW379" i="1"/>
  <c r="DX379" i="1"/>
  <c r="DW383" i="1"/>
  <c r="DX383" i="1"/>
  <c r="DW382" i="1"/>
  <c r="DY382" i="1" s="1"/>
  <c r="DX382" i="1"/>
  <c r="DZ382" i="1" s="1"/>
  <c r="DX376" i="1"/>
  <c r="DW376" i="1"/>
  <c r="DW380" i="1"/>
  <c r="DX380" i="1"/>
  <c r="DW381" i="1"/>
  <c r="DX381" i="1"/>
  <c r="CR378" i="1"/>
  <c r="CP378" i="1"/>
  <c r="CQ378" i="1"/>
  <c r="EK380" i="1"/>
  <c r="DV380" i="1"/>
  <c r="BN377" i="1"/>
  <c r="EK377" i="1"/>
  <c r="DV377" i="1"/>
  <c r="EK376" i="1"/>
  <c r="DV376" i="1"/>
  <c r="BN378" i="1"/>
  <c r="EK378" i="1"/>
  <c r="DV378" i="1"/>
  <c r="EK379" i="1"/>
  <c r="DV379" i="1"/>
  <c r="DY379" i="1" s="1"/>
  <c r="BS376" i="1"/>
  <c r="BS379" i="1"/>
  <c r="BS378" i="1"/>
  <c r="BS377" i="1"/>
  <c r="BS380" i="1"/>
  <c r="BN376" i="1"/>
  <c r="DR377" i="1"/>
  <c r="DR378" i="1"/>
  <c r="EG378" i="1"/>
  <c r="EG376" i="1"/>
  <c r="K82" i="14"/>
  <c r="O192" i="14"/>
  <c r="P192" i="14" s="1"/>
  <c r="K192" i="14"/>
  <c r="EM376" i="1" l="1"/>
  <c r="EL376" i="1"/>
  <c r="EL378" i="1"/>
  <c r="EM378" i="1"/>
  <c r="CU377" i="1"/>
  <c r="CV377" i="1"/>
  <c r="EC379" i="1"/>
  <c r="EE379" i="1" s="1"/>
  <c r="DZ379" i="1"/>
  <c r="ED379" i="1" s="1"/>
  <c r="DW378" i="1"/>
  <c r="DX378" i="1"/>
  <c r="DW377" i="1"/>
  <c r="DX377" i="1"/>
  <c r="Q192" i="14"/>
  <c r="Q134" i="14"/>
  <c r="Q133" i="14"/>
  <c r="Q132" i="14"/>
  <c r="Q131" i="14"/>
  <c r="Q130" i="14"/>
  <c r="Q129" i="14"/>
  <c r="Q128" i="14"/>
  <c r="Q169" i="14" l="1"/>
  <c r="Q166" i="14"/>
  <c r="Q163" i="14"/>
  <c r="Q191" i="14"/>
  <c r="Q162" i="14"/>
  <c r="Q46" i="14"/>
  <c r="Q45" i="14"/>
  <c r="Q19" i="14"/>
  <c r="BW375" i="1"/>
  <c r="BM375" i="6" l="1"/>
  <c r="BN375" i="6"/>
  <c r="BO375" i="6"/>
  <c r="BW374" i="1"/>
  <c r="BM374" i="6"/>
  <c r="BN374" i="6"/>
  <c r="BO374" i="6"/>
  <c r="BW373" i="1"/>
  <c r="BM373" i="6"/>
  <c r="BN373" i="6"/>
  <c r="BO373" i="6"/>
  <c r="BW372" i="1"/>
  <c r="BM372" i="6"/>
  <c r="BN372" i="6"/>
  <c r="BO372" i="6"/>
  <c r="BW371" i="1"/>
  <c r="BM371" i="6"/>
  <c r="BN371" i="6"/>
  <c r="BO371" i="6"/>
  <c r="BW370" i="1"/>
  <c r="O371" i="1"/>
  <c r="O372" i="1"/>
  <c r="O374" i="1"/>
  <c r="O375" i="1"/>
  <c r="L375" i="1"/>
  <c r="CB375" i="1" s="1"/>
  <c r="L374" i="1"/>
  <c r="CB374" i="1" s="1"/>
  <c r="L373" i="1"/>
  <c r="L372" i="1"/>
  <c r="L371" i="1"/>
  <c r="L370" i="1"/>
  <c r="EG374" i="1"/>
  <c r="B370" i="1"/>
  <c r="B371" i="1"/>
  <c r="B372" i="1"/>
  <c r="B373" i="1"/>
  <c r="B374" i="1"/>
  <c r="B375" i="1"/>
  <c r="BM370" i="6"/>
  <c r="BN370" i="6"/>
  <c r="BO370" i="6"/>
  <c r="EM374" i="1" l="1"/>
  <c r="EL374" i="1"/>
  <c r="CB371" i="1"/>
  <c r="CB372" i="1"/>
  <c r="CB373" i="1"/>
  <c r="CB370" i="1"/>
  <c r="EK373" i="1"/>
  <c r="DV373" i="1"/>
  <c r="EK370" i="1"/>
  <c r="DV370" i="1"/>
  <c r="EK374" i="1"/>
  <c r="DV374" i="1"/>
  <c r="EK371" i="1"/>
  <c r="DV371" i="1"/>
  <c r="EK375" i="1"/>
  <c r="DV375" i="1"/>
  <c r="EK372" i="1"/>
  <c r="DV372" i="1"/>
  <c r="BN370" i="1"/>
  <c r="BS372" i="1"/>
  <c r="BN373" i="1"/>
  <c r="BS370" i="1"/>
  <c r="BS374" i="1"/>
  <c r="BM371" i="1"/>
  <c r="BN371" i="1"/>
  <c r="BS373" i="1"/>
  <c r="BN372" i="1"/>
  <c r="BS371" i="1"/>
  <c r="BS375" i="1"/>
  <c r="BL370" i="1"/>
  <c r="BM370" i="1"/>
  <c r="BL373" i="1"/>
  <c r="BM373" i="1"/>
  <c r="BL372" i="1"/>
  <c r="BM372" i="1"/>
  <c r="DR371" i="1"/>
  <c r="BL371" i="1"/>
  <c r="EG372" i="1"/>
  <c r="EG375" i="1"/>
  <c r="DR375" i="1"/>
  <c r="DR374" i="1"/>
  <c r="DR373" i="1"/>
  <c r="DR370" i="1"/>
  <c r="EG371" i="1"/>
  <c r="EG370" i="1"/>
  <c r="EG373" i="1"/>
  <c r="DR372" i="1"/>
  <c r="BT369" i="1"/>
  <c r="BM369" i="6"/>
  <c r="BN369" i="6"/>
  <c r="BO369" i="6"/>
  <c r="BW368" i="1"/>
  <c r="B368" i="1"/>
  <c r="B369" i="1"/>
  <c r="O368" i="1"/>
  <c r="O369" i="1"/>
  <c r="L368" i="1"/>
  <c r="L369" i="1"/>
  <c r="BM368" i="6"/>
  <c r="BN368" i="6"/>
  <c r="BO368" i="6"/>
  <c r="EL370" i="1" l="1"/>
  <c r="EM370" i="1"/>
  <c r="EM371" i="1"/>
  <c r="EL371" i="1"/>
  <c r="CU370" i="1"/>
  <c r="CX370" i="1" s="1"/>
  <c r="CV370" i="1"/>
  <c r="EM375" i="1"/>
  <c r="EL375" i="1"/>
  <c r="EM373" i="1"/>
  <c r="EL373" i="1"/>
  <c r="EL372" i="1"/>
  <c r="EM372" i="1"/>
  <c r="DW373" i="1"/>
  <c r="DY373" i="1" s="1"/>
  <c r="DX373" i="1"/>
  <c r="DZ373" i="1" s="1"/>
  <c r="ED373" i="1" s="1"/>
  <c r="DW372" i="1"/>
  <c r="DX372" i="1"/>
  <c r="DW370" i="1"/>
  <c r="DY370" i="1" s="1"/>
  <c r="DX370" i="1"/>
  <c r="DZ370" i="1" s="1"/>
  <c r="DW374" i="1"/>
  <c r="DY374" i="1" s="1"/>
  <c r="DX374" i="1"/>
  <c r="DZ374" i="1" s="1"/>
  <c r="DW375" i="1"/>
  <c r="DX375" i="1"/>
  <c r="DW371" i="1"/>
  <c r="DY371" i="1" s="1"/>
  <c r="DX371" i="1"/>
  <c r="DZ371" i="1" s="1"/>
  <c r="CB369" i="1"/>
  <c r="CB368" i="1"/>
  <c r="EK369" i="1"/>
  <c r="DV369" i="1"/>
  <c r="EK368" i="1"/>
  <c r="DV368" i="1"/>
  <c r="BN368" i="1"/>
  <c r="BS369" i="1"/>
  <c r="BS368" i="1"/>
  <c r="BM369" i="1"/>
  <c r="BN369" i="1"/>
  <c r="BL368" i="1"/>
  <c r="BM368" i="1"/>
  <c r="BL369" i="1"/>
  <c r="EG368" i="1"/>
  <c r="DR369" i="1"/>
  <c r="EG369" i="1"/>
  <c r="DR368" i="1"/>
  <c r="BM5" i="6"/>
  <c r="BN5" i="6"/>
  <c r="BO5" i="6"/>
  <c r="BM6" i="6"/>
  <c r="BN6" i="6"/>
  <c r="BO6" i="6"/>
  <c r="BM7" i="6"/>
  <c r="BN7" i="6"/>
  <c r="BO7" i="6"/>
  <c r="BM8" i="6"/>
  <c r="BN8" i="6"/>
  <c r="BO8" i="6"/>
  <c r="BM9" i="6"/>
  <c r="BN9" i="6"/>
  <c r="BO9" i="6"/>
  <c r="BM10" i="6"/>
  <c r="BN10" i="6"/>
  <c r="BO10" i="6"/>
  <c r="BM11" i="6"/>
  <c r="BN11" i="6"/>
  <c r="BO11" i="6"/>
  <c r="BM12" i="6"/>
  <c r="BN12" i="6"/>
  <c r="BO12" i="6"/>
  <c r="BM13" i="6"/>
  <c r="BN13" i="6"/>
  <c r="BO13" i="6"/>
  <c r="BM14" i="6"/>
  <c r="BN14" i="6"/>
  <c r="BO14" i="6"/>
  <c r="BM15" i="6"/>
  <c r="BN15" i="6"/>
  <c r="BO15" i="6"/>
  <c r="BM16" i="6"/>
  <c r="BN16" i="6"/>
  <c r="BO16" i="6"/>
  <c r="BM17" i="6"/>
  <c r="BN17" i="6"/>
  <c r="BO17" i="6"/>
  <c r="BM18" i="6"/>
  <c r="BN18" i="6"/>
  <c r="BO18" i="6"/>
  <c r="BM19" i="6"/>
  <c r="BN19" i="6"/>
  <c r="BO19" i="6"/>
  <c r="BM20" i="6"/>
  <c r="BN20" i="6"/>
  <c r="BO20" i="6"/>
  <c r="BM21" i="6"/>
  <c r="BN21" i="6"/>
  <c r="BO21" i="6"/>
  <c r="BM22" i="6"/>
  <c r="BN22" i="6"/>
  <c r="BM23" i="6"/>
  <c r="BN23" i="6"/>
  <c r="BO23" i="6"/>
  <c r="BM24" i="6"/>
  <c r="BN24" i="6"/>
  <c r="BO24" i="6"/>
  <c r="BM25" i="6"/>
  <c r="BN25" i="6"/>
  <c r="BO25" i="6"/>
  <c r="BM26" i="6"/>
  <c r="BN26" i="6"/>
  <c r="BO26" i="6"/>
  <c r="BM27" i="6"/>
  <c r="BN27" i="6"/>
  <c r="BO27" i="6"/>
  <c r="BM28" i="6"/>
  <c r="BN28" i="6"/>
  <c r="BO28" i="6"/>
  <c r="BM29" i="6"/>
  <c r="BN29" i="6"/>
  <c r="BO29" i="6"/>
  <c r="BM30" i="6"/>
  <c r="BN30" i="6"/>
  <c r="BO30" i="6"/>
  <c r="BM31" i="6"/>
  <c r="BN31" i="6"/>
  <c r="BO31" i="6"/>
  <c r="BM32" i="6"/>
  <c r="BN32" i="6"/>
  <c r="BO32" i="6"/>
  <c r="BM33" i="6"/>
  <c r="BN33" i="6"/>
  <c r="BO33" i="6"/>
  <c r="BM34" i="6"/>
  <c r="BN34" i="6"/>
  <c r="BO34" i="6"/>
  <c r="BM35" i="6"/>
  <c r="BN35" i="6"/>
  <c r="BO35" i="6"/>
  <c r="BM36" i="6"/>
  <c r="BN36" i="6"/>
  <c r="BO36" i="6"/>
  <c r="BM37" i="6"/>
  <c r="BN37" i="6"/>
  <c r="BO37" i="6"/>
  <c r="BM38" i="6"/>
  <c r="BN38" i="6"/>
  <c r="BO38" i="6"/>
  <c r="BM39" i="6"/>
  <c r="BN39" i="6"/>
  <c r="BO39" i="6"/>
  <c r="BM40" i="6"/>
  <c r="BN40" i="6"/>
  <c r="BO40" i="6"/>
  <c r="BM41" i="6"/>
  <c r="BN41" i="6"/>
  <c r="BO41" i="6"/>
  <c r="BM42" i="6"/>
  <c r="BN42" i="6"/>
  <c r="BO42" i="6"/>
  <c r="BM43" i="6"/>
  <c r="BN43" i="6"/>
  <c r="BO43" i="6"/>
  <c r="BM44" i="6"/>
  <c r="BN44" i="6"/>
  <c r="BO44" i="6"/>
  <c r="BM45" i="6"/>
  <c r="BN45" i="6"/>
  <c r="BO45" i="6"/>
  <c r="BM46" i="6"/>
  <c r="BN46" i="6"/>
  <c r="BO46" i="6"/>
  <c r="BM47" i="6"/>
  <c r="BN47" i="6"/>
  <c r="BM48" i="6"/>
  <c r="BN48" i="6"/>
  <c r="BO48" i="6"/>
  <c r="BM49" i="6"/>
  <c r="BN49" i="6"/>
  <c r="BO49" i="6"/>
  <c r="BM50" i="6"/>
  <c r="BN50" i="6"/>
  <c r="BO50" i="6"/>
  <c r="BM51" i="6"/>
  <c r="BN51" i="6"/>
  <c r="BO51" i="6"/>
  <c r="BM52" i="6"/>
  <c r="BN52" i="6"/>
  <c r="BO52" i="6"/>
  <c r="BM53" i="6"/>
  <c r="BN53" i="6"/>
  <c r="BO53" i="6"/>
  <c r="BM54" i="6"/>
  <c r="BN54" i="6"/>
  <c r="BO54" i="6"/>
  <c r="BM55" i="6"/>
  <c r="BN55" i="6"/>
  <c r="BO55" i="6"/>
  <c r="BM56" i="6"/>
  <c r="BN56" i="6"/>
  <c r="BO56" i="6"/>
  <c r="BM57" i="6"/>
  <c r="BN57" i="6"/>
  <c r="BO57" i="6"/>
  <c r="BM58" i="6"/>
  <c r="BN58" i="6"/>
  <c r="BO58" i="6"/>
  <c r="BM59" i="6"/>
  <c r="BN59" i="6"/>
  <c r="BO59" i="6"/>
  <c r="BM60" i="6"/>
  <c r="BN60" i="6"/>
  <c r="BO60" i="6"/>
  <c r="BM61" i="6"/>
  <c r="BN61" i="6"/>
  <c r="BO61" i="6"/>
  <c r="BM62" i="6"/>
  <c r="BN62" i="6"/>
  <c r="BO62" i="6"/>
  <c r="BM63" i="6"/>
  <c r="BN63" i="6"/>
  <c r="BO63" i="6"/>
  <c r="BM64" i="6"/>
  <c r="BN64" i="6"/>
  <c r="BO64" i="6"/>
  <c r="BM65" i="6"/>
  <c r="BN65" i="6"/>
  <c r="BO65" i="6"/>
  <c r="BM66" i="6"/>
  <c r="BN66" i="6"/>
  <c r="BO66" i="6"/>
  <c r="BM67" i="6"/>
  <c r="BN67" i="6"/>
  <c r="BO67" i="6"/>
  <c r="BM68" i="6"/>
  <c r="BN68" i="6"/>
  <c r="BO68" i="6"/>
  <c r="BM69" i="6"/>
  <c r="BN69" i="6"/>
  <c r="BO69" i="6"/>
  <c r="BM70" i="6"/>
  <c r="BN70" i="6"/>
  <c r="BO70" i="6"/>
  <c r="BM71" i="6"/>
  <c r="BN71" i="6"/>
  <c r="BO71" i="6"/>
  <c r="BM72" i="6"/>
  <c r="BN72" i="6"/>
  <c r="BO72" i="6"/>
  <c r="BM73" i="6"/>
  <c r="BN73" i="6"/>
  <c r="BO73" i="6"/>
  <c r="BM74" i="6"/>
  <c r="BN74" i="6"/>
  <c r="BO74" i="6"/>
  <c r="BM75" i="6"/>
  <c r="BN75" i="6"/>
  <c r="BO75" i="6"/>
  <c r="BM76" i="6"/>
  <c r="BN76" i="6"/>
  <c r="BO76" i="6"/>
  <c r="BM77" i="6"/>
  <c r="BN77" i="6"/>
  <c r="BO77" i="6"/>
  <c r="BM78" i="6"/>
  <c r="BN78" i="6"/>
  <c r="BO78" i="6"/>
  <c r="BM79" i="6"/>
  <c r="BN79" i="6"/>
  <c r="BO79" i="6"/>
  <c r="BM80" i="6"/>
  <c r="BN80" i="6"/>
  <c r="BO80" i="6"/>
  <c r="BM81" i="6"/>
  <c r="BN81" i="6"/>
  <c r="BO81" i="6"/>
  <c r="BM82" i="6"/>
  <c r="BN82" i="6"/>
  <c r="BO82" i="6"/>
  <c r="BM83" i="6"/>
  <c r="BN83" i="6"/>
  <c r="BO83" i="6"/>
  <c r="BM84" i="6"/>
  <c r="BN84" i="6"/>
  <c r="BO84" i="6"/>
  <c r="BM85" i="6"/>
  <c r="BN85" i="6"/>
  <c r="BO85" i="6"/>
  <c r="BM86" i="6"/>
  <c r="BN86" i="6"/>
  <c r="BO86" i="6"/>
  <c r="BM87" i="6"/>
  <c r="BN87" i="6"/>
  <c r="BO87" i="6"/>
  <c r="BM88" i="6"/>
  <c r="BN88" i="6"/>
  <c r="BO88" i="6"/>
  <c r="BM89" i="6"/>
  <c r="BN89" i="6"/>
  <c r="BO89" i="6"/>
  <c r="BM90" i="6"/>
  <c r="BN90" i="6"/>
  <c r="BO90" i="6"/>
  <c r="BM91" i="6"/>
  <c r="BN91" i="6"/>
  <c r="BO91" i="6"/>
  <c r="BM92" i="6"/>
  <c r="BN92" i="6"/>
  <c r="BO92" i="6"/>
  <c r="BM93" i="6"/>
  <c r="BN93" i="6"/>
  <c r="BO93" i="6"/>
  <c r="BM94" i="6"/>
  <c r="BN94" i="6"/>
  <c r="BO94" i="6"/>
  <c r="BM95" i="6"/>
  <c r="BN95" i="6"/>
  <c r="BO95" i="6"/>
  <c r="BM96" i="6"/>
  <c r="BN96" i="6"/>
  <c r="BO96" i="6"/>
  <c r="BM97" i="6"/>
  <c r="BN97" i="6"/>
  <c r="BO97" i="6"/>
  <c r="BM98" i="6"/>
  <c r="BN98" i="6"/>
  <c r="BO98" i="6"/>
  <c r="BM99" i="6"/>
  <c r="BN99" i="6"/>
  <c r="BO99" i="6"/>
  <c r="BM100" i="6"/>
  <c r="BN100" i="6"/>
  <c r="BO100" i="6"/>
  <c r="BM101" i="6"/>
  <c r="BN101" i="6"/>
  <c r="BO101" i="6"/>
  <c r="BM102" i="6"/>
  <c r="BN102" i="6"/>
  <c r="BO102" i="6"/>
  <c r="BM103" i="6"/>
  <c r="BN103" i="6"/>
  <c r="BO103" i="6"/>
  <c r="BM104" i="6"/>
  <c r="BN104" i="6"/>
  <c r="BO104" i="6"/>
  <c r="BM105" i="6"/>
  <c r="BN105" i="6"/>
  <c r="BO105" i="6"/>
  <c r="BM106" i="6"/>
  <c r="BN106" i="6"/>
  <c r="BO106" i="6"/>
  <c r="BM107" i="6"/>
  <c r="BN107" i="6"/>
  <c r="BO107" i="6"/>
  <c r="BM108" i="6"/>
  <c r="BN108" i="6"/>
  <c r="BO108" i="6"/>
  <c r="BM109" i="6"/>
  <c r="BN109" i="6"/>
  <c r="BO109" i="6"/>
  <c r="BM110" i="6"/>
  <c r="BN110" i="6"/>
  <c r="BO110" i="6"/>
  <c r="BM111" i="6"/>
  <c r="BN111" i="6"/>
  <c r="BO111" i="6"/>
  <c r="BM112" i="6"/>
  <c r="BN112" i="6"/>
  <c r="BO112" i="6"/>
  <c r="BM113" i="6"/>
  <c r="BN113" i="6"/>
  <c r="BO113" i="6"/>
  <c r="BM114" i="6"/>
  <c r="BN114" i="6"/>
  <c r="BO114" i="6"/>
  <c r="BM115" i="6"/>
  <c r="BN115" i="6"/>
  <c r="BO115" i="6"/>
  <c r="BM116" i="6"/>
  <c r="BN116" i="6"/>
  <c r="BO116" i="6"/>
  <c r="BM117" i="6"/>
  <c r="BN117" i="6"/>
  <c r="BO117" i="6"/>
  <c r="BM118" i="6"/>
  <c r="BN118" i="6"/>
  <c r="BO118" i="6"/>
  <c r="BM119" i="6"/>
  <c r="BN119" i="6"/>
  <c r="BO119" i="6"/>
  <c r="BM120" i="6"/>
  <c r="BN120" i="6"/>
  <c r="BO120" i="6"/>
  <c r="BM121" i="6"/>
  <c r="BN121" i="6"/>
  <c r="BO121" i="6"/>
  <c r="BM122" i="6"/>
  <c r="BN122" i="6"/>
  <c r="BO122" i="6"/>
  <c r="BM123" i="6"/>
  <c r="BN123" i="6"/>
  <c r="BO123" i="6"/>
  <c r="BM124" i="6"/>
  <c r="BN124" i="6"/>
  <c r="BO124" i="6"/>
  <c r="BM125" i="6"/>
  <c r="BN125" i="6"/>
  <c r="BO125" i="6"/>
  <c r="BM126" i="6"/>
  <c r="BN126" i="6"/>
  <c r="BO126" i="6"/>
  <c r="BM127" i="6"/>
  <c r="BN127" i="6"/>
  <c r="BO127" i="6"/>
  <c r="BM128" i="6"/>
  <c r="BN128" i="6"/>
  <c r="BO128" i="6"/>
  <c r="BM129" i="6"/>
  <c r="BN129" i="6"/>
  <c r="BO129" i="6"/>
  <c r="BM130" i="6"/>
  <c r="BN130" i="6"/>
  <c r="BM131" i="6"/>
  <c r="BN131" i="6"/>
  <c r="BO131" i="6"/>
  <c r="BM132" i="6"/>
  <c r="BN132" i="6"/>
  <c r="BO132" i="6"/>
  <c r="BM133" i="6"/>
  <c r="BN133" i="6"/>
  <c r="BO133" i="6"/>
  <c r="BM134" i="6"/>
  <c r="BN134" i="6"/>
  <c r="BO134" i="6"/>
  <c r="BM135" i="6"/>
  <c r="BN135" i="6"/>
  <c r="BO135" i="6"/>
  <c r="BM136" i="6"/>
  <c r="BN136" i="6"/>
  <c r="BO136" i="6"/>
  <c r="BM137" i="6"/>
  <c r="BN137" i="6"/>
  <c r="BO137" i="6"/>
  <c r="BM138" i="6"/>
  <c r="BN138" i="6"/>
  <c r="BO138" i="6"/>
  <c r="BM139" i="6"/>
  <c r="BN139" i="6"/>
  <c r="BO139" i="6"/>
  <c r="BM140" i="6"/>
  <c r="BN140" i="6"/>
  <c r="BO140" i="6"/>
  <c r="BM141" i="6"/>
  <c r="BN141" i="6"/>
  <c r="BO141" i="6"/>
  <c r="BM142" i="6"/>
  <c r="BN142" i="6"/>
  <c r="BO142" i="6"/>
  <c r="BM143" i="6"/>
  <c r="BN143" i="6"/>
  <c r="BO143" i="6"/>
  <c r="BM144" i="6"/>
  <c r="BN144" i="6"/>
  <c r="BO144" i="6"/>
  <c r="BM145" i="6"/>
  <c r="BN145" i="6"/>
  <c r="BO145" i="6"/>
  <c r="BM146" i="6"/>
  <c r="BN146" i="6"/>
  <c r="BO146" i="6"/>
  <c r="BM147" i="6"/>
  <c r="BN147" i="6"/>
  <c r="BO147" i="6"/>
  <c r="BM148" i="6"/>
  <c r="BN148" i="6"/>
  <c r="BO148" i="6"/>
  <c r="BM149" i="6"/>
  <c r="BN149" i="6"/>
  <c r="BO149" i="6"/>
  <c r="BM150" i="6"/>
  <c r="BN150" i="6"/>
  <c r="BO150" i="6"/>
  <c r="BM151" i="6"/>
  <c r="BN151" i="6"/>
  <c r="BM152" i="6"/>
  <c r="BN152" i="6"/>
  <c r="BO152" i="6"/>
  <c r="BM153" i="6"/>
  <c r="BN153" i="6"/>
  <c r="BO153" i="6"/>
  <c r="BM154" i="6"/>
  <c r="BN154" i="6"/>
  <c r="BO154" i="6"/>
  <c r="BM155" i="6"/>
  <c r="BN155" i="6"/>
  <c r="BO155" i="6"/>
  <c r="BM156" i="6"/>
  <c r="BN156" i="6"/>
  <c r="BO156" i="6"/>
  <c r="BM157" i="6"/>
  <c r="BN157" i="6"/>
  <c r="BO157" i="6"/>
  <c r="BM158" i="6"/>
  <c r="BN158" i="6"/>
  <c r="BO158" i="6"/>
  <c r="BM159" i="6"/>
  <c r="BN159" i="6"/>
  <c r="BO159" i="6"/>
  <c r="BM160" i="6"/>
  <c r="BN160" i="6"/>
  <c r="BO160" i="6"/>
  <c r="BM161" i="6"/>
  <c r="BN161" i="6"/>
  <c r="BO161" i="6"/>
  <c r="BM162" i="6"/>
  <c r="BN162" i="6"/>
  <c r="BO162" i="6"/>
  <c r="BM163" i="6"/>
  <c r="BN163" i="6"/>
  <c r="BO163" i="6"/>
  <c r="BM164" i="6"/>
  <c r="BN164" i="6"/>
  <c r="BO164" i="6"/>
  <c r="BM165" i="6"/>
  <c r="BN165" i="6"/>
  <c r="BO165" i="6"/>
  <c r="BM166" i="6"/>
  <c r="BN166" i="6"/>
  <c r="BO166" i="6"/>
  <c r="BM167" i="6"/>
  <c r="BN167" i="6"/>
  <c r="BO167" i="6"/>
  <c r="BM168" i="6"/>
  <c r="BN168" i="6"/>
  <c r="BO168" i="6"/>
  <c r="BM169" i="6"/>
  <c r="BN169" i="6"/>
  <c r="BO169" i="6"/>
  <c r="BM170" i="6"/>
  <c r="BN170" i="6"/>
  <c r="BO170" i="6"/>
  <c r="BM171" i="6"/>
  <c r="BN171" i="6"/>
  <c r="BO171" i="6"/>
  <c r="BM172" i="6"/>
  <c r="BN172" i="6"/>
  <c r="BO172" i="6"/>
  <c r="BM173" i="6"/>
  <c r="BN173" i="6"/>
  <c r="BO173" i="6"/>
  <c r="BM174" i="6"/>
  <c r="BN174" i="6"/>
  <c r="BO174" i="6"/>
  <c r="BM175" i="6"/>
  <c r="BN175" i="6"/>
  <c r="BO175" i="6"/>
  <c r="BM176" i="6"/>
  <c r="BN176" i="6"/>
  <c r="BO176" i="6"/>
  <c r="BM177" i="6"/>
  <c r="BN177" i="6"/>
  <c r="BO177" i="6"/>
  <c r="BM178" i="6"/>
  <c r="BN178" i="6"/>
  <c r="BO178" i="6"/>
  <c r="BM179" i="6"/>
  <c r="BN179" i="6"/>
  <c r="BO179" i="6"/>
  <c r="BM180" i="6"/>
  <c r="BN180" i="6"/>
  <c r="BO180" i="6"/>
  <c r="BM181" i="6"/>
  <c r="BN181" i="6"/>
  <c r="BO181" i="6"/>
  <c r="BM182" i="6"/>
  <c r="BN182" i="6"/>
  <c r="BO182" i="6"/>
  <c r="BM183" i="6"/>
  <c r="BN183" i="6"/>
  <c r="BO183" i="6"/>
  <c r="BM184" i="6"/>
  <c r="BN184" i="6"/>
  <c r="BO184" i="6"/>
  <c r="BM185" i="6"/>
  <c r="BN185" i="6"/>
  <c r="BO185" i="6"/>
  <c r="BM186" i="6"/>
  <c r="BN186" i="6"/>
  <c r="BO186" i="6"/>
  <c r="BM187" i="6"/>
  <c r="BN187" i="6"/>
  <c r="BO187" i="6"/>
  <c r="BM188" i="6"/>
  <c r="BN188" i="6"/>
  <c r="BO188" i="6"/>
  <c r="BM189" i="6"/>
  <c r="BN189" i="6"/>
  <c r="BO189" i="6"/>
  <c r="BM190" i="6"/>
  <c r="BN190" i="6"/>
  <c r="BO190" i="6"/>
  <c r="BM191" i="6"/>
  <c r="BN191" i="6"/>
  <c r="BO191" i="6"/>
  <c r="BM192" i="6"/>
  <c r="BN192" i="6"/>
  <c r="BO192" i="6"/>
  <c r="BM193" i="6"/>
  <c r="BN193" i="6"/>
  <c r="BO193" i="6"/>
  <c r="BM194" i="6"/>
  <c r="BN194" i="6"/>
  <c r="BO194" i="6"/>
  <c r="BM195" i="6"/>
  <c r="BN195" i="6"/>
  <c r="BO195" i="6"/>
  <c r="BM196" i="6"/>
  <c r="BN196" i="6"/>
  <c r="BO196" i="6"/>
  <c r="BM197" i="6"/>
  <c r="BN197" i="6"/>
  <c r="BO197" i="6"/>
  <c r="BM198" i="6"/>
  <c r="BN198" i="6"/>
  <c r="BO198" i="6"/>
  <c r="BM199" i="6"/>
  <c r="BN199" i="6"/>
  <c r="BO199" i="6"/>
  <c r="BM200" i="6"/>
  <c r="BN200" i="6"/>
  <c r="BO200" i="6"/>
  <c r="BM201" i="6"/>
  <c r="BN201" i="6"/>
  <c r="BO201" i="6"/>
  <c r="BM202" i="6"/>
  <c r="BN202" i="6"/>
  <c r="BO202" i="6"/>
  <c r="BM203" i="6"/>
  <c r="BN203" i="6"/>
  <c r="BO203" i="6"/>
  <c r="BM204" i="6"/>
  <c r="BN204" i="6"/>
  <c r="BO204" i="6"/>
  <c r="BM205" i="6"/>
  <c r="BN205" i="6"/>
  <c r="BO205" i="6"/>
  <c r="BM206" i="6"/>
  <c r="BN206" i="6"/>
  <c r="BO206" i="6"/>
  <c r="BM207" i="6"/>
  <c r="BN207" i="6"/>
  <c r="BO207" i="6"/>
  <c r="BM208" i="6"/>
  <c r="BN208" i="6"/>
  <c r="BO208" i="6"/>
  <c r="BM209" i="6"/>
  <c r="BN209" i="6"/>
  <c r="BO209" i="6"/>
  <c r="BM210" i="6"/>
  <c r="BN210" i="6"/>
  <c r="BO210" i="6"/>
  <c r="BM211" i="6"/>
  <c r="BN211" i="6"/>
  <c r="BO211" i="6"/>
  <c r="BM212" i="6"/>
  <c r="BN212" i="6"/>
  <c r="BO212" i="6"/>
  <c r="BM213" i="6"/>
  <c r="BN213" i="6"/>
  <c r="BO213" i="6"/>
  <c r="BM214" i="6"/>
  <c r="BN214" i="6"/>
  <c r="BO214" i="6"/>
  <c r="BM215" i="6"/>
  <c r="BN215" i="6"/>
  <c r="BO215" i="6"/>
  <c r="BM216" i="6"/>
  <c r="BN216" i="6"/>
  <c r="BO216" i="6"/>
  <c r="BM217" i="6"/>
  <c r="BN217" i="6"/>
  <c r="BO217" i="6"/>
  <c r="BM218" i="6"/>
  <c r="BN218" i="6"/>
  <c r="BO218" i="6"/>
  <c r="BM219" i="6"/>
  <c r="BN219" i="6"/>
  <c r="BO219" i="6"/>
  <c r="BM220" i="6"/>
  <c r="BN220" i="6"/>
  <c r="BO220" i="6"/>
  <c r="BM221" i="6"/>
  <c r="BN221" i="6"/>
  <c r="BO221" i="6"/>
  <c r="BM222" i="6"/>
  <c r="BN222" i="6"/>
  <c r="BO222" i="6"/>
  <c r="BM223" i="6"/>
  <c r="BN223" i="6"/>
  <c r="BO223" i="6"/>
  <c r="BM224" i="6"/>
  <c r="BN224" i="6"/>
  <c r="BO224" i="6"/>
  <c r="BM225" i="6"/>
  <c r="BN225" i="6"/>
  <c r="BO225" i="6"/>
  <c r="BM226" i="6"/>
  <c r="BN226" i="6"/>
  <c r="BO226" i="6"/>
  <c r="BM227" i="6"/>
  <c r="BN227" i="6"/>
  <c r="BO227" i="6"/>
  <c r="BM228" i="6"/>
  <c r="BN228" i="6"/>
  <c r="BO228" i="6"/>
  <c r="BM229" i="6"/>
  <c r="BN229" i="6"/>
  <c r="BO229" i="6"/>
  <c r="BM230" i="6"/>
  <c r="BN230" i="6"/>
  <c r="BO230" i="6"/>
  <c r="BM231" i="6"/>
  <c r="BN231" i="6"/>
  <c r="BO231" i="6"/>
  <c r="BM232" i="6"/>
  <c r="BN232" i="6"/>
  <c r="BO232" i="6"/>
  <c r="BM233" i="6"/>
  <c r="BN233" i="6"/>
  <c r="BO233" i="6"/>
  <c r="BM234" i="6"/>
  <c r="BN234" i="6"/>
  <c r="BO234" i="6"/>
  <c r="BM235" i="6"/>
  <c r="BN235" i="6"/>
  <c r="BO235" i="6"/>
  <c r="BM236" i="6"/>
  <c r="BN236" i="6"/>
  <c r="BO236" i="6"/>
  <c r="BM237" i="6"/>
  <c r="BN237" i="6"/>
  <c r="BO237" i="6"/>
  <c r="BM238" i="6"/>
  <c r="BN238" i="6"/>
  <c r="BO238" i="6"/>
  <c r="BM239" i="6"/>
  <c r="BN239" i="6"/>
  <c r="BO239" i="6"/>
  <c r="BM240" i="6"/>
  <c r="BN240" i="6"/>
  <c r="BO240" i="6"/>
  <c r="BM241" i="6"/>
  <c r="BN241" i="6"/>
  <c r="BO241" i="6"/>
  <c r="BM242" i="6"/>
  <c r="BN242" i="6"/>
  <c r="BO242" i="6"/>
  <c r="BM243" i="6"/>
  <c r="BN243" i="6"/>
  <c r="BO243" i="6"/>
  <c r="BM244" i="6"/>
  <c r="BN244" i="6"/>
  <c r="BO244" i="6"/>
  <c r="BM245" i="6"/>
  <c r="BN245" i="6"/>
  <c r="BO245" i="6"/>
  <c r="BM246" i="6"/>
  <c r="BN246" i="6"/>
  <c r="BO246" i="6"/>
  <c r="BM247" i="6"/>
  <c r="BN247" i="6"/>
  <c r="BO247" i="6"/>
  <c r="BM248" i="6"/>
  <c r="BN248" i="6"/>
  <c r="BO248" i="6"/>
  <c r="BM249" i="6"/>
  <c r="BN249" i="6"/>
  <c r="BO249" i="6"/>
  <c r="BM250" i="6"/>
  <c r="BN250" i="6"/>
  <c r="BO250" i="6"/>
  <c r="BM251" i="6"/>
  <c r="BN251" i="6"/>
  <c r="BO251" i="6"/>
  <c r="BM252" i="6"/>
  <c r="BN252" i="6"/>
  <c r="BO252" i="6"/>
  <c r="BM253" i="6"/>
  <c r="BN253" i="6"/>
  <c r="BO253" i="6"/>
  <c r="BM254" i="6"/>
  <c r="BN254" i="6"/>
  <c r="BO254" i="6"/>
  <c r="BM255" i="6"/>
  <c r="BN255" i="6"/>
  <c r="BO255" i="6"/>
  <c r="BM256" i="6"/>
  <c r="BN256" i="6"/>
  <c r="BO256" i="6"/>
  <c r="BM257" i="6"/>
  <c r="BN257" i="6"/>
  <c r="BO257" i="6"/>
  <c r="BM258" i="6"/>
  <c r="BN258" i="6"/>
  <c r="BO258" i="6"/>
  <c r="BM259" i="6"/>
  <c r="BN259" i="6"/>
  <c r="BO259" i="6"/>
  <c r="BM260" i="6"/>
  <c r="BN260" i="6"/>
  <c r="BO260" i="6"/>
  <c r="BM261" i="6"/>
  <c r="BN261" i="6"/>
  <c r="BO261" i="6"/>
  <c r="BM262" i="6"/>
  <c r="BN262" i="6"/>
  <c r="BO262" i="6"/>
  <c r="BM263" i="6"/>
  <c r="BN263" i="6"/>
  <c r="BO263" i="6"/>
  <c r="BM264" i="6"/>
  <c r="BN264" i="6"/>
  <c r="BO264" i="6"/>
  <c r="BM265" i="6"/>
  <c r="BN265" i="6"/>
  <c r="BO265" i="6"/>
  <c r="BM266" i="6"/>
  <c r="BN266" i="6"/>
  <c r="BO266" i="6"/>
  <c r="BM267" i="6"/>
  <c r="BN267" i="6"/>
  <c r="BO267" i="6"/>
  <c r="BM268" i="6"/>
  <c r="BN268" i="6"/>
  <c r="BO268" i="6"/>
  <c r="BM269" i="6"/>
  <c r="BN269" i="6"/>
  <c r="BO269" i="6"/>
  <c r="BM270" i="6"/>
  <c r="BN270" i="6"/>
  <c r="BO270" i="6"/>
  <c r="BM271" i="6"/>
  <c r="BN271" i="6"/>
  <c r="BO271" i="6"/>
  <c r="BM272" i="6"/>
  <c r="BN272" i="6"/>
  <c r="BO272" i="6"/>
  <c r="BM273" i="6"/>
  <c r="BN273" i="6"/>
  <c r="BO273" i="6"/>
  <c r="BM274" i="6"/>
  <c r="BN274" i="6"/>
  <c r="BO274" i="6"/>
  <c r="BM275" i="6"/>
  <c r="BN275" i="6"/>
  <c r="BO275" i="6"/>
  <c r="BM276" i="6"/>
  <c r="BN276" i="6"/>
  <c r="BO276" i="6"/>
  <c r="BM277" i="6"/>
  <c r="BN277" i="6"/>
  <c r="BO277" i="6"/>
  <c r="BM278" i="6"/>
  <c r="BN278" i="6"/>
  <c r="BO278" i="6"/>
  <c r="BM279" i="6"/>
  <c r="BN279" i="6"/>
  <c r="BO279" i="6"/>
  <c r="BM280" i="6"/>
  <c r="BN280" i="6"/>
  <c r="BO280" i="6"/>
  <c r="BM281" i="6"/>
  <c r="BN281" i="6"/>
  <c r="BO281" i="6"/>
  <c r="BM282" i="6"/>
  <c r="BN282" i="6"/>
  <c r="BO282" i="6"/>
  <c r="BM283" i="6"/>
  <c r="BN283" i="6"/>
  <c r="BO283" i="6"/>
  <c r="BM284" i="6"/>
  <c r="BN284" i="6"/>
  <c r="BO284" i="6"/>
  <c r="BM285" i="6"/>
  <c r="BN285" i="6"/>
  <c r="BO285" i="6"/>
  <c r="BM286" i="6"/>
  <c r="BN286" i="6"/>
  <c r="BO286" i="6"/>
  <c r="BM287" i="6"/>
  <c r="BN287" i="6"/>
  <c r="BO287" i="6"/>
  <c r="BM288" i="6"/>
  <c r="BN288" i="6"/>
  <c r="BO288" i="6"/>
  <c r="BM289" i="6"/>
  <c r="BN289" i="6"/>
  <c r="BO289" i="6"/>
  <c r="BM290" i="6"/>
  <c r="BN290" i="6"/>
  <c r="BO290" i="6"/>
  <c r="BM291" i="6"/>
  <c r="BN291" i="6"/>
  <c r="BO291" i="6"/>
  <c r="BM292" i="6"/>
  <c r="BN292" i="6"/>
  <c r="BO292" i="6"/>
  <c r="BM293" i="6"/>
  <c r="BN293" i="6"/>
  <c r="BO293" i="6"/>
  <c r="BM294" i="6"/>
  <c r="BN294" i="6"/>
  <c r="BO294" i="6"/>
  <c r="BM295" i="6"/>
  <c r="BN295" i="6"/>
  <c r="BO295" i="6"/>
  <c r="BM296" i="6"/>
  <c r="BN296" i="6"/>
  <c r="BO296" i="6"/>
  <c r="BM297" i="6"/>
  <c r="BN297" i="6"/>
  <c r="BO297" i="6"/>
  <c r="BM298" i="6"/>
  <c r="BN298" i="6"/>
  <c r="BO298" i="6"/>
  <c r="BM299" i="6"/>
  <c r="BN299" i="6"/>
  <c r="BO299" i="6"/>
  <c r="BM300" i="6"/>
  <c r="BN300" i="6"/>
  <c r="BO300" i="6"/>
  <c r="BM301" i="6"/>
  <c r="BN301" i="6"/>
  <c r="BO301" i="6"/>
  <c r="BM302" i="6"/>
  <c r="BN302" i="6"/>
  <c r="BO302" i="6"/>
  <c r="BM303" i="6"/>
  <c r="BN303" i="6"/>
  <c r="BO303" i="6"/>
  <c r="BM304" i="6"/>
  <c r="BN304" i="6"/>
  <c r="BO304" i="6"/>
  <c r="BM305" i="6"/>
  <c r="BN305" i="6"/>
  <c r="BO305" i="6"/>
  <c r="BM306" i="6"/>
  <c r="BN306" i="6"/>
  <c r="BO306" i="6"/>
  <c r="BM307" i="6"/>
  <c r="BN307" i="6"/>
  <c r="BO307" i="6"/>
  <c r="BM308" i="6"/>
  <c r="BN308" i="6"/>
  <c r="BO308" i="6"/>
  <c r="BM309" i="6"/>
  <c r="BN309" i="6"/>
  <c r="BO309" i="6"/>
  <c r="BM310" i="6"/>
  <c r="BN310" i="6"/>
  <c r="BO310" i="6"/>
  <c r="BM311" i="6"/>
  <c r="BN311" i="6"/>
  <c r="BO311" i="6"/>
  <c r="BM312" i="6"/>
  <c r="BN312" i="6"/>
  <c r="BO312" i="6"/>
  <c r="BM313" i="6"/>
  <c r="BN313" i="6"/>
  <c r="BO313" i="6"/>
  <c r="BM314" i="6"/>
  <c r="BN314" i="6"/>
  <c r="BO314" i="6"/>
  <c r="BM315" i="6"/>
  <c r="BN315" i="6"/>
  <c r="BO315" i="6"/>
  <c r="BM316" i="6"/>
  <c r="BN316" i="6"/>
  <c r="BO316" i="6"/>
  <c r="BM317" i="6"/>
  <c r="BN317" i="6"/>
  <c r="BO317" i="6"/>
  <c r="BM318" i="6"/>
  <c r="BN318" i="6"/>
  <c r="BO318" i="6"/>
  <c r="BM319" i="6"/>
  <c r="BO319" i="6"/>
  <c r="BM320" i="6"/>
  <c r="BN320" i="6"/>
  <c r="BO320" i="6"/>
  <c r="BM321" i="6"/>
  <c r="BN321" i="6"/>
  <c r="BO321" i="6"/>
  <c r="BM322" i="6"/>
  <c r="BN322" i="6"/>
  <c r="BO322" i="6"/>
  <c r="BM323" i="6"/>
  <c r="BN323" i="6"/>
  <c r="BO323" i="6"/>
  <c r="BM324" i="6"/>
  <c r="BN324" i="6"/>
  <c r="BO324" i="6"/>
  <c r="BM325" i="6"/>
  <c r="BN325" i="6"/>
  <c r="BO325" i="6"/>
  <c r="BM326" i="6"/>
  <c r="BN326" i="6"/>
  <c r="BO326" i="6"/>
  <c r="BM327" i="6"/>
  <c r="BN327" i="6"/>
  <c r="BO327" i="6"/>
  <c r="BM328" i="6"/>
  <c r="BN328" i="6"/>
  <c r="BO328" i="6"/>
  <c r="BM329" i="6"/>
  <c r="BN329" i="6"/>
  <c r="BO329" i="6"/>
  <c r="BM330" i="6"/>
  <c r="BN330" i="6"/>
  <c r="BO330" i="6"/>
  <c r="BM331" i="6"/>
  <c r="BN331" i="6"/>
  <c r="BO331" i="6"/>
  <c r="BM332" i="6"/>
  <c r="BN332" i="6"/>
  <c r="BO332" i="6"/>
  <c r="BM333" i="6"/>
  <c r="BN333" i="6"/>
  <c r="BO333" i="6"/>
  <c r="BM334" i="6"/>
  <c r="BN334" i="6"/>
  <c r="BO334" i="6"/>
  <c r="BM335" i="6"/>
  <c r="BN335" i="6"/>
  <c r="BO335" i="6"/>
  <c r="BM336" i="6"/>
  <c r="BN336" i="6"/>
  <c r="BO336" i="6"/>
  <c r="BM337" i="6"/>
  <c r="BN337" i="6"/>
  <c r="BO337" i="6"/>
  <c r="BM338" i="6"/>
  <c r="BN338" i="6"/>
  <c r="BO338" i="6"/>
  <c r="BM339" i="6"/>
  <c r="BN339" i="6"/>
  <c r="BO339" i="6"/>
  <c r="BM340" i="6"/>
  <c r="BN340" i="6"/>
  <c r="BO340" i="6"/>
  <c r="BM341" i="6"/>
  <c r="BN341" i="6"/>
  <c r="BO341" i="6"/>
  <c r="BM342" i="6"/>
  <c r="BN342" i="6"/>
  <c r="BO342" i="6"/>
  <c r="BM343" i="6"/>
  <c r="BN343" i="6"/>
  <c r="BO343" i="6"/>
  <c r="BM344" i="6"/>
  <c r="BN344" i="6"/>
  <c r="BO344" i="6"/>
  <c r="BM345" i="6"/>
  <c r="BN345" i="6"/>
  <c r="BO345" i="6"/>
  <c r="BM346" i="6"/>
  <c r="BN346" i="6"/>
  <c r="BO346" i="6"/>
  <c r="BM347" i="6"/>
  <c r="BN347" i="6"/>
  <c r="BO347" i="6"/>
  <c r="BM348" i="6"/>
  <c r="BN348" i="6"/>
  <c r="BO348" i="6"/>
  <c r="BM349" i="6"/>
  <c r="BN349" i="6"/>
  <c r="BO349" i="6"/>
  <c r="BM350" i="6"/>
  <c r="BN350" i="6"/>
  <c r="BO350" i="6"/>
  <c r="BM351" i="6"/>
  <c r="BN351" i="6"/>
  <c r="BO351" i="6"/>
  <c r="BM352" i="6"/>
  <c r="BN352" i="6"/>
  <c r="BO352" i="6"/>
  <c r="BM353" i="6"/>
  <c r="BN353" i="6"/>
  <c r="BO353" i="6"/>
  <c r="BM354" i="6"/>
  <c r="BN354" i="6"/>
  <c r="BO354" i="6"/>
  <c r="BM355" i="6"/>
  <c r="BN355" i="6"/>
  <c r="BO355" i="6"/>
  <c r="BM356" i="6"/>
  <c r="BN356" i="6"/>
  <c r="BO356" i="6"/>
  <c r="BM357" i="6"/>
  <c r="BN357" i="6"/>
  <c r="BO357" i="6"/>
  <c r="BM358" i="6"/>
  <c r="BN358" i="6"/>
  <c r="BO358" i="6"/>
  <c r="BM359" i="6"/>
  <c r="BN359" i="6"/>
  <c r="BO359" i="6"/>
  <c r="BM360" i="6"/>
  <c r="BN360" i="6"/>
  <c r="BO360" i="6"/>
  <c r="BM361" i="6"/>
  <c r="BN361" i="6"/>
  <c r="BO361" i="6"/>
  <c r="BM362" i="6"/>
  <c r="BN362" i="6"/>
  <c r="BO362" i="6"/>
  <c r="BM363" i="6"/>
  <c r="BN363" i="6"/>
  <c r="BO363" i="6"/>
  <c r="BM364" i="6"/>
  <c r="BN364" i="6"/>
  <c r="BO364" i="6"/>
  <c r="BM365" i="6"/>
  <c r="BN365" i="6"/>
  <c r="BO365" i="6"/>
  <c r="BM366" i="6"/>
  <c r="BN366" i="6"/>
  <c r="BO366" i="6"/>
  <c r="BM367" i="6"/>
  <c r="BN367" i="6"/>
  <c r="BO367" i="6"/>
  <c r="BN4" i="6"/>
  <c r="BO4" i="6"/>
  <c r="BM4" i="6"/>
  <c r="EC373" i="1" l="1"/>
  <c r="EE373" i="1" s="1"/>
  <c r="CU368" i="1"/>
  <c r="CV368" i="1"/>
  <c r="EM369" i="1"/>
  <c r="EL369" i="1"/>
  <c r="CU369" i="1"/>
  <c r="CV369" i="1"/>
  <c r="EM368" i="1"/>
  <c r="EL368" i="1"/>
  <c r="DX368" i="1"/>
  <c r="DW368" i="1"/>
  <c r="DW369" i="1"/>
  <c r="DX369" i="1"/>
  <c r="BW367" i="1"/>
  <c r="BW366" i="1"/>
  <c r="BT363" i="1"/>
  <c r="BT365" i="1"/>
  <c r="BW364" i="1"/>
  <c r="BW362" i="1"/>
  <c r="BW360" i="1" l="1"/>
  <c r="BW361" i="1" l="1"/>
  <c r="O363" i="1"/>
  <c r="O366" i="1"/>
  <c r="O367" i="1"/>
  <c r="L367" i="1"/>
  <c r="L366" i="1"/>
  <c r="L365" i="1"/>
  <c r="L364" i="1"/>
  <c r="L363" i="1"/>
  <c r="L362" i="1"/>
  <c r="BN363" i="1"/>
  <c r="BN366" i="1"/>
  <c r="BN367" i="1"/>
  <c r="B362" i="1"/>
  <c r="B363" i="1"/>
  <c r="B364" i="1"/>
  <c r="B365" i="1"/>
  <c r="B366" i="1"/>
  <c r="B367" i="1"/>
  <c r="CB365" i="1" l="1"/>
  <c r="CB366" i="1"/>
  <c r="BN364" i="1"/>
  <c r="CB367" i="1"/>
  <c r="CB363" i="1"/>
  <c r="CB362" i="1"/>
  <c r="CB364" i="1"/>
  <c r="BN365" i="1"/>
  <c r="EK363" i="1"/>
  <c r="DV363" i="1"/>
  <c r="EK367" i="1"/>
  <c r="DV367" i="1"/>
  <c r="EK364" i="1"/>
  <c r="DV364" i="1"/>
  <c r="BN362" i="1"/>
  <c r="EK365" i="1"/>
  <c r="DV365" i="1"/>
  <c r="EK362" i="1"/>
  <c r="DV362" i="1"/>
  <c r="EK366" i="1"/>
  <c r="DV366" i="1"/>
  <c r="BS367" i="1"/>
  <c r="BS364" i="1"/>
  <c r="BS363" i="1"/>
  <c r="BS365" i="1"/>
  <c r="BS362" i="1"/>
  <c r="BS366" i="1"/>
  <c r="BL364" i="1"/>
  <c r="BM364" i="1"/>
  <c r="BL363" i="1"/>
  <c r="BM363" i="1"/>
  <c r="BL367" i="1"/>
  <c r="BM367" i="1"/>
  <c r="BL366" i="1"/>
  <c r="BM366" i="1"/>
  <c r="BL362" i="1"/>
  <c r="BM362" i="1"/>
  <c r="BL365" i="1"/>
  <c r="BM365" i="1"/>
  <c r="EG363" i="1"/>
  <c r="DR363" i="1"/>
  <c r="EG366" i="1"/>
  <c r="DR366" i="1"/>
  <c r="EG365" i="1"/>
  <c r="DR365" i="1"/>
  <c r="EG367" i="1"/>
  <c r="DR367" i="1"/>
  <c r="EG364" i="1"/>
  <c r="DR364" i="1"/>
  <c r="EG362" i="1"/>
  <c r="DR362" i="1"/>
  <c r="Q18" i="14"/>
  <c r="Q17" i="14"/>
  <c r="Q15" i="14"/>
  <c r="Q5" i="14"/>
  <c r="Q4" i="14"/>
  <c r="EL362" i="1" l="1"/>
  <c r="EM362" i="1"/>
  <c r="EL364" i="1"/>
  <c r="EM364" i="1"/>
  <c r="EM367" i="1"/>
  <c r="EL367" i="1"/>
  <c r="CU365" i="1"/>
  <c r="CX365" i="1" s="1"/>
  <c r="CV365" i="1"/>
  <c r="EM365" i="1"/>
  <c r="EL365" i="1"/>
  <c r="CU363" i="1"/>
  <c r="CV363" i="1"/>
  <c r="EM363" i="1"/>
  <c r="EL363" i="1"/>
  <c r="EM366" i="1"/>
  <c r="EL366" i="1"/>
  <c r="DW367" i="1"/>
  <c r="DX367" i="1"/>
  <c r="DW365" i="1"/>
  <c r="DY365" i="1" s="1"/>
  <c r="DX365" i="1"/>
  <c r="DZ365" i="1" s="1"/>
  <c r="DW366" i="1"/>
  <c r="DY366" i="1" s="1"/>
  <c r="DX366" i="1"/>
  <c r="DZ366" i="1" s="1"/>
  <c r="DW363" i="1"/>
  <c r="DY363" i="1" s="1"/>
  <c r="DX363" i="1"/>
  <c r="DZ363" i="1" s="1"/>
  <c r="DW362" i="1"/>
  <c r="DY362" i="1" s="1"/>
  <c r="DX362" i="1"/>
  <c r="DZ362" i="1" s="1"/>
  <c r="DW364" i="1"/>
  <c r="DX364" i="1"/>
  <c r="DZ364" i="1" s="1"/>
  <c r="ED364" i="1" s="1"/>
  <c r="O359" i="1"/>
  <c r="O360" i="1"/>
  <c r="O361" i="1"/>
  <c r="BN360" i="1"/>
  <c r="BN361" i="1"/>
  <c r="B358" i="1"/>
  <c r="B359" i="1"/>
  <c r="B360" i="1"/>
  <c r="B361" i="1"/>
  <c r="L361" i="1"/>
  <c r="L360" i="1"/>
  <c r="DY364" i="1" l="1"/>
  <c r="EC364" i="1" s="1"/>
  <c r="EE364" i="1" s="1"/>
  <c r="CB360" i="1"/>
  <c r="CB361" i="1"/>
  <c r="EK361" i="1"/>
  <c r="DV361" i="1"/>
  <c r="EK360" i="1"/>
  <c r="DV360" i="1"/>
  <c r="BS361" i="1"/>
  <c r="BS360" i="1"/>
  <c r="BL360" i="1"/>
  <c r="BM360" i="1"/>
  <c r="BL361" i="1"/>
  <c r="BM361" i="1"/>
  <c r="EG361" i="1"/>
  <c r="DR360" i="1"/>
  <c r="DR361" i="1"/>
  <c r="EG360" i="1"/>
  <c r="BW359" i="1"/>
  <c r="BW358" i="1"/>
  <c r="EM360" i="1" l="1"/>
  <c r="EL360" i="1"/>
  <c r="EM361" i="1"/>
  <c r="EL361" i="1"/>
  <c r="CU360" i="1"/>
  <c r="CX360" i="1" s="1"/>
  <c r="CV360" i="1"/>
  <c r="DW361" i="1"/>
  <c r="DY361" i="1" s="1"/>
  <c r="DX361" i="1"/>
  <c r="DZ361" i="1" s="1"/>
  <c r="ED361" i="1" s="1"/>
  <c r="DX360" i="1"/>
  <c r="DZ360" i="1" s="1"/>
  <c r="DW360" i="1"/>
  <c r="DY360" i="1" s="1"/>
  <c r="BT357" i="1" l="1"/>
  <c r="O358" i="1"/>
  <c r="L359" i="1"/>
  <c r="L358" i="1"/>
  <c r="DV358" i="1" s="1"/>
  <c r="CB358" i="1" l="1"/>
  <c r="CB359" i="1"/>
  <c r="EK358" i="1"/>
  <c r="EK359" i="1"/>
  <c r="DV359" i="1"/>
  <c r="BS358" i="1"/>
  <c r="BS359" i="1"/>
  <c r="BN359" i="1"/>
  <c r="BN358" i="1"/>
  <c r="BL359" i="1"/>
  <c r="BM359" i="1"/>
  <c r="BL358" i="1"/>
  <c r="BM358" i="1"/>
  <c r="DR359" i="1"/>
  <c r="EG359" i="1"/>
  <c r="EG358" i="1"/>
  <c r="DR358" i="1"/>
  <c r="BW356" i="1"/>
  <c r="BW355" i="1"/>
  <c r="EM359" i="1" l="1"/>
  <c r="EL359" i="1"/>
  <c r="EM358" i="1"/>
  <c r="EL358" i="1"/>
  <c r="CU358" i="1"/>
  <c r="CV358" i="1"/>
  <c r="DW358" i="1"/>
  <c r="DX358" i="1"/>
  <c r="DW359" i="1"/>
  <c r="DY359" i="1" s="1"/>
  <c r="DX359" i="1"/>
  <c r="DZ359" i="1" s="1"/>
  <c r="BW354" i="1"/>
  <c r="BT353" i="1"/>
  <c r="BW352" i="1"/>
  <c r="O353" i="1"/>
  <c r="O354" i="1"/>
  <c r="O356" i="1"/>
  <c r="O357" i="1"/>
  <c r="L357" i="1"/>
  <c r="L356" i="1"/>
  <c r="L355" i="1"/>
  <c r="L354" i="1"/>
  <c r="L353" i="1"/>
  <c r="L352" i="1"/>
  <c r="BN356" i="1"/>
  <c r="BN357" i="1"/>
  <c r="B352" i="1"/>
  <c r="B353" i="1"/>
  <c r="B354" i="1"/>
  <c r="B355" i="1"/>
  <c r="B356" i="1"/>
  <c r="B357" i="1"/>
  <c r="CB352" i="1" l="1"/>
  <c r="CB353" i="1"/>
  <c r="CB354" i="1"/>
  <c r="CB355" i="1"/>
  <c r="CB356" i="1"/>
  <c r="CB357" i="1"/>
  <c r="EK355" i="1"/>
  <c r="DV355" i="1"/>
  <c r="BN355" i="1"/>
  <c r="EK356" i="1"/>
  <c r="DV356" i="1"/>
  <c r="EK353" i="1"/>
  <c r="DV353" i="1"/>
  <c r="EK357" i="1"/>
  <c r="DV357" i="1"/>
  <c r="EK352" i="1"/>
  <c r="DV352" i="1"/>
  <c r="EK354" i="1"/>
  <c r="DV354" i="1"/>
  <c r="BS356" i="1"/>
  <c r="BN354" i="1"/>
  <c r="BS353" i="1"/>
  <c r="BS357" i="1"/>
  <c r="BM353" i="1"/>
  <c r="BN353" i="1"/>
  <c r="BS354" i="1"/>
  <c r="BS352" i="1"/>
  <c r="BN352" i="1"/>
  <c r="BS355" i="1"/>
  <c r="BL354" i="1"/>
  <c r="BM354" i="1"/>
  <c r="BL357" i="1"/>
  <c r="BM357" i="1"/>
  <c r="BL356" i="1"/>
  <c r="BM356" i="1"/>
  <c r="BL352" i="1"/>
  <c r="BM352" i="1"/>
  <c r="BL355" i="1"/>
  <c r="BM355" i="1"/>
  <c r="BL353" i="1"/>
  <c r="EG352" i="1"/>
  <c r="EG357" i="1"/>
  <c r="DR357" i="1"/>
  <c r="EG356" i="1"/>
  <c r="DR356" i="1"/>
  <c r="EG355" i="1"/>
  <c r="DR355" i="1"/>
  <c r="DR353" i="1"/>
  <c r="DR354" i="1"/>
  <c r="EG353" i="1"/>
  <c r="EG354" i="1"/>
  <c r="DR352" i="1"/>
  <c r="CU353" i="1" l="1"/>
  <c r="CV353" i="1"/>
  <c r="EM355" i="1"/>
  <c r="EL355" i="1"/>
  <c r="CU356" i="1"/>
  <c r="CV356" i="1"/>
  <c r="EM356" i="1"/>
  <c r="EL356" i="1"/>
  <c r="CU357" i="1"/>
  <c r="CV357" i="1"/>
  <c r="EM357" i="1"/>
  <c r="EL357" i="1"/>
  <c r="EL352" i="1"/>
  <c r="EM352" i="1"/>
  <c r="CV352" i="1"/>
  <c r="EL354" i="1"/>
  <c r="EM354" i="1"/>
  <c r="EM353" i="1"/>
  <c r="EL353" i="1"/>
  <c r="DW357" i="1"/>
  <c r="DX357" i="1"/>
  <c r="DW355" i="1"/>
  <c r="DX355" i="1"/>
  <c r="DZ355" i="1" s="1"/>
  <c r="ED355" i="1" s="1"/>
  <c r="DW356" i="1"/>
  <c r="DY356" i="1" s="1"/>
  <c r="DX356" i="1"/>
  <c r="DZ356" i="1" s="1"/>
  <c r="ED356" i="1" s="1"/>
  <c r="DX352" i="1"/>
  <c r="DW352" i="1"/>
  <c r="DW353" i="1"/>
  <c r="DX353" i="1"/>
  <c r="DW354" i="1"/>
  <c r="DY354" i="1" s="1"/>
  <c r="DX354" i="1"/>
  <c r="DZ354" i="1" s="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5" i="1"/>
  <c r="H436" i="1"/>
  <c r="H437" i="1"/>
  <c r="H438" i="1"/>
  <c r="H439" i="1"/>
  <c r="H440" i="1"/>
  <c r="H441" i="1"/>
  <c r="H442" i="1"/>
  <c r="H443" i="1"/>
  <c r="H444" i="1"/>
  <c r="H445" i="1"/>
  <c r="H446" i="1"/>
  <c r="H447" i="1"/>
  <c r="H448" i="1"/>
  <c r="H449" i="1"/>
  <c r="H450" i="1"/>
  <c r="H452" i="1"/>
  <c r="H453" i="1"/>
  <c r="H454" i="1"/>
  <c r="H455" i="1"/>
  <c r="H456" i="1"/>
  <c r="H457" i="1"/>
  <c r="H458" i="1"/>
  <c r="H459" i="1"/>
  <c r="H460" i="1"/>
  <c r="H461" i="1"/>
  <c r="H462" i="1"/>
  <c r="H465" i="1"/>
  <c r="H464" i="1"/>
  <c r="H463" i="1"/>
  <c r="H466" i="1"/>
  <c r="H468" i="1"/>
  <c r="H467" i="1"/>
  <c r="H469" i="1"/>
  <c r="H470" i="1"/>
  <c r="H471" i="1"/>
  <c r="H472" i="1"/>
  <c r="H473" i="1"/>
  <c r="H475" i="1"/>
  <c r="H474" i="1"/>
  <c r="H479" i="1"/>
  <c r="H476" i="1"/>
  <c r="H478" i="1"/>
  <c r="H477" i="1"/>
  <c r="H481" i="1"/>
  <c r="H480" i="1"/>
  <c r="H482" i="1"/>
  <c r="H485" i="1"/>
  <c r="H484" i="1"/>
  <c r="H483" i="1"/>
  <c r="H486" i="1"/>
  <c r="H488" i="1"/>
  <c r="H487" i="1"/>
  <c r="H489" i="1"/>
  <c r="H490" i="1"/>
  <c r="H491" i="1"/>
  <c r="H492" i="1"/>
  <c r="H493" i="1"/>
  <c r="H494" i="1"/>
  <c r="H495" i="1"/>
  <c r="H496" i="1"/>
  <c r="H498" i="1"/>
  <c r="H499" i="1"/>
  <c r="H500" i="1"/>
  <c r="H501" i="1"/>
  <c r="H502" i="1"/>
  <c r="H503" i="1"/>
  <c r="H504" i="1"/>
  <c r="H506" i="1"/>
  <c r="H505" i="1"/>
  <c r="H508" i="1"/>
  <c r="H507" i="1"/>
  <c r="H509" i="1"/>
  <c r="H510" i="1"/>
  <c r="H511" i="1"/>
  <c r="H512" i="1"/>
  <c r="H513" i="1"/>
  <c r="H514" i="1"/>
  <c r="H515" i="1"/>
  <c r="H516" i="1"/>
  <c r="H517" i="1"/>
  <c r="H518" i="1"/>
  <c r="H519" i="1"/>
  <c r="H520" i="1"/>
  <c r="H521" i="1"/>
  <c r="H522" i="1"/>
  <c r="H523" i="1"/>
  <c r="H524" i="1"/>
  <c r="H525" i="1"/>
  <c r="H526" i="1"/>
  <c r="H527" i="1"/>
  <c r="H528" i="1"/>
  <c r="H529"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9" i="1"/>
  <c r="H558" i="1"/>
  <c r="H560" i="1"/>
  <c r="H561" i="1"/>
  <c r="H562" i="1"/>
  <c r="H563" i="1"/>
  <c r="H564" i="1"/>
  <c r="H565" i="1"/>
  <c r="H566" i="1"/>
  <c r="I352" i="1"/>
  <c r="J352" i="1"/>
  <c r="K352" i="1"/>
  <c r="I353" i="1"/>
  <c r="J353" i="1"/>
  <c r="K353" i="1"/>
  <c r="I354" i="1"/>
  <c r="J354" i="1"/>
  <c r="K354" i="1"/>
  <c r="I355" i="1"/>
  <c r="J355" i="1"/>
  <c r="K355" i="1"/>
  <c r="I356" i="1"/>
  <c r="J356" i="1"/>
  <c r="K356" i="1"/>
  <c r="I357" i="1"/>
  <c r="J357" i="1"/>
  <c r="K357" i="1"/>
  <c r="I358" i="1"/>
  <c r="J358" i="1"/>
  <c r="K358" i="1"/>
  <c r="I359" i="1"/>
  <c r="J359" i="1"/>
  <c r="K359" i="1"/>
  <c r="I360" i="1"/>
  <c r="J360" i="1"/>
  <c r="K360" i="1"/>
  <c r="I361" i="1"/>
  <c r="J361" i="1"/>
  <c r="K361" i="1"/>
  <c r="I362" i="1"/>
  <c r="J362" i="1"/>
  <c r="K362" i="1"/>
  <c r="I363" i="1"/>
  <c r="J363" i="1"/>
  <c r="K363" i="1"/>
  <c r="I364" i="1"/>
  <c r="J364" i="1"/>
  <c r="K364" i="1"/>
  <c r="I365" i="1"/>
  <c r="J365" i="1"/>
  <c r="K365" i="1"/>
  <c r="I366" i="1"/>
  <c r="J366" i="1"/>
  <c r="K366" i="1"/>
  <c r="I367" i="1"/>
  <c r="J367" i="1"/>
  <c r="K367" i="1"/>
  <c r="I368" i="1"/>
  <c r="J368" i="1"/>
  <c r="K368" i="1"/>
  <c r="I369" i="1"/>
  <c r="J369" i="1"/>
  <c r="K369" i="1"/>
  <c r="I370" i="1"/>
  <c r="J370" i="1"/>
  <c r="K370" i="1"/>
  <c r="I371" i="1"/>
  <c r="J371" i="1"/>
  <c r="K371" i="1"/>
  <c r="I372" i="1"/>
  <c r="J372" i="1"/>
  <c r="K372" i="1"/>
  <c r="I373" i="1"/>
  <c r="J373" i="1"/>
  <c r="K373" i="1"/>
  <c r="I374" i="1"/>
  <c r="J374" i="1"/>
  <c r="K374" i="1"/>
  <c r="I375" i="1"/>
  <c r="J375" i="1"/>
  <c r="K375" i="1"/>
  <c r="I376" i="1"/>
  <c r="J376" i="1"/>
  <c r="K376" i="1"/>
  <c r="I377" i="1"/>
  <c r="J377" i="1"/>
  <c r="K377" i="1"/>
  <c r="I378" i="1"/>
  <c r="J378" i="1"/>
  <c r="K378" i="1"/>
  <c r="I379" i="1"/>
  <c r="J379" i="1"/>
  <c r="K379" i="1"/>
  <c r="I380" i="1"/>
  <c r="J380" i="1"/>
  <c r="K380" i="1"/>
  <c r="I381" i="1"/>
  <c r="J381" i="1"/>
  <c r="K381" i="1"/>
  <c r="I382" i="1"/>
  <c r="J382" i="1"/>
  <c r="K382" i="1"/>
  <c r="I383" i="1"/>
  <c r="J383" i="1"/>
  <c r="K383" i="1"/>
  <c r="I384" i="1"/>
  <c r="J384" i="1"/>
  <c r="K384" i="1"/>
  <c r="I385" i="1"/>
  <c r="J385" i="1"/>
  <c r="K385" i="1"/>
  <c r="I386" i="1"/>
  <c r="J386" i="1"/>
  <c r="K386" i="1"/>
  <c r="I387" i="1"/>
  <c r="J387" i="1"/>
  <c r="K387" i="1"/>
  <c r="I388" i="1"/>
  <c r="J388" i="1"/>
  <c r="K388" i="1"/>
  <c r="I389" i="1"/>
  <c r="J389" i="1"/>
  <c r="K389" i="1"/>
  <c r="I390" i="1"/>
  <c r="J390" i="1"/>
  <c r="K390" i="1"/>
  <c r="I391" i="1"/>
  <c r="J391" i="1"/>
  <c r="K391" i="1"/>
  <c r="I392" i="1"/>
  <c r="J392" i="1"/>
  <c r="K392" i="1"/>
  <c r="I393" i="1"/>
  <c r="J393" i="1"/>
  <c r="K393" i="1"/>
  <c r="I394" i="1"/>
  <c r="J394" i="1"/>
  <c r="K394" i="1"/>
  <c r="I395" i="1"/>
  <c r="J395" i="1"/>
  <c r="K395" i="1"/>
  <c r="I396" i="1"/>
  <c r="J396" i="1"/>
  <c r="K396" i="1"/>
  <c r="I397" i="1"/>
  <c r="J397" i="1"/>
  <c r="K397" i="1"/>
  <c r="I398" i="1"/>
  <c r="J398" i="1"/>
  <c r="K398" i="1"/>
  <c r="I399" i="1"/>
  <c r="J399" i="1"/>
  <c r="K399" i="1"/>
  <c r="I400" i="1"/>
  <c r="J400" i="1"/>
  <c r="K400" i="1"/>
  <c r="I401" i="1"/>
  <c r="J401" i="1"/>
  <c r="K401" i="1"/>
  <c r="I402" i="1"/>
  <c r="J402" i="1"/>
  <c r="K402" i="1"/>
  <c r="I403" i="1"/>
  <c r="J403" i="1"/>
  <c r="K403" i="1"/>
  <c r="I404" i="1"/>
  <c r="J404" i="1"/>
  <c r="K404" i="1"/>
  <c r="I405" i="1"/>
  <c r="J405" i="1"/>
  <c r="K405" i="1"/>
  <c r="I406" i="1"/>
  <c r="J406" i="1"/>
  <c r="K406" i="1"/>
  <c r="I407" i="1"/>
  <c r="J407" i="1"/>
  <c r="K407" i="1"/>
  <c r="I408" i="1"/>
  <c r="J408" i="1"/>
  <c r="K408" i="1"/>
  <c r="I409" i="1"/>
  <c r="J409" i="1"/>
  <c r="K409" i="1"/>
  <c r="I410" i="1"/>
  <c r="J410" i="1"/>
  <c r="K410" i="1"/>
  <c r="I411" i="1"/>
  <c r="J411" i="1"/>
  <c r="K411" i="1"/>
  <c r="I412" i="1"/>
  <c r="J412" i="1"/>
  <c r="K412" i="1"/>
  <c r="I413" i="1"/>
  <c r="J413" i="1"/>
  <c r="K413" i="1"/>
  <c r="I414" i="1"/>
  <c r="J414" i="1"/>
  <c r="K414" i="1"/>
  <c r="I415" i="1"/>
  <c r="J415" i="1"/>
  <c r="K415" i="1"/>
  <c r="I416" i="1"/>
  <c r="J416" i="1"/>
  <c r="K416" i="1"/>
  <c r="I417" i="1"/>
  <c r="J417" i="1"/>
  <c r="K417" i="1"/>
  <c r="I418" i="1"/>
  <c r="J418" i="1"/>
  <c r="K418" i="1"/>
  <c r="I419" i="1"/>
  <c r="J419" i="1"/>
  <c r="K419" i="1"/>
  <c r="I420" i="1"/>
  <c r="J420" i="1"/>
  <c r="K420" i="1"/>
  <c r="I421" i="1"/>
  <c r="J421" i="1"/>
  <c r="K421" i="1"/>
  <c r="I422" i="1"/>
  <c r="J422" i="1"/>
  <c r="K422" i="1"/>
  <c r="I423" i="1"/>
  <c r="J423" i="1"/>
  <c r="K423" i="1"/>
  <c r="I424" i="1"/>
  <c r="J424" i="1"/>
  <c r="K424" i="1"/>
  <c r="I425" i="1"/>
  <c r="J425" i="1"/>
  <c r="K425" i="1"/>
  <c r="I426" i="1"/>
  <c r="J426" i="1"/>
  <c r="K426" i="1"/>
  <c r="I427" i="1"/>
  <c r="J427" i="1"/>
  <c r="K427" i="1"/>
  <c r="I428" i="1"/>
  <c r="J428" i="1"/>
  <c r="K428" i="1"/>
  <c r="I429" i="1"/>
  <c r="J429" i="1"/>
  <c r="K429" i="1"/>
  <c r="I430" i="1"/>
  <c r="J430" i="1"/>
  <c r="K430" i="1"/>
  <c r="I431" i="1"/>
  <c r="J431" i="1"/>
  <c r="K431" i="1"/>
  <c r="I432" i="1"/>
  <c r="J432" i="1"/>
  <c r="K432" i="1"/>
  <c r="I434" i="1"/>
  <c r="J434" i="1"/>
  <c r="K434" i="1"/>
  <c r="I433" i="1"/>
  <c r="J433" i="1"/>
  <c r="K433" i="1"/>
  <c r="I435" i="1"/>
  <c r="J435" i="1"/>
  <c r="K435" i="1"/>
  <c r="I436" i="1"/>
  <c r="J436" i="1"/>
  <c r="K436" i="1"/>
  <c r="I437" i="1"/>
  <c r="J437" i="1"/>
  <c r="K437" i="1"/>
  <c r="I438" i="1"/>
  <c r="J438" i="1"/>
  <c r="K438" i="1"/>
  <c r="I439" i="1"/>
  <c r="J439" i="1"/>
  <c r="K439" i="1"/>
  <c r="I440" i="1"/>
  <c r="J440" i="1"/>
  <c r="K440" i="1"/>
  <c r="I441" i="1"/>
  <c r="J441" i="1"/>
  <c r="K441" i="1"/>
  <c r="I442" i="1"/>
  <c r="J442" i="1"/>
  <c r="K442" i="1"/>
  <c r="I443" i="1"/>
  <c r="J443" i="1"/>
  <c r="K443" i="1"/>
  <c r="I444" i="1"/>
  <c r="J444" i="1"/>
  <c r="K444" i="1"/>
  <c r="I445" i="1"/>
  <c r="J445" i="1"/>
  <c r="K445" i="1"/>
  <c r="I446" i="1"/>
  <c r="J446" i="1"/>
  <c r="K446" i="1"/>
  <c r="I447" i="1"/>
  <c r="J447" i="1"/>
  <c r="K447" i="1"/>
  <c r="I448" i="1"/>
  <c r="J448" i="1"/>
  <c r="K448" i="1"/>
  <c r="I449" i="1"/>
  <c r="J449" i="1"/>
  <c r="K449" i="1"/>
  <c r="I450" i="1"/>
  <c r="J450" i="1"/>
  <c r="K450" i="1"/>
  <c r="I451" i="1"/>
  <c r="J451" i="1"/>
  <c r="K451" i="1"/>
  <c r="I452" i="1"/>
  <c r="J452" i="1"/>
  <c r="K452" i="1"/>
  <c r="I453" i="1"/>
  <c r="J453" i="1"/>
  <c r="K453" i="1"/>
  <c r="I454" i="1"/>
  <c r="J454" i="1"/>
  <c r="K454" i="1"/>
  <c r="I455" i="1"/>
  <c r="J455" i="1"/>
  <c r="K455" i="1"/>
  <c r="I456" i="1"/>
  <c r="J456" i="1"/>
  <c r="K456" i="1"/>
  <c r="I457" i="1"/>
  <c r="J457" i="1"/>
  <c r="K457" i="1"/>
  <c r="I458" i="1"/>
  <c r="J458" i="1"/>
  <c r="K458" i="1"/>
  <c r="I459" i="1"/>
  <c r="J459" i="1"/>
  <c r="K459" i="1"/>
  <c r="I460" i="1"/>
  <c r="J460" i="1"/>
  <c r="K460" i="1"/>
  <c r="I461" i="1"/>
  <c r="J461" i="1"/>
  <c r="K461" i="1"/>
  <c r="I462" i="1"/>
  <c r="J462" i="1"/>
  <c r="K462" i="1"/>
  <c r="I465" i="1"/>
  <c r="J465" i="1"/>
  <c r="K465" i="1"/>
  <c r="I464" i="1"/>
  <c r="J464" i="1"/>
  <c r="K464" i="1"/>
  <c r="I463" i="1"/>
  <c r="J463" i="1"/>
  <c r="K463" i="1"/>
  <c r="I466" i="1"/>
  <c r="J466" i="1"/>
  <c r="K466" i="1"/>
  <c r="I468" i="1"/>
  <c r="J468" i="1"/>
  <c r="K468" i="1"/>
  <c r="I467" i="1"/>
  <c r="J467" i="1"/>
  <c r="K467" i="1"/>
  <c r="I469" i="1"/>
  <c r="J469" i="1"/>
  <c r="K469" i="1"/>
  <c r="I470" i="1"/>
  <c r="J470" i="1"/>
  <c r="K470" i="1"/>
  <c r="I471" i="1"/>
  <c r="J471" i="1"/>
  <c r="K471" i="1"/>
  <c r="I472" i="1"/>
  <c r="J472" i="1"/>
  <c r="K472" i="1"/>
  <c r="I473" i="1"/>
  <c r="J473" i="1"/>
  <c r="K473" i="1"/>
  <c r="I475" i="1"/>
  <c r="J475" i="1"/>
  <c r="K475" i="1"/>
  <c r="I474" i="1"/>
  <c r="J474" i="1"/>
  <c r="K474" i="1"/>
  <c r="I479" i="1"/>
  <c r="J479" i="1"/>
  <c r="K479" i="1"/>
  <c r="I476" i="1"/>
  <c r="J476" i="1"/>
  <c r="K476" i="1"/>
  <c r="I478" i="1"/>
  <c r="J478" i="1"/>
  <c r="K478" i="1"/>
  <c r="I477" i="1"/>
  <c r="J477" i="1"/>
  <c r="K477" i="1"/>
  <c r="I481" i="1"/>
  <c r="J481" i="1"/>
  <c r="K481" i="1"/>
  <c r="I480" i="1"/>
  <c r="J480" i="1"/>
  <c r="K480" i="1"/>
  <c r="I482" i="1"/>
  <c r="J482" i="1"/>
  <c r="K482" i="1"/>
  <c r="I485" i="1"/>
  <c r="J485" i="1"/>
  <c r="K485" i="1"/>
  <c r="I484" i="1"/>
  <c r="J484" i="1"/>
  <c r="K484" i="1"/>
  <c r="I483" i="1"/>
  <c r="J483" i="1"/>
  <c r="K483" i="1"/>
  <c r="I486" i="1"/>
  <c r="J486" i="1"/>
  <c r="K486" i="1"/>
  <c r="I488" i="1"/>
  <c r="J488" i="1"/>
  <c r="K488" i="1"/>
  <c r="I487" i="1"/>
  <c r="J487" i="1"/>
  <c r="K487" i="1"/>
  <c r="I489" i="1"/>
  <c r="J489" i="1"/>
  <c r="K489" i="1"/>
  <c r="I490" i="1"/>
  <c r="J490" i="1"/>
  <c r="K490" i="1"/>
  <c r="I491" i="1"/>
  <c r="J491" i="1"/>
  <c r="K491" i="1"/>
  <c r="I492" i="1"/>
  <c r="J492" i="1"/>
  <c r="K492" i="1"/>
  <c r="I493" i="1"/>
  <c r="J493" i="1"/>
  <c r="K493" i="1"/>
  <c r="I494" i="1"/>
  <c r="J494" i="1"/>
  <c r="K494" i="1"/>
  <c r="I495" i="1"/>
  <c r="J495" i="1"/>
  <c r="K495" i="1"/>
  <c r="I496" i="1"/>
  <c r="J496" i="1"/>
  <c r="K496" i="1"/>
  <c r="I497" i="1"/>
  <c r="J497" i="1"/>
  <c r="K497" i="1"/>
  <c r="I498" i="1"/>
  <c r="J498" i="1"/>
  <c r="K498" i="1"/>
  <c r="I499" i="1"/>
  <c r="J499" i="1"/>
  <c r="K499" i="1"/>
  <c r="I500" i="1"/>
  <c r="J500" i="1"/>
  <c r="K500" i="1"/>
  <c r="I501" i="1"/>
  <c r="J501" i="1"/>
  <c r="K501" i="1"/>
  <c r="I502" i="1"/>
  <c r="J502" i="1"/>
  <c r="K502" i="1"/>
  <c r="I503" i="1"/>
  <c r="J503" i="1"/>
  <c r="K503" i="1"/>
  <c r="I504" i="1"/>
  <c r="J504" i="1"/>
  <c r="K504" i="1"/>
  <c r="I506" i="1"/>
  <c r="J506" i="1"/>
  <c r="K506" i="1"/>
  <c r="I505" i="1"/>
  <c r="J505" i="1"/>
  <c r="K505" i="1"/>
  <c r="I508" i="1"/>
  <c r="J508" i="1"/>
  <c r="K508" i="1"/>
  <c r="I507" i="1"/>
  <c r="J507" i="1"/>
  <c r="K507" i="1"/>
  <c r="I509" i="1"/>
  <c r="J509" i="1"/>
  <c r="K509" i="1"/>
  <c r="I510" i="1"/>
  <c r="J510" i="1"/>
  <c r="K510" i="1"/>
  <c r="I511" i="1"/>
  <c r="J511" i="1"/>
  <c r="K511" i="1"/>
  <c r="I512" i="1"/>
  <c r="J512" i="1"/>
  <c r="K512" i="1"/>
  <c r="I513" i="1"/>
  <c r="J513" i="1"/>
  <c r="K513" i="1"/>
  <c r="I514" i="1"/>
  <c r="J514" i="1"/>
  <c r="K514" i="1"/>
  <c r="I515" i="1"/>
  <c r="J515" i="1"/>
  <c r="K515" i="1"/>
  <c r="I516" i="1"/>
  <c r="J516" i="1"/>
  <c r="K516" i="1"/>
  <c r="I517" i="1"/>
  <c r="J517" i="1"/>
  <c r="K517" i="1"/>
  <c r="I518" i="1"/>
  <c r="J518" i="1"/>
  <c r="K518" i="1"/>
  <c r="I519" i="1"/>
  <c r="J519" i="1"/>
  <c r="K519" i="1"/>
  <c r="I520" i="1"/>
  <c r="J520" i="1"/>
  <c r="K520" i="1"/>
  <c r="I521" i="1"/>
  <c r="J521" i="1"/>
  <c r="K521" i="1"/>
  <c r="I522" i="1"/>
  <c r="J522" i="1"/>
  <c r="K522" i="1"/>
  <c r="I523" i="1"/>
  <c r="J523" i="1"/>
  <c r="K523" i="1"/>
  <c r="I524" i="1"/>
  <c r="J524" i="1"/>
  <c r="K524" i="1"/>
  <c r="I525" i="1"/>
  <c r="J525" i="1"/>
  <c r="K525" i="1"/>
  <c r="I526" i="1"/>
  <c r="J526" i="1"/>
  <c r="K526" i="1"/>
  <c r="I527" i="1"/>
  <c r="J527" i="1"/>
  <c r="K527" i="1"/>
  <c r="I528" i="1"/>
  <c r="J528" i="1"/>
  <c r="K528" i="1"/>
  <c r="I529" i="1"/>
  <c r="J529" i="1"/>
  <c r="K529" i="1"/>
  <c r="I530" i="1"/>
  <c r="J530" i="1"/>
  <c r="K530" i="1"/>
  <c r="I531" i="1"/>
  <c r="J531" i="1"/>
  <c r="K531" i="1"/>
  <c r="I532" i="1"/>
  <c r="J532" i="1"/>
  <c r="K532" i="1"/>
  <c r="I533" i="1"/>
  <c r="J533" i="1"/>
  <c r="K533" i="1"/>
  <c r="I534" i="1"/>
  <c r="J534" i="1"/>
  <c r="K534" i="1"/>
  <c r="I535" i="1"/>
  <c r="J535" i="1"/>
  <c r="K535" i="1"/>
  <c r="I536" i="1"/>
  <c r="J536" i="1"/>
  <c r="K536" i="1"/>
  <c r="I537" i="1"/>
  <c r="J537" i="1"/>
  <c r="K537" i="1"/>
  <c r="I538" i="1"/>
  <c r="J538" i="1"/>
  <c r="K538" i="1"/>
  <c r="I539" i="1"/>
  <c r="J539" i="1"/>
  <c r="K539" i="1"/>
  <c r="I540" i="1"/>
  <c r="J540" i="1"/>
  <c r="K540" i="1"/>
  <c r="I541" i="1"/>
  <c r="J541" i="1"/>
  <c r="K541" i="1"/>
  <c r="I542" i="1"/>
  <c r="J542" i="1"/>
  <c r="K542" i="1"/>
  <c r="I543" i="1"/>
  <c r="J543" i="1"/>
  <c r="K543" i="1"/>
  <c r="I544" i="1"/>
  <c r="J544" i="1"/>
  <c r="K544" i="1"/>
  <c r="I545" i="1"/>
  <c r="J545" i="1"/>
  <c r="K545" i="1"/>
  <c r="I546" i="1"/>
  <c r="J546" i="1"/>
  <c r="K546" i="1"/>
  <c r="I547" i="1"/>
  <c r="J547" i="1"/>
  <c r="K547" i="1"/>
  <c r="I548" i="1"/>
  <c r="J548" i="1"/>
  <c r="K548" i="1"/>
  <c r="I549" i="1"/>
  <c r="J549" i="1"/>
  <c r="K549" i="1"/>
  <c r="I550" i="1"/>
  <c r="J550" i="1"/>
  <c r="K550" i="1"/>
  <c r="I551" i="1"/>
  <c r="J551" i="1"/>
  <c r="K551" i="1"/>
  <c r="I552" i="1"/>
  <c r="J552" i="1"/>
  <c r="K552" i="1"/>
  <c r="I553" i="1"/>
  <c r="J553" i="1"/>
  <c r="K553" i="1"/>
  <c r="I554" i="1"/>
  <c r="J554" i="1"/>
  <c r="K554" i="1"/>
  <c r="I555" i="1"/>
  <c r="J555" i="1"/>
  <c r="K555" i="1"/>
  <c r="I556" i="1"/>
  <c r="J556" i="1"/>
  <c r="K556" i="1"/>
  <c r="I557" i="1"/>
  <c r="J557" i="1"/>
  <c r="K557" i="1"/>
  <c r="I559" i="1"/>
  <c r="J559" i="1"/>
  <c r="K559" i="1"/>
  <c r="I558" i="1"/>
  <c r="J558" i="1"/>
  <c r="K558" i="1"/>
  <c r="I560" i="1"/>
  <c r="J560" i="1"/>
  <c r="K560" i="1"/>
  <c r="I561" i="1"/>
  <c r="J561" i="1"/>
  <c r="K561" i="1"/>
  <c r="I562" i="1"/>
  <c r="J562" i="1"/>
  <c r="K562" i="1"/>
  <c r="I563" i="1"/>
  <c r="J563" i="1"/>
  <c r="K563" i="1"/>
  <c r="I564" i="1"/>
  <c r="J564" i="1"/>
  <c r="K564" i="1"/>
  <c r="I565" i="1"/>
  <c r="J565" i="1"/>
  <c r="K565" i="1"/>
  <c r="I566" i="1"/>
  <c r="J566" i="1"/>
  <c r="K566" i="1"/>
  <c r="AT390" i="1"/>
  <c r="AT393" i="1"/>
  <c r="J405" i="6"/>
  <c r="K405" i="6"/>
  <c r="L405" i="6"/>
  <c r="S405" i="6"/>
  <c r="T405" i="6"/>
  <c r="U405" i="6"/>
  <c r="DY355" i="1" l="1"/>
  <c r="EC355" i="1" s="1"/>
  <c r="EE355" i="1" s="1"/>
  <c r="AK405" i="6"/>
  <c r="V405" i="6"/>
  <c r="AT404" i="1"/>
  <c r="AT403" i="1"/>
  <c r="AT402" i="1"/>
  <c r="AT401" i="1"/>
  <c r="AT400" i="1"/>
  <c r="AT399" i="1"/>
  <c r="AT398" i="1"/>
  <c r="AT397" i="1"/>
  <c r="AT396" i="1"/>
  <c r="AM405" i="6"/>
  <c r="X405" i="6"/>
  <c r="AL405" i="6"/>
  <c r="W405" i="6"/>
  <c r="AT395" i="1"/>
  <c r="AT391" i="1"/>
  <c r="AT388" i="1"/>
  <c r="AT387" i="1"/>
  <c r="AT383" i="1"/>
  <c r="AT384" i="1"/>
  <c r="AT385" i="1"/>
  <c r="AT382" i="1"/>
  <c r="AT381" i="1"/>
  <c r="AT379" i="1"/>
  <c r="AT380" i="1"/>
  <c r="AT377" i="1"/>
  <c r="AT375" i="1"/>
  <c r="AT372" i="1"/>
  <c r="AT373" i="1"/>
  <c r="AT374" i="1"/>
  <c r="AT368" i="1"/>
  <c r="AT369" i="1"/>
  <c r="AT367" i="1"/>
  <c r="AT364" i="1"/>
  <c r="AT360" i="1"/>
  <c r="AT365" i="1"/>
  <c r="AT361" i="1"/>
  <c r="AT366" i="1"/>
  <c r="AT359" i="1"/>
  <c r="AT358" i="1"/>
  <c r="AT357" i="1"/>
  <c r="AT392" i="1"/>
  <c r="AT394" i="1"/>
  <c r="BW351" i="1"/>
  <c r="O351" i="1"/>
  <c r="L351" i="1"/>
  <c r="B351" i="1"/>
  <c r="AT405" i="1" l="1"/>
  <c r="CB351" i="1"/>
  <c r="EK351" i="1"/>
  <c r="DV351" i="1"/>
  <c r="BS351" i="1"/>
  <c r="BM351" i="1"/>
  <c r="BN351" i="1"/>
  <c r="AF405" i="6"/>
  <c r="AC405" i="6"/>
  <c r="AI405" i="6"/>
  <c r="Z405" i="6"/>
  <c r="AJ405" i="6"/>
  <c r="AG405" i="6"/>
  <c r="AD405" i="6"/>
  <c r="AA405" i="6"/>
  <c r="AB405" i="6"/>
  <c r="Y405" i="6"/>
  <c r="AE405" i="6"/>
  <c r="AH405" i="6"/>
  <c r="BL351" i="1"/>
  <c r="AT389" i="1"/>
  <c r="AT386" i="1"/>
  <c r="AT378" i="1"/>
  <c r="AT376" i="1"/>
  <c r="AT370" i="1"/>
  <c r="AT371" i="1"/>
  <c r="AT362" i="1"/>
  <c r="AT363" i="1"/>
  <c r="DR351" i="1"/>
  <c r="EG351" i="1"/>
  <c r="BW350" i="1"/>
  <c r="L350" i="1"/>
  <c r="B350" i="1"/>
  <c r="EM351" i="1" l="1"/>
  <c r="EL351" i="1"/>
  <c r="DW351" i="1"/>
  <c r="DX351" i="1"/>
  <c r="DZ351" i="1" s="1"/>
  <c r="ED351" i="1" s="1"/>
  <c r="CB350" i="1"/>
  <c r="EK350" i="1"/>
  <c r="DV350" i="1"/>
  <c r="BN350" i="1"/>
  <c r="BS350" i="1"/>
  <c r="BL350" i="1"/>
  <c r="BM350" i="1"/>
  <c r="DR350" i="1"/>
  <c r="EG350" i="1"/>
  <c r="DY351" i="1" l="1"/>
  <c r="EC351" i="1" s="1"/>
  <c r="EE351" i="1" s="1"/>
  <c r="EM350" i="1"/>
  <c r="EL350" i="1"/>
  <c r="DW350" i="1"/>
  <c r="DX350" i="1"/>
  <c r="BT349" i="1"/>
  <c r="BW348" i="1"/>
  <c r="B348" i="1"/>
  <c r="BW347" i="1"/>
  <c r="BW346" i="1"/>
  <c r="BW345" i="1"/>
  <c r="BT344" i="1"/>
  <c r="O345" i="1"/>
  <c r="O348" i="1"/>
  <c r="O349" i="1"/>
  <c r="L344" i="1"/>
  <c r="L345" i="1"/>
  <c r="L346" i="1"/>
  <c r="L347" i="1"/>
  <c r="L348" i="1"/>
  <c r="L349" i="1"/>
  <c r="BN345" i="1"/>
  <c r="B344" i="1"/>
  <c r="B345" i="1"/>
  <c r="B346" i="1"/>
  <c r="B347" i="1"/>
  <c r="B349" i="1"/>
  <c r="CB344" i="1" l="1"/>
  <c r="CB349" i="1"/>
  <c r="CB348" i="1"/>
  <c r="CB347" i="1"/>
  <c r="CB346" i="1"/>
  <c r="CB345" i="1"/>
  <c r="EK344" i="1"/>
  <c r="DV344" i="1"/>
  <c r="EK346" i="1"/>
  <c r="DV346" i="1"/>
  <c r="EK348" i="1"/>
  <c r="DV348" i="1"/>
  <c r="EK347" i="1"/>
  <c r="DV347" i="1"/>
  <c r="BN344" i="1"/>
  <c r="BN347" i="1"/>
  <c r="EK349" i="1"/>
  <c r="DV349" i="1"/>
  <c r="EK345" i="1"/>
  <c r="DV345" i="1"/>
  <c r="BN346" i="1"/>
  <c r="BM348" i="1"/>
  <c r="BN348" i="1"/>
  <c r="BS346" i="1"/>
  <c r="BS349" i="1"/>
  <c r="BS345" i="1"/>
  <c r="BS348" i="1"/>
  <c r="BS344" i="1"/>
  <c r="BM349" i="1"/>
  <c r="BN349" i="1"/>
  <c r="BS347" i="1"/>
  <c r="BL344" i="1"/>
  <c r="BM344" i="1"/>
  <c r="BL347" i="1"/>
  <c r="BM347" i="1"/>
  <c r="BL345" i="1"/>
  <c r="BM345" i="1"/>
  <c r="BL346" i="1"/>
  <c r="BM346" i="1"/>
  <c r="BL349" i="1"/>
  <c r="EG348" i="1"/>
  <c r="BL348" i="1"/>
  <c r="EG347" i="1"/>
  <c r="EG346" i="1"/>
  <c r="DR344" i="1"/>
  <c r="DR349" i="1"/>
  <c r="EG344" i="1"/>
  <c r="DR347" i="1"/>
  <c r="DR345" i="1"/>
  <c r="DR346" i="1"/>
  <c r="EG349" i="1"/>
  <c r="EG345" i="1"/>
  <c r="DR348" i="1"/>
  <c r="EM345" i="1" l="1"/>
  <c r="EL345" i="1"/>
  <c r="CU349" i="1"/>
  <c r="CV349" i="1"/>
  <c r="EM348" i="1"/>
  <c r="EL348" i="1"/>
  <c r="EM344" i="1"/>
  <c r="EL344" i="1"/>
  <c r="CU344" i="1"/>
  <c r="CV344" i="1"/>
  <c r="EL346" i="1"/>
  <c r="EM346" i="1"/>
  <c r="EM347" i="1"/>
  <c r="EL347" i="1"/>
  <c r="EM349" i="1"/>
  <c r="EL349" i="1"/>
  <c r="DW349" i="1"/>
  <c r="DX349" i="1"/>
  <c r="DX344" i="1"/>
  <c r="DW344" i="1"/>
  <c r="DW347" i="1"/>
  <c r="DX347" i="1"/>
  <c r="DW348" i="1"/>
  <c r="DX348" i="1"/>
  <c r="DW346" i="1"/>
  <c r="DY346" i="1" s="1"/>
  <c r="DX346" i="1"/>
  <c r="DZ346" i="1" s="1"/>
  <c r="DW345" i="1"/>
  <c r="DY345" i="1" s="1"/>
  <c r="DX345" i="1"/>
  <c r="DZ345" i="1" s="1"/>
  <c r="BW343" i="1"/>
  <c r="BT342" i="1"/>
  <c r="BT341" i="1"/>
  <c r="BW340" i="1"/>
  <c r="O343" i="1"/>
  <c r="O342" i="1"/>
  <c r="O340" i="1"/>
  <c r="L343" i="1"/>
  <c r="L342" i="1"/>
  <c r="L341" i="1"/>
  <c r="L340" i="1"/>
  <c r="BN342" i="1"/>
  <c r="B340" i="1"/>
  <c r="B341" i="1"/>
  <c r="B342" i="1"/>
  <c r="B343" i="1"/>
  <c r="CB342" i="1" l="1"/>
  <c r="CB340" i="1"/>
  <c r="CB341" i="1"/>
  <c r="CB343" i="1"/>
  <c r="BN340" i="1"/>
  <c r="EK341" i="1"/>
  <c r="DV341" i="1"/>
  <c r="EK343" i="1"/>
  <c r="DV343" i="1"/>
  <c r="BN341" i="1"/>
  <c r="EK342" i="1"/>
  <c r="DV342" i="1"/>
  <c r="EK340" i="1"/>
  <c r="DV340" i="1"/>
  <c r="BS341" i="1"/>
  <c r="BS340" i="1"/>
  <c r="BS342" i="1"/>
  <c r="BM343" i="1"/>
  <c r="BN343" i="1"/>
  <c r="BS343" i="1"/>
  <c r="BL341" i="1"/>
  <c r="BM341" i="1"/>
  <c r="BL342" i="1"/>
  <c r="BM342" i="1"/>
  <c r="BL340" i="1"/>
  <c r="BM340" i="1"/>
  <c r="EG343" i="1"/>
  <c r="BL343" i="1"/>
  <c r="EG341" i="1"/>
  <c r="DR340" i="1"/>
  <c r="EG342" i="1"/>
  <c r="DR343" i="1"/>
  <c r="DR342" i="1"/>
  <c r="EG340" i="1"/>
  <c r="DR341" i="1"/>
  <c r="Q127" i="14"/>
  <c r="O126" i="14"/>
  <c r="P126" i="14" s="1"/>
  <c r="Q126" i="14"/>
  <c r="O125" i="14"/>
  <c r="Q124" i="14"/>
  <c r="Q115" i="14"/>
  <c r="Q100" i="14"/>
  <c r="K98" i="14"/>
  <c r="Q97" i="14"/>
  <c r="K86" i="14"/>
  <c r="Q89" i="14"/>
  <c r="Q73" i="14"/>
  <c r="Q85" i="14"/>
  <c r="EM343" i="1" l="1"/>
  <c r="EL343" i="1"/>
  <c r="CU342" i="1"/>
  <c r="CV342" i="1"/>
  <c r="EM342" i="1"/>
  <c r="EL342" i="1"/>
  <c r="CU341" i="1"/>
  <c r="CX341" i="1" s="1"/>
  <c r="CV341" i="1"/>
  <c r="EM341" i="1"/>
  <c r="EL341" i="1"/>
  <c r="EM340" i="1"/>
  <c r="EL340" i="1"/>
  <c r="DW342" i="1"/>
  <c r="DY342" i="1" s="1"/>
  <c r="DX342" i="1"/>
  <c r="DZ342" i="1" s="1"/>
  <c r="DW343" i="1"/>
  <c r="DX343" i="1"/>
  <c r="DZ343" i="1" s="1"/>
  <c r="ED343" i="1" s="1"/>
  <c r="DW340" i="1"/>
  <c r="DY340" i="1" s="1"/>
  <c r="DX340" i="1"/>
  <c r="DZ340" i="1" s="1"/>
  <c r="ED340" i="1" s="1"/>
  <c r="DW341" i="1"/>
  <c r="DX341" i="1"/>
  <c r="Q125" i="14"/>
  <c r="P125" i="14"/>
  <c r="DY343" i="1" l="1"/>
  <c r="EC343" i="1" s="1"/>
  <c r="EE343" i="1" s="1"/>
  <c r="B334" i="1"/>
  <c r="BW339" i="1"/>
  <c r="BW338" i="1"/>
  <c r="BT337" i="1"/>
  <c r="BT335" i="1"/>
  <c r="O335" i="1"/>
  <c r="O338" i="1"/>
  <c r="O339" i="1"/>
  <c r="L334" i="1"/>
  <c r="L335" i="1"/>
  <c r="L336" i="1"/>
  <c r="L337" i="1"/>
  <c r="L338" i="1"/>
  <c r="L339" i="1"/>
  <c r="BN335" i="1"/>
  <c r="BN338" i="1"/>
  <c r="BN339" i="1"/>
  <c r="B337" i="1"/>
  <c r="B338" i="1"/>
  <c r="B339" i="1"/>
  <c r="B335" i="1"/>
  <c r="B336" i="1"/>
  <c r="BN336" i="1" l="1"/>
  <c r="CB339" i="1"/>
  <c r="CB338" i="1"/>
  <c r="CB337" i="1"/>
  <c r="CB336" i="1"/>
  <c r="CB335" i="1"/>
  <c r="EK334" i="1"/>
  <c r="DV334" i="1"/>
  <c r="EK337" i="1"/>
  <c r="DV337" i="1"/>
  <c r="EK336" i="1"/>
  <c r="DV336" i="1"/>
  <c r="EK338" i="1"/>
  <c r="DV338" i="1"/>
  <c r="EK339" i="1"/>
  <c r="DV339" i="1"/>
  <c r="EK335" i="1"/>
  <c r="DV335" i="1"/>
  <c r="BS337" i="1"/>
  <c r="BS336" i="1"/>
  <c r="BS339" i="1"/>
  <c r="BS335" i="1"/>
  <c r="BN337" i="1"/>
  <c r="BS338" i="1"/>
  <c r="BL336" i="1"/>
  <c r="BM336" i="1"/>
  <c r="BL335" i="1"/>
  <c r="BM335" i="1"/>
  <c r="BL338" i="1"/>
  <c r="BM338" i="1"/>
  <c r="BL339" i="1"/>
  <c r="BM339" i="1"/>
  <c r="BL337" i="1"/>
  <c r="BM337" i="1"/>
  <c r="DR338" i="1"/>
  <c r="EG337" i="1"/>
  <c r="EG338" i="1"/>
  <c r="DR339" i="1"/>
  <c r="EG339" i="1"/>
  <c r="DR337" i="1"/>
  <c r="DR335" i="1"/>
  <c r="EG335" i="1"/>
  <c r="BW336" i="1"/>
  <c r="DR336" i="1"/>
  <c r="BW334" i="1"/>
  <c r="O334" i="1"/>
  <c r="BN334" i="1"/>
  <c r="EM335" i="1" l="1"/>
  <c r="EL335" i="1"/>
  <c r="CU335" i="1"/>
  <c r="CV335" i="1"/>
  <c r="CU337" i="1"/>
  <c r="CV337" i="1"/>
  <c r="EM339" i="1"/>
  <c r="EL339" i="1"/>
  <c r="CU339" i="1"/>
  <c r="CX339" i="1" s="1"/>
  <c r="CV339" i="1"/>
  <c r="EL338" i="1"/>
  <c r="EM338" i="1"/>
  <c r="EM337" i="1"/>
  <c r="EL337" i="1"/>
  <c r="CV338" i="1"/>
  <c r="DW335" i="1"/>
  <c r="DY335" i="1" s="1"/>
  <c r="DX335" i="1"/>
  <c r="DZ335" i="1" s="1"/>
  <c r="DW337" i="1"/>
  <c r="DX337" i="1"/>
  <c r="DW339" i="1"/>
  <c r="DY339" i="1" s="1"/>
  <c r="DX339" i="1"/>
  <c r="DZ339" i="1" s="1"/>
  <c r="DX336" i="1"/>
  <c r="DW336" i="1"/>
  <c r="DW338" i="1"/>
  <c r="DY338" i="1" s="1"/>
  <c r="DX338" i="1"/>
  <c r="DZ338" i="1" s="1"/>
  <c r="ED338" i="1" s="1"/>
  <c r="CB334" i="1"/>
  <c r="BS334" i="1"/>
  <c r="BL334" i="1"/>
  <c r="BM334" i="1"/>
  <c r="EG336" i="1"/>
  <c r="DR334" i="1"/>
  <c r="EG334" i="1"/>
  <c r="Q106" i="14"/>
  <c r="Q98" i="14"/>
  <c r="Q94" i="14"/>
  <c r="Q90" i="14"/>
  <c r="Q86" i="14"/>
  <c r="Q82" i="14"/>
  <c r="Q74" i="14"/>
  <c r="EM334" i="1" l="1"/>
  <c r="EL334" i="1"/>
  <c r="EL336" i="1"/>
  <c r="EM336" i="1"/>
  <c r="DW334" i="1"/>
  <c r="DX334" i="1"/>
  <c r="BW333" i="1"/>
  <c r="BW332" i="1"/>
  <c r="O332" i="1"/>
  <c r="O333" i="1"/>
  <c r="L332" i="1"/>
  <c r="L333" i="1"/>
  <c r="BN333" i="1"/>
  <c r="B332" i="1"/>
  <c r="B333" i="1"/>
  <c r="CB333" i="1" l="1"/>
  <c r="CB332" i="1"/>
  <c r="BN332" i="1"/>
  <c r="EK333" i="1"/>
  <c r="DV333" i="1"/>
  <c r="EK332" i="1"/>
  <c r="DV332" i="1"/>
  <c r="BS333" i="1"/>
  <c r="BS332" i="1"/>
  <c r="BL333" i="1"/>
  <c r="BM333" i="1"/>
  <c r="BL332" i="1"/>
  <c r="BM332" i="1"/>
  <c r="EG332" i="1"/>
  <c r="DR333" i="1"/>
  <c r="EG333" i="1"/>
  <c r="DR332" i="1"/>
  <c r="EM333" i="1" l="1"/>
  <c r="EL333" i="1"/>
  <c r="EM332" i="1"/>
  <c r="EL332" i="1"/>
  <c r="DW333" i="1"/>
  <c r="DX333" i="1"/>
  <c r="DZ333" i="1" s="1"/>
  <c r="ED333" i="1" s="1"/>
  <c r="DW332" i="1"/>
  <c r="DX332" i="1"/>
  <c r="DZ332" i="1" s="1"/>
  <c r="ED332" i="1" s="1"/>
  <c r="DY333" i="1" l="1"/>
  <c r="EC333" i="1" s="1"/>
  <c r="EE333" i="1" s="1"/>
  <c r="DY332" i="1"/>
  <c r="EC332" i="1" s="1"/>
  <c r="EE332" i="1" s="1"/>
  <c r="W10" i="19"/>
  <c r="BT329" i="1"/>
  <c r="Z8" i="5"/>
  <c r="Z20" i="5"/>
  <c r="Z11" i="5"/>
  <c r="Z6" i="5"/>
  <c r="Z7" i="5"/>
  <c r="Z10" i="5"/>
  <c r="Z4" i="5"/>
  <c r="Z12" i="5"/>
  <c r="Z26" i="5"/>
  <c r="Z27" i="5"/>
  <c r="Z16" i="5"/>
  <c r="Z28" i="5"/>
  <c r="Z5" i="5"/>
  <c r="Z23" i="5"/>
  <c r="Z17" i="5"/>
  <c r="Z25" i="5"/>
  <c r="Z29" i="5"/>
  <c r="Z18" i="5"/>
  <c r="Z13" i="5"/>
  <c r="Z9" i="5"/>
  <c r="Z24" i="5"/>
  <c r="Z22" i="5"/>
  <c r="Z21" i="5"/>
  <c r="Z15" i="5"/>
  <c r="Z30" i="5"/>
  <c r="Z14" i="5"/>
  <c r="Z19" i="5"/>
  <c r="O102" i="14" l="1"/>
  <c r="O16" i="14"/>
  <c r="Q16" i="14" l="1"/>
  <c r="P16" i="14"/>
  <c r="Q102" i="14"/>
  <c r="P102" i="14"/>
  <c r="BW331" i="1"/>
  <c r="BW330" i="1"/>
  <c r="BT327" i="1"/>
  <c r="O330" i="1"/>
  <c r="O331" i="1"/>
  <c r="O327" i="1"/>
  <c r="O312" i="1"/>
  <c r="O313" i="1"/>
  <c r="O315" i="1"/>
  <c r="O317" i="1"/>
  <c r="O320" i="1"/>
  <c r="O321" i="1"/>
  <c r="O322" i="1"/>
  <c r="O323" i="1"/>
  <c r="O324" i="1"/>
  <c r="O325" i="1"/>
  <c r="O326" i="1"/>
  <c r="L292" i="1"/>
  <c r="L293" i="1"/>
  <c r="L294" i="1"/>
  <c r="L295" i="1"/>
  <c r="L296" i="1"/>
  <c r="L297" i="1"/>
  <c r="L298" i="1"/>
  <c r="L299" i="1"/>
  <c r="L300" i="1"/>
  <c r="L301" i="1"/>
  <c r="L302" i="1"/>
  <c r="L303" i="1"/>
  <c r="L304" i="1"/>
  <c r="L305" i="1"/>
  <c r="L306" i="1"/>
  <c r="L307" i="1"/>
  <c r="L308" i="1"/>
  <c r="L309" i="1"/>
  <c r="L310" i="1"/>
  <c r="L311" i="1"/>
  <c r="L312" i="1"/>
  <c r="BS312" i="1" s="1"/>
  <c r="L313" i="1"/>
  <c r="L314" i="1"/>
  <c r="L315" i="1"/>
  <c r="L316" i="1"/>
  <c r="L317" i="1"/>
  <c r="L318" i="1"/>
  <c r="L319" i="1"/>
  <c r="L320" i="1"/>
  <c r="L321" i="1"/>
  <c r="L322" i="1"/>
  <c r="L323" i="1"/>
  <c r="L324" i="1"/>
  <c r="L325" i="1"/>
  <c r="L326" i="1"/>
  <c r="L327" i="1"/>
  <c r="L328" i="1"/>
  <c r="L329" i="1"/>
  <c r="L330" i="1"/>
  <c r="L331" i="1"/>
  <c r="BN324" i="1"/>
  <c r="BN325" i="1"/>
  <c r="BN327" i="1"/>
  <c r="BN330" i="1"/>
  <c r="BN331" i="1"/>
  <c r="B327" i="1"/>
  <c r="B328" i="1"/>
  <c r="B329" i="1"/>
  <c r="B330" i="1"/>
  <c r="B331" i="1"/>
  <c r="BN326" i="1" l="1"/>
  <c r="BN322" i="1"/>
  <c r="CB328" i="1"/>
  <c r="CB329" i="1"/>
  <c r="CB331" i="1"/>
  <c r="CB330" i="1"/>
  <c r="CB327" i="1"/>
  <c r="CB326" i="1"/>
  <c r="CB325" i="1"/>
  <c r="CB324" i="1"/>
  <c r="CB323" i="1"/>
  <c r="CB322" i="1"/>
  <c r="BN329" i="1"/>
  <c r="EK324" i="1"/>
  <c r="DV324" i="1"/>
  <c r="EK304" i="1"/>
  <c r="DV304" i="1"/>
  <c r="EK300" i="1"/>
  <c r="DV300" i="1"/>
  <c r="EK331" i="1"/>
  <c r="DV331" i="1"/>
  <c r="EK319" i="1"/>
  <c r="DV319" i="1"/>
  <c r="EK315" i="1"/>
  <c r="DV315" i="1"/>
  <c r="EK311" i="1"/>
  <c r="DV311" i="1"/>
  <c r="EK307" i="1"/>
  <c r="DV307" i="1"/>
  <c r="EK303" i="1"/>
  <c r="DV303" i="1"/>
  <c r="EK299" i="1"/>
  <c r="DV299" i="1"/>
  <c r="EK295" i="1"/>
  <c r="DV295" i="1"/>
  <c r="EK316" i="1"/>
  <c r="DV316" i="1"/>
  <c r="EK312" i="1"/>
  <c r="DV312" i="1"/>
  <c r="EK296" i="1"/>
  <c r="DV296" i="1"/>
  <c r="EK323" i="1"/>
  <c r="DV323" i="1"/>
  <c r="EK330" i="1"/>
  <c r="DV330" i="1"/>
  <c r="EK326" i="1"/>
  <c r="DV326" i="1"/>
  <c r="EK322" i="1"/>
  <c r="DV322" i="1"/>
  <c r="EK318" i="1"/>
  <c r="DV318" i="1"/>
  <c r="EK314" i="1"/>
  <c r="DV314" i="1"/>
  <c r="EK310" i="1"/>
  <c r="DV310" i="1"/>
  <c r="EK306" i="1"/>
  <c r="DV306" i="1"/>
  <c r="EK302" i="1"/>
  <c r="DV302" i="1"/>
  <c r="EK298" i="1"/>
  <c r="DV298" i="1"/>
  <c r="EK294" i="1"/>
  <c r="DV294" i="1"/>
  <c r="EK328" i="1"/>
  <c r="DV328" i="1"/>
  <c r="EK320" i="1"/>
  <c r="DV320" i="1"/>
  <c r="EK308" i="1"/>
  <c r="DV308" i="1"/>
  <c r="EK292" i="1"/>
  <c r="DV292" i="1"/>
  <c r="EK327" i="1"/>
  <c r="DV327" i="1"/>
  <c r="EK329" i="1"/>
  <c r="DV329" i="1"/>
  <c r="EK325" i="1"/>
  <c r="DV325" i="1"/>
  <c r="EK321" i="1"/>
  <c r="DV321" i="1"/>
  <c r="EK317" i="1"/>
  <c r="DV317" i="1"/>
  <c r="EK313" i="1"/>
  <c r="DV313" i="1"/>
  <c r="EK309" i="1"/>
  <c r="DV309" i="1"/>
  <c r="EK305" i="1"/>
  <c r="DV305" i="1"/>
  <c r="EK301" i="1"/>
  <c r="DV301" i="1"/>
  <c r="EK297" i="1"/>
  <c r="DV297" i="1"/>
  <c r="EK293" i="1"/>
  <c r="DV293" i="1"/>
  <c r="BS327" i="1"/>
  <c r="BN328" i="1"/>
  <c r="BS330" i="1"/>
  <c r="BS326" i="1"/>
  <c r="BS322" i="1"/>
  <c r="BS331" i="1"/>
  <c r="BS323" i="1"/>
  <c r="BN323" i="1"/>
  <c r="BS329" i="1"/>
  <c r="BS325" i="1"/>
  <c r="BS328" i="1"/>
  <c r="BS324" i="1"/>
  <c r="BL328" i="1"/>
  <c r="BM328" i="1"/>
  <c r="BL324" i="1"/>
  <c r="BM324" i="1"/>
  <c r="BL331" i="1"/>
  <c r="BM331" i="1"/>
  <c r="BL327" i="1"/>
  <c r="BM327" i="1"/>
  <c r="BL323" i="1"/>
  <c r="BM323" i="1"/>
  <c r="BL330" i="1"/>
  <c r="BM330" i="1"/>
  <c r="BL326" i="1"/>
  <c r="BM326" i="1"/>
  <c r="BL322" i="1"/>
  <c r="BM322" i="1"/>
  <c r="BL329" i="1"/>
  <c r="BM329" i="1"/>
  <c r="BL325" i="1"/>
  <c r="BM325" i="1"/>
  <c r="EG330" i="1"/>
  <c r="EG327" i="1"/>
  <c r="EG331" i="1"/>
  <c r="DR331" i="1"/>
  <c r="DR330" i="1"/>
  <c r="DR327" i="1"/>
  <c r="EG329" i="1"/>
  <c r="DR329" i="1"/>
  <c r="EG328" i="1"/>
  <c r="DR328" i="1"/>
  <c r="BW328" i="1"/>
  <c r="EG326" i="1"/>
  <c r="DR326" i="1"/>
  <c r="BW326" i="1"/>
  <c r="B322" i="1"/>
  <c r="B323" i="1"/>
  <c r="B324" i="1"/>
  <c r="B325" i="1"/>
  <c r="B326" i="1"/>
  <c r="EM331" i="1" l="1"/>
  <c r="EL331" i="1"/>
  <c r="EM327" i="1"/>
  <c r="EL327" i="1"/>
  <c r="EL330" i="1"/>
  <c r="EM330" i="1"/>
  <c r="EM326" i="1"/>
  <c r="EL326" i="1"/>
  <c r="EM328" i="1"/>
  <c r="EL328" i="1"/>
  <c r="CU329" i="1"/>
  <c r="CV329" i="1"/>
  <c r="EM329" i="1"/>
  <c r="EL329" i="1"/>
  <c r="CU327" i="1"/>
  <c r="CV327" i="1"/>
  <c r="DW326" i="1"/>
  <c r="DX326" i="1"/>
  <c r="DX328" i="1"/>
  <c r="DW328" i="1"/>
  <c r="DW329" i="1"/>
  <c r="DX329" i="1"/>
  <c r="DW330" i="1"/>
  <c r="DY330" i="1" s="1"/>
  <c r="DX330" i="1"/>
  <c r="DZ330" i="1" s="1"/>
  <c r="DW327" i="1"/>
  <c r="DX327" i="1"/>
  <c r="DW331" i="1"/>
  <c r="DX331" i="1"/>
  <c r="K119" i="14"/>
  <c r="O119" i="14"/>
  <c r="O43" i="14"/>
  <c r="Q34" i="14"/>
  <c r="K34" i="14"/>
  <c r="Q33" i="14"/>
  <c r="K33" i="14"/>
  <c r="O11" i="14"/>
  <c r="Q3" i="14"/>
  <c r="Q11" i="14" l="1"/>
  <c r="P11" i="14"/>
  <c r="Q43" i="14"/>
  <c r="P43" i="14"/>
  <c r="Q119" i="14"/>
  <c r="P119" i="14"/>
  <c r="Q180" i="14"/>
  <c r="Q179" i="14"/>
  <c r="Q178" i="14" l="1"/>
  <c r="Q177" i="14"/>
  <c r="Q176" i="14"/>
  <c r="Q175" i="14"/>
  <c r="Q174" i="14"/>
  <c r="K174" i="14"/>
  <c r="Q173" i="14"/>
  <c r="Q172" i="14"/>
  <c r="Q171" i="14"/>
  <c r="K171" i="14"/>
  <c r="Q170" i="14"/>
  <c r="Q168" i="14"/>
  <c r="K168" i="14"/>
  <c r="Q167" i="14"/>
  <c r="Q165" i="14"/>
  <c r="Q164" i="14"/>
  <c r="Q161" i="14"/>
  <c r="Q160" i="14"/>
  <c r="O123" i="14"/>
  <c r="O120" i="14"/>
  <c r="O108" i="14"/>
  <c r="Q105" i="14"/>
  <c r="Q104" i="14"/>
  <c r="Q101" i="14"/>
  <c r="Q96" i="14"/>
  <c r="K96" i="14"/>
  <c r="Q93" i="14"/>
  <c r="K93" i="14"/>
  <c r="Q92" i="14"/>
  <c r="Q88" i="14"/>
  <c r="Q84" i="14"/>
  <c r="Q81" i="14"/>
  <c r="Q80" i="14"/>
  <c r="K80" i="14"/>
  <c r="Q78" i="14"/>
  <c r="Q76" i="14"/>
  <c r="O62" i="14"/>
  <c r="Q61" i="14"/>
  <c r="O60" i="14"/>
  <c r="Q59" i="14"/>
  <c r="O58" i="14"/>
  <c r="Q57" i="14"/>
  <c r="K57" i="14"/>
  <c r="O56" i="14"/>
  <c r="K56" i="14"/>
  <c r="Q55" i="14"/>
  <c r="O44" i="14"/>
  <c r="K44" i="14"/>
  <c r="O42" i="14"/>
  <c r="O41" i="14"/>
  <c r="K41" i="14"/>
  <c r="O40" i="14"/>
  <c r="K40" i="14"/>
  <c r="Q39" i="14"/>
  <c r="Q38" i="14"/>
  <c r="Q37" i="14"/>
  <c r="K37" i="14"/>
  <c r="Q36" i="14"/>
  <c r="K36" i="14"/>
  <c r="Q35" i="14"/>
  <c r="Q58" i="14" l="1"/>
  <c r="P58" i="14"/>
  <c r="Q56" i="14"/>
  <c r="P56" i="14"/>
  <c r="Q40" i="14"/>
  <c r="P40" i="14"/>
  <c r="Q41" i="14"/>
  <c r="P41" i="14"/>
  <c r="Q42" i="14"/>
  <c r="P42" i="14"/>
  <c r="Q120" i="14"/>
  <c r="P120" i="14"/>
  <c r="P60" i="14"/>
  <c r="Q60" i="14"/>
  <c r="Q62" i="14"/>
  <c r="P62" i="14"/>
  <c r="Q123" i="14"/>
  <c r="P123" i="14"/>
  <c r="Q108" i="14"/>
  <c r="P108" i="14"/>
  <c r="Q44" i="14"/>
  <c r="P44" i="14"/>
  <c r="Q31" i="14"/>
  <c r="Q29" i="14"/>
  <c r="Q27" i="14"/>
  <c r="O14" i="14"/>
  <c r="O13" i="14"/>
  <c r="O12" i="14"/>
  <c r="Q10" i="14"/>
  <c r="Q9" i="14"/>
  <c r="Q8" i="14"/>
  <c r="Q7" i="14"/>
  <c r="Q6" i="14"/>
  <c r="Q13" i="14" l="1"/>
  <c r="P13" i="14"/>
  <c r="Q14" i="14"/>
  <c r="P14" i="14"/>
  <c r="Q12" i="14"/>
  <c r="P12" i="14"/>
  <c r="AT345" i="1"/>
  <c r="AT346" i="1"/>
  <c r="AT353" i="1"/>
  <c r="AT355" i="1"/>
  <c r="AT351" i="1"/>
  <c r="AT344" i="1"/>
  <c r="AT354" i="1"/>
  <c r="AT352" i="1"/>
  <c r="AT356" i="1"/>
  <c r="AT341" i="1"/>
  <c r="AT338" i="1"/>
  <c r="AT335" i="1"/>
  <c r="AT343" i="1"/>
  <c r="AT339" i="1"/>
  <c r="AT337" i="1"/>
  <c r="AT334" i="1"/>
  <c r="AT336" i="1"/>
  <c r="AT332" i="1"/>
  <c r="AT327" i="1"/>
  <c r="AT329" i="1"/>
  <c r="AT328" i="1"/>
  <c r="AT326" i="1"/>
  <c r="CM325" i="1"/>
  <c r="DR322" i="1"/>
  <c r="EG322" i="1"/>
  <c r="BW323" i="1"/>
  <c r="DR323" i="1"/>
  <c r="EG323" i="1"/>
  <c r="DR324" i="1"/>
  <c r="EG324" i="1"/>
  <c r="BW325" i="1"/>
  <c r="DR325" i="1"/>
  <c r="EG325" i="1"/>
  <c r="EM325" i="1" l="1"/>
  <c r="EL325" i="1"/>
  <c r="EM324" i="1"/>
  <c r="EL324" i="1"/>
  <c r="CU324" i="1"/>
  <c r="CV324" i="1"/>
  <c r="EM323" i="1"/>
  <c r="EL323" i="1"/>
  <c r="EM322" i="1"/>
  <c r="EL322" i="1"/>
  <c r="DW322" i="1"/>
  <c r="DX322" i="1"/>
  <c r="DW325" i="1"/>
  <c r="DX325" i="1"/>
  <c r="DW324" i="1"/>
  <c r="DX324" i="1"/>
  <c r="DW323" i="1"/>
  <c r="DY323" i="1" s="1"/>
  <c r="EC323" i="1" s="1"/>
  <c r="EE323" i="1" s="1"/>
  <c r="DX323" i="1"/>
  <c r="DZ323" i="1" s="1"/>
  <c r="ED323" i="1" s="1"/>
  <c r="CP325" i="1"/>
  <c r="CR325" i="1"/>
  <c r="CQ325" i="1"/>
  <c r="AT348" i="1"/>
  <c r="AT347" i="1"/>
  <c r="AT349" i="1"/>
  <c r="AT350" i="1"/>
  <c r="AT340" i="1"/>
  <c r="AT342" i="1"/>
  <c r="AT333" i="1"/>
  <c r="AT330" i="1"/>
  <c r="AT331" i="1"/>
  <c r="B316" i="1" l="1"/>
  <c r="CB316" i="1"/>
  <c r="AT316" i="1"/>
  <c r="B317" i="1"/>
  <c r="CB317" i="1"/>
  <c r="AT317" i="1"/>
  <c r="BW317" i="1"/>
  <c r="B318" i="1"/>
  <c r="CB318" i="1"/>
  <c r="AT318" i="1"/>
  <c r="BW318" i="1"/>
  <c r="B319" i="1"/>
  <c r="CB319" i="1"/>
  <c r="AT319" i="1"/>
  <c r="BW319" i="1"/>
  <c r="B320" i="1"/>
  <c r="CB320" i="1"/>
  <c r="AT320" i="1"/>
  <c r="BW320" i="1"/>
  <c r="B321" i="1"/>
  <c r="CB321" i="1"/>
  <c r="AT321" i="1"/>
  <c r="BW321" i="1"/>
  <c r="BN320" i="1" l="1"/>
  <c r="BS320" i="1"/>
  <c r="BN316" i="1"/>
  <c r="BS316" i="1"/>
  <c r="BN321" i="1"/>
  <c r="BS321" i="1"/>
  <c r="BN319" i="1"/>
  <c r="BS319" i="1"/>
  <c r="BN318" i="1"/>
  <c r="BS318" i="1"/>
  <c r="BN317" i="1"/>
  <c r="BS317" i="1"/>
  <c r="BL316" i="1"/>
  <c r="BM316" i="1"/>
  <c r="BL321" i="1"/>
  <c r="BM321" i="1"/>
  <c r="BL320" i="1"/>
  <c r="BM320" i="1"/>
  <c r="BL319" i="1"/>
  <c r="BM319" i="1"/>
  <c r="BL318" i="1"/>
  <c r="BM318" i="1"/>
  <c r="BL317" i="1"/>
  <c r="BM317" i="1"/>
  <c r="DR316" i="1"/>
  <c r="DR318" i="1"/>
  <c r="EG318" i="1"/>
  <c r="EG316" i="1"/>
  <c r="EG319" i="1"/>
  <c r="DR317" i="1"/>
  <c r="EG321" i="1"/>
  <c r="DR321" i="1"/>
  <c r="DR319" i="1"/>
  <c r="EG317" i="1"/>
  <c r="EG320" i="1"/>
  <c r="DR320" i="1"/>
  <c r="BW314" i="1"/>
  <c r="BW315" i="1"/>
  <c r="CB314" i="1"/>
  <c r="I314" i="1"/>
  <c r="J314" i="1"/>
  <c r="K314" i="1"/>
  <c r="CB315" i="1"/>
  <c r="I315" i="1"/>
  <c r="J315" i="1"/>
  <c r="K315" i="1"/>
  <c r="B314" i="1"/>
  <c r="B315" i="1"/>
  <c r="EM321" i="1" l="1"/>
  <c r="EL321" i="1"/>
  <c r="CU316" i="1"/>
  <c r="CV316" i="1"/>
  <c r="EM319" i="1"/>
  <c r="EL319" i="1"/>
  <c r="EM316" i="1"/>
  <c r="EL316" i="1"/>
  <c r="EM318" i="1"/>
  <c r="EL318" i="1"/>
  <c r="EM320" i="1"/>
  <c r="EL320" i="1"/>
  <c r="EM317" i="1"/>
  <c r="EL317" i="1"/>
  <c r="DW321" i="1"/>
  <c r="DY321" i="1" s="1"/>
  <c r="DX321" i="1"/>
  <c r="DZ321" i="1" s="1"/>
  <c r="ED321" i="1" s="1"/>
  <c r="DW318" i="1"/>
  <c r="DY318" i="1" s="1"/>
  <c r="DX318" i="1"/>
  <c r="DZ318" i="1" s="1"/>
  <c r="DX320" i="1"/>
  <c r="DW320" i="1"/>
  <c r="DW317" i="1"/>
  <c r="DY317" i="1" s="1"/>
  <c r="DX317" i="1"/>
  <c r="DZ317" i="1" s="1"/>
  <c r="DW316" i="1"/>
  <c r="DY316" i="1" s="1"/>
  <c r="DX316" i="1"/>
  <c r="DZ316" i="1" s="1"/>
  <c r="DW319" i="1"/>
  <c r="DY319" i="1" s="1"/>
  <c r="DX319" i="1"/>
  <c r="DZ319" i="1" s="1"/>
  <c r="BN315" i="1"/>
  <c r="BS315" i="1"/>
  <c r="BN314" i="1"/>
  <c r="BS314" i="1"/>
  <c r="BL315" i="1"/>
  <c r="BM315" i="1"/>
  <c r="BL314" i="1"/>
  <c r="BM314" i="1"/>
  <c r="BT316" i="1"/>
  <c r="DR315" i="1"/>
  <c r="DR314" i="1"/>
  <c r="EG315" i="1"/>
  <c r="EG314" i="1"/>
  <c r="EM315" i="1" l="1"/>
  <c r="EL315" i="1"/>
  <c r="EM314" i="1"/>
  <c r="EO314" i="1" s="1"/>
  <c r="EL314" i="1"/>
  <c r="EN314" i="1" s="1"/>
  <c r="CU314" i="1"/>
  <c r="CX314" i="1" s="1"/>
  <c r="CV314" i="1"/>
  <c r="DW315" i="1"/>
  <c r="DX315" i="1"/>
  <c r="DW314" i="1"/>
  <c r="DX314" i="1"/>
  <c r="Q183" i="14"/>
  <c r="Q190" i="14"/>
  <c r="Q184" i="14"/>
  <c r="Q185" i="14"/>
  <c r="Q186" i="14"/>
  <c r="Q182" i="14"/>
  <c r="Q189" i="14"/>
  <c r="Q187" i="14"/>
  <c r="Q181" i="14"/>
  <c r="Q188" i="14"/>
  <c r="BW308" i="1" l="1"/>
  <c r="BW309" i="1"/>
  <c r="BT310" i="1"/>
  <c r="BW311" i="1"/>
  <c r="BW312" i="1"/>
  <c r="BW313" i="1"/>
  <c r="O309" i="1"/>
  <c r="CB308" i="1"/>
  <c r="CB309" i="1"/>
  <c r="CB310" i="1"/>
  <c r="CB311" i="1"/>
  <c r="CB312" i="1"/>
  <c r="CB313" i="1"/>
  <c r="B308" i="1"/>
  <c r="B309" i="1"/>
  <c r="B310" i="1"/>
  <c r="B311" i="1"/>
  <c r="B312" i="1"/>
  <c r="B313" i="1"/>
  <c r="BN311" i="1" l="1"/>
  <c r="BS311" i="1"/>
  <c r="BN310" i="1"/>
  <c r="BS310" i="1"/>
  <c r="BN313" i="1"/>
  <c r="BS313" i="1"/>
  <c r="BN309" i="1"/>
  <c r="BS309" i="1"/>
  <c r="BN312" i="1"/>
  <c r="BN308" i="1"/>
  <c r="BS308" i="1"/>
  <c r="BL311" i="1"/>
  <c r="BM311" i="1"/>
  <c r="BL310" i="1"/>
  <c r="BM310" i="1"/>
  <c r="BL309" i="1"/>
  <c r="BM309" i="1"/>
  <c r="BL313" i="1"/>
  <c r="BM313" i="1"/>
  <c r="BL312" i="1"/>
  <c r="BM312" i="1"/>
  <c r="BL308" i="1"/>
  <c r="BM308" i="1"/>
  <c r="DR310" i="1"/>
  <c r="EG313" i="1"/>
  <c r="DR308" i="1"/>
  <c r="DR313" i="1"/>
  <c r="DR312" i="1"/>
  <c r="EG308" i="1"/>
  <c r="EG310" i="1"/>
  <c r="EG312" i="1"/>
  <c r="DR311" i="1"/>
  <c r="EG309" i="1"/>
  <c r="DR309" i="1"/>
  <c r="EG311" i="1"/>
  <c r="EM310" i="1" l="1"/>
  <c r="EL310" i="1"/>
  <c r="EM312" i="1"/>
  <c r="EL312" i="1"/>
  <c r="CU313" i="1"/>
  <c r="CV313" i="1"/>
  <c r="EM308" i="1"/>
  <c r="EL308" i="1"/>
  <c r="EM313" i="1"/>
  <c r="EL313" i="1"/>
  <c r="CU310" i="1"/>
  <c r="CX310" i="1" s="1"/>
  <c r="CV310" i="1"/>
  <c r="EM311" i="1"/>
  <c r="EL311" i="1"/>
  <c r="CU312" i="1"/>
  <c r="CX312" i="1" s="1"/>
  <c r="CV312" i="1"/>
  <c r="CU309" i="1"/>
  <c r="CX309" i="1" s="1"/>
  <c r="CV309" i="1"/>
  <c r="EM309" i="1"/>
  <c r="EL309" i="1"/>
  <c r="DW311" i="1"/>
  <c r="DX311" i="1"/>
  <c r="DX312" i="1"/>
  <c r="DZ312" i="1" s="1"/>
  <c r="DW312" i="1"/>
  <c r="DY312" i="1" s="1"/>
  <c r="DW313" i="1"/>
  <c r="DY313" i="1" s="1"/>
  <c r="DX313" i="1"/>
  <c r="DZ313" i="1" s="1"/>
  <c r="ED313" i="1" s="1"/>
  <c r="DW308" i="1"/>
  <c r="DX308" i="1"/>
  <c r="DZ308" i="1" s="1"/>
  <c r="ED308" i="1" s="1"/>
  <c r="DW310" i="1"/>
  <c r="DX310" i="1"/>
  <c r="DW309" i="1"/>
  <c r="DX309" i="1"/>
  <c r="Q122" i="14"/>
  <c r="Q121" i="14"/>
  <c r="DY308" i="1" l="1"/>
  <c r="EC308" i="1" s="1"/>
  <c r="EE308" i="1" s="1"/>
  <c r="BW306" i="1"/>
  <c r="O304" i="1"/>
  <c r="O306" i="1"/>
  <c r="O307" i="1"/>
  <c r="I304" i="1"/>
  <c r="J304" i="1"/>
  <c r="K304" i="1"/>
  <c r="I305" i="1"/>
  <c r="J305" i="1"/>
  <c r="K305" i="1"/>
  <c r="I306" i="1"/>
  <c r="J306" i="1"/>
  <c r="K306" i="1"/>
  <c r="I307" i="1"/>
  <c r="J307" i="1"/>
  <c r="K307" i="1"/>
  <c r="I308" i="1"/>
  <c r="J308" i="1"/>
  <c r="K308" i="1"/>
  <c r="I309" i="1"/>
  <c r="J309" i="1"/>
  <c r="K309" i="1"/>
  <c r="I310" i="1"/>
  <c r="J310" i="1"/>
  <c r="K310" i="1"/>
  <c r="I311" i="1"/>
  <c r="J311" i="1"/>
  <c r="K311" i="1"/>
  <c r="I312" i="1"/>
  <c r="J312" i="1"/>
  <c r="K312" i="1"/>
  <c r="I313" i="1"/>
  <c r="J313" i="1"/>
  <c r="K313" i="1"/>
  <c r="I322" i="1"/>
  <c r="J322" i="1"/>
  <c r="K322" i="1"/>
  <c r="I323" i="1"/>
  <c r="J323" i="1"/>
  <c r="K323" i="1"/>
  <c r="I324" i="1"/>
  <c r="J324" i="1"/>
  <c r="K324" i="1"/>
  <c r="I325" i="1"/>
  <c r="J325" i="1"/>
  <c r="K325" i="1"/>
  <c r="I326" i="1"/>
  <c r="J326" i="1"/>
  <c r="K326" i="1"/>
  <c r="I327" i="1"/>
  <c r="J327" i="1"/>
  <c r="K327" i="1"/>
  <c r="I328" i="1"/>
  <c r="J328" i="1"/>
  <c r="K328" i="1"/>
  <c r="I329" i="1"/>
  <c r="J329" i="1"/>
  <c r="K329" i="1"/>
  <c r="I330" i="1"/>
  <c r="J330" i="1"/>
  <c r="K330" i="1"/>
  <c r="I331" i="1"/>
  <c r="J331" i="1"/>
  <c r="K331" i="1"/>
  <c r="I332" i="1"/>
  <c r="J332" i="1"/>
  <c r="K332" i="1"/>
  <c r="I333" i="1"/>
  <c r="J333" i="1"/>
  <c r="K333" i="1"/>
  <c r="I334" i="1"/>
  <c r="J334" i="1"/>
  <c r="K334" i="1"/>
  <c r="I335" i="1"/>
  <c r="J335" i="1"/>
  <c r="K335" i="1"/>
  <c r="I336" i="1"/>
  <c r="J336" i="1"/>
  <c r="K336" i="1"/>
  <c r="I337" i="1"/>
  <c r="J337" i="1"/>
  <c r="K337" i="1"/>
  <c r="I338" i="1"/>
  <c r="J338" i="1"/>
  <c r="K338" i="1"/>
  <c r="I339" i="1"/>
  <c r="J339" i="1"/>
  <c r="K339" i="1"/>
  <c r="I340" i="1"/>
  <c r="J340" i="1"/>
  <c r="K340" i="1"/>
  <c r="I341" i="1"/>
  <c r="J341" i="1"/>
  <c r="K341" i="1"/>
  <c r="I342" i="1"/>
  <c r="J342" i="1"/>
  <c r="K342" i="1"/>
  <c r="I343" i="1"/>
  <c r="J343" i="1"/>
  <c r="K343" i="1"/>
  <c r="I344" i="1"/>
  <c r="J344" i="1"/>
  <c r="K344" i="1"/>
  <c r="I345" i="1"/>
  <c r="J345" i="1"/>
  <c r="K345" i="1"/>
  <c r="I346" i="1"/>
  <c r="J346" i="1"/>
  <c r="K346" i="1"/>
  <c r="I347" i="1"/>
  <c r="J347" i="1"/>
  <c r="K347" i="1"/>
  <c r="I348" i="1"/>
  <c r="J348" i="1"/>
  <c r="K348" i="1"/>
  <c r="I349" i="1"/>
  <c r="J349" i="1"/>
  <c r="K349" i="1"/>
  <c r="I350" i="1"/>
  <c r="J350" i="1"/>
  <c r="K350" i="1"/>
  <c r="I351" i="1"/>
  <c r="J351" i="1"/>
  <c r="K351" i="1"/>
  <c r="CB304" i="1"/>
  <c r="CB305" i="1"/>
  <c r="CB306" i="1"/>
  <c r="CB307" i="1"/>
  <c r="B304" i="1"/>
  <c r="B305" i="1"/>
  <c r="B306" i="1"/>
  <c r="B307" i="1"/>
  <c r="BN304" i="1" l="1"/>
  <c r="BS304" i="1"/>
  <c r="BN305" i="1"/>
  <c r="BS305" i="1"/>
  <c r="BN307" i="1"/>
  <c r="BS307" i="1"/>
  <c r="BN306" i="1"/>
  <c r="BS306" i="1"/>
  <c r="BL307" i="1"/>
  <c r="BM307" i="1"/>
  <c r="BL304" i="1"/>
  <c r="BM304" i="1"/>
  <c r="BL306" i="1"/>
  <c r="BM306" i="1"/>
  <c r="BL305" i="1"/>
  <c r="BM305" i="1"/>
  <c r="DR306" i="1"/>
  <c r="DR304" i="1"/>
  <c r="BT307" i="1"/>
  <c r="EG305" i="1"/>
  <c r="EG306" i="1"/>
  <c r="EG304" i="1"/>
  <c r="DR307" i="1"/>
  <c r="EG307" i="1"/>
  <c r="DR305" i="1"/>
  <c r="BT305" i="1"/>
  <c r="S6" i="19"/>
  <c r="EM307" i="1" l="1"/>
  <c r="EL307" i="1"/>
  <c r="CU307" i="1"/>
  <c r="CX307" i="1" s="1"/>
  <c r="CV307" i="1"/>
  <c r="EM306" i="1"/>
  <c r="EL306" i="1"/>
  <c r="EM304" i="1"/>
  <c r="EL304" i="1"/>
  <c r="EM305" i="1"/>
  <c r="EL305" i="1"/>
  <c r="DW305" i="1"/>
  <c r="DX305" i="1"/>
  <c r="DW307" i="1"/>
  <c r="DY307" i="1" s="1"/>
  <c r="DX307" i="1"/>
  <c r="DZ307" i="1" s="1"/>
  <c r="DX304" i="1"/>
  <c r="DZ304" i="1" s="1"/>
  <c r="DW304" i="1"/>
  <c r="DY304" i="1" s="1"/>
  <c r="DW306" i="1"/>
  <c r="DY306" i="1" s="1"/>
  <c r="DX306" i="1"/>
  <c r="DZ306" i="1" s="1"/>
  <c r="BW304" i="1"/>
  <c r="BT324" i="1" l="1"/>
  <c r="O27" i="1"/>
  <c r="L5" i="1" l="1"/>
  <c r="L6" i="1"/>
  <c r="L7" i="1"/>
  <c r="L8" i="1"/>
  <c r="L9" i="1"/>
  <c r="L10"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BN167" i="1" s="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4" i="1"/>
  <c r="DV4" i="1" s="1"/>
  <c r="F4" i="1"/>
  <c r="BN4" i="1" s="1"/>
  <c r="CB4" i="1" l="1"/>
  <c r="EK289" i="1"/>
  <c r="DV289" i="1"/>
  <c r="EK285" i="1"/>
  <c r="DV285" i="1"/>
  <c r="EK281" i="1"/>
  <c r="DV281" i="1"/>
  <c r="EK277" i="1"/>
  <c r="DV277" i="1"/>
  <c r="EK273" i="1"/>
  <c r="DV273" i="1"/>
  <c r="EK269" i="1"/>
  <c r="DV269" i="1"/>
  <c r="EK265" i="1"/>
  <c r="DV265" i="1"/>
  <c r="EK261" i="1"/>
  <c r="DV261" i="1"/>
  <c r="EK257" i="1"/>
  <c r="DV257" i="1"/>
  <c r="EK253" i="1"/>
  <c r="DV253" i="1"/>
  <c r="EK249" i="1"/>
  <c r="DV249" i="1"/>
  <c r="EK245" i="1"/>
  <c r="DV245" i="1"/>
  <c r="EK241" i="1"/>
  <c r="DV241" i="1"/>
  <c r="EK237" i="1"/>
  <c r="DV237" i="1"/>
  <c r="EK233" i="1"/>
  <c r="DV233" i="1"/>
  <c r="EK225" i="1"/>
  <c r="DV225" i="1"/>
  <c r="EK221" i="1"/>
  <c r="DV221" i="1"/>
  <c r="EK217" i="1"/>
  <c r="DV217" i="1"/>
  <c r="EK213" i="1"/>
  <c r="DV213" i="1"/>
  <c r="EK209" i="1"/>
  <c r="DV209" i="1"/>
  <c r="EK205" i="1"/>
  <c r="DV205" i="1"/>
  <c r="EK201" i="1"/>
  <c r="DV201" i="1"/>
  <c r="EK197" i="1"/>
  <c r="DV197" i="1"/>
  <c r="EK193" i="1"/>
  <c r="DV193" i="1"/>
  <c r="EK189" i="1"/>
  <c r="DV189" i="1"/>
  <c r="EK185" i="1"/>
  <c r="DV185" i="1"/>
  <c r="EK181" i="1"/>
  <c r="DV181" i="1"/>
  <c r="EK177" i="1"/>
  <c r="DV177" i="1"/>
  <c r="EK173" i="1"/>
  <c r="DV173" i="1"/>
  <c r="EK169" i="1"/>
  <c r="DV169" i="1"/>
  <c r="EK165" i="1"/>
  <c r="DV165" i="1"/>
  <c r="EK161" i="1"/>
  <c r="DV161" i="1"/>
  <c r="EK157" i="1"/>
  <c r="DV157" i="1"/>
  <c r="EK153" i="1"/>
  <c r="DV153" i="1"/>
  <c r="EK149" i="1"/>
  <c r="DV149" i="1"/>
  <c r="EK145" i="1"/>
  <c r="DV145" i="1"/>
  <c r="EK141" i="1"/>
  <c r="DV141" i="1"/>
  <c r="EK137" i="1"/>
  <c r="DV137" i="1"/>
  <c r="EK133" i="1"/>
  <c r="DV133" i="1"/>
  <c r="EK129" i="1"/>
  <c r="DV129" i="1"/>
  <c r="EK125" i="1"/>
  <c r="DV125" i="1"/>
  <c r="EK121" i="1"/>
  <c r="DV121" i="1"/>
  <c r="EK117" i="1"/>
  <c r="DV117" i="1"/>
  <c r="EK113" i="1"/>
  <c r="DV113" i="1"/>
  <c r="EK109" i="1"/>
  <c r="DV109" i="1"/>
  <c r="EK105" i="1"/>
  <c r="DV105" i="1"/>
  <c r="EK101" i="1"/>
  <c r="DV101" i="1"/>
  <c r="EK97" i="1"/>
  <c r="DV97" i="1"/>
  <c r="EK93" i="1"/>
  <c r="DV93" i="1"/>
  <c r="EK89" i="1"/>
  <c r="DV89" i="1"/>
  <c r="EK85" i="1"/>
  <c r="DV85" i="1"/>
  <c r="EK81" i="1"/>
  <c r="DV81" i="1"/>
  <c r="EK77" i="1"/>
  <c r="DV77" i="1"/>
  <c r="EK73" i="1"/>
  <c r="DV73" i="1"/>
  <c r="EK69" i="1"/>
  <c r="DV69" i="1"/>
  <c r="EK65" i="1"/>
  <c r="DV65" i="1"/>
  <c r="EK61" i="1"/>
  <c r="DV61" i="1"/>
  <c r="EK57" i="1"/>
  <c r="DV57" i="1"/>
  <c r="EK53" i="1"/>
  <c r="DV53" i="1"/>
  <c r="EK49" i="1"/>
  <c r="DV49" i="1"/>
  <c r="EK45" i="1"/>
  <c r="DV45" i="1"/>
  <c r="EK41" i="1"/>
  <c r="DV41" i="1"/>
  <c r="EK37" i="1"/>
  <c r="DV37" i="1"/>
  <c r="EK33" i="1"/>
  <c r="DV33" i="1"/>
  <c r="EK29" i="1"/>
  <c r="DV29" i="1"/>
  <c r="EK25" i="1"/>
  <c r="DV25" i="1"/>
  <c r="EK21" i="1"/>
  <c r="DV21" i="1"/>
  <c r="EK17" i="1"/>
  <c r="DV17" i="1"/>
  <c r="EK13" i="1"/>
  <c r="DV13" i="1"/>
  <c r="EK8" i="1"/>
  <c r="DV8" i="1"/>
  <c r="EK280" i="1"/>
  <c r="DV280" i="1"/>
  <c r="EK276" i="1"/>
  <c r="DV276" i="1"/>
  <c r="EK272" i="1"/>
  <c r="DV272" i="1"/>
  <c r="EK268" i="1"/>
  <c r="DV268" i="1"/>
  <c r="EK264" i="1"/>
  <c r="DV264" i="1"/>
  <c r="EK260" i="1"/>
  <c r="DV260" i="1"/>
  <c r="EK256" i="1"/>
  <c r="DV256" i="1"/>
  <c r="EK252" i="1"/>
  <c r="DV252" i="1"/>
  <c r="EK248" i="1"/>
  <c r="DV248" i="1"/>
  <c r="EK244" i="1"/>
  <c r="DV244" i="1"/>
  <c r="EK240" i="1"/>
  <c r="DV240" i="1"/>
  <c r="EK236" i="1"/>
  <c r="DV236" i="1"/>
  <c r="EK232" i="1"/>
  <c r="DV232" i="1"/>
  <c r="EK228" i="1"/>
  <c r="DV228" i="1"/>
  <c r="EK224" i="1"/>
  <c r="DV224" i="1"/>
  <c r="EK220" i="1"/>
  <c r="DV220" i="1"/>
  <c r="EK216" i="1"/>
  <c r="DV216" i="1"/>
  <c r="EK212" i="1"/>
  <c r="DV212" i="1"/>
  <c r="EK208" i="1"/>
  <c r="DV208" i="1"/>
  <c r="EK204" i="1"/>
  <c r="DV204" i="1"/>
  <c r="EK200" i="1"/>
  <c r="DV200" i="1"/>
  <c r="EK196" i="1"/>
  <c r="DV196" i="1"/>
  <c r="EK192" i="1"/>
  <c r="DV192" i="1"/>
  <c r="EK188" i="1"/>
  <c r="DV188" i="1"/>
  <c r="EK184" i="1"/>
  <c r="DV184" i="1"/>
  <c r="EK180" i="1"/>
  <c r="DV180" i="1"/>
  <c r="EK176" i="1"/>
  <c r="DV176" i="1"/>
  <c r="EK172" i="1"/>
  <c r="DV172" i="1"/>
  <c r="EK168" i="1"/>
  <c r="DV168" i="1"/>
  <c r="EK164" i="1"/>
  <c r="DV164" i="1"/>
  <c r="EK160" i="1"/>
  <c r="DV160" i="1"/>
  <c r="EK156" i="1"/>
  <c r="DV156" i="1"/>
  <c r="EK152" i="1"/>
  <c r="DV152" i="1"/>
  <c r="EK148" i="1"/>
  <c r="DV148" i="1"/>
  <c r="EK144" i="1"/>
  <c r="DV144" i="1"/>
  <c r="EK140" i="1"/>
  <c r="DV140" i="1"/>
  <c r="EK136" i="1"/>
  <c r="DV136" i="1"/>
  <c r="EK132" i="1"/>
  <c r="DV132" i="1"/>
  <c r="EK128" i="1"/>
  <c r="DV128" i="1"/>
  <c r="EK124" i="1"/>
  <c r="DV124" i="1"/>
  <c r="EK120" i="1"/>
  <c r="DV120" i="1"/>
  <c r="EK116" i="1"/>
  <c r="DV116" i="1"/>
  <c r="EK112" i="1"/>
  <c r="DV112" i="1"/>
  <c r="EK108" i="1"/>
  <c r="DV108" i="1"/>
  <c r="EK104" i="1"/>
  <c r="DV104" i="1"/>
  <c r="EK100" i="1"/>
  <c r="DV100" i="1"/>
  <c r="EK96" i="1"/>
  <c r="DV96" i="1"/>
  <c r="EK92" i="1"/>
  <c r="DV92" i="1"/>
  <c r="EK88" i="1"/>
  <c r="DV88" i="1"/>
  <c r="EK84" i="1"/>
  <c r="DV84" i="1"/>
  <c r="EK80" i="1"/>
  <c r="DV80" i="1"/>
  <c r="EK76" i="1"/>
  <c r="DV76" i="1"/>
  <c r="EK72" i="1"/>
  <c r="DV72" i="1"/>
  <c r="EK68" i="1"/>
  <c r="DV68" i="1"/>
  <c r="EK64" i="1"/>
  <c r="DV64" i="1"/>
  <c r="EK60" i="1"/>
  <c r="DV60" i="1"/>
  <c r="EK56" i="1"/>
  <c r="DV56" i="1"/>
  <c r="EK52" i="1"/>
  <c r="DV52" i="1"/>
  <c r="EK48" i="1"/>
  <c r="DV48" i="1"/>
  <c r="EK44" i="1"/>
  <c r="DV44" i="1"/>
  <c r="EK40" i="1"/>
  <c r="DV40" i="1"/>
  <c r="EK36" i="1"/>
  <c r="DV36" i="1"/>
  <c r="EK32" i="1"/>
  <c r="DV32" i="1"/>
  <c r="EK28" i="1"/>
  <c r="DV28" i="1"/>
  <c r="EK24" i="1"/>
  <c r="DV24" i="1"/>
  <c r="EK20" i="1"/>
  <c r="DV20" i="1"/>
  <c r="EK16" i="1"/>
  <c r="DV16" i="1"/>
  <c r="EK12" i="1"/>
  <c r="DV12" i="1"/>
  <c r="EK7" i="1"/>
  <c r="DV7" i="1"/>
  <c r="EK288" i="1"/>
  <c r="DV288" i="1"/>
  <c r="EK291" i="1"/>
  <c r="DV291" i="1"/>
  <c r="EK287" i="1"/>
  <c r="DV287" i="1"/>
  <c r="EK283" i="1"/>
  <c r="DV283" i="1"/>
  <c r="EK279" i="1"/>
  <c r="DV279" i="1"/>
  <c r="EK275" i="1"/>
  <c r="DV275" i="1"/>
  <c r="EK271" i="1"/>
  <c r="DV271" i="1"/>
  <c r="EK267" i="1"/>
  <c r="DV267" i="1"/>
  <c r="EK263" i="1"/>
  <c r="DV263" i="1"/>
  <c r="EK259" i="1"/>
  <c r="DV259" i="1"/>
  <c r="EK255" i="1"/>
  <c r="DV255" i="1"/>
  <c r="EK251" i="1"/>
  <c r="DV251" i="1"/>
  <c r="EK247" i="1"/>
  <c r="DV247" i="1"/>
  <c r="EK243" i="1"/>
  <c r="DV243" i="1"/>
  <c r="EK239" i="1"/>
  <c r="DV239" i="1"/>
  <c r="EK235" i="1"/>
  <c r="DV235" i="1"/>
  <c r="EK231" i="1"/>
  <c r="DV231" i="1"/>
  <c r="EK227" i="1"/>
  <c r="DV227" i="1"/>
  <c r="EK223" i="1"/>
  <c r="DV223" i="1"/>
  <c r="EK219" i="1"/>
  <c r="DV219" i="1"/>
  <c r="EK215" i="1"/>
  <c r="DV215" i="1"/>
  <c r="EK211" i="1"/>
  <c r="DV211" i="1"/>
  <c r="EK207" i="1"/>
  <c r="DV207" i="1"/>
  <c r="EK203" i="1"/>
  <c r="DV203" i="1"/>
  <c r="EK199" i="1"/>
  <c r="DV199" i="1"/>
  <c r="EK195" i="1"/>
  <c r="DV195" i="1"/>
  <c r="EK191" i="1"/>
  <c r="DV191" i="1"/>
  <c r="EK187" i="1"/>
  <c r="DV187" i="1"/>
  <c r="EK183" i="1"/>
  <c r="DV183" i="1"/>
  <c r="EK179" i="1"/>
  <c r="DV179" i="1"/>
  <c r="EK175" i="1"/>
  <c r="DV175" i="1"/>
  <c r="EK171" i="1"/>
  <c r="DV171" i="1"/>
  <c r="EK167" i="1"/>
  <c r="DV167" i="1"/>
  <c r="EK163" i="1"/>
  <c r="DV163" i="1"/>
  <c r="EK159" i="1"/>
  <c r="DV159" i="1"/>
  <c r="EK155" i="1"/>
  <c r="DV155" i="1"/>
  <c r="EK151" i="1"/>
  <c r="DV151" i="1"/>
  <c r="EK147" i="1"/>
  <c r="DV147" i="1"/>
  <c r="EK143" i="1"/>
  <c r="DV143" i="1"/>
  <c r="EK139" i="1"/>
  <c r="DV139" i="1"/>
  <c r="EK135" i="1"/>
  <c r="DV135" i="1"/>
  <c r="EK131" i="1"/>
  <c r="DV131" i="1"/>
  <c r="EK127" i="1"/>
  <c r="DV127" i="1"/>
  <c r="EK123" i="1"/>
  <c r="DV123" i="1"/>
  <c r="EK119" i="1"/>
  <c r="DV119" i="1"/>
  <c r="EK115" i="1"/>
  <c r="DV115" i="1"/>
  <c r="EK111" i="1"/>
  <c r="DV111" i="1"/>
  <c r="EK107" i="1"/>
  <c r="DV107" i="1"/>
  <c r="EK103" i="1"/>
  <c r="DV103" i="1"/>
  <c r="EK99" i="1"/>
  <c r="DV99" i="1"/>
  <c r="EK95" i="1"/>
  <c r="DV95" i="1"/>
  <c r="EK91" i="1"/>
  <c r="DV91" i="1"/>
  <c r="EK87" i="1"/>
  <c r="DV87" i="1"/>
  <c r="EK83" i="1"/>
  <c r="DV83" i="1"/>
  <c r="EK79" i="1"/>
  <c r="DV79" i="1"/>
  <c r="EK75" i="1"/>
  <c r="DV75" i="1"/>
  <c r="EK71" i="1"/>
  <c r="DV71" i="1"/>
  <c r="EK67" i="1"/>
  <c r="DV67" i="1"/>
  <c r="EK63" i="1"/>
  <c r="DV63" i="1"/>
  <c r="EK59" i="1"/>
  <c r="DV59" i="1"/>
  <c r="EK55" i="1"/>
  <c r="DV55" i="1"/>
  <c r="EK51" i="1"/>
  <c r="DV51" i="1"/>
  <c r="EK47" i="1"/>
  <c r="DV47" i="1"/>
  <c r="EK43" i="1"/>
  <c r="DV43" i="1"/>
  <c r="EK39" i="1"/>
  <c r="DV39" i="1"/>
  <c r="EK35" i="1"/>
  <c r="DV35" i="1"/>
  <c r="EK31" i="1"/>
  <c r="DV31" i="1"/>
  <c r="EK27" i="1"/>
  <c r="DV27" i="1"/>
  <c r="EK23" i="1"/>
  <c r="DV23" i="1"/>
  <c r="EK19" i="1"/>
  <c r="DV19" i="1"/>
  <c r="EK15" i="1"/>
  <c r="DV15" i="1"/>
  <c r="EK10" i="1"/>
  <c r="DV10" i="1"/>
  <c r="EK6" i="1"/>
  <c r="DV6" i="1"/>
  <c r="EK4" i="1"/>
  <c r="EK284" i="1"/>
  <c r="DV284" i="1"/>
  <c r="EK290" i="1"/>
  <c r="DV290" i="1"/>
  <c r="EK286" i="1"/>
  <c r="DV286" i="1"/>
  <c r="EK282" i="1"/>
  <c r="DV282" i="1"/>
  <c r="EK278" i="1"/>
  <c r="DV278" i="1"/>
  <c r="EK274" i="1"/>
  <c r="DV274" i="1"/>
  <c r="EK270" i="1"/>
  <c r="DV270" i="1"/>
  <c r="EK266" i="1"/>
  <c r="DV266" i="1"/>
  <c r="EK262" i="1"/>
  <c r="DV262" i="1"/>
  <c r="EK258" i="1"/>
  <c r="DV258" i="1"/>
  <c r="EK254" i="1"/>
  <c r="DV254" i="1"/>
  <c r="EK250" i="1"/>
  <c r="DV250" i="1"/>
  <c r="EK246" i="1"/>
  <c r="DV246" i="1"/>
  <c r="EK242" i="1"/>
  <c r="DV242" i="1"/>
  <c r="EK238" i="1"/>
  <c r="DV238" i="1"/>
  <c r="EK234" i="1"/>
  <c r="DV234" i="1"/>
  <c r="EK230" i="1"/>
  <c r="DV230" i="1"/>
  <c r="EK226" i="1"/>
  <c r="DV226" i="1"/>
  <c r="EK222" i="1"/>
  <c r="DV222" i="1"/>
  <c r="EK218" i="1"/>
  <c r="DV218" i="1"/>
  <c r="EK214" i="1"/>
  <c r="DV214" i="1"/>
  <c r="EK210" i="1"/>
  <c r="DV210" i="1"/>
  <c r="EK206" i="1"/>
  <c r="DV206" i="1"/>
  <c r="EK202" i="1"/>
  <c r="DV202" i="1"/>
  <c r="EK198" i="1"/>
  <c r="DV198" i="1"/>
  <c r="EK194" i="1"/>
  <c r="DV194" i="1"/>
  <c r="EK190" i="1"/>
  <c r="DV190" i="1"/>
  <c r="EK186" i="1"/>
  <c r="DV186" i="1"/>
  <c r="EK182" i="1"/>
  <c r="DV182" i="1"/>
  <c r="EK178" i="1"/>
  <c r="DV178" i="1"/>
  <c r="EK174" i="1"/>
  <c r="DV174" i="1"/>
  <c r="EK170" i="1"/>
  <c r="DV170" i="1"/>
  <c r="EK166" i="1"/>
  <c r="DV166" i="1"/>
  <c r="EK162" i="1"/>
  <c r="DV162" i="1"/>
  <c r="EK158" i="1"/>
  <c r="DV158" i="1"/>
  <c r="EK154" i="1"/>
  <c r="DV154" i="1"/>
  <c r="EK150" i="1"/>
  <c r="DV150" i="1"/>
  <c r="EK146" i="1"/>
  <c r="DV146" i="1"/>
  <c r="EK142" i="1"/>
  <c r="DV142" i="1"/>
  <c r="EK138" i="1"/>
  <c r="DV138" i="1"/>
  <c r="EK134" i="1"/>
  <c r="DV134" i="1"/>
  <c r="EK130" i="1"/>
  <c r="DV130" i="1"/>
  <c r="EK126" i="1"/>
  <c r="DV126" i="1"/>
  <c r="EK122" i="1"/>
  <c r="DV122" i="1"/>
  <c r="EK118" i="1"/>
  <c r="DV118" i="1"/>
  <c r="EK114" i="1"/>
  <c r="DV114" i="1"/>
  <c r="EK110" i="1"/>
  <c r="DV110" i="1"/>
  <c r="EK106" i="1"/>
  <c r="DV106" i="1"/>
  <c r="EK102" i="1"/>
  <c r="DV102" i="1"/>
  <c r="EK98" i="1"/>
  <c r="DV98" i="1"/>
  <c r="EK94" i="1"/>
  <c r="DV94" i="1"/>
  <c r="EK90" i="1"/>
  <c r="DV90" i="1"/>
  <c r="EK86" i="1"/>
  <c r="DV86" i="1"/>
  <c r="EK82" i="1"/>
  <c r="DV82" i="1"/>
  <c r="EK78" i="1"/>
  <c r="DV78" i="1"/>
  <c r="EK74" i="1"/>
  <c r="DV74" i="1"/>
  <c r="EK70" i="1"/>
  <c r="DV70" i="1"/>
  <c r="EK66" i="1"/>
  <c r="DV66" i="1"/>
  <c r="EK62" i="1"/>
  <c r="DV62" i="1"/>
  <c r="EK58" i="1"/>
  <c r="DV58" i="1"/>
  <c r="EK54" i="1"/>
  <c r="DV54" i="1"/>
  <c r="EK50" i="1"/>
  <c r="DV50" i="1"/>
  <c r="EK46" i="1"/>
  <c r="DV46" i="1"/>
  <c r="EK42" i="1"/>
  <c r="DV42" i="1"/>
  <c r="EK38" i="1"/>
  <c r="DV38" i="1"/>
  <c r="EK34" i="1"/>
  <c r="DV34" i="1"/>
  <c r="EK30" i="1"/>
  <c r="DV30" i="1"/>
  <c r="EK26" i="1"/>
  <c r="DV26" i="1"/>
  <c r="EK22" i="1"/>
  <c r="DV22" i="1"/>
  <c r="EK18" i="1"/>
  <c r="DV18" i="1"/>
  <c r="EK14" i="1"/>
  <c r="DV14" i="1"/>
  <c r="EK9" i="1"/>
  <c r="DV9" i="1"/>
  <c r="EK5" i="1"/>
  <c r="DV5" i="1"/>
  <c r="BS4" i="1"/>
  <c r="BL4" i="1"/>
  <c r="BM4" i="1"/>
  <c r="O303" i="1"/>
  <c r="CM298" i="1"/>
  <c r="BW298" i="1"/>
  <c r="BW299" i="1"/>
  <c r="BT300" i="1"/>
  <c r="BW301" i="1"/>
  <c r="BW302" i="1"/>
  <c r="BT303" i="1"/>
  <c r="O298" i="1"/>
  <c r="O299" i="1"/>
  <c r="O302" i="1"/>
  <c r="CB298" i="1"/>
  <c r="CB299" i="1"/>
  <c r="CB300" i="1"/>
  <c r="CB301" i="1"/>
  <c r="CB302" i="1"/>
  <c r="CB303" i="1"/>
  <c r="B298" i="1"/>
  <c r="B299" i="1"/>
  <c r="B300" i="1"/>
  <c r="B301" i="1"/>
  <c r="B302" i="1"/>
  <c r="B303" i="1"/>
  <c r="CR298" i="1" l="1"/>
  <c r="CP298" i="1"/>
  <c r="CQ298" i="1"/>
  <c r="BN302" i="1"/>
  <c r="BS302" i="1"/>
  <c r="BN301" i="1"/>
  <c r="BS301" i="1"/>
  <c r="BN300" i="1"/>
  <c r="BS300" i="1"/>
  <c r="BN298" i="1"/>
  <c r="BS298" i="1"/>
  <c r="BN303" i="1"/>
  <c r="BS303" i="1"/>
  <c r="BN299" i="1"/>
  <c r="BS299" i="1"/>
  <c r="BL303" i="1"/>
  <c r="BM303" i="1"/>
  <c r="BL299" i="1"/>
  <c r="BM299" i="1"/>
  <c r="BL300" i="1"/>
  <c r="BM300" i="1"/>
  <c r="BL302" i="1"/>
  <c r="BM302" i="1"/>
  <c r="BL298" i="1"/>
  <c r="BM298" i="1"/>
  <c r="BL301" i="1"/>
  <c r="BM301" i="1"/>
  <c r="EG301" i="1"/>
  <c r="DR299" i="1"/>
  <c r="DR300" i="1"/>
  <c r="EG302" i="1"/>
  <c r="EG298" i="1"/>
  <c r="DR298" i="1"/>
  <c r="EG303" i="1"/>
  <c r="EG299" i="1"/>
  <c r="DR303" i="1"/>
  <c r="DR301" i="1"/>
  <c r="DR302" i="1"/>
  <c r="EG300" i="1"/>
  <c r="BW296" i="1"/>
  <c r="BW297" i="1"/>
  <c r="B296" i="1"/>
  <c r="B297" i="1"/>
  <c r="CB296" i="1"/>
  <c r="CB297" i="1"/>
  <c r="O297" i="1"/>
  <c r="CU300" i="1" l="1"/>
  <c r="CX300" i="1" s="1"/>
  <c r="CV300" i="1"/>
  <c r="EM301" i="1"/>
  <c r="EL301" i="1"/>
  <c r="EM300" i="1"/>
  <c r="EL300" i="1"/>
  <c r="CU301" i="1"/>
  <c r="CX301" i="1" s="1"/>
  <c r="CV301" i="1"/>
  <c r="CU303" i="1"/>
  <c r="CV303" i="1"/>
  <c r="EM299" i="1"/>
  <c r="EL299" i="1"/>
  <c r="EM303" i="1"/>
  <c r="EL303" i="1"/>
  <c r="EM298" i="1"/>
  <c r="EL298" i="1"/>
  <c r="EL302" i="1"/>
  <c r="EM302" i="1"/>
  <c r="DW301" i="1"/>
  <c r="DX301" i="1"/>
  <c r="DW299" i="1"/>
  <c r="DX299" i="1"/>
  <c r="DW302" i="1"/>
  <c r="DY302" i="1" s="1"/>
  <c r="DX302" i="1"/>
  <c r="DZ302" i="1" s="1"/>
  <c r="DW300" i="1"/>
  <c r="DY300" i="1" s="1"/>
  <c r="DX300" i="1"/>
  <c r="DZ300" i="1" s="1"/>
  <c r="DW303" i="1"/>
  <c r="DX303" i="1"/>
  <c r="DW298" i="1"/>
  <c r="DY298" i="1" s="1"/>
  <c r="DX298" i="1"/>
  <c r="DZ298" i="1" s="1"/>
  <c r="BN296" i="1"/>
  <c r="BS296" i="1"/>
  <c r="BN297" i="1"/>
  <c r="BS297" i="1"/>
  <c r="BL297" i="1"/>
  <c r="BM297" i="1"/>
  <c r="BL296" i="1"/>
  <c r="BM296" i="1"/>
  <c r="DR296" i="1"/>
  <c r="EG296" i="1"/>
  <c r="EG297" i="1"/>
  <c r="DR297" i="1"/>
  <c r="EM297" i="1" l="1"/>
  <c r="EL297" i="1"/>
  <c r="EM296" i="1"/>
  <c r="EL296" i="1"/>
  <c r="DX296" i="1"/>
  <c r="DZ296" i="1" s="1"/>
  <c r="ED296" i="1" s="1"/>
  <c r="DW296" i="1"/>
  <c r="DY296" i="1" s="1"/>
  <c r="DW297" i="1"/>
  <c r="DX297" i="1"/>
  <c r="BW4" i="1"/>
  <c r="BT295" i="1" l="1"/>
  <c r="CB295" i="1"/>
  <c r="J295" i="1"/>
  <c r="I295" i="1"/>
  <c r="O295" i="1"/>
  <c r="K295" i="1"/>
  <c r="H3" i="5"/>
  <c r="O4" i="1"/>
  <c r="I4" i="1"/>
  <c r="J4" i="1"/>
  <c r="K4" i="1"/>
  <c r="F5" i="1"/>
  <c r="CB5" i="1" s="1"/>
  <c r="O5" i="1"/>
  <c r="I5" i="1"/>
  <c r="J5" i="1"/>
  <c r="K5" i="1"/>
  <c r="F6" i="1"/>
  <c r="CB6" i="1" s="1"/>
  <c r="O6" i="1"/>
  <c r="I6" i="1"/>
  <c r="J6" i="1"/>
  <c r="K6" i="1"/>
  <c r="F7" i="1"/>
  <c r="CB7" i="1" s="1"/>
  <c r="I7" i="1"/>
  <c r="J7" i="1"/>
  <c r="K7" i="1"/>
  <c r="BT7" i="1"/>
  <c r="F8" i="1"/>
  <c r="CB8" i="1" s="1"/>
  <c r="O8" i="1"/>
  <c r="I8" i="1"/>
  <c r="J8" i="1"/>
  <c r="K8" i="1"/>
  <c r="BT8" i="1"/>
  <c r="F9" i="1"/>
  <c r="CB9" i="1" s="1"/>
  <c r="O9" i="1"/>
  <c r="I9" i="1"/>
  <c r="J9" i="1"/>
  <c r="K9" i="1"/>
  <c r="BT9" i="1"/>
  <c r="F10" i="1"/>
  <c r="CB10" i="1" s="1"/>
  <c r="O10" i="1"/>
  <c r="I10" i="1"/>
  <c r="J10" i="1"/>
  <c r="K10" i="1"/>
  <c r="F11" i="1"/>
  <c r="CB11" i="1" s="1"/>
  <c r="I11" i="1"/>
  <c r="J11" i="1"/>
  <c r="K11" i="1"/>
  <c r="BT11" i="1"/>
  <c r="F12" i="1"/>
  <c r="CB12" i="1" s="1"/>
  <c r="O12" i="1"/>
  <c r="I12" i="1"/>
  <c r="J12" i="1"/>
  <c r="K12" i="1"/>
  <c r="BT12" i="1"/>
  <c r="F13" i="1"/>
  <c r="CB13" i="1" s="1"/>
  <c r="O13" i="1"/>
  <c r="I13" i="1"/>
  <c r="J13" i="1"/>
  <c r="K13" i="1"/>
  <c r="BT13" i="1"/>
  <c r="F14" i="1"/>
  <c r="CB14" i="1" s="1"/>
  <c r="O14" i="1"/>
  <c r="I14" i="1"/>
  <c r="J14" i="1"/>
  <c r="K14" i="1"/>
  <c r="BT14" i="1"/>
  <c r="F15" i="1"/>
  <c r="I15" i="1"/>
  <c r="J15" i="1"/>
  <c r="K15" i="1"/>
  <c r="F16" i="1"/>
  <c r="CB16" i="1" s="1"/>
  <c r="O16" i="1"/>
  <c r="I16" i="1"/>
  <c r="J16" i="1"/>
  <c r="K16" i="1"/>
  <c r="F17" i="1"/>
  <c r="CB17" i="1" s="1"/>
  <c r="O17" i="1"/>
  <c r="I17" i="1"/>
  <c r="J17" i="1"/>
  <c r="K17" i="1"/>
  <c r="F18" i="1"/>
  <c r="CB18" i="1" s="1"/>
  <c r="O18" i="1"/>
  <c r="I18" i="1"/>
  <c r="J18" i="1"/>
  <c r="K18" i="1"/>
  <c r="BT18" i="1"/>
  <c r="F19" i="1"/>
  <c r="CB19" i="1" s="1"/>
  <c r="I19" i="1"/>
  <c r="J19" i="1"/>
  <c r="K19" i="1"/>
  <c r="F20" i="1"/>
  <c r="CB20" i="1" s="1"/>
  <c r="O20" i="1"/>
  <c r="I20" i="1"/>
  <c r="J20" i="1"/>
  <c r="K20" i="1"/>
  <c r="F21" i="1"/>
  <c r="CB21" i="1" s="1"/>
  <c r="O21" i="1"/>
  <c r="I21" i="1"/>
  <c r="J21" i="1"/>
  <c r="K21" i="1"/>
  <c r="F22" i="1"/>
  <c r="CB22" i="1" s="1"/>
  <c r="O22" i="1"/>
  <c r="I22" i="1"/>
  <c r="J22" i="1"/>
  <c r="K22" i="1"/>
  <c r="F23" i="1"/>
  <c r="CB23" i="1" s="1"/>
  <c r="I23" i="1"/>
  <c r="J23" i="1"/>
  <c r="K23" i="1"/>
  <c r="F24" i="1"/>
  <c r="CB24" i="1" s="1"/>
  <c r="O24" i="1"/>
  <c r="I24" i="1"/>
  <c r="J24" i="1"/>
  <c r="K24" i="1"/>
  <c r="F25" i="1"/>
  <c r="CB25" i="1" s="1"/>
  <c r="O25" i="1"/>
  <c r="I25" i="1"/>
  <c r="J25" i="1"/>
  <c r="K25" i="1"/>
  <c r="F26" i="1"/>
  <c r="CB26" i="1" s="1"/>
  <c r="O26" i="1"/>
  <c r="I26" i="1"/>
  <c r="J26" i="1"/>
  <c r="K26" i="1"/>
  <c r="F27" i="1"/>
  <c r="CB27" i="1" s="1"/>
  <c r="I27" i="1"/>
  <c r="J27" i="1"/>
  <c r="K27" i="1"/>
  <c r="F28" i="1"/>
  <c r="CB28" i="1" s="1"/>
  <c r="O28" i="1"/>
  <c r="I28" i="1"/>
  <c r="J28" i="1"/>
  <c r="K28" i="1"/>
  <c r="F29" i="1"/>
  <c r="CB29" i="1" s="1"/>
  <c r="O29" i="1"/>
  <c r="I29" i="1"/>
  <c r="J29" i="1"/>
  <c r="K29" i="1"/>
  <c r="F30" i="1"/>
  <c r="CB30" i="1" s="1"/>
  <c r="O30" i="1"/>
  <c r="I30" i="1"/>
  <c r="J30" i="1"/>
  <c r="K30" i="1"/>
  <c r="F31" i="1"/>
  <c r="CB31" i="1" s="1"/>
  <c r="I31" i="1"/>
  <c r="J31" i="1"/>
  <c r="K31" i="1"/>
  <c r="F32" i="1"/>
  <c r="O32" i="1"/>
  <c r="I32" i="1"/>
  <c r="J32" i="1"/>
  <c r="K32" i="1"/>
  <c r="BT32" i="1"/>
  <c r="F33" i="1"/>
  <c r="CB33" i="1" s="1"/>
  <c r="O33" i="1"/>
  <c r="I33" i="1"/>
  <c r="J33" i="1"/>
  <c r="K33" i="1"/>
  <c r="BT33" i="1"/>
  <c r="F34" i="1"/>
  <c r="CB34" i="1" s="1"/>
  <c r="O34" i="1"/>
  <c r="I34" i="1"/>
  <c r="J34" i="1"/>
  <c r="K34" i="1"/>
  <c r="F35" i="1"/>
  <c r="CB35" i="1" s="1"/>
  <c r="I35" i="1"/>
  <c r="J35" i="1"/>
  <c r="K35" i="1"/>
  <c r="BT35" i="1"/>
  <c r="F36" i="1"/>
  <c r="CB36" i="1" s="1"/>
  <c r="O36" i="1"/>
  <c r="I36" i="1"/>
  <c r="J36" i="1"/>
  <c r="K36" i="1"/>
  <c r="F37" i="1"/>
  <c r="CB37" i="1" s="1"/>
  <c r="O37" i="1"/>
  <c r="I37" i="1"/>
  <c r="J37" i="1"/>
  <c r="K37" i="1"/>
  <c r="F38" i="1"/>
  <c r="CB38" i="1" s="1"/>
  <c r="O38" i="1"/>
  <c r="I38" i="1"/>
  <c r="J38" i="1"/>
  <c r="K38" i="1"/>
  <c r="BT38" i="1"/>
  <c r="F39" i="1"/>
  <c r="CB39" i="1" s="1"/>
  <c r="I39" i="1"/>
  <c r="J39" i="1"/>
  <c r="K39" i="1"/>
  <c r="F40" i="1"/>
  <c r="CB40" i="1" s="1"/>
  <c r="O40" i="1"/>
  <c r="I40" i="1"/>
  <c r="J40" i="1"/>
  <c r="K40" i="1"/>
  <c r="F41" i="1"/>
  <c r="CB41" i="1" s="1"/>
  <c r="O41" i="1"/>
  <c r="I41" i="1"/>
  <c r="J41" i="1"/>
  <c r="K41" i="1"/>
  <c r="F42" i="1"/>
  <c r="CB42" i="1" s="1"/>
  <c r="O42" i="1"/>
  <c r="I42" i="1"/>
  <c r="J42" i="1"/>
  <c r="K42" i="1"/>
  <c r="F43" i="1"/>
  <c r="CB43" i="1" s="1"/>
  <c r="I43" i="1"/>
  <c r="J43" i="1"/>
  <c r="K43" i="1"/>
  <c r="BT43" i="1"/>
  <c r="F44" i="1"/>
  <c r="CB44" i="1" s="1"/>
  <c r="O44" i="1"/>
  <c r="I44" i="1"/>
  <c r="J44" i="1"/>
  <c r="K44" i="1"/>
  <c r="F45" i="1"/>
  <c r="CB45" i="1" s="1"/>
  <c r="O45" i="1"/>
  <c r="I45" i="1"/>
  <c r="J45" i="1"/>
  <c r="K45" i="1"/>
  <c r="F46" i="1"/>
  <c r="CB46" i="1" s="1"/>
  <c r="O46" i="1"/>
  <c r="I46" i="1"/>
  <c r="J46" i="1"/>
  <c r="K46" i="1"/>
  <c r="F47" i="1"/>
  <c r="CB47" i="1" s="1"/>
  <c r="I47" i="1"/>
  <c r="J47" i="1"/>
  <c r="K47" i="1"/>
  <c r="BT47" i="1"/>
  <c r="F48" i="1"/>
  <c r="CB48" i="1" s="1"/>
  <c r="O48" i="1"/>
  <c r="I48" i="1"/>
  <c r="J48" i="1"/>
  <c r="K48" i="1"/>
  <c r="BT48" i="1"/>
  <c r="F49" i="1"/>
  <c r="CB49" i="1" s="1"/>
  <c r="O49" i="1"/>
  <c r="I49" i="1"/>
  <c r="J49" i="1"/>
  <c r="K49" i="1"/>
  <c r="BT49" i="1"/>
  <c r="F50" i="1"/>
  <c r="CB50" i="1" s="1"/>
  <c r="O50" i="1"/>
  <c r="I50" i="1"/>
  <c r="J50" i="1"/>
  <c r="K50" i="1"/>
  <c r="BT50" i="1"/>
  <c r="F51" i="1"/>
  <c r="CB51" i="1" s="1"/>
  <c r="I51" i="1"/>
  <c r="J51" i="1"/>
  <c r="K51" i="1"/>
  <c r="F52" i="1"/>
  <c r="CB52" i="1" s="1"/>
  <c r="O52" i="1"/>
  <c r="I52" i="1"/>
  <c r="J52" i="1"/>
  <c r="K52" i="1"/>
  <c r="F53" i="1"/>
  <c r="CB53" i="1" s="1"/>
  <c r="O53" i="1"/>
  <c r="I53" i="1"/>
  <c r="J53" i="1"/>
  <c r="K53" i="1"/>
  <c r="F54" i="1"/>
  <c r="CB54" i="1" s="1"/>
  <c r="O54" i="1"/>
  <c r="I54" i="1"/>
  <c r="J54" i="1"/>
  <c r="K54" i="1"/>
  <c r="BT54" i="1"/>
  <c r="F55" i="1"/>
  <c r="CB55" i="1" s="1"/>
  <c r="I55" i="1"/>
  <c r="J55" i="1"/>
  <c r="K55" i="1"/>
  <c r="F56" i="1"/>
  <c r="CB56" i="1" s="1"/>
  <c r="O56" i="1"/>
  <c r="I56" i="1"/>
  <c r="J56" i="1"/>
  <c r="K56" i="1"/>
  <c r="F57" i="1"/>
  <c r="CB57" i="1" s="1"/>
  <c r="O57" i="1"/>
  <c r="I57" i="1"/>
  <c r="J57" i="1"/>
  <c r="K57" i="1"/>
  <c r="F58" i="1"/>
  <c r="CB58" i="1" s="1"/>
  <c r="O58" i="1"/>
  <c r="I58" i="1"/>
  <c r="J58" i="1"/>
  <c r="K58" i="1"/>
  <c r="F59" i="1"/>
  <c r="CB59" i="1" s="1"/>
  <c r="I59" i="1"/>
  <c r="J59" i="1"/>
  <c r="K59" i="1"/>
  <c r="BT59" i="1"/>
  <c r="F60" i="1"/>
  <c r="CB60" i="1" s="1"/>
  <c r="O60" i="1"/>
  <c r="I60" i="1"/>
  <c r="J60" i="1"/>
  <c r="K60" i="1"/>
  <c r="F61" i="1"/>
  <c r="CB61" i="1" s="1"/>
  <c r="O61" i="1"/>
  <c r="I61" i="1"/>
  <c r="J61" i="1"/>
  <c r="K61" i="1"/>
  <c r="F62" i="1"/>
  <c r="CB62" i="1" s="1"/>
  <c r="O62" i="1"/>
  <c r="I62" i="1"/>
  <c r="J62" i="1"/>
  <c r="K62" i="1"/>
  <c r="F63" i="1"/>
  <c r="CB63" i="1" s="1"/>
  <c r="I63" i="1"/>
  <c r="J63" i="1"/>
  <c r="K63" i="1"/>
  <c r="F64" i="1"/>
  <c r="CB64" i="1" s="1"/>
  <c r="O64" i="1"/>
  <c r="I64" i="1"/>
  <c r="J64" i="1"/>
  <c r="K64" i="1"/>
  <c r="BT64" i="1"/>
  <c r="F65" i="1"/>
  <c r="CB65" i="1" s="1"/>
  <c r="O65" i="1"/>
  <c r="I65" i="1"/>
  <c r="J65" i="1"/>
  <c r="K65" i="1"/>
  <c r="BT65" i="1"/>
  <c r="F66" i="1"/>
  <c r="CB66" i="1" s="1"/>
  <c r="O66" i="1"/>
  <c r="I66" i="1"/>
  <c r="J66" i="1"/>
  <c r="K66" i="1"/>
  <c r="BT66" i="1"/>
  <c r="F67" i="1"/>
  <c r="CB67" i="1" s="1"/>
  <c r="I67" i="1"/>
  <c r="J67" i="1"/>
  <c r="K67" i="1"/>
  <c r="F68" i="1"/>
  <c r="CB68" i="1" s="1"/>
  <c r="O68" i="1"/>
  <c r="I68" i="1"/>
  <c r="J68" i="1"/>
  <c r="K68" i="1"/>
  <c r="F69" i="1"/>
  <c r="CB69" i="1" s="1"/>
  <c r="O69" i="1"/>
  <c r="I69" i="1"/>
  <c r="J69" i="1"/>
  <c r="K69" i="1"/>
  <c r="F70" i="1"/>
  <c r="CB70" i="1" s="1"/>
  <c r="O70" i="1"/>
  <c r="I70" i="1"/>
  <c r="J70" i="1"/>
  <c r="K70" i="1"/>
  <c r="F71" i="1"/>
  <c r="CB71" i="1" s="1"/>
  <c r="I71" i="1"/>
  <c r="J71" i="1"/>
  <c r="K71" i="1"/>
  <c r="F72" i="1"/>
  <c r="CB72" i="1" s="1"/>
  <c r="O72" i="1"/>
  <c r="I72" i="1"/>
  <c r="J72" i="1"/>
  <c r="K72" i="1"/>
  <c r="BT72" i="1"/>
  <c r="F73" i="1"/>
  <c r="CB73" i="1" s="1"/>
  <c r="O73" i="1"/>
  <c r="I73" i="1"/>
  <c r="J73" i="1"/>
  <c r="K73" i="1"/>
  <c r="BT73" i="1"/>
  <c r="F74" i="1"/>
  <c r="CB74" i="1" s="1"/>
  <c r="O74" i="1"/>
  <c r="I74" i="1"/>
  <c r="J74" i="1"/>
  <c r="K74" i="1"/>
  <c r="F75" i="1"/>
  <c r="CB75" i="1" s="1"/>
  <c r="I75" i="1"/>
  <c r="J75" i="1"/>
  <c r="K75" i="1"/>
  <c r="F76" i="1"/>
  <c r="CB76" i="1" s="1"/>
  <c r="O76" i="1"/>
  <c r="I76" i="1"/>
  <c r="J76" i="1"/>
  <c r="K76" i="1"/>
  <c r="F77" i="1"/>
  <c r="CB77" i="1" s="1"/>
  <c r="O77" i="1"/>
  <c r="I77" i="1"/>
  <c r="J77" i="1"/>
  <c r="K77" i="1"/>
  <c r="F78" i="1"/>
  <c r="CB78" i="1" s="1"/>
  <c r="O78" i="1"/>
  <c r="I78" i="1"/>
  <c r="J78" i="1"/>
  <c r="K78" i="1"/>
  <c r="BT78" i="1"/>
  <c r="F79" i="1"/>
  <c r="CB79" i="1" s="1"/>
  <c r="O79" i="1"/>
  <c r="I79" i="1"/>
  <c r="J79" i="1"/>
  <c r="K79" i="1"/>
  <c r="F80" i="1"/>
  <c r="CB80" i="1" s="1"/>
  <c r="O80" i="1"/>
  <c r="I80" i="1"/>
  <c r="J80" i="1"/>
  <c r="K80" i="1"/>
  <c r="BT80" i="1"/>
  <c r="F81" i="1"/>
  <c r="CB81" i="1" s="1"/>
  <c r="O81" i="1"/>
  <c r="I81" i="1"/>
  <c r="J81" i="1"/>
  <c r="K81" i="1"/>
  <c r="BT81" i="1"/>
  <c r="F82" i="1"/>
  <c r="CB82" i="1" s="1"/>
  <c r="O82" i="1"/>
  <c r="I82" i="1"/>
  <c r="J82" i="1"/>
  <c r="K82" i="1"/>
  <c r="F83" i="1"/>
  <c r="CB83" i="1" s="1"/>
  <c r="O83" i="1"/>
  <c r="I83" i="1"/>
  <c r="J83" i="1"/>
  <c r="K83" i="1"/>
  <c r="F84" i="1"/>
  <c r="CB84" i="1" s="1"/>
  <c r="O84" i="1"/>
  <c r="I84" i="1"/>
  <c r="J84" i="1"/>
  <c r="K84" i="1"/>
  <c r="F85" i="1"/>
  <c r="CB85" i="1" s="1"/>
  <c r="O85" i="1"/>
  <c r="I85" i="1"/>
  <c r="J85" i="1"/>
  <c r="K85" i="1"/>
  <c r="F86" i="1"/>
  <c r="CB86" i="1" s="1"/>
  <c r="O86" i="1"/>
  <c r="I86" i="1"/>
  <c r="J86" i="1"/>
  <c r="K86" i="1"/>
  <c r="F87" i="1"/>
  <c r="CB87" i="1" s="1"/>
  <c r="O87" i="1"/>
  <c r="I87" i="1"/>
  <c r="J87" i="1"/>
  <c r="K87" i="1"/>
  <c r="F88" i="1"/>
  <c r="CB88" i="1" s="1"/>
  <c r="O88" i="1"/>
  <c r="I88" i="1"/>
  <c r="J88" i="1"/>
  <c r="K88" i="1"/>
  <c r="F89" i="1"/>
  <c r="CB89" i="1" s="1"/>
  <c r="O89" i="1"/>
  <c r="I89" i="1"/>
  <c r="J89" i="1"/>
  <c r="K89" i="1"/>
  <c r="F90" i="1"/>
  <c r="CB90" i="1" s="1"/>
  <c r="O90" i="1"/>
  <c r="I90" i="1"/>
  <c r="J90" i="1"/>
  <c r="K90" i="1"/>
  <c r="F91" i="1"/>
  <c r="CB91" i="1" s="1"/>
  <c r="O91" i="1"/>
  <c r="I91" i="1"/>
  <c r="J91" i="1"/>
  <c r="K91" i="1"/>
  <c r="F92" i="1"/>
  <c r="CB92" i="1" s="1"/>
  <c r="O92" i="1"/>
  <c r="I92" i="1"/>
  <c r="J92" i="1"/>
  <c r="K92" i="1"/>
  <c r="BT92" i="1"/>
  <c r="F93" i="1"/>
  <c r="CB93" i="1" s="1"/>
  <c r="O93" i="1"/>
  <c r="I93" i="1"/>
  <c r="J93" i="1"/>
  <c r="K93" i="1"/>
  <c r="BT93" i="1"/>
  <c r="F94" i="1"/>
  <c r="CB94" i="1" s="1"/>
  <c r="O94" i="1"/>
  <c r="I94" i="1"/>
  <c r="J94" i="1"/>
  <c r="K94" i="1"/>
  <c r="F95" i="1"/>
  <c r="CB95" i="1" s="1"/>
  <c r="O95" i="1"/>
  <c r="I95" i="1"/>
  <c r="J95" i="1"/>
  <c r="K95" i="1"/>
  <c r="F96" i="1"/>
  <c r="CB96" i="1" s="1"/>
  <c r="O96" i="1"/>
  <c r="I96" i="1"/>
  <c r="J96" i="1"/>
  <c r="K96" i="1"/>
  <c r="F97" i="1"/>
  <c r="CB97" i="1" s="1"/>
  <c r="O97" i="1"/>
  <c r="I97" i="1"/>
  <c r="J97" i="1"/>
  <c r="K97" i="1"/>
  <c r="BT97" i="1"/>
  <c r="F98" i="1"/>
  <c r="CB98" i="1" s="1"/>
  <c r="O98" i="1"/>
  <c r="I98" i="1"/>
  <c r="J98" i="1"/>
  <c r="K98" i="1"/>
  <c r="F99" i="1"/>
  <c r="CB99" i="1" s="1"/>
  <c r="O99" i="1"/>
  <c r="I99" i="1"/>
  <c r="J99" i="1"/>
  <c r="K99" i="1"/>
  <c r="F100" i="1"/>
  <c r="CB100" i="1" s="1"/>
  <c r="O100" i="1"/>
  <c r="I100" i="1"/>
  <c r="J100" i="1"/>
  <c r="K100" i="1"/>
  <c r="BT100" i="1"/>
  <c r="F101" i="1"/>
  <c r="CB101" i="1" s="1"/>
  <c r="O101" i="1"/>
  <c r="I101" i="1"/>
  <c r="J101" i="1"/>
  <c r="K101" i="1"/>
  <c r="F102" i="1"/>
  <c r="CB102" i="1" s="1"/>
  <c r="O102" i="1"/>
  <c r="I102" i="1"/>
  <c r="J102" i="1"/>
  <c r="K102" i="1"/>
  <c r="F103" i="1"/>
  <c r="CB103" i="1" s="1"/>
  <c r="I103" i="1"/>
  <c r="J103" i="1"/>
  <c r="K103" i="1"/>
  <c r="F104" i="1"/>
  <c r="CB104" i="1" s="1"/>
  <c r="O104" i="1"/>
  <c r="I104" i="1"/>
  <c r="J104" i="1"/>
  <c r="K104" i="1"/>
  <c r="F105" i="1"/>
  <c r="CB105" i="1" s="1"/>
  <c r="I105" i="1"/>
  <c r="J105" i="1"/>
  <c r="K105" i="1"/>
  <c r="F106" i="1"/>
  <c r="CB106" i="1" s="1"/>
  <c r="O106" i="1"/>
  <c r="I106" i="1"/>
  <c r="J106" i="1"/>
  <c r="K106" i="1"/>
  <c r="BT106" i="1"/>
  <c r="F107" i="1"/>
  <c r="CB107" i="1" s="1"/>
  <c r="O107" i="1"/>
  <c r="I107" i="1"/>
  <c r="J107" i="1"/>
  <c r="K107" i="1"/>
  <c r="F108" i="1"/>
  <c r="CB108" i="1" s="1"/>
  <c r="I108" i="1"/>
  <c r="J108" i="1"/>
  <c r="K108" i="1"/>
  <c r="BT108" i="1"/>
  <c r="F109" i="1"/>
  <c r="CB109" i="1" s="1"/>
  <c r="O109" i="1"/>
  <c r="I109" i="1"/>
  <c r="J109" i="1"/>
  <c r="K109" i="1"/>
  <c r="F110" i="1"/>
  <c r="CB110" i="1" s="1"/>
  <c r="I110" i="1"/>
  <c r="J110" i="1"/>
  <c r="K110" i="1"/>
  <c r="F111" i="1"/>
  <c r="CB111" i="1" s="1"/>
  <c r="O111" i="1"/>
  <c r="I111" i="1"/>
  <c r="J111" i="1"/>
  <c r="K111" i="1"/>
  <c r="F112" i="1"/>
  <c r="CB112" i="1" s="1"/>
  <c r="I112" i="1"/>
  <c r="J112" i="1"/>
  <c r="K112" i="1"/>
  <c r="F113" i="1"/>
  <c r="CB113" i="1" s="1"/>
  <c r="O113" i="1"/>
  <c r="I113" i="1"/>
  <c r="J113" i="1"/>
  <c r="K113" i="1"/>
  <c r="F114" i="1"/>
  <c r="CB114" i="1" s="1"/>
  <c r="O114" i="1"/>
  <c r="I114" i="1"/>
  <c r="J114" i="1"/>
  <c r="K114" i="1"/>
  <c r="F115" i="1"/>
  <c r="CB115" i="1" s="1"/>
  <c r="I115" i="1"/>
  <c r="J115" i="1"/>
  <c r="K115" i="1"/>
  <c r="F116" i="1"/>
  <c r="CB116" i="1" s="1"/>
  <c r="O116" i="1"/>
  <c r="I116" i="1"/>
  <c r="J116" i="1"/>
  <c r="K116" i="1"/>
  <c r="BT116" i="1"/>
  <c r="F117" i="1"/>
  <c r="CB117" i="1" s="1"/>
  <c r="O117" i="1"/>
  <c r="I117" i="1"/>
  <c r="J117" i="1"/>
  <c r="K117" i="1"/>
  <c r="F118" i="1"/>
  <c r="CB118" i="1" s="1"/>
  <c r="I118" i="1"/>
  <c r="J118" i="1"/>
  <c r="K118" i="1"/>
  <c r="F119" i="1"/>
  <c r="CB119" i="1" s="1"/>
  <c r="O119" i="1"/>
  <c r="I119" i="1"/>
  <c r="J119" i="1"/>
  <c r="K119" i="1"/>
  <c r="F120" i="1"/>
  <c r="CB120" i="1" s="1"/>
  <c r="I120" i="1"/>
  <c r="J120" i="1"/>
  <c r="K120" i="1"/>
  <c r="F121" i="1"/>
  <c r="CB121" i="1" s="1"/>
  <c r="O121" i="1"/>
  <c r="I121" i="1"/>
  <c r="J121" i="1"/>
  <c r="K121" i="1"/>
  <c r="BT121" i="1"/>
  <c r="F122" i="1"/>
  <c r="CB122" i="1" s="1"/>
  <c r="O122" i="1"/>
  <c r="I122" i="1"/>
  <c r="J122" i="1"/>
  <c r="K122" i="1"/>
  <c r="F123" i="1"/>
  <c r="CB123" i="1" s="1"/>
  <c r="I123" i="1"/>
  <c r="J123" i="1"/>
  <c r="K123" i="1"/>
  <c r="BT123" i="1"/>
  <c r="F124" i="1"/>
  <c r="CB124" i="1" s="1"/>
  <c r="O124" i="1"/>
  <c r="I124" i="1"/>
  <c r="J124" i="1"/>
  <c r="K124" i="1"/>
  <c r="F125" i="1"/>
  <c r="CB125" i="1" s="1"/>
  <c r="I125" i="1"/>
  <c r="J125" i="1"/>
  <c r="K125" i="1"/>
  <c r="F126" i="1"/>
  <c r="CB126" i="1" s="1"/>
  <c r="O126" i="1"/>
  <c r="I126" i="1"/>
  <c r="J126" i="1"/>
  <c r="K126" i="1"/>
  <c r="BT126" i="1"/>
  <c r="F127" i="1"/>
  <c r="CB127" i="1" s="1"/>
  <c r="I127" i="1"/>
  <c r="J127" i="1"/>
  <c r="K127" i="1"/>
  <c r="F128" i="1"/>
  <c r="CB128" i="1" s="1"/>
  <c r="O128" i="1"/>
  <c r="I128" i="1"/>
  <c r="J128" i="1"/>
  <c r="K128" i="1"/>
  <c r="F129" i="1"/>
  <c r="CB129" i="1" s="1"/>
  <c r="O129" i="1"/>
  <c r="I129" i="1"/>
  <c r="J129" i="1"/>
  <c r="K129" i="1"/>
  <c r="F130" i="1"/>
  <c r="CB130" i="1" s="1"/>
  <c r="I130" i="1"/>
  <c r="J130" i="1"/>
  <c r="K130" i="1"/>
  <c r="BT130" i="1"/>
  <c r="F131" i="1"/>
  <c r="CB131" i="1" s="1"/>
  <c r="O131" i="1"/>
  <c r="I131" i="1"/>
  <c r="J131" i="1"/>
  <c r="K131" i="1"/>
  <c r="BT131" i="1"/>
  <c r="F132" i="1"/>
  <c r="CB132" i="1" s="1"/>
  <c r="O132" i="1"/>
  <c r="I132" i="1"/>
  <c r="J132" i="1"/>
  <c r="K132" i="1"/>
  <c r="F133" i="1"/>
  <c r="CB133" i="1" s="1"/>
  <c r="O133" i="1"/>
  <c r="I133" i="1"/>
  <c r="J133" i="1"/>
  <c r="K133" i="1"/>
  <c r="F134" i="1"/>
  <c r="CB134" i="1" s="1"/>
  <c r="O134" i="1"/>
  <c r="I134" i="1"/>
  <c r="J134" i="1"/>
  <c r="K134" i="1"/>
  <c r="F135" i="1"/>
  <c r="CB135" i="1" s="1"/>
  <c r="I135" i="1"/>
  <c r="J135" i="1"/>
  <c r="K135" i="1"/>
  <c r="F136" i="1"/>
  <c r="CB136" i="1" s="1"/>
  <c r="O136" i="1"/>
  <c r="I136" i="1"/>
  <c r="J136" i="1"/>
  <c r="K136" i="1"/>
  <c r="F137" i="1"/>
  <c r="CB137" i="1" s="1"/>
  <c r="I137" i="1"/>
  <c r="J137" i="1"/>
  <c r="K137" i="1"/>
  <c r="BT137" i="1"/>
  <c r="F138" i="1"/>
  <c r="CB138" i="1" s="1"/>
  <c r="O138" i="1"/>
  <c r="I138" i="1"/>
  <c r="J138" i="1"/>
  <c r="K138" i="1"/>
  <c r="F139" i="1"/>
  <c r="CB139" i="1" s="1"/>
  <c r="O139" i="1"/>
  <c r="I139" i="1"/>
  <c r="J139" i="1"/>
  <c r="K139" i="1"/>
  <c r="F140" i="1"/>
  <c r="I140" i="1"/>
  <c r="J140" i="1"/>
  <c r="K140" i="1"/>
  <c r="F141" i="1"/>
  <c r="CB141" i="1" s="1"/>
  <c r="O141" i="1"/>
  <c r="I141" i="1"/>
  <c r="J141" i="1"/>
  <c r="K141" i="1"/>
  <c r="BT141" i="1"/>
  <c r="F142" i="1"/>
  <c r="CB142" i="1" s="1"/>
  <c r="I142" i="1"/>
  <c r="J142" i="1"/>
  <c r="K142" i="1"/>
  <c r="F143" i="1"/>
  <c r="CB143" i="1" s="1"/>
  <c r="O143" i="1"/>
  <c r="I143" i="1"/>
  <c r="J143" i="1"/>
  <c r="K143" i="1"/>
  <c r="F144" i="1"/>
  <c r="CB144" i="1" s="1"/>
  <c r="I144" i="1"/>
  <c r="J144" i="1"/>
  <c r="K144" i="1"/>
  <c r="BT144" i="1"/>
  <c r="F145" i="1"/>
  <c r="CB145" i="1" s="1"/>
  <c r="O145" i="1"/>
  <c r="I145" i="1"/>
  <c r="J145" i="1"/>
  <c r="K145" i="1"/>
  <c r="F146" i="1"/>
  <c r="CB146" i="1" s="1"/>
  <c r="O146" i="1"/>
  <c r="I146" i="1"/>
  <c r="J146" i="1"/>
  <c r="K146" i="1"/>
  <c r="BT146" i="1"/>
  <c r="F147" i="1"/>
  <c r="CB147" i="1" s="1"/>
  <c r="O147" i="1"/>
  <c r="I147" i="1"/>
  <c r="J147" i="1"/>
  <c r="K147" i="1"/>
  <c r="F148" i="1"/>
  <c r="CB148" i="1" s="1"/>
  <c r="I148" i="1"/>
  <c r="J148" i="1"/>
  <c r="K148" i="1"/>
  <c r="BT148" i="1"/>
  <c r="F149" i="1"/>
  <c r="CB149" i="1" s="1"/>
  <c r="O149" i="1"/>
  <c r="I149" i="1"/>
  <c r="J149" i="1"/>
  <c r="K149" i="1"/>
  <c r="F150" i="1"/>
  <c r="CB150" i="1" s="1"/>
  <c r="O150" i="1"/>
  <c r="I150" i="1"/>
  <c r="J150" i="1"/>
  <c r="K150" i="1"/>
  <c r="CB151" i="1"/>
  <c r="O151" i="1"/>
  <c r="I151" i="1"/>
  <c r="J151" i="1"/>
  <c r="K151" i="1"/>
  <c r="CB152" i="1"/>
  <c r="I152" i="1"/>
  <c r="J152" i="1"/>
  <c r="K152" i="1"/>
  <c r="CB153" i="1"/>
  <c r="O153" i="1"/>
  <c r="I153" i="1"/>
  <c r="J153" i="1"/>
  <c r="K153" i="1"/>
  <c r="CB154" i="1"/>
  <c r="I154" i="1"/>
  <c r="J154" i="1"/>
  <c r="K154" i="1"/>
  <c r="BT154" i="1"/>
  <c r="CB155" i="1"/>
  <c r="I155" i="1"/>
  <c r="J155" i="1"/>
  <c r="K155" i="1"/>
  <c r="CB156" i="1"/>
  <c r="O156" i="1"/>
  <c r="I156" i="1"/>
  <c r="J156" i="1"/>
  <c r="K156" i="1"/>
  <c r="CB157" i="1"/>
  <c r="O157" i="1"/>
  <c r="I157" i="1"/>
  <c r="J157" i="1"/>
  <c r="K157" i="1"/>
  <c r="CB158" i="1"/>
  <c r="O158" i="1"/>
  <c r="I158" i="1"/>
  <c r="J158" i="1"/>
  <c r="K158" i="1"/>
  <c r="BT158" i="1"/>
  <c r="CB159" i="1"/>
  <c r="O159" i="1"/>
  <c r="I159" i="1"/>
  <c r="J159" i="1"/>
  <c r="K159" i="1"/>
  <c r="BT159" i="1"/>
  <c r="CB160" i="1"/>
  <c r="I160" i="1"/>
  <c r="J160" i="1"/>
  <c r="K160" i="1"/>
  <c r="CB161" i="1"/>
  <c r="O161" i="1"/>
  <c r="I161" i="1"/>
  <c r="J161" i="1"/>
  <c r="K161" i="1"/>
  <c r="BT161" i="1"/>
  <c r="CB162" i="1"/>
  <c r="I162" i="1"/>
  <c r="J162" i="1"/>
  <c r="K162" i="1"/>
  <c r="CB163" i="1"/>
  <c r="I163" i="1"/>
  <c r="J163" i="1"/>
  <c r="K163" i="1"/>
  <c r="BT163" i="1"/>
  <c r="CB164" i="1"/>
  <c r="O164" i="1"/>
  <c r="I164" i="1"/>
  <c r="J164" i="1"/>
  <c r="K164" i="1"/>
  <c r="CB165" i="1"/>
  <c r="O165" i="1"/>
  <c r="I165" i="1"/>
  <c r="J165" i="1"/>
  <c r="K165" i="1"/>
  <c r="BT165" i="1"/>
  <c r="CB166" i="1"/>
  <c r="I166" i="1"/>
  <c r="J166" i="1"/>
  <c r="K166" i="1"/>
  <c r="CB167" i="1"/>
  <c r="I167" i="1"/>
  <c r="J167" i="1"/>
  <c r="K167" i="1"/>
  <c r="BT167" i="1"/>
  <c r="CB168" i="1"/>
  <c r="O168" i="1"/>
  <c r="I168" i="1"/>
  <c r="J168" i="1"/>
  <c r="K168" i="1"/>
  <c r="CB169" i="1"/>
  <c r="O169" i="1"/>
  <c r="I169" i="1"/>
  <c r="J169" i="1"/>
  <c r="K169" i="1"/>
  <c r="CB170" i="1"/>
  <c r="I170" i="1"/>
  <c r="J170" i="1"/>
  <c r="K170" i="1"/>
  <c r="CB171" i="1"/>
  <c r="O171" i="1"/>
  <c r="I171" i="1"/>
  <c r="J171" i="1"/>
  <c r="K171" i="1"/>
  <c r="CB172" i="1"/>
  <c r="I172" i="1"/>
  <c r="J172" i="1"/>
  <c r="K172" i="1"/>
  <c r="CB173" i="1"/>
  <c r="I173" i="1"/>
  <c r="J173" i="1"/>
  <c r="K173" i="1"/>
  <c r="CB174" i="1"/>
  <c r="O174" i="1"/>
  <c r="I174" i="1"/>
  <c r="J174" i="1"/>
  <c r="K174" i="1"/>
  <c r="CB175" i="1"/>
  <c r="O175" i="1"/>
  <c r="I175" i="1"/>
  <c r="J175" i="1"/>
  <c r="K175" i="1"/>
  <c r="BT175" i="1"/>
  <c r="CB176" i="1"/>
  <c r="I176" i="1"/>
  <c r="J176" i="1"/>
  <c r="K176" i="1"/>
  <c r="CB177" i="1"/>
  <c r="O177" i="1"/>
  <c r="I177" i="1"/>
  <c r="J177" i="1"/>
  <c r="K177" i="1"/>
  <c r="CB178" i="1"/>
  <c r="I178" i="1"/>
  <c r="J178" i="1"/>
  <c r="K178" i="1"/>
  <c r="CB179" i="1"/>
  <c r="O179" i="1"/>
  <c r="I179" i="1"/>
  <c r="J179" i="1"/>
  <c r="K179" i="1"/>
  <c r="CB180" i="1"/>
  <c r="I180" i="1"/>
  <c r="J180" i="1"/>
  <c r="K180" i="1"/>
  <c r="CB181" i="1"/>
  <c r="I181" i="1"/>
  <c r="J181" i="1"/>
  <c r="K181" i="1"/>
  <c r="CB182" i="1"/>
  <c r="O182" i="1"/>
  <c r="I182" i="1"/>
  <c r="J182" i="1"/>
  <c r="K182" i="1"/>
  <c r="BT182" i="1"/>
  <c r="CB183" i="1"/>
  <c r="O183" i="1"/>
  <c r="I183" i="1"/>
  <c r="J183" i="1"/>
  <c r="K183" i="1"/>
  <c r="BT183" i="1"/>
  <c r="CB184" i="1"/>
  <c r="I184" i="1"/>
  <c r="J184" i="1"/>
  <c r="K184" i="1"/>
  <c r="CB185" i="1"/>
  <c r="O185" i="1"/>
  <c r="I185" i="1"/>
  <c r="J185" i="1"/>
  <c r="K185" i="1"/>
  <c r="CB186" i="1"/>
  <c r="O186" i="1"/>
  <c r="I186" i="1"/>
  <c r="J186" i="1"/>
  <c r="K186" i="1"/>
  <c r="BT186" i="1"/>
  <c r="CB187" i="1"/>
  <c r="O187" i="1"/>
  <c r="I187" i="1"/>
  <c r="J187" i="1"/>
  <c r="K187" i="1"/>
  <c r="CB188" i="1"/>
  <c r="I188" i="1"/>
  <c r="J188" i="1"/>
  <c r="K188" i="1"/>
  <c r="BT188" i="1"/>
  <c r="CB189" i="1"/>
  <c r="O189" i="1"/>
  <c r="I189" i="1"/>
  <c r="J189" i="1"/>
  <c r="K189" i="1"/>
  <c r="CB190" i="1"/>
  <c r="I190" i="1"/>
  <c r="J190" i="1"/>
  <c r="K190" i="1"/>
  <c r="CB191" i="1"/>
  <c r="I191" i="1"/>
  <c r="J191" i="1"/>
  <c r="K191" i="1"/>
  <c r="BT191" i="1"/>
  <c r="CB192" i="1"/>
  <c r="O192" i="1"/>
  <c r="I192" i="1"/>
  <c r="J192" i="1"/>
  <c r="K192" i="1"/>
  <c r="BT192" i="1"/>
  <c r="CB193" i="1"/>
  <c r="O193" i="1"/>
  <c r="I193" i="1"/>
  <c r="J193" i="1"/>
  <c r="K193" i="1"/>
  <c r="CB194" i="1"/>
  <c r="I194" i="1"/>
  <c r="J194" i="1"/>
  <c r="K194" i="1"/>
  <c r="CB195" i="1"/>
  <c r="O195" i="1"/>
  <c r="I195" i="1"/>
  <c r="J195" i="1"/>
  <c r="K195" i="1"/>
  <c r="CB196" i="1"/>
  <c r="I196" i="1"/>
  <c r="J196" i="1"/>
  <c r="K196" i="1"/>
  <c r="CB197" i="1"/>
  <c r="O197" i="1"/>
  <c r="I197" i="1"/>
  <c r="J197" i="1"/>
  <c r="K197" i="1"/>
  <c r="CB198" i="1"/>
  <c r="I198" i="1"/>
  <c r="J198" i="1"/>
  <c r="K198" i="1"/>
  <c r="BT198" i="1"/>
  <c r="CB199" i="1"/>
  <c r="I199" i="1"/>
  <c r="J199" i="1"/>
  <c r="K199" i="1"/>
  <c r="CB200" i="1"/>
  <c r="O200" i="1"/>
  <c r="I200" i="1"/>
  <c r="J200" i="1"/>
  <c r="K200" i="1"/>
  <c r="BT200" i="1"/>
  <c r="CB201" i="1"/>
  <c r="O201" i="1"/>
  <c r="I201" i="1"/>
  <c r="J201" i="1"/>
  <c r="K201" i="1"/>
  <c r="BT201" i="1"/>
  <c r="CB202" i="1"/>
  <c r="O202" i="1"/>
  <c r="I202" i="1"/>
  <c r="J202" i="1"/>
  <c r="K202" i="1"/>
  <c r="CB203" i="1"/>
  <c r="I203" i="1"/>
  <c r="J203" i="1"/>
  <c r="K203" i="1"/>
  <c r="BT203" i="1"/>
  <c r="CB204" i="1"/>
  <c r="O204" i="1"/>
  <c r="I204" i="1"/>
  <c r="J204" i="1"/>
  <c r="K204" i="1"/>
  <c r="CB205" i="1"/>
  <c r="O205" i="1"/>
  <c r="I205" i="1"/>
  <c r="J205" i="1"/>
  <c r="K205" i="1"/>
  <c r="BT205" i="1"/>
  <c r="CB206" i="1"/>
  <c r="O206" i="1"/>
  <c r="I206" i="1"/>
  <c r="J206" i="1"/>
  <c r="K206" i="1"/>
  <c r="CB207" i="1"/>
  <c r="O207" i="1"/>
  <c r="I207" i="1"/>
  <c r="J207" i="1"/>
  <c r="K207" i="1"/>
  <c r="CB208" i="1"/>
  <c r="O208" i="1"/>
  <c r="I208" i="1"/>
  <c r="J208" i="1"/>
  <c r="K208" i="1"/>
  <c r="BT208" i="1"/>
  <c r="CB209" i="1"/>
  <c r="O209" i="1"/>
  <c r="I209" i="1"/>
  <c r="J209" i="1"/>
  <c r="K209" i="1"/>
  <c r="CB210" i="1"/>
  <c r="O210" i="1"/>
  <c r="I210" i="1"/>
  <c r="J210" i="1"/>
  <c r="K210" i="1"/>
  <c r="BT210" i="1"/>
  <c r="CB211" i="1"/>
  <c r="O211" i="1"/>
  <c r="I211" i="1"/>
  <c r="J211" i="1"/>
  <c r="K211" i="1"/>
  <c r="CB212" i="1"/>
  <c r="O212" i="1"/>
  <c r="I212" i="1"/>
  <c r="J212" i="1"/>
  <c r="K212" i="1"/>
  <c r="BT212" i="1"/>
  <c r="CB213" i="1"/>
  <c r="O213" i="1"/>
  <c r="I213" i="1"/>
  <c r="J213" i="1"/>
  <c r="K213" i="1"/>
  <c r="CB214" i="1"/>
  <c r="O214" i="1"/>
  <c r="I214" i="1"/>
  <c r="J214" i="1"/>
  <c r="K214" i="1"/>
  <c r="CB215" i="1"/>
  <c r="I215" i="1"/>
  <c r="J215" i="1"/>
  <c r="K215" i="1"/>
  <c r="CB216" i="1"/>
  <c r="O216" i="1"/>
  <c r="I216" i="1"/>
  <c r="J216" i="1"/>
  <c r="K216" i="1"/>
  <c r="CB217" i="1"/>
  <c r="I217" i="1"/>
  <c r="J217" i="1"/>
  <c r="K217" i="1"/>
  <c r="BT217" i="1"/>
  <c r="CB218" i="1"/>
  <c r="I218" i="1"/>
  <c r="J218" i="1"/>
  <c r="K218" i="1"/>
  <c r="CB219" i="1"/>
  <c r="O219" i="1"/>
  <c r="I219" i="1"/>
  <c r="J219" i="1"/>
  <c r="K219" i="1"/>
  <c r="BT219" i="1"/>
  <c r="CB220" i="1"/>
  <c r="O220" i="1"/>
  <c r="I220" i="1"/>
  <c r="J220" i="1"/>
  <c r="K220" i="1"/>
  <c r="CB221" i="1"/>
  <c r="I221" i="1"/>
  <c r="J221" i="1"/>
  <c r="K221" i="1"/>
  <c r="CB222" i="1"/>
  <c r="O222" i="1"/>
  <c r="I222" i="1"/>
  <c r="J222" i="1"/>
  <c r="K222" i="1"/>
  <c r="CB223" i="1"/>
  <c r="O223" i="1"/>
  <c r="I223" i="1"/>
  <c r="J223" i="1"/>
  <c r="K223" i="1"/>
  <c r="CB224" i="1"/>
  <c r="O224" i="1"/>
  <c r="I224" i="1"/>
  <c r="J224" i="1"/>
  <c r="K224" i="1"/>
  <c r="CB225" i="1"/>
  <c r="I225" i="1"/>
  <c r="J225" i="1"/>
  <c r="K225" i="1"/>
  <c r="BT225" i="1"/>
  <c r="CB226" i="1"/>
  <c r="I226" i="1"/>
  <c r="J226" i="1"/>
  <c r="K226" i="1"/>
  <c r="CB227" i="1"/>
  <c r="O227" i="1"/>
  <c r="I227" i="1"/>
  <c r="J227" i="1"/>
  <c r="K227" i="1"/>
  <c r="BT227" i="1"/>
  <c r="CB228" i="1"/>
  <c r="O228" i="1"/>
  <c r="I228" i="1"/>
  <c r="J228" i="1"/>
  <c r="K228" i="1"/>
  <c r="CB230" i="1"/>
  <c r="I230" i="1"/>
  <c r="J230" i="1"/>
  <c r="K230" i="1"/>
  <c r="BT230" i="1"/>
  <c r="CB231" i="1"/>
  <c r="O231" i="1"/>
  <c r="I231" i="1"/>
  <c r="J231" i="1"/>
  <c r="K231" i="1"/>
  <c r="CB232" i="1"/>
  <c r="O232" i="1"/>
  <c r="I232" i="1"/>
  <c r="J232" i="1"/>
  <c r="K232" i="1"/>
  <c r="CB233" i="1"/>
  <c r="O233" i="1"/>
  <c r="I233" i="1"/>
  <c r="J233" i="1"/>
  <c r="K233" i="1"/>
  <c r="CB234" i="1"/>
  <c r="O234" i="1"/>
  <c r="I234" i="1"/>
  <c r="J234" i="1"/>
  <c r="K234" i="1"/>
  <c r="BT234" i="1"/>
  <c r="CB235" i="1"/>
  <c r="I235" i="1"/>
  <c r="J235" i="1"/>
  <c r="K235" i="1"/>
  <c r="BT235" i="1"/>
  <c r="CB236" i="1"/>
  <c r="I236" i="1"/>
  <c r="J236" i="1"/>
  <c r="K236" i="1"/>
  <c r="CB237" i="1"/>
  <c r="O237" i="1"/>
  <c r="I237" i="1"/>
  <c r="J237" i="1"/>
  <c r="K237" i="1"/>
  <c r="CB238" i="1"/>
  <c r="O238" i="1"/>
  <c r="I238" i="1"/>
  <c r="J238" i="1"/>
  <c r="K238" i="1"/>
  <c r="CB239" i="1"/>
  <c r="I239" i="1"/>
  <c r="J239" i="1"/>
  <c r="K239" i="1"/>
  <c r="CB240" i="1"/>
  <c r="O240" i="1"/>
  <c r="I240" i="1"/>
  <c r="J240" i="1"/>
  <c r="K240" i="1"/>
  <c r="BT240" i="1"/>
  <c r="CB241" i="1"/>
  <c r="I241" i="1"/>
  <c r="J241" i="1"/>
  <c r="K241" i="1"/>
  <c r="CB242" i="1"/>
  <c r="O242" i="1"/>
  <c r="I242" i="1"/>
  <c r="J242" i="1"/>
  <c r="K242" i="1"/>
  <c r="CB243" i="1"/>
  <c r="I243" i="1"/>
  <c r="J243" i="1"/>
  <c r="K243" i="1"/>
  <c r="BT243" i="1"/>
  <c r="CB244" i="1"/>
  <c r="I244" i="1"/>
  <c r="J244" i="1"/>
  <c r="K244" i="1"/>
  <c r="CB245" i="1"/>
  <c r="O245" i="1"/>
  <c r="I245" i="1"/>
  <c r="J245" i="1"/>
  <c r="K245" i="1"/>
  <c r="BT245" i="1"/>
  <c r="CB246" i="1"/>
  <c r="O246" i="1"/>
  <c r="I246" i="1"/>
  <c r="J246" i="1"/>
  <c r="K246" i="1"/>
  <c r="CB247" i="1"/>
  <c r="O247" i="1"/>
  <c r="I247" i="1"/>
  <c r="J247" i="1"/>
  <c r="K247" i="1"/>
  <c r="CB248" i="1"/>
  <c r="O248" i="1"/>
  <c r="I248" i="1"/>
  <c r="J248" i="1"/>
  <c r="K248" i="1"/>
  <c r="CB249" i="1"/>
  <c r="O249" i="1"/>
  <c r="I249" i="1"/>
  <c r="J249" i="1"/>
  <c r="K249" i="1"/>
  <c r="CB250" i="1"/>
  <c r="O250" i="1"/>
  <c r="I250" i="1"/>
  <c r="J250" i="1"/>
  <c r="K250" i="1"/>
  <c r="BT250" i="1"/>
  <c r="CB251" i="1"/>
  <c r="I251" i="1"/>
  <c r="J251" i="1"/>
  <c r="K251" i="1"/>
  <c r="BT251" i="1"/>
  <c r="CB252" i="1"/>
  <c r="O252" i="1"/>
  <c r="I252" i="1"/>
  <c r="J252" i="1"/>
  <c r="K252" i="1"/>
  <c r="CB253" i="1"/>
  <c r="O253" i="1"/>
  <c r="I253" i="1"/>
  <c r="J253" i="1"/>
  <c r="K253" i="1"/>
  <c r="CB254" i="1"/>
  <c r="I254" i="1"/>
  <c r="J254" i="1"/>
  <c r="K254" i="1"/>
  <c r="CB255" i="1"/>
  <c r="O255" i="1"/>
  <c r="I255" i="1"/>
  <c r="J255" i="1"/>
  <c r="K255" i="1"/>
  <c r="BT255" i="1"/>
  <c r="CB256" i="1"/>
  <c r="O256" i="1"/>
  <c r="I256" i="1"/>
  <c r="J256" i="1"/>
  <c r="K256" i="1"/>
  <c r="CB257" i="1"/>
  <c r="I257" i="1"/>
  <c r="J257" i="1"/>
  <c r="K257" i="1"/>
  <c r="BT257" i="1"/>
  <c r="CB258" i="1"/>
  <c r="O258" i="1"/>
  <c r="I258" i="1"/>
  <c r="J258" i="1"/>
  <c r="K258" i="1"/>
  <c r="CB259" i="1"/>
  <c r="I259" i="1"/>
  <c r="J259" i="1"/>
  <c r="K259" i="1"/>
  <c r="BT259" i="1"/>
  <c r="CB260" i="1"/>
  <c r="O260" i="1"/>
  <c r="I260" i="1"/>
  <c r="J260" i="1"/>
  <c r="K260" i="1"/>
  <c r="CB261" i="1"/>
  <c r="I261" i="1"/>
  <c r="J261" i="1"/>
  <c r="K261" i="1"/>
  <c r="CB262" i="1"/>
  <c r="I262" i="1"/>
  <c r="J262" i="1"/>
  <c r="K262" i="1"/>
  <c r="CB263" i="1"/>
  <c r="O263" i="1"/>
  <c r="I263" i="1"/>
  <c r="J263" i="1"/>
  <c r="K263" i="1"/>
  <c r="BT263" i="1"/>
  <c r="CB264" i="1"/>
  <c r="O264" i="1"/>
  <c r="I264" i="1"/>
  <c r="J264" i="1"/>
  <c r="K264" i="1"/>
  <c r="CB265" i="1"/>
  <c r="O265" i="1"/>
  <c r="I265" i="1"/>
  <c r="J265" i="1"/>
  <c r="K265" i="1"/>
  <c r="CB266" i="1"/>
  <c r="O266" i="1"/>
  <c r="I266" i="1"/>
  <c r="J266" i="1"/>
  <c r="K266" i="1"/>
  <c r="CB267" i="1"/>
  <c r="O267" i="1"/>
  <c r="I267" i="1"/>
  <c r="J267" i="1"/>
  <c r="K267" i="1"/>
  <c r="CB268" i="1"/>
  <c r="O268" i="1"/>
  <c r="I268" i="1"/>
  <c r="J268" i="1"/>
  <c r="K268" i="1"/>
  <c r="CB269" i="1"/>
  <c r="I269" i="1"/>
  <c r="J269" i="1"/>
  <c r="K269" i="1"/>
  <c r="CB270" i="1"/>
  <c r="O270" i="1"/>
  <c r="I270" i="1"/>
  <c r="J270" i="1"/>
  <c r="K270" i="1"/>
  <c r="CB271" i="1"/>
  <c r="I271" i="1"/>
  <c r="J271" i="1"/>
  <c r="K271" i="1"/>
  <c r="BT271" i="1"/>
  <c r="CB272" i="1"/>
  <c r="I272" i="1"/>
  <c r="J272" i="1"/>
  <c r="K272" i="1"/>
  <c r="CB273" i="1"/>
  <c r="O273" i="1"/>
  <c r="I273" i="1"/>
  <c r="J273" i="1"/>
  <c r="K273" i="1"/>
  <c r="BT273" i="1"/>
  <c r="CB274" i="1"/>
  <c r="O274" i="1"/>
  <c r="I274" i="1"/>
  <c r="J274" i="1"/>
  <c r="K274" i="1"/>
  <c r="CB275" i="1"/>
  <c r="J275" i="1"/>
  <c r="I275" i="1"/>
  <c r="K275" i="1"/>
  <c r="CB276" i="1"/>
  <c r="O276" i="1"/>
  <c r="I276" i="1"/>
  <c r="J276" i="1"/>
  <c r="K276" i="1"/>
  <c r="BT276" i="1"/>
  <c r="CB277" i="1"/>
  <c r="O277" i="1"/>
  <c r="I277" i="1"/>
  <c r="J277" i="1"/>
  <c r="K277" i="1"/>
  <c r="CB278" i="1"/>
  <c r="O278" i="1"/>
  <c r="I278" i="1"/>
  <c r="J278" i="1"/>
  <c r="K278" i="1"/>
  <c r="BT278" i="1"/>
  <c r="CB279" i="1"/>
  <c r="I279" i="1"/>
  <c r="J279" i="1"/>
  <c r="K279" i="1"/>
  <c r="BT279" i="1"/>
  <c r="CB280" i="1"/>
  <c r="I280" i="1"/>
  <c r="J280" i="1"/>
  <c r="K280" i="1"/>
  <c r="BT280" i="1"/>
  <c r="CB281" i="1"/>
  <c r="O281" i="1"/>
  <c r="I281" i="1"/>
  <c r="J281" i="1"/>
  <c r="K281" i="1"/>
  <c r="BT281" i="1"/>
  <c r="CB282" i="1"/>
  <c r="O282" i="1"/>
  <c r="I282" i="1"/>
  <c r="J282" i="1"/>
  <c r="K282" i="1"/>
  <c r="BT282" i="1"/>
  <c r="CB283" i="1"/>
  <c r="I283" i="1"/>
  <c r="J283" i="1"/>
  <c r="K283" i="1"/>
  <c r="BT283" i="1"/>
  <c r="CB284" i="1"/>
  <c r="O284" i="1"/>
  <c r="I284" i="1"/>
  <c r="J284" i="1"/>
  <c r="K284" i="1"/>
  <c r="CB285" i="1"/>
  <c r="O285" i="1"/>
  <c r="I285" i="1"/>
  <c r="J285" i="1"/>
  <c r="K285" i="1"/>
  <c r="CB286" i="1"/>
  <c r="O286" i="1"/>
  <c r="I286" i="1"/>
  <c r="J286" i="1"/>
  <c r="K286" i="1"/>
  <c r="CB287" i="1"/>
  <c r="O287" i="1"/>
  <c r="I287" i="1"/>
  <c r="J287" i="1"/>
  <c r="K287" i="1"/>
  <c r="CB288" i="1"/>
  <c r="O288" i="1"/>
  <c r="I288" i="1"/>
  <c r="J288" i="1"/>
  <c r="K288" i="1"/>
  <c r="CB289" i="1"/>
  <c r="O289" i="1"/>
  <c r="I289" i="1"/>
  <c r="J289" i="1"/>
  <c r="K289" i="1"/>
  <c r="CB290" i="1"/>
  <c r="I290" i="1"/>
  <c r="J290" i="1"/>
  <c r="K290" i="1"/>
  <c r="CB291" i="1"/>
  <c r="O291" i="1"/>
  <c r="I291" i="1"/>
  <c r="J291" i="1"/>
  <c r="K291" i="1"/>
  <c r="BT291" i="1"/>
  <c r="CB292" i="1"/>
  <c r="O292" i="1"/>
  <c r="I292" i="1"/>
  <c r="J292" i="1"/>
  <c r="K292" i="1"/>
  <c r="CB293" i="1"/>
  <c r="I293" i="1"/>
  <c r="J293" i="1"/>
  <c r="K293" i="1"/>
  <c r="CB294" i="1"/>
  <c r="O294" i="1"/>
  <c r="I294" i="1"/>
  <c r="J294" i="1"/>
  <c r="K294" i="1"/>
  <c r="BT294" i="1"/>
  <c r="BW289" i="1"/>
  <c r="BW288" i="1"/>
  <c r="BW287" i="1"/>
  <c r="BW293" i="1"/>
  <c r="EX11" i="1"/>
  <c r="EX12" i="1"/>
  <c r="EX13" i="1"/>
  <c r="EW32" i="1"/>
  <c r="CM172" i="1"/>
  <c r="BW292" i="1"/>
  <c r="FM11" i="1"/>
  <c r="BW290" i="1"/>
  <c r="FM17" i="1"/>
  <c r="FM18" i="1"/>
  <c r="B287" i="1"/>
  <c r="B288" i="1"/>
  <c r="B289" i="1"/>
  <c r="B290" i="1"/>
  <c r="B291" i="1"/>
  <c r="B292" i="1"/>
  <c r="B293" i="1"/>
  <c r="B294" i="1"/>
  <c r="B295" i="1"/>
  <c r="I296" i="1"/>
  <c r="J296" i="1"/>
  <c r="K296" i="1"/>
  <c r="I297" i="1"/>
  <c r="J297" i="1"/>
  <c r="K297" i="1"/>
  <c r="I298" i="1"/>
  <c r="J298" i="1"/>
  <c r="K298" i="1"/>
  <c r="I299" i="1"/>
  <c r="J299" i="1"/>
  <c r="K299" i="1"/>
  <c r="I300" i="1"/>
  <c r="J300" i="1"/>
  <c r="K300" i="1"/>
  <c r="I301" i="1"/>
  <c r="J301" i="1"/>
  <c r="K301" i="1"/>
  <c r="I302" i="1"/>
  <c r="J302" i="1"/>
  <c r="K302" i="1"/>
  <c r="I303" i="1"/>
  <c r="J303" i="1"/>
  <c r="K303" i="1"/>
  <c r="H30" i="5"/>
  <c r="BW285" i="1"/>
  <c r="BW286" i="1"/>
  <c r="B285" i="1"/>
  <c r="B286" i="1"/>
  <c r="BW284" i="1"/>
  <c r="B283" i="1"/>
  <c r="B284" i="1"/>
  <c r="BW277" i="1"/>
  <c r="B277" i="1"/>
  <c r="B278" i="1"/>
  <c r="B279" i="1"/>
  <c r="B280" i="1"/>
  <c r="B281" i="1"/>
  <c r="B282" i="1"/>
  <c r="H29" i="5"/>
  <c r="BW275" i="1"/>
  <c r="B275" i="1"/>
  <c r="B276" i="1"/>
  <c r="BW5" i="1"/>
  <c r="BW6" i="1"/>
  <c r="BW10" i="1"/>
  <c r="BW15" i="1"/>
  <c r="BW16" i="1"/>
  <c r="BW17" i="1"/>
  <c r="BW19" i="1"/>
  <c r="BW20" i="1"/>
  <c r="BW21" i="1"/>
  <c r="BW22" i="1"/>
  <c r="BW23" i="1"/>
  <c r="BW24" i="1"/>
  <c r="BW25" i="1"/>
  <c r="BW26" i="1"/>
  <c r="BW27" i="1"/>
  <c r="BW28" i="1"/>
  <c r="BW29" i="1"/>
  <c r="BW30" i="1"/>
  <c r="BW31" i="1"/>
  <c r="BW34" i="1"/>
  <c r="BW36" i="1"/>
  <c r="BW37" i="1"/>
  <c r="BW39" i="1"/>
  <c r="BW40" i="1"/>
  <c r="BW41" i="1"/>
  <c r="BW42" i="1"/>
  <c r="BW44" i="1"/>
  <c r="BW45" i="1"/>
  <c r="BW46" i="1"/>
  <c r="BW51" i="1"/>
  <c r="BW52" i="1"/>
  <c r="BW53" i="1"/>
  <c r="BW55" i="1"/>
  <c r="BW56" i="1"/>
  <c r="BW57" i="1"/>
  <c r="BW58" i="1"/>
  <c r="BW60" i="1"/>
  <c r="BW61" i="1"/>
  <c r="BW62" i="1"/>
  <c r="BW63" i="1"/>
  <c r="BW67" i="1"/>
  <c r="BW68" i="1"/>
  <c r="BW69" i="1"/>
  <c r="BW70" i="1"/>
  <c r="BW71" i="1"/>
  <c r="BW74" i="1"/>
  <c r="BW75" i="1"/>
  <c r="BW76" i="1"/>
  <c r="BW77" i="1"/>
  <c r="BW79" i="1"/>
  <c r="BW82" i="1"/>
  <c r="BW83" i="1"/>
  <c r="BW84" i="1"/>
  <c r="BW85" i="1"/>
  <c r="BW86" i="1"/>
  <c r="BW87" i="1"/>
  <c r="BW88" i="1"/>
  <c r="BW89" i="1"/>
  <c r="BW90" i="1"/>
  <c r="BW91" i="1"/>
  <c r="BW94" i="1"/>
  <c r="BW95" i="1"/>
  <c r="BW96" i="1"/>
  <c r="BW98" i="1"/>
  <c r="BW99" i="1"/>
  <c r="BW101" i="1"/>
  <c r="BW102" i="1"/>
  <c r="BW103" i="1"/>
  <c r="BW104" i="1"/>
  <c r="BW105" i="1"/>
  <c r="BW107" i="1"/>
  <c r="BW109" i="1"/>
  <c r="BW110" i="1"/>
  <c r="BW111" i="1"/>
  <c r="BW112" i="1"/>
  <c r="BW113" i="1"/>
  <c r="BW114" i="1"/>
  <c r="BW115" i="1"/>
  <c r="BW117" i="1"/>
  <c r="BW118" i="1"/>
  <c r="BW119" i="1"/>
  <c r="BW120" i="1"/>
  <c r="BW122" i="1"/>
  <c r="BW124" i="1"/>
  <c r="BW125" i="1"/>
  <c r="BW127" i="1"/>
  <c r="BW128" i="1"/>
  <c r="BW129" i="1"/>
  <c r="BW132" i="1"/>
  <c r="BW133" i="1"/>
  <c r="BW134" i="1"/>
  <c r="BW135" i="1"/>
  <c r="BW136" i="1"/>
  <c r="BW138" i="1"/>
  <c r="BW139" i="1"/>
  <c r="BW140" i="1"/>
  <c r="BW142" i="1"/>
  <c r="BW143" i="1"/>
  <c r="BW145" i="1"/>
  <c r="BW147" i="1"/>
  <c r="BW149" i="1"/>
  <c r="BW150" i="1"/>
  <c r="BW151" i="1"/>
  <c r="BW152" i="1"/>
  <c r="BW153" i="1"/>
  <c r="BW155" i="1"/>
  <c r="BW156" i="1"/>
  <c r="BW157" i="1"/>
  <c r="BW160" i="1"/>
  <c r="BW162" i="1"/>
  <c r="BW164" i="1"/>
  <c r="BW166" i="1"/>
  <c r="BW168" i="1"/>
  <c r="BW169" i="1"/>
  <c r="BW170" i="1"/>
  <c r="BW171" i="1"/>
  <c r="BW172" i="1"/>
  <c r="BW173" i="1"/>
  <c r="BW174" i="1"/>
  <c r="BW176" i="1"/>
  <c r="BW177" i="1"/>
  <c r="BW178" i="1"/>
  <c r="BW179" i="1"/>
  <c r="BW180" i="1"/>
  <c r="BW181" i="1"/>
  <c r="BW184" i="1"/>
  <c r="BW185" i="1"/>
  <c r="BW187" i="1"/>
  <c r="BW189" i="1"/>
  <c r="BW190" i="1"/>
  <c r="BW193" i="1"/>
  <c r="BW194" i="1"/>
  <c r="BW195" i="1"/>
  <c r="BW196" i="1"/>
  <c r="BW197" i="1"/>
  <c r="BW199" i="1"/>
  <c r="BW202" i="1"/>
  <c r="BW204" i="1"/>
  <c r="BW206" i="1"/>
  <c r="BW207" i="1"/>
  <c r="BW209" i="1"/>
  <c r="BW211" i="1"/>
  <c r="BW213" i="1"/>
  <c r="BW214" i="1"/>
  <c r="BW215" i="1"/>
  <c r="BW216" i="1"/>
  <c r="BW218" i="1"/>
  <c r="BW220" i="1"/>
  <c r="BW221" i="1"/>
  <c r="BW222" i="1"/>
  <c r="BW223" i="1"/>
  <c r="BW224" i="1"/>
  <c r="BW226" i="1"/>
  <c r="BW228" i="1"/>
  <c r="BW229" i="1"/>
  <c r="BW231" i="1"/>
  <c r="BW232" i="1"/>
  <c r="BW233" i="1"/>
  <c r="BW236" i="1"/>
  <c r="BW237" i="1"/>
  <c r="BW238" i="1"/>
  <c r="BW239" i="1"/>
  <c r="BW241" i="1"/>
  <c r="BW242" i="1"/>
  <c r="BW244" i="1"/>
  <c r="BW246" i="1"/>
  <c r="BW247" i="1"/>
  <c r="BW248" i="1"/>
  <c r="BW249" i="1"/>
  <c r="BW252" i="1"/>
  <c r="BW253" i="1"/>
  <c r="BW254" i="1"/>
  <c r="BW256" i="1"/>
  <c r="BW258" i="1"/>
  <c r="BW260" i="1"/>
  <c r="BW261" i="1"/>
  <c r="BW262" i="1"/>
  <c r="BW264" i="1"/>
  <c r="BW265" i="1"/>
  <c r="BW266" i="1"/>
  <c r="BW267" i="1"/>
  <c r="BW268" i="1"/>
  <c r="BW269" i="1"/>
  <c r="BW270" i="1"/>
  <c r="BW272" i="1"/>
  <c r="BW274" i="1"/>
  <c r="B269" i="1"/>
  <c r="B270" i="1"/>
  <c r="B271" i="1"/>
  <c r="B272" i="1"/>
  <c r="B273" i="1"/>
  <c r="B274" i="1"/>
  <c r="B267" i="1"/>
  <c r="B268" i="1"/>
  <c r="B265" i="1"/>
  <c r="B236" i="1"/>
  <c r="B266" i="1"/>
  <c r="B4" i="1"/>
  <c r="B5" i="1"/>
  <c r="B8" i="1"/>
  <c r="B9" i="1"/>
  <c r="B12" i="1"/>
  <c r="B13" i="1"/>
  <c r="B16" i="1"/>
  <c r="B17" i="1"/>
  <c r="B20" i="1"/>
  <c r="B21" i="1"/>
  <c r="B24" i="1"/>
  <c r="B25" i="1"/>
  <c r="B28" i="1"/>
  <c r="B29" i="1"/>
  <c r="B32" i="1"/>
  <c r="B33" i="1"/>
  <c r="B36" i="1"/>
  <c r="B37" i="1"/>
  <c r="B40" i="1"/>
  <c r="B41" i="1"/>
  <c r="B44" i="1"/>
  <c r="B45" i="1"/>
  <c r="B48" i="1"/>
  <c r="B49" i="1"/>
  <c r="B52" i="1"/>
  <c r="B53" i="1"/>
  <c r="B56" i="1"/>
  <c r="B57" i="1"/>
  <c r="B60" i="1"/>
  <c r="B61" i="1"/>
  <c r="B64" i="1"/>
  <c r="B65" i="1"/>
  <c r="B68" i="1"/>
  <c r="B69" i="1"/>
  <c r="B72" i="1"/>
  <c r="B73" i="1"/>
  <c r="B76" i="1"/>
  <c r="B77" i="1"/>
  <c r="B79" i="1"/>
  <c r="B80" i="1"/>
  <c r="B82" i="1"/>
  <c r="B83" i="1"/>
  <c r="B85" i="1"/>
  <c r="B86" i="1"/>
  <c r="B88" i="1"/>
  <c r="B89" i="1"/>
  <c r="B91" i="1"/>
  <c r="B92" i="1"/>
  <c r="B94" i="1"/>
  <c r="B95" i="1"/>
  <c r="B97" i="1"/>
  <c r="B98" i="1"/>
  <c r="B100" i="1"/>
  <c r="B101" i="1"/>
  <c r="B206" i="1"/>
  <c r="B207" i="1"/>
  <c r="B208" i="1"/>
  <c r="B209" i="1"/>
  <c r="B210" i="1"/>
  <c r="B211" i="1"/>
  <c r="B212" i="1"/>
  <c r="B213" i="1"/>
  <c r="B214" i="1"/>
  <c r="B6" i="1"/>
  <c r="B10" i="1"/>
  <c r="B14" i="1"/>
  <c r="B18" i="1"/>
  <c r="B22" i="1"/>
  <c r="B26" i="1"/>
  <c r="B30" i="1"/>
  <c r="B34" i="1"/>
  <c r="B38" i="1"/>
  <c r="B109" i="1"/>
  <c r="B111" i="1"/>
  <c r="B113" i="1"/>
  <c r="B119" i="1"/>
  <c r="B124" i="1"/>
  <c r="B128" i="1"/>
  <c r="B133" i="1"/>
  <c r="B136" i="1"/>
  <c r="B145" i="1"/>
  <c r="B150" i="1"/>
  <c r="B156" i="1"/>
  <c r="B165" i="1"/>
  <c r="B171" i="1"/>
  <c r="B177" i="1"/>
  <c r="B182" i="1"/>
  <c r="B187" i="1"/>
  <c r="B189" i="1"/>
  <c r="B200" i="1"/>
  <c r="B220" i="1"/>
  <c r="B222" i="1"/>
  <c r="B227" i="1"/>
  <c r="B234" i="1"/>
  <c r="B240" i="1"/>
  <c r="B242" i="1"/>
  <c r="B252" i="1"/>
  <c r="B258" i="1"/>
  <c r="B264" i="1"/>
  <c r="B42" i="1"/>
  <c r="B46" i="1"/>
  <c r="B50" i="1"/>
  <c r="B54" i="1"/>
  <c r="B58" i="1"/>
  <c r="B62" i="1"/>
  <c r="B66" i="1"/>
  <c r="B70" i="1"/>
  <c r="B74" i="1"/>
  <c r="B104" i="1"/>
  <c r="B106" i="1"/>
  <c r="B116" i="1"/>
  <c r="B121" i="1"/>
  <c r="B126" i="1"/>
  <c r="B134" i="1"/>
  <c r="B138" i="1"/>
  <c r="B141" i="1"/>
  <c r="B143" i="1"/>
  <c r="B151" i="1"/>
  <c r="B157" i="1"/>
  <c r="B159" i="1"/>
  <c r="B164" i="1"/>
  <c r="B174" i="1"/>
  <c r="B183" i="1"/>
  <c r="B192" i="1"/>
  <c r="B195" i="1"/>
  <c r="B197" i="1"/>
  <c r="B219" i="1"/>
  <c r="B228" i="1"/>
  <c r="B232" i="1"/>
  <c r="B238" i="1"/>
  <c r="B245" i="1"/>
  <c r="B250" i="1"/>
  <c r="B256" i="1"/>
  <c r="B260" i="1"/>
  <c r="B78" i="1"/>
  <c r="B81" i="1"/>
  <c r="B84" i="1"/>
  <c r="B87" i="1"/>
  <c r="B90" i="1"/>
  <c r="B93" i="1"/>
  <c r="B96" i="1"/>
  <c r="B99" i="1"/>
  <c r="B102" i="1"/>
  <c r="B107" i="1"/>
  <c r="B114" i="1"/>
  <c r="B117" i="1"/>
  <c r="B122" i="1"/>
  <c r="B129" i="1"/>
  <c r="B139" i="1"/>
  <c r="B146" i="1"/>
  <c r="B153" i="1"/>
  <c r="B161" i="1"/>
  <c r="B168" i="1"/>
  <c r="B169" i="1"/>
  <c r="B175" i="1"/>
  <c r="B179" i="1"/>
  <c r="B186" i="1"/>
  <c r="B193" i="1"/>
  <c r="B201" i="1"/>
  <c r="B204" i="1"/>
  <c r="B205" i="1"/>
  <c r="B216" i="1"/>
  <c r="B224" i="1"/>
  <c r="B231" i="1"/>
  <c r="B237" i="1"/>
  <c r="B246" i="1"/>
  <c r="B249" i="1"/>
  <c r="B255" i="1"/>
  <c r="B263" i="1"/>
  <c r="B11" i="1"/>
  <c r="B15" i="1"/>
  <c r="B19" i="1"/>
  <c r="B23" i="1"/>
  <c r="B27" i="1"/>
  <c r="B31" i="1"/>
  <c r="B35" i="1"/>
  <c r="B39" i="1"/>
  <c r="B43" i="1"/>
  <c r="B47" i="1"/>
  <c r="B51" i="1"/>
  <c r="B55" i="1"/>
  <c r="B59" i="1"/>
  <c r="B63" i="1"/>
  <c r="B67" i="1"/>
  <c r="B71" i="1"/>
  <c r="B75" i="1"/>
  <c r="B103" i="1"/>
  <c r="B105" i="1"/>
  <c r="B108" i="1"/>
  <c r="B110" i="1"/>
  <c r="B112" i="1"/>
  <c r="B115" i="1"/>
  <c r="B118" i="1"/>
  <c r="B120" i="1"/>
  <c r="B123" i="1"/>
  <c r="B125" i="1"/>
  <c r="B127" i="1"/>
  <c r="B130" i="1"/>
  <c r="B131" i="1"/>
  <c r="B132" i="1"/>
  <c r="B135" i="1"/>
  <c r="B137" i="1"/>
  <c r="B140" i="1"/>
  <c r="B142" i="1"/>
  <c r="B144" i="1"/>
  <c r="B147" i="1"/>
  <c r="B148" i="1"/>
  <c r="B149" i="1"/>
  <c r="B152" i="1"/>
  <c r="B154" i="1"/>
  <c r="B155" i="1"/>
  <c r="B158" i="1"/>
  <c r="B160" i="1"/>
  <c r="B162" i="1"/>
  <c r="B163" i="1"/>
  <c r="B166" i="1"/>
  <c r="B167" i="1"/>
  <c r="B170" i="1"/>
  <c r="B172" i="1"/>
  <c r="B173" i="1"/>
  <c r="B176" i="1"/>
  <c r="B178" i="1"/>
  <c r="B180" i="1"/>
  <c r="B181" i="1"/>
  <c r="B184" i="1"/>
  <c r="B185" i="1"/>
  <c r="B188" i="1"/>
  <c r="B190" i="1"/>
  <c r="B191" i="1"/>
  <c r="B194" i="1"/>
  <c r="B196" i="1"/>
  <c r="B198" i="1"/>
  <c r="B199" i="1"/>
  <c r="B202" i="1"/>
  <c r="B203" i="1"/>
  <c r="B215" i="1"/>
  <c r="B218" i="1"/>
  <c r="B221" i="1"/>
  <c r="B223" i="1"/>
  <c r="B225" i="1"/>
  <c r="B226" i="1"/>
  <c r="B230" i="1"/>
  <c r="B233" i="1"/>
  <c r="B235" i="1"/>
  <c r="B239" i="1"/>
  <c r="B241" i="1"/>
  <c r="B243" i="1"/>
  <c r="B244" i="1"/>
  <c r="B247" i="1"/>
  <c r="B248" i="1"/>
  <c r="B251" i="1"/>
  <c r="B253" i="1"/>
  <c r="B254" i="1"/>
  <c r="B257" i="1"/>
  <c r="B259" i="1"/>
  <c r="B261" i="1"/>
  <c r="B262" i="1"/>
  <c r="B7" i="1"/>
  <c r="Z6" i="19"/>
  <c r="AA6" i="19"/>
  <c r="AB6" i="19"/>
  <c r="Z7" i="19"/>
  <c r="AA7" i="19"/>
  <c r="AB7" i="19"/>
  <c r="Z8" i="19"/>
  <c r="AA8" i="19"/>
  <c r="AB8" i="19"/>
  <c r="Z9" i="19"/>
  <c r="AA9" i="19"/>
  <c r="AB9" i="19"/>
  <c r="Z10" i="19"/>
  <c r="AA10" i="19"/>
  <c r="AB10" i="19"/>
  <c r="Z11" i="19"/>
  <c r="AA11" i="19"/>
  <c r="AB11" i="19"/>
  <c r="Z12" i="19"/>
  <c r="AA12" i="19"/>
  <c r="AB12" i="19"/>
  <c r="Z13" i="19"/>
  <c r="AA13" i="19"/>
  <c r="AB13" i="19"/>
  <c r="Z14" i="19"/>
  <c r="AA14" i="19"/>
  <c r="AB14" i="19"/>
  <c r="Z15" i="19"/>
  <c r="AA15" i="19"/>
  <c r="AB15" i="19"/>
  <c r="Z16" i="19"/>
  <c r="AA16" i="19"/>
  <c r="AB16" i="19"/>
  <c r="Z17" i="19"/>
  <c r="AA17" i="19"/>
  <c r="AB17" i="19"/>
  <c r="Z18" i="19"/>
  <c r="AA18" i="19"/>
  <c r="AB18" i="19"/>
  <c r="Z19" i="19"/>
  <c r="AA19" i="19"/>
  <c r="AB19" i="19"/>
  <c r="Z20" i="19"/>
  <c r="AA20" i="19"/>
  <c r="AB20" i="19"/>
  <c r="Z21" i="19"/>
  <c r="AA21" i="19"/>
  <c r="AB21" i="19"/>
  <c r="T6" i="19"/>
  <c r="U6" i="19"/>
  <c r="V6" i="19"/>
  <c r="W6" i="19"/>
  <c r="X6" i="19"/>
  <c r="Y6" i="19"/>
  <c r="AC6" i="19"/>
  <c r="AD6" i="19"/>
  <c r="AE6" i="19"/>
  <c r="AF6" i="19"/>
  <c r="AG6" i="19"/>
  <c r="T7" i="19"/>
  <c r="U7" i="19"/>
  <c r="V7" i="19"/>
  <c r="W7" i="19"/>
  <c r="X7" i="19"/>
  <c r="Y7" i="19"/>
  <c r="AC7" i="19"/>
  <c r="AD7" i="19"/>
  <c r="AE7" i="19"/>
  <c r="AF7" i="19"/>
  <c r="AG7" i="19"/>
  <c r="T8" i="19"/>
  <c r="U8" i="19"/>
  <c r="V8" i="19"/>
  <c r="W8" i="19"/>
  <c r="X8" i="19"/>
  <c r="Y8" i="19"/>
  <c r="AC8" i="19"/>
  <c r="AD8" i="19"/>
  <c r="AE8" i="19"/>
  <c r="AF8" i="19"/>
  <c r="AG8" i="19"/>
  <c r="T9" i="19"/>
  <c r="U9" i="19"/>
  <c r="V9" i="19"/>
  <c r="W9" i="19"/>
  <c r="X9" i="19"/>
  <c r="Y9" i="19"/>
  <c r="AC9" i="19"/>
  <c r="AD9" i="19"/>
  <c r="AE9" i="19"/>
  <c r="AF9" i="19"/>
  <c r="AG9" i="19"/>
  <c r="T10" i="19"/>
  <c r="U10" i="19"/>
  <c r="V10" i="19"/>
  <c r="X10" i="19"/>
  <c r="Y10" i="19"/>
  <c r="AC10" i="19"/>
  <c r="AD10" i="19"/>
  <c r="AE10" i="19"/>
  <c r="AF10" i="19"/>
  <c r="AG10" i="19"/>
  <c r="T11" i="19"/>
  <c r="U11" i="19"/>
  <c r="V11" i="19"/>
  <c r="W11" i="19"/>
  <c r="X11" i="19"/>
  <c r="Y11" i="19"/>
  <c r="AC11" i="19"/>
  <c r="AD11" i="19"/>
  <c r="AE11" i="19"/>
  <c r="AF11" i="19"/>
  <c r="AG11" i="19"/>
  <c r="T12" i="19"/>
  <c r="U12" i="19"/>
  <c r="V12" i="19"/>
  <c r="W12" i="19"/>
  <c r="X12" i="19"/>
  <c r="Y12" i="19"/>
  <c r="AC12" i="19"/>
  <c r="AD12" i="19"/>
  <c r="AE12" i="19"/>
  <c r="AF12" i="19"/>
  <c r="AG12" i="19"/>
  <c r="T13" i="19"/>
  <c r="U13" i="19"/>
  <c r="V13" i="19"/>
  <c r="W13" i="19"/>
  <c r="X13" i="19"/>
  <c r="Y13" i="19"/>
  <c r="AC13" i="19"/>
  <c r="AD13" i="19"/>
  <c r="AE13" i="19"/>
  <c r="AF13" i="19"/>
  <c r="AG13" i="19"/>
  <c r="T14" i="19"/>
  <c r="U14" i="19"/>
  <c r="V14" i="19"/>
  <c r="W14" i="19"/>
  <c r="X14" i="19"/>
  <c r="Y14" i="19"/>
  <c r="AC14" i="19"/>
  <c r="AD14" i="19"/>
  <c r="AE14" i="19"/>
  <c r="AF14" i="19"/>
  <c r="AG14" i="19"/>
  <c r="T15" i="19"/>
  <c r="U15" i="19"/>
  <c r="V15" i="19"/>
  <c r="W15" i="19"/>
  <c r="X15" i="19"/>
  <c r="Y15" i="19"/>
  <c r="AC15" i="19"/>
  <c r="AD15" i="19"/>
  <c r="AE15" i="19"/>
  <c r="AF15" i="19"/>
  <c r="AG15" i="19"/>
  <c r="T16" i="19"/>
  <c r="U16" i="19"/>
  <c r="V16" i="19"/>
  <c r="W16" i="19"/>
  <c r="X16" i="19"/>
  <c r="Y16" i="19"/>
  <c r="AC16" i="19"/>
  <c r="AD16" i="19"/>
  <c r="AE16" i="19"/>
  <c r="AF16" i="19"/>
  <c r="AG16" i="19"/>
  <c r="T17" i="19"/>
  <c r="U17" i="19"/>
  <c r="V17" i="19"/>
  <c r="W17" i="19"/>
  <c r="X17" i="19"/>
  <c r="Y17" i="19"/>
  <c r="AC17" i="19"/>
  <c r="AD17" i="19"/>
  <c r="AE17" i="19"/>
  <c r="AF17" i="19"/>
  <c r="AG17" i="19"/>
  <c r="T18" i="19"/>
  <c r="U18" i="19"/>
  <c r="V18" i="19"/>
  <c r="W18" i="19"/>
  <c r="X18" i="19"/>
  <c r="Y18" i="19"/>
  <c r="AC18" i="19"/>
  <c r="AD18" i="19"/>
  <c r="AE18" i="19"/>
  <c r="AF18" i="19"/>
  <c r="AG18" i="19"/>
  <c r="T19" i="19"/>
  <c r="U19" i="19"/>
  <c r="V19" i="19"/>
  <c r="W19" i="19"/>
  <c r="X19" i="19"/>
  <c r="Y19" i="19"/>
  <c r="AC19" i="19"/>
  <c r="AD19" i="19"/>
  <c r="AE19" i="19"/>
  <c r="AF19" i="19"/>
  <c r="AG19" i="19"/>
  <c r="T20" i="19"/>
  <c r="U20" i="19"/>
  <c r="V20" i="19"/>
  <c r="W20" i="19"/>
  <c r="X20" i="19"/>
  <c r="Y20" i="19"/>
  <c r="AC20" i="19"/>
  <c r="AD20" i="19"/>
  <c r="AE20" i="19"/>
  <c r="AF20" i="19"/>
  <c r="AG20" i="19"/>
  <c r="T21" i="19"/>
  <c r="U21" i="19"/>
  <c r="V21" i="19"/>
  <c r="W21" i="19"/>
  <c r="X21" i="19"/>
  <c r="Y21" i="19"/>
  <c r="AC21" i="19"/>
  <c r="AD21" i="19"/>
  <c r="AE21" i="19"/>
  <c r="AF21" i="19"/>
  <c r="AG21" i="19"/>
  <c r="S7" i="19"/>
  <c r="S8" i="19"/>
  <c r="S9" i="19"/>
  <c r="S10" i="19"/>
  <c r="S11" i="19"/>
  <c r="S12" i="19"/>
  <c r="S13" i="19"/>
  <c r="S14" i="19"/>
  <c r="S15" i="19"/>
  <c r="S16" i="19"/>
  <c r="S17" i="19"/>
  <c r="S18" i="19"/>
  <c r="S19" i="19"/>
  <c r="S20" i="19"/>
  <c r="S21" i="19"/>
  <c r="CM154" i="1"/>
  <c r="EW63" i="1"/>
  <c r="FJ5" i="1"/>
  <c r="H4" i="5"/>
  <c r="Z3" i="5"/>
  <c r="CU576" i="1" l="1"/>
  <c r="CX576" i="1" s="1"/>
  <c r="CU535" i="1"/>
  <c r="CU520" i="1"/>
  <c r="CX520" i="1" s="1"/>
  <c r="CU512" i="1"/>
  <c r="CX512" i="1" s="1"/>
  <c r="CU480" i="1"/>
  <c r="CU476" i="1"/>
  <c r="CU454" i="1"/>
  <c r="CU408" i="1"/>
  <c r="CX408" i="1" s="1"/>
  <c r="CU397" i="1"/>
  <c r="CU448" i="1"/>
  <c r="CU388" i="1"/>
  <c r="CU352" i="1"/>
  <c r="CX352" i="1" s="1"/>
  <c r="CU338" i="1"/>
  <c r="CX338" i="1" s="1"/>
  <c r="EB526" i="1"/>
  <c r="EB598" i="1"/>
  <c r="CR172" i="1"/>
  <c r="CQ172" i="1"/>
  <c r="CP172" i="1"/>
  <c r="CP154" i="1"/>
  <c r="CR154" i="1"/>
  <c r="CQ154" i="1"/>
  <c r="CR161" i="1"/>
  <c r="CR286" i="1"/>
  <c r="CW286" i="1" s="1"/>
  <c r="CY286" i="1" s="1"/>
  <c r="CP286" i="1"/>
  <c r="CQ286" i="1"/>
  <c r="CR281" i="1"/>
  <c r="CW576" i="1"/>
  <c r="CY576" i="1" s="1"/>
  <c r="EC567" i="1"/>
  <c r="EE567" i="1" s="1"/>
  <c r="EC539" i="1"/>
  <c r="EE539" i="1" s="1"/>
  <c r="O31" i="5"/>
  <c r="O32" i="5"/>
  <c r="O19" i="5"/>
  <c r="O18" i="5"/>
  <c r="O17" i="5"/>
  <c r="O16" i="5"/>
  <c r="O3" i="5"/>
  <c r="O26" i="5"/>
  <c r="O15" i="5"/>
  <c r="O14" i="5"/>
  <c r="O30" i="5"/>
  <c r="O13" i="5"/>
  <c r="O29" i="5"/>
  <c r="O12" i="5"/>
  <c r="O28" i="5"/>
  <c r="O11" i="5"/>
  <c r="O27" i="5"/>
  <c r="O10" i="5"/>
  <c r="O9" i="5"/>
  <c r="O25" i="5"/>
  <c r="O8" i="5"/>
  <c r="O24" i="5"/>
  <c r="O7" i="5"/>
  <c r="O23" i="5"/>
  <c r="O6" i="5"/>
  <c r="O22" i="5"/>
  <c r="O5" i="5"/>
  <c r="O21" i="5"/>
  <c r="O4" i="5"/>
  <c r="O20" i="5"/>
  <c r="T31" i="5"/>
  <c r="T32" i="5"/>
  <c r="T8" i="5"/>
  <c r="T24" i="5"/>
  <c r="T7" i="5"/>
  <c r="T23" i="5"/>
  <c r="AP607" i="1" s="1"/>
  <c r="T28" i="5"/>
  <c r="T6" i="5"/>
  <c r="AP601" i="1" s="1"/>
  <c r="T22" i="5"/>
  <c r="T30" i="5"/>
  <c r="AP602" i="1" s="1"/>
  <c r="T5" i="5"/>
  <c r="AP606" i="1" s="1"/>
  <c r="T21" i="5"/>
  <c r="AP604" i="1" s="1"/>
  <c r="T4" i="5"/>
  <c r="T20" i="5"/>
  <c r="AP583" i="1" s="1"/>
  <c r="T19" i="5"/>
  <c r="T18" i="5"/>
  <c r="T17" i="5"/>
  <c r="T16" i="5"/>
  <c r="T3" i="5"/>
  <c r="T15" i="5"/>
  <c r="AP599" i="1" s="1"/>
  <c r="T14" i="5"/>
  <c r="AP591" i="1" s="1"/>
  <c r="T27" i="5"/>
  <c r="AP587" i="1" s="1"/>
  <c r="T13" i="5"/>
  <c r="T29" i="5"/>
  <c r="AP590" i="1" s="1"/>
  <c r="T12" i="5"/>
  <c r="T11" i="5"/>
  <c r="T10" i="5"/>
  <c r="AP593" i="1" s="1"/>
  <c r="T26" i="5"/>
  <c r="T9" i="5"/>
  <c r="T25" i="5"/>
  <c r="AP566" i="1" s="1"/>
  <c r="N32" i="5"/>
  <c r="N31" i="5"/>
  <c r="N18" i="5"/>
  <c r="N17" i="5"/>
  <c r="N28" i="5"/>
  <c r="N16" i="5"/>
  <c r="N3" i="5"/>
  <c r="N29" i="5"/>
  <c r="N15" i="5"/>
  <c r="N14" i="5"/>
  <c r="N30" i="5"/>
  <c r="N13" i="5"/>
  <c r="N12" i="5"/>
  <c r="N25" i="5"/>
  <c r="N11" i="5"/>
  <c r="N27" i="5"/>
  <c r="N10" i="5"/>
  <c r="N26" i="5"/>
  <c r="N9" i="5"/>
  <c r="N8" i="5"/>
  <c r="N24" i="5"/>
  <c r="N7" i="5"/>
  <c r="N23" i="5"/>
  <c r="N6" i="5"/>
  <c r="N22" i="5"/>
  <c r="N5" i="5"/>
  <c r="N21" i="5"/>
  <c r="N4" i="5"/>
  <c r="N20" i="5"/>
  <c r="N19" i="5"/>
  <c r="S32" i="5"/>
  <c r="S31" i="5"/>
  <c r="S7" i="5"/>
  <c r="S23" i="5"/>
  <c r="S6" i="5"/>
  <c r="S22" i="5"/>
  <c r="S5" i="5"/>
  <c r="S21" i="5"/>
  <c r="S4" i="5"/>
  <c r="S20" i="5"/>
  <c r="S19" i="5"/>
  <c r="S26" i="5"/>
  <c r="S18" i="5"/>
  <c r="S17" i="5"/>
  <c r="S16" i="5"/>
  <c r="S3" i="5"/>
  <c r="S15" i="5"/>
  <c r="S14" i="5"/>
  <c r="S30" i="5"/>
  <c r="S28" i="5"/>
  <c r="S13" i="5"/>
  <c r="S29" i="5"/>
  <c r="S12" i="5"/>
  <c r="S11" i="5"/>
  <c r="S27" i="5"/>
  <c r="S10" i="5"/>
  <c r="S9" i="5"/>
  <c r="S25" i="5"/>
  <c r="S8" i="5"/>
  <c r="S24" i="5"/>
  <c r="M32" i="5"/>
  <c r="M31" i="5"/>
  <c r="M17" i="5"/>
  <c r="M16" i="5"/>
  <c r="M3" i="5"/>
  <c r="M28" i="5"/>
  <c r="M24" i="5"/>
  <c r="M15" i="5"/>
  <c r="M27" i="5"/>
  <c r="M14" i="5"/>
  <c r="M30" i="5"/>
  <c r="M13" i="5"/>
  <c r="M29" i="5"/>
  <c r="M12" i="5"/>
  <c r="M11" i="5"/>
  <c r="M10" i="5"/>
  <c r="M26" i="5"/>
  <c r="M9" i="5"/>
  <c r="M25" i="5"/>
  <c r="M8" i="5"/>
  <c r="M7" i="5"/>
  <c r="M23" i="5"/>
  <c r="M6" i="5"/>
  <c r="M22" i="5"/>
  <c r="M5" i="5"/>
  <c r="M21" i="5"/>
  <c r="M4" i="5"/>
  <c r="M20" i="5"/>
  <c r="M19" i="5"/>
  <c r="M18" i="5"/>
  <c r="R31" i="5"/>
  <c r="R32" i="5"/>
  <c r="R6" i="5"/>
  <c r="R22" i="5"/>
  <c r="R3" i="5"/>
  <c r="R5" i="5"/>
  <c r="R21" i="5"/>
  <c r="R4" i="5"/>
  <c r="R20" i="5"/>
  <c r="R29" i="5"/>
  <c r="R19" i="5"/>
  <c r="R18" i="5"/>
  <c r="R17" i="5"/>
  <c r="R30" i="5"/>
  <c r="R16" i="5"/>
  <c r="R25" i="5"/>
  <c r="R15" i="5"/>
  <c r="R28" i="5"/>
  <c r="R14" i="5"/>
  <c r="R13" i="5"/>
  <c r="R12" i="5"/>
  <c r="R11" i="5"/>
  <c r="R27" i="5"/>
  <c r="R10" i="5"/>
  <c r="AM182" i="1" s="1"/>
  <c r="R26" i="5"/>
  <c r="R9" i="5"/>
  <c r="R8" i="5"/>
  <c r="R24" i="5"/>
  <c r="R7" i="5"/>
  <c r="R23" i="5"/>
  <c r="L32" i="5"/>
  <c r="L31" i="5"/>
  <c r="L16" i="5"/>
  <c r="L3" i="5"/>
  <c r="L26" i="5"/>
  <c r="L15" i="5"/>
  <c r="L14" i="5"/>
  <c r="L30" i="5"/>
  <c r="L13" i="5"/>
  <c r="L29" i="5"/>
  <c r="AN214" i="1" s="1"/>
  <c r="BC214" i="1" s="1"/>
  <c r="L12" i="5"/>
  <c r="L28" i="5"/>
  <c r="L11" i="5"/>
  <c r="L27" i="5"/>
  <c r="L10" i="5"/>
  <c r="L9" i="5"/>
  <c r="L25" i="5"/>
  <c r="L8" i="5"/>
  <c r="L24" i="5"/>
  <c r="L7" i="5"/>
  <c r="L23" i="5"/>
  <c r="L6" i="5"/>
  <c r="L22" i="5"/>
  <c r="L5" i="5"/>
  <c r="L21" i="5"/>
  <c r="L4" i="5"/>
  <c r="L20" i="5"/>
  <c r="L19" i="5"/>
  <c r="L18" i="5"/>
  <c r="L17" i="5"/>
  <c r="Q32" i="5"/>
  <c r="Q31" i="5"/>
  <c r="Q5" i="5"/>
  <c r="Q21" i="5"/>
  <c r="Q3" i="5"/>
  <c r="Q28" i="5"/>
  <c r="Q4" i="5"/>
  <c r="Q20" i="5"/>
  <c r="Q19" i="5"/>
  <c r="Q18" i="5"/>
  <c r="Q17" i="5"/>
  <c r="Q16" i="5"/>
  <c r="Q27" i="5"/>
  <c r="Q15" i="5"/>
  <c r="Q14" i="5"/>
  <c r="Q30" i="5"/>
  <c r="Q29" i="5"/>
  <c r="Q13" i="5"/>
  <c r="Q12" i="5"/>
  <c r="Q11" i="5"/>
  <c r="Q10" i="5"/>
  <c r="Q26" i="5"/>
  <c r="Q9" i="5"/>
  <c r="Q25" i="5"/>
  <c r="Q8" i="5"/>
  <c r="Q24" i="5"/>
  <c r="Q7" i="5"/>
  <c r="Q23" i="5"/>
  <c r="Q6" i="5"/>
  <c r="Q22" i="5"/>
  <c r="K32" i="5"/>
  <c r="K31" i="5"/>
  <c r="K15" i="5"/>
  <c r="K14" i="5"/>
  <c r="K30" i="5"/>
  <c r="K13" i="5"/>
  <c r="K29" i="5"/>
  <c r="K12" i="5"/>
  <c r="K28" i="5"/>
  <c r="K11" i="5"/>
  <c r="K27" i="5"/>
  <c r="K10" i="5"/>
  <c r="K26" i="5"/>
  <c r="K25" i="5"/>
  <c r="K9" i="5"/>
  <c r="K8" i="5"/>
  <c r="K24" i="5"/>
  <c r="K7" i="5"/>
  <c r="K23" i="5"/>
  <c r="K6" i="5"/>
  <c r="K22" i="5"/>
  <c r="K5" i="5"/>
  <c r="K21" i="5"/>
  <c r="K4" i="5"/>
  <c r="K20" i="5"/>
  <c r="K19" i="5"/>
  <c r="K18" i="5"/>
  <c r="K3" i="5"/>
  <c r="K17" i="5"/>
  <c r="K16" i="5"/>
  <c r="J32" i="5"/>
  <c r="J31" i="5"/>
  <c r="J14" i="5"/>
  <c r="J30" i="5"/>
  <c r="J13" i="5"/>
  <c r="J29" i="5"/>
  <c r="J12" i="5"/>
  <c r="J28" i="5"/>
  <c r="J11" i="5"/>
  <c r="J27" i="5"/>
  <c r="AL225" i="1" s="1"/>
  <c r="J10" i="5"/>
  <c r="J26" i="5"/>
  <c r="J9" i="5"/>
  <c r="J25" i="5"/>
  <c r="J8" i="5"/>
  <c r="J24" i="5"/>
  <c r="J7" i="5"/>
  <c r="J23" i="5"/>
  <c r="J6" i="5"/>
  <c r="J22" i="5"/>
  <c r="J5" i="5"/>
  <c r="J21" i="5"/>
  <c r="J4" i="5"/>
  <c r="J20" i="5"/>
  <c r="J19" i="5"/>
  <c r="J18" i="5"/>
  <c r="AL66" i="1" s="1"/>
  <c r="J17" i="5"/>
  <c r="J3" i="5"/>
  <c r="J16" i="5"/>
  <c r="J15" i="5"/>
  <c r="X32" i="5"/>
  <c r="X31" i="5"/>
  <c r="X12" i="5"/>
  <c r="X28" i="5"/>
  <c r="X11" i="5"/>
  <c r="BJ38" i="1" s="1"/>
  <c r="X27" i="5"/>
  <c r="BJ225" i="1" s="1"/>
  <c r="X29" i="5"/>
  <c r="BJ546" i="1" s="1"/>
  <c r="X10" i="5"/>
  <c r="X26" i="5"/>
  <c r="X9" i="5"/>
  <c r="BI494" i="1" s="1"/>
  <c r="X25" i="5"/>
  <c r="BJ90" i="1" s="1"/>
  <c r="X22" i="5"/>
  <c r="BJ80" i="1" s="1"/>
  <c r="X8" i="5"/>
  <c r="BI547" i="1" s="1"/>
  <c r="X24" i="5"/>
  <c r="X7" i="5"/>
  <c r="BJ20" i="1" s="1"/>
  <c r="X23" i="5"/>
  <c r="BJ208" i="1" s="1"/>
  <c r="X6" i="5"/>
  <c r="BJ601" i="1" s="1"/>
  <c r="X5" i="5"/>
  <c r="X21" i="5"/>
  <c r="BI552" i="1" s="1"/>
  <c r="X4" i="5"/>
  <c r="X20" i="5"/>
  <c r="X19" i="5"/>
  <c r="BJ563" i="1" s="1"/>
  <c r="X18" i="5"/>
  <c r="BJ116" i="1" s="1"/>
  <c r="X17" i="5"/>
  <c r="BJ554" i="1" s="1"/>
  <c r="X16" i="5"/>
  <c r="BJ570" i="1" s="1"/>
  <c r="X3" i="5"/>
  <c r="X15" i="5"/>
  <c r="BJ574" i="1" s="1"/>
  <c r="X14" i="5"/>
  <c r="BJ245" i="1" s="1"/>
  <c r="X30" i="5"/>
  <c r="X13" i="5"/>
  <c r="BI573" i="1" s="1"/>
  <c r="BJ227" i="1"/>
  <c r="W32" i="5"/>
  <c r="W31" i="5"/>
  <c r="W11" i="5"/>
  <c r="W27" i="5"/>
  <c r="W3" i="5"/>
  <c r="W30" i="5"/>
  <c r="W10" i="5"/>
  <c r="W26" i="5"/>
  <c r="W9" i="5"/>
  <c r="W25" i="5"/>
  <c r="W29" i="5"/>
  <c r="W8" i="5"/>
  <c r="W24" i="5"/>
  <c r="W28" i="5"/>
  <c r="W7" i="5"/>
  <c r="W23" i="5"/>
  <c r="W21" i="5"/>
  <c r="W6" i="5"/>
  <c r="W22" i="5"/>
  <c r="W5" i="5"/>
  <c r="W4" i="5"/>
  <c r="W20" i="5"/>
  <c r="W19" i="5"/>
  <c r="W18" i="5"/>
  <c r="W17" i="5"/>
  <c r="W16" i="5"/>
  <c r="W15" i="5"/>
  <c r="W14" i="5"/>
  <c r="W13" i="5"/>
  <c r="W12" i="5"/>
  <c r="BJ41" i="1"/>
  <c r="BJ25" i="1"/>
  <c r="U32" i="5"/>
  <c r="U31" i="5"/>
  <c r="U9" i="5"/>
  <c r="U25" i="5"/>
  <c r="U8" i="5"/>
  <c r="U24" i="5"/>
  <c r="U7" i="5"/>
  <c r="U23" i="5"/>
  <c r="U30" i="5"/>
  <c r="U6" i="5"/>
  <c r="U22" i="5"/>
  <c r="U29" i="5"/>
  <c r="U5" i="5"/>
  <c r="U21" i="5"/>
  <c r="U4" i="5"/>
  <c r="U20" i="5"/>
  <c r="U19" i="5"/>
  <c r="U18" i="5"/>
  <c r="U3" i="5"/>
  <c r="U27" i="5"/>
  <c r="U17" i="5"/>
  <c r="U16" i="5"/>
  <c r="U15" i="5"/>
  <c r="U14" i="5"/>
  <c r="U28" i="5"/>
  <c r="U13" i="5"/>
  <c r="U12" i="5"/>
  <c r="U11" i="5"/>
  <c r="U10" i="5"/>
  <c r="U26" i="5"/>
  <c r="BJ175" i="1"/>
  <c r="BJ204" i="1"/>
  <c r="V31" i="5"/>
  <c r="BJ529" i="1" s="1"/>
  <c r="V32" i="5"/>
  <c r="BJ533" i="1" s="1"/>
  <c r="V10" i="5"/>
  <c r="BJ222" i="1" s="1"/>
  <c r="V26" i="5"/>
  <c r="BJ586" i="1" s="1"/>
  <c r="V3" i="5"/>
  <c r="V9" i="5"/>
  <c r="BJ29" i="1" s="1"/>
  <c r="V25" i="5"/>
  <c r="V8" i="5"/>
  <c r="BJ557" i="1" s="1"/>
  <c r="V24" i="5"/>
  <c r="BK520" i="1" s="1"/>
  <c r="V7" i="5"/>
  <c r="BJ266" i="1" s="1"/>
  <c r="V23" i="5"/>
  <c r="BJ544" i="1" s="1"/>
  <c r="V6" i="5"/>
  <c r="V22" i="5"/>
  <c r="BI168" i="1" s="1"/>
  <c r="V5" i="5"/>
  <c r="BJ12" i="1" s="1"/>
  <c r="V21" i="5"/>
  <c r="BJ576" i="1" s="1"/>
  <c r="V30" i="5"/>
  <c r="BI565" i="1" s="1"/>
  <c r="V4" i="5"/>
  <c r="BJ567" i="1" s="1"/>
  <c r="V20" i="5"/>
  <c r="BJ73" i="1" s="1"/>
  <c r="V19" i="5"/>
  <c r="BJ68" i="1" s="1"/>
  <c r="V18" i="5"/>
  <c r="V29" i="5"/>
  <c r="V17" i="5"/>
  <c r="V28" i="5"/>
  <c r="V16" i="5"/>
  <c r="BJ58" i="1" s="1"/>
  <c r="V15" i="5"/>
  <c r="BK599" i="1" s="1"/>
  <c r="V14" i="5"/>
  <c r="BJ591" i="1" s="1"/>
  <c r="V13" i="5"/>
  <c r="BJ46" i="1" s="1"/>
  <c r="V12" i="5"/>
  <c r="V11" i="5"/>
  <c r="BK37" i="1" s="1"/>
  <c r="V27" i="5"/>
  <c r="BI587" i="1" s="1"/>
  <c r="P32" i="5"/>
  <c r="P31" i="5"/>
  <c r="P4" i="5"/>
  <c r="P20" i="5"/>
  <c r="P19" i="5"/>
  <c r="P18" i="5"/>
  <c r="P17" i="5"/>
  <c r="P16" i="5"/>
  <c r="P3" i="5"/>
  <c r="P30" i="5"/>
  <c r="P27" i="5"/>
  <c r="P15" i="5"/>
  <c r="P14" i="5"/>
  <c r="P13" i="5"/>
  <c r="P29" i="5"/>
  <c r="P12" i="5"/>
  <c r="P28" i="5"/>
  <c r="P26" i="5"/>
  <c r="P11" i="5"/>
  <c r="P10" i="5"/>
  <c r="P9" i="5"/>
  <c r="P25" i="5"/>
  <c r="P8" i="5"/>
  <c r="P24" i="5"/>
  <c r="P7" i="5"/>
  <c r="P23" i="5"/>
  <c r="P6" i="5"/>
  <c r="P22" i="5"/>
  <c r="P5" i="5"/>
  <c r="P21" i="5"/>
  <c r="BJ106" i="1"/>
  <c r="BJ72" i="1"/>
  <c r="BI531" i="1"/>
  <c r="BI533" i="1"/>
  <c r="BK529" i="1"/>
  <c r="CW535" i="1"/>
  <c r="CY535" i="1" s="1"/>
  <c r="BI535" i="1"/>
  <c r="BI529" i="1"/>
  <c r="BI530" i="1"/>
  <c r="BI540" i="1"/>
  <c r="BK535" i="1"/>
  <c r="CX535" i="1"/>
  <c r="EC533" i="1"/>
  <c r="EE533" i="1" s="1"/>
  <c r="EC535" i="1"/>
  <c r="EE535" i="1" s="1"/>
  <c r="EC528" i="1"/>
  <c r="EE528" i="1" s="1"/>
  <c r="BI528" i="1"/>
  <c r="BK528" i="1"/>
  <c r="AN510" i="1"/>
  <c r="AL510" i="1"/>
  <c r="AM510" i="1"/>
  <c r="AM513" i="1"/>
  <c r="AL513" i="1"/>
  <c r="AN513" i="1"/>
  <c r="CW520" i="1"/>
  <c r="CY520" i="1" s="1"/>
  <c r="CW524" i="1"/>
  <c r="CY524" i="1" s="1"/>
  <c r="EC520" i="1"/>
  <c r="EE520" i="1" s="1"/>
  <c r="BI516" i="1"/>
  <c r="CW512" i="1"/>
  <c r="CY512" i="1" s="1"/>
  <c r="BK512" i="1"/>
  <c r="BI512" i="1"/>
  <c r="EC512" i="1"/>
  <c r="EE512" i="1" s="1"/>
  <c r="BJ182" i="1"/>
  <c r="BJ157" i="1"/>
  <c r="BJ151" i="1"/>
  <c r="BJ134" i="1"/>
  <c r="BJ122" i="1"/>
  <c r="BJ96" i="1"/>
  <c r="BJ93" i="1"/>
  <c r="BJ248" i="1"/>
  <c r="BJ101" i="1"/>
  <c r="BI506" i="1"/>
  <c r="BK509" i="1"/>
  <c r="BK507" i="1"/>
  <c r="BI509" i="1"/>
  <c r="BI507" i="1"/>
  <c r="EC491" i="1"/>
  <c r="EE491" i="1" s="1"/>
  <c r="EC442" i="1"/>
  <c r="EE442" i="1" s="1"/>
  <c r="EC424" i="1"/>
  <c r="EE424" i="1" s="1"/>
  <c r="EC408" i="1"/>
  <c r="EE408" i="1" s="1"/>
  <c r="EC448" i="1"/>
  <c r="EE448" i="1" s="1"/>
  <c r="EC361" i="1"/>
  <c r="EE361" i="1" s="1"/>
  <c r="EC356" i="1"/>
  <c r="EE356" i="1" s="1"/>
  <c r="EC340" i="1"/>
  <c r="EE340" i="1" s="1"/>
  <c r="EC338" i="1"/>
  <c r="EE338" i="1" s="1"/>
  <c r="EC321" i="1"/>
  <c r="EE321" i="1" s="1"/>
  <c r="EC313" i="1"/>
  <c r="EE313" i="1" s="1"/>
  <c r="BJ195" i="1"/>
  <c r="BJ124" i="1"/>
  <c r="BJ26" i="1"/>
  <c r="BJ5" i="1"/>
  <c r="EB422" i="1"/>
  <c r="EB355" i="1"/>
  <c r="EB351" i="1"/>
  <c r="BJ242" i="1"/>
  <c r="BJ211" i="1"/>
  <c r="BJ200" i="1"/>
  <c r="BJ186" i="1"/>
  <c r="BJ128" i="1"/>
  <c r="BJ8" i="1"/>
  <c r="EC296" i="1"/>
  <c r="EE296" i="1" s="1"/>
  <c r="BK502" i="1"/>
  <c r="BI503" i="1"/>
  <c r="BI502" i="1"/>
  <c r="BI495" i="1"/>
  <c r="AL497" i="1"/>
  <c r="AM497" i="1"/>
  <c r="AM480" i="1"/>
  <c r="AL479" i="1"/>
  <c r="AN479" i="1"/>
  <c r="AL480" i="1"/>
  <c r="AM479" i="1"/>
  <c r="AN480" i="1"/>
  <c r="AM476" i="1"/>
  <c r="AL476" i="1"/>
  <c r="AN476" i="1"/>
  <c r="AN474" i="1"/>
  <c r="AM474" i="1"/>
  <c r="AL474" i="1"/>
  <c r="BI490" i="1"/>
  <c r="BK490" i="1"/>
  <c r="BK491" i="1"/>
  <c r="BI492" i="1"/>
  <c r="CB15" i="1"/>
  <c r="BN15" i="1"/>
  <c r="BK483" i="1"/>
  <c r="BI483" i="1"/>
  <c r="BK482" i="1"/>
  <c r="BI482" i="1"/>
  <c r="CX480" i="1"/>
  <c r="CW480" i="1"/>
  <c r="CY480" i="1" s="1"/>
  <c r="BI480" i="1"/>
  <c r="BI476" i="1"/>
  <c r="CW476" i="1"/>
  <c r="CY476" i="1" s="1"/>
  <c r="BI475" i="1"/>
  <c r="BI474" i="1"/>
  <c r="BI479" i="1"/>
  <c r="CX454" i="1"/>
  <c r="CW454" i="1"/>
  <c r="CY454" i="1" s="1"/>
  <c r="CX448" i="1"/>
  <c r="CW448" i="1"/>
  <c r="CY448" i="1" s="1"/>
  <c r="CB32" i="1"/>
  <c r="BS32" i="1"/>
  <c r="CB140" i="1"/>
  <c r="BI453" i="1"/>
  <c r="BI210" i="1"/>
  <c r="BI263" i="1"/>
  <c r="CW408" i="1"/>
  <c r="CY408" i="1" s="1"/>
  <c r="CW397" i="1"/>
  <c r="CY397" i="1" s="1"/>
  <c r="CX397" i="1"/>
  <c r="CW160" i="1"/>
  <c r="CY160" i="1" s="1"/>
  <c r="CW173" i="1"/>
  <c r="CY173" i="1" s="1"/>
  <c r="CW63" i="1"/>
  <c r="CY63" i="1" s="1"/>
  <c r="CW58" i="1"/>
  <c r="CY58" i="1" s="1"/>
  <c r="CW23" i="1"/>
  <c r="CY23" i="1" s="1"/>
  <c r="CW87" i="1"/>
  <c r="CY87" i="1" s="1"/>
  <c r="CW107" i="1"/>
  <c r="CY107" i="1" s="1"/>
  <c r="CW26" i="1"/>
  <c r="CY26" i="1" s="1"/>
  <c r="CW388" i="1"/>
  <c r="CY388" i="1" s="1"/>
  <c r="CW270" i="1"/>
  <c r="CY270" i="1" s="1"/>
  <c r="CW19" i="1"/>
  <c r="CY19" i="1" s="1"/>
  <c r="CW266" i="1"/>
  <c r="CY266" i="1" s="1"/>
  <c r="CW352" i="1"/>
  <c r="CY352" i="1" s="1"/>
  <c r="CW242" i="1"/>
  <c r="CY242" i="1" s="1"/>
  <c r="CW338" i="1"/>
  <c r="CY338" i="1" s="1"/>
  <c r="CW152" i="1"/>
  <c r="CY152" i="1" s="1"/>
  <c r="CW137" i="1"/>
  <c r="CY137" i="1" s="1"/>
  <c r="CW197" i="1"/>
  <c r="CY197" i="1" s="1"/>
  <c r="CW122" i="1"/>
  <c r="CY122" i="1" s="1"/>
  <c r="CX388" i="1"/>
  <c r="BI156" i="1"/>
  <c r="BI180" i="1"/>
  <c r="BI25" i="1"/>
  <c r="BI429" i="1"/>
  <c r="BI130" i="1"/>
  <c r="BI90" i="1"/>
  <c r="AP470" i="1"/>
  <c r="BN293" i="1"/>
  <c r="BS293" i="1"/>
  <c r="BN291" i="1"/>
  <c r="BS291" i="1"/>
  <c r="BN289" i="1"/>
  <c r="BS289" i="1"/>
  <c r="BN287" i="1"/>
  <c r="BS287" i="1"/>
  <c r="BN285" i="1"/>
  <c r="BS285" i="1"/>
  <c r="BN283" i="1"/>
  <c r="BS283" i="1"/>
  <c r="BN280" i="1"/>
  <c r="BS280" i="1"/>
  <c r="BN278" i="1"/>
  <c r="BS278" i="1"/>
  <c r="BN273" i="1"/>
  <c r="BS273" i="1"/>
  <c r="BN271" i="1"/>
  <c r="BS271" i="1"/>
  <c r="BN269" i="1"/>
  <c r="BS269" i="1"/>
  <c r="BN267" i="1"/>
  <c r="BS267" i="1"/>
  <c r="BN265" i="1"/>
  <c r="BS265" i="1"/>
  <c r="BN263" i="1"/>
  <c r="BS263" i="1"/>
  <c r="BN261" i="1"/>
  <c r="BS261" i="1"/>
  <c r="BN259" i="1"/>
  <c r="BS259" i="1"/>
  <c r="BN251" i="1"/>
  <c r="BS251" i="1"/>
  <c r="BN249" i="1"/>
  <c r="BS249" i="1"/>
  <c r="BN247" i="1"/>
  <c r="BS247" i="1"/>
  <c r="BN245" i="1"/>
  <c r="BS245" i="1"/>
  <c r="BN243" i="1"/>
  <c r="BS243" i="1"/>
  <c r="BN241" i="1"/>
  <c r="BS241" i="1"/>
  <c r="BN239" i="1"/>
  <c r="BS239" i="1"/>
  <c r="BN237" i="1"/>
  <c r="BS237" i="1"/>
  <c r="BN235" i="1"/>
  <c r="BS235" i="1"/>
  <c r="BN233" i="1"/>
  <c r="BS233" i="1"/>
  <c r="BN231" i="1"/>
  <c r="BS231" i="1"/>
  <c r="BN227" i="1"/>
  <c r="BS227" i="1"/>
  <c r="BN224" i="1"/>
  <c r="BS224" i="1"/>
  <c r="BN222" i="1"/>
  <c r="BS222" i="1"/>
  <c r="BN220" i="1"/>
  <c r="BS220" i="1"/>
  <c r="BN205" i="1"/>
  <c r="BS205" i="1"/>
  <c r="BN199" i="1"/>
  <c r="BS199" i="1"/>
  <c r="BN197" i="1"/>
  <c r="BS197" i="1"/>
  <c r="BN195" i="1"/>
  <c r="BS195" i="1"/>
  <c r="BN193" i="1"/>
  <c r="BS193" i="1"/>
  <c r="BN186" i="1"/>
  <c r="BS186" i="1"/>
  <c r="BN182" i="1"/>
  <c r="BS182" i="1"/>
  <c r="BN175" i="1"/>
  <c r="BS175" i="1"/>
  <c r="BN173" i="1"/>
  <c r="BS173" i="1"/>
  <c r="BN171" i="1"/>
  <c r="BS171" i="1"/>
  <c r="BN169" i="1"/>
  <c r="BS169" i="1"/>
  <c r="BS167" i="1"/>
  <c r="BN165" i="1"/>
  <c r="BS165" i="1"/>
  <c r="BN163" i="1"/>
  <c r="BS163" i="1"/>
  <c r="BN156" i="1"/>
  <c r="BS156" i="1"/>
  <c r="BN154" i="1"/>
  <c r="BS154" i="1"/>
  <c r="BN152" i="1"/>
  <c r="BS152" i="1"/>
  <c r="BN150" i="1"/>
  <c r="BS150" i="1"/>
  <c r="BN145" i="1"/>
  <c r="BS145" i="1"/>
  <c r="BN143" i="1"/>
  <c r="BS143" i="1"/>
  <c r="BN141" i="1"/>
  <c r="BS141" i="1"/>
  <c r="BN139" i="1"/>
  <c r="BS139" i="1"/>
  <c r="BN137" i="1"/>
  <c r="BS137" i="1"/>
  <c r="BN135" i="1"/>
  <c r="BS135" i="1"/>
  <c r="BN133" i="1"/>
  <c r="BS133" i="1"/>
  <c r="BN109" i="1"/>
  <c r="BS109" i="1"/>
  <c r="BN93" i="1"/>
  <c r="BS93" i="1"/>
  <c r="BN90" i="1"/>
  <c r="BS90" i="1"/>
  <c r="BN88" i="1"/>
  <c r="BS88" i="1"/>
  <c r="BN86" i="1"/>
  <c r="BS86" i="1"/>
  <c r="BN84" i="1"/>
  <c r="BS84" i="1"/>
  <c r="BN82" i="1"/>
  <c r="BS82" i="1"/>
  <c r="BN74" i="1"/>
  <c r="BS74" i="1"/>
  <c r="BN68" i="1"/>
  <c r="BS68" i="1"/>
  <c r="BN65" i="1"/>
  <c r="BS65" i="1"/>
  <c r="BN63" i="1"/>
  <c r="BS63" i="1"/>
  <c r="BN49" i="1"/>
  <c r="BS49" i="1"/>
  <c r="BN42" i="1"/>
  <c r="BS42" i="1"/>
  <c r="BN32" i="1"/>
  <c r="BN30" i="1"/>
  <c r="BS30" i="1"/>
  <c r="BN27" i="1"/>
  <c r="BS27" i="1"/>
  <c r="BN13" i="1"/>
  <c r="BS13" i="1"/>
  <c r="BN281" i="1"/>
  <c r="BS281" i="1"/>
  <c r="BN276" i="1"/>
  <c r="BS276" i="1"/>
  <c r="BN258" i="1"/>
  <c r="BS258" i="1"/>
  <c r="BN256" i="1"/>
  <c r="BS256" i="1"/>
  <c r="BN254" i="1"/>
  <c r="BS254" i="1"/>
  <c r="BN252" i="1"/>
  <c r="BS252" i="1"/>
  <c r="BN226" i="1"/>
  <c r="BS226" i="1"/>
  <c r="BN218" i="1"/>
  <c r="BS218" i="1"/>
  <c r="BN216" i="1"/>
  <c r="BS216" i="1"/>
  <c r="BN214" i="1"/>
  <c r="BS214" i="1"/>
  <c r="BN212" i="1"/>
  <c r="BS212" i="1"/>
  <c r="BN210" i="1"/>
  <c r="BS210" i="1"/>
  <c r="BN208" i="1"/>
  <c r="BS208" i="1"/>
  <c r="BN206" i="1"/>
  <c r="BS206" i="1"/>
  <c r="BN204" i="1"/>
  <c r="BS204" i="1"/>
  <c r="BN202" i="1"/>
  <c r="BS202" i="1"/>
  <c r="BN191" i="1"/>
  <c r="BS191" i="1"/>
  <c r="BN189" i="1"/>
  <c r="BS189" i="1"/>
  <c r="BN187" i="1"/>
  <c r="BS187" i="1"/>
  <c r="BN183" i="1"/>
  <c r="BS183" i="1"/>
  <c r="BN179" i="1"/>
  <c r="BS179" i="1"/>
  <c r="BN177" i="1"/>
  <c r="BS177" i="1"/>
  <c r="BN161" i="1"/>
  <c r="BS161" i="1"/>
  <c r="BN158" i="1"/>
  <c r="BS158" i="1"/>
  <c r="BN148" i="1"/>
  <c r="BS148" i="1"/>
  <c r="BN138" i="1"/>
  <c r="BS138" i="1"/>
  <c r="BN131" i="1"/>
  <c r="BS131" i="1"/>
  <c r="BN129" i="1"/>
  <c r="BS129" i="1"/>
  <c r="BN127" i="1"/>
  <c r="BS127" i="1"/>
  <c r="BN125" i="1"/>
  <c r="BS125" i="1"/>
  <c r="BN123" i="1"/>
  <c r="BS123" i="1"/>
  <c r="BN121" i="1"/>
  <c r="BS121" i="1"/>
  <c r="BN119" i="1"/>
  <c r="BS119" i="1"/>
  <c r="BN117" i="1"/>
  <c r="BS117" i="1"/>
  <c r="BN115" i="1"/>
  <c r="BS115" i="1"/>
  <c r="BN113" i="1"/>
  <c r="BS113" i="1"/>
  <c r="BN111" i="1"/>
  <c r="BS111" i="1"/>
  <c r="BN106" i="1"/>
  <c r="BS106" i="1"/>
  <c r="BN104" i="1"/>
  <c r="BS104" i="1"/>
  <c r="BN102" i="1"/>
  <c r="BS102" i="1"/>
  <c r="BN100" i="1"/>
  <c r="BS100" i="1"/>
  <c r="BN98" i="1"/>
  <c r="BS98" i="1"/>
  <c r="BN96" i="1"/>
  <c r="BS96" i="1"/>
  <c r="BN94" i="1"/>
  <c r="BS94" i="1"/>
  <c r="BN80" i="1"/>
  <c r="BS80" i="1"/>
  <c r="BN78" i="1"/>
  <c r="BS78" i="1"/>
  <c r="BN76" i="1"/>
  <c r="BS76" i="1"/>
  <c r="BN72" i="1"/>
  <c r="BS72" i="1"/>
  <c r="BN70" i="1"/>
  <c r="BS70" i="1"/>
  <c r="BN66" i="1"/>
  <c r="BS66" i="1"/>
  <c r="BN60" i="1"/>
  <c r="BS60" i="1"/>
  <c r="BN58" i="1"/>
  <c r="BS58" i="1"/>
  <c r="BN56" i="1"/>
  <c r="BS56" i="1"/>
  <c r="BN54" i="1"/>
  <c r="BS54" i="1"/>
  <c r="BN52" i="1"/>
  <c r="BS52" i="1"/>
  <c r="BN47" i="1"/>
  <c r="BS47" i="1"/>
  <c r="BN45" i="1"/>
  <c r="BS45" i="1"/>
  <c r="BN41" i="1"/>
  <c r="BS41" i="1"/>
  <c r="BN39" i="1"/>
  <c r="BS39" i="1"/>
  <c r="BN37" i="1"/>
  <c r="BS37" i="1"/>
  <c r="BN35" i="1"/>
  <c r="BS35" i="1"/>
  <c r="BN24" i="1"/>
  <c r="BS24" i="1"/>
  <c r="BN22" i="1"/>
  <c r="BS22" i="1"/>
  <c r="BN20" i="1"/>
  <c r="BS20" i="1"/>
  <c r="BN18" i="1"/>
  <c r="BS18" i="1"/>
  <c r="BN14" i="1"/>
  <c r="BS14" i="1"/>
  <c r="BN11" i="1"/>
  <c r="BS11" i="1"/>
  <c r="BN8" i="1"/>
  <c r="BS8" i="1"/>
  <c r="BN6" i="1"/>
  <c r="BS6" i="1"/>
  <c r="BN294" i="1"/>
  <c r="BS294" i="1"/>
  <c r="BN292" i="1"/>
  <c r="BS292" i="1"/>
  <c r="BN290" i="1"/>
  <c r="BS290" i="1"/>
  <c r="BN288" i="1"/>
  <c r="BS288" i="1"/>
  <c r="BN286" i="1"/>
  <c r="BS286" i="1"/>
  <c r="BN284" i="1"/>
  <c r="BS284" i="1"/>
  <c r="BN282" i="1"/>
  <c r="BS282" i="1"/>
  <c r="BN279" i="1"/>
  <c r="BS279" i="1"/>
  <c r="BN277" i="1"/>
  <c r="BS277" i="1"/>
  <c r="BN274" i="1"/>
  <c r="BS274" i="1"/>
  <c r="BN272" i="1"/>
  <c r="BS272" i="1"/>
  <c r="BN270" i="1"/>
  <c r="BS270" i="1"/>
  <c r="BN268" i="1"/>
  <c r="BS268" i="1"/>
  <c r="BN266" i="1"/>
  <c r="BS266" i="1"/>
  <c r="BN264" i="1"/>
  <c r="BS264" i="1"/>
  <c r="BN262" i="1"/>
  <c r="BS262" i="1"/>
  <c r="BN260" i="1"/>
  <c r="BS260" i="1"/>
  <c r="BN250" i="1"/>
  <c r="BS250" i="1"/>
  <c r="BN248" i="1"/>
  <c r="BS248" i="1"/>
  <c r="BN246" i="1"/>
  <c r="BS246" i="1"/>
  <c r="BN244" i="1"/>
  <c r="BS244" i="1"/>
  <c r="BN242" i="1"/>
  <c r="BS242" i="1"/>
  <c r="BN240" i="1"/>
  <c r="BS240" i="1"/>
  <c r="BN238" i="1"/>
  <c r="BS238" i="1"/>
  <c r="BN236" i="1"/>
  <c r="BS236" i="1"/>
  <c r="BN234" i="1"/>
  <c r="BS234" i="1"/>
  <c r="BN232" i="1"/>
  <c r="BS232" i="1"/>
  <c r="BN230" i="1"/>
  <c r="BS230" i="1"/>
  <c r="BN228" i="1"/>
  <c r="BS228" i="1"/>
  <c r="BN223" i="1"/>
  <c r="BS223" i="1"/>
  <c r="BN221" i="1"/>
  <c r="BS221" i="1"/>
  <c r="BN200" i="1"/>
  <c r="BS200" i="1"/>
  <c r="BN198" i="1"/>
  <c r="BS198" i="1"/>
  <c r="BN196" i="1"/>
  <c r="BS196" i="1"/>
  <c r="BN194" i="1"/>
  <c r="BS194" i="1"/>
  <c r="BN192" i="1"/>
  <c r="BS192" i="1"/>
  <c r="BN185" i="1"/>
  <c r="BS185" i="1"/>
  <c r="BN181" i="1"/>
  <c r="BS181" i="1"/>
  <c r="BN176" i="1"/>
  <c r="BS176" i="1"/>
  <c r="BN174" i="1"/>
  <c r="BS174" i="1"/>
  <c r="BN172" i="1"/>
  <c r="BS172" i="1"/>
  <c r="BN170" i="1"/>
  <c r="BS170" i="1"/>
  <c r="BN168" i="1"/>
  <c r="BS168" i="1"/>
  <c r="BN166" i="1"/>
  <c r="BS166" i="1"/>
  <c r="BN164" i="1"/>
  <c r="BS164" i="1"/>
  <c r="BN162" i="1"/>
  <c r="BS162" i="1"/>
  <c r="BN159" i="1"/>
  <c r="BS159" i="1"/>
  <c r="BN155" i="1"/>
  <c r="BS155" i="1"/>
  <c r="BN153" i="1"/>
  <c r="BS153" i="1"/>
  <c r="BN151" i="1"/>
  <c r="BS151" i="1"/>
  <c r="BN149" i="1"/>
  <c r="BS149" i="1"/>
  <c r="BN146" i="1"/>
  <c r="BS146" i="1"/>
  <c r="BN144" i="1"/>
  <c r="BS144" i="1"/>
  <c r="BN142" i="1"/>
  <c r="BS142" i="1"/>
  <c r="BN140" i="1"/>
  <c r="BS140" i="1"/>
  <c r="BN136" i="1"/>
  <c r="BS136" i="1"/>
  <c r="BN134" i="1"/>
  <c r="BS134" i="1"/>
  <c r="BN132" i="1"/>
  <c r="BS132" i="1"/>
  <c r="BN110" i="1"/>
  <c r="BS110" i="1"/>
  <c r="BN108" i="1"/>
  <c r="BS108" i="1"/>
  <c r="BN92" i="1"/>
  <c r="BS92" i="1"/>
  <c r="BN89" i="1"/>
  <c r="BS89" i="1"/>
  <c r="BN87" i="1"/>
  <c r="BS87" i="1"/>
  <c r="BN85" i="1"/>
  <c r="BS85" i="1"/>
  <c r="BN83" i="1"/>
  <c r="BS83" i="1"/>
  <c r="BN75" i="1"/>
  <c r="BS75" i="1"/>
  <c r="BN69" i="1"/>
  <c r="BS69" i="1"/>
  <c r="BN67" i="1"/>
  <c r="BS67" i="1"/>
  <c r="BN64" i="1"/>
  <c r="BS64" i="1"/>
  <c r="BN62" i="1"/>
  <c r="BS62" i="1"/>
  <c r="BN50" i="1"/>
  <c r="BS50" i="1"/>
  <c r="BN43" i="1"/>
  <c r="BS43" i="1"/>
  <c r="BN33" i="1"/>
  <c r="BS33" i="1"/>
  <c r="BN31" i="1"/>
  <c r="BS31" i="1"/>
  <c r="BN29" i="1"/>
  <c r="BS29" i="1"/>
  <c r="BN26" i="1"/>
  <c r="BS26" i="1"/>
  <c r="BN16" i="1"/>
  <c r="BS16" i="1"/>
  <c r="BN9" i="1"/>
  <c r="BS9" i="1"/>
  <c r="BN275" i="1"/>
  <c r="BS275" i="1"/>
  <c r="BN257" i="1"/>
  <c r="BS257" i="1"/>
  <c r="BN255" i="1"/>
  <c r="BS255" i="1"/>
  <c r="BN253" i="1"/>
  <c r="BS253" i="1"/>
  <c r="BN225" i="1"/>
  <c r="BS225" i="1"/>
  <c r="BN219" i="1"/>
  <c r="BS219" i="1"/>
  <c r="BN217" i="1"/>
  <c r="BS217" i="1"/>
  <c r="BN215" i="1"/>
  <c r="BS215" i="1"/>
  <c r="BN213" i="1"/>
  <c r="BS213" i="1"/>
  <c r="BN211" i="1"/>
  <c r="BS211" i="1"/>
  <c r="BN209" i="1"/>
  <c r="BS209" i="1"/>
  <c r="BN207" i="1"/>
  <c r="BS207" i="1"/>
  <c r="BN203" i="1"/>
  <c r="BS203" i="1"/>
  <c r="BN201" i="1"/>
  <c r="BS201" i="1"/>
  <c r="BN190" i="1"/>
  <c r="BS190" i="1"/>
  <c r="BN188" i="1"/>
  <c r="BS188" i="1"/>
  <c r="BN184" i="1"/>
  <c r="BS184" i="1"/>
  <c r="BN180" i="1"/>
  <c r="BS180" i="1"/>
  <c r="BN178" i="1"/>
  <c r="BS178" i="1"/>
  <c r="BN160" i="1"/>
  <c r="BS160" i="1"/>
  <c r="BN157" i="1"/>
  <c r="BS157" i="1"/>
  <c r="BN147" i="1"/>
  <c r="BS147" i="1"/>
  <c r="BN130" i="1"/>
  <c r="BS130" i="1"/>
  <c r="BN128" i="1"/>
  <c r="BS128" i="1"/>
  <c r="BN126" i="1"/>
  <c r="BS126" i="1"/>
  <c r="BN124" i="1"/>
  <c r="BS124" i="1"/>
  <c r="BN122" i="1"/>
  <c r="BS122" i="1"/>
  <c r="BN120" i="1"/>
  <c r="BS120" i="1"/>
  <c r="BN118" i="1"/>
  <c r="BS118" i="1"/>
  <c r="BN116" i="1"/>
  <c r="BS116" i="1"/>
  <c r="BN114" i="1"/>
  <c r="BS114" i="1"/>
  <c r="BN112" i="1"/>
  <c r="BS112" i="1"/>
  <c r="BN107" i="1"/>
  <c r="BS107" i="1"/>
  <c r="BN105" i="1"/>
  <c r="BS105" i="1"/>
  <c r="BN103" i="1"/>
  <c r="BS103" i="1"/>
  <c r="BN101" i="1"/>
  <c r="BS101" i="1"/>
  <c r="BN99" i="1"/>
  <c r="BS99" i="1"/>
  <c r="BN97" i="1"/>
  <c r="BS97" i="1"/>
  <c r="BN95" i="1"/>
  <c r="BS95" i="1"/>
  <c r="BN91" i="1"/>
  <c r="BS91" i="1"/>
  <c r="BN81" i="1"/>
  <c r="BS81" i="1"/>
  <c r="BN79" i="1"/>
  <c r="BS79" i="1"/>
  <c r="BN77" i="1"/>
  <c r="BS77" i="1"/>
  <c r="BN73" i="1"/>
  <c r="BS73" i="1"/>
  <c r="BN71" i="1"/>
  <c r="BS71" i="1"/>
  <c r="BN61" i="1"/>
  <c r="BS61" i="1"/>
  <c r="BN59" i="1"/>
  <c r="BS59" i="1"/>
  <c r="BN57" i="1"/>
  <c r="BS57" i="1"/>
  <c r="BN55" i="1"/>
  <c r="BS55" i="1"/>
  <c r="BN53" i="1"/>
  <c r="BS53" i="1"/>
  <c r="BN51" i="1"/>
  <c r="BS51" i="1"/>
  <c r="BN48" i="1"/>
  <c r="BS48" i="1"/>
  <c r="BN46" i="1"/>
  <c r="BS46" i="1"/>
  <c r="BN44" i="1"/>
  <c r="BS44" i="1"/>
  <c r="BN40" i="1"/>
  <c r="BS40" i="1"/>
  <c r="BN38" i="1"/>
  <c r="BS38" i="1"/>
  <c r="BN36" i="1"/>
  <c r="BS36" i="1"/>
  <c r="BN34" i="1"/>
  <c r="BS34" i="1"/>
  <c r="BN28" i="1"/>
  <c r="BS28" i="1"/>
  <c r="BN25" i="1"/>
  <c r="BS25" i="1"/>
  <c r="BN23" i="1"/>
  <c r="BS23" i="1"/>
  <c r="BN21" i="1"/>
  <c r="BS21" i="1"/>
  <c r="BN19" i="1"/>
  <c r="BS19" i="1"/>
  <c r="BN17" i="1"/>
  <c r="BS17" i="1"/>
  <c r="BS15" i="1"/>
  <c r="BN12" i="1"/>
  <c r="BS12" i="1"/>
  <c r="BN10" i="1"/>
  <c r="BS10" i="1"/>
  <c r="BN7" i="1"/>
  <c r="BS7" i="1"/>
  <c r="BN5" i="1"/>
  <c r="BS5" i="1"/>
  <c r="BN295" i="1"/>
  <c r="BS295" i="1"/>
  <c r="EX17" i="1"/>
  <c r="BW402" i="1" s="1"/>
  <c r="BI147" i="1"/>
  <c r="AM304" i="1"/>
  <c r="AM299" i="1"/>
  <c r="BB299" i="1" s="1"/>
  <c r="BL293" i="1"/>
  <c r="BM293" i="1"/>
  <c r="BL289" i="1"/>
  <c r="BM289" i="1"/>
  <c r="BL283" i="1"/>
  <c r="BM283" i="1"/>
  <c r="BL280" i="1"/>
  <c r="BM280" i="1"/>
  <c r="BL271" i="1"/>
  <c r="BM271" i="1"/>
  <c r="BL263" i="1"/>
  <c r="BM263" i="1"/>
  <c r="BL243" i="1"/>
  <c r="BM243" i="1"/>
  <c r="BL197" i="1"/>
  <c r="BM197" i="1"/>
  <c r="BL195" i="1"/>
  <c r="BM195" i="1"/>
  <c r="BL186" i="1"/>
  <c r="BM186" i="1"/>
  <c r="BL173" i="1"/>
  <c r="BM173" i="1"/>
  <c r="BL171" i="1"/>
  <c r="BM171" i="1"/>
  <c r="BL169" i="1"/>
  <c r="BM169" i="1"/>
  <c r="BL165" i="1"/>
  <c r="BM165" i="1"/>
  <c r="BL156" i="1"/>
  <c r="BM156" i="1"/>
  <c r="BL150" i="1"/>
  <c r="BM150" i="1"/>
  <c r="BL145" i="1"/>
  <c r="BM145" i="1"/>
  <c r="BL141" i="1"/>
  <c r="BM141" i="1"/>
  <c r="BL137" i="1"/>
  <c r="BM137" i="1"/>
  <c r="BL135" i="1"/>
  <c r="BM135" i="1"/>
  <c r="BL133" i="1"/>
  <c r="BM133" i="1"/>
  <c r="BL109" i="1"/>
  <c r="BM109" i="1"/>
  <c r="BL93" i="1"/>
  <c r="BM93" i="1"/>
  <c r="BL90" i="1"/>
  <c r="BM90" i="1"/>
  <c r="BL88" i="1"/>
  <c r="BM88" i="1"/>
  <c r="BL86" i="1"/>
  <c r="BM86" i="1"/>
  <c r="BL84" i="1"/>
  <c r="BM84" i="1"/>
  <c r="BL82" i="1"/>
  <c r="BM82" i="1"/>
  <c r="BL74" i="1"/>
  <c r="BM74" i="1"/>
  <c r="BL68" i="1"/>
  <c r="BM68" i="1"/>
  <c r="BL65" i="1"/>
  <c r="BM65" i="1"/>
  <c r="BL63" i="1"/>
  <c r="BM63" i="1"/>
  <c r="BL49" i="1"/>
  <c r="BM49" i="1"/>
  <c r="BL42" i="1"/>
  <c r="BM42" i="1"/>
  <c r="BL32" i="1"/>
  <c r="BM32" i="1"/>
  <c r="BL30" i="1"/>
  <c r="BM30" i="1"/>
  <c r="BL27" i="1"/>
  <c r="BM27" i="1"/>
  <c r="BL13" i="1"/>
  <c r="BM13" i="1"/>
  <c r="BL285" i="1"/>
  <c r="BM285" i="1"/>
  <c r="BL278" i="1"/>
  <c r="BM278" i="1"/>
  <c r="BL269" i="1"/>
  <c r="BM269" i="1"/>
  <c r="BL265" i="1"/>
  <c r="BM265" i="1"/>
  <c r="BL247" i="1"/>
  <c r="BM247" i="1"/>
  <c r="BL241" i="1"/>
  <c r="BM241" i="1"/>
  <c r="BL235" i="1"/>
  <c r="BM235" i="1"/>
  <c r="BL205" i="1"/>
  <c r="BM205" i="1"/>
  <c r="BL193" i="1"/>
  <c r="BM193" i="1"/>
  <c r="BL163" i="1"/>
  <c r="BM163" i="1"/>
  <c r="BL152" i="1"/>
  <c r="BM152" i="1"/>
  <c r="BL143" i="1"/>
  <c r="BM143" i="1"/>
  <c r="BL139" i="1"/>
  <c r="BM139" i="1"/>
  <c r="BL281" i="1"/>
  <c r="BM281" i="1"/>
  <c r="BL276" i="1"/>
  <c r="BM276" i="1"/>
  <c r="BL258" i="1"/>
  <c r="BM258" i="1"/>
  <c r="BL256" i="1"/>
  <c r="BM256" i="1"/>
  <c r="BL254" i="1"/>
  <c r="BM254" i="1"/>
  <c r="BL252" i="1"/>
  <c r="BM252" i="1"/>
  <c r="BL226" i="1"/>
  <c r="BM226" i="1"/>
  <c r="BL218" i="1"/>
  <c r="BM218" i="1"/>
  <c r="BL216" i="1"/>
  <c r="BM216" i="1"/>
  <c r="BL214" i="1"/>
  <c r="BM214" i="1"/>
  <c r="BL212" i="1"/>
  <c r="BM212" i="1"/>
  <c r="BL210" i="1"/>
  <c r="BM210" i="1"/>
  <c r="BL208" i="1"/>
  <c r="BM208" i="1"/>
  <c r="BL206" i="1"/>
  <c r="BM206" i="1"/>
  <c r="BL204" i="1"/>
  <c r="BM204" i="1"/>
  <c r="BL202" i="1"/>
  <c r="BM202" i="1"/>
  <c r="BL191" i="1"/>
  <c r="BM191" i="1"/>
  <c r="BL189" i="1"/>
  <c r="BM189" i="1"/>
  <c r="BL187" i="1"/>
  <c r="BM187" i="1"/>
  <c r="BL183" i="1"/>
  <c r="BM183" i="1"/>
  <c r="BL179" i="1"/>
  <c r="BM179" i="1"/>
  <c r="BL177" i="1"/>
  <c r="BM177" i="1"/>
  <c r="BL161" i="1"/>
  <c r="BM161" i="1"/>
  <c r="BL158" i="1"/>
  <c r="BM158" i="1"/>
  <c r="BL148" i="1"/>
  <c r="BM148" i="1"/>
  <c r="BL138" i="1"/>
  <c r="BM138" i="1"/>
  <c r="BL131" i="1"/>
  <c r="BM131" i="1"/>
  <c r="BL129" i="1"/>
  <c r="BM129" i="1"/>
  <c r="BL127" i="1"/>
  <c r="BM127" i="1"/>
  <c r="BL125" i="1"/>
  <c r="BM125" i="1"/>
  <c r="BL123" i="1"/>
  <c r="BM123" i="1"/>
  <c r="BL121" i="1"/>
  <c r="BM121" i="1"/>
  <c r="BL119" i="1"/>
  <c r="BM119" i="1"/>
  <c r="BL117" i="1"/>
  <c r="BM117" i="1"/>
  <c r="BL115" i="1"/>
  <c r="BM115" i="1"/>
  <c r="BL113" i="1"/>
  <c r="BM113" i="1"/>
  <c r="BL111" i="1"/>
  <c r="BM111" i="1"/>
  <c r="BL106" i="1"/>
  <c r="BM106" i="1"/>
  <c r="BL104" i="1"/>
  <c r="BM104" i="1"/>
  <c r="BL102" i="1"/>
  <c r="BM102" i="1"/>
  <c r="BL100" i="1"/>
  <c r="BM100" i="1"/>
  <c r="BL98" i="1"/>
  <c r="BM98" i="1"/>
  <c r="BL96" i="1"/>
  <c r="BM96" i="1"/>
  <c r="BL94" i="1"/>
  <c r="BM94" i="1"/>
  <c r="BL80" i="1"/>
  <c r="BM80" i="1"/>
  <c r="BL78" i="1"/>
  <c r="BM78" i="1"/>
  <c r="BL76" i="1"/>
  <c r="BM76" i="1"/>
  <c r="BL72" i="1"/>
  <c r="BM72" i="1"/>
  <c r="BL70" i="1"/>
  <c r="BM70" i="1"/>
  <c r="BL66" i="1"/>
  <c r="BM66" i="1"/>
  <c r="BL60" i="1"/>
  <c r="BM60" i="1"/>
  <c r="BL58" i="1"/>
  <c r="BM58" i="1"/>
  <c r="BL56" i="1"/>
  <c r="BM56" i="1"/>
  <c r="BL54" i="1"/>
  <c r="BM54" i="1"/>
  <c r="BL52" i="1"/>
  <c r="BM52" i="1"/>
  <c r="BL47" i="1"/>
  <c r="BM47" i="1"/>
  <c r="BL45" i="1"/>
  <c r="BM45" i="1"/>
  <c r="BL41" i="1"/>
  <c r="BM41" i="1"/>
  <c r="BL39" i="1"/>
  <c r="BM39" i="1"/>
  <c r="BL37" i="1"/>
  <c r="BM37" i="1"/>
  <c r="BL35" i="1"/>
  <c r="BM35" i="1"/>
  <c r="BL24" i="1"/>
  <c r="BM24" i="1"/>
  <c r="BL22" i="1"/>
  <c r="BM22" i="1"/>
  <c r="BL20" i="1"/>
  <c r="BM20" i="1"/>
  <c r="BL18" i="1"/>
  <c r="BM18" i="1"/>
  <c r="BL14" i="1"/>
  <c r="BM14" i="1"/>
  <c r="BL11" i="1"/>
  <c r="BM11" i="1"/>
  <c r="BL8" i="1"/>
  <c r="BM8" i="1"/>
  <c r="BL6" i="1"/>
  <c r="BM6" i="1"/>
  <c r="BL287" i="1"/>
  <c r="BM287" i="1"/>
  <c r="BL267" i="1"/>
  <c r="BM267" i="1"/>
  <c r="BL261" i="1"/>
  <c r="BM261" i="1"/>
  <c r="BL259" i="1"/>
  <c r="BM259" i="1"/>
  <c r="BL251" i="1"/>
  <c r="BM251" i="1"/>
  <c r="BL249" i="1"/>
  <c r="BM249" i="1"/>
  <c r="BL245" i="1"/>
  <c r="BM245" i="1"/>
  <c r="BL233" i="1"/>
  <c r="BM233" i="1"/>
  <c r="BL231" i="1"/>
  <c r="BM231" i="1"/>
  <c r="BL220" i="1"/>
  <c r="BM220" i="1"/>
  <c r="BL175" i="1"/>
  <c r="BM175" i="1"/>
  <c r="BL294" i="1"/>
  <c r="BM294" i="1"/>
  <c r="BL292" i="1"/>
  <c r="BM292" i="1"/>
  <c r="BL290" i="1"/>
  <c r="BM290" i="1"/>
  <c r="BL288" i="1"/>
  <c r="BM288" i="1"/>
  <c r="BL286" i="1"/>
  <c r="BM286" i="1"/>
  <c r="BL284" i="1"/>
  <c r="BM284" i="1"/>
  <c r="BL282" i="1"/>
  <c r="BM282" i="1"/>
  <c r="BL279" i="1"/>
  <c r="BM279" i="1"/>
  <c r="BL277" i="1"/>
  <c r="BM277" i="1"/>
  <c r="BL274" i="1"/>
  <c r="BM274" i="1"/>
  <c r="BL272" i="1"/>
  <c r="BM272" i="1"/>
  <c r="BL270" i="1"/>
  <c r="BM270" i="1"/>
  <c r="BL268" i="1"/>
  <c r="BM268" i="1"/>
  <c r="BL266" i="1"/>
  <c r="BM266" i="1"/>
  <c r="BL264" i="1"/>
  <c r="BM264" i="1"/>
  <c r="BL262" i="1"/>
  <c r="BM262" i="1"/>
  <c r="BL260" i="1"/>
  <c r="BM260" i="1"/>
  <c r="BL250" i="1"/>
  <c r="BM250" i="1"/>
  <c r="BL248" i="1"/>
  <c r="BM248" i="1"/>
  <c r="BL246" i="1"/>
  <c r="BM246" i="1"/>
  <c r="BL244" i="1"/>
  <c r="BM244" i="1"/>
  <c r="BL242" i="1"/>
  <c r="BM242" i="1"/>
  <c r="BL240" i="1"/>
  <c r="BM240" i="1"/>
  <c r="BL238" i="1"/>
  <c r="BM238" i="1"/>
  <c r="BL236" i="1"/>
  <c r="BM236" i="1"/>
  <c r="BL234" i="1"/>
  <c r="BM234" i="1"/>
  <c r="BL232" i="1"/>
  <c r="BM232" i="1"/>
  <c r="BL230" i="1"/>
  <c r="BM230" i="1"/>
  <c r="BL228" i="1"/>
  <c r="BM228" i="1"/>
  <c r="BL223" i="1"/>
  <c r="BM223" i="1"/>
  <c r="BL221" i="1"/>
  <c r="BM221" i="1"/>
  <c r="BL200" i="1"/>
  <c r="BM200" i="1"/>
  <c r="BL198" i="1"/>
  <c r="BM198" i="1"/>
  <c r="BL196" i="1"/>
  <c r="BM196" i="1"/>
  <c r="BL194" i="1"/>
  <c r="BM194" i="1"/>
  <c r="BL192" i="1"/>
  <c r="BM192" i="1"/>
  <c r="BL185" i="1"/>
  <c r="BM185" i="1"/>
  <c r="BL181" i="1"/>
  <c r="BM181" i="1"/>
  <c r="BL176" i="1"/>
  <c r="BM176" i="1"/>
  <c r="BL174" i="1"/>
  <c r="BM174" i="1"/>
  <c r="BL172" i="1"/>
  <c r="BM172" i="1"/>
  <c r="BL170" i="1"/>
  <c r="BM170" i="1"/>
  <c r="BL168" i="1"/>
  <c r="BM168" i="1"/>
  <c r="BL166" i="1"/>
  <c r="BM166" i="1"/>
  <c r="BL164" i="1"/>
  <c r="BM164" i="1"/>
  <c r="BL162" i="1"/>
  <c r="BM162" i="1"/>
  <c r="BL159" i="1"/>
  <c r="BM159" i="1"/>
  <c r="BL155" i="1"/>
  <c r="BM155" i="1"/>
  <c r="BL153" i="1"/>
  <c r="BM153" i="1"/>
  <c r="BL151" i="1"/>
  <c r="BM151" i="1"/>
  <c r="BL149" i="1"/>
  <c r="BM149" i="1"/>
  <c r="BL146" i="1"/>
  <c r="BM146" i="1"/>
  <c r="BL144" i="1"/>
  <c r="BM144" i="1"/>
  <c r="BL142" i="1"/>
  <c r="BM142" i="1"/>
  <c r="BL140" i="1"/>
  <c r="BM140" i="1"/>
  <c r="BL136" i="1"/>
  <c r="BM136" i="1"/>
  <c r="BL134" i="1"/>
  <c r="BM134" i="1"/>
  <c r="BL132" i="1"/>
  <c r="BM132" i="1"/>
  <c r="BL110" i="1"/>
  <c r="BM110" i="1"/>
  <c r="BL108" i="1"/>
  <c r="BM108" i="1"/>
  <c r="BL92" i="1"/>
  <c r="BM92" i="1"/>
  <c r="BL89" i="1"/>
  <c r="BM89" i="1"/>
  <c r="BL87" i="1"/>
  <c r="BM87" i="1"/>
  <c r="BL85" i="1"/>
  <c r="BM85" i="1"/>
  <c r="BL83" i="1"/>
  <c r="BM83" i="1"/>
  <c r="BL75" i="1"/>
  <c r="BM75" i="1"/>
  <c r="BL69" i="1"/>
  <c r="BM69" i="1"/>
  <c r="BL67" i="1"/>
  <c r="BM67" i="1"/>
  <c r="BL64" i="1"/>
  <c r="BM64" i="1"/>
  <c r="BL62" i="1"/>
  <c r="BM62" i="1"/>
  <c r="BL50" i="1"/>
  <c r="BM50" i="1"/>
  <c r="BL43" i="1"/>
  <c r="BM43" i="1"/>
  <c r="BL33" i="1"/>
  <c r="BM33" i="1"/>
  <c r="BL31" i="1"/>
  <c r="BM31" i="1"/>
  <c r="BL29" i="1"/>
  <c r="BM29" i="1"/>
  <c r="BL26" i="1"/>
  <c r="BM26" i="1"/>
  <c r="BL16" i="1"/>
  <c r="BM16" i="1"/>
  <c r="BL9" i="1"/>
  <c r="BM9" i="1"/>
  <c r="BL291" i="1"/>
  <c r="BM291" i="1"/>
  <c r="BL273" i="1"/>
  <c r="BM273" i="1"/>
  <c r="BL239" i="1"/>
  <c r="BM239" i="1"/>
  <c r="BL237" i="1"/>
  <c r="BM237" i="1"/>
  <c r="BL227" i="1"/>
  <c r="BM227" i="1"/>
  <c r="BL224" i="1"/>
  <c r="BM224" i="1"/>
  <c r="BL222" i="1"/>
  <c r="BM222" i="1"/>
  <c r="BL199" i="1"/>
  <c r="BM199" i="1"/>
  <c r="BL182" i="1"/>
  <c r="BM182" i="1"/>
  <c r="BL154" i="1"/>
  <c r="BM154" i="1"/>
  <c r="BL275" i="1"/>
  <c r="BM275" i="1"/>
  <c r="BL257" i="1"/>
  <c r="BM257" i="1"/>
  <c r="BL255" i="1"/>
  <c r="BM255" i="1"/>
  <c r="BL253" i="1"/>
  <c r="BM253" i="1"/>
  <c r="BL225" i="1"/>
  <c r="BM225" i="1"/>
  <c r="BL219" i="1"/>
  <c r="BM219" i="1"/>
  <c r="BL217" i="1"/>
  <c r="BM217" i="1"/>
  <c r="BL215" i="1"/>
  <c r="BM215" i="1"/>
  <c r="BL213" i="1"/>
  <c r="BM213" i="1"/>
  <c r="BL211" i="1"/>
  <c r="BM211" i="1"/>
  <c r="BL209" i="1"/>
  <c r="BM209" i="1"/>
  <c r="BL207" i="1"/>
  <c r="BM207" i="1"/>
  <c r="BL203" i="1"/>
  <c r="BM203" i="1"/>
  <c r="BL201" i="1"/>
  <c r="BM201" i="1"/>
  <c r="BL190" i="1"/>
  <c r="BM190" i="1"/>
  <c r="BL188" i="1"/>
  <c r="BM188" i="1"/>
  <c r="BL184" i="1"/>
  <c r="BM184" i="1"/>
  <c r="BL180" i="1"/>
  <c r="BM180" i="1"/>
  <c r="BL178" i="1"/>
  <c r="BM178" i="1"/>
  <c r="BL160" i="1"/>
  <c r="BM160" i="1"/>
  <c r="BL157" i="1"/>
  <c r="BM157" i="1"/>
  <c r="BL147" i="1"/>
  <c r="BM147" i="1"/>
  <c r="BL130" i="1"/>
  <c r="BM130" i="1"/>
  <c r="BL128" i="1"/>
  <c r="BM128" i="1"/>
  <c r="BL126" i="1"/>
  <c r="BM126" i="1"/>
  <c r="BL124" i="1"/>
  <c r="BM124" i="1"/>
  <c r="BL122" i="1"/>
  <c r="BM122" i="1"/>
  <c r="BL120" i="1"/>
  <c r="BM120" i="1"/>
  <c r="BL118" i="1"/>
  <c r="BM118" i="1"/>
  <c r="BL116" i="1"/>
  <c r="BM116" i="1"/>
  <c r="BL114" i="1"/>
  <c r="BM114" i="1"/>
  <c r="BL112" i="1"/>
  <c r="BM112" i="1"/>
  <c r="BL107" i="1"/>
  <c r="BM107" i="1"/>
  <c r="BL105" i="1"/>
  <c r="BM105" i="1"/>
  <c r="BL103" i="1"/>
  <c r="BM103" i="1"/>
  <c r="BL101" i="1"/>
  <c r="BM101" i="1"/>
  <c r="BL99" i="1"/>
  <c r="BM99" i="1"/>
  <c r="BL97" i="1"/>
  <c r="BM97" i="1"/>
  <c r="BL95" i="1"/>
  <c r="BM95" i="1"/>
  <c r="BL91" i="1"/>
  <c r="BM91" i="1"/>
  <c r="BL81" i="1"/>
  <c r="BM81" i="1"/>
  <c r="BL79" i="1"/>
  <c r="BM79" i="1"/>
  <c r="BL77" i="1"/>
  <c r="BM77" i="1"/>
  <c r="BL73" i="1"/>
  <c r="BM73" i="1"/>
  <c r="BL71" i="1"/>
  <c r="BM71" i="1"/>
  <c r="BL61" i="1"/>
  <c r="BM61" i="1"/>
  <c r="BL59" i="1"/>
  <c r="BM59" i="1"/>
  <c r="BL57" i="1"/>
  <c r="BM57" i="1"/>
  <c r="BL55" i="1"/>
  <c r="BM55" i="1"/>
  <c r="BL53" i="1"/>
  <c r="BM53" i="1"/>
  <c r="BL51" i="1"/>
  <c r="BM51" i="1"/>
  <c r="BL48" i="1"/>
  <c r="BM48" i="1"/>
  <c r="BL46" i="1"/>
  <c r="BM46" i="1"/>
  <c r="BL44" i="1"/>
  <c r="BM44" i="1"/>
  <c r="BL40" i="1"/>
  <c r="BM40" i="1"/>
  <c r="BL38" i="1"/>
  <c r="BM38" i="1"/>
  <c r="BL36" i="1"/>
  <c r="BM36" i="1"/>
  <c r="BL34" i="1"/>
  <c r="BM34" i="1"/>
  <c r="BL28" i="1"/>
  <c r="BM28" i="1"/>
  <c r="BL25" i="1"/>
  <c r="BM25" i="1"/>
  <c r="BL23" i="1"/>
  <c r="BM23" i="1"/>
  <c r="BL21" i="1"/>
  <c r="BM21" i="1"/>
  <c r="BL19" i="1"/>
  <c r="BM19" i="1"/>
  <c r="BL17" i="1"/>
  <c r="BM17" i="1"/>
  <c r="BL15" i="1"/>
  <c r="BM15" i="1"/>
  <c r="BL12" i="1"/>
  <c r="BM12" i="1"/>
  <c r="BL10" i="1"/>
  <c r="BM10" i="1"/>
  <c r="BL7" i="1"/>
  <c r="BM7" i="1"/>
  <c r="BL5" i="1"/>
  <c r="BM5" i="1"/>
  <c r="BL295" i="1"/>
  <c r="BM295" i="1"/>
  <c r="AP316" i="1"/>
  <c r="AP386" i="1"/>
  <c r="AP373" i="1"/>
  <c r="AP345" i="1"/>
  <c r="AL382" i="1"/>
  <c r="AL367" i="1"/>
  <c r="AM344" i="1"/>
  <c r="AL315" i="1"/>
  <c r="AT203" i="1"/>
  <c r="EG245" i="1"/>
  <c r="EG232" i="1"/>
  <c r="EG97" i="1"/>
  <c r="AL90" i="1"/>
  <c r="EG254" i="1"/>
  <c r="EG243" i="1"/>
  <c r="EG208" i="1"/>
  <c r="EG201" i="1"/>
  <c r="EG199" i="1"/>
  <c r="EG206" i="1"/>
  <c r="AL263" i="1"/>
  <c r="EG250" i="1"/>
  <c r="EG235" i="1"/>
  <c r="EG41" i="1"/>
  <c r="DR257" i="1"/>
  <c r="EG139" i="1"/>
  <c r="EG216" i="1"/>
  <c r="AL122" i="1"/>
  <c r="EG7" i="1"/>
  <c r="AM178" i="1"/>
  <c r="EG295" i="1"/>
  <c r="EG240" i="1"/>
  <c r="EG212" i="1"/>
  <c r="EG83" i="1"/>
  <c r="EG247" i="1"/>
  <c r="EG225" i="1"/>
  <c r="EG223" i="1"/>
  <c r="AL205" i="1"/>
  <c r="EX18" i="1"/>
  <c r="AN430" i="1"/>
  <c r="AN263" i="1"/>
  <c r="AP471" i="1"/>
  <c r="AL344" i="1"/>
  <c r="AP459" i="1"/>
  <c r="AL444" i="1"/>
  <c r="AQ444" i="1" s="1"/>
  <c r="AL420" i="1"/>
  <c r="EG131" i="1"/>
  <c r="AM9" i="1"/>
  <c r="AM225" i="1"/>
  <c r="AT323" i="1"/>
  <c r="AP264" i="1"/>
  <c r="AM430" i="1"/>
  <c r="AL430" i="1"/>
  <c r="AN126" i="1"/>
  <c r="BC126" i="1" s="1"/>
  <c r="BI47" i="1"/>
  <c r="AP469" i="1"/>
  <c r="BK105" i="1"/>
  <c r="AN287" i="1"/>
  <c r="AL142" i="1"/>
  <c r="BI468" i="1"/>
  <c r="BK161" i="1"/>
  <c r="AN116" i="1"/>
  <c r="BI59" i="1"/>
  <c r="BI455" i="1"/>
  <c r="BI452" i="1"/>
  <c r="AP449" i="1"/>
  <c r="BI408" i="1"/>
  <c r="AP5" i="1"/>
  <c r="AP200" i="1"/>
  <c r="AM205" i="1"/>
  <c r="AM157" i="1"/>
  <c r="AP72" i="1"/>
  <c r="AP96" i="1"/>
  <c r="AM462" i="1"/>
  <c r="AM237" i="1"/>
  <c r="AP198" i="1"/>
  <c r="AM91" i="1"/>
  <c r="AM144" i="1"/>
  <c r="AN44" i="1"/>
  <c r="AL102" i="1"/>
  <c r="AL398" i="1"/>
  <c r="AM37" i="1"/>
  <c r="BK76" i="1"/>
  <c r="AN398" i="1"/>
  <c r="AT325" i="1"/>
  <c r="AN37" i="1"/>
  <c r="BI437" i="1"/>
  <c r="BI335" i="1"/>
  <c r="AP447" i="1"/>
  <c r="BI144" i="1"/>
  <c r="BK454" i="1"/>
  <c r="AN124" i="1"/>
  <c r="AM110" i="1"/>
  <c r="BK331" i="1"/>
  <c r="BI266" i="1"/>
  <c r="AL63" i="1"/>
  <c r="AM420" i="1"/>
  <c r="AN224" i="1"/>
  <c r="AN198" i="1"/>
  <c r="BI385" i="1"/>
  <c r="BI461" i="1"/>
  <c r="AP472" i="1"/>
  <c r="BI68" i="1"/>
  <c r="BI439" i="1"/>
  <c r="AN304" i="1"/>
  <c r="AT322" i="1"/>
  <c r="AT315" i="1"/>
  <c r="AT314" i="1"/>
  <c r="AT313" i="1"/>
  <c r="AT312" i="1"/>
  <c r="AT311" i="1"/>
  <c r="AT310" i="1"/>
  <c r="AT309" i="1"/>
  <c r="AP203" i="1"/>
  <c r="AP142" i="1"/>
  <c r="AP64" i="1"/>
  <c r="AP67" i="1"/>
  <c r="AP119" i="1"/>
  <c r="AP130" i="1"/>
  <c r="AP267" i="1"/>
  <c r="AP107" i="1"/>
  <c r="AP206" i="1"/>
  <c r="AP233" i="1"/>
  <c r="AP127" i="1"/>
  <c r="AP65" i="1"/>
  <c r="AP157" i="1"/>
  <c r="AP116" i="1"/>
  <c r="AP66" i="1"/>
  <c r="AP260" i="1"/>
  <c r="AP295" i="1"/>
  <c r="AP42" i="1"/>
  <c r="AP286" i="1"/>
  <c r="AP36" i="1"/>
  <c r="AP39" i="1"/>
  <c r="AP236" i="1"/>
  <c r="AP37" i="1"/>
  <c r="AP113" i="1"/>
  <c r="AP177" i="1"/>
  <c r="AP137" i="1"/>
  <c r="AP28" i="1"/>
  <c r="AP259" i="1"/>
  <c r="AP29" i="1"/>
  <c r="AP156" i="1"/>
  <c r="AP266" i="1"/>
  <c r="AP20" i="1"/>
  <c r="AP109" i="1"/>
  <c r="AP171" i="1"/>
  <c r="AP10" i="1"/>
  <c r="AP125" i="1"/>
  <c r="AP4" i="1"/>
  <c r="AP254" i="1"/>
  <c r="AT307" i="1"/>
  <c r="AT175" i="1"/>
  <c r="AT304" i="1"/>
  <c r="AT264" i="1"/>
  <c r="AT123" i="1"/>
  <c r="AT92" i="1"/>
  <c r="AT88" i="1"/>
  <c r="AT56" i="1"/>
  <c r="AT52" i="1"/>
  <c r="AT51" i="1"/>
  <c r="AN160" i="1"/>
  <c r="AT149" i="1"/>
  <c r="AT136" i="1"/>
  <c r="AT18" i="1"/>
  <c r="AT8" i="1"/>
  <c r="AT191" i="1"/>
  <c r="AT135" i="1"/>
  <c r="EG52" i="1"/>
  <c r="EG43" i="1"/>
  <c r="DR278" i="1"/>
  <c r="EG261" i="1"/>
  <c r="EG181" i="1"/>
  <c r="EG138" i="1"/>
  <c r="DR92" i="1"/>
  <c r="EG76" i="1"/>
  <c r="DR59" i="1"/>
  <c r="DR57" i="1"/>
  <c r="EG51" i="1"/>
  <c r="EG48" i="1"/>
  <c r="EG268" i="1"/>
  <c r="EG8" i="1"/>
  <c r="EG292" i="1"/>
  <c r="DR284" i="1"/>
  <c r="DR175" i="1"/>
  <c r="EG103" i="1"/>
  <c r="DR97" i="1"/>
  <c r="EG79" i="1"/>
  <c r="EG66" i="1"/>
  <c r="EG58" i="1"/>
  <c r="EG53" i="1"/>
  <c r="EG22" i="1"/>
  <c r="DR10" i="1"/>
  <c r="EG294" i="1"/>
  <c r="EG118" i="1"/>
  <c r="EG188" i="1"/>
  <c r="EG182" i="1"/>
  <c r="EG176" i="1"/>
  <c r="EG157" i="1"/>
  <c r="EG153" i="1"/>
  <c r="EG149" i="1"/>
  <c r="EG134" i="1"/>
  <c r="EG91" i="1"/>
  <c r="EG82" i="1"/>
  <c r="EG5" i="1"/>
  <c r="DR295" i="1"/>
  <c r="AT93" i="1"/>
  <c r="AN205" i="1"/>
  <c r="BC205" i="1" s="1"/>
  <c r="AT173" i="1"/>
  <c r="AN145" i="1"/>
  <c r="BC145" i="1" s="1"/>
  <c r="AT104" i="1"/>
  <c r="AT179" i="1"/>
  <c r="AT207" i="1"/>
  <c r="AL131" i="1"/>
  <c r="AT117" i="1"/>
  <c r="AT108" i="1"/>
  <c r="AT50" i="1"/>
  <c r="AT163" i="1"/>
  <c r="AM211" i="1"/>
  <c r="AT33" i="1"/>
  <c r="AT237" i="1"/>
  <c r="AT60" i="1"/>
  <c r="AT197" i="1"/>
  <c r="AT61" i="1"/>
  <c r="AT289" i="1"/>
  <c r="AT241" i="1"/>
  <c r="AT22" i="1"/>
  <c r="AT294" i="1"/>
  <c r="DR65" i="1"/>
  <c r="AT234" i="1"/>
  <c r="AT216" i="1"/>
  <c r="AT84" i="1"/>
  <c r="AT45" i="1"/>
  <c r="AT41" i="1"/>
  <c r="AT37" i="1"/>
  <c r="AT242" i="1"/>
  <c r="AT198" i="1"/>
  <c r="AT162" i="1"/>
  <c r="AT118" i="1"/>
  <c r="AT208" i="1"/>
  <c r="AT34" i="1"/>
  <c r="AT258" i="1"/>
  <c r="AT9" i="1"/>
  <c r="AT290" i="1"/>
  <c r="AT270" i="1"/>
  <c r="AT140" i="1"/>
  <c r="AT116" i="1"/>
  <c r="AT115" i="1"/>
  <c r="AT77" i="1"/>
  <c r="DR8" i="1"/>
  <c r="AT261" i="1"/>
  <c r="AL91" i="1"/>
  <c r="AT47" i="1"/>
  <c r="AT46" i="1"/>
  <c r="AT39" i="1"/>
  <c r="AT190" i="1"/>
  <c r="AT133" i="1"/>
  <c r="AT265" i="1"/>
  <c r="AL250" i="1"/>
  <c r="AT64" i="1"/>
  <c r="AM59" i="1"/>
  <c r="AT58" i="1"/>
  <c r="AT28" i="1"/>
  <c r="AT24" i="1"/>
  <c r="AT23" i="1"/>
  <c r="AT16" i="1"/>
  <c r="AT15" i="1"/>
  <c r="AT79" i="1"/>
  <c r="AT269" i="1"/>
  <c r="AT76" i="1"/>
  <c r="AT217" i="1"/>
  <c r="AT26" i="1"/>
  <c r="AT155" i="1"/>
  <c r="AT154" i="1"/>
  <c r="AT138" i="1"/>
  <c r="AT278" i="1"/>
  <c r="AT158" i="1"/>
  <c r="AT83" i="1"/>
  <c r="AT17" i="1"/>
  <c r="AT268" i="1"/>
  <c r="AT272" i="1"/>
  <c r="AT292" i="1"/>
  <c r="AT274" i="1"/>
  <c r="DR25" i="1"/>
  <c r="AT277" i="1"/>
  <c r="AT295" i="1"/>
  <c r="AT291" i="1"/>
  <c r="AT260" i="1"/>
  <c r="AT233" i="1"/>
  <c r="AT219" i="1"/>
  <c r="AN210" i="1"/>
  <c r="BC210" i="1" s="1"/>
  <c r="AN131" i="1"/>
  <c r="AT124" i="1"/>
  <c r="AT100" i="1"/>
  <c r="AT80" i="1"/>
  <c r="AT65" i="1"/>
  <c r="AT240" i="1"/>
  <c r="AT239" i="1"/>
  <c r="AT204" i="1"/>
  <c r="AT196" i="1"/>
  <c r="AT195" i="1"/>
  <c r="AT164" i="1"/>
  <c r="AT129" i="1"/>
  <c r="AN122" i="1"/>
  <c r="BC122" i="1" s="1"/>
  <c r="AT238" i="1"/>
  <c r="AT202" i="1"/>
  <c r="AT194" i="1"/>
  <c r="AT187" i="1"/>
  <c r="AT151" i="1"/>
  <c r="AT146" i="1"/>
  <c r="AT4" i="1"/>
  <c r="AT263" i="1"/>
  <c r="AT262" i="1"/>
  <c r="AT254" i="1"/>
  <c r="AL246" i="1"/>
  <c r="AT243" i="1"/>
  <c r="AT236" i="1"/>
  <c r="AT235" i="1"/>
  <c r="AT227" i="1"/>
  <c r="AL210" i="1"/>
  <c r="AT192" i="1"/>
  <c r="AL169" i="1"/>
  <c r="AT156" i="1"/>
  <c r="AT257" i="1"/>
  <c r="AT251" i="1"/>
  <c r="AT245" i="1"/>
  <c r="AT226" i="1"/>
  <c r="AT222" i="1"/>
  <c r="AT220" i="1"/>
  <c r="AT215" i="1"/>
  <c r="AT188" i="1"/>
  <c r="AT186" i="1"/>
  <c r="AT174" i="1"/>
  <c r="AT161" i="1"/>
  <c r="AT152" i="1"/>
  <c r="AT134" i="1"/>
  <c r="AT125" i="1"/>
  <c r="AT105" i="1"/>
  <c r="AT101" i="1"/>
  <c r="AT99" i="1"/>
  <c r="AT98" i="1"/>
  <c r="AT90" i="1"/>
  <c r="AT89" i="1"/>
  <c r="AT81" i="1"/>
  <c r="AT74" i="1"/>
  <c r="AT62" i="1"/>
  <c r="AT57" i="1"/>
  <c r="AT49" i="1"/>
  <c r="AT38" i="1"/>
  <c r="AT32" i="1"/>
  <c r="AT31" i="1"/>
  <c r="AT19" i="1"/>
  <c r="AT14" i="1"/>
  <c r="AT6" i="1"/>
  <c r="AT111" i="1"/>
  <c r="AT166" i="1"/>
  <c r="AT159" i="1"/>
  <c r="AT150" i="1"/>
  <c r="AT141" i="1"/>
  <c r="AT132" i="1"/>
  <c r="AT121" i="1"/>
  <c r="AT114" i="1"/>
  <c r="AT110" i="1"/>
  <c r="AT106" i="1"/>
  <c r="AT102" i="1"/>
  <c r="AT97" i="1"/>
  <c r="AT86" i="1"/>
  <c r="AT82" i="1"/>
  <c r="AT71" i="1"/>
  <c r="AT30" i="1"/>
  <c r="AT29" i="1"/>
  <c r="AT20" i="1"/>
  <c r="AT13" i="1"/>
  <c r="AT178" i="1"/>
  <c r="AT157" i="1"/>
  <c r="AT147" i="1"/>
  <c r="AT139" i="1"/>
  <c r="AT119" i="1"/>
  <c r="AT112" i="1"/>
  <c r="AT95" i="1"/>
  <c r="AT78" i="1"/>
  <c r="AT70" i="1"/>
  <c r="AT69" i="1"/>
  <c r="AT68" i="1"/>
  <c r="AT53" i="1"/>
  <c r="AT36" i="1"/>
  <c r="AT35" i="1"/>
  <c r="AT25" i="1"/>
  <c r="AT11" i="1"/>
  <c r="AT10" i="1"/>
  <c r="AT266" i="1"/>
  <c r="AT280" i="1"/>
  <c r="AT271" i="1"/>
  <c r="AT276" i="1"/>
  <c r="AT281" i="1"/>
  <c r="AT273" i="1"/>
  <c r="AT275" i="1"/>
  <c r="AT282" i="1"/>
  <c r="AT303" i="1"/>
  <c r="AT298" i="1"/>
  <c r="AT285" i="1"/>
  <c r="AT279" i="1"/>
  <c r="AL324" i="1"/>
  <c r="AT301" i="1"/>
  <c r="AT300" i="1"/>
  <c r="AT293" i="1"/>
  <c r="AT302" i="1"/>
  <c r="EG135" i="1"/>
  <c r="DR193" i="1"/>
  <c r="FM10" i="1"/>
  <c r="EG244" i="1"/>
  <c r="EG64" i="1"/>
  <c r="EG57" i="1"/>
  <c r="EG125" i="1"/>
  <c r="EG104" i="1"/>
  <c r="EG137" i="1"/>
  <c r="EG14" i="1"/>
  <c r="EG44" i="1"/>
  <c r="DR64" i="1"/>
  <c r="EG67" i="1"/>
  <c r="EG117" i="1"/>
  <c r="EG21" i="1"/>
  <c r="DR61" i="1"/>
  <c r="EG34" i="1"/>
  <c r="EG177" i="1"/>
  <c r="EG154" i="1"/>
  <c r="EG122" i="1"/>
  <c r="DR235" i="1"/>
  <c r="EG178" i="1"/>
  <c r="EG267" i="1"/>
  <c r="EG270" i="1"/>
  <c r="DR245" i="1"/>
  <c r="EG222" i="1"/>
  <c r="EG284" i="1"/>
  <c r="EG283" i="1"/>
  <c r="DR156" i="1"/>
  <c r="EG92" i="1"/>
  <c r="DR121" i="1"/>
  <c r="EG74" i="1"/>
  <c r="EG219" i="1"/>
  <c r="EG121" i="1"/>
  <c r="EG213" i="1"/>
  <c r="EG75" i="1"/>
  <c r="EG100" i="1"/>
  <c r="DR75" i="1"/>
  <c r="EG237" i="1"/>
  <c r="EG54" i="1"/>
  <c r="EG156" i="1"/>
  <c r="EG10" i="1"/>
  <c r="EG126" i="1"/>
  <c r="EG127" i="1"/>
  <c r="EG11" i="1"/>
  <c r="EG193" i="1"/>
  <c r="EG81" i="1"/>
  <c r="EG133" i="1"/>
  <c r="EG214" i="1"/>
  <c r="DR126" i="1"/>
  <c r="EG202" i="1"/>
  <c r="EG63" i="1"/>
  <c r="EG186" i="1"/>
  <c r="EG192" i="1"/>
  <c r="EG242" i="1"/>
  <c r="EG191" i="1"/>
  <c r="EG105" i="1"/>
  <c r="EG35" i="1"/>
  <c r="EG73" i="1"/>
  <c r="EG56" i="1"/>
  <c r="EG40" i="1"/>
  <c r="EG236" i="1"/>
  <c r="EG170" i="1"/>
  <c r="EG169" i="1"/>
  <c r="EG96" i="1"/>
  <c r="DR41" i="1"/>
  <c r="EG251" i="1"/>
  <c r="EG226" i="1"/>
  <c r="EG166" i="1"/>
  <c r="EG19" i="1"/>
  <c r="EG119" i="1"/>
  <c r="EG209" i="1"/>
  <c r="EG65" i="1"/>
  <c r="DR201" i="1"/>
  <c r="DR49" i="1"/>
  <c r="DR28" i="1"/>
  <c r="EG152" i="1"/>
  <c r="EG13" i="1"/>
  <c r="DR154" i="1"/>
  <c r="EG218" i="1"/>
  <c r="EG120" i="1"/>
  <c r="EG246" i="1"/>
  <c r="EG38" i="1"/>
  <c r="DR38" i="1"/>
  <c r="DR7" i="1"/>
  <c r="EG248" i="1"/>
  <c r="EG233" i="1"/>
  <c r="EG217" i="1"/>
  <c r="EG160" i="1"/>
  <c r="EG6" i="1"/>
  <c r="DR54" i="1"/>
  <c r="EG155" i="1"/>
  <c r="EG148" i="1"/>
  <c r="EG39" i="1"/>
  <c r="EG205" i="1"/>
  <c r="EG102" i="1"/>
  <c r="EG227" i="1"/>
  <c r="EG26" i="1"/>
  <c r="EG45" i="1"/>
  <c r="EG25" i="1"/>
  <c r="EG272" i="1"/>
  <c r="EG282" i="1"/>
  <c r="DR226" i="1"/>
  <c r="EG259" i="1"/>
  <c r="EG161" i="1"/>
  <c r="EG253" i="1"/>
  <c r="EG124" i="1"/>
  <c r="EG94" i="1"/>
  <c r="EG286" i="1"/>
  <c r="DR283" i="1"/>
  <c r="DR230" i="1"/>
  <c r="DR123" i="1"/>
  <c r="DR122" i="1"/>
  <c r="EG140" i="1"/>
  <c r="EG4" i="1"/>
  <c r="EG20" i="1"/>
  <c r="EG279" i="1"/>
  <c r="DR91" i="1"/>
  <c r="EG163" i="1"/>
  <c r="EG165" i="1"/>
  <c r="EG288" i="1"/>
  <c r="EG42" i="1"/>
  <c r="EG86" i="1"/>
  <c r="DR273" i="1"/>
  <c r="DR212" i="1"/>
  <c r="EG31" i="1"/>
  <c r="EG90" i="1"/>
  <c r="EG164" i="1"/>
  <c r="EG143" i="1"/>
  <c r="EG62" i="1"/>
  <c r="EG150" i="1"/>
  <c r="EG196" i="1"/>
  <c r="EG112" i="1"/>
  <c r="EG84" i="1"/>
  <c r="EG159" i="1"/>
  <c r="EG210" i="1"/>
  <c r="EG80" i="1"/>
  <c r="EG72" i="1"/>
  <c r="EG60" i="1"/>
  <c r="EG273" i="1"/>
  <c r="EG281" i="1"/>
  <c r="DR163" i="1"/>
  <c r="DR107" i="1"/>
  <c r="DR80" i="1"/>
  <c r="EG190" i="1"/>
  <c r="EG172" i="1"/>
  <c r="EG59" i="1"/>
  <c r="EG151" i="1"/>
  <c r="EG207" i="1"/>
  <c r="EG37" i="1"/>
  <c r="EG274" i="1"/>
  <c r="EG280" i="1"/>
  <c r="DR144" i="1"/>
  <c r="DR90" i="1"/>
  <c r="EG61" i="1"/>
  <c r="EG12" i="1"/>
  <c r="DR176" i="1"/>
  <c r="DR11" i="1"/>
  <c r="EG262" i="1"/>
  <c r="EG260" i="1"/>
  <c r="EG276" i="1"/>
  <c r="DR259" i="1"/>
  <c r="DR208" i="1"/>
  <c r="DR207" i="1"/>
  <c r="DR222" i="1"/>
  <c r="DR190" i="1"/>
  <c r="DR289" i="1"/>
  <c r="EG269" i="1"/>
  <c r="DR143" i="1"/>
  <c r="EG175" i="1"/>
  <c r="EG93" i="1"/>
  <c r="DR110" i="1"/>
  <c r="EG265" i="1"/>
  <c r="EG264" i="1"/>
  <c r="DR157" i="1"/>
  <c r="DR149" i="1"/>
  <c r="EG132" i="1"/>
  <c r="DR224" i="1"/>
  <c r="EG89" i="1"/>
  <c r="EG146" i="1"/>
  <c r="EG70" i="1"/>
  <c r="EG147" i="1"/>
  <c r="EG123" i="1"/>
  <c r="EG110" i="1"/>
  <c r="EG107" i="1"/>
  <c r="EG238" i="1"/>
  <c r="EG106" i="1"/>
  <c r="EG234" i="1"/>
  <c r="EG113" i="1"/>
  <c r="EG98" i="1"/>
  <c r="DR141" i="1"/>
  <c r="DR69" i="1"/>
  <c r="DR47" i="1"/>
  <c r="DR292" i="1"/>
  <c r="EG291" i="1"/>
  <c r="DR290" i="1"/>
  <c r="EG278" i="1"/>
  <c r="EG266" i="1"/>
  <c r="DR249" i="1"/>
  <c r="EG231" i="1"/>
  <c r="DR214" i="1"/>
  <c r="DR162" i="1"/>
  <c r="DR130" i="1"/>
  <c r="DR50" i="1"/>
  <c r="DR30" i="1"/>
  <c r="DR72" i="1"/>
  <c r="EG15" i="1"/>
  <c r="EG204" i="1"/>
  <c r="EG114" i="1"/>
  <c r="EG78" i="1"/>
  <c r="EG195" i="1"/>
  <c r="EG141" i="1"/>
  <c r="EG85" i="1"/>
  <c r="EG68" i="1"/>
  <c r="EG203" i="1"/>
  <c r="EG194" i="1"/>
  <c r="EG185" i="1"/>
  <c r="EG173" i="1"/>
  <c r="EG144" i="1"/>
  <c r="EG108" i="1"/>
  <c r="EG47" i="1"/>
  <c r="EG256" i="1"/>
  <c r="EG174" i="1"/>
  <c r="EG258" i="1"/>
  <c r="EG128" i="1"/>
  <c r="EG18" i="1"/>
  <c r="EG88" i="1"/>
  <c r="EG17" i="1"/>
  <c r="DR234" i="1"/>
  <c r="EG287" i="1"/>
  <c r="DR243" i="1"/>
  <c r="DR240" i="1"/>
  <c r="EG228" i="1"/>
  <c r="EG200" i="1"/>
  <c r="DR182" i="1"/>
  <c r="DR152" i="1"/>
  <c r="DR138" i="1"/>
  <c r="DR124" i="1"/>
  <c r="DR60" i="1"/>
  <c r="DR34" i="1"/>
  <c r="DR19" i="1"/>
  <c r="EG29" i="1"/>
  <c r="EG30" i="1"/>
  <c r="EG28" i="1"/>
  <c r="EG277" i="1"/>
  <c r="DR165" i="1"/>
  <c r="DR158" i="1"/>
  <c r="EG158" i="1"/>
  <c r="EG142" i="1"/>
  <c r="DR46" i="1"/>
  <c r="EG46" i="1"/>
  <c r="DR35" i="1"/>
  <c r="EG23" i="1"/>
  <c r="DR6" i="1"/>
  <c r="DR258" i="1"/>
  <c r="EG220" i="1"/>
  <c r="DR210" i="1"/>
  <c r="DR204" i="1"/>
  <c r="DR198" i="1"/>
  <c r="EG198" i="1"/>
  <c r="DR95" i="1"/>
  <c r="EG95" i="1"/>
  <c r="EG87" i="1"/>
  <c r="DR78" i="1"/>
  <c r="EG77" i="1"/>
  <c r="EG71" i="1"/>
  <c r="EG69" i="1"/>
  <c r="EG55" i="1"/>
  <c r="DR17" i="1"/>
  <c r="EG9" i="1"/>
  <c r="EG27" i="1"/>
  <c r="EG101" i="1"/>
  <c r="DR100" i="1"/>
  <c r="EG290" i="1"/>
  <c r="DR153" i="1"/>
  <c r="DR44" i="1"/>
  <c r="DR246" i="1"/>
  <c r="EG168" i="1"/>
  <c r="DR271" i="1"/>
  <c r="DR167" i="1"/>
  <c r="DR275" i="1"/>
  <c r="DR42" i="1"/>
  <c r="DR16" i="1"/>
  <c r="DR14" i="1"/>
  <c r="EG241" i="1"/>
  <c r="EG230" i="1"/>
  <c r="EG221" i="1"/>
  <c r="EG162" i="1"/>
  <c r="EG115" i="1"/>
  <c r="EG179" i="1"/>
  <c r="EG189" i="1"/>
  <c r="EG109" i="1"/>
  <c r="EG33" i="1"/>
  <c r="EG289" i="1"/>
  <c r="DR183" i="1"/>
  <c r="EG293" i="1"/>
  <c r="DR287" i="1"/>
  <c r="DR285" i="1"/>
  <c r="DR279" i="1"/>
  <c r="DR250" i="1"/>
  <c r="DR213" i="1"/>
  <c r="DR180" i="1"/>
  <c r="DR169" i="1"/>
  <c r="DR166" i="1"/>
  <c r="EG180" i="1"/>
  <c r="EG275" i="1"/>
  <c r="DR225" i="1"/>
  <c r="EG184" i="1"/>
  <c r="EG167" i="1"/>
  <c r="EG249" i="1"/>
  <c r="EG224" i="1"/>
  <c r="EG183" i="1"/>
  <c r="EG116" i="1"/>
  <c r="EG252" i="1"/>
  <c r="EG187" i="1"/>
  <c r="EG32" i="1"/>
  <c r="EG24" i="1"/>
  <c r="EG16" i="1"/>
  <c r="EG271" i="1"/>
  <c r="EG285" i="1"/>
  <c r="DR188" i="1"/>
  <c r="DR116" i="1"/>
  <c r="DR108" i="1"/>
  <c r="DR106" i="1"/>
  <c r="DR32" i="1"/>
  <c r="DR291" i="1"/>
  <c r="DR253" i="1"/>
  <c r="DR178" i="1"/>
  <c r="DR148" i="1"/>
  <c r="DR77" i="1"/>
  <c r="DR205" i="1"/>
  <c r="DR194" i="1"/>
  <c r="DR150" i="1"/>
  <c r="DR23" i="1"/>
  <c r="DR281" i="1"/>
  <c r="DR268" i="1"/>
  <c r="DR260" i="1"/>
  <c r="DR267" i="1"/>
  <c r="DR272" i="1"/>
  <c r="DR135" i="1"/>
  <c r="DR113" i="1"/>
  <c r="DR24" i="1"/>
  <c r="DR4" i="1"/>
  <c r="DR220" i="1"/>
  <c r="DR170" i="1"/>
  <c r="DR125" i="1"/>
  <c r="DR109" i="1"/>
  <c r="DR62" i="1"/>
  <c r="DR20" i="1"/>
  <c r="DR255" i="1"/>
  <c r="DR136" i="1"/>
  <c r="DR227" i="1"/>
  <c r="DR151" i="1"/>
  <c r="DR147" i="1"/>
  <c r="DR142" i="1"/>
  <c r="DR83" i="1"/>
  <c r="EG49" i="1"/>
  <c r="DR18" i="1"/>
  <c r="DR12" i="1"/>
  <c r="EG257" i="1"/>
  <c r="EG263" i="1"/>
  <c r="EG171" i="1"/>
  <c r="EG145" i="1"/>
  <c r="DR236" i="1"/>
  <c r="DR184" i="1"/>
  <c r="DR164" i="1"/>
  <c r="DR244" i="1"/>
  <c r="DR217" i="1"/>
  <c r="DR79" i="1"/>
  <c r="DR37" i="1"/>
  <c r="DR36" i="1"/>
  <c r="DR13" i="1"/>
  <c r="EG215" i="1"/>
  <c r="EG36" i="1"/>
  <c r="EG130" i="1"/>
  <c r="EG255" i="1"/>
  <c r="EG129" i="1"/>
  <c r="EG50" i="1"/>
  <c r="EG136" i="1"/>
  <c r="DR269" i="1"/>
  <c r="EG211" i="1"/>
  <c r="DR192" i="1"/>
  <c r="DR199" i="1"/>
  <c r="DR89" i="1"/>
  <c r="DR274" i="1"/>
  <c r="DR191" i="1"/>
  <c r="DR186" i="1"/>
  <c r="DR139" i="1"/>
  <c r="DR117" i="1"/>
  <c r="DR114" i="1"/>
  <c r="DR26" i="1"/>
  <c r="DR262" i="1"/>
  <c r="DR251" i="1"/>
  <c r="DR85" i="1"/>
  <c r="DR84" i="1"/>
  <c r="DR53" i="1"/>
  <c r="DR94" i="1"/>
  <c r="DR87" i="1"/>
  <c r="DR70" i="1"/>
  <c r="DR68" i="1"/>
  <c r="DR66" i="1"/>
  <c r="DR48" i="1"/>
  <c r="DR43" i="1"/>
  <c r="DR33" i="1"/>
  <c r="DR239" i="1"/>
  <c r="DR120" i="1"/>
  <c r="DR111" i="1"/>
  <c r="DR99" i="1"/>
  <c r="DR282" i="1"/>
  <c r="DR216" i="1"/>
  <c r="AP124" i="1"/>
  <c r="DR276" i="1"/>
  <c r="EG99" i="1"/>
  <c r="EG197" i="1"/>
  <c r="EG111" i="1"/>
  <c r="DR263" i="1"/>
  <c r="DR241" i="1"/>
  <c r="DR228" i="1"/>
  <c r="DR203" i="1"/>
  <c r="DR174" i="1"/>
  <c r="DR137" i="1"/>
  <c r="DR200" i="1"/>
  <c r="EG239" i="1"/>
  <c r="DR177" i="1"/>
  <c r="DR196" i="1"/>
  <c r="DR104" i="1"/>
  <c r="DR256" i="1"/>
  <c r="DR146" i="1"/>
  <c r="DR134" i="1"/>
  <c r="DR132" i="1"/>
  <c r="DR105" i="1"/>
  <c r="DR238" i="1"/>
  <c r="DR237" i="1"/>
  <c r="DR202" i="1"/>
  <c r="DR179" i="1"/>
  <c r="DR133" i="1"/>
  <c r="DR155" i="1"/>
  <c r="DR131" i="1"/>
  <c r="DR96" i="1"/>
  <c r="DR93" i="1"/>
  <c r="EX16" i="1"/>
  <c r="DR280" i="1"/>
  <c r="DR218" i="1"/>
  <c r="DR288" i="1"/>
  <c r="DR286" i="1"/>
  <c r="AP207" i="1"/>
  <c r="DR270" i="1"/>
  <c r="DR254" i="1"/>
  <c r="DR209" i="1"/>
  <c r="DR195" i="1"/>
  <c r="DR173" i="1"/>
  <c r="DR294" i="1"/>
  <c r="DR293" i="1"/>
  <c r="DR277" i="1"/>
  <c r="DR219" i="1"/>
  <c r="DR266" i="1"/>
  <c r="DR252" i="1"/>
  <c r="DR248" i="1"/>
  <c r="DR221" i="1"/>
  <c r="DR215" i="1"/>
  <c r="DR171" i="1"/>
  <c r="DR265" i="1"/>
  <c r="DR264" i="1"/>
  <c r="DR261" i="1"/>
  <c r="DR242" i="1"/>
  <c r="DR233" i="1"/>
  <c r="DR206" i="1"/>
  <c r="DR247" i="1"/>
  <c r="DR232" i="1"/>
  <c r="DR231" i="1"/>
  <c r="DR211" i="1"/>
  <c r="DR168" i="1"/>
  <c r="DR161" i="1"/>
  <c r="DR145" i="1"/>
  <c r="DR71" i="1"/>
  <c r="DR187" i="1"/>
  <c r="DR181" i="1"/>
  <c r="DR140" i="1"/>
  <c r="DR223" i="1"/>
  <c r="DR197" i="1"/>
  <c r="DR189" i="1"/>
  <c r="DR185" i="1"/>
  <c r="DR172" i="1"/>
  <c r="DR160" i="1"/>
  <c r="DR159" i="1"/>
  <c r="DR101" i="1"/>
  <c r="DR127" i="1"/>
  <c r="DR118" i="1"/>
  <c r="DR115" i="1"/>
  <c r="DR129" i="1"/>
  <c r="DR128" i="1"/>
  <c r="DR119" i="1"/>
  <c r="AP89" i="1"/>
  <c r="DR86" i="1"/>
  <c r="DR76" i="1"/>
  <c r="DR67" i="1"/>
  <c r="DR112" i="1"/>
  <c r="DR103" i="1"/>
  <c r="DR98" i="1"/>
  <c r="DR88" i="1"/>
  <c r="DR82" i="1"/>
  <c r="DR81" i="1"/>
  <c r="DR73" i="1"/>
  <c r="DR102" i="1"/>
  <c r="DR74" i="1"/>
  <c r="DR63" i="1"/>
  <c r="DR58" i="1"/>
  <c r="DR55" i="1"/>
  <c r="DR45" i="1"/>
  <c r="DR56" i="1"/>
  <c r="DR52" i="1"/>
  <c r="DR40" i="1"/>
  <c r="DR22" i="1"/>
  <c r="DR39" i="1"/>
  <c r="DR51" i="1"/>
  <c r="DR29" i="1"/>
  <c r="DR27" i="1"/>
  <c r="DR9" i="1"/>
  <c r="DR5" i="1"/>
  <c r="DR31" i="1"/>
  <c r="DR21" i="1"/>
  <c r="DR15" i="1"/>
  <c r="Z33" i="5"/>
  <c r="BK461" i="1"/>
  <c r="BK476" i="1"/>
  <c r="BK474" i="1"/>
  <c r="BK480" i="1"/>
  <c r="BJ50" i="1" l="1"/>
  <c r="BJ92" i="1"/>
  <c r="BJ595" i="1"/>
  <c r="AV606" i="1"/>
  <c r="BE606" i="1"/>
  <c r="BE591" i="1"/>
  <c r="AV591" i="1"/>
  <c r="AN605" i="1"/>
  <c r="AM605" i="1"/>
  <c r="AL605" i="1"/>
  <c r="BE599" i="1"/>
  <c r="AV599" i="1"/>
  <c r="BJ581" i="1"/>
  <c r="BJ590" i="1"/>
  <c r="AM607" i="1"/>
  <c r="AN607" i="1"/>
  <c r="AL607" i="1"/>
  <c r="AN602" i="1"/>
  <c r="AM602" i="1"/>
  <c r="AL602" i="1"/>
  <c r="AN593" i="1"/>
  <c r="AL593" i="1"/>
  <c r="AM593" i="1"/>
  <c r="BE601" i="1"/>
  <c r="AV601" i="1"/>
  <c r="BE590" i="1"/>
  <c r="AV590" i="1"/>
  <c r="BI523" i="1"/>
  <c r="AM603" i="1"/>
  <c r="AN603" i="1"/>
  <c r="AL603" i="1"/>
  <c r="AL596" i="1"/>
  <c r="AM596" i="1"/>
  <c r="AN596" i="1"/>
  <c r="BE607" i="1"/>
  <c r="AV607" i="1"/>
  <c r="AP562" i="1"/>
  <c r="AP603" i="1"/>
  <c r="AN597" i="1"/>
  <c r="AM597" i="1"/>
  <c r="AL597" i="1"/>
  <c r="AN604" i="1"/>
  <c r="AM604" i="1"/>
  <c r="AL604" i="1"/>
  <c r="BE603" i="1"/>
  <c r="AV603" i="1"/>
  <c r="BE592" i="1"/>
  <c r="AV592" i="1"/>
  <c r="AP568" i="1"/>
  <c r="AP597" i="1"/>
  <c r="BI590" i="1"/>
  <c r="AL600" i="1"/>
  <c r="AM600" i="1"/>
  <c r="AN600" i="1"/>
  <c r="BE597" i="1"/>
  <c r="AV597" i="1"/>
  <c r="BK590" i="1"/>
  <c r="AM490" i="1"/>
  <c r="AL590" i="1"/>
  <c r="AN590" i="1"/>
  <c r="AM590" i="1"/>
  <c r="AP58" i="1"/>
  <c r="AP592" i="1"/>
  <c r="AP561" i="1"/>
  <c r="AP598" i="1"/>
  <c r="BI591" i="1"/>
  <c r="BJ18" i="1"/>
  <c r="BJ217" i="1"/>
  <c r="BJ606" i="1"/>
  <c r="AM595" i="1"/>
  <c r="AL595" i="1"/>
  <c r="AN595" i="1"/>
  <c r="AL601" i="1"/>
  <c r="AN601" i="1"/>
  <c r="AM601" i="1"/>
  <c r="BK591" i="1"/>
  <c r="BE595" i="1"/>
  <c r="AV595" i="1"/>
  <c r="BI595" i="1"/>
  <c r="BJ240" i="1"/>
  <c r="BJ282" i="1"/>
  <c r="BE593" i="1"/>
  <c r="AV593" i="1"/>
  <c r="BE598" i="1"/>
  <c r="AV598" i="1"/>
  <c r="AP563" i="1"/>
  <c r="AP605" i="1"/>
  <c r="AM594" i="1"/>
  <c r="AL594" i="1"/>
  <c r="AN594" i="1"/>
  <c r="AL606" i="1"/>
  <c r="AN606" i="1"/>
  <c r="AM606" i="1"/>
  <c r="BJ294" i="1"/>
  <c r="BK516" i="1"/>
  <c r="BI585" i="1"/>
  <c r="BJ600" i="1"/>
  <c r="AL598" i="1"/>
  <c r="AN598" i="1"/>
  <c r="AM598" i="1"/>
  <c r="BE594" i="1"/>
  <c r="AV594" i="1"/>
  <c r="AP567" i="1"/>
  <c r="AP596" i="1"/>
  <c r="BK600" i="1"/>
  <c r="BJ76" i="1"/>
  <c r="BE605" i="1"/>
  <c r="AV605" i="1"/>
  <c r="AP586" i="1"/>
  <c r="AP595" i="1"/>
  <c r="AN591" i="1"/>
  <c r="AM591" i="1"/>
  <c r="AL591" i="1"/>
  <c r="AL592" i="1"/>
  <c r="AN592" i="1"/>
  <c r="AM592" i="1"/>
  <c r="BE600" i="1"/>
  <c r="AV600" i="1"/>
  <c r="BI600" i="1"/>
  <c r="BI601" i="1"/>
  <c r="BJ231" i="1"/>
  <c r="BJ550" i="1"/>
  <c r="BJ599" i="1"/>
  <c r="BE596" i="1"/>
  <c r="AV596" i="1"/>
  <c r="AP543" i="1"/>
  <c r="AP594" i="1"/>
  <c r="BI599" i="1"/>
  <c r="BI606" i="1"/>
  <c r="BI517" i="1"/>
  <c r="AM599" i="1"/>
  <c r="AL599" i="1"/>
  <c r="AN599" i="1"/>
  <c r="BE604" i="1"/>
  <c r="AV604" i="1"/>
  <c r="BE602" i="1"/>
  <c r="AV602" i="1"/>
  <c r="AP585" i="1"/>
  <c r="AP600" i="1"/>
  <c r="BW601" i="1"/>
  <c r="CU21" i="1"/>
  <c r="CX21" i="1" s="1"/>
  <c r="CV21" i="1"/>
  <c r="EM263" i="1"/>
  <c r="EL263" i="1"/>
  <c r="CU275" i="1"/>
  <c r="CX275" i="1" s="1"/>
  <c r="CV275" i="1"/>
  <c r="EM80" i="1"/>
  <c r="EL80" i="1"/>
  <c r="EM105" i="1"/>
  <c r="EL105" i="1"/>
  <c r="CU111" i="1"/>
  <c r="CX111" i="1" s="1"/>
  <c r="CV111" i="1"/>
  <c r="EM159" i="1"/>
  <c r="EL159" i="1"/>
  <c r="CU27" i="1"/>
  <c r="CX27" i="1" s="1"/>
  <c r="CV27" i="1"/>
  <c r="CU103" i="1"/>
  <c r="CX103" i="1" s="1"/>
  <c r="CV103" i="1"/>
  <c r="CU48" i="1"/>
  <c r="CX48" i="1" s="1"/>
  <c r="CV48" i="1"/>
  <c r="CU37" i="1"/>
  <c r="CX37" i="1" s="1"/>
  <c r="CV37" i="1"/>
  <c r="CU267" i="1"/>
  <c r="CX267" i="1" s="1"/>
  <c r="CV267" i="1"/>
  <c r="CU116" i="1"/>
  <c r="CV116" i="1"/>
  <c r="EM275" i="1"/>
  <c r="EL275" i="1"/>
  <c r="EL179" i="1"/>
  <c r="EM179" i="1"/>
  <c r="EM290" i="1"/>
  <c r="EL290" i="1"/>
  <c r="CU204" i="1"/>
  <c r="CV204" i="1"/>
  <c r="EM29" i="1"/>
  <c r="EL29" i="1"/>
  <c r="EM18" i="1"/>
  <c r="EL18" i="1"/>
  <c r="EM78" i="1"/>
  <c r="EL78" i="1"/>
  <c r="EL172" i="1"/>
  <c r="EM172" i="1"/>
  <c r="EM62" i="1"/>
  <c r="EL62" i="1"/>
  <c r="EL140" i="1"/>
  <c r="EM140" i="1"/>
  <c r="EM26" i="1"/>
  <c r="EL26" i="1"/>
  <c r="EM246" i="1"/>
  <c r="EL246" i="1"/>
  <c r="CU41" i="1"/>
  <c r="CX41" i="1" s="1"/>
  <c r="CV41" i="1"/>
  <c r="CU126" i="1"/>
  <c r="CX126" i="1" s="1"/>
  <c r="CV126" i="1"/>
  <c r="EM121" i="1"/>
  <c r="EL121" i="1"/>
  <c r="EM177" i="1"/>
  <c r="EL177" i="1"/>
  <c r="CU193" i="1"/>
  <c r="CX193" i="1" s="1"/>
  <c r="CV193" i="1"/>
  <c r="EM149" i="1"/>
  <c r="EL149" i="1"/>
  <c r="CU175" i="1"/>
  <c r="CX175" i="1" s="1"/>
  <c r="CV175" i="1"/>
  <c r="EM52" i="1"/>
  <c r="EL52" i="1"/>
  <c r="CU282" i="1"/>
  <c r="CV282" i="1"/>
  <c r="CU148" i="1"/>
  <c r="CX148" i="1" s="1"/>
  <c r="CV148" i="1"/>
  <c r="EM77" i="1"/>
  <c r="EL77" i="1"/>
  <c r="EL107" i="1"/>
  <c r="EM107" i="1"/>
  <c r="EM161" i="1"/>
  <c r="EL161" i="1"/>
  <c r="EL156" i="1"/>
  <c r="EM156" i="1"/>
  <c r="CU73" i="1"/>
  <c r="CX73" i="1" s="1"/>
  <c r="CV73" i="1"/>
  <c r="CU26" i="1"/>
  <c r="CX26" i="1" s="1"/>
  <c r="CV26" i="1"/>
  <c r="EM274" i="1"/>
  <c r="EL274" i="1"/>
  <c r="EL163" i="1"/>
  <c r="EM163" i="1"/>
  <c r="CU82" i="1"/>
  <c r="CX82" i="1" s="1"/>
  <c r="CV82" i="1"/>
  <c r="EM49" i="1"/>
  <c r="EL49" i="1"/>
  <c r="CU173" i="1"/>
  <c r="CX173" i="1" s="1"/>
  <c r="CV173" i="1"/>
  <c r="CU43" i="1"/>
  <c r="CV43" i="1"/>
  <c r="CU36" i="1"/>
  <c r="CX36" i="1" s="1"/>
  <c r="CV36" i="1"/>
  <c r="EM88" i="1"/>
  <c r="EL88" i="1"/>
  <c r="EL195" i="1"/>
  <c r="EM195" i="1"/>
  <c r="EM89" i="1"/>
  <c r="EL89" i="1"/>
  <c r="CU208" i="1"/>
  <c r="CX208" i="1" s="1"/>
  <c r="CV208" i="1"/>
  <c r="EM150" i="1"/>
  <c r="EL150" i="1"/>
  <c r="EM45" i="1"/>
  <c r="EL45" i="1"/>
  <c r="EM251" i="1"/>
  <c r="EL251" i="1"/>
  <c r="EM153" i="1"/>
  <c r="EL153" i="1"/>
  <c r="EM41" i="1"/>
  <c r="EL41" i="1"/>
  <c r="CU144" i="1"/>
  <c r="CV144" i="1"/>
  <c r="EM130" i="1"/>
  <c r="EL130" i="1"/>
  <c r="EM224" i="1"/>
  <c r="EL224" i="1"/>
  <c r="EL203" i="1"/>
  <c r="EM203" i="1"/>
  <c r="CU95" i="1"/>
  <c r="CX95" i="1" s="1"/>
  <c r="CV95" i="1"/>
  <c r="CU98" i="1"/>
  <c r="CX98" i="1" s="1"/>
  <c r="CV98" i="1"/>
  <c r="CU206" i="1"/>
  <c r="CX206" i="1" s="1"/>
  <c r="CV206" i="1"/>
  <c r="CU203" i="1"/>
  <c r="CV203" i="1"/>
  <c r="CU142" i="1"/>
  <c r="CX142" i="1" s="1"/>
  <c r="CV142" i="1"/>
  <c r="CU153" i="1"/>
  <c r="CV153" i="1"/>
  <c r="CU233" i="1"/>
  <c r="CX233" i="1" s="1"/>
  <c r="CV233" i="1"/>
  <c r="CU22" i="1"/>
  <c r="CX22" i="1" s="1"/>
  <c r="CV22" i="1"/>
  <c r="CU189" i="1"/>
  <c r="CX189" i="1" s="1"/>
  <c r="CV189" i="1"/>
  <c r="CU242" i="1"/>
  <c r="CX242" i="1" s="1"/>
  <c r="CV242" i="1"/>
  <c r="CU209" i="1"/>
  <c r="CX209" i="1" s="1"/>
  <c r="CV209" i="1"/>
  <c r="CU241" i="1"/>
  <c r="CX241" i="1" s="1"/>
  <c r="CV241" i="1"/>
  <c r="CU79" i="1"/>
  <c r="CX79" i="1" s="1"/>
  <c r="CV79" i="1"/>
  <c r="CU260" i="1"/>
  <c r="CX260" i="1" s="1"/>
  <c r="CV260" i="1"/>
  <c r="CU188" i="1"/>
  <c r="CV188" i="1"/>
  <c r="EM180" i="1"/>
  <c r="EL180" i="1"/>
  <c r="EL115" i="1"/>
  <c r="EM115" i="1"/>
  <c r="CU100" i="1"/>
  <c r="CX100" i="1" s="1"/>
  <c r="CV100" i="1"/>
  <c r="CU210" i="1"/>
  <c r="CX210" i="1" s="1"/>
  <c r="CV210" i="1"/>
  <c r="CU19" i="1"/>
  <c r="CX19" i="1" s="1"/>
  <c r="CV19" i="1"/>
  <c r="EM128" i="1"/>
  <c r="EL128" i="1"/>
  <c r="EM114" i="1"/>
  <c r="EL114" i="1"/>
  <c r="CU47" i="1"/>
  <c r="CX47" i="1" s="1"/>
  <c r="CV47" i="1"/>
  <c r="EM132" i="1"/>
  <c r="EL132" i="1"/>
  <c r="EL276" i="1"/>
  <c r="EM276" i="1"/>
  <c r="EM190" i="1"/>
  <c r="EL190" i="1"/>
  <c r="EM143" i="1"/>
  <c r="EL143" i="1"/>
  <c r="CU122" i="1"/>
  <c r="CX122" i="1" s="1"/>
  <c r="CV122" i="1"/>
  <c r="EM227" i="1"/>
  <c r="EL227" i="1"/>
  <c r="EM120" i="1"/>
  <c r="EL120" i="1"/>
  <c r="EM96" i="1"/>
  <c r="EL96" i="1"/>
  <c r="EM214" i="1"/>
  <c r="EL214" i="1"/>
  <c r="EM219" i="1"/>
  <c r="EL219" i="1"/>
  <c r="EM34" i="1"/>
  <c r="EL34" i="1"/>
  <c r="EM135" i="1"/>
  <c r="EL135" i="1"/>
  <c r="CU40" i="1"/>
  <c r="CX40" i="1" s="1"/>
  <c r="CV40" i="1"/>
  <c r="CU197" i="1"/>
  <c r="CX197" i="1" s="1"/>
  <c r="CV197" i="1"/>
  <c r="CU238" i="1"/>
  <c r="CX238" i="1" s="1"/>
  <c r="CV238" i="1"/>
  <c r="CU263" i="1"/>
  <c r="CV263" i="1"/>
  <c r="CU68" i="1"/>
  <c r="CX68" i="1" s="1"/>
  <c r="CV68" i="1"/>
  <c r="CU89" i="1"/>
  <c r="CX89" i="1" s="1"/>
  <c r="CV89" i="1"/>
  <c r="CU217" i="1"/>
  <c r="CV217" i="1"/>
  <c r="CU227" i="1"/>
  <c r="CX227" i="1" s="1"/>
  <c r="CV227" i="1"/>
  <c r="EL285" i="1"/>
  <c r="EM285" i="1"/>
  <c r="CU166" i="1"/>
  <c r="CX166" i="1" s="1"/>
  <c r="CV166" i="1"/>
  <c r="EM162" i="1"/>
  <c r="EL162" i="1"/>
  <c r="EM101" i="1"/>
  <c r="EL101" i="1"/>
  <c r="EL220" i="1"/>
  <c r="EM220" i="1"/>
  <c r="EM258" i="1"/>
  <c r="EL258" i="1"/>
  <c r="EL204" i="1"/>
  <c r="EM204" i="1"/>
  <c r="CU69" i="1"/>
  <c r="CX69" i="1" s="1"/>
  <c r="CV69" i="1"/>
  <c r="EM260" i="1"/>
  <c r="EL260" i="1"/>
  <c r="CU80" i="1"/>
  <c r="CX80" i="1" s="1"/>
  <c r="CV80" i="1"/>
  <c r="EL164" i="1"/>
  <c r="EM164" i="1"/>
  <c r="CU123" i="1"/>
  <c r="CX123" i="1" s="1"/>
  <c r="CV123" i="1"/>
  <c r="EM102" i="1"/>
  <c r="EL102" i="1"/>
  <c r="EM218" i="1"/>
  <c r="EL218" i="1"/>
  <c r="EM169" i="1"/>
  <c r="EL169" i="1"/>
  <c r="EM133" i="1"/>
  <c r="EL133" i="1"/>
  <c r="EM74" i="1"/>
  <c r="EL74" i="1"/>
  <c r="CU61" i="1"/>
  <c r="CX61" i="1" s="1"/>
  <c r="CV61" i="1"/>
  <c r="EM157" i="1"/>
  <c r="EL157" i="1"/>
  <c r="EM292" i="1"/>
  <c r="EL292" i="1"/>
  <c r="EM235" i="1"/>
  <c r="EL235" i="1"/>
  <c r="EL221" i="1"/>
  <c r="EM221" i="1"/>
  <c r="EM176" i="1"/>
  <c r="EL176" i="1"/>
  <c r="EM8" i="1"/>
  <c r="EL8" i="1"/>
  <c r="EM250" i="1"/>
  <c r="EL250" i="1"/>
  <c r="CU52" i="1"/>
  <c r="CX52" i="1" s="1"/>
  <c r="CV52" i="1"/>
  <c r="CU60" i="1"/>
  <c r="CX60" i="1" s="1"/>
  <c r="CV60" i="1"/>
  <c r="EM174" i="1"/>
  <c r="EL174" i="1"/>
  <c r="EM15" i="1"/>
  <c r="EL15" i="1"/>
  <c r="EM262" i="1"/>
  <c r="EL262" i="1"/>
  <c r="CU107" i="1"/>
  <c r="CX107" i="1" s="1"/>
  <c r="CV107" i="1"/>
  <c r="EM90" i="1"/>
  <c r="EL90" i="1"/>
  <c r="CU230" i="1"/>
  <c r="CV230" i="1"/>
  <c r="EM205" i="1"/>
  <c r="EL205" i="1"/>
  <c r="CU154" i="1"/>
  <c r="CV154" i="1"/>
  <c r="EM170" i="1"/>
  <c r="EL170" i="1"/>
  <c r="EM81" i="1"/>
  <c r="EL81" i="1"/>
  <c r="CU121" i="1"/>
  <c r="CV121" i="1"/>
  <c r="EM21" i="1"/>
  <c r="EL21" i="1"/>
  <c r="CU56" i="1"/>
  <c r="CX56" i="1" s="1"/>
  <c r="CV56" i="1"/>
  <c r="CU86" i="1"/>
  <c r="CX86" i="1" s="1"/>
  <c r="CV86" i="1"/>
  <c r="CU132" i="1"/>
  <c r="CX132" i="1" s="1"/>
  <c r="CV132" i="1"/>
  <c r="EM197" i="1"/>
  <c r="EL197" i="1"/>
  <c r="CU87" i="1"/>
  <c r="CX87" i="1" s="1"/>
  <c r="CV87" i="1"/>
  <c r="CU192" i="1"/>
  <c r="CV192" i="1"/>
  <c r="CU255" i="1"/>
  <c r="CV255" i="1"/>
  <c r="CU23" i="1"/>
  <c r="CX23" i="1" s="1"/>
  <c r="CV23" i="1"/>
  <c r="EM16" i="1"/>
  <c r="EL16" i="1"/>
  <c r="CU180" i="1"/>
  <c r="CV180" i="1"/>
  <c r="EM230" i="1"/>
  <c r="EL230" i="1"/>
  <c r="EM9" i="1"/>
  <c r="EL9" i="1"/>
  <c r="EM256" i="1"/>
  <c r="EL256" i="1"/>
  <c r="CU72" i="1"/>
  <c r="CX72" i="1" s="1"/>
  <c r="CV72" i="1"/>
  <c r="EM98" i="1"/>
  <c r="EL98" i="1"/>
  <c r="EM264" i="1"/>
  <c r="EL264" i="1"/>
  <c r="CU11" i="1"/>
  <c r="CX11" i="1" s="1"/>
  <c r="CV11" i="1"/>
  <c r="CU163" i="1"/>
  <c r="CV163" i="1"/>
  <c r="EM31" i="1"/>
  <c r="EL31" i="1"/>
  <c r="EM39" i="1"/>
  <c r="EL39" i="1"/>
  <c r="EM13" i="1"/>
  <c r="EL13" i="1"/>
  <c r="EM236" i="1"/>
  <c r="EL236" i="1"/>
  <c r="EM193" i="1"/>
  <c r="EL193" i="1"/>
  <c r="EL92" i="1"/>
  <c r="EM92" i="1"/>
  <c r="EM117" i="1"/>
  <c r="EL117" i="1"/>
  <c r="CU65" i="1"/>
  <c r="CX65" i="1" s="1"/>
  <c r="CV65" i="1"/>
  <c r="EM182" i="1"/>
  <c r="EL182" i="1"/>
  <c r="EM268" i="1"/>
  <c r="EL268" i="1"/>
  <c r="EM223" i="1"/>
  <c r="EL223" i="1"/>
  <c r="EM271" i="1"/>
  <c r="EL271" i="1"/>
  <c r="CU286" i="1"/>
  <c r="CX286" i="1" s="1"/>
  <c r="CV286" i="1"/>
  <c r="EM47" i="1"/>
  <c r="EL47" i="1"/>
  <c r="EL188" i="1"/>
  <c r="EM188" i="1"/>
  <c r="EM48" i="1"/>
  <c r="EL48" i="1"/>
  <c r="EM225" i="1"/>
  <c r="EL225" i="1"/>
  <c r="EM206" i="1"/>
  <c r="EL206" i="1"/>
  <c r="EM111" i="1"/>
  <c r="EL111" i="1"/>
  <c r="CU45" i="1"/>
  <c r="CX45" i="1" s="1"/>
  <c r="CV45" i="1"/>
  <c r="CU181" i="1"/>
  <c r="CX181" i="1" s="1"/>
  <c r="CV181" i="1"/>
  <c r="EL211" i="1"/>
  <c r="EM211" i="1"/>
  <c r="EM24" i="1"/>
  <c r="EL24" i="1"/>
  <c r="EM241" i="1"/>
  <c r="EL241" i="1"/>
  <c r="EM23" i="1"/>
  <c r="EL23" i="1"/>
  <c r="EM113" i="1"/>
  <c r="EL113" i="1"/>
  <c r="EM265" i="1"/>
  <c r="EL265" i="1"/>
  <c r="EM281" i="1"/>
  <c r="EL281" i="1"/>
  <c r="CU212" i="1"/>
  <c r="CX212" i="1" s="1"/>
  <c r="CV212" i="1"/>
  <c r="EM286" i="1"/>
  <c r="EL286" i="1"/>
  <c r="EL148" i="1"/>
  <c r="EM148" i="1"/>
  <c r="EM152" i="1"/>
  <c r="EL152" i="1"/>
  <c r="EM40" i="1"/>
  <c r="EL40" i="1"/>
  <c r="EL11" i="1"/>
  <c r="EM11" i="1"/>
  <c r="CU156" i="1"/>
  <c r="CV156" i="1"/>
  <c r="EL67" i="1"/>
  <c r="EM67" i="1"/>
  <c r="CU119" i="1"/>
  <c r="CX119" i="1" s="1"/>
  <c r="CV119" i="1"/>
  <c r="CU215" i="1"/>
  <c r="CX215" i="1" s="1"/>
  <c r="CV215" i="1"/>
  <c r="CU288" i="1"/>
  <c r="CX288" i="1" s="1"/>
  <c r="CV288" i="1"/>
  <c r="CU53" i="1"/>
  <c r="CX53" i="1" s="1"/>
  <c r="CV53" i="1"/>
  <c r="CU62" i="1"/>
  <c r="CX62" i="1" s="1"/>
  <c r="CV62" i="1"/>
  <c r="CU194" i="1"/>
  <c r="CV194" i="1"/>
  <c r="EM32" i="1"/>
  <c r="EL32" i="1"/>
  <c r="CU250" i="1"/>
  <c r="CV250" i="1"/>
  <c r="CU14" i="1"/>
  <c r="CV14" i="1"/>
  <c r="EM55" i="1"/>
  <c r="EL55" i="1"/>
  <c r="CU152" i="1"/>
  <c r="CX152" i="1" s="1"/>
  <c r="CV152" i="1"/>
  <c r="EL108" i="1"/>
  <c r="EM108" i="1"/>
  <c r="EM234" i="1"/>
  <c r="EL234" i="1"/>
  <c r="EM12" i="1"/>
  <c r="EL12" i="1"/>
  <c r="EM273" i="1"/>
  <c r="EL273" i="1"/>
  <c r="CU273" i="1"/>
  <c r="CX273" i="1" s="1"/>
  <c r="CV273" i="1"/>
  <c r="EM94" i="1"/>
  <c r="EL94" i="1"/>
  <c r="EL155" i="1"/>
  <c r="EM155" i="1"/>
  <c r="CU28" i="1"/>
  <c r="CX28" i="1" s="1"/>
  <c r="CV28" i="1"/>
  <c r="EM56" i="1"/>
  <c r="EL56" i="1"/>
  <c r="EM127" i="1"/>
  <c r="EL127" i="1"/>
  <c r="EM283" i="1"/>
  <c r="EL283" i="1"/>
  <c r="CU64" i="1"/>
  <c r="CX64" i="1" s="1"/>
  <c r="CV64" i="1"/>
  <c r="EM118" i="1"/>
  <c r="EL118" i="1"/>
  <c r="EL51" i="1"/>
  <c r="EM51" i="1"/>
  <c r="EM247" i="1"/>
  <c r="EL247" i="1"/>
  <c r="EM199" i="1"/>
  <c r="EL199" i="1"/>
  <c r="EL99" i="1"/>
  <c r="EM99" i="1"/>
  <c r="CU20" i="1"/>
  <c r="CX20" i="1" s="1"/>
  <c r="CV20" i="1"/>
  <c r="CU17" i="1"/>
  <c r="CX17" i="1" s="1"/>
  <c r="CV17" i="1"/>
  <c r="CU71" i="1"/>
  <c r="CX71" i="1" s="1"/>
  <c r="CV71" i="1"/>
  <c r="EM136" i="1"/>
  <c r="EL136" i="1"/>
  <c r="EM145" i="1"/>
  <c r="EL145" i="1"/>
  <c r="EL187" i="1"/>
  <c r="EM187" i="1"/>
  <c r="CU279" i="1"/>
  <c r="CV279" i="1"/>
  <c r="CU16" i="1"/>
  <c r="CX16" i="1" s="1"/>
  <c r="CV16" i="1"/>
  <c r="EM69" i="1"/>
  <c r="EL69" i="1"/>
  <c r="EM46" i="1"/>
  <c r="EL46" i="1"/>
  <c r="CU182" i="1"/>
  <c r="CV182" i="1"/>
  <c r="EM144" i="1"/>
  <c r="EL144" i="1"/>
  <c r="CU130" i="1"/>
  <c r="CV130" i="1"/>
  <c r="EM106" i="1"/>
  <c r="EL106" i="1"/>
  <c r="EM93" i="1"/>
  <c r="EL93" i="1"/>
  <c r="EM61" i="1"/>
  <c r="EL61" i="1"/>
  <c r="EL60" i="1"/>
  <c r="EM60" i="1"/>
  <c r="EM86" i="1"/>
  <c r="EL86" i="1"/>
  <c r="EL124" i="1"/>
  <c r="EM124" i="1"/>
  <c r="CU54" i="1"/>
  <c r="CV54" i="1"/>
  <c r="CU49" i="1"/>
  <c r="CX49" i="1" s="1"/>
  <c r="CV49" i="1"/>
  <c r="EM73" i="1"/>
  <c r="EL73" i="1"/>
  <c r="EM126" i="1"/>
  <c r="EL126" i="1"/>
  <c r="EL284" i="1"/>
  <c r="EM284" i="1"/>
  <c r="EL44" i="1"/>
  <c r="EM44" i="1"/>
  <c r="EL294" i="1"/>
  <c r="EM294" i="1"/>
  <c r="CU57" i="1"/>
  <c r="CX57" i="1" s="1"/>
  <c r="CV57" i="1"/>
  <c r="EL83" i="1"/>
  <c r="EM83" i="1"/>
  <c r="EM201" i="1"/>
  <c r="EL201" i="1"/>
  <c r="EL27" i="1"/>
  <c r="EM27" i="1"/>
  <c r="CU94" i="1"/>
  <c r="CX94" i="1" s="1"/>
  <c r="CV94" i="1"/>
  <c r="CU150" i="1"/>
  <c r="CX150" i="1" s="1"/>
  <c r="CV150" i="1"/>
  <c r="CU213" i="1"/>
  <c r="CX213" i="1" s="1"/>
  <c r="CV213" i="1"/>
  <c r="CU138" i="1"/>
  <c r="CV138" i="1"/>
  <c r="CU58" i="1"/>
  <c r="CX58" i="1" s="1"/>
  <c r="CV58" i="1"/>
  <c r="CU109" i="1"/>
  <c r="CX109" i="1" s="1"/>
  <c r="CV109" i="1"/>
  <c r="CU63" i="1"/>
  <c r="CX63" i="1" s="1"/>
  <c r="CV63" i="1"/>
  <c r="CU85" i="1"/>
  <c r="CX85" i="1" s="1"/>
  <c r="CV85" i="1"/>
  <c r="EM50" i="1"/>
  <c r="EL50" i="1"/>
  <c r="EL171" i="1"/>
  <c r="EM171" i="1"/>
  <c r="CU77" i="1"/>
  <c r="CX77" i="1" s="1"/>
  <c r="CV77" i="1"/>
  <c r="EM252" i="1"/>
  <c r="EL252" i="1"/>
  <c r="CU285" i="1"/>
  <c r="CX285" i="1" s="1"/>
  <c r="CV285" i="1"/>
  <c r="EM71" i="1"/>
  <c r="EL71" i="1"/>
  <c r="EM200" i="1"/>
  <c r="EL200" i="1"/>
  <c r="EM173" i="1"/>
  <c r="EL173" i="1"/>
  <c r="EL238" i="1"/>
  <c r="EM238" i="1"/>
  <c r="EM175" i="1"/>
  <c r="EL175" i="1"/>
  <c r="CU90" i="1"/>
  <c r="CV90" i="1"/>
  <c r="EM72" i="1"/>
  <c r="EL72" i="1"/>
  <c r="EM42" i="1"/>
  <c r="EL42" i="1"/>
  <c r="EM253" i="1"/>
  <c r="EL253" i="1"/>
  <c r="EM6" i="1"/>
  <c r="EL6" i="1"/>
  <c r="CU201" i="1"/>
  <c r="CV201" i="1"/>
  <c r="EL35" i="1"/>
  <c r="EM35" i="1"/>
  <c r="EM10" i="1"/>
  <c r="EL10" i="1"/>
  <c r="EM222" i="1"/>
  <c r="EL222" i="1"/>
  <c r="EM14" i="1"/>
  <c r="EL14" i="1"/>
  <c r="CU59" i="1"/>
  <c r="CV59" i="1"/>
  <c r="EL212" i="1"/>
  <c r="EM212" i="1"/>
  <c r="EM208" i="1"/>
  <c r="EL208" i="1"/>
  <c r="EM22" i="1"/>
  <c r="EL22" i="1"/>
  <c r="EM76" i="1"/>
  <c r="EL76" i="1"/>
  <c r="EM240" i="1"/>
  <c r="EL240" i="1"/>
  <c r="EM243" i="1"/>
  <c r="EL243" i="1"/>
  <c r="CU31" i="1"/>
  <c r="CX31" i="1" s="1"/>
  <c r="CV31" i="1"/>
  <c r="CU168" i="1"/>
  <c r="CX168" i="1" s="1"/>
  <c r="CV168" i="1"/>
  <c r="CU266" i="1"/>
  <c r="CX266" i="1" s="1"/>
  <c r="CV266" i="1"/>
  <c r="CU262" i="1"/>
  <c r="CX262" i="1" s="1"/>
  <c r="CV262" i="1"/>
  <c r="EM255" i="1"/>
  <c r="EL255" i="1"/>
  <c r="EM257" i="1"/>
  <c r="EL257" i="1"/>
  <c r="EM183" i="1"/>
  <c r="EL183" i="1"/>
  <c r="EL293" i="1"/>
  <c r="EM293" i="1"/>
  <c r="CU167" i="1"/>
  <c r="CV167" i="1"/>
  <c r="CU78" i="1"/>
  <c r="CX78" i="1" s="1"/>
  <c r="CV78" i="1"/>
  <c r="EM158" i="1"/>
  <c r="EL158" i="1"/>
  <c r="CU240" i="1"/>
  <c r="CV240" i="1"/>
  <c r="EM194" i="1"/>
  <c r="EL194" i="1"/>
  <c r="EM231" i="1"/>
  <c r="EL231" i="1"/>
  <c r="EM110" i="1"/>
  <c r="EL110" i="1"/>
  <c r="EM269" i="1"/>
  <c r="EL269" i="1"/>
  <c r="EM280" i="1"/>
  <c r="EL280" i="1"/>
  <c r="EM210" i="1"/>
  <c r="EL210" i="1"/>
  <c r="EM165" i="1"/>
  <c r="EL165" i="1"/>
  <c r="EM259" i="1"/>
  <c r="EL259" i="1"/>
  <c r="EM217" i="1"/>
  <c r="EL217" i="1"/>
  <c r="EM209" i="1"/>
  <c r="EL209" i="1"/>
  <c r="EM191" i="1"/>
  <c r="EL191" i="1"/>
  <c r="EM54" i="1"/>
  <c r="EL54" i="1"/>
  <c r="EM270" i="1"/>
  <c r="EL270" i="1"/>
  <c r="EM104" i="1"/>
  <c r="EL104" i="1"/>
  <c r="EM53" i="1"/>
  <c r="EL53" i="1"/>
  <c r="CU92" i="1"/>
  <c r="CX92" i="1" s="1"/>
  <c r="CV92" i="1"/>
  <c r="EL131" i="1"/>
  <c r="EM131" i="1"/>
  <c r="EM295" i="1"/>
  <c r="EL295" i="1"/>
  <c r="EM254" i="1"/>
  <c r="EL254" i="1"/>
  <c r="EM58" i="1"/>
  <c r="EL58" i="1"/>
  <c r="EM138" i="1"/>
  <c r="EL138" i="1"/>
  <c r="CU74" i="1"/>
  <c r="CX74" i="1" s="1"/>
  <c r="CV74" i="1"/>
  <c r="CU170" i="1"/>
  <c r="CX170" i="1" s="1"/>
  <c r="CV170" i="1"/>
  <c r="EM142" i="1"/>
  <c r="EL142" i="1"/>
  <c r="EM160" i="1"/>
  <c r="EL160" i="1"/>
  <c r="CU12" i="1"/>
  <c r="CX12" i="1" s="1"/>
  <c r="CV12" i="1"/>
  <c r="CU158" i="1"/>
  <c r="CX158" i="1" s="1"/>
  <c r="CV158" i="1"/>
  <c r="EM119" i="1"/>
  <c r="EL119" i="1"/>
  <c r="EM242" i="1"/>
  <c r="EL242" i="1"/>
  <c r="EM237" i="1"/>
  <c r="EL237" i="1"/>
  <c r="EM267" i="1"/>
  <c r="EL267" i="1"/>
  <c r="EM125" i="1"/>
  <c r="EL125" i="1"/>
  <c r="CU9" i="1"/>
  <c r="CX9" i="1" s="1"/>
  <c r="CV9" i="1"/>
  <c r="CU81" i="1"/>
  <c r="CX81" i="1" s="1"/>
  <c r="CV81" i="1"/>
  <c r="CU101" i="1"/>
  <c r="CX101" i="1" s="1"/>
  <c r="CV101" i="1"/>
  <c r="CU131" i="1"/>
  <c r="CX131" i="1" s="1"/>
  <c r="CV131" i="1"/>
  <c r="CU120" i="1"/>
  <c r="CX120" i="1" s="1"/>
  <c r="CV120" i="1"/>
  <c r="EL36" i="1"/>
  <c r="EM36" i="1"/>
  <c r="CU18" i="1"/>
  <c r="CV18" i="1"/>
  <c r="CU24" i="1"/>
  <c r="CX24" i="1" s="1"/>
  <c r="CV24" i="1"/>
  <c r="CU291" i="1"/>
  <c r="CV291" i="1"/>
  <c r="EM249" i="1"/>
  <c r="EL249" i="1"/>
  <c r="EM289" i="1"/>
  <c r="EL289" i="1"/>
  <c r="EM168" i="1"/>
  <c r="EL168" i="1"/>
  <c r="EM95" i="1"/>
  <c r="EL95" i="1"/>
  <c r="CU165" i="1"/>
  <c r="CX165" i="1" s="1"/>
  <c r="CV165" i="1"/>
  <c r="EM287" i="1"/>
  <c r="EL287" i="1"/>
  <c r="EL68" i="1"/>
  <c r="EM68" i="1"/>
  <c r="EM266" i="1"/>
  <c r="EL266" i="1"/>
  <c r="EL147" i="1"/>
  <c r="EM147" i="1"/>
  <c r="EM37" i="1"/>
  <c r="EL37" i="1"/>
  <c r="EL84" i="1"/>
  <c r="EM84" i="1"/>
  <c r="CU91" i="1"/>
  <c r="CX91" i="1" s="1"/>
  <c r="CV91" i="1"/>
  <c r="EM282" i="1"/>
  <c r="EL282" i="1"/>
  <c r="EM248" i="1"/>
  <c r="EL248" i="1"/>
  <c r="EL19" i="1"/>
  <c r="EM19" i="1"/>
  <c r="EM192" i="1"/>
  <c r="EL192" i="1"/>
  <c r="EM178" i="1"/>
  <c r="EL178" i="1"/>
  <c r="EM57" i="1"/>
  <c r="EL57" i="1"/>
  <c r="EM5" i="1"/>
  <c r="EL5" i="1"/>
  <c r="EM66" i="1"/>
  <c r="EL66" i="1"/>
  <c r="EM181" i="1"/>
  <c r="EL181" i="1"/>
  <c r="EM7" i="1"/>
  <c r="EL7" i="1"/>
  <c r="EM97" i="1"/>
  <c r="EL97" i="1"/>
  <c r="CU251" i="1"/>
  <c r="CV251" i="1"/>
  <c r="EM228" i="1"/>
  <c r="EL228" i="1"/>
  <c r="CU245" i="1"/>
  <c r="CV245" i="1"/>
  <c r="CU5" i="1"/>
  <c r="CX5" i="1" s="1"/>
  <c r="CV5" i="1"/>
  <c r="CU96" i="1"/>
  <c r="CV96" i="1"/>
  <c r="CU183" i="1"/>
  <c r="CV183" i="1"/>
  <c r="CU32" i="1"/>
  <c r="CX32" i="1" s="1"/>
  <c r="CV32" i="1"/>
  <c r="EM33" i="1"/>
  <c r="EL33" i="1"/>
  <c r="EM277" i="1"/>
  <c r="EL277" i="1"/>
  <c r="CU234" i="1"/>
  <c r="CX234" i="1" s="1"/>
  <c r="CV234" i="1"/>
  <c r="EM278" i="1"/>
  <c r="EL278" i="1"/>
  <c r="EM70" i="1"/>
  <c r="EL70" i="1"/>
  <c r="EM207" i="1"/>
  <c r="EL207" i="1"/>
  <c r="EM112" i="1"/>
  <c r="EL112" i="1"/>
  <c r="EM279" i="1"/>
  <c r="EL279" i="1"/>
  <c r="EM272" i="1"/>
  <c r="EL272" i="1"/>
  <c r="CU7" i="1"/>
  <c r="CV7" i="1"/>
  <c r="EM166" i="1"/>
  <c r="EL166" i="1"/>
  <c r="EM186" i="1"/>
  <c r="EL186" i="1"/>
  <c r="EL100" i="1"/>
  <c r="EM100" i="1"/>
  <c r="CU235" i="1"/>
  <c r="CV235" i="1"/>
  <c r="EM64" i="1"/>
  <c r="EL64" i="1"/>
  <c r="EM82" i="1"/>
  <c r="EL82" i="1"/>
  <c r="EM79" i="1"/>
  <c r="EL79" i="1"/>
  <c r="EM261" i="1"/>
  <c r="EL261" i="1"/>
  <c r="EM232" i="1"/>
  <c r="EL232" i="1"/>
  <c r="EM129" i="1"/>
  <c r="EL129" i="1"/>
  <c r="CU287" i="1"/>
  <c r="CX287" i="1" s="1"/>
  <c r="CV287" i="1"/>
  <c r="EM185" i="1"/>
  <c r="EL185" i="1"/>
  <c r="EM288" i="1"/>
  <c r="EL288" i="1"/>
  <c r="EM137" i="1"/>
  <c r="EL137" i="1"/>
  <c r="CU211" i="1"/>
  <c r="CX211" i="1" s="1"/>
  <c r="CV211" i="1"/>
  <c r="EM239" i="1"/>
  <c r="EL239" i="1"/>
  <c r="CV4" i="1"/>
  <c r="CU4" i="1"/>
  <c r="CX4" i="1" s="1"/>
  <c r="CU271" i="1"/>
  <c r="CV271" i="1"/>
  <c r="EL123" i="1"/>
  <c r="EM123" i="1"/>
  <c r="EM215" i="1"/>
  <c r="EL215" i="1"/>
  <c r="EM167" i="1"/>
  <c r="EL167" i="1"/>
  <c r="EM85" i="1"/>
  <c r="EL85" i="1"/>
  <c r="CU25" i="1"/>
  <c r="CX25" i="1" s="1"/>
  <c r="CV25" i="1"/>
  <c r="CU29" i="1"/>
  <c r="CX29" i="1" s="1"/>
  <c r="CV29" i="1"/>
  <c r="CU88" i="1"/>
  <c r="CX88" i="1" s="1"/>
  <c r="CV88" i="1"/>
  <c r="CU160" i="1"/>
  <c r="CX160" i="1" s="1"/>
  <c r="CV160" i="1"/>
  <c r="CU294" i="1"/>
  <c r="CV294" i="1"/>
  <c r="CU33" i="1"/>
  <c r="CX33" i="1" s="1"/>
  <c r="CV33" i="1"/>
  <c r="CU13" i="1"/>
  <c r="CX13" i="1" s="1"/>
  <c r="CV13" i="1"/>
  <c r="CU83" i="1"/>
  <c r="CX83" i="1" s="1"/>
  <c r="CV83" i="1"/>
  <c r="CU135" i="1"/>
  <c r="CV135" i="1"/>
  <c r="CU106" i="1"/>
  <c r="CV106" i="1"/>
  <c r="EM184" i="1"/>
  <c r="EL184" i="1"/>
  <c r="EM109" i="1"/>
  <c r="EL109" i="1"/>
  <c r="CU44" i="1"/>
  <c r="CX44" i="1" s="1"/>
  <c r="CV44" i="1"/>
  <c r="EM198" i="1"/>
  <c r="EL198" i="1"/>
  <c r="EL28" i="1"/>
  <c r="EM28" i="1"/>
  <c r="EM17" i="1"/>
  <c r="EL17" i="1"/>
  <c r="EM141" i="1"/>
  <c r="EL141" i="1"/>
  <c r="EM146" i="1"/>
  <c r="EL146" i="1"/>
  <c r="CU207" i="1"/>
  <c r="CX207" i="1" s="1"/>
  <c r="CV207" i="1"/>
  <c r="EM151" i="1"/>
  <c r="EL151" i="1"/>
  <c r="EL196" i="1"/>
  <c r="EM196" i="1"/>
  <c r="EL20" i="1"/>
  <c r="EM20" i="1"/>
  <c r="EM25" i="1"/>
  <c r="EL25" i="1"/>
  <c r="CU38" i="1"/>
  <c r="CX38" i="1" s="1"/>
  <c r="CV38" i="1"/>
  <c r="EM226" i="1"/>
  <c r="EL226" i="1"/>
  <c r="EM63" i="1"/>
  <c r="EL63" i="1"/>
  <c r="EL75" i="1"/>
  <c r="EM75" i="1"/>
  <c r="EM122" i="1"/>
  <c r="EL122" i="1"/>
  <c r="EM244" i="1"/>
  <c r="EL244" i="1"/>
  <c r="EL91" i="1"/>
  <c r="EM91" i="1"/>
  <c r="CU97" i="1"/>
  <c r="CX97" i="1" s="1"/>
  <c r="CV97" i="1"/>
  <c r="CU278" i="1"/>
  <c r="CV278" i="1"/>
  <c r="EM216" i="1"/>
  <c r="EL216" i="1"/>
  <c r="EM245" i="1"/>
  <c r="EL245" i="1"/>
  <c r="CU76" i="1"/>
  <c r="CX76" i="1" s="1"/>
  <c r="CV76" i="1"/>
  <c r="EL116" i="1"/>
  <c r="EM116" i="1"/>
  <c r="CU214" i="1"/>
  <c r="CX214" i="1" s="1"/>
  <c r="CV214" i="1"/>
  <c r="EM65" i="1"/>
  <c r="EL65" i="1"/>
  <c r="EM87" i="1"/>
  <c r="EL87" i="1"/>
  <c r="CU243" i="1"/>
  <c r="CV243" i="1"/>
  <c r="EM233" i="1"/>
  <c r="EL233" i="1"/>
  <c r="CU137" i="1"/>
  <c r="CX137" i="1" s="1"/>
  <c r="CV137" i="1"/>
  <c r="CU108" i="1"/>
  <c r="CV108" i="1"/>
  <c r="CU225" i="1"/>
  <c r="CV225" i="1"/>
  <c r="EM189" i="1"/>
  <c r="EL189" i="1"/>
  <c r="EM30" i="1"/>
  <c r="EL30" i="1"/>
  <c r="EM291" i="1"/>
  <c r="EL291" i="1"/>
  <c r="EL59" i="1"/>
  <c r="EM59" i="1"/>
  <c r="EM4" i="1"/>
  <c r="EL4" i="1"/>
  <c r="EM38" i="1"/>
  <c r="EL38" i="1"/>
  <c r="EM202" i="1"/>
  <c r="EL202" i="1"/>
  <c r="EM213" i="1"/>
  <c r="EL213" i="1"/>
  <c r="EM154" i="1"/>
  <c r="EL154" i="1"/>
  <c r="CU8" i="1"/>
  <c r="CX8" i="1" s="1"/>
  <c r="CV8" i="1"/>
  <c r="EM134" i="1"/>
  <c r="EL134" i="1"/>
  <c r="EM103" i="1"/>
  <c r="EL103" i="1"/>
  <c r="EL43" i="1"/>
  <c r="EM43" i="1"/>
  <c r="EL139" i="1"/>
  <c r="EM139" i="1"/>
  <c r="DW4" i="1"/>
  <c r="DY4" i="1" s="1"/>
  <c r="DX96" i="1"/>
  <c r="DZ96" i="1" s="1"/>
  <c r="ED96" i="1" s="1"/>
  <c r="DW96" i="1"/>
  <c r="DY96" i="1" s="1"/>
  <c r="DW51" i="1"/>
  <c r="DY51" i="1" s="1"/>
  <c r="DX51" i="1"/>
  <c r="DZ51" i="1" s="1"/>
  <c r="DW206" i="1"/>
  <c r="DY206" i="1" s="1"/>
  <c r="DX206" i="1"/>
  <c r="DZ206" i="1" s="1"/>
  <c r="DW179" i="1"/>
  <c r="DX179" i="1"/>
  <c r="DW43" i="1"/>
  <c r="DY43" i="1" s="1"/>
  <c r="EC43" i="1" s="1"/>
  <c r="EE43" i="1" s="1"/>
  <c r="DX43" i="1"/>
  <c r="DZ43" i="1" s="1"/>
  <c r="DW36" i="1"/>
  <c r="DY36" i="1" s="1"/>
  <c r="DX36" i="1"/>
  <c r="DX142" i="1"/>
  <c r="DZ142" i="1" s="1"/>
  <c r="ED142" i="1" s="1"/>
  <c r="DW142" i="1"/>
  <c r="DW225" i="1"/>
  <c r="DX225" i="1"/>
  <c r="DW198" i="1"/>
  <c r="DY198" i="1" s="1"/>
  <c r="DX198" i="1"/>
  <c r="DZ198" i="1" s="1"/>
  <c r="DX208" i="1"/>
  <c r="DZ208" i="1" s="1"/>
  <c r="DW208" i="1"/>
  <c r="DY208" i="1" s="1"/>
  <c r="DW22" i="1"/>
  <c r="DX22" i="1"/>
  <c r="DZ22" i="1" s="1"/>
  <c r="DX112" i="1"/>
  <c r="DZ112" i="1" s="1"/>
  <c r="DW112" i="1"/>
  <c r="DY112" i="1" s="1"/>
  <c r="DW189" i="1"/>
  <c r="DY189" i="1" s="1"/>
  <c r="DX189" i="1"/>
  <c r="DZ189" i="1" s="1"/>
  <c r="DW242" i="1"/>
  <c r="DY242" i="1" s="1"/>
  <c r="EC242" i="1" s="1"/>
  <c r="EE242" i="1" s="1"/>
  <c r="DX242" i="1"/>
  <c r="DZ242" i="1" s="1"/>
  <c r="ED242" i="1" s="1"/>
  <c r="DW209" i="1"/>
  <c r="DY209" i="1" s="1"/>
  <c r="DX209" i="1"/>
  <c r="DZ209" i="1" s="1"/>
  <c r="DW237" i="1"/>
  <c r="DX237" i="1"/>
  <c r="DW241" i="1"/>
  <c r="DY241" i="1" s="1"/>
  <c r="DX241" i="1"/>
  <c r="DZ241" i="1" s="1"/>
  <c r="DW66" i="1"/>
  <c r="DY66" i="1" s="1"/>
  <c r="DX66" i="1"/>
  <c r="DZ66" i="1" s="1"/>
  <c r="DW274" i="1"/>
  <c r="DY274" i="1" s="1"/>
  <c r="DX274" i="1"/>
  <c r="DZ274" i="1" s="1"/>
  <c r="DW151" i="1"/>
  <c r="DY151" i="1" s="1"/>
  <c r="DX151" i="1"/>
  <c r="DZ151" i="1" s="1"/>
  <c r="ED151" i="1" s="1"/>
  <c r="DW260" i="1"/>
  <c r="DY260" i="1" s="1"/>
  <c r="DX260" i="1"/>
  <c r="DZ260" i="1" s="1"/>
  <c r="DW188" i="1"/>
  <c r="DX188" i="1"/>
  <c r="DW100" i="1"/>
  <c r="DY100" i="1" s="1"/>
  <c r="DX100" i="1"/>
  <c r="DZ100" i="1" s="1"/>
  <c r="DW210" i="1"/>
  <c r="DY210" i="1" s="1"/>
  <c r="DX210" i="1"/>
  <c r="DZ210" i="1" s="1"/>
  <c r="DW19" i="1"/>
  <c r="DX19" i="1"/>
  <c r="DZ19" i="1" s="1"/>
  <c r="ED19" i="1" s="1"/>
  <c r="DW47" i="1"/>
  <c r="DY47" i="1" s="1"/>
  <c r="DX47" i="1"/>
  <c r="DZ47" i="1" s="1"/>
  <c r="DW122" i="1"/>
  <c r="DX122" i="1"/>
  <c r="DZ122" i="1" s="1"/>
  <c r="ED122" i="1" s="1"/>
  <c r="DW40" i="1"/>
  <c r="DY40" i="1" s="1"/>
  <c r="DX40" i="1"/>
  <c r="DZ40" i="1" s="1"/>
  <c r="ED40" i="1" s="1"/>
  <c r="DW67" i="1"/>
  <c r="DX67" i="1"/>
  <c r="DW197" i="1"/>
  <c r="DY197" i="1" s="1"/>
  <c r="EC197" i="1" s="1"/>
  <c r="EE197" i="1" s="1"/>
  <c r="DX197" i="1"/>
  <c r="DZ197" i="1" s="1"/>
  <c r="ED197" i="1" s="1"/>
  <c r="DW261" i="1"/>
  <c r="DY261" i="1" s="1"/>
  <c r="EC261" i="1" s="1"/>
  <c r="EE261" i="1" s="1"/>
  <c r="DX261" i="1"/>
  <c r="DZ261" i="1" s="1"/>
  <c r="ED261" i="1" s="1"/>
  <c r="DW254" i="1"/>
  <c r="DY254" i="1" s="1"/>
  <c r="DX254" i="1"/>
  <c r="DZ254" i="1" s="1"/>
  <c r="ED254" i="1" s="1"/>
  <c r="DW238" i="1"/>
  <c r="DY238" i="1" s="1"/>
  <c r="DX238" i="1"/>
  <c r="DZ238" i="1" s="1"/>
  <c r="DW263" i="1"/>
  <c r="DX263" i="1"/>
  <c r="DW68" i="1"/>
  <c r="DX68" i="1"/>
  <c r="DZ68" i="1" s="1"/>
  <c r="ED68" i="1" s="1"/>
  <c r="DW89" i="1"/>
  <c r="DX89" i="1"/>
  <c r="DW217" i="1"/>
  <c r="DX217" i="1"/>
  <c r="DW227" i="1"/>
  <c r="DX227" i="1"/>
  <c r="DW268" i="1"/>
  <c r="DX268" i="1"/>
  <c r="DX166" i="1"/>
  <c r="DZ166" i="1" s="1"/>
  <c r="DW166" i="1"/>
  <c r="DW34" i="1"/>
  <c r="DX34" i="1"/>
  <c r="DW69" i="1"/>
  <c r="DY69" i="1" s="1"/>
  <c r="DX69" i="1"/>
  <c r="DZ69" i="1" s="1"/>
  <c r="DW149" i="1"/>
  <c r="DX149" i="1"/>
  <c r="DX80" i="1"/>
  <c r="DZ80" i="1" s="1"/>
  <c r="DW80" i="1"/>
  <c r="DY80" i="1" s="1"/>
  <c r="DW123" i="1"/>
  <c r="DX123" i="1"/>
  <c r="DW61" i="1"/>
  <c r="DY61" i="1" s="1"/>
  <c r="DX61" i="1"/>
  <c r="DZ61" i="1" s="1"/>
  <c r="DW71" i="1"/>
  <c r="DX71" i="1"/>
  <c r="DX264" i="1"/>
  <c r="DW264" i="1"/>
  <c r="DW70" i="1"/>
  <c r="DX70" i="1"/>
  <c r="DZ70" i="1" s="1"/>
  <c r="ED70" i="1" s="1"/>
  <c r="DW169" i="1"/>
  <c r="DY169" i="1" s="1"/>
  <c r="DX169" i="1"/>
  <c r="DZ169" i="1" s="1"/>
  <c r="DW282" i="1"/>
  <c r="DY282" i="1" s="1"/>
  <c r="DX282" i="1"/>
  <c r="DZ282" i="1" s="1"/>
  <c r="DW287" i="1"/>
  <c r="DX287" i="1"/>
  <c r="DW26" i="1"/>
  <c r="DY26" i="1" s="1"/>
  <c r="EC26" i="1" s="1"/>
  <c r="EE26" i="1" s="1"/>
  <c r="DX26" i="1"/>
  <c r="DZ26" i="1" s="1"/>
  <c r="ED26" i="1" s="1"/>
  <c r="DW76" i="1"/>
  <c r="DY76" i="1" s="1"/>
  <c r="EC76" i="1" s="1"/>
  <c r="EE76" i="1" s="1"/>
  <c r="DX76" i="1"/>
  <c r="DZ76" i="1" s="1"/>
  <c r="ED76" i="1" s="1"/>
  <c r="DW270" i="1"/>
  <c r="DX270" i="1"/>
  <c r="DW244" i="1"/>
  <c r="DX244" i="1"/>
  <c r="DW281" i="1"/>
  <c r="DX281" i="1"/>
  <c r="DW258" i="1"/>
  <c r="DX258" i="1"/>
  <c r="DW157" i="1"/>
  <c r="DX157" i="1"/>
  <c r="DZ157" i="1" s="1"/>
  <c r="ED157" i="1" s="1"/>
  <c r="DW107" i="1"/>
  <c r="DX107" i="1"/>
  <c r="DW230" i="1"/>
  <c r="DX230" i="1"/>
  <c r="DW154" i="1"/>
  <c r="DX154" i="1"/>
  <c r="DW121" i="1"/>
  <c r="DX121" i="1"/>
  <c r="DW56" i="1"/>
  <c r="DX56" i="1"/>
  <c r="DW86" i="1"/>
  <c r="DX86" i="1"/>
  <c r="DZ86" i="1" s="1"/>
  <c r="ED86" i="1" s="1"/>
  <c r="DW140" i="1"/>
  <c r="DY140" i="1" s="1"/>
  <c r="DX140" i="1"/>
  <c r="DZ140" i="1" s="1"/>
  <c r="DW265" i="1"/>
  <c r="DY265" i="1" s="1"/>
  <c r="DX265" i="1"/>
  <c r="DZ265" i="1" s="1"/>
  <c r="DW132" i="1"/>
  <c r="DX132" i="1"/>
  <c r="DW87" i="1"/>
  <c r="DY87" i="1" s="1"/>
  <c r="EC87" i="1" s="1"/>
  <c r="EE87" i="1" s="1"/>
  <c r="DX87" i="1"/>
  <c r="DZ87" i="1" s="1"/>
  <c r="DX192" i="1"/>
  <c r="DW192" i="1"/>
  <c r="DW164" i="1"/>
  <c r="DX164" i="1"/>
  <c r="DW255" i="1"/>
  <c r="DX255" i="1"/>
  <c r="DW23" i="1"/>
  <c r="DX23" i="1"/>
  <c r="DZ23" i="1" s="1"/>
  <c r="ED23" i="1" s="1"/>
  <c r="DW180" i="1"/>
  <c r="DX180" i="1"/>
  <c r="DX6" i="1"/>
  <c r="DW6" i="1"/>
  <c r="DW124" i="1"/>
  <c r="DY124" i="1" s="1"/>
  <c r="DX124" i="1"/>
  <c r="DZ124" i="1" s="1"/>
  <c r="ED124" i="1" s="1"/>
  <c r="DW72" i="1"/>
  <c r="DY72" i="1" s="1"/>
  <c r="DX72" i="1"/>
  <c r="DZ72" i="1" s="1"/>
  <c r="DW11" i="1"/>
  <c r="DX11" i="1"/>
  <c r="DW163" i="1"/>
  <c r="DX163" i="1"/>
  <c r="DW283" i="1"/>
  <c r="DX283" i="1"/>
  <c r="DW65" i="1"/>
  <c r="DX65" i="1"/>
  <c r="DW45" i="1"/>
  <c r="DY45" i="1" s="1"/>
  <c r="DX45" i="1"/>
  <c r="DX94" i="1"/>
  <c r="DZ94" i="1" s="1"/>
  <c r="ED94" i="1" s="1"/>
  <c r="DW94" i="1"/>
  <c r="DY94" i="1" s="1"/>
  <c r="DW58" i="1"/>
  <c r="DX58" i="1"/>
  <c r="DW115" i="1"/>
  <c r="DY115" i="1" s="1"/>
  <c r="DX115" i="1"/>
  <c r="DZ115" i="1" s="1"/>
  <c r="DW148" i="1"/>
  <c r="DY148" i="1" s="1"/>
  <c r="EC148" i="1" s="1"/>
  <c r="EE148" i="1" s="1"/>
  <c r="DX148" i="1"/>
  <c r="DZ148" i="1" s="1"/>
  <c r="ED148" i="1" s="1"/>
  <c r="DW127" i="1"/>
  <c r="DX127" i="1"/>
  <c r="DW111" i="1"/>
  <c r="DY111" i="1" s="1"/>
  <c r="DX111" i="1"/>
  <c r="DZ111" i="1" s="1"/>
  <c r="ED111" i="1" s="1"/>
  <c r="DW271" i="1"/>
  <c r="DY271" i="1" s="1"/>
  <c r="DX271" i="1"/>
  <c r="DZ271" i="1" s="1"/>
  <c r="DW52" i="1"/>
  <c r="DY52" i="1" s="1"/>
  <c r="DX52" i="1"/>
  <c r="DZ52" i="1" s="1"/>
  <c r="ED52" i="1" s="1"/>
  <c r="DW223" i="1"/>
  <c r="DY223" i="1" s="1"/>
  <c r="DX223" i="1"/>
  <c r="DZ223" i="1" s="1"/>
  <c r="DW105" i="1"/>
  <c r="DX105" i="1"/>
  <c r="DW199" i="1"/>
  <c r="DY199" i="1" s="1"/>
  <c r="DX199" i="1"/>
  <c r="DZ199" i="1" s="1"/>
  <c r="DX136" i="1"/>
  <c r="DW136" i="1"/>
  <c r="DW60" i="1"/>
  <c r="DY60" i="1" s="1"/>
  <c r="DX60" i="1"/>
  <c r="DW141" i="1"/>
  <c r="DX141" i="1"/>
  <c r="DW181" i="1"/>
  <c r="DX181" i="1"/>
  <c r="DW171" i="1"/>
  <c r="DX171" i="1"/>
  <c r="DW286" i="1"/>
  <c r="DX286" i="1"/>
  <c r="DZ286" i="1" s="1"/>
  <c r="ED286" i="1" s="1"/>
  <c r="DW134" i="1"/>
  <c r="DY134" i="1" s="1"/>
  <c r="DX134" i="1"/>
  <c r="DZ134" i="1" s="1"/>
  <c r="ED134" i="1" s="1"/>
  <c r="DX184" i="1"/>
  <c r="DW184" i="1"/>
  <c r="DW20" i="1"/>
  <c r="DY20" i="1" s="1"/>
  <c r="DX20" i="1"/>
  <c r="DW150" i="1"/>
  <c r="DY150" i="1" s="1"/>
  <c r="DX150" i="1"/>
  <c r="DZ150" i="1" s="1"/>
  <c r="DW213" i="1"/>
  <c r="DY213" i="1" s="1"/>
  <c r="DX213" i="1"/>
  <c r="DZ213" i="1" s="1"/>
  <c r="DW17" i="1"/>
  <c r="DX17" i="1"/>
  <c r="DW138" i="1"/>
  <c r="DX138" i="1"/>
  <c r="DX30" i="1"/>
  <c r="DZ30" i="1" s="1"/>
  <c r="DW30" i="1"/>
  <c r="DY30" i="1" s="1"/>
  <c r="DX176" i="1"/>
  <c r="DW176" i="1"/>
  <c r="DW212" i="1"/>
  <c r="DY212" i="1" s="1"/>
  <c r="DX212" i="1"/>
  <c r="DZ212" i="1" s="1"/>
  <c r="DW156" i="1"/>
  <c r="DX156" i="1"/>
  <c r="DW55" i="1"/>
  <c r="DX55" i="1"/>
  <c r="DW119" i="1"/>
  <c r="DY119" i="1" s="1"/>
  <c r="DX119" i="1"/>
  <c r="DZ119" i="1" s="1"/>
  <c r="ED119" i="1" s="1"/>
  <c r="DW187" i="1"/>
  <c r="DY187" i="1" s="1"/>
  <c r="DX187" i="1"/>
  <c r="DZ187" i="1" s="1"/>
  <c r="DW215" i="1"/>
  <c r="DX215" i="1"/>
  <c r="DX288" i="1"/>
  <c r="DW288" i="1"/>
  <c r="DW146" i="1"/>
  <c r="DX146" i="1"/>
  <c r="DW276" i="1"/>
  <c r="DX276" i="1"/>
  <c r="DW53" i="1"/>
  <c r="DY53" i="1" s="1"/>
  <c r="EC53" i="1" s="1"/>
  <c r="EE53" i="1" s="1"/>
  <c r="DX53" i="1"/>
  <c r="DZ53" i="1" s="1"/>
  <c r="ED53" i="1" s="1"/>
  <c r="DW269" i="1"/>
  <c r="DY269" i="1" s="1"/>
  <c r="EC269" i="1" s="1"/>
  <c r="EE269" i="1" s="1"/>
  <c r="DX269" i="1"/>
  <c r="DZ269" i="1" s="1"/>
  <c r="ED269" i="1" s="1"/>
  <c r="DW236" i="1"/>
  <c r="DY236" i="1" s="1"/>
  <c r="DX236" i="1"/>
  <c r="DZ236" i="1" s="1"/>
  <c r="ED236" i="1" s="1"/>
  <c r="DX62" i="1"/>
  <c r="DW62" i="1"/>
  <c r="DW194" i="1"/>
  <c r="DX194" i="1"/>
  <c r="DW250" i="1"/>
  <c r="DX250" i="1"/>
  <c r="DW14" i="1"/>
  <c r="DX14" i="1"/>
  <c r="DW35" i="1"/>
  <c r="DX35" i="1"/>
  <c r="DX152" i="1"/>
  <c r="DZ152" i="1" s="1"/>
  <c r="ED152" i="1" s="1"/>
  <c r="DW152" i="1"/>
  <c r="DW50" i="1"/>
  <c r="DY50" i="1" s="1"/>
  <c r="EC50" i="1" s="1"/>
  <c r="EE50" i="1" s="1"/>
  <c r="DX50" i="1"/>
  <c r="DZ50" i="1" s="1"/>
  <c r="ED50" i="1" s="1"/>
  <c r="DX110" i="1"/>
  <c r="DW110" i="1"/>
  <c r="DW273" i="1"/>
  <c r="DY273" i="1" s="1"/>
  <c r="DX273" i="1"/>
  <c r="DZ273" i="1" s="1"/>
  <c r="DW28" i="1"/>
  <c r="DY28" i="1" s="1"/>
  <c r="DX28" i="1"/>
  <c r="DZ28" i="1" s="1"/>
  <c r="DW64" i="1"/>
  <c r="DY64" i="1" s="1"/>
  <c r="DX64" i="1"/>
  <c r="DZ64" i="1" s="1"/>
  <c r="DX128" i="1"/>
  <c r="DZ128" i="1" s="1"/>
  <c r="DW128" i="1"/>
  <c r="DY128" i="1" s="1"/>
  <c r="EC128" i="1" s="1"/>
  <c r="EE128" i="1" s="1"/>
  <c r="DW109" i="1"/>
  <c r="DY109" i="1" s="1"/>
  <c r="EC109" i="1" s="1"/>
  <c r="EE109" i="1" s="1"/>
  <c r="DX109" i="1"/>
  <c r="DZ109" i="1" s="1"/>
  <c r="ED109" i="1" s="1"/>
  <c r="DW279" i="1"/>
  <c r="DX279" i="1"/>
  <c r="DW16" i="1"/>
  <c r="DY16" i="1" s="1"/>
  <c r="EC16" i="1" s="1"/>
  <c r="EE16" i="1" s="1"/>
  <c r="DX16" i="1"/>
  <c r="DZ16" i="1" s="1"/>
  <c r="ED16" i="1" s="1"/>
  <c r="DX182" i="1"/>
  <c r="DZ182" i="1" s="1"/>
  <c r="DW182" i="1"/>
  <c r="DW130" i="1"/>
  <c r="DY130" i="1" s="1"/>
  <c r="DX130" i="1"/>
  <c r="DZ130" i="1" s="1"/>
  <c r="DW54" i="1"/>
  <c r="DX54" i="1"/>
  <c r="DW49" i="1"/>
  <c r="DY49" i="1" s="1"/>
  <c r="DX49" i="1"/>
  <c r="DZ49" i="1" s="1"/>
  <c r="DW57" i="1"/>
  <c r="DY57" i="1" s="1"/>
  <c r="DX57" i="1"/>
  <c r="DZ57" i="1" s="1"/>
  <c r="ED57" i="1" s="1"/>
  <c r="DW15" i="1"/>
  <c r="DY15" i="1" s="1"/>
  <c r="DX15" i="1"/>
  <c r="DZ15" i="1" s="1"/>
  <c r="DW63" i="1"/>
  <c r="DY63" i="1" s="1"/>
  <c r="EC63" i="1" s="1"/>
  <c r="EE63" i="1" s="1"/>
  <c r="DX63" i="1"/>
  <c r="DZ63" i="1" s="1"/>
  <c r="ED63" i="1" s="1"/>
  <c r="DW129" i="1"/>
  <c r="DX129" i="1"/>
  <c r="DW145" i="1"/>
  <c r="DX145" i="1"/>
  <c r="DX248" i="1"/>
  <c r="DZ248" i="1" s="1"/>
  <c r="ED248" i="1" s="1"/>
  <c r="DW248" i="1"/>
  <c r="DY248" i="1" s="1"/>
  <c r="EC248" i="1" s="1"/>
  <c r="EE248" i="1" s="1"/>
  <c r="DX280" i="1"/>
  <c r="DW280" i="1"/>
  <c r="DX104" i="1"/>
  <c r="DZ104" i="1" s="1"/>
  <c r="DW104" i="1"/>
  <c r="DY104" i="1" s="1"/>
  <c r="DX216" i="1"/>
  <c r="DZ216" i="1" s="1"/>
  <c r="DW216" i="1"/>
  <c r="DY216" i="1" s="1"/>
  <c r="DW85" i="1"/>
  <c r="DY85" i="1" s="1"/>
  <c r="EC85" i="1" s="1"/>
  <c r="EE85" i="1" s="1"/>
  <c r="DX85" i="1"/>
  <c r="DZ85" i="1" s="1"/>
  <c r="ED85" i="1" s="1"/>
  <c r="DW125" i="1"/>
  <c r="DY125" i="1" s="1"/>
  <c r="DX125" i="1"/>
  <c r="DZ125" i="1" s="1"/>
  <c r="DW77" i="1"/>
  <c r="DY77" i="1" s="1"/>
  <c r="EC77" i="1" s="1"/>
  <c r="EE77" i="1" s="1"/>
  <c r="DX77" i="1"/>
  <c r="DZ77" i="1" s="1"/>
  <c r="ED77" i="1" s="1"/>
  <c r="DW285" i="1"/>
  <c r="DY285" i="1" s="1"/>
  <c r="DX285" i="1"/>
  <c r="DZ285" i="1" s="1"/>
  <c r="DW42" i="1"/>
  <c r="DY42" i="1" s="1"/>
  <c r="DX42" i="1"/>
  <c r="DZ42" i="1" s="1"/>
  <c r="DX46" i="1"/>
  <c r="DZ46" i="1" s="1"/>
  <c r="DW46" i="1"/>
  <c r="DW162" i="1"/>
  <c r="DY162" i="1" s="1"/>
  <c r="DX162" i="1"/>
  <c r="DZ162" i="1" s="1"/>
  <c r="DW90" i="1"/>
  <c r="DY90" i="1" s="1"/>
  <c r="DX90" i="1"/>
  <c r="DZ90" i="1" s="1"/>
  <c r="DW201" i="1"/>
  <c r="DX201" i="1"/>
  <c r="DW10" i="1"/>
  <c r="DX10" i="1"/>
  <c r="DW59" i="1"/>
  <c r="DX59" i="1"/>
  <c r="DX256" i="1"/>
  <c r="DW256" i="1"/>
  <c r="DW275" i="1"/>
  <c r="DX275" i="1"/>
  <c r="DZ275" i="1" s="1"/>
  <c r="DW214" i="1"/>
  <c r="DY214" i="1" s="1"/>
  <c r="DX214" i="1"/>
  <c r="DZ214" i="1" s="1"/>
  <c r="ED214" i="1" s="1"/>
  <c r="DW143" i="1"/>
  <c r="DY143" i="1" s="1"/>
  <c r="DX143" i="1"/>
  <c r="DZ143" i="1" s="1"/>
  <c r="DX144" i="1"/>
  <c r="DW144" i="1"/>
  <c r="DW245" i="1"/>
  <c r="DY245" i="1" s="1"/>
  <c r="DX245" i="1"/>
  <c r="DZ245" i="1" s="1"/>
  <c r="DW31" i="1"/>
  <c r="DY31" i="1" s="1"/>
  <c r="EC31" i="1" s="1"/>
  <c r="EE31" i="1" s="1"/>
  <c r="DX31" i="1"/>
  <c r="DZ31" i="1" s="1"/>
  <c r="ED31" i="1" s="1"/>
  <c r="DW102" i="1"/>
  <c r="DX102" i="1"/>
  <c r="DW118" i="1"/>
  <c r="DX118" i="1"/>
  <c r="DX168" i="1"/>
  <c r="DZ168" i="1" s="1"/>
  <c r="ED168" i="1" s="1"/>
  <c r="DW168" i="1"/>
  <c r="DY168" i="1" s="1"/>
  <c r="EC168" i="1" s="1"/>
  <c r="EE168" i="1" s="1"/>
  <c r="DW266" i="1"/>
  <c r="DX266" i="1"/>
  <c r="DW93" i="1"/>
  <c r="DY93" i="1" s="1"/>
  <c r="EC93" i="1" s="1"/>
  <c r="EE93" i="1" s="1"/>
  <c r="DX93" i="1"/>
  <c r="DZ93" i="1" s="1"/>
  <c r="ED93" i="1" s="1"/>
  <c r="DW177" i="1"/>
  <c r="DY177" i="1" s="1"/>
  <c r="DX177" i="1"/>
  <c r="DZ177" i="1" s="1"/>
  <c r="DW99" i="1"/>
  <c r="DY99" i="1" s="1"/>
  <c r="DX99" i="1"/>
  <c r="DZ99" i="1" s="1"/>
  <c r="DW262" i="1"/>
  <c r="DX262" i="1"/>
  <c r="DW220" i="1"/>
  <c r="DY220" i="1" s="1"/>
  <c r="DX220" i="1"/>
  <c r="DZ220" i="1" s="1"/>
  <c r="DW178" i="1"/>
  <c r="DX178" i="1"/>
  <c r="DW167" i="1"/>
  <c r="DX167" i="1"/>
  <c r="DX78" i="1"/>
  <c r="DW78" i="1"/>
  <c r="DX240" i="1"/>
  <c r="DW240" i="1"/>
  <c r="DW92" i="1"/>
  <c r="DY92" i="1" s="1"/>
  <c r="DX92" i="1"/>
  <c r="DZ92" i="1" s="1"/>
  <c r="DW252" i="1"/>
  <c r="DX252" i="1"/>
  <c r="DX4" i="1"/>
  <c r="DZ4" i="1" s="1"/>
  <c r="DW158" i="1"/>
  <c r="DY158" i="1" s="1"/>
  <c r="DX158" i="1"/>
  <c r="DZ158" i="1" s="1"/>
  <c r="DW289" i="1"/>
  <c r="DX289" i="1"/>
  <c r="DW226" i="1"/>
  <c r="DX226" i="1"/>
  <c r="DW295" i="1"/>
  <c r="DY295" i="1" s="1"/>
  <c r="DX295" i="1"/>
  <c r="DZ295" i="1" s="1"/>
  <c r="DW218" i="1"/>
  <c r="DX218" i="1"/>
  <c r="DW161" i="1"/>
  <c r="DX161" i="1"/>
  <c r="DW170" i="1"/>
  <c r="DY170" i="1" s="1"/>
  <c r="DX170" i="1"/>
  <c r="DZ170" i="1" s="1"/>
  <c r="DW9" i="1"/>
  <c r="DX9" i="1"/>
  <c r="DW81" i="1"/>
  <c r="DX81" i="1"/>
  <c r="DW101" i="1"/>
  <c r="DX101" i="1"/>
  <c r="DZ101" i="1" s="1"/>
  <c r="DW231" i="1"/>
  <c r="DX231" i="1"/>
  <c r="DZ231" i="1" s="1"/>
  <c r="ED231" i="1" s="1"/>
  <c r="DW277" i="1"/>
  <c r="DX277" i="1"/>
  <c r="DW131" i="1"/>
  <c r="DY131" i="1" s="1"/>
  <c r="DX131" i="1"/>
  <c r="DZ131" i="1" s="1"/>
  <c r="DX200" i="1"/>
  <c r="DZ200" i="1" s="1"/>
  <c r="ED200" i="1" s="1"/>
  <c r="DW200" i="1"/>
  <c r="DY200" i="1" s="1"/>
  <c r="DX120" i="1"/>
  <c r="DZ120" i="1" s="1"/>
  <c r="ED120" i="1" s="1"/>
  <c r="DW120" i="1"/>
  <c r="DY120" i="1" s="1"/>
  <c r="EC120" i="1" s="1"/>
  <c r="EE120" i="1" s="1"/>
  <c r="DW114" i="1"/>
  <c r="DY114" i="1" s="1"/>
  <c r="DX114" i="1"/>
  <c r="DZ114" i="1" s="1"/>
  <c r="DW18" i="1"/>
  <c r="DX18" i="1"/>
  <c r="DW24" i="1"/>
  <c r="DX24" i="1"/>
  <c r="DZ24" i="1" s="1"/>
  <c r="DW291" i="1"/>
  <c r="DX291" i="1"/>
  <c r="DW165" i="1"/>
  <c r="DX165" i="1"/>
  <c r="DW190" i="1"/>
  <c r="DX190" i="1"/>
  <c r="DZ190" i="1" s="1"/>
  <c r="ED190" i="1" s="1"/>
  <c r="DW91" i="1"/>
  <c r="DY91" i="1" s="1"/>
  <c r="DX91" i="1"/>
  <c r="DZ91" i="1" s="1"/>
  <c r="DW75" i="1"/>
  <c r="DX75" i="1"/>
  <c r="DW84" i="1"/>
  <c r="DY84" i="1" s="1"/>
  <c r="EC84" i="1" s="1"/>
  <c r="EE84" i="1" s="1"/>
  <c r="DX84" i="1"/>
  <c r="DZ84" i="1" s="1"/>
  <c r="ED84" i="1" s="1"/>
  <c r="DW196" i="1"/>
  <c r="DY196" i="1" s="1"/>
  <c r="DX196" i="1"/>
  <c r="DZ196" i="1" s="1"/>
  <c r="DW219" i="1"/>
  <c r="DX219" i="1"/>
  <c r="DZ219" i="1" s="1"/>
  <c r="DW253" i="1"/>
  <c r="DY253" i="1" s="1"/>
  <c r="DX253" i="1"/>
  <c r="DZ253" i="1" s="1"/>
  <c r="DW27" i="1"/>
  <c r="DY27" i="1" s="1"/>
  <c r="DX27" i="1"/>
  <c r="DZ27" i="1" s="1"/>
  <c r="DX232" i="1"/>
  <c r="DW232" i="1"/>
  <c r="DW239" i="1"/>
  <c r="DX239" i="1"/>
  <c r="DW95" i="1"/>
  <c r="DY95" i="1" s="1"/>
  <c r="DX95" i="1"/>
  <c r="DW25" i="1"/>
  <c r="DY25" i="1" s="1"/>
  <c r="DX25" i="1"/>
  <c r="DZ25" i="1" s="1"/>
  <c r="DW221" i="1"/>
  <c r="DX221" i="1"/>
  <c r="DZ221" i="1" s="1"/>
  <c r="ED221" i="1" s="1"/>
  <c r="DW21" i="1"/>
  <c r="DX21" i="1"/>
  <c r="DZ21" i="1" s="1"/>
  <c r="DW211" i="1"/>
  <c r="DX211" i="1"/>
  <c r="DZ211" i="1" s="1"/>
  <c r="ED211" i="1" s="1"/>
  <c r="DW183" i="1"/>
  <c r="DY183" i="1" s="1"/>
  <c r="DX183" i="1"/>
  <c r="DZ183" i="1" s="1"/>
  <c r="DW249" i="1"/>
  <c r="DY249" i="1" s="1"/>
  <c r="EC249" i="1" s="1"/>
  <c r="EE249" i="1" s="1"/>
  <c r="DX249" i="1"/>
  <c r="DZ249" i="1" s="1"/>
  <c r="ED249" i="1" s="1"/>
  <c r="DW82" i="1"/>
  <c r="DY82" i="1" s="1"/>
  <c r="EC82" i="1" s="1"/>
  <c r="EE82" i="1" s="1"/>
  <c r="DX82" i="1"/>
  <c r="DZ82" i="1" s="1"/>
  <c r="DW159" i="1"/>
  <c r="DY159" i="1" s="1"/>
  <c r="DX159" i="1"/>
  <c r="DZ159" i="1" s="1"/>
  <c r="DW293" i="1"/>
  <c r="DY293" i="1" s="1"/>
  <c r="EC293" i="1" s="1"/>
  <c r="EE293" i="1" s="1"/>
  <c r="DX293" i="1"/>
  <c r="DZ293" i="1" s="1"/>
  <c r="ED293" i="1" s="1"/>
  <c r="DW155" i="1"/>
  <c r="DX155" i="1"/>
  <c r="DW137" i="1"/>
  <c r="DY137" i="1" s="1"/>
  <c r="DX137" i="1"/>
  <c r="DZ137" i="1" s="1"/>
  <c r="DW117" i="1"/>
  <c r="DX117" i="1"/>
  <c r="DW113" i="1"/>
  <c r="DY113" i="1" s="1"/>
  <c r="DX113" i="1"/>
  <c r="DZ113" i="1" s="1"/>
  <c r="DW32" i="1"/>
  <c r="DY32" i="1" s="1"/>
  <c r="DX32" i="1"/>
  <c r="DZ32" i="1" s="1"/>
  <c r="DW246" i="1"/>
  <c r="DY246" i="1" s="1"/>
  <c r="EC246" i="1" s="1"/>
  <c r="EE246" i="1" s="1"/>
  <c r="DX246" i="1"/>
  <c r="DZ246" i="1" s="1"/>
  <c r="DW234" i="1"/>
  <c r="DY234" i="1" s="1"/>
  <c r="DX234" i="1"/>
  <c r="DZ234" i="1" s="1"/>
  <c r="DW222" i="1"/>
  <c r="DX222" i="1"/>
  <c r="DW7" i="1"/>
  <c r="DY7" i="1" s="1"/>
  <c r="DX7" i="1"/>
  <c r="DZ7" i="1" s="1"/>
  <c r="DW235" i="1"/>
  <c r="DY235" i="1" s="1"/>
  <c r="DX235" i="1"/>
  <c r="DZ235" i="1" s="1"/>
  <c r="DW29" i="1"/>
  <c r="DX29" i="1"/>
  <c r="DZ29" i="1" s="1"/>
  <c r="ED29" i="1" s="1"/>
  <c r="DX88" i="1"/>
  <c r="DZ88" i="1" s="1"/>
  <c r="ED88" i="1" s="1"/>
  <c r="DW88" i="1"/>
  <c r="DY88" i="1" s="1"/>
  <c r="DX160" i="1"/>
  <c r="DZ160" i="1" s="1"/>
  <c r="ED160" i="1" s="1"/>
  <c r="DW160" i="1"/>
  <c r="DW247" i="1"/>
  <c r="DY247" i="1" s="1"/>
  <c r="DX247" i="1"/>
  <c r="DZ247" i="1" s="1"/>
  <c r="DW294" i="1"/>
  <c r="DX294" i="1"/>
  <c r="DZ294" i="1" s="1"/>
  <c r="ED294" i="1" s="1"/>
  <c r="DW133" i="1"/>
  <c r="DX133" i="1"/>
  <c r="DW174" i="1"/>
  <c r="DX174" i="1"/>
  <c r="DW33" i="1"/>
  <c r="DX33" i="1"/>
  <c r="DZ33" i="1" s="1"/>
  <c r="DW139" i="1"/>
  <c r="DX139" i="1"/>
  <c r="DZ139" i="1" s="1"/>
  <c r="ED139" i="1" s="1"/>
  <c r="DW13" i="1"/>
  <c r="DY13" i="1" s="1"/>
  <c r="DX13" i="1"/>
  <c r="DZ13" i="1" s="1"/>
  <c r="DW83" i="1"/>
  <c r="DX83" i="1"/>
  <c r="DW135" i="1"/>
  <c r="DY135" i="1" s="1"/>
  <c r="EC135" i="1" s="1"/>
  <c r="EE135" i="1" s="1"/>
  <c r="DX135" i="1"/>
  <c r="DZ135" i="1" s="1"/>
  <c r="DW106" i="1"/>
  <c r="DX106" i="1"/>
  <c r="DW44" i="1"/>
  <c r="DY44" i="1" s="1"/>
  <c r="EC44" i="1" s="1"/>
  <c r="EE44" i="1" s="1"/>
  <c r="DX44" i="1"/>
  <c r="DZ44" i="1" s="1"/>
  <c r="ED44" i="1" s="1"/>
  <c r="DW290" i="1"/>
  <c r="DY290" i="1" s="1"/>
  <c r="DX290" i="1"/>
  <c r="DZ290" i="1" s="1"/>
  <c r="DW207" i="1"/>
  <c r="DX207" i="1"/>
  <c r="DZ207" i="1" s="1"/>
  <c r="DW38" i="1"/>
  <c r="DY38" i="1" s="1"/>
  <c r="DX38" i="1"/>
  <c r="DZ38" i="1" s="1"/>
  <c r="DW97" i="1"/>
  <c r="DY97" i="1" s="1"/>
  <c r="DX97" i="1"/>
  <c r="DZ97" i="1" s="1"/>
  <c r="DW278" i="1"/>
  <c r="DX278" i="1"/>
  <c r="DW205" i="1"/>
  <c r="DY205" i="1" s="1"/>
  <c r="DX205" i="1"/>
  <c r="DZ205" i="1" s="1"/>
  <c r="DW74" i="1"/>
  <c r="DX74" i="1"/>
  <c r="DW5" i="1"/>
  <c r="DY5" i="1" s="1"/>
  <c r="EC5" i="1" s="1"/>
  <c r="EE5" i="1" s="1"/>
  <c r="DX5" i="1"/>
  <c r="DZ5" i="1" s="1"/>
  <c r="ED5" i="1" s="1"/>
  <c r="DW173" i="1"/>
  <c r="DX173" i="1"/>
  <c r="DW108" i="1"/>
  <c r="DX108" i="1"/>
  <c r="DW98" i="1"/>
  <c r="DY98" i="1" s="1"/>
  <c r="DX98" i="1"/>
  <c r="DZ98" i="1" s="1"/>
  <c r="DW8" i="1"/>
  <c r="DY8" i="1" s="1"/>
  <c r="EC8" i="1" s="1"/>
  <c r="EE8" i="1" s="1"/>
  <c r="DX8" i="1"/>
  <c r="DZ8" i="1" s="1"/>
  <c r="DW39" i="1"/>
  <c r="DX39" i="1"/>
  <c r="DW103" i="1"/>
  <c r="DY103" i="1" s="1"/>
  <c r="EC103" i="1" s="1"/>
  <c r="EE103" i="1" s="1"/>
  <c r="DX103" i="1"/>
  <c r="DZ103" i="1" s="1"/>
  <c r="DW185" i="1"/>
  <c r="DY185" i="1" s="1"/>
  <c r="DX185" i="1"/>
  <c r="DZ185" i="1" s="1"/>
  <c r="DW233" i="1"/>
  <c r="DY233" i="1" s="1"/>
  <c r="EC233" i="1" s="1"/>
  <c r="EE233" i="1" s="1"/>
  <c r="DX233" i="1"/>
  <c r="DZ233" i="1" s="1"/>
  <c r="ED233" i="1" s="1"/>
  <c r="DW195" i="1"/>
  <c r="DX195" i="1"/>
  <c r="DZ195" i="1" s="1"/>
  <c r="ED195" i="1" s="1"/>
  <c r="DW202" i="1"/>
  <c r="DY202" i="1" s="1"/>
  <c r="DX202" i="1"/>
  <c r="DZ202" i="1" s="1"/>
  <c r="DW228" i="1"/>
  <c r="DY228" i="1" s="1"/>
  <c r="DX228" i="1"/>
  <c r="DZ228" i="1" s="1"/>
  <c r="DW48" i="1"/>
  <c r="DX48" i="1"/>
  <c r="DW191" i="1"/>
  <c r="DY191" i="1" s="1"/>
  <c r="EC191" i="1" s="1"/>
  <c r="EE191" i="1" s="1"/>
  <c r="DX191" i="1"/>
  <c r="DZ191" i="1" s="1"/>
  <c r="ED191" i="1" s="1"/>
  <c r="DW37" i="1"/>
  <c r="DY37" i="1" s="1"/>
  <c r="EC37" i="1" s="1"/>
  <c r="EE37" i="1" s="1"/>
  <c r="DX37" i="1"/>
  <c r="DZ37" i="1" s="1"/>
  <c r="DW147" i="1"/>
  <c r="DX147" i="1"/>
  <c r="DZ147" i="1" s="1"/>
  <c r="ED147" i="1" s="1"/>
  <c r="DW267" i="1"/>
  <c r="DY267" i="1" s="1"/>
  <c r="EC267" i="1" s="1"/>
  <c r="EE267" i="1" s="1"/>
  <c r="DX267" i="1"/>
  <c r="DZ267" i="1" s="1"/>
  <c r="ED267" i="1" s="1"/>
  <c r="DW116" i="1"/>
  <c r="DY116" i="1" s="1"/>
  <c r="DX116" i="1"/>
  <c r="DZ116" i="1" s="1"/>
  <c r="DW204" i="1"/>
  <c r="DX204" i="1"/>
  <c r="DW292" i="1"/>
  <c r="DY292" i="1" s="1"/>
  <c r="DX292" i="1"/>
  <c r="DZ292" i="1" s="1"/>
  <c r="DX224" i="1"/>
  <c r="DW224" i="1"/>
  <c r="DW259" i="1"/>
  <c r="DX259" i="1"/>
  <c r="DW41" i="1"/>
  <c r="DY41" i="1" s="1"/>
  <c r="DX41" i="1"/>
  <c r="DZ41" i="1" s="1"/>
  <c r="DX126" i="1"/>
  <c r="DZ126" i="1" s="1"/>
  <c r="DW126" i="1"/>
  <c r="DY126" i="1" s="1"/>
  <c r="DW193" i="1"/>
  <c r="DY193" i="1" s="1"/>
  <c r="EC193" i="1" s="1"/>
  <c r="EE193" i="1" s="1"/>
  <c r="DX193" i="1"/>
  <c r="DZ193" i="1" s="1"/>
  <c r="ED193" i="1" s="1"/>
  <c r="DW175" i="1"/>
  <c r="DY175" i="1" s="1"/>
  <c r="DX175" i="1"/>
  <c r="DZ175" i="1" s="1"/>
  <c r="DW257" i="1"/>
  <c r="DX257" i="1"/>
  <c r="DW251" i="1"/>
  <c r="DX251" i="1"/>
  <c r="DW73" i="1"/>
  <c r="DX73" i="1"/>
  <c r="DZ73" i="1" s="1"/>
  <c r="DW12" i="1"/>
  <c r="DX12" i="1"/>
  <c r="DZ12" i="1" s="1"/>
  <c r="DW243" i="1"/>
  <c r="DX243" i="1"/>
  <c r="DW172" i="1"/>
  <c r="DY172" i="1" s="1"/>
  <c r="DX172" i="1"/>
  <c r="DZ172" i="1" s="1"/>
  <c r="DW203" i="1"/>
  <c r="DX203" i="1"/>
  <c r="DW186" i="1"/>
  <c r="DX186" i="1"/>
  <c r="DZ186" i="1" s="1"/>
  <c r="ED186" i="1" s="1"/>
  <c r="DX272" i="1"/>
  <c r="DZ272" i="1" s="1"/>
  <c r="DW272" i="1"/>
  <c r="DY272" i="1" s="1"/>
  <c r="DW153" i="1"/>
  <c r="DX153" i="1"/>
  <c r="DW79" i="1"/>
  <c r="DY79" i="1" s="1"/>
  <c r="DX79" i="1"/>
  <c r="DW284" i="1"/>
  <c r="DX284" i="1"/>
  <c r="BW595" i="1"/>
  <c r="BJ86" i="1"/>
  <c r="BI518" i="1"/>
  <c r="BJ263" i="1"/>
  <c r="BI564" i="1"/>
  <c r="BI491" i="1"/>
  <c r="BJ84" i="1"/>
  <c r="BJ201" i="1"/>
  <c r="BJ132" i="1"/>
  <c r="BJ210" i="1"/>
  <c r="BJ49" i="1"/>
  <c r="BJ54" i="1"/>
  <c r="AP56" i="1"/>
  <c r="BJ40" i="1"/>
  <c r="BJ585" i="1"/>
  <c r="AM576" i="1"/>
  <c r="AN576" i="1"/>
  <c r="AL576" i="1"/>
  <c r="AM552" i="1"/>
  <c r="AN552" i="1"/>
  <c r="AL552" i="1"/>
  <c r="AM564" i="1"/>
  <c r="AN564" i="1"/>
  <c r="AL564" i="1"/>
  <c r="AL549" i="1"/>
  <c r="AN549" i="1"/>
  <c r="AM549" i="1"/>
  <c r="AV580" i="1"/>
  <c r="BE580" i="1"/>
  <c r="AV571" i="1"/>
  <c r="BE571" i="1"/>
  <c r="BE578" i="1"/>
  <c r="AV578" i="1"/>
  <c r="AV559" i="1"/>
  <c r="BE559" i="1"/>
  <c r="BE545" i="1"/>
  <c r="AV545" i="1"/>
  <c r="AP588" i="1"/>
  <c r="AP554" i="1"/>
  <c r="BI546" i="1"/>
  <c r="BI563" i="1"/>
  <c r="AL551" i="1"/>
  <c r="AN551" i="1"/>
  <c r="AM551" i="1"/>
  <c r="AN541" i="1"/>
  <c r="AL541" i="1"/>
  <c r="AM541" i="1"/>
  <c r="AM572" i="1"/>
  <c r="AN572" i="1"/>
  <c r="AL572" i="1"/>
  <c r="AV586" i="1"/>
  <c r="BE586" i="1"/>
  <c r="AP505" i="1"/>
  <c r="AP578" i="1"/>
  <c r="AP559" i="1"/>
  <c r="AP545" i="1"/>
  <c r="BK565" i="1"/>
  <c r="BJ168" i="1"/>
  <c r="AM585" i="1"/>
  <c r="AN585" i="1"/>
  <c r="AL585" i="1"/>
  <c r="AN565" i="1"/>
  <c r="AM565" i="1"/>
  <c r="AL565" i="1"/>
  <c r="AN562" i="1"/>
  <c r="AL562" i="1"/>
  <c r="AM562" i="1"/>
  <c r="BI544" i="1"/>
  <c r="AM573" i="1"/>
  <c r="AL573" i="1"/>
  <c r="AN573" i="1"/>
  <c r="AN579" i="1"/>
  <c r="AL579" i="1"/>
  <c r="AM579" i="1"/>
  <c r="AM560" i="1"/>
  <c r="AL560" i="1"/>
  <c r="AN560" i="1"/>
  <c r="BE587" i="1"/>
  <c r="AV587" i="1"/>
  <c r="BK544" i="1"/>
  <c r="BI570" i="1"/>
  <c r="AM556" i="1"/>
  <c r="AL556" i="1"/>
  <c r="AN556" i="1"/>
  <c r="BJ37" i="1"/>
  <c r="BJ53" i="1"/>
  <c r="BJ219" i="1"/>
  <c r="BI520" i="1"/>
  <c r="BJ165" i="1"/>
  <c r="AN542" i="1"/>
  <c r="AM542" i="1"/>
  <c r="AL542" i="1"/>
  <c r="AN589" i="1"/>
  <c r="AM589" i="1"/>
  <c r="AL589" i="1"/>
  <c r="AN574" i="1"/>
  <c r="AM574" i="1"/>
  <c r="AL574" i="1"/>
  <c r="AM550" i="1"/>
  <c r="AL550" i="1"/>
  <c r="AN550" i="1"/>
  <c r="BE543" i="1"/>
  <c r="AV543" i="1"/>
  <c r="AP580" i="1"/>
  <c r="AP571" i="1"/>
  <c r="BK550" i="1"/>
  <c r="BI576" i="1"/>
  <c r="BE577" i="1"/>
  <c r="AV577" i="1"/>
  <c r="AV557" i="1"/>
  <c r="BE557" i="1"/>
  <c r="BE547" i="1"/>
  <c r="AV547" i="1"/>
  <c r="BJ249" i="1"/>
  <c r="BJ250" i="1"/>
  <c r="AL558" i="1"/>
  <c r="AN558" i="1"/>
  <c r="AM558" i="1"/>
  <c r="BE563" i="1"/>
  <c r="AV563" i="1"/>
  <c r="AV566" i="1"/>
  <c r="BE566" i="1"/>
  <c r="AP576" i="1"/>
  <c r="AP552" i="1"/>
  <c r="BK586" i="1"/>
  <c r="BI519" i="1"/>
  <c r="BJ78" i="1"/>
  <c r="BJ552" i="1"/>
  <c r="AV583" i="1"/>
  <c r="BE583" i="1"/>
  <c r="AV585" i="1"/>
  <c r="BE585" i="1"/>
  <c r="AP575" i="1"/>
  <c r="AP551" i="1"/>
  <c r="BI550" i="1"/>
  <c r="BI586" i="1"/>
  <c r="AL490" i="1"/>
  <c r="AZ490" i="1" s="1"/>
  <c r="BJ207" i="1"/>
  <c r="BJ146" i="1"/>
  <c r="AL566" i="1"/>
  <c r="AN566" i="1"/>
  <c r="AM566" i="1"/>
  <c r="BJ138" i="1"/>
  <c r="AM568" i="1"/>
  <c r="AN568" i="1"/>
  <c r="AL568" i="1"/>
  <c r="AL554" i="1"/>
  <c r="AN554" i="1"/>
  <c r="AM554" i="1"/>
  <c r="AV573" i="1"/>
  <c r="BE573" i="1"/>
  <c r="BE564" i="1"/>
  <c r="AV564" i="1"/>
  <c r="AP565" i="1"/>
  <c r="AP553" i="1"/>
  <c r="BI574" i="1"/>
  <c r="BK587" i="1"/>
  <c r="AV588" i="1"/>
  <c r="BE588" i="1"/>
  <c r="BE554" i="1"/>
  <c r="AV554" i="1"/>
  <c r="AN490" i="1"/>
  <c r="AS490" i="1" s="1"/>
  <c r="AU490" i="1" s="1"/>
  <c r="BJ559" i="1"/>
  <c r="BJ578" i="1"/>
  <c r="BJ234" i="1"/>
  <c r="AN570" i="1"/>
  <c r="AL570" i="1"/>
  <c r="AM570" i="1"/>
  <c r="AM548" i="1"/>
  <c r="AN548" i="1"/>
  <c r="AL548" i="1"/>
  <c r="AM557" i="1"/>
  <c r="AL557" i="1"/>
  <c r="AN557" i="1"/>
  <c r="AN578" i="1"/>
  <c r="AM578" i="1"/>
  <c r="AL578" i="1"/>
  <c r="AN545" i="1"/>
  <c r="AL545" i="1"/>
  <c r="AM545" i="1"/>
  <c r="BE576" i="1"/>
  <c r="AV576" i="1"/>
  <c r="AV552" i="1"/>
  <c r="BE552" i="1"/>
  <c r="BE565" i="1"/>
  <c r="AV565" i="1"/>
  <c r="BE553" i="1"/>
  <c r="AV553" i="1"/>
  <c r="AP579" i="1"/>
  <c r="AP556" i="1"/>
  <c r="BI554" i="1"/>
  <c r="BK576" i="1"/>
  <c r="AP570" i="1"/>
  <c r="AP548" i="1"/>
  <c r="BJ183" i="1"/>
  <c r="AN544" i="1"/>
  <c r="AL544" i="1"/>
  <c r="AM544" i="1"/>
  <c r="AL553" i="1"/>
  <c r="AN553" i="1"/>
  <c r="AM553" i="1"/>
  <c r="AN586" i="1"/>
  <c r="AL586" i="1"/>
  <c r="AM586" i="1"/>
  <c r="BE575" i="1"/>
  <c r="AV575" i="1"/>
  <c r="BE551" i="1"/>
  <c r="AV551" i="1"/>
  <c r="AV560" i="1"/>
  <c r="BE560" i="1"/>
  <c r="AV542" i="1"/>
  <c r="BE542" i="1"/>
  <c r="AP581" i="1"/>
  <c r="AP546" i="1"/>
  <c r="AP589" i="1"/>
  <c r="AP549" i="1"/>
  <c r="AN497" i="1"/>
  <c r="BC497" i="1" s="1"/>
  <c r="DZ497" i="1" s="1"/>
  <c r="AN588" i="1"/>
  <c r="AM588" i="1"/>
  <c r="AL588" i="1"/>
  <c r="AN580" i="1"/>
  <c r="AL580" i="1"/>
  <c r="AM580" i="1"/>
  <c r="AV579" i="1"/>
  <c r="BE579" i="1"/>
  <c r="BE556" i="1"/>
  <c r="AV556" i="1"/>
  <c r="BE574" i="1"/>
  <c r="AV574" i="1"/>
  <c r="BE550" i="1"/>
  <c r="AV550" i="1"/>
  <c r="AP573" i="1"/>
  <c r="AP564" i="1"/>
  <c r="AP509" i="1"/>
  <c r="AP558" i="1"/>
  <c r="AP541" i="1"/>
  <c r="BK557" i="1"/>
  <c r="BI578" i="1"/>
  <c r="BJ564" i="1"/>
  <c r="BJ573" i="1"/>
  <c r="AL559" i="1"/>
  <c r="AN559" i="1"/>
  <c r="AM559" i="1"/>
  <c r="AM583" i="1"/>
  <c r="AL583" i="1"/>
  <c r="AN583" i="1"/>
  <c r="BE589" i="1"/>
  <c r="AV589" i="1"/>
  <c r="BE549" i="1"/>
  <c r="AV549" i="1"/>
  <c r="BE581" i="1"/>
  <c r="AV581" i="1"/>
  <c r="AV546" i="1"/>
  <c r="BE546" i="1"/>
  <c r="AP572" i="1"/>
  <c r="AP544" i="1"/>
  <c r="BI557" i="1"/>
  <c r="BK578" i="1"/>
  <c r="BC131" i="1"/>
  <c r="BJ480" i="1"/>
  <c r="BJ565" i="1"/>
  <c r="BJ156" i="1"/>
  <c r="BJ547" i="1"/>
  <c r="BJ212" i="1"/>
  <c r="AM577" i="1"/>
  <c r="AL577" i="1"/>
  <c r="AN577" i="1"/>
  <c r="AL547" i="1"/>
  <c r="AN547" i="1"/>
  <c r="AM547" i="1"/>
  <c r="AM563" i="1"/>
  <c r="AL563" i="1"/>
  <c r="AN563" i="1"/>
  <c r="AL587" i="1"/>
  <c r="AM587" i="1"/>
  <c r="AN587" i="1"/>
  <c r="BE572" i="1"/>
  <c r="AV572" i="1"/>
  <c r="BE544" i="1"/>
  <c r="AV544" i="1"/>
  <c r="AP560" i="1"/>
  <c r="AP542" i="1"/>
  <c r="BI559" i="1"/>
  <c r="BK581" i="1"/>
  <c r="AM546" i="1"/>
  <c r="AL546" i="1"/>
  <c r="AN546" i="1"/>
  <c r="AP104" i="1"/>
  <c r="AN169" i="1"/>
  <c r="BC169" i="1" s="1"/>
  <c r="BB59" i="1"/>
  <c r="BJ28" i="1"/>
  <c r="AL571" i="1"/>
  <c r="AM571" i="1"/>
  <c r="AN571" i="1"/>
  <c r="AN581" i="1"/>
  <c r="AM581" i="1"/>
  <c r="AL581" i="1"/>
  <c r="AL543" i="1"/>
  <c r="AN543" i="1"/>
  <c r="AM543" i="1"/>
  <c r="BE562" i="1"/>
  <c r="AV562" i="1"/>
  <c r="BE570" i="1"/>
  <c r="AV570" i="1"/>
  <c r="AV548" i="1"/>
  <c r="BE548" i="1"/>
  <c r="AP574" i="1"/>
  <c r="AP550" i="1"/>
  <c r="BK559" i="1"/>
  <c r="BI581" i="1"/>
  <c r="BJ161" i="1"/>
  <c r="BJ587" i="1"/>
  <c r="BJ126" i="1"/>
  <c r="AL575" i="1"/>
  <c r="AM575" i="1"/>
  <c r="AN575" i="1"/>
  <c r="AV568" i="1"/>
  <c r="BE568" i="1"/>
  <c r="BE558" i="1"/>
  <c r="AV558" i="1"/>
  <c r="BE541" i="1"/>
  <c r="AV541" i="1"/>
  <c r="AP508" i="1"/>
  <c r="AP577" i="1"/>
  <c r="AP557" i="1"/>
  <c r="AP547" i="1"/>
  <c r="BK585" i="1"/>
  <c r="BI567" i="1"/>
  <c r="BK567" i="1"/>
  <c r="BE567" i="1"/>
  <c r="AV567" i="1"/>
  <c r="BJ171" i="1"/>
  <c r="AN567" i="1"/>
  <c r="AL567" i="1"/>
  <c r="AM567" i="1"/>
  <c r="BE561" i="1"/>
  <c r="AV561" i="1"/>
  <c r="AL561" i="1"/>
  <c r="AN561" i="1"/>
  <c r="AM561" i="1"/>
  <c r="BK533" i="1"/>
  <c r="AM584" i="1"/>
  <c r="AL584" i="1"/>
  <c r="AN584" i="1"/>
  <c r="AL569" i="1"/>
  <c r="AM569" i="1"/>
  <c r="AN569" i="1"/>
  <c r="BE584" i="1"/>
  <c r="AV584" i="1"/>
  <c r="BE569" i="1"/>
  <c r="AV569" i="1"/>
  <c r="AP584" i="1"/>
  <c r="AP569" i="1"/>
  <c r="CF586" i="1"/>
  <c r="CQ205" i="1"/>
  <c r="CV205" i="1" s="1"/>
  <c r="AP582" i="1"/>
  <c r="AP555" i="1"/>
  <c r="AV582" i="1"/>
  <c r="BE582" i="1"/>
  <c r="BE555" i="1"/>
  <c r="AV555" i="1"/>
  <c r="AM582" i="1"/>
  <c r="AN582" i="1"/>
  <c r="AL582" i="1"/>
  <c r="AL555" i="1"/>
  <c r="AN555" i="1"/>
  <c r="AM555" i="1"/>
  <c r="BW570" i="1"/>
  <c r="BW573" i="1"/>
  <c r="BW574" i="1"/>
  <c r="CF578" i="1"/>
  <c r="BW564" i="1"/>
  <c r="BW554" i="1"/>
  <c r="BW546" i="1"/>
  <c r="BW552" i="1"/>
  <c r="CF541" i="1"/>
  <c r="BJ316" i="1"/>
  <c r="BJ203" i="1"/>
  <c r="BJ386" i="1"/>
  <c r="BJ438" i="1"/>
  <c r="BJ421" i="1"/>
  <c r="BJ341" i="1"/>
  <c r="AN525" i="1"/>
  <c r="AM525" i="1"/>
  <c r="AL525" i="1"/>
  <c r="BE502" i="1"/>
  <c r="BE211" i="1"/>
  <c r="AV129" i="1"/>
  <c r="BE92" i="1"/>
  <c r="BE335" i="1"/>
  <c r="AV413" i="1"/>
  <c r="AV461" i="1"/>
  <c r="BE204" i="1"/>
  <c r="AV185" i="1"/>
  <c r="BE93" i="1"/>
  <c r="AV267" i="1"/>
  <c r="BE185" i="1"/>
  <c r="AV384" i="1"/>
  <c r="BE267" i="1"/>
  <c r="AV235" i="1"/>
  <c r="BE321" i="1"/>
  <c r="AV335" i="1"/>
  <c r="BE235" i="1"/>
  <c r="AV352" i="1"/>
  <c r="BE272" i="1"/>
  <c r="AV204" i="1"/>
  <c r="BE352" i="1"/>
  <c r="AV444" i="1"/>
  <c r="BE384" i="1"/>
  <c r="AV272" i="1"/>
  <c r="BE413" i="1"/>
  <c r="AV321" i="1"/>
  <c r="BE91" i="1"/>
  <c r="AV91" i="1"/>
  <c r="AV514" i="1"/>
  <c r="BE444" i="1"/>
  <c r="AV92" i="1"/>
  <c r="BE514" i="1"/>
  <c r="BE461" i="1"/>
  <c r="AV93" i="1"/>
  <c r="AV502" i="1"/>
  <c r="BE129" i="1"/>
  <c r="AV211" i="1"/>
  <c r="BE530" i="1"/>
  <c r="AV531" i="1"/>
  <c r="AV530" i="1"/>
  <c r="BE529" i="1"/>
  <c r="AV529" i="1"/>
  <c r="BE531" i="1"/>
  <c r="BJ430" i="1"/>
  <c r="BJ296" i="1"/>
  <c r="BJ94" i="1"/>
  <c r="BJ144" i="1"/>
  <c r="BJ401" i="1"/>
  <c r="BJ357" i="1"/>
  <c r="AN530" i="1"/>
  <c r="AN529" i="1"/>
  <c r="AM529" i="1"/>
  <c r="AM530" i="1"/>
  <c r="AL529" i="1"/>
  <c r="AL530" i="1"/>
  <c r="AN491" i="1"/>
  <c r="AM491" i="1"/>
  <c r="AL491" i="1"/>
  <c r="AN495" i="1"/>
  <c r="AM495" i="1"/>
  <c r="AL495" i="1"/>
  <c r="BE34" i="1"/>
  <c r="AV319" i="1"/>
  <c r="BE136" i="1"/>
  <c r="AV303" i="1"/>
  <c r="BE182" i="1"/>
  <c r="AV222" i="1"/>
  <c r="BE202" i="1"/>
  <c r="AV406" i="1"/>
  <c r="BE120" i="1"/>
  <c r="AV158" i="1"/>
  <c r="BE381" i="1"/>
  <c r="AV32" i="1"/>
  <c r="BE303" i="1"/>
  <c r="AV35" i="1"/>
  <c r="AV34" i="1"/>
  <c r="BE319" i="1"/>
  <c r="AV381" i="1"/>
  <c r="AV182" i="1"/>
  <c r="AV528" i="1"/>
  <c r="BE406" i="1"/>
  <c r="AV366" i="1"/>
  <c r="BE528" i="1"/>
  <c r="BE269" i="1"/>
  <c r="AV449" i="1"/>
  <c r="BE503" i="1"/>
  <c r="BE434" i="1"/>
  <c r="AV33" i="1"/>
  <c r="AV503" i="1"/>
  <c r="BE366" i="1"/>
  <c r="AV202" i="1"/>
  <c r="BE32" i="1"/>
  <c r="BE449" i="1"/>
  <c r="AV434" i="1"/>
  <c r="BE158" i="1"/>
  <c r="BE35" i="1"/>
  <c r="AV120" i="1"/>
  <c r="BE33" i="1"/>
  <c r="AV136" i="1"/>
  <c r="BE222" i="1"/>
  <c r="AV269" i="1"/>
  <c r="BE534" i="1"/>
  <c r="AV534" i="1"/>
  <c r="BE533" i="1"/>
  <c r="AV533" i="1"/>
  <c r="BE532" i="1"/>
  <c r="AV532" i="1"/>
  <c r="AP535" i="1"/>
  <c r="AP500" i="1"/>
  <c r="AP486" i="1"/>
  <c r="BJ539" i="1"/>
  <c r="BJ293" i="1"/>
  <c r="BJ364" i="1"/>
  <c r="BJ379" i="1"/>
  <c r="BJ517" i="1"/>
  <c r="BJ308" i="1"/>
  <c r="BJ412" i="1"/>
  <c r="BJ230" i="1"/>
  <c r="BJ363" i="1"/>
  <c r="BJ300" i="1"/>
  <c r="BJ506" i="1"/>
  <c r="BJ167" i="1"/>
  <c r="BJ327" i="1"/>
  <c r="AN533" i="1"/>
  <c r="AN532" i="1"/>
  <c r="AM533" i="1"/>
  <c r="AM532" i="1"/>
  <c r="AL533" i="1"/>
  <c r="AL532" i="1"/>
  <c r="AL516" i="1"/>
  <c r="AL488" i="1"/>
  <c r="AN516" i="1"/>
  <c r="AM516" i="1"/>
  <c r="AM488" i="1"/>
  <c r="AN488" i="1"/>
  <c r="AN540" i="1"/>
  <c r="AM540" i="1"/>
  <c r="AL540" i="1"/>
  <c r="AL511" i="1"/>
  <c r="AM511" i="1"/>
  <c r="AN511" i="1"/>
  <c r="BE539" i="1"/>
  <c r="AV539" i="1"/>
  <c r="BE94" i="1"/>
  <c r="AV94" i="1"/>
  <c r="BE364" i="1"/>
  <c r="AV161" i="1"/>
  <c r="BE149" i="1"/>
  <c r="AV276" i="1"/>
  <c r="BE411" i="1"/>
  <c r="AV95" i="1"/>
  <c r="BE436" i="1"/>
  <c r="AV293" i="1"/>
  <c r="BE95" i="1"/>
  <c r="AV96" i="1"/>
  <c r="BE161" i="1"/>
  <c r="AV212" i="1"/>
  <c r="AV499" i="1"/>
  <c r="BE379" i="1"/>
  <c r="AV311" i="1"/>
  <c r="BE499" i="1"/>
  <c r="BE487" i="1"/>
  <c r="AV149" i="1"/>
  <c r="AV364" i="1"/>
  <c r="BE96" i="1"/>
  <c r="BE311" i="1"/>
  <c r="AV379" i="1"/>
  <c r="BE212" i="1"/>
  <c r="AV436" i="1"/>
  <c r="BE225" i="1"/>
  <c r="AV255" i="1"/>
  <c r="BE193" i="1"/>
  <c r="AV487" i="1"/>
  <c r="BE255" i="1"/>
  <c r="AV411" i="1"/>
  <c r="BE276" i="1"/>
  <c r="AV193" i="1"/>
  <c r="BE293" i="1"/>
  <c r="AV225" i="1"/>
  <c r="AP538" i="1"/>
  <c r="AP483" i="1"/>
  <c r="AP518" i="1"/>
  <c r="AP473" i="1"/>
  <c r="AP512" i="1"/>
  <c r="AP507" i="1"/>
  <c r="BJ236" i="1"/>
  <c r="BJ404" i="1"/>
  <c r="BJ368" i="1"/>
  <c r="BJ356" i="1"/>
  <c r="BJ323" i="1"/>
  <c r="BJ456" i="1"/>
  <c r="BJ11" i="1"/>
  <c r="BJ468" i="1"/>
  <c r="BJ188" i="1"/>
  <c r="BJ307" i="1"/>
  <c r="AM520" i="1"/>
  <c r="AN478" i="1"/>
  <c r="AN520" i="1"/>
  <c r="AM478" i="1"/>
  <c r="AL520" i="1"/>
  <c r="AL478" i="1"/>
  <c r="AN505" i="1"/>
  <c r="AM505" i="1"/>
  <c r="AL505" i="1"/>
  <c r="BJ268" i="1"/>
  <c r="BE39" i="1"/>
  <c r="AV39" i="1"/>
  <c r="BE236" i="1"/>
  <c r="AV485" i="1"/>
  <c r="BE264" i="1"/>
  <c r="AV236" i="1"/>
  <c r="BE368" i="1"/>
  <c r="AV286" i="1"/>
  <c r="BE485" i="1"/>
  <c r="AV404" i="1"/>
  <c r="BE467" i="1"/>
  <c r="AV440" i="1"/>
  <c r="BE506" i="1"/>
  <c r="BE440" i="1"/>
  <c r="AV142" i="1"/>
  <c r="AV506" i="1"/>
  <c r="BE327" i="1"/>
  <c r="AV177" i="1"/>
  <c r="BE36" i="1"/>
  <c r="BE395" i="1"/>
  <c r="AV327" i="1"/>
  <c r="BE113" i="1"/>
  <c r="BE286" i="1"/>
  <c r="AV36" i="1"/>
  <c r="AV113" i="1"/>
  <c r="BE142" i="1"/>
  <c r="BE404" i="1"/>
  <c r="AV167" i="1"/>
  <c r="AV395" i="1"/>
  <c r="BE167" i="1"/>
  <c r="AV37" i="1"/>
  <c r="AV264" i="1"/>
  <c r="BE300" i="1"/>
  <c r="AV467" i="1"/>
  <c r="BE37" i="1"/>
  <c r="AV38" i="1"/>
  <c r="BE177" i="1"/>
  <c r="AV300" i="1"/>
  <c r="BE38" i="1"/>
  <c r="AV368" i="1"/>
  <c r="AP494" i="1"/>
  <c r="AP519" i="1"/>
  <c r="AP537" i="1"/>
  <c r="AP476" i="1"/>
  <c r="AP510" i="1"/>
  <c r="BJ190" i="1"/>
  <c r="BJ448" i="1"/>
  <c r="BJ338" i="1"/>
  <c r="BJ482" i="1"/>
  <c r="BJ19" i="1"/>
  <c r="BJ229" i="1"/>
  <c r="BJ273" i="1"/>
  <c r="BJ475" i="1"/>
  <c r="BJ163" i="1"/>
  <c r="BJ342" i="1"/>
  <c r="BJ410" i="1"/>
  <c r="BJ471" i="1"/>
  <c r="BJ310" i="1"/>
  <c r="BJ255" i="1"/>
  <c r="AM500" i="1"/>
  <c r="AN500" i="1"/>
  <c r="AL500" i="1"/>
  <c r="BJ278" i="1"/>
  <c r="BE535" i="1"/>
  <c r="AV535" i="1"/>
  <c r="BE121" i="1"/>
  <c r="BE428" i="1"/>
  <c r="AV144" i="1"/>
  <c r="BE184" i="1"/>
  <c r="AV195" i="1"/>
  <c r="BE357" i="1"/>
  <c r="AV68" i="1"/>
  <c r="AV228" i="1"/>
  <c r="BE69" i="1"/>
  <c r="AV184" i="1"/>
  <c r="AV428" i="1"/>
  <c r="BE325" i="1"/>
  <c r="AV69" i="1"/>
  <c r="BE334" i="1"/>
  <c r="AV401" i="1"/>
  <c r="BE70" i="1"/>
  <c r="AV70" i="1"/>
  <c r="BE144" i="1"/>
  <c r="AV334" i="1"/>
  <c r="BE239" i="1"/>
  <c r="AV71" i="1"/>
  <c r="BE71" i="1"/>
  <c r="AV459" i="1"/>
  <c r="BE401" i="1"/>
  <c r="AV121" i="1"/>
  <c r="BE290" i="1"/>
  <c r="AV486" i="1"/>
  <c r="BE486" i="1"/>
  <c r="AV239" i="1"/>
  <c r="BE500" i="1"/>
  <c r="BE459" i="1"/>
  <c r="AV290" i="1"/>
  <c r="AV500" i="1"/>
  <c r="BE195" i="1"/>
  <c r="AV357" i="1"/>
  <c r="BE68" i="1"/>
  <c r="BE228" i="1"/>
  <c r="AV325" i="1"/>
  <c r="BE538" i="1"/>
  <c r="AV538" i="1"/>
  <c r="BE210" i="1"/>
  <c r="AV89" i="1"/>
  <c r="BE247" i="1"/>
  <c r="AV122" i="1"/>
  <c r="BE405" i="1"/>
  <c r="AV205" i="1"/>
  <c r="BE472" i="1"/>
  <c r="AV405" i="1"/>
  <c r="BE367" i="1"/>
  <c r="AV90" i="1"/>
  <c r="BE518" i="1"/>
  <c r="BE315" i="1"/>
  <c r="AV472" i="1"/>
  <c r="AV518" i="1"/>
  <c r="BE382" i="1"/>
  <c r="AV346" i="1"/>
  <c r="BE88" i="1"/>
  <c r="BE433" i="1"/>
  <c r="AV210" i="1"/>
  <c r="BE180" i="1"/>
  <c r="BE483" i="1"/>
  <c r="AV180" i="1"/>
  <c r="BE89" i="1"/>
  <c r="AV315" i="1"/>
  <c r="AV247" i="1"/>
  <c r="BE122" i="1"/>
  <c r="AV382" i="1"/>
  <c r="AV483" i="1"/>
  <c r="BE205" i="1"/>
  <c r="AV367" i="1"/>
  <c r="BE263" i="1"/>
  <c r="AV433" i="1"/>
  <c r="BE301" i="1"/>
  <c r="AV263" i="1"/>
  <c r="BE346" i="1"/>
  <c r="AV301" i="1"/>
  <c r="BE90" i="1"/>
  <c r="AV88" i="1"/>
  <c r="AP514" i="1"/>
  <c r="AP502" i="1"/>
  <c r="AP475" i="1"/>
  <c r="AP521" i="1"/>
  <c r="BJ251" i="1"/>
  <c r="BJ452" i="1"/>
  <c r="BJ221" i="1"/>
  <c r="BJ491" i="1"/>
  <c r="BJ437" i="1"/>
  <c r="BJ531" i="1"/>
  <c r="BJ530" i="1"/>
  <c r="AM494" i="1"/>
  <c r="AL494" i="1"/>
  <c r="AN494" i="1"/>
  <c r="BJ281" i="1"/>
  <c r="AM481" i="1"/>
  <c r="AN522" i="1"/>
  <c r="AL522" i="1"/>
  <c r="AN481" i="1"/>
  <c r="AM522" i="1"/>
  <c r="AL481" i="1"/>
  <c r="BE72" i="1"/>
  <c r="BE363" i="1"/>
  <c r="AV74" i="1"/>
  <c r="BE134" i="1"/>
  <c r="BE450" i="1"/>
  <c r="AV75" i="1"/>
  <c r="BE192" i="1"/>
  <c r="AV192" i="1"/>
  <c r="BE320" i="1"/>
  <c r="AV473" i="1"/>
  <c r="BE332" i="1"/>
  <c r="AV160" i="1"/>
  <c r="BE73" i="1"/>
  <c r="AV112" i="1"/>
  <c r="BE230" i="1"/>
  <c r="AV363" i="1"/>
  <c r="BE280" i="1"/>
  <c r="AV332" i="1"/>
  <c r="AV230" i="1"/>
  <c r="BE74" i="1"/>
  <c r="AV134" i="1"/>
  <c r="AV280" i="1"/>
  <c r="BE160" i="1"/>
  <c r="AV450" i="1"/>
  <c r="BE75" i="1"/>
  <c r="AV268" i="1"/>
  <c r="BE427" i="1"/>
  <c r="AV403" i="1"/>
  <c r="AV512" i="1"/>
  <c r="BE473" i="1"/>
  <c r="AV72" i="1"/>
  <c r="BE512" i="1"/>
  <c r="BE112" i="1"/>
  <c r="AV73" i="1"/>
  <c r="AV507" i="1"/>
  <c r="BE268" i="1"/>
  <c r="AV320" i="1"/>
  <c r="BE507" i="1"/>
  <c r="BE403" i="1"/>
  <c r="AV427" i="1"/>
  <c r="BE338" i="1"/>
  <c r="AV448" i="1"/>
  <c r="BE350" i="1"/>
  <c r="AV151" i="1"/>
  <c r="BE42" i="1"/>
  <c r="AV350" i="1"/>
  <c r="BE106" i="1"/>
  <c r="AV135" i="1"/>
  <c r="BE190" i="1"/>
  <c r="AV40" i="1"/>
  <c r="BE410" i="1"/>
  <c r="AV41" i="1"/>
  <c r="BE43" i="1"/>
  <c r="AV106" i="1"/>
  <c r="BE265" i="1"/>
  <c r="AV42" i="1"/>
  <c r="BE526" i="1"/>
  <c r="BE390" i="1"/>
  <c r="AV190" i="1"/>
  <c r="AV526" i="1"/>
  <c r="BE448" i="1"/>
  <c r="AV238" i="1"/>
  <c r="BE40" i="1"/>
  <c r="BE498" i="1"/>
  <c r="AV338" i="1"/>
  <c r="BE41" i="1"/>
  <c r="BE471" i="1"/>
  <c r="AV471" i="1"/>
  <c r="BE135" i="1"/>
  <c r="BE310" i="1"/>
  <c r="AV43" i="1"/>
  <c r="BE151" i="1"/>
  <c r="AV498" i="1"/>
  <c r="AV390" i="1"/>
  <c r="BE238" i="1"/>
  <c r="AV265" i="1"/>
  <c r="AV410" i="1"/>
  <c r="BE297" i="1"/>
  <c r="AV297" i="1"/>
  <c r="AV310" i="1"/>
  <c r="AP528" i="1"/>
  <c r="AP503" i="1"/>
  <c r="AP489" i="1"/>
  <c r="AP517" i="1"/>
  <c r="BJ286" i="1"/>
  <c r="BK539" i="1"/>
  <c r="BJ392" i="1"/>
  <c r="BJ118" i="1"/>
  <c r="BJ331" i="1"/>
  <c r="BJ516" i="1"/>
  <c r="BJ23" i="1"/>
  <c r="BJ397" i="1"/>
  <c r="BJ279" i="1"/>
  <c r="BJ154" i="1"/>
  <c r="BJ523" i="1"/>
  <c r="AM502" i="1"/>
  <c r="AN502" i="1"/>
  <c r="AL502" i="1"/>
  <c r="AN512" i="1"/>
  <c r="AL512" i="1"/>
  <c r="AM512" i="1"/>
  <c r="AM501" i="1"/>
  <c r="AL501" i="1"/>
  <c r="AN501" i="1"/>
  <c r="AN504" i="1"/>
  <c r="AL504" i="1"/>
  <c r="AM504" i="1"/>
  <c r="BE537" i="1"/>
  <c r="AV537" i="1"/>
  <c r="BE125" i="1"/>
  <c r="AV10" i="1"/>
  <c r="BE273" i="1"/>
  <c r="AV456" i="1"/>
  <c r="BE333" i="1"/>
  <c r="AV11" i="1"/>
  <c r="BE11" i="1"/>
  <c r="AV273" i="1"/>
  <c r="BE8" i="1"/>
  <c r="BE10" i="1"/>
  <c r="AV476" i="1"/>
  <c r="AV510" i="1"/>
  <c r="BE220" i="1"/>
  <c r="BE162" i="1"/>
  <c r="AV109" i="1"/>
  <c r="BE510" i="1"/>
  <c r="BE248" i="1"/>
  <c r="AV125" i="1"/>
  <c r="BE292" i="1"/>
  <c r="AV408" i="1"/>
  <c r="BE376" i="1"/>
  <c r="AV292" i="1"/>
  <c r="BE408" i="1"/>
  <c r="AV248" i="1"/>
  <c r="AV376" i="1"/>
  <c r="BE456" i="1"/>
  <c r="AV431" i="1"/>
  <c r="AV162" i="1"/>
  <c r="BE476" i="1"/>
  <c r="AV333" i="1"/>
  <c r="BE171" i="1"/>
  <c r="AV8" i="1"/>
  <c r="BE431" i="1"/>
  <c r="AV171" i="1"/>
  <c r="BE9" i="1"/>
  <c r="AV220" i="1"/>
  <c r="BE109" i="1"/>
  <c r="AV9" i="1"/>
  <c r="BE305" i="1"/>
  <c r="AV281" i="1"/>
  <c r="AV47" i="1"/>
  <c r="BE46" i="1"/>
  <c r="AV383" i="1"/>
  <c r="AV328" i="1"/>
  <c r="BE123" i="1"/>
  <c r="AV232" i="1"/>
  <c r="AV380" i="1"/>
  <c r="BE281" i="1"/>
  <c r="AV251" i="1"/>
  <c r="BE477" i="1"/>
  <c r="AV452" i="1"/>
  <c r="BE493" i="1"/>
  <c r="AV493" i="1"/>
  <c r="BE452" i="1"/>
  <c r="AV138" i="1"/>
  <c r="BE524" i="1"/>
  <c r="BE409" i="1"/>
  <c r="AV172" i="1"/>
  <c r="AV524" i="1"/>
  <c r="BE47" i="1"/>
  <c r="AV123" i="1"/>
  <c r="BE44" i="1"/>
  <c r="BE383" i="1"/>
  <c r="AV305" i="1"/>
  <c r="BE138" i="1"/>
  <c r="BE232" i="1"/>
  <c r="AV409" i="1"/>
  <c r="BE172" i="1"/>
  <c r="BE380" i="1"/>
  <c r="AV44" i="1"/>
  <c r="BE328" i="1"/>
  <c r="AV477" i="1"/>
  <c r="BE45" i="1"/>
  <c r="AV45" i="1"/>
  <c r="BE197" i="1"/>
  <c r="AV197" i="1"/>
  <c r="BE251" i="1"/>
  <c r="AV46" i="1"/>
  <c r="AP485" i="1"/>
  <c r="AP506" i="1"/>
  <c r="AP480" i="1"/>
  <c r="AP479" i="1"/>
  <c r="BI539" i="1"/>
  <c r="BJ110" i="1"/>
  <c r="BJ347" i="1"/>
  <c r="BJ388" i="1"/>
  <c r="BJ520" i="1"/>
  <c r="BJ299" i="1"/>
  <c r="BJ192" i="1"/>
  <c r="BJ283" i="1"/>
  <c r="BJ349" i="1"/>
  <c r="AM528" i="1"/>
  <c r="AL528" i="1"/>
  <c r="AN528" i="1"/>
  <c r="AM508" i="1"/>
  <c r="AN508" i="1"/>
  <c r="AL508" i="1"/>
  <c r="BE296" i="1"/>
  <c r="AV387" i="1"/>
  <c r="BE77" i="1"/>
  <c r="AV107" i="1"/>
  <c r="BE342" i="1"/>
  <c r="AV206" i="1"/>
  <c r="BE78" i="1"/>
  <c r="AV475" i="1"/>
  <c r="BE206" i="1"/>
  <c r="AV358" i="1"/>
  <c r="BE231" i="1"/>
  <c r="AV76" i="1"/>
  <c r="BE430" i="1"/>
  <c r="AV274" i="1"/>
  <c r="BE460" i="1"/>
  <c r="AV77" i="1"/>
  <c r="BE400" i="1"/>
  <c r="AV241" i="1"/>
  <c r="BE475" i="1"/>
  <c r="AV78" i="1"/>
  <c r="BE107" i="1"/>
  <c r="AV342" i="1"/>
  <c r="AV521" i="1"/>
  <c r="BE274" i="1"/>
  <c r="AV179" i="1"/>
  <c r="BE521" i="1"/>
  <c r="BE179" i="1"/>
  <c r="AV163" i="1"/>
  <c r="BE76" i="1"/>
  <c r="BE358" i="1"/>
  <c r="AV296" i="1"/>
  <c r="BE163" i="1"/>
  <c r="BE387" i="1"/>
  <c r="AV231" i="1"/>
  <c r="AV430" i="1"/>
  <c r="BE241" i="1"/>
  <c r="AV400" i="1"/>
  <c r="AV460" i="1"/>
  <c r="BE287" i="1"/>
  <c r="BE288" i="1"/>
  <c r="AV416" i="1"/>
  <c r="BE289" i="1"/>
  <c r="AV479" i="1"/>
  <c r="BE359" i="1"/>
  <c r="AV287" i="1"/>
  <c r="BE480" i="1"/>
  <c r="AV288" i="1"/>
  <c r="BE407" i="1"/>
  <c r="AV289" i="1"/>
  <c r="BE416" i="1"/>
  <c r="AV407" i="1"/>
  <c r="BE479" i="1"/>
  <c r="AV359" i="1"/>
  <c r="AV480" i="1"/>
  <c r="AP498" i="1"/>
  <c r="AP526" i="1"/>
  <c r="AP496" i="1"/>
  <c r="AP515" i="1"/>
  <c r="BJ152" i="1"/>
  <c r="BJ343" i="1"/>
  <c r="BJ275" i="1"/>
  <c r="BJ173" i="1"/>
  <c r="BJ385" i="1"/>
  <c r="BJ291" i="1"/>
  <c r="BJ329" i="1"/>
  <c r="BJ243" i="1"/>
  <c r="BJ495" i="1"/>
  <c r="BJ353" i="1"/>
  <c r="AM539" i="1"/>
  <c r="AN487" i="1"/>
  <c r="AL539" i="1"/>
  <c r="AL487" i="1"/>
  <c r="AN539" i="1"/>
  <c r="AM487" i="1"/>
  <c r="AM483" i="1"/>
  <c r="AN483" i="1"/>
  <c r="AM538" i="1"/>
  <c r="AL538" i="1"/>
  <c r="AL483" i="1"/>
  <c r="AN538" i="1"/>
  <c r="AL514" i="1"/>
  <c r="AM514" i="1"/>
  <c r="AN514" i="1"/>
  <c r="BE489" i="1"/>
  <c r="AV133" i="1"/>
  <c r="AV412" i="1"/>
  <c r="BE278" i="1"/>
  <c r="AV200" i="1"/>
  <c r="AV147" i="1"/>
  <c r="BE133" i="1"/>
  <c r="AV217" i="1"/>
  <c r="AV517" i="1"/>
  <c r="BE15" i="1"/>
  <c r="AV103" i="1"/>
  <c r="BE517" i="1"/>
  <c r="BE362" i="1"/>
  <c r="AV422" i="1"/>
  <c r="BE12" i="1"/>
  <c r="BE412" i="1"/>
  <c r="AV489" i="1"/>
  <c r="BE200" i="1"/>
  <c r="BE462" i="1"/>
  <c r="AV339" i="1"/>
  <c r="BE258" i="1"/>
  <c r="AV308" i="1"/>
  <c r="BE308" i="1"/>
  <c r="AV12" i="1"/>
  <c r="BE13" i="1"/>
  <c r="AV258" i="1"/>
  <c r="BE147" i="1"/>
  <c r="AV13" i="1"/>
  <c r="BE217" i="1"/>
  <c r="AV14" i="1"/>
  <c r="BE14" i="1"/>
  <c r="AV15" i="1"/>
  <c r="BE103" i="1"/>
  <c r="AV462" i="1"/>
  <c r="BE339" i="1"/>
  <c r="AV278" i="1"/>
  <c r="BE422" i="1"/>
  <c r="AV362" i="1"/>
  <c r="BE141" i="1"/>
  <c r="AV261" i="1"/>
  <c r="BE331" i="1"/>
  <c r="AV377" i="1"/>
  <c r="AV511" i="1"/>
  <c r="BE51" i="1"/>
  <c r="AV48" i="1"/>
  <c r="BE511" i="1"/>
  <c r="BE392" i="1"/>
  <c r="AV51" i="1"/>
  <c r="AV245" i="1"/>
  <c r="BE48" i="1"/>
  <c r="BE417" i="1"/>
  <c r="AV331" i="1"/>
  <c r="AV50" i="1"/>
  <c r="BE245" i="1"/>
  <c r="BE492" i="1"/>
  <c r="AV417" i="1"/>
  <c r="BE270" i="1"/>
  <c r="AV118" i="1"/>
  <c r="BE49" i="1"/>
  <c r="AV270" i="1"/>
  <c r="BE118" i="1"/>
  <c r="AV181" i="1"/>
  <c r="BE164" i="1"/>
  <c r="AV455" i="1"/>
  <c r="BE181" i="1"/>
  <c r="AV164" i="1"/>
  <c r="BE50" i="1"/>
  <c r="AV322" i="1"/>
  <c r="BE322" i="1"/>
  <c r="AV141" i="1"/>
  <c r="BE377" i="1"/>
  <c r="AV392" i="1"/>
  <c r="BE455" i="1"/>
  <c r="AV492" i="1"/>
  <c r="BE261" i="1"/>
  <c r="AV49" i="1"/>
  <c r="AP497" i="1"/>
  <c r="AP490" i="1"/>
  <c r="AP482" i="1"/>
  <c r="AP523" i="1"/>
  <c r="BJ424" i="1"/>
  <c r="BJ509" i="1"/>
  <c r="BJ166" i="1"/>
  <c r="BJ372" i="1"/>
  <c r="BJ472" i="1"/>
  <c r="BJ301" i="1"/>
  <c r="BJ483" i="1"/>
  <c r="BJ69" i="1"/>
  <c r="BJ47" i="1"/>
  <c r="BJ409" i="1"/>
  <c r="BJ305" i="1"/>
  <c r="BJ447" i="1"/>
  <c r="BJ337" i="1"/>
  <c r="BJ418" i="1"/>
  <c r="AL506" i="1"/>
  <c r="AM506" i="1"/>
  <c r="AN506" i="1"/>
  <c r="AM519" i="1"/>
  <c r="AL519" i="1"/>
  <c r="AN519" i="1"/>
  <c r="AN486" i="1"/>
  <c r="AL486" i="1"/>
  <c r="AM535" i="1"/>
  <c r="AM486" i="1"/>
  <c r="AL535" i="1"/>
  <c r="AN535" i="1"/>
  <c r="BE282" i="1"/>
  <c r="AV378" i="1"/>
  <c r="BE323" i="1"/>
  <c r="AV496" i="1"/>
  <c r="BE356" i="1"/>
  <c r="AV199" i="1"/>
  <c r="AV114" i="1"/>
  <c r="BE378" i="1"/>
  <c r="AV432" i="1"/>
  <c r="AV463" i="1"/>
  <c r="BE432" i="1"/>
  <c r="AV282" i="1"/>
  <c r="BE515" i="1"/>
  <c r="BE446" i="1"/>
  <c r="AV168" i="1"/>
  <c r="AV515" i="1"/>
  <c r="BE496" i="1"/>
  <c r="AV170" i="1"/>
  <c r="BE80" i="1"/>
  <c r="BE79" i="1"/>
  <c r="AV207" i="1"/>
  <c r="BE81" i="1"/>
  <c r="BE463" i="1"/>
  <c r="AV257" i="1"/>
  <c r="BE114" i="1"/>
  <c r="AV356" i="1"/>
  <c r="BE168" i="1"/>
  <c r="AV224" i="1"/>
  <c r="BE170" i="1"/>
  <c r="AV323" i="1"/>
  <c r="BE199" i="1"/>
  <c r="AV81" i="1"/>
  <c r="BE207" i="1"/>
  <c r="AV446" i="1"/>
  <c r="BE224" i="1"/>
  <c r="AV79" i="1"/>
  <c r="BE257" i="1"/>
  <c r="AV80" i="1"/>
  <c r="BE369" i="1"/>
  <c r="AV159" i="1"/>
  <c r="BE244" i="1"/>
  <c r="AV425" i="1"/>
  <c r="AV527" i="1"/>
  <c r="BE388" i="1"/>
  <c r="AV110" i="1"/>
  <c r="BE527" i="1"/>
  <c r="BE302" i="1"/>
  <c r="AV143" i="1"/>
  <c r="BE52" i="1"/>
  <c r="BE425" i="1"/>
  <c r="AV244" i="1"/>
  <c r="BE53" i="1"/>
  <c r="BE484" i="1"/>
  <c r="AV52" i="1"/>
  <c r="AV198" i="1"/>
  <c r="BE110" i="1"/>
  <c r="AV53" i="1"/>
  <c r="AV347" i="1"/>
  <c r="BE143" i="1"/>
  <c r="AV54" i="1"/>
  <c r="BE159" i="1"/>
  <c r="AV284" i="1"/>
  <c r="BE284" i="1"/>
  <c r="AV484" i="1"/>
  <c r="BE54" i="1"/>
  <c r="AV55" i="1"/>
  <c r="BE198" i="1"/>
  <c r="AV219" i="1"/>
  <c r="BE55" i="1"/>
  <c r="AV369" i="1"/>
  <c r="BE219" i="1"/>
  <c r="AV302" i="1"/>
  <c r="BE347" i="1"/>
  <c r="AV388" i="1"/>
  <c r="BE439" i="1"/>
  <c r="AV439" i="1"/>
  <c r="AP524" i="1"/>
  <c r="AP477" i="1"/>
  <c r="AP493" i="1"/>
  <c r="BJ435" i="1"/>
  <c r="BJ63" i="1"/>
  <c r="BJ414" i="1"/>
  <c r="BJ313" i="1"/>
  <c r="BJ469" i="1"/>
  <c r="BJ137" i="1"/>
  <c r="BJ442" i="1"/>
  <c r="BJ340" i="1"/>
  <c r="BJ479" i="1"/>
  <c r="BJ416" i="1"/>
  <c r="BJ429" i="1"/>
  <c r="BJ130" i="1"/>
  <c r="BJ453" i="1"/>
  <c r="BJ107" i="1"/>
  <c r="BJ64" i="1"/>
  <c r="AN498" i="1"/>
  <c r="AM498" i="1"/>
  <c r="AL498" i="1"/>
  <c r="AN536" i="1"/>
  <c r="AM536" i="1"/>
  <c r="AL536" i="1"/>
  <c r="AM503" i="1"/>
  <c r="AL503" i="1"/>
  <c r="AN503" i="1"/>
  <c r="AM507" i="1"/>
  <c r="AN507" i="1"/>
  <c r="AM473" i="1"/>
  <c r="AL507" i="1"/>
  <c r="AL473" i="1"/>
  <c r="AN473" i="1"/>
  <c r="BE16" i="1"/>
  <c r="BE374" i="1"/>
  <c r="AV128" i="1"/>
  <c r="BE154" i="1"/>
  <c r="BE458" i="1"/>
  <c r="AV279" i="1"/>
  <c r="BE229" i="1"/>
  <c r="AV16" i="1"/>
  <c r="BE279" i="1"/>
  <c r="AV17" i="1"/>
  <c r="BE17" i="1"/>
  <c r="AV19" i="1"/>
  <c r="AV18" i="1"/>
  <c r="BE189" i="1"/>
  <c r="AV482" i="1"/>
  <c r="AV115" i="1"/>
  <c r="BE317" i="1"/>
  <c r="AV229" i="1"/>
  <c r="BE18" i="1"/>
  <c r="AV317" i="1"/>
  <c r="BE115" i="1"/>
  <c r="AV154" i="1"/>
  <c r="BE128" i="1"/>
  <c r="AV336" i="1"/>
  <c r="BE389" i="1"/>
  <c r="AV189" i="1"/>
  <c r="BE426" i="1"/>
  <c r="AV458" i="1"/>
  <c r="BE19" i="1"/>
  <c r="AV389" i="1"/>
  <c r="BE336" i="1"/>
  <c r="AV426" i="1"/>
  <c r="BE523" i="1"/>
  <c r="BE240" i="1"/>
  <c r="AV240" i="1"/>
  <c r="AV523" i="1"/>
  <c r="BE482" i="1"/>
  <c r="AV374" i="1"/>
  <c r="BE100" i="1"/>
  <c r="BE490" i="1"/>
  <c r="AV176" i="1"/>
  <c r="BE146" i="1"/>
  <c r="BE421" i="1"/>
  <c r="AV246" i="1"/>
  <c r="BE176" i="1"/>
  <c r="BE277" i="1"/>
  <c r="AV277" i="1"/>
  <c r="BE291" i="1"/>
  <c r="AV361" i="1"/>
  <c r="BE341" i="1"/>
  <c r="AV497" i="1"/>
  <c r="AV394" i="1"/>
  <c r="BE101" i="1"/>
  <c r="AV100" i="1"/>
  <c r="AV146" i="1"/>
  <c r="BE246" i="1"/>
  <c r="AV101" i="1"/>
  <c r="AV214" i="1"/>
  <c r="BE102" i="1"/>
  <c r="AV102" i="1"/>
  <c r="BE169" i="1"/>
  <c r="AV169" i="1"/>
  <c r="BE214" i="1"/>
  <c r="AV218" i="1"/>
  <c r="BE218" i="1"/>
  <c r="AV421" i="1"/>
  <c r="BE497" i="1"/>
  <c r="AV438" i="1"/>
  <c r="BE438" i="1"/>
  <c r="AV341" i="1"/>
  <c r="BE361" i="1"/>
  <c r="AV457" i="1"/>
  <c r="BE394" i="1"/>
  <c r="AV490" i="1"/>
  <c r="BE457" i="1"/>
  <c r="AV291" i="1"/>
  <c r="AP539" i="1"/>
  <c r="AP487" i="1"/>
  <c r="AP499" i="1"/>
  <c r="AP491" i="1"/>
  <c r="AP525" i="1"/>
  <c r="BJ176" i="1"/>
  <c r="BJ490" i="1"/>
  <c r="BJ361" i="1"/>
  <c r="BJ474" i="1"/>
  <c r="BJ399" i="1"/>
  <c r="BJ105" i="1"/>
  <c r="BJ97" i="1"/>
  <c r="BJ455" i="1"/>
  <c r="BJ377" i="1"/>
  <c r="BJ492" i="1"/>
  <c r="BJ463" i="1"/>
  <c r="BJ432" i="1"/>
  <c r="BJ257" i="1"/>
  <c r="AL477" i="1"/>
  <c r="AL524" i="1"/>
  <c r="AN524" i="1"/>
  <c r="AN477" i="1"/>
  <c r="AM477" i="1"/>
  <c r="AM524" i="1"/>
  <c r="AL515" i="1"/>
  <c r="AN515" i="1"/>
  <c r="AM515" i="1"/>
  <c r="AL499" i="1"/>
  <c r="AM499" i="1"/>
  <c r="AN499" i="1"/>
  <c r="AM537" i="1"/>
  <c r="AL537" i="1"/>
  <c r="AN537" i="1"/>
  <c r="BE237" i="1"/>
  <c r="AV83" i="1"/>
  <c r="AV82" i="1"/>
  <c r="BE283" i="1"/>
  <c r="AV398" i="1"/>
  <c r="BE349" i="1"/>
  <c r="AV84" i="1"/>
  <c r="BE155" i="1"/>
  <c r="AV117" i="1"/>
  <c r="BE201" i="1"/>
  <c r="AV349" i="1"/>
  <c r="BE309" i="1"/>
  <c r="AV201" i="1"/>
  <c r="BE82" i="1"/>
  <c r="AV283" i="1"/>
  <c r="BE398" i="1"/>
  <c r="AV402" i="1"/>
  <c r="BE402" i="1"/>
  <c r="AV155" i="1"/>
  <c r="BE83" i="1"/>
  <c r="AV221" i="1"/>
  <c r="BE525" i="1"/>
  <c r="BE326" i="1"/>
  <c r="AV237" i="1"/>
  <c r="AV525" i="1"/>
  <c r="BE437" i="1"/>
  <c r="AV437" i="1"/>
  <c r="BE84" i="1"/>
  <c r="BE491" i="1"/>
  <c r="AV208" i="1"/>
  <c r="BE117" i="1"/>
  <c r="AV491" i="1"/>
  <c r="BE208" i="1"/>
  <c r="AV309" i="1"/>
  <c r="BE221" i="1"/>
  <c r="AV326" i="1"/>
  <c r="BE536" i="1"/>
  <c r="AV536" i="1"/>
  <c r="BE324" i="1"/>
  <c r="AV150" i="1"/>
  <c r="BE5" i="1"/>
  <c r="AV360" i="1"/>
  <c r="BE105" i="1"/>
  <c r="AV304" i="1"/>
  <c r="BE242" i="1"/>
  <c r="AV7" i="1"/>
  <c r="BE6" i="1"/>
  <c r="AV344" i="1"/>
  <c r="BE178" i="1"/>
  <c r="AV145" i="1"/>
  <c r="BE360" i="1"/>
  <c r="AV105" i="1"/>
  <c r="BE393" i="1"/>
  <c r="AV393" i="1"/>
  <c r="BE443" i="1"/>
  <c r="AV474" i="1"/>
  <c r="AV4" i="1"/>
  <c r="AV443" i="1"/>
  <c r="BE7" i="1"/>
  <c r="AV254" i="1"/>
  <c r="AV513" i="1"/>
  <c r="BE344" i="1"/>
  <c r="AV178" i="1"/>
  <c r="AV399" i="1"/>
  <c r="BE513" i="1"/>
  <c r="BE145" i="1"/>
  <c r="AV242" i="1"/>
  <c r="BE150" i="1"/>
  <c r="BE399" i="1"/>
  <c r="AV324" i="1"/>
  <c r="BE254" i="1"/>
  <c r="BE474" i="1"/>
  <c r="AV5" i="1"/>
  <c r="BE304" i="1"/>
  <c r="BE4" i="1"/>
  <c r="AV6" i="1"/>
  <c r="AP492" i="1"/>
  <c r="AP511" i="1"/>
  <c r="AP516" i="1"/>
  <c r="AP495" i="1"/>
  <c r="AP488" i="1"/>
  <c r="BK517" i="1"/>
  <c r="BJ67" i="1"/>
  <c r="BJ454" i="1"/>
  <c r="BJ502" i="1"/>
  <c r="BJ461" i="1"/>
  <c r="BJ352" i="1"/>
  <c r="BJ321" i="1"/>
  <c r="BJ100" i="1"/>
  <c r="BJ439" i="1"/>
  <c r="BJ198" i="1"/>
  <c r="BJ369" i="1"/>
  <c r="BJ518" i="1"/>
  <c r="BJ180" i="1"/>
  <c r="BJ121" i="1"/>
  <c r="AN523" i="1"/>
  <c r="AN482" i="1"/>
  <c r="AL523" i="1"/>
  <c r="AM482" i="1"/>
  <c r="AL482" i="1"/>
  <c r="AM523" i="1"/>
  <c r="AM485" i="1"/>
  <c r="AN485" i="1"/>
  <c r="AL485" i="1"/>
  <c r="AM521" i="1"/>
  <c r="AN521" i="1"/>
  <c r="AN475" i="1"/>
  <c r="AL521" i="1"/>
  <c r="AM475" i="1"/>
  <c r="AL475" i="1"/>
  <c r="BE22" i="1"/>
  <c r="AV495" i="1"/>
  <c r="BE119" i="1"/>
  <c r="AV243" i="1"/>
  <c r="BE140" i="1"/>
  <c r="AV227" i="1"/>
  <c r="BE227" i="1"/>
  <c r="AV415" i="1"/>
  <c r="AV294" i="1"/>
  <c r="BE23" i="1"/>
  <c r="AV20" i="1"/>
  <c r="AV445" i="1"/>
  <c r="BE187" i="1"/>
  <c r="AV266" i="1"/>
  <c r="AV397" i="1"/>
  <c r="BE397" i="1"/>
  <c r="AV21" i="1"/>
  <c r="BE488" i="1"/>
  <c r="AV22" i="1"/>
  <c r="BE191" i="1"/>
  <c r="AV119" i="1"/>
  <c r="BE516" i="1"/>
  <c r="BE415" i="1"/>
  <c r="AV23" i="1"/>
  <c r="AV516" i="1"/>
  <c r="BE243" i="1"/>
  <c r="AV187" i="1"/>
  <c r="BE20" i="1"/>
  <c r="BE294" i="1"/>
  <c r="AV353" i="1"/>
  <c r="BE266" i="1"/>
  <c r="BE445" i="1"/>
  <c r="AV488" i="1"/>
  <c r="BE353" i="1"/>
  <c r="BE495" i="1"/>
  <c r="AV329" i="1"/>
  <c r="BE21" i="1"/>
  <c r="AV140" i="1"/>
  <c r="BE329" i="1"/>
  <c r="AV191" i="1"/>
  <c r="BE365" i="1"/>
  <c r="AV57" i="1"/>
  <c r="BE423" i="1"/>
  <c r="AV58" i="1"/>
  <c r="BE522" i="1"/>
  <c r="BE396" i="1"/>
  <c r="AV256" i="1"/>
  <c r="AV522" i="1"/>
  <c r="BE285" i="1"/>
  <c r="AV59" i="1"/>
  <c r="BE56" i="1"/>
  <c r="BE343" i="1"/>
  <c r="AV423" i="1"/>
  <c r="BE104" i="1"/>
  <c r="BE183" i="1"/>
  <c r="AV226" i="1"/>
  <c r="BE57" i="1"/>
  <c r="AV343" i="1"/>
  <c r="BE131" i="1"/>
  <c r="AV183" i="1"/>
  <c r="AV131" i="1"/>
  <c r="BE226" i="1"/>
  <c r="AV365" i="1"/>
  <c r="AV396" i="1"/>
  <c r="BE58" i="1"/>
  <c r="AV464" i="1"/>
  <c r="BE152" i="1"/>
  <c r="AV481" i="1"/>
  <c r="BE256" i="1"/>
  <c r="AV298" i="1"/>
  <c r="BE298" i="1"/>
  <c r="AV152" i="1"/>
  <c r="BE464" i="1"/>
  <c r="AV285" i="1"/>
  <c r="BE481" i="1"/>
  <c r="AV56" i="1"/>
  <c r="BE59" i="1"/>
  <c r="AV104" i="1"/>
  <c r="AP484" i="1"/>
  <c r="AP527" i="1"/>
  <c r="AP478" i="1"/>
  <c r="AP520" i="1"/>
  <c r="AP501" i="1"/>
  <c r="BJ147" i="1"/>
  <c r="BJ239" i="1"/>
  <c r="BJ428" i="1"/>
  <c r="BJ535" i="1"/>
  <c r="BJ381" i="1"/>
  <c r="BJ528" i="1"/>
  <c r="BJ269" i="1"/>
  <c r="BJ7" i="1"/>
  <c r="BJ344" i="1"/>
  <c r="BJ393" i="1"/>
  <c r="BJ324" i="1"/>
  <c r="BJ259" i="1"/>
  <c r="BJ370" i="1"/>
  <c r="BJ494" i="1"/>
  <c r="BJ519" i="1"/>
  <c r="AN509" i="1"/>
  <c r="AL509" i="1"/>
  <c r="AM509" i="1"/>
  <c r="AM534" i="1"/>
  <c r="AL534" i="1"/>
  <c r="AN534" i="1"/>
  <c r="AN526" i="1"/>
  <c r="AM526" i="1"/>
  <c r="AL526" i="1"/>
  <c r="AN489" i="1"/>
  <c r="AM489" i="1"/>
  <c r="AN517" i="1"/>
  <c r="AM517" i="1"/>
  <c r="AL517" i="1"/>
  <c r="AL489" i="1"/>
  <c r="BE153" i="1"/>
  <c r="AV253" i="1"/>
  <c r="BE418" i="1"/>
  <c r="AV337" i="1"/>
  <c r="BE447" i="1"/>
  <c r="AV375" i="1"/>
  <c r="BE175" i="1"/>
  <c r="AV175" i="1"/>
  <c r="BE249" i="1"/>
  <c r="AV209" i="1"/>
  <c r="AV520" i="1"/>
  <c r="BE299" i="1"/>
  <c r="AV391" i="1"/>
  <c r="BE520" i="1"/>
  <c r="BE478" i="1"/>
  <c r="AV194" i="1"/>
  <c r="AV501" i="1"/>
  <c r="BE375" i="1"/>
  <c r="AV478" i="1"/>
  <c r="BE501" i="1"/>
  <c r="BE391" i="1"/>
  <c r="AV132" i="1"/>
  <c r="AV447" i="1"/>
  <c r="BE337" i="1"/>
  <c r="BE253" i="1"/>
  <c r="AV418" i="1"/>
  <c r="BE85" i="1"/>
  <c r="AV249" i="1"/>
  <c r="BE209" i="1"/>
  <c r="AV85" i="1"/>
  <c r="BE86" i="1"/>
  <c r="AV299" i="1"/>
  <c r="BE132" i="1"/>
  <c r="AV86" i="1"/>
  <c r="BE194" i="1"/>
  <c r="AV153" i="1"/>
  <c r="BE87" i="1"/>
  <c r="AV87" i="1"/>
  <c r="AV509" i="1"/>
  <c r="BE318" i="1"/>
  <c r="AV186" i="1"/>
  <c r="BE509" i="1"/>
  <c r="BE424" i="1"/>
  <c r="AV318" i="1"/>
  <c r="BE188" i="1"/>
  <c r="BE99" i="1"/>
  <c r="AV468" i="1"/>
  <c r="BE216" i="1"/>
  <c r="AV213" i="1"/>
  <c r="BE262" i="1"/>
  <c r="AV188" i="1"/>
  <c r="BE97" i="1"/>
  <c r="AV97" i="1"/>
  <c r="BE139" i="1"/>
  <c r="AV139" i="1"/>
  <c r="BE213" i="1"/>
  <c r="AV372" i="1"/>
  <c r="BE98" i="1"/>
  <c r="AV307" i="1"/>
  <c r="BE186" i="1"/>
  <c r="AV424" i="1"/>
  <c r="BE330" i="1"/>
  <c r="AV262" i="1"/>
  <c r="BE372" i="1"/>
  <c r="AV98" i="1"/>
  <c r="BE451" i="1"/>
  <c r="AV99" i="1"/>
  <c r="AV330" i="1"/>
  <c r="BE468" i="1"/>
  <c r="AV166" i="1"/>
  <c r="BE307" i="1"/>
  <c r="AV216" i="1"/>
  <c r="BE166" i="1"/>
  <c r="AV451" i="1"/>
  <c r="AP536" i="1"/>
  <c r="AP474" i="1"/>
  <c r="AP513" i="1"/>
  <c r="BJ512" i="1"/>
  <c r="BJ160" i="1"/>
  <c r="BJ507" i="1"/>
  <c r="BJ332" i="1"/>
  <c r="BJ365" i="1"/>
  <c r="BJ423" i="1"/>
  <c r="BJ59" i="1"/>
  <c r="BJ235" i="1"/>
  <c r="BJ384" i="1"/>
  <c r="BJ335" i="1"/>
  <c r="BJ289" i="1"/>
  <c r="AM484" i="1"/>
  <c r="AN527" i="1"/>
  <c r="AM527" i="1"/>
  <c r="AL527" i="1"/>
  <c r="AN484" i="1"/>
  <c r="AL484" i="1"/>
  <c r="AN531" i="1"/>
  <c r="AM531" i="1"/>
  <c r="AL531" i="1"/>
  <c r="AL496" i="1"/>
  <c r="AM496" i="1"/>
  <c r="AN496" i="1"/>
  <c r="AV508" i="1"/>
  <c r="BE351" i="1"/>
  <c r="AV25" i="1"/>
  <c r="BE24" i="1"/>
  <c r="BE453" i="1"/>
  <c r="AV156" i="1"/>
  <c r="BE130" i="1"/>
  <c r="BE466" i="1"/>
  <c r="AV429" i="1"/>
  <c r="BE275" i="1"/>
  <c r="AV26" i="1"/>
  <c r="BE312" i="1"/>
  <c r="AV173" i="1"/>
  <c r="BE25" i="1"/>
  <c r="AV355" i="1"/>
  <c r="BE173" i="1"/>
  <c r="AV27" i="1"/>
  <c r="BE26" i="1"/>
  <c r="AV223" i="1"/>
  <c r="BE111" i="1"/>
  <c r="AV275" i="1"/>
  <c r="BE156" i="1"/>
  <c r="AV466" i="1"/>
  <c r="AV111" i="1"/>
  <c r="BE223" i="1"/>
  <c r="AV351" i="1"/>
  <c r="AV130" i="1"/>
  <c r="BE355" i="1"/>
  <c r="AV252" i="1"/>
  <c r="BE385" i="1"/>
  <c r="AV385" i="1"/>
  <c r="BE429" i="1"/>
  <c r="AV24" i="1"/>
  <c r="BE27" i="1"/>
  <c r="AV453" i="1"/>
  <c r="BE508" i="1"/>
  <c r="BE252" i="1"/>
  <c r="AV312" i="1"/>
  <c r="BE540" i="1"/>
  <c r="AV540" i="1"/>
  <c r="BE465" i="1"/>
  <c r="AV354" i="1"/>
  <c r="BE504" i="1"/>
  <c r="BE215" i="1"/>
  <c r="AV371" i="1"/>
  <c r="AV504" i="1"/>
  <c r="BE63" i="1"/>
  <c r="AV108" i="1"/>
  <c r="BE60" i="1"/>
  <c r="BE441" i="1"/>
  <c r="AV174" i="1"/>
  <c r="BE108" i="1"/>
  <c r="BE371" i="1"/>
  <c r="AV441" i="1"/>
  <c r="BE126" i="1"/>
  <c r="AV60" i="1"/>
  <c r="BE250" i="1"/>
  <c r="AV61" i="1"/>
  <c r="BE61" i="1"/>
  <c r="AV126" i="1"/>
  <c r="BE271" i="1"/>
  <c r="AV62" i="1"/>
  <c r="BE313" i="1"/>
  <c r="AV63" i="1"/>
  <c r="BE354" i="1"/>
  <c r="AV148" i="1"/>
  <c r="BE62" i="1"/>
  <c r="AV215" i="1"/>
  <c r="AV313" i="1"/>
  <c r="BE148" i="1"/>
  <c r="AV465" i="1"/>
  <c r="AV414" i="1"/>
  <c r="BE174" i="1"/>
  <c r="AV250" i="1"/>
  <c r="BE414" i="1"/>
  <c r="AV435" i="1"/>
  <c r="BE435" i="1"/>
  <c r="AV271" i="1"/>
  <c r="AP481" i="1"/>
  <c r="AP522" i="1"/>
  <c r="AP532" i="1"/>
  <c r="AP533" i="1"/>
  <c r="AP534" i="1"/>
  <c r="BJ476" i="1"/>
  <c r="BJ408" i="1"/>
  <c r="BJ333" i="1"/>
  <c r="BJ32" i="1"/>
  <c r="BJ540" i="1"/>
  <c r="BJ271" i="1"/>
  <c r="BJ108" i="1"/>
  <c r="BJ35" i="1"/>
  <c r="BJ434" i="1"/>
  <c r="BJ503" i="1"/>
  <c r="BJ449" i="1"/>
  <c r="BJ303" i="1"/>
  <c r="BJ61" i="1"/>
  <c r="AM518" i="1"/>
  <c r="AN518" i="1"/>
  <c r="AL518" i="1"/>
  <c r="BJ14" i="1"/>
  <c r="AM493" i="1"/>
  <c r="AL493" i="1"/>
  <c r="AN493" i="1"/>
  <c r="BE28" i="1"/>
  <c r="BE370" i="1"/>
  <c r="AV370" i="1"/>
  <c r="BE196" i="1"/>
  <c r="BE420" i="1"/>
  <c r="AV420" i="1"/>
  <c r="BE29" i="1"/>
  <c r="BE442" i="1"/>
  <c r="AV442" i="1"/>
  <c r="BE234" i="1"/>
  <c r="AV259" i="1"/>
  <c r="BE259" i="1"/>
  <c r="AV124" i="1"/>
  <c r="BE30" i="1"/>
  <c r="AV306" i="1"/>
  <c r="BE165" i="1"/>
  <c r="AV28" i="1"/>
  <c r="BE137" i="1"/>
  <c r="AV340" i="1"/>
  <c r="BE306" i="1"/>
  <c r="AV494" i="1"/>
  <c r="BE314" i="1"/>
  <c r="AV29" i="1"/>
  <c r="BE124" i="1"/>
  <c r="AV30" i="1"/>
  <c r="BE340" i="1"/>
  <c r="AV314" i="1"/>
  <c r="AV31" i="1"/>
  <c r="BE348" i="1"/>
  <c r="AV348" i="1"/>
  <c r="AV196" i="1"/>
  <c r="BE469" i="1"/>
  <c r="AV234" i="1"/>
  <c r="AV165" i="1"/>
  <c r="BE519" i="1"/>
  <c r="BE494" i="1"/>
  <c r="AV469" i="1"/>
  <c r="AV519" i="1"/>
  <c r="BE31" i="1"/>
  <c r="AV137" i="1"/>
  <c r="BE316" i="1"/>
  <c r="AV116" i="1"/>
  <c r="AV66" i="1"/>
  <c r="BE345" i="1"/>
  <c r="AV233" i="1"/>
  <c r="BE65" i="1"/>
  <c r="AV316" i="1"/>
  <c r="BE127" i="1"/>
  <c r="AV65" i="1"/>
  <c r="BE66" i="1"/>
  <c r="AV203" i="1"/>
  <c r="BE203" i="1"/>
  <c r="AV419" i="1"/>
  <c r="BE67" i="1"/>
  <c r="AV386" i="1"/>
  <c r="BE116" i="1"/>
  <c r="AV454" i="1"/>
  <c r="BE454" i="1"/>
  <c r="AV470" i="1"/>
  <c r="BE157" i="1"/>
  <c r="AV157" i="1"/>
  <c r="BE373" i="1"/>
  <c r="AV373" i="1"/>
  <c r="BE386" i="1"/>
  <c r="AV295" i="1"/>
  <c r="AV505" i="1"/>
  <c r="BE419" i="1"/>
  <c r="AV127" i="1"/>
  <c r="BE505" i="1"/>
  <c r="BE295" i="1"/>
  <c r="AV260" i="1"/>
  <c r="BE64" i="1"/>
  <c r="BE260" i="1"/>
  <c r="AV64" i="1"/>
  <c r="BE233" i="1"/>
  <c r="BE470" i="1"/>
  <c r="AV67" i="1"/>
  <c r="AV345" i="1"/>
  <c r="AP504" i="1"/>
  <c r="AP540" i="1"/>
  <c r="AP531" i="1"/>
  <c r="AP529" i="1"/>
  <c r="AP530" i="1"/>
  <c r="BW540" i="1"/>
  <c r="BW530" i="1"/>
  <c r="BW532" i="1"/>
  <c r="BB513" i="1"/>
  <c r="AR513" i="1"/>
  <c r="BB510" i="1"/>
  <c r="AR510" i="1"/>
  <c r="AS513" i="1"/>
  <c r="AU513" i="1" s="1"/>
  <c r="BC513" i="1"/>
  <c r="BD513" i="1" s="1"/>
  <c r="AZ510" i="1"/>
  <c r="AQ510" i="1"/>
  <c r="AQ513" i="1"/>
  <c r="AZ513" i="1"/>
  <c r="BC510" i="1"/>
  <c r="BD510" i="1" s="1"/>
  <c r="AS510" i="1"/>
  <c r="AU510" i="1" s="1"/>
  <c r="BW523" i="1"/>
  <c r="BW519" i="1"/>
  <c r="BW512" i="1"/>
  <c r="BW518" i="1"/>
  <c r="ED82" i="1"/>
  <c r="ED46" i="1"/>
  <c r="ED73" i="1"/>
  <c r="ED135" i="1"/>
  <c r="ED207" i="1"/>
  <c r="ED21" i="1"/>
  <c r="ED128" i="1"/>
  <c r="ED33" i="1"/>
  <c r="ED166" i="1"/>
  <c r="ED103" i="1"/>
  <c r="ED219" i="1"/>
  <c r="ED43" i="1"/>
  <c r="ED182" i="1"/>
  <c r="ED8" i="1"/>
  <c r="ED22" i="1"/>
  <c r="ED37" i="1"/>
  <c r="ED101" i="1"/>
  <c r="ED87" i="1"/>
  <c r="ED24" i="1"/>
  <c r="ED275" i="1"/>
  <c r="ED246" i="1"/>
  <c r="EB233" i="1"/>
  <c r="EB119" i="1"/>
  <c r="EB142" i="1"/>
  <c r="EB120" i="1"/>
  <c r="EB261" i="1"/>
  <c r="BW506" i="1"/>
  <c r="BW503" i="1"/>
  <c r="BW504" i="1"/>
  <c r="EC236" i="1"/>
  <c r="EE236" i="1" s="1"/>
  <c r="EC254" i="1"/>
  <c r="EE254" i="1" s="1"/>
  <c r="EC119" i="1"/>
  <c r="EE119" i="1" s="1"/>
  <c r="EC134" i="1"/>
  <c r="EE134" i="1" s="1"/>
  <c r="EC94" i="1"/>
  <c r="EE94" i="1" s="1"/>
  <c r="EC214" i="1"/>
  <c r="EE214" i="1" s="1"/>
  <c r="EC57" i="1"/>
  <c r="EE57" i="1" s="1"/>
  <c r="EC200" i="1"/>
  <c r="EE200" i="1" s="1"/>
  <c r="EC88" i="1"/>
  <c r="EE88" i="1" s="1"/>
  <c r="EC96" i="1"/>
  <c r="EE96" i="1" s="1"/>
  <c r="EC111" i="1"/>
  <c r="EE111" i="1" s="1"/>
  <c r="EC40" i="1"/>
  <c r="EE40" i="1" s="1"/>
  <c r="EC151" i="1"/>
  <c r="EE151" i="1" s="1"/>
  <c r="EC52" i="1"/>
  <c r="EE52" i="1" s="1"/>
  <c r="EC124" i="1"/>
  <c r="EE124" i="1" s="1"/>
  <c r="BC480" i="1"/>
  <c r="BD480" i="1" s="1"/>
  <c r="AS480" i="1"/>
  <c r="AU480" i="1" s="1"/>
  <c r="AR479" i="1"/>
  <c r="BB479" i="1"/>
  <c r="CQ479" i="1" s="1"/>
  <c r="AZ480" i="1"/>
  <c r="AQ480" i="1"/>
  <c r="AS479" i="1"/>
  <c r="AU479" i="1" s="1"/>
  <c r="BC479" i="1"/>
  <c r="BD479" i="1" s="1"/>
  <c r="AQ479" i="1"/>
  <c r="AZ479" i="1"/>
  <c r="AR480" i="1"/>
  <c r="BB480" i="1"/>
  <c r="AR490" i="1"/>
  <c r="BB490" i="1"/>
  <c r="AR497" i="1"/>
  <c r="Z497" i="1" s="1"/>
  <c r="BB497" i="1"/>
  <c r="AZ497" i="1"/>
  <c r="AQ497" i="1"/>
  <c r="AS476" i="1"/>
  <c r="DY476" i="1" s="1"/>
  <c r="BC476" i="1"/>
  <c r="DZ476" i="1" s="1"/>
  <c r="AZ476" i="1"/>
  <c r="AQ476" i="1"/>
  <c r="AR476" i="1"/>
  <c r="BB476" i="1"/>
  <c r="AQ474" i="1"/>
  <c r="AZ474" i="1"/>
  <c r="BB474" i="1"/>
  <c r="AR474" i="1"/>
  <c r="AS474" i="1"/>
  <c r="AU474" i="1" s="1"/>
  <c r="BC474" i="1"/>
  <c r="BD474" i="1" s="1"/>
  <c r="BW494" i="1"/>
  <c r="CF481" i="1"/>
  <c r="BW477" i="1"/>
  <c r="BW472" i="1"/>
  <c r="BW471" i="1"/>
  <c r="BW476" i="1"/>
  <c r="BW479" i="1"/>
  <c r="CX476" i="1"/>
  <c r="AP38" i="1"/>
  <c r="AP103" i="1"/>
  <c r="AP217" i="1"/>
  <c r="AP144" i="1"/>
  <c r="AP15" i="1"/>
  <c r="AP54" i="1"/>
  <c r="AP228" i="1"/>
  <c r="BB144" i="1"/>
  <c r="DZ144" i="1" s="1"/>
  <c r="AL181" i="1"/>
  <c r="AQ181" i="1" s="1"/>
  <c r="AP284" i="1"/>
  <c r="AP239" i="1"/>
  <c r="AP290" i="1"/>
  <c r="AP121" i="1"/>
  <c r="AP69" i="1"/>
  <c r="AN51" i="1"/>
  <c r="BC51" i="1" s="1"/>
  <c r="BD51" i="1" s="1"/>
  <c r="AP70" i="1"/>
  <c r="AP184" i="1"/>
  <c r="AL238" i="1"/>
  <c r="AQ238" i="1" s="1"/>
  <c r="AP195" i="1"/>
  <c r="AP71" i="1"/>
  <c r="AP68" i="1"/>
  <c r="AN468" i="1"/>
  <c r="AM468" i="1"/>
  <c r="AL468" i="1"/>
  <c r="AN438" i="1"/>
  <c r="AL438" i="1"/>
  <c r="AQ438" i="1" s="1"/>
  <c r="AM438" i="1"/>
  <c r="BI421" i="1"/>
  <c r="AM451" i="1"/>
  <c r="AL451" i="1"/>
  <c r="AQ451" i="1" s="1"/>
  <c r="AN451" i="1"/>
  <c r="AN472" i="1"/>
  <c r="AL472" i="1"/>
  <c r="AM472" i="1"/>
  <c r="AP273" i="1"/>
  <c r="AP456" i="1"/>
  <c r="AM469" i="1"/>
  <c r="AN469" i="1"/>
  <c r="AL469" i="1"/>
  <c r="BI41" i="1"/>
  <c r="BI471" i="1"/>
  <c r="AP242" i="1"/>
  <c r="AL471" i="1"/>
  <c r="AN471" i="1"/>
  <c r="AM471" i="1"/>
  <c r="BI438" i="1"/>
  <c r="AP468" i="1"/>
  <c r="AP451" i="1"/>
  <c r="AP399" i="1"/>
  <c r="AP443" i="1"/>
  <c r="AN456" i="1"/>
  <c r="AM456" i="1"/>
  <c r="AL456" i="1"/>
  <c r="AQ456" i="1" s="1"/>
  <c r="AP291" i="1"/>
  <c r="AP457" i="1"/>
  <c r="AP438" i="1"/>
  <c r="AM218" i="1"/>
  <c r="BB218" i="1" s="1"/>
  <c r="AM457" i="1"/>
  <c r="AL457" i="1"/>
  <c r="AQ457" i="1" s="1"/>
  <c r="AN457" i="1"/>
  <c r="AL443" i="1"/>
  <c r="AQ443" i="1" s="1"/>
  <c r="BI472" i="1"/>
  <c r="BK472" i="1"/>
  <c r="BK442" i="1"/>
  <c r="BK469" i="1"/>
  <c r="BI469" i="1"/>
  <c r="AN443" i="1"/>
  <c r="AL470" i="1"/>
  <c r="AN470" i="1"/>
  <c r="AM470" i="1"/>
  <c r="BI456" i="1"/>
  <c r="AM443" i="1"/>
  <c r="AN447" i="1"/>
  <c r="AL447" i="1"/>
  <c r="AQ447" i="1" s="1"/>
  <c r="AM447" i="1"/>
  <c r="AM441" i="1"/>
  <c r="AL441" i="1"/>
  <c r="AQ441" i="1" s="1"/>
  <c r="AN441" i="1"/>
  <c r="AN455" i="1"/>
  <c r="AM455" i="1"/>
  <c r="AL455" i="1"/>
  <c r="AQ455" i="1" s="1"/>
  <c r="BK452" i="1"/>
  <c r="AP429" i="1"/>
  <c r="AP466" i="1"/>
  <c r="AP453" i="1"/>
  <c r="AP57" i="1"/>
  <c r="AP464" i="1"/>
  <c r="AM452" i="1"/>
  <c r="AL452" i="1"/>
  <c r="AQ452" i="1" s="1"/>
  <c r="AN452" i="1"/>
  <c r="AM439" i="1"/>
  <c r="AL439" i="1"/>
  <c r="AQ439" i="1" s="1"/>
  <c r="AN439" i="1"/>
  <c r="AL445" i="1"/>
  <c r="AQ445" i="1" s="1"/>
  <c r="AM445" i="1"/>
  <c r="AN445" i="1"/>
  <c r="AM437" i="1"/>
  <c r="AN437" i="1"/>
  <c r="AL437" i="1"/>
  <c r="AQ437" i="1" s="1"/>
  <c r="DY437" i="1" s="1"/>
  <c r="AM464" i="1"/>
  <c r="AN464" i="1"/>
  <c r="AL464" i="1"/>
  <c r="AM461" i="1"/>
  <c r="BB461" i="1" s="1"/>
  <c r="AP419" i="1"/>
  <c r="AP454" i="1"/>
  <c r="BK437" i="1"/>
  <c r="BI454" i="1"/>
  <c r="AP425" i="1"/>
  <c r="AP439" i="1"/>
  <c r="AP465" i="1"/>
  <c r="AP441" i="1"/>
  <c r="AP163" i="1"/>
  <c r="AP460" i="1"/>
  <c r="AP23" i="1"/>
  <c r="AP445" i="1"/>
  <c r="BI337" i="1"/>
  <c r="BK67" i="1"/>
  <c r="AM446" i="1"/>
  <c r="AL446" i="1"/>
  <c r="AQ446" i="1" s="1"/>
  <c r="AN446" i="1"/>
  <c r="BI442" i="1"/>
  <c r="BK338" i="1"/>
  <c r="AM467" i="1"/>
  <c r="AL467" i="1"/>
  <c r="AN467" i="1"/>
  <c r="AL460" i="1"/>
  <c r="AQ460" i="1" s="1"/>
  <c r="AM460" i="1"/>
  <c r="AN460" i="1"/>
  <c r="AP229" i="1"/>
  <c r="AP458" i="1"/>
  <c r="AM442" i="1"/>
  <c r="AL442" i="1"/>
  <c r="AQ442" i="1" s="1"/>
  <c r="AN442" i="1"/>
  <c r="AP117" i="1"/>
  <c r="AP437" i="1"/>
  <c r="AN448" i="1"/>
  <c r="AM448" i="1"/>
  <c r="AL448" i="1"/>
  <c r="AQ448" i="1" s="1"/>
  <c r="AL229" i="1"/>
  <c r="AQ229" i="1" s="1"/>
  <c r="AL458" i="1"/>
  <c r="AQ458" i="1" s="1"/>
  <c r="AN229" i="1"/>
  <c r="AM458" i="1"/>
  <c r="AM229" i="1"/>
  <c r="AN458" i="1"/>
  <c r="AP410" i="1"/>
  <c r="AP448" i="1"/>
  <c r="AL440" i="1"/>
  <c r="AQ440" i="1" s="1"/>
  <c r="AM440" i="1"/>
  <c r="AN440" i="1"/>
  <c r="AL454" i="1"/>
  <c r="AQ454" i="1" s="1"/>
  <c r="AM454" i="1"/>
  <c r="AN454" i="1"/>
  <c r="AN466" i="1"/>
  <c r="AL466" i="1"/>
  <c r="AM466" i="1"/>
  <c r="AP409" i="1"/>
  <c r="AP452" i="1"/>
  <c r="AP167" i="1"/>
  <c r="AP467" i="1"/>
  <c r="AP440" i="1"/>
  <c r="AN453" i="1"/>
  <c r="AL453" i="1"/>
  <c r="AQ453" i="1" s="1"/>
  <c r="AM453" i="1"/>
  <c r="BI447" i="1"/>
  <c r="BK229" i="1"/>
  <c r="AP282" i="1"/>
  <c r="AP463" i="1"/>
  <c r="AP446" i="1"/>
  <c r="AP420" i="1"/>
  <c r="AP442" i="1"/>
  <c r="AM449" i="1"/>
  <c r="AL449" i="1"/>
  <c r="AQ449" i="1" s="1"/>
  <c r="AN449" i="1"/>
  <c r="AL450" i="1"/>
  <c r="AQ450" i="1" s="1"/>
  <c r="AM450" i="1"/>
  <c r="AN450" i="1"/>
  <c r="BK448" i="1"/>
  <c r="BI229" i="1"/>
  <c r="AN465" i="1"/>
  <c r="AM465" i="1"/>
  <c r="AL465" i="1"/>
  <c r="BI448" i="1"/>
  <c r="BI463" i="1"/>
  <c r="AP417" i="1"/>
  <c r="AP455" i="1"/>
  <c r="AL266" i="1"/>
  <c r="AQ266" i="1" s="1"/>
  <c r="DY266" i="1" s="1"/>
  <c r="AL463" i="1"/>
  <c r="AN463" i="1"/>
  <c r="AM463" i="1"/>
  <c r="AM459" i="1"/>
  <c r="AL459" i="1"/>
  <c r="AQ459" i="1" s="1"/>
  <c r="DY459" i="1" s="1"/>
  <c r="AN459" i="1"/>
  <c r="BI449" i="1"/>
  <c r="AL42" i="1"/>
  <c r="AQ42" i="1" s="1"/>
  <c r="AP427" i="1"/>
  <c r="AP450" i="1"/>
  <c r="AN140" i="1"/>
  <c r="AP413" i="1"/>
  <c r="AP461" i="1"/>
  <c r="AP444" i="1"/>
  <c r="BI352" i="1"/>
  <c r="AL461" i="1"/>
  <c r="AQ461" i="1" s="1"/>
  <c r="AN461" i="1"/>
  <c r="AS461" i="1" s="1"/>
  <c r="AU461" i="1" s="1"/>
  <c r="AM444" i="1"/>
  <c r="BB444" i="1" s="1"/>
  <c r="AN444" i="1"/>
  <c r="AS444" i="1" s="1"/>
  <c r="AU444" i="1" s="1"/>
  <c r="AP258" i="1"/>
  <c r="AP462" i="1"/>
  <c r="AN462" i="1"/>
  <c r="AS462" i="1" s="1"/>
  <c r="AU462" i="1" s="1"/>
  <c r="AL462" i="1"/>
  <c r="AQ462" i="1" s="1"/>
  <c r="BB462" i="1"/>
  <c r="AR462" i="1"/>
  <c r="BW455" i="1"/>
  <c r="BW456" i="1"/>
  <c r="BW453" i="1"/>
  <c r="BW449" i="1"/>
  <c r="BW447" i="1"/>
  <c r="BW438" i="1"/>
  <c r="BW439" i="1"/>
  <c r="AP151" i="1"/>
  <c r="AM66" i="1"/>
  <c r="BB66" i="1" s="1"/>
  <c r="AL103" i="1"/>
  <c r="AQ103" i="1" s="1"/>
  <c r="AP240" i="1"/>
  <c r="AM244" i="1"/>
  <c r="BB244" i="1" s="1"/>
  <c r="AM127" i="1"/>
  <c r="BB127" i="1" s="1"/>
  <c r="AP106" i="1"/>
  <c r="AP193" i="1"/>
  <c r="AP83" i="1"/>
  <c r="AP161" i="1"/>
  <c r="AL57" i="1"/>
  <c r="AP155" i="1"/>
  <c r="AP293" i="1"/>
  <c r="AP18" i="1"/>
  <c r="AP208" i="1"/>
  <c r="AM57" i="1"/>
  <c r="BB57" i="1" s="1"/>
  <c r="AP182" i="1"/>
  <c r="AP434" i="1"/>
  <c r="AP199" i="1"/>
  <c r="AP263" i="1"/>
  <c r="AP433" i="1"/>
  <c r="AP114" i="1"/>
  <c r="AP168" i="1"/>
  <c r="AM433" i="1"/>
  <c r="AN433" i="1"/>
  <c r="AL433" i="1"/>
  <c r="BK313" i="1"/>
  <c r="AM267" i="1"/>
  <c r="AR267" i="1" s="1"/>
  <c r="Z267" i="1" s="1"/>
  <c r="AL126" i="1"/>
  <c r="AQ126" i="1" s="1"/>
  <c r="AN435" i="1"/>
  <c r="AM435" i="1"/>
  <c r="AL435" i="1"/>
  <c r="AL434" i="1"/>
  <c r="AN434" i="1"/>
  <c r="AM434" i="1"/>
  <c r="AP16" i="1"/>
  <c r="AP414" i="1"/>
  <c r="AP435" i="1"/>
  <c r="BI434" i="1"/>
  <c r="AN436" i="1"/>
  <c r="AM436" i="1"/>
  <c r="AL436" i="1"/>
  <c r="BK435" i="1"/>
  <c r="BI435" i="1"/>
  <c r="AP411" i="1"/>
  <c r="AP436" i="1"/>
  <c r="AP24" i="1"/>
  <c r="AP283" i="1"/>
  <c r="AN115" i="1"/>
  <c r="BC115" i="1" s="1"/>
  <c r="BD115" i="1" s="1"/>
  <c r="AP310" i="1"/>
  <c r="AP147" i="1"/>
  <c r="AP43" i="1"/>
  <c r="AP143" i="1"/>
  <c r="AP221" i="1"/>
  <c r="AP21" i="1"/>
  <c r="AP17" i="1"/>
  <c r="AP82" i="1"/>
  <c r="AP84" i="1"/>
  <c r="AP169" i="1"/>
  <c r="AP154" i="1"/>
  <c r="AP190" i="1"/>
  <c r="AP179" i="1"/>
  <c r="AM253" i="1"/>
  <c r="BB253" i="1" s="1"/>
  <c r="AP187" i="1"/>
  <c r="AP227" i="1"/>
  <c r="AP172" i="1"/>
  <c r="AM279" i="1"/>
  <c r="BB279" i="1" s="1"/>
  <c r="AP12" i="1"/>
  <c r="AM266" i="1"/>
  <c r="BB266" i="1" s="1"/>
  <c r="AS430" i="1"/>
  <c r="AU430" i="1" s="1"/>
  <c r="BC430" i="1"/>
  <c r="BD430" i="1" s="1"/>
  <c r="AQ430" i="1"/>
  <c r="AR430" i="1"/>
  <c r="BB430" i="1"/>
  <c r="AP81" i="1"/>
  <c r="AP432" i="1"/>
  <c r="BI84" i="1"/>
  <c r="BK286" i="1"/>
  <c r="BI94" i="1"/>
  <c r="BI37" i="1"/>
  <c r="BI161" i="1"/>
  <c r="BI128" i="1"/>
  <c r="BK195" i="1"/>
  <c r="BI219" i="1"/>
  <c r="BK168" i="1"/>
  <c r="BI163" i="1"/>
  <c r="BK299" i="1"/>
  <c r="BI313" i="1"/>
  <c r="BK340" i="1"/>
  <c r="BK364" i="1"/>
  <c r="BK385" i="1"/>
  <c r="BK408" i="1"/>
  <c r="BI430" i="1"/>
  <c r="BI235" i="1"/>
  <c r="AP31" i="1"/>
  <c r="AP78" i="1"/>
  <c r="AP212" i="1"/>
  <c r="AN73" i="1"/>
  <c r="BC73" i="1" s="1"/>
  <c r="AN429" i="1"/>
  <c r="AM429" i="1"/>
  <c r="AL429" i="1"/>
  <c r="AP297" i="1"/>
  <c r="BK151" i="1"/>
  <c r="BI23" i="1"/>
  <c r="BK173" i="1"/>
  <c r="BK40" i="1"/>
  <c r="BI221" i="1"/>
  <c r="BI134" i="1"/>
  <c r="BK249" i="1"/>
  <c r="BI222" i="1"/>
  <c r="BK26" i="1"/>
  <c r="BI283" i="1"/>
  <c r="BK301" i="1"/>
  <c r="BI329" i="1"/>
  <c r="BI340" i="1"/>
  <c r="BI364" i="1"/>
  <c r="BI384" i="1"/>
  <c r="BI412" i="1"/>
  <c r="BK428" i="1"/>
  <c r="BI11" i="1"/>
  <c r="BI259" i="1"/>
  <c r="BI291" i="1"/>
  <c r="AP149" i="1"/>
  <c r="AN431" i="1"/>
  <c r="AM431" i="1"/>
  <c r="AL431" i="1"/>
  <c r="BI151" i="1"/>
  <c r="BK23" i="1"/>
  <c r="BI173" i="1"/>
  <c r="BI40" i="1"/>
  <c r="BK221" i="1"/>
  <c r="BK134" i="1"/>
  <c r="BI249" i="1"/>
  <c r="BK222" i="1"/>
  <c r="BI26" i="1"/>
  <c r="BI106" i="1"/>
  <c r="BI301" i="1"/>
  <c r="BI324" i="1"/>
  <c r="BI342" i="1"/>
  <c r="BI363" i="1"/>
  <c r="BI386" i="1"/>
  <c r="BK412" i="1"/>
  <c r="BI428" i="1"/>
  <c r="BI126" i="1"/>
  <c r="BI273" i="1"/>
  <c r="BI278" i="1"/>
  <c r="AP294" i="1"/>
  <c r="AP30" i="1"/>
  <c r="AP265" i="1"/>
  <c r="AP241" i="1"/>
  <c r="AP276" i="1"/>
  <c r="AL112" i="1"/>
  <c r="AM427" i="1"/>
  <c r="AN427" i="1"/>
  <c r="AL427" i="1"/>
  <c r="BI93" i="1"/>
  <c r="BI160" i="1"/>
  <c r="BK12" i="1"/>
  <c r="BK176" i="1"/>
  <c r="BI58" i="1"/>
  <c r="BI236" i="1"/>
  <c r="BK107" i="1"/>
  <c r="BI5" i="1"/>
  <c r="BI231" i="1"/>
  <c r="BI132" i="1"/>
  <c r="BI18" i="1"/>
  <c r="BI303" i="1"/>
  <c r="BI327" i="1"/>
  <c r="BI341" i="1"/>
  <c r="BI365" i="1"/>
  <c r="BI388" i="1"/>
  <c r="BI410" i="1"/>
  <c r="BI167" i="1"/>
  <c r="BI138" i="1"/>
  <c r="BI192" i="1"/>
  <c r="BI271" i="1"/>
  <c r="BK93" i="1"/>
  <c r="BK160" i="1"/>
  <c r="BI12" i="1"/>
  <c r="BI176" i="1"/>
  <c r="BK58" i="1"/>
  <c r="BK236" i="1"/>
  <c r="BI107" i="1"/>
  <c r="BK5" i="1"/>
  <c r="BK231" i="1"/>
  <c r="BK132" i="1"/>
  <c r="BI97" i="1"/>
  <c r="BI300" i="1"/>
  <c r="BI310" i="1"/>
  <c r="BK347" i="1"/>
  <c r="BK368" i="1"/>
  <c r="BK388" i="1"/>
  <c r="BI409" i="1"/>
  <c r="BI165" i="1"/>
  <c r="BI201" i="1"/>
  <c r="AP140" i="1"/>
  <c r="AP40" i="1"/>
  <c r="AP76" i="1"/>
  <c r="AM399" i="1"/>
  <c r="AR399" i="1" s="1"/>
  <c r="BK190" i="1"/>
  <c r="BK211" i="1"/>
  <c r="BK182" i="1"/>
  <c r="BK239" i="1"/>
  <c r="BI73" i="1"/>
  <c r="BK275" i="1"/>
  <c r="BI110" i="1"/>
  <c r="BI8" i="1"/>
  <c r="BK294" i="1"/>
  <c r="BI14" i="1"/>
  <c r="BI100" i="1"/>
  <c r="BI305" i="1"/>
  <c r="BI316" i="1"/>
  <c r="BI347" i="1"/>
  <c r="BI368" i="1"/>
  <c r="BI392" i="1"/>
  <c r="BK414" i="1"/>
  <c r="BI92" i="1"/>
  <c r="BI108" i="1"/>
  <c r="BI225" i="1"/>
  <c r="AL399" i="1"/>
  <c r="BI190" i="1"/>
  <c r="BI211" i="1"/>
  <c r="BI182" i="1"/>
  <c r="BI239" i="1"/>
  <c r="BK73" i="1"/>
  <c r="BI275" i="1"/>
  <c r="BK110" i="1"/>
  <c r="BK8" i="1"/>
  <c r="BI294" i="1"/>
  <c r="BI20" i="1"/>
  <c r="BI188" i="1"/>
  <c r="BI307" i="1"/>
  <c r="BK333" i="1"/>
  <c r="BI344" i="1"/>
  <c r="BI369" i="1"/>
  <c r="BK392" i="1"/>
  <c r="BI414" i="1"/>
  <c r="BI154" i="1"/>
  <c r="BI234" i="1"/>
  <c r="AP191" i="1"/>
  <c r="AP164" i="1"/>
  <c r="AP250" i="1"/>
  <c r="AN428" i="1"/>
  <c r="AM428" i="1"/>
  <c r="AL428" i="1"/>
  <c r="BK268" i="1"/>
  <c r="BI289" i="1"/>
  <c r="BK200" i="1"/>
  <c r="BK242" i="1"/>
  <c r="BK281" i="1"/>
  <c r="BI186" i="1"/>
  <c r="BK29" i="1"/>
  <c r="BI50" i="1"/>
  <c r="BI7" i="1"/>
  <c r="BI308" i="1"/>
  <c r="BI333" i="1"/>
  <c r="BI349" i="1"/>
  <c r="BK372" i="1"/>
  <c r="BI393" i="1"/>
  <c r="BI416" i="1"/>
  <c r="BI183" i="1"/>
  <c r="BI203" i="1"/>
  <c r="BI240" i="1"/>
  <c r="AM432" i="1"/>
  <c r="AL432" i="1"/>
  <c r="AN432" i="1"/>
  <c r="BI268" i="1"/>
  <c r="BK289" i="1"/>
  <c r="BI200" i="1"/>
  <c r="BI242" i="1"/>
  <c r="BI76" i="1"/>
  <c r="BI281" i="1"/>
  <c r="BK186" i="1"/>
  <c r="BI29" i="1"/>
  <c r="BK50" i="1"/>
  <c r="BI96" i="1"/>
  <c r="BI64" i="1"/>
  <c r="BK308" i="1"/>
  <c r="BK332" i="1"/>
  <c r="BK356" i="1"/>
  <c r="BI372" i="1"/>
  <c r="BK397" i="1"/>
  <c r="BI418" i="1"/>
  <c r="BI198" i="1"/>
  <c r="BI212" i="1"/>
  <c r="BI243" i="1"/>
  <c r="AP22" i="1"/>
  <c r="AP80" i="1"/>
  <c r="AM137" i="1"/>
  <c r="BB137" i="1" s="1"/>
  <c r="BI63" i="1"/>
  <c r="BK118" i="1"/>
  <c r="BI269" i="1"/>
  <c r="BK248" i="1"/>
  <c r="BI137" i="1"/>
  <c r="BI293" i="1"/>
  <c r="BK19" i="1"/>
  <c r="BI86" i="1"/>
  <c r="BI53" i="1"/>
  <c r="BI175" i="1"/>
  <c r="BI28" i="1"/>
  <c r="BI321" i="1"/>
  <c r="BI332" i="1"/>
  <c r="BI356" i="1"/>
  <c r="BI370" i="1"/>
  <c r="BI397" i="1"/>
  <c r="BI255" i="1"/>
  <c r="AP408" i="1"/>
  <c r="AP431" i="1"/>
  <c r="BK63" i="1"/>
  <c r="BI118" i="1"/>
  <c r="BK269" i="1"/>
  <c r="BI248" i="1"/>
  <c r="BK137" i="1"/>
  <c r="BK293" i="1"/>
  <c r="BI19" i="1"/>
  <c r="BK86" i="1"/>
  <c r="BK53" i="1"/>
  <c r="BI72" i="1"/>
  <c r="BI49" i="1"/>
  <c r="BK321" i="1"/>
  <c r="BI338" i="1"/>
  <c r="BK352" i="1"/>
  <c r="BI379" i="1"/>
  <c r="BK399" i="1"/>
  <c r="BK424" i="1"/>
  <c r="BI35" i="1"/>
  <c r="BI279" i="1"/>
  <c r="AP243" i="1"/>
  <c r="AP268" i="1"/>
  <c r="AP79" i="1"/>
  <c r="AP225" i="1"/>
  <c r="BC304" i="1"/>
  <c r="BD304" i="1" s="1"/>
  <c r="AL44" i="1"/>
  <c r="AN167" i="1"/>
  <c r="AM167" i="1"/>
  <c r="AL167" i="1"/>
  <c r="BI157" i="1"/>
  <c r="BI124" i="1"/>
  <c r="BI105" i="1"/>
  <c r="BK251" i="1"/>
  <c r="BI146" i="1"/>
  <c r="BI67" i="1"/>
  <c r="BK32" i="1"/>
  <c r="BI171" i="1"/>
  <c r="BK68" i="1"/>
  <c r="BI78" i="1"/>
  <c r="BI61" i="1"/>
  <c r="BI331" i="1"/>
  <c r="BK379" i="1"/>
  <c r="BI399" i="1"/>
  <c r="BI423" i="1"/>
  <c r="BI38" i="1"/>
  <c r="BI204" i="1"/>
  <c r="BI227" i="1"/>
  <c r="BK157" i="1"/>
  <c r="BK124" i="1"/>
  <c r="BI251" i="1"/>
  <c r="BK146" i="1"/>
  <c r="BI32" i="1"/>
  <c r="BK171" i="1"/>
  <c r="BI54" i="1"/>
  <c r="BI116" i="1"/>
  <c r="BI357" i="1"/>
  <c r="BI377" i="1"/>
  <c r="BI404" i="1"/>
  <c r="BI424" i="1"/>
  <c r="BI282" i="1"/>
  <c r="BI230" i="1"/>
  <c r="AM122" i="1"/>
  <c r="BB122" i="1" s="1"/>
  <c r="AP9" i="1"/>
  <c r="AP257" i="1"/>
  <c r="AP95" i="1"/>
  <c r="AP224" i="1"/>
  <c r="AP401" i="1"/>
  <c r="AP428" i="1"/>
  <c r="BK166" i="1"/>
  <c r="BK46" i="1"/>
  <c r="BK266" i="1"/>
  <c r="BK152" i="1"/>
  <c r="BK122" i="1"/>
  <c r="BI101" i="1"/>
  <c r="BK207" i="1"/>
  <c r="BK147" i="1"/>
  <c r="BI69" i="1"/>
  <c r="BK296" i="1"/>
  <c r="BI323" i="1"/>
  <c r="BI353" i="1"/>
  <c r="BK381" i="1"/>
  <c r="BK404" i="1"/>
  <c r="BI250" i="1"/>
  <c r="BI245" i="1"/>
  <c r="AP400" i="1"/>
  <c r="AP430" i="1"/>
  <c r="BI166" i="1"/>
  <c r="BI46" i="1"/>
  <c r="BI152" i="1"/>
  <c r="BI122" i="1"/>
  <c r="BK101" i="1"/>
  <c r="BI207" i="1"/>
  <c r="BI121" i="1"/>
  <c r="BI296" i="1"/>
  <c r="BK323" i="1"/>
  <c r="BK343" i="1"/>
  <c r="BI361" i="1"/>
  <c r="BI381" i="1"/>
  <c r="BI401" i="1"/>
  <c r="BI432" i="1"/>
  <c r="BI80" i="1"/>
  <c r="BI208" i="1"/>
  <c r="BI257" i="1"/>
  <c r="BC160" i="1"/>
  <c r="AP145" i="1"/>
  <c r="AP11" i="1"/>
  <c r="AP165" i="1"/>
  <c r="AP255" i="1"/>
  <c r="BK84" i="1"/>
  <c r="BI286" i="1"/>
  <c r="BK94" i="1"/>
  <c r="BK128" i="1"/>
  <c r="BI195" i="1"/>
  <c r="BK219" i="1"/>
  <c r="BI299" i="1"/>
  <c r="BI343" i="1"/>
  <c r="BK361" i="1"/>
  <c r="BK430" i="1"/>
  <c r="BI217" i="1"/>
  <c r="BW432" i="1"/>
  <c r="BW429" i="1"/>
  <c r="AQ398" i="1"/>
  <c r="AQ420" i="1"/>
  <c r="BC398" i="1"/>
  <c r="CQ398" i="1" s="1"/>
  <c r="AS398" i="1"/>
  <c r="BB420" i="1"/>
  <c r="AR420" i="1"/>
  <c r="AP50" i="1"/>
  <c r="AP14" i="1"/>
  <c r="AL410" i="1"/>
  <c r="AN410" i="1"/>
  <c r="AM410" i="1"/>
  <c r="AN399" i="1"/>
  <c r="AP13" i="1"/>
  <c r="AP128" i="1"/>
  <c r="AP234" i="1"/>
  <c r="AP269" i="1"/>
  <c r="AP8" i="1"/>
  <c r="AL164" i="1"/>
  <c r="AN417" i="1"/>
  <c r="AL417" i="1"/>
  <c r="AM417" i="1"/>
  <c r="AP368" i="1"/>
  <c r="AP404" i="1"/>
  <c r="AP395" i="1"/>
  <c r="AN426" i="1"/>
  <c r="AM426" i="1"/>
  <c r="AL426" i="1"/>
  <c r="AP245" i="1"/>
  <c r="AP110" i="1"/>
  <c r="AN408" i="1"/>
  <c r="AL408" i="1"/>
  <c r="AM408" i="1"/>
  <c r="AL182" i="1"/>
  <c r="AL406" i="1"/>
  <c r="AM406" i="1"/>
  <c r="AN406" i="1"/>
  <c r="AN403" i="1"/>
  <c r="AL403" i="1"/>
  <c r="AM403" i="1"/>
  <c r="AM398" i="1"/>
  <c r="AP49" i="1"/>
  <c r="AP52" i="1"/>
  <c r="AM20" i="1"/>
  <c r="AR20" i="1" s="1"/>
  <c r="Z20" i="1" s="1"/>
  <c r="AM221" i="1"/>
  <c r="BB221" i="1" s="1"/>
  <c r="AN402" i="1"/>
  <c r="AL402" i="1"/>
  <c r="AM402" i="1"/>
  <c r="AP73" i="1"/>
  <c r="AP403" i="1"/>
  <c r="AN396" i="1"/>
  <c r="AL396" i="1"/>
  <c r="AM396" i="1"/>
  <c r="AL416" i="1"/>
  <c r="AM416" i="1"/>
  <c r="AN416" i="1"/>
  <c r="AN419" i="1"/>
  <c r="AL419" i="1"/>
  <c r="AM419" i="1"/>
  <c r="AN395" i="1"/>
  <c r="AM395" i="1"/>
  <c r="AL395" i="1"/>
  <c r="AN253" i="1"/>
  <c r="BC253" i="1" s="1"/>
  <c r="AP115" i="1"/>
  <c r="AP196" i="1"/>
  <c r="AP135" i="1"/>
  <c r="AP141" i="1"/>
  <c r="AP244" i="1"/>
  <c r="AN146" i="1"/>
  <c r="BC146" i="1" s="1"/>
  <c r="BD146" i="1" s="1"/>
  <c r="AN401" i="1"/>
  <c r="AL401" i="1"/>
  <c r="AM401" i="1"/>
  <c r="AM405" i="1"/>
  <c r="AN405" i="1"/>
  <c r="AL405" i="1"/>
  <c r="AM422" i="1"/>
  <c r="AN422" i="1"/>
  <c r="AL422" i="1"/>
  <c r="AN421" i="1"/>
  <c r="AL421" i="1"/>
  <c r="AM421" i="1"/>
  <c r="AP181" i="1"/>
  <c r="AN264" i="1"/>
  <c r="BC264" i="1" s="1"/>
  <c r="BD264" i="1" s="1"/>
  <c r="AN404" i="1"/>
  <c r="AL404" i="1"/>
  <c r="AM404" i="1"/>
  <c r="AN400" i="1"/>
  <c r="AL400" i="1"/>
  <c r="AM400" i="1"/>
  <c r="AL413" i="1"/>
  <c r="AN413" i="1"/>
  <c r="AM413" i="1"/>
  <c r="AM177" i="1"/>
  <c r="BB177" i="1" s="1"/>
  <c r="AP162" i="1"/>
  <c r="AP19" i="1"/>
  <c r="AP41" i="1"/>
  <c r="AP118" i="1"/>
  <c r="AP159" i="1"/>
  <c r="AL49" i="1"/>
  <c r="AM238" i="1"/>
  <c r="AR238" i="1" s="1"/>
  <c r="Z238" i="1" s="1"/>
  <c r="AN183" i="1"/>
  <c r="AS183" i="1" s="1"/>
  <c r="AN423" i="1"/>
  <c r="AL423" i="1"/>
  <c r="AM423" i="1"/>
  <c r="AP183" i="1"/>
  <c r="AP423" i="1"/>
  <c r="AP396" i="1"/>
  <c r="AM105" i="1"/>
  <c r="BB105" i="1" s="1"/>
  <c r="AM254" i="1"/>
  <c r="BB254" i="1" s="1"/>
  <c r="AP359" i="1"/>
  <c r="AP416" i="1"/>
  <c r="AP407" i="1"/>
  <c r="BB211" i="1"/>
  <c r="AP176" i="1"/>
  <c r="AP421" i="1"/>
  <c r="AP86" i="1"/>
  <c r="AP418" i="1"/>
  <c r="AP422" i="1"/>
  <c r="AP412" i="1"/>
  <c r="AN418" i="1"/>
  <c r="AM418" i="1"/>
  <c r="AL418" i="1"/>
  <c r="AP248" i="1"/>
  <c r="AP278" i="1"/>
  <c r="AP270" i="1"/>
  <c r="AP53" i="1"/>
  <c r="AP77" i="1"/>
  <c r="AP274" i="1"/>
  <c r="AP88" i="1"/>
  <c r="AP405" i="1"/>
  <c r="AN414" i="1"/>
  <c r="AM414" i="1"/>
  <c r="AL414" i="1"/>
  <c r="AP349" i="1"/>
  <c r="AP402" i="1"/>
  <c r="AP398" i="1"/>
  <c r="AL28" i="1"/>
  <c r="AN420" i="1"/>
  <c r="BC44" i="1"/>
  <c r="AM249" i="1"/>
  <c r="BB249" i="1" s="1"/>
  <c r="BB91" i="1"/>
  <c r="AP261" i="1"/>
  <c r="AP34" i="1"/>
  <c r="AP406" i="1"/>
  <c r="AN153" i="1"/>
  <c r="BC153" i="1" s="1"/>
  <c r="AP220" i="1"/>
  <c r="AP47" i="1"/>
  <c r="AP48" i="1"/>
  <c r="AP219" i="1"/>
  <c r="AP231" i="1"/>
  <c r="AP237" i="1"/>
  <c r="AP94" i="1"/>
  <c r="AN424" i="1"/>
  <c r="AL424" i="1"/>
  <c r="AM424" i="1"/>
  <c r="AN14" i="1"/>
  <c r="BC14" i="1" s="1"/>
  <c r="BD14" i="1" s="1"/>
  <c r="AN412" i="1"/>
  <c r="AM412" i="1"/>
  <c r="AL412" i="1"/>
  <c r="AL289" i="1"/>
  <c r="AL407" i="1"/>
  <c r="AM407" i="1"/>
  <c r="AN407" i="1"/>
  <c r="AL415" i="1"/>
  <c r="AN415" i="1"/>
  <c r="AM415" i="1"/>
  <c r="AL425" i="1"/>
  <c r="AM425" i="1"/>
  <c r="AN425" i="1"/>
  <c r="AL409" i="1"/>
  <c r="AN409" i="1"/>
  <c r="AM409" i="1"/>
  <c r="AL127" i="1"/>
  <c r="BB182" i="1"/>
  <c r="AP55" i="1"/>
  <c r="AL22" i="1"/>
  <c r="AN397" i="1"/>
  <c r="AM397" i="1"/>
  <c r="AL397" i="1"/>
  <c r="AP279" i="1"/>
  <c r="AP426" i="1"/>
  <c r="AL236" i="1"/>
  <c r="AP415" i="1"/>
  <c r="AP397" i="1"/>
  <c r="AN244" i="1"/>
  <c r="BC244" i="1" s="1"/>
  <c r="AP292" i="1"/>
  <c r="AP133" i="1"/>
  <c r="AP238" i="1"/>
  <c r="AP123" i="1"/>
  <c r="AP51" i="1"/>
  <c r="AP307" i="1"/>
  <c r="AP424" i="1"/>
  <c r="AM411" i="1"/>
  <c r="AL411" i="1"/>
  <c r="AN411" i="1"/>
  <c r="BW421" i="1"/>
  <c r="BW423" i="1"/>
  <c r="BW416" i="1"/>
  <c r="BW418" i="1"/>
  <c r="CF296" i="1"/>
  <c r="CF368" i="1"/>
  <c r="BW410" i="1"/>
  <c r="BW409" i="1"/>
  <c r="BW393" i="1"/>
  <c r="BW401" i="1"/>
  <c r="BB237" i="1"/>
  <c r="BB205" i="1"/>
  <c r="BB225" i="1"/>
  <c r="AN290" i="1"/>
  <c r="AS290" i="1" s="1"/>
  <c r="AU290" i="1" s="1"/>
  <c r="CP290" i="1" s="1"/>
  <c r="BB344" i="1"/>
  <c r="DZ344" i="1" s="1"/>
  <c r="BC287" i="1"/>
  <c r="AN272" i="1"/>
  <c r="BC272" i="1" s="1"/>
  <c r="BD272" i="1" s="1"/>
  <c r="CQ272" i="1" s="1"/>
  <c r="BC263" i="1"/>
  <c r="BD263" i="1" s="1"/>
  <c r="AL277" i="1"/>
  <c r="AN393" i="1"/>
  <c r="AS393" i="1" s="1"/>
  <c r="AU393" i="1" s="1"/>
  <c r="AL336" i="1"/>
  <c r="BB178" i="1"/>
  <c r="BB304" i="1"/>
  <c r="AL393" i="1"/>
  <c r="AS224" i="1"/>
  <c r="BC224" i="1"/>
  <c r="AS37" i="1"/>
  <c r="AU37" i="1" s="1"/>
  <c r="BC37" i="1"/>
  <c r="BD37" i="1" s="1"/>
  <c r="AR110" i="1"/>
  <c r="BB110" i="1"/>
  <c r="DZ110" i="1" s="1"/>
  <c r="AS116" i="1"/>
  <c r="AU116" i="1" s="1"/>
  <c r="BC116" i="1"/>
  <c r="BD116" i="1" s="1"/>
  <c r="AR9" i="1"/>
  <c r="BB9" i="1"/>
  <c r="AS198" i="1"/>
  <c r="AU198" i="1" s="1"/>
  <c r="BC198" i="1"/>
  <c r="BD198" i="1" s="1"/>
  <c r="AS124" i="1"/>
  <c r="AU124" i="1" s="1"/>
  <c r="BC124" i="1"/>
  <c r="BD124" i="1" s="1"/>
  <c r="AR37" i="1"/>
  <c r="Z37" i="1" s="1"/>
  <c r="BB37" i="1"/>
  <c r="AR157" i="1"/>
  <c r="BB157" i="1"/>
  <c r="AQ122" i="1"/>
  <c r="AQ263" i="1"/>
  <c r="AQ205" i="1"/>
  <c r="AQ367" i="1"/>
  <c r="AQ102" i="1"/>
  <c r="AQ344" i="1"/>
  <c r="AQ382" i="1"/>
  <c r="AQ66" i="1"/>
  <c r="AQ90" i="1"/>
  <c r="AQ315" i="1"/>
  <c r="BW335" i="1"/>
  <c r="AN221" i="1"/>
  <c r="BC221" i="1" s="1"/>
  <c r="AN201" i="1"/>
  <c r="BC201" i="1" s="1"/>
  <c r="AP35" i="1"/>
  <c r="AP158" i="1"/>
  <c r="AP131" i="1"/>
  <c r="AP256" i="1"/>
  <c r="AP152" i="1"/>
  <c r="AP280" i="1"/>
  <c r="AP230" i="1"/>
  <c r="AP85" i="1"/>
  <c r="AP194" i="1"/>
  <c r="AM129" i="1"/>
  <c r="BB129" i="1" s="1"/>
  <c r="AN320" i="1"/>
  <c r="BC320" i="1" s="1"/>
  <c r="AN256" i="1"/>
  <c r="AL221" i="1"/>
  <c r="AP33" i="1"/>
  <c r="AP202" i="1"/>
  <c r="AP59" i="1"/>
  <c r="AP226" i="1"/>
  <c r="AP112" i="1"/>
  <c r="AP134" i="1"/>
  <c r="AP75" i="1"/>
  <c r="AP160" i="1"/>
  <c r="AP74" i="1"/>
  <c r="AP209" i="1"/>
  <c r="AP153" i="1"/>
  <c r="AL179" i="1"/>
  <c r="AM135" i="1"/>
  <c r="BB135" i="1" s="1"/>
  <c r="AM131" i="1"/>
  <c r="BB131" i="1" s="1"/>
  <c r="AN248" i="1"/>
  <c r="AN67" i="1"/>
  <c r="BC67" i="1" s="1"/>
  <c r="AL176" i="1"/>
  <c r="AL189" i="1"/>
  <c r="AM297" i="1"/>
  <c r="AN40" i="1"/>
  <c r="BC40" i="1" s="1"/>
  <c r="AM43" i="1"/>
  <c r="BB43" i="1" s="1"/>
  <c r="AL107" i="1"/>
  <c r="AM200" i="1"/>
  <c r="AP32" i="1"/>
  <c r="AP120" i="1"/>
  <c r="AP285" i="1"/>
  <c r="AP192" i="1"/>
  <c r="AP249" i="1"/>
  <c r="AP253" i="1"/>
  <c r="AP102" i="1"/>
  <c r="AL154" i="1"/>
  <c r="AP100" i="1"/>
  <c r="AP218" i="1"/>
  <c r="AM233" i="1"/>
  <c r="BB233" i="1" s="1"/>
  <c r="AM10" i="1"/>
  <c r="AN74" i="1"/>
  <c r="BC74" i="1" s="1"/>
  <c r="BD74" i="1" s="1"/>
  <c r="AM260" i="1"/>
  <c r="AM78" i="1"/>
  <c r="AL10" i="1"/>
  <c r="AM62" i="1"/>
  <c r="BB62" i="1" s="1"/>
  <c r="AL274" i="1"/>
  <c r="AL93" i="1"/>
  <c r="AL56" i="1"/>
  <c r="AN80" i="1"/>
  <c r="AM58" i="1"/>
  <c r="BB58" i="1" s="1"/>
  <c r="AN159" i="1"/>
  <c r="AM227" i="1"/>
  <c r="AL270" i="1"/>
  <c r="AN90" i="1"/>
  <c r="AP132" i="1"/>
  <c r="AP87" i="1"/>
  <c r="AL41" i="1"/>
  <c r="AL101" i="1"/>
  <c r="AL20" i="1"/>
  <c r="AN295" i="1"/>
  <c r="AR237" i="1"/>
  <c r="Z237" i="1" s="1"/>
  <c r="AR205" i="1"/>
  <c r="AM152" i="1"/>
  <c r="BB152" i="1" s="1"/>
  <c r="AS263" i="1"/>
  <c r="AU263" i="1" s="1"/>
  <c r="AN49" i="1"/>
  <c r="AN112" i="1"/>
  <c r="BC112" i="1" s="1"/>
  <c r="BD112" i="1" s="1"/>
  <c r="AM185" i="1"/>
  <c r="BB185" i="1" s="1"/>
  <c r="AM236" i="1"/>
  <c r="AM101" i="1"/>
  <c r="AM356" i="1"/>
  <c r="AM282" i="1"/>
  <c r="AM81" i="1"/>
  <c r="AM114" i="1"/>
  <c r="AL12" i="1"/>
  <c r="AL13" i="1"/>
  <c r="AN12" i="1"/>
  <c r="AM13" i="1"/>
  <c r="AM61" i="1"/>
  <c r="AN61" i="1"/>
  <c r="BC61" i="1" s="1"/>
  <c r="BD61" i="1" s="1"/>
  <c r="AL61" i="1"/>
  <c r="AL60" i="1"/>
  <c r="AN60" i="1"/>
  <c r="AL356" i="1"/>
  <c r="AL81" i="1"/>
  <c r="AL282" i="1"/>
  <c r="AL224" i="1"/>
  <c r="AL168" i="1"/>
  <c r="AL114" i="1"/>
  <c r="AL207" i="1"/>
  <c r="AM348" i="1"/>
  <c r="AM165" i="1"/>
  <c r="AM30" i="1"/>
  <c r="AM234" i="1"/>
  <c r="AM124" i="1"/>
  <c r="AM206" i="1"/>
  <c r="AL77" i="1"/>
  <c r="AN206" i="1"/>
  <c r="BC206" i="1" s="1"/>
  <c r="AM77" i="1"/>
  <c r="AM76" i="1"/>
  <c r="AN76" i="1"/>
  <c r="BC76" i="1" s="1"/>
  <c r="BD76" i="1" s="1"/>
  <c r="AM302" i="1"/>
  <c r="AM388" i="1"/>
  <c r="AM369" i="1"/>
  <c r="AM143" i="1"/>
  <c r="AM347" i="1"/>
  <c r="AM55" i="1"/>
  <c r="BB55" i="1" s="1"/>
  <c r="AM159" i="1"/>
  <c r="AM284" i="1"/>
  <c r="BB284" i="1" s="1"/>
  <c r="AM219" i="1"/>
  <c r="AM198" i="1"/>
  <c r="BB198" i="1" s="1"/>
  <c r="AP313" i="1"/>
  <c r="AP371" i="1"/>
  <c r="AP354" i="1"/>
  <c r="AP215" i="1"/>
  <c r="AP60" i="1"/>
  <c r="AP61" i="1"/>
  <c r="AP108" i="1"/>
  <c r="AP148" i="1"/>
  <c r="AP62" i="1"/>
  <c r="AP271" i="1"/>
  <c r="AP63" i="1"/>
  <c r="AP126" i="1"/>
  <c r="AN330" i="1"/>
  <c r="AM307" i="1"/>
  <c r="AM330" i="1"/>
  <c r="AL307" i="1"/>
  <c r="AL330" i="1"/>
  <c r="AN186" i="1"/>
  <c r="AN307" i="1"/>
  <c r="AL139" i="1"/>
  <c r="AM186" i="1"/>
  <c r="AM139" i="1"/>
  <c r="AL216" i="1"/>
  <c r="AL186" i="1"/>
  <c r="AN139" i="1"/>
  <c r="AM216" i="1"/>
  <c r="AL99" i="1"/>
  <c r="AM99" i="1"/>
  <c r="AN216" i="1"/>
  <c r="AN99" i="1"/>
  <c r="AN25" i="1"/>
  <c r="AL25" i="1"/>
  <c r="AL24" i="1"/>
  <c r="AM25" i="1"/>
  <c r="BB25" i="1" s="1"/>
  <c r="AN24" i="1"/>
  <c r="AM377" i="1"/>
  <c r="AM392" i="1"/>
  <c r="AM322" i="1"/>
  <c r="AM118" i="1"/>
  <c r="AM261" i="1"/>
  <c r="BB261" i="1" s="1"/>
  <c r="AM51" i="1"/>
  <c r="AN68" i="1"/>
  <c r="AL68" i="1"/>
  <c r="AM69" i="1"/>
  <c r="AM68" i="1"/>
  <c r="AN69" i="1"/>
  <c r="AL69" i="1"/>
  <c r="AL375" i="1"/>
  <c r="AL299" i="1"/>
  <c r="AL153" i="1"/>
  <c r="AL175" i="1"/>
  <c r="AL249" i="1"/>
  <c r="AN374" i="1"/>
  <c r="AL374" i="1"/>
  <c r="AM317" i="1"/>
  <c r="BB317" i="1" s="1"/>
  <c r="AN317" i="1"/>
  <c r="AL317" i="1"/>
  <c r="AM18" i="1"/>
  <c r="BB18" i="1" s="1"/>
  <c r="AM374" i="1"/>
  <c r="AL18" i="1"/>
  <c r="AL128" i="1"/>
  <c r="AM189" i="1"/>
  <c r="BB189" i="1" s="1"/>
  <c r="AN240" i="1"/>
  <c r="AN128" i="1"/>
  <c r="AM240" i="1"/>
  <c r="AL240" i="1"/>
  <c r="AM381" i="1"/>
  <c r="AN319" i="1"/>
  <c r="BC319" i="1" s="1"/>
  <c r="BD319" i="1" s="1"/>
  <c r="AN381" i="1"/>
  <c r="AL319" i="1"/>
  <c r="AN269" i="1"/>
  <c r="AL381" i="1"/>
  <c r="AL158" i="1"/>
  <c r="AM202" i="1"/>
  <c r="BB202" i="1" s="1"/>
  <c r="AM158" i="1"/>
  <c r="AN202" i="1"/>
  <c r="AM319" i="1"/>
  <c r="BB319" i="1" s="1"/>
  <c r="AM269" i="1"/>
  <c r="AN158" i="1"/>
  <c r="AL202" i="1"/>
  <c r="AM120" i="1"/>
  <c r="AN35" i="1"/>
  <c r="AL35" i="1"/>
  <c r="AL120" i="1"/>
  <c r="AM35" i="1"/>
  <c r="AN329" i="1"/>
  <c r="AN243" i="1"/>
  <c r="AN23" i="1"/>
  <c r="AN191" i="1"/>
  <c r="AN266" i="1"/>
  <c r="AL378" i="1"/>
  <c r="AM323" i="1"/>
  <c r="AM378" i="1"/>
  <c r="AN378" i="1"/>
  <c r="AN323" i="1"/>
  <c r="BC323" i="1" s="1"/>
  <c r="BD323" i="1" s="1"/>
  <c r="AN199" i="1"/>
  <c r="AM199" i="1"/>
  <c r="AM257" i="1"/>
  <c r="BB257" i="1" s="1"/>
  <c r="DZ257" i="1" s="1"/>
  <c r="AN257" i="1"/>
  <c r="AL323" i="1"/>
  <c r="AL170" i="1"/>
  <c r="AL257" i="1"/>
  <c r="AM170" i="1"/>
  <c r="AN208" i="1"/>
  <c r="BC208" i="1" s="1"/>
  <c r="BD208" i="1" s="1"/>
  <c r="AL208" i="1"/>
  <c r="AL82" i="1"/>
  <c r="AM208" i="1"/>
  <c r="AM82" i="1"/>
  <c r="AN82" i="1"/>
  <c r="AL83" i="1"/>
  <c r="AM83" i="1"/>
  <c r="AN83" i="1"/>
  <c r="AN8" i="1"/>
  <c r="AN9" i="1"/>
  <c r="AM357" i="1"/>
  <c r="AN325" i="1"/>
  <c r="AL357" i="1"/>
  <c r="AN357" i="1"/>
  <c r="AM325" i="1"/>
  <c r="AL70" i="1"/>
  <c r="AN121" i="1"/>
  <c r="AL228" i="1"/>
  <c r="AM70" i="1"/>
  <c r="AL121" i="1"/>
  <c r="AN228" i="1"/>
  <c r="AN70" i="1"/>
  <c r="AM121" i="1"/>
  <c r="AL325" i="1"/>
  <c r="AN195" i="1"/>
  <c r="AL195" i="1"/>
  <c r="AM195" i="1"/>
  <c r="AN338" i="1"/>
  <c r="AN390" i="1"/>
  <c r="AN297" i="1"/>
  <c r="AN151" i="1"/>
  <c r="AN106" i="1"/>
  <c r="AN238" i="1"/>
  <c r="AN42" i="1"/>
  <c r="AN265" i="1"/>
  <c r="BC265" i="1" s="1"/>
  <c r="BD265" i="1" s="1"/>
  <c r="AN351" i="1"/>
  <c r="AN385" i="1"/>
  <c r="AL351" i="1"/>
  <c r="AM385" i="1"/>
  <c r="AN312" i="1"/>
  <c r="AL312" i="1"/>
  <c r="AL385" i="1"/>
  <c r="AN252" i="1"/>
  <c r="AN111" i="1"/>
  <c r="AL26" i="1"/>
  <c r="AM312" i="1"/>
  <c r="BB312" i="1" s="1"/>
  <c r="AL111" i="1"/>
  <c r="AL156" i="1"/>
  <c r="AM111" i="1"/>
  <c r="AM156" i="1"/>
  <c r="BB156" i="1" s="1"/>
  <c r="AM26" i="1"/>
  <c r="BB26" i="1" s="1"/>
  <c r="AM351" i="1"/>
  <c r="AN156" i="1"/>
  <c r="AN26" i="1"/>
  <c r="AM346" i="1"/>
  <c r="AM301" i="1"/>
  <c r="AN301" i="1"/>
  <c r="AN346" i="1"/>
  <c r="AL301" i="1"/>
  <c r="AL346" i="1"/>
  <c r="AN180" i="1"/>
  <c r="AL247" i="1"/>
  <c r="AN247" i="1"/>
  <c r="AM328" i="1"/>
  <c r="AN383" i="1"/>
  <c r="AN328" i="1"/>
  <c r="AM383" i="1"/>
  <c r="AN305" i="1"/>
  <c r="AM305" i="1"/>
  <c r="BB305" i="1" s="1"/>
  <c r="DZ305" i="1" s="1"/>
  <c r="AM123" i="1"/>
  <c r="AL383" i="1"/>
  <c r="AN123" i="1"/>
  <c r="AL328" i="1"/>
  <c r="AN47" i="1"/>
  <c r="AL47" i="1"/>
  <c r="AN251" i="1"/>
  <c r="AN172" i="1"/>
  <c r="AM172" i="1"/>
  <c r="AL251" i="1"/>
  <c r="AM251" i="1"/>
  <c r="AP330" i="1"/>
  <c r="AP372" i="1"/>
  <c r="AP318" i="1"/>
  <c r="AP98" i="1"/>
  <c r="AP166" i="1"/>
  <c r="AP186" i="1"/>
  <c r="AP139" i="1"/>
  <c r="AP97" i="1"/>
  <c r="AP188" i="1"/>
  <c r="AP213" i="1"/>
  <c r="AP216" i="1"/>
  <c r="AP99" i="1"/>
  <c r="AP262" i="1"/>
  <c r="AP174" i="1"/>
  <c r="AL308" i="1"/>
  <c r="AL362" i="1"/>
  <c r="AL217" i="1"/>
  <c r="AL147" i="1"/>
  <c r="AM73" i="1"/>
  <c r="AM268" i="1"/>
  <c r="AM376" i="1"/>
  <c r="AL376" i="1"/>
  <c r="AL125" i="1"/>
  <c r="AM162" i="1"/>
  <c r="BB162" i="1" s="1"/>
  <c r="AN11" i="1"/>
  <c r="BC11" i="1" s="1"/>
  <c r="BD11" i="1" s="1"/>
  <c r="AM125" i="1"/>
  <c r="AN162" i="1"/>
  <c r="AN376" i="1"/>
  <c r="AN125" i="1"/>
  <c r="BC125" i="1" s="1"/>
  <c r="BD125" i="1" s="1"/>
  <c r="AL11" i="1"/>
  <c r="AL162" i="1"/>
  <c r="AM11" i="1"/>
  <c r="BB11" i="1" s="1"/>
  <c r="AL292" i="1"/>
  <c r="AM292" i="1"/>
  <c r="AM248" i="1"/>
  <c r="AN292" i="1"/>
  <c r="BC292" i="1" s="1"/>
  <c r="BD292" i="1" s="1"/>
  <c r="AL33" i="1"/>
  <c r="AM33" i="1"/>
  <c r="AL32" i="1"/>
  <c r="AM32" i="1"/>
  <c r="AN32" i="1"/>
  <c r="AM95" i="1"/>
  <c r="AN95" i="1"/>
  <c r="AL95" i="1"/>
  <c r="AM94" i="1"/>
  <c r="BB94" i="1" s="1"/>
  <c r="AN212" i="1"/>
  <c r="AN94" i="1"/>
  <c r="AM212" i="1"/>
  <c r="BB212" i="1" s="1"/>
  <c r="AL355" i="1"/>
  <c r="AN355" i="1"/>
  <c r="AM355" i="1"/>
  <c r="AL275" i="1"/>
  <c r="AM275" i="1"/>
  <c r="AM27" i="1"/>
  <c r="BB27" i="1" s="1"/>
  <c r="AM130" i="1"/>
  <c r="BB130" i="1" s="1"/>
  <c r="CQ130" i="1" s="1"/>
  <c r="AN275" i="1"/>
  <c r="AL173" i="1"/>
  <c r="AN130" i="1"/>
  <c r="AN27" i="1"/>
  <c r="AM173" i="1"/>
  <c r="AM223" i="1"/>
  <c r="AL369" i="1"/>
  <c r="AL388" i="1"/>
  <c r="AL347" i="1"/>
  <c r="AL54" i="1"/>
  <c r="AL302" i="1"/>
  <c r="AL219" i="1"/>
  <c r="AL159" i="1"/>
  <c r="AL244" i="1"/>
  <c r="AL198" i="1"/>
  <c r="AL284" i="1"/>
  <c r="AL110" i="1"/>
  <c r="AP312" i="1"/>
  <c r="AP385" i="1"/>
  <c r="AP355" i="1"/>
  <c r="AP351" i="1"/>
  <c r="AP25" i="1"/>
  <c r="AP252" i="1"/>
  <c r="AP223" i="1"/>
  <c r="AP27" i="1"/>
  <c r="AP173" i="1"/>
  <c r="AP111" i="1"/>
  <c r="AP26" i="1"/>
  <c r="AL379" i="1"/>
  <c r="AN379" i="1"/>
  <c r="AM379" i="1"/>
  <c r="AL276" i="1"/>
  <c r="AL96" i="1"/>
  <c r="AN255" i="1"/>
  <c r="AL193" i="1"/>
  <c r="AN276" i="1"/>
  <c r="AN96" i="1"/>
  <c r="AL255" i="1"/>
  <c r="AN161" i="1"/>
  <c r="AN193" i="1"/>
  <c r="BC193" i="1" s="1"/>
  <c r="AL161" i="1"/>
  <c r="AM161" i="1"/>
  <c r="AP383" i="1"/>
  <c r="AP380" i="1"/>
  <c r="AP46" i="1"/>
  <c r="AP197" i="1"/>
  <c r="AP138" i="1"/>
  <c r="AP251" i="1"/>
  <c r="AP45" i="1"/>
  <c r="AP281" i="1"/>
  <c r="AP44" i="1"/>
  <c r="AP232" i="1"/>
  <c r="AM370" i="1"/>
  <c r="AL314" i="1"/>
  <c r="AN370" i="1"/>
  <c r="AL370" i="1"/>
  <c r="AM340" i="1"/>
  <c r="AL340" i="1"/>
  <c r="AM31" i="1"/>
  <c r="BB31" i="1" s="1"/>
  <c r="AN340" i="1"/>
  <c r="AN314" i="1"/>
  <c r="AM314" i="1"/>
  <c r="AN31" i="1"/>
  <c r="AN137" i="1"/>
  <c r="AL31" i="1"/>
  <c r="AM196" i="1"/>
  <c r="AL196" i="1"/>
  <c r="AN259" i="1"/>
  <c r="AN196" i="1"/>
  <c r="AN13" i="1"/>
  <c r="AL76" i="1"/>
  <c r="AL194" i="1"/>
  <c r="AN185" i="1"/>
  <c r="BC185" i="1" s="1"/>
  <c r="AM259" i="1"/>
  <c r="BB259" i="1" s="1"/>
  <c r="AL212" i="1"/>
  <c r="AN223" i="1"/>
  <c r="AM255" i="1"/>
  <c r="BB255" i="1" s="1"/>
  <c r="AL206" i="1"/>
  <c r="AM193" i="1"/>
  <c r="AM12" i="1"/>
  <c r="AM96" i="1"/>
  <c r="BB96" i="1" s="1"/>
  <c r="AM180" i="1"/>
  <c r="BB180" i="1" s="1"/>
  <c r="AL259" i="1"/>
  <c r="AM181" i="1"/>
  <c r="AP122" i="1"/>
  <c r="AP382" i="1"/>
  <c r="AP367" i="1"/>
  <c r="AP346" i="1"/>
  <c r="AL354" i="1"/>
  <c r="AN354" i="1"/>
  <c r="AM354" i="1"/>
  <c r="AM108" i="1"/>
  <c r="AL215" i="1"/>
  <c r="AN271" i="1"/>
  <c r="AN108" i="1"/>
  <c r="AM215" i="1"/>
  <c r="AL271" i="1"/>
  <c r="AN215" i="1"/>
  <c r="AN63" i="1"/>
  <c r="AM271" i="1"/>
  <c r="AL108" i="1"/>
  <c r="AM63" i="1"/>
  <c r="BB63" i="1" s="1"/>
  <c r="AM97" i="1"/>
  <c r="AN213" i="1"/>
  <c r="AN97" i="1"/>
  <c r="AL98" i="1"/>
  <c r="AL97" i="1"/>
  <c r="AM98" i="1"/>
  <c r="AP394" i="1"/>
  <c r="AP361" i="1"/>
  <c r="AP341" i="1"/>
  <c r="AN353" i="1"/>
  <c r="AM353" i="1"/>
  <c r="AL353" i="1"/>
  <c r="AM119" i="1"/>
  <c r="AN119" i="1"/>
  <c r="AM187" i="1"/>
  <c r="AL294" i="1"/>
  <c r="AM294" i="1"/>
  <c r="AP299" i="1"/>
  <c r="AP391" i="1"/>
  <c r="AP375" i="1"/>
  <c r="AP337" i="1"/>
  <c r="AL243" i="1"/>
  <c r="AL329" i="1"/>
  <c r="AL191" i="1"/>
  <c r="AN309" i="1"/>
  <c r="BC309" i="1" s="1"/>
  <c r="BD309" i="1" s="1"/>
  <c r="DZ309" i="1" s="1"/>
  <c r="AN117" i="1"/>
  <c r="AN349" i="1"/>
  <c r="AN84" i="1"/>
  <c r="BC84" i="1" s="1"/>
  <c r="BD84" i="1" s="1"/>
  <c r="AL309" i="1"/>
  <c r="AL349" i="1"/>
  <c r="AL201" i="1"/>
  <c r="AL117" i="1"/>
  <c r="AL237" i="1"/>
  <c r="AL84" i="1"/>
  <c r="AL16" i="1"/>
  <c r="AN16" i="1"/>
  <c r="AM17" i="1"/>
  <c r="AN17" i="1"/>
  <c r="AM338" i="1"/>
  <c r="AM106" i="1"/>
  <c r="AL343" i="1"/>
  <c r="AM343" i="1"/>
  <c r="AM256" i="1"/>
  <c r="BB256" i="1" s="1"/>
  <c r="AL104" i="1"/>
  <c r="AN343" i="1"/>
  <c r="AN104" i="1"/>
  <c r="AN285" i="1"/>
  <c r="AL285" i="1"/>
  <c r="AN339" i="1"/>
  <c r="AM339" i="1"/>
  <c r="AN258" i="1"/>
  <c r="AL339" i="1"/>
  <c r="AL258" i="1"/>
  <c r="AM278" i="1"/>
  <c r="AM133" i="1"/>
  <c r="AM258" i="1"/>
  <c r="AL14" i="1"/>
  <c r="AN278" i="1"/>
  <c r="AM14" i="1"/>
  <c r="AP320" i="1"/>
  <c r="AP363" i="1"/>
  <c r="AP332" i="1"/>
  <c r="AP381" i="1"/>
  <c r="AP366" i="1"/>
  <c r="AL341" i="1"/>
  <c r="AM341" i="1"/>
  <c r="AN277" i="1"/>
  <c r="AN341" i="1"/>
  <c r="AM277" i="1"/>
  <c r="AN218" i="1"/>
  <c r="AM176" i="1"/>
  <c r="AL218" i="1"/>
  <c r="AM361" i="1"/>
  <c r="AM102" i="1"/>
  <c r="AM291" i="1"/>
  <c r="AM394" i="1"/>
  <c r="AM169" i="1"/>
  <c r="AN299" i="1"/>
  <c r="AN375" i="1"/>
  <c r="AN175" i="1"/>
  <c r="AN87" i="1"/>
  <c r="AL52" i="1"/>
  <c r="AN52" i="1"/>
  <c r="AL53" i="1"/>
  <c r="AM53" i="1"/>
  <c r="BB53" i="1" s="1"/>
  <c r="AM387" i="1"/>
  <c r="AM358" i="1"/>
  <c r="AM241" i="1"/>
  <c r="BB241" i="1" s="1"/>
  <c r="AL211" i="1"/>
  <c r="AN211" i="1"/>
  <c r="AN91" i="1"/>
  <c r="AN310" i="1"/>
  <c r="BC310" i="1" s="1"/>
  <c r="BD310" i="1" s="1"/>
  <c r="AM350" i="1"/>
  <c r="AN350" i="1"/>
  <c r="AL310" i="1"/>
  <c r="AL350" i="1"/>
  <c r="AM190" i="1"/>
  <c r="BB190" i="1" s="1"/>
  <c r="AL265" i="1"/>
  <c r="AL43" i="1"/>
  <c r="AL135" i="1"/>
  <c r="AN43" i="1"/>
  <c r="BC43" i="1" s="1"/>
  <c r="AM310" i="1"/>
  <c r="BB310" i="1" s="1"/>
  <c r="DZ310" i="1" s="1"/>
  <c r="AL190" i="1"/>
  <c r="AM65" i="1"/>
  <c r="AN65" i="1"/>
  <c r="AL64" i="1"/>
  <c r="AM64" i="1"/>
  <c r="AM366" i="1"/>
  <c r="AN303" i="1"/>
  <c r="AN366" i="1"/>
  <c r="AL136" i="1"/>
  <c r="AM136" i="1"/>
  <c r="AL366" i="1"/>
  <c r="AM303" i="1"/>
  <c r="AN34" i="1"/>
  <c r="AL222" i="1"/>
  <c r="AM222" i="1"/>
  <c r="AL303" i="1"/>
  <c r="AL34" i="1"/>
  <c r="AN222" i="1"/>
  <c r="AL348" i="1"/>
  <c r="AL306" i="1"/>
  <c r="AL234" i="1"/>
  <c r="AL30" i="1"/>
  <c r="AL124" i="1"/>
  <c r="AL335" i="1"/>
  <c r="AM321" i="1"/>
  <c r="BB321" i="1" s="1"/>
  <c r="AN335" i="1"/>
  <c r="AN321" i="1"/>
  <c r="AM335" i="1"/>
  <c r="AL267" i="1"/>
  <c r="AL321" i="1"/>
  <c r="AN267" i="1"/>
  <c r="AN93" i="1"/>
  <c r="BC93" i="1" s="1"/>
  <c r="BD93" i="1" s="1"/>
  <c r="AL204" i="1"/>
  <c r="AM204" i="1"/>
  <c r="AN204" i="1"/>
  <c r="AP321" i="1"/>
  <c r="AP384" i="1"/>
  <c r="AP352" i="1"/>
  <c r="AP335" i="1"/>
  <c r="AM363" i="1"/>
  <c r="AN363" i="1"/>
  <c r="AL320" i="1"/>
  <c r="AM320" i="1"/>
  <c r="AM192" i="1"/>
  <c r="AN134" i="1"/>
  <c r="AL363" i="1"/>
  <c r="AN192" i="1"/>
  <c r="BC192" i="1" s="1"/>
  <c r="BD192" i="1" s="1"/>
  <c r="AL134" i="1"/>
  <c r="AM134" i="1"/>
  <c r="AL192" i="1"/>
  <c r="AN296" i="1"/>
  <c r="BC296" i="1" s="1"/>
  <c r="AN387" i="1"/>
  <c r="AN241" i="1"/>
  <c r="AN358" i="1"/>
  <c r="AL372" i="1"/>
  <c r="AL318" i="1"/>
  <c r="AM318" i="1"/>
  <c r="AN372" i="1"/>
  <c r="AN318" i="1"/>
  <c r="AL166" i="1"/>
  <c r="AL188" i="1"/>
  <c r="AM166" i="1"/>
  <c r="AM188" i="1"/>
  <c r="BB188" i="1" s="1"/>
  <c r="AN166" i="1"/>
  <c r="AN188" i="1"/>
  <c r="AM49" i="1"/>
  <c r="AM74" i="1"/>
  <c r="AN92" i="1"/>
  <c r="BC92" i="1" s="1"/>
  <c r="BD92" i="1" s="1"/>
  <c r="AN157" i="1"/>
  <c r="AM183" i="1"/>
  <c r="BB183" i="1" s="1"/>
  <c r="CQ183" i="1" s="1"/>
  <c r="AN262" i="1"/>
  <c r="AM112" i="1"/>
  <c r="AM146" i="1"/>
  <c r="AN168" i="1"/>
  <c r="AL279" i="1"/>
  <c r="AM67" i="1"/>
  <c r="AL78" i="1"/>
  <c r="AN174" i="1"/>
  <c r="AN200" i="1"/>
  <c r="AN207" i="1"/>
  <c r="AL227" i="1"/>
  <c r="AL268" i="1"/>
  <c r="AM295" i="1"/>
  <c r="AN10" i="1"/>
  <c r="AN163" i="1"/>
  <c r="AN53" i="1"/>
  <c r="AL165" i="1"/>
  <c r="AM75" i="1"/>
  <c r="AM246" i="1"/>
  <c r="AM34" i="1"/>
  <c r="AM23" i="1"/>
  <c r="BB23" i="1" s="1"/>
  <c r="AM171" i="1"/>
  <c r="AM390" i="1"/>
  <c r="AM372" i="1"/>
  <c r="AN148" i="1"/>
  <c r="BC148" i="1" s="1"/>
  <c r="AM168" i="1"/>
  <c r="AL248" i="1"/>
  <c r="AN170" i="1"/>
  <c r="BC170" i="1" s="1"/>
  <c r="AM230" i="1"/>
  <c r="BB230" i="1" s="1"/>
  <c r="DZ230" i="1" s="1"/>
  <c r="AL130" i="1"/>
  <c r="AL94" i="1"/>
  <c r="AM252" i="1"/>
  <c r="BB252" i="1" s="1"/>
  <c r="AM48" i="1"/>
  <c r="BB48" i="1" s="1"/>
  <c r="AL55" i="1"/>
  <c r="AM72" i="1"/>
  <c r="AL87" i="1"/>
  <c r="AM128" i="1"/>
  <c r="BB128" i="1" s="1"/>
  <c r="AP205" i="1"/>
  <c r="AP90" i="1"/>
  <c r="AP146" i="1"/>
  <c r="AP246" i="1"/>
  <c r="AP101" i="1"/>
  <c r="AP175" i="1"/>
  <c r="AL86" i="1"/>
  <c r="AM86" i="1"/>
  <c r="AN86" i="1"/>
  <c r="AL209" i="1"/>
  <c r="AN209" i="1"/>
  <c r="AM362" i="1"/>
  <c r="AM308" i="1"/>
  <c r="BB308" i="1" s="1"/>
  <c r="AM217" i="1"/>
  <c r="AM147" i="1"/>
  <c r="AM15" i="1"/>
  <c r="BB15" i="1" s="1"/>
  <c r="AN347" i="1"/>
  <c r="AN369" i="1"/>
  <c r="AN302" i="1"/>
  <c r="AN54" i="1"/>
  <c r="AN388" i="1"/>
  <c r="AN143" i="1"/>
  <c r="AN55" i="1"/>
  <c r="AN337" i="1"/>
  <c r="AL391" i="1"/>
  <c r="AL337" i="1"/>
  <c r="AN391" i="1"/>
  <c r="AM337" i="1"/>
  <c r="AM132" i="1"/>
  <c r="AL132" i="1"/>
  <c r="AL253" i="1"/>
  <c r="AM391" i="1"/>
  <c r="AN132" i="1"/>
  <c r="AL8" i="1"/>
  <c r="AL9" i="1"/>
  <c r="AP323" i="1"/>
  <c r="AP378" i="1"/>
  <c r="AP356" i="1"/>
  <c r="AN348" i="1"/>
  <c r="AN306" i="1"/>
  <c r="AN234" i="1"/>
  <c r="AN30" i="1"/>
  <c r="AM331" i="1"/>
  <c r="AN331" i="1"/>
  <c r="AL331" i="1"/>
  <c r="AM245" i="1"/>
  <c r="AN164" i="1"/>
  <c r="AN245" i="1"/>
  <c r="AM164" i="1"/>
  <c r="AL245" i="1"/>
  <c r="AL141" i="1"/>
  <c r="AL50" i="1"/>
  <c r="AM141" i="1"/>
  <c r="AM50" i="1"/>
  <c r="AN141" i="1"/>
  <c r="AN300" i="1"/>
  <c r="AN368" i="1"/>
  <c r="AN142" i="1"/>
  <c r="AN36" i="1"/>
  <c r="AP317" i="1"/>
  <c r="AP389" i="1"/>
  <c r="AP374" i="1"/>
  <c r="AP336" i="1"/>
  <c r="AL394" i="1"/>
  <c r="AL361" i="1"/>
  <c r="AL291" i="1"/>
  <c r="AN45" i="1"/>
  <c r="AL45" i="1"/>
  <c r="AM45" i="1"/>
  <c r="AL338" i="1"/>
  <c r="AL390" i="1"/>
  <c r="AL297" i="1"/>
  <c r="AL151" i="1"/>
  <c r="AL106" i="1"/>
  <c r="AP302" i="1"/>
  <c r="AP388" i="1"/>
  <c r="AP369" i="1"/>
  <c r="AP347" i="1"/>
  <c r="AN56" i="1"/>
  <c r="AN57" i="1"/>
  <c r="AN362" i="1"/>
  <c r="AN308" i="1"/>
  <c r="AN147" i="1"/>
  <c r="AN217" i="1"/>
  <c r="AN103" i="1"/>
  <c r="AN15" i="1"/>
  <c r="AP308" i="1"/>
  <c r="AP362" i="1"/>
  <c r="AP339" i="1"/>
  <c r="AL368" i="1"/>
  <c r="AL300" i="1"/>
  <c r="AL36" i="1"/>
  <c r="AL39" i="1"/>
  <c r="AM375" i="1"/>
  <c r="AM175" i="1"/>
  <c r="AM153" i="1"/>
  <c r="AP298" i="1"/>
  <c r="AP365" i="1"/>
  <c r="AP343" i="1"/>
  <c r="AL358" i="1"/>
  <c r="AL387" i="1"/>
  <c r="AL296" i="1"/>
  <c r="AL241" i="1"/>
  <c r="AL163" i="1"/>
  <c r="AL79" i="1"/>
  <c r="AM79" i="1"/>
  <c r="AN79" i="1"/>
  <c r="AM80" i="1"/>
  <c r="AM311" i="1"/>
  <c r="AM364" i="1"/>
  <c r="AM293" i="1"/>
  <c r="AL364" i="1"/>
  <c r="AL311" i="1"/>
  <c r="AL293" i="1"/>
  <c r="AL149" i="1"/>
  <c r="AM334" i="1"/>
  <c r="AL334" i="1"/>
  <c r="AM239" i="1"/>
  <c r="AL144" i="1"/>
  <c r="AN239" i="1"/>
  <c r="AM184" i="1"/>
  <c r="BB184" i="1" s="1"/>
  <c r="AN334" i="1"/>
  <c r="AN71" i="1"/>
  <c r="AN144" i="1"/>
  <c r="AL239" i="1"/>
  <c r="AL71" i="1"/>
  <c r="AL88" i="1"/>
  <c r="AM210" i="1"/>
  <c r="AN88" i="1"/>
  <c r="AL89" i="1"/>
  <c r="AM89" i="1"/>
  <c r="AN322" i="1"/>
  <c r="AN377" i="1"/>
  <c r="AN181" i="1"/>
  <c r="AN392" i="1"/>
  <c r="AM380" i="1"/>
  <c r="AN380" i="1"/>
  <c r="AL380" i="1"/>
  <c r="AN232" i="1"/>
  <c r="AM138" i="1"/>
  <c r="AN138" i="1"/>
  <c r="AL232" i="1"/>
  <c r="AL138" i="1"/>
  <c r="AM197" i="1"/>
  <c r="AL281" i="1"/>
  <c r="AM46" i="1"/>
  <c r="AN197" i="1"/>
  <c r="AN46" i="1"/>
  <c r="AL392" i="1"/>
  <c r="AL377" i="1"/>
  <c r="AL322" i="1"/>
  <c r="AL261" i="1"/>
  <c r="AP325" i="1"/>
  <c r="AP357" i="1"/>
  <c r="AP334" i="1"/>
  <c r="AN365" i="1"/>
  <c r="AL298" i="1"/>
  <c r="AL365" i="1"/>
  <c r="AM298" i="1"/>
  <c r="BB298" i="1" s="1"/>
  <c r="AM365" i="1"/>
  <c r="AN298" i="1"/>
  <c r="AM226" i="1"/>
  <c r="BB226" i="1" s="1"/>
  <c r="AN152" i="1"/>
  <c r="AL226" i="1"/>
  <c r="AN59" i="1"/>
  <c r="AN226" i="1"/>
  <c r="AL152" i="1"/>
  <c r="AN382" i="1"/>
  <c r="AN315" i="1"/>
  <c r="BC315" i="1" s="1"/>
  <c r="AN367" i="1"/>
  <c r="AL92" i="1"/>
  <c r="AN127" i="1"/>
  <c r="AN194" i="1"/>
  <c r="AN249" i="1"/>
  <c r="AM262" i="1"/>
  <c r="AN286" i="1"/>
  <c r="AN22" i="1"/>
  <c r="AL67" i="1"/>
  <c r="AN85" i="1"/>
  <c r="AM148" i="1"/>
  <c r="AM174" i="1"/>
  <c r="AL200" i="1"/>
  <c r="AN270" i="1"/>
  <c r="AM290" i="1"/>
  <c r="BB290" i="1" s="1"/>
  <c r="AL295" i="1"/>
  <c r="AN118" i="1"/>
  <c r="AL133" i="1"/>
  <c r="AM163" i="1"/>
  <c r="AM71" i="1"/>
  <c r="AN281" i="1"/>
  <c r="AL17" i="1"/>
  <c r="AN89" i="1"/>
  <c r="AL278" i="1"/>
  <c r="AN98" i="1"/>
  <c r="AL197" i="1"/>
  <c r="AN50" i="1"/>
  <c r="AN184" i="1"/>
  <c r="AL119" i="1"/>
  <c r="AL213" i="1"/>
  <c r="AL305" i="1"/>
  <c r="AL137" i="1"/>
  <c r="AL223" i="1"/>
  <c r="AM247" i="1"/>
  <c r="AM287" i="1"/>
  <c r="BB287" i="1" s="1"/>
  <c r="AM228" i="1"/>
  <c r="AL180" i="1"/>
  <c r="AL27" i="1"/>
  <c r="AP180" i="1"/>
  <c r="AP247" i="1"/>
  <c r="AP277" i="1"/>
  <c r="AP214" i="1"/>
  <c r="AP136" i="1"/>
  <c r="AP222" i="1"/>
  <c r="AN81" i="1"/>
  <c r="AN356" i="1"/>
  <c r="AN282" i="1"/>
  <c r="AL21" i="1"/>
  <c r="AN21" i="1"/>
  <c r="AL48" i="1"/>
  <c r="AN48" i="1"/>
  <c r="AL327" i="1"/>
  <c r="AM327" i="1"/>
  <c r="AL38" i="1"/>
  <c r="AN177" i="1"/>
  <c r="AM38" i="1"/>
  <c r="AN327" i="1"/>
  <c r="BC327" i="1" s="1"/>
  <c r="BD327" i="1" s="1"/>
  <c r="AN38" i="1"/>
  <c r="AL113" i="1"/>
  <c r="AM113" i="1"/>
  <c r="AM342" i="1"/>
  <c r="AL342" i="1"/>
  <c r="AN342" i="1"/>
  <c r="AM179" i="1"/>
  <c r="AM274" i="1"/>
  <c r="AM107" i="1"/>
  <c r="AN274" i="1"/>
  <c r="AM231" i="1"/>
  <c r="AN107" i="1"/>
  <c r="BC107" i="1" s="1"/>
  <c r="AN231" i="1"/>
  <c r="AN326" i="1"/>
  <c r="AM326" i="1"/>
  <c r="AL326" i="1"/>
  <c r="AM155" i="1"/>
  <c r="BB155" i="1" s="1"/>
  <c r="AN155" i="1"/>
  <c r="AL155" i="1"/>
  <c r="AL283" i="1"/>
  <c r="AM283" i="1"/>
  <c r="AL332" i="1"/>
  <c r="AM332" i="1"/>
  <c r="AN230" i="1"/>
  <c r="AL280" i="1"/>
  <c r="AM280" i="1"/>
  <c r="AN332" i="1"/>
  <c r="AN280" i="1"/>
  <c r="AL160" i="1"/>
  <c r="AM160" i="1"/>
  <c r="AN75" i="1"/>
  <c r="AL230" i="1"/>
  <c r="AM368" i="1"/>
  <c r="AM142" i="1"/>
  <c r="AM300" i="1"/>
  <c r="BB300" i="1" s="1"/>
  <c r="CQ300" i="1" s="1"/>
  <c r="AM36" i="1"/>
  <c r="AL72" i="1"/>
  <c r="AN72" i="1"/>
  <c r="BC72" i="1" s="1"/>
  <c r="AL73" i="1"/>
  <c r="AM349" i="1"/>
  <c r="AM309" i="1"/>
  <c r="AM117" i="1"/>
  <c r="AM84" i="1"/>
  <c r="AP311" i="1"/>
  <c r="AP379" i="1"/>
  <c r="AP364" i="1"/>
  <c r="AN394" i="1"/>
  <c r="AN361" i="1"/>
  <c r="AN102" i="1"/>
  <c r="AN246" i="1"/>
  <c r="AN291" i="1"/>
  <c r="AM29" i="1"/>
  <c r="AN29" i="1"/>
  <c r="AL29" i="1"/>
  <c r="AM386" i="1"/>
  <c r="AM345" i="1"/>
  <c r="AM367" i="1"/>
  <c r="AM382" i="1"/>
  <c r="AM315" i="1"/>
  <c r="AM90" i="1"/>
  <c r="AM263" i="1"/>
  <c r="AN345" i="1"/>
  <c r="AN386" i="1"/>
  <c r="AN66" i="1"/>
  <c r="AN364" i="1"/>
  <c r="AN311" i="1"/>
  <c r="BC311" i="1" s="1"/>
  <c r="DZ311" i="1" s="1"/>
  <c r="AN149" i="1"/>
  <c r="AP370" i="1"/>
  <c r="AP348" i="1"/>
  <c r="AP340" i="1"/>
  <c r="AM329" i="1"/>
  <c r="AM243" i="1"/>
  <c r="AM140" i="1"/>
  <c r="AM191" i="1"/>
  <c r="AL40" i="1"/>
  <c r="AM40" i="1"/>
  <c r="AM41" i="1"/>
  <c r="AN41" i="1"/>
  <c r="AN100" i="1"/>
  <c r="AN101" i="1"/>
  <c r="AL214" i="1"/>
  <c r="AM100" i="1"/>
  <c r="AM214" i="1"/>
  <c r="AN384" i="1"/>
  <c r="AL352" i="1"/>
  <c r="AL384" i="1"/>
  <c r="AM352" i="1"/>
  <c r="AM384" i="1"/>
  <c r="AN352" i="1"/>
  <c r="AN235" i="1"/>
  <c r="BC235" i="1" s="1"/>
  <c r="BD235" i="1" s="1"/>
  <c r="AL272" i="1"/>
  <c r="AL235" i="1"/>
  <c r="AM272" i="1"/>
  <c r="AL373" i="1"/>
  <c r="AM373" i="1"/>
  <c r="AL316" i="1"/>
  <c r="AM316" i="1"/>
  <c r="AL203" i="1"/>
  <c r="AM203" i="1"/>
  <c r="AN373" i="1"/>
  <c r="AN316" i="1"/>
  <c r="AN203" i="1"/>
  <c r="AN233" i="1"/>
  <c r="AL233" i="1"/>
  <c r="AP296" i="1"/>
  <c r="AP387" i="1"/>
  <c r="AP358" i="1"/>
  <c r="AP342" i="1"/>
  <c r="AN389" i="1"/>
  <c r="AN336" i="1"/>
  <c r="AL389" i="1"/>
  <c r="AM389" i="1"/>
  <c r="AM336" i="1"/>
  <c r="AN19" i="1"/>
  <c r="AM154" i="1"/>
  <c r="BB154" i="1" s="1"/>
  <c r="AL115" i="1"/>
  <c r="AL19" i="1"/>
  <c r="AN154" i="1"/>
  <c r="AP392" i="1"/>
  <c r="AP377" i="1"/>
  <c r="AL386" i="1"/>
  <c r="AL345" i="1"/>
  <c r="AP329" i="1"/>
  <c r="AP353" i="1"/>
  <c r="AM333" i="1"/>
  <c r="AN333" i="1"/>
  <c r="AL273" i="1"/>
  <c r="AM273" i="1"/>
  <c r="AN273" i="1"/>
  <c r="AL220" i="1"/>
  <c r="AM109" i="1"/>
  <c r="AL333" i="1"/>
  <c r="AM220" i="1"/>
  <c r="AN220" i="1"/>
  <c r="AP376" i="1"/>
  <c r="AP333" i="1"/>
  <c r="AP390" i="1"/>
  <c r="AP350" i="1"/>
  <c r="AP338" i="1"/>
  <c r="AM371" i="1"/>
  <c r="AN313" i="1"/>
  <c r="AL313" i="1"/>
  <c r="AN371" i="1"/>
  <c r="AM313" i="1"/>
  <c r="AN250" i="1"/>
  <c r="AM126" i="1"/>
  <c r="AN62" i="1"/>
  <c r="AL371" i="1"/>
  <c r="AL62" i="1"/>
  <c r="AN20" i="1"/>
  <c r="AM42" i="1"/>
  <c r="AL74" i="1"/>
  <c r="AN110" i="1"/>
  <c r="AN129" i="1"/>
  <c r="AL157" i="1"/>
  <c r="AM194" i="1"/>
  <c r="AN260" i="1"/>
  <c r="AL262" i="1"/>
  <c r="AL286" i="1"/>
  <c r="AN58" i="1"/>
  <c r="AN114" i="1"/>
  <c r="AL116" i="1"/>
  <c r="AN279" i="1"/>
  <c r="AM22" i="1"/>
  <c r="AM44" i="1"/>
  <c r="AN78" i="1"/>
  <c r="AL85" i="1"/>
  <c r="AL148" i="1"/>
  <c r="AL174" i="1"/>
  <c r="AM207" i="1"/>
  <c r="AN227" i="1"/>
  <c r="AN236" i="1"/>
  <c r="AL264" i="1"/>
  <c r="AN268" i="1"/>
  <c r="AM270" i="1"/>
  <c r="AL290" i="1"/>
  <c r="AM28" i="1"/>
  <c r="AL37" i="1"/>
  <c r="AL118" i="1"/>
  <c r="AN135" i="1"/>
  <c r="BC135" i="1" s="1"/>
  <c r="BD135" i="1" s="1"/>
  <c r="AL187" i="1"/>
  <c r="AM103" i="1"/>
  <c r="AN294" i="1"/>
  <c r="AN39" i="1"/>
  <c r="AM19" i="1"/>
  <c r="AL109" i="1"/>
  <c r="AM235" i="1"/>
  <c r="AM250" i="1"/>
  <c r="AM285" i="1"/>
  <c r="AL100" i="1"/>
  <c r="AM201" i="1"/>
  <c r="AN293" i="1"/>
  <c r="AL7" i="1"/>
  <c r="AP6" i="1"/>
  <c r="AP393" i="1"/>
  <c r="AM393" i="1"/>
  <c r="AL5" i="1"/>
  <c r="BW386" i="1"/>
  <c r="AS304" i="1"/>
  <c r="AU304" i="1" s="1"/>
  <c r="AN242" i="1"/>
  <c r="AP7" i="1"/>
  <c r="AP178" i="1"/>
  <c r="AL105" i="1"/>
  <c r="AN254" i="1"/>
  <c r="AN105" i="1"/>
  <c r="AP360" i="1"/>
  <c r="AP344" i="1"/>
  <c r="AL254" i="1"/>
  <c r="AN150" i="1"/>
  <c r="AM360" i="1"/>
  <c r="AN360" i="1"/>
  <c r="AL360" i="1"/>
  <c r="AM150" i="1"/>
  <c r="AM242" i="1"/>
  <c r="AP150" i="1"/>
  <c r="AL150" i="1"/>
  <c r="AL242" i="1"/>
  <c r="AM4" i="1"/>
  <c r="AL4" i="1"/>
  <c r="AN7" i="1"/>
  <c r="AN4" i="1"/>
  <c r="AR304" i="1"/>
  <c r="AN178" i="1"/>
  <c r="AN6" i="1"/>
  <c r="AL304" i="1"/>
  <c r="AP105" i="1"/>
  <c r="AM145" i="1"/>
  <c r="AM6" i="1"/>
  <c r="AL178" i="1"/>
  <c r="AL145" i="1"/>
  <c r="AL6" i="1"/>
  <c r="AN344" i="1"/>
  <c r="AM5" i="1"/>
  <c r="AM324" i="1"/>
  <c r="AN324" i="1"/>
  <c r="AR344" i="1"/>
  <c r="DY344" i="1" s="1"/>
  <c r="AP287" i="1"/>
  <c r="AP289" i="1"/>
  <c r="AS287" i="1"/>
  <c r="AN288" i="1"/>
  <c r="AN289" i="1"/>
  <c r="AL288" i="1"/>
  <c r="AM289" i="1"/>
  <c r="AM359" i="1"/>
  <c r="AL359" i="1"/>
  <c r="AN359" i="1"/>
  <c r="AP288" i="1"/>
  <c r="BW384" i="1"/>
  <c r="BW377" i="1"/>
  <c r="AT177" i="1"/>
  <c r="AT7" i="1"/>
  <c r="AT128" i="1"/>
  <c r="AT55" i="1"/>
  <c r="BW369" i="1"/>
  <c r="BW363" i="1"/>
  <c r="BW357" i="1"/>
  <c r="AL184" i="1"/>
  <c r="AT184" i="1"/>
  <c r="BW353" i="1"/>
  <c r="BW300" i="1"/>
  <c r="BW344" i="1"/>
  <c r="BW349" i="1"/>
  <c r="BW342" i="1"/>
  <c r="BW341" i="1"/>
  <c r="AM115" i="1"/>
  <c r="BB115" i="1" s="1"/>
  <c r="AN173" i="1"/>
  <c r="AN190" i="1"/>
  <c r="BC190" i="1" s="1"/>
  <c r="BD190" i="1" s="1"/>
  <c r="AM296" i="1"/>
  <c r="AL260" i="1"/>
  <c r="AM116" i="1"/>
  <c r="AM151" i="1"/>
  <c r="AN18" i="1"/>
  <c r="AL185" i="1"/>
  <c r="AM39" i="1"/>
  <c r="BB39" i="1" s="1"/>
  <c r="AM276" i="1"/>
  <c r="AL59" i="1"/>
  <c r="AM16" i="1"/>
  <c r="AM8" i="1"/>
  <c r="AM24" i="1"/>
  <c r="AL75" i="1"/>
  <c r="AL146" i="1"/>
  <c r="AN28" i="1"/>
  <c r="AN237" i="1"/>
  <c r="AL269" i="1"/>
  <c r="AN33" i="1"/>
  <c r="AM92" i="1"/>
  <c r="AL183" i="1"/>
  <c r="AN225" i="1"/>
  <c r="AN283" i="1"/>
  <c r="AL287" i="1"/>
  <c r="AM93" i="1"/>
  <c r="AM104" i="1"/>
  <c r="AQ63" i="1"/>
  <c r="AN284" i="1"/>
  <c r="AL46" i="1"/>
  <c r="AN77" i="1"/>
  <c r="AL123" i="1"/>
  <c r="AL140" i="1"/>
  <c r="AM306" i="1"/>
  <c r="AL23" i="1"/>
  <c r="AN187" i="1"/>
  <c r="AM7" i="1"/>
  <c r="BB7" i="1" s="1"/>
  <c r="CQ7" i="1" s="1"/>
  <c r="AL177" i="1"/>
  <c r="AM56" i="1"/>
  <c r="AQ142" i="1"/>
  <c r="AQ131" i="1"/>
  <c r="AM224" i="1"/>
  <c r="AN179" i="1"/>
  <c r="AM286" i="1"/>
  <c r="AN64" i="1"/>
  <c r="AM209" i="1"/>
  <c r="AN182" i="1"/>
  <c r="AN109" i="1"/>
  <c r="AN136" i="1"/>
  <c r="AN5" i="1"/>
  <c r="AN261" i="1"/>
  <c r="BC261" i="1" s="1"/>
  <c r="BD261" i="1" s="1"/>
  <c r="CQ261" i="1" s="1"/>
  <c r="AM21" i="1"/>
  <c r="AM52" i="1"/>
  <c r="AS131" i="1"/>
  <c r="AS145" i="1"/>
  <c r="AL51" i="1"/>
  <c r="AN120" i="1"/>
  <c r="AN165" i="1"/>
  <c r="AN113" i="1"/>
  <c r="AM265" i="1"/>
  <c r="AM47" i="1"/>
  <c r="AM88" i="1"/>
  <c r="AL252" i="1"/>
  <c r="AL256" i="1"/>
  <c r="AL65" i="1"/>
  <c r="AN219" i="1"/>
  <c r="AM288" i="1"/>
  <c r="AL172" i="1"/>
  <c r="AN171" i="1"/>
  <c r="AM60" i="1"/>
  <c r="AM87" i="1"/>
  <c r="AM281" i="1"/>
  <c r="AL143" i="1"/>
  <c r="AL199" i="1"/>
  <c r="AM213" i="1"/>
  <c r="AM149" i="1"/>
  <c r="AR144" i="1"/>
  <c r="DY144" i="1" s="1"/>
  <c r="AL129" i="1"/>
  <c r="AL58" i="1"/>
  <c r="AM85" i="1"/>
  <c r="AM264" i="1"/>
  <c r="AN133" i="1"/>
  <c r="AL15" i="1"/>
  <c r="AN176" i="1"/>
  <c r="AL80" i="1"/>
  <c r="AN189" i="1"/>
  <c r="AL231" i="1"/>
  <c r="AL171" i="1"/>
  <c r="AM54" i="1"/>
  <c r="AM232" i="1"/>
  <c r="AS205" i="1"/>
  <c r="AS122" i="1"/>
  <c r="AQ225" i="1"/>
  <c r="AT54" i="1"/>
  <c r="AP91" i="1"/>
  <c r="AP300" i="1"/>
  <c r="AP327" i="1"/>
  <c r="AP204" i="1"/>
  <c r="AS160" i="1"/>
  <c r="AP235" i="1"/>
  <c r="AP309" i="1"/>
  <c r="AP326" i="1"/>
  <c r="AP322" i="1"/>
  <c r="AP331" i="1"/>
  <c r="AP93" i="1"/>
  <c r="AR91" i="1"/>
  <c r="Z91" i="1" s="1"/>
  <c r="AP92" i="1"/>
  <c r="AP211" i="1"/>
  <c r="AP129" i="1"/>
  <c r="AP305" i="1"/>
  <c r="AP328" i="1"/>
  <c r="AR211" i="1"/>
  <c r="Z211" i="1" s="1"/>
  <c r="AP272" i="1"/>
  <c r="AP185" i="1"/>
  <c r="AP189" i="1"/>
  <c r="AP275" i="1"/>
  <c r="AP170" i="1"/>
  <c r="AT72" i="1"/>
  <c r="AT5" i="1"/>
  <c r="AT144" i="1"/>
  <c r="AT267" i="1"/>
  <c r="AT143" i="1"/>
  <c r="BW327" i="1"/>
  <c r="BW329" i="1"/>
  <c r="AT63" i="1"/>
  <c r="AR178" i="1"/>
  <c r="AR225" i="1"/>
  <c r="DY225" i="1" s="1"/>
  <c r="AT87" i="1"/>
  <c r="AT96" i="1"/>
  <c r="AT181" i="1"/>
  <c r="AT183" i="1"/>
  <c r="AT113" i="1"/>
  <c r="AT224" i="1"/>
  <c r="AT94" i="1"/>
  <c r="AT172" i="1"/>
  <c r="AT109" i="1"/>
  <c r="AT160" i="1"/>
  <c r="AT288" i="1"/>
  <c r="AP301" i="1"/>
  <c r="AP315" i="1"/>
  <c r="AP303" i="1"/>
  <c r="AP319" i="1"/>
  <c r="AT75" i="1"/>
  <c r="AT283" i="1"/>
  <c r="AP210" i="1"/>
  <c r="AP201" i="1"/>
  <c r="BW316" i="1"/>
  <c r="AP306" i="1"/>
  <c r="AP314" i="1"/>
  <c r="BW324" i="1"/>
  <c r="AT324" i="1"/>
  <c r="AQ324" i="1"/>
  <c r="AP304" i="1"/>
  <c r="AP324" i="1"/>
  <c r="AT48" i="1"/>
  <c r="AT107" i="1"/>
  <c r="AT200" i="1"/>
  <c r="AT296" i="1"/>
  <c r="FM9" i="1"/>
  <c r="BW310" i="1"/>
  <c r="AT165" i="1"/>
  <c r="AT59" i="1"/>
  <c r="AT91" i="1"/>
  <c r="AT103" i="1"/>
  <c r="AT120" i="1"/>
  <c r="AT137" i="1"/>
  <c r="AT127" i="1"/>
  <c r="AT67" i="1"/>
  <c r="AT142" i="1"/>
  <c r="AT85" i="1"/>
  <c r="AT21" i="1"/>
  <c r="AT40" i="1"/>
  <c r="AT12" i="1"/>
  <c r="AT169" i="1"/>
  <c r="AT213" i="1"/>
  <c r="AT193" i="1"/>
  <c r="AT168" i="1"/>
  <c r="AT153" i="1"/>
  <c r="AT305" i="1"/>
  <c r="AT66" i="1"/>
  <c r="AT148" i="1"/>
  <c r="AT171" i="1"/>
  <c r="AT306" i="1"/>
  <c r="AT284" i="1"/>
  <c r="AT43" i="1"/>
  <c r="AT176" i="1"/>
  <c r="BW305" i="1"/>
  <c r="BW307" i="1"/>
  <c r="AT122" i="1"/>
  <c r="BD122" i="1" s="1"/>
  <c r="AT205" i="1"/>
  <c r="BD205" i="1" s="1"/>
  <c r="AR299" i="1"/>
  <c r="AT287" i="1"/>
  <c r="AT131" i="1"/>
  <c r="BD131" i="1" s="1"/>
  <c r="AT145" i="1"/>
  <c r="BD145" i="1" s="1"/>
  <c r="AT286" i="1"/>
  <c r="AT247" i="1"/>
  <c r="AT201" i="1"/>
  <c r="AT180" i="1"/>
  <c r="AQ91" i="1"/>
  <c r="AQ169" i="1"/>
  <c r="AS126" i="1"/>
  <c r="AS44" i="1"/>
  <c r="AT246" i="1"/>
  <c r="AQ246" i="1"/>
  <c r="AQ210" i="1"/>
  <c r="AR182" i="1"/>
  <c r="AT212" i="1"/>
  <c r="AT218" i="1"/>
  <c r="AT253" i="1"/>
  <c r="AT228" i="1"/>
  <c r="AT209" i="1"/>
  <c r="AT232" i="1"/>
  <c r="AT199" i="1"/>
  <c r="AT231" i="1"/>
  <c r="AT244" i="1"/>
  <c r="AT255" i="1"/>
  <c r="AT249" i="1"/>
  <c r="AT211" i="1"/>
  <c r="AT259" i="1"/>
  <c r="AT214" i="1"/>
  <c r="BD214" i="1" s="1"/>
  <c r="AS214" i="1"/>
  <c r="AS210" i="1"/>
  <c r="AT230" i="1"/>
  <c r="AT250" i="1"/>
  <c r="AQ250" i="1"/>
  <c r="AT206" i="1"/>
  <c r="AT27" i="1"/>
  <c r="AT73" i="1"/>
  <c r="AT182" i="1"/>
  <c r="AT170" i="1"/>
  <c r="AT252" i="1"/>
  <c r="AT126" i="1"/>
  <c r="BD126" i="1" s="1"/>
  <c r="AT297" i="1"/>
  <c r="AT130" i="1"/>
  <c r="AT44" i="1"/>
  <c r="AT42" i="1"/>
  <c r="AT210" i="1"/>
  <c r="BD210" i="1" s="1"/>
  <c r="AT185" i="1"/>
  <c r="AT221" i="1"/>
  <c r="AT248" i="1"/>
  <c r="AT256" i="1"/>
  <c r="AT223" i="1"/>
  <c r="AT189" i="1"/>
  <c r="AT225" i="1"/>
  <c r="AT299" i="1"/>
  <c r="BW303" i="1"/>
  <c r="BW283" i="1"/>
  <c r="BW14" i="1"/>
  <c r="BW141" i="1"/>
  <c r="BW48" i="1"/>
  <c r="BW65" i="1"/>
  <c r="BW154" i="1"/>
  <c r="BW9" i="1"/>
  <c r="BW230" i="1"/>
  <c r="BW235" i="1"/>
  <c r="BW279" i="1"/>
  <c r="BW131" i="1"/>
  <c r="BW198" i="1"/>
  <c r="BW92" i="1"/>
  <c r="BW59" i="1"/>
  <c r="BW8" i="1"/>
  <c r="BW255" i="1"/>
  <c r="BW257" i="1"/>
  <c r="BW32" i="1"/>
  <c r="BW80" i="1"/>
  <c r="BW100" i="1"/>
  <c r="BW47" i="1"/>
  <c r="BW240" i="1"/>
  <c r="BW175" i="1"/>
  <c r="BW186" i="1"/>
  <c r="BW200" i="1"/>
  <c r="BW210" i="1"/>
  <c r="BW144" i="1"/>
  <c r="BW13" i="1"/>
  <c r="BW158" i="1"/>
  <c r="BW291" i="1"/>
  <c r="BW121" i="1"/>
  <c r="BW137" i="1"/>
  <c r="BW11" i="1"/>
  <c r="BW72" i="1"/>
  <c r="BW163" i="1"/>
  <c r="BW97" i="1"/>
  <c r="BW182" i="1"/>
  <c r="BW49" i="1"/>
  <c r="BW251" i="1"/>
  <c r="BW259" i="1"/>
  <c r="BW130" i="1"/>
  <c r="BW295" i="1"/>
  <c r="BW281" i="1"/>
  <c r="BW217" i="1"/>
  <c r="BW35" i="1"/>
  <c r="BW93" i="1"/>
  <c r="BW64" i="1"/>
  <c r="BW276" i="1"/>
  <c r="BW12" i="1"/>
  <c r="BW126" i="1"/>
  <c r="BW167" i="1"/>
  <c r="BW208" i="1"/>
  <c r="BW73" i="1"/>
  <c r="BW33" i="1"/>
  <c r="BW123" i="1"/>
  <c r="BW273" i="1"/>
  <c r="BW148" i="1"/>
  <c r="EW62" i="1"/>
  <c r="BW183" i="1"/>
  <c r="BW50" i="1"/>
  <c r="BW203" i="1"/>
  <c r="BW38" i="1"/>
  <c r="BW212" i="1"/>
  <c r="BW263" i="1"/>
  <c r="BW234" i="1"/>
  <c r="BW108" i="1"/>
  <c r="BW43" i="1"/>
  <c r="BW225" i="1"/>
  <c r="BW159" i="1"/>
  <c r="BW219" i="1"/>
  <c r="BW282" i="1"/>
  <c r="BW188" i="1"/>
  <c r="BW161" i="1"/>
  <c r="BW7" i="1"/>
  <c r="BW205" i="1"/>
  <c r="BW191" i="1"/>
  <c r="BW227" i="1"/>
  <c r="BW271" i="1"/>
  <c r="BW165" i="1"/>
  <c r="BW192" i="1"/>
  <c r="BW243" i="1"/>
  <c r="BW78" i="1"/>
  <c r="BW116" i="1"/>
  <c r="EW66" i="1"/>
  <c r="DZ224" i="1" l="1"/>
  <c r="DZ188" i="1"/>
  <c r="DZ18" i="1"/>
  <c r="AW611" i="1"/>
  <c r="AW610" i="1"/>
  <c r="AW613" i="1"/>
  <c r="AW612" i="1"/>
  <c r="AW608" i="1"/>
  <c r="AW609" i="1"/>
  <c r="DZ154" i="1"/>
  <c r="DZ156" i="1"/>
  <c r="DZ11" i="1"/>
  <c r="DZ279" i="1"/>
  <c r="DZ180" i="1"/>
  <c r="DY513" i="1"/>
  <c r="BB591" i="1"/>
  <c r="AR591" i="1"/>
  <c r="AQ596" i="1"/>
  <c r="AZ596" i="1"/>
  <c r="BG596" i="1" s="1" a="1"/>
  <c r="BG596" i="1" s="1"/>
  <c r="BC607" i="1"/>
  <c r="AS607" i="1"/>
  <c r="AS591" i="1"/>
  <c r="BC591" i="1"/>
  <c r="AQ603" i="1"/>
  <c r="AZ603" i="1"/>
  <c r="BG603" i="1" s="1" a="1"/>
  <c r="BG603" i="1" s="1"/>
  <c r="AR607" i="1"/>
  <c r="BB607" i="1"/>
  <c r="BC603" i="1"/>
  <c r="BD603" i="1" s="1"/>
  <c r="AS603" i="1"/>
  <c r="AU603" i="1" s="1"/>
  <c r="BB606" i="1"/>
  <c r="AR606" i="1"/>
  <c r="AR590" i="1"/>
  <c r="BB590" i="1"/>
  <c r="AR603" i="1"/>
  <c r="BB603" i="1"/>
  <c r="AS606" i="1"/>
  <c r="AU606" i="1" s="1"/>
  <c r="BC606" i="1"/>
  <c r="BD606" i="1" s="1"/>
  <c r="AS590" i="1"/>
  <c r="AU590" i="1" s="1"/>
  <c r="BC590" i="1"/>
  <c r="BD590" i="1" s="1"/>
  <c r="AQ604" i="1"/>
  <c r="AZ604" i="1"/>
  <c r="BG604" i="1" s="1" a="1"/>
  <c r="BG604" i="1" s="1"/>
  <c r="AQ606" i="1"/>
  <c r="AZ606" i="1"/>
  <c r="BG606" i="1" s="1" a="1"/>
  <c r="BG606" i="1" s="1"/>
  <c r="AR601" i="1"/>
  <c r="DY601" i="1" s="1"/>
  <c r="AF601" i="1" s="1"/>
  <c r="BB601" i="1"/>
  <c r="DZ601" i="1" s="1"/>
  <c r="AZ590" i="1"/>
  <c r="BG590" i="1" s="1" a="1"/>
  <c r="BG590" i="1" s="1"/>
  <c r="AQ590" i="1"/>
  <c r="BB604" i="1"/>
  <c r="AR604" i="1"/>
  <c r="AS594" i="1"/>
  <c r="BC594" i="1"/>
  <c r="BC601" i="1"/>
  <c r="BD601" i="1" s="1"/>
  <c r="AS601" i="1"/>
  <c r="AU601" i="1" s="1"/>
  <c r="BC604" i="1"/>
  <c r="BD604" i="1" s="1"/>
  <c r="AS604" i="1"/>
  <c r="AU604" i="1" s="1"/>
  <c r="AQ605" i="1"/>
  <c r="AZ605" i="1"/>
  <c r="BG605" i="1" s="1" a="1"/>
  <c r="BG605" i="1" s="1"/>
  <c r="AZ594" i="1"/>
  <c r="BG594" i="1" s="1" a="1"/>
  <c r="BG594" i="1" s="1"/>
  <c r="AQ594" i="1"/>
  <c r="AQ601" i="1"/>
  <c r="AZ601" i="1"/>
  <c r="AQ597" i="1"/>
  <c r="AZ597" i="1"/>
  <c r="BG597" i="1" s="1" a="1"/>
  <c r="BG597" i="1" s="1"/>
  <c r="BB605" i="1"/>
  <c r="AR605" i="1"/>
  <c r="AR594" i="1"/>
  <c r="BB594" i="1"/>
  <c r="BC595" i="1"/>
  <c r="BD595" i="1" s="1"/>
  <c r="AS595" i="1"/>
  <c r="AU595" i="1" s="1"/>
  <c r="AR597" i="1"/>
  <c r="BB597" i="1"/>
  <c r="BC605" i="1"/>
  <c r="BD605" i="1" s="1"/>
  <c r="AS605" i="1"/>
  <c r="AU605" i="1" s="1"/>
  <c r="AZ595" i="1"/>
  <c r="AQ595" i="1"/>
  <c r="BC597" i="1"/>
  <c r="BD597" i="1" s="1"/>
  <c r="AS597" i="1"/>
  <c r="AU597" i="1" s="1"/>
  <c r="AR593" i="1"/>
  <c r="BB593" i="1"/>
  <c r="BB595" i="1"/>
  <c r="AR595" i="1"/>
  <c r="BC600" i="1"/>
  <c r="BD600" i="1" s="1"/>
  <c r="AS600" i="1"/>
  <c r="AU600" i="1" s="1"/>
  <c r="AZ593" i="1"/>
  <c r="BG593" i="1" s="1" a="1"/>
  <c r="BG593" i="1" s="1"/>
  <c r="AQ593" i="1"/>
  <c r="DY593" i="1" s="1"/>
  <c r="EC593" i="1" s="1"/>
  <c r="EE593" i="1" s="1"/>
  <c r="AS599" i="1"/>
  <c r="AU599" i="1" s="1"/>
  <c r="BC599" i="1"/>
  <c r="BD599" i="1" s="1"/>
  <c r="BB600" i="1"/>
  <c r="AR600" i="1"/>
  <c r="AS593" i="1"/>
  <c r="AU593" i="1" s="1"/>
  <c r="BC593" i="1"/>
  <c r="BD593" i="1" s="1"/>
  <c r="AZ599" i="1"/>
  <c r="AQ599" i="1"/>
  <c r="BB592" i="1"/>
  <c r="AR592" i="1"/>
  <c r="BB598" i="1"/>
  <c r="AR598" i="1"/>
  <c r="AZ600" i="1"/>
  <c r="BG600" i="1" s="1" a="1"/>
  <c r="BG600" i="1" s="1"/>
  <c r="AQ600" i="1"/>
  <c r="AW600" i="1" s="1"/>
  <c r="AZ602" i="1"/>
  <c r="BG602" i="1" s="1" a="1"/>
  <c r="BG602" i="1" s="1"/>
  <c r="AQ602" i="1"/>
  <c r="BB599" i="1"/>
  <c r="AR599" i="1"/>
  <c r="BC592" i="1"/>
  <c r="BD592" i="1" s="1"/>
  <c r="AS592" i="1"/>
  <c r="AU592" i="1" s="1"/>
  <c r="AS598" i="1"/>
  <c r="AU598" i="1" s="1"/>
  <c r="BC598" i="1"/>
  <c r="BD598" i="1" s="1"/>
  <c r="AR602" i="1"/>
  <c r="Z602" i="1" s="1"/>
  <c r="BB602" i="1"/>
  <c r="AZ592" i="1"/>
  <c r="BG592" i="1" s="1" a="1"/>
  <c r="BG592" i="1" s="1"/>
  <c r="AQ592" i="1"/>
  <c r="AZ598" i="1"/>
  <c r="AQ598" i="1"/>
  <c r="AS596" i="1"/>
  <c r="BC596" i="1"/>
  <c r="BC602" i="1"/>
  <c r="BD602" i="1" s="1"/>
  <c r="AS602" i="1"/>
  <c r="AU602" i="1" s="1"/>
  <c r="DY602" i="1" s="1"/>
  <c r="AZ591" i="1"/>
  <c r="AQ591" i="1"/>
  <c r="BB596" i="1"/>
  <c r="AR596" i="1"/>
  <c r="AG596" i="1" s="1"/>
  <c r="AZ607" i="1"/>
  <c r="AQ607" i="1"/>
  <c r="DZ59" i="1"/>
  <c r="AS497" i="1"/>
  <c r="DY497" i="1" s="1"/>
  <c r="AF497" i="1" s="1"/>
  <c r="AQ490" i="1"/>
  <c r="DY445" i="1"/>
  <c r="DY102" i="1"/>
  <c r="EC102" i="1" s="1"/>
  <c r="EE102" i="1" s="1"/>
  <c r="DY446" i="1"/>
  <c r="DY315" i="1"/>
  <c r="EC315" i="1" s="1"/>
  <c r="EE315" i="1" s="1"/>
  <c r="DY110" i="1"/>
  <c r="AF110" i="1" s="1"/>
  <c r="DY275" i="1"/>
  <c r="EC275" i="1" s="1"/>
  <c r="EE275" i="1" s="1"/>
  <c r="DY23" i="1"/>
  <c r="EC23" i="1" s="1"/>
  <c r="EE23" i="1" s="1"/>
  <c r="DY86" i="1"/>
  <c r="EC86" i="1" s="1"/>
  <c r="EE86" i="1" s="1"/>
  <c r="DY70" i="1"/>
  <c r="EC70" i="1" s="1"/>
  <c r="EE70" i="1" s="1"/>
  <c r="DY19" i="1"/>
  <c r="EC19" i="1" s="1"/>
  <c r="EE19" i="1" s="1"/>
  <c r="DY139" i="1"/>
  <c r="EC139" i="1" s="1"/>
  <c r="EE139" i="1" s="1"/>
  <c r="DY29" i="1"/>
  <c r="EC29" i="1" s="1"/>
  <c r="EE29" i="1" s="1"/>
  <c r="DY211" i="1"/>
  <c r="EC211" i="1" s="1"/>
  <c r="EE211" i="1" s="1"/>
  <c r="DY231" i="1"/>
  <c r="EC231" i="1" s="1"/>
  <c r="EE231" i="1" s="1"/>
  <c r="DY182" i="1"/>
  <c r="EC182" i="1" s="1"/>
  <c r="EE182" i="1" s="1"/>
  <c r="DY166" i="1"/>
  <c r="EC166" i="1" s="1"/>
  <c r="EE166" i="1" s="1"/>
  <c r="DY207" i="1"/>
  <c r="EC207" i="1" s="1"/>
  <c r="EE207" i="1" s="1"/>
  <c r="DY33" i="1"/>
  <c r="EC33" i="1" s="1"/>
  <c r="EE33" i="1" s="1"/>
  <c r="DY21" i="1"/>
  <c r="EC21" i="1" s="1"/>
  <c r="EE21" i="1" s="1"/>
  <c r="DY219" i="1"/>
  <c r="EC219" i="1" s="1"/>
  <c r="EE219" i="1" s="1"/>
  <c r="DY24" i="1"/>
  <c r="EC24" i="1" s="1"/>
  <c r="EE24" i="1" s="1"/>
  <c r="DY101" i="1"/>
  <c r="EC101" i="1" s="1"/>
  <c r="EE101" i="1" s="1"/>
  <c r="DY142" i="1"/>
  <c r="EC142" i="1" s="1"/>
  <c r="EE142" i="1" s="1"/>
  <c r="DY186" i="1"/>
  <c r="EC186" i="1" s="1"/>
  <c r="EE186" i="1" s="1"/>
  <c r="DY195" i="1"/>
  <c r="EC195" i="1" s="1"/>
  <c r="EE195" i="1" s="1"/>
  <c r="DY221" i="1"/>
  <c r="EC221" i="1" s="1"/>
  <c r="EE221" i="1" s="1"/>
  <c r="DY152" i="1"/>
  <c r="EC152" i="1" s="1"/>
  <c r="EE152" i="1" s="1"/>
  <c r="DY224" i="1"/>
  <c r="AF224" i="1" s="1"/>
  <c r="DY147" i="1"/>
  <c r="EC147" i="1" s="1"/>
  <c r="EE147" i="1" s="1"/>
  <c r="DY294" i="1"/>
  <c r="EC294" i="1" s="1"/>
  <c r="EE294" i="1" s="1"/>
  <c r="DY160" i="1"/>
  <c r="EC160" i="1" s="1"/>
  <c r="EE160" i="1" s="1"/>
  <c r="DY286" i="1"/>
  <c r="EC286" i="1" s="1"/>
  <c r="EE286" i="1" s="1"/>
  <c r="DY157" i="1"/>
  <c r="EC157" i="1" s="1"/>
  <c r="EE157" i="1" s="1"/>
  <c r="DY68" i="1"/>
  <c r="EC68" i="1" s="1"/>
  <c r="EE68" i="1" s="1"/>
  <c r="DY122" i="1"/>
  <c r="EC122" i="1" s="1"/>
  <c r="EE122" i="1" s="1"/>
  <c r="DY22" i="1"/>
  <c r="EC22" i="1" s="1"/>
  <c r="EE22" i="1" s="1"/>
  <c r="DY12" i="1"/>
  <c r="AF12" i="1" s="1"/>
  <c r="DY190" i="1"/>
  <c r="EC190" i="1" s="1"/>
  <c r="EE190" i="1" s="1"/>
  <c r="DY46" i="1"/>
  <c r="EC46" i="1" s="1"/>
  <c r="EE46" i="1" s="1"/>
  <c r="DY73" i="1"/>
  <c r="EC73" i="1" s="1"/>
  <c r="EE73" i="1" s="1"/>
  <c r="DZ226" i="1"/>
  <c r="DZ255" i="1"/>
  <c r="DZ225" i="1"/>
  <c r="EC266" i="1"/>
  <c r="EE266" i="1" s="1"/>
  <c r="DZ264" i="1"/>
  <c r="AF144" i="1"/>
  <c r="AF344" i="1"/>
  <c r="DZ259" i="1"/>
  <c r="AF476" i="1"/>
  <c r="BC490" i="1"/>
  <c r="BD490" i="1" s="1"/>
  <c r="BD169" i="1"/>
  <c r="CQ169" i="1" s="1"/>
  <c r="AS169" i="1"/>
  <c r="AU169" i="1" s="1"/>
  <c r="CP169" i="1" s="1"/>
  <c r="BB586" i="1"/>
  <c r="AR586" i="1"/>
  <c r="Z586" i="1" s="1"/>
  <c r="BB557" i="1"/>
  <c r="AR557" i="1"/>
  <c r="AQ542" i="1"/>
  <c r="AZ542" i="1"/>
  <c r="BG542" i="1" s="1" a="1"/>
  <c r="BG542" i="1" s="1"/>
  <c r="BC585" i="1"/>
  <c r="DZ585" i="1" s="1"/>
  <c r="AS585" i="1"/>
  <c r="DY585" i="1" s="1"/>
  <c r="AR575" i="1"/>
  <c r="BB575" i="1"/>
  <c r="BC543" i="1"/>
  <c r="BD543" i="1" s="1"/>
  <c r="AS543" i="1"/>
  <c r="AU543" i="1" s="1"/>
  <c r="CP543" i="1" s="1"/>
  <c r="BC577" i="1"/>
  <c r="BD577" i="1" s="1"/>
  <c r="AS577" i="1"/>
  <c r="AU577" i="1" s="1"/>
  <c r="BB588" i="1"/>
  <c r="AR588" i="1"/>
  <c r="AZ586" i="1"/>
  <c r="BG586" i="1" s="1" a="1"/>
  <c r="BG586" i="1" s="1"/>
  <c r="AQ586" i="1"/>
  <c r="AZ548" i="1"/>
  <c r="BG548" i="1" s="1" a="1"/>
  <c r="BG548" i="1" s="1"/>
  <c r="AQ548" i="1"/>
  <c r="DY548" i="1" s="1"/>
  <c r="BB542" i="1"/>
  <c r="AR542" i="1"/>
  <c r="BB560" i="1"/>
  <c r="AR560" i="1"/>
  <c r="AR585" i="1"/>
  <c r="BB585" i="1"/>
  <c r="AS551" i="1"/>
  <c r="DY551" i="1" s="1"/>
  <c r="BC551" i="1"/>
  <c r="DZ551" i="1" s="1"/>
  <c r="AR549" i="1"/>
  <c r="BB549" i="1"/>
  <c r="AZ547" i="1"/>
  <c r="BG547" i="1" s="1" a="1"/>
  <c r="BG547" i="1" s="1"/>
  <c r="AQ547" i="1"/>
  <c r="AQ566" i="1"/>
  <c r="AZ566" i="1"/>
  <c r="BG566" i="1" s="1" a="1"/>
  <c r="BG566" i="1" s="1"/>
  <c r="AZ560" i="1"/>
  <c r="BG560" i="1" s="1" a="1"/>
  <c r="BG560" i="1" s="1"/>
  <c r="AQ560" i="1"/>
  <c r="DY560" i="1" s="1"/>
  <c r="BB551" i="1"/>
  <c r="AR551" i="1"/>
  <c r="AG551" i="1" s="1"/>
  <c r="AZ575" i="1"/>
  <c r="AQ575" i="1"/>
  <c r="DY575" i="1" s="1"/>
  <c r="AQ543" i="1"/>
  <c r="AZ543" i="1"/>
  <c r="BG543" i="1" s="1" a="1"/>
  <c r="BG543" i="1" s="1"/>
  <c r="AQ577" i="1"/>
  <c r="AZ577" i="1"/>
  <c r="BG577" i="1" s="1" a="1"/>
  <c r="BG577" i="1" s="1"/>
  <c r="AS588" i="1"/>
  <c r="AU588" i="1" s="1"/>
  <c r="BC588" i="1"/>
  <c r="BD588" i="1" s="1"/>
  <c r="AS586" i="1"/>
  <c r="DY586" i="1" s="1"/>
  <c r="BC586" i="1"/>
  <c r="DZ586" i="1" s="1"/>
  <c r="AS548" i="1"/>
  <c r="AU548" i="1" s="1"/>
  <c r="BC548" i="1"/>
  <c r="BD548" i="1" s="1"/>
  <c r="BC542" i="1"/>
  <c r="BD542" i="1" s="1"/>
  <c r="AS542" i="1"/>
  <c r="AU542" i="1" s="1"/>
  <c r="AR579" i="1"/>
  <c r="BB579" i="1"/>
  <c r="AQ551" i="1"/>
  <c r="AZ551" i="1"/>
  <c r="BG551" i="1" s="1" a="1"/>
  <c r="BG551" i="1" s="1"/>
  <c r="BC549" i="1"/>
  <c r="BD549" i="1" s="1"/>
  <c r="DZ549" i="1" s="1"/>
  <c r="AS549" i="1"/>
  <c r="AU549" i="1" s="1"/>
  <c r="DY549" i="1" s="1"/>
  <c r="BB543" i="1"/>
  <c r="AR543" i="1"/>
  <c r="AZ581" i="1"/>
  <c r="BG581" i="1" s="1" a="1"/>
  <c r="BG581" i="1" s="1"/>
  <c r="AQ581" i="1"/>
  <c r="AR577" i="1"/>
  <c r="BB577" i="1"/>
  <c r="BB553" i="1"/>
  <c r="AR553" i="1"/>
  <c r="AR548" i="1"/>
  <c r="BB548" i="1"/>
  <c r="AQ579" i="1"/>
  <c r="AZ579" i="1"/>
  <c r="BG579" i="1" s="1" a="1"/>
  <c r="BG579" i="1" s="1"/>
  <c r="AQ549" i="1"/>
  <c r="AZ549" i="1"/>
  <c r="BG549" i="1" s="1" a="1"/>
  <c r="BG549" i="1" s="1"/>
  <c r="BC575" i="1"/>
  <c r="BD575" i="1" s="1"/>
  <c r="AS575" i="1"/>
  <c r="AU575" i="1" s="1"/>
  <c r="AZ588" i="1"/>
  <c r="BG588" i="1" s="1" a="1"/>
  <c r="BG588" i="1" s="1"/>
  <c r="AQ588" i="1"/>
  <c r="AR581" i="1"/>
  <c r="BB581" i="1"/>
  <c r="AS553" i="1"/>
  <c r="AU553" i="1" s="1"/>
  <c r="BC553" i="1"/>
  <c r="BD553" i="1" s="1"/>
  <c r="BB570" i="1"/>
  <c r="DZ570" i="1" s="1"/>
  <c r="AR570" i="1"/>
  <c r="DY570" i="1" s="1"/>
  <c r="BC579" i="1"/>
  <c r="BD579" i="1" s="1"/>
  <c r="AS579" i="1"/>
  <c r="AU579" i="1" s="1"/>
  <c r="AZ564" i="1"/>
  <c r="BG564" i="1" s="1" a="1"/>
  <c r="BG564" i="1" s="1"/>
  <c r="AQ564" i="1"/>
  <c r="AS581" i="1"/>
  <c r="AU581" i="1" s="1"/>
  <c r="BC581" i="1"/>
  <c r="BD581" i="1" s="1"/>
  <c r="AZ553" i="1"/>
  <c r="BG553" i="1" s="1" a="1"/>
  <c r="BG553" i="1" s="1"/>
  <c r="AQ553" i="1"/>
  <c r="AQ570" i="1"/>
  <c r="AZ570" i="1"/>
  <c r="BG570" i="1" s="1" a="1"/>
  <c r="BG570" i="1" s="1"/>
  <c r="BC573" i="1"/>
  <c r="BD573" i="1" s="1"/>
  <c r="AS573" i="1"/>
  <c r="AU573" i="1" s="1"/>
  <c r="AS564" i="1"/>
  <c r="AU564" i="1" s="1"/>
  <c r="BC564" i="1"/>
  <c r="BD564" i="1" s="1"/>
  <c r="BC571" i="1"/>
  <c r="BD571" i="1" s="1"/>
  <c r="AS571" i="1"/>
  <c r="AU571" i="1" s="1"/>
  <c r="AS583" i="1"/>
  <c r="AU583" i="1" s="1"/>
  <c r="BC583" i="1"/>
  <c r="BD583" i="1" s="1"/>
  <c r="BB544" i="1"/>
  <c r="AR544" i="1"/>
  <c r="AS570" i="1"/>
  <c r="AU570" i="1" s="1"/>
  <c r="BC570" i="1"/>
  <c r="BD570" i="1" s="1"/>
  <c r="BB558" i="1"/>
  <c r="AR558" i="1"/>
  <c r="AQ573" i="1"/>
  <c r="AZ573" i="1"/>
  <c r="BB564" i="1"/>
  <c r="DZ564" i="1" s="1"/>
  <c r="AR564" i="1"/>
  <c r="DY564" i="1" s="1"/>
  <c r="BB571" i="1"/>
  <c r="AR571" i="1"/>
  <c r="AZ583" i="1"/>
  <c r="BG583" i="1" s="1" a="1"/>
  <c r="BG583" i="1" s="1"/>
  <c r="AQ583" i="1"/>
  <c r="AQ544" i="1"/>
  <c r="AZ544" i="1"/>
  <c r="BG544" i="1" s="1" a="1"/>
  <c r="BG544" i="1" s="1"/>
  <c r="AR554" i="1"/>
  <c r="DY554" i="1" s="1"/>
  <c r="BB554" i="1"/>
  <c r="DZ554" i="1" s="1"/>
  <c r="AS558" i="1"/>
  <c r="BC558" i="1"/>
  <c r="AS550" i="1"/>
  <c r="AU550" i="1" s="1"/>
  <c r="BC550" i="1"/>
  <c r="BD550" i="1" s="1"/>
  <c r="AR573" i="1"/>
  <c r="BB573" i="1"/>
  <c r="CQ573" i="1" s="1"/>
  <c r="AZ552" i="1"/>
  <c r="AQ552" i="1"/>
  <c r="AQ571" i="1"/>
  <c r="AZ571" i="1"/>
  <c r="BG571" i="1" s="1" a="1"/>
  <c r="BG571" i="1" s="1"/>
  <c r="AS587" i="1"/>
  <c r="AU587" i="1" s="1"/>
  <c r="BC587" i="1"/>
  <c r="BD587" i="1" s="1"/>
  <c r="AR583" i="1"/>
  <c r="BB583" i="1"/>
  <c r="BC544" i="1"/>
  <c r="DZ544" i="1" s="1"/>
  <c r="AS544" i="1"/>
  <c r="DY544" i="1" s="1"/>
  <c r="AR545" i="1"/>
  <c r="BB545" i="1"/>
  <c r="BC554" i="1"/>
  <c r="BD554" i="1" s="1"/>
  <c r="AS554" i="1"/>
  <c r="AU554" i="1" s="1"/>
  <c r="AZ558" i="1"/>
  <c r="BG558" i="1" s="1" a="1"/>
  <c r="BG558" i="1" s="1"/>
  <c r="AQ558" i="1"/>
  <c r="AQ550" i="1"/>
  <c r="AZ550" i="1"/>
  <c r="AS556" i="1"/>
  <c r="AU556" i="1" s="1"/>
  <c r="BC556" i="1"/>
  <c r="BD556" i="1" s="1"/>
  <c r="BC552" i="1"/>
  <c r="BD552" i="1" s="1"/>
  <c r="AS552" i="1"/>
  <c r="AU552" i="1" s="1"/>
  <c r="BB587" i="1"/>
  <c r="AR587" i="1"/>
  <c r="AR559" i="1"/>
  <c r="BB559" i="1"/>
  <c r="AQ545" i="1"/>
  <c r="AZ545" i="1"/>
  <c r="BG545" i="1" s="1" a="1"/>
  <c r="BG545" i="1" s="1"/>
  <c r="AQ554" i="1"/>
  <c r="AZ554" i="1"/>
  <c r="AR550" i="1"/>
  <c r="BB550" i="1"/>
  <c r="AQ556" i="1"/>
  <c r="AZ556" i="1"/>
  <c r="BG556" i="1" s="1" a="1"/>
  <c r="BG556" i="1" s="1"/>
  <c r="BB562" i="1"/>
  <c r="AR562" i="1"/>
  <c r="AR552" i="1"/>
  <c r="DY552" i="1" s="1"/>
  <c r="BB552" i="1"/>
  <c r="DZ552" i="1" s="1"/>
  <c r="AQ587" i="1"/>
  <c r="AZ587" i="1"/>
  <c r="BG587" i="1" s="1" a="1"/>
  <c r="BG587" i="1" s="1"/>
  <c r="BC559" i="1"/>
  <c r="BD559" i="1" s="1"/>
  <c r="AS559" i="1"/>
  <c r="AU559" i="1" s="1"/>
  <c r="AS545" i="1"/>
  <c r="AU545" i="1" s="1"/>
  <c r="BC545" i="1"/>
  <c r="BD545" i="1" s="1"/>
  <c r="AZ568" i="1"/>
  <c r="BG568" i="1" s="1" a="1"/>
  <c r="BG568" i="1" s="1"/>
  <c r="AQ568" i="1"/>
  <c r="DY568" i="1" s="1"/>
  <c r="AQ574" i="1"/>
  <c r="AZ574" i="1"/>
  <c r="AR556" i="1"/>
  <c r="BB556" i="1"/>
  <c r="AQ562" i="1"/>
  <c r="AZ562" i="1"/>
  <c r="AQ572" i="1"/>
  <c r="AZ572" i="1"/>
  <c r="BG572" i="1" s="1" a="1"/>
  <c r="BG572" i="1" s="1"/>
  <c r="AZ576" i="1"/>
  <c r="BG576" i="1" s="1" a="1"/>
  <c r="BG576" i="1" s="1"/>
  <c r="AQ576" i="1"/>
  <c r="BC563" i="1"/>
  <c r="BD563" i="1" s="1"/>
  <c r="AS563" i="1"/>
  <c r="AU563" i="1" s="1"/>
  <c r="AZ559" i="1"/>
  <c r="BG559" i="1" s="1" a="1"/>
  <c r="BG559" i="1" s="1"/>
  <c r="AQ559" i="1"/>
  <c r="DY559" i="1" s="1"/>
  <c r="AZ578" i="1"/>
  <c r="BG578" i="1" s="1" a="1"/>
  <c r="BG578" i="1" s="1"/>
  <c r="AQ578" i="1"/>
  <c r="DY578" i="1" s="1"/>
  <c r="AS568" i="1"/>
  <c r="AU568" i="1" s="1"/>
  <c r="BC568" i="1"/>
  <c r="BD568" i="1" s="1"/>
  <c r="AR574" i="1"/>
  <c r="BB574" i="1"/>
  <c r="CQ574" i="1" s="1"/>
  <c r="AS562" i="1"/>
  <c r="AU562" i="1" s="1"/>
  <c r="BC562" i="1"/>
  <c r="BD562" i="1" s="1"/>
  <c r="BC572" i="1"/>
  <c r="BD572" i="1" s="1"/>
  <c r="AS572" i="1"/>
  <c r="AU572" i="1" s="1"/>
  <c r="BC576" i="1"/>
  <c r="BD576" i="1" s="1"/>
  <c r="DZ576" i="1" s="1"/>
  <c r="AS576" i="1"/>
  <c r="AU576" i="1" s="1"/>
  <c r="DY576" i="1" s="1"/>
  <c r="AQ563" i="1"/>
  <c r="AZ563" i="1"/>
  <c r="BG563" i="1" s="1" a="1"/>
  <c r="BG563" i="1" s="1"/>
  <c r="BB578" i="1"/>
  <c r="AR578" i="1"/>
  <c r="Z578" i="1" s="1"/>
  <c r="BB568" i="1"/>
  <c r="AR568" i="1"/>
  <c r="AS574" i="1"/>
  <c r="AU574" i="1" s="1"/>
  <c r="BC574" i="1"/>
  <c r="BD574" i="1" s="1"/>
  <c r="AQ565" i="1"/>
  <c r="DY565" i="1" s="1"/>
  <c r="AZ565" i="1"/>
  <c r="AR572" i="1"/>
  <c r="BB572" i="1"/>
  <c r="AR576" i="1"/>
  <c r="Z576" i="1" s="1"/>
  <c r="BB576" i="1"/>
  <c r="AS546" i="1"/>
  <c r="AU546" i="1" s="1"/>
  <c r="BC546" i="1"/>
  <c r="BD546" i="1" s="1"/>
  <c r="AR563" i="1"/>
  <c r="BB563" i="1"/>
  <c r="CQ563" i="1" s="1"/>
  <c r="BB580" i="1"/>
  <c r="AR580" i="1"/>
  <c r="AS578" i="1"/>
  <c r="AU578" i="1" s="1"/>
  <c r="BC578" i="1"/>
  <c r="BD578" i="1" s="1"/>
  <c r="AZ589" i="1"/>
  <c r="AQ589" i="1"/>
  <c r="AR565" i="1"/>
  <c r="BB565" i="1"/>
  <c r="BB541" i="1"/>
  <c r="AR541" i="1"/>
  <c r="Z541" i="1" s="1"/>
  <c r="AQ546" i="1"/>
  <c r="AZ546" i="1"/>
  <c r="BG546" i="1" s="1" a="1"/>
  <c r="BG546" i="1" s="1"/>
  <c r="BB547" i="1"/>
  <c r="AR547" i="1"/>
  <c r="AQ580" i="1"/>
  <c r="AZ580" i="1"/>
  <c r="BG580" i="1" s="1" a="1"/>
  <c r="BG580" i="1" s="1"/>
  <c r="AS557" i="1"/>
  <c r="BC557" i="1"/>
  <c r="AR566" i="1"/>
  <c r="BB566" i="1"/>
  <c r="BB589" i="1"/>
  <c r="AR589" i="1"/>
  <c r="Z589" i="1" s="1"/>
  <c r="AS565" i="1"/>
  <c r="AU565" i="1" s="1"/>
  <c r="BC565" i="1"/>
  <c r="BD565" i="1" s="1"/>
  <c r="AQ541" i="1"/>
  <c r="DY541" i="1" s="1"/>
  <c r="AZ541" i="1"/>
  <c r="BG541" i="1" s="1" a="1"/>
  <c r="BG541" i="1" s="1"/>
  <c r="BB546" i="1"/>
  <c r="DZ546" i="1" s="1"/>
  <c r="AR546" i="1"/>
  <c r="DY546" i="1" s="1"/>
  <c r="BC547" i="1"/>
  <c r="BD547" i="1" s="1"/>
  <c r="AS547" i="1"/>
  <c r="AU547" i="1" s="1"/>
  <c r="AS580" i="1"/>
  <c r="AU580" i="1" s="1"/>
  <c r="BC580" i="1"/>
  <c r="BD580" i="1" s="1"/>
  <c r="BG575" i="1" a="1"/>
  <c r="BG575" i="1" s="1"/>
  <c r="AZ557" i="1"/>
  <c r="BG557" i="1" s="1" a="1"/>
  <c r="BG557" i="1" s="1"/>
  <c r="AQ557" i="1"/>
  <c r="BC566" i="1"/>
  <c r="BD566" i="1" s="1"/>
  <c r="AS566" i="1"/>
  <c r="AU566" i="1" s="1"/>
  <c r="AS589" i="1"/>
  <c r="BC589" i="1"/>
  <c r="DZ589" i="1" s="1"/>
  <c r="AS560" i="1"/>
  <c r="AU560" i="1" s="1"/>
  <c r="BC560" i="1"/>
  <c r="BD560" i="1" s="1"/>
  <c r="AZ585" i="1"/>
  <c r="BG585" i="1" s="1" a="1"/>
  <c r="BG585" i="1" s="1"/>
  <c r="AQ585" i="1"/>
  <c r="AS541" i="1"/>
  <c r="AU541" i="1" s="1"/>
  <c r="BC541" i="1"/>
  <c r="BD541" i="1" s="1"/>
  <c r="BB567" i="1"/>
  <c r="AR567" i="1"/>
  <c r="AZ567" i="1"/>
  <c r="BG567" i="1" s="1" a="1"/>
  <c r="BG567" i="1" s="1"/>
  <c r="AQ567" i="1"/>
  <c r="AS567" i="1"/>
  <c r="AU567" i="1" s="1"/>
  <c r="BC567" i="1"/>
  <c r="BD567" i="1" s="1"/>
  <c r="AR561" i="1"/>
  <c r="AG561" i="1" s="1"/>
  <c r="BB561" i="1"/>
  <c r="BC561" i="1"/>
  <c r="DZ561" i="1" s="1"/>
  <c r="AS561" i="1"/>
  <c r="AQ561" i="1"/>
  <c r="CR561" i="1" s="1"/>
  <c r="CW561" i="1" s="1"/>
  <c r="CY561" i="1" s="1"/>
  <c r="AZ561" i="1"/>
  <c r="BG561" i="1" s="1" a="1"/>
  <c r="BG561" i="1" s="1"/>
  <c r="BC569" i="1"/>
  <c r="BD569" i="1" s="1"/>
  <c r="AS569" i="1"/>
  <c r="AU569" i="1" s="1"/>
  <c r="AR569" i="1"/>
  <c r="BB569" i="1"/>
  <c r="AQ569" i="1"/>
  <c r="AZ569" i="1"/>
  <c r="BC584" i="1"/>
  <c r="BD584" i="1" s="1"/>
  <c r="DZ584" i="1" s="1"/>
  <c r="AS584" i="1"/>
  <c r="AU584" i="1" s="1"/>
  <c r="DY584" i="1" s="1"/>
  <c r="AZ584" i="1"/>
  <c r="BG584" i="1" s="1" a="1"/>
  <c r="BG584" i="1" s="1"/>
  <c r="AQ584" i="1"/>
  <c r="BB584" i="1"/>
  <c r="AR584" i="1"/>
  <c r="Z584" i="1" s="1"/>
  <c r="CQ198" i="1"/>
  <c r="CV198" i="1" s="1"/>
  <c r="CQ225" i="1"/>
  <c r="CQ315" i="1"/>
  <c r="CV315" i="1" s="1"/>
  <c r="CR446" i="1"/>
  <c r="CW446" i="1" s="1"/>
  <c r="CY446" i="1" s="1"/>
  <c r="CP446" i="1"/>
  <c r="CU446" i="1" s="1"/>
  <c r="CR442" i="1"/>
  <c r="CW442" i="1" s="1"/>
  <c r="CY442" i="1" s="1"/>
  <c r="CP442" i="1"/>
  <c r="CU442" i="1" s="1"/>
  <c r="CR225" i="1"/>
  <c r="AG225" i="1" s="1"/>
  <c r="CP225" i="1"/>
  <c r="Z225" i="1" s="1"/>
  <c r="CR437" i="1"/>
  <c r="CW437" i="1" s="1"/>
  <c r="CY437" i="1" s="1"/>
  <c r="CP437" i="1"/>
  <c r="CU437" i="1" s="1"/>
  <c r="CR474" i="1"/>
  <c r="CW474" i="1" s="1"/>
  <c r="CY474" i="1" s="1"/>
  <c r="CP474" i="1"/>
  <c r="CU474" i="1" s="1"/>
  <c r="CR205" i="1"/>
  <c r="CW205" i="1" s="1"/>
  <c r="CY205" i="1" s="1"/>
  <c r="CP205" i="1"/>
  <c r="CQ310" i="1"/>
  <c r="CQ188" i="1"/>
  <c r="CQ18" i="1"/>
  <c r="CQ259" i="1"/>
  <c r="CV259" i="1" s="1"/>
  <c r="CQ221" i="1"/>
  <c r="CV221" i="1" s="1"/>
  <c r="CR479" i="1"/>
  <c r="CP479" i="1"/>
  <c r="U479" i="1" s="1"/>
  <c r="CQ279" i="1"/>
  <c r="CR398" i="1"/>
  <c r="CP398" i="1"/>
  <c r="CR461" i="1"/>
  <c r="CW461" i="1" s="1"/>
  <c r="CY461" i="1" s="1"/>
  <c r="CP461" i="1"/>
  <c r="CU461" i="1" s="1"/>
  <c r="AR555" i="1"/>
  <c r="BB555" i="1"/>
  <c r="BC555" i="1"/>
  <c r="BD555" i="1" s="1"/>
  <c r="AS555" i="1"/>
  <c r="AU555" i="1" s="1"/>
  <c r="AQ555" i="1"/>
  <c r="DY555" i="1" s="1"/>
  <c r="AZ555" i="1"/>
  <c r="BG555" i="1" s="1" a="1"/>
  <c r="BG555" i="1" s="1"/>
  <c r="AZ582" i="1"/>
  <c r="BG582" i="1" s="1" a="1"/>
  <c r="BG582" i="1" s="1"/>
  <c r="AQ582" i="1"/>
  <c r="BC582" i="1"/>
  <c r="BD582" i="1" s="1"/>
  <c r="DZ582" i="1" s="1"/>
  <c r="AS582" i="1"/>
  <c r="AU582" i="1" s="1"/>
  <c r="DY582" i="1" s="1"/>
  <c r="BB582" i="1"/>
  <c r="AR582" i="1"/>
  <c r="BG476" i="1" a="1"/>
  <c r="BG476" i="1" s="1"/>
  <c r="BG497" i="1" a="1"/>
  <c r="BG497" i="1" s="1"/>
  <c r="BG474" i="1" a="1"/>
  <c r="BG474" i="1" s="1"/>
  <c r="BG490" i="1" a="1"/>
  <c r="BG490" i="1" s="1"/>
  <c r="BG479" i="1" a="1"/>
  <c r="BG479" i="1" s="1"/>
  <c r="BG480" i="1" a="1"/>
  <c r="BG480" i="1" s="1"/>
  <c r="EC513" i="1"/>
  <c r="EE513" i="1" s="1"/>
  <c r="AQ531" i="1"/>
  <c r="AZ531" i="1"/>
  <c r="BG531" i="1" s="1" a="1"/>
  <c r="BG531" i="1" s="1"/>
  <c r="AS523" i="1"/>
  <c r="AU523" i="1" s="1"/>
  <c r="BC523" i="1"/>
  <c r="BD523" i="1" s="1"/>
  <c r="AS537" i="1"/>
  <c r="AU537" i="1" s="1"/>
  <c r="BC537" i="1"/>
  <c r="BD537" i="1" s="1"/>
  <c r="AR473" i="1"/>
  <c r="BB473" i="1"/>
  <c r="BC519" i="1"/>
  <c r="BD519" i="1" s="1"/>
  <c r="AS519" i="1"/>
  <c r="AU519" i="1" s="1"/>
  <c r="AQ539" i="1"/>
  <c r="AZ539" i="1"/>
  <c r="BG539" i="1" s="1" a="1"/>
  <c r="BG539" i="1" s="1"/>
  <c r="AR512" i="1"/>
  <c r="U512" i="1" s="1"/>
  <c r="BB512" i="1"/>
  <c r="BC520" i="1"/>
  <c r="BD520" i="1" s="1"/>
  <c r="AS520" i="1"/>
  <c r="AU520" i="1" s="1"/>
  <c r="AR488" i="1"/>
  <c r="BB488" i="1"/>
  <c r="AQ529" i="1"/>
  <c r="AZ529" i="1"/>
  <c r="BG529" i="1" s="1" a="1"/>
  <c r="BG529" i="1" s="1"/>
  <c r="AR531" i="1"/>
  <c r="DY531" i="1" s="1"/>
  <c r="BB531" i="1"/>
  <c r="AZ489" i="1"/>
  <c r="AQ489" i="1"/>
  <c r="AZ537" i="1"/>
  <c r="BG537" i="1" s="1" a="1"/>
  <c r="BG537" i="1" s="1"/>
  <c r="AQ537" i="1"/>
  <c r="BC507" i="1"/>
  <c r="BD507" i="1" s="1"/>
  <c r="AS507" i="1"/>
  <c r="AU507" i="1" s="1"/>
  <c r="AQ519" i="1"/>
  <c r="AZ519" i="1"/>
  <c r="BG519" i="1" s="1" a="1"/>
  <c r="BG519" i="1" s="1"/>
  <c r="BC487" i="1"/>
  <c r="DZ487" i="1" s="1"/>
  <c r="AS487" i="1"/>
  <c r="AQ512" i="1"/>
  <c r="AZ512" i="1"/>
  <c r="BG512" i="1" s="1" a="1"/>
  <c r="BG512" i="1" s="1"/>
  <c r="BC478" i="1"/>
  <c r="BD478" i="1" s="1"/>
  <c r="AS478" i="1"/>
  <c r="AU478" i="1" s="1"/>
  <c r="BB516" i="1"/>
  <c r="AR516" i="1"/>
  <c r="BB530" i="1"/>
  <c r="AR530" i="1"/>
  <c r="AF530" i="1" s="1"/>
  <c r="AS531" i="1"/>
  <c r="AU531" i="1" s="1"/>
  <c r="BC531" i="1"/>
  <c r="BD531" i="1" s="1"/>
  <c r="AQ517" i="1"/>
  <c r="AZ517" i="1"/>
  <c r="BG517" i="1" s="1" a="1"/>
  <c r="BG517" i="1" s="1"/>
  <c r="AZ475" i="1"/>
  <c r="AQ475" i="1"/>
  <c r="AR537" i="1"/>
  <c r="BB537" i="1"/>
  <c r="BB507" i="1"/>
  <c r="AR507" i="1"/>
  <c r="BB519" i="1"/>
  <c r="DZ519" i="1" s="1"/>
  <c r="AR519" i="1"/>
  <c r="DY519" i="1" s="1"/>
  <c r="AR539" i="1"/>
  <c r="BB539" i="1"/>
  <c r="BC512" i="1"/>
  <c r="BD512" i="1" s="1"/>
  <c r="AS512" i="1"/>
  <c r="AU512" i="1" s="1"/>
  <c r="AR520" i="1"/>
  <c r="BB520" i="1"/>
  <c r="BC516" i="1"/>
  <c r="BD516" i="1" s="1"/>
  <c r="AS516" i="1"/>
  <c r="AU516" i="1" s="1"/>
  <c r="AR529" i="1"/>
  <c r="BB529" i="1"/>
  <c r="AQ484" i="1"/>
  <c r="AZ484" i="1"/>
  <c r="BB517" i="1"/>
  <c r="AR517" i="1"/>
  <c r="AR475" i="1"/>
  <c r="BB475" i="1"/>
  <c r="BC499" i="1"/>
  <c r="BD499" i="1" s="1"/>
  <c r="AS499" i="1"/>
  <c r="AU499" i="1" s="1"/>
  <c r="BC503" i="1"/>
  <c r="BD503" i="1" s="1"/>
  <c r="AS503" i="1"/>
  <c r="AU503" i="1" s="1"/>
  <c r="AS506" i="1"/>
  <c r="AU506" i="1" s="1"/>
  <c r="BC506" i="1"/>
  <c r="BD506" i="1" s="1"/>
  <c r="AZ502" i="1"/>
  <c r="BG502" i="1" s="1" a="1"/>
  <c r="BG502" i="1" s="1"/>
  <c r="AQ502" i="1"/>
  <c r="AZ488" i="1"/>
  <c r="AQ488" i="1"/>
  <c r="DY488" i="1" s="1"/>
  <c r="BC529" i="1"/>
  <c r="BD529" i="1" s="1"/>
  <c r="AS529" i="1"/>
  <c r="AU529" i="1" s="1"/>
  <c r="AS484" i="1"/>
  <c r="AU484" i="1" s="1"/>
  <c r="BC484" i="1"/>
  <c r="BD484" i="1" s="1"/>
  <c r="AS517" i="1"/>
  <c r="AU517" i="1" s="1"/>
  <c r="BC517" i="1"/>
  <c r="BD517" i="1" s="1"/>
  <c r="AQ521" i="1"/>
  <c r="AZ521" i="1"/>
  <c r="BG521" i="1" s="1" a="1"/>
  <c r="BG521" i="1" s="1"/>
  <c r="BB499" i="1"/>
  <c r="AR499" i="1"/>
  <c r="AQ503" i="1"/>
  <c r="AZ503" i="1"/>
  <c r="BG503" i="1" s="1" a="1"/>
  <c r="BG503" i="1" s="1"/>
  <c r="AR506" i="1"/>
  <c r="DY506" i="1" s="1"/>
  <c r="BB506" i="1"/>
  <c r="BC514" i="1"/>
  <c r="BD514" i="1" s="1"/>
  <c r="AS514" i="1"/>
  <c r="AU514" i="1" s="1"/>
  <c r="BC502" i="1"/>
  <c r="AS502" i="1"/>
  <c r="DY502" i="1" s="1"/>
  <c r="AZ516" i="1"/>
  <c r="BG516" i="1" s="1" a="1"/>
  <c r="BG516" i="1" s="1"/>
  <c r="AQ516" i="1"/>
  <c r="BC530" i="1"/>
  <c r="BD530" i="1" s="1"/>
  <c r="AS530" i="1"/>
  <c r="AU530" i="1" s="1"/>
  <c r="AQ527" i="1"/>
  <c r="DY527" i="1" s="1"/>
  <c r="AZ527" i="1"/>
  <c r="BG527" i="1" s="1" a="1"/>
  <c r="BG527" i="1" s="1"/>
  <c r="AR489" i="1"/>
  <c r="BB489" i="1"/>
  <c r="AS475" i="1"/>
  <c r="AU475" i="1" s="1"/>
  <c r="BC475" i="1"/>
  <c r="BD475" i="1" s="1"/>
  <c r="AZ499" i="1"/>
  <c r="AQ499" i="1"/>
  <c r="BB503" i="1"/>
  <c r="AR503" i="1"/>
  <c r="AQ506" i="1"/>
  <c r="AZ506" i="1"/>
  <c r="BG506" i="1" s="1" a="1"/>
  <c r="BG506" i="1" s="1"/>
  <c r="AR514" i="1"/>
  <c r="BB514" i="1"/>
  <c r="BB502" i="1"/>
  <c r="AR502" i="1"/>
  <c r="AQ481" i="1"/>
  <c r="DY481" i="1" s="1"/>
  <c r="AZ481" i="1"/>
  <c r="AZ532" i="1"/>
  <c r="BG532" i="1" s="1" a="1"/>
  <c r="BG532" i="1" s="1"/>
  <c r="AQ532" i="1"/>
  <c r="BC493" i="1"/>
  <c r="BD493" i="1" s="1"/>
  <c r="AS493" i="1"/>
  <c r="AU493" i="1" s="1"/>
  <c r="AR527" i="1"/>
  <c r="BB527" i="1"/>
  <c r="AS489" i="1"/>
  <c r="AU489" i="1" s="1"/>
  <c r="BC489" i="1"/>
  <c r="BD489" i="1" s="1"/>
  <c r="AS521" i="1"/>
  <c r="AU521" i="1" s="1"/>
  <c r="BC521" i="1"/>
  <c r="BD521" i="1" s="1"/>
  <c r="AR515" i="1"/>
  <c r="BB515" i="1"/>
  <c r="AZ536" i="1"/>
  <c r="BG536" i="1" s="1" a="1"/>
  <c r="BG536" i="1" s="1"/>
  <c r="AQ536" i="1"/>
  <c r="DY536" i="1" s="1"/>
  <c r="AQ514" i="1"/>
  <c r="AZ514" i="1"/>
  <c r="BG514" i="1" s="1" a="1"/>
  <c r="BG514" i="1" s="1"/>
  <c r="AR522" i="1"/>
  <c r="BB522" i="1"/>
  <c r="AZ533" i="1"/>
  <c r="BG533" i="1" s="1" a="1"/>
  <c r="BG533" i="1" s="1"/>
  <c r="AQ533" i="1"/>
  <c r="AQ493" i="1"/>
  <c r="AZ493" i="1"/>
  <c r="BC527" i="1"/>
  <c r="BD527" i="1" s="1"/>
  <c r="AS527" i="1"/>
  <c r="AU527" i="1" s="1"/>
  <c r="AQ526" i="1"/>
  <c r="AZ526" i="1"/>
  <c r="BG526" i="1" s="1" a="1"/>
  <c r="BG526" i="1" s="1"/>
  <c r="BB521" i="1"/>
  <c r="AR521" i="1"/>
  <c r="BC515" i="1"/>
  <c r="BD515" i="1" s="1"/>
  <c r="AS515" i="1"/>
  <c r="AU515" i="1" s="1"/>
  <c r="BB536" i="1"/>
  <c r="AR536" i="1"/>
  <c r="BC538" i="1"/>
  <c r="BD538" i="1" s="1"/>
  <c r="AS538" i="1"/>
  <c r="AU538" i="1" s="1"/>
  <c r="AQ508" i="1"/>
  <c r="AZ508" i="1"/>
  <c r="BC481" i="1"/>
  <c r="BD481" i="1" s="1"/>
  <c r="AS481" i="1"/>
  <c r="AU481" i="1" s="1"/>
  <c r="BB532" i="1"/>
  <c r="AR532" i="1"/>
  <c r="U532" i="1" s="1"/>
  <c r="AQ525" i="1"/>
  <c r="DY525" i="1" s="1"/>
  <c r="AZ525" i="1"/>
  <c r="BG525" i="1" s="1" a="1"/>
  <c r="BG525" i="1" s="1"/>
  <c r="AR493" i="1"/>
  <c r="BB493" i="1"/>
  <c r="AR484" i="1"/>
  <c r="BB484" i="1"/>
  <c r="BB526" i="1"/>
  <c r="AR526" i="1"/>
  <c r="AZ485" i="1"/>
  <c r="AQ485" i="1"/>
  <c r="AQ515" i="1"/>
  <c r="AZ515" i="1"/>
  <c r="BG515" i="1" s="1" a="1"/>
  <c r="BG515" i="1" s="1"/>
  <c r="BC536" i="1"/>
  <c r="BD536" i="1" s="1"/>
  <c r="AS536" i="1"/>
  <c r="AU536" i="1" s="1"/>
  <c r="AQ483" i="1"/>
  <c r="AZ483" i="1"/>
  <c r="AS508" i="1"/>
  <c r="AU508" i="1" s="1"/>
  <c r="DY508" i="1" s="1"/>
  <c r="BC508" i="1"/>
  <c r="BD508" i="1" s="1"/>
  <c r="DZ508" i="1" s="1"/>
  <c r="AZ522" i="1"/>
  <c r="AQ522" i="1"/>
  <c r="BB533" i="1"/>
  <c r="AR533" i="1"/>
  <c r="AR525" i="1"/>
  <c r="BB525" i="1"/>
  <c r="AS526" i="1"/>
  <c r="AU526" i="1" s="1"/>
  <c r="BC526" i="1"/>
  <c r="BD526" i="1" s="1"/>
  <c r="AS485" i="1"/>
  <c r="AU485" i="1" s="1"/>
  <c r="BC485" i="1"/>
  <c r="BD485" i="1" s="1"/>
  <c r="AR524" i="1"/>
  <c r="BB524" i="1"/>
  <c r="AZ498" i="1"/>
  <c r="AQ498" i="1"/>
  <c r="AZ538" i="1"/>
  <c r="BG538" i="1" s="1" a="1"/>
  <c r="BG538" i="1" s="1"/>
  <c r="AQ538" i="1"/>
  <c r="BB508" i="1"/>
  <c r="AR508" i="1"/>
  <c r="AS522" i="1"/>
  <c r="DY522" i="1" s="1"/>
  <c r="BC522" i="1"/>
  <c r="BC511" i="1"/>
  <c r="BD511" i="1" s="1"/>
  <c r="AS511" i="1"/>
  <c r="AU511" i="1" s="1"/>
  <c r="BC532" i="1"/>
  <c r="BD532" i="1" s="1"/>
  <c r="AS532" i="1"/>
  <c r="AU532" i="1" s="1"/>
  <c r="AZ495" i="1"/>
  <c r="AQ495" i="1"/>
  <c r="AS525" i="1"/>
  <c r="AU525" i="1" s="1"/>
  <c r="BC525" i="1"/>
  <c r="BD525" i="1" s="1"/>
  <c r="AZ518" i="1"/>
  <c r="AQ518" i="1"/>
  <c r="BC534" i="1"/>
  <c r="BD534" i="1" s="1"/>
  <c r="AS534" i="1"/>
  <c r="AU534" i="1" s="1"/>
  <c r="AR485" i="1"/>
  <c r="BB485" i="1"/>
  <c r="BB477" i="1"/>
  <c r="AR477" i="1"/>
  <c r="BB498" i="1"/>
  <c r="AR498" i="1"/>
  <c r="BC535" i="1"/>
  <c r="BD535" i="1" s="1"/>
  <c r="AS535" i="1"/>
  <c r="AU535" i="1" s="1"/>
  <c r="BB538" i="1"/>
  <c r="AR538" i="1"/>
  <c r="AS528" i="1"/>
  <c r="BC528" i="1"/>
  <c r="CQ528" i="1" s="1"/>
  <c r="AR504" i="1"/>
  <c r="Z504" i="1" s="1"/>
  <c r="BB504" i="1"/>
  <c r="BB481" i="1"/>
  <c r="AR481" i="1"/>
  <c r="Z481" i="1" s="1"/>
  <c r="AZ505" i="1"/>
  <c r="AQ505" i="1"/>
  <c r="DY505" i="1" s="1"/>
  <c r="AR511" i="1"/>
  <c r="BB511" i="1"/>
  <c r="BC533" i="1"/>
  <c r="BD533" i="1" s="1"/>
  <c r="AS533" i="1"/>
  <c r="AU533" i="1" s="1"/>
  <c r="AR495" i="1"/>
  <c r="DY495" i="1" s="1"/>
  <c r="BB495" i="1"/>
  <c r="DZ495" i="1" s="1"/>
  <c r="AS518" i="1"/>
  <c r="AU518" i="1" s="1"/>
  <c r="BC518" i="1"/>
  <c r="BD518" i="1" s="1"/>
  <c r="AZ534" i="1"/>
  <c r="AQ534" i="1"/>
  <c r="AR523" i="1"/>
  <c r="Z523" i="1" s="1"/>
  <c r="BB523" i="1"/>
  <c r="BC477" i="1"/>
  <c r="BD477" i="1" s="1"/>
  <c r="AS477" i="1"/>
  <c r="AU477" i="1" s="1"/>
  <c r="BC498" i="1"/>
  <c r="BD498" i="1" s="1"/>
  <c r="AS498" i="1"/>
  <c r="AU498" i="1" s="1"/>
  <c r="AZ535" i="1"/>
  <c r="AQ535" i="1"/>
  <c r="BC483" i="1"/>
  <c r="CQ483" i="1" s="1"/>
  <c r="CV483" i="1" s="1"/>
  <c r="AS483" i="1"/>
  <c r="AQ528" i="1"/>
  <c r="AZ528" i="1"/>
  <c r="BG528" i="1" s="1" a="1"/>
  <c r="BG528" i="1" s="1"/>
  <c r="AQ504" i="1"/>
  <c r="AZ504" i="1"/>
  <c r="BG504" i="1" s="1" a="1"/>
  <c r="BG504" i="1" s="1"/>
  <c r="AZ500" i="1"/>
  <c r="BG500" i="1" s="1" a="1"/>
  <c r="BG500" i="1" s="1"/>
  <c r="AQ500" i="1"/>
  <c r="BB505" i="1"/>
  <c r="AR505" i="1"/>
  <c r="AQ511" i="1"/>
  <c r="EN511" i="1" s="1"/>
  <c r="AZ511" i="1"/>
  <c r="AS495" i="1"/>
  <c r="BC495" i="1"/>
  <c r="CQ495" i="1" s="1"/>
  <c r="AR518" i="1"/>
  <c r="DY518" i="1" s="1"/>
  <c r="BB518" i="1"/>
  <c r="DZ518" i="1" s="1"/>
  <c r="AR534" i="1"/>
  <c r="BB534" i="1"/>
  <c r="AZ482" i="1"/>
  <c r="AQ482" i="1"/>
  <c r="AS524" i="1"/>
  <c r="AU524" i="1" s="1"/>
  <c r="DY524" i="1" s="1"/>
  <c r="BC524" i="1"/>
  <c r="BD524" i="1" s="1"/>
  <c r="BB486" i="1"/>
  <c r="AR486" i="1"/>
  <c r="BB483" i="1"/>
  <c r="AR483" i="1"/>
  <c r="AR528" i="1"/>
  <c r="BB528" i="1"/>
  <c r="AS504" i="1"/>
  <c r="AU504" i="1" s="1"/>
  <c r="BC504" i="1"/>
  <c r="BD504" i="1" s="1"/>
  <c r="AS494" i="1"/>
  <c r="AU494" i="1" s="1"/>
  <c r="BC494" i="1"/>
  <c r="BD494" i="1" s="1"/>
  <c r="AS500" i="1"/>
  <c r="AU500" i="1" s="1"/>
  <c r="BC500" i="1"/>
  <c r="BD500" i="1" s="1"/>
  <c r="AS505" i="1"/>
  <c r="AU505" i="1" s="1"/>
  <c r="BC505" i="1"/>
  <c r="BD505" i="1" s="1"/>
  <c r="AZ540" i="1"/>
  <c r="AQ540" i="1"/>
  <c r="AZ491" i="1"/>
  <c r="AQ491" i="1"/>
  <c r="AS496" i="1"/>
  <c r="AU496" i="1" s="1"/>
  <c r="BC496" i="1"/>
  <c r="BD496" i="1" s="1"/>
  <c r="BB509" i="1"/>
  <c r="AR509" i="1"/>
  <c r="BB482" i="1"/>
  <c r="AR482" i="1"/>
  <c r="AZ524" i="1"/>
  <c r="BG524" i="1" s="1" a="1"/>
  <c r="BG524" i="1" s="1"/>
  <c r="AQ524" i="1"/>
  <c r="BC473" i="1"/>
  <c r="BD473" i="1" s="1"/>
  <c r="AS473" i="1"/>
  <c r="AU473" i="1" s="1"/>
  <c r="DY473" i="1" s="1"/>
  <c r="AR535" i="1"/>
  <c r="BB535" i="1"/>
  <c r="AR487" i="1"/>
  <c r="AG487" i="1" s="1"/>
  <c r="BB487" i="1"/>
  <c r="AS501" i="1"/>
  <c r="AU501" i="1" s="1"/>
  <c r="DY501" i="1" s="1"/>
  <c r="BC501" i="1"/>
  <c r="BD501" i="1" s="1"/>
  <c r="AZ494" i="1"/>
  <c r="AQ494" i="1"/>
  <c r="BB500" i="1"/>
  <c r="AR500" i="1"/>
  <c r="AQ478" i="1"/>
  <c r="AZ478" i="1"/>
  <c r="AR540" i="1"/>
  <c r="DY540" i="1" s="1"/>
  <c r="BB540" i="1"/>
  <c r="DZ540" i="1" s="1"/>
  <c r="BB491" i="1"/>
  <c r="AR491" i="1"/>
  <c r="AR496" i="1"/>
  <c r="BB496" i="1"/>
  <c r="AZ509" i="1"/>
  <c r="AQ509" i="1"/>
  <c r="AQ523" i="1"/>
  <c r="AZ523" i="1"/>
  <c r="BG523" i="1" s="1" a="1"/>
  <c r="BG523" i="1" s="1"/>
  <c r="AQ477" i="1"/>
  <c r="AZ477" i="1"/>
  <c r="AZ473" i="1"/>
  <c r="AQ473" i="1"/>
  <c r="AZ486" i="1"/>
  <c r="AQ486" i="1"/>
  <c r="BC539" i="1"/>
  <c r="CQ539" i="1" s="1"/>
  <c r="CV539" i="1" s="1"/>
  <c r="AS539" i="1"/>
  <c r="AQ501" i="1"/>
  <c r="AZ501" i="1"/>
  <c r="AR494" i="1"/>
  <c r="DY494" i="1" s="1"/>
  <c r="BB494" i="1"/>
  <c r="AQ520" i="1"/>
  <c r="AZ520" i="1"/>
  <c r="BG520" i="1" s="1" a="1"/>
  <c r="BG520" i="1" s="1"/>
  <c r="BC540" i="1"/>
  <c r="BD540" i="1" s="1"/>
  <c r="AS540" i="1"/>
  <c r="AU540" i="1" s="1"/>
  <c r="AS491" i="1"/>
  <c r="BC491" i="1"/>
  <c r="CQ491" i="1" s="1"/>
  <c r="AQ496" i="1"/>
  <c r="AZ496" i="1"/>
  <c r="BC509" i="1"/>
  <c r="BD509" i="1" s="1"/>
  <c r="AS509" i="1"/>
  <c r="AU509" i="1" s="1"/>
  <c r="BC482" i="1"/>
  <c r="DZ482" i="1" s="1"/>
  <c r="AS482" i="1"/>
  <c r="DY482" i="1" s="1"/>
  <c r="AZ507" i="1"/>
  <c r="AQ507" i="1"/>
  <c r="AS486" i="1"/>
  <c r="AU486" i="1" s="1"/>
  <c r="BC486" i="1"/>
  <c r="BD486" i="1" s="1"/>
  <c r="AQ487" i="1"/>
  <c r="AZ487" i="1"/>
  <c r="AR501" i="1"/>
  <c r="BB501" i="1"/>
  <c r="BB478" i="1"/>
  <c r="AR478" i="1"/>
  <c r="AS488" i="1"/>
  <c r="AU488" i="1" s="1"/>
  <c r="BC488" i="1"/>
  <c r="BD488" i="1" s="1"/>
  <c r="AZ530" i="1"/>
  <c r="AQ530" i="1"/>
  <c r="U510" i="1"/>
  <c r="Z510" i="1"/>
  <c r="BG510" i="1" a="1"/>
  <c r="BG510" i="1" s="1"/>
  <c r="BA510" i="1"/>
  <c r="BF510" i="1" a="1"/>
  <c r="BF510" i="1" s="1"/>
  <c r="BF513" i="1" a="1"/>
  <c r="BF513" i="1" s="1"/>
  <c r="BA513" i="1"/>
  <c r="BG513" i="1" a="1"/>
  <c r="BG513" i="1" s="1"/>
  <c r="Z513" i="1"/>
  <c r="AR244" i="1"/>
  <c r="Z244" i="1" s="1"/>
  <c r="AW513" i="1"/>
  <c r="AW510" i="1"/>
  <c r="AS51" i="1"/>
  <c r="AU51" i="1" s="1"/>
  <c r="EC445" i="1"/>
  <c r="EE445" i="1" s="1"/>
  <c r="EC437" i="1"/>
  <c r="EE437" i="1" s="1"/>
  <c r="EC459" i="1"/>
  <c r="EE459" i="1" s="1"/>
  <c r="EC446" i="1"/>
  <c r="EE446" i="1" s="1"/>
  <c r="BF490" i="1" a="1"/>
  <c r="BF490" i="1" s="1"/>
  <c r="BA490" i="1"/>
  <c r="U480" i="1"/>
  <c r="Z480" i="1"/>
  <c r="BA479" i="1"/>
  <c r="BF479" i="1" a="1"/>
  <c r="BF479" i="1" s="1"/>
  <c r="BA497" i="1"/>
  <c r="BF497" i="1" a="1"/>
  <c r="BF497" i="1" s="1"/>
  <c r="BA480" i="1"/>
  <c r="BF480" i="1" a="1"/>
  <c r="BF480" i="1" s="1"/>
  <c r="BD497" i="1"/>
  <c r="Z490" i="1"/>
  <c r="U490" i="1"/>
  <c r="BF476" i="1" a="1"/>
  <c r="BF476" i="1" s="1"/>
  <c r="BA476" i="1"/>
  <c r="BD476" i="1"/>
  <c r="AU476" i="1"/>
  <c r="AW476" i="1" s="1"/>
  <c r="BA474" i="1"/>
  <c r="BF474" i="1" a="1"/>
  <c r="BF474" i="1" s="1"/>
  <c r="AG497" i="1"/>
  <c r="AW490" i="1"/>
  <c r="AG476" i="1"/>
  <c r="AW480" i="1"/>
  <c r="AW479" i="1"/>
  <c r="AW474" i="1"/>
  <c r="Z476" i="1"/>
  <c r="AR127" i="1"/>
  <c r="Z127" i="1" s="1"/>
  <c r="AR456" i="1"/>
  <c r="BB456" i="1"/>
  <c r="CQ456" i="1" s="1"/>
  <c r="BB472" i="1"/>
  <c r="CQ472" i="1" s="1"/>
  <c r="AR472" i="1"/>
  <c r="AS456" i="1"/>
  <c r="DY456" i="1" s="1"/>
  <c r="BC456" i="1"/>
  <c r="DZ456" i="1" s="1"/>
  <c r="AR471" i="1"/>
  <c r="DY471" i="1" s="1"/>
  <c r="BB471" i="1"/>
  <c r="DZ471" i="1" s="1"/>
  <c r="AZ472" i="1"/>
  <c r="BG472" i="1" s="1" a="1"/>
  <c r="BG472" i="1" s="1"/>
  <c r="AQ472" i="1"/>
  <c r="BC471" i="1"/>
  <c r="BD471" i="1" s="1"/>
  <c r="AS471" i="1"/>
  <c r="AU471" i="1" s="1"/>
  <c r="BC472" i="1"/>
  <c r="BD472" i="1" s="1"/>
  <c r="AS472" i="1"/>
  <c r="AU472" i="1" s="1"/>
  <c r="AQ471" i="1"/>
  <c r="AZ471" i="1"/>
  <c r="BG471" i="1" s="1" a="1"/>
  <c r="BG471" i="1" s="1"/>
  <c r="AS451" i="1"/>
  <c r="AU451" i="1" s="1"/>
  <c r="DY451" i="1" s="1"/>
  <c r="BC451" i="1"/>
  <c r="BD451" i="1" s="1"/>
  <c r="DZ451" i="1" s="1"/>
  <c r="BB443" i="1"/>
  <c r="AR443" i="1"/>
  <c r="AG443" i="1" s="1"/>
  <c r="BB451" i="1"/>
  <c r="AR451" i="1"/>
  <c r="AS457" i="1"/>
  <c r="AU457" i="1" s="1"/>
  <c r="AW457" i="1" s="1"/>
  <c r="BC457" i="1"/>
  <c r="BD457" i="1" s="1"/>
  <c r="AQ469" i="1"/>
  <c r="DY469" i="1" s="1"/>
  <c r="AZ469" i="1"/>
  <c r="BG469" i="1" s="1" a="1"/>
  <c r="BG469" i="1" s="1"/>
  <c r="AR438" i="1"/>
  <c r="BB438" i="1"/>
  <c r="CQ438" i="1" s="1"/>
  <c r="BC469" i="1"/>
  <c r="BD469" i="1" s="1"/>
  <c r="AS469" i="1"/>
  <c r="AU469" i="1" s="1"/>
  <c r="BB470" i="1"/>
  <c r="AR470" i="1"/>
  <c r="AR457" i="1"/>
  <c r="BB457" i="1"/>
  <c r="AR469" i="1"/>
  <c r="BB469" i="1"/>
  <c r="BC438" i="1"/>
  <c r="BD438" i="1" s="1"/>
  <c r="AS438" i="1"/>
  <c r="AU438" i="1" s="1"/>
  <c r="AW438" i="1" s="1"/>
  <c r="AS470" i="1"/>
  <c r="AU470" i="1" s="1"/>
  <c r="BC470" i="1"/>
  <c r="BD470" i="1" s="1"/>
  <c r="AQ468" i="1"/>
  <c r="AZ468" i="1"/>
  <c r="BG468" i="1" s="1" a="1"/>
  <c r="BG468" i="1" s="1"/>
  <c r="AQ470" i="1"/>
  <c r="DY470" i="1" s="1"/>
  <c r="AZ470" i="1"/>
  <c r="BG470" i="1" s="1" a="1"/>
  <c r="BG470" i="1" s="1"/>
  <c r="AR468" i="1"/>
  <c r="DY468" i="1" s="1"/>
  <c r="BB468" i="1"/>
  <c r="DZ468" i="1" s="1"/>
  <c r="AS443" i="1"/>
  <c r="DY443" i="1" s="1"/>
  <c r="BC443" i="1"/>
  <c r="DZ443" i="1" s="1"/>
  <c r="AS468" i="1"/>
  <c r="AU468" i="1" s="1"/>
  <c r="BC468" i="1"/>
  <c r="BD468" i="1" s="1"/>
  <c r="AR66" i="1"/>
  <c r="BW66" i="1" s="1"/>
  <c r="Z66" i="1" s="1"/>
  <c r="AR461" i="1"/>
  <c r="AR254" i="1"/>
  <c r="Z254" i="1" s="1"/>
  <c r="BB460" i="1"/>
  <c r="DZ460" i="1" s="1"/>
  <c r="AR460" i="1"/>
  <c r="DY460" i="1" s="1"/>
  <c r="AR454" i="1"/>
  <c r="BB454" i="1"/>
  <c r="AS445" i="1"/>
  <c r="AU445" i="1" s="1"/>
  <c r="AW445" i="1" s="1"/>
  <c r="BC445" i="1"/>
  <c r="BD445" i="1" s="1"/>
  <c r="BC454" i="1"/>
  <c r="BD454" i="1" s="1"/>
  <c r="AS454" i="1"/>
  <c r="AU454" i="1" s="1"/>
  <c r="AW454" i="1" s="1"/>
  <c r="BB437" i="1"/>
  <c r="AR437" i="1"/>
  <c r="AS450" i="1"/>
  <c r="AU450" i="1" s="1"/>
  <c r="AW450" i="1" s="1"/>
  <c r="BC450" i="1"/>
  <c r="BD450" i="1" s="1"/>
  <c r="BC467" i="1"/>
  <c r="BD467" i="1" s="1"/>
  <c r="AS467" i="1"/>
  <c r="AU467" i="1" s="1"/>
  <c r="AR445" i="1"/>
  <c r="BB445" i="1"/>
  <c r="AS448" i="1"/>
  <c r="AU448" i="1" s="1"/>
  <c r="AW448" i="1" s="1"/>
  <c r="BC448" i="1"/>
  <c r="BD448" i="1" s="1"/>
  <c r="BB450" i="1"/>
  <c r="AR450" i="1"/>
  <c r="AS440" i="1"/>
  <c r="AU440" i="1" s="1"/>
  <c r="AW440" i="1" s="1"/>
  <c r="BC440" i="1"/>
  <c r="BD440" i="1" s="1"/>
  <c r="AZ467" i="1"/>
  <c r="BG467" i="1" s="1" a="1"/>
  <c r="BG467" i="1" s="1"/>
  <c r="AQ467" i="1"/>
  <c r="DY467" i="1" s="1"/>
  <c r="BB453" i="1"/>
  <c r="CQ453" i="1" s="1"/>
  <c r="AR453" i="1"/>
  <c r="BB440" i="1"/>
  <c r="AR440" i="1"/>
  <c r="AR467" i="1"/>
  <c r="BB467" i="1"/>
  <c r="BC459" i="1"/>
  <c r="BD459" i="1" s="1"/>
  <c r="AS459" i="1"/>
  <c r="AU459" i="1" s="1"/>
  <c r="AW459" i="1" s="1"/>
  <c r="AS453" i="1"/>
  <c r="AU453" i="1" s="1"/>
  <c r="AW453" i="1" s="1"/>
  <c r="BC453" i="1"/>
  <c r="BD453" i="1" s="1"/>
  <c r="BC439" i="1"/>
  <c r="BD439" i="1" s="1"/>
  <c r="AS439" i="1"/>
  <c r="AU439" i="1" s="1"/>
  <c r="AW439" i="1" s="1"/>
  <c r="BB455" i="1"/>
  <c r="DZ455" i="1" s="1"/>
  <c r="AR455" i="1"/>
  <c r="DY455" i="1" s="1"/>
  <c r="AR105" i="1"/>
  <c r="Z105" i="1" s="1"/>
  <c r="AS449" i="1"/>
  <c r="AU449" i="1" s="1"/>
  <c r="AW449" i="1" s="1"/>
  <c r="BC449" i="1"/>
  <c r="BD449" i="1" s="1"/>
  <c r="AS455" i="1"/>
  <c r="AU455" i="1" s="1"/>
  <c r="AW455" i="1" s="1"/>
  <c r="BC455" i="1"/>
  <c r="BD455" i="1" s="1"/>
  <c r="AR57" i="1"/>
  <c r="Z57" i="1" s="1"/>
  <c r="BB459" i="1"/>
  <c r="AR459" i="1"/>
  <c r="BC458" i="1"/>
  <c r="BD458" i="1" s="1"/>
  <c r="AS458" i="1"/>
  <c r="AU458" i="1" s="1"/>
  <c r="AW458" i="1" s="1"/>
  <c r="AS442" i="1"/>
  <c r="AU442" i="1" s="1"/>
  <c r="AW442" i="1" s="1"/>
  <c r="BC442" i="1"/>
  <c r="BD442" i="1" s="1"/>
  <c r="BB439" i="1"/>
  <c r="DZ439" i="1" s="1"/>
  <c r="AR439" i="1"/>
  <c r="DY439" i="1" s="1"/>
  <c r="BC441" i="1"/>
  <c r="DZ441" i="1" s="1"/>
  <c r="AS441" i="1"/>
  <c r="DY441" i="1" s="1"/>
  <c r="AR122" i="1"/>
  <c r="Z122" i="1" s="1"/>
  <c r="AR266" i="1"/>
  <c r="Z266" i="1" s="1"/>
  <c r="AR463" i="1"/>
  <c r="BB463" i="1"/>
  <c r="DZ463" i="1" s="1"/>
  <c r="BB449" i="1"/>
  <c r="AR449" i="1"/>
  <c r="Z449" i="1" s="1"/>
  <c r="AR229" i="1"/>
  <c r="BB229" i="1"/>
  <c r="AS446" i="1"/>
  <c r="AU446" i="1" s="1"/>
  <c r="AW446" i="1" s="1"/>
  <c r="BC446" i="1"/>
  <c r="BD446" i="1" s="1"/>
  <c r="AS452" i="1"/>
  <c r="AU452" i="1" s="1"/>
  <c r="AW452" i="1" s="1"/>
  <c r="BC452" i="1"/>
  <c r="BD452" i="1" s="1"/>
  <c r="BC463" i="1"/>
  <c r="BD463" i="1" s="1"/>
  <c r="AS463" i="1"/>
  <c r="AU463" i="1" s="1"/>
  <c r="AQ465" i="1"/>
  <c r="AZ465" i="1"/>
  <c r="BG465" i="1" s="1" a="1"/>
  <c r="BG465" i="1" s="1"/>
  <c r="BB458" i="1"/>
  <c r="AR458" i="1"/>
  <c r="BB442" i="1"/>
  <c r="AR442" i="1"/>
  <c r="AR441" i="1"/>
  <c r="AG441" i="1" s="1"/>
  <c r="BB441" i="1"/>
  <c r="AZ463" i="1"/>
  <c r="BG463" i="1" s="1" a="1"/>
  <c r="BG463" i="1" s="1"/>
  <c r="AQ463" i="1"/>
  <c r="BB465" i="1"/>
  <c r="AR465" i="1"/>
  <c r="BC229" i="1"/>
  <c r="AS229" i="1"/>
  <c r="BB446" i="1"/>
  <c r="AR446" i="1"/>
  <c r="AZ464" i="1"/>
  <c r="BG464" i="1" s="1" a="1"/>
  <c r="BG464" i="1" s="1"/>
  <c r="AQ464" i="1"/>
  <c r="AR452" i="1"/>
  <c r="BB452" i="1"/>
  <c r="BC465" i="1"/>
  <c r="BD465" i="1" s="1"/>
  <c r="CQ465" i="1" s="1"/>
  <c r="AS465" i="1"/>
  <c r="AU465" i="1" s="1"/>
  <c r="CP465" i="1" s="1"/>
  <c r="BB466" i="1"/>
  <c r="AR466" i="1"/>
  <c r="AS464" i="1"/>
  <c r="BC464" i="1"/>
  <c r="AQ466" i="1"/>
  <c r="AZ466" i="1"/>
  <c r="BG466" i="1" s="1" a="1"/>
  <c r="BG466" i="1" s="1"/>
  <c r="AR464" i="1"/>
  <c r="BB464" i="1"/>
  <c r="AR447" i="1"/>
  <c r="DY447" i="1" s="1"/>
  <c r="BB447" i="1"/>
  <c r="DZ447" i="1" s="1"/>
  <c r="BC466" i="1"/>
  <c r="BD466" i="1" s="1"/>
  <c r="AS466" i="1"/>
  <c r="AU466" i="1" s="1"/>
  <c r="AR448" i="1"/>
  <c r="BB448" i="1"/>
  <c r="BC460" i="1"/>
  <c r="BD460" i="1" s="1"/>
  <c r="CQ460" i="1" s="1"/>
  <c r="AS460" i="1"/>
  <c r="AU460" i="1" s="1"/>
  <c r="CP460" i="1" s="1"/>
  <c r="AS437" i="1"/>
  <c r="AU437" i="1" s="1"/>
  <c r="AW437" i="1" s="1"/>
  <c r="BC437" i="1"/>
  <c r="BD437" i="1" s="1"/>
  <c r="BC447" i="1"/>
  <c r="BD447" i="1" s="1"/>
  <c r="AS447" i="1"/>
  <c r="AU447" i="1" s="1"/>
  <c r="AW447" i="1" s="1"/>
  <c r="AR444" i="1"/>
  <c r="Z444" i="1" s="1"/>
  <c r="BC461" i="1"/>
  <c r="BD461" i="1" s="1"/>
  <c r="BC444" i="1"/>
  <c r="BD444" i="1" s="1"/>
  <c r="BC462" i="1"/>
  <c r="BD462" i="1" s="1"/>
  <c r="U462" i="1"/>
  <c r="Z462" i="1"/>
  <c r="AS115" i="1"/>
  <c r="AU115" i="1" s="1"/>
  <c r="AW461" i="1"/>
  <c r="AW462" i="1"/>
  <c r="AR253" i="1"/>
  <c r="AQ112" i="1"/>
  <c r="AQ57" i="1"/>
  <c r="AW444" i="1"/>
  <c r="BB399" i="1"/>
  <c r="AR279" i="1"/>
  <c r="DY279" i="1" s="1"/>
  <c r="AG110" i="1"/>
  <c r="AG144" i="1"/>
  <c r="AG344" i="1"/>
  <c r="AQ182" i="1"/>
  <c r="BB267" i="1"/>
  <c r="AQ164" i="1"/>
  <c r="AR137" i="1"/>
  <c r="Z137" i="1" s="1"/>
  <c r="AS436" i="1"/>
  <c r="AU436" i="1" s="1"/>
  <c r="BC436" i="1"/>
  <c r="BD436" i="1" s="1"/>
  <c r="AQ433" i="1"/>
  <c r="BC433" i="1"/>
  <c r="AS433" i="1"/>
  <c r="AR433" i="1"/>
  <c r="BB433" i="1"/>
  <c r="BB434" i="1"/>
  <c r="DZ434" i="1" s="1"/>
  <c r="AR434" i="1"/>
  <c r="AS434" i="1"/>
  <c r="AU434" i="1" s="1"/>
  <c r="BC434" i="1"/>
  <c r="BD434" i="1" s="1"/>
  <c r="AQ434" i="1"/>
  <c r="AQ435" i="1"/>
  <c r="AR435" i="1"/>
  <c r="BB435" i="1"/>
  <c r="AS435" i="1"/>
  <c r="AU435" i="1" s="1"/>
  <c r="BC435" i="1"/>
  <c r="BD435" i="1" s="1"/>
  <c r="AQ436" i="1"/>
  <c r="AR436" i="1"/>
  <c r="BB436" i="1"/>
  <c r="AQ44" i="1"/>
  <c r="AQ399" i="1"/>
  <c r="AS153" i="1"/>
  <c r="AU153" i="1" s="1"/>
  <c r="AQ28" i="1"/>
  <c r="BD153" i="1"/>
  <c r="AS73" i="1"/>
  <c r="AU73" i="1" s="1"/>
  <c r="BD73" i="1"/>
  <c r="BD160" i="1"/>
  <c r="AQ428" i="1"/>
  <c r="DY428" i="1" s="1"/>
  <c r="BB428" i="1"/>
  <c r="AR428" i="1"/>
  <c r="AQ427" i="1"/>
  <c r="AQ431" i="1"/>
  <c r="AS428" i="1"/>
  <c r="AU428" i="1" s="1"/>
  <c r="BC428" i="1"/>
  <c r="BD428" i="1" s="1"/>
  <c r="AS427" i="1"/>
  <c r="AU427" i="1" s="1"/>
  <c r="BC427" i="1"/>
  <c r="BD427" i="1" s="1"/>
  <c r="BB431" i="1"/>
  <c r="AR431" i="1"/>
  <c r="BB427" i="1"/>
  <c r="AR427" i="1"/>
  <c r="AS431" i="1"/>
  <c r="BC431" i="1"/>
  <c r="U430" i="1"/>
  <c r="Z430" i="1"/>
  <c r="AS432" i="1"/>
  <c r="AU432" i="1" s="1"/>
  <c r="BC432" i="1"/>
  <c r="BD432" i="1" s="1"/>
  <c r="AQ167" i="1"/>
  <c r="AQ432" i="1"/>
  <c r="AQ429" i="1"/>
  <c r="BB167" i="1"/>
  <c r="DZ167" i="1" s="1"/>
  <c r="AR167" i="1"/>
  <c r="DY167" i="1" s="1"/>
  <c r="AR432" i="1"/>
  <c r="DY432" i="1" s="1"/>
  <c r="BB432" i="1"/>
  <c r="DZ432" i="1" s="1"/>
  <c r="AR429" i="1"/>
  <c r="DY429" i="1" s="1"/>
  <c r="BB429" i="1"/>
  <c r="DZ429" i="1" s="1"/>
  <c r="Z182" i="1"/>
  <c r="BC167" i="1"/>
  <c r="BD167" i="1" s="1"/>
  <c r="AS167" i="1"/>
  <c r="AU167" i="1" s="1"/>
  <c r="AS429" i="1"/>
  <c r="AU429" i="1" s="1"/>
  <c r="BC429" i="1"/>
  <c r="BD429" i="1" s="1"/>
  <c r="U420" i="1"/>
  <c r="Z420" i="1"/>
  <c r="Z344" i="1"/>
  <c r="Z144" i="1"/>
  <c r="Z9" i="1"/>
  <c r="U37" i="1"/>
  <c r="U20" i="1"/>
  <c r="U267" i="1"/>
  <c r="U238" i="1"/>
  <c r="U91" i="1"/>
  <c r="AW430" i="1"/>
  <c r="AR221" i="1"/>
  <c r="AW263" i="1"/>
  <c r="AR177" i="1"/>
  <c r="Z177" i="1" s="1"/>
  <c r="EW26" i="1"/>
  <c r="AS264" i="1"/>
  <c r="AU264" i="1" s="1"/>
  <c r="DY264" i="1" s="1"/>
  <c r="AQ49" i="1"/>
  <c r="AS14" i="1"/>
  <c r="AU14" i="1" s="1"/>
  <c r="BD44" i="1"/>
  <c r="BB238" i="1"/>
  <c r="AR249" i="1"/>
  <c r="AS244" i="1"/>
  <c r="AU244" i="1" s="1"/>
  <c r="BD244" i="1"/>
  <c r="BC183" i="1"/>
  <c r="BD183" i="1" s="1"/>
  <c r="AS146" i="1"/>
  <c r="AU146" i="1" s="1"/>
  <c r="AQ127" i="1"/>
  <c r="DY127" i="1" s="1"/>
  <c r="AQ236" i="1"/>
  <c r="AQ289" i="1"/>
  <c r="AQ22" i="1"/>
  <c r="BD253" i="1"/>
  <c r="AS253" i="1"/>
  <c r="AU253" i="1" s="1"/>
  <c r="CP253" i="1" s="1"/>
  <c r="CU253" i="1" s="1"/>
  <c r="BB20" i="1"/>
  <c r="AQ423" i="1"/>
  <c r="AQ397" i="1"/>
  <c r="DY397" i="1" s="1"/>
  <c r="BC423" i="1"/>
  <c r="BD423" i="1" s="1"/>
  <c r="AS423" i="1"/>
  <c r="AU423" i="1" s="1"/>
  <c r="BB426" i="1"/>
  <c r="AR426" i="1"/>
  <c r="Z426" i="1" s="1"/>
  <c r="BB397" i="1"/>
  <c r="AR397" i="1"/>
  <c r="Z397" i="1" s="1"/>
  <c r="AS415" i="1"/>
  <c r="AU415" i="1" s="1"/>
  <c r="BC415" i="1"/>
  <c r="BD415" i="1" s="1"/>
  <c r="AS421" i="1"/>
  <c r="AU421" i="1" s="1"/>
  <c r="BC421" i="1"/>
  <c r="BD421" i="1" s="1"/>
  <c r="AS426" i="1"/>
  <c r="AU426" i="1" s="1"/>
  <c r="BC426" i="1"/>
  <c r="BD426" i="1" s="1"/>
  <c r="AS418" i="1"/>
  <c r="AU418" i="1" s="1"/>
  <c r="BC418" i="1"/>
  <c r="BD418" i="1" s="1"/>
  <c r="AQ421" i="1"/>
  <c r="AQ406" i="1"/>
  <c r="BC397" i="1"/>
  <c r="BD397" i="1" s="1"/>
  <c r="AS397" i="1"/>
  <c r="AU397" i="1" s="1"/>
  <c r="AQ415" i="1"/>
  <c r="DY415" i="1" s="1"/>
  <c r="BB400" i="1"/>
  <c r="AR400" i="1"/>
  <c r="AQ422" i="1"/>
  <c r="BB396" i="1"/>
  <c r="AR396" i="1"/>
  <c r="AG396" i="1" s="1"/>
  <c r="AQ426" i="1"/>
  <c r="DY426" i="1" s="1"/>
  <c r="AR415" i="1"/>
  <c r="Z415" i="1" s="1"/>
  <c r="BB415" i="1"/>
  <c r="AQ400" i="1"/>
  <c r="BC422" i="1"/>
  <c r="BD422" i="1" s="1"/>
  <c r="AS422" i="1"/>
  <c r="AU422" i="1" s="1"/>
  <c r="AQ395" i="1"/>
  <c r="AQ396" i="1"/>
  <c r="BC424" i="1"/>
  <c r="AS424" i="1"/>
  <c r="BC400" i="1"/>
  <c r="BD400" i="1" s="1"/>
  <c r="AS400" i="1"/>
  <c r="AU400" i="1" s="1"/>
  <c r="AR422" i="1"/>
  <c r="BB422" i="1"/>
  <c r="BB395" i="1"/>
  <c r="AR395" i="1"/>
  <c r="AS396" i="1"/>
  <c r="DY396" i="1" s="1"/>
  <c r="BC396" i="1"/>
  <c r="DZ396" i="1" s="1"/>
  <c r="AR408" i="1"/>
  <c r="BB408" i="1"/>
  <c r="BC407" i="1"/>
  <c r="BD407" i="1" s="1"/>
  <c r="AS407" i="1"/>
  <c r="AU407" i="1" s="1"/>
  <c r="AR404" i="1"/>
  <c r="BB404" i="1"/>
  <c r="AQ405" i="1"/>
  <c r="AS395" i="1"/>
  <c r="AU395" i="1" s="1"/>
  <c r="BC395" i="1"/>
  <c r="BD395" i="1" s="1"/>
  <c r="AQ408" i="1"/>
  <c r="AR421" i="1"/>
  <c r="BB421" i="1"/>
  <c r="CQ421" i="1" s="1"/>
  <c r="AR407" i="1"/>
  <c r="BB407" i="1"/>
  <c r="AQ404" i="1"/>
  <c r="AS405" i="1"/>
  <c r="AU405" i="1" s="1"/>
  <c r="BC405" i="1"/>
  <c r="BD405" i="1" s="1"/>
  <c r="AS408" i="1"/>
  <c r="AU408" i="1" s="1"/>
  <c r="BC408" i="1"/>
  <c r="BD408" i="1" s="1"/>
  <c r="AR406" i="1"/>
  <c r="BB406" i="1"/>
  <c r="AQ407" i="1"/>
  <c r="AS404" i="1"/>
  <c r="DY404" i="1" s="1"/>
  <c r="BC404" i="1"/>
  <c r="DZ404" i="1" s="1"/>
  <c r="AR405" i="1"/>
  <c r="BB405" i="1"/>
  <c r="AR398" i="1"/>
  <c r="BB398" i="1"/>
  <c r="BB417" i="1"/>
  <c r="AR417" i="1"/>
  <c r="AR401" i="1"/>
  <c r="BB401" i="1"/>
  <c r="CQ401" i="1" s="1"/>
  <c r="BB419" i="1"/>
  <c r="AR419" i="1"/>
  <c r="AQ417" i="1"/>
  <c r="AR409" i="1"/>
  <c r="DY409" i="1" s="1"/>
  <c r="BB409" i="1"/>
  <c r="DZ409" i="1" s="1"/>
  <c r="AQ412" i="1"/>
  <c r="AQ401" i="1"/>
  <c r="AQ419" i="1"/>
  <c r="BB402" i="1"/>
  <c r="AR402" i="1"/>
  <c r="AS417" i="1"/>
  <c r="AU417" i="1" s="1"/>
  <c r="BC417" i="1"/>
  <c r="BD417" i="1" s="1"/>
  <c r="AS399" i="1"/>
  <c r="BC399" i="1"/>
  <c r="AU398" i="1"/>
  <c r="AW398" i="1" s="1"/>
  <c r="BB418" i="1"/>
  <c r="DZ418" i="1" s="1"/>
  <c r="AR418" i="1"/>
  <c r="DY418" i="1" s="1"/>
  <c r="BC411" i="1"/>
  <c r="BD411" i="1" s="1"/>
  <c r="AS411" i="1"/>
  <c r="AU411" i="1" s="1"/>
  <c r="BC409" i="1"/>
  <c r="BD409" i="1" s="1"/>
  <c r="AS409" i="1"/>
  <c r="AU409" i="1" s="1"/>
  <c r="BB412" i="1"/>
  <c r="AR412" i="1"/>
  <c r="AQ414" i="1"/>
  <c r="DY414" i="1" s="1"/>
  <c r="BC401" i="1"/>
  <c r="BD401" i="1" s="1"/>
  <c r="AS401" i="1"/>
  <c r="AU401" i="1" s="1"/>
  <c r="BC419" i="1"/>
  <c r="BD419" i="1" s="1"/>
  <c r="AS419" i="1"/>
  <c r="AU419" i="1" s="1"/>
  <c r="AQ402" i="1"/>
  <c r="BB403" i="1"/>
  <c r="AR403" i="1"/>
  <c r="BD398" i="1"/>
  <c r="AQ411" i="1"/>
  <c r="AQ409" i="1"/>
  <c r="AS412" i="1"/>
  <c r="BC412" i="1"/>
  <c r="AR414" i="1"/>
  <c r="BB414" i="1"/>
  <c r="BB413" i="1"/>
  <c r="AR413" i="1"/>
  <c r="AS416" i="1"/>
  <c r="AU416" i="1" s="1"/>
  <c r="BC416" i="1"/>
  <c r="BD416" i="1" s="1"/>
  <c r="BC402" i="1"/>
  <c r="BD402" i="1" s="1"/>
  <c r="AS402" i="1"/>
  <c r="AU402" i="1" s="1"/>
  <c r="AQ403" i="1"/>
  <c r="AR410" i="1"/>
  <c r="DY410" i="1" s="1"/>
  <c r="BB410" i="1"/>
  <c r="DZ410" i="1" s="1"/>
  <c r="AR411" i="1"/>
  <c r="BB411" i="1"/>
  <c r="AS425" i="1"/>
  <c r="AU425" i="1" s="1"/>
  <c r="BC425" i="1"/>
  <c r="BD425" i="1" s="1"/>
  <c r="AS414" i="1"/>
  <c r="AU414" i="1" s="1"/>
  <c r="BC414" i="1"/>
  <c r="BD414" i="1" s="1"/>
  <c r="AS413" i="1"/>
  <c r="AU413" i="1" s="1"/>
  <c r="BC413" i="1"/>
  <c r="BD413" i="1" s="1"/>
  <c r="BB416" i="1"/>
  <c r="DZ416" i="1" s="1"/>
  <c r="AR416" i="1"/>
  <c r="DY416" i="1" s="1"/>
  <c r="BC403" i="1"/>
  <c r="BD403" i="1" s="1"/>
  <c r="DZ403" i="1" s="1"/>
  <c r="AS403" i="1"/>
  <c r="AU403" i="1" s="1"/>
  <c r="DY403" i="1" s="1"/>
  <c r="BC410" i="1"/>
  <c r="BD410" i="1" s="1"/>
  <c r="AS410" i="1"/>
  <c r="AU410" i="1" s="1"/>
  <c r="BC420" i="1"/>
  <c r="BD420" i="1" s="1"/>
  <c r="AS420" i="1"/>
  <c r="AU420" i="1" s="1"/>
  <c r="AW420" i="1" s="1"/>
  <c r="AR425" i="1"/>
  <c r="BB425" i="1"/>
  <c r="BB424" i="1"/>
  <c r="AR424" i="1"/>
  <c r="AQ413" i="1"/>
  <c r="AQ416" i="1"/>
  <c r="AQ410" i="1"/>
  <c r="AQ425" i="1"/>
  <c r="AQ424" i="1"/>
  <c r="AQ418" i="1"/>
  <c r="AR423" i="1"/>
  <c r="DY423" i="1" s="1"/>
  <c r="BB423" i="1"/>
  <c r="DZ423" i="1" s="1"/>
  <c r="BC406" i="1"/>
  <c r="BD406" i="1" s="1"/>
  <c r="DZ406" i="1" s="1"/>
  <c r="AS406" i="1"/>
  <c r="AU406" i="1" s="1"/>
  <c r="DY406" i="1" s="1"/>
  <c r="AR129" i="1"/>
  <c r="Z129" i="1" s="1"/>
  <c r="AR58" i="1"/>
  <c r="Z58" i="1" s="1"/>
  <c r="AR62" i="1"/>
  <c r="Z62" i="1" s="1"/>
  <c r="AR317" i="1"/>
  <c r="AQ277" i="1"/>
  <c r="DY277" i="1" s="1"/>
  <c r="AS11" i="1"/>
  <c r="AU11" i="1" s="1"/>
  <c r="AQ292" i="1"/>
  <c r="AR130" i="1"/>
  <c r="AS74" i="1"/>
  <c r="AU74" i="1" s="1"/>
  <c r="AQ221" i="1"/>
  <c r="AS193" i="1"/>
  <c r="AU193" i="1" s="1"/>
  <c r="BC290" i="1"/>
  <c r="BD290" i="1" s="1"/>
  <c r="CQ290" i="1" s="1"/>
  <c r="AS61" i="1"/>
  <c r="AU61" i="1" s="1"/>
  <c r="AR261" i="1"/>
  <c r="AQ61" i="1"/>
  <c r="AQ193" i="1"/>
  <c r="AQ107" i="1"/>
  <c r="AQ189" i="1"/>
  <c r="AS272" i="1"/>
  <c r="AU272" i="1" s="1"/>
  <c r="CP272" i="1" s="1"/>
  <c r="AS40" i="1"/>
  <c r="AU40" i="1" s="1"/>
  <c r="BD287" i="1"/>
  <c r="AS76" i="1"/>
  <c r="AU76" i="1" s="1"/>
  <c r="AQ206" i="1"/>
  <c r="AS67" i="1"/>
  <c r="AU67" i="1" s="1"/>
  <c r="AR312" i="1"/>
  <c r="AR25" i="1"/>
  <c r="AF25" i="1" s="1"/>
  <c r="AR189" i="1"/>
  <c r="Z189" i="1" s="1"/>
  <c r="AS319" i="1"/>
  <c r="AU319" i="1" s="1"/>
  <c r="AS206" i="1"/>
  <c r="AU206" i="1" s="1"/>
  <c r="AS112" i="1"/>
  <c r="AU112" i="1" s="1"/>
  <c r="BC393" i="1"/>
  <c r="BD393" i="1" s="1"/>
  <c r="AR156" i="1"/>
  <c r="DY156" i="1" s="1"/>
  <c r="AR18" i="1"/>
  <c r="DY18" i="1" s="1"/>
  <c r="AR305" i="1"/>
  <c r="DY305" i="1" s="1"/>
  <c r="AR63" i="1"/>
  <c r="Z63" i="1" s="1"/>
  <c r="AS125" i="1"/>
  <c r="AU125" i="1" s="1"/>
  <c r="AQ60" i="1"/>
  <c r="AR185" i="1"/>
  <c r="AR55" i="1"/>
  <c r="Z55" i="1" s="1"/>
  <c r="AR94" i="1"/>
  <c r="Z94" i="1" s="1"/>
  <c r="BD296" i="1"/>
  <c r="AR135" i="1"/>
  <c r="AR198" i="1"/>
  <c r="AQ393" i="1"/>
  <c r="AW393" i="1" s="1"/>
  <c r="AR43" i="1"/>
  <c r="BD221" i="1"/>
  <c r="AR131" i="1"/>
  <c r="AR233" i="1"/>
  <c r="Z233" i="1" s="1"/>
  <c r="AS221" i="1"/>
  <c r="AR31" i="1"/>
  <c r="Z31" i="1" s="1"/>
  <c r="AS84" i="1"/>
  <c r="AU84" i="1" s="1"/>
  <c r="AS43" i="1"/>
  <c r="AU43" i="1" s="1"/>
  <c r="AR53" i="1"/>
  <c r="Z53" i="1" s="1"/>
  <c r="AQ276" i="1"/>
  <c r="AR190" i="1"/>
  <c r="AS296" i="1"/>
  <c r="AU296" i="1" s="1"/>
  <c r="BD43" i="1"/>
  <c r="BD193" i="1"/>
  <c r="AQ87" i="1"/>
  <c r="BD170" i="1"/>
  <c r="AS93" i="1"/>
  <c r="AU93" i="1" s="1"/>
  <c r="AQ306" i="1"/>
  <c r="AR319" i="1"/>
  <c r="Z319" i="1" s="1"/>
  <c r="BD206" i="1"/>
  <c r="AR257" i="1"/>
  <c r="DY257" i="1" s="1"/>
  <c r="AR284" i="1"/>
  <c r="Z284" i="1" s="1"/>
  <c r="AS320" i="1"/>
  <c r="AS208" i="1"/>
  <c r="AU208" i="1" s="1"/>
  <c r="AR26" i="1"/>
  <c r="Z26" i="1" s="1"/>
  <c r="BD201" i="1"/>
  <c r="AQ176" i="1"/>
  <c r="AS201" i="1"/>
  <c r="AU201" i="1" s="1"/>
  <c r="AQ137" i="1"/>
  <c r="AR15" i="1"/>
  <c r="Z15" i="1" s="1"/>
  <c r="AR252" i="1"/>
  <c r="Z252" i="1" s="1"/>
  <c r="BD107" i="1"/>
  <c r="BD72" i="1"/>
  <c r="AR212" i="1"/>
  <c r="AF212" i="1" s="1"/>
  <c r="BD40" i="1"/>
  <c r="BD67" i="1"/>
  <c r="AQ53" i="1"/>
  <c r="AQ329" i="1"/>
  <c r="AQ95" i="1"/>
  <c r="AS292" i="1"/>
  <c r="AU292" i="1" s="1"/>
  <c r="AR27" i="1"/>
  <c r="Z27" i="1" s="1"/>
  <c r="BD311" i="1"/>
  <c r="AR256" i="1"/>
  <c r="Z256" i="1" s="1"/>
  <c r="AR241" i="1"/>
  <c r="Z241" i="1" s="1"/>
  <c r="AR11" i="1"/>
  <c r="DY11" i="1" s="1"/>
  <c r="AR162" i="1"/>
  <c r="AR183" i="1"/>
  <c r="AS323" i="1"/>
  <c r="AU323" i="1" s="1"/>
  <c r="AR310" i="1"/>
  <c r="DY310" i="1" s="1"/>
  <c r="BD320" i="1"/>
  <c r="DZ320" i="1" s="1"/>
  <c r="BD315" i="1"/>
  <c r="AR180" i="1"/>
  <c r="DY180" i="1" s="1"/>
  <c r="AQ308" i="1"/>
  <c r="AQ125" i="1"/>
  <c r="AQ162" i="1"/>
  <c r="AR48" i="1"/>
  <c r="AS309" i="1"/>
  <c r="AU309" i="1" s="1"/>
  <c r="DY309" i="1" s="1"/>
  <c r="AR184" i="1"/>
  <c r="AQ52" i="1"/>
  <c r="AQ265" i="1"/>
  <c r="AR202" i="1"/>
  <c r="AR308" i="1"/>
  <c r="AR321" i="1"/>
  <c r="AQ234" i="1"/>
  <c r="AR128" i="1"/>
  <c r="AR255" i="1"/>
  <c r="DY255" i="1" s="1"/>
  <c r="AS185" i="1"/>
  <c r="AU185" i="1" s="1"/>
  <c r="AS327" i="1"/>
  <c r="AU327" i="1" s="1"/>
  <c r="BD185" i="1"/>
  <c r="BD148" i="1"/>
  <c r="AR23" i="1"/>
  <c r="Z23" i="1" s="1"/>
  <c r="AQ196" i="1"/>
  <c r="AR96" i="1"/>
  <c r="Z96" i="1" s="1"/>
  <c r="AS92" i="1"/>
  <c r="AU92" i="1" s="1"/>
  <c r="AS72" i="1"/>
  <c r="AU72" i="1" s="1"/>
  <c r="AS148" i="1"/>
  <c r="AU148" i="1" s="1"/>
  <c r="FM27" i="1"/>
  <c r="EB151" i="1" s="1"/>
  <c r="AS235" i="1"/>
  <c r="AU235" i="1" s="1"/>
  <c r="AU224" i="1"/>
  <c r="BD224" i="1"/>
  <c r="AU183" i="1"/>
  <c r="AR287" i="1"/>
  <c r="Z287" i="1" s="1"/>
  <c r="AR290" i="1"/>
  <c r="AQ327" i="1"/>
  <c r="AS311" i="1"/>
  <c r="AR300" i="1"/>
  <c r="AR154" i="1"/>
  <c r="DY154" i="1" s="1"/>
  <c r="AQ305" i="1"/>
  <c r="AR188" i="1"/>
  <c r="DY188" i="1" s="1"/>
  <c r="AS107" i="1"/>
  <c r="AU107" i="1" s="1"/>
  <c r="AQ165" i="1"/>
  <c r="AS170" i="1"/>
  <c r="AU170" i="1" s="1"/>
  <c r="AR155" i="1"/>
  <c r="Z155" i="1" s="1"/>
  <c r="AS192" i="1"/>
  <c r="AU192" i="1" s="1"/>
  <c r="AS315" i="1"/>
  <c r="AQ29" i="1"/>
  <c r="AR54" i="1"/>
  <c r="DY54" i="1" s="1"/>
  <c r="BB54" i="1"/>
  <c r="DZ54" i="1" s="1"/>
  <c r="AR264" i="1"/>
  <c r="Z264" i="1" s="1"/>
  <c r="BB264" i="1"/>
  <c r="AR60" i="1"/>
  <c r="Z60" i="1" s="1"/>
  <c r="BB60" i="1"/>
  <c r="AR288" i="1"/>
  <c r="Z288" i="1" s="1"/>
  <c r="BB288" i="1"/>
  <c r="AS219" i="1"/>
  <c r="BC219" i="1"/>
  <c r="AR88" i="1"/>
  <c r="Z88" i="1" s="1"/>
  <c r="BB88" i="1"/>
  <c r="AS165" i="1"/>
  <c r="AU165" i="1" s="1"/>
  <c r="BC165" i="1"/>
  <c r="BD165" i="1" s="1"/>
  <c r="AS5" i="1"/>
  <c r="AU5" i="1" s="1"/>
  <c r="BC5" i="1"/>
  <c r="BD5" i="1" s="1"/>
  <c r="AS182" i="1"/>
  <c r="AU182" i="1" s="1"/>
  <c r="BC182" i="1"/>
  <c r="BD182" i="1" s="1"/>
  <c r="AR306" i="1"/>
  <c r="BB306" i="1"/>
  <c r="AR104" i="1"/>
  <c r="Z104" i="1" s="1"/>
  <c r="BB104" i="1"/>
  <c r="AS225" i="1"/>
  <c r="AU225" i="1" s="1"/>
  <c r="AW225" i="1" s="1"/>
  <c r="BC225" i="1"/>
  <c r="BD225" i="1" s="1"/>
  <c r="AR116" i="1"/>
  <c r="BB116" i="1"/>
  <c r="AR359" i="1"/>
  <c r="BB359" i="1"/>
  <c r="AS288" i="1"/>
  <c r="AU288" i="1" s="1"/>
  <c r="DY288" i="1" s="1"/>
  <c r="BC288" i="1"/>
  <c r="BD288" i="1" s="1"/>
  <c r="DZ288" i="1" s="1"/>
  <c r="AR324" i="1"/>
  <c r="DY324" i="1" s="1"/>
  <c r="BB324" i="1"/>
  <c r="DZ324" i="1" s="1"/>
  <c r="AS360" i="1"/>
  <c r="AU360" i="1" s="1"/>
  <c r="BC360" i="1"/>
  <c r="BD360" i="1" s="1"/>
  <c r="AS293" i="1"/>
  <c r="AU293" i="1" s="1"/>
  <c r="BC293" i="1"/>
  <c r="BD293" i="1" s="1"/>
  <c r="AR250" i="1"/>
  <c r="DY250" i="1" s="1"/>
  <c r="BB250" i="1"/>
  <c r="DZ250" i="1" s="1"/>
  <c r="AS39" i="1"/>
  <c r="AU39" i="1" s="1"/>
  <c r="BC39" i="1"/>
  <c r="BD39" i="1" s="1"/>
  <c r="AS236" i="1"/>
  <c r="BC236" i="1"/>
  <c r="AR22" i="1"/>
  <c r="Z22" i="1" s="1"/>
  <c r="BB22" i="1"/>
  <c r="AS58" i="1"/>
  <c r="AU58" i="1" s="1"/>
  <c r="BC58" i="1"/>
  <c r="BD58" i="1" s="1"/>
  <c r="AR194" i="1"/>
  <c r="BB194" i="1"/>
  <c r="AS250" i="1"/>
  <c r="AU250" i="1" s="1"/>
  <c r="AW250" i="1" s="1"/>
  <c r="BC250" i="1"/>
  <c r="BD250" i="1" s="1"/>
  <c r="AS313" i="1"/>
  <c r="BC313" i="1"/>
  <c r="CQ313" i="1" s="1"/>
  <c r="AR109" i="1"/>
  <c r="Z109" i="1" s="1"/>
  <c r="BB109" i="1"/>
  <c r="AS389" i="1"/>
  <c r="AU389" i="1" s="1"/>
  <c r="BC389" i="1"/>
  <c r="BD389" i="1" s="1"/>
  <c r="AS233" i="1"/>
  <c r="AU233" i="1" s="1"/>
  <c r="BC233" i="1"/>
  <c r="BD233" i="1" s="1"/>
  <c r="AR203" i="1"/>
  <c r="DY203" i="1" s="1"/>
  <c r="BB203" i="1"/>
  <c r="DZ203" i="1" s="1"/>
  <c r="AR373" i="1"/>
  <c r="BB373" i="1"/>
  <c r="AR384" i="1"/>
  <c r="DY384" i="1" s="1"/>
  <c r="BB384" i="1"/>
  <c r="DZ384" i="1" s="1"/>
  <c r="AS384" i="1"/>
  <c r="AU384" i="1" s="1"/>
  <c r="BC384" i="1"/>
  <c r="BD384" i="1" s="1"/>
  <c r="AS101" i="1"/>
  <c r="AU101" i="1" s="1"/>
  <c r="BC101" i="1"/>
  <c r="BD101" i="1" s="1"/>
  <c r="AR40" i="1"/>
  <c r="Z40" i="1" s="1"/>
  <c r="BB40" i="1"/>
  <c r="AR243" i="1"/>
  <c r="DY243" i="1" s="1"/>
  <c r="BB243" i="1"/>
  <c r="DZ243" i="1" s="1"/>
  <c r="AS149" i="1"/>
  <c r="AU149" i="1" s="1"/>
  <c r="BC149" i="1"/>
  <c r="BD149" i="1" s="1"/>
  <c r="AS386" i="1"/>
  <c r="AU386" i="1" s="1"/>
  <c r="BC386" i="1"/>
  <c r="BD386" i="1" s="1"/>
  <c r="AR90" i="1"/>
  <c r="Z90" i="1" s="1"/>
  <c r="BB90" i="1"/>
  <c r="AR345" i="1"/>
  <c r="BB345" i="1"/>
  <c r="AR29" i="1"/>
  <c r="Z29" i="1" s="1"/>
  <c r="BB29" i="1"/>
  <c r="AS361" i="1"/>
  <c r="AU361" i="1" s="1"/>
  <c r="BC361" i="1"/>
  <c r="BD361" i="1" s="1"/>
  <c r="AR349" i="1"/>
  <c r="DY349" i="1" s="1"/>
  <c r="BB349" i="1"/>
  <c r="DZ349" i="1" s="1"/>
  <c r="AR36" i="1"/>
  <c r="Z36" i="1" s="1"/>
  <c r="BB36" i="1"/>
  <c r="AR160" i="1"/>
  <c r="Z160" i="1" s="1"/>
  <c r="BB160" i="1"/>
  <c r="AR280" i="1"/>
  <c r="BB280" i="1"/>
  <c r="AS155" i="1"/>
  <c r="AU155" i="1" s="1"/>
  <c r="DY155" i="1" s="1"/>
  <c r="BC155" i="1"/>
  <c r="BD155" i="1" s="1"/>
  <c r="DZ155" i="1" s="1"/>
  <c r="AS326" i="1"/>
  <c r="AU326" i="1" s="1"/>
  <c r="BC326" i="1"/>
  <c r="BD326" i="1" s="1"/>
  <c r="AS231" i="1"/>
  <c r="BC231" i="1"/>
  <c r="AR107" i="1"/>
  <c r="DY107" i="1" s="1"/>
  <c r="BB107" i="1"/>
  <c r="DZ107" i="1" s="1"/>
  <c r="AR327" i="1"/>
  <c r="DY327" i="1" s="1"/>
  <c r="BB327" i="1"/>
  <c r="DZ327" i="1" s="1"/>
  <c r="AS21" i="1"/>
  <c r="AU21" i="1" s="1"/>
  <c r="BC21" i="1"/>
  <c r="BD21" i="1" s="1"/>
  <c r="AS81" i="1"/>
  <c r="AU81" i="1" s="1"/>
  <c r="BC81" i="1"/>
  <c r="BD81" i="1" s="1"/>
  <c r="AR228" i="1"/>
  <c r="Z228" i="1" s="1"/>
  <c r="BB228" i="1"/>
  <c r="AS184" i="1"/>
  <c r="BC184" i="1"/>
  <c r="DZ184" i="1" s="1"/>
  <c r="AR71" i="1"/>
  <c r="Z71" i="1" s="1"/>
  <c r="BB71" i="1"/>
  <c r="AR174" i="1"/>
  <c r="Z174" i="1" s="1"/>
  <c r="BB174" i="1"/>
  <c r="AS22" i="1"/>
  <c r="AU22" i="1" s="1"/>
  <c r="BC22" i="1"/>
  <c r="BD22" i="1" s="1"/>
  <c r="AS194" i="1"/>
  <c r="AU194" i="1" s="1"/>
  <c r="BC194" i="1"/>
  <c r="BD194" i="1" s="1"/>
  <c r="AS367" i="1"/>
  <c r="AU367" i="1" s="1"/>
  <c r="DY367" i="1" s="1"/>
  <c r="BC367" i="1"/>
  <c r="BD367" i="1" s="1"/>
  <c r="DZ367" i="1" s="1"/>
  <c r="AS59" i="1"/>
  <c r="AU59" i="1" s="1"/>
  <c r="BC59" i="1"/>
  <c r="BD59" i="1" s="1"/>
  <c r="AS298" i="1"/>
  <c r="AU298" i="1" s="1"/>
  <c r="BC298" i="1"/>
  <c r="BD298" i="1" s="1"/>
  <c r="AS138" i="1"/>
  <c r="AU138" i="1" s="1"/>
  <c r="BC138" i="1"/>
  <c r="BD138" i="1" s="1"/>
  <c r="AS380" i="1"/>
  <c r="BC380" i="1"/>
  <c r="DZ380" i="1" s="1"/>
  <c r="AS377" i="1"/>
  <c r="AU377" i="1" s="1"/>
  <c r="BC377" i="1"/>
  <c r="BD377" i="1" s="1"/>
  <c r="AS334" i="1"/>
  <c r="AU334" i="1" s="1"/>
  <c r="BC334" i="1"/>
  <c r="BD334" i="1" s="1"/>
  <c r="AR239" i="1"/>
  <c r="BB239" i="1"/>
  <c r="AR364" i="1"/>
  <c r="BB364" i="1"/>
  <c r="AR79" i="1"/>
  <c r="Z79" i="1" s="1"/>
  <c r="BB79" i="1"/>
  <c r="AR175" i="1"/>
  <c r="BB175" i="1"/>
  <c r="AS15" i="1"/>
  <c r="AU15" i="1" s="1"/>
  <c r="BC15" i="1"/>
  <c r="BD15" i="1" s="1"/>
  <c r="AS308" i="1"/>
  <c r="AU308" i="1" s="1"/>
  <c r="CP308" i="1" s="1"/>
  <c r="BC308" i="1"/>
  <c r="BD308" i="1" s="1"/>
  <c r="CQ308" i="1" s="1"/>
  <c r="AS368" i="1"/>
  <c r="BC368" i="1"/>
  <c r="CQ368" i="1" s="1"/>
  <c r="AS141" i="1"/>
  <c r="BC141" i="1"/>
  <c r="DZ141" i="1" s="1"/>
  <c r="AS164" i="1"/>
  <c r="AU164" i="1" s="1"/>
  <c r="DY164" i="1" s="1"/>
  <c r="BC164" i="1"/>
  <c r="BD164" i="1" s="1"/>
  <c r="DZ164" i="1" s="1"/>
  <c r="AR331" i="1"/>
  <c r="BB331" i="1"/>
  <c r="AS348" i="1"/>
  <c r="AU348" i="1" s="1"/>
  <c r="BC348" i="1"/>
  <c r="BD348" i="1" s="1"/>
  <c r="AS391" i="1"/>
  <c r="AU391" i="1" s="1"/>
  <c r="CP391" i="1" s="1"/>
  <c r="BC391" i="1"/>
  <c r="BD391" i="1" s="1"/>
  <c r="CQ391" i="1" s="1"/>
  <c r="AS55" i="1"/>
  <c r="AU55" i="1" s="1"/>
  <c r="BC55" i="1"/>
  <c r="BD55" i="1" s="1"/>
  <c r="AS302" i="1"/>
  <c r="AU302" i="1" s="1"/>
  <c r="BC302" i="1"/>
  <c r="BD302" i="1" s="1"/>
  <c r="AS86" i="1"/>
  <c r="AU86" i="1" s="1"/>
  <c r="BC86" i="1"/>
  <c r="BD86" i="1" s="1"/>
  <c r="AS10" i="1"/>
  <c r="AU10" i="1" s="1"/>
  <c r="BC10" i="1"/>
  <c r="BD10" i="1" s="1"/>
  <c r="AS207" i="1"/>
  <c r="AU207" i="1" s="1"/>
  <c r="BC207" i="1"/>
  <c r="BD207" i="1" s="1"/>
  <c r="AR67" i="1"/>
  <c r="BB67" i="1"/>
  <c r="AR112" i="1"/>
  <c r="BB112" i="1"/>
  <c r="AS166" i="1"/>
  <c r="AU166" i="1" s="1"/>
  <c r="BC166" i="1"/>
  <c r="BD166" i="1" s="1"/>
  <c r="AS387" i="1"/>
  <c r="AU387" i="1" s="1"/>
  <c r="BC387" i="1"/>
  <c r="BD387" i="1" s="1"/>
  <c r="AR192" i="1"/>
  <c r="DY192" i="1" s="1"/>
  <c r="BB192" i="1"/>
  <c r="DZ192" i="1" s="1"/>
  <c r="AR363" i="1"/>
  <c r="Z363" i="1" s="1"/>
  <c r="BB363" i="1"/>
  <c r="AR303" i="1"/>
  <c r="DY303" i="1" s="1"/>
  <c r="BB303" i="1"/>
  <c r="DZ303" i="1" s="1"/>
  <c r="AS366" i="1"/>
  <c r="AU366" i="1" s="1"/>
  <c r="BC366" i="1"/>
  <c r="BD366" i="1" s="1"/>
  <c r="AS350" i="1"/>
  <c r="BC350" i="1"/>
  <c r="AS211" i="1"/>
  <c r="AU211" i="1" s="1"/>
  <c r="BC211" i="1"/>
  <c r="BD211" i="1" s="1"/>
  <c r="AR387" i="1"/>
  <c r="BB387" i="1"/>
  <c r="AS175" i="1"/>
  <c r="AU175" i="1" s="1"/>
  <c r="BC175" i="1"/>
  <c r="BD175" i="1" s="1"/>
  <c r="AR394" i="1"/>
  <c r="Z394" i="1" s="1"/>
  <c r="BB394" i="1"/>
  <c r="AS341" i="1"/>
  <c r="AU341" i="1" s="1"/>
  <c r="BC341" i="1"/>
  <c r="BD341" i="1" s="1"/>
  <c r="AR258" i="1"/>
  <c r="AG258" i="1" s="1"/>
  <c r="BB258" i="1"/>
  <c r="AR106" i="1"/>
  <c r="DY106" i="1" s="1"/>
  <c r="BB106" i="1"/>
  <c r="DZ106" i="1" s="1"/>
  <c r="AS16" i="1"/>
  <c r="AU16" i="1" s="1"/>
  <c r="BC16" i="1"/>
  <c r="BD16" i="1" s="1"/>
  <c r="AR294" i="1"/>
  <c r="BB294" i="1"/>
  <c r="AR119" i="1"/>
  <c r="Z119" i="1" s="1"/>
  <c r="BB119" i="1"/>
  <c r="AR97" i="1"/>
  <c r="AF97" i="1" s="1"/>
  <c r="BB97" i="1"/>
  <c r="AS63" i="1"/>
  <c r="AU63" i="1" s="1"/>
  <c r="AW63" i="1" s="1"/>
  <c r="BC63" i="1"/>
  <c r="BD63" i="1" s="1"/>
  <c r="AS108" i="1"/>
  <c r="AU108" i="1" s="1"/>
  <c r="BC108" i="1"/>
  <c r="BD108" i="1" s="1"/>
  <c r="AR354" i="1"/>
  <c r="BB354" i="1"/>
  <c r="AS259" i="1"/>
  <c r="AU259" i="1" s="1"/>
  <c r="BC259" i="1"/>
  <c r="BD259" i="1" s="1"/>
  <c r="AS137" i="1"/>
  <c r="AU137" i="1" s="1"/>
  <c r="BC137" i="1"/>
  <c r="BD137" i="1" s="1"/>
  <c r="AS340" i="1"/>
  <c r="AU340" i="1" s="1"/>
  <c r="BC340" i="1"/>
  <c r="BD340" i="1" s="1"/>
  <c r="AS276" i="1"/>
  <c r="AU276" i="1" s="1"/>
  <c r="DY276" i="1" s="1"/>
  <c r="BC276" i="1"/>
  <c r="BD276" i="1" s="1"/>
  <c r="DZ276" i="1" s="1"/>
  <c r="AS27" i="1"/>
  <c r="AU27" i="1" s="1"/>
  <c r="BC27" i="1"/>
  <c r="BD27" i="1" s="1"/>
  <c r="AR355" i="1"/>
  <c r="BB355" i="1"/>
  <c r="AS32" i="1"/>
  <c r="AU32" i="1" s="1"/>
  <c r="BC32" i="1"/>
  <c r="BD32" i="1" s="1"/>
  <c r="AR376" i="1"/>
  <c r="BB376" i="1"/>
  <c r="AS172" i="1"/>
  <c r="AU172" i="1" s="1"/>
  <c r="BC172" i="1"/>
  <c r="BD172" i="1" s="1"/>
  <c r="AS383" i="1"/>
  <c r="AU383" i="1" s="1"/>
  <c r="BC383" i="1"/>
  <c r="BD383" i="1" s="1"/>
  <c r="AS180" i="1"/>
  <c r="AU180" i="1" s="1"/>
  <c r="BC180" i="1"/>
  <c r="BD180" i="1" s="1"/>
  <c r="AS301" i="1"/>
  <c r="AU301" i="1" s="1"/>
  <c r="BC301" i="1"/>
  <c r="BD301" i="1" s="1"/>
  <c r="AR351" i="1"/>
  <c r="BB351" i="1"/>
  <c r="AS111" i="1"/>
  <c r="AU111" i="1" s="1"/>
  <c r="BC111" i="1"/>
  <c r="BD111" i="1" s="1"/>
  <c r="AS312" i="1"/>
  <c r="AU312" i="1" s="1"/>
  <c r="BC312" i="1"/>
  <c r="BD312" i="1" s="1"/>
  <c r="AS351" i="1"/>
  <c r="AU351" i="1" s="1"/>
  <c r="BC351" i="1"/>
  <c r="BD351" i="1" s="1"/>
  <c r="AS106" i="1"/>
  <c r="AU106" i="1" s="1"/>
  <c r="BC106" i="1"/>
  <c r="BD106" i="1" s="1"/>
  <c r="AS338" i="1"/>
  <c r="AU338" i="1" s="1"/>
  <c r="BC338" i="1"/>
  <c r="BD338" i="1" s="1"/>
  <c r="AS195" i="1"/>
  <c r="AU195" i="1" s="1"/>
  <c r="BC195" i="1"/>
  <c r="BD195" i="1" s="1"/>
  <c r="AS228" i="1"/>
  <c r="AU228" i="1" s="1"/>
  <c r="BC228" i="1"/>
  <c r="BD228" i="1" s="1"/>
  <c r="AS121" i="1"/>
  <c r="AU121" i="1" s="1"/>
  <c r="BC121" i="1"/>
  <c r="BD121" i="1" s="1"/>
  <c r="AS8" i="1"/>
  <c r="AU8" i="1" s="1"/>
  <c r="BC8" i="1"/>
  <c r="BD8" i="1" s="1"/>
  <c r="AS82" i="1"/>
  <c r="AU82" i="1" s="1"/>
  <c r="BC82" i="1"/>
  <c r="BD82" i="1" s="1"/>
  <c r="AR170" i="1"/>
  <c r="Z170" i="1" s="1"/>
  <c r="BB170" i="1"/>
  <c r="AS257" i="1"/>
  <c r="AU257" i="1" s="1"/>
  <c r="BC257" i="1"/>
  <c r="BD257" i="1" s="1"/>
  <c r="AS23" i="1"/>
  <c r="AU23" i="1" s="1"/>
  <c r="BC23" i="1"/>
  <c r="BD23" i="1" s="1"/>
  <c r="AS202" i="1"/>
  <c r="AU202" i="1" s="1"/>
  <c r="CP202" i="1" s="1"/>
  <c r="CU202" i="1" s="1"/>
  <c r="BC202" i="1"/>
  <c r="BD202" i="1" s="1"/>
  <c r="CQ202" i="1" s="1"/>
  <c r="AS128" i="1"/>
  <c r="AU128" i="1" s="1"/>
  <c r="BC128" i="1"/>
  <c r="BD128" i="1" s="1"/>
  <c r="AS317" i="1"/>
  <c r="AU317" i="1" s="1"/>
  <c r="BC317" i="1"/>
  <c r="BD317" i="1" s="1"/>
  <c r="AR69" i="1"/>
  <c r="AF69" i="1" s="1"/>
  <c r="BB69" i="1"/>
  <c r="AR377" i="1"/>
  <c r="DY377" i="1" s="1"/>
  <c r="BB377" i="1"/>
  <c r="DZ377" i="1" s="1"/>
  <c r="AS216" i="1"/>
  <c r="AU216" i="1" s="1"/>
  <c r="BC216" i="1"/>
  <c r="BD216" i="1" s="1"/>
  <c r="AS139" i="1"/>
  <c r="AU139" i="1" s="1"/>
  <c r="BC139" i="1"/>
  <c r="BD139" i="1" s="1"/>
  <c r="AR186" i="1"/>
  <c r="Z186" i="1" s="1"/>
  <c r="BB186" i="1"/>
  <c r="AS330" i="1"/>
  <c r="AU330" i="1" s="1"/>
  <c r="BC330" i="1"/>
  <c r="BD330" i="1" s="1"/>
  <c r="AR388" i="1"/>
  <c r="Z388" i="1" s="1"/>
  <c r="BB388" i="1"/>
  <c r="AR77" i="1"/>
  <c r="Z77" i="1" s="1"/>
  <c r="BB77" i="1"/>
  <c r="AR124" i="1"/>
  <c r="Z124" i="1" s="1"/>
  <c r="BB124" i="1"/>
  <c r="AR348" i="1"/>
  <c r="BB348" i="1"/>
  <c r="AR356" i="1"/>
  <c r="BB356" i="1"/>
  <c r="AR236" i="1"/>
  <c r="BB236" i="1"/>
  <c r="AS90" i="1"/>
  <c r="AU90" i="1" s="1"/>
  <c r="AW90" i="1" s="1"/>
  <c r="BC90" i="1"/>
  <c r="BD90" i="1" s="1"/>
  <c r="AR78" i="1"/>
  <c r="DY78" i="1" s="1"/>
  <c r="BB78" i="1"/>
  <c r="DZ78" i="1" s="1"/>
  <c r="AS176" i="1"/>
  <c r="BC176" i="1"/>
  <c r="DZ176" i="1" s="1"/>
  <c r="AR85" i="1"/>
  <c r="BB85" i="1"/>
  <c r="AR47" i="1"/>
  <c r="BB47" i="1"/>
  <c r="AS120" i="1"/>
  <c r="AU120" i="1" s="1"/>
  <c r="BC120" i="1"/>
  <c r="BD120" i="1" s="1"/>
  <c r="AR52" i="1"/>
  <c r="Z52" i="1" s="1"/>
  <c r="BB52" i="1"/>
  <c r="AR209" i="1"/>
  <c r="Z209" i="1" s="1"/>
  <c r="BB209" i="1"/>
  <c r="AS187" i="1"/>
  <c r="AU187" i="1" s="1"/>
  <c r="BC187" i="1"/>
  <c r="BD187" i="1" s="1"/>
  <c r="AS284" i="1"/>
  <c r="AU284" i="1" s="1"/>
  <c r="DY284" i="1" s="1"/>
  <c r="BC284" i="1"/>
  <c r="BD284" i="1" s="1"/>
  <c r="DZ284" i="1" s="1"/>
  <c r="AR93" i="1"/>
  <c r="Z93" i="1" s="1"/>
  <c r="BB93" i="1"/>
  <c r="AS237" i="1"/>
  <c r="AU237" i="1" s="1"/>
  <c r="BC237" i="1"/>
  <c r="BD237" i="1" s="1"/>
  <c r="AR24" i="1"/>
  <c r="Z24" i="1" s="1"/>
  <c r="BB24" i="1"/>
  <c r="AR276" i="1"/>
  <c r="BB276" i="1"/>
  <c r="AS173" i="1"/>
  <c r="AU173" i="1" s="1"/>
  <c r="BC173" i="1"/>
  <c r="BD173" i="1" s="1"/>
  <c r="AR289" i="1"/>
  <c r="BB289" i="1"/>
  <c r="AR5" i="1"/>
  <c r="Z5" i="1" s="1"/>
  <c r="BB5" i="1"/>
  <c r="AS4" i="1"/>
  <c r="AU4" i="1" s="1"/>
  <c r="BC4" i="1"/>
  <c r="BD4" i="1" s="1"/>
  <c r="AR4" i="1"/>
  <c r="Z4" i="1" s="1"/>
  <c r="BB4" i="1"/>
  <c r="AR242" i="1"/>
  <c r="Z242" i="1" s="1"/>
  <c r="BB242" i="1"/>
  <c r="AR360" i="1"/>
  <c r="Z360" i="1" s="1"/>
  <c r="BB360" i="1"/>
  <c r="AR201" i="1"/>
  <c r="DY201" i="1" s="1"/>
  <c r="BB201" i="1"/>
  <c r="DZ201" i="1" s="1"/>
  <c r="AR235" i="1"/>
  <c r="BB235" i="1"/>
  <c r="CQ235" i="1" s="1"/>
  <c r="AS294" i="1"/>
  <c r="AU294" i="1" s="1"/>
  <c r="BC294" i="1"/>
  <c r="BD294" i="1" s="1"/>
  <c r="AR270" i="1"/>
  <c r="BB270" i="1"/>
  <c r="AS227" i="1"/>
  <c r="AU227" i="1" s="1"/>
  <c r="BC227" i="1"/>
  <c r="BD227" i="1" s="1"/>
  <c r="AS279" i="1"/>
  <c r="AU279" i="1" s="1"/>
  <c r="BC279" i="1"/>
  <c r="BD279" i="1" s="1"/>
  <c r="AR42" i="1"/>
  <c r="BB42" i="1"/>
  <c r="AR313" i="1"/>
  <c r="BB313" i="1"/>
  <c r="AR371" i="1"/>
  <c r="BB371" i="1"/>
  <c r="AS220" i="1"/>
  <c r="AU220" i="1" s="1"/>
  <c r="BC220" i="1"/>
  <c r="BD220" i="1" s="1"/>
  <c r="AS333" i="1"/>
  <c r="BC333" i="1"/>
  <c r="AR389" i="1"/>
  <c r="Z389" i="1" s="1"/>
  <c r="BB389" i="1"/>
  <c r="AS203" i="1"/>
  <c r="AU203" i="1" s="1"/>
  <c r="BC203" i="1"/>
  <c r="BD203" i="1" s="1"/>
  <c r="AR352" i="1"/>
  <c r="Z352" i="1" s="1"/>
  <c r="BB352" i="1"/>
  <c r="AR214" i="1"/>
  <c r="BB214" i="1"/>
  <c r="AS100" i="1"/>
  <c r="AU100" i="1" s="1"/>
  <c r="BC100" i="1"/>
  <c r="BD100" i="1" s="1"/>
  <c r="AR329" i="1"/>
  <c r="DY329" i="1" s="1"/>
  <c r="BB329" i="1"/>
  <c r="DZ329" i="1" s="1"/>
  <c r="AS345" i="1"/>
  <c r="AU345" i="1" s="1"/>
  <c r="BC345" i="1"/>
  <c r="BD345" i="1" s="1"/>
  <c r="AR315" i="1"/>
  <c r="BB315" i="1"/>
  <c r="AR386" i="1"/>
  <c r="DY386" i="1" s="1"/>
  <c r="BB386" i="1"/>
  <c r="DZ386" i="1" s="1"/>
  <c r="AS291" i="1"/>
  <c r="AU291" i="1" s="1"/>
  <c r="BC291" i="1"/>
  <c r="BD291" i="1" s="1"/>
  <c r="AS394" i="1"/>
  <c r="AU394" i="1" s="1"/>
  <c r="BC394" i="1"/>
  <c r="BD394" i="1" s="1"/>
  <c r="AR84" i="1"/>
  <c r="BB84" i="1"/>
  <c r="AR283" i="1"/>
  <c r="DY283" i="1" s="1"/>
  <c r="BB283" i="1"/>
  <c r="DZ283" i="1" s="1"/>
  <c r="AR274" i="1"/>
  <c r="BB274" i="1"/>
  <c r="AR342" i="1"/>
  <c r="Z342" i="1" s="1"/>
  <c r="BB342" i="1"/>
  <c r="AR113" i="1"/>
  <c r="BB113" i="1"/>
  <c r="AR38" i="1"/>
  <c r="BB38" i="1"/>
  <c r="AS50" i="1"/>
  <c r="AU50" i="1" s="1"/>
  <c r="BC50" i="1"/>
  <c r="BD50" i="1" s="1"/>
  <c r="AS89" i="1"/>
  <c r="AU89" i="1" s="1"/>
  <c r="DY89" i="1" s="1"/>
  <c r="BC89" i="1"/>
  <c r="BD89" i="1" s="1"/>
  <c r="DZ89" i="1" s="1"/>
  <c r="AR163" i="1"/>
  <c r="DY163" i="1" s="1"/>
  <c r="BB163" i="1"/>
  <c r="DZ163" i="1" s="1"/>
  <c r="AR148" i="1"/>
  <c r="BB148" i="1"/>
  <c r="AS286" i="1"/>
  <c r="AU286" i="1" s="1"/>
  <c r="BC286" i="1"/>
  <c r="BD286" i="1" s="1"/>
  <c r="AS127" i="1"/>
  <c r="AU127" i="1" s="1"/>
  <c r="BC127" i="1"/>
  <c r="BD127" i="1" s="1"/>
  <c r="AR365" i="1"/>
  <c r="BB365" i="1"/>
  <c r="CQ365" i="1" s="1"/>
  <c r="AS365" i="1"/>
  <c r="AU365" i="1" s="1"/>
  <c r="BC365" i="1"/>
  <c r="BD365" i="1" s="1"/>
  <c r="AS46" i="1"/>
  <c r="AU46" i="1" s="1"/>
  <c r="BC46" i="1"/>
  <c r="BD46" i="1" s="1"/>
  <c r="AR197" i="1"/>
  <c r="BB197" i="1"/>
  <c r="AR138" i="1"/>
  <c r="DY138" i="1" s="1"/>
  <c r="BB138" i="1"/>
  <c r="DZ138" i="1" s="1"/>
  <c r="AR380" i="1"/>
  <c r="BB380" i="1"/>
  <c r="AS322" i="1"/>
  <c r="AU322" i="1" s="1"/>
  <c r="BC322" i="1"/>
  <c r="BD322" i="1" s="1"/>
  <c r="AS88" i="1"/>
  <c r="AU88" i="1" s="1"/>
  <c r="BC88" i="1"/>
  <c r="BD88" i="1" s="1"/>
  <c r="AR311" i="1"/>
  <c r="BB311" i="1"/>
  <c r="AR375" i="1"/>
  <c r="BB375" i="1"/>
  <c r="AS103" i="1"/>
  <c r="AU103" i="1" s="1"/>
  <c r="AW103" i="1" s="1"/>
  <c r="BC103" i="1"/>
  <c r="BD103" i="1" s="1"/>
  <c r="AS362" i="1"/>
  <c r="AU362" i="1" s="1"/>
  <c r="BC362" i="1"/>
  <c r="BD362" i="1" s="1"/>
  <c r="AR45" i="1"/>
  <c r="Z45" i="1" s="1"/>
  <c r="BB45" i="1"/>
  <c r="AS36" i="1"/>
  <c r="AU36" i="1" s="1"/>
  <c r="BC36" i="1"/>
  <c r="BD36" i="1" s="1"/>
  <c r="AS300" i="1"/>
  <c r="AU300" i="1" s="1"/>
  <c r="BC300" i="1"/>
  <c r="BD300" i="1" s="1"/>
  <c r="AR50" i="1"/>
  <c r="BB50" i="1"/>
  <c r="AR245" i="1"/>
  <c r="BB245" i="1"/>
  <c r="CQ245" i="1" s="1"/>
  <c r="AS30" i="1"/>
  <c r="AU30" i="1" s="1"/>
  <c r="BC30" i="1"/>
  <c r="BD30" i="1" s="1"/>
  <c r="AS143" i="1"/>
  <c r="AU143" i="1" s="1"/>
  <c r="BC143" i="1"/>
  <c r="BD143" i="1" s="1"/>
  <c r="AS369" i="1"/>
  <c r="AU369" i="1" s="1"/>
  <c r="BC369" i="1"/>
  <c r="BD369" i="1" s="1"/>
  <c r="AR362" i="1"/>
  <c r="BB362" i="1"/>
  <c r="AR86" i="1"/>
  <c r="BB86" i="1"/>
  <c r="AR372" i="1"/>
  <c r="BB372" i="1"/>
  <c r="AR34" i="1"/>
  <c r="Z34" i="1" s="1"/>
  <c r="BB34" i="1"/>
  <c r="AR295" i="1"/>
  <c r="BB295" i="1"/>
  <c r="AS200" i="1"/>
  <c r="AU200" i="1" s="1"/>
  <c r="BC200" i="1"/>
  <c r="BD200" i="1" s="1"/>
  <c r="AS262" i="1"/>
  <c r="AU262" i="1" s="1"/>
  <c r="BC262" i="1"/>
  <c r="BD262" i="1" s="1"/>
  <c r="AR74" i="1"/>
  <c r="Z74" i="1" s="1"/>
  <c r="BB74" i="1"/>
  <c r="AS318" i="1"/>
  <c r="AU318" i="1" s="1"/>
  <c r="BC318" i="1"/>
  <c r="BD318" i="1" s="1"/>
  <c r="AR320" i="1"/>
  <c r="BB320" i="1"/>
  <c r="AR335" i="1"/>
  <c r="BB335" i="1"/>
  <c r="CQ335" i="1" s="1"/>
  <c r="AR222" i="1"/>
  <c r="BB222" i="1"/>
  <c r="AS303" i="1"/>
  <c r="AU303" i="1" s="1"/>
  <c r="BC303" i="1"/>
  <c r="BD303" i="1" s="1"/>
  <c r="AS65" i="1"/>
  <c r="AU65" i="1" s="1"/>
  <c r="BC65" i="1"/>
  <c r="BD65" i="1" s="1"/>
  <c r="AR350" i="1"/>
  <c r="BB350" i="1"/>
  <c r="AS375" i="1"/>
  <c r="AU375" i="1" s="1"/>
  <c r="BC375" i="1"/>
  <c r="BD375" i="1" s="1"/>
  <c r="AR291" i="1"/>
  <c r="DY291" i="1" s="1"/>
  <c r="BB291" i="1"/>
  <c r="DZ291" i="1" s="1"/>
  <c r="AR176" i="1"/>
  <c r="AG176" i="1" s="1"/>
  <c r="BB176" i="1"/>
  <c r="AS277" i="1"/>
  <c r="AU277" i="1" s="1"/>
  <c r="CP277" i="1" s="1"/>
  <c r="CU277" i="1" s="1"/>
  <c r="BC277" i="1"/>
  <c r="BD277" i="1" s="1"/>
  <c r="CQ277" i="1" s="1"/>
  <c r="AR14" i="1"/>
  <c r="DY14" i="1" s="1"/>
  <c r="BB14" i="1"/>
  <c r="DZ14" i="1" s="1"/>
  <c r="AR133" i="1"/>
  <c r="Z133" i="1" s="1"/>
  <c r="BB133" i="1"/>
  <c r="AS258" i="1"/>
  <c r="BC258" i="1"/>
  <c r="DZ258" i="1" s="1"/>
  <c r="AS285" i="1"/>
  <c r="AU285" i="1" s="1"/>
  <c r="BC285" i="1"/>
  <c r="BD285" i="1" s="1"/>
  <c r="AR338" i="1"/>
  <c r="BB338" i="1"/>
  <c r="AS215" i="1"/>
  <c r="AU215" i="1" s="1"/>
  <c r="BC215" i="1"/>
  <c r="BD215" i="1" s="1"/>
  <c r="AS271" i="1"/>
  <c r="AU271" i="1" s="1"/>
  <c r="BC271" i="1"/>
  <c r="BD271" i="1" s="1"/>
  <c r="AS354" i="1"/>
  <c r="AU354" i="1" s="1"/>
  <c r="CP354" i="1" s="1"/>
  <c r="CU354" i="1" s="1"/>
  <c r="BC354" i="1"/>
  <c r="BD354" i="1" s="1"/>
  <c r="CQ354" i="1" s="1"/>
  <c r="AS13" i="1"/>
  <c r="AU13" i="1" s="1"/>
  <c r="BC13" i="1"/>
  <c r="BD13" i="1" s="1"/>
  <c r="AS31" i="1"/>
  <c r="AU31" i="1" s="1"/>
  <c r="BC31" i="1"/>
  <c r="BD31" i="1" s="1"/>
  <c r="AS370" i="1"/>
  <c r="AU370" i="1" s="1"/>
  <c r="BC370" i="1"/>
  <c r="BD370" i="1" s="1"/>
  <c r="AS161" i="1"/>
  <c r="AU161" i="1" s="1"/>
  <c r="CP161" i="1" s="1"/>
  <c r="CU161" i="1" s="1"/>
  <c r="BC161" i="1"/>
  <c r="BD161" i="1" s="1"/>
  <c r="CQ161" i="1" s="1"/>
  <c r="AR379" i="1"/>
  <c r="BB379" i="1"/>
  <c r="AS130" i="1"/>
  <c r="AU130" i="1" s="1"/>
  <c r="BC130" i="1"/>
  <c r="BD130" i="1" s="1"/>
  <c r="AS355" i="1"/>
  <c r="AU355" i="1" s="1"/>
  <c r="CP355" i="1" s="1"/>
  <c r="CU355" i="1" s="1"/>
  <c r="BC355" i="1"/>
  <c r="BD355" i="1" s="1"/>
  <c r="CQ355" i="1" s="1"/>
  <c r="AR32" i="1"/>
  <c r="Z32" i="1" s="1"/>
  <c r="BB32" i="1"/>
  <c r="AS376" i="1"/>
  <c r="DY376" i="1" s="1"/>
  <c r="BC376" i="1"/>
  <c r="DZ376" i="1" s="1"/>
  <c r="AR268" i="1"/>
  <c r="BB268" i="1"/>
  <c r="AR251" i="1"/>
  <c r="BB251" i="1"/>
  <c r="AS251" i="1"/>
  <c r="BC251" i="1"/>
  <c r="CQ251" i="1" s="1"/>
  <c r="AS123" i="1"/>
  <c r="AU123" i="1" s="1"/>
  <c r="BC123" i="1"/>
  <c r="BD123" i="1" s="1"/>
  <c r="AS305" i="1"/>
  <c r="AU305" i="1" s="1"/>
  <c r="BC305" i="1"/>
  <c r="BD305" i="1" s="1"/>
  <c r="AR328" i="1"/>
  <c r="BB328" i="1"/>
  <c r="AR301" i="1"/>
  <c r="Z301" i="1" s="1"/>
  <c r="BB301" i="1"/>
  <c r="AS252" i="1"/>
  <c r="AU252" i="1" s="1"/>
  <c r="BC252" i="1"/>
  <c r="BD252" i="1" s="1"/>
  <c r="AR385" i="1"/>
  <c r="Z385" i="1" s="1"/>
  <c r="BB385" i="1"/>
  <c r="AS151" i="1"/>
  <c r="AU151" i="1" s="1"/>
  <c r="BC151" i="1"/>
  <c r="BD151" i="1" s="1"/>
  <c r="AS325" i="1"/>
  <c r="DY325" i="1" s="1"/>
  <c r="BC325" i="1"/>
  <c r="DZ325" i="1" s="1"/>
  <c r="AS83" i="1"/>
  <c r="AU83" i="1" s="1"/>
  <c r="BC83" i="1"/>
  <c r="BD83" i="1" s="1"/>
  <c r="AR82" i="1"/>
  <c r="BB82" i="1"/>
  <c r="AS378" i="1"/>
  <c r="AU378" i="1" s="1"/>
  <c r="BC378" i="1"/>
  <c r="BD378" i="1" s="1"/>
  <c r="AS266" i="1"/>
  <c r="AU266" i="1" s="1"/>
  <c r="AW266" i="1" s="1"/>
  <c r="BC266" i="1"/>
  <c r="BD266" i="1" s="1"/>
  <c r="AS243" i="1"/>
  <c r="AU243" i="1" s="1"/>
  <c r="BC243" i="1"/>
  <c r="BD243" i="1" s="1"/>
  <c r="AS158" i="1"/>
  <c r="AU158" i="1" s="1"/>
  <c r="BC158" i="1"/>
  <c r="BD158" i="1" s="1"/>
  <c r="AR158" i="1"/>
  <c r="BB158" i="1"/>
  <c r="AS269" i="1"/>
  <c r="BC269" i="1"/>
  <c r="AR381" i="1"/>
  <c r="BB381" i="1"/>
  <c r="AS240" i="1"/>
  <c r="AU240" i="1" s="1"/>
  <c r="BC240" i="1"/>
  <c r="BD240" i="1" s="1"/>
  <c r="AR374" i="1"/>
  <c r="BB374" i="1"/>
  <c r="AR118" i="1"/>
  <c r="BB118" i="1"/>
  <c r="AS24" i="1"/>
  <c r="AU24" i="1" s="1"/>
  <c r="BC24" i="1"/>
  <c r="BD24" i="1" s="1"/>
  <c r="AS25" i="1"/>
  <c r="AU25" i="1" s="1"/>
  <c r="BC25" i="1"/>
  <c r="BD25" i="1" s="1"/>
  <c r="AR99" i="1"/>
  <c r="BB99" i="1"/>
  <c r="AR219" i="1"/>
  <c r="BB219" i="1"/>
  <c r="AR347" i="1"/>
  <c r="BB347" i="1"/>
  <c r="AR302" i="1"/>
  <c r="BB302" i="1"/>
  <c r="AR234" i="1"/>
  <c r="Z234" i="1" s="1"/>
  <c r="BB234" i="1"/>
  <c r="AR13" i="1"/>
  <c r="Z13" i="1" s="1"/>
  <c r="BB13" i="1"/>
  <c r="AR114" i="1"/>
  <c r="BB114" i="1"/>
  <c r="AS295" i="1"/>
  <c r="BC295" i="1"/>
  <c r="AR260" i="1"/>
  <c r="BB260" i="1"/>
  <c r="AR10" i="1"/>
  <c r="Z10" i="1" s="1"/>
  <c r="BB10" i="1"/>
  <c r="AR149" i="1"/>
  <c r="BB149" i="1"/>
  <c r="AR281" i="1"/>
  <c r="BB281" i="1"/>
  <c r="AS171" i="1"/>
  <c r="AU171" i="1" s="1"/>
  <c r="BC171" i="1"/>
  <c r="BD171" i="1" s="1"/>
  <c r="AR265" i="1"/>
  <c r="BB265" i="1"/>
  <c r="AR21" i="1"/>
  <c r="Z21" i="1" s="1"/>
  <c r="BB21" i="1"/>
  <c r="AS136" i="1"/>
  <c r="AU136" i="1" s="1"/>
  <c r="DY136" i="1" s="1"/>
  <c r="BC136" i="1"/>
  <c r="BD136" i="1" s="1"/>
  <c r="DZ136" i="1" s="1"/>
  <c r="AS64" i="1"/>
  <c r="AU64" i="1" s="1"/>
  <c r="BC64" i="1"/>
  <c r="BD64" i="1" s="1"/>
  <c r="AS179" i="1"/>
  <c r="AU179" i="1" s="1"/>
  <c r="BC179" i="1"/>
  <c r="BD179" i="1" s="1"/>
  <c r="AR56" i="1"/>
  <c r="Z56" i="1" s="1"/>
  <c r="BB56" i="1"/>
  <c r="AR92" i="1"/>
  <c r="AF92" i="1" s="1"/>
  <c r="BB92" i="1"/>
  <c r="AS28" i="1"/>
  <c r="AU28" i="1" s="1"/>
  <c r="BC28" i="1"/>
  <c r="BD28" i="1" s="1"/>
  <c r="AR8" i="1"/>
  <c r="BB8" i="1"/>
  <c r="AS18" i="1"/>
  <c r="AU18" i="1" s="1"/>
  <c r="BC18" i="1"/>
  <c r="BD18" i="1" s="1"/>
  <c r="AS359" i="1"/>
  <c r="AU359" i="1" s="1"/>
  <c r="BC359" i="1"/>
  <c r="BD359" i="1" s="1"/>
  <c r="AS344" i="1"/>
  <c r="AU344" i="1" s="1"/>
  <c r="AW344" i="1" s="1"/>
  <c r="BC344" i="1"/>
  <c r="BD344" i="1" s="1"/>
  <c r="AR6" i="1"/>
  <c r="BB6" i="1"/>
  <c r="AS6" i="1"/>
  <c r="AU6" i="1" s="1"/>
  <c r="BC6" i="1"/>
  <c r="BD6" i="1" s="1"/>
  <c r="AS7" i="1"/>
  <c r="AU7" i="1" s="1"/>
  <c r="BC7" i="1"/>
  <c r="BD7" i="1" s="1"/>
  <c r="AR150" i="1"/>
  <c r="Z150" i="1" s="1"/>
  <c r="BB150" i="1"/>
  <c r="AS150" i="1"/>
  <c r="AU150" i="1" s="1"/>
  <c r="BC150" i="1"/>
  <c r="BD150" i="1" s="1"/>
  <c r="AS105" i="1"/>
  <c r="AU105" i="1" s="1"/>
  <c r="BC105" i="1"/>
  <c r="BD105" i="1" s="1"/>
  <c r="AR103" i="1"/>
  <c r="Z103" i="1" s="1"/>
  <c r="BB103" i="1"/>
  <c r="AS268" i="1"/>
  <c r="AU268" i="1" s="1"/>
  <c r="BC268" i="1"/>
  <c r="BD268" i="1" s="1"/>
  <c r="AR207" i="1"/>
  <c r="BB207" i="1"/>
  <c r="AS78" i="1"/>
  <c r="AU78" i="1" s="1"/>
  <c r="BC78" i="1"/>
  <c r="BD78" i="1" s="1"/>
  <c r="AS129" i="1"/>
  <c r="AU129" i="1" s="1"/>
  <c r="BC129" i="1"/>
  <c r="BD129" i="1" s="1"/>
  <c r="AS20" i="1"/>
  <c r="AU20" i="1" s="1"/>
  <c r="BC20" i="1"/>
  <c r="BD20" i="1" s="1"/>
  <c r="AS62" i="1"/>
  <c r="AU62" i="1" s="1"/>
  <c r="DY62" i="1" s="1"/>
  <c r="BC62" i="1"/>
  <c r="BD62" i="1" s="1"/>
  <c r="DZ62" i="1" s="1"/>
  <c r="AS371" i="1"/>
  <c r="AU371" i="1" s="1"/>
  <c r="BC371" i="1"/>
  <c r="BD371" i="1" s="1"/>
  <c r="AR220" i="1"/>
  <c r="BB220" i="1"/>
  <c r="AS273" i="1"/>
  <c r="AU273" i="1" s="1"/>
  <c r="BC273" i="1"/>
  <c r="BD273" i="1" s="1"/>
  <c r="AR333" i="1"/>
  <c r="BB333" i="1"/>
  <c r="AS154" i="1"/>
  <c r="AU154" i="1" s="1"/>
  <c r="BC154" i="1"/>
  <c r="BD154" i="1" s="1"/>
  <c r="AS19" i="1"/>
  <c r="AU19" i="1" s="1"/>
  <c r="BC19" i="1"/>
  <c r="BD19" i="1" s="1"/>
  <c r="AS316" i="1"/>
  <c r="AU316" i="1" s="1"/>
  <c r="BC316" i="1"/>
  <c r="BD316" i="1" s="1"/>
  <c r="AR316" i="1"/>
  <c r="BB316" i="1"/>
  <c r="AR100" i="1"/>
  <c r="AF100" i="1" s="1"/>
  <c r="BB100" i="1"/>
  <c r="AS41" i="1"/>
  <c r="AU41" i="1" s="1"/>
  <c r="BC41" i="1"/>
  <c r="BD41" i="1" s="1"/>
  <c r="AR191" i="1"/>
  <c r="BB191" i="1"/>
  <c r="AS364" i="1"/>
  <c r="BC364" i="1"/>
  <c r="AR382" i="1"/>
  <c r="Z382" i="1" s="1"/>
  <c r="BB382" i="1"/>
  <c r="AS246" i="1"/>
  <c r="AU246" i="1" s="1"/>
  <c r="AW246" i="1" s="1"/>
  <c r="BC246" i="1"/>
  <c r="BD246" i="1" s="1"/>
  <c r="AR117" i="1"/>
  <c r="Z117" i="1" s="1"/>
  <c r="BB117" i="1"/>
  <c r="AR142" i="1"/>
  <c r="BB142" i="1"/>
  <c r="AS280" i="1"/>
  <c r="DY280" i="1" s="1"/>
  <c r="BC280" i="1"/>
  <c r="DZ280" i="1" s="1"/>
  <c r="AS230" i="1"/>
  <c r="AU230" i="1" s="1"/>
  <c r="BC230" i="1"/>
  <c r="BD230" i="1" s="1"/>
  <c r="AR231" i="1"/>
  <c r="BB231" i="1"/>
  <c r="AR179" i="1"/>
  <c r="Z179" i="1" s="1"/>
  <c r="BB179" i="1"/>
  <c r="AS177" i="1"/>
  <c r="AU177" i="1" s="1"/>
  <c r="BC177" i="1"/>
  <c r="BD177" i="1" s="1"/>
  <c r="AS48" i="1"/>
  <c r="AU48" i="1" s="1"/>
  <c r="DY48" i="1" s="1"/>
  <c r="BC48" i="1"/>
  <c r="BD48" i="1" s="1"/>
  <c r="DZ48" i="1" s="1"/>
  <c r="AS282" i="1"/>
  <c r="AU282" i="1" s="1"/>
  <c r="BC282" i="1"/>
  <c r="BD282" i="1" s="1"/>
  <c r="AR247" i="1"/>
  <c r="BB247" i="1"/>
  <c r="AS270" i="1"/>
  <c r="AU270" i="1" s="1"/>
  <c r="CP270" i="1" s="1"/>
  <c r="CU270" i="1" s="1"/>
  <c r="BC270" i="1"/>
  <c r="BD270" i="1" s="1"/>
  <c r="DZ270" i="1" s="1"/>
  <c r="AS85" i="1"/>
  <c r="AU85" i="1" s="1"/>
  <c r="BC85" i="1"/>
  <c r="BD85" i="1" s="1"/>
  <c r="AR262" i="1"/>
  <c r="Z262" i="1" s="1"/>
  <c r="BB262" i="1"/>
  <c r="AS382" i="1"/>
  <c r="AU382" i="1" s="1"/>
  <c r="AW382" i="1" s="1"/>
  <c r="BC382" i="1"/>
  <c r="BD382" i="1" s="1"/>
  <c r="AS152" i="1"/>
  <c r="AU152" i="1" s="1"/>
  <c r="BC152" i="1"/>
  <c r="BD152" i="1" s="1"/>
  <c r="AS197" i="1"/>
  <c r="AU197" i="1" s="1"/>
  <c r="BC197" i="1"/>
  <c r="BD197" i="1" s="1"/>
  <c r="AS232" i="1"/>
  <c r="AU232" i="1" s="1"/>
  <c r="BC232" i="1"/>
  <c r="BD232" i="1" s="1"/>
  <c r="AS392" i="1"/>
  <c r="DY392" i="1" s="1"/>
  <c r="BC392" i="1"/>
  <c r="DZ392" i="1" s="1"/>
  <c r="AR210" i="1"/>
  <c r="AF210" i="1" s="1"/>
  <c r="BB210" i="1"/>
  <c r="AS144" i="1"/>
  <c r="AU144" i="1" s="1"/>
  <c r="BC144" i="1"/>
  <c r="BD144" i="1" s="1"/>
  <c r="AS239" i="1"/>
  <c r="DY239" i="1" s="1"/>
  <c r="BC239" i="1"/>
  <c r="DZ239" i="1" s="1"/>
  <c r="AR334" i="1"/>
  <c r="Z334" i="1" s="1"/>
  <c r="BB334" i="1"/>
  <c r="AR80" i="1"/>
  <c r="AF80" i="1" s="1"/>
  <c r="BB80" i="1"/>
  <c r="AS217" i="1"/>
  <c r="DY217" i="1" s="1"/>
  <c r="BC217" i="1"/>
  <c r="DZ217" i="1" s="1"/>
  <c r="AS57" i="1"/>
  <c r="AU57" i="1" s="1"/>
  <c r="BC57" i="1"/>
  <c r="BD57" i="1" s="1"/>
  <c r="AR141" i="1"/>
  <c r="BB141" i="1"/>
  <c r="AR164" i="1"/>
  <c r="BB164" i="1"/>
  <c r="AS234" i="1"/>
  <c r="AU234" i="1" s="1"/>
  <c r="BC234" i="1"/>
  <c r="BD234" i="1" s="1"/>
  <c r="AS132" i="1"/>
  <c r="AU132" i="1" s="1"/>
  <c r="BC132" i="1"/>
  <c r="BD132" i="1" s="1"/>
  <c r="AR132" i="1"/>
  <c r="Z132" i="1" s="1"/>
  <c r="BB132" i="1"/>
  <c r="AS388" i="1"/>
  <c r="AU388" i="1" s="1"/>
  <c r="BC388" i="1"/>
  <c r="BD388" i="1" s="1"/>
  <c r="AS347" i="1"/>
  <c r="AU347" i="1" s="1"/>
  <c r="BC347" i="1"/>
  <c r="BD347" i="1" s="1"/>
  <c r="AR147" i="1"/>
  <c r="BB147" i="1"/>
  <c r="AS209" i="1"/>
  <c r="AU209" i="1" s="1"/>
  <c r="BC209" i="1"/>
  <c r="BD209" i="1" s="1"/>
  <c r="AR72" i="1"/>
  <c r="AF72" i="1" s="1"/>
  <c r="BB72" i="1"/>
  <c r="AR390" i="1"/>
  <c r="BB390" i="1"/>
  <c r="AR246" i="1"/>
  <c r="BB246" i="1"/>
  <c r="AS53" i="1"/>
  <c r="AU53" i="1" s="1"/>
  <c r="BC53" i="1"/>
  <c r="BD53" i="1" s="1"/>
  <c r="AS174" i="1"/>
  <c r="AU174" i="1" s="1"/>
  <c r="BC174" i="1"/>
  <c r="BD174" i="1" s="1"/>
  <c r="AS168" i="1"/>
  <c r="AU168" i="1" s="1"/>
  <c r="BC168" i="1"/>
  <c r="BD168" i="1" s="1"/>
  <c r="AR49" i="1"/>
  <c r="Z49" i="1" s="1"/>
  <c r="BB49" i="1"/>
  <c r="AR166" i="1"/>
  <c r="Z166" i="1" s="1"/>
  <c r="BB166" i="1"/>
  <c r="AS372" i="1"/>
  <c r="BC372" i="1"/>
  <c r="AS358" i="1"/>
  <c r="BC358" i="1"/>
  <c r="CQ358" i="1" s="1"/>
  <c r="AS204" i="1"/>
  <c r="AU204" i="1" s="1"/>
  <c r="BC204" i="1"/>
  <c r="BD204" i="1" s="1"/>
  <c r="AS267" i="1"/>
  <c r="AU267" i="1" s="1"/>
  <c r="BC267" i="1"/>
  <c r="BD267" i="1" s="1"/>
  <c r="AS321" i="1"/>
  <c r="AU321" i="1" s="1"/>
  <c r="BC321" i="1"/>
  <c r="BD321" i="1" s="1"/>
  <c r="AS222" i="1"/>
  <c r="BC222" i="1"/>
  <c r="AR136" i="1"/>
  <c r="BB136" i="1"/>
  <c r="AR366" i="1"/>
  <c r="BB366" i="1"/>
  <c r="AR65" i="1"/>
  <c r="Z65" i="1" s="1"/>
  <c r="BB65" i="1"/>
  <c r="AS299" i="1"/>
  <c r="DY299" i="1" s="1"/>
  <c r="BC299" i="1"/>
  <c r="DZ299" i="1" s="1"/>
  <c r="AR102" i="1"/>
  <c r="Z102" i="1" s="1"/>
  <c r="BB102" i="1"/>
  <c r="AS218" i="1"/>
  <c r="AU218" i="1" s="1"/>
  <c r="DY218" i="1" s="1"/>
  <c r="BC218" i="1"/>
  <c r="BD218" i="1" s="1"/>
  <c r="DZ218" i="1" s="1"/>
  <c r="AR341" i="1"/>
  <c r="DY341" i="1" s="1"/>
  <c r="BB341" i="1"/>
  <c r="DZ341" i="1" s="1"/>
  <c r="AS278" i="1"/>
  <c r="AU278" i="1" s="1"/>
  <c r="BC278" i="1"/>
  <c r="BD278" i="1" s="1"/>
  <c r="AR278" i="1"/>
  <c r="DY278" i="1" s="1"/>
  <c r="BB278" i="1"/>
  <c r="DZ278" i="1" s="1"/>
  <c r="AR339" i="1"/>
  <c r="BB339" i="1"/>
  <c r="AS104" i="1"/>
  <c r="AU104" i="1" s="1"/>
  <c r="BC104" i="1"/>
  <c r="BD104" i="1" s="1"/>
  <c r="AR343" i="1"/>
  <c r="BB343" i="1"/>
  <c r="AS17" i="1"/>
  <c r="AU17" i="1" s="1"/>
  <c r="BC17" i="1"/>
  <c r="BD17" i="1" s="1"/>
  <c r="AS349" i="1"/>
  <c r="AU349" i="1" s="1"/>
  <c r="BC349" i="1"/>
  <c r="BD349" i="1" s="1"/>
  <c r="AR187" i="1"/>
  <c r="BB187" i="1"/>
  <c r="AR353" i="1"/>
  <c r="DY353" i="1" s="1"/>
  <c r="BB353" i="1"/>
  <c r="DZ353" i="1" s="1"/>
  <c r="AS97" i="1"/>
  <c r="AU97" i="1" s="1"/>
  <c r="BC97" i="1"/>
  <c r="BD97" i="1" s="1"/>
  <c r="AR181" i="1"/>
  <c r="Z181" i="1" s="1"/>
  <c r="BB181" i="1"/>
  <c r="AR12" i="1"/>
  <c r="BB12" i="1"/>
  <c r="AS223" i="1"/>
  <c r="AU223" i="1" s="1"/>
  <c r="BC223" i="1"/>
  <c r="BD223" i="1" s="1"/>
  <c r="AR196" i="1"/>
  <c r="Z196" i="1" s="1"/>
  <c r="BB196" i="1"/>
  <c r="AR314" i="1"/>
  <c r="Z314" i="1" s="1"/>
  <c r="BB314" i="1"/>
  <c r="AR161" i="1"/>
  <c r="BB161" i="1"/>
  <c r="AS255" i="1"/>
  <c r="AU255" i="1" s="1"/>
  <c r="BC255" i="1"/>
  <c r="BD255" i="1" s="1"/>
  <c r="AS379" i="1"/>
  <c r="AU379" i="1" s="1"/>
  <c r="BC379" i="1"/>
  <c r="BD379" i="1" s="1"/>
  <c r="AR223" i="1"/>
  <c r="Z223" i="1" s="1"/>
  <c r="BB223" i="1"/>
  <c r="AR275" i="1"/>
  <c r="Z275" i="1" s="1"/>
  <c r="BB275" i="1"/>
  <c r="AS94" i="1"/>
  <c r="AU94" i="1" s="1"/>
  <c r="BC94" i="1"/>
  <c r="BD94" i="1" s="1"/>
  <c r="AS95" i="1"/>
  <c r="AU95" i="1" s="1"/>
  <c r="BC95" i="1"/>
  <c r="BD95" i="1" s="1"/>
  <c r="AR248" i="1"/>
  <c r="BB248" i="1"/>
  <c r="AS162" i="1"/>
  <c r="BC162" i="1"/>
  <c r="AR73" i="1"/>
  <c r="Z73" i="1" s="1"/>
  <c r="BB73" i="1"/>
  <c r="AR383" i="1"/>
  <c r="Z383" i="1" s="1"/>
  <c r="BB383" i="1"/>
  <c r="AS247" i="1"/>
  <c r="AU247" i="1" s="1"/>
  <c r="BC247" i="1"/>
  <c r="BD247" i="1" s="1"/>
  <c r="AR346" i="1"/>
  <c r="BB346" i="1"/>
  <c r="AS26" i="1"/>
  <c r="AU26" i="1" s="1"/>
  <c r="BC26" i="1"/>
  <c r="BD26" i="1" s="1"/>
  <c r="AS42" i="1"/>
  <c r="AU42" i="1" s="1"/>
  <c r="AW42" i="1" s="1"/>
  <c r="BC42" i="1"/>
  <c r="BD42" i="1" s="1"/>
  <c r="AS297" i="1"/>
  <c r="AU297" i="1" s="1"/>
  <c r="BC297" i="1"/>
  <c r="BD297" i="1" s="1"/>
  <c r="AR195" i="1"/>
  <c r="BB195" i="1"/>
  <c r="AR121" i="1"/>
  <c r="DY121" i="1" s="1"/>
  <c r="BB121" i="1"/>
  <c r="DZ121" i="1" s="1"/>
  <c r="AR70" i="1"/>
  <c r="BB70" i="1"/>
  <c r="AR325" i="1"/>
  <c r="BB325" i="1"/>
  <c r="AR357" i="1"/>
  <c r="DY357" i="1" s="1"/>
  <c r="BB357" i="1"/>
  <c r="DZ357" i="1" s="1"/>
  <c r="AR83" i="1"/>
  <c r="Z83" i="1" s="1"/>
  <c r="BB83" i="1"/>
  <c r="AR208" i="1"/>
  <c r="AF208" i="1" s="1"/>
  <c r="BB208" i="1"/>
  <c r="AR199" i="1"/>
  <c r="BB199" i="1"/>
  <c r="AR378" i="1"/>
  <c r="Z378" i="1" s="1"/>
  <c r="BB378" i="1"/>
  <c r="AS191" i="1"/>
  <c r="AU191" i="1" s="1"/>
  <c r="BC191" i="1"/>
  <c r="BD191" i="1" s="1"/>
  <c r="AS329" i="1"/>
  <c r="AU329" i="1" s="1"/>
  <c r="BC329" i="1"/>
  <c r="BD329" i="1" s="1"/>
  <c r="AS35" i="1"/>
  <c r="AU35" i="1" s="1"/>
  <c r="BC35" i="1"/>
  <c r="BD35" i="1" s="1"/>
  <c r="AR269" i="1"/>
  <c r="BB269" i="1"/>
  <c r="AS69" i="1"/>
  <c r="AU69" i="1" s="1"/>
  <c r="BC69" i="1"/>
  <c r="BD69" i="1" s="1"/>
  <c r="AS68" i="1"/>
  <c r="AU68" i="1" s="1"/>
  <c r="BC68" i="1"/>
  <c r="BD68" i="1" s="1"/>
  <c r="AR322" i="1"/>
  <c r="Z322" i="1" s="1"/>
  <c r="BB322" i="1"/>
  <c r="AS307" i="1"/>
  <c r="AU307" i="1" s="1"/>
  <c r="BC307" i="1"/>
  <c r="BD307" i="1" s="1"/>
  <c r="AR330" i="1"/>
  <c r="BB330" i="1"/>
  <c r="AR143" i="1"/>
  <c r="BB143" i="1"/>
  <c r="AR30" i="1"/>
  <c r="BB30" i="1"/>
  <c r="AS12" i="1"/>
  <c r="AU12" i="1" s="1"/>
  <c r="BC12" i="1"/>
  <c r="BD12" i="1" s="1"/>
  <c r="AR81" i="1"/>
  <c r="BB81" i="1"/>
  <c r="AR227" i="1"/>
  <c r="DY227" i="1" s="1"/>
  <c r="BB227" i="1"/>
  <c r="DZ227" i="1" s="1"/>
  <c r="AS80" i="1"/>
  <c r="AU80" i="1" s="1"/>
  <c r="BC80" i="1"/>
  <c r="BD80" i="1" s="1"/>
  <c r="AR232" i="1"/>
  <c r="Z232" i="1" s="1"/>
  <c r="BB232" i="1"/>
  <c r="AS189" i="1"/>
  <c r="AU189" i="1" s="1"/>
  <c r="BC189" i="1"/>
  <c r="BD189" i="1" s="1"/>
  <c r="AS133" i="1"/>
  <c r="AU133" i="1" s="1"/>
  <c r="BC133" i="1"/>
  <c r="BD133" i="1" s="1"/>
  <c r="AR213" i="1"/>
  <c r="Z213" i="1" s="1"/>
  <c r="BB213" i="1"/>
  <c r="AR87" i="1"/>
  <c r="Z87" i="1" s="1"/>
  <c r="BB87" i="1"/>
  <c r="AS113" i="1"/>
  <c r="AU113" i="1" s="1"/>
  <c r="BC113" i="1"/>
  <c r="BD113" i="1" s="1"/>
  <c r="AS109" i="1"/>
  <c r="AU109" i="1" s="1"/>
  <c r="BC109" i="1"/>
  <c r="BD109" i="1" s="1"/>
  <c r="AR286" i="1"/>
  <c r="Z286" i="1" s="1"/>
  <c r="BB286" i="1"/>
  <c r="AR224" i="1"/>
  <c r="AG224" i="1" s="1"/>
  <c r="BB224" i="1"/>
  <c r="AS77" i="1"/>
  <c r="AU77" i="1" s="1"/>
  <c r="BC77" i="1"/>
  <c r="BD77" i="1" s="1"/>
  <c r="AS283" i="1"/>
  <c r="AU283" i="1" s="1"/>
  <c r="BC283" i="1"/>
  <c r="BD283" i="1" s="1"/>
  <c r="AS33" i="1"/>
  <c r="AU33" i="1" s="1"/>
  <c r="BC33" i="1"/>
  <c r="BD33" i="1" s="1"/>
  <c r="AR16" i="1"/>
  <c r="Z16" i="1" s="1"/>
  <c r="BB16" i="1"/>
  <c r="AR151" i="1"/>
  <c r="BB151" i="1"/>
  <c r="AR296" i="1"/>
  <c r="BB296" i="1"/>
  <c r="AS289" i="1"/>
  <c r="DY289" i="1" s="1"/>
  <c r="BC289" i="1"/>
  <c r="AS324" i="1"/>
  <c r="AU324" i="1" s="1"/>
  <c r="AW324" i="1" s="1"/>
  <c r="BC324" i="1"/>
  <c r="BD324" i="1" s="1"/>
  <c r="AR145" i="1"/>
  <c r="Z145" i="1" s="1"/>
  <c r="BB145" i="1"/>
  <c r="AS178" i="1"/>
  <c r="AU178" i="1" s="1"/>
  <c r="CP178" i="1" s="1"/>
  <c r="CU178" i="1" s="1"/>
  <c r="BC178" i="1"/>
  <c r="BD178" i="1" s="1"/>
  <c r="CQ178" i="1" s="1"/>
  <c r="AS254" i="1"/>
  <c r="AU254" i="1" s="1"/>
  <c r="BC254" i="1"/>
  <c r="BD254" i="1" s="1"/>
  <c r="AS242" i="1"/>
  <c r="AU242" i="1" s="1"/>
  <c r="BC242" i="1"/>
  <c r="BD242" i="1" s="1"/>
  <c r="AR393" i="1"/>
  <c r="Z393" i="1" s="1"/>
  <c r="BB393" i="1"/>
  <c r="AR285" i="1"/>
  <c r="Z285" i="1" s="1"/>
  <c r="BB285" i="1"/>
  <c r="AR19" i="1"/>
  <c r="Z19" i="1" s="1"/>
  <c r="BB19" i="1"/>
  <c r="AR28" i="1"/>
  <c r="AF28" i="1" s="1"/>
  <c r="BB28" i="1"/>
  <c r="AR44" i="1"/>
  <c r="Z44" i="1" s="1"/>
  <c r="BB44" i="1"/>
  <c r="AS114" i="1"/>
  <c r="AU114" i="1" s="1"/>
  <c r="BC114" i="1"/>
  <c r="BD114" i="1" s="1"/>
  <c r="AS260" i="1"/>
  <c r="AU260" i="1" s="1"/>
  <c r="BC260" i="1"/>
  <c r="BD260" i="1" s="1"/>
  <c r="AS110" i="1"/>
  <c r="AU110" i="1" s="1"/>
  <c r="BC110" i="1"/>
  <c r="BD110" i="1" s="1"/>
  <c r="AR126" i="1"/>
  <c r="BB126" i="1"/>
  <c r="AR273" i="1"/>
  <c r="BB273" i="1"/>
  <c r="AR336" i="1"/>
  <c r="DY336" i="1" s="1"/>
  <c r="BB336" i="1"/>
  <c r="DZ336" i="1" s="1"/>
  <c r="AS336" i="1"/>
  <c r="AU336" i="1" s="1"/>
  <c r="BC336" i="1"/>
  <c r="BD336" i="1" s="1"/>
  <c r="AS373" i="1"/>
  <c r="AU373" i="1" s="1"/>
  <c r="BC373" i="1"/>
  <c r="BD373" i="1" s="1"/>
  <c r="AR272" i="1"/>
  <c r="BB272" i="1"/>
  <c r="AS352" i="1"/>
  <c r="AU352" i="1" s="1"/>
  <c r="BC352" i="1"/>
  <c r="BD352" i="1" s="1"/>
  <c r="AR41" i="1"/>
  <c r="AF41" i="1" s="1"/>
  <c r="BB41" i="1"/>
  <c r="AR140" i="1"/>
  <c r="BB140" i="1"/>
  <c r="AS66" i="1"/>
  <c r="AU66" i="1" s="1"/>
  <c r="AW66" i="1" s="1"/>
  <c r="BC66" i="1"/>
  <c r="BD66" i="1" s="1"/>
  <c r="AR263" i="1"/>
  <c r="DY263" i="1" s="1"/>
  <c r="BB263" i="1"/>
  <c r="DZ263" i="1" s="1"/>
  <c r="AR367" i="1"/>
  <c r="BB367" i="1"/>
  <c r="AS29" i="1"/>
  <c r="AU29" i="1" s="1"/>
  <c r="BC29" i="1"/>
  <c r="BD29" i="1" s="1"/>
  <c r="AS102" i="1"/>
  <c r="AU102" i="1" s="1"/>
  <c r="AW102" i="1" s="1"/>
  <c r="BC102" i="1"/>
  <c r="BD102" i="1" s="1"/>
  <c r="AR309" i="1"/>
  <c r="Z309" i="1" s="1"/>
  <c r="BB309" i="1"/>
  <c r="AR368" i="1"/>
  <c r="BB368" i="1"/>
  <c r="AS75" i="1"/>
  <c r="AU75" i="1" s="1"/>
  <c r="BC75" i="1"/>
  <c r="BD75" i="1" s="1"/>
  <c r="AS332" i="1"/>
  <c r="BC332" i="1"/>
  <c r="AR332" i="1"/>
  <c r="BB332" i="1"/>
  <c r="AR326" i="1"/>
  <c r="BB326" i="1"/>
  <c r="AS274" i="1"/>
  <c r="AU274" i="1" s="1"/>
  <c r="BC274" i="1"/>
  <c r="BD274" i="1" s="1"/>
  <c r="AS342" i="1"/>
  <c r="AU342" i="1" s="1"/>
  <c r="BC342" i="1"/>
  <c r="BD342" i="1" s="1"/>
  <c r="AS38" i="1"/>
  <c r="AU38" i="1" s="1"/>
  <c r="BC38" i="1"/>
  <c r="BD38" i="1" s="1"/>
  <c r="AS356" i="1"/>
  <c r="BC356" i="1"/>
  <c r="CQ356" i="1" s="1"/>
  <c r="AS98" i="1"/>
  <c r="AU98" i="1" s="1"/>
  <c r="BC98" i="1"/>
  <c r="BD98" i="1" s="1"/>
  <c r="AS281" i="1"/>
  <c r="AU281" i="1" s="1"/>
  <c r="CP281" i="1" s="1"/>
  <c r="CU281" i="1" s="1"/>
  <c r="BC281" i="1"/>
  <c r="BD281" i="1" s="1"/>
  <c r="CQ281" i="1" s="1"/>
  <c r="AS118" i="1"/>
  <c r="AU118" i="1" s="1"/>
  <c r="BC118" i="1"/>
  <c r="BD118" i="1" s="1"/>
  <c r="AS249" i="1"/>
  <c r="AU249" i="1" s="1"/>
  <c r="BC249" i="1"/>
  <c r="BD249" i="1" s="1"/>
  <c r="AS226" i="1"/>
  <c r="AU226" i="1" s="1"/>
  <c r="CP226" i="1" s="1"/>
  <c r="CU226" i="1" s="1"/>
  <c r="BC226" i="1"/>
  <c r="BD226" i="1" s="1"/>
  <c r="CQ226" i="1" s="1"/>
  <c r="AR46" i="1"/>
  <c r="BB46" i="1"/>
  <c r="AS181" i="1"/>
  <c r="DY181" i="1" s="1"/>
  <c r="BC181" i="1"/>
  <c r="DZ181" i="1" s="1"/>
  <c r="AR89" i="1"/>
  <c r="Z89" i="1" s="1"/>
  <c r="BB89" i="1"/>
  <c r="AS71" i="1"/>
  <c r="AU71" i="1" s="1"/>
  <c r="BC71" i="1"/>
  <c r="BD71" i="1" s="1"/>
  <c r="AR293" i="1"/>
  <c r="BB293" i="1"/>
  <c r="AS79" i="1"/>
  <c r="AU79" i="1" s="1"/>
  <c r="BC79" i="1"/>
  <c r="BD79" i="1" s="1"/>
  <c r="AR153" i="1"/>
  <c r="Z153" i="1" s="1"/>
  <c r="BB153" i="1"/>
  <c r="AS147" i="1"/>
  <c r="AU147" i="1" s="1"/>
  <c r="BC147" i="1"/>
  <c r="BD147" i="1" s="1"/>
  <c r="AS56" i="1"/>
  <c r="AU56" i="1" s="1"/>
  <c r="BC56" i="1"/>
  <c r="BD56" i="1" s="1"/>
  <c r="AS45" i="1"/>
  <c r="AU45" i="1" s="1"/>
  <c r="BC45" i="1"/>
  <c r="BD45" i="1" s="1"/>
  <c r="AS142" i="1"/>
  <c r="AU142" i="1" s="1"/>
  <c r="AW142" i="1" s="1"/>
  <c r="BC142" i="1"/>
  <c r="BD142" i="1" s="1"/>
  <c r="AS245" i="1"/>
  <c r="AU245" i="1" s="1"/>
  <c r="BC245" i="1"/>
  <c r="BD245" i="1" s="1"/>
  <c r="AS331" i="1"/>
  <c r="AU331" i="1" s="1"/>
  <c r="BC331" i="1"/>
  <c r="BD331" i="1" s="1"/>
  <c r="AS306" i="1"/>
  <c r="AU306" i="1" s="1"/>
  <c r="BC306" i="1"/>
  <c r="BD306" i="1" s="1"/>
  <c r="AR391" i="1"/>
  <c r="Z391" i="1" s="1"/>
  <c r="BB391" i="1"/>
  <c r="AR337" i="1"/>
  <c r="DY337" i="1" s="1"/>
  <c r="BB337" i="1"/>
  <c r="DZ337" i="1" s="1"/>
  <c r="AS337" i="1"/>
  <c r="AU337" i="1" s="1"/>
  <c r="BC337" i="1"/>
  <c r="BD337" i="1" s="1"/>
  <c r="AS54" i="1"/>
  <c r="AU54" i="1" s="1"/>
  <c r="BC54" i="1"/>
  <c r="BD54" i="1" s="1"/>
  <c r="AR217" i="1"/>
  <c r="BB217" i="1"/>
  <c r="AR168" i="1"/>
  <c r="Z168" i="1" s="1"/>
  <c r="BB168" i="1"/>
  <c r="AR171" i="1"/>
  <c r="Z171" i="1" s="1"/>
  <c r="BB171" i="1"/>
  <c r="AR75" i="1"/>
  <c r="DY75" i="1" s="1"/>
  <c r="BB75" i="1"/>
  <c r="DZ75" i="1" s="1"/>
  <c r="AS163" i="1"/>
  <c r="AU163" i="1" s="1"/>
  <c r="BC163" i="1"/>
  <c r="BD163" i="1" s="1"/>
  <c r="AR146" i="1"/>
  <c r="BW146" i="1" s="1"/>
  <c r="BB146" i="1"/>
  <c r="AS157" i="1"/>
  <c r="AU157" i="1" s="1"/>
  <c r="BC157" i="1"/>
  <c r="BD157" i="1" s="1"/>
  <c r="AS188" i="1"/>
  <c r="AU188" i="1" s="1"/>
  <c r="BC188" i="1"/>
  <c r="BD188" i="1" s="1"/>
  <c r="AR318" i="1"/>
  <c r="BB318" i="1"/>
  <c r="AS241" i="1"/>
  <c r="AU241" i="1" s="1"/>
  <c r="BC241" i="1"/>
  <c r="BD241" i="1" s="1"/>
  <c r="AR134" i="1"/>
  <c r="BB134" i="1"/>
  <c r="AS134" i="1"/>
  <c r="AU134" i="1" s="1"/>
  <c r="BC134" i="1"/>
  <c r="BD134" i="1" s="1"/>
  <c r="AS363" i="1"/>
  <c r="AU363" i="1" s="1"/>
  <c r="BC363" i="1"/>
  <c r="BD363" i="1" s="1"/>
  <c r="AR204" i="1"/>
  <c r="DY204" i="1" s="1"/>
  <c r="BB204" i="1"/>
  <c r="DZ204" i="1" s="1"/>
  <c r="AS335" i="1"/>
  <c r="AU335" i="1" s="1"/>
  <c r="BC335" i="1"/>
  <c r="BD335" i="1" s="1"/>
  <c r="AS34" i="1"/>
  <c r="AU34" i="1" s="1"/>
  <c r="BC34" i="1"/>
  <c r="BD34" i="1" s="1"/>
  <c r="AR64" i="1"/>
  <c r="AF64" i="1" s="1"/>
  <c r="BB64" i="1"/>
  <c r="AS91" i="1"/>
  <c r="AU91" i="1" s="1"/>
  <c r="AW91" i="1" s="1"/>
  <c r="BC91" i="1"/>
  <c r="BD91" i="1" s="1"/>
  <c r="AR358" i="1"/>
  <c r="BB358" i="1"/>
  <c r="AS52" i="1"/>
  <c r="AU52" i="1" s="1"/>
  <c r="BC52" i="1"/>
  <c r="BD52" i="1" s="1"/>
  <c r="AS87" i="1"/>
  <c r="AU87" i="1" s="1"/>
  <c r="BC87" i="1"/>
  <c r="BD87" i="1" s="1"/>
  <c r="AR169" i="1"/>
  <c r="BB169" i="1"/>
  <c r="AR361" i="1"/>
  <c r="Z361" i="1" s="1"/>
  <c r="BB361" i="1"/>
  <c r="AR277" i="1"/>
  <c r="BB277" i="1"/>
  <c r="AS339" i="1"/>
  <c r="AU339" i="1" s="1"/>
  <c r="BC339" i="1"/>
  <c r="BD339" i="1" s="1"/>
  <c r="AS343" i="1"/>
  <c r="BC343" i="1"/>
  <c r="AR17" i="1"/>
  <c r="Z17" i="1" s="1"/>
  <c r="BB17" i="1"/>
  <c r="AS117" i="1"/>
  <c r="AU117" i="1" s="1"/>
  <c r="BC117" i="1"/>
  <c r="BD117" i="1" s="1"/>
  <c r="AS119" i="1"/>
  <c r="AU119" i="1" s="1"/>
  <c r="BC119" i="1"/>
  <c r="BD119" i="1" s="1"/>
  <c r="AS353" i="1"/>
  <c r="AU353" i="1" s="1"/>
  <c r="BC353" i="1"/>
  <c r="BD353" i="1" s="1"/>
  <c r="AR98" i="1"/>
  <c r="BB98" i="1"/>
  <c r="AS213" i="1"/>
  <c r="AU213" i="1" s="1"/>
  <c r="BC213" i="1"/>
  <c r="BD213" i="1" s="1"/>
  <c r="AR271" i="1"/>
  <c r="Z271" i="1" s="1"/>
  <c r="BB271" i="1"/>
  <c r="AR215" i="1"/>
  <c r="Z215" i="1" s="1"/>
  <c r="BB215" i="1"/>
  <c r="AR108" i="1"/>
  <c r="DY108" i="1" s="1"/>
  <c r="BB108" i="1"/>
  <c r="DZ108" i="1" s="1"/>
  <c r="AR193" i="1"/>
  <c r="Z193" i="1" s="1"/>
  <c r="BB193" i="1"/>
  <c r="AS196" i="1"/>
  <c r="AU196" i="1" s="1"/>
  <c r="BC196" i="1"/>
  <c r="BD196" i="1" s="1"/>
  <c r="AS314" i="1"/>
  <c r="AU314" i="1" s="1"/>
  <c r="BC314" i="1"/>
  <c r="BD314" i="1" s="1"/>
  <c r="AR340" i="1"/>
  <c r="BB340" i="1"/>
  <c r="AR370" i="1"/>
  <c r="BB370" i="1"/>
  <c r="CQ370" i="1" s="1"/>
  <c r="AS96" i="1"/>
  <c r="AU96" i="1" s="1"/>
  <c r="BC96" i="1"/>
  <c r="BD96" i="1" s="1"/>
  <c r="AR173" i="1"/>
  <c r="Z173" i="1" s="1"/>
  <c r="BB173" i="1"/>
  <c r="AS275" i="1"/>
  <c r="EN275" i="1" s="1"/>
  <c r="BC275" i="1"/>
  <c r="AS212" i="1"/>
  <c r="AU212" i="1" s="1"/>
  <c r="BC212" i="1"/>
  <c r="BD212" i="1" s="1"/>
  <c r="AR95" i="1"/>
  <c r="BB95" i="1"/>
  <c r="AR33" i="1"/>
  <c r="Z33" i="1" s="1"/>
  <c r="BB33" i="1"/>
  <c r="AR292" i="1"/>
  <c r="BB292" i="1"/>
  <c r="AR125" i="1"/>
  <c r="BB125" i="1"/>
  <c r="AR172" i="1"/>
  <c r="Z172" i="1" s="1"/>
  <c r="BB172" i="1"/>
  <c r="AS47" i="1"/>
  <c r="AU47" i="1" s="1"/>
  <c r="BC47" i="1"/>
  <c r="BD47" i="1" s="1"/>
  <c r="AR123" i="1"/>
  <c r="DY123" i="1" s="1"/>
  <c r="BB123" i="1"/>
  <c r="DZ123" i="1" s="1"/>
  <c r="AS328" i="1"/>
  <c r="BC328" i="1"/>
  <c r="DZ328" i="1" s="1"/>
  <c r="AS346" i="1"/>
  <c r="AU346" i="1" s="1"/>
  <c r="BC346" i="1"/>
  <c r="BD346" i="1" s="1"/>
  <c r="AS156" i="1"/>
  <c r="AU156" i="1" s="1"/>
  <c r="BC156" i="1"/>
  <c r="BD156" i="1" s="1"/>
  <c r="AR111" i="1"/>
  <c r="Z111" i="1" s="1"/>
  <c r="BB111" i="1"/>
  <c r="AS385" i="1"/>
  <c r="AU385" i="1" s="1"/>
  <c r="BC385" i="1"/>
  <c r="BD385" i="1" s="1"/>
  <c r="AS238" i="1"/>
  <c r="AU238" i="1" s="1"/>
  <c r="AW238" i="1" s="1"/>
  <c r="BC238" i="1"/>
  <c r="BD238" i="1" s="1"/>
  <c r="AS390" i="1"/>
  <c r="AU390" i="1" s="1"/>
  <c r="BC390" i="1"/>
  <c r="BD390" i="1" s="1"/>
  <c r="AS70" i="1"/>
  <c r="AU70" i="1" s="1"/>
  <c r="BC70" i="1"/>
  <c r="BD70" i="1" s="1"/>
  <c r="AS357" i="1"/>
  <c r="AU357" i="1" s="1"/>
  <c r="BC357" i="1"/>
  <c r="BD357" i="1" s="1"/>
  <c r="AS9" i="1"/>
  <c r="AU9" i="1" s="1"/>
  <c r="DY9" i="1" s="1"/>
  <c r="BC9" i="1"/>
  <c r="BD9" i="1" s="1"/>
  <c r="DZ9" i="1" s="1"/>
  <c r="AS199" i="1"/>
  <c r="AU199" i="1" s="1"/>
  <c r="BC199" i="1"/>
  <c r="BD199" i="1" s="1"/>
  <c r="AR323" i="1"/>
  <c r="BB323" i="1"/>
  <c r="AS140" i="1"/>
  <c r="AU140" i="1" s="1"/>
  <c r="CP140" i="1" s="1"/>
  <c r="CU140" i="1" s="1"/>
  <c r="BC140" i="1"/>
  <c r="BD140" i="1" s="1"/>
  <c r="CQ140" i="1" s="1"/>
  <c r="AR35" i="1"/>
  <c r="BB35" i="1"/>
  <c r="DZ35" i="1" s="1"/>
  <c r="AR120" i="1"/>
  <c r="Z120" i="1" s="1"/>
  <c r="BB120" i="1"/>
  <c r="AS381" i="1"/>
  <c r="AU381" i="1" s="1"/>
  <c r="BC381" i="1"/>
  <c r="BD381" i="1" s="1"/>
  <c r="AR240" i="1"/>
  <c r="DY240" i="1" s="1"/>
  <c r="BB240" i="1"/>
  <c r="DZ240" i="1" s="1"/>
  <c r="AS374" i="1"/>
  <c r="BC374" i="1"/>
  <c r="AR68" i="1"/>
  <c r="Z68" i="1" s="1"/>
  <c r="BB68" i="1"/>
  <c r="AR51" i="1"/>
  <c r="Z51" i="1" s="1"/>
  <c r="BB51" i="1"/>
  <c r="AR392" i="1"/>
  <c r="AG392" i="1" s="1"/>
  <c r="BB392" i="1"/>
  <c r="AS99" i="1"/>
  <c r="AU99" i="1" s="1"/>
  <c r="BC99" i="1"/>
  <c r="BD99" i="1" s="1"/>
  <c r="AR216" i="1"/>
  <c r="BB216" i="1"/>
  <c r="AR139" i="1"/>
  <c r="BB139" i="1"/>
  <c r="AS186" i="1"/>
  <c r="AU186" i="1" s="1"/>
  <c r="BC186" i="1"/>
  <c r="BD186" i="1" s="1"/>
  <c r="AR307" i="1"/>
  <c r="BB307" i="1"/>
  <c r="AR159" i="1"/>
  <c r="BB159" i="1"/>
  <c r="AR369" i="1"/>
  <c r="DY369" i="1" s="1"/>
  <c r="BB369" i="1"/>
  <c r="DZ369" i="1" s="1"/>
  <c r="AR76" i="1"/>
  <c r="Z76" i="1" s="1"/>
  <c r="BB76" i="1"/>
  <c r="AR206" i="1"/>
  <c r="Z206" i="1" s="1"/>
  <c r="BB206" i="1"/>
  <c r="AR165" i="1"/>
  <c r="DY165" i="1" s="1"/>
  <c r="BB165" i="1"/>
  <c r="DZ165" i="1" s="1"/>
  <c r="AS60" i="1"/>
  <c r="AU60" i="1" s="1"/>
  <c r="BC60" i="1"/>
  <c r="BD60" i="1" s="1"/>
  <c r="AR61" i="1"/>
  <c r="AF61" i="1" s="1"/>
  <c r="BB61" i="1"/>
  <c r="AR282" i="1"/>
  <c r="BB282" i="1"/>
  <c r="AR101" i="1"/>
  <c r="Z101" i="1" s="1"/>
  <c r="BB101" i="1"/>
  <c r="AS49" i="1"/>
  <c r="AU49" i="1" s="1"/>
  <c r="BC49" i="1"/>
  <c r="BD49" i="1" s="1"/>
  <c r="AS159" i="1"/>
  <c r="AU159" i="1" s="1"/>
  <c r="BC159" i="1"/>
  <c r="BD159" i="1" s="1"/>
  <c r="AR200" i="1"/>
  <c r="BB200" i="1"/>
  <c r="AR297" i="1"/>
  <c r="Z297" i="1" s="1"/>
  <c r="BB297" i="1"/>
  <c r="AS248" i="1"/>
  <c r="BC248" i="1"/>
  <c r="AS256" i="1"/>
  <c r="AU256" i="1" s="1"/>
  <c r="DY256" i="1" s="1"/>
  <c r="BC256" i="1"/>
  <c r="BD256" i="1" s="1"/>
  <c r="DZ256" i="1" s="1"/>
  <c r="AQ80" i="1"/>
  <c r="AQ199" i="1"/>
  <c r="AQ46" i="1"/>
  <c r="AQ269" i="1"/>
  <c r="AQ75" i="1"/>
  <c r="AQ59" i="1"/>
  <c r="AQ145" i="1"/>
  <c r="DY145" i="1" s="1"/>
  <c r="AQ4" i="1"/>
  <c r="AQ105" i="1"/>
  <c r="DY105" i="1" s="1"/>
  <c r="AQ290" i="1"/>
  <c r="AW290" i="1" s="1"/>
  <c r="AQ148" i="1"/>
  <c r="AQ74" i="1"/>
  <c r="DY74" i="1" s="1"/>
  <c r="AQ62" i="1"/>
  <c r="AQ273" i="1"/>
  <c r="AQ115" i="1"/>
  <c r="AQ336" i="1"/>
  <c r="AQ235" i="1"/>
  <c r="AQ332" i="1"/>
  <c r="AQ342" i="1"/>
  <c r="AQ278" i="1"/>
  <c r="AQ295" i="1"/>
  <c r="AQ298" i="1"/>
  <c r="AQ392" i="1"/>
  <c r="AQ281" i="1"/>
  <c r="DY281" i="1" s="1"/>
  <c r="AQ89" i="1"/>
  <c r="AQ71" i="1"/>
  <c r="DY71" i="1" s="1"/>
  <c r="AQ293" i="1"/>
  <c r="AQ163" i="1"/>
  <c r="AQ358" i="1"/>
  <c r="DY358" i="1" s="1"/>
  <c r="AQ300" i="1"/>
  <c r="AQ106" i="1"/>
  <c r="AQ338" i="1"/>
  <c r="AQ291" i="1"/>
  <c r="AQ141" i="1"/>
  <c r="AQ9" i="1"/>
  <c r="AQ253" i="1"/>
  <c r="AQ166" i="1"/>
  <c r="AQ318" i="1"/>
  <c r="AQ134" i="1"/>
  <c r="AQ204" i="1"/>
  <c r="AQ267" i="1"/>
  <c r="AQ303" i="1"/>
  <c r="AQ64" i="1"/>
  <c r="AQ218" i="1"/>
  <c r="AQ339" i="1"/>
  <c r="AQ285" i="1"/>
  <c r="AQ104" i="1"/>
  <c r="AQ84" i="1"/>
  <c r="AQ349" i="1"/>
  <c r="AQ97" i="1"/>
  <c r="AQ76" i="1"/>
  <c r="AQ370" i="1"/>
  <c r="AQ284" i="1"/>
  <c r="AQ219" i="1"/>
  <c r="AQ388" i="1"/>
  <c r="AQ33" i="1"/>
  <c r="AQ217" i="1"/>
  <c r="AQ328" i="1"/>
  <c r="AQ156" i="1"/>
  <c r="AQ357" i="1"/>
  <c r="AQ208" i="1"/>
  <c r="AQ378" i="1"/>
  <c r="DY378" i="1" s="1"/>
  <c r="AQ120" i="1"/>
  <c r="AQ202" i="1"/>
  <c r="AQ381" i="1"/>
  <c r="DY381" i="1" s="1"/>
  <c r="AQ18" i="1"/>
  <c r="AQ249" i="1"/>
  <c r="AQ375" i="1"/>
  <c r="DY375" i="1" s="1"/>
  <c r="AQ25" i="1"/>
  <c r="AQ330" i="1"/>
  <c r="AQ224" i="1"/>
  <c r="AQ12" i="1"/>
  <c r="AQ101" i="1"/>
  <c r="AW101" i="1" s="1"/>
  <c r="AQ93" i="1"/>
  <c r="AQ171" i="1"/>
  <c r="DY171" i="1" s="1"/>
  <c r="AQ143" i="1"/>
  <c r="AQ65" i="1"/>
  <c r="AW65" i="1" s="1"/>
  <c r="AQ140" i="1"/>
  <c r="AQ183" i="1"/>
  <c r="AQ260" i="1"/>
  <c r="AQ184" i="1"/>
  <c r="AQ178" i="1"/>
  <c r="DY178" i="1" s="1"/>
  <c r="AQ304" i="1"/>
  <c r="AQ5" i="1"/>
  <c r="AQ118" i="1"/>
  <c r="DY118" i="1" s="1"/>
  <c r="AQ85" i="1"/>
  <c r="AQ286" i="1"/>
  <c r="AW286" i="1" s="1"/>
  <c r="AQ157" i="1"/>
  <c r="AQ371" i="1"/>
  <c r="AQ220" i="1"/>
  <c r="AQ345" i="1"/>
  <c r="AQ203" i="1"/>
  <c r="AQ373" i="1"/>
  <c r="AQ272" i="1"/>
  <c r="AQ40" i="1"/>
  <c r="AQ73" i="1"/>
  <c r="AQ160" i="1"/>
  <c r="AQ280" i="1"/>
  <c r="AQ21" i="1"/>
  <c r="AQ226" i="1"/>
  <c r="AQ261" i="1"/>
  <c r="AQ239" i="1"/>
  <c r="AQ334" i="1"/>
  <c r="DY334" i="1" s="1"/>
  <c r="AQ311" i="1"/>
  <c r="AQ79" i="1"/>
  <c r="AQ241" i="1"/>
  <c r="AQ368" i="1"/>
  <c r="DY368" i="1" s="1"/>
  <c r="AQ151" i="1"/>
  <c r="AQ361" i="1"/>
  <c r="AQ245" i="1"/>
  <c r="AQ8" i="1"/>
  <c r="AQ132" i="1"/>
  <c r="DY132" i="1" s="1"/>
  <c r="AQ337" i="1"/>
  <c r="AQ279" i="1"/>
  <c r="AQ372" i="1"/>
  <c r="DY372" i="1" s="1"/>
  <c r="AQ335" i="1"/>
  <c r="AQ366" i="1"/>
  <c r="AQ211" i="1"/>
  <c r="AQ16" i="1"/>
  <c r="AQ237" i="1"/>
  <c r="DY237" i="1" s="1"/>
  <c r="AQ309" i="1"/>
  <c r="AQ191" i="1"/>
  <c r="AQ294" i="1"/>
  <c r="AW294" i="1" s="1"/>
  <c r="AQ353" i="1"/>
  <c r="AQ98" i="1"/>
  <c r="AQ198" i="1"/>
  <c r="AW198" i="1" s="1"/>
  <c r="AQ302" i="1"/>
  <c r="AQ369" i="1"/>
  <c r="AQ362" i="1"/>
  <c r="AQ346" i="1"/>
  <c r="AQ111" i="1"/>
  <c r="AQ325" i="1"/>
  <c r="AQ121" i="1"/>
  <c r="AQ70" i="1"/>
  <c r="AQ257" i="1"/>
  <c r="AQ35" i="1"/>
  <c r="AQ175" i="1"/>
  <c r="AQ69" i="1"/>
  <c r="AQ68" i="1"/>
  <c r="AQ186" i="1"/>
  <c r="AQ139" i="1"/>
  <c r="AQ307" i="1"/>
  <c r="AQ207" i="1"/>
  <c r="AQ282" i="1"/>
  <c r="AQ41" i="1"/>
  <c r="AQ270" i="1"/>
  <c r="AQ274" i="1"/>
  <c r="AQ231" i="1"/>
  <c r="AQ15" i="1"/>
  <c r="AQ58" i="1"/>
  <c r="DY58" i="1" s="1"/>
  <c r="AQ256" i="1"/>
  <c r="AQ51" i="1"/>
  <c r="AQ123" i="1"/>
  <c r="AQ287" i="1"/>
  <c r="AQ288" i="1"/>
  <c r="AQ242" i="1"/>
  <c r="AQ100" i="1"/>
  <c r="AQ109" i="1"/>
  <c r="AQ37" i="1"/>
  <c r="AW37" i="1" s="1"/>
  <c r="AQ116" i="1"/>
  <c r="AW116" i="1" s="1"/>
  <c r="AQ262" i="1"/>
  <c r="DY262" i="1" s="1"/>
  <c r="AQ386" i="1"/>
  <c r="AQ389" i="1"/>
  <c r="DY389" i="1" s="1"/>
  <c r="AQ384" i="1"/>
  <c r="AQ230" i="1"/>
  <c r="AQ283" i="1"/>
  <c r="AQ326" i="1"/>
  <c r="DY326" i="1" s="1"/>
  <c r="AQ113" i="1"/>
  <c r="AQ27" i="1"/>
  <c r="AQ213" i="1"/>
  <c r="AQ197" i="1"/>
  <c r="AQ17" i="1"/>
  <c r="AQ133" i="1"/>
  <c r="DY133" i="1" s="1"/>
  <c r="AQ92" i="1"/>
  <c r="AQ152" i="1"/>
  <c r="AQ322" i="1"/>
  <c r="DY322" i="1" s="1"/>
  <c r="AQ138" i="1"/>
  <c r="AQ364" i="1"/>
  <c r="AQ296" i="1"/>
  <c r="AQ39" i="1"/>
  <c r="DY39" i="1" s="1"/>
  <c r="AQ297" i="1"/>
  <c r="DY297" i="1" s="1"/>
  <c r="AQ45" i="1"/>
  <c r="AQ394" i="1"/>
  <c r="AQ331" i="1"/>
  <c r="DY331" i="1" s="1"/>
  <c r="AQ391" i="1"/>
  <c r="AQ86" i="1"/>
  <c r="AQ94" i="1"/>
  <c r="AQ248" i="1"/>
  <c r="AQ268" i="1"/>
  <c r="DY268" i="1" s="1"/>
  <c r="AQ192" i="1"/>
  <c r="AQ363" i="1"/>
  <c r="AQ320" i="1"/>
  <c r="AQ124" i="1"/>
  <c r="AW124" i="1" s="1"/>
  <c r="AQ348" i="1"/>
  <c r="DY348" i="1" s="1"/>
  <c r="AQ222" i="1"/>
  <c r="DY222" i="1" s="1"/>
  <c r="AQ135" i="1"/>
  <c r="AQ350" i="1"/>
  <c r="AQ117" i="1"/>
  <c r="DY117" i="1" s="1"/>
  <c r="AQ108" i="1"/>
  <c r="AQ271" i="1"/>
  <c r="AQ215" i="1"/>
  <c r="DY215" i="1" s="1"/>
  <c r="AQ354" i="1"/>
  <c r="AQ340" i="1"/>
  <c r="AQ314" i="1"/>
  <c r="DY314" i="1" s="1"/>
  <c r="AQ255" i="1"/>
  <c r="AQ244" i="1"/>
  <c r="DY244" i="1" s="1"/>
  <c r="AQ54" i="1"/>
  <c r="AQ173" i="1"/>
  <c r="DY173" i="1" s="1"/>
  <c r="AQ355" i="1"/>
  <c r="AQ32" i="1"/>
  <c r="AQ251" i="1"/>
  <c r="DY251" i="1" s="1"/>
  <c r="AQ47" i="1"/>
  <c r="AQ383" i="1"/>
  <c r="DY383" i="1" s="1"/>
  <c r="AQ301" i="1"/>
  <c r="DY301" i="1" s="1"/>
  <c r="AQ385" i="1"/>
  <c r="DY385" i="1" s="1"/>
  <c r="AQ351" i="1"/>
  <c r="AQ170" i="1"/>
  <c r="AQ319" i="1"/>
  <c r="AQ240" i="1"/>
  <c r="AQ374" i="1"/>
  <c r="AQ153" i="1"/>
  <c r="DY153" i="1" s="1"/>
  <c r="AQ99" i="1"/>
  <c r="AQ216" i="1"/>
  <c r="AQ77" i="1"/>
  <c r="AQ114" i="1"/>
  <c r="AQ81" i="1"/>
  <c r="DY81" i="1" s="1"/>
  <c r="AQ20" i="1"/>
  <c r="AQ154" i="1"/>
  <c r="AQ129" i="1"/>
  <c r="DY129" i="1" s="1"/>
  <c r="AQ172" i="1"/>
  <c r="AQ252" i="1"/>
  <c r="DY252" i="1" s="1"/>
  <c r="AQ177" i="1"/>
  <c r="AQ23" i="1"/>
  <c r="AQ146" i="1"/>
  <c r="DY146" i="1" s="1"/>
  <c r="AQ185" i="1"/>
  <c r="AQ359" i="1"/>
  <c r="AQ6" i="1"/>
  <c r="DY6" i="1" s="1"/>
  <c r="AQ150" i="1"/>
  <c r="AQ360" i="1"/>
  <c r="AQ254" i="1"/>
  <c r="AQ7" i="1"/>
  <c r="AQ187" i="1"/>
  <c r="AQ264" i="1"/>
  <c r="AQ174" i="1"/>
  <c r="DY174" i="1" s="1"/>
  <c r="AQ313" i="1"/>
  <c r="AQ333" i="1"/>
  <c r="AQ19" i="1"/>
  <c r="AQ233" i="1"/>
  <c r="AQ316" i="1"/>
  <c r="AQ352" i="1"/>
  <c r="DY352" i="1" s="1"/>
  <c r="AQ214" i="1"/>
  <c r="AQ72" i="1"/>
  <c r="AQ155" i="1"/>
  <c r="AQ38" i="1"/>
  <c r="AQ48" i="1"/>
  <c r="AQ180" i="1"/>
  <c r="AQ223" i="1"/>
  <c r="AQ119" i="1"/>
  <c r="AQ200" i="1"/>
  <c r="AQ67" i="1"/>
  <c r="DY67" i="1" s="1"/>
  <c r="AQ365" i="1"/>
  <c r="AQ377" i="1"/>
  <c r="AQ232" i="1"/>
  <c r="DY232" i="1" s="1"/>
  <c r="AQ380" i="1"/>
  <c r="AQ88" i="1"/>
  <c r="AW88" i="1" s="1"/>
  <c r="AQ144" i="1"/>
  <c r="AQ149" i="1"/>
  <c r="DY149" i="1" s="1"/>
  <c r="AQ387" i="1"/>
  <c r="DY387" i="1" s="1"/>
  <c r="AQ36" i="1"/>
  <c r="AQ390" i="1"/>
  <c r="AQ50" i="1"/>
  <c r="AQ209" i="1"/>
  <c r="AQ55" i="1"/>
  <c r="DY55" i="1" s="1"/>
  <c r="AQ130" i="1"/>
  <c r="AQ227" i="1"/>
  <c r="AQ78" i="1"/>
  <c r="AQ188" i="1"/>
  <c r="AQ321" i="1"/>
  <c r="AQ30" i="1"/>
  <c r="AQ34" i="1"/>
  <c r="DY34" i="1" s="1"/>
  <c r="AQ136" i="1"/>
  <c r="AQ190" i="1"/>
  <c r="AQ43" i="1"/>
  <c r="AQ310" i="1"/>
  <c r="AQ341" i="1"/>
  <c r="AQ14" i="1"/>
  <c r="AQ258" i="1"/>
  <c r="AQ343" i="1"/>
  <c r="AQ201" i="1"/>
  <c r="AQ243" i="1"/>
  <c r="AQ259" i="1"/>
  <c r="AQ212" i="1"/>
  <c r="AQ194" i="1"/>
  <c r="DY194" i="1" s="1"/>
  <c r="AQ31" i="1"/>
  <c r="AQ161" i="1"/>
  <c r="DY161" i="1" s="1"/>
  <c r="AQ96" i="1"/>
  <c r="AQ379" i="1"/>
  <c r="AQ110" i="1"/>
  <c r="AQ159" i="1"/>
  <c r="AQ347" i="1"/>
  <c r="DY347" i="1" s="1"/>
  <c r="AQ275" i="1"/>
  <c r="AQ11" i="1"/>
  <c r="AQ376" i="1"/>
  <c r="AQ147" i="1"/>
  <c r="AQ247" i="1"/>
  <c r="AQ26" i="1"/>
  <c r="AQ312" i="1"/>
  <c r="AQ195" i="1"/>
  <c r="AQ228" i="1"/>
  <c r="AQ83" i="1"/>
  <c r="AQ82" i="1"/>
  <c r="AW82" i="1" s="1"/>
  <c r="AQ323" i="1"/>
  <c r="AQ158" i="1"/>
  <c r="AQ128" i="1"/>
  <c r="AQ317" i="1"/>
  <c r="AQ299" i="1"/>
  <c r="AQ24" i="1"/>
  <c r="AQ168" i="1"/>
  <c r="AQ356" i="1"/>
  <c r="AQ13" i="1"/>
  <c r="AQ56" i="1"/>
  <c r="AQ10" i="1"/>
  <c r="DY10" i="1" s="1"/>
  <c r="AQ179" i="1"/>
  <c r="DY179" i="1" s="1"/>
  <c r="AU287" i="1"/>
  <c r="AU214" i="1"/>
  <c r="AU160" i="1"/>
  <c r="AU44" i="1"/>
  <c r="AU122" i="1"/>
  <c r="AW122" i="1" s="1"/>
  <c r="AU126" i="1"/>
  <c r="AW126" i="1" s="1"/>
  <c r="AU210" i="1"/>
  <c r="AW210" i="1" s="1"/>
  <c r="AU145" i="1"/>
  <c r="AU131" i="1"/>
  <c r="AW131" i="1" s="1"/>
  <c r="AU205" i="1"/>
  <c r="AW205" i="1" s="1"/>
  <c r="AR115" i="1"/>
  <c r="Z115" i="1" s="1"/>
  <c r="AR59" i="1"/>
  <c r="DY59" i="1" s="1"/>
  <c r="AR298" i="1"/>
  <c r="AR259" i="1"/>
  <c r="AS265" i="1"/>
  <c r="AU265" i="1" s="1"/>
  <c r="AS261" i="1"/>
  <c r="AU261" i="1" s="1"/>
  <c r="CP261" i="1" s="1"/>
  <c r="CU261" i="1" s="1"/>
  <c r="AR226" i="1"/>
  <c r="DY226" i="1" s="1"/>
  <c r="AR230" i="1"/>
  <c r="DY230" i="1" s="1"/>
  <c r="AR39" i="1"/>
  <c r="Z39" i="1" s="1"/>
  <c r="AR152" i="1"/>
  <c r="AS190" i="1"/>
  <c r="AU190" i="1" s="1"/>
  <c r="AS310" i="1"/>
  <c r="AU310" i="1" s="1"/>
  <c r="AR218" i="1"/>
  <c r="Z218" i="1" s="1"/>
  <c r="AR7" i="1"/>
  <c r="AS135" i="1"/>
  <c r="AU135" i="1" s="1"/>
  <c r="FM16" i="1"/>
  <c r="BK609" i="1"/>
  <c r="BK612" i="1"/>
  <c r="BK611" i="1"/>
  <c r="BK610" i="1"/>
  <c r="EE611" i="1"/>
  <c r="BX611" i="1"/>
  <c r="AX606" i="1"/>
  <c r="EE609" i="1"/>
  <c r="AX609" i="1"/>
  <c r="AX612" i="1"/>
  <c r="BY611" i="1"/>
  <c r="AX613" i="1"/>
  <c r="AX610" i="1"/>
  <c r="BX609" i="1"/>
  <c r="AX611" i="1"/>
  <c r="AX608" i="1"/>
  <c r="CY609" i="1"/>
  <c r="BK606" i="1"/>
  <c r="BY609" i="1"/>
  <c r="BG574" i="1" l="1" a="1"/>
  <c r="BG574" i="1" s="1"/>
  <c r="BF574" i="1" a="1"/>
  <c r="BF574" i="1" s="1"/>
  <c r="CU391" i="1"/>
  <c r="CU308" i="1"/>
  <c r="BK613" i="1"/>
  <c r="BI613" i="1"/>
  <c r="BV612" i="1"/>
  <c r="BY612" i="1" s="1"/>
  <c r="BO611" i="1"/>
  <c r="Q611" i="1" s="1"/>
  <c r="BV610" i="1"/>
  <c r="BY610" i="1" s="1"/>
  <c r="BO613" i="1"/>
  <c r="CW610" i="1"/>
  <c r="CY610" i="1" s="1"/>
  <c r="BO610" i="1"/>
  <c r="BI610" i="1"/>
  <c r="CU613" i="1"/>
  <c r="CX613" i="1" s="1"/>
  <c r="BV613" i="1"/>
  <c r="BY613" i="1" s="1"/>
  <c r="CU610" i="1"/>
  <c r="CX610" i="1" s="1"/>
  <c r="CW613" i="1"/>
  <c r="CY613" i="1" s="1"/>
  <c r="BI612" i="1"/>
  <c r="BT612" i="1"/>
  <c r="BO612" i="1"/>
  <c r="BT610" i="1"/>
  <c r="BT613" i="1"/>
  <c r="EC612" i="1"/>
  <c r="EE612" i="1" s="1"/>
  <c r="BO608" i="1"/>
  <c r="CW612" i="1"/>
  <c r="CY612" i="1" s="1"/>
  <c r="BV608" i="1"/>
  <c r="BY608" i="1" s="1"/>
  <c r="BT608" i="1"/>
  <c r="BO609" i="1"/>
  <c r="Q609" i="1" s="1"/>
  <c r="CU612" i="1"/>
  <c r="CX612" i="1" s="1"/>
  <c r="AY609" i="1"/>
  <c r="AY608" i="1"/>
  <c r="AY612" i="1"/>
  <c r="AY613" i="1"/>
  <c r="AY610" i="1"/>
  <c r="AY611" i="1"/>
  <c r="AU497" i="1"/>
  <c r="AW497" i="1" s="1"/>
  <c r="U182" i="1"/>
  <c r="AW604" i="1"/>
  <c r="AW590" i="1"/>
  <c r="AW597" i="1"/>
  <c r="AW592" i="1"/>
  <c r="AW605" i="1"/>
  <c r="U602" i="1"/>
  <c r="AW603" i="1"/>
  <c r="AW601" i="1"/>
  <c r="U211" i="1"/>
  <c r="AW606" i="1"/>
  <c r="AW599" i="1"/>
  <c r="U601" i="1"/>
  <c r="Z601" i="1"/>
  <c r="AX607" i="1"/>
  <c r="BK604" i="1"/>
  <c r="BK605" i="1"/>
  <c r="AX604" i="1"/>
  <c r="CX609" i="1"/>
  <c r="AX605" i="1"/>
  <c r="BK547" i="1"/>
  <c r="EE606" i="1"/>
  <c r="Q608" i="1" l="1"/>
  <c r="V611" i="1"/>
  <c r="AJ611" i="1" s="1"/>
  <c r="V609" i="1"/>
  <c r="AJ609" i="1" s="1"/>
  <c r="Q613" i="1"/>
  <c r="Q612" i="1"/>
  <c r="Q610" i="1"/>
  <c r="BX612" i="1"/>
  <c r="V612" i="1" s="1"/>
  <c r="AB612" i="1"/>
  <c r="W609" i="1"/>
  <c r="AI609" i="1" s="1"/>
  <c r="AB609" i="1"/>
  <c r="AA609" i="1"/>
  <c r="W610" i="1"/>
  <c r="AA610" i="1"/>
  <c r="AA613" i="1"/>
  <c r="W613" i="1"/>
  <c r="BX608" i="1"/>
  <c r="V608" i="1" s="1"/>
  <c r="AB608" i="1"/>
  <c r="W608" i="1"/>
  <c r="AA608" i="1"/>
  <c r="W611" i="1"/>
  <c r="AI611" i="1" s="1"/>
  <c r="AA611" i="1"/>
  <c r="AB611" i="1"/>
  <c r="BX613" i="1"/>
  <c r="V613" i="1" s="1"/>
  <c r="AB613" i="1"/>
  <c r="W612" i="1"/>
  <c r="AA612" i="1"/>
  <c r="BX610" i="1"/>
  <c r="V610" i="1" s="1"/>
  <c r="AB610" i="1"/>
  <c r="AW595" i="1"/>
  <c r="AG601" i="1"/>
  <c r="AH601" i="1" s="1"/>
  <c r="AW598" i="1"/>
  <c r="AW602" i="1"/>
  <c r="AW593" i="1"/>
  <c r="BA593" i="1"/>
  <c r="DZ593" i="1" s="1"/>
  <c r="ED593" i="1" s="1"/>
  <c r="BF593" i="1" a="1"/>
  <c r="BF593" i="1" s="1"/>
  <c r="BH593" i="1" s="1"/>
  <c r="Z597" i="1"/>
  <c r="U597" i="1"/>
  <c r="EP607" i="1"/>
  <c r="EA607" i="1"/>
  <c r="CS607" i="1"/>
  <c r="BA607" i="1"/>
  <c r="BF607" i="1" a="1"/>
  <c r="BF607" i="1" s="1"/>
  <c r="BG607" i="1" a="1"/>
  <c r="BG607" i="1" s="1"/>
  <c r="DY599" i="1"/>
  <c r="EC599" i="1" s="1"/>
  <c r="EE599" i="1" s="1"/>
  <c r="CP599" i="1"/>
  <c r="CR599" i="1"/>
  <c r="CW599" i="1" s="1"/>
  <c r="CY599" i="1" s="1"/>
  <c r="BA604" i="1"/>
  <c r="BF604" i="1" a="1"/>
  <c r="BF604" i="1" s="1"/>
  <c r="BH604" i="1" s="1"/>
  <c r="BA599" i="1"/>
  <c r="BF599" i="1" a="1"/>
  <c r="BF599" i="1" s="1"/>
  <c r="DY595" i="1"/>
  <c r="CP595" i="1"/>
  <c r="CR595" i="1"/>
  <c r="AG595" i="1" s="1"/>
  <c r="DY604" i="1"/>
  <c r="EC604" i="1" s="1"/>
  <c r="EE604" i="1" s="1"/>
  <c r="CR604" i="1"/>
  <c r="CW604" i="1" s="1"/>
  <c r="CY604" i="1" s="1"/>
  <c r="CP604" i="1"/>
  <c r="DZ595" i="1"/>
  <c r="CQ595" i="1"/>
  <c r="Z594" i="1"/>
  <c r="BA603" i="1"/>
  <c r="CQ603" i="1" s="1"/>
  <c r="CV603" i="1" s="1"/>
  <c r="BF603" i="1" a="1"/>
  <c r="BF603" i="1" s="1"/>
  <c r="BH603" i="1" s="1"/>
  <c r="BA591" i="1"/>
  <c r="BF591" i="1" a="1"/>
  <c r="BF591" i="1" s="1"/>
  <c r="DZ594" i="1"/>
  <c r="BD594" i="1"/>
  <c r="CR603" i="1"/>
  <c r="CW603" i="1" s="1"/>
  <c r="CY603" i="1" s="1"/>
  <c r="CP603" i="1"/>
  <c r="Z593" i="1"/>
  <c r="U593" i="1"/>
  <c r="Z605" i="1"/>
  <c r="U605" i="1"/>
  <c r="AU594" i="1"/>
  <c r="AW594" i="1" s="1"/>
  <c r="DY594" i="1"/>
  <c r="AF594" i="1" s="1"/>
  <c r="DZ602" i="1"/>
  <c r="BG599" i="1" a="1"/>
  <c r="BG599" i="1" s="1"/>
  <c r="BD591" i="1"/>
  <c r="CQ591" i="1"/>
  <c r="DZ596" i="1"/>
  <c r="BD596" i="1"/>
  <c r="BA597" i="1"/>
  <c r="BF597" i="1" a="1"/>
  <c r="BF597" i="1" s="1"/>
  <c r="BH597" i="1" s="1"/>
  <c r="AU591" i="1"/>
  <c r="AW591" i="1" s="1"/>
  <c r="CR591" i="1"/>
  <c r="CP591" i="1"/>
  <c r="CP596" i="1"/>
  <c r="AU596" i="1"/>
  <c r="AW596" i="1" s="1"/>
  <c r="DY596" i="1"/>
  <c r="AF596" i="1" s="1"/>
  <c r="AH596" i="1" s="1"/>
  <c r="CR596" i="1"/>
  <c r="CW596" i="1" s="1"/>
  <c r="CY596" i="1" s="1"/>
  <c r="BA602" i="1"/>
  <c r="BF602" i="1" a="1"/>
  <c r="BF602" i="1" s="1"/>
  <c r="BH602" i="1" s="1"/>
  <c r="AU607" i="1"/>
  <c r="AW607" i="1" s="1"/>
  <c r="AY607" i="1" s="1"/>
  <c r="CR607" i="1"/>
  <c r="CW607" i="1" s="1"/>
  <c r="CY607" i="1" s="1"/>
  <c r="CP607" i="1"/>
  <c r="DY600" i="1"/>
  <c r="EC600" i="1" s="1"/>
  <c r="EE600" i="1" s="1"/>
  <c r="CP600" i="1"/>
  <c r="CR600" i="1"/>
  <c r="CW600" i="1" s="1"/>
  <c r="CY600" i="1" s="1"/>
  <c r="BA601" i="1"/>
  <c r="BF601" i="1" a="1"/>
  <c r="BF601" i="1" s="1"/>
  <c r="DY590" i="1"/>
  <c r="EC590" i="1" s="1"/>
  <c r="EE590" i="1" s="1"/>
  <c r="CP590" i="1"/>
  <c r="CR590" i="1"/>
  <c r="CW590" i="1" s="1"/>
  <c r="CY590" i="1" s="1"/>
  <c r="BD607" i="1"/>
  <c r="CQ607" i="1"/>
  <c r="CV607" i="1" s="1"/>
  <c r="BA600" i="1"/>
  <c r="BF600" i="1" a="1"/>
  <c r="BF600" i="1" s="1"/>
  <c r="BH600" i="1" s="1"/>
  <c r="BA595" i="1"/>
  <c r="BF595" i="1" a="1"/>
  <c r="BF595" i="1" s="1"/>
  <c r="BA590" i="1"/>
  <c r="BF590" i="1" a="1"/>
  <c r="BF590" i="1" s="1"/>
  <c r="BH590" i="1" s="1"/>
  <c r="BA596" i="1"/>
  <c r="CQ596" i="1" s="1"/>
  <c r="CV596" i="1" s="1"/>
  <c r="BF596" i="1" a="1"/>
  <c r="BF596" i="1" s="1"/>
  <c r="BA598" i="1"/>
  <c r="BF598" i="1" a="1"/>
  <c r="BF598" i="1" s="1"/>
  <c r="BG598" i="1" a="1"/>
  <c r="BG598" i="1" s="1"/>
  <c r="CP592" i="1"/>
  <c r="CR592" i="1"/>
  <c r="CW592" i="1" s="1"/>
  <c r="CY592" i="1" s="1"/>
  <c r="Z598" i="1"/>
  <c r="U598" i="1"/>
  <c r="BG591" i="1" a="1"/>
  <c r="BG591" i="1" s="1"/>
  <c r="BA594" i="1"/>
  <c r="BF594" i="1" a="1"/>
  <c r="BF594" i="1" s="1"/>
  <c r="BG595" i="1" a="1"/>
  <c r="BG595" i="1" s="1"/>
  <c r="BV607" i="1"/>
  <c r="BY607" i="1" s="1"/>
  <c r="EC607" i="1"/>
  <c r="EE607" i="1" s="1"/>
  <c r="BT607" i="1"/>
  <c r="BX607" i="1" s="1"/>
  <c r="AG594" i="1"/>
  <c r="BA592" i="1"/>
  <c r="CQ592" i="1" s="1"/>
  <c r="CV592" i="1" s="1"/>
  <c r="BF592" i="1" a="1"/>
  <c r="BF592" i="1" s="1"/>
  <c r="BH592" i="1" s="1"/>
  <c r="BG601" i="1" a="1"/>
  <c r="BG601" i="1" s="1"/>
  <c r="BA605" i="1"/>
  <c r="BF605" i="1" a="1"/>
  <c r="BF605" i="1" s="1"/>
  <c r="BH605" i="1" s="1"/>
  <c r="BA606" i="1"/>
  <c r="BF606" i="1" a="1"/>
  <c r="BF606" i="1" s="1"/>
  <c r="BH606" i="1" s="1"/>
  <c r="BW606" i="1"/>
  <c r="EA606" i="1"/>
  <c r="DJ606" i="1"/>
  <c r="EA605" i="1"/>
  <c r="CS604" i="1"/>
  <c r="EA604" i="1"/>
  <c r="CS606" i="1"/>
  <c r="EP606" i="1"/>
  <c r="DJ607" i="1"/>
  <c r="DJ605" i="1"/>
  <c r="EP604" i="1"/>
  <c r="EP605" i="1"/>
  <c r="DJ604" i="1"/>
  <c r="CS605" i="1"/>
  <c r="EA603" i="1"/>
  <c r="EA602" i="1"/>
  <c r="EA601" i="1"/>
  <c r="DJ603" i="1"/>
  <c r="DJ602" i="1"/>
  <c r="DJ601" i="1"/>
  <c r="CS603" i="1"/>
  <c r="CS602" i="1"/>
  <c r="EP603" i="1"/>
  <c r="EP602" i="1"/>
  <c r="EP601" i="1"/>
  <c r="CS601" i="1"/>
  <c r="AY604" i="1"/>
  <c r="AY605" i="1"/>
  <c r="BI605" i="1"/>
  <c r="BV604" i="1"/>
  <c r="BY604" i="1" s="1"/>
  <c r="BK607" i="1"/>
  <c r="BO607" i="1"/>
  <c r="BI604" i="1"/>
  <c r="CW605" i="1"/>
  <c r="CY605" i="1" s="1"/>
  <c r="BI607" i="1"/>
  <c r="EC605" i="1"/>
  <c r="EE605" i="1" s="1"/>
  <c r="BV605" i="1"/>
  <c r="BY605" i="1" s="1"/>
  <c r="BO606" i="1"/>
  <c r="Q606" i="1" s="1"/>
  <c r="BO605" i="1"/>
  <c r="CU605" i="1"/>
  <c r="CX605" i="1" s="1"/>
  <c r="BO604" i="1"/>
  <c r="BT605" i="1"/>
  <c r="BT604" i="1"/>
  <c r="CC605" i="1"/>
  <c r="CG605" i="1" s="1"/>
  <c r="CE604" i="1"/>
  <c r="CH604" i="1" s="1"/>
  <c r="CE605" i="1"/>
  <c r="CH605" i="1" s="1"/>
  <c r="CC604" i="1"/>
  <c r="CG604" i="1" s="1"/>
  <c r="AY606" i="1"/>
  <c r="DY35" i="1"/>
  <c r="AF35" i="1" s="1"/>
  <c r="DY141" i="1"/>
  <c r="AF141" i="1" s="1"/>
  <c r="DY487" i="1"/>
  <c r="AF487" i="1" s="1"/>
  <c r="DY463" i="1"/>
  <c r="AF463" i="1" s="1"/>
  <c r="DY503" i="1"/>
  <c r="AF503" i="1" s="1"/>
  <c r="DY380" i="1"/>
  <c r="AF380" i="1" s="1"/>
  <c r="DY184" i="1"/>
  <c r="AF184" i="1" s="1"/>
  <c r="DY259" i="1"/>
  <c r="AF259" i="1" s="1"/>
  <c r="DY176" i="1"/>
  <c r="AF176" i="1" s="1"/>
  <c r="DY270" i="1"/>
  <c r="DY258" i="1"/>
  <c r="AF258" i="1" s="1"/>
  <c r="DY350" i="1"/>
  <c r="EN350" i="1"/>
  <c r="DY311" i="1"/>
  <c r="AF311" i="1" s="1"/>
  <c r="DY434" i="1"/>
  <c r="AF434" i="1" s="1"/>
  <c r="DY561" i="1"/>
  <c r="AF561" i="1" s="1"/>
  <c r="DY328" i="1"/>
  <c r="AF328" i="1" s="1"/>
  <c r="DY589" i="1"/>
  <c r="AF589" i="1" s="1"/>
  <c r="DY287" i="1"/>
  <c r="DY65" i="1"/>
  <c r="DY83" i="1"/>
  <c r="DY17" i="1"/>
  <c r="DY56" i="1"/>
  <c r="AF460" i="1"/>
  <c r="AF225" i="1"/>
  <c r="BK580" i="1"/>
  <c r="BK597" i="1"/>
  <c r="CY606" i="1"/>
  <c r="AK611" i="1" l="1"/>
  <c r="Y610" i="1"/>
  <c r="AK609" i="1"/>
  <c r="Y609" i="1"/>
  <c r="Y612" i="1"/>
  <c r="Y613" i="1"/>
  <c r="Y611" i="1"/>
  <c r="Y608" i="1"/>
  <c r="AD607" i="1"/>
  <c r="AE607" i="1" s="1"/>
  <c r="BH601" i="1"/>
  <c r="AH594" i="1"/>
  <c r="BH607" i="1"/>
  <c r="BH598" i="1"/>
  <c r="BH599" i="1"/>
  <c r="AD601" i="1"/>
  <c r="AE601" i="1" s="1"/>
  <c r="AX588" i="1"/>
  <c r="AX592" i="1"/>
  <c r="EE594" i="1"/>
  <c r="AX581" i="1"/>
  <c r="BK555" i="1"/>
  <c r="AX600" i="1"/>
  <c r="AX587" i="1"/>
  <c r="BK562" i="1"/>
  <c r="AX601" i="1"/>
  <c r="BK553" i="1"/>
  <c r="BK556" i="1"/>
  <c r="AX593" i="1"/>
  <c r="EE601" i="1"/>
  <c r="AX585" i="1"/>
  <c r="BK592" i="1"/>
  <c r="AX603" i="1"/>
  <c r="BK583" i="1"/>
  <c r="CY595" i="1"/>
  <c r="BK564" i="1"/>
  <c r="BK588" i="1"/>
  <c r="BY595" i="1"/>
  <c r="BK566" i="1"/>
  <c r="BX595" i="1"/>
  <c r="BK601" i="1"/>
  <c r="BK542" i="1"/>
  <c r="BK595" i="1"/>
  <c r="AX582" i="1"/>
  <c r="AX599" i="1"/>
  <c r="BX601" i="1"/>
  <c r="BK523" i="1"/>
  <c r="AX590" i="1"/>
  <c r="BY601" i="1"/>
  <c r="BK546" i="1"/>
  <c r="CX606" i="1"/>
  <c r="AX595" i="1"/>
  <c r="BK603" i="1"/>
  <c r="BK548" i="1"/>
  <c r="BK531" i="1"/>
  <c r="AX594" i="1"/>
  <c r="AX596" i="1"/>
  <c r="BK563" i="1"/>
  <c r="BK503" i="1"/>
  <c r="AX602" i="1"/>
  <c r="AX586" i="1"/>
  <c r="BK545" i="1"/>
  <c r="EE596" i="1"/>
  <c r="BK554" i="1"/>
  <c r="AX597" i="1"/>
  <c r="BK552" i="1"/>
  <c r="BH594" i="1" l="1"/>
  <c r="BH595" i="1"/>
  <c r="CU603" i="1"/>
  <c r="CX603" i="1" s="1"/>
  <c r="Z603" i="1"/>
  <c r="U603" i="1"/>
  <c r="CU604" i="1"/>
  <c r="CX604" i="1" s="1"/>
  <c r="Z604" i="1"/>
  <c r="U604" i="1"/>
  <c r="CU599" i="1"/>
  <c r="CX599" i="1" s="1"/>
  <c r="U599" i="1"/>
  <c r="Z599" i="1"/>
  <c r="CU600" i="1"/>
  <c r="CX600" i="1" s="1"/>
  <c r="U600" i="1"/>
  <c r="Z600" i="1"/>
  <c r="BH596" i="1"/>
  <c r="DZ590" i="1"/>
  <c r="ED590" i="1" s="1"/>
  <c r="CQ590" i="1"/>
  <c r="CV590" i="1" s="1"/>
  <c r="Z607" i="1"/>
  <c r="U607" i="1"/>
  <c r="CU607" i="1"/>
  <c r="CX607" i="1" s="1"/>
  <c r="V607" i="1" s="1"/>
  <c r="BH591" i="1"/>
  <c r="Z606" i="1"/>
  <c r="Z595" i="1"/>
  <c r="U595" i="1"/>
  <c r="U606" i="1"/>
  <c r="DZ600" i="1"/>
  <c r="ED600" i="1" s="1"/>
  <c r="CQ600" i="1"/>
  <c r="CV600" i="1" s="1"/>
  <c r="AF595" i="1"/>
  <c r="AH595" i="1" s="1"/>
  <c r="DZ599" i="1"/>
  <c r="ED599" i="1" s="1"/>
  <c r="CQ599" i="1"/>
  <c r="CV599" i="1" s="1"/>
  <c r="U594" i="1"/>
  <c r="CU590" i="1"/>
  <c r="CX590" i="1" s="1"/>
  <c r="U590" i="1"/>
  <c r="Z590" i="1"/>
  <c r="CU596" i="1"/>
  <c r="CX596" i="1" s="1"/>
  <c r="Z596" i="1"/>
  <c r="U596" i="1"/>
  <c r="CU592" i="1"/>
  <c r="CX592" i="1" s="1"/>
  <c r="Z592" i="1"/>
  <c r="U592" i="1"/>
  <c r="Z591" i="1"/>
  <c r="U591" i="1"/>
  <c r="CQ604" i="1"/>
  <c r="CV604" i="1" s="1"/>
  <c r="DZ604" i="1"/>
  <c r="ED604" i="1" s="1"/>
  <c r="AA607" i="1"/>
  <c r="W607" i="1"/>
  <c r="AD605" i="1"/>
  <c r="AE605" i="1" s="1"/>
  <c r="AD606" i="1"/>
  <c r="AE606" i="1" s="1"/>
  <c r="AD602" i="1"/>
  <c r="AE602" i="1" s="1"/>
  <c r="Q605" i="1"/>
  <c r="BX604" i="1"/>
  <c r="BX605" i="1"/>
  <c r="V605" i="1" s="1"/>
  <c r="AB605" i="1"/>
  <c r="W604" i="1"/>
  <c r="AA604" i="1"/>
  <c r="AA605" i="1"/>
  <c r="W605" i="1"/>
  <c r="W606" i="1"/>
  <c r="AB606" i="1"/>
  <c r="AD603" i="1"/>
  <c r="AE603" i="1" s="1"/>
  <c r="AD604" i="1"/>
  <c r="AE604" i="1" s="1"/>
  <c r="CU290" i="1"/>
  <c r="BI603" i="1"/>
  <c r="BV602" i="1"/>
  <c r="BY602" i="1" s="1"/>
  <c r="BK602" i="1"/>
  <c r="BO603" i="1"/>
  <c r="BO602" i="1"/>
  <c r="BT602" i="1"/>
  <c r="BI602" i="1"/>
  <c r="BV603" i="1"/>
  <c r="BY603" i="1" s="1"/>
  <c r="EC603" i="1"/>
  <c r="EE603" i="1" s="1"/>
  <c r="BO601" i="1"/>
  <c r="Q601" i="1" s="1"/>
  <c r="EC602" i="1"/>
  <c r="EE602" i="1" s="1"/>
  <c r="CU272" i="1"/>
  <c r="AY601" i="1"/>
  <c r="AY602" i="1"/>
  <c r="AY603" i="1"/>
  <c r="BT603" i="1"/>
  <c r="AW562" i="1"/>
  <c r="CU460" i="1"/>
  <c r="CU465" i="1"/>
  <c r="CU543" i="1"/>
  <c r="CU597" i="1"/>
  <c r="CX597" i="1" s="1"/>
  <c r="CU513" i="1"/>
  <c r="CU511" i="1"/>
  <c r="CU541" i="1"/>
  <c r="CX541" i="1" s="1"/>
  <c r="CU575" i="1"/>
  <c r="CU589" i="1"/>
  <c r="CX589" i="1" s="1"/>
  <c r="CU582" i="1"/>
  <c r="CX582" i="1" s="1"/>
  <c r="CU586" i="1"/>
  <c r="CX586" i="1" s="1"/>
  <c r="CU583" i="1"/>
  <c r="CX583" i="1" s="1"/>
  <c r="CU584" i="1"/>
  <c r="CX584" i="1" s="1"/>
  <c r="CU580" i="1"/>
  <c r="CX580" i="1" s="1"/>
  <c r="CU577" i="1"/>
  <c r="CU572" i="1"/>
  <c r="CX572" i="1" s="1"/>
  <c r="CU562" i="1"/>
  <c r="CX562" i="1" s="1"/>
  <c r="CU554" i="1"/>
  <c r="CU556" i="1"/>
  <c r="CU553" i="1"/>
  <c r="CU545" i="1"/>
  <c r="CU542" i="1"/>
  <c r="CU534" i="1"/>
  <c r="CU537" i="1"/>
  <c r="CU538" i="1"/>
  <c r="CU527" i="1"/>
  <c r="CU525" i="1"/>
  <c r="CU521" i="1"/>
  <c r="CU510" i="1"/>
  <c r="CU504" i="1"/>
  <c r="CU499" i="1"/>
  <c r="CU500" i="1"/>
  <c r="CU496" i="1"/>
  <c r="CU493" i="1"/>
  <c r="CU489" i="1"/>
  <c r="CU490" i="1"/>
  <c r="CU488" i="1"/>
  <c r="CU485" i="1"/>
  <c r="CU481" i="1"/>
  <c r="CU470" i="1"/>
  <c r="CU467" i="1"/>
  <c r="CU463" i="1"/>
  <c r="CU462" i="1"/>
  <c r="CU457" i="1"/>
  <c r="CU444" i="1"/>
  <c r="CU436" i="1"/>
  <c r="CU427" i="1"/>
  <c r="CU428" i="1"/>
  <c r="CU430" i="1"/>
  <c r="CU425" i="1"/>
  <c r="CU426" i="1"/>
  <c r="CU419" i="1"/>
  <c r="CU422" i="1"/>
  <c r="CU415" i="1"/>
  <c r="CU405" i="1"/>
  <c r="CU406" i="1"/>
  <c r="CU402" i="1"/>
  <c r="CU400" i="1"/>
  <c r="CU396" i="1"/>
  <c r="CU486" i="1"/>
  <c r="CU466" i="1"/>
  <c r="CU389" i="1"/>
  <c r="CU394" i="1"/>
  <c r="CU383" i="1"/>
  <c r="CU382" i="1"/>
  <c r="CU380" i="1"/>
  <c r="CU378" i="1"/>
  <c r="CU373" i="1"/>
  <c r="CU367" i="1"/>
  <c r="CU361" i="1"/>
  <c r="CU350" i="1"/>
  <c r="CU345" i="1"/>
  <c r="CU336" i="1"/>
  <c r="CU334" i="1"/>
  <c r="CU328" i="1"/>
  <c r="CU322" i="1"/>
  <c r="CU325" i="1"/>
  <c r="CU319" i="1"/>
  <c r="CU317" i="1"/>
  <c r="CU311" i="1"/>
  <c r="CU305" i="1"/>
  <c r="CU306" i="1"/>
  <c r="CU298" i="1"/>
  <c r="CU297" i="1"/>
  <c r="CU264" i="1"/>
  <c r="CU185" i="1"/>
  <c r="CU66" i="1"/>
  <c r="CU34" i="1"/>
  <c r="CU280" i="1"/>
  <c r="CU93" i="1"/>
  <c r="CU127" i="1"/>
  <c r="CU114" i="1"/>
  <c r="CU174" i="1"/>
  <c r="CU224" i="1"/>
  <c r="CU172" i="1"/>
  <c r="CU105" i="1"/>
  <c r="CU218" i="1"/>
  <c r="CU196" i="1"/>
  <c r="CU104" i="1"/>
  <c r="CU42" i="1"/>
  <c r="CU177" i="1"/>
  <c r="CU252" i="1"/>
  <c r="CU70" i="1"/>
  <c r="CU244" i="1"/>
  <c r="CU256" i="1"/>
  <c r="CU223" i="1"/>
  <c r="CU10" i="1"/>
  <c r="CU99" i="1"/>
  <c r="CU139" i="1"/>
  <c r="CU228" i="1"/>
  <c r="CU179" i="1"/>
  <c r="CU136" i="1"/>
  <c r="CU115" i="1"/>
  <c r="CU276" i="1"/>
  <c r="CU184" i="1"/>
  <c r="CU254" i="1"/>
  <c r="CU141" i="1"/>
  <c r="CU15" i="1"/>
  <c r="CU186" i="1"/>
  <c r="CU117" i="1"/>
  <c r="CU191" i="1"/>
  <c r="CU155" i="1"/>
  <c r="CU84" i="1"/>
  <c r="CU102" i="1"/>
  <c r="CU247" i="1"/>
  <c r="CU124" i="1"/>
  <c r="CU283" i="1"/>
  <c r="CU55" i="1"/>
  <c r="CU129" i="1"/>
  <c r="CU75" i="1"/>
  <c r="CU237" i="1"/>
  <c r="CU164" i="1"/>
  <c r="CU220" i="1"/>
  <c r="CU200" i="1"/>
  <c r="CU246" i="1"/>
  <c r="CU145" i="1"/>
  <c r="CU143" i="1"/>
  <c r="CU257" i="1"/>
  <c r="CU284" i="1"/>
  <c r="CU113" i="1"/>
  <c r="CU39" i="1"/>
  <c r="CU171" i="1"/>
  <c r="CU133" i="1"/>
  <c r="CU232" i="1"/>
  <c r="CU51" i="1"/>
  <c r="CU187" i="1"/>
  <c r="EO275" i="1"/>
  <c r="ES275" i="1" s="1"/>
  <c r="DZ350" i="1"/>
  <c r="EO350" i="1"/>
  <c r="CU169" i="1"/>
  <c r="EC244" i="1"/>
  <c r="EE244" i="1" s="1"/>
  <c r="EC378" i="1"/>
  <c r="EE378" i="1" s="1"/>
  <c r="AF418" i="1"/>
  <c r="EC153" i="1"/>
  <c r="EE153" i="1" s="1"/>
  <c r="EC133" i="1"/>
  <c r="EE133" i="1" s="1"/>
  <c r="EC358" i="1"/>
  <c r="EE358" i="1" s="1"/>
  <c r="AF123" i="1"/>
  <c r="AF227" i="1"/>
  <c r="AF386" i="1"/>
  <c r="AF154" i="1"/>
  <c r="CP473" i="1"/>
  <c r="CU473" i="1" s="1"/>
  <c r="CQ531" i="1"/>
  <c r="DZ531" i="1"/>
  <c r="EC74" i="1"/>
  <c r="EE74" i="1" s="1"/>
  <c r="AF305" i="1"/>
  <c r="AF396" i="1"/>
  <c r="EC426" i="1"/>
  <c r="EE426" i="1" s="1"/>
  <c r="CQ473" i="1"/>
  <c r="DZ473" i="1"/>
  <c r="EC481" i="1"/>
  <c r="EE481" i="1" s="1"/>
  <c r="EC527" i="1"/>
  <c r="EE527" i="1" s="1"/>
  <c r="EC541" i="1"/>
  <c r="EE541" i="1" s="1"/>
  <c r="EC368" i="1"/>
  <c r="EE368" i="1" s="1"/>
  <c r="EC171" i="1"/>
  <c r="EE171" i="1" s="1"/>
  <c r="AF165" i="1"/>
  <c r="AF106" i="1"/>
  <c r="AF250" i="1"/>
  <c r="AF257" i="1"/>
  <c r="AF410" i="1"/>
  <c r="EC127" i="1"/>
  <c r="EE127" i="1" s="1"/>
  <c r="CQ522" i="1"/>
  <c r="DZ522" i="1"/>
  <c r="AF519" i="1"/>
  <c r="EC352" i="1"/>
  <c r="EE352" i="1" s="1"/>
  <c r="EC71" i="1"/>
  <c r="EE71" i="1" s="1"/>
  <c r="AF180" i="1"/>
  <c r="AF156" i="1"/>
  <c r="CP451" i="1"/>
  <c r="CU451" i="1" s="1"/>
  <c r="AF540" i="1"/>
  <c r="AF518" i="1"/>
  <c r="EC215" i="1"/>
  <c r="EE215" i="1" s="1"/>
  <c r="EC105" i="1"/>
  <c r="EE105" i="1" s="1"/>
  <c r="AF357" i="1"/>
  <c r="AF14" i="1"/>
  <c r="AF303" i="1"/>
  <c r="AF107" i="1"/>
  <c r="EC314" i="1"/>
  <c r="EE314" i="1" s="1"/>
  <c r="EC34" i="1"/>
  <c r="EE34" i="1" s="1"/>
  <c r="EC237" i="1"/>
  <c r="EE237" i="1" s="1"/>
  <c r="EC281" i="1"/>
  <c r="EE281" i="1" s="1"/>
  <c r="AF255" i="1"/>
  <c r="AF443" i="1"/>
  <c r="EC385" i="1"/>
  <c r="EE385" i="1" s="1"/>
  <c r="EC334" i="1"/>
  <c r="EE334" i="1" s="1"/>
  <c r="EC145" i="1"/>
  <c r="EE145" i="1" s="1"/>
  <c r="AF392" i="1"/>
  <c r="AF201" i="1"/>
  <c r="AF377" i="1"/>
  <c r="AF54" i="1"/>
  <c r="AF423" i="1"/>
  <c r="Z205" i="1"/>
  <c r="CU205" i="1"/>
  <c r="EC578" i="1"/>
  <c r="EE578" i="1" s="1"/>
  <c r="CP568" i="1"/>
  <c r="CU568" i="1" s="1"/>
  <c r="EC252" i="1"/>
  <c r="EE252" i="1" s="1"/>
  <c r="EC301" i="1"/>
  <c r="EE301" i="1" s="1"/>
  <c r="EC117" i="1"/>
  <c r="EE117" i="1" s="1"/>
  <c r="EC58" i="1"/>
  <c r="EE58" i="1" s="1"/>
  <c r="AF416" i="1"/>
  <c r="EC415" i="1"/>
  <c r="EE415" i="1" s="1"/>
  <c r="EC525" i="1"/>
  <c r="EE525" i="1" s="1"/>
  <c r="CQ502" i="1"/>
  <c r="CV502" i="1" s="1"/>
  <c r="DZ502" i="1"/>
  <c r="AF59" i="1"/>
  <c r="AF283" i="1"/>
  <c r="AF192" i="1"/>
  <c r="AF384" i="1"/>
  <c r="EC488" i="1"/>
  <c r="EE488" i="1" s="1"/>
  <c r="EC559" i="1"/>
  <c r="EE559" i="1" s="1"/>
  <c r="EC575" i="1"/>
  <c r="EE575" i="1" s="1"/>
  <c r="EC173" i="1"/>
  <c r="EE173" i="1" s="1"/>
  <c r="AF230" i="1"/>
  <c r="EC383" i="1"/>
  <c r="EE383" i="1" s="1"/>
  <c r="AF226" i="1"/>
  <c r="EC174" i="1"/>
  <c r="EE174" i="1" s="1"/>
  <c r="EC39" i="1"/>
  <c r="EE39" i="1" s="1"/>
  <c r="EC404" i="1"/>
  <c r="EE404" i="1" s="1"/>
  <c r="EC470" i="1"/>
  <c r="EE470" i="1" s="1"/>
  <c r="CQ503" i="1"/>
  <c r="CV503" i="1" s="1"/>
  <c r="DZ503" i="1"/>
  <c r="EC129" i="1"/>
  <c r="EE129" i="1" s="1"/>
  <c r="EC297" i="1"/>
  <c r="EE297" i="1" s="1"/>
  <c r="EC179" i="1"/>
  <c r="EE179" i="1" s="1"/>
  <c r="EC222" i="1"/>
  <c r="EE222" i="1" s="1"/>
  <c r="EC389" i="1"/>
  <c r="EE389" i="1" s="1"/>
  <c r="AF204" i="1"/>
  <c r="AF121" i="1"/>
  <c r="AF138" i="1"/>
  <c r="AF11" i="1"/>
  <c r="EC397" i="1"/>
  <c r="EE397" i="1" s="1"/>
  <c r="CQ501" i="1"/>
  <c r="DZ501" i="1"/>
  <c r="CQ506" i="1"/>
  <c r="DZ506" i="1"/>
  <c r="EC161" i="1"/>
  <c r="EE161" i="1" s="1"/>
  <c r="EC251" i="1"/>
  <c r="EE251" i="1" s="1"/>
  <c r="EC372" i="1"/>
  <c r="EE372" i="1" s="1"/>
  <c r="EC10" i="1"/>
  <c r="EE10" i="1" s="1"/>
  <c r="EC81" i="1"/>
  <c r="EE81" i="1" s="1"/>
  <c r="EC178" i="1"/>
  <c r="EE178" i="1" s="1"/>
  <c r="CP501" i="1"/>
  <c r="CU501" i="1" s="1"/>
  <c r="AF554" i="1"/>
  <c r="EC322" i="1"/>
  <c r="EE322" i="1" s="1"/>
  <c r="EC232" i="1"/>
  <c r="EE232" i="1" s="1"/>
  <c r="EC55" i="1"/>
  <c r="EE55" i="1" s="1"/>
  <c r="EC262" i="1"/>
  <c r="EE262" i="1" s="1"/>
  <c r="CQ524" i="1"/>
  <c r="CV524" i="1" s="1"/>
  <c r="DZ524" i="1"/>
  <c r="EC560" i="1"/>
  <c r="EE560" i="1" s="1"/>
  <c r="EC132" i="1"/>
  <c r="EE132" i="1" s="1"/>
  <c r="CQ289" i="1"/>
  <c r="CV289" i="1" s="1"/>
  <c r="DZ289" i="1"/>
  <c r="DZ513" i="1"/>
  <c r="ED513" i="1" s="1"/>
  <c r="CP524" i="1"/>
  <c r="CU524" i="1" s="1"/>
  <c r="AF240" i="1"/>
  <c r="AF75" i="1"/>
  <c r="AF336" i="1"/>
  <c r="AF325" i="1"/>
  <c r="AF78" i="1"/>
  <c r="EC277" i="1"/>
  <c r="EE277" i="1" s="1"/>
  <c r="CQ494" i="1"/>
  <c r="DZ494" i="1"/>
  <c r="BK598" i="1"/>
  <c r="BV599" i="1"/>
  <c r="BY599" i="1" s="1"/>
  <c r="BO599" i="1"/>
  <c r="BI598" i="1"/>
  <c r="BV600" i="1"/>
  <c r="BY600" i="1" s="1"/>
  <c r="BO598" i="1"/>
  <c r="BV598" i="1"/>
  <c r="BY598" i="1" s="1"/>
  <c r="BO600" i="1"/>
  <c r="BT599" i="1"/>
  <c r="BT600" i="1"/>
  <c r="BT598" i="1"/>
  <c r="CS599" i="1"/>
  <c r="EP600" i="1"/>
  <c r="EP599" i="1"/>
  <c r="EP598" i="1"/>
  <c r="EA600" i="1"/>
  <c r="EA599" i="1"/>
  <c r="EA598" i="1"/>
  <c r="DJ598" i="1"/>
  <c r="DJ599" i="1"/>
  <c r="CS600" i="1"/>
  <c r="DJ600" i="1"/>
  <c r="DJ597" i="1"/>
  <c r="EA596" i="1"/>
  <c r="CS597" i="1"/>
  <c r="DJ596" i="1"/>
  <c r="EP597" i="1"/>
  <c r="EP596" i="1"/>
  <c r="CS596" i="1"/>
  <c r="EA597" i="1"/>
  <c r="EP595" i="1"/>
  <c r="EA595" i="1"/>
  <c r="CS598" i="1"/>
  <c r="CT600" i="1"/>
  <c r="AY599" i="1"/>
  <c r="AY600" i="1"/>
  <c r="BI597" i="1"/>
  <c r="BT597" i="1"/>
  <c r="CW597" i="1"/>
  <c r="CY597" i="1" s="1"/>
  <c r="BV597" i="1"/>
  <c r="BY597" i="1" s="1"/>
  <c r="BK596" i="1"/>
  <c r="BI596" i="1"/>
  <c r="BO597" i="1"/>
  <c r="CE596" i="1"/>
  <c r="CH596" i="1" s="1"/>
  <c r="EC597" i="1"/>
  <c r="EE597" i="1" s="1"/>
  <c r="BO596" i="1"/>
  <c r="CC596" i="1"/>
  <c r="CG596" i="1" s="1"/>
  <c r="BV596" i="1"/>
  <c r="BY596" i="1" s="1"/>
  <c r="BT596" i="1"/>
  <c r="AY596" i="1"/>
  <c r="AY597" i="1"/>
  <c r="AW542" i="1"/>
  <c r="AW560" i="1"/>
  <c r="BT560" i="1" s="1"/>
  <c r="EA594" i="1"/>
  <c r="DJ595" i="1"/>
  <c r="DJ594" i="1"/>
  <c r="EP594" i="1"/>
  <c r="CS595" i="1"/>
  <c r="CS594" i="1"/>
  <c r="BI594" i="1"/>
  <c r="BK594" i="1"/>
  <c r="BO595" i="1"/>
  <c r="BO594" i="1"/>
  <c r="BV594" i="1"/>
  <c r="BY594" i="1" s="1"/>
  <c r="BT594" i="1"/>
  <c r="AY594" i="1"/>
  <c r="AY595" i="1"/>
  <c r="EA591" i="1"/>
  <c r="CS591" i="1"/>
  <c r="DJ591" i="1"/>
  <c r="EP591" i="1"/>
  <c r="BO591" i="1"/>
  <c r="BV591" i="1"/>
  <c r="BY591" i="1" s="1"/>
  <c r="EB591" i="1"/>
  <c r="BT591" i="1"/>
  <c r="BI593" i="1"/>
  <c r="BK593" i="1"/>
  <c r="BI592" i="1"/>
  <c r="BO593" i="1"/>
  <c r="BV593" i="1"/>
  <c r="BY593" i="1" s="1"/>
  <c r="BV592" i="1"/>
  <c r="BY592" i="1" s="1"/>
  <c r="BO592" i="1"/>
  <c r="BT593" i="1"/>
  <c r="BT592" i="1"/>
  <c r="AY592" i="1"/>
  <c r="DJ592" i="1"/>
  <c r="DJ593" i="1"/>
  <c r="CS592" i="1"/>
  <c r="EP593" i="1"/>
  <c r="EA593" i="1"/>
  <c r="CS593" i="1"/>
  <c r="AY593" i="1"/>
  <c r="CT590" i="1"/>
  <c r="CS590" i="1"/>
  <c r="EP592" i="1"/>
  <c r="EP590" i="1"/>
  <c r="EA590" i="1"/>
  <c r="EA592" i="1"/>
  <c r="DJ590" i="1"/>
  <c r="BO470" i="1"/>
  <c r="EC592" i="1"/>
  <c r="BV590" i="1"/>
  <c r="BY590" i="1" s="1"/>
  <c r="BO590" i="1"/>
  <c r="BT590" i="1"/>
  <c r="AY590" i="1"/>
  <c r="Z570" i="1"/>
  <c r="AG570" i="1"/>
  <c r="AW549" i="1"/>
  <c r="AW554" i="1"/>
  <c r="AW570" i="1"/>
  <c r="AW559" i="1"/>
  <c r="BT559" i="1" s="1"/>
  <c r="AW548" i="1"/>
  <c r="BT548" i="1" s="1"/>
  <c r="BX548" i="1" s="1"/>
  <c r="AW563" i="1"/>
  <c r="AW579" i="1"/>
  <c r="BT579" i="1" s="1"/>
  <c r="AW566" i="1"/>
  <c r="BT566" i="1" s="1"/>
  <c r="AW545" i="1"/>
  <c r="AW550" i="1"/>
  <c r="AW573" i="1"/>
  <c r="AW581" i="1"/>
  <c r="AY581" i="1" s="1"/>
  <c r="AW543" i="1"/>
  <c r="AW564" i="1"/>
  <c r="AW547" i="1"/>
  <c r="AW546" i="1"/>
  <c r="AW565" i="1"/>
  <c r="AW552" i="1"/>
  <c r="AW556" i="1"/>
  <c r="AW553" i="1"/>
  <c r="AW575" i="1"/>
  <c r="AW572" i="1"/>
  <c r="AW587" i="1"/>
  <c r="AY587" i="1" s="1"/>
  <c r="AW567" i="1"/>
  <c r="AW574" i="1"/>
  <c r="AW588" i="1"/>
  <c r="AY588" i="1" s="1"/>
  <c r="AW577" i="1"/>
  <c r="BT577" i="1" s="1"/>
  <c r="AW580" i="1"/>
  <c r="AW568" i="1"/>
  <c r="AW583" i="1"/>
  <c r="AW578" i="1"/>
  <c r="U541" i="1"/>
  <c r="AW576" i="1"/>
  <c r="AW541" i="1"/>
  <c r="Z554" i="1"/>
  <c r="AG554" i="1"/>
  <c r="CQ557" i="1"/>
  <c r="CV557" i="1" s="1"/>
  <c r="BD557" i="1"/>
  <c r="BA589" i="1"/>
  <c r="BF589" i="1" a="1"/>
  <c r="BF589" i="1" s="1"/>
  <c r="Z550" i="1"/>
  <c r="U550" i="1"/>
  <c r="BA571" i="1"/>
  <c r="CQ571" i="1" s="1"/>
  <c r="CV571" i="1" s="1"/>
  <c r="BF571" i="1" a="1"/>
  <c r="BF571" i="1" s="1"/>
  <c r="BH571" i="1" s="1"/>
  <c r="BA583" i="1"/>
  <c r="BF583" i="1" a="1"/>
  <c r="BF583" i="1" s="1"/>
  <c r="BH583" i="1" s="1"/>
  <c r="AU557" i="1"/>
  <c r="AW557" i="1" s="1"/>
  <c r="CP557" i="1"/>
  <c r="CU557" i="1" s="1"/>
  <c r="CR557" i="1"/>
  <c r="CW557" i="1" s="1"/>
  <c r="CY557" i="1" s="1"/>
  <c r="BA554" i="1"/>
  <c r="BF554" i="1" a="1"/>
  <c r="BF554" i="1" s="1"/>
  <c r="CR571" i="1"/>
  <c r="CW571" i="1" s="1"/>
  <c r="CY571" i="1" s="1"/>
  <c r="CP571" i="1"/>
  <c r="CU571" i="1" s="1"/>
  <c r="BA580" i="1"/>
  <c r="BF580" i="1" a="1"/>
  <c r="BF580" i="1" s="1"/>
  <c r="BH580" i="1" s="1"/>
  <c r="Z572" i="1"/>
  <c r="U572" i="1"/>
  <c r="BA576" i="1"/>
  <c r="BF576" i="1" a="1"/>
  <c r="BF576" i="1" s="1"/>
  <c r="BH576" i="1" s="1"/>
  <c r="BF558" i="1" a="1"/>
  <c r="BF558" i="1" s="1"/>
  <c r="BA558" i="1"/>
  <c r="BF549" i="1" a="1"/>
  <c r="BF549" i="1" s="1"/>
  <c r="BH549" i="1" s="1"/>
  <c r="BA549" i="1"/>
  <c r="CQ549" i="1" s="1"/>
  <c r="CV549" i="1" s="1"/>
  <c r="BA577" i="1"/>
  <c r="BF577" i="1" a="1"/>
  <c r="BF577" i="1" s="1"/>
  <c r="BH577" i="1" s="1"/>
  <c r="CQ551" i="1"/>
  <c r="CV551" i="1" s="1"/>
  <c r="BD551" i="1"/>
  <c r="BA565" i="1"/>
  <c r="DZ565" i="1" s="1"/>
  <c r="BF565" i="1" a="1"/>
  <c r="BF565" i="1" s="1"/>
  <c r="BA572" i="1"/>
  <c r="BF572" i="1" a="1"/>
  <c r="BF572" i="1" s="1"/>
  <c r="BH572" i="1" s="1"/>
  <c r="BF545" i="1" a="1"/>
  <c r="BF545" i="1" s="1"/>
  <c r="BH545" i="1" s="1"/>
  <c r="BA545" i="1"/>
  <c r="BA552" i="1"/>
  <c r="BF552" i="1" a="1"/>
  <c r="BF552" i="1" s="1"/>
  <c r="BF564" i="1" a="1"/>
  <c r="BF564" i="1" s="1"/>
  <c r="BH564" i="1" s="1"/>
  <c r="BA564" i="1"/>
  <c r="CR549" i="1"/>
  <c r="CW549" i="1" s="1"/>
  <c r="CY549" i="1" s="1"/>
  <c r="CP549" i="1"/>
  <c r="CU549" i="1" s="1"/>
  <c r="CP551" i="1"/>
  <c r="CR551" i="1"/>
  <c r="CW551" i="1" s="1"/>
  <c r="CY551" i="1" s="1"/>
  <c r="AU551" i="1"/>
  <c r="AW551" i="1" s="1"/>
  <c r="CP546" i="1"/>
  <c r="CR546" i="1"/>
  <c r="CR565" i="1"/>
  <c r="CW565" i="1" s="1"/>
  <c r="CY565" i="1" s="1"/>
  <c r="CP565" i="1"/>
  <c r="CU565" i="1" s="1"/>
  <c r="EC565" i="1"/>
  <c r="EE565" i="1" s="1"/>
  <c r="BA587" i="1"/>
  <c r="BF587" i="1" a="1"/>
  <c r="BF587" i="1" s="1"/>
  <c r="BH587" i="1" s="1"/>
  <c r="CR564" i="1"/>
  <c r="CP564" i="1"/>
  <c r="BA579" i="1"/>
  <c r="CQ579" i="1" s="1"/>
  <c r="CV579" i="1" s="1"/>
  <c r="BF579" i="1" a="1"/>
  <c r="BF579" i="1" s="1"/>
  <c r="BH579" i="1" s="1"/>
  <c r="BA543" i="1"/>
  <c r="BF543" i="1" a="1"/>
  <c r="BF543" i="1" s="1"/>
  <c r="BH543" i="1" s="1"/>
  <c r="Z543" i="1"/>
  <c r="U543" i="1"/>
  <c r="CQ546" i="1"/>
  <c r="BW547" i="1"/>
  <c r="Z547" i="1" s="1"/>
  <c r="BA562" i="1"/>
  <c r="BF562" i="1" a="1"/>
  <c r="BF562" i="1" s="1"/>
  <c r="CP573" i="1"/>
  <c r="CR573" i="1"/>
  <c r="CQ564" i="1"/>
  <c r="CP579" i="1"/>
  <c r="CU579" i="1" s="1"/>
  <c r="CR579" i="1"/>
  <c r="CW579" i="1" s="1"/>
  <c r="CY579" i="1" s="1"/>
  <c r="BF551" i="1" a="1"/>
  <c r="BF551" i="1" s="1"/>
  <c r="BA551" i="1"/>
  <c r="CQ543" i="1"/>
  <c r="BA585" i="1"/>
  <c r="BF585" i="1" a="1"/>
  <c r="BF585" i="1" s="1"/>
  <c r="BG562" i="1" a="1"/>
  <c r="BG562" i="1" s="1"/>
  <c r="Z580" i="1"/>
  <c r="U580" i="1"/>
  <c r="CP574" i="1"/>
  <c r="CR574" i="1"/>
  <c r="Z559" i="1"/>
  <c r="BA573" i="1"/>
  <c r="BF573" i="1" a="1"/>
  <c r="BF573" i="1" s="1"/>
  <c r="CF560" i="1"/>
  <c r="Z560" i="1" s="1"/>
  <c r="BA541" i="1"/>
  <c r="BF541" i="1" a="1"/>
  <c r="BF541" i="1" s="1"/>
  <c r="BH541" i="1" s="1"/>
  <c r="BA546" i="1"/>
  <c r="BF546" i="1" a="1"/>
  <c r="BF546" i="1" s="1"/>
  <c r="BH546" i="1" s="1"/>
  <c r="AG589" i="1"/>
  <c r="U587" i="1"/>
  <c r="Z587" i="1"/>
  <c r="U545" i="1"/>
  <c r="Z545" i="1"/>
  <c r="BA575" i="1"/>
  <c r="BF575" i="1" a="1"/>
  <c r="BF575" i="1" s="1"/>
  <c r="BH575" i="1" s="1"/>
  <c r="Z575" i="1"/>
  <c r="U575" i="1"/>
  <c r="U556" i="1"/>
  <c r="Z556" i="1"/>
  <c r="CQ552" i="1"/>
  <c r="EC544" i="1"/>
  <c r="EE544" i="1" s="1"/>
  <c r="AU544" i="1"/>
  <c r="AW544" i="1" s="1"/>
  <c r="CQ558" i="1"/>
  <c r="CV558" i="1" s="1"/>
  <c r="BD558" i="1"/>
  <c r="DZ558" i="1" s="1"/>
  <c r="BG565" i="1" a="1"/>
  <c r="BG565" i="1" s="1"/>
  <c r="U542" i="1"/>
  <c r="Z542" i="1"/>
  <c r="EC585" i="1"/>
  <c r="EE585" i="1" s="1"/>
  <c r="CR585" i="1"/>
  <c r="CP585" i="1"/>
  <c r="AU585" i="1"/>
  <c r="AW585" i="1" s="1"/>
  <c r="AY585" i="1" s="1"/>
  <c r="BD589" i="1"/>
  <c r="CP563" i="1"/>
  <c r="CR563" i="1"/>
  <c r="BA574" i="1"/>
  <c r="BH574" i="1"/>
  <c r="CP552" i="1"/>
  <c r="CR552" i="1"/>
  <c r="BD544" i="1"/>
  <c r="ED544" i="1"/>
  <c r="AU558" i="1"/>
  <c r="DY558" i="1" s="1"/>
  <c r="CR558" i="1"/>
  <c r="CW558" i="1" s="1"/>
  <c r="CY558" i="1" s="1"/>
  <c r="CP558" i="1"/>
  <c r="CU558" i="1" s="1"/>
  <c r="BG573" i="1" a="1"/>
  <c r="BG573" i="1" s="1"/>
  <c r="BG552" i="1" a="1"/>
  <c r="BG552" i="1" s="1"/>
  <c r="U553" i="1"/>
  <c r="Z553" i="1"/>
  <c r="CQ585" i="1"/>
  <c r="BD585" i="1"/>
  <c r="ED585" i="1"/>
  <c r="AU589" i="1"/>
  <c r="AW589" i="1" s="1"/>
  <c r="BG554" i="1" a="1"/>
  <c r="BG554" i="1" s="1"/>
  <c r="BA578" i="1"/>
  <c r="BF578" i="1" a="1"/>
  <c r="BF578" i="1" s="1"/>
  <c r="BH578" i="1" s="1"/>
  <c r="BA570" i="1"/>
  <c r="BF570" i="1" a="1"/>
  <c r="BF570" i="1" s="1"/>
  <c r="BH570" i="1" s="1"/>
  <c r="EC548" i="1"/>
  <c r="EE548" i="1" s="1"/>
  <c r="CR548" i="1"/>
  <c r="CW548" i="1" s="1"/>
  <c r="CY548" i="1" s="1"/>
  <c r="CP548" i="1"/>
  <c r="CU548" i="1" s="1"/>
  <c r="BF542" i="1" a="1"/>
  <c r="BF542" i="1" s="1"/>
  <c r="BH542" i="1" s="1"/>
  <c r="BA542" i="1"/>
  <c r="Z562" i="1"/>
  <c r="U562" i="1"/>
  <c r="BA560" i="1"/>
  <c r="BF560" i="1" a="1"/>
  <c r="BF560" i="1" s="1"/>
  <c r="BH560" i="1" s="1"/>
  <c r="BA548" i="1"/>
  <c r="DZ548" i="1" s="1"/>
  <c r="BF548" i="1" a="1"/>
  <c r="BF548" i="1" s="1"/>
  <c r="BH548" i="1" s="1"/>
  <c r="EC568" i="1"/>
  <c r="EE568" i="1" s="1"/>
  <c r="CR568" i="1"/>
  <c r="CW568" i="1" s="1"/>
  <c r="CY568" i="1" s="1"/>
  <c r="BA566" i="1"/>
  <c r="CQ566" i="1" s="1"/>
  <c r="CV566" i="1" s="1"/>
  <c r="BF566" i="1" a="1"/>
  <c r="BF566" i="1" s="1"/>
  <c r="BH566" i="1" s="1"/>
  <c r="BF563" i="1" a="1"/>
  <c r="BF563" i="1" s="1"/>
  <c r="BH563" i="1" s="1"/>
  <c r="BA563" i="1"/>
  <c r="BA559" i="1"/>
  <c r="BF559" i="1" a="1"/>
  <c r="BF559" i="1" s="1"/>
  <c r="BH559" i="1" s="1"/>
  <c r="BA568" i="1"/>
  <c r="DZ568" i="1" s="1"/>
  <c r="BF568" i="1" a="1"/>
  <c r="BF568" i="1" s="1"/>
  <c r="BH568" i="1" s="1"/>
  <c r="BF556" i="1" a="1"/>
  <c r="BF556" i="1" s="1"/>
  <c r="BH556" i="1" s="1"/>
  <c r="BA556" i="1"/>
  <c r="Z583" i="1"/>
  <c r="U583" i="1"/>
  <c r="BF544" i="1" a="1"/>
  <c r="BF544" i="1" s="1"/>
  <c r="BA544" i="1"/>
  <c r="Z544" i="1"/>
  <c r="BA553" i="1"/>
  <c r="BF553" i="1" a="1"/>
  <c r="BF553" i="1" s="1"/>
  <c r="BH553" i="1" s="1"/>
  <c r="Z577" i="1"/>
  <c r="U577" i="1"/>
  <c r="CR566" i="1"/>
  <c r="CW566" i="1" s="1"/>
  <c r="CY566" i="1" s="1"/>
  <c r="CP566" i="1"/>
  <c r="CU566" i="1" s="1"/>
  <c r="AW571" i="1"/>
  <c r="U584" i="1"/>
  <c r="BF557" i="1" a="1"/>
  <c r="BF557" i="1" s="1"/>
  <c r="BA557" i="1"/>
  <c r="BG589" i="1" a="1"/>
  <c r="BG589" i="1" s="1"/>
  <c r="CR588" i="1"/>
  <c r="CW588" i="1" s="1"/>
  <c r="CY588" i="1" s="1"/>
  <c r="CP588" i="1"/>
  <c r="CU588" i="1" s="1"/>
  <c r="CR581" i="1"/>
  <c r="CW581" i="1" s="1"/>
  <c r="CY581" i="1" s="1"/>
  <c r="CP581" i="1"/>
  <c r="CU581" i="1" s="1"/>
  <c r="BD586" i="1"/>
  <c r="ED586" i="1"/>
  <c r="BA586" i="1"/>
  <c r="BF586" i="1" a="1"/>
  <c r="BF586" i="1" s="1"/>
  <c r="U576" i="1"/>
  <c r="BA550" i="1"/>
  <c r="BF550" i="1" a="1"/>
  <c r="BF550" i="1" s="1"/>
  <c r="BG550" i="1" a="1"/>
  <c r="BG550" i="1" s="1"/>
  <c r="BA588" i="1"/>
  <c r="CQ588" i="1" s="1"/>
  <c r="CV588" i="1" s="1"/>
  <c r="BF588" i="1" a="1"/>
  <c r="BF588" i="1" s="1"/>
  <c r="BH588" i="1" s="1"/>
  <c r="BA581" i="1"/>
  <c r="CQ581" i="1" s="1"/>
  <c r="CV581" i="1" s="1"/>
  <c r="BF581" i="1" a="1"/>
  <c r="BF581" i="1" s="1"/>
  <c r="BH581" i="1" s="1"/>
  <c r="AU586" i="1"/>
  <c r="AW586" i="1" s="1"/>
  <c r="AY586" i="1" s="1"/>
  <c r="BA547" i="1"/>
  <c r="BF547" i="1" a="1"/>
  <c r="BF547" i="1" s="1"/>
  <c r="BH547" i="1" s="1"/>
  <c r="CR567" i="1"/>
  <c r="CW567" i="1" s="1"/>
  <c r="CY567" i="1" s="1"/>
  <c r="CP567" i="1"/>
  <c r="CU567" i="1" s="1"/>
  <c r="BA567" i="1"/>
  <c r="CQ567" i="1" s="1"/>
  <c r="CV567" i="1" s="1"/>
  <c r="BF567" i="1" a="1"/>
  <c r="BF567" i="1" s="1"/>
  <c r="BH567" i="1" s="1"/>
  <c r="AW584" i="1"/>
  <c r="AW569" i="1"/>
  <c r="BF561" i="1" a="1"/>
  <c r="BF561" i="1" s="1"/>
  <c r="BA561" i="1"/>
  <c r="AU561" i="1"/>
  <c r="BD561" i="1"/>
  <c r="BA584" i="1"/>
  <c r="BF584" i="1" a="1"/>
  <c r="BF584" i="1" s="1"/>
  <c r="BH584" i="1" s="1"/>
  <c r="BA569" i="1"/>
  <c r="BF569" i="1" a="1"/>
  <c r="BF569" i="1" s="1"/>
  <c r="Z569" i="1"/>
  <c r="U569" i="1"/>
  <c r="BG569" i="1" a="1"/>
  <c r="BG569" i="1" s="1"/>
  <c r="EP589" i="1"/>
  <c r="CS589" i="1"/>
  <c r="EA589" i="1"/>
  <c r="CW589" i="1"/>
  <c r="CY589" i="1" s="1"/>
  <c r="BK589" i="1"/>
  <c r="BI589" i="1"/>
  <c r="BO589" i="1"/>
  <c r="BV589" i="1"/>
  <c r="BY589" i="1" s="1"/>
  <c r="BT589" i="1"/>
  <c r="DJ588" i="1"/>
  <c r="CS587" i="1"/>
  <c r="EP586" i="1"/>
  <c r="CS586" i="1"/>
  <c r="DJ587" i="1"/>
  <c r="EA587" i="1"/>
  <c r="CS588" i="1"/>
  <c r="EA586" i="1"/>
  <c r="EP588" i="1"/>
  <c r="EP587" i="1"/>
  <c r="EA588" i="1"/>
  <c r="DJ589" i="1"/>
  <c r="DJ586" i="1"/>
  <c r="CS566" i="1"/>
  <c r="CW586" i="1"/>
  <c r="CY586" i="1" s="1"/>
  <c r="BV586" i="1"/>
  <c r="BY586" i="1" s="1"/>
  <c r="BI588" i="1"/>
  <c r="BO588" i="1"/>
  <c r="BV587" i="1"/>
  <c r="BY587" i="1" s="1"/>
  <c r="BO586" i="1"/>
  <c r="BV588" i="1"/>
  <c r="BY588" i="1" s="1"/>
  <c r="BO587" i="1"/>
  <c r="EC588" i="1"/>
  <c r="EE588" i="1" s="1"/>
  <c r="BT586" i="1"/>
  <c r="BX586" i="1" s="1"/>
  <c r="BT587" i="1"/>
  <c r="CC587" i="1"/>
  <c r="CG587" i="1" s="1"/>
  <c r="CE587" i="1"/>
  <c r="CH587" i="1" s="1"/>
  <c r="CT587" i="1"/>
  <c r="EB587" i="1"/>
  <c r="CQ108" i="1"/>
  <c r="CP531" i="1"/>
  <c r="CR531" i="1"/>
  <c r="CR411" i="1"/>
  <c r="CP411" i="1"/>
  <c r="CU411" i="1" s="1"/>
  <c r="CP435" i="1"/>
  <c r="CU435" i="1" s="1"/>
  <c r="CR435" i="1"/>
  <c r="CQ229" i="1"/>
  <c r="CR468" i="1"/>
  <c r="CP468" i="1"/>
  <c r="CP6" i="1"/>
  <c r="CU6" i="1" s="1"/>
  <c r="CR6" i="1"/>
  <c r="CR268" i="1"/>
  <c r="CP268" i="1"/>
  <c r="CU268" i="1" s="1"/>
  <c r="CR108" i="1"/>
  <c r="CP108" i="1"/>
  <c r="CR332" i="1"/>
  <c r="CP332" i="1"/>
  <c r="CU332" i="1" s="1"/>
  <c r="CR239" i="1"/>
  <c r="CR258" i="1"/>
  <c r="CP258" i="1"/>
  <c r="CU258" i="1" s="1"/>
  <c r="CP243" i="1"/>
  <c r="CR243" i="1"/>
  <c r="CR320" i="1"/>
  <c r="CR539" i="1"/>
  <c r="CP539" i="1"/>
  <c r="CU539" i="1" s="1"/>
  <c r="CR536" i="1"/>
  <c r="CP536" i="1"/>
  <c r="CU536" i="1" s="1"/>
  <c r="CR555" i="1"/>
  <c r="CW555" i="1" s="1"/>
  <c r="CY555" i="1" s="1"/>
  <c r="CP555" i="1"/>
  <c r="CU555" i="1" s="1"/>
  <c r="CR7" i="1"/>
  <c r="CP7" i="1"/>
  <c r="CQ343" i="1"/>
  <c r="CV343" i="1" s="1"/>
  <c r="CQ295" i="1"/>
  <c r="CV295" i="1" s="1"/>
  <c r="CQ333" i="1"/>
  <c r="CV333" i="1" s="1"/>
  <c r="CQ327" i="1"/>
  <c r="CQ349" i="1"/>
  <c r="CR300" i="1"/>
  <c r="CP300" i="1"/>
  <c r="CR125" i="1"/>
  <c r="CP125" i="1"/>
  <c r="CU125" i="1" s="1"/>
  <c r="CR401" i="1"/>
  <c r="CP401" i="1"/>
  <c r="CR404" i="1"/>
  <c r="CP404" i="1"/>
  <c r="CU404" i="1" s="1"/>
  <c r="CP438" i="1"/>
  <c r="CR438" i="1"/>
  <c r="CR522" i="1"/>
  <c r="CP522" i="1"/>
  <c r="CQ243" i="1"/>
  <c r="CR159" i="1"/>
  <c r="CP159" i="1"/>
  <c r="CU159" i="1" s="1"/>
  <c r="CR149" i="1"/>
  <c r="CP149" i="1"/>
  <c r="CU149" i="1" s="1"/>
  <c r="CR340" i="1"/>
  <c r="CP340" i="1"/>
  <c r="CU340" i="1" s="1"/>
  <c r="CP343" i="1"/>
  <c r="CU343" i="1" s="1"/>
  <c r="CR343" i="1"/>
  <c r="CP358" i="1"/>
  <c r="CR358" i="1"/>
  <c r="CP295" i="1"/>
  <c r="CU295" i="1" s="1"/>
  <c r="CR295" i="1"/>
  <c r="CR245" i="1"/>
  <c r="CP245" i="1"/>
  <c r="CR365" i="1"/>
  <c r="CP365" i="1"/>
  <c r="CR333" i="1"/>
  <c r="CP333" i="1"/>
  <c r="CU333" i="1" s="1"/>
  <c r="CP327" i="1"/>
  <c r="CR327" i="1"/>
  <c r="CR349" i="1"/>
  <c r="CP349" i="1"/>
  <c r="CR221" i="1"/>
  <c r="CP221" i="1"/>
  <c r="CU221" i="1" s="1"/>
  <c r="CR18" i="1"/>
  <c r="CP18" i="1"/>
  <c r="CQ399" i="1"/>
  <c r="CV399" i="1" s="1"/>
  <c r="CR431" i="1"/>
  <c r="CQ464" i="1"/>
  <c r="CV464" i="1" s="1"/>
  <c r="CR505" i="1"/>
  <c r="CP505" i="1"/>
  <c r="CU505" i="1" s="1"/>
  <c r="CQ258" i="1"/>
  <c r="CV258" i="1" s="1"/>
  <c r="CR293" i="1"/>
  <c r="CP293" i="1"/>
  <c r="CU293" i="1" s="1"/>
  <c r="CR128" i="1"/>
  <c r="CP128" i="1"/>
  <c r="CU128" i="1" s="1"/>
  <c r="CR110" i="1"/>
  <c r="CP110" i="1"/>
  <c r="CU110" i="1" s="1"/>
  <c r="CR190" i="1"/>
  <c r="CP190" i="1"/>
  <c r="CU190" i="1" s="1"/>
  <c r="CR146" i="1"/>
  <c r="CP146" i="1"/>
  <c r="CU146" i="1" s="1"/>
  <c r="CQ372" i="1"/>
  <c r="CV372" i="1" s="1"/>
  <c r="CQ270" i="1"/>
  <c r="CV270" i="1" s="1"/>
  <c r="CP403" i="1"/>
  <c r="CU403" i="1" s="1"/>
  <c r="CR403" i="1"/>
  <c r="CR399" i="1"/>
  <c r="CP399" i="1"/>
  <c r="CU399" i="1" s="1"/>
  <c r="CP279" i="1"/>
  <c r="CR279" i="1"/>
  <c r="CR464" i="1"/>
  <c r="CP464" i="1"/>
  <c r="CU464" i="1" s="1"/>
  <c r="CR469" i="1"/>
  <c r="CP469" i="1"/>
  <c r="CU469" i="1" s="1"/>
  <c r="CR495" i="1"/>
  <c r="CP495" i="1"/>
  <c r="CQ332" i="1"/>
  <c r="CV332" i="1" s="1"/>
  <c r="CP359" i="1"/>
  <c r="CU359" i="1" s="1"/>
  <c r="CR359" i="1"/>
  <c r="CP371" i="1"/>
  <c r="CU371" i="1" s="1"/>
  <c r="CR371" i="1"/>
  <c r="CR235" i="1"/>
  <c r="CP235" i="1"/>
  <c r="CR351" i="1"/>
  <c r="CP351" i="1"/>
  <c r="CU351" i="1" s="1"/>
  <c r="CR331" i="1"/>
  <c r="CP331" i="1"/>
  <c r="CU331" i="1" s="1"/>
  <c r="CR35" i="1"/>
  <c r="CP35" i="1"/>
  <c r="CU35" i="1" s="1"/>
  <c r="CR157" i="1"/>
  <c r="CP157" i="1"/>
  <c r="CU157" i="1" s="1"/>
  <c r="CQ329" i="1"/>
  <c r="CQ231" i="1"/>
  <c r="CV231" i="1" s="1"/>
  <c r="CR421" i="1"/>
  <c r="CP421" i="1"/>
  <c r="CR429" i="1"/>
  <c r="CP429" i="1"/>
  <c r="CR471" i="1"/>
  <c r="CP471" i="1"/>
  <c r="CR379" i="1"/>
  <c r="CP379" i="1"/>
  <c r="CU379" i="1" s="1"/>
  <c r="CP502" i="1"/>
  <c r="CU502" i="1" s="1"/>
  <c r="CR502" i="1"/>
  <c r="CP323" i="1"/>
  <c r="CU323" i="1" s="1"/>
  <c r="CR323" i="1"/>
  <c r="CR30" i="1"/>
  <c r="CP30" i="1"/>
  <c r="CU30" i="1" s="1"/>
  <c r="CP326" i="1"/>
  <c r="CU326" i="1" s="1"/>
  <c r="CR326" i="1"/>
  <c r="CP134" i="1"/>
  <c r="CU134" i="1" s="1"/>
  <c r="CR134" i="1"/>
  <c r="CR392" i="1"/>
  <c r="CP392" i="1"/>
  <c r="CU392" i="1" s="1"/>
  <c r="CR370" i="1"/>
  <c r="CP370" i="1"/>
  <c r="CR335" i="1"/>
  <c r="CP335" i="1"/>
  <c r="CR329" i="1"/>
  <c r="CP329" i="1"/>
  <c r="CR368" i="1"/>
  <c r="CP368" i="1"/>
  <c r="CR231" i="1"/>
  <c r="CP231" i="1"/>
  <c r="CU231" i="1" s="1"/>
  <c r="CP310" i="1"/>
  <c r="CR310" i="1"/>
  <c r="CQ432" i="1"/>
  <c r="CR453" i="1"/>
  <c r="CP453" i="1"/>
  <c r="CQ474" i="1"/>
  <c r="CV474" i="1" s="1"/>
  <c r="CP498" i="1"/>
  <c r="CU498" i="1" s="1"/>
  <c r="CR498" i="1"/>
  <c r="AG503" i="1"/>
  <c r="CR503" i="1"/>
  <c r="CP503" i="1"/>
  <c r="CU503" i="1" s="1"/>
  <c r="CR248" i="1"/>
  <c r="CP248" i="1"/>
  <c r="CU248" i="1" s="1"/>
  <c r="CQ278" i="1"/>
  <c r="CQ324" i="1"/>
  <c r="CR432" i="1"/>
  <c r="CP432" i="1"/>
  <c r="CR433" i="1"/>
  <c r="CR112" i="1"/>
  <c r="CP112" i="1"/>
  <c r="CU112" i="1" s="1"/>
  <c r="CR491" i="1"/>
  <c r="CP491" i="1"/>
  <c r="CR477" i="1"/>
  <c r="CP477" i="1"/>
  <c r="CU477" i="1" s="1"/>
  <c r="CR324" i="1"/>
  <c r="CP324" i="1"/>
  <c r="CR315" i="1"/>
  <c r="CP315" i="1"/>
  <c r="CU315" i="1" s="1"/>
  <c r="CP183" i="1"/>
  <c r="CR183" i="1"/>
  <c r="CP198" i="1"/>
  <c r="CU198" i="1" s="1"/>
  <c r="CR198" i="1"/>
  <c r="CR414" i="1"/>
  <c r="CP414" i="1"/>
  <c r="CU414" i="1" s="1"/>
  <c r="CR424" i="1"/>
  <c r="CP424" i="1"/>
  <c r="CU424" i="1" s="1"/>
  <c r="CP167" i="1"/>
  <c r="CR167" i="1"/>
  <c r="CR472" i="1"/>
  <c r="CP472" i="1"/>
  <c r="CP151" i="1"/>
  <c r="CU151" i="1" s="1"/>
  <c r="CR151" i="1"/>
  <c r="CQ471" i="1"/>
  <c r="CP118" i="1"/>
  <c r="CU118" i="1" s="1"/>
  <c r="CR118" i="1"/>
  <c r="CR369" i="1"/>
  <c r="CP369" i="1"/>
  <c r="CR278" i="1"/>
  <c r="CP278" i="1"/>
  <c r="CP259" i="1"/>
  <c r="CU259" i="1" s="1"/>
  <c r="CR259" i="1"/>
  <c r="CP195" i="1"/>
  <c r="CU195" i="1" s="1"/>
  <c r="CR195" i="1"/>
  <c r="CR67" i="1"/>
  <c r="CP67" i="1"/>
  <c r="CU67" i="1" s="1"/>
  <c r="CR135" i="1"/>
  <c r="CP135" i="1"/>
  <c r="CP375" i="1"/>
  <c r="CU375" i="1" s="1"/>
  <c r="CR375" i="1"/>
  <c r="CQ337" i="1"/>
  <c r="CQ353" i="1"/>
  <c r="CQ222" i="1"/>
  <c r="CV222" i="1" s="1"/>
  <c r="CQ217" i="1"/>
  <c r="CQ291" i="1"/>
  <c r="CQ163" i="1"/>
  <c r="CQ424" i="1"/>
  <c r="CV424" i="1" s="1"/>
  <c r="CQ167" i="1"/>
  <c r="CP528" i="1"/>
  <c r="CR528" i="1"/>
  <c r="CR506" i="1"/>
  <c r="CP506" i="1"/>
  <c r="CR376" i="1"/>
  <c r="CR330" i="1"/>
  <c r="CP330" i="1"/>
  <c r="CU330" i="1" s="1"/>
  <c r="CR366" i="1"/>
  <c r="CP366" i="1"/>
  <c r="CU366" i="1" s="1"/>
  <c r="CR296" i="1"/>
  <c r="CP296" i="1"/>
  <c r="CU296" i="1" s="1"/>
  <c r="CR274" i="1"/>
  <c r="CP274" i="1"/>
  <c r="CU274" i="1" s="1"/>
  <c r="CR304" i="1"/>
  <c r="CP304" i="1"/>
  <c r="CU304" i="1" s="1"/>
  <c r="CR249" i="1"/>
  <c r="CP249" i="1"/>
  <c r="CU249" i="1" s="1"/>
  <c r="CR46" i="1"/>
  <c r="CP46" i="1"/>
  <c r="CU46" i="1" s="1"/>
  <c r="CR337" i="1"/>
  <c r="CP337" i="1"/>
  <c r="CR353" i="1"/>
  <c r="CP353" i="1"/>
  <c r="CR222" i="1"/>
  <c r="CP222" i="1"/>
  <c r="CU222" i="1" s="1"/>
  <c r="CR217" i="1"/>
  <c r="CP217" i="1"/>
  <c r="CP291" i="1"/>
  <c r="CR291" i="1"/>
  <c r="CP163" i="1"/>
  <c r="CR163" i="1"/>
  <c r="CR407" i="1"/>
  <c r="CP407" i="1"/>
  <c r="CU407" i="1" s="1"/>
  <c r="CR441" i="1"/>
  <c r="CP441" i="1"/>
  <c r="CR455" i="1"/>
  <c r="CP455" i="1"/>
  <c r="CQ451" i="1"/>
  <c r="CR509" i="1"/>
  <c r="CP509" i="1"/>
  <c r="CU509" i="1" s="1"/>
  <c r="CR347" i="1"/>
  <c r="CP347" i="1"/>
  <c r="CU347" i="1" s="1"/>
  <c r="CR372" i="1"/>
  <c r="CP372" i="1"/>
  <c r="CU372" i="1" s="1"/>
  <c r="CR321" i="1"/>
  <c r="CP321" i="1"/>
  <c r="CU321" i="1" s="1"/>
  <c r="CR194" i="1"/>
  <c r="CP194" i="1"/>
  <c r="CR199" i="1"/>
  <c r="CP199" i="1"/>
  <c r="CU199" i="1" s="1"/>
  <c r="CQ374" i="1"/>
  <c r="CV374" i="1" s="1"/>
  <c r="CQ162" i="1"/>
  <c r="CV162" i="1" s="1"/>
  <c r="CQ341" i="1"/>
  <c r="CQ203" i="1"/>
  <c r="CR265" i="1"/>
  <c r="CP265" i="1"/>
  <c r="CU265" i="1" s="1"/>
  <c r="CR130" i="1"/>
  <c r="CP130" i="1"/>
  <c r="CQ409" i="1"/>
  <c r="CR395" i="1"/>
  <c r="CP395" i="1"/>
  <c r="CU395" i="1" s="1"/>
  <c r="CQ441" i="1"/>
  <c r="CV441" i="1" s="1"/>
  <c r="CQ455" i="1"/>
  <c r="CR456" i="1"/>
  <c r="CP456" i="1"/>
  <c r="CQ429" i="1"/>
  <c r="CR348" i="1"/>
  <c r="CP348" i="1"/>
  <c r="CU348" i="1" s="1"/>
  <c r="CR346" i="1"/>
  <c r="CP346" i="1"/>
  <c r="CU346" i="1" s="1"/>
  <c r="CR362" i="1"/>
  <c r="CP362" i="1"/>
  <c r="CU362" i="1" s="1"/>
  <c r="CR381" i="1"/>
  <c r="CP381" i="1"/>
  <c r="CU381" i="1" s="1"/>
  <c r="CP374" i="1"/>
  <c r="CU374" i="1" s="1"/>
  <c r="CR374" i="1"/>
  <c r="CR162" i="1"/>
  <c r="CP162" i="1"/>
  <c r="CU162" i="1" s="1"/>
  <c r="CR341" i="1"/>
  <c r="CP341" i="1"/>
  <c r="CR203" i="1"/>
  <c r="CP203" i="1"/>
  <c r="CR176" i="1"/>
  <c r="CP176" i="1"/>
  <c r="CU176" i="1" s="1"/>
  <c r="CR292" i="1"/>
  <c r="CP292" i="1"/>
  <c r="CU292" i="1" s="1"/>
  <c r="CQ412" i="1"/>
  <c r="CV412" i="1" s="1"/>
  <c r="CR409" i="1"/>
  <c r="CP409" i="1"/>
  <c r="CQ447" i="1"/>
  <c r="CR439" i="1"/>
  <c r="CP439" i="1"/>
  <c r="CR299" i="1"/>
  <c r="CP299" i="1"/>
  <c r="CU299" i="1" s="1"/>
  <c r="CR318" i="1"/>
  <c r="CP318" i="1"/>
  <c r="CU318" i="1" s="1"/>
  <c r="CP147" i="1"/>
  <c r="CU147" i="1" s="1"/>
  <c r="CR147" i="1"/>
  <c r="CQ263" i="1"/>
  <c r="CQ364" i="1"/>
  <c r="CV364" i="1" s="1"/>
  <c r="CQ236" i="1"/>
  <c r="CV236" i="1" s="1"/>
  <c r="CQ219" i="1"/>
  <c r="CV219" i="1" s="1"/>
  <c r="CR412" i="1"/>
  <c r="CP412" i="1"/>
  <c r="CU412" i="1" s="1"/>
  <c r="CR417" i="1"/>
  <c r="CP417" i="1"/>
  <c r="CU417" i="1" s="1"/>
  <c r="CR447" i="1"/>
  <c r="CP447" i="1"/>
  <c r="CQ439" i="1"/>
  <c r="CP494" i="1"/>
  <c r="CR494" i="1"/>
  <c r="CP387" i="1"/>
  <c r="CU387" i="1" s="1"/>
  <c r="CR387" i="1"/>
  <c r="CR356" i="1"/>
  <c r="CP356" i="1"/>
  <c r="CR313" i="1"/>
  <c r="CP313" i="1"/>
  <c r="CQ369" i="1"/>
  <c r="CR50" i="1"/>
  <c r="CP50" i="1"/>
  <c r="CU50" i="1" s="1"/>
  <c r="CR216" i="1"/>
  <c r="CP216" i="1"/>
  <c r="CU216" i="1" s="1"/>
  <c r="CR302" i="1"/>
  <c r="CP302" i="1"/>
  <c r="CU302" i="1" s="1"/>
  <c r="CP263" i="1"/>
  <c r="CR263" i="1"/>
  <c r="CR289" i="1"/>
  <c r="CP289" i="1"/>
  <c r="CU289" i="1" s="1"/>
  <c r="CR364" i="1"/>
  <c r="CP364" i="1"/>
  <c r="CU364" i="1" s="1"/>
  <c r="CR269" i="1"/>
  <c r="CR251" i="1"/>
  <c r="CP251" i="1"/>
  <c r="CR236" i="1"/>
  <c r="CP236" i="1"/>
  <c r="CU236" i="1" s="1"/>
  <c r="CR219" i="1"/>
  <c r="CP219" i="1"/>
  <c r="CU219" i="1" s="1"/>
  <c r="CR188" i="1"/>
  <c r="CP188" i="1"/>
  <c r="CQ253" i="1"/>
  <c r="CV253" i="1" s="1"/>
  <c r="CR229" i="1"/>
  <c r="CP229" i="1"/>
  <c r="CQ468" i="1"/>
  <c r="CR507" i="1"/>
  <c r="CP507" i="1"/>
  <c r="CU507" i="1" s="1"/>
  <c r="CP483" i="1"/>
  <c r="CU483" i="1" s="1"/>
  <c r="CR483" i="1"/>
  <c r="CQ320" i="1"/>
  <c r="CV320" i="1" s="1"/>
  <c r="U530" i="1"/>
  <c r="BV583" i="1"/>
  <c r="BY583" i="1" s="1"/>
  <c r="CW583" i="1"/>
  <c r="CY583" i="1" s="1"/>
  <c r="BO581" i="1"/>
  <c r="BV581" i="1"/>
  <c r="BY581" i="1" s="1"/>
  <c r="BK584" i="1"/>
  <c r="BI583" i="1"/>
  <c r="CW584" i="1"/>
  <c r="CY584" i="1" s="1"/>
  <c r="BI584" i="1"/>
  <c r="BO585" i="1"/>
  <c r="BO584" i="1"/>
  <c r="EC583" i="1"/>
  <c r="EE583" i="1" s="1"/>
  <c r="BO583" i="1"/>
  <c r="EC584" i="1"/>
  <c r="EE584" i="1" s="1"/>
  <c r="BT583" i="1"/>
  <c r="BT581" i="1"/>
  <c r="BT584" i="1"/>
  <c r="BV584" i="1"/>
  <c r="BY584" i="1" s="1"/>
  <c r="BV585" i="1"/>
  <c r="BY585" i="1" s="1"/>
  <c r="Z530" i="1"/>
  <c r="DJ577" i="1"/>
  <c r="DJ575" i="1"/>
  <c r="DJ573" i="1"/>
  <c r="DJ585" i="1"/>
  <c r="EP585" i="1"/>
  <c r="DJ582" i="1"/>
  <c r="EP582" i="1"/>
  <c r="EA585" i="1"/>
  <c r="DJ580" i="1"/>
  <c r="EP583" i="1"/>
  <c r="CS583" i="1"/>
  <c r="EP584" i="1"/>
  <c r="DJ578" i="1"/>
  <c r="CS584" i="1"/>
  <c r="DJ576" i="1"/>
  <c r="DJ574" i="1"/>
  <c r="DJ584" i="1"/>
  <c r="CS585" i="1"/>
  <c r="CS581" i="1"/>
  <c r="DJ579" i="1"/>
  <c r="DJ583" i="1"/>
  <c r="DJ581" i="1"/>
  <c r="EA583" i="1"/>
  <c r="EP581" i="1"/>
  <c r="EA584" i="1"/>
  <c r="EA581" i="1"/>
  <c r="Z512" i="1"/>
  <c r="AW489" i="1"/>
  <c r="AG530" i="1"/>
  <c r="AH530" i="1" s="1"/>
  <c r="EC582" i="1"/>
  <c r="EE582" i="1" s="1"/>
  <c r="EC579" i="1"/>
  <c r="EE579" i="1" s="1"/>
  <c r="CW582" i="1"/>
  <c r="CY582" i="1" s="1"/>
  <c r="CW580" i="1"/>
  <c r="CY580" i="1" s="1"/>
  <c r="BI580" i="1"/>
  <c r="BO582" i="1"/>
  <c r="BO580" i="1"/>
  <c r="BV580" i="1"/>
  <c r="BY580" i="1" s="1"/>
  <c r="BV582" i="1"/>
  <c r="BY582" i="1" s="1"/>
  <c r="EC580" i="1"/>
  <c r="EE580" i="1" s="1"/>
  <c r="BT582" i="1"/>
  <c r="BT580" i="1"/>
  <c r="BK582" i="1"/>
  <c r="BI582" i="1"/>
  <c r="EA582" i="1"/>
  <c r="CS580" i="1"/>
  <c r="EP580" i="1"/>
  <c r="EA580" i="1"/>
  <c r="CS582" i="1"/>
  <c r="EP579" i="1"/>
  <c r="EA579" i="1"/>
  <c r="AW555" i="1"/>
  <c r="U582" i="1"/>
  <c r="Z582" i="1"/>
  <c r="AW582" i="1"/>
  <c r="BF582" i="1" a="1"/>
  <c r="BF582" i="1" s="1"/>
  <c r="BH582" i="1" s="1"/>
  <c r="BA582" i="1"/>
  <c r="BF555" i="1" a="1"/>
  <c r="BF555" i="1" s="1"/>
  <c r="BH555" i="1" s="1"/>
  <c r="BA555" i="1"/>
  <c r="EC555" i="1"/>
  <c r="EE555" i="1" s="1"/>
  <c r="BK579" i="1"/>
  <c r="BI579" i="1"/>
  <c r="BO579" i="1"/>
  <c r="BV578" i="1"/>
  <c r="BY578" i="1" s="1"/>
  <c r="BO578" i="1"/>
  <c r="BT578" i="1"/>
  <c r="BV579" i="1"/>
  <c r="BY579" i="1" s="1"/>
  <c r="CS578" i="1"/>
  <c r="EA578" i="1"/>
  <c r="CS579" i="1"/>
  <c r="EP578" i="1"/>
  <c r="CS577" i="1"/>
  <c r="EP574" i="1"/>
  <c r="EP577" i="1"/>
  <c r="EP572" i="1"/>
  <c r="CS574" i="1"/>
  <c r="CS576" i="1"/>
  <c r="EA577" i="1"/>
  <c r="EA574" i="1"/>
  <c r="EA572" i="1"/>
  <c r="EP576" i="1"/>
  <c r="CS575" i="1"/>
  <c r="EP573" i="1"/>
  <c r="CS573" i="1"/>
  <c r="EA576" i="1"/>
  <c r="EP575" i="1"/>
  <c r="DJ572" i="1"/>
  <c r="EA575" i="1"/>
  <c r="EA573" i="1"/>
  <c r="CS572" i="1"/>
  <c r="CS569" i="1"/>
  <c r="CS571" i="1"/>
  <c r="EA570" i="1"/>
  <c r="EP569" i="1"/>
  <c r="EA569" i="1"/>
  <c r="DJ568" i="1"/>
  <c r="DJ570" i="1"/>
  <c r="DJ569" i="1"/>
  <c r="EA568" i="1"/>
  <c r="DJ571" i="1"/>
  <c r="EP571" i="1"/>
  <c r="CS568" i="1"/>
  <c r="EP568" i="1"/>
  <c r="CS570" i="1"/>
  <c r="EP570" i="1"/>
  <c r="EA571" i="1"/>
  <c r="BI577" i="1"/>
  <c r="BO577" i="1"/>
  <c r="CX575" i="1"/>
  <c r="BO576" i="1"/>
  <c r="BO573" i="1"/>
  <c r="BO572" i="1"/>
  <c r="CW575" i="1"/>
  <c r="CY575" i="1" s="1"/>
  <c r="EC577" i="1"/>
  <c r="EE577" i="1" s="1"/>
  <c r="BI575" i="1"/>
  <c r="BI572" i="1"/>
  <c r="CW572" i="1"/>
  <c r="CY572" i="1" s="1"/>
  <c r="BO575" i="1"/>
  <c r="BO574" i="1"/>
  <c r="CW577" i="1"/>
  <c r="CY577" i="1" s="1"/>
  <c r="CX577" i="1"/>
  <c r="BK575" i="1"/>
  <c r="BV575" i="1"/>
  <c r="BY575" i="1" s="1"/>
  <c r="BV572" i="1"/>
  <c r="BY572" i="1" s="1"/>
  <c r="BT576" i="1"/>
  <c r="BV576" i="1"/>
  <c r="BY576" i="1" s="1"/>
  <c r="BT575" i="1"/>
  <c r="BT572" i="1"/>
  <c r="BV577" i="1"/>
  <c r="BY577" i="1" s="1"/>
  <c r="EC572" i="1"/>
  <c r="EE572" i="1" s="1"/>
  <c r="EC576" i="1"/>
  <c r="EE576" i="1" s="1"/>
  <c r="BI569" i="1"/>
  <c r="BI571" i="1"/>
  <c r="BI568" i="1"/>
  <c r="BO569" i="1"/>
  <c r="BK569" i="1"/>
  <c r="BO568" i="1"/>
  <c r="BT568" i="1"/>
  <c r="BT569" i="1"/>
  <c r="BV568" i="1"/>
  <c r="BY568" i="1" s="1"/>
  <c r="BV569" i="1"/>
  <c r="BY569" i="1" s="1"/>
  <c r="BO571" i="1"/>
  <c r="BT571" i="1"/>
  <c r="BO570" i="1"/>
  <c r="BV571" i="1"/>
  <c r="BY571" i="1" s="1"/>
  <c r="EC569" i="1"/>
  <c r="EE569" i="1" s="1"/>
  <c r="EC571" i="1"/>
  <c r="EE571" i="1" s="1"/>
  <c r="BV567" i="1"/>
  <c r="BY567" i="1" s="1"/>
  <c r="BI566" i="1"/>
  <c r="BO567" i="1"/>
  <c r="CW562" i="1"/>
  <c r="CY562" i="1" s="1"/>
  <c r="BI562" i="1"/>
  <c r="BV566" i="1"/>
  <c r="BY566" i="1" s="1"/>
  <c r="BO566" i="1"/>
  <c r="BO562" i="1"/>
  <c r="BV565" i="1"/>
  <c r="BY565" i="1" s="1"/>
  <c r="BO563" i="1"/>
  <c r="EC566" i="1"/>
  <c r="EE566" i="1" s="1"/>
  <c r="BO564" i="1"/>
  <c r="BV562" i="1"/>
  <c r="BY562" i="1" s="1"/>
  <c r="BO565" i="1"/>
  <c r="BV563" i="1"/>
  <c r="BY563" i="1" s="1"/>
  <c r="EC562" i="1"/>
  <c r="EE562" i="1" s="1"/>
  <c r="BT562" i="1"/>
  <c r="BX562" i="1" s="1"/>
  <c r="BT567" i="1"/>
  <c r="BT563" i="1"/>
  <c r="BX563" i="1" s="1"/>
  <c r="BT565" i="1"/>
  <c r="EB557" i="1"/>
  <c r="CT557" i="1"/>
  <c r="EA566" i="1"/>
  <c r="EP564" i="1"/>
  <c r="EA563" i="1"/>
  <c r="EP562" i="1"/>
  <c r="CS564" i="1"/>
  <c r="CS563" i="1"/>
  <c r="EA565" i="1"/>
  <c r="DJ565" i="1"/>
  <c r="EA562" i="1"/>
  <c r="DJ567" i="1"/>
  <c r="DJ563" i="1"/>
  <c r="EA564" i="1"/>
  <c r="EP565" i="1"/>
  <c r="DJ562" i="1"/>
  <c r="DJ566" i="1"/>
  <c r="EA567" i="1"/>
  <c r="EP567" i="1"/>
  <c r="CS565" i="1"/>
  <c r="CS567" i="1"/>
  <c r="EP566" i="1"/>
  <c r="EP563" i="1"/>
  <c r="CS562" i="1"/>
  <c r="DJ564" i="1"/>
  <c r="EP560" i="1"/>
  <c r="EA561" i="1"/>
  <c r="EA560" i="1"/>
  <c r="DJ561" i="1"/>
  <c r="EP561" i="1"/>
  <c r="DJ560" i="1"/>
  <c r="CS561" i="1"/>
  <c r="EA555" i="1"/>
  <c r="DJ558" i="1"/>
  <c r="CS559" i="1"/>
  <c r="CS558" i="1"/>
  <c r="CS557" i="1"/>
  <c r="EP559" i="1"/>
  <c r="DJ556" i="1"/>
  <c r="EP558" i="1"/>
  <c r="DJ555" i="1"/>
  <c r="EP557" i="1"/>
  <c r="EA559" i="1"/>
  <c r="EA558" i="1"/>
  <c r="CS556" i="1"/>
  <c r="EA557" i="1"/>
  <c r="CS555" i="1"/>
  <c r="EP556" i="1"/>
  <c r="EP555" i="1"/>
  <c r="DJ559" i="1"/>
  <c r="DJ557" i="1"/>
  <c r="EA556" i="1"/>
  <c r="CS560" i="1"/>
  <c r="BK560" i="1"/>
  <c r="BK561" i="1"/>
  <c r="BV561" i="1"/>
  <c r="BY561" i="1" s="1"/>
  <c r="BO561" i="1"/>
  <c r="BI561" i="1"/>
  <c r="BI560" i="1"/>
  <c r="BV560" i="1"/>
  <c r="BY560" i="1" s="1"/>
  <c r="BO560" i="1"/>
  <c r="CX556" i="1"/>
  <c r="CW556" i="1"/>
  <c r="CY556" i="1" s="1"/>
  <c r="BK558" i="1"/>
  <c r="BI555" i="1"/>
  <c r="BT557" i="1"/>
  <c r="BI558" i="1"/>
  <c r="BI556" i="1"/>
  <c r="BV559" i="1"/>
  <c r="BY559" i="1" s="1"/>
  <c r="BV556" i="1"/>
  <c r="BY556" i="1" s="1"/>
  <c r="BT555" i="1"/>
  <c r="BV558" i="1"/>
  <c r="BY558" i="1" s="1"/>
  <c r="BV557" i="1"/>
  <c r="BY557" i="1" s="1"/>
  <c r="BO556" i="1"/>
  <c r="EC556" i="1"/>
  <c r="EE556" i="1" s="1"/>
  <c r="BO555" i="1"/>
  <c r="BV555" i="1"/>
  <c r="BY555" i="1" s="1"/>
  <c r="BO557" i="1"/>
  <c r="BO558" i="1"/>
  <c r="BT558" i="1"/>
  <c r="BT556" i="1"/>
  <c r="BO559" i="1"/>
  <c r="AW475" i="1"/>
  <c r="CW554" i="1"/>
  <c r="BO554" i="1"/>
  <c r="EC553" i="1"/>
  <c r="EE553" i="1" s="1"/>
  <c r="AW506" i="1"/>
  <c r="EP554" i="1"/>
  <c r="DJ554" i="1"/>
  <c r="CS554" i="1"/>
  <c r="EA554" i="1"/>
  <c r="EA553" i="1"/>
  <c r="DJ553" i="1"/>
  <c r="EP553" i="1"/>
  <c r="AW503" i="1"/>
  <c r="AW526" i="1"/>
  <c r="AW481" i="1"/>
  <c r="BI553" i="1"/>
  <c r="BK551" i="1"/>
  <c r="BO551" i="1"/>
  <c r="BV549" i="1"/>
  <c r="BY549" i="1" s="1"/>
  <c r="BO549" i="1"/>
  <c r="BO550" i="1"/>
  <c r="CW553" i="1"/>
  <c r="CY553" i="1" s="1"/>
  <c r="BI551" i="1"/>
  <c r="BI549" i="1"/>
  <c r="BK549" i="1"/>
  <c r="CX553" i="1"/>
  <c r="BO553" i="1"/>
  <c r="BV553" i="1"/>
  <c r="BY553" i="1" s="1"/>
  <c r="ER549" i="1"/>
  <c r="ET549" i="1" s="1"/>
  <c r="BV550" i="1"/>
  <c r="BY550" i="1" s="1"/>
  <c r="BO552" i="1"/>
  <c r="EC549" i="1"/>
  <c r="EE549" i="1" s="1"/>
  <c r="BT549" i="1"/>
  <c r="BT553" i="1"/>
  <c r="BT550" i="1"/>
  <c r="BV551" i="1"/>
  <c r="BY551" i="1" s="1"/>
  <c r="CE550" i="1"/>
  <c r="CH550" i="1" s="1"/>
  <c r="CC550" i="1"/>
  <c r="CG550" i="1" s="1"/>
  <c r="BT551" i="1"/>
  <c r="DJ552" i="1"/>
  <c r="EP549" i="1"/>
  <c r="CS549" i="1"/>
  <c r="CS553" i="1"/>
  <c r="EP552" i="1"/>
  <c r="EA551" i="1"/>
  <c r="EP550" i="1"/>
  <c r="EA549" i="1"/>
  <c r="CS550" i="1"/>
  <c r="EA550" i="1"/>
  <c r="CS552" i="1"/>
  <c r="CS551" i="1"/>
  <c r="EA552" i="1"/>
  <c r="EP551" i="1"/>
  <c r="DJ551" i="1"/>
  <c r="DJ549" i="1"/>
  <c r="DJ550" i="1"/>
  <c r="EA544" i="1"/>
  <c r="CS543" i="1"/>
  <c r="EP548" i="1"/>
  <c r="EA546" i="1"/>
  <c r="EP543" i="1"/>
  <c r="CS547" i="1"/>
  <c r="EP545" i="1"/>
  <c r="EP547" i="1"/>
  <c r="CS545" i="1"/>
  <c r="EA548" i="1"/>
  <c r="DJ544" i="1"/>
  <c r="DJ546" i="1"/>
  <c r="EA547" i="1"/>
  <c r="DJ548" i="1"/>
  <c r="EA545" i="1"/>
  <c r="CS544" i="1"/>
  <c r="DJ543" i="1"/>
  <c r="EP546" i="1"/>
  <c r="EP544" i="1"/>
  <c r="EA543" i="1"/>
  <c r="DJ547" i="1"/>
  <c r="CS548" i="1"/>
  <c r="CS546" i="1"/>
  <c r="DJ545" i="1"/>
  <c r="EB550" i="1"/>
  <c r="AW484" i="1"/>
  <c r="AW512" i="1"/>
  <c r="AW531" i="1"/>
  <c r="AW529" i="1"/>
  <c r="AW523" i="1"/>
  <c r="AW478" i="1"/>
  <c r="AG519" i="1"/>
  <c r="Z519" i="1"/>
  <c r="AW530" i="1"/>
  <c r="U504" i="1"/>
  <c r="U519" i="1"/>
  <c r="BO544" i="1"/>
  <c r="BI548" i="1"/>
  <c r="BV548" i="1"/>
  <c r="BY548" i="1" s="1"/>
  <c r="BV544" i="1"/>
  <c r="BY544" i="1" s="1"/>
  <c r="BV545" i="1"/>
  <c r="BY545" i="1" s="1"/>
  <c r="EC545" i="1"/>
  <c r="EE545" i="1" s="1"/>
  <c r="BK543" i="1"/>
  <c r="BO548" i="1"/>
  <c r="CW545" i="1"/>
  <c r="CY545" i="1" s="1"/>
  <c r="BO545" i="1"/>
  <c r="BO543" i="1"/>
  <c r="BO546" i="1"/>
  <c r="CX545" i="1"/>
  <c r="BT543" i="1"/>
  <c r="BV543" i="1"/>
  <c r="BY543" i="1" s="1"/>
  <c r="BT544" i="1"/>
  <c r="BI545" i="1"/>
  <c r="CW543" i="1"/>
  <c r="CY543" i="1" s="1"/>
  <c r="BI543" i="1"/>
  <c r="BO547" i="1"/>
  <c r="BT545" i="1"/>
  <c r="EC543" i="1"/>
  <c r="EE543" i="1" s="1"/>
  <c r="U513" i="1"/>
  <c r="AW505" i="1"/>
  <c r="AW485" i="1"/>
  <c r="U481" i="1"/>
  <c r="AG518" i="1"/>
  <c r="AW537" i="1"/>
  <c r="AW519" i="1"/>
  <c r="AW515" i="1"/>
  <c r="AW533" i="1"/>
  <c r="AW517" i="1"/>
  <c r="AW532" i="1"/>
  <c r="AW493" i="1"/>
  <c r="AW499" i="1"/>
  <c r="AW516" i="1"/>
  <c r="AW518" i="1"/>
  <c r="AW525" i="1"/>
  <c r="AW527" i="1"/>
  <c r="EA542" i="1"/>
  <c r="DJ542" i="1"/>
  <c r="EP541" i="1"/>
  <c r="CS542" i="1"/>
  <c r="DJ541" i="1"/>
  <c r="EP542" i="1"/>
  <c r="EA541" i="1"/>
  <c r="CS541" i="1"/>
  <c r="BI542" i="1"/>
  <c r="BV542" i="1"/>
  <c r="BY542" i="1" s="1"/>
  <c r="BK541" i="1"/>
  <c r="CW541" i="1"/>
  <c r="CY541" i="1" s="1"/>
  <c r="BI541" i="1"/>
  <c r="BO541" i="1"/>
  <c r="CX542" i="1"/>
  <c r="CW542" i="1"/>
  <c r="CY542" i="1" s="1"/>
  <c r="EC542" i="1"/>
  <c r="EE542" i="1" s="1"/>
  <c r="BV541" i="1"/>
  <c r="BY541" i="1" s="1"/>
  <c r="BO542" i="1"/>
  <c r="BT542" i="1"/>
  <c r="BT541" i="1"/>
  <c r="AW536" i="1"/>
  <c r="AW496" i="1"/>
  <c r="AW501" i="1"/>
  <c r="AW486" i="1"/>
  <c r="AW540" i="1"/>
  <c r="AW521" i="1"/>
  <c r="AW504" i="1"/>
  <c r="AW514" i="1"/>
  <c r="AW494" i="1"/>
  <c r="U523" i="1"/>
  <c r="AW508" i="1"/>
  <c r="CX591" i="1"/>
  <c r="AX589" i="1"/>
  <c r="CH586" i="1"/>
  <c r="AX583" i="1"/>
  <c r="AX580" i="1"/>
  <c r="AX584" i="1"/>
  <c r="AX578" i="1"/>
  <c r="CG586" i="1"/>
  <c r="AX591" i="1"/>
  <c r="AX598" i="1"/>
  <c r="BY606" i="1"/>
  <c r="BX606" i="1"/>
  <c r="AX566" i="1"/>
  <c r="CY591" i="1"/>
  <c r="Q604" i="1" l="1"/>
  <c r="AB607" i="1"/>
  <c r="AY589" i="1"/>
  <c r="AA606" i="1"/>
  <c r="Y606" i="1" s="1"/>
  <c r="V606" i="1"/>
  <c r="Q607" i="1"/>
  <c r="AB604" i="1"/>
  <c r="V604" i="1"/>
  <c r="Y604" i="1"/>
  <c r="Y607" i="1"/>
  <c r="Y605" i="1"/>
  <c r="AY580" i="1"/>
  <c r="AF203" i="1"/>
  <c r="AF263" i="1"/>
  <c r="AY591" i="1"/>
  <c r="AF456" i="1"/>
  <c r="AF188" i="1"/>
  <c r="AF217" i="1"/>
  <c r="AF279" i="1"/>
  <c r="AF353" i="1"/>
  <c r="AF324" i="1"/>
  <c r="AF429" i="1"/>
  <c r="AY584" i="1"/>
  <c r="AF291" i="1"/>
  <c r="AF447" i="1"/>
  <c r="AF439" i="1"/>
  <c r="AF369" i="1"/>
  <c r="AF349" i="1"/>
  <c r="AF243" i="1"/>
  <c r="AF409" i="1"/>
  <c r="AF329" i="1"/>
  <c r="AF167" i="1"/>
  <c r="AY598" i="1"/>
  <c r="AF494" i="1"/>
  <c r="AF341" i="1"/>
  <c r="AF163" i="1"/>
  <c r="AF310" i="1"/>
  <c r="AF18" i="1"/>
  <c r="AF278" i="1"/>
  <c r="AF432" i="1"/>
  <c r="AF495" i="1"/>
  <c r="AF468" i="1"/>
  <c r="AF327" i="1"/>
  <c r="AG546" i="1"/>
  <c r="AF546" i="1"/>
  <c r="AF531" i="1"/>
  <c r="Q602" i="1"/>
  <c r="CU551" i="1"/>
  <c r="AF551" i="1"/>
  <c r="AF455" i="1"/>
  <c r="AF337" i="1"/>
  <c r="AF471" i="1"/>
  <c r="AF522" i="1"/>
  <c r="CU441" i="1"/>
  <c r="AF441" i="1"/>
  <c r="AF506" i="1"/>
  <c r="AF108" i="1"/>
  <c r="AG552" i="1"/>
  <c r="AF552" i="1"/>
  <c r="AG564" i="1"/>
  <c r="AF564" i="1"/>
  <c r="U578" i="1"/>
  <c r="V601" i="1"/>
  <c r="AJ601" i="1" s="1"/>
  <c r="Q603" i="1"/>
  <c r="U570" i="1"/>
  <c r="AF570" i="1"/>
  <c r="AH570" i="1" s="1"/>
  <c r="W601" i="1"/>
  <c r="AI601" i="1" s="1"/>
  <c r="AB601" i="1"/>
  <c r="AA601" i="1"/>
  <c r="BX602" i="1"/>
  <c r="V602" i="1" s="1"/>
  <c r="AB602" i="1"/>
  <c r="W602" i="1"/>
  <c r="AA602" i="1"/>
  <c r="BX603" i="1"/>
  <c r="V603" i="1" s="1"/>
  <c r="AB603" i="1"/>
  <c r="AA603" i="1"/>
  <c r="W603" i="1"/>
  <c r="U559" i="1"/>
  <c r="AH519" i="1"/>
  <c r="U554" i="1"/>
  <c r="DZ560" i="1"/>
  <c r="ED560" i="1" s="1"/>
  <c r="DZ575" i="1"/>
  <c r="ED575" i="1" s="1"/>
  <c r="AH554" i="1"/>
  <c r="CQ555" i="1"/>
  <c r="CV555" i="1" s="1"/>
  <c r="DZ555" i="1"/>
  <c r="DZ559" i="1"/>
  <c r="ED559" i="1" s="1"/>
  <c r="EC558" i="1"/>
  <c r="EE558" i="1" s="1"/>
  <c r="DZ578" i="1"/>
  <c r="ED578" i="1" s="1"/>
  <c r="DZ541" i="1"/>
  <c r="ED541" i="1" s="1"/>
  <c r="AD596" i="1"/>
  <c r="AE596" i="1" s="1"/>
  <c r="Q598" i="1"/>
  <c r="AD599" i="1"/>
  <c r="AE599" i="1" s="1"/>
  <c r="BX598" i="1"/>
  <c r="AB598" i="1"/>
  <c r="BX600" i="1"/>
  <c r="V600" i="1" s="1"/>
  <c r="AB600" i="1"/>
  <c r="AD597" i="1"/>
  <c r="AE597" i="1" s="1"/>
  <c r="BX599" i="1"/>
  <c r="V599" i="1" s="1"/>
  <c r="AB599" i="1"/>
  <c r="Q600" i="1"/>
  <c r="W600" i="1"/>
  <c r="AA600" i="1"/>
  <c r="Q599" i="1"/>
  <c r="W598" i="1"/>
  <c r="AA598" i="1"/>
  <c r="AD600" i="1"/>
  <c r="AE600" i="1" s="1"/>
  <c r="W599" i="1"/>
  <c r="AA599" i="1"/>
  <c r="AD598" i="1"/>
  <c r="AE598" i="1" s="1"/>
  <c r="Q570" i="1"/>
  <c r="Q597" i="1"/>
  <c r="Q596" i="1"/>
  <c r="BX596" i="1"/>
  <c r="V596" i="1" s="1"/>
  <c r="AJ596" i="1" s="1"/>
  <c r="AB596" i="1"/>
  <c r="W596" i="1"/>
  <c r="AA596" i="1"/>
  <c r="W597" i="1"/>
  <c r="AA597" i="1"/>
  <c r="BX597" i="1"/>
  <c r="V597" i="1" s="1"/>
  <c r="AB597" i="1"/>
  <c r="AH561" i="1"/>
  <c r="BK571" i="1"/>
  <c r="Y603" i="1" l="1"/>
  <c r="V598" i="1"/>
  <c r="Y601" i="1"/>
  <c r="AK601" i="1"/>
  <c r="Y602" i="1"/>
  <c r="Y600" i="1"/>
  <c r="Y598" i="1"/>
  <c r="Y599" i="1"/>
  <c r="Y596" i="1"/>
  <c r="AI596" i="1"/>
  <c r="AK596" i="1" s="1"/>
  <c r="Y597" i="1"/>
  <c r="AD595" i="1"/>
  <c r="AE595" i="1" s="1"/>
  <c r="AB595" i="1"/>
  <c r="AA595" i="1"/>
  <c r="W595" i="1"/>
  <c r="AD594" i="1"/>
  <c r="AE594" i="1" s="1"/>
  <c r="Q595" i="1"/>
  <c r="Q594" i="1"/>
  <c r="AB594" i="1"/>
  <c r="BX594" i="1"/>
  <c r="V594" i="1" s="1"/>
  <c r="AJ594" i="1" s="1"/>
  <c r="W594" i="1"/>
  <c r="AA594" i="1"/>
  <c r="BX591" i="1"/>
  <c r="V591" i="1" s="1"/>
  <c r="AB591" i="1"/>
  <c r="Q591" i="1"/>
  <c r="W591" i="1"/>
  <c r="AA591" i="1"/>
  <c r="Q593" i="1"/>
  <c r="AD591" i="1"/>
  <c r="AE591" i="1" s="1"/>
  <c r="AD593" i="1"/>
  <c r="AE593" i="1" s="1"/>
  <c r="BX592" i="1"/>
  <c r="AB592" i="1"/>
  <c r="AB593" i="1"/>
  <c r="BX593" i="1"/>
  <c r="V593" i="1" s="1"/>
  <c r="W592" i="1"/>
  <c r="AA592" i="1"/>
  <c r="W593" i="1"/>
  <c r="AA593" i="1"/>
  <c r="EE592" i="1"/>
  <c r="Q592" i="1"/>
  <c r="AD592" i="1"/>
  <c r="AE592" i="1" s="1"/>
  <c r="Q590" i="1"/>
  <c r="BX590" i="1"/>
  <c r="V590" i="1" s="1"/>
  <c r="AB590" i="1"/>
  <c r="W590" i="1"/>
  <c r="AA590" i="1"/>
  <c r="AD590" i="1"/>
  <c r="AE590" i="1" s="1"/>
  <c r="BT588" i="1"/>
  <c r="BT585" i="1"/>
  <c r="Q564" i="1"/>
  <c r="Q547" i="1"/>
  <c r="Q552" i="1"/>
  <c r="BH585" i="1"/>
  <c r="BH550" i="1"/>
  <c r="BH554" i="1"/>
  <c r="BH552" i="1"/>
  <c r="BH562" i="1"/>
  <c r="BH565" i="1"/>
  <c r="AH552" i="1"/>
  <c r="BH573" i="1"/>
  <c r="U589" i="1"/>
  <c r="AH589" i="1"/>
  <c r="Z574" i="1"/>
  <c r="U574" i="1"/>
  <c r="U573" i="1"/>
  <c r="Z573" i="1"/>
  <c r="CQ565" i="1"/>
  <c r="CV565" i="1" s="1"/>
  <c r="ED565" i="1"/>
  <c r="CX551" i="1"/>
  <c r="Z551" i="1"/>
  <c r="U551" i="1"/>
  <c r="BH586" i="1"/>
  <c r="Z564" i="1"/>
  <c r="U564" i="1"/>
  <c r="CX549" i="1"/>
  <c r="U549" i="1"/>
  <c r="Z549" i="1"/>
  <c r="CX581" i="1"/>
  <c r="Z581" i="1"/>
  <c r="U581" i="1"/>
  <c r="U548" i="1"/>
  <c r="Z548" i="1"/>
  <c r="CX548" i="1"/>
  <c r="Z563" i="1"/>
  <c r="U563" i="1"/>
  <c r="U544" i="1"/>
  <c r="U547" i="1"/>
  <c r="AH564" i="1"/>
  <c r="BH551" i="1"/>
  <c r="EC586" i="1"/>
  <c r="EE586" i="1" s="1"/>
  <c r="U586" i="1"/>
  <c r="CX588" i="1"/>
  <c r="Z588" i="1"/>
  <c r="U588" i="1"/>
  <c r="U571" i="1"/>
  <c r="Z571" i="1"/>
  <c r="CX571" i="1"/>
  <c r="CX568" i="1"/>
  <c r="Z568" i="1"/>
  <c r="U568" i="1"/>
  <c r="BH589" i="1"/>
  <c r="U560" i="1"/>
  <c r="CX558" i="1"/>
  <c r="Z558" i="1"/>
  <c r="U558" i="1"/>
  <c r="Z585" i="1"/>
  <c r="U585" i="1"/>
  <c r="CX565" i="1"/>
  <c r="Z565" i="1"/>
  <c r="U565" i="1"/>
  <c r="BH557" i="1"/>
  <c r="Z579" i="1"/>
  <c r="U579" i="1"/>
  <c r="CX579" i="1"/>
  <c r="U557" i="1"/>
  <c r="Z557" i="1"/>
  <c r="CX557" i="1"/>
  <c r="CQ548" i="1"/>
  <c r="CV548" i="1" s="1"/>
  <c r="ED548" i="1"/>
  <c r="Z546" i="1"/>
  <c r="U546" i="1"/>
  <c r="BH544" i="1"/>
  <c r="AH546" i="1"/>
  <c r="AW558" i="1"/>
  <c r="CX566" i="1"/>
  <c r="U566" i="1"/>
  <c r="Z566" i="1"/>
  <c r="CQ568" i="1"/>
  <c r="CV568" i="1" s="1"/>
  <c r="ED568" i="1"/>
  <c r="U552" i="1"/>
  <c r="Z552" i="1"/>
  <c r="BH558" i="1"/>
  <c r="AH551" i="1"/>
  <c r="BH561" i="1"/>
  <c r="U567" i="1"/>
  <c r="Z567" i="1"/>
  <c r="CX567" i="1"/>
  <c r="BH569" i="1"/>
  <c r="CP561" i="1"/>
  <c r="CU561" i="1" s="1"/>
  <c r="AW561" i="1"/>
  <c r="BT561" i="1" s="1"/>
  <c r="CQ561" i="1"/>
  <c r="CV561" i="1" s="1"/>
  <c r="AY583" i="1"/>
  <c r="CY585" i="1"/>
  <c r="BY564" i="1"/>
  <c r="CX585" i="1"/>
  <c r="EE564" i="1"/>
  <c r="EE589" i="1"/>
  <c r="BX564" i="1"/>
  <c r="EE595" i="1"/>
  <c r="AI595" i="1" l="1"/>
  <c r="Y595" i="1"/>
  <c r="AI594" i="1"/>
  <c r="AK594" i="1" s="1"/>
  <c r="Y594" i="1"/>
  <c r="Y591" i="1"/>
  <c r="Y592" i="1"/>
  <c r="Y593" i="1"/>
  <c r="V592" i="1"/>
  <c r="Y590" i="1"/>
  <c r="Q567" i="1"/>
  <c r="CX561" i="1"/>
  <c r="Z561" i="1"/>
  <c r="U561" i="1"/>
  <c r="AD589" i="1"/>
  <c r="AE589" i="1" s="1"/>
  <c r="Q589" i="1"/>
  <c r="BX589" i="1"/>
  <c r="V589" i="1" s="1"/>
  <c r="AJ589" i="1" s="1"/>
  <c r="AB589" i="1"/>
  <c r="W589" i="1"/>
  <c r="AA589" i="1"/>
  <c r="V586" i="1"/>
  <c r="Q586" i="1"/>
  <c r="Q581" i="1"/>
  <c r="BX587" i="1"/>
  <c r="V587" i="1" s="1"/>
  <c r="AB587" i="1"/>
  <c r="W587" i="1"/>
  <c r="AA587" i="1"/>
  <c r="AD588" i="1"/>
  <c r="AE588" i="1" s="1"/>
  <c r="BX588" i="1"/>
  <c r="V588" i="1" s="1"/>
  <c r="AB588" i="1"/>
  <c r="AB586" i="1"/>
  <c r="W586" i="1"/>
  <c r="AA586" i="1"/>
  <c r="Q588" i="1"/>
  <c r="AD586" i="1"/>
  <c r="AE586" i="1" s="1"/>
  <c r="W588" i="1"/>
  <c r="AA588" i="1"/>
  <c r="Q587" i="1"/>
  <c r="AD587" i="1"/>
  <c r="AE587" i="1" s="1"/>
  <c r="AD584" i="1"/>
  <c r="AE584" i="1" s="1"/>
  <c r="Q584" i="1"/>
  <c r="AD581" i="1"/>
  <c r="AE581" i="1" s="1"/>
  <c r="W584" i="1"/>
  <c r="AA584" i="1"/>
  <c r="AA585" i="1"/>
  <c r="W585" i="1"/>
  <c r="W583" i="1"/>
  <c r="AA583" i="1"/>
  <c r="AD585" i="1"/>
  <c r="AE585" i="1" s="1"/>
  <c r="W581" i="1"/>
  <c r="AA581" i="1"/>
  <c r="Q583" i="1"/>
  <c r="BX585" i="1"/>
  <c r="V585" i="1" s="1"/>
  <c r="AB585" i="1"/>
  <c r="BX584" i="1"/>
  <c r="V584" i="1" s="1"/>
  <c r="AB584" i="1"/>
  <c r="Q585" i="1"/>
  <c r="BX581" i="1"/>
  <c r="V581" i="1" s="1"/>
  <c r="AB581" i="1"/>
  <c r="AD583" i="1"/>
  <c r="AE583" i="1" s="1"/>
  <c r="BX583" i="1"/>
  <c r="V583" i="1" s="1"/>
  <c r="AB583" i="1"/>
  <c r="Q580" i="1"/>
  <c r="AA582" i="1"/>
  <c r="AB580" i="1"/>
  <c r="BX580" i="1"/>
  <c r="V580" i="1" s="1"/>
  <c r="BX582" i="1"/>
  <c r="AB582" i="1"/>
  <c r="W580" i="1"/>
  <c r="AA580" i="1"/>
  <c r="W582" i="1"/>
  <c r="AD582" i="1"/>
  <c r="AE582" i="1" s="1"/>
  <c r="AD580" i="1"/>
  <c r="AE580" i="1" s="1"/>
  <c r="CX555" i="1"/>
  <c r="Z555" i="1"/>
  <c r="U555" i="1"/>
  <c r="ED555" i="1"/>
  <c r="AY582" i="1"/>
  <c r="Q582" i="1"/>
  <c r="AY578" i="1"/>
  <c r="AY566" i="1"/>
  <c r="AX564" i="1"/>
  <c r="CX595" i="1"/>
  <c r="V595" i="1" l="1"/>
  <c r="AJ595" i="1" s="1"/>
  <c r="AK595" i="1" s="1"/>
  <c r="AY564" i="1"/>
  <c r="AX563" i="1"/>
  <c r="AX568" i="1"/>
  <c r="AX560" i="1"/>
  <c r="CY552" i="1"/>
  <c r="AX567" i="1"/>
  <c r="CY563" i="1"/>
  <c r="EE554" i="1"/>
  <c r="CY573" i="1"/>
  <c r="BY574" i="1"/>
  <c r="AX573" i="1"/>
  <c r="BX570" i="1"/>
  <c r="AX576" i="1"/>
  <c r="EE552" i="1"/>
  <c r="AX565" i="1"/>
  <c r="AX579" i="1"/>
  <c r="CY564" i="1"/>
  <c r="EE561" i="1"/>
  <c r="AX551" i="1"/>
  <c r="AX575" i="1"/>
  <c r="EE574" i="1"/>
  <c r="AX572" i="1"/>
  <c r="EE570" i="1"/>
  <c r="AX554" i="1"/>
  <c r="AX561" i="1"/>
  <c r="EE563" i="1"/>
  <c r="AX562" i="1"/>
  <c r="AX557" i="1"/>
  <c r="BY552" i="1"/>
  <c r="AX570" i="1"/>
  <c r="CY574" i="1"/>
  <c r="AI589" i="1" l="1"/>
  <c r="AK589" i="1" s="1"/>
  <c r="Y589" i="1"/>
  <c r="Y587" i="1"/>
  <c r="Y588" i="1"/>
  <c r="Y586" i="1"/>
  <c r="AY565" i="1"/>
  <c r="AY562" i="1"/>
  <c r="AY567" i="1"/>
  <c r="AY563" i="1"/>
  <c r="AY579" i="1"/>
  <c r="Y583" i="1"/>
  <c r="Y581" i="1"/>
  <c r="Y584" i="1"/>
  <c r="Y585" i="1"/>
  <c r="Y582" i="1"/>
  <c r="Y580" i="1"/>
  <c r="V582" i="1"/>
  <c r="AD579" i="1"/>
  <c r="AE579" i="1" s="1"/>
  <c r="Q579" i="1"/>
  <c r="BX579" i="1"/>
  <c r="AB579" i="1"/>
  <c r="Q578" i="1"/>
  <c r="W579" i="1"/>
  <c r="AA579" i="1"/>
  <c r="AD578" i="1"/>
  <c r="AE578" i="1" s="1"/>
  <c r="AD573" i="1"/>
  <c r="AE573" i="1" s="1"/>
  <c r="AD568" i="1"/>
  <c r="AE568" i="1" s="1"/>
  <c r="AD577" i="1"/>
  <c r="AE577" i="1" s="1"/>
  <c r="AD575" i="1"/>
  <c r="AE575" i="1" s="1"/>
  <c r="AD571" i="1"/>
  <c r="AE571" i="1" s="1"/>
  <c r="AD569" i="1"/>
  <c r="AE569" i="1" s="1"/>
  <c r="BX578" i="1"/>
  <c r="AB578" i="1"/>
  <c r="AD572" i="1"/>
  <c r="AE572" i="1" s="1"/>
  <c r="W578" i="1"/>
  <c r="AD576" i="1"/>
  <c r="AD570" i="1"/>
  <c r="AE570" i="1" s="1"/>
  <c r="AD574" i="1"/>
  <c r="AE574" i="1" s="1"/>
  <c r="Q575" i="1"/>
  <c r="Q572" i="1"/>
  <c r="Q577" i="1"/>
  <c r="Q576" i="1"/>
  <c r="BK573" i="1"/>
  <c r="BK527" i="1"/>
  <c r="CG578" i="1"/>
  <c r="BX554" i="1"/>
  <c r="BK574" i="1"/>
  <c r="BK577" i="1"/>
  <c r="V578" i="1" l="1"/>
  <c r="CH578" i="1"/>
  <c r="BK570" i="1"/>
  <c r="BK568" i="1"/>
  <c r="BK572" i="1"/>
  <c r="AA578" i="1" l="1"/>
  <c r="Y578" i="1" s="1"/>
  <c r="V579" i="1"/>
  <c r="Y579" i="1"/>
  <c r="AY575" i="1"/>
  <c r="AY572" i="1"/>
  <c r="AY576" i="1"/>
  <c r="AY573" i="1"/>
  <c r="BX572" i="1"/>
  <c r="AB572" i="1"/>
  <c r="AB574" i="1"/>
  <c r="W574" i="1"/>
  <c r="W575" i="1"/>
  <c r="AA575" i="1"/>
  <c r="AB575" i="1"/>
  <c r="BX575" i="1"/>
  <c r="Q574" i="1"/>
  <c r="BX576" i="1"/>
  <c r="AB576" i="1"/>
  <c r="W572" i="1"/>
  <c r="AA572" i="1"/>
  <c r="AB573" i="1"/>
  <c r="W573" i="1"/>
  <c r="W576" i="1"/>
  <c r="AA576" i="1"/>
  <c r="Q573" i="1"/>
  <c r="BX577" i="1"/>
  <c r="AB577" i="1"/>
  <c r="W577" i="1"/>
  <c r="Q568" i="1"/>
  <c r="AY570" i="1"/>
  <c r="V570" i="1" s="1"/>
  <c r="AJ570" i="1" s="1"/>
  <c r="AY568" i="1"/>
  <c r="Q571" i="1"/>
  <c r="BX569" i="1"/>
  <c r="AB569" i="1"/>
  <c r="BX568" i="1"/>
  <c r="AB568" i="1"/>
  <c r="Q569" i="1"/>
  <c r="AA568" i="1"/>
  <c r="W568" i="1"/>
  <c r="W569" i="1"/>
  <c r="AB570" i="1"/>
  <c r="W570" i="1"/>
  <c r="AI570" i="1" s="1"/>
  <c r="BX571" i="1"/>
  <c r="AB571" i="1"/>
  <c r="W571" i="1"/>
  <c r="Q565" i="1"/>
  <c r="AD560" i="1"/>
  <c r="AE560" i="1" s="1"/>
  <c r="Q563" i="1"/>
  <c r="AD566" i="1"/>
  <c r="AE566" i="1" s="1"/>
  <c r="AD562" i="1"/>
  <c r="AE562" i="1" s="1"/>
  <c r="AD563" i="1"/>
  <c r="AE563" i="1" s="1"/>
  <c r="W565" i="1"/>
  <c r="AA565" i="1"/>
  <c r="AD564" i="1"/>
  <c r="AE564" i="1" s="1"/>
  <c r="W564" i="1"/>
  <c r="AI564" i="1" s="1"/>
  <c r="AB564" i="1"/>
  <c r="AA564" i="1"/>
  <c r="AD557" i="1"/>
  <c r="AE557" i="1" s="1"/>
  <c r="AD558" i="1"/>
  <c r="AE558" i="1" s="1"/>
  <c r="AB563" i="1"/>
  <c r="W563" i="1"/>
  <c r="AA563" i="1"/>
  <c r="AD559" i="1"/>
  <c r="AE559" i="1" s="1"/>
  <c r="AD565" i="1"/>
  <c r="AE565" i="1" s="1"/>
  <c r="AD567" i="1"/>
  <c r="AB562" i="1"/>
  <c r="W562" i="1"/>
  <c r="AA562" i="1"/>
  <c r="W566" i="1"/>
  <c r="AA566" i="1"/>
  <c r="AD561" i="1"/>
  <c r="AE561" i="1" s="1"/>
  <c r="V562" i="1"/>
  <c r="AD555" i="1"/>
  <c r="AE555" i="1" s="1"/>
  <c r="Q562" i="1"/>
  <c r="BX565" i="1"/>
  <c r="V565" i="1" s="1"/>
  <c r="AB565" i="1"/>
  <c r="Q566" i="1"/>
  <c r="BX566" i="1"/>
  <c r="V566" i="1" s="1"/>
  <c r="AB566" i="1"/>
  <c r="AD556" i="1"/>
  <c r="AE556" i="1" s="1"/>
  <c r="BX567" i="1"/>
  <c r="V567" i="1" s="1"/>
  <c r="AB567" i="1"/>
  <c r="W567" i="1"/>
  <c r="AA567" i="1"/>
  <c r="Q561" i="1"/>
  <c r="AY560" i="1"/>
  <c r="AY561" i="1"/>
  <c r="BX561" i="1"/>
  <c r="AB561" i="1"/>
  <c r="W560" i="1"/>
  <c r="W561" i="1"/>
  <c r="AA561" i="1"/>
  <c r="Q560" i="1"/>
  <c r="BX560" i="1"/>
  <c r="AB560" i="1"/>
  <c r="AY557" i="1"/>
  <c r="AY551" i="1"/>
  <c r="AY554" i="1"/>
  <c r="AX571" i="1"/>
  <c r="CX563" i="1"/>
  <c r="AX556" i="1"/>
  <c r="AX555" i="1"/>
  <c r="BX574" i="1"/>
  <c r="CX574" i="1"/>
  <c r="AX549" i="1"/>
  <c r="AX558" i="1"/>
  <c r="BY573" i="1"/>
  <c r="AX552" i="1"/>
  <c r="CX552" i="1"/>
  <c r="EE551" i="1"/>
  <c r="AX553" i="1"/>
  <c r="AX569" i="1"/>
  <c r="CX564" i="1"/>
  <c r="AX550" i="1"/>
  <c r="BX552" i="1"/>
  <c r="EE573" i="1"/>
  <c r="AX577" i="1"/>
  <c r="AX574" i="1"/>
  <c r="AX559" i="1"/>
  <c r="BX573" i="1"/>
  <c r="CY547" i="1"/>
  <c r="V563" i="1" l="1"/>
  <c r="AI561" i="1"/>
  <c r="AY556" i="1"/>
  <c r="AA573" i="1"/>
  <c r="Y573" i="1" s="1"/>
  <c r="AY574" i="1"/>
  <c r="V574" i="1" s="1"/>
  <c r="AA574" i="1"/>
  <c r="Y574" i="1" s="1"/>
  <c r="V564" i="1"/>
  <c r="AJ564" i="1" s="1"/>
  <c r="AK564" i="1" s="1"/>
  <c r="AY569" i="1"/>
  <c r="V569" i="1" s="1"/>
  <c r="AA569" i="1"/>
  <c r="Y569" i="1" s="1"/>
  <c r="AY559" i="1"/>
  <c r="AY558" i="1"/>
  <c r="AY555" i="1"/>
  <c r="AA571" i="1"/>
  <c r="Y571" i="1" s="1"/>
  <c r="AY571" i="1"/>
  <c r="V571" i="1" s="1"/>
  <c r="V575" i="1"/>
  <c r="AY552" i="1"/>
  <c r="AY577" i="1"/>
  <c r="V577" i="1" s="1"/>
  <c r="AA577" i="1"/>
  <c r="Y577" i="1" s="1"/>
  <c r="Y575" i="1"/>
  <c r="Y576" i="1"/>
  <c r="V576" i="1"/>
  <c r="Y572" i="1"/>
  <c r="V572" i="1"/>
  <c r="Y563" i="1"/>
  <c r="AK570" i="1"/>
  <c r="Y568" i="1"/>
  <c r="V568" i="1"/>
  <c r="Y567" i="1"/>
  <c r="Y564" i="1"/>
  <c r="Y565" i="1"/>
  <c r="Y566" i="1"/>
  <c r="Y562" i="1"/>
  <c r="Y561" i="1"/>
  <c r="V561" i="1"/>
  <c r="AJ561" i="1" s="1"/>
  <c r="Q557" i="1"/>
  <c r="Q555" i="1"/>
  <c r="Q558" i="1"/>
  <c r="Q556" i="1"/>
  <c r="W555" i="1"/>
  <c r="AA555" i="1"/>
  <c r="W556" i="1"/>
  <c r="AA556" i="1"/>
  <c r="Q559" i="1"/>
  <c r="BX559" i="1"/>
  <c r="AB559" i="1"/>
  <c r="BX555" i="1"/>
  <c r="AB555" i="1"/>
  <c r="W559" i="1"/>
  <c r="AA559" i="1"/>
  <c r="BX557" i="1"/>
  <c r="V557" i="1" s="1"/>
  <c r="AB557" i="1"/>
  <c r="AB556" i="1"/>
  <c r="BX556" i="1"/>
  <c r="BX558" i="1"/>
  <c r="AB558" i="1"/>
  <c r="W558" i="1"/>
  <c r="AA558" i="1"/>
  <c r="W557" i="1"/>
  <c r="AA557" i="1"/>
  <c r="AY553" i="1"/>
  <c r="AY549" i="1"/>
  <c r="AY550" i="1"/>
  <c r="BY570" i="1"/>
  <c r="CH560" i="1"/>
  <c r="BY554" i="1"/>
  <c r="CG541" i="1"/>
  <c r="BX547" i="1"/>
  <c r="AX546" i="1"/>
  <c r="AX534" i="1"/>
  <c r="CG560" i="1"/>
  <c r="AA570" i="1" l="1"/>
  <c r="Y570" i="1" s="1"/>
  <c r="AA560" i="1"/>
  <c r="Y560" i="1" s="1"/>
  <c r="V560" i="1"/>
  <c r="AX530" i="1"/>
  <c r="BY546" i="1"/>
  <c r="AX547" i="1"/>
  <c r="AX545" i="1"/>
  <c r="AX539" i="1"/>
  <c r="EE547" i="1"/>
  <c r="CY546" i="1"/>
  <c r="AX543" i="1"/>
  <c r="AX548" i="1"/>
  <c r="AX542" i="1"/>
  <c r="CX573" i="1"/>
  <c r="AX544" i="1"/>
  <c r="V558" i="1" l="1"/>
  <c r="V556" i="1"/>
  <c r="V573" i="1"/>
  <c r="V555" i="1"/>
  <c r="V559" i="1"/>
  <c r="AK561" i="1"/>
  <c r="Y555" i="1"/>
  <c r="Y557" i="1"/>
  <c r="Y556" i="1"/>
  <c r="Y558" i="1"/>
  <c r="Y559" i="1"/>
  <c r="Q554" i="1"/>
  <c r="AD553" i="1"/>
  <c r="AE553" i="1" s="1"/>
  <c r="AD554" i="1"/>
  <c r="AE554" i="1" s="1"/>
  <c r="CY554" i="1"/>
  <c r="AA554" i="1" s="1"/>
  <c r="W554" i="1"/>
  <c r="CX554" i="1"/>
  <c r="V554" i="1" s="1"/>
  <c r="AJ554" i="1" s="1"/>
  <c r="AB554" i="1"/>
  <c r="V552" i="1"/>
  <c r="AJ552" i="1" s="1"/>
  <c r="AD549" i="1"/>
  <c r="AE549" i="1" s="1"/>
  <c r="AY542" i="1"/>
  <c r="AY544" i="1"/>
  <c r="AY548" i="1"/>
  <c r="AY547" i="1"/>
  <c r="AY543" i="1"/>
  <c r="AY546" i="1"/>
  <c r="AY545" i="1"/>
  <c r="AA553" i="1"/>
  <c r="W553" i="1"/>
  <c r="Q551" i="1"/>
  <c r="BX553" i="1"/>
  <c r="V553" i="1" s="1"/>
  <c r="AB553" i="1"/>
  <c r="Q553" i="1"/>
  <c r="BX546" i="1"/>
  <c r="AX541" i="1"/>
  <c r="CH541" i="1"/>
  <c r="AI554" i="1" l="1"/>
  <c r="AK554" i="1" s="1"/>
  <c r="Y554" i="1"/>
  <c r="Y553" i="1"/>
  <c r="AD552" i="1"/>
  <c r="AE552" i="1" s="1"/>
  <c r="Q550" i="1"/>
  <c r="AD550" i="1"/>
  <c r="AE550" i="1" s="1"/>
  <c r="AD543" i="1"/>
  <c r="AE543" i="1" s="1"/>
  <c r="AD544" i="1"/>
  <c r="AE544" i="1" s="1"/>
  <c r="Q549" i="1"/>
  <c r="BX551" i="1"/>
  <c r="V551" i="1" s="1"/>
  <c r="AJ551" i="1" s="1"/>
  <c r="AB551" i="1"/>
  <c r="W550" i="1"/>
  <c r="AA550" i="1"/>
  <c r="W549" i="1"/>
  <c r="AA549" i="1"/>
  <c r="AD545" i="1"/>
  <c r="AE545" i="1" s="1"/>
  <c r="BX549" i="1"/>
  <c r="V549" i="1" s="1"/>
  <c r="AB549" i="1"/>
  <c r="AD551" i="1"/>
  <c r="AE551" i="1" s="1"/>
  <c r="W551" i="1"/>
  <c r="AI551" i="1" s="1"/>
  <c r="AA551" i="1"/>
  <c r="AD546" i="1"/>
  <c r="AE546" i="1" s="1"/>
  <c r="W552" i="1"/>
  <c r="AB552" i="1"/>
  <c r="AA552" i="1"/>
  <c r="BX550" i="1"/>
  <c r="V550" i="1" s="1"/>
  <c r="AB550" i="1"/>
  <c r="AD548" i="1"/>
  <c r="AE548" i="1" s="1"/>
  <c r="AD547" i="1"/>
  <c r="AE547" i="1" s="1"/>
  <c r="AY541" i="1"/>
  <c r="BY547" i="1"/>
  <c r="BK506" i="1"/>
  <c r="BK537" i="1"/>
  <c r="BK540" i="1"/>
  <c r="BK538" i="1"/>
  <c r="BK505" i="1"/>
  <c r="BK525" i="1"/>
  <c r="BK530" i="1"/>
  <c r="BK532" i="1"/>
  <c r="BK536" i="1"/>
  <c r="BK519" i="1"/>
  <c r="EE546" i="1"/>
  <c r="BK518" i="1"/>
  <c r="AI552" i="1" l="1"/>
  <c r="AK552" i="1" s="1"/>
  <c r="Y550" i="1"/>
  <c r="AK551" i="1"/>
  <c r="Y549" i="1"/>
  <c r="Y551" i="1"/>
  <c r="Y552" i="1"/>
  <c r="Q545" i="1"/>
  <c r="Q548" i="1"/>
  <c r="AB548" i="1"/>
  <c r="AA544" i="1"/>
  <c r="W544" i="1"/>
  <c r="Q544" i="1"/>
  <c r="BX544" i="1"/>
  <c r="V544" i="1" s="1"/>
  <c r="AB544" i="1"/>
  <c r="BX543" i="1"/>
  <c r="AB543" i="1"/>
  <c r="W546" i="1"/>
  <c r="AB546" i="1"/>
  <c r="AA546" i="1"/>
  <c r="Q546" i="1"/>
  <c r="W543" i="1"/>
  <c r="AA543" i="1"/>
  <c r="W545" i="1"/>
  <c r="AA545" i="1"/>
  <c r="AA548" i="1"/>
  <c r="W548" i="1"/>
  <c r="AB545" i="1"/>
  <c r="BX545" i="1"/>
  <c r="V545" i="1" s="1"/>
  <c r="AB547" i="1"/>
  <c r="W547" i="1"/>
  <c r="AA547" i="1"/>
  <c r="V548" i="1"/>
  <c r="Q543" i="1"/>
  <c r="CX543" i="1"/>
  <c r="Q541" i="1"/>
  <c r="W541" i="1"/>
  <c r="AA541" i="1"/>
  <c r="AA542" i="1"/>
  <c r="W542" i="1"/>
  <c r="BX542" i="1"/>
  <c r="V542" i="1" s="1"/>
  <c r="AB542" i="1"/>
  <c r="Q542" i="1"/>
  <c r="AD541" i="1"/>
  <c r="AE541" i="1" s="1"/>
  <c r="BX541" i="1"/>
  <c r="V541" i="1" s="1"/>
  <c r="AB541" i="1"/>
  <c r="AD542" i="1"/>
  <c r="AE542" i="1" s="1"/>
  <c r="AW473" i="1"/>
  <c r="AH518" i="1"/>
  <c r="AW524" i="1"/>
  <c r="AW477" i="1"/>
  <c r="Z532" i="1"/>
  <c r="U518" i="1"/>
  <c r="AW520" i="1"/>
  <c r="AW509" i="1"/>
  <c r="AW538" i="1"/>
  <c r="AW500" i="1"/>
  <c r="AW534" i="1"/>
  <c r="AY534" i="1" s="1"/>
  <c r="AW535" i="1"/>
  <c r="AW488" i="1"/>
  <c r="AW498" i="1"/>
  <c r="U540" i="1"/>
  <c r="AW511" i="1"/>
  <c r="BA509" i="1"/>
  <c r="BF509" i="1" a="1"/>
  <c r="BF509" i="1" s="1"/>
  <c r="Z515" i="1"/>
  <c r="U515" i="1"/>
  <c r="BA527" i="1"/>
  <c r="BF527" i="1" a="1"/>
  <c r="BF527" i="1" s="1"/>
  <c r="BH527" i="1" s="1"/>
  <c r="BF521" i="1" a="1"/>
  <c r="BF521" i="1" s="1"/>
  <c r="BH521" i="1" s="1"/>
  <c r="BA521" i="1"/>
  <c r="U520" i="1"/>
  <c r="Z520" i="1"/>
  <c r="BA535" i="1"/>
  <c r="BF535" i="1" a="1"/>
  <c r="BF535" i="1" s="1"/>
  <c r="CW507" i="1"/>
  <c r="CY507" i="1" s="1"/>
  <c r="AG494" i="1"/>
  <c r="U496" i="1"/>
  <c r="Z496" i="1"/>
  <c r="Z487" i="1"/>
  <c r="BG491" i="1" a="1"/>
  <c r="BG491" i="1" s="1"/>
  <c r="BF491" i="1" a="1"/>
  <c r="BF491" i="1" s="1"/>
  <c r="BA491" i="1"/>
  <c r="BD495" i="1"/>
  <c r="Z511" i="1"/>
  <c r="BG493" i="1" a="1"/>
  <c r="BG493" i="1" s="1"/>
  <c r="BA493" i="1"/>
  <c r="BF493" i="1" a="1"/>
  <c r="BF493" i="1" s="1"/>
  <c r="BA537" i="1"/>
  <c r="BF537" i="1" a="1"/>
  <c r="BF537" i="1" s="1"/>
  <c r="BH537" i="1" s="1"/>
  <c r="BF507" i="1" a="1"/>
  <c r="BF507" i="1" s="1"/>
  <c r="BA507" i="1"/>
  <c r="BF501" i="1" a="1"/>
  <c r="BF501" i="1" s="1"/>
  <c r="BA501" i="1"/>
  <c r="AG495" i="1"/>
  <c r="AU495" i="1"/>
  <c r="AW495" i="1" s="1"/>
  <c r="CW505" i="1"/>
  <c r="CY505" i="1" s="1"/>
  <c r="EC505" i="1"/>
  <c r="EE505" i="1" s="1"/>
  <c r="BF515" i="1" a="1"/>
  <c r="BF515" i="1" s="1"/>
  <c r="BH515" i="1" s="1"/>
  <c r="BA515" i="1"/>
  <c r="BF508" i="1" a="1"/>
  <c r="BF508" i="1" s="1"/>
  <c r="BA508" i="1"/>
  <c r="Z518" i="1"/>
  <c r="Z540" i="1"/>
  <c r="EC482" i="1"/>
  <c r="EE482" i="1" s="1"/>
  <c r="AU482" i="1"/>
  <c r="AW482" i="1" s="1"/>
  <c r="U535" i="1"/>
  <c r="Z535" i="1"/>
  <c r="U486" i="1"/>
  <c r="Z486" i="1"/>
  <c r="BA511" i="1"/>
  <c r="BF511" i="1" a="1"/>
  <c r="BF511" i="1" s="1"/>
  <c r="ER511" i="1" s="1"/>
  <c r="ET511" i="1" s="1"/>
  <c r="BF505" i="1" a="1"/>
  <c r="BF505" i="1" s="1"/>
  <c r="BA505" i="1"/>
  <c r="BG535" i="1" a="1"/>
  <c r="BG535" i="1" s="1"/>
  <c r="BG508" i="1" a="1"/>
  <c r="BG508" i="1" s="1"/>
  <c r="Z514" i="1"/>
  <c r="U514" i="1"/>
  <c r="Z475" i="1"/>
  <c r="U475" i="1"/>
  <c r="Z516" i="1"/>
  <c r="U516" i="1"/>
  <c r="BG489" i="1" a="1"/>
  <c r="BG489" i="1" s="1"/>
  <c r="BA489" i="1"/>
  <c r="BF489" i="1" a="1"/>
  <c r="BF489" i="1" s="1"/>
  <c r="BF539" i="1" a="1"/>
  <c r="BF539" i="1" s="1"/>
  <c r="BA539" i="1"/>
  <c r="BD482" i="1"/>
  <c r="ED482" i="1"/>
  <c r="AU539" i="1"/>
  <c r="AW539" i="1" s="1"/>
  <c r="AY539" i="1" s="1"/>
  <c r="CW539" i="1"/>
  <c r="CY539" i="1" s="1"/>
  <c r="BA540" i="1"/>
  <c r="BF540" i="1" a="1"/>
  <c r="BF540" i="1" s="1"/>
  <c r="BD522" i="1"/>
  <c r="BA506" i="1"/>
  <c r="BF506" i="1" a="1"/>
  <c r="BF506" i="1" s="1"/>
  <c r="BH506" i="1" s="1"/>
  <c r="BF516" i="1" a="1"/>
  <c r="BF516" i="1" s="1"/>
  <c r="BH516" i="1" s="1"/>
  <c r="BA516" i="1"/>
  <c r="Z517" i="1"/>
  <c r="U517" i="1"/>
  <c r="AW507" i="1"/>
  <c r="BA530" i="1"/>
  <c r="BF530" i="1" a="1"/>
  <c r="BF530" i="1" s="1"/>
  <c r="BD539" i="1"/>
  <c r="EC473" i="1"/>
  <c r="EE473" i="1" s="1"/>
  <c r="U485" i="1"/>
  <c r="Z485" i="1"/>
  <c r="AU522" i="1"/>
  <c r="AW522" i="1" s="1"/>
  <c r="AG522" i="1"/>
  <c r="Z525" i="1"/>
  <c r="U525" i="1"/>
  <c r="BG485" i="1" a="1"/>
  <c r="BG485" i="1" s="1"/>
  <c r="BF485" i="1" a="1"/>
  <c r="BF485" i="1" s="1"/>
  <c r="BA485" i="1"/>
  <c r="U527" i="1"/>
  <c r="Z527" i="1"/>
  <c r="EC502" i="1"/>
  <c r="EE502" i="1" s="1"/>
  <c r="CW502" i="1"/>
  <c r="CY502" i="1" s="1"/>
  <c r="AU502" i="1"/>
  <c r="AW502" i="1" s="1"/>
  <c r="AG531" i="1"/>
  <c r="Z533" i="1"/>
  <c r="U533" i="1"/>
  <c r="U526" i="1"/>
  <c r="Z526" i="1"/>
  <c r="BA533" i="1"/>
  <c r="BF533" i="1" a="1"/>
  <c r="BF533" i="1" s="1"/>
  <c r="BH533" i="1" s="1"/>
  <c r="BG540" i="1" a="1"/>
  <c r="BG540" i="1" s="1"/>
  <c r="CW503" i="1"/>
  <c r="CY503" i="1" s="1"/>
  <c r="BD502" i="1"/>
  <c r="ED502" i="1"/>
  <c r="BG505" i="1" a="1"/>
  <c r="BG505" i="1" s="1"/>
  <c r="BG496" i="1" a="1"/>
  <c r="BG496" i="1" s="1"/>
  <c r="BA496" i="1"/>
  <c r="BF496" i="1" a="1"/>
  <c r="BF496" i="1" s="1"/>
  <c r="BG486" i="1" a="1"/>
  <c r="BG486" i="1" s="1"/>
  <c r="BA486" i="1"/>
  <c r="BF486" i="1" a="1"/>
  <c r="BF486" i="1" s="1"/>
  <c r="BG478" i="1" a="1"/>
  <c r="BG478" i="1" s="1"/>
  <c r="BA478" i="1"/>
  <c r="BF478" i="1" a="1"/>
  <c r="BF478" i="1" s="1"/>
  <c r="Z508" i="1"/>
  <c r="U508" i="1"/>
  <c r="BG484" i="1" a="1"/>
  <c r="BG484" i="1" s="1"/>
  <c r="BF484" i="1" a="1"/>
  <c r="BF484" i="1" s="1"/>
  <c r="BA484" i="1"/>
  <c r="BG530" i="1" a="1"/>
  <c r="BG530" i="1" s="1"/>
  <c r="Z478" i="1"/>
  <c r="U478" i="1"/>
  <c r="BF524" i="1" a="1"/>
  <c r="BF524" i="1" s="1"/>
  <c r="BH524" i="1" s="1"/>
  <c r="BA524" i="1"/>
  <c r="EC524" i="1"/>
  <c r="EE524" i="1" s="1"/>
  <c r="BF500" i="1" a="1"/>
  <c r="BF500" i="1" s="1"/>
  <c r="BH500" i="1" s="1"/>
  <c r="BA500" i="1"/>
  <c r="BA512" i="1"/>
  <c r="BF512" i="1" a="1"/>
  <c r="BF512" i="1" s="1"/>
  <c r="BH512" i="1" s="1"/>
  <c r="BF529" i="1" a="1"/>
  <c r="BF529" i="1" s="1"/>
  <c r="BH529" i="1" s="1"/>
  <c r="BA529" i="1"/>
  <c r="BD491" i="1"/>
  <c r="BG473" i="1" a="1"/>
  <c r="BG473" i="1" s="1"/>
  <c r="BF473" i="1" a="1"/>
  <c r="BF473" i="1" s="1"/>
  <c r="BA473" i="1"/>
  <c r="U500" i="1"/>
  <c r="Z500" i="1"/>
  <c r="Z482" i="1"/>
  <c r="BA504" i="1"/>
  <c r="BF504" i="1" a="1"/>
  <c r="BF504" i="1" s="1"/>
  <c r="BH504" i="1" s="1"/>
  <c r="BA534" i="1"/>
  <c r="BF534" i="1" a="1"/>
  <c r="BF534" i="1" s="1"/>
  <c r="BD528" i="1"/>
  <c r="BF518" i="1" a="1"/>
  <c r="BF518" i="1" s="1"/>
  <c r="BA518" i="1"/>
  <c r="Z484" i="1"/>
  <c r="U484" i="1"/>
  <c r="BF514" i="1" a="1"/>
  <c r="BF514" i="1" s="1"/>
  <c r="BH514" i="1" s="1"/>
  <c r="BA514" i="1"/>
  <c r="BA499" i="1"/>
  <c r="BF499" i="1" a="1"/>
  <c r="BF499" i="1" s="1"/>
  <c r="BG488" i="1" a="1"/>
  <c r="BG488" i="1" s="1"/>
  <c r="BA488" i="1"/>
  <c r="BF488" i="1" a="1"/>
  <c r="BF488" i="1" s="1"/>
  <c r="U537" i="1"/>
  <c r="Z537" i="1"/>
  <c r="BG507" i="1" a="1"/>
  <c r="BG507" i="1" s="1"/>
  <c r="AU491" i="1"/>
  <c r="AW491" i="1" s="1"/>
  <c r="BG477" i="1" a="1"/>
  <c r="BG477" i="1" s="1"/>
  <c r="BA477" i="1"/>
  <c r="BF477" i="1" a="1"/>
  <c r="BF477" i="1" s="1"/>
  <c r="BG482" i="1" a="1"/>
  <c r="BG482" i="1" s="1"/>
  <c r="BF482" i="1" a="1"/>
  <c r="BF482" i="1" s="1"/>
  <c r="BA482" i="1"/>
  <c r="AU528" i="1"/>
  <c r="AW528" i="1" s="1"/>
  <c r="BT528" i="1" s="1"/>
  <c r="AG540" i="1"/>
  <c r="AH540" i="1" s="1"/>
  <c r="BA538" i="1"/>
  <c r="BF538" i="1" a="1"/>
  <c r="BF538" i="1" s="1"/>
  <c r="BH538" i="1" s="1"/>
  <c r="BF522" i="1" a="1"/>
  <c r="BF522" i="1" s="1"/>
  <c r="BA522" i="1"/>
  <c r="U521" i="1"/>
  <c r="Z521" i="1"/>
  <c r="BF532" i="1" a="1"/>
  <c r="BF532" i="1" s="1"/>
  <c r="BH532" i="1" s="1"/>
  <c r="BA532" i="1"/>
  <c r="AG506" i="1"/>
  <c r="AU487" i="1"/>
  <c r="AW487" i="1" s="1"/>
  <c r="CW477" i="1"/>
  <c r="CY477" i="1" s="1"/>
  <c r="BF528" i="1" a="1"/>
  <c r="BF528" i="1" s="1"/>
  <c r="BA528" i="1"/>
  <c r="Z538" i="1"/>
  <c r="U538" i="1"/>
  <c r="CW498" i="1"/>
  <c r="CY498" i="1" s="1"/>
  <c r="Z493" i="1"/>
  <c r="U493" i="1"/>
  <c r="BG511" i="1" a="1"/>
  <c r="BG511" i="1" s="1"/>
  <c r="BG499" i="1" a="1"/>
  <c r="BG499" i="1" s="1"/>
  <c r="BF503" i="1" a="1"/>
  <c r="BF503" i="1" s="1"/>
  <c r="BH503" i="1" s="1"/>
  <c r="BA503" i="1"/>
  <c r="BF502" i="1" a="1"/>
  <c r="BF502" i="1" s="1"/>
  <c r="BA502" i="1"/>
  <c r="Z529" i="1"/>
  <c r="U529" i="1"/>
  <c r="BG475" i="1" a="1"/>
  <c r="BG475" i="1" s="1"/>
  <c r="BF475" i="1" a="1"/>
  <c r="BF475" i="1" s="1"/>
  <c r="BA475" i="1"/>
  <c r="BD487" i="1"/>
  <c r="BG534" i="1" a="1"/>
  <c r="BG534" i="1" s="1"/>
  <c r="BA523" i="1"/>
  <c r="BF523" i="1" a="1"/>
  <c r="BF523" i="1" s="1"/>
  <c r="BH523" i="1" s="1"/>
  <c r="BG494" i="1" a="1"/>
  <c r="BG494" i="1" s="1"/>
  <c r="BA494" i="1"/>
  <c r="BF494" i="1" a="1"/>
  <c r="BF494" i="1" s="1"/>
  <c r="BG498" i="1" a="1"/>
  <c r="BG498" i="1" s="1"/>
  <c r="BA498" i="1"/>
  <c r="BF498" i="1" a="1"/>
  <c r="BF498" i="1" s="1"/>
  <c r="BF525" i="1" a="1"/>
  <c r="BF525" i="1" s="1"/>
  <c r="BH525" i="1" s="1"/>
  <c r="BA525" i="1"/>
  <c r="BA526" i="1"/>
  <c r="BF526" i="1" a="1"/>
  <c r="BF526" i="1" s="1"/>
  <c r="BH526" i="1" s="1"/>
  <c r="EC536" i="1"/>
  <c r="EE536" i="1" s="1"/>
  <c r="CW536" i="1"/>
  <c r="CY536" i="1" s="1"/>
  <c r="BG518" i="1" a="1"/>
  <c r="BG518" i="1" s="1"/>
  <c r="BG522" i="1" a="1"/>
  <c r="BG522" i="1" s="1"/>
  <c r="BF517" i="1" a="1"/>
  <c r="BF517" i="1" s="1"/>
  <c r="BH517" i="1" s="1"/>
  <c r="BA517" i="1"/>
  <c r="BF519" i="1" a="1"/>
  <c r="BF519" i="1" s="1"/>
  <c r="BH519" i="1" s="1"/>
  <c r="BA519" i="1"/>
  <c r="BG487" i="1" a="1"/>
  <c r="BG487" i="1" s="1"/>
  <c r="BF487" i="1" a="1"/>
  <c r="BF487" i="1" s="1"/>
  <c r="BA487" i="1"/>
  <c r="BG501" i="1" a="1"/>
  <c r="BG501" i="1" s="1"/>
  <c r="Z534" i="1"/>
  <c r="U534" i="1"/>
  <c r="CW483" i="1"/>
  <c r="CY483" i="1" s="1"/>
  <c r="AU483" i="1"/>
  <c r="AW483" i="1" s="1"/>
  <c r="BG483" i="1" a="1"/>
  <c r="BG483" i="1" s="1"/>
  <c r="BF483" i="1" a="1"/>
  <c r="BF483" i="1" s="1"/>
  <c r="BA483" i="1"/>
  <c r="BA536" i="1"/>
  <c r="BF536" i="1" a="1"/>
  <c r="BF536" i="1" s="1"/>
  <c r="BH536" i="1" s="1"/>
  <c r="BG481" i="1" a="1"/>
  <c r="BG481" i="1" s="1"/>
  <c r="BF481" i="1" a="1"/>
  <c r="BF481" i="1" s="1"/>
  <c r="BA481" i="1"/>
  <c r="Z499" i="1"/>
  <c r="U499" i="1"/>
  <c r="Z488" i="1"/>
  <c r="U488" i="1"/>
  <c r="BF531" i="1" a="1"/>
  <c r="BF531" i="1" s="1"/>
  <c r="BH531" i="1" s="1"/>
  <c r="BA531" i="1"/>
  <c r="BF520" i="1" a="1"/>
  <c r="BF520" i="1" s="1"/>
  <c r="BH520" i="1" s="1"/>
  <c r="BA520" i="1"/>
  <c r="CW509" i="1"/>
  <c r="CY509" i="1" s="1"/>
  <c r="EC501" i="1"/>
  <c r="EE501" i="1" s="1"/>
  <c r="BD483" i="1"/>
  <c r="BG495" i="1" a="1"/>
  <c r="BG495" i="1" s="1"/>
  <c r="BF495" i="1" a="1"/>
  <c r="BF495" i="1" s="1"/>
  <c r="BA495" i="1"/>
  <c r="BG509" i="1" a="1"/>
  <c r="BG509" i="1" s="1"/>
  <c r="Z489" i="1"/>
  <c r="U489" i="1"/>
  <c r="EA540" i="1"/>
  <c r="EA539" i="1"/>
  <c r="CS539" i="1"/>
  <c r="CS540" i="1"/>
  <c r="EC89" i="1"/>
  <c r="EE89" i="1" s="1"/>
  <c r="EC276" i="1"/>
  <c r="EE276" i="1" s="1"/>
  <c r="EC256" i="1"/>
  <c r="EE256" i="1" s="1"/>
  <c r="EC284" i="1"/>
  <c r="EE284" i="1" s="1"/>
  <c r="EC136" i="1"/>
  <c r="EE136" i="1" s="1"/>
  <c r="EC164" i="1"/>
  <c r="EE164" i="1" s="1"/>
  <c r="EC218" i="1"/>
  <c r="EE218" i="1" s="1"/>
  <c r="EC62" i="1"/>
  <c r="EE62" i="1" s="1"/>
  <c r="EC48" i="1"/>
  <c r="EE48" i="1" s="1"/>
  <c r="EC155" i="1"/>
  <c r="EE155" i="1" s="1"/>
  <c r="EC288" i="1"/>
  <c r="EE288" i="1" s="1"/>
  <c r="EC403" i="1"/>
  <c r="EE403" i="1" s="1"/>
  <c r="BV539" i="1"/>
  <c r="BY539" i="1" s="1"/>
  <c r="BT539" i="1"/>
  <c r="AY530" i="1"/>
  <c r="EA529" i="1"/>
  <c r="CS538" i="1"/>
  <c r="EP538" i="1"/>
  <c r="EA538" i="1"/>
  <c r="EP540" i="1"/>
  <c r="EP536" i="1"/>
  <c r="EP534" i="1"/>
  <c r="EP529" i="1"/>
  <c r="EA537" i="1"/>
  <c r="DJ540" i="1"/>
  <c r="DJ531" i="1"/>
  <c r="DJ530" i="1"/>
  <c r="DJ529" i="1"/>
  <c r="EA536" i="1"/>
  <c r="CS534" i="1"/>
  <c r="EA532" i="1"/>
  <c r="EA531" i="1"/>
  <c r="CS533" i="1"/>
  <c r="EP537" i="1"/>
  <c r="EP532" i="1"/>
  <c r="DJ539" i="1"/>
  <c r="DJ538" i="1"/>
  <c r="DJ537" i="1"/>
  <c r="DJ536" i="1"/>
  <c r="EP533" i="1"/>
  <c r="EP531" i="1"/>
  <c r="DJ532" i="1"/>
  <c r="EA534" i="1"/>
  <c r="EA533" i="1"/>
  <c r="CS531" i="1"/>
  <c r="CS532" i="1"/>
  <c r="CS530" i="1"/>
  <c r="CS529" i="1"/>
  <c r="EP539" i="1"/>
  <c r="EP535" i="1"/>
  <c r="EP530" i="1"/>
  <c r="CS537" i="1"/>
  <c r="DJ535" i="1"/>
  <c r="DJ534" i="1"/>
  <c r="CS535" i="1"/>
  <c r="CS536" i="1"/>
  <c r="EA530" i="1"/>
  <c r="EA535" i="1"/>
  <c r="DJ533" i="1"/>
  <c r="EA528" i="1"/>
  <c r="EP528" i="1"/>
  <c r="DJ528" i="1"/>
  <c r="CS528" i="1"/>
  <c r="BI532" i="1"/>
  <c r="BI538" i="1"/>
  <c r="CX537" i="1"/>
  <c r="CX538" i="1"/>
  <c r="BI537" i="1"/>
  <c r="CW534" i="1"/>
  <c r="CY534" i="1" s="1"/>
  <c r="CX534" i="1"/>
  <c r="BI536" i="1"/>
  <c r="BI534" i="1"/>
  <c r="CW537" i="1"/>
  <c r="CY537" i="1" s="1"/>
  <c r="CW538" i="1"/>
  <c r="CY538" i="1" s="1"/>
  <c r="BK534" i="1"/>
  <c r="BO537" i="1"/>
  <c r="BV529" i="1"/>
  <c r="BY529" i="1" s="1"/>
  <c r="BO534" i="1"/>
  <c r="BO538" i="1"/>
  <c r="BO533" i="1"/>
  <c r="BV534" i="1"/>
  <c r="BY534" i="1" s="1"/>
  <c r="BO536" i="1"/>
  <c r="BV536" i="1"/>
  <c r="BY536" i="1" s="1"/>
  <c r="BV531" i="1"/>
  <c r="BY531" i="1" s="1"/>
  <c r="BV538" i="1"/>
  <c r="BY538" i="1" s="1"/>
  <c r="BO530" i="1"/>
  <c r="BO529" i="1"/>
  <c r="BO531" i="1"/>
  <c r="BO539" i="1"/>
  <c r="BV537" i="1"/>
  <c r="BY537" i="1" s="1"/>
  <c r="BV535" i="1"/>
  <c r="BY535" i="1" s="1"/>
  <c r="BO532" i="1"/>
  <c r="BO535" i="1"/>
  <c r="BO540" i="1"/>
  <c r="EC537" i="1"/>
  <c r="EE537" i="1" s="1"/>
  <c r="EC534" i="1"/>
  <c r="EE534" i="1" s="1"/>
  <c r="EC538" i="1"/>
  <c r="EE538" i="1" s="1"/>
  <c r="BT531" i="1"/>
  <c r="BT537" i="1"/>
  <c r="BT529" i="1"/>
  <c r="BT535" i="1"/>
  <c r="BT538" i="1"/>
  <c r="BT536" i="1"/>
  <c r="BT534" i="1"/>
  <c r="BT533" i="1"/>
  <c r="BV533" i="1"/>
  <c r="BY533" i="1" s="1"/>
  <c r="EB529" i="1"/>
  <c r="BH510" i="1"/>
  <c r="AW108" i="1"/>
  <c r="BH513" i="1"/>
  <c r="BV528" i="1"/>
  <c r="BY528" i="1" s="1"/>
  <c r="BO528" i="1"/>
  <c r="CX525" i="1"/>
  <c r="BI525" i="1"/>
  <c r="BK526" i="1"/>
  <c r="BO526" i="1"/>
  <c r="CW527" i="1"/>
  <c r="CY527" i="1" s="1"/>
  <c r="CX527" i="1"/>
  <c r="BO527" i="1"/>
  <c r="BI526" i="1"/>
  <c r="CW525" i="1"/>
  <c r="CY525" i="1" s="1"/>
  <c r="BI527" i="1"/>
  <c r="BV526" i="1"/>
  <c r="BY526" i="1" s="1"/>
  <c r="BV525" i="1"/>
  <c r="BY525" i="1" s="1"/>
  <c r="BV527" i="1"/>
  <c r="BY527" i="1" s="1"/>
  <c r="BO525" i="1"/>
  <c r="BT526" i="1"/>
  <c r="BX526" i="1" s="1"/>
  <c r="BT527" i="1"/>
  <c r="BT525" i="1"/>
  <c r="CS525" i="1"/>
  <c r="EP525" i="1"/>
  <c r="EA525" i="1"/>
  <c r="DJ525" i="1"/>
  <c r="DJ527" i="1"/>
  <c r="CS527" i="1"/>
  <c r="EP526" i="1"/>
  <c r="EA526" i="1"/>
  <c r="EP527" i="1"/>
  <c r="EA527" i="1"/>
  <c r="DJ526" i="1"/>
  <c r="CS526" i="1"/>
  <c r="EC309" i="1"/>
  <c r="EE309" i="1" s="1"/>
  <c r="EC406" i="1"/>
  <c r="EE406" i="1" s="1"/>
  <c r="DJ521" i="1"/>
  <c r="CS520" i="1"/>
  <c r="EP519" i="1"/>
  <c r="DJ523" i="1"/>
  <c r="CS521" i="1"/>
  <c r="EA520" i="1"/>
  <c r="EP522" i="1"/>
  <c r="EA522" i="1"/>
  <c r="CS519" i="1"/>
  <c r="EP524" i="1"/>
  <c r="CS523" i="1"/>
  <c r="EA521" i="1"/>
  <c r="DJ524" i="1"/>
  <c r="EP523" i="1"/>
  <c r="EA523" i="1"/>
  <c r="DJ522" i="1"/>
  <c r="CS522" i="1"/>
  <c r="EP520" i="1"/>
  <c r="EA519" i="1"/>
  <c r="EA524" i="1"/>
  <c r="CS524" i="1"/>
  <c r="EP521" i="1"/>
  <c r="DJ520" i="1"/>
  <c r="DJ519" i="1"/>
  <c r="EP518" i="1"/>
  <c r="EA518" i="1"/>
  <c r="BK522" i="1"/>
  <c r="BI522" i="1"/>
  <c r="BV521" i="1"/>
  <c r="BY521" i="1" s="1"/>
  <c r="BI524" i="1"/>
  <c r="BK524" i="1"/>
  <c r="BO524" i="1"/>
  <c r="BK521" i="1"/>
  <c r="CX521" i="1"/>
  <c r="BO522" i="1"/>
  <c r="CW521" i="1"/>
  <c r="CY521" i="1" s="1"/>
  <c r="BI521" i="1"/>
  <c r="BO523" i="1"/>
  <c r="Q523" i="1" s="1"/>
  <c r="BO520" i="1"/>
  <c r="BO519" i="1"/>
  <c r="Q519" i="1" s="1"/>
  <c r="BV524" i="1"/>
  <c r="BY524" i="1" s="1"/>
  <c r="BO521" i="1"/>
  <c r="BV522" i="1"/>
  <c r="BY522" i="1" s="1"/>
  <c r="BV520" i="1"/>
  <c r="BY520" i="1" s="1"/>
  <c r="EC521" i="1"/>
  <c r="EE521" i="1" s="1"/>
  <c r="BT524" i="1"/>
  <c r="BT520" i="1"/>
  <c r="BX520" i="1" s="1"/>
  <c r="BT522" i="1"/>
  <c r="BT521" i="1"/>
  <c r="BX521" i="1" s="1"/>
  <c r="DJ518" i="1"/>
  <c r="CS518" i="1"/>
  <c r="EB516" i="1"/>
  <c r="EB517" i="1"/>
  <c r="EA517" i="1"/>
  <c r="EP517" i="1"/>
  <c r="DJ517" i="1"/>
  <c r="EA514" i="1"/>
  <c r="DJ513" i="1"/>
  <c r="EP512" i="1"/>
  <c r="DJ512" i="1"/>
  <c r="CS512" i="1"/>
  <c r="EP511" i="1"/>
  <c r="CS511" i="1"/>
  <c r="EP354" i="1"/>
  <c r="EP358" i="1"/>
  <c r="EP362" i="1"/>
  <c r="EP366" i="1"/>
  <c r="EP370" i="1"/>
  <c r="EP374" i="1"/>
  <c r="EP378" i="1"/>
  <c r="EP382" i="1"/>
  <c r="EP386" i="1"/>
  <c r="EP387" i="1"/>
  <c r="EP389" i="1"/>
  <c r="EP393" i="1"/>
  <c r="EP397" i="1"/>
  <c r="EP401" i="1"/>
  <c r="EP405" i="1"/>
  <c r="EP409" i="1"/>
  <c r="EP413" i="1"/>
  <c r="EP417" i="1"/>
  <c r="EP421" i="1"/>
  <c r="EP425" i="1"/>
  <c r="EP429" i="1"/>
  <c r="EP433" i="1"/>
  <c r="EP437" i="1"/>
  <c r="EP441" i="1"/>
  <c r="EP445" i="1"/>
  <c r="EP449" i="1"/>
  <c r="EP453" i="1"/>
  <c r="EP457" i="1"/>
  <c r="EP461" i="1"/>
  <c r="EP465" i="1"/>
  <c r="EP469" i="1"/>
  <c r="EP473" i="1"/>
  <c r="EP477" i="1"/>
  <c r="EP481" i="1"/>
  <c r="EP485" i="1"/>
  <c r="EP489" i="1"/>
  <c r="EP493" i="1"/>
  <c r="EP497" i="1"/>
  <c r="EP501" i="1"/>
  <c r="EP505" i="1"/>
  <c r="EP7" i="1"/>
  <c r="EP11" i="1"/>
  <c r="EP15" i="1"/>
  <c r="EP19" i="1"/>
  <c r="EP23" i="1"/>
  <c r="EP27" i="1"/>
  <c r="EP31" i="1"/>
  <c r="EP35" i="1"/>
  <c r="EP39" i="1"/>
  <c r="EP43" i="1"/>
  <c r="EP47" i="1"/>
  <c r="EP51" i="1"/>
  <c r="EP55" i="1"/>
  <c r="EP59" i="1"/>
  <c r="EP63" i="1"/>
  <c r="EP67" i="1"/>
  <c r="EP71" i="1"/>
  <c r="EP75" i="1"/>
  <c r="EP79" i="1"/>
  <c r="EP83" i="1"/>
  <c r="EP87" i="1"/>
  <c r="EP91" i="1"/>
  <c r="EP95" i="1"/>
  <c r="EP99" i="1"/>
  <c r="EP103" i="1"/>
  <c r="EP107" i="1"/>
  <c r="EP111" i="1"/>
  <c r="EP115" i="1"/>
  <c r="EP119" i="1"/>
  <c r="EP123" i="1"/>
  <c r="EP127" i="1"/>
  <c r="EP131" i="1"/>
  <c r="EP135" i="1"/>
  <c r="EP139" i="1"/>
  <c r="EP143" i="1"/>
  <c r="EA516" i="1"/>
  <c r="EP513" i="1"/>
  <c r="DJ514" i="1"/>
  <c r="CS513" i="1"/>
  <c r="EP355" i="1"/>
  <c r="EP359" i="1"/>
  <c r="EP363" i="1"/>
  <c r="EP367" i="1"/>
  <c r="EP371" i="1"/>
  <c r="EP375" i="1"/>
  <c r="EP379" i="1"/>
  <c r="EP383" i="1"/>
  <c r="EP390" i="1"/>
  <c r="EP394" i="1"/>
  <c r="EP398" i="1"/>
  <c r="EP402" i="1"/>
  <c r="EP406" i="1"/>
  <c r="EP410" i="1"/>
  <c r="EP414" i="1"/>
  <c r="EP418" i="1"/>
  <c r="EP422" i="1"/>
  <c r="EP426" i="1"/>
  <c r="EP430" i="1"/>
  <c r="EP434" i="1"/>
  <c r="EP438" i="1"/>
  <c r="EP442" i="1"/>
  <c r="EP446" i="1"/>
  <c r="EP450" i="1"/>
  <c r="EP454" i="1"/>
  <c r="EP458" i="1"/>
  <c r="EP462" i="1"/>
  <c r="EP466" i="1"/>
  <c r="EP470" i="1"/>
  <c r="EP474" i="1"/>
  <c r="EP478" i="1"/>
  <c r="EP482" i="1"/>
  <c r="EP486" i="1"/>
  <c r="EP490" i="1"/>
  <c r="EP494" i="1"/>
  <c r="EP498" i="1"/>
  <c r="EP502" i="1"/>
  <c r="EP506" i="1"/>
  <c r="EP509" i="1"/>
  <c r="EP351" i="1"/>
  <c r="EP8" i="1"/>
  <c r="EP12" i="1"/>
  <c r="EP16" i="1"/>
  <c r="EP516" i="1"/>
  <c r="DJ516" i="1"/>
  <c r="EP515" i="1"/>
  <c r="DJ515" i="1"/>
  <c r="CS514" i="1"/>
  <c r="EA511" i="1"/>
  <c r="EP352" i="1"/>
  <c r="EP356" i="1"/>
  <c r="EP360" i="1"/>
  <c r="EP364" i="1"/>
  <c r="EP368" i="1"/>
  <c r="EP372" i="1"/>
  <c r="EP376" i="1"/>
  <c r="EP380" i="1"/>
  <c r="EP384" i="1"/>
  <c r="EP391" i="1"/>
  <c r="EP395" i="1"/>
  <c r="EP399" i="1"/>
  <c r="EP403" i="1"/>
  <c r="EP407" i="1"/>
  <c r="EP411" i="1"/>
  <c r="EP415" i="1"/>
  <c r="EP419" i="1"/>
  <c r="EP423" i="1"/>
  <c r="EP427" i="1"/>
  <c r="EP431" i="1"/>
  <c r="EP435" i="1"/>
  <c r="EP439" i="1"/>
  <c r="EP443" i="1"/>
  <c r="EP447" i="1"/>
  <c r="EP451" i="1"/>
  <c r="EP455" i="1"/>
  <c r="EP459" i="1"/>
  <c r="EP463" i="1"/>
  <c r="EP467" i="1"/>
  <c r="EP471" i="1"/>
  <c r="EA513" i="1"/>
  <c r="EP357" i="1"/>
  <c r="EP373" i="1"/>
  <c r="EP400" i="1"/>
  <c r="EP416" i="1"/>
  <c r="EP432" i="1"/>
  <c r="EP448" i="1"/>
  <c r="EP464" i="1"/>
  <c r="EP476" i="1"/>
  <c r="EP484" i="1"/>
  <c r="EP492" i="1"/>
  <c r="EP500" i="1"/>
  <c r="EP10" i="1"/>
  <c r="EP18" i="1"/>
  <c r="EP24" i="1"/>
  <c r="EP29" i="1"/>
  <c r="EP34" i="1"/>
  <c r="EP40" i="1"/>
  <c r="EP45" i="1"/>
  <c r="EP50" i="1"/>
  <c r="EP56" i="1"/>
  <c r="EP61" i="1"/>
  <c r="EP66" i="1"/>
  <c r="EP72" i="1"/>
  <c r="EP77" i="1"/>
  <c r="EP82" i="1"/>
  <c r="EP88" i="1"/>
  <c r="EP93" i="1"/>
  <c r="EP98" i="1"/>
  <c r="EP104" i="1"/>
  <c r="EP109" i="1"/>
  <c r="EP114" i="1"/>
  <c r="EP120" i="1"/>
  <c r="EP125" i="1"/>
  <c r="EP130" i="1"/>
  <c r="EP136" i="1"/>
  <c r="EP141" i="1"/>
  <c r="EP146" i="1"/>
  <c r="EP150" i="1"/>
  <c r="EP154" i="1"/>
  <c r="EP158" i="1"/>
  <c r="EP162" i="1"/>
  <c r="EP166" i="1"/>
  <c r="EP170" i="1"/>
  <c r="EP174" i="1"/>
  <c r="EP178" i="1"/>
  <c r="EP182" i="1"/>
  <c r="EP186" i="1"/>
  <c r="EP190" i="1"/>
  <c r="EP194" i="1"/>
  <c r="EP198" i="1"/>
  <c r="EP202" i="1"/>
  <c r="EP206" i="1"/>
  <c r="EP210" i="1"/>
  <c r="EP214" i="1"/>
  <c r="EP218" i="1"/>
  <c r="EP222" i="1"/>
  <c r="EP226" i="1"/>
  <c r="EP230" i="1"/>
  <c r="EP234" i="1"/>
  <c r="EP238" i="1"/>
  <c r="EP242" i="1"/>
  <c r="EP246" i="1"/>
  <c r="EP250" i="1"/>
  <c r="EP254" i="1"/>
  <c r="EP258" i="1"/>
  <c r="EP262" i="1"/>
  <c r="EP266" i="1"/>
  <c r="EP270" i="1"/>
  <c r="EP274" i="1"/>
  <c r="EP275" i="1"/>
  <c r="EP277" i="1"/>
  <c r="EP281" i="1"/>
  <c r="EA512" i="1"/>
  <c r="DJ511" i="1"/>
  <c r="EP361" i="1"/>
  <c r="EP377" i="1"/>
  <c r="EP388" i="1"/>
  <c r="EP404" i="1"/>
  <c r="EP420" i="1"/>
  <c r="EP436" i="1"/>
  <c r="EP452" i="1"/>
  <c r="EP468" i="1"/>
  <c r="EP479" i="1"/>
  <c r="EP487" i="1"/>
  <c r="EP495" i="1"/>
  <c r="EP503" i="1"/>
  <c r="EP350" i="1"/>
  <c r="EP349" i="1"/>
  <c r="EP5" i="1"/>
  <c r="EP13" i="1"/>
  <c r="EP20" i="1"/>
  <c r="EP25" i="1"/>
  <c r="EP30" i="1"/>
  <c r="EP36" i="1"/>
  <c r="EP41" i="1"/>
  <c r="EP46" i="1"/>
  <c r="EP52" i="1"/>
  <c r="EP57" i="1"/>
  <c r="EP62" i="1"/>
  <c r="EP68" i="1"/>
  <c r="EP73" i="1"/>
  <c r="EP78" i="1"/>
  <c r="EP84" i="1"/>
  <c r="EP89" i="1"/>
  <c r="EP94" i="1"/>
  <c r="EP100" i="1"/>
  <c r="EP105" i="1"/>
  <c r="EP110" i="1"/>
  <c r="EP116" i="1"/>
  <c r="EP121" i="1"/>
  <c r="EP126" i="1"/>
  <c r="EP132" i="1"/>
  <c r="EP137" i="1"/>
  <c r="EP142" i="1"/>
  <c r="EP147" i="1"/>
  <c r="CS516" i="1"/>
  <c r="EP365" i="1"/>
  <c r="EP381" i="1"/>
  <c r="EP392" i="1"/>
  <c r="EP408" i="1"/>
  <c r="EP424" i="1"/>
  <c r="EP440" i="1"/>
  <c r="EP456" i="1"/>
  <c r="EP472" i="1"/>
  <c r="EP480" i="1"/>
  <c r="EP488" i="1"/>
  <c r="EP496" i="1"/>
  <c r="EP504" i="1"/>
  <c r="EP510" i="1"/>
  <c r="EP6" i="1"/>
  <c r="EP14" i="1"/>
  <c r="EP21" i="1"/>
  <c r="EP26" i="1"/>
  <c r="EP32" i="1"/>
  <c r="EP37" i="1"/>
  <c r="EP42" i="1"/>
  <c r="EP48" i="1"/>
  <c r="EP53" i="1"/>
  <c r="EP58" i="1"/>
  <c r="EP64" i="1"/>
  <c r="EP69" i="1"/>
  <c r="EP74" i="1"/>
  <c r="EP80" i="1"/>
  <c r="EP85" i="1"/>
  <c r="EP90" i="1"/>
  <c r="EP96" i="1"/>
  <c r="EP101" i="1"/>
  <c r="EP106" i="1"/>
  <c r="EP112" i="1"/>
  <c r="EP117" i="1"/>
  <c r="EP122" i="1"/>
  <c r="EP128" i="1"/>
  <c r="EP133" i="1"/>
  <c r="EP138" i="1"/>
  <c r="EP144" i="1"/>
  <c r="EP148" i="1"/>
  <c r="EP152" i="1"/>
  <c r="EP156" i="1"/>
  <c r="EP160" i="1"/>
  <c r="EP164" i="1"/>
  <c r="EP168" i="1"/>
  <c r="EP172" i="1"/>
  <c r="EP176" i="1"/>
  <c r="EP180" i="1"/>
  <c r="EP184" i="1"/>
  <c r="EP188" i="1"/>
  <c r="EP192" i="1"/>
  <c r="EP196" i="1"/>
  <c r="EP200" i="1"/>
  <c r="EP204" i="1"/>
  <c r="EP208" i="1"/>
  <c r="EP212" i="1"/>
  <c r="EP216" i="1"/>
  <c r="EP220" i="1"/>
  <c r="EP224" i="1"/>
  <c r="EP228" i="1"/>
  <c r="EP232" i="1"/>
  <c r="EP236" i="1"/>
  <c r="EP240" i="1"/>
  <c r="EP244" i="1"/>
  <c r="EP248" i="1"/>
  <c r="EP252" i="1"/>
  <c r="EP256" i="1"/>
  <c r="EP260" i="1"/>
  <c r="EP264" i="1"/>
  <c r="EP268" i="1"/>
  <c r="EP272" i="1"/>
  <c r="EP279" i="1"/>
  <c r="EP283" i="1"/>
  <c r="EP287" i="1"/>
  <c r="EP291" i="1"/>
  <c r="EP295" i="1"/>
  <c r="EP299" i="1"/>
  <c r="EP303" i="1"/>
  <c r="EP307" i="1"/>
  <c r="EP311" i="1"/>
  <c r="EP318" i="1"/>
  <c r="EP322" i="1"/>
  <c r="EP353" i="1"/>
  <c r="EP396" i="1"/>
  <c r="EP460" i="1"/>
  <c r="EP499" i="1"/>
  <c r="EP9" i="1"/>
  <c r="EP33" i="1"/>
  <c r="EP54" i="1"/>
  <c r="EP76" i="1"/>
  <c r="EP97" i="1"/>
  <c r="EP118" i="1"/>
  <c r="EP140" i="1"/>
  <c r="EP153" i="1"/>
  <c r="EP161" i="1"/>
  <c r="EP169" i="1"/>
  <c r="EP177" i="1"/>
  <c r="EP185" i="1"/>
  <c r="EP193" i="1"/>
  <c r="EP201" i="1"/>
  <c r="EP209" i="1"/>
  <c r="EP217" i="1"/>
  <c r="EP225" i="1"/>
  <c r="EP233" i="1"/>
  <c r="EP241" i="1"/>
  <c r="EP249" i="1"/>
  <c r="EP257" i="1"/>
  <c r="EP265" i="1"/>
  <c r="EP273" i="1"/>
  <c r="EP280" i="1"/>
  <c r="EP286" i="1"/>
  <c r="EP292" i="1"/>
  <c r="EP297" i="1"/>
  <c r="EP302" i="1"/>
  <c r="EP308" i="1"/>
  <c r="EP313" i="1"/>
  <c r="EP314" i="1"/>
  <c r="EP316" i="1"/>
  <c r="EP321" i="1"/>
  <c r="EP326" i="1"/>
  <c r="EP330" i="1"/>
  <c r="EP334" i="1"/>
  <c r="EP338" i="1"/>
  <c r="EP342" i="1"/>
  <c r="EP346" i="1"/>
  <c r="EP86" i="1"/>
  <c r="EP129" i="1"/>
  <c r="EP165" i="1"/>
  <c r="EP197" i="1"/>
  <c r="EP229" i="1"/>
  <c r="EP253" i="1"/>
  <c r="EP261" i="1"/>
  <c r="EP294" i="1"/>
  <c r="EP305" i="1"/>
  <c r="EP310" i="1"/>
  <c r="EP324" i="1"/>
  <c r="EP340" i="1"/>
  <c r="EP344" i="1"/>
  <c r="EP348" i="1"/>
  <c r="EP444" i="1"/>
  <c r="EP92" i="1"/>
  <c r="EP113" i="1"/>
  <c r="EP159" i="1"/>
  <c r="EP167" i="1"/>
  <c r="EP175" i="1"/>
  <c r="EP191" i="1"/>
  <c r="EP207" i="1"/>
  <c r="EP215" i="1"/>
  <c r="EP239" i="1"/>
  <c r="EP255" i="1"/>
  <c r="EP278" i="1"/>
  <c r="EP285" i="1"/>
  <c r="EP312" i="1"/>
  <c r="EP329" i="1"/>
  <c r="EP345" i="1"/>
  <c r="EP369" i="1"/>
  <c r="EP412" i="1"/>
  <c r="EP475" i="1"/>
  <c r="EP507" i="1"/>
  <c r="EP508" i="1"/>
  <c r="EP17" i="1"/>
  <c r="EP38" i="1"/>
  <c r="EP60" i="1"/>
  <c r="EP81" i="1"/>
  <c r="EP102" i="1"/>
  <c r="EP124" i="1"/>
  <c r="EP145" i="1"/>
  <c r="EP155" i="1"/>
  <c r="EP163" i="1"/>
  <c r="EP171" i="1"/>
  <c r="EP179" i="1"/>
  <c r="EP187" i="1"/>
  <c r="EP195" i="1"/>
  <c r="EP203" i="1"/>
  <c r="EP211" i="1"/>
  <c r="EP219" i="1"/>
  <c r="EP227" i="1"/>
  <c r="EP235" i="1"/>
  <c r="EP243" i="1"/>
  <c r="EP251" i="1"/>
  <c r="EP259" i="1"/>
  <c r="EP267" i="1"/>
  <c r="EP282" i="1"/>
  <c r="EP288" i="1"/>
  <c r="EP293" i="1"/>
  <c r="EP298" i="1"/>
  <c r="EP304" i="1"/>
  <c r="EP309" i="1"/>
  <c r="EP317" i="1"/>
  <c r="EP323" i="1"/>
  <c r="EP327" i="1"/>
  <c r="EP331" i="1"/>
  <c r="EP335" i="1"/>
  <c r="EP339" i="1"/>
  <c r="EP343" i="1"/>
  <c r="EP347" i="1"/>
  <c r="EP4" i="1"/>
  <c r="EP385" i="1"/>
  <c r="EP428" i="1"/>
  <c r="EP483" i="1"/>
  <c r="EP22" i="1"/>
  <c r="EP44" i="1"/>
  <c r="EP65" i="1"/>
  <c r="EP108" i="1"/>
  <c r="EP149" i="1"/>
  <c r="EP157" i="1"/>
  <c r="EP173" i="1"/>
  <c r="EP181" i="1"/>
  <c r="EP189" i="1"/>
  <c r="EP205" i="1"/>
  <c r="EP213" i="1"/>
  <c r="EP221" i="1"/>
  <c r="EP237" i="1"/>
  <c r="EP245" i="1"/>
  <c r="EP269" i="1"/>
  <c r="EP276" i="1"/>
  <c r="EP284" i="1"/>
  <c r="EP289" i="1"/>
  <c r="EP300" i="1"/>
  <c r="EP319" i="1"/>
  <c r="EP328" i="1"/>
  <c r="EP332" i="1"/>
  <c r="EP336" i="1"/>
  <c r="EP49" i="1"/>
  <c r="EP70" i="1"/>
  <c r="EP231" i="1"/>
  <c r="EP271" i="1"/>
  <c r="EP296" i="1"/>
  <c r="EP315" i="1"/>
  <c r="EP514" i="1"/>
  <c r="EP491" i="1"/>
  <c r="EP28" i="1"/>
  <c r="EP134" i="1"/>
  <c r="EP151" i="1"/>
  <c r="EP183" i="1"/>
  <c r="EP199" i="1"/>
  <c r="EP223" i="1"/>
  <c r="EP247" i="1"/>
  <c r="EP263" i="1"/>
  <c r="EP290" i="1"/>
  <c r="EP301" i="1"/>
  <c r="EP306" i="1"/>
  <c r="EP320" i="1"/>
  <c r="EP325" i="1"/>
  <c r="EP333" i="1"/>
  <c r="EP337" i="1"/>
  <c r="EP341" i="1"/>
  <c r="CS515" i="1"/>
  <c r="EA515" i="1"/>
  <c r="BO517" i="1"/>
  <c r="BV517" i="1"/>
  <c r="BY517" i="1" s="1"/>
  <c r="BO518" i="1"/>
  <c r="BT517" i="1"/>
  <c r="CC517" i="1"/>
  <c r="CG517" i="1" s="1"/>
  <c r="CE517" i="1"/>
  <c r="CH517" i="1" s="1"/>
  <c r="CS517" i="1"/>
  <c r="AW51" i="1"/>
  <c r="BT515" i="1"/>
  <c r="BK513" i="1"/>
  <c r="BK515" i="1"/>
  <c r="BI511" i="1"/>
  <c r="BO516" i="1"/>
  <c r="CX513" i="1"/>
  <c r="CW513" i="1"/>
  <c r="CY513" i="1" s="1"/>
  <c r="BI513" i="1"/>
  <c r="BT514" i="1"/>
  <c r="BX514" i="1" s="1"/>
  <c r="CX511" i="1"/>
  <c r="BO512" i="1"/>
  <c r="BO511" i="1"/>
  <c r="BI514" i="1"/>
  <c r="CW511" i="1"/>
  <c r="CY511" i="1" s="1"/>
  <c r="BO515" i="1"/>
  <c r="BO513" i="1"/>
  <c r="BI515" i="1"/>
  <c r="EC511" i="1"/>
  <c r="EE511" i="1" s="1"/>
  <c r="BV515" i="1"/>
  <c r="BY515" i="1" s="1"/>
  <c r="BV511" i="1"/>
  <c r="BY511" i="1" s="1"/>
  <c r="EC514" i="1"/>
  <c r="EE514" i="1" s="1"/>
  <c r="BT511" i="1"/>
  <c r="BT513" i="1"/>
  <c r="BO514" i="1"/>
  <c r="BV513" i="1"/>
  <c r="BY513" i="1" s="1"/>
  <c r="BV514" i="1"/>
  <c r="BY514" i="1" s="1"/>
  <c r="BV516" i="1"/>
  <c r="BY516" i="1" s="1"/>
  <c r="ER508" i="1"/>
  <c r="ET508" i="1" s="1"/>
  <c r="ER387" i="1"/>
  <c r="ET387" i="1" s="1"/>
  <c r="ER314" i="1"/>
  <c r="ET314" i="1" s="1"/>
  <c r="BT516" i="1"/>
  <c r="ED404" i="1"/>
  <c r="ED181" i="1"/>
  <c r="ED289" i="1"/>
  <c r="ED299" i="1"/>
  <c r="ED239" i="1"/>
  <c r="ED280" i="1"/>
  <c r="EA6" i="1"/>
  <c r="EA13" i="1"/>
  <c r="EA18" i="1"/>
  <c r="EA21" i="1"/>
  <c r="EA27" i="1"/>
  <c r="EA32" i="1"/>
  <c r="EA35" i="1"/>
  <c r="EA38" i="1"/>
  <c r="EA41" i="1"/>
  <c r="EA47" i="1"/>
  <c r="EA51" i="1"/>
  <c r="EA56" i="1"/>
  <c r="EA59" i="1"/>
  <c r="EA63" i="1"/>
  <c r="EA68" i="1"/>
  <c r="EA74" i="1"/>
  <c r="EA80" i="1"/>
  <c r="EA83" i="1"/>
  <c r="EA4" i="1"/>
  <c r="EA7" i="1"/>
  <c r="EA10" i="1"/>
  <c r="EA19" i="1"/>
  <c r="EA24" i="1"/>
  <c r="EA30" i="1"/>
  <c r="EA36" i="1"/>
  <c r="EA39" i="1"/>
  <c r="EA42" i="1"/>
  <c r="EA45" i="1"/>
  <c r="EA48" i="1"/>
  <c r="EA54" i="1"/>
  <c r="EA60" i="1"/>
  <c r="EA66" i="1"/>
  <c r="EA69" i="1"/>
  <c r="EA72" i="1"/>
  <c r="EA75" i="1"/>
  <c r="EA78" i="1"/>
  <c r="EA81" i="1"/>
  <c r="EA5" i="1"/>
  <c r="EA8" i="1"/>
  <c r="EA11" i="1"/>
  <c r="EA14" i="1"/>
  <c r="EA17" i="1"/>
  <c r="EA25" i="1"/>
  <c r="EA28" i="1"/>
  <c r="EA37" i="1"/>
  <c r="EA49" i="1"/>
  <c r="EA52" i="1"/>
  <c r="EA55" i="1"/>
  <c r="EA61" i="1"/>
  <c r="EA64" i="1"/>
  <c r="EA67" i="1"/>
  <c r="EA73" i="1"/>
  <c r="EA76" i="1"/>
  <c r="EA79" i="1"/>
  <c r="EA84" i="1"/>
  <c r="EA15" i="1"/>
  <c r="EA29" i="1"/>
  <c r="EA34" i="1"/>
  <c r="EA53" i="1"/>
  <c r="EA90" i="1"/>
  <c r="EA102" i="1"/>
  <c r="EA105" i="1"/>
  <c r="EA108" i="1"/>
  <c r="EA111" i="1"/>
  <c r="EA116" i="1"/>
  <c r="EA119" i="1"/>
  <c r="EA122" i="1"/>
  <c r="EA128" i="1"/>
  <c r="EA131" i="1"/>
  <c r="EA136" i="1"/>
  <c r="EA142" i="1"/>
  <c r="EA145" i="1"/>
  <c r="EA150" i="1"/>
  <c r="EA26" i="1"/>
  <c r="EA46" i="1"/>
  <c r="EA65" i="1"/>
  <c r="EA85" i="1"/>
  <c r="EA86" i="1"/>
  <c r="EA91" i="1"/>
  <c r="EA94" i="1"/>
  <c r="EA97" i="1"/>
  <c r="EA100" i="1"/>
  <c r="EA114" i="1"/>
  <c r="EA117" i="1"/>
  <c r="EA123" i="1"/>
  <c r="EA126" i="1"/>
  <c r="EA129" i="1"/>
  <c r="EA134" i="1"/>
  <c r="EA137" i="1"/>
  <c r="EA143" i="1"/>
  <c r="EA9" i="1"/>
  <c r="EA12" i="1"/>
  <c r="EA62" i="1"/>
  <c r="EA71" i="1"/>
  <c r="EA92" i="1"/>
  <c r="EA95" i="1"/>
  <c r="EA98" i="1"/>
  <c r="EA101" i="1"/>
  <c r="EA106" i="1"/>
  <c r="EA112" i="1"/>
  <c r="EA115" i="1"/>
  <c r="EA120" i="1"/>
  <c r="EA124" i="1"/>
  <c r="EA127" i="1"/>
  <c r="EA132" i="1"/>
  <c r="EA135" i="1"/>
  <c r="EA20" i="1"/>
  <c r="EA130" i="1"/>
  <c r="EA133" i="1"/>
  <c r="EA152" i="1"/>
  <c r="EA155" i="1"/>
  <c r="EA160" i="1"/>
  <c r="EA163" i="1"/>
  <c r="EA167" i="1"/>
  <c r="EA171" i="1"/>
  <c r="EA177" i="1"/>
  <c r="EA182" i="1"/>
  <c r="EA189" i="1"/>
  <c r="EA194" i="1"/>
  <c r="EA203" i="1"/>
  <c r="EA206" i="1"/>
  <c r="EA207" i="1"/>
  <c r="EA212" i="1"/>
  <c r="EA219" i="1"/>
  <c r="EA224" i="1"/>
  <c r="EA228" i="1"/>
  <c r="EA231" i="1"/>
  <c r="EA237" i="1"/>
  <c r="EA240" i="1"/>
  <c r="EA243" i="1"/>
  <c r="EA247" i="1"/>
  <c r="EA252" i="1"/>
  <c r="EA255" i="1"/>
  <c r="EA260" i="1"/>
  <c r="EA261" i="1"/>
  <c r="EA264" i="1"/>
  <c r="EA274" i="1"/>
  <c r="EA277" i="1"/>
  <c r="EA280" i="1"/>
  <c r="EA283" i="1"/>
  <c r="EA287" i="1"/>
  <c r="EA296" i="1"/>
  <c r="EA297" i="1"/>
  <c r="EA40" i="1"/>
  <c r="EA89" i="1"/>
  <c r="EA93" i="1"/>
  <c r="EA99" i="1"/>
  <c r="EA104" i="1"/>
  <c r="EA107" i="1"/>
  <c r="EA125" i="1"/>
  <c r="EA141" i="1"/>
  <c r="EA153" i="1"/>
  <c r="EA158" i="1"/>
  <c r="EA161" i="1"/>
  <c r="EA164" i="1"/>
  <c r="EA168" i="1"/>
  <c r="EA174" i="1"/>
  <c r="EA180" i="1"/>
  <c r="EA183" i="1"/>
  <c r="EA187" i="1"/>
  <c r="EA192" i="1"/>
  <c r="EA195" i="1"/>
  <c r="EA200" i="1"/>
  <c r="EA204" i="1"/>
  <c r="EA210" i="1"/>
  <c r="EA213" i="1"/>
  <c r="EA216" i="1"/>
  <c r="EA222" i="1"/>
  <c r="EA225" i="1"/>
  <c r="EA229" i="1"/>
  <c r="EA234" i="1"/>
  <c r="EA241" i="1"/>
  <c r="EA244" i="1"/>
  <c r="EA250" i="1"/>
  <c r="EA253" i="1"/>
  <c r="EA256" i="1"/>
  <c r="EA257" i="1"/>
  <c r="EA265" i="1"/>
  <c r="EA270" i="1"/>
  <c r="EA275" i="1"/>
  <c r="EA281" i="1"/>
  <c r="EA284" i="1"/>
  <c r="EA290" i="1"/>
  <c r="EA291" i="1"/>
  <c r="EA294" i="1"/>
  <c r="EA300" i="1"/>
  <c r="EA50" i="1"/>
  <c r="EA113" i="1"/>
  <c r="EA118" i="1"/>
  <c r="EA138" i="1"/>
  <c r="EA140" i="1"/>
  <c r="EA147" i="1"/>
  <c r="EA156" i="1"/>
  <c r="EA159" i="1"/>
  <c r="EA165" i="1"/>
  <c r="EA169" i="1"/>
  <c r="EA172" i="1"/>
  <c r="EA175" i="1"/>
  <c r="EA178" i="1"/>
  <c r="EA181" i="1"/>
  <c r="EA184" i="1"/>
  <c r="EA190" i="1"/>
  <c r="EA193" i="1"/>
  <c r="EA198" i="1"/>
  <c r="EA201" i="1"/>
  <c r="EA205" i="1"/>
  <c r="EA208" i="1"/>
  <c r="EA211" i="1"/>
  <c r="EA217" i="1"/>
  <c r="EA220" i="1"/>
  <c r="EA223" i="1"/>
  <c r="EA226" i="1"/>
  <c r="EA232" i="1"/>
  <c r="EA235" i="1"/>
  <c r="EA238" i="1"/>
  <c r="EA239" i="1"/>
  <c r="EA245" i="1"/>
  <c r="EA248" i="1"/>
  <c r="EA251" i="1"/>
  <c r="EA258" i="1"/>
  <c r="EA262" i="1"/>
  <c r="EA268" i="1"/>
  <c r="EA271" i="1"/>
  <c r="EA278" i="1"/>
  <c r="EA154" i="1"/>
  <c r="EA196" i="1"/>
  <c r="EA199" i="1"/>
  <c r="EA209" i="1"/>
  <c r="EA263" i="1"/>
  <c r="EA273" i="1"/>
  <c r="EA276" i="1"/>
  <c r="EA279" i="1"/>
  <c r="EA285" i="1"/>
  <c r="EA289" i="1"/>
  <c r="EA293" i="1"/>
  <c r="EA304" i="1"/>
  <c r="EA305" i="1"/>
  <c r="EA309" i="1"/>
  <c r="EA312" i="1"/>
  <c r="EA315" i="1"/>
  <c r="EA320" i="1"/>
  <c r="EA321" i="1"/>
  <c r="EA327" i="1"/>
  <c r="EA333" i="1"/>
  <c r="EA336" i="1"/>
  <c r="EA339" i="1"/>
  <c r="EA342" i="1"/>
  <c r="EA346" i="1"/>
  <c r="EA352" i="1"/>
  <c r="EA357" i="1"/>
  <c r="EA360" i="1"/>
  <c r="EA365" i="1"/>
  <c r="EA368" i="1"/>
  <c r="EA371" i="1"/>
  <c r="EA374" i="1"/>
  <c r="EA377" i="1"/>
  <c r="EA380" i="1"/>
  <c r="EA383" i="1"/>
  <c r="EA387" i="1"/>
  <c r="EA390" i="1"/>
  <c r="EA393" i="1"/>
  <c r="EA396" i="1"/>
  <c r="EA399" i="1"/>
  <c r="EA402" i="1"/>
  <c r="EA407" i="1"/>
  <c r="EA410" i="1"/>
  <c r="EA413" i="1"/>
  <c r="EA416" i="1"/>
  <c r="EA420" i="1"/>
  <c r="EA121" i="1"/>
  <c r="EA144" i="1"/>
  <c r="EA170" i="1"/>
  <c r="EA188" i="1"/>
  <c r="EA214" i="1"/>
  <c r="EA266" i="1"/>
  <c r="EA288" i="1"/>
  <c r="EA292" i="1"/>
  <c r="EA295" i="1"/>
  <c r="EA299" i="1"/>
  <c r="EA301" i="1"/>
  <c r="EA306" i="1"/>
  <c r="EA313" i="1"/>
  <c r="EA318" i="1"/>
  <c r="EA324" i="1"/>
  <c r="EA328" i="1"/>
  <c r="EA331" i="1"/>
  <c r="EA334" i="1"/>
  <c r="EA337" i="1"/>
  <c r="EA340" i="1"/>
  <c r="EA343" i="1"/>
  <c r="EA349" i="1"/>
  <c r="EA355" i="1"/>
  <c r="EA358" i="1"/>
  <c r="EA363" i="1"/>
  <c r="EA366" i="1"/>
  <c r="EA372" i="1"/>
  <c r="EA378" i="1"/>
  <c r="EA381" i="1"/>
  <c r="EA384" i="1"/>
  <c r="EA388" i="1"/>
  <c r="EA394" i="1"/>
  <c r="EA397" i="1"/>
  <c r="EA400" i="1"/>
  <c r="EA405" i="1"/>
  <c r="EA408" i="1"/>
  <c r="EA411" i="1"/>
  <c r="EA414" i="1"/>
  <c r="EA417" i="1"/>
  <c r="EA423" i="1"/>
  <c r="EA88" i="1"/>
  <c r="EA157" i="1"/>
  <c r="EA166" i="1"/>
  <c r="EA185" i="1"/>
  <c r="EA215" i="1"/>
  <c r="EA218" i="1"/>
  <c r="EA227" i="1"/>
  <c r="EA233" i="1"/>
  <c r="EA236" i="1"/>
  <c r="EA242" i="1"/>
  <c r="EA249" i="1"/>
  <c r="EA272" i="1"/>
  <c r="EA282" i="1"/>
  <c r="EA298" i="1"/>
  <c r="EA302" i="1"/>
  <c r="EA307" i="1"/>
  <c r="EA310" i="1"/>
  <c r="EA316" i="1"/>
  <c r="EA319" i="1"/>
  <c r="EA322" i="1"/>
  <c r="EA325" i="1"/>
  <c r="EA329" i="1"/>
  <c r="EA332" i="1"/>
  <c r="EA338" i="1"/>
  <c r="EA344" i="1"/>
  <c r="EA347" i="1"/>
  <c r="EA350" i="1"/>
  <c r="EA353" i="1"/>
  <c r="EA356" i="1"/>
  <c r="EA361" i="1"/>
  <c r="EA364" i="1"/>
  <c r="EA369" i="1"/>
  <c r="EA375" i="1"/>
  <c r="EA110" i="1"/>
  <c r="EA149" i="1"/>
  <c r="EA176" i="1"/>
  <c r="EA221" i="1"/>
  <c r="EA323" i="1"/>
  <c r="EA326" i="1"/>
  <c r="EA330" i="1"/>
  <c r="EA348" i="1"/>
  <c r="EA354" i="1"/>
  <c r="EA379" i="1"/>
  <c r="EA382" i="1"/>
  <c r="EA389" i="1"/>
  <c r="EA406" i="1"/>
  <c r="EA419" i="1"/>
  <c r="EA422" i="1"/>
  <c r="EA429" i="1"/>
  <c r="EA432" i="1"/>
  <c r="EA436" i="1"/>
  <c r="EA444" i="1"/>
  <c r="EA447" i="1"/>
  <c r="EA451" i="1"/>
  <c r="EA454" i="1"/>
  <c r="EA457" i="1"/>
  <c r="EA461" i="1"/>
  <c r="EA465" i="1"/>
  <c r="EA469" i="1"/>
  <c r="EA475" i="1"/>
  <c r="EA479" i="1"/>
  <c r="EA482" i="1"/>
  <c r="EA491" i="1"/>
  <c r="EA495" i="1"/>
  <c r="EA499" i="1"/>
  <c r="EA506" i="1"/>
  <c r="EA421" i="1"/>
  <c r="EA426" i="1"/>
  <c r="EA439" i="1"/>
  <c r="EA443" i="1"/>
  <c r="EA453" i="1"/>
  <c r="EA146" i="1"/>
  <c r="EA173" i="1"/>
  <c r="EA230" i="1"/>
  <c r="EA286" i="1"/>
  <c r="EA311" i="1"/>
  <c r="EA314" i="1"/>
  <c r="EA317" i="1"/>
  <c r="EA351" i="1"/>
  <c r="EA362" i="1"/>
  <c r="EA376" i="1"/>
  <c r="EA386" i="1"/>
  <c r="EA395" i="1"/>
  <c r="EA427" i="1"/>
  <c r="EA430" i="1"/>
  <c r="EA433" i="1"/>
  <c r="EA437" i="1"/>
  <c r="EA441" i="1"/>
  <c r="EA445" i="1"/>
  <c r="EA448" i="1"/>
  <c r="EA452" i="1"/>
  <c r="EA458" i="1"/>
  <c r="EA462" i="1"/>
  <c r="EA466" i="1"/>
  <c r="EA470" i="1"/>
  <c r="EA473" i="1"/>
  <c r="EA476" i="1"/>
  <c r="EA480" i="1"/>
  <c r="EA486" i="1"/>
  <c r="EA489" i="1"/>
  <c r="EA492" i="1"/>
  <c r="EA496" i="1"/>
  <c r="EA500" i="1"/>
  <c r="EA503" i="1"/>
  <c r="EA507" i="1"/>
  <c r="EA303" i="1"/>
  <c r="EA403" i="1"/>
  <c r="EA418" i="1"/>
  <c r="EA435" i="1"/>
  <c r="EA456" i="1"/>
  <c r="EA58" i="1"/>
  <c r="EA162" i="1"/>
  <c r="EA202" i="1"/>
  <c r="EA308" i="1"/>
  <c r="EA335" i="1"/>
  <c r="EA341" i="1"/>
  <c r="EA345" i="1"/>
  <c r="EA367" i="1"/>
  <c r="EA370" i="1"/>
  <c r="EA385" i="1"/>
  <c r="EA392" i="1"/>
  <c r="EA398" i="1"/>
  <c r="EA404" i="1"/>
  <c r="EA409" i="1"/>
  <c r="EA415" i="1"/>
  <c r="EA424" i="1"/>
  <c r="EA425" i="1"/>
  <c r="EA428" i="1"/>
  <c r="EA434" i="1"/>
  <c r="EA438" i="1"/>
  <c r="EA442" i="1"/>
  <c r="EA446" i="1"/>
  <c r="EA449" i="1"/>
  <c r="EA455" i="1"/>
  <c r="EA459" i="1"/>
  <c r="EA463" i="1"/>
  <c r="EA467" i="1"/>
  <c r="EA471" i="1"/>
  <c r="EA474" i="1"/>
  <c r="EA477" i="1"/>
  <c r="EA483" i="1"/>
  <c r="EA487" i="1"/>
  <c r="EA490" i="1"/>
  <c r="EA493" i="1"/>
  <c r="EA497" i="1"/>
  <c r="EA501" i="1"/>
  <c r="EA504" i="1"/>
  <c r="EA508" i="1"/>
  <c r="EA151" i="1"/>
  <c r="EA179" i="1"/>
  <c r="EA259" i="1"/>
  <c r="EA269" i="1"/>
  <c r="EA359" i="1"/>
  <c r="EA391" i="1"/>
  <c r="EA401" i="1"/>
  <c r="EA431" i="1"/>
  <c r="EA460" i="1"/>
  <c r="EA468" i="1"/>
  <c r="EA472" i="1"/>
  <c r="EA498" i="1"/>
  <c r="EA502" i="1"/>
  <c r="EA464" i="1"/>
  <c r="EA481" i="1"/>
  <c r="EA488" i="1"/>
  <c r="EA494" i="1"/>
  <c r="EA505" i="1"/>
  <c r="EA509" i="1"/>
  <c r="CS508" i="1"/>
  <c r="EA510" i="1"/>
  <c r="CS510" i="1"/>
  <c r="CS509" i="1"/>
  <c r="DJ510" i="1"/>
  <c r="DJ509" i="1"/>
  <c r="CS507" i="1"/>
  <c r="DJ507" i="1"/>
  <c r="DJ508" i="1"/>
  <c r="EA43" i="1"/>
  <c r="EA191" i="1"/>
  <c r="EA450" i="1"/>
  <c r="EA87" i="1"/>
  <c r="EA33" i="1"/>
  <c r="EA139" i="1"/>
  <c r="EA82" i="1"/>
  <c r="EA109" i="1"/>
  <c r="EA267" i="1"/>
  <c r="EA484" i="1"/>
  <c r="EA148" i="1"/>
  <c r="EA254" i="1"/>
  <c r="EA77" i="1"/>
  <c r="EA22" i="1"/>
  <c r="EA246" i="1"/>
  <c r="EA485" i="1"/>
  <c r="EA31" i="1"/>
  <c r="EA440" i="1"/>
  <c r="EA57" i="1"/>
  <c r="EA70" i="1"/>
  <c r="EA197" i="1"/>
  <c r="EA478" i="1"/>
  <c r="EA103" i="1"/>
  <c r="EA373" i="1"/>
  <c r="EA16" i="1"/>
  <c r="EA44" i="1"/>
  <c r="EC79" i="1"/>
  <c r="EE79" i="1" s="1"/>
  <c r="EC15" i="1"/>
  <c r="EE15" i="1" s="1"/>
  <c r="EC20" i="1"/>
  <c r="EE20" i="1" s="1"/>
  <c r="EC13" i="1"/>
  <c r="EE13" i="1" s="1"/>
  <c r="EC27" i="1"/>
  <c r="EE27" i="1" s="1"/>
  <c r="EC51" i="1"/>
  <c r="EE51" i="1" s="1"/>
  <c r="EC30" i="1"/>
  <c r="EE30" i="1" s="1"/>
  <c r="EC45" i="1"/>
  <c r="EE45" i="1" s="1"/>
  <c r="EC95" i="1"/>
  <c r="EE95" i="1" s="1"/>
  <c r="EC98" i="1"/>
  <c r="EE98" i="1" s="1"/>
  <c r="EC112" i="1"/>
  <c r="EE112" i="1" s="1"/>
  <c r="EC115" i="1"/>
  <c r="EE115" i="1" s="1"/>
  <c r="EC140" i="1"/>
  <c r="EE140" i="1" s="1"/>
  <c r="EC66" i="1"/>
  <c r="EE66" i="1" s="1"/>
  <c r="EC99" i="1"/>
  <c r="EE99" i="1" s="1"/>
  <c r="EC104" i="1"/>
  <c r="EE104" i="1" s="1"/>
  <c r="EC113" i="1"/>
  <c r="EE113" i="1" s="1"/>
  <c r="EC125" i="1"/>
  <c r="EE125" i="1" s="1"/>
  <c r="EC42" i="1"/>
  <c r="EE42" i="1" s="1"/>
  <c r="EC60" i="1"/>
  <c r="EE60" i="1" s="1"/>
  <c r="EC131" i="1"/>
  <c r="EE131" i="1" s="1"/>
  <c r="EC36" i="1"/>
  <c r="EE36" i="1" s="1"/>
  <c r="EC159" i="1"/>
  <c r="EE159" i="1" s="1"/>
  <c r="EC169" i="1"/>
  <c r="EE169" i="1" s="1"/>
  <c r="EC172" i="1"/>
  <c r="EE172" i="1" s="1"/>
  <c r="EC205" i="1"/>
  <c r="EE205" i="1" s="1"/>
  <c r="EC220" i="1"/>
  <c r="EE220" i="1" s="1"/>
  <c r="EC223" i="1"/>
  <c r="EE223" i="1" s="1"/>
  <c r="EC238" i="1"/>
  <c r="EE238" i="1" s="1"/>
  <c r="EC285" i="1"/>
  <c r="EE285" i="1" s="1"/>
  <c r="EC292" i="1"/>
  <c r="EE292" i="1" s="1"/>
  <c r="EC295" i="1"/>
  <c r="EE295" i="1" s="1"/>
  <c r="EC298" i="1"/>
  <c r="EE298" i="1" s="1"/>
  <c r="EC143" i="1"/>
  <c r="EE143" i="1" s="1"/>
  <c r="EC150" i="1"/>
  <c r="EE150" i="1" s="1"/>
  <c r="EC162" i="1"/>
  <c r="EE162" i="1" s="1"/>
  <c r="EC170" i="1"/>
  <c r="EE170" i="1" s="1"/>
  <c r="EC185" i="1"/>
  <c r="EE185" i="1" s="1"/>
  <c r="EC196" i="1"/>
  <c r="EE196" i="1" s="1"/>
  <c r="EC199" i="1"/>
  <c r="EE199" i="1" s="1"/>
  <c r="EC202" i="1"/>
  <c r="EE202" i="1" s="1"/>
  <c r="EC209" i="1"/>
  <c r="EE209" i="1" s="1"/>
  <c r="EC272" i="1"/>
  <c r="EE272" i="1" s="1"/>
  <c r="EC114" i="1"/>
  <c r="EE114" i="1" s="1"/>
  <c r="EC177" i="1"/>
  <c r="EE177" i="1" s="1"/>
  <c r="EC189" i="1"/>
  <c r="EE189" i="1" s="1"/>
  <c r="EC206" i="1"/>
  <c r="EE206" i="1" s="1"/>
  <c r="EC228" i="1"/>
  <c r="EE228" i="1" s="1"/>
  <c r="EC247" i="1"/>
  <c r="EE247" i="1" s="1"/>
  <c r="EC260" i="1"/>
  <c r="EE260" i="1" s="1"/>
  <c r="EC274" i="1"/>
  <c r="EE274" i="1" s="1"/>
  <c r="EC187" i="1"/>
  <c r="EE187" i="1" s="1"/>
  <c r="EC213" i="1"/>
  <c r="EE213" i="1" s="1"/>
  <c r="EC253" i="1"/>
  <c r="EE253" i="1" s="1"/>
  <c r="EC265" i="1"/>
  <c r="EE265" i="1" s="1"/>
  <c r="EC302" i="1"/>
  <c r="EE302" i="1" s="1"/>
  <c r="EC319" i="1"/>
  <c r="EE319" i="1" s="1"/>
  <c r="EC382" i="1"/>
  <c r="EE382" i="1" s="1"/>
  <c r="EC391" i="1"/>
  <c r="EE391" i="1" s="1"/>
  <c r="EC398" i="1"/>
  <c r="EE398" i="1" s="1"/>
  <c r="EC158" i="1"/>
  <c r="EE158" i="1" s="1"/>
  <c r="EC241" i="1"/>
  <c r="EE241" i="1" s="1"/>
  <c r="EC290" i="1"/>
  <c r="EE290" i="1" s="1"/>
  <c r="EC317" i="1"/>
  <c r="EE317" i="1" s="1"/>
  <c r="EC330" i="1"/>
  <c r="EE330" i="1" s="1"/>
  <c r="EC345" i="1"/>
  <c r="EE345" i="1" s="1"/>
  <c r="EC354" i="1"/>
  <c r="EE354" i="1" s="1"/>
  <c r="EC359" i="1"/>
  <c r="EE359" i="1" s="1"/>
  <c r="EC362" i="1"/>
  <c r="EE362" i="1" s="1"/>
  <c r="EC395" i="1"/>
  <c r="EE395" i="1" s="1"/>
  <c r="EC419" i="1"/>
  <c r="EE419" i="1" s="1"/>
  <c r="EC216" i="1"/>
  <c r="EE216" i="1" s="1"/>
  <c r="EC304" i="1"/>
  <c r="EE304" i="1" s="1"/>
  <c r="EC312" i="1"/>
  <c r="EE312" i="1" s="1"/>
  <c r="EC339" i="1"/>
  <c r="EE339" i="1" s="1"/>
  <c r="EC346" i="1"/>
  <c r="EE346" i="1" s="1"/>
  <c r="EC360" i="1"/>
  <c r="EE360" i="1" s="1"/>
  <c r="EC371" i="1"/>
  <c r="EE371" i="1" s="1"/>
  <c r="EC374" i="1"/>
  <c r="EE374" i="1" s="1"/>
  <c r="EC425" i="1"/>
  <c r="EE425" i="1" s="1"/>
  <c r="EC477" i="1"/>
  <c r="EE477" i="1" s="1"/>
  <c r="EC493" i="1"/>
  <c r="EE493" i="1" s="1"/>
  <c r="EC504" i="1"/>
  <c r="EE504" i="1" s="1"/>
  <c r="EC394" i="1"/>
  <c r="EE394" i="1" s="1"/>
  <c r="EC405" i="1"/>
  <c r="EE405" i="1" s="1"/>
  <c r="EC318" i="1"/>
  <c r="EE318" i="1" s="1"/>
  <c r="EC366" i="1"/>
  <c r="EE366" i="1" s="1"/>
  <c r="EC390" i="1"/>
  <c r="EE390" i="1" s="1"/>
  <c r="EC400" i="1"/>
  <c r="EE400" i="1" s="1"/>
  <c r="EC402" i="1"/>
  <c r="EE402" i="1" s="1"/>
  <c r="EC407" i="1"/>
  <c r="EE407" i="1" s="1"/>
  <c r="EC413" i="1"/>
  <c r="EE413" i="1" s="1"/>
  <c r="EC420" i="1"/>
  <c r="EE420" i="1" s="1"/>
  <c r="EC464" i="1"/>
  <c r="EE464" i="1" s="1"/>
  <c r="EC498" i="1"/>
  <c r="EE498" i="1" s="1"/>
  <c r="EC427" i="1"/>
  <c r="EE427" i="1" s="1"/>
  <c r="EC306" i="1"/>
  <c r="EE306" i="1" s="1"/>
  <c r="EC417" i="1"/>
  <c r="EE417" i="1" s="1"/>
  <c r="EC436" i="1"/>
  <c r="EE436" i="1" s="1"/>
  <c r="EC444" i="1"/>
  <c r="EE444" i="1" s="1"/>
  <c r="EC457" i="1"/>
  <c r="EE457" i="1" s="1"/>
  <c r="EC465" i="1"/>
  <c r="EE465" i="1" s="1"/>
  <c r="EC475" i="1"/>
  <c r="EE475" i="1" s="1"/>
  <c r="EC499" i="1"/>
  <c r="EE499" i="1" s="1"/>
  <c r="EC411" i="1"/>
  <c r="EE411" i="1" s="1"/>
  <c r="EC496" i="1"/>
  <c r="EE496" i="1" s="1"/>
  <c r="EC466" i="1"/>
  <c r="EE466" i="1" s="1"/>
  <c r="EC500" i="1"/>
  <c r="EE500" i="1" s="1"/>
  <c r="EC462" i="1"/>
  <c r="EE462" i="1" s="1"/>
  <c r="EC458" i="1"/>
  <c r="EE458" i="1" s="1"/>
  <c r="EC486" i="1"/>
  <c r="EE486" i="1" s="1"/>
  <c r="EC489" i="1"/>
  <c r="EE489" i="1" s="1"/>
  <c r="EC508" i="1"/>
  <c r="EE508" i="1" s="1"/>
  <c r="EB37" i="1"/>
  <c r="EB231" i="1"/>
  <c r="EB168" i="1"/>
  <c r="EB323" i="1"/>
  <c r="EB332" i="1"/>
  <c r="EB93" i="1"/>
  <c r="EB190" i="1"/>
  <c r="EB399" i="1"/>
  <c r="EB122" i="1"/>
  <c r="EB435" i="1"/>
  <c r="EB480" i="1"/>
  <c r="EB452" i="1"/>
  <c r="EA96" i="1"/>
  <c r="EB249" i="1"/>
  <c r="EB134" i="1"/>
  <c r="EB269" i="1"/>
  <c r="EB343" i="1"/>
  <c r="EB308" i="1"/>
  <c r="EB454" i="1"/>
  <c r="EB8" i="1"/>
  <c r="EB333" i="1"/>
  <c r="EB152" i="1"/>
  <c r="EB430" i="1"/>
  <c r="EB200" i="1"/>
  <c r="EC137" i="1"/>
  <c r="EE137" i="1" s="1"/>
  <c r="EA412" i="1"/>
  <c r="EB461" i="1"/>
  <c r="EB166" i="1"/>
  <c r="EB275" i="1"/>
  <c r="EB483" i="1"/>
  <c r="EB236" i="1"/>
  <c r="EB76" i="1"/>
  <c r="EB63" i="1"/>
  <c r="EB84" i="1"/>
  <c r="EB472" i="1"/>
  <c r="EB46" i="1"/>
  <c r="EB124" i="1"/>
  <c r="EA23" i="1"/>
  <c r="U9" i="1"/>
  <c r="EC9" i="1"/>
  <c r="EE9" i="1" s="1"/>
  <c r="EC264" i="1"/>
  <c r="EE264" i="1" s="1"/>
  <c r="EB364" i="1"/>
  <c r="EB474" i="1"/>
  <c r="EB509" i="1"/>
  <c r="CT509" i="1"/>
  <c r="EB490" i="1"/>
  <c r="EB26" i="1"/>
  <c r="EB379" i="1"/>
  <c r="EB388" i="1"/>
  <c r="EB507" i="1"/>
  <c r="EB248" i="1"/>
  <c r="EB182" i="1"/>
  <c r="EB86" i="1"/>
  <c r="EA186" i="1"/>
  <c r="BI510" i="1"/>
  <c r="BK510" i="1"/>
  <c r="CW510" i="1"/>
  <c r="CY510" i="1" s="1"/>
  <c r="CX510" i="1"/>
  <c r="BV509" i="1"/>
  <c r="BY509" i="1" s="1"/>
  <c r="BO509" i="1"/>
  <c r="BV510" i="1"/>
  <c r="BY510" i="1" s="1"/>
  <c r="BO510" i="1"/>
  <c r="BT509" i="1"/>
  <c r="EC510" i="1"/>
  <c r="EE510" i="1" s="1"/>
  <c r="BO507" i="1"/>
  <c r="BI508" i="1"/>
  <c r="BK508" i="1"/>
  <c r="BT508" i="1"/>
  <c r="BV507" i="1"/>
  <c r="BY507" i="1" s="1"/>
  <c r="BT507" i="1"/>
  <c r="BV508" i="1"/>
  <c r="BY508" i="1" s="1"/>
  <c r="BO508" i="1"/>
  <c r="BT510" i="1"/>
  <c r="DJ505" i="1"/>
  <c r="DJ506" i="1"/>
  <c r="CS505" i="1"/>
  <c r="CS506" i="1"/>
  <c r="BI505" i="1"/>
  <c r="BO505" i="1"/>
  <c r="BV505" i="1"/>
  <c r="BY505" i="1" s="1"/>
  <c r="BO506" i="1"/>
  <c r="Q506" i="1" s="1"/>
  <c r="BV504" i="1"/>
  <c r="BY504" i="1" s="1"/>
  <c r="BT504" i="1"/>
  <c r="BX504" i="1" s="1"/>
  <c r="BT505" i="1"/>
  <c r="BK511" i="1"/>
  <c r="EO511" i="1" l="1"/>
  <c r="ES511" i="1" s="1"/>
  <c r="U511" i="1"/>
  <c r="DZ525" i="1"/>
  <c r="ED525" i="1" s="1"/>
  <c r="CQ536" i="1"/>
  <c r="CV536" i="1" s="1"/>
  <c r="DZ536" i="1"/>
  <c r="DZ481" i="1"/>
  <c r="ED481" i="1" s="1"/>
  <c r="CQ505" i="1"/>
  <c r="CV505" i="1" s="1"/>
  <c r="DZ505" i="1"/>
  <c r="DZ527" i="1"/>
  <c r="ED527" i="1" s="1"/>
  <c r="DZ488" i="1"/>
  <c r="ED488" i="1" s="1"/>
  <c r="AH487" i="1"/>
  <c r="AH503" i="1"/>
  <c r="AI546" i="1"/>
  <c r="CQ507" i="1"/>
  <c r="CV507" i="1" s="1"/>
  <c r="CQ498" i="1"/>
  <c r="CV498" i="1" s="1"/>
  <c r="CQ509" i="1"/>
  <c r="CV509" i="1" s="1"/>
  <c r="CQ477" i="1"/>
  <c r="CV477" i="1" s="1"/>
  <c r="BH535" i="1"/>
  <c r="BH509" i="1"/>
  <c r="AX536" i="1"/>
  <c r="BX530" i="1"/>
  <c r="CX546" i="1"/>
  <c r="AX529" i="1"/>
  <c r="BX532" i="1"/>
  <c r="BY530" i="1"/>
  <c r="AX540" i="1"/>
  <c r="EE530" i="1"/>
  <c r="AX531" i="1"/>
  <c r="AX532" i="1"/>
  <c r="AX537" i="1"/>
  <c r="BY532" i="1"/>
  <c r="AX526" i="1"/>
  <c r="AX535" i="1"/>
  <c r="AX533" i="1"/>
  <c r="AX538" i="1"/>
  <c r="AY532" i="1" l="1"/>
  <c r="AY536" i="1"/>
  <c r="AY540" i="1"/>
  <c r="AY526" i="1"/>
  <c r="AY537" i="1"/>
  <c r="AY535" i="1"/>
  <c r="AY529" i="1"/>
  <c r="AY531" i="1"/>
  <c r="V546" i="1"/>
  <c r="AJ546" i="1" s="1"/>
  <c r="AY533" i="1"/>
  <c r="AH495" i="1"/>
  <c r="Y547" i="1"/>
  <c r="V543" i="1"/>
  <c r="AY538" i="1"/>
  <c r="Y546" i="1"/>
  <c r="Y548" i="1"/>
  <c r="Y544" i="1"/>
  <c r="Y545" i="1"/>
  <c r="Y543" i="1"/>
  <c r="BH508" i="1"/>
  <c r="Y541" i="1"/>
  <c r="BH505" i="1"/>
  <c r="Y542" i="1"/>
  <c r="U482" i="1"/>
  <c r="BH491" i="1"/>
  <c r="BH494" i="1"/>
  <c r="BH478" i="1"/>
  <c r="BH540" i="1"/>
  <c r="BH493" i="1"/>
  <c r="AH506" i="1"/>
  <c r="BH486" i="1"/>
  <c r="BH485" i="1"/>
  <c r="BH539" i="1"/>
  <c r="BH477" i="1"/>
  <c r="BH501" i="1"/>
  <c r="BH498" i="1"/>
  <c r="BH488" i="1"/>
  <c r="BH534" i="1"/>
  <c r="BH489" i="1"/>
  <c r="BH507" i="1"/>
  <c r="BH499" i="1"/>
  <c r="BH473" i="1"/>
  <c r="BH530" i="1"/>
  <c r="BH481" i="1"/>
  <c r="BH475" i="1"/>
  <c r="BH518" i="1"/>
  <c r="BH484" i="1"/>
  <c r="BH496" i="1"/>
  <c r="BH511" i="1"/>
  <c r="Z524" i="1"/>
  <c r="U524" i="1"/>
  <c r="CX524" i="1"/>
  <c r="AH522" i="1"/>
  <c r="BH482" i="1"/>
  <c r="U487" i="1"/>
  <c r="Z501" i="1"/>
  <c r="U501" i="1"/>
  <c r="BH502" i="1"/>
  <c r="Z522" i="1"/>
  <c r="U522" i="1"/>
  <c r="ED536" i="1"/>
  <c r="Z531" i="1"/>
  <c r="U531" i="1"/>
  <c r="AH531" i="1"/>
  <c r="Z509" i="1"/>
  <c r="CX509" i="1"/>
  <c r="U509" i="1"/>
  <c r="Z491" i="1"/>
  <c r="U491" i="1"/>
  <c r="CX503" i="1"/>
  <c r="U503" i="1"/>
  <c r="Z503" i="1"/>
  <c r="U502" i="1"/>
  <c r="CX502" i="1"/>
  <c r="Z502" i="1"/>
  <c r="CX505" i="1"/>
  <c r="Z505" i="1"/>
  <c r="U505" i="1"/>
  <c r="AH494" i="1"/>
  <c r="CX477" i="1"/>
  <c r="Z477" i="1"/>
  <c r="U477" i="1"/>
  <c r="U494" i="1"/>
  <c r="Z494" i="1"/>
  <c r="Z528" i="1"/>
  <c r="U528" i="1"/>
  <c r="Z507" i="1"/>
  <c r="CX507" i="1"/>
  <c r="U507" i="1"/>
  <c r="BH528" i="1"/>
  <c r="Z473" i="1"/>
  <c r="U473" i="1"/>
  <c r="BH522" i="1"/>
  <c r="Z483" i="1"/>
  <c r="U483" i="1"/>
  <c r="CX483" i="1"/>
  <c r="Z495" i="1"/>
  <c r="U495" i="1"/>
  <c r="Z506" i="1"/>
  <c r="U506" i="1"/>
  <c r="BH495" i="1"/>
  <c r="CX536" i="1"/>
  <c r="Z536" i="1"/>
  <c r="U536" i="1"/>
  <c r="BH487" i="1"/>
  <c r="CX539" i="1"/>
  <c r="Z539" i="1"/>
  <c r="U539" i="1"/>
  <c r="BH483" i="1"/>
  <c r="CX498" i="1"/>
  <c r="U498" i="1"/>
  <c r="Z498" i="1"/>
  <c r="ED505" i="1"/>
  <c r="AD537" i="1"/>
  <c r="AE537" i="1" s="1"/>
  <c r="AD539" i="1"/>
  <c r="BY523" i="1"/>
  <c r="CX547" i="1"/>
  <c r="AX525" i="1"/>
  <c r="V547" i="1" l="1"/>
  <c r="BY540" i="1"/>
  <c r="EE531" i="1"/>
  <c r="BX540" i="1"/>
  <c r="CY522" i="1"/>
  <c r="CY519" i="1"/>
  <c r="BX519" i="1"/>
  <c r="AY525" i="1" l="1"/>
  <c r="AX524" i="1"/>
  <c r="EE540" i="1"/>
  <c r="AX527" i="1"/>
  <c r="CY531" i="1"/>
  <c r="AK546" i="1" l="1"/>
  <c r="W539" i="1"/>
  <c r="AA539" i="1"/>
  <c r="Q539" i="1"/>
  <c r="BX539" i="1"/>
  <c r="V539" i="1" s="1"/>
  <c r="AB539" i="1"/>
  <c r="AD540" i="1"/>
  <c r="AE540" i="1" s="1"/>
  <c r="AB540" i="1"/>
  <c r="W540" i="1"/>
  <c r="Q540" i="1"/>
  <c r="Q535" i="1"/>
  <c r="Q534" i="1"/>
  <c r="Q532" i="1"/>
  <c r="Q536" i="1"/>
  <c r="AD528" i="1"/>
  <c r="AD535" i="1"/>
  <c r="V532" i="1"/>
  <c r="Q533" i="1"/>
  <c r="BX536" i="1"/>
  <c r="V536" i="1" s="1"/>
  <c r="AB536" i="1"/>
  <c r="AB537" i="1"/>
  <c r="BX537" i="1"/>
  <c r="V537" i="1" s="1"/>
  <c r="W529" i="1"/>
  <c r="AA529" i="1"/>
  <c r="W538" i="1"/>
  <c r="AA538" i="1"/>
  <c r="AD530" i="1"/>
  <c r="AE530" i="1" s="1"/>
  <c r="Q538" i="1"/>
  <c r="Q529" i="1"/>
  <c r="Q537" i="1"/>
  <c r="AB538" i="1"/>
  <c r="BX538" i="1"/>
  <c r="V538" i="1" s="1"/>
  <c r="AB531" i="1"/>
  <c r="BX531" i="1"/>
  <c r="AB530" i="1"/>
  <c r="W530" i="1"/>
  <c r="AA530" i="1"/>
  <c r="W536" i="1"/>
  <c r="AA536" i="1"/>
  <c r="W534" i="1"/>
  <c r="AA534" i="1"/>
  <c r="AD532" i="1"/>
  <c r="AE532" i="1" s="1"/>
  <c r="AD534" i="1"/>
  <c r="AE534" i="1" s="1"/>
  <c r="BX533" i="1"/>
  <c r="V533" i="1" s="1"/>
  <c r="AB533" i="1"/>
  <c r="BX535" i="1"/>
  <c r="V535" i="1" s="1"/>
  <c r="AB535" i="1"/>
  <c r="W535" i="1"/>
  <c r="AA535" i="1"/>
  <c r="AD531" i="1"/>
  <c r="AE531" i="1" s="1"/>
  <c r="AD533" i="1"/>
  <c r="AD538" i="1"/>
  <c r="AE538" i="1" s="1"/>
  <c r="V530" i="1"/>
  <c r="AJ530" i="1" s="1"/>
  <c r="AB534" i="1"/>
  <c r="BX534" i="1"/>
  <c r="V534" i="1" s="1"/>
  <c r="AB529" i="1"/>
  <c r="BX529" i="1"/>
  <c r="V529" i="1" s="1"/>
  <c r="W532" i="1"/>
  <c r="AB532" i="1"/>
  <c r="AA532" i="1"/>
  <c r="W531" i="1"/>
  <c r="AA531" i="1"/>
  <c r="W533" i="1"/>
  <c r="AA533" i="1"/>
  <c r="W537" i="1"/>
  <c r="AA537" i="1"/>
  <c r="AD536" i="1"/>
  <c r="AE536" i="1" s="1"/>
  <c r="AD529" i="1"/>
  <c r="AE529" i="1" s="1"/>
  <c r="Q531" i="1"/>
  <c r="Q530" i="1"/>
  <c r="AY527" i="1"/>
  <c r="CY540" i="1"/>
  <c r="AX528" i="1"/>
  <c r="AA540" i="1" l="1"/>
  <c r="AX522" i="1"/>
  <c r="CX540" i="1"/>
  <c r="EE522" i="1"/>
  <c r="BX523" i="1"/>
  <c r="CX528" i="1"/>
  <c r="AX517" i="1"/>
  <c r="AX521" i="1"/>
  <c r="AX519" i="1"/>
  <c r="AX520" i="1"/>
  <c r="CY528" i="1"/>
  <c r="AI540" i="1" l="1"/>
  <c r="AI530" i="1"/>
  <c r="AK530" i="1" s="1"/>
  <c r="AI531" i="1"/>
  <c r="Y539" i="1"/>
  <c r="V540" i="1"/>
  <c r="AJ540" i="1" s="1"/>
  <c r="Y540" i="1"/>
  <c r="Y534" i="1"/>
  <c r="Y530" i="1"/>
  <c r="Y533" i="1"/>
  <c r="Y532" i="1"/>
  <c r="Y529" i="1"/>
  <c r="Y537" i="1"/>
  <c r="Y531" i="1"/>
  <c r="Y538" i="1"/>
  <c r="Y535" i="1"/>
  <c r="Y536" i="1"/>
  <c r="AY528" i="1"/>
  <c r="BX528" i="1"/>
  <c r="AB528" i="1"/>
  <c r="W528" i="1"/>
  <c r="AA528" i="1"/>
  <c r="Q528" i="1"/>
  <c r="Q526" i="1"/>
  <c r="AD526" i="1"/>
  <c r="AE526" i="1" s="1"/>
  <c r="AD525" i="1"/>
  <c r="AE525" i="1" s="1"/>
  <c r="Q527" i="1"/>
  <c r="BX527" i="1"/>
  <c r="V527" i="1" s="1"/>
  <c r="AB527" i="1"/>
  <c r="AB526" i="1"/>
  <c r="W526" i="1"/>
  <c r="AA526" i="1"/>
  <c r="BX525" i="1"/>
  <c r="V525" i="1" s="1"/>
  <c r="AB525" i="1"/>
  <c r="W527" i="1"/>
  <c r="AA527" i="1"/>
  <c r="V526" i="1"/>
  <c r="Q525" i="1"/>
  <c r="W525" i="1"/>
  <c r="AA525" i="1"/>
  <c r="AD527" i="1"/>
  <c r="AE527" i="1" s="1"/>
  <c r="AY521" i="1"/>
  <c r="AY520" i="1"/>
  <c r="AY522" i="1"/>
  <c r="AY519" i="1"/>
  <c r="AY524" i="1"/>
  <c r="AY517" i="1"/>
  <c r="AX523" i="1"/>
  <c r="CX531" i="1"/>
  <c r="EE523" i="1"/>
  <c r="V531" i="1" l="1"/>
  <c r="AJ531" i="1" s="1"/>
  <c r="BY518" i="1"/>
  <c r="AK531" i="1" l="1"/>
  <c r="AK540" i="1"/>
  <c r="Y528" i="1"/>
  <c r="V528" i="1"/>
  <c r="Y525" i="1"/>
  <c r="Y527" i="1"/>
  <c r="Y526" i="1"/>
  <c r="AY523" i="1"/>
  <c r="AX518" i="1"/>
  <c r="CX522" i="1"/>
  <c r="Q520" i="1" l="1"/>
  <c r="Q522" i="1"/>
  <c r="AD523" i="1"/>
  <c r="AE523" i="1" s="1"/>
  <c r="Q524" i="1"/>
  <c r="AD524" i="1"/>
  <c r="Q521" i="1"/>
  <c r="V520" i="1"/>
  <c r="BX524" i="1"/>
  <c r="V524" i="1" s="1"/>
  <c r="AB524" i="1"/>
  <c r="AB521" i="1"/>
  <c r="W521" i="1"/>
  <c r="AA521" i="1"/>
  <c r="V521" i="1"/>
  <c r="BX522" i="1"/>
  <c r="V522" i="1" s="1"/>
  <c r="AJ522" i="1" s="1"/>
  <c r="AB522" i="1"/>
  <c r="AD522" i="1"/>
  <c r="AE522" i="1" s="1"/>
  <c r="AD519" i="1"/>
  <c r="AE519" i="1" s="1"/>
  <c r="AD521" i="1"/>
  <c r="AE521" i="1" s="1"/>
  <c r="AB520" i="1"/>
  <c r="W520" i="1"/>
  <c r="AA520" i="1"/>
  <c r="W522" i="1"/>
  <c r="AA522" i="1"/>
  <c r="AB523" i="1"/>
  <c r="W523" i="1"/>
  <c r="AA523" i="1"/>
  <c r="AD520" i="1"/>
  <c r="W519" i="1"/>
  <c r="AI519" i="1" s="1"/>
  <c r="AB519" i="1"/>
  <c r="W524" i="1"/>
  <c r="AA524" i="1"/>
  <c r="V523" i="1"/>
  <c r="AY518" i="1"/>
  <c r="BY519" i="1"/>
  <c r="EE449" i="1"/>
  <c r="EE416" i="1"/>
  <c r="EE226" i="1"/>
  <c r="EE386" i="1"/>
  <c r="BK514" i="1"/>
  <c r="BK479" i="1"/>
  <c r="EE28" i="1"/>
  <c r="BK439" i="1"/>
  <c r="EE377" i="1"/>
  <c r="EE342" i="1"/>
  <c r="AA519" i="1" l="1"/>
  <c r="Y519" i="1" s="1"/>
  <c r="AI522" i="1"/>
  <c r="AK522" i="1" s="1"/>
  <c r="Y523" i="1"/>
  <c r="Y522" i="1"/>
  <c r="Y524" i="1"/>
  <c r="Y520" i="1"/>
  <c r="Y521" i="1"/>
  <c r="AD516" i="1"/>
  <c r="AE516" i="1" s="1"/>
  <c r="AD518" i="1"/>
  <c r="AE518" i="1" s="1"/>
  <c r="Q515" i="1"/>
  <c r="AB518" i="1"/>
  <c r="W518" i="1"/>
  <c r="Q518" i="1"/>
  <c r="Q517" i="1"/>
  <c r="AD517" i="1"/>
  <c r="AE517" i="1" s="1"/>
  <c r="AD514" i="1"/>
  <c r="AE514" i="1" s="1"/>
  <c r="AD513" i="1"/>
  <c r="AE513" i="1" s="1"/>
  <c r="AD512" i="1"/>
  <c r="W517" i="1"/>
  <c r="AA517" i="1"/>
  <c r="BX517" i="1"/>
  <c r="V517" i="1" s="1"/>
  <c r="AB517" i="1"/>
  <c r="AD515" i="1"/>
  <c r="AE515" i="1" s="1"/>
  <c r="AD511" i="1"/>
  <c r="AE511" i="1" s="1"/>
  <c r="Q514" i="1"/>
  <c r="Q513" i="1"/>
  <c r="Q511" i="1"/>
  <c r="Q516" i="1"/>
  <c r="AB514" i="1"/>
  <c r="W514" i="1"/>
  <c r="AB513" i="1"/>
  <c r="BX513" i="1"/>
  <c r="W513" i="1"/>
  <c r="W516" i="1"/>
  <c r="AB516" i="1"/>
  <c r="BX516" i="1"/>
  <c r="BX511" i="1"/>
  <c r="AB511" i="1"/>
  <c r="W515" i="1"/>
  <c r="W511" i="1"/>
  <c r="AB512" i="1"/>
  <c r="W512" i="1"/>
  <c r="BX515" i="1"/>
  <c r="AB515" i="1"/>
  <c r="Q512" i="1"/>
  <c r="Q507" i="1"/>
  <c r="AD510" i="1"/>
  <c r="AE510" i="1" s="1"/>
  <c r="AD507" i="1"/>
  <c r="AE507" i="1" s="1"/>
  <c r="AD509" i="1"/>
  <c r="AE509" i="1" s="1"/>
  <c r="AD508" i="1"/>
  <c r="AE508" i="1" s="1"/>
  <c r="Q510" i="1"/>
  <c r="Q508" i="1"/>
  <c r="BX509" i="1"/>
  <c r="AB509" i="1"/>
  <c r="W509" i="1"/>
  <c r="W508" i="1"/>
  <c r="BX508" i="1"/>
  <c r="AB508" i="1"/>
  <c r="W507" i="1"/>
  <c r="W510" i="1"/>
  <c r="BX510" i="1"/>
  <c r="AB510" i="1"/>
  <c r="BX507" i="1"/>
  <c r="AB507" i="1"/>
  <c r="Q509" i="1"/>
  <c r="AD505" i="1"/>
  <c r="AE505" i="1" s="1"/>
  <c r="EE121" i="1"/>
  <c r="BX518" i="1"/>
  <c r="EE240" i="1"/>
  <c r="EE100" i="1"/>
  <c r="EE156" i="1"/>
  <c r="EE423" i="1"/>
  <c r="CY518" i="1"/>
  <c r="EE518" i="1"/>
  <c r="EE25" i="1"/>
  <c r="AA518" i="1" l="1"/>
  <c r="EE75" i="1"/>
  <c r="AX516" i="1"/>
  <c r="BX503" i="1"/>
  <c r="EE38" i="1"/>
  <c r="AX505" i="1"/>
  <c r="EE192" i="1"/>
  <c r="EE208" i="1"/>
  <c r="EE396" i="1"/>
  <c r="EE479" i="1"/>
  <c r="EE41" i="1"/>
  <c r="BX512" i="1"/>
  <c r="EE494" i="1"/>
  <c r="EE130" i="1"/>
  <c r="AX510" i="1"/>
  <c r="AX511" i="1"/>
  <c r="EE393" i="1"/>
  <c r="EE401" i="1"/>
  <c r="EE497" i="1"/>
  <c r="EE335" i="1"/>
  <c r="AX508" i="1"/>
  <c r="EE7" i="1"/>
  <c r="EE453" i="1"/>
  <c r="EE201" i="1"/>
  <c r="AX512" i="1"/>
  <c r="EE14" i="1"/>
  <c r="EE224" i="1"/>
  <c r="EE59" i="1"/>
  <c r="EE303" i="1"/>
  <c r="EE116" i="1"/>
  <c r="EE230" i="1"/>
  <c r="EE336" i="1"/>
  <c r="EE72" i="1"/>
  <c r="EE255" i="1"/>
  <c r="EE165" i="1"/>
  <c r="EE49" i="1"/>
  <c r="CY506" i="1"/>
  <c r="EE110" i="1"/>
  <c r="EE212" i="1"/>
  <c r="EE357" i="1"/>
  <c r="EE283" i="1"/>
  <c r="EE97" i="1"/>
  <c r="EE144" i="1"/>
  <c r="EE519" i="1"/>
  <c r="EE126" i="1"/>
  <c r="EE175" i="1"/>
  <c r="AX507" i="1"/>
  <c r="EE123" i="1"/>
  <c r="EE12" i="1"/>
  <c r="AI518" i="1" l="1"/>
  <c r="Y517" i="1"/>
  <c r="Y518" i="1"/>
  <c r="AA508" i="1"/>
  <c r="Y508" i="1" s="1"/>
  <c r="AY508" i="1"/>
  <c r="V508" i="1" s="1"/>
  <c r="AY511" i="1"/>
  <c r="V511" i="1" s="1"/>
  <c r="AA511" i="1"/>
  <c r="Y511" i="1" s="1"/>
  <c r="AY516" i="1"/>
  <c r="V516" i="1" s="1"/>
  <c r="AA516" i="1"/>
  <c r="Y516" i="1" s="1"/>
  <c r="AY507" i="1"/>
  <c r="V507" i="1" s="1"/>
  <c r="AA507" i="1"/>
  <c r="Y507" i="1" s="1"/>
  <c r="AY512" i="1"/>
  <c r="V512" i="1" s="1"/>
  <c r="AY505" i="1"/>
  <c r="AY510" i="1"/>
  <c r="V510" i="1" s="1"/>
  <c r="AA510" i="1"/>
  <c r="Y510" i="1" s="1"/>
  <c r="AD506" i="1"/>
  <c r="AE506" i="1" s="1"/>
  <c r="BK438" i="1"/>
  <c r="EE78" i="1"/>
  <c r="EE64" i="1"/>
  <c r="EE92" i="1"/>
  <c r="AX506" i="1"/>
  <c r="AX509" i="1"/>
  <c r="EE344" i="1"/>
  <c r="EE198" i="1"/>
  <c r="EE204" i="1"/>
  <c r="EE487" i="1"/>
  <c r="AX514" i="1"/>
  <c r="AX515" i="1"/>
  <c r="EE421" i="1"/>
  <c r="EE443" i="1"/>
  <c r="CX519" i="1"/>
  <c r="EE363" i="1"/>
  <c r="CX518" i="1"/>
  <c r="BY512" i="1"/>
  <c r="EE392" i="1"/>
  <c r="EE225" i="1"/>
  <c r="EE210" i="1"/>
  <c r="EE365" i="1"/>
  <c r="BX506" i="1"/>
  <c r="EE235" i="1"/>
  <c r="EE503" i="1"/>
  <c r="EE273" i="1"/>
  <c r="EE307" i="1"/>
  <c r="EE90" i="1"/>
  <c r="EE250" i="1"/>
  <c r="BY506" i="1"/>
  <c r="EE271" i="1"/>
  <c r="AX513" i="1"/>
  <c r="EE325" i="1"/>
  <c r="EE418" i="1"/>
  <c r="EE80" i="1"/>
  <c r="EE316" i="1"/>
  <c r="EE300" i="1"/>
  <c r="EE183" i="1"/>
  <c r="AY509" i="1" l="1"/>
  <c r="V509" i="1" s="1"/>
  <c r="AA509" i="1"/>
  <c r="Y509" i="1" s="1"/>
  <c r="AY515" i="1"/>
  <c r="V515" i="1" s="1"/>
  <c r="AA515" i="1"/>
  <c r="Y515" i="1" s="1"/>
  <c r="V518" i="1"/>
  <c r="AJ518" i="1" s="1"/>
  <c r="AA512" i="1"/>
  <c r="Y512" i="1" s="1"/>
  <c r="AY513" i="1"/>
  <c r="V513" i="1" s="1"/>
  <c r="AA513" i="1"/>
  <c r="Y513" i="1" s="1"/>
  <c r="V519" i="1"/>
  <c r="AJ519" i="1" s="1"/>
  <c r="AK519" i="1" s="1"/>
  <c r="AY506" i="1"/>
  <c r="AA514" i="1"/>
  <c r="Y514" i="1" s="1"/>
  <c r="AY514" i="1"/>
  <c r="V514" i="1" s="1"/>
  <c r="BK457" i="1"/>
  <c r="BK486" i="1"/>
  <c r="EE384" i="1"/>
  <c r="EE69" i="1"/>
  <c r="BK494" i="1"/>
  <c r="EE305" i="1"/>
  <c r="BK445" i="1"/>
  <c r="EE245" i="1"/>
  <c r="EE91" i="1"/>
  <c r="BK434" i="1"/>
  <c r="BK462" i="1"/>
  <c r="BK467" i="1"/>
  <c r="EE107" i="1"/>
  <c r="BK477" i="1"/>
  <c r="BK463" i="1"/>
  <c r="BK498" i="1"/>
  <c r="EE106" i="1"/>
  <c r="BK488" i="1"/>
  <c r="EE180" i="1"/>
  <c r="BK436" i="1"/>
  <c r="EE47" i="1"/>
  <c r="BK446" i="1"/>
  <c r="BK495" i="1"/>
  <c r="BK504" i="1"/>
  <c r="BK447" i="1"/>
  <c r="EE54" i="1"/>
  <c r="BK459" i="1"/>
  <c r="BK121" i="1"/>
  <c r="BK493" i="1"/>
  <c r="BK220" i="1"/>
  <c r="BK455" i="1"/>
  <c r="EE282" i="1"/>
  <c r="EE154" i="1"/>
  <c r="BK456" i="1"/>
  <c r="BK475" i="1"/>
  <c r="BK444" i="1"/>
  <c r="EE138" i="1"/>
  <c r="EE32" i="1"/>
  <c r="BK353" i="1"/>
  <c r="BK481" i="1"/>
  <c r="EE11" i="1"/>
  <c r="BK453" i="1"/>
  <c r="EE370" i="1"/>
  <c r="EE257" i="1"/>
  <c r="BK468" i="1"/>
  <c r="EE227" i="1"/>
  <c r="EE234" i="1"/>
  <c r="BK466" i="1"/>
  <c r="EE438" i="1"/>
  <c r="EE495" i="1"/>
  <c r="EE456" i="1"/>
  <c r="EE476" i="1"/>
  <c r="EE61" i="1"/>
  <c r="BK449" i="1"/>
  <c r="AK518" i="1" l="1"/>
  <c r="BX505" i="1"/>
  <c r="V505" i="1" s="1"/>
  <c r="AB505" i="1"/>
  <c r="Q505" i="1"/>
  <c r="AB506" i="1"/>
  <c r="W506" i="1"/>
  <c r="AI506" i="1" s="1"/>
  <c r="AA506" i="1"/>
  <c r="AA505" i="1"/>
  <c r="W505" i="1"/>
  <c r="BI504" i="1"/>
  <c r="CW504" i="1"/>
  <c r="CY504" i="1" s="1"/>
  <c r="BO504" i="1"/>
  <c r="BI501" i="1"/>
  <c r="CW501" i="1"/>
  <c r="CY501" i="1" s="1"/>
  <c r="BK501" i="1"/>
  <c r="BO502" i="1"/>
  <c r="BV501" i="1"/>
  <c r="BY501" i="1" s="1"/>
  <c r="BO503" i="1"/>
  <c r="Q503" i="1" s="1"/>
  <c r="BO501" i="1"/>
  <c r="BT501" i="1"/>
  <c r="BV502" i="1"/>
  <c r="CT503" i="1"/>
  <c r="BT502" i="1"/>
  <c r="CS501" i="1"/>
  <c r="DJ502" i="1"/>
  <c r="CS504" i="1"/>
  <c r="DJ504" i="1"/>
  <c r="CS503" i="1"/>
  <c r="CS502" i="1"/>
  <c r="DJ503" i="1"/>
  <c r="DJ501" i="1"/>
  <c r="CS499" i="1"/>
  <c r="CS498" i="1"/>
  <c r="DJ500" i="1"/>
  <c r="CS500" i="1"/>
  <c r="DJ499" i="1"/>
  <c r="BI500" i="1"/>
  <c r="BK500" i="1"/>
  <c r="CW500" i="1"/>
  <c r="CY500" i="1" s="1"/>
  <c r="BV500" i="1"/>
  <c r="BY500" i="1" s="1"/>
  <c r="BT500" i="1"/>
  <c r="BK499" i="1"/>
  <c r="BO500" i="1"/>
  <c r="CX499" i="1"/>
  <c r="CW499" i="1"/>
  <c r="CY499" i="1" s="1"/>
  <c r="BI499" i="1"/>
  <c r="CX500" i="1"/>
  <c r="BO499" i="1"/>
  <c r="BT499" i="1"/>
  <c r="CE499" i="1"/>
  <c r="CH499" i="1" s="1"/>
  <c r="BV499" i="1"/>
  <c r="BY499" i="1" s="1"/>
  <c r="CC499" i="1"/>
  <c r="CG499" i="1" s="1"/>
  <c r="Z178" i="1"/>
  <c r="EC56" i="1"/>
  <c r="EE56" i="1" s="1"/>
  <c r="EC65" i="1"/>
  <c r="EE65" i="1" s="1"/>
  <c r="EC83" i="1"/>
  <c r="EE83" i="1" s="1"/>
  <c r="EC17" i="1"/>
  <c r="EE17" i="1" s="1"/>
  <c r="EC287" i="1"/>
  <c r="EE287" i="1" s="1"/>
  <c r="Z161" i="1"/>
  <c r="CS496" i="1"/>
  <c r="DJ497" i="1"/>
  <c r="CS495" i="1"/>
  <c r="DJ494" i="1"/>
  <c r="DJ496" i="1"/>
  <c r="DJ493" i="1"/>
  <c r="DJ498" i="1"/>
  <c r="DJ495" i="1"/>
  <c r="CS493" i="1"/>
  <c r="CS494" i="1"/>
  <c r="CS497" i="1"/>
  <c r="EC414" i="1"/>
  <c r="EE414" i="1" s="1"/>
  <c r="AW460" i="1"/>
  <c r="BT460" i="1" s="1"/>
  <c r="CX460" i="1"/>
  <c r="EC289" i="1"/>
  <c r="EE289" i="1" s="1"/>
  <c r="AW169" i="1"/>
  <c r="Z169" i="1"/>
  <c r="EC347" i="1"/>
  <c r="EE347" i="1" s="1"/>
  <c r="EC387" i="1"/>
  <c r="EE387" i="1" s="1"/>
  <c r="Z140" i="1"/>
  <c r="EC149" i="1"/>
  <c r="EE149" i="1" s="1"/>
  <c r="EC146" i="1"/>
  <c r="EE146" i="1" s="1"/>
  <c r="EC469" i="1"/>
  <c r="EE469" i="1" s="1"/>
  <c r="Z354" i="1"/>
  <c r="EC331" i="1"/>
  <c r="EE331" i="1" s="1"/>
  <c r="EC6" i="1"/>
  <c r="EE6" i="1" s="1"/>
  <c r="EC326" i="1"/>
  <c r="EE326" i="1" s="1"/>
  <c r="EC194" i="1"/>
  <c r="EE194" i="1" s="1"/>
  <c r="EC118" i="1"/>
  <c r="EE118" i="1" s="1"/>
  <c r="Z355" i="1"/>
  <c r="EC239" i="1"/>
  <c r="EE239" i="1" s="1"/>
  <c r="EC67" i="1"/>
  <c r="EE67" i="1" s="1"/>
  <c r="EC375" i="1"/>
  <c r="EE375" i="1" s="1"/>
  <c r="Z281" i="1"/>
  <c r="Z261" i="1"/>
  <c r="EC348" i="1"/>
  <c r="EE348" i="1" s="1"/>
  <c r="Z202" i="1"/>
  <c r="EC268" i="1"/>
  <c r="EE268" i="1" s="1"/>
  <c r="EC381" i="1"/>
  <c r="EE381" i="1" s="1"/>
  <c r="EC181" i="1"/>
  <c r="EE181" i="1" s="1"/>
  <c r="EC428" i="1"/>
  <c r="EE428" i="1" s="1"/>
  <c r="AU380" i="1"/>
  <c r="AG460" i="1"/>
  <c r="AG434" i="1"/>
  <c r="AW451" i="1"/>
  <c r="EC451" i="1"/>
  <c r="EE451" i="1" s="1"/>
  <c r="AU350" i="1"/>
  <c r="AW367" i="1"/>
  <c r="EC367" i="1"/>
  <c r="EE367" i="1" s="1"/>
  <c r="AG463" i="1"/>
  <c r="EC299" i="1"/>
  <c r="EE299" i="1" s="1"/>
  <c r="AU311" i="1"/>
  <c r="AG35" i="1"/>
  <c r="EC270" i="1"/>
  <c r="EE270" i="1" s="1"/>
  <c r="AU280" i="1"/>
  <c r="EC280" i="1"/>
  <c r="EE280" i="1" s="1"/>
  <c r="AU141" i="1"/>
  <c r="BH497" i="1"/>
  <c r="BH490" i="1"/>
  <c r="BH480" i="1"/>
  <c r="Z479" i="1"/>
  <c r="BH479" i="1"/>
  <c r="U476" i="1"/>
  <c r="AH476" i="1"/>
  <c r="U497" i="1"/>
  <c r="AH497" i="1"/>
  <c r="BH474" i="1"/>
  <c r="BH476" i="1"/>
  <c r="Z474" i="1"/>
  <c r="U474" i="1"/>
  <c r="CX474" i="1"/>
  <c r="CX496" i="1"/>
  <c r="CX493" i="1"/>
  <c r="BK496" i="1"/>
  <c r="CW493" i="1"/>
  <c r="CY493" i="1" s="1"/>
  <c r="BI498" i="1"/>
  <c r="BK497" i="1"/>
  <c r="BI493" i="1"/>
  <c r="BI496" i="1"/>
  <c r="BI497" i="1"/>
  <c r="CW496" i="1"/>
  <c r="CY496" i="1" s="1"/>
  <c r="BT496" i="1"/>
  <c r="BX496" i="1" s="1"/>
  <c r="BV493" i="1"/>
  <c r="BY493" i="1" s="1"/>
  <c r="BO495" i="1"/>
  <c r="BV496" i="1"/>
  <c r="BY496" i="1" s="1"/>
  <c r="BO494" i="1"/>
  <c r="Q494" i="1" s="1"/>
  <c r="BO498" i="1"/>
  <c r="BO493" i="1"/>
  <c r="BT495" i="1"/>
  <c r="BT498" i="1"/>
  <c r="BO496" i="1"/>
  <c r="BV498" i="1"/>
  <c r="BY498" i="1" s="1"/>
  <c r="BO497" i="1"/>
  <c r="BT493" i="1"/>
  <c r="BV497" i="1"/>
  <c r="BY497" i="1" s="1"/>
  <c r="BV495" i="1"/>
  <c r="BY495" i="1" s="1"/>
  <c r="BT497" i="1"/>
  <c r="CS491" i="1"/>
  <c r="CS490" i="1"/>
  <c r="DJ489" i="1"/>
  <c r="CS492" i="1"/>
  <c r="CS489" i="1"/>
  <c r="DJ491" i="1"/>
  <c r="DJ492" i="1"/>
  <c r="DJ490" i="1"/>
  <c r="CX489" i="1"/>
  <c r="CX490" i="1"/>
  <c r="BK489" i="1"/>
  <c r="CW490" i="1"/>
  <c r="CY490" i="1" s="1"/>
  <c r="CW489" i="1"/>
  <c r="CY489" i="1" s="1"/>
  <c r="BI489" i="1"/>
  <c r="BV490" i="1"/>
  <c r="BY490" i="1" s="1"/>
  <c r="BO490" i="1"/>
  <c r="BV491" i="1"/>
  <c r="BY491" i="1" s="1"/>
  <c r="BV489" i="1"/>
  <c r="BY489" i="1" s="1"/>
  <c r="BT489" i="1"/>
  <c r="BO489" i="1"/>
  <c r="BO491" i="1"/>
  <c r="BT490" i="1"/>
  <c r="BT491" i="1"/>
  <c r="U254" i="1"/>
  <c r="BI487" i="1"/>
  <c r="BO487" i="1"/>
  <c r="BV487" i="1"/>
  <c r="BY487" i="1" s="1"/>
  <c r="CS487" i="1"/>
  <c r="DJ487" i="1"/>
  <c r="BT487" i="1"/>
  <c r="CW485" i="1"/>
  <c r="CY485" i="1" s="1"/>
  <c r="BI485" i="1"/>
  <c r="BV484" i="1"/>
  <c r="BY484" i="1" s="1"/>
  <c r="BK485" i="1"/>
  <c r="BI488" i="1"/>
  <c r="CX488" i="1"/>
  <c r="CX485" i="1"/>
  <c r="CX486" i="1"/>
  <c r="BO484" i="1"/>
  <c r="BI486" i="1"/>
  <c r="BI484" i="1"/>
  <c r="BO486" i="1"/>
  <c r="CW488" i="1"/>
  <c r="CY488" i="1" s="1"/>
  <c r="BK484" i="1"/>
  <c r="CW486" i="1"/>
  <c r="CY486" i="1" s="1"/>
  <c r="BO488" i="1"/>
  <c r="BV483" i="1"/>
  <c r="BY483" i="1" s="1"/>
  <c r="BO483" i="1"/>
  <c r="BO485" i="1"/>
  <c r="BV488" i="1"/>
  <c r="BY488" i="1" s="1"/>
  <c r="BV486" i="1"/>
  <c r="BY486" i="1" s="1"/>
  <c r="BV485" i="1"/>
  <c r="BY485" i="1" s="1"/>
  <c r="BT484" i="1"/>
  <c r="BT485" i="1"/>
  <c r="BT483" i="1"/>
  <c r="BT486" i="1"/>
  <c r="CT483" i="1"/>
  <c r="DJ483" i="1"/>
  <c r="DJ484" i="1"/>
  <c r="CS485" i="1"/>
  <c r="DJ485" i="1"/>
  <c r="DJ488" i="1"/>
  <c r="CS488" i="1"/>
  <c r="DJ486" i="1"/>
  <c r="CS483" i="1"/>
  <c r="CS486" i="1"/>
  <c r="CS484" i="1"/>
  <c r="BT488" i="1"/>
  <c r="AW115" i="1"/>
  <c r="DJ482" i="1"/>
  <c r="CS482" i="1"/>
  <c r="BO482" i="1"/>
  <c r="BV482" i="1"/>
  <c r="BY482" i="1" s="1"/>
  <c r="BT482" i="1"/>
  <c r="DJ481" i="1"/>
  <c r="DJ480" i="1"/>
  <c r="CS481" i="1"/>
  <c r="CS480" i="1"/>
  <c r="CW481" i="1"/>
  <c r="CY481" i="1" s="1"/>
  <c r="BV480" i="1"/>
  <c r="BY480" i="1" s="1"/>
  <c r="CX481" i="1"/>
  <c r="BI481" i="1"/>
  <c r="BV481" i="1"/>
  <c r="BY481" i="1" s="1"/>
  <c r="BO481" i="1"/>
  <c r="BO480" i="1"/>
  <c r="BT480" i="1"/>
  <c r="BT481" i="1"/>
  <c r="CE480" i="1"/>
  <c r="CH480" i="1" s="1"/>
  <c r="CC480" i="1"/>
  <c r="CG480" i="1" s="1"/>
  <c r="CS478" i="1"/>
  <c r="CS477" i="1"/>
  <c r="BI477" i="1"/>
  <c r="BI478" i="1"/>
  <c r="BV478" i="1"/>
  <c r="BY478" i="1" s="1"/>
  <c r="BO478" i="1"/>
  <c r="BK478" i="1"/>
  <c r="BT478" i="1"/>
  <c r="BO477" i="1"/>
  <c r="BI473" i="1"/>
  <c r="CX473" i="1"/>
  <c r="CW473" i="1"/>
  <c r="CY473" i="1" s="1"/>
  <c r="BV475" i="1"/>
  <c r="BY475" i="1" s="1"/>
  <c r="BO473" i="1"/>
  <c r="BO476" i="1"/>
  <c r="Q476" i="1" s="1"/>
  <c r="BO475" i="1"/>
  <c r="BV474" i="1"/>
  <c r="BY474" i="1" s="1"/>
  <c r="BK473" i="1"/>
  <c r="BO474" i="1"/>
  <c r="BV473" i="1"/>
  <c r="BY473" i="1" s="1"/>
  <c r="BO479" i="1"/>
  <c r="Q479" i="1" s="1"/>
  <c r="BT473" i="1"/>
  <c r="BT475" i="1"/>
  <c r="BT474" i="1"/>
  <c r="DJ476" i="1"/>
  <c r="DJ473" i="1"/>
  <c r="DJ477" i="1"/>
  <c r="DJ474" i="1"/>
  <c r="CS475" i="1"/>
  <c r="CS476" i="1"/>
  <c r="CS473" i="1"/>
  <c r="DJ478" i="1"/>
  <c r="DJ479" i="1"/>
  <c r="DJ475" i="1"/>
  <c r="CS479" i="1"/>
  <c r="CS474" i="1"/>
  <c r="CS469" i="1"/>
  <c r="DJ471" i="1"/>
  <c r="CS471" i="1"/>
  <c r="CS472" i="1"/>
  <c r="DJ472" i="1"/>
  <c r="DJ470" i="1"/>
  <c r="DJ469" i="1"/>
  <c r="CS470" i="1"/>
  <c r="AW472" i="1"/>
  <c r="AW469" i="1"/>
  <c r="AW468" i="1"/>
  <c r="AW471" i="1"/>
  <c r="BW468" i="1"/>
  <c r="BF471" i="1" a="1"/>
  <c r="BF471" i="1" s="1"/>
  <c r="BA471" i="1"/>
  <c r="BF470" i="1" a="1"/>
  <c r="BF470" i="1" s="1"/>
  <c r="BA470" i="1"/>
  <c r="DZ470" i="1" s="1"/>
  <c r="BA468" i="1"/>
  <c r="BF468" i="1" a="1"/>
  <c r="BF468" i="1" s="1"/>
  <c r="BF469" i="1" a="1"/>
  <c r="BF469" i="1" s="1"/>
  <c r="BA469" i="1"/>
  <c r="CW469" i="1"/>
  <c r="CY469" i="1" s="1"/>
  <c r="BA472" i="1"/>
  <c r="BF472" i="1" a="1"/>
  <c r="BF472" i="1" s="1"/>
  <c r="BH472" i="1" s="1"/>
  <c r="AW470" i="1"/>
  <c r="AG471" i="1"/>
  <c r="Z451" i="1"/>
  <c r="BD456" i="1"/>
  <c r="AU456" i="1"/>
  <c r="AW456" i="1" s="1"/>
  <c r="Z457" i="1"/>
  <c r="U457" i="1"/>
  <c r="Z443" i="1"/>
  <c r="BD443" i="1"/>
  <c r="Z470" i="1"/>
  <c r="U470" i="1"/>
  <c r="AH443" i="1"/>
  <c r="AU443" i="1"/>
  <c r="AW443" i="1" s="1"/>
  <c r="AG456" i="1"/>
  <c r="BO43" i="1"/>
  <c r="CW470" i="1"/>
  <c r="CY470" i="1" s="1"/>
  <c r="BI470" i="1"/>
  <c r="BV469" i="1"/>
  <c r="BY469" i="1" s="1"/>
  <c r="BO471" i="1"/>
  <c r="CX470" i="1"/>
  <c r="BV470" i="1"/>
  <c r="BY470" i="1" s="1"/>
  <c r="BT470" i="1"/>
  <c r="BO472" i="1"/>
  <c r="BO469" i="1"/>
  <c r="BT469" i="1"/>
  <c r="BD236" i="1"/>
  <c r="CW221" i="1"/>
  <c r="CY221" i="1" s="1"/>
  <c r="CW364" i="1"/>
  <c r="CY364" i="1" s="1"/>
  <c r="CW219" i="1"/>
  <c r="CY219" i="1" s="1"/>
  <c r="CW332" i="1"/>
  <c r="CY332" i="1" s="1"/>
  <c r="CW258" i="1"/>
  <c r="CY258" i="1" s="1"/>
  <c r="CW112" i="1"/>
  <c r="CY112" i="1" s="1"/>
  <c r="AG447" i="1"/>
  <c r="CW441" i="1"/>
  <c r="CY441" i="1" s="1"/>
  <c r="AG455" i="1"/>
  <c r="AU229" i="1"/>
  <c r="AW229" i="1" s="1"/>
  <c r="CW295" i="1"/>
  <c r="CY295" i="1" s="1"/>
  <c r="BD229" i="1"/>
  <c r="AG439" i="1"/>
  <c r="AU320" i="1"/>
  <c r="DY320" i="1" s="1"/>
  <c r="CW198" i="1"/>
  <c r="CY198" i="1" s="1"/>
  <c r="CW372" i="1"/>
  <c r="CY372" i="1" s="1"/>
  <c r="AG376" i="1"/>
  <c r="BD431" i="1"/>
  <c r="DZ431" i="1" s="1"/>
  <c r="CW231" i="1"/>
  <c r="CY231" i="1" s="1"/>
  <c r="AG279" i="1"/>
  <c r="Z279" i="1"/>
  <c r="CW464" i="1"/>
  <c r="CY464" i="1" s="1"/>
  <c r="AG259" i="1"/>
  <c r="CW315" i="1"/>
  <c r="CY315" i="1" s="1"/>
  <c r="AW304" i="1"/>
  <c r="AG217" i="1"/>
  <c r="AG167" i="1"/>
  <c r="BD433" i="1"/>
  <c r="DZ433" i="1" s="1"/>
  <c r="AW362" i="1"/>
  <c r="CW374" i="1"/>
  <c r="CY374" i="1" s="1"/>
  <c r="CT162" i="1"/>
  <c r="AW465" i="1"/>
  <c r="AW463" i="1"/>
  <c r="AW467" i="1"/>
  <c r="BT467" i="1" s="1"/>
  <c r="U461" i="1"/>
  <c r="AW466" i="1"/>
  <c r="U122" i="1"/>
  <c r="U57" i="1"/>
  <c r="Z445" i="1"/>
  <c r="U445" i="1"/>
  <c r="BF464" i="1" a="1"/>
  <c r="BF464" i="1" s="1"/>
  <c r="BA464" i="1"/>
  <c r="Z458" i="1"/>
  <c r="U458" i="1"/>
  <c r="Z440" i="1"/>
  <c r="U440" i="1"/>
  <c r="Z467" i="1"/>
  <c r="Z463" i="1"/>
  <c r="BF465" i="1" a="1"/>
  <c r="BF465" i="1" s="1"/>
  <c r="BH465" i="1" s="1"/>
  <c r="BA465" i="1"/>
  <c r="AU441" i="1"/>
  <c r="AW441" i="1" s="1"/>
  <c r="BT441" i="1" s="1"/>
  <c r="BA466" i="1"/>
  <c r="BF466" i="1" a="1"/>
  <c r="BF466" i="1" s="1"/>
  <c r="BH466" i="1" s="1"/>
  <c r="Z465" i="1"/>
  <c r="U465" i="1"/>
  <c r="BD441" i="1"/>
  <c r="BF467" i="1" a="1"/>
  <c r="BF467" i="1" s="1"/>
  <c r="BA467" i="1"/>
  <c r="DZ467" i="1" s="1"/>
  <c r="BD464" i="1"/>
  <c r="AU464" i="1"/>
  <c r="AW464" i="1" s="1"/>
  <c r="BA463" i="1"/>
  <c r="BF463" i="1" a="1"/>
  <c r="BF463" i="1" s="1"/>
  <c r="BH463" i="1" s="1"/>
  <c r="U449" i="1"/>
  <c r="U466" i="1"/>
  <c r="Z466" i="1"/>
  <c r="U450" i="1"/>
  <c r="Z450" i="1"/>
  <c r="U448" i="1"/>
  <c r="Z448" i="1"/>
  <c r="CX442" i="1"/>
  <c r="Z442" i="1"/>
  <c r="U442" i="1"/>
  <c r="CX437" i="1"/>
  <c r="U437" i="1"/>
  <c r="Z437" i="1"/>
  <c r="Z459" i="1"/>
  <c r="U459" i="1"/>
  <c r="U454" i="1"/>
  <c r="Z454" i="1"/>
  <c r="CX446" i="1"/>
  <c r="Z446" i="1"/>
  <c r="U446" i="1"/>
  <c r="U452" i="1"/>
  <c r="Z452" i="1"/>
  <c r="U444" i="1"/>
  <c r="CX461" i="1"/>
  <c r="Z461" i="1"/>
  <c r="CS467" i="1"/>
  <c r="BI467" i="1"/>
  <c r="BV467" i="1"/>
  <c r="BY467" i="1" s="1"/>
  <c r="BO467" i="1"/>
  <c r="CW467" i="1"/>
  <c r="CY467" i="1" s="1"/>
  <c r="CX467" i="1"/>
  <c r="BO468" i="1"/>
  <c r="CS468" i="1"/>
  <c r="CS464" i="1"/>
  <c r="CS466" i="1"/>
  <c r="CX466" i="1"/>
  <c r="CW466" i="1"/>
  <c r="CY466" i="1" s="1"/>
  <c r="BO464" i="1"/>
  <c r="BI466" i="1"/>
  <c r="BI464" i="1"/>
  <c r="BK464" i="1"/>
  <c r="BV466" i="1"/>
  <c r="BY466" i="1" s="1"/>
  <c r="BO466" i="1"/>
  <c r="BV464" i="1"/>
  <c r="BY464" i="1" s="1"/>
  <c r="BT464" i="1"/>
  <c r="BT466" i="1"/>
  <c r="CW465" i="1"/>
  <c r="CY465" i="1" s="1"/>
  <c r="CX463" i="1"/>
  <c r="CW463" i="1"/>
  <c r="CY463" i="1" s="1"/>
  <c r="BO465" i="1"/>
  <c r="BI465" i="1"/>
  <c r="CX465" i="1"/>
  <c r="BO463" i="1"/>
  <c r="BV463" i="1"/>
  <c r="BY463" i="1" s="1"/>
  <c r="BV465" i="1"/>
  <c r="BY465" i="1" s="1"/>
  <c r="BT463" i="1"/>
  <c r="BT465" i="1"/>
  <c r="DJ467" i="1"/>
  <c r="DJ466" i="1"/>
  <c r="DJ464" i="1"/>
  <c r="CS463" i="1"/>
  <c r="DJ468" i="1"/>
  <c r="DJ463" i="1"/>
  <c r="DJ465" i="1"/>
  <c r="CS465" i="1"/>
  <c r="CW462" i="1"/>
  <c r="CY462" i="1" s="1"/>
  <c r="BI462" i="1"/>
  <c r="BV462" i="1"/>
  <c r="BY462" i="1" s="1"/>
  <c r="BO461" i="1"/>
  <c r="BO462" i="1"/>
  <c r="CX462" i="1"/>
  <c r="BV461" i="1"/>
  <c r="BY461" i="1" s="1"/>
  <c r="BT462" i="1"/>
  <c r="BT461" i="1"/>
  <c r="CS462" i="1"/>
  <c r="DJ462" i="1"/>
  <c r="DJ461" i="1"/>
  <c r="CS461" i="1"/>
  <c r="AW92" i="1"/>
  <c r="BO229" i="1"/>
  <c r="CS455" i="1"/>
  <c r="CS460" i="1"/>
  <c r="DJ459" i="1"/>
  <c r="DJ456" i="1"/>
  <c r="DJ457" i="1"/>
  <c r="DJ455" i="1"/>
  <c r="CS457" i="1"/>
  <c r="DJ460" i="1"/>
  <c r="DJ458" i="1"/>
  <c r="CS456" i="1"/>
  <c r="CS458" i="1"/>
  <c r="CS459" i="1"/>
  <c r="BI460" i="1"/>
  <c r="BK460" i="1"/>
  <c r="BI457" i="1"/>
  <c r="BI458" i="1"/>
  <c r="BK458" i="1"/>
  <c r="CW460" i="1"/>
  <c r="CY460" i="1" s="1"/>
  <c r="BI459" i="1"/>
  <c r="CX457" i="1"/>
  <c r="BV459" i="1"/>
  <c r="BY459" i="1" s="1"/>
  <c r="BV458" i="1"/>
  <c r="BY458" i="1" s="1"/>
  <c r="CW457" i="1"/>
  <c r="CY457" i="1" s="1"/>
  <c r="BO459" i="1"/>
  <c r="BO460" i="1"/>
  <c r="BO456" i="1"/>
  <c r="BO457" i="1"/>
  <c r="BV457" i="1"/>
  <c r="BY457" i="1" s="1"/>
  <c r="BO458" i="1"/>
  <c r="BT459" i="1"/>
  <c r="BT458" i="1"/>
  <c r="BT457" i="1"/>
  <c r="BV460" i="1"/>
  <c r="BY460" i="1" s="1"/>
  <c r="AW112" i="1"/>
  <c r="BO455" i="1"/>
  <c r="CS454" i="1"/>
  <c r="BO454" i="1"/>
  <c r="BV454" i="1"/>
  <c r="BY454" i="1" s="1"/>
  <c r="BT454" i="1"/>
  <c r="BI451" i="1"/>
  <c r="BK451" i="1"/>
  <c r="CW451" i="1"/>
  <c r="CY451" i="1" s="1"/>
  <c r="BV451" i="1"/>
  <c r="BY451" i="1" s="1"/>
  <c r="CX451" i="1"/>
  <c r="BO453" i="1"/>
  <c r="BO451" i="1"/>
  <c r="BO452" i="1"/>
  <c r="BV452" i="1"/>
  <c r="BY452" i="1" s="1"/>
  <c r="BI445" i="1"/>
  <c r="BT451" i="1"/>
  <c r="BT452" i="1"/>
  <c r="DJ451" i="1"/>
  <c r="DJ454" i="1"/>
  <c r="CS453" i="1"/>
  <c r="CS451" i="1"/>
  <c r="DJ452" i="1"/>
  <c r="DJ453" i="1"/>
  <c r="CS452" i="1"/>
  <c r="AW94" i="1"/>
  <c r="AW57" i="1"/>
  <c r="CT293" i="1"/>
  <c r="CT333" i="1"/>
  <c r="CT146" i="1"/>
  <c r="CT35" i="1"/>
  <c r="CT157" i="1"/>
  <c r="CT134" i="1"/>
  <c r="CT392" i="1"/>
  <c r="CT118" i="1"/>
  <c r="CT67" i="1"/>
  <c r="CT347" i="1"/>
  <c r="CT249" i="1"/>
  <c r="CT299" i="1"/>
  <c r="AW182" i="1"/>
  <c r="CT407" i="1"/>
  <c r="CT435" i="1"/>
  <c r="CS12" i="1"/>
  <c r="CS28" i="1"/>
  <c r="CS44" i="1"/>
  <c r="CS60" i="1"/>
  <c r="CS76" i="1"/>
  <c r="CS92" i="1"/>
  <c r="CS108" i="1"/>
  <c r="CS124" i="1"/>
  <c r="CS140" i="1"/>
  <c r="CS156" i="1"/>
  <c r="CS173" i="1"/>
  <c r="CS205" i="1"/>
  <c r="CS221" i="1"/>
  <c r="CS237" i="1"/>
  <c r="CS255" i="1"/>
  <c r="CS272" i="1"/>
  <c r="CS288" i="1"/>
  <c r="CS304" i="1"/>
  <c r="CS320" i="1"/>
  <c r="CS336" i="1"/>
  <c r="CS353" i="1"/>
  <c r="CS370" i="1"/>
  <c r="CS386" i="1"/>
  <c r="CS403" i="1"/>
  <c r="CS421" i="1"/>
  <c r="CS437" i="1"/>
  <c r="DJ8" i="1"/>
  <c r="DJ16" i="1"/>
  <c r="DJ24" i="1"/>
  <c r="DJ32" i="1"/>
  <c r="DJ40" i="1"/>
  <c r="DJ48" i="1"/>
  <c r="DJ56" i="1"/>
  <c r="DJ64" i="1"/>
  <c r="DJ72" i="1"/>
  <c r="DJ80" i="1"/>
  <c r="DJ88" i="1"/>
  <c r="DJ96" i="1"/>
  <c r="DJ104" i="1"/>
  <c r="DJ112" i="1"/>
  <c r="DJ120" i="1"/>
  <c r="DJ128" i="1"/>
  <c r="DJ136" i="1"/>
  <c r="DJ144" i="1"/>
  <c r="DJ152" i="1"/>
  <c r="DJ160" i="1"/>
  <c r="DJ168" i="1"/>
  <c r="DJ176" i="1"/>
  <c r="DJ184" i="1"/>
  <c r="DJ192" i="1"/>
  <c r="DJ200" i="1"/>
  <c r="DJ208" i="1"/>
  <c r="DJ216" i="1"/>
  <c r="DJ224" i="1"/>
  <c r="DJ232" i="1"/>
  <c r="DJ240" i="1"/>
  <c r="DJ248" i="1"/>
  <c r="DJ256" i="1"/>
  <c r="DJ264" i="1"/>
  <c r="DJ272" i="1"/>
  <c r="DJ280" i="1"/>
  <c r="DJ288" i="1"/>
  <c r="DJ296" i="1"/>
  <c r="DJ304" i="1"/>
  <c r="DJ312" i="1"/>
  <c r="DJ320" i="1"/>
  <c r="DJ328" i="1"/>
  <c r="DJ336" i="1"/>
  <c r="DJ344" i="1"/>
  <c r="DJ352" i="1"/>
  <c r="DJ360" i="1"/>
  <c r="DJ368" i="1"/>
  <c r="DJ376" i="1"/>
  <c r="DJ384" i="1"/>
  <c r="DJ392" i="1"/>
  <c r="DJ400" i="1"/>
  <c r="DJ408" i="1"/>
  <c r="DJ416" i="1"/>
  <c r="DJ424" i="1"/>
  <c r="DJ432" i="1"/>
  <c r="DJ440" i="1"/>
  <c r="DJ448" i="1"/>
  <c r="CS13" i="1"/>
  <c r="CS29" i="1"/>
  <c r="CS45" i="1"/>
  <c r="CS61" i="1"/>
  <c r="CS77" i="1"/>
  <c r="CS93" i="1"/>
  <c r="CS109" i="1"/>
  <c r="CS125" i="1"/>
  <c r="CS141" i="1"/>
  <c r="CS157" i="1"/>
  <c r="CS174" i="1"/>
  <c r="CS190" i="1"/>
  <c r="CS206" i="1"/>
  <c r="CS222" i="1"/>
  <c r="CS239" i="1"/>
  <c r="CS256" i="1"/>
  <c r="CS273" i="1"/>
  <c r="CS289" i="1"/>
  <c r="CS305" i="1"/>
  <c r="CS321" i="1"/>
  <c r="CS337" i="1"/>
  <c r="CS354" i="1"/>
  <c r="CS371" i="1"/>
  <c r="CS387" i="1"/>
  <c r="CS404" i="1"/>
  <c r="CS422" i="1"/>
  <c r="CS438" i="1"/>
  <c r="CS14" i="1"/>
  <c r="CS30" i="1"/>
  <c r="CS46" i="1"/>
  <c r="CS78" i="1"/>
  <c r="CS94" i="1"/>
  <c r="CS110" i="1"/>
  <c r="CS126" i="1"/>
  <c r="CS142" i="1"/>
  <c r="CS175" i="1"/>
  <c r="CS191" i="1"/>
  <c r="CS207" i="1"/>
  <c r="CS223" i="1"/>
  <c r="CS240" i="1"/>
  <c r="CS257" i="1"/>
  <c r="CS274" i="1"/>
  <c r="CS290" i="1"/>
  <c r="CS306" i="1"/>
  <c r="CS322" i="1"/>
  <c r="CS338" i="1"/>
  <c r="CS355" i="1"/>
  <c r="DJ9" i="1"/>
  <c r="DJ17" i="1"/>
  <c r="DJ25" i="1"/>
  <c r="DJ33" i="1"/>
  <c r="DJ41" i="1"/>
  <c r="DJ49" i="1"/>
  <c r="DJ57" i="1"/>
  <c r="DJ65" i="1"/>
  <c r="DJ73" i="1"/>
  <c r="DJ81" i="1"/>
  <c r="DJ89" i="1"/>
  <c r="DJ97" i="1"/>
  <c r="DJ105" i="1"/>
  <c r="DJ113" i="1"/>
  <c r="DJ121" i="1"/>
  <c r="DJ129" i="1"/>
  <c r="DJ137" i="1"/>
  <c r="DJ145" i="1"/>
  <c r="DJ153" i="1"/>
  <c r="DJ161" i="1"/>
  <c r="DJ169" i="1"/>
  <c r="DJ177" i="1"/>
  <c r="DJ185" i="1"/>
  <c r="DJ193" i="1"/>
  <c r="DJ201" i="1"/>
  <c r="DJ209" i="1"/>
  <c r="DJ217" i="1"/>
  <c r="DJ225" i="1"/>
  <c r="DJ233" i="1"/>
  <c r="DJ241" i="1"/>
  <c r="DJ249" i="1"/>
  <c r="DJ257" i="1"/>
  <c r="DJ265" i="1"/>
  <c r="DJ273" i="1"/>
  <c r="DJ281" i="1"/>
  <c r="DJ289" i="1"/>
  <c r="DJ297" i="1"/>
  <c r="DJ305" i="1"/>
  <c r="DJ313" i="1"/>
  <c r="DJ321" i="1"/>
  <c r="DJ329" i="1"/>
  <c r="DJ337" i="1"/>
  <c r="DJ345" i="1"/>
  <c r="DJ353" i="1"/>
  <c r="DJ361" i="1"/>
  <c r="DJ369" i="1"/>
  <c r="DJ377" i="1"/>
  <c r="DJ385" i="1"/>
  <c r="DJ393" i="1"/>
  <c r="DJ401" i="1"/>
  <c r="DJ409" i="1"/>
  <c r="DJ417" i="1"/>
  <c r="DJ425" i="1"/>
  <c r="DJ433" i="1"/>
  <c r="DJ441" i="1"/>
  <c r="DJ449" i="1"/>
  <c r="CS15" i="1"/>
  <c r="CS31" i="1"/>
  <c r="CS47" i="1"/>
  <c r="CS63" i="1"/>
  <c r="CS79" i="1"/>
  <c r="CS95" i="1"/>
  <c r="CS127" i="1"/>
  <c r="CS143" i="1"/>
  <c r="CS159" i="1"/>
  <c r="CS176" i="1"/>
  <c r="CS192" i="1"/>
  <c r="CS208" i="1"/>
  <c r="CS224" i="1"/>
  <c r="CS241" i="1"/>
  <c r="CS258" i="1"/>
  <c r="CS275" i="1"/>
  <c r="CS291" i="1"/>
  <c r="CS307" i="1"/>
  <c r="CS323" i="1"/>
  <c r="CS340" i="1"/>
  <c r="CS356" i="1"/>
  <c r="CS373" i="1"/>
  <c r="CS389" i="1"/>
  <c r="CS406" i="1"/>
  <c r="CS424" i="1"/>
  <c r="CS440" i="1"/>
  <c r="CS16" i="1"/>
  <c r="CS32" i="1"/>
  <c r="CS48" i="1"/>
  <c r="CS64" i="1"/>
  <c r="CS80" i="1"/>
  <c r="CS96" i="1"/>
  <c r="CS112" i="1"/>
  <c r="CS128" i="1"/>
  <c r="CS144" i="1"/>
  <c r="CS160" i="1"/>
  <c r="CS177" i="1"/>
  <c r="CS193" i="1"/>
  <c r="CS209" i="1"/>
  <c r="CS225" i="1"/>
  <c r="CS242" i="1"/>
  <c r="CS259" i="1"/>
  <c r="CS276" i="1"/>
  <c r="CS292" i="1"/>
  <c r="CS308" i="1"/>
  <c r="CS324" i="1"/>
  <c r="CS341" i="1"/>
  <c r="CS357" i="1"/>
  <c r="CS374" i="1"/>
  <c r="CS391" i="1"/>
  <c r="CS407" i="1"/>
  <c r="CS425" i="1"/>
  <c r="CS441" i="1"/>
  <c r="DJ10" i="1"/>
  <c r="DJ18" i="1"/>
  <c r="DJ26" i="1"/>
  <c r="DJ34" i="1"/>
  <c r="DJ42" i="1"/>
  <c r="DJ50" i="1"/>
  <c r="DJ58" i="1"/>
  <c r="DJ66" i="1"/>
  <c r="DJ74" i="1"/>
  <c r="DJ82" i="1"/>
  <c r="DJ90" i="1"/>
  <c r="DJ98" i="1"/>
  <c r="DJ106" i="1"/>
  <c r="DJ114" i="1"/>
  <c r="DJ122" i="1"/>
  <c r="DJ130" i="1"/>
  <c r="DJ138" i="1"/>
  <c r="DJ146" i="1"/>
  <c r="DJ154" i="1"/>
  <c r="DJ162" i="1"/>
  <c r="DJ170" i="1"/>
  <c r="DJ178" i="1"/>
  <c r="DJ186" i="1"/>
  <c r="DJ194" i="1"/>
  <c r="DJ202" i="1"/>
  <c r="DJ210" i="1"/>
  <c r="DJ218" i="1"/>
  <c r="DJ226" i="1"/>
  <c r="DJ234" i="1"/>
  <c r="DJ242" i="1"/>
  <c r="DJ250" i="1"/>
  <c r="DJ258" i="1"/>
  <c r="DJ266" i="1"/>
  <c r="DJ274" i="1"/>
  <c r="DJ282" i="1"/>
  <c r="DJ290" i="1"/>
  <c r="DJ298" i="1"/>
  <c r="DJ306" i="1"/>
  <c r="DJ314" i="1"/>
  <c r="DJ322" i="1"/>
  <c r="DJ330" i="1"/>
  <c r="DJ338" i="1"/>
  <c r="DJ346" i="1"/>
  <c r="DJ354" i="1"/>
  <c r="DJ362" i="1"/>
  <c r="DJ370" i="1"/>
  <c r="DJ378" i="1"/>
  <c r="DJ386" i="1"/>
  <c r="DJ394" i="1"/>
  <c r="DJ402" i="1"/>
  <c r="DJ410" i="1"/>
  <c r="DJ418" i="1"/>
  <c r="DJ426" i="1"/>
  <c r="DJ434" i="1"/>
  <c r="DJ442" i="1"/>
  <c r="DJ450" i="1"/>
  <c r="CS17" i="1"/>
  <c r="CS33" i="1"/>
  <c r="CS49" i="1"/>
  <c r="CS65" i="1"/>
  <c r="CS81" i="1"/>
  <c r="CS97" i="1"/>
  <c r="CS113" i="1"/>
  <c r="CS129" i="1"/>
  <c r="CS145" i="1"/>
  <c r="CS161" i="1"/>
  <c r="CS178" i="1"/>
  <c r="CS194" i="1"/>
  <c r="CS210" i="1"/>
  <c r="CS226" i="1"/>
  <c r="CS243" i="1"/>
  <c r="CS260" i="1"/>
  <c r="CS277" i="1"/>
  <c r="CS293" i="1"/>
  <c r="CS309" i="1"/>
  <c r="CS325" i="1"/>
  <c r="CS342" i="1"/>
  <c r="CS358" i="1"/>
  <c r="CS375" i="1"/>
  <c r="CS392" i="1"/>
  <c r="CS408" i="1"/>
  <c r="CS426" i="1"/>
  <c r="CS442" i="1"/>
  <c r="CS18" i="1"/>
  <c r="CS34" i="1"/>
  <c r="CS50" i="1"/>
  <c r="CS66" i="1"/>
  <c r="CS82" i="1"/>
  <c r="CS98" i="1"/>
  <c r="CS114" i="1"/>
  <c r="CS130" i="1"/>
  <c r="CS146" i="1"/>
  <c r="CS162" i="1"/>
  <c r="CS179" i="1"/>
  <c r="CS195" i="1"/>
  <c r="CS211" i="1"/>
  <c r="CS227" i="1"/>
  <c r="CS244" i="1"/>
  <c r="CS261" i="1"/>
  <c r="CS278" i="1"/>
  <c r="CS294" i="1"/>
  <c r="CS310" i="1"/>
  <c r="CS326" i="1"/>
  <c r="CS343" i="1"/>
  <c r="CS359" i="1"/>
  <c r="CS376" i="1"/>
  <c r="CS393" i="1"/>
  <c r="CS409" i="1"/>
  <c r="CS427" i="1"/>
  <c r="CS443" i="1"/>
  <c r="DJ11" i="1"/>
  <c r="DJ19" i="1"/>
  <c r="DJ27" i="1"/>
  <c r="DJ35" i="1"/>
  <c r="DJ43" i="1"/>
  <c r="DJ51" i="1"/>
  <c r="DJ59" i="1"/>
  <c r="DJ67" i="1"/>
  <c r="DJ75" i="1"/>
  <c r="DJ83" i="1"/>
  <c r="DJ91" i="1"/>
  <c r="DJ99" i="1"/>
  <c r="DJ107" i="1"/>
  <c r="DJ115" i="1"/>
  <c r="DJ123" i="1"/>
  <c r="DJ131" i="1"/>
  <c r="DJ139" i="1"/>
  <c r="DJ147" i="1"/>
  <c r="DJ155" i="1"/>
  <c r="DJ163" i="1"/>
  <c r="DJ171" i="1"/>
  <c r="DJ179" i="1"/>
  <c r="DJ187" i="1"/>
  <c r="DJ195" i="1"/>
  <c r="DJ203" i="1"/>
  <c r="DJ211" i="1"/>
  <c r="DJ219" i="1"/>
  <c r="DJ227" i="1"/>
  <c r="DJ235" i="1"/>
  <c r="DJ243" i="1"/>
  <c r="DJ251" i="1"/>
  <c r="DJ259" i="1"/>
  <c r="DJ267" i="1"/>
  <c r="DJ275" i="1"/>
  <c r="DJ283" i="1"/>
  <c r="DJ291" i="1"/>
  <c r="DJ299" i="1"/>
  <c r="DJ307" i="1"/>
  <c r="DJ315" i="1"/>
  <c r="DJ323" i="1"/>
  <c r="DJ331" i="1"/>
  <c r="DJ339" i="1"/>
  <c r="DJ347" i="1"/>
  <c r="DJ355" i="1"/>
  <c r="DJ363" i="1"/>
  <c r="DJ371" i="1"/>
  <c r="CS450" i="1"/>
  <c r="DJ4" i="1"/>
  <c r="CS20" i="1"/>
  <c r="CS36" i="1"/>
  <c r="CS52" i="1"/>
  <c r="CS68" i="1"/>
  <c r="CS84" i="1"/>
  <c r="CS100" i="1"/>
  <c r="CS116" i="1"/>
  <c r="CS132" i="1"/>
  <c r="CS148" i="1"/>
  <c r="CS164" i="1"/>
  <c r="CS181" i="1"/>
  <c r="CS197" i="1"/>
  <c r="CS213" i="1"/>
  <c r="CS229" i="1"/>
  <c r="CS246" i="1"/>
  <c r="CS263" i="1"/>
  <c r="CS280" i="1"/>
  <c r="CS296" i="1"/>
  <c r="CS312" i="1"/>
  <c r="CS328" i="1"/>
  <c r="CS345" i="1"/>
  <c r="CS362" i="1"/>
  <c r="CS378" i="1"/>
  <c r="CS395" i="1"/>
  <c r="CS411" i="1"/>
  <c r="CS429" i="1"/>
  <c r="CS445" i="1"/>
  <c r="DJ12" i="1"/>
  <c r="DJ20" i="1"/>
  <c r="DJ28" i="1"/>
  <c r="DJ36" i="1"/>
  <c r="DJ44" i="1"/>
  <c r="DJ52" i="1"/>
  <c r="DJ60" i="1"/>
  <c r="DJ68" i="1"/>
  <c r="DJ76" i="1"/>
  <c r="DJ84" i="1"/>
  <c r="DJ92" i="1"/>
  <c r="DJ100" i="1"/>
  <c r="DJ108" i="1"/>
  <c r="DJ116" i="1"/>
  <c r="DJ124" i="1"/>
  <c r="DJ132" i="1"/>
  <c r="DJ140" i="1"/>
  <c r="DJ148" i="1"/>
  <c r="DJ156" i="1"/>
  <c r="DJ164" i="1"/>
  <c r="DJ172" i="1"/>
  <c r="DJ180" i="1"/>
  <c r="DJ188" i="1"/>
  <c r="DJ196" i="1"/>
  <c r="DJ204" i="1"/>
  <c r="DJ212" i="1"/>
  <c r="DJ220" i="1"/>
  <c r="DJ228" i="1"/>
  <c r="DJ236" i="1"/>
  <c r="DJ244" i="1"/>
  <c r="DJ252" i="1"/>
  <c r="DJ260" i="1"/>
  <c r="DJ268" i="1"/>
  <c r="DJ276" i="1"/>
  <c r="DJ284" i="1"/>
  <c r="DJ292" i="1"/>
  <c r="DJ300" i="1"/>
  <c r="DJ308" i="1"/>
  <c r="DJ316" i="1"/>
  <c r="DJ324" i="1"/>
  <c r="DJ332" i="1"/>
  <c r="DJ340" i="1"/>
  <c r="DJ348" i="1"/>
  <c r="DJ356" i="1"/>
  <c r="DJ364" i="1"/>
  <c r="DJ372" i="1"/>
  <c r="DJ380" i="1"/>
  <c r="DJ388" i="1"/>
  <c r="DJ396" i="1"/>
  <c r="DJ404" i="1"/>
  <c r="DJ412" i="1"/>
  <c r="DJ420" i="1"/>
  <c r="DJ428" i="1"/>
  <c r="DJ436" i="1"/>
  <c r="DJ444" i="1"/>
  <c r="CS5" i="1"/>
  <c r="CS21" i="1"/>
  <c r="CS37" i="1"/>
  <c r="CS53" i="1"/>
  <c r="CS69" i="1"/>
  <c r="CS85" i="1"/>
  <c r="CS101" i="1"/>
  <c r="CS117" i="1"/>
  <c r="CS133" i="1"/>
  <c r="CS149" i="1"/>
  <c r="CS165" i="1"/>
  <c r="CS182" i="1"/>
  <c r="CS198" i="1"/>
  <c r="CS214" i="1"/>
  <c r="CS230" i="1"/>
  <c r="CS247" i="1"/>
  <c r="CS264" i="1"/>
  <c r="CS281" i="1"/>
  <c r="CS297" i="1"/>
  <c r="CS313" i="1"/>
  <c r="CS329" i="1"/>
  <c r="CS346" i="1"/>
  <c r="CS363" i="1"/>
  <c r="CS379" i="1"/>
  <c r="CS396" i="1"/>
  <c r="CS412" i="1"/>
  <c r="CS430" i="1"/>
  <c r="CS446" i="1"/>
  <c r="CS6" i="1"/>
  <c r="CS22" i="1"/>
  <c r="CS38" i="1"/>
  <c r="CS54" i="1"/>
  <c r="CS70" i="1"/>
  <c r="CS86" i="1"/>
  <c r="CS102" i="1"/>
  <c r="CS118" i="1"/>
  <c r="CS134" i="1"/>
  <c r="CS150" i="1"/>
  <c r="CS166" i="1"/>
  <c r="CS183" i="1"/>
  <c r="CS199" i="1"/>
  <c r="CS215" i="1"/>
  <c r="CS231" i="1"/>
  <c r="CS248" i="1"/>
  <c r="CS265" i="1"/>
  <c r="CS282" i="1"/>
  <c r="CS298" i="1"/>
  <c r="CS314" i="1"/>
  <c r="CS330" i="1"/>
  <c r="CS347" i="1"/>
  <c r="CS364" i="1"/>
  <c r="CS380" i="1"/>
  <c r="CS397" i="1"/>
  <c r="CS414" i="1"/>
  <c r="CS431" i="1"/>
  <c r="CS447" i="1"/>
  <c r="DJ5" i="1"/>
  <c r="DJ13" i="1"/>
  <c r="DJ21" i="1"/>
  <c r="DJ29" i="1"/>
  <c r="DJ37" i="1"/>
  <c r="DJ45" i="1"/>
  <c r="DJ53" i="1"/>
  <c r="DJ61" i="1"/>
  <c r="DJ69" i="1"/>
  <c r="DJ77" i="1"/>
  <c r="DJ85" i="1"/>
  <c r="DJ93" i="1"/>
  <c r="DJ101" i="1"/>
  <c r="DJ109" i="1"/>
  <c r="DJ117" i="1"/>
  <c r="DJ125" i="1"/>
  <c r="DJ133" i="1"/>
  <c r="DJ141" i="1"/>
  <c r="DJ149" i="1"/>
  <c r="DJ157" i="1"/>
  <c r="DJ165" i="1"/>
  <c r="DJ173" i="1"/>
  <c r="DJ181" i="1"/>
  <c r="DJ189" i="1"/>
  <c r="DJ197" i="1"/>
  <c r="DJ205" i="1"/>
  <c r="DJ213" i="1"/>
  <c r="DJ221" i="1"/>
  <c r="DJ229" i="1"/>
  <c r="DJ237" i="1"/>
  <c r="DJ245" i="1"/>
  <c r="DJ253" i="1"/>
  <c r="DJ261" i="1"/>
  <c r="DJ269" i="1"/>
  <c r="DJ277" i="1"/>
  <c r="DJ285" i="1"/>
  <c r="DJ293" i="1"/>
  <c r="DJ301" i="1"/>
  <c r="DJ309" i="1"/>
  <c r="DJ317" i="1"/>
  <c r="DJ325" i="1"/>
  <c r="DJ333" i="1"/>
  <c r="DJ341" i="1"/>
  <c r="DJ349" i="1"/>
  <c r="DJ357" i="1"/>
  <c r="DJ365" i="1"/>
  <c r="DJ373" i="1"/>
  <c r="DJ381" i="1"/>
  <c r="DJ389" i="1"/>
  <c r="DJ397" i="1"/>
  <c r="DJ405" i="1"/>
  <c r="DJ413" i="1"/>
  <c r="DJ421" i="1"/>
  <c r="DJ429" i="1"/>
  <c r="DJ437" i="1"/>
  <c r="DJ445" i="1"/>
  <c r="CS7" i="1"/>
  <c r="CS23" i="1"/>
  <c r="CS39" i="1"/>
  <c r="CS55" i="1"/>
  <c r="CS71" i="1"/>
  <c r="CS87" i="1"/>
  <c r="CS103" i="1"/>
  <c r="CS119" i="1"/>
  <c r="CS135" i="1"/>
  <c r="CS151" i="1"/>
  <c r="CS167" i="1"/>
  <c r="CS184" i="1"/>
  <c r="CS200" i="1"/>
  <c r="CS216" i="1"/>
  <c r="CS232" i="1"/>
  <c r="CS249" i="1"/>
  <c r="CS266" i="1"/>
  <c r="CS283" i="1"/>
  <c r="CS299" i="1"/>
  <c r="CS315" i="1"/>
  <c r="CS331" i="1"/>
  <c r="CS348" i="1"/>
  <c r="CS365" i="1"/>
  <c r="CS381" i="1"/>
  <c r="CS398" i="1"/>
  <c r="CS415" i="1"/>
  <c r="CS432" i="1"/>
  <c r="CS449" i="1"/>
  <c r="CS8" i="1"/>
  <c r="CS24" i="1"/>
  <c r="CS40" i="1"/>
  <c r="CS56" i="1"/>
  <c r="CS72" i="1"/>
  <c r="CS88" i="1"/>
  <c r="CS104" i="1"/>
  <c r="CS120" i="1"/>
  <c r="CS136" i="1"/>
  <c r="CS152" i="1"/>
  <c r="CS169" i="1"/>
  <c r="CS185" i="1"/>
  <c r="CS201" i="1"/>
  <c r="CS217" i="1"/>
  <c r="CS233" i="1"/>
  <c r="CS250" i="1"/>
  <c r="CS268" i="1"/>
  <c r="CS284" i="1"/>
  <c r="CS300" i="1"/>
  <c r="CS316" i="1"/>
  <c r="CS332" i="1"/>
  <c r="CS349" i="1"/>
  <c r="CS366" i="1"/>
  <c r="CS382" i="1"/>
  <c r="CS399" i="1"/>
  <c r="CS416" i="1"/>
  <c r="CS433" i="1"/>
  <c r="CS4" i="1"/>
  <c r="DJ6" i="1"/>
  <c r="DJ14" i="1"/>
  <c r="DJ22" i="1"/>
  <c r="DJ30" i="1"/>
  <c r="DJ38" i="1"/>
  <c r="DJ46" i="1"/>
  <c r="DJ54" i="1"/>
  <c r="DJ62" i="1"/>
  <c r="DJ70" i="1"/>
  <c r="DJ78" i="1"/>
  <c r="DJ86" i="1"/>
  <c r="DJ94" i="1"/>
  <c r="DJ102" i="1"/>
  <c r="DJ110" i="1"/>
  <c r="DJ118" i="1"/>
  <c r="DJ126" i="1"/>
  <c r="DJ134" i="1"/>
  <c r="DJ142" i="1"/>
  <c r="DJ150" i="1"/>
  <c r="DJ158" i="1"/>
  <c r="DJ166" i="1"/>
  <c r="DJ174" i="1"/>
  <c r="DJ182" i="1"/>
  <c r="DJ190" i="1"/>
  <c r="DJ198" i="1"/>
  <c r="DJ206" i="1"/>
  <c r="DJ214" i="1"/>
  <c r="DJ222" i="1"/>
  <c r="DJ230" i="1"/>
  <c r="DJ238" i="1"/>
  <c r="DJ246" i="1"/>
  <c r="DJ254" i="1"/>
  <c r="DJ262" i="1"/>
  <c r="DJ270" i="1"/>
  <c r="DJ278" i="1"/>
  <c r="DJ286" i="1"/>
  <c r="DJ294" i="1"/>
  <c r="DJ302" i="1"/>
  <c r="DJ310" i="1"/>
  <c r="DJ318" i="1"/>
  <c r="DJ326" i="1"/>
  <c r="DJ334" i="1"/>
  <c r="DJ342" i="1"/>
  <c r="DJ350" i="1"/>
  <c r="DJ358" i="1"/>
  <c r="DJ366" i="1"/>
  <c r="DJ374" i="1"/>
  <c r="DJ382" i="1"/>
  <c r="DJ390" i="1"/>
  <c r="DJ398" i="1"/>
  <c r="DJ406" i="1"/>
  <c r="DJ414" i="1"/>
  <c r="DJ422" i="1"/>
  <c r="DJ430" i="1"/>
  <c r="DJ438" i="1"/>
  <c r="DJ446" i="1"/>
  <c r="CS9" i="1"/>
  <c r="CS25" i="1"/>
  <c r="CS41" i="1"/>
  <c r="CS57" i="1"/>
  <c r="CS73" i="1"/>
  <c r="CS89" i="1"/>
  <c r="CS105" i="1"/>
  <c r="CS121" i="1"/>
  <c r="CS137" i="1"/>
  <c r="CS153" i="1"/>
  <c r="CS170" i="1"/>
  <c r="CS186" i="1"/>
  <c r="CS202" i="1"/>
  <c r="CS218" i="1"/>
  <c r="CS234" i="1"/>
  <c r="CS251" i="1"/>
  <c r="CS269" i="1"/>
  <c r="CS285" i="1"/>
  <c r="CS301" i="1"/>
  <c r="CS317" i="1"/>
  <c r="CS333" i="1"/>
  <c r="CS350" i="1"/>
  <c r="CS367" i="1"/>
  <c r="CS383" i="1"/>
  <c r="CS400" i="1"/>
  <c r="CS417" i="1"/>
  <c r="CS434" i="1"/>
  <c r="DJ7" i="1"/>
  <c r="DJ15" i="1"/>
  <c r="DJ23" i="1"/>
  <c r="DJ31" i="1"/>
  <c r="DJ39" i="1"/>
  <c r="DJ47" i="1"/>
  <c r="DJ55" i="1"/>
  <c r="DJ63" i="1"/>
  <c r="DJ71" i="1"/>
  <c r="DJ79" i="1"/>
  <c r="DJ87" i="1"/>
  <c r="DJ95" i="1"/>
  <c r="DJ103" i="1"/>
  <c r="DJ111" i="1"/>
  <c r="DJ119" i="1"/>
  <c r="DJ127" i="1"/>
  <c r="DJ135" i="1"/>
  <c r="DJ143" i="1"/>
  <c r="DJ151" i="1"/>
  <c r="DJ159" i="1"/>
  <c r="DJ167" i="1"/>
  <c r="DJ175" i="1"/>
  <c r="DJ183" i="1"/>
  <c r="DJ191" i="1"/>
  <c r="DJ199" i="1"/>
  <c r="DJ207" i="1"/>
  <c r="DJ215" i="1"/>
  <c r="DJ223" i="1"/>
  <c r="DJ231" i="1"/>
  <c r="DJ239" i="1"/>
  <c r="DJ367" i="1"/>
  <c r="DJ419" i="1"/>
  <c r="CS43" i="1"/>
  <c r="CS219" i="1"/>
  <c r="CS303" i="1"/>
  <c r="CS385" i="1"/>
  <c r="DJ311" i="1"/>
  <c r="DJ407" i="1"/>
  <c r="CS51" i="1"/>
  <c r="CS138" i="1"/>
  <c r="CS220" i="1"/>
  <c r="CS311" i="1"/>
  <c r="CS388" i="1"/>
  <c r="CS286" i="1"/>
  <c r="DJ379" i="1"/>
  <c r="CS122" i="1"/>
  <c r="CS444" i="1"/>
  <c r="DJ255" i="1"/>
  <c r="DJ395" i="1"/>
  <c r="CS58" i="1"/>
  <c r="CS139" i="1"/>
  <c r="CS228" i="1"/>
  <c r="CS318" i="1"/>
  <c r="CS394" i="1"/>
  <c r="DJ403" i="1"/>
  <c r="CS107" i="1"/>
  <c r="CS436" i="1"/>
  <c r="DJ327" i="1"/>
  <c r="DJ383" i="1"/>
  <c r="DJ447" i="1"/>
  <c r="CS59" i="1"/>
  <c r="CS147" i="1"/>
  <c r="CS235" i="1"/>
  <c r="CS319" i="1"/>
  <c r="CS401" i="1"/>
  <c r="CS204" i="1"/>
  <c r="DJ271" i="1"/>
  <c r="DJ435" i="1"/>
  <c r="CS67" i="1"/>
  <c r="CS154" i="1"/>
  <c r="CS236" i="1"/>
  <c r="CS327" i="1"/>
  <c r="CS402" i="1"/>
  <c r="DJ343" i="1"/>
  <c r="DJ423" i="1"/>
  <c r="CS74" i="1"/>
  <c r="CS155" i="1"/>
  <c r="CS245" i="1"/>
  <c r="CS334" i="1"/>
  <c r="CS405" i="1"/>
  <c r="CS35" i="1"/>
  <c r="DJ287" i="1"/>
  <c r="DJ411" i="1"/>
  <c r="CS75" i="1"/>
  <c r="CS163" i="1"/>
  <c r="CS252" i="1"/>
  <c r="CS335" i="1"/>
  <c r="CS410" i="1"/>
  <c r="CS369" i="1"/>
  <c r="DJ359" i="1"/>
  <c r="DJ399" i="1"/>
  <c r="CS83" i="1"/>
  <c r="CS171" i="1"/>
  <c r="CS254" i="1"/>
  <c r="CS344" i="1"/>
  <c r="CS418" i="1"/>
  <c r="DJ303" i="1"/>
  <c r="DJ387" i="1"/>
  <c r="CS90" i="1"/>
  <c r="CS172" i="1"/>
  <c r="CS262" i="1"/>
  <c r="CS351" i="1"/>
  <c r="CS419" i="1"/>
  <c r="DJ443" i="1"/>
  <c r="CS377" i="1"/>
  <c r="DJ247" i="1"/>
  <c r="DJ375" i="1"/>
  <c r="DJ439" i="1"/>
  <c r="CS10" i="1"/>
  <c r="CS91" i="1"/>
  <c r="CS180" i="1"/>
  <c r="CS270" i="1"/>
  <c r="CS352" i="1"/>
  <c r="CS423" i="1"/>
  <c r="DJ319" i="1"/>
  <c r="DJ427" i="1"/>
  <c r="CS11" i="1"/>
  <c r="CS99" i="1"/>
  <c r="CS187" i="1"/>
  <c r="CS271" i="1"/>
  <c r="CS361" i="1"/>
  <c r="CS428" i="1"/>
  <c r="CS26" i="1"/>
  <c r="CS295" i="1"/>
  <c r="DJ263" i="1"/>
  <c r="DJ415" i="1"/>
  <c r="CS19" i="1"/>
  <c r="CS106" i="1"/>
  <c r="CS188" i="1"/>
  <c r="CS279" i="1"/>
  <c r="CS368" i="1"/>
  <c r="CS435" i="1"/>
  <c r="DJ335" i="1"/>
  <c r="CS196" i="1"/>
  <c r="DJ351" i="1"/>
  <c r="DJ279" i="1"/>
  <c r="DJ391" i="1"/>
  <c r="CS27" i="1"/>
  <c r="CS115" i="1"/>
  <c r="CS203" i="1"/>
  <c r="CS287" i="1"/>
  <c r="CS372" i="1"/>
  <c r="CS439" i="1"/>
  <c r="DJ295" i="1"/>
  <c r="DJ431" i="1"/>
  <c r="CS42" i="1"/>
  <c r="CS123" i="1"/>
  <c r="CS212" i="1"/>
  <c r="CS302" i="1"/>
  <c r="CS384" i="1"/>
  <c r="CS448" i="1"/>
  <c r="CS189" i="1"/>
  <c r="CS62" i="1"/>
  <c r="CS158" i="1"/>
  <c r="CS111" i="1"/>
  <c r="CS131" i="1"/>
  <c r="CS267" i="1"/>
  <c r="CS420" i="1"/>
  <c r="CS413" i="1"/>
  <c r="CS390" i="1"/>
  <c r="CS360" i="1"/>
  <c r="CS339" i="1"/>
  <c r="CS238" i="1"/>
  <c r="CT414" i="1"/>
  <c r="CT176" i="1"/>
  <c r="CT424" i="1"/>
  <c r="CT166" i="1"/>
  <c r="CS168" i="1"/>
  <c r="BK450" i="1"/>
  <c r="BI450" i="1"/>
  <c r="BV448" i="1"/>
  <c r="BY448" i="1" s="1"/>
  <c r="BV450" i="1"/>
  <c r="BY450" i="1" s="1"/>
  <c r="BO450" i="1"/>
  <c r="BT448" i="1"/>
  <c r="BT450" i="1"/>
  <c r="BO449" i="1"/>
  <c r="CT231" i="1"/>
  <c r="CT315" i="1"/>
  <c r="CT221" i="1"/>
  <c r="CT364" i="1"/>
  <c r="AU236" i="1"/>
  <c r="CT236" i="1"/>
  <c r="CT219" i="1"/>
  <c r="AW50" i="1"/>
  <c r="CT50" i="1"/>
  <c r="CT332" i="1"/>
  <c r="Z253" i="1"/>
  <c r="CS253" i="1"/>
  <c r="CT372" i="1"/>
  <c r="BO447" i="1"/>
  <c r="Q447" i="1" s="1"/>
  <c r="BO448" i="1"/>
  <c r="BI446" i="1"/>
  <c r="BV446" i="1"/>
  <c r="BY446" i="1" s="1"/>
  <c r="BO446" i="1"/>
  <c r="BT446" i="1"/>
  <c r="BV445" i="1"/>
  <c r="BY445" i="1" s="1"/>
  <c r="BO445" i="1"/>
  <c r="BT445" i="1"/>
  <c r="BO444" i="1"/>
  <c r="BI444" i="1"/>
  <c r="BK443" i="1"/>
  <c r="BT444" i="1"/>
  <c r="BI443" i="1"/>
  <c r="CW444" i="1"/>
  <c r="CY444" i="1" s="1"/>
  <c r="BV443" i="1"/>
  <c r="BY443" i="1" s="1"/>
  <c r="CX444" i="1"/>
  <c r="BT443" i="1"/>
  <c r="BX443" i="1" s="1"/>
  <c r="BV444" i="1"/>
  <c r="BY444" i="1" s="1"/>
  <c r="BO443" i="1"/>
  <c r="BI440" i="1"/>
  <c r="BI441" i="1"/>
  <c r="BK440" i="1"/>
  <c r="BK441" i="1"/>
  <c r="BO440" i="1"/>
  <c r="BO442" i="1"/>
  <c r="BV442" i="1"/>
  <c r="BY442" i="1" s="1"/>
  <c r="BO438" i="1"/>
  <c r="Q438" i="1" s="1"/>
  <c r="BO441" i="1"/>
  <c r="BV440" i="1"/>
  <c r="BY440" i="1" s="1"/>
  <c r="BV441" i="1"/>
  <c r="BY441" i="1" s="1"/>
  <c r="BT440" i="1"/>
  <c r="BT442" i="1"/>
  <c r="AW14" i="1"/>
  <c r="AW139" i="1"/>
  <c r="FM28" i="1"/>
  <c r="CT576" i="1" s="1"/>
  <c r="AE576" i="1" s="1"/>
  <c r="AW44" i="1"/>
  <c r="AW164" i="1"/>
  <c r="BT185" i="1"/>
  <c r="BV437" i="1"/>
  <c r="BY437" i="1" s="1"/>
  <c r="BO439" i="1"/>
  <c r="Q439" i="1" s="1"/>
  <c r="BO437" i="1"/>
  <c r="BT437" i="1"/>
  <c r="Z64" i="1"/>
  <c r="AG64" i="1"/>
  <c r="Z41" i="1"/>
  <c r="AG41" i="1"/>
  <c r="Z357" i="1"/>
  <c r="AG357" i="1"/>
  <c r="Z12" i="1"/>
  <c r="AG12" i="1"/>
  <c r="Z72" i="1"/>
  <c r="AG72" i="1"/>
  <c r="Z210" i="1"/>
  <c r="AG210" i="1"/>
  <c r="Z100" i="1"/>
  <c r="AG100" i="1"/>
  <c r="Z14" i="1"/>
  <c r="AG14" i="1"/>
  <c r="Z303" i="1"/>
  <c r="AG303" i="1"/>
  <c r="Z107" i="1"/>
  <c r="AG107" i="1"/>
  <c r="Z410" i="1"/>
  <c r="AG410" i="1"/>
  <c r="Z59" i="1"/>
  <c r="AG59" i="1"/>
  <c r="Z325" i="1"/>
  <c r="AG325" i="1"/>
  <c r="Z141" i="1"/>
  <c r="AG141" i="1"/>
  <c r="Z377" i="1"/>
  <c r="AG377" i="1"/>
  <c r="Z255" i="1"/>
  <c r="AG255" i="1"/>
  <c r="Z180" i="1"/>
  <c r="AG180" i="1"/>
  <c r="Z328" i="1"/>
  <c r="AG328" i="1"/>
  <c r="Z380" i="1"/>
  <c r="AG380" i="1"/>
  <c r="Z283" i="1"/>
  <c r="AG283" i="1"/>
  <c r="Z69" i="1"/>
  <c r="AG69" i="1"/>
  <c r="Z192" i="1"/>
  <c r="AG192" i="1"/>
  <c r="Z384" i="1"/>
  <c r="AG384" i="1"/>
  <c r="Z416" i="1"/>
  <c r="AG416" i="1"/>
  <c r="Z204" i="1"/>
  <c r="AG204" i="1"/>
  <c r="Z121" i="1"/>
  <c r="AG121" i="1"/>
  <c r="Z92" i="1"/>
  <c r="AG92" i="1"/>
  <c r="Z138" i="1"/>
  <c r="AG138" i="1"/>
  <c r="Z97" i="1"/>
  <c r="AG97" i="1"/>
  <c r="Z257" i="1"/>
  <c r="AG257" i="1"/>
  <c r="Z418" i="1"/>
  <c r="AG418" i="1"/>
  <c r="Z305" i="1"/>
  <c r="AG305" i="1"/>
  <c r="Z28" i="1"/>
  <c r="AG28" i="1"/>
  <c r="Z80" i="1"/>
  <c r="AG80" i="1"/>
  <c r="Z423" i="1"/>
  <c r="AG423" i="1"/>
  <c r="Z212" i="1"/>
  <c r="AG212" i="1"/>
  <c r="Z156" i="1"/>
  <c r="AG156" i="1"/>
  <c r="Z240" i="1"/>
  <c r="AG240" i="1"/>
  <c r="Z75" i="1"/>
  <c r="AG75" i="1"/>
  <c r="Z336" i="1"/>
  <c r="AG336" i="1"/>
  <c r="Z350" i="1"/>
  <c r="AG350" i="1"/>
  <c r="Z78" i="1"/>
  <c r="AG78" i="1"/>
  <c r="Z61" i="1"/>
  <c r="AG61" i="1"/>
  <c r="Z230" i="1"/>
  <c r="AG230" i="1"/>
  <c r="Z123" i="1"/>
  <c r="AG123" i="1"/>
  <c r="Z227" i="1"/>
  <c r="AG227" i="1"/>
  <c r="Z208" i="1"/>
  <c r="AG208" i="1"/>
  <c r="Z386" i="1"/>
  <c r="AG386" i="1"/>
  <c r="Z184" i="1"/>
  <c r="AG184" i="1"/>
  <c r="Z226" i="1"/>
  <c r="AG226" i="1"/>
  <c r="Z154" i="1"/>
  <c r="AG154" i="1"/>
  <c r="Z11" i="1"/>
  <c r="AG11" i="1"/>
  <c r="Z165" i="1"/>
  <c r="AG165" i="1"/>
  <c r="Z311" i="1"/>
  <c r="AG311" i="1"/>
  <c r="Z25" i="1"/>
  <c r="AG25" i="1"/>
  <c r="U137" i="1"/>
  <c r="BK465" i="1"/>
  <c r="BK487" i="1"/>
  <c r="EE350" i="1"/>
  <c r="BK492" i="1"/>
  <c r="CQ469" i="1" l="1"/>
  <c r="CV469" i="1" s="1"/>
  <c r="DZ469" i="1"/>
  <c r="ED469" i="1" s="1"/>
  <c r="CP320" i="1"/>
  <c r="CU320" i="1" s="1"/>
  <c r="CQ433" i="1"/>
  <c r="CV433" i="1" s="1"/>
  <c r="CQ431" i="1"/>
  <c r="CV431" i="1" s="1"/>
  <c r="EB539" i="1"/>
  <c r="AE539" i="1" s="1"/>
  <c r="EB567" i="1"/>
  <c r="AE567" i="1" s="1"/>
  <c r="CT535" i="1"/>
  <c r="EB535" i="1"/>
  <c r="EB528" i="1"/>
  <c r="AE528" i="1" s="1"/>
  <c r="EB533" i="1"/>
  <c r="AE533" i="1" s="1"/>
  <c r="CT520" i="1"/>
  <c r="CT524" i="1"/>
  <c r="AE524" i="1" s="1"/>
  <c r="EB520" i="1"/>
  <c r="CT512" i="1"/>
  <c r="EB512" i="1"/>
  <c r="ED470" i="1"/>
  <c r="ED467" i="1"/>
  <c r="EB408" i="1"/>
  <c r="EB356" i="1"/>
  <c r="EB313" i="1"/>
  <c r="EB448" i="1"/>
  <c r="EB442" i="1"/>
  <c r="EB340" i="1"/>
  <c r="EB296" i="1"/>
  <c r="EB321" i="1"/>
  <c r="EB491" i="1"/>
  <c r="EB424" i="1"/>
  <c r="EB361" i="1"/>
  <c r="EB338" i="1"/>
  <c r="EB294" i="1"/>
  <c r="EB193" i="1"/>
  <c r="EB214" i="1"/>
  <c r="EB135" i="1"/>
  <c r="EB101" i="1"/>
  <c r="EB160" i="1"/>
  <c r="EB195" i="1"/>
  <c r="EB147" i="1"/>
  <c r="EB286" i="1"/>
  <c r="EB293" i="1"/>
  <c r="EB53" i="1"/>
  <c r="EB219" i="1"/>
  <c r="EB207" i="1"/>
  <c r="EB211" i="1"/>
  <c r="EB157" i="1"/>
  <c r="EB5" i="1"/>
  <c r="EB50" i="1"/>
  <c r="EB242" i="1"/>
  <c r="EB128" i="1"/>
  <c r="EB111" i="1"/>
  <c r="EB221" i="1"/>
  <c r="EB19" i="1"/>
  <c r="U467" i="1"/>
  <c r="EC467" i="1"/>
  <c r="EE467" i="1" s="1"/>
  <c r="BY476" i="1"/>
  <c r="AX486" i="1"/>
  <c r="EE455" i="1"/>
  <c r="BY479" i="1"/>
  <c r="EE441" i="1"/>
  <c r="EE432" i="1"/>
  <c r="EE310" i="1"/>
  <c r="CY479" i="1"/>
  <c r="EE353" i="1"/>
  <c r="AX497" i="1"/>
  <c r="AX496" i="1"/>
  <c r="EE278" i="1"/>
  <c r="AX480" i="1"/>
  <c r="AX479" i="1"/>
  <c r="EE447" i="1"/>
  <c r="EE279" i="1"/>
  <c r="EE324" i="1"/>
  <c r="CG481" i="1"/>
  <c r="EE329" i="1"/>
  <c r="EE263" i="1"/>
  <c r="BY503" i="1"/>
  <c r="EE18" i="1"/>
  <c r="EE258" i="1"/>
  <c r="EE460" i="1"/>
  <c r="AX484" i="1"/>
  <c r="AX474" i="1"/>
  <c r="AX473" i="1"/>
  <c r="BY477" i="1"/>
  <c r="AX488" i="1"/>
  <c r="AX487" i="1"/>
  <c r="EE243" i="1"/>
  <c r="BY494" i="1"/>
  <c r="EE434" i="1"/>
  <c r="EE369" i="1"/>
  <c r="EE380" i="1"/>
  <c r="EE410" i="1"/>
  <c r="AX477" i="1"/>
  <c r="EE328" i="1"/>
  <c r="EE429" i="1"/>
  <c r="AX495" i="1"/>
  <c r="AX502" i="1"/>
  <c r="EE35" i="1"/>
  <c r="AX485" i="1"/>
  <c r="EE108" i="1"/>
  <c r="EE259" i="1"/>
  <c r="AX494" i="1"/>
  <c r="EE341" i="1"/>
  <c r="EE506" i="1"/>
  <c r="AX504" i="1"/>
  <c r="AX503" i="1"/>
  <c r="EE176" i="1"/>
  <c r="EE203" i="1"/>
  <c r="EE337" i="1"/>
  <c r="EE217" i="1"/>
  <c r="AE535" i="1" l="1"/>
  <c r="AE520" i="1"/>
  <c r="AY503" i="1"/>
  <c r="V503" i="1" s="1"/>
  <c r="AJ503" i="1" s="1"/>
  <c r="AE512" i="1"/>
  <c r="AY502" i="1"/>
  <c r="AY504" i="1"/>
  <c r="AD502" i="1"/>
  <c r="AE502" i="1" s="1"/>
  <c r="Y505" i="1"/>
  <c r="Y506" i="1"/>
  <c r="AY473" i="1"/>
  <c r="AY495" i="1"/>
  <c r="AY480" i="1"/>
  <c r="AY479" i="1"/>
  <c r="AY474" i="1"/>
  <c r="AY496" i="1"/>
  <c r="AY484" i="1"/>
  <c r="AY477" i="1"/>
  <c r="AY487" i="1"/>
  <c r="AY486" i="1"/>
  <c r="AY488" i="1"/>
  <c r="AY494" i="1"/>
  <c r="AY485" i="1"/>
  <c r="AY497" i="1"/>
  <c r="EE141" i="1"/>
  <c r="BX479" i="1"/>
  <c r="BX494" i="1"/>
  <c r="AX501" i="1"/>
  <c r="EE439" i="1"/>
  <c r="AX483" i="1"/>
  <c r="AX476" i="1"/>
  <c r="EE468" i="1"/>
  <c r="CY475" i="1"/>
  <c r="EE409" i="1"/>
  <c r="AX500" i="1"/>
  <c r="EE471" i="1"/>
  <c r="EE463" i="1"/>
  <c r="EE188" i="1"/>
  <c r="AX499" i="1"/>
  <c r="AX481" i="1"/>
  <c r="EE349" i="1"/>
  <c r="CY495" i="1"/>
  <c r="EE167" i="1"/>
  <c r="CY494" i="1"/>
  <c r="CX506" i="1"/>
  <c r="AX493" i="1"/>
  <c r="BX476" i="1"/>
  <c r="EE184" i="1"/>
  <c r="AX498" i="1"/>
  <c r="EE311" i="1"/>
  <c r="AX478" i="1"/>
  <c r="EE376" i="1"/>
  <c r="EE163" i="1"/>
  <c r="EE327" i="1"/>
  <c r="BX477" i="1"/>
  <c r="EE291" i="1"/>
  <c r="AY483" i="1" l="1"/>
  <c r="AY501" i="1"/>
  <c r="V506" i="1"/>
  <c r="AJ506" i="1" s="1"/>
  <c r="AK506" i="1" s="1"/>
  <c r="AD501" i="1"/>
  <c r="AE501" i="1" s="1"/>
  <c r="AD499" i="1"/>
  <c r="AE499" i="1" s="1"/>
  <c r="BX502" i="1"/>
  <c r="V502" i="1" s="1"/>
  <c r="AB502" i="1"/>
  <c r="Q504" i="1"/>
  <c r="BY502" i="1"/>
  <c r="AA502" i="1" s="1"/>
  <c r="W502" i="1"/>
  <c r="Q502" i="1"/>
  <c r="BX501" i="1"/>
  <c r="AB501" i="1"/>
  <c r="AD503" i="1"/>
  <c r="AE503" i="1" s="1"/>
  <c r="Q501" i="1"/>
  <c r="CX501" i="1"/>
  <c r="AD504" i="1"/>
  <c r="AE504" i="1" s="1"/>
  <c r="W501" i="1"/>
  <c r="AA501" i="1"/>
  <c r="W503" i="1"/>
  <c r="AA503" i="1"/>
  <c r="AB503" i="1"/>
  <c r="AD500" i="1"/>
  <c r="AE500" i="1" s="1"/>
  <c r="CX504" i="1"/>
  <c r="V504" i="1" s="1"/>
  <c r="AB504" i="1"/>
  <c r="W504" i="1"/>
  <c r="AA504" i="1"/>
  <c r="Q499" i="1"/>
  <c r="Q500" i="1"/>
  <c r="AY499" i="1"/>
  <c r="AY500" i="1"/>
  <c r="BX499" i="1"/>
  <c r="AB499" i="1"/>
  <c r="W499" i="1"/>
  <c r="AA499" i="1"/>
  <c r="W500" i="1"/>
  <c r="AA500" i="1"/>
  <c r="BX500" i="1"/>
  <c r="AB500" i="1"/>
  <c r="AD497" i="1"/>
  <c r="AE497" i="1" s="1"/>
  <c r="Z460" i="1"/>
  <c r="AD495" i="1"/>
  <c r="AE495" i="1" s="1"/>
  <c r="U451" i="1"/>
  <c r="AD496" i="1"/>
  <c r="AE496" i="1" s="1"/>
  <c r="AD494" i="1"/>
  <c r="AE494" i="1" s="1"/>
  <c r="AD493" i="1"/>
  <c r="AE493" i="1" s="1"/>
  <c r="AD498" i="1"/>
  <c r="AE498" i="1" s="1"/>
  <c r="EC320" i="1"/>
  <c r="EE320" i="1" s="1"/>
  <c r="AY481" i="1"/>
  <c r="AY498" i="1"/>
  <c r="AY493" i="1"/>
  <c r="AY476" i="1"/>
  <c r="BK471" i="1"/>
  <c r="AI503" i="1" l="1"/>
  <c r="AK503" i="1" s="1"/>
  <c r="V501" i="1"/>
  <c r="Y502" i="1"/>
  <c r="Y503" i="1"/>
  <c r="Y501" i="1"/>
  <c r="Y504" i="1"/>
  <c r="Y500" i="1"/>
  <c r="Y499" i="1"/>
  <c r="V500" i="1"/>
  <c r="V499" i="1"/>
  <c r="Q495" i="1"/>
  <c r="Q497" i="1"/>
  <c r="Q496" i="1"/>
  <c r="Q493" i="1"/>
  <c r="BX497" i="1"/>
  <c r="V497" i="1" s="1"/>
  <c r="AJ497" i="1" s="1"/>
  <c r="AB497" i="1"/>
  <c r="BX493" i="1"/>
  <c r="V493" i="1" s="1"/>
  <c r="AB493" i="1"/>
  <c r="W497" i="1"/>
  <c r="AA497" i="1"/>
  <c r="AB496" i="1"/>
  <c r="W496" i="1"/>
  <c r="AA496" i="1"/>
  <c r="V496" i="1"/>
  <c r="BX498" i="1"/>
  <c r="V498" i="1" s="1"/>
  <c r="AB498" i="1"/>
  <c r="BX495" i="1"/>
  <c r="AB495" i="1"/>
  <c r="W493" i="1"/>
  <c r="AA493" i="1"/>
  <c r="Q498" i="1"/>
  <c r="W498" i="1"/>
  <c r="AA498" i="1"/>
  <c r="AB494" i="1"/>
  <c r="W494" i="1"/>
  <c r="AI494" i="1" s="1"/>
  <c r="AA494" i="1"/>
  <c r="W495" i="1"/>
  <c r="AA495" i="1"/>
  <c r="AD490" i="1"/>
  <c r="AE490" i="1" s="1"/>
  <c r="Q490" i="1"/>
  <c r="AD489" i="1"/>
  <c r="AE489" i="1" s="1"/>
  <c r="AD492" i="1"/>
  <c r="AE492" i="1" s="1"/>
  <c r="AD491" i="1"/>
  <c r="AE491" i="1" s="1"/>
  <c r="BX489" i="1"/>
  <c r="AB489" i="1"/>
  <c r="W489" i="1"/>
  <c r="Q491" i="1"/>
  <c r="BX491" i="1"/>
  <c r="AB491" i="1"/>
  <c r="W490" i="1"/>
  <c r="Q489" i="1"/>
  <c r="BX490" i="1"/>
  <c r="AB490" i="1"/>
  <c r="W491" i="1"/>
  <c r="AY478" i="1"/>
  <c r="AX491" i="1"/>
  <c r="CX491" i="1"/>
  <c r="CH481" i="1"/>
  <c r="AX490" i="1"/>
  <c r="CY491" i="1"/>
  <c r="CX475" i="1"/>
  <c r="AX489" i="1"/>
  <c r="AX482" i="1"/>
  <c r="AI497" i="1" l="1"/>
  <c r="AK497" i="1" s="1"/>
  <c r="AI495" i="1"/>
  <c r="AA490" i="1"/>
  <c r="Y490" i="1" s="1"/>
  <c r="AY490" i="1"/>
  <c r="V490" i="1" s="1"/>
  <c r="AA491" i="1"/>
  <c r="Y491" i="1" s="1"/>
  <c r="AY491" i="1"/>
  <c r="V491" i="1" s="1"/>
  <c r="AY489" i="1"/>
  <c r="V489" i="1" s="1"/>
  <c r="AA489" i="1"/>
  <c r="Y489" i="1" s="1"/>
  <c r="Y495" i="1"/>
  <c r="Y493" i="1"/>
  <c r="Y497" i="1"/>
  <c r="Y496" i="1"/>
  <c r="Y498" i="1"/>
  <c r="Y494" i="1"/>
  <c r="AD487" i="1"/>
  <c r="AE487" i="1" s="1"/>
  <c r="AD484" i="1"/>
  <c r="AE484" i="1" s="1"/>
  <c r="Q483" i="1"/>
  <c r="Q487" i="1"/>
  <c r="Q485" i="1"/>
  <c r="BX487" i="1"/>
  <c r="V487" i="1" s="1"/>
  <c r="AJ487" i="1" s="1"/>
  <c r="AB487" i="1"/>
  <c r="Q484" i="1"/>
  <c r="W487" i="1"/>
  <c r="AA487" i="1"/>
  <c r="AD483" i="1"/>
  <c r="AE483" i="1" s="1"/>
  <c r="Q486" i="1"/>
  <c r="AA488" i="1"/>
  <c r="W488" i="1"/>
  <c r="AD486" i="1"/>
  <c r="AE486" i="1" s="1"/>
  <c r="W486" i="1"/>
  <c r="AA486" i="1"/>
  <c r="BX486" i="1"/>
  <c r="V486" i="1" s="1"/>
  <c r="AB486" i="1"/>
  <c r="BX483" i="1"/>
  <c r="V483" i="1" s="1"/>
  <c r="AB483" i="1"/>
  <c r="AD488" i="1"/>
  <c r="AE488" i="1" s="1"/>
  <c r="BX485" i="1"/>
  <c r="V485" i="1" s="1"/>
  <c r="AB485" i="1"/>
  <c r="AA484" i="1"/>
  <c r="W484" i="1"/>
  <c r="BX484" i="1"/>
  <c r="V484" i="1" s="1"/>
  <c r="AB484" i="1"/>
  <c r="BX488" i="1"/>
  <c r="V488" i="1" s="1"/>
  <c r="AB488" i="1"/>
  <c r="Q488" i="1"/>
  <c r="W485" i="1"/>
  <c r="AA485" i="1"/>
  <c r="W483" i="1"/>
  <c r="AA483" i="1"/>
  <c r="AD485" i="1"/>
  <c r="AE485" i="1" s="1"/>
  <c r="AD482" i="1"/>
  <c r="AE482" i="1" s="1"/>
  <c r="AY482" i="1"/>
  <c r="Q482" i="1"/>
  <c r="BX482" i="1"/>
  <c r="AB482" i="1"/>
  <c r="W482" i="1"/>
  <c r="AA482" i="1"/>
  <c r="W480" i="1"/>
  <c r="Q481" i="1"/>
  <c r="AD480" i="1"/>
  <c r="W481" i="1"/>
  <c r="AA481" i="1"/>
  <c r="Q480" i="1"/>
  <c r="AD481" i="1"/>
  <c r="AE481" i="1" s="1"/>
  <c r="CT476" i="1"/>
  <c r="CT480" i="1"/>
  <c r="AA480" i="1"/>
  <c r="BX481" i="1"/>
  <c r="V481" i="1" s="1"/>
  <c r="AB481" i="1"/>
  <c r="BX480" i="1"/>
  <c r="V480" i="1" s="1"/>
  <c r="AB480" i="1"/>
  <c r="Q468" i="1"/>
  <c r="AD477" i="1"/>
  <c r="AE477" i="1" s="1"/>
  <c r="Q478" i="1"/>
  <c r="Q477" i="1"/>
  <c r="V477" i="1"/>
  <c r="W477" i="1"/>
  <c r="AA477" i="1"/>
  <c r="AB477" i="1"/>
  <c r="BX478" i="1"/>
  <c r="V478" i="1" s="1"/>
  <c r="AB478" i="1"/>
  <c r="AA478" i="1"/>
  <c r="W478" i="1"/>
  <c r="AD478" i="1"/>
  <c r="AE478" i="1" s="1"/>
  <c r="AD473" i="1"/>
  <c r="AE473" i="1" s="1"/>
  <c r="AD469" i="1"/>
  <c r="AE469" i="1" s="1"/>
  <c r="AD470" i="1"/>
  <c r="AE470" i="1" s="1"/>
  <c r="Q472" i="1"/>
  <c r="AD474" i="1"/>
  <c r="AE474" i="1" s="1"/>
  <c r="BX473" i="1"/>
  <c r="V473" i="1" s="1"/>
  <c r="AB473" i="1"/>
  <c r="V476" i="1"/>
  <c r="AJ476" i="1" s="1"/>
  <c r="AD476" i="1"/>
  <c r="W479" i="1"/>
  <c r="AB479" i="1"/>
  <c r="AA479" i="1"/>
  <c r="AD475" i="1"/>
  <c r="AE475" i="1" s="1"/>
  <c r="W474" i="1"/>
  <c r="AA474" i="1"/>
  <c r="AD479" i="1"/>
  <c r="AE479" i="1" s="1"/>
  <c r="W475" i="1"/>
  <c r="W476" i="1"/>
  <c r="AI476" i="1" s="1"/>
  <c r="AA476" i="1"/>
  <c r="AB476" i="1"/>
  <c r="W473" i="1"/>
  <c r="AA473" i="1"/>
  <c r="BX475" i="1"/>
  <c r="AB475" i="1"/>
  <c r="AD472" i="1"/>
  <c r="AE472" i="1" s="1"/>
  <c r="Q474" i="1"/>
  <c r="AD471" i="1"/>
  <c r="AE471" i="1" s="1"/>
  <c r="Q475" i="1"/>
  <c r="Q473" i="1"/>
  <c r="BX474" i="1"/>
  <c r="V474" i="1" s="1"/>
  <c r="AB474" i="1"/>
  <c r="CX494" i="1"/>
  <c r="AX475" i="1"/>
  <c r="CX495" i="1"/>
  <c r="V494" i="1" l="1"/>
  <c r="AJ494" i="1" s="1"/>
  <c r="AK494" i="1" s="1"/>
  <c r="V495" i="1"/>
  <c r="AJ495" i="1" s="1"/>
  <c r="BX455" i="1"/>
  <c r="AA475" i="1" l="1"/>
  <c r="AY475" i="1"/>
  <c r="AX463" i="1"/>
  <c r="AX464" i="1"/>
  <c r="AX442" i="1"/>
  <c r="AX468" i="1"/>
  <c r="AX465" i="1"/>
  <c r="AX467" i="1"/>
  <c r="AX466" i="1"/>
  <c r="CY449" i="1"/>
  <c r="AI487" i="1" l="1"/>
  <c r="AK487" i="1" s="1"/>
  <c r="AK495" i="1"/>
  <c r="V475" i="1"/>
  <c r="Y487" i="1"/>
  <c r="Y485" i="1"/>
  <c r="Y486" i="1"/>
  <c r="Y483" i="1"/>
  <c r="Y484" i="1"/>
  <c r="Y488" i="1"/>
  <c r="AE480" i="1"/>
  <c r="V482" i="1"/>
  <c r="Y481" i="1"/>
  <c r="AY466" i="1"/>
  <c r="AY463" i="1"/>
  <c r="AY468" i="1"/>
  <c r="AY465" i="1"/>
  <c r="Y482" i="1"/>
  <c r="Y480" i="1"/>
  <c r="AE476" i="1"/>
  <c r="Y478" i="1"/>
  <c r="Y477" i="1"/>
  <c r="Y476" i="1"/>
  <c r="Y475" i="1"/>
  <c r="Y473" i="1"/>
  <c r="Y474" i="1"/>
  <c r="Y479" i="1"/>
  <c r="AK476" i="1"/>
  <c r="BH468" i="1"/>
  <c r="AG468" i="1"/>
  <c r="BH469" i="1"/>
  <c r="BH470" i="1"/>
  <c r="BH471" i="1"/>
  <c r="AH456" i="1"/>
  <c r="Z438" i="1"/>
  <c r="U438" i="1"/>
  <c r="Z471" i="1"/>
  <c r="U471" i="1"/>
  <c r="Z472" i="1"/>
  <c r="U472" i="1"/>
  <c r="Q470" i="1"/>
  <c r="U443" i="1"/>
  <c r="U456" i="1"/>
  <c r="Z456" i="1"/>
  <c r="CX469" i="1"/>
  <c r="Z469" i="1"/>
  <c r="U469" i="1"/>
  <c r="Z468" i="1"/>
  <c r="U468" i="1"/>
  <c r="AH471" i="1"/>
  <c r="AY464" i="1"/>
  <c r="BK470" i="1"/>
  <c r="AH468" i="1" l="1"/>
  <c r="Q469" i="1"/>
  <c r="AB472" i="1"/>
  <c r="W472" i="1"/>
  <c r="BX470" i="1"/>
  <c r="AB470" i="1"/>
  <c r="W470" i="1"/>
  <c r="W471" i="1"/>
  <c r="AB471" i="1"/>
  <c r="Q471" i="1"/>
  <c r="BX469" i="1"/>
  <c r="AB469" i="1"/>
  <c r="W469" i="1"/>
  <c r="AB457" i="1"/>
  <c r="AD457" i="1"/>
  <c r="AE457" i="1" s="1"/>
  <c r="W457" i="1"/>
  <c r="Q457" i="1"/>
  <c r="AY467" i="1"/>
  <c r="BH464" i="1"/>
  <c r="BH467" i="1"/>
  <c r="AH441" i="1"/>
  <c r="Z441" i="1"/>
  <c r="U441" i="1"/>
  <c r="CX441" i="1"/>
  <c r="U453" i="1"/>
  <c r="Z453" i="1"/>
  <c r="Z464" i="1"/>
  <c r="CX464" i="1"/>
  <c r="U464" i="1"/>
  <c r="U439" i="1"/>
  <c r="Z439" i="1"/>
  <c r="U460" i="1"/>
  <c r="AH460" i="1"/>
  <c r="U463" i="1"/>
  <c r="AH463" i="1"/>
  <c r="U455" i="1"/>
  <c r="Z455" i="1"/>
  <c r="AH447" i="1"/>
  <c r="AH439" i="1"/>
  <c r="AH455" i="1"/>
  <c r="Z447" i="1"/>
  <c r="U447" i="1"/>
  <c r="AD467" i="1"/>
  <c r="AE467" i="1" s="1"/>
  <c r="BX467" i="1"/>
  <c r="AB467" i="1"/>
  <c r="Q467" i="1"/>
  <c r="W467" i="1"/>
  <c r="AA467" i="1"/>
  <c r="AD468" i="1"/>
  <c r="AE468" i="1" s="1"/>
  <c r="AB468" i="1"/>
  <c r="W468" i="1"/>
  <c r="Q466" i="1"/>
  <c r="BX464" i="1"/>
  <c r="W466" i="1"/>
  <c r="AA466" i="1"/>
  <c r="W464" i="1"/>
  <c r="AA464" i="1"/>
  <c r="BX466" i="1"/>
  <c r="V466" i="1" s="1"/>
  <c r="AB466" i="1"/>
  <c r="AD466" i="1"/>
  <c r="AE466" i="1" s="1"/>
  <c r="AD464" i="1"/>
  <c r="AE464" i="1" s="1"/>
  <c r="AD465" i="1"/>
  <c r="AE465" i="1" s="1"/>
  <c r="Q463" i="1"/>
  <c r="Q465" i="1"/>
  <c r="AD463" i="1"/>
  <c r="AE463" i="1" s="1"/>
  <c r="BX465" i="1"/>
  <c r="V465" i="1" s="1"/>
  <c r="AB465" i="1"/>
  <c r="BX463" i="1"/>
  <c r="AB463" i="1"/>
  <c r="W463" i="1"/>
  <c r="AA463" i="1"/>
  <c r="W465" i="1"/>
  <c r="AA465" i="1"/>
  <c r="AZ229" i="1"/>
  <c r="BG229" i="1" s="1" a="1"/>
  <c r="BG229" i="1" s="1"/>
  <c r="FB11" i="1"/>
  <c r="AZ444" i="1"/>
  <c r="BG444" i="1" s="1" a="1"/>
  <c r="BG444" i="1" s="1"/>
  <c r="AZ456" i="1"/>
  <c r="BG456" i="1" s="1" a="1"/>
  <c r="BG456" i="1" s="1"/>
  <c r="AZ453" i="1"/>
  <c r="BG453" i="1" s="1" a="1"/>
  <c r="BG453" i="1" s="1"/>
  <c r="AZ449" i="1"/>
  <c r="BG449" i="1" s="1" a="1"/>
  <c r="BG449" i="1" s="1"/>
  <c r="AZ439" i="1"/>
  <c r="BG439" i="1" s="1" a="1"/>
  <c r="BG439" i="1" s="1"/>
  <c r="AZ462" i="1"/>
  <c r="BG462" i="1" s="1" a="1"/>
  <c r="BG462" i="1" s="1"/>
  <c r="AZ454" i="1"/>
  <c r="BG454" i="1" s="1" a="1"/>
  <c r="BG454" i="1" s="1"/>
  <c r="AZ446" i="1"/>
  <c r="BG446" i="1" s="1" a="1"/>
  <c r="BG446" i="1" s="1"/>
  <c r="AZ452" i="1"/>
  <c r="BG452" i="1" s="1" a="1"/>
  <c r="BG452" i="1" s="1"/>
  <c r="AZ443" i="1"/>
  <c r="BG443" i="1" s="1" a="1"/>
  <c r="BG443" i="1" s="1"/>
  <c r="AZ460" i="1"/>
  <c r="BG460" i="1" s="1" a="1"/>
  <c r="BG460" i="1" s="1"/>
  <c r="AZ441" i="1"/>
  <c r="BG441" i="1" s="1" a="1"/>
  <c r="BG441" i="1" s="1"/>
  <c r="AZ438" i="1"/>
  <c r="BG438" i="1" s="1" a="1"/>
  <c r="BG438" i="1" s="1"/>
  <c r="AZ457" i="1"/>
  <c r="BG457" i="1" s="1" a="1"/>
  <c r="BG457" i="1" s="1"/>
  <c r="AZ448" i="1"/>
  <c r="BG448" i="1" s="1" a="1"/>
  <c r="BG448" i="1" s="1"/>
  <c r="AZ461" i="1"/>
  <c r="BG461" i="1" s="1" a="1"/>
  <c r="BG461" i="1" s="1"/>
  <c r="AZ445" i="1"/>
  <c r="BG445" i="1" s="1" a="1"/>
  <c r="BG445" i="1" s="1"/>
  <c r="AZ437" i="1"/>
  <c r="BG437" i="1" s="1" a="1"/>
  <c r="BG437" i="1" s="1"/>
  <c r="AZ458" i="1"/>
  <c r="BG458" i="1" s="1" a="1"/>
  <c r="BG458" i="1" s="1"/>
  <c r="AZ451" i="1"/>
  <c r="BG451" i="1" s="1" a="1"/>
  <c r="BG451" i="1" s="1"/>
  <c r="AZ450" i="1"/>
  <c r="BG450" i="1" s="1" a="1"/>
  <c r="BG450" i="1" s="1"/>
  <c r="AZ459" i="1"/>
  <c r="BG459" i="1" s="1" a="1"/>
  <c r="BG459" i="1" s="1"/>
  <c r="AZ455" i="1"/>
  <c r="BG455" i="1" s="1" a="1"/>
  <c r="BG455" i="1" s="1"/>
  <c r="AZ440" i="1"/>
  <c r="BG440" i="1" s="1" a="1"/>
  <c r="BG440" i="1" s="1"/>
  <c r="AZ447" i="1"/>
  <c r="BG447" i="1" s="1" a="1"/>
  <c r="BG447" i="1" s="1"/>
  <c r="AZ442" i="1"/>
  <c r="BG442" i="1" s="1" a="1"/>
  <c r="BG442" i="1" s="1"/>
  <c r="AZ42" i="1"/>
  <c r="BG42" i="1" s="1" a="1"/>
  <c r="BG42" i="1" s="1"/>
  <c r="AZ169" i="1"/>
  <c r="BG169" i="1" s="1" a="1"/>
  <c r="BG169" i="1" s="1"/>
  <c r="AZ142" i="1"/>
  <c r="BG142" i="1" s="1" a="1"/>
  <c r="BG142" i="1" s="1"/>
  <c r="AZ246" i="1"/>
  <c r="BG246" i="1" s="1" a="1"/>
  <c r="BG246" i="1" s="1"/>
  <c r="AZ398" i="1"/>
  <c r="BG398" i="1" s="1" a="1"/>
  <c r="BG398" i="1" s="1"/>
  <c r="AZ238" i="1"/>
  <c r="BG238" i="1" s="1" a="1"/>
  <c r="BG238" i="1" s="1"/>
  <c r="AZ181" i="1"/>
  <c r="BG181" i="1" s="1" a="1"/>
  <c r="BG181" i="1" s="1"/>
  <c r="AZ266" i="1"/>
  <c r="BG266" i="1" s="1" a="1"/>
  <c r="BG266" i="1" s="1"/>
  <c r="AZ344" i="1"/>
  <c r="BG344" i="1" s="1" a="1"/>
  <c r="BG344" i="1" s="1"/>
  <c r="AZ205" i="1"/>
  <c r="BG205" i="1" s="1" a="1"/>
  <c r="BG205" i="1" s="1"/>
  <c r="AZ420" i="1"/>
  <c r="BG420" i="1" s="1" a="1"/>
  <c r="BG420" i="1" s="1"/>
  <c r="AZ90" i="1"/>
  <c r="BG90" i="1" s="1" a="1"/>
  <c r="BG90" i="1" s="1"/>
  <c r="AZ210" i="1"/>
  <c r="BG210" i="1" s="1" a="1"/>
  <c r="BG210" i="1" s="1"/>
  <c r="AZ66" i="1"/>
  <c r="BG66" i="1" s="1" a="1"/>
  <c r="BG66" i="1" s="1"/>
  <c r="AZ263" i="1"/>
  <c r="BG263" i="1" s="1" a="1"/>
  <c r="BG263" i="1" s="1"/>
  <c r="AZ250" i="1"/>
  <c r="BG250" i="1" s="1" a="1"/>
  <c r="BG250" i="1" s="1"/>
  <c r="AZ122" i="1"/>
  <c r="BG122" i="1" s="1" a="1"/>
  <c r="BG122" i="1" s="1"/>
  <c r="AZ367" i="1"/>
  <c r="BG367" i="1" s="1" a="1"/>
  <c r="BG367" i="1" s="1"/>
  <c r="AZ225" i="1"/>
  <c r="BG225" i="1" s="1" a="1"/>
  <c r="BG225" i="1" s="1"/>
  <c r="AZ91" i="1"/>
  <c r="BG91" i="1" s="1" a="1"/>
  <c r="BG91" i="1" s="1"/>
  <c r="AZ131" i="1"/>
  <c r="BG131" i="1" s="1" a="1"/>
  <c r="BG131" i="1" s="1"/>
  <c r="AZ63" i="1"/>
  <c r="BG63" i="1" s="1" a="1"/>
  <c r="BG63" i="1" s="1"/>
  <c r="AZ382" i="1"/>
  <c r="BG382" i="1" s="1" a="1"/>
  <c r="BG382" i="1" s="1"/>
  <c r="AZ102" i="1"/>
  <c r="BG102" i="1" s="1" a="1"/>
  <c r="BG102" i="1" s="1"/>
  <c r="AZ430" i="1"/>
  <c r="BG430" i="1" s="1" a="1"/>
  <c r="BG430" i="1" s="1"/>
  <c r="AZ315" i="1"/>
  <c r="BG315" i="1" s="1" a="1"/>
  <c r="BG315" i="1" s="1"/>
  <c r="AZ324" i="1"/>
  <c r="BG324" i="1" s="1" a="1"/>
  <c r="BG324" i="1" s="1"/>
  <c r="AZ6" i="1"/>
  <c r="BG6" i="1" s="1" a="1"/>
  <c r="BG6" i="1" s="1"/>
  <c r="AZ32" i="1"/>
  <c r="BG32" i="1" s="1" a="1"/>
  <c r="BG32" i="1" s="1"/>
  <c r="AZ295" i="1"/>
  <c r="BG295" i="1" s="1" a="1"/>
  <c r="BG295" i="1" s="1"/>
  <c r="AZ116" i="1"/>
  <c r="BG116" i="1" s="1" a="1"/>
  <c r="BG116" i="1" s="1"/>
  <c r="AZ399" i="1"/>
  <c r="BG399" i="1" s="1" a="1"/>
  <c r="BG399" i="1" s="1"/>
  <c r="AZ134" i="1"/>
  <c r="BG134" i="1" s="1" a="1"/>
  <c r="BG134" i="1" s="1"/>
  <c r="AZ245" i="1"/>
  <c r="BG245" i="1" s="1" a="1"/>
  <c r="BG245" i="1" s="1"/>
  <c r="AZ144" i="1"/>
  <c r="BG144" i="1" s="1" a="1"/>
  <c r="BG144" i="1" s="1"/>
  <c r="AZ120" i="1"/>
  <c r="BG120" i="1" s="1" a="1"/>
  <c r="BG120" i="1" s="1"/>
  <c r="AZ284" i="1"/>
  <c r="BG284" i="1" s="1" a="1"/>
  <c r="BG284" i="1" s="1"/>
  <c r="AZ163" i="1"/>
  <c r="BG163" i="1" s="1" a="1"/>
  <c r="BG163" i="1" s="1"/>
  <c r="AZ186" i="1"/>
  <c r="BG186" i="1" s="1" a="1"/>
  <c r="BG186" i="1" s="1"/>
  <c r="AZ241" i="1"/>
  <c r="BG241" i="1" s="1" a="1"/>
  <c r="BG241" i="1" s="1"/>
  <c r="AZ101" i="1"/>
  <c r="BG101" i="1" s="1" a="1"/>
  <c r="BG101" i="1" s="1"/>
  <c r="AZ275" i="1"/>
  <c r="BG275" i="1" s="1" a="1"/>
  <c r="BG275" i="1" s="1"/>
  <c r="AZ389" i="1"/>
  <c r="BG389" i="1" s="1" a="1"/>
  <c r="BG389" i="1" s="1"/>
  <c r="AZ212" i="1"/>
  <c r="BG212" i="1" s="1" a="1"/>
  <c r="BG212" i="1" s="1"/>
  <c r="AZ358" i="1"/>
  <c r="BG358" i="1" s="1" a="1"/>
  <c r="BG358" i="1" s="1"/>
  <c r="AZ22" i="1"/>
  <c r="BG22" i="1" s="1" a="1"/>
  <c r="BG22" i="1" s="1"/>
  <c r="AZ347" i="1"/>
  <c r="BG347" i="1" s="1" a="1"/>
  <c r="BG347" i="1" s="1"/>
  <c r="AZ365" i="1"/>
  <c r="BG365" i="1" s="1" a="1"/>
  <c r="BG365" i="1" s="1"/>
  <c r="AZ68" i="1"/>
  <c r="BG68" i="1" s="1" a="1"/>
  <c r="BG68" i="1" s="1"/>
  <c r="AZ427" i="1"/>
  <c r="BG427" i="1" s="1" a="1"/>
  <c r="BG427" i="1" s="1"/>
  <c r="AZ171" i="1"/>
  <c r="BG171" i="1" s="1" a="1"/>
  <c r="BG171" i="1" s="1"/>
  <c r="AZ125" i="1"/>
  <c r="BG125" i="1" s="1" a="1"/>
  <c r="BG125" i="1" s="1"/>
  <c r="AZ268" i="1"/>
  <c r="BG268" i="1" s="1" a="1"/>
  <c r="BG268" i="1" s="1"/>
  <c r="AZ233" i="1"/>
  <c r="BG233" i="1" s="1" a="1"/>
  <c r="BG233" i="1" s="1"/>
  <c r="AZ126" i="1"/>
  <c r="BG126" i="1" s="1" a="1"/>
  <c r="BG126" i="1" s="1"/>
  <c r="AZ265" i="1"/>
  <c r="BG265" i="1" s="1" a="1"/>
  <c r="BG265" i="1" s="1"/>
  <c r="AZ8" i="1"/>
  <c r="BG8" i="1" s="1" a="1"/>
  <c r="BG8" i="1" s="1"/>
  <c r="AZ15" i="1"/>
  <c r="BG15" i="1" s="1" a="1"/>
  <c r="BG15" i="1" s="1"/>
  <c r="AZ207" i="1"/>
  <c r="BG207" i="1" s="1" a="1"/>
  <c r="BG207" i="1" s="1"/>
  <c r="AZ39" i="1"/>
  <c r="BG39" i="1" s="1" a="1"/>
  <c r="BG39" i="1" s="1"/>
  <c r="AZ249" i="1"/>
  <c r="BG249" i="1" s="1" a="1"/>
  <c r="BG249" i="1" s="1"/>
  <c r="AZ35" i="1"/>
  <c r="BG35" i="1" s="1" a="1"/>
  <c r="BG35" i="1" s="1"/>
  <c r="AZ300" i="1"/>
  <c r="BG300" i="1" s="1" a="1"/>
  <c r="BG300" i="1" s="1"/>
  <c r="AZ224" i="1"/>
  <c r="BG224" i="1" s="1" a="1"/>
  <c r="BG224" i="1" s="1"/>
  <c r="AZ368" i="1"/>
  <c r="BG368" i="1" s="1" a="1"/>
  <c r="BG368" i="1" s="1"/>
  <c r="AZ393" i="1"/>
  <c r="BG393" i="1" s="1" a="1"/>
  <c r="BG393" i="1" s="1"/>
  <c r="AZ228" i="1"/>
  <c r="BG228" i="1" s="1" a="1"/>
  <c r="BG228" i="1" s="1"/>
  <c r="AZ72" i="1"/>
  <c r="BG72" i="1" s="1" a="1"/>
  <c r="BG72" i="1" s="1"/>
  <c r="AZ219" i="1"/>
  <c r="BG219" i="1" s="1" a="1"/>
  <c r="BG219" i="1" s="1"/>
  <c r="AZ297" i="1"/>
  <c r="BG297" i="1" s="1" a="1"/>
  <c r="BG297" i="1" s="1"/>
  <c r="AZ112" i="1"/>
  <c r="BG112" i="1" s="1" a="1"/>
  <c r="BG112" i="1" s="1"/>
  <c r="AZ217" i="1"/>
  <c r="BG217" i="1" s="1" a="1"/>
  <c r="BG217" i="1" s="1"/>
  <c r="AZ232" i="1"/>
  <c r="BG232" i="1" s="1" a="1"/>
  <c r="BG232" i="1" s="1"/>
  <c r="AZ330" i="1"/>
  <c r="BG330" i="1" s="1" a="1"/>
  <c r="BG330" i="1" s="1"/>
  <c r="AZ396" i="1"/>
  <c r="BG396" i="1" s="1" a="1"/>
  <c r="BG396" i="1" s="1"/>
  <c r="AZ287" i="1"/>
  <c r="BG287" i="1" s="1" a="1"/>
  <c r="BG287" i="1" s="1"/>
  <c r="AZ308" i="1"/>
  <c r="BG308" i="1" s="1" a="1"/>
  <c r="BG308" i="1" s="1"/>
  <c r="AZ192" i="1"/>
  <c r="BG192" i="1" s="1" a="1"/>
  <c r="BG192" i="1" s="1"/>
  <c r="AZ305" i="1"/>
  <c r="BG305" i="1" s="1" a="1"/>
  <c r="BG305" i="1" s="1"/>
  <c r="AZ103" i="1"/>
  <c r="BG103" i="1" s="1" a="1"/>
  <c r="BG103" i="1" s="1"/>
  <c r="AZ52" i="1"/>
  <c r="BG52" i="1" s="1" a="1"/>
  <c r="BG52" i="1" s="1"/>
  <c r="AZ335" i="1"/>
  <c r="BG335" i="1" s="1" a="1"/>
  <c r="BG335" i="1" s="1"/>
  <c r="AZ172" i="1"/>
  <c r="BG172" i="1" s="1" a="1"/>
  <c r="BG172" i="1" s="1"/>
  <c r="AZ274" i="1"/>
  <c r="BG274" i="1" s="1" a="1"/>
  <c r="BG274" i="1" s="1"/>
  <c r="AZ114" i="1"/>
  <c r="BG114" i="1" s="1" a="1"/>
  <c r="BG114" i="1" s="1"/>
  <c r="AZ175" i="1"/>
  <c r="BG175" i="1" s="1" a="1"/>
  <c r="BG175" i="1" s="1"/>
  <c r="AZ132" i="1"/>
  <c r="BG132" i="1" s="1" a="1"/>
  <c r="BG132" i="1" s="1"/>
  <c r="AZ331" i="1"/>
  <c r="BG331" i="1" s="1" a="1"/>
  <c r="BG331" i="1" s="1"/>
  <c r="AZ129" i="1"/>
  <c r="BG129" i="1" s="1" a="1"/>
  <c r="BG129" i="1" s="1"/>
  <c r="AZ82" i="1"/>
  <c r="BG82" i="1" s="1" a="1"/>
  <c r="BG82" i="1" s="1"/>
  <c r="AZ342" i="1"/>
  <c r="BG342" i="1" s="1" a="1"/>
  <c r="BG342" i="1" s="1"/>
  <c r="AZ95" i="1"/>
  <c r="BG95" i="1" s="1" a="1"/>
  <c r="BG95" i="1" s="1"/>
  <c r="AZ337" i="1"/>
  <c r="BG337" i="1" s="1" a="1"/>
  <c r="BG337" i="1" s="1"/>
  <c r="AZ85" i="1"/>
  <c r="BG85" i="1" s="1" a="1"/>
  <c r="BG85" i="1" s="1"/>
  <c r="AZ199" i="1"/>
  <c r="BG199" i="1" s="1" a="1"/>
  <c r="BG199" i="1" s="1"/>
  <c r="AZ18" i="1"/>
  <c r="BG18" i="1" s="1" a="1"/>
  <c r="BG18" i="1" s="1"/>
  <c r="AZ71" i="1"/>
  <c r="BG71" i="1" s="1" a="1"/>
  <c r="BG71" i="1" s="1"/>
  <c r="AZ154" i="1"/>
  <c r="BG154" i="1" s="1" a="1"/>
  <c r="BG154" i="1" s="1"/>
  <c r="AZ433" i="1"/>
  <c r="BG433" i="1" s="1" a="1"/>
  <c r="BG433" i="1" s="1"/>
  <c r="AZ401" i="1"/>
  <c r="BG401" i="1" s="1" a="1"/>
  <c r="BG401" i="1" s="1"/>
  <c r="AZ416" i="1"/>
  <c r="BG416" i="1" s="1" a="1"/>
  <c r="BG416" i="1" s="1"/>
  <c r="AZ288" i="1"/>
  <c r="BG288" i="1" s="1" a="1"/>
  <c r="BG288" i="1" s="1"/>
  <c r="AZ251" i="1"/>
  <c r="BG251" i="1" s="1" a="1"/>
  <c r="BG251" i="1" s="1"/>
  <c r="AZ222" i="1"/>
  <c r="BG222" i="1" s="1" a="1"/>
  <c r="BG222" i="1" s="1"/>
  <c r="AZ291" i="1"/>
  <c r="BG291" i="1" s="1" a="1"/>
  <c r="BG291" i="1" s="1"/>
  <c r="AZ80" i="1"/>
  <c r="BG80" i="1" s="1" a="1"/>
  <c r="BG80" i="1" s="1"/>
  <c r="AZ259" i="1"/>
  <c r="BG259" i="1" s="1" a="1"/>
  <c r="BG259" i="1" s="1"/>
  <c r="AZ366" i="1"/>
  <c r="BG366" i="1" s="1" a="1"/>
  <c r="BG366" i="1" s="1"/>
  <c r="AZ260" i="1"/>
  <c r="BG260" i="1" s="1" a="1"/>
  <c r="BG260" i="1" s="1"/>
  <c r="AZ176" i="1"/>
  <c r="BG176" i="1" s="1" a="1"/>
  <c r="BG176" i="1" s="1"/>
  <c r="AZ78" i="1"/>
  <c r="BG78" i="1" s="1" a="1"/>
  <c r="BG78" i="1" s="1"/>
  <c r="AZ168" i="1"/>
  <c r="BG168" i="1" s="1" a="1"/>
  <c r="BG168" i="1" s="1"/>
  <c r="AZ279" i="1"/>
  <c r="BG279" i="1" s="1" a="1"/>
  <c r="BG279" i="1" s="1"/>
  <c r="AZ20" i="1"/>
  <c r="BG20" i="1" s="1" a="1"/>
  <c r="BG20" i="1" s="1"/>
  <c r="AZ87" i="1"/>
  <c r="BG87" i="1" s="1" a="1"/>
  <c r="BG87" i="1" s="1"/>
  <c r="AZ252" i="1"/>
  <c r="BG252" i="1" s="1" a="1"/>
  <c r="BG252" i="1" s="1"/>
  <c r="AZ323" i="1"/>
  <c r="BG323" i="1" s="1" a="1"/>
  <c r="BG323" i="1" s="1"/>
  <c r="AZ27" i="1"/>
  <c r="BG27" i="1" s="1" a="1"/>
  <c r="BG27" i="1" s="1"/>
  <c r="AZ208" i="1"/>
  <c r="BG208" i="1" s="1" a="1"/>
  <c r="BG208" i="1" s="1"/>
  <c r="AZ209" i="1"/>
  <c r="BG209" i="1" s="1" a="1"/>
  <c r="BG209" i="1" s="1"/>
  <c r="AZ155" i="1"/>
  <c r="BG155" i="1" s="1" a="1"/>
  <c r="BG155" i="1" s="1"/>
  <c r="AZ59" i="1"/>
  <c r="BG59" i="1" s="1" a="1"/>
  <c r="BG59" i="1" s="1"/>
  <c r="AZ77" i="1"/>
  <c r="BG77" i="1" s="1" a="1"/>
  <c r="BG77" i="1" s="1"/>
  <c r="AZ86" i="1"/>
  <c r="BG86" i="1" s="1" a="1"/>
  <c r="BG86" i="1" s="1"/>
  <c r="AZ164" i="1"/>
  <c r="BG164" i="1" s="1" a="1"/>
  <c r="BG164" i="1" s="1"/>
  <c r="AZ431" i="1"/>
  <c r="BG431" i="1" s="1" a="1"/>
  <c r="BG431" i="1" s="1"/>
  <c r="AZ167" i="1"/>
  <c r="BG167" i="1" s="1" a="1"/>
  <c r="BG167" i="1" s="1"/>
  <c r="AZ423" i="1"/>
  <c r="BG423" i="1" s="1" a="1"/>
  <c r="BG423" i="1" s="1"/>
  <c r="AZ422" i="1"/>
  <c r="BG422" i="1" s="1" a="1"/>
  <c r="BG422" i="1" s="1"/>
  <c r="AZ360" i="1"/>
  <c r="BG360" i="1" s="1" a="1"/>
  <c r="BG360" i="1" s="1"/>
  <c r="AZ111" i="1"/>
  <c r="BG111" i="1" s="1" a="1"/>
  <c r="BG111" i="1" s="1"/>
  <c r="AZ135" i="1"/>
  <c r="BG135" i="1" s="1" a="1"/>
  <c r="BG135" i="1" s="1"/>
  <c r="AZ50" i="1"/>
  <c r="BG50" i="1" s="1" a="1"/>
  <c r="BG50" i="1" s="1"/>
  <c r="AZ177" i="1"/>
  <c r="BG177" i="1" s="1" a="1"/>
  <c r="BG177" i="1" s="1"/>
  <c r="AZ346" i="1"/>
  <c r="BG346" i="1" s="1" a="1"/>
  <c r="BG346" i="1" s="1"/>
  <c r="AZ353" i="1"/>
  <c r="BG353" i="1" s="1" a="1"/>
  <c r="BG353" i="1" s="1"/>
  <c r="AZ188" i="1"/>
  <c r="BG188" i="1" s="1" a="1"/>
  <c r="BG188" i="1" s="1"/>
  <c r="AZ10" i="1"/>
  <c r="BG10" i="1" s="1" a="1"/>
  <c r="BG10" i="1" s="1"/>
  <c r="AZ306" i="1"/>
  <c r="BG306" i="1" s="1" a="1"/>
  <c r="BG306" i="1" s="1"/>
  <c r="AZ182" i="1"/>
  <c r="BG182" i="1" s="1" a="1"/>
  <c r="BG182" i="1" s="1"/>
  <c r="AZ320" i="1"/>
  <c r="BG320" i="1" s="1" a="1"/>
  <c r="BG320" i="1" s="1"/>
  <c r="AZ75" i="1"/>
  <c r="BG75" i="1" s="1" a="1"/>
  <c r="BG75" i="1" s="1"/>
  <c r="AZ202" i="1"/>
  <c r="BG202" i="1" s="1" a="1"/>
  <c r="BG202" i="1" s="1"/>
  <c r="AZ17" i="1"/>
  <c r="BG17" i="1" s="1" a="1"/>
  <c r="BG17" i="1" s="1"/>
  <c r="AZ69" i="1"/>
  <c r="BG69" i="1" s="1" a="1"/>
  <c r="BG69" i="1" s="1"/>
  <c r="AZ165" i="1"/>
  <c r="BG165" i="1" s="1" a="1"/>
  <c r="BG165" i="1" s="1"/>
  <c r="AZ364" i="1"/>
  <c r="BG364" i="1" s="1" a="1"/>
  <c r="BG364" i="1" s="1"/>
  <c r="AZ145" i="1"/>
  <c r="BG145" i="1" s="1" a="1"/>
  <c r="BG145" i="1" s="1"/>
  <c r="AZ270" i="1"/>
  <c r="BG270" i="1" s="1" a="1"/>
  <c r="BG270" i="1" s="1"/>
  <c r="AZ130" i="1"/>
  <c r="BG130" i="1" s="1" a="1"/>
  <c r="BG130" i="1" s="1"/>
  <c r="AZ436" i="1"/>
  <c r="BG436" i="1" s="1" a="1"/>
  <c r="BG436" i="1" s="1"/>
  <c r="AZ432" i="1"/>
  <c r="BG432" i="1" s="1" a="1"/>
  <c r="BG432" i="1" s="1"/>
  <c r="AZ405" i="1"/>
  <c r="BG405" i="1" s="1" a="1"/>
  <c r="BG405" i="1" s="1"/>
  <c r="AZ419" i="1"/>
  <c r="BG419" i="1" s="1" a="1"/>
  <c r="BG419" i="1" s="1"/>
  <c r="AZ403" i="1"/>
  <c r="BG403" i="1" s="1" a="1"/>
  <c r="BG403" i="1" s="1"/>
  <c r="AZ410" i="1"/>
  <c r="BG410" i="1" s="1" a="1"/>
  <c r="BG410" i="1" s="1"/>
  <c r="AZ345" i="1"/>
  <c r="BG345" i="1" s="1" a="1"/>
  <c r="BG345" i="1" s="1"/>
  <c r="AZ307" i="1"/>
  <c r="BG307" i="1" s="1" a="1"/>
  <c r="BG307" i="1" s="1"/>
  <c r="AZ53" i="1"/>
  <c r="BG53" i="1" s="1" a="1"/>
  <c r="BG53" i="1" s="1"/>
  <c r="AZ227" i="1"/>
  <c r="BG227" i="1" s="1" a="1"/>
  <c r="BG227" i="1" s="1"/>
  <c r="AZ183" i="1"/>
  <c r="BG183" i="1" s="1" a="1"/>
  <c r="BG183" i="1" s="1"/>
  <c r="AZ378" i="1"/>
  <c r="BG378" i="1" s="1" a="1"/>
  <c r="BG378" i="1" s="1"/>
  <c r="AZ196" i="1"/>
  <c r="BG196" i="1" s="1" a="1"/>
  <c r="BG196" i="1" s="1"/>
  <c r="AZ286" i="1"/>
  <c r="BG286" i="1" s="1" a="1"/>
  <c r="BG286" i="1" s="1"/>
  <c r="AZ30" i="1"/>
  <c r="BG30" i="1" s="1" a="1"/>
  <c r="BG30" i="1" s="1"/>
  <c r="AZ264" i="1"/>
  <c r="BG264" i="1" s="1" a="1"/>
  <c r="BG264" i="1" s="1"/>
  <c r="AZ28" i="1"/>
  <c r="BG28" i="1" s="1" a="1"/>
  <c r="BG28" i="1" s="1"/>
  <c r="AZ341" i="1"/>
  <c r="BG341" i="1" s="1" a="1"/>
  <c r="BG341" i="1" s="1"/>
  <c r="AZ58" i="1"/>
  <c r="BG58" i="1" s="1" a="1"/>
  <c r="BG58" i="1" s="1"/>
  <c r="AZ348" i="1"/>
  <c r="BG348" i="1" s="1" a="1"/>
  <c r="BG348" i="1" s="1"/>
  <c r="AZ109" i="1"/>
  <c r="BG109" i="1" s="1" a="1"/>
  <c r="BG109" i="1" s="1"/>
  <c r="AZ375" i="1"/>
  <c r="BG375" i="1" s="1" a="1"/>
  <c r="BG375" i="1" s="1"/>
  <c r="AZ89" i="1"/>
  <c r="BG89" i="1" s="1" a="1"/>
  <c r="BG89" i="1" s="1"/>
  <c r="AZ356" i="1"/>
  <c r="BG356" i="1" s="1" a="1"/>
  <c r="BG356" i="1" s="1"/>
  <c r="AZ372" i="1"/>
  <c r="BG372" i="1" s="1" a="1"/>
  <c r="BG372" i="1" s="1"/>
  <c r="AZ390" i="1"/>
  <c r="BG390" i="1" s="1" a="1"/>
  <c r="BG390" i="1" s="1"/>
  <c r="AZ235" i="1"/>
  <c r="BG235" i="1" s="1" a="1"/>
  <c r="BG235" i="1" s="1"/>
  <c r="AZ49" i="1"/>
  <c r="BG49" i="1" s="1" a="1"/>
  <c r="BG49" i="1" s="1"/>
  <c r="AZ267" i="1"/>
  <c r="BG267" i="1" s="1" a="1"/>
  <c r="BG267" i="1" s="1"/>
  <c r="AZ230" i="1"/>
  <c r="BG230" i="1" s="1" a="1"/>
  <c r="BG230" i="1" s="1"/>
  <c r="AZ218" i="1"/>
  <c r="BG218" i="1" s="1" a="1"/>
  <c r="BG218" i="1" s="1"/>
  <c r="AZ43" i="1"/>
  <c r="BG43" i="1" s="1" a="1"/>
  <c r="BG43" i="1" s="1"/>
  <c r="AZ304" i="1"/>
  <c r="BG304" i="1" s="1" a="1"/>
  <c r="BG304" i="1" s="1"/>
  <c r="AZ13" i="1"/>
  <c r="BG13" i="1" s="1" a="1"/>
  <c r="BG13" i="1" s="1"/>
  <c r="AZ193" i="1"/>
  <c r="BG193" i="1" s="1" a="1"/>
  <c r="BG193" i="1" s="1"/>
  <c r="AZ19" i="1"/>
  <c r="BG19" i="1" s="1" a="1"/>
  <c r="BG19" i="1" s="1"/>
  <c r="AZ23" i="1"/>
  <c r="BG23" i="1" s="1" a="1"/>
  <c r="BG23" i="1" s="1"/>
  <c r="AZ136" i="1"/>
  <c r="BG136" i="1" s="1" a="1"/>
  <c r="BG136" i="1" s="1"/>
  <c r="AZ280" i="1"/>
  <c r="BG280" i="1" s="1" a="1"/>
  <c r="BG280" i="1" s="1"/>
  <c r="AZ16" i="1"/>
  <c r="BG16" i="1" s="1" a="1"/>
  <c r="BG16" i="1" s="1"/>
  <c r="AZ256" i="1"/>
  <c r="BG256" i="1" s="1" a="1"/>
  <c r="BG256" i="1" s="1"/>
  <c r="AZ329" i="1"/>
  <c r="BG329" i="1" s="1" a="1"/>
  <c r="BG329" i="1" s="1"/>
  <c r="AZ313" i="1"/>
  <c r="BG313" i="1" s="1" a="1"/>
  <c r="BG313" i="1" s="1"/>
  <c r="AZ25" i="1"/>
  <c r="BG25" i="1" s="1" a="1"/>
  <c r="BG25" i="1" s="1"/>
  <c r="AZ293" i="1"/>
  <c r="BG293" i="1" s="1" a="1"/>
  <c r="BG293" i="1" s="1"/>
  <c r="AZ211" i="1"/>
  <c r="BG211" i="1" s="1" a="1"/>
  <c r="BG211" i="1" s="1"/>
  <c r="AZ391" i="1"/>
  <c r="BG391" i="1" s="1" a="1"/>
  <c r="BG391" i="1" s="1"/>
  <c r="AZ138" i="1"/>
  <c r="BG138" i="1" s="1" a="1"/>
  <c r="BG138" i="1" s="1"/>
  <c r="AZ303" i="1"/>
  <c r="BG303" i="1" s="1" a="1"/>
  <c r="BG303" i="1" s="1"/>
  <c r="AZ397" i="1"/>
  <c r="BG397" i="1" s="1" a="1"/>
  <c r="BG397" i="1" s="1"/>
  <c r="AZ326" i="1"/>
  <c r="BG326" i="1" s="1" a="1"/>
  <c r="BG326" i="1" s="1"/>
  <c r="AZ107" i="1"/>
  <c r="BG107" i="1" s="1" a="1"/>
  <c r="BG107" i="1" s="1"/>
  <c r="AZ108" i="1"/>
  <c r="BG108" i="1" s="1" a="1"/>
  <c r="BG108" i="1" s="1"/>
  <c r="AZ14" i="1"/>
  <c r="BG14" i="1" s="1" a="1"/>
  <c r="BG14" i="1" s="1"/>
  <c r="AZ7" i="1"/>
  <c r="BG7" i="1" s="1" a="1"/>
  <c r="BG7" i="1" s="1"/>
  <c r="AZ56" i="1"/>
  <c r="BG56" i="1" s="1" a="1"/>
  <c r="BG56" i="1" s="1"/>
  <c r="AZ47" i="1"/>
  <c r="BG47" i="1" s="1" a="1"/>
  <c r="BG47" i="1" s="1"/>
  <c r="AZ352" i="1"/>
  <c r="BG352" i="1" s="1" a="1"/>
  <c r="BG352" i="1" s="1"/>
  <c r="AZ269" i="1"/>
  <c r="BG269" i="1" s="1" a="1"/>
  <c r="BG269" i="1" s="1"/>
  <c r="AZ310" i="1"/>
  <c r="BG310" i="1" s="1" a="1"/>
  <c r="BG310" i="1" s="1"/>
  <c r="AZ197" i="1"/>
  <c r="BG197" i="1" s="1" a="1"/>
  <c r="BG197" i="1" s="1"/>
  <c r="AZ191" i="1"/>
  <c r="BG191" i="1" s="1" a="1"/>
  <c r="BG191" i="1" s="1"/>
  <c r="AZ123" i="1"/>
  <c r="BG123" i="1" s="1" a="1"/>
  <c r="BG123" i="1" s="1"/>
  <c r="AZ215" i="1"/>
  <c r="BG215" i="1" s="1" a="1"/>
  <c r="BG215" i="1" s="1"/>
  <c r="AZ316" i="1"/>
  <c r="BG316" i="1" s="1" a="1"/>
  <c r="BG316" i="1" s="1"/>
  <c r="AZ81" i="1"/>
  <c r="BG81" i="1" s="1" a="1"/>
  <c r="BG81" i="1" s="1"/>
  <c r="AZ387" i="1"/>
  <c r="BG387" i="1" s="1" a="1"/>
  <c r="BG387" i="1" s="1"/>
  <c r="AZ150" i="1"/>
  <c r="BG150" i="1" s="1" a="1"/>
  <c r="BG150" i="1" s="1"/>
  <c r="AZ237" i="1"/>
  <c r="BG237" i="1" s="1" a="1"/>
  <c r="BG237" i="1" s="1"/>
  <c r="AZ117" i="1"/>
  <c r="BG117" i="1" s="1" a="1"/>
  <c r="BG117" i="1" s="1"/>
  <c r="AZ88" i="1"/>
  <c r="BG88" i="1" s="1" a="1"/>
  <c r="BG88" i="1" s="1"/>
  <c r="AZ359" i="1"/>
  <c r="BG359" i="1" s="1" a="1"/>
  <c r="BG359" i="1" s="1"/>
  <c r="AZ104" i="1"/>
  <c r="BG104" i="1" s="1" a="1"/>
  <c r="BG104" i="1" s="1"/>
  <c r="AZ429" i="1"/>
  <c r="BG429" i="1" s="1" a="1"/>
  <c r="BG429" i="1" s="1"/>
  <c r="AZ426" i="1"/>
  <c r="BG426" i="1" s="1" a="1"/>
  <c r="BG426" i="1" s="1"/>
  <c r="AZ408" i="1"/>
  <c r="BG408" i="1" s="1" a="1"/>
  <c r="BG408" i="1" s="1"/>
  <c r="AZ223" i="1"/>
  <c r="BG223" i="1" s="1" a="1"/>
  <c r="BG223" i="1" s="1"/>
  <c r="AZ231" i="1"/>
  <c r="BG231" i="1" s="1" a="1"/>
  <c r="BG231" i="1" s="1"/>
  <c r="AZ314" i="1"/>
  <c r="BG314" i="1" s="1" a="1"/>
  <c r="BG314" i="1" s="1"/>
  <c r="AZ343" i="1"/>
  <c r="BG343" i="1" s="1" a="1"/>
  <c r="BG343" i="1" s="1"/>
  <c r="AZ62" i="1"/>
  <c r="BG62" i="1" s="1" a="1"/>
  <c r="BG62" i="1" s="1"/>
  <c r="AZ254" i="1"/>
  <c r="BG254" i="1" s="1" a="1"/>
  <c r="BG254" i="1" s="1"/>
  <c r="AZ301" i="1"/>
  <c r="BG301" i="1" s="1" a="1"/>
  <c r="BG301" i="1" s="1"/>
  <c r="AZ261" i="1"/>
  <c r="BG261" i="1" s="1" a="1"/>
  <c r="BG261" i="1" s="1"/>
  <c r="AZ100" i="1"/>
  <c r="BG100" i="1" s="1" a="1"/>
  <c r="BG100" i="1" s="1"/>
  <c r="AZ258" i="1"/>
  <c r="BG258" i="1" s="1" a="1"/>
  <c r="BG258" i="1" s="1"/>
  <c r="AZ377" i="1"/>
  <c r="BG377" i="1" s="1" a="1"/>
  <c r="BG377" i="1" s="1"/>
  <c r="AZ65" i="1"/>
  <c r="BG65" i="1" s="1" a="1"/>
  <c r="BG65" i="1" s="1"/>
  <c r="AZ206" i="1"/>
  <c r="BG206" i="1" s="1" a="1"/>
  <c r="BG206" i="1" s="1"/>
  <c r="AZ146" i="1"/>
  <c r="BG146" i="1" s="1" a="1"/>
  <c r="BG146" i="1" s="1"/>
  <c r="AZ244" i="1"/>
  <c r="BG244" i="1" s="1" a="1"/>
  <c r="BG244" i="1" s="1"/>
  <c r="AZ332" i="1"/>
  <c r="BG332" i="1" s="1" a="1"/>
  <c r="BG332" i="1" s="1"/>
  <c r="AZ41" i="1"/>
  <c r="BG41" i="1" s="1" a="1"/>
  <c r="BG41" i="1" s="1"/>
  <c r="AZ151" i="1"/>
  <c r="BG151" i="1" s="1" a="1"/>
  <c r="BG151" i="1" s="1"/>
  <c r="AZ148" i="1"/>
  <c r="BG148" i="1" s="1" a="1"/>
  <c r="BG148" i="1" s="1"/>
  <c r="AZ98" i="1"/>
  <c r="BG98" i="1" s="1" a="1"/>
  <c r="BG98" i="1" s="1"/>
  <c r="AZ354" i="1"/>
  <c r="BG354" i="1" s="1" a="1"/>
  <c r="BG354" i="1" s="1"/>
  <c r="AZ338" i="1"/>
  <c r="BG338" i="1" s="1" a="1"/>
  <c r="BG338" i="1" s="1"/>
  <c r="AZ143" i="1"/>
  <c r="BG143" i="1" s="1" a="1"/>
  <c r="BG143" i="1" s="1"/>
  <c r="AZ349" i="1"/>
  <c r="BG349" i="1" s="1" a="1"/>
  <c r="BG349" i="1" s="1"/>
  <c r="AZ421" i="1"/>
  <c r="BG421" i="1" s="1" a="1"/>
  <c r="BG421" i="1" s="1"/>
  <c r="AZ414" i="1"/>
  <c r="BG414" i="1" s="1" a="1"/>
  <c r="BG414" i="1" s="1"/>
  <c r="AZ409" i="1"/>
  <c r="BG409" i="1" s="1" a="1"/>
  <c r="BG409" i="1" s="1"/>
  <c r="AZ298" i="1"/>
  <c r="BG298" i="1" s="1" a="1"/>
  <c r="BG298" i="1" s="1"/>
  <c r="AZ51" i="1"/>
  <c r="BG51" i="1" s="1" a="1"/>
  <c r="BG51" i="1" s="1"/>
  <c r="AZ255" i="1"/>
  <c r="BG255" i="1" s="1" a="1"/>
  <c r="BG255" i="1" s="1"/>
  <c r="AZ33" i="1"/>
  <c r="BG33" i="1" s="1" a="1"/>
  <c r="BG33" i="1" s="1"/>
  <c r="AZ160" i="1"/>
  <c r="BG160" i="1" s="1" a="1"/>
  <c r="BG160" i="1" s="1"/>
  <c r="AZ290" i="1"/>
  <c r="BG290" i="1" s="1" a="1"/>
  <c r="BG290" i="1" s="1"/>
  <c r="AZ325" i="1"/>
  <c r="BG325" i="1" s="1" a="1"/>
  <c r="BG325" i="1" s="1"/>
  <c r="AZ363" i="1"/>
  <c r="BG363" i="1" s="1" a="1"/>
  <c r="BG363" i="1" s="1"/>
  <c r="AZ262" i="1"/>
  <c r="BG262" i="1" s="1" a="1"/>
  <c r="BG262" i="1" s="1"/>
  <c r="AZ31" i="1"/>
  <c r="BG31" i="1" s="1" a="1"/>
  <c r="BG31" i="1" s="1"/>
  <c r="AZ36" i="1"/>
  <c r="BG36" i="1" s="1" a="1"/>
  <c r="BG36" i="1" s="1"/>
  <c r="AZ140" i="1"/>
  <c r="BG140" i="1" s="1" a="1"/>
  <c r="BG140" i="1" s="1"/>
  <c r="AZ198" i="1"/>
  <c r="BG198" i="1" s="1" a="1"/>
  <c r="BG198" i="1" s="1"/>
  <c r="AZ4" i="1"/>
  <c r="BG4" i="1" s="1" a="1"/>
  <c r="BG4" i="1" s="1"/>
  <c r="AZ11" i="1"/>
  <c r="BG11" i="1" s="1" a="1"/>
  <c r="BG11" i="1" s="1"/>
  <c r="AZ48" i="1"/>
  <c r="BG48" i="1" s="1" a="1"/>
  <c r="BG48" i="1" s="1"/>
  <c r="AZ179" i="1"/>
  <c r="BG179" i="1" s="1" a="1"/>
  <c r="BG179" i="1" s="1"/>
  <c r="AZ55" i="1"/>
  <c r="BG55" i="1" s="1" a="1"/>
  <c r="BG55" i="1" s="1"/>
  <c r="AZ74" i="1"/>
  <c r="BG74" i="1" s="1" a="1"/>
  <c r="BG74" i="1" s="1"/>
  <c r="AZ302" i="1"/>
  <c r="BG302" i="1" s="1" a="1"/>
  <c r="BG302" i="1" s="1"/>
  <c r="AZ340" i="1"/>
  <c r="BG340" i="1" s="1" a="1"/>
  <c r="BG340" i="1" s="1"/>
  <c r="AZ94" i="1"/>
  <c r="BG94" i="1" s="1" a="1"/>
  <c r="BG94" i="1" s="1"/>
  <c r="AZ178" i="1"/>
  <c r="BG178" i="1" s="1" a="1"/>
  <c r="BG178" i="1" s="1"/>
  <c r="AZ239" i="1"/>
  <c r="BG239" i="1" s="1" a="1"/>
  <c r="BG239" i="1" s="1"/>
  <c r="AZ185" i="1"/>
  <c r="BG185" i="1" s="1" a="1"/>
  <c r="BG185" i="1" s="1"/>
  <c r="AZ376" i="1"/>
  <c r="BG376" i="1" s="1" a="1"/>
  <c r="BG376" i="1" s="1"/>
  <c r="AZ26" i="1"/>
  <c r="BG26" i="1" s="1" a="1"/>
  <c r="BG26" i="1" s="1"/>
  <c r="AZ213" i="1"/>
  <c r="BG213" i="1" s="1" a="1"/>
  <c r="BG213" i="1" s="1"/>
  <c r="AZ371" i="1"/>
  <c r="BG371" i="1" s="1" a="1"/>
  <c r="BG371" i="1" s="1"/>
  <c r="AZ319" i="1"/>
  <c r="BG319" i="1" s="1" a="1"/>
  <c r="BG319" i="1" s="1"/>
  <c r="AZ124" i="1"/>
  <c r="BG124" i="1" s="1" a="1"/>
  <c r="BG124" i="1" s="1"/>
  <c r="AZ333" i="1"/>
  <c r="BG333" i="1" s="1" a="1"/>
  <c r="BG333" i="1" s="1"/>
  <c r="AZ96" i="1"/>
  <c r="BG96" i="1" s="1" a="1"/>
  <c r="BG96" i="1" s="1"/>
  <c r="AZ253" i="1"/>
  <c r="BG253" i="1" s="1" a="1"/>
  <c r="BG253" i="1" s="1"/>
  <c r="AZ220" i="1"/>
  <c r="BG220" i="1" s="1" a="1"/>
  <c r="BG220" i="1" s="1"/>
  <c r="AZ162" i="1"/>
  <c r="BG162" i="1" s="1" a="1"/>
  <c r="BG162" i="1" s="1"/>
  <c r="AZ105" i="1"/>
  <c r="BG105" i="1" s="1" a="1"/>
  <c r="BG105" i="1" s="1"/>
  <c r="AZ351" i="1"/>
  <c r="BG351" i="1" s="1" a="1"/>
  <c r="BG351" i="1" s="1"/>
  <c r="AZ149" i="1"/>
  <c r="BG149" i="1" s="1" a="1"/>
  <c r="BG149" i="1" s="1"/>
  <c r="AZ44" i="1"/>
  <c r="BG44" i="1" s="1" a="1"/>
  <c r="BG44" i="1" s="1"/>
  <c r="AZ318" i="1"/>
  <c r="BG318" i="1" s="1" a="1"/>
  <c r="BG318" i="1" s="1"/>
  <c r="AZ373" i="1"/>
  <c r="BG373" i="1" s="1" a="1"/>
  <c r="BG373" i="1" s="1"/>
  <c r="AZ70" i="1"/>
  <c r="BG70" i="1" s="1" a="1"/>
  <c r="BG70" i="1" s="1"/>
  <c r="AZ54" i="1"/>
  <c r="BG54" i="1" s="1" a="1"/>
  <c r="BG54" i="1" s="1"/>
  <c r="AZ321" i="1"/>
  <c r="BG321" i="1" s="1" a="1"/>
  <c r="BG321" i="1" s="1"/>
  <c r="AZ5" i="1"/>
  <c r="BG5" i="1" s="1" a="1"/>
  <c r="BG5" i="1" s="1"/>
  <c r="AZ76" i="1"/>
  <c r="BG76" i="1" s="1" a="1"/>
  <c r="BG76" i="1" s="1"/>
  <c r="AZ406" i="1"/>
  <c r="BG406" i="1" s="1" a="1"/>
  <c r="BG406" i="1" s="1"/>
  <c r="AZ424" i="1"/>
  <c r="BG424" i="1" s="1" a="1"/>
  <c r="BG424" i="1" s="1"/>
  <c r="AZ45" i="1"/>
  <c r="BG45" i="1" s="1" a="1"/>
  <c r="BG45" i="1" s="1"/>
  <c r="AZ184" i="1"/>
  <c r="BG184" i="1" s="1" a="1"/>
  <c r="BG184" i="1" s="1"/>
  <c r="AZ247" i="1"/>
  <c r="BG247" i="1" s="1" a="1"/>
  <c r="BG247" i="1" s="1"/>
  <c r="AZ195" i="1"/>
  <c r="BG195" i="1" s="1" a="1"/>
  <c r="BG195" i="1" s="1"/>
  <c r="AZ380" i="1"/>
  <c r="BG380" i="1" s="1" a="1"/>
  <c r="BG380" i="1" s="1"/>
  <c r="AZ384" i="1"/>
  <c r="BG384" i="1" s="1" a="1"/>
  <c r="BG384" i="1" s="1"/>
  <c r="AZ374" i="1"/>
  <c r="BG374" i="1" s="1" a="1"/>
  <c r="BG374" i="1" s="1"/>
  <c r="AZ350" i="1"/>
  <c r="BG350" i="1" s="1" a="1"/>
  <c r="BG350" i="1" s="1"/>
  <c r="AZ115" i="1"/>
  <c r="BG115" i="1" s="1" a="1"/>
  <c r="BG115" i="1" s="1"/>
  <c r="AZ110" i="1"/>
  <c r="BG110" i="1" s="1" a="1"/>
  <c r="BG110" i="1" s="1"/>
  <c r="AZ203" i="1"/>
  <c r="BG203" i="1" s="1" a="1"/>
  <c r="BG203" i="1" s="1"/>
  <c r="AZ383" i="1"/>
  <c r="BG383" i="1" s="1" a="1"/>
  <c r="BG383" i="1" s="1"/>
  <c r="AZ157" i="1"/>
  <c r="BG157" i="1" s="1" a="1"/>
  <c r="BG157" i="1" s="1"/>
  <c r="AZ170" i="1"/>
  <c r="BG170" i="1" s="1" a="1"/>
  <c r="BG170" i="1" s="1"/>
  <c r="AZ296" i="1"/>
  <c r="BG296" i="1" s="1" a="1"/>
  <c r="BG296" i="1" s="1"/>
  <c r="AZ57" i="1"/>
  <c r="BG57" i="1" s="1" a="1"/>
  <c r="BG57" i="1" s="1"/>
  <c r="AZ204" i="1"/>
  <c r="BG204" i="1" s="1" a="1"/>
  <c r="BG204" i="1" s="1"/>
  <c r="AZ283" i="1"/>
  <c r="BG283" i="1" s="1" a="1"/>
  <c r="BG283" i="1" s="1"/>
  <c r="AZ139" i="1"/>
  <c r="BG139" i="1" s="1" a="1"/>
  <c r="BG139" i="1" s="1"/>
  <c r="AZ355" i="1"/>
  <c r="BG355" i="1" s="1" a="1"/>
  <c r="BG355" i="1" s="1"/>
  <c r="AZ34" i="1"/>
  <c r="BG34" i="1" s="1" a="1"/>
  <c r="BG34" i="1" s="1"/>
  <c r="AZ187" i="1"/>
  <c r="BG187" i="1" s="1" a="1"/>
  <c r="BG187" i="1" s="1"/>
  <c r="AZ370" i="1"/>
  <c r="BG370" i="1" s="1" a="1"/>
  <c r="BG370" i="1" s="1"/>
  <c r="AZ309" i="1"/>
  <c r="BG309" i="1" s="1" a="1"/>
  <c r="BG309" i="1" s="1"/>
  <c r="AZ118" i="1"/>
  <c r="BG118" i="1" s="1" a="1"/>
  <c r="BG118" i="1" s="1"/>
  <c r="AZ158" i="1"/>
  <c r="BG158" i="1" s="1" a="1"/>
  <c r="BG158" i="1" s="1"/>
  <c r="AZ381" i="1"/>
  <c r="BG381" i="1" s="1" a="1"/>
  <c r="BG381" i="1" s="1"/>
  <c r="AZ361" i="1"/>
  <c r="BG361" i="1" s="1" a="1"/>
  <c r="BG361" i="1" s="1"/>
  <c r="AZ119" i="1"/>
  <c r="BG119" i="1" s="1" a="1"/>
  <c r="BG119" i="1" s="1"/>
  <c r="AZ271" i="1"/>
  <c r="BG271" i="1" s="1" a="1"/>
  <c r="BG271" i="1" s="1"/>
  <c r="AZ29" i="1"/>
  <c r="BG29" i="1" s="1" a="1"/>
  <c r="BG29" i="1" s="1"/>
  <c r="AZ292" i="1"/>
  <c r="BG292" i="1" s="1" a="1"/>
  <c r="BG292" i="1" s="1"/>
  <c r="AZ166" i="1"/>
  <c r="BG166" i="1" s="1" a="1"/>
  <c r="BG166" i="1" s="1"/>
  <c r="AZ327" i="1"/>
  <c r="BG327" i="1" s="1" a="1"/>
  <c r="BG327" i="1" s="1"/>
  <c r="AZ121" i="1"/>
  <c r="BG121" i="1" s="1" a="1"/>
  <c r="BG121" i="1" s="1"/>
  <c r="AZ214" i="1"/>
  <c r="BG214" i="1" s="1" a="1"/>
  <c r="BG214" i="1" s="1"/>
  <c r="AZ299" i="1"/>
  <c r="BG299" i="1" s="1" a="1"/>
  <c r="BG299" i="1" s="1"/>
  <c r="AZ106" i="1"/>
  <c r="BG106" i="1" s="1" a="1"/>
  <c r="BG106" i="1" s="1"/>
  <c r="AZ46" i="1"/>
  <c r="BG46" i="1" s="1" a="1"/>
  <c r="BG46" i="1" s="1"/>
  <c r="AZ64" i="1"/>
  <c r="BG64" i="1" s="1" a="1"/>
  <c r="BG64" i="1" s="1"/>
  <c r="AZ21" i="1"/>
  <c r="BG21" i="1" s="1" a="1"/>
  <c r="BG21" i="1" s="1"/>
  <c r="AZ221" i="1"/>
  <c r="BG221" i="1" s="1" a="1"/>
  <c r="BG221" i="1" s="1"/>
  <c r="AZ147" i="1"/>
  <c r="BG147" i="1" s="1" a="1"/>
  <c r="BG147" i="1" s="1"/>
  <c r="AZ190" i="1"/>
  <c r="BG190" i="1" s="1" a="1"/>
  <c r="BG190" i="1" s="1"/>
  <c r="AZ272" i="1"/>
  <c r="BG272" i="1" s="1" a="1"/>
  <c r="BG272" i="1" s="1"/>
  <c r="AZ388" i="1"/>
  <c r="BG388" i="1" s="1" a="1"/>
  <c r="BG388" i="1" s="1"/>
  <c r="AZ434" i="1"/>
  <c r="BG434" i="1" s="1" a="1"/>
  <c r="BG434" i="1" s="1"/>
  <c r="AZ400" i="1"/>
  <c r="BG400" i="1" s="1" a="1"/>
  <c r="BG400" i="1" s="1"/>
  <c r="AZ407" i="1"/>
  <c r="BG407" i="1" s="1" a="1"/>
  <c r="BG407" i="1" s="1"/>
  <c r="AZ417" i="1"/>
  <c r="BG417" i="1" s="1" a="1"/>
  <c r="BG417" i="1" s="1"/>
  <c r="AZ418" i="1"/>
  <c r="BG418" i="1" s="1" a="1"/>
  <c r="BG418" i="1" s="1"/>
  <c r="AZ294" i="1"/>
  <c r="BG294" i="1" s="1" a="1"/>
  <c r="BG294" i="1" s="1"/>
  <c r="AZ386" i="1"/>
  <c r="BG386" i="1" s="1" a="1"/>
  <c r="BG386" i="1" s="1"/>
  <c r="AZ317" i="1"/>
  <c r="BG317" i="1" s="1" a="1"/>
  <c r="BG317" i="1" s="1"/>
  <c r="AZ277" i="1"/>
  <c r="BG277" i="1" s="1" a="1"/>
  <c r="BG277" i="1" s="1"/>
  <c r="AZ141" i="1"/>
  <c r="BG141" i="1" s="1" a="1"/>
  <c r="BG141" i="1" s="1"/>
  <c r="AZ200" i="1"/>
  <c r="BG200" i="1" s="1" a="1"/>
  <c r="BG200" i="1" s="1"/>
  <c r="AZ12" i="1"/>
  <c r="BG12" i="1" s="1" a="1"/>
  <c r="BG12" i="1" s="1"/>
  <c r="AZ173" i="1"/>
  <c r="BG173" i="1" s="1" a="1"/>
  <c r="BG173" i="1" s="1"/>
  <c r="AZ38" i="1"/>
  <c r="BG38" i="1" s="1" a="1"/>
  <c r="BG38" i="1" s="1"/>
  <c r="AZ328" i="1"/>
  <c r="BG328" i="1" s="1" a="1"/>
  <c r="BG328" i="1" s="1"/>
  <c r="AZ234" i="1"/>
  <c r="BG234" i="1" s="1" a="1"/>
  <c r="BG234" i="1" s="1"/>
  <c r="AZ67" i="1"/>
  <c r="BG67" i="1" s="1" a="1"/>
  <c r="BG67" i="1" s="1"/>
  <c r="AZ257" i="1"/>
  <c r="BG257" i="1" s="1" a="1"/>
  <c r="BG257" i="1" s="1"/>
  <c r="AZ73" i="1"/>
  <c r="BG73" i="1" s="1" a="1"/>
  <c r="BG73" i="1" s="1"/>
  <c r="AZ24" i="1"/>
  <c r="BG24" i="1" s="1" a="1"/>
  <c r="BG24" i="1" s="1"/>
  <c r="AZ243" i="1"/>
  <c r="BG243" i="1" s="1" a="1"/>
  <c r="BG243" i="1" s="1"/>
  <c r="AZ242" i="1"/>
  <c r="BG242" i="1" s="1" a="1"/>
  <c r="BG242" i="1" s="1"/>
  <c r="AZ285" i="1"/>
  <c r="BG285" i="1" s="1" a="1"/>
  <c r="BG285" i="1" s="1"/>
  <c r="AZ180" i="1"/>
  <c r="BG180" i="1" s="1" a="1"/>
  <c r="BG180" i="1" s="1"/>
  <c r="AZ128" i="1"/>
  <c r="BG128" i="1" s="1" a="1"/>
  <c r="BG128" i="1" s="1"/>
  <c r="AZ201" i="1"/>
  <c r="BG201" i="1" s="1" a="1"/>
  <c r="BG201" i="1" s="1"/>
  <c r="AZ40" i="1"/>
  <c r="BG40" i="1" s="1" a="1"/>
  <c r="BG40" i="1" s="1"/>
  <c r="AZ362" i="1"/>
  <c r="BG362" i="1" s="1" a="1"/>
  <c r="BG362" i="1" s="1"/>
  <c r="AZ428" i="1"/>
  <c r="BG428" i="1" s="1" a="1"/>
  <c r="BG428" i="1" s="1"/>
  <c r="AZ113" i="1"/>
  <c r="BG113" i="1" s="1" a="1"/>
  <c r="BG113" i="1" s="1"/>
  <c r="AZ289" i="1"/>
  <c r="BG289" i="1" s="1" a="1"/>
  <c r="BG289" i="1" s="1"/>
  <c r="AZ236" i="1"/>
  <c r="BG236" i="1" s="1" a="1"/>
  <c r="BG236" i="1" s="1"/>
  <c r="AZ9" i="1"/>
  <c r="BG9" i="1" s="1" a="1"/>
  <c r="BG9" i="1" s="1"/>
  <c r="AZ79" i="1"/>
  <c r="BG79" i="1" s="1" a="1"/>
  <c r="BG79" i="1" s="1"/>
  <c r="AZ93" i="1"/>
  <c r="BG93" i="1" s="1" a="1"/>
  <c r="BG93" i="1" s="1"/>
  <c r="AZ385" i="1"/>
  <c r="BG385" i="1" s="1" a="1"/>
  <c r="BG385" i="1" s="1"/>
  <c r="AZ152" i="1"/>
  <c r="BG152" i="1" s="1" a="1"/>
  <c r="BG152" i="1" s="1"/>
  <c r="AZ312" i="1"/>
  <c r="BG312" i="1" s="1" a="1"/>
  <c r="BG312" i="1" s="1"/>
  <c r="AZ339" i="1"/>
  <c r="BG339" i="1" s="1" a="1"/>
  <c r="BG339" i="1" s="1"/>
  <c r="AZ392" i="1"/>
  <c r="BG392" i="1" s="1" a="1"/>
  <c r="BG392" i="1" s="1"/>
  <c r="AZ240" i="1"/>
  <c r="BG240" i="1" s="1" a="1"/>
  <c r="BG240" i="1" s="1"/>
  <c r="AZ278" i="1"/>
  <c r="BG278" i="1" s="1" a="1"/>
  <c r="BG278" i="1" s="1"/>
  <c r="AZ216" i="1"/>
  <c r="BG216" i="1" s="1" a="1"/>
  <c r="BG216" i="1" s="1"/>
  <c r="AZ379" i="1"/>
  <c r="BG379" i="1" s="1" a="1"/>
  <c r="BG379" i="1" s="1"/>
  <c r="AZ174" i="1"/>
  <c r="BG174" i="1" s="1" a="1"/>
  <c r="BG174" i="1" s="1"/>
  <c r="AZ84" i="1"/>
  <c r="BG84" i="1" s="1" a="1"/>
  <c r="BG84" i="1" s="1"/>
  <c r="AZ281" i="1"/>
  <c r="BG281" i="1" s="1" a="1"/>
  <c r="BG281" i="1" s="1"/>
  <c r="AZ336" i="1"/>
  <c r="BG336" i="1" s="1" a="1"/>
  <c r="BG336" i="1" s="1"/>
  <c r="AZ60" i="1"/>
  <c r="BG60" i="1" s="1" a="1"/>
  <c r="BG60" i="1" s="1"/>
  <c r="AZ194" i="1"/>
  <c r="BG194" i="1" s="1" a="1"/>
  <c r="BG194" i="1" s="1"/>
  <c r="AZ133" i="1"/>
  <c r="BG133" i="1" s="1" a="1"/>
  <c r="BG133" i="1" s="1"/>
  <c r="AZ156" i="1"/>
  <c r="BG156" i="1" s="1" a="1"/>
  <c r="BG156" i="1" s="1"/>
  <c r="AZ435" i="1"/>
  <c r="BG435" i="1" s="1" a="1"/>
  <c r="BG435" i="1" s="1"/>
  <c r="AZ402" i="1"/>
  <c r="BG402" i="1" s="1" a="1"/>
  <c r="BG402" i="1" s="1"/>
  <c r="AZ369" i="1"/>
  <c r="BG369" i="1" s="1" a="1"/>
  <c r="BG369" i="1" s="1"/>
  <c r="AZ137" i="1"/>
  <c r="BG137" i="1" s="1" a="1"/>
  <c r="BG137" i="1" s="1"/>
  <c r="AZ37" i="1"/>
  <c r="BG37" i="1" s="1" a="1"/>
  <c r="BG37" i="1" s="1"/>
  <c r="AZ127" i="1"/>
  <c r="BG127" i="1" s="1" a="1"/>
  <c r="BG127" i="1" s="1"/>
  <c r="AZ394" i="1"/>
  <c r="BG394" i="1" s="1" a="1"/>
  <c r="BG394" i="1" s="1"/>
  <c r="AZ189" i="1"/>
  <c r="BG189" i="1" s="1" a="1"/>
  <c r="BG189" i="1" s="1"/>
  <c r="AZ99" i="1"/>
  <c r="BG99" i="1" s="1" a="1"/>
  <c r="BG99" i="1" s="1"/>
  <c r="AZ322" i="1"/>
  <c r="BG322" i="1" s="1" a="1"/>
  <c r="BG322" i="1" s="1"/>
  <c r="AZ83" i="1"/>
  <c r="BG83" i="1" s="1" a="1"/>
  <c r="BG83" i="1" s="1"/>
  <c r="AZ276" i="1"/>
  <c r="BG276" i="1" s="1" a="1"/>
  <c r="BG276" i="1" s="1"/>
  <c r="AZ334" i="1"/>
  <c r="BG334" i="1" s="1" a="1"/>
  <c r="BG334" i="1" s="1"/>
  <c r="AZ153" i="1"/>
  <c r="BG153" i="1" s="1" a="1"/>
  <c r="BG153" i="1" s="1"/>
  <c r="AZ226" i="1"/>
  <c r="BG226" i="1" s="1" a="1"/>
  <c r="BG226" i="1" s="1"/>
  <c r="AZ282" i="1"/>
  <c r="BG282" i="1" s="1" a="1"/>
  <c r="BG282" i="1" s="1"/>
  <c r="AZ159" i="1"/>
  <c r="BG159" i="1" s="1" a="1"/>
  <c r="BG159" i="1" s="1"/>
  <c r="AZ273" i="1"/>
  <c r="BG273" i="1" s="1" a="1"/>
  <c r="BG273" i="1" s="1"/>
  <c r="AZ97" i="1"/>
  <c r="BG97" i="1" s="1" a="1"/>
  <c r="BG97" i="1" s="1"/>
  <c r="AZ311" i="1"/>
  <c r="BG311" i="1" s="1" a="1"/>
  <c r="BG311" i="1" s="1"/>
  <c r="AZ161" i="1"/>
  <c r="BG161" i="1" s="1" a="1"/>
  <c r="BG161" i="1" s="1"/>
  <c r="AZ92" i="1"/>
  <c r="BG92" i="1" s="1" a="1"/>
  <c r="BG92" i="1" s="1"/>
  <c r="AZ357" i="1"/>
  <c r="BG357" i="1" s="1" a="1"/>
  <c r="BG357" i="1" s="1"/>
  <c r="AZ415" i="1"/>
  <c r="BG415" i="1" s="1" a="1"/>
  <c r="BG415" i="1" s="1"/>
  <c r="AZ395" i="1"/>
  <c r="BG395" i="1" s="1" a="1"/>
  <c r="BG395" i="1" s="1"/>
  <c r="AZ404" i="1"/>
  <c r="BG404" i="1" s="1" a="1"/>
  <c r="BG404" i="1" s="1"/>
  <c r="AZ412" i="1"/>
  <c r="BG412" i="1" s="1" a="1"/>
  <c r="BG412" i="1" s="1"/>
  <c r="AZ411" i="1"/>
  <c r="BG411" i="1" s="1" a="1"/>
  <c r="BG411" i="1" s="1"/>
  <c r="AZ413" i="1"/>
  <c r="BG413" i="1" s="1" a="1"/>
  <c r="BG413" i="1" s="1"/>
  <c r="AZ248" i="1"/>
  <c r="AZ61" i="1"/>
  <c r="BG61" i="1" s="1" a="1"/>
  <c r="BG61" i="1" s="1"/>
  <c r="AZ425" i="1"/>
  <c r="BG425" i="1" s="1" a="1"/>
  <c r="BG425" i="1" s="1"/>
  <c r="Q461" i="1"/>
  <c r="Q462" i="1"/>
  <c r="AD462" i="1"/>
  <c r="AE462" i="1" s="1"/>
  <c r="BX462" i="1"/>
  <c r="AB462" i="1"/>
  <c r="W462" i="1"/>
  <c r="BX461" i="1"/>
  <c r="AB461" i="1"/>
  <c r="AD461" i="1"/>
  <c r="AE461" i="1" s="1"/>
  <c r="W461" i="1"/>
  <c r="Q458" i="1"/>
  <c r="AD458" i="1"/>
  <c r="AE458" i="1" s="1"/>
  <c r="W458" i="1"/>
  <c r="W460" i="1"/>
  <c r="BX460" i="1"/>
  <c r="AB460" i="1"/>
  <c r="AD460" i="1"/>
  <c r="AE460" i="1" s="1"/>
  <c r="Q459" i="1"/>
  <c r="Q460" i="1"/>
  <c r="AD455" i="1"/>
  <c r="AE455" i="1" s="1"/>
  <c r="AB456" i="1"/>
  <c r="W456" i="1"/>
  <c r="Q456" i="1"/>
  <c r="W459" i="1"/>
  <c r="AD459" i="1"/>
  <c r="AE459" i="1" s="1"/>
  <c r="BX457" i="1"/>
  <c r="BX458" i="1"/>
  <c r="AB458" i="1"/>
  <c r="BX459" i="1"/>
  <c r="AB459" i="1"/>
  <c r="AD456" i="1"/>
  <c r="AE456" i="1" s="1"/>
  <c r="AY442" i="1"/>
  <c r="W455" i="1"/>
  <c r="AB455" i="1"/>
  <c r="Q455" i="1"/>
  <c r="CY439" i="1"/>
  <c r="BY471" i="1"/>
  <c r="CY453" i="1"/>
  <c r="AX440" i="1"/>
  <c r="AX439" i="1"/>
  <c r="BX447" i="1"/>
  <c r="AX458" i="1"/>
  <c r="AX469" i="1"/>
  <c r="BY447" i="1"/>
  <c r="CY468" i="1"/>
  <c r="AX452" i="1"/>
  <c r="BX471" i="1"/>
  <c r="CX479" i="1"/>
  <c r="AX447" i="1"/>
  <c r="AX437" i="1"/>
  <c r="AX450" i="1"/>
  <c r="CY471" i="1"/>
  <c r="BX438" i="1"/>
  <c r="BX439" i="1"/>
  <c r="AX444" i="1"/>
  <c r="AX446" i="1"/>
  <c r="AX453" i="1"/>
  <c r="CY456" i="1"/>
  <c r="AX471" i="1"/>
  <c r="AX460" i="1"/>
  <c r="BY449" i="1"/>
  <c r="AX455" i="1"/>
  <c r="CX472" i="1"/>
  <c r="AX449" i="1"/>
  <c r="AX445" i="1"/>
  <c r="CY472" i="1"/>
  <c r="AX472" i="1"/>
  <c r="BY439" i="1"/>
  <c r="AX454" i="1"/>
  <c r="AX456" i="1"/>
  <c r="BX456" i="1"/>
  <c r="AX461" i="1"/>
  <c r="AX457" i="1"/>
  <c r="BY472" i="1"/>
  <c r="CY438" i="1"/>
  <c r="BY455" i="1"/>
  <c r="BY456" i="1"/>
  <c r="CY455" i="1"/>
  <c r="AX470" i="1"/>
  <c r="BY468" i="1"/>
  <c r="BX472" i="1"/>
  <c r="AX443" i="1"/>
  <c r="BY453" i="1"/>
  <c r="CY447" i="1"/>
  <c r="BX449" i="1"/>
  <c r="BX468" i="1"/>
  <c r="AX451" i="1"/>
  <c r="BY438" i="1"/>
  <c r="AX438" i="1"/>
  <c r="AX459" i="1"/>
  <c r="AX462" i="1"/>
  <c r="AX448" i="1"/>
  <c r="AX441" i="1"/>
  <c r="V479" i="1" l="1"/>
  <c r="AI456" i="1"/>
  <c r="AI471" i="1"/>
  <c r="AI455" i="1"/>
  <c r="AI463" i="1"/>
  <c r="AI460" i="1"/>
  <c r="AI468" i="1"/>
  <c r="BF248" i="1" a="1"/>
  <c r="BF248" i="1" s="1"/>
  <c r="BG248" i="1" a="1"/>
  <c r="BG248" i="1" s="1"/>
  <c r="AA468" i="1"/>
  <c r="Y468" i="1" s="1"/>
  <c r="AY443" i="1"/>
  <c r="V443" i="1" s="1"/>
  <c r="AJ443" i="1" s="1"/>
  <c r="AY448" i="1"/>
  <c r="AA458" i="1"/>
  <c r="Y458" i="1" s="1"/>
  <c r="AY458" i="1"/>
  <c r="V458" i="1" s="1"/>
  <c r="AA472" i="1"/>
  <c r="Y472" i="1" s="1"/>
  <c r="AA455" i="1"/>
  <c r="Y455" i="1" s="1"/>
  <c r="AA469" i="1"/>
  <c r="Y469" i="1" s="1"/>
  <c r="AY469" i="1"/>
  <c r="V469" i="1" s="1"/>
  <c r="AY445" i="1"/>
  <c r="AY437" i="1"/>
  <c r="AY449" i="1"/>
  <c r="AY447" i="1"/>
  <c r="AA460" i="1"/>
  <c r="Y460" i="1" s="1"/>
  <c r="AY460" i="1"/>
  <c r="V460" i="1" s="1"/>
  <c r="AJ460" i="1" s="1"/>
  <c r="AY471" i="1"/>
  <c r="AA471" i="1"/>
  <c r="Y471" i="1" s="1"/>
  <c r="AY462" i="1"/>
  <c r="V462" i="1" s="1"/>
  <c r="AA462" i="1"/>
  <c r="Y462" i="1" s="1"/>
  <c r="AY456" i="1"/>
  <c r="AY446" i="1"/>
  <c r="AY461" i="1"/>
  <c r="V461" i="1" s="1"/>
  <c r="AA461" i="1"/>
  <c r="Y461" i="1" s="1"/>
  <c r="AA456" i="1"/>
  <c r="Y456" i="1" s="1"/>
  <c r="AY439" i="1"/>
  <c r="AY470" i="1"/>
  <c r="V470" i="1" s="1"/>
  <c r="AA470" i="1"/>
  <c r="Y470" i="1" s="1"/>
  <c r="AY472" i="1"/>
  <c r="V472" i="1" s="1"/>
  <c r="AY438" i="1"/>
  <c r="AY459" i="1"/>
  <c r="V459" i="1" s="1"/>
  <c r="AA459" i="1"/>
  <c r="Y459" i="1" s="1"/>
  <c r="AY452" i="1"/>
  <c r="AY457" i="1"/>
  <c r="V457" i="1" s="1"/>
  <c r="AA457" i="1"/>
  <c r="Y457" i="1" s="1"/>
  <c r="AY453" i="1"/>
  <c r="AY440" i="1"/>
  <c r="AY451" i="1"/>
  <c r="V463" i="1"/>
  <c r="AJ463" i="1" s="1"/>
  <c r="V467" i="1"/>
  <c r="V464" i="1"/>
  <c r="Q464" i="1"/>
  <c r="AB464" i="1"/>
  <c r="Y467" i="1"/>
  <c r="Y466" i="1"/>
  <c r="Y464" i="1"/>
  <c r="Y465" i="1"/>
  <c r="Y463" i="1"/>
  <c r="BF281" i="1" a="1"/>
  <c r="BF281" i="1" s="1"/>
  <c r="BA281" i="1"/>
  <c r="DZ281" i="1" s="1"/>
  <c r="BF147" i="1" a="1"/>
  <c r="BF147" i="1" s="1"/>
  <c r="BA147" i="1"/>
  <c r="BF140" i="1" a="1"/>
  <c r="BF140" i="1" s="1"/>
  <c r="BA140" i="1"/>
  <c r="BA379" i="1"/>
  <c r="BF379" i="1" a="1"/>
  <c r="BF379" i="1" s="1"/>
  <c r="BF221" i="1" a="1"/>
  <c r="BF221" i="1" s="1"/>
  <c r="BA221" i="1"/>
  <c r="BF357" i="1" a="1"/>
  <c r="BF357" i="1" s="1"/>
  <c r="BA357" i="1"/>
  <c r="BF21" i="1" a="1"/>
  <c r="BF21" i="1" s="1"/>
  <c r="BA21" i="1"/>
  <c r="BA376" i="1"/>
  <c r="BF376" i="1" a="1"/>
  <c r="BF376" i="1" s="1"/>
  <c r="BF127" i="1" a="1"/>
  <c r="BF127" i="1" s="1"/>
  <c r="BA127" i="1"/>
  <c r="DZ127" i="1" s="1"/>
  <c r="BF141" i="1" a="1"/>
  <c r="BF141" i="1" s="1"/>
  <c r="BA141" i="1"/>
  <c r="BF350" i="1" a="1"/>
  <c r="BF350" i="1" s="1"/>
  <c r="BA350" i="1"/>
  <c r="BA262" i="1"/>
  <c r="DZ262" i="1" s="1"/>
  <c r="BF262" i="1" a="1"/>
  <c r="BF262" i="1" s="1"/>
  <c r="BA215" i="1"/>
  <c r="DZ215" i="1" s="1"/>
  <c r="BF215" i="1" a="1"/>
  <c r="BF215" i="1" s="1"/>
  <c r="BF161" i="1" a="1"/>
  <c r="BF161" i="1" s="1"/>
  <c r="BA161" i="1"/>
  <c r="DZ161" i="1" s="1"/>
  <c r="BF240" i="1" a="1"/>
  <c r="BF240" i="1" s="1"/>
  <c r="BA240" i="1"/>
  <c r="BA311" i="1"/>
  <c r="BF311" i="1" a="1"/>
  <c r="BF311" i="1" s="1"/>
  <c r="BF137" i="1" a="1"/>
  <c r="BF137" i="1" s="1"/>
  <c r="BA137" i="1"/>
  <c r="BF392" i="1" a="1"/>
  <c r="BF392" i="1" s="1"/>
  <c r="BA392" i="1"/>
  <c r="BF180" i="1" a="1"/>
  <c r="BF180" i="1" s="1"/>
  <c r="BA180" i="1"/>
  <c r="BF317" i="1" a="1"/>
  <c r="BF317" i="1" s="1"/>
  <c r="BA317" i="1"/>
  <c r="BF106" i="1" a="1"/>
  <c r="BF106" i="1" s="1"/>
  <c r="BA106" i="1"/>
  <c r="BF187" i="1" a="1"/>
  <c r="BF187" i="1" s="1"/>
  <c r="BA187" i="1"/>
  <c r="BF384" i="1" a="1"/>
  <c r="BF384" i="1" s="1"/>
  <c r="BA384" i="1"/>
  <c r="BF149" i="1" a="1"/>
  <c r="BF149" i="1" s="1"/>
  <c r="BA149" i="1"/>
  <c r="BA178" i="1"/>
  <c r="DZ178" i="1" s="1"/>
  <c r="BF178" i="1" a="1"/>
  <c r="BF178" i="1" s="1"/>
  <c r="BA325" i="1"/>
  <c r="BF325" i="1" a="1"/>
  <c r="BF325" i="1" s="1"/>
  <c r="BF151" i="1" a="1"/>
  <c r="BF151" i="1" s="1"/>
  <c r="BA151" i="1"/>
  <c r="BF231" i="1" a="1"/>
  <c r="BF231" i="1" s="1"/>
  <c r="BA231" i="1"/>
  <c r="BF191" i="1" a="1"/>
  <c r="BF191" i="1" s="1"/>
  <c r="BA191" i="1"/>
  <c r="BA211" i="1"/>
  <c r="BF211" i="1" a="1"/>
  <c r="BF211" i="1" s="1"/>
  <c r="BA230" i="1"/>
  <c r="BF230" i="1" a="1"/>
  <c r="BF230" i="1" s="1"/>
  <c r="BF286" i="1" a="1"/>
  <c r="BF286" i="1" s="1"/>
  <c r="BA286" i="1"/>
  <c r="BF145" i="1" a="1"/>
  <c r="BF145" i="1" s="1"/>
  <c r="BA145" i="1"/>
  <c r="DZ145" i="1" s="1"/>
  <c r="BF135" i="1" a="1"/>
  <c r="BF135" i="1" s="1"/>
  <c r="BA135" i="1"/>
  <c r="CQ135" i="1" s="1"/>
  <c r="BF252" i="1" a="1"/>
  <c r="BF252" i="1" s="1"/>
  <c r="BA252" i="1"/>
  <c r="DZ252" i="1" s="1"/>
  <c r="BF274" i="1" a="1"/>
  <c r="BF274" i="1" s="1"/>
  <c r="BA274" i="1"/>
  <c r="BF72" i="1" a="1"/>
  <c r="BF72" i="1" s="1"/>
  <c r="BA72" i="1"/>
  <c r="BF125" i="1" a="1"/>
  <c r="BF125" i="1" s="1"/>
  <c r="BA125" i="1"/>
  <c r="BF120" i="1" a="1"/>
  <c r="BF120" i="1" s="1"/>
  <c r="BA120" i="1"/>
  <c r="BA91" i="1"/>
  <c r="BF91" i="1" a="1"/>
  <c r="BF91" i="1" s="1"/>
  <c r="BA246" i="1"/>
  <c r="BF246" i="1" a="1"/>
  <c r="BF246" i="1" s="1"/>
  <c r="BA457" i="1"/>
  <c r="BF457" i="1" a="1"/>
  <c r="BF457" i="1" s="1"/>
  <c r="BF97" i="1" a="1"/>
  <c r="BF97" i="1" s="1"/>
  <c r="BA97" i="1"/>
  <c r="BF369" i="1" a="1"/>
  <c r="BF369" i="1" s="1"/>
  <c r="BA369" i="1"/>
  <c r="BA339" i="1"/>
  <c r="BF339" i="1" a="1"/>
  <c r="BF339" i="1" s="1"/>
  <c r="BF285" i="1" a="1"/>
  <c r="BF285" i="1" s="1"/>
  <c r="BA285" i="1"/>
  <c r="BF386" i="1" a="1"/>
  <c r="BF386" i="1" s="1"/>
  <c r="BA386" i="1"/>
  <c r="BF299" i="1" a="1"/>
  <c r="BF299" i="1" s="1"/>
  <c r="BA299" i="1"/>
  <c r="BF34" i="1" a="1"/>
  <c r="BF34" i="1" s="1"/>
  <c r="BA34" i="1"/>
  <c r="DZ34" i="1" s="1"/>
  <c r="BF380" i="1" a="1"/>
  <c r="BF380" i="1" s="1"/>
  <c r="BA380" i="1"/>
  <c r="BF351" i="1" a="1"/>
  <c r="BF351" i="1" s="1"/>
  <c r="BA351" i="1"/>
  <c r="BF94" i="1" a="1"/>
  <c r="BF94" i="1" s="1"/>
  <c r="BA94" i="1"/>
  <c r="BF290" i="1" a="1"/>
  <c r="BF290" i="1" s="1"/>
  <c r="BA290" i="1"/>
  <c r="BF41" i="1" a="1"/>
  <c r="BF41" i="1" s="1"/>
  <c r="BA41" i="1"/>
  <c r="BF223" i="1" a="1"/>
  <c r="BF223" i="1" s="1"/>
  <c r="BA223" i="1"/>
  <c r="BF197" i="1" a="1"/>
  <c r="BF197" i="1" s="1"/>
  <c r="BA197" i="1"/>
  <c r="BF293" i="1" a="1"/>
  <c r="BF293" i="1" s="1"/>
  <c r="BA293" i="1"/>
  <c r="BF267" i="1" a="1"/>
  <c r="BF267" i="1" s="1"/>
  <c r="BA267" i="1"/>
  <c r="BF196" i="1" a="1"/>
  <c r="BF196" i="1" s="1"/>
  <c r="BA196" i="1"/>
  <c r="BF364" i="1" a="1"/>
  <c r="BF364" i="1" s="1"/>
  <c r="BA364" i="1"/>
  <c r="BF111" i="1" a="1"/>
  <c r="BF111" i="1" s="1"/>
  <c r="BA111" i="1"/>
  <c r="BF87" i="1" a="1"/>
  <c r="BF87" i="1" s="1"/>
  <c r="BA87" i="1"/>
  <c r="BF172" i="1" a="1"/>
  <c r="BF172" i="1" s="1"/>
  <c r="BA172" i="1"/>
  <c r="BF228" i="1" a="1"/>
  <c r="BF228" i="1" s="1"/>
  <c r="BA228" i="1"/>
  <c r="BF171" i="1" a="1"/>
  <c r="BF171" i="1" s="1"/>
  <c r="BA171" i="1"/>
  <c r="DZ171" i="1" s="1"/>
  <c r="BF144" i="1" a="1"/>
  <c r="BF144" i="1" s="1"/>
  <c r="BA144" i="1"/>
  <c r="BA225" i="1"/>
  <c r="BF225" i="1" a="1"/>
  <c r="BF225" i="1" s="1"/>
  <c r="BF142" i="1" a="1"/>
  <c r="BF142" i="1" s="1"/>
  <c r="BA142" i="1"/>
  <c r="BA438" i="1"/>
  <c r="BF438" i="1" a="1"/>
  <c r="BF438" i="1" s="1"/>
  <c r="BF242" i="1" a="1"/>
  <c r="BF242" i="1" s="1"/>
  <c r="BA242" i="1"/>
  <c r="BF105" i="1" a="1"/>
  <c r="BF105" i="1" s="1"/>
  <c r="BA105" i="1"/>
  <c r="DZ105" i="1" s="1"/>
  <c r="BF340" i="1" a="1"/>
  <c r="BF340" i="1" s="1"/>
  <c r="BA340" i="1"/>
  <c r="BF160" i="1" a="1"/>
  <c r="BF160" i="1" s="1"/>
  <c r="BA160" i="1"/>
  <c r="BF332" i="1" a="1"/>
  <c r="BF332" i="1" s="1"/>
  <c r="BA332" i="1"/>
  <c r="BF310" i="1" a="1"/>
  <c r="BF310" i="1" s="1"/>
  <c r="BA310" i="1"/>
  <c r="BA25" i="1"/>
  <c r="BF25" i="1" a="1"/>
  <c r="BF25" i="1" s="1"/>
  <c r="BF49" i="1" a="1"/>
  <c r="BF49" i="1" s="1"/>
  <c r="BA49" i="1"/>
  <c r="BF378" i="1" a="1"/>
  <c r="BF378" i="1" s="1"/>
  <c r="BA378" i="1"/>
  <c r="DZ378" i="1" s="1"/>
  <c r="BF165" i="1" a="1"/>
  <c r="BF165" i="1" s="1"/>
  <c r="BA165" i="1"/>
  <c r="BF360" i="1" a="1"/>
  <c r="BF360" i="1" s="1"/>
  <c r="BA360" i="1"/>
  <c r="BF20" i="1" a="1"/>
  <c r="BF20" i="1" s="1"/>
  <c r="BA20" i="1"/>
  <c r="BF154" i="1" a="1"/>
  <c r="BF154" i="1" s="1"/>
  <c r="BA154" i="1"/>
  <c r="BF335" i="1" a="1"/>
  <c r="BF335" i="1" s="1"/>
  <c r="BA335" i="1"/>
  <c r="BF393" i="1" a="1"/>
  <c r="BF393" i="1" s="1"/>
  <c r="BA393" i="1"/>
  <c r="BF245" i="1" a="1"/>
  <c r="BF245" i="1" s="1"/>
  <c r="BA245" i="1"/>
  <c r="BA367" i="1"/>
  <c r="BF367" i="1" a="1"/>
  <c r="BF367" i="1" s="1"/>
  <c r="BA169" i="1"/>
  <c r="BF169" i="1" a="1"/>
  <c r="BF169" i="1" s="1"/>
  <c r="BA441" i="1"/>
  <c r="BF441" i="1" a="1"/>
  <c r="BF441" i="1" s="1"/>
  <c r="BF214" i="1" a="1"/>
  <c r="BF214" i="1" s="1"/>
  <c r="BA214" i="1"/>
  <c r="BF121" i="1" a="1"/>
  <c r="BF121" i="1" s="1"/>
  <c r="BA121" i="1"/>
  <c r="BA139" i="1"/>
  <c r="BF139" i="1" a="1"/>
  <c r="BF139" i="1" s="1"/>
  <c r="BA247" i="1"/>
  <c r="BF247" i="1" a="1"/>
  <c r="BF247" i="1" s="1"/>
  <c r="BF162" i="1" a="1"/>
  <c r="BF162" i="1" s="1"/>
  <c r="BA162" i="1"/>
  <c r="BF302" i="1" a="1"/>
  <c r="BF302" i="1" s="1"/>
  <c r="BA302" i="1"/>
  <c r="BF33" i="1" a="1"/>
  <c r="BF33" i="1" s="1"/>
  <c r="BA33" i="1"/>
  <c r="BF244" i="1" a="1"/>
  <c r="BF244" i="1" s="1"/>
  <c r="BA244" i="1"/>
  <c r="DZ244" i="1" s="1"/>
  <c r="BF269" i="1" a="1"/>
  <c r="BF269" i="1" s="1"/>
  <c r="BA269" i="1"/>
  <c r="BF313" i="1" a="1"/>
  <c r="BF313" i="1" s="1"/>
  <c r="BA313" i="1"/>
  <c r="BA235" i="1"/>
  <c r="BF235" i="1" a="1"/>
  <c r="BF235" i="1" s="1"/>
  <c r="BF183" i="1" a="1"/>
  <c r="BF183" i="1" s="1"/>
  <c r="BA183" i="1"/>
  <c r="BF69" i="1" a="1"/>
  <c r="BF69" i="1" s="1"/>
  <c r="BA69" i="1"/>
  <c r="BF279" i="1" a="1"/>
  <c r="BF279" i="1" s="1"/>
  <c r="BA279" i="1"/>
  <c r="BF71" i="1" a="1"/>
  <c r="BF71" i="1" s="1"/>
  <c r="BA71" i="1"/>
  <c r="DZ71" i="1" s="1"/>
  <c r="BF52" i="1" a="1"/>
  <c r="BF52" i="1" s="1"/>
  <c r="BA52" i="1"/>
  <c r="BF368" i="1" a="1"/>
  <c r="BF368" i="1" s="1"/>
  <c r="BA368" i="1"/>
  <c r="DZ368" i="1" s="1"/>
  <c r="BF68" i="1" a="1"/>
  <c r="BF68" i="1" s="1"/>
  <c r="BA68" i="1"/>
  <c r="BF134" i="1" a="1"/>
  <c r="BF134" i="1" s="1"/>
  <c r="BA134" i="1"/>
  <c r="BA122" i="1"/>
  <c r="BF122" i="1" a="1"/>
  <c r="BF122" i="1" s="1"/>
  <c r="BF42" i="1" a="1"/>
  <c r="BF42" i="1" s="1"/>
  <c r="BA42" i="1"/>
  <c r="BF460" i="1" a="1"/>
  <c r="BF460" i="1" s="1"/>
  <c r="BA460" i="1"/>
  <c r="BF312" i="1" a="1"/>
  <c r="BF312" i="1" s="1"/>
  <c r="BA312" i="1"/>
  <c r="BF327" i="1" a="1"/>
  <c r="BF327" i="1" s="1"/>
  <c r="BA327" i="1"/>
  <c r="BF220" i="1" a="1"/>
  <c r="BF220" i="1" s="1"/>
  <c r="BA220" i="1"/>
  <c r="BF74" i="1" a="1"/>
  <c r="BF74" i="1" s="1"/>
  <c r="BA74" i="1"/>
  <c r="DZ74" i="1" s="1"/>
  <c r="BF255" i="1" a="1"/>
  <c r="BF255" i="1" s="1"/>
  <c r="BA255" i="1"/>
  <c r="BF146" i="1" a="1"/>
  <c r="BF146" i="1" s="1"/>
  <c r="BA146" i="1"/>
  <c r="BF352" i="1" a="1"/>
  <c r="BF352" i="1" s="1"/>
  <c r="BA352" i="1"/>
  <c r="DZ352" i="1" s="1"/>
  <c r="BF329" i="1" a="1"/>
  <c r="BF329" i="1" s="1"/>
  <c r="BA329" i="1"/>
  <c r="BF390" i="1" a="1"/>
  <c r="BF390" i="1" s="1"/>
  <c r="BA390" i="1"/>
  <c r="BF227" i="1" a="1"/>
  <c r="BF227" i="1" s="1"/>
  <c r="BA227" i="1"/>
  <c r="BF17" i="1" a="1"/>
  <c r="BF17" i="1" s="1"/>
  <c r="BA17" i="1"/>
  <c r="BF168" i="1" a="1"/>
  <c r="BF168" i="1" s="1"/>
  <c r="BA168" i="1"/>
  <c r="BF18" i="1" a="1"/>
  <c r="BF18" i="1" s="1"/>
  <c r="BA18" i="1"/>
  <c r="BF103" i="1" a="1"/>
  <c r="BF103" i="1" s="1"/>
  <c r="BA103" i="1"/>
  <c r="BF224" i="1" a="1"/>
  <c r="BF224" i="1" s="1"/>
  <c r="BA224" i="1"/>
  <c r="BF365" i="1" a="1"/>
  <c r="BF365" i="1" s="1"/>
  <c r="BA365" i="1"/>
  <c r="BF399" i="1" a="1"/>
  <c r="BF399" i="1" s="1"/>
  <c r="BA399" i="1"/>
  <c r="BA250" i="1"/>
  <c r="BF250" i="1" a="1"/>
  <c r="BF250" i="1" s="1"/>
  <c r="BA442" i="1"/>
  <c r="BF442" i="1" a="1"/>
  <c r="BF442" i="1" s="1"/>
  <c r="BA443" i="1"/>
  <c r="BF443" i="1" a="1"/>
  <c r="BF443" i="1" s="1"/>
  <c r="BF294" i="1" a="1"/>
  <c r="BF294" i="1" s="1"/>
  <c r="BA294" i="1"/>
  <c r="BF243" i="1" a="1"/>
  <c r="BF243" i="1" s="1"/>
  <c r="BA243" i="1"/>
  <c r="BF24" i="1" a="1"/>
  <c r="BF24" i="1" s="1"/>
  <c r="BA24" i="1"/>
  <c r="BF93" i="1" a="1"/>
  <c r="BF93" i="1" s="1"/>
  <c r="BA93" i="1"/>
  <c r="BF166" i="1" a="1"/>
  <c r="BF166" i="1" s="1"/>
  <c r="BA166" i="1"/>
  <c r="BF45" i="1" a="1"/>
  <c r="BF45" i="1" s="1"/>
  <c r="BA45" i="1"/>
  <c r="BF253" i="1" a="1"/>
  <c r="BF253" i="1" s="1"/>
  <c r="BA253" i="1"/>
  <c r="BF55" i="1" a="1"/>
  <c r="BF55" i="1" s="1"/>
  <c r="BA55" i="1"/>
  <c r="DZ55" i="1" s="1"/>
  <c r="BF51" i="1" a="1"/>
  <c r="BF51" i="1" s="1"/>
  <c r="BA51" i="1"/>
  <c r="BF206" i="1" a="1"/>
  <c r="BF206" i="1" s="1"/>
  <c r="BA206" i="1"/>
  <c r="BF104" i="1" a="1"/>
  <c r="BF104" i="1" s="1"/>
  <c r="BA104" i="1"/>
  <c r="BF47" i="1" a="1"/>
  <c r="BF47" i="1" s="1"/>
  <c r="BA47" i="1"/>
  <c r="BF256" i="1" a="1"/>
  <c r="BF256" i="1" s="1"/>
  <c r="BA256" i="1"/>
  <c r="BF372" i="1" a="1"/>
  <c r="BF372" i="1" s="1"/>
  <c r="BA372" i="1"/>
  <c r="DZ372" i="1" s="1"/>
  <c r="BF53" i="1" a="1"/>
  <c r="BF53" i="1" s="1"/>
  <c r="BA53" i="1"/>
  <c r="BF202" i="1" a="1"/>
  <c r="BF202" i="1" s="1"/>
  <c r="BA202" i="1"/>
  <c r="BF78" i="1" a="1"/>
  <c r="BF78" i="1" s="1"/>
  <c r="BA78" i="1"/>
  <c r="BF199" i="1" a="1"/>
  <c r="BF199" i="1" s="1"/>
  <c r="BA199" i="1"/>
  <c r="BA305" i="1"/>
  <c r="BF305" i="1" a="1"/>
  <c r="BF305" i="1" s="1"/>
  <c r="BF300" i="1" a="1"/>
  <c r="BF300" i="1" s="1"/>
  <c r="BA300" i="1"/>
  <c r="BF347" i="1" a="1"/>
  <c r="BF347" i="1" s="1"/>
  <c r="BA347" i="1"/>
  <c r="BF116" i="1" a="1"/>
  <c r="BF116" i="1" s="1"/>
  <c r="BA116" i="1"/>
  <c r="BA263" i="1"/>
  <c r="BF263" i="1" a="1"/>
  <c r="BF263" i="1" s="1"/>
  <c r="BA447" i="1"/>
  <c r="BF447" i="1" a="1"/>
  <c r="BF447" i="1" s="1"/>
  <c r="BF452" i="1" a="1"/>
  <c r="BF452" i="1" s="1"/>
  <c r="BA452" i="1"/>
  <c r="BF273" i="1" a="1"/>
  <c r="BF273" i="1" s="1"/>
  <c r="BA273" i="1"/>
  <c r="BF355" i="1" a="1"/>
  <c r="BF355" i="1" s="1"/>
  <c r="BA355" i="1"/>
  <c r="BF152" i="1" a="1"/>
  <c r="BF152" i="1" s="1"/>
  <c r="BA152" i="1"/>
  <c r="BF156" i="1" a="1"/>
  <c r="BF156" i="1" s="1"/>
  <c r="BA156" i="1"/>
  <c r="BF184" i="1" a="1"/>
  <c r="BF184" i="1" s="1"/>
  <c r="BA184" i="1"/>
  <c r="BF133" i="1" a="1"/>
  <c r="BF133" i="1" s="1"/>
  <c r="BA133" i="1"/>
  <c r="DZ133" i="1" s="1"/>
  <c r="BA73" i="1"/>
  <c r="BF73" i="1" a="1"/>
  <c r="BF73" i="1" s="1"/>
  <c r="BF204" i="1" a="1"/>
  <c r="BF204" i="1" s="1"/>
  <c r="BA204" i="1"/>
  <c r="BF153" i="1" a="1"/>
  <c r="BF153" i="1" s="1"/>
  <c r="BA153" i="1"/>
  <c r="DZ153" i="1" s="1"/>
  <c r="BF257" i="1" a="1"/>
  <c r="BF257" i="1" s="1"/>
  <c r="BA257" i="1"/>
  <c r="BF57" i="1" a="1"/>
  <c r="BF57" i="1" s="1"/>
  <c r="BA57" i="1"/>
  <c r="BF179" i="1" a="1"/>
  <c r="BF179" i="1" s="1"/>
  <c r="BA179" i="1"/>
  <c r="DZ179" i="1" s="1"/>
  <c r="BF65" i="1" a="1"/>
  <c r="BF65" i="1" s="1"/>
  <c r="BA65" i="1"/>
  <c r="BF56" i="1" a="1"/>
  <c r="BF56" i="1" s="1"/>
  <c r="BA56" i="1"/>
  <c r="BF16" i="1" a="1"/>
  <c r="BF16" i="1" s="1"/>
  <c r="BA16" i="1"/>
  <c r="BF356" i="1" a="1"/>
  <c r="BF356" i="1" s="1"/>
  <c r="BA356" i="1"/>
  <c r="BF307" i="1" a="1"/>
  <c r="BF307" i="1" s="1"/>
  <c r="BA307" i="1"/>
  <c r="BF75" i="1" a="1"/>
  <c r="BF75" i="1" s="1"/>
  <c r="BA75" i="1"/>
  <c r="BF176" i="1" a="1"/>
  <c r="BF176" i="1" s="1"/>
  <c r="BA176" i="1"/>
  <c r="BF85" i="1" a="1"/>
  <c r="BF85" i="1" s="1"/>
  <c r="BA85" i="1"/>
  <c r="BF192" i="1" a="1"/>
  <c r="BF192" i="1" s="1"/>
  <c r="BA192" i="1"/>
  <c r="BF35" i="1" a="1"/>
  <c r="BF35" i="1" s="1"/>
  <c r="BA35" i="1"/>
  <c r="BA22" i="1"/>
  <c r="BF22" i="1" a="1"/>
  <c r="BF22" i="1" s="1"/>
  <c r="BF295" i="1" a="1"/>
  <c r="BF295" i="1" s="1"/>
  <c r="BA295" i="1"/>
  <c r="BF66" i="1" a="1"/>
  <c r="BF66" i="1" s="1"/>
  <c r="BA66" i="1"/>
  <c r="BF440" i="1" a="1"/>
  <c r="BF440" i="1" s="1"/>
  <c r="BA440" i="1"/>
  <c r="BF446" i="1" a="1"/>
  <c r="BF446" i="1" s="1"/>
  <c r="BA446" i="1"/>
  <c r="BA385" i="1"/>
  <c r="DZ385" i="1" s="1"/>
  <c r="BF385" i="1" a="1"/>
  <c r="BF385" i="1" s="1"/>
  <c r="BF226" i="1" a="1"/>
  <c r="BF226" i="1" s="1"/>
  <c r="BA226" i="1"/>
  <c r="BF79" i="1" a="1"/>
  <c r="BF79" i="1" s="1"/>
  <c r="BA79" i="1"/>
  <c r="BF292" i="1" a="1"/>
  <c r="BF292" i="1" s="1"/>
  <c r="BA292" i="1"/>
  <c r="BF96" i="1" a="1"/>
  <c r="BF96" i="1" s="1"/>
  <c r="BA96" i="1"/>
  <c r="BF298" i="1" a="1"/>
  <c r="BF298" i="1" s="1"/>
  <c r="BA298" i="1"/>
  <c r="BF359" i="1" a="1"/>
  <c r="BF359" i="1" s="1"/>
  <c r="BA359" i="1"/>
  <c r="BA334" i="1"/>
  <c r="DZ334" i="1" s="1"/>
  <c r="BF334" i="1" a="1"/>
  <c r="BF334" i="1" s="1"/>
  <c r="BF9" i="1" a="1"/>
  <c r="BF9" i="1" s="1"/>
  <c r="BA9" i="1"/>
  <c r="BF67" i="1" a="1"/>
  <c r="BF67" i="1" s="1"/>
  <c r="BA67" i="1"/>
  <c r="BF29" i="1" a="1"/>
  <c r="BF29" i="1" s="1"/>
  <c r="BA29" i="1"/>
  <c r="BF296" i="1" a="1"/>
  <c r="BF296" i="1" s="1"/>
  <c r="BA296" i="1"/>
  <c r="BF333" i="1" a="1"/>
  <c r="BF333" i="1" s="1"/>
  <c r="BA333" i="1"/>
  <c r="BF48" i="1" a="1"/>
  <c r="BF48" i="1" s="1"/>
  <c r="BA48" i="1"/>
  <c r="BF377" i="1" a="1"/>
  <c r="BF377" i="1" s="1"/>
  <c r="BA377" i="1"/>
  <c r="BA88" i="1"/>
  <c r="BF88" i="1" a="1"/>
  <c r="BF88" i="1" s="1"/>
  <c r="BF7" i="1" a="1"/>
  <c r="BF7" i="1" s="1"/>
  <c r="BA7" i="1"/>
  <c r="BA280" i="1"/>
  <c r="BF280" i="1" a="1"/>
  <c r="BF280" i="1" s="1"/>
  <c r="BF89" i="1" a="1"/>
  <c r="BF89" i="1" s="1"/>
  <c r="BA89" i="1"/>
  <c r="BF345" i="1" a="1"/>
  <c r="BF345" i="1" s="1"/>
  <c r="BA345" i="1"/>
  <c r="BF320" i="1" a="1"/>
  <c r="BF320" i="1" s="1"/>
  <c r="BA320" i="1"/>
  <c r="BA164" i="1"/>
  <c r="BF164" i="1" a="1"/>
  <c r="BF164" i="1" s="1"/>
  <c r="BF260" i="1" a="1"/>
  <c r="BF260" i="1" s="1"/>
  <c r="BA260" i="1"/>
  <c r="BF337" i="1" a="1"/>
  <c r="BF337" i="1" s="1"/>
  <c r="BA337" i="1"/>
  <c r="BF308" i="1" a="1"/>
  <c r="BF308" i="1" s="1"/>
  <c r="BA308" i="1"/>
  <c r="BA249" i="1"/>
  <c r="BF249" i="1" a="1"/>
  <c r="BF249" i="1" s="1"/>
  <c r="BA358" i="1"/>
  <c r="DZ358" i="1" s="1"/>
  <c r="BF358" i="1" a="1"/>
  <c r="BF358" i="1" s="1"/>
  <c r="BF32" i="1" a="1"/>
  <c r="BF32" i="1" s="1"/>
  <c r="BA32" i="1"/>
  <c r="BA210" i="1"/>
  <c r="BF210" i="1" a="1"/>
  <c r="BF210" i="1" s="1"/>
  <c r="BA455" i="1"/>
  <c r="BF455" i="1" a="1"/>
  <c r="BF455" i="1" s="1"/>
  <c r="BA454" i="1"/>
  <c r="BF454" i="1" a="1"/>
  <c r="BF454" i="1" s="1"/>
  <c r="BF195" i="1" a="1"/>
  <c r="BF195" i="1" s="1"/>
  <c r="BA195" i="1"/>
  <c r="BF159" i="1" a="1"/>
  <c r="BF159" i="1" s="1"/>
  <c r="BA159" i="1"/>
  <c r="BF282" i="1" a="1"/>
  <c r="BF282" i="1" s="1"/>
  <c r="BA282" i="1"/>
  <c r="BF283" i="1" a="1"/>
  <c r="BF283" i="1" s="1"/>
  <c r="BA283" i="1"/>
  <c r="BA194" i="1"/>
  <c r="BF194" i="1" a="1"/>
  <c r="BF194" i="1" s="1"/>
  <c r="BA60" i="1"/>
  <c r="BF60" i="1" a="1"/>
  <c r="BF60" i="1" s="1"/>
  <c r="BF276" i="1" a="1"/>
  <c r="BF276" i="1" s="1"/>
  <c r="BA276" i="1"/>
  <c r="BF336" i="1" a="1"/>
  <c r="BF336" i="1" s="1"/>
  <c r="BA336" i="1"/>
  <c r="BF236" i="1" a="1"/>
  <c r="BF236" i="1" s="1"/>
  <c r="BA236" i="1"/>
  <c r="BF234" i="1" a="1"/>
  <c r="BF234" i="1" s="1"/>
  <c r="BA234" i="1"/>
  <c r="BF388" i="1" a="1"/>
  <c r="BF388" i="1" s="1"/>
  <c r="BA388" i="1"/>
  <c r="BF271" i="1" a="1"/>
  <c r="BF271" i="1" s="1"/>
  <c r="BA271" i="1"/>
  <c r="BF170" i="1" a="1"/>
  <c r="BF170" i="1" s="1"/>
  <c r="BA170" i="1"/>
  <c r="BF76" i="1" a="1"/>
  <c r="BF76" i="1" s="1"/>
  <c r="BA76" i="1"/>
  <c r="BF124" i="1" a="1"/>
  <c r="BF124" i="1" s="1"/>
  <c r="BA124" i="1"/>
  <c r="BF11" i="1" a="1"/>
  <c r="BF11" i="1" s="1"/>
  <c r="BA11" i="1"/>
  <c r="BF258" i="1" a="1"/>
  <c r="BF258" i="1" s="1"/>
  <c r="BA258" i="1"/>
  <c r="BF117" i="1" a="1"/>
  <c r="BF117" i="1" s="1"/>
  <c r="BA117" i="1"/>
  <c r="DZ117" i="1" s="1"/>
  <c r="BF14" i="1" a="1"/>
  <c r="BF14" i="1" s="1"/>
  <c r="BA14" i="1"/>
  <c r="BA136" i="1"/>
  <c r="BF136" i="1" a="1"/>
  <c r="BF136" i="1" s="1"/>
  <c r="BF375" i="1" a="1"/>
  <c r="BF375" i="1" s="1"/>
  <c r="BA375" i="1"/>
  <c r="BA182" i="1"/>
  <c r="BF182" i="1" a="1"/>
  <c r="BF182" i="1" s="1"/>
  <c r="BF86" i="1" a="1"/>
  <c r="BF86" i="1" s="1"/>
  <c r="BA86" i="1"/>
  <c r="BF366" i="1" a="1"/>
  <c r="BF366" i="1" s="1"/>
  <c r="BA366" i="1"/>
  <c r="BF95" i="1" a="1"/>
  <c r="BF95" i="1" s="1"/>
  <c r="BA95" i="1"/>
  <c r="BF287" i="1" a="1"/>
  <c r="BF287" i="1" s="1"/>
  <c r="BA287" i="1"/>
  <c r="BF39" i="1" a="1"/>
  <c r="BF39" i="1" s="1"/>
  <c r="BA39" i="1"/>
  <c r="DZ39" i="1" s="1"/>
  <c r="BF212" i="1" a="1"/>
  <c r="BF212" i="1" s="1"/>
  <c r="BA212" i="1"/>
  <c r="BF6" i="1" a="1"/>
  <c r="BF6" i="1" s="1"/>
  <c r="BA6" i="1"/>
  <c r="BA90" i="1"/>
  <c r="BF90" i="1" a="1"/>
  <c r="BF90" i="1" s="1"/>
  <c r="BF459" i="1" a="1"/>
  <c r="BF459" i="1" s="1"/>
  <c r="BA459" i="1"/>
  <c r="DZ459" i="1" s="1"/>
  <c r="BF462" i="1" a="1"/>
  <c r="BF462" i="1" s="1"/>
  <c r="BA462" i="1"/>
  <c r="BF328" i="1" a="1"/>
  <c r="BF328" i="1" s="1"/>
  <c r="BA328" i="1"/>
  <c r="BF272" i="1" a="1"/>
  <c r="BF272" i="1" s="1"/>
  <c r="BA272" i="1"/>
  <c r="BF119" i="1" a="1"/>
  <c r="BF119" i="1" s="1"/>
  <c r="BA119" i="1"/>
  <c r="BF157" i="1" a="1"/>
  <c r="BF157" i="1" s="1"/>
  <c r="BA157" i="1"/>
  <c r="BF5" i="1" a="1"/>
  <c r="BF5" i="1" s="1"/>
  <c r="BA5" i="1"/>
  <c r="BA319" i="1"/>
  <c r="BF319" i="1" a="1"/>
  <c r="BF319" i="1" s="1"/>
  <c r="BF4" i="1" a="1"/>
  <c r="BF4" i="1" s="1"/>
  <c r="BA4" i="1"/>
  <c r="BF100" i="1" a="1"/>
  <c r="BF100" i="1" s="1"/>
  <c r="BA100" i="1"/>
  <c r="BF237" i="1" a="1"/>
  <c r="BF237" i="1" s="1"/>
  <c r="BA237" i="1"/>
  <c r="DZ237" i="1" s="1"/>
  <c r="BF108" i="1" a="1"/>
  <c r="BF108" i="1" s="1"/>
  <c r="BA108" i="1"/>
  <c r="BF23" i="1" a="1"/>
  <c r="BF23" i="1" s="1"/>
  <c r="BA23" i="1"/>
  <c r="BF109" i="1" a="1"/>
  <c r="BF109" i="1" s="1"/>
  <c r="BA109" i="1"/>
  <c r="BF306" i="1" a="1"/>
  <c r="BF306" i="1" s="1"/>
  <c r="BA306" i="1"/>
  <c r="BF77" i="1" a="1"/>
  <c r="BF77" i="1" s="1"/>
  <c r="BA77" i="1"/>
  <c r="BF259" i="1" a="1"/>
  <c r="BF259" i="1" s="1"/>
  <c r="BA259" i="1"/>
  <c r="BF342" i="1" a="1"/>
  <c r="BF342" i="1" s="1"/>
  <c r="BA342" i="1"/>
  <c r="BF207" i="1" a="1"/>
  <c r="BF207" i="1" s="1"/>
  <c r="BA207" i="1"/>
  <c r="BF389" i="1" a="1"/>
  <c r="BF389" i="1" s="1"/>
  <c r="BA389" i="1"/>
  <c r="DZ389" i="1" s="1"/>
  <c r="BA324" i="1"/>
  <c r="BF324" i="1" a="1"/>
  <c r="BF324" i="1" s="1"/>
  <c r="BF420" i="1" a="1"/>
  <c r="BF420" i="1" s="1"/>
  <c r="BA420" i="1"/>
  <c r="BA450" i="1"/>
  <c r="BF450" i="1" a="1"/>
  <c r="BF450" i="1" s="1"/>
  <c r="BA439" i="1"/>
  <c r="BF439" i="1" a="1"/>
  <c r="BF439" i="1" s="1"/>
  <c r="BF83" i="1" a="1"/>
  <c r="BF83" i="1" s="1"/>
  <c r="BA83" i="1"/>
  <c r="BF322" i="1" a="1"/>
  <c r="BF322" i="1" s="1"/>
  <c r="BA322" i="1"/>
  <c r="DZ322" i="1" s="1"/>
  <c r="BF84" i="1" a="1"/>
  <c r="BF84" i="1" s="1"/>
  <c r="BA84" i="1"/>
  <c r="BF113" i="1" a="1"/>
  <c r="BF113" i="1" s="1"/>
  <c r="BA113" i="1"/>
  <c r="BF38" i="1" a="1"/>
  <c r="BF38" i="1" s="1"/>
  <c r="BA38" i="1"/>
  <c r="BF190" i="1" a="1"/>
  <c r="BF190" i="1" s="1"/>
  <c r="BA190" i="1"/>
  <c r="BF361" i="1" a="1"/>
  <c r="BF361" i="1" s="1"/>
  <c r="BA361" i="1"/>
  <c r="BA383" i="1"/>
  <c r="DZ383" i="1" s="1"/>
  <c r="BF383" i="1" a="1"/>
  <c r="BF383" i="1" s="1"/>
  <c r="BF321" i="1" a="1"/>
  <c r="BF321" i="1" s="1"/>
  <c r="BA321" i="1"/>
  <c r="BA371" i="1"/>
  <c r="BF371" i="1" a="1"/>
  <c r="BF371" i="1" s="1"/>
  <c r="BF198" i="1" a="1"/>
  <c r="BF198" i="1" s="1"/>
  <c r="BA198" i="1"/>
  <c r="BF349" i="1" a="1"/>
  <c r="BF349" i="1" s="1"/>
  <c r="BA349" i="1"/>
  <c r="BF261" i="1" a="1"/>
  <c r="BF261" i="1" s="1"/>
  <c r="BA261" i="1"/>
  <c r="BF150" i="1" a="1"/>
  <c r="BF150" i="1" s="1"/>
  <c r="BA150" i="1"/>
  <c r="BF107" i="1" a="1"/>
  <c r="BF107" i="1" s="1"/>
  <c r="BA107" i="1"/>
  <c r="BF19" i="1" a="1"/>
  <c r="BF19" i="1" s="1"/>
  <c r="BA19" i="1"/>
  <c r="BF348" i="1" a="1"/>
  <c r="BF348" i="1" s="1"/>
  <c r="BA348" i="1"/>
  <c r="BF10" i="1" a="1"/>
  <c r="BF10" i="1" s="1"/>
  <c r="BA10" i="1"/>
  <c r="DZ10" i="1" s="1"/>
  <c r="BF59" i="1" a="1"/>
  <c r="BF59" i="1" s="1"/>
  <c r="BA59" i="1"/>
  <c r="BF80" i="1" a="1"/>
  <c r="BF80" i="1" s="1"/>
  <c r="BA80" i="1"/>
  <c r="BF82" i="1" a="1"/>
  <c r="BF82" i="1" s="1"/>
  <c r="BA82" i="1"/>
  <c r="BF330" i="1" a="1"/>
  <c r="BF330" i="1" s="1"/>
  <c r="BA330" i="1"/>
  <c r="BF15" i="1" a="1"/>
  <c r="BF15" i="1" s="1"/>
  <c r="BA15" i="1"/>
  <c r="BA275" i="1"/>
  <c r="BF275" i="1" a="1"/>
  <c r="BF275" i="1" s="1"/>
  <c r="BA315" i="1"/>
  <c r="DZ315" i="1" s="1"/>
  <c r="BF315" i="1" a="1"/>
  <c r="BF315" i="1" s="1"/>
  <c r="BA205" i="1"/>
  <c r="BF205" i="1" a="1"/>
  <c r="BF205" i="1" s="1"/>
  <c r="BA451" i="1"/>
  <c r="BF451" i="1" a="1"/>
  <c r="BF451" i="1" s="1"/>
  <c r="BA449" i="1"/>
  <c r="BF449" i="1" a="1"/>
  <c r="BF449" i="1" s="1"/>
  <c r="BF99" i="1" a="1"/>
  <c r="BF99" i="1" s="1"/>
  <c r="BA99" i="1"/>
  <c r="BA301" i="1"/>
  <c r="DZ301" i="1" s="1"/>
  <c r="BF301" i="1" a="1"/>
  <c r="BF301" i="1" s="1"/>
  <c r="BF387" i="1" a="1"/>
  <c r="BF387" i="1" s="1"/>
  <c r="BA387" i="1"/>
  <c r="BF326" i="1" a="1"/>
  <c r="BF326" i="1" s="1"/>
  <c r="BA326" i="1"/>
  <c r="BF193" i="1" a="1"/>
  <c r="BF193" i="1" s="1"/>
  <c r="BA193" i="1"/>
  <c r="BF58" i="1" a="1"/>
  <c r="BF58" i="1" s="1"/>
  <c r="BA58" i="1"/>
  <c r="DZ58" i="1" s="1"/>
  <c r="BF188" i="1" a="1"/>
  <c r="BF188" i="1" s="1"/>
  <c r="BA188" i="1"/>
  <c r="BF155" i="1" a="1"/>
  <c r="BF155" i="1" s="1"/>
  <c r="BA155" i="1"/>
  <c r="BF291" i="1" a="1"/>
  <c r="BF291" i="1" s="1"/>
  <c r="BA291" i="1"/>
  <c r="BF129" i="1" a="1"/>
  <c r="BF129" i="1" s="1"/>
  <c r="BA129" i="1"/>
  <c r="DZ129" i="1" s="1"/>
  <c r="BF232" i="1" a="1"/>
  <c r="BF232" i="1" s="1"/>
  <c r="BA232" i="1"/>
  <c r="DZ232" i="1" s="1"/>
  <c r="BF8" i="1" a="1"/>
  <c r="BF8" i="1" s="1"/>
  <c r="BA8" i="1"/>
  <c r="BA101" i="1"/>
  <c r="BF101" i="1" a="1"/>
  <c r="BF101" i="1" s="1"/>
  <c r="BF430" i="1" a="1"/>
  <c r="BF430" i="1" s="1"/>
  <c r="BA430" i="1"/>
  <c r="BA344" i="1"/>
  <c r="BF344" i="1" a="1"/>
  <c r="BF344" i="1" s="1"/>
  <c r="BA458" i="1"/>
  <c r="BF458" i="1" a="1"/>
  <c r="BF458" i="1" s="1"/>
  <c r="BA453" i="1"/>
  <c r="BF453" i="1" a="1"/>
  <c r="BF453" i="1" s="1"/>
  <c r="BF381" i="1" a="1"/>
  <c r="BF381" i="1" s="1"/>
  <c r="BA381" i="1"/>
  <c r="BF143" i="1" a="1"/>
  <c r="BF143" i="1" s="1"/>
  <c r="BA143" i="1"/>
  <c r="BF12" i="1" a="1"/>
  <c r="BF12" i="1" s="1"/>
  <c r="BA12" i="1"/>
  <c r="BF26" i="1" a="1"/>
  <c r="BF26" i="1" s="1"/>
  <c r="BA26" i="1"/>
  <c r="BF36" i="1" a="1"/>
  <c r="BF36" i="1" s="1"/>
  <c r="BA36" i="1"/>
  <c r="BA338" i="1"/>
  <c r="BF338" i="1" a="1"/>
  <c r="BF338" i="1" s="1"/>
  <c r="BF254" i="1" a="1"/>
  <c r="BF254" i="1" s="1"/>
  <c r="BA254" i="1"/>
  <c r="BF81" i="1" a="1"/>
  <c r="BF81" i="1" s="1"/>
  <c r="BA81" i="1"/>
  <c r="DZ81" i="1" s="1"/>
  <c r="BF13" i="1" a="1"/>
  <c r="BF13" i="1" s="1"/>
  <c r="BA13" i="1"/>
  <c r="BF341" i="1" a="1"/>
  <c r="BF341" i="1" s="1"/>
  <c r="BA341" i="1"/>
  <c r="BA353" i="1"/>
  <c r="BF353" i="1" a="1"/>
  <c r="BF353" i="1" s="1"/>
  <c r="BA209" i="1"/>
  <c r="BF209" i="1" a="1"/>
  <c r="BF209" i="1" s="1"/>
  <c r="BF222" i="1" a="1"/>
  <c r="BF222" i="1" s="1"/>
  <c r="BA222" i="1"/>
  <c r="DZ222" i="1" s="1"/>
  <c r="BA331" i="1"/>
  <c r="BF331" i="1" a="1"/>
  <c r="BF331" i="1" s="1"/>
  <c r="BF217" i="1" a="1"/>
  <c r="BF217" i="1" s="1"/>
  <c r="BA217" i="1"/>
  <c r="BF265" i="1" a="1"/>
  <c r="BF265" i="1" s="1"/>
  <c r="BA265" i="1"/>
  <c r="BF241" i="1" a="1"/>
  <c r="BF241" i="1" s="1"/>
  <c r="BA241" i="1"/>
  <c r="BA102" i="1"/>
  <c r="DZ102" i="1" s="1"/>
  <c r="BF102" i="1" a="1"/>
  <c r="BF102" i="1" s="1"/>
  <c r="BA266" i="1"/>
  <c r="DZ266" i="1" s="1"/>
  <c r="BF266" i="1" a="1"/>
  <c r="BF266" i="1" s="1"/>
  <c r="BA437" i="1"/>
  <c r="BF437" i="1" a="1"/>
  <c r="BF437" i="1" s="1"/>
  <c r="BA456" i="1"/>
  <c r="BF456" i="1" a="1"/>
  <c r="BF456" i="1" s="1"/>
  <c r="BF174" i="1" a="1"/>
  <c r="BF174" i="1" s="1"/>
  <c r="BA174" i="1"/>
  <c r="DZ174" i="1" s="1"/>
  <c r="BF203" i="1" a="1"/>
  <c r="BF203" i="1" s="1"/>
  <c r="BA203" i="1"/>
  <c r="BF158" i="1" a="1"/>
  <c r="BF158" i="1" s="1"/>
  <c r="BA158" i="1"/>
  <c r="BF200" i="1" a="1"/>
  <c r="BF200" i="1" s="1"/>
  <c r="BA200" i="1"/>
  <c r="BF373" i="1" a="1"/>
  <c r="BF373" i="1" s="1"/>
  <c r="BA373" i="1"/>
  <c r="BF31" i="1" a="1"/>
  <c r="BF31" i="1" s="1"/>
  <c r="BA31" i="1"/>
  <c r="BF354" i="1" a="1"/>
  <c r="BF354" i="1" s="1"/>
  <c r="BA354" i="1"/>
  <c r="BF62" i="1" a="1"/>
  <c r="BF62" i="1" s="1"/>
  <c r="BA62" i="1"/>
  <c r="BF316" i="1" a="1"/>
  <c r="BF316" i="1" s="1"/>
  <c r="BA316" i="1"/>
  <c r="BF303" i="1" a="1"/>
  <c r="BF303" i="1" s="1"/>
  <c r="BA303" i="1"/>
  <c r="BA304" i="1"/>
  <c r="BF304" i="1" a="1"/>
  <c r="BF304" i="1" s="1"/>
  <c r="BF28" i="1" a="1"/>
  <c r="BF28" i="1" s="1"/>
  <c r="BA28" i="1"/>
  <c r="BF346" i="1" a="1"/>
  <c r="BF346" i="1" s="1"/>
  <c r="BA346" i="1"/>
  <c r="BF208" i="1" a="1"/>
  <c r="BF208" i="1" s="1"/>
  <c r="BA208" i="1"/>
  <c r="BF251" i="1" a="1"/>
  <c r="BF251" i="1" s="1"/>
  <c r="BA251" i="1"/>
  <c r="DZ251" i="1" s="1"/>
  <c r="BF132" i="1" a="1"/>
  <c r="BF132" i="1" s="1"/>
  <c r="BA132" i="1"/>
  <c r="DZ132" i="1" s="1"/>
  <c r="BA112" i="1"/>
  <c r="BF112" i="1" a="1"/>
  <c r="BF112" i="1" s="1"/>
  <c r="BA126" i="1"/>
  <c r="BF126" i="1" a="1"/>
  <c r="BF126" i="1" s="1"/>
  <c r="BF186" i="1" a="1"/>
  <c r="BF186" i="1" s="1"/>
  <c r="BA186" i="1"/>
  <c r="BA382" i="1"/>
  <c r="BF382" i="1" a="1"/>
  <c r="BF382" i="1" s="1"/>
  <c r="BA181" i="1"/>
  <c r="BF181" i="1" a="1"/>
  <c r="BF181" i="1" s="1"/>
  <c r="BA445" i="1"/>
  <c r="DZ445" i="1" s="1"/>
  <c r="BF445" i="1" a="1"/>
  <c r="BF445" i="1" s="1"/>
  <c r="BA444" i="1"/>
  <c r="BF444" i="1" a="1"/>
  <c r="BF444" i="1" s="1"/>
  <c r="BA173" i="1"/>
  <c r="DZ173" i="1" s="1"/>
  <c r="BF173" i="1" a="1"/>
  <c r="BF173" i="1" s="1"/>
  <c r="BF54" i="1" a="1"/>
  <c r="BF54" i="1" s="1"/>
  <c r="BA54" i="1"/>
  <c r="BA362" i="1"/>
  <c r="BF362" i="1" a="1"/>
  <c r="BF362" i="1" s="1"/>
  <c r="BF70" i="1" a="1"/>
  <c r="BF70" i="1" s="1"/>
  <c r="BA70" i="1"/>
  <c r="BF394" i="1" a="1"/>
  <c r="BF394" i="1" s="1"/>
  <c r="BA394" i="1"/>
  <c r="BF40" i="1" a="1"/>
  <c r="BF40" i="1" s="1"/>
  <c r="BA40" i="1"/>
  <c r="BF118" i="1" a="1"/>
  <c r="BF118" i="1" s="1"/>
  <c r="BA118" i="1"/>
  <c r="BF278" i="1" a="1"/>
  <c r="BF278" i="1" s="1"/>
  <c r="BA278" i="1"/>
  <c r="BF64" i="1" a="1"/>
  <c r="BF64" i="1" s="1"/>
  <c r="BA64" i="1"/>
  <c r="BF318" i="1" a="1"/>
  <c r="BF318" i="1" s="1"/>
  <c r="BA318" i="1"/>
  <c r="BF98" i="1" a="1"/>
  <c r="BF98" i="1" s="1"/>
  <c r="BA98" i="1"/>
  <c r="BA138" i="1"/>
  <c r="BF138" i="1" a="1"/>
  <c r="BF138" i="1" s="1"/>
  <c r="BF43" i="1" a="1"/>
  <c r="BF43" i="1" s="1"/>
  <c r="BA43" i="1"/>
  <c r="BF264" i="1" a="1"/>
  <c r="BF264" i="1" s="1"/>
  <c r="BA264" i="1"/>
  <c r="BF130" i="1" a="1"/>
  <c r="BF130" i="1" s="1"/>
  <c r="BA130" i="1"/>
  <c r="BF177" i="1" a="1"/>
  <c r="BF177" i="1" s="1"/>
  <c r="BA177" i="1"/>
  <c r="BF27" i="1" a="1"/>
  <c r="BF27" i="1" s="1"/>
  <c r="BA27" i="1"/>
  <c r="BA288" i="1"/>
  <c r="BF288" i="1" a="1"/>
  <c r="BF288" i="1" s="1"/>
  <c r="BA175" i="1"/>
  <c r="BF175" i="1" a="1"/>
  <c r="BF175" i="1" s="1"/>
  <c r="BF297" i="1" a="1"/>
  <c r="BF297" i="1" s="1"/>
  <c r="BA297" i="1"/>
  <c r="DZ297" i="1" s="1"/>
  <c r="BF233" i="1" a="1"/>
  <c r="BF233" i="1" s="1"/>
  <c r="BA233" i="1"/>
  <c r="BF163" i="1" a="1"/>
  <c r="BF163" i="1" s="1"/>
  <c r="BA163" i="1"/>
  <c r="BA63" i="1"/>
  <c r="BF63" i="1" a="1"/>
  <c r="BF63" i="1" s="1"/>
  <c r="BA238" i="1"/>
  <c r="BF238" i="1" a="1"/>
  <c r="BF238" i="1" s="1"/>
  <c r="BF461" i="1" a="1"/>
  <c r="BF461" i="1" s="1"/>
  <c r="BA461" i="1"/>
  <c r="FH16" i="1"/>
  <c r="FH18" i="1"/>
  <c r="FB16" i="1"/>
  <c r="FH22" i="1"/>
  <c r="FH23" i="1"/>
  <c r="FH17" i="1"/>
  <c r="FH10" i="1"/>
  <c r="FH20" i="1"/>
  <c r="FH21" i="1"/>
  <c r="FH12" i="1"/>
  <c r="FH19" i="1"/>
  <c r="FH13" i="1"/>
  <c r="FH14" i="1"/>
  <c r="FH7" i="1"/>
  <c r="FH8" i="1"/>
  <c r="FH11" i="1"/>
  <c r="FH9" i="1"/>
  <c r="BA289" i="1"/>
  <c r="BF289" i="1" a="1"/>
  <c r="BF289" i="1" s="1"/>
  <c r="BF213" i="1" a="1"/>
  <c r="BF213" i="1" s="1"/>
  <c r="BA213" i="1"/>
  <c r="BF189" i="1" a="1"/>
  <c r="BF189" i="1" s="1"/>
  <c r="BA189" i="1"/>
  <c r="BF110" i="1" a="1"/>
  <c r="BF110" i="1" s="1"/>
  <c r="BA110" i="1"/>
  <c r="BA216" i="1"/>
  <c r="BF216" i="1" a="1"/>
  <c r="BF216" i="1" s="1"/>
  <c r="BF115" i="1" a="1"/>
  <c r="BF115" i="1" s="1"/>
  <c r="BA115" i="1"/>
  <c r="BF92" i="1" a="1"/>
  <c r="BF92" i="1" s="1"/>
  <c r="BA92" i="1"/>
  <c r="BA201" i="1"/>
  <c r="BF201" i="1" a="1"/>
  <c r="BF201" i="1" s="1"/>
  <c r="BF309" i="1" a="1"/>
  <c r="BF309" i="1" s="1"/>
  <c r="BA309" i="1"/>
  <c r="BF185" i="1" a="1"/>
  <c r="BF185" i="1" s="1"/>
  <c r="BA185" i="1"/>
  <c r="BF343" i="1" a="1"/>
  <c r="BF343" i="1" s="1"/>
  <c r="BA343" i="1"/>
  <c r="BF37" i="1" a="1"/>
  <c r="BF37" i="1" s="1"/>
  <c r="BA37" i="1"/>
  <c r="BF128" i="1" a="1"/>
  <c r="BF128" i="1" s="1"/>
  <c r="BA128" i="1"/>
  <c r="BA277" i="1"/>
  <c r="DZ277" i="1" s="1"/>
  <c r="BF277" i="1" a="1"/>
  <c r="BF277" i="1" s="1"/>
  <c r="BF46" i="1" a="1"/>
  <c r="BF46" i="1" s="1"/>
  <c r="BA46" i="1"/>
  <c r="BA370" i="1"/>
  <c r="BF370" i="1" a="1"/>
  <c r="BF370" i="1" s="1"/>
  <c r="BA374" i="1"/>
  <c r="BF374" i="1" a="1"/>
  <c r="BF374" i="1" s="1"/>
  <c r="BA44" i="1"/>
  <c r="BF44" i="1" a="1"/>
  <c r="BF44" i="1" s="1"/>
  <c r="BF239" i="1" a="1"/>
  <c r="BF239" i="1" s="1"/>
  <c r="BA239" i="1"/>
  <c r="BF363" i="1" a="1"/>
  <c r="BF363" i="1" s="1"/>
  <c r="BA363" i="1"/>
  <c r="BF148" i="1" a="1"/>
  <c r="BF148" i="1" s="1"/>
  <c r="BA148" i="1"/>
  <c r="BF314" i="1" a="1"/>
  <c r="BF314" i="1" s="1"/>
  <c r="BA314" i="1"/>
  <c r="DZ314" i="1" s="1"/>
  <c r="BF123" i="1" a="1"/>
  <c r="BF123" i="1" s="1"/>
  <c r="BA123" i="1"/>
  <c r="BF391" i="1" a="1"/>
  <c r="BF391" i="1" s="1"/>
  <c r="BA391" i="1"/>
  <c r="BF218" i="1" a="1"/>
  <c r="BF218" i="1" s="1"/>
  <c r="BA218" i="1"/>
  <c r="BF30" i="1" a="1"/>
  <c r="BF30" i="1" s="1"/>
  <c r="BA30" i="1"/>
  <c r="BF270" i="1" a="1"/>
  <c r="BF270" i="1" s="1"/>
  <c r="BA270" i="1"/>
  <c r="BF50" i="1" a="1"/>
  <c r="BF50" i="1" s="1"/>
  <c r="BA50" i="1"/>
  <c r="BF323" i="1" a="1"/>
  <c r="BF323" i="1" s="1"/>
  <c r="BA323" i="1"/>
  <c r="BF114" i="1" a="1"/>
  <c r="BF114" i="1" s="1"/>
  <c r="BA114" i="1"/>
  <c r="BF219" i="1" a="1"/>
  <c r="BF219" i="1" s="1"/>
  <c r="BA219" i="1"/>
  <c r="BF268" i="1" a="1"/>
  <c r="BF268" i="1" s="1"/>
  <c r="BA268" i="1"/>
  <c r="BF284" i="1" a="1"/>
  <c r="BF284" i="1" s="1"/>
  <c r="BA284" i="1"/>
  <c r="BA131" i="1"/>
  <c r="BF131" i="1" a="1"/>
  <c r="BF131" i="1" s="1"/>
  <c r="BF398" i="1" a="1"/>
  <c r="BF398" i="1" s="1"/>
  <c r="BA398" i="1"/>
  <c r="BA448" i="1"/>
  <c r="BF448" i="1" a="1"/>
  <c r="BF448" i="1" s="1"/>
  <c r="BA229" i="1"/>
  <c r="BF229" i="1" a="1"/>
  <c r="BF229" i="1" s="1"/>
  <c r="AY455" i="1"/>
  <c r="CT270" i="1"/>
  <c r="CT454" i="1"/>
  <c r="W452" i="1"/>
  <c r="AD454" i="1"/>
  <c r="Q454" i="1"/>
  <c r="AY454" i="1"/>
  <c r="BX454" i="1"/>
  <c r="AB454" i="1"/>
  <c r="W454" i="1"/>
  <c r="AA454" i="1"/>
  <c r="AD453" i="1"/>
  <c r="AE453" i="1" s="1"/>
  <c r="W453" i="1"/>
  <c r="AA453" i="1"/>
  <c r="AB453" i="1"/>
  <c r="Q453" i="1"/>
  <c r="AA451" i="1"/>
  <c r="BX452" i="1"/>
  <c r="AB452" i="1"/>
  <c r="BX451" i="1"/>
  <c r="AB451" i="1"/>
  <c r="AD451" i="1"/>
  <c r="AE451" i="1" s="1"/>
  <c r="AA452" i="1"/>
  <c r="W451" i="1"/>
  <c r="Q451" i="1"/>
  <c r="Q452" i="1"/>
  <c r="AD452" i="1"/>
  <c r="AE452" i="1" s="1"/>
  <c r="AY450" i="1"/>
  <c r="AD450" i="1"/>
  <c r="AE450" i="1" s="1"/>
  <c r="AD449" i="1"/>
  <c r="AE449" i="1" s="1"/>
  <c r="W448" i="1"/>
  <c r="AD448" i="1"/>
  <c r="CT266" i="1"/>
  <c r="CT338" i="1"/>
  <c r="CT63" i="1"/>
  <c r="CT242" i="1"/>
  <c r="CT87" i="1"/>
  <c r="CT137" i="1"/>
  <c r="CT160" i="1"/>
  <c r="CT107" i="1"/>
  <c r="CT448" i="1"/>
  <c r="CT23" i="1"/>
  <c r="CT197" i="1"/>
  <c r="CT58" i="1"/>
  <c r="CT26" i="1"/>
  <c r="CT397" i="1"/>
  <c r="CT19" i="1"/>
  <c r="CT173" i="1"/>
  <c r="CT352" i="1"/>
  <c r="CT388" i="1"/>
  <c r="CT122" i="1"/>
  <c r="CT408" i="1"/>
  <c r="CT152" i="1"/>
  <c r="CT286" i="1"/>
  <c r="AA448" i="1"/>
  <c r="Q450" i="1"/>
  <c r="W449" i="1"/>
  <c r="AB449" i="1"/>
  <c r="AA449" i="1"/>
  <c r="BX450" i="1"/>
  <c r="AB450" i="1"/>
  <c r="BX448" i="1"/>
  <c r="AB448" i="1"/>
  <c r="AA450" i="1"/>
  <c r="W450" i="1"/>
  <c r="Q449" i="1"/>
  <c r="Q448" i="1"/>
  <c r="W447" i="1"/>
  <c r="AI447" i="1" s="1"/>
  <c r="AB447" i="1"/>
  <c r="AA447" i="1"/>
  <c r="AD447" i="1"/>
  <c r="AE447" i="1" s="1"/>
  <c r="AB446" i="1"/>
  <c r="Q446" i="1"/>
  <c r="AA446" i="1"/>
  <c r="W446" i="1"/>
  <c r="AD446" i="1"/>
  <c r="AE446" i="1" s="1"/>
  <c r="BX446" i="1"/>
  <c r="AD445" i="1"/>
  <c r="AE445" i="1" s="1"/>
  <c r="BX445" i="1"/>
  <c r="AB445" i="1"/>
  <c r="W445" i="1"/>
  <c r="AA445" i="1"/>
  <c r="Q445" i="1"/>
  <c r="AD443" i="1"/>
  <c r="AE443" i="1" s="1"/>
  <c r="AD444" i="1"/>
  <c r="AE444" i="1" s="1"/>
  <c r="AY441" i="1"/>
  <c r="AY444" i="1"/>
  <c r="Q444" i="1"/>
  <c r="AB443" i="1"/>
  <c r="W443" i="1"/>
  <c r="AA443" i="1"/>
  <c r="BX444" i="1"/>
  <c r="AB444" i="1"/>
  <c r="AA444" i="1"/>
  <c r="W444" i="1"/>
  <c r="Q443" i="1"/>
  <c r="AD441" i="1"/>
  <c r="AE441" i="1" s="1"/>
  <c r="AD442" i="1"/>
  <c r="AD438" i="1"/>
  <c r="AE438" i="1" s="1"/>
  <c r="Q442" i="1"/>
  <c r="Q441" i="1"/>
  <c r="Q440" i="1"/>
  <c r="AD440" i="1"/>
  <c r="AE440" i="1" s="1"/>
  <c r="BX440" i="1"/>
  <c r="AB440" i="1"/>
  <c r="W441" i="1"/>
  <c r="AA441" i="1"/>
  <c r="AB438" i="1"/>
  <c r="W438" i="1"/>
  <c r="AA438" i="1"/>
  <c r="BX441" i="1"/>
  <c r="AB441" i="1"/>
  <c r="W442" i="1"/>
  <c r="AA442" i="1"/>
  <c r="W440" i="1"/>
  <c r="AA440" i="1"/>
  <c r="BX442" i="1"/>
  <c r="V442" i="1" s="1"/>
  <c r="AB442" i="1"/>
  <c r="Q437" i="1"/>
  <c r="BX437" i="1"/>
  <c r="AB437" i="1"/>
  <c r="AB439" i="1"/>
  <c r="W439" i="1"/>
  <c r="AI439" i="1" s="1"/>
  <c r="AA439" i="1"/>
  <c r="AD437" i="1"/>
  <c r="AE437" i="1" s="1"/>
  <c r="W437" i="1"/>
  <c r="AA437" i="1"/>
  <c r="AD439" i="1"/>
  <c r="AE439" i="1" s="1"/>
  <c r="AW31" i="1"/>
  <c r="AW172" i="1"/>
  <c r="AW26" i="1"/>
  <c r="AW41" i="1"/>
  <c r="AW436" i="1"/>
  <c r="AW435" i="1"/>
  <c r="AW434" i="1"/>
  <c r="BA434" i="1"/>
  <c r="BF434" i="1" a="1"/>
  <c r="BF434" i="1" s="1"/>
  <c r="Z434" i="1"/>
  <c r="Z436" i="1"/>
  <c r="U436" i="1"/>
  <c r="BA436" i="1"/>
  <c r="BF436" i="1" a="1"/>
  <c r="BF436" i="1" s="1"/>
  <c r="CW433" i="1"/>
  <c r="CY433" i="1" s="1"/>
  <c r="AU433" i="1"/>
  <c r="DY433" i="1" s="1"/>
  <c r="BF433" i="1" a="1"/>
  <c r="BF433" i="1" s="1"/>
  <c r="BA433" i="1"/>
  <c r="BF435" i="1" a="1"/>
  <c r="BF435" i="1" s="1"/>
  <c r="BH435" i="1" s="1"/>
  <c r="BA435" i="1"/>
  <c r="CW435" i="1"/>
  <c r="CY435" i="1" s="1"/>
  <c r="AW309" i="1"/>
  <c r="AW298" i="1"/>
  <c r="AW386" i="1"/>
  <c r="AW279" i="1"/>
  <c r="AW207" i="1"/>
  <c r="AW183" i="1"/>
  <c r="AW144" i="1"/>
  <c r="AW319" i="1"/>
  <c r="AW303" i="1"/>
  <c r="AW158" i="1"/>
  <c r="AW136" i="1"/>
  <c r="AW391" i="1"/>
  <c r="AW89" i="1"/>
  <c r="AW394" i="1"/>
  <c r="AW257" i="1"/>
  <c r="AW228" i="1"/>
  <c r="AW194" i="1"/>
  <c r="AW230" i="1"/>
  <c r="AW366" i="1"/>
  <c r="AW25" i="1"/>
  <c r="AW166" i="1"/>
  <c r="AW259" i="1"/>
  <c r="AW369" i="1"/>
  <c r="AW106" i="1"/>
  <c r="AW28" i="1"/>
  <c r="AW415" i="1"/>
  <c r="AW40" i="1"/>
  <c r="AW272" i="1"/>
  <c r="AW83" i="1"/>
  <c r="AW78" i="1"/>
  <c r="AW154" i="1"/>
  <c r="AW152" i="1"/>
  <c r="AW6" i="1"/>
  <c r="AW123" i="1"/>
  <c r="AW177" i="1"/>
  <c r="AW264" i="1"/>
  <c r="AW326" i="1"/>
  <c r="AW311" i="1"/>
  <c r="CX436" i="1"/>
  <c r="CW436" i="1"/>
  <c r="CY436" i="1" s="1"/>
  <c r="BI436" i="1"/>
  <c r="BT435" i="1"/>
  <c r="BV436" i="1"/>
  <c r="BY436" i="1" s="1"/>
  <c r="BV435" i="1"/>
  <c r="BY435" i="1" s="1"/>
  <c r="BO436" i="1"/>
  <c r="BT436" i="1"/>
  <c r="BO435" i="1"/>
  <c r="AW224" i="1"/>
  <c r="AW192" i="1"/>
  <c r="BO433" i="1"/>
  <c r="BI433" i="1"/>
  <c r="BV433" i="1"/>
  <c r="BY433" i="1" s="1"/>
  <c r="BT433" i="1"/>
  <c r="AW380" i="1"/>
  <c r="AW271" i="1"/>
  <c r="AW5" i="1"/>
  <c r="AW20" i="1"/>
  <c r="AW111" i="1"/>
  <c r="AW355" i="1"/>
  <c r="AW8" i="1"/>
  <c r="AW36" i="1"/>
  <c r="AW100" i="1"/>
  <c r="AW282" i="1"/>
  <c r="AW316" i="1"/>
  <c r="BO434" i="1"/>
  <c r="BV434" i="1"/>
  <c r="BY434" i="1" s="1"/>
  <c r="BT434" i="1"/>
  <c r="AW161" i="1"/>
  <c r="AH110" i="1"/>
  <c r="AW97" i="1"/>
  <c r="AW338" i="1"/>
  <c r="AW293" i="1"/>
  <c r="AW24" i="1"/>
  <c r="AW361" i="1"/>
  <c r="AW345" i="1"/>
  <c r="AW220" i="1"/>
  <c r="AW334" i="1"/>
  <c r="AW270" i="1"/>
  <c r="AW280" i="1"/>
  <c r="AW18" i="1"/>
  <c r="AW141" i="1"/>
  <c r="AW243" i="1"/>
  <c r="AW13" i="1"/>
  <c r="AW104" i="1"/>
  <c r="AW17" i="1"/>
  <c r="AW68" i="1"/>
  <c r="AW64" i="1"/>
  <c r="AW93" i="1"/>
  <c r="Z270" i="1"/>
  <c r="AW23" i="1"/>
  <c r="AW16" i="1"/>
  <c r="AW365" i="1"/>
  <c r="AW350" i="1"/>
  <c r="AW30" i="1"/>
  <c r="AW370" i="1"/>
  <c r="AW200" i="1"/>
  <c r="AW21" i="1"/>
  <c r="AW187" i="1"/>
  <c r="AW132" i="1"/>
  <c r="AW427" i="1"/>
  <c r="Z396" i="1"/>
  <c r="Z398" i="1"/>
  <c r="AW12" i="1"/>
  <c r="AW388" i="1"/>
  <c r="AW428" i="1"/>
  <c r="AW167" i="1"/>
  <c r="AW429" i="1"/>
  <c r="AW432" i="1"/>
  <c r="BK433" i="1"/>
  <c r="BK99" i="1"/>
  <c r="DZ20" i="1" l="1"/>
  <c r="DZ95" i="1"/>
  <c r="DZ36" i="1"/>
  <c r="DZ45" i="1"/>
  <c r="DZ79" i="1"/>
  <c r="DZ60" i="1"/>
  <c r="CQ348" i="1"/>
  <c r="CV348" i="1" s="1"/>
  <c r="DZ348" i="1"/>
  <c r="ED348" i="1" s="1"/>
  <c r="CQ146" i="1"/>
  <c r="CV146" i="1" s="1"/>
  <c r="DZ146" i="1"/>
  <c r="ED146" i="1" s="1"/>
  <c r="CQ437" i="1"/>
  <c r="CV437" i="1" s="1"/>
  <c r="DZ437" i="1"/>
  <c r="ED437" i="1" s="1"/>
  <c r="CQ118" i="1"/>
  <c r="CV118" i="1" s="1"/>
  <c r="DZ118" i="1"/>
  <c r="ED118" i="1" s="1"/>
  <c r="CQ326" i="1"/>
  <c r="CV326" i="1" s="1"/>
  <c r="DZ326" i="1"/>
  <c r="ED326" i="1" s="1"/>
  <c r="CP433" i="1"/>
  <c r="CU433" i="1" s="1"/>
  <c r="EC433" i="1"/>
  <c r="EE433" i="1" s="1"/>
  <c r="CQ387" i="1"/>
  <c r="CV387" i="1" s="1"/>
  <c r="DZ387" i="1"/>
  <c r="ED387" i="1" s="1"/>
  <c r="CQ6" i="1"/>
  <c r="CV6" i="1" s="1"/>
  <c r="DZ6" i="1"/>
  <c r="CQ375" i="1"/>
  <c r="CV375" i="1" s="1"/>
  <c r="DZ375" i="1"/>
  <c r="ED375" i="1" s="1"/>
  <c r="CQ194" i="1"/>
  <c r="DZ194" i="1"/>
  <c r="ED194" i="1" s="1"/>
  <c r="CQ381" i="1"/>
  <c r="CV381" i="1" s="1"/>
  <c r="DZ381" i="1"/>
  <c r="ED381" i="1" s="1"/>
  <c r="CQ67" i="1"/>
  <c r="CV67" i="1" s="1"/>
  <c r="DZ67" i="1"/>
  <c r="ED67" i="1" s="1"/>
  <c r="CQ149" i="1"/>
  <c r="CV149" i="1" s="1"/>
  <c r="DZ149" i="1"/>
  <c r="ED149" i="1" s="1"/>
  <c r="CQ347" i="1"/>
  <c r="CV347" i="1" s="1"/>
  <c r="DZ347" i="1"/>
  <c r="ED347" i="1" s="1"/>
  <c r="CQ446" i="1"/>
  <c r="CV446" i="1" s="1"/>
  <c r="DZ446" i="1"/>
  <c r="ED446" i="1" s="1"/>
  <c r="CQ268" i="1"/>
  <c r="CV268" i="1" s="1"/>
  <c r="DZ268" i="1"/>
  <c r="ED268" i="1" s="1"/>
  <c r="CQ331" i="1"/>
  <c r="CV331" i="1" s="1"/>
  <c r="DZ331" i="1"/>
  <c r="ED331" i="1" s="1"/>
  <c r="AI441" i="1"/>
  <c r="AI443" i="1"/>
  <c r="V451" i="1"/>
  <c r="CQ112" i="1"/>
  <c r="CV112" i="1" s="1"/>
  <c r="CQ461" i="1"/>
  <c r="CV461" i="1" s="1"/>
  <c r="CQ366" i="1"/>
  <c r="CV366" i="1" s="1"/>
  <c r="CQ359" i="1"/>
  <c r="CV359" i="1" s="1"/>
  <c r="CQ46" i="1"/>
  <c r="CV46" i="1" s="1"/>
  <c r="CQ371" i="1"/>
  <c r="CV371" i="1" s="1"/>
  <c r="CQ379" i="1"/>
  <c r="CV379" i="1" s="1"/>
  <c r="CQ321" i="1"/>
  <c r="CV321" i="1" s="1"/>
  <c r="CQ199" i="1"/>
  <c r="CV199" i="1" s="1"/>
  <c r="CQ134" i="1"/>
  <c r="CV134" i="1" s="1"/>
  <c r="CQ351" i="1"/>
  <c r="CV351" i="1" s="1"/>
  <c r="CQ151" i="1"/>
  <c r="CV151" i="1" s="1"/>
  <c r="CQ274" i="1"/>
  <c r="CV274" i="1" s="1"/>
  <c r="CQ323" i="1"/>
  <c r="CV323" i="1" s="1"/>
  <c r="CQ128" i="1"/>
  <c r="CV128" i="1" s="1"/>
  <c r="CQ216" i="1"/>
  <c r="CV216" i="1" s="1"/>
  <c r="CQ346" i="1"/>
  <c r="CV346" i="1" s="1"/>
  <c r="CQ296" i="1"/>
  <c r="CV296" i="1" s="1"/>
  <c r="CQ292" i="1"/>
  <c r="CV292" i="1" s="1"/>
  <c r="CQ392" i="1"/>
  <c r="CV392" i="1" s="1"/>
  <c r="CQ147" i="1"/>
  <c r="CV147" i="1" s="1"/>
  <c r="CQ50" i="1"/>
  <c r="CV50" i="1" s="1"/>
  <c r="CQ110" i="1"/>
  <c r="CV110" i="1" s="1"/>
  <c r="CQ330" i="1"/>
  <c r="CV330" i="1" s="1"/>
  <c r="CQ190" i="1"/>
  <c r="CV190" i="1" s="1"/>
  <c r="CQ157" i="1"/>
  <c r="CV157" i="1" s="1"/>
  <c r="CQ35" i="1"/>
  <c r="CV35" i="1" s="1"/>
  <c r="CQ293" i="1"/>
  <c r="CV293" i="1" s="1"/>
  <c r="CQ442" i="1"/>
  <c r="CV442" i="1" s="1"/>
  <c r="CQ265" i="1"/>
  <c r="CV265" i="1" s="1"/>
  <c r="CQ340" i="1"/>
  <c r="CV340" i="1" s="1"/>
  <c r="CQ299" i="1"/>
  <c r="CV299" i="1" s="1"/>
  <c r="CQ249" i="1"/>
  <c r="CV249" i="1" s="1"/>
  <c r="CQ30" i="1"/>
  <c r="CV30" i="1" s="1"/>
  <c r="CQ304" i="1"/>
  <c r="CV304" i="1" s="1"/>
  <c r="CQ159" i="1"/>
  <c r="CV159" i="1" s="1"/>
  <c r="CQ362" i="1"/>
  <c r="CV362" i="1" s="1"/>
  <c r="CQ435" i="1"/>
  <c r="CV435" i="1" s="1"/>
  <c r="CQ318" i="1"/>
  <c r="CV318" i="1" s="1"/>
  <c r="CQ195" i="1"/>
  <c r="CV195" i="1" s="1"/>
  <c r="CQ176" i="1"/>
  <c r="CV176" i="1" s="1"/>
  <c r="CQ302" i="1"/>
  <c r="CV302" i="1" s="1"/>
  <c r="CQ125" i="1"/>
  <c r="CV125" i="1" s="1"/>
  <c r="ED102" i="1"/>
  <c r="ED315" i="1"/>
  <c r="ED334" i="1"/>
  <c r="ED262" i="1"/>
  <c r="ED314" i="1"/>
  <c r="ED277" i="1"/>
  <c r="ED132" i="1"/>
  <c r="ED222" i="1"/>
  <c r="ED129" i="1"/>
  <c r="ED58" i="1"/>
  <c r="ED10" i="1"/>
  <c r="ED322" i="1"/>
  <c r="ED389" i="1"/>
  <c r="ED117" i="1"/>
  <c r="ED179" i="1"/>
  <c r="ED133" i="1"/>
  <c r="ED352" i="1"/>
  <c r="ED368" i="1"/>
  <c r="ED71" i="1"/>
  <c r="ED105" i="1"/>
  <c r="ED171" i="1"/>
  <c r="ED34" i="1"/>
  <c r="ED252" i="1"/>
  <c r="ED145" i="1"/>
  <c r="ED127" i="1"/>
  <c r="ED281" i="1"/>
  <c r="ED173" i="1"/>
  <c r="ED445" i="1"/>
  <c r="ED266" i="1"/>
  <c r="ED301" i="1"/>
  <c r="ED383" i="1"/>
  <c r="ED358" i="1"/>
  <c r="ED385" i="1"/>
  <c r="ED178" i="1"/>
  <c r="ED215" i="1"/>
  <c r="ED297" i="1"/>
  <c r="ED251" i="1"/>
  <c r="ED174" i="1"/>
  <c r="ED81" i="1"/>
  <c r="ED232" i="1"/>
  <c r="ED237" i="1"/>
  <c r="ED459" i="1"/>
  <c r="ED6" i="1"/>
  <c r="ED39" i="1"/>
  <c r="ED153" i="1"/>
  <c r="ED372" i="1"/>
  <c r="ED55" i="1"/>
  <c r="ED74" i="1"/>
  <c r="ED244" i="1"/>
  <c r="ED378" i="1"/>
  <c r="ED161" i="1"/>
  <c r="V445" i="1"/>
  <c r="V446" i="1"/>
  <c r="V448" i="1"/>
  <c r="V440" i="1"/>
  <c r="V452" i="1"/>
  <c r="V437" i="1"/>
  <c r="CX449" i="1"/>
  <c r="CX456" i="1"/>
  <c r="CX468" i="1"/>
  <c r="CX453" i="1"/>
  <c r="AX435" i="1"/>
  <c r="CX455" i="1"/>
  <c r="AX229" i="1"/>
  <c r="BX453" i="1"/>
  <c r="CX471" i="1"/>
  <c r="CX447" i="1"/>
  <c r="AY435" i="1" l="1"/>
  <c r="AY229" i="1"/>
  <c r="V456" i="1"/>
  <c r="AJ456" i="1" s="1"/>
  <c r="AK456" i="1" s="1"/>
  <c r="V468" i="1"/>
  <c r="AJ468" i="1" s="1"/>
  <c r="AK468" i="1" s="1"/>
  <c r="V453" i="1"/>
  <c r="V449" i="1"/>
  <c r="V447" i="1"/>
  <c r="AJ447" i="1" s="1"/>
  <c r="V471" i="1"/>
  <c r="AJ471" i="1" s="1"/>
  <c r="AK471" i="1" s="1"/>
  <c r="AK463" i="1"/>
  <c r="V455" i="1"/>
  <c r="AJ455" i="1" s="1"/>
  <c r="AK455" i="1" s="1"/>
  <c r="AK460" i="1"/>
  <c r="BH445" i="1"/>
  <c r="BH225" i="1"/>
  <c r="BH265" i="1"/>
  <c r="BH453" i="1"/>
  <c r="BH442" i="1"/>
  <c r="BH382" i="1"/>
  <c r="BH42" i="1"/>
  <c r="BH458" i="1"/>
  <c r="BH430" i="1"/>
  <c r="BH443" i="1"/>
  <c r="BH441" i="1"/>
  <c r="BH449" i="1"/>
  <c r="BH182" i="1"/>
  <c r="BH57" i="1"/>
  <c r="BH310" i="1"/>
  <c r="BH437" i="1"/>
  <c r="BH455" i="1"/>
  <c r="BH266" i="1"/>
  <c r="BH205" i="1"/>
  <c r="BH454" i="1"/>
  <c r="BH452" i="1"/>
  <c r="BH131" i="1"/>
  <c r="BH462" i="1"/>
  <c r="BH440" i="1"/>
  <c r="BH447" i="1"/>
  <c r="BH457" i="1"/>
  <c r="BH142" i="1"/>
  <c r="BH229" i="1"/>
  <c r="BH103" i="1"/>
  <c r="BH250" i="1"/>
  <c r="BH438" i="1"/>
  <c r="BH450" i="1"/>
  <c r="BH126" i="1"/>
  <c r="BH444" i="1"/>
  <c r="BH459" i="1"/>
  <c r="BH263" i="1"/>
  <c r="BH66" i="1"/>
  <c r="BH112" i="1"/>
  <c r="BH210" i="1"/>
  <c r="BH460" i="1"/>
  <c r="FH35" i="1" a="1"/>
  <c r="FH35" i="1" s="1"/>
  <c r="FI28" i="1" s="1"/>
  <c r="FH32" i="1" a="1"/>
  <c r="FH32" i="1" s="1"/>
  <c r="FA24" i="1" s="1"/>
  <c r="BH456" i="1"/>
  <c r="BH461" i="1"/>
  <c r="FH33" i="1" a="1"/>
  <c r="FH33" i="1" s="1"/>
  <c r="FI26" i="1" s="1"/>
  <c r="FH34" i="1" a="1"/>
  <c r="FH34" i="1" s="1"/>
  <c r="FI27" i="1" s="1"/>
  <c r="BH448" i="1"/>
  <c r="BH169" i="1"/>
  <c r="BH451" i="1"/>
  <c r="BH439" i="1"/>
  <c r="BH446" i="1"/>
  <c r="AE454" i="1"/>
  <c r="Y454" i="1"/>
  <c r="V454" i="1"/>
  <c r="Y453" i="1"/>
  <c r="Y451" i="1"/>
  <c r="Y452" i="1"/>
  <c r="V450" i="1"/>
  <c r="CX439" i="1"/>
  <c r="BU613" i="1" l="1"/>
  <c r="BU615" i="1"/>
  <c r="ED615" i="1"/>
  <c r="BU614" i="1"/>
  <c r="BP614" i="1"/>
  <c r="BP615" i="1"/>
  <c r="BJ613" i="1"/>
  <c r="BJ610" i="1"/>
  <c r="BJ612" i="1"/>
  <c r="BU610" i="1"/>
  <c r="BP613" i="1"/>
  <c r="BP611" i="1"/>
  <c r="S611" i="1" s="1"/>
  <c r="T611" i="1" s="1"/>
  <c r="BP610" i="1"/>
  <c r="BU612" i="1"/>
  <c r="BP608" i="1"/>
  <c r="BU608" i="1"/>
  <c r="BP609" i="1"/>
  <c r="S609" i="1" s="1"/>
  <c r="T609" i="1" s="1"/>
  <c r="BP612" i="1"/>
  <c r="ED607" i="1"/>
  <c r="ED612" i="1"/>
  <c r="CV610" i="1"/>
  <c r="CV613" i="1"/>
  <c r="CV612" i="1"/>
  <c r="BU607" i="1"/>
  <c r="CV605" i="1"/>
  <c r="ED605" i="1"/>
  <c r="ED603" i="1"/>
  <c r="ED602" i="1"/>
  <c r="BP607" i="1"/>
  <c r="BU605" i="1"/>
  <c r="BJ604" i="1"/>
  <c r="BJ607" i="1"/>
  <c r="BJ605" i="1"/>
  <c r="BP606" i="1"/>
  <c r="S606" i="1" s="1"/>
  <c r="T606" i="1" s="1"/>
  <c r="BU604" i="1"/>
  <c r="BP605" i="1"/>
  <c r="BP604" i="1"/>
  <c r="BJ603" i="1"/>
  <c r="BJ602" i="1"/>
  <c r="BP602" i="1"/>
  <c r="BP603" i="1"/>
  <c r="BP601" i="1"/>
  <c r="S601" i="1" s="1"/>
  <c r="T601" i="1" s="1"/>
  <c r="BU602" i="1"/>
  <c r="BU603" i="1"/>
  <c r="CD596" i="1"/>
  <c r="CD605" i="1"/>
  <c r="CD604" i="1"/>
  <c r="CV541" i="1"/>
  <c r="CV511" i="1"/>
  <c r="CV575" i="1"/>
  <c r="CV597" i="1"/>
  <c r="CV513" i="1"/>
  <c r="CV589" i="1"/>
  <c r="CV582" i="1"/>
  <c r="CV586" i="1"/>
  <c r="CV583" i="1"/>
  <c r="CV584" i="1"/>
  <c r="CV580" i="1"/>
  <c r="CV577" i="1"/>
  <c r="CV572" i="1"/>
  <c r="CV562" i="1"/>
  <c r="CV554" i="1"/>
  <c r="CV556" i="1"/>
  <c r="CV553" i="1"/>
  <c r="CV545" i="1"/>
  <c r="CV543" i="1"/>
  <c r="CV542" i="1"/>
  <c r="CV534" i="1"/>
  <c r="CV537" i="1"/>
  <c r="CV538" i="1"/>
  <c r="CV527" i="1"/>
  <c r="CV525" i="1"/>
  <c r="CV521" i="1"/>
  <c r="CV510" i="1"/>
  <c r="CV504" i="1"/>
  <c r="CV501" i="1"/>
  <c r="CV499" i="1"/>
  <c r="CV500" i="1"/>
  <c r="CV493" i="1"/>
  <c r="CV496" i="1"/>
  <c r="CV489" i="1"/>
  <c r="CV490" i="1"/>
  <c r="CV488" i="1"/>
  <c r="CV485" i="1"/>
  <c r="CV481" i="1"/>
  <c r="CV473" i="1"/>
  <c r="CV470" i="1"/>
  <c r="CV466" i="1"/>
  <c r="CV467" i="1"/>
  <c r="CV463" i="1"/>
  <c r="CV465" i="1"/>
  <c r="CV462" i="1"/>
  <c r="CV457" i="1"/>
  <c r="CV460" i="1"/>
  <c r="CV451" i="1"/>
  <c r="CV444" i="1"/>
  <c r="CV436" i="1"/>
  <c r="CV427" i="1"/>
  <c r="CV428" i="1"/>
  <c r="CV430" i="1"/>
  <c r="CV425" i="1"/>
  <c r="CV426" i="1"/>
  <c r="CV419" i="1"/>
  <c r="CV422" i="1"/>
  <c r="CV415" i="1"/>
  <c r="CV405" i="1"/>
  <c r="CV406" i="1"/>
  <c r="CV402" i="1"/>
  <c r="CV400" i="1"/>
  <c r="CV396" i="1"/>
  <c r="CV486" i="1"/>
  <c r="CV389" i="1"/>
  <c r="CV391" i="1"/>
  <c r="CV394" i="1"/>
  <c r="CV380" i="1"/>
  <c r="CV383" i="1"/>
  <c r="CV382" i="1"/>
  <c r="CV378" i="1"/>
  <c r="CV373" i="1"/>
  <c r="CV367" i="1"/>
  <c r="CV361" i="1"/>
  <c r="CV355" i="1"/>
  <c r="CV354" i="1"/>
  <c r="CV350" i="1"/>
  <c r="CV345" i="1"/>
  <c r="CV336" i="1"/>
  <c r="CV334" i="1"/>
  <c r="CV328" i="1"/>
  <c r="CV322" i="1"/>
  <c r="CV325" i="1"/>
  <c r="CV319" i="1"/>
  <c r="CV317" i="1"/>
  <c r="CV311" i="1"/>
  <c r="CV308" i="1"/>
  <c r="CV305" i="1"/>
  <c r="CV306" i="1"/>
  <c r="CV298" i="1"/>
  <c r="CV297" i="1"/>
  <c r="CV51" i="1"/>
  <c r="CV187" i="1"/>
  <c r="CV281" i="1"/>
  <c r="CV264" i="1"/>
  <c r="CV185" i="1"/>
  <c r="CV66" i="1"/>
  <c r="CV34" i="1"/>
  <c r="CV280" i="1"/>
  <c r="CV93" i="1"/>
  <c r="CV127" i="1"/>
  <c r="CV114" i="1"/>
  <c r="CV174" i="1"/>
  <c r="CV224" i="1"/>
  <c r="CV172" i="1"/>
  <c r="CV140" i="1"/>
  <c r="CV105" i="1"/>
  <c r="CV218" i="1"/>
  <c r="CV272" i="1"/>
  <c r="CV196" i="1"/>
  <c r="CV104" i="1"/>
  <c r="CV42" i="1"/>
  <c r="CV177" i="1"/>
  <c r="CV252" i="1"/>
  <c r="CV202" i="1"/>
  <c r="CV70" i="1"/>
  <c r="CV244" i="1"/>
  <c r="CV256" i="1"/>
  <c r="CV223" i="1"/>
  <c r="CV10" i="1"/>
  <c r="CV99" i="1"/>
  <c r="CV139" i="1"/>
  <c r="CV228" i="1"/>
  <c r="CV179" i="1"/>
  <c r="CV261" i="1"/>
  <c r="CV136" i="1"/>
  <c r="CV226" i="1"/>
  <c r="CV115" i="1"/>
  <c r="CV276" i="1"/>
  <c r="CV184" i="1"/>
  <c r="CV254" i="1"/>
  <c r="CV141" i="1"/>
  <c r="CV15" i="1"/>
  <c r="CV186" i="1"/>
  <c r="CV117" i="1"/>
  <c r="CV191" i="1"/>
  <c r="CV155" i="1"/>
  <c r="CV84" i="1"/>
  <c r="CV102" i="1"/>
  <c r="CV247" i="1"/>
  <c r="CV124" i="1"/>
  <c r="CV283" i="1"/>
  <c r="CV55" i="1"/>
  <c r="CV129" i="1"/>
  <c r="CV161" i="1"/>
  <c r="CV75" i="1"/>
  <c r="CV290" i="1"/>
  <c r="CV237" i="1"/>
  <c r="CV164" i="1"/>
  <c r="CV220" i="1"/>
  <c r="CV200" i="1"/>
  <c r="CV246" i="1"/>
  <c r="CV145" i="1"/>
  <c r="CV143" i="1"/>
  <c r="CV178" i="1"/>
  <c r="CV257" i="1"/>
  <c r="CV284" i="1"/>
  <c r="CV113" i="1"/>
  <c r="CV39" i="1"/>
  <c r="CV169" i="1"/>
  <c r="CV171" i="1"/>
  <c r="CV133" i="1"/>
  <c r="CV232" i="1"/>
  <c r="DZ287" i="1"/>
  <c r="ED287" i="1" s="1"/>
  <c r="DZ83" i="1"/>
  <c r="ED83" i="1" s="1"/>
  <c r="DZ17" i="1"/>
  <c r="ED17" i="1" s="1"/>
  <c r="DZ65" i="1"/>
  <c r="ED65" i="1" s="1"/>
  <c r="DZ56" i="1"/>
  <c r="ED56" i="1" s="1"/>
  <c r="CV277" i="1"/>
  <c r="CV569" i="1"/>
  <c r="CV508" i="1"/>
  <c r="BP599" i="1"/>
  <c r="BU599" i="1"/>
  <c r="BJ598" i="1"/>
  <c r="BU598" i="1"/>
  <c r="BP600" i="1"/>
  <c r="BP598" i="1"/>
  <c r="BU600" i="1"/>
  <c r="BJ596" i="1"/>
  <c r="BJ597" i="1"/>
  <c r="BP596" i="1"/>
  <c r="BU597" i="1"/>
  <c r="BU596" i="1"/>
  <c r="BP597" i="1"/>
  <c r="ED597" i="1"/>
  <c r="BU591" i="1"/>
  <c r="BU594" i="1"/>
  <c r="BP591" i="1"/>
  <c r="BJ594" i="1"/>
  <c r="BP595" i="1"/>
  <c r="S595" i="1" s="1"/>
  <c r="T595" i="1" s="1"/>
  <c r="BP594" i="1"/>
  <c r="BP593" i="1"/>
  <c r="BJ592" i="1"/>
  <c r="BJ593" i="1"/>
  <c r="BU593" i="1"/>
  <c r="BU592" i="1"/>
  <c r="BP592" i="1"/>
  <c r="ED592" i="1"/>
  <c r="BP590" i="1"/>
  <c r="BU590" i="1"/>
  <c r="BP470" i="1"/>
  <c r="CD587" i="1"/>
  <c r="BJ589" i="1"/>
  <c r="BP589" i="1"/>
  <c r="BU589" i="1"/>
  <c r="ED588" i="1"/>
  <c r="BJ588" i="1"/>
  <c r="BU586" i="1"/>
  <c r="BP588" i="1"/>
  <c r="BP586" i="1"/>
  <c r="BU587" i="1"/>
  <c r="BP587" i="1"/>
  <c r="BU588" i="1"/>
  <c r="BU584" i="1"/>
  <c r="BU585" i="1"/>
  <c r="BP581" i="1"/>
  <c r="BJ583" i="1"/>
  <c r="BU581" i="1"/>
  <c r="BU583" i="1"/>
  <c r="BJ584" i="1"/>
  <c r="BJ582" i="1"/>
  <c r="BP584" i="1"/>
  <c r="BP585" i="1"/>
  <c r="BP583" i="1"/>
  <c r="ED583" i="1"/>
  <c r="ED584" i="1"/>
  <c r="BJ580" i="1"/>
  <c r="BP580" i="1"/>
  <c r="BU582" i="1"/>
  <c r="BU580" i="1"/>
  <c r="BP582" i="1"/>
  <c r="ED580" i="1"/>
  <c r="ED579" i="1"/>
  <c r="ED582" i="1"/>
  <c r="BP579" i="1"/>
  <c r="BJ579" i="1"/>
  <c r="BU578" i="1"/>
  <c r="BJ575" i="1"/>
  <c r="BJ577" i="1"/>
  <c r="BP577" i="1"/>
  <c r="BJ572" i="1"/>
  <c r="BP578" i="1"/>
  <c r="BU575" i="1"/>
  <c r="BP573" i="1"/>
  <c r="S573" i="1" s="1"/>
  <c r="T573" i="1" s="1"/>
  <c r="BU572" i="1"/>
  <c r="BP574" i="1"/>
  <c r="S574" i="1" s="1"/>
  <c r="T574" i="1" s="1"/>
  <c r="BP572" i="1"/>
  <c r="BP575" i="1"/>
  <c r="BP576" i="1"/>
  <c r="BJ569" i="1"/>
  <c r="BJ571" i="1"/>
  <c r="BJ568" i="1"/>
  <c r="BU569" i="1"/>
  <c r="BP568" i="1"/>
  <c r="BP570" i="1"/>
  <c r="S570" i="1" s="1"/>
  <c r="T570" i="1" s="1"/>
  <c r="BP569" i="1"/>
  <c r="BU568" i="1"/>
  <c r="BU571" i="1"/>
  <c r="BP571" i="1"/>
  <c r="BU577" i="1"/>
  <c r="BU579" i="1"/>
  <c r="BU576" i="1"/>
  <c r="ED577" i="1"/>
  <c r="ED572" i="1"/>
  <c r="ED571" i="1"/>
  <c r="ED569" i="1"/>
  <c r="ED576" i="1"/>
  <c r="BU557" i="1"/>
  <c r="BU561" i="1"/>
  <c r="BU559" i="1"/>
  <c r="BP554" i="1"/>
  <c r="BP566" i="1"/>
  <c r="BP567" i="1"/>
  <c r="BJ566" i="1"/>
  <c r="BJ562" i="1"/>
  <c r="BU567" i="1"/>
  <c r="BP562" i="1"/>
  <c r="BP564" i="1"/>
  <c r="S564" i="1" s="1"/>
  <c r="T564" i="1" s="1"/>
  <c r="BP565" i="1"/>
  <c r="BP563" i="1"/>
  <c r="BU565" i="1"/>
  <c r="BU562" i="1"/>
  <c r="BU563" i="1"/>
  <c r="BP561" i="1"/>
  <c r="BJ560" i="1"/>
  <c r="BJ561" i="1"/>
  <c r="BP560" i="1"/>
  <c r="BJ556" i="1"/>
  <c r="BJ555" i="1"/>
  <c r="BJ558" i="1"/>
  <c r="BU555" i="1"/>
  <c r="BP555" i="1"/>
  <c r="BU556" i="1"/>
  <c r="BP558" i="1"/>
  <c r="BP559" i="1"/>
  <c r="BP556" i="1"/>
  <c r="BP557" i="1"/>
  <c r="BU558" i="1"/>
  <c r="BU560" i="1"/>
  <c r="BU566" i="1"/>
  <c r="ED566" i="1"/>
  <c r="ED562" i="1"/>
  <c r="ED556" i="1"/>
  <c r="ED558" i="1"/>
  <c r="ED553" i="1"/>
  <c r="ES549" i="1"/>
  <c r="ED545" i="1"/>
  <c r="ED543" i="1"/>
  <c r="ED549" i="1"/>
  <c r="BP551" i="1"/>
  <c r="BJ553" i="1"/>
  <c r="BJ551" i="1"/>
  <c r="BJ549" i="1"/>
  <c r="BU550" i="1"/>
  <c r="BU549" i="1"/>
  <c r="BP550" i="1"/>
  <c r="BP552" i="1"/>
  <c r="S552" i="1" s="1"/>
  <c r="T552" i="1" s="1"/>
  <c r="BP549" i="1"/>
  <c r="BU553" i="1"/>
  <c r="BP553" i="1"/>
  <c r="BJ548" i="1"/>
  <c r="BJ543" i="1"/>
  <c r="BJ545" i="1"/>
  <c r="BU543" i="1"/>
  <c r="BP548" i="1"/>
  <c r="BU545" i="1"/>
  <c r="BP547" i="1"/>
  <c r="S547" i="1" s="1"/>
  <c r="T547" i="1" s="1"/>
  <c r="BP544" i="1"/>
  <c r="BP543" i="1"/>
  <c r="BP546" i="1"/>
  <c r="S546" i="1" s="1"/>
  <c r="T546" i="1" s="1"/>
  <c r="BP545" i="1"/>
  <c r="BU548" i="1"/>
  <c r="BU551" i="1"/>
  <c r="CD550" i="1"/>
  <c r="BU544" i="1"/>
  <c r="BU539" i="1"/>
  <c r="BJ542" i="1"/>
  <c r="BJ541" i="1"/>
  <c r="BU542" i="1"/>
  <c r="BU541" i="1"/>
  <c r="BP541" i="1"/>
  <c r="BP542" i="1"/>
  <c r="ED542" i="1"/>
  <c r="ED534" i="1"/>
  <c r="ED537" i="1"/>
  <c r="ED538" i="1"/>
  <c r="BJ538" i="1"/>
  <c r="BJ532" i="1"/>
  <c r="BJ536" i="1"/>
  <c r="BJ534" i="1"/>
  <c r="BJ537" i="1"/>
  <c r="BP534" i="1"/>
  <c r="BU529" i="1"/>
  <c r="BP530" i="1"/>
  <c r="S530" i="1" s="1"/>
  <c r="T530" i="1" s="1"/>
  <c r="BU536" i="1"/>
  <c r="BU538" i="1"/>
  <c r="BP536" i="1"/>
  <c r="BU537" i="1"/>
  <c r="BP529" i="1"/>
  <c r="BP537" i="1"/>
  <c r="BP533" i="1"/>
  <c r="BP539" i="1"/>
  <c r="BU534" i="1"/>
  <c r="BP535" i="1"/>
  <c r="BU531" i="1"/>
  <c r="BP531" i="1"/>
  <c r="BP532" i="1"/>
  <c r="BP538" i="1"/>
  <c r="BU535" i="1"/>
  <c r="BP540" i="1"/>
  <c r="S540" i="1" s="1"/>
  <c r="T540" i="1" s="1"/>
  <c r="BP528" i="1"/>
  <c r="BU533" i="1"/>
  <c r="BU528" i="1"/>
  <c r="BP526" i="1"/>
  <c r="BP527" i="1"/>
  <c r="BU526" i="1"/>
  <c r="BJ526" i="1"/>
  <c r="BJ527" i="1"/>
  <c r="BJ525" i="1"/>
  <c r="BP525" i="1"/>
  <c r="BU527" i="1"/>
  <c r="BU525" i="1"/>
  <c r="ED521" i="1"/>
  <c r="ED524" i="1"/>
  <c r="BU521" i="1"/>
  <c r="BJ524" i="1"/>
  <c r="BJ521" i="1"/>
  <c r="BJ522" i="1"/>
  <c r="BP524" i="1"/>
  <c r="BP522" i="1"/>
  <c r="BU522" i="1"/>
  <c r="BP519" i="1"/>
  <c r="S519" i="1" s="1"/>
  <c r="T519" i="1" s="1"/>
  <c r="BU520" i="1"/>
  <c r="BU524" i="1"/>
  <c r="BP520" i="1"/>
  <c r="BP523" i="1"/>
  <c r="S523" i="1" s="1"/>
  <c r="T523" i="1" s="1"/>
  <c r="BP521" i="1"/>
  <c r="BU505" i="1"/>
  <c r="CD517" i="1"/>
  <c r="BU516" i="1"/>
  <c r="BU515" i="1"/>
  <c r="ED514" i="1"/>
  <c r="ED511" i="1"/>
  <c r="ES508" i="1"/>
  <c r="ES387" i="1"/>
  <c r="ES314" i="1"/>
  <c r="BU517" i="1"/>
  <c r="BP518" i="1"/>
  <c r="S518" i="1" s="1"/>
  <c r="T518" i="1" s="1"/>
  <c r="BP517" i="1"/>
  <c r="BJ511" i="1"/>
  <c r="BJ515" i="1"/>
  <c r="BJ513" i="1"/>
  <c r="BJ514" i="1"/>
  <c r="BP515" i="1"/>
  <c r="BU513" i="1"/>
  <c r="BP514" i="1"/>
  <c r="BP513" i="1"/>
  <c r="BU514" i="1"/>
  <c r="BP516" i="1"/>
  <c r="BP511" i="1"/>
  <c r="BP512" i="1"/>
  <c r="S512" i="1" s="1"/>
  <c r="T512" i="1" s="1"/>
  <c r="BU511" i="1"/>
  <c r="ED30" i="1"/>
  <c r="ED36" i="1"/>
  <c r="ED42" i="1"/>
  <c r="ED45" i="1"/>
  <c r="ED60" i="1"/>
  <c r="ED66" i="1"/>
  <c r="ED79" i="1"/>
  <c r="ED15" i="1"/>
  <c r="ED20" i="1"/>
  <c r="ED13" i="1"/>
  <c r="ED27" i="1"/>
  <c r="ED114" i="1"/>
  <c r="ED143" i="1"/>
  <c r="ED95" i="1"/>
  <c r="ED98" i="1"/>
  <c r="ED112" i="1"/>
  <c r="ED115" i="1"/>
  <c r="ED140" i="1"/>
  <c r="ED51" i="1"/>
  <c r="ED99" i="1"/>
  <c r="ED104" i="1"/>
  <c r="ED113" i="1"/>
  <c r="ED125" i="1"/>
  <c r="ED158" i="1"/>
  <c r="ED187" i="1"/>
  <c r="ED213" i="1"/>
  <c r="ED216" i="1"/>
  <c r="ED241" i="1"/>
  <c r="ED253" i="1"/>
  <c r="ED265" i="1"/>
  <c r="ED159" i="1"/>
  <c r="ED172" i="1"/>
  <c r="ED205" i="1"/>
  <c r="ED220" i="1"/>
  <c r="ED223" i="1"/>
  <c r="ED292" i="1"/>
  <c r="ED295" i="1"/>
  <c r="ED298" i="1"/>
  <c r="ED131" i="1"/>
  <c r="ED150" i="1"/>
  <c r="ED162" i="1"/>
  <c r="ED170" i="1"/>
  <c r="ED185" i="1"/>
  <c r="ED196" i="1"/>
  <c r="ED199" i="1"/>
  <c r="ED202" i="1"/>
  <c r="ED209" i="1"/>
  <c r="ED228" i="1"/>
  <c r="ED247" i="1"/>
  <c r="ED306" i="1"/>
  <c r="ED318" i="1"/>
  <c r="ED366" i="1"/>
  <c r="ED394" i="1"/>
  <c r="ED400" i="1"/>
  <c r="ED405" i="1"/>
  <c r="ED411" i="1"/>
  <c r="ED417" i="1"/>
  <c r="ED177" i="1"/>
  <c r="ED302" i="1"/>
  <c r="ED319" i="1"/>
  <c r="ED382" i="1"/>
  <c r="ED391" i="1"/>
  <c r="ED398" i="1"/>
  <c r="ED274" i="1"/>
  <c r="ED317" i="1"/>
  <c r="ED330" i="1"/>
  <c r="ED345" i="1"/>
  <c r="ED354" i="1"/>
  <c r="ED359" i="1"/>
  <c r="ED362" i="1"/>
  <c r="ED339" i="1"/>
  <c r="ED371" i="1"/>
  <c r="ED427" i="1"/>
  <c r="ED489" i="1"/>
  <c r="ED360" i="1"/>
  <c r="ED374" i="1"/>
  <c r="ED425" i="1"/>
  <c r="ED477" i="1"/>
  <c r="ED493" i="1"/>
  <c r="ED312" i="1"/>
  <c r="ED457" i="1"/>
  <c r="ED346" i="1"/>
  <c r="ED390" i="1"/>
  <c r="ED402" i="1"/>
  <c r="ED407" i="1"/>
  <c r="ED413" i="1"/>
  <c r="ED419" i="1"/>
  <c r="ED420" i="1"/>
  <c r="ED189" i="1"/>
  <c r="ED395" i="1"/>
  <c r="ED499" i="1"/>
  <c r="ED465" i="1"/>
  <c r="ED475" i="1"/>
  <c r="ED510" i="1"/>
  <c r="ED504" i="1"/>
  <c r="ED498" i="1"/>
  <c r="ED500" i="1"/>
  <c r="ED496" i="1"/>
  <c r="ED486" i="1"/>
  <c r="ED464" i="1"/>
  <c r="ED466" i="1"/>
  <c r="ED462" i="1"/>
  <c r="ED444" i="1"/>
  <c r="ED436" i="1"/>
  <c r="ED458" i="1"/>
  <c r="ED473" i="1"/>
  <c r="ED501" i="1"/>
  <c r="ED508" i="1"/>
  <c r="ED304" i="1"/>
  <c r="ED169" i="1"/>
  <c r="ED290" i="1"/>
  <c r="ED260" i="1"/>
  <c r="ED206" i="1"/>
  <c r="ED285" i="1"/>
  <c r="ED238" i="1"/>
  <c r="ED272" i="1"/>
  <c r="ED137" i="1"/>
  <c r="ED264" i="1"/>
  <c r="ED309" i="1"/>
  <c r="ED62" i="1"/>
  <c r="ED155" i="1"/>
  <c r="ED403" i="1"/>
  <c r="ED276" i="1"/>
  <c r="ED320" i="1"/>
  <c r="ED9" i="1"/>
  <c r="ED406" i="1"/>
  <c r="ED136" i="1"/>
  <c r="ED284" i="1"/>
  <c r="ED288" i="1"/>
  <c r="ED270" i="1"/>
  <c r="ED218" i="1"/>
  <c r="ED256" i="1"/>
  <c r="ED48" i="1"/>
  <c r="ED164" i="1"/>
  <c r="ED89" i="1"/>
  <c r="ED367" i="1"/>
  <c r="ED451" i="1"/>
  <c r="ED433" i="1"/>
  <c r="ED431" i="1"/>
  <c r="BJ510" i="1"/>
  <c r="BJ508" i="1"/>
  <c r="BU509" i="1"/>
  <c r="BP507" i="1"/>
  <c r="BU508" i="1"/>
  <c r="BP508" i="1"/>
  <c r="BU507" i="1"/>
  <c r="BP509" i="1"/>
  <c r="BP510" i="1"/>
  <c r="BU510" i="1"/>
  <c r="BJ505" i="1"/>
  <c r="BP506" i="1"/>
  <c r="S506" i="1" s="1"/>
  <c r="T506" i="1" s="1"/>
  <c r="BP505" i="1"/>
  <c r="BU504" i="1"/>
  <c r="BU502" i="1"/>
  <c r="CD499" i="1"/>
  <c r="BJ501" i="1"/>
  <c r="BJ504" i="1"/>
  <c r="BU501" i="1"/>
  <c r="BP501" i="1"/>
  <c r="BJ499" i="1"/>
  <c r="BJ500" i="1"/>
  <c r="BP503" i="1"/>
  <c r="S503" i="1" s="1"/>
  <c r="T503" i="1" s="1"/>
  <c r="BP502" i="1"/>
  <c r="BP504" i="1"/>
  <c r="BP500" i="1"/>
  <c r="BU500" i="1"/>
  <c r="BU499" i="1"/>
  <c r="BP499" i="1"/>
  <c r="BU497" i="1"/>
  <c r="BJ498" i="1"/>
  <c r="BJ496" i="1"/>
  <c r="BJ493" i="1"/>
  <c r="BJ497" i="1"/>
  <c r="BJ489" i="1"/>
  <c r="BJ485" i="1"/>
  <c r="BJ488" i="1"/>
  <c r="BJ487" i="1"/>
  <c r="BJ486" i="1"/>
  <c r="BJ484" i="1"/>
  <c r="BJ481" i="1"/>
  <c r="BJ473" i="1"/>
  <c r="BJ477" i="1"/>
  <c r="BJ478" i="1"/>
  <c r="BJ470" i="1"/>
  <c r="BJ135" i="1"/>
  <c r="BJ43" i="1"/>
  <c r="BJ75" i="1"/>
  <c r="BJ466" i="1"/>
  <c r="BJ346" i="1"/>
  <c r="BJ155" i="1"/>
  <c r="BJ311" i="1"/>
  <c r="BJ127" i="1"/>
  <c r="BJ261" i="1"/>
  <c r="BJ254" i="1"/>
  <c r="BJ272" i="1"/>
  <c r="BJ440" i="1"/>
  <c r="BJ123" i="1"/>
  <c r="BJ389" i="1"/>
  <c r="BJ373" i="1"/>
  <c r="BJ319" i="1"/>
  <c r="BJ15" i="1"/>
  <c r="BJ226" i="1"/>
  <c r="BJ191" i="1"/>
  <c r="BJ458" i="1"/>
  <c r="BJ318" i="1"/>
  <c r="BJ115" i="1"/>
  <c r="BJ178" i="1"/>
  <c r="BJ148" i="1"/>
  <c r="BJ181" i="1"/>
  <c r="BJ355" i="1"/>
  <c r="BJ411" i="1"/>
  <c r="BJ103" i="1"/>
  <c r="BJ55" i="1"/>
  <c r="BJ142" i="1"/>
  <c r="BJ51" i="1"/>
  <c r="BJ280" i="1"/>
  <c r="BJ194" i="1"/>
  <c r="BJ199" i="1"/>
  <c r="BJ262" i="1"/>
  <c r="BJ184" i="1"/>
  <c r="BJ328" i="1"/>
  <c r="BJ350" i="1"/>
  <c r="BJ422" i="1"/>
  <c r="BJ140" i="1"/>
  <c r="BJ218" i="1"/>
  <c r="BJ162" i="1"/>
  <c r="BJ215" i="1"/>
  <c r="BJ314" i="1"/>
  <c r="BJ39" i="1"/>
  <c r="BJ172" i="1"/>
  <c r="BJ71" i="1"/>
  <c r="BJ290" i="1"/>
  <c r="BJ125" i="1"/>
  <c r="BJ170" i="1"/>
  <c r="BJ196" i="1"/>
  <c r="BJ120" i="1"/>
  <c r="BJ31" i="1"/>
  <c r="BJ336" i="1"/>
  <c r="BJ112" i="1"/>
  <c r="BJ244" i="1"/>
  <c r="BJ241" i="1"/>
  <c r="BJ402" i="1"/>
  <c r="BJ391" i="1"/>
  <c r="BJ465" i="1"/>
  <c r="BJ467" i="1"/>
  <c r="BJ464" i="1"/>
  <c r="BJ462" i="1"/>
  <c r="BJ460" i="1"/>
  <c r="BJ459" i="1"/>
  <c r="BJ457" i="1"/>
  <c r="BJ362" i="1"/>
  <c r="BJ451" i="1"/>
  <c r="BJ445" i="1"/>
  <c r="BJ446" i="1"/>
  <c r="BJ450" i="1"/>
  <c r="BJ444" i="1"/>
  <c r="BJ443" i="1"/>
  <c r="BJ441" i="1"/>
  <c r="BJ433" i="1"/>
  <c r="BJ436" i="1"/>
  <c r="BJ427" i="1"/>
  <c r="BJ431" i="1"/>
  <c r="BJ426" i="1"/>
  <c r="BJ425" i="1"/>
  <c r="BJ419" i="1"/>
  <c r="BJ420" i="1"/>
  <c r="BJ415" i="1"/>
  <c r="BJ417" i="1"/>
  <c r="BJ413" i="1"/>
  <c r="BJ405" i="1"/>
  <c r="BJ406" i="1"/>
  <c r="BJ407" i="1"/>
  <c r="BJ403" i="1"/>
  <c r="BJ400" i="1"/>
  <c r="BJ395" i="1"/>
  <c r="BJ396" i="1"/>
  <c r="BJ398" i="1"/>
  <c r="BJ394" i="1"/>
  <c r="BJ390" i="1"/>
  <c r="BJ387" i="1"/>
  <c r="BJ383" i="1"/>
  <c r="BJ382" i="1"/>
  <c r="BJ378" i="1"/>
  <c r="BJ376" i="1"/>
  <c r="BJ380" i="1"/>
  <c r="BJ371" i="1"/>
  <c r="BJ375" i="1"/>
  <c r="BJ374" i="1"/>
  <c r="BJ367" i="1"/>
  <c r="BJ366" i="1"/>
  <c r="BJ360" i="1"/>
  <c r="BJ359" i="1"/>
  <c r="BJ358" i="1"/>
  <c r="BJ354" i="1"/>
  <c r="BJ351" i="1"/>
  <c r="BJ348" i="1"/>
  <c r="BJ345" i="1"/>
  <c r="BJ339" i="1"/>
  <c r="BJ334" i="1"/>
  <c r="BJ330" i="1"/>
  <c r="BJ326" i="1"/>
  <c r="BJ325" i="1"/>
  <c r="BJ322" i="1"/>
  <c r="BJ320" i="1"/>
  <c r="BJ317" i="1"/>
  <c r="BJ315" i="1"/>
  <c r="BJ312" i="1"/>
  <c r="BJ309" i="1"/>
  <c r="BJ306" i="1"/>
  <c r="BJ304" i="1"/>
  <c r="BJ27" i="1"/>
  <c r="BJ302" i="1"/>
  <c r="BJ298" i="1"/>
  <c r="BJ297" i="1"/>
  <c r="BJ284" i="1"/>
  <c r="BJ209" i="1"/>
  <c r="BJ33" i="1"/>
  <c r="BJ224" i="1"/>
  <c r="BJ205" i="1"/>
  <c r="BJ88" i="1"/>
  <c r="BJ44" i="1"/>
  <c r="BJ287" i="1"/>
  <c r="BJ206" i="1"/>
  <c r="BJ233" i="1"/>
  <c r="BJ214" i="1"/>
  <c r="BJ117" i="1"/>
  <c r="BJ60" i="1"/>
  <c r="BJ9" i="1"/>
  <c r="BJ265" i="1"/>
  <c r="BJ177" i="1"/>
  <c r="BJ145" i="1"/>
  <c r="BJ202" i="1"/>
  <c r="BJ82" i="1"/>
  <c r="BJ295" i="1"/>
  <c r="BJ6" i="1"/>
  <c r="BJ252" i="1"/>
  <c r="BJ74" i="1"/>
  <c r="BJ277" i="1"/>
  <c r="BJ189" i="1"/>
  <c r="BJ48" i="1"/>
  <c r="BJ288" i="1"/>
  <c r="BJ216" i="1"/>
  <c r="BJ164" i="1"/>
  <c r="BJ52" i="1"/>
  <c r="BJ264" i="1"/>
  <c r="BJ169" i="1"/>
  <c r="BJ179" i="1"/>
  <c r="BJ276" i="1"/>
  <c r="BJ129" i="1"/>
  <c r="BJ102" i="1"/>
  <c r="BJ17" i="1"/>
  <c r="BJ150" i="1"/>
  <c r="BJ153" i="1"/>
  <c r="BJ159" i="1"/>
  <c r="BJ253" i="1"/>
  <c r="BJ109" i="1"/>
  <c r="BJ99" i="1"/>
  <c r="BJ228" i="1"/>
  <c r="BJ111" i="1"/>
  <c r="BJ114" i="1"/>
  <c r="BJ143" i="1"/>
  <c r="BJ237" i="1"/>
  <c r="BJ81" i="1"/>
  <c r="BJ62" i="1"/>
  <c r="BJ193" i="1"/>
  <c r="BJ98" i="1"/>
  <c r="BJ104" i="1"/>
  <c r="BJ133" i="1"/>
  <c r="BJ136" i="1"/>
  <c r="BJ56" i="1"/>
  <c r="BJ24" i="1"/>
  <c r="BJ141" i="1"/>
  <c r="BJ95" i="1"/>
  <c r="BJ70" i="1"/>
  <c r="BJ85" i="1"/>
  <c r="BJ91" i="1"/>
  <c r="BJ34" i="1"/>
  <c r="BJ158" i="1"/>
  <c r="BJ83" i="1"/>
  <c r="BJ89" i="1"/>
  <c r="BJ45" i="1"/>
  <c r="BJ79" i="1"/>
  <c r="BJ66" i="1"/>
  <c r="BJ21" i="1"/>
  <c r="BJ197" i="1"/>
  <c r="BJ30" i="1"/>
  <c r="BJ246" i="1"/>
  <c r="BJ16" i="1"/>
  <c r="BJ57" i="1"/>
  <c r="BJ256" i="1"/>
  <c r="BJ187" i="1"/>
  <c r="BJ274" i="1"/>
  <c r="BJ119" i="1"/>
  <c r="BJ13" i="1"/>
  <c r="BJ22" i="1"/>
  <c r="BJ223" i="1"/>
  <c r="BJ174" i="1"/>
  <c r="BJ232" i="1"/>
  <c r="BJ267" i="1"/>
  <c r="BJ10" i="1"/>
  <c r="BJ285" i="1"/>
  <c r="BJ213" i="1"/>
  <c r="BJ65" i="1"/>
  <c r="BJ131" i="1"/>
  <c r="BJ238" i="1"/>
  <c r="BJ4" i="1"/>
  <c r="BJ247" i="1"/>
  <c r="BJ185" i="1"/>
  <c r="BJ87" i="1"/>
  <c r="BJ77" i="1"/>
  <c r="BJ42" i="1"/>
  <c r="BJ270" i="1"/>
  <c r="BJ220" i="1"/>
  <c r="BJ139" i="1"/>
  <c r="BJ258" i="1"/>
  <c r="BJ36" i="1"/>
  <c r="BJ292" i="1"/>
  <c r="BJ260" i="1"/>
  <c r="BJ149" i="1"/>
  <c r="BJ113" i="1"/>
  <c r="BP494" i="1"/>
  <c r="S494" i="1" s="1"/>
  <c r="T494" i="1" s="1"/>
  <c r="BP496" i="1"/>
  <c r="BU498" i="1"/>
  <c r="BP495" i="1"/>
  <c r="BP498" i="1"/>
  <c r="BP497" i="1"/>
  <c r="BP493" i="1"/>
  <c r="BU493" i="1"/>
  <c r="BU495" i="1"/>
  <c r="BU496" i="1"/>
  <c r="BU487" i="1"/>
  <c r="BU491" i="1"/>
  <c r="BU489" i="1"/>
  <c r="BP490" i="1"/>
  <c r="BP491" i="1"/>
  <c r="BU490" i="1"/>
  <c r="BP489" i="1"/>
  <c r="BP487" i="1"/>
  <c r="BP484" i="1"/>
  <c r="BU484" i="1"/>
  <c r="BP486" i="1"/>
  <c r="BU485" i="1"/>
  <c r="BU483" i="1"/>
  <c r="BP488" i="1"/>
  <c r="BP485" i="1"/>
  <c r="BP483" i="1"/>
  <c r="BU486" i="1"/>
  <c r="BU488" i="1"/>
  <c r="BP482" i="1"/>
  <c r="CD480" i="1"/>
  <c r="BU482" i="1"/>
  <c r="BU480" i="1"/>
  <c r="BP481" i="1"/>
  <c r="BP480" i="1"/>
  <c r="BU481" i="1"/>
  <c r="BP478" i="1"/>
  <c r="BP477" i="1"/>
  <c r="BU478" i="1"/>
  <c r="BP475" i="1"/>
  <c r="BP476" i="1"/>
  <c r="S476" i="1" s="1"/>
  <c r="T476" i="1" s="1"/>
  <c r="BU473" i="1"/>
  <c r="BP474" i="1"/>
  <c r="BP479" i="1"/>
  <c r="S479" i="1" s="1"/>
  <c r="T479" i="1" s="1"/>
  <c r="BP473" i="1"/>
  <c r="BU474" i="1"/>
  <c r="BU475" i="1"/>
  <c r="BP469" i="1"/>
  <c r="BU469" i="1"/>
  <c r="BP471" i="1"/>
  <c r="S471" i="1" s="1"/>
  <c r="T471" i="1" s="1"/>
  <c r="BU470" i="1"/>
  <c r="BP472" i="1"/>
  <c r="S472" i="1" s="1"/>
  <c r="T472" i="1" s="1"/>
  <c r="BP467" i="1"/>
  <c r="BU467" i="1"/>
  <c r="BP468" i="1"/>
  <c r="S468" i="1" s="1"/>
  <c r="T468" i="1" s="1"/>
  <c r="BP464" i="1"/>
  <c r="BU464" i="1"/>
  <c r="BP466" i="1"/>
  <c r="BU466" i="1"/>
  <c r="BP465" i="1"/>
  <c r="BU465" i="1"/>
  <c r="BP463" i="1"/>
  <c r="BU463" i="1"/>
  <c r="BU442" i="1"/>
  <c r="BU457" i="1"/>
  <c r="BP450" i="1"/>
  <c r="BP445" i="1"/>
  <c r="BP439" i="1"/>
  <c r="S439" i="1" s="1"/>
  <c r="T439" i="1" s="1"/>
  <c r="BU437" i="1"/>
  <c r="BU462" i="1"/>
  <c r="BP458" i="1"/>
  <c r="BP454" i="1"/>
  <c r="BU450" i="1"/>
  <c r="BP462" i="1"/>
  <c r="BP455" i="1"/>
  <c r="S455" i="1" s="1"/>
  <c r="T455" i="1" s="1"/>
  <c r="BP457" i="1"/>
  <c r="BU454" i="1"/>
  <c r="BU445" i="1"/>
  <c r="BU461" i="1"/>
  <c r="BP448" i="1"/>
  <c r="BU443" i="1"/>
  <c r="BP440" i="1"/>
  <c r="BP461" i="1"/>
  <c r="BP447" i="1"/>
  <c r="S447" i="1" s="1"/>
  <c r="T447" i="1" s="1"/>
  <c r="BP442" i="1"/>
  <c r="BP444" i="1"/>
  <c r="BP438" i="1"/>
  <c r="S438" i="1" s="1"/>
  <c r="T438" i="1" s="1"/>
  <c r="BU451" i="1"/>
  <c r="BU444" i="1"/>
  <c r="BP441" i="1"/>
  <c r="BP446" i="1"/>
  <c r="BU458" i="1"/>
  <c r="BU452" i="1"/>
  <c r="BP443" i="1"/>
  <c r="BU459" i="1"/>
  <c r="BP453" i="1"/>
  <c r="S453" i="1" s="1"/>
  <c r="T453" i="1" s="1"/>
  <c r="BP459" i="1"/>
  <c r="BP452" i="1"/>
  <c r="BP451" i="1"/>
  <c r="BU446" i="1"/>
  <c r="BP456" i="1"/>
  <c r="S456" i="1" s="1"/>
  <c r="T456" i="1" s="1"/>
  <c r="BP460" i="1"/>
  <c r="BP449" i="1"/>
  <c r="S449" i="1" s="1"/>
  <c r="T449" i="1" s="1"/>
  <c r="BP437" i="1"/>
  <c r="BU436" i="1"/>
  <c r="BP436" i="1"/>
  <c r="BU415" i="1"/>
  <c r="BP435" i="1"/>
  <c r="BP433" i="1"/>
  <c r="BU435" i="1"/>
  <c r="BU433" i="1"/>
  <c r="BP434" i="1"/>
  <c r="BU434" i="1"/>
  <c r="BU460" i="1"/>
  <c r="BU441" i="1"/>
  <c r="BU448" i="1"/>
  <c r="BU440" i="1"/>
  <c r="Y448" i="1"/>
  <c r="AE448" i="1"/>
  <c r="AK447" i="1"/>
  <c r="Y450" i="1"/>
  <c r="Y449" i="1"/>
  <c r="Y447" i="1"/>
  <c r="Y446" i="1"/>
  <c r="Y445" i="1"/>
  <c r="V444" i="1"/>
  <c r="V439" i="1"/>
  <c r="AJ439" i="1" s="1"/>
  <c r="V441" i="1"/>
  <c r="AJ441" i="1" s="1"/>
  <c r="BK363" i="1"/>
  <c r="BK342" i="1"/>
  <c r="BK34" i="1"/>
  <c r="BK42" i="1"/>
  <c r="BK17" i="1"/>
  <c r="BK208" i="1"/>
  <c r="BK409" i="1"/>
  <c r="BK260" i="1"/>
  <c r="BK106" i="1"/>
  <c r="BK20" i="1"/>
  <c r="S615" i="1" l="1"/>
  <c r="T615" i="1" s="1"/>
  <c r="S614" i="1"/>
  <c r="T614" i="1" s="1"/>
  <c r="S608" i="1"/>
  <c r="T608" i="1" s="1"/>
  <c r="S612" i="1"/>
  <c r="T612" i="1" s="1"/>
  <c r="S610" i="1"/>
  <c r="T610" i="1" s="1"/>
  <c r="S613" i="1"/>
  <c r="T613" i="1" s="1"/>
  <c r="S607" i="1"/>
  <c r="T607" i="1" s="1"/>
  <c r="S603" i="1"/>
  <c r="T603" i="1" s="1"/>
  <c r="S602" i="1"/>
  <c r="T602" i="1" s="1"/>
  <c r="S605" i="1"/>
  <c r="T605" i="1" s="1"/>
  <c r="S604" i="1"/>
  <c r="T604" i="1" s="1"/>
  <c r="S600" i="1"/>
  <c r="T600" i="1" s="1"/>
  <c r="S598" i="1"/>
  <c r="T598" i="1" s="1"/>
  <c r="S599" i="1"/>
  <c r="T599" i="1" s="1"/>
  <c r="S597" i="1"/>
  <c r="T597" i="1" s="1"/>
  <c r="S596" i="1"/>
  <c r="T596" i="1" s="1"/>
  <c r="S591" i="1"/>
  <c r="T591" i="1" s="1"/>
  <c r="S594" i="1"/>
  <c r="T594" i="1" s="1"/>
  <c r="S593" i="1"/>
  <c r="T593" i="1" s="1"/>
  <c r="S592" i="1"/>
  <c r="T592" i="1" s="1"/>
  <c r="S590" i="1"/>
  <c r="T590" i="1" s="1"/>
  <c r="S589" i="1"/>
  <c r="T589" i="1" s="1"/>
  <c r="S588" i="1"/>
  <c r="T588" i="1" s="1"/>
  <c r="S587" i="1"/>
  <c r="T587" i="1" s="1"/>
  <c r="S586" i="1"/>
  <c r="T586" i="1" s="1"/>
  <c r="S583" i="1"/>
  <c r="T583" i="1" s="1"/>
  <c r="S585" i="1"/>
  <c r="T585" i="1" s="1"/>
  <c r="S581" i="1"/>
  <c r="T581" i="1" s="1"/>
  <c r="S584" i="1"/>
  <c r="T584" i="1" s="1"/>
  <c r="S582" i="1"/>
  <c r="T582" i="1" s="1"/>
  <c r="S580" i="1"/>
  <c r="T580" i="1" s="1"/>
  <c r="S569" i="1"/>
  <c r="T569" i="1" s="1"/>
  <c r="S578" i="1"/>
  <c r="T578" i="1" s="1"/>
  <c r="S579" i="1"/>
  <c r="T579" i="1" s="1"/>
  <c r="S576" i="1"/>
  <c r="T576" i="1" s="1"/>
  <c r="S577" i="1"/>
  <c r="T577" i="1" s="1"/>
  <c r="S572" i="1"/>
  <c r="T572" i="1" s="1"/>
  <c r="S575" i="1"/>
  <c r="T575" i="1" s="1"/>
  <c r="S568" i="1"/>
  <c r="T568" i="1" s="1"/>
  <c r="S571" i="1"/>
  <c r="T571" i="1" s="1"/>
  <c r="S560" i="1"/>
  <c r="T560" i="1" s="1"/>
  <c r="S567" i="1"/>
  <c r="T567" i="1" s="1"/>
  <c r="S557" i="1"/>
  <c r="T557" i="1" s="1"/>
  <c r="S561" i="1"/>
  <c r="T561" i="1" s="1"/>
  <c r="S555" i="1"/>
  <c r="T555" i="1" s="1"/>
  <c r="S563" i="1"/>
  <c r="T563" i="1" s="1"/>
  <c r="S565" i="1"/>
  <c r="T565" i="1" s="1"/>
  <c r="S554" i="1"/>
  <c r="T554" i="1" s="1"/>
  <c r="S562" i="1"/>
  <c r="T562" i="1" s="1"/>
  <c r="S558" i="1"/>
  <c r="T558" i="1" s="1"/>
  <c r="S556" i="1"/>
  <c r="T556" i="1" s="1"/>
  <c r="S559" i="1"/>
  <c r="T559" i="1" s="1"/>
  <c r="S566" i="1"/>
  <c r="T566" i="1" s="1"/>
  <c r="S544" i="1"/>
  <c r="T544" i="1" s="1"/>
  <c r="S553" i="1"/>
  <c r="T553" i="1" s="1"/>
  <c r="S550" i="1"/>
  <c r="T550" i="1" s="1"/>
  <c r="S549" i="1"/>
  <c r="T549" i="1" s="1"/>
  <c r="S551" i="1"/>
  <c r="T551" i="1" s="1"/>
  <c r="S545" i="1"/>
  <c r="T545" i="1" s="1"/>
  <c r="S543" i="1"/>
  <c r="T543" i="1" s="1"/>
  <c r="S548" i="1"/>
  <c r="T548" i="1" s="1"/>
  <c r="S539" i="1"/>
  <c r="T539" i="1" s="1"/>
  <c r="S541" i="1"/>
  <c r="T541" i="1" s="1"/>
  <c r="S542" i="1"/>
  <c r="T542" i="1" s="1"/>
  <c r="S532" i="1"/>
  <c r="T532" i="1" s="1"/>
  <c r="S535" i="1"/>
  <c r="T535" i="1" s="1"/>
  <c r="S528" i="1"/>
  <c r="T528" i="1" s="1"/>
  <c r="S531" i="1"/>
  <c r="T531" i="1" s="1"/>
  <c r="S529" i="1"/>
  <c r="T529" i="1" s="1"/>
  <c r="S537" i="1"/>
  <c r="T537" i="1" s="1"/>
  <c r="S538" i="1"/>
  <c r="T538" i="1" s="1"/>
  <c r="S534" i="1"/>
  <c r="T534" i="1" s="1"/>
  <c r="S533" i="1"/>
  <c r="T533" i="1" s="1"/>
  <c r="S536" i="1"/>
  <c r="T536" i="1" s="1"/>
  <c r="S526" i="1"/>
  <c r="T526" i="1" s="1"/>
  <c r="S525" i="1"/>
  <c r="T525" i="1" s="1"/>
  <c r="S527" i="1"/>
  <c r="T527" i="1" s="1"/>
  <c r="S522" i="1"/>
  <c r="T522" i="1" s="1"/>
  <c r="S520" i="1"/>
  <c r="T520" i="1" s="1"/>
  <c r="S521" i="1"/>
  <c r="T521" i="1" s="1"/>
  <c r="S524" i="1"/>
  <c r="T524" i="1" s="1"/>
  <c r="S511" i="1"/>
  <c r="T511" i="1" s="1"/>
  <c r="S515" i="1"/>
  <c r="T515" i="1" s="1"/>
  <c r="S514" i="1"/>
  <c r="T514" i="1" s="1"/>
  <c r="S517" i="1"/>
  <c r="T517" i="1" s="1"/>
  <c r="S516" i="1"/>
  <c r="T516" i="1" s="1"/>
  <c r="S513" i="1"/>
  <c r="T513" i="1" s="1"/>
  <c r="S509" i="1"/>
  <c r="T509" i="1" s="1"/>
  <c r="S510" i="1"/>
  <c r="T510" i="1" s="1"/>
  <c r="S507" i="1"/>
  <c r="T507" i="1" s="1"/>
  <c r="S508" i="1"/>
  <c r="T508" i="1" s="1"/>
  <c r="S505" i="1"/>
  <c r="T505" i="1" s="1"/>
  <c r="S502" i="1"/>
  <c r="T502" i="1" s="1"/>
  <c r="S500" i="1"/>
  <c r="T500" i="1" s="1"/>
  <c r="S499" i="1"/>
  <c r="T499" i="1" s="1"/>
  <c r="S501" i="1"/>
  <c r="T501" i="1" s="1"/>
  <c r="S504" i="1"/>
  <c r="T504" i="1" s="1"/>
  <c r="S497" i="1"/>
  <c r="T497" i="1" s="1"/>
  <c r="S496" i="1"/>
  <c r="T496" i="1" s="1"/>
  <c r="S495" i="1"/>
  <c r="T495" i="1" s="1"/>
  <c r="S498" i="1"/>
  <c r="T498" i="1" s="1"/>
  <c r="S493" i="1"/>
  <c r="T493" i="1" s="1"/>
  <c r="S490" i="1"/>
  <c r="T490" i="1" s="1"/>
  <c r="S489" i="1"/>
  <c r="T489" i="1" s="1"/>
  <c r="S491" i="1"/>
  <c r="T491" i="1" s="1"/>
  <c r="S487" i="1"/>
  <c r="T487" i="1" s="1"/>
  <c r="S483" i="1"/>
  <c r="T483" i="1" s="1"/>
  <c r="S484" i="1"/>
  <c r="T484" i="1" s="1"/>
  <c r="S488" i="1"/>
  <c r="T488" i="1" s="1"/>
  <c r="S485" i="1"/>
  <c r="T485" i="1" s="1"/>
  <c r="S486" i="1"/>
  <c r="T486" i="1" s="1"/>
  <c r="S482" i="1"/>
  <c r="T482" i="1" s="1"/>
  <c r="S480" i="1"/>
  <c r="T480" i="1" s="1"/>
  <c r="S481" i="1"/>
  <c r="T481" i="1" s="1"/>
  <c r="S477" i="1"/>
  <c r="T477" i="1" s="1"/>
  <c r="S478" i="1"/>
  <c r="T478" i="1" s="1"/>
  <c r="S475" i="1"/>
  <c r="T475" i="1" s="1"/>
  <c r="S474" i="1"/>
  <c r="T474" i="1" s="1"/>
  <c r="S473" i="1"/>
  <c r="T473" i="1" s="1"/>
  <c r="S469" i="1"/>
  <c r="T469" i="1" s="1"/>
  <c r="S470" i="1"/>
  <c r="T470" i="1" s="1"/>
  <c r="S457" i="1"/>
  <c r="T457" i="1" s="1"/>
  <c r="S467" i="1"/>
  <c r="T467" i="1" s="1"/>
  <c r="S464" i="1"/>
  <c r="T464" i="1" s="1"/>
  <c r="S466" i="1"/>
  <c r="T466" i="1" s="1"/>
  <c r="S463" i="1"/>
  <c r="T463" i="1" s="1"/>
  <c r="S465" i="1"/>
  <c r="T465" i="1" s="1"/>
  <c r="S442" i="1"/>
  <c r="T442" i="1" s="1"/>
  <c r="S450" i="1"/>
  <c r="T450" i="1" s="1"/>
  <c r="S461" i="1"/>
  <c r="T461" i="1" s="1"/>
  <c r="S448" i="1"/>
  <c r="T448" i="1" s="1"/>
  <c r="S460" i="1"/>
  <c r="T460" i="1" s="1"/>
  <c r="S444" i="1"/>
  <c r="T444" i="1" s="1"/>
  <c r="S451" i="1"/>
  <c r="T451" i="1" s="1"/>
  <c r="S446" i="1"/>
  <c r="T446" i="1" s="1"/>
  <c r="S459" i="1"/>
  <c r="T459" i="1" s="1"/>
  <c r="S454" i="1"/>
  <c r="T454" i="1" s="1"/>
  <c r="S445" i="1"/>
  <c r="T445" i="1" s="1"/>
  <c r="S441" i="1"/>
  <c r="T441" i="1" s="1"/>
  <c r="S458" i="1"/>
  <c r="T458" i="1" s="1"/>
  <c r="S440" i="1"/>
  <c r="T440" i="1" s="1"/>
  <c r="S443" i="1"/>
  <c r="T443" i="1" s="1"/>
  <c r="S452" i="1"/>
  <c r="T452" i="1" s="1"/>
  <c r="S437" i="1"/>
  <c r="T437" i="1" s="1"/>
  <c r="S462" i="1"/>
  <c r="T462" i="1" s="1"/>
  <c r="AK443" i="1"/>
  <c r="Y443" i="1"/>
  <c r="Y444" i="1"/>
  <c r="AK441" i="1"/>
  <c r="AE442" i="1"/>
  <c r="Y438" i="1"/>
  <c r="Y440" i="1"/>
  <c r="Y442" i="1"/>
  <c r="Y441" i="1"/>
  <c r="Y439" i="1"/>
  <c r="Y437" i="1"/>
  <c r="AK439" i="1"/>
  <c r="BH433" i="1"/>
  <c r="S433" i="1" s="1"/>
  <c r="T433" i="1" s="1"/>
  <c r="BH436" i="1"/>
  <c r="S436" i="1" s="1"/>
  <c r="T436" i="1" s="1"/>
  <c r="BH434" i="1"/>
  <c r="S434" i="1" s="1"/>
  <c r="T434" i="1" s="1"/>
  <c r="AW433" i="1"/>
  <c r="CX435" i="1"/>
  <c r="Z435" i="1"/>
  <c r="U435" i="1"/>
  <c r="U434" i="1"/>
  <c r="AH434" i="1"/>
  <c r="Q434" i="1"/>
  <c r="S435" i="1"/>
  <c r="T435" i="1" s="1"/>
  <c r="Q436" i="1"/>
  <c r="W435" i="1"/>
  <c r="AA435" i="1"/>
  <c r="BX436" i="1"/>
  <c r="AB436" i="1"/>
  <c r="W436" i="1"/>
  <c r="BX435" i="1"/>
  <c r="AD436" i="1"/>
  <c r="AE436" i="1" s="1"/>
  <c r="AD435" i="1"/>
  <c r="AE435" i="1" s="1"/>
  <c r="AD433" i="1"/>
  <c r="AE433" i="1" s="1"/>
  <c r="BX433" i="1"/>
  <c r="W433" i="1"/>
  <c r="AD434" i="1"/>
  <c r="AE434" i="1" s="1"/>
  <c r="W434" i="1"/>
  <c r="AB434" i="1"/>
  <c r="BA432" i="1"/>
  <c r="BF432" i="1" a="1"/>
  <c r="BF432" i="1" s="1"/>
  <c r="BA167" i="1"/>
  <c r="BF167" i="1" a="1"/>
  <c r="BF167" i="1" s="1"/>
  <c r="BA431" i="1"/>
  <c r="BF431" i="1" a="1"/>
  <c r="BF431" i="1" s="1"/>
  <c r="AG429" i="1"/>
  <c r="BA427" i="1"/>
  <c r="BF427" i="1" a="1"/>
  <c r="BF427" i="1" s="1"/>
  <c r="U66" i="1"/>
  <c r="AG432" i="1"/>
  <c r="Z428" i="1"/>
  <c r="U428" i="1"/>
  <c r="AU431" i="1"/>
  <c r="DY431" i="1" s="1"/>
  <c r="CW431" i="1"/>
  <c r="CY431" i="1" s="1"/>
  <c r="U427" i="1"/>
  <c r="Z427" i="1"/>
  <c r="BA428" i="1"/>
  <c r="DZ428" i="1" s="1"/>
  <c r="BF428" i="1" a="1"/>
  <c r="BF428" i="1" s="1"/>
  <c r="BA429" i="1"/>
  <c r="BF429" i="1" a="1"/>
  <c r="BF429" i="1" s="1"/>
  <c r="BH429" i="1" s="1"/>
  <c r="U339" i="1"/>
  <c r="Z339" i="1"/>
  <c r="U247" i="1"/>
  <c r="Z247" i="1"/>
  <c r="U142" i="1"/>
  <c r="Z142" i="1"/>
  <c r="U316" i="1"/>
  <c r="Z316" i="1"/>
  <c r="U207" i="1"/>
  <c r="Z207" i="1"/>
  <c r="U8" i="1"/>
  <c r="Z8" i="1"/>
  <c r="Z277" i="1"/>
  <c r="U276" i="1"/>
  <c r="Z276" i="1"/>
  <c r="U116" i="1"/>
  <c r="Z116" i="1"/>
  <c r="U405" i="1"/>
  <c r="Z405" i="1"/>
  <c r="U406" i="1"/>
  <c r="Z406" i="1"/>
  <c r="U422" i="1"/>
  <c r="Z422" i="1"/>
  <c r="U139" i="1"/>
  <c r="Z139" i="1"/>
  <c r="U98" i="1"/>
  <c r="Z98" i="1"/>
  <c r="U272" i="1"/>
  <c r="Z272" i="1"/>
  <c r="U273" i="1"/>
  <c r="Z273" i="1"/>
  <c r="U143" i="1"/>
  <c r="Z143" i="1"/>
  <c r="U70" i="1"/>
  <c r="Z70" i="1"/>
  <c r="U136" i="1"/>
  <c r="Z136" i="1"/>
  <c r="U246" i="1"/>
  <c r="Z246" i="1"/>
  <c r="U191" i="1"/>
  <c r="Z191" i="1"/>
  <c r="U260" i="1"/>
  <c r="Z260" i="1"/>
  <c r="U99" i="1"/>
  <c r="Z99" i="1"/>
  <c r="U158" i="1"/>
  <c r="Z158" i="1"/>
  <c r="U86" i="1"/>
  <c r="Z86" i="1"/>
  <c r="U148" i="1"/>
  <c r="Z148" i="1"/>
  <c r="U38" i="1"/>
  <c r="Z38" i="1"/>
  <c r="U47" i="1"/>
  <c r="Z47" i="1"/>
  <c r="U345" i="1"/>
  <c r="Z345" i="1"/>
  <c r="U131" i="1"/>
  <c r="Z131" i="1"/>
  <c r="U312" i="1"/>
  <c r="Z312" i="1"/>
  <c r="U413" i="1"/>
  <c r="Z413" i="1"/>
  <c r="U402" i="1"/>
  <c r="Z402" i="1"/>
  <c r="U425" i="1"/>
  <c r="Z425" i="1"/>
  <c r="U408" i="1"/>
  <c r="Z408" i="1"/>
  <c r="U126" i="1"/>
  <c r="Z126" i="1"/>
  <c r="U390" i="1"/>
  <c r="Z390" i="1"/>
  <c r="U220" i="1"/>
  <c r="Z220" i="1"/>
  <c r="U82" i="1"/>
  <c r="Z82" i="1"/>
  <c r="U113" i="1"/>
  <c r="Z113" i="1"/>
  <c r="U84" i="1"/>
  <c r="Z84" i="1"/>
  <c r="U214" i="1"/>
  <c r="Z214" i="1"/>
  <c r="U42" i="1"/>
  <c r="Z42" i="1"/>
  <c r="U85" i="1"/>
  <c r="Z85" i="1"/>
  <c r="U373" i="1"/>
  <c r="Z373" i="1"/>
  <c r="Z320" i="1"/>
  <c r="U43" i="1"/>
  <c r="Z43" i="1"/>
  <c r="U185" i="1"/>
  <c r="Z185" i="1"/>
  <c r="U298" i="1"/>
  <c r="Z298" i="1"/>
  <c r="Z112" i="1"/>
  <c r="U200" i="1"/>
  <c r="Z200" i="1"/>
  <c r="U282" i="1"/>
  <c r="Z282" i="1"/>
  <c r="U307" i="1"/>
  <c r="Z307" i="1"/>
  <c r="U95" i="1"/>
  <c r="Z95" i="1"/>
  <c r="U367" i="1"/>
  <c r="Z367" i="1"/>
  <c r="U224" i="1"/>
  <c r="Z224" i="1"/>
  <c r="U187" i="1"/>
  <c r="Z187" i="1"/>
  <c r="U164" i="1"/>
  <c r="Z164" i="1"/>
  <c r="U114" i="1"/>
  <c r="Z114" i="1"/>
  <c r="U338" i="1"/>
  <c r="Z338" i="1"/>
  <c r="U197" i="1"/>
  <c r="Z197" i="1"/>
  <c r="U175" i="1"/>
  <c r="Z175" i="1"/>
  <c r="U306" i="1"/>
  <c r="Z306" i="1"/>
  <c r="U308" i="1"/>
  <c r="Z308" i="1"/>
  <c r="U48" i="1"/>
  <c r="Z48" i="1"/>
  <c r="U419" i="1"/>
  <c r="Z419" i="1"/>
  <c r="U400" i="1"/>
  <c r="Z400" i="1"/>
  <c r="U152" i="1"/>
  <c r="Z152" i="1"/>
  <c r="U290" i="1"/>
  <c r="Z290" i="1"/>
  <c r="U317" i="1"/>
  <c r="Z317" i="1"/>
  <c r="U212" i="1"/>
  <c r="U233" i="1"/>
  <c r="U94" i="1"/>
  <c r="U25" i="1"/>
  <c r="U51" i="1"/>
  <c r="U111" i="1"/>
  <c r="U361" i="1"/>
  <c r="U285" i="1"/>
  <c r="U208" i="1"/>
  <c r="U196" i="1"/>
  <c r="U102" i="1"/>
  <c r="U49" i="1"/>
  <c r="U150" i="1"/>
  <c r="U234" i="1"/>
  <c r="U328" i="1"/>
  <c r="U360" i="1"/>
  <c r="U5" i="1"/>
  <c r="U24" i="1"/>
  <c r="U124" i="1"/>
  <c r="U186" i="1"/>
  <c r="U69" i="1"/>
  <c r="U355" i="1"/>
  <c r="U394" i="1"/>
  <c r="U36" i="1"/>
  <c r="U288" i="1"/>
  <c r="U96" i="1"/>
  <c r="U26" i="1"/>
  <c r="CX253" i="1"/>
  <c r="U253" i="1"/>
  <c r="U266" i="1"/>
  <c r="U184" i="1"/>
  <c r="U101" i="1"/>
  <c r="U68" i="1"/>
  <c r="U120" i="1"/>
  <c r="U33" i="1"/>
  <c r="U169" i="1"/>
  <c r="U168" i="1"/>
  <c r="U140" i="1"/>
  <c r="U44" i="1"/>
  <c r="U393" i="1"/>
  <c r="BW81" i="1"/>
  <c r="Z81" i="1" s="1"/>
  <c r="U73" i="1"/>
  <c r="U103" i="1"/>
  <c r="U92" i="1"/>
  <c r="U45" i="1"/>
  <c r="U242" i="1"/>
  <c r="U209" i="1"/>
  <c r="U77" i="1"/>
  <c r="U97" i="1"/>
  <c r="U90" i="1"/>
  <c r="U40" i="1"/>
  <c r="U109" i="1"/>
  <c r="U104" i="1"/>
  <c r="U60" i="1"/>
  <c r="U155" i="1"/>
  <c r="U23" i="1"/>
  <c r="CX205" i="1"/>
  <c r="U205" i="1"/>
  <c r="CX320" i="1"/>
  <c r="U320" i="1"/>
  <c r="U53" i="1"/>
  <c r="U144" i="1"/>
  <c r="U344" i="1"/>
  <c r="U115" i="1"/>
  <c r="CX112" i="1"/>
  <c r="U112" i="1"/>
  <c r="U241" i="1"/>
  <c r="U15" i="1"/>
  <c r="U284" i="1"/>
  <c r="U261" i="1"/>
  <c r="U398" i="1"/>
  <c r="U206" i="1"/>
  <c r="U172" i="1"/>
  <c r="U271" i="1"/>
  <c r="U64" i="1"/>
  <c r="U391" i="1"/>
  <c r="U89" i="1"/>
  <c r="U41" i="1"/>
  <c r="U28" i="1"/>
  <c r="U16" i="1"/>
  <c r="U87" i="1"/>
  <c r="U12" i="1"/>
  <c r="U72" i="1"/>
  <c r="U80" i="1"/>
  <c r="U210" i="1"/>
  <c r="CX270" i="1"/>
  <c r="U270" i="1"/>
  <c r="U382" i="1"/>
  <c r="U100" i="1"/>
  <c r="U21" i="1"/>
  <c r="U342" i="1"/>
  <c r="U93" i="1"/>
  <c r="U52" i="1"/>
  <c r="U388" i="1"/>
  <c r="U170" i="1"/>
  <c r="U354" i="1"/>
  <c r="U119" i="1"/>
  <c r="U228" i="1"/>
  <c r="BW280" i="1"/>
  <c r="Z280" i="1" s="1"/>
  <c r="U22" i="1"/>
  <c r="U88" i="1"/>
  <c r="U264" i="1"/>
  <c r="U279" i="1"/>
  <c r="U256" i="1"/>
  <c r="U202" i="1"/>
  <c r="U225" i="1"/>
  <c r="U31" i="1"/>
  <c r="U177" i="1"/>
  <c r="U218" i="1"/>
  <c r="U61" i="1"/>
  <c r="U76" i="1"/>
  <c r="U193" i="1"/>
  <c r="U309" i="1"/>
  <c r="U19" i="1"/>
  <c r="U286" i="1"/>
  <c r="U213" i="1"/>
  <c r="U223" i="1"/>
  <c r="U181" i="1"/>
  <c r="U166" i="1"/>
  <c r="U13" i="1"/>
  <c r="U32" i="1"/>
  <c r="CX277" i="1"/>
  <c r="BW294" i="1"/>
  <c r="Z294" i="1" s="1"/>
  <c r="U363" i="1"/>
  <c r="U79" i="1"/>
  <c r="U160" i="1"/>
  <c r="U29" i="1"/>
  <c r="U27" i="1"/>
  <c r="U319" i="1"/>
  <c r="U63" i="1"/>
  <c r="U189" i="1"/>
  <c r="U62" i="1"/>
  <c r="AG329" i="1"/>
  <c r="BW54" i="1"/>
  <c r="AG369" i="1"/>
  <c r="AG108" i="1"/>
  <c r="AG243" i="1"/>
  <c r="AG324" i="1"/>
  <c r="BW337" i="1"/>
  <c r="AG291" i="1"/>
  <c r="AG163" i="1"/>
  <c r="BW106" i="1"/>
  <c r="AG327" i="1"/>
  <c r="AG349" i="1"/>
  <c r="AG341" i="1"/>
  <c r="AG203" i="1"/>
  <c r="AW253" i="1"/>
  <c r="AW43" i="1"/>
  <c r="AW76" i="1"/>
  <c r="AW148" i="1"/>
  <c r="AW11" i="1"/>
  <c r="AW273" i="1"/>
  <c r="AW56" i="1"/>
  <c r="AW223" i="1"/>
  <c r="AW114" i="1"/>
  <c r="AW109" i="1"/>
  <c r="AW9" i="1"/>
  <c r="BX434" i="1"/>
  <c r="BK135" i="1"/>
  <c r="BK418" i="1"/>
  <c r="BK365" i="1"/>
  <c r="BK303" i="1"/>
  <c r="BK322" i="1"/>
  <c r="BK357" i="1"/>
  <c r="BK377" i="1"/>
  <c r="BK188" i="1"/>
  <c r="BK393" i="1"/>
  <c r="BK138" i="1"/>
  <c r="BK10" i="1"/>
  <c r="BK39" i="1"/>
  <c r="BK185" i="1"/>
  <c r="BK54" i="1"/>
  <c r="CP431" i="1" l="1"/>
  <c r="CU431" i="1" s="1"/>
  <c r="EC431" i="1"/>
  <c r="EE431" i="1" s="1"/>
  <c r="AI434" i="1"/>
  <c r="ED428" i="1"/>
  <c r="Z54" i="1"/>
  <c r="AG54" i="1"/>
  <c r="Z106" i="1"/>
  <c r="AG106" i="1"/>
  <c r="AB435" i="1"/>
  <c r="Q435" i="1"/>
  <c r="V435" i="1"/>
  <c r="Q433" i="1"/>
  <c r="Z433" i="1"/>
  <c r="U433" i="1"/>
  <c r="Y435" i="1"/>
  <c r="BH432" i="1"/>
  <c r="BH428" i="1"/>
  <c r="BH167" i="1"/>
  <c r="BH427" i="1"/>
  <c r="BH431" i="1"/>
  <c r="BU431" i="1" s="1"/>
  <c r="BK217" i="1"/>
  <c r="BK49" i="1"/>
  <c r="BK247" i="1"/>
  <c r="BK348" i="1"/>
  <c r="BK51" i="1"/>
  <c r="BK279" i="1"/>
  <c r="BK64" i="1"/>
  <c r="BK92" i="1"/>
  <c r="BK371" i="1"/>
  <c r="BK394" i="1"/>
  <c r="BK116" i="1"/>
  <c r="BK69" i="1"/>
  <c r="BK259" i="1"/>
  <c r="BK382" i="1"/>
  <c r="BK283" i="1"/>
  <c r="BK316" i="1"/>
  <c r="BK15" i="1"/>
  <c r="BK278" i="1"/>
  <c r="BK198" i="1"/>
  <c r="BK187" i="1"/>
  <c r="BK178" i="1"/>
  <c r="BK285" i="1"/>
  <c r="BK307" i="1"/>
  <c r="BK79" i="1"/>
  <c r="BK194" i="1"/>
  <c r="BK192" i="1"/>
  <c r="BK337" i="1"/>
  <c r="BK427" i="1"/>
  <c r="BK41" i="1"/>
  <c r="BK425" i="1"/>
  <c r="BK312" i="1"/>
  <c r="BK369" i="1"/>
  <c r="BK90" i="1"/>
  <c r="BK164" i="1"/>
  <c r="BK80" i="1"/>
  <c r="BK354" i="1"/>
  <c r="BK262" i="1"/>
  <c r="BK117" i="1"/>
  <c r="BK349" i="1"/>
  <c r="BK300" i="1"/>
  <c r="BK95" i="1"/>
  <c r="BK403" i="1"/>
  <c r="BK310" i="1"/>
  <c r="BK21" i="1"/>
  <c r="BK47" i="1"/>
  <c r="BK274" i="1"/>
  <c r="BK370" i="1"/>
  <c r="BK345" i="1"/>
  <c r="BK416" i="1"/>
  <c r="BK228" i="1"/>
  <c r="BK292" i="1"/>
  <c r="BK149" i="1"/>
  <c r="BK204" i="1"/>
  <c r="BK271" i="1"/>
  <c r="BK158" i="1"/>
  <c r="BK407" i="1"/>
  <c r="BK411" i="1"/>
  <c r="BK244" i="1"/>
  <c r="BK127" i="1"/>
  <c r="BK330" i="1"/>
  <c r="BK359" i="1"/>
  <c r="BK383" i="1"/>
  <c r="BK235" i="1"/>
  <c r="BK28" i="1"/>
  <c r="BK56" i="1"/>
  <c r="BK405" i="1"/>
  <c r="BK85" i="1"/>
  <c r="BK326" i="1"/>
  <c r="BK415" i="1"/>
  <c r="BK386" i="1"/>
  <c r="BK4" i="1"/>
  <c r="BK366" i="1"/>
  <c r="BK97" i="1"/>
  <c r="BK100" i="1"/>
  <c r="BK175" i="1"/>
  <c r="BK344" i="1"/>
  <c r="BK143" i="1"/>
  <c r="BK387" i="1"/>
  <c r="BK7" i="1"/>
  <c r="BK378" i="1"/>
  <c r="BK45" i="1"/>
  <c r="BK83" i="1"/>
  <c r="BK423" i="1"/>
  <c r="BK263" i="1"/>
  <c r="BK210" i="1"/>
  <c r="BK60" i="1"/>
  <c r="BK426" i="1"/>
  <c r="BK150" i="1"/>
  <c r="BK432" i="1"/>
  <c r="BK265" i="1"/>
  <c r="BK419" i="1"/>
  <c r="BK240" i="1"/>
  <c r="BK199" i="1"/>
  <c r="BK297" i="1"/>
  <c r="BK88" i="1"/>
  <c r="BK129" i="1"/>
  <c r="BK154" i="1"/>
  <c r="BK237" i="1"/>
  <c r="BK78" i="1"/>
  <c r="BK180" i="1"/>
  <c r="BK153" i="1"/>
  <c r="BK302" i="1"/>
  <c r="BK167" i="1"/>
  <c r="BK104" i="1"/>
  <c r="BK172" i="1"/>
  <c r="BK145" i="1"/>
  <c r="BK319" i="1"/>
  <c r="BK113" i="1"/>
  <c r="BK304" i="1"/>
  <c r="BK112" i="1"/>
  <c r="BK196" i="1"/>
  <c r="BK115" i="1"/>
  <c r="BK71" i="1"/>
  <c r="BK74" i="1"/>
  <c r="BK203" i="1"/>
  <c r="BK245" i="1"/>
  <c r="BK18" i="1"/>
  <c r="BK234" i="1"/>
  <c r="BK35" i="1"/>
  <c r="BK305" i="1"/>
  <c r="BK401" i="1"/>
  <c r="BK14" i="1"/>
  <c r="BK183" i="1"/>
  <c r="BK400" i="1"/>
  <c r="BK30" i="1"/>
  <c r="BK72" i="1"/>
  <c r="BK61" i="1"/>
  <c r="BK114" i="1"/>
  <c r="BK165" i="1"/>
  <c r="BK24" i="1"/>
  <c r="BK225" i="1"/>
  <c r="BK144" i="1"/>
  <c r="BK252" i="1"/>
  <c r="BK334" i="1"/>
  <c r="BK11" i="1"/>
  <c r="BK125" i="1"/>
  <c r="BK156" i="1"/>
  <c r="BK324" i="1"/>
  <c r="BK327" i="1"/>
  <c r="BK201" i="1"/>
  <c r="BK102" i="1"/>
  <c r="BK329" i="1"/>
  <c r="BK421" i="1"/>
  <c r="BK282" i="1"/>
  <c r="BK375" i="1"/>
  <c r="BK417" i="1"/>
  <c r="BK243" i="1"/>
  <c r="BK133" i="1"/>
  <c r="BK335" i="1"/>
  <c r="BK215" i="1"/>
  <c r="BK65" i="1"/>
  <c r="BK59" i="1"/>
  <c r="BK341" i="1"/>
  <c r="BK206" i="1"/>
  <c r="BK140" i="1"/>
  <c r="BK227" i="1"/>
  <c r="BK362" i="1"/>
  <c r="BK213" i="1"/>
  <c r="BK131" i="1"/>
  <c r="BK255" i="1"/>
  <c r="BK108" i="1"/>
  <c r="BK230" i="1"/>
  <c r="BK257" i="1"/>
  <c r="BK410" i="1"/>
  <c r="BK174" i="1"/>
  <c r="BK317" i="1"/>
  <c r="BK389" i="1"/>
  <c r="BK384" i="1"/>
  <c r="BK298" i="1"/>
  <c r="BK429" i="1"/>
  <c r="BK315" i="1"/>
  <c r="BK232" i="1"/>
  <c r="BK163" i="1"/>
  <c r="BK395" i="1"/>
  <c r="BK52" i="1"/>
  <c r="BK277" i="1"/>
  <c r="BK25" i="1"/>
  <c r="BK223" i="1"/>
  <c r="BK287" i="1"/>
  <c r="BK38" i="1"/>
  <c r="BK193" i="1"/>
  <c r="BK96" i="1"/>
  <c r="BK250" i="1"/>
  <c r="BK130" i="1"/>
  <c r="BK273" i="1"/>
  <c r="BK291" i="1"/>
  <c r="BK212" i="1"/>
  <c r="BK126" i="1"/>
  <c r="CX433" i="1" l="1"/>
  <c r="AB433" i="1"/>
  <c r="AH429" i="1"/>
  <c r="Z429" i="1"/>
  <c r="U429" i="1"/>
  <c r="Z431" i="1"/>
  <c r="CX431" i="1"/>
  <c r="U431" i="1"/>
  <c r="AH432" i="1"/>
  <c r="Z432" i="1"/>
  <c r="U432" i="1"/>
  <c r="AW431" i="1"/>
  <c r="BT431" i="1" s="1"/>
  <c r="U294" i="1"/>
  <c r="U384" i="1"/>
  <c r="U418" i="1"/>
  <c r="U416" i="1"/>
  <c r="U165" i="1"/>
  <c r="U410" i="1"/>
  <c r="U283" i="1"/>
  <c r="U303" i="1"/>
  <c r="U423" i="1"/>
  <c r="U75" i="1"/>
  <c r="AW59" i="1"/>
  <c r="AW211" i="1"/>
  <c r="AW285" i="1"/>
  <c r="AW284" i="1"/>
  <c r="AW72" i="1"/>
  <c r="AW242" i="1"/>
  <c r="AW203" i="1"/>
  <c r="AW143" i="1"/>
  <c r="AW149" i="1"/>
  <c r="AW340" i="1"/>
  <c r="AW227" i="1"/>
  <c r="AW348" i="1"/>
  <c r="AW349" i="1"/>
  <c r="AW291" i="1"/>
  <c r="AW180" i="1"/>
  <c r="AW233" i="1"/>
  <c r="AW202" i="1"/>
  <c r="AW84" i="1"/>
  <c r="AW4" i="1"/>
  <c r="AW218" i="1"/>
  <c r="AW405" i="1"/>
  <c r="AW75" i="1"/>
  <c r="AW69" i="1"/>
  <c r="AW118" i="1"/>
  <c r="AW80" i="1"/>
  <c r="AW377" i="1"/>
  <c r="AW283" i="1"/>
  <c r="AW85" i="1"/>
  <c r="AW312" i="1"/>
  <c r="AW342" i="1"/>
  <c r="AW32" i="1"/>
  <c r="AW201" i="1"/>
  <c r="AW337" i="1"/>
  <c r="AW360" i="1"/>
  <c r="AW98" i="1"/>
  <c r="AW185" i="1"/>
  <c r="AW113" i="1"/>
  <c r="AW119" i="1"/>
  <c r="AW336" i="1"/>
  <c r="AW363" i="1"/>
  <c r="AW307" i="1"/>
  <c r="AW339" i="1"/>
  <c r="AW413" i="1"/>
  <c r="AW163" i="1"/>
  <c r="AW96" i="1"/>
  <c r="AW381" i="1"/>
  <c r="AW247" i="1"/>
  <c r="AW209" i="1"/>
  <c r="AW254" i="1"/>
  <c r="AW320" i="1"/>
  <c r="AW322" i="1"/>
  <c r="AW73" i="1"/>
  <c r="AW260" i="1"/>
  <c r="AW300" i="1"/>
  <c r="AW186" i="1"/>
  <c r="AW357" i="1"/>
  <c r="AW401" i="1"/>
  <c r="AW341" i="1"/>
  <c r="AW354" i="1"/>
  <c r="AW86" i="1"/>
  <c r="AW193" i="1"/>
  <c r="AW54" i="1"/>
  <c r="AW150" i="1"/>
  <c r="AW62" i="1"/>
  <c r="AW159" i="1"/>
  <c r="AW170" i="1"/>
  <c r="AW79" i="1"/>
  <c r="AW267" i="1"/>
  <c r="AW61" i="1"/>
  <c r="AW120" i="1"/>
  <c r="AW38" i="1"/>
  <c r="AW331" i="1"/>
  <c r="AW157" i="1"/>
  <c r="AW33" i="1"/>
  <c r="AW204" i="1"/>
  <c r="AW418" i="1"/>
  <c r="AW188" i="1"/>
  <c r="AW384" i="1"/>
  <c r="AW335" i="1"/>
  <c r="CW428" i="1"/>
  <c r="CY428" i="1" s="1"/>
  <c r="CX428" i="1"/>
  <c r="CX430" i="1"/>
  <c r="CW430" i="1"/>
  <c r="CY430" i="1" s="1"/>
  <c r="CW427" i="1"/>
  <c r="CY427" i="1" s="1"/>
  <c r="CX427" i="1"/>
  <c r="CW425" i="1"/>
  <c r="CY425" i="1" s="1"/>
  <c r="CW426" i="1"/>
  <c r="CY426" i="1" s="1"/>
  <c r="CX426" i="1"/>
  <c r="CX425" i="1"/>
  <c r="CW419" i="1"/>
  <c r="CY419" i="1" s="1"/>
  <c r="CX419" i="1"/>
  <c r="CW422" i="1"/>
  <c r="CY422" i="1" s="1"/>
  <c r="CX422" i="1"/>
  <c r="CW415" i="1"/>
  <c r="CY415" i="1" s="1"/>
  <c r="CX415" i="1"/>
  <c r="BV415" i="1"/>
  <c r="BY415" i="1" s="1"/>
  <c r="CX406" i="1"/>
  <c r="CW405" i="1"/>
  <c r="CY405" i="1" s="1"/>
  <c r="CW406" i="1"/>
  <c r="CY406" i="1" s="1"/>
  <c r="CX405" i="1"/>
  <c r="CX400" i="1"/>
  <c r="CW400" i="1"/>
  <c r="CY400" i="1" s="1"/>
  <c r="CX402" i="1"/>
  <c r="CW402" i="1"/>
  <c r="CY402" i="1" s="1"/>
  <c r="CW396" i="1"/>
  <c r="CY396" i="1" s="1"/>
  <c r="CX396" i="1"/>
  <c r="CW169" i="1"/>
  <c r="CY169" i="1" s="1"/>
  <c r="CW34" i="1"/>
  <c r="CY34" i="1" s="1"/>
  <c r="CW105" i="1"/>
  <c r="CY105" i="1" s="1"/>
  <c r="CW252" i="1"/>
  <c r="CY252" i="1" s="1"/>
  <c r="CW373" i="1"/>
  <c r="CY373" i="1" s="1"/>
  <c r="CW102" i="1"/>
  <c r="CY102" i="1" s="1"/>
  <c r="CW51" i="1"/>
  <c r="CY51" i="1" s="1"/>
  <c r="CW200" i="1"/>
  <c r="CY200" i="1" s="1"/>
  <c r="CW10" i="1"/>
  <c r="CY10" i="1" s="1"/>
  <c r="CW297" i="1"/>
  <c r="CY297" i="1" s="1"/>
  <c r="CW319" i="1"/>
  <c r="CY319" i="1" s="1"/>
  <c r="CW305" i="1"/>
  <c r="CY305" i="1" s="1"/>
  <c r="CW361" i="1"/>
  <c r="CY361" i="1" s="1"/>
  <c r="CW104" i="1"/>
  <c r="CY104" i="1" s="1"/>
  <c r="CW290" i="1"/>
  <c r="CY290" i="1" s="1"/>
  <c r="CW308" i="1"/>
  <c r="CY308" i="1" s="1"/>
  <c r="CW115" i="1"/>
  <c r="CY115" i="1" s="1"/>
  <c r="CW178" i="1"/>
  <c r="CY178" i="1" s="1"/>
  <c r="CW55" i="1"/>
  <c r="CY55" i="1" s="1"/>
  <c r="CW202" i="1"/>
  <c r="CY202" i="1" s="1"/>
  <c r="CW261" i="1"/>
  <c r="CY261" i="1" s="1"/>
  <c r="CW140" i="1"/>
  <c r="CY140" i="1" s="1"/>
  <c r="CW389" i="1"/>
  <c r="CY389" i="1" s="1"/>
  <c r="CW139" i="1"/>
  <c r="CY139" i="1" s="1"/>
  <c r="CW223" i="1"/>
  <c r="CY223" i="1" s="1"/>
  <c r="CW334" i="1"/>
  <c r="CY334" i="1" s="1"/>
  <c r="CW232" i="1"/>
  <c r="CY232" i="1" s="1"/>
  <c r="CW247" i="1"/>
  <c r="CY247" i="1" s="1"/>
  <c r="CW117" i="1"/>
  <c r="CY117" i="1" s="1"/>
  <c r="CW284" i="1"/>
  <c r="CY284" i="1" s="1"/>
  <c r="CW256" i="1"/>
  <c r="CY256" i="1" s="1"/>
  <c r="CW246" i="1"/>
  <c r="CY246" i="1" s="1"/>
  <c r="CW185" i="1"/>
  <c r="CY185" i="1" s="1"/>
  <c r="CW179" i="1"/>
  <c r="CY179" i="1" s="1"/>
  <c r="CW276" i="1"/>
  <c r="CY276" i="1" s="1"/>
  <c r="CW264" i="1"/>
  <c r="CY264" i="1" s="1"/>
  <c r="CW70" i="1"/>
  <c r="CY70" i="1" s="1"/>
  <c r="CW280" i="1"/>
  <c r="CY280" i="1" s="1"/>
  <c r="CW75" i="1"/>
  <c r="CY75" i="1" s="1"/>
  <c r="CW141" i="1"/>
  <c r="CY141" i="1" s="1"/>
  <c r="CW129" i="1"/>
  <c r="CY129" i="1" s="1"/>
  <c r="CW174" i="1"/>
  <c r="CY174" i="1" s="1"/>
  <c r="CW355" i="1"/>
  <c r="CY355" i="1" s="1"/>
  <c r="CW114" i="1"/>
  <c r="CY114" i="1" s="1"/>
  <c r="CW113" i="1"/>
  <c r="CY113" i="1" s="1"/>
  <c r="CW93" i="1"/>
  <c r="CY93" i="1" s="1"/>
  <c r="CW220" i="1"/>
  <c r="CY220" i="1" s="1"/>
  <c r="CW394" i="1"/>
  <c r="CY394" i="1" s="1"/>
  <c r="CW272" i="1"/>
  <c r="CY272" i="1" s="1"/>
  <c r="CW257" i="1"/>
  <c r="CY257" i="1" s="1"/>
  <c r="CW226" i="1"/>
  <c r="CY226" i="1" s="1"/>
  <c r="CW228" i="1"/>
  <c r="CY228" i="1" s="1"/>
  <c r="CW317" i="1"/>
  <c r="CY317" i="1" s="1"/>
  <c r="CW99" i="1"/>
  <c r="CY99" i="1" s="1"/>
  <c r="CW345" i="1"/>
  <c r="CY345" i="1" s="1"/>
  <c r="CW42" i="1"/>
  <c r="CY42" i="1" s="1"/>
  <c r="CW15" i="1"/>
  <c r="CY15" i="1" s="1"/>
  <c r="CW311" i="1"/>
  <c r="CY311" i="1" s="1"/>
  <c r="CW143" i="1"/>
  <c r="CY143" i="1" s="1"/>
  <c r="CW244" i="1"/>
  <c r="CY244" i="1" s="1"/>
  <c r="CW184" i="1"/>
  <c r="CY184" i="1" s="1"/>
  <c r="CW350" i="1"/>
  <c r="CY350" i="1" s="1"/>
  <c r="CW328" i="1"/>
  <c r="CY328" i="1" s="1"/>
  <c r="CW196" i="1"/>
  <c r="CY196" i="1" s="1"/>
  <c r="CW133" i="1"/>
  <c r="CY133" i="1" s="1"/>
  <c r="CW391" i="1"/>
  <c r="CY391" i="1" s="1"/>
  <c r="CW277" i="1"/>
  <c r="CY277" i="1" s="1"/>
  <c r="CW218" i="1"/>
  <c r="CY218" i="1" s="1"/>
  <c r="CW127" i="1"/>
  <c r="CY127" i="1" s="1"/>
  <c r="CW155" i="1"/>
  <c r="CY155" i="1" s="1"/>
  <c r="CW224" i="1"/>
  <c r="CY224" i="1" s="1"/>
  <c r="CW39" i="1"/>
  <c r="CY39" i="1" s="1"/>
  <c r="CW336" i="1"/>
  <c r="CY336" i="1" s="1"/>
  <c r="CW354" i="1"/>
  <c r="CY354" i="1" s="1"/>
  <c r="CW383" i="1"/>
  <c r="CY383" i="1" s="1"/>
  <c r="CW283" i="1"/>
  <c r="CY283" i="1" s="1"/>
  <c r="CW177" i="1"/>
  <c r="CY177" i="1" s="1"/>
  <c r="CW322" i="1"/>
  <c r="CY322" i="1" s="1"/>
  <c r="CW136" i="1"/>
  <c r="CY136" i="1" s="1"/>
  <c r="CW66" i="1"/>
  <c r="CY66" i="1" s="1"/>
  <c r="CW187" i="1"/>
  <c r="CY187" i="1" s="1"/>
  <c r="CW367" i="1"/>
  <c r="CY367" i="1" s="1"/>
  <c r="CW306" i="1"/>
  <c r="CY306" i="1" s="1"/>
  <c r="CW380" i="1"/>
  <c r="CY380" i="1" s="1"/>
  <c r="CW84" i="1"/>
  <c r="CY84" i="1" s="1"/>
  <c r="CW171" i="1"/>
  <c r="CY171" i="1" s="1"/>
  <c r="CW237" i="1"/>
  <c r="CY237" i="1" s="1"/>
  <c r="CW124" i="1"/>
  <c r="CY124" i="1" s="1"/>
  <c r="CW164" i="1"/>
  <c r="CY164" i="1" s="1"/>
  <c r="CW254" i="1"/>
  <c r="CY254" i="1" s="1"/>
  <c r="CW145" i="1"/>
  <c r="CY145" i="1" s="1"/>
  <c r="CW191" i="1"/>
  <c r="CY191" i="1" s="1"/>
  <c r="CW186" i="1"/>
  <c r="CY186" i="1" s="1"/>
  <c r="CW382" i="1"/>
  <c r="CY382" i="1" s="1"/>
  <c r="CX311" i="1"/>
  <c r="CX133" i="1"/>
  <c r="CX218" i="1"/>
  <c r="CX42" i="1"/>
  <c r="CX246" i="1"/>
  <c r="CX164" i="1"/>
  <c r="CX389" i="1"/>
  <c r="CX223" i="1"/>
  <c r="CX136" i="1"/>
  <c r="CX171" i="1"/>
  <c r="CX140" i="1"/>
  <c r="CX114" i="1"/>
  <c r="CX237" i="1"/>
  <c r="CX127" i="1"/>
  <c r="CX145" i="1"/>
  <c r="CX129" i="1"/>
  <c r="CX361" i="1"/>
  <c r="CX99" i="1"/>
  <c r="CX367" i="1"/>
  <c r="CX169" i="1"/>
  <c r="CX155" i="1"/>
  <c r="CX280" i="1"/>
  <c r="CX336" i="1"/>
  <c r="CX373" i="1"/>
  <c r="CX317" i="1"/>
  <c r="CX179" i="1"/>
  <c r="CX177" i="1"/>
  <c r="CX334" i="1"/>
  <c r="CX102" i="1"/>
  <c r="CX272" i="1"/>
  <c r="CX117" i="1"/>
  <c r="CX391" i="1"/>
  <c r="CX10" i="1"/>
  <c r="CX70" i="1"/>
  <c r="CX380" i="1"/>
  <c r="CX232" i="1"/>
  <c r="CX394" i="1"/>
  <c r="CX104" i="1"/>
  <c r="CX115" i="1"/>
  <c r="CX276" i="1"/>
  <c r="CX93" i="1"/>
  <c r="CX354" i="1"/>
  <c r="CX284" i="1"/>
  <c r="CX261" i="1"/>
  <c r="CX254" i="1"/>
  <c r="CX75" i="1"/>
  <c r="CX305" i="1"/>
  <c r="CX202" i="1"/>
  <c r="CX224" i="1"/>
  <c r="CX308" i="1"/>
  <c r="CX34" i="1"/>
  <c r="CX220" i="1"/>
  <c r="CX196" i="1"/>
  <c r="CX247" i="1"/>
  <c r="CX350" i="1"/>
  <c r="CX226" i="1"/>
  <c r="CX200" i="1"/>
  <c r="CX345" i="1"/>
  <c r="CX328" i="1"/>
  <c r="CX257" i="1"/>
  <c r="CX174" i="1"/>
  <c r="CX187" i="1"/>
  <c r="CX283" i="1"/>
  <c r="CX252" i="1"/>
  <c r="CX319" i="1"/>
  <c r="CX355" i="1"/>
  <c r="CX139" i="1"/>
  <c r="CX84" i="1"/>
  <c r="CX191" i="1"/>
  <c r="CX228" i="1"/>
  <c r="CX113" i="1"/>
  <c r="CX184" i="1"/>
  <c r="CX178" i="1"/>
  <c r="CX382" i="1"/>
  <c r="CX256" i="1"/>
  <c r="CX185" i="1"/>
  <c r="CX244" i="1"/>
  <c r="CX143" i="1"/>
  <c r="CX105" i="1"/>
  <c r="CX383" i="1"/>
  <c r="CX55" i="1"/>
  <c r="CX186" i="1"/>
  <c r="CX51" i="1"/>
  <c r="CX322" i="1"/>
  <c r="CX290" i="1"/>
  <c r="CX124" i="1"/>
  <c r="CX264" i="1"/>
  <c r="CX15" i="1"/>
  <c r="CX141" i="1"/>
  <c r="CX66" i="1"/>
  <c r="CX39" i="1"/>
  <c r="CX297" i="1"/>
  <c r="CX306" i="1"/>
  <c r="CW378" i="1"/>
  <c r="CY378" i="1" s="1"/>
  <c r="CX378" i="1"/>
  <c r="BI322" i="1"/>
  <c r="BO322" i="1"/>
  <c r="CX325" i="1"/>
  <c r="CW325" i="1"/>
  <c r="CY325" i="1" s="1"/>
  <c r="CW298" i="1"/>
  <c r="CY298" i="1" s="1"/>
  <c r="CX298" i="1"/>
  <c r="BT415" i="1"/>
  <c r="BX415" i="1" s="1"/>
  <c r="CW161" i="1"/>
  <c r="CY161" i="1" s="1"/>
  <c r="CX161" i="1"/>
  <c r="CW172" i="1"/>
  <c r="CY172" i="1" s="1"/>
  <c r="CW281" i="1"/>
  <c r="CY281" i="1" s="1"/>
  <c r="CX172" i="1"/>
  <c r="CX281" i="1"/>
  <c r="AW411" i="1"/>
  <c r="AW403" i="1"/>
  <c r="AW214" i="1"/>
  <c r="AW402" i="1"/>
  <c r="AW212" i="1"/>
  <c r="AW47" i="1"/>
  <c r="AW425" i="1"/>
  <c r="AW234" i="1"/>
  <c r="AW53" i="1"/>
  <c r="AW422" i="1"/>
  <c r="AW423" i="1"/>
  <c r="AW310" i="1"/>
  <c r="AW395" i="1"/>
  <c r="AW417" i="1"/>
  <c r="AW407" i="1"/>
  <c r="AW389" i="1"/>
  <c r="AW10" i="1"/>
  <c r="AW130" i="1"/>
  <c r="AW81" i="1"/>
  <c r="CW346" i="1"/>
  <c r="CY346" i="1" s="1"/>
  <c r="AW346" i="1"/>
  <c r="AW178" i="1"/>
  <c r="CW199" i="1"/>
  <c r="CY199" i="1" s="1"/>
  <c r="AW199" i="1"/>
  <c r="AW276" i="1"/>
  <c r="AW409" i="1"/>
  <c r="AW414" i="1"/>
  <c r="AW421" i="1"/>
  <c r="AW55" i="1"/>
  <c r="AW7" i="1"/>
  <c r="AW138" i="1"/>
  <c r="AW262" i="1"/>
  <c r="AW160" i="1"/>
  <c r="AW235" i="1"/>
  <c r="AW165" i="1"/>
  <c r="AW206" i="1"/>
  <c r="CW292" i="1"/>
  <c r="CY292" i="1" s="1"/>
  <c r="AW292" i="1"/>
  <c r="AW410" i="1"/>
  <c r="AW408" i="1"/>
  <c r="AW426" i="1"/>
  <c r="BT426" i="1" s="1"/>
  <c r="BX426" i="1" s="1"/>
  <c r="CW296" i="1"/>
  <c r="CY296" i="1" s="1"/>
  <c r="AW296" i="1"/>
  <c r="CW46" i="1"/>
  <c r="CY46" i="1" s="1"/>
  <c r="AW46" i="1"/>
  <c r="AW147" i="1"/>
  <c r="AW77" i="1"/>
  <c r="AW60" i="1"/>
  <c r="AW173" i="1"/>
  <c r="AW277" i="1"/>
  <c r="AW416" i="1"/>
  <c r="AW48" i="1"/>
  <c r="CW216" i="1"/>
  <c r="CY216" i="1" s="1"/>
  <c r="AW216" i="1"/>
  <c r="CW302" i="1"/>
  <c r="CY302" i="1" s="1"/>
  <c r="AW302" i="1"/>
  <c r="AW168" i="1"/>
  <c r="AW390" i="1"/>
  <c r="AW99" i="1"/>
  <c r="AW244" i="1"/>
  <c r="AW245" i="1"/>
  <c r="AW140" i="1"/>
  <c r="AW378" i="1"/>
  <c r="CW265" i="1"/>
  <c r="CY265" i="1" s="1"/>
  <c r="AW265" i="1"/>
  <c r="AW419" i="1"/>
  <c r="AW397" i="1"/>
  <c r="AW22" i="1"/>
  <c r="AW155" i="1"/>
  <c r="AW153" i="1"/>
  <c r="AW255" i="1"/>
  <c r="CW268" i="1"/>
  <c r="CY268" i="1" s="1"/>
  <c r="AW268" i="1"/>
  <c r="AW133" i="1"/>
  <c r="AW373" i="1"/>
  <c r="AW208" i="1"/>
  <c r="AW305" i="1"/>
  <c r="AW52" i="1"/>
  <c r="AW236" i="1"/>
  <c r="AW49" i="1"/>
  <c r="AW196" i="1"/>
  <c r="AW306" i="1"/>
  <c r="AW189" i="1"/>
  <c r="AW274" i="1"/>
  <c r="AW314" i="1"/>
  <c r="CW151" i="1"/>
  <c r="CY151" i="1" s="1"/>
  <c r="AW151" i="1"/>
  <c r="AW197" i="1"/>
  <c r="AW171" i="1"/>
  <c r="AW107" i="1"/>
  <c r="BH44" i="1"/>
  <c r="AW317" i="1"/>
  <c r="AW240" i="1"/>
  <c r="AW288" i="1"/>
  <c r="AW156" i="1"/>
  <c r="CW128" i="1"/>
  <c r="CY128" i="1" s="1"/>
  <c r="AW128" i="1"/>
  <c r="CW110" i="1"/>
  <c r="CY110" i="1" s="1"/>
  <c r="AW110" i="1"/>
  <c r="CW190" i="1"/>
  <c r="CY190" i="1" s="1"/>
  <c r="AW190" i="1"/>
  <c r="AW352" i="1"/>
  <c r="AW146" i="1"/>
  <c r="AW213" i="1"/>
  <c r="AW287" i="1"/>
  <c r="AW191" i="1"/>
  <c r="AW241" i="1"/>
  <c r="AW71" i="1"/>
  <c r="CW249" i="1"/>
  <c r="CY249" i="1" s="1"/>
  <c r="AW249" i="1"/>
  <c r="CW347" i="1"/>
  <c r="CY347" i="1" s="1"/>
  <c r="AW347" i="1"/>
  <c r="AW74" i="1"/>
  <c r="CW379" i="1"/>
  <c r="CY379" i="1" s="1"/>
  <c r="AW379" i="1"/>
  <c r="AW215" i="1"/>
  <c r="AW27" i="1"/>
  <c r="AW175" i="1"/>
  <c r="CW371" i="1"/>
  <c r="CY371" i="1" s="1"/>
  <c r="AW371" i="1"/>
  <c r="AW105" i="1"/>
  <c r="AW327" i="1"/>
  <c r="AW87" i="1"/>
  <c r="CW387" i="1"/>
  <c r="CY387" i="1" s="1"/>
  <c r="AW387" i="1"/>
  <c r="CW323" i="1"/>
  <c r="CY323" i="1" s="1"/>
  <c r="AW323" i="1"/>
  <c r="AW34" i="1"/>
  <c r="CW351" i="1"/>
  <c r="CY351" i="1" s="1"/>
  <c r="AW351" i="1"/>
  <c r="CW35" i="1"/>
  <c r="CY35" i="1" s="1"/>
  <c r="AW35" i="1"/>
  <c r="AW237" i="1"/>
  <c r="AW281" i="1"/>
  <c r="AW137" i="1"/>
  <c r="AW232" i="1"/>
  <c r="AW252" i="1"/>
  <c r="CW125" i="1"/>
  <c r="CY125" i="1" s="1"/>
  <c r="AW125" i="1"/>
  <c r="AW127" i="1"/>
  <c r="CW359" i="1"/>
  <c r="CY359" i="1" s="1"/>
  <c r="AW359" i="1"/>
  <c r="AW353" i="1"/>
  <c r="AW19" i="1"/>
  <c r="AW385" i="1"/>
  <c r="AW256" i="1"/>
  <c r="CW134" i="1"/>
  <c r="CY134" i="1" s="1"/>
  <c r="AW134" i="1"/>
  <c r="AW145" i="1"/>
  <c r="CW321" i="1"/>
  <c r="CY321" i="1" s="1"/>
  <c r="AW321" i="1"/>
  <c r="AW301" i="1"/>
  <c r="AW117" i="1"/>
  <c r="AW45" i="1"/>
  <c r="AW58" i="1"/>
  <c r="AW70" i="1"/>
  <c r="AW330" i="1"/>
  <c r="AW318" i="1"/>
  <c r="AW29" i="1"/>
  <c r="AW308" i="1"/>
  <c r="CW176" i="1"/>
  <c r="CY176" i="1" s="1"/>
  <c r="AW179" i="1"/>
  <c r="AW129" i="1"/>
  <c r="AW383" i="1"/>
  <c r="AW297" i="1"/>
  <c r="AW15" i="1"/>
  <c r="AW121" i="1"/>
  <c r="AW261" i="1"/>
  <c r="AW95" i="1"/>
  <c r="CW299" i="1"/>
  <c r="CY299" i="1" s="1"/>
  <c r="CW195" i="1"/>
  <c r="CY195" i="1" s="1"/>
  <c r="AW195" i="1"/>
  <c r="CW67" i="1"/>
  <c r="CY67" i="1" s="1"/>
  <c r="AW67" i="1"/>
  <c r="AW174" i="1"/>
  <c r="AW135" i="1"/>
  <c r="AW39" i="1"/>
  <c r="AW226" i="1"/>
  <c r="CW375" i="1"/>
  <c r="CY375" i="1" s="1"/>
  <c r="AW375" i="1"/>
  <c r="AW278" i="1"/>
  <c r="AW329" i="1"/>
  <c r="AW400" i="1"/>
  <c r="AW406" i="1"/>
  <c r="BK396" i="1"/>
  <c r="BK241" i="1"/>
  <c r="BK390" i="1"/>
  <c r="BK36" i="1"/>
  <c r="BI387" i="1"/>
  <c r="BI292" i="1"/>
  <c r="BI125" i="1"/>
  <c r="BI55" i="1"/>
  <c r="BI261" i="1"/>
  <c r="BI103" i="1"/>
  <c r="BI104" i="1"/>
  <c r="BI426" i="1"/>
  <c r="BI75" i="1"/>
  <c r="BI348" i="1"/>
  <c r="BI164" i="1"/>
  <c r="BI351" i="1"/>
  <c r="BI159" i="1"/>
  <c r="BI79" i="1"/>
  <c r="BI295" i="1"/>
  <c r="BI89" i="1"/>
  <c r="BI91" i="1"/>
  <c r="BI238" i="1"/>
  <c r="BI214" i="1"/>
  <c r="BK358" i="1"/>
  <c r="BK272" i="1"/>
  <c r="BK170" i="1"/>
  <c r="BK406" i="1"/>
  <c r="BK413" i="1"/>
  <c r="BK136" i="1"/>
  <c r="BK16" i="1"/>
  <c r="BI51" i="1"/>
  <c r="BI277" i="1"/>
  <c r="BI15" i="1"/>
  <c r="BI290" i="1"/>
  <c r="BI400" i="1"/>
  <c r="BI407" i="1"/>
  <c r="BI99" i="1"/>
  <c r="BI402" i="1"/>
  <c r="BI123" i="1"/>
  <c r="BI60" i="1"/>
  <c r="BI320" i="1"/>
  <c r="BK328" i="1"/>
  <c r="BK254" i="1"/>
  <c r="BK6" i="1"/>
  <c r="BK89" i="1"/>
  <c r="BK57" i="1"/>
  <c r="BI405" i="1"/>
  <c r="BI389" i="1"/>
  <c r="BI253" i="1"/>
  <c r="BI317" i="1"/>
  <c r="BI237" i="1"/>
  <c r="BI129" i="1"/>
  <c r="BI287" i="1"/>
  <c r="BI83" i="1"/>
  <c r="BI339" i="1"/>
  <c r="BI177" i="1"/>
  <c r="BI21" i="1"/>
  <c r="BI139" i="1"/>
  <c r="BI22" i="1"/>
  <c r="BK55" i="1"/>
  <c r="BK350" i="1"/>
  <c r="BK75" i="1"/>
  <c r="BK351" i="1"/>
  <c r="BK267" i="1"/>
  <c r="BK44" i="1"/>
  <c r="BI196" i="1"/>
  <c r="BI131" i="1"/>
  <c r="BI155" i="1"/>
  <c r="BI112" i="1"/>
  <c r="BI148" i="1"/>
  <c r="BI382" i="1"/>
  <c r="BI30" i="1"/>
  <c r="BI420" i="1"/>
  <c r="BI145" i="1"/>
  <c r="BI88" i="1"/>
  <c r="BI179" i="1"/>
  <c r="BI136" i="1"/>
  <c r="BI367" i="1"/>
  <c r="BK218" i="1"/>
  <c r="BK314" i="1"/>
  <c r="BK62" i="1"/>
  <c r="BK256" i="1"/>
  <c r="BK141" i="1"/>
  <c r="BK214" i="1"/>
  <c r="BK91" i="1"/>
  <c r="BI362" i="1"/>
  <c r="BI140" i="1"/>
  <c r="BI71" i="1"/>
  <c r="BI311" i="1"/>
  <c r="BI355" i="1"/>
  <c r="BI162" i="1"/>
  <c r="BI375" i="1"/>
  <c r="BI406" i="1"/>
  <c r="BI77" i="1"/>
  <c r="BK376" i="1"/>
  <c r="BK142" i="1"/>
  <c r="BK226" i="1"/>
  <c r="BK70" i="1"/>
  <c r="BK320" i="1"/>
  <c r="BK264" i="1"/>
  <c r="BK13" i="1"/>
  <c r="BI415" i="1"/>
  <c r="BI334" i="1"/>
  <c r="BI27" i="1"/>
  <c r="BI319" i="1"/>
  <c r="BI318" i="1"/>
  <c r="BI42" i="1"/>
  <c r="BI422" i="1"/>
  <c r="BI302" i="1"/>
  <c r="BI153" i="1"/>
  <c r="BI189" i="1"/>
  <c r="BI45" i="1"/>
  <c r="BI85" i="1"/>
  <c r="BI6" i="1"/>
  <c r="BI431" i="1"/>
  <c r="BI82" i="1"/>
  <c r="BK355" i="1"/>
  <c r="BK398" i="1"/>
  <c r="BK380" i="1"/>
  <c r="BK367" i="1"/>
  <c r="BK81" i="1"/>
  <c r="BI149" i="1"/>
  <c r="BI427" i="1"/>
  <c r="BI158" i="1"/>
  <c r="BI396" i="1"/>
  <c r="BI127" i="1"/>
  <c r="BI170" i="1"/>
  <c r="BI336" i="1"/>
  <c r="BI232" i="1"/>
  <c r="BI191" i="1"/>
  <c r="BI102" i="1"/>
  <c r="BI403" i="1"/>
  <c r="BI31" i="1"/>
  <c r="BI205" i="1"/>
  <c r="BI119" i="1"/>
  <c r="BI87" i="1"/>
  <c r="BI374" i="1"/>
  <c r="BI288" i="1"/>
  <c r="BK202" i="1"/>
  <c r="BK184" i="1"/>
  <c r="BK422" i="1"/>
  <c r="BK31" i="1"/>
  <c r="BK216" i="1"/>
  <c r="BK119" i="1"/>
  <c r="BK374" i="1"/>
  <c r="BK9" i="1"/>
  <c r="BI304" i="1"/>
  <c r="BI358" i="1"/>
  <c r="BI39" i="1"/>
  <c r="BI184" i="1"/>
  <c r="BI328" i="1"/>
  <c r="BI150" i="1"/>
  <c r="BI274" i="1"/>
  <c r="BI113" i="1"/>
  <c r="BI114" i="1"/>
  <c r="BI276" i="1"/>
  <c r="BI4" i="1"/>
  <c r="BI264" i="1"/>
  <c r="BI209" i="1"/>
  <c r="BI13" i="1"/>
  <c r="BI33" i="1"/>
  <c r="BK253" i="1"/>
  <c r="BK346" i="1"/>
  <c r="BK103" i="1"/>
  <c r="BK191" i="1"/>
  <c r="BK276" i="1"/>
  <c r="BK177" i="1"/>
  <c r="BK43" i="1"/>
  <c r="BK111" i="1"/>
  <c r="BK98" i="1"/>
  <c r="BI265" i="1"/>
  <c r="BI383" i="1"/>
  <c r="BI178" i="1"/>
  <c r="BI233" i="1"/>
  <c r="BI172" i="1"/>
  <c r="BI417" i="1"/>
  <c r="BI345" i="1"/>
  <c r="BI228" i="1"/>
  <c r="BI366" i="1"/>
  <c r="BI187" i="1"/>
  <c r="BI206" i="1"/>
  <c r="BI213" i="1"/>
  <c r="BI306" i="1"/>
  <c r="BI270" i="1"/>
  <c r="BI413" i="1"/>
  <c r="BI24" i="1"/>
  <c r="BI17" i="1"/>
  <c r="BI81" i="1"/>
  <c r="BI48" i="1"/>
  <c r="BI62" i="1"/>
  <c r="BI258" i="1"/>
  <c r="BK373" i="1"/>
  <c r="BK402" i="1"/>
  <c r="BK306" i="1"/>
  <c r="BK179" i="1"/>
  <c r="BK295" i="1"/>
  <c r="BI425" i="1"/>
  <c r="BI223" i="1"/>
  <c r="BI199" i="1"/>
  <c r="BI262" i="1"/>
  <c r="BI252" i="1"/>
  <c r="BI285" i="1"/>
  <c r="BK27" i="1"/>
  <c r="BK420" i="1"/>
  <c r="BK189" i="1"/>
  <c r="BK238" i="1"/>
  <c r="BI247" i="1"/>
  <c r="BI298" i="1"/>
  <c r="BI202" i="1"/>
  <c r="BI346" i="1"/>
  <c r="BI350" i="1"/>
  <c r="BI10" i="1"/>
  <c r="BI394" i="1"/>
  <c r="BI226" i="1"/>
  <c r="BI309" i="1"/>
  <c r="BI120" i="1"/>
  <c r="BI70" i="1"/>
  <c r="BI56" i="1"/>
  <c r="BI141" i="1"/>
  <c r="BK284" i="1"/>
  <c r="BK148" i="1"/>
  <c r="BK120" i="1"/>
  <c r="BK205" i="1"/>
  <c r="BK87" i="1"/>
  <c r="BK22" i="1"/>
  <c r="BK139" i="1"/>
  <c r="BK77" i="1"/>
  <c r="BI185" i="1"/>
  <c r="BI326" i="1"/>
  <c r="BI194" i="1"/>
  <c r="BI314" i="1"/>
  <c r="BI260" i="1"/>
  <c r="BI315" i="1"/>
  <c r="BI34" i="1"/>
  <c r="BI398" i="1"/>
  <c r="BI193" i="1"/>
  <c r="BI181" i="1"/>
  <c r="BI43" i="1"/>
  <c r="BI169" i="1"/>
  <c r="BI111" i="1"/>
  <c r="BI9" i="1"/>
  <c r="BI36" i="1"/>
  <c r="BI16" i="1"/>
  <c r="BK233" i="1"/>
  <c r="BK391" i="1"/>
  <c r="BK311" i="1"/>
  <c r="BK162" i="1"/>
  <c r="BK181" i="1"/>
  <c r="BK270" i="1"/>
  <c r="BK197" i="1"/>
  <c r="BK258" i="1"/>
  <c r="BK431" i="1"/>
  <c r="BK33" i="1"/>
  <c r="BI395" i="1"/>
  <c r="BI241" i="1"/>
  <c r="BI142" i="1"/>
  <c r="BI330" i="1"/>
  <c r="BI74" i="1"/>
  <c r="BI360" i="1"/>
  <c r="BI174" i="1"/>
  <c r="BI267" i="1"/>
  <c r="BI95" i="1"/>
  <c r="BK155" i="1"/>
  <c r="BK261" i="1"/>
  <c r="BK318" i="1"/>
  <c r="BK325" i="1"/>
  <c r="BK169" i="1"/>
  <c r="BK209" i="1"/>
  <c r="BK48" i="1"/>
  <c r="BI419" i="1"/>
  <c r="BI115" i="1"/>
  <c r="BI215" i="1"/>
  <c r="BI135" i="1"/>
  <c r="BI272" i="1"/>
  <c r="BI244" i="1"/>
  <c r="BI297" i="1"/>
  <c r="BI117" i="1"/>
  <c r="BI390" i="1"/>
  <c r="BI197" i="1"/>
  <c r="BI256" i="1"/>
  <c r="BI224" i="1"/>
  <c r="BI246" i="1"/>
  <c r="BI98" i="1"/>
  <c r="BI57" i="1"/>
  <c r="BI216" i="1"/>
  <c r="BI66" i="1"/>
  <c r="BK290" i="1"/>
  <c r="BK336" i="1"/>
  <c r="BK280" i="1"/>
  <c r="BK309" i="1"/>
  <c r="BK159" i="1"/>
  <c r="BK224" i="1"/>
  <c r="BK246" i="1"/>
  <c r="BK288" i="1"/>
  <c r="BI378" i="1"/>
  <c r="BI218" i="1"/>
  <c r="BI133" i="1"/>
  <c r="BI371" i="1"/>
  <c r="BI373" i="1"/>
  <c r="BI280" i="1"/>
  <c r="BI312" i="1"/>
  <c r="BI109" i="1"/>
  <c r="BK360" i="1"/>
  <c r="BK123" i="1"/>
  <c r="BK339" i="1"/>
  <c r="BK66" i="1"/>
  <c r="BK109" i="1"/>
  <c r="BK82" i="1"/>
  <c r="BI359" i="1"/>
  <c r="BI354" i="1"/>
  <c r="BI284" i="1"/>
  <c r="BI376" i="1"/>
  <c r="BI411" i="1"/>
  <c r="BI391" i="1"/>
  <c r="BI143" i="1"/>
  <c r="BI220" i="1"/>
  <c r="BI254" i="1"/>
  <c r="BI325" i="1"/>
  <c r="BI380" i="1"/>
  <c r="BI52" i="1"/>
  <c r="BI65" i="1"/>
  <c r="BI44" i="1"/>
  <c r="CW236" i="1"/>
  <c r="CY236" i="1" s="1"/>
  <c r="BH367" i="1"/>
  <c r="Z248" i="1"/>
  <c r="CW248" i="1"/>
  <c r="CY248" i="1" s="1"/>
  <c r="BU428" i="1"/>
  <c r="BV428" i="1"/>
  <c r="BY428" i="1" s="1"/>
  <c r="BT428" i="1"/>
  <c r="BX428" i="1" s="1"/>
  <c r="BV431" i="1"/>
  <c r="BD248" i="1"/>
  <c r="AU248" i="1"/>
  <c r="AW248" i="1" s="1"/>
  <c r="BH238" i="1"/>
  <c r="BH64" i="1"/>
  <c r="BH49" i="1"/>
  <c r="BH292" i="1"/>
  <c r="Z236" i="1"/>
  <c r="BH206" i="1"/>
  <c r="BO431" i="1"/>
  <c r="BO428" i="1"/>
  <c r="BV427" i="1"/>
  <c r="BY427" i="1" s="1"/>
  <c r="BO430" i="1"/>
  <c r="BV430" i="1"/>
  <c r="BY430" i="1" s="1"/>
  <c r="BO427" i="1"/>
  <c r="BO429" i="1"/>
  <c r="BO432" i="1"/>
  <c r="Q432" i="1" s="1"/>
  <c r="BT430" i="1"/>
  <c r="BX430" i="1" s="1"/>
  <c r="BT427" i="1"/>
  <c r="BH122" i="1"/>
  <c r="BH244" i="1"/>
  <c r="BU427" i="1"/>
  <c r="BP431" i="1"/>
  <c r="BP430" i="1"/>
  <c r="BP427" i="1"/>
  <c r="BP432" i="1"/>
  <c r="S432" i="1" s="1"/>
  <c r="T432" i="1" s="1"/>
  <c r="BP429" i="1"/>
  <c r="S429" i="1" s="1"/>
  <c r="T429" i="1" s="1"/>
  <c r="BP428" i="1"/>
  <c r="BU430" i="1"/>
  <c r="BH157" i="1"/>
  <c r="BH224" i="1"/>
  <c r="BH164" i="1"/>
  <c r="BH127" i="1"/>
  <c r="BH199" i="1"/>
  <c r="AH418" i="1"/>
  <c r="BH28" i="1"/>
  <c r="BH22" i="1"/>
  <c r="BH236" i="1"/>
  <c r="BH91" i="1"/>
  <c r="BH23" i="1"/>
  <c r="BH172" i="1"/>
  <c r="BH13" i="1"/>
  <c r="BH156" i="1"/>
  <c r="BH291" i="1"/>
  <c r="BH158" i="1"/>
  <c r="BH35" i="1"/>
  <c r="BH200" i="1"/>
  <c r="BH34" i="1"/>
  <c r="AH423" i="1"/>
  <c r="AH416" i="1"/>
  <c r="CW414" i="1"/>
  <c r="CY414" i="1" s="1"/>
  <c r="Z414" i="1"/>
  <c r="Z401" i="1"/>
  <c r="Z407" i="1"/>
  <c r="CW407" i="1"/>
  <c r="CY407" i="1" s="1"/>
  <c r="BF403" i="1" a="1"/>
  <c r="BF403" i="1" s="1"/>
  <c r="BA403" i="1"/>
  <c r="Z411" i="1"/>
  <c r="CW411" i="1"/>
  <c r="CY411" i="1" s="1"/>
  <c r="BA400" i="1"/>
  <c r="BF400" i="1" a="1"/>
  <c r="BF400" i="1" s="1"/>
  <c r="BF415" i="1" a="1"/>
  <c r="BF415" i="1" s="1"/>
  <c r="BA415" i="1"/>
  <c r="DZ415" i="1" s="1"/>
  <c r="Z403" i="1"/>
  <c r="CW403" i="1"/>
  <c r="CY403" i="1" s="1"/>
  <c r="BF419" i="1" a="1"/>
  <c r="BF419" i="1" s="1"/>
  <c r="BA419" i="1"/>
  <c r="AU396" i="1"/>
  <c r="AW396" i="1" s="1"/>
  <c r="BD396" i="1"/>
  <c r="BA418" i="1"/>
  <c r="BF418" i="1" a="1"/>
  <c r="BF418" i="1" s="1"/>
  <c r="Z421" i="1"/>
  <c r="BF411" i="1" a="1"/>
  <c r="BF411" i="1" s="1"/>
  <c r="BA411" i="1"/>
  <c r="BH398" i="1"/>
  <c r="BA401" i="1"/>
  <c r="BF401" i="1" a="1"/>
  <c r="BF401" i="1" s="1"/>
  <c r="BF424" i="1" a="1"/>
  <c r="BF424" i="1" s="1"/>
  <c r="BA424" i="1"/>
  <c r="BA408" i="1"/>
  <c r="BF408" i="1" a="1"/>
  <c r="BF408" i="1" s="1"/>
  <c r="BF406" i="1" a="1"/>
  <c r="BF406" i="1" s="1"/>
  <c r="BA406" i="1"/>
  <c r="BH168" i="1"/>
  <c r="BF412" i="1" a="1"/>
  <c r="BF412" i="1" s="1"/>
  <c r="BA412" i="1"/>
  <c r="BA425" i="1"/>
  <c r="BF425" i="1" a="1"/>
  <c r="BF425" i="1" s="1"/>
  <c r="BF402" i="1" a="1"/>
  <c r="BF402" i="1" s="1"/>
  <c r="BA402" i="1"/>
  <c r="BF426" i="1" a="1"/>
  <c r="BF426" i="1" s="1"/>
  <c r="BA426" i="1"/>
  <c r="DZ426" i="1" s="1"/>
  <c r="BF421" i="1" a="1"/>
  <c r="BF421" i="1" s="1"/>
  <c r="BA421" i="1"/>
  <c r="BH174" i="1"/>
  <c r="BH246" i="1"/>
  <c r="Z409" i="1"/>
  <c r="AG409" i="1"/>
  <c r="BF405" i="1" a="1"/>
  <c r="BF405" i="1" s="1"/>
  <c r="BH405" i="1" s="1"/>
  <c r="BA405" i="1"/>
  <c r="Z424" i="1"/>
  <c r="AU424" i="1"/>
  <c r="AW424" i="1" s="1"/>
  <c r="CW424" i="1"/>
  <c r="CY424" i="1" s="1"/>
  <c r="BF417" i="1" a="1"/>
  <c r="BF417" i="1" s="1"/>
  <c r="BA417" i="1"/>
  <c r="BD424" i="1"/>
  <c r="BH394" i="1"/>
  <c r="AH410" i="1"/>
  <c r="BH420" i="1"/>
  <c r="Z417" i="1"/>
  <c r="CW417" i="1"/>
  <c r="CY417" i="1" s="1"/>
  <c r="BD404" i="1"/>
  <c r="BA397" i="1"/>
  <c r="DZ397" i="1" s="1"/>
  <c r="BF397" i="1" a="1"/>
  <c r="BF397" i="1" s="1"/>
  <c r="BH397" i="1" s="1"/>
  <c r="BU397" i="1" s="1"/>
  <c r="BF413" i="1" a="1"/>
  <c r="BF413" i="1" s="1"/>
  <c r="BH413" i="1" s="1"/>
  <c r="BA413" i="1"/>
  <c r="BA410" i="1"/>
  <c r="BF410" i="1" a="1"/>
  <c r="BF410" i="1" s="1"/>
  <c r="BD412" i="1"/>
  <c r="BD399" i="1"/>
  <c r="BH399" i="1" s="1"/>
  <c r="AU404" i="1"/>
  <c r="AW404" i="1" s="1"/>
  <c r="Z404" i="1"/>
  <c r="CW404" i="1"/>
  <c r="CY404" i="1" s="1"/>
  <c r="BF396" i="1" a="1"/>
  <c r="BF396" i="1" s="1"/>
  <c r="BA396" i="1"/>
  <c r="BA422" i="1"/>
  <c r="BF422" i="1" a="1"/>
  <c r="BF422" i="1" s="1"/>
  <c r="BH422" i="1" s="1"/>
  <c r="AU412" i="1"/>
  <c r="AW412" i="1" s="1"/>
  <c r="CW412" i="1"/>
  <c r="CY412" i="1" s="1"/>
  <c r="Z412" i="1"/>
  <c r="AU399" i="1"/>
  <c r="AW399" i="1" s="1"/>
  <c r="Z399" i="1"/>
  <c r="CW399" i="1"/>
  <c r="CY399" i="1" s="1"/>
  <c r="BF404" i="1" a="1"/>
  <c r="BF404" i="1" s="1"/>
  <c r="BA404" i="1"/>
  <c r="CW395" i="1"/>
  <c r="CY395" i="1" s="1"/>
  <c r="Z395" i="1"/>
  <c r="BF407" i="1" a="1"/>
  <c r="BF407" i="1" s="1"/>
  <c r="BH407" i="1" s="1"/>
  <c r="BA407" i="1"/>
  <c r="BA416" i="1"/>
  <c r="BF416" i="1" a="1"/>
  <c r="BF416" i="1" s="1"/>
  <c r="BA409" i="1"/>
  <c r="BF409" i="1" a="1"/>
  <c r="BF409" i="1" s="1"/>
  <c r="BF414" i="1" a="1"/>
  <c r="BF414" i="1" s="1"/>
  <c r="BA414" i="1"/>
  <c r="BA395" i="1"/>
  <c r="BF395" i="1" a="1"/>
  <c r="BF395" i="1" s="1"/>
  <c r="BH395" i="1" s="1"/>
  <c r="BA423" i="1"/>
  <c r="BF423" i="1" a="1"/>
  <c r="BF423" i="1" s="1"/>
  <c r="BH423" i="1" s="1"/>
  <c r="BH117" i="1"/>
  <c r="BH151" i="1"/>
  <c r="BH274" i="1"/>
  <c r="BH63" i="1"/>
  <c r="BH36" i="1"/>
  <c r="BH128" i="1"/>
  <c r="BH133" i="1"/>
  <c r="BH336" i="1"/>
  <c r="BH324" i="1"/>
  <c r="BH331" i="1"/>
  <c r="BH59" i="1"/>
  <c r="BH137" i="1"/>
  <c r="BH102" i="1"/>
  <c r="BH346" i="1"/>
  <c r="BH315" i="1"/>
  <c r="BH385" i="1"/>
  <c r="BH6" i="1"/>
  <c r="BH68" i="1"/>
  <c r="BH16" i="1"/>
  <c r="BH24" i="1"/>
  <c r="BH56" i="1"/>
  <c r="BH201" i="1"/>
  <c r="BH262" i="1"/>
  <c r="BH69" i="1"/>
  <c r="BH18" i="1"/>
  <c r="BH360" i="1"/>
  <c r="BH337" i="1"/>
  <c r="BH288" i="1"/>
  <c r="BH136" i="1"/>
  <c r="BH223" i="1"/>
  <c r="BH389" i="1"/>
  <c r="BH196" i="1"/>
  <c r="BH240" i="1"/>
  <c r="BH317" i="1"/>
  <c r="BH279" i="1"/>
  <c r="BH109" i="1"/>
  <c r="BH46" i="1"/>
  <c r="BH348" i="1"/>
  <c r="BH39" i="1"/>
  <c r="BH188" i="1"/>
  <c r="BH352" i="1"/>
  <c r="BH373" i="1"/>
  <c r="BH237" i="1"/>
  <c r="BH209" i="1"/>
  <c r="BH293" i="1"/>
  <c r="BP426" i="1"/>
  <c r="BP425" i="1"/>
  <c r="BH191" i="1"/>
  <c r="BH232" i="1"/>
  <c r="BH5" i="1"/>
  <c r="BH134" i="1"/>
  <c r="BH294" i="1"/>
  <c r="BH386" i="1"/>
  <c r="BH381" i="1"/>
  <c r="BH85" i="1"/>
  <c r="BH377" i="1"/>
  <c r="BH111" i="1"/>
  <c r="BO426" i="1"/>
  <c r="BO425" i="1"/>
  <c r="BH12" i="1"/>
  <c r="BH108" i="1"/>
  <c r="BH185" i="1"/>
  <c r="BH77" i="1"/>
  <c r="BH271" i="1"/>
  <c r="BH183" i="1"/>
  <c r="BH307" i="1"/>
  <c r="BH321" i="1"/>
  <c r="BH52" i="1"/>
  <c r="BH78" i="1"/>
  <c r="BH340" i="1"/>
  <c r="BH335" i="1"/>
  <c r="BH388" i="1"/>
  <c r="BH393" i="1"/>
  <c r="BH306" i="1"/>
  <c r="BH375" i="1"/>
  <c r="BH90" i="1"/>
  <c r="BH31" i="1"/>
  <c r="BH62" i="1"/>
  <c r="BH322" i="1"/>
  <c r="BH195" i="1"/>
  <c r="BH187" i="1"/>
  <c r="BH144" i="1"/>
  <c r="BF61" i="1" a="1"/>
  <c r="BF61" i="1" s="1"/>
  <c r="CY14" i="1"/>
  <c r="CY429" i="1"/>
  <c r="CX294" i="1"/>
  <c r="BX432" i="1"/>
  <c r="CQ414" i="1" l="1"/>
  <c r="CV414" i="1" s="1"/>
  <c r="DZ414" i="1"/>
  <c r="ED414" i="1" s="1"/>
  <c r="CQ395" i="1"/>
  <c r="CV395" i="1" s="1"/>
  <c r="CQ407" i="1"/>
  <c r="CV407" i="1" s="1"/>
  <c r="CQ411" i="1"/>
  <c r="CV411" i="1" s="1"/>
  <c r="CQ417" i="1"/>
  <c r="CV417" i="1" s="1"/>
  <c r="CQ403" i="1"/>
  <c r="CV403" i="1" s="1"/>
  <c r="CQ404" i="1"/>
  <c r="CV404" i="1" s="1"/>
  <c r="ED397" i="1"/>
  <c r="ED426" i="1"/>
  <c r="ED415" i="1"/>
  <c r="CX417" i="1"/>
  <c r="U417" i="1"/>
  <c r="U179" i="1"/>
  <c r="U385" i="1"/>
  <c r="U281" i="1"/>
  <c r="U34" i="1"/>
  <c r="U352" i="1"/>
  <c r="U10" i="1"/>
  <c r="U421" i="1"/>
  <c r="AH396" i="1"/>
  <c r="U396" i="1"/>
  <c r="U39" i="1"/>
  <c r="U297" i="1"/>
  <c r="U105" i="1"/>
  <c r="U71" i="1"/>
  <c r="U133" i="1"/>
  <c r="U173" i="1"/>
  <c r="U55" i="1"/>
  <c r="U178" i="1"/>
  <c r="U409" i="1"/>
  <c r="CX407" i="1"/>
  <c r="U407" i="1"/>
  <c r="U58" i="1"/>
  <c r="U237" i="1"/>
  <c r="U397" i="1"/>
  <c r="U389" i="1"/>
  <c r="U401" i="1"/>
  <c r="U383" i="1"/>
  <c r="U145" i="1"/>
  <c r="U252" i="1"/>
  <c r="U74" i="1"/>
  <c r="U244" i="1"/>
  <c r="U322" i="1"/>
  <c r="U426" i="1"/>
  <c r="CX399" i="1"/>
  <c r="U399" i="1"/>
  <c r="U174" i="1"/>
  <c r="U129" i="1"/>
  <c r="U117" i="1"/>
  <c r="U232" i="1"/>
  <c r="U415" i="1"/>
  <c r="U262" i="1"/>
  <c r="U81" i="1"/>
  <c r="CX412" i="1"/>
  <c r="U412" i="1"/>
  <c r="CX404" i="1"/>
  <c r="U404" i="1"/>
  <c r="CX424" i="1"/>
  <c r="U424" i="1"/>
  <c r="CX411" i="1"/>
  <c r="U411" i="1"/>
  <c r="CX414" i="1"/>
  <c r="U414" i="1"/>
  <c r="U127" i="1"/>
  <c r="U171" i="1"/>
  <c r="U153" i="1"/>
  <c r="CX395" i="1"/>
  <c r="U395" i="1"/>
  <c r="CX403" i="1"/>
  <c r="U403" i="1"/>
  <c r="CX236" i="1"/>
  <c r="U236" i="1"/>
  <c r="CX248" i="1"/>
  <c r="U248" i="1"/>
  <c r="U301" i="1"/>
  <c r="U215" i="1"/>
  <c r="U378" i="1"/>
  <c r="U277" i="1"/>
  <c r="CW392" i="1"/>
  <c r="CY392" i="1" s="1"/>
  <c r="CW318" i="1"/>
  <c r="CY318" i="1" s="1"/>
  <c r="CW330" i="1"/>
  <c r="CY330" i="1" s="1"/>
  <c r="CW274" i="1"/>
  <c r="CY274" i="1" s="1"/>
  <c r="AD432" i="1"/>
  <c r="AE432" i="1" s="1"/>
  <c r="AX425" i="1"/>
  <c r="AX432" i="1"/>
  <c r="CY385" i="1"/>
  <c r="CY153" i="1"/>
  <c r="AX436" i="1"/>
  <c r="AX424" i="1"/>
  <c r="CY410" i="1"/>
  <c r="CY271" i="1"/>
  <c r="CY156" i="1"/>
  <c r="CY204" i="1"/>
  <c r="CY54" i="1"/>
  <c r="CY144" i="1"/>
  <c r="AX167" i="1"/>
  <c r="CY43" i="1"/>
  <c r="CY398" i="1"/>
  <c r="AX420" i="1"/>
  <c r="CY96" i="1"/>
  <c r="BY421" i="1"/>
  <c r="CY282" i="1"/>
  <c r="AX434" i="1"/>
  <c r="AX423" i="1"/>
  <c r="CY316" i="1"/>
  <c r="CY182" i="1"/>
  <c r="BY429" i="1"/>
  <c r="CY377" i="1"/>
  <c r="CX182" i="1"/>
  <c r="BY423" i="1"/>
  <c r="AX433" i="1"/>
  <c r="CY432" i="1"/>
  <c r="CY121" i="1"/>
  <c r="CY393" i="1"/>
  <c r="AX429" i="1"/>
  <c r="CY225" i="1"/>
  <c r="CY303" i="1"/>
  <c r="CY138" i="1"/>
  <c r="CY230" i="1"/>
  <c r="CY418" i="1"/>
  <c r="AX431" i="1"/>
  <c r="BX429" i="1"/>
  <c r="CY434" i="1"/>
  <c r="CY106" i="1"/>
  <c r="CX421" i="1"/>
  <c r="CX432" i="1"/>
  <c r="CY192" i="1"/>
  <c r="CY423" i="1"/>
  <c r="AX416" i="1"/>
  <c r="CY294" i="1"/>
  <c r="AX428" i="1"/>
  <c r="CX43" i="1"/>
  <c r="CY409" i="1"/>
  <c r="BX421" i="1"/>
  <c r="CY59" i="1"/>
  <c r="CX438" i="1"/>
  <c r="CX434" i="1"/>
  <c r="CY344" i="1"/>
  <c r="BX416" i="1"/>
  <c r="CY90" i="1"/>
  <c r="CY363" i="1"/>
  <c r="CY255" i="1"/>
  <c r="CY421" i="1"/>
  <c r="CY250" i="1"/>
  <c r="CY116" i="1"/>
  <c r="AX421" i="1"/>
  <c r="AX414" i="1"/>
  <c r="AX426" i="1"/>
  <c r="CY357" i="1"/>
  <c r="CY342" i="1"/>
  <c r="CY386" i="1"/>
  <c r="CY201" i="1"/>
  <c r="AX415" i="1"/>
  <c r="CY279" i="1"/>
  <c r="CX96" i="1"/>
  <c r="CY240" i="1"/>
  <c r="AX427" i="1"/>
  <c r="CY401" i="1"/>
  <c r="AX430" i="1"/>
  <c r="AX418" i="1"/>
  <c r="CY180" i="1"/>
  <c r="AY433" i="1" l="1"/>
  <c r="V433" i="1" s="1"/>
  <c r="AA433" i="1"/>
  <c r="Y433" i="1" s="1"/>
  <c r="AY428" i="1"/>
  <c r="V428" i="1" s="1"/>
  <c r="AY431" i="1"/>
  <c r="AA434" i="1"/>
  <c r="Y434" i="1" s="1"/>
  <c r="V438" i="1"/>
  <c r="AY434" i="1"/>
  <c r="V434" i="1" s="1"/>
  <c r="AJ434" i="1" s="1"/>
  <c r="AK434" i="1" s="1"/>
  <c r="AY432" i="1"/>
  <c r="V432" i="1" s="1"/>
  <c r="AJ432" i="1" s="1"/>
  <c r="AA436" i="1"/>
  <c r="Y436" i="1" s="1"/>
  <c r="AY436" i="1"/>
  <c r="V436" i="1" s="1"/>
  <c r="AY427" i="1"/>
  <c r="AY167" i="1"/>
  <c r="AY429" i="1"/>
  <c r="AY430" i="1"/>
  <c r="V430" i="1" s="1"/>
  <c r="AB432" i="1"/>
  <c r="W432" i="1"/>
  <c r="AI432" i="1" s="1"/>
  <c r="S431" i="1"/>
  <c r="T431" i="1" s="1"/>
  <c r="BY431" i="1"/>
  <c r="AA431" i="1" s="1"/>
  <c r="W431" i="1"/>
  <c r="AD431" i="1"/>
  <c r="AE431" i="1" s="1"/>
  <c r="Q431" i="1"/>
  <c r="BX431" i="1"/>
  <c r="AB431" i="1"/>
  <c r="S428" i="1"/>
  <c r="T428" i="1" s="1"/>
  <c r="AD428" i="1"/>
  <c r="AE428" i="1" s="1"/>
  <c r="W428" i="1"/>
  <c r="AB428" i="1"/>
  <c r="AA428" i="1"/>
  <c r="Q428" i="1"/>
  <c r="Q427" i="1"/>
  <c r="S430" i="1"/>
  <c r="T430" i="1" s="1"/>
  <c r="W429" i="1"/>
  <c r="AB429" i="1"/>
  <c r="AA429" i="1"/>
  <c r="S427" i="1"/>
  <c r="T427" i="1" s="1"/>
  <c r="W427" i="1"/>
  <c r="AA427" i="1"/>
  <c r="Q430" i="1"/>
  <c r="AD427" i="1"/>
  <c r="AE427" i="1" s="1"/>
  <c r="AD430" i="1"/>
  <c r="AE430" i="1" s="1"/>
  <c r="AB430" i="1"/>
  <c r="W430" i="1"/>
  <c r="AA430" i="1"/>
  <c r="AB427" i="1"/>
  <c r="BX427" i="1"/>
  <c r="Q429" i="1"/>
  <c r="AD429" i="1"/>
  <c r="AE429" i="1" s="1"/>
  <c r="BH418" i="1"/>
  <c r="BH419" i="1"/>
  <c r="BH415" i="1"/>
  <c r="BH400" i="1"/>
  <c r="BH409" i="1"/>
  <c r="BH412" i="1"/>
  <c r="BH410" i="1"/>
  <c r="BH424" i="1"/>
  <c r="BU424" i="1" s="1"/>
  <c r="BH408" i="1"/>
  <c r="BH411" i="1"/>
  <c r="BH402" i="1"/>
  <c r="BH414" i="1"/>
  <c r="BH406" i="1"/>
  <c r="BH425" i="1"/>
  <c r="BH417" i="1"/>
  <c r="BH421" i="1"/>
  <c r="BH426" i="1"/>
  <c r="BU426" i="1" s="1"/>
  <c r="BH416" i="1"/>
  <c r="BH401" i="1"/>
  <c r="BH403" i="1"/>
  <c r="BU403" i="1" s="1"/>
  <c r="BH396" i="1"/>
  <c r="BH404" i="1"/>
  <c r="BU404" i="1" s="1"/>
  <c r="AH409" i="1"/>
  <c r="AY425" i="1"/>
  <c r="AY426" i="1"/>
  <c r="BH189" i="1"/>
  <c r="BH186" i="1"/>
  <c r="BH193" i="1"/>
  <c r="BH230" i="1"/>
  <c r="BH241" i="1"/>
  <c r="BH75" i="1"/>
  <c r="BH21" i="1"/>
  <c r="BH54" i="1"/>
  <c r="BH351" i="1"/>
  <c r="BH114" i="1"/>
  <c r="BH353" i="1"/>
  <c r="BH290" i="1"/>
  <c r="BH305" i="1"/>
  <c r="BH116" i="1"/>
  <c r="BH235" i="1"/>
  <c r="BH264" i="1"/>
  <c r="BH76" i="1"/>
  <c r="BH192" i="1"/>
  <c r="BH51" i="1"/>
  <c r="BH14" i="1"/>
  <c r="BH319" i="1"/>
  <c r="BH73" i="1"/>
  <c r="BH214" i="1"/>
  <c r="BH145" i="1"/>
  <c r="BH74" i="1"/>
  <c r="BH309" i="1"/>
  <c r="BH37" i="1"/>
  <c r="BH253" i="1"/>
  <c r="BH153" i="1"/>
  <c r="BH125" i="1"/>
  <c r="BH138" i="1"/>
  <c r="BH10" i="1"/>
  <c r="BH107" i="1"/>
  <c r="BH130" i="1"/>
  <c r="BH287" i="1"/>
  <c r="BH344" i="1"/>
  <c r="BH361" i="1"/>
  <c r="BH171" i="1"/>
  <c r="BH143" i="1"/>
  <c r="BH218" i="1"/>
  <c r="BH304" i="1"/>
  <c r="BH378" i="1"/>
  <c r="BH298" i="1"/>
  <c r="BH88" i="1"/>
  <c r="BH58" i="1"/>
  <c r="BH285" i="1"/>
  <c r="BH316" i="1"/>
  <c r="BH303" i="1"/>
  <c r="BH165" i="1"/>
  <c r="BH180" i="1"/>
  <c r="BH32" i="1"/>
  <c r="BH94" i="1"/>
  <c r="BH60" i="1"/>
  <c r="BH82" i="1"/>
  <c r="BH115" i="1"/>
  <c r="BH384" i="1"/>
  <c r="BH327" i="1"/>
  <c r="BH83" i="1"/>
  <c r="BH345" i="1"/>
  <c r="BH227" i="1"/>
  <c r="BH329" i="1"/>
  <c r="BH89" i="1"/>
  <c r="BH148" i="1"/>
  <c r="BH25" i="1"/>
  <c r="BH154" i="1"/>
  <c r="BH175" i="1"/>
  <c r="BH320" i="1"/>
  <c r="BH95" i="1"/>
  <c r="BH233" i="1"/>
  <c r="BH40" i="1"/>
  <c r="BH341" i="1"/>
  <c r="BH284" i="1"/>
  <c r="BH96" i="1"/>
  <c r="BH268" i="1"/>
  <c r="BH92" i="1"/>
  <c r="BH20" i="1"/>
  <c r="BH86" i="1"/>
  <c r="BH155" i="1"/>
  <c r="BH228" i="1"/>
  <c r="BH105" i="1"/>
  <c r="BH147" i="1"/>
  <c r="BH87" i="1"/>
  <c r="BH312" i="1"/>
  <c r="BH234" i="1"/>
  <c r="BH101" i="1"/>
  <c r="BH362" i="1"/>
  <c r="BH296" i="1"/>
  <c r="BH267" i="1"/>
  <c r="BH202" i="1"/>
  <c r="BH245" i="1"/>
  <c r="BH216" i="1"/>
  <c r="BH19" i="1"/>
  <c r="BH369" i="1"/>
  <c r="BH302" i="1"/>
  <c r="BH272" i="1"/>
  <c r="BH252" i="1"/>
  <c r="BH198" i="1"/>
  <c r="BH339" i="1"/>
  <c r="BH281" i="1"/>
  <c r="BH9" i="1"/>
  <c r="BH203" i="1"/>
  <c r="BH70" i="1"/>
  <c r="BH255" i="1"/>
  <c r="BH334" i="1"/>
  <c r="BH204" i="1"/>
  <c r="BH370" i="1"/>
  <c r="BH11" i="1"/>
  <c r="BH118" i="1"/>
  <c r="BH276" i="1"/>
  <c r="BH365" i="1"/>
  <c r="BH342" i="1"/>
  <c r="BH301" i="1"/>
  <c r="BH207" i="1"/>
  <c r="BH190" i="1"/>
  <c r="BH4" i="1"/>
  <c r="BH100" i="1"/>
  <c r="BH391" i="1"/>
  <c r="BH371" i="1"/>
  <c r="BH166" i="1"/>
  <c r="BH277" i="1"/>
  <c r="BH119" i="1"/>
  <c r="BH124" i="1"/>
  <c r="BH390" i="1"/>
  <c r="BH132" i="1"/>
  <c r="BH106" i="1"/>
  <c r="BH220" i="1"/>
  <c r="BH221" i="1"/>
  <c r="BH8" i="1"/>
  <c r="BH347" i="1"/>
  <c r="BH194" i="1"/>
  <c r="BH65" i="1"/>
  <c r="BH81" i="1"/>
  <c r="BH212" i="1"/>
  <c r="BH226" i="1"/>
  <c r="BH98" i="1"/>
  <c r="BH41" i="1"/>
  <c r="BH97" i="1"/>
  <c r="BH47" i="1"/>
  <c r="BH53" i="1"/>
  <c r="BH311" i="1"/>
  <c r="BH359" i="1"/>
  <c r="BH259" i="1"/>
  <c r="BH278" i="1"/>
  <c r="BH67" i="1"/>
  <c r="BH257" i="1"/>
  <c r="BH30" i="1"/>
  <c r="BH26" i="1"/>
  <c r="BH243" i="1"/>
  <c r="BH387" i="1"/>
  <c r="BH300" i="1"/>
  <c r="BH17" i="1"/>
  <c r="BH242" i="1"/>
  <c r="BH318" i="1"/>
  <c r="BH354" i="1"/>
  <c r="BH363" i="1"/>
  <c r="BH160" i="1"/>
  <c r="BA248" i="1"/>
  <c r="BH139" i="1"/>
  <c r="BH80" i="1"/>
  <c r="BH161" i="1"/>
  <c r="BH283" i="1"/>
  <c r="BH152" i="1"/>
  <c r="BH79" i="1"/>
  <c r="BH7" i="1"/>
  <c r="BH208" i="1"/>
  <c r="BH349" i="1"/>
  <c r="BH297" i="1"/>
  <c r="BH173" i="1"/>
  <c r="BH135" i="1"/>
  <c r="BH326" i="1"/>
  <c r="BH179" i="1"/>
  <c r="BH308" i="1"/>
  <c r="BH48" i="1"/>
  <c r="BH249" i="1"/>
  <c r="BH270" i="1"/>
  <c r="BH45" i="1"/>
  <c r="BH146" i="1"/>
  <c r="BH338" i="1"/>
  <c r="BH282" i="1"/>
  <c r="BH113" i="1"/>
  <c r="BH178" i="1"/>
  <c r="BH357" i="1"/>
  <c r="BH273" i="1"/>
  <c r="BH163" i="1"/>
  <c r="BH27" i="1"/>
  <c r="BH55" i="1"/>
  <c r="BH121" i="1"/>
  <c r="BH261" i="1"/>
  <c r="BH159" i="1"/>
  <c r="BH254" i="1"/>
  <c r="BH104" i="1"/>
  <c r="BH330" i="1"/>
  <c r="BH177" i="1"/>
  <c r="BH33" i="1"/>
  <c r="BH247" i="1"/>
  <c r="BH150" i="1"/>
  <c r="BH323" i="1"/>
  <c r="BH314" i="1"/>
  <c r="BH99" i="1"/>
  <c r="BH123" i="1"/>
  <c r="BH211" i="1"/>
  <c r="BH383" i="1"/>
  <c r="BH71" i="1"/>
  <c r="BA61" i="1"/>
  <c r="BH149" i="1"/>
  <c r="BH170" i="1"/>
  <c r="BH72" i="1"/>
  <c r="BH286" i="1"/>
  <c r="BH197" i="1"/>
  <c r="BH38" i="1"/>
  <c r="BH379" i="1"/>
  <c r="BH256" i="1"/>
  <c r="BH110" i="1"/>
  <c r="BH43" i="1"/>
  <c r="BH129" i="1"/>
  <c r="BH215" i="1"/>
  <c r="BH84" i="1"/>
  <c r="BH93" i="1"/>
  <c r="BH15" i="1"/>
  <c r="BH50" i="1"/>
  <c r="BH355" i="1"/>
  <c r="BH120" i="1"/>
  <c r="BH140" i="1"/>
  <c r="BH213" i="1"/>
  <c r="BH366" i="1"/>
  <c r="BH260" i="1"/>
  <c r="BH29" i="1"/>
  <c r="BV425" i="1"/>
  <c r="BV426" i="1"/>
  <c r="BT425" i="1"/>
  <c r="Q425" i="1" s="1"/>
  <c r="BU425" i="1"/>
  <c r="BO421" i="1"/>
  <c r="Q421" i="1" s="1"/>
  <c r="BO423" i="1"/>
  <c r="Q423" i="1" s="1"/>
  <c r="BV419" i="1"/>
  <c r="BY419" i="1" s="1"/>
  <c r="BO422" i="1"/>
  <c r="BO419" i="1"/>
  <c r="BO424" i="1"/>
  <c r="BO420" i="1"/>
  <c r="BT419" i="1"/>
  <c r="BT420" i="1"/>
  <c r="BT422" i="1"/>
  <c r="BV424" i="1"/>
  <c r="BY424" i="1" s="1"/>
  <c r="BV422" i="1"/>
  <c r="BY422" i="1" s="1"/>
  <c r="BV420" i="1"/>
  <c r="BY420" i="1" s="1"/>
  <c r="AY424" i="1"/>
  <c r="BT424" i="1"/>
  <c r="AY420" i="1"/>
  <c r="BP419" i="1"/>
  <c r="BP420" i="1"/>
  <c r="BU422" i="1"/>
  <c r="BU420" i="1"/>
  <c r="BP423" i="1"/>
  <c r="S423" i="1" s="1"/>
  <c r="T423" i="1" s="1"/>
  <c r="BP421" i="1"/>
  <c r="BU419" i="1"/>
  <c r="BP422" i="1"/>
  <c r="BP424" i="1"/>
  <c r="AY423" i="1"/>
  <c r="AY421" i="1"/>
  <c r="BO418" i="1"/>
  <c r="Q418" i="1" s="1"/>
  <c r="BO417" i="1"/>
  <c r="BV417" i="1"/>
  <c r="BY417" i="1" s="1"/>
  <c r="BO416" i="1"/>
  <c r="Q416" i="1" s="1"/>
  <c r="BO414" i="1"/>
  <c r="BV414" i="1"/>
  <c r="BY414" i="1" s="1"/>
  <c r="BT417" i="1"/>
  <c r="BT414" i="1"/>
  <c r="BP418" i="1"/>
  <c r="BP417" i="1"/>
  <c r="BP416" i="1"/>
  <c r="BU417" i="1"/>
  <c r="BP414" i="1"/>
  <c r="BU414" i="1"/>
  <c r="AY414" i="1"/>
  <c r="AY418" i="1"/>
  <c r="AY416" i="1"/>
  <c r="AU221" i="1"/>
  <c r="AW221" i="1" s="1"/>
  <c r="BO415" i="1"/>
  <c r="BP415" i="1"/>
  <c r="AY415" i="1"/>
  <c r="BU412" i="1"/>
  <c r="CD322" i="1"/>
  <c r="BU413" i="1"/>
  <c r="BP413" i="1"/>
  <c r="BP412" i="1"/>
  <c r="CD332" i="1"/>
  <c r="BY432" i="1"/>
  <c r="AX422" i="1"/>
  <c r="CY154" i="1"/>
  <c r="V431" i="1" l="1"/>
  <c r="V427" i="1"/>
  <c r="AA432" i="1"/>
  <c r="CX418" i="1"/>
  <c r="CX429" i="1"/>
  <c r="AY422" i="1" l="1"/>
  <c r="AX419" i="1"/>
  <c r="AX417" i="1"/>
  <c r="AI429" i="1" l="1"/>
  <c r="CQ248" i="1"/>
  <c r="CV248" i="1" s="1"/>
  <c r="AK432" i="1"/>
  <c r="V429" i="1"/>
  <c r="AJ429" i="1" s="1"/>
  <c r="AY419" i="1"/>
  <c r="AY417" i="1"/>
  <c r="U257" i="1"/>
  <c r="U180" i="1"/>
  <c r="U156" i="1"/>
  <c r="S424" i="1"/>
  <c r="T424" i="1" s="1"/>
  <c r="Y432" i="1"/>
  <c r="Y431" i="1"/>
  <c r="Y428" i="1"/>
  <c r="S418" i="1"/>
  <c r="T418" i="1" s="1"/>
  <c r="Y429" i="1"/>
  <c r="Y430" i="1"/>
  <c r="Y427" i="1"/>
  <c r="S416" i="1"/>
  <c r="T416" i="1" s="1"/>
  <c r="S426" i="1"/>
  <c r="T426" i="1" s="1"/>
  <c r="S421" i="1"/>
  <c r="T421" i="1" s="1"/>
  <c r="S425" i="1"/>
  <c r="T425" i="1" s="1"/>
  <c r="BY426" i="1"/>
  <c r="AA426" i="1" s="1"/>
  <c r="W426" i="1"/>
  <c r="V426" i="1"/>
  <c r="AB426" i="1"/>
  <c r="Q426" i="1"/>
  <c r="AD426" i="1"/>
  <c r="AE426" i="1" s="1"/>
  <c r="AD425" i="1"/>
  <c r="AE425" i="1" s="1"/>
  <c r="BX425" i="1"/>
  <c r="V425" i="1" s="1"/>
  <c r="AB425" i="1"/>
  <c r="BY425" i="1"/>
  <c r="AA425" i="1" s="1"/>
  <c r="W425" i="1"/>
  <c r="AK429" i="1" l="1"/>
  <c r="Y426" i="1"/>
  <c r="Y425" i="1"/>
  <c r="BH61" i="1"/>
  <c r="BH248" i="1"/>
  <c r="AD422" i="1"/>
  <c r="AE422" i="1" s="1"/>
  <c r="Q419" i="1"/>
  <c r="Q420" i="1"/>
  <c r="V421" i="1"/>
  <c r="S419" i="1"/>
  <c r="T419" i="1" s="1"/>
  <c r="BX419" i="1"/>
  <c r="V419" i="1" s="1"/>
  <c r="AB419" i="1"/>
  <c r="AD423" i="1"/>
  <c r="AE423" i="1" s="1"/>
  <c r="W420" i="1"/>
  <c r="AA420" i="1"/>
  <c r="AD419" i="1"/>
  <c r="AE419" i="1" s="1"/>
  <c r="AD424" i="1"/>
  <c r="AE424" i="1" s="1"/>
  <c r="W424" i="1"/>
  <c r="AA424" i="1"/>
  <c r="AD420" i="1"/>
  <c r="AE420" i="1" s="1"/>
  <c r="W419" i="1"/>
  <c r="AA419" i="1"/>
  <c r="W422" i="1"/>
  <c r="AA422" i="1"/>
  <c r="Q422" i="1"/>
  <c r="AD421" i="1"/>
  <c r="AE421" i="1" s="1"/>
  <c r="W423" i="1"/>
  <c r="AI423" i="1" s="1"/>
  <c r="AB423" i="1"/>
  <c r="AA423" i="1"/>
  <c r="W421" i="1"/>
  <c r="AB421" i="1"/>
  <c r="BX422" i="1"/>
  <c r="V422" i="1" s="1"/>
  <c r="AB422" i="1"/>
  <c r="S420" i="1"/>
  <c r="T420" i="1" s="1"/>
  <c r="BX424" i="1"/>
  <c r="V424" i="1" s="1"/>
  <c r="AB424" i="1"/>
  <c r="BX420" i="1"/>
  <c r="V420" i="1" s="1"/>
  <c r="AB420" i="1"/>
  <c r="S422" i="1"/>
  <c r="T422" i="1" s="1"/>
  <c r="Q424" i="1"/>
  <c r="Q414" i="1"/>
  <c r="Q417" i="1"/>
  <c r="W417" i="1"/>
  <c r="AA417" i="1"/>
  <c r="S417" i="1"/>
  <c r="T417" i="1" s="1"/>
  <c r="AD414" i="1"/>
  <c r="AE414" i="1" s="1"/>
  <c r="AD416" i="1"/>
  <c r="AE416" i="1" s="1"/>
  <c r="AD418" i="1"/>
  <c r="AE418" i="1" s="1"/>
  <c r="AD415" i="1"/>
  <c r="AE415" i="1" s="1"/>
  <c r="BX414" i="1"/>
  <c r="V414" i="1" s="1"/>
  <c r="AB414" i="1"/>
  <c r="S414" i="1"/>
  <c r="T414" i="1" s="1"/>
  <c r="W414" i="1"/>
  <c r="AA414" i="1"/>
  <c r="BX417" i="1"/>
  <c r="V417" i="1" s="1"/>
  <c r="AB417" i="1"/>
  <c r="AD417" i="1"/>
  <c r="AE417" i="1" s="1"/>
  <c r="AB416" i="1"/>
  <c r="W416" i="1"/>
  <c r="AI416" i="1" s="1"/>
  <c r="W418" i="1"/>
  <c r="AI418" i="1" s="1"/>
  <c r="AB418" i="1"/>
  <c r="S415" i="1"/>
  <c r="T415" i="1" s="1"/>
  <c r="V415" i="1"/>
  <c r="AB415" i="1"/>
  <c r="W415" i="1"/>
  <c r="AA415" i="1"/>
  <c r="Q415" i="1"/>
  <c r="S412" i="1"/>
  <c r="T412" i="1" s="1"/>
  <c r="S413" i="1"/>
  <c r="T413" i="1" s="1"/>
  <c r="CC332" i="1"/>
  <c r="CG332" i="1" s="1"/>
  <c r="CE332" i="1"/>
  <c r="CH332" i="1" s="1"/>
  <c r="CC322" i="1"/>
  <c r="CG322" i="1" s="1"/>
  <c r="CE322" i="1"/>
  <c r="CH322" i="1" s="1"/>
  <c r="Z130" i="1"/>
  <c r="AH212" i="1"/>
  <c r="BT413" i="1"/>
  <c r="BO413" i="1"/>
  <c r="BV413" i="1"/>
  <c r="BY413" i="1" s="1"/>
  <c r="BV412" i="1"/>
  <c r="BY412" i="1" s="1"/>
  <c r="BO412" i="1"/>
  <c r="BT412" i="1"/>
  <c r="BO408" i="1"/>
  <c r="BO409" i="1"/>
  <c r="Q409" i="1" s="1"/>
  <c r="BO411" i="1"/>
  <c r="BO410" i="1"/>
  <c r="Q410" i="1" s="1"/>
  <c r="BV408" i="1"/>
  <c r="BY408" i="1" s="1"/>
  <c r="BV411" i="1"/>
  <c r="BY411" i="1" s="1"/>
  <c r="BT408" i="1"/>
  <c r="BT411" i="1"/>
  <c r="BP411" i="1"/>
  <c r="BU408" i="1"/>
  <c r="BP408" i="1"/>
  <c r="BP410" i="1"/>
  <c r="S410" i="1" s="1"/>
  <c r="T410" i="1" s="1"/>
  <c r="BU411" i="1"/>
  <c r="BP409" i="1"/>
  <c r="S409" i="1" s="1"/>
  <c r="T409" i="1" s="1"/>
  <c r="BP407" i="1"/>
  <c r="BP406" i="1"/>
  <c r="BU406" i="1"/>
  <c r="BU407" i="1"/>
  <c r="BV406" i="1"/>
  <c r="BY406" i="1" s="1"/>
  <c r="BT407" i="1"/>
  <c r="BO407" i="1"/>
  <c r="BO406" i="1"/>
  <c r="BV407" i="1"/>
  <c r="BY407" i="1" s="1"/>
  <c r="BT406" i="1"/>
  <c r="BP405" i="1"/>
  <c r="BU405" i="1"/>
  <c r="BO405" i="1"/>
  <c r="BV405" i="1"/>
  <c r="BY405" i="1" s="1"/>
  <c r="BT405" i="1"/>
  <c r="AH25" i="1"/>
  <c r="BW18" i="1"/>
  <c r="AG18" i="1" s="1"/>
  <c r="Z292" i="1"/>
  <c r="BP401" i="1"/>
  <c r="S401" i="1" s="1"/>
  <c r="T401" i="1" s="1"/>
  <c r="BU399" i="1"/>
  <c r="BP399" i="1"/>
  <c r="BP402" i="1"/>
  <c r="BP403" i="1"/>
  <c r="BP404" i="1"/>
  <c r="S404" i="1" s="1"/>
  <c r="T404" i="1" s="1"/>
  <c r="BU400" i="1"/>
  <c r="BP400" i="1"/>
  <c r="BT400" i="1"/>
  <c r="BV403" i="1"/>
  <c r="BY403" i="1" s="1"/>
  <c r="BT399" i="1"/>
  <c r="BV404" i="1"/>
  <c r="BY404" i="1" s="1"/>
  <c r="BO404" i="1"/>
  <c r="BV400" i="1"/>
  <c r="BY400" i="1" s="1"/>
  <c r="BO402" i="1"/>
  <c r="BO400" i="1"/>
  <c r="BO399" i="1"/>
  <c r="BO403" i="1"/>
  <c r="BO401" i="1"/>
  <c r="Q401" i="1" s="1"/>
  <c r="BV399" i="1"/>
  <c r="BY399" i="1" s="1"/>
  <c r="BT403" i="1"/>
  <c r="BT404" i="1"/>
  <c r="Z221" i="1"/>
  <c r="BP396" i="1"/>
  <c r="BP398" i="1"/>
  <c r="BU398" i="1"/>
  <c r="BP397" i="1"/>
  <c r="S397" i="1" s="1"/>
  <c r="T397" i="1" s="1"/>
  <c r="BU395" i="1"/>
  <c r="BP395" i="1"/>
  <c r="BU396" i="1"/>
  <c r="BV397" i="1"/>
  <c r="BY397" i="1" s="1"/>
  <c r="BV398" i="1"/>
  <c r="BY398" i="1" s="1"/>
  <c r="BO397" i="1"/>
  <c r="BT398" i="1"/>
  <c r="BO398" i="1"/>
  <c r="BT397" i="1"/>
  <c r="BT396" i="1"/>
  <c r="BO396" i="1"/>
  <c r="BV396" i="1"/>
  <c r="BY396" i="1" s="1"/>
  <c r="BT395" i="1"/>
  <c r="BO395" i="1"/>
  <c r="BV395" i="1"/>
  <c r="BY395" i="1" s="1"/>
  <c r="Z198" i="1"/>
  <c r="BW250" i="1"/>
  <c r="AG250" i="1" s="1"/>
  <c r="AU219" i="1"/>
  <c r="AW219" i="1" s="1"/>
  <c r="AU231" i="1"/>
  <c r="AW231" i="1" s="1"/>
  <c r="CW320" i="1"/>
  <c r="CY320" i="1" s="1"/>
  <c r="AU176" i="1"/>
  <c r="AW176" i="1" s="1"/>
  <c r="AU315" i="1"/>
  <c r="AW315" i="1" s="1"/>
  <c r="AU313" i="1"/>
  <c r="AW313" i="1" s="1"/>
  <c r="AH303" i="1"/>
  <c r="AH384" i="1"/>
  <c r="BT361" i="1"/>
  <c r="BX361" i="1" s="1"/>
  <c r="AH283" i="1"/>
  <c r="AH210" i="1"/>
  <c r="BW365" i="1"/>
  <c r="Z176" i="1"/>
  <c r="AU184" i="1"/>
  <c r="AW184" i="1" s="1"/>
  <c r="BU117" i="1"/>
  <c r="BU34" i="1"/>
  <c r="BU134" i="1"/>
  <c r="BU347" i="1"/>
  <c r="BU232" i="1"/>
  <c r="BU331" i="1"/>
  <c r="BU249" i="1"/>
  <c r="BU46" i="1"/>
  <c r="BU330" i="1"/>
  <c r="BU317" i="1"/>
  <c r="BU348" i="1"/>
  <c r="BU252" i="1"/>
  <c r="BU375" i="1"/>
  <c r="BU394" i="1"/>
  <c r="BU220" i="1"/>
  <c r="BU351" i="1"/>
  <c r="BU302" i="1"/>
  <c r="BU367" i="1"/>
  <c r="BU361" i="1"/>
  <c r="BU102" i="1"/>
  <c r="BU133" i="1"/>
  <c r="BU104" i="1"/>
  <c r="BU321" i="1"/>
  <c r="BU129" i="1"/>
  <c r="BU193" i="1"/>
  <c r="BV391" i="1"/>
  <c r="BY391" i="1" s="1"/>
  <c r="BV389" i="1"/>
  <c r="BY389" i="1" s="1"/>
  <c r="BV390" i="1"/>
  <c r="BY390" i="1" s="1"/>
  <c r="BV387" i="1"/>
  <c r="BY387" i="1" s="1"/>
  <c r="BV383" i="1"/>
  <c r="BY383" i="1" s="1"/>
  <c r="BV380" i="1"/>
  <c r="BY380" i="1" s="1"/>
  <c r="BV381" i="1"/>
  <c r="BY381" i="1" s="1"/>
  <c r="BV385" i="1"/>
  <c r="BY385" i="1" s="1"/>
  <c r="BV382" i="1"/>
  <c r="BY382" i="1" s="1"/>
  <c r="BV379" i="1"/>
  <c r="BY379" i="1" s="1"/>
  <c r="BV376" i="1"/>
  <c r="BY376" i="1" s="1"/>
  <c r="BV378" i="1"/>
  <c r="BY378" i="1" s="1"/>
  <c r="BV373" i="1"/>
  <c r="BV370" i="1"/>
  <c r="BY370" i="1" s="1"/>
  <c r="BV371" i="1"/>
  <c r="BY371" i="1" s="1"/>
  <c r="BV362" i="1"/>
  <c r="BY362" i="1" s="1"/>
  <c r="BV366" i="1"/>
  <c r="BY366" i="1" s="1"/>
  <c r="BV364" i="1"/>
  <c r="BY364" i="1" s="1"/>
  <c r="BV361" i="1"/>
  <c r="BY361" i="1" s="1"/>
  <c r="BV358" i="1"/>
  <c r="BY358" i="1" s="1"/>
  <c r="BV359" i="1"/>
  <c r="BY359" i="1" s="1"/>
  <c r="BV354" i="1"/>
  <c r="BY354" i="1" s="1"/>
  <c r="BV352" i="1"/>
  <c r="BY352" i="1" s="1"/>
  <c r="BV351" i="1"/>
  <c r="BV348" i="1"/>
  <c r="BV345" i="1"/>
  <c r="BV347" i="1"/>
  <c r="BV339" i="1"/>
  <c r="BV334" i="1"/>
  <c r="BV336" i="1"/>
  <c r="BV328" i="1"/>
  <c r="BV326" i="1"/>
  <c r="BV330" i="1"/>
  <c r="BV325" i="1"/>
  <c r="BV322" i="1"/>
  <c r="BV323" i="1"/>
  <c r="BV318" i="1"/>
  <c r="BV317" i="1"/>
  <c r="BV321" i="1"/>
  <c r="BV314" i="1"/>
  <c r="BV315" i="1"/>
  <c r="BV312" i="1"/>
  <c r="BV311" i="1"/>
  <c r="BV304" i="1"/>
  <c r="BV298" i="1"/>
  <c r="BV302" i="1"/>
  <c r="BV301" i="1"/>
  <c r="BV297" i="1"/>
  <c r="BV296" i="1"/>
  <c r="BV5" i="1"/>
  <c r="BV140" i="1"/>
  <c r="BV266" i="1"/>
  <c r="BV288" i="1"/>
  <c r="BV213" i="1"/>
  <c r="BV117" i="1"/>
  <c r="BV244" i="1"/>
  <c r="BV60" i="1"/>
  <c r="BV42" i="1"/>
  <c r="BV69" i="1"/>
  <c r="BV241" i="1"/>
  <c r="BV113" i="1"/>
  <c r="BV114" i="1"/>
  <c r="BV138" i="1"/>
  <c r="BV181" i="1"/>
  <c r="BV176" i="1"/>
  <c r="BV221" i="1"/>
  <c r="BV105" i="1"/>
  <c r="BV111" i="1"/>
  <c r="BV204" i="1"/>
  <c r="BV151" i="1"/>
  <c r="BV53" i="1"/>
  <c r="BV253" i="1"/>
  <c r="BV223" i="1"/>
  <c r="BV287" i="1"/>
  <c r="BV224" i="1"/>
  <c r="BV115" i="1"/>
  <c r="BV86" i="1"/>
  <c r="BV45" i="1"/>
  <c r="BV75" i="1"/>
  <c r="BV211" i="1"/>
  <c r="BV268" i="1"/>
  <c r="BV177" i="1"/>
  <c r="BV155" i="1"/>
  <c r="BV169" i="1"/>
  <c r="BV16" i="1"/>
  <c r="BV44" i="1"/>
  <c r="BV207" i="1"/>
  <c r="BV129" i="1"/>
  <c r="BV40" i="1"/>
  <c r="BV160" i="1"/>
  <c r="BV171" i="1"/>
  <c r="BV99" i="1"/>
  <c r="BV228" i="1"/>
  <c r="BV135" i="1"/>
  <c r="BV246" i="1"/>
  <c r="BV41" i="1"/>
  <c r="BV62" i="1"/>
  <c r="BV19" i="1"/>
  <c r="BV388" i="1"/>
  <c r="BY388" i="1" s="1"/>
  <c r="BV368" i="1"/>
  <c r="BY368" i="1" s="1"/>
  <c r="BV356" i="1"/>
  <c r="BY356" i="1" s="1"/>
  <c r="BV343" i="1"/>
  <c r="BV331" i="1"/>
  <c r="BV313" i="1"/>
  <c r="BV299" i="1"/>
  <c r="BV22" i="1"/>
  <c r="BV233" i="1"/>
  <c r="BV173" i="1"/>
  <c r="BV94" i="1"/>
  <c r="BV196" i="1"/>
  <c r="BV89" i="1"/>
  <c r="BV83" i="1"/>
  <c r="BV237" i="1"/>
  <c r="BV289" i="1"/>
  <c r="BV77" i="1"/>
  <c r="BV51" i="1"/>
  <c r="BV277" i="1"/>
  <c r="BV87" i="1"/>
  <c r="BV127" i="1"/>
  <c r="BV145" i="1"/>
  <c r="BV249" i="1"/>
  <c r="BV254" i="1"/>
  <c r="BV132" i="1"/>
  <c r="BV239" i="1"/>
  <c r="BV269" i="1"/>
  <c r="BV222" i="1"/>
  <c r="BV90" i="1"/>
  <c r="BV95" i="1"/>
  <c r="BV21" i="1"/>
  <c r="BV194" i="1"/>
  <c r="BV27" i="1"/>
  <c r="BV30" i="1"/>
  <c r="BV109" i="1"/>
  <c r="BV74" i="1"/>
  <c r="BV118" i="1"/>
  <c r="BV232" i="1"/>
  <c r="BV292" i="1"/>
  <c r="BV286" i="1"/>
  <c r="BV36" i="1"/>
  <c r="BV84" i="1"/>
  <c r="BV125" i="1"/>
  <c r="BV134" i="1"/>
  <c r="BV70" i="1"/>
  <c r="BV34" i="1"/>
  <c r="BV58" i="1"/>
  <c r="BV172" i="1"/>
  <c r="BV242" i="1"/>
  <c r="BV209" i="1"/>
  <c r="BV174" i="1"/>
  <c r="BV238" i="1"/>
  <c r="BV202" i="1"/>
  <c r="BV6" i="1"/>
  <c r="BV112" i="1"/>
  <c r="BV68" i="1"/>
  <c r="BV162" i="1"/>
  <c r="BV372" i="1"/>
  <c r="BY372" i="1" s="1"/>
  <c r="BV367" i="1"/>
  <c r="BY367" i="1" s="1"/>
  <c r="BV350" i="1"/>
  <c r="BV338" i="1"/>
  <c r="BV308" i="1"/>
  <c r="BV88" i="1"/>
  <c r="BV248" i="1"/>
  <c r="BV195" i="1"/>
  <c r="BV179" i="1"/>
  <c r="BV120" i="1"/>
  <c r="BV199" i="1"/>
  <c r="BV142" i="1"/>
  <c r="BV24" i="1"/>
  <c r="BV4" i="1"/>
  <c r="BV220" i="1"/>
  <c r="BV133" i="1"/>
  <c r="BV57" i="1"/>
  <c r="BV214" i="1"/>
  <c r="BV67" i="1"/>
  <c r="BV231" i="1"/>
  <c r="BV264" i="1"/>
  <c r="BV218" i="1"/>
  <c r="BV104" i="1"/>
  <c r="BV15" i="1"/>
  <c r="BV37" i="1"/>
  <c r="BV256" i="1"/>
  <c r="BV272" i="1"/>
  <c r="BV25" i="1"/>
  <c r="BV61" i="1"/>
  <c r="BV166" i="1"/>
  <c r="BV56" i="1"/>
  <c r="BV55" i="1"/>
  <c r="BV39" i="1"/>
  <c r="BV82" i="1"/>
  <c r="BV136" i="1"/>
  <c r="BV206" i="1"/>
  <c r="BV290" i="1"/>
  <c r="BV96" i="1"/>
  <c r="BV236" i="1"/>
  <c r="BV258" i="1"/>
  <c r="BV178" i="1"/>
  <c r="BV91" i="1"/>
  <c r="BV293" i="1"/>
  <c r="BV85" i="1"/>
  <c r="BV76" i="1"/>
  <c r="BV187" i="1"/>
  <c r="BV261" i="1"/>
  <c r="BV184" i="1"/>
  <c r="BV262" i="1"/>
  <c r="BV28" i="1"/>
  <c r="BV170" i="1"/>
  <c r="BV46" i="1"/>
  <c r="BV284" i="1"/>
  <c r="BV107" i="1"/>
  <c r="BV394" i="1"/>
  <c r="BY394" i="1" s="1"/>
  <c r="BV374" i="1"/>
  <c r="BY374" i="1" s="1"/>
  <c r="BV360" i="1"/>
  <c r="BY360" i="1" s="1"/>
  <c r="BV346" i="1"/>
  <c r="BV332" i="1"/>
  <c r="BV320" i="1"/>
  <c r="BV309" i="1"/>
  <c r="BV101" i="1"/>
  <c r="BV215" i="1"/>
  <c r="BV270" i="1"/>
  <c r="BV185" i="1"/>
  <c r="BV10" i="1"/>
  <c r="BV79" i="1"/>
  <c r="BV164" i="1"/>
  <c r="BV20" i="1"/>
  <c r="BV152" i="1"/>
  <c r="BV23" i="1"/>
  <c r="BV274" i="1"/>
  <c r="BV156" i="1"/>
  <c r="BV29" i="1"/>
  <c r="BV189" i="1"/>
  <c r="BV247" i="1"/>
  <c r="BV180" i="1"/>
  <c r="BV150" i="1"/>
  <c r="BV197" i="1"/>
  <c r="BV63" i="1"/>
  <c r="BV193" i="1"/>
  <c r="BV153" i="1"/>
  <c r="BV110" i="1"/>
  <c r="BV122" i="1"/>
  <c r="BV190" i="1"/>
  <c r="BV143" i="1"/>
  <c r="BV102" i="1"/>
  <c r="BV103" i="1"/>
  <c r="BV52" i="1"/>
  <c r="BV98" i="1"/>
  <c r="BV71" i="1"/>
  <c r="BV252" i="1"/>
  <c r="BV157" i="1"/>
  <c r="BV17" i="1"/>
  <c r="BV147" i="1"/>
  <c r="BV260" i="1"/>
  <c r="BV226" i="1"/>
  <c r="BV128" i="1"/>
  <c r="BV149" i="1"/>
  <c r="BV285" i="1"/>
  <c r="BV119" i="1"/>
  <c r="BV168" i="1"/>
  <c r="BV265" i="1"/>
  <c r="BV267" i="1"/>
  <c r="BV139" i="1"/>
  <c r="BV26" i="1"/>
  <c r="BV275" i="1"/>
  <c r="BV31" i="1"/>
  <c r="BV216" i="1"/>
  <c r="BV124" i="1"/>
  <c r="BV392" i="1"/>
  <c r="BY392" i="1" s="1"/>
  <c r="BV375" i="1"/>
  <c r="BY375" i="1" s="1"/>
  <c r="BV355" i="1"/>
  <c r="BV340" i="1"/>
  <c r="BV333" i="1"/>
  <c r="BV319" i="1"/>
  <c r="BV306" i="1"/>
  <c r="CW6" i="1"/>
  <c r="CY6" i="1" s="1"/>
  <c r="CW362" i="1"/>
  <c r="CY362" i="1" s="1"/>
  <c r="CW366" i="1"/>
  <c r="CY366" i="1" s="1"/>
  <c r="CW118" i="1"/>
  <c r="CY118" i="1" s="1"/>
  <c r="CW381" i="1"/>
  <c r="CY381" i="1" s="1"/>
  <c r="CW162" i="1"/>
  <c r="CY162" i="1" s="1"/>
  <c r="AG310" i="1"/>
  <c r="CW147" i="1"/>
  <c r="CY147" i="1" s="1"/>
  <c r="CW331" i="1"/>
  <c r="CY331" i="1" s="1"/>
  <c r="CW157" i="1"/>
  <c r="CY157" i="1" s="1"/>
  <c r="CW269" i="1"/>
  <c r="CY269" i="1" s="1"/>
  <c r="CW333" i="1"/>
  <c r="CY333" i="1" s="1"/>
  <c r="CW159" i="1"/>
  <c r="CY159" i="1" s="1"/>
  <c r="CW30" i="1"/>
  <c r="CY30" i="1" s="1"/>
  <c r="CW50" i="1"/>
  <c r="CY50" i="1" s="1"/>
  <c r="CW149" i="1"/>
  <c r="CY149" i="1" s="1"/>
  <c r="CW340" i="1"/>
  <c r="CY340" i="1" s="1"/>
  <c r="CW326" i="1"/>
  <c r="CY326" i="1" s="1"/>
  <c r="CW304" i="1"/>
  <c r="CY304" i="1" s="1"/>
  <c r="CW293" i="1"/>
  <c r="CY293" i="1" s="1"/>
  <c r="AU343" i="1"/>
  <c r="AW343" i="1" s="1"/>
  <c r="CW343" i="1"/>
  <c r="CY343" i="1" s="1"/>
  <c r="AG337" i="1"/>
  <c r="AG263" i="1"/>
  <c r="AU289" i="1"/>
  <c r="AW289" i="1" s="1"/>
  <c r="CW289" i="1"/>
  <c r="CY289" i="1" s="1"/>
  <c r="AG353" i="1"/>
  <c r="CW222" i="1"/>
  <c r="CY222" i="1" s="1"/>
  <c r="CW239" i="1"/>
  <c r="CY239" i="1" s="1"/>
  <c r="AG188" i="1"/>
  <c r="CW259" i="1"/>
  <c r="CY259" i="1" s="1"/>
  <c r="CW146" i="1"/>
  <c r="CY146" i="1" s="1"/>
  <c r="CW348" i="1"/>
  <c r="CY348" i="1" s="1"/>
  <c r="Z183" i="1"/>
  <c r="AU328" i="1"/>
  <c r="AW328" i="1" s="1"/>
  <c r="AH75" i="1"/>
  <c r="BD275" i="1"/>
  <c r="BH275" i="1" s="1"/>
  <c r="ER275" i="1" s="1"/>
  <c r="ET275" i="1" s="1"/>
  <c r="AU239" i="1"/>
  <c r="CP239" i="1" s="1"/>
  <c r="CU239" i="1" s="1"/>
  <c r="AU299" i="1"/>
  <c r="AW299" i="1" s="1"/>
  <c r="AU181" i="1"/>
  <c r="AW181" i="1" s="1"/>
  <c r="AH80" i="1"/>
  <c r="BD176" i="1"/>
  <c r="BH176" i="1" s="1"/>
  <c r="BD350" i="1"/>
  <c r="BH350" i="1" s="1"/>
  <c r="AF350" i="1" s="1"/>
  <c r="BD141" i="1"/>
  <c r="BH141" i="1" s="1"/>
  <c r="BD380" i="1"/>
  <c r="BH380" i="1" s="1"/>
  <c r="BD392" i="1"/>
  <c r="BH392" i="1" s="1"/>
  <c r="BD325" i="1"/>
  <c r="BH325" i="1" s="1"/>
  <c r="BD184" i="1"/>
  <c r="BH184" i="1" s="1"/>
  <c r="BD328" i="1"/>
  <c r="BH328" i="1" s="1"/>
  <c r="BD181" i="1"/>
  <c r="BH181" i="1" s="1"/>
  <c r="BD299" i="1"/>
  <c r="BH299" i="1" s="1"/>
  <c r="BD280" i="1"/>
  <c r="BH280" i="1" s="1"/>
  <c r="BT322" i="1"/>
  <c r="Z159" i="1"/>
  <c r="Z216" i="1"/>
  <c r="Z296" i="1"/>
  <c r="Z274" i="1"/>
  <c r="Z302" i="1"/>
  <c r="Z304" i="1"/>
  <c r="Z249" i="1"/>
  <c r="Z134" i="1"/>
  <c r="Z293" i="1"/>
  <c r="Z392" i="1"/>
  <c r="Z46" i="1"/>
  <c r="Z343" i="1"/>
  <c r="Z337" i="1"/>
  <c r="Z263" i="1"/>
  <c r="Z289" i="1"/>
  <c r="Z353" i="1"/>
  <c r="Z358" i="1"/>
  <c r="BD376" i="1"/>
  <c r="CQ376" i="1" s="1"/>
  <c r="BD258" i="1"/>
  <c r="BH258" i="1" s="1"/>
  <c r="BD313" i="1"/>
  <c r="BH313" i="1" s="1"/>
  <c r="Z188" i="1"/>
  <c r="Z125" i="1"/>
  <c r="Z7" i="1"/>
  <c r="Z128" i="1"/>
  <c r="Z110" i="1"/>
  <c r="Z190" i="1"/>
  <c r="Z321" i="1"/>
  <c r="Z346" i="1"/>
  <c r="Z330" i="1"/>
  <c r="Z318" i="1"/>
  <c r="Z199" i="1"/>
  <c r="BD374" i="1"/>
  <c r="BH374" i="1" s="1"/>
  <c r="BD356" i="1"/>
  <c r="BH356" i="1" s="1"/>
  <c r="BD332" i="1"/>
  <c r="BH332" i="1" s="1"/>
  <c r="BD162" i="1"/>
  <c r="BH162" i="1" s="1"/>
  <c r="BD372" i="1"/>
  <c r="BH372" i="1" s="1"/>
  <c r="BD217" i="1"/>
  <c r="BH217" i="1" s="1"/>
  <c r="BD364" i="1"/>
  <c r="BH364" i="1" s="1"/>
  <c r="Z258" i="1"/>
  <c r="Z235" i="1"/>
  <c r="Z243" i="1"/>
  <c r="Z203" i="1"/>
  <c r="Z313" i="1"/>
  <c r="Z324" i="1"/>
  <c r="Z315" i="1"/>
  <c r="Z379" i="1"/>
  <c r="Z194" i="1"/>
  <c r="Z268" i="1"/>
  <c r="Z362" i="1"/>
  <c r="Z371" i="1"/>
  <c r="Z381" i="1"/>
  <c r="Z369" i="1"/>
  <c r="Z374" i="1"/>
  <c r="Z108" i="1"/>
  <c r="Z356" i="1"/>
  <c r="Z332" i="1"/>
  <c r="Z372" i="1"/>
  <c r="Z364" i="1"/>
  <c r="BD295" i="1"/>
  <c r="BH295" i="1" s="1"/>
  <c r="BD269" i="1"/>
  <c r="BD251" i="1"/>
  <c r="BH251" i="1" s="1"/>
  <c r="BD333" i="1"/>
  <c r="BH333" i="1" s="1"/>
  <c r="BD368" i="1"/>
  <c r="BH368" i="1" s="1"/>
  <c r="BD231" i="1"/>
  <c r="BH231" i="1" s="1"/>
  <c r="BD219" i="1"/>
  <c r="BH219" i="1" s="1"/>
  <c r="Z299" i="1"/>
  <c r="Z323" i="1"/>
  <c r="Z195" i="1"/>
  <c r="Z347" i="1"/>
  <c r="Z387" i="1"/>
  <c r="Z67" i="1"/>
  <c r="Z359" i="1"/>
  <c r="Z351" i="1"/>
  <c r="Z135" i="1"/>
  <c r="Z35" i="1"/>
  <c r="Z151" i="1"/>
  <c r="Z375" i="1"/>
  <c r="BD343" i="1"/>
  <c r="BH343" i="1" s="1"/>
  <c r="BD289" i="1"/>
  <c r="BH289" i="1" s="1"/>
  <c r="BD222" i="1"/>
  <c r="BH222" i="1" s="1"/>
  <c r="BD358" i="1"/>
  <c r="BH358" i="1" s="1"/>
  <c r="BD239" i="1"/>
  <c r="Z295" i="1"/>
  <c r="Z251" i="1"/>
  <c r="Z291" i="1"/>
  <c r="Z335" i="1"/>
  <c r="Z163" i="1"/>
  <c r="Z329" i="1"/>
  <c r="Z368" i="1"/>
  <c r="Z327" i="1"/>
  <c r="Z231" i="1"/>
  <c r="Z349" i="1"/>
  <c r="Z219" i="1"/>
  <c r="Z265" i="1"/>
  <c r="AH176" i="1"/>
  <c r="Z30" i="1"/>
  <c r="Z50" i="1"/>
  <c r="Z149" i="1"/>
  <c r="Z340" i="1"/>
  <c r="Z326" i="1"/>
  <c r="AU333" i="1"/>
  <c r="AW333" i="1" s="1"/>
  <c r="Z333" i="1"/>
  <c r="Z147" i="1"/>
  <c r="AU217" i="1"/>
  <c r="AW217" i="1" s="1"/>
  <c r="Z217" i="1"/>
  <c r="Z259" i="1"/>
  <c r="Z146" i="1"/>
  <c r="Z348" i="1"/>
  <c r="AU222" i="1"/>
  <c r="AW222" i="1" s="1"/>
  <c r="Z222" i="1"/>
  <c r="Z157" i="1"/>
  <c r="AU162" i="1"/>
  <c r="AW162" i="1" s="1"/>
  <c r="Z162" i="1"/>
  <c r="AH224" i="1"/>
  <c r="Z6" i="1"/>
  <c r="Z366" i="1"/>
  <c r="Z118" i="1"/>
  <c r="Z331" i="1"/>
  <c r="AH184" i="1"/>
  <c r="BU90" i="1"/>
  <c r="BU338" i="1"/>
  <c r="BU301" i="1"/>
  <c r="BU22" i="1"/>
  <c r="BU109" i="1"/>
  <c r="BU52" i="1"/>
  <c r="BP71" i="1"/>
  <c r="BP54" i="1"/>
  <c r="S54" i="1" s="1"/>
  <c r="T54" i="1" s="1"/>
  <c r="BP101" i="1"/>
  <c r="BU221" i="1"/>
  <c r="BP275" i="1"/>
  <c r="BP185" i="1"/>
  <c r="BU132" i="1"/>
  <c r="BP263" i="1"/>
  <c r="S263" i="1" s="1"/>
  <c r="T263" i="1" s="1"/>
  <c r="BU15" i="1"/>
  <c r="BP186" i="1"/>
  <c r="BP13" i="1"/>
  <c r="BU151" i="1"/>
  <c r="BP4" i="1"/>
  <c r="BP20" i="1"/>
  <c r="BP246" i="1"/>
  <c r="BP258" i="1"/>
  <c r="BU39" i="1"/>
  <c r="BP127" i="1"/>
  <c r="BP67" i="1"/>
  <c r="BU218" i="1"/>
  <c r="BU56" i="1"/>
  <c r="BP145" i="1"/>
  <c r="BP193" i="1"/>
  <c r="BU242" i="1"/>
  <c r="BU268" i="1"/>
  <c r="BP254" i="1"/>
  <c r="BP292" i="1"/>
  <c r="BU157" i="1"/>
  <c r="BP100" i="1"/>
  <c r="S100" i="1" s="1"/>
  <c r="T100" i="1" s="1"/>
  <c r="BU145" i="1"/>
  <c r="BP91" i="1"/>
  <c r="BU206" i="1"/>
  <c r="BP288" i="1"/>
  <c r="BP40" i="1"/>
  <c r="BU88" i="1"/>
  <c r="BP39" i="1"/>
  <c r="BP94" i="1"/>
  <c r="BP118" i="1"/>
  <c r="BU127" i="1"/>
  <c r="BU140" i="1"/>
  <c r="BU233" i="1"/>
  <c r="BP279" i="1"/>
  <c r="S279" i="1" s="1"/>
  <c r="T279" i="1" s="1"/>
  <c r="BP90" i="1"/>
  <c r="BU176" i="1"/>
  <c r="BU180" i="1"/>
  <c r="BP277" i="1"/>
  <c r="BU94" i="1"/>
  <c r="BU185" i="1"/>
  <c r="BP134" i="1"/>
  <c r="BP243" i="1"/>
  <c r="S243" i="1" s="1"/>
  <c r="T243" i="1" s="1"/>
  <c r="BU120" i="1"/>
  <c r="BU10" i="1"/>
  <c r="BP175" i="1"/>
  <c r="S175" i="1" s="1"/>
  <c r="T175" i="1" s="1"/>
  <c r="BP36" i="1"/>
  <c r="BP18" i="1"/>
  <c r="S18" i="1" s="1"/>
  <c r="T18" i="1" s="1"/>
  <c r="BU60" i="1"/>
  <c r="BP77" i="1"/>
  <c r="BP133" i="1"/>
  <c r="BP269" i="1"/>
  <c r="BP104" i="1"/>
  <c r="BP241" i="1"/>
  <c r="BU174" i="1"/>
  <c r="BP5" i="1"/>
  <c r="BP172" i="1"/>
  <c r="BP50" i="1"/>
  <c r="S50" i="1" s="1"/>
  <c r="T50" i="1" s="1"/>
  <c r="BP95" i="1"/>
  <c r="BU135" i="1"/>
  <c r="BP116" i="1"/>
  <c r="S116" i="1" s="1"/>
  <c r="T116" i="1" s="1"/>
  <c r="BP80" i="1"/>
  <c r="S80" i="1" s="1"/>
  <c r="T80" i="1" s="1"/>
  <c r="BP7" i="1"/>
  <c r="S7" i="1" s="1"/>
  <c r="T7" i="1" s="1"/>
  <c r="BP271" i="1"/>
  <c r="S271" i="1" s="1"/>
  <c r="T271" i="1" s="1"/>
  <c r="BP251" i="1"/>
  <c r="BP222" i="1"/>
  <c r="BP212" i="1"/>
  <c r="S212" i="1" s="1"/>
  <c r="T212" i="1" s="1"/>
  <c r="BP164" i="1"/>
  <c r="BU19" i="1"/>
  <c r="BP231" i="1"/>
  <c r="BP249" i="1"/>
  <c r="BP154" i="1"/>
  <c r="S154" i="1" s="1"/>
  <c r="T154" i="1" s="1"/>
  <c r="BP48" i="1"/>
  <c r="BP245" i="1"/>
  <c r="S245" i="1" s="1"/>
  <c r="T245" i="1" s="1"/>
  <c r="BU274" i="1"/>
  <c r="BP141" i="1"/>
  <c r="BP61" i="1"/>
  <c r="BP247" i="1"/>
  <c r="BP147" i="1"/>
  <c r="BP113" i="1"/>
  <c r="BP252" i="1"/>
  <c r="BU308" i="1"/>
  <c r="BU25" i="1"/>
  <c r="BP283" i="1"/>
  <c r="BP234" i="1"/>
  <c r="S234" i="1" s="1"/>
  <c r="T234" i="1" s="1"/>
  <c r="BP206" i="1"/>
  <c r="BP62" i="1"/>
  <c r="BP232" i="1"/>
  <c r="BP42" i="1"/>
  <c r="BP119" i="1"/>
  <c r="BP221" i="1"/>
  <c r="BP392" i="1"/>
  <c r="BU390" i="1"/>
  <c r="BP381" i="1"/>
  <c r="BU379" i="1"/>
  <c r="BP379" i="1"/>
  <c r="BU378" i="1"/>
  <c r="BU370" i="1"/>
  <c r="BU371" i="1"/>
  <c r="BP374" i="1"/>
  <c r="BP365" i="1"/>
  <c r="S365" i="1" s="1"/>
  <c r="T365" i="1" s="1"/>
  <c r="BP364" i="1"/>
  <c r="BU98" i="1"/>
  <c r="BP161" i="1"/>
  <c r="BP106" i="1"/>
  <c r="S106" i="1" s="1"/>
  <c r="T106" i="1" s="1"/>
  <c r="BU71" i="1"/>
  <c r="BP219" i="1"/>
  <c r="BU150" i="1"/>
  <c r="BP223" i="1"/>
  <c r="BP236" i="1"/>
  <c r="BU197" i="1"/>
  <c r="BP78" i="1"/>
  <c r="S78" i="1" s="1"/>
  <c r="T78" i="1" s="1"/>
  <c r="BU204" i="1"/>
  <c r="BU37" i="1"/>
  <c r="BU222" i="1"/>
  <c r="BU153" i="1"/>
  <c r="BU272" i="1"/>
  <c r="BU110" i="1"/>
  <c r="BP96" i="1"/>
  <c r="BP45" i="1"/>
  <c r="BU74" i="1"/>
  <c r="BP162" i="1"/>
  <c r="BP124" i="1"/>
  <c r="BU27" i="1"/>
  <c r="BU160" i="1"/>
  <c r="BP167" i="1"/>
  <c r="S167" i="1" s="1"/>
  <c r="T167" i="1" s="1"/>
  <c r="BP192" i="1"/>
  <c r="S192" i="1" s="1"/>
  <c r="T192" i="1" s="1"/>
  <c r="BU261" i="1"/>
  <c r="BU292" i="1"/>
  <c r="BU290" i="1"/>
  <c r="BP259" i="1"/>
  <c r="S259" i="1" s="1"/>
  <c r="T259" i="1" s="1"/>
  <c r="BP179" i="1"/>
  <c r="BP135" i="1"/>
  <c r="BU5" i="1"/>
  <c r="BP143" i="1"/>
  <c r="BP224" i="1"/>
  <c r="BP9" i="1"/>
  <c r="BP63" i="1"/>
  <c r="BP125" i="1"/>
  <c r="BP37" i="1"/>
  <c r="BU103" i="1"/>
  <c r="BP128" i="1"/>
  <c r="BU101" i="1"/>
  <c r="BP171" i="1"/>
  <c r="BU248" i="1"/>
  <c r="BP218" i="1"/>
  <c r="BU189" i="1"/>
  <c r="BU215" i="1"/>
  <c r="BP293" i="1"/>
  <c r="BP285" i="1"/>
  <c r="BP139" i="1"/>
  <c r="BU213" i="1"/>
  <c r="BP163" i="1"/>
  <c r="S163" i="1" s="1"/>
  <c r="T163" i="1" s="1"/>
  <c r="BP197" i="1"/>
  <c r="BP239" i="1"/>
  <c r="BP30" i="1"/>
  <c r="BP191" i="1"/>
  <c r="BU79" i="1"/>
  <c r="BU83" i="1"/>
  <c r="BP24" i="1"/>
  <c r="BU237" i="1"/>
  <c r="BP157" i="1"/>
  <c r="BP105" i="1"/>
  <c r="BP200" i="1"/>
  <c r="BU267" i="1"/>
  <c r="BP265" i="1"/>
  <c r="BP27" i="1"/>
  <c r="BU139" i="1"/>
  <c r="BP130" i="1"/>
  <c r="S130" i="1" s="1"/>
  <c r="T130" i="1" s="1"/>
  <c r="BP59" i="1"/>
  <c r="S59" i="1" s="1"/>
  <c r="T59" i="1" s="1"/>
  <c r="BU202" i="1"/>
  <c r="BP242" i="1"/>
  <c r="BP256" i="1"/>
  <c r="BU31" i="1"/>
  <c r="BU284" i="1"/>
  <c r="BP268" i="1"/>
  <c r="BU68" i="1"/>
  <c r="BU124" i="1"/>
  <c r="BP284" i="1"/>
  <c r="BU162" i="1"/>
  <c r="BU20" i="1"/>
  <c r="BU289" i="1"/>
  <c r="BU69" i="1"/>
  <c r="BU23" i="1"/>
  <c r="BP76" i="1"/>
  <c r="BP44" i="1"/>
  <c r="BU113" i="1"/>
  <c r="BU277" i="1"/>
  <c r="BP151" i="1"/>
  <c r="BP290" i="1"/>
  <c r="BU114" i="1"/>
  <c r="BP60" i="1"/>
  <c r="BU374" i="1"/>
  <c r="BU360" i="1"/>
  <c r="BU346" i="1"/>
  <c r="BU332" i="1"/>
  <c r="BU319" i="1"/>
  <c r="BU313" i="1"/>
  <c r="BP165" i="1"/>
  <c r="S165" i="1" s="1"/>
  <c r="T165" i="1" s="1"/>
  <c r="BP43" i="1"/>
  <c r="BP174" i="1"/>
  <c r="BU21" i="1"/>
  <c r="BU190" i="1"/>
  <c r="BP122" i="1"/>
  <c r="BP47" i="1"/>
  <c r="S47" i="1" s="1"/>
  <c r="T47" i="1" s="1"/>
  <c r="BP213" i="1"/>
  <c r="BU143" i="1"/>
  <c r="BU214" i="1"/>
  <c r="BU389" i="1"/>
  <c r="BP391" i="1"/>
  <c r="BP388" i="1"/>
  <c r="BU382" i="1"/>
  <c r="BP386" i="1"/>
  <c r="S386" i="1" s="1"/>
  <c r="T386" i="1" s="1"/>
  <c r="BP376" i="1"/>
  <c r="BP373" i="1"/>
  <c r="BP368" i="1"/>
  <c r="BU362" i="1"/>
  <c r="BP366" i="1"/>
  <c r="BU358" i="1"/>
  <c r="BP355" i="1"/>
  <c r="BP357" i="1"/>
  <c r="S357" i="1" s="1"/>
  <c r="T357" i="1" s="1"/>
  <c r="BP348" i="1"/>
  <c r="BP340" i="1"/>
  <c r="BU334" i="1"/>
  <c r="BP332" i="1"/>
  <c r="BU326" i="1"/>
  <c r="BP326" i="1"/>
  <c r="BP331" i="1"/>
  <c r="BP322" i="1"/>
  <c r="BP319" i="1"/>
  <c r="BP318" i="1"/>
  <c r="BU118" i="1"/>
  <c r="BP32" i="1"/>
  <c r="S32" i="1" s="1"/>
  <c r="T32" i="1" s="1"/>
  <c r="BU119" i="1"/>
  <c r="BU211" i="1"/>
  <c r="BU254" i="1"/>
  <c r="BP155" i="1"/>
  <c r="BP244" i="1"/>
  <c r="BU111" i="1"/>
  <c r="BP38" i="1"/>
  <c r="S38" i="1" s="1"/>
  <c r="T38" i="1" s="1"/>
  <c r="BP199" i="1"/>
  <c r="BP92" i="1"/>
  <c r="S92" i="1" s="1"/>
  <c r="T92" i="1" s="1"/>
  <c r="BU53" i="1"/>
  <c r="BP41" i="1"/>
  <c r="BP187" i="1"/>
  <c r="BP70" i="1"/>
  <c r="BP108" i="1"/>
  <c r="S108" i="1" s="1"/>
  <c r="T108" i="1" s="1"/>
  <c r="BU58" i="1"/>
  <c r="BP142" i="1"/>
  <c r="BP190" i="1"/>
  <c r="BP34" i="1"/>
  <c r="BU138" i="1"/>
  <c r="BU172" i="1"/>
  <c r="BU187" i="1"/>
  <c r="BP214" i="1"/>
  <c r="BU265" i="1"/>
  <c r="BP294" i="1"/>
  <c r="S294" i="1" s="1"/>
  <c r="T294" i="1" s="1"/>
  <c r="BP278" i="1"/>
  <c r="S278" i="1" s="1"/>
  <c r="T278" i="1" s="1"/>
  <c r="BP110" i="1"/>
  <c r="BP15" i="1"/>
  <c r="BU136" i="1"/>
  <c r="BU40" i="1"/>
  <c r="BP166" i="1"/>
  <c r="BP289" i="1"/>
  <c r="BU29" i="1"/>
  <c r="BP81" i="1"/>
  <c r="BP121" i="1"/>
  <c r="S121" i="1" s="1"/>
  <c r="T121" i="1" s="1"/>
  <c r="BP57" i="1"/>
  <c r="BU67" i="1"/>
  <c r="BP158" i="1"/>
  <c r="BP198" i="1"/>
  <c r="S198" i="1" s="1"/>
  <c r="T198" i="1" s="1"/>
  <c r="BP17" i="1"/>
  <c r="BU231" i="1"/>
  <c r="BU264" i="1"/>
  <c r="BP233" i="1"/>
  <c r="BU173" i="1"/>
  <c r="BU288" i="1"/>
  <c r="BP149" i="1"/>
  <c r="BP274" i="1"/>
  <c r="BU196" i="1"/>
  <c r="BP216" i="1"/>
  <c r="BP31" i="1"/>
  <c r="BP26" i="1"/>
  <c r="BU89" i="1"/>
  <c r="BU244" i="1"/>
  <c r="BU142" i="1"/>
  <c r="BP88" i="1"/>
  <c r="BU24" i="1"/>
  <c r="BU184" i="1"/>
  <c r="BP132" i="1"/>
  <c r="BP137" i="1"/>
  <c r="BU99" i="1"/>
  <c r="BP111" i="1"/>
  <c r="BU262" i="1"/>
  <c r="BP189" i="1"/>
  <c r="BU228" i="1"/>
  <c r="BU28" i="1"/>
  <c r="BU170" i="1"/>
  <c r="BU6" i="1"/>
  <c r="BU41" i="1"/>
  <c r="BP85" i="1"/>
  <c r="BP56" i="1"/>
  <c r="BP98" i="1"/>
  <c r="BP264" i="1"/>
  <c r="BP136" i="1"/>
  <c r="BP152" i="1"/>
  <c r="BU42" i="1"/>
  <c r="BU4" i="1"/>
  <c r="BU77" i="1"/>
  <c r="BP35" i="1"/>
  <c r="S35" i="1" s="1"/>
  <c r="T35" i="1" s="1"/>
  <c r="BP84" i="1"/>
  <c r="BU51" i="1"/>
  <c r="BP170" i="1"/>
  <c r="BU57" i="1"/>
  <c r="BP211" i="1"/>
  <c r="BU156" i="1"/>
  <c r="BP73" i="1"/>
  <c r="S73" i="1" s="1"/>
  <c r="T73" i="1" s="1"/>
  <c r="BP205" i="1"/>
  <c r="BU392" i="1"/>
  <c r="BU372" i="1"/>
  <c r="BU340" i="1"/>
  <c r="BU333" i="1"/>
  <c r="BU320" i="1"/>
  <c r="BU306" i="1"/>
  <c r="BU181" i="1"/>
  <c r="BP22" i="1"/>
  <c r="BP129" i="1"/>
  <c r="BP176" i="1"/>
  <c r="BP287" i="1"/>
  <c r="BP156" i="1"/>
  <c r="BU105" i="1"/>
  <c r="BP228" i="1"/>
  <c r="BU239" i="1"/>
  <c r="BU63" i="1"/>
  <c r="BU269" i="1"/>
  <c r="BP146" i="1"/>
  <c r="S146" i="1" s="1"/>
  <c r="T146" i="1" s="1"/>
  <c r="BU256" i="1"/>
  <c r="BP68" i="1"/>
  <c r="BP14" i="1"/>
  <c r="S14" i="1" s="1"/>
  <c r="T14" i="1" s="1"/>
  <c r="BU253" i="1"/>
  <c r="BU95" i="1"/>
  <c r="BU75" i="1"/>
  <c r="BP75" i="1"/>
  <c r="BP159" i="1"/>
  <c r="BP209" i="1"/>
  <c r="BP53" i="1"/>
  <c r="BU115" i="1"/>
  <c r="BP188" i="1"/>
  <c r="S188" i="1" s="1"/>
  <c r="T188" i="1" s="1"/>
  <c r="BU168" i="1"/>
  <c r="BP230" i="1"/>
  <c r="S230" i="1" s="1"/>
  <c r="T230" i="1" s="1"/>
  <c r="BU171" i="1"/>
  <c r="BP195" i="1"/>
  <c r="BP286" i="1"/>
  <c r="BP204" i="1"/>
  <c r="BU45" i="1"/>
  <c r="BP182" i="1"/>
  <c r="S182" i="1" s="1"/>
  <c r="T182" i="1" s="1"/>
  <c r="BU76" i="1"/>
  <c r="BP160" i="1"/>
  <c r="BP173" i="1"/>
  <c r="BP107" i="1"/>
  <c r="BU30" i="1"/>
  <c r="BU55" i="1"/>
  <c r="BU86" i="1"/>
  <c r="BP148" i="1"/>
  <c r="BP196" i="1"/>
  <c r="BP215" i="1"/>
  <c r="BU209" i="1"/>
  <c r="BU82" i="1"/>
  <c r="BU247" i="1"/>
  <c r="BP266" i="1"/>
  <c r="BU266" i="1"/>
  <c r="BU195" i="1"/>
  <c r="BP280" i="1"/>
  <c r="BU179" i="1"/>
  <c r="BP126" i="1"/>
  <c r="S126" i="1" s="1"/>
  <c r="T126" i="1" s="1"/>
  <c r="BP177" i="1"/>
  <c r="BP99" i="1"/>
  <c r="BP51" i="1"/>
  <c r="BU199" i="1"/>
  <c r="BP184" i="1"/>
  <c r="BU164" i="1"/>
  <c r="BP225" i="1"/>
  <c r="S225" i="1" s="1"/>
  <c r="T225" i="1" s="1"/>
  <c r="BP117" i="1"/>
  <c r="BP202" i="1"/>
  <c r="BP238" i="1"/>
  <c r="BP203" i="1"/>
  <c r="S203" i="1" s="1"/>
  <c r="T203" i="1" s="1"/>
  <c r="BP276" i="1"/>
  <c r="BP21" i="1"/>
  <c r="BP114" i="1"/>
  <c r="BP267" i="1"/>
  <c r="BU238" i="1"/>
  <c r="BU26" i="1"/>
  <c r="BP16" i="1"/>
  <c r="BU246" i="1"/>
  <c r="BU112" i="1"/>
  <c r="BU216" i="1"/>
  <c r="BU62" i="1"/>
  <c r="BU107" i="1"/>
  <c r="BP140" i="1"/>
  <c r="BP82" i="1"/>
  <c r="BP183" i="1"/>
  <c r="S183" i="1" s="1"/>
  <c r="T183" i="1" s="1"/>
  <c r="BU152" i="1"/>
  <c r="BP86" i="1"/>
  <c r="BP29" i="1"/>
  <c r="BU241" i="1"/>
  <c r="BP93" i="1"/>
  <c r="BP150" i="1"/>
  <c r="BP123" i="1"/>
  <c r="BP138" i="1"/>
  <c r="BU87" i="1"/>
  <c r="BP248" i="1"/>
  <c r="BU388" i="1"/>
  <c r="BU368" i="1"/>
  <c r="BU355" i="1"/>
  <c r="BU343" i="1"/>
  <c r="BU309" i="1"/>
  <c r="BU299" i="1"/>
  <c r="BP19" i="1"/>
  <c r="BU223" i="1"/>
  <c r="BP281" i="1"/>
  <c r="BP97" i="1"/>
  <c r="S97" i="1" s="1"/>
  <c r="T97" i="1" s="1"/>
  <c r="BP208" i="1"/>
  <c r="S208" i="1" s="1"/>
  <c r="T208" i="1" s="1"/>
  <c r="BU194" i="1"/>
  <c r="BP180" i="1"/>
  <c r="BP102" i="1"/>
  <c r="BP112" i="1"/>
  <c r="BP390" i="1"/>
  <c r="BP394" i="1"/>
  <c r="BU391" i="1"/>
  <c r="BU387" i="1"/>
  <c r="BP383" i="1"/>
  <c r="BU385" i="1"/>
  <c r="BU381" i="1"/>
  <c r="BP382" i="1"/>
  <c r="BP377" i="1"/>
  <c r="S377" i="1" s="1"/>
  <c r="T377" i="1" s="1"/>
  <c r="BU376" i="1"/>
  <c r="BU373" i="1"/>
  <c r="BP375" i="1"/>
  <c r="BP370" i="1"/>
  <c r="BP363" i="1"/>
  <c r="S363" i="1" s="1"/>
  <c r="T363" i="1" s="1"/>
  <c r="BP360" i="1"/>
  <c r="BU359" i="1"/>
  <c r="BP353" i="1"/>
  <c r="S353" i="1" s="1"/>
  <c r="T353" i="1" s="1"/>
  <c r="BP356" i="1"/>
  <c r="BP350" i="1"/>
  <c r="BU345" i="1"/>
  <c r="BP344" i="1"/>
  <c r="S344" i="1" s="1"/>
  <c r="T344" i="1" s="1"/>
  <c r="BP347" i="1"/>
  <c r="BP343" i="1"/>
  <c r="BP339" i="1"/>
  <c r="BP338" i="1"/>
  <c r="BP336" i="1"/>
  <c r="BP327" i="1"/>
  <c r="S327" i="1" s="1"/>
  <c r="T327" i="1" s="1"/>
  <c r="BP324" i="1"/>
  <c r="S324" i="1" s="1"/>
  <c r="T324" i="1" s="1"/>
  <c r="BP325" i="1"/>
  <c r="BP317" i="1"/>
  <c r="BU318" i="1"/>
  <c r="BU61" i="1"/>
  <c r="BP25" i="1"/>
  <c r="BU380" i="1"/>
  <c r="BP384" i="1"/>
  <c r="S384" i="1" s="1"/>
  <c r="T384" i="1" s="1"/>
  <c r="BP371" i="1"/>
  <c r="BP367" i="1"/>
  <c r="BP352" i="1"/>
  <c r="BP345" i="1"/>
  <c r="BP337" i="1"/>
  <c r="S337" i="1" s="1"/>
  <c r="T337" i="1" s="1"/>
  <c r="BU336" i="1"/>
  <c r="BP330" i="1"/>
  <c r="BU323" i="1"/>
  <c r="BP314" i="1"/>
  <c r="BP312" i="1"/>
  <c r="BP313" i="1"/>
  <c r="BU304" i="1"/>
  <c r="BP300" i="1"/>
  <c r="S300" i="1" s="1"/>
  <c r="T300" i="1" s="1"/>
  <c r="BU296" i="1"/>
  <c r="BP237" i="1"/>
  <c r="BP282" i="1"/>
  <c r="S282" i="1" s="1"/>
  <c r="T282" i="1" s="1"/>
  <c r="BU17" i="1"/>
  <c r="BP89" i="1"/>
  <c r="BU236" i="1"/>
  <c r="BU147" i="1"/>
  <c r="BU84" i="1"/>
  <c r="BP194" i="1"/>
  <c r="BP178" i="1"/>
  <c r="BP291" i="1"/>
  <c r="S291" i="1" s="1"/>
  <c r="T291" i="1" s="1"/>
  <c r="BU178" i="1"/>
  <c r="BP23" i="1"/>
  <c r="BP58" i="1"/>
  <c r="BP52" i="1"/>
  <c r="BP262" i="1"/>
  <c r="BU207" i="1"/>
  <c r="BP153" i="1"/>
  <c r="BP255" i="1"/>
  <c r="S255" i="1" s="1"/>
  <c r="T255" i="1" s="1"/>
  <c r="BP64" i="1"/>
  <c r="S64" i="1" s="1"/>
  <c r="T64" i="1" s="1"/>
  <c r="BU224" i="1"/>
  <c r="BP295" i="1"/>
  <c r="BP207" i="1"/>
  <c r="BP270" i="1"/>
  <c r="BP389" i="1"/>
  <c r="BP385" i="1"/>
  <c r="BP378" i="1"/>
  <c r="BP369" i="1"/>
  <c r="S369" i="1" s="1"/>
  <c r="T369" i="1" s="1"/>
  <c r="BP361" i="1"/>
  <c r="BP354" i="1"/>
  <c r="BP351" i="1"/>
  <c r="BP341" i="1"/>
  <c r="S341" i="1" s="1"/>
  <c r="T341" i="1" s="1"/>
  <c r="BU339" i="1"/>
  <c r="BP328" i="1"/>
  <c r="BU322" i="1"/>
  <c r="BP316" i="1"/>
  <c r="S316" i="1" s="1"/>
  <c r="T316" i="1" s="1"/>
  <c r="BP315" i="1"/>
  <c r="BP311" i="1"/>
  <c r="BU312" i="1"/>
  <c r="BP305" i="1"/>
  <c r="BP298" i="1"/>
  <c r="BP297" i="1"/>
  <c r="BP226" i="1"/>
  <c r="BU177" i="1"/>
  <c r="BP120" i="1"/>
  <c r="BP11" i="1"/>
  <c r="S11" i="1" s="1"/>
  <c r="T11" i="1" s="1"/>
  <c r="BP217" i="1"/>
  <c r="BP12" i="1"/>
  <c r="S12" i="1" s="1"/>
  <c r="T12" i="1" s="1"/>
  <c r="BP227" i="1"/>
  <c r="S227" i="1" s="1"/>
  <c r="T227" i="1" s="1"/>
  <c r="BP46" i="1"/>
  <c r="BU16" i="1"/>
  <c r="BP272" i="1"/>
  <c r="BP33" i="1"/>
  <c r="BP55" i="1"/>
  <c r="BU226" i="1"/>
  <c r="BP66" i="1"/>
  <c r="BP131" i="1"/>
  <c r="BP273" i="1"/>
  <c r="S273" i="1" s="1"/>
  <c r="T273" i="1" s="1"/>
  <c r="BP260" i="1"/>
  <c r="BU293" i="1"/>
  <c r="BU149" i="1"/>
  <c r="BP168" i="1"/>
  <c r="BP65" i="1"/>
  <c r="BU122" i="1"/>
  <c r="BU287" i="1"/>
  <c r="BP393" i="1"/>
  <c r="S393" i="1" s="1"/>
  <c r="T393" i="1" s="1"/>
  <c r="BP380" i="1"/>
  <c r="BP362" i="1"/>
  <c r="BP359" i="1"/>
  <c r="BU354" i="1"/>
  <c r="BP349" i="1"/>
  <c r="S349" i="1" s="1"/>
  <c r="T349" i="1" s="1"/>
  <c r="BP342" i="1"/>
  <c r="S342" i="1" s="1"/>
  <c r="T342" i="1" s="1"/>
  <c r="BP335" i="1"/>
  <c r="S335" i="1" s="1"/>
  <c r="T335" i="1" s="1"/>
  <c r="BP333" i="1"/>
  <c r="BU328" i="1"/>
  <c r="BU325" i="1"/>
  <c r="BP320" i="1"/>
  <c r="BU315" i="1"/>
  <c r="BP309" i="1"/>
  <c r="BP310" i="1"/>
  <c r="S310" i="1" s="1"/>
  <c r="T310" i="1" s="1"/>
  <c r="BP307" i="1"/>
  <c r="S307" i="1" s="1"/>
  <c r="T307" i="1" s="1"/>
  <c r="BP304" i="1"/>
  <c r="BP299" i="1"/>
  <c r="BP301" i="1"/>
  <c r="BP302" i="1"/>
  <c r="BU297" i="1"/>
  <c r="BP253" i="1"/>
  <c r="BU286" i="1"/>
  <c r="BP6" i="1"/>
  <c r="BU155" i="1"/>
  <c r="BU36" i="1"/>
  <c r="BP49" i="1"/>
  <c r="S49" i="1" s="1"/>
  <c r="T49" i="1" s="1"/>
  <c r="BP69" i="1"/>
  <c r="BU258" i="1"/>
  <c r="BP72" i="1"/>
  <c r="S72" i="1" s="1"/>
  <c r="T72" i="1" s="1"/>
  <c r="BP169" i="1"/>
  <c r="BP115" i="1"/>
  <c r="BP87" i="1"/>
  <c r="BP28" i="1"/>
  <c r="BP201" i="1"/>
  <c r="S201" i="1" s="1"/>
  <c r="T201" i="1" s="1"/>
  <c r="BU91" i="1"/>
  <c r="BP261" i="1"/>
  <c r="BP74" i="1"/>
  <c r="BP103" i="1"/>
  <c r="BU285" i="1"/>
  <c r="BP210" i="1"/>
  <c r="S210" i="1" s="1"/>
  <c r="T210" i="1" s="1"/>
  <c r="BU166" i="1"/>
  <c r="BP387" i="1"/>
  <c r="BU383" i="1"/>
  <c r="BP372" i="1"/>
  <c r="BU366" i="1"/>
  <c r="BP358" i="1"/>
  <c r="BU352" i="1"/>
  <c r="BP346" i="1"/>
  <c r="BP334" i="1"/>
  <c r="BP329" i="1"/>
  <c r="S329" i="1" s="1"/>
  <c r="T329" i="1" s="1"/>
  <c r="BP323" i="1"/>
  <c r="BP321" i="1"/>
  <c r="BU314" i="1"/>
  <c r="BP308" i="1"/>
  <c r="BU311" i="1"/>
  <c r="BP306" i="1"/>
  <c r="BU298" i="1"/>
  <c r="BP303" i="1"/>
  <c r="S303" i="1" s="1"/>
  <c r="T303" i="1" s="1"/>
  <c r="BP296" i="1"/>
  <c r="BP144" i="1"/>
  <c r="S144" i="1" s="1"/>
  <c r="T144" i="1" s="1"/>
  <c r="BP257" i="1"/>
  <c r="BU96" i="1"/>
  <c r="BP240" i="1"/>
  <c r="S240" i="1" s="1"/>
  <c r="T240" i="1" s="1"/>
  <c r="BP79" i="1"/>
  <c r="BP83" i="1"/>
  <c r="BU169" i="1"/>
  <c r="BU260" i="1"/>
  <c r="BU125" i="1"/>
  <c r="BP250" i="1"/>
  <c r="S250" i="1" s="1"/>
  <c r="T250" i="1" s="1"/>
  <c r="BP235" i="1"/>
  <c r="S235" i="1" s="1"/>
  <c r="T235" i="1" s="1"/>
  <c r="BP220" i="1"/>
  <c r="BU44" i="1"/>
  <c r="BP109" i="1"/>
  <c r="BP181" i="1"/>
  <c r="BU128" i="1"/>
  <c r="BU70" i="1"/>
  <c r="BP10" i="1"/>
  <c r="BP8" i="1"/>
  <c r="S8" i="1" s="1"/>
  <c r="T8" i="1" s="1"/>
  <c r="BU85" i="1"/>
  <c r="AU251" i="1"/>
  <c r="AW251" i="1" s="1"/>
  <c r="AU368" i="1"/>
  <c r="AW368" i="1" s="1"/>
  <c r="AU374" i="1"/>
  <c r="AW374" i="1" s="1"/>
  <c r="AH64" i="1"/>
  <c r="AU356" i="1"/>
  <c r="AW356" i="1" s="1"/>
  <c r="AH41" i="1"/>
  <c r="AU392" i="1"/>
  <c r="AW392" i="1" s="1"/>
  <c r="AU364" i="1"/>
  <c r="BW278" i="1"/>
  <c r="AG278" i="1" s="1"/>
  <c r="AU275" i="1"/>
  <c r="AW275" i="1" s="1"/>
  <c r="BT375" i="1"/>
  <c r="AU332" i="1"/>
  <c r="AW332" i="1" s="1"/>
  <c r="AH12" i="1"/>
  <c r="AH28" i="1"/>
  <c r="AH61" i="1"/>
  <c r="BW201" i="1"/>
  <c r="AU372" i="1"/>
  <c r="AW372" i="1" s="1"/>
  <c r="AU376" i="1"/>
  <c r="CP376" i="1" s="1"/>
  <c r="AF376" i="1" s="1"/>
  <c r="AU258" i="1"/>
  <c r="AW258" i="1" s="1"/>
  <c r="AU358" i="1"/>
  <c r="AW358" i="1" s="1"/>
  <c r="AU295" i="1"/>
  <c r="AW295" i="1" s="1"/>
  <c r="AU269" i="1"/>
  <c r="CP269" i="1" s="1"/>
  <c r="CU269" i="1" s="1"/>
  <c r="AU325" i="1"/>
  <c r="AW325" i="1" s="1"/>
  <c r="BW245" i="1"/>
  <c r="AH180" i="1"/>
  <c r="AH156" i="1"/>
  <c r="BT394" i="1"/>
  <c r="AH328" i="1"/>
  <c r="AH144" i="1"/>
  <c r="AH257" i="1"/>
  <c r="AH344" i="1"/>
  <c r="BO265" i="1"/>
  <c r="BO393" i="1"/>
  <c r="Q393" i="1" s="1"/>
  <c r="BO394" i="1"/>
  <c r="BO390" i="1"/>
  <c r="BT390" i="1"/>
  <c r="BO392" i="1"/>
  <c r="BO391" i="1"/>
  <c r="BO389" i="1"/>
  <c r="BT389" i="1"/>
  <c r="BX389" i="1" s="1"/>
  <c r="BT391" i="1"/>
  <c r="BT392" i="1"/>
  <c r="BT387" i="1"/>
  <c r="BT388" i="1"/>
  <c r="BO388" i="1"/>
  <c r="BO387" i="1"/>
  <c r="BO386" i="1"/>
  <c r="BO385" i="1"/>
  <c r="BT385" i="1"/>
  <c r="BT382" i="1"/>
  <c r="BO382" i="1"/>
  <c r="BO384" i="1"/>
  <c r="Q384" i="1" s="1"/>
  <c r="BT383" i="1"/>
  <c r="BO383" i="1"/>
  <c r="BO381" i="1"/>
  <c r="BT381" i="1"/>
  <c r="BO379" i="1"/>
  <c r="BT380" i="1"/>
  <c r="BT379" i="1"/>
  <c r="BO380" i="1"/>
  <c r="BO377" i="1"/>
  <c r="BO378" i="1"/>
  <c r="BT378" i="1"/>
  <c r="BO376" i="1"/>
  <c r="BT376" i="1"/>
  <c r="BO375" i="1"/>
  <c r="BO374" i="1"/>
  <c r="BT374" i="1"/>
  <c r="BO373" i="1"/>
  <c r="BO370" i="1"/>
  <c r="BO371" i="1"/>
  <c r="BO372" i="1"/>
  <c r="BT373" i="1"/>
  <c r="BT371" i="1"/>
  <c r="BT370" i="1"/>
  <c r="BT372" i="1"/>
  <c r="BO369" i="1"/>
  <c r="BO368" i="1"/>
  <c r="BT368" i="1"/>
  <c r="BO363" i="1"/>
  <c r="BT362" i="1"/>
  <c r="BO362" i="1"/>
  <c r="BO364" i="1"/>
  <c r="BO366" i="1"/>
  <c r="BT366" i="1"/>
  <c r="BO365" i="1"/>
  <c r="BO367" i="1"/>
  <c r="BO360" i="1"/>
  <c r="BT360" i="1"/>
  <c r="BO361" i="1"/>
  <c r="BT367" i="1"/>
  <c r="BO358" i="1"/>
  <c r="BO359" i="1"/>
  <c r="BO357" i="1"/>
  <c r="BT359" i="1"/>
  <c r="BT358" i="1"/>
  <c r="BO356" i="1"/>
  <c r="BO355" i="1"/>
  <c r="BT355" i="1"/>
  <c r="BO354" i="1"/>
  <c r="BO353" i="1"/>
  <c r="BO352" i="1"/>
  <c r="BT354" i="1"/>
  <c r="BT352" i="1"/>
  <c r="BX423" i="1"/>
  <c r="CY163" i="1"/>
  <c r="CY337" i="1"/>
  <c r="CY278" i="1"/>
  <c r="CY291" i="1"/>
  <c r="CY130" i="1"/>
  <c r="CY356" i="1"/>
  <c r="CX153" i="1"/>
  <c r="CY349" i="1"/>
  <c r="CY18" i="1"/>
  <c r="CX135" i="1"/>
  <c r="CY203" i="1"/>
  <c r="CY313" i="1"/>
  <c r="CX313" i="1"/>
  <c r="CX398" i="1"/>
  <c r="CY135" i="1"/>
  <c r="CY329" i="1"/>
  <c r="CX358" i="1"/>
  <c r="CX385" i="1"/>
  <c r="CY324" i="1"/>
  <c r="CY353" i="1"/>
  <c r="CQ239" i="1" l="1"/>
  <c r="CV239" i="1" s="1"/>
  <c r="CQ269" i="1"/>
  <c r="CV269" i="1" s="1"/>
  <c r="CT269" i="1"/>
  <c r="BH239" i="1"/>
  <c r="BH376" i="1"/>
  <c r="BH269" i="1"/>
  <c r="Z201" i="1"/>
  <c r="AG201" i="1"/>
  <c r="S218" i="1"/>
  <c r="Z18" i="1"/>
  <c r="Z167" i="1"/>
  <c r="U167" i="1"/>
  <c r="U370" i="1"/>
  <c r="Z370" i="1"/>
  <c r="U341" i="1"/>
  <c r="Z341" i="1"/>
  <c r="U300" i="1"/>
  <c r="Z300" i="1"/>
  <c r="U365" i="1"/>
  <c r="Z365" i="1"/>
  <c r="Z245" i="1"/>
  <c r="Z278" i="1"/>
  <c r="U250" i="1"/>
  <c r="Z250" i="1"/>
  <c r="U310" i="1"/>
  <c r="Z310" i="1"/>
  <c r="CX333" i="1"/>
  <c r="U333" i="1"/>
  <c r="CX265" i="1"/>
  <c r="U265" i="1"/>
  <c r="U163" i="1"/>
  <c r="CX351" i="1"/>
  <c r="U351" i="1"/>
  <c r="CX364" i="1"/>
  <c r="U364" i="1"/>
  <c r="CX381" i="1"/>
  <c r="U381" i="1"/>
  <c r="U313" i="1"/>
  <c r="CX321" i="1"/>
  <c r="U321" i="1"/>
  <c r="CX274" i="1"/>
  <c r="U274" i="1"/>
  <c r="U11" i="1"/>
  <c r="CX198" i="1"/>
  <c r="U198" i="1"/>
  <c r="U123" i="1"/>
  <c r="CX146" i="1"/>
  <c r="U146" i="1"/>
  <c r="CX359" i="1"/>
  <c r="U359" i="1"/>
  <c r="CX372" i="1"/>
  <c r="U372" i="1"/>
  <c r="CX371" i="1"/>
  <c r="U371" i="1"/>
  <c r="U203" i="1"/>
  <c r="CX190" i="1"/>
  <c r="U190" i="1"/>
  <c r="CX46" i="1"/>
  <c r="U46" i="1"/>
  <c r="CX296" i="1"/>
  <c r="U296" i="1"/>
  <c r="U106" i="1"/>
  <c r="U18" i="1"/>
  <c r="CX162" i="1"/>
  <c r="U162" i="1"/>
  <c r="CX259" i="1"/>
  <c r="U259" i="1"/>
  <c r="CX326" i="1"/>
  <c r="U326" i="1"/>
  <c r="CX219" i="1"/>
  <c r="U219" i="1"/>
  <c r="U245" i="1"/>
  <c r="CX67" i="1"/>
  <c r="U67" i="1"/>
  <c r="U278" i="1"/>
  <c r="CX362" i="1"/>
  <c r="U362" i="1"/>
  <c r="U243" i="1"/>
  <c r="CX110" i="1"/>
  <c r="U110" i="1"/>
  <c r="U358" i="1"/>
  <c r="CX392" i="1"/>
  <c r="U392" i="1"/>
  <c r="CX216" i="1"/>
  <c r="U216" i="1"/>
  <c r="U107" i="1"/>
  <c r="U325" i="1"/>
  <c r="U121" i="1"/>
  <c r="U138" i="1"/>
  <c r="CX331" i="1"/>
  <c r="U331" i="1"/>
  <c r="CX340" i="1"/>
  <c r="U340" i="1"/>
  <c r="U349" i="1"/>
  <c r="U335" i="1"/>
  <c r="CX387" i="1"/>
  <c r="U387" i="1"/>
  <c r="CX332" i="1"/>
  <c r="U332" i="1"/>
  <c r="CX268" i="1"/>
  <c r="U268" i="1"/>
  <c r="U235" i="1"/>
  <c r="CX128" i="1"/>
  <c r="U128" i="1"/>
  <c r="U353" i="1"/>
  <c r="CX293" i="1"/>
  <c r="U293" i="1"/>
  <c r="CX159" i="1"/>
  <c r="U159" i="1"/>
  <c r="U311" i="1"/>
  <c r="U350" i="1"/>
  <c r="AH192" i="1"/>
  <c r="U192" i="1"/>
  <c r="U54" i="1"/>
  <c r="CX292" i="1"/>
  <c r="U292" i="1"/>
  <c r="U130" i="1"/>
  <c r="U275" i="1"/>
  <c r="U132" i="1"/>
  <c r="U14" i="1"/>
  <c r="U201" i="1"/>
  <c r="U154" i="1"/>
  <c r="CX157" i="1"/>
  <c r="U157" i="1"/>
  <c r="CX149" i="1"/>
  <c r="U149" i="1"/>
  <c r="CX231" i="1"/>
  <c r="U231" i="1"/>
  <c r="U291" i="1"/>
  <c r="CX375" i="1"/>
  <c r="U375" i="1"/>
  <c r="CX347" i="1"/>
  <c r="U347" i="1"/>
  <c r="U356" i="1"/>
  <c r="U194" i="1"/>
  <c r="CX258" i="1"/>
  <c r="U258" i="1"/>
  <c r="CX199" i="1"/>
  <c r="U199" i="1"/>
  <c r="U7" i="1"/>
  <c r="CX289" i="1"/>
  <c r="U289" i="1"/>
  <c r="CX134" i="1"/>
  <c r="U134" i="1"/>
  <c r="U380" i="1"/>
  <c r="CX221" i="1"/>
  <c r="U221" i="1"/>
  <c r="U334" i="1"/>
  <c r="CX118" i="1"/>
  <c r="U118" i="1"/>
  <c r="CX222" i="1"/>
  <c r="U222" i="1"/>
  <c r="U217" i="1"/>
  <c r="CX50" i="1"/>
  <c r="U50" i="1"/>
  <c r="U327" i="1"/>
  <c r="U251" i="1"/>
  <c r="CX151" i="1"/>
  <c r="U151" i="1"/>
  <c r="CX195" i="1"/>
  <c r="U195" i="1"/>
  <c r="U108" i="1"/>
  <c r="CX379" i="1"/>
  <c r="U379" i="1"/>
  <c r="CX318" i="1"/>
  <c r="U318" i="1"/>
  <c r="CX125" i="1"/>
  <c r="U125" i="1"/>
  <c r="U263" i="1"/>
  <c r="CX249" i="1"/>
  <c r="U249" i="1"/>
  <c r="U280" i="1"/>
  <c r="AH336" i="1"/>
  <c r="U336" i="1"/>
  <c r="U141" i="1"/>
  <c r="U305" i="1"/>
  <c r="U59" i="1"/>
  <c r="U386" i="1"/>
  <c r="CX366" i="1"/>
  <c r="U366" i="1"/>
  <c r="CX30" i="1"/>
  <c r="U30" i="1"/>
  <c r="U368" i="1"/>
  <c r="CX295" i="1"/>
  <c r="U295" i="1"/>
  <c r="CX35" i="1"/>
  <c r="U35" i="1"/>
  <c r="CX323" i="1"/>
  <c r="U323" i="1"/>
  <c r="CX374" i="1"/>
  <c r="U374" i="1"/>
  <c r="CX315" i="1"/>
  <c r="U315" i="1"/>
  <c r="CX330" i="1"/>
  <c r="U330" i="1"/>
  <c r="U188" i="1"/>
  <c r="U337" i="1"/>
  <c r="CX304" i="1"/>
  <c r="U304" i="1"/>
  <c r="CX176" i="1"/>
  <c r="U176" i="1"/>
  <c r="AH255" i="1"/>
  <c r="U255" i="1"/>
  <c r="AH230" i="1"/>
  <c r="U230" i="1"/>
  <c r="AH357" i="1"/>
  <c r="U357" i="1"/>
  <c r="U227" i="1"/>
  <c r="CX6" i="1"/>
  <c r="U6" i="1"/>
  <c r="CX348" i="1"/>
  <c r="U348" i="1"/>
  <c r="CX147" i="1"/>
  <c r="U147" i="1"/>
  <c r="U329" i="1"/>
  <c r="U135" i="1"/>
  <c r="CX299" i="1"/>
  <c r="U299" i="1"/>
  <c r="U369" i="1"/>
  <c r="U324" i="1"/>
  <c r="CX346" i="1"/>
  <c r="U346" i="1"/>
  <c r="CX343" i="1"/>
  <c r="U343" i="1"/>
  <c r="CX302" i="1"/>
  <c r="U302" i="1"/>
  <c r="AH240" i="1"/>
  <c r="U240" i="1"/>
  <c r="AH204" i="1"/>
  <c r="U204" i="1"/>
  <c r="U183" i="1"/>
  <c r="U377" i="1"/>
  <c r="AH78" i="1"/>
  <c r="U78" i="1"/>
  <c r="AH392" i="1"/>
  <c r="AH258" i="1"/>
  <c r="AH35" i="1"/>
  <c r="Z239" i="1"/>
  <c r="AW239" i="1"/>
  <c r="AW364" i="1"/>
  <c r="BT364" i="1" s="1"/>
  <c r="Z376" i="1"/>
  <c r="AW376" i="1"/>
  <c r="AW269" i="1"/>
  <c r="AA421" i="1"/>
  <c r="V416" i="1"/>
  <c r="AJ416" i="1" s="1"/>
  <c r="CX251" i="1"/>
  <c r="CY335" i="1"/>
  <c r="CX356" i="1"/>
  <c r="CY217" i="1"/>
  <c r="CX368" i="1"/>
  <c r="CY7" i="1"/>
  <c r="CY358" i="1"/>
  <c r="BY418" i="1"/>
  <c r="CY167" i="1"/>
  <c r="CY243" i="1"/>
  <c r="CY245" i="1"/>
  <c r="CY194" i="1"/>
  <c r="CY327" i="1"/>
  <c r="CY108" i="1"/>
  <c r="CY368" i="1"/>
  <c r="CY369" i="1"/>
  <c r="CY263" i="1"/>
  <c r="BX418" i="1"/>
  <c r="V418" i="1" l="1"/>
  <c r="AJ418" i="1" s="1"/>
  <c r="AK418" i="1" s="1"/>
  <c r="AA418" i="1"/>
  <c r="Y418" i="1" s="1"/>
  <c r="CX239" i="1"/>
  <c r="U239" i="1"/>
  <c r="U376" i="1"/>
  <c r="AH167" i="1"/>
  <c r="AK416" i="1"/>
  <c r="Y419" i="1"/>
  <c r="Y421" i="1"/>
  <c r="Y424" i="1"/>
  <c r="Y423" i="1"/>
  <c r="Y420" i="1"/>
  <c r="Y422" i="1"/>
  <c r="Y414" i="1"/>
  <c r="Y417" i="1"/>
  <c r="Y415" i="1"/>
  <c r="AX408" i="1"/>
  <c r="CY251" i="1"/>
  <c r="CY235" i="1"/>
  <c r="AX413" i="1"/>
  <c r="CY376" i="1"/>
  <c r="AY413" i="1" l="1"/>
  <c r="S148" i="1"/>
  <c r="T148" i="1" s="1"/>
  <c r="AH305" i="1"/>
  <c r="AY408" i="1"/>
  <c r="S347" i="1"/>
  <c r="T347" i="1" s="1"/>
  <c r="BY416" i="1"/>
  <c r="CY188" i="1"/>
  <c r="CY183" i="1"/>
  <c r="BX410" i="1"/>
  <c r="CX423" i="1"/>
  <c r="V423" i="1" l="1"/>
  <c r="AJ423" i="1" s="1"/>
  <c r="AK423" i="1" s="1"/>
  <c r="AA416" i="1"/>
  <c r="Y416" i="1" s="1"/>
  <c r="S29" i="1"/>
  <c r="T29" i="1" s="1"/>
  <c r="S53" i="1"/>
  <c r="T53" i="1" s="1"/>
  <c r="AD413" i="1"/>
  <c r="AE413" i="1" s="1"/>
  <c r="S180" i="1"/>
  <c r="T180" i="1" s="1"/>
  <c r="AD412" i="1"/>
  <c r="AE412" i="1" s="1"/>
  <c r="S86" i="1"/>
  <c r="T86" i="1" s="1"/>
  <c r="S221" i="1"/>
  <c r="T221" i="1" s="1"/>
  <c r="Q412" i="1"/>
  <c r="Q413" i="1"/>
  <c r="BX412" i="1"/>
  <c r="AB412" i="1"/>
  <c r="AA413" i="1"/>
  <c r="W413" i="1"/>
  <c r="W412" i="1"/>
  <c r="BX413" i="1"/>
  <c r="V413" i="1" s="1"/>
  <c r="AB413" i="1"/>
  <c r="Q408" i="1"/>
  <c r="Q411" i="1"/>
  <c r="AD410" i="1"/>
  <c r="AE410" i="1" s="1"/>
  <c r="S408" i="1"/>
  <c r="T408" i="1" s="1"/>
  <c r="Y413" i="1" l="1"/>
  <c r="AB409" i="1"/>
  <c r="W409" i="1"/>
  <c r="AI409" i="1" s="1"/>
  <c r="AD409" i="1"/>
  <c r="AE409" i="1" s="1"/>
  <c r="BX411" i="1"/>
  <c r="AB411" i="1"/>
  <c r="W408" i="1"/>
  <c r="AA408" i="1"/>
  <c r="AD411" i="1"/>
  <c r="AE411" i="1" s="1"/>
  <c r="AD408" i="1"/>
  <c r="AE408" i="1" s="1"/>
  <c r="BX408" i="1"/>
  <c r="V408" i="1" s="1"/>
  <c r="AB408" i="1"/>
  <c r="W410" i="1"/>
  <c r="AI410" i="1" s="1"/>
  <c r="AB410" i="1"/>
  <c r="S411" i="1"/>
  <c r="T411" i="1" s="1"/>
  <c r="W411" i="1"/>
  <c r="S133" i="1"/>
  <c r="T133" i="1" s="1"/>
  <c r="AD407" i="1"/>
  <c r="AE407" i="1" s="1"/>
  <c r="S406" i="1"/>
  <c r="T406" i="1" s="1"/>
  <c r="AD405" i="1"/>
  <c r="AE405" i="1" s="1"/>
  <c r="S407" i="1"/>
  <c r="T407" i="1" s="1"/>
  <c r="AD406" i="1"/>
  <c r="AE406" i="1" s="1"/>
  <c r="BX406" i="1"/>
  <c r="AB406" i="1"/>
  <c r="W406" i="1"/>
  <c r="W407" i="1"/>
  <c r="BX407" i="1"/>
  <c r="AB407" i="1"/>
  <c r="Q407" i="1"/>
  <c r="Q406" i="1"/>
  <c r="S405" i="1"/>
  <c r="T405" i="1" s="1"/>
  <c r="W405" i="1"/>
  <c r="Q405" i="1"/>
  <c r="BX405" i="1"/>
  <c r="AB405" i="1"/>
  <c r="Y408" i="1" l="1"/>
  <c r="AX407" i="1"/>
  <c r="AX405" i="1"/>
  <c r="BX402" i="1"/>
  <c r="AX406" i="1"/>
  <c r="AX396" i="1"/>
  <c r="AA405" i="1" l="1"/>
  <c r="Y405" i="1" s="1"/>
  <c r="AY405" i="1"/>
  <c r="V405" i="1" s="1"/>
  <c r="AY407" i="1"/>
  <c r="V407" i="1" s="1"/>
  <c r="AA407" i="1"/>
  <c r="Y407" i="1" s="1"/>
  <c r="AY406" i="1"/>
  <c r="V406" i="1" s="1"/>
  <c r="AA406" i="1"/>
  <c r="Y406" i="1" s="1"/>
  <c r="AY396" i="1"/>
  <c r="Q403" i="1"/>
  <c r="AD404" i="1"/>
  <c r="AE404" i="1" s="1"/>
  <c r="AD400" i="1"/>
  <c r="AE400" i="1" s="1"/>
  <c r="S402" i="1"/>
  <c r="T402" i="1" s="1"/>
  <c r="AD403" i="1"/>
  <c r="AE403" i="1" s="1"/>
  <c r="S403" i="1"/>
  <c r="T403" i="1" s="1"/>
  <c r="AD399" i="1"/>
  <c r="AE399" i="1" s="1"/>
  <c r="AD401" i="1"/>
  <c r="AE401" i="1" s="1"/>
  <c r="S399" i="1"/>
  <c r="T399" i="1" s="1"/>
  <c r="S400" i="1"/>
  <c r="T400" i="1" s="1"/>
  <c r="Q400" i="1"/>
  <c r="AD402" i="1"/>
  <c r="AE402" i="1" s="1"/>
  <c r="BX404" i="1"/>
  <c r="AB404" i="1"/>
  <c r="W403" i="1"/>
  <c r="W402" i="1"/>
  <c r="W404" i="1"/>
  <c r="AB402" i="1"/>
  <c r="Q404" i="1"/>
  <c r="BX403" i="1"/>
  <c r="AB403" i="1"/>
  <c r="W399" i="1"/>
  <c r="BX399" i="1"/>
  <c r="AB399" i="1"/>
  <c r="BX400" i="1"/>
  <c r="AB400" i="1"/>
  <c r="Q399" i="1"/>
  <c r="Q402" i="1"/>
  <c r="AB401" i="1"/>
  <c r="W401" i="1"/>
  <c r="W400" i="1"/>
  <c r="AH107" i="1"/>
  <c r="AD364" i="1"/>
  <c r="AE364" i="1" s="1"/>
  <c r="AD389" i="1"/>
  <c r="AE389" i="1" s="1"/>
  <c r="AD358" i="1"/>
  <c r="AE358" i="1" s="1"/>
  <c r="AD352" i="1"/>
  <c r="AE352" i="1" s="1"/>
  <c r="AD380" i="1"/>
  <c r="AE380" i="1" s="1"/>
  <c r="AD385" i="1"/>
  <c r="AE385" i="1" s="1"/>
  <c r="AD365" i="1"/>
  <c r="AE365" i="1" s="1"/>
  <c r="AD390" i="1"/>
  <c r="AE390" i="1" s="1"/>
  <c r="AD353" i="1"/>
  <c r="AE353" i="1" s="1"/>
  <c r="AD363" i="1"/>
  <c r="AE363" i="1" s="1"/>
  <c r="AD368" i="1"/>
  <c r="AE368" i="1" s="1"/>
  <c r="AD372" i="1"/>
  <c r="AE372" i="1" s="1"/>
  <c r="AD371" i="1"/>
  <c r="AE371" i="1" s="1"/>
  <c r="AD379" i="1"/>
  <c r="AE379" i="1" s="1"/>
  <c r="AD388" i="1"/>
  <c r="AE388" i="1" s="1"/>
  <c r="AD356" i="1"/>
  <c r="AE356" i="1" s="1"/>
  <c r="AD377" i="1"/>
  <c r="AE377" i="1" s="1"/>
  <c r="AD393" i="1"/>
  <c r="AE393" i="1" s="1"/>
  <c r="AD354" i="1"/>
  <c r="AE354" i="1" s="1"/>
  <c r="AD357" i="1"/>
  <c r="AE357" i="1" s="1"/>
  <c r="AD360" i="1"/>
  <c r="AE360" i="1" s="1"/>
  <c r="AD366" i="1"/>
  <c r="AE366" i="1" s="1"/>
  <c r="AD369" i="1"/>
  <c r="AE369" i="1" s="1"/>
  <c r="AD373" i="1"/>
  <c r="AE373" i="1" s="1"/>
  <c r="AD374" i="1"/>
  <c r="AE374" i="1" s="1"/>
  <c r="AD384" i="1"/>
  <c r="AE384" i="1" s="1"/>
  <c r="AD387" i="1"/>
  <c r="AE387" i="1" s="1"/>
  <c r="AD394" i="1"/>
  <c r="AE394" i="1" s="1"/>
  <c r="AD355" i="1"/>
  <c r="AE355" i="1" s="1"/>
  <c r="AD359" i="1"/>
  <c r="AE359" i="1" s="1"/>
  <c r="AD361" i="1"/>
  <c r="AE361" i="1" s="1"/>
  <c r="AD367" i="1"/>
  <c r="AE367" i="1" s="1"/>
  <c r="AD362" i="1"/>
  <c r="AE362" i="1" s="1"/>
  <c r="AD370" i="1"/>
  <c r="AE370" i="1" s="1"/>
  <c r="AD376" i="1"/>
  <c r="AE376" i="1" s="1"/>
  <c r="AD381" i="1"/>
  <c r="AE381" i="1" s="1"/>
  <c r="AD383" i="1"/>
  <c r="AE383" i="1" s="1"/>
  <c r="AD391" i="1"/>
  <c r="AE391" i="1" s="1"/>
  <c r="AD396" i="1"/>
  <c r="AE396" i="1" s="1"/>
  <c r="AD395" i="1"/>
  <c r="AE395" i="1" s="1"/>
  <c r="AD397" i="1"/>
  <c r="AE397" i="1" s="1"/>
  <c r="AD398" i="1"/>
  <c r="AE398" i="1" s="1"/>
  <c r="AD375" i="1"/>
  <c r="AE375" i="1" s="1"/>
  <c r="AD378" i="1"/>
  <c r="AE378" i="1" s="1"/>
  <c r="AD382" i="1"/>
  <c r="AE382" i="1" s="1"/>
  <c r="AD386" i="1"/>
  <c r="AE386" i="1" s="1"/>
  <c r="AD392" i="1"/>
  <c r="AE392" i="1" s="1"/>
  <c r="S398" i="1"/>
  <c r="T398" i="1" s="1"/>
  <c r="S396" i="1"/>
  <c r="T396" i="1" s="1"/>
  <c r="S395" i="1"/>
  <c r="T395" i="1" s="1"/>
  <c r="Q397" i="1"/>
  <c r="BX397" i="1"/>
  <c r="AB397" i="1"/>
  <c r="W398" i="1"/>
  <c r="AB398" i="1"/>
  <c r="BX398" i="1"/>
  <c r="Q398" i="1"/>
  <c r="W397" i="1"/>
  <c r="Q396" i="1"/>
  <c r="Q395" i="1"/>
  <c r="W395" i="1"/>
  <c r="W396" i="1"/>
  <c r="AA396" i="1"/>
  <c r="BX395" i="1"/>
  <c r="AB395" i="1"/>
  <c r="AH11" i="1"/>
  <c r="BX396" i="1"/>
  <c r="AB396" i="1"/>
  <c r="S134" i="1"/>
  <c r="T134" i="1" s="1"/>
  <c r="S321" i="1"/>
  <c r="T321" i="1" s="1"/>
  <c r="S81" i="1"/>
  <c r="T81" i="1" s="1"/>
  <c r="S249" i="1"/>
  <c r="T249" i="1" s="1"/>
  <c r="AH59" i="1"/>
  <c r="AH97" i="1"/>
  <c r="AH380" i="1"/>
  <c r="Q369" i="1"/>
  <c r="AH69" i="1"/>
  <c r="AH350" i="1"/>
  <c r="AH54" i="1"/>
  <c r="AH311" i="1"/>
  <c r="AH259" i="1"/>
  <c r="AH250" i="1"/>
  <c r="Q365" i="1"/>
  <c r="AH106" i="1"/>
  <c r="S305" i="1"/>
  <c r="T305" i="1" s="1"/>
  <c r="S375" i="1"/>
  <c r="T375" i="1" s="1"/>
  <c r="S281" i="1"/>
  <c r="T281" i="1" s="1"/>
  <c r="S186" i="1"/>
  <c r="T186" i="1" s="1"/>
  <c r="S348" i="1"/>
  <c r="T348" i="1" s="1"/>
  <c r="S193" i="1"/>
  <c r="T193" i="1" s="1"/>
  <c r="S228" i="1"/>
  <c r="T228" i="1" s="1"/>
  <c r="S66" i="1"/>
  <c r="T66" i="1" s="1"/>
  <c r="S361" i="1"/>
  <c r="T361" i="1" s="1"/>
  <c r="S308" i="1"/>
  <c r="T308" i="1" s="1"/>
  <c r="S200" i="1"/>
  <c r="T200" i="1" s="1"/>
  <c r="S257" i="1"/>
  <c r="T257" i="1" s="1"/>
  <c r="S93" i="1"/>
  <c r="T93" i="1" s="1"/>
  <c r="S129" i="1"/>
  <c r="T129" i="1" s="1"/>
  <c r="S205" i="1"/>
  <c r="T205" i="1" s="1"/>
  <c r="S46" i="1"/>
  <c r="T46" i="1" s="1"/>
  <c r="S351" i="1"/>
  <c r="T351" i="1" s="1"/>
  <c r="S103" i="1"/>
  <c r="T103" i="1" s="1"/>
  <c r="S272" i="1"/>
  <c r="T272" i="1" s="1"/>
  <c r="S389" i="1"/>
  <c r="T389" i="1" s="1"/>
  <c r="AH377" i="1"/>
  <c r="AX398" i="1"/>
  <c r="AX395" i="1"/>
  <c r="BY409" i="1"/>
  <c r="BY410" i="1"/>
  <c r="AX403" i="1"/>
  <c r="BY402" i="1"/>
  <c r="AX404" i="1"/>
  <c r="AX397" i="1"/>
  <c r="AX402" i="1"/>
  <c r="AX412" i="1"/>
  <c r="BX409" i="1"/>
  <c r="BY401" i="1"/>
  <c r="AX410" i="1"/>
  <c r="AX401" i="1"/>
  <c r="AX411" i="1"/>
  <c r="AX399" i="1"/>
  <c r="CX409" i="1"/>
  <c r="CG296" i="1"/>
  <c r="AX409" i="1"/>
  <c r="CG368" i="1"/>
  <c r="AX400" i="1"/>
  <c r="AI396" i="1" l="1"/>
  <c r="AA395" i="1"/>
  <c r="Y395" i="1" s="1"/>
  <c r="AY395" i="1"/>
  <c r="V395" i="1" s="1"/>
  <c r="AA403" i="1"/>
  <c r="Y403" i="1" s="1"/>
  <c r="AY403" i="1"/>
  <c r="V403" i="1" s="1"/>
  <c r="AY411" i="1"/>
  <c r="V411" i="1" s="1"/>
  <c r="AA411" i="1"/>
  <c r="Y411" i="1" s="1"/>
  <c r="AY410" i="1"/>
  <c r="AA398" i="1"/>
  <c r="Y398" i="1" s="1"/>
  <c r="AY398" i="1"/>
  <c r="V398" i="1" s="1"/>
  <c r="AY409" i="1"/>
  <c r="V409" i="1" s="1"/>
  <c r="AJ409" i="1" s="1"/>
  <c r="AK409" i="1" s="1"/>
  <c r="AA409" i="1"/>
  <c r="Y409" i="1" s="1"/>
  <c r="AY401" i="1"/>
  <c r="AY412" i="1"/>
  <c r="V412" i="1" s="1"/>
  <c r="AA412" i="1"/>
  <c r="Y412" i="1" s="1"/>
  <c r="AA410" i="1"/>
  <c r="Y410" i="1" s="1"/>
  <c r="AY399" i="1"/>
  <c r="V399" i="1" s="1"/>
  <c r="AA399" i="1"/>
  <c r="Y399" i="1" s="1"/>
  <c r="AY402" i="1"/>
  <c r="V402" i="1" s="1"/>
  <c r="AY400" i="1"/>
  <c r="V400" i="1" s="1"/>
  <c r="AA400" i="1"/>
  <c r="Y400" i="1" s="1"/>
  <c r="AA401" i="1"/>
  <c r="Y401" i="1" s="1"/>
  <c r="AA397" i="1"/>
  <c r="Y397" i="1" s="1"/>
  <c r="AY397" i="1"/>
  <c r="V397" i="1" s="1"/>
  <c r="AA404" i="1"/>
  <c r="Y404" i="1" s="1"/>
  <c r="AY404" i="1"/>
  <c r="V404" i="1" s="1"/>
  <c r="AA402" i="1"/>
  <c r="Y402" i="1" s="1"/>
  <c r="V396" i="1"/>
  <c r="AJ396" i="1" s="1"/>
  <c r="Y396" i="1"/>
  <c r="Z269" i="1"/>
  <c r="S102" i="1"/>
  <c r="T102" i="1" s="1"/>
  <c r="S55" i="1"/>
  <c r="T55" i="1" s="1"/>
  <c r="S345" i="1"/>
  <c r="T345" i="1" s="1"/>
  <c r="S174" i="1"/>
  <c r="T174" i="1" s="1"/>
  <c r="S140" i="1"/>
  <c r="T140" i="1" s="1"/>
  <c r="S137" i="1"/>
  <c r="T137" i="1" s="1"/>
  <c r="S161" i="1"/>
  <c r="T161" i="1" s="1"/>
  <c r="S304" i="1"/>
  <c r="T304" i="1" s="1"/>
  <c r="S34" i="1"/>
  <c r="T34" i="1" s="1"/>
  <c r="S220" i="1"/>
  <c r="T220" i="1" s="1"/>
  <c r="S360" i="1"/>
  <c r="T360" i="1" s="1"/>
  <c r="S13" i="1"/>
  <c r="T13" i="1" s="1"/>
  <c r="S28" i="1"/>
  <c r="T28" i="1" s="1"/>
  <c r="S338" i="1"/>
  <c r="T338" i="1" s="1"/>
  <c r="S370" i="1"/>
  <c r="T370" i="1" s="1"/>
  <c r="S132" i="1"/>
  <c r="T132" i="1" s="1"/>
  <c r="S31" i="1"/>
  <c r="T31" i="1" s="1"/>
  <c r="S110" i="1"/>
  <c r="T110" i="1" s="1"/>
  <c r="S187" i="1"/>
  <c r="T187" i="1" s="1"/>
  <c r="S23" i="1"/>
  <c r="T23" i="1" s="1"/>
  <c r="S312" i="1"/>
  <c r="T312" i="1" s="1"/>
  <c r="S76" i="1"/>
  <c r="T76" i="1" s="1"/>
  <c r="S77" i="1"/>
  <c r="T77" i="1" s="1"/>
  <c r="S288" i="1"/>
  <c r="T288" i="1" s="1"/>
  <c r="CX401" i="1"/>
  <c r="CH296" i="1"/>
  <c r="BX401" i="1"/>
  <c r="CX410" i="1"/>
  <c r="CH368" i="1"/>
  <c r="V410" i="1" l="1"/>
  <c r="AJ410" i="1" s="1"/>
  <c r="AK410" i="1" s="1"/>
  <c r="CX269" i="1"/>
  <c r="U269" i="1"/>
  <c r="AK396" i="1"/>
  <c r="S302" i="1"/>
  <c r="T302" i="1" s="1"/>
  <c r="S317" i="1"/>
  <c r="T317" i="1" s="1"/>
  <c r="S290" i="1"/>
  <c r="T290" i="1" s="1"/>
  <c r="AH353" i="1"/>
  <c r="S301" i="1"/>
  <c r="T301" i="1" s="1"/>
  <c r="S362" i="1"/>
  <c r="T362" i="1" s="1"/>
  <c r="S194" i="1"/>
  <c r="T194" i="1" s="1"/>
  <c r="S25" i="1"/>
  <c r="T25" i="1" s="1"/>
  <c r="S123" i="1"/>
  <c r="T123" i="1" s="1"/>
  <c r="S21" i="1"/>
  <c r="T21" i="1" s="1"/>
  <c r="S202" i="1"/>
  <c r="T202" i="1" s="1"/>
  <c r="S151" i="1"/>
  <c r="T151" i="1" s="1"/>
  <c r="S94" i="1"/>
  <c r="T94" i="1" s="1"/>
  <c r="S145" i="1"/>
  <c r="T145" i="1" s="1"/>
  <c r="S127" i="1"/>
  <c r="T127" i="1" s="1"/>
  <c r="S284" i="1"/>
  <c r="T284" i="1" s="1"/>
  <c r="S109" i="1"/>
  <c r="T109" i="1" s="1"/>
  <c r="S83" i="1"/>
  <c r="T83" i="1" s="1"/>
  <c r="S334" i="1"/>
  <c r="T334" i="1" s="1"/>
  <c r="S65" i="1"/>
  <c r="T65" i="1" s="1"/>
  <c r="S371" i="1"/>
  <c r="T371" i="1" s="1"/>
  <c r="S276" i="1"/>
  <c r="T276" i="1" s="1"/>
  <c r="S88" i="1"/>
  <c r="T88" i="1" s="1"/>
  <c r="S15" i="1"/>
  <c r="T15" i="1" s="1"/>
  <c r="S331" i="1"/>
  <c r="T331" i="1" s="1"/>
  <c r="S283" i="1"/>
  <c r="T283" i="1" s="1"/>
  <c r="S48" i="1"/>
  <c r="T48" i="1" s="1"/>
  <c r="S104" i="1"/>
  <c r="T104" i="1" s="1"/>
  <c r="S39" i="1"/>
  <c r="T39" i="1" s="1"/>
  <c r="S17" i="1"/>
  <c r="T17" i="1" s="1"/>
  <c r="S185" i="1"/>
  <c r="T185" i="1" s="1"/>
  <c r="S382" i="1"/>
  <c r="T382" i="1" s="1"/>
  <c r="S112" i="1"/>
  <c r="T112" i="1" s="1"/>
  <c r="S19" i="1"/>
  <c r="T19" i="1" s="1"/>
  <c r="S215" i="1"/>
  <c r="T215" i="1" s="1"/>
  <c r="S22" i="1"/>
  <c r="T22" i="1" s="1"/>
  <c r="S56" i="1"/>
  <c r="T56" i="1" s="1"/>
  <c r="S214" i="1"/>
  <c r="T214" i="1" s="1"/>
  <c r="S155" i="1"/>
  <c r="T155" i="1" s="1"/>
  <c r="S262" i="1"/>
  <c r="T262" i="1" s="1"/>
  <c r="S211" i="1"/>
  <c r="T211" i="1" s="1"/>
  <c r="S323" i="1"/>
  <c r="T323" i="1" s="1"/>
  <c r="S115" i="1"/>
  <c r="T115" i="1" s="1"/>
  <c r="S69" i="1"/>
  <c r="T69" i="1" s="1"/>
  <c r="S6" i="1"/>
  <c r="T6" i="1" s="1"/>
  <c r="S120" i="1"/>
  <c r="T120" i="1" s="1"/>
  <c r="S298" i="1"/>
  <c r="T298" i="1" s="1"/>
  <c r="S153" i="1"/>
  <c r="T153" i="1" s="1"/>
  <c r="S178" i="1"/>
  <c r="T178" i="1" s="1"/>
  <c r="S138" i="1"/>
  <c r="T138" i="1" s="1"/>
  <c r="S114" i="1"/>
  <c r="T114" i="1" s="1"/>
  <c r="S190" i="1"/>
  <c r="T190" i="1" s="1"/>
  <c r="S197" i="1"/>
  <c r="T197" i="1" s="1"/>
  <c r="S336" i="1"/>
  <c r="T336" i="1" s="1"/>
  <c r="S177" i="1"/>
  <c r="T177" i="1" s="1"/>
  <c r="S195" i="1"/>
  <c r="T195" i="1" s="1"/>
  <c r="S293" i="1"/>
  <c r="T293" i="1" s="1"/>
  <c r="S20" i="1"/>
  <c r="T20" i="1" s="1"/>
  <c r="S232" i="1"/>
  <c r="T232" i="1" s="1"/>
  <c r="S191" i="1"/>
  <c r="T191" i="1" s="1"/>
  <c r="S256" i="1"/>
  <c r="T256" i="1" s="1"/>
  <c r="S9" i="1"/>
  <c r="T9" i="1" s="1"/>
  <c r="S390" i="1"/>
  <c r="T390" i="1" s="1"/>
  <c r="S119" i="1"/>
  <c r="T119" i="1" s="1"/>
  <c r="S142" i="1"/>
  <c r="T142" i="1" s="1"/>
  <c r="S238" i="1"/>
  <c r="T238" i="1" s="1"/>
  <c r="S99" i="1"/>
  <c r="T99" i="1" s="1"/>
  <c r="S75" i="1"/>
  <c r="T75" i="1" s="1"/>
  <c r="S346" i="1"/>
  <c r="T346" i="1" s="1"/>
  <c r="S253" i="1"/>
  <c r="T253" i="1" s="1"/>
  <c r="S314" i="1"/>
  <c r="T314" i="1" s="1"/>
  <c r="S383" i="1"/>
  <c r="T383" i="1" s="1"/>
  <c r="S248" i="1"/>
  <c r="T248" i="1" s="1"/>
  <c r="S173" i="1"/>
  <c r="T173" i="1" s="1"/>
  <c r="S84" i="1"/>
  <c r="T84" i="1" s="1"/>
  <c r="S233" i="1"/>
  <c r="T233" i="1" s="1"/>
  <c r="S41" i="1"/>
  <c r="T41" i="1" s="1"/>
  <c r="S355" i="1"/>
  <c r="T355" i="1" s="1"/>
  <c r="S24" i="1"/>
  <c r="T24" i="1" s="1"/>
  <c r="S30" i="1"/>
  <c r="T30" i="1" s="1"/>
  <c r="S171" i="1"/>
  <c r="T171" i="1" s="1"/>
  <c r="S37" i="1"/>
  <c r="T37" i="1" s="1"/>
  <c r="S179" i="1"/>
  <c r="T179" i="1" s="1"/>
  <c r="S379" i="1"/>
  <c r="T379" i="1" s="1"/>
  <c r="S61" i="1"/>
  <c r="T61" i="1" s="1"/>
  <c r="S172" i="1"/>
  <c r="T172" i="1" s="1"/>
  <c r="S252" i="1"/>
  <c r="T252" i="1" s="1"/>
  <c r="S170" i="1"/>
  <c r="T170" i="1" s="1"/>
  <c r="S224" i="1"/>
  <c r="T224" i="1" s="1"/>
  <c r="S264" i="1"/>
  <c r="T264" i="1" s="1"/>
  <c r="S309" i="1"/>
  <c r="T309" i="1" s="1"/>
  <c r="S339" i="1"/>
  <c r="T339" i="1" s="1"/>
  <c r="S45" i="1"/>
  <c r="T45" i="1" s="1"/>
  <c r="S209" i="1"/>
  <c r="T209" i="1" s="1"/>
  <c r="S226" i="1"/>
  <c r="T226" i="1" s="1"/>
  <c r="S87" i="1"/>
  <c r="T87" i="1" s="1"/>
  <c r="S150" i="1"/>
  <c r="T150" i="1" s="1"/>
  <c r="S216" i="1"/>
  <c r="T216" i="1" s="1"/>
  <c r="S71" i="1"/>
  <c r="T71" i="1" s="1"/>
  <c r="S27" i="1"/>
  <c r="T27" i="1" s="1"/>
  <c r="S367" i="1"/>
  <c r="T367" i="1" s="1"/>
  <c r="S117" i="1"/>
  <c r="T117" i="1" s="1"/>
  <c r="S89" i="1"/>
  <c r="T89" i="1" s="1"/>
  <c r="S82" i="1"/>
  <c r="T82" i="1" s="1"/>
  <c r="S223" i="1"/>
  <c r="T223" i="1" s="1"/>
  <c r="S261" i="1"/>
  <c r="T261" i="1" s="1"/>
  <c r="S44" i="1"/>
  <c r="T44" i="1" s="1"/>
  <c r="S213" i="1"/>
  <c r="T213" i="1" s="1"/>
  <c r="S297" i="1"/>
  <c r="T297" i="1" s="1"/>
  <c r="S359" i="1"/>
  <c r="T359" i="1" s="1"/>
  <c r="S394" i="1"/>
  <c r="T394" i="1" s="1"/>
  <c r="S36" i="1"/>
  <c r="T36" i="1" s="1"/>
  <c r="S111" i="1"/>
  <c r="T111" i="1" s="1"/>
  <c r="S330" i="1"/>
  <c r="T330" i="1" s="1"/>
  <c r="S354" i="1"/>
  <c r="T354" i="1" s="1"/>
  <c r="S387" i="1"/>
  <c r="T387" i="1" s="1"/>
  <c r="S196" i="1"/>
  <c r="T196" i="1" s="1"/>
  <c r="S265" i="1"/>
  <c r="T265" i="1" s="1"/>
  <c r="S158" i="1"/>
  <c r="T158" i="1" s="1"/>
  <c r="S311" i="1"/>
  <c r="T311" i="1" s="1"/>
  <c r="S207" i="1"/>
  <c r="T207" i="1" s="1"/>
  <c r="S267" i="1"/>
  <c r="T267" i="1" s="1"/>
  <c r="S51" i="1"/>
  <c r="T51" i="1" s="1"/>
  <c r="S266" i="1"/>
  <c r="T266" i="1" s="1"/>
  <c r="S160" i="1"/>
  <c r="T160" i="1" s="1"/>
  <c r="S204" i="1"/>
  <c r="T204" i="1" s="1"/>
  <c r="S152" i="1"/>
  <c r="T152" i="1" s="1"/>
  <c r="S149" i="1"/>
  <c r="T149" i="1" s="1"/>
  <c r="S166" i="1"/>
  <c r="T166" i="1" s="1"/>
  <c r="S318" i="1"/>
  <c r="T318" i="1" s="1"/>
  <c r="S326" i="1"/>
  <c r="T326" i="1" s="1"/>
  <c r="S340" i="1"/>
  <c r="T340" i="1" s="1"/>
  <c r="S373" i="1"/>
  <c r="T373" i="1" s="1"/>
  <c r="S388" i="1"/>
  <c r="T388" i="1" s="1"/>
  <c r="S105" i="1"/>
  <c r="T105" i="1" s="1"/>
  <c r="S125" i="1"/>
  <c r="T125" i="1" s="1"/>
  <c r="S143" i="1"/>
  <c r="T143" i="1" s="1"/>
  <c r="S124" i="1"/>
  <c r="T124" i="1" s="1"/>
  <c r="S96" i="1"/>
  <c r="T96" i="1" s="1"/>
  <c r="S62" i="1"/>
  <c r="T62" i="1" s="1"/>
  <c r="S164" i="1"/>
  <c r="T164" i="1" s="1"/>
  <c r="S5" i="1"/>
  <c r="T5" i="1" s="1"/>
  <c r="S90" i="1"/>
  <c r="T90" i="1" s="1"/>
  <c r="S292" i="1"/>
  <c r="T292" i="1" s="1"/>
  <c r="S159" i="1"/>
  <c r="T159" i="1" s="1"/>
  <c r="S199" i="1"/>
  <c r="T199" i="1" s="1"/>
  <c r="S57" i="1"/>
  <c r="T57" i="1" s="1"/>
  <c r="T218" i="1"/>
  <c r="S189" i="1"/>
  <c r="T189" i="1" s="1"/>
  <c r="S306" i="1"/>
  <c r="T306" i="1" s="1"/>
  <c r="S98" i="1"/>
  <c r="T98" i="1" s="1"/>
  <c r="S241" i="1"/>
  <c r="T241" i="1" s="1"/>
  <c r="S260" i="1"/>
  <c r="T260" i="1" s="1"/>
  <c r="S296" i="1"/>
  <c r="T296" i="1" s="1"/>
  <c r="S315" i="1"/>
  <c r="T315" i="1" s="1"/>
  <c r="S332" i="1"/>
  <c r="T332" i="1" s="1"/>
  <c r="S385" i="1"/>
  <c r="T385" i="1" s="1"/>
  <c r="S237" i="1"/>
  <c r="T237" i="1" s="1"/>
  <c r="S352" i="1"/>
  <c r="T352" i="1" s="1"/>
  <c r="S16" i="1"/>
  <c r="T16" i="1" s="1"/>
  <c r="S286" i="1"/>
  <c r="T286" i="1" s="1"/>
  <c r="S287" i="1"/>
  <c r="T287" i="1" s="1"/>
  <c r="S70" i="1"/>
  <c r="T70" i="1" s="1"/>
  <c r="S244" i="1"/>
  <c r="T244" i="1" s="1"/>
  <c r="S319" i="1"/>
  <c r="T319" i="1" s="1"/>
  <c r="S366" i="1"/>
  <c r="T366" i="1" s="1"/>
  <c r="S391" i="1"/>
  <c r="T391" i="1" s="1"/>
  <c r="S128" i="1"/>
  <c r="T128" i="1" s="1"/>
  <c r="S63" i="1"/>
  <c r="T63" i="1" s="1"/>
  <c r="S236" i="1"/>
  <c r="T236" i="1" s="1"/>
  <c r="S381" i="1"/>
  <c r="T381" i="1" s="1"/>
  <c r="S147" i="1"/>
  <c r="T147" i="1" s="1"/>
  <c r="S95" i="1"/>
  <c r="T95" i="1" s="1"/>
  <c r="S118" i="1"/>
  <c r="T118" i="1" s="1"/>
  <c r="S40" i="1"/>
  <c r="T40" i="1" s="1"/>
  <c r="S67" i="1"/>
  <c r="T67" i="1" s="1"/>
  <c r="S246" i="1"/>
  <c r="T246" i="1" s="1"/>
  <c r="S101" i="1"/>
  <c r="T101" i="1" s="1"/>
  <c r="S247" i="1"/>
  <c r="T247" i="1" s="1"/>
  <c r="S33" i="1"/>
  <c r="T33" i="1" s="1"/>
  <c r="S254" i="1"/>
  <c r="T254" i="1" s="1"/>
  <c r="S219" i="1"/>
  <c r="T219" i="1" s="1"/>
  <c r="S368" i="1"/>
  <c r="T368" i="1" s="1"/>
  <c r="S277" i="1"/>
  <c r="T277" i="1" s="1"/>
  <c r="S376" i="1"/>
  <c r="T376" i="1" s="1"/>
  <c r="S184" i="1"/>
  <c r="T184" i="1" s="1"/>
  <c r="S325" i="1"/>
  <c r="T325" i="1" s="1"/>
  <c r="S169" i="1"/>
  <c r="T169" i="1" s="1"/>
  <c r="S322" i="1"/>
  <c r="T322" i="1" s="1"/>
  <c r="S358" i="1"/>
  <c r="T358" i="1" s="1"/>
  <c r="S289" i="1"/>
  <c r="T289" i="1" s="1"/>
  <c r="S295" i="1"/>
  <c r="T295" i="1" s="1"/>
  <c r="S217" i="1"/>
  <c r="T217" i="1" s="1"/>
  <c r="S162" i="1"/>
  <c r="T162" i="1" s="1"/>
  <c r="BU356" i="1"/>
  <c r="S356" i="1" s="1"/>
  <c r="T356" i="1" s="1"/>
  <c r="S313" i="1"/>
  <c r="T313" i="1" s="1"/>
  <c r="S299" i="1"/>
  <c r="T299" i="1" s="1"/>
  <c r="S380" i="1"/>
  <c r="T380" i="1" s="1"/>
  <c r="BU350" i="1"/>
  <c r="S350" i="1" s="1"/>
  <c r="T350" i="1" s="1"/>
  <c r="S43" i="1"/>
  <c r="T43" i="1" s="1"/>
  <c r="BU270" i="1"/>
  <c r="S270" i="1" s="1"/>
  <c r="T270" i="1" s="1"/>
  <c r="S231" i="1"/>
  <c r="T231" i="1" s="1"/>
  <c r="S251" i="1"/>
  <c r="T251" i="1" s="1"/>
  <c r="BU275" i="1"/>
  <c r="S275" i="1" s="1"/>
  <c r="T275" i="1" s="1"/>
  <c r="S222" i="1"/>
  <c r="T222" i="1" s="1"/>
  <c r="S343" i="1"/>
  <c r="T343" i="1" s="1"/>
  <c r="BU364" i="1"/>
  <c r="S364" i="1" s="1"/>
  <c r="T364" i="1" s="1"/>
  <c r="S372" i="1"/>
  <c r="T372" i="1" s="1"/>
  <c r="S374" i="1"/>
  <c r="T374" i="1" s="1"/>
  <c r="S258" i="1"/>
  <c r="T258" i="1" s="1"/>
  <c r="S320" i="1"/>
  <c r="T320" i="1" s="1"/>
  <c r="S280" i="1"/>
  <c r="T280" i="1" s="1"/>
  <c r="S181" i="1"/>
  <c r="T181" i="1" s="1"/>
  <c r="S328" i="1"/>
  <c r="T328" i="1" s="1"/>
  <c r="S392" i="1"/>
  <c r="T392" i="1" s="1"/>
  <c r="S141" i="1"/>
  <c r="T141" i="1" s="1"/>
  <c r="S176" i="1"/>
  <c r="T176" i="1" s="1"/>
  <c r="S135" i="1"/>
  <c r="T135" i="1" s="1"/>
  <c r="S131" i="1"/>
  <c r="T131" i="1" s="1"/>
  <c r="S206" i="1"/>
  <c r="T206" i="1" s="1"/>
  <c r="Q382" i="1"/>
  <c r="Q362" i="1"/>
  <c r="Q359" i="1"/>
  <c r="Q373" i="1"/>
  <c r="Q380" i="1"/>
  <c r="Q352" i="1"/>
  <c r="Q368" i="1"/>
  <c r="Q370" i="1"/>
  <c r="Q385" i="1"/>
  <c r="Q391" i="1"/>
  <c r="Q389" i="1"/>
  <c r="Q364" i="1"/>
  <c r="Q392" i="1"/>
  <c r="Q357" i="1"/>
  <c r="Q355" i="1"/>
  <c r="Q367" i="1"/>
  <c r="Q374" i="1"/>
  <c r="Q394" i="1"/>
  <c r="Q377" i="1"/>
  <c r="Q386" i="1"/>
  <c r="Q388" i="1"/>
  <c r="Q353" i="1"/>
  <c r="BT356" i="1"/>
  <c r="Q356" i="1" s="1"/>
  <c r="Q361" i="1"/>
  <c r="Q375" i="1"/>
  <c r="Q387" i="1"/>
  <c r="Q354" i="1"/>
  <c r="Q360" i="1"/>
  <c r="Q366" i="1"/>
  <c r="Q390" i="1"/>
  <c r="Q363" i="1"/>
  <c r="Q371" i="1"/>
  <c r="Q383" i="1"/>
  <c r="Q381" i="1"/>
  <c r="Q379" i="1"/>
  <c r="AH329" i="1"/>
  <c r="AH203" i="1"/>
  <c r="S269" i="1"/>
  <c r="T269" i="1" s="1"/>
  <c r="S239" i="1"/>
  <c r="T239" i="1" s="1"/>
  <c r="AH154" i="1"/>
  <c r="AH278" i="1"/>
  <c r="AH243" i="1"/>
  <c r="AH72" i="1"/>
  <c r="AH92" i="1"/>
  <c r="AH327" i="1"/>
  <c r="AH208" i="1"/>
  <c r="AH123" i="1"/>
  <c r="AH325" i="1"/>
  <c r="AH386" i="1"/>
  <c r="AH201" i="1"/>
  <c r="AH138" i="1"/>
  <c r="Q376" i="1"/>
  <c r="Q358" i="1"/>
  <c r="AH14" i="1"/>
  <c r="Q372" i="1"/>
  <c r="AH121" i="1"/>
  <c r="AX394" i="1"/>
  <c r="AX392" i="1"/>
  <c r="BY386" i="1"/>
  <c r="AX390" i="1"/>
  <c r="BX393" i="1"/>
  <c r="AX389" i="1"/>
  <c r="AX388" i="1"/>
  <c r="V401" i="1" l="1"/>
  <c r="AY394" i="1"/>
  <c r="AY392" i="1"/>
  <c r="AY390" i="1"/>
  <c r="AY389" i="1"/>
  <c r="V389" i="1" s="1"/>
  <c r="AH376" i="1"/>
  <c r="AH163" i="1"/>
  <c r="AH188" i="1"/>
  <c r="AH337" i="1"/>
  <c r="AH225" i="1"/>
  <c r="AH279" i="1"/>
  <c r="AH310" i="1"/>
  <c r="AH349" i="1"/>
  <c r="AH263" i="1"/>
  <c r="AH324" i="1"/>
  <c r="AH341" i="1"/>
  <c r="AH108" i="1"/>
  <c r="BX394" i="1"/>
  <c r="AB394" i="1"/>
  <c r="BX390" i="1"/>
  <c r="AB390" i="1"/>
  <c r="W390" i="1"/>
  <c r="AA390" i="1"/>
  <c r="AA394" i="1"/>
  <c r="W394" i="1"/>
  <c r="AB393" i="1"/>
  <c r="W393" i="1"/>
  <c r="W391" i="1"/>
  <c r="AB389" i="1"/>
  <c r="W389" i="1"/>
  <c r="AA389" i="1"/>
  <c r="AA392" i="1"/>
  <c r="W392" i="1"/>
  <c r="AI392" i="1" s="1"/>
  <c r="BX392" i="1"/>
  <c r="AB392" i="1"/>
  <c r="BX391" i="1"/>
  <c r="AB391" i="1"/>
  <c r="AY388" i="1"/>
  <c r="AB386" i="1"/>
  <c r="W386" i="1"/>
  <c r="AI386" i="1" s="1"/>
  <c r="W387" i="1"/>
  <c r="W388" i="1"/>
  <c r="AA388" i="1"/>
  <c r="BX388" i="1"/>
  <c r="AB388" i="1"/>
  <c r="BX387" i="1"/>
  <c r="AX391" i="1"/>
  <c r="AX393" i="1"/>
  <c r="BX386" i="1"/>
  <c r="AY391" i="1" l="1"/>
  <c r="AA391" i="1"/>
  <c r="AY393" i="1"/>
  <c r="BY393" i="1"/>
  <c r="CX393" i="1"/>
  <c r="AA393" i="1" l="1"/>
  <c r="V391" i="1"/>
  <c r="V394" i="1"/>
  <c r="V390" i="1"/>
  <c r="V392" i="1"/>
  <c r="AJ392" i="1" s="1"/>
  <c r="BY384" i="1"/>
  <c r="AK392" i="1" l="1"/>
  <c r="V388" i="1"/>
  <c r="AB387" i="1"/>
  <c r="AH291" i="1"/>
  <c r="AH369" i="1"/>
  <c r="AH217" i="1"/>
  <c r="AH18" i="1"/>
  <c r="Y390" i="1"/>
  <c r="Y393" i="1"/>
  <c r="Y394" i="1"/>
  <c r="Y391" i="1"/>
  <c r="Y389" i="1"/>
  <c r="Y392" i="1"/>
  <c r="Y388" i="1"/>
  <c r="AX381" i="1"/>
  <c r="AX382" i="1"/>
  <c r="AX385" i="1"/>
  <c r="AX383" i="1"/>
  <c r="AX384" i="1"/>
  <c r="AX380" i="1"/>
  <c r="AX387" i="1"/>
  <c r="AY383" i="1" l="1"/>
  <c r="AY384" i="1"/>
  <c r="AY385" i="1"/>
  <c r="AY381" i="1"/>
  <c r="AY382" i="1"/>
  <c r="CX386" i="1"/>
  <c r="AX386" i="1"/>
  <c r="AX376" i="1"/>
  <c r="AA387" i="1" l="1"/>
  <c r="AY387" i="1"/>
  <c r="V387" i="1" s="1"/>
  <c r="AY380" i="1"/>
  <c r="AY386" i="1"/>
  <c r="AA386" i="1"/>
  <c r="V393" i="1"/>
  <c r="AX372" i="1"/>
  <c r="BX384" i="1"/>
  <c r="AX379" i="1"/>
  <c r="V384" i="1" l="1"/>
  <c r="AJ384" i="1" s="1"/>
  <c r="V386" i="1"/>
  <c r="AJ386" i="1" s="1"/>
  <c r="AK386" i="1" s="1"/>
  <c r="Y387" i="1"/>
  <c r="Y386" i="1"/>
  <c r="W383" i="1"/>
  <c r="AA383" i="1"/>
  <c r="AA382" i="1"/>
  <c r="BX383" i="1"/>
  <c r="V383" i="1" s="1"/>
  <c r="AB383" i="1"/>
  <c r="W384" i="1"/>
  <c r="AI384" i="1" s="1"/>
  <c r="AA384" i="1"/>
  <c r="AB384" i="1"/>
  <c r="W382" i="1"/>
  <c r="BX381" i="1"/>
  <c r="V381" i="1" s="1"/>
  <c r="AB381" i="1"/>
  <c r="W381" i="1"/>
  <c r="AA381" i="1"/>
  <c r="BX382" i="1"/>
  <c r="V382" i="1" s="1"/>
  <c r="AB382" i="1"/>
  <c r="BX385" i="1"/>
  <c r="V385" i="1" s="1"/>
  <c r="AB385" i="1"/>
  <c r="W385" i="1"/>
  <c r="AA385" i="1"/>
  <c r="AY376" i="1"/>
  <c r="AY372" i="1"/>
  <c r="AY379" i="1"/>
  <c r="AX378" i="1"/>
  <c r="AX377" i="1"/>
  <c r="AY378" i="1" l="1"/>
  <c r="AK384" i="1"/>
  <c r="AY377" i="1"/>
  <c r="AX370" i="1"/>
  <c r="AX374" i="1"/>
  <c r="CX376" i="1"/>
  <c r="BY377" i="1"/>
  <c r="Y381" i="1" l="1"/>
  <c r="Y384" i="1"/>
  <c r="Y383" i="1"/>
  <c r="Y382" i="1"/>
  <c r="Y385" i="1"/>
  <c r="AY370" i="1"/>
  <c r="W380" i="1"/>
  <c r="AI380" i="1" s="1"/>
  <c r="AA380" i="1"/>
  <c r="BX379" i="1"/>
  <c r="V379" i="1" s="1"/>
  <c r="AB379" i="1"/>
  <c r="BX380" i="1"/>
  <c r="V380" i="1" s="1"/>
  <c r="AJ380" i="1" s="1"/>
  <c r="AB380" i="1"/>
  <c r="W379" i="1"/>
  <c r="AA379" i="1"/>
  <c r="BX378" i="1"/>
  <c r="AB377" i="1"/>
  <c r="W377" i="1"/>
  <c r="AI377" i="1" s="1"/>
  <c r="BX376" i="1"/>
  <c r="AB376" i="1"/>
  <c r="W376" i="1"/>
  <c r="AI376" i="1" s="1"/>
  <c r="AA376" i="1"/>
  <c r="AY374" i="1"/>
  <c r="CX377" i="1"/>
  <c r="BX377" i="1"/>
  <c r="CX369" i="1"/>
  <c r="AK380" i="1" l="1"/>
  <c r="Y379" i="1"/>
  <c r="Y380" i="1"/>
  <c r="Y376" i="1"/>
  <c r="BX374" i="1"/>
  <c r="V374" i="1" s="1"/>
  <c r="AB374" i="1"/>
  <c r="W374" i="1"/>
  <c r="AA374" i="1"/>
  <c r="W375" i="1"/>
  <c r="BX375" i="1"/>
  <c r="AB375" i="1"/>
  <c r="BY373" i="1"/>
  <c r="W373" i="1"/>
  <c r="BX373" i="1"/>
  <c r="AB373" i="1"/>
  <c r="AA372" i="1"/>
  <c r="W371" i="1"/>
  <c r="W370" i="1"/>
  <c r="AA370" i="1"/>
  <c r="BX372" i="1"/>
  <c r="V372" i="1" s="1"/>
  <c r="AB372" i="1"/>
  <c r="AB370" i="1"/>
  <c r="BX370" i="1"/>
  <c r="BX371" i="1"/>
  <c r="AB371" i="1"/>
  <c r="W372" i="1"/>
  <c r="AB368" i="1"/>
  <c r="BX368" i="1"/>
  <c r="W368" i="1"/>
  <c r="W369" i="1"/>
  <c r="AI369" i="1" s="1"/>
  <c r="AB369" i="1"/>
  <c r="V376" i="1" l="1"/>
  <c r="AJ376" i="1" s="1"/>
  <c r="AK376" i="1" s="1"/>
  <c r="AA377" i="1"/>
  <c r="Y377" i="1" s="1"/>
  <c r="AX375" i="1"/>
  <c r="AX373" i="1"/>
  <c r="AX368" i="1"/>
  <c r="V377" i="1" l="1"/>
  <c r="AJ377" i="1" s="1"/>
  <c r="AK377" i="1" s="1"/>
  <c r="AA373" i="1"/>
  <c r="Y373" i="1" s="1"/>
  <c r="AY373" i="1"/>
  <c r="V373" i="1" s="1"/>
  <c r="AY368" i="1"/>
  <c r="AY375" i="1"/>
  <c r="V375" i="1" s="1"/>
  <c r="AA375" i="1"/>
  <c r="Y375" i="1" s="1"/>
  <c r="Y374" i="1"/>
  <c r="Y372" i="1"/>
  <c r="Y370" i="1"/>
  <c r="BX360" i="1"/>
  <c r="AB360" i="1"/>
  <c r="AB364" i="1"/>
  <c r="BX364" i="1"/>
  <c r="W360" i="1"/>
  <c r="W366" i="1"/>
  <c r="W364" i="1"/>
  <c r="W367" i="1"/>
  <c r="W362" i="1"/>
  <c r="AB365" i="1"/>
  <c r="W365" i="1"/>
  <c r="BX362" i="1"/>
  <c r="AB362" i="1"/>
  <c r="AB363" i="1"/>
  <c r="W363" i="1"/>
  <c r="BX367" i="1"/>
  <c r="AB367" i="1"/>
  <c r="BX366" i="1"/>
  <c r="AB366" i="1"/>
  <c r="W361" i="1"/>
  <c r="AB361" i="1"/>
  <c r="W357" i="1"/>
  <c r="AI357" i="1" s="1"/>
  <c r="AB357" i="1"/>
  <c r="AB358" i="1"/>
  <c r="BX358" i="1"/>
  <c r="W359" i="1"/>
  <c r="W358" i="1"/>
  <c r="BX359" i="1"/>
  <c r="AB359" i="1"/>
  <c r="W356" i="1"/>
  <c r="BX356" i="1"/>
  <c r="AB356" i="1"/>
  <c r="V370" i="1" l="1"/>
  <c r="BX355" i="1"/>
  <c r="AB355" i="1"/>
  <c r="BY355" i="1"/>
  <c r="W355" i="1"/>
  <c r="W352" i="1"/>
  <c r="AB353" i="1"/>
  <c r="W353" i="1"/>
  <c r="AI353" i="1" s="1"/>
  <c r="W354" i="1"/>
  <c r="BX352" i="1"/>
  <c r="AB352" i="1"/>
  <c r="BX354" i="1"/>
  <c r="AB354" i="1"/>
  <c r="BY351" i="1"/>
  <c r="BO351" i="1"/>
  <c r="BY350" i="1"/>
  <c r="BO350" i="1"/>
  <c r="BT350" i="1"/>
  <c r="BT351" i="1"/>
  <c r="BO348" i="1"/>
  <c r="BO346" i="1"/>
  <c r="BO349" i="1"/>
  <c r="Q349" i="1" s="1"/>
  <c r="BT345" i="1"/>
  <c r="BT346" i="1"/>
  <c r="BO344" i="1"/>
  <c r="Q344" i="1" s="1"/>
  <c r="BY348" i="1"/>
  <c r="BY347" i="1"/>
  <c r="BO345" i="1"/>
  <c r="BY345" i="1"/>
  <c r="BY346" i="1"/>
  <c r="BO347" i="1"/>
  <c r="BT348" i="1"/>
  <c r="BT347" i="1"/>
  <c r="BY343" i="1"/>
  <c r="BO343" i="1"/>
  <c r="BO342" i="1"/>
  <c r="Q342" i="1" s="1"/>
  <c r="BT343" i="1"/>
  <c r="BO341" i="1"/>
  <c r="Q341" i="1" s="1"/>
  <c r="BY340" i="1"/>
  <c r="BO340" i="1"/>
  <c r="BT340" i="1"/>
  <c r="AD347" i="1" l="1"/>
  <c r="AE347" i="1" s="1"/>
  <c r="AD337" i="1"/>
  <c r="AE337" i="1" s="1"/>
  <c r="AD348" i="1"/>
  <c r="AE348" i="1" s="1"/>
  <c r="AD342" i="1"/>
  <c r="AE342" i="1" s="1"/>
  <c r="AD334" i="1"/>
  <c r="AE334" i="1" s="1"/>
  <c r="AD335" i="1"/>
  <c r="AE335" i="1" s="1"/>
  <c r="AD340" i="1"/>
  <c r="AE340" i="1" s="1"/>
  <c r="AD351" i="1"/>
  <c r="AE351" i="1" s="1"/>
  <c r="AD349" i="1"/>
  <c r="AE349" i="1" s="1"/>
  <c r="AD345" i="1"/>
  <c r="AE345" i="1" s="1"/>
  <c r="AD338" i="1"/>
  <c r="AE338" i="1" s="1"/>
  <c r="AD341" i="1"/>
  <c r="AE341" i="1" s="1"/>
  <c r="AD339" i="1"/>
  <c r="AE339" i="1" s="1"/>
  <c r="AD336" i="1"/>
  <c r="AE336" i="1" s="1"/>
  <c r="AD343" i="1"/>
  <c r="AE343" i="1" s="1"/>
  <c r="AD344" i="1"/>
  <c r="AE344" i="1" s="1"/>
  <c r="AD346" i="1"/>
  <c r="AE346" i="1" s="1"/>
  <c r="AD350" i="1"/>
  <c r="AE350" i="1" s="1"/>
  <c r="Q346" i="1"/>
  <c r="Q351" i="1"/>
  <c r="Q340" i="1"/>
  <c r="Q348" i="1"/>
  <c r="Q350" i="1"/>
  <c r="Q343" i="1"/>
  <c r="Q347" i="1"/>
  <c r="Q345" i="1"/>
  <c r="AX371" i="1"/>
  <c r="AY371" i="1" l="1"/>
  <c r="V371" i="1" s="1"/>
  <c r="AA371" i="1"/>
  <c r="Y371" i="1" s="1"/>
  <c r="V368" i="1"/>
  <c r="AA368" i="1"/>
  <c r="Y368" i="1" s="1"/>
  <c r="BY369" i="1"/>
  <c r="BX369" i="1"/>
  <c r="BX351" i="1" l="1"/>
  <c r="AB351" i="1"/>
  <c r="BX350" i="1"/>
  <c r="AB350" i="1"/>
  <c r="W351" i="1"/>
  <c r="W350" i="1"/>
  <c r="AI350" i="1" s="1"/>
  <c r="AB348" i="1"/>
  <c r="BX348" i="1"/>
  <c r="AB344" i="1"/>
  <c r="W344" i="1"/>
  <c r="AI344" i="1" s="1"/>
  <c r="W345" i="1"/>
  <c r="BX347" i="1"/>
  <c r="AB347" i="1"/>
  <c r="AB346" i="1"/>
  <c r="BX346" i="1"/>
  <c r="BX345" i="1"/>
  <c r="AB345" i="1"/>
  <c r="W347" i="1"/>
  <c r="W349" i="1"/>
  <c r="AI349" i="1" s="1"/>
  <c r="AB349" i="1"/>
  <c r="W346" i="1"/>
  <c r="W348" i="1"/>
  <c r="AB342" i="1" l="1"/>
  <c r="W342" i="1"/>
  <c r="W343" i="1"/>
  <c r="BX343" i="1"/>
  <c r="AB343" i="1"/>
  <c r="BX340" i="1"/>
  <c r="AB340" i="1"/>
  <c r="W340" i="1"/>
  <c r="AB341" i="1"/>
  <c r="W341" i="1"/>
  <c r="AI341" i="1" s="1"/>
  <c r="BO338" i="1"/>
  <c r="BT339" i="1"/>
  <c r="BO339" i="1"/>
  <c r="BY339" i="1"/>
  <c r="BY338" i="1"/>
  <c r="BO337" i="1"/>
  <c r="Q337" i="1" s="1"/>
  <c r="BO335" i="1"/>
  <c r="Q335" i="1" s="1"/>
  <c r="BT338" i="1"/>
  <c r="BO336" i="1"/>
  <c r="BY336" i="1"/>
  <c r="BO334" i="1"/>
  <c r="BT336" i="1"/>
  <c r="BT334" i="1"/>
  <c r="BY334" i="1"/>
  <c r="BO333" i="1"/>
  <c r="BY333" i="1"/>
  <c r="BT333" i="1"/>
  <c r="BO332" i="1"/>
  <c r="BT332" i="1"/>
  <c r="BY332" i="1"/>
  <c r="BY331" i="1"/>
  <c r="BY330" i="1"/>
  <c r="BY326" i="1"/>
  <c r="BY328" i="1"/>
  <c r="BY323" i="1"/>
  <c r="BY325" i="1"/>
  <c r="BY322" i="1"/>
  <c r="BY317" i="1"/>
  <c r="BY321" i="1"/>
  <c r="BY320" i="1"/>
  <c r="BY318" i="1"/>
  <c r="BY319" i="1"/>
  <c r="BY314" i="1"/>
  <c r="BY315" i="1"/>
  <c r="BY312" i="1"/>
  <c r="BY311" i="1"/>
  <c r="BY309" i="1"/>
  <c r="BY308" i="1"/>
  <c r="BY313" i="1"/>
  <c r="BY306" i="1"/>
  <c r="BY304" i="1"/>
  <c r="BY302" i="1"/>
  <c r="BY298" i="1"/>
  <c r="BY299" i="1"/>
  <c r="BY301" i="1"/>
  <c r="BY296" i="1"/>
  <c r="BY297" i="1"/>
  <c r="BY214" i="1"/>
  <c r="BY224" i="1"/>
  <c r="BY176" i="1"/>
  <c r="BY90" i="1"/>
  <c r="BY113" i="1"/>
  <c r="BY135" i="1"/>
  <c r="BY129" i="1"/>
  <c r="BY248" i="1"/>
  <c r="BY124" i="1"/>
  <c r="BY244" i="1"/>
  <c r="BY36" i="1"/>
  <c r="BY44" i="1"/>
  <c r="BY77" i="1"/>
  <c r="BY193" i="1"/>
  <c r="BY236" i="1"/>
  <c r="BY23" i="1"/>
  <c r="BY215" i="1"/>
  <c r="BY25" i="1"/>
  <c r="BY143" i="1"/>
  <c r="BY110" i="1"/>
  <c r="BY34" i="1"/>
  <c r="BY21" i="1"/>
  <c r="BY166" i="1"/>
  <c r="BY256" i="1"/>
  <c r="BY169" i="1"/>
  <c r="BY51" i="1"/>
  <c r="BY46" i="1"/>
  <c r="BY83" i="1"/>
  <c r="BY238" i="1"/>
  <c r="BY87" i="1"/>
  <c r="BY157" i="1"/>
  <c r="BY223" i="1"/>
  <c r="BY111" i="1"/>
  <c r="BY6" i="1"/>
  <c r="BY268" i="1"/>
  <c r="BY39" i="1"/>
  <c r="BY114" i="1"/>
  <c r="BY53" i="1"/>
  <c r="BY258" i="1"/>
  <c r="BY133" i="1"/>
  <c r="BY112" i="1"/>
  <c r="BY84" i="1"/>
  <c r="BY20" i="1"/>
  <c r="BY195" i="1"/>
  <c r="BY170" i="1"/>
  <c r="BY261" i="1"/>
  <c r="BY31" i="1"/>
  <c r="BY190" i="1"/>
  <c r="BY206" i="1"/>
  <c r="BY181" i="1"/>
  <c r="BY24" i="1"/>
  <c r="BY16" i="1"/>
  <c r="BY293" i="1"/>
  <c r="BY52" i="1"/>
  <c r="BY260" i="1"/>
  <c r="BY289" i="1"/>
  <c r="BY63" i="1"/>
  <c r="BY70" i="1"/>
  <c r="BY5" i="1"/>
  <c r="BY284" i="1"/>
  <c r="BY184" i="1"/>
  <c r="BY82" i="1"/>
  <c r="BY138" i="1"/>
  <c r="BY178" i="1"/>
  <c r="BY272" i="1"/>
  <c r="BY19" i="1"/>
  <c r="BY180" i="1"/>
  <c r="BY275" i="1"/>
  <c r="BY274" i="1"/>
  <c r="BY17" i="1"/>
  <c r="BY79" i="1"/>
  <c r="BY107" i="1"/>
  <c r="BY45" i="1"/>
  <c r="BY61" i="1"/>
  <c r="BY96" i="1"/>
  <c r="BY231" i="1"/>
  <c r="BY241" i="1"/>
  <c r="BY246" i="1"/>
  <c r="BY85" i="1"/>
  <c r="BY197" i="1"/>
  <c r="BY122" i="1"/>
  <c r="BY26" i="1"/>
  <c r="BY168" i="1"/>
  <c r="BY149" i="1"/>
  <c r="BY75" i="1"/>
  <c r="BY162" i="1"/>
  <c r="BY62" i="1"/>
  <c r="BY270" i="1"/>
  <c r="BY288" i="1"/>
  <c r="BY91" i="1"/>
  <c r="BY216" i="1"/>
  <c r="BY285" i="1"/>
  <c r="BY37" i="1"/>
  <c r="BY68" i="1"/>
  <c r="BY89" i="1"/>
  <c r="BY249" i="1"/>
  <c r="BY101" i="1"/>
  <c r="BY136" i="1"/>
  <c r="BY71" i="1"/>
  <c r="BY194" i="1"/>
  <c r="BY150" i="1"/>
  <c r="BY27" i="1"/>
  <c r="BY207" i="1"/>
  <c r="BY67" i="1"/>
  <c r="BY118" i="1"/>
  <c r="BY222" i="1"/>
  <c r="BY29" i="1"/>
  <c r="BY57" i="1"/>
  <c r="BY30" i="1"/>
  <c r="BY94" i="1"/>
  <c r="BY189" i="1"/>
  <c r="BY211" i="1"/>
  <c r="BY55" i="1"/>
  <c r="BY132" i="1"/>
  <c r="BY119" i="1"/>
  <c r="BY156" i="1"/>
  <c r="BY140" i="1"/>
  <c r="BY74" i="1"/>
  <c r="BY220" i="1"/>
  <c r="BY40" i="1"/>
  <c r="BY56" i="1"/>
  <c r="BY179" i="1"/>
  <c r="BY105" i="1"/>
  <c r="BY264" i="1"/>
  <c r="BY265" i="1"/>
  <c r="BY10" i="1"/>
  <c r="BY145" i="1"/>
  <c r="BY22" i="1"/>
  <c r="BY171" i="1"/>
  <c r="BY98" i="1"/>
  <c r="BY134" i="1"/>
  <c r="BY172" i="1"/>
  <c r="BY187" i="1"/>
  <c r="BY262" i="1"/>
  <c r="BY104" i="1"/>
  <c r="BY292" i="1"/>
  <c r="BY185" i="1"/>
  <c r="BY228" i="1"/>
  <c r="BY232" i="1"/>
  <c r="BY58" i="1"/>
  <c r="BY173" i="1"/>
  <c r="BY247" i="1"/>
  <c r="BY128" i="1"/>
  <c r="BY103" i="1"/>
  <c r="BY253" i="1"/>
  <c r="BY252" i="1"/>
  <c r="BY28" i="1"/>
  <c r="BY174" i="1"/>
  <c r="BY254" i="1"/>
  <c r="BY196" i="1"/>
  <c r="BY151" i="1"/>
  <c r="BY266" i="1"/>
  <c r="BY88" i="1"/>
  <c r="BY218" i="1"/>
  <c r="BY233" i="1"/>
  <c r="BY76" i="1"/>
  <c r="BY86" i="1"/>
  <c r="BY287" i="1"/>
  <c r="BY221" i="1"/>
  <c r="BY125" i="1"/>
  <c r="BY120" i="1"/>
  <c r="BY153" i="1"/>
  <c r="BY267" i="1"/>
  <c r="BY202" i="1"/>
  <c r="BY177" i="1"/>
  <c r="BY115" i="1"/>
  <c r="BY213" i="1"/>
  <c r="BY117" i="1"/>
  <c r="BY102" i="1"/>
  <c r="BY109" i="1"/>
  <c r="BY60" i="1"/>
  <c r="BY209" i="1"/>
  <c r="BY42" i="1"/>
  <c r="BY139" i="1"/>
  <c r="BY237" i="1"/>
  <c r="BY152" i="1"/>
  <c r="BY69" i="1"/>
  <c r="BY239" i="1"/>
  <c r="BY160" i="1"/>
  <c r="BY99" i="1"/>
  <c r="BY269" i="1"/>
  <c r="BY286" i="1"/>
  <c r="BY127" i="1"/>
  <c r="BY142" i="1"/>
  <c r="BY199" i="1"/>
  <c r="BY4" i="1"/>
  <c r="BY147" i="1"/>
  <c r="BY95" i="1"/>
  <c r="BY277" i="1"/>
  <c r="BY41" i="1"/>
  <c r="BY15" i="1"/>
  <c r="BY290" i="1"/>
  <c r="BY204" i="1"/>
  <c r="BY164" i="1"/>
  <c r="BY155" i="1"/>
  <c r="BY242" i="1"/>
  <c r="BY226" i="1"/>
  <c r="BO331" i="1"/>
  <c r="BT331" i="1"/>
  <c r="BO327" i="1"/>
  <c r="Q327" i="1" s="1"/>
  <c r="BO330" i="1"/>
  <c r="BO326" i="1"/>
  <c r="BO329" i="1"/>
  <c r="Q329" i="1" s="1"/>
  <c r="BO328" i="1"/>
  <c r="BT326" i="1"/>
  <c r="BT328" i="1"/>
  <c r="BO323" i="1"/>
  <c r="BO325" i="1"/>
  <c r="BO324" i="1"/>
  <c r="Q324" i="1" s="1"/>
  <c r="BT325" i="1"/>
  <c r="BT323" i="1"/>
  <c r="BT321" i="1"/>
  <c r="BO318" i="1"/>
  <c r="BO320" i="1"/>
  <c r="BO317" i="1"/>
  <c r="BO321" i="1"/>
  <c r="BO319" i="1"/>
  <c r="BT320" i="1"/>
  <c r="BO316" i="1"/>
  <c r="Q316" i="1" s="1"/>
  <c r="BT318" i="1"/>
  <c r="BT319" i="1"/>
  <c r="BT317" i="1"/>
  <c r="BO315" i="1"/>
  <c r="BO314" i="1"/>
  <c r="BT314" i="1"/>
  <c r="BT315" i="1"/>
  <c r="BT313" i="1"/>
  <c r="BT312" i="1"/>
  <c r="BX312" i="1" s="1"/>
  <c r="BT311" i="1"/>
  <c r="BO309" i="1"/>
  <c r="BO311" i="1"/>
  <c r="BO310" i="1"/>
  <c r="BO312" i="1"/>
  <c r="BT309" i="1"/>
  <c r="BO308" i="1"/>
  <c r="BO313" i="1"/>
  <c r="BT308" i="1"/>
  <c r="BO307" i="1"/>
  <c r="Q307" i="1" s="1"/>
  <c r="BO306" i="1"/>
  <c r="BO305" i="1"/>
  <c r="Q305" i="1" s="1"/>
  <c r="BT306" i="1"/>
  <c r="BX306" i="1" s="1"/>
  <c r="BO304" i="1"/>
  <c r="BT304" i="1"/>
  <c r="BT299" i="1"/>
  <c r="BO301" i="1"/>
  <c r="BO299" i="1"/>
  <c r="BO298" i="1"/>
  <c r="BO300" i="1"/>
  <c r="Q300" i="1" s="1"/>
  <c r="BO302" i="1"/>
  <c r="BO303" i="1"/>
  <c r="Q303" i="1" s="1"/>
  <c r="BT298" i="1"/>
  <c r="BT301" i="1"/>
  <c r="BT302" i="1"/>
  <c r="BO296" i="1"/>
  <c r="BO297" i="1"/>
  <c r="BT297" i="1"/>
  <c r="BT296" i="1"/>
  <c r="BT4" i="1"/>
  <c r="BX4" i="1" s="1"/>
  <c r="BT193" i="1"/>
  <c r="BX193" i="1" s="1"/>
  <c r="BT22" i="1"/>
  <c r="BT134" i="1"/>
  <c r="BT129" i="1"/>
  <c r="BT220" i="1"/>
  <c r="BT249" i="1"/>
  <c r="BO10" i="1"/>
  <c r="BO13" i="1"/>
  <c r="BO14" i="1"/>
  <c r="Q14" i="1" s="1"/>
  <c r="BO16" i="1"/>
  <c r="BO20" i="1"/>
  <c r="BO23" i="1"/>
  <c r="BO24" i="1"/>
  <c r="BO26" i="1"/>
  <c r="BO4" i="1"/>
  <c r="BO7" i="1"/>
  <c r="Q7" i="1" s="1"/>
  <c r="BO8" i="1"/>
  <c r="Q8" i="1" s="1"/>
  <c r="BO11" i="1"/>
  <c r="Q11" i="1" s="1"/>
  <c r="BO12" i="1"/>
  <c r="Q12" i="1" s="1"/>
  <c r="BO18" i="1"/>
  <c r="Q18" i="1" s="1"/>
  <c r="BO19" i="1"/>
  <c r="BO28" i="1"/>
  <c r="BO46" i="1"/>
  <c r="BO30" i="1"/>
  <c r="BO31" i="1"/>
  <c r="BO21" i="1"/>
  <c r="BO35" i="1"/>
  <c r="Q35" i="1" s="1"/>
  <c r="BO41" i="1"/>
  <c r="BO48" i="1"/>
  <c r="BO49" i="1"/>
  <c r="Q49" i="1" s="1"/>
  <c r="BO33" i="1"/>
  <c r="W33" i="1" s="1"/>
  <c r="BO51" i="1"/>
  <c r="BO77" i="1"/>
  <c r="BO70" i="1"/>
  <c r="BO25" i="1"/>
  <c r="BO83" i="1"/>
  <c r="BO87" i="1"/>
  <c r="BO96" i="1"/>
  <c r="BO104" i="1"/>
  <c r="BO116" i="1"/>
  <c r="Q116" i="1" s="1"/>
  <c r="BO68" i="1"/>
  <c r="BO131" i="1"/>
  <c r="BO110" i="1"/>
  <c r="BO114" i="1"/>
  <c r="BO122" i="1"/>
  <c r="BO89" i="1"/>
  <c r="BO97" i="1"/>
  <c r="Q97" i="1" s="1"/>
  <c r="BO79" i="1"/>
  <c r="BO139" i="1"/>
  <c r="BO165" i="1"/>
  <c r="Q165" i="1" s="1"/>
  <c r="BO169" i="1"/>
  <c r="BO136" i="1"/>
  <c r="BO144" i="1"/>
  <c r="Q144" i="1" s="1"/>
  <c r="BO172" i="1"/>
  <c r="BO178" i="1"/>
  <c r="BO185" i="1"/>
  <c r="BO189" i="1"/>
  <c r="BO210" i="1"/>
  <c r="BO216" i="1"/>
  <c r="BO217" i="1"/>
  <c r="Q217" i="1" s="1"/>
  <c r="BO222" i="1"/>
  <c r="BO225" i="1"/>
  <c r="Q225" i="1" s="1"/>
  <c r="BO228" i="1"/>
  <c r="BO65" i="1"/>
  <c r="BO85" i="1"/>
  <c r="BO93" i="1"/>
  <c r="Q93" i="1" s="1"/>
  <c r="BO132" i="1"/>
  <c r="BO153" i="1"/>
  <c r="BO156" i="1"/>
  <c r="BO175" i="1"/>
  <c r="Q175" i="1" s="1"/>
  <c r="BO187" i="1"/>
  <c r="BO220" i="1"/>
  <c r="BO234" i="1"/>
  <c r="Q234" i="1" s="1"/>
  <c r="BO236" i="1"/>
  <c r="BO244" i="1"/>
  <c r="BO246" i="1"/>
  <c r="BO251" i="1"/>
  <c r="Q251" i="1" s="1"/>
  <c r="BO149" i="1"/>
  <c r="BO154" i="1"/>
  <c r="Q154" i="1" s="1"/>
  <c r="BO199" i="1"/>
  <c r="BO262" i="1"/>
  <c r="BO186" i="1"/>
  <c r="Q186" i="1" s="1"/>
  <c r="BO191" i="1"/>
  <c r="BO202" i="1"/>
  <c r="BO207" i="1"/>
  <c r="BO208" i="1"/>
  <c r="Q208" i="1" s="1"/>
  <c r="BO250" i="1"/>
  <c r="Q250" i="1" s="1"/>
  <c r="BO253" i="1"/>
  <c r="BO258" i="1"/>
  <c r="BO269" i="1"/>
  <c r="BO213" i="1"/>
  <c r="BO181" i="1"/>
  <c r="BO184" i="1"/>
  <c r="BO200" i="1"/>
  <c r="Q200" i="1" s="1"/>
  <c r="BO241" i="1"/>
  <c r="BO276" i="1"/>
  <c r="BO44" i="1"/>
  <c r="BO284" i="1"/>
  <c r="BO291" i="1"/>
  <c r="Q291" i="1" s="1"/>
  <c r="BT17" i="1"/>
  <c r="BT99" i="1"/>
  <c r="BT110" i="1"/>
  <c r="BT147" i="1"/>
  <c r="BT246" i="1"/>
  <c r="BT269" i="1"/>
  <c r="BT274" i="1"/>
  <c r="BT37" i="1"/>
  <c r="BT84" i="1"/>
  <c r="BT177" i="1"/>
  <c r="BT262" i="1"/>
  <c r="BT169" i="1"/>
  <c r="BT289" i="1"/>
  <c r="BT277" i="1"/>
  <c r="BO270" i="1"/>
  <c r="BT286" i="1"/>
  <c r="BO281" i="1"/>
  <c r="Q281" i="1" s="1"/>
  <c r="BO242" i="1"/>
  <c r="BT202" i="1"/>
  <c r="BO295" i="1"/>
  <c r="BO245" i="1"/>
  <c r="Q245" i="1" s="1"/>
  <c r="BO211" i="1"/>
  <c r="BO263" i="1"/>
  <c r="Q263" i="1" s="1"/>
  <c r="BT228" i="1"/>
  <c r="BO183" i="1"/>
  <c r="Q183" i="1" s="1"/>
  <c r="BO282" i="1"/>
  <c r="Q282" i="1" s="1"/>
  <c r="BO272" i="1"/>
  <c r="BO163" i="1"/>
  <c r="Q163" i="1" s="1"/>
  <c r="BT244" i="1"/>
  <c r="BO226" i="1"/>
  <c r="BT223" i="1"/>
  <c r="BT190" i="1"/>
  <c r="BT179" i="1"/>
  <c r="BT166" i="1"/>
  <c r="BT224" i="1"/>
  <c r="BT213" i="1"/>
  <c r="BO205" i="1"/>
  <c r="BT184" i="1"/>
  <c r="BT152" i="1"/>
  <c r="BO152" i="1"/>
  <c r="BO130" i="1"/>
  <c r="Q130" i="1" s="1"/>
  <c r="BO64" i="1"/>
  <c r="Q64" i="1" s="1"/>
  <c r="BO111" i="1"/>
  <c r="BT87" i="1"/>
  <c r="BT114" i="1"/>
  <c r="BO283" i="1"/>
  <c r="Q283" i="1" s="1"/>
  <c r="BT60" i="1"/>
  <c r="BT124" i="1"/>
  <c r="BT237" i="1"/>
  <c r="BT285" i="1"/>
  <c r="BO268" i="1"/>
  <c r="BO290" i="1"/>
  <c r="BO38" i="1"/>
  <c r="Q38" i="1" s="1"/>
  <c r="BT6" i="1"/>
  <c r="BT216" i="1"/>
  <c r="BT178" i="1"/>
  <c r="BO240" i="1"/>
  <c r="Q240" i="1" s="1"/>
  <c r="BO174" i="1"/>
  <c r="BO147" i="1"/>
  <c r="BO271" i="1"/>
  <c r="Q271" i="1" s="1"/>
  <c r="BO238" i="1"/>
  <c r="BT153" i="1"/>
  <c r="BT79" i="1"/>
  <c r="BO255" i="1"/>
  <c r="Q255" i="1" s="1"/>
  <c r="BO249" i="1"/>
  <c r="BO221" i="1"/>
  <c r="BO203" i="1"/>
  <c r="Q203" i="1" s="1"/>
  <c r="BT156" i="1"/>
  <c r="BT128" i="1"/>
  <c r="BO151" i="1"/>
  <c r="BT125" i="1"/>
  <c r="BO177" i="1"/>
  <c r="BT149" i="1"/>
  <c r="BO109" i="1"/>
  <c r="BT91" i="1"/>
  <c r="BO123" i="1"/>
  <c r="BO119" i="1"/>
  <c r="BO113" i="1"/>
  <c r="BO86" i="1"/>
  <c r="BO52" i="1"/>
  <c r="BO141" i="1"/>
  <c r="BT122" i="1"/>
  <c r="BT96" i="1"/>
  <c r="BO88" i="1"/>
  <c r="BO66" i="1"/>
  <c r="BO137" i="1"/>
  <c r="Q137" i="1" s="1"/>
  <c r="BO82" i="1"/>
  <c r="BO55" i="1"/>
  <c r="BO61" i="1"/>
  <c r="BT41" i="1"/>
  <c r="BO73" i="1"/>
  <c r="BO60" i="1"/>
  <c r="BT61" i="1"/>
  <c r="BT77" i="1"/>
  <c r="BT226" i="1"/>
  <c r="BT196" i="1"/>
  <c r="BT260" i="1"/>
  <c r="BO257" i="1"/>
  <c r="Q257" i="1" s="1"/>
  <c r="BO231" i="1"/>
  <c r="BO267" i="1"/>
  <c r="BO227" i="1"/>
  <c r="Q227" i="1" s="1"/>
  <c r="BO180" i="1"/>
  <c r="BT287" i="1"/>
  <c r="BT239" i="1"/>
  <c r="BT293" i="1"/>
  <c r="BO273" i="1"/>
  <c r="Q273" i="1" s="1"/>
  <c r="BT258" i="1"/>
  <c r="BO197" i="1"/>
  <c r="BT256" i="1"/>
  <c r="BO212" i="1"/>
  <c r="Q212" i="1" s="1"/>
  <c r="BT199" i="1"/>
  <c r="BT214" i="1"/>
  <c r="BO201" i="1"/>
  <c r="BO194" i="1"/>
  <c r="BO264" i="1"/>
  <c r="BO248" i="1"/>
  <c r="BT241" i="1"/>
  <c r="BO239" i="1"/>
  <c r="BO170" i="1"/>
  <c r="BT155" i="1"/>
  <c r="BT150" i="1"/>
  <c r="BO157" i="1"/>
  <c r="BO150" i="1"/>
  <c r="BO103" i="1"/>
  <c r="BT170" i="1"/>
  <c r="BO98" i="1"/>
  <c r="BO164" i="1"/>
  <c r="BT107" i="1"/>
  <c r="BO50" i="1"/>
  <c r="Q50" i="1" s="1"/>
  <c r="BT120" i="1"/>
  <c r="BT112" i="1"/>
  <c r="BO120" i="1"/>
  <c r="BO99" i="1"/>
  <c r="BO84" i="1"/>
  <c r="BO117" i="1"/>
  <c r="BO102" i="1"/>
  <c r="BO92" i="1"/>
  <c r="Q92" i="1" s="1"/>
  <c r="BO59" i="1"/>
  <c r="Q59" i="1" s="1"/>
  <c r="BT70" i="1"/>
  <c r="BT63" i="1"/>
  <c r="BT105" i="1"/>
  <c r="BT157" i="1"/>
  <c r="BT164" i="1"/>
  <c r="BT253" i="1"/>
  <c r="BT62" i="1"/>
  <c r="BT95" i="1"/>
  <c r="BT142" i="1"/>
  <c r="BT238" i="1"/>
  <c r="BT272" i="1"/>
  <c r="BT284" i="1"/>
  <c r="BO206" i="1"/>
  <c r="BO115" i="1"/>
  <c r="BT15" i="1"/>
  <c r="BO5" i="1"/>
  <c r="BO260" i="1"/>
  <c r="BO247" i="1"/>
  <c r="BO204" i="1"/>
  <c r="BT174" i="1"/>
  <c r="BO235" i="1"/>
  <c r="Q235" i="1" s="1"/>
  <c r="BO256" i="1"/>
  <c r="BO243" i="1"/>
  <c r="Q243" i="1" s="1"/>
  <c r="BO223" i="1"/>
  <c r="BO146" i="1"/>
  <c r="Q146" i="1" s="1"/>
  <c r="BT267" i="1"/>
  <c r="BO237" i="1"/>
  <c r="BO232" i="1"/>
  <c r="BO179" i="1"/>
  <c r="BO274" i="1"/>
  <c r="BT236" i="1"/>
  <c r="BT204" i="1"/>
  <c r="BT197" i="1"/>
  <c r="BO261" i="1"/>
  <c r="BO252" i="1"/>
  <c r="BO168" i="1"/>
  <c r="BO155" i="1"/>
  <c r="BT94" i="1"/>
  <c r="BT194" i="1"/>
  <c r="BO140" i="1"/>
  <c r="BT162" i="1"/>
  <c r="BO138" i="1"/>
  <c r="BT113" i="1"/>
  <c r="BO76" i="1"/>
  <c r="BO95" i="1"/>
  <c r="BO69" i="1"/>
  <c r="BO126" i="1"/>
  <c r="BO134" i="1"/>
  <c r="BO112" i="1"/>
  <c r="BO105" i="1"/>
  <c r="BT26" i="1"/>
  <c r="BT51" i="1"/>
  <c r="BT24" i="1"/>
  <c r="BT31" i="1"/>
  <c r="BO27" i="1"/>
  <c r="BT20" i="1"/>
  <c r="BO133" i="1"/>
  <c r="BO58" i="1"/>
  <c r="BO45" i="1"/>
  <c r="BT25" i="1"/>
  <c r="BO36" i="1"/>
  <c r="BT44" i="1"/>
  <c r="BO29" i="1"/>
  <c r="BT10" i="1"/>
  <c r="BT23" i="1"/>
  <c r="BT36" i="1"/>
  <c r="BO6" i="1"/>
  <c r="BO47" i="1"/>
  <c r="Q47" i="1" s="1"/>
  <c r="BO80" i="1"/>
  <c r="Q80" i="1" s="1"/>
  <c r="BO78" i="1"/>
  <c r="Q78" i="1" s="1"/>
  <c r="BO62" i="1"/>
  <c r="BT21" i="1"/>
  <c r="BT16" i="1"/>
  <c r="BT83" i="1"/>
  <c r="BO56" i="1"/>
  <c r="BT85" i="1"/>
  <c r="BO72" i="1"/>
  <c r="Q72" i="1" s="1"/>
  <c r="BO74" i="1"/>
  <c r="BT57" i="1"/>
  <c r="BO42" i="1"/>
  <c r="BT89" i="1"/>
  <c r="BT69" i="1"/>
  <c r="BT68" i="1"/>
  <c r="BT53" i="1"/>
  <c r="BT42" i="1"/>
  <c r="BT45" i="1"/>
  <c r="BO100" i="1"/>
  <c r="Q100" i="1" s="1"/>
  <c r="BT119" i="1"/>
  <c r="BO94" i="1"/>
  <c r="BT28" i="1"/>
  <c r="BO32" i="1"/>
  <c r="Q32" i="1" s="1"/>
  <c r="BO54" i="1"/>
  <c r="Q54" i="1" s="1"/>
  <c r="BT39" i="1"/>
  <c r="BO37" i="1"/>
  <c r="BO17" i="1"/>
  <c r="BT27" i="1"/>
  <c r="BO176" i="1"/>
  <c r="BT180" i="1"/>
  <c r="BO285" i="1"/>
  <c r="BO106" i="1"/>
  <c r="Q106" i="1" s="1"/>
  <c r="BO67" i="1"/>
  <c r="BO142" i="1"/>
  <c r="BT136" i="1"/>
  <c r="BT127" i="1"/>
  <c r="BO188" i="1"/>
  <c r="Q188" i="1" s="1"/>
  <c r="BO166" i="1"/>
  <c r="BT171" i="1"/>
  <c r="BO219" i="1"/>
  <c r="BO195" i="1"/>
  <c r="BT151" i="1"/>
  <c r="BT86" i="1"/>
  <c r="BT101" i="1"/>
  <c r="BO286" i="1"/>
  <c r="BT30" i="1"/>
  <c r="BO135" i="1"/>
  <c r="BO125" i="1"/>
  <c r="BT5" i="1"/>
  <c r="BT29" i="1"/>
  <c r="BT118" i="1"/>
  <c r="BO101" i="1"/>
  <c r="BO158" i="1"/>
  <c r="BO167" i="1"/>
  <c r="BO192" i="1"/>
  <c r="Q192" i="1" s="1"/>
  <c r="BT233" i="1"/>
  <c r="BO293" i="1"/>
  <c r="BT248" i="1"/>
  <c r="BT265" i="1"/>
  <c r="BO275" i="1"/>
  <c r="BT218" i="1"/>
  <c r="BT139" i="1"/>
  <c r="BT82" i="1"/>
  <c r="BO75" i="1"/>
  <c r="BO91" i="1"/>
  <c r="BO196" i="1"/>
  <c r="BT206" i="1"/>
  <c r="BT264" i="1"/>
  <c r="BT266" i="1"/>
  <c r="BO287" i="1"/>
  <c r="BO280" i="1"/>
  <c r="BT132" i="1"/>
  <c r="BT138" i="1"/>
  <c r="BT140" i="1"/>
  <c r="BO288" i="1"/>
  <c r="BO57" i="1"/>
  <c r="BO124" i="1"/>
  <c r="BO128" i="1"/>
  <c r="BO143" i="1"/>
  <c r="BO159" i="1"/>
  <c r="BO193" i="1"/>
  <c r="BT247" i="1"/>
  <c r="BO224" i="1"/>
  <c r="BT268" i="1"/>
  <c r="BT209" i="1"/>
  <c r="BO198" i="1"/>
  <c r="Q198" i="1" s="1"/>
  <c r="BO218" i="1"/>
  <c r="BT58" i="1"/>
  <c r="BT98" i="1"/>
  <c r="BO129" i="1"/>
  <c r="BO145" i="1"/>
  <c r="BO71" i="1"/>
  <c r="BT176" i="1"/>
  <c r="BO259" i="1"/>
  <c r="Q259" i="1" s="1"/>
  <c r="BT211" i="1"/>
  <c r="BO190" i="1"/>
  <c r="BO107" i="1"/>
  <c r="BO214" i="1"/>
  <c r="BO277" i="1"/>
  <c r="BO209" i="1"/>
  <c r="BT111" i="1"/>
  <c r="BO161" i="1"/>
  <c r="BO9" i="1"/>
  <c r="BO81" i="1"/>
  <c r="BT76" i="1"/>
  <c r="BO34" i="1"/>
  <c r="BO118" i="1"/>
  <c r="BO39" i="1"/>
  <c r="BO40" i="1"/>
  <c r="BT55" i="1"/>
  <c r="BO15" i="1"/>
  <c r="BO22" i="1"/>
  <c r="BO63" i="1"/>
  <c r="BT145" i="1"/>
  <c r="BO171" i="1"/>
  <c r="BO266" i="1"/>
  <c r="BT215" i="1"/>
  <c r="BT292" i="1"/>
  <c r="BO278" i="1"/>
  <c r="Q278" i="1" s="1"/>
  <c r="BT75" i="1"/>
  <c r="BT67" i="1"/>
  <c r="BT172" i="1"/>
  <c r="BT189" i="1"/>
  <c r="BT181" i="1"/>
  <c r="BO230" i="1"/>
  <c r="BO294" i="1"/>
  <c r="Q294" i="1" s="1"/>
  <c r="BT195" i="1"/>
  <c r="BT254" i="1"/>
  <c r="BT135" i="1"/>
  <c r="BT40" i="1"/>
  <c r="BT56" i="1"/>
  <c r="BT103" i="1"/>
  <c r="BO127" i="1"/>
  <c r="BO160" i="1"/>
  <c r="BO215" i="1"/>
  <c r="BT242" i="1"/>
  <c r="BT261" i="1"/>
  <c r="BT221" i="1"/>
  <c r="BO292" i="1"/>
  <c r="BT222" i="1"/>
  <c r="BT19" i="1"/>
  <c r="BT160" i="1"/>
  <c r="BO182" i="1"/>
  <c r="Q182" i="1" s="1"/>
  <c r="BT168" i="1"/>
  <c r="BO289" i="1"/>
  <c r="BO279" i="1"/>
  <c r="Q279" i="1" s="1"/>
  <c r="BO53" i="1"/>
  <c r="BT52" i="1"/>
  <c r="BT74" i="1"/>
  <c r="BO108" i="1"/>
  <c r="Q108" i="1" s="1"/>
  <c r="BO148" i="1"/>
  <c r="BT115" i="1"/>
  <c r="BT187" i="1"/>
  <c r="BT290" i="1"/>
  <c r="BT88" i="1"/>
  <c r="BO162" i="1"/>
  <c r="BO233" i="1"/>
  <c r="BT143" i="1"/>
  <c r="BO90" i="1"/>
  <c r="BT288" i="1"/>
  <c r="BT207" i="1"/>
  <c r="BO121" i="1"/>
  <c r="Q121" i="1" s="1"/>
  <c r="BT231" i="1"/>
  <c r="BT173" i="1"/>
  <c r="BT71" i="1"/>
  <c r="BO173" i="1"/>
  <c r="BO254" i="1"/>
  <c r="BT102" i="1"/>
  <c r="BT270" i="1"/>
  <c r="BT275" i="1"/>
  <c r="BT104" i="1"/>
  <c r="BT252" i="1"/>
  <c r="BT133" i="1"/>
  <c r="BT232" i="1"/>
  <c r="BT109" i="1"/>
  <c r="BT117" i="1"/>
  <c r="BT90" i="1"/>
  <c r="BT34" i="1"/>
  <c r="CX194" i="1"/>
  <c r="Q91" i="1" l="1"/>
  <c r="Q67" i="1"/>
  <c r="Q304" i="1"/>
  <c r="U56" i="1"/>
  <c r="U17" i="1"/>
  <c r="Q161" i="1"/>
  <c r="U161" i="1"/>
  <c r="U287" i="1"/>
  <c r="Q314" i="1"/>
  <c r="U314" i="1"/>
  <c r="Q83" i="1"/>
  <c r="U83" i="1"/>
  <c r="AH226" i="1"/>
  <c r="U226" i="1"/>
  <c r="Q65" i="1"/>
  <c r="U65" i="1"/>
  <c r="AD167" i="1"/>
  <c r="AE167" i="1" s="1"/>
  <c r="W167" i="1"/>
  <c r="Q167" i="1"/>
  <c r="AB167" i="1"/>
  <c r="Q63" i="1"/>
  <c r="Q286" i="1"/>
  <c r="Q276" i="1"/>
  <c r="Q118" i="1"/>
  <c r="AD315" i="1"/>
  <c r="AE315" i="1" s="1"/>
  <c r="AD319" i="1"/>
  <c r="AE319" i="1" s="1"/>
  <c r="AD137" i="1"/>
  <c r="AE137" i="1" s="1"/>
  <c r="AD130" i="1"/>
  <c r="AE130" i="1" s="1"/>
  <c r="AD47" i="1"/>
  <c r="AE47" i="1" s="1"/>
  <c r="AD316" i="1"/>
  <c r="AE316" i="1" s="1"/>
  <c r="AD325" i="1"/>
  <c r="AE325" i="1" s="1"/>
  <c r="AD323" i="1"/>
  <c r="AE323" i="1" s="1"/>
  <c r="AD330" i="1"/>
  <c r="AE330" i="1" s="1"/>
  <c r="AD333" i="1"/>
  <c r="AE333" i="1" s="1"/>
  <c r="AD62" i="1"/>
  <c r="AE62" i="1" s="1"/>
  <c r="AD140" i="1"/>
  <c r="AE140" i="1" s="1"/>
  <c r="AD186" i="1"/>
  <c r="AE186" i="1" s="1"/>
  <c r="AD217" i="1"/>
  <c r="AE217" i="1" s="1"/>
  <c r="AD12" i="1"/>
  <c r="AE12" i="1" s="1"/>
  <c r="AD250" i="1"/>
  <c r="AE250" i="1" s="1"/>
  <c r="AD94" i="1"/>
  <c r="AE94" i="1" s="1"/>
  <c r="AD197" i="1"/>
  <c r="AE197" i="1" s="1"/>
  <c r="AD113" i="1"/>
  <c r="AE113" i="1" s="1"/>
  <c r="AD112" i="1"/>
  <c r="AE112" i="1" s="1"/>
  <c r="AD161" i="1"/>
  <c r="AE161" i="1" s="1"/>
  <c r="AD9" i="1"/>
  <c r="AE9" i="1" s="1"/>
  <c r="AD156" i="1"/>
  <c r="AE156" i="1" s="1"/>
  <c r="AD287" i="1"/>
  <c r="AE287" i="1" s="1"/>
  <c r="AD166" i="1"/>
  <c r="AE166" i="1" s="1"/>
  <c r="AD277" i="1"/>
  <c r="AE277" i="1" s="1"/>
  <c r="AD200" i="1"/>
  <c r="AE200" i="1" s="1"/>
  <c r="AD292" i="1"/>
  <c r="AE292" i="1" s="1"/>
  <c r="AD175" i="1"/>
  <c r="AE175" i="1" s="1"/>
  <c r="AD14" i="1"/>
  <c r="AE14" i="1" s="1"/>
  <c r="AD222" i="1"/>
  <c r="AE222" i="1" s="1"/>
  <c r="AD67" i="1"/>
  <c r="AE67" i="1" s="1"/>
  <c r="AD133" i="1"/>
  <c r="AE133" i="1" s="1"/>
  <c r="AD86" i="1"/>
  <c r="AE86" i="1" s="1"/>
  <c r="AD256" i="1"/>
  <c r="AE256" i="1" s="1"/>
  <c r="AD249" i="1"/>
  <c r="AE249" i="1" s="1"/>
  <c r="AD297" i="1"/>
  <c r="AE297" i="1" s="1"/>
  <c r="AD132" i="1"/>
  <c r="AE132" i="1" s="1"/>
  <c r="AD40" i="1"/>
  <c r="AE40" i="1" s="1"/>
  <c r="AD128" i="1"/>
  <c r="AE128" i="1" s="1"/>
  <c r="AD108" i="1"/>
  <c r="AE108" i="1" s="1"/>
  <c r="AD290" i="1"/>
  <c r="AE290" i="1" s="1"/>
  <c r="AD57" i="1"/>
  <c r="AE57" i="1" s="1"/>
  <c r="AD143" i="1"/>
  <c r="AE143" i="1" s="1"/>
  <c r="AD178" i="1"/>
  <c r="AE178" i="1" s="1"/>
  <c r="AD107" i="1"/>
  <c r="AE107" i="1" s="1"/>
  <c r="AD88" i="1"/>
  <c r="AE88" i="1" s="1"/>
  <c r="AD231" i="1"/>
  <c r="AE231" i="1" s="1"/>
  <c r="AD172" i="1"/>
  <c r="AE172" i="1" s="1"/>
  <c r="AD150" i="1"/>
  <c r="AE150" i="1" s="1"/>
  <c r="AD243" i="1"/>
  <c r="AE243" i="1" s="1"/>
  <c r="AD22" i="1"/>
  <c r="AE22" i="1" s="1"/>
  <c r="AD171" i="1"/>
  <c r="AE171" i="1" s="1"/>
  <c r="AD302" i="1"/>
  <c r="AE302" i="1" s="1"/>
  <c r="AD262" i="1"/>
  <c r="AE262" i="1" s="1"/>
  <c r="AD31" i="1"/>
  <c r="AE31" i="1" s="1"/>
  <c r="AD20" i="1"/>
  <c r="AE20" i="1" s="1"/>
  <c r="AD10" i="1"/>
  <c r="AE10" i="1" s="1"/>
  <c r="AD46" i="1"/>
  <c r="AE46" i="1" s="1"/>
  <c r="AD154" i="1"/>
  <c r="AE154" i="1" s="1"/>
  <c r="AD312" i="1"/>
  <c r="AE312" i="1" s="1"/>
  <c r="AD251" i="1"/>
  <c r="AE251" i="1" s="1"/>
  <c r="AD245" i="1"/>
  <c r="AE245" i="1" s="1"/>
  <c r="AD81" i="1"/>
  <c r="AE81" i="1" s="1"/>
  <c r="AD75" i="1"/>
  <c r="AE75" i="1" s="1"/>
  <c r="AD240" i="1"/>
  <c r="AE240" i="1" s="1"/>
  <c r="AD313" i="1"/>
  <c r="AE313" i="1" s="1"/>
  <c r="AD99" i="1"/>
  <c r="AE99" i="1" s="1"/>
  <c r="AD173" i="1"/>
  <c r="AE173" i="1" s="1"/>
  <c r="AD80" i="1"/>
  <c r="AE80" i="1" s="1"/>
  <c r="AD82" i="1"/>
  <c r="AE82" i="1" s="1"/>
  <c r="AD11" i="1"/>
  <c r="AE11" i="1" s="1"/>
  <c r="AD209" i="1"/>
  <c r="AE209" i="1" s="1"/>
  <c r="AD90" i="1"/>
  <c r="AE90" i="1" s="1"/>
  <c r="AD226" i="1"/>
  <c r="AE226" i="1" s="1"/>
  <c r="AD236" i="1"/>
  <c r="AE236" i="1" s="1"/>
  <c r="AD304" i="1"/>
  <c r="AE304" i="1" s="1"/>
  <c r="AD220" i="1"/>
  <c r="AE220" i="1" s="1"/>
  <c r="AD296" i="1"/>
  <c r="AE296" i="1" s="1"/>
  <c r="AD246" i="1"/>
  <c r="AE246" i="1" s="1"/>
  <c r="AD207" i="1"/>
  <c r="AE207" i="1" s="1"/>
  <c r="AD268" i="1"/>
  <c r="AE268" i="1" s="1"/>
  <c r="AD160" i="1"/>
  <c r="AE160" i="1" s="1"/>
  <c r="AD328" i="1"/>
  <c r="AE328" i="1" s="1"/>
  <c r="AD238" i="1"/>
  <c r="AE238" i="1" s="1"/>
  <c r="AD131" i="1"/>
  <c r="AE131" i="1" s="1"/>
  <c r="AD43" i="1"/>
  <c r="AE43" i="1" s="1"/>
  <c r="AD151" i="1"/>
  <c r="AE151" i="1" s="1"/>
  <c r="AD291" i="1"/>
  <c r="AE291" i="1" s="1"/>
  <c r="AD118" i="1"/>
  <c r="AE118" i="1" s="1"/>
  <c r="AD135" i="1"/>
  <c r="AE135" i="1" s="1"/>
  <c r="AD44" i="1"/>
  <c r="AE44" i="1" s="1"/>
  <c r="AD169" i="1"/>
  <c r="AE169" i="1" s="1"/>
  <c r="AD146" i="1"/>
  <c r="AE146" i="1" s="1"/>
  <c r="AD102" i="1"/>
  <c r="AE102" i="1" s="1"/>
  <c r="AD63" i="1"/>
  <c r="AE63" i="1" s="1"/>
  <c r="AD218" i="1"/>
  <c r="AE218" i="1" s="1"/>
  <c r="AD136" i="1"/>
  <c r="AE136" i="1" s="1"/>
  <c r="AD5" i="1"/>
  <c r="AE5" i="1" s="1"/>
  <c r="AD52" i="1"/>
  <c r="AE52" i="1" s="1"/>
  <c r="AD193" i="1"/>
  <c r="AE193" i="1" s="1"/>
  <c r="AD311" i="1"/>
  <c r="AE311" i="1" s="1"/>
  <c r="AD115" i="1"/>
  <c r="AE115" i="1" s="1"/>
  <c r="AD41" i="1"/>
  <c r="AE41" i="1" s="1"/>
  <c r="AD272" i="1"/>
  <c r="AE272" i="1" s="1"/>
  <c r="AD48" i="1"/>
  <c r="AE48" i="1" s="1"/>
  <c r="AD37" i="1"/>
  <c r="AE37" i="1" s="1"/>
  <c r="AD122" i="1"/>
  <c r="AE122" i="1" s="1"/>
  <c r="AD74" i="1"/>
  <c r="AE74" i="1" s="1"/>
  <c r="AD19" i="1"/>
  <c r="AE19" i="1" s="1"/>
  <c r="AD92" i="1"/>
  <c r="AE92" i="1" s="1"/>
  <c r="AD303" i="1"/>
  <c r="AE303" i="1" s="1"/>
  <c r="AD60" i="1"/>
  <c r="AE60" i="1" s="1"/>
  <c r="AD230" i="1"/>
  <c r="AE230" i="1" s="1"/>
  <c r="AD244" i="1"/>
  <c r="AE244" i="1" s="1"/>
  <c r="AD182" i="1"/>
  <c r="AE182" i="1" s="1"/>
  <c r="AD219" i="1"/>
  <c r="AE219" i="1" s="1"/>
  <c r="AD119" i="1"/>
  <c r="AE119" i="1" s="1"/>
  <c r="AD34" i="1"/>
  <c r="AE34" i="1" s="1"/>
  <c r="AD39" i="1"/>
  <c r="AE39" i="1" s="1"/>
  <c r="AD159" i="1"/>
  <c r="AE159" i="1" s="1"/>
  <c r="AD204" i="1"/>
  <c r="AE204" i="1" s="1"/>
  <c r="AD210" i="1"/>
  <c r="AE210" i="1" s="1"/>
  <c r="AD278" i="1"/>
  <c r="AE278" i="1" s="1"/>
  <c r="AD58" i="1"/>
  <c r="AE58" i="1" s="1"/>
  <c r="AD124" i="1"/>
  <c r="AE124" i="1" s="1"/>
  <c r="AD152" i="1"/>
  <c r="AE152" i="1" s="1"/>
  <c r="AD138" i="1"/>
  <c r="AE138" i="1" s="1"/>
  <c r="AD100" i="1"/>
  <c r="AE100" i="1" s="1"/>
  <c r="AD54" i="1"/>
  <c r="AE54" i="1" s="1"/>
  <c r="AD174" i="1"/>
  <c r="AE174" i="1" s="1"/>
  <c r="AD233" i="1"/>
  <c r="AE233" i="1" s="1"/>
  <c r="AD16" i="1"/>
  <c r="AE16" i="1" s="1"/>
  <c r="AD117" i="1"/>
  <c r="AE117" i="1" s="1"/>
  <c r="AD72" i="1"/>
  <c r="AE72" i="1" s="1"/>
  <c r="AD38" i="1"/>
  <c r="AE38" i="1" s="1"/>
  <c r="AD225" i="1"/>
  <c r="AE225" i="1" s="1"/>
  <c r="AD259" i="1"/>
  <c r="AE259" i="1" s="1"/>
  <c r="AD221" i="1"/>
  <c r="AE221" i="1" s="1"/>
  <c r="AD206" i="1"/>
  <c r="AE206" i="1" s="1"/>
  <c r="AD129" i="1"/>
  <c r="AE129" i="1" s="1"/>
  <c r="AD77" i="1"/>
  <c r="AE77" i="1" s="1"/>
  <c r="AD18" i="1"/>
  <c r="AE18" i="1" s="1"/>
  <c r="AD281" i="1"/>
  <c r="AE281" i="1" s="1"/>
  <c r="AD274" i="1"/>
  <c r="AE274" i="1" s="1"/>
  <c r="AD71" i="1"/>
  <c r="AE71" i="1" s="1"/>
  <c r="AD163" i="1"/>
  <c r="AE163" i="1" s="1"/>
  <c r="AD157" i="1"/>
  <c r="AE157" i="1" s="1"/>
  <c r="AD149" i="1"/>
  <c r="AE149" i="1" s="1"/>
  <c r="AD73" i="1"/>
  <c r="AE73" i="1" s="1"/>
  <c r="AD271" i="1"/>
  <c r="AE271" i="1" s="1"/>
  <c r="AD187" i="1"/>
  <c r="AE187" i="1" s="1"/>
  <c r="AD127" i="1"/>
  <c r="AE127" i="1" s="1"/>
  <c r="AD4" i="1"/>
  <c r="AE4" i="1" s="1"/>
  <c r="AD21" i="1"/>
  <c r="AE21" i="1" s="1"/>
  <c r="AD91" i="1"/>
  <c r="AE91" i="1" s="1"/>
  <c r="AD165" i="1"/>
  <c r="AE165" i="1" s="1"/>
  <c r="AD216" i="1"/>
  <c r="AE216" i="1" s="1"/>
  <c r="AD257" i="1"/>
  <c r="AE257" i="1" s="1"/>
  <c r="AD184" i="1"/>
  <c r="AE184" i="1" s="1"/>
  <c r="AD314" i="1"/>
  <c r="AE314" i="1" s="1"/>
  <c r="AD168" i="1"/>
  <c r="AE168" i="1" s="1"/>
  <c r="AD253" i="1"/>
  <c r="AE253" i="1" s="1"/>
  <c r="AD331" i="1"/>
  <c r="AE331" i="1" s="1"/>
  <c r="AD189" i="1"/>
  <c r="AE189" i="1" s="1"/>
  <c r="AD158" i="1"/>
  <c r="AE158" i="1" s="1"/>
  <c r="AD192" i="1"/>
  <c r="AE192" i="1" s="1"/>
  <c r="AD213" i="1"/>
  <c r="AE213" i="1" s="1"/>
  <c r="AD237" i="1"/>
  <c r="AE237" i="1" s="1"/>
  <c r="AD208" i="1"/>
  <c r="AE208" i="1" s="1"/>
  <c r="AD61" i="1"/>
  <c r="AE61" i="1" s="1"/>
  <c r="AD32" i="1"/>
  <c r="AE32" i="1" s="1"/>
  <c r="AD121" i="1"/>
  <c r="AE121" i="1" s="1"/>
  <c r="AD286" i="1"/>
  <c r="AE286" i="1" s="1"/>
  <c r="AD305" i="1"/>
  <c r="AE305" i="1" s="1"/>
  <c r="AD266" i="1"/>
  <c r="AE266" i="1" s="1"/>
  <c r="AD96" i="1"/>
  <c r="AE96" i="1" s="1"/>
  <c r="AD180" i="1"/>
  <c r="AE180" i="1" s="1"/>
  <c r="AD109" i="1"/>
  <c r="AE109" i="1" s="1"/>
  <c r="AD195" i="1"/>
  <c r="AE195" i="1" s="1"/>
  <c r="AD198" i="1"/>
  <c r="AE198" i="1" s="1"/>
  <c r="AD261" i="1"/>
  <c r="AE261" i="1" s="1"/>
  <c r="AD282" i="1"/>
  <c r="AE282" i="1" s="1"/>
  <c r="AD254" i="1"/>
  <c r="AE254" i="1" s="1"/>
  <c r="AD53" i="1"/>
  <c r="AE53" i="1" s="1"/>
  <c r="AD69" i="1"/>
  <c r="AE69" i="1" s="1"/>
  <c r="AD87" i="1"/>
  <c r="AE87" i="1" s="1"/>
  <c r="AD279" i="1"/>
  <c r="AE279" i="1" s="1"/>
  <c r="AD30" i="1"/>
  <c r="AE30" i="1" s="1"/>
  <c r="AD155" i="1"/>
  <c r="AE155" i="1" s="1"/>
  <c r="AD33" i="1"/>
  <c r="AE33" i="1" s="1"/>
  <c r="AD295" i="1"/>
  <c r="AE295" i="1" s="1"/>
  <c r="AD83" i="1"/>
  <c r="AE83" i="1" s="1"/>
  <c r="AD162" i="1"/>
  <c r="AE162" i="1" s="1"/>
  <c r="AD27" i="1"/>
  <c r="AE27" i="1" s="1"/>
  <c r="AD280" i="1"/>
  <c r="AE280" i="1" s="1"/>
  <c r="AD76" i="1"/>
  <c r="AE76" i="1" s="1"/>
  <c r="AD134" i="1"/>
  <c r="AE134" i="1" s="1"/>
  <c r="AD35" i="1"/>
  <c r="AE35" i="1" s="1"/>
  <c r="AD125" i="1"/>
  <c r="AE125" i="1" s="1"/>
  <c r="AD239" i="1"/>
  <c r="AE239" i="1" s="1"/>
  <c r="AD300" i="1"/>
  <c r="AE300" i="1" s="1"/>
  <c r="AD78" i="1"/>
  <c r="AE78" i="1" s="1"/>
  <c r="AD307" i="1"/>
  <c r="AE307" i="1" s="1"/>
  <c r="AD120" i="1"/>
  <c r="AE120" i="1" s="1"/>
  <c r="AD285" i="1"/>
  <c r="AE285" i="1" s="1"/>
  <c r="AD147" i="1"/>
  <c r="AE147" i="1" s="1"/>
  <c r="AD263" i="1"/>
  <c r="AE263" i="1" s="1"/>
  <c r="AD79" i="1"/>
  <c r="AE79" i="1" s="1"/>
  <c r="AD164" i="1"/>
  <c r="AE164" i="1" s="1"/>
  <c r="AD260" i="1"/>
  <c r="AE260" i="1" s="1"/>
  <c r="AD215" i="1"/>
  <c r="AE215" i="1" s="1"/>
  <c r="AD45" i="1"/>
  <c r="AE45" i="1" s="1"/>
  <c r="AD36" i="1"/>
  <c r="AE36" i="1" s="1"/>
  <c r="AD25" i="1"/>
  <c r="AE25" i="1" s="1"/>
  <c r="AD66" i="1"/>
  <c r="AE66" i="1" s="1"/>
  <c r="AD306" i="1"/>
  <c r="AE306" i="1" s="1"/>
  <c r="AD105" i="1"/>
  <c r="AE105" i="1" s="1"/>
  <c r="AD202" i="1"/>
  <c r="AE202" i="1" s="1"/>
  <c r="AD49" i="1"/>
  <c r="AE49" i="1" s="1"/>
  <c r="AD199" i="1"/>
  <c r="AE199" i="1" s="1"/>
  <c r="AD212" i="1"/>
  <c r="AE212" i="1" s="1"/>
  <c r="AD6" i="1"/>
  <c r="AE6" i="1" s="1"/>
  <c r="AD289" i="1"/>
  <c r="AE289" i="1" s="1"/>
  <c r="AD42" i="1"/>
  <c r="AE42" i="1" s="1"/>
  <c r="AD284" i="1"/>
  <c r="AE284" i="1" s="1"/>
  <c r="AD183" i="1"/>
  <c r="AE183" i="1" s="1"/>
  <c r="AD59" i="1"/>
  <c r="AE59" i="1" s="1"/>
  <c r="AD98" i="1"/>
  <c r="AE98" i="1" s="1"/>
  <c r="AD126" i="1"/>
  <c r="AE126" i="1" s="1"/>
  <c r="AD144" i="1"/>
  <c r="AE144" i="1" s="1"/>
  <c r="AD191" i="1"/>
  <c r="AE191" i="1" s="1"/>
  <c r="AD308" i="1"/>
  <c r="AE308" i="1" s="1"/>
  <c r="AD293" i="1"/>
  <c r="AE293" i="1" s="1"/>
  <c r="AD203" i="1"/>
  <c r="AE203" i="1" s="1"/>
  <c r="AD255" i="1"/>
  <c r="AE255" i="1" s="1"/>
  <c r="AD116" i="1"/>
  <c r="AE116" i="1" s="1"/>
  <c r="AD70" i="1"/>
  <c r="AE70" i="1" s="1"/>
  <c r="AD188" i="1"/>
  <c r="AE188" i="1" s="1"/>
  <c r="AD269" i="1"/>
  <c r="AE269" i="1" s="1"/>
  <c r="AD329" i="1"/>
  <c r="AE329" i="1" s="1"/>
  <c r="AD267" i="1"/>
  <c r="AE267" i="1" s="1"/>
  <c r="AD111" i="1"/>
  <c r="AE111" i="1" s="1"/>
  <c r="AD139" i="1"/>
  <c r="AE139" i="1" s="1"/>
  <c r="AD310" i="1"/>
  <c r="AE310" i="1" s="1"/>
  <c r="AD56" i="1"/>
  <c r="AE56" i="1" s="1"/>
  <c r="AD232" i="1"/>
  <c r="AE232" i="1" s="1"/>
  <c r="AD275" i="1"/>
  <c r="AE275" i="1" s="1"/>
  <c r="AD23" i="1"/>
  <c r="AE23" i="1" s="1"/>
  <c r="AD68" i="1"/>
  <c r="AE68" i="1" s="1"/>
  <c r="AD258" i="1"/>
  <c r="AE258" i="1" s="1"/>
  <c r="AD235" i="1"/>
  <c r="AE235" i="1" s="1"/>
  <c r="AD170" i="1"/>
  <c r="AE170" i="1" s="1"/>
  <c r="AD177" i="1"/>
  <c r="AE177" i="1" s="1"/>
  <c r="AD55" i="1"/>
  <c r="AE55" i="1" s="1"/>
  <c r="AD288" i="1"/>
  <c r="AE288" i="1" s="1"/>
  <c r="AD234" i="1"/>
  <c r="AE234" i="1" s="1"/>
  <c r="AD270" i="1"/>
  <c r="AE270" i="1" s="1"/>
  <c r="AD299" i="1"/>
  <c r="AE299" i="1" s="1"/>
  <c r="AD241" i="1"/>
  <c r="AE241" i="1" s="1"/>
  <c r="AD93" i="1"/>
  <c r="AE93" i="1" s="1"/>
  <c r="AD13" i="1"/>
  <c r="AE13" i="1" s="1"/>
  <c r="AD84" i="1"/>
  <c r="AE84" i="1" s="1"/>
  <c r="AD106" i="1"/>
  <c r="AE106" i="1" s="1"/>
  <c r="AD294" i="1"/>
  <c r="AE294" i="1" s="1"/>
  <c r="AD114" i="1"/>
  <c r="AE114" i="1" s="1"/>
  <c r="AD103" i="1"/>
  <c r="AE103" i="1" s="1"/>
  <c r="AD298" i="1"/>
  <c r="AE298" i="1" s="1"/>
  <c r="AD64" i="1"/>
  <c r="AE64" i="1" s="1"/>
  <c r="AD65" i="1"/>
  <c r="AE65" i="1" s="1"/>
  <c r="AD181" i="1"/>
  <c r="AE181" i="1" s="1"/>
  <c r="AD110" i="1"/>
  <c r="AE110" i="1" s="1"/>
  <c r="AD15" i="1"/>
  <c r="AE15" i="1" s="1"/>
  <c r="AD97" i="1"/>
  <c r="AE97" i="1" s="1"/>
  <c r="AD141" i="1"/>
  <c r="AE141" i="1" s="1"/>
  <c r="AD309" i="1"/>
  <c r="AE309" i="1" s="1"/>
  <c r="AD176" i="1"/>
  <c r="AE176" i="1" s="1"/>
  <c r="AD223" i="1"/>
  <c r="AE223" i="1" s="1"/>
  <c r="AD101" i="1"/>
  <c r="AE101" i="1" s="1"/>
  <c r="AD211" i="1"/>
  <c r="AE211" i="1" s="1"/>
  <c r="AD227" i="1"/>
  <c r="AE227" i="1" s="1"/>
  <c r="AD24" i="1"/>
  <c r="AE24" i="1" s="1"/>
  <c r="AD242" i="1"/>
  <c r="AE242" i="1" s="1"/>
  <c r="AD252" i="1"/>
  <c r="AE252" i="1" s="1"/>
  <c r="AD196" i="1"/>
  <c r="AE196" i="1" s="1"/>
  <c r="AD273" i="1"/>
  <c r="AE273" i="1" s="1"/>
  <c r="AD8" i="1"/>
  <c r="AE8" i="1" s="1"/>
  <c r="AD95" i="1"/>
  <c r="AE95" i="1" s="1"/>
  <c r="AD283" i="1"/>
  <c r="AE283" i="1" s="1"/>
  <c r="AD190" i="1"/>
  <c r="AE190" i="1" s="1"/>
  <c r="AD51" i="1"/>
  <c r="AE51" i="1" s="1"/>
  <c r="AD194" i="1"/>
  <c r="AE194" i="1" s="1"/>
  <c r="AD179" i="1"/>
  <c r="AE179" i="1" s="1"/>
  <c r="AD201" i="1"/>
  <c r="AE201" i="1" s="1"/>
  <c r="AD85" i="1"/>
  <c r="AE85" i="1" s="1"/>
  <c r="AD153" i="1"/>
  <c r="AE153" i="1" s="1"/>
  <c r="AD301" i="1"/>
  <c r="AE301" i="1" s="1"/>
  <c r="AD247" i="1"/>
  <c r="AE247" i="1" s="1"/>
  <c r="AD276" i="1"/>
  <c r="AE276" i="1" s="1"/>
  <c r="AD29" i="1"/>
  <c r="AE29" i="1" s="1"/>
  <c r="AD264" i="1"/>
  <c r="AE264" i="1" s="1"/>
  <c r="AD50" i="1"/>
  <c r="AE50" i="1" s="1"/>
  <c r="AD7" i="1"/>
  <c r="AE7" i="1" s="1"/>
  <c r="AD142" i="1"/>
  <c r="AE142" i="1" s="1"/>
  <c r="AD185" i="1"/>
  <c r="AE185" i="1" s="1"/>
  <c r="AD228" i="1"/>
  <c r="AE228" i="1" s="1"/>
  <c r="AD123" i="1"/>
  <c r="AE123" i="1" s="1"/>
  <c r="AD28" i="1"/>
  <c r="AE28" i="1" s="1"/>
  <c r="AD224" i="1"/>
  <c r="AE224" i="1" s="1"/>
  <c r="AD26" i="1"/>
  <c r="AE26" i="1" s="1"/>
  <c r="AD148" i="1"/>
  <c r="AE148" i="1" s="1"/>
  <c r="AD248" i="1"/>
  <c r="AE248" i="1" s="1"/>
  <c r="AD89" i="1"/>
  <c r="AE89" i="1" s="1"/>
  <c r="AD205" i="1"/>
  <c r="AE205" i="1" s="1"/>
  <c r="AD214" i="1"/>
  <c r="AE214" i="1" s="1"/>
  <c r="AD17" i="1"/>
  <c r="AE17" i="1" s="1"/>
  <c r="AD145" i="1"/>
  <c r="AE145" i="1" s="1"/>
  <c r="AD104" i="1"/>
  <c r="AE104" i="1" s="1"/>
  <c r="AD265" i="1"/>
  <c r="AE265" i="1" s="1"/>
  <c r="AD317" i="1"/>
  <c r="AE317" i="1" s="1"/>
  <c r="AD321" i="1"/>
  <c r="AE321" i="1" s="1"/>
  <c r="AD320" i="1"/>
  <c r="AE320" i="1" s="1"/>
  <c r="AD318" i="1"/>
  <c r="AE318" i="1" s="1"/>
  <c r="AD322" i="1"/>
  <c r="AE322" i="1" s="1"/>
  <c r="AD324" i="1"/>
  <c r="AE324" i="1" s="1"/>
  <c r="AD326" i="1"/>
  <c r="AE326" i="1" s="1"/>
  <c r="AD327" i="1"/>
  <c r="AE327" i="1" s="1"/>
  <c r="AD332" i="1"/>
  <c r="AE332" i="1" s="1"/>
  <c r="AB180" i="1"/>
  <c r="Q266" i="1"/>
  <c r="Q134" i="1"/>
  <c r="Q13" i="1"/>
  <c r="Q166" i="1"/>
  <c r="Q147" i="1"/>
  <c r="Q315" i="1"/>
  <c r="Q24" i="1"/>
  <c r="Q249" i="1"/>
  <c r="Q155" i="1"/>
  <c r="Q191" i="1"/>
  <c r="Q152" i="1"/>
  <c r="Q37" i="1"/>
  <c r="Q105" i="1"/>
  <c r="Q33" i="1"/>
  <c r="Q101" i="1"/>
  <c r="Q220" i="1"/>
  <c r="Q308" i="1"/>
  <c r="Q89" i="1"/>
  <c r="Q119" i="1"/>
  <c r="Q306" i="1"/>
  <c r="Q338" i="1"/>
  <c r="Q289" i="1"/>
  <c r="Q128" i="1"/>
  <c r="Q293" i="1"/>
  <c r="Q124" i="1"/>
  <c r="Q53" i="1"/>
  <c r="Q99" i="1"/>
  <c r="Q84" i="1"/>
  <c r="Q185" i="1"/>
  <c r="Q309" i="1"/>
  <c r="Q299" i="1"/>
  <c r="Q298" i="1"/>
  <c r="Q160" i="1"/>
  <c r="Q81" i="1"/>
  <c r="Q15" i="1"/>
  <c r="Q148" i="1"/>
  <c r="Q193" i="1"/>
  <c r="Q224" i="1"/>
  <c r="Q206" i="1"/>
  <c r="Q151" i="1"/>
  <c r="Q196" i="1"/>
  <c r="Q125" i="1"/>
  <c r="Q214" i="1"/>
  <c r="Q288" i="1"/>
  <c r="Q261" i="1"/>
  <c r="Q205" i="1"/>
  <c r="Q216" i="1"/>
  <c r="Q178" i="1"/>
  <c r="Q215" i="1"/>
  <c r="Q256" i="1"/>
  <c r="Q184" i="1"/>
  <c r="Q140" i="1"/>
  <c r="Q179" i="1"/>
  <c r="Q153" i="1"/>
  <c r="Q102" i="1"/>
  <c r="Q25" i="1"/>
  <c r="Q115" i="1"/>
  <c r="Q75" i="1"/>
  <c r="Q34" i="1"/>
  <c r="Q44" i="1"/>
  <c r="Q70" i="1"/>
  <c r="Q21" i="1"/>
  <c r="Q210" i="1"/>
  <c r="Q73" i="1"/>
  <c r="Q319" i="1"/>
  <c r="Q296" i="1"/>
  <c r="Q275" i="1"/>
  <c r="Q98" i="1"/>
  <c r="Q112" i="1"/>
  <c r="Q76" i="1"/>
  <c r="Q135" i="1"/>
  <c r="Q103" i="1"/>
  <c r="Q239" i="1"/>
  <c r="Q232" i="1"/>
  <c r="Q221" i="1"/>
  <c r="Q199" i="1"/>
  <c r="Q123" i="1"/>
  <c r="Q284" i="1"/>
  <c r="Q260" i="1"/>
  <c r="Q247" i="1"/>
  <c r="Q237" i="1"/>
  <c r="Q177" i="1"/>
  <c r="Q258" i="1"/>
  <c r="Q233" i="1"/>
  <c r="Q209" i="1"/>
  <c r="Q169" i="1"/>
  <c r="Q132" i="1"/>
  <c r="Q143" i="1"/>
  <c r="Q244" i="1"/>
  <c r="Q213" i="1"/>
  <c r="Q181" i="1"/>
  <c r="Q170" i="1"/>
  <c r="Q149" i="1"/>
  <c r="Q117" i="1"/>
  <c r="Q82" i="1"/>
  <c r="Q22" i="1"/>
  <c r="Q87" i="1"/>
  <c r="Q45" i="1"/>
  <c r="Q71" i="1"/>
  <c r="Q43" i="1"/>
  <c r="Q31" i="1"/>
  <c r="Q19" i="1"/>
  <c r="Q295" i="1"/>
  <c r="Q23" i="1"/>
  <c r="Q302" i="1"/>
  <c r="Q40" i="1"/>
  <c r="Q312" i="1"/>
  <c r="Q321" i="1"/>
  <c r="Q320" i="1"/>
  <c r="Q323" i="1"/>
  <c r="Q201" i="1"/>
  <c r="Q326" i="1"/>
  <c r="Q176" i="1"/>
  <c r="Q334" i="1"/>
  <c r="Q173" i="1"/>
  <c r="Q195" i="1"/>
  <c r="Q88" i="1"/>
  <c r="Q29" i="1"/>
  <c r="Q158" i="1"/>
  <c r="Q104" i="1"/>
  <c r="Q180" i="1"/>
  <c r="Q290" i="1"/>
  <c r="Q55" i="1"/>
  <c r="Q86" i="1"/>
  <c r="Q109" i="1"/>
  <c r="Q174" i="1"/>
  <c r="Q56" i="1"/>
  <c r="Q162" i="1"/>
  <c r="Q264" i="1"/>
  <c r="Q280" i="1"/>
  <c r="Q252" i="1"/>
  <c r="Q270" i="1"/>
  <c r="Q246" i="1"/>
  <c r="Q207" i="1"/>
  <c r="Q164" i="1"/>
  <c r="Q277" i="1"/>
  <c r="Q172" i="1"/>
  <c r="Q253" i="1"/>
  <c r="Q238" i="1"/>
  <c r="Q226" i="1"/>
  <c r="Q189" i="1"/>
  <c r="Q159" i="1"/>
  <c r="Q127" i="1"/>
  <c r="Q223" i="1"/>
  <c r="Q218" i="1"/>
  <c r="Q142" i="1"/>
  <c r="Q241" i="1"/>
  <c r="Q202" i="1"/>
  <c r="Q131" i="1"/>
  <c r="Q141" i="1"/>
  <c r="Q114" i="1"/>
  <c r="Q133" i="1"/>
  <c r="Q77" i="1"/>
  <c r="Q39" i="1"/>
  <c r="Q41" i="1"/>
  <c r="Q66" i="1"/>
  <c r="Q48" i="1"/>
  <c r="Q30" i="1"/>
  <c r="Q36" i="1"/>
  <c r="Q9" i="1"/>
  <c r="Q27" i="1"/>
  <c r="Q20" i="1"/>
  <c r="Q6" i="1"/>
  <c r="Q301" i="1"/>
  <c r="Q322" i="1"/>
  <c r="Q190" i="1"/>
  <c r="Q331" i="1"/>
  <c r="Q230" i="1"/>
  <c r="Q94" i="1"/>
  <c r="BT46" i="1"/>
  <c r="Q46" i="1" s="1"/>
  <c r="Q336" i="1"/>
  <c r="Q90" i="1"/>
  <c r="Q171" i="1"/>
  <c r="Q69" i="1"/>
  <c r="Q138" i="1"/>
  <c r="Q150" i="1"/>
  <c r="Q204" i="1"/>
  <c r="Q5" i="1"/>
  <c r="Q57" i="1"/>
  <c r="Q248" i="1"/>
  <c r="Q267" i="1"/>
  <c r="Q61" i="1"/>
  <c r="Q194" i="1"/>
  <c r="Q292" i="1"/>
  <c r="Q211" i="1"/>
  <c r="Q254" i="1"/>
  <c r="Q262" i="1"/>
  <c r="Q269" i="1"/>
  <c r="Q228" i="1"/>
  <c r="Q145" i="1"/>
  <c r="Q272" i="1"/>
  <c r="Q236" i="1"/>
  <c r="Q222" i="1"/>
  <c r="Q197" i="1"/>
  <c r="Q187" i="1"/>
  <c r="Q111" i="1"/>
  <c r="Q110" i="1"/>
  <c r="Q95" i="1"/>
  <c r="Q129" i="1"/>
  <c r="Q62" i="1"/>
  <c r="Q120" i="1"/>
  <c r="Q51" i="1"/>
  <c r="Q28" i="1"/>
  <c r="Q16" i="1"/>
  <c r="Q17" i="1"/>
  <c r="Q297" i="1"/>
  <c r="Q219" i="1"/>
  <c r="Q126" i="1"/>
  <c r="Q313" i="1"/>
  <c r="Q311" i="1"/>
  <c r="Q317" i="1"/>
  <c r="Q318" i="1"/>
  <c r="Q325" i="1"/>
  <c r="Q310" i="1"/>
  <c r="Q265" i="1"/>
  <c r="Q328" i="1"/>
  <c r="Q231" i="1"/>
  <c r="Q332" i="1"/>
  <c r="Q96" i="1"/>
  <c r="Q339" i="1"/>
  <c r="Q287" i="1"/>
  <c r="AX364" i="1"/>
  <c r="AX358" i="1"/>
  <c r="AX354" i="1"/>
  <c r="AX360" i="1"/>
  <c r="BX365" i="1"/>
  <c r="AX357" i="1"/>
  <c r="AX361" i="1"/>
  <c r="BX357" i="1"/>
  <c r="AX355" i="1"/>
  <c r="AX366" i="1"/>
  <c r="BY363" i="1"/>
  <c r="AX353" i="1"/>
  <c r="AX365" i="1"/>
  <c r="AX362" i="1"/>
  <c r="AX363" i="1"/>
  <c r="BX353" i="1"/>
  <c r="AX367" i="1"/>
  <c r="BX363" i="1"/>
  <c r="AX352" i="1"/>
  <c r="AX369" i="1"/>
  <c r="AI167" i="1" l="1"/>
  <c r="AY369" i="1"/>
  <c r="V369" i="1" s="1"/>
  <c r="AJ369" i="1" s="1"/>
  <c r="AK369" i="1" s="1"/>
  <c r="AA369" i="1"/>
  <c r="Y369" i="1" s="1"/>
  <c r="AA364" i="1"/>
  <c r="Y364" i="1" s="1"/>
  <c r="AY364" i="1"/>
  <c r="V364" i="1" s="1"/>
  <c r="AY357" i="1"/>
  <c r="AY362" i="1"/>
  <c r="V362" i="1" s="1"/>
  <c r="AA362" i="1"/>
  <c r="Y362" i="1" s="1"/>
  <c r="AA360" i="1"/>
  <c r="Y360" i="1" s="1"/>
  <c r="AY360" i="1"/>
  <c r="V360" i="1" s="1"/>
  <c r="AA363" i="1"/>
  <c r="Y363" i="1" s="1"/>
  <c r="AY358" i="1"/>
  <c r="V358" i="1" s="1"/>
  <c r="AY361" i="1"/>
  <c r="V361" i="1" s="1"/>
  <c r="AA361" i="1"/>
  <c r="Y361" i="1" s="1"/>
  <c r="AA358" i="1"/>
  <c r="Y358" i="1" s="1"/>
  <c r="AY366" i="1"/>
  <c r="V366" i="1" s="1"/>
  <c r="AA366" i="1"/>
  <c r="Y366" i="1" s="1"/>
  <c r="AY365" i="1"/>
  <c r="AY363" i="1"/>
  <c r="AA367" i="1"/>
  <c r="Y367" i="1" s="1"/>
  <c r="AY367" i="1"/>
  <c r="V367" i="1" s="1"/>
  <c r="AA352" i="1"/>
  <c r="AY352" i="1"/>
  <c r="V352" i="1" s="1"/>
  <c r="AY353" i="1"/>
  <c r="AA355" i="1"/>
  <c r="AY355" i="1"/>
  <c r="V355" i="1" s="1"/>
  <c r="AY354" i="1"/>
  <c r="V354" i="1" s="1"/>
  <c r="AA354" i="1"/>
  <c r="AX356" i="1"/>
  <c r="BY365" i="1"/>
  <c r="AA365" i="1" l="1"/>
  <c r="Y365" i="1" s="1"/>
  <c r="BY357" i="1"/>
  <c r="AA356" i="1" l="1"/>
  <c r="AY356" i="1"/>
  <c r="V356" i="1" s="1"/>
  <c r="AX350" i="1"/>
  <c r="AX359" i="1"/>
  <c r="AY359" i="1" l="1"/>
  <c r="V359" i="1" s="1"/>
  <c r="AA359" i="1"/>
  <c r="Y359" i="1" s="1"/>
  <c r="AA357" i="1"/>
  <c r="V365" i="1"/>
  <c r="AY350" i="1"/>
  <c r="V350" i="1" s="1"/>
  <c r="AJ350" i="1" s="1"/>
  <c r="AK350" i="1" s="1"/>
  <c r="AA350" i="1"/>
  <c r="AX347" i="1"/>
  <c r="CX357" i="1"/>
  <c r="CX353" i="1"/>
  <c r="CX363" i="1"/>
  <c r="V363" i="1" l="1"/>
  <c r="BX341" i="1"/>
  <c r="V357" i="1" l="1"/>
  <c r="AJ357" i="1" s="1"/>
  <c r="AK357" i="1" s="1"/>
  <c r="V353" i="1"/>
  <c r="AJ353" i="1" s="1"/>
  <c r="AK353" i="1" s="1"/>
  <c r="Y352" i="1"/>
  <c r="Y355" i="1"/>
  <c r="Y354" i="1"/>
  <c r="Y350" i="1"/>
  <c r="Y356" i="1"/>
  <c r="Y357" i="1"/>
  <c r="AX348" i="1"/>
  <c r="AY347" i="1" l="1"/>
  <c r="V347" i="1" s="1"/>
  <c r="AA347" i="1"/>
  <c r="BY353" i="1"/>
  <c r="Y347" i="1" l="1"/>
  <c r="AA353" i="1"/>
  <c r="AY348" i="1"/>
  <c r="V348" i="1" s="1"/>
  <c r="AA348" i="1"/>
  <c r="W160" i="1"/>
  <c r="Y348" i="1" l="1"/>
  <c r="Y353" i="1"/>
  <c r="BX335" i="1"/>
  <c r="BY337" i="1"/>
  <c r="AX341" i="1"/>
  <c r="BX349" i="1"/>
  <c r="AX344" i="1"/>
  <c r="AX332" i="1"/>
  <c r="BY344" i="1"/>
  <c r="AY344" i="1" l="1"/>
  <c r="AY341" i="1"/>
  <c r="V341" i="1" s="1"/>
  <c r="AJ341" i="1" s="1"/>
  <c r="AK341" i="1" s="1"/>
  <c r="AY332" i="1"/>
  <c r="AB335" i="1"/>
  <c r="W335" i="1"/>
  <c r="AB337" i="1"/>
  <c r="W337" i="1"/>
  <c r="AI337" i="1" s="1"/>
  <c r="W339" i="1"/>
  <c r="BX339" i="1"/>
  <c r="AB339" i="1"/>
  <c r="W338" i="1"/>
  <c r="AB338" i="1"/>
  <c r="BX338" i="1"/>
  <c r="BX334" i="1"/>
  <c r="AB334" i="1"/>
  <c r="BX336" i="1"/>
  <c r="AB336" i="1"/>
  <c r="W334" i="1"/>
  <c r="W336" i="1"/>
  <c r="AI336" i="1" s="1"/>
  <c r="BX333" i="1"/>
  <c r="BT330" i="1"/>
  <c r="BX332" i="1"/>
  <c r="AB332" i="1"/>
  <c r="W332" i="1"/>
  <c r="AA332" i="1"/>
  <c r="BX331" i="1"/>
  <c r="W331" i="1"/>
  <c r="W330" i="1"/>
  <c r="AB327" i="1"/>
  <c r="W327" i="1"/>
  <c r="AI327" i="1" s="1"/>
  <c r="AB328" i="1"/>
  <c r="BX328" i="1"/>
  <c r="BX326" i="1"/>
  <c r="AB326" i="1"/>
  <c r="W329" i="1"/>
  <c r="AI329" i="1" s="1"/>
  <c r="AB329" i="1"/>
  <c r="W326" i="1"/>
  <c r="BX344" i="1"/>
  <c r="AX351" i="1"/>
  <c r="AX349" i="1"/>
  <c r="AX339" i="1"/>
  <c r="AA339" i="1" l="1"/>
  <c r="AY339" i="1"/>
  <c r="AY349" i="1"/>
  <c r="BX337" i="1"/>
  <c r="AX337" i="1"/>
  <c r="AX345" i="1"/>
  <c r="CX335" i="1"/>
  <c r="AX342" i="1"/>
  <c r="AX343" i="1"/>
  <c r="AX340" i="1"/>
  <c r="AX338" i="1"/>
  <c r="AX346" i="1"/>
  <c r="CX342" i="1"/>
  <c r="AX330" i="1"/>
  <c r="AX333" i="1"/>
  <c r="BY349" i="1"/>
  <c r="AX335" i="1"/>
  <c r="AX334" i="1"/>
  <c r="BX342" i="1"/>
  <c r="AX336" i="1"/>
  <c r="AA334" i="1" l="1"/>
  <c r="AY334" i="1"/>
  <c r="AY343" i="1"/>
  <c r="V343" i="1" s="1"/>
  <c r="AA343" i="1"/>
  <c r="AY338" i="1"/>
  <c r="AA338" i="1"/>
  <c r="AY336" i="1"/>
  <c r="AA336" i="1"/>
  <c r="AA345" i="1"/>
  <c r="AY345" i="1"/>
  <c r="V345" i="1" s="1"/>
  <c r="AA330" i="1"/>
  <c r="AY330" i="1"/>
  <c r="AY333" i="1"/>
  <c r="AY346" i="1"/>
  <c r="V346" i="1" s="1"/>
  <c r="AA346" i="1"/>
  <c r="Y346" i="1" s="1"/>
  <c r="AA340" i="1"/>
  <c r="AY340" i="1"/>
  <c r="V340" i="1" s="1"/>
  <c r="AY335" i="1"/>
  <c r="AY337" i="1"/>
  <c r="AA337" i="1"/>
  <c r="AA349" i="1"/>
  <c r="AY342" i="1"/>
  <c r="AY351" i="1"/>
  <c r="V351" i="1" s="1"/>
  <c r="AA351" i="1"/>
  <c r="BY335" i="1"/>
  <c r="BY327" i="1"/>
  <c r="BY342" i="1"/>
  <c r="AX325" i="1"/>
  <c r="BY341" i="1"/>
  <c r="AA341" i="1" l="1"/>
  <c r="AA342" i="1"/>
  <c r="AA335" i="1"/>
  <c r="CX337" i="1"/>
  <c r="BY324" i="1"/>
  <c r="AX324" i="1"/>
  <c r="AA344" i="1" l="1"/>
  <c r="CX344" i="1"/>
  <c r="CX349" i="1"/>
  <c r="V337" i="1" l="1"/>
  <c r="AJ337" i="1" s="1"/>
  <c r="AK337" i="1" s="1"/>
  <c r="V335" i="1"/>
  <c r="V342" i="1"/>
  <c r="V349" i="1"/>
  <c r="AJ349" i="1" s="1"/>
  <c r="AK349" i="1" s="1"/>
  <c r="V344" i="1"/>
  <c r="AJ344" i="1" s="1"/>
  <c r="AK344" i="1" s="1"/>
  <c r="V336" i="1"/>
  <c r="AJ336" i="1" s="1"/>
  <c r="AK336" i="1" s="1"/>
  <c r="V338" i="1"/>
  <c r="V332" i="1"/>
  <c r="V334" i="1"/>
  <c r="V339" i="1"/>
  <c r="BX330" i="1"/>
  <c r="V330" i="1" s="1"/>
  <c r="Q330" i="1"/>
  <c r="Y349" i="1"/>
  <c r="Y344" i="1"/>
  <c r="Y343" i="1"/>
  <c r="Y345" i="1"/>
  <c r="Y342" i="1"/>
  <c r="Y341" i="1"/>
  <c r="Y340" i="1"/>
  <c r="Y351" i="1"/>
  <c r="Y338" i="1"/>
  <c r="Y339" i="1"/>
  <c r="Y335" i="1"/>
  <c r="Y337" i="1"/>
  <c r="Y334" i="1"/>
  <c r="Y336" i="1"/>
  <c r="AB330" i="1"/>
  <c r="Y332" i="1"/>
  <c r="AB331" i="1"/>
  <c r="Y330" i="1"/>
  <c r="W328" i="1"/>
  <c r="AI328" i="1" s="1"/>
  <c r="AY324" i="1"/>
  <c r="AY325" i="1"/>
  <c r="W324" i="1"/>
  <c r="AI324" i="1" s="1"/>
  <c r="AB324" i="1"/>
  <c r="AA324" i="1"/>
  <c r="AB325" i="1"/>
  <c r="BX325" i="1"/>
  <c r="BX322" i="1"/>
  <c r="AB322" i="1"/>
  <c r="W323" i="1"/>
  <c r="BX323" i="1"/>
  <c r="AB323" i="1"/>
  <c r="BX320" i="1"/>
  <c r="AB320" i="1"/>
  <c r="BX319" i="1"/>
  <c r="AB319" i="1"/>
  <c r="W321" i="1"/>
  <c r="W320" i="1"/>
  <c r="BX318" i="1"/>
  <c r="AB318" i="1"/>
  <c r="W318" i="1"/>
  <c r="BX317" i="1"/>
  <c r="AB317" i="1"/>
  <c r="AB316" i="1"/>
  <c r="W316" i="1"/>
  <c r="BX321" i="1"/>
  <c r="AB321" i="1"/>
  <c r="W315" i="1"/>
  <c r="BX315" i="1"/>
  <c r="AB315" i="1"/>
  <c r="BX314" i="1"/>
  <c r="AB314" i="1"/>
  <c r="W314" i="1"/>
  <c r="AX316" i="1"/>
  <c r="AX329" i="1"/>
  <c r="AX326" i="1"/>
  <c r="BX329" i="1"/>
  <c r="AX320" i="1"/>
  <c r="AX315" i="1"/>
  <c r="AX321" i="1"/>
  <c r="AX328" i="1"/>
  <c r="BY329" i="1"/>
  <c r="AX319" i="1"/>
  <c r="AX314" i="1"/>
  <c r="AX331" i="1"/>
  <c r="AX322" i="1"/>
  <c r="AX317" i="1"/>
  <c r="BY316" i="1"/>
  <c r="AX327" i="1"/>
  <c r="AY316" i="1" l="1"/>
  <c r="AY327" i="1"/>
  <c r="AA331" i="1"/>
  <c r="Y331" i="1" s="1"/>
  <c r="AY331" i="1"/>
  <c r="V331" i="1" s="1"/>
  <c r="AA314" i="1"/>
  <c r="AY314" i="1"/>
  <c r="V314" i="1" s="1"/>
  <c r="AY321" i="1"/>
  <c r="V321" i="1" s="1"/>
  <c r="AA321" i="1"/>
  <c r="Y321" i="1" s="1"/>
  <c r="AY320" i="1"/>
  <c r="V320" i="1" s="1"/>
  <c r="AA320" i="1"/>
  <c r="Y320" i="1" s="1"/>
  <c r="AY322" i="1"/>
  <c r="V322" i="1" s="1"/>
  <c r="AA322" i="1"/>
  <c r="AY329" i="1"/>
  <c r="AA329" i="1"/>
  <c r="Y329" i="1" s="1"/>
  <c r="AY328" i="1"/>
  <c r="V328" i="1" s="1"/>
  <c r="AJ328" i="1" s="1"/>
  <c r="AK328" i="1" s="1"/>
  <c r="AA328" i="1"/>
  <c r="Y328" i="1" s="1"/>
  <c r="AA327" i="1"/>
  <c r="Y327" i="1" s="1"/>
  <c r="AY319" i="1"/>
  <c r="V319" i="1" s="1"/>
  <c r="AA319" i="1"/>
  <c r="V325" i="1"/>
  <c r="AJ325" i="1" s="1"/>
  <c r="AY326" i="1"/>
  <c r="V326" i="1" s="1"/>
  <c r="AA326" i="1"/>
  <c r="AY315" i="1"/>
  <c r="V315" i="1" s="1"/>
  <c r="AA315" i="1"/>
  <c r="AY317" i="1"/>
  <c r="V317" i="1" s="1"/>
  <c r="AA317" i="1"/>
  <c r="AA316" i="1"/>
  <c r="Y324" i="1"/>
  <c r="W322" i="1"/>
  <c r="W325" i="1"/>
  <c r="AI325" i="1" s="1"/>
  <c r="AA325" i="1"/>
  <c r="W317" i="1"/>
  <c r="W319" i="1"/>
  <c r="BX316" i="1"/>
  <c r="AX318" i="1"/>
  <c r="BX324" i="1"/>
  <c r="AY318" i="1" l="1"/>
  <c r="V318" i="1" s="1"/>
  <c r="AA318" i="1"/>
  <c r="BX327" i="1"/>
  <c r="AX323" i="1"/>
  <c r="CX324" i="1"/>
  <c r="CX316" i="1"/>
  <c r="AY323" i="1" l="1"/>
  <c r="V323" i="1" s="1"/>
  <c r="AA323" i="1"/>
  <c r="CX329" i="1"/>
  <c r="CX327" i="1"/>
  <c r="V329" i="1" l="1"/>
  <c r="AJ329" i="1" s="1"/>
  <c r="AK329" i="1" s="1"/>
  <c r="V316" i="1"/>
  <c r="AK325" i="1"/>
  <c r="Y316" i="1"/>
  <c r="Y318" i="1"/>
  <c r="Y323" i="1"/>
  <c r="Y326" i="1"/>
  <c r="Y319" i="1"/>
  <c r="Y317" i="1"/>
  <c r="Y322" i="1"/>
  <c r="Y325" i="1"/>
  <c r="AX311" i="1"/>
  <c r="V324" i="1" l="1"/>
  <c r="AJ324" i="1" s="1"/>
  <c r="AK324" i="1" s="1"/>
  <c r="V327" i="1"/>
  <c r="AJ327" i="1" s="1"/>
  <c r="AK327" i="1" s="1"/>
  <c r="Y315" i="1"/>
  <c r="Y314" i="1"/>
  <c r="AY311" i="1"/>
  <c r="W313" i="1"/>
  <c r="BX309" i="1"/>
  <c r="AB309" i="1"/>
  <c r="AB312" i="1"/>
  <c r="W312" i="1"/>
  <c r="AB310" i="1"/>
  <c r="W310" i="1"/>
  <c r="AI310" i="1" s="1"/>
  <c r="W309" i="1"/>
  <c r="AA311" i="1"/>
  <c r="BX311" i="1"/>
  <c r="AB311" i="1"/>
  <c r="BX313" i="1"/>
  <c r="AB313" i="1"/>
  <c r="AB308" i="1"/>
  <c r="BX308" i="1"/>
  <c r="AB259" i="1"/>
  <c r="AX308" i="1"/>
  <c r="AX313" i="1"/>
  <c r="AX310" i="1"/>
  <c r="AY313" i="1" l="1"/>
  <c r="AX312" i="1"/>
  <c r="BY305" i="1"/>
  <c r="AY308" i="1" l="1"/>
  <c r="AA308" i="1"/>
  <c r="BY310" i="1"/>
  <c r="V313" i="1" l="1"/>
  <c r="V311" i="1"/>
  <c r="AJ311" i="1" s="1"/>
  <c r="V308" i="1"/>
  <c r="AB146" i="1"/>
  <c r="AA313" i="1"/>
  <c r="AY310" i="1"/>
  <c r="AA312" i="1" l="1"/>
  <c r="AY312" i="1"/>
  <c r="V312" i="1" s="1"/>
  <c r="W308" i="1"/>
  <c r="Y313" i="1"/>
  <c r="W311" i="1"/>
  <c r="AI311" i="1" s="1"/>
  <c r="AK311" i="1" l="1"/>
  <c r="AA310" i="1"/>
  <c r="Y310" i="1" s="1"/>
  <c r="Y312" i="1"/>
  <c r="Y311" i="1"/>
  <c r="Y308" i="1"/>
  <c r="BY307" i="1"/>
  <c r="AB288" i="1" l="1"/>
  <c r="AB195" i="1"/>
  <c r="AB306" i="1"/>
  <c r="AB160" i="1"/>
  <c r="AB305" i="1"/>
  <c r="W307" i="1"/>
  <c r="AB307" i="1"/>
  <c r="W293" i="1"/>
  <c r="AB45" i="1"/>
  <c r="AB265" i="1"/>
  <c r="AB238" i="1"/>
  <c r="AB40" i="1"/>
  <c r="W304" i="1"/>
  <c r="AB304" i="1"/>
  <c r="AB25" i="1"/>
  <c r="AB216" i="1"/>
  <c r="AB262" i="1"/>
  <c r="AB98" i="1"/>
  <c r="AB241" i="1"/>
  <c r="W6" i="1"/>
  <c r="AB75" i="1"/>
  <c r="BX302" i="1"/>
  <c r="AB302" i="1"/>
  <c r="BX301" i="1"/>
  <c r="AB301" i="1"/>
  <c r="W302" i="1"/>
  <c r="BX299" i="1"/>
  <c r="AB299" i="1"/>
  <c r="BX298" i="1"/>
  <c r="AB298" i="1"/>
  <c r="AB303" i="1"/>
  <c r="W303" i="1"/>
  <c r="AI303" i="1" s="1"/>
  <c r="AB300" i="1"/>
  <c r="W300" i="1"/>
  <c r="W299" i="1"/>
  <c r="W301" i="1"/>
  <c r="W221" i="1"/>
  <c r="AB83" i="1"/>
  <c r="AB207" i="1"/>
  <c r="AB270" i="1"/>
  <c r="AB283" i="1"/>
  <c r="AB138" i="1"/>
  <c r="AB200" i="1"/>
  <c r="AB221" i="1"/>
  <c r="AB5" i="1"/>
  <c r="AB16" i="1"/>
  <c r="AB170" i="1"/>
  <c r="AB186" i="1"/>
  <c r="AB76" i="1"/>
  <c r="AB275" i="1"/>
  <c r="AB211" i="1"/>
  <c r="AB248" i="1"/>
  <c r="AB21" i="1"/>
  <c r="AB96" i="1"/>
  <c r="AB181" i="1"/>
  <c r="AB55" i="1"/>
  <c r="AB132" i="1"/>
  <c r="AB89" i="1"/>
  <c r="AB44" i="1"/>
  <c r="W296" i="1"/>
  <c r="AB27" i="1"/>
  <c r="AB197" i="1"/>
  <c r="AB150" i="1"/>
  <c r="AB71" i="1"/>
  <c r="AB66" i="1"/>
  <c r="AB204" i="1"/>
  <c r="AB297" i="1"/>
  <c r="BX297" i="1"/>
  <c r="BX296" i="1"/>
  <c r="AB296" i="1"/>
  <c r="AB133" i="1"/>
  <c r="AB109" i="1"/>
  <c r="AB30" i="1"/>
  <c r="AB46" i="1"/>
  <c r="AB172" i="1"/>
  <c r="AB28" i="1"/>
  <c r="AB20" i="1"/>
  <c r="AB77" i="1"/>
  <c r="AB252" i="1"/>
  <c r="AB213" i="1"/>
  <c r="AB115" i="1"/>
  <c r="AB264" i="1"/>
  <c r="AB145" i="1"/>
  <c r="AB34" i="1"/>
  <c r="AB104" i="1"/>
  <c r="AB290" i="1"/>
  <c r="AB19" i="1"/>
  <c r="AB56" i="1"/>
  <c r="AB292" i="1"/>
  <c r="AB176" i="1"/>
  <c r="AB82" i="1"/>
  <c r="AB86" i="1"/>
  <c r="AB23" i="1"/>
  <c r="AB51" i="1"/>
  <c r="AB94" i="1"/>
  <c r="AB267" i="1"/>
  <c r="AB174" i="1"/>
  <c r="AB272" i="1"/>
  <c r="AB62" i="1"/>
  <c r="AB105" i="1"/>
  <c r="AB258" i="1"/>
  <c r="AB239" i="1"/>
  <c r="AB61" i="1"/>
  <c r="AB128" i="1"/>
  <c r="AB184" i="1"/>
  <c r="AB88" i="1"/>
  <c r="AB24" i="1"/>
  <c r="AB232" i="1"/>
  <c r="AB187" i="1"/>
  <c r="AB222" i="1"/>
  <c r="AB189" i="1"/>
  <c r="AB111" i="1"/>
  <c r="AB31" i="1"/>
  <c r="AB236" i="1"/>
  <c r="AB253" i="1"/>
  <c r="AB199" i="1"/>
  <c r="AB41" i="1"/>
  <c r="AB87" i="1"/>
  <c r="AB110" i="1"/>
  <c r="AB102" i="1"/>
  <c r="AB247" i="1"/>
  <c r="AB69" i="1"/>
  <c r="AB153" i="1"/>
  <c r="AB117" i="1"/>
  <c r="AB173" i="1"/>
  <c r="AB231" i="1"/>
  <c r="AB135" i="1"/>
  <c r="AB140" i="1"/>
  <c r="AB57" i="1"/>
  <c r="AB36" i="1"/>
  <c r="AB194" i="1"/>
  <c r="AB142" i="1"/>
  <c r="AB164" i="1"/>
  <c r="AB226" i="1"/>
  <c r="AB149" i="1"/>
  <c r="AB99" i="1"/>
  <c r="AB93" i="1"/>
  <c r="W90" i="1"/>
  <c r="W162" i="1"/>
  <c r="W108" i="1"/>
  <c r="AI108" i="1" s="1"/>
  <c r="AB108" i="1"/>
  <c r="W289" i="1"/>
  <c r="W214" i="1"/>
  <c r="AB233" i="1"/>
  <c r="W101" i="1"/>
  <c r="W286" i="1"/>
  <c r="AB171" i="1"/>
  <c r="W188" i="1"/>
  <c r="AI188" i="1" s="1"/>
  <c r="AB188" i="1"/>
  <c r="W176" i="1"/>
  <c r="AI176" i="1" s="1"/>
  <c r="W173" i="1"/>
  <c r="W121" i="1"/>
  <c r="AI121" i="1" s="1"/>
  <c r="AB121" i="1"/>
  <c r="AB143" i="1"/>
  <c r="W148" i="1"/>
  <c r="AB148" i="1"/>
  <c r="W279" i="1"/>
  <c r="AI279" i="1" s="1"/>
  <c r="AB279" i="1"/>
  <c r="W292" i="1"/>
  <c r="AB261" i="1"/>
  <c r="AB103" i="1"/>
  <c r="AB254" i="1"/>
  <c r="W230" i="1"/>
  <c r="AI230" i="1" s="1"/>
  <c r="AB230" i="1"/>
  <c r="W278" i="1"/>
  <c r="AI278" i="1" s="1"/>
  <c r="AB278" i="1"/>
  <c r="W266" i="1"/>
  <c r="W63" i="1"/>
  <c r="W81" i="1"/>
  <c r="AB81" i="1"/>
  <c r="W198" i="1"/>
  <c r="AB198" i="1"/>
  <c r="W159" i="1"/>
  <c r="AB159" i="1"/>
  <c r="W57" i="1"/>
  <c r="AB218" i="1"/>
  <c r="W192" i="1"/>
  <c r="AI192" i="1" s="1"/>
  <c r="AB192" i="1"/>
  <c r="W125" i="1"/>
  <c r="AB101" i="1"/>
  <c r="AB127" i="1"/>
  <c r="W67" i="1"/>
  <c r="AB119" i="1"/>
  <c r="W47" i="1"/>
  <c r="AB47" i="1"/>
  <c r="W36" i="1"/>
  <c r="W69" i="1"/>
  <c r="AI69" i="1" s="1"/>
  <c r="W138" i="1"/>
  <c r="AI138" i="1" s="1"/>
  <c r="W243" i="1"/>
  <c r="AI243" i="1" s="1"/>
  <c r="AB243" i="1"/>
  <c r="W235" i="1"/>
  <c r="AB235" i="1"/>
  <c r="AB284" i="1"/>
  <c r="AB95" i="1"/>
  <c r="BX157" i="1"/>
  <c r="AB70" i="1"/>
  <c r="AB112" i="1"/>
  <c r="W239" i="1"/>
  <c r="AB287" i="1"/>
  <c r="W267" i="1"/>
  <c r="AB260" i="1"/>
  <c r="W61" i="1"/>
  <c r="AI61" i="1" s="1"/>
  <c r="AB125" i="1"/>
  <c r="W255" i="1"/>
  <c r="AI255" i="1" s="1"/>
  <c r="AB255" i="1"/>
  <c r="W240" i="1"/>
  <c r="AI240" i="1" s="1"/>
  <c r="AB240" i="1"/>
  <c r="AB178" i="1"/>
  <c r="AB224" i="1"/>
  <c r="AB166" i="1"/>
  <c r="AB223" i="1"/>
  <c r="W163" i="1"/>
  <c r="AI163" i="1" s="1"/>
  <c r="AB163" i="1"/>
  <c r="AB228" i="1"/>
  <c r="W295" i="1"/>
  <c r="AB295" i="1"/>
  <c r="AB202" i="1"/>
  <c r="AB286" i="1"/>
  <c r="AB169" i="1"/>
  <c r="AB37" i="1"/>
  <c r="AB246" i="1"/>
  <c r="AB17" i="1"/>
  <c r="W213" i="1"/>
  <c r="W269" i="1"/>
  <c r="W253" i="1"/>
  <c r="W154" i="1"/>
  <c r="AI154" i="1" s="1"/>
  <c r="AB154" i="1"/>
  <c r="W251" i="1"/>
  <c r="AB251" i="1"/>
  <c r="W236" i="1"/>
  <c r="W222" i="1"/>
  <c r="W217" i="1"/>
  <c r="AI217" i="1" s="1"/>
  <c r="AB217" i="1"/>
  <c r="W131" i="1"/>
  <c r="AB131" i="1"/>
  <c r="W87" i="1"/>
  <c r="W43" i="1"/>
  <c r="AB43" i="1"/>
  <c r="W41" i="1"/>
  <c r="AI41" i="1" s="1"/>
  <c r="W31" i="1"/>
  <c r="W18" i="1"/>
  <c r="AI18" i="1" s="1"/>
  <c r="AB18" i="1"/>
  <c r="W11" i="1"/>
  <c r="AI11" i="1" s="1"/>
  <c r="AB11" i="1"/>
  <c r="W4" i="1"/>
  <c r="AB4" i="1"/>
  <c r="W23" i="1"/>
  <c r="AB134" i="1"/>
  <c r="AB193" i="1"/>
  <c r="W233" i="1"/>
  <c r="W288" i="1"/>
  <c r="BX118" i="1"/>
  <c r="AB118" i="1"/>
  <c r="W135" i="1"/>
  <c r="W17" i="1"/>
  <c r="W100" i="1"/>
  <c r="AB100" i="1"/>
  <c r="W72" i="1"/>
  <c r="AI72" i="1" s="1"/>
  <c r="AB72" i="1"/>
  <c r="W80" i="1"/>
  <c r="AI80" i="1" s="1"/>
  <c r="AB80" i="1"/>
  <c r="W112" i="1"/>
  <c r="W95" i="1"/>
  <c r="W260" i="1"/>
  <c r="W206" i="1"/>
  <c r="W59" i="1"/>
  <c r="AI59" i="1" s="1"/>
  <c r="AB59" i="1"/>
  <c r="W120" i="1"/>
  <c r="AB120" i="1"/>
  <c r="W98" i="1"/>
  <c r="W103" i="1"/>
  <c r="AB155" i="1"/>
  <c r="W194" i="1"/>
  <c r="AB256" i="1"/>
  <c r="W180" i="1"/>
  <c r="AI180" i="1" s="1"/>
  <c r="W137" i="1"/>
  <c r="AB137" i="1"/>
  <c r="W119" i="1"/>
  <c r="W109" i="1"/>
  <c r="W151" i="1"/>
  <c r="W203" i="1"/>
  <c r="AI203" i="1" s="1"/>
  <c r="AB203" i="1"/>
  <c r="W147" i="1"/>
  <c r="AB161" i="1"/>
  <c r="W152" i="1"/>
  <c r="AB179" i="1"/>
  <c r="W282" i="1"/>
  <c r="AB282" i="1"/>
  <c r="W263" i="1"/>
  <c r="AI263" i="1" s="1"/>
  <c r="AB263" i="1"/>
  <c r="W270" i="1"/>
  <c r="AB147" i="1"/>
  <c r="AB281" i="1"/>
  <c r="W241" i="1"/>
  <c r="W250" i="1"/>
  <c r="AI250" i="1" s="1"/>
  <c r="AB250" i="1"/>
  <c r="W262" i="1"/>
  <c r="W149" i="1"/>
  <c r="W234" i="1"/>
  <c r="AB234" i="1"/>
  <c r="W175" i="1"/>
  <c r="AB175" i="1"/>
  <c r="W153" i="1"/>
  <c r="W216" i="1"/>
  <c r="AB280" i="1"/>
  <c r="W97" i="1"/>
  <c r="AI97" i="1" s="1"/>
  <c r="AB97" i="1"/>
  <c r="W83" i="1"/>
  <c r="W25" i="1"/>
  <c r="AI25" i="1" s="1"/>
  <c r="W77" i="1"/>
  <c r="W49" i="1"/>
  <c r="AB49" i="1"/>
  <c r="W35" i="1"/>
  <c r="AI35" i="1" s="1"/>
  <c r="W46" i="1"/>
  <c r="W28" i="1"/>
  <c r="AI28" i="1" s="1"/>
  <c r="W20" i="1"/>
  <c r="W14" i="1"/>
  <c r="AI14" i="1" s="1"/>
  <c r="AB14" i="1"/>
  <c r="AB249" i="1"/>
  <c r="AB22" i="1"/>
  <c r="W118" i="1"/>
  <c r="W9" i="1"/>
  <c r="AB9" i="1"/>
  <c r="W209" i="1"/>
  <c r="W287" i="1"/>
  <c r="W195" i="1"/>
  <c r="W166" i="1"/>
  <c r="W54" i="1"/>
  <c r="AI54" i="1" s="1"/>
  <c r="AB54" i="1"/>
  <c r="AB90" i="1"/>
  <c r="W215" i="1"/>
  <c r="W294" i="1"/>
  <c r="AB294" i="1"/>
  <c r="BX67" i="1"/>
  <c r="AB67" i="1"/>
  <c r="AB215" i="1"/>
  <c r="W22" i="1"/>
  <c r="W40" i="1"/>
  <c r="W190" i="1"/>
  <c r="W259" i="1"/>
  <c r="AI259" i="1" s="1"/>
  <c r="W71" i="1"/>
  <c r="AB209" i="1"/>
  <c r="W128" i="1"/>
  <c r="AB266" i="1"/>
  <c r="AB206" i="1"/>
  <c r="W275" i="1"/>
  <c r="W158" i="1"/>
  <c r="AB158" i="1"/>
  <c r="AB29" i="1"/>
  <c r="AB151" i="1"/>
  <c r="W142" i="1"/>
  <c r="W106" i="1"/>
  <c r="AI106" i="1" s="1"/>
  <c r="AB106" i="1"/>
  <c r="W37" i="1"/>
  <c r="AB39" i="1"/>
  <c r="W32" i="1"/>
  <c r="AB32" i="1"/>
  <c r="AB53" i="1"/>
  <c r="W62" i="1"/>
  <c r="W45" i="1"/>
  <c r="W27" i="1"/>
  <c r="W134" i="1"/>
  <c r="W76" i="1"/>
  <c r="AB162" i="1"/>
  <c r="W146" i="1"/>
  <c r="W204" i="1"/>
  <c r="AI204" i="1" s="1"/>
  <c r="W5" i="1"/>
  <c r="AB63" i="1"/>
  <c r="W150" i="1"/>
  <c r="W170" i="1"/>
  <c r="W248" i="1"/>
  <c r="W201" i="1"/>
  <c r="AI201" i="1" s="1"/>
  <c r="AB201" i="1"/>
  <c r="W197" i="1"/>
  <c r="W273" i="1"/>
  <c r="AB273" i="1"/>
  <c r="W227" i="1"/>
  <c r="AB227" i="1"/>
  <c r="AB196" i="1"/>
  <c r="W73" i="1"/>
  <c r="AB73" i="1"/>
  <c r="W123" i="1"/>
  <c r="AI123" i="1" s="1"/>
  <c r="AB123" i="1"/>
  <c r="W238" i="1"/>
  <c r="AB257" i="1"/>
  <c r="BX6" i="1"/>
  <c r="AB6" i="1"/>
  <c r="AB237" i="1"/>
  <c r="W64" i="1"/>
  <c r="AI64" i="1" s="1"/>
  <c r="AB64" i="1"/>
  <c r="AB152" i="1"/>
  <c r="W205" i="1"/>
  <c r="AB205" i="1"/>
  <c r="AB185" i="1"/>
  <c r="AB244" i="1"/>
  <c r="W211" i="1"/>
  <c r="AB277" i="1"/>
  <c r="AB177" i="1"/>
  <c r="W291" i="1"/>
  <c r="AI291" i="1" s="1"/>
  <c r="AB291" i="1"/>
  <c r="W44" i="1"/>
  <c r="W181" i="1"/>
  <c r="AB276" i="1"/>
  <c r="W208" i="1"/>
  <c r="AI208" i="1" s="1"/>
  <c r="AB208" i="1"/>
  <c r="W132" i="1"/>
  <c r="W65" i="1"/>
  <c r="AB65" i="1"/>
  <c r="W225" i="1"/>
  <c r="AI225" i="1" s="1"/>
  <c r="AB225" i="1"/>
  <c r="AB191" i="1"/>
  <c r="W165" i="1"/>
  <c r="AB165" i="1"/>
  <c r="W89" i="1"/>
  <c r="W116" i="1"/>
  <c r="AB116" i="1"/>
  <c r="W96" i="1"/>
  <c r="W48" i="1"/>
  <c r="AB48" i="1"/>
  <c r="W21" i="1"/>
  <c r="W8" i="1"/>
  <c r="AB8" i="1"/>
  <c r="W16" i="1"/>
  <c r="W13" i="1"/>
  <c r="AB13" i="1"/>
  <c r="AB220" i="1"/>
  <c r="AB35" i="1"/>
  <c r="W53" i="1"/>
  <c r="W182" i="1"/>
  <c r="AB182" i="1"/>
  <c r="W193" i="1"/>
  <c r="W94" i="1"/>
  <c r="W56" i="1"/>
  <c r="W78" i="1"/>
  <c r="AI78" i="1" s="1"/>
  <c r="AB78" i="1"/>
  <c r="W29" i="1"/>
  <c r="W126" i="1"/>
  <c r="AB126" i="1"/>
  <c r="AB15" i="1"/>
  <c r="W92" i="1"/>
  <c r="AI92" i="1" s="1"/>
  <c r="AB92" i="1"/>
  <c r="W50" i="1"/>
  <c r="AB141" i="1"/>
  <c r="AB214" i="1"/>
  <c r="W212" i="1"/>
  <c r="AI212" i="1" s="1"/>
  <c r="AB212" i="1"/>
  <c r="BX293" i="1"/>
  <c r="AB293" i="1"/>
  <c r="W82" i="1"/>
  <c r="W88" i="1"/>
  <c r="W86" i="1"/>
  <c r="W249" i="1"/>
  <c r="W271" i="1"/>
  <c r="AB271" i="1"/>
  <c r="W38" i="1"/>
  <c r="AB38" i="1"/>
  <c r="AB124" i="1"/>
  <c r="AB114" i="1"/>
  <c r="W111" i="1"/>
  <c r="W130" i="1"/>
  <c r="AB130" i="1"/>
  <c r="W265" i="1"/>
  <c r="AB190" i="1"/>
  <c r="W183" i="1"/>
  <c r="AB183" i="1"/>
  <c r="W245" i="1"/>
  <c r="AB245" i="1"/>
  <c r="AB289" i="1"/>
  <c r="AB84" i="1"/>
  <c r="BX269" i="1"/>
  <c r="AB269" i="1"/>
  <c r="W258" i="1"/>
  <c r="AI258" i="1" s="1"/>
  <c r="W207" i="1"/>
  <c r="W199" i="1"/>
  <c r="W210" i="1"/>
  <c r="AI210" i="1" s="1"/>
  <c r="AB210" i="1"/>
  <c r="W189" i="1"/>
  <c r="W144" i="1"/>
  <c r="AI144" i="1" s="1"/>
  <c r="AB144" i="1"/>
  <c r="AB33" i="1"/>
  <c r="W19" i="1"/>
  <c r="W12" i="1"/>
  <c r="AI12" i="1" s="1"/>
  <c r="AB12" i="1"/>
  <c r="W7" i="1"/>
  <c r="AB7" i="1"/>
  <c r="W24" i="1"/>
  <c r="AB129" i="1"/>
  <c r="AB50" i="1"/>
  <c r="BX304" i="1"/>
  <c r="AX309" i="1"/>
  <c r="AX305" i="1"/>
  <c r="AX306" i="1"/>
  <c r="AX304" i="1"/>
  <c r="BX310" i="1"/>
  <c r="AX307" i="1"/>
  <c r="AY304" i="1" l="1"/>
  <c r="V304" i="1" s="1"/>
  <c r="AA304" i="1"/>
  <c r="V310" i="1"/>
  <c r="AJ310" i="1" s="1"/>
  <c r="AK310" i="1" s="1"/>
  <c r="AY307" i="1"/>
  <c r="AA307" i="1"/>
  <c r="Y307" i="1" s="1"/>
  <c r="AA309" i="1"/>
  <c r="Y309" i="1" s="1"/>
  <c r="AY309" i="1"/>
  <c r="V309" i="1" s="1"/>
  <c r="AH165" i="1"/>
  <c r="AI165" i="1" s="1"/>
  <c r="AH100" i="1"/>
  <c r="AI100" i="1" s="1"/>
  <c r="AH227" i="1"/>
  <c r="AI227" i="1" s="1"/>
  <c r="AY306" i="1"/>
  <c r="V306" i="1" s="1"/>
  <c r="AA306" i="1"/>
  <c r="AY305" i="1"/>
  <c r="AA305" i="1"/>
  <c r="AB219" i="1"/>
  <c r="W306" i="1"/>
  <c r="W305" i="1"/>
  <c r="AI305" i="1" s="1"/>
  <c r="BX307" i="1"/>
  <c r="BX303" i="1"/>
  <c r="BX295" i="1"/>
  <c r="AX298" i="1"/>
  <c r="BX305" i="1"/>
  <c r="V307" i="1" l="1"/>
  <c r="V305" i="1"/>
  <c r="AJ305" i="1" s="1"/>
  <c r="AX31" i="1"/>
  <c r="AX32" i="1"/>
  <c r="AX237" i="1"/>
  <c r="AK305" i="1" l="1"/>
  <c r="Y306" i="1"/>
  <c r="Y305" i="1"/>
  <c r="W277" i="1"/>
  <c r="W219" i="1"/>
  <c r="Y304" i="1"/>
  <c r="AY298" i="1"/>
  <c r="V298" i="1" s="1"/>
  <c r="AA298" i="1"/>
  <c r="W110" i="1"/>
  <c r="AI110" i="1" s="1"/>
  <c r="W298" i="1"/>
  <c r="W30" i="1"/>
  <c r="W297" i="1"/>
  <c r="AA31" i="1"/>
  <c r="AX247" i="1"/>
  <c r="BY303" i="1"/>
  <c r="AX303" i="1"/>
  <c r="BY276" i="1"/>
  <c r="BX300" i="1"/>
  <c r="BX192" i="1"/>
  <c r="BY48" i="1"/>
  <c r="AY303" i="1" l="1"/>
  <c r="AA303" i="1"/>
  <c r="Y303" i="1" s="1"/>
  <c r="Y298" i="1"/>
  <c r="AX300" i="1"/>
  <c r="AX51" i="1"/>
  <c r="AY300" i="1" l="1"/>
  <c r="BX221" i="1"/>
  <c r="AY31" i="1"/>
  <c r="AY237" i="1"/>
  <c r="AY247" i="1"/>
  <c r="AY51" i="1"/>
  <c r="AY32" i="1"/>
  <c r="BX109" i="1"/>
  <c r="BX290" i="1"/>
  <c r="BX195" i="1"/>
  <c r="BX292" i="1"/>
  <c r="BX176" i="1"/>
  <c r="BX82" i="1"/>
  <c r="BX62" i="1"/>
  <c r="W141" i="1"/>
  <c r="W99" i="1"/>
  <c r="BX122" i="1"/>
  <c r="BX125" i="1"/>
  <c r="BX178" i="1"/>
  <c r="BX124" i="1"/>
  <c r="BX244" i="1"/>
  <c r="BX277" i="1"/>
  <c r="BX177" i="1"/>
  <c r="BX246" i="1"/>
  <c r="W244" i="1"/>
  <c r="W228" i="1"/>
  <c r="Y31" i="1"/>
  <c r="BX117" i="1"/>
  <c r="BX133" i="1"/>
  <c r="BX252" i="1"/>
  <c r="BX102" i="1"/>
  <c r="BX187" i="1"/>
  <c r="BX222" i="1"/>
  <c r="BX40" i="1"/>
  <c r="BX189" i="1"/>
  <c r="BX215" i="1"/>
  <c r="BX209" i="1"/>
  <c r="BX247" i="1"/>
  <c r="BX266" i="1"/>
  <c r="BX206" i="1"/>
  <c r="BX29" i="1"/>
  <c r="BX30" i="1"/>
  <c r="BX101" i="1"/>
  <c r="BX127" i="1"/>
  <c r="BX27" i="1"/>
  <c r="BX119" i="1"/>
  <c r="W51" i="1"/>
  <c r="BX85" i="1"/>
  <c r="W34" i="1"/>
  <c r="BX51" i="1"/>
  <c r="BX94" i="1"/>
  <c r="BX204" i="1"/>
  <c r="BX267" i="1"/>
  <c r="BX174" i="1"/>
  <c r="BX238" i="1"/>
  <c r="BX105" i="1"/>
  <c r="BX70" i="1"/>
  <c r="BX112" i="1"/>
  <c r="W224" i="1"/>
  <c r="AI224" i="1" s="1"/>
  <c r="BX150" i="1"/>
  <c r="W179" i="1"/>
  <c r="BX287" i="1"/>
  <c r="BX260" i="1"/>
  <c r="BX226" i="1"/>
  <c r="W143" i="1"/>
  <c r="BX128" i="1"/>
  <c r="BX79" i="1"/>
  <c r="BX216" i="1"/>
  <c r="W261" i="1"/>
  <c r="BX285" i="1"/>
  <c r="BX60" i="1"/>
  <c r="BX114" i="1"/>
  <c r="BX213" i="1"/>
  <c r="BX190" i="1"/>
  <c r="BX289" i="1"/>
  <c r="BX84" i="1"/>
  <c r="BX147" i="1"/>
  <c r="W140" i="1"/>
  <c r="BX22" i="1"/>
  <c r="BX270" i="1"/>
  <c r="BX52" i="1"/>
  <c r="BX19" i="1"/>
  <c r="BX98" i="1"/>
  <c r="BX171" i="1"/>
  <c r="BX68" i="1"/>
  <c r="BX16" i="1"/>
  <c r="W184" i="1"/>
  <c r="AI184" i="1" s="1"/>
  <c r="BX197" i="1"/>
  <c r="BX284" i="1"/>
  <c r="BX272" i="1"/>
  <c r="W196" i="1"/>
  <c r="BX170" i="1"/>
  <c r="BX214" i="1"/>
  <c r="BX196" i="1"/>
  <c r="BX96" i="1"/>
  <c r="BX91" i="1"/>
  <c r="W200" i="1"/>
  <c r="W232" i="1"/>
  <c r="BX87" i="1"/>
  <c r="BX152" i="1"/>
  <c r="BX185" i="1"/>
  <c r="BX17" i="1"/>
  <c r="W15" i="1"/>
  <c r="BX90" i="1"/>
  <c r="BX232" i="1"/>
  <c r="BX46" i="1"/>
  <c r="BX275" i="1"/>
  <c r="BX173" i="1"/>
  <c r="BX231" i="1"/>
  <c r="BX207" i="1"/>
  <c r="BX115" i="1"/>
  <c r="BX135" i="1"/>
  <c r="BX172" i="1"/>
  <c r="BX75" i="1"/>
  <c r="BX145" i="1"/>
  <c r="BX76" i="1"/>
  <c r="BX111" i="1"/>
  <c r="BX58" i="1"/>
  <c r="BX268" i="1"/>
  <c r="BX140" i="1"/>
  <c r="BX139" i="1"/>
  <c r="BX265" i="1"/>
  <c r="BX233" i="1"/>
  <c r="BX5" i="1"/>
  <c r="BX86" i="1"/>
  <c r="BX136" i="1"/>
  <c r="BX42" i="1"/>
  <c r="W55" i="1"/>
  <c r="BX89" i="1"/>
  <c r="BX57" i="1"/>
  <c r="BX21" i="1"/>
  <c r="BX23" i="1"/>
  <c r="BX44" i="1"/>
  <c r="BX25" i="1"/>
  <c r="BX31" i="1"/>
  <c r="BX26" i="1"/>
  <c r="BX162" i="1"/>
  <c r="BX236" i="1"/>
  <c r="W283" i="1"/>
  <c r="AI283" i="1" s="1"/>
  <c r="BX142" i="1"/>
  <c r="BX253" i="1"/>
  <c r="BX63" i="1"/>
  <c r="BX120" i="1"/>
  <c r="W102" i="1"/>
  <c r="BX155" i="1"/>
  <c r="BX241" i="1"/>
  <c r="BX256" i="1"/>
  <c r="BX258" i="1"/>
  <c r="BX239" i="1"/>
  <c r="BX77" i="1"/>
  <c r="BX41" i="1"/>
  <c r="W246" i="1"/>
  <c r="W171" i="1"/>
  <c r="BX156" i="1"/>
  <c r="BX153" i="1"/>
  <c r="W145" i="1"/>
  <c r="BX224" i="1"/>
  <c r="BX166" i="1"/>
  <c r="BX223" i="1"/>
  <c r="BX228" i="1"/>
  <c r="BX202" i="1"/>
  <c r="BX286" i="1"/>
  <c r="BX169" i="1"/>
  <c r="BX37" i="1"/>
  <c r="BX274" i="1"/>
  <c r="BX110" i="1"/>
  <c r="W191" i="1"/>
  <c r="W264" i="1"/>
  <c r="BX220" i="1"/>
  <c r="BX129" i="1"/>
  <c r="BX134" i="1"/>
  <c r="BX288" i="1"/>
  <c r="BX168" i="1"/>
  <c r="BX242" i="1"/>
  <c r="BX56" i="1"/>
  <c r="BX181" i="1"/>
  <c r="BX55" i="1"/>
  <c r="BX132" i="1"/>
  <c r="BX28" i="1"/>
  <c r="BX83" i="1"/>
  <c r="W155" i="1"/>
  <c r="BX24" i="1"/>
  <c r="W129" i="1"/>
  <c r="BX34" i="1"/>
  <c r="BX104" i="1"/>
  <c r="BX71" i="1"/>
  <c r="BX143" i="1"/>
  <c r="BX88" i="1"/>
  <c r="BX74" i="1"/>
  <c r="BX160" i="1"/>
  <c r="BX261" i="1"/>
  <c r="BX103" i="1"/>
  <c r="BX254" i="1"/>
  <c r="BX211" i="1"/>
  <c r="BX138" i="1"/>
  <c r="BX264" i="1"/>
  <c r="BX218" i="1"/>
  <c r="BX248" i="1"/>
  <c r="BX151" i="1"/>
  <c r="BX180" i="1"/>
  <c r="BX39" i="1"/>
  <c r="BX45" i="1"/>
  <c r="BX53" i="1"/>
  <c r="BX69" i="1"/>
  <c r="BX36" i="1"/>
  <c r="BX10" i="1"/>
  <c r="BX20" i="1"/>
  <c r="W178" i="1"/>
  <c r="BX113" i="1"/>
  <c r="W187" i="1"/>
  <c r="BX194" i="1"/>
  <c r="BX15" i="1"/>
  <c r="BX95" i="1"/>
  <c r="BX164" i="1"/>
  <c r="W164" i="1"/>
  <c r="W127" i="1"/>
  <c r="BX107" i="1"/>
  <c r="BX199" i="1"/>
  <c r="BX61" i="1"/>
  <c r="BX149" i="1"/>
  <c r="W186" i="1"/>
  <c r="W185" i="1"/>
  <c r="BX237" i="1"/>
  <c r="BX184" i="1"/>
  <c r="W237" i="1"/>
  <c r="BX179" i="1"/>
  <c r="BX262" i="1"/>
  <c r="BX99" i="1"/>
  <c r="W290" i="1"/>
  <c r="W93" i="1"/>
  <c r="BX249" i="1"/>
  <c r="AX302" i="1"/>
  <c r="AX96" i="1"/>
  <c r="AX56" i="1"/>
  <c r="CX303" i="1"/>
  <c r="V303" i="1" l="1"/>
  <c r="AJ303" i="1" s="1"/>
  <c r="AK303" i="1" s="1"/>
  <c r="AA56" i="1"/>
  <c r="AY56" i="1"/>
  <c r="AY96" i="1"/>
  <c r="V96" i="1" s="1"/>
  <c r="AA302" i="1"/>
  <c r="Y302" i="1" s="1"/>
  <c r="AY302" i="1"/>
  <c r="V302" i="1" s="1"/>
  <c r="V237" i="1"/>
  <c r="V51" i="1"/>
  <c r="V31" i="1"/>
  <c r="V247" i="1"/>
  <c r="AH141" i="1" l="1"/>
  <c r="AI141" i="1" s="1"/>
  <c r="W226" i="1"/>
  <c r="AI226" i="1" s="1"/>
  <c r="W115" i="1"/>
  <c r="W75" i="1"/>
  <c r="AI75" i="1" s="1"/>
  <c r="W124" i="1"/>
  <c r="W66" i="1"/>
  <c r="W276" i="1"/>
  <c r="W169" i="1"/>
  <c r="W280" i="1"/>
  <c r="W172" i="1"/>
  <c r="W272" i="1"/>
  <c r="W105" i="1"/>
  <c r="W39" i="1"/>
  <c r="W202" i="1"/>
  <c r="W84" i="1"/>
  <c r="W284" i="1"/>
  <c r="W220" i="1"/>
  <c r="W161" i="1"/>
  <c r="W174" i="1"/>
  <c r="W70" i="1"/>
  <c r="W114" i="1"/>
  <c r="W177" i="1"/>
  <c r="W133" i="1"/>
  <c r="W104" i="1"/>
  <c r="W257" i="1"/>
  <c r="AI257" i="1" s="1"/>
  <c r="W117" i="1"/>
  <c r="W223" i="1"/>
  <c r="W231" i="1"/>
  <c r="W281" i="1"/>
  <c r="W256" i="1"/>
  <c r="W218" i="1"/>
  <c r="AA247" i="1"/>
  <c r="W247" i="1"/>
  <c r="W252" i="1"/>
  <c r="W254" i="1"/>
  <c r="V56" i="1"/>
  <c r="AA237" i="1"/>
  <c r="Y56" i="1"/>
  <c r="AA51" i="1"/>
  <c r="Y247" i="1" l="1"/>
  <c r="Y51" i="1"/>
  <c r="Y237" i="1"/>
  <c r="AA96" i="1" l="1"/>
  <c r="Y96" i="1" s="1"/>
  <c r="AB333" i="1" l="1"/>
  <c r="AB68" i="1"/>
  <c r="Q113" i="1"/>
  <c r="Q10" i="1"/>
  <c r="V378" i="1"/>
  <c r="AB139" i="1"/>
  <c r="AB268" i="1"/>
  <c r="AB285" i="1"/>
  <c r="S274" i="1"/>
  <c r="T274" i="1" s="1"/>
  <c r="S136" i="1"/>
  <c r="T136" i="1" s="1"/>
  <c r="S285" i="1"/>
  <c r="T285" i="1" s="1"/>
  <c r="AB60" i="1"/>
  <c r="Q333" i="1"/>
  <c r="Q68" i="1"/>
  <c r="AB122" i="1"/>
  <c r="AB10" i="1"/>
  <c r="AB113" i="1"/>
  <c r="S74" i="1"/>
  <c r="T74" i="1" s="1"/>
  <c r="S52" i="1"/>
  <c r="T52" i="1" s="1"/>
  <c r="AB52" i="1"/>
  <c r="S157" i="1"/>
  <c r="T157" i="1" s="1"/>
  <c r="Q268" i="1"/>
  <c r="Q139" i="1"/>
  <c r="Q122" i="1"/>
  <c r="AA333" i="1"/>
  <c r="Q136" i="1"/>
  <c r="S168" i="1"/>
  <c r="T168" i="1" s="1"/>
  <c r="S378" i="1"/>
  <c r="T378" i="1" s="1"/>
  <c r="S26" i="1"/>
  <c r="T26" i="1" s="1"/>
  <c r="AB378" i="1"/>
  <c r="AB58" i="1"/>
  <c r="S268" i="1"/>
  <c r="T268" i="1" s="1"/>
  <c r="Q26" i="1"/>
  <c r="AB85" i="1"/>
  <c r="AB168" i="1"/>
  <c r="Q74" i="1"/>
  <c r="S79" i="1"/>
  <c r="T79" i="1" s="1"/>
  <c r="W122" i="1"/>
  <c r="S122" i="1"/>
  <c r="T122" i="1" s="1"/>
  <c r="Q60" i="1"/>
  <c r="AB274" i="1"/>
  <c r="AB156" i="1"/>
  <c r="S85" i="1"/>
  <c r="T85" i="1" s="1"/>
  <c r="W68" i="1"/>
  <c r="S68" i="1"/>
  <c r="T68" i="1" s="1"/>
  <c r="S107" i="1"/>
  <c r="T107" i="1" s="1"/>
  <c r="AB74" i="1"/>
  <c r="Q85" i="1"/>
  <c r="Q168" i="1"/>
  <c r="Q58" i="1"/>
  <c r="V333" i="1"/>
  <c r="AA378" i="1"/>
  <c r="Q79" i="1"/>
  <c r="AB79" i="1"/>
  <c r="Q52" i="1"/>
  <c r="S156" i="1"/>
  <c r="T156" i="1" s="1"/>
  <c r="W333" i="1"/>
  <c r="S333" i="1"/>
  <c r="T333" i="1" s="1"/>
  <c r="W378" i="1"/>
  <c r="Q378" i="1"/>
  <c r="W268" i="1"/>
  <c r="W79" i="1"/>
  <c r="Q107" i="1"/>
  <c r="Q274" i="1"/>
  <c r="AB157" i="1"/>
  <c r="AB42" i="1"/>
  <c r="S139" i="1"/>
  <c r="T139" i="1" s="1"/>
  <c r="W10" i="1"/>
  <c r="S10" i="1"/>
  <c r="T10" i="1" s="1"/>
  <c r="Q285" i="1"/>
  <c r="W274" i="1"/>
  <c r="Q156" i="1"/>
  <c r="S242" i="1"/>
  <c r="T242" i="1" s="1"/>
  <c r="W107" i="1"/>
  <c r="AB107" i="1"/>
  <c r="W26" i="1"/>
  <c r="AB26" i="1"/>
  <c r="S60" i="1"/>
  <c r="T60" i="1" s="1"/>
  <c r="S42" i="1"/>
  <c r="T42" i="1" s="1"/>
  <c r="W285" i="1"/>
  <c r="AB242" i="1"/>
  <c r="Q242" i="1"/>
  <c r="Q157" i="1"/>
  <c r="W42" i="1"/>
  <c r="Q42" i="1"/>
  <c r="W85" i="1"/>
  <c r="W58" i="1"/>
  <c r="S58" i="1"/>
  <c r="T58" i="1" s="1"/>
  <c r="W136" i="1"/>
  <c r="AB136" i="1"/>
  <c r="S113" i="1"/>
  <c r="T113" i="1" s="1"/>
  <c r="W242" i="1"/>
  <c r="W60" i="1"/>
  <c r="W74" i="1"/>
  <c r="S91" i="1"/>
  <c r="T91" i="1" s="1"/>
  <c r="W113" i="1"/>
  <c r="W156" i="1"/>
  <c r="W139" i="1"/>
  <c r="W168" i="1"/>
  <c r="W52" i="1"/>
  <c r="W91" i="1"/>
  <c r="AB91" i="1"/>
  <c r="W157" i="1"/>
  <c r="AI107" i="1" l="1"/>
  <c r="AI156" i="1"/>
  <c r="Y378" i="1"/>
  <c r="Y333" i="1"/>
  <c r="K9" i="23"/>
  <c r="H10" i="23"/>
  <c r="G6" i="23"/>
  <c r="F10" i="23"/>
  <c r="F6" i="23"/>
  <c r="G10" i="23"/>
  <c r="E10" i="23"/>
  <c r="I10" i="23"/>
  <c r="F15" i="23"/>
  <c r="J10" i="23"/>
  <c r="H8" i="23"/>
  <c r="E15" i="23"/>
  <c r="J8" i="23"/>
  <c r="G15" i="23"/>
  <c r="E9" i="23"/>
  <c r="J9" i="23"/>
  <c r="E8" i="23"/>
  <c r="I8" i="23"/>
  <c r="E6" i="23"/>
  <c r="H9" i="23"/>
  <c r="I6" i="23"/>
  <c r="I9" i="23"/>
  <c r="H6" i="23"/>
  <c r="G9" i="23"/>
  <c r="K6" i="23"/>
  <c r="F9" i="23"/>
  <c r="J6" i="23"/>
  <c r="F8" i="23"/>
  <c r="L9" i="23"/>
  <c r="G8" i="23"/>
  <c r="CT229" i="1"/>
  <c r="CW229" i="1"/>
  <c r="CY229" i="1" s="1"/>
  <c r="I15" i="23"/>
  <c r="I17" i="23" s="1"/>
  <c r="EK229" i="1"/>
  <c r="CB229" i="1"/>
  <c r="BP229" i="1"/>
  <c r="H15" i="23"/>
  <c r="H17" i="23" s="1"/>
  <c r="EG229" i="1"/>
  <c r="DR229" i="1"/>
  <c r="J15" i="23"/>
  <c r="J17" i="23" s="1"/>
  <c r="K15" i="23"/>
  <c r="K17" i="23" s="1"/>
  <c r="BS229" i="1"/>
  <c r="BU229" i="1" s="1"/>
  <c r="DV229" i="1"/>
  <c r="B229" i="1"/>
  <c r="EW81" i="1" s="1"/>
  <c r="AC621" i="1" l="1"/>
  <c r="R621" i="1"/>
  <c r="X621" i="1"/>
  <c r="AC620" i="1"/>
  <c r="X620" i="1"/>
  <c r="R620" i="1"/>
  <c r="AC619" i="1"/>
  <c r="R619" i="1"/>
  <c r="X619" i="1"/>
  <c r="AC618" i="1"/>
  <c r="X618" i="1"/>
  <c r="R618" i="1"/>
  <c r="AC617" i="1"/>
  <c r="X617" i="1"/>
  <c r="R617" i="1"/>
  <c r="AC616" i="1"/>
  <c r="X616" i="1"/>
  <c r="R616" i="1"/>
  <c r="AC615" i="1"/>
  <c r="R615" i="1"/>
  <c r="X615" i="1"/>
  <c r="AC614" i="1"/>
  <c r="X614" i="1"/>
  <c r="R614" i="1"/>
  <c r="AC613" i="1"/>
  <c r="R613" i="1"/>
  <c r="X613" i="1"/>
  <c r="R612" i="1"/>
  <c r="X612" i="1"/>
  <c r="AC612" i="1"/>
  <c r="R611" i="1"/>
  <c r="AC611" i="1"/>
  <c r="X611" i="1"/>
  <c r="AC610" i="1"/>
  <c r="R610" i="1"/>
  <c r="X610" i="1"/>
  <c r="AC609" i="1"/>
  <c r="R609" i="1"/>
  <c r="X609" i="1"/>
  <c r="X608" i="1"/>
  <c r="AC608" i="1"/>
  <c r="R608" i="1"/>
  <c r="R607" i="1"/>
  <c r="AC607" i="1"/>
  <c r="X607" i="1"/>
  <c r="R606" i="1"/>
  <c r="AC606" i="1"/>
  <c r="X606" i="1"/>
  <c r="R605" i="1"/>
  <c r="AC605" i="1"/>
  <c r="X605" i="1"/>
  <c r="AC604" i="1"/>
  <c r="R604" i="1"/>
  <c r="X604" i="1"/>
  <c r="AC603" i="1"/>
  <c r="X603" i="1"/>
  <c r="R603" i="1"/>
  <c r="R602" i="1"/>
  <c r="X602" i="1"/>
  <c r="AC602" i="1"/>
  <c r="X601" i="1"/>
  <c r="AC601" i="1"/>
  <c r="R601" i="1"/>
  <c r="CU229" i="1"/>
  <c r="CX229" i="1" s="1"/>
  <c r="CV229" i="1"/>
  <c r="EL229" i="1"/>
  <c r="EM229" i="1"/>
  <c r="DW229" i="1"/>
  <c r="DX229" i="1"/>
  <c r="DZ229" i="1" s="1"/>
  <c r="ED229" i="1" s="1"/>
  <c r="AD229" i="1"/>
  <c r="AE229" i="1" s="1"/>
  <c r="R600" i="1"/>
  <c r="AC600" i="1"/>
  <c r="X600" i="1"/>
  <c r="R599" i="1"/>
  <c r="AC599" i="1"/>
  <c r="X599" i="1"/>
  <c r="AC598" i="1"/>
  <c r="R598" i="1"/>
  <c r="X598" i="1"/>
  <c r="R597" i="1"/>
  <c r="X597" i="1"/>
  <c r="AC597" i="1"/>
  <c r="R596" i="1"/>
  <c r="AC596" i="1"/>
  <c r="X596" i="1"/>
  <c r="R595" i="1"/>
  <c r="AC595" i="1"/>
  <c r="X595" i="1"/>
  <c r="AC594" i="1"/>
  <c r="R594" i="1"/>
  <c r="X594" i="1"/>
  <c r="R591" i="1"/>
  <c r="X591" i="1"/>
  <c r="AC591" i="1"/>
  <c r="X593" i="1"/>
  <c r="R593" i="1"/>
  <c r="AC593" i="1"/>
  <c r="AC592" i="1"/>
  <c r="R592" i="1"/>
  <c r="X592" i="1"/>
  <c r="X118" i="1"/>
  <c r="AC590" i="1"/>
  <c r="R590" i="1"/>
  <c r="X590" i="1"/>
  <c r="BT229" i="1"/>
  <c r="Z229" i="1"/>
  <c r="BV229" i="1"/>
  <c r="S229" i="1" l="1"/>
  <c r="T229" i="1" s="1"/>
  <c r="DY229" i="1"/>
  <c r="EC229" i="1" s="1"/>
  <c r="R589" i="1"/>
  <c r="X589" i="1"/>
  <c r="AC589" i="1"/>
  <c r="R588" i="1"/>
  <c r="X588" i="1"/>
  <c r="AC588" i="1"/>
  <c r="X587" i="1"/>
  <c r="AC587" i="1"/>
  <c r="R587" i="1"/>
  <c r="X586" i="1"/>
  <c r="AC586" i="1"/>
  <c r="R586" i="1"/>
  <c r="AC585" i="1"/>
  <c r="R585" i="1"/>
  <c r="X585" i="1"/>
  <c r="R584" i="1"/>
  <c r="X584" i="1"/>
  <c r="AC584" i="1"/>
  <c r="X583" i="1"/>
  <c r="R583" i="1"/>
  <c r="AC583" i="1"/>
  <c r="AC581" i="1"/>
  <c r="R581" i="1"/>
  <c r="X581" i="1"/>
  <c r="R582" i="1"/>
  <c r="AC582" i="1"/>
  <c r="X582" i="1"/>
  <c r="R580" i="1"/>
  <c r="AC580" i="1"/>
  <c r="X580" i="1"/>
  <c r="AC579" i="1"/>
  <c r="X579" i="1"/>
  <c r="R579" i="1"/>
  <c r="R578" i="1"/>
  <c r="X578" i="1"/>
  <c r="AC578" i="1"/>
  <c r="AC577" i="1"/>
  <c r="R577" i="1"/>
  <c r="X577" i="1"/>
  <c r="R576" i="1"/>
  <c r="X576" i="1"/>
  <c r="AC576" i="1"/>
  <c r="R575" i="1"/>
  <c r="AC575" i="1"/>
  <c r="X575" i="1"/>
  <c r="R574" i="1"/>
  <c r="AC574" i="1"/>
  <c r="X574" i="1"/>
  <c r="R573" i="1"/>
  <c r="X573" i="1"/>
  <c r="AC573" i="1"/>
  <c r="R572" i="1"/>
  <c r="AC572" i="1"/>
  <c r="X572" i="1"/>
  <c r="R568" i="1"/>
  <c r="R570" i="1"/>
  <c r="AC568" i="1"/>
  <c r="AC570" i="1"/>
  <c r="R571" i="1"/>
  <c r="AC569" i="1"/>
  <c r="R569" i="1"/>
  <c r="AC571" i="1"/>
  <c r="X569" i="1"/>
  <c r="X570" i="1"/>
  <c r="X571" i="1"/>
  <c r="X568" i="1"/>
  <c r="R567" i="1"/>
  <c r="AC567" i="1"/>
  <c r="X567" i="1"/>
  <c r="R566" i="1"/>
  <c r="AC566" i="1"/>
  <c r="X566" i="1"/>
  <c r="AC565" i="1"/>
  <c r="R565" i="1"/>
  <c r="X565" i="1"/>
  <c r="R564" i="1"/>
  <c r="AC564" i="1"/>
  <c r="X564" i="1"/>
  <c r="X563" i="1"/>
  <c r="AC563" i="1"/>
  <c r="R563" i="1"/>
  <c r="R562" i="1"/>
  <c r="AC562" i="1"/>
  <c r="X562" i="1"/>
  <c r="AC561" i="1"/>
  <c r="X561" i="1"/>
  <c r="R561" i="1"/>
  <c r="X560" i="1"/>
  <c r="AC560" i="1"/>
  <c r="R560" i="1"/>
  <c r="R559" i="1"/>
  <c r="X559" i="1"/>
  <c r="AC559" i="1"/>
  <c r="R558" i="1"/>
  <c r="AC558" i="1"/>
  <c r="X558" i="1"/>
  <c r="R557" i="1"/>
  <c r="AC557" i="1"/>
  <c r="X557" i="1"/>
  <c r="R556" i="1"/>
  <c r="AC556" i="1"/>
  <c r="X556" i="1"/>
  <c r="R555" i="1"/>
  <c r="X555" i="1"/>
  <c r="AC555" i="1"/>
  <c r="R554" i="1"/>
  <c r="AC554" i="1"/>
  <c r="X554" i="1"/>
  <c r="AC553" i="1"/>
  <c r="R553" i="1"/>
  <c r="X553" i="1"/>
  <c r="AC552" i="1"/>
  <c r="R552" i="1"/>
  <c r="X552" i="1"/>
  <c r="R551" i="1"/>
  <c r="AC551" i="1"/>
  <c r="X551" i="1"/>
  <c r="X550" i="1"/>
  <c r="R550" i="1"/>
  <c r="AC550" i="1"/>
  <c r="R549" i="1"/>
  <c r="X549" i="1"/>
  <c r="AC549" i="1"/>
  <c r="R548" i="1"/>
  <c r="AC548" i="1"/>
  <c r="X548" i="1"/>
  <c r="R547" i="1"/>
  <c r="X547" i="1"/>
  <c r="AC547" i="1"/>
  <c r="AC546" i="1"/>
  <c r="X546" i="1"/>
  <c r="R546" i="1"/>
  <c r="R545" i="1"/>
  <c r="AC545" i="1"/>
  <c r="X545" i="1"/>
  <c r="R544" i="1"/>
  <c r="X544" i="1"/>
  <c r="AC544" i="1"/>
  <c r="AC543" i="1"/>
  <c r="R543" i="1"/>
  <c r="X543" i="1"/>
  <c r="AC542" i="1"/>
  <c r="R542" i="1"/>
  <c r="X542" i="1"/>
  <c r="AC541" i="1"/>
  <c r="R541" i="1"/>
  <c r="X541" i="1"/>
  <c r="R540" i="1"/>
  <c r="AC540" i="1"/>
  <c r="X540" i="1"/>
  <c r="R539" i="1"/>
  <c r="AC539" i="1"/>
  <c r="X539" i="1"/>
  <c r="R536" i="1"/>
  <c r="AC536" i="1"/>
  <c r="X536" i="1"/>
  <c r="X534" i="1"/>
  <c r="R534" i="1"/>
  <c r="AC534" i="1"/>
  <c r="R533" i="1"/>
  <c r="AC533" i="1"/>
  <c r="X533" i="1"/>
  <c r="AC532" i="1"/>
  <c r="X532" i="1"/>
  <c r="R532" i="1"/>
  <c r="R531" i="1"/>
  <c r="AC531" i="1"/>
  <c r="X531" i="1"/>
  <c r="R530" i="1"/>
  <c r="X530" i="1"/>
  <c r="AC530" i="1"/>
  <c r="R529" i="1"/>
  <c r="AC529" i="1"/>
  <c r="X529" i="1"/>
  <c r="R538" i="1"/>
  <c r="AC538" i="1"/>
  <c r="X538" i="1"/>
  <c r="R537" i="1"/>
  <c r="AC537" i="1"/>
  <c r="X537" i="1"/>
  <c r="AC535" i="1"/>
  <c r="R535" i="1"/>
  <c r="X535" i="1"/>
  <c r="R528" i="1"/>
  <c r="AC528" i="1"/>
  <c r="X528" i="1"/>
  <c r="AC527" i="1"/>
  <c r="R527" i="1"/>
  <c r="X527" i="1"/>
  <c r="R526" i="1"/>
  <c r="AC526" i="1"/>
  <c r="X526" i="1"/>
  <c r="AC525" i="1"/>
  <c r="R525" i="1"/>
  <c r="X525" i="1"/>
  <c r="R524" i="1"/>
  <c r="AC524" i="1"/>
  <c r="X524" i="1"/>
  <c r="R523" i="1"/>
  <c r="AC523" i="1"/>
  <c r="X523" i="1"/>
  <c r="R522" i="1"/>
  <c r="AC522" i="1"/>
  <c r="X522" i="1"/>
  <c r="R521" i="1"/>
  <c r="AC521" i="1"/>
  <c r="X521" i="1"/>
  <c r="R520" i="1"/>
  <c r="AC520" i="1"/>
  <c r="X520" i="1"/>
  <c r="AC519" i="1"/>
  <c r="R519" i="1"/>
  <c r="X519" i="1"/>
  <c r="AC518" i="1"/>
  <c r="R518" i="1"/>
  <c r="X518" i="1"/>
  <c r="R517" i="1"/>
  <c r="AC517" i="1"/>
  <c r="X517" i="1"/>
  <c r="R516" i="1"/>
  <c r="AC516" i="1"/>
  <c r="X516" i="1"/>
  <c r="R515" i="1"/>
  <c r="AC515" i="1"/>
  <c r="X515" i="1"/>
  <c r="R514" i="1"/>
  <c r="AC514" i="1"/>
  <c r="X514" i="1"/>
  <c r="X513" i="1"/>
  <c r="R513" i="1"/>
  <c r="AC513" i="1"/>
  <c r="R512" i="1"/>
  <c r="AC512" i="1"/>
  <c r="X512" i="1"/>
  <c r="AC511" i="1"/>
  <c r="R511" i="1"/>
  <c r="X511" i="1"/>
  <c r="R509" i="1"/>
  <c r="AC510" i="1"/>
  <c r="AC509" i="1"/>
  <c r="R510" i="1"/>
  <c r="X510" i="1"/>
  <c r="X509" i="1"/>
  <c r="R507" i="1"/>
  <c r="AC507" i="1"/>
  <c r="X507" i="1"/>
  <c r="R508" i="1"/>
  <c r="AC508" i="1"/>
  <c r="X508" i="1"/>
  <c r="R505" i="1"/>
  <c r="AC505" i="1"/>
  <c r="X505" i="1"/>
  <c r="R506" i="1"/>
  <c r="AC506" i="1"/>
  <c r="X506" i="1"/>
  <c r="AC502" i="1"/>
  <c r="X502" i="1"/>
  <c r="R502" i="1"/>
  <c r="R504" i="1"/>
  <c r="X504" i="1"/>
  <c r="AC504" i="1"/>
  <c r="R503" i="1"/>
  <c r="AC503" i="1"/>
  <c r="X503" i="1"/>
  <c r="R501" i="1"/>
  <c r="X501" i="1"/>
  <c r="AC501" i="1"/>
  <c r="R500" i="1"/>
  <c r="AC500" i="1"/>
  <c r="X500" i="1"/>
  <c r="R497" i="1"/>
  <c r="R499" i="1"/>
  <c r="AC499" i="1"/>
  <c r="X499" i="1"/>
  <c r="R58" i="1"/>
  <c r="R345" i="1"/>
  <c r="AC85" i="1"/>
  <c r="AC332" i="1"/>
  <c r="G16" i="23" s="1"/>
  <c r="G17" i="23" s="1"/>
  <c r="R81" i="1"/>
  <c r="AC406" i="1"/>
  <c r="R328" i="1"/>
  <c r="AC251" i="1"/>
  <c r="X188" i="1"/>
  <c r="R277" i="1"/>
  <c r="AC99" i="1"/>
  <c r="X62" i="1"/>
  <c r="AC280" i="1"/>
  <c r="R232" i="1"/>
  <c r="AC11" i="1"/>
  <c r="AC292" i="1"/>
  <c r="X216" i="1"/>
  <c r="X312" i="1"/>
  <c r="AC44" i="1"/>
  <c r="R111" i="1"/>
  <c r="X127" i="1"/>
  <c r="AC14" i="1"/>
  <c r="X342" i="1"/>
  <c r="R268" i="1"/>
  <c r="R142" i="1"/>
  <c r="AC36" i="1"/>
  <c r="R227" i="1"/>
  <c r="AC398" i="1"/>
  <c r="AC58" i="1"/>
  <c r="R123" i="1"/>
  <c r="X272" i="1"/>
  <c r="AC82" i="1"/>
  <c r="X205" i="1"/>
  <c r="X445" i="1"/>
  <c r="X31" i="1"/>
  <c r="R260" i="1"/>
  <c r="AC454" i="1"/>
  <c r="X197" i="1"/>
  <c r="R370" i="1"/>
  <c r="X178" i="1"/>
  <c r="R38" i="1"/>
  <c r="AC96" i="1"/>
  <c r="AC235" i="1"/>
  <c r="X248" i="1"/>
  <c r="X151" i="1"/>
  <c r="R305" i="1"/>
  <c r="R393" i="1"/>
  <c r="X413" i="1"/>
  <c r="X411" i="1"/>
  <c r="R304" i="1"/>
  <c r="AC114" i="1"/>
  <c r="R354" i="1"/>
  <c r="R164" i="1"/>
  <c r="R344" i="1"/>
  <c r="R262" i="1"/>
  <c r="X355" i="1"/>
  <c r="X243" i="1"/>
  <c r="X302" i="1"/>
  <c r="AC103" i="1"/>
  <c r="R157" i="1"/>
  <c r="R105" i="1"/>
  <c r="R294" i="1"/>
  <c r="AC397" i="1"/>
  <c r="AC314" i="1"/>
  <c r="R430" i="1"/>
  <c r="AC106" i="1"/>
  <c r="R270" i="1"/>
  <c r="X87" i="1"/>
  <c r="AC325" i="1"/>
  <c r="R368" i="1"/>
  <c r="R348" i="1"/>
  <c r="R43" i="1"/>
  <c r="R349" i="1"/>
  <c r="R24" i="1"/>
  <c r="X22" i="1"/>
  <c r="R78" i="1"/>
  <c r="X353" i="1"/>
  <c r="AC304" i="1"/>
  <c r="X454" i="1"/>
  <c r="R384" i="1"/>
  <c r="X418" i="1"/>
  <c r="AC17" i="1"/>
  <c r="R213" i="1"/>
  <c r="R439" i="1"/>
  <c r="R147" i="1"/>
  <c r="R236" i="1"/>
  <c r="AC342" i="1"/>
  <c r="AC90" i="1"/>
  <c r="X339" i="1"/>
  <c r="X11" i="1"/>
  <c r="AC420" i="1"/>
  <c r="X281" i="1"/>
  <c r="R337" i="1"/>
  <c r="X8" i="1"/>
  <c r="AC376" i="1"/>
  <c r="X126" i="1"/>
  <c r="AC39" i="1"/>
  <c r="AC268" i="1"/>
  <c r="AC188" i="1"/>
  <c r="AC317" i="1"/>
  <c r="X332" i="1"/>
  <c r="F16" i="23" s="1"/>
  <c r="F17" i="23" s="1"/>
  <c r="AC59" i="1"/>
  <c r="AC401" i="1"/>
  <c r="AC349" i="1"/>
  <c r="X167" i="1"/>
  <c r="R140" i="1"/>
  <c r="R400" i="1"/>
  <c r="X16" i="1"/>
  <c r="R347" i="1"/>
  <c r="X144" i="1"/>
  <c r="R92" i="1"/>
  <c r="R5" i="1"/>
  <c r="X209" i="1"/>
  <c r="R434" i="1"/>
  <c r="X108" i="1"/>
  <c r="R413" i="1"/>
  <c r="AC452" i="1"/>
  <c r="X32" i="1"/>
  <c r="R363" i="1"/>
  <c r="AC311" i="1"/>
  <c r="AC100" i="1"/>
  <c r="AC267" i="1"/>
  <c r="R321" i="1"/>
  <c r="X385" i="1"/>
  <c r="AC35" i="1"/>
  <c r="X381" i="1"/>
  <c r="X208" i="1"/>
  <c r="X234" i="1"/>
  <c r="R65" i="1"/>
  <c r="R101" i="1"/>
  <c r="R88" i="1"/>
  <c r="R166" i="1"/>
  <c r="R138" i="1"/>
  <c r="R389" i="1"/>
  <c r="R445" i="1"/>
  <c r="R178" i="1"/>
  <c r="X75" i="1"/>
  <c r="AC186" i="1"/>
  <c r="X20" i="1"/>
  <c r="R102" i="1"/>
  <c r="X305" i="1"/>
  <c r="R365" i="1"/>
  <c r="R324" i="1"/>
  <c r="R343" i="1"/>
  <c r="AC15" i="1"/>
  <c r="AC431" i="1"/>
  <c r="R460" i="1"/>
  <c r="R411" i="1"/>
  <c r="R159" i="1"/>
  <c r="X231" i="1"/>
  <c r="X315" i="1"/>
  <c r="X49" i="1"/>
  <c r="X364" i="1"/>
  <c r="AC313" i="1"/>
  <c r="R288" i="1"/>
  <c r="X23" i="1"/>
  <c r="X410" i="1"/>
  <c r="AC166" i="1"/>
  <c r="R186" i="1"/>
  <c r="X177" i="1"/>
  <c r="R442" i="1"/>
  <c r="AC222" i="1"/>
  <c r="AC394" i="1"/>
  <c r="AC111" i="1"/>
  <c r="AC392" i="1"/>
  <c r="X431" i="1"/>
  <c r="R446" i="1"/>
  <c r="AC22" i="1"/>
  <c r="X240" i="1"/>
  <c r="R35" i="1"/>
  <c r="AC54" i="1"/>
  <c r="X100" i="1"/>
  <c r="AC335" i="1"/>
  <c r="X456" i="1"/>
  <c r="AC196" i="1"/>
  <c r="X130" i="1"/>
  <c r="R121" i="1"/>
  <c r="AC119" i="1"/>
  <c r="R226" i="1"/>
  <c r="R179" i="1"/>
  <c r="X319" i="1"/>
  <c r="R313" i="1"/>
  <c r="X145" i="1"/>
  <c r="R216" i="1"/>
  <c r="X375" i="1"/>
  <c r="X121" i="1"/>
  <c r="AC159" i="1"/>
  <c r="X179" i="1"/>
  <c r="AC63" i="1"/>
  <c r="X115" i="1"/>
  <c r="X185" i="1"/>
  <c r="R30" i="1"/>
  <c r="AC145" i="1"/>
  <c r="R49" i="1"/>
  <c r="X71" i="1"/>
  <c r="X333" i="1"/>
  <c r="X70" i="1"/>
  <c r="R364" i="1"/>
  <c r="AC416" i="1"/>
  <c r="AC285" i="1"/>
  <c r="AC140" i="1"/>
  <c r="R267" i="1"/>
  <c r="AC122" i="1"/>
  <c r="R419" i="1"/>
  <c r="R289" i="1"/>
  <c r="R406" i="1"/>
  <c r="AC345" i="1"/>
  <c r="X94" i="1"/>
  <c r="R39" i="1"/>
  <c r="X260" i="1"/>
  <c r="X256" i="1"/>
  <c r="AC144" i="1"/>
  <c r="R340" i="1"/>
  <c r="R168" i="1"/>
  <c r="X349" i="1"/>
  <c r="AC231" i="1"/>
  <c r="R437" i="1"/>
  <c r="X317" i="1"/>
  <c r="AC369" i="1"/>
  <c r="R218" i="1"/>
  <c r="AC402" i="1"/>
  <c r="X323" i="1"/>
  <c r="R237" i="1"/>
  <c r="X92" i="1"/>
  <c r="R189" i="1"/>
  <c r="X254" i="1"/>
  <c r="R192" i="1"/>
  <c r="X206" i="1"/>
  <c r="X136" i="1"/>
  <c r="AC185" i="1"/>
  <c r="AC24" i="1"/>
  <c r="AC359" i="1"/>
  <c r="X296" i="1"/>
  <c r="R465" i="1"/>
  <c r="R127" i="1"/>
  <c r="R255" i="1"/>
  <c r="AC193" i="1"/>
  <c r="R94" i="1"/>
  <c r="X383" i="1"/>
  <c r="AC453" i="1"/>
  <c r="R263" i="1"/>
  <c r="R415" i="1"/>
  <c r="X69" i="1"/>
  <c r="R300" i="1"/>
  <c r="R359" i="1"/>
  <c r="R318" i="1"/>
  <c r="X348" i="1"/>
  <c r="R171" i="1"/>
  <c r="X359" i="1"/>
  <c r="X139" i="1"/>
  <c r="AC150" i="1"/>
  <c r="R205" i="1"/>
  <c r="X393" i="1"/>
  <c r="R309" i="1"/>
  <c r="X210" i="1"/>
  <c r="AC192" i="1"/>
  <c r="R62" i="1"/>
  <c r="AC176" i="1"/>
  <c r="R234" i="1"/>
  <c r="R6" i="1"/>
  <c r="R169" i="1"/>
  <c r="R129" i="1"/>
  <c r="R206" i="1"/>
  <c r="R382" i="1"/>
  <c r="R29" i="1"/>
  <c r="R246" i="1"/>
  <c r="R380" i="1"/>
  <c r="R238" i="1"/>
  <c r="R66" i="1"/>
  <c r="AC306" i="1"/>
  <c r="AC153" i="1"/>
  <c r="AC338" i="1"/>
  <c r="X63" i="1"/>
  <c r="X288" i="1"/>
  <c r="X398" i="1"/>
  <c r="X117" i="1"/>
  <c r="AC464" i="1"/>
  <c r="R97" i="1"/>
  <c r="AC169" i="1"/>
  <c r="AC160" i="1"/>
  <c r="AC61" i="1"/>
  <c r="R314" i="1"/>
  <c r="AC126" i="1"/>
  <c r="R333" i="1"/>
  <c r="X103" i="1"/>
  <c r="R357" i="1"/>
  <c r="R143" i="1"/>
  <c r="X28" i="1"/>
  <c r="AC275" i="1"/>
  <c r="X211" i="1"/>
  <c r="X251" i="1"/>
  <c r="AC13" i="1"/>
  <c r="X37" i="1"/>
  <c r="X175" i="1"/>
  <c r="R79" i="1"/>
  <c r="R425" i="1"/>
  <c r="AC8" i="1"/>
  <c r="AC378" i="1"/>
  <c r="R326" i="1"/>
  <c r="X388" i="1"/>
  <c r="X96" i="1"/>
  <c r="AC363" i="1"/>
  <c r="X60" i="1"/>
  <c r="X277" i="1"/>
  <c r="AC305" i="1"/>
  <c r="AC409" i="1"/>
  <c r="R47" i="1"/>
  <c r="AC223" i="1"/>
  <c r="R177" i="1"/>
  <c r="AC172" i="1"/>
  <c r="R412" i="1"/>
  <c r="X386" i="1"/>
  <c r="X158" i="1"/>
  <c r="X47" i="1"/>
  <c r="AC79" i="1"/>
  <c r="R120" i="1"/>
  <c r="AC12" i="1"/>
  <c r="AC218" i="1"/>
  <c r="AC191" i="1"/>
  <c r="AC352" i="1"/>
  <c r="AC32" i="1"/>
  <c r="X91" i="1"/>
  <c r="AC270" i="1"/>
  <c r="R203" i="1"/>
  <c r="R145" i="1"/>
  <c r="X282" i="1"/>
  <c r="X253" i="1"/>
  <c r="X358" i="1"/>
  <c r="R125" i="1"/>
  <c r="AC336" i="1"/>
  <c r="R15" i="1"/>
  <c r="R409" i="1"/>
  <c r="R456" i="1"/>
  <c r="X59" i="1"/>
  <c r="R431" i="1"/>
  <c r="R403" i="1"/>
  <c r="AC274" i="1"/>
  <c r="R93" i="1"/>
  <c r="AC165" i="1"/>
  <c r="R9" i="1"/>
  <c r="R447" i="1"/>
  <c r="AC133" i="1"/>
  <c r="AC127" i="1"/>
  <c r="R438" i="1"/>
  <c r="AC320" i="1"/>
  <c r="R459" i="1"/>
  <c r="R362" i="1"/>
  <c r="X68" i="1"/>
  <c r="X86" i="1"/>
  <c r="AC379" i="1"/>
  <c r="AC455" i="1"/>
  <c r="AC200" i="1"/>
  <c r="AC156" i="1"/>
  <c r="X290" i="1"/>
  <c r="AC129" i="1"/>
  <c r="R432" i="1"/>
  <c r="R91" i="1"/>
  <c r="R360" i="1"/>
  <c r="R221" i="1"/>
  <c r="X200" i="1"/>
  <c r="AC53" i="1"/>
  <c r="R222" i="1"/>
  <c r="X14" i="1"/>
  <c r="AC195" i="1"/>
  <c r="X446" i="1"/>
  <c r="AC5" i="1"/>
  <c r="R53" i="1"/>
  <c r="AC56" i="1"/>
  <c r="R301" i="1"/>
  <c r="X195" i="1"/>
  <c r="X412" i="1"/>
  <c r="AC260" i="1"/>
  <c r="X438" i="1"/>
  <c r="R296" i="1"/>
  <c r="AC449" i="1"/>
  <c r="X366" i="1"/>
  <c r="X150" i="1"/>
  <c r="X320" i="1"/>
  <c r="X41" i="1"/>
  <c r="X379" i="1"/>
  <c r="R19" i="1"/>
  <c r="X409" i="1"/>
  <c r="X354" i="1"/>
  <c r="X414" i="1"/>
  <c r="R325" i="1"/>
  <c r="X392" i="1"/>
  <c r="R316" i="1"/>
  <c r="AC331" i="1"/>
  <c r="X129" i="1"/>
  <c r="X447" i="1"/>
  <c r="X399" i="1"/>
  <c r="X416" i="1"/>
  <c r="X77" i="1"/>
  <c r="X276" i="1"/>
  <c r="AC264" i="1"/>
  <c r="AC178" i="1"/>
  <c r="X264" i="1"/>
  <c r="R146" i="1"/>
  <c r="R269" i="1"/>
  <c r="AC208" i="1"/>
  <c r="X180" i="1"/>
  <c r="X182" i="1"/>
  <c r="R454" i="1"/>
  <c r="X161" i="1"/>
  <c r="X295" i="1"/>
  <c r="X116" i="1"/>
  <c r="X190" i="1"/>
  <c r="AC203" i="1"/>
  <c r="AC272" i="1"/>
  <c r="X430" i="1"/>
  <c r="X101" i="1"/>
  <c r="AC26" i="1"/>
  <c r="X204" i="1"/>
  <c r="X455" i="1"/>
  <c r="R336" i="1"/>
  <c r="X391" i="1"/>
  <c r="X123" i="1"/>
  <c r="X78" i="1"/>
  <c r="X64" i="1"/>
  <c r="R426" i="1"/>
  <c r="AC237" i="1"/>
  <c r="X171" i="1"/>
  <c r="AC135" i="1"/>
  <c r="AC131" i="1"/>
  <c r="AC234" i="1"/>
  <c r="R356" i="1"/>
  <c r="X199" i="1"/>
  <c r="R404" i="1"/>
  <c r="X294" i="1"/>
  <c r="R195" i="1"/>
  <c r="AC210" i="1"/>
  <c r="X406" i="1"/>
  <c r="AC168" i="1"/>
  <c r="AC374" i="1"/>
  <c r="R190" i="1"/>
  <c r="X408" i="1"/>
  <c r="AC151" i="1"/>
  <c r="X303" i="1"/>
  <c r="X252" i="1"/>
  <c r="R14" i="1"/>
  <c r="X444" i="1"/>
  <c r="AC381" i="1"/>
  <c r="AC246" i="1"/>
  <c r="X73" i="1"/>
  <c r="R117" i="1"/>
  <c r="R451" i="1"/>
  <c r="X172" i="1"/>
  <c r="X402" i="1"/>
  <c r="X291" i="1"/>
  <c r="X286" i="1"/>
  <c r="X394" i="1"/>
  <c r="X42" i="1"/>
  <c r="AC161" i="1"/>
  <c r="R64" i="1"/>
  <c r="AC202" i="1"/>
  <c r="R134" i="1"/>
  <c r="AC116" i="1"/>
  <c r="R109" i="1"/>
  <c r="R421" i="1"/>
  <c r="AC104" i="1"/>
  <c r="X374" i="1"/>
  <c r="AC425" i="1"/>
  <c r="R63" i="1"/>
  <c r="AC324" i="1"/>
  <c r="AC370" i="1"/>
  <c r="R198" i="1"/>
  <c r="R28" i="1"/>
  <c r="X40" i="1"/>
  <c r="AC437" i="1"/>
  <c r="R175" i="1"/>
  <c r="X155" i="1"/>
  <c r="R264" i="1"/>
  <c r="X76" i="1"/>
  <c r="R209" i="1"/>
  <c r="AC407" i="1"/>
  <c r="R20" i="1"/>
  <c r="R214" i="1"/>
  <c r="X309" i="1"/>
  <c r="X89" i="1"/>
  <c r="X335" i="1"/>
  <c r="R249" i="1"/>
  <c r="X137" i="1"/>
  <c r="R150" i="1"/>
  <c r="R334" i="1"/>
  <c r="AC68" i="1"/>
  <c r="AC368" i="1"/>
  <c r="AC110" i="1"/>
  <c r="R57" i="1"/>
  <c r="R228" i="1"/>
  <c r="R135" i="1"/>
  <c r="R151" i="1"/>
  <c r="X340" i="1"/>
  <c r="X275" i="1"/>
  <c r="R346" i="1"/>
  <c r="R158" i="1"/>
  <c r="X164" i="1"/>
  <c r="X88" i="1"/>
  <c r="X427" i="1"/>
  <c r="R100" i="1"/>
  <c r="R292" i="1"/>
  <c r="AC308" i="1"/>
  <c r="R194" i="1"/>
  <c r="AC262" i="1"/>
  <c r="AC371" i="1"/>
  <c r="AC373" i="1"/>
  <c r="R184" i="1"/>
  <c r="AC248" i="1"/>
  <c r="X377" i="1"/>
  <c r="X439" i="1"/>
  <c r="AC225" i="1"/>
  <c r="X110" i="1"/>
  <c r="X244" i="1"/>
  <c r="AC211" i="1"/>
  <c r="AC309" i="1"/>
  <c r="X422" i="1"/>
  <c r="AC303" i="1"/>
  <c r="X107" i="1"/>
  <c r="R317" i="1"/>
  <c r="R183" i="1"/>
  <c r="R256" i="1"/>
  <c r="R68" i="1"/>
  <c r="R271" i="1"/>
  <c r="R398" i="1"/>
  <c r="AC258" i="1"/>
  <c r="R80" i="1"/>
  <c r="R41" i="1"/>
  <c r="X186" i="1"/>
  <c r="AC347" i="1"/>
  <c r="AC460" i="1"/>
  <c r="AC41" i="1"/>
  <c r="R13" i="1"/>
  <c r="X396" i="1"/>
  <c r="R298" i="1"/>
  <c r="R250" i="1"/>
  <c r="X120" i="1"/>
  <c r="AC341" i="1"/>
  <c r="X382" i="1"/>
  <c r="X376" i="1"/>
  <c r="X338" i="1"/>
  <c r="AC279" i="1"/>
  <c r="X390" i="1"/>
  <c r="R141" i="1"/>
  <c r="X327" i="1"/>
  <c r="AC278" i="1"/>
  <c r="R113" i="1"/>
  <c r="X95" i="1"/>
  <c r="AC445" i="1"/>
  <c r="X250" i="1"/>
  <c r="AC224" i="1"/>
  <c r="AC228" i="1"/>
  <c r="AC367" i="1"/>
  <c r="AC346" i="1"/>
  <c r="AC323" i="1"/>
  <c r="AC261" i="1"/>
  <c r="AC358" i="1"/>
  <c r="X128" i="1"/>
  <c r="X346" i="1"/>
  <c r="X420" i="1"/>
  <c r="R342" i="1"/>
  <c r="R341" i="1"/>
  <c r="AC29" i="1"/>
  <c r="AC18" i="1"/>
  <c r="AC45" i="1"/>
  <c r="X147" i="1"/>
  <c r="AC429" i="1"/>
  <c r="AC138" i="1"/>
  <c r="X36" i="1"/>
  <c r="AC433" i="1"/>
  <c r="X44" i="1"/>
  <c r="AC190" i="1"/>
  <c r="R193" i="1"/>
  <c r="AC302" i="1"/>
  <c r="X292" i="1"/>
  <c r="AC213" i="1"/>
  <c r="AC177" i="1"/>
  <c r="R56" i="1"/>
  <c r="X181" i="1"/>
  <c r="R130" i="1"/>
  <c r="AC198" i="1"/>
  <c r="R51" i="1"/>
  <c r="R131" i="1"/>
  <c r="AC283" i="1"/>
  <c r="X194" i="1"/>
  <c r="AC245" i="1"/>
  <c r="R423" i="1"/>
  <c r="X176" i="1"/>
  <c r="R86" i="1"/>
  <c r="AC139" i="1"/>
  <c r="X183" i="1"/>
  <c r="X351" i="1"/>
  <c r="AC334" i="1"/>
  <c r="R208" i="1"/>
  <c r="R387" i="1"/>
  <c r="R128" i="1"/>
  <c r="R148" i="1"/>
  <c r="R310" i="1"/>
  <c r="R82" i="1"/>
  <c r="AC125" i="1"/>
  <c r="AC232" i="1"/>
  <c r="X343" i="1"/>
  <c r="AC132" i="1"/>
  <c r="X469" i="1"/>
  <c r="AC386" i="1"/>
  <c r="X81" i="1"/>
  <c r="X259" i="1"/>
  <c r="R338" i="1"/>
  <c r="R420" i="1"/>
  <c r="AC300" i="1"/>
  <c r="X232" i="1"/>
  <c r="AC411" i="1"/>
  <c r="X134" i="1"/>
  <c r="R440" i="1"/>
  <c r="AC181" i="1"/>
  <c r="AC40" i="1"/>
  <c r="AC87" i="1"/>
  <c r="AC339" i="1"/>
  <c r="AC155" i="1"/>
  <c r="AC355" i="1"/>
  <c r="X66" i="1"/>
  <c r="X423" i="1"/>
  <c r="R252" i="1"/>
  <c r="X357" i="1"/>
  <c r="R383" i="1"/>
  <c r="R61" i="1"/>
  <c r="R59" i="1"/>
  <c r="AC393" i="1"/>
  <c r="R25" i="1"/>
  <c r="R42" i="1"/>
  <c r="R174" i="1"/>
  <c r="X222" i="1"/>
  <c r="X30" i="1"/>
  <c r="AC76" i="1"/>
  <c r="X218" i="1"/>
  <c r="X235" i="1"/>
  <c r="AC434" i="1"/>
  <c r="AC427" i="1"/>
  <c r="X306" i="1"/>
  <c r="AC70" i="1"/>
  <c r="AC65" i="1"/>
  <c r="R407" i="1"/>
  <c r="AC256" i="1"/>
  <c r="R452" i="1"/>
  <c r="R99" i="1"/>
  <c r="AC167" i="1"/>
  <c r="AC296" i="1"/>
  <c r="X207" i="1"/>
  <c r="X122" i="1"/>
  <c r="R225" i="1"/>
  <c r="AC422" i="1"/>
  <c r="AC418" i="1"/>
  <c r="AC319" i="1"/>
  <c r="X310" i="1"/>
  <c r="X270" i="1"/>
  <c r="R223" i="1"/>
  <c r="R251" i="1"/>
  <c r="AC31" i="1"/>
  <c r="X347" i="1"/>
  <c r="X389" i="1"/>
  <c r="AC299" i="1"/>
  <c r="AC284" i="1"/>
  <c r="AC170" i="1"/>
  <c r="R77" i="1"/>
  <c r="AC130" i="1"/>
  <c r="R372" i="1"/>
  <c r="AC435" i="1"/>
  <c r="AC388" i="1"/>
  <c r="R303" i="1"/>
  <c r="R136" i="1"/>
  <c r="AC20" i="1"/>
  <c r="X51" i="1"/>
  <c r="X65" i="1"/>
  <c r="AC19" i="1"/>
  <c r="R469" i="1"/>
  <c r="AC329" i="1"/>
  <c r="R27" i="1"/>
  <c r="X170" i="1"/>
  <c r="R275" i="1"/>
  <c r="AC182" i="1"/>
  <c r="AC78" i="1"/>
  <c r="R90" i="1"/>
  <c r="X133" i="1"/>
  <c r="R212" i="1"/>
  <c r="R181" i="1"/>
  <c r="X54" i="1"/>
  <c r="AC250" i="1"/>
  <c r="R248" i="1"/>
  <c r="X407" i="1"/>
  <c r="AC171" i="1"/>
  <c r="X451" i="1"/>
  <c r="X212" i="1"/>
  <c r="AC344" i="1"/>
  <c r="X80" i="1"/>
  <c r="AC21" i="1"/>
  <c r="R373" i="1"/>
  <c r="X321" i="1"/>
  <c r="AC23" i="1"/>
  <c r="R306" i="1"/>
  <c r="AC417" i="1"/>
  <c r="R163" i="1"/>
  <c r="R417" i="1"/>
  <c r="AC201" i="1"/>
  <c r="R291" i="1"/>
  <c r="R443" i="1"/>
  <c r="AC81" i="1"/>
  <c r="AC412" i="1"/>
  <c r="R399" i="1"/>
  <c r="R392" i="1"/>
  <c r="X53" i="1"/>
  <c r="X395" i="1"/>
  <c r="X387" i="1"/>
  <c r="X132" i="1"/>
  <c r="X293" i="1"/>
  <c r="AC404" i="1"/>
  <c r="AC55" i="1"/>
  <c r="R71" i="1"/>
  <c r="AC400" i="1"/>
  <c r="X425" i="1"/>
  <c r="AC252" i="1"/>
  <c r="AC157" i="1"/>
  <c r="X48" i="1"/>
  <c r="AC34" i="1"/>
  <c r="AC384" i="1"/>
  <c r="R261" i="1"/>
  <c r="R433" i="1"/>
  <c r="X239" i="1"/>
  <c r="X106" i="1"/>
  <c r="R85" i="1"/>
  <c r="AC354" i="1"/>
  <c r="R167" i="1"/>
  <c r="AC121" i="1"/>
  <c r="X352" i="1"/>
  <c r="R388" i="1"/>
  <c r="R55" i="1"/>
  <c r="AC142" i="1"/>
  <c r="X285" i="1"/>
  <c r="X203" i="1"/>
  <c r="AC276" i="1"/>
  <c r="X214" i="1"/>
  <c r="X34" i="1"/>
  <c r="R108" i="1"/>
  <c r="X311" i="1"/>
  <c r="AC443" i="1"/>
  <c r="R72" i="1"/>
  <c r="R436" i="1"/>
  <c r="R233" i="1"/>
  <c r="R48" i="1"/>
  <c r="X258" i="1"/>
  <c r="R375" i="1"/>
  <c r="X74" i="1"/>
  <c r="AC387" i="1"/>
  <c r="AC174" i="1"/>
  <c r="X284" i="1"/>
  <c r="AC470" i="1"/>
  <c r="R335" i="1"/>
  <c r="X114" i="1"/>
  <c r="AC372" i="1"/>
  <c r="AC57" i="1"/>
  <c r="X334" i="1"/>
  <c r="X273" i="1"/>
  <c r="X35" i="1"/>
  <c r="R124" i="1"/>
  <c r="X304" i="1"/>
  <c r="AC446" i="1"/>
  <c r="X429" i="1"/>
  <c r="X266" i="1"/>
  <c r="X329" i="1"/>
  <c r="R396" i="1"/>
  <c r="X191" i="1"/>
  <c r="X146" i="1"/>
  <c r="X360" i="1"/>
  <c r="AC43" i="1"/>
  <c r="AC385" i="1"/>
  <c r="R242" i="1"/>
  <c r="AC49" i="1"/>
  <c r="R397" i="1"/>
  <c r="AC390" i="1"/>
  <c r="AC47" i="1"/>
  <c r="AC277" i="1"/>
  <c r="R139" i="1"/>
  <c r="AC287" i="1"/>
  <c r="AC408" i="1"/>
  <c r="X262" i="1"/>
  <c r="R355" i="1"/>
  <c r="AC158" i="1"/>
  <c r="R435" i="1"/>
  <c r="AC128" i="1"/>
  <c r="AC297" i="1"/>
  <c r="X56" i="1"/>
  <c r="AC364" i="1"/>
  <c r="X324" i="1"/>
  <c r="R201" i="1"/>
  <c r="R23" i="1"/>
  <c r="R278" i="1"/>
  <c r="R410" i="1"/>
  <c r="AC92" i="1"/>
  <c r="AC318" i="1"/>
  <c r="X331" i="1"/>
  <c r="R330" i="1"/>
  <c r="AC120" i="1"/>
  <c r="R458" i="1"/>
  <c r="R308" i="1"/>
  <c r="X17" i="1"/>
  <c r="R351" i="1"/>
  <c r="X401" i="1"/>
  <c r="R353" i="1"/>
  <c r="X192" i="1"/>
  <c r="R361" i="1"/>
  <c r="X21" i="1"/>
  <c r="AC97" i="1"/>
  <c r="X57" i="1"/>
  <c r="AC265" i="1"/>
  <c r="X330" i="1"/>
  <c r="AC205" i="1"/>
  <c r="R366" i="1"/>
  <c r="X363" i="1"/>
  <c r="AC243" i="1"/>
  <c r="R17" i="1"/>
  <c r="AC209" i="1"/>
  <c r="R45" i="1"/>
  <c r="X52" i="1"/>
  <c r="R211" i="1"/>
  <c r="AC343" i="1"/>
  <c r="AC360" i="1"/>
  <c r="R34" i="1"/>
  <c r="AC109" i="1"/>
  <c r="X38" i="1"/>
  <c r="AC67" i="1"/>
  <c r="X373" i="1"/>
  <c r="AC290" i="1"/>
  <c r="R320" i="1"/>
  <c r="R475" i="1"/>
  <c r="X448" i="1"/>
  <c r="X433" i="1"/>
  <c r="R441" i="1"/>
  <c r="AC241" i="1"/>
  <c r="R367" i="1"/>
  <c r="X460" i="1"/>
  <c r="X46" i="1"/>
  <c r="X29" i="1"/>
  <c r="X307" i="1"/>
  <c r="AC16" i="1"/>
  <c r="AC333" i="1"/>
  <c r="R402" i="1"/>
  <c r="X405" i="1"/>
  <c r="R133" i="1"/>
  <c r="R12" i="1"/>
  <c r="AC263" i="1"/>
  <c r="R329" i="1"/>
  <c r="R258" i="1"/>
  <c r="R170" i="1"/>
  <c r="AC108" i="1"/>
  <c r="R122" i="1"/>
  <c r="X434" i="1"/>
  <c r="X245" i="1"/>
  <c r="AC214" i="1"/>
  <c r="R196" i="1"/>
  <c r="AC414" i="1"/>
  <c r="AC69" i="1"/>
  <c r="AC327" i="1"/>
  <c r="X67" i="1"/>
  <c r="R67" i="1"/>
  <c r="AC307" i="1"/>
  <c r="R103" i="1"/>
  <c r="X325" i="1"/>
  <c r="R84" i="1"/>
  <c r="AC291" i="1"/>
  <c r="AC350" i="1"/>
  <c r="R69" i="1"/>
  <c r="R257" i="1"/>
  <c r="X131" i="1"/>
  <c r="R60" i="1"/>
  <c r="X159" i="1"/>
  <c r="X61" i="1"/>
  <c r="R118" i="1"/>
  <c r="X356" i="1"/>
  <c r="X336" i="1"/>
  <c r="R358" i="1"/>
  <c r="R200" i="1"/>
  <c r="AC148" i="1"/>
  <c r="AC84" i="1"/>
  <c r="R202" i="1"/>
  <c r="AC199" i="1"/>
  <c r="R450" i="1"/>
  <c r="R40" i="1"/>
  <c r="R116" i="1"/>
  <c r="AC289" i="1"/>
  <c r="R31" i="1"/>
  <c r="R50" i="1"/>
  <c r="AC424" i="1"/>
  <c r="AC405" i="1"/>
  <c r="R21" i="1"/>
  <c r="AC353" i="1"/>
  <c r="R70" i="1"/>
  <c r="AC257" i="1"/>
  <c r="R401" i="1"/>
  <c r="X261" i="1"/>
  <c r="R230" i="1"/>
  <c r="AC48" i="1"/>
  <c r="X404" i="1"/>
  <c r="AC286" i="1"/>
  <c r="AC458" i="1"/>
  <c r="AC450" i="1"/>
  <c r="AC75" i="1"/>
  <c r="R54" i="1"/>
  <c r="R283" i="1"/>
  <c r="X165" i="1"/>
  <c r="R52" i="1"/>
  <c r="X201" i="1"/>
  <c r="X369" i="1"/>
  <c r="X90" i="1"/>
  <c r="AC480" i="1"/>
  <c r="AC366" i="1"/>
  <c r="X246" i="1"/>
  <c r="X257" i="1"/>
  <c r="X233" i="1"/>
  <c r="R224" i="1"/>
  <c r="X443" i="1"/>
  <c r="AC328" i="1"/>
  <c r="X265" i="1"/>
  <c r="R381" i="1"/>
  <c r="AC474" i="1"/>
  <c r="X283" i="1"/>
  <c r="R26" i="1"/>
  <c r="X400" i="1"/>
  <c r="X156" i="1"/>
  <c r="R377" i="1"/>
  <c r="AC143" i="1"/>
  <c r="R455" i="1"/>
  <c r="R83" i="1"/>
  <c r="R110" i="1"/>
  <c r="X350" i="1"/>
  <c r="AC440" i="1"/>
  <c r="X45" i="1"/>
  <c r="AC33" i="1"/>
  <c r="R191" i="1"/>
  <c r="R210" i="1"/>
  <c r="X173" i="1"/>
  <c r="R331" i="1"/>
  <c r="X378" i="1"/>
  <c r="X24" i="1"/>
  <c r="X436" i="1"/>
  <c r="AC451" i="1"/>
  <c r="X345" i="1"/>
  <c r="AC154" i="1"/>
  <c r="R8" i="1"/>
  <c r="R235" i="1"/>
  <c r="R295" i="1"/>
  <c r="AC293" i="1"/>
  <c r="R453" i="1"/>
  <c r="R137" i="1"/>
  <c r="AC204" i="1"/>
  <c r="AC316" i="1"/>
  <c r="X27" i="1"/>
  <c r="AC321" i="1"/>
  <c r="X271" i="1"/>
  <c r="R220" i="1"/>
  <c r="R7" i="1"/>
  <c r="R156" i="1"/>
  <c r="AC28" i="1"/>
  <c r="X428" i="1"/>
  <c r="AC152" i="1"/>
  <c r="AC180" i="1"/>
  <c r="AC233" i="1"/>
  <c r="X316" i="1"/>
  <c r="X5" i="1"/>
  <c r="X242" i="1"/>
  <c r="R448" i="1"/>
  <c r="R75" i="1"/>
  <c r="AC115" i="1"/>
  <c r="R265" i="1"/>
  <c r="AC281" i="1"/>
  <c r="AC444" i="1"/>
  <c r="X162" i="1"/>
  <c r="AC410" i="1"/>
  <c r="AC173" i="1"/>
  <c r="X442" i="1"/>
  <c r="AC101" i="1"/>
  <c r="X138" i="1"/>
  <c r="X13" i="1"/>
  <c r="AC326" i="1"/>
  <c r="X226" i="1"/>
  <c r="X7" i="1"/>
  <c r="R444" i="1"/>
  <c r="X228" i="1"/>
  <c r="X213" i="1"/>
  <c r="AC88" i="1"/>
  <c r="AC66" i="1"/>
  <c r="R199" i="1"/>
  <c r="R274" i="1"/>
  <c r="R161" i="1"/>
  <c r="R204" i="1"/>
  <c r="X318" i="1"/>
  <c r="R484" i="1"/>
  <c r="AC493" i="1"/>
  <c r="R46" i="1"/>
  <c r="AC216" i="1"/>
  <c r="AC463" i="1"/>
  <c r="AC30" i="1"/>
  <c r="AC238" i="1"/>
  <c r="AC207" i="1"/>
  <c r="AC310" i="1"/>
  <c r="AC448" i="1"/>
  <c r="AC220" i="1"/>
  <c r="R312" i="1"/>
  <c r="X50" i="1"/>
  <c r="R284" i="1"/>
  <c r="R327" i="1"/>
  <c r="AC98" i="1"/>
  <c r="AC356" i="1"/>
  <c r="AC163" i="1"/>
  <c r="AC236" i="1"/>
  <c r="X267" i="1"/>
  <c r="R428" i="1"/>
  <c r="R153" i="1"/>
  <c r="AC380" i="1"/>
  <c r="AC89" i="1"/>
  <c r="X458" i="1"/>
  <c r="R155" i="1"/>
  <c r="AC351" i="1"/>
  <c r="AC221" i="1"/>
  <c r="X249" i="1"/>
  <c r="AC365" i="1"/>
  <c r="X437" i="1"/>
  <c r="AC266" i="1"/>
  <c r="AC438" i="1"/>
  <c r="AC377" i="1"/>
  <c r="AC50" i="1"/>
  <c r="AC399" i="1"/>
  <c r="X301" i="1"/>
  <c r="R391" i="1"/>
  <c r="X135" i="1"/>
  <c r="R374" i="1"/>
  <c r="X39" i="1"/>
  <c r="R182" i="1"/>
  <c r="AC83" i="1"/>
  <c r="X225" i="1"/>
  <c r="AC146" i="1"/>
  <c r="AC123" i="1"/>
  <c r="AC73" i="1"/>
  <c r="R416" i="1"/>
  <c r="AC37" i="1"/>
  <c r="AC25" i="1"/>
  <c r="AC7" i="1"/>
  <c r="R297" i="1"/>
  <c r="AC102" i="1"/>
  <c r="X153" i="1"/>
  <c r="AC62" i="1"/>
  <c r="AC141" i="1"/>
  <c r="AC105" i="1"/>
  <c r="AC432" i="1"/>
  <c r="X33" i="1"/>
  <c r="AC217" i="1"/>
  <c r="X184" i="1"/>
  <c r="X119" i="1"/>
  <c r="AC184" i="1"/>
  <c r="R369" i="1"/>
  <c r="X236" i="1"/>
  <c r="R243" i="1"/>
  <c r="X160" i="1"/>
  <c r="R266" i="1"/>
  <c r="X419" i="1"/>
  <c r="AC239" i="1"/>
  <c r="X98" i="1"/>
  <c r="X328" i="1"/>
  <c r="X440" i="1"/>
  <c r="X163" i="1"/>
  <c r="R215" i="1"/>
  <c r="R463" i="1"/>
  <c r="X464" i="1"/>
  <c r="R311" i="1"/>
  <c r="AC206" i="1"/>
  <c r="AC80" i="1"/>
  <c r="AC330" i="1"/>
  <c r="X278" i="1"/>
  <c r="R112" i="1"/>
  <c r="X169" i="1"/>
  <c r="X230" i="1"/>
  <c r="AC459" i="1"/>
  <c r="X424" i="1"/>
  <c r="X9" i="1"/>
  <c r="R172" i="1"/>
  <c r="X241" i="1"/>
  <c r="X362" i="1"/>
  <c r="X384" i="1"/>
  <c r="AC164" i="1"/>
  <c r="X432" i="1"/>
  <c r="AC72" i="1"/>
  <c r="X435" i="1"/>
  <c r="AC194" i="1"/>
  <c r="R18" i="1"/>
  <c r="AC187" i="1"/>
  <c r="R73" i="1"/>
  <c r="AC271" i="1"/>
  <c r="R239" i="1"/>
  <c r="R378" i="1"/>
  <c r="R132" i="1"/>
  <c r="X72" i="1"/>
  <c r="X300" i="1"/>
  <c r="AC273" i="1"/>
  <c r="X143" i="1"/>
  <c r="X215" i="1"/>
  <c r="X380" i="1"/>
  <c r="R276" i="1"/>
  <c r="AC282" i="1"/>
  <c r="AC382" i="1"/>
  <c r="X361" i="1"/>
  <c r="AC295" i="1"/>
  <c r="AC456" i="1"/>
  <c r="R22" i="1"/>
  <c r="X370" i="1"/>
  <c r="AC254" i="1"/>
  <c r="AC219" i="1"/>
  <c r="R32" i="1"/>
  <c r="R395" i="1"/>
  <c r="R414" i="1"/>
  <c r="X85" i="1"/>
  <c r="AC395" i="1"/>
  <c r="AC315" i="1"/>
  <c r="R371" i="1"/>
  <c r="AC60" i="1"/>
  <c r="AC396" i="1"/>
  <c r="AC179" i="1"/>
  <c r="AC362" i="1"/>
  <c r="R173" i="1"/>
  <c r="X441" i="1"/>
  <c r="X142" i="1"/>
  <c r="AC71" i="1"/>
  <c r="R165" i="1"/>
  <c r="AC95" i="1"/>
  <c r="X224" i="1"/>
  <c r="AC113" i="1"/>
  <c r="X274" i="1"/>
  <c r="X268" i="1"/>
  <c r="R197" i="1"/>
  <c r="AC466" i="1"/>
  <c r="AC469" i="1"/>
  <c r="X202" i="1"/>
  <c r="X415" i="1"/>
  <c r="X344" i="1"/>
  <c r="X196" i="1"/>
  <c r="X368" i="1"/>
  <c r="AC312" i="1"/>
  <c r="R207" i="1"/>
  <c r="X220" i="1"/>
  <c r="AC439" i="1"/>
  <c r="AC447" i="1"/>
  <c r="R152" i="1"/>
  <c r="AC247" i="1"/>
  <c r="X255" i="1"/>
  <c r="R323" i="1"/>
  <c r="R350" i="1"/>
  <c r="AC340" i="1"/>
  <c r="R10" i="1"/>
  <c r="R154" i="1"/>
  <c r="AC242" i="1"/>
  <c r="X237" i="1"/>
  <c r="X474" i="1"/>
  <c r="AC426" i="1"/>
  <c r="R33" i="1"/>
  <c r="X189" i="1"/>
  <c r="R107" i="1"/>
  <c r="R106" i="1"/>
  <c r="X19" i="1"/>
  <c r="X217" i="1"/>
  <c r="R104" i="1"/>
  <c r="R479" i="1"/>
  <c r="AC389" i="1"/>
  <c r="X341" i="1"/>
  <c r="X105" i="1"/>
  <c r="X417" i="1"/>
  <c r="X26" i="1"/>
  <c r="AC107" i="1"/>
  <c r="AC361" i="1"/>
  <c r="AC42" i="1"/>
  <c r="X480" i="1"/>
  <c r="R74" i="1"/>
  <c r="X166" i="1"/>
  <c r="X111" i="1"/>
  <c r="R244" i="1"/>
  <c r="R418" i="1"/>
  <c r="AC322" i="1"/>
  <c r="AC375" i="1"/>
  <c r="X403" i="1"/>
  <c r="R385" i="1"/>
  <c r="X238" i="1"/>
  <c r="R96" i="1"/>
  <c r="R322" i="1"/>
  <c r="R160" i="1"/>
  <c r="AC64" i="1"/>
  <c r="R307" i="1"/>
  <c r="X452" i="1"/>
  <c r="R126" i="1"/>
  <c r="R272" i="1"/>
  <c r="AC249" i="1"/>
  <c r="AC117" i="1"/>
  <c r="AC298" i="1"/>
  <c r="AC357" i="1"/>
  <c r="R408" i="1"/>
  <c r="R253" i="1"/>
  <c r="X109" i="1"/>
  <c r="R394" i="1"/>
  <c r="X289" i="1"/>
  <c r="AC94" i="1"/>
  <c r="R241" i="1"/>
  <c r="R299" i="1"/>
  <c r="X227" i="1"/>
  <c r="R302" i="1"/>
  <c r="R176" i="1"/>
  <c r="AC124" i="1"/>
  <c r="X219" i="1"/>
  <c r="X297" i="1"/>
  <c r="X140" i="1"/>
  <c r="X55" i="1"/>
  <c r="X298" i="1"/>
  <c r="AC136" i="1"/>
  <c r="X141" i="1"/>
  <c r="AC255" i="1"/>
  <c r="X326" i="1"/>
  <c r="X12" i="1"/>
  <c r="X426" i="1"/>
  <c r="AC461" i="1"/>
  <c r="R468" i="1"/>
  <c r="AC472" i="1"/>
  <c r="AC476" i="1"/>
  <c r="AC485" i="1"/>
  <c r="X489" i="1"/>
  <c r="AC495" i="1"/>
  <c r="R217" i="1"/>
  <c r="R240" i="1"/>
  <c r="R279" i="1"/>
  <c r="X462" i="1"/>
  <c r="AC468" i="1"/>
  <c r="X472" i="1"/>
  <c r="X478" i="1"/>
  <c r="R485" i="1"/>
  <c r="AC489" i="1"/>
  <c r="X496" i="1"/>
  <c r="X113" i="1"/>
  <c r="AC423" i="1"/>
  <c r="R293" i="1"/>
  <c r="X450" i="1"/>
  <c r="R16" i="1"/>
  <c r="AC337" i="1"/>
  <c r="AC175" i="1"/>
  <c r="R89" i="1"/>
  <c r="X193" i="1"/>
  <c r="R379" i="1"/>
  <c r="X112" i="1"/>
  <c r="AC403" i="1"/>
  <c r="AC149" i="1"/>
  <c r="R119" i="1"/>
  <c r="AC269" i="1"/>
  <c r="AC4" i="1"/>
  <c r="AC112" i="1"/>
  <c r="AC288" i="1"/>
  <c r="R427" i="1"/>
  <c r="X124" i="1"/>
  <c r="X314" i="1"/>
  <c r="R315" i="1"/>
  <c r="R332" i="1"/>
  <c r="E16" i="23" s="1"/>
  <c r="E17" i="23" s="1"/>
  <c r="AC226" i="1"/>
  <c r="AC442" i="1"/>
  <c r="AC301" i="1"/>
  <c r="AC391" i="1"/>
  <c r="R114" i="1"/>
  <c r="R429" i="1"/>
  <c r="R449" i="1"/>
  <c r="R95" i="1"/>
  <c r="R386" i="1"/>
  <c r="R188" i="1"/>
  <c r="R254" i="1"/>
  <c r="X154" i="1"/>
  <c r="R245" i="1"/>
  <c r="X25" i="1"/>
  <c r="AC428" i="1"/>
  <c r="R36" i="1"/>
  <c r="AC215" i="1"/>
  <c r="AC415" i="1"/>
  <c r="X371" i="1"/>
  <c r="X279" i="1"/>
  <c r="R76" i="1"/>
  <c r="AC212" i="1"/>
  <c r="AC462" i="1"/>
  <c r="X467" i="1"/>
  <c r="R472" i="1"/>
  <c r="R478" i="1"/>
  <c r="X483" i="1"/>
  <c r="R489" i="1"/>
  <c r="AC496" i="1"/>
  <c r="X198" i="1"/>
  <c r="R462" i="1"/>
  <c r="AC467" i="1"/>
  <c r="X473" i="1"/>
  <c r="AC478" i="1"/>
  <c r="AC483" i="1"/>
  <c r="R490" i="1"/>
  <c r="R496" i="1"/>
  <c r="R285" i="1"/>
  <c r="X465" i="1"/>
  <c r="R467" i="1"/>
  <c r="R473" i="1"/>
  <c r="X477" i="1"/>
  <c r="R483" i="1"/>
  <c r="AC490" i="1"/>
  <c r="X498" i="1"/>
  <c r="X457" i="1"/>
  <c r="AC473" i="1"/>
  <c r="R477" i="1"/>
  <c r="X486" i="1"/>
  <c r="X490" i="1"/>
  <c r="R498" i="1"/>
  <c r="X365" i="1"/>
  <c r="X459" i="1"/>
  <c r="X82" i="1"/>
  <c r="X83" i="1"/>
  <c r="AC74" i="1"/>
  <c r="R87" i="1"/>
  <c r="R219" i="1"/>
  <c r="X287" i="1"/>
  <c r="R98" i="1"/>
  <c r="X397" i="1"/>
  <c r="X18" i="1"/>
  <c r="X449" i="1"/>
  <c r="X453" i="1"/>
  <c r="X148" i="1"/>
  <c r="R187" i="1"/>
  <c r="AC77" i="1"/>
  <c r="AC27" i="1"/>
  <c r="X322" i="1"/>
  <c r="X421" i="1"/>
  <c r="R247" i="1"/>
  <c r="R422" i="1"/>
  <c r="R282" i="1"/>
  <c r="AC348" i="1"/>
  <c r="R180" i="1"/>
  <c r="R281" i="1"/>
  <c r="AC413" i="1"/>
  <c r="AC38" i="1"/>
  <c r="AC436" i="1"/>
  <c r="R231" i="1"/>
  <c r="AC259" i="1"/>
  <c r="R273" i="1"/>
  <c r="AC441" i="1"/>
  <c r="AC383" i="1"/>
  <c r="X247" i="1"/>
  <c r="AC244" i="1"/>
  <c r="AC465" i="1"/>
  <c r="R457" i="1"/>
  <c r="X475" i="1"/>
  <c r="AC477" i="1"/>
  <c r="R486" i="1"/>
  <c r="X491" i="1"/>
  <c r="AC498" i="1"/>
  <c r="AC93" i="1"/>
  <c r="X308" i="1"/>
  <c r="X152" i="1"/>
  <c r="R44" i="1"/>
  <c r="AC197" i="1"/>
  <c r="R319" i="1"/>
  <c r="X269" i="1"/>
  <c r="R144" i="1"/>
  <c r="X223" i="1"/>
  <c r="AC419" i="1"/>
  <c r="R185" i="1"/>
  <c r="R424" i="1"/>
  <c r="X149" i="1"/>
  <c r="X187" i="1"/>
  <c r="X43" i="1"/>
  <c r="AC183" i="1"/>
  <c r="R259" i="1"/>
  <c r="R290" i="1"/>
  <c r="X4" i="1"/>
  <c r="R115" i="1"/>
  <c r="R162" i="1"/>
  <c r="X97" i="1"/>
  <c r="R339" i="1"/>
  <c r="R352" i="1"/>
  <c r="AC230" i="1"/>
  <c r="R286" i="1"/>
  <c r="R287" i="1"/>
  <c r="AC421" i="1"/>
  <c r="R376" i="1"/>
  <c r="AC137" i="1"/>
  <c r="AC294" i="1"/>
  <c r="AC189" i="1"/>
  <c r="AC134" i="1"/>
  <c r="X15" i="1"/>
  <c r="X463" i="1"/>
  <c r="AC457" i="1"/>
  <c r="AC475" i="1"/>
  <c r="X481" i="1"/>
  <c r="AC486" i="1"/>
  <c r="AC491" i="1"/>
  <c r="R481" i="1"/>
  <c r="AC484" i="1"/>
  <c r="R493" i="1"/>
  <c r="X488" i="1"/>
  <c r="X493" i="1"/>
  <c r="R470" i="1"/>
  <c r="X479" i="1"/>
  <c r="R480" i="1"/>
  <c r="AC488" i="1"/>
  <c r="X494" i="1"/>
  <c r="X482" i="1"/>
  <c r="R488" i="1"/>
  <c r="AC494" i="1"/>
  <c r="X58" i="1"/>
  <c r="X79" i="1"/>
  <c r="X367" i="1"/>
  <c r="AC430" i="1"/>
  <c r="AC253" i="1"/>
  <c r="X299" i="1"/>
  <c r="X466" i="1"/>
  <c r="X471" i="1"/>
  <c r="AC479" i="1"/>
  <c r="R482" i="1"/>
  <c r="AC487" i="1"/>
  <c r="R494" i="1"/>
  <c r="R11" i="1"/>
  <c r="X93" i="1"/>
  <c r="AC46" i="1"/>
  <c r="AC91" i="1"/>
  <c r="X168" i="1"/>
  <c r="X6" i="1"/>
  <c r="X157" i="1"/>
  <c r="X263" i="1"/>
  <c r="X99" i="1"/>
  <c r="X313" i="1"/>
  <c r="AC9" i="1"/>
  <c r="X461" i="1"/>
  <c r="R466" i="1"/>
  <c r="R471" i="1"/>
  <c r="X476" i="1"/>
  <c r="AC482" i="1"/>
  <c r="R487" i="1"/>
  <c r="X495" i="1"/>
  <c r="R405" i="1"/>
  <c r="AC240" i="1"/>
  <c r="X104" i="1"/>
  <c r="AC227" i="1"/>
  <c r="X337" i="1"/>
  <c r="AC118" i="1"/>
  <c r="R390" i="1"/>
  <c r="AC147" i="1"/>
  <c r="X102" i="1"/>
  <c r="AC10" i="1"/>
  <c r="X280" i="1"/>
  <c r="X10" i="1"/>
  <c r="AC52" i="1"/>
  <c r="X372" i="1"/>
  <c r="X174" i="1"/>
  <c r="R280" i="1"/>
  <c r="AC51" i="1"/>
  <c r="R149" i="1"/>
  <c r="R461" i="1"/>
  <c r="X468" i="1"/>
  <c r="AC471" i="1"/>
  <c r="R476" i="1"/>
  <c r="X485" i="1"/>
  <c r="X487" i="1"/>
  <c r="R495" i="1"/>
  <c r="X497" i="1"/>
  <c r="AC497" i="1"/>
  <c r="X125" i="1"/>
  <c r="AC86" i="1"/>
  <c r="X84" i="1"/>
  <c r="AC6" i="1"/>
  <c r="X221" i="1"/>
  <c r="AC162" i="1"/>
  <c r="R37" i="1"/>
  <c r="R464" i="1"/>
  <c r="X470" i="1"/>
  <c r="R474" i="1"/>
  <c r="AC481" i="1"/>
  <c r="X484" i="1"/>
  <c r="R491" i="1"/>
  <c r="U229" i="1"/>
  <c r="AB229" i="1"/>
  <c r="AC229" i="1" s="1"/>
  <c r="BX229" i="1"/>
  <c r="W229" i="1"/>
  <c r="X229" i="1" s="1"/>
  <c r="BY229" i="1"/>
  <c r="AA229" i="1" s="1"/>
  <c r="EE229" i="1" l="1"/>
  <c r="V229" i="1" s="1"/>
  <c r="Q229" i="1"/>
  <c r="R229" i="1" s="1"/>
  <c r="V300" i="1"/>
  <c r="Y229" i="1"/>
  <c r="D23" i="14"/>
  <c r="D22" i="14"/>
  <c r="EK492" i="1"/>
  <c r="CB492" i="1"/>
  <c r="BN492" i="1"/>
  <c r="BP492" i="1" s="1"/>
  <c r="BO492" i="1" l="1"/>
  <c r="BS492" i="1"/>
  <c r="BW492" i="1" s="1"/>
  <c r="AN492" i="1"/>
  <c r="AS492" i="1" s="1"/>
  <c r="AU492" i="1" s="1"/>
  <c r="BC492" i="1" l="1"/>
  <c r="BD492" i="1" s="1"/>
  <c r="W492" i="1"/>
  <c r="X492" i="1" s="1"/>
  <c r="AB492" i="1"/>
  <c r="AC492" i="1" s="1"/>
  <c r="AL492" i="1"/>
  <c r="AZ492" i="1" s="1"/>
  <c r="BG492" i="1" s="1" a="1"/>
  <c r="BG492" i="1" s="1"/>
  <c r="AQ492" i="1" l="1"/>
  <c r="AW492" i="1" s="1"/>
  <c r="BF492" i="1" a="1"/>
  <c r="BF492" i="1" s="1"/>
  <c r="BA492" i="1"/>
  <c r="DV492" i="1"/>
  <c r="BH492" i="1" l="1"/>
  <c r="S492" i="1" s="1"/>
  <c r="T492" i="1" s="1"/>
  <c r="Q492" i="1"/>
  <c r="R492" i="1" s="1"/>
  <c r="AM492" i="1"/>
  <c r="BB492" i="1" s="1"/>
  <c r="CQ492" i="1" s="1"/>
  <c r="DZ492" i="1" l="1"/>
  <c r="AR492" i="1"/>
  <c r="DY492" i="1" s="1"/>
  <c r="CR492" i="1" l="1"/>
  <c r="AG492" i="1" s="1"/>
  <c r="CP492" i="1"/>
  <c r="AF492" i="1" l="1"/>
  <c r="AH492" i="1" s="1"/>
  <c r="AI492" i="1" s="1"/>
  <c r="U492" i="1"/>
  <c r="Z492" i="1"/>
  <c r="U4" i="1" l="1"/>
  <c r="ED4" i="1"/>
  <c r="S4" i="1" s="1"/>
  <c r="T4" i="1" s="1"/>
  <c r="EC4" i="1"/>
  <c r="EE4" i="1" l="1"/>
  <c r="Q4" i="1"/>
  <c r="R4" i="1" s="1"/>
  <c r="BX65" i="1"/>
  <c r="AX112" i="1"/>
  <c r="BY227" i="1"/>
  <c r="BY14" i="1"/>
  <c r="AX243" i="1"/>
  <c r="AX189" i="1"/>
  <c r="AX212" i="1"/>
  <c r="CX188" i="1"/>
  <c r="AX145" i="1"/>
  <c r="AX294" i="1"/>
  <c r="BX121" i="1"/>
  <c r="AX72" i="1"/>
  <c r="BY9" i="1"/>
  <c r="BX219" i="1"/>
  <c r="AX296" i="1"/>
  <c r="AX139" i="1"/>
  <c r="BX54" i="1"/>
  <c r="AX105" i="1"/>
  <c r="AX97" i="1"/>
  <c r="BY78" i="1"/>
  <c r="AX170" i="1"/>
  <c r="AX153" i="1"/>
  <c r="AX271" i="1"/>
  <c r="BY8" i="1"/>
  <c r="AX231" i="1"/>
  <c r="AX66" i="1"/>
  <c r="BX80" i="1"/>
  <c r="AX260" i="1"/>
  <c r="AX34" i="1"/>
  <c r="AX146" i="1"/>
  <c r="AX57" i="1"/>
  <c r="AX265" i="1"/>
  <c r="AX58" i="1"/>
  <c r="BY295" i="1"/>
  <c r="BX291" i="1"/>
  <c r="BY205" i="1"/>
  <c r="AX98" i="1"/>
  <c r="BY116" i="1"/>
  <c r="BX144" i="1"/>
  <c r="AX257" i="1"/>
  <c r="BY225" i="1"/>
  <c r="BX234" i="1"/>
  <c r="AX199" i="1"/>
  <c r="AX227" i="1"/>
  <c r="AX142" i="1"/>
  <c r="AX161" i="1"/>
  <c r="AX20" i="1"/>
  <c r="AX73" i="1"/>
  <c r="BY123" i="1"/>
  <c r="AX188" i="1"/>
  <c r="BY65" i="1"/>
  <c r="AX137" i="1"/>
  <c r="BY13" i="1"/>
  <c r="BY121" i="1"/>
  <c r="AX48" i="1"/>
  <c r="CX225" i="1"/>
  <c r="BY234" i="1"/>
  <c r="BY33" i="1"/>
  <c r="AX244" i="1"/>
  <c r="AX101" i="1"/>
  <c r="BX14" i="1"/>
  <c r="AX80" i="1"/>
  <c r="AX206" i="1"/>
  <c r="BX263" i="1"/>
  <c r="AX6" i="1"/>
  <c r="CX255" i="1"/>
  <c r="AX224" i="1"/>
  <c r="BY163" i="1"/>
  <c r="BX49" i="1"/>
  <c r="AX52" i="1"/>
  <c r="BX33" i="1"/>
  <c r="AX92" i="1"/>
  <c r="BX198" i="1"/>
  <c r="AX214" i="1"/>
  <c r="AX259" i="1"/>
  <c r="AX136" i="1"/>
  <c r="BX50" i="1"/>
  <c r="AX222" i="1"/>
  <c r="AX95" i="1"/>
  <c r="AX232" i="1"/>
  <c r="BY182" i="1"/>
  <c r="CX235" i="1"/>
  <c r="CX121" i="1"/>
  <c r="AX249" i="1"/>
  <c r="AX45" i="1"/>
  <c r="AX219" i="1"/>
  <c r="BY12" i="1"/>
  <c r="CX154" i="1"/>
  <c r="BY259" i="1"/>
  <c r="AX14" i="1"/>
  <c r="AX117" i="1"/>
  <c r="BX108" i="1"/>
  <c r="BX137" i="1"/>
  <c r="CX245" i="1"/>
  <c r="AX40" i="1"/>
  <c r="AX285" i="1"/>
  <c r="BY159" i="1"/>
  <c r="BY92" i="1"/>
  <c r="AX118" i="1"/>
  <c r="AX19" i="1"/>
  <c r="BY11" i="1"/>
  <c r="AX33" i="1"/>
  <c r="BX276" i="1"/>
  <c r="AX54" i="1"/>
  <c r="BX78" i="1"/>
  <c r="AX160" i="1"/>
  <c r="AX235" i="1"/>
  <c r="BX182" i="1"/>
  <c r="CX282" i="1"/>
  <c r="BY73" i="1"/>
  <c r="AX168" i="1"/>
  <c r="BY251" i="1"/>
  <c r="AX266" i="1"/>
  <c r="AX175" i="1"/>
  <c r="CX54" i="1"/>
  <c r="BY271" i="1"/>
  <c r="BY54" i="1"/>
  <c r="BX48" i="1"/>
  <c r="BX251" i="1"/>
  <c r="CX204" i="1"/>
  <c r="BX146" i="1"/>
  <c r="AX151" i="1"/>
  <c r="BY278" i="1"/>
  <c r="BY235" i="1"/>
  <c r="AX30" i="1"/>
  <c r="AX299" i="1"/>
  <c r="AX163" i="1"/>
  <c r="AX50" i="1"/>
  <c r="AX217" i="1"/>
  <c r="AX21" i="1"/>
  <c r="BX32" i="1"/>
  <c r="BY144" i="1"/>
  <c r="AX134" i="1"/>
  <c r="AX110" i="1"/>
  <c r="AX4" i="1"/>
  <c r="AX205" i="1"/>
  <c r="CX183" i="1"/>
  <c r="BX93" i="1"/>
  <c r="BX18" i="1"/>
  <c r="AX129" i="1"/>
  <c r="BY93" i="1"/>
  <c r="BY59" i="1"/>
  <c r="AX107" i="1"/>
  <c r="AX159" i="1"/>
  <c r="AX179" i="1"/>
  <c r="BY97" i="1"/>
  <c r="AX126" i="1"/>
  <c r="AX115" i="1"/>
  <c r="AX85" i="1"/>
  <c r="BX148" i="1"/>
  <c r="BX240" i="1"/>
  <c r="AX169" i="1"/>
  <c r="AX166" i="1"/>
  <c r="BY47" i="1"/>
  <c r="AX9" i="1"/>
  <c r="AX194" i="1"/>
  <c r="AX261" i="1"/>
  <c r="BX9" i="1"/>
  <c r="BY217" i="1"/>
  <c r="BY100" i="1"/>
  <c r="BY72" i="1"/>
  <c r="BX273" i="1"/>
  <c r="AX172" i="1"/>
  <c r="BY281" i="1"/>
  <c r="BY43" i="1"/>
  <c r="AX100" i="1"/>
  <c r="AX64" i="1"/>
  <c r="AX258" i="1"/>
  <c r="CX243" i="1"/>
  <c r="AX262" i="1"/>
  <c r="AX171" i="1"/>
  <c r="AX492" i="1"/>
  <c r="AX120" i="1"/>
  <c r="BY219" i="1"/>
  <c r="AX67" i="1"/>
  <c r="BX43" i="1"/>
  <c r="BY18" i="1"/>
  <c r="BX163" i="1"/>
  <c r="AX49" i="1"/>
  <c r="AX301" i="1"/>
  <c r="AX131" i="1"/>
  <c r="AX246" i="1"/>
  <c r="BX159" i="1"/>
  <c r="CX144" i="1"/>
  <c r="AX46" i="1"/>
  <c r="AX177" i="1"/>
  <c r="AX35" i="1"/>
  <c r="AX55" i="1"/>
  <c r="AX16" i="1"/>
  <c r="AX125" i="1"/>
  <c r="AX86" i="1"/>
  <c r="AX273" i="1"/>
  <c r="AX216" i="1"/>
  <c r="AX272" i="1"/>
  <c r="AX223" i="1"/>
  <c r="CX106" i="1"/>
  <c r="AX208" i="1"/>
  <c r="CX156" i="1"/>
  <c r="BY230" i="1"/>
  <c r="BX131" i="1"/>
  <c r="AX165" i="1"/>
  <c r="CX59" i="1"/>
  <c r="AX26" i="1"/>
  <c r="AX11" i="1"/>
  <c r="AX253" i="1"/>
  <c r="CX163" i="1"/>
  <c r="AX84" i="1"/>
  <c r="BX123" i="1"/>
  <c r="AX192" i="1"/>
  <c r="BX205" i="1"/>
  <c r="AX236" i="1"/>
  <c r="AX263" i="1"/>
  <c r="BX8" i="1"/>
  <c r="BY148" i="1"/>
  <c r="CY492" i="1"/>
  <c r="BY167" i="1"/>
  <c r="BX230" i="1"/>
  <c r="BX106" i="1"/>
  <c r="AX65" i="1"/>
  <c r="CX201" i="1"/>
  <c r="AX255" i="1"/>
  <c r="AX230" i="1"/>
  <c r="BX257" i="1"/>
  <c r="CX108" i="1"/>
  <c r="AX59" i="1"/>
  <c r="BY200" i="1"/>
  <c r="BY257" i="1"/>
  <c r="AX76" i="1"/>
  <c r="AX225" i="1"/>
  <c r="AX88" i="1"/>
  <c r="AX104" i="1"/>
  <c r="AX47" i="1"/>
  <c r="AX200" i="1"/>
  <c r="BY291" i="1"/>
  <c r="BX492" i="1"/>
  <c r="AX278" i="1"/>
  <c r="AX44" i="1"/>
  <c r="AX5" i="1"/>
  <c r="AX29" i="1"/>
  <c r="BX245" i="1"/>
  <c r="BY108" i="1"/>
  <c r="BX201" i="1"/>
  <c r="BX217" i="1"/>
  <c r="AX221" i="1"/>
  <c r="BY183" i="1"/>
  <c r="AX240" i="1"/>
  <c r="AX28" i="1"/>
  <c r="BX283" i="1"/>
  <c r="AX275" i="1"/>
  <c r="AX23" i="1"/>
  <c r="AX77" i="1"/>
  <c r="BY188" i="1"/>
  <c r="BY49" i="1"/>
  <c r="AX157" i="1"/>
  <c r="BY201" i="1"/>
  <c r="BX227" i="1"/>
  <c r="BX126" i="1"/>
  <c r="CX14" i="1"/>
  <c r="AX164" i="1"/>
  <c r="AX297" i="1"/>
  <c r="CX291" i="1"/>
  <c r="AX197" i="1"/>
  <c r="AX211" i="1"/>
  <c r="AX108" i="1"/>
  <c r="BY80" i="1"/>
  <c r="BY161" i="1"/>
  <c r="AX103" i="1"/>
  <c r="AX111" i="1"/>
  <c r="BX271" i="1"/>
  <c r="AX186" i="1"/>
  <c r="BX73" i="1"/>
  <c r="BX116" i="1"/>
  <c r="AX143" i="1"/>
  <c r="BX158" i="1"/>
  <c r="AX60" i="1"/>
  <c r="BX186" i="1"/>
  <c r="AX233" i="1"/>
  <c r="AX81" i="1"/>
  <c r="AX69" i="1"/>
  <c r="AX53" i="1"/>
  <c r="BY198" i="1"/>
  <c r="AX15" i="1"/>
  <c r="CX203" i="1"/>
  <c r="BX72" i="1"/>
  <c r="AX279" i="1"/>
  <c r="AX289" i="1"/>
  <c r="BY240" i="1"/>
  <c r="BX183" i="1"/>
  <c r="AX201" i="1"/>
  <c r="AX241" i="1"/>
  <c r="AX182" i="1"/>
  <c r="BY141" i="1"/>
  <c r="AX220" i="1"/>
  <c r="AX277" i="1"/>
  <c r="BX281" i="1"/>
  <c r="AX71" i="1"/>
  <c r="BX13" i="1"/>
  <c r="CX90" i="1"/>
  <c r="AX102" i="1"/>
  <c r="AX154" i="1"/>
  <c r="BY7" i="1"/>
  <c r="AX138" i="1"/>
  <c r="BX255" i="1"/>
  <c r="AX295" i="1"/>
  <c r="BX259" i="1"/>
  <c r="AX174" i="1"/>
  <c r="BY146" i="1"/>
  <c r="AX252" i="1"/>
  <c r="BY38" i="1"/>
  <c r="BY492" i="1"/>
  <c r="AX25" i="1"/>
  <c r="BX38" i="1"/>
  <c r="AX155" i="1"/>
  <c r="AX82" i="1"/>
  <c r="AX286" i="1"/>
  <c r="BX161" i="1"/>
  <c r="AX83" i="1"/>
  <c r="BX208" i="1"/>
  <c r="AX63" i="1"/>
  <c r="AX181" i="1"/>
  <c r="AX133" i="1"/>
  <c r="AX204" i="1"/>
  <c r="AX121" i="1"/>
  <c r="AX162" i="1"/>
  <c r="AX283" i="1"/>
  <c r="BY32" i="1"/>
  <c r="AX36" i="1"/>
  <c r="BY255" i="1"/>
  <c r="BY154" i="1"/>
  <c r="AX41" i="1"/>
  <c r="AX132" i="1"/>
  <c r="AX149" i="1"/>
  <c r="AX250" i="1"/>
  <c r="AX288" i="1"/>
  <c r="BX191" i="1"/>
  <c r="AX187" i="1"/>
  <c r="AX70" i="1"/>
  <c r="AX190" i="1"/>
  <c r="BX130" i="1"/>
  <c r="BY165" i="1"/>
  <c r="AX114" i="1"/>
  <c r="AX38" i="1"/>
  <c r="CX217" i="1"/>
  <c r="BY130" i="1"/>
  <c r="BY208" i="1"/>
  <c r="BY300" i="1"/>
  <c r="AX39" i="1"/>
  <c r="BY131" i="1"/>
  <c r="BY203" i="1"/>
  <c r="AX180" i="1"/>
  <c r="BY250" i="1"/>
  <c r="AX287" i="1"/>
  <c r="AX178" i="1"/>
  <c r="AX185" i="1"/>
  <c r="BX278" i="1"/>
  <c r="BX282" i="1"/>
  <c r="AX148" i="1"/>
  <c r="AX248" i="1"/>
  <c r="AX203" i="1"/>
  <c r="AX291" i="1"/>
  <c r="AX215" i="1"/>
  <c r="BX12" i="1"/>
  <c r="BX235" i="1"/>
  <c r="BY279" i="1"/>
  <c r="BX97" i="1"/>
  <c r="AX140" i="1"/>
  <c r="AX210" i="1"/>
  <c r="AX193" i="1"/>
  <c r="CX130" i="1"/>
  <c r="AX113" i="1"/>
  <c r="AX141" i="1"/>
  <c r="AX99" i="1"/>
  <c r="BX203" i="1"/>
  <c r="CX116" i="1"/>
  <c r="AX270" i="1"/>
  <c r="AX207" i="1"/>
  <c r="CX138" i="1"/>
  <c r="BX154" i="1"/>
  <c r="BY158" i="1"/>
  <c r="AX147" i="1"/>
  <c r="AX284" i="1"/>
  <c r="BX81" i="1"/>
  <c r="AX281" i="1"/>
  <c r="BX64" i="1"/>
  <c r="BY66" i="1"/>
  <c r="AX7" i="1"/>
  <c r="AX290" i="1"/>
  <c r="CX18" i="1"/>
  <c r="CX192" i="1"/>
  <c r="BX188" i="1"/>
  <c r="AX213" i="1"/>
  <c r="AX8" i="1"/>
  <c r="BX279" i="1"/>
  <c r="BX35" i="1"/>
  <c r="AX242" i="1"/>
  <c r="CX263" i="1"/>
  <c r="AX122" i="1"/>
  <c r="AX276" i="1"/>
  <c r="BY137" i="1"/>
  <c r="BY175" i="1"/>
  <c r="BY212" i="1"/>
  <c r="AX90" i="1"/>
  <c r="AX218" i="1"/>
  <c r="AX27" i="1"/>
  <c r="CX167" i="1"/>
  <c r="AX93" i="1"/>
  <c r="EE492" i="1"/>
  <c r="AX195" i="1"/>
  <c r="AX123" i="1"/>
  <c r="BY280" i="1"/>
  <c r="CX240" i="1"/>
  <c r="AX228" i="1"/>
  <c r="CX180" i="1"/>
  <c r="AX191" i="1"/>
  <c r="BX11" i="1"/>
  <c r="BX210" i="1"/>
  <c r="BY243" i="1"/>
  <c r="BX200" i="1"/>
  <c r="AX109" i="1"/>
  <c r="BX141" i="1"/>
  <c r="AX280" i="1"/>
  <c r="AX24" i="1"/>
  <c r="AX10" i="1"/>
  <c r="BY263" i="1"/>
  <c r="AX269" i="1"/>
  <c r="AX61" i="1"/>
  <c r="AX292" i="1"/>
  <c r="AX268" i="1"/>
  <c r="AX91" i="1"/>
  <c r="BY50" i="1"/>
  <c r="AX267" i="1"/>
  <c r="AX116" i="1"/>
  <c r="BY245" i="1"/>
  <c r="AX74" i="1"/>
  <c r="AX12" i="1"/>
  <c r="AX130" i="1"/>
  <c r="BX47" i="1"/>
  <c r="AX282" i="1"/>
  <c r="AX176" i="1"/>
  <c r="AX119" i="1"/>
  <c r="AX144" i="1"/>
  <c r="AX78" i="1"/>
  <c r="AX239" i="1"/>
  <c r="BY210" i="1"/>
  <c r="AX158" i="1"/>
  <c r="BX175" i="1"/>
  <c r="AX18" i="1"/>
  <c r="BY106" i="1"/>
  <c r="AX62" i="1"/>
  <c r="AX202" i="1"/>
  <c r="BX59" i="1"/>
  <c r="CX7" i="1"/>
  <c r="AX196" i="1"/>
  <c r="BY192" i="1"/>
  <c r="AX43" i="1"/>
  <c r="AX13" i="1"/>
  <c r="AX17" i="1"/>
  <c r="AX254" i="1"/>
  <c r="BX225" i="1"/>
  <c r="BY191" i="1"/>
  <c r="BX66" i="1"/>
  <c r="AX150" i="1"/>
  <c r="BX92" i="1"/>
  <c r="AX124" i="1"/>
  <c r="AX274" i="1"/>
  <c r="CX250" i="1"/>
  <c r="AX226" i="1"/>
  <c r="AX245" i="1"/>
  <c r="AX135" i="1"/>
  <c r="BY81" i="1"/>
  <c r="BY64" i="1"/>
  <c r="BX100" i="1"/>
  <c r="AX89" i="1"/>
  <c r="AX256" i="1"/>
  <c r="AX238" i="1"/>
  <c r="CX230" i="1"/>
  <c r="AX37" i="1"/>
  <c r="BY273" i="1"/>
  <c r="BY35" i="1"/>
  <c r="CX279" i="1"/>
  <c r="AX106" i="1"/>
  <c r="AX209" i="1"/>
  <c r="BX167" i="1"/>
  <c r="AX156" i="1"/>
  <c r="AX79" i="1"/>
  <c r="AX234" i="1"/>
  <c r="AX42" i="1"/>
  <c r="AX184" i="1"/>
  <c r="BX7" i="1"/>
  <c r="BY283" i="1"/>
  <c r="BY126" i="1"/>
  <c r="AX251" i="1"/>
  <c r="AX173" i="1"/>
  <c r="AX264" i="1"/>
  <c r="BX243" i="1"/>
  <c r="CX271" i="1"/>
  <c r="AX152" i="1"/>
  <c r="AX198" i="1"/>
  <c r="AX293" i="1"/>
  <c r="AX75" i="1"/>
  <c r="BX212" i="1"/>
  <c r="AX128" i="1"/>
  <c r="AX127" i="1"/>
  <c r="BX294" i="1"/>
  <c r="AX183" i="1"/>
  <c r="BX165" i="1"/>
  <c r="AX22" i="1"/>
  <c r="BY294" i="1"/>
  <c r="BX280" i="1"/>
  <c r="AX68" i="1"/>
  <c r="BX250" i="1"/>
  <c r="AX87" i="1"/>
  <c r="BY186" i="1"/>
  <c r="BY282" i="1"/>
  <c r="CX278" i="1"/>
  <c r="AX94" i="1"/>
  <c r="AY104" i="1" l="1"/>
  <c r="V104" i="1" s="1"/>
  <c r="AA104" i="1"/>
  <c r="Y104" i="1" s="1"/>
  <c r="AY87" i="1"/>
  <c r="V87" i="1" s="1"/>
  <c r="AA87" i="1"/>
  <c r="Y87" i="1" s="1"/>
  <c r="AA215" i="1"/>
  <c r="Y215" i="1" s="1"/>
  <c r="AY215" i="1"/>
  <c r="V215" i="1" s="1"/>
  <c r="AY291" i="1"/>
  <c r="V291" i="1" s="1"/>
  <c r="AJ291" i="1" s="1"/>
  <c r="AK291" i="1" s="1"/>
  <c r="AA94" i="1"/>
  <c r="Y94" i="1" s="1"/>
  <c r="AY94" i="1"/>
  <c r="V94" i="1" s="1"/>
  <c r="AY128" i="1"/>
  <c r="V128" i="1" s="1"/>
  <c r="AA128" i="1"/>
  <c r="Y128" i="1" s="1"/>
  <c r="AY203" i="1"/>
  <c r="V203" i="1" s="1"/>
  <c r="AJ203" i="1" s="1"/>
  <c r="AK203" i="1" s="1"/>
  <c r="AA88" i="1"/>
  <c r="Y88" i="1" s="1"/>
  <c r="AY88" i="1"/>
  <c r="V88" i="1" s="1"/>
  <c r="AY248" i="1"/>
  <c r="V248" i="1" s="1"/>
  <c r="AA248" i="1"/>
  <c r="Y248" i="1" s="1"/>
  <c r="AA168" i="1"/>
  <c r="Y168" i="1" s="1"/>
  <c r="AY168" i="1"/>
  <c r="V168" i="1" s="1"/>
  <c r="AY75" i="1"/>
  <c r="V75" i="1" s="1"/>
  <c r="AJ75" i="1" s="1"/>
  <c r="AK75" i="1" s="1"/>
  <c r="AA75" i="1"/>
  <c r="Y75" i="1" s="1"/>
  <c r="AY148" i="1"/>
  <c r="V148" i="1" s="1"/>
  <c r="AY68" i="1"/>
  <c r="V68" i="1" s="1"/>
  <c r="AA68" i="1"/>
  <c r="Y68" i="1" s="1"/>
  <c r="AY293" i="1"/>
  <c r="V293" i="1" s="1"/>
  <c r="AA293" i="1"/>
  <c r="Y293" i="1" s="1"/>
  <c r="AY225" i="1"/>
  <c r="V225" i="1" s="1"/>
  <c r="AJ225" i="1" s="1"/>
  <c r="AK225" i="1" s="1"/>
  <c r="AY193" i="1"/>
  <c r="V193" i="1" s="1"/>
  <c r="AA193" i="1"/>
  <c r="Y193" i="1" s="1"/>
  <c r="AY198" i="1"/>
  <c r="V198" i="1" s="1"/>
  <c r="AA152" i="1"/>
  <c r="Y152" i="1" s="1"/>
  <c r="AY152" i="1"/>
  <c r="V152" i="1" s="1"/>
  <c r="AA185" i="1"/>
  <c r="Y185" i="1" s="1"/>
  <c r="AY185" i="1"/>
  <c r="V185" i="1" s="1"/>
  <c r="AY99" i="1"/>
  <c r="V99" i="1" s="1"/>
  <c r="AA99" i="1"/>
  <c r="Y99" i="1" s="1"/>
  <c r="AY210" i="1"/>
  <c r="V210" i="1" s="1"/>
  <c r="AJ210" i="1" s="1"/>
  <c r="AK210" i="1" s="1"/>
  <c r="AY178" i="1"/>
  <c r="V178" i="1" s="1"/>
  <c r="AA178" i="1"/>
  <c r="Y178" i="1" s="1"/>
  <c r="AY175" i="1"/>
  <c r="V175" i="1" s="1"/>
  <c r="AA294" i="1"/>
  <c r="Y294" i="1" s="1"/>
  <c r="AY287" i="1"/>
  <c r="V287" i="1" s="1"/>
  <c r="AA287" i="1"/>
  <c r="Y287" i="1" s="1"/>
  <c r="AY76" i="1"/>
  <c r="V76" i="1" s="1"/>
  <c r="AA76" i="1"/>
  <c r="Y76" i="1" s="1"/>
  <c r="AA73" i="1"/>
  <c r="Y73" i="1" s="1"/>
  <c r="AY264" i="1"/>
  <c r="V264" i="1" s="1"/>
  <c r="AA264" i="1"/>
  <c r="Y264" i="1" s="1"/>
  <c r="AA250" i="1"/>
  <c r="Y250" i="1" s="1"/>
  <c r="AY140" i="1"/>
  <c r="V140" i="1" s="1"/>
  <c r="AA140" i="1"/>
  <c r="Y140" i="1" s="1"/>
  <c r="AA173" i="1"/>
  <c r="Y173" i="1" s="1"/>
  <c r="AY173" i="1"/>
  <c r="V173" i="1" s="1"/>
  <c r="AY180" i="1"/>
  <c r="V180" i="1" s="1"/>
  <c r="AJ180" i="1" s="1"/>
  <c r="AK180" i="1" s="1"/>
  <c r="AA180" i="1"/>
  <c r="Y180" i="1" s="1"/>
  <c r="AY141" i="1"/>
  <c r="V141" i="1" s="1"/>
  <c r="AJ141" i="1" s="1"/>
  <c r="AK141" i="1" s="1"/>
  <c r="AA22" i="1"/>
  <c r="Y22" i="1" s="1"/>
  <c r="AY22" i="1"/>
  <c r="V22" i="1" s="1"/>
  <c r="AY251" i="1"/>
  <c r="V251" i="1" s="1"/>
  <c r="AA203" i="1"/>
  <c r="Y203" i="1" s="1"/>
  <c r="AA266" i="1"/>
  <c r="Y266" i="1" s="1"/>
  <c r="AY266" i="1"/>
  <c r="V266" i="1" s="1"/>
  <c r="AA126" i="1"/>
  <c r="Y126" i="1" s="1"/>
  <c r="AA131" i="1"/>
  <c r="Y131" i="1" s="1"/>
  <c r="AA257" i="1"/>
  <c r="Y257" i="1" s="1"/>
  <c r="AA283" i="1"/>
  <c r="Y283" i="1" s="1"/>
  <c r="AY39" i="1"/>
  <c r="V39" i="1" s="1"/>
  <c r="AA39" i="1"/>
  <c r="Y39" i="1" s="1"/>
  <c r="AA282" i="1"/>
  <c r="Y282" i="1" s="1"/>
  <c r="AA279" i="1"/>
  <c r="Y279" i="1" s="1"/>
  <c r="AA300" i="1"/>
  <c r="Y300" i="1" s="1"/>
  <c r="AA113" i="1"/>
  <c r="Y113" i="1" s="1"/>
  <c r="AY113" i="1"/>
  <c r="V113" i="1" s="1"/>
  <c r="AY183" i="1"/>
  <c r="V183" i="1" s="1"/>
  <c r="AY184" i="1"/>
  <c r="V184" i="1" s="1"/>
  <c r="AJ184" i="1" s="1"/>
  <c r="AK184" i="1" s="1"/>
  <c r="AA184" i="1"/>
  <c r="Y184" i="1" s="1"/>
  <c r="AA208" i="1"/>
  <c r="Y208" i="1" s="1"/>
  <c r="AA200" i="1"/>
  <c r="Y200" i="1" s="1"/>
  <c r="AY42" i="1"/>
  <c r="V42" i="1" s="1"/>
  <c r="AA42" i="1"/>
  <c r="Y42" i="1" s="1"/>
  <c r="AA130" i="1"/>
  <c r="Y130" i="1" s="1"/>
  <c r="AA186" i="1"/>
  <c r="Y186" i="1" s="1"/>
  <c r="AY234" i="1"/>
  <c r="V234" i="1" s="1"/>
  <c r="AA251" i="1"/>
  <c r="Y251" i="1" s="1"/>
  <c r="AA79" i="1"/>
  <c r="Y79" i="1" s="1"/>
  <c r="AY79" i="1"/>
  <c r="V79" i="1" s="1"/>
  <c r="AY38" i="1"/>
  <c r="V38" i="1" s="1"/>
  <c r="AY59" i="1"/>
  <c r="V59" i="1" s="1"/>
  <c r="AJ59" i="1" s="1"/>
  <c r="AK59" i="1" s="1"/>
  <c r="AY156" i="1"/>
  <c r="V156" i="1" s="1"/>
  <c r="AJ156" i="1" s="1"/>
  <c r="AK156" i="1" s="1"/>
  <c r="AA156" i="1"/>
  <c r="Y156" i="1" s="1"/>
  <c r="AY114" i="1"/>
  <c r="V114" i="1" s="1"/>
  <c r="AA114" i="1"/>
  <c r="Y114" i="1" s="1"/>
  <c r="AY127" i="1"/>
  <c r="V127" i="1" s="1"/>
  <c r="AA127" i="1"/>
  <c r="Y127" i="1" s="1"/>
  <c r="V167" i="1"/>
  <c r="AJ167" i="1" s="1"/>
  <c r="AK167" i="1" s="1"/>
  <c r="AA165" i="1"/>
  <c r="Y165" i="1" s="1"/>
  <c r="AY209" i="1"/>
  <c r="V209" i="1" s="1"/>
  <c r="AA209" i="1"/>
  <c r="Y209" i="1" s="1"/>
  <c r="AY230" i="1"/>
  <c r="V230" i="1" s="1"/>
  <c r="AJ230" i="1" s="1"/>
  <c r="AK230" i="1" s="1"/>
  <c r="AY235" i="1"/>
  <c r="V235" i="1" s="1"/>
  <c r="AY106" i="1"/>
  <c r="V106" i="1" s="1"/>
  <c r="AJ106" i="1" s="1"/>
  <c r="AK106" i="1" s="1"/>
  <c r="AY190" i="1"/>
  <c r="V190" i="1" s="1"/>
  <c r="AA190" i="1"/>
  <c r="Y190" i="1" s="1"/>
  <c r="AY255" i="1"/>
  <c r="V255" i="1" s="1"/>
  <c r="AJ255" i="1" s="1"/>
  <c r="AK255" i="1" s="1"/>
  <c r="AA160" i="1"/>
  <c r="Y160" i="1" s="1"/>
  <c r="AY160" i="1"/>
  <c r="V160" i="1" s="1"/>
  <c r="AA70" i="1"/>
  <c r="Y70" i="1" s="1"/>
  <c r="AY70" i="1"/>
  <c r="V70" i="1" s="1"/>
  <c r="AA35" i="1"/>
  <c r="Y35" i="1" s="1"/>
  <c r="AY187" i="1"/>
  <c r="V187" i="1" s="1"/>
  <c r="AA187" i="1"/>
  <c r="Y187" i="1" s="1"/>
  <c r="AY65" i="1"/>
  <c r="V65" i="1" s="1"/>
  <c r="AY54" i="1"/>
  <c r="V54" i="1" s="1"/>
  <c r="AJ54" i="1" s="1"/>
  <c r="AK54" i="1" s="1"/>
  <c r="AA273" i="1"/>
  <c r="Y273" i="1" s="1"/>
  <c r="AY37" i="1"/>
  <c r="V37" i="1" s="1"/>
  <c r="AA37" i="1"/>
  <c r="Y37" i="1" s="1"/>
  <c r="AY288" i="1"/>
  <c r="V288" i="1" s="1"/>
  <c r="AA288" i="1"/>
  <c r="Y288" i="1" s="1"/>
  <c r="AY33" i="1"/>
  <c r="V33" i="1" s="1"/>
  <c r="AY250" i="1"/>
  <c r="V250" i="1" s="1"/>
  <c r="AJ250" i="1" s="1"/>
  <c r="AK250" i="1" s="1"/>
  <c r="AA167" i="1"/>
  <c r="Y167" i="1" s="1"/>
  <c r="AA11" i="1"/>
  <c r="Y11" i="1" s="1"/>
  <c r="AA238" i="1"/>
  <c r="Y238" i="1" s="1"/>
  <c r="AY238" i="1"/>
  <c r="V238" i="1" s="1"/>
  <c r="AY149" i="1"/>
  <c r="V149" i="1" s="1"/>
  <c r="AA149" i="1"/>
  <c r="Y149" i="1" s="1"/>
  <c r="AY19" i="1"/>
  <c r="V19" i="1" s="1"/>
  <c r="AA19" i="1"/>
  <c r="Y19" i="1" s="1"/>
  <c r="AA256" i="1"/>
  <c r="Y256" i="1" s="1"/>
  <c r="AY256" i="1"/>
  <c r="V256" i="1" s="1"/>
  <c r="AY132" i="1"/>
  <c r="V132" i="1" s="1"/>
  <c r="AA132" i="1"/>
  <c r="Y132" i="1" s="1"/>
  <c r="AA148" i="1"/>
  <c r="Y148" i="1" s="1"/>
  <c r="AY118" i="1"/>
  <c r="V118" i="1" s="1"/>
  <c r="AA118" i="1"/>
  <c r="Y118" i="1" s="1"/>
  <c r="AY89" i="1"/>
  <c r="V89" i="1" s="1"/>
  <c r="AA89" i="1"/>
  <c r="Y89" i="1" s="1"/>
  <c r="AY41" i="1"/>
  <c r="V41" i="1" s="1"/>
  <c r="AJ41" i="1" s="1"/>
  <c r="AK41" i="1" s="1"/>
  <c r="AA41" i="1"/>
  <c r="Y41" i="1" s="1"/>
  <c r="AA92" i="1"/>
  <c r="Y92" i="1" s="1"/>
  <c r="AA154" i="1"/>
  <c r="Y154" i="1" s="1"/>
  <c r="AY263" i="1"/>
  <c r="V263" i="1" s="1"/>
  <c r="AJ263" i="1" s="1"/>
  <c r="AK263" i="1" s="1"/>
  <c r="AA159" i="1"/>
  <c r="Y159" i="1" s="1"/>
  <c r="AA64" i="1"/>
  <c r="Y64" i="1" s="1"/>
  <c r="AA255" i="1"/>
  <c r="Y255" i="1" s="1"/>
  <c r="AY236" i="1"/>
  <c r="V236" i="1" s="1"/>
  <c r="AA236" i="1"/>
  <c r="Y236" i="1" s="1"/>
  <c r="AA285" i="1"/>
  <c r="Y285" i="1" s="1"/>
  <c r="AY285" i="1"/>
  <c r="V285" i="1" s="1"/>
  <c r="AA81" i="1"/>
  <c r="Y81" i="1" s="1"/>
  <c r="AA36" i="1"/>
  <c r="Y36" i="1" s="1"/>
  <c r="AY36" i="1"/>
  <c r="V36" i="1" s="1"/>
  <c r="AA40" i="1"/>
  <c r="Y40" i="1" s="1"/>
  <c r="AY40" i="1"/>
  <c r="V40" i="1" s="1"/>
  <c r="AY135" i="1"/>
  <c r="V135" i="1" s="1"/>
  <c r="AA135" i="1"/>
  <c r="Y135" i="1" s="1"/>
  <c r="AA32" i="1"/>
  <c r="Y32" i="1" s="1"/>
  <c r="AY192" i="1"/>
  <c r="V192" i="1" s="1"/>
  <c r="AJ192" i="1" s="1"/>
  <c r="AK192" i="1" s="1"/>
  <c r="AY245" i="1"/>
  <c r="V245" i="1" s="1"/>
  <c r="AY283" i="1"/>
  <c r="V283" i="1" s="1"/>
  <c r="AJ283" i="1" s="1"/>
  <c r="AK283" i="1" s="1"/>
  <c r="AA226" i="1"/>
  <c r="Y226" i="1" s="1"/>
  <c r="AY226" i="1"/>
  <c r="V226" i="1" s="1"/>
  <c r="AJ226" i="1" s="1"/>
  <c r="AK226" i="1" s="1"/>
  <c r="AY162" i="1"/>
  <c r="V162" i="1" s="1"/>
  <c r="AA162" i="1"/>
  <c r="Y162" i="1" s="1"/>
  <c r="AA84" i="1"/>
  <c r="Y84" i="1" s="1"/>
  <c r="AY84" i="1"/>
  <c r="V84" i="1" s="1"/>
  <c r="AY121" i="1"/>
  <c r="V121" i="1" s="1"/>
  <c r="AJ121" i="1" s="1"/>
  <c r="AK121" i="1" s="1"/>
  <c r="AY117" i="1"/>
  <c r="V117" i="1" s="1"/>
  <c r="AA117" i="1"/>
  <c r="Y117" i="1" s="1"/>
  <c r="AA274" i="1"/>
  <c r="Y274" i="1" s="1"/>
  <c r="AY274" i="1"/>
  <c r="V274" i="1" s="1"/>
  <c r="AA204" i="1"/>
  <c r="Y204" i="1" s="1"/>
  <c r="AY204" i="1"/>
  <c r="V204" i="1" s="1"/>
  <c r="AJ204" i="1" s="1"/>
  <c r="AK204" i="1" s="1"/>
  <c r="AA253" i="1"/>
  <c r="Y253" i="1" s="1"/>
  <c r="AY253" i="1"/>
  <c r="V253" i="1" s="1"/>
  <c r="AY14" i="1"/>
  <c r="V14" i="1" s="1"/>
  <c r="AJ14" i="1" s="1"/>
  <c r="AK14" i="1" s="1"/>
  <c r="AY124" i="1"/>
  <c r="V124" i="1" s="1"/>
  <c r="AA124" i="1"/>
  <c r="Y124" i="1" s="1"/>
  <c r="AA133" i="1"/>
  <c r="Y133" i="1" s="1"/>
  <c r="AY133" i="1"/>
  <c r="V133" i="1" s="1"/>
  <c r="AY11" i="1"/>
  <c r="V11" i="1" s="1"/>
  <c r="AJ11" i="1" s="1"/>
  <c r="AK11" i="1" s="1"/>
  <c r="AA259" i="1"/>
  <c r="Y259" i="1" s="1"/>
  <c r="AY181" i="1"/>
  <c r="V181" i="1" s="1"/>
  <c r="AA181" i="1"/>
  <c r="Y181" i="1" s="1"/>
  <c r="AY26" i="1"/>
  <c r="V26" i="1" s="1"/>
  <c r="AA26" i="1"/>
  <c r="Y26" i="1" s="1"/>
  <c r="AA150" i="1"/>
  <c r="Y150" i="1" s="1"/>
  <c r="AY150" i="1"/>
  <c r="V150" i="1" s="1"/>
  <c r="AY63" i="1"/>
  <c r="V63" i="1" s="1"/>
  <c r="AA63" i="1"/>
  <c r="Y63" i="1" s="1"/>
  <c r="AA12" i="1"/>
  <c r="Y12" i="1" s="1"/>
  <c r="AY165" i="1"/>
  <c r="V165" i="1" s="1"/>
  <c r="AJ165" i="1" s="1"/>
  <c r="AK165" i="1" s="1"/>
  <c r="AY219" i="1"/>
  <c r="V219" i="1" s="1"/>
  <c r="AA191" i="1"/>
  <c r="Y191" i="1" s="1"/>
  <c r="AA83" i="1"/>
  <c r="Y83" i="1" s="1"/>
  <c r="AY83" i="1"/>
  <c r="V83" i="1" s="1"/>
  <c r="AY45" i="1"/>
  <c r="V45" i="1" s="1"/>
  <c r="AA45" i="1"/>
  <c r="Y45" i="1" s="1"/>
  <c r="AA230" i="1"/>
  <c r="Y230" i="1" s="1"/>
  <c r="AY249" i="1"/>
  <c r="V249" i="1" s="1"/>
  <c r="AA249" i="1"/>
  <c r="Y249" i="1" s="1"/>
  <c r="AA254" i="1"/>
  <c r="Y254" i="1" s="1"/>
  <c r="AY254" i="1"/>
  <c r="V254" i="1" s="1"/>
  <c r="AY286" i="1"/>
  <c r="V286" i="1" s="1"/>
  <c r="AA286" i="1"/>
  <c r="Y286" i="1" s="1"/>
  <c r="AA17" i="1"/>
  <c r="Y17" i="1" s="1"/>
  <c r="AY17" i="1"/>
  <c r="V17" i="1" s="1"/>
  <c r="AY82" i="1"/>
  <c r="V82" i="1" s="1"/>
  <c r="AA82" i="1"/>
  <c r="Y82" i="1" s="1"/>
  <c r="AY208" i="1"/>
  <c r="V208" i="1" s="1"/>
  <c r="AJ208" i="1" s="1"/>
  <c r="AK208" i="1" s="1"/>
  <c r="AY13" i="1"/>
  <c r="V13" i="1" s="1"/>
  <c r="AA155" i="1"/>
  <c r="Y155" i="1" s="1"/>
  <c r="AY155" i="1"/>
  <c r="V155" i="1" s="1"/>
  <c r="AA182" i="1"/>
  <c r="Y182" i="1" s="1"/>
  <c r="AY43" i="1"/>
  <c r="V43" i="1" s="1"/>
  <c r="AY223" i="1"/>
  <c r="V223" i="1" s="1"/>
  <c r="AA223" i="1"/>
  <c r="Y223" i="1" s="1"/>
  <c r="AA232" i="1"/>
  <c r="Y232" i="1" s="1"/>
  <c r="AY232" i="1"/>
  <c r="V232" i="1" s="1"/>
  <c r="AA192" i="1"/>
  <c r="Y192" i="1" s="1"/>
  <c r="AY25" i="1"/>
  <c r="V25" i="1" s="1"/>
  <c r="AJ25" i="1" s="1"/>
  <c r="AK25" i="1" s="1"/>
  <c r="AA25" i="1"/>
  <c r="Y25" i="1" s="1"/>
  <c r="AY272" i="1"/>
  <c r="V272" i="1" s="1"/>
  <c r="AA272" i="1"/>
  <c r="Y272" i="1" s="1"/>
  <c r="AA95" i="1"/>
  <c r="Y95" i="1" s="1"/>
  <c r="AY95" i="1"/>
  <c r="V95" i="1" s="1"/>
  <c r="AY196" i="1"/>
  <c r="V196" i="1" s="1"/>
  <c r="AA196" i="1"/>
  <c r="Y196" i="1" s="1"/>
  <c r="AA492" i="1"/>
  <c r="Y492" i="1" s="1"/>
  <c r="AA216" i="1"/>
  <c r="Y216" i="1" s="1"/>
  <c r="AY216" i="1"/>
  <c r="V216" i="1" s="1"/>
  <c r="AY222" i="1"/>
  <c r="V222" i="1" s="1"/>
  <c r="AA222" i="1"/>
  <c r="Y222" i="1" s="1"/>
  <c r="AA38" i="1"/>
  <c r="Y38" i="1" s="1"/>
  <c r="AY273" i="1"/>
  <c r="V273" i="1" s="1"/>
  <c r="AA252" i="1"/>
  <c r="Y252" i="1" s="1"/>
  <c r="AY252" i="1"/>
  <c r="V252" i="1" s="1"/>
  <c r="AA86" i="1"/>
  <c r="Y86" i="1" s="1"/>
  <c r="AY86" i="1"/>
  <c r="V86" i="1" s="1"/>
  <c r="AA136" i="1"/>
  <c r="Y136" i="1" s="1"/>
  <c r="AY136" i="1"/>
  <c r="V136" i="1" s="1"/>
  <c r="AY202" i="1"/>
  <c r="V202" i="1" s="1"/>
  <c r="AA202" i="1"/>
  <c r="Y202" i="1" s="1"/>
  <c r="AA146" i="1"/>
  <c r="Y146" i="1" s="1"/>
  <c r="AY125" i="1"/>
  <c r="V125" i="1" s="1"/>
  <c r="AA125" i="1"/>
  <c r="Y125" i="1" s="1"/>
  <c r="AY259" i="1"/>
  <c r="V259" i="1" s="1"/>
  <c r="AJ259" i="1" s="1"/>
  <c r="AK259" i="1" s="1"/>
  <c r="AA62" i="1"/>
  <c r="Y62" i="1" s="1"/>
  <c r="AY62" i="1"/>
  <c r="V62" i="1" s="1"/>
  <c r="AY174" i="1"/>
  <c r="V174" i="1" s="1"/>
  <c r="AA174" i="1"/>
  <c r="Y174" i="1" s="1"/>
  <c r="AA16" i="1"/>
  <c r="Y16" i="1" s="1"/>
  <c r="AY16" i="1"/>
  <c r="V16" i="1" s="1"/>
  <c r="AA214" i="1"/>
  <c r="Y214" i="1" s="1"/>
  <c r="AY214" i="1"/>
  <c r="V214" i="1" s="1"/>
  <c r="AA106" i="1"/>
  <c r="Y106" i="1" s="1"/>
  <c r="AA55" i="1"/>
  <c r="Y55" i="1" s="1"/>
  <c r="AY55" i="1"/>
  <c r="V55" i="1" s="1"/>
  <c r="AY18" i="1"/>
  <c r="V18" i="1" s="1"/>
  <c r="AJ18" i="1" s="1"/>
  <c r="AK18" i="1" s="1"/>
  <c r="AY295" i="1"/>
  <c r="V295" i="1" s="1"/>
  <c r="AY35" i="1"/>
  <c r="V35" i="1" s="1"/>
  <c r="AJ35" i="1" s="1"/>
  <c r="AK35" i="1" s="1"/>
  <c r="AY92" i="1"/>
  <c r="V92" i="1" s="1"/>
  <c r="AJ92" i="1" s="1"/>
  <c r="AK92" i="1" s="1"/>
  <c r="AY177" i="1"/>
  <c r="V177" i="1" s="1"/>
  <c r="AA177" i="1"/>
  <c r="Y177" i="1" s="1"/>
  <c r="AY158" i="1"/>
  <c r="V158" i="1" s="1"/>
  <c r="AY138" i="1"/>
  <c r="V138" i="1" s="1"/>
  <c r="AJ138" i="1" s="1"/>
  <c r="AK138" i="1" s="1"/>
  <c r="AA138" i="1"/>
  <c r="Y138" i="1" s="1"/>
  <c r="AY46" i="1"/>
  <c r="V46" i="1" s="1"/>
  <c r="AA46" i="1"/>
  <c r="Y46" i="1" s="1"/>
  <c r="AA52" i="1"/>
  <c r="Y52" i="1" s="1"/>
  <c r="AY52" i="1"/>
  <c r="V52" i="1" s="1"/>
  <c r="AA210" i="1"/>
  <c r="Y210" i="1" s="1"/>
  <c r="AA7" i="1"/>
  <c r="Y7" i="1" s="1"/>
  <c r="AY239" i="1"/>
  <c r="V239" i="1" s="1"/>
  <c r="AA239" i="1"/>
  <c r="Y239" i="1" s="1"/>
  <c r="AY154" i="1"/>
  <c r="V154" i="1" s="1"/>
  <c r="AJ154" i="1" s="1"/>
  <c r="AK154" i="1" s="1"/>
  <c r="AA163" i="1"/>
  <c r="Y163" i="1" s="1"/>
  <c r="AY78" i="1"/>
  <c r="V78" i="1" s="1"/>
  <c r="AJ78" i="1" s="1"/>
  <c r="AK78" i="1" s="1"/>
  <c r="AY102" i="1"/>
  <c r="V102" i="1" s="1"/>
  <c r="AA102" i="1"/>
  <c r="Y102" i="1" s="1"/>
  <c r="AA246" i="1"/>
  <c r="Y246" i="1" s="1"/>
  <c r="AY246" i="1"/>
  <c r="V246" i="1" s="1"/>
  <c r="AY224" i="1"/>
  <c r="V224" i="1" s="1"/>
  <c r="AJ224" i="1" s="1"/>
  <c r="AK224" i="1" s="1"/>
  <c r="AA224" i="1"/>
  <c r="Y224" i="1" s="1"/>
  <c r="AY144" i="1"/>
  <c r="V144" i="1" s="1"/>
  <c r="AJ144" i="1" s="1"/>
  <c r="AK144" i="1" s="1"/>
  <c r="AY131" i="1"/>
  <c r="V131" i="1" s="1"/>
  <c r="AY119" i="1"/>
  <c r="V119" i="1" s="1"/>
  <c r="AA119" i="1"/>
  <c r="Y119" i="1" s="1"/>
  <c r="AY301" i="1"/>
  <c r="V301" i="1" s="1"/>
  <c r="AA301" i="1"/>
  <c r="Y301" i="1" s="1"/>
  <c r="AY6" i="1"/>
  <c r="V6" i="1" s="1"/>
  <c r="AA6" i="1"/>
  <c r="Y6" i="1" s="1"/>
  <c r="AA176" i="1"/>
  <c r="Y176" i="1" s="1"/>
  <c r="AY176" i="1"/>
  <c r="V176" i="1" s="1"/>
  <c r="AJ176" i="1" s="1"/>
  <c r="AK176" i="1" s="1"/>
  <c r="AA71" i="1"/>
  <c r="Y71" i="1" s="1"/>
  <c r="AY71" i="1"/>
  <c r="V71" i="1" s="1"/>
  <c r="AY49" i="1"/>
  <c r="V49" i="1" s="1"/>
  <c r="AY282" i="1"/>
  <c r="V282" i="1" s="1"/>
  <c r="AY206" i="1"/>
  <c r="V206" i="1" s="1"/>
  <c r="AA206" i="1"/>
  <c r="Y206" i="1" s="1"/>
  <c r="AA277" i="1"/>
  <c r="Y277" i="1" s="1"/>
  <c r="AY277" i="1"/>
  <c r="V277" i="1" s="1"/>
  <c r="AA18" i="1"/>
  <c r="Y18" i="1" s="1"/>
  <c r="AY80" i="1"/>
  <c r="V80" i="1" s="1"/>
  <c r="AJ80" i="1" s="1"/>
  <c r="AK80" i="1" s="1"/>
  <c r="AY130" i="1"/>
  <c r="V130" i="1" s="1"/>
  <c r="AY220" i="1"/>
  <c r="V220" i="1" s="1"/>
  <c r="AA220" i="1"/>
  <c r="Y220" i="1" s="1"/>
  <c r="AY12" i="1"/>
  <c r="V12" i="1" s="1"/>
  <c r="AJ12" i="1" s="1"/>
  <c r="AK12" i="1" s="1"/>
  <c r="AA141" i="1"/>
  <c r="Y141" i="1" s="1"/>
  <c r="AY67" i="1"/>
  <c r="V67" i="1" s="1"/>
  <c r="AA67" i="1"/>
  <c r="Y67" i="1" s="1"/>
  <c r="AA101" i="1"/>
  <c r="Y101" i="1" s="1"/>
  <c r="AY101" i="1"/>
  <c r="V101" i="1" s="1"/>
  <c r="AA74" i="1"/>
  <c r="Y74" i="1" s="1"/>
  <c r="AY74" i="1"/>
  <c r="V74" i="1" s="1"/>
  <c r="AY182" i="1"/>
  <c r="V182" i="1" s="1"/>
  <c r="AA219" i="1"/>
  <c r="Y219" i="1" s="1"/>
  <c r="AY244" i="1"/>
  <c r="V244" i="1" s="1"/>
  <c r="AA244" i="1"/>
  <c r="Y244" i="1" s="1"/>
  <c r="AA245" i="1"/>
  <c r="Y245" i="1" s="1"/>
  <c r="AY241" i="1"/>
  <c r="V241" i="1" s="1"/>
  <c r="AA241" i="1"/>
  <c r="Y241" i="1" s="1"/>
  <c r="AY120" i="1"/>
  <c r="V120" i="1" s="1"/>
  <c r="AA120" i="1"/>
  <c r="Y120" i="1" s="1"/>
  <c r="AA33" i="1"/>
  <c r="Y33" i="1" s="1"/>
  <c r="AY116" i="1"/>
  <c r="V116" i="1" s="1"/>
  <c r="AY201" i="1"/>
  <c r="V201" i="1" s="1"/>
  <c r="AJ201" i="1" s="1"/>
  <c r="AK201" i="1" s="1"/>
  <c r="AY492" i="1"/>
  <c r="AA234" i="1"/>
  <c r="Y234" i="1" s="1"/>
  <c r="AA267" i="1"/>
  <c r="Y267" i="1" s="1"/>
  <c r="AY267" i="1"/>
  <c r="V267" i="1" s="1"/>
  <c r="AA171" i="1"/>
  <c r="Y171" i="1" s="1"/>
  <c r="AY171" i="1"/>
  <c r="V171" i="1" s="1"/>
  <c r="AA50" i="1"/>
  <c r="Y50" i="1" s="1"/>
  <c r="AA240" i="1"/>
  <c r="Y240" i="1" s="1"/>
  <c r="AA262" i="1"/>
  <c r="Y262" i="1" s="1"/>
  <c r="AY262" i="1"/>
  <c r="V262" i="1" s="1"/>
  <c r="AA48" i="1"/>
  <c r="Y48" i="1" s="1"/>
  <c r="AY48" i="1"/>
  <c r="V48" i="1" s="1"/>
  <c r="AY91" i="1"/>
  <c r="V91" i="1" s="1"/>
  <c r="AA91" i="1"/>
  <c r="Y91" i="1" s="1"/>
  <c r="AY289" i="1"/>
  <c r="V289" i="1" s="1"/>
  <c r="AA289" i="1"/>
  <c r="Y289" i="1" s="1"/>
  <c r="AA121" i="1"/>
  <c r="Y121" i="1" s="1"/>
  <c r="AA268" i="1"/>
  <c r="Y268" i="1" s="1"/>
  <c r="AY268" i="1"/>
  <c r="V268" i="1" s="1"/>
  <c r="AY279" i="1"/>
  <c r="V279" i="1" s="1"/>
  <c r="AJ279" i="1" s="1"/>
  <c r="AK279" i="1" s="1"/>
  <c r="AY258" i="1"/>
  <c r="V258" i="1" s="1"/>
  <c r="AJ258" i="1" s="1"/>
  <c r="AK258" i="1" s="1"/>
  <c r="AA258" i="1"/>
  <c r="Y258" i="1" s="1"/>
  <c r="AA13" i="1"/>
  <c r="Y13" i="1" s="1"/>
  <c r="AA292" i="1"/>
  <c r="Y292" i="1" s="1"/>
  <c r="AY292" i="1"/>
  <c r="V292" i="1" s="1"/>
  <c r="AY64" i="1"/>
  <c r="V64" i="1" s="1"/>
  <c r="AJ64" i="1" s="1"/>
  <c r="AK64" i="1" s="1"/>
  <c r="AY137" i="1"/>
  <c r="V137" i="1" s="1"/>
  <c r="AY61" i="1"/>
  <c r="V61" i="1" s="1"/>
  <c r="AJ61" i="1" s="1"/>
  <c r="AK61" i="1" s="1"/>
  <c r="AA61" i="1"/>
  <c r="Y61" i="1" s="1"/>
  <c r="AY100" i="1"/>
  <c r="V100" i="1" s="1"/>
  <c r="AJ100" i="1" s="1"/>
  <c r="AK100" i="1" s="1"/>
  <c r="AA65" i="1"/>
  <c r="Y65" i="1" s="1"/>
  <c r="AY269" i="1"/>
  <c r="V269" i="1" s="1"/>
  <c r="AA269" i="1"/>
  <c r="Y269" i="1" s="1"/>
  <c r="AA15" i="1"/>
  <c r="Y15" i="1" s="1"/>
  <c r="AY15" i="1"/>
  <c r="V15" i="1" s="1"/>
  <c r="AA43" i="1"/>
  <c r="Y43" i="1" s="1"/>
  <c r="AY188" i="1"/>
  <c r="V188" i="1" s="1"/>
  <c r="AJ188" i="1" s="1"/>
  <c r="AK188" i="1" s="1"/>
  <c r="AA263" i="1"/>
  <c r="Y263" i="1" s="1"/>
  <c r="AA198" i="1"/>
  <c r="Y198" i="1" s="1"/>
  <c r="AA281" i="1"/>
  <c r="Y281" i="1" s="1"/>
  <c r="AA123" i="1"/>
  <c r="Y123" i="1" s="1"/>
  <c r="AA10" i="1"/>
  <c r="Y10" i="1" s="1"/>
  <c r="AY10" i="1"/>
  <c r="V10" i="1" s="1"/>
  <c r="AY53" i="1"/>
  <c r="V53" i="1" s="1"/>
  <c r="AA53" i="1"/>
  <c r="Y53" i="1" s="1"/>
  <c r="AA172" i="1"/>
  <c r="Y172" i="1" s="1"/>
  <c r="AY172" i="1"/>
  <c r="V172" i="1" s="1"/>
  <c r="AY73" i="1"/>
  <c r="V73" i="1" s="1"/>
  <c r="AA24" i="1"/>
  <c r="Y24" i="1" s="1"/>
  <c r="AY24" i="1"/>
  <c r="V24" i="1" s="1"/>
  <c r="AY69" i="1"/>
  <c r="V69" i="1" s="1"/>
  <c r="AJ69" i="1" s="1"/>
  <c r="AK69" i="1" s="1"/>
  <c r="AA69" i="1"/>
  <c r="Y69" i="1" s="1"/>
  <c r="AY20" i="1"/>
  <c r="V20" i="1" s="1"/>
  <c r="AA20" i="1"/>
  <c r="Y20" i="1" s="1"/>
  <c r="AY280" i="1"/>
  <c r="V280" i="1" s="1"/>
  <c r="AY81" i="1"/>
  <c r="V81" i="1" s="1"/>
  <c r="AA72" i="1"/>
  <c r="Y72" i="1" s="1"/>
  <c r="AY161" i="1"/>
  <c r="V161" i="1" s="1"/>
  <c r="AA233" i="1"/>
  <c r="Y233" i="1" s="1"/>
  <c r="AY233" i="1"/>
  <c r="V233" i="1" s="1"/>
  <c r="AA100" i="1"/>
  <c r="Y100" i="1" s="1"/>
  <c r="AA142" i="1"/>
  <c r="Y142" i="1" s="1"/>
  <c r="AY142" i="1"/>
  <c r="V142" i="1" s="1"/>
  <c r="AA109" i="1"/>
  <c r="Y109" i="1" s="1"/>
  <c r="AY109" i="1"/>
  <c r="V109" i="1" s="1"/>
  <c r="AA217" i="1"/>
  <c r="Y217" i="1" s="1"/>
  <c r="AY227" i="1"/>
  <c r="V227" i="1" s="1"/>
  <c r="AJ227" i="1" s="1"/>
  <c r="AK227" i="1" s="1"/>
  <c r="AA60" i="1"/>
  <c r="Y60" i="1" s="1"/>
  <c r="AY60" i="1"/>
  <c r="V60" i="1" s="1"/>
  <c r="AA199" i="1"/>
  <c r="Y199" i="1" s="1"/>
  <c r="AY199" i="1"/>
  <c r="V199" i="1" s="1"/>
  <c r="AA243" i="1"/>
  <c r="Y243" i="1" s="1"/>
  <c r="AY261" i="1"/>
  <c r="V261" i="1" s="1"/>
  <c r="AA261" i="1"/>
  <c r="Y261" i="1" s="1"/>
  <c r="AA143" i="1"/>
  <c r="Y143" i="1" s="1"/>
  <c r="AY143" i="1"/>
  <c r="V143" i="1" s="1"/>
  <c r="AA194" i="1"/>
  <c r="Y194" i="1" s="1"/>
  <c r="AY194" i="1"/>
  <c r="V194" i="1" s="1"/>
  <c r="AA225" i="1"/>
  <c r="Y225" i="1" s="1"/>
  <c r="AY9" i="1"/>
  <c r="V9" i="1" s="1"/>
  <c r="AY257" i="1"/>
  <c r="V257" i="1" s="1"/>
  <c r="AJ257" i="1" s="1"/>
  <c r="AK257" i="1" s="1"/>
  <c r="AY191" i="1"/>
  <c r="V191" i="1" s="1"/>
  <c r="AA47" i="1"/>
  <c r="Y47" i="1" s="1"/>
  <c r="AY186" i="1"/>
  <c r="V186" i="1" s="1"/>
  <c r="AY166" i="1"/>
  <c r="V166" i="1" s="1"/>
  <c r="AA166" i="1"/>
  <c r="Y166" i="1" s="1"/>
  <c r="AA116" i="1"/>
  <c r="Y116" i="1" s="1"/>
  <c r="AY228" i="1"/>
  <c r="V228" i="1" s="1"/>
  <c r="AA228" i="1"/>
  <c r="Y228" i="1" s="1"/>
  <c r="AA169" i="1"/>
  <c r="Y169" i="1" s="1"/>
  <c r="AY169" i="1"/>
  <c r="V169" i="1" s="1"/>
  <c r="AA98" i="1"/>
  <c r="Y98" i="1" s="1"/>
  <c r="AY98" i="1"/>
  <c r="V98" i="1" s="1"/>
  <c r="AA111" i="1"/>
  <c r="Y111" i="1" s="1"/>
  <c r="AY111" i="1"/>
  <c r="V111" i="1" s="1"/>
  <c r="AA205" i="1"/>
  <c r="Y205" i="1" s="1"/>
  <c r="AA280" i="1"/>
  <c r="Y280" i="1" s="1"/>
  <c r="AY103" i="1"/>
  <c r="V103" i="1" s="1"/>
  <c r="AA103" i="1"/>
  <c r="Y103" i="1" s="1"/>
  <c r="AY123" i="1"/>
  <c r="V123" i="1" s="1"/>
  <c r="AJ123" i="1" s="1"/>
  <c r="AK123" i="1" s="1"/>
  <c r="AA161" i="1"/>
  <c r="Y161" i="1" s="1"/>
  <c r="AY85" i="1"/>
  <c r="V85" i="1" s="1"/>
  <c r="AA85" i="1"/>
  <c r="Y85" i="1" s="1"/>
  <c r="AA295" i="1"/>
  <c r="Y295" i="1" s="1"/>
  <c r="AY195" i="1"/>
  <c r="V195" i="1" s="1"/>
  <c r="AA195" i="1"/>
  <c r="Y195" i="1" s="1"/>
  <c r="AA80" i="1"/>
  <c r="Y80" i="1" s="1"/>
  <c r="AY115" i="1"/>
  <c r="V115" i="1" s="1"/>
  <c r="AA115" i="1"/>
  <c r="Y115" i="1" s="1"/>
  <c r="AA58" i="1"/>
  <c r="Y58" i="1" s="1"/>
  <c r="AY58" i="1"/>
  <c r="V58" i="1" s="1"/>
  <c r="AY108" i="1"/>
  <c r="V108" i="1" s="1"/>
  <c r="AJ108" i="1" s="1"/>
  <c r="AK108" i="1" s="1"/>
  <c r="AY126" i="1"/>
  <c r="V126" i="1" s="1"/>
  <c r="AA265" i="1"/>
  <c r="Y265" i="1" s="1"/>
  <c r="AY265" i="1"/>
  <c r="V265" i="1" s="1"/>
  <c r="AY93" i="1"/>
  <c r="V93" i="1" s="1"/>
  <c r="AA211" i="1"/>
  <c r="Y211" i="1" s="1"/>
  <c r="AY211" i="1"/>
  <c r="V211" i="1" s="1"/>
  <c r="AA97" i="1"/>
  <c r="Y97" i="1" s="1"/>
  <c r="AY57" i="1"/>
  <c r="V57" i="1" s="1"/>
  <c r="AA57" i="1"/>
  <c r="Y57" i="1" s="1"/>
  <c r="AA197" i="1"/>
  <c r="Y197" i="1" s="1"/>
  <c r="AY197" i="1"/>
  <c r="V197" i="1" s="1"/>
  <c r="AA179" i="1"/>
  <c r="Y179" i="1" s="1"/>
  <c r="AY179" i="1"/>
  <c r="V179" i="1" s="1"/>
  <c r="AY146" i="1"/>
  <c r="V146" i="1" s="1"/>
  <c r="AA27" i="1"/>
  <c r="Y27" i="1" s="1"/>
  <c r="AY27" i="1"/>
  <c r="V27" i="1" s="1"/>
  <c r="AY159" i="1"/>
  <c r="V159" i="1" s="1"/>
  <c r="AY34" i="1"/>
  <c r="V34" i="1" s="1"/>
  <c r="AA34" i="1"/>
  <c r="Y34" i="1" s="1"/>
  <c r="AY218" i="1"/>
  <c r="V218" i="1" s="1"/>
  <c r="AA218" i="1"/>
  <c r="Y218" i="1" s="1"/>
  <c r="AA297" i="1"/>
  <c r="Y297" i="1" s="1"/>
  <c r="AY297" i="1"/>
  <c r="V297" i="1" s="1"/>
  <c r="AA107" i="1"/>
  <c r="Y107" i="1" s="1"/>
  <c r="AY107" i="1"/>
  <c r="V107" i="1" s="1"/>
  <c r="AJ107" i="1" s="1"/>
  <c r="AK107" i="1" s="1"/>
  <c r="AA260" i="1"/>
  <c r="Y260" i="1" s="1"/>
  <c r="AY260" i="1"/>
  <c r="V260" i="1" s="1"/>
  <c r="AY90" i="1"/>
  <c r="V90" i="1" s="1"/>
  <c r="AA90" i="1"/>
  <c r="Y90" i="1" s="1"/>
  <c r="AA164" i="1"/>
  <c r="Y164" i="1" s="1"/>
  <c r="AY164" i="1"/>
  <c r="V164" i="1" s="1"/>
  <c r="AA59" i="1"/>
  <c r="Y59" i="1" s="1"/>
  <c r="AA212" i="1"/>
  <c r="Y212" i="1" s="1"/>
  <c r="AA93" i="1"/>
  <c r="Y93" i="1" s="1"/>
  <c r="AY66" i="1"/>
  <c r="V66" i="1" s="1"/>
  <c r="AA175" i="1"/>
  <c r="Y175" i="1" s="1"/>
  <c r="AA129" i="1"/>
  <c r="Y129" i="1" s="1"/>
  <c r="AY129" i="1"/>
  <c r="V129" i="1" s="1"/>
  <c r="AA231" i="1"/>
  <c r="Y231" i="1" s="1"/>
  <c r="AY231" i="1"/>
  <c r="V231" i="1" s="1"/>
  <c r="AA137" i="1"/>
  <c r="Y137" i="1" s="1"/>
  <c r="AA8" i="1"/>
  <c r="Y8" i="1" s="1"/>
  <c r="AY276" i="1"/>
  <c r="V276" i="1" s="1"/>
  <c r="AA276" i="1"/>
  <c r="Y276" i="1" s="1"/>
  <c r="AA201" i="1"/>
  <c r="Y201" i="1" s="1"/>
  <c r="AY271" i="1"/>
  <c r="V271" i="1" s="1"/>
  <c r="AY122" i="1"/>
  <c r="V122" i="1" s="1"/>
  <c r="AA122" i="1"/>
  <c r="Y122" i="1" s="1"/>
  <c r="AA157" i="1"/>
  <c r="Y157" i="1" s="1"/>
  <c r="AY157" i="1"/>
  <c r="V157" i="1" s="1"/>
  <c r="AA153" i="1"/>
  <c r="Y153" i="1" s="1"/>
  <c r="AY153" i="1"/>
  <c r="V153" i="1" s="1"/>
  <c r="AA49" i="1"/>
  <c r="Y49" i="1" s="1"/>
  <c r="AY205" i="1"/>
  <c r="V205" i="1" s="1"/>
  <c r="AA170" i="1"/>
  <c r="Y170" i="1" s="1"/>
  <c r="AY170" i="1"/>
  <c r="V170" i="1" s="1"/>
  <c r="AA242" i="1"/>
  <c r="Y242" i="1" s="1"/>
  <c r="AY242" i="1"/>
  <c r="V242" i="1" s="1"/>
  <c r="AA188" i="1"/>
  <c r="Y188" i="1" s="1"/>
  <c r="AY4" i="1"/>
  <c r="AA4" i="1"/>
  <c r="Y4" i="1" s="1"/>
  <c r="AA78" i="1"/>
  <c r="Y78" i="1" s="1"/>
  <c r="AY77" i="1"/>
  <c r="V77" i="1" s="1"/>
  <c r="AA77" i="1"/>
  <c r="Y77" i="1" s="1"/>
  <c r="AY110" i="1"/>
  <c r="V110" i="1" s="1"/>
  <c r="AJ110" i="1" s="1"/>
  <c r="AK110" i="1" s="1"/>
  <c r="AA110" i="1"/>
  <c r="Y110" i="1" s="1"/>
  <c r="AY97" i="1"/>
  <c r="V97" i="1" s="1"/>
  <c r="AJ97" i="1" s="1"/>
  <c r="AK97" i="1" s="1"/>
  <c r="AA23" i="1"/>
  <c r="Y23" i="1" s="1"/>
  <c r="AY23" i="1"/>
  <c r="V23" i="1" s="1"/>
  <c r="AA134" i="1"/>
  <c r="Y134" i="1" s="1"/>
  <c r="AY134" i="1"/>
  <c r="V134" i="1" s="1"/>
  <c r="AA105" i="1"/>
  <c r="Y105" i="1" s="1"/>
  <c r="AY105" i="1"/>
  <c r="V105" i="1" s="1"/>
  <c r="AY8" i="1"/>
  <c r="V8" i="1" s="1"/>
  <c r="AA275" i="1"/>
  <c r="Y275" i="1" s="1"/>
  <c r="AY275" i="1"/>
  <c r="V275" i="1" s="1"/>
  <c r="AA144" i="1"/>
  <c r="Y144" i="1" s="1"/>
  <c r="AA213" i="1"/>
  <c r="Y213" i="1" s="1"/>
  <c r="AY213" i="1"/>
  <c r="V213" i="1" s="1"/>
  <c r="V32" i="1"/>
  <c r="AA139" i="1"/>
  <c r="Y139" i="1" s="1"/>
  <c r="AY139" i="1"/>
  <c r="V139" i="1" s="1"/>
  <c r="AY28" i="1"/>
  <c r="V28" i="1" s="1"/>
  <c r="AJ28" i="1" s="1"/>
  <c r="AK28" i="1" s="1"/>
  <c r="AA28" i="1"/>
  <c r="Y28" i="1" s="1"/>
  <c r="AA21" i="1"/>
  <c r="Y21" i="1" s="1"/>
  <c r="AY21" i="1"/>
  <c r="V21" i="1" s="1"/>
  <c r="AY296" i="1"/>
  <c r="V296" i="1" s="1"/>
  <c r="AA296" i="1"/>
  <c r="Y296" i="1" s="1"/>
  <c r="AY240" i="1"/>
  <c r="V240" i="1" s="1"/>
  <c r="AJ240" i="1" s="1"/>
  <c r="AK240" i="1" s="1"/>
  <c r="AY217" i="1"/>
  <c r="V217" i="1" s="1"/>
  <c r="AJ217" i="1" s="1"/>
  <c r="AK217" i="1" s="1"/>
  <c r="AA183" i="1"/>
  <c r="Y183" i="1" s="1"/>
  <c r="AY50" i="1"/>
  <c r="V50" i="1" s="1"/>
  <c r="AA9" i="1"/>
  <c r="Y9" i="1" s="1"/>
  <c r="AA290" i="1"/>
  <c r="Y290" i="1" s="1"/>
  <c r="AY290" i="1"/>
  <c r="V290" i="1" s="1"/>
  <c r="AY221" i="1"/>
  <c r="V221" i="1" s="1"/>
  <c r="AA221" i="1"/>
  <c r="Y221" i="1" s="1"/>
  <c r="AY163" i="1"/>
  <c r="V163" i="1" s="1"/>
  <c r="AJ163" i="1" s="1"/>
  <c r="AK163" i="1" s="1"/>
  <c r="AY72" i="1"/>
  <c r="V72" i="1" s="1"/>
  <c r="AJ72" i="1" s="1"/>
  <c r="AK72" i="1" s="1"/>
  <c r="AY7" i="1"/>
  <c r="V7" i="1" s="1"/>
  <c r="AA299" i="1"/>
  <c r="Y299" i="1" s="1"/>
  <c r="AY299" i="1"/>
  <c r="V299" i="1" s="1"/>
  <c r="AA66" i="1"/>
  <c r="Y66" i="1" s="1"/>
  <c r="AA30" i="1"/>
  <c r="Y30" i="1" s="1"/>
  <c r="AY30" i="1"/>
  <c r="V30" i="1" s="1"/>
  <c r="AY294" i="1"/>
  <c r="V294" i="1" s="1"/>
  <c r="AA108" i="1"/>
  <c r="Y108" i="1" s="1"/>
  <c r="AA235" i="1"/>
  <c r="Y235" i="1" s="1"/>
  <c r="AA145" i="1"/>
  <c r="Y145" i="1" s="1"/>
  <c r="AY145" i="1"/>
  <c r="V145" i="1" s="1"/>
  <c r="AY281" i="1"/>
  <c r="V281" i="1" s="1"/>
  <c r="AA278" i="1"/>
  <c r="Y278" i="1" s="1"/>
  <c r="AA29" i="1"/>
  <c r="Y29" i="1" s="1"/>
  <c r="AY29" i="1"/>
  <c r="V29" i="1" s="1"/>
  <c r="AA151" i="1"/>
  <c r="Y151" i="1" s="1"/>
  <c r="AY151" i="1"/>
  <c r="V151" i="1" s="1"/>
  <c r="AY212" i="1"/>
  <c r="V212" i="1" s="1"/>
  <c r="AJ212" i="1" s="1"/>
  <c r="AK212" i="1" s="1"/>
  <c r="AY284" i="1"/>
  <c r="V284" i="1" s="1"/>
  <c r="AA284" i="1"/>
  <c r="Y284" i="1" s="1"/>
  <c r="AY5" i="1"/>
  <c r="V5" i="1" s="1"/>
  <c r="AA5" i="1"/>
  <c r="Y5" i="1" s="1"/>
  <c r="AY189" i="1"/>
  <c r="V189" i="1" s="1"/>
  <c r="AA189" i="1"/>
  <c r="Y189" i="1" s="1"/>
  <c r="AA147" i="1"/>
  <c r="Y147" i="1" s="1"/>
  <c r="AY147" i="1"/>
  <c r="V147" i="1" s="1"/>
  <c r="AA44" i="1"/>
  <c r="Y44" i="1" s="1"/>
  <c r="AY44" i="1"/>
  <c r="V44" i="1" s="1"/>
  <c r="AY243" i="1"/>
  <c r="V243" i="1" s="1"/>
  <c r="AJ243" i="1" s="1"/>
  <c r="AK243" i="1" s="1"/>
  <c r="AA158" i="1"/>
  <c r="Y158" i="1" s="1"/>
  <c r="AY278" i="1"/>
  <c r="V278" i="1" s="1"/>
  <c r="AJ278" i="1" s="1"/>
  <c r="AK278" i="1" s="1"/>
  <c r="AA14" i="1"/>
  <c r="Y14" i="1" s="1"/>
  <c r="AA227" i="1"/>
  <c r="Y227" i="1" s="1"/>
  <c r="AA291" i="1"/>
  <c r="Y291" i="1" s="1"/>
  <c r="AA54" i="1"/>
  <c r="Y54" i="1" s="1"/>
  <c r="AY112" i="1"/>
  <c r="V112" i="1" s="1"/>
  <c r="AA112" i="1"/>
  <c r="Y112" i="1" s="1"/>
  <c r="AA207" i="1"/>
  <c r="Y207" i="1" s="1"/>
  <c r="AY207" i="1"/>
  <c r="V207" i="1" s="1"/>
  <c r="AY200" i="1"/>
  <c r="V200" i="1" s="1"/>
  <c r="AA271" i="1"/>
  <c r="Y271" i="1" s="1"/>
  <c r="AA270" i="1"/>
  <c r="Y270" i="1" s="1"/>
  <c r="AY270" i="1"/>
  <c r="V270" i="1" s="1"/>
  <c r="AY47" i="1"/>
  <c r="V47" i="1" s="1"/>
  <c r="V4" i="1"/>
  <c r="CX492" i="1"/>
  <c r="V492" i="1" l="1"/>
  <c r="AJ492" i="1" s="1"/>
  <c r="AK49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AL2" authorId="0" shapeId="0" xr:uid="{00000000-0006-0000-0000-000001000000}">
      <text>
        <r>
          <rPr>
            <sz val="9"/>
            <color indexed="81"/>
            <rFont val="楷体"/>
            <family val="3"/>
            <charset val="134"/>
          </rPr>
          <t>包含绊加成</t>
        </r>
      </text>
    </comment>
    <comment ref="EV5" authorId="0" shapeId="0" xr:uid="{00000000-0006-0000-0000-000003000000}">
      <text>
        <r>
          <rPr>
            <sz val="10"/>
            <color rgb="FF000000"/>
            <rFont val="微软雅黑"/>
            <family val="2"/>
            <charset val="134"/>
          </rPr>
          <t>ap和te为前排平均，st为全卡组平均。包含绊加成。
游戏卡片信息界面显示的黑字数值。</t>
        </r>
      </text>
    </comment>
    <comment ref="EZ5" authorId="0" shapeId="0" xr:uid="{3CAA95B7-0C8B-4ABC-B2D2-FCA7ADBEF99D}">
      <text>
        <r>
          <rPr>
            <sz val="10"/>
            <color rgb="FF000000"/>
            <rFont val="微软雅黑"/>
            <family val="2"/>
            <charset val="134"/>
          </rPr>
          <t>ap和te为前排平均，st为全卡组平均。包含绊加成。
游戏卡片信息界面显示的黑字数值。</t>
        </r>
      </text>
    </comment>
    <comment ref="FI6" authorId="0" shapeId="0" xr:uid="{7637A6F6-E593-40CC-BBAD-F9892410CE90}">
      <text>
        <r>
          <rPr>
            <sz val="9"/>
            <color indexed="81"/>
            <rFont val="微软雅黑"/>
            <family val="2"/>
            <charset val="134"/>
          </rPr>
          <t>包含ap加成，其他得分加成，HP系数，作战效果</t>
        </r>
      </text>
    </comment>
    <comment ref="EV8" authorId="0" shapeId="0" xr:uid="{00000000-0006-0000-0000-000005000000}">
      <text>
        <r>
          <rPr>
            <sz val="10"/>
            <color rgb="FF000000"/>
            <rFont val="微软雅黑"/>
            <family val="2"/>
            <charset val="134"/>
          </rPr>
          <t>包含卡组和支援卡的被动个性和被动合宿技能</t>
        </r>
      </text>
    </comment>
    <comment ref="EZ8" authorId="0" shapeId="0" xr:uid="{FD3729B3-5DD5-437D-AF8D-78BC8F88FC7A}">
      <text>
        <r>
          <rPr>
            <sz val="10"/>
            <color rgb="FF000000"/>
            <rFont val="微软雅黑"/>
            <family val="2"/>
            <charset val="134"/>
          </rPr>
          <t>包含卡组和支援卡的被动个性和被动合宿技能</t>
        </r>
      </text>
    </comment>
    <comment ref="EV11" authorId="0" shapeId="0" xr:uid="{00000000-0006-0000-0000-000006000000}">
      <text>
        <r>
          <rPr>
            <sz val="10"/>
            <color rgb="FF000000"/>
            <rFont val="微软雅黑"/>
            <family val="2"/>
            <charset val="134"/>
          </rPr>
          <t>游戏中未显示，等于组队界面显示的数值加上支援卡的被动加成。</t>
        </r>
      </text>
    </comment>
    <comment ref="EZ11" authorId="0" shapeId="0" xr:uid="{E7D62134-8C0B-4F5F-9F8D-435989D334F6}">
      <text>
        <r>
          <rPr>
            <sz val="10"/>
            <color rgb="FF000000"/>
            <rFont val="微软雅黑"/>
            <family val="2"/>
            <charset val="134"/>
          </rPr>
          <t>游戏中未显示，等于组队界面显示的数值加上支援卡的被动加成。</t>
        </r>
      </text>
    </comment>
    <comment ref="EV15" authorId="0" shapeId="0" xr:uid="{00000000-0006-0000-0000-000007000000}">
      <text>
        <r>
          <rPr>
            <sz val="10"/>
            <color rgb="FF000000"/>
            <rFont val="微软雅黑"/>
            <family val="2"/>
            <charset val="134"/>
          </rPr>
          <t>包含加减ap的技能、主动个性、主动合宿技能和饰品技能等</t>
        </r>
      </text>
    </comment>
    <comment ref="EZ15" authorId="0" shapeId="0" xr:uid="{3B14A602-98CF-4DA0-A133-2E96CA145E30}">
      <text>
        <r>
          <rPr>
            <sz val="10"/>
            <color rgb="FF000000"/>
            <rFont val="微软雅黑"/>
            <family val="2"/>
            <charset val="134"/>
          </rPr>
          <t>包含加减ap的技能、主动个性、主动合宿技能和饰品技能等</t>
        </r>
      </text>
    </comment>
    <comment ref="FI15" authorId="0" shapeId="0" xr:uid="{BC398C55-1318-4A64-A809-9189D4561C83}">
      <text>
        <r>
          <rPr>
            <sz val="9"/>
            <color indexed="81"/>
            <rFont val="微软雅黑"/>
            <family val="2"/>
            <charset val="134"/>
          </rPr>
          <t>包含ap加成，其他得分加成，HP系数，作战效果</t>
        </r>
      </text>
    </comment>
    <comment ref="EZ23" authorId="0" shapeId="0" xr:uid="{F1095CC0-FBFC-4D2F-9DB4-5FAA48F8497F}">
      <text>
        <r>
          <rPr>
            <sz val="10"/>
            <color rgb="FF000000"/>
            <rFont val="微软雅黑"/>
            <family val="2"/>
            <charset val="134"/>
          </rPr>
          <t>包含判定，combo，sp期间加成和增加得分的技能、主动个性、合宿技能等</t>
        </r>
      </text>
    </comment>
    <comment ref="EV25" authorId="0" shapeId="0" xr:uid="{00000000-0006-0000-0000-00000A000000}">
      <text>
        <r>
          <rPr>
            <sz val="10"/>
            <color rgb="FF000000"/>
            <rFont val="微软雅黑"/>
            <family val="2"/>
            <charset val="134"/>
          </rPr>
          <t>包含判定，combo，sp期间加成和增加得分的技能、主动个性、合宿技能等</t>
        </r>
      </text>
    </comment>
    <comment ref="EV26" authorId="0" shapeId="0" xr:uid="{00000000-0006-0000-0000-00000B000000}">
      <text>
        <r>
          <rPr>
            <sz val="11"/>
            <color rgb="FF000000"/>
            <rFont val="等线"/>
            <family val="2"/>
            <charset val="134"/>
          </rPr>
          <t>不含作战效果(vo)</t>
        </r>
      </text>
    </comment>
    <comment ref="EV33" authorId="0" shapeId="0" xr:uid="{00000000-0006-0000-0000-00000C000000}">
      <text>
        <r>
          <rPr>
            <sz val="10"/>
            <color rgb="FF000000"/>
            <rFont val="微软雅黑"/>
            <family val="2"/>
            <charset val="134"/>
          </rPr>
          <t>因与手链冲突而导致的sp技能浪费</t>
        </r>
      </text>
    </comment>
    <comment ref="EZ33" authorId="0" shapeId="0" xr:uid="{08F6B3FE-3F97-4C81-A1E2-BA75854C3DF9}">
      <text>
        <r>
          <rPr>
            <sz val="10"/>
            <color rgb="FF000000"/>
            <rFont val="微软雅黑"/>
            <family val="2"/>
            <charset val="134"/>
          </rPr>
          <t>因与手链冲突而导致的sp技能浪费</t>
        </r>
      </text>
    </comment>
    <comment ref="EE350" authorId="0" shapeId="0" xr:uid="{42590F44-8012-475E-A4C4-593327C5EF33}">
      <text>
        <r>
          <rPr>
            <b/>
            <sz val="9"/>
            <color indexed="81"/>
            <rFont val="宋体"/>
            <family val="3"/>
            <charset val="134"/>
          </rPr>
          <t xml:space="preserve">使用了不一样的计算公式
</t>
        </r>
      </text>
    </comment>
    <comment ref="CV452" authorId="0" shapeId="0" xr:uid="{0B63B043-51BD-4240-BC52-2B440278BCEB}">
      <text>
        <r>
          <rPr>
            <sz val="14"/>
            <color indexed="81"/>
            <rFont val="Microsoft YaHei UI"/>
            <family val="2"/>
            <charset val="134"/>
          </rPr>
          <t>nerfed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J16" authorId="0" shapeId="0" xr:uid="{E38D3F0A-AAB1-4DCF-A81C-0AA9115BA459}">
      <text>
        <r>
          <rPr>
            <sz val="11"/>
            <color indexed="81"/>
            <rFont val="Microsoft YaHei UI"/>
            <family val="2"/>
            <charset val="134"/>
          </rPr>
          <t>95000为获得盾</t>
        </r>
      </text>
    </comment>
    <comment ref="J121" authorId="0" shapeId="0" xr:uid="{00000000-0006-0000-0400-000001000000}">
      <text>
        <r>
          <rPr>
            <sz val="11"/>
            <color indexed="81"/>
            <rFont val="Microsoft YaHei UI"/>
            <family val="2"/>
            <charset val="134"/>
          </rPr>
          <t>60000为获得盾</t>
        </r>
      </text>
    </comment>
    <comment ref="J169" authorId="0" shapeId="0" xr:uid="{C2F489E5-2253-42A6-8FE6-710591B6F6A9}">
      <text>
        <r>
          <rPr>
            <sz val="11"/>
            <color indexed="81"/>
            <rFont val="Microsoft YaHei UI"/>
            <family val="2"/>
            <charset val="134"/>
          </rPr>
          <t>获得或失去盾</t>
        </r>
      </text>
    </comment>
    <comment ref="J201" authorId="0" shapeId="0" xr:uid="{5D6DE420-D3EA-41F6-8E27-3B53228BF14A}">
      <text>
        <r>
          <rPr>
            <sz val="9"/>
            <color indexed="81"/>
            <rFont val="Microsoft YaHei UI"/>
            <family val="2"/>
            <charset val="134"/>
          </rPr>
          <t>160000为失去盾</t>
        </r>
      </text>
    </comment>
  </commentList>
</comments>
</file>

<file path=xl/sharedStrings.xml><?xml version="1.0" encoding="utf-8"?>
<sst xmlns="http://schemas.openxmlformats.org/spreadsheetml/2006/main" count="16588" uniqueCount="5016">
  <si>
    <t>平均ct率</t>
  </si>
  <si>
    <t>平均按键输出</t>
  </si>
  <si>
    <t>平均按键真输出</t>
  </si>
  <si>
    <t>sp得分</t>
  </si>
  <si>
    <t>sp浪费</t>
  </si>
  <si>
    <t>总血量</t>
  </si>
  <si>
    <t>总卡面st</t>
  </si>
  <si>
    <t>总键数</t>
  </si>
  <si>
    <t>切队次数</t>
  </si>
  <si>
    <t>属性</t>
  </si>
  <si>
    <t>ap+/vo溢出系数</t>
  </si>
  <si>
    <t>ct溢出系数</t>
  </si>
  <si>
    <t>ct值溢出系数</t>
  </si>
  <si>
    <t>vo</t>
  </si>
  <si>
    <t>sp</t>
  </si>
  <si>
    <t>缪</t>
  </si>
  <si>
    <t>1年级</t>
  </si>
  <si>
    <t>2年级</t>
  </si>
  <si>
    <t>Printemps</t>
  </si>
  <si>
    <t>type</t>
    <phoneticPr fontId="1" type="noConversion"/>
  </si>
  <si>
    <t>团队</t>
    <phoneticPr fontId="1" type="noConversion"/>
  </si>
  <si>
    <t>年级</t>
    <phoneticPr fontId="1" type="noConversion"/>
  </si>
  <si>
    <t>紫</t>
  </si>
  <si>
    <t>gd</t>
  </si>
  <si>
    <t>穗乃果</t>
    <phoneticPr fontId="1" type="noConversion"/>
  </si>
  <si>
    <t>绘里</t>
    <phoneticPr fontId="1" type="noConversion"/>
  </si>
  <si>
    <t>小鸟</t>
    <phoneticPr fontId="1" type="noConversion"/>
  </si>
  <si>
    <t>海未</t>
    <phoneticPr fontId="1" type="noConversion"/>
  </si>
  <si>
    <t>凛</t>
    <phoneticPr fontId="1" type="noConversion"/>
  </si>
  <si>
    <t>真姬</t>
    <phoneticPr fontId="1" type="noConversion"/>
  </si>
  <si>
    <t>希</t>
    <phoneticPr fontId="1" type="noConversion"/>
  </si>
  <si>
    <t>花阳</t>
    <phoneticPr fontId="1" type="noConversion"/>
  </si>
  <si>
    <t>妮可</t>
    <phoneticPr fontId="1" type="noConversion"/>
  </si>
  <si>
    <t>千歌</t>
    <phoneticPr fontId="1" type="noConversion"/>
  </si>
  <si>
    <t>梨子</t>
    <phoneticPr fontId="1" type="noConversion"/>
  </si>
  <si>
    <t>果南</t>
    <phoneticPr fontId="1" type="noConversion"/>
  </si>
  <si>
    <t>黛雅</t>
    <phoneticPr fontId="1" type="noConversion"/>
  </si>
  <si>
    <t>曜</t>
    <phoneticPr fontId="1" type="noConversion"/>
  </si>
  <si>
    <t>善子</t>
    <phoneticPr fontId="1" type="noConversion"/>
  </si>
  <si>
    <t>花丸</t>
    <phoneticPr fontId="1" type="noConversion"/>
  </si>
  <si>
    <t>鞠莉</t>
    <phoneticPr fontId="1" type="noConversion"/>
  </si>
  <si>
    <t>露比</t>
    <phoneticPr fontId="1" type="noConversion"/>
  </si>
  <si>
    <t>步梦</t>
    <phoneticPr fontId="1" type="noConversion"/>
  </si>
  <si>
    <t>霞</t>
    <phoneticPr fontId="1" type="noConversion"/>
  </si>
  <si>
    <t>雫</t>
    <phoneticPr fontId="1" type="noConversion"/>
  </si>
  <si>
    <t>璃奈</t>
    <phoneticPr fontId="1" type="noConversion"/>
  </si>
  <si>
    <t>果林</t>
    <phoneticPr fontId="1" type="noConversion"/>
  </si>
  <si>
    <t>爱</t>
    <phoneticPr fontId="1" type="noConversion"/>
  </si>
  <si>
    <t>雪菜</t>
    <phoneticPr fontId="1" type="noConversion"/>
  </si>
  <si>
    <t>艾玛</t>
    <phoneticPr fontId="1" type="noConversion"/>
  </si>
  <si>
    <t>彼方</t>
    <phoneticPr fontId="1" type="noConversion"/>
  </si>
  <si>
    <t>缪</t>
    <phoneticPr fontId="1" type="noConversion"/>
  </si>
  <si>
    <t>水</t>
    <phoneticPr fontId="1" type="noConversion"/>
  </si>
  <si>
    <t>虹</t>
    <phoneticPr fontId="1" type="noConversion"/>
  </si>
  <si>
    <t>2年级</t>
    <phoneticPr fontId="1" type="noConversion"/>
  </si>
  <si>
    <t>3年级</t>
    <phoneticPr fontId="1" type="noConversion"/>
  </si>
  <si>
    <t>1年级</t>
    <phoneticPr fontId="1" type="noConversion"/>
  </si>
  <si>
    <t>A·ZU·NA</t>
  </si>
  <si>
    <t>QU4RTZ</t>
  </si>
  <si>
    <t>Diver Diva</t>
  </si>
  <si>
    <t>CYaRon!</t>
  </si>
  <si>
    <t>lilywhite</t>
  </si>
  <si>
    <t>AZALEA</t>
  </si>
  <si>
    <t>Guilty Kiss</t>
  </si>
  <si>
    <t>BiBi</t>
  </si>
  <si>
    <t>卡池卡</t>
  </si>
  <si>
    <t>蓝</t>
  </si>
  <si>
    <t>红</t>
  </si>
  <si>
    <t>聚会鸟</t>
  </si>
  <si>
    <t>黄</t>
  </si>
  <si>
    <t>sk</t>
  </si>
  <si>
    <t>魔法希</t>
  </si>
  <si>
    <t>弓道海</t>
  </si>
  <si>
    <t>滑冰姬</t>
  </si>
  <si>
    <t>猫凛</t>
  </si>
  <si>
    <t>羊驼花</t>
  </si>
  <si>
    <t>登山绘</t>
  </si>
  <si>
    <t>蔬菜善</t>
  </si>
  <si>
    <t>魔法霞</t>
  </si>
  <si>
    <t>观星千</t>
  </si>
  <si>
    <t>龙宫果</t>
  </si>
  <si>
    <t>蝴蝶林</t>
  </si>
  <si>
    <t>海战雫</t>
  </si>
  <si>
    <t>海战曜</t>
  </si>
  <si>
    <t>骑士雫</t>
  </si>
  <si>
    <t>蔬菜璃</t>
  </si>
  <si>
    <t>和服露</t>
  </si>
  <si>
    <t>合奏梨</t>
  </si>
  <si>
    <t>旗袍黛</t>
  </si>
  <si>
    <t>涂鸦鞠</t>
  </si>
  <si>
    <t>合奏姬</t>
  </si>
  <si>
    <t>登山丸</t>
  </si>
  <si>
    <t>公主林</t>
  </si>
  <si>
    <t>旗袍步</t>
  </si>
  <si>
    <t>甜品露</t>
  </si>
  <si>
    <t>温泉妮</t>
  </si>
  <si>
    <t>公主梨</t>
  </si>
  <si>
    <t>狼千</t>
  </si>
  <si>
    <t>睡衣南</t>
  </si>
  <si>
    <t>电玩璃</t>
  </si>
  <si>
    <t>龙宫爱</t>
  </si>
  <si>
    <t>火车妮</t>
  </si>
  <si>
    <t>合奏霞</t>
  </si>
  <si>
    <t>和服黛</t>
  </si>
  <si>
    <t>观星希</t>
  </si>
  <si>
    <t>红帽艾</t>
  </si>
  <si>
    <t>聚会果</t>
  </si>
  <si>
    <t>旗袍凛</t>
  </si>
  <si>
    <t>猎人凛</t>
  </si>
  <si>
    <t>魔法黛</t>
  </si>
  <si>
    <t>恶魔善</t>
  </si>
  <si>
    <t>温泉彼</t>
  </si>
  <si>
    <t>甜品绘</t>
  </si>
  <si>
    <t>公主果</t>
  </si>
  <si>
    <t>睡衣花</t>
  </si>
  <si>
    <t>滑冰曜</t>
  </si>
  <si>
    <t>火车鞠</t>
  </si>
  <si>
    <t>龙宫南</t>
  </si>
  <si>
    <t>滑冰菜</t>
  </si>
  <si>
    <t>钢琴梨</t>
  </si>
  <si>
    <t>海战海</t>
  </si>
  <si>
    <t>甜品步</t>
  </si>
  <si>
    <t>蔬菜鸟</t>
  </si>
  <si>
    <t>绿</t>
  </si>
  <si>
    <t>粉</t>
  </si>
  <si>
    <t>活动卡</t>
  </si>
  <si>
    <t>fes卡</t>
  </si>
  <si>
    <t>好友支援</t>
    <phoneticPr fontId="1" type="noConversion"/>
  </si>
  <si>
    <t>输出</t>
  </si>
  <si>
    <t>真输出</t>
  </si>
  <si>
    <t>强度</t>
  </si>
  <si>
    <t>卡面数值</t>
    <phoneticPr fontId="1" type="noConversion"/>
  </si>
  <si>
    <t>ap</t>
    <phoneticPr fontId="1" type="noConversion"/>
  </si>
  <si>
    <t>st</t>
    <phoneticPr fontId="1" type="noConversion"/>
  </si>
  <si>
    <t>te</t>
    <phoneticPr fontId="1" type="noConversion"/>
  </si>
  <si>
    <t>类型强度</t>
    <phoneticPr fontId="1" type="noConversion"/>
  </si>
  <si>
    <t>槽强度</t>
    <phoneticPr fontId="1" type="noConversion"/>
  </si>
  <si>
    <t>类型</t>
  </si>
  <si>
    <t>范围</t>
  </si>
  <si>
    <t>数值</t>
  </si>
  <si>
    <t>希</t>
  </si>
  <si>
    <t>前排强度</t>
    <phoneticPr fontId="1" type="noConversion"/>
  </si>
  <si>
    <t>后排强度</t>
    <phoneticPr fontId="1" type="noConversion"/>
  </si>
  <si>
    <t>ap</t>
  </si>
  <si>
    <t>st</t>
  </si>
  <si>
    <t>te</t>
  </si>
  <si>
    <t>同作战</t>
  </si>
  <si>
    <t>全员</t>
  </si>
  <si>
    <t>同属性</t>
  </si>
  <si>
    <t>仲间</t>
  </si>
  <si>
    <t>同type</t>
  </si>
  <si>
    <t>同年级</t>
  </si>
  <si>
    <t>vo获得</t>
  </si>
  <si>
    <t>ap+</t>
  </si>
  <si>
    <t>技能+</t>
  </si>
  <si>
    <t>ct+</t>
  </si>
  <si>
    <t>sp获得</t>
  </si>
  <si>
    <t>sp+</t>
  </si>
  <si>
    <t>减伤</t>
  </si>
  <si>
    <t>vo+</t>
  </si>
  <si>
    <t>SP发动</t>
    <phoneticPr fontId="1" type="noConversion"/>
  </si>
  <si>
    <t>全员</t>
    <phoneticPr fontId="1" type="noConversion"/>
  </si>
  <si>
    <t>AC时</t>
    <phoneticPr fontId="1" type="noConversion"/>
  </si>
  <si>
    <t>infty</t>
    <phoneticPr fontId="1" type="noConversion"/>
  </si>
  <si>
    <t>AC成功</t>
    <phoneticPr fontId="1" type="noConversion"/>
  </si>
  <si>
    <t>曲开始</t>
    <phoneticPr fontId="1" type="noConversion"/>
  </si>
  <si>
    <t>自身</t>
    <phoneticPr fontId="1" type="noConversion"/>
  </si>
  <si>
    <t>ap+</t>
    <phoneticPr fontId="1" type="noConversion"/>
  </si>
  <si>
    <t>同作战</t>
    <phoneticPr fontId="1" type="noConversion"/>
  </si>
  <si>
    <t>同年级</t>
    <phoneticPr fontId="1" type="noConversion"/>
  </si>
  <si>
    <t>切队</t>
    <phoneticPr fontId="1" type="noConversion"/>
  </si>
  <si>
    <t>同属性</t>
    <phoneticPr fontId="1" type="noConversion"/>
  </si>
  <si>
    <t>ap时</t>
    <phoneticPr fontId="1" type="noConversion"/>
  </si>
  <si>
    <t>ct时</t>
    <phoneticPr fontId="1" type="noConversion"/>
  </si>
  <si>
    <t>前排输出</t>
    <phoneticPr fontId="1" type="noConversion"/>
  </si>
  <si>
    <t>后排输出</t>
    <phoneticPr fontId="1" type="noConversion"/>
  </si>
  <si>
    <t>前排输出</t>
  </si>
  <si>
    <t>后排输出</t>
  </si>
  <si>
    <t>仲间</t>
    <phoneticPr fontId="1" type="noConversion"/>
  </si>
  <si>
    <t>sp槽</t>
    <phoneticPr fontId="1" type="noConversion"/>
  </si>
  <si>
    <t>日期</t>
    <phoneticPr fontId="1" type="noConversion"/>
  </si>
  <si>
    <t>版本号</t>
    <phoneticPr fontId="1" type="noConversion"/>
  </si>
  <si>
    <t>内容</t>
    <phoneticPr fontId="1" type="noConversion"/>
  </si>
  <si>
    <t>1.99.1</t>
    <phoneticPr fontId="1" type="noConversion"/>
  </si>
  <si>
    <t>大幅重构了UI</t>
    <phoneticPr fontId="1" type="noConversion"/>
  </si>
  <si>
    <t>1.99.2</t>
    <phoneticPr fontId="1" type="noConversion"/>
  </si>
  <si>
    <t>完成了主动个性的重新计算</t>
    <phoneticPr fontId="1" type="noConversion"/>
  </si>
  <si>
    <t>完成了除了主动个性和特技以外的重新计算</t>
    <phoneticPr fontId="1" type="noConversion"/>
  </si>
  <si>
    <t>2.0</t>
    <phoneticPr fontId="1" type="noConversion"/>
  </si>
  <si>
    <t>完成了特技的计算</t>
    <phoneticPr fontId="1" type="noConversion"/>
  </si>
  <si>
    <t>发布正式版</t>
    <phoneticPr fontId="1" type="noConversion"/>
  </si>
  <si>
    <t>紧急修复了主动个性的某些单元格未使用绝对引用的bug</t>
    <phoneticPr fontId="1" type="noConversion"/>
  </si>
  <si>
    <t>新增了更新日志</t>
    <phoneticPr fontId="1" type="noConversion"/>
  </si>
  <si>
    <t>修改了后排的算法，不再扣除3个槽的强度</t>
    <phoneticPr fontId="1" type="noConversion"/>
  </si>
  <si>
    <t>修复了好友输出未计算槽的bug</t>
    <phoneticPr fontId="1" type="noConversion"/>
  </si>
  <si>
    <t>角色</t>
    <phoneticPr fontId="1" type="noConversion"/>
  </si>
  <si>
    <t>团队</t>
    <phoneticPr fontId="1" type="noConversion"/>
  </si>
  <si>
    <t>年级</t>
    <phoneticPr fontId="1" type="noConversion"/>
  </si>
  <si>
    <t>小队</t>
    <phoneticPr fontId="1" type="noConversion"/>
  </si>
  <si>
    <t>绊等级</t>
    <phoneticPr fontId="1" type="noConversion"/>
  </si>
  <si>
    <t>绊缺口</t>
    <phoneticPr fontId="1" type="noConversion"/>
  </si>
  <si>
    <t>绊上限</t>
    <phoneticPr fontId="1" type="noConversion"/>
  </si>
  <si>
    <t>面板加成</t>
    <phoneticPr fontId="1" type="noConversion"/>
  </si>
  <si>
    <t>ID</t>
    <phoneticPr fontId="1" type="noConversion"/>
  </si>
  <si>
    <t>名称</t>
    <phoneticPr fontId="1" type="noConversion"/>
  </si>
  <si>
    <t>总缺口</t>
    <phoneticPr fontId="1" type="noConversion"/>
  </si>
  <si>
    <t>添加了绊状态确认的表格，现在每个角色的绊加成独立计算</t>
    <phoneticPr fontId="1" type="noConversion"/>
  </si>
  <si>
    <t>添加了卡片ID以方便筛选</t>
    <phoneticPr fontId="1" type="noConversion"/>
  </si>
  <si>
    <t>基本属性</t>
    <phoneticPr fontId="1" type="noConversion"/>
  </si>
  <si>
    <t>添加了一些天坑（</t>
    <phoneticPr fontId="1" type="noConversion"/>
  </si>
  <si>
    <t>修复了绊总缺口的计算错误</t>
    <phoneticPr fontId="1" type="noConversion"/>
  </si>
  <si>
    <t>紧急修复了独立绊加成时超参数的某些单元格未使用绝对引用而爆炸的bug</t>
    <phoneticPr fontId="1" type="noConversion"/>
  </si>
  <si>
    <t>修复了绊为1级时加成为#NUM!的bug</t>
    <phoneticPr fontId="1" type="noConversion"/>
  </si>
  <si>
    <t>修复了绊加成只作用在了5破的bug</t>
    <phoneticPr fontId="1" type="noConversion"/>
  </si>
  <si>
    <t>修改了一些显示，现在-1破的输出显示为0而不是#VALUE!</t>
    <phoneticPr fontId="1" type="noConversion"/>
  </si>
  <si>
    <t>修改了一些显示，现在在破数输入空白和输入-1是等同的了</t>
    <phoneticPr fontId="1" type="noConversion"/>
  </si>
  <si>
    <t>将超参数中同年级卡的数量由1.5/4调整为2/5</t>
    <phoneticPr fontId="1" type="noConversion"/>
  </si>
  <si>
    <t>初代目表格作者：野鸭</t>
    <phoneticPr fontId="1" type="noConversion"/>
  </si>
  <si>
    <t>调整相对输出的相对对象，现在的相对对象恒为输出列的最大值</t>
    <phoneticPr fontId="1" type="noConversion"/>
  </si>
  <si>
    <t>增加了作者和致谢名单（致谢名单可能不全）</t>
    <phoneticPr fontId="1" type="noConversion"/>
  </si>
  <si>
    <t>学渣霞</t>
    <phoneticPr fontId="1" type="noConversion"/>
  </si>
  <si>
    <t>vo+</t>
    <phoneticPr fontId="1" type="noConversion"/>
  </si>
  <si>
    <t>添加了学渣霞的满破数据</t>
    <phoneticPr fontId="1" type="noConversion"/>
  </si>
  <si>
    <t>修复了vo+主动个性输出为0的bug</t>
    <phoneticPr fontId="1" type="noConversion"/>
  </si>
  <si>
    <t>修复了type真输出中sp增减益的计算错误</t>
    <phoneticPr fontId="1" type="noConversion"/>
  </si>
  <si>
    <t>增加了技能真输出的超参数</t>
    <phoneticPr fontId="1" type="noConversion"/>
  </si>
  <si>
    <t>2.1</t>
    <phoneticPr fontId="1" type="noConversion"/>
  </si>
  <si>
    <t>添加了学渣霞的全部数据</t>
    <phoneticPr fontId="1" type="noConversion"/>
  </si>
  <si>
    <t>歌曲相关</t>
  </si>
  <si>
    <t>溢出计算相关</t>
  </si>
  <si>
    <t>平均卡面数值</t>
  </si>
  <si>
    <t>点击分加成溢出</t>
  </si>
  <si>
    <t>总平均</t>
  </si>
  <si>
    <t>普通得分</t>
  </si>
  <si>
    <t>系数</t>
  </si>
  <si>
    <t>时间</t>
  </si>
  <si>
    <t>平均被动加成</t>
  </si>
  <si>
    <t>团队增加ap</t>
  </si>
  <si>
    <t>年级增加ap</t>
  </si>
  <si>
    <t>平均组队数值</t>
  </si>
  <si>
    <t>年级全属性增加</t>
  </si>
  <si>
    <t>小队增加ap</t>
  </si>
  <si>
    <t>平均主动ap加成</t>
  </si>
  <si>
    <t>平均最终数值</t>
    <phoneticPr fontId="8" type="noConversion"/>
  </si>
  <si>
    <t>其他得分加成</t>
  </si>
  <si>
    <t>饰品信息</t>
  </si>
  <si>
    <t>全队同属性卡个数</t>
  </si>
  <si>
    <t>全队同年级卡个数</t>
  </si>
  <si>
    <t>单槽被动ap加成</t>
  </si>
  <si>
    <t>HP衰减</t>
  </si>
  <si>
    <t>ac次数</t>
  </si>
  <si>
    <t>每次ac键数</t>
    <phoneticPr fontId="8" type="noConversion"/>
  </si>
  <si>
    <t>sp次数</t>
  </si>
  <si>
    <t>sp容量</t>
  </si>
  <si>
    <t>全队同type卡个数</t>
    <phoneticPr fontId="1" type="noConversion"/>
  </si>
  <si>
    <t>前排同type卡个数</t>
    <phoneticPr fontId="1" type="noConversion"/>
  </si>
  <si>
    <t>核弹</t>
    <phoneticPr fontId="1" type="noConversion"/>
  </si>
  <si>
    <t>二代目表格作者：stat，潜水</t>
    <phoneticPr fontId="1" type="noConversion"/>
  </si>
  <si>
    <t>针对实际游戏中的加成情况，大幅修改了各单元格的公式和超参数</t>
    <phoneticPr fontId="1" type="noConversion"/>
  </si>
  <si>
    <t>非常感谢st对本版本的贡献</t>
    <phoneticPr fontId="1" type="noConversion"/>
  </si>
  <si>
    <t>修复了主动个性和技能中vo获得和核弹类没有计算同色加成的bug</t>
    <phoneticPr fontId="1" type="noConversion"/>
  </si>
  <si>
    <t>微调了部分超参数</t>
    <phoneticPr fontId="1" type="noConversion"/>
  </si>
  <si>
    <t>再次调整了部分超参数</t>
    <phoneticPr fontId="1" type="noConversion"/>
  </si>
  <si>
    <t>点击分上限</t>
    <phoneticPr fontId="1" type="noConversion"/>
  </si>
  <si>
    <t>稀有度</t>
    <phoneticPr fontId="1" type="noConversion"/>
  </si>
  <si>
    <t>ap加成</t>
    <phoneticPr fontId="1" type="noConversion"/>
  </si>
  <si>
    <t>st加成</t>
    <phoneticPr fontId="1" type="noConversion"/>
  </si>
  <si>
    <t>te加成</t>
    <phoneticPr fontId="1" type="noConversion"/>
  </si>
  <si>
    <t>ct率加成</t>
    <phoneticPr fontId="1" type="noConversion"/>
  </si>
  <si>
    <t>ct值加成</t>
    <phoneticPr fontId="1" type="noConversion"/>
  </si>
  <si>
    <t>sp获得加成</t>
    <phoneticPr fontId="1" type="noConversion"/>
  </si>
  <si>
    <t>sp值加成</t>
    <phoneticPr fontId="1" type="noConversion"/>
  </si>
  <si>
    <t>R等级</t>
    <phoneticPr fontId="1" type="noConversion"/>
  </si>
  <si>
    <t>SR等级</t>
    <phoneticPr fontId="1" type="noConversion"/>
  </si>
  <si>
    <t>UR等级</t>
    <phoneticPr fontId="1" type="noConversion"/>
  </si>
  <si>
    <t>同属性加成</t>
    <phoneticPr fontId="1" type="noConversion"/>
  </si>
  <si>
    <t>平均ct值</t>
    <phoneticPr fontId="1" type="noConversion"/>
  </si>
  <si>
    <t>单次按键相对sp量</t>
    <phoneticPr fontId="1" type="noConversion"/>
  </si>
  <si>
    <t>单次按键绝对sp量</t>
    <phoneticPr fontId="1" type="noConversion"/>
  </si>
  <si>
    <t>2.2</t>
    <phoneticPr fontId="1" type="noConversion"/>
  </si>
  <si>
    <t>2.3</t>
    <phoneticPr fontId="1" type="noConversion"/>
  </si>
  <si>
    <t>根据游戏的1.7.0更新，增加了绊面板bonus，并更新了表格中相关公式</t>
    <phoneticPr fontId="1" type="noConversion"/>
  </si>
  <si>
    <t>根据游戏的1.7.0更新，添加了超参数ct值和单键分上限，并微调了其他超参数的值</t>
    <phoneticPr fontId="1" type="noConversion"/>
  </si>
  <si>
    <t>修正了被动te+的真输出的计算错误</t>
    <phoneticPr fontId="1" type="noConversion"/>
  </si>
  <si>
    <t>增加了单次按键相对sp量和单次按键绝对sp量的超参数</t>
    <phoneticPr fontId="1" type="noConversion"/>
  </si>
  <si>
    <t>添加了按稀有度筛选卡的功能，为上线SR和R做准备</t>
    <phoneticPr fontId="1" type="noConversion"/>
  </si>
  <si>
    <t>梅雨希</t>
    <phoneticPr fontId="1" type="noConversion"/>
  </si>
  <si>
    <t>st</t>
    <phoneticPr fontId="1" type="noConversion"/>
  </si>
  <si>
    <t>伤害时</t>
    <phoneticPr fontId="1" type="noConversion"/>
  </si>
  <si>
    <t>梅雨南</t>
    <phoneticPr fontId="1" type="noConversion"/>
  </si>
  <si>
    <t>果南</t>
  </si>
  <si>
    <t>te</t>
    <phoneticPr fontId="1" type="noConversion"/>
  </si>
  <si>
    <t>ct+</t>
    <phoneticPr fontId="1" type="noConversion"/>
  </si>
  <si>
    <t>梅雨艾</t>
    <phoneticPr fontId="1" type="noConversion"/>
  </si>
  <si>
    <t>ap</t>
    <phoneticPr fontId="1" type="noConversion"/>
  </si>
  <si>
    <t>技能+</t>
    <phoneticPr fontId="1" type="noConversion"/>
  </si>
  <si>
    <t>添加了梅雨套的三张UR</t>
    <phoneticPr fontId="1" type="noConversion"/>
  </si>
  <si>
    <t>修正了类型强度计算中的bug</t>
    <phoneticPr fontId="1" type="noConversion"/>
  </si>
  <si>
    <t>修改了sp次数的超参数</t>
    <phoneticPr fontId="1" type="noConversion"/>
  </si>
  <si>
    <t>添加了好友输出和后排输出的相对值</t>
    <phoneticPr fontId="1" type="noConversion"/>
  </si>
  <si>
    <t>添加了技能发动率一列</t>
    <phoneticPr fontId="1" type="noConversion"/>
  </si>
  <si>
    <t>绊面板层数</t>
    <phoneticPr fontId="1" type="noConversion"/>
  </si>
  <si>
    <t>所需等级</t>
    <phoneticPr fontId="1" type="noConversion"/>
  </si>
  <si>
    <t>该层提供的加成</t>
    <phoneticPr fontId="1" type="noConversion"/>
  </si>
  <si>
    <t>到该层为止的加成</t>
    <phoneticPr fontId="1" type="noConversion"/>
  </si>
  <si>
    <t>添加了绊面板数据的表格，现在绊面板加成可以通过输入层数来自动计算了</t>
    <phoneticPr fontId="1" type="noConversion"/>
  </si>
  <si>
    <t>同时感谢土豆等人的帮助，以及ieb，kach，eis等提供的数据</t>
    <phoneticPr fontId="1" type="noConversion"/>
  </si>
  <si>
    <t>修改了是否为暴击卡的算法</t>
    <phoneticPr fontId="1" type="noConversion"/>
  </si>
  <si>
    <t>稀有度</t>
    <phoneticPr fontId="1" type="noConversion"/>
  </si>
  <si>
    <t>UR</t>
    <phoneticPr fontId="1" type="noConversion"/>
  </si>
  <si>
    <t>SR</t>
    <phoneticPr fontId="1" type="noConversion"/>
  </si>
  <si>
    <t>驱散</t>
    <phoneticPr fontId="1" type="noConversion"/>
  </si>
  <si>
    <t>复活</t>
    <phoneticPr fontId="1" type="noConversion"/>
  </si>
  <si>
    <t>type</t>
    <phoneticPr fontId="1" type="noConversion"/>
  </si>
  <si>
    <t>基础满级面板</t>
    <phoneticPr fontId="1" type="noConversion"/>
  </si>
  <si>
    <t>未觉醒满破值</t>
    <phoneticPr fontId="1" type="noConversion"/>
  </si>
  <si>
    <t>觉醒增加数值</t>
    <phoneticPr fontId="1" type="noConversion"/>
  </si>
  <si>
    <t>1级</t>
    <phoneticPr fontId="1" type="noConversion"/>
  </si>
  <si>
    <t>2级</t>
    <phoneticPr fontId="1" type="noConversion"/>
  </si>
  <si>
    <t>3级</t>
    <phoneticPr fontId="1" type="noConversion"/>
  </si>
  <si>
    <t>4级</t>
    <phoneticPr fontId="1" type="noConversion"/>
  </si>
  <si>
    <t>5级</t>
    <phoneticPr fontId="1" type="noConversion"/>
  </si>
  <si>
    <t>0破最大值</t>
    <phoneticPr fontId="1" type="noConversion"/>
  </si>
  <si>
    <t>1破最大值</t>
    <phoneticPr fontId="1" type="noConversion"/>
  </si>
  <si>
    <t>2破最大值</t>
    <phoneticPr fontId="1" type="noConversion"/>
  </si>
  <si>
    <t>3破最大值</t>
    <phoneticPr fontId="1" type="noConversion"/>
  </si>
  <si>
    <t>4破最大值</t>
    <phoneticPr fontId="1" type="noConversion"/>
  </si>
  <si>
    <t>5破最大值</t>
    <phoneticPr fontId="1" type="noConversion"/>
  </si>
  <si>
    <t>特训数值A</t>
    <phoneticPr fontId="1" type="noConversion"/>
  </si>
  <si>
    <t>特训数值B</t>
    <phoneticPr fontId="1" type="noConversion"/>
  </si>
  <si>
    <t>面板数值</t>
    <phoneticPr fontId="1" type="noConversion"/>
  </si>
  <si>
    <t>穗乃果</t>
  </si>
  <si>
    <t>绘里</t>
  </si>
  <si>
    <t>小鸟</t>
  </si>
  <si>
    <t>海未</t>
  </si>
  <si>
    <t>凛</t>
  </si>
  <si>
    <t>真姬</t>
  </si>
  <si>
    <t>花阳</t>
  </si>
  <si>
    <t>妮可</t>
  </si>
  <si>
    <t>千歌</t>
  </si>
  <si>
    <t>梨子</t>
  </si>
  <si>
    <t>黛雅</t>
  </si>
  <si>
    <t>曜</t>
  </si>
  <si>
    <t>善子</t>
  </si>
  <si>
    <t>花丸</t>
  </si>
  <si>
    <t>鞠莉</t>
  </si>
  <si>
    <t>露比</t>
  </si>
  <si>
    <t>果林</t>
  </si>
  <si>
    <t>雪菜</t>
  </si>
  <si>
    <t>雫</t>
  </si>
  <si>
    <t>步梦</t>
  </si>
  <si>
    <t>艾玛</t>
  </si>
  <si>
    <t>霞</t>
  </si>
  <si>
    <t>璃奈</t>
  </si>
  <si>
    <t>爱</t>
  </si>
  <si>
    <t>彼方</t>
  </si>
  <si>
    <t>sk</t>
    <phoneticPr fontId="1" type="noConversion"/>
  </si>
  <si>
    <t>SR</t>
    <phoneticPr fontId="1" type="noConversion"/>
  </si>
  <si>
    <t>vo</t>
    <phoneticPr fontId="1" type="noConversion"/>
  </si>
  <si>
    <t>gd</t>
    <phoneticPr fontId="1" type="noConversion"/>
  </si>
  <si>
    <t>sp</t>
    <phoneticPr fontId="1" type="noConversion"/>
  </si>
  <si>
    <t>sh绘</t>
    <phoneticPr fontId="1" type="noConversion"/>
  </si>
  <si>
    <t>sh姬</t>
    <phoneticPr fontId="1" type="noConversion"/>
  </si>
  <si>
    <t>sh妮</t>
    <phoneticPr fontId="1" type="noConversion"/>
  </si>
  <si>
    <t>sh凛</t>
    <phoneticPr fontId="1" type="noConversion"/>
  </si>
  <si>
    <t>sh希</t>
    <phoneticPr fontId="1" type="noConversion"/>
  </si>
  <si>
    <t>sh海</t>
    <phoneticPr fontId="1" type="noConversion"/>
  </si>
  <si>
    <t>sh鸟</t>
    <phoneticPr fontId="1" type="noConversion"/>
  </si>
  <si>
    <t>sh花</t>
    <phoneticPr fontId="1" type="noConversion"/>
  </si>
  <si>
    <t>sh果</t>
    <phoneticPr fontId="1" type="noConversion"/>
  </si>
  <si>
    <t>一单果</t>
    <phoneticPr fontId="1" type="noConversion"/>
  </si>
  <si>
    <t>一单姬</t>
    <phoneticPr fontId="1" type="noConversion"/>
  </si>
  <si>
    <t>一单希</t>
    <phoneticPr fontId="1" type="noConversion"/>
  </si>
  <si>
    <t>一单绘</t>
    <phoneticPr fontId="1" type="noConversion"/>
  </si>
  <si>
    <t>一单妮</t>
    <phoneticPr fontId="1" type="noConversion"/>
  </si>
  <si>
    <t>一单花</t>
    <phoneticPr fontId="1" type="noConversion"/>
  </si>
  <si>
    <t>一单凛</t>
    <phoneticPr fontId="1" type="noConversion"/>
  </si>
  <si>
    <t>一单海</t>
    <phoneticPr fontId="1" type="noConversion"/>
  </si>
  <si>
    <t>一单鸟</t>
    <phoneticPr fontId="1" type="noConversion"/>
  </si>
  <si>
    <t>op2绘</t>
    <phoneticPr fontId="1" type="noConversion"/>
  </si>
  <si>
    <t>op2花</t>
    <phoneticPr fontId="1" type="noConversion"/>
  </si>
  <si>
    <t>op2凛</t>
    <phoneticPr fontId="1" type="noConversion"/>
  </si>
  <si>
    <t>op2希</t>
    <phoneticPr fontId="1" type="noConversion"/>
  </si>
  <si>
    <t>op2海</t>
    <phoneticPr fontId="1" type="noConversion"/>
  </si>
  <si>
    <t>op2果</t>
    <phoneticPr fontId="1" type="noConversion"/>
  </si>
  <si>
    <t>op2姬</t>
    <phoneticPr fontId="1" type="noConversion"/>
  </si>
  <si>
    <t>op2鸟</t>
    <phoneticPr fontId="1" type="noConversion"/>
  </si>
  <si>
    <t>op2妮</t>
    <phoneticPr fontId="1" type="noConversion"/>
  </si>
  <si>
    <t>啦啦千</t>
    <phoneticPr fontId="1" type="noConversion"/>
  </si>
  <si>
    <t>啦啦梨</t>
    <phoneticPr fontId="1" type="noConversion"/>
  </si>
  <si>
    <t>啦啦南</t>
    <phoneticPr fontId="1" type="noConversion"/>
  </si>
  <si>
    <t>啦啦黛</t>
    <phoneticPr fontId="1" type="noConversion"/>
  </si>
  <si>
    <t>啦啦曜</t>
    <phoneticPr fontId="1" type="noConversion"/>
  </si>
  <si>
    <t>啦啦善</t>
    <phoneticPr fontId="1" type="noConversion"/>
  </si>
  <si>
    <t>啦啦丸</t>
    <phoneticPr fontId="1" type="noConversion"/>
  </si>
  <si>
    <t>啦啦鞠</t>
    <phoneticPr fontId="1" type="noConversion"/>
  </si>
  <si>
    <t>啦啦露</t>
    <phoneticPr fontId="1" type="noConversion"/>
  </si>
  <si>
    <t>一单曜</t>
    <phoneticPr fontId="1" type="noConversion"/>
  </si>
  <si>
    <t>一单千</t>
    <phoneticPr fontId="1" type="noConversion"/>
  </si>
  <si>
    <t>一单丸</t>
    <phoneticPr fontId="1" type="noConversion"/>
  </si>
  <si>
    <t>一单鞠</t>
    <phoneticPr fontId="1" type="noConversion"/>
  </si>
  <si>
    <t>一单善</t>
    <phoneticPr fontId="1" type="noConversion"/>
  </si>
  <si>
    <t>一单露</t>
    <phoneticPr fontId="1" type="noConversion"/>
  </si>
  <si>
    <t>一单梨</t>
    <phoneticPr fontId="1" type="noConversion"/>
  </si>
  <si>
    <t>一单南</t>
    <phoneticPr fontId="1" type="noConversion"/>
  </si>
  <si>
    <t>一单黛</t>
    <phoneticPr fontId="1" type="noConversion"/>
  </si>
  <si>
    <t>op1千</t>
    <phoneticPr fontId="1" type="noConversion"/>
  </si>
  <si>
    <t>op1丸</t>
    <phoneticPr fontId="1" type="noConversion"/>
  </si>
  <si>
    <t>op1黛</t>
    <phoneticPr fontId="1" type="noConversion"/>
  </si>
  <si>
    <t>op1南</t>
    <phoneticPr fontId="1" type="noConversion"/>
  </si>
  <si>
    <t>op1善</t>
    <phoneticPr fontId="1" type="noConversion"/>
  </si>
  <si>
    <t>op1曜</t>
    <phoneticPr fontId="1" type="noConversion"/>
  </si>
  <si>
    <t>op1露</t>
    <phoneticPr fontId="1" type="noConversion"/>
  </si>
  <si>
    <t>op1鞠</t>
    <phoneticPr fontId="1" type="noConversion"/>
  </si>
  <si>
    <t>op1梨</t>
    <phoneticPr fontId="1" type="noConversion"/>
  </si>
  <si>
    <t>bm黛</t>
    <phoneticPr fontId="1" type="noConversion"/>
  </si>
  <si>
    <t>bm鞠</t>
    <phoneticPr fontId="1" type="noConversion"/>
  </si>
  <si>
    <t>bm梨</t>
    <phoneticPr fontId="1" type="noConversion"/>
  </si>
  <si>
    <t>bm千</t>
    <phoneticPr fontId="1" type="noConversion"/>
  </si>
  <si>
    <t>bm南</t>
    <phoneticPr fontId="1" type="noConversion"/>
  </si>
  <si>
    <t>bm善</t>
    <phoneticPr fontId="1" type="noConversion"/>
  </si>
  <si>
    <t>bm曜</t>
    <phoneticPr fontId="1" type="noConversion"/>
  </si>
  <si>
    <t>bm丸</t>
    <phoneticPr fontId="1" type="noConversion"/>
  </si>
  <si>
    <t>一专步</t>
    <phoneticPr fontId="1" type="noConversion"/>
  </si>
  <si>
    <t>一专霞</t>
    <phoneticPr fontId="1" type="noConversion"/>
  </si>
  <si>
    <t>一专雫</t>
    <phoneticPr fontId="1" type="noConversion"/>
  </si>
  <si>
    <t>一专林</t>
    <phoneticPr fontId="1" type="noConversion"/>
  </si>
  <si>
    <t>一专爱</t>
    <phoneticPr fontId="1" type="noConversion"/>
  </si>
  <si>
    <t>打工果</t>
  </si>
  <si>
    <t>打工绘</t>
  </si>
  <si>
    <t>打工鸟</t>
  </si>
  <si>
    <t>打工海</t>
  </si>
  <si>
    <t>打工凛</t>
  </si>
  <si>
    <t>打工姬</t>
  </si>
  <si>
    <t>打工希</t>
  </si>
  <si>
    <t>打工花</t>
  </si>
  <si>
    <t>打工妮</t>
  </si>
  <si>
    <t>一专彼</t>
    <phoneticPr fontId="1" type="noConversion"/>
  </si>
  <si>
    <t>一专菜</t>
    <phoneticPr fontId="1" type="noConversion"/>
  </si>
  <si>
    <t>一专艾</t>
    <phoneticPr fontId="1" type="noConversion"/>
  </si>
  <si>
    <t>一专璃</t>
    <phoneticPr fontId="1" type="noConversion"/>
  </si>
  <si>
    <t>动物步</t>
    <phoneticPr fontId="1" type="noConversion"/>
  </si>
  <si>
    <t>动物霞</t>
    <phoneticPr fontId="1" type="noConversion"/>
  </si>
  <si>
    <t>动物雫</t>
    <phoneticPr fontId="1" type="noConversion"/>
  </si>
  <si>
    <t>动物爱</t>
    <phoneticPr fontId="1" type="noConversion"/>
  </si>
  <si>
    <t>动物彼</t>
    <phoneticPr fontId="1" type="noConversion"/>
  </si>
  <si>
    <t>动物艾</t>
    <phoneticPr fontId="1" type="noConversion"/>
  </si>
  <si>
    <t>动物璃</t>
    <phoneticPr fontId="1" type="noConversion"/>
  </si>
  <si>
    <t>动物林</t>
    <phoneticPr fontId="1" type="noConversion"/>
  </si>
  <si>
    <t>动物菜</t>
    <phoneticPr fontId="1" type="noConversion"/>
  </si>
  <si>
    <t>彩虹霞</t>
    <phoneticPr fontId="1" type="noConversion"/>
  </si>
  <si>
    <t>彩虹璃</t>
    <phoneticPr fontId="1" type="noConversion"/>
  </si>
  <si>
    <t>彩虹林</t>
    <phoneticPr fontId="1" type="noConversion"/>
  </si>
  <si>
    <t>彩虹步</t>
    <phoneticPr fontId="1" type="noConversion"/>
  </si>
  <si>
    <t>彩虹艾</t>
    <phoneticPr fontId="1" type="noConversion"/>
  </si>
  <si>
    <t>彩虹菜</t>
    <phoneticPr fontId="1" type="noConversion"/>
  </si>
  <si>
    <t>彩虹雫</t>
    <phoneticPr fontId="1" type="noConversion"/>
  </si>
  <si>
    <t>彩虹彼</t>
    <phoneticPr fontId="1" type="noConversion"/>
  </si>
  <si>
    <t>彩虹爱</t>
    <phoneticPr fontId="1" type="noConversion"/>
  </si>
  <si>
    <t>乐器艾</t>
    <phoneticPr fontId="1" type="noConversion"/>
  </si>
  <si>
    <t>乐器霞</t>
    <phoneticPr fontId="1" type="noConversion"/>
  </si>
  <si>
    <t>乐器步</t>
    <phoneticPr fontId="1" type="noConversion"/>
  </si>
  <si>
    <t>乐器雫</t>
    <phoneticPr fontId="1" type="noConversion"/>
  </si>
  <si>
    <t>乐器璃</t>
    <phoneticPr fontId="1" type="noConversion"/>
  </si>
  <si>
    <t>乐器林</t>
    <phoneticPr fontId="1" type="noConversion"/>
  </si>
  <si>
    <t>乐器菜</t>
    <phoneticPr fontId="1" type="noConversion"/>
  </si>
  <si>
    <t>乐器爱</t>
    <phoneticPr fontId="1" type="noConversion"/>
  </si>
  <si>
    <t>R</t>
    <phoneticPr fontId="1" type="noConversion"/>
  </si>
  <si>
    <t>校服果</t>
    <phoneticPr fontId="1" type="noConversion"/>
  </si>
  <si>
    <t>练习果</t>
    <phoneticPr fontId="1" type="noConversion"/>
  </si>
  <si>
    <t>校服绘</t>
    <phoneticPr fontId="1" type="noConversion"/>
  </si>
  <si>
    <t>练习绘</t>
    <phoneticPr fontId="1" type="noConversion"/>
  </si>
  <si>
    <t>校服鸟</t>
    <phoneticPr fontId="1" type="noConversion"/>
  </si>
  <si>
    <t>练习鸟</t>
    <phoneticPr fontId="1" type="noConversion"/>
  </si>
  <si>
    <t>校服海</t>
    <phoneticPr fontId="1" type="noConversion"/>
  </si>
  <si>
    <t>练习海</t>
    <phoneticPr fontId="1" type="noConversion"/>
  </si>
  <si>
    <t>校服凛</t>
    <phoneticPr fontId="1" type="noConversion"/>
  </si>
  <si>
    <t>练习凛</t>
    <phoneticPr fontId="1" type="noConversion"/>
  </si>
  <si>
    <t>校服姬</t>
    <phoneticPr fontId="1" type="noConversion"/>
  </si>
  <si>
    <t>练习姬</t>
    <phoneticPr fontId="1" type="noConversion"/>
  </si>
  <si>
    <t>校服希</t>
    <phoneticPr fontId="1" type="noConversion"/>
  </si>
  <si>
    <t>练习希</t>
    <phoneticPr fontId="1" type="noConversion"/>
  </si>
  <si>
    <t>校服花</t>
    <phoneticPr fontId="1" type="noConversion"/>
  </si>
  <si>
    <t>练习花</t>
    <phoneticPr fontId="1" type="noConversion"/>
  </si>
  <si>
    <t>校服妮</t>
    <phoneticPr fontId="1" type="noConversion"/>
  </si>
  <si>
    <t>练习妮</t>
    <phoneticPr fontId="1" type="noConversion"/>
  </si>
  <si>
    <t>校服千</t>
    <phoneticPr fontId="1" type="noConversion"/>
  </si>
  <si>
    <t>练习千</t>
    <phoneticPr fontId="1" type="noConversion"/>
  </si>
  <si>
    <t>校服梨</t>
    <phoneticPr fontId="1" type="noConversion"/>
  </si>
  <si>
    <t>练习梨</t>
    <phoneticPr fontId="1" type="noConversion"/>
  </si>
  <si>
    <t>校服南</t>
    <phoneticPr fontId="1" type="noConversion"/>
  </si>
  <si>
    <t>练习南</t>
    <phoneticPr fontId="1" type="noConversion"/>
  </si>
  <si>
    <t>校服黛</t>
    <phoneticPr fontId="1" type="noConversion"/>
  </si>
  <si>
    <t>练习黛</t>
    <phoneticPr fontId="1" type="noConversion"/>
  </si>
  <si>
    <t>校服曜</t>
    <phoneticPr fontId="1" type="noConversion"/>
  </si>
  <si>
    <t>练习曜</t>
    <phoneticPr fontId="1" type="noConversion"/>
  </si>
  <si>
    <t>校服善</t>
    <phoneticPr fontId="1" type="noConversion"/>
  </si>
  <si>
    <t>练习善</t>
    <phoneticPr fontId="1" type="noConversion"/>
  </si>
  <si>
    <t>校服丸</t>
    <phoneticPr fontId="1" type="noConversion"/>
  </si>
  <si>
    <t>练习丸</t>
    <phoneticPr fontId="1" type="noConversion"/>
  </si>
  <si>
    <t>校服鞠</t>
    <phoneticPr fontId="1" type="noConversion"/>
  </si>
  <si>
    <t>练习鞠</t>
    <phoneticPr fontId="1" type="noConversion"/>
  </si>
  <si>
    <t>校服露</t>
    <phoneticPr fontId="1" type="noConversion"/>
  </si>
  <si>
    <t>练习露</t>
    <phoneticPr fontId="1" type="noConversion"/>
  </si>
  <si>
    <t>校服步</t>
    <phoneticPr fontId="1" type="noConversion"/>
  </si>
  <si>
    <t>练习步</t>
    <phoneticPr fontId="1" type="noConversion"/>
  </si>
  <si>
    <t>校服霞</t>
    <phoneticPr fontId="1" type="noConversion"/>
  </si>
  <si>
    <t>练习霞</t>
    <phoneticPr fontId="1" type="noConversion"/>
  </si>
  <si>
    <t>校服雫</t>
    <phoneticPr fontId="1" type="noConversion"/>
  </si>
  <si>
    <t>练习雫</t>
    <phoneticPr fontId="1" type="noConversion"/>
  </si>
  <si>
    <t>校服林</t>
    <phoneticPr fontId="1" type="noConversion"/>
  </si>
  <si>
    <t>练习林</t>
    <phoneticPr fontId="1" type="noConversion"/>
  </si>
  <si>
    <t>校服爱</t>
    <phoneticPr fontId="1" type="noConversion"/>
  </si>
  <si>
    <t>练习爱</t>
    <phoneticPr fontId="1" type="noConversion"/>
  </si>
  <si>
    <t>校服彼</t>
    <phoneticPr fontId="1" type="noConversion"/>
  </si>
  <si>
    <t>练习彼</t>
    <phoneticPr fontId="1" type="noConversion"/>
  </si>
  <si>
    <t>校服艾</t>
    <phoneticPr fontId="1" type="noConversion"/>
  </si>
  <si>
    <t>校服菜</t>
    <phoneticPr fontId="1" type="noConversion"/>
  </si>
  <si>
    <t>练习菜</t>
    <phoneticPr fontId="1" type="noConversion"/>
  </si>
  <si>
    <t>练习艾</t>
    <phoneticPr fontId="1" type="noConversion"/>
  </si>
  <si>
    <t>校服璃</t>
    <phoneticPr fontId="1" type="noConversion"/>
  </si>
  <si>
    <t>练习璃</t>
    <phoneticPr fontId="1" type="noConversion"/>
  </si>
  <si>
    <t>常服步</t>
    <phoneticPr fontId="1" type="noConversion"/>
  </si>
  <si>
    <t>常服霞</t>
  </si>
  <si>
    <t>常服雫</t>
  </si>
  <si>
    <t>常服林</t>
  </si>
  <si>
    <t>常服爱</t>
  </si>
  <si>
    <t>常服彼</t>
  </si>
  <si>
    <t>常服菜</t>
  </si>
  <si>
    <t>常服艾</t>
  </si>
  <si>
    <t>常服璃</t>
  </si>
  <si>
    <t>sp</t>
    <phoneticPr fontId="1" type="noConversion"/>
  </si>
  <si>
    <t>UR</t>
    <phoneticPr fontId="1" type="noConversion"/>
  </si>
  <si>
    <t>sp+</t>
    <phoneticPr fontId="1" type="noConversion"/>
  </si>
  <si>
    <t>ap</t>
    <phoneticPr fontId="1" type="noConversion"/>
  </si>
  <si>
    <t>vo</t>
    <phoneticPr fontId="1" type="noConversion"/>
  </si>
  <si>
    <t>千歌</t>
    <phoneticPr fontId="1" type="noConversion"/>
  </si>
  <si>
    <t>vo+</t>
    <phoneticPr fontId="1" type="noConversion"/>
  </si>
  <si>
    <t>添加了新fes卡的数据（卡序号暂时不能确定）</t>
    <phoneticPr fontId="1" type="noConversion"/>
  </si>
  <si>
    <t>修改了卡片面板数据的输入方法，改为输入未觉醒满破数值后自动计算</t>
    <phoneticPr fontId="1" type="noConversion"/>
  </si>
  <si>
    <t>添加了全部R/SR卡的面板数据</t>
    <phoneticPr fontId="1" type="noConversion"/>
  </si>
  <si>
    <t>添加了卡片的配信日期和当期活动，默认隐藏</t>
    <phoneticPr fontId="1" type="noConversion"/>
  </si>
  <si>
    <t>隐藏了卡片的团队，年级和小队数据</t>
    <phoneticPr fontId="1" type="noConversion"/>
  </si>
  <si>
    <t>2.4</t>
    <phoneticPr fontId="1" type="noConversion"/>
  </si>
  <si>
    <t>百分比</t>
    <phoneticPr fontId="1" type="noConversion"/>
  </si>
  <si>
    <t>vo获得</t>
    <phoneticPr fontId="1" type="noConversion"/>
  </si>
  <si>
    <t>固定值</t>
    <phoneticPr fontId="1" type="noConversion"/>
  </si>
  <si>
    <t>sp+</t>
    <phoneticPr fontId="1" type="noConversion"/>
  </si>
  <si>
    <t>ap</t>
    <phoneticPr fontId="1" type="noConversion"/>
  </si>
  <si>
    <t>sp获得</t>
    <phoneticPr fontId="1" type="noConversion"/>
  </si>
  <si>
    <t>ct+</t>
    <phoneticPr fontId="1" type="noConversion"/>
  </si>
  <si>
    <t>ct值+</t>
    <phoneticPr fontId="1" type="noConversion"/>
  </si>
  <si>
    <t>st</t>
    <phoneticPr fontId="1" type="noConversion"/>
  </si>
  <si>
    <t>技能+</t>
    <phoneticPr fontId="1" type="noConversion"/>
  </si>
  <si>
    <t>vo+</t>
    <phoneticPr fontId="1" type="noConversion"/>
  </si>
  <si>
    <t>ap+</t>
    <phoneticPr fontId="1" type="noConversion"/>
  </si>
  <si>
    <t>减伤</t>
    <phoneticPr fontId="1" type="noConversion"/>
  </si>
  <si>
    <t>同type</t>
    <phoneticPr fontId="1" type="noConversion"/>
  </si>
  <si>
    <t>te</t>
    <phoneticPr fontId="1" type="noConversion"/>
  </si>
  <si>
    <t>ap</t>
    <phoneticPr fontId="1" type="noConversion"/>
  </si>
  <si>
    <t>百分比</t>
    <phoneticPr fontId="1" type="noConversion"/>
  </si>
  <si>
    <t>技能+</t>
    <phoneticPr fontId="1" type="noConversion"/>
  </si>
  <si>
    <t>vo+</t>
    <phoneticPr fontId="1" type="noConversion"/>
  </si>
  <si>
    <t>同type</t>
    <phoneticPr fontId="1" type="noConversion"/>
  </si>
  <si>
    <t>st</t>
    <phoneticPr fontId="1" type="noConversion"/>
  </si>
  <si>
    <t>sp+</t>
    <phoneticPr fontId="1" type="noConversion"/>
  </si>
  <si>
    <t>ap+</t>
    <phoneticPr fontId="1" type="noConversion"/>
  </si>
  <si>
    <t>te</t>
    <phoneticPr fontId="1" type="noConversion"/>
  </si>
  <si>
    <t>ct+</t>
    <phoneticPr fontId="1" type="noConversion"/>
  </si>
  <si>
    <t>无</t>
    <phoneticPr fontId="1" type="noConversion"/>
  </si>
  <si>
    <t>大量伤害</t>
    <phoneticPr fontId="1" type="noConversion"/>
  </si>
  <si>
    <t>AC失败</t>
    <phoneticPr fontId="1" type="noConversion"/>
  </si>
  <si>
    <t>infty</t>
    <phoneticPr fontId="1" type="noConversion"/>
  </si>
  <si>
    <t>SR</t>
    <phoneticPr fontId="1" type="noConversion"/>
  </si>
  <si>
    <t>sk</t>
    <phoneticPr fontId="1" type="noConversion"/>
  </si>
  <si>
    <t>sp</t>
    <phoneticPr fontId="1" type="noConversion"/>
  </si>
  <si>
    <t>乐器彼</t>
    <phoneticPr fontId="1" type="noConversion"/>
  </si>
  <si>
    <t>bm露</t>
    <phoneticPr fontId="1" type="noConversion"/>
  </si>
  <si>
    <t>绿</t>
    <phoneticPr fontId="1" type="noConversion"/>
  </si>
  <si>
    <t>黄</t>
    <phoneticPr fontId="1" type="noConversion"/>
  </si>
  <si>
    <t>彼方</t>
    <phoneticPr fontId="1" type="noConversion"/>
  </si>
  <si>
    <t>露比</t>
    <phoneticPr fontId="1" type="noConversion"/>
  </si>
  <si>
    <t>技能+</t>
    <phoneticPr fontId="1" type="noConversion"/>
  </si>
  <si>
    <t>百分比</t>
    <phoneticPr fontId="1" type="noConversion"/>
  </si>
  <si>
    <t>ap</t>
    <phoneticPr fontId="1" type="noConversion"/>
  </si>
  <si>
    <t>ap+</t>
    <phoneticPr fontId="1" type="noConversion"/>
  </si>
  <si>
    <t>自身</t>
    <phoneticPr fontId="1" type="noConversion"/>
  </si>
  <si>
    <t>ct+</t>
    <phoneticPr fontId="1" type="noConversion"/>
  </si>
  <si>
    <t>infty</t>
    <phoneticPr fontId="1" type="noConversion"/>
  </si>
  <si>
    <t>vo+</t>
    <phoneticPr fontId="1" type="noConversion"/>
  </si>
  <si>
    <t>sp+</t>
    <phoneticPr fontId="1" type="noConversion"/>
  </si>
  <si>
    <t>2.5</t>
    <phoneticPr fontId="1" type="noConversion"/>
  </si>
  <si>
    <t>2.6</t>
    <phoneticPr fontId="1" type="noConversion"/>
  </si>
  <si>
    <t>2.7</t>
    <phoneticPr fontId="1" type="noConversion"/>
  </si>
  <si>
    <t>2.8</t>
    <phoneticPr fontId="1" type="noConversion"/>
  </si>
  <si>
    <t>2.9</t>
    <phoneticPr fontId="1" type="noConversion"/>
  </si>
  <si>
    <t>2.10</t>
    <phoneticPr fontId="1" type="noConversion"/>
  </si>
  <si>
    <t>2.11</t>
    <phoneticPr fontId="1" type="noConversion"/>
  </si>
  <si>
    <t>2.12</t>
    <phoneticPr fontId="1" type="noConversion"/>
  </si>
  <si>
    <t>2.13</t>
    <phoneticPr fontId="1" type="noConversion"/>
  </si>
  <si>
    <t>2.14</t>
    <phoneticPr fontId="1" type="noConversion"/>
  </si>
  <si>
    <t>技能+</t>
    <phoneticPr fontId="1" type="noConversion"/>
  </si>
  <si>
    <t>infty</t>
    <phoneticPr fontId="1" type="noConversion"/>
  </si>
  <si>
    <t>团队全属性增加</t>
    <phoneticPr fontId="1" type="noConversion"/>
  </si>
  <si>
    <t>添加了完整的新卡数据</t>
    <phoneticPr fontId="1" type="noConversion"/>
  </si>
  <si>
    <t>添加了全部R/SR卡的主动个性和技能数据</t>
    <phoneticPr fontId="1" type="noConversion"/>
  </si>
  <si>
    <t>添加了团队全属性增加的超参数</t>
    <phoneticPr fontId="1" type="noConversion"/>
  </si>
  <si>
    <t>微调了某些主动个性的描述</t>
    <phoneticPr fontId="1" type="noConversion"/>
  </si>
  <si>
    <t>调整了技能的输入方式</t>
    <phoneticPr fontId="1" type="noConversion"/>
  </si>
  <si>
    <t>修正了一些无关紧要的bug和一些无关紧要的UI</t>
    <phoneticPr fontId="1" type="noConversion"/>
  </si>
  <si>
    <t>调整了版本号的增加方式（虽然没有任何意义）</t>
    <phoneticPr fontId="1" type="noConversion"/>
  </si>
  <si>
    <t>在卡片raw data中添加了5个被隐藏的列</t>
    <phoneticPr fontId="1" type="noConversion"/>
  </si>
  <si>
    <t>2.15</t>
    <phoneticPr fontId="1" type="noConversion"/>
  </si>
  <si>
    <t>在歌曲数据中添加了一些东西）</t>
    <phoneticPr fontId="1" type="noConversion"/>
  </si>
  <si>
    <t>全队同学校卡个数</t>
    <phoneticPr fontId="1" type="noConversion"/>
  </si>
  <si>
    <t>全队同小队卡个数</t>
    <phoneticPr fontId="1" type="noConversion"/>
  </si>
  <si>
    <t>te</t>
    <phoneticPr fontId="1" type="noConversion"/>
  </si>
  <si>
    <t>同学校</t>
    <phoneticPr fontId="1" type="noConversion"/>
  </si>
  <si>
    <t>st</t>
    <phoneticPr fontId="1" type="noConversion"/>
  </si>
  <si>
    <t>ap</t>
    <phoneticPr fontId="1" type="noConversion"/>
  </si>
  <si>
    <t>同type</t>
    <phoneticPr fontId="1" type="noConversion"/>
  </si>
  <si>
    <t>同小队</t>
    <phoneticPr fontId="1" type="noConversion"/>
  </si>
  <si>
    <t>自身</t>
    <phoneticPr fontId="1" type="noConversion"/>
  </si>
  <si>
    <t>ap</t>
    <phoneticPr fontId="1" type="noConversion"/>
  </si>
  <si>
    <t>st</t>
    <phoneticPr fontId="1" type="noConversion"/>
  </si>
  <si>
    <t>自身</t>
    <phoneticPr fontId="1" type="noConversion"/>
  </si>
  <si>
    <t>te</t>
    <phoneticPr fontId="1" type="noConversion"/>
  </si>
  <si>
    <t>同type</t>
    <phoneticPr fontId="1" type="noConversion"/>
  </si>
  <si>
    <t>完成了全部R/SR卡数据的添加</t>
    <phoneticPr fontId="1" type="noConversion"/>
  </si>
  <si>
    <t>将文档标题由“LLAS卡片强度”改为“SIFAS卡片数据和强度”</t>
    <phoneticPr fontId="1" type="noConversion"/>
  </si>
  <si>
    <t>修改了破数输入的规则，现在输入-1破将会显示基础满级面板，没有点技能树的数据</t>
    <phoneticPr fontId="1" type="noConversion"/>
  </si>
  <si>
    <t>3.0</t>
    <phoneticPr fontId="1" type="noConversion"/>
  </si>
  <si>
    <t>修复了后排血强计算的bug</t>
    <phoneticPr fontId="1" type="noConversion"/>
  </si>
  <si>
    <t>修改了一个忘记改回来的超参数</t>
    <phoneticPr fontId="1" type="noConversion"/>
  </si>
  <si>
    <t>3.1</t>
    <phoneticPr fontId="1" type="noConversion"/>
  </si>
  <si>
    <t>回血</t>
    <phoneticPr fontId="1" type="noConversion"/>
  </si>
  <si>
    <t>加盾</t>
    <phoneticPr fontId="1" type="noConversion"/>
  </si>
  <si>
    <t>加盾</t>
    <phoneticPr fontId="1" type="noConversion"/>
  </si>
  <si>
    <t>区分了奶卡和盾卡</t>
    <phoneticPr fontId="1" type="noConversion"/>
  </si>
  <si>
    <t>vo debuff减少</t>
    <phoneticPr fontId="1" type="noConversion"/>
  </si>
  <si>
    <t>sp debuff减少</t>
    <phoneticPr fontId="1" type="noConversion"/>
  </si>
  <si>
    <t>sk debuff减少</t>
    <phoneticPr fontId="1" type="noConversion"/>
  </si>
  <si>
    <t>gd debuff减少</t>
    <phoneticPr fontId="1" type="noConversion"/>
  </si>
  <si>
    <t>3.2</t>
    <phoneticPr fontId="1" type="noConversion"/>
  </si>
  <si>
    <t>修复了绊面板的计算错误</t>
    <phoneticPr fontId="1" type="noConversion"/>
  </si>
  <si>
    <t>UR</t>
    <phoneticPr fontId="1" type="noConversion"/>
  </si>
  <si>
    <t>SR</t>
    <phoneticPr fontId="1" type="noConversion"/>
  </si>
  <si>
    <t>怪盗花</t>
    <phoneticPr fontId="1" type="noConversion"/>
  </si>
  <si>
    <t>二单南</t>
    <phoneticPr fontId="1" type="noConversion"/>
  </si>
  <si>
    <t>怪盗善</t>
    <phoneticPr fontId="1" type="noConversion"/>
  </si>
  <si>
    <t>怪盗彼</t>
    <phoneticPr fontId="1" type="noConversion"/>
  </si>
  <si>
    <t>五单绘</t>
    <phoneticPr fontId="1" type="noConversion"/>
  </si>
  <si>
    <t>二专步</t>
    <phoneticPr fontId="1" type="noConversion"/>
  </si>
  <si>
    <t>sp</t>
    <phoneticPr fontId="1" type="noConversion"/>
  </si>
  <si>
    <t>sk</t>
    <phoneticPr fontId="1" type="noConversion"/>
  </si>
  <si>
    <t>gd</t>
    <phoneticPr fontId="1" type="noConversion"/>
  </si>
  <si>
    <t>vo</t>
    <phoneticPr fontId="1" type="noConversion"/>
  </si>
  <si>
    <t>粉</t>
    <phoneticPr fontId="1" type="noConversion"/>
  </si>
  <si>
    <t>紫</t>
    <phoneticPr fontId="1" type="noConversion"/>
  </si>
  <si>
    <t>蓝</t>
    <phoneticPr fontId="1" type="noConversion"/>
  </si>
  <si>
    <t>红</t>
    <phoneticPr fontId="1" type="noConversion"/>
  </si>
  <si>
    <t>果南</t>
    <phoneticPr fontId="1" type="noConversion"/>
  </si>
  <si>
    <t>善子</t>
    <phoneticPr fontId="1" type="noConversion"/>
  </si>
  <si>
    <t>彼方</t>
    <phoneticPr fontId="1" type="noConversion"/>
  </si>
  <si>
    <t>te</t>
    <phoneticPr fontId="1" type="noConversion"/>
  </si>
  <si>
    <t>自身</t>
    <phoneticPr fontId="1" type="noConversion"/>
  </si>
  <si>
    <t>st</t>
    <phoneticPr fontId="1" type="noConversion"/>
  </si>
  <si>
    <t>ap</t>
    <phoneticPr fontId="1" type="noConversion"/>
  </si>
  <si>
    <t>sp+</t>
    <phoneticPr fontId="1" type="noConversion"/>
  </si>
  <si>
    <t>infty</t>
    <phoneticPr fontId="1" type="noConversion"/>
  </si>
  <si>
    <t>ct+</t>
    <phoneticPr fontId="1" type="noConversion"/>
  </si>
  <si>
    <t>百分比</t>
    <phoneticPr fontId="1" type="noConversion"/>
  </si>
  <si>
    <t>ap+</t>
    <phoneticPr fontId="1" type="noConversion"/>
  </si>
  <si>
    <t>3.3</t>
    <phoneticPr fontId="1" type="noConversion"/>
  </si>
  <si>
    <t>添加了本次活动的新卡</t>
    <phoneticPr fontId="1" type="noConversion"/>
  </si>
  <si>
    <t>ac成功时间占比</t>
    <phoneticPr fontId="1" type="noConversion"/>
  </si>
  <si>
    <t>血量占耐久的比例</t>
    <phoneticPr fontId="1" type="noConversion"/>
  </si>
  <si>
    <t>调整了血强的计算，加入了血量占耐久的比例的超参数</t>
    <phoneticPr fontId="1" type="noConversion"/>
  </si>
  <si>
    <t>添加了卡片的前排和后排耐久/键的数据</t>
    <phoneticPr fontId="1" type="noConversion"/>
  </si>
  <si>
    <t>切队流sk效果量/键</t>
  </si>
  <si>
    <t>SBL切队流相关</t>
    <phoneticPr fontId="1" type="noConversion"/>
  </si>
  <si>
    <t>总键数</t>
    <phoneticPr fontId="1" type="noConversion"/>
  </si>
  <si>
    <t>等效同属性卡个数</t>
    <phoneticPr fontId="1" type="noConversion"/>
  </si>
  <si>
    <t>sp容量</t>
    <phoneticPr fontId="1" type="noConversion"/>
  </si>
  <si>
    <t>单键sp获取量，不计type加成</t>
    <phoneticPr fontId="1" type="noConversion"/>
  </si>
  <si>
    <t>单键sp获取量，包括type加成</t>
    <phoneticPr fontId="1" type="noConversion"/>
  </si>
  <si>
    <t>sp次数</t>
    <phoneticPr fontId="1" type="noConversion"/>
  </si>
  <si>
    <t>sp键数</t>
    <phoneticPr fontId="1" type="noConversion"/>
  </si>
  <si>
    <t>平均基础技能发动率</t>
    <phoneticPr fontId="1" type="noConversion"/>
  </si>
  <si>
    <t>等效同年级卡个数</t>
    <phoneticPr fontId="1" type="noConversion"/>
  </si>
  <si>
    <t>单键技能获取sp</t>
    <phoneticPr fontId="1" type="noConversion"/>
  </si>
  <si>
    <t>3.4</t>
    <phoneticPr fontId="1" type="noConversion"/>
  </si>
  <si>
    <t>添加了SBL切队流下的卡片sp和sk能力</t>
    <phoneticPr fontId="1" type="noConversion"/>
  </si>
  <si>
    <t>非sk队各type卡个数</t>
    <phoneticPr fontId="1" type="noConversion"/>
  </si>
  <si>
    <t>sk队平均实际技能发动率</t>
    <phoneticPr fontId="1" type="noConversion"/>
  </si>
  <si>
    <t>非sk队平均实际技能发动率</t>
    <phoneticPr fontId="1" type="noConversion"/>
  </si>
  <si>
    <t>切队比例</t>
    <phoneticPr fontId="1" type="noConversion"/>
  </si>
  <si>
    <t>sk队每张卡appeal比例</t>
    <phoneticPr fontId="1" type="noConversion"/>
  </si>
  <si>
    <t>非sk队每张卡appeal比例</t>
    <phoneticPr fontId="1" type="noConversion"/>
  </si>
  <si>
    <t>技能发动率提升比例，不计type加成</t>
    <phoneticPr fontId="1" type="noConversion"/>
  </si>
  <si>
    <t>切队带来的技能发动率/键增加</t>
    <phoneticPr fontId="1" type="noConversion"/>
  </si>
  <si>
    <t>平均sp type加成</t>
    <phoneticPr fontId="1" type="noConversion"/>
  </si>
  <si>
    <t>平均sk type加成</t>
    <phoneticPr fontId="1" type="noConversion"/>
  </si>
  <si>
    <t>切队带来的sp获得/键增加</t>
    <phoneticPr fontId="1" type="noConversion"/>
  </si>
  <si>
    <t>3.5</t>
    <phoneticPr fontId="1" type="noConversion"/>
  </si>
  <si>
    <t>修正了sk能力里面type加成的计算</t>
    <phoneticPr fontId="1" type="noConversion"/>
  </si>
  <si>
    <t>角色ID</t>
    <phoneticPr fontId="1" type="noConversion"/>
  </si>
  <si>
    <t>3.6</t>
    <phoneticPr fontId="1" type="noConversion"/>
  </si>
  <si>
    <t>添加了卡片在数据库中的9位ID和人物的ID的两列，默认隐藏</t>
    <phoneticPr fontId="1" type="noConversion"/>
  </si>
  <si>
    <t>技能1强度</t>
    <phoneticPr fontId="1" type="noConversion"/>
  </si>
  <si>
    <t>特技1效果量</t>
    <phoneticPr fontId="1" type="noConversion"/>
  </si>
  <si>
    <t>无</t>
    <phoneticPr fontId="1" type="noConversion"/>
  </si>
  <si>
    <t>特技2效果量</t>
    <phoneticPr fontId="1" type="noConversion"/>
  </si>
  <si>
    <t>1级</t>
    <phoneticPr fontId="1" type="noConversion"/>
  </si>
  <si>
    <t>2级</t>
    <phoneticPr fontId="1" type="noConversion"/>
  </si>
  <si>
    <t>3级</t>
    <phoneticPr fontId="1" type="noConversion"/>
  </si>
  <si>
    <t>4级</t>
    <phoneticPr fontId="1" type="noConversion"/>
  </si>
  <si>
    <t>5级</t>
    <phoneticPr fontId="1" type="noConversion"/>
  </si>
  <si>
    <t>技能2强度</t>
    <phoneticPr fontId="1" type="noConversion"/>
  </si>
  <si>
    <t>UR</t>
    <phoneticPr fontId="1" type="noConversion"/>
  </si>
  <si>
    <t>sp</t>
    <phoneticPr fontId="1" type="noConversion"/>
  </si>
  <si>
    <t>提琴姬</t>
    <phoneticPr fontId="1" type="noConversion"/>
  </si>
  <si>
    <t>二专菜</t>
    <phoneticPr fontId="1" type="noConversion"/>
  </si>
  <si>
    <t>SR</t>
    <phoneticPr fontId="1" type="noConversion"/>
  </si>
  <si>
    <t>sk</t>
    <phoneticPr fontId="1" type="noConversion"/>
  </si>
  <si>
    <t>雪菜</t>
    <phoneticPr fontId="1" type="noConversion"/>
  </si>
  <si>
    <t>te</t>
    <phoneticPr fontId="1" type="noConversion"/>
  </si>
  <si>
    <t>自身</t>
    <phoneticPr fontId="1" type="noConversion"/>
  </si>
  <si>
    <t>st</t>
    <phoneticPr fontId="1" type="noConversion"/>
  </si>
  <si>
    <t>ap+</t>
    <phoneticPr fontId="1" type="noConversion"/>
  </si>
  <si>
    <t>ct+</t>
    <phoneticPr fontId="1" type="noConversion"/>
  </si>
  <si>
    <t>百分比</t>
    <phoneticPr fontId="1" type="noConversion"/>
  </si>
  <si>
    <t>添加了特技2的输入，以适应新卡的特技</t>
    <phoneticPr fontId="1" type="noConversion"/>
  </si>
  <si>
    <t>添加了提琴姬和二专菜的数据</t>
    <phoneticPr fontId="1" type="noConversion"/>
  </si>
  <si>
    <t>将卡片强度和卡片raw data的默认放缩调整为75%</t>
    <phoneticPr fontId="1" type="noConversion"/>
  </si>
  <si>
    <t>3.7</t>
    <phoneticPr fontId="1" type="noConversion"/>
  </si>
  <si>
    <t>璃奈</t>
    <phoneticPr fontId="1" type="noConversion"/>
  </si>
  <si>
    <t>海未</t>
    <phoneticPr fontId="1" type="noConversion"/>
  </si>
  <si>
    <t>露比</t>
    <phoneticPr fontId="1" type="noConversion"/>
  </si>
  <si>
    <t>梨子</t>
    <phoneticPr fontId="1" type="noConversion"/>
  </si>
  <si>
    <t>霞</t>
    <phoneticPr fontId="1" type="noConversion"/>
  </si>
  <si>
    <t>UR</t>
    <phoneticPr fontId="1" type="noConversion"/>
  </si>
  <si>
    <t>SR</t>
    <phoneticPr fontId="1" type="noConversion"/>
  </si>
  <si>
    <t>鬼屋璃</t>
    <phoneticPr fontId="1" type="noConversion"/>
  </si>
  <si>
    <t>鬼屋海</t>
    <phoneticPr fontId="1" type="noConversion"/>
  </si>
  <si>
    <t>五单鸟</t>
    <phoneticPr fontId="1" type="noConversion"/>
  </si>
  <si>
    <t>粉</t>
    <phoneticPr fontId="1" type="noConversion"/>
  </si>
  <si>
    <t>vo</t>
    <phoneticPr fontId="1" type="noConversion"/>
  </si>
  <si>
    <t>te</t>
    <phoneticPr fontId="1" type="noConversion"/>
  </si>
  <si>
    <t>ap+</t>
    <phoneticPr fontId="1" type="noConversion"/>
  </si>
  <si>
    <t>ap</t>
    <phoneticPr fontId="1" type="noConversion"/>
  </si>
  <si>
    <t>gd</t>
    <phoneticPr fontId="1" type="noConversion"/>
  </si>
  <si>
    <t>紫</t>
    <phoneticPr fontId="1" type="noConversion"/>
  </si>
  <si>
    <t>st</t>
    <phoneticPr fontId="1" type="noConversion"/>
  </si>
  <si>
    <t>加盾</t>
    <phoneticPr fontId="1" type="noConversion"/>
  </si>
  <si>
    <t>回血</t>
    <phoneticPr fontId="1" type="noConversion"/>
  </si>
  <si>
    <t>自身</t>
    <phoneticPr fontId="1" type="noConversion"/>
  </si>
  <si>
    <t>鬼屋露</t>
    <phoneticPr fontId="1" type="noConversion"/>
  </si>
  <si>
    <t>sk</t>
    <phoneticPr fontId="1" type="noConversion"/>
  </si>
  <si>
    <t>二单梨</t>
    <phoneticPr fontId="1" type="noConversion"/>
  </si>
  <si>
    <t>sp</t>
    <phoneticPr fontId="1" type="noConversion"/>
  </si>
  <si>
    <t>同type</t>
    <phoneticPr fontId="1" type="noConversion"/>
  </si>
  <si>
    <t>ct+</t>
    <phoneticPr fontId="1" type="noConversion"/>
  </si>
  <si>
    <t>二专霞</t>
    <phoneticPr fontId="1" type="noConversion"/>
  </si>
  <si>
    <t>低血量</t>
    <phoneticPr fontId="1" type="noConversion"/>
  </si>
  <si>
    <t>添加了第20次活动的活动卡</t>
    <phoneticPr fontId="1" type="noConversion"/>
  </si>
  <si>
    <t>添加了新的主动个性触发条件“低血量”，输出按0计算</t>
    <phoneticPr fontId="1" type="noConversion"/>
  </si>
  <si>
    <t>因wiki上线，删除了天坑）</t>
    <phoneticPr fontId="1" type="noConversion"/>
  </si>
  <si>
    <t>3.8</t>
    <phoneticPr fontId="1" type="noConversion"/>
  </si>
  <si>
    <t>gd</t>
    <phoneticPr fontId="1" type="noConversion"/>
  </si>
  <si>
    <t>sk</t>
    <phoneticPr fontId="1" type="noConversion"/>
  </si>
  <si>
    <t>ap+</t>
    <phoneticPr fontId="1" type="noConversion"/>
  </si>
  <si>
    <t>vo+</t>
    <phoneticPr fontId="1" type="noConversion"/>
  </si>
  <si>
    <t>ct+</t>
    <phoneticPr fontId="1" type="noConversion"/>
  </si>
  <si>
    <t>二单曜</t>
    <phoneticPr fontId="1" type="noConversion"/>
  </si>
  <si>
    <t>SR</t>
    <phoneticPr fontId="1" type="noConversion"/>
  </si>
  <si>
    <t>vo</t>
    <phoneticPr fontId="1" type="noConversion"/>
  </si>
  <si>
    <t>五单妮</t>
    <phoneticPr fontId="1" type="noConversion"/>
  </si>
  <si>
    <t>sp</t>
    <phoneticPr fontId="1" type="noConversion"/>
  </si>
  <si>
    <t>紫</t>
    <phoneticPr fontId="1" type="noConversion"/>
  </si>
  <si>
    <t>vo+</t>
    <phoneticPr fontId="1" type="noConversion"/>
  </si>
  <si>
    <t>同type</t>
    <phoneticPr fontId="1" type="noConversion"/>
  </si>
  <si>
    <t>sp+</t>
    <phoneticPr fontId="1" type="noConversion"/>
  </si>
  <si>
    <t>3.9</t>
    <phoneticPr fontId="1" type="noConversion"/>
  </si>
  <si>
    <t>添加了新卡数据</t>
    <phoneticPr fontId="1" type="noConversion"/>
  </si>
  <si>
    <t>栞子</t>
    <phoneticPr fontId="1" type="noConversion"/>
  </si>
  <si>
    <t>UR</t>
    <phoneticPr fontId="1" type="noConversion"/>
  </si>
  <si>
    <t>sk</t>
    <phoneticPr fontId="1" type="noConversion"/>
  </si>
  <si>
    <t>运动鞠</t>
    <phoneticPr fontId="1" type="noConversion"/>
  </si>
  <si>
    <t>鞠莉</t>
    <phoneticPr fontId="1" type="noConversion"/>
  </si>
  <si>
    <t>ap</t>
    <phoneticPr fontId="1" type="noConversion"/>
  </si>
  <si>
    <t>AC成功</t>
    <phoneticPr fontId="1" type="noConversion"/>
  </si>
  <si>
    <t>ct+</t>
    <phoneticPr fontId="1" type="noConversion"/>
  </si>
  <si>
    <t>vo+</t>
    <phoneticPr fontId="1" type="noConversion"/>
  </si>
  <si>
    <t>运动绘</t>
    <phoneticPr fontId="1" type="noConversion"/>
  </si>
  <si>
    <t>vo</t>
    <phoneticPr fontId="1" type="noConversion"/>
  </si>
  <si>
    <t>ap+</t>
    <phoneticPr fontId="1" type="noConversion"/>
  </si>
  <si>
    <t>运动菜</t>
    <phoneticPr fontId="1" type="noConversion"/>
  </si>
  <si>
    <t>sp</t>
    <phoneticPr fontId="1" type="noConversion"/>
  </si>
  <si>
    <t>雪菜</t>
    <phoneticPr fontId="1" type="noConversion"/>
  </si>
  <si>
    <t>te</t>
    <phoneticPr fontId="1" type="noConversion"/>
  </si>
  <si>
    <t>sp+</t>
    <phoneticPr fontId="1" type="noConversion"/>
  </si>
  <si>
    <t>百分比</t>
    <phoneticPr fontId="1" type="noConversion"/>
  </si>
  <si>
    <t>R</t>
    <phoneticPr fontId="1" type="noConversion"/>
  </si>
  <si>
    <t>SR</t>
    <phoneticPr fontId="1" type="noConversion"/>
  </si>
  <si>
    <t>校服栞</t>
    <phoneticPr fontId="1" type="noConversion"/>
  </si>
  <si>
    <t>练习栞</t>
    <phoneticPr fontId="1" type="noConversion"/>
  </si>
  <si>
    <t>vo</t>
    <phoneticPr fontId="1" type="noConversion"/>
  </si>
  <si>
    <t>sp</t>
    <phoneticPr fontId="1" type="noConversion"/>
  </si>
  <si>
    <t>sk</t>
    <phoneticPr fontId="1" type="noConversion"/>
  </si>
  <si>
    <t>粉</t>
    <phoneticPr fontId="1" type="noConversion"/>
  </si>
  <si>
    <t>ap</t>
    <phoneticPr fontId="1" type="noConversion"/>
  </si>
  <si>
    <t>vo+</t>
    <phoneticPr fontId="1" type="noConversion"/>
  </si>
  <si>
    <t>te</t>
    <phoneticPr fontId="1" type="noConversion"/>
  </si>
  <si>
    <t>ct+</t>
    <phoneticPr fontId="1" type="noConversion"/>
  </si>
  <si>
    <t>百分比</t>
    <phoneticPr fontId="1" type="noConversion"/>
  </si>
  <si>
    <t>二专璃</t>
    <phoneticPr fontId="1" type="noConversion"/>
  </si>
  <si>
    <t>gd</t>
    <phoneticPr fontId="1" type="noConversion"/>
  </si>
  <si>
    <t>璃奈</t>
    <phoneticPr fontId="1" type="noConversion"/>
  </si>
  <si>
    <t>st</t>
    <phoneticPr fontId="1" type="noConversion"/>
  </si>
  <si>
    <t>五单凛</t>
    <phoneticPr fontId="1" type="noConversion"/>
  </si>
  <si>
    <t>二单丸</t>
    <phoneticPr fontId="1" type="noConversion"/>
  </si>
  <si>
    <t>花丸</t>
    <phoneticPr fontId="1" type="noConversion"/>
  </si>
  <si>
    <t>自身</t>
    <phoneticPr fontId="1" type="noConversion"/>
  </si>
  <si>
    <t>加盾</t>
    <phoneticPr fontId="1" type="noConversion"/>
  </si>
  <si>
    <t>sp+</t>
    <phoneticPr fontId="1" type="noConversion"/>
  </si>
  <si>
    <t>ap+</t>
    <phoneticPr fontId="1" type="noConversion"/>
  </si>
  <si>
    <t>3.10</t>
    <phoneticPr fontId="1" type="noConversion"/>
  </si>
  <si>
    <t>增加了对三船栞子的适配</t>
    <phoneticPr fontId="1" type="noConversion"/>
  </si>
  <si>
    <t>添加了新卡数据</t>
    <phoneticPr fontId="1" type="noConversion"/>
  </si>
  <si>
    <t>将默认sp槽的大小调整为7200</t>
    <phoneticPr fontId="1" type="noConversion"/>
  </si>
  <si>
    <t>个性效果量1</t>
    <phoneticPr fontId="1" type="noConversion"/>
  </si>
  <si>
    <t>个性效果量2</t>
    <phoneticPr fontId="1" type="noConversion"/>
  </si>
  <si>
    <t>被动个性1强度</t>
    <phoneticPr fontId="1" type="noConversion"/>
  </si>
  <si>
    <t>被动个性2强度</t>
    <phoneticPr fontId="1" type="noConversion"/>
  </si>
  <si>
    <t>主动个性1强度</t>
    <phoneticPr fontId="1" type="noConversion"/>
  </si>
  <si>
    <t>主动个性2强度</t>
    <phoneticPr fontId="1" type="noConversion"/>
  </si>
  <si>
    <t>3.11</t>
    <phoneticPr fontId="1" type="noConversion"/>
  </si>
  <si>
    <t>添加了被动个性2和主动个性2的输入，以适应新卡的个性</t>
    <phoneticPr fontId="1" type="noConversion"/>
  </si>
  <si>
    <t>sp</t>
    <phoneticPr fontId="1" type="noConversion"/>
  </si>
  <si>
    <t>vo</t>
    <phoneticPr fontId="1" type="noConversion"/>
  </si>
  <si>
    <t>二单千</t>
    <phoneticPr fontId="1" type="noConversion"/>
  </si>
  <si>
    <t>泳池步</t>
    <phoneticPr fontId="1" type="noConversion"/>
  </si>
  <si>
    <t>千歌</t>
    <phoneticPr fontId="1" type="noConversion"/>
  </si>
  <si>
    <t>紫</t>
    <phoneticPr fontId="1" type="noConversion"/>
  </si>
  <si>
    <t>ap</t>
    <phoneticPr fontId="1" type="noConversion"/>
  </si>
  <si>
    <t>st</t>
    <phoneticPr fontId="1" type="noConversion"/>
  </si>
  <si>
    <t>ap+</t>
    <phoneticPr fontId="1" type="noConversion"/>
  </si>
  <si>
    <t>sp+</t>
    <phoneticPr fontId="1" type="noConversion"/>
  </si>
  <si>
    <t>鬼屋海</t>
  </si>
  <si>
    <t>学渣霞</t>
  </si>
  <si>
    <t>梅雨希</t>
  </si>
  <si>
    <t>一专步</t>
  </si>
  <si>
    <t>五单鸟</t>
  </si>
  <si>
    <t>啦啦黛</t>
  </si>
  <si>
    <t>彩虹彼</t>
  </si>
  <si>
    <t>乐器菜</t>
  </si>
  <si>
    <t>op2凛</t>
  </si>
  <si>
    <t>二专璃</t>
  </si>
  <si>
    <t>op2海</t>
  </si>
  <si>
    <t>op2鸟</t>
  </si>
  <si>
    <t>bm善</t>
  </si>
  <si>
    <t>一单千</t>
  </si>
  <si>
    <t>乐器爱</t>
  </si>
  <si>
    <t>彩虹雫</t>
  </si>
  <si>
    <t>一单希</t>
  </si>
  <si>
    <t>一单梨</t>
  </si>
  <si>
    <t>乐器霞</t>
  </si>
  <si>
    <t>一单南</t>
  </si>
  <si>
    <t>一单姬</t>
  </si>
  <si>
    <t>一单鞠</t>
  </si>
  <si>
    <t>动物步</t>
  </si>
  <si>
    <t>op1露</t>
  </si>
  <si>
    <t>UR</t>
  </si>
  <si>
    <t>SR</t>
  </si>
  <si>
    <t>3.12</t>
    <phoneticPr fontId="1" type="noConversion"/>
  </si>
  <si>
    <t>修正了op1露比的数据错误</t>
    <phoneticPr fontId="1" type="noConversion"/>
  </si>
  <si>
    <t>卡名</t>
    <phoneticPr fontId="1" type="noConversion"/>
  </si>
  <si>
    <t>属性</t>
    <phoneticPr fontId="1" type="noConversion"/>
  </si>
  <si>
    <t>5破</t>
    <phoneticPr fontId="1" type="noConversion"/>
  </si>
  <si>
    <t>4破</t>
    <phoneticPr fontId="1" type="noConversion"/>
  </si>
  <si>
    <t>3破</t>
  </si>
  <si>
    <t>2破</t>
  </si>
  <si>
    <t>1破</t>
  </si>
  <si>
    <t>0破</t>
  </si>
  <si>
    <t>vo</t>
    <phoneticPr fontId="1" type="noConversion"/>
  </si>
  <si>
    <t>sp</t>
    <phoneticPr fontId="1" type="noConversion"/>
  </si>
  <si>
    <t>gd</t>
    <phoneticPr fontId="1" type="noConversion"/>
  </si>
  <si>
    <t>玩具曜</t>
    <phoneticPr fontId="1" type="noConversion"/>
  </si>
  <si>
    <t>二专林</t>
    <phoneticPr fontId="1" type="noConversion"/>
  </si>
  <si>
    <t>玩具妮</t>
    <phoneticPr fontId="1" type="noConversion"/>
  </si>
  <si>
    <t>玩具爱</t>
    <phoneticPr fontId="1" type="noConversion"/>
  </si>
  <si>
    <t>二单黛</t>
    <phoneticPr fontId="1" type="noConversion"/>
  </si>
  <si>
    <t>五单花</t>
  </si>
  <si>
    <t>五单花</t>
    <phoneticPr fontId="1" type="noConversion"/>
  </si>
  <si>
    <t>曜</t>
    <phoneticPr fontId="1" type="noConversion"/>
  </si>
  <si>
    <t>果林</t>
    <phoneticPr fontId="1" type="noConversion"/>
  </si>
  <si>
    <t>妮可</t>
    <phoneticPr fontId="1" type="noConversion"/>
  </si>
  <si>
    <t>爱</t>
    <phoneticPr fontId="1" type="noConversion"/>
  </si>
  <si>
    <t>黛雅</t>
    <phoneticPr fontId="1" type="noConversion"/>
  </si>
  <si>
    <t>花阳</t>
    <phoneticPr fontId="1" type="noConversion"/>
  </si>
  <si>
    <t>红</t>
    <phoneticPr fontId="1" type="noConversion"/>
  </si>
  <si>
    <t>蓝</t>
    <phoneticPr fontId="1" type="noConversion"/>
  </si>
  <si>
    <t>绿</t>
    <phoneticPr fontId="1" type="noConversion"/>
  </si>
  <si>
    <t>全员</t>
    <phoneticPr fontId="1" type="noConversion"/>
  </si>
  <si>
    <t>百分比</t>
    <phoneticPr fontId="1" type="noConversion"/>
  </si>
  <si>
    <t>核弹</t>
    <phoneticPr fontId="1" type="noConversion"/>
  </si>
  <si>
    <t>te</t>
    <phoneticPr fontId="1" type="noConversion"/>
  </si>
  <si>
    <t>st</t>
    <phoneticPr fontId="1" type="noConversion"/>
  </si>
  <si>
    <t>减伤</t>
    <phoneticPr fontId="1" type="noConversion"/>
  </si>
  <si>
    <t>ap</t>
    <phoneticPr fontId="1" type="noConversion"/>
  </si>
  <si>
    <t>自身</t>
    <phoneticPr fontId="1" type="noConversion"/>
  </si>
  <si>
    <t>AC成功</t>
    <phoneticPr fontId="1" type="noConversion"/>
  </si>
  <si>
    <t>回血</t>
    <phoneticPr fontId="1" type="noConversion"/>
  </si>
  <si>
    <t>添加了奶盾耐久快速查询表</t>
    <phoneticPr fontId="1" type="noConversion"/>
  </si>
  <si>
    <t>获得途径</t>
    <phoneticPr fontId="1" type="noConversion"/>
  </si>
  <si>
    <t>键数</t>
    <phoneticPr fontId="1" type="noConversion"/>
  </si>
  <si>
    <t>单键伤害</t>
    <phoneticPr fontId="1" type="noConversion"/>
  </si>
  <si>
    <t>AC占比</t>
    <phoneticPr fontId="1" type="noConversion"/>
  </si>
  <si>
    <t>AC分数</t>
    <phoneticPr fontId="1" type="noConversion"/>
  </si>
  <si>
    <t>S分数线</t>
    <phoneticPr fontId="1" type="noConversion"/>
  </si>
  <si>
    <t>推荐血量</t>
    <phoneticPr fontId="1" type="noConversion"/>
  </si>
  <si>
    <t>特效伤害</t>
    <phoneticPr fontId="1" type="noConversion"/>
  </si>
  <si>
    <t>总自然伤害</t>
    <phoneticPr fontId="1" type="noConversion"/>
  </si>
  <si>
    <t>三专栞</t>
    <phoneticPr fontId="1" type="noConversion"/>
  </si>
  <si>
    <t>3.13</t>
    <phoneticPr fontId="1" type="noConversion"/>
  </si>
  <si>
    <t>修正了魔法希的数据错误</t>
    <phoneticPr fontId="1" type="noConversion"/>
  </si>
  <si>
    <t>在卡片raw data中加入了卡片的获取途径</t>
    <phoneticPr fontId="1" type="noConversion"/>
  </si>
  <si>
    <t>因为魔法希这个异端的存在，修改了卡片强度中卡片数值（AF至AH列）的计算</t>
    <phoneticPr fontId="1" type="noConversion"/>
  </si>
  <si>
    <t>重新加入了歌曲数据的表格，目前仍在制作中</t>
    <phoneticPr fontId="1" type="noConversion"/>
  </si>
  <si>
    <t>（好像还改了什么但是不记得了）</t>
    <phoneticPr fontId="1" type="noConversion"/>
  </si>
  <si>
    <t>将一专栞的名字改为三专栞</t>
    <phoneticPr fontId="1" type="noConversion"/>
  </si>
  <si>
    <t>将卡片强度和卡片raw data的默认放缩调整为80%</t>
    <phoneticPr fontId="1" type="noConversion"/>
  </si>
  <si>
    <t>添加了新的主动个性触发条件”AC时最多1次“，”切队最多1次“和”切队最多2次“</t>
    <phoneticPr fontId="1" type="noConversion"/>
  </si>
  <si>
    <t>ap</t>
    <phoneticPr fontId="1" type="noConversion"/>
  </si>
  <si>
    <t>同作战</t>
    <phoneticPr fontId="1" type="noConversion"/>
  </si>
  <si>
    <t>vo获得</t>
    <phoneticPr fontId="1" type="noConversion"/>
  </si>
  <si>
    <t>五单希</t>
  </si>
  <si>
    <t>二专艾</t>
  </si>
  <si>
    <t>fes卡</t>
    <phoneticPr fontId="1" type="noConversion"/>
  </si>
  <si>
    <t>infty</t>
    <phoneticPr fontId="1" type="noConversion"/>
  </si>
  <si>
    <t>百分比</t>
  </si>
  <si>
    <t>回血</t>
  </si>
  <si>
    <t>添加了新卡数据</t>
    <phoneticPr fontId="1" type="noConversion"/>
  </si>
  <si>
    <t>3.14</t>
    <phoneticPr fontId="1" type="noConversion"/>
  </si>
  <si>
    <t>调整了部分列的宽度</t>
    <phoneticPr fontId="1" type="noConversion"/>
  </si>
  <si>
    <t>infty</t>
    <phoneticPr fontId="1" type="noConversion"/>
  </si>
  <si>
    <t>歌曲名称</t>
    <phoneticPr fontId="1" type="noConversion"/>
  </si>
  <si>
    <t>Live属性</t>
    <phoneticPr fontId="1" type="noConversion"/>
  </si>
  <si>
    <t>Live难度</t>
    <phoneticPr fontId="1" type="noConversion"/>
  </si>
  <si>
    <t>修正了部分卡个性2的错误</t>
    <phoneticPr fontId="1" type="noConversion"/>
  </si>
  <si>
    <t>调整了歌曲数据的表格样式</t>
    <phoneticPr fontId="1" type="noConversion"/>
  </si>
  <si>
    <t>修复了ap基vo获得没有乘同属性加成的bug</t>
    <phoneticPr fontId="1" type="noConversion"/>
  </si>
  <si>
    <t>AC失败扣血</t>
    <phoneticPr fontId="1" type="noConversion"/>
  </si>
  <si>
    <t>それは僕たちの奇跡</t>
    <phoneticPr fontId="1" type="noConversion"/>
  </si>
  <si>
    <t>上级+</t>
    <phoneticPr fontId="1" type="noConversion"/>
  </si>
  <si>
    <t>56/244</t>
    <phoneticPr fontId="1" type="noConversion"/>
  </si>
  <si>
    <t>A song for You! You? You!!</t>
  </si>
  <si>
    <t>A song for You! You? You!!</t>
    <phoneticPr fontId="1" type="noConversion"/>
  </si>
  <si>
    <t>86/188</t>
    <phoneticPr fontId="1" type="noConversion"/>
  </si>
  <si>
    <t>Amazing Travel DNA</t>
  </si>
  <si>
    <t>Amazing Travel DNA</t>
    <phoneticPr fontId="1" type="noConversion"/>
  </si>
  <si>
    <t>紫</t>
    <phoneticPr fontId="1" type="noConversion"/>
  </si>
  <si>
    <t>90/163</t>
    <phoneticPr fontId="1" type="noConversion"/>
  </si>
  <si>
    <t>Snow halation</t>
  </si>
  <si>
    <t>Snow halation</t>
    <phoneticPr fontId="1" type="noConversion"/>
  </si>
  <si>
    <t>未来の僕らは知ってるよ</t>
  </si>
  <si>
    <t>未来の僕らは知ってるよ</t>
    <phoneticPr fontId="1" type="noConversion"/>
  </si>
  <si>
    <t>-(Gd*9000)</t>
    <phoneticPr fontId="1" type="noConversion"/>
  </si>
  <si>
    <t>HAPPY PARTY TRAIN</t>
  </si>
  <si>
    <t>HAPPY PARTY TRAIN</t>
    <phoneticPr fontId="1" type="noConversion"/>
  </si>
  <si>
    <t>Braveheart Coaster</t>
    <phoneticPr fontId="1" type="noConversion"/>
  </si>
  <si>
    <t>New Romantic Sailors</t>
    <phoneticPr fontId="1" type="noConversion"/>
  </si>
  <si>
    <t>TOKIMEKI Runners</t>
  </si>
  <si>
    <t>TOKIMEKI Runners</t>
    <phoneticPr fontId="1" type="noConversion"/>
  </si>
  <si>
    <t>129/261</t>
    <phoneticPr fontId="1" type="noConversion"/>
  </si>
  <si>
    <t>黄</t>
    <phoneticPr fontId="1" type="noConversion"/>
  </si>
  <si>
    <t>無敵級*ビリーバー</t>
  </si>
  <si>
    <t>上级</t>
    <phoneticPr fontId="1" type="noConversion"/>
  </si>
  <si>
    <t>-60000-(Sk*24000)</t>
    <phoneticPr fontId="1" type="noConversion"/>
  </si>
  <si>
    <t>78/165</t>
    <phoneticPr fontId="1" type="noConversion"/>
  </si>
  <si>
    <t>JIMO-AI Dash!</t>
  </si>
  <si>
    <t>97/195</t>
    <phoneticPr fontId="1" type="noConversion"/>
  </si>
  <si>
    <t>START:DASH!!</t>
  </si>
  <si>
    <t>嵐のなかの恋だから</t>
  </si>
  <si>
    <t>僕らは今のなかで</t>
  </si>
  <si>
    <t>Music S.T.A.R.T!!</t>
  </si>
  <si>
    <t>僕らのLIVE 君とのLIFE</t>
  </si>
  <si>
    <t>夏色えがおで1,2,Jump!</t>
  </si>
  <si>
    <t>HEART to HEART!</t>
  </si>
  <si>
    <t>ユメノトビラ</t>
  </si>
  <si>
    <t>Wonder zone</t>
  </si>
  <si>
    <t>Wonderful Rush</t>
  </si>
  <si>
    <t>No brand girls</t>
  </si>
  <si>
    <t>PSYCHIC FIRE</t>
  </si>
  <si>
    <t>春情ロマンティック</t>
  </si>
  <si>
    <t>NO EXIT ORION</t>
  </si>
  <si>
    <t>君のこころは輝いてるかい？</t>
  </si>
  <si>
    <t>青空Jumping Heart</t>
  </si>
  <si>
    <t>KOKORO Magic “A to Z”</t>
  </si>
  <si>
    <t>スリリング・ワンウェイ</t>
  </si>
  <si>
    <t>Step! ZERO to ONE</t>
  </si>
  <si>
    <t>SKY JOURNEY</t>
  </si>
  <si>
    <t>Wake up, Challenger!!</t>
  </si>
  <si>
    <t>Brightest Melody</t>
  </si>
  <si>
    <t>恋になりたいAQUARIUM</t>
  </si>
  <si>
    <t>トリコリコPLEASE!!</t>
  </si>
  <si>
    <t>GALAXY HidE and SeeK</t>
  </si>
  <si>
    <t>元気全開DAY!DAY!DAY!</t>
  </si>
  <si>
    <t>近未来ハッピーエンド</t>
  </si>
  <si>
    <t>Strawberry Trapper</t>
  </si>
  <si>
    <t>コワレヤスキ</t>
  </si>
  <si>
    <t>TOKIMEKI Runners 17章Ver.</t>
  </si>
  <si>
    <t>開花宣言</t>
  </si>
  <si>
    <t>ダイアモンド</t>
  </si>
  <si>
    <t>☆ワンダーランド☆</t>
  </si>
  <si>
    <t>Margaret</t>
  </si>
  <si>
    <t>あなたの理想のヒロイン</t>
  </si>
  <si>
    <t>オードリー</t>
  </si>
  <si>
    <t>Starlight</t>
  </si>
  <si>
    <t>Wish</t>
  </si>
  <si>
    <t>Fire Bird</t>
  </si>
  <si>
    <t>めっちゃGoing!!</t>
  </si>
  <si>
    <t>友 &amp; 愛</t>
  </si>
  <si>
    <t>眠れる森に行きたいな</t>
  </si>
  <si>
    <t>CHASE!</t>
  </si>
  <si>
    <t>MELODY</t>
  </si>
  <si>
    <t>Evergreen</t>
  </si>
  <si>
    <t>声繋ごうよ</t>
  </si>
  <si>
    <t>ドキピポ☆エモーション</t>
  </si>
  <si>
    <t>テレテレパシー</t>
  </si>
  <si>
    <t>決意の光</t>
  </si>
  <si>
    <t>まほうつかいはじめました！</t>
  </si>
  <si>
    <t>Daring!!</t>
  </si>
  <si>
    <t>勇気のReason</t>
  </si>
  <si>
    <t>ありふれた悲しみの果て</t>
  </si>
  <si>
    <t>ぶる～べりぃ♡とれいん</t>
  </si>
  <si>
    <t>孤独なHeaven</t>
  </si>
  <si>
    <t>Someday of my life</t>
  </si>
  <si>
    <t>純愛レンズ</t>
  </si>
  <si>
    <t>Beginner's Sailing</t>
  </si>
  <si>
    <t>One More Sunshine Story</t>
  </si>
  <si>
    <t>RED GEM WINK</t>
  </si>
  <si>
    <t>in this unstable world</t>
  </si>
  <si>
    <t>WHITE FIRST LOVE</t>
  </si>
  <si>
    <t>Pianoforte Monologue</t>
  </si>
  <si>
    <t>さかなかなんだか？</t>
  </si>
  <si>
    <t>おやすみなさん！</t>
  </si>
  <si>
    <t>New winding road</t>
  </si>
  <si>
    <t>SUPER NOVA</t>
  </si>
  <si>
    <t>Dream Land！Dream World！</t>
  </si>
  <si>
    <t>Sing &amp; Smile!!</t>
  </si>
  <si>
    <t>Fantastic Departure!</t>
  </si>
  <si>
    <t>初步添加了部分Live的数据</t>
    <phoneticPr fontId="1" type="noConversion"/>
  </si>
  <si>
    <t>小鸟</t>
    <phoneticPr fontId="1" type="noConversion"/>
  </si>
  <si>
    <t>sp</t>
    <phoneticPr fontId="1" type="noConversion"/>
  </si>
  <si>
    <t>te</t>
    <phoneticPr fontId="1" type="noConversion"/>
  </si>
  <si>
    <t>全员</t>
    <phoneticPr fontId="1" type="noConversion"/>
  </si>
  <si>
    <t>AC成功</t>
    <phoneticPr fontId="1" type="noConversion"/>
  </si>
  <si>
    <t>ct+</t>
    <phoneticPr fontId="1" type="noConversion"/>
  </si>
  <si>
    <t>二专雫</t>
    <phoneticPr fontId="1" type="noConversion"/>
  </si>
  <si>
    <t>sk</t>
    <phoneticPr fontId="1" type="noConversion"/>
  </si>
  <si>
    <t>雫</t>
    <phoneticPr fontId="1" type="noConversion"/>
  </si>
  <si>
    <t>同作战</t>
    <phoneticPr fontId="1" type="noConversion"/>
  </si>
  <si>
    <t>百分比</t>
    <phoneticPr fontId="1" type="noConversion"/>
  </si>
  <si>
    <t>gd</t>
    <phoneticPr fontId="1" type="noConversion"/>
  </si>
  <si>
    <t>粉</t>
    <phoneticPr fontId="1" type="noConversion"/>
  </si>
  <si>
    <t>千歌</t>
    <phoneticPr fontId="1" type="noConversion"/>
  </si>
  <si>
    <t>st</t>
    <phoneticPr fontId="1" type="noConversion"/>
  </si>
  <si>
    <t>回血</t>
    <phoneticPr fontId="1" type="noConversion"/>
  </si>
  <si>
    <t>紫</t>
    <phoneticPr fontId="1" type="noConversion"/>
  </si>
  <si>
    <t>雪菜</t>
    <phoneticPr fontId="1" type="noConversion"/>
  </si>
  <si>
    <t>ap</t>
    <phoneticPr fontId="1" type="noConversion"/>
  </si>
  <si>
    <t>同属性</t>
    <phoneticPr fontId="1" type="noConversion"/>
  </si>
  <si>
    <t>ap+</t>
    <phoneticPr fontId="1" type="noConversion"/>
  </si>
  <si>
    <t>infty</t>
    <phoneticPr fontId="1" type="noConversion"/>
  </si>
  <si>
    <t>五单姬</t>
    <phoneticPr fontId="1" type="noConversion"/>
  </si>
  <si>
    <t>vo</t>
    <phoneticPr fontId="1" type="noConversion"/>
  </si>
  <si>
    <t>蓝</t>
    <phoneticPr fontId="1" type="noConversion"/>
  </si>
  <si>
    <t>真姬</t>
    <phoneticPr fontId="1" type="noConversion"/>
  </si>
  <si>
    <t>曲开始</t>
    <phoneticPr fontId="1" type="noConversion"/>
  </si>
  <si>
    <t>vo+</t>
    <phoneticPr fontId="1" type="noConversion"/>
  </si>
  <si>
    <t>二单善</t>
    <phoneticPr fontId="1" type="noConversion"/>
  </si>
  <si>
    <t>红</t>
    <phoneticPr fontId="1" type="noConversion"/>
  </si>
  <si>
    <t>善子</t>
    <phoneticPr fontId="1" type="noConversion"/>
  </si>
  <si>
    <t>sp+</t>
    <phoneticPr fontId="1" type="noConversion"/>
  </si>
  <si>
    <t>3.15</t>
    <phoneticPr fontId="1" type="noConversion"/>
  </si>
  <si>
    <t>3.16</t>
    <phoneticPr fontId="1" type="noConversion"/>
  </si>
  <si>
    <t>3.17</t>
    <phoneticPr fontId="1" type="noConversion"/>
  </si>
  <si>
    <t>添加了新卡数据</t>
    <phoneticPr fontId="1" type="noConversion"/>
  </si>
  <si>
    <t>修改了个性2的计算公式，以适应新卡的个性</t>
    <phoneticPr fontId="1" type="noConversion"/>
  </si>
  <si>
    <t>绿</t>
    <phoneticPr fontId="1" type="noConversion"/>
  </si>
  <si>
    <t>3.18</t>
    <phoneticPr fontId="1" type="noConversion"/>
  </si>
  <si>
    <t>修复了op2鸟误记为红色的bug</t>
    <phoneticPr fontId="1" type="noConversion"/>
  </si>
  <si>
    <t>47/166</t>
    <phoneticPr fontId="1" type="noConversion"/>
  </si>
  <si>
    <t>149/268</t>
    <phoneticPr fontId="1" type="noConversion"/>
  </si>
  <si>
    <t>82/176</t>
    <phoneticPr fontId="1" type="noConversion"/>
  </si>
  <si>
    <t>95/182</t>
    <phoneticPr fontId="1" type="noConversion"/>
  </si>
  <si>
    <t>74/179</t>
    <phoneticPr fontId="1" type="noConversion"/>
  </si>
  <si>
    <t>53/145</t>
    <phoneticPr fontId="1" type="noConversion"/>
  </si>
  <si>
    <t>3.19</t>
    <phoneticPr fontId="1" type="noConversion"/>
  </si>
  <si>
    <t>补充了部分歌曲数据（感谢土豆提供数据）</t>
    <phoneticPr fontId="1" type="noConversion"/>
  </si>
  <si>
    <t>耐久包括以下三部分：</t>
    <phoneticPr fontId="1" type="noConversion"/>
  </si>
  <si>
    <t>1. 卡片个性2和特技的回复量</t>
    <phoneticPr fontId="1" type="noConversion"/>
  </si>
  <si>
    <t>2. 卡片血量和个性1对血量的加成的30%</t>
    <phoneticPr fontId="1" type="noConversion"/>
  </si>
  <si>
    <t>3. type加成对特技发动率的增加/减少，以及对伤害的减少/增加</t>
    <phoneticPr fontId="1" type="noConversion"/>
  </si>
  <si>
    <t>二专爱</t>
  </si>
  <si>
    <t>糖果希</t>
    <phoneticPr fontId="1" type="noConversion"/>
  </si>
  <si>
    <t>重新修改了个性2的计算，添加了发动次数限制一列</t>
    <phoneticPr fontId="1" type="noConversion"/>
  </si>
  <si>
    <t>修复了卡片个性2的sp能力中ac成功时获得sp的能力不为0的bug</t>
    <phoneticPr fontId="1" type="noConversion"/>
  </si>
  <si>
    <t>为部分表格添加了文字说明</t>
    <phoneticPr fontId="1" type="noConversion"/>
  </si>
  <si>
    <t>添加了新卡片的数据</t>
    <phoneticPr fontId="1" type="noConversion"/>
  </si>
  <si>
    <t>3.20</t>
    <phoneticPr fontId="1" type="noConversion"/>
  </si>
  <si>
    <t>发现了五单妮的个性2的错误（但是因为不想改公式了所以暂无修复计划</t>
    <phoneticPr fontId="1" type="noConversion"/>
  </si>
  <si>
    <t>ct+</t>
    <phoneticPr fontId="1" type="noConversion"/>
  </si>
  <si>
    <t>感谢土豆帮助填充数据</t>
    <phoneticPr fontId="1" type="noConversion"/>
  </si>
  <si>
    <t>秋收丸</t>
  </si>
  <si>
    <t>秋收花</t>
  </si>
  <si>
    <t>绿</t>
    <phoneticPr fontId="1" type="noConversion"/>
  </si>
  <si>
    <t>蓝</t>
    <phoneticPr fontId="1" type="noConversion"/>
  </si>
  <si>
    <t>红</t>
    <phoneticPr fontId="1" type="noConversion"/>
  </si>
  <si>
    <t>紫</t>
    <phoneticPr fontId="1" type="noConversion"/>
  </si>
  <si>
    <t>粉</t>
    <phoneticPr fontId="1" type="noConversion"/>
  </si>
  <si>
    <t>水</t>
  </si>
  <si>
    <t>虹</t>
  </si>
  <si>
    <t>3年级</t>
  </si>
  <si>
    <t>全员</t>
    <phoneticPr fontId="1" type="noConversion"/>
  </si>
  <si>
    <t>百分比</t>
    <phoneticPr fontId="1" type="noConversion"/>
  </si>
  <si>
    <t>同属性</t>
    <phoneticPr fontId="1" type="noConversion"/>
  </si>
  <si>
    <t>infty</t>
    <phoneticPr fontId="1" type="noConversion"/>
  </si>
  <si>
    <t>百分比</t>
    <phoneticPr fontId="1" type="noConversion"/>
  </si>
  <si>
    <t>二单露</t>
    <phoneticPr fontId="1" type="noConversion"/>
  </si>
  <si>
    <t>二专彼</t>
    <phoneticPr fontId="1" type="noConversion"/>
  </si>
  <si>
    <t>五单海</t>
    <phoneticPr fontId="1" type="noConversion"/>
  </si>
  <si>
    <t>3.21</t>
    <phoneticPr fontId="1" type="noConversion"/>
  </si>
  <si>
    <t>添加了新卡数据</t>
    <phoneticPr fontId="1" type="noConversion"/>
  </si>
  <si>
    <t>秋收艾</t>
    <phoneticPr fontId="1" type="noConversion"/>
  </si>
  <si>
    <t>红</t>
    <phoneticPr fontId="1" type="noConversion"/>
  </si>
  <si>
    <t>绿</t>
    <phoneticPr fontId="1" type="noConversion"/>
  </si>
  <si>
    <t>UR</t>
    <phoneticPr fontId="1" type="noConversion"/>
  </si>
  <si>
    <t>vo</t>
    <phoneticPr fontId="1" type="noConversion"/>
  </si>
  <si>
    <t>sp</t>
    <phoneticPr fontId="1" type="noConversion"/>
  </si>
  <si>
    <t>果南</t>
    <phoneticPr fontId="1" type="noConversion"/>
  </si>
  <si>
    <t>霞</t>
    <phoneticPr fontId="1" type="noConversion"/>
  </si>
  <si>
    <t>fes卡</t>
    <phoneticPr fontId="1" type="noConversion"/>
  </si>
  <si>
    <t>五单果</t>
    <phoneticPr fontId="1" type="noConversion"/>
  </si>
  <si>
    <t>二单鞠</t>
    <phoneticPr fontId="1" type="noConversion"/>
  </si>
  <si>
    <t>SR</t>
    <phoneticPr fontId="1" type="noConversion"/>
  </si>
  <si>
    <t>gd</t>
    <phoneticPr fontId="1" type="noConversion"/>
  </si>
  <si>
    <t>sk</t>
    <phoneticPr fontId="1" type="noConversion"/>
  </si>
  <si>
    <t>卡池卡</t>
    <phoneticPr fontId="1" type="noConversion"/>
  </si>
  <si>
    <t>粉</t>
    <phoneticPr fontId="1" type="noConversion"/>
  </si>
  <si>
    <t>穗乃果</t>
    <phoneticPr fontId="1" type="noConversion"/>
  </si>
  <si>
    <t>鞠莉</t>
    <phoneticPr fontId="1" type="noConversion"/>
  </si>
  <si>
    <t>infty</t>
    <phoneticPr fontId="1" type="noConversion"/>
  </si>
  <si>
    <t>同作战</t>
    <phoneticPr fontId="1" type="noConversion"/>
  </si>
  <si>
    <t>3.22</t>
    <phoneticPr fontId="1" type="noConversion"/>
  </si>
  <si>
    <t>添加了新卡数据</t>
    <phoneticPr fontId="1" type="noConversion"/>
  </si>
  <si>
    <t>五单果</t>
  </si>
  <si>
    <t>二单鞠</t>
  </si>
  <si>
    <t>全员全属性增加</t>
    <phoneticPr fontId="1" type="noConversion"/>
  </si>
  <si>
    <t>3.23</t>
    <phoneticPr fontId="1" type="noConversion"/>
  </si>
  <si>
    <t>添加了全员全属性增加的超参数</t>
    <phoneticPr fontId="1" type="noConversion"/>
  </si>
  <si>
    <t>特技</t>
    <phoneticPr fontId="1" type="noConversion"/>
  </si>
  <si>
    <t>加盾</t>
  </si>
  <si>
    <t>推荐LP</t>
    <phoneticPr fontId="1" type="noConversion"/>
  </si>
  <si>
    <t>单键分数</t>
    <phoneticPr fontId="1" type="noConversion"/>
  </si>
  <si>
    <t>粉</t>
    <phoneticPr fontId="1" type="noConversion"/>
  </si>
  <si>
    <t>黄</t>
    <phoneticPr fontId="1" type="noConversion"/>
  </si>
  <si>
    <t>44/169</t>
    <phoneticPr fontId="1" type="noConversion"/>
  </si>
  <si>
    <t>紫</t>
    <phoneticPr fontId="1" type="noConversion"/>
  </si>
  <si>
    <t>绿</t>
    <phoneticPr fontId="1" type="noConversion"/>
  </si>
  <si>
    <t>47/166</t>
    <phoneticPr fontId="1" type="noConversion"/>
  </si>
  <si>
    <t>红</t>
    <phoneticPr fontId="1" type="noConversion"/>
  </si>
  <si>
    <t>82/166</t>
    <phoneticPr fontId="1" type="noConversion"/>
  </si>
  <si>
    <t>蓝</t>
    <phoneticPr fontId="1" type="noConversion"/>
  </si>
  <si>
    <t>73/174</t>
    <phoneticPr fontId="1" type="noConversion"/>
  </si>
  <si>
    <t>LOVELESS WORLD</t>
    <phoneticPr fontId="1" type="noConversion"/>
  </si>
  <si>
    <t>99/160</t>
    <phoneticPr fontId="1" type="noConversion"/>
  </si>
  <si>
    <t>30000-(Sk*9000)</t>
    <phoneticPr fontId="1" type="noConversion"/>
  </si>
  <si>
    <t>96/193</t>
    <phoneticPr fontId="1" type="noConversion"/>
  </si>
  <si>
    <t>どんなときもずっと</t>
    <phoneticPr fontId="1" type="noConversion"/>
  </si>
  <si>
    <t>MIRACLE WAVE</t>
    <phoneticPr fontId="1" type="noConversion"/>
  </si>
  <si>
    <t>未体験HORIZON</t>
    <phoneticPr fontId="1" type="noConversion"/>
  </si>
  <si>
    <t>Say Good-Bye 涙</t>
    <phoneticPr fontId="1" type="noConversion"/>
  </si>
  <si>
    <t>やがてひとつの物語</t>
    <phoneticPr fontId="1" type="noConversion"/>
  </si>
  <si>
    <t>楽しいの天才</t>
    <phoneticPr fontId="1" type="noConversion"/>
  </si>
  <si>
    <t>Märchen Star</t>
    <phoneticPr fontId="1" type="noConversion"/>
  </si>
  <si>
    <t>My Own Fairy-Tale</t>
    <phoneticPr fontId="1" type="noConversion"/>
  </si>
  <si>
    <t>哀温ノ詩</t>
    <phoneticPr fontId="1" type="noConversion"/>
  </si>
  <si>
    <t>アナログハート</t>
    <phoneticPr fontId="1" type="noConversion"/>
  </si>
  <si>
    <t>Just Believe!!!</t>
    <phoneticPr fontId="1" type="noConversion"/>
  </si>
  <si>
    <t>43/172</t>
    <phoneticPr fontId="1" type="noConversion"/>
  </si>
  <si>
    <t>101/173</t>
    <phoneticPr fontId="1" type="noConversion"/>
  </si>
  <si>
    <t>85/175</t>
    <phoneticPr fontId="1" type="noConversion"/>
  </si>
  <si>
    <t xml:space="preserve">-95000+60000 </t>
    <phoneticPr fontId="1" type="noConversion"/>
  </si>
  <si>
    <t>51/164</t>
    <phoneticPr fontId="1" type="noConversion"/>
  </si>
  <si>
    <t>43/158</t>
    <phoneticPr fontId="1" type="noConversion"/>
  </si>
  <si>
    <t>59/157</t>
    <phoneticPr fontId="1" type="noConversion"/>
  </si>
  <si>
    <t>42/143</t>
    <phoneticPr fontId="1" type="noConversion"/>
  </si>
  <si>
    <t>61/131</t>
    <phoneticPr fontId="1" type="noConversion"/>
  </si>
  <si>
    <t>82/176</t>
    <phoneticPr fontId="1" type="noConversion"/>
  </si>
  <si>
    <t>80/171</t>
    <phoneticPr fontId="1" type="noConversion"/>
  </si>
  <si>
    <t>86/180</t>
    <phoneticPr fontId="1" type="noConversion"/>
  </si>
  <si>
    <t>74/158</t>
    <phoneticPr fontId="1" type="noConversion"/>
  </si>
  <si>
    <t>61/178</t>
    <phoneticPr fontId="1" type="noConversion"/>
  </si>
  <si>
    <t>81/173</t>
    <phoneticPr fontId="1" type="noConversion"/>
  </si>
  <si>
    <t>101/179</t>
    <phoneticPr fontId="1" type="noConversion"/>
  </si>
  <si>
    <t>-(Sk*9000)</t>
    <phoneticPr fontId="1" type="noConversion"/>
  </si>
  <si>
    <t>40/150</t>
    <phoneticPr fontId="1" type="noConversion"/>
  </si>
  <si>
    <t>107/165</t>
    <phoneticPr fontId="1" type="noConversion"/>
  </si>
  <si>
    <t>62/176</t>
    <phoneticPr fontId="1" type="noConversion"/>
  </si>
  <si>
    <t>71/184</t>
    <phoneticPr fontId="1" type="noConversion"/>
  </si>
  <si>
    <t>68/169</t>
    <phoneticPr fontId="1" type="noConversion"/>
  </si>
  <si>
    <t>-(15000*Gd)-(0.3*Max)</t>
    <phoneticPr fontId="1" type="noConversion"/>
  </si>
  <si>
    <t>75/162</t>
    <phoneticPr fontId="1" type="noConversion"/>
  </si>
  <si>
    <t>-(0.2*Max)</t>
    <phoneticPr fontId="1" type="noConversion"/>
  </si>
  <si>
    <t>53/145</t>
    <phoneticPr fontId="1" type="noConversion"/>
  </si>
  <si>
    <t>73/145</t>
    <phoneticPr fontId="1" type="noConversion"/>
  </si>
  <si>
    <t>39/135</t>
    <phoneticPr fontId="1" type="noConversion"/>
  </si>
  <si>
    <t>-(9000*Gd)</t>
    <phoneticPr fontId="1" type="noConversion"/>
  </si>
  <si>
    <t>85/168</t>
    <phoneticPr fontId="1" type="noConversion"/>
  </si>
  <si>
    <t>59/135</t>
    <phoneticPr fontId="1" type="noConversion"/>
  </si>
  <si>
    <t>88/157</t>
    <phoneticPr fontId="1" type="noConversion"/>
  </si>
  <si>
    <t>45/133</t>
    <phoneticPr fontId="1" type="noConversion"/>
  </si>
  <si>
    <t>56/149</t>
    <phoneticPr fontId="1" type="noConversion"/>
  </si>
  <si>
    <t>49/129</t>
    <phoneticPr fontId="1" type="noConversion"/>
  </si>
  <si>
    <t>43/165</t>
    <phoneticPr fontId="1" type="noConversion"/>
  </si>
  <si>
    <t>75/137</t>
    <phoneticPr fontId="1" type="noConversion"/>
  </si>
  <si>
    <t>-(8000*Sk)</t>
    <phoneticPr fontId="1" type="noConversion"/>
  </si>
  <si>
    <t>80/175</t>
    <phoneticPr fontId="1" type="noConversion"/>
  </si>
  <si>
    <t>-(9000*Sk)</t>
    <phoneticPr fontId="1" type="noConversion"/>
  </si>
  <si>
    <t>56/158</t>
    <phoneticPr fontId="1" type="noConversion"/>
  </si>
  <si>
    <t>103/183</t>
    <phoneticPr fontId="1" type="noConversion"/>
  </si>
  <si>
    <t>66/158</t>
    <phoneticPr fontId="1" type="noConversion"/>
  </si>
  <si>
    <t>2000-(2000*Sk)</t>
    <phoneticPr fontId="1" type="noConversion"/>
  </si>
  <si>
    <t>79/162</t>
    <phoneticPr fontId="1" type="noConversion"/>
  </si>
  <si>
    <t>115/180</t>
    <phoneticPr fontId="1" type="noConversion"/>
  </si>
  <si>
    <t>76/178</t>
    <phoneticPr fontId="1" type="noConversion"/>
  </si>
  <si>
    <t>90/168</t>
    <phoneticPr fontId="1" type="noConversion"/>
  </si>
  <si>
    <t>44/137</t>
    <phoneticPr fontId="1" type="noConversion"/>
  </si>
  <si>
    <t>65/155</t>
    <phoneticPr fontId="1" type="noConversion"/>
  </si>
  <si>
    <t>67/155</t>
    <phoneticPr fontId="1" type="noConversion"/>
  </si>
  <si>
    <t>480000-(5*Max)</t>
    <phoneticPr fontId="1" type="noConversion"/>
  </si>
  <si>
    <t>83/163</t>
    <phoneticPr fontId="1" type="noConversion"/>
  </si>
  <si>
    <t>55/172</t>
    <phoneticPr fontId="1" type="noConversion"/>
  </si>
  <si>
    <t>42/161</t>
    <phoneticPr fontId="1" type="noConversion"/>
  </si>
  <si>
    <t>50/165</t>
    <phoneticPr fontId="1" type="noConversion"/>
  </si>
  <si>
    <t>58/167</t>
    <phoneticPr fontId="1" type="noConversion"/>
  </si>
  <si>
    <t>82/167</t>
    <phoneticPr fontId="1" type="noConversion"/>
  </si>
  <si>
    <t>43/145</t>
    <phoneticPr fontId="1" type="noConversion"/>
  </si>
  <si>
    <t>51/159</t>
    <phoneticPr fontId="1" type="noConversion"/>
  </si>
  <si>
    <t>61/166</t>
    <phoneticPr fontId="1" type="noConversion"/>
  </si>
  <si>
    <t>50/169</t>
    <phoneticPr fontId="1" type="noConversion"/>
  </si>
  <si>
    <t>91/165</t>
    <phoneticPr fontId="1" type="noConversion"/>
  </si>
  <si>
    <t>在奶盾耐久快速查询表格中区分奶卡和盾卡</t>
    <phoneticPr fontId="1" type="noConversion"/>
  </si>
  <si>
    <t>添加了已收集到谱面的所有歌曲的数据</t>
    <phoneticPr fontId="1" type="noConversion"/>
  </si>
  <si>
    <t>调整了相对输出的计算方式，现在相对输出统一按照雪菜的输出为标准</t>
    <phoneticPr fontId="1" type="noConversion"/>
  </si>
  <si>
    <t>3.24</t>
    <phoneticPr fontId="1" type="noConversion"/>
  </si>
  <si>
    <t>33/152</t>
    <phoneticPr fontId="1" type="noConversion"/>
  </si>
  <si>
    <t>98/184</t>
    <phoneticPr fontId="1" type="noConversion"/>
  </si>
  <si>
    <t>61/156</t>
    <phoneticPr fontId="1" type="noConversion"/>
  </si>
  <si>
    <t>60/150</t>
    <phoneticPr fontId="1" type="noConversion"/>
  </si>
  <si>
    <t>77/176</t>
    <phoneticPr fontId="1" type="noConversion"/>
  </si>
  <si>
    <t>86/188</t>
    <phoneticPr fontId="1" type="noConversion"/>
  </si>
  <si>
    <t>中秋雫</t>
    <phoneticPr fontId="1" type="noConversion"/>
  </si>
  <si>
    <t>UR</t>
    <phoneticPr fontId="1" type="noConversion"/>
  </si>
  <si>
    <t>vo</t>
    <phoneticPr fontId="1" type="noConversion"/>
  </si>
  <si>
    <t>粉</t>
    <phoneticPr fontId="1" type="noConversion"/>
  </si>
  <si>
    <t>雫</t>
    <phoneticPr fontId="1" type="noConversion"/>
  </si>
  <si>
    <t>sk</t>
    <phoneticPr fontId="1" type="noConversion"/>
  </si>
  <si>
    <t>卡池卡</t>
    <phoneticPr fontId="1" type="noConversion"/>
  </si>
  <si>
    <t>中秋梨</t>
    <phoneticPr fontId="1" type="noConversion"/>
  </si>
  <si>
    <t>蓝</t>
    <phoneticPr fontId="1" type="noConversion"/>
  </si>
  <si>
    <t>中秋凛</t>
    <phoneticPr fontId="1" type="noConversion"/>
  </si>
  <si>
    <t>gd</t>
    <phoneticPr fontId="1" type="noConversion"/>
  </si>
  <si>
    <t>绿</t>
    <phoneticPr fontId="1" type="noConversion"/>
  </si>
  <si>
    <t>凛</t>
    <phoneticPr fontId="1" type="noConversion"/>
  </si>
  <si>
    <t>SR</t>
    <phoneticPr fontId="1" type="noConversion"/>
  </si>
  <si>
    <t>梦门妮</t>
    <phoneticPr fontId="1" type="noConversion"/>
  </si>
  <si>
    <t>gd</t>
    <phoneticPr fontId="1" type="noConversion"/>
  </si>
  <si>
    <t>粉</t>
    <phoneticPr fontId="1" type="noConversion"/>
  </si>
  <si>
    <t>妮可</t>
    <phoneticPr fontId="1" type="noConversion"/>
  </si>
  <si>
    <t>四单南</t>
    <phoneticPr fontId="1" type="noConversion"/>
  </si>
  <si>
    <t>三专艾</t>
    <phoneticPr fontId="1" type="noConversion"/>
  </si>
  <si>
    <t>vo</t>
    <phoneticPr fontId="1" type="noConversion"/>
  </si>
  <si>
    <t>绿</t>
    <phoneticPr fontId="1" type="noConversion"/>
  </si>
  <si>
    <t>艾玛</t>
    <phoneticPr fontId="1" type="noConversion"/>
  </si>
  <si>
    <t>sp</t>
    <phoneticPr fontId="1" type="noConversion"/>
  </si>
  <si>
    <t>黄</t>
    <phoneticPr fontId="1" type="noConversion"/>
  </si>
  <si>
    <t>果南</t>
    <phoneticPr fontId="1" type="noConversion"/>
  </si>
  <si>
    <t>100/186</t>
    <phoneticPr fontId="1" type="noConversion"/>
  </si>
  <si>
    <t>68/130</t>
    <phoneticPr fontId="1" type="noConversion"/>
  </si>
  <si>
    <t>梦门妮</t>
  </si>
  <si>
    <t>中秋梨</t>
  </si>
  <si>
    <t>中秋凛</t>
  </si>
  <si>
    <t>添加了新卡数据</t>
    <phoneticPr fontId="1" type="noConversion"/>
  </si>
  <si>
    <t>调整了歌曲数据简表的UI</t>
    <phoneticPr fontId="1" type="noConversion"/>
  </si>
  <si>
    <t>将文档标题由“SIFAS卡片数据和强度”改为“SIFAS综合数据”</t>
    <phoneticPr fontId="1" type="noConversion"/>
  </si>
  <si>
    <t>4.0</t>
    <phoneticPr fontId="1" type="noConversion"/>
  </si>
  <si>
    <t>前排相对前排同属性卡个数</t>
    <phoneticPr fontId="1" type="noConversion"/>
  </si>
  <si>
    <t>后排相对前排同属性卡个数</t>
    <phoneticPr fontId="1" type="noConversion"/>
  </si>
  <si>
    <t>前排相对前排同年级卡个数</t>
    <phoneticPr fontId="1" type="noConversion"/>
  </si>
  <si>
    <t>前排相对前排同学校卡个数</t>
    <phoneticPr fontId="1" type="noConversion"/>
  </si>
  <si>
    <t>平均同色加成</t>
    <phoneticPr fontId="8" type="noConversion"/>
  </si>
  <si>
    <t>后排相对前排同年级卡个数</t>
    <phoneticPr fontId="1" type="noConversion"/>
  </si>
  <si>
    <t>后排相对前排同学校卡个数</t>
    <phoneticPr fontId="1" type="noConversion"/>
  </si>
  <si>
    <t>后排相对前排同小队卡个数</t>
    <phoneticPr fontId="1" type="noConversion"/>
  </si>
  <si>
    <t>前排相对前排同小队卡个数</t>
    <phoneticPr fontId="1" type="noConversion"/>
  </si>
  <si>
    <t>前排效果量/键</t>
  </si>
  <si>
    <t>后排效果量/键</t>
  </si>
  <si>
    <t>调整了大量超参数</t>
    <phoneticPr fontId="1" type="noConversion"/>
  </si>
  <si>
    <t>分离了部分在计算前排输出和后排输出时默认取值不一样的超参数</t>
    <phoneticPr fontId="1" type="noConversion"/>
  </si>
  <si>
    <t>调整了部分依赖超参数的超参数的计算公式</t>
    <phoneticPr fontId="1" type="noConversion"/>
  </si>
  <si>
    <t>4.1</t>
    <phoneticPr fontId="1" type="noConversion"/>
  </si>
  <si>
    <t>更新了绊点数与等级在150级以上时的关系</t>
    <phoneticPr fontId="1" type="noConversion"/>
  </si>
  <si>
    <t>调整了相对输出的计算方式，在千分位向下取整</t>
    <phoneticPr fontId="1" type="noConversion"/>
  </si>
  <si>
    <t>4.2</t>
    <phoneticPr fontId="1" type="noConversion"/>
  </si>
  <si>
    <t>核弹溢出系数</t>
    <phoneticPr fontId="1" type="noConversion"/>
  </si>
  <si>
    <t>添加了核弹的溢出系数，默认为0.1</t>
    <phoneticPr fontId="1" type="noConversion"/>
  </si>
  <si>
    <t>添加了奶盾强度计算表格</t>
    <phoneticPr fontId="1" type="noConversion"/>
  </si>
  <si>
    <t>更新了奶盾耐久快速查询表格</t>
    <phoneticPr fontId="1" type="noConversion"/>
  </si>
  <si>
    <t>好像还改了什么但是记不得了</t>
    <phoneticPr fontId="1" type="noConversion"/>
  </si>
  <si>
    <t>4.3</t>
    <phoneticPr fontId="1" type="noConversion"/>
  </si>
  <si>
    <t>Landing action Yeah!!</t>
    <phoneticPr fontId="1" type="noConversion"/>
  </si>
  <si>
    <t>Dream with You</t>
    <phoneticPr fontId="1" type="noConversion"/>
  </si>
  <si>
    <t>紫</t>
    <phoneticPr fontId="1" type="noConversion"/>
  </si>
  <si>
    <t>同色ap增加</t>
    <phoneticPr fontId="1" type="noConversion"/>
  </si>
  <si>
    <t>UR</t>
    <phoneticPr fontId="1" type="noConversion"/>
  </si>
  <si>
    <t>SR</t>
    <phoneticPr fontId="1" type="noConversion"/>
  </si>
  <si>
    <t>sp</t>
    <phoneticPr fontId="1" type="noConversion"/>
  </si>
  <si>
    <t>梦门绘</t>
    <phoneticPr fontId="1" type="noConversion"/>
  </si>
  <si>
    <t>蓝</t>
    <phoneticPr fontId="1" type="noConversion"/>
  </si>
  <si>
    <t>ap</t>
    <phoneticPr fontId="1" type="noConversion"/>
  </si>
  <si>
    <t>同属性</t>
    <phoneticPr fontId="1" type="noConversion"/>
  </si>
  <si>
    <t>粉</t>
    <phoneticPr fontId="1" type="noConversion"/>
  </si>
  <si>
    <t>te</t>
    <phoneticPr fontId="1" type="noConversion"/>
  </si>
  <si>
    <t>购物露</t>
    <phoneticPr fontId="1" type="noConversion"/>
  </si>
  <si>
    <t>添加了新卡数据</t>
    <phoneticPr fontId="1" type="noConversion"/>
  </si>
  <si>
    <t>好像又改了什么但是也记不得了</t>
    <phoneticPr fontId="1" type="noConversion"/>
  </si>
  <si>
    <t>4.4</t>
    <phoneticPr fontId="1" type="noConversion"/>
  </si>
  <si>
    <t>非同色基础ap减少</t>
    <phoneticPr fontId="1" type="noConversion"/>
  </si>
  <si>
    <t>非团队基础ap减少</t>
    <phoneticPr fontId="1" type="noConversion"/>
  </si>
  <si>
    <t>在歌曲相关超参数中增加了“同色ap增加”和“非团队基础ap减少”的超参数，用来应对部分歌曲的buff</t>
    <phoneticPr fontId="1" type="noConversion"/>
  </si>
  <si>
    <t>基本信息</t>
    <phoneticPr fontId="1" type="noConversion"/>
  </si>
  <si>
    <t>卡片数据</t>
    <phoneticPr fontId="1" type="noConversion"/>
  </si>
  <si>
    <t>技能信息</t>
    <phoneticPr fontId="1" type="noConversion"/>
  </si>
  <si>
    <t>能力评价</t>
    <phoneticPr fontId="1" type="noConversion"/>
  </si>
  <si>
    <t>卡片ID</t>
    <phoneticPr fontId="1" type="noConversion"/>
  </si>
  <si>
    <t>类型</t>
    <phoneticPr fontId="1" type="noConversion"/>
  </si>
  <si>
    <t>Appeal</t>
    <phoneticPr fontId="1" type="noConversion"/>
  </si>
  <si>
    <t>Stamina</t>
    <phoneticPr fontId="1" type="noConversion"/>
  </si>
  <si>
    <t>Technique</t>
    <phoneticPr fontId="1" type="noConversion"/>
  </si>
  <si>
    <t>个性1</t>
    <phoneticPr fontId="1" type="noConversion"/>
  </si>
  <si>
    <t>个性2</t>
    <phoneticPr fontId="1" type="noConversion"/>
  </si>
  <si>
    <t>能力名</t>
    <phoneticPr fontId="1" type="noConversion"/>
  </si>
  <si>
    <t>绝对数值</t>
    <phoneticPr fontId="1" type="noConversion"/>
  </si>
  <si>
    <t>相对数值</t>
    <phoneticPr fontId="1" type="noConversion"/>
  </si>
  <si>
    <t>评级</t>
    <phoneticPr fontId="1" type="noConversion"/>
  </si>
  <si>
    <t>前排耐久</t>
    <phoneticPr fontId="1" type="noConversion"/>
  </si>
  <si>
    <t>后排耐久</t>
    <phoneticPr fontId="1" type="noConversion"/>
  </si>
  <si>
    <t>SP能力</t>
    <phoneticPr fontId="1" type="noConversion"/>
  </si>
  <si>
    <t>特技能力</t>
    <phoneticPr fontId="1" type="noConversion"/>
  </si>
  <si>
    <t>总分</t>
    <phoneticPr fontId="1" type="noConversion"/>
  </si>
  <si>
    <t>0破</t>
    <phoneticPr fontId="1" type="noConversion"/>
  </si>
  <si>
    <t>能力值</t>
    <phoneticPr fontId="1" type="noConversion"/>
  </si>
  <si>
    <t>1破</t>
    <phoneticPr fontId="1" type="noConversion"/>
  </si>
  <si>
    <t>2破</t>
    <phoneticPr fontId="1" type="noConversion"/>
  </si>
  <si>
    <t>3破</t>
    <phoneticPr fontId="1" type="noConversion"/>
  </si>
  <si>
    <t>是否为
暴击卡</t>
    <phoneticPr fontId="1" type="noConversion"/>
  </si>
  <si>
    <t>满破时
合宿槽数</t>
    <phoneticPr fontId="1" type="noConversion"/>
  </si>
  <si>
    <t>登场形式</t>
    <phoneticPr fontId="1" type="noConversion"/>
  </si>
  <si>
    <t>获得相当于SP槽总量的7%/7.5%/8%/8.5%/9%的SP槽
发动概率：33%</t>
    <phoneticPr fontId="1" type="noConversion"/>
  </si>
  <si>
    <t>获得相当于自身Technique的1%的SP槽
条件：Appeal Chance开始时；发动概率：100%</t>
    <phoneticPr fontId="1" type="noConversion"/>
  </si>
  <si>
    <t>基本Technique增加4%/4.3%/4.6%/4.9%/5.2%（对象：同属性）；
并且基本Appeal增加1.4%/1.7%/2%/2.3%/2.6%（对象：同属性）</t>
    <phoneticPr fontId="1" type="noConversion"/>
  </si>
  <si>
    <t>106/173</t>
    <phoneticPr fontId="1" type="noConversion"/>
  </si>
  <si>
    <t>93/148</t>
    <phoneticPr fontId="1" type="noConversion"/>
  </si>
  <si>
    <t>66/162</t>
    <phoneticPr fontId="1" type="noConversion"/>
  </si>
  <si>
    <t>10000-(0.1*Max*ceil(Vo%*4))</t>
    <phoneticPr fontId="1" type="noConversion"/>
  </si>
  <si>
    <t>60000-(6000*Sk)</t>
    <phoneticPr fontId="1" type="noConversion"/>
  </si>
  <si>
    <t>98/167</t>
    <phoneticPr fontId="1" type="noConversion"/>
  </si>
  <si>
    <t>112/178</t>
    <phoneticPr fontId="1" type="noConversion"/>
  </si>
  <si>
    <t>93/186</t>
    <phoneticPr fontId="1" type="noConversion"/>
  </si>
  <si>
    <t>81/175</t>
    <phoneticPr fontId="1" type="noConversion"/>
  </si>
  <si>
    <t>1层</t>
    <phoneticPr fontId="1" type="noConversion"/>
  </si>
  <si>
    <t>基本信息</t>
    <phoneticPr fontId="1" type="noConversion"/>
  </si>
  <si>
    <t>AC占比</t>
    <phoneticPr fontId="1" type="noConversion"/>
  </si>
  <si>
    <t>45/116</t>
    <phoneticPr fontId="1" type="noConversion"/>
  </si>
  <si>
    <t>AC分数</t>
    <phoneticPr fontId="1" type="noConversion"/>
  </si>
  <si>
    <t>目标分数</t>
    <phoneticPr fontId="1" type="noConversion"/>
  </si>
  <si>
    <t>单键伤害</t>
    <phoneticPr fontId="1" type="noConversion"/>
  </si>
  <si>
    <t>1次</t>
    <phoneticPr fontId="1" type="noConversion"/>
  </si>
  <si>
    <t>Active</t>
    <phoneticPr fontId="1" type="noConversion"/>
  </si>
  <si>
    <t>☆ワンダーランド☆</t>
    <phoneticPr fontId="1" type="noConversion"/>
  </si>
  <si>
    <t>通过所需
单键分数</t>
    <phoneticPr fontId="1" type="noConversion"/>
  </si>
  <si>
    <t>特效及
注意事项</t>
    <phoneticPr fontId="1" type="noConversion"/>
  </si>
  <si>
    <t>红色以外基本ap-10%不过完全可以无视
随便打</t>
    <phoneticPr fontId="1" type="noConversion"/>
  </si>
  <si>
    <t>2层</t>
    <phoneticPr fontId="1" type="noConversion"/>
  </si>
  <si>
    <t>夢への一歩</t>
    <phoneticPr fontId="1" type="noConversion"/>
  </si>
  <si>
    <t>38/113</t>
    <phoneticPr fontId="1" type="noConversion"/>
  </si>
  <si>
    <t>随便打</t>
    <phoneticPr fontId="1" type="noConversion"/>
  </si>
  <si>
    <t>3层</t>
    <phoneticPr fontId="1" type="noConversion"/>
  </si>
  <si>
    <t>My Own Fairy-Tale</t>
    <phoneticPr fontId="1" type="noConversion"/>
  </si>
  <si>
    <t>Cool</t>
    <phoneticPr fontId="1" type="noConversion"/>
  </si>
  <si>
    <t>27/118</t>
    <phoneticPr fontId="1" type="noConversion"/>
  </si>
  <si>
    <t>蓝色以外基本ap-10%
特效伤害12000
稍稍注意一下血量</t>
    <phoneticPr fontId="1" type="noConversion"/>
  </si>
  <si>
    <t>Smile</t>
    <phoneticPr fontId="1" type="noConversion"/>
  </si>
  <si>
    <t>4层</t>
    <phoneticPr fontId="1" type="noConversion"/>
  </si>
  <si>
    <t>声繋ごうよ</t>
    <phoneticPr fontId="1" type="noConversion"/>
  </si>
  <si>
    <t>Natural</t>
    <phoneticPr fontId="1" type="noConversion"/>
  </si>
  <si>
    <t>64/118</t>
    <phoneticPr fontId="1" type="noConversion"/>
  </si>
  <si>
    <t>黄色以外基本ap-10%不过可以无视
特效回复8000
随便打</t>
    <phoneticPr fontId="1" type="noConversion"/>
  </si>
  <si>
    <t>5层</t>
    <phoneticPr fontId="1" type="noConversion"/>
  </si>
  <si>
    <t>あなたの理想のヒロイン</t>
    <phoneticPr fontId="1" type="noConversion"/>
  </si>
  <si>
    <t>Elegant</t>
    <phoneticPr fontId="1" type="noConversion"/>
  </si>
  <si>
    <t>37/105</t>
    <phoneticPr fontId="1" type="noConversion"/>
  </si>
  <si>
    <t>不要过于小看它，好歹单键19017</t>
    <phoneticPr fontId="1" type="noConversion"/>
  </si>
  <si>
    <t>6层</t>
    <phoneticPr fontId="1" type="noConversion"/>
  </si>
  <si>
    <t>テレテレパシー</t>
    <phoneticPr fontId="1" type="noConversion"/>
  </si>
  <si>
    <t>粉色以外基本特技发动-15%
Vo减益比较严重
选一些好一点的卡，不然AC1和AC3过不去
超杀在所难免</t>
    <phoneticPr fontId="1" type="noConversion"/>
  </si>
  <si>
    <t>7层</t>
    <phoneticPr fontId="1" type="noConversion"/>
  </si>
  <si>
    <t>めっちゃGoing!!</t>
    <phoneticPr fontId="1" type="noConversion"/>
  </si>
  <si>
    <t>56/149</t>
    <phoneticPr fontId="1" type="noConversion"/>
  </si>
  <si>
    <t>8层</t>
    <phoneticPr fontId="1" type="noConversion"/>
  </si>
  <si>
    <t>MELODY</t>
    <phoneticPr fontId="1" type="noConversion"/>
  </si>
  <si>
    <t>Pure</t>
    <phoneticPr fontId="1" type="noConversion"/>
  </si>
  <si>
    <t>AC分数和通关需求
均不考虑AC1</t>
    <phoneticPr fontId="1" type="noConversion"/>
  </si>
  <si>
    <t>绿色以外基本ap-20%不过完全可以无视
AC1完全可以放弃，炸11000血，达线还是容易
推荐前排2白板SpSR+1充电SpSR，这个配置AC2 3 4 5都不会难打
不建议上非Sp卡，会炸AC5，然后AC6也不好打</t>
    <phoneticPr fontId="1" type="noConversion"/>
  </si>
  <si>
    <t>9层</t>
    <phoneticPr fontId="1" type="noConversion"/>
  </si>
  <si>
    <t>Wish</t>
    <phoneticPr fontId="1" type="noConversion"/>
  </si>
  <si>
    <t>98/170</t>
    <phoneticPr fontId="1" type="noConversion"/>
  </si>
  <si>
    <t>2次</t>
    <phoneticPr fontId="1" type="noConversion"/>
  </si>
  <si>
    <t>10层</t>
    <phoneticPr fontId="1" type="noConversion"/>
  </si>
  <si>
    <t>決意の光</t>
    <phoneticPr fontId="1" type="noConversion"/>
  </si>
  <si>
    <t>66/158</t>
    <phoneticPr fontId="1" type="noConversion"/>
  </si>
  <si>
    <t>通关需求不考虑AC6之后的键</t>
    <phoneticPr fontId="1" type="noConversion"/>
  </si>
  <si>
    <t>紫色以外ap-20%
特效伤害30000+50000+80000
记得上Gd，AC6以后的键直接放弃</t>
    <phoneticPr fontId="1" type="noConversion"/>
  </si>
  <si>
    <t>11层</t>
    <phoneticPr fontId="1" type="noConversion"/>
  </si>
  <si>
    <t>ドキピポ☆エモーション</t>
    <phoneticPr fontId="1" type="noConversion"/>
  </si>
  <si>
    <t>56/158</t>
    <phoneticPr fontId="1" type="noConversion"/>
  </si>
  <si>
    <t>黄色以外ap-10%
后面黄关还挺多的自己想好策略对付</t>
    <phoneticPr fontId="1" type="noConversion"/>
  </si>
  <si>
    <t>12层</t>
    <phoneticPr fontId="1" type="noConversion"/>
  </si>
  <si>
    <t>オードリー</t>
    <phoneticPr fontId="1" type="noConversion"/>
  </si>
  <si>
    <t>88/157</t>
    <phoneticPr fontId="1" type="noConversion"/>
  </si>
  <si>
    <t>紫色以外基本ap-20%
严重的Vo减益
特效回复20000，基本不用带奶</t>
    <phoneticPr fontId="1" type="noConversion"/>
  </si>
  <si>
    <t>13层</t>
    <phoneticPr fontId="1" type="noConversion"/>
  </si>
  <si>
    <t>Starlight</t>
    <phoneticPr fontId="1" type="noConversion"/>
  </si>
  <si>
    <t>45/133</t>
    <phoneticPr fontId="1" type="noConversion"/>
  </si>
  <si>
    <t>蓝色以外ap-10%
一次过的分数要求相当高
推荐在这里把蓝Vo用了，16去用非Vo</t>
    <phoneticPr fontId="1" type="noConversion"/>
  </si>
  <si>
    <t>14层</t>
    <phoneticPr fontId="1" type="noConversion"/>
  </si>
  <si>
    <t>蓝色以外基本SP槽-30%
可以选择用相对好一点输出的卡打一次
也可以用蓝卡/Sp卡刮两次
不过由于第一条命几乎不可能打到24所以不需要特别保留蓝输出</t>
    <phoneticPr fontId="1" type="noConversion"/>
  </si>
  <si>
    <t>眠れる森に行きたいな</t>
    <phoneticPr fontId="1" type="noConversion"/>
  </si>
  <si>
    <t>49/129</t>
    <phoneticPr fontId="1" type="noConversion"/>
  </si>
  <si>
    <t>3次</t>
    <phoneticPr fontId="1" type="noConversion"/>
  </si>
  <si>
    <t>绿色以外ap-10%
特效伤害5200
一次过已相当困难</t>
    <phoneticPr fontId="1" type="noConversion"/>
  </si>
  <si>
    <t>15层</t>
    <phoneticPr fontId="1" type="noConversion"/>
  </si>
  <si>
    <t>Evergreen</t>
    <phoneticPr fontId="1" type="noConversion"/>
  </si>
  <si>
    <t>黄色以外ap-10%
后面还有难办的黄关自己想好策略对付</t>
    <phoneticPr fontId="1" type="noConversion"/>
  </si>
  <si>
    <t>62/140</t>
    <phoneticPr fontId="1" type="noConversion"/>
  </si>
  <si>
    <t>16层</t>
    <phoneticPr fontId="1" type="noConversion"/>
  </si>
  <si>
    <t>楽しいの天才</t>
    <phoneticPr fontId="1" type="noConversion"/>
  </si>
  <si>
    <t>98/167</t>
    <phoneticPr fontId="1" type="noConversion"/>
  </si>
  <si>
    <t>17层</t>
    <phoneticPr fontId="1" type="noConversion"/>
  </si>
  <si>
    <t>開花宣言</t>
    <phoneticPr fontId="1" type="noConversion"/>
  </si>
  <si>
    <t>101/176</t>
    <phoneticPr fontId="1" type="noConversion"/>
  </si>
  <si>
    <t>绿色以外基本ap-20%
特效回复30000，基本不用带奶
Gd有一些增益不过不显著
AC容易，刮痧推荐</t>
    <phoneticPr fontId="1" type="noConversion"/>
  </si>
  <si>
    <t>18层</t>
    <phoneticPr fontId="1" type="noConversion"/>
  </si>
  <si>
    <t>ダイアモンド</t>
    <phoneticPr fontId="1" type="noConversion"/>
  </si>
  <si>
    <t>39/135</t>
    <phoneticPr fontId="1" type="noConversion"/>
  </si>
  <si>
    <t>19层</t>
    <phoneticPr fontId="1" type="noConversion"/>
  </si>
  <si>
    <t>CHASE!</t>
    <phoneticPr fontId="1" type="noConversion"/>
  </si>
  <si>
    <t>75/137</t>
    <phoneticPr fontId="1" type="noConversion"/>
  </si>
  <si>
    <t>红色以外ap-10%
中高层的低AC分，低note数关卡</t>
    <phoneticPr fontId="1" type="noConversion"/>
  </si>
  <si>
    <t>紫色以外ap-10%
中高层的低AC分，低AC覆盖率，低note数关卡
基本是第一条命最后一个紫色</t>
    <phoneticPr fontId="1" type="noConversion"/>
  </si>
  <si>
    <t>20层</t>
    <phoneticPr fontId="1" type="noConversion"/>
  </si>
  <si>
    <t>Love U my friends</t>
    <phoneticPr fontId="1" type="noConversion"/>
  </si>
  <si>
    <t>62/176</t>
    <phoneticPr fontId="1" type="noConversion"/>
  </si>
  <si>
    <t>21层</t>
    <phoneticPr fontId="1" type="noConversion"/>
  </si>
  <si>
    <t>Märchen Star</t>
    <phoneticPr fontId="1" type="noConversion"/>
  </si>
  <si>
    <t>112/178</t>
    <phoneticPr fontId="1" type="noConversion"/>
  </si>
  <si>
    <t>蓝色以外ap-25% 异色一定记得驱散
极其严重的Vo减益
特效伤害60000-6000*Sk
AC容易，刮痧推荐
基本是第一条命最后一个蓝色</t>
    <phoneticPr fontId="1" type="noConversion"/>
  </si>
  <si>
    <t>Gd和Sp的基本ap-20%
特效伤害40000，特效回复30000（AC1 3）
90 100 161 166有Vo点击成功回血，切队或者把Vo放1号位
AC2 4/13特技 AC4 4/12特技 看上去是特技AC其实随便过
AC3 15/39暴击 Sk点击成功提升Sk暴击率10%在109 119 131 137
不过其实最好还是依赖卡片自身的te和技能</t>
    <phoneticPr fontId="1" type="noConversion"/>
  </si>
  <si>
    <t>22层</t>
    <phoneticPr fontId="1" type="noConversion"/>
  </si>
  <si>
    <t>友 &amp; 愛</t>
    <phoneticPr fontId="1" type="noConversion"/>
  </si>
  <si>
    <t>红色以外基本ap-20%
特效伤害2000*8，特效回复10000，可使用2000伤奶
AC2可使用核弹，不推荐单充电，单充电需触发4/6特技还多吃伤害
分数AC都不难通过</t>
    <phoneticPr fontId="1" type="noConversion"/>
  </si>
  <si>
    <t>87/170</t>
    <phoneticPr fontId="1" type="noConversion"/>
  </si>
  <si>
    <t>粉色以外基本ap-20%
特效回复20000
AC4要求略高，其他AC都很简单
Vo有一定增益</t>
    <phoneticPr fontId="1" type="noConversion"/>
  </si>
  <si>
    <t>23层</t>
    <phoneticPr fontId="1" type="noConversion"/>
  </si>
  <si>
    <t>やがてひとつの物語</t>
    <phoneticPr fontId="1" type="noConversion"/>
  </si>
  <si>
    <t>93/148</t>
    <phoneticPr fontId="1" type="noConversion"/>
  </si>
  <si>
    <t>4次</t>
    <phoneticPr fontId="1" type="noConversion"/>
  </si>
  <si>
    <t>24层</t>
    <phoneticPr fontId="1" type="noConversion"/>
  </si>
  <si>
    <t>LIKE IT！LOVE IT！</t>
    <phoneticPr fontId="1" type="noConversion"/>
  </si>
  <si>
    <t>93/186</t>
    <phoneticPr fontId="1" type="noConversion"/>
  </si>
  <si>
    <t>25层</t>
    <phoneticPr fontId="1" type="noConversion"/>
  </si>
  <si>
    <t>アナログハート</t>
    <phoneticPr fontId="1" type="noConversion"/>
  </si>
  <si>
    <t>81/175</t>
    <phoneticPr fontId="1" type="noConversion"/>
  </si>
  <si>
    <t>紫色的基本ap+20%
特效伤害100000
Gd有较显著增益</t>
    <phoneticPr fontId="1" type="noConversion"/>
  </si>
  <si>
    <t>26层</t>
    <phoneticPr fontId="1" type="noConversion"/>
  </si>
  <si>
    <t>Margaret</t>
    <phoneticPr fontId="1" type="noConversion"/>
  </si>
  <si>
    <t>Vo和Gd的ap-20%
特效回复8000*Sk
AC2，25-43打142000SP分，前18note的Sp卡SP槽+20%，3白板SpUR可两次SP
AC7和AC2基本相同（不要带核弹，不划算）
AC3，6/11暴击，期间Sk的暴击率+50%，可尝试带Sk奶和Sk充电同时对付AC3
AC6，6/11特技，期间Sk的特技率+50%，单Sk作战勉强能过
AC4，一次SP99000分，后排多塞Sk，或者可切Vo作战</t>
    <phoneticPr fontId="1" type="noConversion"/>
  </si>
  <si>
    <t>Vo和Sk的ap-20%
特效回复9000*Gd
AC3 50-74 Sp的SP槽+50% 其中18个键再+50% SpUR UR GdSR能过
AC4 8/18特技 同色和Gd+20% 没同色用Gd炮灰切
刮痧推荐，最好能过AC3，不能过也可</t>
    <phoneticPr fontId="1" type="noConversion"/>
  </si>
  <si>
    <t>27层</t>
    <phoneticPr fontId="1" type="noConversion"/>
  </si>
  <si>
    <t>Fire Bird</t>
    <phoneticPr fontId="1" type="noConversion"/>
  </si>
  <si>
    <t>66/162</t>
    <phoneticPr fontId="1" type="noConversion"/>
  </si>
  <si>
    <t>Sp和Sk的ap-20%
AC1和AC3的需求相当高 AC3炸了要吃48000扣血 且都放不出两个SP
使得这个曲子很不适合刮痧
AC2 6/11特技 AC4 3/7特技 期间Gd发动率+50% 建议双前线或3Gd炮灰</t>
    <phoneticPr fontId="1" type="noConversion"/>
  </si>
  <si>
    <t>28层</t>
    <phoneticPr fontId="1" type="noConversion"/>
  </si>
  <si>
    <t>5次</t>
    <phoneticPr fontId="1" type="noConversion"/>
  </si>
  <si>
    <t>6次</t>
    <phoneticPr fontId="1" type="noConversion"/>
  </si>
  <si>
    <t>哀温ノ詩</t>
    <phoneticPr fontId="1" type="noConversion"/>
  </si>
  <si>
    <t>68/130</t>
    <phoneticPr fontId="1" type="noConversion"/>
  </si>
  <si>
    <t>29层</t>
    <phoneticPr fontId="1" type="noConversion"/>
  </si>
  <si>
    <t>Say Good-Bye 涙</t>
    <phoneticPr fontId="1" type="noConversion"/>
  </si>
  <si>
    <t>85/168</t>
    <phoneticPr fontId="1" type="noConversion"/>
  </si>
  <si>
    <t>106/173</t>
    <phoneticPr fontId="1" type="noConversion"/>
  </si>
  <si>
    <t>30层</t>
    <phoneticPr fontId="1" type="noConversion"/>
  </si>
  <si>
    <t>红色以外ap-10%
注意上点好卡，好歹单键21200</t>
    <phoneticPr fontId="1" type="noConversion"/>
  </si>
  <si>
    <t>TOKIMEKI Runners 17章Ver.</t>
    <phoneticPr fontId="1" type="noConversion"/>
  </si>
  <si>
    <t>72/143</t>
    <phoneticPr fontId="1" type="noConversion"/>
  </si>
  <si>
    <t>Gd和Sk的基本SP槽-20%
AC3 65-85打120000SP分 期间VoSp的SP槽+20% 单充电满触发也打不出两个SP
基本只能双充电或者两个高破强输出才能打，核弹的用处不大
炸AC3的后果是少500000分和扣15000血，后面还有AC5，谨慎考虑
AC1记得带开局SP的卡
AC5的分数要求相当相当高，单键20000+，考虑一下SP
这次活动基本就死在这了，对于绝对多数的玩家这次活动都不能通过29</t>
    <phoneticPr fontId="1" type="noConversion"/>
  </si>
  <si>
    <t>黄色以外基本ap-20%
低键数导致高单键伤害，高通过需求
AC2，AC4期间Vo以外ap-50%，至少需要一个高输出Vo
AC5，119-141打出128000SP分，两个解决方案：
1. 全UR VoGdSp 充电特技3/7 （副队放SR充电很难充满）
2. 从AC3开始憋核弹并准备3Vo副队，在AC快结束时切过去放SP
对于绝大多数的玩家，这里之前会用完第一条命</t>
    <phoneticPr fontId="1" type="noConversion"/>
  </si>
  <si>
    <t>绿色以外基本ap-20%
特效回复9000*Sk
很低的note数和相对较低的AC分导致了极高的单键伤害和通关需求
AC1和AC3绿色巨大优势，不用绿色过AC3很困难
AC2 10/20特技 AC4 4/7特技 单Sk前排通过率大概1/4 注意把Sk放3号位
或者也可以搞3Sk炮灰副队
注意900*1.15&gt;1000，可以用曜</t>
    <phoneticPr fontId="1" type="noConversion"/>
  </si>
  <si>
    <t>黄色以外ap-20%
AC3基本毫无希望 需要高破顶配输出 放弃的损失是262000分和13000血 推荐放弃
AC1 15-46打118000SP分 需要单充电
AC2 8/18特技 虹和Gd发动率+20% 不想SL可以搞3Gd炮灰
注意969*1.05&gt;1000，可以用曜</t>
    <phoneticPr fontId="1" type="noConversion"/>
  </si>
  <si>
    <t>68/175</t>
    <phoneticPr fontId="1" type="noConversion"/>
  </si>
  <si>
    <t>4.5</t>
    <phoneticPr fontId="1" type="noConversion"/>
  </si>
  <si>
    <t>添加了Sheet1（？</t>
    <phoneticPr fontId="1" type="noConversion"/>
  </si>
  <si>
    <t>UR</t>
    <phoneticPr fontId="1" type="noConversion"/>
  </si>
  <si>
    <t>vo</t>
    <phoneticPr fontId="1" type="noConversion"/>
  </si>
  <si>
    <t>紫</t>
    <phoneticPr fontId="1" type="noConversion"/>
  </si>
  <si>
    <t>鞠莉</t>
    <phoneticPr fontId="1" type="noConversion"/>
  </si>
  <si>
    <t>ap</t>
    <phoneticPr fontId="1" type="noConversion"/>
  </si>
  <si>
    <t>ap+</t>
    <phoneticPr fontId="1" type="noConversion"/>
  </si>
  <si>
    <t>同属性</t>
    <phoneticPr fontId="1" type="noConversion"/>
  </si>
  <si>
    <t>AC成功</t>
    <phoneticPr fontId="1" type="noConversion"/>
  </si>
  <si>
    <t>sk</t>
    <phoneticPr fontId="1" type="noConversion"/>
  </si>
  <si>
    <t>绿</t>
    <phoneticPr fontId="1" type="noConversion"/>
  </si>
  <si>
    <t>海未</t>
    <phoneticPr fontId="1" type="noConversion"/>
  </si>
  <si>
    <t>vo+</t>
    <phoneticPr fontId="1" type="noConversion"/>
  </si>
  <si>
    <t>SR</t>
    <phoneticPr fontId="1" type="noConversion"/>
  </si>
  <si>
    <t>gd</t>
    <phoneticPr fontId="1" type="noConversion"/>
  </si>
  <si>
    <t>红</t>
    <phoneticPr fontId="1" type="noConversion"/>
  </si>
  <si>
    <t>彼方</t>
    <phoneticPr fontId="1" type="noConversion"/>
  </si>
  <si>
    <t>UR</t>
    <phoneticPr fontId="1" type="noConversion"/>
  </si>
  <si>
    <t>粉</t>
    <phoneticPr fontId="1" type="noConversion"/>
  </si>
  <si>
    <t>果林</t>
    <phoneticPr fontId="1" type="noConversion"/>
  </si>
  <si>
    <t>st</t>
    <phoneticPr fontId="1" type="noConversion"/>
  </si>
  <si>
    <t>自身</t>
    <phoneticPr fontId="1" type="noConversion"/>
  </si>
  <si>
    <t>sp</t>
    <phoneticPr fontId="1" type="noConversion"/>
  </si>
  <si>
    <t>紫</t>
    <phoneticPr fontId="1" type="noConversion"/>
  </si>
  <si>
    <t>千歌</t>
    <phoneticPr fontId="1" type="noConversion"/>
  </si>
  <si>
    <t>全员</t>
    <phoneticPr fontId="1" type="noConversion"/>
  </si>
  <si>
    <t>sp+</t>
    <phoneticPr fontId="1" type="noConversion"/>
  </si>
  <si>
    <t>sk</t>
    <phoneticPr fontId="1" type="noConversion"/>
  </si>
  <si>
    <t>蓝</t>
    <phoneticPr fontId="1" type="noConversion"/>
  </si>
  <si>
    <t>小鸟</t>
    <phoneticPr fontId="1" type="noConversion"/>
  </si>
  <si>
    <t>同作战</t>
    <phoneticPr fontId="1" type="noConversion"/>
  </si>
  <si>
    <t>万圣鞠</t>
    <phoneticPr fontId="1" type="noConversion"/>
  </si>
  <si>
    <t>三专彼</t>
    <phoneticPr fontId="1" type="noConversion"/>
  </si>
  <si>
    <t>万圣海</t>
    <phoneticPr fontId="1" type="noConversion"/>
  </si>
  <si>
    <t>万圣林</t>
    <phoneticPr fontId="1" type="noConversion"/>
  </si>
  <si>
    <t>四单千</t>
    <phoneticPr fontId="1" type="noConversion"/>
  </si>
  <si>
    <t>梦门鸟</t>
    <phoneticPr fontId="1" type="noConversion"/>
  </si>
  <si>
    <t>万圣林</t>
  </si>
  <si>
    <t>万圣海</t>
  </si>
  <si>
    <t>4.6</t>
    <phoneticPr fontId="1" type="noConversion"/>
  </si>
  <si>
    <t>添加了新卡数据</t>
    <phoneticPr fontId="1" type="noConversion"/>
  </si>
  <si>
    <t>vo增加ap</t>
    <phoneticPr fontId="1" type="noConversion"/>
  </si>
  <si>
    <t>gd增加ap</t>
    <phoneticPr fontId="1" type="noConversion"/>
  </si>
  <si>
    <t>sp增加ap</t>
    <phoneticPr fontId="1" type="noConversion"/>
  </si>
  <si>
    <t>sk增加ap</t>
    <phoneticPr fontId="1" type="noConversion"/>
  </si>
  <si>
    <t>将指定type的卡片的ap增加或减少的超参数拆分为4个</t>
    <phoneticPr fontId="1" type="noConversion"/>
  </si>
  <si>
    <t>隐藏了Sheet1</t>
    <phoneticPr fontId="1" type="noConversion"/>
  </si>
  <si>
    <t>98/170</t>
    <phoneticPr fontId="1" type="noConversion"/>
  </si>
  <si>
    <t>101/176</t>
    <phoneticPr fontId="1" type="noConversion"/>
  </si>
  <si>
    <t>87/170</t>
    <phoneticPr fontId="1" type="noConversion"/>
  </si>
  <si>
    <t>68/175</t>
    <phoneticPr fontId="1" type="noConversion"/>
  </si>
  <si>
    <t>62/140</t>
    <phoneticPr fontId="1" type="noConversion"/>
  </si>
  <si>
    <t>62/176</t>
    <phoneticPr fontId="1" type="noConversion"/>
  </si>
  <si>
    <t>Poppin' Up!</t>
    <phoneticPr fontId="1" type="noConversion"/>
  </si>
  <si>
    <t>虹色Passions！</t>
    <phoneticPr fontId="1" type="noConversion"/>
  </si>
  <si>
    <t>DIVE！</t>
    <phoneticPr fontId="1" type="noConversion"/>
  </si>
  <si>
    <t>绿</t>
    <phoneticPr fontId="1" type="noConversion"/>
  </si>
  <si>
    <t>蓝</t>
    <phoneticPr fontId="1" type="noConversion"/>
  </si>
  <si>
    <t>83/162</t>
    <phoneticPr fontId="1" type="noConversion"/>
  </si>
  <si>
    <t>78/159</t>
    <phoneticPr fontId="1" type="noConversion"/>
  </si>
  <si>
    <t>99/172</t>
    <phoneticPr fontId="1" type="noConversion"/>
  </si>
  <si>
    <t>103/174</t>
    <phoneticPr fontId="1" type="noConversion"/>
  </si>
  <si>
    <t>UR</t>
    <phoneticPr fontId="1" type="noConversion"/>
  </si>
  <si>
    <t>sp</t>
    <phoneticPr fontId="1" type="noConversion"/>
  </si>
  <si>
    <t>gd</t>
    <phoneticPr fontId="1" type="noConversion"/>
  </si>
  <si>
    <t>黄</t>
    <phoneticPr fontId="1" type="noConversion"/>
  </si>
  <si>
    <t>希</t>
    <phoneticPr fontId="1" type="noConversion"/>
  </si>
  <si>
    <t>核弹</t>
    <phoneticPr fontId="1" type="noConversion"/>
  </si>
  <si>
    <t>红</t>
    <phoneticPr fontId="1" type="noConversion"/>
  </si>
  <si>
    <t>璃奈</t>
    <phoneticPr fontId="1" type="noConversion"/>
  </si>
  <si>
    <t>切队</t>
    <phoneticPr fontId="1" type="noConversion"/>
  </si>
  <si>
    <t>回血</t>
    <phoneticPr fontId="1" type="noConversion"/>
  </si>
  <si>
    <t>三专步</t>
    <phoneticPr fontId="1" type="noConversion"/>
  </si>
  <si>
    <t>全员</t>
    <phoneticPr fontId="1" type="noConversion"/>
  </si>
  <si>
    <t>减伤</t>
    <phoneticPr fontId="1" type="noConversion"/>
  </si>
  <si>
    <t>四单曜</t>
    <phoneticPr fontId="1" type="noConversion"/>
  </si>
  <si>
    <t>蓝</t>
    <phoneticPr fontId="1" type="noConversion"/>
  </si>
  <si>
    <t>曜</t>
    <phoneticPr fontId="1" type="noConversion"/>
  </si>
  <si>
    <t>添加了新卡数据</t>
    <phoneticPr fontId="1" type="noConversion"/>
  </si>
  <si>
    <t>修正了R和SR在满级以上数值的公式</t>
    <phoneticPr fontId="1" type="noConversion"/>
  </si>
  <si>
    <t>添加了一些奇怪的东西（？</t>
    <phoneticPr fontId="1" type="noConversion"/>
  </si>
  <si>
    <t>补全了部分歌曲数据</t>
    <phoneticPr fontId="1" type="noConversion"/>
  </si>
  <si>
    <t>4.7</t>
    <phoneticPr fontId="1" type="noConversion"/>
  </si>
  <si>
    <t>gd</t>
    <phoneticPr fontId="1" type="noConversion"/>
  </si>
  <si>
    <t>穗乃果</t>
    <phoneticPr fontId="1" type="noConversion"/>
  </si>
  <si>
    <t>全员</t>
    <phoneticPr fontId="1" type="noConversion"/>
  </si>
  <si>
    <t>减伤</t>
    <phoneticPr fontId="1" type="noConversion"/>
  </si>
  <si>
    <t>vo</t>
    <phoneticPr fontId="1" type="noConversion"/>
  </si>
  <si>
    <t>红</t>
    <phoneticPr fontId="1" type="noConversion"/>
  </si>
  <si>
    <t>花丸</t>
    <phoneticPr fontId="1" type="noConversion"/>
  </si>
  <si>
    <t>同属性</t>
    <phoneticPr fontId="1" type="noConversion"/>
  </si>
  <si>
    <t>ap+</t>
    <phoneticPr fontId="1" type="noConversion"/>
  </si>
  <si>
    <t>sk</t>
    <phoneticPr fontId="1" type="noConversion"/>
  </si>
  <si>
    <t>黄</t>
    <phoneticPr fontId="1" type="noConversion"/>
  </si>
  <si>
    <t>爱</t>
    <phoneticPr fontId="1" type="noConversion"/>
  </si>
  <si>
    <t>vo获得</t>
    <phoneticPr fontId="1" type="noConversion"/>
  </si>
  <si>
    <t>sp</t>
    <phoneticPr fontId="1" type="noConversion"/>
  </si>
  <si>
    <t>T台果</t>
  </si>
  <si>
    <t>T台果</t>
    <phoneticPr fontId="1" type="noConversion"/>
  </si>
  <si>
    <t>T台爱</t>
    <phoneticPr fontId="1" type="noConversion"/>
  </si>
  <si>
    <t>T台黛</t>
    <phoneticPr fontId="1" type="noConversion"/>
  </si>
  <si>
    <t>四单丸</t>
    <phoneticPr fontId="1" type="noConversion"/>
  </si>
  <si>
    <t>紫</t>
    <phoneticPr fontId="1" type="noConversion"/>
  </si>
  <si>
    <t>黛雅</t>
    <phoneticPr fontId="1" type="noConversion"/>
  </si>
  <si>
    <t>核弹</t>
    <phoneticPr fontId="1" type="noConversion"/>
  </si>
  <si>
    <t>梦门希</t>
    <phoneticPr fontId="1" type="noConversion"/>
  </si>
  <si>
    <t>绿</t>
    <phoneticPr fontId="1" type="noConversion"/>
  </si>
  <si>
    <t>希</t>
    <phoneticPr fontId="1" type="noConversion"/>
  </si>
  <si>
    <t>三专雫</t>
  </si>
  <si>
    <t>三专雫</t>
    <phoneticPr fontId="1" type="noConversion"/>
  </si>
  <si>
    <t>雫</t>
    <phoneticPr fontId="1" type="noConversion"/>
  </si>
  <si>
    <t>添加并隐藏了什么东西（？</t>
    <phoneticPr fontId="1" type="noConversion"/>
  </si>
  <si>
    <t>4.8</t>
    <phoneticPr fontId="1" type="noConversion"/>
  </si>
  <si>
    <t>UR</t>
    <phoneticPr fontId="1" type="noConversion"/>
  </si>
  <si>
    <t>sk</t>
    <phoneticPr fontId="1" type="noConversion"/>
  </si>
  <si>
    <t>卡池卡</t>
    <phoneticPr fontId="1" type="noConversion"/>
  </si>
  <si>
    <t>千歌</t>
    <phoneticPr fontId="1" type="noConversion"/>
  </si>
  <si>
    <t>vo+</t>
    <phoneticPr fontId="1" type="noConversion"/>
  </si>
  <si>
    <t>te</t>
    <phoneticPr fontId="1" type="noConversion"/>
  </si>
  <si>
    <t>加盾</t>
    <phoneticPr fontId="1" type="noConversion"/>
  </si>
  <si>
    <t>学渣千</t>
  </si>
  <si>
    <t>学渣千</t>
    <phoneticPr fontId="1" type="noConversion"/>
  </si>
  <si>
    <t>梦门姬</t>
    <phoneticPr fontId="1" type="noConversion"/>
  </si>
  <si>
    <t>SR</t>
    <phoneticPr fontId="1" type="noConversion"/>
  </si>
  <si>
    <t>sk</t>
    <phoneticPr fontId="1" type="noConversion"/>
  </si>
  <si>
    <t>卡池卡</t>
    <phoneticPr fontId="1" type="noConversion"/>
  </si>
  <si>
    <t>黄</t>
    <phoneticPr fontId="1" type="noConversion"/>
  </si>
  <si>
    <t>4.9</t>
    <phoneticPr fontId="1" type="noConversion"/>
  </si>
  <si>
    <t>添加了新卡数据</t>
    <phoneticPr fontId="1" type="noConversion"/>
  </si>
  <si>
    <t>修正了特技2的强度的计算</t>
    <phoneticPr fontId="1" type="noConversion"/>
  </si>
  <si>
    <t>ap+</t>
    <phoneticPr fontId="1" type="noConversion"/>
  </si>
  <si>
    <t>乐园彼</t>
    <phoneticPr fontId="1" type="noConversion"/>
  </si>
  <si>
    <t>sp</t>
    <phoneticPr fontId="1" type="noConversion"/>
  </si>
  <si>
    <t>红</t>
    <phoneticPr fontId="1" type="noConversion"/>
  </si>
  <si>
    <t>彼方</t>
    <phoneticPr fontId="1" type="noConversion"/>
  </si>
  <si>
    <t>sp+</t>
    <phoneticPr fontId="1" type="noConversion"/>
  </si>
  <si>
    <t>同作战</t>
    <phoneticPr fontId="1" type="noConversion"/>
  </si>
  <si>
    <t>梦门凛</t>
    <phoneticPr fontId="1" type="noConversion"/>
  </si>
  <si>
    <t>gd</t>
    <phoneticPr fontId="1" type="noConversion"/>
  </si>
  <si>
    <t>粉</t>
    <phoneticPr fontId="1" type="noConversion"/>
  </si>
  <si>
    <t>凛</t>
    <phoneticPr fontId="1" type="noConversion"/>
  </si>
  <si>
    <t>乐园善</t>
    <phoneticPr fontId="1" type="noConversion"/>
  </si>
  <si>
    <t>vo</t>
    <phoneticPr fontId="1" type="noConversion"/>
  </si>
  <si>
    <t>绿</t>
    <phoneticPr fontId="1" type="noConversion"/>
  </si>
  <si>
    <t>善子</t>
    <phoneticPr fontId="1" type="noConversion"/>
  </si>
  <si>
    <t>同属性</t>
    <phoneticPr fontId="1" type="noConversion"/>
  </si>
  <si>
    <t>ct+</t>
    <phoneticPr fontId="1" type="noConversion"/>
  </si>
  <si>
    <t>乐园姬</t>
    <phoneticPr fontId="1" type="noConversion"/>
  </si>
  <si>
    <t>sk</t>
    <phoneticPr fontId="1" type="noConversion"/>
  </si>
  <si>
    <t>绿</t>
    <phoneticPr fontId="1" type="noConversion"/>
  </si>
  <si>
    <t>全员</t>
    <phoneticPr fontId="1" type="noConversion"/>
  </si>
  <si>
    <t>ct+</t>
    <phoneticPr fontId="1" type="noConversion"/>
  </si>
  <si>
    <t>三专霞</t>
    <phoneticPr fontId="1" type="noConversion"/>
  </si>
  <si>
    <t>sp</t>
    <phoneticPr fontId="1" type="noConversion"/>
  </si>
  <si>
    <t>粉</t>
    <phoneticPr fontId="1" type="noConversion"/>
  </si>
  <si>
    <t>霞</t>
    <phoneticPr fontId="1" type="noConversion"/>
  </si>
  <si>
    <t>百分比</t>
    <phoneticPr fontId="1" type="noConversion"/>
  </si>
  <si>
    <t>四单鞠</t>
  </si>
  <si>
    <t>四单鞠</t>
    <phoneticPr fontId="1" type="noConversion"/>
  </si>
  <si>
    <t>gd</t>
    <phoneticPr fontId="1" type="noConversion"/>
  </si>
  <si>
    <t>黄</t>
    <phoneticPr fontId="1" type="noConversion"/>
  </si>
  <si>
    <t>鞠莉</t>
    <phoneticPr fontId="1" type="noConversion"/>
  </si>
  <si>
    <t>切队</t>
    <phoneticPr fontId="1" type="noConversion"/>
  </si>
  <si>
    <t>减伤</t>
    <phoneticPr fontId="1" type="noConversion"/>
  </si>
  <si>
    <t>梦门凛</t>
  </si>
  <si>
    <t>（我还干啥了来着</t>
    <phoneticPr fontId="1" type="noConversion"/>
  </si>
  <si>
    <t>4.10</t>
    <phoneticPr fontId="1" type="noConversion"/>
  </si>
  <si>
    <t>Happy maker!</t>
    <phoneticPr fontId="1" type="noConversion"/>
  </si>
  <si>
    <t>红</t>
    <phoneticPr fontId="1" type="noConversion"/>
  </si>
  <si>
    <t>蓝</t>
    <phoneticPr fontId="1" type="noConversion"/>
  </si>
  <si>
    <t>Love U my friends</t>
    <phoneticPr fontId="1" type="noConversion"/>
  </si>
  <si>
    <t>Love U my friends(2D)</t>
    <phoneticPr fontId="1" type="noConversion"/>
  </si>
  <si>
    <t>UR</t>
    <phoneticPr fontId="1" type="noConversion"/>
  </si>
  <si>
    <t>sk</t>
    <phoneticPr fontId="1" type="noConversion"/>
  </si>
  <si>
    <t>vo</t>
    <phoneticPr fontId="1" type="noConversion"/>
  </si>
  <si>
    <t>蓝</t>
    <phoneticPr fontId="1" type="noConversion"/>
  </si>
  <si>
    <t>步梦</t>
    <phoneticPr fontId="1" type="noConversion"/>
  </si>
  <si>
    <t>粉</t>
    <phoneticPr fontId="1" type="noConversion"/>
  </si>
  <si>
    <t>栞子</t>
    <phoneticPr fontId="1" type="noConversion"/>
  </si>
  <si>
    <t>添加了新卡数据</t>
    <phoneticPr fontId="1" type="noConversion"/>
  </si>
  <si>
    <t>修正了中秋凛个性2的错误</t>
    <phoneticPr fontId="1" type="noConversion"/>
  </si>
  <si>
    <t>梦门果</t>
    <phoneticPr fontId="1" type="noConversion"/>
  </si>
  <si>
    <t>SR</t>
    <phoneticPr fontId="1" type="noConversion"/>
  </si>
  <si>
    <t>sk</t>
    <phoneticPr fontId="1" type="noConversion"/>
  </si>
  <si>
    <t>卡池卡</t>
    <phoneticPr fontId="1" type="noConversion"/>
  </si>
  <si>
    <t>紫</t>
    <phoneticPr fontId="1" type="noConversion"/>
  </si>
  <si>
    <t>同作战</t>
    <phoneticPr fontId="1" type="noConversion"/>
  </si>
  <si>
    <t>三专璃</t>
    <phoneticPr fontId="1" type="noConversion"/>
  </si>
  <si>
    <t>sp</t>
    <phoneticPr fontId="1" type="noConversion"/>
  </si>
  <si>
    <t>蓝</t>
    <phoneticPr fontId="1" type="noConversion"/>
  </si>
  <si>
    <t>璃奈</t>
    <phoneticPr fontId="1" type="noConversion"/>
  </si>
  <si>
    <t>全员</t>
    <phoneticPr fontId="1" type="noConversion"/>
  </si>
  <si>
    <t>ap+</t>
    <phoneticPr fontId="1" type="noConversion"/>
  </si>
  <si>
    <t>同属性</t>
    <phoneticPr fontId="1" type="noConversion"/>
  </si>
  <si>
    <t>4.11</t>
    <phoneticPr fontId="1" type="noConversion"/>
  </si>
  <si>
    <t>添加了部分歌曲数据</t>
    <phoneticPr fontId="1" type="noConversion"/>
  </si>
  <si>
    <t>Various bugs added（问题发言</t>
    <phoneticPr fontId="1" type="noConversion"/>
  </si>
  <si>
    <t>紧急修复了fes栞子的特技错误</t>
    <phoneticPr fontId="1" type="noConversion"/>
  </si>
  <si>
    <t>4.12</t>
    <phoneticPr fontId="1" type="noConversion"/>
  </si>
  <si>
    <t>仲间</t>
    <phoneticPr fontId="1" type="noConversion"/>
  </si>
  <si>
    <t>66/170</t>
    <phoneticPr fontId="1" type="noConversion"/>
  </si>
  <si>
    <t>粉</t>
    <phoneticPr fontId="1" type="noConversion"/>
  </si>
  <si>
    <t>78/171</t>
    <phoneticPr fontId="1" type="noConversion"/>
  </si>
  <si>
    <t>93/163</t>
    <phoneticPr fontId="1" type="noConversion"/>
  </si>
  <si>
    <t>COLORFUL VOICE</t>
    <phoneticPr fontId="1" type="noConversion"/>
  </si>
  <si>
    <t>蓝</t>
    <phoneticPr fontId="1" type="noConversion"/>
  </si>
  <si>
    <t>136/191</t>
    <phoneticPr fontId="1" type="noConversion"/>
  </si>
  <si>
    <t>圣诞鸟</t>
    <phoneticPr fontId="1" type="noConversion"/>
  </si>
  <si>
    <t>vo</t>
    <phoneticPr fontId="1" type="noConversion"/>
  </si>
  <si>
    <t>红</t>
    <phoneticPr fontId="1" type="noConversion"/>
  </si>
  <si>
    <t>小鸟</t>
    <phoneticPr fontId="1" type="noConversion"/>
  </si>
  <si>
    <t>圣诞菜</t>
    <phoneticPr fontId="1" type="noConversion"/>
  </si>
  <si>
    <t>sp</t>
    <phoneticPr fontId="1" type="noConversion"/>
  </si>
  <si>
    <t>雪菜</t>
    <phoneticPr fontId="1" type="noConversion"/>
  </si>
  <si>
    <t>粉</t>
    <phoneticPr fontId="1" type="noConversion"/>
  </si>
  <si>
    <t>圣诞曜</t>
    <phoneticPr fontId="1" type="noConversion"/>
  </si>
  <si>
    <t>gd</t>
    <phoneticPr fontId="1" type="noConversion"/>
  </si>
  <si>
    <t>黄</t>
    <phoneticPr fontId="1" type="noConversion"/>
  </si>
  <si>
    <t>曜</t>
    <phoneticPr fontId="1" type="noConversion"/>
  </si>
  <si>
    <t>四单露</t>
    <phoneticPr fontId="1" type="noConversion"/>
  </si>
  <si>
    <t>绿</t>
    <phoneticPr fontId="1" type="noConversion"/>
  </si>
  <si>
    <t>露比</t>
    <phoneticPr fontId="1" type="noConversion"/>
  </si>
  <si>
    <t>梦门花</t>
    <phoneticPr fontId="1" type="noConversion"/>
  </si>
  <si>
    <t>花阳</t>
    <phoneticPr fontId="1" type="noConversion"/>
  </si>
  <si>
    <t>三专爱</t>
    <phoneticPr fontId="1" type="noConversion"/>
  </si>
  <si>
    <t>sk</t>
    <phoneticPr fontId="1" type="noConversion"/>
  </si>
  <si>
    <t>爱</t>
    <phoneticPr fontId="1" type="noConversion"/>
  </si>
  <si>
    <t>同作战</t>
    <phoneticPr fontId="1" type="noConversion"/>
  </si>
  <si>
    <t>infty</t>
    <phoneticPr fontId="1" type="noConversion"/>
  </si>
  <si>
    <t>ct+</t>
    <phoneticPr fontId="1" type="noConversion"/>
  </si>
  <si>
    <t>4.13</t>
    <phoneticPr fontId="1" type="noConversion"/>
  </si>
  <si>
    <t>添加了新卡数据</t>
    <phoneticPr fontId="1" type="noConversion"/>
  </si>
  <si>
    <t>温泉丸</t>
    <phoneticPr fontId="1" type="noConversion"/>
  </si>
  <si>
    <t>白雪妮</t>
    <phoneticPr fontId="1" type="noConversion"/>
  </si>
  <si>
    <t>UR</t>
    <phoneticPr fontId="1" type="noConversion"/>
  </si>
  <si>
    <t>sp</t>
    <phoneticPr fontId="1" type="noConversion"/>
  </si>
  <si>
    <t>卡池卡</t>
    <phoneticPr fontId="1" type="noConversion"/>
  </si>
  <si>
    <t>妮可</t>
    <phoneticPr fontId="1" type="noConversion"/>
  </si>
  <si>
    <t>黄</t>
    <phoneticPr fontId="1" type="noConversion"/>
  </si>
  <si>
    <t>四单黛</t>
    <phoneticPr fontId="1" type="noConversion"/>
  </si>
  <si>
    <t>SR</t>
    <phoneticPr fontId="1" type="noConversion"/>
  </si>
  <si>
    <t>gd</t>
    <phoneticPr fontId="1" type="noConversion"/>
  </si>
  <si>
    <t>蓝</t>
    <phoneticPr fontId="1" type="noConversion"/>
  </si>
  <si>
    <t>黛雅</t>
    <phoneticPr fontId="1" type="noConversion"/>
  </si>
  <si>
    <t>4.14</t>
    <phoneticPr fontId="1" type="noConversion"/>
  </si>
  <si>
    <t>四单黛</t>
  </si>
  <si>
    <t>4.15</t>
    <phoneticPr fontId="1" type="noConversion"/>
  </si>
  <si>
    <t>更新了魔法希的数据</t>
    <phoneticPr fontId="1" type="noConversion"/>
  </si>
  <si>
    <t>恶魔希</t>
    <phoneticPr fontId="1" type="noConversion"/>
  </si>
  <si>
    <t>gd</t>
    <phoneticPr fontId="1" type="noConversion"/>
  </si>
  <si>
    <t>蓝</t>
    <phoneticPr fontId="1" type="noConversion"/>
  </si>
  <si>
    <t>希</t>
    <phoneticPr fontId="1" type="noConversion"/>
  </si>
  <si>
    <t>四单善</t>
    <phoneticPr fontId="1" type="noConversion"/>
  </si>
  <si>
    <t>vo</t>
    <phoneticPr fontId="1" type="noConversion"/>
  </si>
  <si>
    <t>善子</t>
    <phoneticPr fontId="1" type="noConversion"/>
  </si>
  <si>
    <t>同属性</t>
    <phoneticPr fontId="1" type="noConversion"/>
  </si>
  <si>
    <t>恶魔艾</t>
    <phoneticPr fontId="1" type="noConversion"/>
  </si>
  <si>
    <t>sp</t>
    <phoneticPr fontId="1" type="noConversion"/>
  </si>
  <si>
    <t>粉</t>
    <phoneticPr fontId="1" type="noConversion"/>
  </si>
  <si>
    <t>艾玛</t>
    <phoneticPr fontId="1" type="noConversion"/>
  </si>
  <si>
    <t>恶魔丸</t>
    <phoneticPr fontId="1" type="noConversion"/>
  </si>
  <si>
    <t>sk</t>
    <phoneticPr fontId="1" type="noConversion"/>
  </si>
  <si>
    <t>绿</t>
    <phoneticPr fontId="1" type="noConversion"/>
  </si>
  <si>
    <t>花丸</t>
    <phoneticPr fontId="1" type="noConversion"/>
  </si>
  <si>
    <t>技能+</t>
    <phoneticPr fontId="1" type="noConversion"/>
  </si>
  <si>
    <t>同作战</t>
    <phoneticPr fontId="1" type="noConversion"/>
  </si>
  <si>
    <t>梦门海</t>
    <phoneticPr fontId="1" type="noConversion"/>
  </si>
  <si>
    <t>红</t>
    <phoneticPr fontId="1" type="noConversion"/>
  </si>
  <si>
    <t>海未</t>
    <phoneticPr fontId="1" type="noConversion"/>
  </si>
  <si>
    <t>三专林</t>
    <phoneticPr fontId="1" type="noConversion"/>
  </si>
  <si>
    <t>果林</t>
    <phoneticPr fontId="1" type="noConversion"/>
  </si>
  <si>
    <t>69/185</t>
    <phoneticPr fontId="1" type="noConversion"/>
  </si>
  <si>
    <t>84/179</t>
    <phoneticPr fontId="1" type="noConversion"/>
  </si>
  <si>
    <t>80/174</t>
    <phoneticPr fontId="1" type="noConversion"/>
  </si>
  <si>
    <t>ジングルベルがとまらない</t>
    <phoneticPr fontId="1" type="noConversion"/>
  </si>
  <si>
    <t>92/186</t>
    <phoneticPr fontId="1" type="noConversion"/>
  </si>
  <si>
    <t>108/179</t>
    <phoneticPr fontId="1" type="noConversion"/>
  </si>
  <si>
    <t>62/158</t>
    <phoneticPr fontId="1" type="noConversion"/>
  </si>
  <si>
    <t>62/167</t>
    <phoneticPr fontId="1" type="noConversion"/>
  </si>
  <si>
    <t>50/160</t>
    <phoneticPr fontId="1" type="noConversion"/>
  </si>
  <si>
    <t>78/170</t>
    <phoneticPr fontId="1" type="noConversion"/>
  </si>
  <si>
    <t>黄</t>
    <phoneticPr fontId="1" type="noConversion"/>
  </si>
  <si>
    <t>青空Jumping Heart</t>
    <phoneticPr fontId="1" type="noConversion"/>
  </si>
  <si>
    <t>145/264</t>
    <phoneticPr fontId="1" type="noConversion"/>
  </si>
  <si>
    <t>サイコーハート</t>
    <phoneticPr fontId="1" type="noConversion"/>
  </si>
  <si>
    <t>95/165</t>
    <phoneticPr fontId="1" type="noConversion"/>
  </si>
  <si>
    <t>La Bella Patria</t>
    <phoneticPr fontId="1" type="noConversion"/>
  </si>
  <si>
    <t>67/179</t>
    <phoneticPr fontId="1" type="noConversion"/>
  </si>
  <si>
    <t>ツナガルコネクト</t>
    <phoneticPr fontId="1" type="noConversion"/>
  </si>
  <si>
    <t>57/166</t>
    <phoneticPr fontId="1" type="noConversion"/>
  </si>
  <si>
    <t>Butterfly</t>
    <phoneticPr fontId="1" type="noConversion"/>
  </si>
  <si>
    <t>110/164</t>
    <phoneticPr fontId="1" type="noConversion"/>
  </si>
  <si>
    <t>Solitude Rain</t>
    <phoneticPr fontId="1" type="noConversion"/>
  </si>
  <si>
    <t>88/166</t>
    <phoneticPr fontId="1" type="noConversion"/>
  </si>
  <si>
    <t>VIVID WORLD</t>
    <phoneticPr fontId="1" type="noConversion"/>
  </si>
  <si>
    <t>89/173</t>
    <phoneticPr fontId="1" type="noConversion"/>
  </si>
  <si>
    <t>NEO SKY, NEO MAP!</t>
    <phoneticPr fontId="1" type="noConversion"/>
  </si>
  <si>
    <t>添加了大部分歌曲数据</t>
    <phoneticPr fontId="1" type="noConversion"/>
  </si>
  <si>
    <t>4.16</t>
    <phoneticPr fontId="1" type="noConversion"/>
  </si>
  <si>
    <t>Snow halation</t>
    <phoneticPr fontId="1" type="noConversion"/>
  </si>
  <si>
    <t>128/287</t>
    <phoneticPr fontId="1" type="noConversion"/>
  </si>
  <si>
    <t>Awakening Promise</t>
    <phoneticPr fontId="1" type="noConversion"/>
  </si>
  <si>
    <t>蓝</t>
    <phoneticPr fontId="1" type="noConversion"/>
  </si>
  <si>
    <t>sk</t>
    <phoneticPr fontId="1" type="noConversion"/>
  </si>
  <si>
    <t>gd</t>
    <phoneticPr fontId="1" type="noConversion"/>
  </si>
  <si>
    <t>vo</t>
    <phoneticPr fontId="1" type="noConversion"/>
  </si>
  <si>
    <t>绘里</t>
    <phoneticPr fontId="1" type="noConversion"/>
  </si>
  <si>
    <t>紫</t>
    <phoneticPr fontId="1" type="noConversion"/>
  </si>
  <si>
    <t>果南</t>
    <phoneticPr fontId="1" type="noConversion"/>
  </si>
  <si>
    <t>霞</t>
    <phoneticPr fontId="1" type="noConversion"/>
  </si>
  <si>
    <t>同type</t>
    <phoneticPr fontId="1" type="noConversion"/>
  </si>
  <si>
    <t>sp</t>
    <phoneticPr fontId="1" type="noConversion"/>
  </si>
  <si>
    <t>三专菜</t>
    <phoneticPr fontId="1" type="noConversion"/>
  </si>
  <si>
    <t>四单梨</t>
    <phoneticPr fontId="1" type="noConversion"/>
  </si>
  <si>
    <t>绿</t>
    <phoneticPr fontId="1" type="noConversion"/>
  </si>
  <si>
    <t>雪菜</t>
    <phoneticPr fontId="1" type="noConversion"/>
  </si>
  <si>
    <t>核弹</t>
    <phoneticPr fontId="1" type="noConversion"/>
  </si>
  <si>
    <t>梨子</t>
    <phoneticPr fontId="1" type="noConversion"/>
  </si>
  <si>
    <t>同属性</t>
    <phoneticPr fontId="1" type="noConversion"/>
  </si>
  <si>
    <t>4.17</t>
    <phoneticPr fontId="1" type="noConversion"/>
  </si>
  <si>
    <t>添加了新卡数据</t>
    <phoneticPr fontId="1" type="noConversion"/>
  </si>
  <si>
    <t>变更了部分卡片的名字</t>
    <phoneticPr fontId="1" type="noConversion"/>
  </si>
  <si>
    <t>不良鸟</t>
  </si>
  <si>
    <t>不良千</t>
  </si>
  <si>
    <t>不良菜</t>
  </si>
  <si>
    <t>新年花</t>
    <phoneticPr fontId="1" type="noConversion"/>
  </si>
  <si>
    <t>sp</t>
    <phoneticPr fontId="1" type="noConversion"/>
  </si>
  <si>
    <t>蓝</t>
    <phoneticPr fontId="1" type="noConversion"/>
  </si>
  <si>
    <t>花阳</t>
    <phoneticPr fontId="1" type="noConversion"/>
  </si>
  <si>
    <t>op1爱</t>
    <phoneticPr fontId="1" type="noConversion"/>
  </si>
  <si>
    <t>绿</t>
    <phoneticPr fontId="1" type="noConversion"/>
  </si>
  <si>
    <t>爱</t>
    <phoneticPr fontId="1" type="noConversion"/>
  </si>
  <si>
    <t>新年梨</t>
    <phoneticPr fontId="1" type="noConversion"/>
  </si>
  <si>
    <t>vo</t>
    <phoneticPr fontId="1" type="noConversion"/>
  </si>
  <si>
    <t>粉</t>
    <phoneticPr fontId="1" type="noConversion"/>
  </si>
  <si>
    <t>梨子</t>
    <phoneticPr fontId="1" type="noConversion"/>
  </si>
  <si>
    <t>新年彼</t>
  </si>
  <si>
    <t>新年彼</t>
    <phoneticPr fontId="1" type="noConversion"/>
  </si>
  <si>
    <t>gd</t>
    <phoneticPr fontId="1" type="noConversion"/>
  </si>
  <si>
    <t>彼方</t>
    <phoneticPr fontId="1" type="noConversion"/>
  </si>
  <si>
    <t>kks姬</t>
    <phoneticPr fontId="1" type="noConversion"/>
  </si>
  <si>
    <t>紫</t>
    <phoneticPr fontId="1" type="noConversion"/>
  </si>
  <si>
    <t>真姬</t>
    <phoneticPr fontId="1" type="noConversion"/>
  </si>
  <si>
    <t>mw丸</t>
  </si>
  <si>
    <t>mw丸</t>
    <phoneticPr fontId="1" type="noConversion"/>
  </si>
  <si>
    <t>花丸</t>
    <phoneticPr fontId="1" type="noConversion"/>
  </si>
  <si>
    <t>4.18</t>
    <phoneticPr fontId="1" type="noConversion"/>
  </si>
  <si>
    <t>紧急修复了新年梨和糖果希的错误</t>
    <phoneticPr fontId="1" type="noConversion"/>
  </si>
  <si>
    <t>4.19</t>
    <phoneticPr fontId="1" type="noConversion"/>
  </si>
  <si>
    <t>蝴蝶步</t>
    <phoneticPr fontId="1" type="noConversion"/>
  </si>
  <si>
    <t>UR</t>
    <phoneticPr fontId="1" type="noConversion"/>
  </si>
  <si>
    <t>vo</t>
    <phoneticPr fontId="1" type="noConversion"/>
  </si>
  <si>
    <t>步梦</t>
    <phoneticPr fontId="1" type="noConversion"/>
  </si>
  <si>
    <t>mw黛</t>
    <phoneticPr fontId="1" type="noConversion"/>
  </si>
  <si>
    <t>SR</t>
    <phoneticPr fontId="1" type="noConversion"/>
  </si>
  <si>
    <t>sp</t>
    <phoneticPr fontId="1" type="noConversion"/>
  </si>
  <si>
    <t>红</t>
    <phoneticPr fontId="1" type="noConversion"/>
  </si>
  <si>
    <t>黛雅</t>
    <phoneticPr fontId="1" type="noConversion"/>
  </si>
  <si>
    <t>AC时</t>
    <phoneticPr fontId="1" type="noConversion"/>
  </si>
  <si>
    <t>同属性</t>
    <phoneticPr fontId="1" type="noConversion"/>
  </si>
  <si>
    <t>sp+</t>
    <phoneticPr fontId="1" type="noConversion"/>
  </si>
  <si>
    <t>修正了五单妮个性2的错误</t>
    <phoneticPr fontId="1" type="noConversion"/>
  </si>
  <si>
    <t>4.20</t>
    <phoneticPr fontId="1" type="noConversion"/>
  </si>
  <si>
    <t>vo</t>
    <phoneticPr fontId="1" type="noConversion"/>
  </si>
  <si>
    <t>牛年海</t>
    <phoneticPr fontId="1" type="noConversion"/>
  </si>
  <si>
    <t>蓝</t>
    <phoneticPr fontId="1" type="noConversion"/>
  </si>
  <si>
    <t>海未</t>
    <phoneticPr fontId="1" type="noConversion"/>
  </si>
  <si>
    <t>同学校</t>
    <phoneticPr fontId="1" type="noConversion"/>
  </si>
  <si>
    <t>ap+</t>
    <phoneticPr fontId="1" type="noConversion"/>
  </si>
  <si>
    <t>牛年林</t>
    <phoneticPr fontId="1" type="noConversion"/>
  </si>
  <si>
    <t>sk</t>
    <phoneticPr fontId="1" type="noConversion"/>
  </si>
  <si>
    <t>红</t>
    <phoneticPr fontId="1" type="noConversion"/>
  </si>
  <si>
    <t>果林</t>
    <phoneticPr fontId="1" type="noConversion"/>
  </si>
  <si>
    <t>牛年南</t>
  </si>
  <si>
    <t>牛年南</t>
    <phoneticPr fontId="1" type="noConversion"/>
  </si>
  <si>
    <t>sp</t>
    <phoneticPr fontId="1" type="noConversion"/>
  </si>
  <si>
    <t>绿</t>
    <phoneticPr fontId="1" type="noConversion"/>
  </si>
  <si>
    <t>果南</t>
    <phoneticPr fontId="1" type="noConversion"/>
  </si>
  <si>
    <t>mw千</t>
    <phoneticPr fontId="1" type="noConversion"/>
  </si>
  <si>
    <t>粉</t>
    <phoneticPr fontId="1" type="noConversion"/>
  </si>
  <si>
    <t>千歌</t>
    <phoneticPr fontId="1" type="noConversion"/>
  </si>
  <si>
    <t>同作战</t>
    <phoneticPr fontId="1" type="noConversion"/>
  </si>
  <si>
    <t>kks果</t>
    <phoneticPr fontId="1" type="noConversion"/>
  </si>
  <si>
    <t>gd</t>
    <phoneticPr fontId="1" type="noConversion"/>
  </si>
  <si>
    <t>穗乃果</t>
    <phoneticPr fontId="1" type="noConversion"/>
  </si>
  <si>
    <t>AC失败</t>
    <phoneticPr fontId="1" type="noConversion"/>
  </si>
  <si>
    <t>回血</t>
    <phoneticPr fontId="1" type="noConversion"/>
  </si>
  <si>
    <t>op1璃</t>
    <phoneticPr fontId="1" type="noConversion"/>
  </si>
  <si>
    <t>紫</t>
    <phoneticPr fontId="1" type="noConversion"/>
  </si>
  <si>
    <t>璃奈</t>
    <phoneticPr fontId="1" type="noConversion"/>
  </si>
  <si>
    <t>全员</t>
    <phoneticPr fontId="1" type="noConversion"/>
  </si>
  <si>
    <t>4.21</t>
    <phoneticPr fontId="1" type="noConversion"/>
  </si>
  <si>
    <t>添加了新卡数据</t>
    <phoneticPr fontId="1" type="noConversion"/>
  </si>
  <si>
    <t>为了适应技能对象为“同学校”的个性2，修改了个性2的部分单元格的计算公式</t>
    <phoneticPr fontId="1" type="noConversion"/>
  </si>
  <si>
    <t>添加了切队奶的强度计算，默认隐藏</t>
    <phoneticPr fontId="1" type="noConversion"/>
  </si>
  <si>
    <t>切队奶强度和站撸奶强度对比</t>
    <phoneticPr fontId="1" type="noConversion"/>
  </si>
  <si>
    <t>基本卡组相关（上级+/无溢出输出值）</t>
    <phoneticPr fontId="1" type="noConversion"/>
  </si>
  <si>
    <t>切队奶后排相对前排输出比值</t>
    <phoneticPr fontId="8" type="noConversion"/>
  </si>
  <si>
    <t>切队奶奶盾相对站撸输出比值</t>
    <phoneticPr fontId="8" type="noConversion"/>
  </si>
  <si>
    <t>切队奶奶盾特技发动率</t>
    <phoneticPr fontId="8" type="noConversion"/>
  </si>
  <si>
    <t>切队奶后排最低输出</t>
    <phoneticPr fontId="8" type="noConversion"/>
  </si>
  <si>
    <t>实际平均单键扣血</t>
    <phoneticPr fontId="8" type="noConversion"/>
  </si>
  <si>
    <t>更新了大量超参数</t>
    <phoneticPr fontId="1" type="noConversion"/>
  </si>
  <si>
    <t>完善了切队奶的计算</t>
    <phoneticPr fontId="1" type="noConversion"/>
  </si>
  <si>
    <t>去掉了卡片强度页面的配色</t>
    <phoneticPr fontId="1" type="noConversion"/>
  </si>
  <si>
    <t>4.99.1</t>
    <phoneticPr fontId="1" type="noConversion"/>
  </si>
  <si>
    <t>全队血量平均同色加成</t>
    <phoneticPr fontId="8" type="noConversion"/>
  </si>
  <si>
    <t>进一步更新了大量超参数</t>
    <phoneticPr fontId="1" type="noConversion"/>
  </si>
  <si>
    <t>进一步完善了切队奶的计算</t>
    <phoneticPr fontId="1" type="noConversion"/>
  </si>
  <si>
    <t>添加了虚拟歌曲属性“全”</t>
    <phoneticPr fontId="1" type="noConversion"/>
  </si>
  <si>
    <t>4.99.2</t>
    <phoneticPr fontId="1" type="noConversion"/>
  </si>
  <si>
    <t>SBL切队流</t>
    <phoneticPr fontId="8" type="noConversion"/>
  </si>
  <si>
    <t>基本卡组相关（上级/真输出值）</t>
    <phoneticPr fontId="1" type="noConversion"/>
  </si>
  <si>
    <t>暴击得分</t>
    <phoneticPr fontId="8" type="noConversion"/>
  </si>
  <si>
    <t>按键无溢出强度</t>
    <phoneticPr fontId="1" type="noConversion"/>
  </si>
  <si>
    <t>ap</t>
    <phoneticPr fontId="8" type="noConversion"/>
  </si>
  <si>
    <t>te</t>
    <phoneticPr fontId="8" type="noConversion"/>
  </si>
  <si>
    <t>总st</t>
    <phoneticPr fontId="8" type="noConversion"/>
  </si>
  <si>
    <t>st</t>
    <phoneticPr fontId="8" type="noConversion"/>
  </si>
  <si>
    <t>st</t>
    <phoneticPr fontId="8" type="noConversion"/>
  </si>
  <si>
    <t>te</t>
    <phoneticPr fontId="8" type="noConversion"/>
  </si>
  <si>
    <t>总st</t>
    <phoneticPr fontId="8" type="noConversion"/>
  </si>
  <si>
    <t>全员</t>
    <phoneticPr fontId="8" type="noConversion"/>
  </si>
  <si>
    <t>AC内</t>
    <phoneticPr fontId="8" type="noConversion"/>
  </si>
  <si>
    <t>前排相对前排同type卡个数</t>
    <phoneticPr fontId="1" type="noConversion"/>
  </si>
  <si>
    <t>后排相对前排同type卡个数</t>
    <phoneticPr fontId="1" type="noConversion"/>
  </si>
  <si>
    <t>SP槽补正</t>
    <phoneticPr fontId="8" type="noConversion"/>
  </si>
  <si>
    <t>进一步更新并添加了大量超参数</t>
    <phoneticPr fontId="1" type="noConversion"/>
  </si>
  <si>
    <t>完善了真输出的计算</t>
    <phoneticPr fontId="1" type="noConversion"/>
  </si>
  <si>
    <t>添加了针对卡片稀有度的SP槽补正一栏</t>
    <phoneticPr fontId="1" type="noConversion"/>
  </si>
  <si>
    <t>修复了部分技能的计算中得分技能计算了两次同属性加成的bug</t>
    <phoneticPr fontId="1" type="noConversion"/>
  </si>
  <si>
    <t>修复了中秋凛的个性2的bug</t>
    <phoneticPr fontId="1" type="noConversion"/>
  </si>
  <si>
    <t>Various features fixed and bugs added（问题发言</t>
    <phoneticPr fontId="1" type="noConversion"/>
  </si>
  <si>
    <t>4.99.3</t>
    <phoneticPr fontId="1" type="noConversion"/>
  </si>
  <si>
    <t>sk类型作战效果</t>
    <phoneticPr fontId="1" type="noConversion"/>
  </si>
  <si>
    <t>单次按键基本sp量</t>
    <phoneticPr fontId="1" type="noConversion"/>
  </si>
  <si>
    <t>单次按键实际sp量</t>
    <phoneticPr fontId="1" type="noConversion"/>
  </si>
  <si>
    <t>sp类型加成</t>
    <phoneticPr fontId="8" type="noConversion"/>
  </si>
  <si>
    <t>完善了真输出的计算，考虑了Sp类型和Sk类型的类型效果</t>
    <phoneticPr fontId="1" type="noConversion"/>
  </si>
  <si>
    <t>4.99.4</t>
    <phoneticPr fontId="1" type="noConversion"/>
  </si>
  <si>
    <t>fes1姬</t>
  </si>
  <si>
    <t>fes1曜</t>
  </si>
  <si>
    <t>fes1林</t>
  </si>
  <si>
    <t>fes1鸟</t>
  </si>
  <si>
    <t>fes1善</t>
  </si>
  <si>
    <t>fes1菜</t>
  </si>
  <si>
    <t>fes1艾</t>
  </si>
  <si>
    <t>fes1妮</t>
  </si>
  <si>
    <t>fes1鞠</t>
  </si>
  <si>
    <t>fes1彼</t>
  </si>
  <si>
    <t>fes1花</t>
  </si>
  <si>
    <t>fes1丸</t>
  </si>
  <si>
    <t>fes1海</t>
  </si>
  <si>
    <t>fes1露</t>
  </si>
  <si>
    <t>fes1爱</t>
  </si>
  <si>
    <t>fes1绘</t>
  </si>
  <si>
    <t>fes1千</t>
  </si>
  <si>
    <t>fes1凛</t>
  </si>
  <si>
    <t>fes1雫</t>
  </si>
  <si>
    <t>fes1黛</t>
  </si>
  <si>
    <t>fes1果</t>
  </si>
  <si>
    <t>fes1梨</t>
  </si>
  <si>
    <t>fes1南</t>
  </si>
  <si>
    <t>fes1霞</t>
  </si>
  <si>
    <t>fes1希</t>
  </si>
  <si>
    <t>fes1璃</t>
  </si>
  <si>
    <t>fes1步</t>
  </si>
  <si>
    <t>fes1栞</t>
  </si>
  <si>
    <t>fes2绘</t>
  </si>
  <si>
    <t>fes2南</t>
  </si>
  <si>
    <t>fes2霞</t>
  </si>
  <si>
    <t>平均技能发动率，不计type加成</t>
    <phoneticPr fontId="8" type="noConversion"/>
  </si>
  <si>
    <t>5.0</t>
    <phoneticPr fontId="1" type="noConversion"/>
  </si>
  <si>
    <t>微调了部分超参数</t>
    <phoneticPr fontId="1" type="noConversion"/>
  </si>
  <si>
    <t>单键300</t>
    <phoneticPr fontId="1" type="noConversion"/>
  </si>
  <si>
    <t>单键400</t>
    <phoneticPr fontId="1" type="noConversion"/>
  </si>
  <si>
    <t>单键500</t>
    <phoneticPr fontId="1" type="noConversion"/>
  </si>
  <si>
    <t>单键600</t>
    <phoneticPr fontId="1" type="noConversion"/>
  </si>
  <si>
    <t>平均</t>
    <phoneticPr fontId="1" type="noConversion"/>
  </si>
  <si>
    <t>评分</t>
    <phoneticPr fontId="1" type="noConversion"/>
  </si>
  <si>
    <t>单键1</t>
    <phoneticPr fontId="1" type="noConversion"/>
  </si>
  <si>
    <t>表格中的数值为该奶盾在同色歌曲中每键所能提供的耐久</t>
    <phoneticPr fontId="1" type="noConversion"/>
  </si>
  <si>
    <t>四单梨</t>
  </si>
  <si>
    <t>SS</t>
    <phoneticPr fontId="1" type="noConversion"/>
  </si>
  <si>
    <t>S</t>
    <phoneticPr fontId="1" type="noConversion"/>
  </si>
  <si>
    <t>A+</t>
    <phoneticPr fontId="1" type="noConversion"/>
  </si>
  <si>
    <t>A-</t>
    <phoneticPr fontId="1" type="noConversion"/>
  </si>
  <si>
    <t>B+</t>
    <phoneticPr fontId="1" type="noConversion"/>
  </si>
  <si>
    <t>B-</t>
    <phoneticPr fontId="1" type="noConversion"/>
  </si>
  <si>
    <t>C+</t>
    <phoneticPr fontId="1" type="noConversion"/>
  </si>
  <si>
    <t>D+</t>
    <phoneticPr fontId="1" type="noConversion"/>
  </si>
  <si>
    <t>D-</t>
    <phoneticPr fontId="1" type="noConversion"/>
  </si>
  <si>
    <t>E</t>
    <phoneticPr fontId="1" type="noConversion"/>
  </si>
  <si>
    <t>不错</t>
    <phoneticPr fontId="1" type="noConversion"/>
  </si>
  <si>
    <t>强力</t>
    <phoneticPr fontId="1" type="noConversion"/>
  </si>
  <si>
    <t>可用</t>
    <phoneticPr fontId="1" type="noConversion"/>
  </si>
  <si>
    <t>超强</t>
    <phoneticPr fontId="1" type="noConversion"/>
  </si>
  <si>
    <t>A</t>
    <phoneticPr fontId="1" type="noConversion"/>
  </si>
  <si>
    <t>B</t>
    <phoneticPr fontId="1" type="noConversion"/>
  </si>
  <si>
    <t>C</t>
    <phoneticPr fontId="1" type="noConversion"/>
  </si>
  <si>
    <t>D</t>
    <phoneticPr fontId="1" type="noConversion"/>
  </si>
  <si>
    <t>超高</t>
    <phoneticPr fontId="1" type="noConversion"/>
  </si>
  <si>
    <t>高</t>
    <phoneticPr fontId="1" type="noConversion"/>
  </si>
  <si>
    <t>中高</t>
    <phoneticPr fontId="1" type="noConversion"/>
  </si>
  <si>
    <t>中低</t>
    <phoneticPr fontId="1" type="noConversion"/>
  </si>
  <si>
    <t>低</t>
    <phoneticPr fontId="1" type="noConversion"/>
  </si>
  <si>
    <t>站撸奶</t>
    <phoneticPr fontId="1" type="noConversion"/>
  </si>
  <si>
    <t>切队奶</t>
    <phoneticPr fontId="1" type="noConversion"/>
  </si>
  <si>
    <t>整体评分</t>
    <phoneticPr fontId="1" type="noConversion"/>
  </si>
  <si>
    <t>好友支援</t>
    <phoneticPr fontId="1" type="noConversion"/>
  </si>
  <si>
    <t>S</t>
    <phoneticPr fontId="1" type="noConversion"/>
  </si>
  <si>
    <t>前排输出（奶盾）</t>
    <phoneticPr fontId="1" type="noConversion"/>
  </si>
  <si>
    <t>更新了奶盾强度计算和奶盾耐久快速查询</t>
    <phoneticPr fontId="1" type="noConversion"/>
  </si>
  <si>
    <t>修复了主动个性后排输出计算的错误</t>
    <phoneticPr fontId="1" type="noConversion"/>
  </si>
  <si>
    <t>调整了真输出相对输出的计算方式</t>
    <phoneticPr fontId="1" type="noConversion"/>
  </si>
  <si>
    <t>添加了卡片评分标准</t>
    <phoneticPr fontId="1" type="noConversion"/>
  </si>
  <si>
    <t>5.1</t>
    <phoneticPr fontId="1" type="noConversion"/>
  </si>
  <si>
    <t>fes2妮</t>
    <phoneticPr fontId="1" type="noConversion"/>
  </si>
  <si>
    <t>绿</t>
    <phoneticPr fontId="8" type="noConversion"/>
  </si>
  <si>
    <t>妮可</t>
    <phoneticPr fontId="8" type="noConversion"/>
  </si>
  <si>
    <t>切队</t>
    <phoneticPr fontId="8" type="noConversion"/>
  </si>
  <si>
    <t>vo获得</t>
    <phoneticPr fontId="8" type="noConversion"/>
  </si>
  <si>
    <t>ap</t>
    <phoneticPr fontId="8" type="noConversion"/>
  </si>
  <si>
    <t>fes2曜</t>
  </si>
  <si>
    <t>fes2曜</t>
    <phoneticPr fontId="1" type="noConversion"/>
  </si>
  <si>
    <t>sk</t>
    <phoneticPr fontId="1" type="noConversion"/>
  </si>
  <si>
    <t>粉</t>
    <phoneticPr fontId="8" type="noConversion"/>
  </si>
  <si>
    <t>曜</t>
    <phoneticPr fontId="8" type="noConversion"/>
  </si>
  <si>
    <t>kks凛</t>
    <phoneticPr fontId="1" type="noConversion"/>
  </si>
  <si>
    <t>sp</t>
    <phoneticPr fontId="1" type="noConversion"/>
  </si>
  <si>
    <t>紫</t>
    <phoneticPr fontId="8" type="noConversion"/>
  </si>
  <si>
    <t>凛</t>
    <phoneticPr fontId="8" type="noConversion"/>
  </si>
  <si>
    <t>切队</t>
    <phoneticPr fontId="8" type="noConversion"/>
  </si>
  <si>
    <t>op1雫</t>
    <phoneticPr fontId="1" type="noConversion"/>
  </si>
  <si>
    <t>sk</t>
    <phoneticPr fontId="1" type="noConversion"/>
  </si>
  <si>
    <t>红</t>
    <phoneticPr fontId="8" type="noConversion"/>
  </si>
  <si>
    <t>雫</t>
    <phoneticPr fontId="8" type="noConversion"/>
  </si>
  <si>
    <t>te</t>
    <phoneticPr fontId="8" type="noConversion"/>
  </si>
  <si>
    <t>添加了新卡数据</t>
    <phoneticPr fontId="1" type="noConversion"/>
  </si>
  <si>
    <t>5.2</t>
    <phoneticPr fontId="1" type="noConversion"/>
  </si>
  <si>
    <t>情人果</t>
    <phoneticPr fontId="1" type="noConversion"/>
  </si>
  <si>
    <t>sp</t>
    <phoneticPr fontId="1" type="noConversion"/>
  </si>
  <si>
    <t>黄</t>
    <phoneticPr fontId="8" type="noConversion"/>
  </si>
  <si>
    <t>穗乃果</t>
    <phoneticPr fontId="8" type="noConversion"/>
  </si>
  <si>
    <t>op1步</t>
    <phoneticPr fontId="1" type="noConversion"/>
  </si>
  <si>
    <t>vo</t>
    <phoneticPr fontId="1" type="noConversion"/>
  </si>
  <si>
    <t>粉</t>
    <phoneticPr fontId="8" type="noConversion"/>
  </si>
  <si>
    <t>步梦</t>
    <phoneticPr fontId="8" type="noConversion"/>
  </si>
  <si>
    <t>曲开始</t>
    <phoneticPr fontId="8" type="noConversion"/>
  </si>
  <si>
    <t>vo+</t>
    <phoneticPr fontId="8" type="noConversion"/>
  </si>
  <si>
    <t>同属性</t>
    <phoneticPr fontId="8" type="noConversion"/>
  </si>
  <si>
    <t>infty</t>
    <phoneticPr fontId="8" type="noConversion"/>
  </si>
  <si>
    <t>gd</t>
    <phoneticPr fontId="1" type="noConversion"/>
  </si>
  <si>
    <t>红</t>
    <phoneticPr fontId="8" type="noConversion"/>
  </si>
  <si>
    <t>鞠莉</t>
    <phoneticPr fontId="8" type="noConversion"/>
  </si>
  <si>
    <t>加盾</t>
    <phoneticPr fontId="8" type="noConversion"/>
  </si>
  <si>
    <t>st</t>
    <phoneticPr fontId="8" type="noConversion"/>
  </si>
  <si>
    <t>初始果</t>
    <phoneticPr fontId="1" type="noConversion"/>
  </si>
  <si>
    <t>初始绘</t>
    <phoneticPr fontId="1" type="noConversion"/>
  </si>
  <si>
    <t>初始鸟</t>
    <phoneticPr fontId="1" type="noConversion"/>
  </si>
  <si>
    <t>初始海</t>
    <phoneticPr fontId="1" type="noConversion"/>
  </si>
  <si>
    <t>初始凛</t>
    <phoneticPr fontId="1" type="noConversion"/>
  </si>
  <si>
    <t>初始姬</t>
    <phoneticPr fontId="1" type="noConversion"/>
  </si>
  <si>
    <t>初始希</t>
    <phoneticPr fontId="1" type="noConversion"/>
  </si>
  <si>
    <t>初始花</t>
    <phoneticPr fontId="1" type="noConversion"/>
  </si>
  <si>
    <t>初始妮</t>
    <phoneticPr fontId="1" type="noConversion"/>
  </si>
  <si>
    <t>初始千</t>
    <phoneticPr fontId="1" type="noConversion"/>
  </si>
  <si>
    <t>初始梨</t>
    <phoneticPr fontId="1" type="noConversion"/>
  </si>
  <si>
    <t>初始南</t>
    <phoneticPr fontId="1" type="noConversion"/>
  </si>
  <si>
    <t>初始黛</t>
    <phoneticPr fontId="1" type="noConversion"/>
  </si>
  <si>
    <t>初始曜</t>
    <phoneticPr fontId="1" type="noConversion"/>
  </si>
  <si>
    <t>初始善</t>
    <phoneticPr fontId="1" type="noConversion"/>
  </si>
  <si>
    <t>初始丸</t>
    <phoneticPr fontId="1" type="noConversion"/>
  </si>
  <si>
    <t>初始鞠</t>
    <phoneticPr fontId="1" type="noConversion"/>
  </si>
  <si>
    <t>初始露</t>
    <phoneticPr fontId="1" type="noConversion"/>
  </si>
  <si>
    <t>情人鞠</t>
    <phoneticPr fontId="1" type="noConversion"/>
  </si>
  <si>
    <t>情人雫</t>
    <phoneticPr fontId="1" type="noConversion"/>
  </si>
  <si>
    <t>sk</t>
    <phoneticPr fontId="1" type="noConversion"/>
  </si>
  <si>
    <t>紫</t>
    <phoneticPr fontId="8" type="noConversion"/>
  </si>
  <si>
    <t>雫</t>
    <phoneticPr fontId="8" type="noConversion"/>
  </si>
  <si>
    <t>mw露</t>
    <phoneticPr fontId="1" type="noConversion"/>
  </si>
  <si>
    <t>露比</t>
    <phoneticPr fontId="8" type="noConversion"/>
  </si>
  <si>
    <t>ct+</t>
    <phoneticPr fontId="8" type="noConversion"/>
  </si>
  <si>
    <t>kks妮</t>
    <phoneticPr fontId="1" type="noConversion"/>
  </si>
  <si>
    <t>妮可</t>
    <phoneticPr fontId="8" type="noConversion"/>
  </si>
  <si>
    <t>te</t>
    <phoneticPr fontId="8" type="noConversion"/>
  </si>
  <si>
    <t>5.3</t>
    <phoneticPr fontId="1" type="noConversion"/>
  </si>
  <si>
    <t>prt爱</t>
    <phoneticPr fontId="1" type="noConversion"/>
  </si>
  <si>
    <t>UR</t>
    <phoneticPr fontId="1" type="noConversion"/>
  </si>
  <si>
    <t>vo</t>
    <phoneticPr fontId="1" type="noConversion"/>
  </si>
  <si>
    <t>party卡</t>
    <phoneticPr fontId="1" type="noConversion"/>
  </si>
  <si>
    <t>6级</t>
    <phoneticPr fontId="1" type="noConversion"/>
  </si>
  <si>
    <t>7级</t>
    <phoneticPr fontId="1" type="noConversion"/>
  </si>
  <si>
    <t>红</t>
    <phoneticPr fontId="8" type="noConversion"/>
  </si>
  <si>
    <t>爱</t>
    <phoneticPr fontId="8" type="noConversion"/>
  </si>
  <si>
    <t>花阳</t>
    <phoneticPr fontId="8" type="noConversion"/>
  </si>
  <si>
    <t>栞子</t>
    <phoneticPr fontId="8" type="noConversion"/>
  </si>
  <si>
    <t>元气类技能平均血量乘数</t>
    <phoneticPr fontId="8" type="noConversion"/>
  </si>
  <si>
    <t>kks花</t>
    <phoneticPr fontId="1" type="noConversion"/>
  </si>
  <si>
    <t>SR</t>
    <phoneticPr fontId="1" type="noConversion"/>
  </si>
  <si>
    <t>sk</t>
    <phoneticPr fontId="1" type="noConversion"/>
  </si>
  <si>
    <t>绿</t>
    <phoneticPr fontId="8" type="noConversion"/>
  </si>
  <si>
    <t>同作战</t>
    <phoneticPr fontId="8" type="noConversion"/>
  </si>
  <si>
    <t>二专栞</t>
    <phoneticPr fontId="1" type="noConversion"/>
  </si>
  <si>
    <t>添加了新卡数据</t>
    <phoneticPr fontId="1" type="noConversion"/>
  </si>
  <si>
    <t>添加了超参数“元气类技能平均血量乘数”</t>
    <phoneticPr fontId="1" type="noConversion"/>
  </si>
  <si>
    <t>为了适配party卡的个性及特训树设置，调整了部分单元格的公式</t>
    <phoneticPr fontId="1" type="noConversion"/>
  </si>
  <si>
    <t>5.4</t>
    <phoneticPr fontId="1" type="noConversion"/>
  </si>
  <si>
    <t>移除了卡片raw data页面的配色</t>
    <phoneticPr fontId="1" type="noConversion"/>
  </si>
  <si>
    <t>绘里</t>
    <phoneticPr fontId="8" type="noConversion"/>
  </si>
  <si>
    <t>梨子</t>
    <phoneticPr fontId="8" type="noConversion"/>
  </si>
  <si>
    <t>千歌</t>
    <phoneticPr fontId="8" type="noConversion"/>
  </si>
  <si>
    <t>雪菜</t>
    <phoneticPr fontId="8" type="noConversion"/>
  </si>
  <si>
    <t>小鸟</t>
    <phoneticPr fontId="8" type="noConversion"/>
  </si>
  <si>
    <t>彼方</t>
    <phoneticPr fontId="8" type="noConversion"/>
  </si>
  <si>
    <t>蒸汽绘</t>
    <phoneticPr fontId="1" type="noConversion"/>
  </si>
  <si>
    <t>sp</t>
    <phoneticPr fontId="1" type="noConversion"/>
  </si>
  <si>
    <t>粉</t>
    <phoneticPr fontId="8" type="noConversion"/>
  </si>
  <si>
    <t>sp+</t>
    <phoneticPr fontId="8" type="noConversion"/>
  </si>
  <si>
    <t>同作战</t>
    <phoneticPr fontId="8" type="noConversion"/>
  </si>
  <si>
    <t>百分比</t>
    <phoneticPr fontId="8" type="noConversion"/>
  </si>
  <si>
    <t>mw梨</t>
    <phoneticPr fontId="1" type="noConversion"/>
  </si>
  <si>
    <t>gd</t>
    <phoneticPr fontId="1" type="noConversion"/>
  </si>
  <si>
    <t>红</t>
    <phoneticPr fontId="8" type="noConversion"/>
  </si>
  <si>
    <t>加盾</t>
    <phoneticPr fontId="8" type="noConversion"/>
  </si>
  <si>
    <t>蒸汽千</t>
    <phoneticPr fontId="1" type="noConversion"/>
  </si>
  <si>
    <t>绿</t>
    <phoneticPr fontId="8" type="noConversion"/>
  </si>
  <si>
    <t>减伤</t>
    <phoneticPr fontId="8" type="noConversion"/>
  </si>
  <si>
    <t>全员</t>
    <phoneticPr fontId="8" type="noConversion"/>
  </si>
  <si>
    <t>蒸汽菜</t>
    <phoneticPr fontId="1" type="noConversion"/>
  </si>
  <si>
    <t>vo</t>
    <phoneticPr fontId="1" type="noConversion"/>
  </si>
  <si>
    <t>黄</t>
    <phoneticPr fontId="8" type="noConversion"/>
  </si>
  <si>
    <t>kks鸟</t>
    <phoneticPr fontId="1" type="noConversion"/>
  </si>
  <si>
    <t>核弹</t>
    <phoneticPr fontId="8" type="noConversion"/>
  </si>
  <si>
    <t>te</t>
    <phoneticPr fontId="8" type="noConversion"/>
  </si>
  <si>
    <t>技能+</t>
    <phoneticPr fontId="8" type="noConversion"/>
  </si>
  <si>
    <t>op1彼</t>
    <phoneticPr fontId="1" type="noConversion"/>
  </si>
  <si>
    <t>sk</t>
    <phoneticPr fontId="1" type="noConversion"/>
  </si>
  <si>
    <t>5.5</t>
    <phoneticPr fontId="1" type="noConversion"/>
  </si>
  <si>
    <t>昵称</t>
  </si>
  <si>
    <t>颜色</t>
  </si>
  <si>
    <t>ID</t>
  </si>
  <si>
    <t>数据库ID</t>
  </si>
  <si>
    <t>稀有度</t>
  </si>
  <si>
    <t>人物</t>
  </si>
  <si>
    <t>人物ID</t>
  </si>
  <si>
    <t>团队</t>
  </si>
  <si>
    <t>年级</t>
  </si>
  <si>
    <t>小队</t>
  </si>
  <si>
    <t>获得途径</t>
  </si>
  <si>
    <t>配信日期</t>
  </si>
  <si>
    <t>配信活动</t>
  </si>
  <si>
    <t>type</t>
  </si>
  <si>
    <t>破数</t>
  </si>
  <si>
    <t>相对输出</t>
  </si>
  <si>
    <t>相对真输出</t>
  </si>
  <si>
    <t>耐久/键</t>
  </si>
  <si>
    <t>耐久</t>
  </si>
  <si>
    <t>sk能力</t>
  </si>
  <si>
    <t>sp能力</t>
  </si>
  <si>
    <t>切一次队回复量</t>
  </si>
  <si>
    <t>需要的总回血量</t>
  </si>
  <si>
    <t>站撸奶强度</t>
  </si>
  <si>
    <t>差值</t>
  </si>
  <si>
    <t>同色</t>
  </si>
  <si>
    <t>同色加成</t>
  </si>
  <si>
    <t>暴击</t>
  </si>
  <si>
    <t>ct率</t>
  </si>
  <si>
    <t>ct值</t>
  </si>
  <si>
    <t>血强</t>
  </si>
  <si>
    <t>ap(无主动)</t>
  </si>
  <si>
    <t>数量</t>
  </si>
  <si>
    <t>前排强度</t>
  </si>
  <si>
    <t>后排强度</t>
  </si>
  <si>
    <t>条件</t>
  </si>
  <si>
    <t>概率</t>
  </si>
  <si>
    <t>效果</t>
  </si>
  <si>
    <t>对象</t>
  </si>
  <si>
    <t>效果量</t>
  </si>
  <si>
    <t>键数</t>
  </si>
  <si>
    <t>次数限制</t>
  </si>
  <si>
    <t>真效果量</t>
  </si>
  <si>
    <t>切队流sp效果量/键</t>
  </si>
  <si>
    <t>效果类型</t>
  </si>
  <si>
    <t>效果量/键</t>
  </si>
  <si>
    <t>真效果量/键</t>
  </si>
  <si>
    <t>修复了某张卡的参数（没错就是它，klsb）</t>
    <phoneticPr fontId="1" type="noConversion"/>
  </si>
  <si>
    <t>5.6</t>
    <phoneticPr fontId="1" type="noConversion"/>
  </si>
  <si>
    <t>切队奶强度</t>
    <phoneticPr fontId="8" type="noConversion"/>
  </si>
  <si>
    <t>Gd切队效果up</t>
    <phoneticPr fontId="8" type="noConversion"/>
  </si>
  <si>
    <t>ap+元气</t>
    <phoneticPr fontId="8" type="noConversion"/>
  </si>
  <si>
    <t>再次调整了部分列的宽度</t>
    <phoneticPr fontId="1" type="noConversion"/>
  </si>
  <si>
    <t>补充更新了奶盾耐久快速查询</t>
    <phoneticPr fontId="1" type="noConversion"/>
  </si>
  <si>
    <t>修正了op1雫的ID错误</t>
    <phoneticPr fontId="1" type="noConversion"/>
  </si>
  <si>
    <t>5.7</t>
    <phoneticPr fontId="1" type="noConversion"/>
  </si>
  <si>
    <t>蒸汽千</t>
  </si>
  <si>
    <t>mw梨</t>
  </si>
  <si>
    <t>删除了大量没用的0</t>
    <phoneticPr fontId="1" type="noConversion"/>
  </si>
  <si>
    <t>Angelic Angel</t>
    <phoneticPr fontId="1" type="noConversion"/>
  </si>
  <si>
    <t>98/174</t>
    <phoneticPr fontId="1" type="noConversion"/>
  </si>
  <si>
    <t>KiRa-KiRa Sensation!</t>
    <phoneticPr fontId="1" type="noConversion"/>
  </si>
  <si>
    <t>-(4000*Sp)</t>
    <phoneticPr fontId="1" type="noConversion"/>
  </si>
  <si>
    <t>85/184</t>
    <phoneticPr fontId="1" type="noConversion"/>
  </si>
  <si>
    <t>-(0.5*Max)</t>
    <phoneticPr fontId="1" type="noConversion"/>
  </si>
  <si>
    <t>黄</t>
    <phoneticPr fontId="1" type="noConversion"/>
  </si>
  <si>
    <t>Hop? Stop? Nonstop!</t>
    <phoneticPr fontId="1" type="noConversion"/>
  </si>
  <si>
    <t>63/182</t>
    <phoneticPr fontId="1" type="noConversion"/>
  </si>
  <si>
    <t>87/173</t>
    <phoneticPr fontId="1" type="noConversion"/>
  </si>
  <si>
    <t>76/161</t>
    <phoneticPr fontId="1" type="noConversion"/>
  </si>
  <si>
    <t>POWER SPOT!!</t>
    <phoneticPr fontId="1" type="noConversion"/>
  </si>
  <si>
    <t>91/168</t>
    <phoneticPr fontId="1" type="noConversion"/>
  </si>
  <si>
    <t>Beautiful Moonlight</t>
    <phoneticPr fontId="1" type="noConversion"/>
  </si>
  <si>
    <t>82/171</t>
    <phoneticPr fontId="1" type="noConversion"/>
  </si>
  <si>
    <t>Cheer for you!!</t>
    <phoneticPr fontId="1" type="noConversion"/>
  </si>
  <si>
    <t>96/171</t>
    <phoneticPr fontId="1" type="noConversion"/>
  </si>
  <si>
    <t>Love Triangle</t>
    <phoneticPr fontId="1" type="noConversion"/>
  </si>
  <si>
    <t>39/166</t>
    <phoneticPr fontId="1" type="noConversion"/>
  </si>
  <si>
    <t>Sweet Eyes</t>
    <phoneticPr fontId="1" type="noConversion"/>
  </si>
  <si>
    <t>132/280</t>
    <phoneticPr fontId="1" type="noConversion"/>
  </si>
  <si>
    <t>New Romantic Sailors</t>
    <phoneticPr fontId="1" type="noConversion"/>
  </si>
  <si>
    <t>Braveheart Coaster</t>
    <phoneticPr fontId="1" type="noConversion"/>
  </si>
  <si>
    <t>43/165</t>
    <phoneticPr fontId="1" type="noConversion"/>
  </si>
  <si>
    <t>夢への一歩</t>
    <phoneticPr fontId="1" type="noConversion"/>
  </si>
  <si>
    <t>基本完成了歌曲数据</t>
    <phoneticPr fontId="1" type="noConversion"/>
  </si>
  <si>
    <t>5.8</t>
    <phoneticPr fontId="1" type="noConversion"/>
  </si>
  <si>
    <t>AC分占比</t>
    <phoneticPr fontId="1" type="noConversion"/>
  </si>
  <si>
    <t>vo</t>
    <phoneticPr fontId="1" type="noConversion"/>
  </si>
  <si>
    <t>fes2凛</t>
    <phoneticPr fontId="1" type="noConversion"/>
  </si>
  <si>
    <t>黄</t>
    <phoneticPr fontId="8" type="noConversion"/>
  </si>
  <si>
    <t>凛</t>
    <phoneticPr fontId="8" type="noConversion"/>
  </si>
  <si>
    <t>fes2善</t>
    <phoneticPr fontId="1" type="noConversion"/>
  </si>
  <si>
    <t>UR</t>
    <phoneticPr fontId="1" type="noConversion"/>
  </si>
  <si>
    <t>sp</t>
    <phoneticPr fontId="1" type="noConversion"/>
  </si>
  <si>
    <t>红</t>
    <phoneticPr fontId="8" type="noConversion"/>
  </si>
  <si>
    <t>善子</t>
    <phoneticPr fontId="8" type="noConversion"/>
  </si>
  <si>
    <t>fes2栞</t>
  </si>
  <si>
    <t>fes2栞</t>
    <phoneticPr fontId="1" type="noConversion"/>
  </si>
  <si>
    <t>gd</t>
    <phoneticPr fontId="1" type="noConversion"/>
  </si>
  <si>
    <t>蓝</t>
    <phoneticPr fontId="8" type="noConversion"/>
  </si>
  <si>
    <t>栞子</t>
    <phoneticPr fontId="8" type="noConversion"/>
  </si>
  <si>
    <t>mw南</t>
    <phoneticPr fontId="1" type="noConversion"/>
  </si>
  <si>
    <t>SR</t>
    <phoneticPr fontId="1" type="noConversion"/>
  </si>
  <si>
    <t>果南</t>
    <phoneticPr fontId="8" type="noConversion"/>
  </si>
  <si>
    <t>op1林</t>
  </si>
  <si>
    <t>op1林</t>
    <phoneticPr fontId="1" type="noConversion"/>
  </si>
  <si>
    <t>绿</t>
    <phoneticPr fontId="8" type="noConversion"/>
  </si>
  <si>
    <t>果林</t>
    <phoneticPr fontId="8" type="noConversion"/>
  </si>
  <si>
    <t>切队</t>
    <phoneticPr fontId="8" type="noConversion"/>
  </si>
  <si>
    <t>减伤</t>
    <phoneticPr fontId="8" type="noConversion"/>
  </si>
  <si>
    <t>全员</t>
    <phoneticPr fontId="8" type="noConversion"/>
  </si>
  <si>
    <t>调整了部分评分的评分标准</t>
    <phoneticPr fontId="1" type="noConversion"/>
  </si>
  <si>
    <t>凛ちゃん大好き！！！！！</t>
    <phoneticPr fontId="1" type="noConversion"/>
  </si>
  <si>
    <t>5.9</t>
    <phoneticPr fontId="1" type="noConversion"/>
  </si>
  <si>
    <t>粉</t>
    <phoneticPr fontId="1" type="noConversion"/>
  </si>
  <si>
    <t>上级</t>
    <phoneticPr fontId="1" type="noConversion"/>
  </si>
  <si>
    <t>待ってて愛のうた</t>
    <phoneticPr fontId="1" type="noConversion"/>
  </si>
  <si>
    <t>もぎゅっと“love”で接近中!</t>
    <phoneticPr fontId="1" type="noConversion"/>
  </si>
  <si>
    <t>白情丸</t>
    <phoneticPr fontId="1" type="noConversion"/>
  </si>
  <si>
    <t>vo</t>
    <phoneticPr fontId="1" type="noConversion"/>
  </si>
  <si>
    <t>粉</t>
    <phoneticPr fontId="8" type="noConversion"/>
  </si>
  <si>
    <t>花丸</t>
    <phoneticPr fontId="8" type="noConversion"/>
  </si>
  <si>
    <t>ap+</t>
    <phoneticPr fontId="8" type="noConversion"/>
  </si>
  <si>
    <t>同属性</t>
    <phoneticPr fontId="8" type="noConversion"/>
  </si>
  <si>
    <t>kks希</t>
    <phoneticPr fontId="1" type="noConversion"/>
  </si>
  <si>
    <t>sk</t>
    <phoneticPr fontId="1" type="noConversion"/>
  </si>
  <si>
    <t>紫</t>
    <phoneticPr fontId="8" type="noConversion"/>
  </si>
  <si>
    <t>希</t>
    <phoneticPr fontId="8" type="noConversion"/>
  </si>
  <si>
    <t>技能+</t>
    <phoneticPr fontId="8" type="noConversion"/>
  </si>
  <si>
    <t>同作战</t>
    <phoneticPr fontId="8" type="noConversion"/>
  </si>
  <si>
    <t>vo+</t>
    <phoneticPr fontId="8" type="noConversion"/>
  </si>
  <si>
    <t>白情璃</t>
    <phoneticPr fontId="1" type="noConversion"/>
  </si>
  <si>
    <t>gd</t>
    <phoneticPr fontId="1" type="noConversion"/>
  </si>
  <si>
    <t>蓝</t>
    <phoneticPr fontId="8" type="noConversion"/>
  </si>
  <si>
    <t>璃奈</t>
    <phoneticPr fontId="8" type="noConversion"/>
  </si>
  <si>
    <t>白情鸟</t>
    <phoneticPr fontId="1" type="noConversion"/>
  </si>
  <si>
    <t>小鸟</t>
    <phoneticPr fontId="8" type="noConversion"/>
  </si>
  <si>
    <t>mw曜</t>
    <phoneticPr fontId="1" type="noConversion"/>
  </si>
  <si>
    <t>黄</t>
    <phoneticPr fontId="8" type="noConversion"/>
  </si>
  <si>
    <t>曜</t>
    <phoneticPr fontId="8" type="noConversion"/>
  </si>
  <si>
    <t>大量伤害</t>
    <phoneticPr fontId="8" type="noConversion"/>
  </si>
  <si>
    <t>回血</t>
    <phoneticPr fontId="8" type="noConversion"/>
  </si>
  <si>
    <t>st</t>
    <phoneticPr fontId="8" type="noConversion"/>
  </si>
  <si>
    <t>op1艾</t>
    <phoneticPr fontId="1" type="noConversion"/>
  </si>
  <si>
    <t>sp</t>
    <phoneticPr fontId="1" type="noConversion"/>
  </si>
  <si>
    <t>红</t>
    <phoneticPr fontId="8" type="noConversion"/>
  </si>
  <si>
    <t>艾玛</t>
    <phoneticPr fontId="8" type="noConversion"/>
  </si>
  <si>
    <t>mw曜</t>
  </si>
  <si>
    <t>5.10</t>
    <phoneticPr fontId="1" type="noConversion"/>
  </si>
  <si>
    <t>vo+</t>
    <phoneticPr fontId="8" type="noConversion"/>
  </si>
  <si>
    <t>同属性</t>
    <phoneticPr fontId="8" type="noConversion"/>
  </si>
  <si>
    <t>根据新的DLP饰品的情况，调整了真输出计算中的超参数</t>
    <phoneticPr fontId="1" type="noConversion"/>
  </si>
  <si>
    <t>5.11</t>
    <phoneticPr fontId="1" type="noConversion"/>
  </si>
  <si>
    <t>非暴击点击分</t>
    <phoneticPr fontId="8" type="noConversion"/>
  </si>
  <si>
    <t>暴击点击分</t>
    <phoneticPr fontId="8" type="noConversion"/>
  </si>
  <si>
    <t>5.12</t>
    <phoneticPr fontId="1" type="noConversion"/>
  </si>
  <si>
    <t>修复了真输出计算中的严重错误</t>
    <phoneticPr fontId="1" type="noConversion"/>
  </si>
  <si>
    <t>调整了部分溢出参数的计算公式</t>
    <phoneticPr fontId="1" type="noConversion"/>
  </si>
  <si>
    <t>将真输出的面板输出中非暴击点击分和暴击点击分的中间计算结果进行独立显示</t>
    <phoneticPr fontId="1" type="noConversion"/>
  </si>
  <si>
    <t>vo类型加成</t>
    <phoneticPr fontId="8" type="noConversion"/>
  </si>
  <si>
    <t>一些中间值</t>
    <phoneticPr fontId="8" type="noConversion"/>
  </si>
  <si>
    <t>重新调整了真输出计算中的部分参数并添加了一些参数（虽然上传上去的还是3Sp版）</t>
    <phoneticPr fontId="1" type="noConversion"/>
  </si>
  <si>
    <t>5.13</t>
    <phoneticPr fontId="1" type="noConversion"/>
  </si>
  <si>
    <t>prt黛</t>
    <phoneticPr fontId="1" type="noConversion"/>
  </si>
  <si>
    <t>vo</t>
    <phoneticPr fontId="1" type="noConversion"/>
  </si>
  <si>
    <t>蓝</t>
    <phoneticPr fontId="8" type="noConversion"/>
  </si>
  <si>
    <t>黛雅</t>
    <phoneticPr fontId="8" type="noConversion"/>
  </si>
  <si>
    <t>kks海</t>
    <phoneticPr fontId="1" type="noConversion"/>
  </si>
  <si>
    <t>紫</t>
    <phoneticPr fontId="8" type="noConversion"/>
  </si>
  <si>
    <t>海未</t>
    <phoneticPr fontId="8" type="noConversion"/>
  </si>
  <si>
    <t>5.14</t>
    <phoneticPr fontId="1" type="noConversion"/>
  </si>
  <si>
    <t>购物露</t>
  </si>
  <si>
    <t>初始善</t>
  </si>
  <si>
    <t>fes2凛</t>
  </si>
  <si>
    <t>卡片基本属性</t>
    <phoneticPr fontId="8" type="noConversion"/>
  </si>
  <si>
    <t>调整了相对输出的计算方式，现在可以填表人自由决定相对输出的基准卡片</t>
    <phoneticPr fontId="1" type="noConversion"/>
  </si>
  <si>
    <t>相对输出基准卡片</t>
    <phoneticPr fontId="8" type="noConversion"/>
  </si>
  <si>
    <t>相对输出基准值</t>
    <phoneticPr fontId="8" type="noConversion"/>
  </si>
  <si>
    <t>5.15</t>
    <phoneticPr fontId="1" type="noConversion"/>
  </si>
  <si>
    <t>sp</t>
    <phoneticPr fontId="1" type="noConversion"/>
  </si>
  <si>
    <t>黄</t>
    <phoneticPr fontId="8" type="noConversion"/>
  </si>
  <si>
    <t>步梦</t>
    <phoneticPr fontId="8" type="noConversion"/>
  </si>
  <si>
    <t>vo</t>
    <phoneticPr fontId="1" type="noConversion"/>
  </si>
  <si>
    <t>露比</t>
    <phoneticPr fontId="8" type="noConversion"/>
  </si>
  <si>
    <t>gd</t>
    <phoneticPr fontId="1" type="noConversion"/>
  </si>
  <si>
    <t>粉</t>
    <phoneticPr fontId="8" type="noConversion"/>
  </si>
  <si>
    <t>真姬</t>
    <phoneticPr fontId="8" type="noConversion"/>
  </si>
  <si>
    <t>枪战露</t>
    <phoneticPr fontId="1" type="noConversion"/>
  </si>
  <si>
    <t>枪战姬</t>
    <phoneticPr fontId="1" type="noConversion"/>
  </si>
  <si>
    <t>枪战步</t>
    <phoneticPr fontId="1" type="noConversion"/>
  </si>
  <si>
    <t>mw鞠</t>
    <phoneticPr fontId="1" type="noConversion"/>
  </si>
  <si>
    <t>蓝</t>
    <phoneticPr fontId="8" type="noConversion"/>
  </si>
  <si>
    <t>鞠莉</t>
    <phoneticPr fontId="8" type="noConversion"/>
  </si>
  <si>
    <t>kks绘</t>
    <phoneticPr fontId="1" type="noConversion"/>
  </si>
  <si>
    <t>sk</t>
    <phoneticPr fontId="1" type="noConversion"/>
  </si>
  <si>
    <t>绿</t>
    <phoneticPr fontId="8" type="noConversion"/>
  </si>
  <si>
    <t>绘里</t>
    <phoneticPr fontId="8" type="noConversion"/>
  </si>
  <si>
    <t>op1霞</t>
    <phoneticPr fontId="1" type="noConversion"/>
  </si>
  <si>
    <t>蓝</t>
    <phoneticPr fontId="8" type="noConversion"/>
  </si>
  <si>
    <t>霞</t>
    <phoneticPr fontId="8" type="noConversion"/>
  </si>
  <si>
    <t>枪战姬</t>
  </si>
  <si>
    <t>op1霞</t>
  </si>
  <si>
    <t>获得途径</t>
    <phoneticPr fontId="1" type="noConversion"/>
  </si>
  <si>
    <t>93/186</t>
    <phoneticPr fontId="1" type="noConversion"/>
  </si>
  <si>
    <t>87/181</t>
    <phoneticPr fontId="1" type="noConversion"/>
  </si>
  <si>
    <t>Kakushiaji！</t>
    <phoneticPr fontId="1" type="noConversion"/>
  </si>
  <si>
    <t>红</t>
    <phoneticPr fontId="1" type="noConversion"/>
  </si>
  <si>
    <t>66/170</t>
    <phoneticPr fontId="1" type="noConversion"/>
  </si>
  <si>
    <t>嵐のなかの恋だから</t>
    <phoneticPr fontId="1" type="noConversion"/>
  </si>
  <si>
    <t>88/322</t>
    <phoneticPr fontId="1" type="noConversion"/>
  </si>
  <si>
    <t>全速ドリーマー</t>
    <phoneticPr fontId="1" type="noConversion"/>
  </si>
  <si>
    <t>148/285</t>
    <phoneticPr fontId="1" type="noConversion"/>
  </si>
  <si>
    <t>添加了新卡数据</t>
    <phoneticPr fontId="1" type="noConversion"/>
  </si>
  <si>
    <t>添加了新歌曲数据</t>
    <phoneticPr fontId="1" type="noConversion"/>
  </si>
  <si>
    <t>修复了部分卡片技能录入的错误</t>
    <phoneticPr fontId="1" type="noConversion"/>
  </si>
  <si>
    <t>5.16</t>
    <phoneticPr fontId="1" type="noConversion"/>
  </si>
  <si>
    <t>技能总真输出</t>
    <phoneticPr fontId="8" type="noConversion"/>
  </si>
  <si>
    <t>技能总输出</t>
    <phoneticPr fontId="1" type="noConversion"/>
  </si>
  <si>
    <t>技能总强度</t>
    <phoneticPr fontId="8" type="noConversion"/>
  </si>
  <si>
    <t>调整了大量超参数</t>
    <phoneticPr fontId="1" type="noConversion"/>
  </si>
  <si>
    <t>修复了特技相关的技能和type的输出没有乘以3的严重bug</t>
    <phoneticPr fontId="1" type="noConversion"/>
  </si>
  <si>
    <t>修复了温泉妮个性2的错误</t>
    <phoneticPr fontId="1" type="noConversion"/>
  </si>
  <si>
    <t>6.0</t>
    <phoneticPr fontId="1" type="noConversion"/>
  </si>
  <si>
    <t>初始露</t>
  </si>
  <si>
    <t>初始花</t>
  </si>
  <si>
    <t>初始绘</t>
  </si>
  <si>
    <t>初始曜</t>
  </si>
  <si>
    <t>S+</t>
    <phoneticPr fontId="1" type="noConversion"/>
  </si>
  <si>
    <t>C-</t>
    <phoneticPr fontId="1" type="noConversion"/>
  </si>
  <si>
    <t>S-</t>
    <phoneticPr fontId="1" type="noConversion"/>
  </si>
  <si>
    <t>F</t>
    <phoneticPr fontId="1" type="noConversion"/>
  </si>
  <si>
    <t>E+</t>
    <phoneticPr fontId="1" type="noConversion"/>
  </si>
  <si>
    <t>E-</t>
    <phoneticPr fontId="1" type="noConversion"/>
  </si>
  <si>
    <t>前排真输出</t>
    <phoneticPr fontId="1" type="noConversion"/>
  </si>
  <si>
    <t>强力</t>
    <phoneticPr fontId="1" type="noConversion"/>
  </si>
  <si>
    <t>不错</t>
    <phoneticPr fontId="1" type="noConversion"/>
  </si>
  <si>
    <t>可用</t>
    <phoneticPr fontId="1" type="noConversion"/>
  </si>
  <si>
    <t>较强</t>
    <phoneticPr fontId="1" type="noConversion"/>
  </si>
  <si>
    <t>凑合</t>
    <phoneticPr fontId="1" type="noConversion"/>
  </si>
  <si>
    <t>500伤害触发的个性2默认可以触发，1000伤害的默认不能</t>
    <phoneticPr fontId="1" type="noConversion"/>
  </si>
  <si>
    <t>计算奶盾的耐久值和站撸强度时不再考虑限制次数的切队回血（但是在计算切队奶强度时仍然考虑）</t>
    <phoneticPr fontId="1" type="noConversion"/>
  </si>
  <si>
    <t>修复了切队奶强度计算中对切队触发的个性2的计算的问题</t>
    <phoneticPr fontId="1" type="noConversion"/>
  </si>
  <si>
    <t>花曜</t>
  </si>
  <si>
    <t>活动sk果南</t>
    <phoneticPr fontId="1" type="noConversion"/>
  </si>
  <si>
    <t>初始gd梨子</t>
    <phoneticPr fontId="1" type="noConversion"/>
  </si>
  <si>
    <t>粉sk霞</t>
    <phoneticPr fontId="1" type="noConversion"/>
  </si>
  <si>
    <t>初始曜</t>
    <phoneticPr fontId="1" type="noConversion"/>
  </si>
  <si>
    <t>sk充电</t>
  </si>
  <si>
    <t>sk奶</t>
  </si>
  <si>
    <t>其他得分项</t>
    <phoneticPr fontId="1" type="noConversion"/>
  </si>
  <si>
    <t>更新了评分标准</t>
    <phoneticPr fontId="1" type="noConversion"/>
  </si>
  <si>
    <t>神级</t>
    <phoneticPr fontId="1" type="noConversion"/>
  </si>
  <si>
    <t>不够看</t>
    <phoneticPr fontId="1" type="noConversion"/>
  </si>
  <si>
    <t>较差</t>
    <phoneticPr fontId="1" type="noConversion"/>
  </si>
  <si>
    <t>很差</t>
    <phoneticPr fontId="1" type="noConversion"/>
  </si>
  <si>
    <t>较高</t>
    <phoneticPr fontId="1" type="noConversion"/>
  </si>
  <si>
    <t>中等</t>
    <phoneticPr fontId="1" type="noConversion"/>
  </si>
  <si>
    <t>较低</t>
    <phoneticPr fontId="1" type="noConversion"/>
  </si>
  <si>
    <t>很低</t>
    <phoneticPr fontId="1" type="noConversion"/>
  </si>
  <si>
    <t>神</t>
    <phoneticPr fontId="1" type="noConversion"/>
  </si>
  <si>
    <t>准神</t>
    <phoneticPr fontId="1" type="noConversion"/>
  </si>
  <si>
    <t>较弱</t>
    <phoneticPr fontId="1" type="noConversion"/>
  </si>
  <si>
    <t>弱</t>
    <phoneticPr fontId="1" type="noConversion"/>
  </si>
  <si>
    <t>fes2花</t>
    <phoneticPr fontId="1" type="noConversion"/>
  </si>
  <si>
    <t>黄</t>
    <phoneticPr fontId="8" type="noConversion"/>
  </si>
  <si>
    <t>花阳</t>
    <phoneticPr fontId="8" type="noConversion"/>
  </si>
  <si>
    <t>fes2爱</t>
    <phoneticPr fontId="1" type="noConversion"/>
  </si>
  <si>
    <t>sk</t>
    <phoneticPr fontId="1" type="noConversion"/>
  </si>
  <si>
    <t>粉</t>
    <phoneticPr fontId="8" type="noConversion"/>
  </si>
  <si>
    <t>爱</t>
    <phoneticPr fontId="8" type="noConversion"/>
  </si>
  <si>
    <t>mw善</t>
    <phoneticPr fontId="1" type="noConversion"/>
  </si>
  <si>
    <t>sp</t>
    <phoneticPr fontId="1" type="noConversion"/>
  </si>
  <si>
    <t>善子</t>
    <phoneticPr fontId="8" type="noConversion"/>
  </si>
  <si>
    <t>op1菜</t>
    <phoneticPr fontId="1" type="noConversion"/>
  </si>
  <si>
    <t>vo</t>
    <phoneticPr fontId="1" type="noConversion"/>
  </si>
  <si>
    <t>蓝</t>
    <phoneticPr fontId="8" type="noConversion"/>
  </si>
  <si>
    <t>雪菜</t>
    <phoneticPr fontId="8" type="noConversion"/>
  </si>
  <si>
    <t>添加了新卡数据</t>
    <phoneticPr fontId="1" type="noConversion"/>
  </si>
  <si>
    <t>调整了评分标准</t>
    <phoneticPr fontId="1" type="noConversion"/>
  </si>
  <si>
    <t>6.1</t>
    <phoneticPr fontId="1" type="noConversion"/>
  </si>
  <si>
    <t>6.2</t>
    <phoneticPr fontId="1" type="noConversion"/>
  </si>
  <si>
    <t>修正了fes2花和fes2爱的ID的错误</t>
    <phoneticPr fontId="1" type="noConversion"/>
  </si>
  <si>
    <t>id</t>
    <phoneticPr fontId="1" type="noConversion"/>
  </si>
  <si>
    <t>黄</t>
    <phoneticPr fontId="1" type="noConversion"/>
  </si>
  <si>
    <t>-(7000*Sk)</t>
    <phoneticPr fontId="1" type="noConversion"/>
  </si>
  <si>
    <t>饰品名称</t>
    <phoneticPr fontId="1" type="noConversion"/>
  </si>
  <si>
    <t>三围和</t>
    <phoneticPr fontId="1" type="noConversion"/>
  </si>
  <si>
    <t>1级比例</t>
    <phoneticPr fontId="1" type="noConversion"/>
  </si>
  <si>
    <t>ap比例</t>
    <phoneticPr fontId="1" type="noConversion"/>
  </si>
  <si>
    <t>st比例</t>
    <phoneticPr fontId="1" type="noConversion"/>
  </si>
  <si>
    <t>te比例</t>
    <phoneticPr fontId="1" type="noConversion"/>
  </si>
  <si>
    <t>1级ap</t>
    <phoneticPr fontId="1" type="noConversion"/>
  </si>
  <si>
    <t>满级ap</t>
    <phoneticPr fontId="1" type="noConversion"/>
  </si>
  <si>
    <t>满级st</t>
    <phoneticPr fontId="1" type="noConversion"/>
  </si>
  <si>
    <t>满级te</t>
    <phoneticPr fontId="1" type="noConversion"/>
  </si>
  <si>
    <t>1级st</t>
    <phoneticPr fontId="1" type="noConversion"/>
  </si>
  <si>
    <t>1级te</t>
    <phoneticPr fontId="1" type="noConversion"/>
  </si>
  <si>
    <t>技能</t>
    <phoneticPr fontId="1" type="noConversion"/>
  </si>
  <si>
    <t>星のイヤリング</t>
    <phoneticPr fontId="1" type="noConversion"/>
  </si>
  <si>
    <t>通常</t>
    <phoneticPr fontId="1" type="noConversion"/>
  </si>
  <si>
    <t>星のネックレス</t>
    <phoneticPr fontId="1" type="noConversion"/>
  </si>
  <si>
    <t>音符のプローチ</t>
    <phoneticPr fontId="1" type="noConversion"/>
  </si>
  <si>
    <t>音符のキーホルダー</t>
    <phoneticPr fontId="1" type="noConversion"/>
  </si>
  <si>
    <t>1级技能</t>
    <phoneticPr fontId="1" type="noConversion"/>
  </si>
  <si>
    <t>满级技能</t>
    <phoneticPr fontId="1" type="noConversion"/>
  </si>
  <si>
    <t>根据剩余体力增加基本SP槽填充量，最多增加-----（条件：曲中）</t>
    <phoneticPr fontId="1" type="noConversion"/>
  </si>
  <si>
    <t>根据剩余体力减少基本受到的伤害，最多减少-----（条件：曲中）</t>
    <phoneticPr fontId="1" type="noConversion"/>
  </si>
  <si>
    <t>根据剩余体力增加基本Appeal，最多增加-----（条件：曲中）</t>
    <phoneticPr fontId="1" type="noConversion"/>
  </si>
  <si>
    <t>根据剩余体力提升基本特技发动率，最多提升-----（乘法计算）（条件：曲中）</t>
    <phoneticPr fontId="1" type="noConversion"/>
  </si>
  <si>
    <t>フラワーのブレストット</t>
    <phoneticPr fontId="1" type="noConversion"/>
  </si>
  <si>
    <t>获得相当于自身Appeal的-----的SP槽（条件：AC成功）</t>
    <phoneticPr fontId="1" type="noConversion"/>
  </si>
  <si>
    <t>フラワーのヘアピン</t>
    <phoneticPr fontId="1" type="noConversion"/>
  </si>
  <si>
    <t>根据combo数提升基本暴击值，最多提升-----（条件：曲中）</t>
    <phoneticPr fontId="1" type="noConversion"/>
  </si>
  <si>
    <t>チェックのリボン</t>
    <phoneticPr fontId="1" type="noConversion"/>
  </si>
  <si>
    <t>根据combo数获得盾，最多获得-----（条件：AC成功，概率：30%）</t>
    <phoneticPr fontId="1" type="noConversion"/>
  </si>
  <si>
    <t>チェックのポーチ</t>
    <phoneticPr fontId="1" type="noConversion"/>
  </si>
  <si>
    <t>根据combo数回复体力，最多获得-----（条件：AC成功，概率：30%）</t>
    <phoneticPr fontId="1" type="noConversion"/>
  </si>
  <si>
    <t>ボーダーのリストバンド</t>
    <phoneticPr fontId="1" type="noConversion"/>
  </si>
  <si>
    <t>接下来的10个note中，Appeal增加-----（条件：曲开始时，概率：30%）</t>
    <phoneticPr fontId="1" type="noConversion"/>
  </si>
  <si>
    <t>ボーダーのタオル</t>
    <phoneticPr fontId="1" type="noConversion"/>
  </si>
  <si>
    <t>接下来的10个note中，特技发动率提升-----（乘法计算）（条件：曲开始时，概率：30%）</t>
    <phoneticPr fontId="1" type="noConversion"/>
  </si>
  <si>
    <t>音ノ木坂学院の校章</t>
    <phoneticPr fontId="1" type="noConversion"/>
  </si>
  <si>
    <t>特典</t>
    <phoneticPr fontId="1" type="noConversion"/>
  </si>
  <si>
    <t>浦の星女学院の校章</t>
    <phoneticPr fontId="1" type="noConversion"/>
  </si>
  <si>
    <t>虹ヶ咲学園の校章</t>
    <phoneticPr fontId="1" type="noConversion"/>
  </si>
  <si>
    <t>サンタ帽（μ's）</t>
    <phoneticPr fontId="1" type="noConversion"/>
  </si>
  <si>
    <t>回复相当于自身Stamina的-----的体力（条件：切队时，概率：15%）</t>
    <phoneticPr fontId="1" type="noConversion"/>
  </si>
  <si>
    <t>サンタ帽（Aqours）</t>
    <phoneticPr fontId="1" type="noConversion"/>
  </si>
  <si>
    <t>サンタ帽（ニジガク）</t>
    <phoneticPr fontId="1" type="noConversion"/>
  </si>
  <si>
    <t>ニジガクスクールバッグ</t>
    <phoneticPr fontId="1" type="noConversion"/>
  </si>
  <si>
    <t>接下来的10个note中，受到的伤害减少-----（条件：AC时，概率：20%）</t>
    <phoneticPr fontId="1" type="noConversion"/>
  </si>
  <si>
    <t>ユニットピンズ（DiverDiva）</t>
    <phoneticPr fontId="1" type="noConversion"/>
  </si>
  <si>
    <t>ユニットピンズ（A・ZU・NA）</t>
    <phoneticPr fontId="1" type="noConversion"/>
  </si>
  <si>
    <t>ユニットピンズ（QU4RTZ）</t>
    <phoneticPr fontId="1" type="noConversion"/>
  </si>
  <si>
    <t>接下来的5个note中，特技发动率提升-----（乘法计算）（条件：AC时，概率：20%）</t>
    <phoneticPr fontId="1" type="noConversion"/>
  </si>
  <si>
    <t>ヒツジのニット帽</t>
    <phoneticPr fontId="1" type="noConversion"/>
  </si>
  <si>
    <t>接下来的3个note中，暴击率提升-----（乘法计算）（条件：AC时，概率：10%）</t>
    <phoneticPr fontId="1" type="noConversion"/>
  </si>
  <si>
    <t>はじまりのCD</t>
    <phoneticPr fontId="1" type="noConversion"/>
  </si>
  <si>
    <t>接下来的3个note中，Appeal增加-----（条件：AC时，概率：40%）</t>
    <phoneticPr fontId="1" type="noConversion"/>
  </si>
  <si>
    <t>ユニットピンズ（CYaRon！）</t>
    <phoneticPr fontId="1" type="noConversion"/>
  </si>
  <si>
    <t>接下来的3个note中，Appeal增加-----（条件：切队时，概率：25%）</t>
    <phoneticPr fontId="1" type="noConversion"/>
  </si>
  <si>
    <t>ユニットピンズ（AZALEA）</t>
    <phoneticPr fontId="1" type="noConversion"/>
  </si>
  <si>
    <t>接下来的3个note中，SP槽填充量增加-----（条件：AC时，概率：75%）</t>
    <phoneticPr fontId="1" type="noConversion"/>
  </si>
  <si>
    <t>ユニットピンズ（Guilty Kiss）</t>
    <phoneticPr fontId="1" type="noConversion"/>
  </si>
  <si>
    <t>下一次SP特技中，SP特技获得的分数增加-----（条件：受到伤害时，概率：5%）</t>
    <phoneticPr fontId="1" type="noConversion"/>
  </si>
  <si>
    <t>ハートのベルト</t>
    <phoneticPr fontId="1" type="noConversion"/>
  </si>
  <si>
    <t>DLP</t>
    <phoneticPr fontId="1" type="noConversion"/>
  </si>
  <si>
    <t>SP特技获得的分数增加自身Technique的-----（乘法计算）（条件：曲中）</t>
    <phoneticPr fontId="1" type="noConversion"/>
  </si>
  <si>
    <t>四葉のチョーカー</t>
    <phoneticPr fontId="1" type="noConversion"/>
  </si>
  <si>
    <t>基本点击得分上限提升-----（条件：曲中）</t>
    <phoneticPr fontId="1" type="noConversion"/>
  </si>
  <si>
    <t>雪結晶のバングル</t>
    <phoneticPr fontId="1" type="noConversion"/>
  </si>
  <si>
    <t>根据剩余体力提升基本暴击值，最多提升-----（乘法计算）（条件：曲中）</t>
    <phoneticPr fontId="1" type="noConversion"/>
  </si>
  <si>
    <t>ミニクラウン</t>
    <phoneticPr fontId="1" type="noConversion"/>
  </si>
  <si>
    <t>填充-----SP槽（条件：曲开始时）</t>
    <phoneticPr fontId="1" type="noConversion"/>
  </si>
  <si>
    <t>指ぬきグローブ</t>
    <phoneticPr fontId="1" type="noConversion"/>
  </si>
  <si>
    <t>接下来的3个note中，Appeal增加-----（条件：切队时，概率：33.33%，对象：雪菜）</t>
    <phoneticPr fontId="1" type="noConversion"/>
  </si>
  <si>
    <t>接下来的3个note中，Appeal增加-----（条件：切队时，概率：33.33%，对象：霞）</t>
    <phoneticPr fontId="1" type="noConversion"/>
  </si>
  <si>
    <t>ミニフラッグ</t>
    <phoneticPr fontId="1" type="noConversion"/>
  </si>
  <si>
    <t>かんざし</t>
    <phoneticPr fontId="1" type="noConversion"/>
  </si>
  <si>
    <t>下一次SP特技中，SP特技获得的分数增加-----（条件：AC成功）</t>
    <phoneticPr fontId="1" type="noConversion"/>
  </si>
  <si>
    <t>虹色アンブレラ</t>
  </si>
  <si>
    <t>ときめきリボン</t>
  </si>
  <si>
    <r>
      <t>Cutest</t>
    </r>
    <r>
      <rPr>
        <sz val="11"/>
        <color theme="1"/>
        <rFont val="Arial Unicode MS"/>
        <family val="2"/>
        <charset val="134"/>
      </rPr>
      <t>♡</t>
    </r>
    <r>
      <rPr>
        <sz val="11"/>
        <color theme="1"/>
        <rFont val="Microsoft YaHei UI"/>
        <family val="2"/>
        <charset val="134"/>
      </rPr>
      <t>ハット</t>
    </r>
  </si>
  <si>
    <t>DIVE！ベルト</t>
  </si>
  <si>
    <t>サイコーポンポン</t>
  </si>
  <si>
    <t>ぽかぽかストローハット</t>
  </si>
  <si>
    <t>ニジガク帽子</t>
    <phoneticPr fontId="1" type="noConversion"/>
  </si>
  <si>
    <t>ねこのワッペン</t>
  </si>
  <si>
    <t>広報誌ニジガクジャーナル</t>
  </si>
  <si>
    <t>夢見るティアラ</t>
  </si>
  <si>
    <t>Rainyネックレス</t>
  </si>
  <si>
    <t>VIVIDハット</t>
  </si>
  <si>
    <t>ローダンセの髪飾り</t>
  </si>
  <si>
    <t>お揃いパスケース</t>
  </si>
  <si>
    <t>ニジガクのピアノ</t>
  </si>
  <si>
    <t>同好会ドアプレート</t>
  </si>
  <si>
    <t>生徒会長のメガネ</t>
  </si>
  <si>
    <t>ランニングシューズ</t>
  </si>
  <si>
    <t>虹ヶ咲学園どんぶり</t>
  </si>
  <si>
    <t>アランロボ</t>
  </si>
  <si>
    <t>彼方ちゃんの枕</t>
  </si>
  <si>
    <t>ニジガクバット</t>
  </si>
  <si>
    <t>Brand New Story マフラータオル</t>
  </si>
  <si>
    <t>Back to the TOKIMEKI マフラータオル</t>
  </si>
  <si>
    <t>点击获得的分数增加-----（条件：曲开始时）</t>
    <phoneticPr fontId="1" type="noConversion"/>
  </si>
  <si>
    <t>回复相当于自身Stamina的-----的体力（条件：AC成功，最多发动4次）</t>
    <phoneticPr fontId="1" type="noConversion"/>
  </si>
  <si>
    <t>接下来的3个note中，受到的伤害减少-----（条件：AC时，最多发动4次）</t>
    <phoneticPr fontId="1" type="noConversion"/>
  </si>
  <si>
    <t>接下来的3个note中，暴击率提升-----（条件：AC时，最多发动4次）</t>
    <phoneticPr fontId="1" type="noConversion"/>
  </si>
  <si>
    <t>下一次SP特技中，SP特技获得的分数增加-----（条件：AC成功，最多发动4次）</t>
    <phoneticPr fontId="1" type="noConversion"/>
  </si>
  <si>
    <t>接下来的3个note中，Appeal增加-----（条件：AC成功，最多发动4次）</t>
    <phoneticPr fontId="1" type="noConversion"/>
  </si>
  <si>
    <t>接下来的3个note中，特技发动率提升-----（乘法计算）（条件：AC成功，最多发动4次）</t>
    <phoneticPr fontId="1" type="noConversion"/>
  </si>
  <si>
    <t>基本暴击值提升-----（条件：曲开始时）</t>
    <phoneticPr fontId="1" type="noConversion"/>
  </si>
  <si>
    <t>填充-----SP槽（条件：AC成功，最多发动4次）</t>
    <phoneticPr fontId="1" type="noConversion"/>
  </si>
  <si>
    <t>接下来的3个note中，SP槽填充量增加-----（条件：AC成功，最多发动4次）</t>
    <phoneticPr fontId="1" type="noConversion"/>
  </si>
  <si>
    <t>获得相当于自身Stamina的-----的盾（条件：AC成功，最多发动4次）</t>
    <phoneticPr fontId="1" type="noConversion"/>
  </si>
  <si>
    <t>接下来的3个note中，特技发动率提升-----（乘法计算）（条件：AC成功，最多发动2次）</t>
    <phoneticPr fontId="1" type="noConversion"/>
  </si>
  <si>
    <t>获得相当于自身Stamina的-----的盾（条件：残80%时，最多发动1次，概率：30%）</t>
    <phoneticPr fontId="1" type="noConversion"/>
  </si>
  <si>
    <t>接下来的3个note中，点击获得的分数增加-----（条件：AC成功，最多发动4次）</t>
    <phoneticPr fontId="1" type="noConversion"/>
  </si>
  <si>
    <t>填充-----SP槽（条件：切队时，最多发动1次）</t>
    <phoneticPr fontId="1" type="noConversion"/>
  </si>
  <si>
    <t>下一次SP特技中，SP特技获得的分数增加自身Appeal的-----（条件：切队时，最多发动1次）</t>
    <phoneticPr fontId="1" type="noConversion"/>
  </si>
  <si>
    <t>接下来的3个note中，SP槽填充量增加-----（条件：SP发动，最多发动1次）</t>
    <phoneticPr fontId="1" type="noConversion"/>
  </si>
  <si>
    <t>获得相当于自身Stamina的-----的盾（条件：切队时，最多发动1次）</t>
    <phoneticPr fontId="1" type="noConversion"/>
  </si>
  <si>
    <t>接下来的3个note中，受到的伤害减少-----（条件：SP发动，最多发动1次）</t>
    <phoneticPr fontId="1" type="noConversion"/>
  </si>
  <si>
    <t>接下来的3个note中，暴击率提升-----（条件：SP发动，最多发动5次）</t>
    <phoneticPr fontId="1" type="noConversion"/>
  </si>
  <si>
    <t>获得相当于自身Appeal的-----的SP槽（条件：切队时，最多发动3次）</t>
    <phoneticPr fontId="1" type="noConversion"/>
  </si>
  <si>
    <t>接下来的3个note中，Appeal增加-----（条件：切队时，最多发动1次）</t>
  </si>
  <si>
    <t>接下来的4个note中，点击获得的分数增加-----（条件：AC成功，最多发动3次）</t>
    <phoneticPr fontId="1" type="noConversion"/>
  </si>
  <si>
    <t>接下来的3个note中，特技发动率提升-----（乘法计算）（条件：AC成功）</t>
    <phoneticPr fontId="1" type="noConversion"/>
  </si>
  <si>
    <t>添加了新的绊面板数据</t>
    <phoneticPr fontId="1" type="noConversion"/>
  </si>
  <si>
    <t>添加了饰品参数表</t>
    <phoneticPr fontId="1" type="noConversion"/>
  </si>
  <si>
    <t>6.3</t>
    <phoneticPr fontId="1" type="noConversion"/>
  </si>
  <si>
    <t>樱花雫</t>
    <phoneticPr fontId="1" type="noConversion"/>
  </si>
  <si>
    <t>sp</t>
    <phoneticPr fontId="1" type="noConversion"/>
  </si>
  <si>
    <t>绿</t>
    <phoneticPr fontId="8" type="noConversion"/>
  </si>
  <si>
    <t>雫</t>
    <phoneticPr fontId="8" type="noConversion"/>
  </si>
  <si>
    <t>樱花黛</t>
  </si>
  <si>
    <t>樱花黛</t>
    <phoneticPr fontId="1" type="noConversion"/>
  </si>
  <si>
    <t>gd</t>
    <phoneticPr fontId="1" type="noConversion"/>
  </si>
  <si>
    <t>黄</t>
    <phoneticPr fontId="8" type="noConversion"/>
  </si>
  <si>
    <t>黛雅</t>
    <phoneticPr fontId="8" type="noConversion"/>
  </si>
  <si>
    <t>伤害时</t>
    <phoneticPr fontId="8" type="noConversion"/>
  </si>
  <si>
    <t>加盾</t>
    <phoneticPr fontId="8" type="noConversion"/>
  </si>
  <si>
    <t>st</t>
    <phoneticPr fontId="8" type="noConversion"/>
  </si>
  <si>
    <t>fes2花</t>
  </si>
  <si>
    <t>jb璃</t>
    <phoneticPr fontId="1" type="noConversion"/>
  </si>
  <si>
    <t>gd</t>
    <phoneticPr fontId="1" type="noConversion"/>
  </si>
  <si>
    <t>黄</t>
    <phoneticPr fontId="8" type="noConversion"/>
  </si>
  <si>
    <t>璃奈</t>
    <phoneticPr fontId="8" type="noConversion"/>
  </si>
  <si>
    <t>樱花妮</t>
    <phoneticPr fontId="1" type="noConversion"/>
  </si>
  <si>
    <t>sk</t>
    <phoneticPr fontId="1" type="noConversion"/>
  </si>
  <si>
    <t>紫</t>
    <phoneticPr fontId="8" type="noConversion"/>
  </si>
  <si>
    <t>妮可</t>
    <phoneticPr fontId="8" type="noConversion"/>
  </si>
  <si>
    <t>同属性</t>
    <phoneticPr fontId="8" type="noConversion"/>
  </si>
  <si>
    <t>三单善</t>
  </si>
  <si>
    <t>三单善</t>
    <phoneticPr fontId="1" type="noConversion"/>
  </si>
  <si>
    <t>绿</t>
    <phoneticPr fontId="8" type="noConversion"/>
  </si>
  <si>
    <t>善子</t>
    <phoneticPr fontId="8" type="noConversion"/>
  </si>
  <si>
    <t>nbg希</t>
    <phoneticPr fontId="1" type="noConversion"/>
  </si>
  <si>
    <t>sp</t>
    <phoneticPr fontId="1" type="noConversion"/>
  </si>
  <si>
    <t>蓝</t>
    <phoneticPr fontId="8" type="noConversion"/>
  </si>
  <si>
    <t>希</t>
    <phoneticPr fontId="8" type="noConversion"/>
  </si>
  <si>
    <t>修正了切队奶强度计算的bug</t>
    <phoneticPr fontId="1" type="noConversion"/>
  </si>
  <si>
    <t>6.4</t>
    <phoneticPr fontId="1" type="noConversion"/>
  </si>
  <si>
    <t>163/295</t>
    <phoneticPr fontId="1" type="noConversion"/>
  </si>
  <si>
    <t>恋のシグナルRin rin rin!</t>
    <phoneticPr fontId="1" type="noConversion"/>
  </si>
  <si>
    <t>smile smile ship Start!</t>
    <phoneticPr fontId="1" type="noConversion"/>
  </si>
  <si>
    <t>粉</t>
    <phoneticPr fontId="1" type="noConversion"/>
  </si>
  <si>
    <t>上级</t>
  </si>
  <si>
    <t>上级</t>
    <phoneticPr fontId="1" type="noConversion"/>
  </si>
  <si>
    <t>106/186</t>
    <phoneticPr fontId="1" type="noConversion"/>
  </si>
  <si>
    <t>虹色Passions！</t>
    <phoneticPr fontId="1" type="noConversion"/>
  </si>
  <si>
    <t>红</t>
    <phoneticPr fontId="1" type="noConversion"/>
  </si>
  <si>
    <t>98/173</t>
    <phoneticPr fontId="1" type="noConversion"/>
  </si>
  <si>
    <t>僕たちはひとつの光</t>
    <phoneticPr fontId="1" type="noConversion"/>
  </si>
  <si>
    <t>77/178</t>
    <phoneticPr fontId="1" type="noConversion"/>
  </si>
  <si>
    <t>更新了歌曲数据</t>
    <phoneticPr fontId="1" type="noConversion"/>
  </si>
  <si>
    <t>prt果</t>
  </si>
  <si>
    <t>prt果</t>
    <phoneticPr fontId="1" type="noConversion"/>
  </si>
  <si>
    <t>jb彼</t>
    <phoneticPr fontId="1" type="noConversion"/>
  </si>
  <si>
    <t>sk</t>
    <phoneticPr fontId="1" type="noConversion"/>
  </si>
  <si>
    <t>vo</t>
    <phoneticPr fontId="1" type="noConversion"/>
  </si>
  <si>
    <t>绿</t>
    <phoneticPr fontId="8" type="noConversion"/>
  </si>
  <si>
    <t>穗乃果</t>
    <phoneticPr fontId="8" type="noConversion"/>
  </si>
  <si>
    <t>紫</t>
    <phoneticPr fontId="8" type="noConversion"/>
  </si>
  <si>
    <t>彼方</t>
    <phoneticPr fontId="8" type="noConversion"/>
  </si>
  <si>
    <t>同type</t>
    <phoneticPr fontId="8" type="noConversion"/>
  </si>
  <si>
    <t>6.5</t>
    <phoneticPr fontId="1" type="noConversion"/>
  </si>
  <si>
    <t>vo</t>
    <phoneticPr fontId="1" type="noConversion"/>
  </si>
  <si>
    <t>红</t>
    <phoneticPr fontId="8" type="noConversion"/>
  </si>
  <si>
    <t>凛</t>
    <phoneticPr fontId="8" type="noConversion"/>
  </si>
  <si>
    <t>春游凛</t>
    <phoneticPr fontId="1" type="noConversion"/>
  </si>
  <si>
    <t>jb霞</t>
    <phoneticPr fontId="1" type="noConversion"/>
  </si>
  <si>
    <t>绿</t>
    <phoneticPr fontId="8" type="noConversion"/>
  </si>
  <si>
    <t>霞</t>
    <phoneticPr fontId="8" type="noConversion"/>
  </si>
  <si>
    <t>春游林</t>
  </si>
  <si>
    <t>春游林</t>
    <phoneticPr fontId="1" type="noConversion"/>
  </si>
  <si>
    <t>gd</t>
    <phoneticPr fontId="1" type="noConversion"/>
  </si>
  <si>
    <t>紫</t>
    <phoneticPr fontId="8" type="noConversion"/>
  </si>
  <si>
    <t>果林</t>
    <phoneticPr fontId="8" type="noConversion"/>
  </si>
  <si>
    <t>回血</t>
    <phoneticPr fontId="8" type="noConversion"/>
  </si>
  <si>
    <t>st</t>
    <phoneticPr fontId="8" type="noConversion"/>
  </si>
  <si>
    <t>春游千</t>
    <phoneticPr fontId="1" type="noConversion"/>
  </si>
  <si>
    <t>sp</t>
    <phoneticPr fontId="1" type="noConversion"/>
  </si>
  <si>
    <t>黄</t>
    <phoneticPr fontId="8" type="noConversion"/>
  </si>
  <si>
    <t>千歌</t>
    <phoneticPr fontId="8" type="noConversion"/>
  </si>
  <si>
    <t>同年级</t>
    <phoneticPr fontId="8" type="noConversion"/>
  </si>
  <si>
    <t>sp+</t>
    <phoneticPr fontId="8" type="noConversion"/>
  </si>
  <si>
    <t>nbg花</t>
    <phoneticPr fontId="1" type="noConversion"/>
  </si>
  <si>
    <t>花阳</t>
    <phoneticPr fontId="8" type="noConversion"/>
  </si>
  <si>
    <t>低血量</t>
    <phoneticPr fontId="8" type="noConversion"/>
  </si>
  <si>
    <t>三单露</t>
    <phoneticPr fontId="1" type="noConversion"/>
  </si>
  <si>
    <t>sk</t>
    <phoneticPr fontId="1" type="noConversion"/>
  </si>
  <si>
    <t>粉</t>
    <phoneticPr fontId="8" type="noConversion"/>
  </si>
  <si>
    <t>露比</t>
    <phoneticPr fontId="8" type="noConversion"/>
  </si>
  <si>
    <t>同年级</t>
    <phoneticPr fontId="8" type="noConversion"/>
  </si>
  <si>
    <t>6.6</t>
    <phoneticPr fontId="1" type="noConversion"/>
  </si>
  <si>
    <t>fes2艾</t>
    <phoneticPr fontId="1" type="noConversion"/>
  </si>
  <si>
    <t>黄</t>
    <phoneticPr fontId="8" type="noConversion"/>
  </si>
  <si>
    <t>艾玛</t>
    <phoneticPr fontId="8" type="noConversion"/>
  </si>
  <si>
    <t>ct+</t>
    <phoneticPr fontId="8" type="noConversion"/>
  </si>
  <si>
    <t>fes2梨</t>
    <phoneticPr fontId="1" type="noConversion"/>
  </si>
  <si>
    <t>sp</t>
    <phoneticPr fontId="1" type="noConversion"/>
  </si>
  <si>
    <t>梨子</t>
    <phoneticPr fontId="8" type="noConversion"/>
  </si>
  <si>
    <t>自身</t>
    <phoneticPr fontId="8" type="noConversion"/>
  </si>
  <si>
    <t>gd</t>
    <phoneticPr fontId="1" type="noConversion"/>
  </si>
  <si>
    <t>红</t>
    <phoneticPr fontId="8" type="noConversion"/>
  </si>
  <si>
    <t>真姬</t>
    <phoneticPr fontId="8" type="noConversion"/>
  </si>
  <si>
    <t>三单丸</t>
    <phoneticPr fontId="1" type="noConversion"/>
  </si>
  <si>
    <t>花丸</t>
    <phoneticPr fontId="8" type="noConversion"/>
  </si>
  <si>
    <t>基本Appeal增加-----（条件：曲开始时）</t>
    <phoneticPr fontId="1" type="noConversion"/>
  </si>
  <si>
    <t>6.7</t>
    <phoneticPr fontId="1" type="noConversion"/>
  </si>
  <si>
    <t>MIRAI TICKET</t>
    <phoneticPr fontId="1" type="noConversion"/>
  </si>
  <si>
    <t>80/189</t>
    <phoneticPr fontId="1" type="noConversion"/>
  </si>
  <si>
    <t>NEO SKY, NEO MAP!</t>
    <phoneticPr fontId="1" type="noConversion"/>
  </si>
  <si>
    <t>绿</t>
    <phoneticPr fontId="1" type="noConversion"/>
  </si>
  <si>
    <t>92/167</t>
    <phoneticPr fontId="1" type="noConversion"/>
  </si>
  <si>
    <t>gd</t>
    <phoneticPr fontId="1" type="noConversion"/>
  </si>
  <si>
    <t>蓝</t>
    <phoneticPr fontId="8" type="noConversion"/>
  </si>
  <si>
    <t>果南</t>
    <phoneticPr fontId="8" type="noConversion"/>
  </si>
  <si>
    <t>vo</t>
    <phoneticPr fontId="1" type="noConversion"/>
  </si>
  <si>
    <t>绿</t>
    <phoneticPr fontId="8" type="noConversion"/>
  </si>
  <si>
    <t>璃奈</t>
    <phoneticPr fontId="8" type="noConversion"/>
  </si>
  <si>
    <t>同学校</t>
    <phoneticPr fontId="8" type="noConversion"/>
  </si>
  <si>
    <t>幼教南</t>
  </si>
  <si>
    <t>幼教南</t>
    <phoneticPr fontId="1" type="noConversion"/>
  </si>
  <si>
    <t>幼教璃</t>
    <phoneticPr fontId="1" type="noConversion"/>
  </si>
  <si>
    <t>nbg姬</t>
    <phoneticPr fontId="1" type="noConversion"/>
  </si>
  <si>
    <t>nbg绘</t>
  </si>
  <si>
    <t>nbg绘</t>
    <phoneticPr fontId="1" type="noConversion"/>
  </si>
  <si>
    <t>黄</t>
    <phoneticPr fontId="8" type="noConversion"/>
  </si>
  <si>
    <t>绘里</t>
    <phoneticPr fontId="8" type="noConversion"/>
  </si>
  <si>
    <t>幼教海</t>
    <phoneticPr fontId="1" type="noConversion"/>
  </si>
  <si>
    <t>sk</t>
    <phoneticPr fontId="1" type="noConversion"/>
  </si>
  <si>
    <t>红</t>
    <phoneticPr fontId="8" type="noConversion"/>
  </si>
  <si>
    <t>海未</t>
    <phoneticPr fontId="8" type="noConversion"/>
  </si>
  <si>
    <t>三单鞠</t>
    <phoneticPr fontId="1" type="noConversion"/>
  </si>
  <si>
    <t>鞠莉</t>
    <phoneticPr fontId="8" type="noConversion"/>
  </si>
  <si>
    <t>jb步</t>
  </si>
  <si>
    <t>jb步</t>
    <phoneticPr fontId="1" type="noConversion"/>
  </si>
  <si>
    <t>步梦</t>
    <phoneticPr fontId="8" type="noConversion"/>
  </si>
  <si>
    <t>6.8</t>
    <phoneticPr fontId="1" type="noConversion"/>
  </si>
  <si>
    <t>prt彼</t>
    <phoneticPr fontId="1" type="noConversion"/>
  </si>
  <si>
    <t>紫</t>
    <phoneticPr fontId="8" type="noConversion"/>
  </si>
  <si>
    <t>彼方</t>
    <phoneticPr fontId="8" type="noConversion"/>
  </si>
  <si>
    <t>nbg鸟</t>
    <phoneticPr fontId="1" type="noConversion"/>
  </si>
  <si>
    <t>小鸟</t>
    <phoneticPr fontId="8" type="noConversion"/>
  </si>
  <si>
    <t>同属性</t>
    <phoneticPr fontId="8" type="noConversion"/>
  </si>
  <si>
    <t>infty</t>
    <phoneticPr fontId="8" type="noConversion"/>
  </si>
  <si>
    <t>6.9</t>
    <phoneticPr fontId="1" type="noConversion"/>
  </si>
  <si>
    <t>回复相当于自身Stamina的-----的体力（条件：切队时，最多发动1次）</t>
    <phoneticPr fontId="1" type="noConversion"/>
  </si>
  <si>
    <t>しずくのマスク</t>
    <phoneticPr fontId="1" type="noConversion"/>
  </si>
  <si>
    <t>果林のチョーカー</t>
  </si>
  <si>
    <t>更新了饰品参数</t>
    <phoneticPr fontId="1" type="noConversion"/>
  </si>
  <si>
    <t>始まりは君の空</t>
    <phoneticPr fontId="1" type="noConversion"/>
  </si>
  <si>
    <t>黄</t>
    <phoneticPr fontId="1" type="noConversion"/>
  </si>
  <si>
    <t>105/179</t>
    <phoneticPr fontId="1" type="noConversion"/>
  </si>
  <si>
    <t>Future flight</t>
    <phoneticPr fontId="1" type="noConversion"/>
  </si>
  <si>
    <t>红</t>
    <phoneticPr fontId="1" type="noConversion"/>
  </si>
  <si>
    <t>92/171</t>
    <phoneticPr fontId="1" type="noConversion"/>
  </si>
  <si>
    <t>粉</t>
    <phoneticPr fontId="1" type="noConversion"/>
  </si>
  <si>
    <t>44/168</t>
    <phoneticPr fontId="1" type="noConversion"/>
  </si>
  <si>
    <t>Make-up session ABC</t>
    <phoneticPr fontId="1" type="noConversion"/>
  </si>
  <si>
    <t>祭花 -saika-</t>
    <phoneticPr fontId="1" type="noConversion"/>
  </si>
  <si>
    <t>蓝</t>
    <phoneticPr fontId="1" type="noConversion"/>
  </si>
  <si>
    <t>87/168</t>
    <phoneticPr fontId="1" type="noConversion"/>
  </si>
  <si>
    <t>スリリング・ワンウェイ</t>
    <phoneticPr fontId="1" type="noConversion"/>
  </si>
  <si>
    <t>167/282</t>
    <phoneticPr fontId="1" type="noConversion"/>
  </si>
  <si>
    <t>sk</t>
    <phoneticPr fontId="1" type="noConversion"/>
  </si>
  <si>
    <t>粉</t>
    <phoneticPr fontId="8" type="noConversion"/>
  </si>
  <si>
    <t>善子</t>
    <phoneticPr fontId="8" type="noConversion"/>
  </si>
  <si>
    <t>ap时</t>
    <phoneticPr fontId="8" type="noConversion"/>
  </si>
  <si>
    <t>gd</t>
    <phoneticPr fontId="1" type="noConversion"/>
  </si>
  <si>
    <t>红</t>
    <phoneticPr fontId="8" type="noConversion"/>
  </si>
  <si>
    <t>霞</t>
    <phoneticPr fontId="8" type="noConversion"/>
  </si>
  <si>
    <t>ap+</t>
    <phoneticPr fontId="8" type="noConversion"/>
  </si>
  <si>
    <t>同属性</t>
    <phoneticPr fontId="8" type="noConversion"/>
  </si>
  <si>
    <t>紫</t>
    <phoneticPr fontId="8" type="noConversion"/>
  </si>
  <si>
    <t>曜</t>
    <phoneticPr fontId="8" type="noConversion"/>
  </si>
  <si>
    <t>vo获得</t>
    <phoneticPr fontId="8" type="noConversion"/>
  </si>
  <si>
    <t>te</t>
    <phoneticPr fontId="8" type="noConversion"/>
  </si>
  <si>
    <t>vo</t>
    <phoneticPr fontId="1" type="noConversion"/>
  </si>
  <si>
    <t>黄</t>
    <phoneticPr fontId="8" type="noConversion"/>
  </si>
  <si>
    <t>真姬</t>
    <phoneticPr fontId="8" type="noConversion"/>
  </si>
  <si>
    <t>艾玛</t>
    <phoneticPr fontId="8" type="noConversion"/>
  </si>
  <si>
    <t>蓝</t>
    <phoneticPr fontId="8" type="noConversion"/>
  </si>
  <si>
    <t>妮可</t>
    <phoneticPr fontId="8" type="noConversion"/>
  </si>
  <si>
    <t>全员</t>
    <phoneticPr fontId="8" type="noConversion"/>
  </si>
  <si>
    <t>jb艾</t>
  </si>
  <si>
    <t>jb艾</t>
    <phoneticPr fontId="1" type="noConversion"/>
  </si>
  <si>
    <t>nbg妮</t>
    <phoneticPr fontId="1" type="noConversion"/>
  </si>
  <si>
    <t>约会姬</t>
    <phoneticPr fontId="1" type="noConversion"/>
  </si>
  <si>
    <t>约会善</t>
    <phoneticPr fontId="1" type="noConversion"/>
  </si>
  <si>
    <t>约会霞</t>
  </si>
  <si>
    <t>约会霞</t>
    <phoneticPr fontId="1" type="noConversion"/>
  </si>
  <si>
    <t>三单曜</t>
    <phoneticPr fontId="1" type="noConversion"/>
  </si>
  <si>
    <t>6.10</t>
    <phoneticPr fontId="1" type="noConversion"/>
  </si>
  <si>
    <t>添加了Sheet4（？</t>
    <phoneticPr fontId="1" type="noConversion"/>
  </si>
  <si>
    <t>6.11</t>
    <phoneticPr fontId="1" type="noConversion"/>
  </si>
  <si>
    <t>栞子</t>
  </si>
  <si>
    <t>名字</t>
    <phoneticPr fontId="1" type="noConversion"/>
  </si>
  <si>
    <t>184/301</t>
    <phoneticPr fontId="1" type="noConversion"/>
  </si>
  <si>
    <t>-(3000*Sk)</t>
    <phoneticPr fontId="1" type="noConversion"/>
  </si>
  <si>
    <t>それは僕たちの奇跡</t>
    <phoneticPr fontId="1" type="noConversion"/>
  </si>
  <si>
    <t>fes2希</t>
    <phoneticPr fontId="1" type="noConversion"/>
  </si>
  <si>
    <t>UR</t>
    <phoneticPr fontId="1" type="noConversion"/>
  </si>
  <si>
    <t>sp</t>
    <phoneticPr fontId="1" type="noConversion"/>
  </si>
  <si>
    <t>蓝</t>
    <phoneticPr fontId="8" type="noConversion"/>
  </si>
  <si>
    <t>希</t>
    <phoneticPr fontId="8" type="noConversion"/>
  </si>
  <si>
    <t>核弹</t>
    <phoneticPr fontId="8" type="noConversion"/>
  </si>
  <si>
    <t>ap</t>
    <phoneticPr fontId="8" type="noConversion"/>
  </si>
  <si>
    <t>fes2丸</t>
  </si>
  <si>
    <t>fes2丸</t>
    <phoneticPr fontId="1" type="noConversion"/>
  </si>
  <si>
    <t>vo</t>
    <phoneticPr fontId="1" type="noConversion"/>
  </si>
  <si>
    <t>黄</t>
    <phoneticPr fontId="8" type="noConversion"/>
  </si>
  <si>
    <t>花丸</t>
    <phoneticPr fontId="8" type="noConversion"/>
  </si>
  <si>
    <t>infty</t>
    <phoneticPr fontId="8" type="noConversion"/>
  </si>
  <si>
    <t>三单千</t>
  </si>
  <si>
    <t>三单千</t>
    <phoneticPr fontId="1" type="noConversion"/>
  </si>
  <si>
    <t>gd</t>
    <phoneticPr fontId="1" type="noConversion"/>
  </si>
  <si>
    <t>红</t>
    <phoneticPr fontId="8" type="noConversion"/>
  </si>
  <si>
    <t>千歌</t>
    <phoneticPr fontId="8" type="noConversion"/>
  </si>
  <si>
    <t>jb爱</t>
    <phoneticPr fontId="1" type="noConversion"/>
  </si>
  <si>
    <t>粉</t>
    <phoneticPr fontId="8" type="noConversion"/>
  </si>
  <si>
    <t>爱</t>
    <phoneticPr fontId="8" type="noConversion"/>
  </si>
  <si>
    <t>6.12</t>
    <phoneticPr fontId="1" type="noConversion"/>
  </si>
  <si>
    <t>修复了绊面板层数不能为0的bug</t>
    <phoneticPr fontId="1" type="noConversion"/>
  </si>
  <si>
    <t>6.13</t>
    <phoneticPr fontId="1" type="noConversion"/>
  </si>
  <si>
    <t>露比</t>
    <phoneticPr fontId="8" type="noConversion"/>
  </si>
  <si>
    <t>蓝</t>
    <phoneticPr fontId="8" type="noConversion"/>
  </si>
  <si>
    <t>红</t>
    <phoneticPr fontId="8" type="noConversion"/>
  </si>
  <si>
    <t>sk</t>
    <phoneticPr fontId="1" type="noConversion"/>
  </si>
  <si>
    <t>gd</t>
    <phoneticPr fontId="1" type="noConversion"/>
  </si>
  <si>
    <t>步梦</t>
    <phoneticPr fontId="8" type="noConversion"/>
  </si>
  <si>
    <t>nbg果</t>
  </si>
  <si>
    <t>sp</t>
    <phoneticPr fontId="1" type="noConversion"/>
  </si>
  <si>
    <t>穗乃果</t>
    <phoneticPr fontId="8" type="noConversion"/>
  </si>
  <si>
    <t>核弹</t>
    <phoneticPr fontId="8" type="noConversion"/>
  </si>
  <si>
    <t>ap</t>
    <phoneticPr fontId="8" type="noConversion"/>
  </si>
  <si>
    <t>jb栞</t>
  </si>
  <si>
    <t>黄</t>
    <phoneticPr fontId="8" type="noConversion"/>
  </si>
  <si>
    <t>栞子</t>
    <phoneticPr fontId="8" type="noConversion"/>
  </si>
  <si>
    <t>绘里</t>
    <phoneticPr fontId="8" type="noConversion"/>
  </si>
  <si>
    <t>jb林</t>
  </si>
  <si>
    <t>果林</t>
    <phoneticPr fontId="8" type="noConversion"/>
  </si>
  <si>
    <t>技能+</t>
    <phoneticPr fontId="8" type="noConversion"/>
  </si>
  <si>
    <t>全员</t>
    <phoneticPr fontId="8" type="noConversion"/>
  </si>
  <si>
    <t>infty</t>
    <phoneticPr fontId="8" type="noConversion"/>
  </si>
  <si>
    <t>同作战</t>
    <phoneticPr fontId="8" type="noConversion"/>
  </si>
  <si>
    <t>三单梨</t>
  </si>
  <si>
    <t>vo</t>
    <phoneticPr fontId="1" type="noConversion"/>
  </si>
  <si>
    <t>绿</t>
    <phoneticPr fontId="8" type="noConversion"/>
  </si>
  <si>
    <t>梨子</t>
    <phoneticPr fontId="8" type="noConversion"/>
  </si>
  <si>
    <t>梅雨露</t>
  </si>
  <si>
    <t>梅雨步</t>
  </si>
  <si>
    <t>梅雨绘</t>
  </si>
  <si>
    <t>DiverDiva リボン</t>
  </si>
  <si>
    <t>花火のキーホルダー</t>
  </si>
  <si>
    <t>かすみんBOX</t>
  </si>
  <si>
    <t>蓝</t>
    <phoneticPr fontId="1" type="noConversion"/>
  </si>
  <si>
    <t>上级</t>
    <phoneticPr fontId="1" type="noConversion"/>
  </si>
  <si>
    <t>Cutie Panther</t>
    <phoneticPr fontId="1" type="noConversion"/>
  </si>
  <si>
    <t>100/187</t>
    <phoneticPr fontId="1" type="noConversion"/>
  </si>
  <si>
    <t>翠いカナリア</t>
    <phoneticPr fontId="1" type="noConversion"/>
  </si>
  <si>
    <t>91/165</t>
    <phoneticPr fontId="1" type="noConversion"/>
  </si>
  <si>
    <t>-(8000*Vo)</t>
    <phoneticPr fontId="1" type="noConversion"/>
  </si>
  <si>
    <t>添加了新歌曲数据</t>
    <phoneticPr fontId="1" type="noConversion"/>
  </si>
  <si>
    <t>月份</t>
    <phoneticPr fontId="1" type="noConversion"/>
  </si>
  <si>
    <t>2020.10</t>
    <phoneticPr fontId="1" type="noConversion"/>
  </si>
  <si>
    <t>2021.02</t>
    <phoneticPr fontId="1" type="noConversion"/>
  </si>
  <si>
    <t>2021.03</t>
    <phoneticPr fontId="1" type="noConversion"/>
  </si>
  <si>
    <t>2021.04</t>
    <phoneticPr fontId="1" type="noConversion"/>
  </si>
  <si>
    <t>2021.05</t>
    <phoneticPr fontId="1" type="noConversion"/>
  </si>
  <si>
    <t>2021.06</t>
    <phoneticPr fontId="1" type="noConversion"/>
  </si>
  <si>
    <t>SBL回数</t>
    <phoneticPr fontId="1" type="noConversion"/>
  </si>
  <si>
    <t>天数</t>
    <phoneticPr fontId="1" type="noConversion"/>
  </si>
  <si>
    <t>活动曲名</t>
    <phoneticPr fontId="1" type="noConversion"/>
  </si>
  <si>
    <t>それは僕たちの奇跡</t>
  </si>
  <si>
    <t>虹色Passions！</t>
  </si>
  <si>
    <t>Angelic Angel</t>
  </si>
  <si>
    <t>START:DASH!!</t>
    <phoneticPr fontId="1" type="noConversion"/>
  </si>
  <si>
    <t>HEART to HEART!</t>
    <phoneticPr fontId="1" type="noConversion"/>
  </si>
  <si>
    <t>Music S.T.A.R.T!!</t>
    <phoneticPr fontId="1" type="noConversion"/>
  </si>
  <si>
    <t>MIRACLE WAVE</t>
  </si>
  <si>
    <t>NEO SKY, NEO MAP!</t>
  </si>
  <si>
    <t>Hop? Stop? Nonstop!（先行配信）</t>
    <phoneticPr fontId="1" type="noConversion"/>
  </si>
  <si>
    <t>Brightest Melody</t>
    <phoneticPr fontId="1" type="noConversion"/>
  </si>
  <si>
    <t>コワレヤスキ</t>
    <phoneticPr fontId="1" type="noConversion"/>
  </si>
  <si>
    <t>SKY JOURNEY</t>
    <phoneticPr fontId="1" type="noConversion"/>
  </si>
  <si>
    <t>君のこころは輝いてるかい？</t>
    <phoneticPr fontId="1" type="noConversion"/>
  </si>
  <si>
    <t>夢への一歩</t>
  </si>
  <si>
    <t>夢がここからはじまるよ</t>
  </si>
  <si>
    <t>1 位</t>
  </si>
  <si>
    <t>2 位</t>
  </si>
  <si>
    <t>3 位</t>
  </si>
  <si>
    <t>4 位</t>
  </si>
  <si>
    <t>5 位</t>
  </si>
  <si>
    <t>6 位</t>
    <phoneticPr fontId="1" type="noConversion"/>
  </si>
  <si>
    <t>7 位</t>
  </si>
  <si>
    <t>8 位</t>
  </si>
  <si>
    <t>9 位</t>
  </si>
  <si>
    <t>10 位</t>
  </si>
  <si>
    <t>50 位</t>
  </si>
  <si>
    <t>100 位</t>
  </si>
  <si>
    <t>300 位</t>
  </si>
  <si>
    <t>500 位</t>
  </si>
  <si>
    <t>1000 位</t>
  </si>
  <si>
    <t>2000 位</t>
  </si>
  <si>
    <t>3000 位</t>
  </si>
  <si>
    <t>4000 位</t>
  </si>
  <si>
    <t>5000 位</t>
  </si>
  <si>
    <t>6000 位</t>
  </si>
  <si>
    <t>7000 位</t>
  </si>
  <si>
    <t>8000 位</t>
  </si>
  <si>
    <t>9000 位</t>
  </si>
  <si>
    <t>10000 位</t>
  </si>
  <si>
    <t>2021.01</t>
    <phoneticPr fontId="1" type="noConversion"/>
  </si>
  <si>
    <t>活动回数</t>
    <phoneticPr fontId="1" type="noConversion"/>
  </si>
  <si>
    <t>LOVELESS WORLD</t>
  </si>
  <si>
    <t>Wonderful Rush</t>
    <phoneticPr fontId="1" type="noConversion"/>
  </si>
  <si>
    <t>No brand girls</t>
    <phoneticPr fontId="1" type="noConversion"/>
  </si>
  <si>
    <t>Landing action Yeah!!</t>
  </si>
  <si>
    <t>GALAXY HidE and SeeK</t>
    <phoneticPr fontId="1" type="noConversion"/>
  </si>
  <si>
    <t>近未来ハッピーエンド</t>
    <phoneticPr fontId="1" type="noConversion"/>
  </si>
  <si>
    <t>Strawberry Trapper</t>
    <phoneticPr fontId="1" type="noConversion"/>
  </si>
  <si>
    <t>哀温ノ詩</t>
  </si>
  <si>
    <t>My Own Fairy-Tale</t>
  </si>
  <si>
    <t>6 位</t>
  </si>
  <si>
    <t>僕らのLIVE 君とのLIFE</t>
    <phoneticPr fontId="1" type="noConversion"/>
  </si>
  <si>
    <t>baby maybe 恋のボタン</t>
    <phoneticPr fontId="1" type="noConversion"/>
  </si>
  <si>
    <t>輝夜の城で踊りたい</t>
    <phoneticPr fontId="1" type="noConversion"/>
  </si>
  <si>
    <t>僕らは今のなかで</t>
    <phoneticPr fontId="1" type="noConversion"/>
  </si>
  <si>
    <t>Oh,Love＆Peace!</t>
    <phoneticPr fontId="1" type="noConversion"/>
  </si>
  <si>
    <t>きっと青春が聞こえる</t>
    <phoneticPr fontId="1" type="noConversion"/>
  </si>
  <si>
    <t>WILD STARS</t>
    <phoneticPr fontId="1" type="noConversion"/>
  </si>
  <si>
    <t>ラブノベルス</t>
    <phoneticPr fontId="1" type="noConversion"/>
  </si>
  <si>
    <t>知らないLove＊教えてLove</t>
    <phoneticPr fontId="1" type="noConversion"/>
  </si>
  <si>
    <t>Pure girls project</t>
    <phoneticPr fontId="1" type="noConversion"/>
  </si>
  <si>
    <t>キミのくせに！</t>
    <phoneticPr fontId="1" type="noConversion"/>
  </si>
  <si>
    <t>微熱からMystery</t>
    <phoneticPr fontId="1" type="noConversion"/>
  </si>
  <si>
    <t>夏、終わらないで。</t>
    <phoneticPr fontId="1" type="noConversion"/>
  </si>
  <si>
    <t>タカラモノズ</t>
    <phoneticPr fontId="1" type="noConversion"/>
  </si>
  <si>
    <t>孤独なHeaven</t>
    <phoneticPr fontId="1" type="noConversion"/>
  </si>
  <si>
    <t>soldier game</t>
    <phoneticPr fontId="1" type="noConversion"/>
  </si>
  <si>
    <t>Paradise Live</t>
    <phoneticPr fontId="1" type="noConversion"/>
  </si>
  <si>
    <t>LONELIEST BABY</t>
    <phoneticPr fontId="1" type="noConversion"/>
  </si>
  <si>
    <t>Anemone heart</t>
    <phoneticPr fontId="1" type="noConversion"/>
  </si>
  <si>
    <t>Beat in Angel</t>
    <phoneticPr fontId="1" type="noConversion"/>
  </si>
  <si>
    <t>勇気のReason</t>
    <phoneticPr fontId="1" type="noConversion"/>
  </si>
  <si>
    <t>友情ノーチェンジ</t>
    <phoneticPr fontId="1" type="noConversion"/>
  </si>
  <si>
    <t>夏色えがおで1,2,Jump!</t>
    <phoneticPr fontId="1" type="noConversion"/>
  </si>
  <si>
    <t>愛してるばんざーい！</t>
    <phoneticPr fontId="1" type="noConversion"/>
  </si>
  <si>
    <t>Listen to my heart!!</t>
    <phoneticPr fontId="1" type="noConversion"/>
  </si>
  <si>
    <r>
      <t>あ</t>
    </r>
    <r>
      <rPr>
        <sz val="11"/>
        <color theme="1"/>
        <rFont val="Yu Gothic"/>
        <family val="2"/>
        <charset val="128"/>
      </rPr>
      <t>・の・ね・が・ん・ば・れ</t>
    </r>
    <r>
      <rPr>
        <sz val="11"/>
        <color theme="1"/>
        <rFont val="等线"/>
        <family val="2"/>
        <charset val="134"/>
        <scheme val="minor"/>
      </rPr>
      <t>！</t>
    </r>
    <phoneticPr fontId="1" type="noConversion"/>
  </si>
  <si>
    <t>Wonder zone</t>
    <phoneticPr fontId="1" type="noConversion"/>
  </si>
  <si>
    <t>これからのSomeday</t>
    <phoneticPr fontId="1" type="noConversion"/>
  </si>
  <si>
    <t>sweet&amp;sweet holiday</t>
    <phoneticPr fontId="1" type="noConversion"/>
  </si>
  <si>
    <t>ダイヤモンドプリンセスの憂鬱</t>
    <phoneticPr fontId="1" type="noConversion"/>
  </si>
  <si>
    <t>乙女式れんあい塾</t>
    <phoneticPr fontId="1" type="noConversion"/>
  </si>
  <si>
    <t>Mermaid festa vol.2</t>
    <phoneticPr fontId="1" type="noConversion"/>
  </si>
  <si>
    <t>告白日和、です！</t>
    <phoneticPr fontId="1" type="noConversion"/>
  </si>
  <si>
    <t>Someday of my life</t>
    <phoneticPr fontId="1" type="noConversion"/>
  </si>
  <si>
    <t>ありふれた悲しみの果て</t>
    <phoneticPr fontId="1" type="noConversion"/>
  </si>
  <si>
    <t>夢なき夢は夢じゃない</t>
    <phoneticPr fontId="1" type="noConversion"/>
  </si>
  <si>
    <t>Daring!!</t>
    <phoneticPr fontId="1" type="noConversion"/>
  </si>
  <si>
    <r>
      <t>にこぷり</t>
    </r>
    <r>
      <rPr>
        <sz val="11"/>
        <color theme="1"/>
        <rFont val="Segoe UI Symbol"/>
        <family val="2"/>
      </rPr>
      <t>♡</t>
    </r>
    <r>
      <rPr>
        <sz val="11"/>
        <color theme="1"/>
        <rFont val="Yu Gothic"/>
        <family val="2"/>
        <charset val="128"/>
      </rPr>
      <t>女子道</t>
    </r>
    <phoneticPr fontId="1" type="noConversion"/>
  </si>
  <si>
    <t>もぎゅっと“love”で接近中！</t>
    <phoneticPr fontId="1" type="noConversion"/>
  </si>
  <si>
    <t>Mermaid festa vol.1</t>
    <phoneticPr fontId="1" type="noConversion"/>
  </si>
  <si>
    <t>ススメ→トゥモロウ</t>
    <phoneticPr fontId="1" type="noConversion"/>
  </si>
  <si>
    <t>Cutie Panther</t>
    <phoneticPr fontId="1" type="noConversion"/>
  </si>
  <si>
    <t>愛は太陽じゃない？</t>
    <phoneticPr fontId="1" type="noConversion"/>
  </si>
  <si>
    <t>Love marginal</t>
    <phoneticPr fontId="1" type="noConversion"/>
  </si>
  <si>
    <r>
      <t>ぶる〜べりぃ</t>
    </r>
    <r>
      <rPr>
        <sz val="11"/>
        <color theme="1"/>
        <rFont val="Segoe UI Symbol"/>
        <family val="2"/>
      </rPr>
      <t>♡</t>
    </r>
    <r>
      <rPr>
        <sz val="11"/>
        <color theme="1"/>
        <rFont val="Yu Gothic"/>
        <family val="2"/>
        <charset val="128"/>
      </rPr>
      <t>とれいん</t>
    </r>
    <phoneticPr fontId="1" type="noConversion"/>
  </si>
  <si>
    <t>なわとび</t>
    <phoneticPr fontId="1" type="noConversion"/>
  </si>
  <si>
    <t>硝子の花園</t>
    <phoneticPr fontId="1" type="noConversion"/>
  </si>
  <si>
    <t>after school NAVIGATORS</t>
    <phoneticPr fontId="1" type="noConversion"/>
  </si>
  <si>
    <t>UNBALANCED LOVE</t>
    <phoneticPr fontId="1" type="noConversion"/>
  </si>
  <si>
    <t>章节</t>
    <phoneticPr fontId="1" type="noConversion"/>
  </si>
  <si>
    <t>通常曲</t>
    <phoneticPr fontId="1" type="noConversion"/>
  </si>
  <si>
    <t>HARD</t>
    <phoneticPr fontId="1" type="noConversion"/>
  </si>
  <si>
    <t>HARD差值</t>
    <phoneticPr fontId="1" type="noConversion"/>
  </si>
  <si>
    <t>NORMAL</t>
    <phoneticPr fontId="1" type="noConversion"/>
  </si>
  <si>
    <t>NORMAL差值</t>
    <phoneticPr fontId="1" type="noConversion"/>
  </si>
  <si>
    <t>20-01</t>
    <phoneticPr fontId="1" type="noConversion"/>
  </si>
  <si>
    <t>20-02</t>
  </si>
  <si>
    <t>20-03</t>
  </si>
  <si>
    <t>20-04</t>
  </si>
  <si>
    <t>20-05</t>
  </si>
  <si>
    <t>20-06</t>
  </si>
  <si>
    <t>20-07</t>
  </si>
  <si>
    <t>20-08</t>
  </si>
  <si>
    <t>20-09</t>
  </si>
  <si>
    <t>20-10</t>
  </si>
  <si>
    <t>21-01</t>
    <phoneticPr fontId="1" type="noConversion"/>
  </si>
  <si>
    <t>21-02</t>
  </si>
  <si>
    <t>21-03</t>
  </si>
  <si>
    <t>21-04</t>
  </si>
  <si>
    <t>21-05</t>
  </si>
  <si>
    <t>21-06</t>
  </si>
  <si>
    <t>21-07</t>
  </si>
  <si>
    <t>21-08</t>
  </si>
  <si>
    <t>21-09</t>
  </si>
  <si>
    <t>21-10</t>
  </si>
  <si>
    <t>22-01</t>
    <phoneticPr fontId="1" type="noConversion"/>
  </si>
  <si>
    <t>22-02</t>
  </si>
  <si>
    <t>22-03</t>
  </si>
  <si>
    <t>22-04</t>
  </si>
  <si>
    <t>22-05</t>
  </si>
  <si>
    <t>22-06</t>
  </si>
  <si>
    <t>22-07</t>
  </si>
  <si>
    <t>22-08</t>
  </si>
  <si>
    <t>22-09</t>
  </si>
  <si>
    <t>22-10</t>
  </si>
  <si>
    <t>23-01</t>
    <phoneticPr fontId="1" type="noConversion"/>
  </si>
  <si>
    <t>23-02</t>
  </si>
  <si>
    <t>23-03</t>
  </si>
  <si>
    <t>23-04</t>
  </si>
  <si>
    <t>23-05</t>
  </si>
  <si>
    <t>23-06</t>
  </si>
  <si>
    <t>23-07</t>
  </si>
  <si>
    <t>23-08</t>
  </si>
  <si>
    <t>23-09</t>
  </si>
  <si>
    <t>23-10</t>
  </si>
  <si>
    <t>24-01</t>
    <phoneticPr fontId="1" type="noConversion"/>
  </si>
  <si>
    <t>24-02</t>
  </si>
  <si>
    <t>24-03</t>
  </si>
  <si>
    <t>24-04</t>
  </si>
  <si>
    <t>24-05</t>
  </si>
  <si>
    <t>24-06</t>
  </si>
  <si>
    <t>24-07</t>
  </si>
  <si>
    <t>24-08</t>
  </si>
  <si>
    <t>24-09</t>
  </si>
  <si>
    <t>24-10</t>
  </si>
  <si>
    <t>25-01</t>
    <phoneticPr fontId="1" type="noConversion"/>
  </si>
  <si>
    <t>25-02</t>
  </si>
  <si>
    <t>25-03</t>
  </si>
  <si>
    <t>25-04</t>
  </si>
  <si>
    <t>25-05</t>
  </si>
  <si>
    <t>25-06</t>
  </si>
  <si>
    <t>25-07</t>
  </si>
  <si>
    <t>25-08</t>
  </si>
  <si>
    <t>25-09</t>
  </si>
  <si>
    <t>25-10</t>
  </si>
  <si>
    <t>26-01</t>
    <phoneticPr fontId="1" type="noConversion"/>
  </si>
  <si>
    <t>26-02</t>
  </si>
  <si>
    <t>26-03</t>
  </si>
  <si>
    <t>26-04</t>
  </si>
  <si>
    <t>26-05</t>
  </si>
  <si>
    <t>26-06</t>
  </si>
  <si>
    <t>26-07</t>
  </si>
  <si>
    <t>26-08</t>
  </si>
  <si>
    <t>26-09</t>
  </si>
  <si>
    <t>26-10</t>
  </si>
  <si>
    <t>27-01</t>
    <phoneticPr fontId="1" type="noConversion"/>
  </si>
  <si>
    <t>27-02</t>
  </si>
  <si>
    <t>27-03</t>
  </si>
  <si>
    <t>27-04</t>
  </si>
  <si>
    <t>27-05</t>
  </si>
  <si>
    <t>27-06</t>
  </si>
  <si>
    <t>27-07</t>
  </si>
  <si>
    <t>27-08</t>
  </si>
  <si>
    <t>27-09</t>
  </si>
  <si>
    <t>27-10</t>
  </si>
  <si>
    <t>28-01</t>
    <phoneticPr fontId="1" type="noConversion"/>
  </si>
  <si>
    <t>28-02</t>
  </si>
  <si>
    <t>28-03</t>
  </si>
  <si>
    <t>28-04</t>
  </si>
  <si>
    <t>28-05</t>
  </si>
  <si>
    <t>28-06</t>
  </si>
  <si>
    <t>28-07</t>
  </si>
  <si>
    <t>28-08</t>
  </si>
  <si>
    <t>28-09</t>
  </si>
  <si>
    <t>28-10</t>
  </si>
  <si>
    <t>添加了交换所和SBL歌曲排行，剧情曲AC分数，DLP情报</t>
    <phoneticPr fontId="1" type="noConversion"/>
  </si>
  <si>
    <t>No.</t>
    <phoneticPr fontId="1" type="noConversion"/>
  </si>
  <si>
    <t>Live</t>
    <phoneticPr fontId="1" type="noConversion"/>
  </si>
  <si>
    <t>Attr.</t>
    <phoneticPr fontId="1" type="noConversion"/>
  </si>
  <si>
    <t>Dmg/Note</t>
    <phoneticPr fontId="1" type="noConversion"/>
  </si>
  <si>
    <t>#Notes</t>
    <phoneticPr fontId="1" type="noConversion"/>
  </si>
  <si>
    <t>Natural Damage</t>
    <phoneticPr fontId="1" type="noConversion"/>
  </si>
  <si>
    <t>Special Damage</t>
    <phoneticPr fontId="1" type="noConversion"/>
  </si>
  <si>
    <t>AC Coverage</t>
    <phoneticPr fontId="1" type="noConversion"/>
  </si>
  <si>
    <t>AC Reward Volt.</t>
    <phoneticPr fontId="1" type="noConversion"/>
  </si>
  <si>
    <t>Target Volt.</t>
    <phoneticPr fontId="1" type="noConversion"/>
  </si>
  <si>
    <t>Volt./Note for 1 pc</t>
    <phoneticPr fontId="1" type="noConversion"/>
  </si>
  <si>
    <t>Volt./Note for 2 pc</t>
    <phoneticPr fontId="1" type="noConversion"/>
  </si>
  <si>
    <t>Volt./Note for 3 pc</t>
  </si>
  <si>
    <t>Volt./Note for 4 pc</t>
  </si>
  <si>
    <t>Volt./Note for 5 pc</t>
  </si>
  <si>
    <t>Volt./Note for 6 pc</t>
  </si>
  <si>
    <t>Volt./Note for 7 pc</t>
  </si>
  <si>
    <t>Pianoforte Monologue</t>
    <phoneticPr fontId="1" type="noConversion"/>
  </si>
  <si>
    <t>-0.2*max</t>
    <phoneticPr fontId="1" type="noConversion"/>
  </si>
  <si>
    <t>PSYCHIC FIRE</t>
    <phoneticPr fontId="1" type="noConversion"/>
  </si>
  <si>
    <t>New winding road</t>
    <phoneticPr fontId="1" type="noConversion"/>
  </si>
  <si>
    <t>元気全開DAY!DAY!DAY!</t>
    <phoneticPr fontId="1" type="noConversion"/>
  </si>
  <si>
    <t>ユメノトビラ</t>
    <phoneticPr fontId="1" type="noConversion"/>
  </si>
  <si>
    <t>NO EXIT ORION</t>
    <phoneticPr fontId="1" type="noConversion"/>
  </si>
  <si>
    <t>純愛レンズ</t>
    <phoneticPr fontId="1" type="noConversion"/>
  </si>
  <si>
    <t>トリコリコPLEASE!!</t>
    <phoneticPr fontId="1" type="noConversion"/>
  </si>
  <si>
    <t>Tower</t>
    <phoneticPr fontId="1" type="noConversion"/>
  </si>
  <si>
    <t>Volt./Note for 8 pc</t>
  </si>
  <si>
    <t>未体験HORIZON</t>
  </si>
  <si>
    <t>Hop? Stop? Nonstop!</t>
  </si>
  <si>
    <t>COLORFUL VOICE</t>
  </si>
  <si>
    <t>待ってて愛のうた</t>
  </si>
  <si>
    <t>New Romantic Sailors</t>
  </si>
  <si>
    <t>Braveheart Coaster</t>
  </si>
  <si>
    <t>楽しいの天才</t>
  </si>
  <si>
    <t>ジングルベルがとまらない</t>
  </si>
  <si>
    <t>MIRAI TICKET</t>
  </si>
  <si>
    <t>恋になりたいAQUARIUM</t>
    <phoneticPr fontId="1" type="noConversion"/>
  </si>
  <si>
    <t>-0.3*max-15,000*Gd</t>
    <phoneticPr fontId="1" type="noConversion"/>
  </si>
  <si>
    <t>110,000-0.25*max</t>
    <phoneticPr fontId="1" type="noConversion"/>
  </si>
  <si>
    <t>30,000-9,000*Sk</t>
    <phoneticPr fontId="1" type="noConversion"/>
  </si>
  <si>
    <t>Wake up, Challenger!!</t>
    <phoneticPr fontId="1" type="noConversion"/>
  </si>
  <si>
    <t>Fantastic Departure!</t>
    <phoneticPr fontId="1" type="noConversion"/>
  </si>
  <si>
    <t>KOKORO Magic “A to Z”</t>
    <phoneticPr fontId="1" type="noConversion"/>
  </si>
  <si>
    <t>Step! ZERO to ONE</t>
    <phoneticPr fontId="1" type="noConversion"/>
  </si>
  <si>
    <t>RED GEM WINK</t>
    <phoneticPr fontId="1" type="noConversion"/>
  </si>
  <si>
    <t>One More Sunshine Story</t>
    <phoneticPr fontId="1" type="noConversion"/>
  </si>
  <si>
    <t>60,000-6,000*Sk</t>
    <phoneticPr fontId="1" type="noConversion"/>
  </si>
  <si>
    <t>2,000-2,000*Sk</t>
    <phoneticPr fontId="1" type="noConversion"/>
  </si>
  <si>
    <t>-0.5*max</t>
    <phoneticPr fontId="1" type="noConversion"/>
  </si>
  <si>
    <t>-7,000*Sk</t>
    <phoneticPr fontId="1" type="noConversion"/>
  </si>
  <si>
    <t>10000-0.1*ceil(Vo%*4)*max</t>
    <phoneticPr fontId="1" type="noConversion"/>
  </si>
  <si>
    <t>-9,000*Gd</t>
    <phoneticPr fontId="1" type="noConversion"/>
  </si>
  <si>
    <t>Sing &amp; Smile!!</t>
    <phoneticPr fontId="1" type="noConversion"/>
  </si>
  <si>
    <t>Dream Land！Dream World！</t>
    <phoneticPr fontId="1" type="noConversion"/>
  </si>
  <si>
    <t>SUPER NOVA</t>
    <phoneticPr fontId="1" type="noConversion"/>
  </si>
  <si>
    <t>まほうつかいはじめました！</t>
    <phoneticPr fontId="1" type="noConversion"/>
  </si>
  <si>
    <t>ぶる～べりぃ♡とれいん</t>
    <phoneticPr fontId="1" type="noConversion"/>
  </si>
  <si>
    <t>春情ロマンティック</t>
    <phoneticPr fontId="1" type="noConversion"/>
  </si>
  <si>
    <t>-95,000(Shield)+60,000</t>
    <phoneticPr fontId="1" type="noConversion"/>
  </si>
  <si>
    <t>-2,000*Gd</t>
    <phoneticPr fontId="1" type="noConversion"/>
  </si>
  <si>
    <t>-2,000*Sk</t>
    <phoneticPr fontId="1" type="noConversion"/>
  </si>
  <si>
    <t>-3,000*Sk</t>
    <phoneticPr fontId="1" type="noConversion"/>
  </si>
  <si>
    <t>未来ハーモニー</t>
    <phoneticPr fontId="1" type="noConversion"/>
  </si>
  <si>
    <t>-6,000*Sk</t>
    <phoneticPr fontId="1" type="noConversion"/>
  </si>
  <si>
    <t>8,000-9,000*Sk</t>
    <phoneticPr fontId="1" type="noConversion"/>
  </si>
  <si>
    <t>19,000-(Shield)24,000</t>
    <phoneticPr fontId="1" type="noConversion"/>
  </si>
  <si>
    <t>-2,000</t>
    <phoneticPr fontId="1" type="noConversion"/>
  </si>
  <si>
    <t>-6,000*Gd</t>
    <phoneticPr fontId="1" type="noConversion"/>
  </si>
  <si>
    <t>-9,000*Sk</t>
    <phoneticPr fontId="1" type="noConversion"/>
  </si>
  <si>
    <t>Love U my friends</t>
  </si>
  <si>
    <t>KiRa-KiRa Sensation!</t>
  </si>
  <si>
    <t>-4,000*Sp</t>
    <phoneticPr fontId="1" type="noConversion"/>
  </si>
  <si>
    <t>-200</t>
    <phoneticPr fontId="1" type="noConversion"/>
  </si>
  <si>
    <t>やがてひとつの物語</t>
  </si>
  <si>
    <t>Say Good-Bye 涙</t>
  </si>
  <si>
    <t>Märchen Star</t>
  </si>
  <si>
    <t>アナログハート</t>
  </si>
  <si>
    <t>LIKE IT！LOVE IT！</t>
  </si>
  <si>
    <t>Cheer for you!!</t>
  </si>
  <si>
    <t>Beautiful Moonlight</t>
  </si>
  <si>
    <t>Love Triangle</t>
  </si>
  <si>
    <t>Happy maker!</t>
  </si>
  <si>
    <t>全速ドリーマー</t>
  </si>
  <si>
    <t>Beginner's Sailing</t>
    <phoneticPr fontId="1" type="noConversion"/>
  </si>
  <si>
    <t>(400,000-4*Max)(Shield)</t>
    <phoneticPr fontId="1" type="noConversion"/>
  </si>
  <si>
    <t>in this unstable world</t>
    <phoneticPr fontId="1" type="noConversion"/>
  </si>
  <si>
    <t>Dream with You</t>
  </si>
  <si>
    <t>Poppin' Up!</t>
  </si>
  <si>
    <t>DIVE！</t>
  </si>
  <si>
    <t>サイコーハート</t>
  </si>
  <si>
    <t>La Bella Patria</t>
  </si>
  <si>
    <t>ツナガルコネクト</t>
  </si>
  <si>
    <t>Butterfly</t>
  </si>
  <si>
    <t>Solitude Rain</t>
  </si>
  <si>
    <t>VIVID WORLD</t>
  </si>
  <si>
    <t>Awakening Promise</t>
  </si>
  <si>
    <t>Sweet Eyes</t>
  </si>
  <si>
    <t>未来ハーモニー</t>
  </si>
  <si>
    <t>-24,000*Sk-(Shield)60,000</t>
    <phoneticPr fontId="1" type="noConversion"/>
  </si>
  <si>
    <r>
      <rPr>
        <sz val="14"/>
        <rFont val="FOT-Skip Std B"/>
        <family val="1"/>
      </rPr>
      <t>-0.2</t>
    </r>
    <r>
      <rPr>
        <sz val="14"/>
        <rFont val="FOT-Skip Std B"/>
        <family val="1"/>
        <charset val="128"/>
      </rPr>
      <t>*Max</t>
    </r>
    <phoneticPr fontId="1" type="noConversion"/>
  </si>
  <si>
    <t>特技AC计算</t>
    <phoneticPr fontId="1" type="noConversion"/>
  </si>
  <si>
    <t>2 3 4塔</t>
    <phoneticPr fontId="1" type="noConversion"/>
  </si>
  <si>
    <t>1塔</t>
    <phoneticPr fontId="1" type="noConversion"/>
  </si>
  <si>
    <t>5塔</t>
    <phoneticPr fontId="1" type="noConversion"/>
  </si>
  <si>
    <t>note数倍数</t>
    <phoneticPr fontId="1" type="noConversion"/>
  </si>
  <si>
    <t>基础分数</t>
    <phoneticPr fontId="1" type="noConversion"/>
  </si>
  <si>
    <t>7.0</t>
    <phoneticPr fontId="1" type="noConversion"/>
  </si>
  <si>
    <t>添加（解隐藏）了一些表格</t>
    <phoneticPr fontId="1" type="noConversion"/>
  </si>
  <si>
    <t>7.1</t>
    <phoneticPr fontId="1" type="noConversion"/>
  </si>
  <si>
    <t>Challenge</t>
    <phoneticPr fontId="1" type="noConversion"/>
  </si>
  <si>
    <t>194/311</t>
    <phoneticPr fontId="1" type="noConversion"/>
  </si>
  <si>
    <t>回复相当于自身Stamina的-----的体力（条件：AC成功）</t>
    <phoneticPr fontId="1" type="noConversion"/>
  </si>
  <si>
    <r>
      <t>A</t>
    </r>
    <r>
      <rPr>
        <sz val="11"/>
        <color theme="1"/>
        <rFont val="MS Gothic"/>
        <family val="3"/>
        <charset val="128"/>
      </rPr>
      <t>・</t>
    </r>
    <r>
      <rPr>
        <sz val="11"/>
        <color theme="1"/>
        <rFont val="Microsoft YaHei UI"/>
        <family val="2"/>
        <charset val="134"/>
      </rPr>
      <t>ZU</t>
    </r>
    <r>
      <rPr>
        <sz val="11"/>
        <color theme="1"/>
        <rFont val="MS Gothic"/>
        <family val="3"/>
        <charset val="128"/>
      </rPr>
      <t>・</t>
    </r>
    <r>
      <rPr>
        <sz val="11"/>
        <color theme="1"/>
        <rFont val="Microsoft YaHei UI"/>
        <family val="2"/>
        <charset val="134"/>
      </rPr>
      <t>NA リボン＆ハット</t>
    </r>
  </si>
  <si>
    <t>prt曜</t>
  </si>
  <si>
    <t>prt曜</t>
    <phoneticPr fontId="1" type="noConversion"/>
  </si>
  <si>
    <t>vo</t>
    <phoneticPr fontId="1" type="noConversion"/>
  </si>
  <si>
    <t>粉</t>
    <phoneticPr fontId="8" type="noConversion"/>
  </si>
  <si>
    <t>曜</t>
    <phoneticPr fontId="8" type="noConversion"/>
  </si>
  <si>
    <t>ap</t>
    <phoneticPr fontId="8" type="noConversion"/>
  </si>
  <si>
    <t>全员</t>
    <phoneticPr fontId="8" type="noConversion"/>
  </si>
  <si>
    <t>ap+</t>
    <phoneticPr fontId="8" type="noConversion"/>
  </si>
  <si>
    <t>prt栞</t>
  </si>
  <si>
    <t>prt栞</t>
    <phoneticPr fontId="1" type="noConversion"/>
  </si>
  <si>
    <t>sp</t>
    <phoneticPr fontId="1" type="noConversion"/>
  </si>
  <si>
    <t>蓝</t>
    <phoneticPr fontId="8" type="noConversion"/>
  </si>
  <si>
    <t>nbg海</t>
    <phoneticPr fontId="1" type="noConversion"/>
  </si>
  <si>
    <t>黄</t>
    <phoneticPr fontId="8" type="noConversion"/>
  </si>
  <si>
    <t>海未</t>
    <phoneticPr fontId="8" type="noConversion"/>
  </si>
  <si>
    <t>te</t>
    <phoneticPr fontId="8" type="noConversion"/>
  </si>
  <si>
    <t>7.2</t>
    <phoneticPr fontId="1" type="noConversion"/>
  </si>
  <si>
    <t>添加了Sheet2（？</t>
    <phoneticPr fontId="1" type="noConversion"/>
  </si>
  <si>
    <t>Happy Nyan! Days</t>
    <phoneticPr fontId="1" type="noConversion"/>
  </si>
  <si>
    <t>107/171</t>
    <phoneticPr fontId="1" type="noConversion"/>
  </si>
  <si>
    <t>Natural</t>
  </si>
  <si>
    <t>どんなときもずっと</t>
  </si>
  <si>
    <t>添加了新歌数据</t>
    <phoneticPr fontId="1" type="noConversion"/>
  </si>
  <si>
    <t>添加了新的交换所歌榜数据</t>
    <phoneticPr fontId="1" type="noConversion"/>
  </si>
  <si>
    <t>添加了新DLP数据</t>
    <phoneticPr fontId="1" type="noConversion"/>
  </si>
  <si>
    <t>Various features fixed and bugs added（？</t>
    <phoneticPr fontId="1" type="noConversion"/>
  </si>
  <si>
    <t>7.3</t>
    <phoneticPr fontId="1" type="noConversion"/>
  </si>
  <si>
    <t>sk</t>
    <phoneticPr fontId="1" type="noConversion"/>
  </si>
  <si>
    <t>蓝</t>
    <phoneticPr fontId="8" type="noConversion"/>
  </si>
  <si>
    <t>妮可</t>
    <phoneticPr fontId="8" type="noConversion"/>
  </si>
  <si>
    <t>sp</t>
    <phoneticPr fontId="1" type="noConversion"/>
  </si>
  <si>
    <t>红</t>
    <phoneticPr fontId="8" type="noConversion"/>
  </si>
  <si>
    <t>爱</t>
    <phoneticPr fontId="8" type="noConversion"/>
  </si>
  <si>
    <t>te</t>
    <phoneticPr fontId="8" type="noConversion"/>
  </si>
  <si>
    <t>vo</t>
    <phoneticPr fontId="1" type="noConversion"/>
  </si>
  <si>
    <t>绿</t>
    <phoneticPr fontId="8" type="noConversion"/>
  </si>
  <si>
    <t>鞠莉</t>
    <phoneticPr fontId="8" type="noConversion"/>
  </si>
  <si>
    <t>紫</t>
    <phoneticPr fontId="8" type="noConversion"/>
  </si>
  <si>
    <t>黛雅</t>
    <phoneticPr fontId="8" type="noConversion"/>
  </si>
  <si>
    <t>黄</t>
    <phoneticPr fontId="8" type="noConversion"/>
  </si>
  <si>
    <t>凛</t>
    <phoneticPr fontId="8" type="noConversion"/>
  </si>
  <si>
    <t>雪菜</t>
    <phoneticPr fontId="8" type="noConversion"/>
  </si>
  <si>
    <t>婚纱爱</t>
  </si>
  <si>
    <t>婚纱爱</t>
    <phoneticPr fontId="1" type="noConversion"/>
  </si>
  <si>
    <t>婚纱妮</t>
    <phoneticPr fontId="1" type="noConversion"/>
  </si>
  <si>
    <t>婚纱鞠</t>
    <phoneticPr fontId="1" type="noConversion"/>
  </si>
  <si>
    <t>三单黛</t>
    <phoneticPr fontId="1" type="noConversion"/>
  </si>
  <si>
    <t>jb菜</t>
  </si>
  <si>
    <t>jb菜</t>
    <phoneticPr fontId="1" type="noConversion"/>
  </si>
  <si>
    <t>nbg凛</t>
    <phoneticPr fontId="1" type="noConversion"/>
  </si>
  <si>
    <t>SIFTシャツ</t>
  </si>
  <si>
    <t>黄色のガーベラ</t>
  </si>
  <si>
    <t>接下来的3个note中，Appeal增加-----（条件：切队时，最多发动4次）</t>
    <phoneticPr fontId="1" type="noConversion"/>
  </si>
  <si>
    <t>接下来的3个note中，特技发动率提升-----（条件：AC成功）</t>
    <phoneticPr fontId="1" type="noConversion"/>
  </si>
  <si>
    <t>切队奶强度</t>
    <phoneticPr fontId="1" type="noConversion"/>
  </si>
  <si>
    <t>站撸奶强度</t>
    <phoneticPr fontId="1" type="noConversion"/>
  </si>
  <si>
    <t>通用</t>
    <phoneticPr fontId="1" type="noConversion"/>
  </si>
  <si>
    <t>同属性</t>
    <phoneticPr fontId="1" type="noConversion"/>
  </si>
  <si>
    <t>特定卡片</t>
    <phoneticPr fontId="1" type="noConversion"/>
  </si>
  <si>
    <t>单项名称</t>
    <phoneticPr fontId="1" type="noConversion"/>
  </si>
  <si>
    <t>得分</t>
    <phoneticPr fontId="1" type="noConversion"/>
  </si>
  <si>
    <t>评级</t>
    <phoneticPr fontId="1" type="noConversion"/>
  </si>
  <si>
    <t>描述</t>
    <phoneticPr fontId="1" type="noConversion"/>
  </si>
  <si>
    <t>参数下限</t>
    <phoneticPr fontId="1" type="noConversion"/>
  </si>
  <si>
    <t>单项评分</t>
    <phoneticPr fontId="1" type="noConversion"/>
  </si>
  <si>
    <t>评分</t>
    <phoneticPr fontId="1" type="noConversion"/>
  </si>
  <si>
    <t>调整了部分页面的UI</t>
    <phoneticPr fontId="1" type="noConversion"/>
  </si>
  <si>
    <t>卡片的评分和平均评分</t>
    <phoneticPr fontId="1" type="noConversion"/>
  </si>
  <si>
    <t>卡片评分</t>
    <phoneticPr fontId="1" type="noConversion"/>
  </si>
  <si>
    <t>平均评分</t>
    <phoneticPr fontId="1" type="noConversion"/>
  </si>
  <si>
    <t>卡片排行随时间的变化</t>
    <phoneticPr fontId="1" type="noConversion"/>
  </si>
  <si>
    <t>评分</t>
    <phoneticPr fontId="1" type="noConversion"/>
  </si>
  <si>
    <t>数量</t>
    <phoneticPr fontId="1" type="noConversion"/>
  </si>
  <si>
    <t>每个评分段卡片的数量</t>
    <phoneticPr fontId="1" type="noConversion"/>
  </si>
  <si>
    <t>被动ap+系数</t>
    <phoneticPr fontId="1" type="noConversion"/>
  </si>
  <si>
    <t>名称</t>
    <phoneticPr fontId="1" type="noConversion"/>
  </si>
  <si>
    <t>隐藏了SIF的一些东西和Sheet2</t>
    <phoneticPr fontId="1" type="noConversion"/>
  </si>
  <si>
    <t>键数</t>
    <phoneticPr fontId="1" type="noConversion"/>
  </si>
  <si>
    <t>HARD分数需求</t>
    <phoneticPr fontId="1" type="noConversion"/>
  </si>
  <si>
    <t>NORMAL分数需求</t>
    <phoneticPr fontId="1" type="noConversion"/>
  </si>
  <si>
    <t>NORMAL分数线</t>
    <phoneticPr fontId="1" type="noConversion"/>
  </si>
  <si>
    <t>HARD分数线</t>
    <phoneticPr fontId="1" type="noConversion"/>
  </si>
  <si>
    <t>7.4</t>
    <phoneticPr fontId="1" type="noConversion"/>
  </si>
  <si>
    <t>fes2鸟</t>
    <phoneticPr fontId="1" type="noConversion"/>
  </si>
  <si>
    <t>UR</t>
    <phoneticPr fontId="1" type="noConversion"/>
  </si>
  <si>
    <t>sk</t>
    <phoneticPr fontId="1" type="noConversion"/>
  </si>
  <si>
    <t>粉</t>
    <phoneticPr fontId="8" type="noConversion"/>
  </si>
  <si>
    <t>小鸟</t>
    <phoneticPr fontId="8" type="noConversion"/>
  </si>
  <si>
    <t>fes2璃</t>
  </si>
  <si>
    <t>fes2璃</t>
    <phoneticPr fontId="1" type="noConversion"/>
  </si>
  <si>
    <t>sp</t>
    <phoneticPr fontId="1" type="noConversion"/>
  </si>
  <si>
    <t>绿</t>
    <phoneticPr fontId="8" type="noConversion"/>
  </si>
  <si>
    <t>璃奈</t>
    <phoneticPr fontId="8" type="noConversion"/>
  </si>
  <si>
    <t>jb雫</t>
    <phoneticPr fontId="1" type="noConversion"/>
  </si>
  <si>
    <t>SR</t>
    <phoneticPr fontId="1" type="noConversion"/>
  </si>
  <si>
    <t>黄</t>
    <phoneticPr fontId="8" type="noConversion"/>
  </si>
  <si>
    <t>雫</t>
    <phoneticPr fontId="8" type="noConversion"/>
  </si>
  <si>
    <t>回血</t>
    <phoneticPr fontId="8" type="noConversion"/>
  </si>
  <si>
    <t>te</t>
    <phoneticPr fontId="8" type="noConversion"/>
  </si>
  <si>
    <t>sp+</t>
    <phoneticPr fontId="8" type="noConversion"/>
  </si>
  <si>
    <t>全员</t>
    <phoneticPr fontId="8" type="noConversion"/>
  </si>
  <si>
    <t>三单南</t>
  </si>
  <si>
    <t>三单南</t>
    <phoneticPr fontId="1" type="noConversion"/>
  </si>
  <si>
    <t>gd</t>
    <phoneticPr fontId="1" type="noConversion"/>
  </si>
  <si>
    <t>果南</t>
    <phoneticPr fontId="8" type="noConversion"/>
  </si>
  <si>
    <t>7.5</t>
    <phoneticPr fontId="1" type="noConversion"/>
  </si>
  <si>
    <t>配信の時間だよ_x000D_
今日も穂乃果と一緒に楽しもうね</t>
  </si>
  <si>
    <t>配信、とっても_x000D_
楽しみにしていたんだ！_x000D_
みんなで一緒に盛り上がろー</t>
  </si>
  <si>
    <t>ランニングしてたら_x000D_
新しいパン屋さんを見つけたんだ_x000D_
今度みんなにも紹介するね</t>
  </si>
  <si>
    <t>穂むらの新商品ができたんだ_x000D_
みんなは和菓子、好き？</t>
  </si>
  <si>
    <t>穂乃果にエールを送ってくれると_x000D_
嬉しいな</t>
  </si>
  <si>
    <t>ねえ、今日の課題曲は_x000D_
チェックしたかな？_x000D_
終わったら感想聞かせてね</t>
  </si>
  <si>
    <t>一緒にライブに行こうよ！_x000D_
私のライブをあなたに_x000D_
見てもらいたいんだ</t>
  </si>
  <si>
    <t>エールありがとー_x000D_
あなたから貰えて嬉しいな</t>
  </si>
  <si>
    <t>なんか元気が出てきたー！_x000D_
あなたに_x000D_
貰ったエールのおかげかな</t>
  </si>
  <si>
    <t>エールのおかげで_x000D_
どんどん力が湧いてくるんだ_x000D_
今ならなんでもできちゃいそう！</t>
  </si>
  <si>
    <t>穂乃果と一緒に頑張ろー_x000D_
みんな応援してね</t>
  </si>
  <si>
    <t>みんなとならまだまだいけるよ！_x000D_
一緒に頑張ろうね</t>
  </si>
  <si>
    <t>まだまだこれからだよ_x000D_
みんな応援よろしくね！</t>
  </si>
  <si>
    <t>応援ありがとう_x000D_
これからも一緒に頑張ろー！</t>
  </si>
  <si>
    <t>みんな１位が見えてきたよ！_x000D_
あと少し、一緒に頑張ろう！</t>
  </si>
  <si>
    <t>みんないい調子だよ_x000D_
この勢いで１位になろうよ</t>
  </si>
  <si>
    <t>みんなあと少しだよ！_x000D_
もっと盛り上がるように_x000D_
私も頑張るね</t>
  </si>
  <si>
    <t>みんなで盛り上がったから_x000D_
ここまでこれたよ_x000D_
最後まで楽しもうね</t>
  </si>
  <si>
    <t>みんなが応援してくれたから_x000D_
ここまで来れたんだ_x000D_
最後まで一緒にファイトだよ</t>
  </si>
  <si>
    <t>この調子なら_x000D_
１位も夢じゃないよね？</t>
  </si>
  <si>
    <t>私たちのチャンネル_x000D_
かなり盛り上がってるよね？</t>
  </si>
  <si>
    <t>みんなすごーい！_x000D_
次は１位取れるように_x000D_
頑張りますっ！</t>
  </si>
  <si>
    <t>みんなありがとー_x000D_
みんなのおかげで１位に_x000D_
なれたよ</t>
  </si>
  <si>
    <t>練習で疲れてたんだけど、
配信をしたら
疲れもどこかへいっちゃったよ
不思議だね〜</t>
    <phoneticPr fontId="1" type="noConversion"/>
  </si>
  <si>
    <t>スクールアイドルで大変なこと？
う〜ん、なんだろう？
楽しいことなら
いっぱい言えるのになー</t>
    <phoneticPr fontId="1" type="noConversion"/>
  </si>
  <si>
    <t>ことりちゃんが衣装を
作ってくれたの
どう、似合うかな？
え、可愛い？
えへへ～嬉しいな～</t>
    <phoneticPr fontId="1" type="noConversion"/>
  </si>
  <si>
    <t>合宿で手に入るメガホンで
エールが送れるよ！
たくさん応援してくれると
嬉しいな</t>
    <phoneticPr fontId="1" type="noConversion"/>
  </si>
  <si>
    <t>他のみんなの勢いに
飲まれないで！
私たちのペースで
ファイトだよ！</t>
    <phoneticPr fontId="1" type="noConversion"/>
  </si>
  <si>
    <t>配信の時間よ_x000D_
みんなが楽しめるような_x000D_
企画を考えてきたの</t>
  </si>
  <si>
    <t>ふふ、今日の配信_x000D_
楽しみにしてたの_x000D_
だってみんなに会えるのよ</t>
  </si>
  <si>
    <t>今日の配信も_x000D_
盛り上がっていくわよ</t>
  </si>
  <si>
    <t>姿勢が綺麗な理由は何かって？_x000D_
バレエのおかげかしら_x000D_
みんなもやってみない？</t>
  </si>
  <si>
    <t>エールがあると_x000D_
もっと力が出そうなの_x000D_
キミのエールを待ってるわ</t>
  </si>
  <si>
    <t>課題曲は終わったかしら_x000D_
まだなら終わらせにいかない？</t>
  </si>
  <si>
    <t>一緒にライブへ行かない？_x000D_
最高のステージを_x000D_
キミにみせたいの</t>
  </si>
  <si>
    <t>エールありがとう_x000D_
キミから貰えて嬉しいわ</t>
  </si>
  <si>
    <t>エールありがとう_x000D_
キミへのお返しは何がいいかしら</t>
  </si>
  <si>
    <t>ありがとう_x000D_
キミからのエールは_x000D_
力湧いてくるわね</t>
  </si>
  <si>
    <t>私ももっと盛り上げられるように_x000D_
頑張るわ_x000D_
みんな付いてきてね</t>
  </si>
  <si>
    <t>私たちならもっと上を目指せるわ_x000D_
力を合わせて頑張るわよ</t>
  </si>
  <si>
    <t>まだまだこれからだから_x000D_
諦めちゃダメよ</t>
  </si>
  <si>
    <t>いつも応援ありがとう_x000D_
みんなにはいつも感謝してるわ</t>
  </si>
  <si>
    <t>みんなあと少しよ_x000D_
私たちならきっといけるわ</t>
  </si>
  <si>
    <t>いい感じね_x000D_
調子が上がってきたみたい</t>
  </si>
  <si>
    <t>あと少しね_x000D_
もっと盛り上がるように_x000D_
私も配信、頑張るわ</t>
  </si>
  <si>
    <t>ここまで来れたのは_x000D_
みんなのおかげね_x000D_
この調子で最後までいくわよ</t>
  </si>
  <si>
    <t>調子が良くても_x000D_
油断しちゃダメ_x000D_
気を引き締めていくわよ</t>
  </si>
  <si>
    <t>いい調子ね_x000D_
このまま１位を目指すわよ</t>
  </si>
  <si>
    <t>他の配信もすごいけど_x000D_
私たちだって負けてないわよね？</t>
  </si>
  <si>
    <t>ほかの配信の様子も気になるわね_x000D_
ちょっと覗いてみようかしら_x000D_
参考にしたいわ</t>
  </si>
  <si>
    <t>なんだか賑やかになってきたわね_x000D_
私たちも他のみんなより_x000D_
盛り上がっていくわよ</t>
  </si>
  <si>
    <t>今回は残念だけど_x000D_
大丈夫、次があるわ</t>
  </si>
  <si>
    <t>カメラの位置は
このあたりでどう？
さっきまで顔に近すぎたみたいね
ちょっと恥ずかしいわ</t>
    <phoneticPr fontId="1" type="noConversion"/>
  </si>
  <si>
    <t>完璧なパフォーマンスのため、
スタイルの維持は気をつけてるの
いいトレーニング方法を
見つけたから
今度みんなにも紹介するわね</t>
    <phoneticPr fontId="1" type="noConversion"/>
  </si>
  <si>
    <t>バレエをしている
ところが見たいって？
機会があれば
そのうち、ね？</t>
    <phoneticPr fontId="1" type="noConversion"/>
  </si>
  <si>
    <t>エールは合宿で手に入る
メガホンで送れるわ
私のことたくさん
応援してれると嬉しいわ</t>
    <phoneticPr fontId="1" type="noConversion"/>
  </si>
  <si>
    <t>ちゃんと映ってるかな？_x000D_
えへへ、大丈夫そうだね_x000D_
今日の配信も楽しもうね</t>
  </si>
  <si>
    <t>みんなは、ことりに_x000D_
どんな衣装を着て欲しい？_x000D_
衣装を作る時の参考にしたいの</t>
  </si>
  <si>
    <t>お裁縫は得意なの_x000D_
μ&amp;apos;sの衣装も_x000D_
私が作ってるんだ</t>
  </si>
  <si>
    <t>見て、見て_x000D_
新しい衣装作ってみたの_x000D_
似合ってるかな？</t>
  </si>
  <si>
    <t>あなたからの_x000D_
エールをもらえたら、_x000D_
ことりもっと頑張れちゃう</t>
  </si>
  <si>
    <t>課題曲はチェックしたかな？_x000D_
まだなら終わらせにいこうよ</t>
  </si>
  <si>
    <t>一緒にライブへ行こうよ_x000D_
完璧なパフォーマンスをあなたに_x000D_
見てもらいたいんだ</t>
  </si>
  <si>
    <t>エールくれるの？_x000D_
えへへ、ありがとう</t>
  </si>
  <si>
    <t>えへへ、エールありがとう_x000D_
あなたから貰えるなんて、_x000D_
嬉しいな</t>
  </si>
  <si>
    <t>エールありがと_x000D_
私も元気が出てきたよ</t>
  </si>
  <si>
    <t>まだまだこれからだよね_x000D_
ことりと一緒に盛り上がって_x000D_
いこうよ</t>
  </si>
  <si>
    <t>ことりのこと_x000D_
もっと応援してね</t>
  </si>
  <si>
    <t>みんなのおかげで_x000D_
盛り上がってきたよ_x000D_
あと少し一緒に頑張ろうね</t>
  </si>
  <si>
    <t>みんなあと少しだよ_x000D_
この勢いのまま進もう！</t>
  </si>
  <si>
    <t>この調子で最後までがんばろー</t>
  </si>
  <si>
    <t>ことりたちも他のみんなに_x000D_
負けないくらい盛り上がろうね</t>
  </si>
  <si>
    <t>他の配信の勢いもすごいけど_x000D_
目移りしないでね……？</t>
  </si>
  <si>
    <t>他の配信も楽しそう_x000D_
ことりたちも_x000D_
負けてられないね</t>
  </si>
  <si>
    <t>悔しい気持ちは忘れずに_x000D_
次はもっと頑張るね</t>
  </si>
  <si>
    <t>合宿で手に入るメガホンで
エールを送れるよ！
ことりのこといっぱい
応援してね</t>
    <phoneticPr fontId="1" type="noConversion"/>
  </si>
  <si>
    <t>衣装作りは楽しいの
みんなが着てるのを想像すると
いろんなアイディアが
湧いてくるんだ</t>
    <phoneticPr fontId="1" type="noConversion"/>
  </si>
  <si>
    <t>こ、これで配信は_x000D_
できているのでしょうか……？_x000D_
うまくできるといいのですが……</t>
  </si>
  <si>
    <t>私の特技は弓道なのですが、_x000D_
今度はそういう一面も配信で_x000D_
お見せできたらいいですね</t>
  </si>
  <si>
    <t>エールはメガホンでできますよ。_x000D_
メガホンは合宿で見つけることが_x000D_
できますので試してみてください</t>
  </si>
  <si>
    <t>課題曲は終わりましたか？_x000D_
まだなら今やってしまいましょう</t>
  </si>
  <si>
    <t>エールありがとうございます！_x000D_
嬉しいです！</t>
  </si>
  <si>
    <t>あなたからのエールは、_x000D_
とても心地良いですね……_x000D_
また、くださると嬉しいです</t>
  </si>
  <si>
    <t>ありがとうございます！_x000D_
あなたのエールのおかげで_x000D_
気力が満ちてきました！</t>
  </si>
  <si>
    <t>これから一緒に頑張りましょう！_x000D_
みなさんとなら絶対_x000D_
１位になれます！</t>
  </si>
  <si>
    <t>みなさんがいてくれるなら_x000D_
きっと１位にもなれます。_x000D_
私と一緒に頑張ってくれますか？</t>
  </si>
  <si>
    <t>みなさん、今こそ_x000D_
最大の応援を私に！</t>
  </si>
  <si>
    <t>１位が見えてきましたよ！_x000D_
さぁみなさん、一緒に_x000D_
頑張りましょう！</t>
  </si>
  <si>
    <t>いい調子です！_x000D_
あと少し、頑張りましょう！</t>
  </si>
  <si>
    <t>もうすぐ１位です！_x000D_
油断せずにいきましょう！</t>
  </si>
  <si>
    <t>頑張ってくださって_x000D_
ありがとうございます！_x000D_
この調子で進めましょう！</t>
  </si>
  <si>
    <t>絶好調ですね。_x000D_
一緒に１位を目指しましょう！</t>
  </si>
  <si>
    <t>残念です……_x000D_
でもいい経験になりました。_x000D_
次こそは１位になりましょう！</t>
  </si>
  <si>
    <t>すごいです！_x000D_
みなさんが頑張ってくださった_x000D_
おかげですね！</t>
  </si>
  <si>
    <t>配信で、何をしたら
皆さんに喜んで
もらえるのでしょうか？
うーん……</t>
    <phoneticPr fontId="1" type="noConversion"/>
  </si>
  <si>
    <t>うーん、今新しい
トレーニングについて
悩んでいるのです……
もしよければみなさんからも
アドバイスをいただけませんか？</t>
    <phoneticPr fontId="1" type="noConversion"/>
  </si>
  <si>
    <t>もしよろしければ、
エールをいただけませんか？
あなたからもらえたら、
もっといい成績を残せそうな
気がするのです</t>
    <phoneticPr fontId="1" type="noConversion"/>
  </si>
  <si>
    <t>１位になれましたよ！
とはいえ
まだ確定はしていませんから
油断せずに行きましょう！</t>
    <phoneticPr fontId="1" type="noConversion"/>
  </si>
  <si>
    <t>み、みなさんもすごいですが、
私たちだって……！
そ、そうですよね……？</t>
    <phoneticPr fontId="1" type="noConversion"/>
  </si>
  <si>
    <t>確かに他の配信もとても
素晴らしいと思うのですが……
もっと私を見てほしい……
な、なんでもありません！</t>
    <phoneticPr fontId="1" type="noConversion"/>
  </si>
  <si>
    <t>凛だよー！　みんな見えてる～？_x000D_
よろしくにゃー！</t>
  </si>
  <si>
    <t>今日の特訓、すっごく_x000D_
ハードだったにゃ_x000D_
でも楽しかったんだ～</t>
  </si>
  <si>
    <t>今日はランニングをしてきたんだ_x000D_
みんなも凛と一緒にやろうよ！_x000D_
すっごく気持ちいいんだにゃ！</t>
  </si>
  <si>
    <t>凛にエールをちょうだーい！_x000D_
もっと頑張るからー！</t>
  </si>
  <si>
    <t>エールをしたい？　それなら_x000D_
合宿でメガホンっていうのが_x000D_
あるからそれでやってほしいにゃ</t>
  </si>
  <si>
    <t>エールくれるの？_x000D_
嬉しいにゃー！　ありがとう！</t>
  </si>
  <si>
    <t>うーん！　エールをもらえると_x000D_
すっごく元気がでるにゃ！</t>
  </si>
  <si>
    <t>ありがとにゃ！_x000D_
あなたからのエール、_x000D_
とっても嬉しいにゃー！</t>
  </si>
  <si>
    <t>みんなとならもっと頑張れるよ！_x000D_
トップを目指すにゃー！</t>
  </si>
  <si>
    <t>みんなー！　凛にいっぱい_x000D_
応援をちょうだい！</t>
  </si>
  <si>
    <t>応援してくれてありがとにゃ！_x000D_
これからも頑張ろうね！</t>
  </si>
  <si>
    <t>１位はすぐそこだにゃ！_x000D_
一気にダッシュするよー！</t>
  </si>
  <si>
    <t>あとちょっとで１位に_x000D_
なれそうだにゃ！_x000D_
みんな、いっくよー！！</t>
  </si>
  <si>
    <t>もうすぐ、もうすぐ１位だにゃ！_x000D_
頑張るぞー！！</t>
  </si>
  <si>
    <t>１位だ１位だー！_x000D_
凛たちならこのまま_x000D_
１位になれそうだにゃ！</t>
  </si>
  <si>
    <t>すごいにゃー！_x000D_
これなら１位間違いなしにゃ！</t>
  </si>
  <si>
    <t>へっへっへー！　凛たちの_x000D_
チャンネル、すごく楽しいにゃ！</t>
  </si>
  <si>
    <t>にゃー……こんなに頑張ったのに_x000D_
１位になれないなんて……_x000D_
悔しいにゃー……</t>
  </si>
  <si>
    <t>やったにゃー！！_x000D_
みんなが凛を応援してくれた_x000D_
おかげだね！　ありがとう！</t>
  </si>
  <si>
    <t>ねぇねぇ聞いてー！
この間、新しいラーメン屋さんを
見つけたんだー！
かよちんと真姫ちゃんと
一緒に行きたいにゃー！</t>
    <phoneticPr fontId="1" type="noConversion"/>
  </si>
  <si>
    <t>凛ね、ハードルが得意なの！
今度ハードルやってるところを
見せる配信もしてみたいにゃ！</t>
    <phoneticPr fontId="1" type="noConversion"/>
  </si>
  <si>
    <t>この間ことりちゃんに、
ふわふわのお洋服も似合うって
言われたの
前だったら無理だよって言ってた
けど、今は着てみたいって
思うんだ……見てほしいにゃ</t>
    <phoneticPr fontId="1" type="noConversion"/>
  </si>
  <si>
    <t>１位になっても
油断しちゃだめだにゃ！
つい、凛もつい
嬉しくなっちゃうけど……
ここは我慢にゃ！</t>
    <phoneticPr fontId="1" type="noConversion"/>
  </si>
  <si>
    <t>他の配信もすごいねー！
みんなに楽しんでほしいって
気持ちが、すっごく感じるにゃ！
凛も負けてられないにゃー！</t>
    <phoneticPr fontId="1" type="noConversion"/>
  </si>
  <si>
    <t>楽しそうだにゃ～！
凛たちもあんな風にやってみよ！
きっと、もっともーっと
楽しくなっちゃうね！</t>
    <phoneticPr fontId="1" type="noConversion"/>
  </si>
  <si>
    <t>これちゃんと映ってる？_x000D_
大丈夫かしら……</t>
  </si>
  <si>
    <t>ピアノを弾いて欲しい？_x000D_
いいけど……μ&amp;apos;sの曲と_x000D_
クラシックどっちがいいのかしら</t>
  </si>
  <si>
    <t>今日はずっと曲を作ってたの。_x000D_
次の曲もきっとみんなが喜んで_x000D_
くれると思うわ、うふふ</t>
  </si>
  <si>
    <t>はやく私にエールをちょうだい！_x000D_
もらえたらもっと頑張れそうな_x000D_
そんな予感がするの</t>
  </si>
  <si>
    <t>エールをしてくれないの？_x000D_
合宿でメガホンをもらったでしょ_x000D_
それでできるからやってみなさい</t>
  </si>
  <si>
    <t>課題曲はもうやったの？_x000D_
ちゃんとやらなきゃだめじゃない_x000D_
仕方ないわね、付き合うわ</t>
  </si>
  <si>
    <t>エールをくれるのね。_x000D_
ありがとう、嬉しいわ</t>
  </si>
  <si>
    <t>ふふっ、あなたからのエール、_x000D_
なんだかくすぐったいわ</t>
  </si>
  <si>
    <t>ありがとう、ちょうどエールが_x000D_
ほしかったのよね</t>
  </si>
  <si>
    <t>みんながいるから１位も_x000D_
夢じゃないわ_x000D_
一緒に頑張りましょ</t>
  </si>
  <si>
    <t>私たちなら１位になれるわ。_x000D_
さぁ、一緒に頑張りましょ</t>
  </si>
  <si>
    <t>みんな、私をもっと_x000D_
応援してほしいわ！</t>
  </si>
  <si>
    <t>いつも応援してくれてありがとう_x000D_
感謝してるわ。_x000D_
……これからもよろしく</t>
  </si>
  <si>
    <t>ようやく１位が見えてきたわね。_x000D_
いい？　ここからが正念場よ</t>
  </si>
  <si>
    <t>あと少しで１位になれそうね……_x000D_
もう少しだわ……！</t>
  </si>
  <si>
    <t>これなら１位もいけるわ。_x000D_
みんな、頑張りましょう</t>
  </si>
  <si>
    <t>うふふ、ようやく１位になれたわ_x000D_
このまま順位確定するまで_x000D_
キープしちゃいましょ</t>
  </si>
  <si>
    <t>１位になれたからって_x000D_
油断しないでよね。_x000D_
ま、わかってるでしょうけど</t>
  </si>
  <si>
    <t>いい調子ね！_x000D_
このまま頑張りましょう！</t>
  </si>
  <si>
    <t>ふふっ、私たちの方が素敵な_x000D_
チャンネルになってるわね</t>
  </si>
  <si>
    <t>１位！？　すごいわ！_x000D_
ふふっ、みんなが私を信じて_x000D_
くれたおかげ……かしら？</t>
  </si>
  <si>
    <t>今回はお喋りの配信に
してみようかと思っているの
海未のトレーニングが
ハードで……
口しか動かせそうにないわ</t>
    <phoneticPr fontId="1" type="noConversion"/>
  </si>
  <si>
    <t>今回の配信は、私の大切なものの
話でもしましょうか
ふふっ、今日はとてもいいことが
あったからなんだかみんなに
聞いてほしくなったの</t>
    <phoneticPr fontId="1" type="noConversion"/>
  </si>
  <si>
    <t>みんなは写真、好き？
私は、写真は見るのも
撮ることも好きなの
もし素敵な景色や
撮影ポイントがあったら
教えてほしいわ</t>
    <phoneticPr fontId="1" type="noConversion"/>
  </si>
  <si>
    <t>みんなも私と一緒に
夜空を見上げて
天体観測をしてみない？
みんなと星のことを
語り合いたいわ</t>
    <phoneticPr fontId="1" type="noConversion"/>
  </si>
  <si>
    <t>他の配信が何をしてるか
見てみたいわね
私たちのところでも
活かせることがあるかも
しれないでしょ？</t>
    <phoneticPr fontId="1" type="noConversion"/>
  </si>
  <si>
    <t>ふーん……
みんな工夫してるみたいね
でも私たちも負けてない、
でしょ？</t>
    <phoneticPr fontId="1" type="noConversion"/>
  </si>
  <si>
    <t>今回は残念だったけど……
今度はもっと私たちなりの工夫を
して臨みましょう</t>
    <phoneticPr fontId="1" type="noConversion"/>
  </si>
  <si>
    <t>みんな元気～？_x000D_
悩み事があったら、_x000D_
いつでもウチに相談してね</t>
  </si>
  <si>
    <t>課題曲はチェックしたかな？_x000D_
ちゃんと終わらせないと……_x000D_
わしわししちゃうよ～？</t>
  </si>
  <si>
    <t>一緒にライブ行かない？_x000D_
ウチのパフォーマンス_x000D_
見てほしいな～</t>
  </si>
  <si>
    <t>まだまだこれからだよね？_x000D_
力を合わせて頑張ろう</t>
  </si>
  <si>
    <t>他の配信も賑やかやね～_x000D_
ウチらも負けてられないよ</t>
  </si>
  <si>
    <t>調子が良くても、
油断したらだめだよ？
気を抜いたら
わしわししちゃうからね～</t>
    <phoneticPr fontId="1" type="noConversion"/>
  </si>
  <si>
    <t>あちゃー、ダメやったね……
次は１位になれるように
この経験を活かして頑張ろう！</t>
    <phoneticPr fontId="1" type="noConversion"/>
  </si>
  <si>
    <t>今日も、みんなとたくさん_x000D_
お話しできるように、_x000D_
一生懸命頑張るね！</t>
  </si>
  <si>
    <t>う、うぅ……たくさんの人に_x000D_
見られてると思うと_x000D_
やっぱり恥ずかしい……！</t>
  </si>
  <si>
    <t>あなたからのエールがほしいな_x000D_
お願い……！</t>
  </si>
  <si>
    <t>課題曲はチェックした？_x000D_
まだだったら、一緒に_x000D_
確認しに行こうよ</t>
  </si>
  <si>
    <t>１位がみえてきたよ！_x000D_
あともう少し、一緒に頑張ろうね</t>
  </si>
  <si>
    <t>ほかの配信の勢いもすごい！_x000D_
私も負けないくらい、_x000D_
一生懸命頑張らないと！</t>
  </si>
  <si>
    <t>ご飯に対しての熱意は_x000D_
どの配信にも絶対負けません！</t>
  </si>
  <si>
    <t>い、１位だよ！　すごい……！
緊張してきちゃった……
最後まで、気を抜かずに
頑張るね！</t>
    <phoneticPr fontId="1" type="noConversion"/>
  </si>
  <si>
    <t>なにか悩みごと？_x000D_
にこの笑顔で、_x000D_
みんなを笑顔にしてあげるにこ！</t>
  </si>
  <si>
    <t>課題曲はちゃんと確認してる？_x000D_
忘れずに_x000D_
毎回見ておきなさいよね！</t>
  </si>
  <si>
    <t>１位が見えてきたわ！_x000D_
このまま追い越すのよ～！</t>
  </si>
  <si>
    <t>油断大敵！_x000D_
最後まで気を抜かずに頑張るのよ</t>
  </si>
  <si>
    <t>えっ？　他の配信もすごい？_x000D_
……気になるわ_x000D_
これは偵察が必要ね！</t>
  </si>
  <si>
    <t>ほかの配信よりも、にこのほうが_x000D_
もっともーっと楽しいんだから！</t>
  </si>
  <si>
    <t>ぐぬぬ……悔しいわ！_x000D_
次こそ絶対１位になって_x000D_
みせるんだから！</t>
  </si>
  <si>
    <t>あなたからのエール
待ってるわ
送ってくれないと、
にこ泣いちゃ~う</t>
    <phoneticPr fontId="1" type="noConversion"/>
  </si>
  <si>
    <t>もしも〜し_x000D_
私の声聞こえてるかな？_x000D_
えへへ、良かった〜</t>
  </si>
  <si>
    <t>配信とっても_x000D_
楽しみにしてたんだ！_x000D_
みんなで一緒に盛り上がろー</t>
  </si>
  <si>
    <t>見て、見て〜_x000D_
新しい企画を考えてみたんだ</t>
  </si>
  <si>
    <t>みんなと一緒だから_x000D_
何でも楽しくなっちゃうよ</t>
  </si>
  <si>
    <t>ねえねえ今日の課題曲は_x000D_
チェックした？_x000D_
終わったら感想聞かせてね</t>
  </si>
  <si>
    <t>ねえ、一緒にライブに行こうよ！_x000D_
あなたに見せたい衣装があるんだ</t>
  </si>
  <si>
    <t>えへへ_x000D_
エールありがと〜</t>
  </si>
  <si>
    <t>力が湧いてきたぁー！_x000D_
あなたのエールのおかげだね</t>
  </si>
  <si>
    <t>あなたのエール_x000D_
私にちゃんと届いたよ！</t>
  </si>
  <si>
    <t>いつも応援ありがとー_x000D_
最後まで一緒に頑張ろうね</t>
  </si>
  <si>
    <t>みんなあと少しだよ_x000D_
私たちならきっと出来る！</t>
  </si>
  <si>
    <t>いい調子、いい調子</t>
  </si>
  <si>
    <t>私はまだまだいけるよ_x000D_
みんなもついてきて！</t>
  </si>
  <si>
    <t>なんとかここまで来れたね！_x000D_
最後まで一緒にがんばるぞー</t>
  </si>
  <si>
    <t>気を抜かずに_x000D_
最後まで全力で走り抜けよう！</t>
  </si>
  <si>
    <t>ここまできたなら_x000D_
みんなで叶えようよ！</t>
  </si>
  <si>
    <t>みんなの勢いもすごいけど_x000D_
私たちもすごいよね？</t>
  </si>
  <si>
    <t>うわぁ〜、他のチャンネルも_x000D_
すごいことになってるよ_x000D_
私も負けていられないっ</t>
  </si>
  <si>
    <t>くやしい〜_x000D_
でも次は負けない！</t>
  </si>
  <si>
    <t>やった〜！！_x000D_
みんなのおかげだよ～</t>
  </si>
  <si>
    <t>カメラの位置はここかな？_x000D_
ちょっと恥ずかしいけど_x000D_
ちゃんと映ってる？</t>
  </si>
  <si>
    <t>新しい企画を思いついたの_x000D_
みんな見てくれるかな？</t>
  </si>
  <si>
    <t>今日も楽しい時間を_x000D_
みんなと過ごしたいわね</t>
  </si>
  <si>
    <t>私に弾いて_x000D_
欲しい曲はありますか？_x000D_
リクエスト待ってます</t>
  </si>
  <si>
    <t>曲が完成したの_x000D_
ちょっと弾いてみるから_x000D_
みんな聞いていてね</t>
  </si>
  <si>
    <t>あなたのエールがあると_x000D_
もっと先に行けそうな気がするの</t>
  </si>
  <si>
    <t>エールは、合宿で手に入る_x000D_
メガホンで送れるの_x000D_
活用してね</t>
  </si>
  <si>
    <t>課題曲は終わった？_x000D_
まだなら一緒にどう？</t>
  </si>
  <si>
    <t>ライブに行ってみない？_x000D_
衣装はあなたに選んで欲しいな_x000D_
......なんて</t>
  </si>
  <si>
    <t>エールをくれるのね_x000D_
嬉しいわ、ありがとう</t>
  </si>
  <si>
    <t>ふふ、エールありがとう_x000D_
おかげで元気が出たわ</t>
  </si>
  <si>
    <t>あなたがくれたエールは_x000D_
私の力になるの</t>
  </si>
  <si>
    <t>私と一緒に頑張ろうね</t>
  </si>
  <si>
    <t>みんなと一緒だと_x000D_
もっと出来るような気がするの_x000D_
だから応援よろしくね</t>
  </si>
  <si>
    <t>まだまだこれからだよね_x000D_
力を合わせて頑張ろう</t>
  </si>
  <si>
    <t>もう少しで届きそう_x000D_
だから、みんな力を貸して！</t>
  </si>
  <si>
    <t>いい流れになってきたわね</t>
  </si>
  <si>
    <t>みんなあと少しだよ_x000D_
最後まで一緒に頑張ろうね</t>
  </si>
  <si>
    <t>ここまで来れたのは_x000D_
みんなのおかげだよ_x000D_
私も最後まで頑張るね</t>
  </si>
  <si>
    <t>私も頑張るから、最後まで_x000D_
気を抜いちゃダメよ？</t>
  </si>
  <si>
    <t>この調子で、行ったら_x000D_
１位になれるよね？</t>
  </si>
  <si>
    <t>他のチャンネルも_x000D_
盛り上がってるよね_x000D_
私たちも負けていられないね</t>
  </si>
  <si>
    <t>残念だけど、この経験を_x000D_
活かして次に繋げるわ</t>
  </si>
  <si>
    <t>ありがとう_x000D_
みんなの応援があったから_x000D_
私も最後まで頑張れたわ</t>
  </si>
  <si>
    <t>やっほー_x000D_
私の声届いてる？</t>
  </si>
  <si>
    <t>何か新しいことしたいんだ_x000D_
みんなは何がいいと思う？</t>
  </si>
  <si>
    <t>ダイビングの配信も_x000D_
やってみたいけど、_x000D_
カメラは誰にお願いしようかな</t>
  </si>
  <si>
    <t>キミのエールが私の活力に_x000D_
なるんだよ！_x000D_
だからエールを私に送ってね</t>
  </si>
  <si>
    <t>エールは、合宿で手に入る_x000D_
メガホンで送れるよー！_x000D_
私のことをたくさん応援してね</t>
  </si>
  <si>
    <t>課題曲はチェックした？_x000D_
挑戦したら、後で_x000D_
感想聞かせてよ</t>
  </si>
  <si>
    <t>ね、一緒にライブに行こうよ！_x000D_
キミにパフォーマンスを_x000D_
見てほしいんだ</t>
  </si>
  <si>
    <t>エールありがとう_x000D_
キミに貰えて嬉しいよ</t>
  </si>
  <si>
    <t>ありがとう_x000D_
キミからのエールは元気が_x000D_
湧いてくるね</t>
  </si>
  <si>
    <t>みんな応援よろしく！</t>
  </si>
  <si>
    <t>私だけじゃできないことも_x000D_
みんなと一緒ならできる！</t>
  </si>
  <si>
    <t>もっと上を目指していこう！</t>
  </si>
  <si>
    <t>私も頑張るから、一緒に_x000D_
全力でいくよー！</t>
  </si>
  <si>
    <t>もうすぐそこだよ_x000D_
私たちの力をみせちゃおうよ</t>
  </si>
  <si>
    <t>みんなの応援が力になるんだ_x000D_
最後まで応援よろしくね</t>
  </si>
  <si>
    <t>全力でみんなもきてるから_x000D_
最後まで気を抜かずに_x000D_
頑張らなきゃ</t>
  </si>
  <si>
    <t>守る気は全くないよ_x000D_
みんな攻めていくよ！</t>
  </si>
  <si>
    <t>みんなでここまで来れたよ_x000D_
この調子で最後まで頑張ろう！</t>
  </si>
  <si>
    <t>みんなの配信も盛り上がってるね_x000D_
どんな配信してるのかな_x000D_
ちょっと見てみたいな</t>
  </si>
  <si>
    <t>目移りしないで_x000D_
ちゃんと私を見ててね</t>
  </si>
  <si>
    <t>ここまで盛り上がってる声が_x000D_
聞こえてくるね_x000D_
私たちも負けていられないよ</t>
  </si>
  <si>
    <t>残念だけど、くよくよせずに_x000D_
次に備えよう！</t>
  </si>
  <si>
    <t>ここを、こうして……？_x000D_
ピギィ！　も、もしかしてもう_x000D_
配信されているのですか！？</t>
  </si>
  <si>
    <t>今回の配信もとっても楽しみに_x000D_
していましたわ。_x000D_
よろしくお願いします</t>
  </si>
  <si>
    <t>みなさんからのエールを_x000D_
いただけますか？　力をもらえば_x000D_
進めそうな気がするのです！</t>
  </si>
  <si>
    <t>エールは合宿で見つかる_x000D_
メガホンを用いて行うことが_x000D_
できますわ。ぜひお試しください</t>
  </si>
  <si>
    <t>課題曲は終わりましたか？_x000D_
まだでしたら覚えてるうちに_x000D_
やってしまいましょう　</t>
  </si>
  <si>
    <t>うふふっ、あなたからエールを_x000D_
受けたら体の底から力が_x000D_
みなぎってきましたわ！</t>
  </si>
  <si>
    <t>ありがとうございます！_x000D_
あなたのエール、_x000D_
無駄にしませんわ！</t>
  </si>
  <si>
    <t>わたくしたちなら_x000D_
もっと上を目指せますわ！_x000D_
一緒に頑張りましょう！</t>
  </si>
  <si>
    <t>みなさん、_x000D_
応援をお願いいたします！</t>
  </si>
  <si>
    <t>１位が見えてきましたわ！_x000D_
みなさんのおかげです！_x000D_
あと少し、あと少しですわ！！</t>
  </si>
  <si>
    <t>この調子ですわ！_x000D_
最後まで諦めず_x000D_
共に頑張りましょう！</t>
  </si>
  <si>
    <t>いけますわ！　みなさんとなら_x000D_
１位も夢ではありません！</t>
  </si>
  <si>
    <t>ようやく１位になれましたね！_x000D_
このペースで２位との順位を_x000D_
引きはなしてしまいましょう！</t>
  </si>
  <si>
    <t>賑やかですね。わたくしたちも_x000D_
負けていられませんわ！</t>
  </si>
  <si>
    <t>あぁ……惜しかったですわね……_x000D_
次こそは１位になりましょう</t>
  </si>
  <si>
    <t>素晴らしいですわ！_x000D_
みなさんありがとうございます！</t>
  </si>
  <si>
    <t>みんなー見えてる～？_x000D_
一緒に楽しんでこー！</t>
  </si>
  <si>
    <t>えへへ～！_x000D_
今日の配信も楽しみだったんだ！_x000D_
みんなで一緒に盛り上がろ～！</t>
  </si>
  <si>
    <t>今回もよろしくね～！_x000D_
何話そっか！　まだ決め切れて_x000D_
ないから募集しちゃうよー！</t>
  </si>
  <si>
    <t>まだまだ慣れないけど_x000D_
みんなと一緒に盛り上げて_x000D_
いきたいからよろしくね！</t>
  </si>
  <si>
    <t>スポーツはみんな好きなんだけど_x000D_
やっぱり高飛び込みが_x000D_
１番好きかなぁ！　みんなは？</t>
  </si>
  <si>
    <t>今回はみんなにヨキソバの_x000D_
作り方を教えちゃうよ！_x000D_
ぜひお家でも作ってみてね！</t>
  </si>
  <si>
    <t>エールもらえるかな？_x000D_
今もらえたらもっと頑張れる_x000D_
気がするんだ！</t>
  </si>
  <si>
    <t>エールをするには、合宿に行って_x000D_
メガホンっていうのを見つけると_x000D_
できるからやってみてね！</t>
  </si>
  <si>
    <t>エールありがとー！！_x000D_
もっと頑張っちゃおうかな！</t>
  </si>
  <si>
    <t>よーーーーし！！_x000D_
エールでもらったキミの元気で_x000D_
全速前進～ヨーソロー！</t>
  </si>
  <si>
    <t>ありがとう！　キミからの_x000D_
あったかいエールで頑張れるよ！</t>
  </si>
  <si>
    <t>みんなとならきっと_x000D_
５位以上も行けるよ！_x000D_
応援、お願いします！</t>
  </si>
  <si>
    <t>まだまだこれからだよ！_x000D_
一緒にがんばろー！</t>
  </si>
  <si>
    <t>みんな！_x000D_
もっとキラキラな応援をお願い！</t>
  </si>
  <si>
    <t>いつも応援してくれてありがとう_x000D_
これからもよろしくね！</t>
  </si>
  <si>
    <t>１位はすぐそこだよ！_x000D_
みんなと絶対１位になるんだ！</t>
  </si>
  <si>
    <t>最後まで諦めちゃだめだよね！_x000D_
いっくよー！！_x000D_
全速前進、ヨーソロー！！！</t>
  </si>
  <si>
    <t>いい調子だよ！_x000D_
みんな、あと少し力を貸して！</t>
  </si>
  <si>
    <t>すっごーい！　１位だよ！_x000D_
このままランキング確定まで_x000D_
全速前進、ヨーソロー！　だね！</t>
  </si>
  <si>
    <t>えへへ……１位になれてるね！_x000D_
でも、みんなだってこのままじゃ_x000D_
ないだろうから気をつけなきゃ！</t>
  </si>
  <si>
    <t>絶好調だね！　この調子で_x000D_
頑張ったら絶対１位間違いなし！</t>
  </si>
  <si>
    <t>確かにみんなもすごいけど、_x000D_
私たちだって負けてないよね！</t>
  </si>
  <si>
    <t>みんな盛り上がってるなぁ……_x000D_
あ！　あんな風に工夫してるんだ</t>
  </si>
  <si>
    <t>頑張ってくれてありがとう！_x000D_
次はもっと工夫してみよっか！</t>
  </si>
  <si>
    <t>やったやったやったー！！_x000D_
応援してくれたおかげだよー！_x000D_
みんなありがとう！</t>
  </si>
  <si>
    <t>くっくっく……_x000D_
よく来たわリトルデーモン。_x000D_
さっそく配信を盛り上げるわよ！</t>
  </si>
  <si>
    <t>リトルデーモンたちと話ができて_x000D_
ヨハネも嬉しいわ。_x000D_
たくさんコメントしなさい！</t>
  </si>
  <si>
    <t>リトルデーモン！_x000D_
ヨハネにエールを送りなさい！</t>
  </si>
  <si>
    <t>課題曲はやったのかしら？_x000D_
ヨハネが気にしてあげたんだから_x000D_
しっかり達成しておくのよ！</t>
  </si>
  <si>
    <t>フッ、ヨハネにエールを送る_x000D_
なんてさすがリトルデーモンね。_x000D_
称賛に値する！</t>
  </si>
  <si>
    <t>素晴らしいわ！　エールで体に_x000D_
力がみなぎってくる……！_x000D_
どんどん進むわよ！</t>
  </si>
  <si>
    <t>くっくっく……いいわ、最高よ！_x000D_
その調子でもっとヨハネに_x000D_
エールを送りなさい！</t>
  </si>
  <si>
    <t>リトルデーモンたちの_x000D_
応援が必要だわ。さぁヨハネに_x000D_
精一杯の応援をするのよ！</t>
  </si>
  <si>
    <t>リトルデーモンの力は_x000D_
こんなものじゃないはず！_x000D_
ヨハネと共に力を尽くすのよ！</t>
  </si>
  <si>
    <t>さぁ今よ、リトルデーモン！_x000D_
ヨハネに応援の詠唱を行いなさい</t>
  </si>
  <si>
    <t>あと少しで玉座よ！_x000D_
リトルデーモンがいるなら絶対_x000D_
１位になれるはずよ！</t>
  </si>
  <si>
    <t>諦めてはダメよ、_x000D_
リトルデーモン。_x000D_
ヨハネがついてるわ！</t>
  </si>
  <si>
    <t>あと少しよ！！_x000D_
ヨハネに１位を献上しなさい！_x000D_
リトルデーモンたち！！</t>
  </si>
  <si>
    <t>くっくっく……さすがはヨハネが_x000D_
見込んだリトルデーモンたちね！_x000D_
このまま１位へ一直線よ！</t>
  </si>
  <si>
    <t>ふふん！_x000D_
ヨハネの堕天の力があれば_x000D_
誰にも負けないわ！　そうよね？</t>
  </si>
  <si>
    <t>リトルデーモン、_x000D_
次こそはヨハネと一緒に_x000D_
１位を勝ち取るわよ！</t>
  </si>
  <si>
    <t>やったー！！！　１位だー！_x000D_
……はっ！　くっくっくっ……_x000D_
よくやったわ、リトルデーモン！</t>
  </si>
  <si>
    <t>一番大好きな本？_x000D_
い、いっぱいありすぎて_x000D_
決められないずら～！！</t>
  </si>
  <si>
    <t>マル、あなたからのエール_x000D_
もらえたら_x000D_
もっと頑張れちゃう……！</t>
  </si>
  <si>
    <t>エールは、合宿で手に入る_x000D_
メガホンで送れるずら！_x000D_
いっぱいゲットしておこうね</t>
  </si>
  <si>
    <t>課題曲は確認した？_x000D_
終わってないなら_x000D_
マルも付き合うずら！</t>
  </si>
  <si>
    <t>まだまだこれから！_x000D_
力を合わせて頑張ろうね</t>
  </si>
  <si>
    <t>絶好調ずら～！！_x000D_
この調子で頑張っていこう！</t>
  </si>
  <si>
    <t>すごいずら！　暫定１位ずら！_x000D_
このまま最後まで、_x000D_
一緒に頑張ろうね！</t>
  </si>
  <si>
    <t>惜しかったね～……_x000D_
次は、もっと頑張るずら！</t>
  </si>
  <si>
    <t>お、おらが１位！？_x000D_
嬉しいずら～！_x000D_
みんなのおかげだよ！</t>
  </si>
  <si>
    <t>あなたからのエールが_x000D_
早くほしいわ！_x000D_
マリーを焦らしちゃ嫌よ～</t>
  </si>
  <si>
    <t>ライブに行きましょうよ～！_x000D_
マリーをもっと見てもらいたいの</t>
  </si>
  <si>
    <t>１位の背中をロックオーン☆_x000D_
このまま追い抜いて_x000D_
みせるわよー！</t>
  </si>
  <si>
    <t>マリーはまだまだ元気よ！_x000D_
みんな～、_x000D_
ちゃんとついてきてね～</t>
  </si>
  <si>
    <t>ん～！　悔しい！_x000D_
次は１位を取ってみせるわ！</t>
  </si>
  <si>
    <t>みんなのこと_x000D_
もっともっと知りたいなあ_x000D_
ルビィに教えてくれますか？</t>
  </si>
  <si>
    <t>うゆ……_x000D_
あ、あなたからのエールが_x000D_
欲しいな……</t>
  </si>
  <si>
    <t>合宿で手に入るメガホンで_x000D_
エールを送れます！</t>
  </si>
  <si>
    <t>課題曲の確認はした？_x000D_
まだだったら、_x000D_
ルビィも手伝うよ！</t>
  </si>
  <si>
    <t>あの……ライブに行きませんか？_x000D_
ちょっと恥ずかしいけど……_x000D_
ルビィのこと、見てほしいです！</t>
  </si>
  <si>
    <t>ルビィ、もっと頑張るから_x000D_
その……_x000D_
お、応援よろしくお願いします！</t>
  </si>
  <si>
    <t>ちょっとずつでも大丈夫だよ！_x000D_
ルビィたちのペースで_x000D_
頑張っていこうね</t>
  </si>
  <si>
    <t>みんなの応援のおかげで_x000D_
ルビィ、もっともっと_x000D_
ペースをあげられそう！</t>
  </si>
  <si>
    <t>すごいすごい！　もう少しだよ！_x000D_
１位も夢じゃないかも！</t>
  </si>
  <si>
    <t>気を抜かずに走り抜けようね！_x000D_
えいえいおー！</t>
  </si>
  <si>
    <t>みんなすごい！_x000D_
ルビィも_x000D_
もっと頑張らなきゃ……！</t>
  </si>
  <si>
    <t>ピギィ！？　い、１位！？_x000D_
う、嬉しいよう……_x000D_
みんなありがとう……！</t>
  </si>
  <si>
    <t>えへへへ_x000D_
今日の配信楽しみにしてたんだ_x000D_
みんなも同じだったら嬉しいなあ</t>
  </si>
  <si>
    <t>あのね_x000D_
新しい企画を考えてみたの_x000D_
ちょっと見て欲しいな</t>
  </si>
  <si>
    <t>今日の配信も一歩一歩頑張るから_x000D_
一緒に盛り上がろうね！</t>
  </si>
  <si>
    <t>あなたのエールを得るっ！_x000D_
えへへ、愛ちゃんに教わったんだ_x000D_
どうかな？</t>
  </si>
  <si>
    <t>まだまだこれからだよね_x000D_
みんな_x000D_
もっと盛り上がっていこうよ！</t>
  </si>
  <si>
    <t>みんなで一緒に頑張っていこうね</t>
  </si>
  <si>
    <t>一歩一歩頑張っていこうね</t>
  </si>
  <si>
    <t>あと少しだよ！_x000D_
みんなで力を合わせて頑張ろー！</t>
  </si>
  <si>
    <t>みんなの応援のおかげで_x000D_
最後まで頑張れるよ</t>
  </si>
  <si>
    <t>この調子で最後まで_x000D_
一緒に頑張っていこうね</t>
  </si>
  <si>
    <t>このままの勢いで_x000D_
最後まで私に力を貸してほしいな</t>
  </si>
  <si>
    <t>みんなの配信も盛り上がってるね_x000D_
私たちも負けていられない！</t>
  </si>
  <si>
    <t>他のみんなのチャンネルも_x000D_
勢いあるけど_x000D_
私たちも負けていないと思うの</t>
  </si>
  <si>
    <t>みんなのチャンネルも_x000D_
盛り上がってるみたいだね_x000D_
私たちも負けてられないね</t>
  </si>
  <si>
    <t>悔しいけど、次は負けないよ！_x000D_
また次も私の力になってくれる？</t>
  </si>
  <si>
    <t>かすみんの可愛さを_x000D_
世界中に届けちゃいますよ〜</t>
  </si>
  <si>
    <t>みなさんライブの時間ですよ_x000D_
かすみんと一緒に_x000D_
盛り上がる準備はいいですか？</t>
  </si>
  <si>
    <t>フレ〜、フレ〜_x000D_
エールのお返しですよ_x000D_
かすみんのエールは届きました？</t>
  </si>
  <si>
    <t>かすみんの応援_x000D_
よろしくお願いしますっ</t>
  </si>
  <si>
    <t>かすみんと一緒に_x000D_
頑張りましょうね</t>
  </si>
  <si>
    <t>むむ〜順位では負けてますが_x000D_
かわいさでは負けませんよぉ</t>
  </si>
  <si>
    <t>みなさんと一緒だから_x000D_
かすみんも頑張れるんです</t>
  </si>
  <si>
    <t>むむ〜、あと少しなのに〜_x000D_
かすみんたちの力をみせて_x000D_
やりますよ〜</t>
  </si>
  <si>
    <t>みなさんあと少しですよ〜_x000D_
最後までかすみんの応援_x000D_
よろしくお願いしますね</t>
  </si>
  <si>
    <t>この調子で最後までいきますよー_x000D_
みなさんいいですか？</t>
  </si>
  <si>
    <t>まだまだこれからですよ_x000D_
にひひ、謙虚なかすみん_x000D_
さらに伸びること間違いなしです</t>
  </si>
  <si>
    <t>かすみんたちのペースで_x000D_
頑張っていきますよー！</t>
  </si>
  <si>
    <t>ほかのみなさんのチャンネルも_x000D_
盛り上がってますね〜_x000D_
でもかすみんも負けてませんよ</t>
  </si>
  <si>
    <t>こんにちは_x000D_
ちゃんと聞こえてるでしょうか？</t>
  </si>
  <si>
    <t>配信は予定通りには_x000D_
いかないこともあるので_x000D_
アドリブ力が鍛えられます</t>
  </si>
  <si>
    <t>桜坂劇場の開演です！_x000D_
今日も一緒に盛り上がりましょう</t>
  </si>
  <si>
    <t>あなたのエールを頂けると_x000D_
私もっともっと頑張れます！</t>
  </si>
  <si>
    <t>エールはメガホンで送れます_x000D_
合宿で手に入るので_x000D_
ぜひ活用して下さいね</t>
  </si>
  <si>
    <t>課題曲は確認しましたか？_x000D_
もしよければ感想を_x000D_
送ってくださいね</t>
  </si>
  <si>
    <t>舞台の幕が開く時間ですよ！_x000D_
私と一緒にライブにいきましょう</t>
  </si>
  <si>
    <t>エールありがとうございます_x000D_
おかげで力が湧いてきました</t>
  </si>
  <si>
    <t>エールありがとうございます_x000D_
先輩のおかげで_x000D_
とても元気が出てきました</t>
  </si>
  <si>
    <t>エールありがとうございます_x000D_
お返しはオフィーリアの写真_x000D_
なんてどうでしょう？</t>
  </si>
  <si>
    <t>まだまだこれからです_x000D_
一緒に頑張っていきましょう</t>
  </si>
  <si>
    <t>私と一緒に頑張りましょう</t>
  </si>
  <si>
    <t>力を合わせて頑張りましょうね</t>
  </si>
  <si>
    <t>もっともっと上を目指します_x000D_
最後まで付き合ってくれますか？</t>
  </si>
  <si>
    <t>もう少しで届きそうです_x000D_
ここが頑張り時ですね_x000D_
一緒に進みましょう</t>
  </si>
  <si>
    <t>成果が出てきましたね！_x000D_
この調子で_x000D_
最後まで頑張りましょう</t>
  </si>
  <si>
    <t>ここまで来れたのは_x000D_
みなさんのおかげです_x000D_
私も最後まで頑張ります</t>
  </si>
  <si>
    <t>いい調子ですね_x000D_
このまま１位を目指しましょう</t>
  </si>
  <si>
    <t>最後まで油断は出来ませんが_x000D_
いまは少しだけ喜んでも_x000D_
いいですか？　えへへ</t>
  </si>
  <si>
    <t>ライバルを知ることも_x000D_
勝利に必要な事です</t>
  </si>
  <si>
    <t>私たちのペースで_x000D_
頑張っていきましょう</t>
  </si>
  <si>
    <t>ほかのみなさんのチャンネルも_x000D_
盛り上がってるようですね_x000D_
私たちも負けていられません</t>
  </si>
  <si>
    <t>悔しいですが_x000D_
次回にこの経験を活かしましょう_x000D_
また力を貸してくださいね</t>
  </si>
  <si>
    <t>やりましたね_x000D_
全員で勝ち取った勝利ですね</t>
  </si>
  <si>
    <t>今日も盛り上がって行くわよ_x000D_
準備はいい？</t>
  </si>
  <si>
    <t>読モの撮影風景がみたいって？_x000D_
面白そうね_x000D_
今度の撮影で撮ってみたいわね</t>
  </si>
  <si>
    <t>エールは合宿で手に入る_x000D_
メガホンで送れるわよ_x000D_
早く合宿にいきましょう</t>
  </si>
  <si>
    <t>課題曲のチェックは_x000D_
終わったかしら？_x000D_
良かったら感想聞かせてくれる？</t>
  </si>
  <si>
    <t>早くライブにいきましょう_x000D_
そうしたら、私の刺激的な_x000D_
パフォーマンスを魅せてあげる</t>
  </si>
  <si>
    <t>ふふ、エールありがとう_x000D_
キミの熱い想いに_x000D_
刺激されちゃうわね</t>
  </si>
  <si>
    <t>エールありがとう_x000D_
お返しは何がいいかしら？</t>
  </si>
  <si>
    <t>ふふ、嬉しいわ_x000D_
エールありがとう</t>
  </si>
  <si>
    <t>キミの応援は_x000D_
私が独り占めしちゃうんだから</t>
  </si>
  <si>
    <t>一緒に頑張るわよ、いいわね？</t>
  </si>
  <si>
    <t>まだまだこれからよ</t>
  </si>
  <si>
    <t>まだまだ足りないわ_x000D_
もっとあげていくわよ</t>
  </si>
  <si>
    <t>ようやくみえてきたわね_x000D_
ここからは_x000D_
よりみんなの力が必要よ</t>
  </si>
  <si>
    <t>ここからが大変よ_x000D_
でも私たちなら、必ず出来るわ_x000D_
ね、そうでしょ？</t>
  </si>
  <si>
    <t>頑張りが形になるのは嬉しいわね_x000D_
みんなあと少しよ</t>
  </si>
  <si>
    <t>みんな本気だから_x000D_
最後まで気を抜けないわね</t>
  </si>
  <si>
    <t>私たちいまいい感じじゃない？_x000D_
このまま最後までいくわよ</t>
  </si>
  <si>
    <t>ペースは乱れちゃダメよ_x000D_
私たちのペースを大事にしましょ</t>
  </si>
  <si>
    <t>悔しいけど、これが結果ね_x000D_
でも次は絶対に負けないわ</t>
  </si>
  <si>
    <t>愛さん、みんなと一緒にいると_x000D_
楽しくてテンアゲだよー！！</t>
  </si>
  <si>
    <t>配信の時間だー_x000D_
今日も一緒に盛り上がろー！</t>
  </si>
  <si>
    <t>愛トモのみんな～！_x000D_
今日もみんなからのエール_x000D_
待ってるよ</t>
  </si>
  <si>
    <t>エールを得るにはメガホン！_x000D_
合宿で手に入るよ</t>
  </si>
  <si>
    <t>ライブにいこうよ_x000D_
愛さんと一緒ならテンアゲ_x000D_
間違いなしだよ</t>
  </si>
  <si>
    <t>エールありがとね_x000D_
フレ〜、フレ〜_x000D_
今度は愛さんが君を応援する番</t>
  </si>
  <si>
    <t>応援されると_x000D_
笑顔になっちゃうね_x000D_
エールありがとー！</t>
  </si>
  <si>
    <t>愛さんの応援よろしく！</t>
  </si>
  <si>
    <t>一緒に頑張ろー！_x000D_
愛さん負けないぞー</t>
  </si>
  <si>
    <t>まだいけるよね？_x000D_
一緒にあげていこー</t>
  </si>
  <si>
    <t>テンアゲでいくよー_x000D_
愛さんについてこれる？</t>
  </si>
  <si>
    <t>みんなここまできたよ！_x000D_
あともう少しだから_x000D_
もっとアゲていくよー！</t>
  </si>
  <si>
    <t>あと少しだね_x000D_
みんなと一緒なら_x000D_
愛さんも最後まで頑張れる！</t>
  </si>
  <si>
    <t>結果が出てきたみたいだね_x000D_
あと少し愛さんと_x000D_
一緒に頑張ろう！</t>
  </si>
  <si>
    <t>よっしゃー！_x000D_
この調子で最後までいっくよー</t>
  </si>
  <si>
    <t>愛さんも調子いいから_x000D_
１位目指して全力でいけるよー</t>
  </si>
  <si>
    <t>みんなの勢いに飲まれずに_x000D_
愛さんたちのペースで_x000D_
がんばろー！</t>
  </si>
  <si>
    <t>う〜、くやしい～_x000D_
でも愛さん次は負けないからね_x000D_
愛トモのみんな、次も頑張ろー</t>
  </si>
  <si>
    <t>いえーい！_x000D_
愛さんたちの大勝利だね</t>
  </si>
  <si>
    <t>すやぁ～…… _x000D_
はっ……_x000D_
また配信中に寝ちゃったよ～</t>
  </si>
  <si>
    <t>みんながたくさん話しかけて_x000D_
くれるから、今日は_x000D_
あんまり眠くならないよ</t>
  </si>
  <si>
    <t>今日の彼方ちゃんは_x000D_
お目目ぱっちり…なの…です_x000D_
……すやぁ</t>
  </si>
  <si>
    <t>いえ〜い、今日も_x000D_
張り切って配信やるよ〜</t>
  </si>
  <si>
    <t>次のお料理配信は何を作ろうかな_x000D_
みんなは彼方ちゃんの_x000D_
どんな料理が食べてみたい？</t>
  </si>
  <si>
    <t>ふあ～……_x000D_
彼方ちゃんおねむだから_x000D_
今日はお昼寝配信で～す</t>
  </si>
  <si>
    <t>ほれほれ〜口を開けろ〜_x000D_
画面越しだと味見出来ないけど_x000D_
気分は味わえるでしょ〜</t>
  </si>
  <si>
    <t>いえ〜い、彼方ちゃんと一緒に_x000D_
ライブへ行こ〜</t>
  </si>
  <si>
    <t>あなたのエールで彼方ちゃん_x000D_
お目目ぱっちりになったよ〜_x000D_
ありがと〜</t>
  </si>
  <si>
    <t>いえ〜い、エールありがと〜_x000D_
今日の彼方ちゃんは_x000D_
テンションアゲアゲです</t>
  </si>
  <si>
    <t>エールありがと〜_x000D_
お返しに遥ちゃんのカワイイ_x000D_
写真をみせてあげちゃう〜</t>
  </si>
  <si>
    <t>彼方ちゃんを応援してね〜</t>
  </si>
  <si>
    <t>彼方ちゃんと一緒にがんばろ〜</t>
  </si>
  <si>
    <t>彼方ちゃんはこれからなのです</t>
  </si>
  <si>
    <t>みんなの応援で_x000D_
お目目ぱっちりなのです_x000D_
それじゃ、一緒にいっくよ〜</t>
  </si>
  <si>
    <t>彼方ちゃんたちの力をみたか〜_x000D_
このペースで頑張っていこうね</t>
  </si>
  <si>
    <t>いい調子、いい調子_x000D_
彼方ちゃんもノッてきたー！</t>
  </si>
  <si>
    <t>うおおおおお……！_x000D_
このペースで最後まで_x000D_
彼方ちゃんがんばるよ〜</t>
  </si>
  <si>
    <t>１位が見えてきたね～_x000D_
彼方ちゃんたちならきっと_x000D_
とれるよね？</t>
  </si>
  <si>
    <t>すごい、すごーい！1位だよ！_x000D_
彼方ちゃんお目目_x000D_
しゃっきりさんになった～</t>
  </si>
  <si>
    <t>うおおおおお……！_x000D_
他のみんなには負けないぞ〜</t>
  </si>
  <si>
    <t>彼方ちゃんたちのペースで_x000D_
がんばろ〜</t>
  </si>
  <si>
    <t>彼方ちゃんたちも_x000D_
他のみんなに負けないように_x000D_
盛り上がっていこ〜</t>
  </si>
  <si>
    <t>いえ〜い_x000D_
彼方ちゃんも嬉しくて_x000D_
今日はテンション高めなのだ～</t>
  </si>
  <si>
    <t>今日も、みんなと『大好き』_x000D_
の気持ちを共有したいです！</t>
  </si>
  <si>
    <t>うぅ〜語りたいことが多くて_x000D_
どれから話していいか_x000D_
迷ってしまいますね</t>
  </si>
  <si>
    <t>あなたの熱くて燃えるエールを_x000D_
感じたいです！</t>
  </si>
  <si>
    <t>エールは合宿で手に入る_x000D_
メガホンで送れます！_x000D_
さあ、一緒に合宿へ行きましょう</t>
  </si>
  <si>
    <t>課題曲は確認しましたか？_x000D_
挑戦したら、_x000D_
ぜひ感想を聞かせてください！</t>
  </si>
  <si>
    <t>この溢れる『大好き』を_x000D_
早く届けたいです！_x000D_
さぁ、ライブにいきましょう！</t>
  </si>
  <si>
    <t>あなたのエール、_x000D_
とっても素敵です！_x000D_
ありがとうございます！</t>
  </si>
  <si>
    <t>まだまだこれからですよ！_x000D_
もっともーっと盛り上がって_x000D_
いきましょう！！</t>
  </si>
  <si>
    <t>盛り上がってきましたね！_x000D_
この調子で突き進むのみです！</t>
  </si>
  <si>
    <t>みなさん_x000D_
頂点が見えてきましたよ_x000D_
一気に駆け上がりましょう！</t>
  </si>
  <si>
    <t>みんなのおかげでここまで_x000D_
来ることができました……！_x000D_
このまま突っ走っていきますよ！</t>
  </si>
  <si>
    <t>１位はすぐそこです……！_x000D_
私の勇姿_x000D_
最後まで見ていてくださいね！</t>
  </si>
  <si>
    <t>１位ですよ！_x000D_
みんな、最後まで応援してくれて_x000D_
ありがとうございます！</t>
  </si>
  <si>
    <t>みんなといると楽しくて_x000D_
ぽかぽかした気持ちになるの_x000D_
みんなも同じだと嬉しいな</t>
  </si>
  <si>
    <t>みんなのこと_x000D_
たくさん知りたいんだ_x000D_
今日はいっぱいお話しようね</t>
  </si>
  <si>
    <t>絵本の読み聞かせ配信_x000D_
とかしてみたいな～_x000D_
みんなはどんなお話が聞きたい？</t>
  </si>
  <si>
    <t>あなたのエールが欲しいなあ_x000D_
もらえたら嬉しくって_x000D_
ハグしたくなっちゃう！</t>
  </si>
  <si>
    <t>あなたのエール、_x000D_
優しい気持ちが伝わってきたよ</t>
  </si>
  <si>
    <t>みんなの応援があるから_x000D_
私も頑張れるの</t>
  </si>
  <si>
    <t>他のみんなもすごいね〜_x000D_
私たちも負けないように_x000D_
がんばろう！</t>
  </si>
  <si>
    <t>悔しいけど、全力は出せたよね_x000D_
次は１位になりたい！_x000D_
私に力を貸してほしいな</t>
  </si>
  <si>
    <t>やったぁ！_x000D_
みんな応援ありがとう_x000D_
楽しい時間を過ごせたよ</t>
  </si>
  <si>
    <t>璃奈ちゃんボード_x000D_
「おはこんばんにちは」</t>
  </si>
  <si>
    <t>今日も一緒に_x000D_
盛り上がろうね_x000D_
えいえいおー</t>
  </si>
  <si>
    <t>新しい璃奈ちゃんボードのカオを_x000D_
考えたいの_x000D_
どんなのがいいかな？</t>
  </si>
  <si>
    <t>みんなとお喋りするの_x000D_
すごく楽しい</t>
  </si>
  <si>
    <t>みんなとゲーム対戦する配信を_x000D_
してみたいと思ってるの_x000D_
どうかな？</t>
  </si>
  <si>
    <t>配信をしてると、_x000D_
みんなと繋がってる感じがする</t>
  </si>
  <si>
    <t>今日も配信、頑張る_x000D_
璃奈ちゃんボード「むんっ！」</t>
  </si>
  <si>
    <t>あなたからのエール、欲しい_x000D_
璃奈ちゃんボード「ぺこりん」</t>
  </si>
  <si>
    <t>エールを送るには、合宿で_x000D_
手に入るメガホンが必要だよ_x000D_
合宿に、れっつごー</t>
  </si>
  <si>
    <t>課題曲はもう確認した？_x000D_
毎日忘れずにやるのが大事、だよ</t>
  </si>
  <si>
    <t>みんなに伝えたいこと、いっぱい_x000D_
早くライブしよ？</t>
  </si>
  <si>
    <t>あなたからのエール、うれしいな_x000D_
璃奈ちゃんボード「てれてれ」</t>
  </si>
  <si>
    <t>エールありがとう_x000D_
あなたのおかげで、元気いっぱい</t>
  </si>
  <si>
    <t>エールをくれて、ありがとう_x000D_
私もあなたを応援する_x000D_
フレ～フレ～</t>
  </si>
  <si>
    <t>まだまだこれからだよ_x000D_
力を合わせて、頑張ろう</t>
  </si>
  <si>
    <t>いっぱい頑張るから_x000D_
私のこと、_x000D_
いっぱい応援してほしい</t>
  </si>
  <si>
    <t>もっともっと盛り上げるよ_x000D_
一緒に頑張ろう</t>
  </si>
  <si>
    <t>みんなの笑顔が見たいの_x000D_
私、頑張るよ</t>
  </si>
  <si>
    <t>みんなの応援があるから_x000D_
まだまだ頑張れるよ！</t>
  </si>
  <si>
    <t>あと、もうちょっと_x000D_
最後まで応援よろしくね</t>
  </si>
  <si>
    <t>楽しいね_x000D_
この調子で、ごーごー！</t>
  </si>
  <si>
    <t>ここまでこれたのは_x000D_
みんなのおかげ_x000D_
最後まで、がんばろー！</t>
  </si>
  <si>
    <t>最後まで、みんなで頑張ろうね_x000D_
璃奈ちゃんボード「キラキラ」</t>
  </si>
  <si>
    <t>この調子だよ！_x000D_
みんなで１番になろうね_x000D_
璃奈ちゃんボード「むんっ！」</t>
  </si>
  <si>
    <t>みんな、すごい勢い_x000D_
私も負けてられない！</t>
  </si>
  <si>
    <t>負けたくない_x000D_
璃奈ちゃんボード「メラメラ」</t>
  </si>
  <si>
    <t>他のチャンネルも、すごい_x000D_
どんなことをしてるのかな？</t>
  </si>
  <si>
    <t>悔しい_x000D_
でも次は負けないよ_x000D_
璃奈ちゃんボード「メラメラ～」</t>
  </si>
  <si>
    <t>配信、って_x000D_
何をしたらいいのでしょうか_x000D_
みなさんの力をお貸しください</t>
  </si>
  <si>
    <t>さて、今日は何を_x000D_
一緒にお話ししましょうか？</t>
  </si>
  <si>
    <t>こうして皆さんと_x000D_
一緒に過ごす時間は、_x000D_
とても楽しいです</t>
  </si>
  <si>
    <t>配信に来て下さる方の名前は_x000D_
全員覚えていますよ</t>
  </si>
  <si>
    <t>同好会のみなさんは_x000D_
どんな配信を_x000D_
しているのでしょうか</t>
  </si>
  <si>
    <t>エールを……その……_x000D_
頂けると、嬉しいです</t>
  </si>
  <si>
    <t>エールは合宿で手に入る_x000D_
メガホンで送れますよ</t>
  </si>
  <si>
    <t>課題曲は確認しましたか？_x000D_
分からないことがあれば、_x000D_
私に相談してくださいね</t>
  </si>
  <si>
    <t>日々の練習の成果を_x000D_
披露します_x000D_
さあ、ライブに行きましょう</t>
  </si>
  <si>
    <t>私へのエールですか！？_x000D_
あの……とても嬉しいです！</t>
  </si>
  <si>
    <t>力が湧いてきました_x000D_
あなたからのエールに_x000D_
応えられるよう頑張ります</t>
  </si>
  <si>
    <t>少しずつでも、_x000D_
いつか必ず成果は出ます_x000D_
皆さん、一緒に頑張りましょう</t>
  </si>
  <si>
    <t>もっと盛り上がるように、_x000D_
新しいプランをたてました_x000D_
一緒に確認しましょう！</t>
  </si>
  <si>
    <t>まだまだこれからですよ_x000D_
私を信じて、ついてきてください</t>
  </si>
  <si>
    <t>諦めてなどいません_x000D_
皆さん_x000D_
一緒に頑張ってくれますか？</t>
  </si>
  <si>
    <t>あともう少しです_x000D_
最後まで一緒に頑張りましょう</t>
  </si>
  <si>
    <t>皆さんの応援がありますから_x000D_
私、まだまだ頑張れます</t>
  </si>
  <si>
    <t>良いペースです_x000D_
あと少し、頑張りましょう</t>
  </si>
  <si>
    <t>皆さんの力は偉大です！_x000D_
最後まで気を抜かずに_x000D_
一緒に頑張りましょう！</t>
  </si>
  <si>
    <t>調子が出て来たようですね_x000D_
このまま最後まで_x000D_
一緒に頑張りましょう</t>
  </si>
  <si>
    <t>皆さんと１番になれるかも……！_x000D_
最後まで頑張ります！</t>
  </si>
  <si>
    <t>他の方には負けていられません！_x000D_
皆さん、盛り上がっていきますよ</t>
  </si>
  <si>
    <t>私もまだまだですね_x000D_
この経験を糧にして頑張ります</t>
  </si>
  <si>
    <t>嬉しいです_x000D_
皆さんにこんなに応援して頂けて_x000D_
私は幸せものですね</t>
  </si>
  <si>
    <t>今日は色んな
みかんを買ってきたんだ
どのみかんが一番美味しいか
食べ比べてみるよ！</t>
    <phoneticPr fontId="1" type="noConversion"/>
  </si>
  <si>
    <t>歌詞ってなかなか
思いつかないんだ
なんかね、急に出てきて
ぶわっとなって
ビビビッ！ってなったら
すらすら書けちゃうんだよね</t>
    <phoneticPr fontId="1" type="noConversion"/>
  </si>
  <si>
    <t>ねえねえ
歌詞が出来たから
ちょっと見て欲しいんだ
みんなのおかげで書けたから
先に見せたいって思ったんだ</t>
    <phoneticPr fontId="1" type="noConversion"/>
  </si>
  <si>
    <t>他のみんなのチャンネルも
賑やかだね
私たちも負けられないぞー</t>
    <phoneticPr fontId="1" type="noConversion"/>
  </si>
  <si>
    <t>μ&amp;apos;sやニジガクの曲も
弾いてみたいな
みーんないい曲なんだもの
私ももっと頑張らなくちゃ</t>
    <phoneticPr fontId="1" type="noConversion"/>
  </si>
  <si>
    <t>みんなはどんな
配信してるんだろう
ちょっと覗いてみようかな
面白いことしてたら
参考にしちゃおう</t>
    <phoneticPr fontId="1" type="noConversion"/>
  </si>
  <si>
    <t>みんなのチャンネルの
勢いもすごいね
私たちも
もっと盛り上がっていこう</t>
    <phoneticPr fontId="1" type="noConversion"/>
  </si>
  <si>
    <t>星空を眺めながら
星座について話したいんだ
みんなは
星座、興味ある？</t>
    <phoneticPr fontId="1" type="noConversion"/>
  </si>
  <si>
    <t>わたくしも
スクールアイドルとして
輝いていたいと思っています
みなさんからは
わたくしはどのように
見えているのでしょうか？</t>
    <phoneticPr fontId="1" type="noConversion"/>
  </si>
  <si>
    <t>わたくしのお琴を聴いて
いただきたいので、
準備しましたの
とても好きな曲なのです</t>
    <phoneticPr fontId="1" type="noConversion"/>
  </si>
  <si>
    <t>わたくしだけの力では
１位にはなれません……
だからこそ、
みなさんからの応援が
必要なのです！</t>
    <phoneticPr fontId="1" type="noConversion"/>
  </si>
  <si>
    <t>ふふふ……あ、いえ、みなさんが
こんなにも頑張ってくださって
いると思ったらつい……
みなさんありがとうございます。
このまま一緒に頑張りましょう</t>
    <phoneticPr fontId="1" type="noConversion"/>
  </si>
  <si>
    <t>他の配信にはないわたくしたち
だけの良さがあります
みなさんが楽しんでいただけたら
わたくしは本望ですわ</t>
    <phoneticPr fontId="1" type="noConversion"/>
  </si>
  <si>
    <t>もう！
よそ見しないでください！
わたくしの配信を見てくれないと
ぶっぶーですわ！</t>
    <phoneticPr fontId="1" type="noConversion"/>
  </si>
  <si>
    <t>今回の配信は、制服の良さに
ついてお話するよー！
私のおすすめはズバリ船員さん！
前に作ったライブ衣装でもその
船員さんをモチーフにしたんだ！
みんなはどれかわかるかな～？</t>
    <phoneticPr fontId="1" type="noConversion"/>
  </si>
  <si>
    <t>むぅ……確かにみんなの配信も
素敵だけど、よそ見しないでね
私だけ見ててほしいな～</t>
    <phoneticPr fontId="1" type="noConversion"/>
  </si>
  <si>
    <t>今回はヨハネの黒魔術を見せて
あげるわ！　まずこの漆黒の器に
飴をいれて満月の夜窓辺に置くの
一晩満月のエネルギーと
ヨハネの魔力を宿した飴は
最強の力が宿るのよ</t>
    <phoneticPr fontId="1" type="noConversion"/>
  </si>
  <si>
    <t>くっくっく……どんどん
リトルデーモンの数が
増えているようね
ヨハネの魅力をもっと伝えて
もっともっとリトルデーモンを
増やすわよ！</t>
    <phoneticPr fontId="1" type="noConversion"/>
  </si>
  <si>
    <t>くっくっく……
ヨハネの力をもってすれば
１位など造作もないわ
このままいくわよ、
リトルデーモン</t>
    <phoneticPr fontId="1" type="noConversion"/>
  </si>
  <si>
    <t>いいこと、リトルデーモン。
どんな時も油断しないようにね
天気予報で晴れだって言ったのに
雨でずぶ濡れになることだって
あるんだから……</t>
    <phoneticPr fontId="1" type="noConversion"/>
  </si>
  <si>
    <t>ちょっとリトルデーモン。
あなたが応援してるのは誰？
このヨハネでしょ！　もっと
ヨハネの配信を見ていなさい！</t>
    <phoneticPr fontId="1" type="noConversion"/>
  </si>
  <si>
    <t>ふふん、ヨハネたちの方が
盛り上がって……ん？
あれいいわね、ヨハネの配信でも
やってみようかしら</t>
    <phoneticPr fontId="1" type="noConversion"/>
  </si>
  <si>
    <t>あともう少しだね！
マルはもうちょっと
ペースあげても
大丈夫ずら……！
このまま１位まで行くずら～！</t>
    <phoneticPr fontId="1" type="noConversion"/>
  </si>
  <si>
    <t>１位になっても、
気を抜いちゃだめずら！
マルもまだまだ頑張るから
応援よろしくお願いしますっ</t>
    <phoneticPr fontId="1" type="noConversion"/>
  </si>
  <si>
    <t>みんなの配信も
とっても楽しそうずら～
どんな工夫をしているのかな？</t>
    <phoneticPr fontId="1" type="noConversion"/>
  </si>
  <si>
    <t>他のチャンネルも
すごい勢いずら～！
勢いに飲まれないように
マルたちも、頑張るずら！</t>
    <phoneticPr fontId="1" type="noConversion"/>
  </si>
  <si>
    <t>他のみんなのチャンネルも、
すごく盛り上がってるね！
マルも負けてられないずら！</t>
    <phoneticPr fontId="1" type="noConversion"/>
  </si>
  <si>
    <t>１位が見えてきたからって
油断してないかしら～？
最後までノンストップで
行くわよー！</t>
    <phoneticPr fontId="1" type="noConversion"/>
  </si>
  <si>
    <t>曜ちゃんと衣装づくりしてると
とっても楽しいんだよ！
配信でみんなにも
参加してもらうのは…どうかな？</t>
    <phoneticPr fontId="1" type="noConversion"/>
  </si>
  <si>
    <t>今日はみんなとね　大好きな
スクールアイドルについて
語り合いたいと思いますっ！
……へっ！？
ルビィのことは
恥ずかしいからいいよう……！</t>
    <phoneticPr fontId="1" type="noConversion"/>
  </si>
  <si>
    <t>やっとここまで来れた……！
ふぇ……
……う、まだ泣いちゃダメだよね
最後まで、頑張る！</t>
    <phoneticPr fontId="1" type="noConversion"/>
  </si>
  <si>
    <t>他のチャンネルよりもいっぱい
みんなに楽しんでもらうために
ルビィ、頑張ります……！</t>
    <phoneticPr fontId="1" type="noConversion"/>
  </si>
  <si>
    <t>うゆ……
すごい勢い……
でも、ルビィだって
負けないもん！</t>
    <phoneticPr fontId="1" type="noConversion"/>
  </si>
  <si>
    <t>みんなのチャンネル、
とっても盛り上がってて
すごかったんだあ！
ルビィも見習わなくちゃ！</t>
    <phoneticPr fontId="1" type="noConversion"/>
  </si>
  <si>
    <t>ねえ
課題曲はチェックした？
あとであなたの感想
教えてくれると嬉しいな</t>
    <phoneticPr fontId="1" type="noConversion"/>
  </si>
  <si>
    <t>ねえねえ、今度ライブ衣装
どっちがいいかな？
こっちのカワイイ衣装と
ちょっとセクシーな衣装
なんだけど
どっちが似合う？</t>
    <phoneticPr fontId="1" type="noConversion"/>
  </si>
  <si>
    <t>見た人が一歩踏み出せる配信に
したいな
だから色んなことに挑戦して
みたいの</t>
    <phoneticPr fontId="1" type="noConversion"/>
  </si>
  <si>
    <t>やったぁ〜
みんなと一緒に
頑張ってこれたのが
何よりも嬉しいよ</t>
    <phoneticPr fontId="1" type="noConversion"/>
  </si>
  <si>
    <t>うう〜　かすみんが
1位になれないなんて……
けど可愛さでは
かすみんが１番ですからね！</t>
    <phoneticPr fontId="1" type="noConversion"/>
  </si>
  <si>
    <t>ぴこーん！
かすみんいい作戦を
思いつきました
にひひ……これで
みなさんより一歩リードです</t>
    <phoneticPr fontId="1" type="noConversion"/>
  </si>
  <si>
    <t>課題曲は
チェックしましたか〜？
挑戦したら
感想聞かせて下さいね</t>
    <phoneticPr fontId="1" type="noConversion"/>
  </si>
  <si>
    <t>エールは、合宿で手に入る
メガホンで送れますよ〜
かすみんを
たくさん応援して下さいね</t>
    <phoneticPr fontId="1" type="noConversion"/>
  </si>
  <si>
    <t>今日のエールは届いてるかな……
あ……あれれ？
届いてないなんておかしいですね
みなさ～ん、いまかすみんに
エールを送ると１番乗りですよ！</t>
    <phoneticPr fontId="1" type="noConversion"/>
  </si>
  <si>
    <t>今日はライブの感想を
聞いていきますよ！
かすみんの
ここがかわいかった、など
どんどん感想を下さいね〜</t>
    <phoneticPr fontId="1" type="noConversion"/>
  </si>
  <si>
    <t>みんなはかすみんに
どんな衣装を着て
配信してほしいですか？
やっぱりカワイイ系ですかね？
それともキレイ系？
どっちも似合っちゃう～</t>
    <phoneticPr fontId="1" type="noConversion"/>
  </si>
  <si>
    <t>にひひ……このコッペパンには
からしをいれてと
って、あわわわ
まだ配信中でした！
今のは忘れてください！</t>
    <phoneticPr fontId="1" type="noConversion"/>
  </si>
  <si>
    <t>みなさん
１位がみえてきましたよ！
この勢いで
追い抜いちゃいましょう</t>
    <phoneticPr fontId="1" type="noConversion"/>
  </si>
  <si>
    <t>お芝居では色んな役を
演じてみたいです！
みなさんは私に
どんな役を演じて欲しいですか？</t>
    <phoneticPr fontId="1" type="noConversion"/>
  </si>
  <si>
    <t>配信で朗読劇を
やろうと思ってるんです
みなさんは
どんなお話が聞きたいですか？</t>
    <phoneticPr fontId="1" type="noConversion"/>
  </si>
  <si>
    <t>先輩のことが……好きです
あ、すみません
お芝居の練習をしていまして
びっくりさせちゃいましたか？</t>
    <phoneticPr fontId="1" type="noConversion"/>
  </si>
  <si>
    <t>今日の配信
楽しみにしていたんです！
なんでか分かりますか？
......みなさんと
お話できるからですよ</t>
    <phoneticPr fontId="1" type="noConversion"/>
  </si>
  <si>
    <t>他のみんなのチャンネルも
賑わってるわね
遅れを取らないように
私についてきて
いい？</t>
    <phoneticPr fontId="1" type="noConversion"/>
  </si>
  <si>
    <t>他の子の配信が
賑わってるのをみると
少し妬けるわね
私の配信を見に来てくれた子は
一瞬で虜にしちゃうんだから</t>
    <phoneticPr fontId="1" type="noConversion"/>
  </si>
  <si>
    <t>ここまで全力で
ついてきてくれてありがとう
だけど最後まで
一緒に頑張るわよ、いいわね？</t>
    <phoneticPr fontId="1" type="noConversion"/>
  </si>
  <si>
    <t>今度のライブ衣装
どっちがいいかしら？
セクシーなのもいいけど
たまにはカワイイ衣装も
悪くないかも
キミはどっちがいいと思う？</t>
    <phoneticPr fontId="1" type="noConversion"/>
  </si>
  <si>
    <t>カメラの位置は
ここに直してと……
どう？　この方が私がよく
見えるでしょ？</t>
    <phoneticPr fontId="1" type="noConversion"/>
  </si>
  <si>
    <t>もしも〜し
ちゃんと聞こえているかしら？
聞こえてるようね
良かったわ
こういうのあんまり慣れてなくて</t>
    <phoneticPr fontId="1" type="noConversion"/>
  </si>
  <si>
    <t>配信を見てくれてる、みんなと
ハイタッチとかしたいなー
じゃあ画面に
向かって、ターッチ！</t>
    <phoneticPr fontId="1" type="noConversion"/>
  </si>
  <si>
    <t>今日はぬか漬けを作るよ！
美味しいぬか漬けを作るのに
ぬかみそはすっごく大事！
そこがミソ！なんちゃって～</t>
    <phoneticPr fontId="1" type="noConversion"/>
  </si>
  <si>
    <t>今日は、この間のライブの
感想聞かせて～～
みんな一緒に盛り上がって
超最高だった！</t>
    <phoneticPr fontId="1" type="noConversion"/>
  </si>
  <si>
    <t>課題曲はチェックした？
終わったら愛さんに
感想聞かせてね</t>
    <phoneticPr fontId="1" type="noConversion"/>
  </si>
  <si>
    <t>みんなの勢いすごいなー
愛さんも負けてらんないね
う～っ、燃えてきた～～！！</t>
    <phoneticPr fontId="1" type="noConversion"/>
  </si>
  <si>
    <t>盛り上がってる声が
ほかのチャンネルからも
聞こえるね
愛トモのみんな～！
愛さんたちも負けないくらい
盛り上がっていくぞー</t>
    <phoneticPr fontId="1" type="noConversion"/>
  </si>
  <si>
    <t>彼方ちゃん頑張ったし
みんなもすごく
頑張ってくれたもん
次こそは負けないよ～</t>
    <phoneticPr fontId="1" type="noConversion"/>
  </si>
  <si>
    <t>あと少し
一緒に頑張ろう
頑張ったあとのお昼寝は
最高なのだ～</t>
    <phoneticPr fontId="1" type="noConversion"/>
  </si>
  <si>
    <t>ね〜課題曲は
チェックした〜？
あとで彼方ちゃんに
感想聞かせてね〜</t>
    <phoneticPr fontId="1" type="noConversion"/>
  </si>
  <si>
    <t>エールは合宿で手に入る
メガホンで送れるよ〜
メガホンの応援だと
目が覚めそうだね〜</t>
    <phoneticPr fontId="1" type="noConversion"/>
  </si>
  <si>
    <t>みんなからもらうエール
すっごく楽しみなんだ～
彼方ちゃんがすやぴしている間に
どのくらい増えるかな……?</t>
    <phoneticPr fontId="1" type="noConversion"/>
  </si>
  <si>
    <t>今回の結果は悔しいですが、
とっても楽しかったです
次回に向けて燃えてきました！
次は負けませんよ</t>
    <phoneticPr fontId="1" type="noConversion"/>
  </si>
  <si>
    <t>みなさんのチャンネルも
盛り上がっていますが
一番盛り上がるのは
私たちのチャンネルです！</t>
    <phoneticPr fontId="1" type="noConversion"/>
  </si>
  <si>
    <t>他のチャンネルの勢いも
凄いですね！
私たちも負けていられません！</t>
    <phoneticPr fontId="1" type="noConversion"/>
  </si>
  <si>
    <t>みんなのおかげで
盛り上がってきました
でも、みんななら
まだいけますよね？</t>
    <phoneticPr fontId="1" type="noConversion"/>
  </si>
  <si>
    <t>おすすめのアニメが
知りたい、ですか？
！？　いいんですか？
今日の配信は
長くなっちゃいますよ！</t>
    <phoneticPr fontId="1" type="noConversion"/>
  </si>
  <si>
    <t>今日は楽しみにしていた
小説の発売日なんです！
読み終わったら感想を
語ってもいいですか！？</t>
    <phoneticPr fontId="1" type="noConversion"/>
  </si>
  <si>
    <t>みんなの応援はね、
とってもキラキラしてるの
だから
わたしもまだまだ頑張れちゃう！</t>
    <phoneticPr fontId="1" type="noConversion"/>
  </si>
  <si>
    <t>他のチャンネルの
勢いもすごいですね
どの様な工夫を
されているのでしょうか？</t>
    <phoneticPr fontId="1" type="noConversion"/>
  </si>
  <si>
    <t>皆さんにとって、この配信を
有意義な時間にしたいです
私にしてほしいことがあれば
どんどん教えてくださいね</t>
    <phoneticPr fontId="1" type="noConversion"/>
  </si>
  <si>
    <r>
      <t>みんなと頑張ってこれたから
1位になれたんだね
璃奈ちゃんボード
「にっこりん</t>
    </r>
    <r>
      <rPr>
        <sz val="11"/>
        <color theme="1"/>
        <rFont val="Segoe UI Symbol"/>
        <family val="3"/>
      </rPr>
      <t>♪</t>
    </r>
    <r>
      <rPr>
        <sz val="11"/>
        <color theme="1"/>
        <rFont val="Microsoft YaHei Light"/>
        <family val="2"/>
        <charset val="134"/>
      </rPr>
      <t>」</t>
    </r>
    <phoneticPr fontId="1" type="noConversion"/>
  </si>
  <si>
    <r>
      <t>ことりの配信にきてくれて_x000D_
ありがとう_x000D_
今日も一緒に楽しもうね</t>
    </r>
    <r>
      <rPr>
        <sz val="11"/>
        <color theme="1"/>
        <rFont val="等线"/>
        <family val="3"/>
        <charset val="128"/>
      </rPr>
      <t>♪</t>
    </r>
  </si>
  <si>
    <r>
      <t>配信にきてくれてありがとう</t>
    </r>
    <r>
      <rPr>
        <sz val="11"/>
        <color theme="1"/>
        <rFont val="等线"/>
        <family val="3"/>
        <charset val="128"/>
      </rPr>
      <t xml:space="preserve">♪_x000D_
</t>
    </r>
    <r>
      <rPr>
        <sz val="11"/>
        <color theme="1"/>
        <rFont val="Microsoft YaHei Light"/>
        <family val="2"/>
        <charset val="134"/>
      </rPr>
      <t>今日もたくさん楽しんでいってね</t>
    </r>
  </si>
  <si>
    <r>
      <t>にこの配信にきてくれて_x000D_
ありがとにこ</t>
    </r>
    <r>
      <rPr>
        <sz val="11"/>
        <color theme="1"/>
        <rFont val="等线"/>
        <family val="3"/>
        <charset val="129"/>
      </rPr>
      <t xml:space="preserve">♡_x000D_
</t>
    </r>
    <r>
      <rPr>
        <sz val="11"/>
        <color theme="1"/>
        <rFont val="Microsoft YaHei Light"/>
        <family val="2"/>
        <charset val="134"/>
      </rPr>
      <t>今日も元気ににっこにっこにー☆</t>
    </r>
  </si>
  <si>
    <r>
      <t>ふふっ……ヨハネの_x000D_
魅力でやられちゃってる_x000D_
リトルデーモンも可愛いわね</t>
    </r>
    <r>
      <rPr>
        <sz val="11"/>
        <color theme="1"/>
        <rFont val="等线"/>
        <family val="3"/>
        <charset val="128"/>
      </rPr>
      <t>♪</t>
    </r>
  </si>
  <si>
    <r>
      <t>みんなと一緒にいるこの時間は_x000D_
マルにとって、_x000D_
とっても大切な時間です</t>
    </r>
    <r>
      <rPr>
        <sz val="11"/>
        <color theme="1"/>
        <rFont val="等线"/>
        <family val="3"/>
        <charset val="128"/>
      </rPr>
      <t>♪</t>
    </r>
  </si>
  <si>
    <r>
      <t>画面越しでも、みんなの_x000D_
熱いハートを感じるわ！_x000D_
配信ってとっても楽しいのね～</t>
    </r>
    <r>
      <rPr>
        <sz val="11"/>
        <color theme="1"/>
        <rFont val="等线"/>
        <family val="3"/>
        <charset val="128"/>
      </rPr>
      <t>♪</t>
    </r>
  </si>
  <si>
    <r>
      <t>今日もルビィと、_x000D_
たくさんお話してくれると_x000D_
嬉しいです</t>
    </r>
    <r>
      <rPr>
        <sz val="11"/>
        <color theme="1"/>
        <rFont val="等线"/>
        <family val="3"/>
        <charset val="129"/>
      </rPr>
      <t>♡</t>
    </r>
  </si>
  <si>
    <r>
      <t>もしも～し
ちゃんと聞こえてるかなぁ？
良かった！
これでいっぱいお話できるね</t>
    </r>
    <r>
      <rPr>
        <sz val="11"/>
        <color theme="1"/>
        <rFont val="等线"/>
        <family val="3"/>
      </rPr>
      <t>♪</t>
    </r>
    <phoneticPr fontId="1" type="noConversion"/>
  </si>
  <si>
    <r>
      <t>かすみんは可愛く映ってますか？_x000D_
うんうん、そうですよね_x000D_
カワイイですよね</t>
    </r>
    <r>
      <rPr>
        <sz val="11"/>
        <color theme="1"/>
        <rFont val="等线"/>
        <family val="3"/>
        <charset val="128"/>
      </rPr>
      <t>♪</t>
    </r>
  </si>
  <si>
    <r>
      <t>ねえねえ、いいダジャレが_x000D_
あったら教えてね</t>
    </r>
    <r>
      <rPr>
        <sz val="11"/>
        <color theme="1"/>
        <rFont val="等线"/>
        <family val="3"/>
        <charset val="128"/>
      </rPr>
      <t>♪</t>
    </r>
  </si>
  <si>
    <r>
      <t>あ～あ～
わたしの声、聞こえてるかな？
……そっか！　よかった！
今日もいっぱいお喋りしようね</t>
    </r>
    <r>
      <rPr>
        <sz val="11"/>
        <color theme="1"/>
        <rFont val="等线"/>
        <family val="3"/>
      </rPr>
      <t>♪</t>
    </r>
    <phoneticPr fontId="1" type="noConversion"/>
  </si>
  <si>
    <r>
      <t>うふふ</t>
    </r>
    <r>
      <rPr>
        <sz val="11"/>
        <color theme="1"/>
        <rFont val="等线"/>
        <family val="3"/>
        <charset val="128"/>
      </rPr>
      <t xml:space="preserve">♪_x000D_
</t>
    </r>
    <r>
      <rPr>
        <sz val="11"/>
        <color theme="1"/>
        <rFont val="Microsoft YaHei Light"/>
        <family val="2"/>
        <charset val="134"/>
      </rPr>
      <t>皆さんの話を聞くのは楽しいです</t>
    </r>
  </si>
  <si>
    <r>
      <t>にこの可愛さの秘訣？
それは～……
ひ</t>
    </r>
    <r>
      <rPr>
        <sz val="11"/>
        <color theme="1"/>
        <rFont val="等线"/>
        <family val="3"/>
        <charset val="128"/>
      </rPr>
      <t>・</t>
    </r>
    <r>
      <rPr>
        <sz val="11"/>
        <color theme="1"/>
        <rFont val="Microsoft YaHei Light"/>
        <family val="2"/>
        <charset val="134"/>
      </rPr>
      <t>み</t>
    </r>
    <r>
      <rPr>
        <sz val="11"/>
        <color theme="1"/>
        <rFont val="等线"/>
        <family val="3"/>
        <charset val="128"/>
      </rPr>
      <t>・</t>
    </r>
    <r>
      <rPr>
        <sz val="11"/>
        <color theme="1"/>
        <rFont val="Microsoft YaHei Light"/>
        <family val="2"/>
        <charset val="134"/>
      </rPr>
      <t>つ！にこ</t>
    </r>
    <r>
      <rPr>
        <sz val="11"/>
        <color theme="1"/>
        <rFont val="等线"/>
        <family val="3"/>
      </rPr>
      <t>♡</t>
    </r>
    <phoneticPr fontId="1" type="noConversion"/>
  </si>
  <si>
    <r>
      <t>みんなに会えるから_x000D_
今日の配信楽しみにしてたの</t>
    </r>
    <r>
      <rPr>
        <sz val="11"/>
        <color theme="1"/>
        <rFont val="等线"/>
        <family val="3"/>
        <charset val="128"/>
      </rPr>
      <t>♪</t>
    </r>
  </si>
  <si>
    <r>
      <t>ふふ、今日の配信_x000D_
楽しみにしてたんだー_x000D_
みんなに会えて嬉しいよ</t>
    </r>
    <r>
      <rPr>
        <sz val="11"/>
        <color theme="1"/>
        <rFont val="等线"/>
        <family val="3"/>
        <charset val="128"/>
      </rPr>
      <t>♪</t>
    </r>
  </si>
  <si>
    <r>
      <t>ふふふっ</t>
    </r>
    <r>
      <rPr>
        <sz val="11"/>
        <color theme="1"/>
        <rFont val="等线"/>
        <family val="2"/>
      </rPr>
      <t xml:space="preserve">♪
</t>
    </r>
    <r>
      <rPr>
        <sz val="11"/>
        <color theme="1"/>
        <rFont val="Microsoft YaHei Light"/>
        <family val="2"/>
        <charset val="134"/>
      </rPr>
      <t>どのライブの衣装もヨハネに
とっても似合ってるでしょ？
次はどんな衣装を
リトルデーモンたちに
見せられるかしら…</t>
    </r>
    <phoneticPr fontId="1" type="noConversion"/>
  </si>
  <si>
    <r>
      <t>会いにきてくれてありがとうずら_x000D_
今日も楽しい配信にしようね</t>
    </r>
    <r>
      <rPr>
        <sz val="11"/>
        <color theme="1"/>
        <rFont val="等线"/>
        <family val="3"/>
        <charset val="128"/>
      </rPr>
      <t>♪</t>
    </r>
  </si>
  <si>
    <r>
      <t>チャオ～</t>
    </r>
    <r>
      <rPr>
        <sz val="11"/>
        <color theme="1"/>
        <rFont val="等线"/>
        <family val="3"/>
        <charset val="128"/>
      </rPr>
      <t xml:space="preserve">♪_x000D_
</t>
    </r>
    <r>
      <rPr>
        <sz val="11"/>
        <color theme="1"/>
        <rFont val="Microsoft YaHei Light"/>
        <family val="2"/>
        <charset val="134"/>
      </rPr>
      <t>今日もエキサイティングな_x000D_
配信にするわよー！</t>
    </r>
  </si>
  <si>
    <r>
      <t>今日も配信がんばルビィ！_x000D_
みんなが楽しめるように_x000D_
いっぱい考えてきたよ</t>
    </r>
    <r>
      <rPr>
        <sz val="11"/>
        <color theme="1"/>
        <rFont val="等线"/>
        <family val="3"/>
        <charset val="128"/>
      </rPr>
      <t>♪</t>
    </r>
  </si>
  <si>
    <r>
      <t>キミがいま夢中になってこと_x000D_
当ててあ</t>
    </r>
    <r>
      <rPr>
        <sz val="11"/>
        <color theme="1"/>
        <rFont val="等线"/>
        <family val="3"/>
        <charset val="128"/>
      </rPr>
      <t>・</t>
    </r>
    <r>
      <rPr>
        <sz val="11"/>
        <color theme="1"/>
        <rFont val="Microsoft YaHei Light"/>
        <family val="2"/>
        <charset val="134"/>
      </rPr>
      <t>げ</t>
    </r>
    <r>
      <rPr>
        <sz val="11"/>
        <color theme="1"/>
        <rFont val="等线"/>
        <family val="3"/>
        <charset val="128"/>
      </rPr>
      <t>・</t>
    </r>
    <r>
      <rPr>
        <sz val="11"/>
        <color theme="1"/>
        <rFont val="Microsoft YaHei Light"/>
        <family val="2"/>
        <charset val="134"/>
      </rPr>
      <t>る_x000D_
私でしょ？</t>
    </r>
  </si>
  <si>
    <r>
      <t>おかえりなさいませ、ご主人様</t>
    </r>
    <r>
      <rPr>
        <sz val="11"/>
        <color theme="1"/>
        <rFont val="等线"/>
        <family val="3"/>
        <charset val="129"/>
      </rPr>
      <t xml:space="preserve">♡_x000D_
</t>
    </r>
    <r>
      <rPr>
        <sz val="11"/>
        <color theme="1"/>
        <rFont val="Microsoft YaHei Light"/>
        <family val="2"/>
        <charset val="134"/>
      </rPr>
      <t>なんちゃって。えへへ……</t>
    </r>
    <r>
      <rPr>
        <sz val="11"/>
        <color theme="1"/>
        <rFont val="等线"/>
        <family val="3"/>
        <charset val="128"/>
      </rPr>
      <t>♪</t>
    </r>
  </si>
  <si>
    <r>
      <t>先ほど、
新しいトレーニングを
考えてみました！
みなさんからもらった
アドバイスも取り入れてみました
効果が楽しみです</t>
    </r>
    <r>
      <rPr>
        <sz val="11"/>
        <color theme="1"/>
        <rFont val="等线"/>
        <family val="2"/>
      </rPr>
      <t>♪</t>
    </r>
    <phoneticPr fontId="1" type="noConversion"/>
  </si>
  <si>
    <r>
      <t>ん？　ウチに占ってほしいん？
いいよ</t>
    </r>
    <r>
      <rPr>
        <sz val="11"/>
        <color theme="1"/>
        <rFont val="等线"/>
        <family val="2"/>
      </rPr>
      <t xml:space="preserve">♪
</t>
    </r>
    <r>
      <rPr>
        <sz val="11"/>
        <color theme="1"/>
        <rFont val="Microsoft YaHei Light"/>
        <family val="2"/>
        <charset val="134"/>
      </rPr>
      <t>今日の運勢は……出ました！
ふふっ
みんなに良いことが起きるって</t>
    </r>
    <r>
      <rPr>
        <sz val="11"/>
        <color theme="1"/>
        <rFont val="等线"/>
        <family val="2"/>
      </rPr>
      <t>♪</t>
    </r>
    <phoneticPr fontId="1" type="noConversion"/>
  </si>
  <si>
    <r>
      <t>来てくれて
ありがとう！
今日の配信も、とっても
楽しみにしてたんだ……</t>
    </r>
    <r>
      <rPr>
        <sz val="11"/>
        <color theme="1"/>
        <rFont val="等线"/>
        <family val="3"/>
      </rPr>
      <t>♪</t>
    </r>
    <phoneticPr fontId="1" type="noConversion"/>
  </si>
  <si>
    <r>
      <t>今日もみんなに会えて嬉しいわ！_x000D_
たくさんお話しするにこ</t>
    </r>
    <r>
      <rPr>
        <sz val="11"/>
        <color theme="1"/>
        <rFont val="等线"/>
        <family val="3"/>
        <charset val="128"/>
      </rPr>
      <t>♪</t>
    </r>
  </si>
  <si>
    <r>
      <t>みなさんは内浦の海を
見たことがありますか？
透き通ってキラキラと輝いて……
とっても綺麗なんですよ</t>
    </r>
    <r>
      <rPr>
        <sz val="11"/>
        <color theme="1"/>
        <rFont val="等线"/>
        <family val="3"/>
      </rPr>
      <t>♪</t>
    </r>
    <phoneticPr fontId="1" type="noConversion"/>
  </si>
  <si>
    <r>
      <t>なになに～？_x000D_
マリーのトリコになっちゃった？_x000D_
うふふっ、ありがと</t>
    </r>
    <r>
      <rPr>
        <sz val="11"/>
        <color theme="1"/>
        <rFont val="等线"/>
        <family val="3"/>
        <charset val="129"/>
      </rPr>
      <t>♡</t>
    </r>
  </si>
  <si>
    <r>
      <t>今日の配信も_x000D_
盛り上げていきますよー</t>
    </r>
    <r>
      <rPr>
        <sz val="11"/>
        <color theme="1"/>
        <rFont val="等线"/>
        <family val="3"/>
        <charset val="128"/>
      </rPr>
      <t>♪</t>
    </r>
  </si>
  <si>
    <r>
      <t>元気がないときは
私に任せてください</t>
    </r>
    <r>
      <rPr>
        <sz val="11"/>
        <color theme="1"/>
        <rFont val="等线"/>
        <family val="2"/>
      </rPr>
      <t xml:space="preserve">♪
</t>
    </r>
    <r>
      <rPr>
        <sz val="11"/>
        <color theme="1"/>
        <rFont val="Microsoft YaHei Light"/>
        <family val="2"/>
        <charset val="134"/>
      </rPr>
      <t>私のパワーで
みんなの嫌な気持ちを
吹き飛ばしちゃいます</t>
    </r>
    <phoneticPr fontId="1" type="noConversion"/>
  </si>
  <si>
    <r>
      <t>今日のご飯は私が作ったんですよ_x000D_
みなさんにも見てほしくて……_x000D_
写真も撮ってみたんです、ほら</t>
    </r>
    <r>
      <rPr>
        <sz val="11"/>
        <color theme="1"/>
        <rFont val="等线"/>
        <family val="3"/>
        <charset val="128"/>
      </rPr>
      <t>♪</t>
    </r>
  </si>
  <si>
    <r>
      <t>今日は天気がよかったから
お散歩も兼ねて
外を走って来たにゃ！
風を切りながら走るのって
気持ちいいんだにゃー</t>
    </r>
    <r>
      <rPr>
        <sz val="11"/>
        <color theme="1"/>
        <rFont val="等线"/>
        <family val="2"/>
      </rPr>
      <t>♪</t>
    </r>
    <phoneticPr fontId="1" type="noConversion"/>
  </si>
  <si>
    <r>
      <t>今日もいっぱい_x000D_
盛り上がってて嬉しい！_x000D_
みんなのおかげやね</t>
    </r>
    <r>
      <rPr>
        <sz val="11"/>
        <color theme="1"/>
        <rFont val="等线"/>
        <family val="3"/>
        <charset val="128"/>
      </rPr>
      <t>♪</t>
    </r>
  </si>
  <si>
    <r>
      <t>ちょっとずつ、みんなとの距離が_x000D_
近くなっているような気がして_x000D_
嬉しいな</t>
    </r>
    <r>
      <rPr>
        <sz val="11"/>
        <color theme="1"/>
        <rFont val="等线"/>
        <family val="3"/>
        <charset val="128"/>
      </rPr>
      <t>♪</t>
    </r>
  </si>
  <si>
    <r>
      <t>んー、この角度のにこはどう？_x000D_
この角度は？_x000D_
やぁん</t>
    </r>
    <r>
      <rPr>
        <sz val="11"/>
        <color theme="1"/>
        <rFont val="等线"/>
        <family val="3"/>
        <charset val="128"/>
      </rPr>
      <t>♪</t>
    </r>
    <r>
      <rPr>
        <sz val="11"/>
        <color theme="1"/>
        <rFont val="Microsoft YaHei Light"/>
        <family val="2"/>
        <charset val="134"/>
      </rPr>
      <t>　全部かわいい</t>
    </r>
    <r>
      <rPr>
        <sz val="11"/>
        <color theme="1"/>
        <rFont val="等线"/>
        <family val="3"/>
        <charset val="128"/>
      </rPr>
      <t>♪</t>
    </r>
  </si>
  <si>
    <r>
      <t>あはは、みんなと一緒だと_x000D_
笑顔になっちゃうよ</t>
    </r>
    <r>
      <rPr>
        <sz val="11"/>
        <color theme="1"/>
        <rFont val="等线"/>
        <family val="3"/>
        <charset val="128"/>
      </rPr>
      <t>♪</t>
    </r>
  </si>
  <si>
    <r>
      <t>みなさんとならとても素敵な_x000D_
配信になりますわ！_x000D_
宜しくお願いします</t>
    </r>
    <r>
      <rPr>
        <sz val="11"/>
        <color theme="1"/>
        <rFont val="等线"/>
        <family val="3"/>
        <charset val="128"/>
      </rPr>
      <t>♪</t>
    </r>
  </si>
  <si>
    <r>
      <t>マルの配信、みんなのおかげで_x000D_
すっごく盛り上がってるずら！_x000D_
いつもありがとう</t>
    </r>
    <r>
      <rPr>
        <sz val="11"/>
        <color theme="1"/>
        <rFont val="等线"/>
        <family val="3"/>
        <charset val="128"/>
      </rPr>
      <t>♪</t>
    </r>
  </si>
  <si>
    <r>
      <t>配信でみんなと話してると、
すっごくハッピーになれるの</t>
    </r>
    <r>
      <rPr>
        <sz val="11"/>
        <color theme="1"/>
        <rFont val="等线"/>
        <family val="2"/>
      </rPr>
      <t>♪</t>
    </r>
    <r>
      <rPr>
        <sz val="11"/>
        <color theme="1"/>
        <rFont val="Microsoft YaHei Light"/>
        <family val="2"/>
        <charset val="134"/>
      </rPr>
      <t xml:space="preserve">
これからもマリーとたくさん
お喋りしましょう</t>
    </r>
    <r>
      <rPr>
        <sz val="11"/>
        <color theme="1"/>
        <rFont val="等线"/>
        <family val="3"/>
      </rPr>
      <t>♡</t>
    </r>
    <phoneticPr fontId="1" type="noConversion"/>
  </si>
  <si>
    <r>
      <t>いつもありがとう</t>
    </r>
    <r>
      <rPr>
        <sz val="11"/>
        <color theme="1"/>
        <rFont val="等线"/>
        <family val="3"/>
        <charset val="128"/>
      </rPr>
      <t xml:space="preserve">♪_x000D_
</t>
    </r>
    <r>
      <rPr>
        <sz val="11"/>
        <color theme="1"/>
        <rFont val="Microsoft YaHei Light"/>
        <family val="2"/>
        <charset val="134"/>
      </rPr>
      <t>配信でもみんなに会えて、_x000D_
ルビィ幸せです！</t>
    </r>
  </si>
  <si>
    <r>
      <t>みなさん！　かすみんの
カワイイスクショが
撮れるチャンスですよ</t>
    </r>
    <r>
      <rPr>
        <sz val="11"/>
        <color theme="1"/>
        <rFont val="等线"/>
        <family val="3"/>
      </rPr>
      <t xml:space="preserve">♪
</t>
    </r>
    <r>
      <rPr>
        <sz val="11"/>
        <color theme="1"/>
        <rFont val="Microsoft YaHei Light"/>
        <family val="2"/>
        <charset val="134"/>
      </rPr>
      <t>カワイイかすみんを
たくさん撮って下さいね！</t>
    </r>
    <phoneticPr fontId="1" type="noConversion"/>
  </si>
  <si>
    <r>
      <t>日本のカルチャーにもっと
触れてみたいなって思ってるの
まずはね～、いま流行りの料理を
教えて貰えると嬉しいな</t>
    </r>
    <r>
      <rPr>
        <sz val="11"/>
        <color theme="1"/>
        <rFont val="等线"/>
        <family val="3"/>
      </rPr>
      <t>♪</t>
    </r>
    <phoneticPr fontId="1" type="noConversion"/>
  </si>
  <si>
    <r>
      <t>占いにも
いろんな種類があるんだよ
タロットや占星術……
この配信で、
ウチがいろんな占いを
教えてあげる</t>
    </r>
    <r>
      <rPr>
        <sz val="11"/>
        <color theme="1"/>
        <rFont val="等线"/>
        <family val="2"/>
      </rPr>
      <t>♪</t>
    </r>
    <phoneticPr fontId="1" type="noConversion"/>
  </si>
  <si>
    <r>
      <t>疲れたときには、ご飯！_x000D_
とっておきの炊き方を、_x000D_
みんなに紹介するね</t>
    </r>
    <r>
      <rPr>
        <sz val="11"/>
        <color theme="1"/>
        <rFont val="等线"/>
        <family val="3"/>
        <charset val="129"/>
      </rPr>
      <t>♡</t>
    </r>
  </si>
  <si>
    <r>
      <t>全宇宙を幸せにするような_x000D_
配信にしてみせるわ</t>
    </r>
    <r>
      <rPr>
        <sz val="11"/>
        <color theme="1"/>
        <rFont val="等线"/>
        <family val="3"/>
        <charset val="129"/>
      </rPr>
      <t>♡</t>
    </r>
  </si>
  <si>
    <r>
      <t>みなさんからのコメントは
配信中も配信後も見ていますわ
一緒に頑張ってくれている人が
たくさんいると感じられる
大切な場ですから</t>
    </r>
    <r>
      <rPr>
        <sz val="11"/>
        <color theme="1"/>
        <rFont val="等线"/>
        <family val="3"/>
      </rPr>
      <t>♪</t>
    </r>
    <phoneticPr fontId="1" type="noConversion"/>
  </si>
  <si>
    <r>
      <t>小さい頃から歌うのが_x000D_
大好きなんだ</t>
    </r>
    <r>
      <rPr>
        <sz val="11"/>
        <color theme="1"/>
        <rFont val="等线"/>
        <family val="3"/>
        <charset val="128"/>
      </rPr>
      <t xml:space="preserve">♪_x000D_
</t>
    </r>
    <r>
      <rPr>
        <sz val="11"/>
        <color theme="1"/>
        <rFont val="Microsoft YaHei Light"/>
        <family val="2"/>
        <charset val="134"/>
      </rPr>
      <t>配信でも歌ってみていいかな？</t>
    </r>
  </si>
  <si>
    <r>
      <t>もっとゴージャスな配信に
したいわね～……
そうだ！
ヘリコプターに乗って
配信してみようかしら</t>
    </r>
    <r>
      <rPr>
        <sz val="11"/>
        <color theme="1"/>
        <rFont val="等线"/>
        <family val="3"/>
      </rPr>
      <t>♪</t>
    </r>
    <phoneticPr fontId="1" type="noConversion"/>
  </si>
  <si>
    <r>
      <t>私もモーニング</t>
    </r>
    <r>
      <rPr>
        <sz val="11"/>
        <color theme="1"/>
        <rFont val="等线"/>
        <family val="2"/>
        <charset val="134"/>
      </rPr>
      <t>・</t>
    </r>
    <r>
      <rPr>
        <sz val="11"/>
        <color theme="1"/>
        <rFont val="Microsoft YaHei Light"/>
        <family val="2"/>
        <charset val="134"/>
      </rPr>
      <t>ルーティーンの
動画を撮ってみようかしら
でも朝は起きられないから
まずエマに起こして
もらわないとダメね……</t>
    </r>
    <phoneticPr fontId="1" type="noConversion"/>
  </si>
  <si>
    <r>
      <t>ダジャレ１００連発動画を
アップするだけで
もうあっぷあっぷだったよ
アップだけに</t>
    </r>
    <r>
      <rPr>
        <sz val="11"/>
        <color theme="1"/>
        <rFont val="等线"/>
        <family val="3"/>
      </rPr>
      <t>♪</t>
    </r>
    <phoneticPr fontId="1" type="noConversion"/>
  </si>
  <si>
    <r>
      <t>先日教えていただいた本を
読んでみましたよ。私が選ぶ物と
違うジャンルで新鮮でした！
歌詞にも活かせる気がします。
またおすすめの本を
教えてくださいね</t>
    </r>
    <r>
      <rPr>
        <sz val="11"/>
        <color theme="1"/>
        <rFont val="等线"/>
        <family val="2"/>
      </rPr>
      <t>♪</t>
    </r>
    <phoneticPr fontId="1" type="noConversion"/>
  </si>
  <si>
    <r>
      <t>この配信をみてくれてる、
みんなの運勢が
もっと良くなるように……
希パワー注入、
はーい、プシュッ</t>
    </r>
    <r>
      <rPr>
        <sz val="11"/>
        <color theme="1"/>
        <rFont val="等线"/>
        <family val="2"/>
      </rPr>
      <t>♡</t>
    </r>
    <phoneticPr fontId="1" type="noConversion"/>
  </si>
  <si>
    <r>
      <t>この前のライブは
楽しんでもらえた？
私は、みんなの声援を
すぐそばでに聞けて
とても幸せだったよ</t>
    </r>
    <r>
      <rPr>
        <sz val="11"/>
        <color theme="1"/>
        <rFont val="等线"/>
        <family val="3"/>
      </rPr>
      <t>♡</t>
    </r>
    <phoneticPr fontId="1" type="noConversion"/>
  </si>
  <si>
    <r>
      <t>キュートなにこに、
セクシーなにこ
いろんなにこを、
配信でみんなに見せていくわよ</t>
    </r>
    <r>
      <rPr>
        <sz val="11"/>
        <color theme="1"/>
        <rFont val="等线"/>
        <family val="3"/>
      </rPr>
      <t>♪</t>
    </r>
    <phoneticPr fontId="1" type="noConversion"/>
  </si>
  <si>
    <r>
      <t>ダイビングって楽しいよ</t>
    </r>
    <r>
      <rPr>
        <sz val="11"/>
        <color theme="1"/>
        <rFont val="等线"/>
        <family val="2"/>
      </rPr>
      <t>♪</t>
    </r>
    <r>
      <rPr>
        <sz val="11"/>
        <color theme="1"/>
        <rFont val="Microsoft YaHei Light"/>
        <family val="2"/>
        <charset val="134"/>
      </rPr>
      <t xml:space="preserve">
私の家、ダイビングショップを
やってるから、内浦に来たときは
寄って行ってよ</t>
    </r>
    <phoneticPr fontId="1" type="noConversion"/>
  </si>
  <si>
    <r>
      <t>ヨハネは配信経験もあるし、
完璧だけど……あなたがいれば
より高みにいける気がするわ
だからしっかりサポートするのよ
リトルデーモン</t>
    </r>
    <r>
      <rPr>
        <sz val="11"/>
        <color theme="1"/>
        <rFont val="等线"/>
        <family val="3"/>
      </rPr>
      <t>♪</t>
    </r>
    <phoneticPr fontId="1" type="noConversion"/>
  </si>
  <si>
    <r>
      <t>みんなにいろんな本を、
紹介したいんだ</t>
    </r>
    <r>
      <rPr>
        <sz val="11"/>
        <color theme="1"/>
        <rFont val="等线"/>
        <family val="2"/>
      </rPr>
      <t xml:space="preserve">♡
</t>
    </r>
    <r>
      <rPr>
        <sz val="11"/>
        <color theme="1"/>
        <rFont val="Microsoft YaHei Light"/>
        <family val="2"/>
        <charset val="134"/>
      </rPr>
      <t>だから、みんなが好きな
ジャンルを教えてほしいずら～！</t>
    </r>
    <phoneticPr fontId="1" type="noConversion"/>
  </si>
  <si>
    <r>
      <t>配信するときの衣装にも
こだわりたいわね～</t>
    </r>
    <r>
      <rPr>
        <sz val="11"/>
        <color theme="1"/>
        <rFont val="等线"/>
        <family val="2"/>
      </rPr>
      <t xml:space="preserve">♪
</t>
    </r>
    <r>
      <rPr>
        <sz val="11"/>
        <color theme="1"/>
        <rFont val="Microsoft YaHei Light"/>
        <family val="2"/>
        <charset val="134"/>
      </rPr>
      <t>とびっきりスペシャルな衣装
特注しちゃおうかしら！</t>
    </r>
    <phoneticPr fontId="1" type="noConversion"/>
  </si>
  <si>
    <r>
      <t>コメントを読んでいると、
みんなの表情まで
感じ取れちゃうんです！
うふふ</t>
    </r>
    <r>
      <rPr>
        <sz val="11"/>
        <color theme="1"/>
        <rFont val="等线"/>
        <family val="3"/>
      </rPr>
      <t>♪</t>
    </r>
    <r>
      <rPr>
        <sz val="11"/>
        <color theme="1"/>
        <rFont val="Microsoft YaHei Light"/>
        <family val="2"/>
        <charset val="134"/>
      </rPr>
      <t xml:space="preserve">
配信ってすっごく楽しいですね</t>
    </r>
    <r>
      <rPr>
        <sz val="11"/>
        <color theme="1"/>
        <rFont val="等线"/>
        <family val="3"/>
      </rPr>
      <t>♪</t>
    </r>
    <phoneticPr fontId="1" type="noConversion"/>
  </si>
  <si>
    <r>
      <t>この配信が、_x000D_
みんなの癒しになれば_x000D_
嬉しいなって思います</t>
    </r>
    <r>
      <rPr>
        <sz val="11"/>
        <color theme="1"/>
        <rFont val="等线"/>
        <family val="3"/>
        <charset val="128"/>
      </rPr>
      <t>♪</t>
    </r>
  </si>
  <si>
    <r>
      <t>今度パワースポット巡りの
配信をしようと思うんだ</t>
    </r>
    <r>
      <rPr>
        <sz val="11"/>
        <color theme="1"/>
        <rFont val="等线"/>
        <family val="2"/>
      </rPr>
      <t xml:space="preserve">♪
</t>
    </r>
    <r>
      <rPr>
        <sz val="11"/>
        <color theme="1"/>
        <rFont val="Microsoft YaHei Light"/>
        <family val="2"/>
        <charset val="134"/>
      </rPr>
      <t>みんなにも
スピリチュアルパワーの
おすそわけだよ</t>
    </r>
    <r>
      <rPr>
        <sz val="11"/>
        <color theme="1"/>
        <rFont val="等线"/>
        <family val="2"/>
      </rPr>
      <t>♡</t>
    </r>
    <phoneticPr fontId="1" type="noConversion"/>
  </si>
  <si>
    <r>
      <t>今度の配信で、一緒に
折り紙をしない？
実は結構得意なんだ</t>
    </r>
    <r>
      <rPr>
        <sz val="11"/>
        <color theme="1"/>
        <rFont val="等线"/>
        <family val="3"/>
      </rPr>
      <t xml:space="preserve">♪
</t>
    </r>
    <r>
      <rPr>
        <sz val="11"/>
        <color theme="1"/>
        <rFont val="Microsoft YaHei Light"/>
        <family val="2"/>
        <charset val="134"/>
      </rPr>
      <t>みんなで折り紙するの
楽しいだろうな～</t>
    </r>
    <r>
      <rPr>
        <sz val="11"/>
        <color theme="1"/>
        <rFont val="等线"/>
        <family val="3"/>
      </rPr>
      <t>♡</t>
    </r>
    <phoneticPr fontId="1" type="noConversion"/>
  </si>
  <si>
    <r>
      <t>この前のライブはどうだった？_x000D_
良かったら感想を_x000D_
聞かせてほしいずら</t>
    </r>
    <r>
      <rPr>
        <sz val="11"/>
        <color theme="1"/>
        <rFont val="等线"/>
        <family val="3"/>
        <charset val="129"/>
      </rPr>
      <t>♡</t>
    </r>
  </si>
  <si>
    <r>
      <t>画面越しでも、ぎゅ～～</t>
    </r>
    <r>
      <rPr>
        <sz val="11"/>
        <color theme="1"/>
        <rFont val="等线"/>
        <family val="3"/>
        <charset val="128"/>
      </rPr>
      <t xml:space="preserve">♪_x000D_
</t>
    </r>
    <r>
      <rPr>
        <sz val="11"/>
        <color theme="1"/>
        <rFont val="Microsoft YaHei Light"/>
        <family val="2"/>
        <charset val="134"/>
      </rPr>
      <t>大好きなみんなへ_x000D_
ハグしちゃうわ！</t>
    </r>
  </si>
  <si>
    <r>
      <t>今度のライブの衣装はすごいよ！
とーっても可愛いの</t>
    </r>
    <r>
      <rPr>
        <sz val="11"/>
        <color theme="1"/>
        <rFont val="等线"/>
        <family val="2"/>
      </rPr>
      <t xml:space="preserve">♡
</t>
    </r>
    <r>
      <rPr>
        <sz val="11"/>
        <color theme="1"/>
        <rFont val="Microsoft YaHei Light"/>
        <family val="2"/>
        <charset val="134"/>
      </rPr>
      <t>ち、ちょっとだけなら
みんなに見せても
いいかなあ……？</t>
    </r>
    <phoneticPr fontId="1" type="noConversion"/>
  </si>
  <si>
    <r>
      <t>ねえ、みてみて_x000D_
この前のライブの写真</t>
    </r>
    <r>
      <rPr>
        <sz val="11"/>
        <color theme="1"/>
        <rFont val="等线"/>
        <family val="3"/>
        <charset val="128"/>
      </rPr>
      <t xml:space="preserve">♪_x000D_
</t>
    </r>
    <r>
      <rPr>
        <sz val="11"/>
        <color theme="1"/>
        <rFont val="Microsoft YaHei Light"/>
        <family val="2"/>
        <charset val="134"/>
      </rPr>
      <t>みんな笑顔がキラキラしてるよね</t>
    </r>
  </si>
  <si>
    <r>
      <t>次のライブの衣装は
すごいですよっ！
私の思いを詰め込みました</t>
    </r>
    <r>
      <rPr>
        <sz val="11"/>
        <color theme="1"/>
        <rFont val="等线"/>
        <family val="3"/>
      </rPr>
      <t xml:space="preserve">♪
</t>
    </r>
    <r>
      <rPr>
        <sz val="11"/>
        <color theme="1"/>
        <rFont val="Microsoft YaHei Light"/>
        <family val="2"/>
        <charset val="134"/>
      </rPr>
      <t>あ～っ、早くみんなに
お披露目したいです！</t>
    </r>
    <phoneticPr fontId="1" type="noConversion"/>
  </si>
  <si>
    <r>
      <t>配信はどこにいても
見れるから良いよね
スイスの家族に見て貰えるのも
嬉しいの</t>
    </r>
    <r>
      <rPr>
        <sz val="11"/>
        <color theme="1"/>
        <rFont val="等线"/>
        <family val="3"/>
      </rPr>
      <t>♪</t>
    </r>
    <phoneticPr fontId="1" type="noConversion"/>
  </si>
  <si>
    <r>
      <t>カードがあなたに告げている……_x000D_
ウチにエールを送って、って</t>
    </r>
    <r>
      <rPr>
        <sz val="11"/>
        <color theme="1"/>
        <rFont val="等线"/>
        <family val="3"/>
        <charset val="128"/>
      </rPr>
      <t>♪</t>
    </r>
  </si>
  <si>
    <r>
      <t>あなたのエールがあると_x000D_
もっと力が出ると思うんだ</t>
    </r>
    <r>
      <rPr>
        <sz val="11"/>
        <color theme="1"/>
        <rFont val="等线"/>
        <family val="3"/>
        <charset val="128"/>
      </rPr>
      <t>♪</t>
    </r>
  </si>
  <si>
    <r>
      <t>あなたのエールが欲しいなぁ_x000D_
なんてね</t>
    </r>
    <r>
      <rPr>
        <sz val="11"/>
        <color theme="1"/>
        <rFont val="等线"/>
        <family val="3"/>
        <charset val="128"/>
      </rPr>
      <t>♪</t>
    </r>
  </si>
  <si>
    <r>
      <t>もう、焦らさないで_x000D_
エールはちゃんと送ってほしいわ_x000D_
そしたらご褒美をあ</t>
    </r>
    <r>
      <rPr>
        <sz val="11"/>
        <color theme="1"/>
        <rFont val="等线"/>
        <family val="3"/>
        <charset val="128"/>
      </rPr>
      <t>・</t>
    </r>
    <r>
      <rPr>
        <sz val="11"/>
        <color theme="1"/>
        <rFont val="Microsoft YaHei Light"/>
        <family val="2"/>
        <charset val="134"/>
      </rPr>
      <t>げ</t>
    </r>
    <r>
      <rPr>
        <sz val="11"/>
        <color theme="1"/>
        <rFont val="等线"/>
        <family val="3"/>
        <charset val="128"/>
      </rPr>
      <t>・</t>
    </r>
    <r>
      <rPr>
        <sz val="11"/>
        <color theme="1"/>
        <rFont val="Microsoft YaHei Light"/>
        <family val="2"/>
        <charset val="134"/>
      </rPr>
      <t>る</t>
    </r>
  </si>
  <si>
    <r>
      <t>合宿で手に入るメガホンで
いっぱいエールを送れるんよ
合宿でいっぱい
ゲットしておこうね</t>
    </r>
    <r>
      <rPr>
        <sz val="11"/>
        <color theme="1"/>
        <rFont val="等线"/>
        <family val="3"/>
      </rPr>
      <t>♪</t>
    </r>
    <phoneticPr fontId="1" type="noConversion"/>
  </si>
  <si>
    <r>
      <t>エールは、合宿で手に入る
メガホンで送れるよ
いっぱいエールを送ってくれたら
嬉しいなぁ</t>
    </r>
    <r>
      <rPr>
        <sz val="11"/>
        <color theme="1"/>
        <rFont val="等线"/>
        <family val="3"/>
      </rPr>
      <t>♪</t>
    </r>
    <phoneticPr fontId="1" type="noConversion"/>
  </si>
  <si>
    <r>
      <t>エールを送りたい時は
メガホンを使うのよ！
メガホンは合宿で手に入るわ
にこのために
たーくさん集めてきなさい</t>
    </r>
    <r>
      <rPr>
        <sz val="11"/>
        <color theme="1"/>
        <rFont val="等线"/>
        <family val="3"/>
      </rPr>
      <t>♪</t>
    </r>
    <phoneticPr fontId="1" type="noConversion"/>
  </si>
  <si>
    <r>
      <t>合宿で手に入るメガホンで_x000D_
エールをたくさん送れるよ_x000D_
応援してくれると嬉しいなぁ</t>
    </r>
    <r>
      <rPr>
        <sz val="11"/>
        <color theme="1"/>
        <rFont val="等线"/>
        <family val="3"/>
        <charset val="128"/>
      </rPr>
      <t>♪</t>
    </r>
  </si>
  <si>
    <r>
      <t>ヨハネにエールをしなさい</t>
    </r>
    <r>
      <rPr>
        <sz val="11"/>
        <color theme="1"/>
        <rFont val="等线"/>
        <family val="3"/>
        <charset val="128"/>
      </rPr>
      <t xml:space="preserve">♪_x000D_
</t>
    </r>
    <r>
      <rPr>
        <sz val="11"/>
        <color theme="1"/>
        <rFont val="Microsoft YaHei Light"/>
        <family val="2"/>
        <charset val="134"/>
      </rPr>
      <t>合宿でメガホンを見つければすぐ_x000D_
できるからやってみることね</t>
    </r>
  </si>
  <si>
    <r>
      <t>合宿で手に入るメガホンで
エールを送れるらしいわ
メガホンで応援って
情熱的でいいわよね～</t>
    </r>
    <r>
      <rPr>
        <sz val="11"/>
        <color theme="1"/>
        <rFont val="等线"/>
        <family val="3"/>
      </rPr>
      <t>♡</t>
    </r>
    <phoneticPr fontId="1" type="noConversion"/>
  </si>
  <si>
    <r>
      <t>エールは、合宿で手に入る_x000D_
メガホンで送れるよ</t>
    </r>
    <r>
      <rPr>
        <sz val="11"/>
        <color theme="1"/>
        <rFont val="等线"/>
        <family val="3"/>
        <charset val="128"/>
      </rPr>
      <t xml:space="preserve">♪_x000D_
</t>
    </r>
    <r>
      <rPr>
        <sz val="11"/>
        <color theme="1"/>
        <rFont val="Microsoft YaHei Light"/>
        <family val="2"/>
        <charset val="134"/>
      </rPr>
      <t>私のことをたくさん応援してね</t>
    </r>
  </si>
  <si>
    <r>
      <t>エールは、合宿で手に入る_x000D_
メガホンで送れるみたいだよ</t>
    </r>
    <r>
      <rPr>
        <sz val="11"/>
        <color theme="1"/>
        <rFont val="等线"/>
        <family val="3"/>
        <charset val="128"/>
      </rPr>
      <t>♪</t>
    </r>
  </si>
  <si>
    <r>
      <t>凛とずっと一緒にいてくれるけど_x000D_
課題曲はやったのかにゃ？_x000D_
やってなかったら一緒にやろ</t>
    </r>
    <r>
      <rPr>
        <sz val="11"/>
        <color theme="1"/>
        <rFont val="等线"/>
        <family val="3"/>
        <charset val="128"/>
      </rPr>
      <t>♪</t>
    </r>
  </si>
  <si>
    <r>
      <t>課題曲ってもう終わったっけ？_x000D_
まだなら付き合うよ</t>
    </r>
    <r>
      <rPr>
        <sz val="11"/>
        <color theme="1"/>
        <rFont val="等线"/>
        <family val="3"/>
        <charset val="128"/>
      </rPr>
      <t xml:space="preserve">♪_x000D_
</t>
    </r>
    <r>
      <rPr>
        <sz val="11"/>
        <color theme="1"/>
        <rFont val="Microsoft YaHei Light"/>
        <family val="2"/>
        <charset val="134"/>
      </rPr>
      <t>確認してみてね！</t>
    </r>
  </si>
  <si>
    <r>
      <t>課題曲のチェックは終わった？
ちゃーんと済ませておかないと、
マリーがお仕置き
しちゃうんだから</t>
    </r>
    <r>
      <rPr>
        <sz val="11"/>
        <color theme="1"/>
        <rFont val="等线"/>
        <family val="3"/>
      </rPr>
      <t>♪</t>
    </r>
    <phoneticPr fontId="1" type="noConversion"/>
  </si>
  <si>
    <r>
      <t>課題曲はもう見たかな～？_x000D_
みんな、チェックは忘れずにね</t>
    </r>
    <r>
      <rPr>
        <sz val="11"/>
        <color theme="1"/>
        <rFont val="等线"/>
        <family val="3"/>
        <charset val="128"/>
      </rPr>
      <t>♪</t>
    </r>
  </si>
  <si>
    <r>
      <t>一緒にライブにいきましょう</t>
    </r>
    <r>
      <rPr>
        <sz val="11"/>
        <color theme="1"/>
        <rFont val="等线"/>
        <family val="3"/>
        <charset val="128"/>
      </rPr>
      <t xml:space="preserve">♪_x000D_
</t>
    </r>
    <r>
      <rPr>
        <sz val="11"/>
        <color theme="1"/>
        <rFont val="Microsoft YaHei Light"/>
        <family val="2"/>
        <charset val="134"/>
      </rPr>
      <t>きっともっと_x000D_
仲良くなれるはずです</t>
    </r>
  </si>
  <si>
    <r>
      <t>ライブしよー！
もっともっとあなたと
仲良くなりたいから、
凛のライブ見て欲しいんだ</t>
    </r>
    <r>
      <rPr>
        <sz val="11"/>
        <color theme="1"/>
        <rFont val="等线"/>
        <family val="2"/>
      </rPr>
      <t>♪</t>
    </r>
    <phoneticPr fontId="1" type="noConversion"/>
  </si>
  <si>
    <r>
      <t>ライブに行きましょうよ。
最高のライブを見せてあげるわ</t>
    </r>
    <r>
      <rPr>
        <sz val="11"/>
        <color theme="1"/>
        <rFont val="等线"/>
        <family val="2"/>
      </rPr>
      <t xml:space="preserve">♪
</t>
    </r>
    <r>
      <rPr>
        <sz val="11"/>
        <color theme="1"/>
        <rFont val="Microsoft YaHei Light"/>
        <family val="2"/>
        <charset val="134"/>
      </rPr>
      <t>もちろん私のこと、
応援してくれるわよね？</t>
    </r>
    <phoneticPr fontId="1" type="noConversion"/>
  </si>
  <si>
    <r>
      <t>ライブに行こうよ_x000D_
頑張ったあとのご飯は_x000D_
格別なんだ</t>
    </r>
    <r>
      <rPr>
        <sz val="11"/>
        <color theme="1"/>
        <rFont val="等线"/>
        <family val="3"/>
        <charset val="128"/>
      </rPr>
      <t>♪</t>
    </r>
  </si>
  <si>
    <r>
      <t>いっちばんキュートな_x000D_
にこがみたいなら、_x000D_
いますぐライブに行くにこ</t>
    </r>
    <r>
      <rPr>
        <sz val="11"/>
        <color theme="1"/>
        <rFont val="等线"/>
        <family val="3"/>
        <charset val="129"/>
      </rPr>
      <t>♡</t>
    </r>
  </si>
  <si>
    <r>
      <t>早くライブにいきましょう</t>
    </r>
    <r>
      <rPr>
        <sz val="11"/>
        <color theme="1"/>
        <rFont val="等线"/>
        <family val="3"/>
        <charset val="128"/>
      </rPr>
      <t xml:space="preserve">♪_x000D_
</t>
    </r>
    <r>
      <rPr>
        <sz val="11"/>
        <color theme="1"/>
        <rFont val="Microsoft YaHei Light"/>
        <family val="2"/>
        <charset val="134"/>
      </rPr>
      <t>素敵な衣装を着て早く_x000D_
踊りたいのを我慢しているのです</t>
    </r>
  </si>
  <si>
    <r>
      <t>一緒にライブしよー！！_x000D_
みんなで頑張ったらきっと_x000D_
もっと仲良くなれるよ</t>
    </r>
    <r>
      <rPr>
        <sz val="11"/>
        <color theme="1"/>
        <rFont val="等线"/>
        <family val="3"/>
        <charset val="128"/>
      </rPr>
      <t>♪</t>
    </r>
  </si>
  <si>
    <r>
      <t>ヨハネにもっと近づきたいのなら_x000D_
共にライブをしなさい</t>
    </r>
    <r>
      <rPr>
        <sz val="11"/>
        <color theme="1"/>
        <rFont val="等线"/>
        <family val="3"/>
        <charset val="128"/>
      </rPr>
      <t>♪</t>
    </r>
    <r>
      <rPr>
        <sz val="11"/>
        <color theme="1"/>
        <rFont val="Microsoft YaHei Light"/>
        <family val="2"/>
        <charset val="134"/>
      </rPr>
      <t>　ま、_x000D_
言わなくてもするでしょうけど</t>
    </r>
  </si>
  <si>
    <r>
      <t>ねえ、一緒にライブに行かない？_x000D_
マル、今すっごく良いライブが_x000D_
できそうな気がするんだ</t>
    </r>
    <r>
      <rPr>
        <sz val="11"/>
        <color theme="1"/>
        <rFont val="等线"/>
        <family val="3"/>
        <charset val="128"/>
      </rPr>
      <t>♪</t>
    </r>
  </si>
  <si>
    <r>
      <t>私と一緒にライブをする時間だよ_x000D_
私の衣装はあなたが選んでね</t>
    </r>
    <r>
      <rPr>
        <sz val="11"/>
        <color theme="1"/>
        <rFont val="等线"/>
        <family val="3"/>
        <charset val="128"/>
      </rPr>
      <t>♪</t>
    </r>
  </si>
  <si>
    <r>
      <t>今日はね、みんなで踊って_x000D_
楽しめる曲を用意してきたよ！_x000D_
一緒にライブで盛り上がろう</t>
    </r>
    <r>
      <rPr>
        <sz val="11"/>
        <color theme="1"/>
        <rFont val="等线"/>
        <family val="3"/>
        <charset val="128"/>
      </rPr>
      <t>♪</t>
    </r>
  </si>
  <si>
    <r>
      <t>エールありがとう～_x000D_
あなたからエールもらえて_x000D_
嬉しいなぁ</t>
    </r>
    <r>
      <rPr>
        <sz val="11"/>
        <color theme="1"/>
        <rFont val="等线"/>
        <family val="3"/>
        <charset val="129"/>
      </rPr>
      <t>♡</t>
    </r>
  </si>
  <si>
    <r>
      <t>エールしてくれて、_x000D_
ありがとう</t>
    </r>
    <r>
      <rPr>
        <sz val="11"/>
        <color theme="1"/>
        <rFont val="等线"/>
        <family val="3"/>
        <charset val="128"/>
      </rPr>
      <t>♪</t>
    </r>
  </si>
  <si>
    <r>
      <t>なかなかのエールだったわ_x000D_
ありがと</t>
    </r>
    <r>
      <rPr>
        <sz val="11"/>
        <color theme="1"/>
        <rFont val="等线"/>
        <family val="3"/>
        <charset val="128"/>
      </rPr>
      <t>♪</t>
    </r>
  </si>
  <si>
    <r>
      <t>エールをくださりありがとう_x000D_
ございます</t>
    </r>
    <r>
      <rPr>
        <sz val="11"/>
        <color theme="1"/>
        <rFont val="等线"/>
        <family val="3"/>
        <charset val="128"/>
      </rPr>
      <t>♪</t>
    </r>
    <r>
      <rPr>
        <sz val="11"/>
        <color theme="1"/>
        <rFont val="Microsoft YaHei Light"/>
        <family val="2"/>
        <charset val="134"/>
      </rPr>
      <t>　あなたの応援に_x000D_
負けないよう頑張りますわ</t>
    </r>
  </si>
  <si>
    <r>
      <t>エールありがとう！_x000D_
100点満点花丸ずら</t>
    </r>
    <r>
      <rPr>
        <sz val="11"/>
        <color theme="1"/>
        <rFont val="等线"/>
        <family val="3"/>
        <charset val="128"/>
      </rPr>
      <t>♪</t>
    </r>
  </si>
  <si>
    <r>
      <t>あなたからのエール、_x000D_
ずっと待ってたのよ～！_x000D_
嬉しいわ、ありがとう</t>
    </r>
    <r>
      <rPr>
        <sz val="11"/>
        <color theme="1"/>
        <rFont val="等线"/>
        <family val="3"/>
        <charset val="129"/>
      </rPr>
      <t>♡</t>
    </r>
  </si>
  <si>
    <r>
      <t>えへへ、あなたからのエールが_x000D_
嬉しくて、きゅんとしちゃった</t>
    </r>
    <r>
      <rPr>
        <sz val="11"/>
        <color theme="1"/>
        <rFont val="等线"/>
        <family val="3"/>
        <charset val="129"/>
      </rPr>
      <t>♡</t>
    </r>
  </si>
  <si>
    <r>
      <t>ありがとう</t>
    </r>
    <r>
      <rPr>
        <sz val="11"/>
        <color theme="1"/>
        <rFont val="等线"/>
        <family val="3"/>
        <charset val="128"/>
      </rPr>
      <t xml:space="preserve">♪_x000D_
</t>
    </r>
    <r>
      <rPr>
        <sz val="11"/>
        <color theme="1"/>
        <rFont val="Microsoft YaHei Light"/>
        <family val="2"/>
        <charset val="134"/>
      </rPr>
      <t>あなたのエールで_x000D_
力が湧いてきたよ！</t>
    </r>
  </si>
  <si>
    <r>
      <t>エールありがとございますっ</t>
    </r>
    <r>
      <rPr>
        <sz val="11"/>
        <color theme="1"/>
        <rFont val="等线"/>
        <family val="3"/>
        <charset val="128"/>
      </rPr>
      <t xml:space="preserve">♪_x000D_
</t>
    </r>
    <r>
      <rPr>
        <sz val="11"/>
        <color theme="1"/>
        <rFont val="Microsoft YaHei Light"/>
        <family val="2"/>
        <charset val="134"/>
      </rPr>
      <t>かすみん元気が出てきました！</t>
    </r>
  </si>
  <si>
    <r>
      <t>愛さんエールを得る！_x000D_
なんつって</t>
    </r>
    <r>
      <rPr>
        <sz val="11"/>
        <color theme="1"/>
        <rFont val="等线"/>
        <family val="3"/>
        <charset val="128"/>
      </rPr>
      <t>♪</t>
    </r>
    <r>
      <rPr>
        <sz val="11"/>
        <color theme="1"/>
        <rFont val="Microsoft YaHei Light"/>
        <family val="2"/>
        <charset val="134"/>
      </rPr>
      <t>　ありがとう_x000D_
さらにテンアゲになったよ！</t>
    </r>
  </si>
  <si>
    <r>
      <t>エールありがとうございます！_x000D_
あなたの熱い思いが_x000D_
伝わってきました</t>
    </r>
    <r>
      <rPr>
        <sz val="11"/>
        <color theme="1"/>
        <rFont val="等线"/>
        <family val="3"/>
        <charset val="128"/>
      </rPr>
      <t>♪</t>
    </r>
  </si>
  <si>
    <r>
      <t>エールありがとう_x000D_
いっぱいパワーをもらえたよ～</t>
    </r>
    <r>
      <rPr>
        <sz val="11"/>
        <color theme="1"/>
        <rFont val="等线"/>
        <family val="3"/>
        <charset val="128"/>
      </rPr>
      <t>♪</t>
    </r>
  </si>
  <si>
    <r>
      <t>エールありがとうございます！_x000D_
とても心強いです</t>
    </r>
    <r>
      <rPr>
        <sz val="11"/>
        <color theme="1"/>
        <rFont val="等线"/>
        <family val="3"/>
        <charset val="128"/>
      </rPr>
      <t>♪</t>
    </r>
  </si>
  <si>
    <r>
      <t>エールしてくれてありがとう_x000D_
あなたの_x000D_
素敵なパワーを感じたよ</t>
    </r>
    <r>
      <rPr>
        <sz val="11"/>
        <color theme="1"/>
        <rFont val="等线"/>
        <family val="3"/>
        <charset val="128"/>
      </rPr>
      <t>♪</t>
    </r>
  </si>
  <si>
    <r>
      <t>あなたからのエール_x000D_
嬉しいなあ……</t>
    </r>
    <r>
      <rPr>
        <sz val="11"/>
        <color theme="1"/>
        <rFont val="等线"/>
        <family val="3"/>
        <charset val="128"/>
      </rPr>
      <t xml:space="preserve">♪_x000D_
</t>
    </r>
    <r>
      <rPr>
        <sz val="11"/>
        <color theme="1"/>
        <rFont val="Microsoft YaHei Light"/>
        <family val="2"/>
        <charset val="134"/>
      </rPr>
      <t>たくさん頑張れそう！</t>
    </r>
  </si>
  <si>
    <r>
      <t>エールありがとうにこ</t>
    </r>
    <r>
      <rPr>
        <sz val="11"/>
        <color theme="1"/>
        <rFont val="等线"/>
        <family val="3"/>
        <charset val="128"/>
      </rPr>
      <t xml:space="preserve">♪_x000D_
</t>
    </r>
    <r>
      <rPr>
        <sz val="11"/>
        <color theme="1"/>
        <rFont val="Microsoft YaHei Light"/>
        <family val="2"/>
        <charset val="134"/>
      </rPr>
      <t>感謝してるわ_x000D_
引き続きよろしくね</t>
    </r>
  </si>
  <si>
    <r>
      <t>エールありがとうずら～</t>
    </r>
    <r>
      <rPr>
        <sz val="11"/>
        <color theme="1"/>
        <rFont val="等线"/>
        <family val="3"/>
        <charset val="129"/>
      </rPr>
      <t xml:space="preserve">♡_x000D_
</t>
    </r>
    <r>
      <rPr>
        <sz val="11"/>
        <color theme="1"/>
        <rFont val="Microsoft YaHei Light"/>
        <family val="2"/>
        <charset val="134"/>
      </rPr>
      <t>期待に応えられるように、_x000D_
マルも精一杯頑張ります！</t>
    </r>
  </si>
  <si>
    <r>
      <t>サンキュー</t>
    </r>
    <r>
      <rPr>
        <sz val="11"/>
        <color theme="1"/>
        <rFont val="等线"/>
        <family val="3"/>
        <charset val="128"/>
      </rPr>
      <t xml:space="preserve">♪_x000D_
</t>
    </r>
    <r>
      <rPr>
        <sz val="11"/>
        <color theme="1"/>
        <rFont val="Microsoft YaHei Light"/>
        <family val="2"/>
        <charset val="134"/>
      </rPr>
      <t>あなたからエールを貰えて、_x000D_
マリーは元気ハツラツよ～</t>
    </r>
    <r>
      <rPr>
        <sz val="11"/>
        <color theme="1"/>
        <rFont val="等线"/>
        <family val="3"/>
        <charset val="129"/>
      </rPr>
      <t>♡</t>
    </r>
  </si>
  <si>
    <r>
      <t>エールをくれてありがとう！_x000D_
あなたのおかげで、_x000D_
もっともっと頑張れます</t>
    </r>
    <r>
      <rPr>
        <sz val="11"/>
        <color theme="1"/>
        <rFont val="等线"/>
        <family val="3"/>
        <charset val="129"/>
      </rPr>
      <t>♡</t>
    </r>
  </si>
  <si>
    <r>
      <t>エールありがとう</t>
    </r>
    <r>
      <rPr>
        <sz val="11"/>
        <color theme="1"/>
        <rFont val="等线"/>
        <family val="3"/>
        <charset val="128"/>
      </rPr>
      <t xml:space="preserve">♪_x000D_
</t>
    </r>
    <r>
      <rPr>
        <sz val="11"/>
        <color theme="1"/>
        <rFont val="Microsoft YaHei Light"/>
        <family val="2"/>
        <charset val="134"/>
      </rPr>
      <t>ガンバレ〜_x000D_
ふふ、次は私が応援する番だよ</t>
    </r>
  </si>
  <si>
    <r>
      <t>いいタイミングのエールです！_x000D_
う〜ん、合格っ</t>
    </r>
    <r>
      <rPr>
        <sz val="11"/>
        <color theme="1"/>
        <rFont val="等线"/>
        <family val="3"/>
        <charset val="128"/>
      </rPr>
      <t>♪</t>
    </r>
  </si>
  <si>
    <r>
      <t>すっごく心のこもったエールだね_x000D_
わたし、幸せ者だよ～</t>
    </r>
    <r>
      <rPr>
        <sz val="11"/>
        <color theme="1"/>
        <rFont val="等线"/>
        <family val="3"/>
        <charset val="128"/>
      </rPr>
      <t>♪</t>
    </r>
  </si>
  <si>
    <r>
      <t>エールもらえると_x000D_
力が湧いてくるんだ！_x000D_
あなたのおかげやね</t>
    </r>
    <r>
      <rPr>
        <sz val="11"/>
        <color theme="1"/>
        <rFont val="等线"/>
        <family val="3"/>
        <charset val="129"/>
      </rPr>
      <t>♡</t>
    </r>
  </si>
  <si>
    <r>
      <t>あなたからのエール欲しいなって_x000D_
思ってたの！_x000D_
えへへ、思いが通じたのかな</t>
    </r>
    <r>
      <rPr>
        <sz val="11"/>
        <color theme="1"/>
        <rFont val="等线"/>
        <family val="3"/>
        <charset val="129"/>
      </rPr>
      <t>♡</t>
    </r>
  </si>
  <si>
    <r>
      <t>すごくいいエールじゃない！_x000D_
褒めてあげるわ</t>
    </r>
    <r>
      <rPr>
        <sz val="11"/>
        <color theme="1"/>
        <rFont val="等线"/>
        <family val="3"/>
        <charset val="128"/>
      </rPr>
      <t>♪</t>
    </r>
  </si>
  <si>
    <r>
      <t>すっごく_x000D_
嬉しいタイミングのエールだよ_x000D_
キミは私の事分かってるね</t>
    </r>
    <r>
      <rPr>
        <sz val="11"/>
        <color theme="1"/>
        <rFont val="等线"/>
        <family val="3"/>
        <charset val="128"/>
      </rPr>
      <t>♪</t>
    </r>
  </si>
  <si>
    <r>
      <t>あなたからのエール、_x000D_
ずっと待ってたんだよ_x000D_
ありがとう</t>
    </r>
    <r>
      <rPr>
        <sz val="11"/>
        <color theme="1"/>
        <rFont val="等线"/>
        <family val="3"/>
        <charset val="129"/>
      </rPr>
      <t>♡</t>
    </r>
  </si>
  <si>
    <r>
      <t>ブラーヴォ</t>
    </r>
    <r>
      <rPr>
        <sz val="11"/>
        <color theme="1"/>
        <rFont val="等线"/>
        <family val="3"/>
        <charset val="128"/>
      </rPr>
      <t xml:space="preserve">♪_x000D_
</t>
    </r>
    <r>
      <rPr>
        <sz val="11"/>
        <color theme="1"/>
        <rFont val="Microsoft YaHei Light"/>
        <family val="2"/>
        <charset val="134"/>
      </rPr>
      <t>今のエール、すっごく_x000D_
パッションがあったわね！</t>
    </r>
  </si>
  <si>
    <r>
      <t>えへへ……_x000D_
あなたからのエール嬉しいなあ_x000D_
ありがとう</t>
    </r>
    <r>
      <rPr>
        <sz val="11"/>
        <color theme="1"/>
        <rFont val="等线"/>
        <family val="3"/>
        <charset val="129"/>
      </rPr>
      <t>♡</t>
    </r>
  </si>
  <si>
    <r>
      <t>とっても力強いエールですね！_x000D_
私も力がみなぎってきました</t>
    </r>
    <r>
      <rPr>
        <sz val="11"/>
        <color theme="1"/>
        <rFont val="等线"/>
        <family val="3"/>
        <charset val="128"/>
      </rPr>
      <t>♪</t>
    </r>
  </si>
  <si>
    <r>
      <t>ここからやね</t>
    </r>
    <r>
      <rPr>
        <sz val="11"/>
        <color theme="1"/>
        <rFont val="等线"/>
        <family val="3"/>
        <charset val="128"/>
      </rPr>
      <t xml:space="preserve">♪_x000D_
</t>
    </r>
    <r>
      <rPr>
        <sz val="11"/>
        <color theme="1"/>
        <rFont val="Microsoft YaHei Light"/>
        <family val="2"/>
        <charset val="134"/>
      </rPr>
      <t>一緒に盛りあげていこう！</t>
    </r>
  </si>
  <si>
    <r>
      <t>ちょっとずつでも大丈夫だよ_x000D_
私たちのペースでいこう</t>
    </r>
    <r>
      <rPr>
        <sz val="11"/>
        <color theme="1"/>
        <rFont val="等线"/>
        <family val="3"/>
        <charset val="128"/>
      </rPr>
      <t>♪</t>
    </r>
  </si>
  <si>
    <r>
      <t>目指すは１位のみよ！_x000D_
にこと一緒に頑張りましょ</t>
    </r>
    <r>
      <rPr>
        <sz val="11"/>
        <color theme="1"/>
        <rFont val="等线"/>
        <family val="3"/>
        <charset val="128"/>
      </rPr>
      <t>♪</t>
    </r>
  </si>
  <si>
    <r>
      <t>みんなー_x000D_
応援よろしくね</t>
    </r>
    <r>
      <rPr>
        <sz val="11"/>
        <color theme="1"/>
        <rFont val="等线"/>
        <family val="3"/>
        <charset val="128"/>
      </rPr>
      <t>♪</t>
    </r>
  </si>
  <si>
    <r>
      <t>急がば回れ、って言うずら_x000D_
こんな時は、焦らないで少しずつ_x000D_
頑張っていこうね</t>
    </r>
    <r>
      <rPr>
        <sz val="11"/>
        <color theme="1"/>
        <rFont val="等线"/>
        <family val="3"/>
        <charset val="128"/>
      </rPr>
      <t>♪</t>
    </r>
  </si>
  <si>
    <r>
      <t>ドントウォーリー</t>
    </r>
    <r>
      <rPr>
        <sz val="11"/>
        <color theme="1"/>
        <rFont val="等线"/>
        <family val="3"/>
        <charset val="128"/>
      </rPr>
      <t xml:space="preserve">♪_x000D_
</t>
    </r>
    <r>
      <rPr>
        <sz val="11"/>
        <color theme="1"/>
        <rFont val="Microsoft YaHei Light"/>
        <family val="2"/>
        <charset val="134"/>
      </rPr>
      <t>まだまだこれからよ_x000D_
焦らなーい焦らない</t>
    </r>
    <r>
      <rPr>
        <sz val="11"/>
        <color theme="1"/>
        <rFont val="等线"/>
        <family val="3"/>
        <charset val="128"/>
      </rPr>
      <t>♪</t>
    </r>
  </si>
  <si>
    <r>
      <t>焦らなくても大丈夫だよ_x000D_
ここからもわたしたちのペースで_x000D_
頑張っていこうね</t>
    </r>
    <r>
      <rPr>
        <sz val="11"/>
        <color theme="1"/>
        <rFont val="等线"/>
        <family val="3"/>
        <charset val="128"/>
      </rPr>
      <t>♪</t>
    </r>
  </si>
  <si>
    <r>
      <t>ことりと一緒に頑張ろうね</t>
    </r>
    <r>
      <rPr>
        <sz val="11"/>
        <color theme="1"/>
        <rFont val="等线"/>
        <family val="3"/>
        <charset val="129"/>
      </rPr>
      <t>♡</t>
    </r>
  </si>
  <si>
    <r>
      <t>みんなと一緒なら１位も_x000D_
夢じゃないにゃ！_x000D_
凛と一緒にがんばろ</t>
    </r>
    <r>
      <rPr>
        <sz val="11"/>
        <color theme="1"/>
        <rFont val="等线"/>
        <family val="3"/>
        <charset val="128"/>
      </rPr>
      <t>♪</t>
    </r>
  </si>
  <si>
    <r>
      <t>ウチはまだまだいけるよ？_x000D_
みんな応援よろしく</t>
    </r>
    <r>
      <rPr>
        <sz val="11"/>
        <color theme="1"/>
        <rFont val="等线"/>
        <family val="3"/>
        <charset val="128"/>
      </rPr>
      <t>♪</t>
    </r>
  </si>
  <si>
    <r>
      <t>まだまだこれからだね</t>
    </r>
    <r>
      <rPr>
        <sz val="11"/>
        <color theme="1"/>
        <rFont val="等线"/>
        <family val="3"/>
        <charset val="128"/>
      </rPr>
      <t xml:space="preserve">♪_x000D_
</t>
    </r>
    <r>
      <rPr>
        <sz val="11"/>
        <color theme="1"/>
        <rFont val="Microsoft YaHei Light"/>
        <family val="2"/>
        <charset val="134"/>
      </rPr>
      <t>一緒に頑張っていこう！</t>
    </r>
  </si>
  <si>
    <r>
      <t>もっともっと頑張れるわ！_x000D_
応援よろしくにこ</t>
    </r>
    <r>
      <rPr>
        <sz val="11"/>
        <color theme="1"/>
        <rFont val="等线"/>
        <family val="3"/>
        <charset val="129"/>
      </rPr>
      <t>♡</t>
    </r>
  </si>
  <si>
    <r>
      <t>みんなと一緒なら_x000D_
もっと輝ける気がするんだ</t>
    </r>
    <r>
      <rPr>
        <sz val="11"/>
        <color theme="1"/>
        <rFont val="等线"/>
        <family val="3"/>
        <charset val="128"/>
      </rPr>
      <t>♪</t>
    </r>
  </si>
  <si>
    <r>
      <t>まだまだすごい盛り上げを_x000D_
見せちゃうわよ</t>
    </r>
    <r>
      <rPr>
        <sz val="11"/>
        <color theme="1"/>
        <rFont val="等线"/>
        <family val="3"/>
        <charset val="128"/>
      </rPr>
      <t xml:space="preserve">♪_x000D_
</t>
    </r>
    <r>
      <rPr>
        <sz val="11"/>
        <color theme="1"/>
        <rFont val="Microsoft YaHei Light"/>
        <family val="2"/>
        <charset val="134"/>
      </rPr>
      <t>マリーから目を離さないでね？</t>
    </r>
  </si>
  <si>
    <r>
      <t>『大好き』を伝えるために_x000D_
もっと頑張ります！_x000D_
応援よろしくお願いします</t>
    </r>
    <r>
      <rPr>
        <sz val="11"/>
        <color theme="1"/>
        <rFont val="等线"/>
        <family val="3"/>
        <charset val="128"/>
      </rPr>
      <t>♪</t>
    </r>
  </si>
  <si>
    <r>
      <t>まだまだこれからだよ_x000D_
みんなで一緒に頑張ろうね</t>
    </r>
    <r>
      <rPr>
        <sz val="11"/>
        <color theme="1"/>
        <rFont val="等线"/>
        <family val="3"/>
        <charset val="128"/>
      </rPr>
      <t>♪</t>
    </r>
  </si>
  <si>
    <r>
      <t>疲れてきたときは、_x000D_
ウチのパワーを注入してあげる！_x000D_
最後まで頑張ろうね</t>
    </r>
    <r>
      <rPr>
        <sz val="11"/>
        <color theme="1"/>
        <rFont val="等线"/>
        <family val="3"/>
        <charset val="128"/>
      </rPr>
      <t>♪</t>
    </r>
  </si>
  <si>
    <r>
      <t>疲れちゃいましたか？_x000D_
ご飯を食べて体力回復しよ</t>
    </r>
    <r>
      <rPr>
        <sz val="11"/>
        <color theme="1"/>
        <rFont val="等线"/>
        <family val="3"/>
        <charset val="128"/>
      </rPr>
      <t>♪</t>
    </r>
  </si>
  <si>
    <r>
      <t>にこに任せなさーいっ</t>
    </r>
    <r>
      <rPr>
        <sz val="11"/>
        <color theme="1"/>
        <rFont val="等线"/>
        <family val="3"/>
        <charset val="128"/>
      </rPr>
      <t xml:space="preserve">♪_x000D_
</t>
    </r>
    <r>
      <rPr>
        <sz val="11"/>
        <color theme="1"/>
        <rFont val="Microsoft YaHei Light"/>
        <family val="2"/>
        <charset val="134"/>
      </rPr>
      <t>みんなを引っ張っていくわ！</t>
    </r>
  </si>
  <si>
    <r>
      <t>みんなとなら_x000D_
もっと上を目指せるよ！_x000D_
一緒に頑張ろう</t>
    </r>
    <r>
      <rPr>
        <sz val="11"/>
        <color theme="1"/>
        <rFont val="等线"/>
        <family val="3"/>
        <charset val="128"/>
      </rPr>
      <t>♪</t>
    </r>
  </si>
  <si>
    <r>
      <t>まだまだ_x000D_
応援してくれると嬉しいずら</t>
    </r>
    <r>
      <rPr>
        <sz val="11"/>
        <color theme="1"/>
        <rFont val="等线"/>
        <family val="3"/>
        <charset val="128"/>
      </rPr>
      <t>♪</t>
    </r>
  </si>
  <si>
    <r>
      <t>まだまだこれからよ～！_x000D_
みんな応援よろしくね</t>
    </r>
    <r>
      <rPr>
        <sz val="11"/>
        <color theme="1"/>
        <rFont val="等线"/>
        <family val="3"/>
        <charset val="128"/>
      </rPr>
      <t>♪</t>
    </r>
  </si>
  <si>
    <r>
      <t>いっぱい応援してくれると_x000D_
嬉しいです</t>
    </r>
    <r>
      <rPr>
        <sz val="11"/>
        <color theme="1"/>
        <rFont val="等线"/>
        <family val="3"/>
        <charset val="128"/>
      </rPr>
      <t>♪</t>
    </r>
  </si>
  <si>
    <r>
      <t>みんなとなら、もっと高みを_x000D_
目指せると思うんです</t>
    </r>
    <r>
      <rPr>
        <sz val="11"/>
        <color theme="1"/>
        <rFont val="等线"/>
        <family val="3"/>
        <charset val="128"/>
      </rPr>
      <t xml:space="preserve">♪_x000D_
</t>
    </r>
    <r>
      <rPr>
        <sz val="11"/>
        <color theme="1"/>
        <rFont val="Microsoft YaHei Light"/>
        <family val="2"/>
        <charset val="134"/>
      </rPr>
      <t>一緒に頑張りましょうね！</t>
    </r>
  </si>
  <si>
    <r>
      <t>みんながいっぱい笑顔に_x000D_
なれるように頑張るね_x000D_
応援よろしくお願いします</t>
    </r>
    <r>
      <rPr>
        <sz val="11"/>
        <color theme="1"/>
        <rFont val="等线"/>
        <family val="3"/>
        <charset val="128"/>
      </rPr>
      <t>♪</t>
    </r>
  </si>
  <si>
    <r>
      <t>いつも応援ありがとー</t>
    </r>
    <r>
      <rPr>
        <sz val="11"/>
        <color theme="1"/>
        <rFont val="等线"/>
        <family val="3"/>
        <charset val="129"/>
      </rPr>
      <t xml:space="preserve">♡_x000D_
</t>
    </r>
    <r>
      <rPr>
        <sz val="11"/>
        <color theme="1"/>
        <rFont val="Microsoft YaHei Light"/>
        <family val="2"/>
        <charset val="134"/>
      </rPr>
      <t>ことりと一緒に頑張ろうね</t>
    </r>
  </si>
  <si>
    <r>
      <t>応援してくださって嬉しいです</t>
    </r>
    <r>
      <rPr>
        <sz val="11"/>
        <color theme="1"/>
        <rFont val="等线"/>
        <family val="3"/>
        <charset val="128"/>
      </rPr>
      <t xml:space="preserve">♪_x000D_
</t>
    </r>
    <r>
      <rPr>
        <sz val="11"/>
        <color theme="1"/>
        <rFont val="Microsoft YaHei Light"/>
        <family val="2"/>
        <charset val="134"/>
      </rPr>
      <t>これからもよろしくお願いします</t>
    </r>
  </si>
  <si>
    <r>
      <t>私はまだまだ頑張るよっ_x000D_
応援してくれると嬉しいな</t>
    </r>
    <r>
      <rPr>
        <sz val="11"/>
        <color theme="1"/>
        <rFont val="等线"/>
        <family val="3"/>
        <charset val="128"/>
      </rPr>
      <t>♪</t>
    </r>
  </si>
  <si>
    <r>
      <t>まだまだこれからよ！
大銀河宇宙
ナンバーワンアイドルの実力
みせてあげるわ</t>
    </r>
    <r>
      <rPr>
        <sz val="11"/>
        <color theme="1"/>
        <rFont val="等线"/>
        <family val="3"/>
      </rPr>
      <t>♪</t>
    </r>
    <phoneticPr fontId="1" type="noConversion"/>
  </si>
  <si>
    <r>
      <t>一緒に最後まで_x000D_
楽しんでいこうね</t>
    </r>
    <r>
      <rPr>
        <sz val="11"/>
        <color theme="1"/>
        <rFont val="等线"/>
        <family val="3"/>
        <charset val="128"/>
      </rPr>
      <t>♪</t>
    </r>
  </si>
  <si>
    <r>
      <t>いつもありがとうございます。_x000D_
引き続き、応援を_x000D_
よろしくお願いいたしますわ</t>
    </r>
    <r>
      <rPr>
        <sz val="11"/>
        <color theme="1"/>
        <rFont val="等线"/>
        <family val="3"/>
        <charset val="128"/>
      </rPr>
      <t>♪</t>
    </r>
  </si>
  <si>
    <r>
      <t>リトルデーモンからの応援は_x000D_
心地いいわ……これからも_x000D_
ヨハネだけを応援しなさい</t>
    </r>
    <r>
      <rPr>
        <sz val="11"/>
        <color theme="1"/>
        <rFont val="等线"/>
        <family val="3"/>
        <charset val="128"/>
      </rPr>
      <t>♪</t>
    </r>
  </si>
  <si>
    <r>
      <t>マルたちのペースで_x000D_
頑張っていこうね</t>
    </r>
    <r>
      <rPr>
        <sz val="11"/>
        <color theme="1"/>
        <rFont val="等线"/>
        <family val="3"/>
        <charset val="128"/>
      </rPr>
      <t>♪</t>
    </r>
  </si>
  <si>
    <r>
      <t>みんなのパワフルな応援が_x000D_
効いてきたわ！_x000D_
まだまだ頑張れるわよ～</t>
    </r>
    <r>
      <rPr>
        <sz val="11"/>
        <color theme="1"/>
        <rFont val="等线"/>
        <family val="3"/>
        <charset val="128"/>
      </rPr>
      <t>♪</t>
    </r>
  </si>
  <si>
    <r>
      <t>大変だけど、みんなと一緒に_x000D_
頑張るのは楽しいね</t>
    </r>
    <r>
      <rPr>
        <sz val="11"/>
        <color theme="1"/>
        <rFont val="等线"/>
        <family val="3"/>
        <charset val="128"/>
      </rPr>
      <t>♪</t>
    </r>
  </si>
  <si>
    <r>
      <t>私たちが力を_x000D_
合わせれば無敵です！_x000D_
みんなで頑張りましょう</t>
    </r>
    <r>
      <rPr>
        <sz val="11"/>
        <color theme="1"/>
        <rFont val="等线"/>
        <family val="3"/>
        <charset val="128"/>
      </rPr>
      <t>♪</t>
    </r>
  </si>
  <si>
    <r>
      <t>みんなの応援が_x000D_
あれば怖いものなしだよ</t>
    </r>
    <r>
      <rPr>
        <sz val="11"/>
        <color theme="1"/>
        <rFont val="等线"/>
        <family val="3"/>
        <charset val="128"/>
      </rPr>
      <t>♪</t>
    </r>
  </si>
  <si>
    <r>
      <t>みんなの応援のおかげで_x000D_
すごく盛り上がってきたなぁ</t>
    </r>
    <r>
      <rPr>
        <sz val="11"/>
        <color theme="1"/>
        <rFont val="等线"/>
        <family val="3"/>
        <charset val="129"/>
      </rPr>
      <t>♡</t>
    </r>
  </si>
  <si>
    <r>
      <t>いい盛り上がりね！_x000D_
どんどんいくにこ</t>
    </r>
    <r>
      <rPr>
        <sz val="11"/>
        <color theme="1"/>
        <rFont val="等线"/>
        <family val="3"/>
        <charset val="128"/>
      </rPr>
      <t>♪</t>
    </r>
  </si>
  <si>
    <r>
      <t>もうすぐ１位だよ！_x000D_
みんなの応援のおかげずら</t>
    </r>
    <r>
      <rPr>
        <sz val="11"/>
        <color theme="1"/>
        <rFont val="等线"/>
        <family val="3"/>
        <charset val="128"/>
      </rPr>
      <t xml:space="preserve">♪_x000D_
</t>
    </r>
    <r>
      <rPr>
        <sz val="11"/>
        <color theme="1"/>
        <rFont val="Microsoft YaHei Light"/>
        <family val="2"/>
        <charset val="134"/>
      </rPr>
      <t>最後まで頑張ろうね！</t>
    </r>
  </si>
  <si>
    <r>
      <t>マリーとみんなの力で_x000D_
すぐに1位に_x000D_
なっちゃうんだから</t>
    </r>
    <r>
      <rPr>
        <sz val="11"/>
        <color theme="1"/>
        <rFont val="等线"/>
        <family val="3"/>
        <charset val="128"/>
      </rPr>
      <t>♪</t>
    </r>
  </si>
  <si>
    <r>
      <t>盛り上がってきたね！_x000D_
応援してくれるみんなのために_x000D_
最後までがんばルビィ</t>
    </r>
    <r>
      <rPr>
        <sz val="11"/>
        <color theme="1"/>
        <rFont val="等线"/>
        <family val="3"/>
        <charset val="128"/>
      </rPr>
      <t>♪</t>
    </r>
  </si>
  <si>
    <r>
      <t>最後まで頑張れるように
かすみんが
魔法をかけてあげますっ
それ〜
これで元気いっぱいのはずです</t>
    </r>
    <r>
      <rPr>
        <sz val="11"/>
        <color theme="1"/>
        <rFont val="等线"/>
        <family val="3"/>
      </rPr>
      <t>♪</t>
    </r>
    <phoneticPr fontId="1" type="noConversion"/>
  </si>
  <si>
    <r>
      <t>みんなのおかげで_x000D_
盛り上がってきたよ！_x000D_
この調子で頑張っていこう</t>
    </r>
    <r>
      <rPr>
        <sz val="11"/>
        <color theme="1"/>
        <rFont val="等线"/>
        <family val="3"/>
        <charset val="128"/>
      </rPr>
      <t>♪</t>
    </r>
  </si>
  <si>
    <r>
      <t>１位まであともう少しやね_x000D_
どんどんいくよ～</t>
    </r>
    <r>
      <rPr>
        <sz val="11"/>
        <color theme="1"/>
        <rFont val="等线"/>
        <family val="3"/>
        <charset val="128"/>
      </rPr>
      <t>♪</t>
    </r>
  </si>
  <si>
    <r>
      <t>いい調子ですっ</t>
    </r>
    <r>
      <rPr>
        <sz val="11"/>
        <color theme="1"/>
        <rFont val="等线"/>
        <family val="3"/>
        <charset val="128"/>
      </rPr>
      <t xml:space="preserve">♪_x000D_
</t>
    </r>
    <r>
      <rPr>
        <sz val="11"/>
        <color theme="1"/>
        <rFont val="Microsoft YaHei Light"/>
        <family val="2"/>
        <charset val="134"/>
      </rPr>
      <t>みんなで１位を目指しましょう！</t>
    </r>
  </si>
  <si>
    <r>
      <t>調子が出てきたね</t>
    </r>
    <r>
      <rPr>
        <sz val="11"/>
        <color theme="1"/>
        <rFont val="等线"/>
        <family val="3"/>
        <charset val="128"/>
      </rPr>
      <t xml:space="preserve">♪_x000D_
</t>
    </r>
    <r>
      <rPr>
        <sz val="11"/>
        <color theme="1"/>
        <rFont val="Microsoft YaHei Light"/>
        <family val="2"/>
        <charset val="134"/>
      </rPr>
      <t>このまま最後まで走り抜こう</t>
    </r>
  </si>
  <si>
    <r>
      <t>１位が見えてきたよ！_x000D_
この調子で頑張るずら</t>
    </r>
    <r>
      <rPr>
        <sz val="11"/>
        <color theme="1"/>
        <rFont val="等线"/>
        <family val="3"/>
        <charset val="128"/>
      </rPr>
      <t>♪</t>
    </r>
  </si>
  <si>
    <r>
      <t>あと少しで１位になれそう！_x000D_
この調子でいくよお</t>
    </r>
    <r>
      <rPr>
        <sz val="11"/>
        <color theme="1"/>
        <rFont val="等线"/>
        <family val="3"/>
        <charset val="128"/>
      </rPr>
      <t>♪</t>
    </r>
  </si>
  <si>
    <r>
      <t>私はまだまだいけるよ</t>
    </r>
    <r>
      <rPr>
        <sz val="11"/>
        <color theme="1"/>
        <rFont val="等线"/>
        <family val="3"/>
        <charset val="128"/>
      </rPr>
      <t xml:space="preserve">♪_x000D_
</t>
    </r>
    <r>
      <rPr>
        <sz val="11"/>
        <color theme="1"/>
        <rFont val="Microsoft YaHei Light"/>
        <family val="2"/>
        <charset val="134"/>
      </rPr>
      <t>みんな応援よろしくね</t>
    </r>
  </si>
  <si>
    <r>
      <t>みんなあと少しだよ！_x000D_
最後まで応援よろしくね</t>
    </r>
    <r>
      <rPr>
        <sz val="11"/>
        <color theme="1"/>
        <rFont val="等线"/>
        <family val="3"/>
        <charset val="128"/>
      </rPr>
      <t>♪</t>
    </r>
  </si>
  <si>
    <r>
      <t>１位が見えてきたなぁ_x000D_
この調子でいくよ</t>
    </r>
    <r>
      <rPr>
        <sz val="11"/>
        <color theme="1"/>
        <rFont val="等线"/>
        <family val="3"/>
        <charset val="128"/>
      </rPr>
      <t>♪</t>
    </r>
  </si>
  <si>
    <r>
      <t>もうちょっとで１位だよ！_x000D_
この調子で頑張ろう</t>
    </r>
    <r>
      <rPr>
        <sz val="11"/>
        <color theme="1"/>
        <rFont val="等线"/>
        <family val="3"/>
        <charset val="128"/>
      </rPr>
      <t>♪</t>
    </r>
  </si>
  <si>
    <r>
      <t>にこは１位しか見えないっ！_x000D_
みんな、応援よろしくにこ</t>
    </r>
    <r>
      <rPr>
        <sz val="11"/>
        <color theme="1"/>
        <rFont val="等线"/>
        <family val="3"/>
        <charset val="128"/>
      </rPr>
      <t>♪</t>
    </r>
  </si>
  <si>
    <r>
      <t>絶好調やん</t>
    </r>
    <r>
      <rPr>
        <sz val="11"/>
        <color theme="1"/>
        <rFont val="等线"/>
        <family val="3"/>
        <charset val="128"/>
      </rPr>
      <t xml:space="preserve">♪_x000D_
</t>
    </r>
    <r>
      <rPr>
        <sz val="11"/>
        <color theme="1"/>
        <rFont val="Microsoft YaHei Light"/>
        <family val="2"/>
        <charset val="134"/>
      </rPr>
      <t>このまま最後まで頑張ろう！</t>
    </r>
  </si>
  <si>
    <r>
      <t>いい盛り上がりね～</t>
    </r>
    <r>
      <rPr>
        <sz val="11"/>
        <color theme="1"/>
        <rFont val="等线"/>
        <family val="3"/>
        <charset val="129"/>
      </rPr>
      <t xml:space="preserve">♡_x000D_
</t>
    </r>
    <r>
      <rPr>
        <sz val="11"/>
        <color theme="1"/>
        <rFont val="Microsoft YaHei Light"/>
        <family val="2"/>
        <charset val="134"/>
      </rPr>
      <t>１位間違いなしだわ</t>
    </r>
    <r>
      <rPr>
        <sz val="11"/>
        <color theme="1"/>
        <rFont val="等线"/>
        <family val="3"/>
        <charset val="128"/>
      </rPr>
      <t>♪</t>
    </r>
  </si>
  <si>
    <r>
      <t>みなさ〜ん、いい調子ですよっ</t>
    </r>
    <r>
      <rPr>
        <sz val="11"/>
        <color theme="1"/>
        <rFont val="等线"/>
        <family val="3"/>
        <charset val="128"/>
      </rPr>
      <t xml:space="preserve">♪_x000D_
</t>
    </r>
    <r>
      <rPr>
        <sz val="11"/>
        <color theme="1"/>
        <rFont val="Microsoft YaHei Light"/>
        <family val="2"/>
        <charset val="134"/>
      </rPr>
      <t>かすみんと最後まで_x000D_
一緒に頑張りましょう！</t>
    </r>
  </si>
  <si>
    <r>
      <t>調子いいみたい</t>
    </r>
    <r>
      <rPr>
        <sz val="11"/>
        <color theme="1"/>
        <rFont val="等线"/>
        <family val="3"/>
        <charset val="128"/>
      </rPr>
      <t xml:space="preserve">♪_x000D_
</t>
    </r>
    <r>
      <rPr>
        <sz val="11"/>
        <color theme="1"/>
        <rFont val="Microsoft YaHei Light"/>
        <family val="2"/>
        <charset val="134"/>
      </rPr>
      <t>最後まで私と一緒に頑張ろうね</t>
    </r>
  </si>
  <si>
    <r>
      <t>みんな、最後まで_x000D_
気を抜かずに頑張ろう_x000D_
ことりからのお願い</t>
    </r>
    <r>
      <rPr>
        <sz val="11"/>
        <color theme="1"/>
        <rFont val="等线"/>
        <family val="3"/>
        <charset val="128"/>
      </rPr>
      <t>♪</t>
    </r>
  </si>
  <si>
    <r>
      <t>みんなのおかげで_x000D_
ここまで来れたよ！_x000D_
最後までよろしくね</t>
    </r>
    <r>
      <rPr>
        <sz val="11"/>
        <color theme="1"/>
        <rFont val="等线"/>
        <family val="3"/>
        <charset val="128"/>
      </rPr>
      <t>♪</t>
    </r>
  </si>
  <si>
    <r>
      <t>頑張ってくれるみんなへ
にっこにっこにー</t>
    </r>
    <r>
      <rPr>
        <sz val="11"/>
        <color theme="1"/>
        <rFont val="等线"/>
        <family val="2"/>
      </rPr>
      <t xml:space="preserve">♡
</t>
    </r>
    <r>
      <rPr>
        <sz val="11"/>
        <color theme="1"/>
        <rFont val="Microsoft YaHei Light"/>
        <family val="2"/>
        <charset val="134"/>
      </rPr>
      <t>みんなで１位をめざすにこ！</t>
    </r>
    <phoneticPr fontId="1" type="noConversion"/>
  </si>
  <si>
    <r>
      <t>テンションマックスデース</t>
    </r>
    <r>
      <rPr>
        <sz val="11"/>
        <color theme="1"/>
        <rFont val="等线"/>
        <family val="3"/>
        <charset val="128"/>
      </rPr>
      <t xml:space="preserve">♪_x000D_
</t>
    </r>
    <r>
      <rPr>
        <sz val="11"/>
        <color theme="1"/>
        <rFont val="Microsoft YaHei Light"/>
        <family val="2"/>
        <charset val="134"/>
      </rPr>
      <t>このまま１位を死守するわー！</t>
    </r>
  </si>
  <si>
    <r>
      <t>ねえねえ、愛さんたち_x000D_
最高で最強だね</t>
    </r>
    <r>
      <rPr>
        <sz val="11"/>
        <color theme="1"/>
        <rFont val="等线"/>
        <family val="3"/>
        <charset val="128"/>
      </rPr>
      <t xml:space="preserve">♪_x000D_
</t>
    </r>
    <r>
      <rPr>
        <sz val="11"/>
        <color theme="1"/>
        <rFont val="Microsoft YaHei Light"/>
        <family val="2"/>
        <charset val="134"/>
      </rPr>
      <t>最後まで全力だー！</t>
    </r>
  </si>
  <si>
    <r>
      <t>みんなのパワーは無限大だね！_x000D_
このまま１位目指して_x000D_
頑張ろう～</t>
    </r>
    <r>
      <rPr>
        <sz val="11"/>
        <color theme="1"/>
        <rFont val="等线"/>
        <family val="3"/>
        <charset val="128"/>
      </rPr>
      <t>♪</t>
    </r>
  </si>
  <si>
    <r>
      <t>みんないい調子だよ</t>
    </r>
    <r>
      <rPr>
        <sz val="11"/>
        <color theme="1"/>
        <rFont val="等线"/>
        <family val="3"/>
        <charset val="128"/>
      </rPr>
      <t xml:space="preserve">♪_x000D_
</t>
    </r>
    <r>
      <rPr>
        <sz val="11"/>
        <color theme="1"/>
        <rFont val="Microsoft YaHei Light"/>
        <family val="2"/>
        <charset val="134"/>
      </rPr>
      <t>このまま１位になりたいね</t>
    </r>
  </si>
  <si>
    <r>
      <t>みんなと一緒なら１位になれる！_x000D_
これは、ウチのお告げ</t>
    </r>
    <r>
      <rPr>
        <sz val="11"/>
        <color theme="1"/>
        <rFont val="等线"/>
        <family val="3"/>
        <charset val="129"/>
      </rPr>
      <t>♡</t>
    </r>
  </si>
  <si>
    <r>
      <t>絶好調です</t>
    </r>
    <r>
      <rPr>
        <sz val="11"/>
        <color theme="1"/>
        <rFont val="等线"/>
        <family val="3"/>
        <charset val="128"/>
      </rPr>
      <t xml:space="preserve">♪_x000D_
</t>
    </r>
    <r>
      <rPr>
        <sz val="11"/>
        <color theme="1"/>
        <rFont val="Microsoft YaHei Light"/>
        <family val="2"/>
        <charset val="134"/>
      </rPr>
      <t>このまま１位も_x000D_
夢じゃないかも……！</t>
    </r>
  </si>
  <si>
    <r>
      <t>やるじゃない！　暫定１位よ！_x000D_
この調子で頑張るにこ</t>
    </r>
    <r>
      <rPr>
        <sz val="11"/>
        <color theme="1"/>
        <rFont val="等线"/>
        <family val="3"/>
        <charset val="128"/>
      </rPr>
      <t>♪</t>
    </r>
  </si>
  <si>
    <r>
      <t>この調子を落とさず、_x000D_
頑張りましょう！_x000D_
油断したらぶっぶーですわ</t>
    </r>
    <r>
      <rPr>
        <sz val="11"/>
        <color theme="1"/>
        <rFont val="等线"/>
        <family val="3"/>
        <charset val="128"/>
      </rPr>
      <t>♪</t>
    </r>
  </si>
  <si>
    <r>
      <t>すっごくいい感じだねっ</t>
    </r>
    <r>
      <rPr>
        <sz val="11"/>
        <color theme="1"/>
        <rFont val="等线"/>
        <family val="3"/>
        <charset val="128"/>
      </rPr>
      <t xml:space="preserve">♪_x000D_
</t>
    </r>
    <r>
      <rPr>
        <sz val="11"/>
        <color theme="1"/>
        <rFont val="Microsoft YaHei Light"/>
        <family val="2"/>
        <charset val="134"/>
      </rPr>
      <t>最後までがんばルビィ</t>
    </r>
    <r>
      <rPr>
        <sz val="11"/>
        <color theme="1"/>
        <rFont val="等线"/>
        <family val="3"/>
        <charset val="129"/>
      </rPr>
      <t>♡</t>
    </r>
  </si>
  <si>
    <r>
      <t>このまま最後まで_x000D_
1位をキープしよう</t>
    </r>
    <r>
      <rPr>
        <sz val="11"/>
        <color theme="1"/>
        <rFont val="等线"/>
        <family val="3"/>
        <charset val="128"/>
      </rPr>
      <t xml:space="preserve">♪_x000D_
</t>
    </r>
    <r>
      <rPr>
        <sz val="11"/>
        <color theme="1"/>
        <rFont val="Microsoft YaHei Light"/>
        <family val="2"/>
        <charset val="134"/>
      </rPr>
      <t>みんないっくよー！</t>
    </r>
  </si>
  <si>
    <r>
      <t>絶好調ですね</t>
    </r>
    <r>
      <rPr>
        <sz val="11"/>
        <color theme="1"/>
        <rFont val="等线"/>
        <family val="3"/>
        <charset val="128"/>
      </rPr>
      <t xml:space="preserve">♪_x000D_
</t>
    </r>
    <r>
      <rPr>
        <sz val="11"/>
        <color theme="1"/>
        <rFont val="Microsoft YaHei Light"/>
        <family val="2"/>
        <charset val="134"/>
      </rPr>
      <t>このまま最後までいきますよー！</t>
    </r>
  </si>
  <si>
    <r>
      <t>このまま１番を目指したいね</t>
    </r>
    <r>
      <rPr>
        <sz val="11"/>
        <color theme="1"/>
        <rFont val="等线"/>
        <family val="3"/>
        <charset val="128"/>
      </rPr>
      <t xml:space="preserve">♪_x000D_
</t>
    </r>
    <r>
      <rPr>
        <sz val="11"/>
        <color theme="1"/>
        <rFont val="Microsoft YaHei Light"/>
        <family val="2"/>
        <charset val="134"/>
      </rPr>
      <t>でも、無理はしちゃだめだよ？</t>
    </r>
  </si>
  <si>
    <r>
      <t>ウチのスピリチュアルパワーは_x000D_
どの配信にも負けないよ</t>
    </r>
    <r>
      <rPr>
        <sz val="11"/>
        <color theme="1"/>
        <rFont val="等线"/>
        <family val="3"/>
        <charset val="128"/>
      </rPr>
      <t>♪</t>
    </r>
  </si>
  <si>
    <r>
      <t>大銀河宇宙No.1アイドル_x000D_
にこの配信は_x000D_
誰よりもキュートで楽しいにこ</t>
    </r>
    <r>
      <rPr>
        <sz val="11"/>
        <color theme="1"/>
        <rFont val="等线"/>
        <family val="3"/>
        <charset val="129"/>
      </rPr>
      <t>♡</t>
    </r>
  </si>
  <si>
    <r>
      <t>みんなやるわね～_x000D_
けど、マリーのチャンネルが_x000D_
一番シャイニーよ</t>
    </r>
    <r>
      <rPr>
        <sz val="11"/>
        <color theme="1"/>
        <rFont val="等线"/>
        <family val="3"/>
        <charset val="128"/>
      </rPr>
      <t>♪</t>
    </r>
  </si>
  <si>
    <r>
      <t>他のみんなもすごいんだよ！_x000D_
見習わなくちゃ</t>
    </r>
    <r>
      <rPr>
        <sz val="11"/>
        <color theme="1"/>
        <rFont val="等线"/>
        <family val="3"/>
        <charset val="128"/>
      </rPr>
      <t>♪</t>
    </r>
  </si>
  <si>
    <r>
      <t>ほかの配信の様子はどうかな？_x000D_
ちょっと見にいこっかな</t>
    </r>
    <r>
      <rPr>
        <sz val="11"/>
        <color theme="1"/>
        <rFont val="等线"/>
        <family val="3"/>
        <charset val="128"/>
      </rPr>
      <t>♪</t>
    </r>
  </si>
  <si>
    <r>
      <t>ほかの配信も楽しそうだね</t>
    </r>
    <r>
      <rPr>
        <sz val="11"/>
        <color theme="1"/>
        <rFont val="等线"/>
        <family val="3"/>
        <charset val="128"/>
      </rPr>
      <t xml:space="preserve">♪_x000D_
</t>
    </r>
    <r>
      <rPr>
        <sz val="11"/>
        <color theme="1"/>
        <rFont val="Microsoft YaHei Light"/>
        <family val="2"/>
        <charset val="134"/>
      </rPr>
      <t>どんなことをしてるんだろう？_x000D_
気になる……！</t>
    </r>
  </si>
  <si>
    <r>
      <t>とってもエキサイティング</t>
    </r>
    <r>
      <rPr>
        <sz val="11"/>
        <color theme="1"/>
        <rFont val="等线"/>
        <family val="3"/>
        <charset val="128"/>
      </rPr>
      <t xml:space="preserve">♪_x000D_
</t>
    </r>
    <r>
      <rPr>
        <sz val="11"/>
        <color theme="1"/>
        <rFont val="Microsoft YaHei Light"/>
        <family val="2"/>
        <charset val="134"/>
      </rPr>
      <t>誰にも負けないわ～！</t>
    </r>
  </si>
  <si>
    <r>
      <t>誰よりもパワフルにいきますよ！_x000D_
まだまだ_x000D_
私についてきてくださいね</t>
    </r>
    <r>
      <rPr>
        <sz val="11"/>
        <color theme="1"/>
        <rFont val="等线"/>
        <family val="3"/>
        <charset val="128"/>
      </rPr>
      <t>♪</t>
    </r>
  </si>
  <si>
    <r>
      <t>みんなの勢いも凄いけど
わたしたちは
わたしたちらしく
マイペースに頑張っていこう～</t>
    </r>
    <r>
      <rPr>
        <sz val="11"/>
        <color theme="1"/>
        <rFont val="等线"/>
        <family val="3"/>
      </rPr>
      <t>♪</t>
    </r>
    <phoneticPr fontId="1" type="noConversion"/>
  </si>
  <si>
    <r>
      <t>他のみんなも楽しそうだね</t>
    </r>
    <r>
      <rPr>
        <sz val="11"/>
        <color theme="1"/>
        <rFont val="等线"/>
        <family val="3"/>
        <charset val="128"/>
      </rPr>
      <t xml:space="preserve">♪_x000D_
</t>
    </r>
    <r>
      <rPr>
        <sz val="11"/>
        <color theme="1"/>
        <rFont val="Microsoft YaHei Light"/>
        <family val="2"/>
        <charset val="134"/>
      </rPr>
      <t>私たちもみんなに負けないくらい_x000D_
楽しもう！</t>
    </r>
  </si>
  <si>
    <r>
      <t>うふふっ</t>
    </r>
    <r>
      <rPr>
        <sz val="11"/>
        <color theme="1"/>
        <rFont val="等线"/>
        <family val="2"/>
      </rPr>
      <t xml:space="preserve">♪
</t>
    </r>
    <r>
      <rPr>
        <sz val="11"/>
        <color theme="1"/>
        <rFont val="Microsoft YaHei Light"/>
        <family val="2"/>
        <charset val="134"/>
      </rPr>
      <t>みなさん楽しそうですね
私たちも負けないくらい
楽しみましょう！</t>
    </r>
    <phoneticPr fontId="1" type="noConversion"/>
  </si>
  <si>
    <r>
      <t>むむ！　他のチャンネルも
すごく盛り上がってるみたいね！
マリーだって負けないわよ～</t>
    </r>
    <r>
      <rPr>
        <sz val="11"/>
        <color theme="1"/>
        <rFont val="等线"/>
        <family val="3"/>
      </rPr>
      <t>♪</t>
    </r>
    <phoneticPr fontId="1" type="noConversion"/>
  </si>
  <si>
    <r>
      <t>他のチャンネルも凄いですが……_x000D_
皆さんと一緒なら_x000D_
負ける気がしません</t>
    </r>
    <r>
      <rPr>
        <sz val="11"/>
        <color theme="1"/>
        <rFont val="等线"/>
        <family val="3"/>
        <charset val="128"/>
      </rPr>
      <t>♪</t>
    </r>
  </si>
  <si>
    <r>
      <t>みんなすごいね</t>
    </r>
    <r>
      <rPr>
        <sz val="11"/>
        <color theme="1"/>
        <rFont val="等线"/>
        <family val="3"/>
        <charset val="128"/>
      </rPr>
      <t xml:space="preserve">♪_x000D_
</t>
    </r>
    <r>
      <rPr>
        <sz val="11"/>
        <color theme="1"/>
        <rFont val="Microsoft YaHei Light"/>
        <family val="2"/>
        <charset val="134"/>
      </rPr>
      <t>私も次は１位になれるように_x000D_
もっともっと頑張ります！</t>
    </r>
  </si>
  <si>
    <r>
      <t>やったわね</t>
    </r>
    <r>
      <rPr>
        <sz val="11"/>
        <color theme="1"/>
        <rFont val="等线"/>
        <family val="3"/>
        <charset val="128"/>
      </rPr>
      <t xml:space="preserve">♪_x000D_
</t>
    </r>
    <r>
      <rPr>
        <sz val="11"/>
        <color theme="1"/>
        <rFont val="Microsoft YaHei Light"/>
        <family val="2"/>
        <charset val="134"/>
      </rPr>
      <t>これもみんなで頑張った_x000D_
おかげね</t>
    </r>
  </si>
  <si>
    <r>
      <t>やったー</t>
    </r>
    <r>
      <rPr>
        <sz val="11"/>
        <color theme="1"/>
        <rFont val="等线"/>
        <family val="3"/>
        <charset val="128"/>
      </rPr>
      <t xml:space="preserve">♪_x000D_
</t>
    </r>
    <r>
      <rPr>
        <sz val="11"/>
        <color theme="1"/>
        <rFont val="Microsoft YaHei Light"/>
        <family val="2"/>
        <charset val="134"/>
      </rPr>
      <t>みんな応援してくれてありがとう_x000D_
これからもずっと、一緒にいてね</t>
    </r>
  </si>
  <si>
    <r>
      <t>１位やん！　やった～</t>
    </r>
    <r>
      <rPr>
        <sz val="11"/>
        <color theme="1"/>
        <rFont val="等线"/>
        <family val="3"/>
        <charset val="128"/>
      </rPr>
      <t xml:space="preserve">♪_x000D_
</t>
    </r>
    <r>
      <rPr>
        <sz val="11"/>
        <color theme="1"/>
        <rFont val="Microsoft YaHei Light"/>
        <family val="2"/>
        <charset val="134"/>
      </rPr>
      <t>頑張ってくれたみんなの_x000D_
おかげやね、ありがとう</t>
    </r>
    <r>
      <rPr>
        <sz val="11"/>
        <color theme="1"/>
        <rFont val="等线"/>
        <family val="3"/>
        <charset val="129"/>
      </rPr>
      <t>♡</t>
    </r>
  </si>
  <si>
    <r>
      <t>１位！？　う、嬉しい～！！_x000D_
みんなのおかげだね……！_x000D_
本当にありがとう</t>
    </r>
    <r>
      <rPr>
        <sz val="11"/>
        <color theme="1"/>
        <rFont val="等线"/>
        <family val="3"/>
        <charset val="128"/>
      </rPr>
      <t>♪</t>
    </r>
  </si>
  <si>
    <r>
      <t>やーっぱり１位はにこよね</t>
    </r>
    <r>
      <rPr>
        <sz val="11"/>
        <color theme="1"/>
        <rFont val="等线"/>
        <family val="3"/>
        <charset val="129"/>
      </rPr>
      <t xml:space="preserve">♡_x000D_
</t>
    </r>
    <r>
      <rPr>
        <sz val="11"/>
        <color theme="1"/>
        <rFont val="Microsoft YaHei Light"/>
        <family val="2"/>
        <charset val="134"/>
      </rPr>
      <t>みんな応援ありがとにこ！</t>
    </r>
  </si>
  <si>
    <r>
      <t>やったー！_x000D_
みんなで勝ち取った_x000D_
勝利だね</t>
    </r>
    <r>
      <rPr>
        <sz val="11"/>
        <color theme="1"/>
        <rFont val="等线"/>
        <family val="3"/>
        <charset val="128"/>
      </rPr>
      <t>♪</t>
    </r>
  </si>
  <si>
    <r>
      <t>エクセレント！！_x000D_
とっても幸せだわ～</t>
    </r>
    <r>
      <rPr>
        <sz val="11"/>
        <color theme="1"/>
        <rFont val="等线"/>
        <family val="3"/>
        <charset val="128"/>
      </rPr>
      <t xml:space="preserve">♪_x000D_
</t>
    </r>
    <r>
      <rPr>
        <sz val="11"/>
        <color theme="1"/>
        <rFont val="Microsoft YaHei Light"/>
        <family val="2"/>
        <charset val="134"/>
      </rPr>
      <t>みんなのおかげね！</t>
    </r>
  </si>
  <si>
    <r>
      <t>やりましたー</t>
    </r>
    <r>
      <rPr>
        <sz val="11"/>
        <color theme="1"/>
        <rFont val="等线"/>
        <family val="3"/>
        <charset val="128"/>
      </rPr>
      <t xml:space="preserve">♪_x000D_
</t>
    </r>
    <r>
      <rPr>
        <sz val="11"/>
        <color theme="1"/>
        <rFont val="Microsoft YaHei Light"/>
        <family val="2"/>
        <charset val="134"/>
      </rPr>
      <t>みなさんが最後までかすみんを_x000D_
応援してくれたおかげですっ</t>
    </r>
  </si>
  <si>
    <r>
      <t>やったわね</t>
    </r>
    <r>
      <rPr>
        <sz val="11"/>
        <color theme="1"/>
        <rFont val="等线"/>
        <family val="3"/>
        <charset val="128"/>
      </rPr>
      <t xml:space="preserve">♪_x000D_
</t>
    </r>
    <r>
      <rPr>
        <sz val="11"/>
        <color theme="1"/>
        <rFont val="Microsoft YaHei Light"/>
        <family val="2"/>
        <charset val="134"/>
      </rPr>
      <t>とても刺激的な時間だったわ</t>
    </r>
  </si>
  <si>
    <t>29-01</t>
    <phoneticPr fontId="1" type="noConversion"/>
  </si>
  <si>
    <t>29-02</t>
    <phoneticPr fontId="1" type="noConversion"/>
  </si>
  <si>
    <t>29-03</t>
  </si>
  <si>
    <t>29-04</t>
  </si>
  <si>
    <t>29-05</t>
  </si>
  <si>
    <t>29-06</t>
  </si>
  <si>
    <t>29-07</t>
  </si>
  <si>
    <t>29-08</t>
  </si>
  <si>
    <t>29-09</t>
  </si>
  <si>
    <t>29-10</t>
  </si>
  <si>
    <t>微熱からMystery</t>
    <phoneticPr fontId="1" type="noConversion"/>
  </si>
  <si>
    <t>蓝</t>
    <phoneticPr fontId="1" type="noConversion"/>
  </si>
  <si>
    <t>81/175</t>
    <phoneticPr fontId="1" type="noConversion"/>
  </si>
  <si>
    <t>THE SECRET NiGHT</t>
    <phoneticPr fontId="1" type="noConversion"/>
  </si>
  <si>
    <t>116/180</t>
    <phoneticPr fontId="1" type="noConversion"/>
  </si>
  <si>
    <t>夢がここからはじまるよ</t>
    <phoneticPr fontId="1" type="noConversion"/>
  </si>
  <si>
    <t>97/161</t>
    <phoneticPr fontId="1" type="noConversion"/>
  </si>
  <si>
    <t>74/163</t>
    <phoneticPr fontId="1" type="noConversion"/>
  </si>
  <si>
    <t>平均实际ct值</t>
    <phoneticPr fontId="1" type="noConversion"/>
  </si>
  <si>
    <t>平均卡面ct值</t>
    <phoneticPr fontId="1" type="noConversion"/>
  </si>
  <si>
    <t>ct值乘数</t>
    <phoneticPr fontId="8" type="noConversion"/>
  </si>
  <si>
    <t>vo</t>
    <phoneticPr fontId="1" type="noConversion"/>
  </si>
  <si>
    <t>绿</t>
    <phoneticPr fontId="8" type="noConversion"/>
  </si>
  <si>
    <t>梨子</t>
    <phoneticPr fontId="8" type="noConversion"/>
  </si>
  <si>
    <t>gd</t>
    <phoneticPr fontId="1" type="noConversion"/>
  </si>
  <si>
    <t>希</t>
    <phoneticPr fontId="8" type="noConversion"/>
  </si>
  <si>
    <t>紫</t>
    <phoneticPr fontId="8" type="noConversion"/>
  </si>
  <si>
    <t>凛</t>
    <phoneticPr fontId="8" type="noConversion"/>
  </si>
  <si>
    <t>七夕梨</t>
    <phoneticPr fontId="1" type="noConversion"/>
  </si>
  <si>
    <t>aa希</t>
  </si>
  <si>
    <t>aa希</t>
    <phoneticPr fontId="1" type="noConversion"/>
  </si>
  <si>
    <t>七夕凛</t>
  </si>
  <si>
    <t>七夕凛</t>
    <phoneticPr fontId="1" type="noConversion"/>
  </si>
  <si>
    <t>七夕霞</t>
    <phoneticPr fontId="1" type="noConversion"/>
  </si>
  <si>
    <t>sk</t>
    <phoneticPr fontId="1" type="noConversion"/>
  </si>
  <si>
    <t>蓝</t>
    <phoneticPr fontId="8" type="noConversion"/>
  </si>
  <si>
    <t>霞</t>
    <phoneticPr fontId="8" type="noConversion"/>
  </si>
  <si>
    <t>虹心璃</t>
  </si>
  <si>
    <t>虹心璃</t>
    <phoneticPr fontId="1" type="noConversion"/>
  </si>
  <si>
    <t>璃奈</t>
    <phoneticPr fontId="8" type="noConversion"/>
  </si>
  <si>
    <t>未熟千</t>
    <phoneticPr fontId="1" type="noConversion"/>
  </si>
  <si>
    <t>粉</t>
    <phoneticPr fontId="8" type="noConversion"/>
  </si>
  <si>
    <t>千歌</t>
    <phoneticPr fontId="8" type="noConversion"/>
  </si>
  <si>
    <t>霞</t>
    <phoneticPr fontId="1" type="noConversion"/>
  </si>
  <si>
    <t>添加了手镯的暴击值乘数，目前仍设定为1.0</t>
    <phoneticPr fontId="1" type="noConversion"/>
  </si>
  <si>
    <t>7.6</t>
    <phoneticPr fontId="1" type="noConversion"/>
  </si>
  <si>
    <t>添加了新歌曲数据</t>
    <phoneticPr fontId="1" type="noConversion"/>
  </si>
  <si>
    <t>添加了Channel台词表（未适配ui）</t>
    <phoneticPr fontId="1" type="noConversion"/>
  </si>
  <si>
    <t>单次按键技能sp量（不计type）</t>
    <phoneticPr fontId="1" type="noConversion"/>
  </si>
  <si>
    <t>SS</t>
  </si>
  <si>
    <t>F</t>
  </si>
  <si>
    <t>B-</t>
  </si>
  <si>
    <t>C+</t>
  </si>
  <si>
    <t>C-</t>
  </si>
  <si>
    <t>D+</t>
  </si>
  <si>
    <t>D-</t>
  </si>
  <si>
    <t>E+</t>
  </si>
  <si>
    <t>E-</t>
  </si>
  <si>
    <t>S+</t>
  </si>
  <si>
    <t>S-</t>
  </si>
  <si>
    <t>A+</t>
  </si>
  <si>
    <t>party卡</t>
  </si>
  <si>
    <t>单项评分生成整体评分时的叠加规则：
如果有两项的得分相差不超过1分，
取较大项加一个档位作为最终评分。</t>
    <phoneticPr fontId="1" type="noConversion"/>
  </si>
  <si>
    <t>根据新的超参数，重新计算了评分标准和卡片评分</t>
    <phoneticPr fontId="1" type="noConversion"/>
  </si>
  <si>
    <t>隐藏了部分表格（实际上是懒不想更新）</t>
    <phoneticPr fontId="1" type="noConversion"/>
  </si>
  <si>
    <t>8.0</t>
    <phoneticPr fontId="1" type="noConversion"/>
  </si>
  <si>
    <t>8.1</t>
    <phoneticPr fontId="1" type="noConversion"/>
  </si>
  <si>
    <t>修复了奶盾强度计算中部分卡片的9位ID的错误</t>
    <phoneticPr fontId="1" type="noConversion"/>
  </si>
  <si>
    <t>prt菜</t>
    <phoneticPr fontId="1" type="noConversion"/>
  </si>
  <si>
    <t>sk</t>
    <phoneticPr fontId="1" type="noConversion"/>
  </si>
  <si>
    <t>雪菜</t>
    <phoneticPr fontId="8" type="noConversion"/>
  </si>
  <si>
    <t>infty</t>
    <phoneticPr fontId="8" type="noConversion"/>
  </si>
  <si>
    <t>未熟鞠</t>
    <phoneticPr fontId="1" type="noConversion"/>
  </si>
  <si>
    <t>蓝</t>
    <phoneticPr fontId="8" type="noConversion"/>
  </si>
  <si>
    <t>鞠莉</t>
    <phoneticPr fontId="8" type="noConversion"/>
  </si>
  <si>
    <t>さかなかなんだか？</t>
    <phoneticPr fontId="1" type="noConversion"/>
  </si>
  <si>
    <t>WHITE FIRST LOVE</t>
    <phoneticPr fontId="1" type="noConversion"/>
  </si>
  <si>
    <t>New winding road</t>
    <phoneticPr fontId="1" type="noConversion"/>
  </si>
  <si>
    <t>COLORFUL VOICE</t>
    <phoneticPr fontId="1" type="noConversion"/>
  </si>
  <si>
    <t>Elegant</t>
  </si>
  <si>
    <t>それは僕たちの奇跡</t>
    <phoneticPr fontId="1" type="noConversion"/>
  </si>
  <si>
    <t>スリリング・ワンウェイ</t>
    <phoneticPr fontId="1" type="noConversion"/>
  </si>
  <si>
    <t>TOKIMEKI Runners</t>
    <phoneticPr fontId="1" type="noConversion"/>
  </si>
  <si>
    <t>Smile</t>
    <phoneticPr fontId="1" type="noConversion"/>
  </si>
  <si>
    <t>8.2</t>
    <phoneticPr fontId="1" type="noConversion"/>
  </si>
  <si>
    <t>sk</t>
    <phoneticPr fontId="1" type="noConversion"/>
  </si>
  <si>
    <t>紫</t>
    <phoneticPr fontId="8" type="noConversion"/>
  </si>
  <si>
    <t>果林</t>
    <phoneticPr fontId="8" type="noConversion"/>
  </si>
  <si>
    <t>ct+</t>
    <phoneticPr fontId="8" type="noConversion"/>
  </si>
  <si>
    <t>同作战</t>
    <phoneticPr fontId="8" type="noConversion"/>
  </si>
  <si>
    <t>同属性</t>
    <phoneticPr fontId="8" type="noConversion"/>
  </si>
  <si>
    <t>gd</t>
    <phoneticPr fontId="1" type="noConversion"/>
  </si>
  <si>
    <t>蓝</t>
    <phoneticPr fontId="8" type="noConversion"/>
  </si>
  <si>
    <t>花阳</t>
    <phoneticPr fontId="8" type="noConversion"/>
  </si>
  <si>
    <t>sp获得</t>
    <phoneticPr fontId="8" type="noConversion"/>
  </si>
  <si>
    <t>st</t>
    <phoneticPr fontId="8" type="noConversion"/>
  </si>
  <si>
    <t>vo</t>
    <phoneticPr fontId="1" type="noConversion"/>
  </si>
  <si>
    <t>黄</t>
    <phoneticPr fontId="8" type="noConversion"/>
  </si>
  <si>
    <t>善子</t>
    <phoneticPr fontId="8" type="noConversion"/>
  </si>
  <si>
    <t>vo+</t>
    <phoneticPr fontId="8" type="noConversion"/>
  </si>
  <si>
    <t>虹心彼</t>
    <phoneticPr fontId="1" type="noConversion"/>
  </si>
  <si>
    <t>sp</t>
    <phoneticPr fontId="1" type="noConversion"/>
  </si>
  <si>
    <t>彼方</t>
    <phoneticPr fontId="8" type="noConversion"/>
  </si>
  <si>
    <t>核弹</t>
    <phoneticPr fontId="8" type="noConversion"/>
  </si>
  <si>
    <t>te</t>
    <phoneticPr fontId="8" type="noConversion"/>
  </si>
  <si>
    <t>aa妮</t>
  </si>
  <si>
    <t>aa妮</t>
    <phoneticPr fontId="1" type="noConversion"/>
  </si>
  <si>
    <t>妮可</t>
    <phoneticPr fontId="8" type="noConversion"/>
  </si>
  <si>
    <t>同年级</t>
    <phoneticPr fontId="8" type="noConversion"/>
  </si>
  <si>
    <t>加盾</t>
    <phoneticPr fontId="8" type="noConversion"/>
  </si>
  <si>
    <t>未熟丸</t>
    <phoneticPr fontId="1" type="noConversion"/>
  </si>
  <si>
    <t>花丸</t>
    <phoneticPr fontId="8" type="noConversion"/>
  </si>
  <si>
    <t>浴衣林</t>
    <phoneticPr fontId="1" type="noConversion"/>
  </si>
  <si>
    <t>浴衣花</t>
  </si>
  <si>
    <t>浴衣花</t>
    <phoneticPr fontId="1" type="noConversion"/>
  </si>
  <si>
    <t>浴衣善</t>
    <phoneticPr fontId="1" type="noConversion"/>
  </si>
  <si>
    <t>8.3</t>
    <phoneticPr fontId="1" type="noConversion"/>
  </si>
  <si>
    <t>虹色Passions！</t>
    <phoneticPr fontId="1" type="noConversion"/>
  </si>
  <si>
    <t>147/263</t>
    <phoneticPr fontId="1" type="noConversion"/>
  </si>
  <si>
    <t>Twinkle Town</t>
    <phoneticPr fontId="1" type="noConversion"/>
  </si>
  <si>
    <t>84/168</t>
    <phoneticPr fontId="1" type="noConversion"/>
  </si>
  <si>
    <t>Maze Town</t>
    <phoneticPr fontId="1" type="noConversion"/>
  </si>
  <si>
    <t>107/172</t>
    <phoneticPr fontId="1" type="noConversion"/>
  </si>
  <si>
    <t>START!! True dreams</t>
    <phoneticPr fontId="1" type="noConversion"/>
  </si>
  <si>
    <t>105/178</t>
    <phoneticPr fontId="1" type="noConversion"/>
  </si>
  <si>
    <t>sk</t>
    <phoneticPr fontId="1" type="noConversion"/>
  </si>
  <si>
    <t>红</t>
    <phoneticPr fontId="8" type="noConversion"/>
  </si>
  <si>
    <t>真姬</t>
    <phoneticPr fontId="8" type="noConversion"/>
  </si>
  <si>
    <t>ct值+</t>
    <phoneticPr fontId="8" type="noConversion"/>
  </si>
  <si>
    <t>sp</t>
    <phoneticPr fontId="1" type="noConversion"/>
  </si>
  <si>
    <t>黄</t>
    <phoneticPr fontId="8" type="noConversion"/>
  </si>
  <si>
    <t>露比</t>
    <phoneticPr fontId="8" type="noConversion"/>
  </si>
  <si>
    <t>自身</t>
    <phoneticPr fontId="8" type="noConversion"/>
  </si>
  <si>
    <t>自身ct时上限突破</t>
    <phoneticPr fontId="8" type="noConversion"/>
  </si>
  <si>
    <t>fes2露</t>
    <phoneticPr fontId="1" type="noConversion"/>
  </si>
  <si>
    <t>fes2姬</t>
    <phoneticPr fontId="1" type="noConversion"/>
  </si>
  <si>
    <t>aa绘</t>
    <phoneticPr fontId="1" type="noConversion"/>
  </si>
  <si>
    <t>sp</t>
    <phoneticPr fontId="1" type="noConversion"/>
  </si>
  <si>
    <t>sk</t>
    <phoneticPr fontId="1" type="noConversion"/>
  </si>
  <si>
    <t>黄</t>
    <phoneticPr fontId="8" type="noConversion"/>
  </si>
  <si>
    <t>绘里</t>
    <phoneticPr fontId="8" type="noConversion"/>
  </si>
  <si>
    <t>艾玛</t>
    <phoneticPr fontId="8" type="noConversion"/>
  </si>
  <si>
    <t>紫</t>
    <phoneticPr fontId="8" type="noConversion"/>
  </si>
  <si>
    <t>虹心艾</t>
    <phoneticPr fontId="1" type="noConversion"/>
  </si>
  <si>
    <t>ap</t>
    <phoneticPr fontId="8" type="noConversion"/>
  </si>
  <si>
    <t>8.4</t>
    <phoneticPr fontId="1" type="noConversion"/>
  </si>
  <si>
    <t>Kakushiaji！</t>
  </si>
  <si>
    <t>Active</t>
  </si>
  <si>
    <t>Cool</t>
  </si>
  <si>
    <t>Pure</t>
  </si>
  <si>
    <t>翠いカナリア</t>
  </si>
  <si>
    <t>Smile</t>
  </si>
  <si>
    <t>Just Believe!!!</t>
  </si>
  <si>
    <t>微熱からMystery</t>
  </si>
  <si>
    <t>10000-0.1*ceil(Vo%*4)*max</t>
  </si>
  <si>
    <t>-4,000*Sp</t>
  </si>
  <si>
    <t>-9,000*Sk</t>
  </si>
  <si>
    <t>もぎゅっと“love”で接近中!</t>
  </si>
  <si>
    <t>Cutie Panther</t>
  </si>
  <si>
    <t>僕たちはひとつの光</t>
  </si>
  <si>
    <r>
      <t>-9</t>
    </r>
    <r>
      <rPr>
        <sz val="14"/>
        <rFont val="微软雅黑"/>
        <family val="1"/>
        <charset val="134"/>
      </rPr>
      <t>,</t>
    </r>
    <r>
      <rPr>
        <sz val="14"/>
        <rFont val="FOT-Skip Std B"/>
        <family val="1"/>
      </rPr>
      <t>000*S</t>
    </r>
    <r>
      <rPr>
        <sz val="14"/>
        <rFont val="FOT-Skip Std B"/>
        <family val="1"/>
        <charset val="128"/>
      </rPr>
      <t>k</t>
    </r>
    <phoneticPr fontId="1" type="noConversion"/>
  </si>
  <si>
    <r>
      <rPr>
        <sz val="14"/>
        <rFont val="FOT-Skip Std B"/>
        <family val="1"/>
      </rPr>
      <t>-8,000*Sk</t>
    </r>
    <phoneticPr fontId="1" type="noConversion"/>
  </si>
  <si>
    <r>
      <rPr>
        <sz val="14"/>
        <rFont val="FOT-Skip Std B"/>
        <family val="1"/>
        <charset val="128"/>
      </rPr>
      <t>-9,000*Sk</t>
    </r>
    <phoneticPr fontId="1" type="noConversion"/>
  </si>
  <si>
    <r>
      <rPr>
        <sz val="14"/>
        <rFont val="FOT-Skip Std B"/>
        <family val="1"/>
        <charset val="128"/>
      </rPr>
      <t>-3,000*Sk</t>
    </r>
    <phoneticPr fontId="1" type="noConversion"/>
  </si>
  <si>
    <r>
      <rPr>
        <sz val="14"/>
        <rFont val="FOT-Skip Std B"/>
        <family val="1"/>
        <charset val="128"/>
      </rPr>
      <t>-6,000*Gd</t>
    </r>
    <phoneticPr fontId="1" type="noConversion"/>
  </si>
  <si>
    <r>
      <rPr>
        <sz val="14"/>
        <rFont val="FOT-Skip Std B"/>
        <family val="1"/>
        <charset val="128"/>
      </rPr>
      <t>-20%*Max</t>
    </r>
    <phoneticPr fontId="1" type="noConversion"/>
  </si>
  <si>
    <r>
      <rPr>
        <sz val="14"/>
        <rFont val="FOT-Skip Std B"/>
        <family val="1"/>
        <charset val="128"/>
      </rPr>
      <t>-4,000*Sk</t>
    </r>
    <phoneticPr fontId="1" type="noConversion"/>
  </si>
  <si>
    <t>添加了新DLP数据</t>
    <phoneticPr fontId="1" type="noConversion"/>
  </si>
  <si>
    <t>8.5</t>
    <phoneticPr fontId="1" type="noConversion"/>
  </si>
  <si>
    <t>30-01</t>
    <phoneticPr fontId="1" type="noConversion"/>
  </si>
  <si>
    <t>30-02</t>
  </si>
  <si>
    <t>30-03</t>
  </si>
  <si>
    <t>30-04</t>
  </si>
  <si>
    <t>30-05</t>
  </si>
  <si>
    <t>30-06</t>
  </si>
  <si>
    <t>30-07</t>
  </si>
  <si>
    <t>30-08</t>
  </si>
  <si>
    <t>30-09</t>
  </si>
  <si>
    <t>30-10</t>
  </si>
  <si>
    <t>泳池南</t>
    <phoneticPr fontId="1" type="noConversion"/>
  </si>
  <si>
    <t>vo</t>
    <phoneticPr fontId="1" type="noConversion"/>
  </si>
  <si>
    <t>未熟露</t>
    <phoneticPr fontId="1" type="noConversion"/>
  </si>
  <si>
    <t>sp</t>
    <phoneticPr fontId="1" type="noConversion"/>
  </si>
  <si>
    <t>泳池果</t>
    <phoneticPr fontId="1" type="noConversion"/>
  </si>
  <si>
    <t>sk</t>
    <phoneticPr fontId="1" type="noConversion"/>
  </si>
  <si>
    <t>泳池彼</t>
    <phoneticPr fontId="1" type="noConversion"/>
  </si>
  <si>
    <t>虹心霞</t>
    <phoneticPr fontId="1" type="noConversion"/>
  </si>
  <si>
    <t>aa凛</t>
    <phoneticPr fontId="1" type="noConversion"/>
  </si>
  <si>
    <t>粉</t>
    <phoneticPr fontId="8" type="noConversion"/>
  </si>
  <si>
    <t>技能得分上限</t>
    <phoneticPr fontId="8" type="noConversion"/>
  </si>
  <si>
    <t>果南</t>
    <phoneticPr fontId="8" type="noConversion"/>
  </si>
  <si>
    <t>vo获得</t>
    <phoneticPr fontId="8" type="noConversion"/>
  </si>
  <si>
    <t>ap</t>
    <phoneticPr fontId="8" type="noConversion"/>
  </si>
  <si>
    <t>蓝</t>
    <phoneticPr fontId="8" type="noConversion"/>
  </si>
  <si>
    <t>露比</t>
    <phoneticPr fontId="8" type="noConversion"/>
  </si>
  <si>
    <t>sp+</t>
    <phoneticPr fontId="8" type="noConversion"/>
  </si>
  <si>
    <t>同作战</t>
    <phoneticPr fontId="8" type="noConversion"/>
  </si>
  <si>
    <t>绿</t>
    <phoneticPr fontId="8" type="noConversion"/>
  </si>
  <si>
    <t>穗乃果</t>
    <phoneticPr fontId="8" type="noConversion"/>
  </si>
  <si>
    <t>ap+</t>
    <phoneticPr fontId="8" type="noConversion"/>
  </si>
  <si>
    <t>同属性</t>
    <phoneticPr fontId="8" type="noConversion"/>
  </si>
  <si>
    <t>彼方</t>
    <phoneticPr fontId="8" type="noConversion"/>
  </si>
  <si>
    <t>霞</t>
    <phoneticPr fontId="8" type="noConversion"/>
  </si>
  <si>
    <t>红</t>
    <phoneticPr fontId="8" type="noConversion"/>
  </si>
  <si>
    <t>凛</t>
    <phoneticPr fontId="8" type="noConversion"/>
  </si>
  <si>
    <t>黄</t>
    <phoneticPr fontId="1" type="noConversion"/>
  </si>
  <si>
    <t>76/186</t>
    <phoneticPr fontId="1" type="noConversion"/>
  </si>
  <si>
    <t>Just Believe!!!</t>
    <phoneticPr fontId="1" type="noConversion"/>
  </si>
  <si>
    <t>红</t>
    <phoneticPr fontId="1" type="noConversion"/>
  </si>
  <si>
    <t>-(5000*Gd)</t>
    <phoneticPr fontId="1" type="noConversion"/>
  </si>
  <si>
    <t>78/174</t>
    <phoneticPr fontId="1" type="noConversion"/>
  </si>
  <si>
    <t>8.6</t>
    <phoneticPr fontId="1" type="noConversion"/>
  </si>
  <si>
    <t>未来は風のように</t>
    <phoneticPr fontId="1" type="noConversion"/>
  </si>
  <si>
    <t>63/153</t>
    <phoneticPr fontId="1" type="noConversion"/>
  </si>
  <si>
    <t>sp</t>
    <phoneticPr fontId="1" type="noConversion"/>
  </si>
  <si>
    <t>gd</t>
    <phoneticPr fontId="1" type="noConversion"/>
  </si>
  <si>
    <t>prt鸟</t>
    <phoneticPr fontId="1" type="noConversion"/>
  </si>
  <si>
    <t>红</t>
    <phoneticPr fontId="8" type="noConversion"/>
  </si>
  <si>
    <t>小鸟</t>
    <phoneticPr fontId="8" type="noConversion"/>
  </si>
  <si>
    <t>虹心爱</t>
  </si>
  <si>
    <t>虹心爱</t>
    <phoneticPr fontId="1" type="noConversion"/>
  </si>
  <si>
    <t>蓝</t>
    <phoneticPr fontId="8" type="noConversion"/>
  </si>
  <si>
    <t>爱</t>
    <phoneticPr fontId="8" type="noConversion"/>
  </si>
  <si>
    <t>8.7</t>
    <phoneticPr fontId="1" type="noConversion"/>
  </si>
  <si>
    <t>gd</t>
    <phoneticPr fontId="1" type="noConversion"/>
  </si>
  <si>
    <t>黄</t>
    <phoneticPr fontId="8" type="noConversion"/>
  </si>
  <si>
    <t>希</t>
    <phoneticPr fontId="8" type="noConversion"/>
  </si>
  <si>
    <t>减伤</t>
    <phoneticPr fontId="8" type="noConversion"/>
  </si>
  <si>
    <t>全员</t>
    <phoneticPr fontId="8" type="noConversion"/>
  </si>
  <si>
    <t>虹心林</t>
    <phoneticPr fontId="1" type="noConversion"/>
  </si>
  <si>
    <t>sp</t>
    <phoneticPr fontId="1" type="noConversion"/>
  </si>
  <si>
    <t>紫</t>
    <phoneticPr fontId="8" type="noConversion"/>
  </si>
  <si>
    <t>果林</t>
    <phoneticPr fontId="8" type="noConversion"/>
  </si>
  <si>
    <t>sp+</t>
    <phoneticPr fontId="8" type="noConversion"/>
  </si>
  <si>
    <t>同属性</t>
    <phoneticPr fontId="8" type="noConversion"/>
  </si>
  <si>
    <t>sk</t>
    <phoneticPr fontId="1" type="noConversion"/>
  </si>
  <si>
    <t>红</t>
    <phoneticPr fontId="8" type="noConversion"/>
  </si>
  <si>
    <t>步梦</t>
    <phoneticPr fontId="8" type="noConversion"/>
  </si>
  <si>
    <t>ap+</t>
    <phoneticPr fontId="8" type="noConversion"/>
  </si>
  <si>
    <t>曜</t>
    <phoneticPr fontId="8" type="noConversion"/>
  </si>
  <si>
    <t>回血</t>
    <phoneticPr fontId="8" type="noConversion"/>
  </si>
  <si>
    <t>te</t>
    <phoneticPr fontId="8" type="noConversion"/>
  </si>
  <si>
    <t>aa海</t>
    <phoneticPr fontId="1" type="noConversion"/>
  </si>
  <si>
    <t>海未</t>
    <phoneticPr fontId="8" type="noConversion"/>
  </si>
  <si>
    <t>未熟梨</t>
    <phoneticPr fontId="1" type="noConversion"/>
  </si>
  <si>
    <t>蓝</t>
    <phoneticPr fontId="8" type="noConversion"/>
  </si>
  <si>
    <t>梨子</t>
    <phoneticPr fontId="8" type="noConversion"/>
  </si>
  <si>
    <t>夏祭希</t>
  </si>
  <si>
    <t>夏祭希</t>
    <phoneticPr fontId="1" type="noConversion"/>
  </si>
  <si>
    <t>夏祭步</t>
    <phoneticPr fontId="1" type="noConversion"/>
  </si>
  <si>
    <t>夏祭曜</t>
  </si>
  <si>
    <t>夏祭曜</t>
    <phoneticPr fontId="1" type="noConversion"/>
  </si>
  <si>
    <t>8.8</t>
    <phoneticPr fontId="1" type="noConversion"/>
  </si>
  <si>
    <t>Swinging！</t>
    <phoneticPr fontId="1" type="noConversion"/>
  </si>
  <si>
    <t>蓝</t>
    <phoneticPr fontId="1" type="noConversion"/>
  </si>
  <si>
    <t>黄</t>
    <phoneticPr fontId="1" type="noConversion"/>
  </si>
  <si>
    <t>84/177</t>
    <phoneticPr fontId="1" type="noConversion"/>
  </si>
  <si>
    <t>Hurray Hurray</t>
    <phoneticPr fontId="1" type="noConversion"/>
  </si>
  <si>
    <t>99/164</t>
    <phoneticPr fontId="1" type="noConversion"/>
  </si>
  <si>
    <t>恋になりたいAQUARIUM</t>
    <phoneticPr fontId="1" type="noConversion"/>
  </si>
  <si>
    <t>167/313</t>
    <phoneticPr fontId="1" type="noConversion"/>
  </si>
  <si>
    <t>修 复 了 某 些 卡 片 个 性 2 的 错 误</t>
    <phoneticPr fontId="1" type="noConversion"/>
  </si>
  <si>
    <t>8.9</t>
    <phoneticPr fontId="1" type="noConversion"/>
  </si>
  <si>
    <t>嵐のなかの恋だから</t>
    <phoneticPr fontId="1" type="noConversion"/>
  </si>
  <si>
    <t>Love U my friends</t>
    <phoneticPr fontId="1" type="noConversion"/>
  </si>
  <si>
    <t>修复了nbg姬个性2的错误</t>
    <phoneticPr fontId="1" type="noConversion"/>
  </si>
  <si>
    <t>fes2雫</t>
    <phoneticPr fontId="1" type="noConversion"/>
  </si>
  <si>
    <t>fes2千</t>
    <phoneticPr fontId="1" type="noConversion"/>
  </si>
  <si>
    <t>未熟黛</t>
    <phoneticPr fontId="1" type="noConversion"/>
  </si>
  <si>
    <t>aa花</t>
    <phoneticPr fontId="1" type="noConversion"/>
  </si>
  <si>
    <t>vo</t>
    <phoneticPr fontId="1" type="noConversion"/>
  </si>
  <si>
    <t>紫</t>
    <phoneticPr fontId="8" type="noConversion"/>
  </si>
  <si>
    <t>雫</t>
    <phoneticPr fontId="8" type="noConversion"/>
  </si>
  <si>
    <t>蓝</t>
    <phoneticPr fontId="8" type="noConversion"/>
  </si>
  <si>
    <t>千歌</t>
    <phoneticPr fontId="8" type="noConversion"/>
  </si>
  <si>
    <t>sk</t>
    <phoneticPr fontId="1" type="noConversion"/>
  </si>
  <si>
    <t>粉</t>
    <phoneticPr fontId="8" type="noConversion"/>
  </si>
  <si>
    <t>黛雅</t>
    <phoneticPr fontId="8" type="noConversion"/>
  </si>
  <si>
    <t>infty</t>
    <phoneticPr fontId="8" type="noConversion"/>
  </si>
  <si>
    <t>花阳</t>
    <phoneticPr fontId="8" type="noConversion"/>
  </si>
  <si>
    <t>黄</t>
    <phoneticPr fontId="8" type="noConversion"/>
  </si>
  <si>
    <t>回血</t>
    <phoneticPr fontId="8" type="noConversion"/>
  </si>
  <si>
    <t>te</t>
    <phoneticPr fontId="8" type="noConversion"/>
  </si>
  <si>
    <t>8.10</t>
    <phoneticPr fontId="1" type="noConversion"/>
  </si>
  <si>
    <t>31-01</t>
    <phoneticPr fontId="1" type="noConversion"/>
  </si>
  <si>
    <t>31-02</t>
    <phoneticPr fontId="1" type="noConversion"/>
  </si>
  <si>
    <t>31-03</t>
  </si>
  <si>
    <t>31-04</t>
  </si>
  <si>
    <t>31-05</t>
  </si>
  <si>
    <t>31-06</t>
  </si>
  <si>
    <t>31-08</t>
  </si>
  <si>
    <t>31-09</t>
  </si>
  <si>
    <t>31-10</t>
  </si>
  <si>
    <t>岚珠</t>
    <phoneticPr fontId="1" type="noConversion"/>
  </si>
  <si>
    <t>米娅</t>
    <phoneticPr fontId="1" type="noConversion"/>
  </si>
  <si>
    <t>虹</t>
    <phoneticPr fontId="1" type="noConversion"/>
  </si>
  <si>
    <t>R3BIRTH</t>
    <phoneticPr fontId="1" type="noConversion"/>
  </si>
  <si>
    <t>R3BIRTH</t>
    <phoneticPr fontId="1" type="noConversion"/>
  </si>
  <si>
    <t>2年级</t>
    <phoneticPr fontId="1" type="noConversion"/>
  </si>
  <si>
    <t>3年级</t>
    <phoneticPr fontId="1" type="noConversion"/>
  </si>
  <si>
    <t>米娅</t>
    <phoneticPr fontId="8" type="noConversion"/>
  </si>
  <si>
    <t>校服米</t>
    <phoneticPr fontId="1" type="noConversion"/>
  </si>
  <si>
    <t>岚珠</t>
    <phoneticPr fontId="8" type="noConversion"/>
  </si>
  <si>
    <t>练习米</t>
    <phoneticPr fontId="1" type="noConversion"/>
  </si>
  <si>
    <t>蓝</t>
    <phoneticPr fontId="8" type="noConversion"/>
  </si>
  <si>
    <t>绿</t>
    <phoneticPr fontId="8" type="noConversion"/>
  </si>
  <si>
    <t>紫</t>
    <phoneticPr fontId="8" type="noConversion"/>
  </si>
  <si>
    <t>is米</t>
  </si>
  <si>
    <t>is米</t>
    <phoneticPr fontId="1" type="noConversion"/>
  </si>
  <si>
    <t>校服珠</t>
    <phoneticPr fontId="1" type="noConversion"/>
  </si>
  <si>
    <t>练习珠</t>
    <phoneticPr fontId="1" type="noConversion"/>
  </si>
  <si>
    <t>红</t>
    <phoneticPr fontId="8" type="noConversion"/>
  </si>
  <si>
    <t>qd珠</t>
    <phoneticPr fontId="1" type="noConversion"/>
  </si>
  <si>
    <t>粉</t>
    <phoneticPr fontId="8" type="noConversion"/>
  </si>
  <si>
    <t>aa果</t>
    <phoneticPr fontId="1" type="noConversion"/>
  </si>
  <si>
    <t>虹心菜</t>
    <phoneticPr fontId="1" type="noConversion"/>
  </si>
  <si>
    <t>未熟善</t>
  </si>
  <si>
    <t>未熟善</t>
    <phoneticPr fontId="1" type="noConversion"/>
  </si>
  <si>
    <t>鞠莉</t>
    <phoneticPr fontId="8" type="noConversion"/>
  </si>
  <si>
    <t>穗乃果</t>
    <phoneticPr fontId="8" type="noConversion"/>
  </si>
  <si>
    <t>绘里</t>
    <phoneticPr fontId="8" type="noConversion"/>
  </si>
  <si>
    <t>爱</t>
    <phoneticPr fontId="8" type="noConversion"/>
  </si>
  <si>
    <t>雪菜</t>
    <phoneticPr fontId="8" type="noConversion"/>
  </si>
  <si>
    <t>善子</t>
    <phoneticPr fontId="8" type="noConversion"/>
  </si>
  <si>
    <t>sp+</t>
    <phoneticPr fontId="8" type="noConversion"/>
  </si>
  <si>
    <t>全员</t>
    <phoneticPr fontId="8" type="noConversion"/>
  </si>
  <si>
    <t>vo+</t>
    <phoneticPr fontId="8" type="noConversion"/>
  </si>
  <si>
    <t>同作战</t>
    <phoneticPr fontId="8" type="noConversion"/>
  </si>
  <si>
    <t>自身</t>
    <phoneticPr fontId="8" type="noConversion"/>
  </si>
  <si>
    <t>加盾</t>
    <phoneticPr fontId="8" type="noConversion"/>
  </si>
  <si>
    <t>st</t>
    <phoneticPr fontId="8" type="noConversion"/>
  </si>
  <si>
    <t>核弹</t>
    <phoneticPr fontId="8" type="noConversion"/>
  </si>
  <si>
    <t>ct值+</t>
    <phoneticPr fontId="8" type="noConversion"/>
  </si>
  <si>
    <t>infty</t>
    <phoneticPr fontId="8" type="noConversion"/>
  </si>
  <si>
    <t>vo获得</t>
    <phoneticPr fontId="8" type="noConversion"/>
  </si>
  <si>
    <t>ap</t>
    <phoneticPr fontId="8" type="noConversion"/>
  </si>
  <si>
    <t>te</t>
    <phoneticPr fontId="8" type="noConversion"/>
  </si>
  <si>
    <t>低血量</t>
    <phoneticPr fontId="8" type="noConversion"/>
  </si>
  <si>
    <t>回血</t>
    <phoneticPr fontId="8" type="noConversion"/>
  </si>
  <si>
    <t>月夜鞠</t>
    <phoneticPr fontId="1" type="noConversion"/>
  </si>
  <si>
    <t>月夜绘</t>
    <phoneticPr fontId="1" type="noConversion"/>
  </si>
  <si>
    <t>月夜爱</t>
    <phoneticPr fontId="1" type="noConversion"/>
  </si>
  <si>
    <t>8.11</t>
    <phoneticPr fontId="1" type="noConversion"/>
  </si>
  <si>
    <r>
      <t>スリリング</t>
    </r>
    <r>
      <rPr>
        <sz val="11"/>
        <color theme="1"/>
        <rFont val="等线"/>
        <family val="2"/>
        <charset val="134"/>
      </rPr>
      <t>・</t>
    </r>
    <r>
      <rPr>
        <sz val="11"/>
        <color theme="1"/>
        <rFont val="Microsoft YaHei UI"/>
        <family val="2"/>
        <charset val="134"/>
      </rPr>
      <t>ワンウェイ</t>
    </r>
  </si>
  <si>
    <t>未熟DREAMER</t>
    <phoneticPr fontId="1" type="noConversion"/>
  </si>
  <si>
    <t xml:space="preserve">Max </t>
    <phoneticPr fontId="1" type="noConversion"/>
  </si>
  <si>
    <t>89/158</t>
    <phoneticPr fontId="1" type="noConversion"/>
  </si>
  <si>
    <t>L！L！L！ (Love the Life We Live)</t>
    <phoneticPr fontId="1" type="noConversion"/>
  </si>
  <si>
    <t>I'm Still…</t>
    <phoneticPr fontId="1" type="noConversion"/>
  </si>
  <si>
    <t>-(8000*Sp)</t>
    <phoneticPr fontId="1" type="noConversion"/>
  </si>
  <si>
    <t>95/169</t>
    <phoneticPr fontId="1" type="noConversion"/>
  </si>
  <si>
    <t>Queendom</t>
    <phoneticPr fontId="1" type="noConversion"/>
  </si>
  <si>
    <t>88/146</t>
    <phoneticPr fontId="1" type="noConversion"/>
  </si>
  <si>
    <t>2021.07</t>
    <phoneticPr fontId="1" type="noConversion"/>
  </si>
  <si>
    <t>2021.08</t>
    <phoneticPr fontId="1" type="noConversion"/>
  </si>
  <si>
    <t>2021.09</t>
    <phoneticPr fontId="1" type="noConversion"/>
  </si>
  <si>
    <t xml:space="preserve">	未来の僕らは知ってるよ</t>
    <phoneticPr fontId="1" type="noConversion"/>
  </si>
  <si>
    <t>HAPPY PARTY TRAIN</t>
    <phoneticPr fontId="1" type="noConversion"/>
  </si>
  <si>
    <t>MIRAI TICKET</t>
    <phoneticPr fontId="1" type="noConversion"/>
  </si>
  <si>
    <t>Wonder zone</t>
    <phoneticPr fontId="1" type="noConversion"/>
  </si>
  <si>
    <t>Brightest Melody</t>
    <phoneticPr fontId="1" type="noConversion"/>
  </si>
  <si>
    <t>めっちゃGoing!!</t>
    <phoneticPr fontId="1" type="noConversion"/>
  </si>
  <si>
    <t>GALAXY HidE and SeeK</t>
    <phoneticPr fontId="1" type="noConversion"/>
  </si>
  <si>
    <t>Fire Bird</t>
    <phoneticPr fontId="1" type="noConversion"/>
  </si>
  <si>
    <t>prt艾</t>
    <phoneticPr fontId="1" type="noConversion"/>
  </si>
  <si>
    <t>粉</t>
    <phoneticPr fontId="8" type="noConversion"/>
  </si>
  <si>
    <t>艾玛</t>
    <phoneticPr fontId="8" type="noConversion"/>
  </si>
  <si>
    <t>vo+</t>
    <phoneticPr fontId="8" type="noConversion"/>
  </si>
  <si>
    <t>同属性</t>
    <phoneticPr fontId="8" type="noConversion"/>
  </si>
  <si>
    <t>未熟南</t>
    <phoneticPr fontId="1" type="noConversion"/>
  </si>
  <si>
    <t>黄</t>
    <phoneticPr fontId="8" type="noConversion"/>
  </si>
  <si>
    <t>果南</t>
    <phoneticPr fontId="8" type="noConversion"/>
  </si>
  <si>
    <t>ap+</t>
    <phoneticPr fontId="8" type="noConversion"/>
  </si>
  <si>
    <t>全员</t>
    <phoneticPr fontId="8" type="noConversion"/>
  </si>
  <si>
    <t>未来の僕らは知ってるよ</t>
    <phoneticPr fontId="1" type="noConversion"/>
  </si>
  <si>
    <t>全速ドリーマー</t>
    <phoneticPr fontId="1" type="noConversion"/>
  </si>
  <si>
    <t>Snow halation</t>
    <phoneticPr fontId="1" type="noConversion"/>
  </si>
  <si>
    <t xml:space="preserve">	君のこころは輝いてるかい？</t>
    <phoneticPr fontId="1" type="noConversion"/>
  </si>
  <si>
    <t>Sweet Eyes</t>
    <phoneticPr fontId="1" type="noConversion"/>
  </si>
  <si>
    <t>COLORFUL VOICE</t>
    <phoneticPr fontId="1" type="noConversion"/>
  </si>
  <si>
    <t>Step! ZERO to ONE</t>
    <phoneticPr fontId="1" type="noConversion"/>
  </si>
  <si>
    <t xml:space="preserve">	夢がここからはじまるよ</t>
    <phoneticPr fontId="1" type="noConversion"/>
  </si>
  <si>
    <t>更新了最近的歌榜数据</t>
    <phoneticPr fontId="1" type="noConversion"/>
  </si>
  <si>
    <t>8.12</t>
    <phoneticPr fontId="1" type="noConversion"/>
  </si>
  <si>
    <t>秋雨妮</t>
    <phoneticPr fontId="1" type="noConversion"/>
  </si>
  <si>
    <t>sk</t>
    <phoneticPr fontId="1" type="noConversion"/>
  </si>
  <si>
    <t>绿</t>
    <phoneticPr fontId="8" type="noConversion"/>
  </si>
  <si>
    <t>妮可</t>
    <phoneticPr fontId="8" type="noConversion"/>
  </si>
  <si>
    <t>虹心雫</t>
    <phoneticPr fontId="1" type="noConversion"/>
  </si>
  <si>
    <t>sp</t>
    <phoneticPr fontId="1" type="noConversion"/>
  </si>
  <si>
    <t>雫</t>
    <phoneticPr fontId="8" type="noConversion"/>
  </si>
  <si>
    <t>sp获得</t>
    <phoneticPr fontId="8" type="noConversion"/>
  </si>
  <si>
    <t>te</t>
    <phoneticPr fontId="8" type="noConversion"/>
  </si>
  <si>
    <t>秋雨丸</t>
    <phoneticPr fontId="1" type="noConversion"/>
  </si>
  <si>
    <t>vo</t>
    <phoneticPr fontId="1" type="noConversion"/>
  </si>
  <si>
    <t>蓝</t>
    <phoneticPr fontId="8" type="noConversion"/>
  </si>
  <si>
    <t>花丸</t>
    <phoneticPr fontId="8" type="noConversion"/>
  </si>
  <si>
    <t>全员</t>
    <phoneticPr fontId="8" type="noConversion"/>
  </si>
  <si>
    <t>秋雨璃</t>
  </si>
  <si>
    <t>秋雨璃</t>
    <phoneticPr fontId="1" type="noConversion"/>
  </si>
  <si>
    <t>gd</t>
    <phoneticPr fontId="1" type="noConversion"/>
  </si>
  <si>
    <t>红</t>
    <phoneticPr fontId="8" type="noConversion"/>
  </si>
  <si>
    <t>璃奈</t>
    <phoneticPr fontId="8" type="noConversion"/>
  </si>
  <si>
    <t>st</t>
    <phoneticPr fontId="8" type="noConversion"/>
  </si>
  <si>
    <t>aa姬</t>
    <phoneticPr fontId="1" type="noConversion"/>
  </si>
  <si>
    <t>真姬</t>
    <phoneticPr fontId="8" type="noConversion"/>
  </si>
  <si>
    <t>减伤</t>
    <phoneticPr fontId="8" type="noConversion"/>
  </si>
  <si>
    <t>未熟曜</t>
    <phoneticPr fontId="1" type="noConversion"/>
  </si>
  <si>
    <t>曜</t>
    <phoneticPr fontId="8" type="noConversion"/>
  </si>
  <si>
    <t>8.13</t>
    <phoneticPr fontId="1" type="noConversion"/>
  </si>
  <si>
    <t>夏色えがおで1,2,Jump!</t>
    <phoneticPr fontId="1" type="noConversion"/>
  </si>
  <si>
    <t>180/311</t>
    <phoneticPr fontId="1" type="noConversion"/>
  </si>
  <si>
    <t>夜明珠（イエミンジュ）</t>
    <phoneticPr fontId="1" type="noConversion"/>
  </si>
  <si>
    <t>95/164</t>
    <phoneticPr fontId="1" type="noConversion"/>
  </si>
  <si>
    <t>Toy Doll</t>
    <phoneticPr fontId="1" type="noConversion"/>
  </si>
  <si>
    <t>87/164</t>
    <phoneticPr fontId="1" type="noConversion"/>
  </si>
  <si>
    <t>QU4RTZ 花のキーホルダー</t>
    <phoneticPr fontId="1" type="noConversion"/>
  </si>
  <si>
    <t>接下来的3个note中，暴击率提升-----（条件：切队时，最多发动5次）</t>
    <phoneticPr fontId="1" type="noConversion"/>
  </si>
  <si>
    <t>Break The System</t>
    <phoneticPr fontId="1" type="noConversion"/>
  </si>
  <si>
    <t>TO BE YOURSELF</t>
    <phoneticPr fontId="1" type="noConversion"/>
  </si>
  <si>
    <t>エイエ戦サー</t>
    <phoneticPr fontId="1" type="noConversion"/>
  </si>
  <si>
    <t>Turn it Up!</t>
    <phoneticPr fontId="1" type="noConversion"/>
  </si>
  <si>
    <t>Diabolic mulier</t>
    <phoneticPr fontId="1" type="noConversion"/>
  </si>
  <si>
    <t>Silent Blaze</t>
    <phoneticPr fontId="1" type="noConversion"/>
  </si>
  <si>
    <t>ヤダ！</t>
    <phoneticPr fontId="1" type="noConversion"/>
  </si>
  <si>
    <t>いつだってfor you!</t>
    <phoneticPr fontId="1" type="noConversion"/>
  </si>
  <si>
    <t>First Love Again</t>
    <phoneticPr fontId="1" type="noConversion"/>
  </si>
  <si>
    <t>コンセントレイト！</t>
    <phoneticPr fontId="1" type="noConversion"/>
  </si>
  <si>
    <t>111/170</t>
    <phoneticPr fontId="1" type="noConversion"/>
  </si>
  <si>
    <t>97/164</t>
    <phoneticPr fontId="1" type="noConversion"/>
  </si>
  <si>
    <t>-(0.3*Max)</t>
    <phoneticPr fontId="1" type="noConversion"/>
  </si>
  <si>
    <r>
      <rPr>
        <sz val="14"/>
        <rFont val="FOT-Skip Std B"/>
        <family val="1"/>
        <charset val="128"/>
      </rPr>
      <t>-0.35*Max</t>
    </r>
    <phoneticPr fontId="1" type="noConversion"/>
  </si>
  <si>
    <t>-0.2*Max</t>
    <phoneticPr fontId="1" type="noConversion"/>
  </si>
  <si>
    <t>87/162</t>
    <phoneticPr fontId="1" type="noConversion"/>
  </si>
  <si>
    <t>76/173</t>
    <phoneticPr fontId="1" type="noConversion"/>
  </si>
  <si>
    <t>114/178</t>
    <phoneticPr fontId="1" type="noConversion"/>
  </si>
  <si>
    <t>92/150</t>
    <phoneticPr fontId="1" type="noConversion"/>
  </si>
  <si>
    <t>添加了新DLP数据</t>
    <phoneticPr fontId="1" type="noConversion"/>
  </si>
  <si>
    <t>8.14</t>
    <phoneticPr fontId="1" type="noConversion"/>
  </si>
  <si>
    <t>106/169</t>
    <phoneticPr fontId="1" type="noConversion"/>
  </si>
  <si>
    <t>101/171</t>
    <phoneticPr fontId="1" type="noConversion"/>
  </si>
  <si>
    <t>92/161</t>
    <phoneticPr fontId="1" type="noConversion"/>
  </si>
  <si>
    <t>109/168</t>
    <phoneticPr fontId="1" type="noConversion"/>
  </si>
  <si>
    <t>fes2海</t>
    <phoneticPr fontId="1" type="noConversion"/>
  </si>
  <si>
    <t>sk</t>
    <phoneticPr fontId="1" type="noConversion"/>
  </si>
  <si>
    <t>海未</t>
    <phoneticPr fontId="8" type="noConversion"/>
  </si>
  <si>
    <t>vo+</t>
    <phoneticPr fontId="8" type="noConversion"/>
  </si>
  <si>
    <t>同作战</t>
    <phoneticPr fontId="8" type="noConversion"/>
  </si>
  <si>
    <t>百分比</t>
    <phoneticPr fontId="8" type="noConversion"/>
  </si>
  <si>
    <t>fes2黛</t>
    <phoneticPr fontId="1" type="noConversion"/>
  </si>
  <si>
    <t>sp</t>
    <phoneticPr fontId="1" type="noConversion"/>
  </si>
  <si>
    <t>黄</t>
    <phoneticPr fontId="8" type="noConversion"/>
  </si>
  <si>
    <t>黛雅</t>
    <phoneticPr fontId="8" type="noConversion"/>
  </si>
  <si>
    <t>未实现</t>
    <phoneticPr fontId="1" type="noConversion"/>
  </si>
  <si>
    <t>aa鸟</t>
    <phoneticPr fontId="1" type="noConversion"/>
  </si>
  <si>
    <t>虹心步</t>
    <phoneticPr fontId="1" type="noConversion"/>
  </si>
  <si>
    <t>虹心栞</t>
    <phoneticPr fontId="1" type="noConversion"/>
  </si>
  <si>
    <t>gd</t>
    <phoneticPr fontId="1" type="noConversion"/>
  </si>
  <si>
    <t>vo</t>
    <phoneticPr fontId="1" type="noConversion"/>
  </si>
  <si>
    <t>绿</t>
    <phoneticPr fontId="8" type="noConversion"/>
  </si>
  <si>
    <t>粉</t>
    <phoneticPr fontId="8" type="noConversion"/>
  </si>
  <si>
    <t>小鸟</t>
    <phoneticPr fontId="8" type="noConversion"/>
  </si>
  <si>
    <t>步梦</t>
    <phoneticPr fontId="8" type="noConversion"/>
  </si>
  <si>
    <t>栞子</t>
    <phoneticPr fontId="8" type="noConversion"/>
  </si>
  <si>
    <t>te</t>
    <phoneticPr fontId="8" type="noConversion"/>
  </si>
  <si>
    <t>同type</t>
    <phoneticPr fontId="8" type="noConversion"/>
  </si>
  <si>
    <t>infty</t>
    <phoneticPr fontId="8" type="noConversion"/>
  </si>
  <si>
    <t>8.15</t>
    <phoneticPr fontId="1" type="noConversion"/>
  </si>
  <si>
    <t>32-01</t>
    <phoneticPr fontId="1" type="noConversion"/>
  </si>
  <si>
    <t>32-02</t>
    <phoneticPr fontId="1" type="noConversion"/>
  </si>
  <si>
    <t>32-03</t>
  </si>
  <si>
    <t>32-04</t>
  </si>
  <si>
    <t>32-05</t>
  </si>
  <si>
    <t>32-06</t>
  </si>
  <si>
    <t>32-07</t>
  </si>
  <si>
    <t>32-08</t>
  </si>
  <si>
    <t>32-09</t>
  </si>
  <si>
    <t>32-10</t>
  </si>
  <si>
    <t>31-07</t>
    <phoneticPr fontId="1" type="noConversion"/>
  </si>
  <si>
    <t>gd</t>
    <phoneticPr fontId="1" type="noConversion"/>
  </si>
  <si>
    <t>红</t>
    <phoneticPr fontId="8" type="noConversion"/>
  </si>
  <si>
    <t>善子</t>
    <phoneticPr fontId="8" type="noConversion"/>
  </si>
  <si>
    <t>vo</t>
    <phoneticPr fontId="1" type="noConversion"/>
  </si>
  <si>
    <t>四专米</t>
  </si>
  <si>
    <t>米娅</t>
    <phoneticPr fontId="8" type="noConversion"/>
  </si>
  <si>
    <t>粉</t>
    <phoneticPr fontId="8" type="noConversion"/>
  </si>
  <si>
    <t>霞</t>
    <phoneticPr fontId="8" type="noConversion"/>
  </si>
  <si>
    <t>sp</t>
    <phoneticPr fontId="1" type="noConversion"/>
  </si>
  <si>
    <t>真姬</t>
    <phoneticPr fontId="8" type="noConversion"/>
  </si>
  <si>
    <t>水蓝丸</t>
  </si>
  <si>
    <t>四专艾</t>
  </si>
  <si>
    <t>sk</t>
    <phoneticPr fontId="1" type="noConversion"/>
  </si>
  <si>
    <t>紫</t>
    <phoneticPr fontId="8" type="noConversion"/>
  </si>
  <si>
    <t>艾玛</t>
    <phoneticPr fontId="8" type="noConversion"/>
  </si>
  <si>
    <t>花丸</t>
    <phoneticPr fontId="8" type="noConversion"/>
  </si>
  <si>
    <t>私服善</t>
  </si>
  <si>
    <t>私服霞</t>
  </si>
  <si>
    <t>私服姬</t>
  </si>
  <si>
    <t>虹心步</t>
  </si>
  <si>
    <t>aa鸟</t>
  </si>
  <si>
    <t>sweet&amp;sweet holiday</t>
    <phoneticPr fontId="1" type="noConversion"/>
  </si>
  <si>
    <t>L！L！L！ (Love the Life We Live)</t>
    <phoneticPr fontId="1" type="noConversion"/>
  </si>
  <si>
    <t>WATER BLUE NEW WORLD</t>
    <phoneticPr fontId="1" type="noConversion"/>
  </si>
  <si>
    <t>-(Sk*8000)</t>
    <phoneticPr fontId="1" type="noConversion"/>
  </si>
  <si>
    <t>100/178</t>
    <phoneticPr fontId="1" type="noConversion"/>
  </si>
  <si>
    <t>103/172</t>
    <phoneticPr fontId="1" type="noConversion"/>
  </si>
  <si>
    <t>KOKORO Magic “A to Z”</t>
    <phoneticPr fontId="1" type="noConversion"/>
  </si>
  <si>
    <t xml:space="preserve">700000+160000 </t>
    <phoneticPr fontId="1" type="noConversion"/>
  </si>
  <si>
    <t>82/205</t>
    <phoneticPr fontId="1" type="noConversion"/>
  </si>
  <si>
    <t>Music S.T.A.R.T!!</t>
    <phoneticPr fontId="1" type="noConversion"/>
  </si>
  <si>
    <t>203/309</t>
    <phoneticPr fontId="1" type="noConversion"/>
  </si>
  <si>
    <t>8.16</t>
    <phoneticPr fontId="1" type="noConversion"/>
  </si>
  <si>
    <t>2021.10</t>
    <phoneticPr fontId="1" type="noConversion"/>
  </si>
  <si>
    <t>TOKIMEKI Runners 17章Ver.</t>
    <phoneticPr fontId="1" type="noConversion"/>
  </si>
  <si>
    <t>L！L！L！ (Love the Life We Live)</t>
    <phoneticPr fontId="1" type="noConversion"/>
  </si>
  <si>
    <t>Love U my friends</t>
    <phoneticPr fontId="1" type="noConversion"/>
  </si>
  <si>
    <t>青空Jumping Heart</t>
    <phoneticPr fontId="1" type="noConversion"/>
  </si>
  <si>
    <t>未来の僕らは知ってるよ</t>
    <phoneticPr fontId="1" type="noConversion"/>
  </si>
  <si>
    <t>君のこころは輝いてるかい？</t>
    <phoneticPr fontId="1" type="noConversion"/>
  </si>
  <si>
    <t>それは僕たちの奇跡</t>
    <phoneticPr fontId="1" type="noConversion"/>
  </si>
  <si>
    <t>Snow halation</t>
    <phoneticPr fontId="1" type="noConversion"/>
  </si>
  <si>
    <t>嵐のなかの恋だから</t>
    <phoneticPr fontId="1" type="noConversion"/>
  </si>
  <si>
    <t>Just Believe!!!(2D)</t>
    <phoneticPr fontId="1" type="noConversion"/>
  </si>
  <si>
    <t>虹色Passions！(2D)</t>
    <phoneticPr fontId="1" type="noConversion"/>
  </si>
  <si>
    <t>NEO SKY, NEO MAP!(2D)</t>
    <phoneticPr fontId="1" type="noConversion"/>
  </si>
  <si>
    <t>夢がここからはじまるよ(2D)</t>
    <phoneticPr fontId="1" type="noConversion"/>
  </si>
  <si>
    <t>未来予報ハレルヤ！</t>
    <phoneticPr fontId="1" type="noConversion"/>
  </si>
  <si>
    <t>115/167</t>
    <phoneticPr fontId="1" type="noConversion"/>
  </si>
  <si>
    <t>prt南</t>
    <phoneticPr fontId="1" type="noConversion"/>
  </si>
  <si>
    <t>四专珠</t>
  </si>
  <si>
    <t>四专珠</t>
    <phoneticPr fontId="1" type="noConversion"/>
  </si>
  <si>
    <t>UR</t>
    <phoneticPr fontId="1" type="noConversion"/>
  </si>
  <si>
    <t>sk</t>
    <phoneticPr fontId="1" type="noConversion"/>
  </si>
  <si>
    <t>果南</t>
    <phoneticPr fontId="8" type="noConversion"/>
  </si>
  <si>
    <t>岚珠</t>
    <phoneticPr fontId="8" type="noConversion"/>
  </si>
  <si>
    <t>8.17</t>
    <phoneticPr fontId="1" type="noConversion"/>
  </si>
  <si>
    <t>RED GEM WINK</t>
    <phoneticPr fontId="1" type="noConversion"/>
  </si>
  <si>
    <t>One More Sunshine Story</t>
    <phoneticPr fontId="1" type="noConversion"/>
  </si>
  <si>
    <t>New Romantic Sailors</t>
    <phoneticPr fontId="1" type="noConversion"/>
  </si>
  <si>
    <t>Braveheart Coaster</t>
    <phoneticPr fontId="1" type="noConversion"/>
  </si>
  <si>
    <t>WHITE FIRST LOVE</t>
    <phoneticPr fontId="1" type="noConversion"/>
  </si>
  <si>
    <t>JIMO-AI Dash!</t>
    <phoneticPr fontId="1" type="noConversion"/>
  </si>
  <si>
    <t>未熟DREAMER</t>
    <phoneticPr fontId="1" type="noConversion"/>
  </si>
  <si>
    <t>max</t>
    <phoneticPr fontId="1" type="noConversion"/>
  </si>
  <si>
    <t>-7,000*Sk</t>
  </si>
  <si>
    <t>vo</t>
    <phoneticPr fontId="1" type="noConversion"/>
  </si>
  <si>
    <t>绿</t>
    <phoneticPr fontId="8" type="noConversion"/>
  </si>
  <si>
    <t>凛</t>
    <phoneticPr fontId="8" type="noConversion"/>
  </si>
  <si>
    <t>水蓝鞠</t>
    <phoneticPr fontId="1" type="noConversion"/>
  </si>
  <si>
    <t>gd</t>
    <phoneticPr fontId="1" type="noConversion"/>
  </si>
  <si>
    <t>鞠莉</t>
    <phoneticPr fontId="8" type="noConversion"/>
  </si>
  <si>
    <t>黄</t>
    <phoneticPr fontId="8" type="noConversion"/>
  </si>
  <si>
    <t>梨子</t>
    <phoneticPr fontId="8" type="noConversion"/>
  </si>
  <si>
    <t>sp</t>
    <phoneticPr fontId="1" type="noConversion"/>
  </si>
  <si>
    <t>栞子</t>
    <phoneticPr fontId="8" type="noConversion"/>
  </si>
  <si>
    <t>四专爱</t>
    <phoneticPr fontId="1" type="noConversion"/>
  </si>
  <si>
    <t>万圣凛</t>
    <phoneticPr fontId="1" type="noConversion"/>
  </si>
  <si>
    <t>万圣梨</t>
  </si>
  <si>
    <t>万圣梨</t>
    <phoneticPr fontId="1" type="noConversion"/>
  </si>
  <si>
    <t>万圣栞</t>
    <phoneticPr fontId="1" type="noConversion"/>
  </si>
  <si>
    <t>红</t>
    <phoneticPr fontId="8" type="noConversion"/>
  </si>
  <si>
    <t>爱</t>
    <phoneticPr fontId="8" type="noConversion"/>
  </si>
  <si>
    <t>四单绘</t>
    <phoneticPr fontId="1" type="noConversion"/>
  </si>
  <si>
    <t>粉</t>
    <phoneticPr fontId="8" type="noConversion"/>
  </si>
  <si>
    <t>绘里</t>
    <phoneticPr fontId="8" type="noConversion"/>
  </si>
  <si>
    <t>8.18</t>
    <phoneticPr fontId="1" type="noConversion"/>
  </si>
  <si>
    <t>(2.4*Max)</t>
    <phoneticPr fontId="1" type="noConversion"/>
  </si>
  <si>
    <t>Fly into the sky</t>
    <phoneticPr fontId="1" type="noConversion"/>
  </si>
  <si>
    <t>-(5000*Gd)</t>
    <phoneticPr fontId="1" type="noConversion"/>
  </si>
  <si>
    <t>77/163</t>
    <phoneticPr fontId="1" type="noConversion"/>
  </si>
  <si>
    <t>fes2林</t>
    <phoneticPr fontId="1" type="noConversion"/>
  </si>
  <si>
    <t>fes2果</t>
    <phoneticPr fontId="1" type="noConversion"/>
  </si>
  <si>
    <t>水蓝曜</t>
  </si>
  <si>
    <t>水蓝曜</t>
    <phoneticPr fontId="1" type="noConversion"/>
  </si>
  <si>
    <t>四单希</t>
    <phoneticPr fontId="1" type="noConversion"/>
  </si>
  <si>
    <t>红</t>
    <phoneticPr fontId="8" type="noConversion"/>
  </si>
  <si>
    <t>蓝</t>
    <phoneticPr fontId="8" type="noConversion"/>
  </si>
  <si>
    <t>黄</t>
    <phoneticPr fontId="8" type="noConversion"/>
  </si>
  <si>
    <t>果林</t>
    <phoneticPr fontId="8" type="noConversion"/>
  </si>
  <si>
    <t>穗乃果</t>
    <phoneticPr fontId="8" type="noConversion"/>
  </si>
  <si>
    <t>曜</t>
    <phoneticPr fontId="8" type="noConversion"/>
  </si>
  <si>
    <t>希</t>
    <phoneticPr fontId="8" type="noConversion"/>
  </si>
  <si>
    <t>驱散</t>
    <phoneticPr fontId="8" type="noConversion"/>
  </si>
  <si>
    <t>AC成功</t>
    <phoneticPr fontId="8" type="noConversion"/>
  </si>
  <si>
    <t>33-01</t>
    <phoneticPr fontId="1" type="noConversion"/>
  </si>
  <si>
    <t>33-02</t>
    <phoneticPr fontId="1" type="noConversion"/>
  </si>
  <si>
    <t>33-03</t>
  </si>
  <si>
    <t>33-04</t>
  </si>
  <si>
    <t>33-05</t>
  </si>
  <si>
    <t>33-06</t>
  </si>
  <si>
    <t>33-07</t>
  </si>
  <si>
    <t>33-08</t>
  </si>
  <si>
    <t>33-09</t>
  </si>
  <si>
    <t>33-10</t>
  </si>
  <si>
    <t>8.19</t>
    <phoneticPr fontId="1" type="noConversion"/>
  </si>
  <si>
    <t>豆耨</t>
    <phoneticPr fontId="1" type="noConversion"/>
  </si>
  <si>
    <t>女仆雫</t>
    <phoneticPr fontId="1" type="noConversion"/>
  </si>
  <si>
    <t>vo</t>
    <phoneticPr fontId="1" type="noConversion"/>
  </si>
  <si>
    <t>粉</t>
    <phoneticPr fontId="8" type="noConversion"/>
  </si>
  <si>
    <t>雫</t>
    <phoneticPr fontId="8" type="noConversion"/>
  </si>
  <si>
    <t>水蓝梨</t>
    <phoneticPr fontId="1" type="noConversion"/>
  </si>
  <si>
    <t>gd</t>
    <phoneticPr fontId="1" type="noConversion"/>
  </si>
  <si>
    <t>绿</t>
    <phoneticPr fontId="8" type="noConversion"/>
  </si>
  <si>
    <t>梨子</t>
    <phoneticPr fontId="8" type="noConversion"/>
  </si>
  <si>
    <t>女仆黛</t>
    <phoneticPr fontId="1" type="noConversion"/>
  </si>
  <si>
    <t>黛雅</t>
    <phoneticPr fontId="8" type="noConversion"/>
  </si>
  <si>
    <t>女仆鸟</t>
    <phoneticPr fontId="1" type="noConversion"/>
  </si>
  <si>
    <t>sk</t>
    <phoneticPr fontId="1" type="noConversion"/>
  </si>
  <si>
    <t>紫</t>
    <phoneticPr fontId="8" type="noConversion"/>
  </si>
  <si>
    <t>小鸟</t>
    <phoneticPr fontId="8" type="noConversion"/>
  </si>
  <si>
    <t>四专步</t>
    <phoneticPr fontId="1" type="noConversion"/>
  </si>
  <si>
    <t>sp</t>
    <phoneticPr fontId="1" type="noConversion"/>
  </si>
  <si>
    <t>步梦</t>
    <phoneticPr fontId="8" type="noConversion"/>
  </si>
  <si>
    <t>四单姬</t>
    <phoneticPr fontId="1" type="noConversion"/>
  </si>
  <si>
    <t>真姬</t>
    <phoneticPr fontId="8" type="noConversion"/>
  </si>
  <si>
    <t>8.20</t>
    <phoneticPr fontId="1" type="noConversion"/>
  </si>
  <si>
    <t>prt丸</t>
    <phoneticPr fontId="1" type="noConversion"/>
  </si>
  <si>
    <t>sp</t>
    <phoneticPr fontId="1" type="noConversion"/>
  </si>
  <si>
    <t>红</t>
    <phoneticPr fontId="8" type="noConversion"/>
  </si>
  <si>
    <t>花丸</t>
    <phoneticPr fontId="8" type="noConversion"/>
  </si>
  <si>
    <t>四专霞</t>
    <phoneticPr fontId="1" type="noConversion"/>
  </si>
  <si>
    <t>sk</t>
    <phoneticPr fontId="1" type="noConversion"/>
  </si>
  <si>
    <t>蓝</t>
    <phoneticPr fontId="8" type="noConversion"/>
  </si>
  <si>
    <t>霞</t>
    <phoneticPr fontId="8" type="noConversion"/>
  </si>
  <si>
    <t>8.21</t>
    <phoneticPr fontId="1" type="noConversion"/>
  </si>
  <si>
    <t>Dancing stars on me!</t>
    <phoneticPr fontId="1" type="noConversion"/>
  </si>
  <si>
    <t>79/163</t>
    <phoneticPr fontId="1" type="noConversion"/>
  </si>
  <si>
    <t>ハミングフレンド</t>
    <phoneticPr fontId="1" type="noConversion"/>
  </si>
  <si>
    <t>123/184</t>
    <phoneticPr fontId="1" type="noConversion"/>
  </si>
  <si>
    <t>Not Sad</t>
    <phoneticPr fontId="1" type="noConversion"/>
  </si>
  <si>
    <t>101/154</t>
    <phoneticPr fontId="1" type="noConversion"/>
  </si>
  <si>
    <t>201/301</t>
    <phoneticPr fontId="1" type="noConversion"/>
  </si>
  <si>
    <t>おやすみなさん！</t>
    <phoneticPr fontId="1" type="noConversion"/>
  </si>
  <si>
    <t>Starlight</t>
    <phoneticPr fontId="1" type="noConversion"/>
  </si>
  <si>
    <t>0.6*max</t>
    <phoneticPr fontId="1" type="noConversion"/>
  </si>
  <si>
    <t>いつだってfor you!</t>
    <phoneticPr fontId="1" type="noConversion"/>
  </si>
  <si>
    <r>
      <rPr>
        <sz val="14"/>
        <rFont val="FOT-Skip Std B"/>
        <family val="1"/>
        <charset val="128"/>
      </rPr>
      <t>-0.3*max</t>
    </r>
    <phoneticPr fontId="1" type="noConversion"/>
  </si>
  <si>
    <t>虹色Passions！</t>
    <phoneticPr fontId="1" type="noConversion"/>
  </si>
  <si>
    <t>Active</t>
    <phoneticPr fontId="1" type="noConversion"/>
  </si>
  <si>
    <t>2021.10</t>
    <phoneticPr fontId="1" type="noConversion"/>
  </si>
  <si>
    <t>Angelic Angel</t>
    <phoneticPr fontId="1" type="noConversion"/>
  </si>
  <si>
    <t>MIRAI TICKET</t>
    <phoneticPr fontId="1" type="noConversion"/>
  </si>
  <si>
    <t>MELODY</t>
    <phoneticPr fontId="1" type="noConversion"/>
  </si>
  <si>
    <t>2021.11</t>
    <phoneticPr fontId="1" type="noConversion"/>
  </si>
  <si>
    <t>スリリング・ワンウェイ</t>
    <phoneticPr fontId="1" type="noConversion"/>
  </si>
  <si>
    <t>Sweet Eyes</t>
    <phoneticPr fontId="1" type="noConversion"/>
  </si>
  <si>
    <t>全速ドリーマー</t>
    <phoneticPr fontId="1" type="noConversion"/>
  </si>
  <si>
    <t>2021.12</t>
    <phoneticPr fontId="1" type="noConversion"/>
  </si>
  <si>
    <t>君のこころは輝いてるかい？</t>
    <phoneticPr fontId="1" type="noConversion"/>
  </si>
  <si>
    <t>各名次分数及相对理论分差值（上级）/每键平均分（上级+）</t>
    <phoneticPr fontId="1" type="noConversion"/>
  </si>
  <si>
    <t>理论分（上级）
键数和AC分（上级+）</t>
    <phoneticPr fontId="1" type="noConversion"/>
  </si>
  <si>
    <t>三曲合计</t>
    <phoneticPr fontId="1" type="noConversion"/>
  </si>
  <si>
    <t>青空Jumping Heart</t>
    <phoneticPr fontId="1" type="noConversion"/>
  </si>
  <si>
    <t>Love U my friends</t>
    <phoneticPr fontId="1" type="noConversion"/>
  </si>
  <si>
    <t>各名次分数及相对理论分平均每日差值（上级）/每键平均每日平均分（上级+）</t>
    <phoneticPr fontId="1" type="noConversion"/>
  </si>
  <si>
    <t>Happy maker!</t>
    <phoneticPr fontId="1" type="noConversion"/>
  </si>
  <si>
    <t>LIKE IT！LOVE IT！</t>
    <phoneticPr fontId="1" type="noConversion"/>
  </si>
  <si>
    <t>修复了虹心爱的9位id的错误</t>
    <phoneticPr fontId="1" type="noConversion"/>
  </si>
  <si>
    <t>8.22</t>
    <phoneticPr fontId="1" type="noConversion"/>
  </si>
  <si>
    <t>vo</t>
    <phoneticPr fontId="1" type="noConversion"/>
  </si>
  <si>
    <t>红</t>
    <phoneticPr fontId="8" type="noConversion"/>
  </si>
  <si>
    <t>希</t>
    <phoneticPr fontId="8" type="noConversion"/>
  </si>
  <si>
    <t>sk</t>
    <phoneticPr fontId="1" type="noConversion"/>
  </si>
  <si>
    <t>蓝</t>
    <phoneticPr fontId="8" type="noConversion"/>
  </si>
  <si>
    <t>米娅</t>
    <phoneticPr fontId="8" type="noConversion"/>
  </si>
  <si>
    <t>无</t>
  </si>
  <si>
    <t>四专璃</t>
    <phoneticPr fontId="1" type="noConversion"/>
  </si>
  <si>
    <t>sp</t>
    <phoneticPr fontId="1" type="noConversion"/>
  </si>
  <si>
    <t>黄</t>
    <phoneticPr fontId="8" type="noConversion"/>
  </si>
  <si>
    <t>璃奈</t>
    <phoneticPr fontId="8" type="noConversion"/>
  </si>
  <si>
    <t>技能+</t>
    <phoneticPr fontId="8" type="noConversion"/>
  </si>
  <si>
    <t>露比</t>
    <phoneticPr fontId="8" type="noConversion"/>
  </si>
  <si>
    <t>ct+</t>
    <phoneticPr fontId="8" type="noConversion"/>
  </si>
  <si>
    <t>四单果</t>
    <phoneticPr fontId="1" type="noConversion"/>
  </si>
  <si>
    <t>粉</t>
    <phoneticPr fontId="8" type="noConversion"/>
  </si>
  <si>
    <t>穗乃果</t>
    <phoneticPr fontId="8" type="noConversion"/>
  </si>
  <si>
    <t>水蓝千</t>
    <phoneticPr fontId="1" type="noConversion"/>
  </si>
  <si>
    <t>千歌</t>
    <phoneticPr fontId="8" type="noConversion"/>
  </si>
  <si>
    <t>te</t>
    <phoneticPr fontId="8" type="noConversion"/>
  </si>
  <si>
    <t>感恩希</t>
    <phoneticPr fontId="1" type="noConversion"/>
  </si>
  <si>
    <t>感恩米</t>
    <phoneticPr fontId="1" type="noConversion"/>
  </si>
  <si>
    <t>感恩露</t>
    <phoneticPr fontId="1" type="noConversion"/>
  </si>
  <si>
    <t>fes2彼</t>
    <phoneticPr fontId="1" type="noConversion"/>
  </si>
  <si>
    <t>粉</t>
    <phoneticPr fontId="8" type="noConversion"/>
  </si>
  <si>
    <t>彼方</t>
    <phoneticPr fontId="8" type="noConversion"/>
  </si>
  <si>
    <t>fes2菜</t>
    <phoneticPr fontId="1" type="noConversion"/>
  </si>
  <si>
    <t>sp</t>
    <phoneticPr fontId="1" type="noConversion"/>
  </si>
  <si>
    <t>雪菜</t>
    <phoneticPr fontId="8" type="noConversion"/>
  </si>
  <si>
    <t>水蓝善</t>
    <phoneticPr fontId="1" type="noConversion"/>
  </si>
  <si>
    <t>vo</t>
    <phoneticPr fontId="1" type="noConversion"/>
  </si>
  <si>
    <t>紫</t>
    <phoneticPr fontId="8" type="noConversion"/>
  </si>
  <si>
    <t>善子</t>
    <phoneticPr fontId="8" type="noConversion"/>
  </si>
  <si>
    <t>四单海</t>
  </si>
  <si>
    <t>四单海</t>
    <phoneticPr fontId="1" type="noConversion"/>
  </si>
  <si>
    <t>sk</t>
    <phoneticPr fontId="1" type="noConversion"/>
  </si>
  <si>
    <t>蓝</t>
    <phoneticPr fontId="8" type="noConversion"/>
  </si>
  <si>
    <t>海未</t>
    <phoneticPr fontId="8" type="noConversion"/>
  </si>
  <si>
    <t>1艾/2菜</t>
    <phoneticPr fontId="1" type="noConversion"/>
  </si>
  <si>
    <t>フォルクロア ～歓喜の歌～</t>
    <phoneticPr fontId="1" type="noConversion"/>
  </si>
  <si>
    <t>71/171</t>
    <phoneticPr fontId="1" type="noConversion"/>
  </si>
  <si>
    <t>Wish Song</t>
    <phoneticPr fontId="1" type="noConversion"/>
  </si>
  <si>
    <t>109/173</t>
    <phoneticPr fontId="1" type="noConversion"/>
  </si>
  <si>
    <t>夢への一歩</t>
    <phoneticPr fontId="1" type="noConversion"/>
  </si>
  <si>
    <t>148/281</t>
    <phoneticPr fontId="1" type="noConversion"/>
  </si>
  <si>
    <t>8.23</t>
    <phoneticPr fontId="1" type="noConversion"/>
  </si>
  <si>
    <t>8.24</t>
    <phoneticPr fontId="1" type="noConversion"/>
  </si>
  <si>
    <t>fes2丸</t>
    <phoneticPr fontId="8" type="noConversion"/>
  </si>
  <si>
    <t>单键700</t>
    <phoneticPr fontId="1" type="noConversion"/>
  </si>
  <si>
    <t>单键900</t>
    <phoneticPr fontId="1" type="noConversion"/>
  </si>
  <si>
    <t>SS+</t>
    <phoneticPr fontId="1" type="noConversion"/>
  </si>
  <si>
    <t>SS-</t>
    <phoneticPr fontId="1" type="noConversion"/>
  </si>
  <si>
    <t>A-</t>
    <phoneticPr fontId="1" type="noConversion"/>
  </si>
  <si>
    <t>奶/盾</t>
    <phoneticPr fontId="1" type="noConversion"/>
  </si>
  <si>
    <t>米娅</t>
  </si>
  <si>
    <t>米娅</t>
    <phoneticPr fontId="1" type="noConversion"/>
  </si>
  <si>
    <t>岚珠</t>
    <phoneticPr fontId="1" type="noConversion"/>
  </si>
  <si>
    <t>9.0</t>
    <phoneticPr fontId="1" type="noConversion"/>
  </si>
  <si>
    <t>34-01</t>
    <phoneticPr fontId="1" type="noConversion"/>
  </si>
  <si>
    <t>34-02</t>
    <phoneticPr fontId="1" type="noConversion"/>
  </si>
  <si>
    <t>34-03</t>
  </si>
  <si>
    <t>34-04</t>
  </si>
  <si>
    <t>34-05</t>
  </si>
  <si>
    <t>34-06</t>
  </si>
  <si>
    <t>34-07</t>
  </si>
  <si>
    <t>34-08</t>
  </si>
  <si>
    <t>34-09</t>
  </si>
  <si>
    <t>34-10</t>
  </si>
  <si>
    <t>重新调整了后排输出的评分</t>
    <phoneticPr fontId="1" type="noConversion"/>
  </si>
  <si>
    <t>更新了新剧情曲数据</t>
    <phoneticPr fontId="1" type="noConversion"/>
  </si>
  <si>
    <t>9.1</t>
    <phoneticPr fontId="1" type="noConversion"/>
  </si>
  <si>
    <t>sp</t>
    <phoneticPr fontId="1" type="noConversion"/>
  </si>
  <si>
    <t>紫</t>
    <phoneticPr fontId="8" type="noConversion"/>
  </si>
  <si>
    <t>璃奈</t>
    <phoneticPr fontId="8" type="noConversion"/>
  </si>
  <si>
    <t>vo</t>
    <phoneticPr fontId="1" type="noConversion"/>
  </si>
  <si>
    <t>蓝</t>
    <phoneticPr fontId="8" type="noConversion"/>
  </si>
  <si>
    <t>曜</t>
    <phoneticPr fontId="8" type="noConversion"/>
  </si>
  <si>
    <t>sk</t>
    <phoneticPr fontId="1" type="noConversion"/>
  </si>
  <si>
    <t>水蓝南</t>
    <phoneticPr fontId="1" type="noConversion"/>
  </si>
  <si>
    <t>四单妮</t>
    <phoneticPr fontId="1" type="noConversion"/>
  </si>
  <si>
    <t>gd</t>
    <phoneticPr fontId="1" type="noConversion"/>
  </si>
  <si>
    <t>四专彼</t>
    <phoneticPr fontId="1" type="noConversion"/>
  </si>
  <si>
    <t>雪光璃</t>
    <phoneticPr fontId="1" type="noConversion"/>
  </si>
  <si>
    <t>雪光曜</t>
    <phoneticPr fontId="1" type="noConversion"/>
  </si>
  <si>
    <t>雪光花</t>
    <phoneticPr fontId="1" type="noConversion"/>
  </si>
  <si>
    <t>9.2</t>
    <phoneticPr fontId="1" type="noConversion"/>
  </si>
  <si>
    <t>9.3</t>
    <phoneticPr fontId="1" type="noConversion"/>
  </si>
  <si>
    <t>2021.12</t>
    <phoneticPr fontId="1" type="noConversion"/>
  </si>
  <si>
    <t>KiRa-KiRa Sensation!</t>
    <phoneticPr fontId="1" type="noConversion"/>
  </si>
  <si>
    <t>Landing action Yeah!!</t>
    <phoneticPr fontId="1" type="noConversion"/>
  </si>
  <si>
    <t>Märchen Star</t>
    <phoneticPr fontId="1" type="noConversion"/>
  </si>
  <si>
    <t xml:space="preserve">	Dream Land！Dream World！</t>
    <phoneticPr fontId="1" type="noConversion"/>
  </si>
  <si>
    <t>36/177</t>
    <phoneticPr fontId="1" type="noConversion"/>
  </si>
  <si>
    <t>きっと青春が聞こえる</t>
    <phoneticPr fontId="1" type="noConversion"/>
  </si>
  <si>
    <t>123/164</t>
    <phoneticPr fontId="1" type="noConversion"/>
  </si>
  <si>
    <t>prt绘</t>
  </si>
  <si>
    <t>prt绘</t>
    <phoneticPr fontId="1" type="noConversion"/>
  </si>
  <si>
    <t>切队奶奶盾特技发动率(11%)</t>
    <phoneticPr fontId="8" type="noConversion"/>
  </si>
  <si>
    <t>黄</t>
    <phoneticPr fontId="1" type="noConversion"/>
  </si>
  <si>
    <t>绘里</t>
    <phoneticPr fontId="1" type="noConversion"/>
  </si>
  <si>
    <t>四专林</t>
    <phoneticPr fontId="1" type="noConversion"/>
  </si>
  <si>
    <t>绿</t>
    <phoneticPr fontId="1" type="noConversion"/>
  </si>
  <si>
    <t>果林</t>
    <phoneticPr fontId="1" type="noConversion"/>
  </si>
  <si>
    <t>9.3.99</t>
    <phoneticPr fontId="1" type="noConversion"/>
  </si>
  <si>
    <t>9.4</t>
    <phoneticPr fontId="1" type="noConversion"/>
  </si>
  <si>
    <t>根据最新公告，更改了新卡数据</t>
    <phoneticPr fontId="1" type="noConversion"/>
  </si>
  <si>
    <t>A+</t>
    <phoneticPr fontId="1" type="noConversion"/>
  </si>
  <si>
    <t>S-</t>
    <phoneticPr fontId="1" type="noConversion"/>
  </si>
  <si>
    <t>调整了卡片的评分标准</t>
    <phoneticPr fontId="1" type="noConversion"/>
  </si>
  <si>
    <t>136/279</t>
    <phoneticPr fontId="1" type="noConversion"/>
  </si>
  <si>
    <t>微熱からMystery</t>
    <phoneticPr fontId="1" type="noConversion"/>
  </si>
  <si>
    <t>未熟DREAMER</t>
    <phoneticPr fontId="1" type="noConversion"/>
  </si>
  <si>
    <t>虹色Passions！</t>
    <phoneticPr fontId="1" type="noConversion"/>
  </si>
  <si>
    <t>2022.01</t>
    <phoneticPr fontId="1" type="noConversion"/>
  </si>
  <si>
    <t>圣诞珠</t>
    <phoneticPr fontId="1" type="noConversion"/>
  </si>
  <si>
    <t>sk</t>
    <phoneticPr fontId="1" type="noConversion"/>
  </si>
  <si>
    <t>蓝</t>
    <phoneticPr fontId="1" type="noConversion"/>
  </si>
  <si>
    <t>岚珠</t>
    <phoneticPr fontId="1" type="noConversion"/>
  </si>
  <si>
    <t>水蓝黛</t>
    <phoneticPr fontId="1" type="noConversion"/>
  </si>
  <si>
    <t>sp</t>
    <phoneticPr fontId="1" type="noConversion"/>
  </si>
  <si>
    <t>黄</t>
    <phoneticPr fontId="1" type="noConversion"/>
  </si>
  <si>
    <t>黛雅</t>
    <phoneticPr fontId="1" type="noConversion"/>
  </si>
  <si>
    <t>圣诞千</t>
    <phoneticPr fontId="1" type="noConversion"/>
  </si>
  <si>
    <t>紫</t>
    <phoneticPr fontId="1" type="noConversion"/>
  </si>
  <si>
    <t>千歌</t>
    <phoneticPr fontId="1" type="noConversion"/>
  </si>
  <si>
    <t>实际发动率（计算个性2后/无上限环境）</t>
    <phoneticPr fontId="1" type="noConversion"/>
  </si>
  <si>
    <t>实际发动率（计算个性2后/有上限环境）</t>
    <phoneticPr fontId="1" type="noConversion"/>
  </si>
  <si>
    <t>圣诞海</t>
  </si>
  <si>
    <t>圣诞海</t>
    <phoneticPr fontId="1" type="noConversion"/>
  </si>
  <si>
    <t>gd</t>
    <phoneticPr fontId="1" type="noConversion"/>
  </si>
  <si>
    <t>粉</t>
    <phoneticPr fontId="1" type="noConversion"/>
  </si>
  <si>
    <t>海未</t>
    <phoneticPr fontId="1" type="noConversion"/>
  </si>
  <si>
    <t>四专栞</t>
    <phoneticPr fontId="1" type="noConversion"/>
  </si>
  <si>
    <t>栞子</t>
    <phoneticPr fontId="1" type="noConversion"/>
  </si>
  <si>
    <t>四单凛</t>
    <phoneticPr fontId="1" type="noConversion"/>
  </si>
  <si>
    <t>vo</t>
    <phoneticPr fontId="1" type="noConversion"/>
  </si>
  <si>
    <t>绿</t>
    <phoneticPr fontId="1" type="noConversion"/>
  </si>
  <si>
    <t>凛</t>
    <phoneticPr fontId="1" type="noConversion"/>
  </si>
  <si>
    <t>9.5</t>
    <phoneticPr fontId="1" type="noConversion"/>
  </si>
  <si>
    <t>修复了一些bug</t>
    <phoneticPr fontId="1" type="noConversion"/>
  </si>
  <si>
    <t>9.6</t>
    <phoneticPr fontId="1" type="noConversion"/>
  </si>
  <si>
    <t>fes2鞠</t>
    <phoneticPr fontId="1" type="noConversion"/>
  </si>
  <si>
    <t>fes2步</t>
    <phoneticPr fontId="1" type="noConversion"/>
  </si>
  <si>
    <t>四单鸟</t>
    <phoneticPr fontId="1" type="noConversion"/>
  </si>
  <si>
    <t>四专雫</t>
    <phoneticPr fontId="1" type="noConversion"/>
  </si>
  <si>
    <t>绿</t>
    <phoneticPr fontId="1" type="noConversion"/>
  </si>
  <si>
    <t>步梦</t>
    <phoneticPr fontId="1" type="noConversion"/>
  </si>
  <si>
    <t>鞠莉</t>
    <phoneticPr fontId="1" type="noConversion"/>
  </si>
  <si>
    <t>红</t>
    <phoneticPr fontId="1" type="noConversion"/>
  </si>
  <si>
    <t>小鸟</t>
    <phoneticPr fontId="1" type="noConversion"/>
  </si>
  <si>
    <t>蓝</t>
    <phoneticPr fontId="1" type="noConversion"/>
  </si>
  <si>
    <t>雫</t>
    <phoneticPr fontId="1" type="noConversion"/>
  </si>
  <si>
    <t>9.7</t>
    <phoneticPr fontId="1" type="noConversion"/>
  </si>
  <si>
    <t>微调了评分标准</t>
    <phoneticPr fontId="1" type="noConversion"/>
  </si>
  <si>
    <t>35-01</t>
    <phoneticPr fontId="1" type="noConversion"/>
  </si>
  <si>
    <t>35-02</t>
  </si>
  <si>
    <t>35-03</t>
  </si>
  <si>
    <t>35-04</t>
  </si>
  <si>
    <t>35-05</t>
  </si>
  <si>
    <t>35-06</t>
  </si>
  <si>
    <t>35-07</t>
  </si>
  <si>
    <t>35-08</t>
  </si>
  <si>
    <t>35-09</t>
  </si>
  <si>
    <t>35-10</t>
  </si>
  <si>
    <t>新年妮</t>
    <phoneticPr fontId="1" type="noConversion"/>
  </si>
  <si>
    <t>UR</t>
    <phoneticPr fontId="1" type="noConversion"/>
  </si>
  <si>
    <t>sp</t>
    <phoneticPr fontId="1" type="noConversion"/>
  </si>
  <si>
    <t>蓝</t>
    <phoneticPr fontId="1" type="noConversion"/>
  </si>
  <si>
    <t>妮可</t>
    <phoneticPr fontId="1" type="noConversion"/>
  </si>
  <si>
    <t>sp+</t>
    <phoneticPr fontId="1" type="noConversion"/>
  </si>
  <si>
    <t>水蓝露</t>
  </si>
  <si>
    <t>水蓝露</t>
    <phoneticPr fontId="1" type="noConversion"/>
  </si>
  <si>
    <t>gd</t>
    <phoneticPr fontId="1" type="noConversion"/>
  </si>
  <si>
    <t>紫</t>
    <phoneticPr fontId="1" type="noConversion"/>
  </si>
  <si>
    <t>露比</t>
    <phoneticPr fontId="1" type="noConversion"/>
  </si>
  <si>
    <t>新年爱</t>
    <phoneticPr fontId="1" type="noConversion"/>
  </si>
  <si>
    <t>vo</t>
    <phoneticPr fontId="1" type="noConversion"/>
  </si>
  <si>
    <t>粉</t>
    <phoneticPr fontId="1" type="noConversion"/>
  </si>
  <si>
    <t>爱</t>
    <phoneticPr fontId="1" type="noConversion"/>
  </si>
  <si>
    <t>新年艾</t>
  </si>
  <si>
    <t>新年艾</t>
    <phoneticPr fontId="1" type="noConversion"/>
  </si>
  <si>
    <t>艾玛</t>
    <phoneticPr fontId="1" type="noConversion"/>
  </si>
  <si>
    <t>四单花</t>
    <phoneticPr fontId="1" type="noConversion"/>
  </si>
  <si>
    <t>花阳</t>
    <phoneticPr fontId="1" type="noConversion"/>
  </si>
  <si>
    <t>四专菜</t>
    <phoneticPr fontId="1" type="noConversion"/>
  </si>
  <si>
    <t>sk</t>
    <phoneticPr fontId="1" type="noConversion"/>
  </si>
  <si>
    <t>雪菜</t>
    <phoneticPr fontId="1" type="noConversion"/>
  </si>
  <si>
    <t>9.8</t>
    <phoneticPr fontId="1" type="noConversion"/>
  </si>
  <si>
    <t>prt鸟</t>
  </si>
  <si>
    <t>prt彼</t>
  </si>
  <si>
    <t>fes2步</t>
  </si>
  <si>
    <t>fes2梨</t>
  </si>
  <si>
    <t>fes2菜</t>
  </si>
  <si>
    <t>fes2露</t>
  </si>
  <si>
    <t>fes2黛</t>
  </si>
  <si>
    <t>fes2姬</t>
  </si>
  <si>
    <t>fes2林</t>
  </si>
  <si>
    <t>fes2雫</t>
  </si>
  <si>
    <t>春游凛</t>
  </si>
  <si>
    <t>侦探花</t>
    <phoneticPr fontId="1" type="noConversion"/>
  </si>
  <si>
    <t>prt璃</t>
    <phoneticPr fontId="1" type="noConversion"/>
  </si>
  <si>
    <t>sp</t>
    <phoneticPr fontId="1" type="noConversion"/>
  </si>
  <si>
    <t>party卡</t>
    <phoneticPr fontId="1" type="noConversion"/>
  </si>
  <si>
    <t>黄</t>
    <phoneticPr fontId="1" type="noConversion"/>
  </si>
  <si>
    <t>璃奈</t>
    <phoneticPr fontId="1" type="noConversion"/>
  </si>
  <si>
    <t>按键真输出</t>
    <phoneticPr fontId="1" type="noConversion"/>
  </si>
  <si>
    <t>全</t>
    <phoneticPr fontId="1" type="noConversion"/>
  </si>
  <si>
    <t>op1果</t>
    <phoneticPr fontId="1" type="noConversion"/>
  </si>
  <si>
    <t>绿</t>
    <phoneticPr fontId="1" type="noConversion"/>
  </si>
  <si>
    <t>穗乃果</t>
    <phoneticPr fontId="1" type="noConversion"/>
  </si>
  <si>
    <t>sp+</t>
    <phoneticPr fontId="1" type="noConversion"/>
  </si>
  <si>
    <t>同作战</t>
    <phoneticPr fontId="1" type="noConversion"/>
  </si>
  <si>
    <t>9.9</t>
    <phoneticPr fontId="1" type="noConversion"/>
  </si>
  <si>
    <t>2022.01</t>
    <phoneticPr fontId="1" type="noConversion"/>
  </si>
  <si>
    <t>Margaret</t>
    <phoneticPr fontId="1" type="noConversion"/>
  </si>
  <si>
    <t>ダイスキだったらダイジョウブ！</t>
    <phoneticPr fontId="1" type="noConversion"/>
  </si>
  <si>
    <t>110/174</t>
    <phoneticPr fontId="1" type="noConversion"/>
  </si>
  <si>
    <t>SUPER NOVA</t>
    <phoneticPr fontId="1" type="noConversion"/>
  </si>
  <si>
    <t>59/162</t>
    <phoneticPr fontId="1" type="noConversion"/>
  </si>
  <si>
    <t>MONSTER GIRLS</t>
    <phoneticPr fontId="1" type="noConversion"/>
  </si>
  <si>
    <t>101/172</t>
    <phoneticPr fontId="1" type="noConversion"/>
  </si>
  <si>
    <t>Landing action Yeah!!</t>
    <phoneticPr fontId="1" type="noConversion"/>
  </si>
  <si>
    <t>166/299</t>
    <phoneticPr fontId="1" type="noConversion"/>
  </si>
  <si>
    <t>ジングルベルがとまらない</t>
    <phoneticPr fontId="1" type="noConversion"/>
  </si>
  <si>
    <t>绿</t>
    <phoneticPr fontId="1" type="noConversion"/>
  </si>
  <si>
    <t xml:space="preserve">840000+Max </t>
    <phoneticPr fontId="1" type="noConversion"/>
  </si>
  <si>
    <t>266/325</t>
    <phoneticPr fontId="1" type="noConversion"/>
  </si>
  <si>
    <t>恋のシグナルRin rin rin!</t>
  </si>
  <si>
    <t>70,000-0.25*Max</t>
    <phoneticPr fontId="1" type="noConversion"/>
  </si>
  <si>
    <t>Butterfly</t>
    <phoneticPr fontId="1" type="noConversion"/>
  </si>
  <si>
    <t>-9,000*Gd</t>
  </si>
  <si>
    <t>WATER BLUE NEW WORLD</t>
  </si>
  <si>
    <t>僕らのLIVE 君とのLIFE</t>
    <phoneticPr fontId="1" type="noConversion"/>
  </si>
  <si>
    <t>19,000-(Shield)24,000</t>
  </si>
  <si>
    <t>WATER BLUE NEW WORLD</t>
    <phoneticPr fontId="1" type="noConversion"/>
  </si>
  <si>
    <t>-3,000*Sk</t>
    <phoneticPr fontId="1" type="noConversion"/>
  </si>
  <si>
    <t>タカラモノズ</t>
    <phoneticPr fontId="1" type="noConversion"/>
  </si>
  <si>
    <t>Angelic Angel</t>
    <phoneticPr fontId="1" type="noConversion"/>
  </si>
  <si>
    <t>ぶる～べりぃ♡とれいん</t>
    <phoneticPr fontId="1" type="noConversion"/>
  </si>
  <si>
    <t>VIVID WORLD</t>
    <phoneticPr fontId="1" type="noConversion"/>
  </si>
  <si>
    <t>ハミングフレンド</t>
    <phoneticPr fontId="1" type="noConversion"/>
  </si>
  <si>
    <t>TO BE YOURSELF</t>
  </si>
  <si>
    <t>エイエ戦サー</t>
  </si>
  <si>
    <t>Turn it Up!</t>
  </si>
  <si>
    <t>Diabolic mulier</t>
  </si>
  <si>
    <t>Silent Blaze</t>
  </si>
  <si>
    <t>ヤダ！</t>
  </si>
  <si>
    <t>いつだってfor you!</t>
  </si>
  <si>
    <t>First Love Again</t>
  </si>
  <si>
    <t>Toy Doll</t>
  </si>
  <si>
    <t>夜明珠（イエミンジュ）</t>
  </si>
  <si>
    <t>sweet&amp;sweet holiday</t>
  </si>
  <si>
    <t>L！L！L！ (Love the Life We Live)</t>
  </si>
  <si>
    <t>Break The System</t>
    <phoneticPr fontId="1" type="noConversion"/>
  </si>
  <si>
    <t>-2,000*Vo</t>
    <phoneticPr fontId="1" type="noConversion"/>
  </si>
  <si>
    <t>110,000-0.25*max</t>
  </si>
  <si>
    <t>-0.3*max-15,000*Gd</t>
  </si>
  <si>
    <t>-8,000*Sk</t>
    <phoneticPr fontId="1" type="noConversion"/>
  </si>
  <si>
    <t>筛选</t>
    <phoneticPr fontId="1" type="noConversion"/>
  </si>
  <si>
    <t>获取途径</t>
    <phoneticPr fontId="1" type="noConversion"/>
  </si>
  <si>
    <t>气泡最大大小</t>
    <phoneticPr fontId="1" type="noConversion"/>
  </si>
  <si>
    <t>虎年林</t>
    <phoneticPr fontId="1" type="noConversion"/>
  </si>
  <si>
    <t>vo</t>
    <phoneticPr fontId="1" type="noConversion"/>
  </si>
  <si>
    <t>粉</t>
    <phoneticPr fontId="1" type="noConversion"/>
  </si>
  <si>
    <t>果林</t>
    <phoneticPr fontId="1" type="noConversion"/>
  </si>
  <si>
    <t>黄</t>
    <phoneticPr fontId="1" type="noConversion"/>
  </si>
  <si>
    <t>步梦</t>
    <phoneticPr fontId="1" type="noConversion"/>
  </si>
  <si>
    <t>礼服步</t>
    <phoneticPr fontId="1" type="noConversion"/>
  </si>
  <si>
    <t>虎年鸟</t>
    <phoneticPr fontId="1" type="noConversion"/>
  </si>
  <si>
    <t>gd</t>
    <phoneticPr fontId="1" type="noConversion"/>
  </si>
  <si>
    <t>蓝</t>
    <phoneticPr fontId="1" type="noConversion"/>
  </si>
  <si>
    <t>小鸟</t>
    <phoneticPr fontId="1" type="noConversion"/>
  </si>
  <si>
    <t>虎年丸</t>
    <phoneticPr fontId="1" type="noConversion"/>
  </si>
  <si>
    <t>sk</t>
    <phoneticPr fontId="1" type="noConversion"/>
  </si>
  <si>
    <t>紫</t>
    <phoneticPr fontId="1" type="noConversion"/>
  </si>
  <si>
    <t>花丸</t>
    <phoneticPr fontId="1" type="noConversion"/>
  </si>
  <si>
    <t>my舞千</t>
  </si>
  <si>
    <t>my舞千</t>
    <phoneticPr fontId="1" type="noConversion"/>
  </si>
  <si>
    <t>绿</t>
    <phoneticPr fontId="1" type="noConversion"/>
  </si>
  <si>
    <t>千歌</t>
    <phoneticPr fontId="1" type="noConversion"/>
  </si>
  <si>
    <t>op1姬</t>
    <phoneticPr fontId="1" type="noConversion"/>
  </si>
  <si>
    <t>sp</t>
    <phoneticPr fontId="1" type="noConversion"/>
  </si>
  <si>
    <t>真姬</t>
    <phoneticPr fontId="1" type="noConversion"/>
  </si>
  <si>
    <t>sp+</t>
    <phoneticPr fontId="1" type="noConversion"/>
  </si>
  <si>
    <t>同属性</t>
    <phoneticPr fontId="1" type="noConversion"/>
  </si>
  <si>
    <t>添加了新表格“卡片数值分配统计”</t>
    <phoneticPr fontId="1" type="noConversion"/>
  </si>
  <si>
    <t>解隐藏了表格“一些卡片的真输出”</t>
    <phoneticPr fontId="1" type="noConversion"/>
  </si>
  <si>
    <t>9.10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</si>
</sst>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76" formatCode="0.0%"/>
    <numFmt numFmtId="177" formatCode="0_ "/>
    <numFmt numFmtId="178" formatCode="0.00_ "/>
    <numFmt numFmtId="179" formatCode="0_);[Red]\(0\)"/>
    <numFmt numFmtId="180" formatCode="0.00_);[Red]\(0.00\)"/>
    <numFmt numFmtId="181" formatCode="0.0_ "/>
    <numFmt numFmtId="182" formatCode="0.0_);[Red]\(0.0\)"/>
    <numFmt numFmtId="183" formatCode="0.0000_ "/>
    <numFmt numFmtId="184" formatCode="\↑0;\↓0;\-"/>
    <numFmt numFmtId="185" formatCode="0.000_ "/>
    <numFmt numFmtId="186" formatCode="0_ ;[Red]\-0\ "/>
    <numFmt numFmtId="187" formatCode="#,##0_ "/>
    <numFmt numFmtId="188" formatCode="\+#,##0_ ;[Red]\-#,##0\ ;0\ "/>
    <numFmt numFmtId="189" formatCode="#,##0_ ;[Red]\-#,##0\ "/>
  </numFmts>
  <fonts count="47">
    <font>
      <sz val="11"/>
      <color theme="1"/>
      <name val="等线"/>
      <family val="2"/>
      <charset val="134"/>
      <scheme val="minor"/>
    </font>
    <font>
      <sz val="9"/>
      <name val="等线"/>
      <family val="2"/>
      <charset val="134"/>
      <scheme val="minor"/>
    </font>
    <font>
      <sz val="9"/>
      <color indexed="81"/>
      <name val="楷体"/>
      <family val="3"/>
      <charset val="134"/>
    </font>
    <font>
      <sz val="11"/>
      <color theme="1"/>
      <name val="Microsoft YaHei UI"/>
      <family val="2"/>
      <charset val="134"/>
    </font>
    <font>
      <sz val="9"/>
      <color theme="1"/>
      <name val="Microsoft YaHei UI"/>
      <family val="2"/>
      <charset val="134"/>
    </font>
    <font>
      <sz val="8"/>
      <color theme="1"/>
      <name val="Microsoft YaHei UI"/>
      <family val="2"/>
      <charset val="134"/>
    </font>
    <font>
      <sz val="11"/>
      <name val="Microsoft YaHei UI"/>
      <family val="2"/>
      <charset val="134"/>
    </font>
    <font>
      <sz val="11"/>
      <color rgb="FF000000"/>
      <name val="Microsoft YaHei UI"/>
      <family val="2"/>
      <charset val="134"/>
    </font>
    <font>
      <sz val="9"/>
      <name val="等线"/>
      <family val="2"/>
      <charset val="134"/>
    </font>
    <font>
      <sz val="10"/>
      <color rgb="FF000000"/>
      <name val="微软雅黑"/>
      <family val="2"/>
      <charset val="134"/>
    </font>
    <font>
      <sz val="9"/>
      <color indexed="81"/>
      <name val="微软雅黑"/>
      <family val="2"/>
      <charset val="134"/>
    </font>
    <font>
      <sz val="11"/>
      <color rgb="FF000000"/>
      <name val="等线"/>
      <family val="2"/>
      <charset val="134"/>
    </font>
    <font>
      <sz val="8"/>
      <color theme="1"/>
      <name val="Microsoft YaHei UI"/>
      <family val="2"/>
      <charset val="134"/>
    </font>
    <font>
      <sz val="11"/>
      <color theme="0"/>
      <name val="Microsoft YaHei UI"/>
      <family val="2"/>
      <charset val="134"/>
    </font>
    <font>
      <b/>
      <sz val="9"/>
      <color indexed="81"/>
      <name val="宋体"/>
      <family val="3"/>
      <charset val="134"/>
    </font>
    <font>
      <sz val="10"/>
      <color theme="1"/>
      <name val="Microsoft YaHei UI"/>
      <family val="2"/>
      <charset val="134"/>
    </font>
    <font>
      <sz val="11"/>
      <color theme="2" tint="-9.9978637043366805E-2"/>
      <name val="Microsoft YaHei UI"/>
      <family val="2"/>
      <charset val="134"/>
    </font>
    <font>
      <sz val="8"/>
      <name val="Microsoft YaHei UI"/>
      <family val="2"/>
      <charset val="134"/>
    </font>
    <font>
      <sz val="11"/>
      <color indexed="81"/>
      <name val="Microsoft YaHei UI"/>
      <family val="2"/>
      <charset val="134"/>
    </font>
    <font>
      <sz val="11"/>
      <color rgb="FFFF0000"/>
      <name val="Microsoft YaHei UI"/>
      <family val="2"/>
      <charset val="134"/>
    </font>
    <font>
      <sz val="14"/>
      <color theme="1"/>
      <name val="Microsoft YaHei UI"/>
      <family val="2"/>
      <charset val="134"/>
    </font>
    <font>
      <b/>
      <sz val="11"/>
      <color rgb="FFFF0000"/>
      <name val="Microsoft YaHei UI"/>
      <family val="2"/>
      <charset val="134"/>
    </font>
    <font>
      <sz val="11"/>
      <name val="等线"/>
      <family val="2"/>
      <charset val="134"/>
      <scheme val="minor"/>
    </font>
    <font>
      <sz val="11"/>
      <color theme="1"/>
      <name val="Arial Unicode MS"/>
      <family val="2"/>
      <charset val="134"/>
    </font>
    <font>
      <sz val="11"/>
      <color rgb="FFFF0000"/>
      <name val="等线"/>
      <family val="2"/>
      <charset val="134"/>
      <scheme val="minor"/>
    </font>
    <font>
      <sz val="11"/>
      <color theme="1"/>
      <name val="Yu Gothic"/>
      <family val="2"/>
      <charset val="128"/>
    </font>
    <font>
      <sz val="11"/>
      <color theme="1"/>
      <name val="Segoe UI Symbol"/>
      <family val="2"/>
    </font>
    <font>
      <sz val="9"/>
      <name val="Microsoft YaHei UI"/>
      <family val="2"/>
      <charset val="134"/>
    </font>
    <font>
      <sz val="14"/>
      <name val="FOT-Skip Std B"/>
      <family val="1"/>
      <charset val="128"/>
    </font>
    <font>
      <sz val="11"/>
      <name val="FOT-Skip Std B"/>
      <family val="1"/>
      <charset val="128"/>
    </font>
    <font>
      <sz val="14"/>
      <name val="微软雅黑"/>
      <family val="1"/>
      <charset val="134"/>
    </font>
    <font>
      <sz val="14"/>
      <name val="FOT-Skip Std B"/>
      <family val="1"/>
    </font>
    <font>
      <sz val="11"/>
      <color theme="1"/>
      <name val="MS Gothic"/>
      <family val="3"/>
      <charset val="128"/>
    </font>
    <font>
      <sz val="11"/>
      <color theme="1"/>
      <name val="等线"/>
      <family val="3"/>
      <charset val="134"/>
    </font>
    <font>
      <sz val="11"/>
      <name val="等线"/>
      <family val="3"/>
      <charset val="134"/>
      <scheme val="minor"/>
    </font>
    <font>
      <sz val="11"/>
      <color theme="1"/>
      <name val="等线"/>
      <family val="2"/>
      <charset val="134"/>
    </font>
    <font>
      <sz val="11"/>
      <color theme="1"/>
      <name val="Segoe UI Symbol"/>
      <family val="3"/>
    </font>
    <font>
      <sz val="11"/>
      <color theme="1"/>
      <name val="Microsoft YaHei Light"/>
      <family val="2"/>
      <charset val="134"/>
    </font>
    <font>
      <sz val="11"/>
      <color theme="1"/>
      <name val="等线"/>
      <family val="3"/>
      <charset val="128"/>
    </font>
    <font>
      <sz val="11"/>
      <color theme="1"/>
      <name val="等线"/>
      <family val="3"/>
      <charset val="129"/>
    </font>
    <font>
      <sz val="11"/>
      <color theme="1"/>
      <name val="等线"/>
      <family val="3"/>
    </font>
    <font>
      <sz val="11"/>
      <color theme="1"/>
      <name val="等线"/>
      <family val="2"/>
    </font>
    <font>
      <sz val="14"/>
      <name val="宋体"/>
      <family val="1"/>
      <charset val="134"/>
    </font>
    <font>
      <sz val="11"/>
      <color rgb="FF0000FF"/>
      <name val="Microsoft YaHei UI"/>
      <family val="2"/>
      <charset val="134"/>
    </font>
    <font>
      <sz val="9"/>
      <color indexed="81"/>
      <name val="Microsoft YaHei UI"/>
      <family val="2"/>
      <charset val="134"/>
    </font>
    <font>
      <sz val="14"/>
      <color indexed="81"/>
      <name val="Microsoft YaHei UI"/>
      <family val="2"/>
      <charset val="134"/>
    </font>
    <font>
      <sz val="11"/>
      <color theme="1"/>
      <name val="微软雅黑"/>
      <family val="2"/>
      <charset val="134"/>
    </font>
  </fonts>
  <fills count="20">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BDE3E3"/>
        <bgColor indexed="64"/>
      </patternFill>
    </fill>
    <fill>
      <patternFill patternType="solid">
        <fgColor rgb="FFDDF1F1"/>
        <bgColor indexed="64"/>
      </patternFill>
    </fill>
    <fill>
      <patternFill patternType="solid">
        <fgColor theme="8" tint="0.39997558519241921"/>
        <bgColor indexed="64"/>
      </patternFill>
    </fill>
    <fill>
      <patternFill patternType="solid">
        <fgColor rgb="FF9BD4D4"/>
        <bgColor indexed="64"/>
      </patternFill>
    </fill>
    <fill>
      <patternFill patternType="solid">
        <fgColor rgb="FFFFE9E9"/>
        <bgColor indexed="64"/>
      </patternFill>
    </fill>
    <fill>
      <patternFill patternType="solid">
        <fgColor rgb="FFFFDEF4"/>
        <bgColor indexed="64"/>
      </patternFill>
    </fill>
    <fill>
      <patternFill patternType="solid">
        <fgColor rgb="FFE9F4FF"/>
        <bgColor indexed="64"/>
      </patternFill>
    </fill>
    <fill>
      <patternFill patternType="solid">
        <fgColor rgb="FFFFFFDE"/>
        <bgColor indexed="64"/>
      </patternFill>
    </fill>
    <fill>
      <patternFill patternType="solid">
        <fgColor rgb="FFF4E9FF"/>
        <bgColor indexed="64"/>
      </patternFill>
    </fill>
    <fill>
      <patternFill patternType="solid">
        <fgColor rgb="FFF4FFE9"/>
        <bgColor indexed="64"/>
      </patternFill>
    </fill>
    <fill>
      <patternFill patternType="solid">
        <fgColor theme="0"/>
        <bgColor auto="1"/>
      </patternFill>
    </fill>
    <fill>
      <patternFill patternType="solid">
        <fgColor rgb="FFFF0000"/>
        <bgColor indexed="64"/>
      </patternFill>
    </fill>
    <fill>
      <patternFill patternType="solid">
        <fgColor rgb="FFFFFF00"/>
        <bgColor indexed="64"/>
      </patternFill>
    </fill>
  </fills>
  <borders count="390">
    <border>
      <left/>
      <right/>
      <top/>
      <bottom/>
      <diagonal/>
    </border>
    <border>
      <left style="thick">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ck">
        <color auto="1"/>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style="hair">
        <color auto="1"/>
      </bottom>
      <diagonal/>
    </border>
    <border>
      <left style="hair">
        <color auto="1"/>
      </left>
      <right style="thick">
        <color auto="1"/>
      </right>
      <top/>
      <bottom style="hair">
        <color auto="1"/>
      </bottom>
      <diagonal/>
    </border>
    <border>
      <left style="hair">
        <color auto="1"/>
      </left>
      <right style="hair">
        <color auto="1"/>
      </right>
      <top style="hair">
        <color auto="1"/>
      </top>
      <bottom/>
      <diagonal/>
    </border>
    <border>
      <left style="hair">
        <color auto="1"/>
      </left>
      <right style="thick">
        <color auto="1"/>
      </right>
      <top style="hair">
        <color auto="1"/>
      </top>
      <bottom/>
      <diagonal/>
    </border>
    <border>
      <left style="thick">
        <color auto="1"/>
      </left>
      <right style="hair">
        <color auto="1"/>
      </right>
      <top/>
      <bottom style="hair">
        <color auto="1"/>
      </bottom>
      <diagonal/>
    </border>
    <border>
      <left style="hair">
        <color auto="1"/>
      </left>
      <right/>
      <top style="hair">
        <color auto="1"/>
      </top>
      <bottom style="hair">
        <color auto="1"/>
      </bottom>
      <diagonal/>
    </border>
    <border>
      <left style="thick">
        <color auto="1"/>
      </left>
      <right style="hair">
        <color auto="1"/>
      </right>
      <top style="thin">
        <color auto="1"/>
      </top>
      <bottom style="hair">
        <color auto="1"/>
      </bottom>
      <diagonal/>
    </border>
    <border>
      <left style="thick">
        <color auto="1"/>
      </left>
      <right style="hair">
        <color auto="1"/>
      </right>
      <top style="dashed">
        <color auto="1"/>
      </top>
      <bottom style="hair">
        <color auto="1"/>
      </bottom>
      <diagonal/>
    </border>
    <border>
      <left style="thick">
        <color auto="1"/>
      </left>
      <right style="hair">
        <color auto="1"/>
      </right>
      <top style="hair">
        <color auto="1"/>
      </top>
      <bottom/>
      <diagonal/>
    </border>
    <border>
      <left style="thick">
        <color auto="1"/>
      </left>
      <right style="hair">
        <color auto="1"/>
      </right>
      <top/>
      <bottom/>
      <diagonal/>
    </border>
    <border>
      <left style="hair">
        <color auto="1"/>
      </left>
      <right style="hair">
        <color auto="1"/>
      </right>
      <top style="thin">
        <color auto="1"/>
      </top>
      <bottom style="hair">
        <color auto="1"/>
      </bottom>
      <diagonal/>
    </border>
    <border>
      <left style="hair">
        <color auto="1"/>
      </left>
      <right style="thick">
        <color auto="1"/>
      </right>
      <top style="thin">
        <color auto="1"/>
      </top>
      <bottom style="hair">
        <color auto="1"/>
      </bottom>
      <diagonal/>
    </border>
    <border>
      <left style="thick">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ck">
        <color auto="1"/>
      </right>
      <top style="hair">
        <color auto="1"/>
      </top>
      <bottom style="thin">
        <color auto="1"/>
      </bottom>
      <diagonal/>
    </border>
    <border>
      <left style="thick">
        <color auto="1"/>
      </left>
      <right style="hair">
        <color auto="1"/>
      </right>
      <top style="thin">
        <color auto="1"/>
      </top>
      <bottom style="thin">
        <color auto="1"/>
      </bottom>
      <diagonal/>
    </border>
    <border>
      <left style="hair">
        <color auto="1"/>
      </left>
      <right style="thick">
        <color auto="1"/>
      </right>
      <top style="thin">
        <color auto="1"/>
      </top>
      <bottom style="thin">
        <color auto="1"/>
      </bottom>
      <diagonal/>
    </border>
    <border>
      <left style="hair">
        <color auto="1"/>
      </left>
      <right/>
      <top/>
      <bottom style="hair">
        <color auto="1"/>
      </bottom>
      <diagonal/>
    </border>
    <border>
      <left style="hair">
        <color auto="1"/>
      </left>
      <right style="hair">
        <color auto="1"/>
      </right>
      <top style="dashed">
        <color auto="1"/>
      </top>
      <bottom style="hair">
        <color auto="1"/>
      </bottom>
      <diagonal/>
    </border>
    <border>
      <left style="hair">
        <color auto="1"/>
      </left>
      <right style="thick">
        <color auto="1"/>
      </right>
      <top style="dashed">
        <color auto="1"/>
      </top>
      <bottom style="hair">
        <color auto="1"/>
      </bottom>
      <diagonal/>
    </border>
    <border>
      <left style="hair">
        <color auto="1"/>
      </left>
      <right style="hair">
        <color auto="1"/>
      </right>
      <top style="hair">
        <color auto="1"/>
      </top>
      <bottom style="thick">
        <color auto="1"/>
      </bottom>
      <diagonal/>
    </border>
    <border>
      <left style="hair">
        <color auto="1"/>
      </left>
      <right style="thick">
        <color auto="1"/>
      </right>
      <top style="hair">
        <color auto="1"/>
      </top>
      <bottom style="thick">
        <color auto="1"/>
      </bottom>
      <diagonal/>
    </border>
    <border>
      <left/>
      <right style="hair">
        <color auto="1"/>
      </right>
      <top style="hair">
        <color auto="1"/>
      </top>
      <bottom style="thick">
        <color auto="1"/>
      </bottom>
      <diagonal/>
    </border>
    <border>
      <left style="hair">
        <color auto="1"/>
      </left>
      <right style="slantDashDot">
        <color auto="1"/>
      </right>
      <top style="hair">
        <color auto="1"/>
      </top>
      <bottom style="hair">
        <color auto="1"/>
      </bottom>
      <diagonal/>
    </border>
    <border>
      <left style="hair">
        <color auto="1"/>
      </left>
      <right style="slantDashDot">
        <color auto="1"/>
      </right>
      <top style="hair">
        <color auto="1"/>
      </top>
      <bottom style="thick">
        <color auto="1"/>
      </bottom>
      <diagonal/>
    </border>
    <border>
      <left style="slantDashDot">
        <color auto="1"/>
      </left>
      <right style="hair">
        <color auto="1"/>
      </right>
      <top style="hair">
        <color auto="1"/>
      </top>
      <bottom style="hair">
        <color auto="1"/>
      </bottom>
      <diagonal/>
    </border>
    <border>
      <left style="slantDashDot">
        <color auto="1"/>
      </left>
      <right style="hair">
        <color auto="1"/>
      </right>
      <top style="hair">
        <color auto="1"/>
      </top>
      <bottom style="thick">
        <color auto="1"/>
      </bottom>
      <diagonal/>
    </border>
    <border>
      <left style="hair">
        <color auto="1"/>
      </left>
      <right/>
      <top style="hair">
        <color auto="1"/>
      </top>
      <bottom style="thick">
        <color auto="1"/>
      </bottom>
      <diagonal/>
    </border>
    <border>
      <left style="hair">
        <color auto="1"/>
      </left>
      <right style="slantDashDot">
        <color auto="1"/>
      </right>
      <top/>
      <bottom style="hair">
        <color auto="1"/>
      </bottom>
      <diagonal/>
    </border>
    <border>
      <left style="slantDashDot">
        <color auto="1"/>
      </left>
      <right style="hair">
        <color auto="1"/>
      </right>
      <top/>
      <bottom style="hair">
        <color auto="1"/>
      </bottom>
      <diagonal/>
    </border>
    <border>
      <left/>
      <right style="hair">
        <color auto="1"/>
      </right>
      <top/>
      <bottom style="hair">
        <color auto="1"/>
      </bottom>
      <diagonal/>
    </border>
    <border>
      <left style="thick">
        <color auto="1"/>
      </left>
      <right style="hair">
        <color auto="1"/>
      </right>
      <top style="thick">
        <color auto="1"/>
      </top>
      <bottom style="thin">
        <color auto="1"/>
      </bottom>
      <diagonal/>
    </border>
    <border>
      <left style="hair">
        <color auto="1"/>
      </left>
      <right style="hair">
        <color auto="1"/>
      </right>
      <top style="thick">
        <color auto="1"/>
      </top>
      <bottom style="thin">
        <color auto="1"/>
      </bottom>
      <diagonal/>
    </border>
    <border>
      <left style="slantDashDot">
        <color auto="1"/>
      </left>
      <right style="hair">
        <color auto="1"/>
      </right>
      <top style="thick">
        <color auto="1"/>
      </top>
      <bottom style="thin">
        <color auto="1"/>
      </bottom>
      <diagonal/>
    </border>
    <border>
      <left style="hair">
        <color auto="1"/>
      </left>
      <right style="thick">
        <color auto="1"/>
      </right>
      <top style="thick">
        <color auto="1"/>
      </top>
      <bottom style="thin">
        <color auto="1"/>
      </bottom>
      <diagonal/>
    </border>
    <border>
      <left style="hair">
        <color auto="1"/>
      </left>
      <right style="hair">
        <color auto="1"/>
      </right>
      <top style="thin">
        <color auto="1"/>
      </top>
      <bottom style="medium">
        <color auto="1"/>
      </bottom>
      <diagonal/>
    </border>
    <border>
      <left style="hair">
        <color auto="1"/>
      </left>
      <right style="slantDashDot">
        <color auto="1"/>
      </right>
      <top style="thin">
        <color auto="1"/>
      </top>
      <bottom style="medium">
        <color auto="1"/>
      </bottom>
      <diagonal/>
    </border>
    <border>
      <left style="slantDashDot">
        <color auto="1"/>
      </left>
      <right style="hair">
        <color auto="1"/>
      </right>
      <top style="thin">
        <color auto="1"/>
      </top>
      <bottom style="medium">
        <color auto="1"/>
      </bottom>
      <diagonal/>
    </border>
    <border>
      <left style="hair">
        <color auto="1"/>
      </left>
      <right/>
      <top style="thin">
        <color auto="1"/>
      </top>
      <bottom style="medium">
        <color auto="1"/>
      </bottom>
      <diagonal/>
    </border>
    <border>
      <left/>
      <right style="hair">
        <color auto="1"/>
      </right>
      <top style="thin">
        <color auto="1"/>
      </top>
      <bottom style="medium">
        <color auto="1"/>
      </bottom>
      <diagonal/>
    </border>
    <border>
      <left style="hair">
        <color auto="1"/>
      </left>
      <right style="thick">
        <color auto="1"/>
      </right>
      <top style="thin">
        <color auto="1"/>
      </top>
      <bottom style="medium">
        <color auto="1"/>
      </bottom>
      <diagonal/>
    </border>
    <border>
      <left style="thick">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ck">
        <color auto="1"/>
      </left>
      <right style="thin">
        <color auto="1"/>
      </right>
      <top/>
      <bottom style="hair">
        <color auto="1"/>
      </bottom>
      <diagonal/>
    </border>
    <border>
      <left style="thin">
        <color auto="1"/>
      </left>
      <right style="thin">
        <color auto="1"/>
      </right>
      <top/>
      <bottom style="hair">
        <color auto="1"/>
      </bottom>
      <diagonal/>
    </border>
    <border>
      <left style="thick">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ck">
        <color auto="1"/>
      </left>
      <right style="thin">
        <color auto="1"/>
      </right>
      <top style="hair">
        <color auto="1"/>
      </top>
      <bottom style="thick">
        <color auto="1"/>
      </bottom>
      <diagonal/>
    </border>
    <border>
      <left style="thin">
        <color auto="1"/>
      </left>
      <right style="thin">
        <color auto="1"/>
      </right>
      <top style="hair">
        <color auto="1"/>
      </top>
      <bottom style="thick">
        <color auto="1"/>
      </bottom>
      <diagonal/>
    </border>
    <border>
      <left style="thin">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ck">
        <color auto="1"/>
      </bottom>
      <diagonal/>
    </border>
    <border>
      <left style="hair">
        <color auto="1"/>
      </left>
      <right style="thin">
        <color auto="1"/>
      </right>
      <top style="hair">
        <color auto="1"/>
      </top>
      <bottom style="thick">
        <color auto="1"/>
      </bottom>
      <diagonal/>
    </border>
    <border>
      <left/>
      <right style="hair">
        <color auto="1"/>
      </right>
      <top style="thick">
        <color auto="1"/>
      </top>
      <bottom style="thin">
        <color auto="1"/>
      </bottom>
      <diagonal/>
    </border>
    <border>
      <left style="medium">
        <color auto="1"/>
      </left>
      <right style="hair">
        <color auto="1"/>
      </right>
      <top style="thick">
        <color auto="1"/>
      </top>
      <bottom style="thin">
        <color auto="1"/>
      </bottom>
      <diagonal/>
    </border>
    <border>
      <left/>
      <right style="medium">
        <color auto="1"/>
      </right>
      <top style="thick">
        <color auto="1"/>
      </top>
      <bottom style="thin">
        <color auto="1"/>
      </bottom>
      <diagonal/>
    </border>
    <border>
      <left style="medium">
        <color auto="1"/>
      </left>
      <right style="hair">
        <color auto="1"/>
      </right>
      <top style="thin">
        <color auto="1"/>
      </top>
      <bottom style="medium">
        <color auto="1"/>
      </bottom>
      <diagonal/>
    </border>
    <border>
      <left style="medium">
        <color auto="1"/>
      </left>
      <right style="hair">
        <color auto="1"/>
      </right>
      <top/>
      <bottom style="hair">
        <color auto="1"/>
      </bottom>
      <diagonal/>
    </border>
    <border>
      <left style="medium">
        <color auto="1"/>
      </left>
      <right style="hair">
        <color auto="1"/>
      </right>
      <top style="hair">
        <color auto="1"/>
      </top>
      <bottom style="hair">
        <color auto="1"/>
      </bottom>
      <diagonal/>
    </border>
    <border>
      <left style="medium">
        <color auto="1"/>
      </left>
      <right style="hair">
        <color auto="1"/>
      </right>
      <top style="hair">
        <color auto="1"/>
      </top>
      <bottom style="thick">
        <color auto="1"/>
      </bottom>
      <diagonal/>
    </border>
    <border>
      <left style="hair">
        <color auto="1"/>
      </left>
      <right style="medium">
        <color auto="1"/>
      </right>
      <top style="hair">
        <color auto="1"/>
      </top>
      <bottom style="hair">
        <color auto="1"/>
      </bottom>
      <diagonal/>
    </border>
    <border>
      <left style="hair">
        <color auto="1"/>
      </left>
      <right style="medium">
        <color auto="1"/>
      </right>
      <top style="hair">
        <color auto="1"/>
      </top>
      <bottom style="thick">
        <color auto="1"/>
      </bottom>
      <diagonal/>
    </border>
    <border>
      <left style="hair">
        <color auto="1"/>
      </left>
      <right style="medium">
        <color auto="1"/>
      </right>
      <top/>
      <bottom style="hair">
        <color auto="1"/>
      </bottom>
      <diagonal/>
    </border>
    <border>
      <left style="hair">
        <color auto="1"/>
      </left>
      <right style="medium">
        <color auto="1"/>
      </right>
      <top style="thick">
        <color auto="1"/>
      </top>
      <bottom style="thin">
        <color auto="1"/>
      </bottom>
      <diagonal/>
    </border>
    <border>
      <left style="hair">
        <color auto="1"/>
      </left>
      <right style="medium">
        <color auto="1"/>
      </right>
      <top style="thin">
        <color auto="1"/>
      </top>
      <bottom style="medium">
        <color auto="1"/>
      </bottom>
      <diagonal/>
    </border>
    <border>
      <left style="hair">
        <color auto="1"/>
      </left>
      <right style="hair">
        <color auto="1"/>
      </right>
      <top style="hair">
        <color auto="1"/>
      </top>
      <bottom style="dashed">
        <color auto="1"/>
      </bottom>
      <diagonal/>
    </border>
    <border>
      <left style="hair">
        <color auto="1"/>
      </left>
      <right style="thick">
        <color auto="1"/>
      </right>
      <top style="hair">
        <color auto="1"/>
      </top>
      <bottom style="dashed">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ck">
        <color auto="1"/>
      </left>
      <right style="hair">
        <color auto="1"/>
      </right>
      <top/>
      <bottom style="thin">
        <color auto="1"/>
      </bottom>
      <diagonal/>
    </border>
    <border>
      <left style="thick">
        <color auto="1"/>
      </left>
      <right style="hair">
        <color auto="1"/>
      </right>
      <top style="hair">
        <color auto="1"/>
      </top>
      <bottom style="thick">
        <color auto="1"/>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auto="1"/>
      </left>
      <right style="hair">
        <color auto="1"/>
      </right>
      <top style="thin">
        <color indexed="64"/>
      </top>
      <bottom/>
      <diagonal/>
    </border>
    <border>
      <left style="medium">
        <color auto="1"/>
      </left>
      <right style="hair">
        <color auto="1"/>
      </right>
      <top style="thin">
        <color indexed="64"/>
      </top>
      <bottom/>
      <diagonal/>
    </border>
    <border>
      <left style="medium">
        <color auto="1"/>
      </left>
      <right style="hair">
        <color auto="1"/>
      </right>
      <top style="hair">
        <color auto="1"/>
      </top>
      <bottom/>
      <diagonal/>
    </border>
    <border>
      <left style="medium">
        <color auto="1"/>
      </left>
      <right style="hair">
        <color auto="1"/>
      </right>
      <top/>
      <bottom/>
      <diagonal/>
    </border>
    <border>
      <left style="hair">
        <color auto="1"/>
      </left>
      <right style="hair">
        <color auto="1"/>
      </right>
      <top/>
      <bottom/>
      <diagonal/>
    </border>
    <border>
      <left style="hair">
        <color indexed="64"/>
      </left>
      <right/>
      <top style="medium">
        <color indexed="64"/>
      </top>
      <bottom style="thin">
        <color indexed="64"/>
      </bottom>
      <diagonal/>
    </border>
    <border>
      <left style="hair">
        <color indexed="64"/>
      </left>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style="thick">
        <color auto="1"/>
      </left>
      <right style="hair">
        <color auto="1"/>
      </right>
      <top style="thin">
        <color auto="1"/>
      </top>
      <bottom style="medium">
        <color indexed="64"/>
      </bottom>
      <diagonal/>
    </border>
    <border>
      <left style="thin">
        <color indexed="64"/>
      </left>
      <right style="medium">
        <color indexed="64"/>
      </right>
      <top/>
      <bottom style="medium">
        <color indexed="64"/>
      </bottom>
      <diagonal/>
    </border>
    <border>
      <left style="medium">
        <color auto="1"/>
      </left>
      <right style="hair">
        <color auto="1"/>
      </right>
      <top style="thin">
        <color indexed="64"/>
      </top>
      <bottom style="hair">
        <color auto="1"/>
      </bottom>
      <diagonal/>
    </border>
    <border>
      <left style="hair">
        <color auto="1"/>
      </left>
      <right style="medium">
        <color auto="1"/>
      </right>
      <top style="thin">
        <color indexed="64"/>
      </top>
      <bottom style="hair">
        <color auto="1"/>
      </bottom>
      <diagonal/>
    </border>
    <border>
      <left style="thick">
        <color auto="1"/>
      </left>
      <right/>
      <top style="thick">
        <color auto="1"/>
      </top>
      <bottom style="thin">
        <color auto="1"/>
      </bottom>
      <diagonal/>
    </border>
    <border>
      <left/>
      <right/>
      <top style="thick">
        <color auto="1"/>
      </top>
      <bottom style="thin">
        <color auto="1"/>
      </bottom>
      <diagonal/>
    </border>
    <border>
      <left style="medium">
        <color auto="1"/>
      </left>
      <right/>
      <top style="thick">
        <color auto="1"/>
      </top>
      <bottom style="thin">
        <color auto="1"/>
      </bottom>
      <diagonal/>
    </border>
    <border>
      <left/>
      <right style="thin">
        <color auto="1"/>
      </right>
      <top style="thick">
        <color auto="1"/>
      </top>
      <bottom style="thin">
        <color auto="1"/>
      </bottom>
      <diagonal/>
    </border>
    <border>
      <left style="thin">
        <color auto="1"/>
      </left>
      <right/>
      <top style="thick">
        <color auto="1"/>
      </top>
      <bottom style="thin">
        <color auto="1"/>
      </bottom>
      <diagonal/>
    </border>
    <border>
      <left/>
      <right style="slantDashDot">
        <color auto="1"/>
      </right>
      <top style="thick">
        <color auto="1"/>
      </top>
      <bottom style="thin">
        <color auto="1"/>
      </bottom>
      <diagonal/>
    </border>
    <border>
      <left style="slantDashDot">
        <color auto="1"/>
      </left>
      <right/>
      <top style="thick">
        <color auto="1"/>
      </top>
      <bottom style="thin">
        <color auto="1"/>
      </bottom>
      <diagonal/>
    </border>
    <border>
      <left/>
      <right style="thick">
        <color auto="1"/>
      </right>
      <top style="thick">
        <color auto="1"/>
      </top>
      <bottom style="thin">
        <color auto="1"/>
      </bottom>
      <diagonal/>
    </border>
    <border>
      <left style="thin">
        <color auto="1"/>
      </left>
      <right/>
      <top style="thin">
        <color auto="1"/>
      </top>
      <bottom style="medium">
        <color auto="1"/>
      </bottom>
      <diagonal/>
    </border>
    <border>
      <left/>
      <right style="slantDashDot">
        <color auto="1"/>
      </right>
      <top style="thin">
        <color auto="1"/>
      </top>
      <bottom style="medium">
        <color auto="1"/>
      </bottom>
      <diagonal/>
    </border>
    <border>
      <left style="thick">
        <color auto="1"/>
      </left>
      <right style="thick">
        <color auto="1"/>
      </right>
      <top style="thick">
        <color auto="1"/>
      </top>
      <bottom style="slantDashDot">
        <color auto="1"/>
      </bottom>
      <diagonal/>
    </border>
    <border>
      <left style="thick">
        <color auto="1"/>
      </left>
      <right style="hair">
        <color auto="1"/>
      </right>
      <top style="thin">
        <color auto="1"/>
      </top>
      <bottom style="dashed">
        <color auto="1"/>
      </bottom>
      <diagonal/>
    </border>
    <border>
      <left style="thick">
        <color auto="1"/>
      </left>
      <right style="hair">
        <color auto="1"/>
      </right>
      <top style="dashed">
        <color auto="1"/>
      </top>
      <bottom style="thin">
        <color auto="1"/>
      </bottom>
      <diagonal/>
    </border>
    <border>
      <left style="thin">
        <color auto="1"/>
      </left>
      <right/>
      <top/>
      <bottom style="hair">
        <color auto="1"/>
      </bottom>
      <diagonal/>
    </border>
    <border>
      <left style="thin">
        <color auto="1"/>
      </left>
      <right/>
      <top style="hair">
        <color auto="1"/>
      </top>
      <bottom style="hair">
        <color auto="1"/>
      </bottom>
      <diagonal/>
    </border>
    <border>
      <left style="thin">
        <color auto="1"/>
      </left>
      <right/>
      <top style="hair">
        <color auto="1"/>
      </top>
      <bottom style="thick">
        <color auto="1"/>
      </bottom>
      <diagonal/>
    </border>
    <border>
      <left style="medium">
        <color indexed="64"/>
      </left>
      <right/>
      <top/>
      <bottom style="medium">
        <color indexed="64"/>
      </bottom>
      <diagonal/>
    </border>
    <border>
      <left/>
      <right style="hair">
        <color indexed="64"/>
      </right>
      <top style="hair">
        <color indexed="64"/>
      </top>
      <bottom style="medium">
        <color indexed="64"/>
      </bottom>
      <diagonal/>
    </border>
    <border>
      <left style="thin">
        <color indexed="64"/>
      </left>
      <right/>
      <top style="medium">
        <color indexed="64"/>
      </top>
      <bottom style="thin">
        <color indexed="64"/>
      </bottom>
      <diagonal/>
    </border>
    <border>
      <left style="hair">
        <color indexed="64"/>
      </left>
      <right style="thin">
        <color indexed="64"/>
      </right>
      <top style="medium">
        <color indexed="64"/>
      </top>
      <bottom style="thin">
        <color indexed="64"/>
      </bottom>
      <diagonal/>
    </border>
    <border>
      <left style="thin">
        <color indexed="64"/>
      </left>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hair">
        <color indexed="64"/>
      </top>
      <bottom style="medium">
        <color indexed="64"/>
      </bottom>
      <diagonal/>
    </border>
    <border>
      <left/>
      <right style="thick">
        <color auto="1"/>
      </right>
      <top style="hair">
        <color auto="1"/>
      </top>
      <bottom style="hair">
        <color auto="1"/>
      </bottom>
      <diagonal/>
    </border>
    <border>
      <left/>
      <right style="medium">
        <color auto="1"/>
      </right>
      <top style="thin">
        <color auto="1"/>
      </top>
      <bottom style="medium">
        <color auto="1"/>
      </bottom>
      <diagonal/>
    </border>
    <border>
      <left/>
      <right/>
      <top style="medium">
        <color indexed="64"/>
      </top>
      <bottom style="thin">
        <color indexed="64"/>
      </bottom>
      <diagonal/>
    </border>
    <border>
      <left style="hair">
        <color indexed="64"/>
      </left>
      <right style="slantDashDot">
        <color indexed="64"/>
      </right>
      <top style="medium">
        <color indexed="64"/>
      </top>
      <bottom style="thin">
        <color indexed="64"/>
      </bottom>
      <diagonal/>
    </border>
    <border>
      <left style="slantDashDot">
        <color indexed="64"/>
      </left>
      <right style="hair">
        <color indexed="64"/>
      </right>
      <top style="medium">
        <color indexed="64"/>
      </top>
      <bottom style="thin">
        <color indexed="64"/>
      </bottom>
      <diagonal/>
    </border>
    <border>
      <left style="hair">
        <color indexed="64"/>
      </left>
      <right style="slantDashDot">
        <color indexed="64"/>
      </right>
      <top style="thin">
        <color auto="1"/>
      </top>
      <bottom style="hair">
        <color auto="1"/>
      </bottom>
      <diagonal/>
    </border>
    <border>
      <left style="slantDashDot">
        <color indexed="64"/>
      </left>
      <right style="hair">
        <color indexed="64"/>
      </right>
      <top style="thin">
        <color indexed="64"/>
      </top>
      <bottom style="hair">
        <color auto="1"/>
      </bottom>
      <diagonal/>
    </border>
    <border>
      <left style="hair">
        <color indexed="64"/>
      </left>
      <right style="slantDashDot">
        <color indexed="64"/>
      </right>
      <top style="hair">
        <color indexed="64"/>
      </top>
      <bottom style="medium">
        <color indexed="64"/>
      </bottom>
      <diagonal/>
    </border>
    <border>
      <left style="slantDashDot">
        <color indexed="64"/>
      </left>
      <right style="hair">
        <color indexed="64"/>
      </right>
      <top style="hair">
        <color indexed="64"/>
      </top>
      <bottom style="medium">
        <color indexed="64"/>
      </bottom>
      <diagonal/>
    </border>
    <border>
      <left style="slantDashDot">
        <color indexed="64"/>
      </left>
      <right style="thin">
        <color indexed="64"/>
      </right>
      <top style="medium">
        <color indexed="64"/>
      </top>
      <bottom style="thin">
        <color indexed="64"/>
      </bottom>
      <diagonal/>
    </border>
    <border>
      <left style="slantDashDot">
        <color indexed="64"/>
      </left>
      <right style="thin">
        <color indexed="64"/>
      </right>
      <top/>
      <bottom style="hair">
        <color auto="1"/>
      </bottom>
      <diagonal/>
    </border>
    <border>
      <left style="slantDashDot">
        <color indexed="64"/>
      </left>
      <right style="thin">
        <color indexed="64"/>
      </right>
      <top style="hair">
        <color auto="1"/>
      </top>
      <bottom style="hair">
        <color auto="1"/>
      </bottom>
      <diagonal/>
    </border>
    <border>
      <left style="slantDashDot">
        <color indexed="64"/>
      </left>
      <right style="thin">
        <color indexed="64"/>
      </right>
      <top style="hair">
        <color indexed="64"/>
      </top>
      <bottom style="medium">
        <color indexed="64"/>
      </bottom>
      <diagonal/>
    </border>
    <border>
      <left style="slantDashDot">
        <color indexed="64"/>
      </left>
      <right/>
      <top style="medium">
        <color indexed="64"/>
      </top>
      <bottom style="thin">
        <color indexed="64"/>
      </bottom>
      <diagonal/>
    </border>
    <border>
      <left/>
      <right style="slantDashDot">
        <color indexed="64"/>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style="thin">
        <color indexed="64"/>
      </top>
      <bottom style="slantDashDot">
        <color indexed="64"/>
      </bottom>
      <diagonal/>
    </border>
    <border>
      <left style="hair">
        <color indexed="64"/>
      </left>
      <right style="thin">
        <color indexed="64"/>
      </right>
      <top style="thin">
        <color indexed="64"/>
      </top>
      <bottom style="slantDashDot">
        <color indexed="64"/>
      </bottom>
      <diagonal/>
    </border>
    <border>
      <left style="thin">
        <color indexed="64"/>
      </left>
      <right style="thin">
        <color indexed="64"/>
      </right>
      <top style="thin">
        <color indexed="64"/>
      </top>
      <bottom style="slantDashDot">
        <color indexed="64"/>
      </bottom>
      <diagonal/>
    </border>
    <border>
      <left style="hair">
        <color indexed="64"/>
      </left>
      <right style="slantDashDot">
        <color indexed="64"/>
      </right>
      <top style="thin">
        <color indexed="64"/>
      </top>
      <bottom style="slantDashDot">
        <color indexed="64"/>
      </bottom>
      <diagonal/>
    </border>
    <border>
      <left style="medium">
        <color indexed="64"/>
      </left>
      <right style="hair">
        <color indexed="64"/>
      </right>
      <top style="thin">
        <color indexed="64"/>
      </top>
      <bottom style="slantDashDot">
        <color indexed="64"/>
      </bottom>
      <diagonal/>
    </border>
    <border>
      <left style="medium">
        <color indexed="64"/>
      </left>
      <right style="hair">
        <color indexed="64"/>
      </right>
      <top style="slantDashDot">
        <color indexed="64"/>
      </top>
      <bottom style="hair">
        <color indexed="64"/>
      </bottom>
      <diagonal/>
    </border>
    <border>
      <left style="hair">
        <color indexed="64"/>
      </left>
      <right style="slantDashDot">
        <color indexed="64"/>
      </right>
      <top style="slantDashDot">
        <color indexed="64"/>
      </top>
      <bottom style="hair">
        <color indexed="64"/>
      </bottom>
      <diagonal/>
    </border>
    <border>
      <left style="slantDashDot">
        <color indexed="64"/>
      </left>
      <right style="hair">
        <color indexed="64"/>
      </right>
      <top style="thin">
        <color indexed="64"/>
      </top>
      <bottom style="slantDashDot">
        <color indexed="64"/>
      </bottom>
      <diagonal/>
    </border>
    <border>
      <left style="hair">
        <color indexed="64"/>
      </left>
      <right style="hair">
        <color indexed="64"/>
      </right>
      <top style="thin">
        <color indexed="64"/>
      </top>
      <bottom style="slantDashDot">
        <color indexed="64"/>
      </bottom>
      <diagonal/>
    </border>
    <border>
      <left style="slantDashDot">
        <color indexed="64"/>
      </left>
      <right style="hair">
        <color indexed="64"/>
      </right>
      <top style="slantDashDot">
        <color indexed="64"/>
      </top>
      <bottom style="hair">
        <color indexed="64"/>
      </bottom>
      <diagonal/>
    </border>
    <border>
      <left style="hair">
        <color indexed="64"/>
      </left>
      <right style="hair">
        <color indexed="64"/>
      </right>
      <top style="slantDashDot">
        <color indexed="64"/>
      </top>
      <bottom style="hair">
        <color indexed="64"/>
      </bottom>
      <diagonal/>
    </border>
    <border>
      <left style="hair">
        <color indexed="64"/>
      </left>
      <right/>
      <top style="slantDashDot">
        <color indexed="64"/>
      </top>
      <bottom style="hair">
        <color indexed="64"/>
      </bottom>
      <diagonal/>
    </border>
    <border>
      <left style="thin">
        <color indexed="64"/>
      </left>
      <right style="hair">
        <color indexed="64"/>
      </right>
      <top style="thin">
        <color indexed="64"/>
      </top>
      <bottom style="slantDashDot">
        <color indexed="64"/>
      </bottom>
      <diagonal/>
    </border>
    <border>
      <left/>
      <right style="hair">
        <color indexed="64"/>
      </right>
      <top style="slantDashDot">
        <color indexed="64"/>
      </top>
      <bottom style="hair">
        <color indexed="64"/>
      </bottom>
      <diagonal/>
    </border>
    <border>
      <left style="hair">
        <color indexed="64"/>
      </left>
      <right style="medium">
        <color indexed="64"/>
      </right>
      <top style="slantDashDot">
        <color indexed="64"/>
      </top>
      <bottom style="hair">
        <color indexed="64"/>
      </bottom>
      <diagonal/>
    </border>
    <border>
      <left/>
      <right style="hair">
        <color indexed="64"/>
      </right>
      <top style="thin">
        <color indexed="64"/>
      </top>
      <bottom style="slantDashDot">
        <color indexed="64"/>
      </bottom>
      <diagonal/>
    </border>
    <border>
      <left style="thin">
        <color indexed="64"/>
      </left>
      <right style="thin">
        <color indexed="64"/>
      </right>
      <top style="slantDashDot">
        <color indexed="64"/>
      </top>
      <bottom style="hair">
        <color indexed="64"/>
      </bottom>
      <diagonal/>
    </border>
    <border>
      <left style="thin">
        <color indexed="64"/>
      </left>
      <right style="hair">
        <color indexed="64"/>
      </right>
      <top style="slantDashDot">
        <color indexed="64"/>
      </top>
      <bottom style="hair">
        <color indexed="64"/>
      </bottom>
      <diagonal/>
    </border>
    <border>
      <left style="hair">
        <color indexed="64"/>
      </left>
      <right style="thin">
        <color indexed="64"/>
      </right>
      <top style="slantDashDot">
        <color indexed="64"/>
      </top>
      <bottom style="hair">
        <color indexed="64"/>
      </bottom>
      <diagonal/>
    </border>
    <border>
      <left style="slantDashDot">
        <color auto="1"/>
      </left>
      <right/>
      <top style="thin">
        <color auto="1"/>
      </top>
      <bottom style="medium">
        <color auto="1"/>
      </bottom>
      <diagonal/>
    </border>
    <border>
      <left style="thick">
        <color auto="1"/>
      </left>
      <right style="hair">
        <color auto="1"/>
      </right>
      <top style="hair">
        <color auto="1"/>
      </top>
      <bottom style="dashed">
        <color auto="1"/>
      </bottom>
      <diagonal/>
    </border>
    <border>
      <left style="thin">
        <color indexed="64"/>
      </left>
      <right/>
      <top style="thin">
        <color indexed="64"/>
      </top>
      <bottom style="slantDashDot">
        <color indexed="64"/>
      </bottom>
      <diagonal/>
    </border>
    <border>
      <left style="hair">
        <color auto="1"/>
      </left>
      <right style="hair">
        <color auto="1"/>
      </right>
      <top style="thin">
        <color auto="1"/>
      </top>
      <bottom style="thick">
        <color auto="1"/>
      </bottom>
      <diagonal/>
    </border>
    <border>
      <left style="hair">
        <color auto="1"/>
      </left>
      <right/>
      <top style="hair">
        <color auto="1"/>
      </top>
      <bottom style="thin">
        <color auto="1"/>
      </bottom>
      <diagonal/>
    </border>
    <border>
      <left/>
      <right style="thick">
        <color auto="1"/>
      </right>
      <top style="hair">
        <color auto="1"/>
      </top>
      <bottom style="thin">
        <color auto="1"/>
      </bottom>
      <diagonal/>
    </border>
    <border>
      <left style="hair">
        <color auto="1"/>
      </left>
      <right/>
      <top style="thin">
        <color auto="1"/>
      </top>
      <bottom style="thin">
        <color auto="1"/>
      </bottom>
      <diagonal/>
    </border>
    <border>
      <left/>
      <right style="thick">
        <color auto="1"/>
      </right>
      <top style="thin">
        <color auto="1"/>
      </top>
      <bottom style="thin">
        <color auto="1"/>
      </bottom>
      <diagonal/>
    </border>
    <border>
      <left style="thick">
        <color auto="1"/>
      </left>
      <right style="hair">
        <color auto="1"/>
      </right>
      <top style="thin">
        <color auto="1"/>
      </top>
      <bottom style="thick">
        <color auto="1"/>
      </bottom>
      <diagonal/>
    </border>
    <border>
      <left style="hair">
        <color auto="1"/>
      </left>
      <right style="thick">
        <color auto="1"/>
      </right>
      <top style="thin">
        <color auto="1"/>
      </top>
      <bottom style="thick">
        <color auto="1"/>
      </bottom>
      <diagonal/>
    </border>
    <border>
      <left style="hair">
        <color auto="1"/>
      </left>
      <right style="thick">
        <color auto="1"/>
      </right>
      <top style="slantDashDot">
        <color auto="1"/>
      </top>
      <bottom style="hair">
        <color auto="1"/>
      </bottom>
      <diagonal/>
    </border>
    <border>
      <left/>
      <right style="thick">
        <color auto="1"/>
      </right>
      <top style="hair">
        <color auto="1"/>
      </top>
      <bottom style="thick">
        <color auto="1"/>
      </bottom>
      <diagonal/>
    </border>
    <border>
      <left style="thick">
        <color auto="1"/>
      </left>
      <right style="hair">
        <color auto="1"/>
      </right>
      <top style="slantDashDot">
        <color auto="1"/>
      </top>
      <bottom/>
      <diagonal/>
    </border>
    <border>
      <left style="hair">
        <color auto="1"/>
      </left>
      <right/>
      <top style="thin">
        <color auto="1"/>
      </top>
      <bottom style="hair">
        <color auto="1"/>
      </bottom>
      <diagonal/>
    </border>
    <border>
      <left/>
      <right style="thick">
        <color auto="1"/>
      </right>
      <top style="thin">
        <color auto="1"/>
      </top>
      <bottom style="hair">
        <color auto="1"/>
      </bottom>
      <diagonal/>
    </border>
    <border>
      <left/>
      <right style="hair">
        <color indexed="64"/>
      </right>
      <top style="medium">
        <color indexed="64"/>
      </top>
      <bottom style="thin">
        <color indexed="64"/>
      </bottom>
      <diagonal/>
    </border>
    <border>
      <left/>
      <right style="hair">
        <color auto="1"/>
      </right>
      <top style="thin">
        <color indexed="64"/>
      </top>
      <bottom style="hair">
        <color auto="1"/>
      </bottom>
      <diagonal/>
    </border>
    <border>
      <left style="hair">
        <color auto="1"/>
      </left>
      <right style="hair">
        <color auto="1"/>
      </right>
      <top style="thick">
        <color auto="1"/>
      </top>
      <bottom style="hair">
        <color auto="1"/>
      </bottom>
      <diagonal/>
    </border>
    <border>
      <left style="hair">
        <color auto="1"/>
      </left>
      <right style="thick">
        <color auto="1"/>
      </right>
      <top style="thick">
        <color auto="1"/>
      </top>
      <bottom style="hair">
        <color auto="1"/>
      </bottom>
      <diagonal/>
    </border>
    <border>
      <left/>
      <right style="hair">
        <color auto="1"/>
      </right>
      <top style="hair">
        <color auto="1"/>
      </top>
      <bottom style="thin">
        <color auto="1"/>
      </bottom>
      <diagonal/>
    </border>
    <border>
      <left style="hair">
        <color auto="1"/>
      </left>
      <right/>
      <top style="thick">
        <color auto="1"/>
      </top>
      <bottom style="hair">
        <color auto="1"/>
      </bottom>
      <diagonal/>
    </border>
    <border>
      <left style="thin">
        <color auto="1"/>
      </left>
      <right style="hair">
        <color auto="1"/>
      </right>
      <top style="hair">
        <color auto="1"/>
      </top>
      <bottom style="thin">
        <color auto="1"/>
      </bottom>
      <diagonal/>
    </border>
    <border>
      <left style="hair">
        <color auto="1"/>
      </left>
      <right/>
      <top style="thick">
        <color auto="1"/>
      </top>
      <bottom style="thin">
        <color auto="1"/>
      </bottom>
      <diagonal/>
    </border>
    <border>
      <left style="medium">
        <color indexed="64"/>
      </left>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medium">
        <color indexed="64"/>
      </left>
      <right style="thin">
        <color auto="1"/>
      </right>
      <top style="hair">
        <color auto="1"/>
      </top>
      <bottom style="hair">
        <color auto="1"/>
      </bottom>
      <diagonal/>
    </border>
    <border>
      <left style="medium">
        <color indexed="64"/>
      </left>
      <right style="thin">
        <color auto="1"/>
      </right>
      <top style="hair">
        <color auto="1"/>
      </top>
      <bottom style="medium">
        <color indexed="64"/>
      </bottom>
      <diagonal/>
    </border>
    <border>
      <left/>
      <right/>
      <top style="medium">
        <color indexed="64"/>
      </top>
      <bottom/>
      <diagonal/>
    </border>
    <border>
      <left style="hair">
        <color auto="1"/>
      </left>
      <right/>
      <top style="hair">
        <color auto="1"/>
      </top>
      <bottom/>
      <diagonal/>
    </border>
    <border>
      <left style="hair">
        <color auto="1"/>
      </left>
      <right style="medium">
        <color auto="1"/>
      </right>
      <top style="hair">
        <color auto="1"/>
      </top>
      <bottom/>
      <diagonal/>
    </border>
    <border>
      <left/>
      <right style="hair">
        <color auto="1"/>
      </right>
      <top style="hair">
        <color auto="1"/>
      </top>
      <bottom/>
      <diagonal/>
    </border>
    <border>
      <left style="thick">
        <color indexed="64"/>
      </left>
      <right style="hair">
        <color indexed="64"/>
      </right>
      <top style="thick">
        <color indexed="64"/>
      </top>
      <bottom style="hair">
        <color indexed="64"/>
      </bottom>
      <diagonal/>
    </border>
    <border>
      <left style="hair">
        <color indexed="64"/>
      </left>
      <right style="hair">
        <color indexed="64"/>
      </right>
      <top style="hair">
        <color indexed="64"/>
      </top>
      <bottom style="double">
        <color indexed="64"/>
      </bottom>
      <diagonal/>
    </border>
    <border>
      <left style="thick">
        <color indexed="64"/>
      </left>
      <right style="medium">
        <color indexed="64"/>
      </right>
      <top style="thick">
        <color indexed="64"/>
      </top>
      <bottom style="hair">
        <color indexed="64"/>
      </bottom>
      <diagonal/>
    </border>
    <border>
      <left style="thick">
        <color indexed="64"/>
      </left>
      <right style="medium">
        <color indexed="64"/>
      </right>
      <top style="hair">
        <color indexed="64"/>
      </top>
      <bottom style="double">
        <color indexed="64"/>
      </bottom>
      <diagonal/>
    </border>
    <border>
      <left style="thick">
        <color indexed="64"/>
      </left>
      <right style="medium">
        <color indexed="64"/>
      </right>
      <top style="double">
        <color indexed="64"/>
      </top>
      <bottom style="hair">
        <color auto="1"/>
      </bottom>
      <diagonal/>
    </border>
    <border>
      <left style="thick">
        <color indexed="64"/>
      </left>
      <right style="medium">
        <color indexed="64"/>
      </right>
      <top style="hair">
        <color auto="1"/>
      </top>
      <bottom style="hair">
        <color auto="1"/>
      </bottom>
      <diagonal/>
    </border>
    <border>
      <left style="thick">
        <color indexed="64"/>
      </left>
      <right style="medium">
        <color indexed="64"/>
      </right>
      <top/>
      <bottom style="hair">
        <color auto="1"/>
      </bottom>
      <diagonal/>
    </border>
    <border>
      <left style="thick">
        <color indexed="64"/>
      </left>
      <right style="medium">
        <color indexed="64"/>
      </right>
      <top style="hair">
        <color auto="1"/>
      </top>
      <bottom style="thick">
        <color auto="1"/>
      </bottom>
      <diagonal/>
    </border>
    <border>
      <left style="medium">
        <color auto="1"/>
      </left>
      <right style="hair">
        <color auto="1"/>
      </right>
      <top style="thin">
        <color auto="1"/>
      </top>
      <bottom style="double">
        <color indexed="64"/>
      </bottom>
      <diagonal/>
    </border>
    <border>
      <left style="hair">
        <color auto="1"/>
      </left>
      <right style="hair">
        <color auto="1"/>
      </right>
      <top style="thin">
        <color auto="1"/>
      </top>
      <bottom style="double">
        <color indexed="64"/>
      </bottom>
      <diagonal/>
    </border>
    <border>
      <left style="hair">
        <color auto="1"/>
      </left>
      <right style="thick">
        <color auto="1"/>
      </right>
      <top style="thin">
        <color auto="1"/>
      </top>
      <bottom style="double">
        <color indexed="64"/>
      </bottom>
      <diagonal/>
    </border>
    <border>
      <left/>
      <right style="hair">
        <color indexed="64"/>
      </right>
      <top style="hair">
        <color indexed="64"/>
      </top>
      <bottom style="double">
        <color indexed="64"/>
      </bottom>
      <diagonal/>
    </border>
    <border>
      <left style="hair">
        <color auto="1"/>
      </left>
      <right style="hair">
        <color auto="1"/>
      </right>
      <top style="double">
        <color indexed="64"/>
      </top>
      <bottom style="thin">
        <color indexed="64"/>
      </bottom>
      <diagonal/>
    </border>
    <border>
      <left/>
      <right style="hair">
        <color auto="1"/>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bottom style="hair">
        <color auto="1"/>
      </bottom>
      <diagonal/>
    </border>
    <border>
      <left style="medium">
        <color indexed="64"/>
      </left>
      <right style="thin">
        <color indexed="64"/>
      </right>
      <top style="hair">
        <color indexed="64"/>
      </top>
      <bottom style="double">
        <color indexed="64"/>
      </bottom>
      <diagonal/>
    </border>
    <border>
      <left style="hair">
        <color auto="1"/>
      </left>
      <right/>
      <top style="double">
        <color indexed="64"/>
      </top>
      <bottom style="thin">
        <color indexed="64"/>
      </bottom>
      <diagonal/>
    </border>
    <border>
      <left style="hair">
        <color auto="1"/>
      </left>
      <right/>
      <top style="hair">
        <color auto="1"/>
      </top>
      <bottom style="double">
        <color indexed="64"/>
      </bottom>
      <diagonal/>
    </border>
    <border>
      <left style="hair">
        <color auto="1"/>
      </left>
      <right style="thick">
        <color auto="1"/>
      </right>
      <top style="double">
        <color indexed="64"/>
      </top>
      <bottom style="thin">
        <color auto="1"/>
      </bottom>
      <diagonal/>
    </border>
    <border>
      <left style="medium">
        <color indexed="64"/>
      </left>
      <right style="thin">
        <color indexed="64"/>
      </right>
      <top style="double">
        <color indexed="64"/>
      </top>
      <bottom style="hair">
        <color auto="1"/>
      </bottom>
      <diagonal/>
    </border>
    <border>
      <left style="thin">
        <color indexed="64"/>
      </left>
      <right style="hair">
        <color auto="1"/>
      </right>
      <top style="double">
        <color indexed="64"/>
      </top>
      <bottom style="thin">
        <color indexed="64"/>
      </bottom>
      <diagonal/>
    </border>
    <border>
      <left style="medium">
        <color indexed="64"/>
      </left>
      <right style="thin">
        <color indexed="64"/>
      </right>
      <top style="hair">
        <color auto="1"/>
      </top>
      <bottom style="thick">
        <color auto="1"/>
      </bottom>
      <diagonal/>
    </border>
    <border>
      <left style="thin">
        <color indexed="64"/>
      </left>
      <right/>
      <top style="double">
        <color indexed="64"/>
      </top>
      <bottom style="hair">
        <color auto="1"/>
      </bottom>
      <diagonal/>
    </border>
    <border>
      <left/>
      <right/>
      <top style="double">
        <color indexed="64"/>
      </top>
      <bottom style="hair">
        <color auto="1"/>
      </bottom>
      <diagonal/>
    </border>
    <border>
      <left/>
      <right style="thick">
        <color auto="1"/>
      </right>
      <top style="double">
        <color indexed="64"/>
      </top>
      <bottom style="hair">
        <color auto="1"/>
      </bottom>
      <diagonal/>
    </border>
    <border>
      <left/>
      <right/>
      <top style="hair">
        <color auto="1"/>
      </top>
      <bottom style="hair">
        <color auto="1"/>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right style="thick">
        <color auto="1"/>
      </right>
      <top style="hair">
        <color indexed="64"/>
      </top>
      <bottom style="double">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style="thin">
        <color indexed="64"/>
      </top>
      <bottom style="double">
        <color indexed="64"/>
      </bottom>
      <diagonal/>
    </border>
    <border>
      <left style="hair">
        <color auto="1"/>
      </left>
      <right style="thick">
        <color auto="1"/>
      </right>
      <top style="thin">
        <color auto="1"/>
      </top>
      <bottom/>
      <diagonal/>
    </border>
    <border>
      <left style="hair">
        <color auto="1"/>
      </left>
      <right style="thick">
        <color auto="1"/>
      </right>
      <top/>
      <bottom/>
      <diagonal/>
    </border>
    <border>
      <left style="hair">
        <color auto="1"/>
      </left>
      <right style="thick">
        <color auto="1"/>
      </right>
      <top/>
      <bottom style="thick">
        <color auto="1"/>
      </bottom>
      <diagonal/>
    </border>
    <border>
      <left style="thick">
        <color indexed="64"/>
      </left>
      <right style="hair">
        <color indexed="64"/>
      </right>
      <top style="thick">
        <color indexed="64"/>
      </top>
      <bottom/>
      <diagonal/>
    </border>
    <border>
      <left style="hair">
        <color auto="1"/>
      </left>
      <right style="hair">
        <color auto="1"/>
      </right>
      <top style="thick">
        <color auto="1"/>
      </top>
      <bottom/>
      <diagonal/>
    </border>
    <border>
      <left style="hair">
        <color auto="1"/>
      </left>
      <right style="thick">
        <color auto="1"/>
      </right>
      <top style="thick">
        <color auto="1"/>
      </top>
      <bottom/>
      <diagonal/>
    </border>
    <border>
      <left style="hair">
        <color auto="1"/>
      </left>
      <right style="hair">
        <color auto="1"/>
      </right>
      <top/>
      <bottom style="thick">
        <color auto="1"/>
      </bottom>
      <diagonal/>
    </border>
    <border>
      <left/>
      <right style="hair">
        <color auto="1"/>
      </right>
      <top/>
      <bottom style="thick">
        <color auto="1"/>
      </bottom>
      <diagonal/>
    </border>
    <border>
      <left style="thick">
        <color auto="1"/>
      </left>
      <right style="thin">
        <color auto="1"/>
      </right>
      <top/>
      <bottom style="thick">
        <color auto="1"/>
      </bottom>
      <diagonal/>
    </border>
    <border>
      <left style="thick">
        <color auto="1"/>
      </left>
      <right style="thin">
        <color auto="1"/>
      </right>
      <top style="thin">
        <color auto="1"/>
      </top>
      <bottom style="hair">
        <color auto="1"/>
      </bottom>
      <diagonal/>
    </border>
    <border>
      <left style="thick">
        <color auto="1"/>
      </left>
      <right style="thin">
        <color auto="1"/>
      </right>
      <top style="hair">
        <color auto="1"/>
      </top>
      <bottom style="thin">
        <color auto="1"/>
      </bottom>
      <diagonal/>
    </border>
    <border>
      <left style="thin">
        <color indexed="64"/>
      </left>
      <right style="hair">
        <color indexed="64"/>
      </right>
      <top style="thin">
        <color indexed="64"/>
      </top>
      <bottom style="hair">
        <color indexed="64"/>
      </bottom>
      <diagonal/>
    </border>
    <border>
      <left style="hair">
        <color auto="1"/>
      </left>
      <right/>
      <top style="thin">
        <color auto="1"/>
      </top>
      <bottom/>
      <diagonal/>
    </border>
    <border>
      <left/>
      <right style="thick">
        <color auto="1"/>
      </right>
      <top style="thin">
        <color auto="1"/>
      </top>
      <bottom/>
      <diagonal/>
    </border>
    <border>
      <left style="hair">
        <color auto="1"/>
      </left>
      <right/>
      <top/>
      <bottom style="thin">
        <color auto="1"/>
      </bottom>
      <diagonal/>
    </border>
    <border>
      <left/>
      <right style="thick">
        <color auto="1"/>
      </right>
      <top/>
      <bottom style="thin">
        <color auto="1"/>
      </bottom>
      <diagonal/>
    </border>
    <border>
      <left style="thick">
        <color auto="1"/>
      </left>
      <right style="thin">
        <color auto="1"/>
      </right>
      <top style="thin">
        <color auto="1"/>
      </top>
      <bottom/>
      <diagonal/>
    </border>
    <border>
      <left style="thick">
        <color auto="1"/>
      </left>
      <right style="thin">
        <color auto="1"/>
      </right>
      <top/>
      <bottom style="thin">
        <color auto="1"/>
      </bottom>
      <diagonal/>
    </border>
    <border>
      <left style="thin">
        <color auto="1"/>
      </left>
      <right/>
      <top style="thin">
        <color auto="1"/>
      </top>
      <bottom style="thick">
        <color auto="1"/>
      </bottom>
      <diagonal/>
    </border>
    <border>
      <left/>
      <right/>
      <top style="thin">
        <color auto="1"/>
      </top>
      <bottom style="thick">
        <color auto="1"/>
      </bottom>
      <diagonal/>
    </border>
    <border>
      <left/>
      <right style="thick">
        <color auto="1"/>
      </right>
      <top style="thin">
        <color auto="1"/>
      </top>
      <bottom style="thick">
        <color auto="1"/>
      </bottom>
      <diagonal/>
    </border>
    <border>
      <left style="thick">
        <color auto="1"/>
      </left>
      <right/>
      <top style="thick">
        <color auto="1"/>
      </top>
      <bottom style="slantDashDot">
        <color auto="1"/>
      </bottom>
      <diagonal/>
    </border>
    <border>
      <left/>
      <right/>
      <top style="thick">
        <color auto="1"/>
      </top>
      <bottom style="slantDashDot">
        <color auto="1"/>
      </bottom>
      <diagonal/>
    </border>
    <border>
      <left/>
      <right style="thick">
        <color auto="1"/>
      </right>
      <top style="thick">
        <color auto="1"/>
      </top>
      <bottom style="slantDashDot">
        <color auto="1"/>
      </bottom>
      <diagonal/>
    </border>
    <border>
      <left style="thick">
        <color auto="1"/>
      </left>
      <right style="dotted">
        <color auto="1"/>
      </right>
      <top style="slantDashDot">
        <color auto="1"/>
      </top>
      <bottom style="thin">
        <color indexed="64"/>
      </bottom>
      <diagonal/>
    </border>
    <border>
      <left/>
      <right style="hair">
        <color auto="1"/>
      </right>
      <top style="slantDashDot">
        <color auto="1"/>
      </top>
      <bottom style="thin">
        <color indexed="64"/>
      </bottom>
      <diagonal/>
    </border>
    <border>
      <left style="hair">
        <color auto="1"/>
      </left>
      <right style="thick">
        <color auto="1"/>
      </right>
      <top style="slantDashDot">
        <color auto="1"/>
      </top>
      <bottom style="thin">
        <color indexed="64"/>
      </bottom>
      <diagonal/>
    </border>
    <border>
      <left style="thick">
        <color auto="1"/>
      </left>
      <right style="hair">
        <color auto="1"/>
      </right>
      <top style="thin">
        <color auto="1"/>
      </top>
      <bottom/>
      <diagonal/>
    </border>
    <border>
      <left style="thick">
        <color auto="1"/>
      </left>
      <right style="hair">
        <color auto="1"/>
      </right>
      <top style="dashed">
        <color auto="1"/>
      </top>
      <bottom style="dashed">
        <color auto="1"/>
      </bottom>
      <diagonal/>
    </border>
    <border>
      <left style="hair">
        <color auto="1"/>
      </left>
      <right style="hair">
        <color auto="1"/>
      </right>
      <top style="thin">
        <color auto="1"/>
      </top>
      <bottom style="thin">
        <color indexed="64"/>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thick">
        <color auto="1"/>
      </right>
      <top style="medium">
        <color auto="1"/>
      </top>
      <bottom style="hair">
        <color auto="1"/>
      </bottom>
      <diagonal/>
    </border>
    <border>
      <left style="medium">
        <color indexed="64"/>
      </left>
      <right style="hair">
        <color indexed="64"/>
      </right>
      <top style="thick">
        <color indexed="64"/>
      </top>
      <bottom/>
      <diagonal/>
    </border>
    <border>
      <left style="thick">
        <color auto="1"/>
      </left>
      <right style="thick">
        <color auto="1"/>
      </right>
      <top style="hair">
        <color auto="1"/>
      </top>
      <bottom style="hair">
        <color auto="1"/>
      </bottom>
      <diagonal/>
    </border>
    <border>
      <left style="thick">
        <color auto="1"/>
      </left>
      <right style="thick">
        <color auto="1"/>
      </right>
      <top style="hair">
        <color auto="1"/>
      </top>
      <bottom style="thick">
        <color auto="1"/>
      </bottom>
      <diagonal/>
    </border>
    <border>
      <left style="thick">
        <color auto="1"/>
      </left>
      <right style="thick">
        <color auto="1"/>
      </right>
      <top/>
      <bottom style="hair">
        <color auto="1"/>
      </bottom>
      <diagonal/>
    </border>
    <border>
      <left style="hair">
        <color indexed="64"/>
      </left>
      <right style="medium">
        <color indexed="64"/>
      </right>
      <top style="medium">
        <color indexed="64"/>
      </top>
      <bottom style="hair">
        <color indexed="64"/>
      </bottom>
      <diagonal/>
    </border>
    <border>
      <left/>
      <right style="hair">
        <color auto="1"/>
      </right>
      <top style="medium">
        <color auto="1"/>
      </top>
      <bottom style="hair">
        <color auto="1"/>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medium">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ck">
        <color auto="1"/>
      </left>
      <right style="hair">
        <color auto="1"/>
      </right>
      <top style="medium">
        <color auto="1"/>
      </top>
      <bottom style="hair">
        <color auto="1"/>
      </bottom>
      <diagonal/>
    </border>
    <border>
      <left style="thick">
        <color auto="1"/>
      </left>
      <right style="hair">
        <color auto="1"/>
      </right>
      <top style="hair">
        <color auto="1"/>
      </top>
      <bottom style="medium">
        <color auto="1"/>
      </bottom>
      <diagonal/>
    </border>
    <border>
      <left style="hair">
        <color auto="1"/>
      </left>
      <right style="thick">
        <color auto="1"/>
      </right>
      <top style="hair">
        <color auto="1"/>
      </top>
      <bottom style="medium">
        <color auto="1"/>
      </bottom>
      <diagonal/>
    </border>
    <border>
      <left style="thick">
        <color auto="1"/>
      </left>
      <right style="hair">
        <color auto="1"/>
      </right>
      <top style="medium">
        <color auto="1"/>
      </top>
      <bottom/>
      <diagonal/>
    </border>
    <border>
      <left style="thick">
        <color auto="1"/>
      </left>
      <right style="hair">
        <color auto="1"/>
      </right>
      <top/>
      <bottom style="medium">
        <color auto="1"/>
      </bottom>
      <diagonal/>
    </border>
    <border>
      <left/>
      <right style="thick">
        <color auto="1"/>
      </right>
      <top style="thin">
        <color auto="1"/>
      </top>
      <bottom style="medium">
        <color auto="1"/>
      </bottom>
      <diagonal/>
    </border>
    <border>
      <left style="thin">
        <color auto="1"/>
      </left>
      <right style="slantDashDot">
        <color auto="1"/>
      </right>
      <top style="thin">
        <color auto="1"/>
      </top>
      <bottom style="medium">
        <color auto="1"/>
      </bottom>
      <diagonal/>
    </border>
    <border>
      <left style="thin">
        <color auto="1"/>
      </left>
      <right style="slantDashDot">
        <color auto="1"/>
      </right>
      <top/>
      <bottom style="hair">
        <color auto="1"/>
      </bottom>
      <diagonal/>
    </border>
    <border>
      <left style="thin">
        <color auto="1"/>
      </left>
      <right style="slantDashDot">
        <color auto="1"/>
      </right>
      <top style="hair">
        <color auto="1"/>
      </top>
      <bottom style="hair">
        <color auto="1"/>
      </bottom>
      <diagonal/>
    </border>
    <border>
      <left style="thin">
        <color auto="1"/>
      </left>
      <right style="slantDashDot">
        <color auto="1"/>
      </right>
      <top style="hair">
        <color auto="1"/>
      </top>
      <bottom style="thick">
        <color auto="1"/>
      </bottom>
      <diagonal/>
    </border>
    <border>
      <left style="slantDashDot">
        <color auto="1"/>
      </left>
      <right style="thick">
        <color auto="1"/>
      </right>
      <top/>
      <bottom style="hair">
        <color auto="1"/>
      </bottom>
      <diagonal/>
    </border>
    <border>
      <left style="hair">
        <color auto="1"/>
      </left>
      <right style="hair">
        <color auto="1"/>
      </right>
      <top style="hair">
        <color auto="1"/>
      </top>
      <bottom style="slantDashDot">
        <color auto="1"/>
      </bottom>
      <diagonal/>
    </border>
    <border>
      <left style="hair">
        <color auto="1"/>
      </left>
      <right style="thick">
        <color auto="1"/>
      </right>
      <top style="hair">
        <color auto="1"/>
      </top>
      <bottom style="slantDashDot">
        <color auto="1"/>
      </bottom>
      <diagonal/>
    </border>
    <border>
      <left/>
      <right style="hair">
        <color auto="1"/>
      </right>
      <top style="thin">
        <color indexed="64"/>
      </top>
      <bottom/>
      <diagonal/>
    </border>
    <border>
      <left/>
      <right style="hair">
        <color auto="1"/>
      </right>
      <top style="hair">
        <color auto="1"/>
      </top>
      <bottom style="slantDashDot">
        <color auto="1"/>
      </bottom>
      <diagonal/>
    </border>
    <border>
      <left style="thin">
        <color auto="1"/>
      </left>
      <right style="thin">
        <color auto="1"/>
      </right>
      <top style="thin">
        <color auto="1"/>
      </top>
      <bottom/>
      <diagonal/>
    </border>
    <border>
      <left style="thick">
        <color auto="1"/>
      </left>
      <right style="thin">
        <color auto="1"/>
      </right>
      <top style="slantDashDot">
        <color auto="1"/>
      </top>
      <bottom style="hair">
        <color auto="1"/>
      </bottom>
      <diagonal/>
    </border>
    <border>
      <left style="thick">
        <color auto="1"/>
      </left>
      <right style="thin">
        <color auto="1"/>
      </right>
      <top style="hair">
        <color auto="1"/>
      </top>
      <bottom style="slantDashDot">
        <color auto="1"/>
      </bottom>
      <diagonal/>
    </border>
    <border>
      <left style="thin">
        <color auto="1"/>
      </left>
      <right style="thin">
        <color auto="1"/>
      </right>
      <top style="hair">
        <color auto="1"/>
      </top>
      <bottom style="slantDashDot">
        <color auto="1"/>
      </bottom>
      <diagonal/>
    </border>
    <border>
      <left style="thin">
        <color auto="1"/>
      </left>
      <right style="thin">
        <color auto="1"/>
      </right>
      <top style="hair">
        <color auto="1"/>
      </top>
      <bottom/>
      <diagonal/>
    </border>
    <border>
      <left style="thin">
        <color auto="1"/>
      </left>
      <right style="thin">
        <color auto="1"/>
      </right>
      <top style="thin">
        <color auto="1"/>
      </top>
      <bottom style="hair">
        <color auto="1"/>
      </bottom>
      <diagonal/>
    </border>
    <border>
      <left style="thin">
        <color auto="1"/>
      </left>
      <right style="thick">
        <color auto="1"/>
      </right>
      <top style="hair">
        <color auto="1"/>
      </top>
      <bottom style="hair">
        <color auto="1"/>
      </bottom>
      <diagonal/>
    </border>
    <border>
      <left style="thin">
        <color auto="1"/>
      </left>
      <right style="thick">
        <color auto="1"/>
      </right>
      <top style="hair">
        <color auto="1"/>
      </top>
      <bottom style="thick">
        <color auto="1"/>
      </bottom>
      <diagonal/>
    </border>
    <border>
      <left style="thin">
        <color auto="1"/>
      </left>
      <right style="thick">
        <color auto="1"/>
      </right>
      <top/>
      <bottom style="hair">
        <color auto="1"/>
      </bottom>
      <diagonal/>
    </border>
    <border>
      <left style="thick">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ck">
        <color auto="1"/>
      </right>
      <top style="thin">
        <color auto="1"/>
      </top>
      <bottom style="medium">
        <color auto="1"/>
      </bottom>
      <diagonal/>
    </border>
    <border>
      <left/>
      <right/>
      <top style="thick">
        <color auto="1"/>
      </top>
      <bottom/>
      <diagonal/>
    </border>
    <border>
      <left style="thick">
        <color auto="1"/>
      </left>
      <right style="medium">
        <color auto="1"/>
      </right>
      <top style="thick">
        <color auto="1"/>
      </top>
      <bottom/>
      <diagonal/>
    </border>
    <border>
      <left style="thick">
        <color auto="1"/>
      </left>
      <right style="medium">
        <color auto="1"/>
      </right>
      <top/>
      <bottom/>
      <diagonal/>
    </border>
    <border>
      <left style="thick">
        <color auto="1"/>
      </left>
      <right style="medium">
        <color auto="1"/>
      </right>
      <top/>
      <bottom style="thick">
        <color auto="1"/>
      </bottom>
      <diagonal/>
    </border>
    <border>
      <left style="medium">
        <color auto="1"/>
      </left>
      <right/>
      <top style="thick">
        <color auto="1"/>
      </top>
      <bottom style="slantDashDot">
        <color auto="1"/>
      </bottom>
      <diagonal/>
    </border>
    <border>
      <left style="medium">
        <color auto="1"/>
      </left>
      <right/>
      <top style="slantDashDot">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thick">
        <color auto="1"/>
      </bottom>
      <diagonal/>
    </border>
    <border>
      <left style="slantDashDot">
        <color auto="1"/>
      </left>
      <right style="thin">
        <color auto="1"/>
      </right>
      <top style="thick">
        <color auto="1"/>
      </top>
      <bottom style="slantDashDot">
        <color auto="1"/>
      </bottom>
      <diagonal/>
    </border>
    <border>
      <left style="thin">
        <color auto="1"/>
      </left>
      <right style="slantDashDot">
        <color auto="1"/>
      </right>
      <top style="thick">
        <color auto="1"/>
      </top>
      <bottom style="slantDashDot">
        <color auto="1"/>
      </bottom>
      <diagonal/>
    </border>
    <border>
      <left style="slantDashDot">
        <color auto="1"/>
      </left>
      <right style="thin">
        <color auto="1"/>
      </right>
      <top style="slantDashDot">
        <color auto="1"/>
      </top>
      <bottom style="hair">
        <color auto="1"/>
      </bottom>
      <diagonal/>
    </border>
    <border>
      <left style="thin">
        <color auto="1"/>
      </left>
      <right style="slantDashDot">
        <color auto="1"/>
      </right>
      <top style="slantDashDot">
        <color auto="1"/>
      </top>
      <bottom style="hair">
        <color auto="1"/>
      </bottom>
      <diagonal/>
    </border>
    <border>
      <left style="slantDashDot">
        <color auto="1"/>
      </left>
      <right style="thin">
        <color auto="1"/>
      </right>
      <top style="hair">
        <color auto="1"/>
      </top>
      <bottom style="thick">
        <color auto="1"/>
      </bottom>
      <diagonal/>
    </border>
    <border>
      <left/>
      <right style="hair">
        <color auto="1"/>
      </right>
      <top style="thick">
        <color auto="1"/>
      </top>
      <bottom style="hair">
        <color auto="1"/>
      </bottom>
      <diagonal/>
    </border>
    <border>
      <left style="thin">
        <color auto="1"/>
      </left>
      <right style="hair">
        <color auto="1"/>
      </right>
      <top style="thick">
        <color auto="1"/>
      </top>
      <bottom style="thin">
        <color auto="1"/>
      </bottom>
      <diagonal/>
    </border>
    <border>
      <left style="hair">
        <color auto="1"/>
      </left>
      <right style="thin">
        <color auto="1"/>
      </right>
      <top style="thick">
        <color auto="1"/>
      </top>
      <bottom style="thin">
        <color auto="1"/>
      </bottom>
      <diagonal/>
    </border>
    <border>
      <left style="slantDashDot">
        <color auto="1"/>
      </left>
      <right style="thick">
        <color auto="1"/>
      </right>
      <top style="thick">
        <color auto="1"/>
      </top>
      <bottom style="thin">
        <color auto="1"/>
      </bottom>
      <diagonal/>
    </border>
    <border>
      <left style="slantDashDot">
        <color auto="1"/>
      </left>
      <right style="thick">
        <color auto="1"/>
      </right>
      <top style="hair">
        <color auto="1"/>
      </top>
      <bottom style="hair">
        <color auto="1"/>
      </bottom>
      <diagonal/>
    </border>
    <border>
      <left style="slantDashDot">
        <color auto="1"/>
      </left>
      <right style="thick">
        <color auto="1"/>
      </right>
      <top style="hair">
        <color auto="1"/>
      </top>
      <bottom style="thick">
        <color auto="1"/>
      </bottom>
      <diagonal/>
    </border>
    <border>
      <left style="thick">
        <color auto="1"/>
      </left>
      <right style="slantDashDot">
        <color auto="1"/>
      </right>
      <top/>
      <bottom style="hair">
        <color auto="1"/>
      </bottom>
      <diagonal/>
    </border>
    <border>
      <left style="thick">
        <color auto="1"/>
      </left>
      <right style="slantDashDot">
        <color auto="1"/>
      </right>
      <top style="hair">
        <color auto="1"/>
      </top>
      <bottom style="hair">
        <color auto="1"/>
      </bottom>
      <diagonal/>
    </border>
    <border>
      <left style="hair">
        <color indexed="64"/>
      </left>
      <right style="medium">
        <color indexed="64"/>
      </right>
      <top style="thick">
        <color indexed="64"/>
      </top>
      <bottom style="hair">
        <color indexed="64"/>
      </bottom>
      <diagonal/>
    </border>
    <border>
      <left style="thick">
        <color indexed="64"/>
      </left>
      <right style="hair">
        <color auto="1"/>
      </right>
      <top style="hair">
        <color indexed="64"/>
      </top>
      <bottom style="mediumDashDotDot">
        <color indexed="64"/>
      </bottom>
      <diagonal/>
    </border>
    <border>
      <left style="hair">
        <color indexed="64"/>
      </left>
      <right style="medium">
        <color indexed="64"/>
      </right>
      <top style="hair">
        <color indexed="64"/>
      </top>
      <bottom style="mediumDashDotDot">
        <color indexed="64"/>
      </bottom>
      <diagonal/>
    </border>
    <border>
      <left/>
      <right style="hair">
        <color auto="1"/>
      </right>
      <top style="hair">
        <color indexed="64"/>
      </top>
      <bottom style="mediumDashDotDot">
        <color indexed="64"/>
      </bottom>
      <diagonal/>
    </border>
    <border>
      <left style="thick">
        <color auto="1"/>
      </left>
      <right style="hair">
        <color auto="1"/>
      </right>
      <top style="mediumDashDotDot">
        <color auto="1"/>
      </top>
      <bottom style="hair">
        <color auto="1"/>
      </bottom>
      <diagonal/>
    </border>
    <border>
      <left style="hair">
        <color auto="1"/>
      </left>
      <right style="medium">
        <color auto="1"/>
      </right>
      <top style="mediumDashDotDot">
        <color auto="1"/>
      </top>
      <bottom style="hair">
        <color auto="1"/>
      </bottom>
      <diagonal/>
    </border>
    <border>
      <left/>
      <right style="hair">
        <color auto="1"/>
      </right>
      <top style="mediumDashDotDot">
        <color auto="1"/>
      </top>
      <bottom style="hair">
        <color auto="1"/>
      </bottom>
      <diagonal/>
    </border>
    <border>
      <left style="thick">
        <color auto="1"/>
      </left>
      <right style="hair">
        <color auto="1"/>
      </right>
      <top/>
      <bottom style="slantDashDot">
        <color auto="1"/>
      </bottom>
      <diagonal/>
    </border>
    <border>
      <left style="hair">
        <color auto="1"/>
      </left>
      <right style="medium">
        <color auto="1"/>
      </right>
      <top/>
      <bottom style="slantDashDot">
        <color auto="1"/>
      </bottom>
      <diagonal/>
    </border>
    <border>
      <left/>
      <right style="hair">
        <color auto="1"/>
      </right>
      <top/>
      <bottom style="slantDashDot">
        <color auto="1"/>
      </bottom>
      <diagonal/>
    </border>
    <border>
      <left style="hair">
        <color auto="1"/>
      </left>
      <right/>
      <top style="hair">
        <color indexed="64"/>
      </top>
      <bottom style="mediumDashDotDot">
        <color indexed="64"/>
      </bottom>
      <diagonal/>
    </border>
    <border>
      <left style="hair">
        <color auto="1"/>
      </left>
      <right/>
      <top style="mediumDashDotDot">
        <color auto="1"/>
      </top>
      <bottom style="hair">
        <color auto="1"/>
      </bottom>
      <diagonal/>
    </border>
    <border>
      <left style="hair">
        <color auto="1"/>
      </left>
      <right/>
      <top/>
      <bottom style="slantDashDot">
        <color auto="1"/>
      </bottom>
      <diagonal/>
    </border>
    <border>
      <left/>
      <right style="thick">
        <color auto="1"/>
      </right>
      <top style="thick">
        <color auto="1"/>
      </top>
      <bottom style="hair">
        <color auto="1"/>
      </bottom>
      <diagonal/>
    </border>
    <border>
      <left/>
      <right style="thick">
        <color auto="1"/>
      </right>
      <top style="hair">
        <color indexed="64"/>
      </top>
      <bottom style="mediumDashDotDot">
        <color indexed="64"/>
      </bottom>
      <diagonal/>
    </border>
    <border>
      <left/>
      <right style="thick">
        <color auto="1"/>
      </right>
      <top/>
      <bottom style="hair">
        <color auto="1"/>
      </bottom>
      <diagonal/>
    </border>
    <border>
      <left/>
      <right style="thick">
        <color auto="1"/>
      </right>
      <top style="hair">
        <color auto="1"/>
      </top>
      <bottom/>
      <diagonal/>
    </border>
    <border>
      <left/>
      <right style="thick">
        <color auto="1"/>
      </right>
      <top style="mediumDashDotDot">
        <color auto="1"/>
      </top>
      <bottom style="hair">
        <color auto="1"/>
      </bottom>
      <diagonal/>
    </border>
    <border>
      <left/>
      <right style="thick">
        <color auto="1"/>
      </right>
      <top/>
      <bottom style="slantDashDot">
        <color auto="1"/>
      </bottom>
      <diagonal/>
    </border>
    <border>
      <left style="slantDashDot">
        <color auto="1"/>
      </left>
      <right style="hair">
        <color auto="1"/>
      </right>
      <top style="thick">
        <color auto="1"/>
      </top>
      <bottom style="hair">
        <color auto="1"/>
      </bottom>
      <diagonal/>
    </border>
    <border>
      <left style="hair">
        <color auto="1"/>
      </left>
      <right style="slantDashDot">
        <color auto="1"/>
      </right>
      <top style="thick">
        <color auto="1"/>
      </top>
      <bottom style="hair">
        <color auto="1"/>
      </bottom>
      <diagonal/>
    </border>
    <border>
      <left style="slantDashDot">
        <color auto="1"/>
      </left>
      <right style="hair">
        <color auto="1"/>
      </right>
      <top style="hair">
        <color indexed="64"/>
      </top>
      <bottom style="mediumDashDotDot">
        <color indexed="64"/>
      </bottom>
      <diagonal/>
    </border>
    <border>
      <left style="hair">
        <color auto="1"/>
      </left>
      <right style="slantDashDot">
        <color auto="1"/>
      </right>
      <top style="hair">
        <color indexed="64"/>
      </top>
      <bottom style="mediumDashDotDot">
        <color indexed="64"/>
      </bottom>
      <diagonal/>
    </border>
    <border>
      <left style="slantDashDot">
        <color auto="1"/>
      </left>
      <right style="hair">
        <color auto="1"/>
      </right>
      <top style="hair">
        <color auto="1"/>
      </top>
      <bottom/>
      <diagonal/>
    </border>
    <border>
      <left style="hair">
        <color auto="1"/>
      </left>
      <right style="slantDashDot">
        <color auto="1"/>
      </right>
      <top style="hair">
        <color auto="1"/>
      </top>
      <bottom/>
      <diagonal/>
    </border>
    <border>
      <left style="slantDashDot">
        <color auto="1"/>
      </left>
      <right style="hair">
        <color auto="1"/>
      </right>
      <top style="mediumDashDotDot">
        <color auto="1"/>
      </top>
      <bottom style="hair">
        <color auto="1"/>
      </bottom>
      <diagonal/>
    </border>
    <border>
      <left style="hair">
        <color auto="1"/>
      </left>
      <right style="slantDashDot">
        <color auto="1"/>
      </right>
      <top style="mediumDashDotDot">
        <color auto="1"/>
      </top>
      <bottom style="hair">
        <color auto="1"/>
      </bottom>
      <diagonal/>
    </border>
    <border>
      <left style="slantDashDot">
        <color auto="1"/>
      </left>
      <right style="hair">
        <color auto="1"/>
      </right>
      <top style="hair">
        <color auto="1"/>
      </top>
      <bottom style="thin">
        <color auto="1"/>
      </bottom>
      <diagonal/>
    </border>
    <border>
      <left style="hair">
        <color auto="1"/>
      </left>
      <right style="slantDashDot">
        <color auto="1"/>
      </right>
      <top style="hair">
        <color auto="1"/>
      </top>
      <bottom style="thin">
        <color auto="1"/>
      </bottom>
      <diagonal/>
    </border>
    <border>
      <left style="slantDashDot">
        <color auto="1"/>
      </left>
      <right style="hair">
        <color auto="1"/>
      </right>
      <top/>
      <bottom style="slantDashDot">
        <color auto="1"/>
      </bottom>
      <diagonal/>
    </border>
    <border>
      <left style="hair">
        <color auto="1"/>
      </left>
      <right style="slantDashDot">
        <color auto="1"/>
      </right>
      <top/>
      <bottom style="slantDashDot">
        <color auto="1"/>
      </bottom>
      <diagonal/>
    </border>
    <border>
      <left style="slantDashDot">
        <color auto="1"/>
      </left>
      <right/>
      <top style="thick">
        <color auto="1"/>
      </top>
      <bottom style="hair">
        <color auto="1"/>
      </bottom>
      <diagonal/>
    </border>
    <border>
      <left/>
      <right/>
      <top style="thick">
        <color auto="1"/>
      </top>
      <bottom style="hair">
        <color auto="1"/>
      </bottom>
      <diagonal/>
    </border>
    <border>
      <left/>
      <right style="slantDashDot">
        <color auto="1"/>
      </right>
      <top style="thick">
        <color auto="1"/>
      </top>
      <bottom style="hair">
        <color auto="1"/>
      </bottom>
      <diagonal/>
    </border>
    <border>
      <left style="hair">
        <color indexed="64"/>
      </left>
      <right/>
      <top style="medium">
        <color indexed="64"/>
      </top>
      <bottom/>
      <diagonal/>
    </border>
    <border>
      <left/>
      <right style="hair">
        <color indexed="64"/>
      </right>
      <top style="medium">
        <color indexed="64"/>
      </top>
      <bottom/>
      <diagonal/>
    </border>
    <border>
      <left style="thin">
        <color indexed="64"/>
      </left>
      <right style="hair">
        <color indexed="64"/>
      </right>
      <top style="medium">
        <color indexed="64"/>
      </top>
      <bottom/>
      <diagonal/>
    </border>
    <border>
      <left style="hair">
        <color indexed="64"/>
      </left>
      <right style="thin">
        <color indexed="64"/>
      </right>
      <top style="medium">
        <color indexed="64"/>
      </top>
      <bottom/>
      <diagonal/>
    </border>
    <border>
      <left style="hair">
        <color indexed="64"/>
      </left>
      <right style="thin">
        <color indexed="64"/>
      </right>
      <top style="thin">
        <color auto="1"/>
      </top>
      <bottom style="hair">
        <color auto="1"/>
      </bottom>
      <diagonal/>
    </border>
    <border>
      <left style="hair">
        <color indexed="64"/>
      </left>
      <right style="thin">
        <color indexed="64"/>
      </right>
      <top style="hair">
        <color auto="1"/>
      </top>
      <bottom style="thin">
        <color auto="1"/>
      </bottom>
      <diagonal/>
    </border>
    <border>
      <left style="thick">
        <color auto="1"/>
      </left>
      <right style="slantDashDot">
        <color auto="1"/>
      </right>
      <top style="thick">
        <color auto="1"/>
      </top>
      <bottom/>
      <diagonal/>
    </border>
    <border>
      <left style="thick">
        <color auto="1"/>
      </left>
      <right style="slantDashDot">
        <color auto="1"/>
      </right>
      <top/>
      <bottom style="medium">
        <color indexed="64"/>
      </bottom>
      <diagonal/>
    </border>
    <border>
      <left style="thick">
        <color auto="1"/>
      </left>
      <right/>
      <top style="slantDashDot">
        <color auto="1"/>
      </top>
      <bottom/>
      <diagonal/>
    </border>
    <border>
      <left/>
      <right style="thin">
        <color auto="1"/>
      </right>
      <top style="slantDashDot">
        <color auto="1"/>
      </top>
      <bottom/>
      <diagonal/>
    </border>
    <border>
      <left style="thick">
        <color auto="1"/>
      </left>
      <right/>
      <top/>
      <bottom/>
      <diagonal/>
    </border>
    <border>
      <left/>
      <right style="thin">
        <color auto="1"/>
      </right>
      <top/>
      <bottom/>
      <diagonal/>
    </border>
    <border>
      <left style="thick">
        <color auto="1"/>
      </left>
      <right/>
      <top/>
      <bottom style="slantDashDot">
        <color auto="1"/>
      </bottom>
      <diagonal/>
    </border>
    <border>
      <left/>
      <right style="thin">
        <color auto="1"/>
      </right>
      <top/>
      <bottom style="slantDashDot">
        <color auto="1"/>
      </bottom>
      <diagonal/>
    </border>
    <border>
      <left style="thin">
        <color auto="1"/>
      </left>
      <right style="hair">
        <color auto="1"/>
      </right>
      <top style="slantDashDot">
        <color indexed="64"/>
      </top>
      <bottom/>
      <diagonal/>
    </border>
    <border>
      <left style="hair">
        <color auto="1"/>
      </left>
      <right style="thick">
        <color auto="1"/>
      </right>
      <top style="slantDashDot">
        <color auto="1"/>
      </top>
      <bottom/>
      <diagonal/>
    </border>
    <border>
      <left style="hair">
        <color auto="1"/>
      </left>
      <right style="thick">
        <color auto="1"/>
      </right>
      <top/>
      <bottom style="thin">
        <color indexed="64"/>
      </bottom>
      <diagonal/>
    </border>
    <border>
      <left style="slantDashDot">
        <color auto="1"/>
      </left>
      <right style="thick">
        <color auto="1"/>
      </right>
      <top style="medium">
        <color auto="1"/>
      </top>
      <bottom style="hair">
        <color auto="1"/>
      </bottom>
      <diagonal/>
    </border>
    <border>
      <left style="thin">
        <color auto="1"/>
      </left>
      <right style="thin">
        <color auto="1"/>
      </right>
      <top/>
      <bottom/>
      <diagonal/>
    </border>
    <border>
      <left/>
      <right style="hair">
        <color auto="1"/>
      </right>
      <top/>
      <bottom/>
      <diagonal/>
    </border>
    <border>
      <left style="thick">
        <color auto="1"/>
      </left>
      <right style="thin">
        <color auto="1"/>
      </right>
      <top/>
      <bottom/>
      <diagonal/>
    </border>
    <border>
      <left style="slantDashDot">
        <color auto="1"/>
      </left>
      <right/>
      <top style="mediumDashDotDot">
        <color auto="1"/>
      </top>
      <bottom style="hair">
        <color auto="1"/>
      </bottom>
      <diagonal/>
    </border>
    <border>
      <left/>
      <right style="slantDashDot">
        <color auto="1"/>
      </right>
      <top style="mediumDashDotDot">
        <color auto="1"/>
      </top>
      <bottom style="hair">
        <color auto="1"/>
      </bottom>
      <diagonal/>
    </border>
    <border>
      <left style="slantDashDot">
        <color auto="1"/>
      </left>
      <right/>
      <top style="hair">
        <color auto="1"/>
      </top>
      <bottom style="hair">
        <color auto="1"/>
      </bottom>
      <diagonal/>
    </border>
    <border>
      <left/>
      <right style="slantDashDot">
        <color auto="1"/>
      </right>
      <top style="hair">
        <color auto="1"/>
      </top>
      <bottom style="hair">
        <color auto="1"/>
      </bottom>
      <diagonal/>
    </border>
    <border>
      <left style="slantDashDot">
        <color auto="1"/>
      </left>
      <right/>
      <top style="hair">
        <color auto="1"/>
      </top>
      <bottom style="thin">
        <color auto="1"/>
      </bottom>
      <diagonal/>
    </border>
    <border>
      <left/>
      <right style="slantDashDot">
        <color auto="1"/>
      </right>
      <top style="hair">
        <color auto="1"/>
      </top>
      <bottom style="thin">
        <color auto="1"/>
      </bottom>
      <diagonal/>
    </border>
    <border>
      <left style="thick">
        <color auto="1"/>
      </left>
      <right style="thin">
        <color auto="1"/>
      </right>
      <top style="hair">
        <color auto="1"/>
      </top>
      <bottom/>
      <diagonal/>
    </border>
    <border>
      <left style="thin">
        <color auto="1"/>
      </left>
      <right/>
      <top style="hair">
        <color auto="1"/>
      </top>
      <bottom/>
      <diagonal/>
    </border>
    <border>
      <left style="thin">
        <color auto="1"/>
      </left>
      <right style="hair">
        <color auto="1"/>
      </right>
      <top style="hair">
        <color auto="1"/>
      </top>
      <bottom/>
      <diagonal/>
    </border>
    <border>
      <left style="hair">
        <color auto="1"/>
      </left>
      <right style="thin">
        <color auto="1"/>
      </right>
      <top style="hair">
        <color auto="1"/>
      </top>
      <bottom/>
      <diagonal/>
    </border>
    <border>
      <left style="thick">
        <color auto="1"/>
      </left>
      <right/>
      <top/>
      <bottom style="thick">
        <color auto="1"/>
      </bottom>
      <diagonal/>
    </border>
    <border>
      <left/>
      <right style="thin">
        <color auto="1"/>
      </right>
      <top/>
      <bottom style="thick">
        <color auto="1"/>
      </bottom>
      <diagonal/>
    </border>
    <border>
      <left style="slantDashDot">
        <color auto="1"/>
      </left>
      <right/>
      <top style="thick">
        <color auto="1"/>
      </top>
      <bottom style="slantDashDot">
        <color auto="1"/>
      </bottom>
      <diagonal/>
    </border>
    <border>
      <left style="slantDashDot">
        <color auto="1"/>
      </left>
      <right style="thick">
        <color auto="1"/>
      </right>
      <top style="hair">
        <color auto="1"/>
      </top>
      <bottom/>
      <diagonal/>
    </border>
    <border>
      <left style="slantDashDot">
        <color auto="1"/>
      </left>
      <right style="thick">
        <color auto="1"/>
      </right>
      <top/>
      <bottom/>
      <diagonal/>
    </border>
    <border>
      <left style="slantDashDot">
        <color auto="1"/>
      </left>
      <right style="thick">
        <color auto="1"/>
      </right>
      <top style="medium">
        <color auto="1"/>
      </top>
      <bottom/>
      <diagonal/>
    </border>
    <border>
      <left style="slantDashDot">
        <color auto="1"/>
      </left>
      <right/>
      <top style="thin">
        <color auto="1"/>
      </top>
      <bottom style="slantDashDot">
        <color auto="1"/>
      </bottom>
      <diagonal/>
    </border>
    <border>
      <left style="slantDashDot">
        <color auto="1"/>
      </left>
      <right/>
      <top style="hair">
        <color indexed="64"/>
      </top>
      <bottom style="mediumDashDotDot">
        <color indexed="64"/>
      </bottom>
      <diagonal/>
    </border>
    <border>
      <left/>
      <right style="slantDashDot">
        <color auto="1"/>
      </right>
      <top style="hair">
        <color indexed="64"/>
      </top>
      <bottom style="mediumDashDotDot">
        <color indexed="64"/>
      </bottom>
      <diagonal/>
    </border>
    <border>
      <left/>
      <right style="slantDashDot">
        <color auto="1"/>
      </right>
      <top style="thin">
        <color auto="1"/>
      </top>
      <bottom style="slantDashDot">
        <color auto="1"/>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s>
  <cellStyleXfs count="1">
    <xf numFmtId="0" fontId="0" fillId="0" borderId="0">
      <alignment vertical="center"/>
    </xf>
  </cellStyleXfs>
  <cellXfs count="1812">
    <xf numFmtId="0" fontId="0" fillId="0" borderId="0" xfId="0">
      <alignment vertical="center"/>
    </xf>
    <xf numFmtId="0" fontId="3" fillId="2" borderId="0" xfId="0" applyFont="1" applyFill="1" applyAlignment="1">
      <alignment horizontal="center" vertical="center"/>
    </xf>
    <xf numFmtId="0" fontId="3" fillId="2" borderId="0" xfId="0" applyFont="1" applyFill="1" applyAlignment="1">
      <alignment horizontal="right" vertical="center"/>
    </xf>
    <xf numFmtId="0" fontId="3" fillId="2" borderId="0" xfId="0" applyFont="1" applyFill="1">
      <alignment vertical="center"/>
    </xf>
    <xf numFmtId="0" fontId="3" fillId="2" borderId="69" xfId="0" applyFont="1" applyFill="1" applyBorder="1">
      <alignment vertical="center"/>
    </xf>
    <xf numFmtId="0" fontId="3" fillId="2" borderId="83" xfId="0" applyFont="1" applyFill="1" applyBorder="1">
      <alignment vertical="center"/>
    </xf>
    <xf numFmtId="0" fontId="3" fillId="2" borderId="71" xfId="0" applyFont="1" applyFill="1" applyBorder="1">
      <alignment vertical="center"/>
    </xf>
    <xf numFmtId="0" fontId="3" fillId="2" borderId="84"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67" xfId="0" applyFont="1" applyFill="1" applyBorder="1" applyAlignment="1">
      <alignment horizontal="center" vertical="center"/>
    </xf>
    <xf numFmtId="0" fontId="3" fillId="2" borderId="81" xfId="0" applyFont="1" applyFill="1" applyBorder="1" applyAlignment="1">
      <alignment horizontal="center" vertical="center"/>
    </xf>
    <xf numFmtId="14" fontId="3" fillId="2" borderId="67" xfId="0" applyNumberFormat="1" applyFont="1" applyFill="1" applyBorder="1" applyAlignment="1">
      <alignment horizontal="center" vertical="center"/>
    </xf>
    <xf numFmtId="49" fontId="3" fillId="2" borderId="0" xfId="0" applyNumberFormat="1" applyFont="1" applyFill="1" applyAlignment="1">
      <alignment horizontal="center" vertical="center"/>
    </xf>
    <xf numFmtId="49" fontId="3" fillId="2" borderId="85" xfId="0" applyNumberFormat="1" applyFont="1" applyFill="1" applyBorder="1" applyAlignment="1">
      <alignment horizontal="center" vertical="center"/>
    </xf>
    <xf numFmtId="49" fontId="3" fillId="2" borderId="2" xfId="0" applyNumberFormat="1" applyFont="1" applyFill="1" applyBorder="1" applyAlignment="1">
      <alignment horizontal="center" vertical="center"/>
    </xf>
    <xf numFmtId="49" fontId="3" fillId="2" borderId="82" xfId="0" applyNumberFormat="1" applyFont="1" applyFill="1" applyBorder="1" applyAlignment="1">
      <alignment horizontal="center" vertical="center"/>
    </xf>
    <xf numFmtId="0" fontId="3" fillId="2" borderId="0" xfId="0" applyFont="1" applyFill="1" applyAlignment="1">
      <alignment horizontal="left" vertical="center"/>
    </xf>
    <xf numFmtId="0" fontId="3" fillId="3" borderId="84" xfId="0" applyFont="1" applyFill="1" applyBorder="1" applyAlignment="1">
      <alignment horizontal="center" vertical="center"/>
    </xf>
    <xf numFmtId="0" fontId="3" fillId="3" borderId="85" xfId="0" applyFont="1" applyFill="1" applyBorder="1" applyAlignment="1">
      <alignment horizontal="center" vertical="center"/>
    </xf>
    <xf numFmtId="0" fontId="3" fillId="4" borderId="86" xfId="0" applyFont="1" applyFill="1" applyBorder="1" applyAlignment="1">
      <alignment horizontal="center" vertical="center"/>
    </xf>
    <xf numFmtId="0" fontId="3" fillId="5" borderId="67"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81" xfId="0" applyFont="1" applyFill="1" applyBorder="1" applyAlignment="1">
      <alignment horizontal="center" vertical="center"/>
    </xf>
    <xf numFmtId="0" fontId="3" fillId="5" borderId="82" xfId="0" applyFont="1" applyFill="1" applyBorder="1" applyAlignment="1">
      <alignment horizontal="center" vertical="center"/>
    </xf>
    <xf numFmtId="0" fontId="3" fillId="6" borderId="69" xfId="0" applyFont="1" applyFill="1" applyBorder="1" applyAlignment="1">
      <alignment horizontal="right" vertical="center"/>
    </xf>
    <xf numFmtId="0" fontId="3" fillId="6" borderId="83" xfId="0" applyFont="1" applyFill="1" applyBorder="1" applyAlignment="1">
      <alignment horizontal="right" vertical="center"/>
    </xf>
    <xf numFmtId="0" fontId="3" fillId="6" borderId="96" xfId="0" applyFont="1" applyFill="1" applyBorder="1">
      <alignment vertical="center"/>
    </xf>
    <xf numFmtId="0" fontId="3" fillId="5" borderId="97" xfId="0" applyFont="1" applyFill="1" applyBorder="1" applyAlignment="1">
      <alignment horizontal="center" vertical="center"/>
    </xf>
    <xf numFmtId="0" fontId="3" fillId="5" borderId="15" xfId="0" applyFont="1" applyFill="1" applyBorder="1" applyAlignment="1">
      <alignment horizontal="center" vertical="center"/>
    </xf>
    <xf numFmtId="0" fontId="3" fillId="6" borderId="98" xfId="0" applyFont="1" applyFill="1" applyBorder="1" applyAlignment="1">
      <alignment horizontal="right"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12" fillId="4" borderId="92" xfId="0" applyFont="1" applyFill="1" applyBorder="1" applyAlignment="1">
      <alignment horizontal="center" vertical="center"/>
    </xf>
    <xf numFmtId="176" fontId="3" fillId="6" borderId="22" xfId="0" applyNumberFormat="1" applyFont="1" applyFill="1" applyBorder="1" applyAlignment="1">
      <alignment horizontal="center" vertical="center"/>
    </xf>
    <xf numFmtId="176" fontId="3" fillId="6" borderId="10" xfId="0" applyNumberFormat="1" applyFont="1" applyFill="1" applyBorder="1" applyAlignment="1">
      <alignment horizontal="center" vertical="center"/>
    </xf>
    <xf numFmtId="176" fontId="3" fillId="6" borderId="93" xfId="0" applyNumberFormat="1" applyFont="1" applyFill="1" applyBorder="1" applyAlignment="1">
      <alignment horizontal="center" vertical="center"/>
    </xf>
    <xf numFmtId="176" fontId="3" fillId="6" borderId="112" xfId="0" applyNumberFormat="1" applyFont="1" applyFill="1" applyBorder="1" applyAlignment="1">
      <alignment horizontal="center" vertical="center"/>
    </xf>
    <xf numFmtId="176" fontId="3" fillId="6" borderId="57" xfId="0" applyNumberFormat="1" applyFont="1" applyFill="1" applyBorder="1" applyAlignment="1">
      <alignment horizontal="center" vertical="center"/>
    </xf>
    <xf numFmtId="176" fontId="3" fillId="6" borderId="113" xfId="0" applyNumberFormat="1" applyFont="1" applyFill="1" applyBorder="1" applyAlignment="1">
      <alignment horizontal="center" vertical="center"/>
    </xf>
    <xf numFmtId="176" fontId="3" fillId="6" borderId="59" xfId="0" applyNumberFormat="1" applyFont="1" applyFill="1" applyBorder="1" applyAlignment="1">
      <alignment horizontal="center" vertical="center"/>
    </xf>
    <xf numFmtId="176" fontId="3" fillId="6" borderId="119" xfId="0" applyNumberFormat="1" applyFont="1" applyFill="1" applyBorder="1" applyAlignment="1">
      <alignment horizontal="center" vertical="center"/>
    </xf>
    <xf numFmtId="176" fontId="3" fillId="6" borderId="120" xfId="0" applyNumberFormat="1" applyFont="1" applyFill="1" applyBorder="1" applyAlignment="1">
      <alignment horizontal="center" vertical="center"/>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5" fillId="4" borderId="121" xfId="0" applyFont="1" applyFill="1" applyBorder="1" applyAlignment="1">
      <alignment horizontal="center" vertical="center"/>
    </xf>
    <xf numFmtId="176" fontId="3" fillId="6" borderId="49" xfId="0" applyNumberFormat="1" applyFont="1" applyFill="1" applyBorder="1" applyAlignment="1">
      <alignment horizontal="center" vertical="center"/>
    </xf>
    <xf numFmtId="176" fontId="3" fillId="6" borderId="51" xfId="0" applyNumberFormat="1" applyFont="1" applyFill="1" applyBorder="1" applyAlignment="1">
      <alignment horizontal="center" vertical="center"/>
    </xf>
    <xf numFmtId="176" fontId="3" fillId="6" borderId="122" xfId="0" applyNumberFormat="1" applyFont="1" applyFill="1" applyBorder="1" applyAlignment="1">
      <alignment horizontal="center" vertical="center"/>
    </xf>
    <xf numFmtId="0" fontId="3" fillId="7" borderId="117" xfId="0" applyFont="1" applyFill="1" applyBorder="1" applyAlignment="1">
      <alignment horizontal="center" vertical="center"/>
    </xf>
    <xf numFmtId="0" fontId="3" fillId="7" borderId="92" xfId="0" applyFont="1" applyFill="1" applyBorder="1" applyAlignment="1">
      <alignment horizontal="center" vertical="center"/>
    </xf>
    <xf numFmtId="0" fontId="3" fillId="7" borderId="118" xfId="0" applyFont="1" applyFill="1" applyBorder="1" applyAlignment="1">
      <alignment horizontal="center" vertical="center"/>
    </xf>
    <xf numFmtId="176" fontId="3" fillId="8" borderId="112" xfId="0" applyNumberFormat="1" applyFont="1" applyFill="1" applyBorder="1" applyAlignment="1">
      <alignment horizontal="center" vertical="center"/>
    </xf>
    <xf numFmtId="176" fontId="3" fillId="8" borderId="22" xfId="0" applyNumberFormat="1" applyFont="1" applyFill="1" applyBorder="1" applyAlignment="1">
      <alignment horizontal="center" vertical="center"/>
    </xf>
    <xf numFmtId="176" fontId="3" fillId="8" borderId="57" xfId="0" applyNumberFormat="1" applyFont="1" applyFill="1" applyBorder="1" applyAlignment="1">
      <alignment horizontal="center" vertical="center"/>
    </xf>
    <xf numFmtId="176" fontId="3" fillId="8" borderId="113" xfId="0" applyNumberFormat="1" applyFont="1" applyFill="1" applyBorder="1" applyAlignment="1">
      <alignment horizontal="center" vertical="center"/>
    </xf>
    <xf numFmtId="176" fontId="3" fillId="8" borderId="10" xfId="0" applyNumberFormat="1" applyFont="1" applyFill="1" applyBorder="1" applyAlignment="1">
      <alignment horizontal="center" vertical="center"/>
    </xf>
    <xf numFmtId="176" fontId="3" fillId="8" borderId="59" xfId="0" applyNumberFormat="1" applyFont="1" applyFill="1" applyBorder="1" applyAlignment="1">
      <alignment horizontal="center" vertical="center"/>
    </xf>
    <xf numFmtId="176" fontId="3" fillId="8" borderId="119" xfId="0" applyNumberFormat="1" applyFont="1" applyFill="1" applyBorder="1" applyAlignment="1">
      <alignment horizontal="center" vertical="center"/>
    </xf>
    <xf numFmtId="176" fontId="3" fillId="8" borderId="93" xfId="0" applyNumberFormat="1" applyFont="1" applyFill="1" applyBorder="1" applyAlignment="1">
      <alignment horizontal="center" vertical="center"/>
    </xf>
    <xf numFmtId="176" fontId="3" fillId="8" borderId="120" xfId="0" applyNumberFormat="1" applyFont="1" applyFill="1" applyBorder="1" applyAlignment="1">
      <alignment horizontal="center" vertical="center"/>
    </xf>
    <xf numFmtId="0" fontId="3" fillId="8" borderId="112" xfId="0" applyFont="1" applyFill="1" applyBorder="1" applyAlignment="1">
      <alignment horizontal="center" vertical="center"/>
    </xf>
    <xf numFmtId="0" fontId="3" fillId="8" borderId="22" xfId="0" applyFont="1" applyFill="1" applyBorder="1" applyAlignment="1">
      <alignment horizontal="center" vertical="center"/>
    </xf>
    <xf numFmtId="0" fontId="3" fillId="8" borderId="57" xfId="0" applyFont="1" applyFill="1" applyBorder="1" applyAlignment="1">
      <alignment horizontal="center" vertical="center"/>
    </xf>
    <xf numFmtId="0" fontId="3" fillId="8" borderId="113" xfId="0" applyFont="1" applyFill="1" applyBorder="1" applyAlignment="1">
      <alignment horizontal="center" vertical="center"/>
    </xf>
    <xf numFmtId="0" fontId="3" fillId="8" borderId="10" xfId="0" applyFont="1" applyFill="1" applyBorder="1" applyAlignment="1">
      <alignment horizontal="center" vertical="center"/>
    </xf>
    <xf numFmtId="0" fontId="3" fillId="8" borderId="59" xfId="0" applyFont="1" applyFill="1" applyBorder="1" applyAlignment="1">
      <alignment horizontal="center" vertical="center"/>
    </xf>
    <xf numFmtId="0" fontId="3" fillId="8" borderId="119" xfId="0" applyFont="1" applyFill="1" applyBorder="1" applyAlignment="1">
      <alignment horizontal="center" vertical="center"/>
    </xf>
    <xf numFmtId="0" fontId="3" fillId="8" borderId="93" xfId="0" applyFont="1" applyFill="1" applyBorder="1" applyAlignment="1">
      <alignment horizontal="center" vertical="center"/>
    </xf>
    <xf numFmtId="0" fontId="3" fillId="8" borderId="120" xfId="0" applyFont="1" applyFill="1" applyBorder="1" applyAlignment="1">
      <alignment horizontal="center" vertical="center"/>
    </xf>
    <xf numFmtId="0" fontId="3" fillId="4" borderId="115" xfId="0" applyFont="1" applyFill="1" applyBorder="1" applyAlignment="1">
      <alignment horizontal="center" vertical="center"/>
    </xf>
    <xf numFmtId="0" fontId="3" fillId="2" borderId="0" xfId="0" applyFont="1" applyFill="1" applyAlignment="1">
      <alignment vertical="center"/>
    </xf>
    <xf numFmtId="0" fontId="3" fillId="3" borderId="126" xfId="0" applyFont="1" applyFill="1" applyBorder="1" applyAlignment="1">
      <alignment horizontal="center" vertical="center"/>
    </xf>
    <xf numFmtId="0" fontId="3" fillId="7" borderId="127" xfId="0" applyFont="1" applyFill="1" applyBorder="1" applyAlignment="1">
      <alignment horizontal="center" vertical="center"/>
    </xf>
    <xf numFmtId="0" fontId="3" fillId="5" borderId="128" xfId="0" applyFont="1" applyFill="1" applyBorder="1" applyAlignment="1">
      <alignment horizontal="center" vertical="center"/>
    </xf>
    <xf numFmtId="0" fontId="3" fillId="8" borderId="129" xfId="0" applyFont="1" applyFill="1" applyBorder="1" applyAlignment="1">
      <alignment horizontal="center" vertical="center"/>
    </xf>
    <xf numFmtId="0" fontId="3" fillId="5" borderId="28" xfId="0" applyFont="1" applyFill="1" applyBorder="1" applyAlignment="1">
      <alignment horizontal="center" vertical="center"/>
    </xf>
    <xf numFmtId="0" fontId="3" fillId="8" borderId="30" xfId="0" applyFont="1" applyFill="1" applyBorder="1" applyAlignment="1">
      <alignment horizontal="center" vertical="center"/>
    </xf>
    <xf numFmtId="0" fontId="3" fillId="5" borderId="130" xfId="0" applyFont="1" applyFill="1" applyBorder="1" applyAlignment="1">
      <alignment horizontal="center" vertical="center"/>
    </xf>
    <xf numFmtId="0" fontId="3" fillId="8" borderId="131" xfId="0" applyFont="1" applyFill="1" applyBorder="1" applyAlignment="1">
      <alignment horizontal="center" vertical="center"/>
    </xf>
    <xf numFmtId="0" fontId="3" fillId="7" borderId="126" xfId="0" applyFont="1" applyFill="1" applyBorder="1" applyAlignment="1">
      <alignment horizontal="center" vertical="center"/>
    </xf>
    <xf numFmtId="0" fontId="5" fillId="4" borderId="132" xfId="0" applyFont="1" applyFill="1" applyBorder="1" applyAlignment="1">
      <alignment horizontal="center" vertical="center"/>
    </xf>
    <xf numFmtId="0" fontId="3" fillId="8" borderId="28" xfId="0" applyFont="1" applyFill="1" applyBorder="1" applyAlignment="1">
      <alignment horizontal="center" vertical="center"/>
    </xf>
    <xf numFmtId="0" fontId="3" fillId="6" borderId="133" xfId="0" applyFont="1" applyFill="1" applyBorder="1" applyAlignment="1">
      <alignment horizontal="center" vertical="center"/>
    </xf>
    <xf numFmtId="0" fontId="3" fillId="6" borderId="134" xfId="0" applyFont="1" applyFill="1" applyBorder="1" applyAlignment="1">
      <alignment horizontal="center" vertical="center"/>
    </xf>
    <xf numFmtId="0" fontId="3" fillId="8" borderId="130" xfId="0" applyFont="1" applyFill="1" applyBorder="1" applyAlignment="1">
      <alignment horizontal="center" vertical="center"/>
    </xf>
    <xf numFmtId="0" fontId="3" fillId="6" borderId="135" xfId="0" applyFont="1" applyFill="1" applyBorder="1" applyAlignment="1">
      <alignment horizontal="center" vertical="center"/>
    </xf>
    <xf numFmtId="0" fontId="3" fillId="4" borderId="127" xfId="0" applyFont="1" applyFill="1" applyBorder="1" applyAlignment="1">
      <alignment horizontal="center" vertical="center"/>
    </xf>
    <xf numFmtId="176" fontId="3" fillId="8" borderId="33" xfId="0" applyNumberFormat="1" applyFont="1" applyFill="1" applyBorder="1" applyAlignment="1">
      <alignment horizontal="center" vertical="center"/>
    </xf>
    <xf numFmtId="0" fontId="3" fillId="6" borderId="129" xfId="0" applyFont="1" applyFill="1" applyBorder="1" applyAlignment="1">
      <alignment horizontal="center" vertical="center"/>
    </xf>
    <xf numFmtId="176" fontId="3" fillId="8" borderId="28" xfId="0" applyNumberFormat="1" applyFont="1" applyFill="1" applyBorder="1" applyAlignment="1">
      <alignment horizontal="center" vertical="center"/>
    </xf>
    <xf numFmtId="0" fontId="3" fillId="6" borderId="30" xfId="0" applyFont="1" applyFill="1" applyBorder="1" applyAlignment="1">
      <alignment horizontal="center" vertical="center"/>
    </xf>
    <xf numFmtId="176" fontId="3" fillId="8" borderId="130" xfId="0" applyNumberFormat="1" applyFont="1" applyFill="1" applyBorder="1" applyAlignment="1">
      <alignment horizontal="center" vertical="center"/>
    </xf>
    <xf numFmtId="0" fontId="3" fillId="6" borderId="131" xfId="0" applyFont="1" applyFill="1" applyBorder="1" applyAlignment="1">
      <alignment horizontal="center" vertical="center"/>
    </xf>
    <xf numFmtId="0" fontId="3" fillId="7" borderId="139" xfId="0" applyFont="1" applyFill="1" applyBorder="1" applyAlignment="1">
      <alignment horizontal="center" vertical="center"/>
    </xf>
    <xf numFmtId="0" fontId="5" fillId="4" borderId="140" xfId="0" applyFont="1" applyFill="1" applyBorder="1" applyAlignment="1">
      <alignment horizontal="center" vertical="center"/>
    </xf>
    <xf numFmtId="0" fontId="5" fillId="4" borderId="141" xfId="0" applyFont="1" applyFill="1" applyBorder="1" applyAlignment="1">
      <alignment horizontal="center" vertical="center"/>
    </xf>
    <xf numFmtId="0" fontId="3" fillId="4" borderId="139" xfId="0" applyFont="1" applyFill="1" applyBorder="1" applyAlignment="1">
      <alignment horizontal="center" vertical="center"/>
    </xf>
    <xf numFmtId="0" fontId="5" fillId="7" borderId="140" xfId="0" applyFont="1" applyFill="1" applyBorder="1" applyAlignment="1">
      <alignment horizontal="center" vertical="center"/>
    </xf>
    <xf numFmtId="0" fontId="5" fillId="7" borderId="141" xfId="0" applyFont="1" applyFill="1" applyBorder="1" applyAlignment="1">
      <alignment horizontal="center" vertical="center"/>
    </xf>
    <xf numFmtId="0" fontId="3" fillId="5" borderId="144" xfId="0" applyFont="1" applyFill="1" applyBorder="1" applyAlignment="1">
      <alignment horizontal="center" vertical="center"/>
    </xf>
    <xf numFmtId="0" fontId="3" fillId="5" borderId="145" xfId="0" applyFont="1" applyFill="1" applyBorder="1" applyAlignment="1">
      <alignment horizontal="center" vertical="center"/>
    </xf>
    <xf numFmtId="0" fontId="3" fillId="7" borderId="146" xfId="0" applyFont="1" applyFill="1" applyBorder="1" applyAlignment="1">
      <alignment horizontal="center" vertical="center"/>
    </xf>
    <xf numFmtId="0" fontId="3" fillId="7" borderId="147" xfId="0" applyFont="1" applyFill="1" applyBorder="1" applyAlignment="1">
      <alignment horizontal="center" vertical="center"/>
    </xf>
    <xf numFmtId="0" fontId="5" fillId="4" borderId="151" xfId="0" applyFont="1" applyFill="1" applyBorder="1" applyAlignment="1">
      <alignment horizontal="center" vertical="center"/>
    </xf>
    <xf numFmtId="0" fontId="12" fillId="4" borderId="147" xfId="0" applyFont="1" applyFill="1" applyBorder="1" applyAlignment="1">
      <alignment horizontal="center" vertical="center"/>
    </xf>
    <xf numFmtId="0" fontId="3" fillId="4" borderId="146" xfId="0" applyFont="1" applyFill="1" applyBorder="1" applyAlignment="1">
      <alignment horizontal="center" vertical="center"/>
    </xf>
    <xf numFmtId="0" fontId="3" fillId="4" borderId="147" xfId="0" applyFont="1" applyFill="1" applyBorder="1" applyAlignment="1">
      <alignment horizontal="center" vertical="center"/>
    </xf>
    <xf numFmtId="0" fontId="5" fillId="7" borderId="151" xfId="0" applyFont="1" applyFill="1" applyBorder="1" applyAlignment="1">
      <alignment horizontal="center" vertical="center"/>
    </xf>
    <xf numFmtId="0" fontId="12" fillId="7" borderId="147" xfId="0" applyFont="1" applyFill="1" applyBorder="1" applyAlignment="1">
      <alignment horizontal="center" vertical="center"/>
    </xf>
    <xf numFmtId="0" fontId="3" fillId="4" borderId="154" xfId="0" applyFont="1" applyFill="1" applyBorder="1" applyAlignment="1">
      <alignment horizontal="center" vertical="center"/>
    </xf>
    <xf numFmtId="0" fontId="3" fillId="7" borderId="154" xfId="0" applyFont="1" applyFill="1" applyBorder="1" applyAlignment="1">
      <alignment horizontal="center" vertical="center"/>
    </xf>
    <xf numFmtId="176" fontId="3" fillId="8" borderId="148" xfId="0" applyNumberFormat="1" applyFont="1" applyFill="1" applyBorder="1" applyAlignment="1">
      <alignment horizontal="center" vertical="center"/>
    </xf>
    <xf numFmtId="176" fontId="3" fillId="8" borderId="149" xfId="0" applyNumberFormat="1" applyFont="1" applyFill="1" applyBorder="1" applyAlignment="1">
      <alignment horizontal="center" vertical="center"/>
    </xf>
    <xf numFmtId="176" fontId="3" fillId="8" borderId="150" xfId="0" applyNumberFormat="1" applyFont="1" applyFill="1" applyBorder="1" applyAlignment="1">
      <alignment horizontal="center" vertical="center"/>
    </xf>
    <xf numFmtId="176" fontId="3" fillId="6" borderId="156" xfId="0" applyNumberFormat="1" applyFont="1" applyFill="1" applyBorder="1" applyAlignment="1">
      <alignment horizontal="center" vertical="center"/>
    </xf>
    <xf numFmtId="176" fontId="3" fillId="6" borderId="149" xfId="0" applyNumberFormat="1" applyFont="1" applyFill="1" applyBorder="1" applyAlignment="1">
      <alignment horizontal="center" vertical="center"/>
    </xf>
    <xf numFmtId="176" fontId="3" fillId="6" borderId="157" xfId="0" applyNumberFormat="1" applyFont="1" applyFill="1" applyBorder="1" applyAlignment="1">
      <alignment horizontal="center" vertical="center"/>
    </xf>
    <xf numFmtId="0" fontId="3" fillId="8" borderId="152" xfId="0" applyFont="1" applyFill="1" applyBorder="1" applyAlignment="1">
      <alignment horizontal="center" vertical="center"/>
    </xf>
    <xf numFmtId="0" fontId="3" fillId="8" borderId="149" xfId="0" applyFont="1" applyFill="1" applyBorder="1" applyAlignment="1">
      <alignment horizontal="center" vertical="center"/>
    </xf>
    <xf numFmtId="0" fontId="3" fillId="8" borderId="150" xfId="0" applyFont="1" applyFill="1" applyBorder="1" applyAlignment="1">
      <alignment horizontal="center" vertical="center"/>
    </xf>
    <xf numFmtId="176" fontId="3" fillId="6" borderId="155" xfId="0" applyNumberFormat="1" applyFont="1" applyFill="1" applyBorder="1" applyAlignment="1">
      <alignment horizontal="center" vertical="center"/>
    </xf>
    <xf numFmtId="176" fontId="3" fillId="8" borderId="152" xfId="0" applyNumberFormat="1" applyFont="1" applyFill="1" applyBorder="1" applyAlignment="1">
      <alignment horizontal="center" vertical="center"/>
    </xf>
    <xf numFmtId="176" fontId="3" fillId="8" borderId="145" xfId="0" applyNumberFormat="1" applyFont="1" applyFill="1" applyBorder="1" applyAlignment="1">
      <alignment horizontal="center" vertical="center"/>
    </xf>
    <xf numFmtId="176" fontId="3" fillId="6" borderId="148" xfId="0" applyNumberFormat="1" applyFont="1" applyFill="1" applyBorder="1" applyAlignment="1">
      <alignment horizontal="center" vertical="center"/>
    </xf>
    <xf numFmtId="176" fontId="3" fillId="6" borderId="150" xfId="0" applyNumberFormat="1" applyFont="1" applyFill="1" applyBorder="1" applyAlignment="1">
      <alignment horizontal="center" vertical="center"/>
    </xf>
    <xf numFmtId="176" fontId="3" fillId="8" borderId="156" xfId="0" applyNumberFormat="1" applyFont="1" applyFill="1" applyBorder="1" applyAlignment="1">
      <alignment horizontal="center" vertical="center"/>
    </xf>
    <xf numFmtId="176" fontId="3" fillId="8" borderId="157" xfId="0" applyNumberFormat="1" applyFont="1" applyFill="1" applyBorder="1" applyAlignment="1">
      <alignment horizontal="center" vertical="center"/>
    </xf>
    <xf numFmtId="0" fontId="3" fillId="6" borderId="152" xfId="0" applyFont="1" applyFill="1" applyBorder="1" applyAlignment="1">
      <alignment horizontal="center" vertical="center"/>
    </xf>
    <xf numFmtId="0" fontId="3" fillId="6" borderId="149" xfId="0" applyFont="1" applyFill="1" applyBorder="1" applyAlignment="1">
      <alignment horizontal="center" vertical="center"/>
    </xf>
    <xf numFmtId="0" fontId="3" fillId="6" borderId="150" xfId="0" applyFont="1" applyFill="1" applyBorder="1" applyAlignment="1">
      <alignment horizontal="center" vertical="center"/>
    </xf>
    <xf numFmtId="176" fontId="3" fillId="8" borderId="155" xfId="0" applyNumberFormat="1" applyFont="1" applyFill="1" applyBorder="1" applyAlignment="1">
      <alignment horizontal="center" vertical="center"/>
    </xf>
    <xf numFmtId="176" fontId="3" fillId="6" borderId="152" xfId="0" applyNumberFormat="1" applyFont="1" applyFill="1" applyBorder="1" applyAlignment="1">
      <alignment horizontal="center" vertical="center"/>
    </xf>
    <xf numFmtId="176" fontId="3" fillId="6" borderId="153" xfId="0" applyNumberFormat="1" applyFont="1" applyFill="1" applyBorder="1" applyAlignment="1">
      <alignment horizontal="center" vertical="center"/>
    </xf>
    <xf numFmtId="176" fontId="3" fillId="8" borderId="30" xfId="0" applyNumberFormat="1" applyFont="1" applyFill="1" applyBorder="1" applyAlignment="1">
      <alignment horizontal="center" vertical="center"/>
    </xf>
    <xf numFmtId="176" fontId="3" fillId="8" borderId="2" xfId="0" applyNumberFormat="1" applyFont="1" applyFill="1" applyBorder="1" applyAlignment="1">
      <alignment horizontal="center" vertical="center"/>
    </xf>
    <xf numFmtId="176" fontId="3" fillId="6" borderId="58" xfId="0" applyNumberFormat="1" applyFont="1" applyFill="1" applyBorder="1" applyAlignment="1">
      <alignment horizontal="center" vertical="center"/>
    </xf>
    <xf numFmtId="176" fontId="3" fillId="6" borderId="2" xfId="0" applyNumberFormat="1" applyFont="1" applyFill="1" applyBorder="1" applyAlignment="1">
      <alignment horizontal="center" vertical="center"/>
    </xf>
    <xf numFmtId="0" fontId="3" fillId="8" borderId="4" xfId="0" applyFont="1" applyFill="1" applyBorder="1" applyAlignment="1">
      <alignment horizontal="center" vertical="center"/>
    </xf>
    <xf numFmtId="0" fontId="3" fillId="8" borderId="2" xfId="0" applyFont="1" applyFill="1" applyBorder="1" applyAlignment="1">
      <alignment horizontal="center" vertical="center"/>
    </xf>
    <xf numFmtId="176" fontId="3" fillId="8" borderId="4" xfId="0" applyNumberFormat="1" applyFont="1" applyFill="1" applyBorder="1" applyAlignment="1">
      <alignment horizontal="center" vertical="center"/>
    </xf>
    <xf numFmtId="176" fontId="3" fillId="6" borderId="30" xfId="0" applyNumberFormat="1" applyFont="1" applyFill="1" applyBorder="1" applyAlignment="1">
      <alignment horizontal="center" vertical="center"/>
    </xf>
    <xf numFmtId="176" fontId="3" fillId="8" borderId="58" xfId="0" applyNumberFormat="1" applyFont="1" applyFill="1" applyBorder="1" applyAlignment="1">
      <alignment horizontal="center" vertical="center"/>
    </xf>
    <xf numFmtId="0" fontId="3" fillId="6" borderId="4" xfId="0" applyFont="1" applyFill="1" applyBorder="1" applyAlignment="1">
      <alignment horizontal="center" vertical="center"/>
    </xf>
    <xf numFmtId="0" fontId="3" fillId="6" borderId="2" xfId="0" applyFont="1" applyFill="1" applyBorder="1" applyAlignment="1">
      <alignment horizontal="center" vertical="center"/>
    </xf>
    <xf numFmtId="0" fontId="3" fillId="6" borderId="10" xfId="0" applyFont="1" applyFill="1" applyBorder="1" applyAlignment="1">
      <alignment horizontal="center" vertical="center"/>
    </xf>
    <xf numFmtId="176" fontId="3" fillId="8" borderId="51" xfId="0" applyNumberFormat="1" applyFont="1" applyFill="1" applyBorder="1" applyAlignment="1">
      <alignment horizontal="center" vertical="center"/>
    </xf>
    <xf numFmtId="176" fontId="3" fillId="6" borderId="4" xfId="0" applyNumberFormat="1" applyFont="1" applyFill="1" applyBorder="1" applyAlignment="1">
      <alignment horizontal="center" vertical="center"/>
    </xf>
    <xf numFmtId="176" fontId="3" fillId="6" borderId="69" xfId="0" applyNumberFormat="1" applyFont="1" applyFill="1" applyBorder="1" applyAlignment="1">
      <alignment horizontal="center" vertical="center"/>
    </xf>
    <xf numFmtId="176" fontId="3" fillId="8" borderId="131" xfId="0" applyNumberFormat="1" applyFont="1" applyFill="1" applyBorder="1" applyAlignment="1">
      <alignment horizontal="center" vertical="center"/>
    </xf>
    <xf numFmtId="176" fontId="3" fillId="8" borderId="82" xfId="0" applyNumberFormat="1" applyFont="1" applyFill="1" applyBorder="1" applyAlignment="1">
      <alignment horizontal="center" vertical="center"/>
    </xf>
    <xf numFmtId="176" fontId="3" fillId="6" borderId="94" xfId="0" applyNumberFormat="1" applyFont="1" applyFill="1" applyBorder="1" applyAlignment="1">
      <alignment horizontal="center" vertical="center"/>
    </xf>
    <xf numFmtId="176" fontId="3" fillId="6" borderId="82" xfId="0" applyNumberFormat="1" applyFont="1" applyFill="1" applyBorder="1" applyAlignment="1">
      <alignment horizontal="center" vertical="center"/>
    </xf>
    <xf numFmtId="0" fontId="3" fillId="8" borderId="116" xfId="0" applyFont="1" applyFill="1" applyBorder="1" applyAlignment="1">
      <alignment horizontal="center" vertical="center"/>
    </xf>
    <xf numFmtId="0" fontId="3" fillId="8" borderId="82" xfId="0" applyFont="1" applyFill="1" applyBorder="1" applyAlignment="1">
      <alignment horizontal="center" vertical="center"/>
    </xf>
    <xf numFmtId="176" fontId="3" fillId="8" borderId="116" xfId="0" applyNumberFormat="1" applyFont="1" applyFill="1" applyBorder="1" applyAlignment="1">
      <alignment horizontal="center" vertical="center"/>
    </xf>
    <xf numFmtId="176" fontId="3" fillId="6" borderId="131" xfId="0" applyNumberFormat="1" applyFont="1" applyFill="1" applyBorder="1" applyAlignment="1">
      <alignment horizontal="center" vertical="center"/>
    </xf>
    <xf numFmtId="176" fontId="3" fillId="8" borderId="94" xfId="0" applyNumberFormat="1" applyFont="1" applyFill="1" applyBorder="1" applyAlignment="1">
      <alignment horizontal="center" vertical="center"/>
    </xf>
    <xf numFmtId="0" fontId="3" fillId="6" borderId="116" xfId="0" applyFont="1" applyFill="1" applyBorder="1" applyAlignment="1">
      <alignment horizontal="center" vertical="center"/>
    </xf>
    <xf numFmtId="0" fontId="3" fillId="6" borderId="82" xfId="0" applyFont="1" applyFill="1" applyBorder="1" applyAlignment="1">
      <alignment horizontal="center" vertical="center"/>
    </xf>
    <xf numFmtId="0" fontId="3" fillId="6" borderId="93" xfId="0" applyFont="1" applyFill="1" applyBorder="1" applyAlignment="1">
      <alignment horizontal="center" vertical="center"/>
    </xf>
    <xf numFmtId="176" fontId="3" fillId="8" borderId="122" xfId="0" applyNumberFormat="1" applyFont="1" applyFill="1" applyBorder="1" applyAlignment="1">
      <alignment horizontal="center" vertical="center"/>
    </xf>
    <xf numFmtId="176" fontId="3" fillId="6" borderId="116" xfId="0" applyNumberFormat="1" applyFont="1" applyFill="1" applyBorder="1" applyAlignment="1">
      <alignment horizontal="center" vertical="center"/>
    </xf>
    <xf numFmtId="176" fontId="3" fillId="6" borderId="83" xfId="0" applyNumberFormat="1" applyFont="1" applyFill="1" applyBorder="1" applyAlignment="1">
      <alignment horizontal="center" vertical="center"/>
    </xf>
    <xf numFmtId="176" fontId="3" fillId="2" borderId="0" xfId="0" applyNumberFormat="1" applyFont="1" applyFill="1" applyAlignment="1">
      <alignment horizontal="right" vertical="center"/>
    </xf>
    <xf numFmtId="0" fontId="3" fillId="2" borderId="56" xfId="0" applyFont="1" applyFill="1" applyBorder="1" applyAlignment="1">
      <alignment horizontal="right" vertical="center"/>
    </xf>
    <xf numFmtId="0" fontId="3" fillId="2" borderId="5" xfId="0" applyFont="1" applyFill="1" applyBorder="1" applyAlignment="1">
      <alignment horizontal="right" vertical="center"/>
    </xf>
    <xf numFmtId="0" fontId="3" fillId="2" borderId="57" xfId="0" applyFont="1" applyFill="1" applyBorder="1" applyAlignment="1">
      <alignment horizontal="right" vertical="center"/>
    </xf>
    <xf numFmtId="0" fontId="3" fillId="2" borderId="35" xfId="0" applyFont="1" applyFill="1" applyBorder="1" applyAlignment="1">
      <alignment horizontal="right" vertical="center"/>
    </xf>
    <xf numFmtId="0" fontId="3" fillId="2" borderId="60" xfId="0" applyFont="1" applyFill="1" applyBorder="1" applyAlignment="1">
      <alignment horizontal="right" vertical="center"/>
    </xf>
    <xf numFmtId="0" fontId="3" fillId="2" borderId="25" xfId="0" applyFont="1" applyFill="1" applyBorder="1" applyAlignment="1">
      <alignment horizontal="right" vertical="center"/>
    </xf>
    <xf numFmtId="0" fontId="3" fillId="2" borderId="61" xfId="0" applyFont="1" applyFill="1" applyBorder="1" applyAlignment="1">
      <alignment horizontal="right" vertical="center"/>
    </xf>
    <xf numFmtId="0" fontId="3" fillId="2" borderId="27" xfId="0" applyFont="1" applyFill="1" applyBorder="1" applyAlignment="1">
      <alignment horizontal="right" vertical="center"/>
    </xf>
    <xf numFmtId="0" fontId="3" fillId="2" borderId="29" xfId="0" applyFont="1" applyFill="1" applyBorder="1" applyAlignment="1">
      <alignment horizontal="right" vertical="center"/>
    </xf>
    <xf numFmtId="0" fontId="3" fillId="2" borderId="107" xfId="0" applyFont="1" applyFill="1" applyBorder="1" applyAlignment="1">
      <alignment vertical="center"/>
    </xf>
    <xf numFmtId="0" fontId="3" fillId="2" borderId="77" xfId="0" applyFont="1" applyFill="1" applyBorder="1" applyAlignment="1">
      <alignment vertical="center"/>
    </xf>
    <xf numFmtId="0" fontId="3" fillId="2" borderId="78" xfId="0" applyFont="1" applyFill="1" applyBorder="1" applyAlignment="1">
      <alignment vertical="center"/>
    </xf>
    <xf numFmtId="0" fontId="3" fillId="2" borderId="108" xfId="0" applyFont="1" applyFill="1" applyBorder="1" applyAlignment="1">
      <alignment vertical="center"/>
    </xf>
    <xf numFmtId="0" fontId="5" fillId="7" borderId="117" xfId="0" applyFont="1" applyFill="1" applyBorder="1" applyAlignment="1">
      <alignment horizontal="center" vertical="center"/>
    </xf>
    <xf numFmtId="0" fontId="5" fillId="7" borderId="92" xfId="0" applyFont="1" applyFill="1" applyBorder="1" applyAlignment="1">
      <alignment horizontal="center" vertical="center"/>
    </xf>
    <xf numFmtId="0" fontId="5" fillId="7" borderId="126" xfId="0" applyFont="1" applyFill="1" applyBorder="1" applyAlignment="1">
      <alignment horizontal="center" vertical="center"/>
    </xf>
    <xf numFmtId="0" fontId="5" fillId="4" borderId="147" xfId="0" applyFont="1" applyFill="1" applyBorder="1" applyAlignment="1">
      <alignment horizontal="center" vertical="center"/>
    </xf>
    <xf numFmtId="0" fontId="5" fillId="7" borderId="160" xfId="0" applyFont="1" applyFill="1" applyBorder="1" applyAlignment="1">
      <alignment horizontal="center" vertical="center"/>
    </xf>
    <xf numFmtId="0" fontId="5" fillId="7" borderId="139" xfId="0" applyFont="1" applyFill="1" applyBorder="1" applyAlignment="1">
      <alignment horizontal="center" vertical="center"/>
    </xf>
    <xf numFmtId="0" fontId="5" fillId="7" borderId="142" xfId="0" applyFont="1" applyFill="1" applyBorder="1" applyAlignment="1">
      <alignment horizontal="center" vertical="center"/>
    </xf>
    <xf numFmtId="0" fontId="5" fillId="4" borderId="160" xfId="0" applyFont="1" applyFill="1" applyBorder="1" applyAlignment="1">
      <alignment horizontal="center" vertical="center"/>
    </xf>
    <xf numFmtId="0" fontId="5" fillId="4" borderId="139" xfId="0" applyFont="1" applyFill="1" applyBorder="1" applyAlignment="1">
      <alignment horizontal="center" vertical="center"/>
    </xf>
    <xf numFmtId="0" fontId="5" fillId="4" borderId="142" xfId="0" applyFont="1" applyFill="1" applyBorder="1" applyAlignment="1">
      <alignment horizontal="center" vertical="center"/>
    </xf>
    <xf numFmtId="0" fontId="3" fillId="3" borderId="173" xfId="0" applyFont="1" applyFill="1" applyBorder="1" applyAlignment="1">
      <alignment horizontal="center" vertical="center"/>
    </xf>
    <xf numFmtId="0" fontId="3" fillId="5" borderId="174"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16" xfId="0" applyFont="1" applyFill="1" applyBorder="1" applyAlignment="1">
      <alignment horizontal="center" vertical="center"/>
    </xf>
    <xf numFmtId="0" fontId="6" fillId="2" borderId="69" xfId="0" applyFont="1" applyFill="1" applyBorder="1">
      <alignment vertical="center"/>
    </xf>
    <xf numFmtId="181" fontId="3" fillId="2" borderId="0" xfId="0" applyNumberFormat="1" applyFont="1" applyFill="1" applyAlignment="1">
      <alignment horizontal="right" vertical="center"/>
    </xf>
    <xf numFmtId="181" fontId="3" fillId="2" borderId="85" xfId="0" applyNumberFormat="1" applyFont="1" applyFill="1" applyBorder="1" applyAlignment="1">
      <alignment horizontal="center" vertical="center"/>
    </xf>
    <xf numFmtId="181" fontId="3" fillId="2" borderId="86" xfId="0" applyNumberFormat="1" applyFont="1" applyFill="1" applyBorder="1" applyAlignment="1">
      <alignment horizontal="center" vertical="center"/>
    </xf>
    <xf numFmtId="0" fontId="3" fillId="2" borderId="181" xfId="0" applyFont="1" applyFill="1" applyBorder="1" applyAlignment="1">
      <alignment horizontal="center" vertical="center"/>
    </xf>
    <xf numFmtId="0" fontId="3" fillId="2" borderId="121" xfId="0" applyFont="1" applyFill="1" applyBorder="1" applyAlignment="1">
      <alignment horizontal="center" vertical="center"/>
    </xf>
    <xf numFmtId="181" fontId="3" fillId="2" borderId="182" xfId="0" applyNumberFormat="1" applyFont="1" applyFill="1" applyBorder="1" applyAlignment="1">
      <alignment horizontal="center" vertical="center"/>
    </xf>
    <xf numFmtId="177" fontId="3" fillId="2" borderId="0" xfId="0" applyNumberFormat="1" applyFont="1" applyFill="1">
      <alignment vertical="center"/>
    </xf>
    <xf numFmtId="177" fontId="3" fillId="2" borderId="0" xfId="0" applyNumberFormat="1" applyFont="1" applyFill="1" applyAlignment="1">
      <alignment horizontal="right" vertical="center"/>
    </xf>
    <xf numFmtId="49" fontId="3" fillId="2" borderId="5" xfId="0" applyNumberFormat="1" applyFont="1" applyFill="1" applyBorder="1" applyAlignment="1">
      <alignment horizontal="center" vertical="center"/>
    </xf>
    <xf numFmtId="0" fontId="3" fillId="2" borderId="189" xfId="0" applyFont="1" applyFill="1" applyBorder="1" applyAlignment="1">
      <alignment horizontal="center" vertical="center"/>
    </xf>
    <xf numFmtId="177" fontId="3" fillId="2" borderId="175" xfId="0" applyNumberFormat="1" applyFont="1" applyFill="1" applyBorder="1" applyAlignment="1">
      <alignment horizontal="center" vertical="center"/>
    </xf>
    <xf numFmtId="0" fontId="3" fillId="2" borderId="175" xfId="0" applyFont="1" applyFill="1" applyBorder="1" applyAlignment="1">
      <alignment horizontal="center" vertical="center"/>
    </xf>
    <xf numFmtId="177" fontId="3" fillId="2" borderId="176" xfId="0" applyNumberFormat="1" applyFont="1" applyFill="1" applyBorder="1" applyAlignment="1">
      <alignment horizontal="center" vertical="center"/>
    </xf>
    <xf numFmtId="0" fontId="3" fillId="2" borderId="1" xfId="0" applyFont="1" applyFill="1" applyBorder="1" applyAlignment="1">
      <alignment horizontal="center" vertical="center"/>
    </xf>
    <xf numFmtId="177" fontId="3" fillId="2" borderId="2" xfId="0" applyNumberFormat="1" applyFont="1" applyFill="1" applyBorder="1" applyAlignment="1">
      <alignment horizontal="right" vertical="center"/>
    </xf>
    <xf numFmtId="0" fontId="3" fillId="2" borderId="2" xfId="0" applyFont="1" applyFill="1" applyBorder="1" applyAlignment="1">
      <alignment horizontal="center" vertical="center"/>
    </xf>
    <xf numFmtId="177" fontId="3" fillId="2" borderId="2" xfId="0" applyNumberFormat="1" applyFont="1" applyFill="1" applyBorder="1">
      <alignment vertical="center"/>
    </xf>
    <xf numFmtId="177" fontId="3" fillId="2" borderId="3" xfId="0" applyNumberFormat="1" applyFont="1" applyFill="1" applyBorder="1">
      <alignment vertical="center"/>
    </xf>
    <xf numFmtId="0" fontId="3" fillId="2" borderId="80" xfId="0" applyFont="1" applyFill="1" applyBorder="1" applyAlignment="1">
      <alignment horizontal="center" vertical="center"/>
    </xf>
    <xf numFmtId="177" fontId="3" fillId="2" borderId="25" xfId="0" applyNumberFormat="1" applyFont="1" applyFill="1" applyBorder="1" applyAlignment="1">
      <alignment horizontal="right" vertical="center"/>
    </xf>
    <xf numFmtId="0" fontId="3" fillId="2" borderId="25" xfId="0" applyFont="1" applyFill="1" applyBorder="1" applyAlignment="1">
      <alignment horizontal="center" vertical="center"/>
    </xf>
    <xf numFmtId="177" fontId="3" fillId="2" borderId="25" xfId="0" applyNumberFormat="1" applyFont="1" applyFill="1" applyBorder="1">
      <alignment vertical="center"/>
    </xf>
    <xf numFmtId="177" fontId="3" fillId="2" borderId="26" xfId="0" applyNumberFormat="1" applyFont="1" applyFill="1" applyBorder="1">
      <alignment vertical="center"/>
    </xf>
    <xf numFmtId="0" fontId="3" fillId="2" borderId="185" xfId="0" applyFont="1" applyFill="1" applyBorder="1" applyAlignment="1">
      <alignment horizontal="center" vertical="center"/>
    </xf>
    <xf numFmtId="0" fontId="6" fillId="2" borderId="185" xfId="0" applyFont="1" applyFill="1" applyBorder="1" applyAlignment="1">
      <alignment horizontal="center" vertical="center"/>
    </xf>
    <xf numFmtId="181" fontId="3" fillId="2" borderId="185"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190" xfId="0" applyFont="1" applyFill="1" applyBorder="1" applyAlignment="1">
      <alignment horizontal="center" vertical="center"/>
    </xf>
    <xf numFmtId="0" fontId="3" fillId="2" borderId="63"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197" xfId="0" applyFont="1" applyFill="1" applyBorder="1" applyAlignment="1">
      <alignment horizontal="center" vertical="center"/>
    </xf>
    <xf numFmtId="0" fontId="3" fillId="2" borderId="198" xfId="0" applyFont="1" applyFill="1" applyBorder="1" applyAlignment="1">
      <alignment horizontal="center" vertical="center"/>
    </xf>
    <xf numFmtId="0" fontId="3" fillId="2" borderId="201" xfId="0" applyFont="1" applyFill="1" applyBorder="1" applyAlignment="1">
      <alignment horizontal="center" vertical="center"/>
    </xf>
    <xf numFmtId="0" fontId="3" fillId="2" borderId="202" xfId="0" applyFont="1" applyFill="1" applyBorder="1" applyAlignment="1">
      <alignment horizontal="center" vertical="center"/>
    </xf>
    <xf numFmtId="0" fontId="3" fillId="2" borderId="35"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00" xfId="0" applyFont="1" applyFill="1" applyBorder="1" applyAlignment="1">
      <alignment horizontal="center" vertical="center"/>
    </xf>
    <xf numFmtId="0" fontId="3" fillId="2" borderId="203" xfId="0" applyFont="1" applyFill="1" applyBorder="1" applyAlignment="1">
      <alignment horizontal="center" vertical="center"/>
    </xf>
    <xf numFmtId="0" fontId="3" fillId="2" borderId="204" xfId="0" applyFont="1" applyFill="1" applyBorder="1" applyAlignment="1">
      <alignment horizontal="center" vertical="center"/>
    </xf>
    <xf numFmtId="0" fontId="3" fillId="2" borderId="183" xfId="0" applyFont="1" applyFill="1" applyBorder="1" applyAlignment="1">
      <alignment horizontal="center" vertical="center"/>
    </xf>
    <xf numFmtId="0" fontId="3" fillId="2" borderId="205" xfId="0" applyFont="1" applyFill="1" applyBorder="1" applyAlignment="1">
      <alignment horizontal="center" vertical="center"/>
    </xf>
    <xf numFmtId="0" fontId="3" fillId="2" borderId="206" xfId="0" applyFont="1" applyFill="1" applyBorder="1" applyAlignment="1">
      <alignment horizontal="center" vertical="center"/>
    </xf>
    <xf numFmtId="0" fontId="3" fillId="2" borderId="22"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207" xfId="0" applyFont="1" applyFill="1" applyBorder="1" applyAlignment="1">
      <alignment horizontal="center" vertical="center"/>
    </xf>
    <xf numFmtId="0" fontId="3" fillId="2" borderId="208" xfId="0" applyFont="1" applyFill="1" applyBorder="1" applyAlignment="1">
      <alignment horizontal="center" vertical="center"/>
    </xf>
    <xf numFmtId="0" fontId="3" fillId="2" borderId="209" xfId="0" applyFont="1" applyFill="1" applyBorder="1" applyAlignment="1">
      <alignment horizontal="center" vertical="center"/>
    </xf>
    <xf numFmtId="0" fontId="3" fillId="2" borderId="58" xfId="0" applyFont="1" applyFill="1" applyBorder="1" applyAlignment="1">
      <alignment horizontal="center" vertical="center"/>
    </xf>
    <xf numFmtId="0" fontId="3" fillId="2" borderId="210" xfId="0" applyFont="1" applyFill="1" applyBorder="1" applyAlignment="1">
      <alignment horizontal="center" vertical="center"/>
    </xf>
    <xf numFmtId="0" fontId="3" fillId="2" borderId="56" xfId="0" applyFont="1" applyFill="1" applyBorder="1" applyAlignment="1">
      <alignment horizontal="center" vertical="center"/>
    </xf>
    <xf numFmtId="0" fontId="3" fillId="2" borderId="211" xfId="0" applyFont="1" applyFill="1" applyBorder="1" applyAlignment="1">
      <alignment horizontal="center" vertical="center"/>
    </xf>
    <xf numFmtId="0" fontId="3" fillId="2" borderId="60" xfId="0"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11" borderId="224" xfId="0" applyFont="1" applyFill="1" applyBorder="1" applyAlignment="1">
      <alignment horizontal="center" vertical="center"/>
    </xf>
    <xf numFmtId="0" fontId="3" fillId="11" borderId="226" xfId="0" applyFont="1" applyFill="1" applyBorder="1" applyAlignment="1">
      <alignment horizontal="center" vertical="center"/>
    </xf>
    <xf numFmtId="0" fontId="3" fillId="11" borderId="232" xfId="0" applyFont="1" applyFill="1" applyBorder="1" applyAlignment="1">
      <alignment horizontal="center" vertical="center"/>
    </xf>
    <xf numFmtId="0" fontId="3" fillId="11" borderId="15" xfId="0" applyFont="1" applyFill="1" applyBorder="1" applyAlignment="1">
      <alignment horizontal="center" vertical="center"/>
    </xf>
    <xf numFmtId="0" fontId="3" fillId="11" borderId="16" xfId="0" applyFont="1" applyFill="1" applyBorder="1" applyAlignment="1">
      <alignment horizontal="center" vertical="center"/>
    </xf>
    <xf numFmtId="0" fontId="3" fillId="11" borderId="179" xfId="0" applyFont="1" applyFill="1" applyBorder="1" applyAlignment="1">
      <alignment horizontal="center" vertical="center"/>
    </xf>
    <xf numFmtId="0" fontId="3" fillId="11" borderId="18" xfId="0" applyFont="1" applyFill="1" applyBorder="1" applyAlignment="1">
      <alignment horizontal="center" vertical="center"/>
    </xf>
    <xf numFmtId="0" fontId="3" fillId="11" borderId="19" xfId="0" applyFont="1" applyFill="1" applyBorder="1" applyAlignment="1">
      <alignment horizontal="center" vertical="center"/>
    </xf>
    <xf numFmtId="0" fontId="3" fillId="11" borderId="174" xfId="0" applyFont="1" applyFill="1" applyBorder="1" applyAlignment="1">
      <alignment horizontal="center" vertical="center"/>
    </xf>
    <xf numFmtId="0" fontId="3" fillId="11" borderId="177" xfId="0" applyFont="1" applyFill="1" applyBorder="1" applyAlignment="1">
      <alignment horizontal="center" vertical="center"/>
    </xf>
    <xf numFmtId="0" fontId="3" fillId="11" borderId="229" xfId="0" applyFont="1" applyFill="1" applyBorder="1" applyAlignment="1">
      <alignment horizontal="center" vertical="center" wrapText="1"/>
    </xf>
    <xf numFmtId="0" fontId="21" fillId="11" borderId="224" xfId="0" applyFont="1" applyFill="1" applyBorder="1" applyAlignment="1">
      <alignment horizontal="center" vertical="center"/>
    </xf>
    <xf numFmtId="0" fontId="21" fillId="11" borderId="226" xfId="0" applyFont="1" applyFill="1" applyBorder="1" applyAlignment="1">
      <alignment horizontal="center" vertical="center"/>
    </xf>
    <xf numFmtId="0" fontId="21" fillId="11" borderId="232" xfId="0" applyFont="1" applyFill="1" applyBorder="1" applyAlignment="1">
      <alignment horizontal="center" vertical="center"/>
    </xf>
    <xf numFmtId="0" fontId="21" fillId="11" borderId="15" xfId="0" applyFont="1" applyFill="1" applyBorder="1" applyAlignment="1">
      <alignment horizontal="center" vertical="center"/>
    </xf>
    <xf numFmtId="0" fontId="21" fillId="11" borderId="16" xfId="0" applyFont="1" applyFill="1" applyBorder="1" applyAlignment="1">
      <alignment horizontal="center" vertical="center"/>
    </xf>
    <xf numFmtId="0" fontId="21" fillId="11" borderId="179" xfId="0" applyFont="1" applyFill="1" applyBorder="1" applyAlignment="1">
      <alignment horizontal="center" vertical="center"/>
    </xf>
    <xf numFmtId="0" fontId="21" fillId="11" borderId="18" xfId="0" applyFont="1" applyFill="1" applyBorder="1" applyAlignment="1">
      <alignment horizontal="center" vertical="center"/>
    </xf>
    <xf numFmtId="0" fontId="21" fillId="11" borderId="19" xfId="0" applyFont="1" applyFill="1" applyBorder="1" applyAlignment="1">
      <alignment horizontal="center" vertical="center"/>
    </xf>
    <xf numFmtId="0" fontId="21" fillId="11" borderId="174" xfId="0" applyFont="1" applyFill="1" applyBorder="1" applyAlignment="1">
      <alignment horizontal="center" vertical="center"/>
    </xf>
    <xf numFmtId="0" fontId="21" fillId="11" borderId="177" xfId="0" applyFont="1" applyFill="1" applyBorder="1" applyAlignment="1">
      <alignment horizontal="center" vertical="center"/>
    </xf>
    <xf numFmtId="0" fontId="21" fillId="11" borderId="229" xfId="0" applyFont="1" applyFill="1" applyBorder="1" applyAlignment="1">
      <alignment horizontal="center" vertical="center" wrapText="1"/>
    </xf>
    <xf numFmtId="0" fontId="3" fillId="12" borderId="224" xfId="0" applyFont="1" applyFill="1" applyBorder="1" applyAlignment="1">
      <alignment horizontal="center" vertical="center"/>
    </xf>
    <xf numFmtId="0" fontId="3" fillId="12" borderId="226" xfId="0" applyFont="1" applyFill="1" applyBorder="1" applyAlignment="1">
      <alignment horizontal="center" vertical="center"/>
    </xf>
    <xf numFmtId="0" fontId="3" fillId="12" borderId="232" xfId="0" applyFont="1" applyFill="1" applyBorder="1" applyAlignment="1">
      <alignment horizontal="center" vertical="center"/>
    </xf>
    <xf numFmtId="0" fontId="3" fillId="12" borderId="15" xfId="0" applyFont="1" applyFill="1" applyBorder="1" applyAlignment="1">
      <alignment horizontal="center" vertical="center"/>
    </xf>
    <xf numFmtId="0" fontId="3" fillId="12" borderId="16" xfId="0" applyFont="1" applyFill="1" applyBorder="1" applyAlignment="1">
      <alignment horizontal="center" vertical="center"/>
    </xf>
    <xf numFmtId="0" fontId="3" fillId="12" borderId="179" xfId="0" applyFont="1" applyFill="1" applyBorder="1" applyAlignment="1">
      <alignment horizontal="center" vertical="center"/>
    </xf>
    <xf numFmtId="0" fontId="3" fillId="12" borderId="18" xfId="0" applyFont="1" applyFill="1" applyBorder="1" applyAlignment="1">
      <alignment horizontal="center" vertical="center"/>
    </xf>
    <xf numFmtId="0" fontId="3" fillId="12" borderId="19" xfId="0" applyFont="1" applyFill="1" applyBorder="1" applyAlignment="1">
      <alignment horizontal="center" vertical="center"/>
    </xf>
    <xf numFmtId="0" fontId="3" fillId="12" borderId="174" xfId="0" applyFont="1" applyFill="1" applyBorder="1" applyAlignment="1">
      <alignment horizontal="center" vertical="center"/>
    </xf>
    <xf numFmtId="0" fontId="3" fillId="12" borderId="177" xfId="0" applyFont="1" applyFill="1" applyBorder="1" applyAlignment="1">
      <alignment horizontal="center" vertical="center"/>
    </xf>
    <xf numFmtId="0" fontId="3" fillId="12" borderId="229" xfId="0" applyFont="1" applyFill="1" applyBorder="1" applyAlignment="1">
      <alignment horizontal="center" vertical="center" wrapText="1"/>
    </xf>
    <xf numFmtId="0" fontId="3" fillId="13" borderId="224" xfId="0" applyFont="1" applyFill="1" applyBorder="1" applyAlignment="1">
      <alignment horizontal="center" vertical="center"/>
    </xf>
    <xf numFmtId="0" fontId="3" fillId="13" borderId="226" xfId="0" applyFont="1" applyFill="1" applyBorder="1" applyAlignment="1">
      <alignment horizontal="center" vertical="center"/>
    </xf>
    <xf numFmtId="0" fontId="3" fillId="13" borderId="232" xfId="0" applyFont="1" applyFill="1" applyBorder="1" applyAlignment="1">
      <alignment horizontal="center" vertical="center"/>
    </xf>
    <xf numFmtId="0" fontId="3" fillId="13" borderId="15" xfId="0" applyFont="1" applyFill="1" applyBorder="1" applyAlignment="1">
      <alignment horizontal="center" vertical="center"/>
    </xf>
    <xf numFmtId="0" fontId="3" fillId="13" borderId="16" xfId="0" applyFont="1" applyFill="1" applyBorder="1" applyAlignment="1">
      <alignment horizontal="center" vertical="center"/>
    </xf>
    <xf numFmtId="0" fontId="3" fillId="13" borderId="179" xfId="0" applyFont="1" applyFill="1" applyBorder="1" applyAlignment="1">
      <alignment horizontal="center" vertical="center"/>
    </xf>
    <xf numFmtId="0" fontId="3" fillId="13" borderId="18" xfId="0" applyFont="1" applyFill="1" applyBorder="1" applyAlignment="1">
      <alignment horizontal="center" vertical="center"/>
    </xf>
    <xf numFmtId="0" fontId="3" fillId="13" borderId="19" xfId="0" applyFont="1" applyFill="1" applyBorder="1" applyAlignment="1">
      <alignment horizontal="center" vertical="center"/>
    </xf>
    <xf numFmtId="0" fontId="3" fillId="13" borderId="174" xfId="0" applyFont="1" applyFill="1" applyBorder="1" applyAlignment="1">
      <alignment horizontal="center" vertical="center"/>
    </xf>
    <xf numFmtId="0" fontId="3" fillId="13" borderId="177" xfId="0" applyFont="1" applyFill="1" applyBorder="1" applyAlignment="1">
      <alignment horizontal="center" vertical="center"/>
    </xf>
    <xf numFmtId="0" fontId="3" fillId="13" borderId="229" xfId="0" applyFont="1" applyFill="1" applyBorder="1" applyAlignment="1">
      <alignment horizontal="center" vertical="center" wrapText="1"/>
    </xf>
    <xf numFmtId="0" fontId="19" fillId="13" borderId="224" xfId="0" applyFont="1" applyFill="1" applyBorder="1" applyAlignment="1">
      <alignment horizontal="center" vertical="center"/>
    </xf>
    <xf numFmtId="0" fontId="19" fillId="13" borderId="226" xfId="0" applyFont="1" applyFill="1" applyBorder="1" applyAlignment="1">
      <alignment horizontal="center" vertical="center"/>
    </xf>
    <xf numFmtId="0" fontId="19" fillId="13" borderId="232" xfId="0" applyFont="1" applyFill="1" applyBorder="1" applyAlignment="1">
      <alignment horizontal="center" vertical="center"/>
    </xf>
    <xf numFmtId="0" fontId="19" fillId="13" borderId="15" xfId="0" applyFont="1" applyFill="1" applyBorder="1" applyAlignment="1">
      <alignment horizontal="center" vertical="center"/>
    </xf>
    <xf numFmtId="0" fontId="19" fillId="13" borderId="16" xfId="0" applyFont="1" applyFill="1" applyBorder="1" applyAlignment="1">
      <alignment horizontal="center" vertical="center"/>
    </xf>
    <xf numFmtId="0" fontId="19" fillId="13" borderId="179" xfId="0" applyFont="1" applyFill="1" applyBorder="1" applyAlignment="1">
      <alignment horizontal="center" vertical="center"/>
    </xf>
    <xf numFmtId="0" fontId="19" fillId="13" borderId="18" xfId="0" applyFont="1" applyFill="1" applyBorder="1" applyAlignment="1">
      <alignment horizontal="center" vertical="center"/>
    </xf>
    <xf numFmtId="0" fontId="19" fillId="13" borderId="19" xfId="0" applyFont="1" applyFill="1" applyBorder="1" applyAlignment="1">
      <alignment horizontal="center" vertical="center"/>
    </xf>
    <xf numFmtId="0" fontId="19" fillId="13" borderId="174" xfId="0" applyFont="1" applyFill="1" applyBorder="1" applyAlignment="1">
      <alignment horizontal="center" vertical="center"/>
    </xf>
    <xf numFmtId="0" fontId="19" fillId="13" borderId="177" xfId="0" applyFont="1" applyFill="1" applyBorder="1" applyAlignment="1">
      <alignment horizontal="center" vertical="center"/>
    </xf>
    <xf numFmtId="0" fontId="19" fillId="13" borderId="229" xfId="0" applyFont="1" applyFill="1" applyBorder="1" applyAlignment="1">
      <alignment horizontal="center" vertical="center" wrapText="1"/>
    </xf>
    <xf numFmtId="0" fontId="3" fillId="14" borderId="224" xfId="0" applyFont="1" applyFill="1" applyBorder="1" applyAlignment="1">
      <alignment horizontal="center" vertical="center"/>
    </xf>
    <xf numFmtId="0" fontId="3" fillId="14" borderId="226" xfId="0" applyFont="1" applyFill="1" applyBorder="1" applyAlignment="1">
      <alignment horizontal="center" vertical="center"/>
    </xf>
    <xf numFmtId="0" fontId="3" fillId="14" borderId="232" xfId="0" applyFont="1" applyFill="1" applyBorder="1" applyAlignment="1">
      <alignment horizontal="center" vertical="center"/>
    </xf>
    <xf numFmtId="0" fontId="3" fillId="14" borderId="15" xfId="0" applyFont="1" applyFill="1" applyBorder="1" applyAlignment="1">
      <alignment horizontal="center" vertical="center"/>
    </xf>
    <xf numFmtId="0" fontId="3" fillId="14" borderId="16" xfId="0" applyFont="1" applyFill="1" applyBorder="1" applyAlignment="1">
      <alignment horizontal="center" vertical="center"/>
    </xf>
    <xf numFmtId="0" fontId="3" fillId="14" borderId="179" xfId="0" applyFont="1" applyFill="1" applyBorder="1" applyAlignment="1">
      <alignment horizontal="center" vertical="center"/>
    </xf>
    <xf numFmtId="0" fontId="3" fillId="14" borderId="18" xfId="0" applyFont="1" applyFill="1" applyBorder="1" applyAlignment="1">
      <alignment horizontal="center" vertical="center"/>
    </xf>
    <xf numFmtId="0" fontId="3" fillId="14" borderId="19" xfId="0" applyFont="1" applyFill="1" applyBorder="1" applyAlignment="1">
      <alignment horizontal="center" vertical="center"/>
    </xf>
    <xf numFmtId="0" fontId="3" fillId="14" borderId="174" xfId="0" applyFont="1" applyFill="1" applyBorder="1" applyAlignment="1">
      <alignment horizontal="center" vertical="center"/>
    </xf>
    <xf numFmtId="0" fontId="3" fillId="14" borderId="177" xfId="0" applyFont="1" applyFill="1" applyBorder="1" applyAlignment="1">
      <alignment horizontal="center" vertical="center"/>
    </xf>
    <xf numFmtId="0" fontId="3" fillId="14" borderId="229" xfId="0" applyFont="1" applyFill="1" applyBorder="1" applyAlignment="1">
      <alignment horizontal="center" vertical="center" wrapText="1"/>
    </xf>
    <xf numFmtId="0" fontId="19" fillId="14" borderId="224" xfId="0" applyFont="1" applyFill="1" applyBorder="1" applyAlignment="1">
      <alignment horizontal="center" vertical="center"/>
    </xf>
    <xf numFmtId="0" fontId="19" fillId="14" borderId="226" xfId="0" applyFont="1" applyFill="1" applyBorder="1" applyAlignment="1">
      <alignment horizontal="center" vertical="center"/>
    </xf>
    <xf numFmtId="0" fontId="19" fillId="14" borderId="232" xfId="0" applyFont="1" applyFill="1" applyBorder="1" applyAlignment="1">
      <alignment horizontal="center" vertical="center"/>
    </xf>
    <xf numFmtId="0" fontId="19" fillId="14" borderId="15" xfId="0" applyFont="1" applyFill="1" applyBorder="1" applyAlignment="1">
      <alignment horizontal="center" vertical="center"/>
    </xf>
    <xf numFmtId="0" fontId="19" fillId="14" borderId="16" xfId="0" applyFont="1" applyFill="1" applyBorder="1" applyAlignment="1">
      <alignment horizontal="center" vertical="center"/>
    </xf>
    <xf numFmtId="0" fontId="19" fillId="14" borderId="179" xfId="0" applyFont="1" applyFill="1" applyBorder="1" applyAlignment="1">
      <alignment horizontal="center" vertical="center"/>
    </xf>
    <xf numFmtId="0" fontId="19" fillId="14" borderId="18" xfId="0" applyFont="1" applyFill="1" applyBorder="1" applyAlignment="1">
      <alignment horizontal="center" vertical="center"/>
    </xf>
    <xf numFmtId="0" fontId="19" fillId="14" borderId="19" xfId="0" applyFont="1" applyFill="1" applyBorder="1" applyAlignment="1">
      <alignment horizontal="center" vertical="center"/>
    </xf>
    <xf numFmtId="0" fontId="19" fillId="14" borderId="174" xfId="0" applyFont="1" applyFill="1" applyBorder="1" applyAlignment="1">
      <alignment horizontal="center" vertical="center"/>
    </xf>
    <xf numFmtId="0" fontId="19" fillId="14" borderId="177" xfId="0" applyFont="1" applyFill="1" applyBorder="1" applyAlignment="1">
      <alignment horizontal="center" vertical="center"/>
    </xf>
    <xf numFmtId="0" fontId="19" fillId="14" borderId="229" xfId="0" applyFont="1" applyFill="1" applyBorder="1" applyAlignment="1">
      <alignment horizontal="center" vertical="center" wrapText="1"/>
    </xf>
    <xf numFmtId="0" fontId="3" fillId="15" borderId="224" xfId="0" applyFont="1" applyFill="1" applyBorder="1" applyAlignment="1">
      <alignment horizontal="center" vertical="center"/>
    </xf>
    <xf numFmtId="0" fontId="3" fillId="15" borderId="226" xfId="0" applyFont="1" applyFill="1" applyBorder="1" applyAlignment="1">
      <alignment horizontal="center" vertical="center"/>
    </xf>
    <xf numFmtId="0" fontId="3" fillId="15" borderId="232" xfId="0" applyFont="1" applyFill="1" applyBorder="1" applyAlignment="1">
      <alignment horizontal="center" vertical="center"/>
    </xf>
    <xf numFmtId="0" fontId="3" fillId="15" borderId="15" xfId="0" applyFont="1" applyFill="1" applyBorder="1" applyAlignment="1">
      <alignment horizontal="center" vertical="center"/>
    </xf>
    <xf numFmtId="0" fontId="3" fillId="15" borderId="16" xfId="0" applyFont="1" applyFill="1" applyBorder="1" applyAlignment="1">
      <alignment horizontal="center" vertical="center"/>
    </xf>
    <xf numFmtId="0" fontId="3" fillId="15" borderId="179" xfId="0" applyFont="1" applyFill="1" applyBorder="1" applyAlignment="1">
      <alignment horizontal="center" vertical="center"/>
    </xf>
    <xf numFmtId="0" fontId="3" fillId="15" borderId="18" xfId="0" applyFont="1" applyFill="1" applyBorder="1" applyAlignment="1">
      <alignment horizontal="center" vertical="center"/>
    </xf>
    <xf numFmtId="0" fontId="3" fillId="15" borderId="19" xfId="0" applyFont="1" applyFill="1" applyBorder="1" applyAlignment="1">
      <alignment horizontal="center" vertical="center"/>
    </xf>
    <xf numFmtId="0" fontId="3" fillId="15" borderId="174" xfId="0" applyFont="1" applyFill="1" applyBorder="1" applyAlignment="1">
      <alignment horizontal="center" vertical="center"/>
    </xf>
    <xf numFmtId="0" fontId="3" fillId="15" borderId="177" xfId="0" applyFont="1" applyFill="1" applyBorder="1" applyAlignment="1">
      <alignment horizontal="center" vertical="center"/>
    </xf>
    <xf numFmtId="0" fontId="3" fillId="15" borderId="229" xfId="0" applyFont="1" applyFill="1" applyBorder="1" applyAlignment="1">
      <alignment horizontal="center" vertical="center" wrapText="1"/>
    </xf>
    <xf numFmtId="0" fontId="6" fillId="15" borderId="224" xfId="0" applyFont="1" applyFill="1" applyBorder="1" applyAlignment="1">
      <alignment horizontal="center" vertical="center"/>
    </xf>
    <xf numFmtId="0" fontId="6" fillId="15" borderId="226" xfId="0" applyFont="1" applyFill="1" applyBorder="1" applyAlignment="1">
      <alignment horizontal="center" vertical="center"/>
    </xf>
    <xf numFmtId="0" fontId="6" fillId="15" borderId="232" xfId="0" applyFont="1" applyFill="1" applyBorder="1" applyAlignment="1">
      <alignment horizontal="center" vertical="center"/>
    </xf>
    <xf numFmtId="0" fontId="6" fillId="15" borderId="15" xfId="0" applyFont="1" applyFill="1" applyBorder="1" applyAlignment="1">
      <alignment horizontal="center" vertical="center"/>
    </xf>
    <xf numFmtId="0" fontId="6" fillId="15" borderId="16" xfId="0" applyFont="1" applyFill="1" applyBorder="1" applyAlignment="1">
      <alignment horizontal="center" vertical="center"/>
    </xf>
    <xf numFmtId="0" fontId="6" fillId="15" borderId="179" xfId="0" applyFont="1" applyFill="1" applyBorder="1" applyAlignment="1">
      <alignment horizontal="center" vertical="center"/>
    </xf>
    <xf numFmtId="0" fontId="6" fillId="15" borderId="18" xfId="0" applyFont="1" applyFill="1" applyBorder="1" applyAlignment="1">
      <alignment horizontal="center" vertical="center"/>
    </xf>
    <xf numFmtId="0" fontId="6" fillId="15" borderId="19" xfId="0" applyFont="1" applyFill="1" applyBorder="1" applyAlignment="1">
      <alignment horizontal="center" vertical="center"/>
    </xf>
    <xf numFmtId="0" fontId="6" fillId="15" borderId="174" xfId="0" applyFont="1" applyFill="1" applyBorder="1" applyAlignment="1">
      <alignment horizontal="center" vertical="center"/>
    </xf>
    <xf numFmtId="0" fontId="6" fillId="15" borderId="177" xfId="0" applyFont="1" applyFill="1" applyBorder="1" applyAlignment="1">
      <alignment horizontal="center" vertical="center"/>
    </xf>
    <xf numFmtId="0" fontId="6" fillId="15" borderId="229" xfId="0" applyFont="1" applyFill="1" applyBorder="1" applyAlignment="1">
      <alignment horizontal="center" vertical="center" wrapText="1"/>
    </xf>
    <xf numFmtId="0" fontId="19" fillId="15" borderId="224" xfId="0" applyFont="1" applyFill="1" applyBorder="1" applyAlignment="1">
      <alignment horizontal="center" vertical="center"/>
    </xf>
    <xf numFmtId="0" fontId="19" fillId="15" borderId="226" xfId="0" applyFont="1" applyFill="1" applyBorder="1" applyAlignment="1">
      <alignment horizontal="center" vertical="center"/>
    </xf>
    <xf numFmtId="0" fontId="19" fillId="15" borderId="232" xfId="0" applyFont="1" applyFill="1" applyBorder="1" applyAlignment="1">
      <alignment horizontal="center" vertical="center"/>
    </xf>
    <xf numFmtId="0" fontId="19" fillId="15" borderId="15" xfId="0" applyFont="1" applyFill="1" applyBorder="1" applyAlignment="1">
      <alignment horizontal="center" vertical="center"/>
    </xf>
    <xf numFmtId="0" fontId="19" fillId="15" borderId="16" xfId="0" applyFont="1" applyFill="1" applyBorder="1" applyAlignment="1">
      <alignment horizontal="center" vertical="center"/>
    </xf>
    <xf numFmtId="0" fontId="19" fillId="15" borderId="179" xfId="0" applyFont="1" applyFill="1" applyBorder="1" applyAlignment="1">
      <alignment horizontal="center" vertical="center"/>
    </xf>
    <xf numFmtId="0" fontId="19" fillId="15" borderId="18" xfId="0" applyFont="1" applyFill="1" applyBorder="1" applyAlignment="1">
      <alignment horizontal="center" vertical="center"/>
    </xf>
    <xf numFmtId="0" fontId="19" fillId="15" borderId="19" xfId="0" applyFont="1" applyFill="1" applyBorder="1" applyAlignment="1">
      <alignment horizontal="center" vertical="center"/>
    </xf>
    <xf numFmtId="0" fontId="19" fillId="15" borderId="174" xfId="0" applyFont="1" applyFill="1" applyBorder="1" applyAlignment="1">
      <alignment horizontal="center" vertical="center"/>
    </xf>
    <xf numFmtId="0" fontId="19" fillId="15" borderId="177" xfId="0" applyFont="1" applyFill="1" applyBorder="1" applyAlignment="1">
      <alignment horizontal="center" vertical="center"/>
    </xf>
    <xf numFmtId="0" fontId="19" fillId="15" borderId="229" xfId="0" applyFont="1" applyFill="1" applyBorder="1" applyAlignment="1">
      <alignment horizontal="center" vertical="center" wrapText="1"/>
    </xf>
    <xf numFmtId="0" fontId="3" fillId="16" borderId="224" xfId="0" applyFont="1" applyFill="1" applyBorder="1" applyAlignment="1">
      <alignment horizontal="center" vertical="center"/>
    </xf>
    <xf numFmtId="0" fontId="3" fillId="16" borderId="226" xfId="0" applyFont="1" applyFill="1" applyBorder="1" applyAlignment="1">
      <alignment horizontal="center" vertical="center"/>
    </xf>
    <xf numFmtId="0" fontId="3" fillId="16" borderId="232" xfId="0" applyFont="1" applyFill="1" applyBorder="1" applyAlignment="1">
      <alignment horizontal="center" vertical="center"/>
    </xf>
    <xf numFmtId="0" fontId="3" fillId="16" borderId="15" xfId="0" applyFont="1" applyFill="1" applyBorder="1" applyAlignment="1">
      <alignment horizontal="center" vertical="center"/>
    </xf>
    <xf numFmtId="0" fontId="3" fillId="16" borderId="16" xfId="0" applyFont="1" applyFill="1" applyBorder="1" applyAlignment="1">
      <alignment horizontal="center" vertical="center"/>
    </xf>
    <xf numFmtId="0" fontId="3" fillId="16" borderId="179" xfId="0" applyFont="1" applyFill="1" applyBorder="1" applyAlignment="1">
      <alignment horizontal="center" vertical="center"/>
    </xf>
    <xf numFmtId="0" fontId="3" fillId="16" borderId="18" xfId="0" applyFont="1" applyFill="1" applyBorder="1" applyAlignment="1">
      <alignment horizontal="center" vertical="center"/>
    </xf>
    <xf numFmtId="0" fontId="3" fillId="16" borderId="19" xfId="0" applyFont="1" applyFill="1" applyBorder="1" applyAlignment="1">
      <alignment horizontal="center" vertical="center"/>
    </xf>
    <xf numFmtId="0" fontId="3" fillId="16" borderId="174" xfId="0" applyFont="1" applyFill="1" applyBorder="1" applyAlignment="1">
      <alignment horizontal="center" vertical="center"/>
    </xf>
    <xf numFmtId="0" fontId="3" fillId="16" borderId="177" xfId="0" applyFont="1" applyFill="1" applyBorder="1" applyAlignment="1">
      <alignment horizontal="center" vertical="center"/>
    </xf>
    <xf numFmtId="0" fontId="3" fillId="16" borderId="229" xfId="0" applyFont="1" applyFill="1" applyBorder="1" applyAlignment="1">
      <alignment horizontal="center" vertical="center" wrapText="1"/>
    </xf>
    <xf numFmtId="0" fontId="19" fillId="16" borderId="224" xfId="0" applyFont="1" applyFill="1" applyBorder="1" applyAlignment="1">
      <alignment horizontal="center" vertical="center"/>
    </xf>
    <xf numFmtId="0" fontId="19" fillId="16" borderId="226" xfId="0" applyFont="1" applyFill="1" applyBorder="1" applyAlignment="1">
      <alignment horizontal="center" vertical="center"/>
    </xf>
    <xf numFmtId="0" fontId="19" fillId="16" borderId="232" xfId="0" applyFont="1" applyFill="1" applyBorder="1" applyAlignment="1">
      <alignment horizontal="center" vertical="center"/>
    </xf>
    <xf numFmtId="0" fontId="19" fillId="16" borderId="15" xfId="0" applyFont="1" applyFill="1" applyBorder="1" applyAlignment="1">
      <alignment horizontal="center" vertical="center"/>
    </xf>
    <xf numFmtId="0" fontId="19" fillId="16" borderId="16" xfId="0" applyFont="1" applyFill="1" applyBorder="1" applyAlignment="1">
      <alignment horizontal="center" vertical="center"/>
    </xf>
    <xf numFmtId="0" fontId="19" fillId="16" borderId="179" xfId="0" applyFont="1" applyFill="1" applyBorder="1" applyAlignment="1">
      <alignment horizontal="center" vertical="center"/>
    </xf>
    <xf numFmtId="0" fontId="19" fillId="16" borderId="18" xfId="0" applyFont="1" applyFill="1" applyBorder="1" applyAlignment="1">
      <alignment horizontal="center" vertical="center"/>
    </xf>
    <xf numFmtId="0" fontId="19" fillId="16" borderId="19" xfId="0" applyFont="1" applyFill="1" applyBorder="1" applyAlignment="1">
      <alignment horizontal="center" vertical="center"/>
    </xf>
    <xf numFmtId="0" fontId="19" fillId="16" borderId="174" xfId="0" applyFont="1" applyFill="1" applyBorder="1" applyAlignment="1">
      <alignment horizontal="center" vertical="center"/>
    </xf>
    <xf numFmtId="0" fontId="19" fillId="16" borderId="177" xfId="0" applyFont="1" applyFill="1" applyBorder="1" applyAlignment="1">
      <alignment horizontal="center" vertical="center"/>
    </xf>
    <xf numFmtId="0" fontId="19" fillId="16" borderId="229" xfId="0" applyFont="1" applyFill="1" applyBorder="1" applyAlignment="1">
      <alignment horizontal="center" vertical="center" wrapText="1"/>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2" xfId="0" applyFont="1" applyFill="1" applyBorder="1" applyAlignment="1">
      <alignment horizontal="center" vertical="center"/>
    </xf>
    <xf numFmtId="181" fontId="3" fillId="2" borderId="56" xfId="0" applyNumberFormat="1" applyFont="1" applyFill="1" applyBorder="1" applyAlignment="1">
      <alignment horizontal="right" vertical="center"/>
    </xf>
    <xf numFmtId="181" fontId="3" fillId="2" borderId="5" xfId="0" applyNumberFormat="1" applyFont="1" applyFill="1" applyBorder="1" applyAlignment="1">
      <alignment horizontal="right" vertical="center"/>
    </xf>
    <xf numFmtId="181" fontId="3" fillId="2" borderId="71"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49" xfId="0" applyFont="1" applyFill="1" applyBorder="1" applyAlignment="1">
      <alignment horizontal="center" vertical="center"/>
    </xf>
    <xf numFmtId="0" fontId="0" fillId="0" borderId="0" xfId="0"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6" fillId="17" borderId="0" xfId="0" applyFont="1" applyFill="1" applyAlignment="1">
      <alignment horizontal="center" vertical="center"/>
    </xf>
    <xf numFmtId="0" fontId="7" fillId="17" borderId="0" xfId="0" applyFont="1" applyFill="1" applyAlignment="1">
      <alignment horizontal="center" vertical="center"/>
    </xf>
    <xf numFmtId="0" fontId="7" fillId="17" borderId="0" xfId="0" applyFont="1" applyFill="1" applyAlignment="1">
      <alignment horizontal="right" vertical="center"/>
    </xf>
    <xf numFmtId="176" fontId="7" fillId="17" borderId="0" xfId="0" applyNumberFormat="1" applyFont="1" applyFill="1" applyAlignment="1">
      <alignment horizontal="right" vertical="center"/>
    </xf>
    <xf numFmtId="181" fontId="7" fillId="17" borderId="0" xfId="0" applyNumberFormat="1" applyFont="1" applyFill="1" applyAlignment="1">
      <alignment horizontal="right" vertical="center"/>
    </xf>
    <xf numFmtId="177" fontId="7" fillId="17" borderId="0" xfId="0" applyNumberFormat="1" applyFont="1" applyFill="1" applyAlignment="1">
      <alignment horizontal="right" vertical="center"/>
    </xf>
    <xf numFmtId="10" fontId="7" fillId="17" borderId="0" xfId="0" applyNumberFormat="1" applyFont="1" applyFill="1" applyAlignment="1">
      <alignment horizontal="right" vertical="center"/>
    </xf>
    <xf numFmtId="178" fontId="7" fillId="17" borderId="0" xfId="0" applyNumberFormat="1" applyFont="1" applyFill="1" applyAlignment="1">
      <alignment horizontal="right" vertical="center"/>
    </xf>
    <xf numFmtId="182" fontId="7" fillId="17" borderId="0" xfId="0" applyNumberFormat="1" applyFont="1" applyFill="1" applyAlignment="1">
      <alignment horizontal="right" vertical="center"/>
    </xf>
    <xf numFmtId="9" fontId="7" fillId="17" borderId="0" xfId="0" applyNumberFormat="1" applyFont="1" applyFill="1" applyAlignment="1">
      <alignment horizontal="center" vertical="center"/>
    </xf>
    <xf numFmtId="176" fontId="7" fillId="17" borderId="0" xfId="0" applyNumberFormat="1" applyFont="1" applyFill="1" applyBorder="1" applyAlignment="1">
      <alignment horizontal="right" vertical="center"/>
    </xf>
    <xf numFmtId="0" fontId="3" fillId="17" borderId="0" xfId="0" applyFont="1" applyFill="1" applyAlignment="1">
      <alignment horizontal="right" vertical="center"/>
    </xf>
    <xf numFmtId="0" fontId="6" fillId="17" borderId="48" xfId="0" applyFont="1" applyFill="1" applyBorder="1" applyAlignment="1">
      <alignment horizontal="center" vertical="center"/>
    </xf>
    <xf numFmtId="0" fontId="6" fillId="17" borderId="49" xfId="0" applyFont="1" applyFill="1" applyBorder="1" applyAlignment="1">
      <alignment horizontal="center" vertical="center"/>
    </xf>
    <xf numFmtId="0" fontId="6" fillId="17" borderId="112" xfId="0" applyFont="1" applyFill="1" applyBorder="1" applyAlignment="1">
      <alignment horizontal="center" vertical="center"/>
    </xf>
    <xf numFmtId="0" fontId="3" fillId="17" borderId="56" xfId="0" applyFont="1" applyFill="1" applyBorder="1" applyAlignment="1">
      <alignment horizontal="center" vertical="center"/>
    </xf>
    <xf numFmtId="0" fontId="3" fillId="17" borderId="35" xfId="0" applyFont="1" applyFill="1" applyBorder="1" applyAlignment="1">
      <alignment horizontal="center" vertical="center"/>
    </xf>
    <xf numFmtId="0" fontId="3" fillId="17" borderId="5" xfId="0" applyFont="1" applyFill="1" applyBorder="1" applyAlignment="1">
      <alignment horizontal="center" vertical="center"/>
    </xf>
    <xf numFmtId="0" fontId="3" fillId="17" borderId="22" xfId="0" applyFont="1" applyFill="1" applyBorder="1" applyAlignment="1">
      <alignment horizontal="center" vertical="center"/>
    </xf>
    <xf numFmtId="0" fontId="3" fillId="17" borderId="58" xfId="0" applyFont="1" applyFill="1" applyBorder="1" applyAlignment="1">
      <alignment horizontal="center" vertical="center"/>
    </xf>
    <xf numFmtId="14" fontId="3" fillId="17" borderId="5" xfId="0" applyNumberFormat="1" applyFont="1" applyFill="1" applyBorder="1" applyAlignment="1">
      <alignment horizontal="center" vertical="center"/>
    </xf>
    <xf numFmtId="0" fontId="3" fillId="17" borderId="57" xfId="0" applyFont="1" applyFill="1" applyBorder="1" applyAlignment="1">
      <alignment horizontal="center" vertical="center"/>
    </xf>
    <xf numFmtId="0" fontId="3" fillId="17" borderId="71" xfId="0" applyFont="1" applyFill="1" applyBorder="1" applyAlignment="1">
      <alignment horizontal="center" vertical="center"/>
    </xf>
    <xf numFmtId="177" fontId="3" fillId="17" borderId="66" xfId="0" applyNumberFormat="1" applyFont="1" applyFill="1" applyBorder="1" applyAlignment="1">
      <alignment horizontal="right" vertical="center"/>
    </xf>
    <xf numFmtId="176" fontId="3" fillId="17" borderId="35" xfId="0" applyNumberFormat="1" applyFont="1" applyFill="1" applyBorder="1" applyAlignment="1">
      <alignment horizontal="right" vertical="center"/>
    </xf>
    <xf numFmtId="177" fontId="3" fillId="17" borderId="5" xfId="0" applyNumberFormat="1" applyFont="1" applyFill="1" applyBorder="1" applyAlignment="1">
      <alignment horizontal="right" vertical="center"/>
    </xf>
    <xf numFmtId="176" fontId="3" fillId="17" borderId="5" xfId="0" applyNumberFormat="1" applyFont="1" applyFill="1" applyBorder="1" applyAlignment="1">
      <alignment horizontal="right" vertical="center"/>
    </xf>
    <xf numFmtId="181" fontId="3" fillId="17" borderId="5" xfId="0" applyNumberFormat="1" applyFont="1" applyFill="1" applyBorder="1" applyAlignment="1">
      <alignment horizontal="right" vertical="center"/>
    </xf>
    <xf numFmtId="177" fontId="3" fillId="17" borderId="22" xfId="0" applyNumberFormat="1" applyFont="1" applyFill="1" applyBorder="1" applyAlignment="1">
      <alignment horizontal="right" vertical="center"/>
    </xf>
    <xf numFmtId="177" fontId="3" fillId="17" borderId="56" xfId="0" applyNumberFormat="1" applyFont="1" applyFill="1" applyBorder="1" applyAlignment="1">
      <alignment horizontal="right" vertical="center"/>
    </xf>
    <xf numFmtId="181" fontId="3" fillId="17" borderId="22" xfId="0" applyNumberFormat="1" applyFont="1" applyFill="1" applyBorder="1" applyAlignment="1">
      <alignment horizontal="right" vertical="center"/>
    </xf>
    <xf numFmtId="177" fontId="3" fillId="17" borderId="57" xfId="0" applyNumberFormat="1" applyFont="1" applyFill="1" applyBorder="1" applyAlignment="1">
      <alignment horizontal="right" vertical="center"/>
    </xf>
    <xf numFmtId="176" fontId="3" fillId="17" borderId="22" xfId="0" applyNumberFormat="1" applyFont="1" applyFill="1" applyBorder="1" applyAlignment="1">
      <alignment horizontal="right" vertical="center"/>
    </xf>
    <xf numFmtId="10" fontId="3" fillId="17" borderId="56" xfId="0" applyNumberFormat="1" applyFont="1" applyFill="1" applyBorder="1" applyAlignment="1">
      <alignment horizontal="right" vertical="center"/>
    </xf>
    <xf numFmtId="177" fontId="3" fillId="17" borderId="35" xfId="0" applyNumberFormat="1" applyFont="1" applyFill="1" applyBorder="1" applyAlignment="1">
      <alignment horizontal="right" vertical="center"/>
    </xf>
    <xf numFmtId="0" fontId="3" fillId="17" borderId="34" xfId="0" applyFont="1" applyFill="1" applyBorder="1" applyAlignment="1">
      <alignment horizontal="center" vertical="center"/>
    </xf>
    <xf numFmtId="177" fontId="3" fillId="17" borderId="2" xfId="0" applyNumberFormat="1" applyFont="1" applyFill="1" applyBorder="1" applyAlignment="1">
      <alignment horizontal="right" vertical="center"/>
    </xf>
    <xf numFmtId="178" fontId="3" fillId="17" borderId="57" xfId="0" applyNumberFormat="1" applyFont="1" applyFill="1" applyBorder="1" applyAlignment="1">
      <alignment horizontal="right" vertical="center"/>
    </xf>
    <xf numFmtId="177" fontId="3" fillId="17" borderId="33" xfId="0" applyNumberFormat="1" applyFont="1" applyFill="1" applyBorder="1" applyAlignment="1">
      <alignment horizontal="right" vertical="center"/>
    </xf>
    <xf numFmtId="177" fontId="3" fillId="17" borderId="34" xfId="0" applyNumberFormat="1" applyFont="1" applyFill="1" applyBorder="1" applyAlignment="1">
      <alignment horizontal="right" vertical="center"/>
    </xf>
    <xf numFmtId="0" fontId="3" fillId="17" borderId="5" xfId="0" applyFont="1" applyFill="1" applyBorder="1" applyAlignment="1">
      <alignment horizontal="right" vertical="center"/>
    </xf>
    <xf numFmtId="182" fontId="3" fillId="17" borderId="22" xfId="0" applyNumberFormat="1" applyFont="1" applyFill="1" applyBorder="1" applyAlignment="1">
      <alignment horizontal="right" vertical="center"/>
    </xf>
    <xf numFmtId="0" fontId="3" fillId="17" borderId="30" xfId="0" applyFont="1" applyFill="1" applyBorder="1" applyAlignment="1">
      <alignment horizontal="center" vertical="center"/>
    </xf>
    <xf numFmtId="9" fontId="3" fillId="17" borderId="4" xfId="0" applyNumberFormat="1" applyFont="1" applyFill="1" applyBorder="1" applyAlignment="1">
      <alignment horizontal="center" vertical="center"/>
    </xf>
    <xf numFmtId="0" fontId="3" fillId="17" borderId="4" xfId="0" applyFont="1" applyFill="1" applyBorder="1" applyAlignment="1">
      <alignment horizontal="center" vertical="center"/>
    </xf>
    <xf numFmtId="177" fontId="3" fillId="17" borderId="4" xfId="0" applyNumberFormat="1" applyFont="1" applyFill="1" applyBorder="1" applyAlignment="1">
      <alignment horizontal="right" vertical="center"/>
    </xf>
    <xf numFmtId="178" fontId="3" fillId="17" borderId="5" xfId="0" applyNumberFormat="1" applyFont="1" applyFill="1" applyBorder="1" applyAlignment="1">
      <alignment horizontal="right" vertical="center"/>
    </xf>
    <xf numFmtId="10" fontId="3" fillId="17" borderId="5" xfId="0" applyNumberFormat="1" applyFont="1" applyFill="1" applyBorder="1" applyAlignment="1">
      <alignment horizontal="right" vertical="center"/>
    </xf>
    <xf numFmtId="176" fontId="3" fillId="17" borderId="4" xfId="0" applyNumberFormat="1" applyFont="1" applyFill="1" applyBorder="1" applyAlignment="1">
      <alignment horizontal="right" vertical="center"/>
    </xf>
    <xf numFmtId="9" fontId="3" fillId="17" borderId="35" xfId="0" applyNumberFormat="1" applyFont="1" applyFill="1" applyBorder="1" applyAlignment="1">
      <alignment horizontal="center" vertical="center"/>
    </xf>
    <xf numFmtId="181" fontId="3" fillId="17" borderId="57" xfId="0" applyNumberFormat="1" applyFont="1" applyFill="1" applyBorder="1" applyAlignment="1">
      <alignment horizontal="right" vertical="center"/>
    </xf>
    <xf numFmtId="177" fontId="3" fillId="17" borderId="6" xfId="0" applyNumberFormat="1" applyFont="1" applyFill="1" applyBorder="1" applyAlignment="1">
      <alignment horizontal="right" vertical="center"/>
    </xf>
    <xf numFmtId="0" fontId="7" fillId="17" borderId="0" xfId="0" applyFont="1" applyFill="1">
      <alignment vertical="center"/>
    </xf>
    <xf numFmtId="0" fontId="6" fillId="17" borderId="50" xfId="0" applyFont="1" applyFill="1" applyBorder="1" applyAlignment="1">
      <alignment horizontal="center" vertical="center"/>
    </xf>
    <xf numFmtId="0" fontId="6" fillId="17" borderId="51" xfId="0" applyFont="1" applyFill="1" applyBorder="1" applyAlignment="1">
      <alignment horizontal="center" vertical="center"/>
    </xf>
    <xf numFmtId="0" fontId="3" fillId="17" borderId="2" xfId="0" applyFont="1" applyFill="1" applyBorder="1" applyAlignment="1">
      <alignment horizontal="center" vertical="center"/>
    </xf>
    <xf numFmtId="0" fontId="3" fillId="17" borderId="10" xfId="0" applyFont="1" applyFill="1" applyBorder="1" applyAlignment="1">
      <alignment horizontal="center" vertical="center"/>
    </xf>
    <xf numFmtId="0" fontId="3" fillId="17" borderId="2" xfId="0" applyFont="1" applyFill="1" applyBorder="1" applyAlignment="1">
      <alignment horizontal="right" vertical="center"/>
    </xf>
    <xf numFmtId="179" fontId="3" fillId="17" borderId="5" xfId="0" applyNumberFormat="1" applyFont="1" applyFill="1" applyBorder="1" applyAlignment="1">
      <alignment horizontal="right" vertical="center"/>
    </xf>
    <xf numFmtId="0" fontId="7" fillId="17" borderId="9" xfId="0" applyFont="1" applyFill="1" applyBorder="1" applyAlignment="1">
      <alignment horizontal="center" vertical="center"/>
    </xf>
    <xf numFmtId="0" fontId="7" fillId="17" borderId="149" xfId="0" applyFont="1" applyFill="1" applyBorder="1" applyAlignment="1">
      <alignment horizontal="center" vertical="center"/>
    </xf>
    <xf numFmtId="0" fontId="7" fillId="17" borderId="168" xfId="0" applyFont="1" applyFill="1" applyBorder="1" applyAlignment="1">
      <alignment horizontal="right" vertical="center"/>
    </xf>
    <xf numFmtId="0" fontId="7" fillId="17" borderId="2" xfId="0" applyFont="1" applyFill="1" applyBorder="1" applyAlignment="1">
      <alignment horizontal="center" vertical="center"/>
    </xf>
    <xf numFmtId="0" fontId="7" fillId="17" borderId="3" xfId="0" applyFont="1" applyFill="1" applyBorder="1" applyAlignment="1">
      <alignment horizontal="right" vertical="center"/>
    </xf>
    <xf numFmtId="0" fontId="7" fillId="17" borderId="1" xfId="0" applyFont="1" applyFill="1" applyBorder="1" applyAlignment="1">
      <alignment horizontal="center" vertical="center"/>
    </xf>
    <xf numFmtId="0" fontId="7" fillId="17" borderId="12" xfId="0" applyFont="1" applyFill="1" applyBorder="1" applyAlignment="1">
      <alignment horizontal="center" vertical="center"/>
    </xf>
    <xf numFmtId="0" fontId="7" fillId="17" borderId="24" xfId="0" applyFont="1" applyFill="1" applyBorder="1" applyAlignment="1">
      <alignment horizontal="center" vertical="center"/>
    </xf>
    <xf numFmtId="179" fontId="3" fillId="17" borderId="4" xfId="0" applyNumberFormat="1" applyFont="1" applyFill="1" applyBorder="1" applyAlignment="1">
      <alignment horizontal="right" vertical="center"/>
    </xf>
    <xf numFmtId="0" fontId="7" fillId="17" borderId="18" xfId="0" applyFont="1" applyFill="1" applyBorder="1" applyAlignment="1">
      <alignment horizontal="center" vertical="center"/>
    </xf>
    <xf numFmtId="0" fontId="7" fillId="17" borderId="19" xfId="0" applyFont="1" applyFill="1" applyBorder="1" applyAlignment="1">
      <alignment horizontal="right" vertical="center"/>
    </xf>
    <xf numFmtId="0" fontId="7" fillId="17" borderId="1" xfId="0" applyFont="1" applyFill="1" applyBorder="1" applyAlignment="1">
      <alignment horizontal="right" vertical="center"/>
    </xf>
    <xf numFmtId="0" fontId="7" fillId="17" borderId="2" xfId="0" applyFont="1" applyFill="1" applyBorder="1" applyAlignment="1">
      <alignment horizontal="right" vertical="center"/>
    </xf>
    <xf numFmtId="0" fontId="7" fillId="17" borderId="11" xfId="0" applyFont="1" applyFill="1" applyBorder="1" applyAlignment="1">
      <alignment horizontal="center" vertical="center"/>
    </xf>
    <xf numFmtId="0" fontId="7" fillId="17" borderId="14" xfId="0" applyFont="1" applyFill="1" applyBorder="1" applyAlignment="1">
      <alignment horizontal="center" vertical="center"/>
    </xf>
    <xf numFmtId="0" fontId="7" fillId="17" borderId="17" xfId="0" applyFont="1" applyFill="1" applyBorder="1" applyAlignment="1">
      <alignment horizontal="center" vertical="center"/>
    </xf>
    <xf numFmtId="9" fontId="7" fillId="17" borderId="2" xfId="0" applyNumberFormat="1" applyFont="1" applyFill="1" applyBorder="1" applyAlignment="1">
      <alignment horizontal="right" vertical="center"/>
    </xf>
    <xf numFmtId="0" fontId="7" fillId="17" borderId="13" xfId="0" applyFont="1" applyFill="1" applyBorder="1" applyAlignment="1">
      <alignment horizontal="center" vertical="center"/>
    </xf>
    <xf numFmtId="0" fontId="7" fillId="17" borderId="80" xfId="0" applyFont="1" applyFill="1" applyBorder="1" applyAlignment="1">
      <alignment horizontal="center" vertical="center"/>
    </xf>
    <xf numFmtId="9" fontId="7" fillId="17" borderId="25" xfId="0" applyNumberFormat="1" applyFont="1" applyFill="1" applyBorder="1" applyAlignment="1">
      <alignment horizontal="right" vertical="center"/>
    </xf>
    <xf numFmtId="0" fontId="7" fillId="17" borderId="26" xfId="0" applyFont="1" applyFill="1" applyBorder="1" applyAlignment="1">
      <alignment horizontal="right" vertical="center"/>
    </xf>
    <xf numFmtId="0" fontId="7" fillId="17" borderId="5" xfId="0" applyFont="1" applyFill="1" applyBorder="1" applyAlignment="1">
      <alignment horizontal="center" vertical="center"/>
    </xf>
    <xf numFmtId="177" fontId="3" fillId="17" borderId="58" xfId="0" applyNumberFormat="1" applyFont="1" applyFill="1" applyBorder="1" applyAlignment="1">
      <alignment horizontal="right" vertical="center"/>
    </xf>
    <xf numFmtId="0" fontId="6" fillId="17" borderId="113" xfId="0" applyFont="1" applyFill="1" applyBorder="1" applyAlignment="1">
      <alignment horizontal="center" vertical="center"/>
    </xf>
    <xf numFmtId="14" fontId="3" fillId="17" borderId="2" xfId="0" applyNumberFormat="1" applyFont="1" applyFill="1" applyBorder="1" applyAlignment="1">
      <alignment horizontal="center" vertical="center"/>
    </xf>
    <xf numFmtId="0" fontId="3" fillId="17" borderId="59" xfId="0" applyFont="1" applyFill="1" applyBorder="1" applyAlignment="1">
      <alignment horizontal="center" vertical="center"/>
    </xf>
    <xf numFmtId="176" fontId="3" fillId="17" borderId="2" xfId="0" applyNumberFormat="1" applyFont="1" applyFill="1" applyBorder="1" applyAlignment="1">
      <alignment horizontal="right" vertical="center"/>
    </xf>
    <xf numFmtId="176" fontId="3" fillId="17" borderId="10" xfId="0" applyNumberFormat="1" applyFont="1" applyFill="1" applyBorder="1" applyAlignment="1">
      <alignment horizontal="right" vertical="center"/>
    </xf>
    <xf numFmtId="178" fontId="3" fillId="17" borderId="59" xfId="0" applyNumberFormat="1" applyFont="1" applyFill="1" applyBorder="1" applyAlignment="1">
      <alignment horizontal="right" vertical="center"/>
    </xf>
    <xf numFmtId="177" fontId="3" fillId="17" borderId="28" xfId="0" applyNumberFormat="1" applyFont="1" applyFill="1" applyBorder="1" applyAlignment="1">
      <alignment horizontal="right" vertical="center"/>
    </xf>
    <xf numFmtId="0" fontId="6" fillId="17" borderId="52" xfId="0" applyFont="1" applyFill="1" applyBorder="1" applyAlignment="1">
      <alignment horizontal="center" vertical="center"/>
    </xf>
    <xf numFmtId="0" fontId="6" fillId="17" borderId="53" xfId="0" applyFont="1" applyFill="1" applyBorder="1" applyAlignment="1">
      <alignment horizontal="center" vertical="center"/>
    </xf>
    <xf numFmtId="0" fontId="6" fillId="17" borderId="114" xfId="0" applyFont="1" applyFill="1" applyBorder="1" applyAlignment="1">
      <alignment horizontal="center" vertical="center"/>
    </xf>
    <xf numFmtId="0" fontId="3" fillId="17" borderId="60" xfId="0" applyFont="1" applyFill="1" applyBorder="1" applyAlignment="1">
      <alignment horizontal="center" vertical="center"/>
    </xf>
    <xf numFmtId="0" fontId="3" fillId="17" borderId="27" xfId="0" applyFont="1" applyFill="1" applyBorder="1" applyAlignment="1">
      <alignment horizontal="center" vertical="center"/>
    </xf>
    <xf numFmtId="0" fontId="3" fillId="17" borderId="25" xfId="0" applyFont="1" applyFill="1" applyBorder="1" applyAlignment="1">
      <alignment horizontal="center" vertical="center"/>
    </xf>
    <xf numFmtId="0" fontId="3" fillId="17" borderId="32" xfId="0" applyFont="1" applyFill="1" applyBorder="1" applyAlignment="1">
      <alignment horizontal="center" vertical="center"/>
    </xf>
    <xf numFmtId="0" fontId="3" fillId="17" borderId="61" xfId="0" applyFont="1" applyFill="1" applyBorder="1" applyAlignment="1">
      <alignment horizontal="center" vertical="center"/>
    </xf>
    <xf numFmtId="0" fontId="3" fillId="17" borderId="70" xfId="0" applyFont="1" applyFill="1" applyBorder="1" applyAlignment="1">
      <alignment horizontal="center" vertical="center"/>
    </xf>
    <xf numFmtId="0" fontId="3" fillId="17" borderId="68" xfId="0" applyFont="1" applyFill="1" applyBorder="1" applyAlignment="1">
      <alignment horizontal="right" vertical="center"/>
    </xf>
    <xf numFmtId="176" fontId="3" fillId="17" borderId="27" xfId="0" applyNumberFormat="1" applyFont="1" applyFill="1" applyBorder="1" applyAlignment="1">
      <alignment horizontal="right" vertical="center"/>
    </xf>
    <xf numFmtId="0" fontId="3" fillId="17" borderId="25" xfId="0" applyFont="1" applyFill="1" applyBorder="1" applyAlignment="1">
      <alignment horizontal="right" vertical="center"/>
    </xf>
    <xf numFmtId="176" fontId="3" fillId="17" borderId="25" xfId="0" applyNumberFormat="1" applyFont="1" applyFill="1" applyBorder="1" applyAlignment="1">
      <alignment horizontal="right" vertical="center"/>
    </xf>
    <xf numFmtId="181" fontId="3" fillId="17" borderId="25" xfId="0" applyNumberFormat="1" applyFont="1" applyFill="1" applyBorder="1" applyAlignment="1">
      <alignment horizontal="right" vertical="center"/>
    </xf>
    <xf numFmtId="0" fontId="3" fillId="17" borderId="32" xfId="0" applyFont="1" applyFill="1" applyBorder="1" applyAlignment="1">
      <alignment horizontal="right" vertical="center"/>
    </xf>
    <xf numFmtId="0" fontId="3" fillId="17" borderId="60" xfId="0" applyFont="1" applyFill="1" applyBorder="1" applyAlignment="1">
      <alignment horizontal="right" vertical="center"/>
    </xf>
    <xf numFmtId="177" fontId="3" fillId="17" borderId="25" xfId="0" applyNumberFormat="1" applyFont="1" applyFill="1" applyBorder="1" applyAlignment="1">
      <alignment horizontal="right" vertical="center"/>
    </xf>
    <xf numFmtId="181" fontId="3" fillId="17" borderId="32" xfId="0" applyNumberFormat="1" applyFont="1" applyFill="1" applyBorder="1" applyAlignment="1">
      <alignment horizontal="right" vertical="center"/>
    </xf>
    <xf numFmtId="177" fontId="3" fillId="17" borderId="61" xfId="0" applyNumberFormat="1" applyFont="1" applyFill="1" applyBorder="1" applyAlignment="1">
      <alignment horizontal="right" vertical="center"/>
    </xf>
    <xf numFmtId="177" fontId="3" fillId="17" borderId="60" xfId="0" applyNumberFormat="1" applyFont="1" applyFill="1" applyBorder="1" applyAlignment="1">
      <alignment horizontal="right" vertical="center"/>
    </xf>
    <xf numFmtId="176" fontId="3" fillId="17" borderId="32" xfId="0" applyNumberFormat="1" applyFont="1" applyFill="1" applyBorder="1" applyAlignment="1">
      <alignment horizontal="right" vertical="center"/>
    </xf>
    <xf numFmtId="10" fontId="3" fillId="17" borderId="60" xfId="0" applyNumberFormat="1" applyFont="1" applyFill="1" applyBorder="1" applyAlignment="1">
      <alignment horizontal="right" vertical="center"/>
    </xf>
    <xf numFmtId="177" fontId="3" fillId="17" borderId="27" xfId="0" applyNumberFormat="1" applyFont="1" applyFill="1" applyBorder="1" applyAlignment="1">
      <alignment horizontal="right" vertical="center"/>
    </xf>
    <xf numFmtId="177" fontId="3" fillId="17" borderId="32" xfId="0" applyNumberFormat="1" applyFont="1" applyFill="1" applyBorder="1" applyAlignment="1">
      <alignment horizontal="right" vertical="center"/>
    </xf>
    <xf numFmtId="0" fontId="3" fillId="17" borderId="31" xfId="0" applyFont="1" applyFill="1" applyBorder="1" applyAlignment="1">
      <alignment horizontal="center" vertical="center"/>
    </xf>
    <xf numFmtId="178" fontId="3" fillId="17" borderId="61" xfId="0" applyNumberFormat="1" applyFont="1" applyFill="1" applyBorder="1" applyAlignment="1">
      <alignment horizontal="right" vertical="center"/>
    </xf>
    <xf numFmtId="177" fontId="3" fillId="17" borderId="29" xfId="0" applyNumberFormat="1" applyFont="1" applyFill="1" applyBorder="1" applyAlignment="1">
      <alignment horizontal="right" vertical="center"/>
    </xf>
    <xf numFmtId="177" fontId="3" fillId="17" borderId="31" xfId="0" applyNumberFormat="1" applyFont="1" applyFill="1" applyBorder="1" applyAlignment="1">
      <alignment horizontal="right" vertical="center"/>
    </xf>
    <xf numFmtId="182" fontId="3" fillId="17" borderId="32" xfId="0" applyNumberFormat="1" applyFont="1" applyFill="1" applyBorder="1" applyAlignment="1">
      <alignment horizontal="right" vertical="center"/>
    </xf>
    <xf numFmtId="9" fontId="3" fillId="17" borderId="27" xfId="0" applyNumberFormat="1" applyFont="1" applyFill="1" applyBorder="1" applyAlignment="1">
      <alignment horizontal="center" vertical="center"/>
    </xf>
    <xf numFmtId="181" fontId="3" fillId="17" borderId="61" xfId="0" applyNumberFormat="1" applyFont="1" applyFill="1" applyBorder="1" applyAlignment="1">
      <alignment horizontal="right" vertical="center"/>
    </xf>
    <xf numFmtId="177" fontId="3" fillId="17" borderId="26" xfId="0" applyNumberFormat="1" applyFont="1" applyFill="1" applyBorder="1" applyAlignment="1">
      <alignment horizontal="right" vertical="center"/>
    </xf>
    <xf numFmtId="178" fontId="3" fillId="17" borderId="22" xfId="0" applyNumberFormat="1" applyFont="1" applyFill="1" applyBorder="1" applyAlignment="1">
      <alignment horizontal="right" vertical="center"/>
    </xf>
    <xf numFmtId="178" fontId="3" fillId="17" borderId="32" xfId="0" applyNumberFormat="1" applyFont="1" applyFill="1" applyBorder="1" applyAlignment="1">
      <alignment horizontal="right" vertical="center"/>
    </xf>
    <xf numFmtId="177" fontId="3" fillId="17" borderId="71" xfId="0" applyNumberFormat="1" applyFont="1" applyFill="1" applyBorder="1" applyAlignment="1">
      <alignment horizontal="right" vertical="center"/>
    </xf>
    <xf numFmtId="177" fontId="3" fillId="17" borderId="70" xfId="0" applyNumberFormat="1" applyFont="1" applyFill="1" applyBorder="1" applyAlignment="1">
      <alignment horizontal="right" vertical="center"/>
    </xf>
    <xf numFmtId="179" fontId="7" fillId="17" borderId="0" xfId="0" applyNumberFormat="1" applyFont="1" applyFill="1" applyAlignment="1">
      <alignment horizontal="right" vertical="center"/>
    </xf>
    <xf numFmtId="179" fontId="3" fillId="17" borderId="34" xfId="0" applyNumberFormat="1" applyFont="1" applyFill="1" applyBorder="1" applyAlignment="1">
      <alignment horizontal="right" vertical="center"/>
    </xf>
    <xf numFmtId="179" fontId="3" fillId="17" borderId="31" xfId="0" applyNumberFormat="1" applyFont="1" applyFill="1" applyBorder="1" applyAlignment="1">
      <alignment horizontal="right" vertical="center"/>
    </xf>
    <xf numFmtId="0" fontId="6" fillId="17" borderId="0" xfId="0" applyNumberFormat="1" applyFont="1" applyFill="1" applyAlignment="1">
      <alignment horizontal="center" vertical="center"/>
    </xf>
    <xf numFmtId="0" fontId="7" fillId="17" borderId="0" xfId="0" applyNumberFormat="1" applyFont="1" applyFill="1" applyAlignment="1">
      <alignment horizontal="center" vertical="center"/>
    </xf>
    <xf numFmtId="0" fontId="7" fillId="17" borderId="0" xfId="0" applyNumberFormat="1" applyFont="1" applyFill="1" applyAlignment="1">
      <alignment horizontal="right" vertical="center"/>
    </xf>
    <xf numFmtId="0" fontId="7" fillId="17" borderId="0" xfId="0" applyNumberFormat="1" applyFont="1" applyFill="1" applyBorder="1" applyAlignment="1">
      <alignment horizontal="right" vertical="center"/>
    </xf>
    <xf numFmtId="0" fontId="3" fillId="17" borderId="0" xfId="0" applyNumberFormat="1" applyFont="1" applyFill="1" applyAlignment="1">
      <alignment horizontal="right" vertical="center"/>
    </xf>
    <xf numFmtId="0" fontId="6" fillId="17" borderId="46" xfId="0" applyNumberFormat="1" applyFont="1" applyFill="1" applyBorder="1" applyAlignment="1">
      <alignment horizontal="center" vertical="center"/>
    </xf>
    <xf numFmtId="0" fontId="6" fillId="17" borderId="47" xfId="0" applyNumberFormat="1" applyFont="1" applyFill="1" applyBorder="1" applyAlignment="1">
      <alignment horizontal="center" vertical="center"/>
    </xf>
    <xf numFmtId="0" fontId="6" fillId="17" borderId="107" xfId="0" applyNumberFormat="1" applyFont="1" applyFill="1" applyBorder="1" applyAlignment="1">
      <alignment horizontal="center" vertical="center"/>
    </xf>
    <xf numFmtId="0" fontId="17" fillId="17" borderId="107" xfId="0" applyNumberFormat="1" applyFont="1" applyFill="1" applyBorder="1" applyAlignment="1">
      <alignment horizontal="center" vertical="center"/>
    </xf>
    <xf numFmtId="0" fontId="3" fillId="17" borderId="54" xfId="0" applyNumberFormat="1" applyFont="1" applyFill="1" applyBorder="1" applyAlignment="1">
      <alignment horizontal="center" vertical="center"/>
    </xf>
    <xf numFmtId="0" fontId="5" fillId="17" borderId="44" xfId="0" applyNumberFormat="1" applyFont="1" applyFill="1" applyBorder="1" applyAlignment="1">
      <alignment horizontal="center" vertical="center"/>
    </xf>
    <xf numFmtId="0" fontId="3" fillId="17" borderId="40" xfId="0" applyNumberFormat="1" applyFont="1" applyFill="1" applyBorder="1" applyAlignment="1">
      <alignment horizontal="center" vertical="center"/>
    </xf>
    <xf numFmtId="0" fontId="3" fillId="17" borderId="43" xfId="0" applyNumberFormat="1" applyFont="1" applyFill="1" applyBorder="1" applyAlignment="1">
      <alignment horizontal="center" vertical="center"/>
    </xf>
    <xf numFmtId="0" fontId="5" fillId="17" borderId="55" xfId="0" applyNumberFormat="1" applyFont="1" applyFill="1" applyBorder="1" applyAlignment="1">
      <alignment horizontal="center" vertical="center"/>
    </xf>
    <xf numFmtId="0" fontId="3" fillId="17" borderId="73" xfId="0" applyNumberFormat="1" applyFont="1" applyFill="1" applyBorder="1" applyAlignment="1">
      <alignment horizontal="center" vertical="center"/>
    </xf>
    <xf numFmtId="0" fontId="3" fillId="17" borderId="65" xfId="0" applyNumberFormat="1" applyFont="1" applyFill="1" applyBorder="1" applyAlignment="1">
      <alignment horizontal="center" vertical="center"/>
    </xf>
    <xf numFmtId="0" fontId="5" fillId="17" borderId="40" xfId="0" applyNumberFormat="1" applyFont="1" applyFill="1" applyBorder="1" applyAlignment="1">
      <alignment horizontal="center" vertical="center"/>
    </xf>
    <xf numFmtId="0" fontId="15" fillId="17" borderId="40" xfId="0" applyNumberFormat="1" applyFont="1" applyFill="1" applyBorder="1" applyAlignment="1">
      <alignment horizontal="center" vertical="center"/>
    </xf>
    <xf numFmtId="0" fontId="15" fillId="17" borderId="43" xfId="0" applyNumberFormat="1" applyFont="1" applyFill="1" applyBorder="1" applyAlignment="1">
      <alignment horizontal="center" vertical="center"/>
    </xf>
    <xf numFmtId="0" fontId="3" fillId="17" borderId="55" xfId="0" applyNumberFormat="1" applyFont="1" applyFill="1" applyBorder="1" applyAlignment="1">
      <alignment horizontal="center" vertical="center"/>
    </xf>
    <xf numFmtId="0" fontId="5" fillId="17" borderId="77" xfId="0" applyNumberFormat="1" applyFont="1" applyFill="1" applyBorder="1" applyAlignment="1">
      <alignment horizontal="center" vertical="center"/>
    </xf>
    <xf numFmtId="0" fontId="5" fillId="17" borderId="42" xfId="0" applyNumberFormat="1" applyFont="1" applyFill="1" applyBorder="1" applyAlignment="1">
      <alignment horizontal="center" vertical="center"/>
    </xf>
    <xf numFmtId="0" fontId="3" fillId="17" borderId="44" xfId="0" applyNumberFormat="1" applyFont="1" applyFill="1" applyBorder="1" applyAlignment="1">
      <alignment horizontal="center" vertical="center"/>
    </xf>
    <xf numFmtId="0" fontId="3" fillId="17" borderId="42" xfId="0" applyNumberFormat="1" applyFont="1" applyFill="1" applyBorder="1" applyAlignment="1">
      <alignment horizontal="center" vertical="center"/>
    </xf>
    <xf numFmtId="0" fontId="3" fillId="17" borderId="41" xfId="0" applyNumberFormat="1" applyFont="1" applyFill="1" applyBorder="1" applyAlignment="1">
      <alignment horizontal="center" vertical="center"/>
    </xf>
    <xf numFmtId="0" fontId="4" fillId="17" borderId="54" xfId="0" applyNumberFormat="1" applyFont="1" applyFill="1" applyBorder="1" applyAlignment="1">
      <alignment horizontal="center" vertical="center"/>
    </xf>
    <xf numFmtId="0" fontId="4" fillId="17" borderId="40" xfId="0" applyNumberFormat="1" applyFont="1" applyFill="1" applyBorder="1" applyAlignment="1">
      <alignment horizontal="center" vertical="center"/>
    </xf>
    <xf numFmtId="0" fontId="4" fillId="17" borderId="43" xfId="0" applyNumberFormat="1" applyFont="1" applyFill="1" applyBorder="1" applyAlignment="1">
      <alignment horizontal="center" vertical="center"/>
    </xf>
    <xf numFmtId="0" fontId="4" fillId="17" borderId="41" xfId="0" applyNumberFormat="1" applyFont="1" applyFill="1" applyBorder="1" applyAlignment="1">
      <alignment horizontal="center" vertical="center"/>
    </xf>
    <xf numFmtId="0" fontId="5" fillId="17" borderId="54" xfId="0" applyNumberFormat="1" applyFont="1" applyFill="1" applyBorder="1" applyAlignment="1">
      <alignment horizontal="center" vertical="center"/>
    </xf>
    <xf numFmtId="0" fontId="5" fillId="17" borderId="41" xfId="0" applyNumberFormat="1" applyFont="1" applyFill="1" applyBorder="1" applyAlignment="1">
      <alignment horizontal="center" vertical="center"/>
    </xf>
    <xf numFmtId="0" fontId="3" fillId="17" borderId="45" xfId="0" applyNumberFormat="1" applyFont="1" applyFill="1" applyBorder="1" applyAlignment="1">
      <alignment horizontal="center" vertical="center"/>
    </xf>
    <xf numFmtId="185" fontId="7" fillId="17" borderId="0" xfId="0" applyNumberFormat="1" applyFont="1" applyFill="1" applyAlignment="1">
      <alignment horizontal="right" vertical="center"/>
    </xf>
    <xf numFmtId="185" fontId="3" fillId="17" borderId="35" xfId="0" applyNumberFormat="1" applyFont="1" applyFill="1" applyBorder="1" applyAlignment="1">
      <alignment horizontal="right" vertical="center"/>
    </xf>
    <xf numFmtId="185" fontId="3" fillId="17" borderId="27" xfId="0" applyNumberFormat="1" applyFont="1" applyFill="1" applyBorder="1" applyAlignment="1">
      <alignment horizontal="right" vertical="center"/>
    </xf>
    <xf numFmtId="0" fontId="7" fillId="17" borderId="3" xfId="0" applyFont="1" applyFill="1" applyBorder="1" applyAlignment="1">
      <alignment horizontal="right" vertical="center"/>
    </xf>
    <xf numFmtId="0" fontId="7" fillId="17" borderId="19" xfId="0" applyFont="1" applyFill="1" applyBorder="1" applyAlignment="1">
      <alignment horizontal="right" vertical="center"/>
    </xf>
    <xf numFmtId="0" fontId="7" fillId="17" borderId="2" xfId="0" applyFont="1" applyFill="1" applyBorder="1" applyAlignment="1">
      <alignment horizontal="right" vertical="center"/>
    </xf>
    <xf numFmtId="0" fontId="7" fillId="17" borderId="6" xfId="0" applyFont="1" applyFill="1" applyBorder="1" applyAlignment="1">
      <alignment horizontal="center" vertical="center"/>
    </xf>
    <xf numFmtId="0" fontId="7" fillId="17" borderId="18" xfId="0" applyFont="1" applyFill="1" applyBorder="1" applyAlignment="1">
      <alignment horizontal="right" vertical="center"/>
    </xf>
    <xf numFmtId="0" fontId="7" fillId="17" borderId="245" xfId="0" applyFont="1" applyFill="1" applyBorder="1" applyAlignment="1">
      <alignment horizontal="center" vertical="center"/>
    </xf>
    <xf numFmtId="0" fontId="7" fillId="17" borderId="246" xfId="0" applyFont="1" applyFill="1" applyBorder="1" applyAlignment="1">
      <alignment horizontal="center" vertical="center"/>
    </xf>
    <xf numFmtId="0" fontId="7" fillId="17" borderId="247" xfId="0" applyFont="1" applyFill="1" applyBorder="1" applyAlignment="1">
      <alignment horizontal="right" vertical="center"/>
    </xf>
    <xf numFmtId="0" fontId="13" fillId="17" borderId="0" xfId="0" applyFont="1" applyFill="1">
      <alignment vertical="center"/>
    </xf>
    <xf numFmtId="177" fontId="5" fillId="17" borderId="44"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95" xfId="0" applyFont="1" applyFill="1" applyBorder="1" applyAlignment="1">
      <alignment horizontal="center" vertical="center"/>
    </xf>
    <xf numFmtId="0" fontId="5" fillId="2" borderId="40" xfId="0" applyFont="1" applyFill="1" applyBorder="1" applyAlignment="1">
      <alignment horizontal="center" vertical="center"/>
    </xf>
    <xf numFmtId="0" fontId="3" fillId="2" borderId="40" xfId="0" applyFont="1" applyFill="1" applyBorder="1" applyAlignment="1">
      <alignment horizontal="center" vertical="center"/>
    </xf>
    <xf numFmtId="0" fontId="3" fillId="2" borderId="43" xfId="0" applyFont="1" applyFill="1" applyBorder="1" applyAlignment="1">
      <alignment horizontal="center" vertical="center"/>
    </xf>
    <xf numFmtId="0" fontId="3" fillId="2" borderId="73" xfId="0" applyFont="1" applyFill="1" applyBorder="1" applyAlignment="1">
      <alignment horizontal="center" vertical="center"/>
    </xf>
    <xf numFmtId="0" fontId="3" fillId="2" borderId="65" xfId="0" applyNumberFormat="1" applyFont="1" applyFill="1" applyBorder="1" applyAlignment="1">
      <alignment horizontal="center" vertical="center"/>
    </xf>
    <xf numFmtId="0" fontId="3" fillId="2" borderId="44" xfId="0" applyNumberFormat="1" applyFont="1" applyFill="1" applyBorder="1" applyAlignment="1">
      <alignment horizontal="center" vertical="center"/>
    </xf>
    <xf numFmtId="0" fontId="3" fillId="2" borderId="40" xfId="0" applyNumberFormat="1" applyFont="1" applyFill="1" applyBorder="1" applyAlignment="1">
      <alignment horizontal="center" vertical="center"/>
    </xf>
    <xf numFmtId="0" fontId="3" fillId="2" borderId="73" xfId="0" applyNumberFormat="1" applyFont="1" applyFill="1" applyBorder="1" applyAlignment="1">
      <alignment horizontal="center" vertical="center"/>
    </xf>
    <xf numFmtId="0" fontId="3" fillId="2" borderId="45" xfId="0" applyNumberFormat="1" applyFont="1" applyFill="1" applyBorder="1" applyAlignment="1">
      <alignment horizontal="center" vertical="center"/>
    </xf>
    <xf numFmtId="0" fontId="3" fillId="2" borderId="9" xfId="0" applyFont="1" applyFill="1" applyBorder="1" applyAlignment="1">
      <alignment horizontal="center" vertical="center"/>
    </xf>
    <xf numFmtId="0" fontId="3" fillId="2" borderId="71" xfId="0" applyFont="1" applyFill="1" applyBorder="1" applyAlignment="1">
      <alignment horizontal="center" vertical="center"/>
    </xf>
    <xf numFmtId="0" fontId="3" fillId="2" borderId="66" xfId="0" applyFont="1" applyFill="1" applyBorder="1" applyAlignment="1">
      <alignment horizontal="right" vertical="center"/>
    </xf>
    <xf numFmtId="0" fontId="3" fillId="2" borderId="22" xfId="0" applyFont="1" applyFill="1" applyBorder="1" applyAlignment="1">
      <alignment horizontal="right" vertical="center"/>
    </xf>
    <xf numFmtId="0" fontId="3" fillId="2" borderId="34" xfId="0" applyFont="1" applyFill="1" applyBorder="1" applyAlignment="1">
      <alignment horizontal="right" vertical="center"/>
    </xf>
    <xf numFmtId="0" fontId="3" fillId="2" borderId="71" xfId="0" applyFont="1" applyFill="1" applyBorder="1" applyAlignment="1">
      <alignment horizontal="right" vertical="center"/>
    </xf>
    <xf numFmtId="0" fontId="3" fillId="2" borderId="66" xfId="0" applyNumberFormat="1" applyFont="1" applyFill="1" applyBorder="1" applyAlignment="1">
      <alignment horizontal="right" vertical="center"/>
    </xf>
    <xf numFmtId="0" fontId="3" fillId="2" borderId="5" xfId="0" applyNumberFormat="1" applyFont="1" applyFill="1" applyBorder="1" applyAlignment="1">
      <alignment horizontal="right" vertical="center"/>
    </xf>
    <xf numFmtId="0" fontId="3" fillId="2" borderId="2" xfId="0" applyNumberFormat="1" applyFont="1" applyFill="1" applyBorder="1" applyAlignment="1">
      <alignment horizontal="right" vertical="center"/>
    </xf>
    <xf numFmtId="0" fontId="3" fillId="2" borderId="69" xfId="0" applyNumberFormat="1" applyFont="1" applyFill="1" applyBorder="1" applyAlignment="1">
      <alignment horizontal="right" vertical="center"/>
    </xf>
    <xf numFmtId="176" fontId="3" fillId="2" borderId="5" xfId="0" applyNumberFormat="1" applyFont="1" applyFill="1" applyBorder="1" applyAlignment="1">
      <alignment horizontal="right" vertical="center"/>
    </xf>
    <xf numFmtId="176" fontId="3" fillId="2" borderId="66" xfId="0" applyNumberFormat="1" applyFont="1" applyFill="1" applyBorder="1" applyAlignment="1">
      <alignment horizontal="right" vertical="center"/>
    </xf>
    <xf numFmtId="0" fontId="3" fillId="2" borderId="69" xfId="0" applyFont="1" applyFill="1" applyBorder="1" applyAlignment="1">
      <alignment horizontal="center" vertical="center"/>
    </xf>
    <xf numFmtId="0" fontId="3" fillId="2" borderId="67" xfId="0" applyFont="1" applyFill="1" applyBorder="1" applyAlignment="1">
      <alignment horizontal="right" vertical="center"/>
    </xf>
    <xf numFmtId="0" fontId="3" fillId="2" borderId="2" xfId="0" applyFont="1" applyFill="1" applyBorder="1" applyAlignment="1">
      <alignment horizontal="right" vertical="center"/>
    </xf>
    <xf numFmtId="0" fontId="3" fillId="2" borderId="10" xfId="0" applyFont="1" applyFill="1" applyBorder="1" applyAlignment="1">
      <alignment horizontal="right" vertical="center"/>
    </xf>
    <xf numFmtId="176" fontId="3" fillId="2" borderId="67" xfId="0" applyNumberFormat="1" applyFont="1" applyFill="1" applyBorder="1" applyAlignment="1">
      <alignment horizontal="right" vertical="center"/>
    </xf>
    <xf numFmtId="176" fontId="3" fillId="2" borderId="4" xfId="0" applyNumberFormat="1" applyFont="1" applyFill="1" applyBorder="1" applyAlignment="1">
      <alignment horizontal="right" vertical="center"/>
    </xf>
    <xf numFmtId="176" fontId="3" fillId="2" borderId="2" xfId="0" applyNumberFormat="1" applyFont="1" applyFill="1" applyBorder="1" applyAlignment="1">
      <alignment horizontal="right" vertical="center"/>
    </xf>
    <xf numFmtId="176" fontId="3" fillId="2" borderId="69" xfId="0" applyNumberFormat="1" applyFont="1" applyFill="1" applyBorder="1" applyAlignment="1">
      <alignment horizontal="right" vertical="center"/>
    </xf>
    <xf numFmtId="0" fontId="16" fillId="2" borderId="67" xfId="0" applyFont="1" applyFill="1" applyBorder="1" applyAlignment="1">
      <alignment horizontal="right" vertical="center"/>
    </xf>
    <xf numFmtId="0" fontId="16" fillId="2" borderId="2" xfId="0" applyFont="1" applyFill="1" applyBorder="1" applyAlignment="1">
      <alignment horizontal="right" vertical="center"/>
    </xf>
    <xf numFmtId="0" fontId="16" fillId="2" borderId="10" xfId="0" applyFont="1" applyFill="1" applyBorder="1" applyAlignment="1">
      <alignment horizontal="right" vertical="center"/>
    </xf>
    <xf numFmtId="0" fontId="3" fillId="2" borderId="67" xfId="0" applyNumberFormat="1" applyFont="1" applyFill="1" applyBorder="1" applyAlignment="1">
      <alignment horizontal="right" vertical="center"/>
    </xf>
    <xf numFmtId="0" fontId="3" fillId="2" borderId="4" xfId="0" applyNumberFormat="1" applyFont="1" applyFill="1" applyBorder="1" applyAlignment="1">
      <alignment horizontal="right" vertical="center"/>
    </xf>
    <xf numFmtId="176" fontId="3" fillId="2" borderId="3" xfId="0" applyNumberFormat="1" applyFont="1" applyFill="1" applyBorder="1" applyAlignment="1">
      <alignment horizontal="right" vertical="center"/>
    </xf>
    <xf numFmtId="0" fontId="3" fillId="2" borderId="13"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187" xfId="0" applyFont="1" applyFill="1" applyBorder="1" applyAlignment="1">
      <alignment horizontal="center" vertical="center"/>
    </xf>
    <xf numFmtId="0" fontId="3" fillId="2" borderId="89" xfId="0" applyFont="1" applyFill="1" applyBorder="1" applyAlignment="1">
      <alignment horizontal="right" vertical="center"/>
    </xf>
    <xf numFmtId="0" fontId="3" fillId="2" borderId="7" xfId="0" applyFont="1" applyFill="1" applyBorder="1" applyAlignment="1">
      <alignment horizontal="right" vertical="center"/>
    </xf>
    <xf numFmtId="0" fontId="3" fillId="2" borderId="186" xfId="0" applyFont="1" applyFill="1" applyBorder="1" applyAlignment="1">
      <alignment horizontal="right" vertical="center"/>
    </xf>
    <xf numFmtId="176" fontId="3" fillId="2" borderId="187" xfId="0" applyNumberFormat="1" applyFont="1" applyFill="1" applyBorder="1" applyAlignment="1">
      <alignment horizontal="right" vertical="center"/>
    </xf>
    <xf numFmtId="0" fontId="3" fillId="2" borderId="186" xfId="0" applyFont="1" applyFill="1" applyBorder="1" applyAlignment="1">
      <alignment horizontal="center" vertical="center"/>
    </xf>
    <xf numFmtId="176" fontId="3" fillId="2" borderId="89" xfId="0" applyNumberFormat="1" applyFont="1" applyFill="1" applyBorder="1" applyAlignment="1">
      <alignment horizontal="right" vertical="center"/>
    </xf>
    <xf numFmtId="176" fontId="3" fillId="2" borderId="188" xfId="0" applyNumberFormat="1" applyFont="1" applyFill="1" applyBorder="1" applyAlignment="1">
      <alignment horizontal="right" vertical="center"/>
    </xf>
    <xf numFmtId="176" fontId="3" fillId="2" borderId="7" xfId="0" applyNumberFormat="1" applyFont="1" applyFill="1" applyBorder="1" applyAlignment="1">
      <alignment horizontal="right" vertical="center"/>
    </xf>
    <xf numFmtId="0" fontId="3" fillId="2" borderId="89" xfId="0" applyNumberFormat="1" applyFont="1" applyFill="1" applyBorder="1" applyAlignment="1">
      <alignment horizontal="right" vertical="center"/>
    </xf>
    <xf numFmtId="0" fontId="3" fillId="2" borderId="7" xfId="0" applyNumberFormat="1" applyFont="1" applyFill="1" applyBorder="1" applyAlignment="1">
      <alignment horizontal="right" vertical="center"/>
    </xf>
    <xf numFmtId="0" fontId="3" fillId="2" borderId="187" xfId="0" applyNumberFormat="1" applyFont="1" applyFill="1" applyBorder="1" applyAlignment="1">
      <alignment horizontal="right" vertical="center"/>
    </xf>
    <xf numFmtId="0" fontId="3" fillId="2" borderId="32" xfId="0" applyFont="1" applyFill="1" applyBorder="1" applyAlignment="1">
      <alignment horizontal="center" vertical="center"/>
    </xf>
    <xf numFmtId="0" fontId="3" fillId="2" borderId="70" xfId="0" applyFont="1" applyFill="1" applyBorder="1" applyAlignment="1">
      <alignment horizontal="center" vertical="center"/>
    </xf>
    <xf numFmtId="0" fontId="3" fillId="2" borderId="68" xfId="0" applyFont="1" applyFill="1" applyBorder="1" applyAlignment="1">
      <alignment horizontal="right" vertical="center"/>
    </xf>
    <xf numFmtId="0" fontId="3" fillId="2" borderId="32" xfId="0" applyFont="1" applyFill="1" applyBorder="1" applyAlignment="1">
      <alignment horizontal="right" vertical="center"/>
    </xf>
    <xf numFmtId="0" fontId="3" fillId="2" borderId="31" xfId="0" applyFont="1" applyFill="1" applyBorder="1" applyAlignment="1">
      <alignment horizontal="right" vertical="center"/>
    </xf>
    <xf numFmtId="0" fontId="3" fillId="2" borderId="70" xfId="0" applyFont="1" applyFill="1" applyBorder="1" applyAlignment="1">
      <alignment horizontal="right" vertical="center"/>
    </xf>
    <xf numFmtId="176" fontId="3" fillId="2" borderId="68" xfId="0" applyNumberFormat="1" applyFont="1" applyFill="1" applyBorder="1" applyAlignment="1">
      <alignment horizontal="right" vertical="center"/>
    </xf>
    <xf numFmtId="176" fontId="3" fillId="2" borderId="27" xfId="0" applyNumberFormat="1" applyFont="1" applyFill="1" applyBorder="1" applyAlignment="1">
      <alignment horizontal="right" vertical="center"/>
    </xf>
    <xf numFmtId="176" fontId="3" fillId="2" borderId="25" xfId="0" applyNumberFormat="1" applyFont="1" applyFill="1" applyBorder="1" applyAlignment="1">
      <alignment horizontal="right" vertical="center"/>
    </xf>
    <xf numFmtId="176" fontId="3" fillId="2" borderId="70" xfId="0" applyNumberFormat="1" applyFont="1" applyFill="1" applyBorder="1" applyAlignment="1">
      <alignment horizontal="right" vertical="center"/>
    </xf>
    <xf numFmtId="176" fontId="3" fillId="2" borderId="26" xfId="0" applyNumberFormat="1" applyFont="1" applyFill="1" applyBorder="1" applyAlignment="1">
      <alignment horizontal="right" vertical="center"/>
    </xf>
    <xf numFmtId="176" fontId="3" fillId="2" borderId="71" xfId="0" applyNumberFormat="1" applyFont="1" applyFill="1" applyBorder="1" applyAlignment="1">
      <alignment horizontal="right" vertical="center"/>
    </xf>
    <xf numFmtId="176" fontId="3" fillId="2" borderId="251" xfId="0" applyNumberFormat="1" applyFont="1" applyFill="1" applyBorder="1" applyAlignment="1">
      <alignment horizontal="right" vertical="center"/>
    </xf>
    <xf numFmtId="176" fontId="3" fillId="2" borderId="252" xfId="0" applyNumberFormat="1" applyFont="1" applyFill="1" applyBorder="1" applyAlignment="1">
      <alignment horizontal="right" vertical="center"/>
    </xf>
    <xf numFmtId="176" fontId="3" fillId="2" borderId="253" xfId="0" applyNumberFormat="1" applyFont="1" applyFill="1" applyBorder="1" applyAlignment="1">
      <alignment horizontal="right" vertical="center"/>
    </xf>
    <xf numFmtId="49" fontId="3" fillId="2" borderId="5" xfId="0" applyNumberFormat="1" applyFont="1" applyFill="1" applyBorder="1" applyAlignment="1">
      <alignment horizontal="center" vertical="center"/>
    </xf>
    <xf numFmtId="0" fontId="3" fillId="2" borderId="2" xfId="0" applyFont="1" applyFill="1" applyBorder="1" applyAlignment="1">
      <alignment horizontal="center" vertical="center"/>
    </xf>
    <xf numFmtId="183" fontId="3" fillId="2" borderId="0" xfId="0" applyNumberFormat="1" applyFont="1" applyFill="1">
      <alignment vertical="center"/>
    </xf>
    <xf numFmtId="183" fontId="3" fillId="2" borderId="178" xfId="0" applyNumberFormat="1" applyFont="1" applyFill="1" applyBorder="1" applyAlignment="1">
      <alignment horizontal="center" vertical="center"/>
    </xf>
    <xf numFmtId="183" fontId="3" fillId="2" borderId="10" xfId="0" applyNumberFormat="1" applyFont="1" applyFill="1" applyBorder="1">
      <alignment vertical="center"/>
    </xf>
    <xf numFmtId="183" fontId="3" fillId="2" borderId="32" xfId="0" applyNumberFormat="1" applyFont="1" applyFill="1" applyBorder="1">
      <alignment vertical="center"/>
    </xf>
    <xf numFmtId="0" fontId="3" fillId="2" borderId="2" xfId="0" applyFont="1" applyFill="1" applyBorder="1" applyAlignment="1">
      <alignment horizontal="center" vertical="center"/>
    </xf>
    <xf numFmtId="0" fontId="6" fillId="17" borderId="0" xfId="0" applyFont="1" applyFill="1">
      <alignment vertical="center"/>
    </xf>
    <xf numFmtId="179" fontId="5" fillId="17" borderId="54" xfId="0" applyNumberFormat="1" applyFont="1" applyFill="1" applyBorder="1" applyAlignment="1">
      <alignment horizontal="center" vertical="center"/>
    </xf>
    <xf numFmtId="179" fontId="5" fillId="17" borderId="40" xfId="0" applyNumberFormat="1" applyFont="1" applyFill="1" applyBorder="1" applyAlignment="1">
      <alignment horizontal="center" vertical="center"/>
    </xf>
    <xf numFmtId="179" fontId="3" fillId="17" borderId="56" xfId="0" applyNumberFormat="1" applyFont="1" applyFill="1" applyBorder="1" applyAlignment="1">
      <alignment horizontal="right" vertical="center"/>
    </xf>
    <xf numFmtId="179" fontId="3" fillId="17" borderId="58" xfId="0" applyNumberFormat="1" applyFont="1" applyFill="1" applyBorder="1" applyAlignment="1">
      <alignment horizontal="right" vertical="center"/>
    </xf>
    <xf numFmtId="179" fontId="3" fillId="17" borderId="60" xfId="0" applyNumberFormat="1" applyFont="1" applyFill="1" applyBorder="1" applyAlignment="1">
      <alignment horizontal="right" vertical="center"/>
    </xf>
    <xf numFmtId="179" fontId="3" fillId="17" borderId="25" xfId="0" applyNumberFormat="1" applyFont="1" applyFill="1" applyBorder="1" applyAlignment="1">
      <alignment horizontal="right" vertical="center"/>
    </xf>
    <xf numFmtId="0" fontId="6" fillId="17" borderId="255" xfId="0" applyFont="1" applyFill="1" applyBorder="1">
      <alignment vertical="center"/>
    </xf>
    <xf numFmtId="0" fontId="6" fillId="17" borderId="256" xfId="0" applyFont="1" applyFill="1" applyBorder="1">
      <alignment vertical="center"/>
    </xf>
    <xf numFmtId="0" fontId="6" fillId="17" borderId="257" xfId="0" applyNumberFormat="1" applyFont="1" applyFill="1" applyBorder="1">
      <alignment vertical="center"/>
    </xf>
    <xf numFmtId="0" fontId="6" fillId="17" borderId="109" xfId="0" applyFont="1" applyFill="1" applyBorder="1" applyAlignment="1">
      <alignment horizontal="center" vertical="center"/>
    </xf>
    <xf numFmtId="0" fontId="3" fillId="2" borderId="2" xfId="0" applyFont="1" applyFill="1" applyBorder="1" applyAlignment="1">
      <alignment horizontal="center" vertical="center"/>
    </xf>
    <xf numFmtId="14" fontId="3" fillId="2" borderId="66"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0" fontId="3" fillId="2" borderId="0" xfId="0" applyNumberFormat="1" applyFont="1" applyFill="1" applyBorder="1" applyAlignment="1">
      <alignment horizontal="center" vertical="center"/>
    </xf>
    <xf numFmtId="0" fontId="3" fillId="2" borderId="0" xfId="0" applyNumberFormat="1" applyFont="1" applyFill="1" applyAlignment="1">
      <alignment horizontal="right" vertical="center"/>
    </xf>
    <xf numFmtId="0" fontId="3" fillId="2" borderId="0"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67" xfId="0" applyFont="1" applyFill="1" applyBorder="1">
      <alignment vertical="center"/>
    </xf>
    <xf numFmtId="0" fontId="3" fillId="2" borderId="2" xfId="0" applyFont="1" applyFill="1" applyBorder="1">
      <alignment vertical="center"/>
    </xf>
    <xf numFmtId="0" fontId="3" fillId="2" borderId="81" xfId="0" applyFont="1" applyFill="1" applyBorder="1">
      <alignment vertical="center"/>
    </xf>
    <xf numFmtId="0" fontId="3" fillId="2" borderId="82" xfId="0" applyFont="1" applyFill="1" applyBorder="1">
      <alignment vertical="center"/>
    </xf>
    <xf numFmtId="0" fontId="3" fillId="2" borderId="251" xfId="0" applyFont="1" applyFill="1" applyBorder="1" applyAlignment="1">
      <alignment horizontal="center" vertical="center"/>
    </xf>
    <xf numFmtId="0" fontId="3" fillId="2" borderId="252" xfId="0" applyFont="1" applyFill="1" applyBorder="1" applyAlignment="1">
      <alignment horizontal="center" vertical="center"/>
    </xf>
    <xf numFmtId="0" fontId="3" fillId="2" borderId="258" xfId="0" applyFont="1" applyFill="1" applyBorder="1" applyAlignment="1">
      <alignment horizontal="center" vertical="center"/>
    </xf>
    <xf numFmtId="0" fontId="3" fillId="2" borderId="82" xfId="0" applyFont="1" applyFill="1" applyBorder="1" applyAlignment="1">
      <alignment horizontal="center" vertical="center"/>
    </xf>
    <xf numFmtId="10" fontId="3" fillId="2" borderId="2" xfId="0" applyNumberFormat="1" applyFont="1" applyFill="1" applyBorder="1">
      <alignment vertical="center"/>
    </xf>
    <xf numFmtId="9" fontId="3" fillId="2" borderId="0" xfId="0" applyNumberFormat="1" applyFont="1" applyFill="1">
      <alignment vertical="center"/>
    </xf>
    <xf numFmtId="9" fontId="3" fillId="2" borderId="252" xfId="0" applyNumberFormat="1" applyFont="1" applyFill="1" applyBorder="1" applyAlignment="1">
      <alignment horizontal="center" vertical="center"/>
    </xf>
    <xf numFmtId="9" fontId="3" fillId="2" borderId="2" xfId="0" applyNumberFormat="1" applyFont="1" applyFill="1" applyBorder="1">
      <alignment vertical="center"/>
    </xf>
    <xf numFmtId="9" fontId="3" fillId="2" borderId="82" xfId="0" applyNumberFormat="1" applyFont="1" applyFill="1" applyBorder="1">
      <alignment vertical="center"/>
    </xf>
    <xf numFmtId="10" fontId="3" fillId="2" borderId="69" xfId="0" applyNumberFormat="1" applyFont="1" applyFill="1" applyBorder="1">
      <alignment vertical="center"/>
    </xf>
    <xf numFmtId="0" fontId="3" fillId="2" borderId="259" xfId="0" applyFont="1" applyFill="1" applyBorder="1" applyAlignment="1">
      <alignment horizontal="center" vertical="center"/>
    </xf>
    <xf numFmtId="0" fontId="3" fillId="2" borderId="4" xfId="0" applyFont="1" applyFill="1" applyBorder="1">
      <alignment vertical="center"/>
    </xf>
    <xf numFmtId="0" fontId="3" fillId="2" borderId="116" xfId="0" applyFont="1" applyFill="1" applyBorder="1">
      <alignment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35" xfId="0" applyNumberFormat="1" applyFont="1" applyFill="1" applyBorder="1" applyAlignment="1">
      <alignment horizontal="right" vertical="center"/>
    </xf>
    <xf numFmtId="0" fontId="3" fillId="2" borderId="71" xfId="0" applyNumberFormat="1" applyFont="1" applyFill="1" applyBorder="1" applyAlignment="1">
      <alignment horizontal="right"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6" fillId="2" borderId="184" xfId="0" applyFont="1" applyFill="1" applyBorder="1" applyAlignment="1">
      <alignment horizontal="center" vertical="center"/>
    </xf>
    <xf numFmtId="0" fontId="6" fillId="2" borderId="122" xfId="0" applyFont="1" applyFill="1" applyBorder="1" applyAlignment="1">
      <alignment horizontal="center" vertical="center"/>
    </xf>
    <xf numFmtId="0" fontId="3" fillId="2" borderId="122" xfId="0" applyFont="1" applyFill="1" applyBorder="1" applyAlignment="1">
      <alignment horizontal="center" vertical="center"/>
    </xf>
    <xf numFmtId="181" fontId="3" fillId="2" borderId="94" xfId="0" applyNumberFormat="1" applyFont="1" applyFill="1" applyBorder="1" applyAlignment="1">
      <alignment horizontal="right" vertical="center"/>
    </xf>
    <xf numFmtId="181" fontId="3" fillId="2" borderId="82" xfId="0" applyNumberFormat="1" applyFont="1" applyFill="1" applyBorder="1" applyAlignment="1">
      <alignment horizontal="right" vertical="center"/>
    </xf>
    <xf numFmtId="181" fontId="3" fillId="2" borderId="83"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0" fontId="0" fillId="0" borderId="0" xfId="0" applyAlignment="1">
      <alignment vertical="center"/>
    </xf>
    <xf numFmtId="49" fontId="6" fillId="2" borderId="0" xfId="0" applyNumberFormat="1" applyFont="1" applyFill="1" applyAlignment="1">
      <alignment horizontal="center" vertical="center"/>
    </xf>
    <xf numFmtId="187" fontId="6" fillId="2" borderId="0" xfId="0" applyNumberFormat="1" applyFont="1" applyFill="1">
      <alignment vertical="center"/>
    </xf>
    <xf numFmtId="188" fontId="6" fillId="2" borderId="0" xfId="0" applyNumberFormat="1" applyFont="1" applyFill="1">
      <alignment vertical="center"/>
    </xf>
    <xf numFmtId="0" fontId="6" fillId="2" borderId="0" xfId="0" applyFont="1" applyFill="1">
      <alignment vertical="center"/>
    </xf>
    <xf numFmtId="49" fontId="6" fillId="2" borderId="260" xfId="0" applyNumberFormat="1" applyFont="1" applyFill="1" applyBorder="1" applyAlignment="1">
      <alignment horizontal="center" vertical="center"/>
    </xf>
    <xf numFmtId="187" fontId="6" fillId="2" borderId="261" xfId="0" applyNumberFormat="1" applyFont="1" applyFill="1" applyBorder="1" applyAlignment="1">
      <alignment horizontal="center" vertical="center"/>
    </xf>
    <xf numFmtId="188" fontId="27" fillId="2" borderId="261" xfId="0" applyNumberFormat="1" applyFont="1" applyFill="1" applyBorder="1" applyAlignment="1">
      <alignment horizontal="center" vertical="center"/>
    </xf>
    <xf numFmtId="49" fontId="6" fillId="2" borderId="97" xfId="0" applyNumberFormat="1" applyFont="1" applyFill="1" applyBorder="1" applyAlignment="1">
      <alignment horizontal="center" vertical="center"/>
    </xf>
    <xf numFmtId="187" fontId="6" fillId="2" borderId="15" xfId="0" applyNumberFormat="1" applyFont="1" applyFill="1" applyBorder="1">
      <alignment vertical="center"/>
    </xf>
    <xf numFmtId="188" fontId="6" fillId="2" borderId="15" xfId="0" applyNumberFormat="1" applyFont="1" applyFill="1" applyBorder="1">
      <alignment vertical="center"/>
    </xf>
    <xf numFmtId="49" fontId="6" fillId="2" borderId="67" xfId="0" applyNumberFormat="1" applyFont="1" applyFill="1" applyBorder="1" applyAlignment="1">
      <alignment horizontal="center" vertical="center"/>
    </xf>
    <xf numFmtId="187" fontId="6" fillId="2" borderId="2" xfId="0" applyNumberFormat="1" applyFont="1" applyFill="1" applyBorder="1">
      <alignment vertical="center"/>
    </xf>
    <xf numFmtId="188" fontId="6" fillId="2" borderId="2" xfId="0" applyNumberFormat="1" applyFont="1" applyFill="1" applyBorder="1">
      <alignment vertical="center"/>
    </xf>
    <xf numFmtId="49" fontId="6" fillId="2" borderId="263" xfId="0" applyNumberFormat="1" applyFont="1" applyFill="1" applyBorder="1" applyAlignment="1">
      <alignment horizontal="center" vertical="center"/>
    </xf>
    <xf numFmtId="187" fontId="6" fillId="2" borderId="18" xfId="0" applyNumberFormat="1" applyFont="1" applyFill="1" applyBorder="1">
      <alignment vertical="center"/>
    </xf>
    <xf numFmtId="188" fontId="6" fillId="2" borderId="18" xfId="0" applyNumberFormat="1" applyFont="1" applyFill="1" applyBorder="1">
      <alignment vertical="center"/>
    </xf>
    <xf numFmtId="49" fontId="6" fillId="2" borderId="81" xfId="0" applyNumberFormat="1" applyFont="1" applyFill="1" applyBorder="1" applyAlignment="1">
      <alignment horizontal="center" vertical="center"/>
    </xf>
    <xf numFmtId="187" fontId="6" fillId="2" borderId="82" xfId="0" applyNumberFormat="1" applyFont="1" applyFill="1" applyBorder="1">
      <alignment vertical="center"/>
    </xf>
    <xf numFmtId="188" fontId="6" fillId="2" borderId="82" xfId="0" applyNumberFormat="1" applyFont="1" applyFill="1" applyBorder="1">
      <alignment vertical="center"/>
    </xf>
    <xf numFmtId="0" fontId="24" fillId="0" borderId="0" xfId="0" applyFont="1">
      <alignment vertical="center"/>
    </xf>
    <xf numFmtId="0" fontId="22" fillId="0" borderId="0" xfId="0" applyFont="1">
      <alignment vertical="center"/>
    </xf>
    <xf numFmtId="0" fontId="0" fillId="0" borderId="0" xfId="0" applyAlignment="1">
      <alignment horizontal="right" vertical="center"/>
    </xf>
    <xf numFmtId="0" fontId="28" fillId="2" borderId="0" xfId="0" applyFont="1" applyFill="1" applyBorder="1" applyAlignment="1">
      <alignment horizontal="center" vertical="center"/>
    </xf>
    <xf numFmtId="177" fontId="28" fillId="2" borderId="0" xfId="0" applyNumberFormat="1" applyFont="1" applyFill="1" applyBorder="1" applyAlignment="1">
      <alignment horizontal="right" vertical="center"/>
    </xf>
    <xf numFmtId="177" fontId="28" fillId="2" borderId="2" xfId="0" applyNumberFormat="1" applyFont="1" applyFill="1" applyBorder="1" applyAlignment="1">
      <alignment horizontal="right" vertical="center"/>
    </xf>
    <xf numFmtId="177" fontId="28" fillId="2" borderId="3" xfId="0" applyNumberFormat="1" applyFont="1" applyFill="1" applyBorder="1" applyAlignment="1">
      <alignment horizontal="right" vertical="center"/>
    </xf>
    <xf numFmtId="0" fontId="28" fillId="2" borderId="2" xfId="0" applyFont="1" applyFill="1" applyBorder="1" applyAlignment="1">
      <alignment horizontal="right" vertical="center"/>
    </xf>
    <xf numFmtId="3" fontId="28" fillId="2" borderId="2" xfId="0" applyNumberFormat="1" applyFont="1" applyFill="1" applyBorder="1" applyAlignment="1">
      <alignment horizontal="right" vertical="center"/>
    </xf>
    <xf numFmtId="0" fontId="28" fillId="2" borderId="2" xfId="0" applyFont="1" applyFill="1" applyBorder="1" applyAlignment="1">
      <alignment horizontal="center" vertical="center"/>
    </xf>
    <xf numFmtId="0" fontId="28" fillId="2" borderId="2" xfId="0" applyFont="1" applyFill="1" applyBorder="1" applyAlignment="1">
      <alignment vertical="center"/>
    </xf>
    <xf numFmtId="10" fontId="28" fillId="2" borderId="2" xfId="0" applyNumberFormat="1" applyFont="1" applyFill="1" applyBorder="1" applyAlignment="1">
      <alignment horizontal="right" vertical="center"/>
    </xf>
    <xf numFmtId="0" fontId="28" fillId="2" borderId="2" xfId="0" applyFont="1" applyFill="1" applyBorder="1" applyAlignment="1">
      <alignment horizontal="left" vertical="center"/>
    </xf>
    <xf numFmtId="3" fontId="28" fillId="2" borderId="2" xfId="0" quotePrefix="1" applyNumberFormat="1" applyFont="1" applyFill="1" applyBorder="1" applyAlignment="1">
      <alignment horizontal="right" vertical="center"/>
    </xf>
    <xf numFmtId="3" fontId="30" fillId="2" borderId="2" xfId="0" quotePrefix="1" applyNumberFormat="1" applyFont="1" applyFill="1" applyBorder="1" applyAlignment="1">
      <alignment horizontal="right" vertical="center"/>
    </xf>
    <xf numFmtId="177" fontId="28" fillId="2" borderId="25" xfId="0" applyNumberFormat="1" applyFont="1" applyFill="1" applyBorder="1" applyAlignment="1">
      <alignment horizontal="right" vertical="center"/>
    </xf>
    <xf numFmtId="177" fontId="28" fillId="2" borderId="26" xfId="0" applyNumberFormat="1" applyFont="1" applyFill="1" applyBorder="1" applyAlignment="1">
      <alignment horizontal="right" vertical="center"/>
    </xf>
    <xf numFmtId="0" fontId="28" fillId="2" borderId="225" xfId="0" applyFont="1" applyFill="1" applyBorder="1" applyAlignment="1">
      <alignment horizontal="center" vertical="center"/>
    </xf>
    <xf numFmtId="0" fontId="29" fillId="2" borderId="225" xfId="0" applyFont="1" applyFill="1" applyBorder="1" applyAlignment="1">
      <alignment horizontal="center" vertical="center"/>
    </xf>
    <xf numFmtId="0" fontId="28" fillId="2" borderId="226" xfId="0" applyFont="1" applyFill="1" applyBorder="1" applyAlignment="1">
      <alignment horizontal="center" vertical="center"/>
    </xf>
    <xf numFmtId="177" fontId="28" fillId="2" borderId="252" xfId="0" applyNumberFormat="1" applyFont="1" applyFill="1" applyBorder="1" applyAlignment="1">
      <alignment horizontal="right" vertical="center"/>
    </xf>
    <xf numFmtId="177" fontId="28" fillId="2" borderId="253" xfId="0" applyNumberFormat="1" applyFont="1" applyFill="1" applyBorder="1" applyAlignment="1">
      <alignment horizontal="right" vertical="center"/>
    </xf>
    <xf numFmtId="177" fontId="28" fillId="2" borderId="82" xfId="0" applyNumberFormat="1" applyFont="1" applyFill="1" applyBorder="1" applyAlignment="1">
      <alignment horizontal="right" vertical="center"/>
    </xf>
    <xf numFmtId="177" fontId="28" fillId="2" borderId="267" xfId="0" applyNumberFormat="1" applyFont="1" applyFill="1" applyBorder="1" applyAlignment="1">
      <alignment horizontal="right" vertical="center"/>
    </xf>
    <xf numFmtId="0" fontId="28" fillId="2" borderId="252" xfId="0" applyFont="1" applyFill="1" applyBorder="1" applyAlignment="1">
      <alignment horizontal="right" vertical="center"/>
    </xf>
    <xf numFmtId="3" fontId="28" fillId="2" borderId="252" xfId="0" applyNumberFormat="1" applyFont="1" applyFill="1" applyBorder="1" applyAlignment="1">
      <alignment horizontal="right" vertical="center"/>
    </xf>
    <xf numFmtId="0" fontId="28" fillId="2" borderId="252" xfId="0" applyFont="1" applyFill="1" applyBorder="1" applyAlignment="1">
      <alignment horizontal="center" vertical="center"/>
    </xf>
    <xf numFmtId="0" fontId="28" fillId="2" borderId="252" xfId="0" applyFont="1" applyFill="1" applyBorder="1" applyAlignment="1">
      <alignment vertical="center"/>
    </xf>
    <xf numFmtId="10" fontId="28" fillId="2" borderId="252" xfId="0" applyNumberFormat="1" applyFont="1" applyFill="1" applyBorder="1" applyAlignment="1">
      <alignment horizontal="right" vertical="center"/>
    </xf>
    <xf numFmtId="0" fontId="28" fillId="2" borderId="82" xfId="0" applyFont="1" applyFill="1" applyBorder="1" applyAlignment="1">
      <alignment horizontal="center" vertical="center"/>
    </xf>
    <xf numFmtId="0" fontId="28" fillId="2" borderId="82" xfId="0" applyFont="1" applyFill="1" applyBorder="1" applyAlignment="1">
      <alignment vertical="center"/>
    </xf>
    <xf numFmtId="0" fontId="28" fillId="2" borderId="82" xfId="0" applyFont="1" applyFill="1" applyBorder="1" applyAlignment="1">
      <alignment horizontal="right" vertical="center"/>
    </xf>
    <xf numFmtId="3" fontId="28" fillId="2" borderId="82" xfId="0" applyNumberFormat="1" applyFont="1" applyFill="1" applyBorder="1" applyAlignment="1">
      <alignment horizontal="right" vertical="center"/>
    </xf>
    <xf numFmtId="10" fontId="28" fillId="2" borderId="82" xfId="0" applyNumberFormat="1" applyFont="1" applyFill="1" applyBorder="1" applyAlignment="1">
      <alignment horizontal="right" vertical="center"/>
    </xf>
    <xf numFmtId="0" fontId="3" fillId="2" borderId="2"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181" fontId="0" fillId="0" borderId="0" xfId="0" applyNumberFormat="1">
      <alignment vertical="center"/>
    </xf>
    <xf numFmtId="10" fontId="0" fillId="0" borderId="0" xfId="0" applyNumberFormat="1">
      <alignment vertical="center"/>
    </xf>
    <xf numFmtId="0" fontId="3" fillId="2" borderId="2" xfId="0" applyFont="1" applyFill="1" applyBorder="1" applyAlignment="1">
      <alignment horizontal="center" vertical="center"/>
    </xf>
    <xf numFmtId="177" fontId="3" fillId="2" borderId="0" xfId="0" applyNumberFormat="1" applyFont="1" applyFill="1" applyAlignment="1">
      <alignment horizontal="center" vertical="center"/>
    </xf>
    <xf numFmtId="177" fontId="3" fillId="2" borderId="5" xfId="0" applyNumberFormat="1" applyFont="1" applyFill="1" applyBorder="1" applyAlignment="1">
      <alignment horizontal="right" vertical="center"/>
    </xf>
    <xf numFmtId="177" fontId="3" fillId="2" borderId="40" xfId="0" applyNumberFormat="1" applyFont="1" applyFill="1" applyBorder="1" applyAlignment="1">
      <alignment horizontal="center" vertical="center"/>
    </xf>
    <xf numFmtId="0" fontId="3" fillId="2" borderId="270" xfId="0" applyFont="1" applyFill="1" applyBorder="1" applyAlignment="1">
      <alignment horizontal="center" vertical="center"/>
    </xf>
    <xf numFmtId="177" fontId="3" fillId="2" borderId="42" xfId="0" applyNumberFormat="1" applyFont="1" applyFill="1" applyBorder="1" applyAlignment="1">
      <alignment horizontal="center" vertical="center"/>
    </xf>
    <xf numFmtId="177" fontId="3" fillId="2" borderId="34" xfId="0" applyNumberFormat="1" applyFont="1" applyFill="1" applyBorder="1" applyAlignment="1">
      <alignment horizontal="right" vertical="center"/>
    </xf>
    <xf numFmtId="177" fontId="3" fillId="2" borderId="30" xfId="0" applyNumberFormat="1" applyFont="1" applyFill="1" applyBorder="1" applyAlignment="1">
      <alignment horizontal="right" vertical="center"/>
    </xf>
    <xf numFmtId="177" fontId="3" fillId="2" borderId="31" xfId="0" applyNumberFormat="1" applyFont="1" applyFill="1" applyBorder="1" applyAlignment="1">
      <alignment horizontal="right" vertical="center"/>
    </xf>
    <xf numFmtId="177" fontId="3" fillId="2" borderId="43" xfId="0" applyNumberFormat="1" applyFont="1" applyFill="1" applyBorder="1" applyAlignment="1">
      <alignment horizontal="center" vertical="center"/>
    </xf>
    <xf numFmtId="177" fontId="3" fillId="2" borderId="22" xfId="0" applyNumberFormat="1" applyFont="1" applyFill="1" applyBorder="1" applyAlignment="1">
      <alignment horizontal="right" vertical="center"/>
    </xf>
    <xf numFmtId="177" fontId="3" fillId="2" borderId="10" xfId="0" applyNumberFormat="1" applyFont="1" applyFill="1" applyBorder="1" applyAlignment="1">
      <alignment horizontal="right" vertical="center"/>
    </xf>
    <xf numFmtId="177" fontId="3" fillId="2" borderId="32" xfId="0" applyNumberFormat="1" applyFont="1" applyFill="1" applyBorder="1" applyAlignment="1">
      <alignment horizontal="right" vertical="center"/>
    </xf>
    <xf numFmtId="177" fontId="3" fillId="2" borderId="271" xfId="0" applyNumberFormat="1" applyFont="1" applyFill="1" applyBorder="1" applyAlignment="1">
      <alignment horizontal="center" vertical="center"/>
    </xf>
    <xf numFmtId="177" fontId="3" fillId="2" borderId="272" xfId="0" applyNumberFormat="1" applyFont="1" applyFill="1" applyBorder="1" applyAlignment="1">
      <alignment horizontal="right" vertical="center"/>
    </xf>
    <xf numFmtId="177" fontId="3" fillId="2" borderId="273" xfId="0" applyNumberFormat="1" applyFont="1" applyFill="1" applyBorder="1" applyAlignment="1">
      <alignment horizontal="right" vertical="center"/>
    </xf>
    <xf numFmtId="177" fontId="3" fillId="2" borderId="274" xfId="0" applyNumberFormat="1" applyFont="1" applyFill="1" applyBorder="1" applyAlignment="1">
      <alignment horizontal="right" vertical="center"/>
    </xf>
    <xf numFmtId="0" fontId="33" fillId="2" borderId="0" xfId="0" applyFont="1" applyFill="1" applyAlignment="1">
      <alignment vertical="center"/>
    </xf>
    <xf numFmtId="0" fontId="33" fillId="2" borderId="278" xfId="0" applyFont="1" applyFill="1" applyBorder="1" applyAlignment="1">
      <alignment horizontal="center" vertical="center"/>
    </xf>
    <xf numFmtId="0" fontId="33" fillId="2" borderId="87" xfId="0" applyFont="1" applyFill="1" applyBorder="1" applyAlignment="1">
      <alignment horizontal="center" vertical="center"/>
    </xf>
    <xf numFmtId="0" fontId="33" fillId="2" borderId="221" xfId="0" applyFont="1" applyFill="1" applyBorder="1" applyAlignment="1">
      <alignment horizontal="center" vertical="center"/>
    </xf>
    <xf numFmtId="0" fontId="33" fillId="2" borderId="46" xfId="0" applyFont="1" applyFill="1" applyBorder="1" applyAlignment="1">
      <alignment horizontal="center" vertical="center"/>
    </xf>
    <xf numFmtId="0" fontId="33" fillId="2" borderId="291" xfId="0" applyFont="1" applyFill="1" applyBorder="1" applyAlignment="1">
      <alignment horizontal="center" vertical="center"/>
    </xf>
    <xf numFmtId="0" fontId="33" fillId="2" borderId="152" xfId="0" applyFont="1" applyFill="1" applyBorder="1" applyAlignment="1">
      <alignment horizontal="right" vertical="center"/>
    </xf>
    <xf numFmtId="0" fontId="33" fillId="2" borderId="149" xfId="0" applyFont="1" applyFill="1" applyBorder="1" applyAlignment="1">
      <alignment horizontal="right" vertical="center"/>
    </xf>
    <xf numFmtId="0" fontId="33" fillId="2" borderId="168" xfId="0" applyFont="1" applyFill="1" applyBorder="1" applyAlignment="1">
      <alignment horizontal="right" vertical="center"/>
    </xf>
    <xf numFmtId="0" fontId="33" fillId="2" borderId="48" xfId="0" applyFont="1" applyFill="1" applyBorder="1" applyAlignment="1">
      <alignment horizontal="right" vertical="center"/>
    </xf>
    <xf numFmtId="0" fontId="33" fillId="2" borderId="288" xfId="0" applyFont="1" applyFill="1" applyBorder="1" applyAlignment="1">
      <alignment horizontal="right" vertical="center"/>
    </xf>
    <xf numFmtId="0" fontId="33" fillId="2" borderId="4" xfId="0" applyFont="1" applyFill="1" applyBorder="1" applyAlignment="1">
      <alignment horizontal="right" vertical="center"/>
    </xf>
    <xf numFmtId="0" fontId="33" fillId="2" borderId="2" xfId="0" applyFont="1" applyFill="1" applyBorder="1" applyAlignment="1">
      <alignment horizontal="right" vertical="center"/>
    </xf>
    <xf numFmtId="0" fontId="33" fillId="2" borderId="3" xfId="0" applyFont="1" applyFill="1" applyBorder="1" applyAlignment="1">
      <alignment horizontal="right" vertical="center"/>
    </xf>
    <xf numFmtId="0" fontId="33" fillId="2" borderId="50" xfId="0" applyFont="1" applyFill="1" applyBorder="1" applyAlignment="1">
      <alignment horizontal="right" vertical="center"/>
    </xf>
    <xf numFmtId="0" fontId="33" fillId="2" borderId="286" xfId="0" applyFont="1" applyFill="1" applyBorder="1" applyAlignment="1">
      <alignment horizontal="right" vertical="center"/>
    </xf>
    <xf numFmtId="0" fontId="33" fillId="2" borderId="279" xfId="0" applyFont="1" applyFill="1" applyBorder="1" applyAlignment="1">
      <alignment horizontal="right" vertical="center"/>
    </xf>
    <xf numFmtId="0" fontId="33" fillId="2" borderId="276" xfId="0" applyFont="1" applyFill="1" applyBorder="1" applyAlignment="1">
      <alignment horizontal="right" vertical="center"/>
    </xf>
    <xf numFmtId="0" fontId="33" fillId="2" borderId="52" xfId="0" applyFont="1" applyFill="1" applyBorder="1" applyAlignment="1">
      <alignment horizontal="right" vertical="center"/>
    </xf>
    <xf numFmtId="0" fontId="33" fillId="2" borderId="35" xfId="0" applyFont="1" applyFill="1" applyBorder="1" applyAlignment="1">
      <alignment horizontal="right" vertical="center"/>
    </xf>
    <xf numFmtId="0" fontId="33" fillId="2" borderId="5" xfId="0" applyFont="1" applyFill="1" applyBorder="1" applyAlignment="1">
      <alignment horizontal="right" vertical="center"/>
    </xf>
    <xf numFmtId="0" fontId="33" fillId="2" borderId="277" xfId="0" applyFont="1" applyFill="1" applyBorder="1" applyAlignment="1">
      <alignment horizontal="right" vertical="center"/>
    </xf>
    <xf numFmtId="0" fontId="33" fillId="2" borderId="188" xfId="0" applyFont="1" applyFill="1" applyBorder="1" applyAlignment="1">
      <alignment horizontal="right" vertical="center"/>
    </xf>
    <xf numFmtId="0" fontId="33" fillId="2" borderId="7" xfId="0" applyFont="1" applyFill="1" applyBorder="1" applyAlignment="1">
      <alignment horizontal="right" vertical="center"/>
    </xf>
    <xf numFmtId="0" fontId="33" fillId="2" borderId="8" xfId="0" applyFont="1" applyFill="1" applyBorder="1" applyAlignment="1">
      <alignment horizontal="right" vertical="center"/>
    </xf>
    <xf numFmtId="0" fontId="33" fillId="2" borderId="16" xfId="0" applyFont="1" applyFill="1" applyBorder="1" applyAlignment="1">
      <alignment horizontal="right" vertical="center"/>
    </xf>
    <xf numFmtId="0" fontId="33" fillId="2" borderId="15" xfId="0" quotePrefix="1" applyFont="1" applyFill="1" applyBorder="1" applyAlignment="1">
      <alignment horizontal="right" vertical="center"/>
    </xf>
    <xf numFmtId="0" fontId="33" fillId="2" borderId="2" xfId="0" quotePrefix="1" applyFont="1" applyFill="1" applyBorder="1" applyAlignment="1">
      <alignment horizontal="right" vertical="center"/>
    </xf>
    <xf numFmtId="0" fontId="33" fillId="2" borderId="276" xfId="0" quotePrefix="1" applyFont="1" applyFill="1" applyBorder="1" applyAlignment="1">
      <alignment horizontal="right" vertical="center"/>
    </xf>
    <xf numFmtId="0" fontId="0" fillId="2" borderId="0" xfId="0" applyFill="1" applyAlignment="1">
      <alignment horizontal="center" vertical="center"/>
    </xf>
    <xf numFmtId="0" fontId="0" fillId="2" borderId="0" xfId="0" applyFill="1">
      <alignment vertical="center"/>
    </xf>
    <xf numFmtId="0" fontId="0" fillId="2" borderId="296" xfId="0" applyFill="1" applyBorder="1" applyAlignment="1">
      <alignment horizontal="center" vertical="center"/>
    </xf>
    <xf numFmtId="183" fontId="0" fillId="2" borderId="297" xfId="0" applyNumberFormat="1" applyFill="1" applyBorder="1" applyAlignment="1">
      <alignment horizontal="center" vertical="center"/>
    </xf>
    <xf numFmtId="183" fontId="0" fillId="2" borderId="298" xfId="0" applyNumberFormat="1" applyFill="1" applyBorder="1" applyAlignment="1">
      <alignment horizontal="center" vertical="center"/>
    </xf>
    <xf numFmtId="183" fontId="0" fillId="2" borderId="299" xfId="0" applyNumberFormat="1" applyFill="1" applyBorder="1" applyAlignment="1">
      <alignment horizontal="center" vertical="center"/>
    </xf>
    <xf numFmtId="0" fontId="0" fillId="2" borderId="300" xfId="0" applyFill="1" applyBorder="1" applyAlignment="1">
      <alignment horizontal="center" vertical="center"/>
    </xf>
    <xf numFmtId="0" fontId="0" fillId="2" borderId="301" xfId="0" applyFill="1" applyBorder="1" applyAlignment="1">
      <alignment horizontal="center" vertical="center"/>
    </xf>
    <xf numFmtId="183" fontId="0" fillId="2" borderId="302" xfId="0" applyNumberFormat="1" applyFill="1" applyBorder="1" applyAlignment="1">
      <alignment horizontal="center" vertical="center"/>
    </xf>
    <xf numFmtId="0" fontId="0" fillId="2" borderId="303" xfId="0" applyFill="1" applyBorder="1" applyAlignment="1">
      <alignment horizontal="center" vertical="center"/>
    </xf>
    <xf numFmtId="183" fontId="0" fillId="2" borderId="134" xfId="0" applyNumberFormat="1" applyFill="1" applyBorder="1" applyAlignment="1">
      <alignment horizontal="center" vertical="center"/>
    </xf>
    <xf numFmtId="0" fontId="0" fillId="2" borderId="273" xfId="0" applyFill="1" applyBorder="1" applyAlignment="1">
      <alignment horizontal="center" vertical="center"/>
    </xf>
    <xf numFmtId="183" fontId="0" fillId="2" borderId="304" xfId="0" applyNumberFormat="1" applyFill="1" applyBorder="1" applyAlignment="1">
      <alignment horizontal="center" vertical="center"/>
    </xf>
    <xf numFmtId="0" fontId="0" fillId="2" borderId="274" xfId="0" applyFill="1" applyBorder="1" applyAlignment="1">
      <alignment horizontal="center" vertical="center"/>
    </xf>
    <xf numFmtId="0" fontId="0" fillId="2" borderId="148" xfId="0" applyFill="1" applyBorder="1">
      <alignment vertical="center"/>
    </xf>
    <xf numFmtId="0" fontId="0" fillId="2" borderId="149" xfId="0" applyFill="1" applyBorder="1">
      <alignment vertical="center"/>
    </xf>
    <xf numFmtId="0" fontId="0" fillId="2" borderId="168" xfId="0" applyFill="1" applyBorder="1">
      <alignment vertical="center"/>
    </xf>
    <xf numFmtId="0" fontId="0" fillId="2" borderId="30" xfId="0" applyFill="1" applyBorder="1">
      <alignment vertical="center"/>
    </xf>
    <xf numFmtId="0" fontId="0" fillId="2" borderId="2" xfId="0" applyFill="1" applyBorder="1">
      <alignment vertical="center"/>
    </xf>
    <xf numFmtId="0" fontId="0" fillId="2" borderId="3" xfId="0" applyFill="1" applyBorder="1">
      <alignment vertical="center"/>
    </xf>
    <xf numFmtId="0" fontId="0" fillId="2" borderId="31" xfId="0" applyFill="1" applyBorder="1">
      <alignment vertical="center"/>
    </xf>
    <xf numFmtId="0" fontId="0" fillId="2" borderId="25" xfId="0" applyFill="1" applyBorder="1">
      <alignment vertical="center"/>
    </xf>
    <xf numFmtId="0" fontId="0" fillId="2" borderId="26" xfId="0" applyFill="1" applyBorder="1">
      <alignment vertical="center"/>
    </xf>
    <xf numFmtId="0" fontId="0" fillId="2" borderId="4" xfId="0" applyFill="1" applyBorder="1" applyAlignment="1">
      <alignment horizontal="center" vertical="center"/>
    </xf>
    <xf numFmtId="0" fontId="0" fillId="2" borderId="27" xfId="0" applyFill="1" applyBorder="1" applyAlignment="1">
      <alignment horizontal="center" vertical="center"/>
    </xf>
    <xf numFmtId="0" fontId="0" fillId="2" borderId="35" xfId="0" applyFill="1" applyBorder="1" applyAlignment="1">
      <alignment horizontal="center" vertical="center"/>
    </xf>
    <xf numFmtId="0" fontId="0" fillId="2" borderId="39" xfId="0" applyFill="1" applyBorder="1" applyAlignment="1">
      <alignment horizontal="center" vertical="center"/>
    </xf>
    <xf numFmtId="0" fontId="0" fillId="2" borderId="22" xfId="0" applyFill="1" applyBorder="1" applyAlignment="1">
      <alignment horizontal="center" vertical="center"/>
    </xf>
    <xf numFmtId="0" fontId="0" fillId="2" borderId="10" xfId="0" applyFill="1" applyBorder="1" applyAlignment="1">
      <alignment horizontal="center" vertical="center"/>
    </xf>
    <xf numFmtId="0" fontId="0" fillId="2" borderId="32" xfId="0" applyFill="1" applyBorder="1" applyAlignment="1">
      <alignment horizontal="center" vertical="center"/>
    </xf>
    <xf numFmtId="0" fontId="0" fillId="2" borderId="6" xfId="0" applyFill="1" applyBorder="1">
      <alignment vertical="center"/>
    </xf>
    <xf numFmtId="0" fontId="0" fillId="2" borderId="63" xfId="0" applyFill="1" applyBorder="1" applyAlignment="1">
      <alignment horizontal="center" vertical="center"/>
    </xf>
    <xf numFmtId="181" fontId="0" fillId="2" borderId="2" xfId="0" applyNumberFormat="1" applyFill="1" applyBorder="1">
      <alignment vertical="center"/>
    </xf>
    <xf numFmtId="181" fontId="0" fillId="2" borderId="3" xfId="0" applyNumberFormat="1" applyFill="1" applyBorder="1">
      <alignment vertical="center"/>
    </xf>
    <xf numFmtId="181" fontId="0" fillId="2" borderId="5" xfId="0" applyNumberFormat="1" applyFill="1" applyBorder="1">
      <alignment vertical="center"/>
    </xf>
    <xf numFmtId="181" fontId="0" fillId="2" borderId="6" xfId="0" applyNumberFormat="1" applyFill="1" applyBorder="1">
      <alignment vertical="center"/>
    </xf>
    <xf numFmtId="0" fontId="0" fillId="2" borderId="40" xfId="0" applyFill="1" applyBorder="1" applyAlignment="1">
      <alignment horizontal="center" vertical="center"/>
    </xf>
    <xf numFmtId="0" fontId="0" fillId="2" borderId="45" xfId="0" applyFill="1" applyBorder="1" applyAlignment="1">
      <alignment horizontal="center" vertical="center"/>
    </xf>
    <xf numFmtId="0" fontId="0" fillId="2" borderId="44" xfId="0" applyFill="1" applyBorder="1" applyAlignment="1">
      <alignment horizontal="center" vertical="center"/>
    </xf>
    <xf numFmtId="181" fontId="0" fillId="2" borderId="35" xfId="0" applyNumberFormat="1" applyFill="1" applyBorder="1">
      <alignment vertical="center"/>
    </xf>
    <xf numFmtId="181" fontId="0" fillId="2" borderId="4" xfId="0" applyNumberFormat="1" applyFill="1" applyBorder="1">
      <alignment vertical="center"/>
    </xf>
    <xf numFmtId="0" fontId="0" fillId="2" borderId="311" xfId="0" applyFill="1" applyBorder="1" applyAlignment="1">
      <alignment horizontal="center" vertical="center"/>
    </xf>
    <xf numFmtId="0" fontId="0" fillId="2" borderId="312" xfId="0" applyFill="1" applyBorder="1" applyAlignment="1">
      <alignment horizontal="center" vertical="center"/>
    </xf>
    <xf numFmtId="187" fontId="6" fillId="2" borderId="347" xfId="0" applyNumberFormat="1" applyFont="1" applyFill="1" applyBorder="1" applyAlignment="1">
      <alignment horizontal="center" vertical="center"/>
    </xf>
    <xf numFmtId="187" fontId="6" fillId="2" borderId="171" xfId="0" applyNumberFormat="1" applyFont="1" applyFill="1" applyBorder="1">
      <alignment vertical="center"/>
    </xf>
    <xf numFmtId="187" fontId="6" fillId="2" borderId="10" xfId="0" applyNumberFormat="1" applyFont="1" applyFill="1" applyBorder="1">
      <alignment vertical="center"/>
    </xf>
    <xf numFmtId="187" fontId="6" fillId="2" borderId="162" xfId="0" applyNumberFormat="1" applyFont="1" applyFill="1" applyBorder="1">
      <alignment vertical="center"/>
    </xf>
    <xf numFmtId="187" fontId="6" fillId="2" borderId="93" xfId="0" applyNumberFormat="1" applyFont="1" applyFill="1" applyBorder="1">
      <alignment vertical="center"/>
    </xf>
    <xf numFmtId="187" fontId="27" fillId="2" borderId="347" xfId="0" applyNumberFormat="1" applyFont="1" applyFill="1" applyBorder="1" applyAlignment="1">
      <alignment horizontal="center" vertical="center"/>
    </xf>
    <xf numFmtId="187" fontId="6" fillId="2" borderId="348" xfId="0" applyNumberFormat="1" applyFont="1" applyFill="1" applyBorder="1" applyAlignment="1">
      <alignment horizontal="center" vertical="center"/>
    </xf>
    <xf numFmtId="187" fontId="6" fillId="2" borderId="174" xfId="0" applyNumberFormat="1" applyFont="1" applyFill="1" applyBorder="1">
      <alignment vertical="center"/>
    </xf>
    <xf numFmtId="187" fontId="6" fillId="2" borderId="4" xfId="0" applyNumberFormat="1" applyFont="1" applyFill="1" applyBorder="1">
      <alignment vertical="center"/>
    </xf>
    <xf numFmtId="187" fontId="6" fillId="2" borderId="177" xfId="0" applyNumberFormat="1" applyFont="1" applyFill="1" applyBorder="1">
      <alignment vertical="center"/>
    </xf>
    <xf numFmtId="187" fontId="6" fillId="2" borderId="116" xfId="0" applyNumberFormat="1" applyFont="1" applyFill="1" applyBorder="1">
      <alignment vertical="center"/>
    </xf>
    <xf numFmtId="187" fontId="6" fillId="2" borderId="349" xfId="0" applyNumberFormat="1" applyFont="1" applyFill="1" applyBorder="1" applyAlignment="1">
      <alignment horizontal="center" vertical="center"/>
    </xf>
    <xf numFmtId="187" fontId="6" fillId="2" borderId="232" xfId="0" applyNumberFormat="1" applyFont="1" applyFill="1" applyBorder="1">
      <alignment vertical="center"/>
    </xf>
    <xf numFmtId="187" fontId="6" fillId="2" borderId="58" xfId="0" applyNumberFormat="1" applyFont="1" applyFill="1" applyBorder="1">
      <alignment vertical="center"/>
    </xf>
    <xf numFmtId="187" fontId="6" fillId="2" borderId="179" xfId="0" applyNumberFormat="1" applyFont="1" applyFill="1" applyBorder="1">
      <alignment vertical="center"/>
    </xf>
    <xf numFmtId="187" fontId="6" fillId="2" borderId="94" xfId="0" applyNumberFormat="1" applyFont="1" applyFill="1" applyBorder="1">
      <alignment vertical="center"/>
    </xf>
    <xf numFmtId="187" fontId="27" fillId="2" borderId="261" xfId="0" applyNumberFormat="1" applyFont="1" applyFill="1" applyBorder="1" applyAlignment="1">
      <alignment horizontal="center" vertical="center"/>
    </xf>
    <xf numFmtId="189" fontId="6" fillId="2" borderId="0" xfId="0" applyNumberFormat="1" applyFont="1" applyFill="1">
      <alignment vertical="center"/>
    </xf>
    <xf numFmtId="189" fontId="17" fillId="2" borderId="350" xfId="0" applyNumberFormat="1" applyFont="1" applyFill="1" applyBorder="1" applyAlignment="1">
      <alignment horizontal="center" vertical="center"/>
    </xf>
    <xf numFmtId="189" fontId="6" fillId="2" borderId="351" xfId="0" applyNumberFormat="1" applyFont="1" applyFill="1" applyBorder="1">
      <alignment vertical="center"/>
    </xf>
    <xf numFmtId="189" fontId="6" fillId="2" borderId="59" xfId="0" applyNumberFormat="1" applyFont="1" applyFill="1" applyBorder="1">
      <alignment vertical="center"/>
    </xf>
    <xf numFmtId="189" fontId="6" fillId="2" borderId="352" xfId="0" applyNumberFormat="1" applyFont="1" applyFill="1" applyBorder="1">
      <alignment vertical="center"/>
    </xf>
    <xf numFmtId="189" fontId="6" fillId="2" borderId="120" xfId="0" applyNumberFormat="1" applyFont="1" applyFill="1" applyBorder="1">
      <alignment vertical="center"/>
    </xf>
    <xf numFmtId="189" fontId="17" fillId="2" borderId="262" xfId="0" applyNumberFormat="1" applyFont="1" applyFill="1" applyBorder="1" applyAlignment="1">
      <alignment horizontal="center" vertical="center"/>
    </xf>
    <xf numFmtId="189" fontId="6" fillId="2" borderId="98" xfId="0" applyNumberFormat="1" applyFont="1" applyFill="1" applyBorder="1">
      <alignment vertical="center"/>
    </xf>
    <xf numFmtId="189" fontId="6" fillId="2" borderId="69" xfId="0" applyNumberFormat="1" applyFont="1" applyFill="1" applyBorder="1">
      <alignment vertical="center"/>
    </xf>
    <xf numFmtId="189" fontId="6" fillId="2" borderId="264" xfId="0" applyNumberFormat="1" applyFont="1" applyFill="1" applyBorder="1">
      <alignment vertical="center"/>
    </xf>
    <xf numFmtId="189" fontId="6" fillId="2" borderId="83" xfId="0" applyNumberFormat="1" applyFont="1" applyFill="1" applyBorder="1">
      <alignment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0" fontId="0" fillId="2" borderId="4" xfId="0" applyFill="1" applyBorder="1" applyAlignment="1">
      <alignment horizontal="center" vertical="center"/>
    </xf>
    <xf numFmtId="183" fontId="34" fillId="2" borderId="58" xfId="0" applyNumberFormat="1" applyFont="1" applyFill="1" applyBorder="1" applyAlignment="1">
      <alignment horizontal="center" vertical="center"/>
    </xf>
    <xf numFmtId="0" fontId="37" fillId="0" borderId="0" xfId="0" applyFont="1">
      <alignment vertical="center"/>
    </xf>
    <xf numFmtId="0" fontId="37" fillId="0" borderId="0" xfId="0" applyFont="1" applyAlignment="1">
      <alignment vertical="center" wrapText="1"/>
    </xf>
    <xf numFmtId="0" fontId="3" fillId="2" borderId="2"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2" xfId="0" applyFont="1" applyFill="1" applyBorder="1" applyAlignment="1">
      <alignment horizontal="center" vertical="center"/>
    </xf>
    <xf numFmtId="183" fontId="34" fillId="2" borderId="56" xfId="0" applyNumberFormat="1" applyFont="1" applyFill="1" applyBorder="1" applyAlignment="1">
      <alignment horizontal="center" vertical="center"/>
    </xf>
    <xf numFmtId="184" fontId="34" fillId="2" borderId="33" xfId="0" applyNumberFormat="1" applyFont="1" applyFill="1" applyBorder="1" applyAlignment="1">
      <alignment horizontal="center" vertical="center"/>
    </xf>
    <xf numFmtId="184" fontId="34" fillId="2" borderId="28" xfId="0" applyNumberFormat="1" applyFont="1" applyFill="1" applyBorder="1" applyAlignment="1">
      <alignment horizontal="center" vertical="center"/>
    </xf>
    <xf numFmtId="183" fontId="34" fillId="2" borderId="60" xfId="0" applyNumberFormat="1" applyFont="1" applyFill="1" applyBorder="1" applyAlignment="1">
      <alignment horizontal="center" vertical="center"/>
    </xf>
    <xf numFmtId="184" fontId="34" fillId="2" borderId="29" xfId="0" applyNumberFormat="1" applyFont="1" applyFill="1" applyBorder="1" applyAlignment="1">
      <alignment horizontal="center" vertical="center"/>
    </xf>
    <xf numFmtId="0" fontId="3" fillId="2" borderId="5" xfId="0" applyFont="1" applyFill="1" applyBorder="1" applyAlignment="1">
      <alignment horizontal="center" vertical="center"/>
    </xf>
    <xf numFmtId="0" fontId="3" fillId="2" borderId="2" xfId="0" applyFont="1" applyFill="1" applyBorder="1" applyAlignment="1">
      <alignment horizontal="center" vertical="center"/>
    </xf>
    <xf numFmtId="0" fontId="33" fillId="2" borderId="3" xfId="0" applyFont="1" applyFill="1" applyBorder="1" applyAlignment="1">
      <alignment horizontal="right" vertical="center"/>
    </xf>
    <xf numFmtId="0" fontId="33" fillId="2" borderId="15" xfId="0" applyFont="1" applyFill="1" applyBorder="1" applyAlignment="1">
      <alignment horizontal="right" vertical="center"/>
    </xf>
    <xf numFmtId="0" fontId="33" fillId="2" borderId="4" xfId="0" applyFont="1" applyFill="1" applyBorder="1" applyAlignment="1">
      <alignment horizontal="right" vertical="center"/>
    </xf>
    <xf numFmtId="0" fontId="33" fillId="2" borderId="2" xfId="0" applyFont="1" applyFill="1" applyBorder="1" applyAlignment="1">
      <alignment horizontal="right" vertical="center"/>
    </xf>
    <xf numFmtId="0" fontId="33" fillId="2" borderId="152" xfId="0" applyFont="1" applyFill="1" applyBorder="1" applyAlignment="1">
      <alignment horizontal="right" vertical="center"/>
    </xf>
    <xf numFmtId="183" fontId="0" fillId="2" borderId="0" xfId="0" applyNumberFormat="1" applyFill="1">
      <alignment vertical="center"/>
    </xf>
    <xf numFmtId="0" fontId="33" fillId="2" borderId="6" xfId="0" applyFont="1" applyFill="1" applyBorder="1" applyAlignment="1">
      <alignment horizontal="right" vertical="center"/>
    </xf>
    <xf numFmtId="0" fontId="33" fillId="2" borderId="222" xfId="0" applyFont="1" applyFill="1" applyBorder="1" applyAlignment="1">
      <alignment horizontal="right" vertical="center"/>
    </xf>
    <xf numFmtId="0" fontId="33" fillId="2" borderId="366" xfId="0" applyFont="1" applyFill="1" applyBorder="1" applyAlignment="1">
      <alignment horizontal="right" vertical="center"/>
    </xf>
    <xf numFmtId="0" fontId="33" fillId="2" borderId="91" xfId="0" applyFont="1" applyFill="1" applyBorder="1" applyAlignment="1">
      <alignment horizontal="right" vertical="center"/>
    </xf>
    <xf numFmtId="0" fontId="33" fillId="2" borderId="232" xfId="0" applyFont="1" applyFill="1" applyBorder="1" applyAlignment="1">
      <alignment horizontal="right" vertical="center"/>
    </xf>
    <xf numFmtId="0" fontId="33" fillId="2" borderId="58" xfId="0" applyFont="1" applyFill="1" applyBorder="1" applyAlignment="1">
      <alignment horizontal="right" vertical="center"/>
    </xf>
    <xf numFmtId="0" fontId="33" fillId="2" borderId="179" xfId="0" applyFont="1" applyFill="1" applyBorder="1" applyAlignment="1">
      <alignment horizontal="right" vertical="center"/>
    </xf>
    <xf numFmtId="0" fontId="33" fillId="2" borderId="18" xfId="0" applyFont="1" applyFill="1" applyBorder="1" applyAlignment="1">
      <alignment horizontal="right" vertical="center"/>
    </xf>
    <xf numFmtId="184" fontId="34" fillId="2" borderId="22" xfId="0" applyNumberFormat="1" applyFont="1" applyFill="1" applyBorder="1" applyAlignment="1">
      <alignment horizontal="center" vertical="center"/>
    </xf>
    <xf numFmtId="184" fontId="34" fillId="2" borderId="10" xfId="0" applyNumberFormat="1" applyFont="1" applyFill="1" applyBorder="1" applyAlignment="1">
      <alignment horizontal="center" vertical="center"/>
    </xf>
    <xf numFmtId="184" fontId="34" fillId="2" borderId="32" xfId="0" applyNumberFormat="1" applyFont="1" applyFill="1" applyBorder="1" applyAlignment="1">
      <alignment horizontal="center" vertical="center"/>
    </xf>
    <xf numFmtId="0" fontId="3" fillId="2" borderId="2" xfId="0" applyFont="1" applyFill="1" applyBorder="1" applyAlignment="1">
      <alignment horizontal="center" vertical="center"/>
    </xf>
    <xf numFmtId="10" fontId="3" fillId="17" borderId="2" xfId="0" applyNumberFormat="1" applyFont="1" applyFill="1" applyBorder="1" applyAlignment="1">
      <alignment horizontal="right" vertical="center"/>
    </xf>
    <xf numFmtId="0" fontId="28" fillId="2" borderId="224" xfId="0" applyFont="1" applyFill="1" applyBorder="1" applyAlignment="1">
      <alignment horizontal="center" vertical="center"/>
    </xf>
    <xf numFmtId="0" fontId="28" fillId="2" borderId="252" xfId="0" applyFont="1" applyFill="1" applyBorder="1" applyAlignment="1">
      <alignment horizontal="left" vertical="center"/>
    </xf>
    <xf numFmtId="0" fontId="28" fillId="2" borderId="2" xfId="0" quotePrefix="1" applyFont="1" applyFill="1" applyBorder="1" applyAlignment="1">
      <alignment horizontal="right" vertical="center"/>
    </xf>
    <xf numFmtId="0" fontId="28" fillId="2" borderId="82" xfId="0" applyFont="1" applyFill="1" applyBorder="1" applyAlignment="1">
      <alignment horizontal="left" vertical="center"/>
    </xf>
    <xf numFmtId="0" fontId="28" fillId="2" borderId="82" xfId="0" quotePrefix="1" applyFont="1" applyFill="1" applyBorder="1" applyAlignment="1">
      <alignment horizontal="right" vertical="center"/>
    </xf>
    <xf numFmtId="0" fontId="31" fillId="2" borderId="2" xfId="0" quotePrefix="1" applyFont="1" applyFill="1" applyBorder="1" applyAlignment="1">
      <alignment horizontal="right" vertical="center"/>
    </xf>
    <xf numFmtId="0" fontId="42" fillId="2" borderId="2" xfId="0" quotePrefix="1" applyFont="1" applyFill="1" applyBorder="1" applyAlignment="1">
      <alignment horizontal="right" vertical="center"/>
    </xf>
    <xf numFmtId="3" fontId="31" fillId="2" borderId="2" xfId="0" quotePrefix="1" applyNumberFormat="1" applyFont="1" applyFill="1" applyBorder="1" applyAlignment="1">
      <alignment horizontal="right" vertical="center"/>
    </xf>
    <xf numFmtId="0" fontId="30" fillId="2" borderId="2" xfId="0" quotePrefix="1" applyFont="1" applyFill="1" applyBorder="1" applyAlignment="1">
      <alignment horizontal="right" vertical="center"/>
    </xf>
    <xf numFmtId="0" fontId="28" fillId="2" borderId="80" xfId="0" applyFont="1" applyFill="1" applyBorder="1" applyAlignment="1">
      <alignment horizontal="center" vertical="center"/>
    </xf>
    <xf numFmtId="0" fontId="28" fillId="2" borderId="25" xfId="0" applyFont="1" applyFill="1" applyBorder="1" applyAlignment="1">
      <alignment horizontal="center" vertical="center"/>
    </xf>
    <xf numFmtId="0" fontId="28" fillId="2" borderId="25" xfId="0" applyFont="1" applyFill="1" applyBorder="1" applyAlignment="1">
      <alignment vertical="center"/>
    </xf>
    <xf numFmtId="0" fontId="28" fillId="2" borderId="25" xfId="0" applyFont="1" applyFill="1" applyBorder="1" applyAlignment="1">
      <alignment horizontal="right" vertical="center"/>
    </xf>
    <xf numFmtId="0" fontId="28" fillId="2" borderId="0" xfId="0" applyFont="1" applyFill="1" applyBorder="1" applyAlignment="1">
      <alignment vertical="center"/>
    </xf>
    <xf numFmtId="0" fontId="28" fillId="2" borderId="0" xfId="0" applyFont="1" applyFill="1" applyBorder="1" applyAlignment="1">
      <alignment horizontal="right" vertical="center"/>
    </xf>
    <xf numFmtId="0" fontId="7" fillId="17" borderId="1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xf>
    <xf numFmtId="184" fontId="34" fillId="2" borderId="57" xfId="0" applyNumberFormat="1" applyFont="1" applyFill="1" applyBorder="1" applyAlignment="1">
      <alignment horizontal="center" vertical="center"/>
    </xf>
    <xf numFmtId="184" fontId="34" fillId="2" borderId="59" xfId="0" applyNumberFormat="1" applyFont="1" applyFill="1" applyBorder="1" applyAlignment="1">
      <alignment horizontal="center" vertical="center"/>
    </xf>
    <xf numFmtId="184" fontId="34" fillId="2" borderId="61"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5" xfId="0" applyFont="1" applyFill="1" applyBorder="1" applyAlignment="1">
      <alignment horizontal="center" vertical="center"/>
    </xf>
    <xf numFmtId="0" fontId="3" fillId="5" borderId="89" xfId="0" applyFont="1" applyFill="1" applyBorder="1" applyAlignment="1">
      <alignment horizontal="center" vertical="center"/>
    </xf>
    <xf numFmtId="0" fontId="3" fillId="5" borderId="188" xfId="0" applyFont="1" applyFill="1" applyBorder="1" applyAlignment="1">
      <alignment horizontal="center" vertical="center"/>
    </xf>
    <xf numFmtId="0" fontId="3" fillId="5" borderId="7" xfId="0" applyFont="1" applyFill="1" applyBorder="1" applyAlignment="1">
      <alignment horizontal="center" vertical="center"/>
    </xf>
    <xf numFmtId="0" fontId="3" fillId="5" borderId="337" xfId="0" applyFont="1" applyFill="1" applyBorder="1" applyAlignment="1">
      <alignment horizontal="center" vertical="center"/>
    </xf>
    <xf numFmtId="0" fontId="3" fillId="2" borderId="188" xfId="0" applyNumberFormat="1" applyFont="1" applyFill="1" applyBorder="1" applyAlignment="1">
      <alignment horizontal="right" vertical="center"/>
    </xf>
    <xf numFmtId="0" fontId="3" fillId="2" borderId="0"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0" xfId="0" applyFont="1" applyFill="1" applyBorder="1">
      <alignment vertical="center"/>
    </xf>
    <xf numFmtId="49" fontId="3" fillId="2" borderId="326" xfId="0" applyNumberFormat="1" applyFont="1" applyFill="1" applyBorder="1" applyAlignment="1">
      <alignment horizontal="center" vertical="center"/>
    </xf>
    <xf numFmtId="0" fontId="3" fillId="2" borderId="1" xfId="0" applyFont="1" applyFill="1" applyBorder="1" applyAlignment="1">
      <alignment horizontal="center" vertical="center"/>
    </xf>
    <xf numFmtId="0" fontId="3" fillId="2" borderId="327" xfId="0" applyFont="1" applyFill="1" applyBorder="1" applyAlignment="1">
      <alignment horizontal="center" vertical="center"/>
    </xf>
    <xf numFmtId="0" fontId="3" fillId="2" borderId="328" xfId="0" applyFont="1" applyFill="1" applyBorder="1" applyAlignment="1">
      <alignment horizontal="center" vertical="center"/>
    </xf>
    <xf numFmtId="0" fontId="3" fillId="2" borderId="329" xfId="0" applyFont="1" applyFill="1" applyBorder="1" applyAlignment="1">
      <alignment horizontal="center" vertical="center"/>
    </xf>
    <xf numFmtId="0" fontId="3" fillId="2" borderId="330" xfId="0" applyFont="1" applyFill="1" applyBorder="1" applyAlignment="1">
      <alignment horizontal="center" vertical="center"/>
    </xf>
    <xf numFmtId="0" fontId="3" fillId="2" borderId="163" xfId="0" applyFont="1" applyFill="1" applyBorder="1" applyAlignment="1">
      <alignment horizontal="center" vertical="center"/>
    </xf>
    <xf numFmtId="0" fontId="3" fillId="2" borderId="331" xfId="0" applyFont="1" applyFill="1" applyBorder="1" applyAlignment="1">
      <alignment horizontal="center" vertical="center"/>
    </xf>
    <xf numFmtId="186" fontId="3" fillId="2" borderId="71" xfId="0" applyNumberFormat="1" applyFont="1" applyFill="1" applyBorder="1" applyAlignment="1">
      <alignment horizontal="center" vertical="center"/>
    </xf>
    <xf numFmtId="186" fontId="3" fillId="2" borderId="35" xfId="0" applyNumberFormat="1" applyFont="1" applyFill="1" applyBorder="1">
      <alignment vertical="center"/>
    </xf>
    <xf numFmtId="186" fontId="3" fillId="2" borderId="22" xfId="0" applyNumberFormat="1" applyFont="1" applyFill="1" applyBorder="1">
      <alignment vertical="center"/>
    </xf>
    <xf numFmtId="186" fontId="3" fillId="2" borderId="34" xfId="0" applyNumberFormat="1" applyFont="1" applyFill="1" applyBorder="1">
      <alignment vertical="center"/>
    </xf>
    <xf numFmtId="186" fontId="3" fillId="2" borderId="33" xfId="0" applyNumberFormat="1" applyFont="1" applyFill="1" applyBorder="1">
      <alignment vertical="center"/>
    </xf>
    <xf numFmtId="186" fontId="3" fillId="2" borderId="9" xfId="0" applyNumberFormat="1" applyFont="1" applyFill="1" applyBorder="1">
      <alignment vertical="center"/>
    </xf>
    <xf numFmtId="186" fontId="3" fillId="2" borderId="328" xfId="0" applyNumberFormat="1" applyFont="1" applyFill="1" applyBorder="1">
      <alignment vertical="center"/>
    </xf>
    <xf numFmtId="186" fontId="3" fillId="2" borderId="0" xfId="0" applyNumberFormat="1" applyFont="1" applyFill="1">
      <alignment vertical="center"/>
    </xf>
    <xf numFmtId="186" fontId="3" fillId="2" borderId="69" xfId="0" applyNumberFormat="1" applyFont="1" applyFill="1" applyBorder="1" applyAlignment="1">
      <alignment horizontal="center" vertical="center"/>
    </xf>
    <xf numFmtId="186" fontId="3" fillId="2" borderId="4" xfId="0" applyNumberFormat="1" applyFont="1" applyFill="1" applyBorder="1">
      <alignment vertical="center"/>
    </xf>
    <xf numFmtId="186" fontId="3" fillId="2" borderId="10" xfId="0" applyNumberFormat="1" applyFont="1" applyFill="1" applyBorder="1">
      <alignment vertical="center"/>
    </xf>
    <xf numFmtId="186" fontId="3" fillId="2" borderId="30" xfId="0" applyNumberFormat="1" applyFont="1" applyFill="1" applyBorder="1">
      <alignment vertical="center"/>
    </xf>
    <xf numFmtId="186" fontId="3" fillId="2" borderId="28" xfId="0" applyNumberFormat="1" applyFont="1" applyFill="1" applyBorder="1">
      <alignment vertical="center"/>
    </xf>
    <xf numFmtId="186" fontId="3" fillId="2" borderId="1" xfId="0" applyNumberFormat="1" applyFont="1" applyFill="1" applyBorder="1">
      <alignment vertical="center"/>
    </xf>
    <xf numFmtId="186" fontId="3" fillId="2" borderId="123" xfId="0" applyNumberFormat="1" applyFont="1" applyFill="1" applyBorder="1">
      <alignment vertical="center"/>
    </xf>
    <xf numFmtId="186" fontId="3" fillId="2" borderId="70" xfId="0" applyNumberFormat="1" applyFont="1" applyFill="1" applyBorder="1" applyAlignment="1">
      <alignment horizontal="center" vertical="center"/>
    </xf>
    <xf numFmtId="186" fontId="3" fillId="2" borderId="27" xfId="0" applyNumberFormat="1" applyFont="1" applyFill="1" applyBorder="1">
      <alignment vertical="center"/>
    </xf>
    <xf numFmtId="186" fontId="3" fillId="2" borderId="32" xfId="0" applyNumberFormat="1" applyFont="1" applyFill="1" applyBorder="1">
      <alignment vertical="center"/>
    </xf>
    <xf numFmtId="186" fontId="3" fillId="2" borderId="31" xfId="0" applyNumberFormat="1" applyFont="1" applyFill="1" applyBorder="1">
      <alignment vertical="center"/>
    </xf>
    <xf numFmtId="186" fontId="3" fillId="2" borderId="29" xfId="0" applyNumberFormat="1" applyFont="1" applyFill="1" applyBorder="1">
      <alignment vertical="center"/>
    </xf>
    <xf numFmtId="186" fontId="3" fillId="2" borderId="80" xfId="0" applyNumberFormat="1" applyFont="1" applyFill="1" applyBorder="1">
      <alignment vertical="center"/>
    </xf>
    <xf numFmtId="186" fontId="3" fillId="2" borderId="169" xfId="0" applyNumberFormat="1" applyFont="1" applyFill="1" applyBorder="1">
      <alignment vertical="center"/>
    </xf>
    <xf numFmtId="49" fontId="3" fillId="2" borderId="0" xfId="0" applyNumberFormat="1" applyFont="1" applyFill="1" applyBorder="1" applyAlignment="1">
      <alignment horizontal="center" vertical="center"/>
    </xf>
    <xf numFmtId="186" fontId="3" fillId="2" borderId="0" xfId="0" applyNumberFormat="1" applyFont="1" applyFill="1" applyBorder="1">
      <alignment vertical="center"/>
    </xf>
    <xf numFmtId="0" fontId="28" fillId="2" borderId="91" xfId="0" applyFont="1" applyFill="1" applyBorder="1" applyAlignment="1">
      <alignment horizontal="center" vertical="center"/>
    </xf>
    <xf numFmtId="0" fontId="28" fillId="2" borderId="91" xfId="0" applyFont="1" applyFill="1" applyBorder="1" applyAlignment="1">
      <alignment vertical="center"/>
    </xf>
    <xf numFmtId="0" fontId="28" fillId="2" borderId="91" xfId="0" applyFont="1" applyFill="1" applyBorder="1" applyAlignment="1">
      <alignment horizontal="right" vertical="center"/>
    </xf>
    <xf numFmtId="177" fontId="28" fillId="2" borderId="91" xfId="0" applyNumberFormat="1" applyFont="1" applyFill="1" applyBorder="1" applyAlignment="1">
      <alignment horizontal="right" vertical="center"/>
    </xf>
    <xf numFmtId="177" fontId="28" fillId="2" borderId="222" xfId="0" applyNumberFormat="1" applyFont="1" applyFill="1" applyBorder="1" applyAlignment="1">
      <alignment horizontal="right"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49" fontId="3" fillId="2" borderId="5" xfId="0" applyNumberFormat="1" applyFont="1" applyFill="1" applyBorder="1" applyAlignment="1">
      <alignment horizontal="center" vertical="center"/>
    </xf>
    <xf numFmtId="0" fontId="43" fillId="2" borderId="319" xfId="0" applyFont="1" applyFill="1" applyBorder="1" applyAlignment="1">
      <alignment horizontal="center" vertical="center"/>
    </xf>
    <xf numFmtId="0" fontId="43" fillId="2" borderId="324" xfId="0" applyFont="1" applyFill="1" applyBorder="1" applyAlignment="1">
      <alignment horizontal="center" vertical="center"/>
    </xf>
    <xf numFmtId="0" fontId="43" fillId="2" borderId="4" xfId="0" applyFont="1" applyFill="1" applyBorder="1" applyAlignment="1">
      <alignment horizontal="center" vertical="center"/>
    </xf>
    <xf numFmtId="0" fontId="43" fillId="2" borderId="10" xfId="0" applyFont="1" applyFill="1" applyBorder="1" applyAlignment="1">
      <alignment horizontal="center" vertical="center"/>
    </xf>
    <xf numFmtId="0" fontId="43" fillId="2" borderId="177" xfId="0" applyFont="1" applyFill="1" applyBorder="1" applyAlignment="1">
      <alignment horizontal="center" vertical="center"/>
    </xf>
    <xf numFmtId="0" fontId="43" fillId="2" borderId="162" xfId="0" applyFont="1" applyFill="1" applyBorder="1" applyAlignment="1">
      <alignment horizontal="center" vertical="center"/>
    </xf>
    <xf numFmtId="0" fontId="43" fillId="2" borderId="342" xfId="0" applyFont="1" applyFill="1" applyBorder="1" applyAlignment="1">
      <alignment horizontal="center" vertical="center"/>
    </xf>
    <xf numFmtId="0" fontId="43" fillId="2" borderId="343" xfId="0" applyFont="1" applyFill="1" applyBorder="1" applyAlignment="1">
      <alignment horizontal="center" vertical="center"/>
    </xf>
    <xf numFmtId="186" fontId="43" fillId="2" borderId="35" xfId="0" applyNumberFormat="1" applyFont="1" applyFill="1" applyBorder="1">
      <alignment vertical="center"/>
    </xf>
    <xf numFmtId="186" fontId="43" fillId="2" borderId="22" xfId="0" applyNumberFormat="1" applyFont="1" applyFill="1" applyBorder="1">
      <alignment vertical="center"/>
    </xf>
    <xf numFmtId="186" fontId="43" fillId="2" borderId="4" xfId="0" applyNumberFormat="1" applyFont="1" applyFill="1" applyBorder="1">
      <alignment vertical="center"/>
    </xf>
    <xf numFmtId="186" fontId="43" fillId="2" borderId="10" xfId="0" applyNumberFormat="1" applyFont="1" applyFill="1" applyBorder="1">
      <alignment vertical="center"/>
    </xf>
    <xf numFmtId="186" fontId="43" fillId="2" borderId="27" xfId="0" applyNumberFormat="1" applyFont="1" applyFill="1" applyBorder="1">
      <alignment vertical="center"/>
    </xf>
    <xf numFmtId="186" fontId="43" fillId="2" borderId="32" xfId="0" applyNumberFormat="1" applyFont="1" applyFill="1" applyBorder="1">
      <alignment vertical="center"/>
    </xf>
    <xf numFmtId="0" fontId="43" fillId="2" borderId="325" xfId="0" applyFont="1" applyFill="1" applyBorder="1" applyAlignment="1">
      <alignment horizontal="center" vertical="center"/>
    </xf>
    <xf numFmtId="0" fontId="43" fillId="2" borderId="339" xfId="0" applyFont="1" applyFill="1" applyBorder="1" applyAlignment="1">
      <alignment horizontal="center" vertical="center"/>
    </xf>
    <xf numFmtId="0" fontId="43" fillId="2" borderId="28" xfId="0" applyFont="1" applyFill="1" applyBorder="1" applyAlignment="1">
      <alignment horizontal="center" vertical="center"/>
    </xf>
    <xf numFmtId="0" fontId="43" fillId="2" borderId="341" xfId="0" applyFont="1" applyFill="1" applyBorder="1" applyAlignment="1">
      <alignment horizontal="center" vertical="center"/>
    </xf>
    <xf numFmtId="0" fontId="43" fillId="2" borderId="338" xfId="0" applyFont="1" applyFill="1" applyBorder="1" applyAlignment="1">
      <alignment horizontal="center" vertical="center"/>
    </xf>
    <xf numFmtId="0" fontId="43" fillId="2" borderId="30" xfId="0" applyFont="1" applyFill="1" applyBorder="1" applyAlignment="1">
      <alignment horizontal="center" vertical="center"/>
    </xf>
    <xf numFmtId="0" fontId="43" fillId="2" borderId="340" xfId="0" applyFont="1" applyFill="1" applyBorder="1" applyAlignment="1">
      <alignment horizontal="center" vertical="center"/>
    </xf>
    <xf numFmtId="186" fontId="43" fillId="2" borderId="148" xfId="0" applyNumberFormat="1" applyFont="1" applyFill="1" applyBorder="1">
      <alignment vertical="center"/>
    </xf>
    <xf numFmtId="186" fontId="43" fillId="2" borderId="145" xfId="0" applyNumberFormat="1" applyFont="1" applyFill="1" applyBorder="1">
      <alignment vertical="center"/>
    </xf>
    <xf numFmtId="186" fontId="43" fillId="2" borderId="30" xfId="0" applyNumberFormat="1" applyFont="1" applyFill="1" applyBorder="1">
      <alignment vertical="center"/>
    </xf>
    <xf numFmtId="186" fontId="43" fillId="2" borderId="28" xfId="0" applyNumberFormat="1" applyFont="1" applyFill="1" applyBorder="1">
      <alignment vertical="center"/>
    </xf>
    <xf numFmtId="186" fontId="43" fillId="2" borderId="31" xfId="0" applyNumberFormat="1" applyFont="1" applyFill="1" applyBorder="1">
      <alignment vertical="center"/>
    </xf>
    <xf numFmtId="186" fontId="43" fillId="2" borderId="29" xfId="0" applyNumberFormat="1" applyFont="1" applyFill="1" applyBorder="1">
      <alignment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7" fillId="17" borderId="3" xfId="0" applyFont="1" applyFill="1" applyBorder="1" applyAlignment="1">
      <alignment horizontal="right"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69"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13" xfId="0" applyFont="1" applyFill="1" applyBorder="1" applyAlignment="1">
      <alignment horizontal="center" vertical="center"/>
    </xf>
    <xf numFmtId="176" fontId="3" fillId="2" borderId="8" xfId="0" applyNumberFormat="1" applyFont="1" applyFill="1" applyBorder="1" applyAlignment="1">
      <alignment horizontal="right" vertical="center"/>
    </xf>
    <xf numFmtId="0" fontId="6" fillId="17" borderId="374" xfId="0" applyFont="1" applyFill="1" applyBorder="1" applyAlignment="1">
      <alignment horizontal="center" vertical="center"/>
    </xf>
    <xf numFmtId="0" fontId="6" fillId="17" borderId="284" xfId="0" applyFont="1" applyFill="1" applyBorder="1" applyAlignment="1">
      <alignment horizontal="center" vertical="center"/>
    </xf>
    <xf numFmtId="0" fontId="3" fillId="17" borderId="376" xfId="0" applyFont="1" applyFill="1" applyBorder="1" applyAlignment="1">
      <alignment horizontal="center" vertical="center"/>
    </xf>
    <xf numFmtId="0" fontId="3" fillId="17" borderId="377" xfId="0" applyFont="1" applyFill="1" applyBorder="1" applyAlignment="1">
      <alignment horizontal="center" vertical="center"/>
    </xf>
    <xf numFmtId="0" fontId="3" fillId="17" borderId="187" xfId="0" applyFont="1" applyFill="1" applyBorder="1" applyAlignment="1">
      <alignment horizontal="center" vertical="center"/>
    </xf>
    <xf numFmtId="0" fontId="3" fillId="17" borderId="89" xfId="0" applyFont="1" applyFill="1" applyBorder="1" applyAlignment="1">
      <alignment horizontal="right" vertical="center"/>
    </xf>
    <xf numFmtId="0" fontId="3" fillId="17" borderId="7" xfId="0" applyFont="1" applyFill="1" applyBorder="1" applyAlignment="1">
      <alignment horizontal="right" vertical="center"/>
    </xf>
    <xf numFmtId="176" fontId="3" fillId="17" borderId="7" xfId="0" applyNumberFormat="1" applyFont="1" applyFill="1" applyBorder="1" applyAlignment="1">
      <alignment horizontal="right" vertical="center"/>
    </xf>
    <xf numFmtId="181" fontId="3" fillId="17" borderId="7" xfId="0" applyNumberFormat="1" applyFont="1" applyFill="1" applyBorder="1" applyAlignment="1">
      <alignment horizontal="right" vertical="center"/>
    </xf>
    <xf numFmtId="0" fontId="3" fillId="17" borderId="186" xfId="0" applyFont="1" applyFill="1" applyBorder="1" applyAlignment="1">
      <alignment horizontal="right" vertical="center"/>
    </xf>
    <xf numFmtId="0" fontId="3" fillId="17" borderId="376" xfId="0" applyFont="1" applyFill="1" applyBorder="1" applyAlignment="1">
      <alignment horizontal="right" vertical="center"/>
    </xf>
    <xf numFmtId="177" fontId="3" fillId="17" borderId="7" xfId="0" applyNumberFormat="1" applyFont="1" applyFill="1" applyBorder="1" applyAlignment="1">
      <alignment horizontal="right" vertical="center"/>
    </xf>
    <xf numFmtId="181" fontId="3" fillId="17" borderId="186" xfId="0" applyNumberFormat="1" applyFont="1" applyFill="1" applyBorder="1" applyAlignment="1">
      <alignment horizontal="right" vertical="center"/>
    </xf>
    <xf numFmtId="177" fontId="3" fillId="17" borderId="377" xfId="0" applyNumberFormat="1" applyFont="1" applyFill="1" applyBorder="1" applyAlignment="1">
      <alignment horizontal="right" vertical="center"/>
    </xf>
    <xf numFmtId="177" fontId="3" fillId="17" borderId="376" xfId="0" applyNumberFormat="1" applyFont="1" applyFill="1" applyBorder="1" applyAlignment="1">
      <alignment horizontal="right" vertical="center"/>
    </xf>
    <xf numFmtId="176" fontId="3" fillId="17" borderId="186" xfId="0" applyNumberFormat="1" applyFont="1" applyFill="1" applyBorder="1" applyAlignment="1">
      <alignment horizontal="right" vertical="center"/>
    </xf>
    <xf numFmtId="10" fontId="3" fillId="17" borderId="376" xfId="0" applyNumberFormat="1" applyFont="1" applyFill="1" applyBorder="1" applyAlignment="1">
      <alignment horizontal="right" vertical="center"/>
    </xf>
    <xf numFmtId="178" fontId="3" fillId="17" borderId="186" xfId="0" applyNumberFormat="1" applyFont="1" applyFill="1" applyBorder="1" applyAlignment="1">
      <alignment horizontal="right" vertical="center"/>
    </xf>
    <xf numFmtId="177" fontId="3" fillId="17" borderId="188" xfId="0" applyNumberFormat="1" applyFont="1" applyFill="1" applyBorder="1" applyAlignment="1">
      <alignment horizontal="right" vertical="center"/>
    </xf>
    <xf numFmtId="177" fontId="3" fillId="17" borderId="186" xfId="0" applyNumberFormat="1" applyFont="1" applyFill="1" applyBorder="1" applyAlignment="1">
      <alignment horizontal="right" vertical="center"/>
    </xf>
    <xf numFmtId="185" fontId="3" fillId="17" borderId="188" xfId="0" applyNumberFormat="1" applyFont="1" applyFill="1" applyBorder="1" applyAlignment="1">
      <alignment horizontal="right" vertical="center"/>
    </xf>
    <xf numFmtId="178" fontId="3" fillId="17" borderId="377" xfId="0" applyNumberFormat="1" applyFont="1" applyFill="1" applyBorder="1" applyAlignment="1">
      <alignment horizontal="right" vertical="center"/>
    </xf>
    <xf numFmtId="177" fontId="3" fillId="17" borderId="337" xfId="0" applyNumberFormat="1" applyFont="1" applyFill="1" applyBorder="1" applyAlignment="1">
      <alignment horizontal="right" vertical="center"/>
    </xf>
    <xf numFmtId="179" fontId="3" fillId="17" borderId="7" xfId="0" applyNumberFormat="1" applyFont="1" applyFill="1" applyBorder="1" applyAlignment="1">
      <alignment horizontal="right" vertical="center"/>
    </xf>
    <xf numFmtId="177" fontId="3" fillId="17" borderId="336" xfId="0" applyNumberFormat="1" applyFont="1" applyFill="1" applyBorder="1" applyAlignment="1">
      <alignment horizontal="right" vertical="center"/>
    </xf>
    <xf numFmtId="182" fontId="3" fillId="17" borderId="186" xfId="0" applyNumberFormat="1" applyFont="1" applyFill="1" applyBorder="1" applyAlignment="1">
      <alignment horizontal="right" vertical="center"/>
    </xf>
    <xf numFmtId="181" fontId="3" fillId="17" borderId="377" xfId="0" applyNumberFormat="1" applyFont="1" applyFill="1" applyBorder="1" applyAlignment="1">
      <alignment horizontal="right" vertical="center"/>
    </xf>
    <xf numFmtId="177" fontId="3" fillId="17" borderId="8" xfId="0" applyNumberFormat="1" applyFont="1" applyFill="1" applyBorder="1" applyAlignment="1">
      <alignment horizontal="right" vertical="center"/>
    </xf>
    <xf numFmtId="186" fontId="43" fillId="2" borderId="34" xfId="0" applyNumberFormat="1" applyFont="1" applyFill="1" applyBorder="1">
      <alignment vertical="center"/>
    </xf>
    <xf numFmtId="186" fontId="43" fillId="2" borderId="33" xfId="0" applyNumberFormat="1" applyFont="1" applyFill="1" applyBorder="1">
      <alignment vertical="center"/>
    </xf>
    <xf numFmtId="0" fontId="43" fillId="2" borderId="146" xfId="0" applyFont="1" applyFill="1" applyBorder="1" applyAlignment="1">
      <alignment horizontal="center" vertical="center"/>
    </xf>
    <xf numFmtId="0" fontId="43" fillId="2" borderId="142"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14" fontId="3" fillId="2" borderId="66"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14" fontId="3" fillId="17" borderId="7" xfId="0" applyNumberFormat="1" applyFont="1" applyFill="1" applyBorder="1" applyAlignment="1">
      <alignment horizontal="center" vertical="center"/>
    </xf>
    <xf numFmtId="0" fontId="3" fillId="2" borderId="0" xfId="0" applyFont="1" applyFill="1">
      <alignment vertical="center"/>
    </xf>
    <xf numFmtId="0" fontId="3" fillId="2" borderId="69"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187" xfId="0" applyFont="1" applyFill="1" applyBorder="1" applyAlignment="1">
      <alignment horizontal="center" vertical="center"/>
    </xf>
    <xf numFmtId="0" fontId="3" fillId="2" borderId="89" xfId="0" applyFont="1" applyFill="1" applyBorder="1" applyAlignment="1">
      <alignment horizontal="right" vertical="center"/>
    </xf>
    <xf numFmtId="0" fontId="3" fillId="2" borderId="7" xfId="0" applyFont="1" applyFill="1" applyBorder="1" applyAlignment="1">
      <alignment horizontal="right" vertical="center"/>
    </xf>
    <xf numFmtId="0" fontId="3" fillId="2" borderId="186" xfId="0" applyFont="1" applyFill="1" applyBorder="1" applyAlignment="1">
      <alignment horizontal="right" vertical="center"/>
    </xf>
    <xf numFmtId="0" fontId="3" fillId="2" borderId="186" xfId="0" applyFont="1" applyFill="1" applyBorder="1" applyAlignment="1">
      <alignment horizontal="center" vertical="center"/>
    </xf>
    <xf numFmtId="0" fontId="3" fillId="2" borderId="0" xfId="0" applyNumberFormat="1" applyFont="1" applyFill="1" applyBorder="1" applyAlignment="1">
      <alignment horizontal="right" vertical="center"/>
    </xf>
    <xf numFmtId="0" fontId="3" fillId="2" borderId="0" xfId="0" applyFont="1" applyFill="1" applyAlignment="1">
      <alignment horizontal="center" vertical="center"/>
    </xf>
    <xf numFmtId="0" fontId="3" fillId="2" borderId="0" xfId="0" applyFont="1" applyFill="1">
      <alignment vertical="center"/>
    </xf>
    <xf numFmtId="0" fontId="3" fillId="2" borderId="69" xfId="0" applyFont="1" applyFill="1" applyBorder="1">
      <alignment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181" fontId="3" fillId="2" borderId="2" xfId="0" applyNumberFormat="1" applyFont="1" applyFill="1" applyBorder="1" applyAlignment="1">
      <alignment horizontal="right" vertical="center"/>
    </xf>
    <xf numFmtId="181" fontId="3" fillId="2" borderId="69" xfId="0" applyNumberFormat="1" applyFont="1" applyFill="1" applyBorder="1" applyAlignment="1">
      <alignment horizontal="right" vertical="center"/>
    </xf>
    <xf numFmtId="0" fontId="3" fillId="2" borderId="51" xfId="0" applyFont="1" applyFill="1" applyBorder="1" applyAlignment="1">
      <alignment horizontal="center" vertical="center"/>
    </xf>
    <xf numFmtId="0" fontId="6" fillId="2" borderId="51" xfId="0" applyFont="1" applyFill="1" applyBorder="1" applyAlignment="1">
      <alignment horizontal="center" vertical="center"/>
    </xf>
    <xf numFmtId="0" fontId="6" fillId="2" borderId="183" xfId="0" applyFont="1" applyFill="1" applyBorder="1" applyAlignment="1">
      <alignment horizontal="center" vertical="center"/>
    </xf>
    <xf numFmtId="181" fontId="3" fillId="2" borderId="58" xfId="0" applyNumberFormat="1" applyFont="1" applyFill="1" applyBorder="1" applyAlignment="1">
      <alignment horizontal="right" vertical="center"/>
    </xf>
    <xf numFmtId="177" fontId="3" fillId="2" borderId="2" xfId="0" applyNumberFormat="1" applyFont="1" applyFill="1" applyBorder="1" applyAlignment="1">
      <alignment horizontal="right" vertical="center"/>
    </xf>
    <xf numFmtId="0" fontId="3" fillId="2" borderId="2" xfId="0" applyFont="1" applyFill="1" applyBorder="1" applyAlignment="1">
      <alignment horizontal="center" vertical="center"/>
    </xf>
    <xf numFmtId="177" fontId="3" fillId="2" borderId="2" xfId="0" quotePrefix="1" applyNumberFormat="1" applyFont="1" applyFill="1" applyBorder="1" applyAlignment="1">
      <alignment horizontal="right" vertical="center"/>
    </xf>
    <xf numFmtId="0" fontId="6" fillId="17" borderId="112" xfId="0" applyFont="1" applyFill="1" applyBorder="1" applyAlignment="1">
      <alignment horizontal="center" vertical="center"/>
    </xf>
    <xf numFmtId="0" fontId="3" fillId="17" borderId="56" xfId="0" applyFont="1" applyFill="1" applyBorder="1" applyAlignment="1">
      <alignment horizontal="center" vertical="center"/>
    </xf>
    <xf numFmtId="0" fontId="3" fillId="17" borderId="35" xfId="0" applyFont="1" applyFill="1" applyBorder="1" applyAlignment="1">
      <alignment horizontal="center" vertical="center"/>
    </xf>
    <xf numFmtId="0" fontId="3" fillId="17" borderId="5" xfId="0" applyFont="1" applyFill="1" applyBorder="1" applyAlignment="1">
      <alignment horizontal="center" vertical="center"/>
    </xf>
    <xf numFmtId="0" fontId="3" fillId="17" borderId="58" xfId="0" applyFont="1" applyFill="1" applyBorder="1" applyAlignment="1">
      <alignment horizontal="center" vertical="center"/>
    </xf>
    <xf numFmtId="177" fontId="3" fillId="17" borderId="66" xfId="0" applyNumberFormat="1" applyFont="1" applyFill="1" applyBorder="1" applyAlignment="1">
      <alignment horizontal="right" vertical="center"/>
    </xf>
    <xf numFmtId="176" fontId="3" fillId="17" borderId="35" xfId="0" applyNumberFormat="1" applyFont="1" applyFill="1" applyBorder="1" applyAlignment="1">
      <alignment horizontal="right" vertical="center"/>
    </xf>
    <xf numFmtId="177" fontId="3" fillId="17" borderId="5" xfId="0" applyNumberFormat="1" applyFont="1" applyFill="1" applyBorder="1" applyAlignment="1">
      <alignment horizontal="right" vertical="center"/>
    </xf>
    <xf numFmtId="176" fontId="3" fillId="17" borderId="5" xfId="0" applyNumberFormat="1" applyFont="1" applyFill="1" applyBorder="1" applyAlignment="1">
      <alignment horizontal="right" vertical="center"/>
    </xf>
    <xf numFmtId="181" fontId="3" fillId="17" borderId="5" xfId="0" applyNumberFormat="1" applyFont="1" applyFill="1" applyBorder="1" applyAlignment="1">
      <alignment horizontal="right" vertical="center"/>
    </xf>
    <xf numFmtId="177" fontId="3" fillId="17" borderId="22" xfId="0" applyNumberFormat="1" applyFont="1" applyFill="1" applyBorder="1" applyAlignment="1">
      <alignment horizontal="right" vertical="center"/>
    </xf>
    <xf numFmtId="177" fontId="3" fillId="17" borderId="56" xfId="0" applyNumberFormat="1" applyFont="1" applyFill="1" applyBorder="1" applyAlignment="1">
      <alignment horizontal="right" vertical="center"/>
    </xf>
    <xf numFmtId="181" fontId="3" fillId="17" borderId="22" xfId="0" applyNumberFormat="1" applyFont="1" applyFill="1" applyBorder="1" applyAlignment="1">
      <alignment horizontal="right" vertical="center"/>
    </xf>
    <xf numFmtId="177" fontId="3" fillId="17" borderId="57" xfId="0" applyNumberFormat="1" applyFont="1" applyFill="1" applyBorder="1" applyAlignment="1">
      <alignment horizontal="right" vertical="center"/>
    </xf>
    <xf numFmtId="176" fontId="3" fillId="17" borderId="22" xfId="0" applyNumberFormat="1" applyFont="1" applyFill="1" applyBorder="1" applyAlignment="1">
      <alignment horizontal="right" vertical="center"/>
    </xf>
    <xf numFmtId="10" fontId="3" fillId="17" borderId="56" xfId="0" applyNumberFormat="1" applyFont="1" applyFill="1" applyBorder="1" applyAlignment="1">
      <alignment horizontal="right" vertical="center"/>
    </xf>
    <xf numFmtId="177" fontId="3" fillId="17" borderId="35" xfId="0" applyNumberFormat="1" applyFont="1" applyFill="1" applyBorder="1" applyAlignment="1">
      <alignment horizontal="right" vertical="center"/>
    </xf>
    <xf numFmtId="0" fontId="3" fillId="17" borderId="34" xfId="0" applyFont="1" applyFill="1" applyBorder="1" applyAlignment="1">
      <alignment horizontal="center" vertical="center"/>
    </xf>
    <xf numFmtId="177" fontId="3" fillId="17" borderId="2" xfId="0" applyNumberFormat="1" applyFont="1" applyFill="1" applyBorder="1" applyAlignment="1">
      <alignment horizontal="right" vertical="center"/>
    </xf>
    <xf numFmtId="178" fontId="3" fillId="17" borderId="57" xfId="0" applyNumberFormat="1" applyFont="1" applyFill="1" applyBorder="1" applyAlignment="1">
      <alignment horizontal="right" vertical="center"/>
    </xf>
    <xf numFmtId="177" fontId="3" fillId="17" borderId="33" xfId="0" applyNumberFormat="1" applyFont="1" applyFill="1" applyBorder="1" applyAlignment="1">
      <alignment horizontal="right" vertical="center"/>
    </xf>
    <xf numFmtId="177" fontId="3" fillId="17" borderId="34" xfId="0" applyNumberFormat="1" applyFont="1" applyFill="1" applyBorder="1" applyAlignment="1">
      <alignment horizontal="right" vertical="center"/>
    </xf>
    <xf numFmtId="182" fontId="3" fillId="17" borderId="22" xfId="0" applyNumberFormat="1" applyFont="1" applyFill="1" applyBorder="1" applyAlignment="1">
      <alignment horizontal="right" vertical="center"/>
    </xf>
    <xf numFmtId="0" fontId="3" fillId="17" borderId="30" xfId="0" applyFont="1" applyFill="1" applyBorder="1" applyAlignment="1">
      <alignment horizontal="center" vertical="center"/>
    </xf>
    <xf numFmtId="9" fontId="3" fillId="17" borderId="4" xfId="0" applyNumberFormat="1" applyFont="1" applyFill="1" applyBorder="1" applyAlignment="1">
      <alignment horizontal="center" vertical="center"/>
    </xf>
    <xf numFmtId="0" fontId="3" fillId="17" borderId="4" xfId="0" applyFont="1" applyFill="1" applyBorder="1" applyAlignment="1">
      <alignment horizontal="center" vertical="center"/>
    </xf>
    <xf numFmtId="180" fontId="3" fillId="17" borderId="5" xfId="0" applyNumberFormat="1" applyFont="1" applyFill="1" applyBorder="1" applyAlignment="1">
      <alignment horizontal="right" vertical="center"/>
    </xf>
    <xf numFmtId="178" fontId="3" fillId="17" borderId="5" xfId="0" applyNumberFormat="1" applyFont="1" applyFill="1" applyBorder="1" applyAlignment="1">
      <alignment horizontal="right" vertical="center"/>
    </xf>
    <xf numFmtId="10" fontId="3" fillId="17" borderId="5" xfId="0" applyNumberFormat="1" applyFont="1" applyFill="1" applyBorder="1" applyAlignment="1">
      <alignment horizontal="right" vertical="center"/>
    </xf>
    <xf numFmtId="176" fontId="3" fillId="17" borderId="4" xfId="0" applyNumberFormat="1" applyFont="1" applyFill="1" applyBorder="1" applyAlignment="1">
      <alignment horizontal="right" vertical="center"/>
    </xf>
    <xf numFmtId="9" fontId="3" fillId="17" borderId="35" xfId="0" applyNumberFormat="1" applyFont="1" applyFill="1" applyBorder="1" applyAlignment="1">
      <alignment horizontal="center" vertical="center"/>
    </xf>
    <xf numFmtId="181" fontId="3" fillId="17" borderId="57" xfId="0" applyNumberFormat="1" applyFont="1" applyFill="1" applyBorder="1" applyAlignment="1">
      <alignment horizontal="right" vertical="center"/>
    </xf>
    <xf numFmtId="177" fontId="3" fillId="17" borderId="6" xfId="0" applyNumberFormat="1" applyFont="1" applyFill="1" applyBorder="1" applyAlignment="1">
      <alignment horizontal="right" vertical="center"/>
    </xf>
    <xf numFmtId="0" fontId="6" fillId="17" borderId="50" xfId="0" applyFont="1" applyFill="1" applyBorder="1" applyAlignment="1">
      <alignment horizontal="center" vertical="center"/>
    </xf>
    <xf numFmtId="0" fontId="3" fillId="17" borderId="2" xfId="0" applyFont="1" applyFill="1" applyBorder="1" applyAlignment="1">
      <alignment horizontal="center" vertical="center"/>
    </xf>
    <xf numFmtId="179" fontId="3" fillId="17" borderId="5" xfId="0" applyNumberFormat="1" applyFont="1" applyFill="1" applyBorder="1" applyAlignment="1">
      <alignment horizontal="right" vertical="center"/>
    </xf>
    <xf numFmtId="0" fontId="3" fillId="17" borderId="69" xfId="0" applyFont="1" applyFill="1" applyBorder="1" applyAlignment="1">
      <alignment horizontal="center" vertical="center"/>
    </xf>
    <xf numFmtId="177" fontId="3" fillId="17" borderId="10" xfId="0" applyNumberFormat="1" applyFont="1" applyFill="1" applyBorder="1" applyAlignment="1">
      <alignment horizontal="right" vertical="center"/>
    </xf>
    <xf numFmtId="178" fontId="3" fillId="17" borderId="22" xfId="0" applyNumberFormat="1" applyFont="1" applyFill="1" applyBorder="1" applyAlignment="1">
      <alignment horizontal="right" vertical="center"/>
    </xf>
    <xf numFmtId="177" fontId="3" fillId="17" borderId="71" xfId="0" applyNumberFormat="1" applyFont="1" applyFill="1" applyBorder="1" applyAlignment="1">
      <alignment horizontal="right" vertical="center"/>
    </xf>
    <xf numFmtId="179" fontId="3" fillId="17" borderId="34" xfId="0" applyNumberFormat="1" applyFont="1" applyFill="1" applyBorder="1" applyAlignment="1">
      <alignment horizontal="right" vertical="center"/>
    </xf>
    <xf numFmtId="185" fontId="3" fillId="17" borderId="35" xfId="0" applyNumberFormat="1" applyFont="1" applyFill="1" applyBorder="1" applyAlignment="1">
      <alignment horizontal="right" vertical="center"/>
    </xf>
    <xf numFmtId="176" fontId="3" fillId="2" borderId="187" xfId="0" applyNumberFormat="1" applyFont="1" applyFill="1" applyBorder="1" applyAlignment="1">
      <alignment horizontal="right" vertical="center"/>
    </xf>
    <xf numFmtId="176" fontId="3" fillId="2" borderId="89" xfId="0" applyNumberFormat="1" applyFont="1" applyFill="1" applyBorder="1" applyAlignment="1">
      <alignment horizontal="right" vertical="center"/>
    </xf>
    <xf numFmtId="176" fontId="3" fillId="2" borderId="188" xfId="0" applyNumberFormat="1" applyFont="1" applyFill="1" applyBorder="1" applyAlignment="1">
      <alignment horizontal="right" vertical="center"/>
    </xf>
    <xf numFmtId="176" fontId="3" fillId="2" borderId="7" xfId="0" applyNumberFormat="1" applyFont="1" applyFill="1" applyBorder="1" applyAlignment="1">
      <alignment horizontal="right" vertical="center"/>
    </xf>
    <xf numFmtId="0" fontId="3" fillId="2" borderId="89" xfId="0" applyNumberFormat="1" applyFont="1" applyFill="1" applyBorder="1" applyAlignment="1">
      <alignment horizontal="right" vertical="center"/>
    </xf>
    <xf numFmtId="0" fontId="3" fillId="2" borderId="7" xfId="0" applyNumberFormat="1" applyFont="1" applyFill="1" applyBorder="1" applyAlignment="1">
      <alignment horizontal="right" vertical="center"/>
    </xf>
    <xf numFmtId="0" fontId="3" fillId="2" borderId="187" xfId="0" applyNumberFormat="1" applyFont="1" applyFill="1" applyBorder="1" applyAlignment="1">
      <alignment horizontal="right" vertical="center"/>
    </xf>
    <xf numFmtId="179" fontId="3" fillId="17" borderId="56" xfId="0" applyNumberFormat="1" applyFont="1" applyFill="1" applyBorder="1" applyAlignment="1">
      <alignment horizontal="right" vertical="center"/>
    </xf>
    <xf numFmtId="49" fontId="6" fillId="2" borderId="97" xfId="0" applyNumberFormat="1" applyFont="1" applyFill="1" applyBorder="1" applyAlignment="1">
      <alignment horizontal="center" vertical="center"/>
    </xf>
    <xf numFmtId="187" fontId="6" fillId="2" borderId="15" xfId="0" applyNumberFormat="1" applyFont="1" applyFill="1" applyBorder="1">
      <alignment vertical="center"/>
    </xf>
    <xf numFmtId="188" fontId="6" fillId="2" borderId="15" xfId="0" applyNumberFormat="1" applyFont="1" applyFill="1" applyBorder="1">
      <alignment vertical="center"/>
    </xf>
    <xf numFmtId="49" fontId="6" fillId="2" borderId="67" xfId="0" applyNumberFormat="1" applyFont="1" applyFill="1" applyBorder="1" applyAlignment="1">
      <alignment horizontal="center" vertical="center"/>
    </xf>
    <xf numFmtId="187" fontId="6" fillId="2" borderId="2" xfId="0" applyNumberFormat="1" applyFont="1" applyFill="1" applyBorder="1">
      <alignment vertical="center"/>
    </xf>
    <xf numFmtId="188" fontId="6" fillId="2" borderId="2" xfId="0" applyNumberFormat="1" applyFont="1" applyFill="1" applyBorder="1">
      <alignment vertical="center"/>
    </xf>
    <xf numFmtId="49" fontId="6" fillId="2" borderId="263" xfId="0" applyNumberFormat="1" applyFont="1" applyFill="1" applyBorder="1" applyAlignment="1">
      <alignment horizontal="center" vertical="center"/>
    </xf>
    <xf numFmtId="187" fontId="6" fillId="2" borderId="18" xfId="0" applyNumberFormat="1" applyFont="1" applyFill="1" applyBorder="1">
      <alignment vertical="center"/>
    </xf>
    <xf numFmtId="188" fontId="6" fillId="2" borderId="18" xfId="0" applyNumberFormat="1" applyFont="1" applyFill="1" applyBorder="1">
      <alignment vertical="center"/>
    </xf>
    <xf numFmtId="187" fontId="6" fillId="2" borderId="171" xfId="0" applyNumberFormat="1" applyFont="1" applyFill="1" applyBorder="1">
      <alignment vertical="center"/>
    </xf>
    <xf numFmtId="187" fontId="6" fillId="2" borderId="10" xfId="0" applyNumberFormat="1" applyFont="1" applyFill="1" applyBorder="1">
      <alignment vertical="center"/>
    </xf>
    <xf numFmtId="187" fontId="6" fillId="2" borderId="162" xfId="0" applyNumberFormat="1" applyFont="1" applyFill="1" applyBorder="1">
      <alignment vertical="center"/>
    </xf>
    <xf numFmtId="187" fontId="6" fillId="2" borderId="174" xfId="0" applyNumberFormat="1" applyFont="1" applyFill="1" applyBorder="1">
      <alignment vertical="center"/>
    </xf>
    <xf numFmtId="187" fontId="6" fillId="2" borderId="4" xfId="0" applyNumberFormat="1" applyFont="1" applyFill="1" applyBorder="1">
      <alignment vertical="center"/>
    </xf>
    <xf numFmtId="187" fontId="6" fillId="2" borderId="177" xfId="0" applyNumberFormat="1" applyFont="1" applyFill="1" applyBorder="1">
      <alignment vertical="center"/>
    </xf>
    <xf numFmtId="187" fontId="6" fillId="2" borderId="232" xfId="0" applyNumberFormat="1" applyFont="1" applyFill="1" applyBorder="1">
      <alignment vertical="center"/>
    </xf>
    <xf numFmtId="187" fontId="6" fillId="2" borderId="58" xfId="0" applyNumberFormat="1" applyFont="1" applyFill="1" applyBorder="1">
      <alignment vertical="center"/>
    </xf>
    <xf numFmtId="187" fontId="6" fillId="2" borderId="179" xfId="0" applyNumberFormat="1" applyFont="1" applyFill="1" applyBorder="1">
      <alignment vertical="center"/>
    </xf>
    <xf numFmtId="189" fontId="6" fillId="2" borderId="351" xfId="0" applyNumberFormat="1" applyFont="1" applyFill="1" applyBorder="1">
      <alignment vertical="center"/>
    </xf>
    <xf numFmtId="189" fontId="6" fillId="2" borderId="59" xfId="0" applyNumberFormat="1" applyFont="1" applyFill="1" applyBorder="1">
      <alignment vertical="center"/>
    </xf>
    <xf numFmtId="189" fontId="6" fillId="2" borderId="352" xfId="0" applyNumberFormat="1" applyFont="1" applyFill="1" applyBorder="1">
      <alignment vertical="center"/>
    </xf>
    <xf numFmtId="189" fontId="6" fillId="2" borderId="98" xfId="0" applyNumberFormat="1" applyFont="1" applyFill="1" applyBorder="1">
      <alignment vertical="center"/>
    </xf>
    <xf numFmtId="189" fontId="6" fillId="2" borderId="69" xfId="0" applyNumberFormat="1" applyFont="1" applyFill="1" applyBorder="1">
      <alignment vertical="center"/>
    </xf>
    <xf numFmtId="189" fontId="6" fillId="2" borderId="264" xfId="0" applyNumberFormat="1" applyFont="1" applyFill="1" applyBorder="1">
      <alignment vertical="center"/>
    </xf>
    <xf numFmtId="0" fontId="6" fillId="17" borderId="375" xfId="0" applyFont="1" applyFill="1" applyBorder="1" applyAlignment="1">
      <alignment horizontal="center" vertical="center"/>
    </xf>
    <xf numFmtId="0" fontId="3" fillId="17" borderId="7" xfId="0" applyFont="1" applyFill="1" applyBorder="1" applyAlignment="1">
      <alignment horizontal="center" vertical="center"/>
    </xf>
    <xf numFmtId="176" fontId="3" fillId="17" borderId="188" xfId="0" applyNumberFormat="1" applyFont="1" applyFill="1" applyBorder="1" applyAlignment="1">
      <alignment horizontal="right" vertical="center"/>
    </xf>
    <xf numFmtId="0" fontId="3" fillId="17" borderId="336" xfId="0" applyFont="1" applyFill="1" applyBorder="1" applyAlignment="1">
      <alignment horizontal="center" vertical="center"/>
    </xf>
    <xf numFmtId="9" fontId="3" fillId="17" borderId="188" xfId="0" applyNumberFormat="1" applyFont="1" applyFill="1" applyBorder="1" applyAlignment="1">
      <alignment horizontal="center" vertical="center"/>
    </xf>
    <xf numFmtId="0" fontId="3" fillId="17" borderId="188"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10"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19" fillId="2" borderId="341" xfId="0" applyFont="1" applyFill="1" applyBorder="1" applyAlignment="1">
      <alignment horizontal="center" vertical="center"/>
    </xf>
    <xf numFmtId="0" fontId="28" fillId="2" borderId="14"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2" xfId="0" applyFont="1" applyFill="1" applyBorder="1" applyAlignment="1">
      <alignment horizontal="center" vertical="center"/>
    </xf>
    <xf numFmtId="0" fontId="33" fillId="2" borderId="3" xfId="0" applyFont="1" applyFill="1" applyBorder="1" applyAlignment="1">
      <alignment horizontal="right" vertical="center"/>
    </xf>
    <xf numFmtId="0" fontId="33" fillId="2" borderId="2" xfId="0" applyFont="1" applyFill="1" applyBorder="1" applyAlignment="1">
      <alignment horizontal="right" vertical="center"/>
    </xf>
    <xf numFmtId="0" fontId="33" fillId="2" borderId="149" xfId="0" applyFont="1" applyFill="1" applyBorder="1" applyAlignment="1">
      <alignment horizontal="right" vertical="center"/>
    </xf>
    <xf numFmtId="0" fontId="3" fillId="2" borderId="1"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0" fontId="33" fillId="2" borderId="25" xfId="0" quotePrefix="1" applyFont="1" applyFill="1" applyBorder="1" applyAlignment="1">
      <alignment horizontal="right" vertical="center"/>
    </xf>
    <xf numFmtId="0" fontId="33" fillId="2" borderId="26" xfId="0" applyFont="1" applyFill="1" applyBorder="1" applyAlignment="1">
      <alignment horizontal="right" vertical="center"/>
    </xf>
    <xf numFmtId="0" fontId="33" fillId="2" borderId="4" xfId="0" applyFont="1" applyFill="1" applyBorder="1" applyAlignment="1">
      <alignment horizontal="right" vertical="center"/>
    </xf>
    <xf numFmtId="0" fontId="33" fillId="2" borderId="361" xfId="0" applyFont="1" applyFill="1" applyBorder="1" applyAlignment="1">
      <alignment horizontal="right" vertical="center"/>
    </xf>
    <xf numFmtId="0" fontId="33" fillId="2" borderId="362" xfId="0" applyFont="1" applyFill="1" applyBorder="1" applyAlignment="1">
      <alignment horizontal="right" vertical="center"/>
    </xf>
    <xf numFmtId="0" fontId="33" fillId="2" borderId="6" xfId="0" applyFont="1" applyFill="1" applyBorder="1" applyAlignment="1">
      <alignment horizontal="right" vertical="center"/>
    </xf>
    <xf numFmtId="0" fontId="33" fillId="2" borderId="280" xfId="0" applyFont="1" applyFill="1" applyBorder="1" applyAlignment="1">
      <alignment horizontal="center" vertical="center"/>
    </xf>
    <xf numFmtId="0" fontId="34" fillId="2" borderId="308" xfId="0" applyFont="1" applyFill="1" applyBorder="1" applyAlignment="1">
      <alignment horizontal="center" vertical="center"/>
    </xf>
    <xf numFmtId="0" fontId="34" fillId="2" borderId="56" xfId="0" applyFont="1" applyFill="1" applyBorder="1" applyAlignment="1">
      <alignment horizontal="center" vertical="center"/>
    </xf>
    <xf numFmtId="0" fontId="34" fillId="2" borderId="35" xfId="0" applyFont="1" applyFill="1" applyBorder="1" applyAlignment="1">
      <alignment horizontal="center" vertical="center"/>
    </xf>
    <xf numFmtId="183" fontId="34" fillId="2" borderId="35" xfId="0" applyNumberFormat="1" applyFont="1" applyFill="1" applyBorder="1" applyAlignment="1">
      <alignment horizontal="center" vertical="center"/>
    </xf>
    <xf numFmtId="0" fontId="34" fillId="2" borderId="275" xfId="0" applyFont="1" applyFill="1" applyBorder="1" applyAlignment="1">
      <alignment horizontal="center" vertical="center"/>
    </xf>
    <xf numFmtId="0" fontId="34" fillId="2" borderId="58" xfId="0" applyFont="1" applyFill="1" applyBorder="1" applyAlignment="1">
      <alignment horizontal="center" vertical="center"/>
    </xf>
    <xf numFmtId="0" fontId="34" fillId="2" borderId="4" xfId="0" applyFont="1" applyFill="1" applyBorder="1" applyAlignment="1">
      <alignment horizontal="center" vertical="center"/>
    </xf>
    <xf numFmtId="183" fontId="34" fillId="2" borderId="4" xfId="0" applyNumberFormat="1" applyFont="1" applyFill="1" applyBorder="1" applyAlignment="1">
      <alignment horizontal="center" vertical="center"/>
    </xf>
    <xf numFmtId="0" fontId="34" fillId="2" borderId="309" xfId="0" applyFont="1" applyFill="1" applyBorder="1" applyAlignment="1">
      <alignment horizontal="center" vertical="center"/>
    </xf>
    <xf numFmtId="0" fontId="34" fillId="2" borderId="60" xfId="0" applyFont="1" applyFill="1" applyBorder="1" applyAlignment="1">
      <alignment horizontal="center" vertical="center"/>
    </xf>
    <xf numFmtId="0" fontId="34" fillId="2" borderId="27" xfId="0" applyFont="1" applyFill="1" applyBorder="1" applyAlignment="1">
      <alignment horizontal="center" vertical="center"/>
    </xf>
    <xf numFmtId="183" fontId="34" fillId="2" borderId="27" xfId="0" applyNumberFormat="1" applyFont="1" applyFill="1" applyBorder="1" applyAlignment="1">
      <alignment horizontal="center" vertical="center"/>
    </xf>
    <xf numFmtId="0" fontId="34" fillId="2" borderId="310" xfId="0" applyFont="1" applyFill="1" applyBorder="1" applyAlignment="1">
      <alignment horizontal="center" vertical="center"/>
    </xf>
    <xf numFmtId="0" fontId="0" fillId="2" borderId="150" xfId="0" applyFill="1" applyBorder="1">
      <alignment vertical="center"/>
    </xf>
    <xf numFmtId="0" fontId="0" fillId="2" borderId="10" xfId="0" applyFill="1" applyBorder="1">
      <alignment vertical="center"/>
    </xf>
    <xf numFmtId="0" fontId="0" fillId="2" borderId="32" xfId="0" applyFill="1" applyBorder="1">
      <alignment vertical="center"/>
    </xf>
    <xf numFmtId="0" fontId="7" fillId="2" borderId="0" xfId="0" applyFont="1" applyFill="1">
      <alignment vertical="center"/>
    </xf>
    <xf numFmtId="0" fontId="7" fillId="2" borderId="15" xfId="0" applyFont="1" applyFill="1" applyBorder="1" applyAlignment="1">
      <alignment horizontal="center" vertical="center"/>
    </xf>
    <xf numFmtId="0" fontId="7" fillId="2" borderId="16" xfId="0" applyFont="1" applyFill="1" applyBorder="1" applyAlignment="1">
      <alignment horizontal="right" vertical="center"/>
    </xf>
    <xf numFmtId="0" fontId="7" fillId="2" borderId="2" xfId="0" applyFont="1" applyFill="1" applyBorder="1" applyAlignment="1">
      <alignment horizontal="center" vertical="center"/>
    </xf>
    <xf numFmtId="0" fontId="7" fillId="2" borderId="3" xfId="0" applyFont="1" applyFill="1" applyBorder="1" applyAlignment="1">
      <alignment horizontal="right" vertical="center"/>
    </xf>
    <xf numFmtId="0" fontId="7" fillId="2" borderId="18" xfId="0" applyFont="1" applyFill="1" applyBorder="1" applyAlignment="1">
      <alignment horizontal="center" vertical="center"/>
    </xf>
    <xf numFmtId="0" fontId="7" fillId="2" borderId="19" xfId="0" applyFont="1" applyFill="1" applyBorder="1" applyAlignment="1">
      <alignment horizontal="right" vertical="center"/>
    </xf>
    <xf numFmtId="0" fontId="7" fillId="2" borderId="6" xfId="0" applyFont="1" applyFill="1" applyBorder="1" applyAlignment="1">
      <alignment horizontal="right" vertical="center"/>
    </xf>
    <xf numFmtId="0" fontId="7" fillId="2" borderId="8" xfId="0" applyFont="1" applyFill="1" applyBorder="1" applyAlignment="1">
      <alignment horizontal="right" vertical="center"/>
    </xf>
    <xf numFmtId="0" fontId="7" fillId="2" borderId="11" xfId="0" applyFont="1" applyFill="1" applyBorder="1" applyAlignment="1">
      <alignment horizontal="center" vertical="center"/>
    </xf>
    <xf numFmtId="0" fontId="7" fillId="2" borderId="17" xfId="0" applyFont="1" applyFill="1" applyBorder="1" applyAlignment="1">
      <alignment horizontal="center" vertical="center"/>
    </xf>
    <xf numFmtId="0" fontId="7" fillId="2" borderId="9" xfId="0" applyFont="1" applyFill="1" applyBorder="1" applyAlignment="1">
      <alignment horizontal="center" vertical="center"/>
    </xf>
    <xf numFmtId="0" fontId="7" fillId="2" borderId="1"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16" xfId="0" applyFont="1" applyFill="1" applyBorder="1" applyAlignment="1">
      <alignment vertical="center"/>
    </xf>
    <xf numFmtId="0" fontId="7" fillId="2" borderId="3" xfId="0" applyFont="1" applyFill="1" applyBorder="1" applyAlignment="1">
      <alignment vertical="center"/>
    </xf>
    <xf numFmtId="0" fontId="7" fillId="2" borderId="19" xfId="0" applyFont="1" applyFill="1" applyBorder="1" applyAlignment="1">
      <alignment vertical="center"/>
    </xf>
    <xf numFmtId="0" fontId="7" fillId="2" borderId="13" xfId="0" applyFont="1" applyFill="1" applyBorder="1" applyAlignment="1">
      <alignment horizontal="center" vertical="center"/>
    </xf>
    <xf numFmtId="0" fontId="7" fillId="2" borderId="12" xfId="0" applyFont="1" applyFill="1" applyBorder="1" applyAlignment="1">
      <alignment horizontal="center" vertical="center"/>
    </xf>
    <xf numFmtId="0" fontId="7" fillId="2" borderId="159" xfId="0" applyFont="1" applyFill="1" applyBorder="1" applyAlignment="1">
      <alignment horizontal="center" vertical="center"/>
    </xf>
    <xf numFmtId="0" fontId="7" fillId="2" borderId="0" xfId="0" applyFont="1" applyFill="1" applyAlignment="1">
      <alignment horizontal="right" vertical="center"/>
    </xf>
    <xf numFmtId="0" fontId="7" fillId="2" borderId="7" xfId="0" applyFont="1" applyFill="1" applyBorder="1" applyAlignment="1">
      <alignment horizontal="center" vertical="center"/>
    </xf>
    <xf numFmtId="0" fontId="7" fillId="2" borderId="74" xfId="0" applyFont="1" applyFill="1" applyBorder="1" applyAlignment="1">
      <alignment horizontal="center" vertical="center"/>
    </xf>
    <xf numFmtId="0" fontId="7" fillId="2" borderId="75" xfId="0" applyFont="1" applyFill="1" applyBorder="1" applyAlignment="1">
      <alignment horizontal="right" vertical="center"/>
    </xf>
    <xf numFmtId="0" fontId="7" fillId="2" borderId="23" xfId="0" applyFont="1" applyFill="1" applyBorder="1" applyAlignment="1">
      <alignment horizontal="center" vertical="center"/>
    </xf>
    <xf numFmtId="0" fontId="7" fillId="2" borderId="24" xfId="0" applyFont="1" applyFill="1" applyBorder="1" applyAlignment="1">
      <alignment horizontal="right" vertical="center"/>
    </xf>
    <xf numFmtId="0" fontId="7" fillId="2" borderId="5" xfId="0" applyFont="1" applyFill="1" applyBorder="1" applyAlignment="1">
      <alignment horizontal="center" vertical="center"/>
    </xf>
    <xf numFmtId="0" fontId="7" fillId="2" borderId="20" xfId="0" applyFont="1" applyFill="1" applyBorder="1" applyAlignment="1">
      <alignment horizontal="center" vertical="center"/>
    </xf>
    <xf numFmtId="0" fontId="7" fillId="2" borderId="79" xfId="0" applyFont="1" applyFill="1" applyBorder="1" applyAlignment="1">
      <alignment horizontal="center" vertical="center"/>
    </xf>
    <xf numFmtId="0" fontId="7" fillId="2" borderId="166" xfId="0" applyFont="1" applyFill="1" applyBorder="1" applyAlignment="1">
      <alignment horizontal="center" vertical="center"/>
    </xf>
    <xf numFmtId="0" fontId="7" fillId="2" borderId="80"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7" fillId="2" borderId="20" xfId="0" applyFont="1" applyFill="1" applyBorder="1" applyAlignment="1">
      <alignment horizontal="center" vertical="center"/>
    </xf>
    <xf numFmtId="0" fontId="7" fillId="2" borderId="11"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364" xfId="0" applyFont="1" applyFill="1" applyBorder="1" applyAlignment="1">
      <alignment horizontal="center" vertical="center"/>
    </xf>
    <xf numFmtId="0" fontId="33" fillId="2" borderId="5" xfId="0" applyFont="1" applyFill="1" applyBorder="1" applyAlignment="1">
      <alignment horizontal="right" vertical="center"/>
    </xf>
    <xf numFmtId="0" fontId="33" fillId="2" borderId="6" xfId="0" applyFont="1" applyFill="1" applyBorder="1" applyAlignment="1">
      <alignment horizontal="right"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19" borderId="1" xfId="0" applyFont="1" applyFill="1" applyBorder="1" applyAlignment="1">
      <alignment horizontal="center" vertical="center"/>
    </xf>
    <xf numFmtId="0" fontId="3" fillId="19" borderId="10" xfId="0" applyFont="1" applyFill="1" applyBorder="1" applyAlignment="1">
      <alignment horizontal="center" vertical="center"/>
    </xf>
    <xf numFmtId="177" fontId="3" fillId="19" borderId="30" xfId="0" applyNumberFormat="1" applyFont="1" applyFill="1" applyBorder="1" applyAlignment="1">
      <alignment horizontal="right" vertical="center"/>
    </xf>
    <xf numFmtId="177" fontId="3" fillId="19" borderId="2" xfId="0" applyNumberFormat="1" applyFont="1" applyFill="1" applyBorder="1" applyAlignment="1">
      <alignment horizontal="right" vertical="center"/>
    </xf>
    <xf numFmtId="177" fontId="3" fillId="19" borderId="10" xfId="0" applyNumberFormat="1" applyFont="1" applyFill="1" applyBorder="1" applyAlignment="1">
      <alignment horizontal="right" vertical="center"/>
    </xf>
    <xf numFmtId="177" fontId="3" fillId="19" borderId="273" xfId="0" applyNumberFormat="1" applyFont="1" applyFill="1" applyBorder="1" applyAlignment="1">
      <alignment horizontal="right" vertical="center"/>
    </xf>
    <xf numFmtId="0" fontId="46" fillId="2" borderId="69" xfId="0" applyFont="1" applyFill="1" applyBorder="1">
      <alignment vertical="center"/>
    </xf>
    <xf numFmtId="0" fontId="3" fillId="2" borderId="5"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22"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69" xfId="0" applyFont="1" applyFill="1" applyBorder="1" applyAlignment="1">
      <alignment horizontal="center" vertical="center"/>
    </xf>
    <xf numFmtId="0" fontId="3" fillId="2" borderId="13" xfId="0" applyFont="1" applyFill="1" applyBorder="1" applyAlignment="1">
      <alignment horizontal="center" vertical="center"/>
    </xf>
    <xf numFmtId="180" fontId="3" fillId="17" borderId="2" xfId="0" applyNumberFormat="1" applyFont="1" applyFill="1" applyBorder="1" applyAlignment="1">
      <alignment horizontal="right" vertical="center"/>
    </xf>
    <xf numFmtId="0" fontId="3" fillId="2" borderId="69" xfId="0" applyFont="1" applyFill="1" applyBorder="1" applyAlignment="1">
      <alignment vertical="center" wrapText="1"/>
    </xf>
    <xf numFmtId="0" fontId="3" fillId="2" borderId="309" xfId="0" applyFont="1" applyFill="1" applyBorder="1" applyAlignment="1">
      <alignment horizontal="center" vertical="center"/>
    </xf>
    <xf numFmtId="0" fontId="3" fillId="2" borderId="310" xfId="0" applyFont="1" applyFill="1" applyBorder="1" applyAlignment="1">
      <alignment horizontal="center" vertical="center"/>
    </xf>
    <xf numFmtId="0" fontId="3" fillId="2" borderId="22"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9"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0" fillId="2" borderId="43" xfId="0" applyFill="1" applyBorder="1" applyAlignment="1">
      <alignment horizontal="center" vertical="center"/>
    </xf>
    <xf numFmtId="181" fontId="0" fillId="2" borderId="22" xfId="0" applyNumberFormat="1" applyFill="1" applyBorder="1">
      <alignment vertical="center"/>
    </xf>
    <xf numFmtId="181" fontId="0" fillId="2" borderId="10" xfId="0" applyNumberFormat="1" applyFill="1" applyBorder="1">
      <alignment vertical="center"/>
    </xf>
    <xf numFmtId="0" fontId="7" fillId="2" borderId="6" xfId="0" applyFont="1" applyFill="1" applyBorder="1" applyAlignment="1">
      <alignment horizontal="right" vertical="center"/>
    </xf>
    <xf numFmtId="0" fontId="3" fillId="2" borderId="186" xfId="0"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178" fontId="3" fillId="17" borderId="2" xfId="0" applyNumberFormat="1" applyFont="1" applyFill="1" applyBorder="1" applyAlignment="1">
      <alignment horizontal="right" vertical="center"/>
    </xf>
    <xf numFmtId="0" fontId="0" fillId="19" borderId="312" xfId="0" applyFill="1" applyBorder="1" applyAlignment="1">
      <alignment horizontal="center" vertical="center"/>
    </xf>
    <xf numFmtId="181" fontId="0" fillId="19" borderId="4" xfId="0" applyNumberFormat="1" applyFill="1" applyBorder="1">
      <alignment vertical="center"/>
    </xf>
    <xf numFmtId="181" fontId="0" fillId="19" borderId="2" xfId="0" applyNumberFormat="1" applyFill="1" applyBorder="1">
      <alignment vertical="center"/>
    </xf>
    <xf numFmtId="181" fontId="0" fillId="19" borderId="10" xfId="0" applyNumberFormat="1" applyFill="1" applyBorder="1">
      <alignment vertical="center"/>
    </xf>
    <xf numFmtId="181" fontId="0" fillId="19" borderId="3" xfId="0" applyNumberFormat="1" applyFill="1" applyBorder="1">
      <alignment vertical="center"/>
    </xf>
    <xf numFmtId="0" fontId="3" fillId="2" borderId="123"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0" xfId="0" applyFont="1" applyFill="1" applyBorder="1" applyAlignment="1">
      <alignment horizontal="center" vertical="center"/>
    </xf>
    <xf numFmtId="0" fontId="3" fillId="2" borderId="69" xfId="0" applyFont="1" applyFill="1" applyBorder="1" applyAlignment="1">
      <alignment horizontal="center" vertical="center"/>
    </xf>
    <xf numFmtId="0" fontId="3" fillId="2" borderId="66"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86" xfId="0" applyFont="1" applyFill="1" applyBorder="1" applyAlignment="1">
      <alignment horizontal="center" vertical="center"/>
    </xf>
    <xf numFmtId="0" fontId="3" fillId="2" borderId="83" xfId="0" applyFont="1" applyFill="1" applyBorder="1" applyAlignment="1">
      <alignment horizontal="center" vertical="center"/>
    </xf>
    <xf numFmtId="0" fontId="3" fillId="2" borderId="388" xfId="0" applyFont="1" applyFill="1" applyBorder="1" applyAlignment="1">
      <alignment horizontal="center" vertical="center"/>
    </xf>
    <xf numFmtId="0" fontId="3" fillId="2" borderId="389" xfId="0" applyFont="1" applyFill="1" applyBorder="1" applyAlignment="1">
      <alignment horizontal="center" vertical="center"/>
    </xf>
    <xf numFmtId="0" fontId="13" fillId="2" borderId="0" xfId="0" applyFont="1" applyFill="1">
      <alignment vertical="center"/>
    </xf>
    <xf numFmtId="0" fontId="7" fillId="2" borderId="32" xfId="0" applyFont="1" applyFill="1" applyBorder="1" applyAlignment="1">
      <alignment horizontal="right" vertical="center"/>
    </xf>
    <xf numFmtId="0" fontId="7" fillId="2" borderId="169" xfId="0" applyFont="1" applyFill="1" applyBorder="1" applyAlignment="1">
      <alignment horizontal="right" vertical="center"/>
    </xf>
    <xf numFmtId="0" fontId="7" fillId="2" borderId="10" xfId="0" applyFont="1" applyFill="1" applyBorder="1" applyAlignment="1">
      <alignment vertical="center"/>
    </xf>
    <xf numFmtId="0" fontId="7" fillId="2" borderId="123" xfId="0" applyFont="1" applyFill="1" applyBorder="1" applyAlignment="1">
      <alignment vertical="center"/>
    </xf>
    <xf numFmtId="0" fontId="7" fillId="2" borderId="74" xfId="0" applyFont="1" applyFill="1" applyBorder="1" applyAlignment="1">
      <alignment vertical="center"/>
    </xf>
    <xf numFmtId="0" fontId="7" fillId="2" borderId="75" xfId="0" applyFont="1" applyFill="1" applyBorder="1" applyAlignment="1">
      <alignment vertical="center"/>
    </xf>
    <xf numFmtId="0" fontId="7" fillId="2" borderId="20" xfId="0" applyFont="1" applyFill="1" applyBorder="1" applyAlignment="1">
      <alignment horizontal="center" vertical="center"/>
    </xf>
    <xf numFmtId="0" fontId="7" fillId="2" borderId="23" xfId="0" applyFont="1" applyFill="1" applyBorder="1" applyAlignment="1">
      <alignment vertical="center"/>
    </xf>
    <xf numFmtId="0" fontId="7" fillId="2" borderId="24" xfId="0" applyFont="1" applyFill="1" applyBorder="1" applyAlignment="1">
      <alignment vertical="center"/>
    </xf>
    <xf numFmtId="0" fontId="7" fillId="2" borderId="5" xfId="0" applyFont="1" applyFill="1" applyBorder="1" applyAlignment="1">
      <alignment vertical="center"/>
    </xf>
    <xf numFmtId="0" fontId="7" fillId="2" borderId="6" xfId="0" applyFont="1" applyFill="1" applyBorder="1" applyAlignment="1">
      <alignment vertical="center"/>
    </xf>
    <xf numFmtId="0" fontId="7" fillId="2" borderId="2" xfId="0" applyFont="1" applyFill="1" applyBorder="1" applyAlignment="1">
      <alignment vertical="center"/>
    </xf>
    <xf numFmtId="0" fontId="7" fillId="2" borderId="3" xfId="0" applyFont="1" applyFill="1" applyBorder="1" applyAlignment="1">
      <alignment vertical="center"/>
    </xf>
    <xf numFmtId="0" fontId="7" fillId="2" borderId="171" xfId="0" applyFont="1" applyFill="1" applyBorder="1" applyAlignment="1">
      <alignment horizontal="right" vertical="center"/>
    </xf>
    <xf numFmtId="0" fontId="7" fillId="2" borderId="172" xfId="0" applyFont="1" applyFill="1" applyBorder="1" applyAlignment="1">
      <alignment horizontal="right" vertical="center"/>
    </xf>
    <xf numFmtId="0" fontId="7" fillId="2" borderId="10" xfId="0" applyFont="1" applyFill="1" applyBorder="1" applyAlignment="1">
      <alignment horizontal="right" vertical="center"/>
    </xf>
    <xf numFmtId="0" fontId="7" fillId="2" borderId="123" xfId="0" applyFont="1" applyFill="1" applyBorder="1" applyAlignment="1">
      <alignment horizontal="right" vertical="center"/>
    </xf>
    <xf numFmtId="0" fontId="7" fillId="2" borderId="19" xfId="0" applyFont="1" applyFill="1" applyBorder="1" applyAlignment="1">
      <alignment horizontal="right" vertical="center"/>
    </xf>
    <xf numFmtId="0" fontId="7" fillId="2" borderId="6" xfId="0" applyFont="1" applyFill="1" applyBorder="1" applyAlignment="1">
      <alignment horizontal="right" vertical="center"/>
    </xf>
    <xf numFmtId="0" fontId="7" fillId="2" borderId="16" xfId="0" applyFont="1" applyFill="1" applyBorder="1" applyAlignment="1">
      <alignment horizontal="right" vertical="center"/>
    </xf>
    <xf numFmtId="0" fontId="7" fillId="2" borderId="162" xfId="0" applyFont="1" applyFill="1" applyBorder="1" applyAlignment="1">
      <alignment horizontal="right" vertical="center"/>
    </xf>
    <xf numFmtId="0" fontId="7" fillId="2" borderId="163" xfId="0" applyFont="1" applyFill="1" applyBorder="1" applyAlignment="1">
      <alignment horizontal="right" vertical="center"/>
    </xf>
    <xf numFmtId="0" fontId="7" fillId="2" borderId="3" xfId="0" applyFont="1" applyFill="1" applyBorder="1" applyAlignment="1">
      <alignment horizontal="right" vertical="center"/>
    </xf>
    <xf numFmtId="0" fontId="3" fillId="17" borderId="105" xfId="0" applyNumberFormat="1" applyFont="1" applyFill="1" applyBorder="1" applyAlignment="1">
      <alignment horizontal="center" vertical="center"/>
    </xf>
    <xf numFmtId="0" fontId="3" fillId="17" borderId="100" xfId="0" applyNumberFormat="1" applyFont="1" applyFill="1" applyBorder="1" applyAlignment="1">
      <alignment horizontal="center" vertical="center"/>
    </xf>
    <xf numFmtId="0" fontId="3" fillId="17" borderId="104" xfId="0" applyNumberFormat="1" applyFont="1" applyFill="1" applyBorder="1" applyAlignment="1">
      <alignment horizontal="center" vertical="center"/>
    </xf>
    <xf numFmtId="0" fontId="7" fillId="2" borderId="10" xfId="0" applyNumberFormat="1" applyFont="1" applyFill="1" applyBorder="1" applyAlignment="1">
      <alignment horizontal="right" vertical="center"/>
    </xf>
    <xf numFmtId="0" fontId="7" fillId="2" borderId="123" xfId="0" applyNumberFormat="1" applyFont="1" applyFill="1" applyBorder="1" applyAlignment="1">
      <alignment horizontal="right" vertical="center"/>
    </xf>
    <xf numFmtId="0" fontId="7" fillId="2" borderId="18" xfId="0" applyFont="1" applyFill="1" applyBorder="1" applyAlignment="1">
      <alignment horizontal="right" vertical="center"/>
    </xf>
    <xf numFmtId="0" fontId="3" fillId="17" borderId="99" xfId="0" applyNumberFormat="1" applyFont="1" applyFill="1" applyBorder="1" applyAlignment="1">
      <alignment horizontal="center" vertical="center"/>
    </xf>
    <xf numFmtId="0" fontId="3" fillId="17" borderId="64" xfId="0" applyNumberFormat="1" applyFont="1" applyFill="1" applyBorder="1" applyAlignment="1">
      <alignment horizontal="center" vertical="center"/>
    </xf>
    <xf numFmtId="0" fontId="3" fillId="17" borderId="101" xfId="0" applyNumberFormat="1" applyFont="1" applyFill="1" applyBorder="1" applyAlignment="1">
      <alignment horizontal="center" vertical="center"/>
    </xf>
    <xf numFmtId="0" fontId="3" fillId="17" borderId="102" xfId="0" applyNumberFormat="1" applyFont="1" applyFill="1" applyBorder="1" applyAlignment="1">
      <alignment horizontal="center" vertical="center"/>
    </xf>
    <xf numFmtId="0" fontId="3" fillId="17" borderId="103" xfId="0" applyNumberFormat="1" applyFont="1" applyFill="1" applyBorder="1" applyAlignment="1">
      <alignment horizontal="center" vertical="center"/>
    </xf>
    <xf numFmtId="0" fontId="3" fillId="17" borderId="38" xfId="0" applyNumberFormat="1" applyFont="1" applyFill="1" applyBorder="1" applyAlignment="1">
      <alignment horizontal="center" vertical="center"/>
    </xf>
    <xf numFmtId="9" fontId="7" fillId="2" borderId="16" xfId="0" applyNumberFormat="1" applyFont="1" applyFill="1" applyBorder="1" applyAlignment="1">
      <alignment horizontal="right" vertical="center"/>
    </xf>
    <xf numFmtId="0" fontId="3" fillId="17" borderId="106" xfId="0" applyNumberFormat="1" applyFont="1" applyFill="1" applyBorder="1" applyAlignment="1">
      <alignment horizontal="center" vertical="center"/>
    </xf>
    <xf numFmtId="0" fontId="7" fillId="2" borderId="242" xfId="0" applyFont="1" applyFill="1" applyBorder="1" applyAlignment="1">
      <alignment horizontal="center" vertical="center"/>
    </xf>
    <xf numFmtId="0" fontId="7" fillId="2" borderId="243" xfId="0" applyFont="1" applyFill="1" applyBorder="1" applyAlignment="1">
      <alignment horizontal="center" vertical="center"/>
    </xf>
    <xf numFmtId="0" fontId="7" fillId="2" borderId="244" xfId="0" applyFont="1" applyFill="1" applyBorder="1" applyAlignment="1">
      <alignment horizontal="center" vertical="center"/>
    </xf>
    <xf numFmtId="0" fontId="7" fillId="2" borderId="11" xfId="0" applyFont="1" applyFill="1" applyBorder="1" applyAlignment="1">
      <alignment horizontal="center" vertical="center"/>
    </xf>
    <xf numFmtId="0" fontId="7" fillId="17" borderId="109" xfId="0" applyFont="1" applyFill="1" applyBorder="1" applyAlignment="1">
      <alignment horizontal="center" vertical="center"/>
    </xf>
    <xf numFmtId="9" fontId="7" fillId="17" borderId="3" xfId="0" applyNumberFormat="1" applyFont="1" applyFill="1" applyBorder="1" applyAlignment="1">
      <alignment horizontal="center" vertical="center"/>
    </xf>
    <xf numFmtId="9" fontId="7" fillId="17" borderId="10" xfId="0" applyNumberFormat="1" applyFont="1" applyFill="1" applyBorder="1" applyAlignment="1">
      <alignment horizontal="center" vertical="center"/>
    </xf>
    <xf numFmtId="9" fontId="7" fillId="17" borderId="123" xfId="0" applyNumberFormat="1" applyFont="1" applyFill="1" applyBorder="1" applyAlignment="1">
      <alignment horizontal="center" vertical="center"/>
    </xf>
    <xf numFmtId="0" fontId="7" fillId="17" borderId="6" xfId="0" applyFont="1" applyFill="1" applyBorder="1" applyAlignment="1">
      <alignment horizontal="center" vertical="center"/>
    </xf>
    <xf numFmtId="0" fontId="7" fillId="17" borderId="15" xfId="0" applyFont="1" applyFill="1" applyBorder="1" applyAlignment="1">
      <alignment horizontal="right" vertical="center"/>
    </xf>
    <xf numFmtId="0" fontId="7" fillId="17" borderId="16" xfId="0" applyFont="1" applyFill="1" applyBorder="1" applyAlignment="1">
      <alignment horizontal="right" vertical="center"/>
    </xf>
    <xf numFmtId="0" fontId="7" fillId="17" borderId="32" xfId="0" applyFont="1" applyFill="1" applyBorder="1" applyAlignment="1">
      <alignment horizontal="right" vertical="center"/>
    </xf>
    <xf numFmtId="0" fontId="7" fillId="17" borderId="169" xfId="0" applyFont="1" applyFill="1" applyBorder="1" applyAlignment="1">
      <alignment horizontal="right" vertical="center"/>
    </xf>
    <xf numFmtId="0" fontId="7" fillId="17" borderId="10" xfId="0" applyFont="1" applyFill="1" applyBorder="1" applyAlignment="1">
      <alignment horizontal="right" vertical="center"/>
    </xf>
    <xf numFmtId="0" fontId="7" fillId="17" borderId="123" xfId="0" applyFont="1" applyFill="1" applyBorder="1" applyAlignment="1">
      <alignment horizontal="right" vertical="center"/>
    </xf>
    <xf numFmtId="0" fontId="7" fillId="17" borderId="5" xfId="0" applyFont="1" applyFill="1" applyBorder="1" applyAlignment="1">
      <alignment horizontal="right" vertical="center"/>
    </xf>
    <xf numFmtId="0" fontId="7" fillId="17" borderId="6" xfId="0" applyFont="1" applyFill="1" applyBorder="1" applyAlignment="1">
      <alignment horizontal="right" vertical="center"/>
    </xf>
    <xf numFmtId="0" fontId="7" fillId="17" borderId="162" xfId="0" applyFont="1" applyFill="1" applyBorder="1" applyAlignment="1">
      <alignment horizontal="right" vertical="center"/>
    </xf>
    <xf numFmtId="0" fontId="7" fillId="17" borderId="163" xfId="0" applyFont="1" applyFill="1" applyBorder="1" applyAlignment="1">
      <alignment horizontal="right" vertical="center"/>
    </xf>
    <xf numFmtId="0" fontId="7" fillId="17" borderId="2" xfId="0" applyFont="1" applyFill="1" applyBorder="1" applyAlignment="1">
      <alignment horizontal="right" vertical="center"/>
    </xf>
    <xf numFmtId="0" fontId="7" fillId="17" borderId="3" xfId="0" applyFont="1" applyFill="1" applyBorder="1" applyAlignment="1">
      <alignment horizontal="right" vertical="center"/>
    </xf>
    <xf numFmtId="0" fontId="7" fillId="17" borderId="18" xfId="0" applyNumberFormat="1" applyFont="1" applyFill="1" applyBorder="1" applyAlignment="1">
      <alignment vertical="center"/>
    </xf>
    <xf numFmtId="0" fontId="7" fillId="17" borderId="19" xfId="0" applyNumberFormat="1" applyFont="1" applyFill="1" applyBorder="1" applyAlignment="1">
      <alignment vertical="center"/>
    </xf>
    <xf numFmtId="0" fontId="7" fillId="17" borderId="5" xfId="0" applyNumberFormat="1" applyFont="1" applyFill="1" applyBorder="1" applyAlignment="1">
      <alignment vertical="center"/>
    </xf>
    <xf numFmtId="0" fontId="7" fillId="17" borderId="6" xfId="0" applyNumberFormat="1" applyFont="1" applyFill="1" applyBorder="1" applyAlignment="1">
      <alignment vertical="center"/>
    </xf>
    <xf numFmtId="0" fontId="7" fillId="17" borderId="2" xfId="0" applyNumberFormat="1" applyFont="1" applyFill="1" applyBorder="1" applyAlignment="1">
      <alignment vertical="center"/>
    </xf>
    <xf numFmtId="0" fontId="7" fillId="17" borderId="3" xfId="0" applyNumberFormat="1" applyFont="1" applyFill="1" applyBorder="1" applyAlignment="1">
      <alignment vertical="center"/>
    </xf>
    <xf numFmtId="0" fontId="7" fillId="17" borderId="170" xfId="0" applyFont="1" applyFill="1" applyBorder="1" applyAlignment="1">
      <alignment horizontal="center" vertical="center"/>
    </xf>
    <xf numFmtId="0" fontId="7" fillId="17" borderId="14" xfId="0" applyFont="1" applyFill="1" applyBorder="1" applyAlignment="1">
      <alignment horizontal="center" vertical="center"/>
    </xf>
    <xf numFmtId="0" fontId="7" fillId="17" borderId="79" xfId="0" applyFont="1" applyFill="1" applyBorder="1" applyAlignment="1">
      <alignment horizontal="center" vertical="center"/>
    </xf>
    <xf numFmtId="0" fontId="7" fillId="17" borderId="15" xfId="0" applyNumberFormat="1" applyFont="1" applyFill="1" applyBorder="1" applyAlignment="1">
      <alignment vertical="center"/>
    </xf>
    <xf numFmtId="0" fontId="7" fillId="17" borderId="16" xfId="0" applyNumberFormat="1" applyFont="1" applyFill="1" applyBorder="1" applyAlignment="1">
      <alignment vertical="center"/>
    </xf>
    <xf numFmtId="0" fontId="7" fillId="17" borderId="10" xfId="0" applyNumberFormat="1" applyFont="1" applyFill="1" applyBorder="1" applyAlignment="1">
      <alignment vertical="center"/>
    </xf>
    <xf numFmtId="0" fontId="7" fillId="17" borderId="123" xfId="0" applyNumberFormat="1" applyFont="1" applyFill="1" applyBorder="1" applyAlignment="1">
      <alignment vertical="center"/>
    </xf>
    <xf numFmtId="0" fontId="7" fillId="17" borderId="171" xfId="0" applyNumberFormat="1" applyFont="1" applyFill="1" applyBorder="1" applyAlignment="1">
      <alignment horizontal="right" vertical="center"/>
    </xf>
    <xf numFmtId="0" fontId="7" fillId="17" borderId="172" xfId="0" applyNumberFormat="1" applyFont="1" applyFill="1" applyBorder="1" applyAlignment="1">
      <alignment horizontal="right" vertical="center"/>
    </xf>
    <xf numFmtId="0" fontId="7" fillId="17" borderId="162" xfId="0" applyNumberFormat="1" applyFont="1" applyFill="1" applyBorder="1" applyAlignment="1">
      <alignment horizontal="right" vertical="center"/>
    </xf>
    <xf numFmtId="0" fontId="7" fillId="17" borderId="163" xfId="0" applyNumberFormat="1" applyFont="1" applyFill="1" applyBorder="1" applyAlignment="1">
      <alignment horizontal="right" vertical="center"/>
    </xf>
    <xf numFmtId="0" fontId="7" fillId="2" borderId="2" xfId="0" applyFont="1" applyFill="1" applyBorder="1" applyAlignment="1">
      <alignment horizontal="right" vertical="center"/>
    </xf>
    <xf numFmtId="0" fontId="7" fillId="2" borderId="111" xfId="0" applyFont="1" applyFill="1" applyBorder="1" applyAlignment="1">
      <alignment horizontal="center" vertical="center"/>
    </xf>
    <xf numFmtId="0" fontId="7" fillId="2" borderId="250" xfId="0" applyFont="1" applyFill="1" applyBorder="1" applyAlignment="1">
      <alignment horizontal="right" vertical="center"/>
    </xf>
    <xf numFmtId="0" fontId="7" fillId="2" borderId="21" xfId="0" applyFont="1" applyFill="1" applyBorder="1" applyAlignment="1">
      <alignment horizontal="right" vertical="center"/>
    </xf>
    <xf numFmtId="0" fontId="7" fillId="2" borderId="164" xfId="0" applyFont="1" applyFill="1" applyBorder="1" applyAlignment="1">
      <alignment horizontal="right" vertical="center"/>
    </xf>
    <xf numFmtId="0" fontId="7" fillId="2" borderId="165" xfId="0" applyFont="1" applyFill="1" applyBorder="1" applyAlignment="1">
      <alignment horizontal="right" vertical="center"/>
    </xf>
    <xf numFmtId="0" fontId="7" fillId="2" borderId="15" xfId="0" applyFont="1" applyFill="1" applyBorder="1" applyAlignment="1">
      <alignment vertical="center"/>
    </xf>
    <xf numFmtId="0" fontId="7" fillId="2" borderId="16" xfId="0" applyFont="1" applyFill="1" applyBorder="1" applyAlignment="1">
      <alignment vertical="center"/>
    </xf>
    <xf numFmtId="0" fontId="7" fillId="2" borderId="7" xfId="0" applyFont="1" applyFill="1" applyBorder="1" applyAlignment="1">
      <alignment vertical="center"/>
    </xf>
    <xf numFmtId="0" fontId="7" fillId="2" borderId="8" xfId="0" applyFont="1" applyFill="1" applyBorder="1" applyAlignment="1">
      <alignment vertical="center"/>
    </xf>
    <xf numFmtId="0" fontId="7" fillId="2" borderId="249" xfId="0" applyFont="1" applyFill="1" applyBorder="1" applyAlignment="1">
      <alignment horizontal="center" vertical="center" wrapText="1"/>
    </xf>
    <xf numFmtId="0" fontId="7" fillId="2" borderId="110" xfId="0" applyFont="1" applyFill="1" applyBorder="1" applyAlignment="1">
      <alignment horizontal="center" vertical="center"/>
    </xf>
    <xf numFmtId="0" fontId="7" fillId="2" borderId="110" xfId="0" applyFont="1" applyFill="1" applyBorder="1" applyAlignment="1">
      <alignment horizontal="center" vertical="center" wrapText="1"/>
    </xf>
    <xf numFmtId="0" fontId="7" fillId="2" borderId="248" xfId="0" applyFont="1" applyFill="1" applyBorder="1" applyAlignment="1">
      <alignment horizontal="center" vertical="center"/>
    </xf>
    <xf numFmtId="0" fontId="7" fillId="2" borderId="161" xfId="0" applyFont="1" applyFill="1" applyBorder="1" applyAlignment="1">
      <alignment horizontal="right" vertical="center"/>
    </xf>
    <xf numFmtId="0" fontId="7" fillId="2" borderId="167" xfId="0" applyFont="1" applyFill="1" applyBorder="1" applyAlignment="1">
      <alignment horizontal="right" vertical="center"/>
    </xf>
    <xf numFmtId="0" fontId="3" fillId="2" borderId="36" xfId="0" applyFont="1" applyFill="1" applyBorder="1" applyAlignment="1">
      <alignment horizontal="center" vertical="center"/>
    </xf>
    <xf numFmtId="0" fontId="3" fillId="2" borderId="100" xfId="0" applyFont="1" applyFill="1" applyBorder="1" applyAlignment="1">
      <alignment horizontal="center" vertical="center"/>
    </xf>
    <xf numFmtId="0" fontId="3" fillId="2" borderId="72" xfId="0" applyFont="1" applyFill="1" applyBorder="1" applyAlignment="1">
      <alignment horizontal="center" vertical="center"/>
    </xf>
    <xf numFmtId="176" fontId="3" fillId="2" borderId="63" xfId="0" applyNumberFormat="1" applyFont="1" applyFill="1" applyBorder="1" applyAlignment="1">
      <alignment horizontal="center" vertical="center"/>
    </xf>
    <xf numFmtId="176" fontId="3" fillId="2" borderId="62" xfId="0" applyNumberFormat="1" applyFont="1" applyFill="1" applyBorder="1" applyAlignment="1">
      <alignment horizontal="center" vertical="center"/>
    </xf>
    <xf numFmtId="176" fontId="3" fillId="2" borderId="37" xfId="0" applyNumberFormat="1" applyFont="1" applyFill="1" applyBorder="1" applyAlignment="1">
      <alignment horizontal="center" vertical="center"/>
    </xf>
    <xf numFmtId="176" fontId="3" fillId="2" borderId="72" xfId="0" applyNumberFormat="1" applyFont="1" applyFill="1" applyBorder="1" applyAlignment="1">
      <alignment horizontal="center" vertical="center"/>
    </xf>
    <xf numFmtId="176" fontId="3" fillId="2" borderId="254" xfId="0" applyNumberFormat="1" applyFont="1" applyFill="1" applyBorder="1" applyAlignment="1">
      <alignment horizontal="center" vertical="center"/>
    </xf>
    <xf numFmtId="176" fontId="3" fillId="2" borderId="225" xfId="0" applyNumberFormat="1" applyFont="1" applyFill="1" applyBorder="1" applyAlignment="1">
      <alignment horizontal="center" vertical="center"/>
    </xf>
    <xf numFmtId="176" fontId="3" fillId="2" borderId="226" xfId="0" applyNumberFormat="1" applyFont="1" applyFill="1" applyBorder="1" applyAlignment="1">
      <alignment horizontal="center" vertical="center"/>
    </xf>
    <xf numFmtId="0" fontId="3" fillId="2" borderId="107" xfId="0" applyFont="1" applyFill="1" applyBorder="1" applyAlignment="1">
      <alignment horizontal="center" vertical="center"/>
    </xf>
    <xf numFmtId="0" fontId="3" fillId="2" borderId="77" xfId="0" applyFont="1" applyFill="1" applyBorder="1" applyAlignment="1">
      <alignment horizontal="center" vertical="center"/>
    </xf>
    <xf numFmtId="0" fontId="3" fillId="2" borderId="124" xfId="0" applyFont="1" applyFill="1" applyBorder="1" applyAlignment="1">
      <alignment horizontal="center" vertical="center"/>
    </xf>
    <xf numFmtId="0" fontId="3" fillId="2" borderId="158" xfId="0" applyFont="1" applyFill="1" applyBorder="1" applyAlignment="1">
      <alignment horizontal="center" vertical="center"/>
    </xf>
    <xf numFmtId="0" fontId="3" fillId="2" borderId="78" xfId="0" applyFont="1" applyFill="1" applyBorder="1" applyAlignment="1">
      <alignment horizontal="center" vertical="center"/>
    </xf>
    <xf numFmtId="0" fontId="3" fillId="2" borderId="76" xfId="0" applyFont="1" applyFill="1" applyBorder="1" applyAlignment="1">
      <alignment horizontal="center" vertical="center"/>
    </xf>
    <xf numFmtId="176" fontId="3" fillId="2" borderId="101" xfId="0" applyNumberFormat="1" applyFont="1" applyFill="1" applyBorder="1" applyAlignment="1">
      <alignment horizontal="center" vertical="center"/>
    </xf>
    <xf numFmtId="176" fontId="3" fillId="2" borderId="100" xfId="0" applyNumberFormat="1" applyFont="1" applyFill="1" applyBorder="1" applyAlignment="1">
      <alignment horizontal="center" vertical="center"/>
    </xf>
    <xf numFmtId="176" fontId="3" fillId="2" borderId="64" xfId="0" applyNumberFormat="1" applyFont="1" applyFill="1" applyBorder="1" applyAlignment="1">
      <alignment horizontal="center" vertical="center"/>
    </xf>
    <xf numFmtId="0" fontId="3" fillId="2" borderId="101" xfId="0" applyFont="1" applyFill="1" applyBorder="1" applyAlignment="1">
      <alignment horizontal="center" vertical="center"/>
    </xf>
    <xf numFmtId="0" fontId="3" fillId="2" borderId="64" xfId="0" applyFont="1" applyFill="1" applyBorder="1" applyAlignment="1">
      <alignment horizontal="center" vertical="center"/>
    </xf>
    <xf numFmtId="0" fontId="21" fillId="11" borderId="228" xfId="0" applyFont="1" applyFill="1" applyBorder="1" applyAlignment="1">
      <alignment horizontal="center" vertical="center" wrapText="1"/>
    </xf>
    <xf numFmtId="0" fontId="21" fillId="11" borderId="227" xfId="0" applyFont="1" applyFill="1" applyBorder="1" applyAlignment="1">
      <alignment horizontal="center" vertical="center"/>
    </xf>
    <xf numFmtId="0" fontId="21" fillId="11" borderId="223" xfId="0" applyFont="1" applyFill="1" applyBorder="1" applyAlignment="1">
      <alignment horizontal="center" vertical="center"/>
    </xf>
    <xf numFmtId="0" fontId="19" fillId="14" borderId="225" xfId="0" applyFont="1" applyFill="1" applyBorder="1" applyAlignment="1">
      <alignment horizontal="center" vertical="center"/>
    </xf>
    <xf numFmtId="0" fontId="19" fillId="14" borderId="230" xfId="0" applyFont="1" applyFill="1" applyBorder="1" applyAlignment="1">
      <alignment horizontal="center" vertical="center"/>
    </xf>
    <xf numFmtId="0" fontId="19" fillId="14" borderId="231" xfId="0" applyFont="1" applyFill="1" applyBorder="1" applyAlignment="1">
      <alignment horizontal="center" vertical="center"/>
    </xf>
    <xf numFmtId="0" fontId="19" fillId="14" borderId="230" xfId="0" applyFont="1" applyFill="1" applyBorder="1" applyAlignment="1">
      <alignment horizontal="center" vertical="center" wrapText="1"/>
    </xf>
    <xf numFmtId="0" fontId="19" fillId="14" borderId="228" xfId="0" applyFont="1" applyFill="1" applyBorder="1" applyAlignment="1">
      <alignment horizontal="center" vertical="center" wrapText="1"/>
    </xf>
    <xf numFmtId="0" fontId="19" fillId="14" borderId="227" xfId="0" applyFont="1" applyFill="1" applyBorder="1" applyAlignment="1">
      <alignment horizontal="center" vertical="center"/>
    </xf>
    <xf numFmtId="0" fontId="19" fillId="14" borderId="223" xfId="0" applyFont="1" applyFill="1" applyBorder="1" applyAlignment="1">
      <alignment horizontal="center" vertical="center"/>
    </xf>
    <xf numFmtId="0" fontId="19" fillId="16" borderId="230" xfId="0" applyFont="1" applyFill="1" applyBorder="1" applyAlignment="1">
      <alignment horizontal="center" vertical="center" wrapText="1"/>
    </xf>
    <xf numFmtId="0" fontId="19" fillId="16" borderId="231" xfId="0" applyFont="1" applyFill="1" applyBorder="1" applyAlignment="1">
      <alignment horizontal="center" vertical="center"/>
    </xf>
    <xf numFmtId="0" fontId="19" fillId="16" borderId="228" xfId="0" applyFont="1" applyFill="1" applyBorder="1" applyAlignment="1">
      <alignment horizontal="center" vertical="center" wrapText="1"/>
    </xf>
    <xf numFmtId="0" fontId="19" fillId="16" borderId="227" xfId="0" applyFont="1" applyFill="1" applyBorder="1" applyAlignment="1">
      <alignment horizontal="center" vertical="center"/>
    </xf>
    <xf numFmtId="0" fontId="19" fillId="16" borderId="223" xfId="0" applyFont="1" applyFill="1" applyBorder="1" applyAlignment="1">
      <alignment horizontal="center" vertical="center"/>
    </xf>
    <xf numFmtId="0" fontId="21" fillId="11" borderId="225" xfId="0" applyFont="1" applyFill="1" applyBorder="1" applyAlignment="1">
      <alignment horizontal="center" vertical="center"/>
    </xf>
    <xf numFmtId="0" fontId="21" fillId="11" borderId="230" xfId="0" applyFont="1" applyFill="1" applyBorder="1" applyAlignment="1">
      <alignment horizontal="center" vertical="center"/>
    </xf>
    <xf numFmtId="0" fontId="21" fillId="11" borderId="231" xfId="0" applyFont="1" applyFill="1" applyBorder="1" applyAlignment="1">
      <alignment horizontal="center" vertical="center"/>
    </xf>
    <xf numFmtId="0" fontId="21" fillId="11" borderId="230" xfId="0" applyFont="1" applyFill="1" applyBorder="1" applyAlignment="1">
      <alignment horizontal="center" vertical="center" wrapText="1"/>
    </xf>
    <xf numFmtId="0" fontId="19" fillId="15" borderId="230" xfId="0" applyFont="1" applyFill="1" applyBorder="1" applyAlignment="1">
      <alignment horizontal="center" vertical="center"/>
    </xf>
    <xf numFmtId="0" fontId="19" fillId="15" borderId="231" xfId="0" applyFont="1" applyFill="1" applyBorder="1" applyAlignment="1">
      <alignment horizontal="center" vertical="center"/>
    </xf>
    <xf numFmtId="0" fontId="19" fillId="15" borderId="230" xfId="0" applyFont="1" applyFill="1" applyBorder="1" applyAlignment="1">
      <alignment horizontal="center" vertical="center" wrapText="1"/>
    </xf>
    <xf numFmtId="0" fontId="19" fillId="15" borderId="228" xfId="0" applyFont="1" applyFill="1" applyBorder="1" applyAlignment="1">
      <alignment horizontal="center" vertical="center" wrapText="1"/>
    </xf>
    <xf numFmtId="0" fontId="19" fillId="15" borderId="227" xfId="0" applyFont="1" applyFill="1" applyBorder="1" applyAlignment="1">
      <alignment horizontal="center" vertical="center"/>
    </xf>
    <xf numFmtId="0" fontId="19" fillId="15" borderId="223" xfId="0" applyFont="1" applyFill="1" applyBorder="1" applyAlignment="1">
      <alignment horizontal="center" vertical="center"/>
    </xf>
    <xf numFmtId="0" fontId="19" fillId="16" borderId="225" xfId="0" applyFont="1" applyFill="1" applyBorder="1" applyAlignment="1">
      <alignment horizontal="center" vertical="center"/>
    </xf>
    <xf numFmtId="0" fontId="19" fillId="16" borderId="230" xfId="0" applyFont="1" applyFill="1" applyBorder="1" applyAlignment="1">
      <alignment horizontal="center" vertical="center"/>
    </xf>
    <xf numFmtId="0" fontId="3" fillId="12" borderId="225" xfId="0" applyFont="1" applyFill="1" applyBorder="1" applyAlignment="1">
      <alignment horizontal="center" vertical="center"/>
    </xf>
    <xf numFmtId="0" fontId="3" fillId="12" borderId="230" xfId="0" applyFont="1" applyFill="1" applyBorder="1" applyAlignment="1">
      <alignment horizontal="center" vertical="center"/>
    </xf>
    <xf numFmtId="0" fontId="3" fillId="12" borderId="231" xfId="0" applyFont="1" applyFill="1" applyBorder="1" applyAlignment="1">
      <alignment horizontal="center" vertical="center"/>
    </xf>
    <xf numFmtId="0" fontId="3" fillId="12" borderId="230" xfId="0" applyFont="1" applyFill="1" applyBorder="1" applyAlignment="1">
      <alignment horizontal="center" vertical="center" wrapText="1"/>
    </xf>
    <xf numFmtId="0" fontId="3" fillId="12" borderId="228" xfId="0" applyFont="1" applyFill="1" applyBorder="1" applyAlignment="1">
      <alignment horizontal="center" vertical="center" wrapText="1"/>
    </xf>
    <xf numFmtId="0" fontId="3" fillId="12" borderId="227" xfId="0" applyFont="1" applyFill="1" applyBorder="1" applyAlignment="1">
      <alignment horizontal="center" vertical="center"/>
    </xf>
    <xf numFmtId="0" fontId="3" fillId="12" borderId="223" xfId="0" applyFont="1" applyFill="1" applyBorder="1" applyAlignment="1">
      <alignment horizontal="center" vertical="center"/>
    </xf>
    <xf numFmtId="0" fontId="19" fillId="15" borderId="225" xfId="0" applyFont="1" applyFill="1" applyBorder="1" applyAlignment="1">
      <alignment horizontal="center" vertical="center"/>
    </xf>
    <xf numFmtId="0" fontId="19" fillId="13" borderId="228" xfId="0" applyFont="1" applyFill="1" applyBorder="1" applyAlignment="1">
      <alignment horizontal="center" vertical="center" wrapText="1"/>
    </xf>
    <xf numFmtId="0" fontId="19" fillId="13" borderId="227" xfId="0" applyFont="1" applyFill="1" applyBorder="1" applyAlignment="1">
      <alignment horizontal="center" vertical="center"/>
    </xf>
    <xf numFmtId="0" fontId="19" fillId="13" borderId="223" xfId="0" applyFont="1" applyFill="1" applyBorder="1" applyAlignment="1">
      <alignment horizontal="center" vertical="center"/>
    </xf>
    <xf numFmtId="0" fontId="6" fillId="15" borderId="225" xfId="0" applyFont="1" applyFill="1" applyBorder="1" applyAlignment="1">
      <alignment horizontal="center" vertical="center"/>
    </xf>
    <xf numFmtId="0" fontId="6" fillId="15" borderId="230" xfId="0" applyFont="1" applyFill="1" applyBorder="1" applyAlignment="1">
      <alignment horizontal="center" vertical="center"/>
    </xf>
    <xf numFmtId="0" fontId="6" fillId="15" borderId="231" xfId="0" applyFont="1" applyFill="1" applyBorder="1" applyAlignment="1">
      <alignment horizontal="center" vertical="center"/>
    </xf>
    <xf numFmtId="0" fontId="6" fillId="15" borderId="230" xfId="0" applyFont="1" applyFill="1" applyBorder="1" applyAlignment="1">
      <alignment horizontal="center" vertical="center" wrapText="1"/>
    </xf>
    <xf numFmtId="0" fontId="6" fillId="15" borderId="228" xfId="0" applyFont="1" applyFill="1" applyBorder="1" applyAlignment="1">
      <alignment horizontal="center" vertical="center" wrapText="1"/>
    </xf>
    <xf numFmtId="0" fontId="6" fillId="15" borderId="227" xfId="0" applyFont="1" applyFill="1" applyBorder="1" applyAlignment="1">
      <alignment horizontal="center" vertical="center"/>
    </xf>
    <xf numFmtId="0" fontId="6" fillId="15" borderId="223" xfId="0" applyFont="1" applyFill="1" applyBorder="1" applyAlignment="1">
      <alignment horizontal="center" vertical="center"/>
    </xf>
    <xf numFmtId="0" fontId="19" fillId="13" borderId="225" xfId="0" applyFont="1" applyFill="1" applyBorder="1" applyAlignment="1">
      <alignment horizontal="center" vertical="center"/>
    </xf>
    <xf numFmtId="0" fontId="19" fillId="13" borderId="230" xfId="0" applyFont="1" applyFill="1" applyBorder="1" applyAlignment="1">
      <alignment horizontal="center" vertical="center"/>
    </xf>
    <xf numFmtId="0" fontId="19" fillId="13" borderId="231" xfId="0" applyFont="1" applyFill="1" applyBorder="1" applyAlignment="1">
      <alignment horizontal="center" vertical="center"/>
    </xf>
    <xf numFmtId="0" fontId="19" fillId="13" borderId="230" xfId="0" applyFont="1" applyFill="1" applyBorder="1" applyAlignment="1">
      <alignment horizontal="center" vertical="center" wrapText="1"/>
    </xf>
    <xf numFmtId="0" fontId="3" fillId="11" borderId="228" xfId="0" applyFont="1" applyFill="1" applyBorder="1" applyAlignment="1">
      <alignment horizontal="center" vertical="center" wrapText="1"/>
    </xf>
    <xf numFmtId="0" fontId="3" fillId="11" borderId="227" xfId="0" applyFont="1" applyFill="1" applyBorder="1" applyAlignment="1">
      <alignment horizontal="center" vertical="center"/>
    </xf>
    <xf numFmtId="0" fontId="3" fillId="11" borderId="223" xfId="0" applyFont="1" applyFill="1" applyBorder="1" applyAlignment="1">
      <alignment horizontal="center" vertical="center"/>
    </xf>
    <xf numFmtId="0" fontId="3" fillId="11" borderId="225" xfId="0" applyFont="1" applyFill="1" applyBorder="1" applyAlignment="1">
      <alignment horizontal="center" vertical="center"/>
    </xf>
    <xf numFmtId="0" fontId="3" fillId="11" borderId="230" xfId="0" applyFont="1" applyFill="1" applyBorder="1" applyAlignment="1">
      <alignment horizontal="center" vertical="center"/>
    </xf>
    <xf numFmtId="0" fontId="3" fillId="11" borderId="231" xfId="0" applyFont="1" applyFill="1" applyBorder="1" applyAlignment="1">
      <alignment horizontal="center" vertical="center"/>
    </xf>
    <xf numFmtId="0" fontId="3" fillId="11" borderId="230" xfId="0" applyFont="1" applyFill="1" applyBorder="1" applyAlignment="1">
      <alignment horizontal="center" vertical="center" wrapText="1"/>
    </xf>
    <xf numFmtId="0" fontId="3" fillId="14" borderId="228" xfId="0" applyFont="1" applyFill="1" applyBorder="1" applyAlignment="1">
      <alignment horizontal="center" vertical="center" wrapText="1"/>
    </xf>
    <xf numFmtId="0" fontId="3" fillId="14" borderId="227" xfId="0" applyFont="1" applyFill="1" applyBorder="1" applyAlignment="1">
      <alignment horizontal="center" vertical="center"/>
    </xf>
    <xf numFmtId="0" fontId="3" fillId="14" borderId="223" xfId="0" applyFont="1" applyFill="1" applyBorder="1" applyAlignment="1">
      <alignment horizontal="center" vertical="center"/>
    </xf>
    <xf numFmtId="0" fontId="3" fillId="13" borderId="225" xfId="0" applyFont="1" applyFill="1" applyBorder="1" applyAlignment="1">
      <alignment horizontal="center" vertical="center"/>
    </xf>
    <xf numFmtId="0" fontId="3" fillId="13" borderId="230" xfId="0" applyFont="1" applyFill="1" applyBorder="1" applyAlignment="1">
      <alignment horizontal="center" vertical="center"/>
    </xf>
    <xf numFmtId="0" fontId="3" fillId="13" borderId="231" xfId="0" applyFont="1" applyFill="1" applyBorder="1" applyAlignment="1">
      <alignment horizontal="center" vertical="center"/>
    </xf>
    <xf numFmtId="0" fontId="3" fillId="13" borderId="230" xfId="0" applyFont="1" applyFill="1" applyBorder="1" applyAlignment="1">
      <alignment horizontal="center" vertical="center" wrapText="1"/>
    </xf>
    <xf numFmtId="0" fontId="3" fillId="13" borderId="228" xfId="0" applyFont="1" applyFill="1" applyBorder="1" applyAlignment="1">
      <alignment horizontal="center" vertical="center" wrapText="1"/>
    </xf>
    <xf numFmtId="0" fontId="3" fillId="13" borderId="227" xfId="0" applyFont="1" applyFill="1" applyBorder="1" applyAlignment="1">
      <alignment horizontal="center" vertical="center"/>
    </xf>
    <xf numFmtId="0" fontId="3" fillId="13" borderId="223" xfId="0" applyFont="1" applyFill="1" applyBorder="1" applyAlignment="1">
      <alignment horizontal="center" vertical="center"/>
    </xf>
    <xf numFmtId="0" fontId="3" fillId="16" borderId="225" xfId="0" applyFont="1" applyFill="1" applyBorder="1" applyAlignment="1">
      <alignment horizontal="center" vertical="center"/>
    </xf>
    <xf numFmtId="0" fontId="3" fillId="16" borderId="230" xfId="0" applyFont="1" applyFill="1" applyBorder="1" applyAlignment="1">
      <alignment horizontal="center" vertical="center"/>
    </xf>
    <xf numFmtId="0" fontId="3" fillId="16" borderId="231" xfId="0" applyFont="1" applyFill="1" applyBorder="1" applyAlignment="1">
      <alignment horizontal="center" vertical="center"/>
    </xf>
    <xf numFmtId="0" fontId="3" fillId="16" borderId="230" xfId="0" applyFont="1" applyFill="1" applyBorder="1" applyAlignment="1">
      <alignment horizontal="center" vertical="center" wrapText="1"/>
    </xf>
    <xf numFmtId="0" fontId="3" fillId="16" borderId="228" xfId="0" applyFont="1" applyFill="1" applyBorder="1" applyAlignment="1">
      <alignment horizontal="center" vertical="center" wrapText="1"/>
    </xf>
    <xf numFmtId="0" fontId="3" fillId="16" borderId="227" xfId="0" applyFont="1" applyFill="1" applyBorder="1" applyAlignment="1">
      <alignment horizontal="center" vertical="center"/>
    </xf>
    <xf numFmtId="0" fontId="3" fillId="16" borderId="223" xfId="0" applyFont="1" applyFill="1" applyBorder="1" applyAlignment="1">
      <alignment horizontal="center" vertical="center"/>
    </xf>
    <xf numFmtId="0" fontId="3" fillId="15" borderId="225" xfId="0" applyFont="1" applyFill="1" applyBorder="1" applyAlignment="1">
      <alignment horizontal="center" vertical="center"/>
    </xf>
    <xf numFmtId="0" fontId="3" fillId="15" borderId="230" xfId="0" applyFont="1" applyFill="1" applyBorder="1" applyAlignment="1">
      <alignment horizontal="center" vertical="center"/>
    </xf>
    <xf numFmtId="0" fontId="3" fillId="15" borderId="231" xfId="0" applyFont="1" applyFill="1" applyBorder="1" applyAlignment="1">
      <alignment horizontal="center" vertical="center"/>
    </xf>
    <xf numFmtId="0" fontId="3" fillId="15" borderId="230" xfId="0" applyFont="1" applyFill="1" applyBorder="1" applyAlignment="1">
      <alignment horizontal="center" vertical="center" wrapText="1"/>
    </xf>
    <xf numFmtId="0" fontId="3" fillId="15" borderId="228" xfId="0" applyFont="1" applyFill="1" applyBorder="1" applyAlignment="1">
      <alignment horizontal="center" vertical="center" wrapText="1"/>
    </xf>
    <xf numFmtId="0" fontId="3" fillId="15" borderId="227" xfId="0" applyFont="1" applyFill="1" applyBorder="1" applyAlignment="1">
      <alignment horizontal="center" vertical="center"/>
    </xf>
    <xf numFmtId="0" fontId="3" fillId="15" borderId="223" xfId="0" applyFont="1" applyFill="1" applyBorder="1" applyAlignment="1">
      <alignment horizontal="center" vertical="center"/>
    </xf>
    <xf numFmtId="0" fontId="3" fillId="14" borderId="225" xfId="0" applyFont="1" applyFill="1" applyBorder="1" applyAlignment="1">
      <alignment horizontal="center" vertical="center"/>
    </xf>
    <xf numFmtId="0" fontId="3" fillId="14" borderId="230" xfId="0" applyFont="1" applyFill="1" applyBorder="1" applyAlignment="1">
      <alignment horizontal="center" vertical="center"/>
    </xf>
    <xf numFmtId="0" fontId="3" fillId="14" borderId="231" xfId="0" applyFont="1" applyFill="1" applyBorder="1" applyAlignment="1">
      <alignment horizontal="center" vertical="center"/>
    </xf>
    <xf numFmtId="0" fontId="3" fillId="14" borderId="230" xfId="0" applyFont="1" applyFill="1" applyBorder="1" applyAlignment="1">
      <alignment horizontal="center" vertical="center" wrapText="1"/>
    </xf>
    <xf numFmtId="0" fontId="3" fillId="15" borderId="239" xfId="0" applyFont="1" applyFill="1" applyBorder="1" applyAlignment="1">
      <alignment horizontal="center" vertical="center" wrapText="1"/>
    </xf>
    <xf numFmtId="0" fontId="3" fillId="15" borderId="240" xfId="0" applyFont="1" applyFill="1" applyBorder="1" applyAlignment="1">
      <alignment horizontal="center" vertical="center" wrapText="1"/>
    </xf>
    <xf numFmtId="0" fontId="3" fillId="15" borderId="241" xfId="0" applyFont="1" applyFill="1" applyBorder="1" applyAlignment="1">
      <alignment horizontal="center" vertical="center" wrapText="1"/>
    </xf>
    <xf numFmtId="0" fontId="3" fillId="15" borderId="233" xfId="0" applyFont="1" applyFill="1" applyBorder="1" applyAlignment="1">
      <alignment horizontal="center" vertical="center"/>
    </xf>
    <xf numFmtId="0" fontId="3" fillId="15" borderId="234" xfId="0" applyFont="1" applyFill="1" applyBorder="1" applyAlignment="1">
      <alignment horizontal="center" vertical="center"/>
    </xf>
    <xf numFmtId="0" fontId="3" fillId="15" borderId="235" xfId="0" applyFont="1" applyFill="1" applyBorder="1" applyAlignment="1">
      <alignment horizontal="center" vertical="center"/>
    </xf>
    <xf numFmtId="0" fontId="3" fillId="15" borderId="236" xfId="0" applyFont="1" applyFill="1" applyBorder="1" applyAlignment="1">
      <alignment horizontal="center" vertical="center"/>
    </xf>
    <xf numFmtId="0" fontId="3" fillId="13" borderId="237" xfId="0" applyFont="1" applyFill="1" applyBorder="1" applyAlignment="1">
      <alignment horizontal="center" vertical="center" wrapText="1"/>
    </xf>
    <xf numFmtId="0" fontId="3" fillId="13" borderId="238" xfId="0" applyFont="1" applyFill="1" applyBorder="1" applyAlignment="1">
      <alignment horizontal="center" vertical="center" wrapText="1"/>
    </xf>
    <xf numFmtId="0" fontId="3" fillId="13" borderId="239" xfId="0" applyFont="1" applyFill="1" applyBorder="1" applyAlignment="1">
      <alignment horizontal="center" vertical="center" wrapText="1"/>
    </xf>
    <xf numFmtId="0" fontId="3" fillId="13" borderId="240" xfId="0" applyFont="1" applyFill="1" applyBorder="1" applyAlignment="1">
      <alignment horizontal="center" vertical="center" wrapText="1"/>
    </xf>
    <xf numFmtId="0" fontId="3" fillId="13" borderId="241" xfId="0" applyFont="1" applyFill="1" applyBorder="1" applyAlignment="1">
      <alignment horizontal="center" vertical="center" wrapText="1"/>
    </xf>
    <xf numFmtId="0" fontId="3" fillId="15" borderId="180" xfId="0" applyFont="1" applyFill="1" applyBorder="1" applyAlignment="1">
      <alignment horizontal="center" vertical="center"/>
    </xf>
    <xf numFmtId="0" fontId="3" fillId="15" borderId="100" xfId="0" applyFont="1" applyFill="1" applyBorder="1" applyAlignment="1">
      <alignment horizontal="center" vertical="center"/>
    </xf>
    <xf numFmtId="0" fontId="3" fillId="15" borderId="62" xfId="0" applyFont="1" applyFill="1" applyBorder="1" applyAlignment="1">
      <alignment horizontal="center" vertical="center"/>
    </xf>
    <xf numFmtId="0" fontId="3" fillId="15" borderId="237" xfId="0" applyFont="1" applyFill="1" applyBorder="1" applyAlignment="1">
      <alignment horizontal="center" vertical="center"/>
    </xf>
    <xf numFmtId="0" fontId="3" fillId="15" borderId="238" xfId="0" applyFont="1" applyFill="1" applyBorder="1" applyAlignment="1">
      <alignment horizontal="center" vertical="center"/>
    </xf>
    <xf numFmtId="0" fontId="3" fillId="15" borderId="237" xfId="0" applyFont="1" applyFill="1" applyBorder="1" applyAlignment="1">
      <alignment horizontal="center" vertical="center" wrapText="1"/>
    </xf>
    <xf numFmtId="0" fontId="3" fillId="15" borderId="238" xfId="0" applyFont="1" applyFill="1" applyBorder="1" applyAlignment="1">
      <alignment horizontal="center" vertical="center" wrapText="1"/>
    </xf>
    <xf numFmtId="0" fontId="3" fillId="16" borderId="233" xfId="0" applyFont="1" applyFill="1" applyBorder="1" applyAlignment="1">
      <alignment horizontal="center" vertical="center" wrapText="1"/>
    </xf>
    <xf numFmtId="0" fontId="3" fillId="16" borderId="234" xfId="0" applyFont="1" applyFill="1" applyBorder="1" applyAlignment="1">
      <alignment horizontal="center" vertical="center"/>
    </xf>
    <xf numFmtId="0" fontId="3" fillId="16" borderId="235" xfId="0" applyFont="1" applyFill="1" applyBorder="1" applyAlignment="1">
      <alignment horizontal="center" vertical="center"/>
    </xf>
    <xf numFmtId="0" fontId="3" fillId="16" borderId="236" xfId="0" applyFont="1" applyFill="1" applyBorder="1" applyAlignment="1">
      <alignment horizontal="center" vertical="center"/>
    </xf>
    <xf numFmtId="0" fontId="3" fillId="13" borderId="180" xfId="0" applyFont="1" applyFill="1" applyBorder="1" applyAlignment="1">
      <alignment horizontal="center" vertical="center"/>
    </xf>
    <xf numFmtId="0" fontId="3" fillId="13" borderId="100" xfId="0" applyFont="1" applyFill="1" applyBorder="1" applyAlignment="1">
      <alignment horizontal="center" vertical="center"/>
    </xf>
    <xf numFmtId="0" fontId="3" fillId="13" borderId="62" xfId="0" applyFont="1" applyFill="1" applyBorder="1" applyAlignment="1">
      <alignment horizontal="center" vertical="center"/>
    </xf>
    <xf numFmtId="0" fontId="3" fillId="13" borderId="237" xfId="0" applyFont="1" applyFill="1" applyBorder="1" applyAlignment="1">
      <alignment horizontal="center" vertical="center"/>
    </xf>
    <xf numFmtId="0" fontId="3" fillId="13" borderId="238" xfId="0" applyFont="1" applyFill="1" applyBorder="1" applyAlignment="1">
      <alignment horizontal="center" vertical="center"/>
    </xf>
    <xf numFmtId="0" fontId="3" fillId="14" borderId="239" xfId="0" applyFont="1" applyFill="1" applyBorder="1" applyAlignment="1">
      <alignment horizontal="center" vertical="center" wrapText="1"/>
    </xf>
    <xf numFmtId="0" fontId="3" fillId="14" borderId="240" xfId="0" applyFont="1" applyFill="1" applyBorder="1" applyAlignment="1">
      <alignment horizontal="center" vertical="center" wrapText="1"/>
    </xf>
    <xf numFmtId="0" fontId="3" fillId="14" borderId="241" xfId="0" applyFont="1" applyFill="1" applyBorder="1" applyAlignment="1">
      <alignment horizontal="center" vertical="center" wrapText="1"/>
    </xf>
    <xf numFmtId="0" fontId="3" fillId="14" borderId="180" xfId="0" applyFont="1" applyFill="1" applyBorder="1" applyAlignment="1">
      <alignment horizontal="center" vertical="center"/>
    </xf>
    <xf numFmtId="0" fontId="3" fillId="14" borderId="100" xfId="0" applyFont="1" applyFill="1" applyBorder="1" applyAlignment="1">
      <alignment horizontal="center" vertical="center"/>
    </xf>
    <xf numFmtId="0" fontId="3" fillId="14" borderId="62" xfId="0" applyFont="1" applyFill="1" applyBorder="1" applyAlignment="1">
      <alignment horizontal="center" vertical="center"/>
    </xf>
    <xf numFmtId="0" fontId="3" fillId="14" borderId="237" xfId="0" applyFont="1" applyFill="1" applyBorder="1" applyAlignment="1">
      <alignment horizontal="center" vertical="center"/>
    </xf>
    <xf numFmtId="0" fontId="3" fillId="14" borderId="238" xfId="0" applyFont="1" applyFill="1" applyBorder="1" applyAlignment="1">
      <alignment horizontal="center" vertical="center"/>
    </xf>
    <xf numFmtId="0" fontId="3" fillId="14" borderId="237" xfId="0" applyFont="1" applyFill="1" applyBorder="1" applyAlignment="1">
      <alignment horizontal="center" vertical="center" wrapText="1"/>
    </xf>
    <xf numFmtId="0" fontId="3" fillId="14" borderId="238" xfId="0" applyFont="1" applyFill="1" applyBorder="1" applyAlignment="1">
      <alignment horizontal="center" vertical="center" wrapText="1"/>
    </xf>
    <xf numFmtId="0" fontId="3" fillId="12" borderId="237" xfId="0" applyFont="1" applyFill="1" applyBorder="1" applyAlignment="1">
      <alignment horizontal="center" vertical="center"/>
    </xf>
    <xf numFmtId="0" fontId="3" fillId="12" borderId="238" xfId="0" applyFont="1" applyFill="1" applyBorder="1" applyAlignment="1">
      <alignment horizontal="center" vertical="center"/>
    </xf>
    <xf numFmtId="0" fontId="3" fillId="12" borderId="237" xfId="0" applyFont="1" applyFill="1" applyBorder="1" applyAlignment="1">
      <alignment horizontal="center" vertical="center" wrapText="1"/>
    </xf>
    <xf numFmtId="0" fontId="3" fillId="12" borderId="238" xfId="0" applyFont="1" applyFill="1" applyBorder="1" applyAlignment="1">
      <alignment horizontal="center" vertical="center" wrapText="1"/>
    </xf>
    <xf numFmtId="0" fontId="3" fillId="12" borderId="239" xfId="0" applyFont="1" applyFill="1" applyBorder="1" applyAlignment="1">
      <alignment horizontal="center" vertical="center" wrapText="1"/>
    </xf>
    <xf numFmtId="0" fontId="3" fillId="12" borderId="240" xfId="0" applyFont="1" applyFill="1" applyBorder="1" applyAlignment="1">
      <alignment horizontal="center" vertical="center" wrapText="1"/>
    </xf>
    <xf numFmtId="0" fontId="3" fillId="12" borderId="241" xfId="0" applyFont="1" applyFill="1" applyBorder="1" applyAlignment="1">
      <alignment horizontal="center" vertical="center" wrapText="1"/>
    </xf>
    <xf numFmtId="0" fontId="3" fillId="12" borderId="180" xfId="0" applyFont="1" applyFill="1" applyBorder="1" applyAlignment="1">
      <alignment horizontal="center" vertical="center"/>
    </xf>
    <xf numFmtId="0" fontId="3" fillId="12" borderId="100" xfId="0" applyFont="1" applyFill="1" applyBorder="1" applyAlignment="1">
      <alignment horizontal="center" vertical="center"/>
    </xf>
    <xf numFmtId="0" fontId="3" fillId="12" borderId="62" xfId="0" applyFont="1" applyFill="1" applyBorder="1" applyAlignment="1">
      <alignment horizontal="center" vertical="center"/>
    </xf>
    <xf numFmtId="0" fontId="3" fillId="2" borderId="191" xfId="0" applyFont="1" applyFill="1" applyBorder="1" applyAlignment="1">
      <alignment horizontal="center" vertical="center"/>
    </xf>
    <xf numFmtId="0" fontId="3" fillId="2" borderId="192" xfId="0" applyFont="1" applyFill="1" applyBorder="1" applyAlignment="1">
      <alignment horizontal="center" vertical="center"/>
    </xf>
    <xf numFmtId="0" fontId="3" fillId="2" borderId="193" xfId="0" applyFont="1" applyFill="1" applyBorder="1" applyAlignment="1">
      <alignment horizontal="center" vertical="center"/>
    </xf>
    <xf numFmtId="0" fontId="3" fillId="2" borderId="194" xfId="0" applyFont="1" applyFill="1" applyBorder="1" applyAlignment="1">
      <alignment horizontal="center" vertical="center"/>
    </xf>
    <xf numFmtId="0" fontId="3" fillId="2" borderId="195" xfId="0" applyFont="1" applyFill="1" applyBorder="1" applyAlignment="1">
      <alignment horizontal="center" vertical="center"/>
    </xf>
    <xf numFmtId="0" fontId="3" fillId="2" borderId="196"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9" xfId="0" applyFont="1" applyFill="1" applyBorder="1" applyAlignment="1">
      <alignment horizontal="center" vertical="center"/>
    </xf>
    <xf numFmtId="0" fontId="3" fillId="2" borderId="198" xfId="0" applyFont="1" applyFill="1" applyBorder="1" applyAlignment="1">
      <alignment horizontal="center" vertical="center"/>
    </xf>
    <xf numFmtId="0" fontId="3" fillId="2" borderId="199" xfId="0" applyFont="1" applyFill="1" applyBorder="1" applyAlignment="1">
      <alignment horizontal="center" vertical="center"/>
    </xf>
    <xf numFmtId="0" fontId="20" fillId="2" borderId="221" xfId="0" applyFont="1" applyFill="1" applyBorder="1" applyAlignment="1">
      <alignment horizontal="center" vertical="center"/>
    </xf>
    <xf numFmtId="0" fontId="20" fillId="2" borderId="222" xfId="0" applyFont="1" applyFill="1" applyBorder="1" applyAlignment="1">
      <alignment horizontal="center" vertical="center"/>
    </xf>
    <xf numFmtId="0" fontId="20" fillId="2" borderId="223" xfId="0" applyFont="1" applyFill="1" applyBorder="1" applyAlignment="1">
      <alignment horizontal="center" vertical="center"/>
    </xf>
    <xf numFmtId="0" fontId="3" fillId="2" borderId="210" xfId="0" applyFont="1" applyFill="1" applyBorder="1" applyAlignment="1">
      <alignment horizontal="center" vertical="center" wrapText="1"/>
    </xf>
    <xf numFmtId="0" fontId="3" fillId="2" borderId="219" xfId="0" applyFont="1" applyFill="1" applyBorder="1" applyAlignment="1">
      <alignment horizontal="center" vertical="center"/>
    </xf>
    <xf numFmtId="0" fontId="3" fillId="2" borderId="208" xfId="0" applyFont="1" applyFill="1" applyBorder="1" applyAlignment="1">
      <alignment horizontal="center" vertical="center" wrapText="1"/>
    </xf>
    <xf numFmtId="0" fontId="3" fillId="2" borderId="21" xfId="0" applyFont="1" applyFill="1" applyBorder="1" applyAlignment="1">
      <alignment horizontal="center" vertical="center"/>
    </xf>
    <xf numFmtId="0" fontId="3" fillId="2" borderId="220" xfId="0" applyFont="1" applyFill="1" applyBorder="1" applyAlignment="1">
      <alignment horizontal="center" vertical="center"/>
    </xf>
    <xf numFmtId="0" fontId="3" fillId="2" borderId="212" xfId="0" applyFont="1" applyFill="1" applyBorder="1" applyAlignment="1">
      <alignment horizontal="center" vertical="center" wrapText="1"/>
    </xf>
    <xf numFmtId="0" fontId="3" fillId="2" borderId="213" xfId="0" applyFont="1" applyFill="1" applyBorder="1" applyAlignment="1">
      <alignment horizontal="center" vertical="center"/>
    </xf>
    <xf numFmtId="0" fontId="3" fillId="2" borderId="214" xfId="0" applyFont="1" applyFill="1" applyBorder="1" applyAlignment="1">
      <alignment horizontal="center" vertical="center"/>
    </xf>
    <xf numFmtId="0" fontId="3" fillId="2" borderId="113" xfId="0" applyFont="1" applyFill="1" applyBorder="1" applyAlignment="1">
      <alignment horizontal="center" vertical="center" wrapText="1"/>
    </xf>
    <xf numFmtId="0" fontId="3" fillId="2" borderId="215" xfId="0" applyFont="1" applyFill="1" applyBorder="1" applyAlignment="1">
      <alignment horizontal="center" vertical="center"/>
    </xf>
    <xf numFmtId="0" fontId="3" fillId="2" borderId="123" xfId="0" applyFont="1" applyFill="1" applyBorder="1" applyAlignment="1">
      <alignment horizontal="center" vertical="center"/>
    </xf>
    <xf numFmtId="0" fontId="3" fillId="2" borderId="216" xfId="0" applyFont="1" applyFill="1" applyBorder="1" applyAlignment="1">
      <alignment horizontal="center" vertical="center" wrapText="1"/>
    </xf>
    <xf numFmtId="0" fontId="3" fillId="2" borderId="217" xfId="0" applyFont="1" applyFill="1" applyBorder="1" applyAlignment="1">
      <alignment horizontal="center" vertical="center"/>
    </xf>
    <xf numFmtId="0" fontId="3" fillId="2" borderId="218" xfId="0" applyFont="1" applyFill="1" applyBorder="1" applyAlignment="1">
      <alignment horizontal="center" vertical="center"/>
    </xf>
    <xf numFmtId="0" fontId="3" fillId="2" borderId="5" xfId="0" applyFont="1" applyFill="1" applyBorder="1" applyAlignment="1">
      <alignment horizontal="center" vertical="center"/>
    </xf>
    <xf numFmtId="0" fontId="3" fillId="2" borderId="2" xfId="0" applyFont="1" applyFill="1" applyBorder="1" applyAlignment="1">
      <alignment horizontal="center" vertical="center"/>
    </xf>
    <xf numFmtId="0" fontId="3" fillId="3" borderId="84" xfId="0" applyFont="1" applyFill="1" applyBorder="1" applyAlignment="1">
      <alignment horizontal="center" vertical="center"/>
    </xf>
    <xf numFmtId="0" fontId="3" fillId="3" borderId="143" xfId="0" applyFont="1" applyFill="1" applyBorder="1" applyAlignment="1">
      <alignment horizontal="center" vertical="center"/>
    </xf>
    <xf numFmtId="0" fontId="3" fillId="3" borderId="126" xfId="0" applyFont="1" applyFill="1" applyBorder="1" applyAlignment="1">
      <alignment horizontal="center" vertical="center"/>
    </xf>
    <xf numFmtId="0" fontId="3" fillId="3" borderId="142" xfId="0" applyFont="1" applyFill="1" applyBorder="1" applyAlignment="1">
      <alignment horizontal="center" vertical="center"/>
    </xf>
    <xf numFmtId="0" fontId="3" fillId="9" borderId="136" xfId="0" applyFont="1" applyFill="1" applyBorder="1" applyAlignment="1">
      <alignment horizontal="center" vertical="center"/>
    </xf>
    <xf numFmtId="0" fontId="3" fillId="9" borderId="125" xfId="0" applyFont="1" applyFill="1" applyBorder="1" applyAlignment="1">
      <alignment horizontal="center" vertical="center"/>
    </xf>
    <xf numFmtId="0" fontId="3" fillId="9" borderId="137" xfId="0" applyFont="1" applyFill="1" applyBorder="1" applyAlignment="1">
      <alignment horizontal="center" vertical="center"/>
    </xf>
    <xf numFmtId="0" fontId="3" fillId="10" borderId="136" xfId="0" applyFont="1" applyFill="1" applyBorder="1" applyAlignment="1">
      <alignment horizontal="center" vertical="center"/>
    </xf>
    <xf numFmtId="0" fontId="3" fillId="10" borderId="125" xfId="0" applyFont="1" applyFill="1" applyBorder="1" applyAlignment="1">
      <alignment horizontal="center" vertical="center"/>
    </xf>
    <xf numFmtId="0" fontId="3" fillId="10" borderId="138" xfId="0" applyFont="1" applyFill="1" applyBorder="1" applyAlignment="1">
      <alignment horizontal="center" vertical="center"/>
    </xf>
    <xf numFmtId="0" fontId="3" fillId="2" borderId="0" xfId="0" applyFont="1" applyFill="1" applyBorder="1" applyAlignment="1">
      <alignment horizontal="center" vertical="center"/>
    </xf>
    <xf numFmtId="0" fontId="3" fillId="2" borderId="0" xfId="0" applyFont="1" applyFill="1" applyBorder="1" applyAlignment="1">
      <alignment horizontal="left" vertical="center"/>
    </xf>
    <xf numFmtId="0" fontId="3" fillId="2" borderId="381" xfId="0" applyFont="1" applyFill="1" applyBorder="1" applyAlignment="1">
      <alignment horizontal="center" vertical="center"/>
    </xf>
    <xf numFmtId="0" fontId="3" fillId="2" borderId="382" xfId="0" applyFont="1" applyFill="1" applyBorder="1" applyAlignment="1">
      <alignment horizontal="center" vertical="center"/>
    </xf>
    <xf numFmtId="0" fontId="3" fillId="2" borderId="275" xfId="0" applyFont="1" applyFill="1" applyBorder="1" applyAlignment="1">
      <alignment horizontal="center" vertical="center"/>
    </xf>
    <xf numFmtId="0" fontId="3" fillId="2" borderId="309" xfId="0" applyFont="1" applyFill="1" applyBorder="1" applyAlignment="1">
      <alignment horizontal="center" vertical="center"/>
    </xf>
    <xf numFmtId="0" fontId="3" fillId="2" borderId="310" xfId="0" applyFont="1" applyFill="1" applyBorder="1" applyAlignment="1">
      <alignment horizontal="center" vertical="center"/>
    </xf>
    <xf numFmtId="0" fontId="3" fillId="2" borderId="383" xfId="0" applyFont="1" applyFill="1" applyBorder="1" applyAlignment="1">
      <alignment horizontal="center" vertical="center"/>
    </xf>
    <xf numFmtId="0" fontId="33" fillId="2" borderId="237" xfId="0" applyFont="1" applyFill="1" applyBorder="1" applyAlignment="1">
      <alignment horizontal="center" vertical="center"/>
    </xf>
    <xf numFmtId="0" fontId="33" fillId="2" borderId="280" xfId="0" applyFont="1" applyFill="1" applyBorder="1" applyAlignment="1">
      <alignment horizontal="center" vertical="center"/>
    </xf>
    <xf numFmtId="0" fontId="33" fillId="2" borderId="224" xfId="0" applyFont="1" applyFill="1" applyBorder="1" applyAlignment="1">
      <alignment horizontal="center" vertical="center"/>
    </xf>
    <xf numFmtId="0" fontId="33" fillId="2" borderId="225" xfId="0" applyFont="1" applyFill="1" applyBorder="1" applyAlignment="1">
      <alignment horizontal="center" vertical="center"/>
    </xf>
    <xf numFmtId="0" fontId="33" fillId="2" borderId="226" xfId="0" applyFont="1" applyFill="1" applyBorder="1" applyAlignment="1">
      <alignment horizontal="center" vertical="center"/>
    </xf>
    <xf numFmtId="0" fontId="33" fillId="2" borderId="289" xfId="0" applyFont="1" applyFill="1" applyBorder="1" applyAlignment="1">
      <alignment horizontal="center" vertical="center"/>
    </xf>
    <xf numFmtId="0" fontId="33" fillId="2" borderId="290" xfId="0" applyFont="1" applyFill="1" applyBorder="1" applyAlignment="1">
      <alignment horizontal="center" vertical="center"/>
    </xf>
    <xf numFmtId="0" fontId="33" fillId="2" borderId="292" xfId="0" applyFont="1" applyFill="1" applyBorder="1" applyAlignment="1">
      <alignment horizontal="left" vertical="center" wrapText="1"/>
    </xf>
    <xf numFmtId="0" fontId="33" fillId="2" borderId="292" xfId="0" applyFont="1" applyFill="1" applyBorder="1" applyAlignment="1">
      <alignment horizontal="left" vertical="center"/>
    </xf>
    <xf numFmtId="0" fontId="33" fillId="2" borderId="0" xfId="0" applyFont="1" applyFill="1" applyAlignment="1">
      <alignment horizontal="left" vertical="center"/>
    </xf>
    <xf numFmtId="0" fontId="33" fillId="2" borderId="174" xfId="0" applyFont="1" applyFill="1" applyBorder="1" applyAlignment="1">
      <alignment horizontal="right" vertical="center"/>
    </xf>
    <xf numFmtId="0" fontId="33" fillId="2" borderId="15" xfId="0" applyFont="1" applyFill="1" applyBorder="1" applyAlignment="1">
      <alignment horizontal="right" vertical="center"/>
    </xf>
    <xf numFmtId="0" fontId="33" fillId="2" borderId="281" xfId="0" applyFont="1" applyFill="1" applyBorder="1" applyAlignment="1">
      <alignment horizontal="center" vertical="center"/>
    </xf>
    <xf numFmtId="0" fontId="33" fillId="2" borderId="48" xfId="0" applyFont="1" applyFill="1" applyBorder="1" applyAlignment="1">
      <alignment horizontal="center" vertical="center"/>
    </xf>
    <xf numFmtId="0" fontId="33" fillId="2" borderId="50" xfId="0" applyFont="1" applyFill="1" applyBorder="1" applyAlignment="1">
      <alignment horizontal="center" vertical="center"/>
    </xf>
    <xf numFmtId="0" fontId="33" fillId="2" borderId="282" xfId="0" applyFont="1" applyFill="1" applyBorder="1" applyAlignment="1">
      <alignment horizontal="center" vertical="center"/>
    </xf>
    <xf numFmtId="0" fontId="33" fillId="2" borderId="3" xfId="0" applyFont="1" applyFill="1" applyBorder="1" applyAlignment="1">
      <alignment horizontal="right" vertical="center"/>
    </xf>
    <xf numFmtId="0" fontId="33" fillId="2" borderId="355" xfId="0" applyFont="1" applyFill="1" applyBorder="1" applyAlignment="1">
      <alignment horizontal="center" vertical="center"/>
    </xf>
    <xf numFmtId="0" fontId="33" fillId="2" borderId="356" xfId="0" applyFont="1" applyFill="1" applyBorder="1" applyAlignment="1">
      <alignment horizontal="center" vertical="center"/>
    </xf>
    <xf numFmtId="0" fontId="33" fillId="2" borderId="357" xfId="0" applyFont="1" applyFill="1" applyBorder="1" applyAlignment="1">
      <alignment horizontal="center" vertical="center"/>
    </xf>
    <xf numFmtId="0" fontId="33" fillId="2" borderId="358" xfId="0" applyFont="1" applyFill="1" applyBorder="1" applyAlignment="1">
      <alignment horizontal="center" vertical="center"/>
    </xf>
    <xf numFmtId="0" fontId="33" fillId="2" borderId="155" xfId="0" applyFont="1" applyFill="1" applyBorder="1" applyAlignment="1">
      <alignment horizontal="center" vertical="center"/>
    </xf>
    <xf numFmtId="0" fontId="33" fillId="2" borderId="49" xfId="0" applyFont="1" applyFill="1" applyBorder="1" applyAlignment="1">
      <alignment horizontal="center" vertical="center"/>
    </xf>
    <xf numFmtId="0" fontId="33" fillId="2" borderId="51" xfId="0" applyFont="1" applyFill="1" applyBorder="1" applyAlignment="1">
      <alignment horizontal="center" vertical="center"/>
    </xf>
    <xf numFmtId="0" fontId="33" fillId="2" borderId="283" xfId="0" applyFont="1" applyFill="1" applyBorder="1" applyAlignment="1">
      <alignment horizontal="center" vertical="center"/>
    </xf>
    <xf numFmtId="0" fontId="33" fillId="2" borderId="286" xfId="0" applyFont="1" applyFill="1" applyBorder="1" applyAlignment="1">
      <alignment horizontal="right" vertical="center"/>
    </xf>
    <xf numFmtId="0" fontId="33" fillId="2" borderId="287" xfId="0" applyFont="1" applyFill="1" applyBorder="1" applyAlignment="1">
      <alignment horizontal="right" vertical="center"/>
    </xf>
    <xf numFmtId="0" fontId="33" fillId="2" borderId="359" xfId="0" applyFont="1" applyFill="1" applyBorder="1" applyAlignment="1">
      <alignment horizontal="center" vertical="center"/>
    </xf>
    <xf numFmtId="0" fontId="33" fillId="2" borderId="360" xfId="0" applyFont="1" applyFill="1" applyBorder="1" applyAlignment="1">
      <alignment horizontal="center" vertical="center"/>
    </xf>
    <xf numFmtId="0" fontId="33" fillId="2" borderId="60" xfId="0" applyFont="1" applyFill="1" applyBorder="1" applyAlignment="1">
      <alignment horizontal="right" vertical="center"/>
    </xf>
    <xf numFmtId="0" fontId="33" fillId="2" borderId="25" xfId="0" applyFont="1" applyFill="1" applyBorder="1" applyAlignment="1">
      <alignment horizontal="right" vertical="center"/>
    </xf>
    <xf numFmtId="0" fontId="33" fillId="2" borderId="58" xfId="0" applyFont="1" applyFill="1" applyBorder="1" applyAlignment="1">
      <alignment horizontal="right" vertical="center"/>
    </xf>
    <xf numFmtId="0" fontId="33" fillId="2" borderId="2" xfId="0" applyFont="1" applyFill="1" applyBorder="1" applyAlignment="1">
      <alignment horizontal="right" vertical="center"/>
    </xf>
    <xf numFmtId="0" fontId="33" fillId="2" borderId="156" xfId="0" applyFont="1" applyFill="1" applyBorder="1" applyAlignment="1">
      <alignment horizontal="right" vertical="center"/>
    </xf>
    <xf numFmtId="0" fontId="33" fillId="2" borderId="149" xfId="0" applyFont="1" applyFill="1" applyBorder="1" applyAlignment="1">
      <alignment horizontal="right" vertical="center"/>
    </xf>
    <xf numFmtId="0" fontId="33" fillId="2" borderId="365" xfId="0" applyFont="1" applyFill="1" applyBorder="1" applyAlignment="1">
      <alignment horizontal="center" vertical="center"/>
    </xf>
    <xf numFmtId="0" fontId="33" fillId="2" borderId="284" xfId="0" applyFont="1" applyFill="1" applyBorder="1" applyAlignment="1">
      <alignment horizontal="center" vertical="center"/>
    </xf>
    <xf numFmtId="0" fontId="33" fillId="2" borderId="378" xfId="0" applyFont="1" applyFill="1" applyBorder="1" applyAlignment="1">
      <alignment horizontal="center" vertical="center"/>
    </xf>
    <xf numFmtId="0" fontId="33" fillId="2" borderId="379" xfId="0" applyFont="1" applyFill="1" applyBorder="1" applyAlignment="1">
      <alignment horizontal="center" vertical="center"/>
    </xf>
    <xf numFmtId="0" fontId="33" fillId="2" borderId="285" xfId="0" applyFont="1" applyFill="1" applyBorder="1" applyAlignment="1">
      <alignment horizontal="center" vertical="center"/>
    </xf>
    <xf numFmtId="0" fontId="33" fillId="2" borderId="367" xfId="0" applyFont="1" applyFill="1" applyBorder="1" applyAlignment="1">
      <alignment horizontal="center" vertical="center"/>
    </xf>
    <xf numFmtId="0" fontId="33" fillId="2" borderId="7" xfId="0" applyFont="1" applyFill="1" applyBorder="1" applyAlignment="1">
      <alignment horizontal="right" vertical="center"/>
    </xf>
    <xf numFmtId="0" fontId="33" fillId="2" borderId="5" xfId="0" applyFont="1" applyFill="1" applyBorder="1" applyAlignment="1">
      <alignment horizontal="right" vertical="center"/>
    </xf>
    <xf numFmtId="0" fontId="33" fillId="2" borderId="8" xfId="0" applyFont="1" applyFill="1" applyBorder="1" applyAlignment="1">
      <alignment horizontal="right" vertical="center"/>
    </xf>
    <xf numFmtId="0" fontId="33" fillId="2" borderId="6" xfId="0" applyFont="1" applyFill="1" applyBorder="1" applyAlignment="1">
      <alignment horizontal="right" vertical="center"/>
    </xf>
    <xf numFmtId="0" fontId="33" fillId="2" borderId="4" xfId="0" applyFont="1" applyFill="1" applyBorder="1" applyAlignment="1">
      <alignment horizontal="right" vertical="center"/>
    </xf>
    <xf numFmtId="0" fontId="33" fillId="2" borderId="279" xfId="0" applyFont="1" applyFill="1" applyBorder="1" applyAlignment="1">
      <alignment horizontal="right" vertical="center"/>
    </xf>
    <xf numFmtId="0" fontId="33" fillId="2" borderId="276" xfId="0" applyFont="1" applyFill="1" applyBorder="1" applyAlignment="1">
      <alignment horizontal="right" vertical="center"/>
    </xf>
    <xf numFmtId="0" fontId="33" fillId="2" borderId="363" xfId="0" applyFont="1" applyFill="1" applyBorder="1" applyAlignment="1">
      <alignment horizontal="right" vertical="center"/>
    </xf>
    <xf numFmtId="0" fontId="33" fillId="2" borderId="221" xfId="0" applyFont="1" applyFill="1" applyBorder="1" applyAlignment="1">
      <alignment horizontal="right" vertical="center"/>
    </xf>
    <xf numFmtId="0" fontId="33" fillId="2" borderId="362" xfId="0" applyFont="1" applyFill="1" applyBorder="1" applyAlignment="1">
      <alignment horizontal="right" vertical="center"/>
    </xf>
    <xf numFmtId="0" fontId="0" fillId="2" borderId="380" xfId="0" applyFill="1" applyBorder="1" applyAlignment="1">
      <alignment horizontal="center" vertical="center"/>
    </xf>
    <xf numFmtId="0" fontId="0" fillId="2" borderId="243" xfId="0" applyFill="1" applyBorder="1" applyAlignment="1">
      <alignment horizontal="center" vertical="center"/>
    </xf>
    <xf numFmtId="0" fontId="0" fillId="2" borderId="244" xfId="0" applyFill="1" applyBorder="1" applyAlignment="1">
      <alignment horizontal="center" vertical="center"/>
    </xf>
    <xf numFmtId="0" fontId="34" fillId="2" borderId="103" xfId="0" applyFont="1" applyFill="1" applyBorder="1" applyAlignment="1">
      <alignment horizontal="center" vertical="center"/>
    </xf>
    <xf numFmtId="0" fontId="34" fillId="2" borderId="104" xfId="0" applyFont="1" applyFill="1" applyBorder="1" applyAlignment="1">
      <alignment horizontal="center" vertical="center"/>
    </xf>
    <xf numFmtId="0" fontId="34" fillId="2" borderId="100" xfId="0" applyFont="1" applyFill="1" applyBorder="1" applyAlignment="1">
      <alignment horizontal="center" vertical="center"/>
    </xf>
    <xf numFmtId="0" fontId="0" fillId="2" borderId="191" xfId="0" applyFill="1" applyBorder="1" applyAlignment="1">
      <alignment horizontal="center" vertical="center" textRotation="90"/>
    </xf>
    <xf numFmtId="0" fontId="0" fillId="2" borderId="194" xfId="0" applyFill="1" applyBorder="1" applyAlignment="1">
      <alignment horizontal="center" vertical="center" textRotation="90"/>
    </xf>
    <xf numFmtId="0" fontId="0" fillId="2" borderId="196" xfId="0" applyFill="1" applyBorder="1" applyAlignment="1">
      <alignment horizontal="center" vertical="center" textRotation="90"/>
    </xf>
    <xf numFmtId="0" fontId="34" fillId="2" borderId="306" xfId="0" applyFont="1" applyFill="1" applyBorder="1" applyAlignment="1">
      <alignment horizontal="center" vertical="center"/>
    </xf>
    <xf numFmtId="0" fontId="34" fillId="2" borderId="307" xfId="0" applyFont="1" applyFill="1" applyBorder="1" applyAlignment="1">
      <alignment horizontal="center" vertical="center"/>
    </xf>
    <xf numFmtId="0" fontId="34" fillId="2" borderId="62" xfId="0" applyFont="1" applyFill="1" applyBorder="1" applyAlignment="1">
      <alignment horizontal="center" vertical="center"/>
    </xf>
    <xf numFmtId="0" fontId="34" fillId="2" borderId="180" xfId="0" applyFont="1" applyFill="1" applyBorder="1" applyAlignment="1">
      <alignment horizontal="center" vertical="center"/>
    </xf>
    <xf numFmtId="0" fontId="34" fillId="2" borderId="102" xfId="0" applyFont="1" applyFill="1" applyBorder="1" applyAlignment="1">
      <alignment horizontal="center" vertical="center"/>
    </xf>
    <xf numFmtId="0" fontId="0" fillId="2" borderId="293" xfId="0" applyFill="1" applyBorder="1" applyAlignment="1">
      <alignment horizontal="center" vertical="center" textRotation="90"/>
    </xf>
    <xf numFmtId="0" fontId="0" fillId="2" borderId="294" xfId="0" applyFill="1" applyBorder="1" applyAlignment="1">
      <alignment horizontal="center" vertical="center" textRotation="90"/>
    </xf>
    <xf numFmtId="0" fontId="0" fillId="2" borderId="295" xfId="0" applyFill="1" applyBorder="1" applyAlignment="1">
      <alignment horizontal="center" vertical="center" textRotation="90"/>
    </xf>
    <xf numFmtId="0" fontId="0" fillId="2" borderId="63" xfId="0" applyFill="1" applyBorder="1" applyAlignment="1">
      <alignment horizontal="center" vertical="center"/>
    </xf>
    <xf numFmtId="0" fontId="0" fillId="2" borderId="180" xfId="0" applyFill="1" applyBorder="1" applyAlignment="1">
      <alignment horizontal="center" vertical="center"/>
    </xf>
    <xf numFmtId="0" fontId="0" fillId="2" borderId="62" xfId="0" applyFill="1" applyBorder="1" applyAlignment="1">
      <alignment horizontal="center" vertical="center"/>
    </xf>
    <xf numFmtId="0" fontId="0" fillId="2" borderId="37" xfId="0" applyFill="1" applyBorder="1" applyAlignment="1">
      <alignment horizontal="center" vertical="center"/>
    </xf>
    <xf numFmtId="0" fontId="0" fillId="2" borderId="39" xfId="0" applyFill="1" applyBorder="1" applyAlignment="1">
      <alignment horizontal="center" vertical="center"/>
    </xf>
    <xf numFmtId="0" fontId="0" fillId="2" borderId="353" xfId="0" applyFill="1" applyBorder="1" applyAlignment="1">
      <alignment horizontal="center" vertical="center"/>
    </xf>
    <xf numFmtId="0" fontId="0" fillId="2" borderId="354" xfId="0" applyFill="1" applyBorder="1" applyAlignment="1">
      <alignment horizontal="center" vertical="center"/>
    </xf>
    <xf numFmtId="0" fontId="3" fillId="2" borderId="84" xfId="0" applyFont="1" applyFill="1" applyBorder="1" applyAlignment="1">
      <alignment horizontal="center" vertical="center"/>
    </xf>
    <xf numFmtId="0" fontId="3" fillId="2" borderId="86" xfId="0" applyFont="1" applyFill="1" applyBorder="1" applyAlignment="1">
      <alignment horizontal="center" vertical="center"/>
    </xf>
    <xf numFmtId="49" fontId="3" fillId="2" borderId="305" xfId="0" applyNumberFormat="1" applyFont="1" applyFill="1" applyBorder="1" applyAlignment="1">
      <alignment horizontal="center" vertical="center"/>
    </xf>
    <xf numFmtId="49" fontId="3" fillId="2" borderId="178" xfId="0" applyNumberFormat="1" applyFont="1" applyFill="1" applyBorder="1" applyAlignment="1">
      <alignment horizontal="center" vertical="center"/>
    </xf>
    <xf numFmtId="49" fontId="3" fillId="2" borderId="189" xfId="0" applyNumberFormat="1" applyFont="1" applyFill="1" applyBorder="1" applyAlignment="1">
      <alignment horizontal="center" vertical="center"/>
    </xf>
    <xf numFmtId="49" fontId="3" fillId="2" borderId="333" xfId="0" applyNumberFormat="1" applyFont="1" applyFill="1" applyBorder="1" applyAlignment="1">
      <alignment horizontal="center" vertical="center"/>
    </xf>
    <xf numFmtId="49" fontId="3" fillId="2" borderId="332" xfId="0" applyNumberFormat="1" applyFont="1" applyFill="1" applyBorder="1" applyAlignment="1">
      <alignment horizontal="center" vertical="center"/>
    </xf>
    <xf numFmtId="0" fontId="3" fillId="2" borderId="1" xfId="0" applyFont="1" applyFill="1" applyBorder="1" applyAlignment="1">
      <alignment horizontal="center" vertical="center"/>
    </xf>
    <xf numFmtId="0" fontId="3" fillId="2" borderId="69"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8"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10" xfId="0" applyFont="1" applyFill="1" applyBorder="1" applyAlignment="1">
      <alignment horizontal="center" vertical="center"/>
    </xf>
    <xf numFmtId="49" fontId="3" fillId="2" borderId="344" xfId="0" applyNumberFormat="1" applyFont="1" applyFill="1" applyBorder="1" applyAlignment="1">
      <alignment horizontal="center" vertical="center"/>
    </xf>
    <xf numFmtId="49" fontId="3" fillId="2" borderId="345" xfId="0" applyNumberFormat="1" applyFont="1" applyFill="1" applyBorder="1" applyAlignment="1">
      <alignment horizontal="center" vertical="center"/>
    </xf>
    <xf numFmtId="49" fontId="3" fillId="2" borderId="346" xfId="0" applyNumberFormat="1" applyFont="1" applyFill="1" applyBorder="1" applyAlignment="1">
      <alignment horizontal="center" vertical="center"/>
    </xf>
    <xf numFmtId="49" fontId="3" fillId="2" borderId="313" xfId="0" applyNumberFormat="1" applyFont="1" applyFill="1" applyBorder="1" applyAlignment="1">
      <alignment horizontal="center" vertical="center"/>
    </xf>
    <xf numFmtId="0" fontId="3" fillId="2" borderId="314" xfId="0" applyFont="1" applyFill="1" applyBorder="1" applyAlignment="1">
      <alignment horizontal="center" vertical="center"/>
    </xf>
    <xf numFmtId="0" fontId="3" fillId="2" borderId="315" xfId="0" applyFont="1" applyFill="1" applyBorder="1" applyAlignment="1">
      <alignment horizontal="center" vertical="center"/>
    </xf>
    <xf numFmtId="0" fontId="3" fillId="2" borderId="334" xfId="0" applyFont="1" applyFill="1" applyBorder="1" applyAlignment="1">
      <alignment horizontal="center" vertical="center"/>
    </xf>
    <xf numFmtId="0" fontId="3" fillId="2" borderId="335" xfId="0" applyFont="1" applyFill="1" applyBorder="1" applyAlignment="1">
      <alignment horizontal="center" vertical="center"/>
    </xf>
    <xf numFmtId="0" fontId="3" fillId="2" borderId="316" xfId="0" applyFont="1" applyFill="1" applyBorder="1" applyAlignment="1">
      <alignment horizontal="center" vertical="center"/>
    </xf>
    <xf numFmtId="0" fontId="3" fillId="2" borderId="323" xfId="0" applyFont="1" applyFill="1" applyBorder="1" applyAlignment="1">
      <alignment horizontal="center" vertical="center"/>
    </xf>
    <xf numFmtId="0" fontId="3" fillId="2" borderId="35" xfId="0" applyFont="1" applyFill="1" applyBorder="1" applyAlignment="1">
      <alignment horizontal="center" vertical="center"/>
    </xf>
    <xf numFmtId="0" fontId="3" fillId="2" borderId="22" xfId="0" applyFont="1" applyFill="1" applyBorder="1" applyAlignment="1">
      <alignment horizontal="center" vertical="center"/>
    </xf>
    <xf numFmtId="0" fontId="3" fillId="2" borderId="34"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9" xfId="0" applyFont="1" applyFill="1" applyBorder="1" applyAlignment="1">
      <alignment horizontal="center" vertical="center"/>
    </xf>
    <xf numFmtId="0" fontId="6" fillId="2" borderId="30" xfId="0" applyFont="1" applyFill="1" applyBorder="1" applyAlignment="1">
      <alignment horizontal="center" vertical="center"/>
    </xf>
    <xf numFmtId="0" fontId="6" fillId="2" borderId="28" xfId="0" applyFont="1" applyFill="1" applyBorder="1" applyAlignment="1">
      <alignment horizontal="center" vertical="center"/>
    </xf>
    <xf numFmtId="0" fontId="3" fillId="2" borderId="336" xfId="0" applyFont="1" applyFill="1" applyBorder="1" applyAlignment="1">
      <alignment horizontal="center" vertical="center"/>
    </xf>
    <xf numFmtId="0" fontId="3" fillId="2" borderId="337" xfId="0" applyFont="1" applyFill="1" applyBorder="1" applyAlignment="1">
      <alignment horizontal="center" vertical="center"/>
    </xf>
    <xf numFmtId="0" fontId="3" fillId="2" borderId="188" xfId="0" applyFont="1" applyFill="1" applyBorder="1" applyAlignment="1">
      <alignment horizontal="center" vertical="center"/>
    </xf>
    <xf numFmtId="0" fontId="3" fillId="2" borderId="186" xfId="0" applyFont="1" applyFill="1" applyBorder="1" applyAlignment="1">
      <alignment horizontal="center" vertical="center"/>
    </xf>
    <xf numFmtId="0" fontId="6" fillId="2" borderId="4" xfId="0" applyFont="1" applyFill="1" applyBorder="1" applyAlignment="1">
      <alignment horizontal="center" vertical="center"/>
    </xf>
    <xf numFmtId="0" fontId="6" fillId="2" borderId="10" xfId="0" applyFont="1" applyFill="1" applyBorder="1" applyAlignment="1">
      <alignment horizontal="center" vertical="center"/>
    </xf>
    <xf numFmtId="0" fontId="6" fillId="2" borderId="1" xfId="0" applyFont="1" applyFill="1" applyBorder="1" applyAlignment="1">
      <alignment horizontal="center" vertical="center"/>
    </xf>
    <xf numFmtId="0" fontId="6" fillId="2" borderId="188" xfId="0" applyFont="1" applyFill="1" applyBorder="1" applyAlignment="1">
      <alignment horizontal="center" vertical="center"/>
    </xf>
    <xf numFmtId="0" fontId="6" fillId="2" borderId="186" xfId="0" applyFont="1" applyFill="1" applyBorder="1" applyAlignment="1">
      <alignment horizontal="center" vertical="center"/>
    </xf>
    <xf numFmtId="0" fontId="6" fillId="2" borderId="336" xfId="0" applyFont="1" applyFill="1" applyBorder="1" applyAlignment="1">
      <alignment horizontal="center" vertical="center"/>
    </xf>
    <xf numFmtId="0" fontId="6" fillId="2" borderId="337" xfId="0" applyFont="1" applyFill="1" applyBorder="1" applyAlignment="1">
      <alignment horizontal="center" vertical="center"/>
    </xf>
    <xf numFmtId="0" fontId="6" fillId="2" borderId="13" xfId="0" applyFont="1" applyFill="1" applyBorder="1" applyAlignment="1">
      <alignment horizontal="center" vertical="center"/>
    </xf>
    <xf numFmtId="0" fontId="3" fillId="2" borderId="317" xfId="0" applyFont="1" applyFill="1" applyBorder="1" applyAlignment="1">
      <alignment horizontal="center" vertical="center" wrapText="1"/>
    </xf>
    <xf numFmtId="0" fontId="3" fillId="2" borderId="318"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3" fillId="2" borderId="69" xfId="0" applyFont="1" applyFill="1" applyBorder="1" applyAlignment="1">
      <alignment horizontal="center" vertical="center" wrapText="1"/>
    </xf>
    <xf numFmtId="0" fontId="3" fillId="2" borderId="17" xfId="0" applyFont="1" applyFill="1" applyBorder="1" applyAlignment="1">
      <alignment horizontal="center" vertical="center" wrapText="1"/>
    </xf>
    <xf numFmtId="0" fontId="3" fillId="2" borderId="264" xfId="0" applyFont="1" applyFill="1" applyBorder="1" applyAlignment="1">
      <alignment horizontal="center" vertical="center" wrapText="1"/>
    </xf>
    <xf numFmtId="0" fontId="3" fillId="2" borderId="338" xfId="0" applyFont="1" applyFill="1" applyBorder="1" applyAlignment="1">
      <alignment horizontal="center" vertical="center"/>
    </xf>
    <xf numFmtId="0" fontId="3" fillId="2" borderId="339" xfId="0" applyFont="1" applyFill="1" applyBorder="1" applyAlignment="1">
      <alignment horizontal="center" vertical="center"/>
    </xf>
    <xf numFmtId="0" fontId="3" fillId="2" borderId="319" xfId="0" applyFont="1" applyFill="1" applyBorder="1" applyAlignment="1">
      <alignment horizontal="center" vertical="center"/>
    </xf>
    <xf numFmtId="0" fontId="3" fillId="2" borderId="324" xfId="0" applyFont="1" applyFill="1" applyBorder="1" applyAlignment="1">
      <alignment horizontal="center" vertical="center"/>
    </xf>
    <xf numFmtId="0" fontId="3" fillId="2" borderId="9" xfId="0" applyFont="1" applyFill="1" applyBorder="1" applyAlignment="1">
      <alignment horizontal="center" vertical="center" wrapText="1"/>
    </xf>
    <xf numFmtId="0" fontId="3" fillId="2" borderId="71"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3" fillId="2" borderId="187" xfId="0" applyFont="1" applyFill="1" applyBorder="1" applyAlignment="1">
      <alignment horizontal="center" vertical="center" wrapText="1"/>
    </xf>
    <xf numFmtId="0" fontId="3" fillId="2" borderId="340" xfId="0" applyFont="1" applyFill="1" applyBorder="1" applyAlignment="1">
      <alignment horizontal="center" vertical="center"/>
    </xf>
    <xf numFmtId="0" fontId="3" fillId="2" borderId="341" xfId="0" applyFont="1" applyFill="1" applyBorder="1" applyAlignment="1">
      <alignment horizontal="center" vertical="center"/>
    </xf>
    <xf numFmtId="0" fontId="3" fillId="2" borderId="177" xfId="0" applyFont="1" applyFill="1" applyBorder="1" applyAlignment="1">
      <alignment horizontal="center" vertical="center"/>
    </xf>
    <xf numFmtId="0" fontId="3" fillId="2" borderId="162" xfId="0" applyFont="1" applyFill="1" applyBorder="1" applyAlignment="1">
      <alignment horizontal="center" vertical="center"/>
    </xf>
    <xf numFmtId="0" fontId="6" fillId="2" borderId="319" xfId="0" applyFont="1" applyFill="1" applyBorder="1" applyAlignment="1">
      <alignment horizontal="center" vertical="center"/>
    </xf>
    <xf numFmtId="0" fontId="6" fillId="2" borderId="324" xfId="0" applyFont="1" applyFill="1" applyBorder="1" applyAlignment="1">
      <alignment horizontal="center" vertical="center"/>
    </xf>
    <xf numFmtId="0" fontId="6" fillId="2" borderId="317" xfId="0" applyFont="1" applyFill="1" applyBorder="1" applyAlignment="1">
      <alignment horizontal="center" vertical="center"/>
    </xf>
    <xf numFmtId="0" fontId="6" fillId="2" borderId="339" xfId="0" applyFont="1" applyFill="1" applyBorder="1" applyAlignment="1">
      <alignment horizontal="center" vertical="center"/>
    </xf>
    <xf numFmtId="0" fontId="6" fillId="2" borderId="338" xfId="0" applyFont="1" applyFill="1" applyBorder="1" applyAlignment="1">
      <alignment horizontal="center" vertical="center"/>
    </xf>
    <xf numFmtId="0" fontId="6" fillId="2" borderId="340" xfId="0" applyFont="1" applyFill="1" applyBorder="1" applyAlignment="1">
      <alignment horizontal="center" vertical="center"/>
    </xf>
    <xf numFmtId="0" fontId="6" fillId="2" borderId="341" xfId="0" applyFont="1" applyFill="1" applyBorder="1" applyAlignment="1">
      <alignment horizontal="center" vertical="center"/>
    </xf>
    <xf numFmtId="0" fontId="6" fillId="2" borderId="177" xfId="0" applyFont="1" applyFill="1" applyBorder="1" applyAlignment="1">
      <alignment horizontal="center" vertical="center"/>
    </xf>
    <xf numFmtId="0" fontId="6" fillId="2" borderId="162" xfId="0" applyFont="1" applyFill="1" applyBorder="1" applyAlignment="1">
      <alignment horizontal="center" vertical="center"/>
    </xf>
    <xf numFmtId="0" fontId="6" fillId="2" borderId="17" xfId="0" applyFont="1" applyFill="1" applyBorder="1" applyAlignment="1">
      <alignment horizontal="center" vertical="center"/>
    </xf>
    <xf numFmtId="186" fontId="3" fillId="2" borderId="9" xfId="0" applyNumberFormat="1" applyFont="1" applyFill="1" applyBorder="1" applyAlignment="1">
      <alignment horizontal="center" vertical="center" textRotation="90"/>
    </xf>
    <xf numFmtId="186" fontId="3" fillId="2" borderId="1" xfId="0" applyNumberFormat="1" applyFont="1" applyFill="1" applyBorder="1" applyAlignment="1">
      <alignment horizontal="center" vertical="center" textRotation="90"/>
    </xf>
    <xf numFmtId="186" fontId="3" fillId="2" borderId="80" xfId="0" applyNumberFormat="1" applyFont="1" applyFill="1" applyBorder="1" applyAlignment="1">
      <alignment horizontal="center" vertical="center" textRotation="90"/>
    </xf>
    <xf numFmtId="0" fontId="3" fillId="2" borderId="322" xfId="0" applyFont="1" applyFill="1" applyBorder="1" applyAlignment="1">
      <alignment horizontal="center" vertical="center"/>
    </xf>
    <xf numFmtId="0" fontId="3" fillId="2" borderId="325" xfId="0" applyFont="1" applyFill="1" applyBorder="1" applyAlignment="1">
      <alignment horizontal="center" vertical="center"/>
    </xf>
    <xf numFmtId="0" fontId="6" fillId="2" borderId="342" xfId="0" applyFont="1" applyFill="1" applyBorder="1" applyAlignment="1">
      <alignment horizontal="center" vertical="center"/>
    </xf>
    <xf numFmtId="0" fontId="6" fillId="2" borderId="343" xfId="0" applyFont="1" applyFill="1" applyBorder="1" applyAlignment="1">
      <alignment horizontal="center" vertical="center"/>
    </xf>
    <xf numFmtId="0" fontId="6" fillId="2" borderId="322" xfId="0" applyFont="1" applyFill="1" applyBorder="1" applyAlignment="1">
      <alignment horizontal="center" vertical="center"/>
    </xf>
    <xf numFmtId="0" fontId="6" fillId="2" borderId="325" xfId="0" applyFont="1" applyFill="1" applyBorder="1" applyAlignment="1">
      <alignment horizontal="center" vertical="center"/>
    </xf>
    <xf numFmtId="0" fontId="6" fillId="2" borderId="320" xfId="0" applyFont="1" applyFill="1" applyBorder="1" applyAlignment="1">
      <alignment horizontal="center" vertical="center"/>
    </xf>
    <xf numFmtId="0" fontId="3" fillId="2" borderId="342" xfId="0" applyFont="1" applyFill="1" applyBorder="1" applyAlignment="1">
      <alignment horizontal="center" vertical="center"/>
    </xf>
    <xf numFmtId="0" fontId="3" fillId="2" borderId="343" xfId="0" applyFont="1" applyFill="1" applyBorder="1" applyAlignment="1">
      <alignment horizontal="center" vertical="center"/>
    </xf>
    <xf numFmtId="0" fontId="3" fillId="2" borderId="320" xfId="0" applyFont="1" applyFill="1" applyBorder="1" applyAlignment="1">
      <alignment horizontal="center" vertical="center"/>
    </xf>
    <xf numFmtId="0" fontId="3" fillId="2" borderId="321" xfId="0" applyFont="1" applyFill="1" applyBorder="1" applyAlignment="1">
      <alignment horizontal="center" vertical="center"/>
    </xf>
    <xf numFmtId="0" fontId="3" fillId="2" borderId="370" xfId="0" applyFont="1" applyFill="1" applyBorder="1" applyAlignment="1">
      <alignment horizontal="center" vertical="center"/>
    </xf>
    <xf numFmtId="0" fontId="3" fillId="2" borderId="371" xfId="0" applyFont="1" applyFill="1" applyBorder="1" applyAlignment="1">
      <alignment horizontal="center" vertical="center"/>
    </xf>
    <xf numFmtId="0" fontId="3" fillId="2" borderId="385" xfId="0" applyFont="1" applyFill="1" applyBorder="1" applyAlignment="1">
      <alignment horizontal="center" vertical="center"/>
    </xf>
    <xf numFmtId="0" fontId="3" fillId="2" borderId="386" xfId="0" applyFont="1" applyFill="1" applyBorder="1" applyAlignment="1">
      <alignment horizontal="center" vertical="center"/>
    </xf>
    <xf numFmtId="0" fontId="6" fillId="2" borderId="384" xfId="0" applyFont="1" applyFill="1" applyBorder="1" applyAlignment="1">
      <alignment horizontal="center" vertical="center"/>
    </xf>
    <xf numFmtId="0" fontId="6" fillId="2" borderId="387" xfId="0" applyFont="1" applyFill="1" applyBorder="1" applyAlignment="1">
      <alignment horizontal="center" vertical="center"/>
    </xf>
    <xf numFmtId="0" fontId="6" fillId="2" borderId="372" xfId="0" applyFont="1" applyFill="1" applyBorder="1" applyAlignment="1">
      <alignment horizontal="center" vertical="center"/>
    </xf>
    <xf numFmtId="0" fontId="6" fillId="2" borderId="373" xfId="0" applyFont="1" applyFill="1" applyBorder="1" applyAlignment="1">
      <alignment horizontal="center" vertical="center"/>
    </xf>
    <xf numFmtId="0" fontId="6" fillId="2" borderId="370" xfId="0" applyFont="1" applyFill="1" applyBorder="1" applyAlignment="1">
      <alignment horizontal="center" vertical="center"/>
    </xf>
    <xf numFmtId="0" fontId="6" fillId="2" borderId="371" xfId="0" applyFont="1" applyFill="1" applyBorder="1" applyAlignment="1">
      <alignment horizontal="center" vertical="center"/>
    </xf>
    <xf numFmtId="0" fontId="6" fillId="2" borderId="368" xfId="0" applyFont="1" applyFill="1" applyBorder="1" applyAlignment="1">
      <alignment horizontal="center" vertical="center"/>
    </xf>
    <xf numFmtId="0" fontId="6" fillId="2" borderId="369" xfId="0" applyFont="1" applyFill="1" applyBorder="1" applyAlignment="1">
      <alignment horizontal="center" vertical="center"/>
    </xf>
    <xf numFmtId="0" fontId="3" fillId="2" borderId="368" xfId="0" applyFont="1" applyFill="1" applyBorder="1" applyAlignment="1">
      <alignment horizontal="center" vertical="center"/>
    </xf>
    <xf numFmtId="0" fontId="3" fillId="2" borderId="369" xfId="0" applyFont="1" applyFill="1" applyBorder="1" applyAlignment="1">
      <alignment horizontal="center" vertical="center"/>
    </xf>
    <xf numFmtId="0" fontId="19" fillId="2" borderId="340" xfId="0" applyFont="1" applyFill="1" applyBorder="1" applyAlignment="1">
      <alignment horizontal="center" vertical="center"/>
    </xf>
    <xf numFmtId="0" fontId="19" fillId="2" borderId="341"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317" xfId="0" applyFont="1" applyFill="1" applyBorder="1" applyAlignment="1">
      <alignment horizontal="center" vertical="center"/>
    </xf>
    <xf numFmtId="0" fontId="13" fillId="18" borderId="319" xfId="0" applyFont="1" applyFill="1" applyBorder="1" applyAlignment="1">
      <alignment horizontal="center" vertical="center"/>
    </xf>
    <xf numFmtId="0" fontId="13" fillId="18" borderId="324" xfId="0" applyFont="1" applyFill="1" applyBorder="1" applyAlignment="1">
      <alignment horizontal="center" vertical="center"/>
    </xf>
    <xf numFmtId="0" fontId="19" fillId="2" borderId="30" xfId="0" applyFont="1" applyFill="1" applyBorder="1" applyAlignment="1">
      <alignment horizontal="center" vertical="center"/>
    </xf>
    <xf numFmtId="0" fontId="19" fillId="2" borderId="28" xfId="0" applyFont="1" applyFill="1" applyBorder="1" applyAlignment="1">
      <alignment horizontal="center" vertical="center"/>
    </xf>
    <xf numFmtId="0" fontId="19" fillId="2" borderId="1" xfId="0" applyFont="1" applyFill="1" applyBorder="1" applyAlignment="1">
      <alignment horizontal="center" vertical="center"/>
    </xf>
    <xf numFmtId="0" fontId="19" fillId="2" borderId="17" xfId="0" applyFont="1" applyFill="1" applyBorder="1" applyAlignment="1">
      <alignment horizontal="center" vertical="center"/>
    </xf>
    <xf numFmtId="0" fontId="3" fillId="2" borderId="17" xfId="0" applyFont="1" applyFill="1" applyBorder="1" applyAlignment="1">
      <alignment horizontal="center" vertical="center"/>
    </xf>
    <xf numFmtId="0" fontId="19" fillId="2" borderId="370" xfId="0" applyFont="1" applyFill="1" applyBorder="1" applyAlignment="1">
      <alignment horizontal="center" vertical="center"/>
    </xf>
    <xf numFmtId="0" fontId="19" fillId="2" borderId="371" xfId="0" applyFont="1" applyFill="1" applyBorder="1" applyAlignment="1">
      <alignment horizontal="center" vertical="center"/>
    </xf>
    <xf numFmtId="0" fontId="13" fillId="18" borderId="372" xfId="0" applyFont="1" applyFill="1" applyBorder="1" applyAlignment="1">
      <alignment horizontal="center" vertical="center"/>
    </xf>
    <xf numFmtId="0" fontId="13" fillId="18" borderId="373" xfId="0" applyFont="1" applyFill="1" applyBorder="1" applyAlignment="1">
      <alignment horizontal="center" vertical="center"/>
    </xf>
    <xf numFmtId="0" fontId="28" fillId="2" borderId="268" xfId="0" applyFont="1" applyFill="1" applyBorder="1" applyAlignment="1">
      <alignment horizontal="center" vertical="center"/>
    </xf>
    <xf numFmtId="0" fontId="28" fillId="2" borderId="14" xfId="0" applyFont="1" applyFill="1" applyBorder="1" applyAlignment="1">
      <alignment horizontal="center" vertical="center"/>
    </xf>
    <xf numFmtId="0" fontId="28" fillId="2" borderId="269" xfId="0" applyFont="1" applyFill="1" applyBorder="1" applyAlignment="1">
      <alignment horizontal="center" vertical="center"/>
    </xf>
    <xf numFmtId="0" fontId="28" fillId="2" borderId="265"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266" xfId="0" applyFont="1" applyFill="1" applyBorder="1" applyAlignment="1">
      <alignment horizontal="center" vertical="center"/>
    </xf>
    <xf numFmtId="0" fontId="0" fillId="0" borderId="0" xfId="0" applyAlignment="1">
      <alignment horizontal="center" vertical="center"/>
    </xf>
    <xf numFmtId="49" fontId="3" fillId="2" borderId="7" xfId="0" applyNumberFormat="1" applyFont="1" applyFill="1" applyBorder="1" applyAlignment="1">
      <alignment horizontal="center" vertical="center"/>
    </xf>
    <xf numFmtId="49" fontId="3" fillId="2" borderId="5" xfId="0" applyNumberFormat="1" applyFont="1" applyFill="1" applyBorder="1" applyAlignment="1">
      <alignment horizontal="center" vertical="center"/>
    </xf>
    <xf numFmtId="14" fontId="3" fillId="2" borderId="89" xfId="0" applyNumberFormat="1" applyFont="1" applyFill="1" applyBorder="1" applyAlignment="1">
      <alignment horizontal="center" vertical="center"/>
    </xf>
    <xf numFmtId="14" fontId="3" fillId="2" borderId="66" xfId="0" applyNumberFormat="1" applyFont="1" applyFill="1" applyBorder="1" applyAlignment="1">
      <alignment horizontal="center" vertical="center"/>
    </xf>
    <xf numFmtId="14" fontId="3" fillId="2" borderId="90" xfId="0" applyNumberFormat="1" applyFont="1" applyFill="1" applyBorder="1" applyAlignment="1">
      <alignment horizontal="center" vertical="center"/>
    </xf>
    <xf numFmtId="49" fontId="3" fillId="2" borderId="91" xfId="0" applyNumberFormat="1" applyFont="1" applyFill="1" applyBorder="1" applyAlignment="1">
      <alignment horizontal="center" vertical="center"/>
    </xf>
    <xf numFmtId="49" fontId="3" fillId="2" borderId="87" xfId="0" applyNumberFormat="1" applyFont="1" applyFill="1" applyBorder="1" applyAlignment="1">
      <alignment horizontal="center" vertical="center"/>
    </xf>
    <xf numFmtId="14" fontId="3" fillId="2" borderId="88" xfId="0" applyNumberFormat="1" applyFont="1" applyFill="1" applyBorder="1" applyAlignment="1">
      <alignment horizontal="center" vertical="center"/>
    </xf>
    <xf numFmtId="49" fontId="3" fillId="2" borderId="7" xfId="0" quotePrefix="1" applyNumberFormat="1" applyFont="1" applyFill="1" applyBorder="1" applyAlignment="1">
      <alignment horizontal="center" vertical="center"/>
    </xf>
    <xf numFmtId="49" fontId="3" fillId="2" borderId="5" xfId="0" quotePrefix="1" applyNumberFormat="1" applyFont="1" applyFill="1" applyBorder="1" applyAlignment="1">
      <alignment horizontal="center" vertical="center"/>
    </xf>
    <xf numFmtId="0" fontId="3" fillId="2" borderId="90" xfId="0" applyFont="1" applyFill="1" applyBorder="1" applyAlignment="1">
      <alignment horizontal="center" vertical="center"/>
    </xf>
    <xf numFmtId="0" fontId="3" fillId="2" borderId="66" xfId="0" applyFont="1" applyFill="1" applyBorder="1" applyAlignment="1">
      <alignment horizontal="center" vertical="center"/>
    </xf>
    <xf numFmtId="49" fontId="3" fillId="2" borderId="7" xfId="0" applyNumberFormat="1" applyFont="1" applyFill="1" applyBorder="1" applyAlignment="1">
      <alignment horizontal="center" vertical="center" wrapText="1"/>
    </xf>
    <xf numFmtId="49" fontId="3" fillId="2" borderId="5" xfId="0" applyNumberFormat="1" applyFont="1" applyFill="1" applyBorder="1" applyAlignment="1">
      <alignment horizontal="center" vertical="center" wrapText="1"/>
    </xf>
    <xf numFmtId="14" fontId="3" fillId="2" borderId="89" xfId="0" applyNumberFormat="1" applyFont="1" applyFill="1" applyBorder="1" applyAlignment="1">
      <alignment horizontal="center" vertical="center" wrapText="1"/>
    </xf>
    <xf numFmtId="14" fontId="3" fillId="2" borderId="66" xfId="0" applyNumberFormat="1" applyFont="1" applyFill="1" applyBorder="1" applyAlignment="1">
      <alignment horizontal="center" vertical="center" wrapText="1"/>
    </xf>
    <xf numFmtId="181" fontId="0" fillId="0" borderId="0" xfId="0" applyNumberFormat="1" applyAlignment="1">
      <alignment horizontal="right" vertical="center"/>
    </xf>
    <xf numFmtId="10" fontId="0" fillId="0" borderId="0" xfId="0" applyNumberFormat="1" applyAlignment="1">
      <alignment horizontal="right" vertical="center"/>
    </xf>
  </cellXfs>
  <cellStyles count="1">
    <cellStyle name="常规" xfId="0" builtinId="0"/>
  </cellStyles>
  <dxfs count="31">
    <dxf>
      <font>
        <b/>
        <i val="0"/>
        <color rgb="FFFF0000"/>
      </font>
    </dxf>
    <dxf>
      <font>
        <strike val="0"/>
        <color rgb="FFC000C0"/>
      </font>
    </dxf>
    <dxf>
      <font>
        <color rgb="FF00A048"/>
      </font>
    </dxf>
    <dxf>
      <font>
        <color rgb="FF0070C0"/>
      </font>
    </dxf>
    <dxf>
      <font>
        <color rgb="FFC00000"/>
      </font>
    </dxf>
    <dxf>
      <font>
        <color rgb="FF907B00"/>
      </font>
    </dxf>
    <dxf>
      <font>
        <color rgb="FF672C94"/>
      </font>
    </dxf>
    <dxf>
      <font>
        <strike val="0"/>
        <color rgb="FFC000C0"/>
      </font>
    </dxf>
    <dxf>
      <font>
        <color rgb="FF00A048"/>
      </font>
    </dxf>
    <dxf>
      <font>
        <color rgb="FF0070C0"/>
      </font>
    </dxf>
    <dxf>
      <font>
        <color rgb="FFC00000"/>
      </font>
    </dxf>
    <dxf>
      <font>
        <color rgb="FF907B00"/>
      </font>
    </dxf>
    <dxf>
      <font>
        <color rgb="FF672C94"/>
      </font>
    </dxf>
    <dxf>
      <font>
        <strike val="0"/>
        <color rgb="FFC000C0"/>
      </font>
    </dxf>
    <dxf>
      <font>
        <color rgb="FF00A048"/>
      </font>
    </dxf>
    <dxf>
      <font>
        <color rgb="FF0070C0"/>
      </font>
    </dxf>
    <dxf>
      <font>
        <color rgb="FFC00000"/>
      </font>
    </dxf>
    <dxf>
      <font>
        <color rgb="FF907B00"/>
      </font>
    </dxf>
    <dxf>
      <font>
        <color rgb="FF672C94"/>
      </font>
    </dxf>
    <dxf>
      <font>
        <strike val="0"/>
        <color rgb="FFC000C0"/>
      </font>
    </dxf>
    <dxf>
      <font>
        <color rgb="FF00A048"/>
      </font>
    </dxf>
    <dxf>
      <font>
        <color rgb="FF0070C0"/>
      </font>
    </dxf>
    <dxf>
      <font>
        <color rgb="FFC00000"/>
      </font>
    </dxf>
    <dxf>
      <font>
        <color rgb="FF907B00"/>
      </font>
    </dxf>
    <dxf>
      <font>
        <color rgb="FF672C94"/>
      </font>
    </dxf>
    <dxf>
      <font>
        <strike val="0"/>
        <color rgb="FFC000C0"/>
      </font>
    </dxf>
    <dxf>
      <font>
        <color rgb="FF00A048"/>
      </font>
    </dxf>
    <dxf>
      <font>
        <color rgb="FF0070C0"/>
      </font>
    </dxf>
    <dxf>
      <font>
        <color rgb="FFC00000"/>
      </font>
    </dxf>
    <dxf>
      <font>
        <color rgb="FF907B00"/>
      </font>
    </dxf>
    <dxf>
      <font>
        <color rgb="FF672C94"/>
      </font>
    </dxf>
  </dxfs>
  <tableStyles count="0" defaultTableStyle="TableStyleMedium2" defaultPivotStyle="PivotStyleLight16"/>
  <colors>
    <mruColors>
      <color rgb="FF1077D4"/>
      <color rgb="FF0077E4"/>
      <color rgb="FF0000FF"/>
      <color rgb="FFF4FFE9"/>
      <color rgb="FFF4E9FF"/>
      <color rgb="FFFFFFDE"/>
      <color rgb="FFE9F4FF"/>
      <color rgb="FFFFDEF4"/>
      <color rgb="FFFFE9E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一些卡片的</a:t>
            </a:r>
            <a:r>
              <a:rPr lang="en-US" altLang="zh-CN"/>
              <a:t>60000</a:t>
            </a:r>
            <a:r>
              <a:rPr lang="zh-CN" altLang="en-US"/>
              <a:t>上限异色环境的单键点击分随蓝标</a:t>
            </a:r>
            <a:r>
              <a:rPr lang="en-US" altLang="zh-CN"/>
              <a:t>ap+</a:t>
            </a:r>
            <a:r>
              <a:rPr lang="zh-CN" altLang="en-US"/>
              <a:t>的变化</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一些卡片的真输出!$W$4</c:f>
              <c:strCache>
                <c:ptCount val="1"/>
                <c:pt idx="0">
                  <c:v>fes2璃</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一些卡片的真输出!$X$4:$AN$4</c:f>
              <c:numCache>
                <c:formatCode>0.0_ </c:formatCode>
                <c:ptCount val="17"/>
                <c:pt idx="0">
                  <c:v>17967.000911918483</c:v>
                </c:pt>
                <c:pt idx="1">
                  <c:v>18286.254903756129</c:v>
                </c:pt>
                <c:pt idx="2">
                  <c:v>18555.074721015375</c:v>
                </c:pt>
                <c:pt idx="3">
                  <c:v>18750.598227004299</c:v>
                </c:pt>
                <c:pt idx="4">
                  <c:v>18900.467746047714</c:v>
                </c:pt>
                <c:pt idx="5">
                  <c:v>19032.540140320918</c:v>
                </c:pt>
                <c:pt idx="6">
                  <c:v>19127.182735192691</c:v>
                </c:pt>
                <c:pt idx="7">
                  <c:v>19221.825330064468</c:v>
                </c:pt>
                <c:pt idx="8">
                  <c:v>19283.536031540749</c:v>
                </c:pt>
                <c:pt idx="9">
                  <c:v>19327.199927177167</c:v>
                </c:pt>
                <c:pt idx="10">
                  <c:v>19370.863822813582</c:v>
                </c:pt>
                <c:pt idx="11">
                  <c:v>19414.527718450001</c:v>
                </c:pt>
                <c:pt idx="12">
                  <c:v>19458.19161408642</c:v>
                </c:pt>
                <c:pt idx="13">
                  <c:v>19501.855509722838</c:v>
                </c:pt>
                <c:pt idx="14">
                  <c:v>19545.519405359257</c:v>
                </c:pt>
                <c:pt idx="15">
                  <c:v>19585.45430068484</c:v>
                </c:pt>
                <c:pt idx="16">
                  <c:v>19623.695882484055</c:v>
                </c:pt>
              </c:numCache>
            </c:numRef>
          </c:val>
          <c:smooth val="0"/>
          <c:extLst>
            <c:ext xmlns:c16="http://schemas.microsoft.com/office/drawing/2014/chart" uri="{C3380CC4-5D6E-409C-BE32-E72D297353CC}">
              <c16:uniqueId val="{00000000-638E-42DC-807C-3D0DEBBB5687}"/>
            </c:ext>
          </c:extLst>
        </c:ser>
        <c:ser>
          <c:idx val="1"/>
          <c:order val="1"/>
          <c:tx>
            <c:strRef>
              <c:f>一些卡片的真输出!$W$6</c:f>
              <c:strCache>
                <c:ptCount val="1"/>
                <c:pt idx="0">
                  <c:v>fes2黛</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一些卡片的真输出!$X$6:$AN$6</c:f>
              <c:numCache>
                <c:formatCode>0.0_ </c:formatCode>
                <c:ptCount val="17"/>
                <c:pt idx="0">
                  <c:v>17841.678658456003</c:v>
                </c:pt>
                <c:pt idx="1">
                  <c:v>18188.859016516868</c:v>
                </c:pt>
                <c:pt idx="2">
                  <c:v>18455.482248944099</c:v>
                </c:pt>
                <c:pt idx="3">
                  <c:v>18680.962045964789</c:v>
                </c:pt>
                <c:pt idx="4">
                  <c:v>18830.308049337775</c:v>
                </c:pt>
                <c:pt idx="5">
                  <c:v>18977.813031345639</c:v>
                </c:pt>
                <c:pt idx="6">
                  <c:v>19072.708892657727</c:v>
                </c:pt>
                <c:pt idx="7">
                  <c:v>19167.604753969812</c:v>
                </c:pt>
                <c:pt idx="8">
                  <c:v>19245.882510525142</c:v>
                </c:pt>
                <c:pt idx="9">
                  <c:v>19290.516702242552</c:v>
                </c:pt>
                <c:pt idx="10">
                  <c:v>19335.150893959963</c:v>
                </c:pt>
                <c:pt idx="11">
                  <c:v>19379.785085677373</c:v>
                </c:pt>
                <c:pt idx="12">
                  <c:v>19424.419277394783</c:v>
                </c:pt>
                <c:pt idx="13">
                  <c:v>19469.05346911219</c:v>
                </c:pt>
                <c:pt idx="14">
                  <c:v>19513.687660829601</c:v>
                </c:pt>
                <c:pt idx="15">
                  <c:v>19556.645899114585</c:v>
                </c:pt>
                <c:pt idx="16">
                  <c:v>19595.737282710226</c:v>
                </c:pt>
              </c:numCache>
            </c:numRef>
          </c:val>
          <c:smooth val="0"/>
          <c:extLst>
            <c:ext xmlns:c16="http://schemas.microsoft.com/office/drawing/2014/chart" uri="{C3380CC4-5D6E-409C-BE32-E72D297353CC}">
              <c16:uniqueId val="{00000001-638E-42DC-807C-3D0DEBBB5687}"/>
            </c:ext>
          </c:extLst>
        </c:ser>
        <c:ser>
          <c:idx val="2"/>
          <c:order val="2"/>
          <c:tx>
            <c:strRef>
              <c:f>一些卡片的真输出!$W$7</c:f>
              <c:strCache>
                <c:ptCount val="1"/>
                <c:pt idx="0">
                  <c:v>fes2露</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一些卡片的真输出!$X$7:$AN$7</c:f>
              <c:numCache>
                <c:formatCode>0.0_ </c:formatCode>
                <c:ptCount val="17"/>
                <c:pt idx="0">
                  <c:v>17864.535544674585</c:v>
                </c:pt>
                <c:pt idx="1">
                  <c:v>18144.144188755487</c:v>
                </c:pt>
                <c:pt idx="2">
                  <c:v>18418.622137790666</c:v>
                </c:pt>
                <c:pt idx="3">
                  <c:v>18578.976150308215</c:v>
                </c:pt>
                <c:pt idx="4">
                  <c:v>18739.330162825765</c:v>
                </c:pt>
                <c:pt idx="5">
                  <c:v>18858.317803759044</c:v>
                </c:pt>
                <c:pt idx="6">
                  <c:v>18964.488385834735</c:v>
                </c:pt>
                <c:pt idx="7">
                  <c:v>19064.238854493811</c:v>
                </c:pt>
                <c:pt idx="8">
                  <c:v>19120.393962315469</c:v>
                </c:pt>
                <c:pt idx="9">
                  <c:v>19176.549070137127</c:v>
                </c:pt>
                <c:pt idx="10">
                  <c:v>19232.704177958785</c:v>
                </c:pt>
                <c:pt idx="11">
                  <c:v>19288.859285780443</c:v>
                </c:pt>
                <c:pt idx="12">
                  <c:v>19345.014393602101</c:v>
                </c:pt>
                <c:pt idx="13">
                  <c:v>19401.169501423759</c:v>
                </c:pt>
                <c:pt idx="14">
                  <c:v>19455.392015041085</c:v>
                </c:pt>
                <c:pt idx="15">
                  <c:v>19504.5736127411</c:v>
                </c:pt>
                <c:pt idx="16">
                  <c:v>19553.755210441115</c:v>
                </c:pt>
              </c:numCache>
            </c:numRef>
          </c:val>
          <c:smooth val="0"/>
          <c:extLst>
            <c:ext xmlns:c16="http://schemas.microsoft.com/office/drawing/2014/chart" uri="{C3380CC4-5D6E-409C-BE32-E72D297353CC}">
              <c16:uniqueId val="{00000002-638E-42DC-807C-3D0DEBBB5687}"/>
            </c:ext>
          </c:extLst>
        </c:ser>
        <c:ser>
          <c:idx val="3"/>
          <c:order val="3"/>
          <c:tx>
            <c:strRef>
              <c:f>一些卡片的真输出!$W$8</c:f>
              <c:strCache>
                <c:ptCount val="1"/>
                <c:pt idx="0">
                  <c:v>prt彼</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一些卡片的真输出!$X$8:$AN$8</c:f>
              <c:numCache>
                <c:formatCode>0.0_ </c:formatCode>
                <c:ptCount val="17"/>
                <c:pt idx="0">
                  <c:v>17220.161240586811</c:v>
                </c:pt>
                <c:pt idx="1">
                  <c:v>17623.890102788126</c:v>
                </c:pt>
                <c:pt idx="2">
                  <c:v>17988.627568571956</c:v>
                </c:pt>
                <c:pt idx="3">
                  <c:v>18295.429502210856</c:v>
                </c:pt>
                <c:pt idx="4">
                  <c:v>18542.078383901451</c:v>
                </c:pt>
                <c:pt idx="5">
                  <c:v>18752.324853924871</c:v>
                </c:pt>
                <c:pt idx="6">
                  <c:v>18888.757723795108</c:v>
                </c:pt>
                <c:pt idx="7">
                  <c:v>19025.190593665349</c:v>
                </c:pt>
                <c:pt idx="8">
                  <c:v>19118.762242712906</c:v>
                </c:pt>
                <c:pt idx="9">
                  <c:v>19204.023392809413</c:v>
                </c:pt>
                <c:pt idx="10">
                  <c:v>19289.284542905913</c:v>
                </c:pt>
                <c:pt idx="11">
                  <c:v>19330.642174009292</c:v>
                </c:pt>
                <c:pt idx="12">
                  <c:v>19368.6678904685</c:v>
                </c:pt>
                <c:pt idx="13">
                  <c:v>19406.693606927707</c:v>
                </c:pt>
                <c:pt idx="14">
                  <c:v>19444.719323386915</c:v>
                </c:pt>
                <c:pt idx="15">
                  <c:v>19482.745039846126</c:v>
                </c:pt>
                <c:pt idx="16">
                  <c:v>19520.770756305334</c:v>
                </c:pt>
              </c:numCache>
            </c:numRef>
          </c:val>
          <c:smooth val="0"/>
          <c:extLst>
            <c:ext xmlns:c16="http://schemas.microsoft.com/office/drawing/2014/chart" uri="{C3380CC4-5D6E-409C-BE32-E72D297353CC}">
              <c16:uniqueId val="{00000003-638E-42DC-807C-3D0DEBBB5687}"/>
            </c:ext>
          </c:extLst>
        </c:ser>
        <c:ser>
          <c:idx val="4"/>
          <c:order val="4"/>
          <c:tx>
            <c:strRef>
              <c:f>一些卡片的真输出!$W$9</c:f>
              <c:strCache>
                <c:ptCount val="1"/>
                <c:pt idx="0">
                  <c:v>fes2菜</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一些卡片的真输出!$X$9:$AN$9</c:f>
              <c:numCache>
                <c:formatCode>0.0_ </c:formatCode>
                <c:ptCount val="17"/>
                <c:pt idx="0">
                  <c:v>17643.43607730346</c:v>
                </c:pt>
                <c:pt idx="1">
                  <c:v>17926.520516110046</c:v>
                </c:pt>
                <c:pt idx="2">
                  <c:v>18204.633234555575</c:v>
                </c:pt>
                <c:pt idx="3">
                  <c:v>18372.158148851413</c:v>
                </c:pt>
                <c:pt idx="4">
                  <c:v>18539.683063147251</c:v>
                </c:pt>
                <c:pt idx="5">
                  <c:v>18667.123343677955</c:v>
                </c:pt>
                <c:pt idx="6">
                  <c:v>18782.143702166282</c:v>
                </c:pt>
                <c:pt idx="7">
                  <c:v>18890.942874575685</c:v>
                </c:pt>
                <c:pt idx="8">
                  <c:v>18957.497489241687</c:v>
                </c:pt>
                <c:pt idx="9">
                  <c:v>19024.052103907688</c:v>
                </c:pt>
                <c:pt idx="10">
                  <c:v>19090.60671857369</c:v>
                </c:pt>
                <c:pt idx="11">
                  <c:v>19157.161333239692</c:v>
                </c:pt>
                <c:pt idx="12">
                  <c:v>19223.715947905694</c:v>
                </c:pt>
                <c:pt idx="13">
                  <c:v>19290.270562571695</c:v>
                </c:pt>
                <c:pt idx="14">
                  <c:v>19354.534681011002</c:v>
                </c:pt>
                <c:pt idx="15">
                  <c:v>19412.824343528941</c:v>
                </c:pt>
                <c:pt idx="16">
                  <c:v>19471.114006046875</c:v>
                </c:pt>
              </c:numCache>
            </c:numRef>
          </c:val>
          <c:smooth val="0"/>
          <c:extLst>
            <c:ext xmlns:c16="http://schemas.microsoft.com/office/drawing/2014/chart" uri="{C3380CC4-5D6E-409C-BE32-E72D297353CC}">
              <c16:uniqueId val="{00000004-638E-42DC-807C-3D0DEBBB5687}"/>
            </c:ext>
          </c:extLst>
        </c:ser>
        <c:ser>
          <c:idx val="5"/>
          <c:order val="5"/>
          <c:tx>
            <c:strRef>
              <c:f>一些卡片的真输出!$W$11</c:f>
              <c:strCache>
                <c:ptCount val="1"/>
                <c:pt idx="0">
                  <c:v>prt鸟</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一些卡片的真输出!$X$11:$AN$11</c:f>
              <c:numCache>
                <c:formatCode>0.0_ </c:formatCode>
                <c:ptCount val="17"/>
                <c:pt idx="0">
                  <c:v>17294.88459612017</c:v>
                </c:pt>
                <c:pt idx="1">
                  <c:v>17680.623933530933</c:v>
                </c:pt>
                <c:pt idx="2">
                  <c:v>17952.039222458963</c:v>
                </c:pt>
                <c:pt idx="3">
                  <c:v>18220.833104385969</c:v>
                </c:pt>
                <c:pt idx="4">
                  <c:v>18387.197781268744</c:v>
                </c:pt>
                <c:pt idx="5">
                  <c:v>18546.842571410911</c:v>
                </c:pt>
                <c:pt idx="6">
                  <c:v>18676.812908148047</c:v>
                </c:pt>
                <c:pt idx="7">
                  <c:v>18785.781334247255</c:v>
                </c:pt>
                <c:pt idx="8">
                  <c:v>18894.749760346462</c:v>
                </c:pt>
                <c:pt idx="9">
                  <c:v>18964.398427362048</c:v>
                </c:pt>
                <c:pt idx="10">
                  <c:v>19026.588671267749</c:v>
                </c:pt>
                <c:pt idx="11">
                  <c:v>19088.778915173454</c:v>
                </c:pt>
                <c:pt idx="12">
                  <c:v>19150.969159079159</c:v>
                </c:pt>
                <c:pt idx="13">
                  <c:v>19213.15940298486</c:v>
                </c:pt>
                <c:pt idx="14">
                  <c:v>19275.349646890565</c:v>
                </c:pt>
                <c:pt idx="15">
                  <c:v>19337.53989079627</c:v>
                </c:pt>
                <c:pt idx="16">
                  <c:v>19394.296785280418</c:v>
                </c:pt>
              </c:numCache>
            </c:numRef>
          </c:val>
          <c:smooth val="0"/>
          <c:extLst>
            <c:ext xmlns:c16="http://schemas.microsoft.com/office/drawing/2014/chart" uri="{C3380CC4-5D6E-409C-BE32-E72D297353CC}">
              <c16:uniqueId val="{00000005-638E-42DC-807C-3D0DEBBB5687}"/>
            </c:ext>
          </c:extLst>
        </c:ser>
        <c:ser>
          <c:idx val="6"/>
          <c:order val="6"/>
          <c:tx>
            <c:strRef>
              <c:f>一些卡片的真输出!$W$12</c:f>
              <c:strCache>
                <c:ptCount val="1"/>
                <c:pt idx="0">
                  <c:v>prt栞</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一些卡片的真输出!$X$12:$AN$12</c:f>
              <c:numCache>
                <c:formatCode>0.0_ </c:formatCode>
                <c:ptCount val="17"/>
                <c:pt idx="0">
                  <c:v>17183.324878235893</c:v>
                </c:pt>
                <c:pt idx="1">
                  <c:v>17563.049839408828</c:v>
                </c:pt>
                <c:pt idx="2">
                  <c:v>17875.899317134841</c:v>
                </c:pt>
                <c:pt idx="3">
                  <c:v>18139.953945493886</c:v>
                </c:pt>
                <c:pt idx="4">
                  <c:v>18349.332232679215</c:v>
                </c:pt>
                <c:pt idx="5">
                  <c:v>18505.427883745298</c:v>
                </c:pt>
                <c:pt idx="6">
                  <c:v>18655.707646402981</c:v>
                </c:pt>
                <c:pt idx="7">
                  <c:v>18761.679486583049</c:v>
                </c:pt>
                <c:pt idx="8">
                  <c:v>18867.651326763116</c:v>
                </c:pt>
                <c:pt idx="9">
                  <c:v>18958.484138629527</c:v>
                </c:pt>
                <c:pt idx="10">
                  <c:v>19018.187845684039</c:v>
                </c:pt>
                <c:pt idx="11">
                  <c:v>19077.891552738551</c:v>
                </c:pt>
                <c:pt idx="12">
                  <c:v>19137.595259793063</c:v>
                </c:pt>
                <c:pt idx="13">
                  <c:v>19197.298966847575</c:v>
                </c:pt>
                <c:pt idx="14">
                  <c:v>19257.002673902087</c:v>
                </c:pt>
                <c:pt idx="15">
                  <c:v>19316.706380956599</c:v>
                </c:pt>
                <c:pt idx="16">
                  <c:v>19375.844769464893</c:v>
                </c:pt>
              </c:numCache>
            </c:numRef>
          </c:val>
          <c:smooth val="0"/>
          <c:extLst>
            <c:ext xmlns:c16="http://schemas.microsoft.com/office/drawing/2014/chart" uri="{C3380CC4-5D6E-409C-BE32-E72D297353CC}">
              <c16:uniqueId val="{00000006-638E-42DC-807C-3D0DEBBB5687}"/>
            </c:ext>
          </c:extLst>
        </c:ser>
        <c:ser>
          <c:idx val="7"/>
          <c:order val="7"/>
          <c:tx>
            <c:strRef>
              <c:f>一些卡片的真输出!$W$17</c:f>
              <c:strCache>
                <c:ptCount val="1"/>
                <c:pt idx="0">
                  <c:v>婚纱爱</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一些卡片的真输出!$X$17:$AN$17</c:f>
              <c:numCache>
                <c:formatCode>0.0_ </c:formatCode>
                <c:ptCount val="17"/>
                <c:pt idx="0">
                  <c:v>16182.436540112678</c:v>
                </c:pt>
                <c:pt idx="1">
                  <c:v>16587.906220173416</c:v>
                </c:pt>
                <c:pt idx="2">
                  <c:v>16969.905618731889</c:v>
                </c:pt>
                <c:pt idx="3">
                  <c:v>17320.174127332157</c:v>
                </c:pt>
                <c:pt idx="4">
                  <c:v>17622.675501600923</c:v>
                </c:pt>
                <c:pt idx="5">
                  <c:v>17869.441813712812</c:v>
                </c:pt>
                <c:pt idx="6">
                  <c:v>18095.215005896458</c:v>
                </c:pt>
                <c:pt idx="7">
                  <c:v>18245.379267952529</c:v>
                </c:pt>
                <c:pt idx="8">
                  <c:v>18395.543530008599</c:v>
                </c:pt>
                <c:pt idx="9">
                  <c:v>18517.547580355666</c:v>
                </c:pt>
                <c:pt idx="10">
                  <c:v>18622.860890600106</c:v>
                </c:pt>
                <c:pt idx="11">
                  <c:v>18728.174200844547</c:v>
                </c:pt>
                <c:pt idx="12">
                  <c:v>18808.364086932776</c:v>
                </c:pt>
                <c:pt idx="13">
                  <c:v>18872.276518581864</c:v>
                </c:pt>
                <c:pt idx="14">
                  <c:v>18936.188950230953</c:v>
                </c:pt>
                <c:pt idx="15">
                  <c:v>19000.101381880046</c:v>
                </c:pt>
                <c:pt idx="16">
                  <c:v>19064.013813529134</c:v>
                </c:pt>
              </c:numCache>
            </c:numRef>
          </c:val>
          <c:smooth val="0"/>
          <c:extLst>
            <c:ext xmlns:c16="http://schemas.microsoft.com/office/drawing/2014/chart" uri="{C3380CC4-5D6E-409C-BE32-E72D297353CC}">
              <c16:uniqueId val="{00000007-638E-42DC-807C-3D0DEBBB5687}"/>
            </c:ext>
          </c:extLst>
        </c:ser>
        <c:ser>
          <c:idx val="8"/>
          <c:order val="8"/>
          <c:tx>
            <c:strRef>
              <c:f>一些卡片的真输出!$W$18</c:f>
              <c:strCache>
                <c:ptCount val="1"/>
                <c:pt idx="0">
                  <c:v>prt璃</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一些卡片的真输出!$X$18:$AN$18</c:f>
              <c:numCache>
                <c:formatCode>0.0_ </c:formatCode>
                <c:ptCount val="17"/>
                <c:pt idx="0">
                  <c:v>16064.735405481273</c:v>
                </c:pt>
                <c:pt idx="1">
                  <c:v>16471.422109080992</c:v>
                </c:pt>
                <c:pt idx="2">
                  <c:v>16864.206234333062</c:v>
                </c:pt>
                <c:pt idx="3">
                  <c:v>17210.767789471804</c:v>
                </c:pt>
                <c:pt idx="4">
                  <c:v>17540.157822312409</c:v>
                </c:pt>
                <c:pt idx="5">
                  <c:v>17784.454995164273</c:v>
                </c:pt>
                <c:pt idx="6">
                  <c:v>18028.752168016141</c:v>
                </c:pt>
                <c:pt idx="7">
                  <c:v>18187.166908959825</c:v>
                </c:pt>
                <c:pt idx="8">
                  <c:v>18336.017325010609</c:v>
                </c:pt>
                <c:pt idx="9">
                  <c:v>18472.338512417296</c:v>
                </c:pt>
                <c:pt idx="10">
                  <c:v>18576.874362810431</c:v>
                </c:pt>
                <c:pt idx="11">
                  <c:v>18681.410213203566</c:v>
                </c:pt>
                <c:pt idx="12">
                  <c:v>18776.558320319444</c:v>
                </c:pt>
                <c:pt idx="13">
                  <c:v>18840.188417797825</c:v>
                </c:pt>
                <c:pt idx="14">
                  <c:v>18903.818515276213</c:v>
                </c:pt>
                <c:pt idx="15">
                  <c:v>18967.448612754593</c:v>
                </c:pt>
                <c:pt idx="16">
                  <c:v>19031.078710232981</c:v>
                </c:pt>
              </c:numCache>
            </c:numRef>
          </c:val>
          <c:smooth val="0"/>
          <c:extLst>
            <c:ext xmlns:c16="http://schemas.microsoft.com/office/drawing/2014/chart" uri="{C3380CC4-5D6E-409C-BE32-E72D297353CC}">
              <c16:uniqueId val="{00000008-638E-42DC-807C-3D0DEBBB5687}"/>
            </c:ext>
          </c:extLst>
        </c:ser>
        <c:ser>
          <c:idx val="9"/>
          <c:order val="9"/>
          <c:tx>
            <c:strRef>
              <c:f>一些卡片的真输出!$W$21</c:f>
              <c:strCache>
                <c:ptCount val="1"/>
                <c:pt idx="0">
                  <c:v>fes1绘</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一些卡片的真输出!$X$21:$AN$21</c:f>
              <c:numCache>
                <c:formatCode>0.0_ </c:formatCode>
                <c:ptCount val="17"/>
                <c:pt idx="0">
                  <c:v>15114.440133786245</c:v>
                </c:pt>
                <c:pt idx="1">
                  <c:v>15578.329903836937</c:v>
                </c:pt>
                <c:pt idx="2">
                  <c:v>15997.321001208593</c:v>
                </c:pt>
                <c:pt idx="3">
                  <c:v>16389.845622343128</c:v>
                </c:pt>
                <c:pt idx="4">
                  <c:v>16755.359444310856</c:v>
                </c:pt>
                <c:pt idx="5">
                  <c:v>17092.247526942145</c:v>
                </c:pt>
                <c:pt idx="6">
                  <c:v>17407.429795588538</c:v>
                </c:pt>
                <c:pt idx="7">
                  <c:v>17686.207836024081</c:v>
                </c:pt>
                <c:pt idx="8">
                  <c:v>17907.018442192963</c:v>
                </c:pt>
                <c:pt idx="9">
                  <c:v>18127.829048361837</c:v>
                </c:pt>
                <c:pt idx="10">
                  <c:v>18270.16823513023</c:v>
                </c:pt>
                <c:pt idx="11">
                  <c:v>18402.89862298677</c:v>
                </c:pt>
                <c:pt idx="12">
                  <c:v>18535.128425117331</c:v>
                </c:pt>
                <c:pt idx="13">
                  <c:v>18626.964425900278</c:v>
                </c:pt>
                <c:pt idx="14">
                  <c:v>18718.800426683225</c:v>
                </c:pt>
                <c:pt idx="15">
                  <c:v>18810.636427466172</c:v>
                </c:pt>
                <c:pt idx="16">
                  <c:v>18877.79252484574</c:v>
                </c:pt>
              </c:numCache>
            </c:numRef>
          </c:val>
          <c:smooth val="0"/>
          <c:extLst>
            <c:ext xmlns:c16="http://schemas.microsoft.com/office/drawing/2014/chart" uri="{C3380CC4-5D6E-409C-BE32-E72D297353CC}">
              <c16:uniqueId val="{00000009-638E-42DC-807C-3D0DEBBB5687}"/>
            </c:ext>
          </c:extLst>
        </c:ser>
        <c:ser>
          <c:idx val="10"/>
          <c:order val="10"/>
          <c:tx>
            <c:strRef>
              <c:f>一些卡片的真输出!$W$22</c:f>
              <c:strCache>
                <c:ptCount val="1"/>
                <c:pt idx="0">
                  <c:v>fes1霞</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一些卡片的真输出!$X$22:$AN$22</c:f>
              <c:numCache>
                <c:formatCode>0.0_ </c:formatCode>
                <c:ptCount val="17"/>
                <c:pt idx="0">
                  <c:v>15599.479139850293</c:v>
                </c:pt>
                <c:pt idx="1">
                  <c:v>16023.962795435515</c:v>
                </c:pt>
                <c:pt idx="2">
                  <c:v>16414.323979477187</c:v>
                </c:pt>
                <c:pt idx="3">
                  <c:v>16774.447111272963</c:v>
                </c:pt>
                <c:pt idx="4">
                  <c:v>17113.300900173355</c:v>
                </c:pt>
                <c:pt idx="5">
                  <c:v>17398.164449248925</c:v>
                </c:pt>
                <c:pt idx="6">
                  <c:v>17640.441872259431</c:v>
                </c:pt>
                <c:pt idx="7">
                  <c:v>17860.968617682705</c:v>
                </c:pt>
                <c:pt idx="8">
                  <c:v>18013.108099195979</c:v>
                </c:pt>
                <c:pt idx="9">
                  <c:v>18165.247580709252</c:v>
                </c:pt>
                <c:pt idx="10">
                  <c:v>18293.65859478074</c:v>
                </c:pt>
                <c:pt idx="11">
                  <c:v>18403.948317741731</c:v>
                </c:pt>
                <c:pt idx="12">
                  <c:v>18514.238040702716</c:v>
                </c:pt>
                <c:pt idx="13">
                  <c:v>18607.261440751725</c:v>
                </c:pt>
                <c:pt idx="14">
                  <c:v>18678.920617356758</c:v>
                </c:pt>
                <c:pt idx="15">
                  <c:v>18750.579793961791</c:v>
                </c:pt>
                <c:pt idx="16">
                  <c:v>18822.238970566821</c:v>
                </c:pt>
              </c:numCache>
            </c:numRef>
          </c:val>
          <c:smooth val="0"/>
          <c:extLst>
            <c:ext xmlns:c16="http://schemas.microsoft.com/office/drawing/2014/chart" uri="{C3380CC4-5D6E-409C-BE32-E72D297353CC}">
              <c16:uniqueId val="{0000000A-638E-42DC-807C-3D0DEBBB5687}"/>
            </c:ext>
          </c:extLst>
        </c:ser>
        <c:ser>
          <c:idx val="11"/>
          <c:order val="11"/>
          <c:tx>
            <c:strRef>
              <c:f>一些卡片的真输出!$W$24</c:f>
              <c:strCache>
                <c:ptCount val="1"/>
                <c:pt idx="0">
                  <c:v>fes1艾</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一些卡片的真输出!$X$24:$AN$24</c:f>
              <c:numCache>
                <c:formatCode>0.0_ </c:formatCode>
                <c:ptCount val="17"/>
                <c:pt idx="0">
                  <c:v>14122.704382432263</c:v>
                </c:pt>
                <c:pt idx="1">
                  <c:v>14614.0737748928</c:v>
                </c:pt>
                <c:pt idx="2">
                  <c:v>15081.502158892219</c:v>
                </c:pt>
                <c:pt idx="3">
                  <c:v>15517.368161686723</c:v>
                </c:pt>
                <c:pt idx="4">
                  <c:v>15913.931927952932</c:v>
                </c:pt>
                <c:pt idx="5">
                  <c:v>16297.215772116449</c:v>
                </c:pt>
                <c:pt idx="6">
                  <c:v>16637.52107582473</c:v>
                </c:pt>
                <c:pt idx="7">
                  <c:v>16971.143992392317</c:v>
                </c:pt>
                <c:pt idx="8">
                  <c:v>17269.796988717935</c:v>
                </c:pt>
                <c:pt idx="9">
                  <c:v>17556.680208724651</c:v>
                </c:pt>
                <c:pt idx="10">
                  <c:v>17813.010676954396</c:v>
                </c:pt>
                <c:pt idx="11">
                  <c:v>18012.25696590947</c:v>
                </c:pt>
                <c:pt idx="12">
                  <c:v>18211.503254864547</c:v>
                </c:pt>
                <c:pt idx="13">
                  <c:v>18361.159260048535</c:v>
                </c:pt>
                <c:pt idx="14">
                  <c:v>18478.611080022081</c:v>
                </c:pt>
                <c:pt idx="15">
                  <c:v>18596.062899995628</c:v>
                </c:pt>
                <c:pt idx="16">
                  <c:v>18696.7281982969</c:v>
                </c:pt>
              </c:numCache>
            </c:numRef>
          </c:val>
          <c:smooth val="0"/>
          <c:extLst>
            <c:ext xmlns:c16="http://schemas.microsoft.com/office/drawing/2014/chart" uri="{C3380CC4-5D6E-409C-BE32-E72D297353CC}">
              <c16:uniqueId val="{0000000B-638E-42DC-807C-3D0DEBBB5687}"/>
            </c:ext>
          </c:extLst>
        </c:ser>
        <c:ser>
          <c:idx val="12"/>
          <c:order val="12"/>
          <c:tx>
            <c:strRef>
              <c:f>一些卡片的真输出!$W$26</c:f>
              <c:strCache>
                <c:ptCount val="1"/>
                <c:pt idx="0">
                  <c:v>购物露</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一些卡片的真输出!$X$26:$AN$26</c:f>
              <c:numCache>
                <c:formatCode>0.0_ </c:formatCode>
                <c:ptCount val="17"/>
                <c:pt idx="0">
                  <c:v>14784.32699775631</c:v>
                </c:pt>
                <c:pt idx="1">
                  <c:v>15233.50038774848</c:v>
                </c:pt>
                <c:pt idx="2">
                  <c:v>15648.022129924742</c:v>
                </c:pt>
                <c:pt idx="3">
                  <c:v>16029.766707576217</c:v>
                </c:pt>
                <c:pt idx="4">
                  <c:v>16393.816799204676</c:v>
                </c:pt>
                <c:pt idx="5">
                  <c:v>16722.977167617748</c:v>
                </c:pt>
                <c:pt idx="6">
                  <c:v>17039.524529318882</c:v>
                </c:pt>
                <c:pt idx="7">
                  <c:v>17305.818692171651</c:v>
                </c:pt>
                <c:pt idx="8">
                  <c:v>17533.298435259039</c:v>
                </c:pt>
                <c:pt idx="9">
                  <c:v>17753.802592044161</c:v>
                </c:pt>
                <c:pt idx="10">
                  <c:v>17898.152557758713</c:v>
                </c:pt>
                <c:pt idx="11">
                  <c:v>18042.502523473271</c:v>
                </c:pt>
                <c:pt idx="12">
                  <c:v>18178.283216725617</c:v>
                </c:pt>
                <c:pt idx="13">
                  <c:v>18284.037214374221</c:v>
                </c:pt>
                <c:pt idx="14">
                  <c:v>18389.791212022817</c:v>
                </c:pt>
                <c:pt idx="15">
                  <c:v>18495.545209671418</c:v>
                </c:pt>
                <c:pt idx="16">
                  <c:v>18569.834931823982</c:v>
                </c:pt>
              </c:numCache>
            </c:numRef>
          </c:val>
          <c:smooth val="0"/>
          <c:extLst>
            <c:ext xmlns:c16="http://schemas.microsoft.com/office/drawing/2014/chart" uri="{C3380CC4-5D6E-409C-BE32-E72D297353CC}">
              <c16:uniqueId val="{0000000C-638E-42DC-807C-3D0DEBBB5687}"/>
            </c:ext>
          </c:extLst>
        </c:ser>
        <c:ser>
          <c:idx val="13"/>
          <c:order val="13"/>
          <c:tx>
            <c:strRef>
              <c:f>一些卡片的真输出!$W$29</c:f>
              <c:strCache>
                <c:ptCount val="1"/>
                <c:pt idx="0">
                  <c:v>初始善</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一些卡片的真输出!$X$29:$AN$29</c:f>
              <c:numCache>
                <c:formatCode>0.0_ </c:formatCode>
                <c:ptCount val="17"/>
                <c:pt idx="0">
                  <c:v>13250.557448932233</c:v>
                </c:pt>
                <c:pt idx="1">
                  <c:v>13710.087631032367</c:v>
                </c:pt>
                <c:pt idx="2">
                  <c:v>14169.617813132505</c:v>
                </c:pt>
                <c:pt idx="3">
                  <c:v>14584.109764124592</c:v>
                </c:pt>
                <c:pt idx="4">
                  <c:v>14985.397309891567</c:v>
                </c:pt>
                <c:pt idx="5">
                  <c:v>15350.336214139859</c:v>
                </c:pt>
                <c:pt idx="6">
                  <c:v>15702.628060359404</c:v>
                </c:pt>
                <c:pt idx="7">
                  <c:v>16024.106107216299</c:v>
                </c:pt>
                <c:pt idx="8">
                  <c:v>16340.184859003532</c:v>
                </c:pt>
                <c:pt idx="9">
                  <c:v>16620.75856949206</c:v>
                </c:pt>
                <c:pt idx="10">
                  <c:v>16901.332279980594</c:v>
                </c:pt>
                <c:pt idx="11">
                  <c:v>17129.359463741432</c:v>
                </c:pt>
                <c:pt idx="12">
                  <c:v>17333.237543539279</c:v>
                </c:pt>
                <c:pt idx="13">
                  <c:v>17537.115623337118</c:v>
                </c:pt>
                <c:pt idx="14">
                  <c:v>17677.377492095187</c:v>
                </c:pt>
                <c:pt idx="15">
                  <c:v>17809.672983248387</c:v>
                </c:pt>
                <c:pt idx="16">
                  <c:v>17941.968474401587</c:v>
                </c:pt>
              </c:numCache>
            </c:numRef>
          </c:val>
          <c:smooth val="0"/>
          <c:extLst>
            <c:ext xmlns:c16="http://schemas.microsoft.com/office/drawing/2014/chart" uri="{C3380CC4-5D6E-409C-BE32-E72D297353CC}">
              <c16:uniqueId val="{0000000D-638E-42DC-807C-3D0DEBBB5687}"/>
            </c:ext>
          </c:extLst>
        </c:ser>
        <c:ser>
          <c:idx val="14"/>
          <c:order val="14"/>
          <c:tx>
            <c:strRef>
              <c:f>一些卡片的真输出!$W$30</c:f>
              <c:strCache>
                <c:ptCount val="1"/>
                <c:pt idx="0">
                  <c:v>侦探花</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numRef>
              <c:f>一些卡片的真输出!$X$3:$AN$3</c:f>
              <c:numCache>
                <c:formatCode>General</c:formatCode>
                <c:ptCount val="17"/>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pt idx="13">
                  <c:v>0.85</c:v>
                </c:pt>
                <c:pt idx="14">
                  <c:v>0.9</c:v>
                </c:pt>
                <c:pt idx="15">
                  <c:v>0.95</c:v>
                </c:pt>
                <c:pt idx="16">
                  <c:v>1</c:v>
                </c:pt>
              </c:numCache>
            </c:numRef>
          </c:cat>
          <c:val>
            <c:numRef>
              <c:f>一些卡片的真输出!$X$30:$AN$30</c:f>
              <c:numCache>
                <c:formatCode>0.0_ </c:formatCode>
                <c:ptCount val="17"/>
                <c:pt idx="0">
                  <c:v>13189.948913820879</c:v>
                </c:pt>
                <c:pt idx="1">
                  <c:v>13648.535961312875</c:v>
                </c:pt>
                <c:pt idx="2">
                  <c:v>14092.005071186628</c:v>
                </c:pt>
                <c:pt idx="3">
                  <c:v>14503.365527335956</c:v>
                </c:pt>
                <c:pt idx="4">
                  <c:v>14886.588790262953</c:v>
                </c:pt>
                <c:pt idx="5">
                  <c:v>15253.208265140289</c:v>
                </c:pt>
                <c:pt idx="6">
                  <c:v>15588.613731473864</c:v>
                </c:pt>
                <c:pt idx="7">
                  <c:v>15912.977835149861</c:v>
                </c:pt>
                <c:pt idx="8">
                  <c:v>16212.993555243347</c:v>
                </c:pt>
                <c:pt idx="9">
                  <c:v>16497.587897788679</c:v>
                </c:pt>
                <c:pt idx="10">
                  <c:v>16767.101603656807</c:v>
                </c:pt>
                <c:pt idx="11">
                  <c:v>16977.127644082142</c:v>
                </c:pt>
                <c:pt idx="12">
                  <c:v>17187.153684507477</c:v>
                </c:pt>
                <c:pt idx="13">
                  <c:v>17366.003017330091</c:v>
                </c:pt>
                <c:pt idx="14">
                  <c:v>17506.431975776763</c:v>
                </c:pt>
                <c:pt idx="15">
                  <c:v>17646.860934223434</c:v>
                </c:pt>
                <c:pt idx="16">
                  <c:v>17778.567163829986</c:v>
                </c:pt>
              </c:numCache>
            </c:numRef>
          </c:val>
          <c:smooth val="0"/>
          <c:extLst>
            <c:ext xmlns:c16="http://schemas.microsoft.com/office/drawing/2014/chart" uri="{C3380CC4-5D6E-409C-BE32-E72D297353CC}">
              <c16:uniqueId val="{0000000E-638E-42DC-807C-3D0DEBBB5687}"/>
            </c:ext>
          </c:extLst>
        </c:ser>
        <c:dLbls>
          <c:showLegendKey val="0"/>
          <c:showVal val="0"/>
          <c:showCatName val="0"/>
          <c:showSerName val="0"/>
          <c:showPercent val="0"/>
          <c:showBubbleSize val="0"/>
        </c:dLbls>
        <c:marker val="1"/>
        <c:smooth val="0"/>
        <c:axId val="2092129279"/>
        <c:axId val="1497059791"/>
      </c:lineChart>
      <c:catAx>
        <c:axId val="2092129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97059791"/>
        <c:crosses val="autoZero"/>
        <c:auto val="1"/>
        <c:lblAlgn val="ctr"/>
        <c:lblOffset val="100"/>
        <c:noMultiLvlLbl val="0"/>
      </c:catAx>
      <c:valAx>
        <c:axId val="1497059791"/>
        <c:scaling>
          <c:orientation val="minMax"/>
          <c:max val="20000"/>
          <c:min val="15000"/>
        </c:scaling>
        <c:delete val="0"/>
        <c:axPos val="l"/>
        <c:majorGridlines>
          <c:spPr>
            <a:ln w="9525" cap="flat" cmpd="sng" algn="ctr">
              <a:solidFill>
                <a:schemeClr val="tx1">
                  <a:lumMod val="15000"/>
                  <a:lumOff val="85000"/>
                </a:schemeClr>
              </a:solidFill>
              <a:round/>
            </a:ln>
            <a:effectLst/>
          </c:spPr>
        </c:majorGridlines>
        <c:numFmt formatCode="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0921292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spPr>
            <a:solidFill>
              <a:schemeClr val="accent5">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卡片数值分配统计!$T$3:$T$1584</c:f>
              <c:numCache>
                <c:formatCode>General</c:formatCode>
                <c:ptCount val="1582"/>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11</c:v>
                </c:pt>
                <c:pt idx="22">
                  <c:v>11</c:v>
                </c:pt>
                <c:pt idx="23">
                  <c:v>11</c:v>
                </c:pt>
                <c:pt idx="24">
                  <c:v>11</c:v>
                </c:pt>
                <c:pt idx="25">
                  <c:v>11</c:v>
                </c:pt>
                <c:pt idx="26">
                  <c:v>11</c:v>
                </c:pt>
                <c:pt idx="27">
                  <c:v>11</c:v>
                </c:pt>
                <c:pt idx="28">
                  <c:v>11</c:v>
                </c:pt>
                <c:pt idx="29">
                  <c:v>11</c:v>
                </c:pt>
                <c:pt idx="30">
                  <c:v>11</c:v>
                </c:pt>
                <c:pt idx="31">
                  <c:v>11</c:v>
                </c:pt>
                <c:pt idx="32">
                  <c:v>11</c:v>
                </c:pt>
                <c:pt idx="33">
                  <c:v>11</c:v>
                </c:pt>
                <c:pt idx="34">
                  <c:v>11</c:v>
                </c:pt>
                <c:pt idx="35">
                  <c:v>11</c:v>
                </c:pt>
                <c:pt idx="36">
                  <c:v>11</c:v>
                </c:pt>
                <c:pt idx="37">
                  <c:v>11</c:v>
                </c:pt>
                <c:pt idx="38">
                  <c:v>11</c:v>
                </c:pt>
                <c:pt idx="39">
                  <c:v>11</c:v>
                </c:pt>
                <c:pt idx="40">
                  <c:v>11</c:v>
                </c:pt>
                <c:pt idx="41">
                  <c:v>11</c:v>
                </c:pt>
                <c:pt idx="42">
                  <c:v>11</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13</c:v>
                </c:pt>
                <c:pt idx="67">
                  <c:v>13</c:v>
                </c:pt>
                <c:pt idx="68">
                  <c:v>13</c:v>
                </c:pt>
                <c:pt idx="69">
                  <c:v>13</c:v>
                </c:pt>
                <c:pt idx="70">
                  <c:v>13</c:v>
                </c:pt>
                <c:pt idx="71">
                  <c:v>13</c:v>
                </c:pt>
                <c:pt idx="72">
                  <c:v>13</c:v>
                </c:pt>
                <c:pt idx="73">
                  <c:v>13</c:v>
                </c:pt>
                <c:pt idx="74">
                  <c:v>13</c:v>
                </c:pt>
                <c:pt idx="75">
                  <c:v>13</c:v>
                </c:pt>
                <c:pt idx="76">
                  <c:v>13</c:v>
                </c:pt>
                <c:pt idx="77">
                  <c:v>13</c:v>
                </c:pt>
                <c:pt idx="78">
                  <c:v>13</c:v>
                </c:pt>
                <c:pt idx="79">
                  <c:v>13</c:v>
                </c:pt>
                <c:pt idx="80">
                  <c:v>13</c:v>
                </c:pt>
                <c:pt idx="81">
                  <c:v>13</c:v>
                </c:pt>
                <c:pt idx="82">
                  <c:v>13</c:v>
                </c:pt>
                <c:pt idx="83">
                  <c:v>13</c:v>
                </c:pt>
                <c:pt idx="84">
                  <c:v>13</c:v>
                </c:pt>
                <c:pt idx="85">
                  <c:v>13</c:v>
                </c:pt>
                <c:pt idx="86">
                  <c:v>13</c:v>
                </c:pt>
                <c:pt idx="87">
                  <c:v>13</c:v>
                </c:pt>
                <c:pt idx="88">
                  <c:v>13</c:v>
                </c:pt>
                <c:pt idx="89">
                  <c:v>13</c:v>
                </c:pt>
                <c:pt idx="90">
                  <c:v>14</c:v>
                </c:pt>
                <c:pt idx="91">
                  <c:v>14</c:v>
                </c:pt>
                <c:pt idx="92">
                  <c:v>14</c:v>
                </c:pt>
                <c:pt idx="93">
                  <c:v>14</c:v>
                </c:pt>
                <c:pt idx="94">
                  <c:v>14</c:v>
                </c:pt>
                <c:pt idx="95">
                  <c:v>14</c:v>
                </c:pt>
                <c:pt idx="96">
                  <c:v>14</c:v>
                </c:pt>
                <c:pt idx="97">
                  <c:v>14</c:v>
                </c:pt>
                <c:pt idx="98">
                  <c:v>14</c:v>
                </c:pt>
                <c:pt idx="99">
                  <c:v>14</c:v>
                </c:pt>
                <c:pt idx="100">
                  <c:v>14</c:v>
                </c:pt>
                <c:pt idx="101">
                  <c:v>14</c:v>
                </c:pt>
                <c:pt idx="102">
                  <c:v>14</c:v>
                </c:pt>
                <c:pt idx="103">
                  <c:v>14</c:v>
                </c:pt>
                <c:pt idx="104">
                  <c:v>14</c:v>
                </c:pt>
                <c:pt idx="105">
                  <c:v>14</c:v>
                </c:pt>
                <c:pt idx="106">
                  <c:v>14</c:v>
                </c:pt>
                <c:pt idx="107">
                  <c:v>14</c:v>
                </c:pt>
                <c:pt idx="108">
                  <c:v>14</c:v>
                </c:pt>
                <c:pt idx="109">
                  <c:v>14</c:v>
                </c:pt>
                <c:pt idx="110">
                  <c:v>14</c:v>
                </c:pt>
                <c:pt idx="111">
                  <c:v>14</c:v>
                </c:pt>
                <c:pt idx="112">
                  <c:v>14</c:v>
                </c:pt>
                <c:pt idx="113">
                  <c:v>14</c:v>
                </c:pt>
                <c:pt idx="114">
                  <c:v>14</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16</c:v>
                </c:pt>
                <c:pt idx="142">
                  <c:v>16</c:v>
                </c:pt>
                <c:pt idx="143">
                  <c:v>16</c:v>
                </c:pt>
                <c:pt idx="144">
                  <c:v>16</c:v>
                </c:pt>
                <c:pt idx="145">
                  <c:v>16</c:v>
                </c:pt>
                <c:pt idx="146">
                  <c:v>16</c:v>
                </c:pt>
                <c:pt idx="147">
                  <c:v>16</c:v>
                </c:pt>
                <c:pt idx="148">
                  <c:v>16</c:v>
                </c:pt>
                <c:pt idx="149">
                  <c:v>16</c:v>
                </c:pt>
                <c:pt idx="150">
                  <c:v>16</c:v>
                </c:pt>
                <c:pt idx="151">
                  <c:v>16</c:v>
                </c:pt>
                <c:pt idx="152">
                  <c:v>16</c:v>
                </c:pt>
                <c:pt idx="153">
                  <c:v>16</c:v>
                </c:pt>
                <c:pt idx="154">
                  <c:v>16</c:v>
                </c:pt>
                <c:pt idx="155">
                  <c:v>16</c:v>
                </c:pt>
                <c:pt idx="156">
                  <c:v>16</c:v>
                </c:pt>
                <c:pt idx="157">
                  <c:v>16</c:v>
                </c:pt>
                <c:pt idx="158">
                  <c:v>16</c:v>
                </c:pt>
                <c:pt idx="159">
                  <c:v>16</c:v>
                </c:pt>
                <c:pt idx="160">
                  <c:v>16</c:v>
                </c:pt>
                <c:pt idx="161">
                  <c:v>16</c:v>
                </c:pt>
                <c:pt idx="162">
                  <c:v>16</c:v>
                </c:pt>
                <c:pt idx="163">
                  <c:v>16</c:v>
                </c:pt>
                <c:pt idx="164">
                  <c:v>16</c:v>
                </c:pt>
                <c:pt idx="165">
                  <c:v>16</c:v>
                </c:pt>
                <c:pt idx="166">
                  <c:v>16</c:v>
                </c:pt>
                <c:pt idx="167">
                  <c:v>16</c:v>
                </c:pt>
                <c:pt idx="168">
                  <c:v>17</c:v>
                </c:pt>
                <c:pt idx="169">
                  <c:v>17</c:v>
                </c:pt>
                <c:pt idx="170">
                  <c:v>17</c:v>
                </c:pt>
                <c:pt idx="171">
                  <c:v>17</c:v>
                </c:pt>
                <c:pt idx="172">
                  <c:v>17</c:v>
                </c:pt>
                <c:pt idx="173">
                  <c:v>17</c:v>
                </c:pt>
                <c:pt idx="174">
                  <c:v>17</c:v>
                </c:pt>
                <c:pt idx="175">
                  <c:v>17</c:v>
                </c:pt>
                <c:pt idx="176">
                  <c:v>17</c:v>
                </c:pt>
                <c:pt idx="177">
                  <c:v>17</c:v>
                </c:pt>
                <c:pt idx="178">
                  <c:v>17</c:v>
                </c:pt>
                <c:pt idx="179">
                  <c:v>17</c:v>
                </c:pt>
                <c:pt idx="180">
                  <c:v>17</c:v>
                </c:pt>
                <c:pt idx="181">
                  <c:v>17</c:v>
                </c:pt>
                <c:pt idx="182">
                  <c:v>17</c:v>
                </c:pt>
                <c:pt idx="183">
                  <c:v>17</c:v>
                </c:pt>
                <c:pt idx="184">
                  <c:v>17</c:v>
                </c:pt>
                <c:pt idx="185">
                  <c:v>17</c:v>
                </c:pt>
                <c:pt idx="186">
                  <c:v>17</c:v>
                </c:pt>
                <c:pt idx="187">
                  <c:v>17</c:v>
                </c:pt>
                <c:pt idx="188">
                  <c:v>17</c:v>
                </c:pt>
                <c:pt idx="189">
                  <c:v>17</c:v>
                </c:pt>
                <c:pt idx="190">
                  <c:v>17</c:v>
                </c:pt>
                <c:pt idx="191">
                  <c:v>17</c:v>
                </c:pt>
                <c:pt idx="192">
                  <c:v>17</c:v>
                </c:pt>
                <c:pt idx="193">
                  <c:v>17</c:v>
                </c:pt>
                <c:pt idx="194">
                  <c:v>17</c:v>
                </c:pt>
                <c:pt idx="195">
                  <c:v>17</c:v>
                </c:pt>
                <c:pt idx="196">
                  <c:v>18</c:v>
                </c:pt>
                <c:pt idx="197">
                  <c:v>18</c:v>
                </c:pt>
                <c:pt idx="198">
                  <c:v>18</c:v>
                </c:pt>
                <c:pt idx="199">
                  <c:v>18</c:v>
                </c:pt>
                <c:pt idx="200">
                  <c:v>18</c:v>
                </c:pt>
                <c:pt idx="201">
                  <c:v>18</c:v>
                </c:pt>
                <c:pt idx="202">
                  <c:v>18</c:v>
                </c:pt>
                <c:pt idx="203">
                  <c:v>18</c:v>
                </c:pt>
                <c:pt idx="204">
                  <c:v>18</c:v>
                </c:pt>
                <c:pt idx="205">
                  <c:v>18</c:v>
                </c:pt>
                <c:pt idx="206">
                  <c:v>18</c:v>
                </c:pt>
                <c:pt idx="207">
                  <c:v>18</c:v>
                </c:pt>
                <c:pt idx="208">
                  <c:v>18</c:v>
                </c:pt>
                <c:pt idx="209">
                  <c:v>18</c:v>
                </c:pt>
                <c:pt idx="210">
                  <c:v>18</c:v>
                </c:pt>
                <c:pt idx="211">
                  <c:v>18</c:v>
                </c:pt>
                <c:pt idx="212">
                  <c:v>18</c:v>
                </c:pt>
                <c:pt idx="213">
                  <c:v>18</c:v>
                </c:pt>
                <c:pt idx="214">
                  <c:v>18</c:v>
                </c:pt>
                <c:pt idx="215">
                  <c:v>18</c:v>
                </c:pt>
                <c:pt idx="216">
                  <c:v>18</c:v>
                </c:pt>
                <c:pt idx="217">
                  <c:v>18</c:v>
                </c:pt>
                <c:pt idx="218">
                  <c:v>18</c:v>
                </c:pt>
                <c:pt idx="219">
                  <c:v>18</c:v>
                </c:pt>
                <c:pt idx="220">
                  <c:v>18</c:v>
                </c:pt>
                <c:pt idx="221">
                  <c:v>18</c:v>
                </c:pt>
                <c:pt idx="222">
                  <c:v>18</c:v>
                </c:pt>
                <c:pt idx="223">
                  <c:v>18</c:v>
                </c:pt>
                <c:pt idx="224">
                  <c:v>18</c:v>
                </c:pt>
                <c:pt idx="225">
                  <c:v>19</c:v>
                </c:pt>
                <c:pt idx="226">
                  <c:v>19</c:v>
                </c:pt>
                <c:pt idx="227">
                  <c:v>19</c:v>
                </c:pt>
                <c:pt idx="228">
                  <c:v>19</c:v>
                </c:pt>
                <c:pt idx="229">
                  <c:v>19</c:v>
                </c:pt>
                <c:pt idx="230">
                  <c:v>19</c:v>
                </c:pt>
                <c:pt idx="231">
                  <c:v>19</c:v>
                </c:pt>
                <c:pt idx="232">
                  <c:v>19</c:v>
                </c:pt>
                <c:pt idx="233">
                  <c:v>19</c:v>
                </c:pt>
                <c:pt idx="234">
                  <c:v>19</c:v>
                </c:pt>
                <c:pt idx="235">
                  <c:v>19</c:v>
                </c:pt>
                <c:pt idx="236">
                  <c:v>19</c:v>
                </c:pt>
                <c:pt idx="237">
                  <c:v>19</c:v>
                </c:pt>
                <c:pt idx="238">
                  <c:v>19</c:v>
                </c:pt>
                <c:pt idx="239">
                  <c:v>19</c:v>
                </c:pt>
                <c:pt idx="240">
                  <c:v>19</c:v>
                </c:pt>
                <c:pt idx="241">
                  <c:v>19</c:v>
                </c:pt>
                <c:pt idx="242">
                  <c:v>19</c:v>
                </c:pt>
                <c:pt idx="243">
                  <c:v>19</c:v>
                </c:pt>
                <c:pt idx="244">
                  <c:v>19</c:v>
                </c:pt>
                <c:pt idx="245">
                  <c:v>19</c:v>
                </c:pt>
                <c:pt idx="246">
                  <c:v>19</c:v>
                </c:pt>
                <c:pt idx="247">
                  <c:v>19</c:v>
                </c:pt>
                <c:pt idx="248">
                  <c:v>19</c:v>
                </c:pt>
                <c:pt idx="249">
                  <c:v>19</c:v>
                </c:pt>
                <c:pt idx="250">
                  <c:v>19</c:v>
                </c:pt>
                <c:pt idx="251">
                  <c:v>19</c:v>
                </c:pt>
                <c:pt idx="252">
                  <c:v>19</c:v>
                </c:pt>
                <c:pt idx="253">
                  <c:v>19</c:v>
                </c:pt>
                <c:pt idx="254">
                  <c:v>19</c:v>
                </c:pt>
                <c:pt idx="255">
                  <c:v>20</c:v>
                </c:pt>
                <c:pt idx="256">
                  <c:v>20</c:v>
                </c:pt>
                <c:pt idx="257">
                  <c:v>20</c:v>
                </c:pt>
                <c:pt idx="258">
                  <c:v>20</c:v>
                </c:pt>
                <c:pt idx="259">
                  <c:v>20</c:v>
                </c:pt>
                <c:pt idx="260">
                  <c:v>20</c:v>
                </c:pt>
                <c:pt idx="261">
                  <c:v>20</c:v>
                </c:pt>
                <c:pt idx="262">
                  <c:v>20</c:v>
                </c:pt>
                <c:pt idx="263">
                  <c:v>20</c:v>
                </c:pt>
                <c:pt idx="264">
                  <c:v>20</c:v>
                </c:pt>
                <c:pt idx="265">
                  <c:v>20</c:v>
                </c:pt>
                <c:pt idx="266">
                  <c:v>20</c:v>
                </c:pt>
                <c:pt idx="267">
                  <c:v>20</c:v>
                </c:pt>
                <c:pt idx="268">
                  <c:v>20</c:v>
                </c:pt>
                <c:pt idx="269">
                  <c:v>20</c:v>
                </c:pt>
                <c:pt idx="270">
                  <c:v>20</c:v>
                </c:pt>
                <c:pt idx="271">
                  <c:v>20</c:v>
                </c:pt>
                <c:pt idx="272">
                  <c:v>20</c:v>
                </c:pt>
                <c:pt idx="273">
                  <c:v>20</c:v>
                </c:pt>
                <c:pt idx="274">
                  <c:v>20</c:v>
                </c:pt>
                <c:pt idx="275">
                  <c:v>20</c:v>
                </c:pt>
                <c:pt idx="276">
                  <c:v>20</c:v>
                </c:pt>
                <c:pt idx="277">
                  <c:v>20</c:v>
                </c:pt>
                <c:pt idx="278">
                  <c:v>20</c:v>
                </c:pt>
                <c:pt idx="279">
                  <c:v>20</c:v>
                </c:pt>
                <c:pt idx="280">
                  <c:v>20</c:v>
                </c:pt>
                <c:pt idx="281">
                  <c:v>20</c:v>
                </c:pt>
                <c:pt idx="282">
                  <c:v>20</c:v>
                </c:pt>
                <c:pt idx="283">
                  <c:v>20</c:v>
                </c:pt>
                <c:pt idx="284">
                  <c:v>20</c:v>
                </c:pt>
                <c:pt idx="285">
                  <c:v>20</c:v>
                </c:pt>
                <c:pt idx="286">
                  <c:v>21</c:v>
                </c:pt>
                <c:pt idx="287">
                  <c:v>21</c:v>
                </c:pt>
                <c:pt idx="288">
                  <c:v>21</c:v>
                </c:pt>
                <c:pt idx="289">
                  <c:v>21</c:v>
                </c:pt>
                <c:pt idx="290">
                  <c:v>21</c:v>
                </c:pt>
                <c:pt idx="291">
                  <c:v>21</c:v>
                </c:pt>
                <c:pt idx="292">
                  <c:v>21</c:v>
                </c:pt>
                <c:pt idx="293">
                  <c:v>21</c:v>
                </c:pt>
                <c:pt idx="294">
                  <c:v>21</c:v>
                </c:pt>
                <c:pt idx="295">
                  <c:v>21</c:v>
                </c:pt>
                <c:pt idx="296">
                  <c:v>21</c:v>
                </c:pt>
                <c:pt idx="297">
                  <c:v>21</c:v>
                </c:pt>
                <c:pt idx="298">
                  <c:v>21</c:v>
                </c:pt>
                <c:pt idx="299">
                  <c:v>21</c:v>
                </c:pt>
                <c:pt idx="300">
                  <c:v>21</c:v>
                </c:pt>
                <c:pt idx="301">
                  <c:v>21</c:v>
                </c:pt>
                <c:pt idx="302">
                  <c:v>21</c:v>
                </c:pt>
                <c:pt idx="303">
                  <c:v>21</c:v>
                </c:pt>
                <c:pt idx="304">
                  <c:v>21</c:v>
                </c:pt>
                <c:pt idx="305">
                  <c:v>21</c:v>
                </c:pt>
                <c:pt idx="306">
                  <c:v>21</c:v>
                </c:pt>
                <c:pt idx="307">
                  <c:v>21</c:v>
                </c:pt>
                <c:pt idx="308">
                  <c:v>21</c:v>
                </c:pt>
                <c:pt idx="309">
                  <c:v>21</c:v>
                </c:pt>
                <c:pt idx="310">
                  <c:v>21</c:v>
                </c:pt>
                <c:pt idx="311">
                  <c:v>21</c:v>
                </c:pt>
                <c:pt idx="312">
                  <c:v>21</c:v>
                </c:pt>
                <c:pt idx="313">
                  <c:v>21</c:v>
                </c:pt>
                <c:pt idx="314">
                  <c:v>21</c:v>
                </c:pt>
                <c:pt idx="315">
                  <c:v>21</c:v>
                </c:pt>
                <c:pt idx="316">
                  <c:v>21</c:v>
                </c:pt>
                <c:pt idx="317">
                  <c:v>21</c:v>
                </c:pt>
                <c:pt idx="318">
                  <c:v>22</c:v>
                </c:pt>
                <c:pt idx="319">
                  <c:v>22</c:v>
                </c:pt>
                <c:pt idx="320">
                  <c:v>22</c:v>
                </c:pt>
                <c:pt idx="321">
                  <c:v>22</c:v>
                </c:pt>
                <c:pt idx="322">
                  <c:v>22</c:v>
                </c:pt>
                <c:pt idx="323">
                  <c:v>22</c:v>
                </c:pt>
                <c:pt idx="324">
                  <c:v>22</c:v>
                </c:pt>
                <c:pt idx="325">
                  <c:v>22</c:v>
                </c:pt>
                <c:pt idx="326">
                  <c:v>22</c:v>
                </c:pt>
                <c:pt idx="327">
                  <c:v>22</c:v>
                </c:pt>
                <c:pt idx="328">
                  <c:v>22</c:v>
                </c:pt>
                <c:pt idx="329">
                  <c:v>22</c:v>
                </c:pt>
                <c:pt idx="330">
                  <c:v>22</c:v>
                </c:pt>
                <c:pt idx="331">
                  <c:v>22</c:v>
                </c:pt>
                <c:pt idx="332">
                  <c:v>22</c:v>
                </c:pt>
                <c:pt idx="333">
                  <c:v>22</c:v>
                </c:pt>
                <c:pt idx="334">
                  <c:v>22</c:v>
                </c:pt>
                <c:pt idx="335">
                  <c:v>22</c:v>
                </c:pt>
                <c:pt idx="336">
                  <c:v>22</c:v>
                </c:pt>
                <c:pt idx="337">
                  <c:v>22</c:v>
                </c:pt>
                <c:pt idx="338">
                  <c:v>22</c:v>
                </c:pt>
                <c:pt idx="339">
                  <c:v>22</c:v>
                </c:pt>
                <c:pt idx="340">
                  <c:v>22</c:v>
                </c:pt>
                <c:pt idx="341">
                  <c:v>22</c:v>
                </c:pt>
                <c:pt idx="342">
                  <c:v>22</c:v>
                </c:pt>
                <c:pt idx="343">
                  <c:v>22</c:v>
                </c:pt>
                <c:pt idx="344">
                  <c:v>22</c:v>
                </c:pt>
                <c:pt idx="345">
                  <c:v>22</c:v>
                </c:pt>
                <c:pt idx="346">
                  <c:v>22</c:v>
                </c:pt>
                <c:pt idx="347">
                  <c:v>22</c:v>
                </c:pt>
                <c:pt idx="348">
                  <c:v>22</c:v>
                </c:pt>
                <c:pt idx="349">
                  <c:v>22</c:v>
                </c:pt>
                <c:pt idx="350">
                  <c:v>22</c:v>
                </c:pt>
                <c:pt idx="351">
                  <c:v>23</c:v>
                </c:pt>
                <c:pt idx="352">
                  <c:v>23</c:v>
                </c:pt>
                <c:pt idx="353">
                  <c:v>23</c:v>
                </c:pt>
                <c:pt idx="354">
                  <c:v>23</c:v>
                </c:pt>
                <c:pt idx="355">
                  <c:v>23</c:v>
                </c:pt>
                <c:pt idx="356">
                  <c:v>23</c:v>
                </c:pt>
                <c:pt idx="357">
                  <c:v>23</c:v>
                </c:pt>
                <c:pt idx="358">
                  <c:v>23</c:v>
                </c:pt>
                <c:pt idx="359">
                  <c:v>23</c:v>
                </c:pt>
                <c:pt idx="360">
                  <c:v>23</c:v>
                </c:pt>
                <c:pt idx="361">
                  <c:v>23</c:v>
                </c:pt>
                <c:pt idx="362">
                  <c:v>23</c:v>
                </c:pt>
                <c:pt idx="363">
                  <c:v>23</c:v>
                </c:pt>
                <c:pt idx="364">
                  <c:v>23</c:v>
                </c:pt>
                <c:pt idx="365">
                  <c:v>23</c:v>
                </c:pt>
                <c:pt idx="366">
                  <c:v>23</c:v>
                </c:pt>
                <c:pt idx="367">
                  <c:v>23</c:v>
                </c:pt>
                <c:pt idx="368">
                  <c:v>23</c:v>
                </c:pt>
                <c:pt idx="369">
                  <c:v>23</c:v>
                </c:pt>
                <c:pt idx="370">
                  <c:v>23</c:v>
                </c:pt>
                <c:pt idx="371">
                  <c:v>23</c:v>
                </c:pt>
                <c:pt idx="372">
                  <c:v>23</c:v>
                </c:pt>
                <c:pt idx="373">
                  <c:v>23</c:v>
                </c:pt>
                <c:pt idx="374">
                  <c:v>23</c:v>
                </c:pt>
                <c:pt idx="375">
                  <c:v>23</c:v>
                </c:pt>
                <c:pt idx="376">
                  <c:v>23</c:v>
                </c:pt>
                <c:pt idx="377">
                  <c:v>23</c:v>
                </c:pt>
                <c:pt idx="378">
                  <c:v>23</c:v>
                </c:pt>
                <c:pt idx="379">
                  <c:v>23</c:v>
                </c:pt>
                <c:pt idx="380">
                  <c:v>23</c:v>
                </c:pt>
                <c:pt idx="381">
                  <c:v>23</c:v>
                </c:pt>
                <c:pt idx="382">
                  <c:v>23</c:v>
                </c:pt>
                <c:pt idx="383">
                  <c:v>23</c:v>
                </c:pt>
                <c:pt idx="384">
                  <c:v>23</c:v>
                </c:pt>
                <c:pt idx="385">
                  <c:v>24</c:v>
                </c:pt>
                <c:pt idx="386">
                  <c:v>24</c:v>
                </c:pt>
                <c:pt idx="387">
                  <c:v>24</c:v>
                </c:pt>
                <c:pt idx="388">
                  <c:v>24</c:v>
                </c:pt>
                <c:pt idx="389">
                  <c:v>24</c:v>
                </c:pt>
                <c:pt idx="390">
                  <c:v>24</c:v>
                </c:pt>
                <c:pt idx="391">
                  <c:v>24</c:v>
                </c:pt>
                <c:pt idx="392">
                  <c:v>24</c:v>
                </c:pt>
                <c:pt idx="393">
                  <c:v>24</c:v>
                </c:pt>
                <c:pt idx="394">
                  <c:v>24</c:v>
                </c:pt>
                <c:pt idx="395">
                  <c:v>24</c:v>
                </c:pt>
                <c:pt idx="396">
                  <c:v>24</c:v>
                </c:pt>
                <c:pt idx="397">
                  <c:v>24</c:v>
                </c:pt>
                <c:pt idx="398">
                  <c:v>24</c:v>
                </c:pt>
                <c:pt idx="399">
                  <c:v>24</c:v>
                </c:pt>
                <c:pt idx="400">
                  <c:v>24</c:v>
                </c:pt>
                <c:pt idx="401">
                  <c:v>24</c:v>
                </c:pt>
                <c:pt idx="402">
                  <c:v>24</c:v>
                </c:pt>
                <c:pt idx="403">
                  <c:v>24</c:v>
                </c:pt>
                <c:pt idx="404">
                  <c:v>24</c:v>
                </c:pt>
                <c:pt idx="405">
                  <c:v>24</c:v>
                </c:pt>
                <c:pt idx="406">
                  <c:v>24</c:v>
                </c:pt>
                <c:pt idx="407">
                  <c:v>24</c:v>
                </c:pt>
                <c:pt idx="408">
                  <c:v>24</c:v>
                </c:pt>
                <c:pt idx="409">
                  <c:v>24</c:v>
                </c:pt>
                <c:pt idx="410">
                  <c:v>24</c:v>
                </c:pt>
                <c:pt idx="411">
                  <c:v>24</c:v>
                </c:pt>
                <c:pt idx="412">
                  <c:v>24</c:v>
                </c:pt>
                <c:pt idx="413">
                  <c:v>24</c:v>
                </c:pt>
                <c:pt idx="414">
                  <c:v>24</c:v>
                </c:pt>
                <c:pt idx="415">
                  <c:v>24</c:v>
                </c:pt>
                <c:pt idx="416">
                  <c:v>24</c:v>
                </c:pt>
                <c:pt idx="417">
                  <c:v>24</c:v>
                </c:pt>
                <c:pt idx="418">
                  <c:v>24</c:v>
                </c:pt>
                <c:pt idx="419">
                  <c:v>24</c:v>
                </c:pt>
                <c:pt idx="420">
                  <c:v>25</c:v>
                </c:pt>
                <c:pt idx="421">
                  <c:v>25</c:v>
                </c:pt>
                <c:pt idx="422">
                  <c:v>25</c:v>
                </c:pt>
                <c:pt idx="423">
                  <c:v>25</c:v>
                </c:pt>
                <c:pt idx="424">
                  <c:v>25</c:v>
                </c:pt>
                <c:pt idx="425">
                  <c:v>25</c:v>
                </c:pt>
                <c:pt idx="426">
                  <c:v>25</c:v>
                </c:pt>
                <c:pt idx="427">
                  <c:v>25</c:v>
                </c:pt>
                <c:pt idx="428">
                  <c:v>25</c:v>
                </c:pt>
                <c:pt idx="429">
                  <c:v>25</c:v>
                </c:pt>
                <c:pt idx="430">
                  <c:v>25</c:v>
                </c:pt>
                <c:pt idx="431">
                  <c:v>25</c:v>
                </c:pt>
                <c:pt idx="432">
                  <c:v>25</c:v>
                </c:pt>
                <c:pt idx="433">
                  <c:v>25</c:v>
                </c:pt>
                <c:pt idx="434">
                  <c:v>25</c:v>
                </c:pt>
                <c:pt idx="435">
                  <c:v>25</c:v>
                </c:pt>
                <c:pt idx="436">
                  <c:v>25</c:v>
                </c:pt>
                <c:pt idx="437">
                  <c:v>25</c:v>
                </c:pt>
                <c:pt idx="438">
                  <c:v>25</c:v>
                </c:pt>
                <c:pt idx="439">
                  <c:v>25</c:v>
                </c:pt>
                <c:pt idx="440">
                  <c:v>25</c:v>
                </c:pt>
                <c:pt idx="441">
                  <c:v>25</c:v>
                </c:pt>
                <c:pt idx="442">
                  <c:v>25</c:v>
                </c:pt>
                <c:pt idx="443">
                  <c:v>25</c:v>
                </c:pt>
                <c:pt idx="444">
                  <c:v>25</c:v>
                </c:pt>
                <c:pt idx="445">
                  <c:v>25</c:v>
                </c:pt>
                <c:pt idx="446">
                  <c:v>25</c:v>
                </c:pt>
                <c:pt idx="447">
                  <c:v>25</c:v>
                </c:pt>
                <c:pt idx="448">
                  <c:v>25</c:v>
                </c:pt>
                <c:pt idx="449">
                  <c:v>25</c:v>
                </c:pt>
                <c:pt idx="450">
                  <c:v>25</c:v>
                </c:pt>
                <c:pt idx="451">
                  <c:v>25</c:v>
                </c:pt>
                <c:pt idx="452">
                  <c:v>25</c:v>
                </c:pt>
                <c:pt idx="453">
                  <c:v>25</c:v>
                </c:pt>
                <c:pt idx="454">
                  <c:v>25</c:v>
                </c:pt>
                <c:pt idx="455">
                  <c:v>25</c:v>
                </c:pt>
                <c:pt idx="456">
                  <c:v>26</c:v>
                </c:pt>
                <c:pt idx="457">
                  <c:v>26</c:v>
                </c:pt>
                <c:pt idx="458">
                  <c:v>26</c:v>
                </c:pt>
                <c:pt idx="459">
                  <c:v>26</c:v>
                </c:pt>
                <c:pt idx="460">
                  <c:v>26</c:v>
                </c:pt>
                <c:pt idx="461">
                  <c:v>26</c:v>
                </c:pt>
                <c:pt idx="462">
                  <c:v>26</c:v>
                </c:pt>
                <c:pt idx="463">
                  <c:v>26</c:v>
                </c:pt>
                <c:pt idx="464">
                  <c:v>26</c:v>
                </c:pt>
                <c:pt idx="465">
                  <c:v>26</c:v>
                </c:pt>
                <c:pt idx="466">
                  <c:v>26</c:v>
                </c:pt>
                <c:pt idx="467">
                  <c:v>26</c:v>
                </c:pt>
                <c:pt idx="468">
                  <c:v>26</c:v>
                </c:pt>
                <c:pt idx="469">
                  <c:v>26</c:v>
                </c:pt>
                <c:pt idx="470">
                  <c:v>26</c:v>
                </c:pt>
                <c:pt idx="471">
                  <c:v>26</c:v>
                </c:pt>
                <c:pt idx="472">
                  <c:v>26</c:v>
                </c:pt>
                <c:pt idx="473">
                  <c:v>26</c:v>
                </c:pt>
                <c:pt idx="474">
                  <c:v>26</c:v>
                </c:pt>
                <c:pt idx="475">
                  <c:v>26</c:v>
                </c:pt>
                <c:pt idx="476">
                  <c:v>26</c:v>
                </c:pt>
                <c:pt idx="477">
                  <c:v>26</c:v>
                </c:pt>
                <c:pt idx="478">
                  <c:v>26</c:v>
                </c:pt>
                <c:pt idx="479">
                  <c:v>26</c:v>
                </c:pt>
                <c:pt idx="480">
                  <c:v>26</c:v>
                </c:pt>
                <c:pt idx="481">
                  <c:v>26</c:v>
                </c:pt>
                <c:pt idx="482">
                  <c:v>26</c:v>
                </c:pt>
                <c:pt idx="483">
                  <c:v>26</c:v>
                </c:pt>
                <c:pt idx="484">
                  <c:v>26</c:v>
                </c:pt>
                <c:pt idx="485">
                  <c:v>26</c:v>
                </c:pt>
                <c:pt idx="486">
                  <c:v>26</c:v>
                </c:pt>
                <c:pt idx="487">
                  <c:v>26</c:v>
                </c:pt>
                <c:pt idx="488">
                  <c:v>26</c:v>
                </c:pt>
                <c:pt idx="489">
                  <c:v>26</c:v>
                </c:pt>
                <c:pt idx="490">
                  <c:v>26</c:v>
                </c:pt>
                <c:pt idx="491">
                  <c:v>26</c:v>
                </c:pt>
                <c:pt idx="492">
                  <c:v>26</c:v>
                </c:pt>
                <c:pt idx="493">
                  <c:v>27</c:v>
                </c:pt>
                <c:pt idx="494">
                  <c:v>27</c:v>
                </c:pt>
                <c:pt idx="495">
                  <c:v>27</c:v>
                </c:pt>
                <c:pt idx="496">
                  <c:v>27</c:v>
                </c:pt>
                <c:pt idx="497">
                  <c:v>27</c:v>
                </c:pt>
                <c:pt idx="498">
                  <c:v>27</c:v>
                </c:pt>
                <c:pt idx="499">
                  <c:v>27</c:v>
                </c:pt>
                <c:pt idx="500">
                  <c:v>27</c:v>
                </c:pt>
                <c:pt idx="501">
                  <c:v>27</c:v>
                </c:pt>
                <c:pt idx="502">
                  <c:v>27</c:v>
                </c:pt>
                <c:pt idx="503">
                  <c:v>27</c:v>
                </c:pt>
                <c:pt idx="504">
                  <c:v>27</c:v>
                </c:pt>
                <c:pt idx="505">
                  <c:v>27</c:v>
                </c:pt>
                <c:pt idx="506">
                  <c:v>27</c:v>
                </c:pt>
                <c:pt idx="507">
                  <c:v>27</c:v>
                </c:pt>
                <c:pt idx="508">
                  <c:v>27</c:v>
                </c:pt>
                <c:pt idx="509">
                  <c:v>27</c:v>
                </c:pt>
                <c:pt idx="510">
                  <c:v>27</c:v>
                </c:pt>
                <c:pt idx="511">
                  <c:v>27</c:v>
                </c:pt>
                <c:pt idx="512">
                  <c:v>27</c:v>
                </c:pt>
                <c:pt idx="513">
                  <c:v>27</c:v>
                </c:pt>
                <c:pt idx="514">
                  <c:v>27</c:v>
                </c:pt>
                <c:pt idx="515">
                  <c:v>27</c:v>
                </c:pt>
                <c:pt idx="516">
                  <c:v>27</c:v>
                </c:pt>
                <c:pt idx="517">
                  <c:v>27</c:v>
                </c:pt>
                <c:pt idx="518">
                  <c:v>27</c:v>
                </c:pt>
                <c:pt idx="519">
                  <c:v>27</c:v>
                </c:pt>
                <c:pt idx="520">
                  <c:v>27</c:v>
                </c:pt>
                <c:pt idx="521">
                  <c:v>27</c:v>
                </c:pt>
                <c:pt idx="522">
                  <c:v>27</c:v>
                </c:pt>
                <c:pt idx="523">
                  <c:v>27</c:v>
                </c:pt>
                <c:pt idx="524">
                  <c:v>27</c:v>
                </c:pt>
                <c:pt idx="525">
                  <c:v>27</c:v>
                </c:pt>
                <c:pt idx="526">
                  <c:v>27</c:v>
                </c:pt>
                <c:pt idx="527">
                  <c:v>27</c:v>
                </c:pt>
                <c:pt idx="528">
                  <c:v>27</c:v>
                </c:pt>
                <c:pt idx="529">
                  <c:v>27</c:v>
                </c:pt>
                <c:pt idx="530">
                  <c:v>27</c:v>
                </c:pt>
                <c:pt idx="531">
                  <c:v>28</c:v>
                </c:pt>
                <c:pt idx="532">
                  <c:v>28</c:v>
                </c:pt>
                <c:pt idx="533">
                  <c:v>28</c:v>
                </c:pt>
                <c:pt idx="534">
                  <c:v>28</c:v>
                </c:pt>
                <c:pt idx="535">
                  <c:v>28</c:v>
                </c:pt>
                <c:pt idx="536">
                  <c:v>28</c:v>
                </c:pt>
                <c:pt idx="537">
                  <c:v>28</c:v>
                </c:pt>
                <c:pt idx="538">
                  <c:v>28</c:v>
                </c:pt>
                <c:pt idx="539">
                  <c:v>28</c:v>
                </c:pt>
                <c:pt idx="540">
                  <c:v>28</c:v>
                </c:pt>
                <c:pt idx="541">
                  <c:v>28</c:v>
                </c:pt>
                <c:pt idx="542">
                  <c:v>28</c:v>
                </c:pt>
                <c:pt idx="543">
                  <c:v>28</c:v>
                </c:pt>
                <c:pt idx="544">
                  <c:v>28</c:v>
                </c:pt>
                <c:pt idx="545">
                  <c:v>28</c:v>
                </c:pt>
                <c:pt idx="546">
                  <c:v>28</c:v>
                </c:pt>
                <c:pt idx="547">
                  <c:v>28</c:v>
                </c:pt>
                <c:pt idx="548">
                  <c:v>28</c:v>
                </c:pt>
                <c:pt idx="549">
                  <c:v>28</c:v>
                </c:pt>
                <c:pt idx="550">
                  <c:v>28</c:v>
                </c:pt>
                <c:pt idx="551">
                  <c:v>28</c:v>
                </c:pt>
                <c:pt idx="552">
                  <c:v>28</c:v>
                </c:pt>
                <c:pt idx="553">
                  <c:v>28</c:v>
                </c:pt>
                <c:pt idx="554">
                  <c:v>28</c:v>
                </c:pt>
                <c:pt idx="555">
                  <c:v>28</c:v>
                </c:pt>
                <c:pt idx="556">
                  <c:v>28</c:v>
                </c:pt>
                <c:pt idx="557">
                  <c:v>28</c:v>
                </c:pt>
                <c:pt idx="558">
                  <c:v>28</c:v>
                </c:pt>
                <c:pt idx="559">
                  <c:v>28</c:v>
                </c:pt>
                <c:pt idx="560">
                  <c:v>28</c:v>
                </c:pt>
                <c:pt idx="561">
                  <c:v>28</c:v>
                </c:pt>
                <c:pt idx="562">
                  <c:v>28</c:v>
                </c:pt>
                <c:pt idx="563">
                  <c:v>28</c:v>
                </c:pt>
                <c:pt idx="564">
                  <c:v>28</c:v>
                </c:pt>
                <c:pt idx="565">
                  <c:v>28</c:v>
                </c:pt>
                <c:pt idx="566">
                  <c:v>28</c:v>
                </c:pt>
                <c:pt idx="567">
                  <c:v>28</c:v>
                </c:pt>
                <c:pt idx="568">
                  <c:v>28</c:v>
                </c:pt>
                <c:pt idx="569">
                  <c:v>28</c:v>
                </c:pt>
                <c:pt idx="570">
                  <c:v>29</c:v>
                </c:pt>
                <c:pt idx="571">
                  <c:v>29</c:v>
                </c:pt>
                <c:pt idx="572">
                  <c:v>29</c:v>
                </c:pt>
                <c:pt idx="573">
                  <c:v>29</c:v>
                </c:pt>
                <c:pt idx="574">
                  <c:v>29</c:v>
                </c:pt>
                <c:pt idx="575">
                  <c:v>29</c:v>
                </c:pt>
                <c:pt idx="576">
                  <c:v>29</c:v>
                </c:pt>
                <c:pt idx="577">
                  <c:v>29</c:v>
                </c:pt>
                <c:pt idx="578">
                  <c:v>29</c:v>
                </c:pt>
                <c:pt idx="579">
                  <c:v>29</c:v>
                </c:pt>
                <c:pt idx="580">
                  <c:v>29</c:v>
                </c:pt>
                <c:pt idx="581">
                  <c:v>29</c:v>
                </c:pt>
                <c:pt idx="582">
                  <c:v>29</c:v>
                </c:pt>
                <c:pt idx="583">
                  <c:v>29</c:v>
                </c:pt>
                <c:pt idx="584">
                  <c:v>29</c:v>
                </c:pt>
                <c:pt idx="585">
                  <c:v>29</c:v>
                </c:pt>
                <c:pt idx="586">
                  <c:v>29</c:v>
                </c:pt>
                <c:pt idx="587">
                  <c:v>29</c:v>
                </c:pt>
                <c:pt idx="588">
                  <c:v>29</c:v>
                </c:pt>
                <c:pt idx="589">
                  <c:v>29</c:v>
                </c:pt>
                <c:pt idx="590">
                  <c:v>29</c:v>
                </c:pt>
                <c:pt idx="591">
                  <c:v>29</c:v>
                </c:pt>
                <c:pt idx="592">
                  <c:v>29</c:v>
                </c:pt>
                <c:pt idx="593">
                  <c:v>29</c:v>
                </c:pt>
                <c:pt idx="594">
                  <c:v>29</c:v>
                </c:pt>
                <c:pt idx="595">
                  <c:v>29</c:v>
                </c:pt>
                <c:pt idx="596">
                  <c:v>29</c:v>
                </c:pt>
                <c:pt idx="597">
                  <c:v>29</c:v>
                </c:pt>
                <c:pt idx="598">
                  <c:v>29</c:v>
                </c:pt>
                <c:pt idx="599">
                  <c:v>29</c:v>
                </c:pt>
                <c:pt idx="600">
                  <c:v>29</c:v>
                </c:pt>
                <c:pt idx="601">
                  <c:v>29</c:v>
                </c:pt>
                <c:pt idx="602">
                  <c:v>29</c:v>
                </c:pt>
                <c:pt idx="603">
                  <c:v>29</c:v>
                </c:pt>
                <c:pt idx="604">
                  <c:v>29</c:v>
                </c:pt>
                <c:pt idx="605">
                  <c:v>29</c:v>
                </c:pt>
                <c:pt idx="606">
                  <c:v>29</c:v>
                </c:pt>
                <c:pt idx="607">
                  <c:v>29</c:v>
                </c:pt>
                <c:pt idx="608">
                  <c:v>29</c:v>
                </c:pt>
                <c:pt idx="609">
                  <c:v>29</c:v>
                </c:pt>
                <c:pt idx="610">
                  <c:v>30</c:v>
                </c:pt>
                <c:pt idx="611">
                  <c:v>30</c:v>
                </c:pt>
                <c:pt idx="612">
                  <c:v>30</c:v>
                </c:pt>
                <c:pt idx="613">
                  <c:v>30</c:v>
                </c:pt>
                <c:pt idx="614">
                  <c:v>30</c:v>
                </c:pt>
                <c:pt idx="615">
                  <c:v>30</c:v>
                </c:pt>
                <c:pt idx="616">
                  <c:v>30</c:v>
                </c:pt>
                <c:pt idx="617">
                  <c:v>30</c:v>
                </c:pt>
                <c:pt idx="618">
                  <c:v>30</c:v>
                </c:pt>
                <c:pt idx="619">
                  <c:v>30</c:v>
                </c:pt>
                <c:pt idx="620">
                  <c:v>30</c:v>
                </c:pt>
                <c:pt idx="621">
                  <c:v>30</c:v>
                </c:pt>
                <c:pt idx="622">
                  <c:v>30</c:v>
                </c:pt>
                <c:pt idx="623">
                  <c:v>30</c:v>
                </c:pt>
                <c:pt idx="624">
                  <c:v>30</c:v>
                </c:pt>
                <c:pt idx="625">
                  <c:v>30</c:v>
                </c:pt>
                <c:pt idx="626">
                  <c:v>30</c:v>
                </c:pt>
                <c:pt idx="627">
                  <c:v>30</c:v>
                </c:pt>
                <c:pt idx="628">
                  <c:v>30</c:v>
                </c:pt>
                <c:pt idx="629">
                  <c:v>30</c:v>
                </c:pt>
                <c:pt idx="630">
                  <c:v>30</c:v>
                </c:pt>
                <c:pt idx="631">
                  <c:v>30</c:v>
                </c:pt>
                <c:pt idx="632">
                  <c:v>30</c:v>
                </c:pt>
                <c:pt idx="633">
                  <c:v>30</c:v>
                </c:pt>
                <c:pt idx="634">
                  <c:v>30</c:v>
                </c:pt>
                <c:pt idx="635">
                  <c:v>30</c:v>
                </c:pt>
                <c:pt idx="636">
                  <c:v>30</c:v>
                </c:pt>
                <c:pt idx="637">
                  <c:v>30</c:v>
                </c:pt>
                <c:pt idx="638">
                  <c:v>30</c:v>
                </c:pt>
                <c:pt idx="639">
                  <c:v>30</c:v>
                </c:pt>
                <c:pt idx="640">
                  <c:v>30</c:v>
                </c:pt>
                <c:pt idx="641">
                  <c:v>30</c:v>
                </c:pt>
                <c:pt idx="642">
                  <c:v>30</c:v>
                </c:pt>
                <c:pt idx="643">
                  <c:v>30</c:v>
                </c:pt>
                <c:pt idx="644">
                  <c:v>30</c:v>
                </c:pt>
                <c:pt idx="645">
                  <c:v>30</c:v>
                </c:pt>
                <c:pt idx="646">
                  <c:v>30</c:v>
                </c:pt>
                <c:pt idx="647">
                  <c:v>30</c:v>
                </c:pt>
                <c:pt idx="648">
                  <c:v>30</c:v>
                </c:pt>
                <c:pt idx="649">
                  <c:v>30</c:v>
                </c:pt>
                <c:pt idx="650">
                  <c:v>30</c:v>
                </c:pt>
                <c:pt idx="651">
                  <c:v>31</c:v>
                </c:pt>
                <c:pt idx="652">
                  <c:v>31</c:v>
                </c:pt>
                <c:pt idx="653">
                  <c:v>31</c:v>
                </c:pt>
                <c:pt idx="654">
                  <c:v>31</c:v>
                </c:pt>
                <c:pt idx="655">
                  <c:v>31</c:v>
                </c:pt>
                <c:pt idx="656">
                  <c:v>31</c:v>
                </c:pt>
                <c:pt idx="657">
                  <c:v>31</c:v>
                </c:pt>
                <c:pt idx="658">
                  <c:v>31</c:v>
                </c:pt>
                <c:pt idx="659">
                  <c:v>31</c:v>
                </c:pt>
                <c:pt idx="660">
                  <c:v>31</c:v>
                </c:pt>
                <c:pt idx="661">
                  <c:v>31</c:v>
                </c:pt>
                <c:pt idx="662">
                  <c:v>31</c:v>
                </c:pt>
                <c:pt idx="663">
                  <c:v>31</c:v>
                </c:pt>
                <c:pt idx="664">
                  <c:v>31</c:v>
                </c:pt>
                <c:pt idx="665">
                  <c:v>31</c:v>
                </c:pt>
                <c:pt idx="666">
                  <c:v>31</c:v>
                </c:pt>
                <c:pt idx="667">
                  <c:v>31</c:v>
                </c:pt>
                <c:pt idx="668">
                  <c:v>31</c:v>
                </c:pt>
                <c:pt idx="669">
                  <c:v>31</c:v>
                </c:pt>
                <c:pt idx="670">
                  <c:v>31</c:v>
                </c:pt>
                <c:pt idx="671">
                  <c:v>31</c:v>
                </c:pt>
                <c:pt idx="672">
                  <c:v>31</c:v>
                </c:pt>
                <c:pt idx="673">
                  <c:v>31</c:v>
                </c:pt>
                <c:pt idx="674">
                  <c:v>31</c:v>
                </c:pt>
                <c:pt idx="675">
                  <c:v>31</c:v>
                </c:pt>
                <c:pt idx="676">
                  <c:v>31</c:v>
                </c:pt>
                <c:pt idx="677">
                  <c:v>31</c:v>
                </c:pt>
                <c:pt idx="678">
                  <c:v>31</c:v>
                </c:pt>
                <c:pt idx="679">
                  <c:v>31</c:v>
                </c:pt>
                <c:pt idx="680">
                  <c:v>31</c:v>
                </c:pt>
                <c:pt idx="681">
                  <c:v>31</c:v>
                </c:pt>
                <c:pt idx="682">
                  <c:v>31</c:v>
                </c:pt>
                <c:pt idx="683">
                  <c:v>31</c:v>
                </c:pt>
                <c:pt idx="684">
                  <c:v>31</c:v>
                </c:pt>
                <c:pt idx="685">
                  <c:v>31</c:v>
                </c:pt>
                <c:pt idx="686">
                  <c:v>31</c:v>
                </c:pt>
                <c:pt idx="687">
                  <c:v>31</c:v>
                </c:pt>
                <c:pt idx="688">
                  <c:v>31</c:v>
                </c:pt>
                <c:pt idx="689">
                  <c:v>31</c:v>
                </c:pt>
                <c:pt idx="690">
                  <c:v>31</c:v>
                </c:pt>
                <c:pt idx="691">
                  <c:v>31</c:v>
                </c:pt>
                <c:pt idx="692">
                  <c:v>31</c:v>
                </c:pt>
                <c:pt idx="693">
                  <c:v>32</c:v>
                </c:pt>
                <c:pt idx="694">
                  <c:v>32</c:v>
                </c:pt>
                <c:pt idx="695">
                  <c:v>32</c:v>
                </c:pt>
                <c:pt idx="696">
                  <c:v>32</c:v>
                </c:pt>
                <c:pt idx="697">
                  <c:v>32</c:v>
                </c:pt>
                <c:pt idx="698">
                  <c:v>32</c:v>
                </c:pt>
                <c:pt idx="699">
                  <c:v>32</c:v>
                </c:pt>
                <c:pt idx="700">
                  <c:v>32</c:v>
                </c:pt>
                <c:pt idx="701">
                  <c:v>32</c:v>
                </c:pt>
                <c:pt idx="702">
                  <c:v>32</c:v>
                </c:pt>
                <c:pt idx="703">
                  <c:v>32</c:v>
                </c:pt>
                <c:pt idx="704">
                  <c:v>32</c:v>
                </c:pt>
                <c:pt idx="705">
                  <c:v>32</c:v>
                </c:pt>
                <c:pt idx="706">
                  <c:v>32</c:v>
                </c:pt>
                <c:pt idx="707">
                  <c:v>32</c:v>
                </c:pt>
                <c:pt idx="708">
                  <c:v>32</c:v>
                </c:pt>
                <c:pt idx="709">
                  <c:v>32</c:v>
                </c:pt>
                <c:pt idx="710">
                  <c:v>32</c:v>
                </c:pt>
                <c:pt idx="711">
                  <c:v>32</c:v>
                </c:pt>
                <c:pt idx="712">
                  <c:v>32</c:v>
                </c:pt>
                <c:pt idx="713">
                  <c:v>32</c:v>
                </c:pt>
                <c:pt idx="714">
                  <c:v>32</c:v>
                </c:pt>
                <c:pt idx="715">
                  <c:v>32</c:v>
                </c:pt>
                <c:pt idx="716">
                  <c:v>32</c:v>
                </c:pt>
                <c:pt idx="717">
                  <c:v>32</c:v>
                </c:pt>
                <c:pt idx="718">
                  <c:v>32</c:v>
                </c:pt>
                <c:pt idx="719">
                  <c:v>32</c:v>
                </c:pt>
                <c:pt idx="720">
                  <c:v>32</c:v>
                </c:pt>
                <c:pt idx="721">
                  <c:v>32</c:v>
                </c:pt>
                <c:pt idx="722">
                  <c:v>32</c:v>
                </c:pt>
                <c:pt idx="723">
                  <c:v>32</c:v>
                </c:pt>
                <c:pt idx="724">
                  <c:v>32</c:v>
                </c:pt>
                <c:pt idx="725">
                  <c:v>32</c:v>
                </c:pt>
                <c:pt idx="726">
                  <c:v>32</c:v>
                </c:pt>
                <c:pt idx="727">
                  <c:v>32</c:v>
                </c:pt>
                <c:pt idx="728">
                  <c:v>32</c:v>
                </c:pt>
                <c:pt idx="729">
                  <c:v>32</c:v>
                </c:pt>
                <c:pt idx="730">
                  <c:v>32</c:v>
                </c:pt>
                <c:pt idx="731">
                  <c:v>32</c:v>
                </c:pt>
                <c:pt idx="732">
                  <c:v>32</c:v>
                </c:pt>
                <c:pt idx="733">
                  <c:v>32</c:v>
                </c:pt>
                <c:pt idx="734">
                  <c:v>32</c:v>
                </c:pt>
                <c:pt idx="735">
                  <c:v>32</c:v>
                </c:pt>
                <c:pt idx="736">
                  <c:v>33</c:v>
                </c:pt>
                <c:pt idx="737">
                  <c:v>33</c:v>
                </c:pt>
                <c:pt idx="738">
                  <c:v>33</c:v>
                </c:pt>
                <c:pt idx="739">
                  <c:v>33</c:v>
                </c:pt>
                <c:pt idx="740">
                  <c:v>33</c:v>
                </c:pt>
                <c:pt idx="741">
                  <c:v>33</c:v>
                </c:pt>
                <c:pt idx="742">
                  <c:v>33</c:v>
                </c:pt>
                <c:pt idx="743">
                  <c:v>33</c:v>
                </c:pt>
                <c:pt idx="744">
                  <c:v>33</c:v>
                </c:pt>
                <c:pt idx="745">
                  <c:v>33</c:v>
                </c:pt>
                <c:pt idx="746">
                  <c:v>33</c:v>
                </c:pt>
                <c:pt idx="747">
                  <c:v>33</c:v>
                </c:pt>
                <c:pt idx="748">
                  <c:v>33</c:v>
                </c:pt>
                <c:pt idx="749">
                  <c:v>33</c:v>
                </c:pt>
                <c:pt idx="750">
                  <c:v>33</c:v>
                </c:pt>
                <c:pt idx="751">
                  <c:v>33</c:v>
                </c:pt>
                <c:pt idx="752">
                  <c:v>33</c:v>
                </c:pt>
                <c:pt idx="753">
                  <c:v>33</c:v>
                </c:pt>
                <c:pt idx="754">
                  <c:v>33</c:v>
                </c:pt>
                <c:pt idx="755">
                  <c:v>33</c:v>
                </c:pt>
                <c:pt idx="756">
                  <c:v>33</c:v>
                </c:pt>
                <c:pt idx="757">
                  <c:v>33</c:v>
                </c:pt>
                <c:pt idx="758">
                  <c:v>33</c:v>
                </c:pt>
                <c:pt idx="759">
                  <c:v>33</c:v>
                </c:pt>
                <c:pt idx="760">
                  <c:v>33</c:v>
                </c:pt>
                <c:pt idx="761">
                  <c:v>33</c:v>
                </c:pt>
                <c:pt idx="762">
                  <c:v>33</c:v>
                </c:pt>
                <c:pt idx="763">
                  <c:v>33</c:v>
                </c:pt>
                <c:pt idx="764">
                  <c:v>33</c:v>
                </c:pt>
                <c:pt idx="765">
                  <c:v>33</c:v>
                </c:pt>
                <c:pt idx="766">
                  <c:v>33</c:v>
                </c:pt>
                <c:pt idx="767">
                  <c:v>33</c:v>
                </c:pt>
                <c:pt idx="768">
                  <c:v>33</c:v>
                </c:pt>
                <c:pt idx="769">
                  <c:v>33</c:v>
                </c:pt>
                <c:pt idx="770">
                  <c:v>33</c:v>
                </c:pt>
                <c:pt idx="771">
                  <c:v>33</c:v>
                </c:pt>
                <c:pt idx="772">
                  <c:v>33</c:v>
                </c:pt>
                <c:pt idx="773">
                  <c:v>33</c:v>
                </c:pt>
                <c:pt idx="774">
                  <c:v>33</c:v>
                </c:pt>
                <c:pt idx="775">
                  <c:v>33</c:v>
                </c:pt>
                <c:pt idx="776">
                  <c:v>33</c:v>
                </c:pt>
                <c:pt idx="777">
                  <c:v>33</c:v>
                </c:pt>
                <c:pt idx="778">
                  <c:v>33</c:v>
                </c:pt>
                <c:pt idx="779">
                  <c:v>33</c:v>
                </c:pt>
                <c:pt idx="780">
                  <c:v>34</c:v>
                </c:pt>
                <c:pt idx="781">
                  <c:v>34</c:v>
                </c:pt>
                <c:pt idx="782">
                  <c:v>34</c:v>
                </c:pt>
                <c:pt idx="783">
                  <c:v>34</c:v>
                </c:pt>
                <c:pt idx="784">
                  <c:v>34</c:v>
                </c:pt>
                <c:pt idx="785">
                  <c:v>34</c:v>
                </c:pt>
                <c:pt idx="786">
                  <c:v>34</c:v>
                </c:pt>
                <c:pt idx="787">
                  <c:v>34</c:v>
                </c:pt>
                <c:pt idx="788">
                  <c:v>34</c:v>
                </c:pt>
                <c:pt idx="789">
                  <c:v>34</c:v>
                </c:pt>
                <c:pt idx="790">
                  <c:v>34</c:v>
                </c:pt>
                <c:pt idx="791">
                  <c:v>34</c:v>
                </c:pt>
                <c:pt idx="792">
                  <c:v>34</c:v>
                </c:pt>
                <c:pt idx="793">
                  <c:v>34</c:v>
                </c:pt>
                <c:pt idx="794">
                  <c:v>34</c:v>
                </c:pt>
                <c:pt idx="795">
                  <c:v>34</c:v>
                </c:pt>
                <c:pt idx="796">
                  <c:v>34</c:v>
                </c:pt>
                <c:pt idx="797">
                  <c:v>34</c:v>
                </c:pt>
                <c:pt idx="798">
                  <c:v>34</c:v>
                </c:pt>
                <c:pt idx="799">
                  <c:v>34</c:v>
                </c:pt>
                <c:pt idx="800">
                  <c:v>34</c:v>
                </c:pt>
                <c:pt idx="801">
                  <c:v>34</c:v>
                </c:pt>
                <c:pt idx="802">
                  <c:v>34</c:v>
                </c:pt>
                <c:pt idx="803">
                  <c:v>34</c:v>
                </c:pt>
                <c:pt idx="804">
                  <c:v>34</c:v>
                </c:pt>
                <c:pt idx="805">
                  <c:v>34</c:v>
                </c:pt>
                <c:pt idx="806">
                  <c:v>34</c:v>
                </c:pt>
                <c:pt idx="807">
                  <c:v>34</c:v>
                </c:pt>
                <c:pt idx="808">
                  <c:v>34</c:v>
                </c:pt>
                <c:pt idx="809">
                  <c:v>34</c:v>
                </c:pt>
                <c:pt idx="810">
                  <c:v>34</c:v>
                </c:pt>
                <c:pt idx="811">
                  <c:v>34</c:v>
                </c:pt>
                <c:pt idx="812">
                  <c:v>34</c:v>
                </c:pt>
                <c:pt idx="813">
                  <c:v>34</c:v>
                </c:pt>
                <c:pt idx="814">
                  <c:v>34</c:v>
                </c:pt>
                <c:pt idx="815">
                  <c:v>34</c:v>
                </c:pt>
                <c:pt idx="816">
                  <c:v>34</c:v>
                </c:pt>
                <c:pt idx="817">
                  <c:v>34</c:v>
                </c:pt>
                <c:pt idx="818">
                  <c:v>34</c:v>
                </c:pt>
                <c:pt idx="819">
                  <c:v>34</c:v>
                </c:pt>
                <c:pt idx="820">
                  <c:v>34</c:v>
                </c:pt>
                <c:pt idx="821">
                  <c:v>34</c:v>
                </c:pt>
                <c:pt idx="822">
                  <c:v>34</c:v>
                </c:pt>
                <c:pt idx="823">
                  <c:v>34</c:v>
                </c:pt>
                <c:pt idx="824">
                  <c:v>34</c:v>
                </c:pt>
                <c:pt idx="825">
                  <c:v>35</c:v>
                </c:pt>
                <c:pt idx="826">
                  <c:v>35</c:v>
                </c:pt>
                <c:pt idx="827">
                  <c:v>35</c:v>
                </c:pt>
                <c:pt idx="828">
                  <c:v>35</c:v>
                </c:pt>
                <c:pt idx="829">
                  <c:v>35</c:v>
                </c:pt>
                <c:pt idx="830">
                  <c:v>35</c:v>
                </c:pt>
                <c:pt idx="831">
                  <c:v>35</c:v>
                </c:pt>
                <c:pt idx="832">
                  <c:v>35</c:v>
                </c:pt>
                <c:pt idx="833">
                  <c:v>35</c:v>
                </c:pt>
                <c:pt idx="834">
                  <c:v>35</c:v>
                </c:pt>
                <c:pt idx="835">
                  <c:v>35</c:v>
                </c:pt>
                <c:pt idx="836">
                  <c:v>35</c:v>
                </c:pt>
                <c:pt idx="837">
                  <c:v>35</c:v>
                </c:pt>
                <c:pt idx="838">
                  <c:v>35</c:v>
                </c:pt>
                <c:pt idx="839">
                  <c:v>35</c:v>
                </c:pt>
                <c:pt idx="840">
                  <c:v>35</c:v>
                </c:pt>
                <c:pt idx="841">
                  <c:v>35</c:v>
                </c:pt>
                <c:pt idx="842">
                  <c:v>35</c:v>
                </c:pt>
                <c:pt idx="843">
                  <c:v>35</c:v>
                </c:pt>
                <c:pt idx="844">
                  <c:v>35</c:v>
                </c:pt>
                <c:pt idx="845">
                  <c:v>35</c:v>
                </c:pt>
                <c:pt idx="846">
                  <c:v>35</c:v>
                </c:pt>
                <c:pt idx="847">
                  <c:v>35</c:v>
                </c:pt>
                <c:pt idx="848">
                  <c:v>35</c:v>
                </c:pt>
                <c:pt idx="849">
                  <c:v>35</c:v>
                </c:pt>
                <c:pt idx="850">
                  <c:v>35</c:v>
                </c:pt>
                <c:pt idx="851">
                  <c:v>35</c:v>
                </c:pt>
                <c:pt idx="852">
                  <c:v>35</c:v>
                </c:pt>
                <c:pt idx="853">
                  <c:v>35</c:v>
                </c:pt>
                <c:pt idx="854">
                  <c:v>35</c:v>
                </c:pt>
                <c:pt idx="855">
                  <c:v>35</c:v>
                </c:pt>
                <c:pt idx="856">
                  <c:v>35</c:v>
                </c:pt>
                <c:pt idx="857">
                  <c:v>35</c:v>
                </c:pt>
                <c:pt idx="858">
                  <c:v>35</c:v>
                </c:pt>
                <c:pt idx="859">
                  <c:v>35</c:v>
                </c:pt>
                <c:pt idx="860">
                  <c:v>35</c:v>
                </c:pt>
                <c:pt idx="861">
                  <c:v>35</c:v>
                </c:pt>
                <c:pt idx="862">
                  <c:v>35</c:v>
                </c:pt>
                <c:pt idx="863">
                  <c:v>35</c:v>
                </c:pt>
                <c:pt idx="864">
                  <c:v>35</c:v>
                </c:pt>
                <c:pt idx="865">
                  <c:v>35</c:v>
                </c:pt>
                <c:pt idx="866">
                  <c:v>35</c:v>
                </c:pt>
                <c:pt idx="867">
                  <c:v>35</c:v>
                </c:pt>
                <c:pt idx="868">
                  <c:v>35</c:v>
                </c:pt>
                <c:pt idx="869">
                  <c:v>35</c:v>
                </c:pt>
                <c:pt idx="870">
                  <c:v>35</c:v>
                </c:pt>
                <c:pt idx="871">
                  <c:v>36</c:v>
                </c:pt>
                <c:pt idx="872">
                  <c:v>36</c:v>
                </c:pt>
                <c:pt idx="873">
                  <c:v>36</c:v>
                </c:pt>
                <c:pt idx="874">
                  <c:v>36</c:v>
                </c:pt>
                <c:pt idx="875">
                  <c:v>36</c:v>
                </c:pt>
                <c:pt idx="876">
                  <c:v>36</c:v>
                </c:pt>
                <c:pt idx="877">
                  <c:v>36</c:v>
                </c:pt>
                <c:pt idx="878">
                  <c:v>36</c:v>
                </c:pt>
                <c:pt idx="879">
                  <c:v>36</c:v>
                </c:pt>
                <c:pt idx="880">
                  <c:v>36</c:v>
                </c:pt>
                <c:pt idx="881">
                  <c:v>36</c:v>
                </c:pt>
                <c:pt idx="882">
                  <c:v>36</c:v>
                </c:pt>
                <c:pt idx="883">
                  <c:v>36</c:v>
                </c:pt>
                <c:pt idx="884">
                  <c:v>36</c:v>
                </c:pt>
                <c:pt idx="885">
                  <c:v>36</c:v>
                </c:pt>
                <c:pt idx="886">
                  <c:v>36</c:v>
                </c:pt>
                <c:pt idx="887">
                  <c:v>36</c:v>
                </c:pt>
                <c:pt idx="888">
                  <c:v>36</c:v>
                </c:pt>
                <c:pt idx="889">
                  <c:v>36</c:v>
                </c:pt>
                <c:pt idx="890">
                  <c:v>36</c:v>
                </c:pt>
                <c:pt idx="891">
                  <c:v>36</c:v>
                </c:pt>
                <c:pt idx="892">
                  <c:v>36</c:v>
                </c:pt>
                <c:pt idx="893">
                  <c:v>36</c:v>
                </c:pt>
                <c:pt idx="894">
                  <c:v>36</c:v>
                </c:pt>
                <c:pt idx="895">
                  <c:v>36</c:v>
                </c:pt>
                <c:pt idx="896">
                  <c:v>36</c:v>
                </c:pt>
                <c:pt idx="897">
                  <c:v>36</c:v>
                </c:pt>
                <c:pt idx="898">
                  <c:v>36</c:v>
                </c:pt>
                <c:pt idx="899">
                  <c:v>36</c:v>
                </c:pt>
                <c:pt idx="900">
                  <c:v>36</c:v>
                </c:pt>
                <c:pt idx="901">
                  <c:v>36</c:v>
                </c:pt>
                <c:pt idx="902">
                  <c:v>36</c:v>
                </c:pt>
                <c:pt idx="903">
                  <c:v>36</c:v>
                </c:pt>
                <c:pt idx="904">
                  <c:v>36</c:v>
                </c:pt>
                <c:pt idx="905">
                  <c:v>36</c:v>
                </c:pt>
                <c:pt idx="906">
                  <c:v>36</c:v>
                </c:pt>
                <c:pt idx="907">
                  <c:v>36</c:v>
                </c:pt>
                <c:pt idx="908">
                  <c:v>36</c:v>
                </c:pt>
                <c:pt idx="909">
                  <c:v>36</c:v>
                </c:pt>
                <c:pt idx="910">
                  <c:v>36</c:v>
                </c:pt>
                <c:pt idx="911">
                  <c:v>36</c:v>
                </c:pt>
                <c:pt idx="912">
                  <c:v>36</c:v>
                </c:pt>
                <c:pt idx="913">
                  <c:v>36</c:v>
                </c:pt>
                <c:pt idx="914">
                  <c:v>36</c:v>
                </c:pt>
                <c:pt idx="915">
                  <c:v>36</c:v>
                </c:pt>
                <c:pt idx="916">
                  <c:v>37</c:v>
                </c:pt>
                <c:pt idx="917">
                  <c:v>37</c:v>
                </c:pt>
                <c:pt idx="918">
                  <c:v>37</c:v>
                </c:pt>
                <c:pt idx="919">
                  <c:v>37</c:v>
                </c:pt>
                <c:pt idx="920">
                  <c:v>37</c:v>
                </c:pt>
                <c:pt idx="921">
                  <c:v>37</c:v>
                </c:pt>
                <c:pt idx="922">
                  <c:v>37</c:v>
                </c:pt>
                <c:pt idx="923">
                  <c:v>37</c:v>
                </c:pt>
                <c:pt idx="924">
                  <c:v>37</c:v>
                </c:pt>
                <c:pt idx="925">
                  <c:v>37</c:v>
                </c:pt>
                <c:pt idx="926">
                  <c:v>37</c:v>
                </c:pt>
                <c:pt idx="927">
                  <c:v>37</c:v>
                </c:pt>
                <c:pt idx="928">
                  <c:v>37</c:v>
                </c:pt>
                <c:pt idx="929">
                  <c:v>37</c:v>
                </c:pt>
                <c:pt idx="930">
                  <c:v>37</c:v>
                </c:pt>
                <c:pt idx="931">
                  <c:v>37</c:v>
                </c:pt>
                <c:pt idx="932">
                  <c:v>37</c:v>
                </c:pt>
                <c:pt idx="933">
                  <c:v>37</c:v>
                </c:pt>
                <c:pt idx="934">
                  <c:v>37</c:v>
                </c:pt>
                <c:pt idx="935">
                  <c:v>37</c:v>
                </c:pt>
                <c:pt idx="936">
                  <c:v>37</c:v>
                </c:pt>
                <c:pt idx="937">
                  <c:v>37</c:v>
                </c:pt>
                <c:pt idx="938">
                  <c:v>37</c:v>
                </c:pt>
                <c:pt idx="939">
                  <c:v>37</c:v>
                </c:pt>
                <c:pt idx="940">
                  <c:v>37</c:v>
                </c:pt>
                <c:pt idx="941">
                  <c:v>37</c:v>
                </c:pt>
                <c:pt idx="942">
                  <c:v>37</c:v>
                </c:pt>
                <c:pt idx="943">
                  <c:v>37</c:v>
                </c:pt>
                <c:pt idx="944">
                  <c:v>37</c:v>
                </c:pt>
                <c:pt idx="945">
                  <c:v>37</c:v>
                </c:pt>
                <c:pt idx="946">
                  <c:v>37</c:v>
                </c:pt>
                <c:pt idx="947">
                  <c:v>37</c:v>
                </c:pt>
                <c:pt idx="948">
                  <c:v>37</c:v>
                </c:pt>
                <c:pt idx="949">
                  <c:v>37</c:v>
                </c:pt>
                <c:pt idx="950">
                  <c:v>37</c:v>
                </c:pt>
                <c:pt idx="951">
                  <c:v>37</c:v>
                </c:pt>
                <c:pt idx="952">
                  <c:v>37</c:v>
                </c:pt>
                <c:pt idx="953">
                  <c:v>37</c:v>
                </c:pt>
                <c:pt idx="954">
                  <c:v>37</c:v>
                </c:pt>
                <c:pt idx="955">
                  <c:v>37</c:v>
                </c:pt>
                <c:pt idx="956">
                  <c:v>37</c:v>
                </c:pt>
                <c:pt idx="957">
                  <c:v>37</c:v>
                </c:pt>
                <c:pt idx="958">
                  <c:v>37</c:v>
                </c:pt>
                <c:pt idx="959">
                  <c:v>37</c:v>
                </c:pt>
                <c:pt idx="960">
                  <c:v>38</c:v>
                </c:pt>
                <c:pt idx="961">
                  <c:v>38</c:v>
                </c:pt>
                <c:pt idx="962">
                  <c:v>38</c:v>
                </c:pt>
                <c:pt idx="963">
                  <c:v>38</c:v>
                </c:pt>
                <c:pt idx="964">
                  <c:v>38</c:v>
                </c:pt>
                <c:pt idx="965">
                  <c:v>38</c:v>
                </c:pt>
                <c:pt idx="966">
                  <c:v>38</c:v>
                </c:pt>
                <c:pt idx="967">
                  <c:v>38</c:v>
                </c:pt>
                <c:pt idx="968">
                  <c:v>38</c:v>
                </c:pt>
                <c:pt idx="969">
                  <c:v>38</c:v>
                </c:pt>
                <c:pt idx="970">
                  <c:v>38</c:v>
                </c:pt>
                <c:pt idx="971">
                  <c:v>38</c:v>
                </c:pt>
                <c:pt idx="972">
                  <c:v>38</c:v>
                </c:pt>
                <c:pt idx="973">
                  <c:v>38</c:v>
                </c:pt>
                <c:pt idx="974">
                  <c:v>38</c:v>
                </c:pt>
                <c:pt idx="975">
                  <c:v>38</c:v>
                </c:pt>
                <c:pt idx="976">
                  <c:v>38</c:v>
                </c:pt>
                <c:pt idx="977">
                  <c:v>38</c:v>
                </c:pt>
                <c:pt idx="978">
                  <c:v>38</c:v>
                </c:pt>
                <c:pt idx="979">
                  <c:v>38</c:v>
                </c:pt>
                <c:pt idx="980">
                  <c:v>38</c:v>
                </c:pt>
                <c:pt idx="981">
                  <c:v>38</c:v>
                </c:pt>
                <c:pt idx="982">
                  <c:v>38</c:v>
                </c:pt>
                <c:pt idx="983">
                  <c:v>38</c:v>
                </c:pt>
                <c:pt idx="984">
                  <c:v>38</c:v>
                </c:pt>
                <c:pt idx="985">
                  <c:v>38</c:v>
                </c:pt>
                <c:pt idx="986">
                  <c:v>38</c:v>
                </c:pt>
                <c:pt idx="987">
                  <c:v>38</c:v>
                </c:pt>
                <c:pt idx="988">
                  <c:v>38</c:v>
                </c:pt>
                <c:pt idx="989">
                  <c:v>38</c:v>
                </c:pt>
                <c:pt idx="990">
                  <c:v>38</c:v>
                </c:pt>
                <c:pt idx="991">
                  <c:v>38</c:v>
                </c:pt>
                <c:pt idx="992">
                  <c:v>38</c:v>
                </c:pt>
                <c:pt idx="993">
                  <c:v>38</c:v>
                </c:pt>
                <c:pt idx="994">
                  <c:v>38</c:v>
                </c:pt>
                <c:pt idx="995">
                  <c:v>38</c:v>
                </c:pt>
                <c:pt idx="996">
                  <c:v>38</c:v>
                </c:pt>
                <c:pt idx="997">
                  <c:v>38</c:v>
                </c:pt>
                <c:pt idx="998">
                  <c:v>38</c:v>
                </c:pt>
                <c:pt idx="999">
                  <c:v>38</c:v>
                </c:pt>
                <c:pt idx="1000">
                  <c:v>38</c:v>
                </c:pt>
                <c:pt idx="1001">
                  <c:v>38</c:v>
                </c:pt>
                <c:pt idx="1002">
                  <c:v>38</c:v>
                </c:pt>
                <c:pt idx="1003">
                  <c:v>39</c:v>
                </c:pt>
                <c:pt idx="1004">
                  <c:v>39</c:v>
                </c:pt>
                <c:pt idx="1005">
                  <c:v>39</c:v>
                </c:pt>
                <c:pt idx="1006">
                  <c:v>39</c:v>
                </c:pt>
                <c:pt idx="1007">
                  <c:v>39</c:v>
                </c:pt>
                <c:pt idx="1008">
                  <c:v>39</c:v>
                </c:pt>
                <c:pt idx="1009">
                  <c:v>39</c:v>
                </c:pt>
                <c:pt idx="1010">
                  <c:v>39</c:v>
                </c:pt>
                <c:pt idx="1011">
                  <c:v>39</c:v>
                </c:pt>
                <c:pt idx="1012">
                  <c:v>39</c:v>
                </c:pt>
                <c:pt idx="1013">
                  <c:v>39</c:v>
                </c:pt>
                <c:pt idx="1014">
                  <c:v>39</c:v>
                </c:pt>
                <c:pt idx="1015">
                  <c:v>39</c:v>
                </c:pt>
                <c:pt idx="1016">
                  <c:v>39</c:v>
                </c:pt>
                <c:pt idx="1017">
                  <c:v>39</c:v>
                </c:pt>
                <c:pt idx="1018">
                  <c:v>39</c:v>
                </c:pt>
                <c:pt idx="1019">
                  <c:v>39</c:v>
                </c:pt>
                <c:pt idx="1020">
                  <c:v>39</c:v>
                </c:pt>
                <c:pt idx="1021">
                  <c:v>39</c:v>
                </c:pt>
                <c:pt idx="1022">
                  <c:v>39</c:v>
                </c:pt>
                <c:pt idx="1023">
                  <c:v>39</c:v>
                </c:pt>
                <c:pt idx="1024">
                  <c:v>39</c:v>
                </c:pt>
                <c:pt idx="1025">
                  <c:v>39</c:v>
                </c:pt>
                <c:pt idx="1026">
                  <c:v>39</c:v>
                </c:pt>
                <c:pt idx="1027">
                  <c:v>39</c:v>
                </c:pt>
                <c:pt idx="1028">
                  <c:v>39</c:v>
                </c:pt>
                <c:pt idx="1029">
                  <c:v>39</c:v>
                </c:pt>
                <c:pt idx="1030">
                  <c:v>39</c:v>
                </c:pt>
                <c:pt idx="1031">
                  <c:v>39</c:v>
                </c:pt>
                <c:pt idx="1032">
                  <c:v>39</c:v>
                </c:pt>
                <c:pt idx="1033">
                  <c:v>39</c:v>
                </c:pt>
                <c:pt idx="1034">
                  <c:v>39</c:v>
                </c:pt>
                <c:pt idx="1035">
                  <c:v>39</c:v>
                </c:pt>
                <c:pt idx="1036">
                  <c:v>39</c:v>
                </c:pt>
                <c:pt idx="1037">
                  <c:v>39</c:v>
                </c:pt>
                <c:pt idx="1038">
                  <c:v>39</c:v>
                </c:pt>
                <c:pt idx="1039">
                  <c:v>39</c:v>
                </c:pt>
                <c:pt idx="1040">
                  <c:v>39</c:v>
                </c:pt>
                <c:pt idx="1041">
                  <c:v>39</c:v>
                </c:pt>
                <c:pt idx="1042">
                  <c:v>39</c:v>
                </c:pt>
                <c:pt idx="1043">
                  <c:v>39</c:v>
                </c:pt>
                <c:pt idx="1044">
                  <c:v>39</c:v>
                </c:pt>
                <c:pt idx="1045">
                  <c:v>40</c:v>
                </c:pt>
                <c:pt idx="1046">
                  <c:v>40</c:v>
                </c:pt>
                <c:pt idx="1047">
                  <c:v>40</c:v>
                </c:pt>
                <c:pt idx="1048">
                  <c:v>40</c:v>
                </c:pt>
                <c:pt idx="1049">
                  <c:v>40</c:v>
                </c:pt>
                <c:pt idx="1050">
                  <c:v>40</c:v>
                </c:pt>
                <c:pt idx="1051">
                  <c:v>40</c:v>
                </c:pt>
                <c:pt idx="1052">
                  <c:v>40</c:v>
                </c:pt>
                <c:pt idx="1053">
                  <c:v>40</c:v>
                </c:pt>
                <c:pt idx="1054">
                  <c:v>40</c:v>
                </c:pt>
                <c:pt idx="1055">
                  <c:v>40</c:v>
                </c:pt>
                <c:pt idx="1056">
                  <c:v>40</c:v>
                </c:pt>
                <c:pt idx="1057">
                  <c:v>40</c:v>
                </c:pt>
                <c:pt idx="1058">
                  <c:v>40</c:v>
                </c:pt>
                <c:pt idx="1059">
                  <c:v>40</c:v>
                </c:pt>
                <c:pt idx="1060">
                  <c:v>40</c:v>
                </c:pt>
                <c:pt idx="1061">
                  <c:v>40</c:v>
                </c:pt>
                <c:pt idx="1062">
                  <c:v>40</c:v>
                </c:pt>
                <c:pt idx="1063">
                  <c:v>40</c:v>
                </c:pt>
                <c:pt idx="1064">
                  <c:v>40</c:v>
                </c:pt>
                <c:pt idx="1065">
                  <c:v>40</c:v>
                </c:pt>
                <c:pt idx="1066">
                  <c:v>40</c:v>
                </c:pt>
                <c:pt idx="1067">
                  <c:v>40</c:v>
                </c:pt>
                <c:pt idx="1068">
                  <c:v>40</c:v>
                </c:pt>
                <c:pt idx="1069">
                  <c:v>40</c:v>
                </c:pt>
                <c:pt idx="1070">
                  <c:v>40</c:v>
                </c:pt>
                <c:pt idx="1071">
                  <c:v>40</c:v>
                </c:pt>
                <c:pt idx="1072">
                  <c:v>40</c:v>
                </c:pt>
                <c:pt idx="1073">
                  <c:v>40</c:v>
                </c:pt>
                <c:pt idx="1074">
                  <c:v>40</c:v>
                </c:pt>
                <c:pt idx="1075">
                  <c:v>40</c:v>
                </c:pt>
                <c:pt idx="1076">
                  <c:v>40</c:v>
                </c:pt>
                <c:pt idx="1077">
                  <c:v>40</c:v>
                </c:pt>
                <c:pt idx="1078">
                  <c:v>40</c:v>
                </c:pt>
                <c:pt idx="1079">
                  <c:v>40</c:v>
                </c:pt>
                <c:pt idx="1080">
                  <c:v>40</c:v>
                </c:pt>
                <c:pt idx="1081">
                  <c:v>40</c:v>
                </c:pt>
                <c:pt idx="1082">
                  <c:v>40</c:v>
                </c:pt>
                <c:pt idx="1083">
                  <c:v>40</c:v>
                </c:pt>
                <c:pt idx="1084">
                  <c:v>40</c:v>
                </c:pt>
                <c:pt idx="1085">
                  <c:v>40</c:v>
                </c:pt>
                <c:pt idx="1086">
                  <c:v>41</c:v>
                </c:pt>
                <c:pt idx="1087">
                  <c:v>41</c:v>
                </c:pt>
                <c:pt idx="1088">
                  <c:v>41</c:v>
                </c:pt>
                <c:pt idx="1089">
                  <c:v>41</c:v>
                </c:pt>
                <c:pt idx="1090">
                  <c:v>41</c:v>
                </c:pt>
                <c:pt idx="1091">
                  <c:v>41</c:v>
                </c:pt>
                <c:pt idx="1092">
                  <c:v>41</c:v>
                </c:pt>
                <c:pt idx="1093">
                  <c:v>41</c:v>
                </c:pt>
                <c:pt idx="1094">
                  <c:v>41</c:v>
                </c:pt>
                <c:pt idx="1095">
                  <c:v>41</c:v>
                </c:pt>
                <c:pt idx="1096">
                  <c:v>41</c:v>
                </c:pt>
                <c:pt idx="1097">
                  <c:v>41</c:v>
                </c:pt>
                <c:pt idx="1098">
                  <c:v>41</c:v>
                </c:pt>
                <c:pt idx="1099">
                  <c:v>41</c:v>
                </c:pt>
                <c:pt idx="1100">
                  <c:v>41</c:v>
                </c:pt>
                <c:pt idx="1101">
                  <c:v>41</c:v>
                </c:pt>
                <c:pt idx="1102">
                  <c:v>41</c:v>
                </c:pt>
                <c:pt idx="1103">
                  <c:v>41</c:v>
                </c:pt>
                <c:pt idx="1104">
                  <c:v>41</c:v>
                </c:pt>
                <c:pt idx="1105">
                  <c:v>41</c:v>
                </c:pt>
                <c:pt idx="1106">
                  <c:v>41</c:v>
                </c:pt>
                <c:pt idx="1107">
                  <c:v>41</c:v>
                </c:pt>
                <c:pt idx="1108">
                  <c:v>41</c:v>
                </c:pt>
                <c:pt idx="1109">
                  <c:v>41</c:v>
                </c:pt>
                <c:pt idx="1110">
                  <c:v>41</c:v>
                </c:pt>
                <c:pt idx="1111">
                  <c:v>41</c:v>
                </c:pt>
                <c:pt idx="1112">
                  <c:v>41</c:v>
                </c:pt>
                <c:pt idx="1113">
                  <c:v>41</c:v>
                </c:pt>
                <c:pt idx="1114">
                  <c:v>41</c:v>
                </c:pt>
                <c:pt idx="1115">
                  <c:v>41</c:v>
                </c:pt>
                <c:pt idx="1116">
                  <c:v>41</c:v>
                </c:pt>
                <c:pt idx="1117">
                  <c:v>41</c:v>
                </c:pt>
                <c:pt idx="1118">
                  <c:v>41</c:v>
                </c:pt>
                <c:pt idx="1119">
                  <c:v>41</c:v>
                </c:pt>
                <c:pt idx="1120">
                  <c:v>41</c:v>
                </c:pt>
                <c:pt idx="1121">
                  <c:v>41</c:v>
                </c:pt>
                <c:pt idx="1122">
                  <c:v>41</c:v>
                </c:pt>
                <c:pt idx="1123">
                  <c:v>41</c:v>
                </c:pt>
                <c:pt idx="1124">
                  <c:v>41</c:v>
                </c:pt>
                <c:pt idx="1125">
                  <c:v>41</c:v>
                </c:pt>
                <c:pt idx="1126">
                  <c:v>42</c:v>
                </c:pt>
                <c:pt idx="1127">
                  <c:v>42</c:v>
                </c:pt>
                <c:pt idx="1128">
                  <c:v>42</c:v>
                </c:pt>
                <c:pt idx="1129">
                  <c:v>42</c:v>
                </c:pt>
                <c:pt idx="1130">
                  <c:v>42</c:v>
                </c:pt>
                <c:pt idx="1131">
                  <c:v>42</c:v>
                </c:pt>
                <c:pt idx="1132">
                  <c:v>42</c:v>
                </c:pt>
                <c:pt idx="1133">
                  <c:v>42</c:v>
                </c:pt>
                <c:pt idx="1134">
                  <c:v>42</c:v>
                </c:pt>
                <c:pt idx="1135">
                  <c:v>42</c:v>
                </c:pt>
                <c:pt idx="1136">
                  <c:v>42</c:v>
                </c:pt>
                <c:pt idx="1137">
                  <c:v>42</c:v>
                </c:pt>
                <c:pt idx="1138">
                  <c:v>42</c:v>
                </c:pt>
                <c:pt idx="1139">
                  <c:v>42</c:v>
                </c:pt>
                <c:pt idx="1140">
                  <c:v>42</c:v>
                </c:pt>
                <c:pt idx="1141">
                  <c:v>42</c:v>
                </c:pt>
                <c:pt idx="1142">
                  <c:v>42</c:v>
                </c:pt>
                <c:pt idx="1143">
                  <c:v>42</c:v>
                </c:pt>
                <c:pt idx="1144">
                  <c:v>42</c:v>
                </c:pt>
                <c:pt idx="1145">
                  <c:v>42</c:v>
                </c:pt>
                <c:pt idx="1146">
                  <c:v>42</c:v>
                </c:pt>
                <c:pt idx="1147">
                  <c:v>42</c:v>
                </c:pt>
                <c:pt idx="1148">
                  <c:v>42</c:v>
                </c:pt>
                <c:pt idx="1149">
                  <c:v>42</c:v>
                </c:pt>
                <c:pt idx="1150">
                  <c:v>42</c:v>
                </c:pt>
                <c:pt idx="1151">
                  <c:v>42</c:v>
                </c:pt>
                <c:pt idx="1152">
                  <c:v>42</c:v>
                </c:pt>
                <c:pt idx="1153">
                  <c:v>42</c:v>
                </c:pt>
                <c:pt idx="1154">
                  <c:v>42</c:v>
                </c:pt>
                <c:pt idx="1155">
                  <c:v>42</c:v>
                </c:pt>
                <c:pt idx="1156">
                  <c:v>42</c:v>
                </c:pt>
                <c:pt idx="1157">
                  <c:v>42</c:v>
                </c:pt>
                <c:pt idx="1158">
                  <c:v>42</c:v>
                </c:pt>
                <c:pt idx="1159">
                  <c:v>42</c:v>
                </c:pt>
                <c:pt idx="1160">
                  <c:v>42</c:v>
                </c:pt>
                <c:pt idx="1161">
                  <c:v>42</c:v>
                </c:pt>
                <c:pt idx="1162">
                  <c:v>42</c:v>
                </c:pt>
                <c:pt idx="1163">
                  <c:v>42</c:v>
                </c:pt>
                <c:pt idx="1164">
                  <c:v>42</c:v>
                </c:pt>
                <c:pt idx="1165">
                  <c:v>43</c:v>
                </c:pt>
                <c:pt idx="1166">
                  <c:v>43</c:v>
                </c:pt>
                <c:pt idx="1167">
                  <c:v>43</c:v>
                </c:pt>
                <c:pt idx="1168">
                  <c:v>43</c:v>
                </c:pt>
                <c:pt idx="1169">
                  <c:v>43</c:v>
                </c:pt>
                <c:pt idx="1170">
                  <c:v>43</c:v>
                </c:pt>
                <c:pt idx="1171">
                  <c:v>43</c:v>
                </c:pt>
                <c:pt idx="1172">
                  <c:v>43</c:v>
                </c:pt>
                <c:pt idx="1173">
                  <c:v>43</c:v>
                </c:pt>
                <c:pt idx="1174">
                  <c:v>43</c:v>
                </c:pt>
                <c:pt idx="1175">
                  <c:v>43</c:v>
                </c:pt>
                <c:pt idx="1176">
                  <c:v>43</c:v>
                </c:pt>
                <c:pt idx="1177">
                  <c:v>43</c:v>
                </c:pt>
                <c:pt idx="1178">
                  <c:v>43</c:v>
                </c:pt>
                <c:pt idx="1179">
                  <c:v>43</c:v>
                </c:pt>
                <c:pt idx="1180">
                  <c:v>43</c:v>
                </c:pt>
                <c:pt idx="1181">
                  <c:v>43</c:v>
                </c:pt>
                <c:pt idx="1182">
                  <c:v>43</c:v>
                </c:pt>
                <c:pt idx="1183">
                  <c:v>43</c:v>
                </c:pt>
                <c:pt idx="1184">
                  <c:v>43</c:v>
                </c:pt>
                <c:pt idx="1185">
                  <c:v>43</c:v>
                </c:pt>
                <c:pt idx="1186">
                  <c:v>43</c:v>
                </c:pt>
                <c:pt idx="1187">
                  <c:v>43</c:v>
                </c:pt>
                <c:pt idx="1188">
                  <c:v>43</c:v>
                </c:pt>
                <c:pt idx="1189">
                  <c:v>43</c:v>
                </c:pt>
                <c:pt idx="1190">
                  <c:v>43</c:v>
                </c:pt>
                <c:pt idx="1191">
                  <c:v>43</c:v>
                </c:pt>
                <c:pt idx="1192">
                  <c:v>43</c:v>
                </c:pt>
                <c:pt idx="1193">
                  <c:v>43</c:v>
                </c:pt>
                <c:pt idx="1194">
                  <c:v>43</c:v>
                </c:pt>
                <c:pt idx="1195">
                  <c:v>43</c:v>
                </c:pt>
                <c:pt idx="1196">
                  <c:v>43</c:v>
                </c:pt>
                <c:pt idx="1197">
                  <c:v>43</c:v>
                </c:pt>
                <c:pt idx="1198">
                  <c:v>43</c:v>
                </c:pt>
                <c:pt idx="1199">
                  <c:v>43</c:v>
                </c:pt>
                <c:pt idx="1200">
                  <c:v>43</c:v>
                </c:pt>
                <c:pt idx="1201">
                  <c:v>43</c:v>
                </c:pt>
                <c:pt idx="1202">
                  <c:v>43</c:v>
                </c:pt>
                <c:pt idx="1203">
                  <c:v>44</c:v>
                </c:pt>
                <c:pt idx="1204">
                  <c:v>44</c:v>
                </c:pt>
                <c:pt idx="1205">
                  <c:v>44</c:v>
                </c:pt>
                <c:pt idx="1206">
                  <c:v>44</c:v>
                </c:pt>
                <c:pt idx="1207">
                  <c:v>44</c:v>
                </c:pt>
                <c:pt idx="1208">
                  <c:v>44</c:v>
                </c:pt>
                <c:pt idx="1209">
                  <c:v>44</c:v>
                </c:pt>
                <c:pt idx="1210">
                  <c:v>44</c:v>
                </c:pt>
                <c:pt idx="1211">
                  <c:v>44</c:v>
                </c:pt>
                <c:pt idx="1212">
                  <c:v>44</c:v>
                </c:pt>
                <c:pt idx="1213">
                  <c:v>44</c:v>
                </c:pt>
                <c:pt idx="1214">
                  <c:v>44</c:v>
                </c:pt>
                <c:pt idx="1215">
                  <c:v>44</c:v>
                </c:pt>
                <c:pt idx="1216">
                  <c:v>44</c:v>
                </c:pt>
                <c:pt idx="1217">
                  <c:v>44</c:v>
                </c:pt>
                <c:pt idx="1218">
                  <c:v>44</c:v>
                </c:pt>
                <c:pt idx="1219">
                  <c:v>44</c:v>
                </c:pt>
                <c:pt idx="1220">
                  <c:v>44</c:v>
                </c:pt>
                <c:pt idx="1221">
                  <c:v>44</c:v>
                </c:pt>
                <c:pt idx="1222">
                  <c:v>44</c:v>
                </c:pt>
                <c:pt idx="1223">
                  <c:v>44</c:v>
                </c:pt>
                <c:pt idx="1224">
                  <c:v>44</c:v>
                </c:pt>
                <c:pt idx="1225">
                  <c:v>44</c:v>
                </c:pt>
                <c:pt idx="1226">
                  <c:v>44</c:v>
                </c:pt>
                <c:pt idx="1227">
                  <c:v>44</c:v>
                </c:pt>
                <c:pt idx="1228">
                  <c:v>44</c:v>
                </c:pt>
                <c:pt idx="1229">
                  <c:v>44</c:v>
                </c:pt>
                <c:pt idx="1230">
                  <c:v>44</c:v>
                </c:pt>
                <c:pt idx="1231">
                  <c:v>44</c:v>
                </c:pt>
                <c:pt idx="1232">
                  <c:v>44</c:v>
                </c:pt>
                <c:pt idx="1233">
                  <c:v>44</c:v>
                </c:pt>
                <c:pt idx="1234">
                  <c:v>44</c:v>
                </c:pt>
                <c:pt idx="1235">
                  <c:v>44</c:v>
                </c:pt>
                <c:pt idx="1236">
                  <c:v>44</c:v>
                </c:pt>
                <c:pt idx="1237">
                  <c:v>44</c:v>
                </c:pt>
                <c:pt idx="1238">
                  <c:v>44</c:v>
                </c:pt>
                <c:pt idx="1239">
                  <c:v>44</c:v>
                </c:pt>
                <c:pt idx="1240">
                  <c:v>45</c:v>
                </c:pt>
                <c:pt idx="1241">
                  <c:v>45</c:v>
                </c:pt>
                <c:pt idx="1242">
                  <c:v>45</c:v>
                </c:pt>
                <c:pt idx="1243">
                  <c:v>45</c:v>
                </c:pt>
                <c:pt idx="1244">
                  <c:v>45</c:v>
                </c:pt>
                <c:pt idx="1245">
                  <c:v>45</c:v>
                </c:pt>
                <c:pt idx="1246">
                  <c:v>45</c:v>
                </c:pt>
                <c:pt idx="1247">
                  <c:v>45</c:v>
                </c:pt>
                <c:pt idx="1248">
                  <c:v>45</c:v>
                </c:pt>
                <c:pt idx="1249">
                  <c:v>45</c:v>
                </c:pt>
                <c:pt idx="1250">
                  <c:v>45</c:v>
                </c:pt>
                <c:pt idx="1251">
                  <c:v>45</c:v>
                </c:pt>
                <c:pt idx="1252">
                  <c:v>45</c:v>
                </c:pt>
                <c:pt idx="1253">
                  <c:v>45</c:v>
                </c:pt>
                <c:pt idx="1254">
                  <c:v>45</c:v>
                </c:pt>
                <c:pt idx="1255">
                  <c:v>45</c:v>
                </c:pt>
                <c:pt idx="1256">
                  <c:v>45</c:v>
                </c:pt>
                <c:pt idx="1257">
                  <c:v>45</c:v>
                </c:pt>
                <c:pt idx="1258">
                  <c:v>45</c:v>
                </c:pt>
                <c:pt idx="1259">
                  <c:v>45</c:v>
                </c:pt>
                <c:pt idx="1260">
                  <c:v>45</c:v>
                </c:pt>
                <c:pt idx="1261">
                  <c:v>45</c:v>
                </c:pt>
                <c:pt idx="1262">
                  <c:v>45</c:v>
                </c:pt>
                <c:pt idx="1263">
                  <c:v>45</c:v>
                </c:pt>
                <c:pt idx="1264">
                  <c:v>45</c:v>
                </c:pt>
                <c:pt idx="1265">
                  <c:v>45</c:v>
                </c:pt>
                <c:pt idx="1266">
                  <c:v>45</c:v>
                </c:pt>
                <c:pt idx="1267">
                  <c:v>45</c:v>
                </c:pt>
                <c:pt idx="1268">
                  <c:v>45</c:v>
                </c:pt>
                <c:pt idx="1269">
                  <c:v>45</c:v>
                </c:pt>
                <c:pt idx="1270">
                  <c:v>45</c:v>
                </c:pt>
                <c:pt idx="1271">
                  <c:v>45</c:v>
                </c:pt>
                <c:pt idx="1272">
                  <c:v>45</c:v>
                </c:pt>
                <c:pt idx="1273">
                  <c:v>45</c:v>
                </c:pt>
                <c:pt idx="1274">
                  <c:v>45</c:v>
                </c:pt>
                <c:pt idx="1275">
                  <c:v>45</c:v>
                </c:pt>
                <c:pt idx="1276">
                  <c:v>46</c:v>
                </c:pt>
                <c:pt idx="1277">
                  <c:v>46</c:v>
                </c:pt>
                <c:pt idx="1278">
                  <c:v>46</c:v>
                </c:pt>
                <c:pt idx="1279">
                  <c:v>46</c:v>
                </c:pt>
                <c:pt idx="1280">
                  <c:v>46</c:v>
                </c:pt>
                <c:pt idx="1281">
                  <c:v>46</c:v>
                </c:pt>
                <c:pt idx="1282">
                  <c:v>46</c:v>
                </c:pt>
                <c:pt idx="1283">
                  <c:v>46</c:v>
                </c:pt>
                <c:pt idx="1284">
                  <c:v>46</c:v>
                </c:pt>
                <c:pt idx="1285">
                  <c:v>46</c:v>
                </c:pt>
                <c:pt idx="1286">
                  <c:v>46</c:v>
                </c:pt>
                <c:pt idx="1287">
                  <c:v>46</c:v>
                </c:pt>
                <c:pt idx="1288">
                  <c:v>46</c:v>
                </c:pt>
                <c:pt idx="1289">
                  <c:v>46</c:v>
                </c:pt>
                <c:pt idx="1290">
                  <c:v>46</c:v>
                </c:pt>
                <c:pt idx="1291">
                  <c:v>46</c:v>
                </c:pt>
                <c:pt idx="1292">
                  <c:v>46</c:v>
                </c:pt>
                <c:pt idx="1293">
                  <c:v>46</c:v>
                </c:pt>
                <c:pt idx="1294">
                  <c:v>46</c:v>
                </c:pt>
                <c:pt idx="1295">
                  <c:v>46</c:v>
                </c:pt>
                <c:pt idx="1296">
                  <c:v>46</c:v>
                </c:pt>
                <c:pt idx="1297">
                  <c:v>46</c:v>
                </c:pt>
                <c:pt idx="1298">
                  <c:v>46</c:v>
                </c:pt>
                <c:pt idx="1299">
                  <c:v>46</c:v>
                </c:pt>
                <c:pt idx="1300">
                  <c:v>46</c:v>
                </c:pt>
                <c:pt idx="1301">
                  <c:v>46</c:v>
                </c:pt>
                <c:pt idx="1302">
                  <c:v>46</c:v>
                </c:pt>
                <c:pt idx="1303">
                  <c:v>46</c:v>
                </c:pt>
                <c:pt idx="1304">
                  <c:v>46</c:v>
                </c:pt>
                <c:pt idx="1305">
                  <c:v>46</c:v>
                </c:pt>
                <c:pt idx="1306">
                  <c:v>46</c:v>
                </c:pt>
                <c:pt idx="1307">
                  <c:v>46</c:v>
                </c:pt>
                <c:pt idx="1308">
                  <c:v>46</c:v>
                </c:pt>
                <c:pt idx="1309">
                  <c:v>46</c:v>
                </c:pt>
                <c:pt idx="1310">
                  <c:v>46</c:v>
                </c:pt>
                <c:pt idx="1311">
                  <c:v>47</c:v>
                </c:pt>
                <c:pt idx="1312">
                  <c:v>47</c:v>
                </c:pt>
                <c:pt idx="1313">
                  <c:v>47</c:v>
                </c:pt>
                <c:pt idx="1314">
                  <c:v>47</c:v>
                </c:pt>
                <c:pt idx="1315">
                  <c:v>47</c:v>
                </c:pt>
                <c:pt idx="1316">
                  <c:v>47</c:v>
                </c:pt>
                <c:pt idx="1317">
                  <c:v>47</c:v>
                </c:pt>
                <c:pt idx="1318">
                  <c:v>47</c:v>
                </c:pt>
                <c:pt idx="1319">
                  <c:v>47</c:v>
                </c:pt>
                <c:pt idx="1320">
                  <c:v>47</c:v>
                </c:pt>
                <c:pt idx="1321">
                  <c:v>47</c:v>
                </c:pt>
                <c:pt idx="1322">
                  <c:v>47</c:v>
                </c:pt>
                <c:pt idx="1323">
                  <c:v>47</c:v>
                </c:pt>
                <c:pt idx="1324">
                  <c:v>47</c:v>
                </c:pt>
                <c:pt idx="1325">
                  <c:v>47</c:v>
                </c:pt>
                <c:pt idx="1326">
                  <c:v>47</c:v>
                </c:pt>
                <c:pt idx="1327">
                  <c:v>47</c:v>
                </c:pt>
                <c:pt idx="1328">
                  <c:v>47</c:v>
                </c:pt>
                <c:pt idx="1329">
                  <c:v>47</c:v>
                </c:pt>
                <c:pt idx="1330">
                  <c:v>47</c:v>
                </c:pt>
                <c:pt idx="1331">
                  <c:v>47</c:v>
                </c:pt>
                <c:pt idx="1332">
                  <c:v>47</c:v>
                </c:pt>
                <c:pt idx="1333">
                  <c:v>47</c:v>
                </c:pt>
                <c:pt idx="1334">
                  <c:v>47</c:v>
                </c:pt>
                <c:pt idx="1335">
                  <c:v>47</c:v>
                </c:pt>
                <c:pt idx="1336">
                  <c:v>47</c:v>
                </c:pt>
                <c:pt idx="1337">
                  <c:v>47</c:v>
                </c:pt>
                <c:pt idx="1338">
                  <c:v>47</c:v>
                </c:pt>
                <c:pt idx="1339">
                  <c:v>47</c:v>
                </c:pt>
                <c:pt idx="1340">
                  <c:v>47</c:v>
                </c:pt>
                <c:pt idx="1341">
                  <c:v>47</c:v>
                </c:pt>
                <c:pt idx="1342">
                  <c:v>47</c:v>
                </c:pt>
                <c:pt idx="1343">
                  <c:v>47</c:v>
                </c:pt>
                <c:pt idx="1344">
                  <c:v>47</c:v>
                </c:pt>
                <c:pt idx="1345">
                  <c:v>48</c:v>
                </c:pt>
                <c:pt idx="1346">
                  <c:v>48</c:v>
                </c:pt>
                <c:pt idx="1347">
                  <c:v>48</c:v>
                </c:pt>
                <c:pt idx="1348">
                  <c:v>48</c:v>
                </c:pt>
                <c:pt idx="1349">
                  <c:v>48</c:v>
                </c:pt>
                <c:pt idx="1350">
                  <c:v>48</c:v>
                </c:pt>
                <c:pt idx="1351">
                  <c:v>48</c:v>
                </c:pt>
                <c:pt idx="1352">
                  <c:v>48</c:v>
                </c:pt>
                <c:pt idx="1353">
                  <c:v>48</c:v>
                </c:pt>
                <c:pt idx="1354">
                  <c:v>48</c:v>
                </c:pt>
                <c:pt idx="1355">
                  <c:v>48</c:v>
                </c:pt>
                <c:pt idx="1356">
                  <c:v>48</c:v>
                </c:pt>
                <c:pt idx="1357">
                  <c:v>48</c:v>
                </c:pt>
                <c:pt idx="1358">
                  <c:v>48</c:v>
                </c:pt>
                <c:pt idx="1359">
                  <c:v>48</c:v>
                </c:pt>
                <c:pt idx="1360">
                  <c:v>48</c:v>
                </c:pt>
                <c:pt idx="1361">
                  <c:v>48</c:v>
                </c:pt>
                <c:pt idx="1362">
                  <c:v>48</c:v>
                </c:pt>
                <c:pt idx="1363">
                  <c:v>48</c:v>
                </c:pt>
                <c:pt idx="1364">
                  <c:v>48</c:v>
                </c:pt>
                <c:pt idx="1365">
                  <c:v>48</c:v>
                </c:pt>
                <c:pt idx="1366">
                  <c:v>48</c:v>
                </c:pt>
                <c:pt idx="1367">
                  <c:v>48</c:v>
                </c:pt>
                <c:pt idx="1368">
                  <c:v>48</c:v>
                </c:pt>
                <c:pt idx="1369">
                  <c:v>48</c:v>
                </c:pt>
                <c:pt idx="1370">
                  <c:v>48</c:v>
                </c:pt>
                <c:pt idx="1371">
                  <c:v>48</c:v>
                </c:pt>
                <c:pt idx="1372">
                  <c:v>48</c:v>
                </c:pt>
                <c:pt idx="1373">
                  <c:v>48</c:v>
                </c:pt>
                <c:pt idx="1374">
                  <c:v>48</c:v>
                </c:pt>
                <c:pt idx="1375">
                  <c:v>48</c:v>
                </c:pt>
                <c:pt idx="1376">
                  <c:v>48</c:v>
                </c:pt>
                <c:pt idx="1377">
                  <c:v>48</c:v>
                </c:pt>
                <c:pt idx="1378">
                  <c:v>49</c:v>
                </c:pt>
                <c:pt idx="1379">
                  <c:v>49</c:v>
                </c:pt>
                <c:pt idx="1380">
                  <c:v>49</c:v>
                </c:pt>
                <c:pt idx="1381">
                  <c:v>49</c:v>
                </c:pt>
                <c:pt idx="1382">
                  <c:v>49</c:v>
                </c:pt>
                <c:pt idx="1383">
                  <c:v>49</c:v>
                </c:pt>
                <c:pt idx="1384">
                  <c:v>49</c:v>
                </c:pt>
                <c:pt idx="1385">
                  <c:v>49</c:v>
                </c:pt>
                <c:pt idx="1386">
                  <c:v>49</c:v>
                </c:pt>
                <c:pt idx="1387">
                  <c:v>49</c:v>
                </c:pt>
                <c:pt idx="1388">
                  <c:v>49</c:v>
                </c:pt>
                <c:pt idx="1389">
                  <c:v>49</c:v>
                </c:pt>
                <c:pt idx="1390">
                  <c:v>49</c:v>
                </c:pt>
                <c:pt idx="1391">
                  <c:v>49</c:v>
                </c:pt>
                <c:pt idx="1392">
                  <c:v>49</c:v>
                </c:pt>
                <c:pt idx="1393">
                  <c:v>49</c:v>
                </c:pt>
                <c:pt idx="1394">
                  <c:v>49</c:v>
                </c:pt>
                <c:pt idx="1395">
                  <c:v>49</c:v>
                </c:pt>
                <c:pt idx="1396">
                  <c:v>49</c:v>
                </c:pt>
                <c:pt idx="1397">
                  <c:v>49</c:v>
                </c:pt>
                <c:pt idx="1398">
                  <c:v>49</c:v>
                </c:pt>
                <c:pt idx="1399">
                  <c:v>49</c:v>
                </c:pt>
                <c:pt idx="1400">
                  <c:v>49</c:v>
                </c:pt>
                <c:pt idx="1401">
                  <c:v>49</c:v>
                </c:pt>
                <c:pt idx="1402">
                  <c:v>49</c:v>
                </c:pt>
                <c:pt idx="1403">
                  <c:v>49</c:v>
                </c:pt>
                <c:pt idx="1404">
                  <c:v>49</c:v>
                </c:pt>
                <c:pt idx="1405">
                  <c:v>49</c:v>
                </c:pt>
                <c:pt idx="1406">
                  <c:v>49</c:v>
                </c:pt>
                <c:pt idx="1407">
                  <c:v>49</c:v>
                </c:pt>
                <c:pt idx="1408">
                  <c:v>49</c:v>
                </c:pt>
                <c:pt idx="1409">
                  <c:v>49</c:v>
                </c:pt>
                <c:pt idx="1410">
                  <c:v>50</c:v>
                </c:pt>
                <c:pt idx="1411">
                  <c:v>50</c:v>
                </c:pt>
                <c:pt idx="1412">
                  <c:v>50</c:v>
                </c:pt>
                <c:pt idx="1413">
                  <c:v>50</c:v>
                </c:pt>
                <c:pt idx="1414">
                  <c:v>50</c:v>
                </c:pt>
                <c:pt idx="1415">
                  <c:v>50</c:v>
                </c:pt>
                <c:pt idx="1416">
                  <c:v>50</c:v>
                </c:pt>
                <c:pt idx="1417">
                  <c:v>50</c:v>
                </c:pt>
                <c:pt idx="1418">
                  <c:v>50</c:v>
                </c:pt>
                <c:pt idx="1419">
                  <c:v>50</c:v>
                </c:pt>
                <c:pt idx="1420">
                  <c:v>50</c:v>
                </c:pt>
                <c:pt idx="1421">
                  <c:v>50</c:v>
                </c:pt>
                <c:pt idx="1422">
                  <c:v>50</c:v>
                </c:pt>
                <c:pt idx="1423">
                  <c:v>50</c:v>
                </c:pt>
                <c:pt idx="1424">
                  <c:v>50</c:v>
                </c:pt>
                <c:pt idx="1425">
                  <c:v>50</c:v>
                </c:pt>
                <c:pt idx="1426">
                  <c:v>50</c:v>
                </c:pt>
                <c:pt idx="1427">
                  <c:v>50</c:v>
                </c:pt>
                <c:pt idx="1428">
                  <c:v>50</c:v>
                </c:pt>
                <c:pt idx="1429">
                  <c:v>50</c:v>
                </c:pt>
                <c:pt idx="1430">
                  <c:v>50</c:v>
                </c:pt>
                <c:pt idx="1431">
                  <c:v>50</c:v>
                </c:pt>
                <c:pt idx="1432">
                  <c:v>50</c:v>
                </c:pt>
                <c:pt idx="1433">
                  <c:v>50</c:v>
                </c:pt>
                <c:pt idx="1434">
                  <c:v>50</c:v>
                </c:pt>
                <c:pt idx="1435">
                  <c:v>50</c:v>
                </c:pt>
                <c:pt idx="1436">
                  <c:v>50</c:v>
                </c:pt>
                <c:pt idx="1437">
                  <c:v>50</c:v>
                </c:pt>
                <c:pt idx="1438">
                  <c:v>50</c:v>
                </c:pt>
                <c:pt idx="1439">
                  <c:v>50</c:v>
                </c:pt>
                <c:pt idx="1440">
                  <c:v>50</c:v>
                </c:pt>
                <c:pt idx="1441">
                  <c:v>51</c:v>
                </c:pt>
                <c:pt idx="1442">
                  <c:v>51</c:v>
                </c:pt>
                <c:pt idx="1443">
                  <c:v>51</c:v>
                </c:pt>
                <c:pt idx="1444">
                  <c:v>51</c:v>
                </c:pt>
                <c:pt idx="1445">
                  <c:v>51</c:v>
                </c:pt>
                <c:pt idx="1446">
                  <c:v>51</c:v>
                </c:pt>
                <c:pt idx="1447">
                  <c:v>51</c:v>
                </c:pt>
                <c:pt idx="1448">
                  <c:v>51</c:v>
                </c:pt>
                <c:pt idx="1449">
                  <c:v>51</c:v>
                </c:pt>
                <c:pt idx="1450">
                  <c:v>51</c:v>
                </c:pt>
                <c:pt idx="1451">
                  <c:v>51</c:v>
                </c:pt>
                <c:pt idx="1452">
                  <c:v>51</c:v>
                </c:pt>
                <c:pt idx="1453">
                  <c:v>51</c:v>
                </c:pt>
                <c:pt idx="1454">
                  <c:v>51</c:v>
                </c:pt>
                <c:pt idx="1455">
                  <c:v>51</c:v>
                </c:pt>
                <c:pt idx="1456">
                  <c:v>51</c:v>
                </c:pt>
                <c:pt idx="1457">
                  <c:v>51</c:v>
                </c:pt>
                <c:pt idx="1458">
                  <c:v>51</c:v>
                </c:pt>
                <c:pt idx="1459">
                  <c:v>51</c:v>
                </c:pt>
                <c:pt idx="1460">
                  <c:v>51</c:v>
                </c:pt>
                <c:pt idx="1461">
                  <c:v>51</c:v>
                </c:pt>
                <c:pt idx="1462">
                  <c:v>51</c:v>
                </c:pt>
                <c:pt idx="1463">
                  <c:v>51</c:v>
                </c:pt>
                <c:pt idx="1464">
                  <c:v>51</c:v>
                </c:pt>
                <c:pt idx="1465">
                  <c:v>51</c:v>
                </c:pt>
                <c:pt idx="1466">
                  <c:v>51</c:v>
                </c:pt>
                <c:pt idx="1467">
                  <c:v>51</c:v>
                </c:pt>
                <c:pt idx="1468">
                  <c:v>51</c:v>
                </c:pt>
                <c:pt idx="1469">
                  <c:v>51</c:v>
                </c:pt>
                <c:pt idx="1470">
                  <c:v>51</c:v>
                </c:pt>
                <c:pt idx="1471">
                  <c:v>52</c:v>
                </c:pt>
                <c:pt idx="1472">
                  <c:v>52</c:v>
                </c:pt>
                <c:pt idx="1473">
                  <c:v>52</c:v>
                </c:pt>
                <c:pt idx="1474">
                  <c:v>52</c:v>
                </c:pt>
                <c:pt idx="1475">
                  <c:v>52</c:v>
                </c:pt>
                <c:pt idx="1476">
                  <c:v>52</c:v>
                </c:pt>
                <c:pt idx="1477">
                  <c:v>52</c:v>
                </c:pt>
                <c:pt idx="1478">
                  <c:v>52</c:v>
                </c:pt>
                <c:pt idx="1479">
                  <c:v>52</c:v>
                </c:pt>
                <c:pt idx="1480">
                  <c:v>52</c:v>
                </c:pt>
                <c:pt idx="1481">
                  <c:v>52</c:v>
                </c:pt>
                <c:pt idx="1482">
                  <c:v>52</c:v>
                </c:pt>
                <c:pt idx="1483">
                  <c:v>52</c:v>
                </c:pt>
                <c:pt idx="1484">
                  <c:v>52</c:v>
                </c:pt>
                <c:pt idx="1485">
                  <c:v>52</c:v>
                </c:pt>
                <c:pt idx="1486">
                  <c:v>52</c:v>
                </c:pt>
                <c:pt idx="1487">
                  <c:v>52</c:v>
                </c:pt>
                <c:pt idx="1488">
                  <c:v>52</c:v>
                </c:pt>
                <c:pt idx="1489">
                  <c:v>52</c:v>
                </c:pt>
                <c:pt idx="1490">
                  <c:v>52</c:v>
                </c:pt>
                <c:pt idx="1491">
                  <c:v>52</c:v>
                </c:pt>
                <c:pt idx="1492">
                  <c:v>52</c:v>
                </c:pt>
                <c:pt idx="1493">
                  <c:v>52</c:v>
                </c:pt>
                <c:pt idx="1494">
                  <c:v>52</c:v>
                </c:pt>
                <c:pt idx="1495">
                  <c:v>52</c:v>
                </c:pt>
                <c:pt idx="1496">
                  <c:v>52</c:v>
                </c:pt>
                <c:pt idx="1497">
                  <c:v>52</c:v>
                </c:pt>
                <c:pt idx="1498">
                  <c:v>52</c:v>
                </c:pt>
                <c:pt idx="1499">
                  <c:v>52</c:v>
                </c:pt>
                <c:pt idx="1500">
                  <c:v>53</c:v>
                </c:pt>
                <c:pt idx="1501">
                  <c:v>53</c:v>
                </c:pt>
                <c:pt idx="1502">
                  <c:v>53</c:v>
                </c:pt>
                <c:pt idx="1503">
                  <c:v>53</c:v>
                </c:pt>
                <c:pt idx="1504">
                  <c:v>53</c:v>
                </c:pt>
                <c:pt idx="1505">
                  <c:v>53</c:v>
                </c:pt>
                <c:pt idx="1506">
                  <c:v>53</c:v>
                </c:pt>
                <c:pt idx="1507">
                  <c:v>53</c:v>
                </c:pt>
                <c:pt idx="1508">
                  <c:v>53</c:v>
                </c:pt>
                <c:pt idx="1509">
                  <c:v>53</c:v>
                </c:pt>
                <c:pt idx="1510">
                  <c:v>53</c:v>
                </c:pt>
                <c:pt idx="1511">
                  <c:v>53</c:v>
                </c:pt>
                <c:pt idx="1512">
                  <c:v>53</c:v>
                </c:pt>
                <c:pt idx="1513">
                  <c:v>53</c:v>
                </c:pt>
                <c:pt idx="1514">
                  <c:v>53</c:v>
                </c:pt>
                <c:pt idx="1515">
                  <c:v>53</c:v>
                </c:pt>
                <c:pt idx="1516">
                  <c:v>53</c:v>
                </c:pt>
                <c:pt idx="1517">
                  <c:v>53</c:v>
                </c:pt>
                <c:pt idx="1518">
                  <c:v>53</c:v>
                </c:pt>
                <c:pt idx="1519">
                  <c:v>53</c:v>
                </c:pt>
                <c:pt idx="1520">
                  <c:v>53</c:v>
                </c:pt>
                <c:pt idx="1521">
                  <c:v>53</c:v>
                </c:pt>
                <c:pt idx="1522">
                  <c:v>53</c:v>
                </c:pt>
                <c:pt idx="1523">
                  <c:v>53</c:v>
                </c:pt>
                <c:pt idx="1524">
                  <c:v>53</c:v>
                </c:pt>
                <c:pt idx="1525">
                  <c:v>53</c:v>
                </c:pt>
                <c:pt idx="1526">
                  <c:v>53</c:v>
                </c:pt>
                <c:pt idx="1527">
                  <c:v>53</c:v>
                </c:pt>
                <c:pt idx="1528">
                  <c:v>54</c:v>
                </c:pt>
                <c:pt idx="1529">
                  <c:v>54</c:v>
                </c:pt>
                <c:pt idx="1530">
                  <c:v>54</c:v>
                </c:pt>
                <c:pt idx="1531">
                  <c:v>54</c:v>
                </c:pt>
                <c:pt idx="1532">
                  <c:v>54</c:v>
                </c:pt>
                <c:pt idx="1533">
                  <c:v>54</c:v>
                </c:pt>
                <c:pt idx="1534">
                  <c:v>54</c:v>
                </c:pt>
                <c:pt idx="1535">
                  <c:v>54</c:v>
                </c:pt>
                <c:pt idx="1536">
                  <c:v>54</c:v>
                </c:pt>
                <c:pt idx="1537">
                  <c:v>54</c:v>
                </c:pt>
                <c:pt idx="1538">
                  <c:v>54</c:v>
                </c:pt>
                <c:pt idx="1539">
                  <c:v>54</c:v>
                </c:pt>
                <c:pt idx="1540">
                  <c:v>54</c:v>
                </c:pt>
                <c:pt idx="1541">
                  <c:v>54</c:v>
                </c:pt>
                <c:pt idx="1542">
                  <c:v>54</c:v>
                </c:pt>
                <c:pt idx="1543">
                  <c:v>54</c:v>
                </c:pt>
                <c:pt idx="1544">
                  <c:v>54</c:v>
                </c:pt>
                <c:pt idx="1545">
                  <c:v>54</c:v>
                </c:pt>
                <c:pt idx="1546">
                  <c:v>54</c:v>
                </c:pt>
                <c:pt idx="1547">
                  <c:v>54</c:v>
                </c:pt>
                <c:pt idx="1548">
                  <c:v>54</c:v>
                </c:pt>
                <c:pt idx="1549">
                  <c:v>54</c:v>
                </c:pt>
                <c:pt idx="1550">
                  <c:v>54</c:v>
                </c:pt>
                <c:pt idx="1551">
                  <c:v>54</c:v>
                </c:pt>
                <c:pt idx="1552">
                  <c:v>54</c:v>
                </c:pt>
                <c:pt idx="1553">
                  <c:v>54</c:v>
                </c:pt>
                <c:pt idx="1554">
                  <c:v>54</c:v>
                </c:pt>
                <c:pt idx="1555">
                  <c:v>55</c:v>
                </c:pt>
                <c:pt idx="1556">
                  <c:v>55</c:v>
                </c:pt>
                <c:pt idx="1557">
                  <c:v>55</c:v>
                </c:pt>
                <c:pt idx="1558">
                  <c:v>55</c:v>
                </c:pt>
                <c:pt idx="1559">
                  <c:v>55</c:v>
                </c:pt>
                <c:pt idx="1560">
                  <c:v>55</c:v>
                </c:pt>
                <c:pt idx="1561">
                  <c:v>55</c:v>
                </c:pt>
                <c:pt idx="1562">
                  <c:v>55</c:v>
                </c:pt>
                <c:pt idx="1563">
                  <c:v>55</c:v>
                </c:pt>
                <c:pt idx="1564">
                  <c:v>55</c:v>
                </c:pt>
                <c:pt idx="1565">
                  <c:v>55</c:v>
                </c:pt>
                <c:pt idx="1566">
                  <c:v>55</c:v>
                </c:pt>
                <c:pt idx="1567">
                  <c:v>55</c:v>
                </c:pt>
                <c:pt idx="1568">
                  <c:v>55</c:v>
                </c:pt>
                <c:pt idx="1569">
                  <c:v>55</c:v>
                </c:pt>
                <c:pt idx="1570">
                  <c:v>55</c:v>
                </c:pt>
                <c:pt idx="1571">
                  <c:v>55</c:v>
                </c:pt>
                <c:pt idx="1572">
                  <c:v>55</c:v>
                </c:pt>
                <c:pt idx="1573">
                  <c:v>55</c:v>
                </c:pt>
                <c:pt idx="1574">
                  <c:v>55</c:v>
                </c:pt>
                <c:pt idx="1575">
                  <c:v>55</c:v>
                </c:pt>
                <c:pt idx="1576">
                  <c:v>55</c:v>
                </c:pt>
                <c:pt idx="1577">
                  <c:v>55</c:v>
                </c:pt>
                <c:pt idx="1578">
                  <c:v>55</c:v>
                </c:pt>
                <c:pt idx="1579">
                  <c:v>55</c:v>
                </c:pt>
                <c:pt idx="1580">
                  <c:v>55</c:v>
                </c:pt>
                <c:pt idx="1581">
                  <c:v>1000</c:v>
                </c:pt>
              </c:numCache>
            </c:numRef>
          </c:xVal>
          <c:yVal>
            <c:numRef>
              <c:f>卡片数值分配统计!$AA$3:$AA$1584</c:f>
              <c:numCache>
                <c:formatCode>General</c:formatCode>
                <c:ptCount val="1582"/>
                <c:pt idx="0">
                  <c:v>35</c:v>
                </c:pt>
                <c:pt idx="1">
                  <c:v>36</c:v>
                </c:pt>
                <c:pt idx="2">
                  <c:v>37</c:v>
                </c:pt>
                <c:pt idx="3">
                  <c:v>38</c:v>
                </c:pt>
                <c:pt idx="4">
                  <c:v>39</c:v>
                </c:pt>
                <c:pt idx="5">
                  <c:v>40</c:v>
                </c:pt>
                <c:pt idx="6">
                  <c:v>41</c:v>
                </c:pt>
                <c:pt idx="7">
                  <c:v>42</c:v>
                </c:pt>
                <c:pt idx="8">
                  <c:v>43</c:v>
                </c:pt>
                <c:pt idx="9">
                  <c:v>44</c:v>
                </c:pt>
                <c:pt idx="10">
                  <c:v>45</c:v>
                </c:pt>
                <c:pt idx="11">
                  <c:v>46</c:v>
                </c:pt>
                <c:pt idx="12">
                  <c:v>47</c:v>
                </c:pt>
                <c:pt idx="13">
                  <c:v>48</c:v>
                </c:pt>
                <c:pt idx="14">
                  <c:v>49</c:v>
                </c:pt>
                <c:pt idx="15">
                  <c:v>50</c:v>
                </c:pt>
                <c:pt idx="16">
                  <c:v>51</c:v>
                </c:pt>
                <c:pt idx="17">
                  <c:v>52</c:v>
                </c:pt>
                <c:pt idx="18">
                  <c:v>53</c:v>
                </c:pt>
                <c:pt idx="19">
                  <c:v>54</c:v>
                </c:pt>
                <c:pt idx="20">
                  <c:v>55</c:v>
                </c:pt>
                <c:pt idx="21">
                  <c:v>34</c:v>
                </c:pt>
                <c:pt idx="22">
                  <c:v>35</c:v>
                </c:pt>
                <c:pt idx="23">
                  <c:v>36</c:v>
                </c:pt>
                <c:pt idx="24">
                  <c:v>37</c:v>
                </c:pt>
                <c:pt idx="25">
                  <c:v>38</c:v>
                </c:pt>
                <c:pt idx="26">
                  <c:v>39</c:v>
                </c:pt>
                <c:pt idx="27">
                  <c:v>40</c:v>
                </c:pt>
                <c:pt idx="28">
                  <c:v>41</c:v>
                </c:pt>
                <c:pt idx="29">
                  <c:v>42</c:v>
                </c:pt>
                <c:pt idx="30">
                  <c:v>43</c:v>
                </c:pt>
                <c:pt idx="31">
                  <c:v>44</c:v>
                </c:pt>
                <c:pt idx="32">
                  <c:v>45</c:v>
                </c:pt>
                <c:pt idx="33">
                  <c:v>46</c:v>
                </c:pt>
                <c:pt idx="34">
                  <c:v>47</c:v>
                </c:pt>
                <c:pt idx="35">
                  <c:v>48</c:v>
                </c:pt>
                <c:pt idx="36">
                  <c:v>49</c:v>
                </c:pt>
                <c:pt idx="37">
                  <c:v>50</c:v>
                </c:pt>
                <c:pt idx="38">
                  <c:v>51</c:v>
                </c:pt>
                <c:pt idx="39">
                  <c:v>52</c:v>
                </c:pt>
                <c:pt idx="40">
                  <c:v>53</c:v>
                </c:pt>
                <c:pt idx="41">
                  <c:v>54</c:v>
                </c:pt>
                <c:pt idx="42">
                  <c:v>55</c:v>
                </c:pt>
                <c:pt idx="43">
                  <c:v>33</c:v>
                </c:pt>
                <c:pt idx="44">
                  <c:v>34</c:v>
                </c:pt>
                <c:pt idx="45">
                  <c:v>35</c:v>
                </c:pt>
                <c:pt idx="46">
                  <c:v>36</c:v>
                </c:pt>
                <c:pt idx="47">
                  <c:v>37</c:v>
                </c:pt>
                <c:pt idx="48">
                  <c:v>38</c:v>
                </c:pt>
                <c:pt idx="49">
                  <c:v>39</c:v>
                </c:pt>
                <c:pt idx="50">
                  <c:v>40</c:v>
                </c:pt>
                <c:pt idx="51">
                  <c:v>41</c:v>
                </c:pt>
                <c:pt idx="52">
                  <c:v>42</c:v>
                </c:pt>
                <c:pt idx="53">
                  <c:v>43</c:v>
                </c:pt>
                <c:pt idx="54">
                  <c:v>44</c:v>
                </c:pt>
                <c:pt idx="55">
                  <c:v>45</c:v>
                </c:pt>
                <c:pt idx="56">
                  <c:v>46</c:v>
                </c:pt>
                <c:pt idx="57">
                  <c:v>47</c:v>
                </c:pt>
                <c:pt idx="58">
                  <c:v>48</c:v>
                </c:pt>
                <c:pt idx="59">
                  <c:v>49</c:v>
                </c:pt>
                <c:pt idx="60">
                  <c:v>50</c:v>
                </c:pt>
                <c:pt idx="61">
                  <c:v>51</c:v>
                </c:pt>
                <c:pt idx="62">
                  <c:v>52</c:v>
                </c:pt>
                <c:pt idx="63">
                  <c:v>53</c:v>
                </c:pt>
                <c:pt idx="64">
                  <c:v>54</c:v>
                </c:pt>
                <c:pt idx="65">
                  <c:v>55</c:v>
                </c:pt>
                <c:pt idx="66">
                  <c:v>32</c:v>
                </c:pt>
                <c:pt idx="67">
                  <c:v>33</c:v>
                </c:pt>
                <c:pt idx="68">
                  <c:v>34</c:v>
                </c:pt>
                <c:pt idx="69">
                  <c:v>35</c:v>
                </c:pt>
                <c:pt idx="70">
                  <c:v>36</c:v>
                </c:pt>
                <c:pt idx="71">
                  <c:v>37</c:v>
                </c:pt>
                <c:pt idx="72">
                  <c:v>38</c:v>
                </c:pt>
                <c:pt idx="73">
                  <c:v>39</c:v>
                </c:pt>
                <c:pt idx="74">
                  <c:v>40</c:v>
                </c:pt>
                <c:pt idx="75">
                  <c:v>41</c:v>
                </c:pt>
                <c:pt idx="76">
                  <c:v>42</c:v>
                </c:pt>
                <c:pt idx="77">
                  <c:v>43</c:v>
                </c:pt>
                <c:pt idx="78">
                  <c:v>44</c:v>
                </c:pt>
                <c:pt idx="79">
                  <c:v>45</c:v>
                </c:pt>
                <c:pt idx="80">
                  <c:v>46</c:v>
                </c:pt>
                <c:pt idx="81">
                  <c:v>47</c:v>
                </c:pt>
                <c:pt idx="82">
                  <c:v>48</c:v>
                </c:pt>
                <c:pt idx="83">
                  <c:v>49</c:v>
                </c:pt>
                <c:pt idx="84">
                  <c:v>50</c:v>
                </c:pt>
                <c:pt idx="85">
                  <c:v>51</c:v>
                </c:pt>
                <c:pt idx="86">
                  <c:v>52</c:v>
                </c:pt>
                <c:pt idx="87">
                  <c:v>53</c:v>
                </c:pt>
                <c:pt idx="88">
                  <c:v>54</c:v>
                </c:pt>
                <c:pt idx="89">
                  <c:v>55</c:v>
                </c:pt>
                <c:pt idx="90">
                  <c:v>31</c:v>
                </c:pt>
                <c:pt idx="91">
                  <c:v>32</c:v>
                </c:pt>
                <c:pt idx="92">
                  <c:v>33</c:v>
                </c:pt>
                <c:pt idx="93">
                  <c:v>34</c:v>
                </c:pt>
                <c:pt idx="94">
                  <c:v>35</c:v>
                </c:pt>
                <c:pt idx="95">
                  <c:v>36</c:v>
                </c:pt>
                <c:pt idx="96">
                  <c:v>37</c:v>
                </c:pt>
                <c:pt idx="97">
                  <c:v>38</c:v>
                </c:pt>
                <c:pt idx="98">
                  <c:v>39</c:v>
                </c:pt>
                <c:pt idx="99">
                  <c:v>40</c:v>
                </c:pt>
                <c:pt idx="100">
                  <c:v>41</c:v>
                </c:pt>
                <c:pt idx="101">
                  <c:v>42</c:v>
                </c:pt>
                <c:pt idx="102">
                  <c:v>43</c:v>
                </c:pt>
                <c:pt idx="103">
                  <c:v>44</c:v>
                </c:pt>
                <c:pt idx="104">
                  <c:v>45</c:v>
                </c:pt>
                <c:pt idx="105">
                  <c:v>46</c:v>
                </c:pt>
                <c:pt idx="106">
                  <c:v>47</c:v>
                </c:pt>
                <c:pt idx="107">
                  <c:v>48</c:v>
                </c:pt>
                <c:pt idx="108">
                  <c:v>49</c:v>
                </c:pt>
                <c:pt idx="109">
                  <c:v>50</c:v>
                </c:pt>
                <c:pt idx="110">
                  <c:v>51</c:v>
                </c:pt>
                <c:pt idx="111">
                  <c:v>52</c:v>
                </c:pt>
                <c:pt idx="112">
                  <c:v>53</c:v>
                </c:pt>
                <c:pt idx="113">
                  <c:v>54</c:v>
                </c:pt>
                <c:pt idx="114">
                  <c:v>55</c:v>
                </c:pt>
                <c:pt idx="115">
                  <c:v>30</c:v>
                </c:pt>
                <c:pt idx="116">
                  <c:v>31</c:v>
                </c:pt>
                <c:pt idx="117">
                  <c:v>32</c:v>
                </c:pt>
                <c:pt idx="118">
                  <c:v>33</c:v>
                </c:pt>
                <c:pt idx="119">
                  <c:v>34</c:v>
                </c:pt>
                <c:pt idx="120">
                  <c:v>35</c:v>
                </c:pt>
                <c:pt idx="121">
                  <c:v>36</c:v>
                </c:pt>
                <c:pt idx="122">
                  <c:v>37</c:v>
                </c:pt>
                <c:pt idx="123">
                  <c:v>38</c:v>
                </c:pt>
                <c:pt idx="124">
                  <c:v>39</c:v>
                </c:pt>
                <c:pt idx="125">
                  <c:v>40</c:v>
                </c:pt>
                <c:pt idx="126">
                  <c:v>41</c:v>
                </c:pt>
                <c:pt idx="127">
                  <c:v>42</c:v>
                </c:pt>
                <c:pt idx="128">
                  <c:v>43</c:v>
                </c:pt>
                <c:pt idx="129">
                  <c:v>44</c:v>
                </c:pt>
                <c:pt idx="130">
                  <c:v>45</c:v>
                </c:pt>
                <c:pt idx="131">
                  <c:v>46</c:v>
                </c:pt>
                <c:pt idx="132">
                  <c:v>47</c:v>
                </c:pt>
                <c:pt idx="133">
                  <c:v>48</c:v>
                </c:pt>
                <c:pt idx="134">
                  <c:v>49</c:v>
                </c:pt>
                <c:pt idx="135">
                  <c:v>50</c:v>
                </c:pt>
                <c:pt idx="136">
                  <c:v>51</c:v>
                </c:pt>
                <c:pt idx="137">
                  <c:v>52</c:v>
                </c:pt>
                <c:pt idx="138">
                  <c:v>53</c:v>
                </c:pt>
                <c:pt idx="139">
                  <c:v>54</c:v>
                </c:pt>
                <c:pt idx="140">
                  <c:v>55</c:v>
                </c:pt>
                <c:pt idx="141">
                  <c:v>29</c:v>
                </c:pt>
                <c:pt idx="142">
                  <c:v>30</c:v>
                </c:pt>
                <c:pt idx="143">
                  <c:v>31</c:v>
                </c:pt>
                <c:pt idx="144">
                  <c:v>32</c:v>
                </c:pt>
                <c:pt idx="145">
                  <c:v>33</c:v>
                </c:pt>
                <c:pt idx="146">
                  <c:v>34</c:v>
                </c:pt>
                <c:pt idx="147">
                  <c:v>35</c:v>
                </c:pt>
                <c:pt idx="148">
                  <c:v>36</c:v>
                </c:pt>
                <c:pt idx="149">
                  <c:v>37</c:v>
                </c:pt>
                <c:pt idx="150">
                  <c:v>38</c:v>
                </c:pt>
                <c:pt idx="151">
                  <c:v>39</c:v>
                </c:pt>
                <c:pt idx="152">
                  <c:v>40</c:v>
                </c:pt>
                <c:pt idx="153">
                  <c:v>41</c:v>
                </c:pt>
                <c:pt idx="154">
                  <c:v>42</c:v>
                </c:pt>
                <c:pt idx="155">
                  <c:v>43</c:v>
                </c:pt>
                <c:pt idx="156">
                  <c:v>44</c:v>
                </c:pt>
                <c:pt idx="157">
                  <c:v>45</c:v>
                </c:pt>
                <c:pt idx="158">
                  <c:v>46</c:v>
                </c:pt>
                <c:pt idx="159">
                  <c:v>47</c:v>
                </c:pt>
                <c:pt idx="160">
                  <c:v>48</c:v>
                </c:pt>
                <c:pt idx="161">
                  <c:v>49</c:v>
                </c:pt>
                <c:pt idx="162">
                  <c:v>50</c:v>
                </c:pt>
                <c:pt idx="163">
                  <c:v>51</c:v>
                </c:pt>
                <c:pt idx="164">
                  <c:v>52</c:v>
                </c:pt>
                <c:pt idx="165">
                  <c:v>53</c:v>
                </c:pt>
                <c:pt idx="166">
                  <c:v>54</c:v>
                </c:pt>
                <c:pt idx="167">
                  <c:v>55</c:v>
                </c:pt>
                <c:pt idx="168">
                  <c:v>28</c:v>
                </c:pt>
                <c:pt idx="169">
                  <c:v>29</c:v>
                </c:pt>
                <c:pt idx="170">
                  <c:v>30</c:v>
                </c:pt>
                <c:pt idx="171">
                  <c:v>31</c:v>
                </c:pt>
                <c:pt idx="172">
                  <c:v>32</c:v>
                </c:pt>
                <c:pt idx="173">
                  <c:v>33</c:v>
                </c:pt>
                <c:pt idx="174">
                  <c:v>34</c:v>
                </c:pt>
                <c:pt idx="175">
                  <c:v>35</c:v>
                </c:pt>
                <c:pt idx="176">
                  <c:v>36</c:v>
                </c:pt>
                <c:pt idx="177">
                  <c:v>37</c:v>
                </c:pt>
                <c:pt idx="178">
                  <c:v>38</c:v>
                </c:pt>
                <c:pt idx="179">
                  <c:v>39</c:v>
                </c:pt>
                <c:pt idx="180">
                  <c:v>40</c:v>
                </c:pt>
                <c:pt idx="181">
                  <c:v>41</c:v>
                </c:pt>
                <c:pt idx="182">
                  <c:v>42</c:v>
                </c:pt>
                <c:pt idx="183">
                  <c:v>43</c:v>
                </c:pt>
                <c:pt idx="184">
                  <c:v>44</c:v>
                </c:pt>
                <c:pt idx="185">
                  <c:v>45</c:v>
                </c:pt>
                <c:pt idx="186">
                  <c:v>46</c:v>
                </c:pt>
                <c:pt idx="187">
                  <c:v>47</c:v>
                </c:pt>
                <c:pt idx="188">
                  <c:v>48</c:v>
                </c:pt>
                <c:pt idx="189">
                  <c:v>49</c:v>
                </c:pt>
                <c:pt idx="190">
                  <c:v>50</c:v>
                </c:pt>
                <c:pt idx="191">
                  <c:v>51</c:v>
                </c:pt>
                <c:pt idx="192">
                  <c:v>52</c:v>
                </c:pt>
                <c:pt idx="193">
                  <c:v>53</c:v>
                </c:pt>
                <c:pt idx="194">
                  <c:v>54</c:v>
                </c:pt>
                <c:pt idx="195">
                  <c:v>55</c:v>
                </c:pt>
                <c:pt idx="196">
                  <c:v>27</c:v>
                </c:pt>
                <c:pt idx="197">
                  <c:v>28</c:v>
                </c:pt>
                <c:pt idx="198">
                  <c:v>29</c:v>
                </c:pt>
                <c:pt idx="199">
                  <c:v>30</c:v>
                </c:pt>
                <c:pt idx="200">
                  <c:v>31</c:v>
                </c:pt>
                <c:pt idx="201">
                  <c:v>32</c:v>
                </c:pt>
                <c:pt idx="202">
                  <c:v>33</c:v>
                </c:pt>
                <c:pt idx="203">
                  <c:v>34</c:v>
                </c:pt>
                <c:pt idx="204">
                  <c:v>35</c:v>
                </c:pt>
                <c:pt idx="205">
                  <c:v>36</c:v>
                </c:pt>
                <c:pt idx="206">
                  <c:v>37</c:v>
                </c:pt>
                <c:pt idx="207">
                  <c:v>38</c:v>
                </c:pt>
                <c:pt idx="208">
                  <c:v>39</c:v>
                </c:pt>
                <c:pt idx="209">
                  <c:v>40</c:v>
                </c:pt>
                <c:pt idx="210">
                  <c:v>41</c:v>
                </c:pt>
                <c:pt idx="211">
                  <c:v>42</c:v>
                </c:pt>
                <c:pt idx="212">
                  <c:v>43</c:v>
                </c:pt>
                <c:pt idx="213">
                  <c:v>44</c:v>
                </c:pt>
                <c:pt idx="214">
                  <c:v>45</c:v>
                </c:pt>
                <c:pt idx="215">
                  <c:v>46</c:v>
                </c:pt>
                <c:pt idx="216">
                  <c:v>47</c:v>
                </c:pt>
                <c:pt idx="217">
                  <c:v>48</c:v>
                </c:pt>
                <c:pt idx="218">
                  <c:v>49</c:v>
                </c:pt>
                <c:pt idx="219">
                  <c:v>50</c:v>
                </c:pt>
                <c:pt idx="220">
                  <c:v>51</c:v>
                </c:pt>
                <c:pt idx="221">
                  <c:v>52</c:v>
                </c:pt>
                <c:pt idx="222">
                  <c:v>53</c:v>
                </c:pt>
                <c:pt idx="223">
                  <c:v>54</c:v>
                </c:pt>
                <c:pt idx="224">
                  <c:v>55</c:v>
                </c:pt>
                <c:pt idx="225">
                  <c:v>26</c:v>
                </c:pt>
                <c:pt idx="226">
                  <c:v>27</c:v>
                </c:pt>
                <c:pt idx="227">
                  <c:v>28</c:v>
                </c:pt>
                <c:pt idx="228">
                  <c:v>29</c:v>
                </c:pt>
                <c:pt idx="229">
                  <c:v>30</c:v>
                </c:pt>
                <c:pt idx="230">
                  <c:v>31</c:v>
                </c:pt>
                <c:pt idx="231">
                  <c:v>32</c:v>
                </c:pt>
                <c:pt idx="232">
                  <c:v>33</c:v>
                </c:pt>
                <c:pt idx="233">
                  <c:v>34</c:v>
                </c:pt>
                <c:pt idx="234">
                  <c:v>35</c:v>
                </c:pt>
                <c:pt idx="235">
                  <c:v>36</c:v>
                </c:pt>
                <c:pt idx="236">
                  <c:v>37</c:v>
                </c:pt>
                <c:pt idx="237">
                  <c:v>38</c:v>
                </c:pt>
                <c:pt idx="238">
                  <c:v>39</c:v>
                </c:pt>
                <c:pt idx="239">
                  <c:v>40</c:v>
                </c:pt>
                <c:pt idx="240">
                  <c:v>41</c:v>
                </c:pt>
                <c:pt idx="241">
                  <c:v>42</c:v>
                </c:pt>
                <c:pt idx="242">
                  <c:v>43</c:v>
                </c:pt>
                <c:pt idx="243">
                  <c:v>44</c:v>
                </c:pt>
                <c:pt idx="244">
                  <c:v>45</c:v>
                </c:pt>
                <c:pt idx="245">
                  <c:v>46</c:v>
                </c:pt>
                <c:pt idx="246">
                  <c:v>47</c:v>
                </c:pt>
                <c:pt idx="247">
                  <c:v>48</c:v>
                </c:pt>
                <c:pt idx="248">
                  <c:v>49</c:v>
                </c:pt>
                <c:pt idx="249">
                  <c:v>50</c:v>
                </c:pt>
                <c:pt idx="250">
                  <c:v>51</c:v>
                </c:pt>
                <c:pt idx="251">
                  <c:v>52</c:v>
                </c:pt>
                <c:pt idx="252">
                  <c:v>53</c:v>
                </c:pt>
                <c:pt idx="253">
                  <c:v>54</c:v>
                </c:pt>
                <c:pt idx="254">
                  <c:v>55</c:v>
                </c:pt>
                <c:pt idx="255">
                  <c:v>25</c:v>
                </c:pt>
                <c:pt idx="256">
                  <c:v>26</c:v>
                </c:pt>
                <c:pt idx="257">
                  <c:v>27</c:v>
                </c:pt>
                <c:pt idx="258">
                  <c:v>28</c:v>
                </c:pt>
                <c:pt idx="259">
                  <c:v>29</c:v>
                </c:pt>
                <c:pt idx="260">
                  <c:v>30</c:v>
                </c:pt>
                <c:pt idx="261">
                  <c:v>31</c:v>
                </c:pt>
                <c:pt idx="262">
                  <c:v>32</c:v>
                </c:pt>
                <c:pt idx="263">
                  <c:v>33</c:v>
                </c:pt>
                <c:pt idx="264">
                  <c:v>34</c:v>
                </c:pt>
                <c:pt idx="265">
                  <c:v>35</c:v>
                </c:pt>
                <c:pt idx="266">
                  <c:v>36</c:v>
                </c:pt>
                <c:pt idx="267">
                  <c:v>37</c:v>
                </c:pt>
                <c:pt idx="268">
                  <c:v>38</c:v>
                </c:pt>
                <c:pt idx="269">
                  <c:v>39</c:v>
                </c:pt>
                <c:pt idx="270">
                  <c:v>40</c:v>
                </c:pt>
                <c:pt idx="271">
                  <c:v>41</c:v>
                </c:pt>
                <c:pt idx="272">
                  <c:v>42</c:v>
                </c:pt>
                <c:pt idx="273">
                  <c:v>43</c:v>
                </c:pt>
                <c:pt idx="274">
                  <c:v>44</c:v>
                </c:pt>
                <c:pt idx="275">
                  <c:v>45</c:v>
                </c:pt>
                <c:pt idx="276">
                  <c:v>46</c:v>
                </c:pt>
                <c:pt idx="277">
                  <c:v>47</c:v>
                </c:pt>
                <c:pt idx="278">
                  <c:v>48</c:v>
                </c:pt>
                <c:pt idx="279">
                  <c:v>49</c:v>
                </c:pt>
                <c:pt idx="280">
                  <c:v>50</c:v>
                </c:pt>
                <c:pt idx="281">
                  <c:v>51</c:v>
                </c:pt>
                <c:pt idx="282">
                  <c:v>52</c:v>
                </c:pt>
                <c:pt idx="283">
                  <c:v>53</c:v>
                </c:pt>
                <c:pt idx="284">
                  <c:v>54</c:v>
                </c:pt>
                <c:pt idx="285">
                  <c:v>55</c:v>
                </c:pt>
                <c:pt idx="286">
                  <c:v>24</c:v>
                </c:pt>
                <c:pt idx="287">
                  <c:v>25</c:v>
                </c:pt>
                <c:pt idx="288">
                  <c:v>26</c:v>
                </c:pt>
                <c:pt idx="289">
                  <c:v>27</c:v>
                </c:pt>
                <c:pt idx="290">
                  <c:v>28</c:v>
                </c:pt>
                <c:pt idx="291">
                  <c:v>29</c:v>
                </c:pt>
                <c:pt idx="292">
                  <c:v>30</c:v>
                </c:pt>
                <c:pt idx="293">
                  <c:v>31</c:v>
                </c:pt>
                <c:pt idx="294">
                  <c:v>32</c:v>
                </c:pt>
                <c:pt idx="295">
                  <c:v>33</c:v>
                </c:pt>
                <c:pt idx="296">
                  <c:v>34</c:v>
                </c:pt>
                <c:pt idx="297">
                  <c:v>35</c:v>
                </c:pt>
                <c:pt idx="298">
                  <c:v>36</c:v>
                </c:pt>
                <c:pt idx="299">
                  <c:v>37</c:v>
                </c:pt>
                <c:pt idx="300">
                  <c:v>38</c:v>
                </c:pt>
                <c:pt idx="301">
                  <c:v>39</c:v>
                </c:pt>
                <c:pt idx="302">
                  <c:v>40</c:v>
                </c:pt>
                <c:pt idx="303">
                  <c:v>41</c:v>
                </c:pt>
                <c:pt idx="304">
                  <c:v>42</c:v>
                </c:pt>
                <c:pt idx="305">
                  <c:v>43</c:v>
                </c:pt>
                <c:pt idx="306">
                  <c:v>44</c:v>
                </c:pt>
                <c:pt idx="307">
                  <c:v>45</c:v>
                </c:pt>
                <c:pt idx="308">
                  <c:v>46</c:v>
                </c:pt>
                <c:pt idx="309">
                  <c:v>47</c:v>
                </c:pt>
                <c:pt idx="310">
                  <c:v>48</c:v>
                </c:pt>
                <c:pt idx="311">
                  <c:v>49</c:v>
                </c:pt>
                <c:pt idx="312">
                  <c:v>50</c:v>
                </c:pt>
                <c:pt idx="313">
                  <c:v>51</c:v>
                </c:pt>
                <c:pt idx="314">
                  <c:v>52</c:v>
                </c:pt>
                <c:pt idx="315">
                  <c:v>53</c:v>
                </c:pt>
                <c:pt idx="316">
                  <c:v>54</c:v>
                </c:pt>
                <c:pt idx="317">
                  <c:v>55</c:v>
                </c:pt>
                <c:pt idx="318">
                  <c:v>23</c:v>
                </c:pt>
                <c:pt idx="319">
                  <c:v>24</c:v>
                </c:pt>
                <c:pt idx="320">
                  <c:v>25</c:v>
                </c:pt>
                <c:pt idx="321">
                  <c:v>26</c:v>
                </c:pt>
                <c:pt idx="322">
                  <c:v>27</c:v>
                </c:pt>
                <c:pt idx="323">
                  <c:v>28</c:v>
                </c:pt>
                <c:pt idx="324">
                  <c:v>29</c:v>
                </c:pt>
                <c:pt idx="325">
                  <c:v>30</c:v>
                </c:pt>
                <c:pt idx="326">
                  <c:v>31</c:v>
                </c:pt>
                <c:pt idx="327">
                  <c:v>32</c:v>
                </c:pt>
                <c:pt idx="328">
                  <c:v>33</c:v>
                </c:pt>
                <c:pt idx="329">
                  <c:v>34</c:v>
                </c:pt>
                <c:pt idx="330">
                  <c:v>35</c:v>
                </c:pt>
                <c:pt idx="331">
                  <c:v>36</c:v>
                </c:pt>
                <c:pt idx="332">
                  <c:v>37</c:v>
                </c:pt>
                <c:pt idx="333">
                  <c:v>38</c:v>
                </c:pt>
                <c:pt idx="334">
                  <c:v>39</c:v>
                </c:pt>
                <c:pt idx="335">
                  <c:v>40</c:v>
                </c:pt>
                <c:pt idx="336">
                  <c:v>41</c:v>
                </c:pt>
                <c:pt idx="337">
                  <c:v>42</c:v>
                </c:pt>
                <c:pt idx="338">
                  <c:v>43</c:v>
                </c:pt>
                <c:pt idx="339">
                  <c:v>44</c:v>
                </c:pt>
                <c:pt idx="340">
                  <c:v>45</c:v>
                </c:pt>
                <c:pt idx="341">
                  <c:v>46</c:v>
                </c:pt>
                <c:pt idx="342">
                  <c:v>47</c:v>
                </c:pt>
                <c:pt idx="343">
                  <c:v>48</c:v>
                </c:pt>
                <c:pt idx="344">
                  <c:v>49</c:v>
                </c:pt>
                <c:pt idx="345">
                  <c:v>50</c:v>
                </c:pt>
                <c:pt idx="346">
                  <c:v>51</c:v>
                </c:pt>
                <c:pt idx="347">
                  <c:v>52</c:v>
                </c:pt>
                <c:pt idx="348">
                  <c:v>53</c:v>
                </c:pt>
                <c:pt idx="349">
                  <c:v>54</c:v>
                </c:pt>
                <c:pt idx="350">
                  <c:v>55</c:v>
                </c:pt>
                <c:pt idx="351">
                  <c:v>22</c:v>
                </c:pt>
                <c:pt idx="352">
                  <c:v>23</c:v>
                </c:pt>
                <c:pt idx="353">
                  <c:v>24</c:v>
                </c:pt>
                <c:pt idx="354">
                  <c:v>25</c:v>
                </c:pt>
                <c:pt idx="355">
                  <c:v>26</c:v>
                </c:pt>
                <c:pt idx="356">
                  <c:v>27</c:v>
                </c:pt>
                <c:pt idx="357">
                  <c:v>28</c:v>
                </c:pt>
                <c:pt idx="358">
                  <c:v>29</c:v>
                </c:pt>
                <c:pt idx="359">
                  <c:v>30</c:v>
                </c:pt>
                <c:pt idx="360">
                  <c:v>31</c:v>
                </c:pt>
                <c:pt idx="361">
                  <c:v>32</c:v>
                </c:pt>
                <c:pt idx="362">
                  <c:v>33</c:v>
                </c:pt>
                <c:pt idx="363">
                  <c:v>34</c:v>
                </c:pt>
                <c:pt idx="364">
                  <c:v>35</c:v>
                </c:pt>
                <c:pt idx="365">
                  <c:v>36</c:v>
                </c:pt>
                <c:pt idx="366">
                  <c:v>37</c:v>
                </c:pt>
                <c:pt idx="367">
                  <c:v>38</c:v>
                </c:pt>
                <c:pt idx="368">
                  <c:v>39</c:v>
                </c:pt>
                <c:pt idx="369">
                  <c:v>40</c:v>
                </c:pt>
                <c:pt idx="370">
                  <c:v>41</c:v>
                </c:pt>
                <c:pt idx="371">
                  <c:v>42</c:v>
                </c:pt>
                <c:pt idx="372">
                  <c:v>43</c:v>
                </c:pt>
                <c:pt idx="373">
                  <c:v>44</c:v>
                </c:pt>
                <c:pt idx="374">
                  <c:v>45</c:v>
                </c:pt>
                <c:pt idx="375">
                  <c:v>46</c:v>
                </c:pt>
                <c:pt idx="376">
                  <c:v>47</c:v>
                </c:pt>
                <c:pt idx="377">
                  <c:v>48</c:v>
                </c:pt>
                <c:pt idx="378">
                  <c:v>49</c:v>
                </c:pt>
                <c:pt idx="379">
                  <c:v>50</c:v>
                </c:pt>
                <c:pt idx="380">
                  <c:v>51</c:v>
                </c:pt>
                <c:pt idx="381">
                  <c:v>52</c:v>
                </c:pt>
                <c:pt idx="382">
                  <c:v>53</c:v>
                </c:pt>
                <c:pt idx="383">
                  <c:v>54</c:v>
                </c:pt>
                <c:pt idx="384">
                  <c:v>55</c:v>
                </c:pt>
                <c:pt idx="385">
                  <c:v>21</c:v>
                </c:pt>
                <c:pt idx="386">
                  <c:v>22</c:v>
                </c:pt>
                <c:pt idx="387">
                  <c:v>23</c:v>
                </c:pt>
                <c:pt idx="388">
                  <c:v>24</c:v>
                </c:pt>
                <c:pt idx="389">
                  <c:v>25</c:v>
                </c:pt>
                <c:pt idx="390">
                  <c:v>26</c:v>
                </c:pt>
                <c:pt idx="391">
                  <c:v>27</c:v>
                </c:pt>
                <c:pt idx="392">
                  <c:v>28</c:v>
                </c:pt>
                <c:pt idx="393">
                  <c:v>29</c:v>
                </c:pt>
                <c:pt idx="394">
                  <c:v>30</c:v>
                </c:pt>
                <c:pt idx="395">
                  <c:v>31</c:v>
                </c:pt>
                <c:pt idx="396">
                  <c:v>32</c:v>
                </c:pt>
                <c:pt idx="397">
                  <c:v>33</c:v>
                </c:pt>
                <c:pt idx="398">
                  <c:v>34</c:v>
                </c:pt>
                <c:pt idx="399">
                  <c:v>35</c:v>
                </c:pt>
                <c:pt idx="400">
                  <c:v>36</c:v>
                </c:pt>
                <c:pt idx="401">
                  <c:v>37</c:v>
                </c:pt>
                <c:pt idx="402">
                  <c:v>38</c:v>
                </c:pt>
                <c:pt idx="403">
                  <c:v>39</c:v>
                </c:pt>
                <c:pt idx="404">
                  <c:v>40</c:v>
                </c:pt>
                <c:pt idx="405">
                  <c:v>41</c:v>
                </c:pt>
                <c:pt idx="406">
                  <c:v>42</c:v>
                </c:pt>
                <c:pt idx="407">
                  <c:v>43</c:v>
                </c:pt>
                <c:pt idx="408">
                  <c:v>44</c:v>
                </c:pt>
                <c:pt idx="409">
                  <c:v>45</c:v>
                </c:pt>
                <c:pt idx="410">
                  <c:v>46</c:v>
                </c:pt>
                <c:pt idx="411">
                  <c:v>47</c:v>
                </c:pt>
                <c:pt idx="412">
                  <c:v>48</c:v>
                </c:pt>
                <c:pt idx="413">
                  <c:v>49</c:v>
                </c:pt>
                <c:pt idx="414">
                  <c:v>50</c:v>
                </c:pt>
                <c:pt idx="415">
                  <c:v>51</c:v>
                </c:pt>
                <c:pt idx="416">
                  <c:v>52</c:v>
                </c:pt>
                <c:pt idx="417">
                  <c:v>53</c:v>
                </c:pt>
                <c:pt idx="418">
                  <c:v>54</c:v>
                </c:pt>
                <c:pt idx="419">
                  <c:v>55</c:v>
                </c:pt>
                <c:pt idx="420">
                  <c:v>20</c:v>
                </c:pt>
                <c:pt idx="421">
                  <c:v>21</c:v>
                </c:pt>
                <c:pt idx="422">
                  <c:v>22</c:v>
                </c:pt>
                <c:pt idx="423">
                  <c:v>23</c:v>
                </c:pt>
                <c:pt idx="424">
                  <c:v>24</c:v>
                </c:pt>
                <c:pt idx="425">
                  <c:v>25</c:v>
                </c:pt>
                <c:pt idx="426">
                  <c:v>26</c:v>
                </c:pt>
                <c:pt idx="427">
                  <c:v>27</c:v>
                </c:pt>
                <c:pt idx="428">
                  <c:v>28</c:v>
                </c:pt>
                <c:pt idx="429">
                  <c:v>29</c:v>
                </c:pt>
                <c:pt idx="430">
                  <c:v>30</c:v>
                </c:pt>
                <c:pt idx="431">
                  <c:v>31</c:v>
                </c:pt>
                <c:pt idx="432">
                  <c:v>32</c:v>
                </c:pt>
                <c:pt idx="433">
                  <c:v>33</c:v>
                </c:pt>
                <c:pt idx="434">
                  <c:v>34</c:v>
                </c:pt>
                <c:pt idx="435">
                  <c:v>35</c:v>
                </c:pt>
                <c:pt idx="436">
                  <c:v>36</c:v>
                </c:pt>
                <c:pt idx="437">
                  <c:v>37</c:v>
                </c:pt>
                <c:pt idx="438">
                  <c:v>38</c:v>
                </c:pt>
                <c:pt idx="439">
                  <c:v>39</c:v>
                </c:pt>
                <c:pt idx="440">
                  <c:v>40</c:v>
                </c:pt>
                <c:pt idx="441">
                  <c:v>41</c:v>
                </c:pt>
                <c:pt idx="442">
                  <c:v>42</c:v>
                </c:pt>
                <c:pt idx="443">
                  <c:v>43</c:v>
                </c:pt>
                <c:pt idx="444">
                  <c:v>44</c:v>
                </c:pt>
                <c:pt idx="445">
                  <c:v>45</c:v>
                </c:pt>
                <c:pt idx="446">
                  <c:v>46</c:v>
                </c:pt>
                <c:pt idx="447">
                  <c:v>47</c:v>
                </c:pt>
                <c:pt idx="448">
                  <c:v>48</c:v>
                </c:pt>
                <c:pt idx="449">
                  <c:v>49</c:v>
                </c:pt>
                <c:pt idx="450">
                  <c:v>50</c:v>
                </c:pt>
                <c:pt idx="451">
                  <c:v>51</c:v>
                </c:pt>
                <c:pt idx="452">
                  <c:v>52</c:v>
                </c:pt>
                <c:pt idx="453">
                  <c:v>53</c:v>
                </c:pt>
                <c:pt idx="454">
                  <c:v>54</c:v>
                </c:pt>
                <c:pt idx="455">
                  <c:v>55</c:v>
                </c:pt>
                <c:pt idx="456">
                  <c:v>19</c:v>
                </c:pt>
                <c:pt idx="457">
                  <c:v>20</c:v>
                </c:pt>
                <c:pt idx="458">
                  <c:v>21</c:v>
                </c:pt>
                <c:pt idx="459">
                  <c:v>22</c:v>
                </c:pt>
                <c:pt idx="460">
                  <c:v>23</c:v>
                </c:pt>
                <c:pt idx="461">
                  <c:v>24</c:v>
                </c:pt>
                <c:pt idx="462">
                  <c:v>25</c:v>
                </c:pt>
                <c:pt idx="463">
                  <c:v>26</c:v>
                </c:pt>
                <c:pt idx="464">
                  <c:v>27</c:v>
                </c:pt>
                <c:pt idx="465">
                  <c:v>28</c:v>
                </c:pt>
                <c:pt idx="466">
                  <c:v>29</c:v>
                </c:pt>
                <c:pt idx="467">
                  <c:v>30</c:v>
                </c:pt>
                <c:pt idx="468">
                  <c:v>31</c:v>
                </c:pt>
                <c:pt idx="469">
                  <c:v>32</c:v>
                </c:pt>
                <c:pt idx="470">
                  <c:v>33</c:v>
                </c:pt>
                <c:pt idx="471">
                  <c:v>34</c:v>
                </c:pt>
                <c:pt idx="472">
                  <c:v>35</c:v>
                </c:pt>
                <c:pt idx="473">
                  <c:v>36</c:v>
                </c:pt>
                <c:pt idx="474">
                  <c:v>37</c:v>
                </c:pt>
                <c:pt idx="475">
                  <c:v>38</c:v>
                </c:pt>
                <c:pt idx="476">
                  <c:v>39</c:v>
                </c:pt>
                <c:pt idx="477">
                  <c:v>40</c:v>
                </c:pt>
                <c:pt idx="478">
                  <c:v>41</c:v>
                </c:pt>
                <c:pt idx="479">
                  <c:v>42</c:v>
                </c:pt>
                <c:pt idx="480">
                  <c:v>43</c:v>
                </c:pt>
                <c:pt idx="481">
                  <c:v>44</c:v>
                </c:pt>
                <c:pt idx="482">
                  <c:v>45</c:v>
                </c:pt>
                <c:pt idx="483">
                  <c:v>46</c:v>
                </c:pt>
                <c:pt idx="484">
                  <c:v>47</c:v>
                </c:pt>
                <c:pt idx="485">
                  <c:v>48</c:v>
                </c:pt>
                <c:pt idx="486">
                  <c:v>49</c:v>
                </c:pt>
                <c:pt idx="487">
                  <c:v>50</c:v>
                </c:pt>
                <c:pt idx="488">
                  <c:v>51</c:v>
                </c:pt>
                <c:pt idx="489">
                  <c:v>52</c:v>
                </c:pt>
                <c:pt idx="490">
                  <c:v>53</c:v>
                </c:pt>
                <c:pt idx="491">
                  <c:v>54</c:v>
                </c:pt>
                <c:pt idx="492">
                  <c:v>55</c:v>
                </c:pt>
                <c:pt idx="493">
                  <c:v>18</c:v>
                </c:pt>
                <c:pt idx="494">
                  <c:v>19</c:v>
                </c:pt>
                <c:pt idx="495">
                  <c:v>20</c:v>
                </c:pt>
                <c:pt idx="496">
                  <c:v>21</c:v>
                </c:pt>
                <c:pt idx="497">
                  <c:v>22</c:v>
                </c:pt>
                <c:pt idx="498">
                  <c:v>23</c:v>
                </c:pt>
                <c:pt idx="499">
                  <c:v>24</c:v>
                </c:pt>
                <c:pt idx="500">
                  <c:v>25</c:v>
                </c:pt>
                <c:pt idx="501">
                  <c:v>26</c:v>
                </c:pt>
                <c:pt idx="502">
                  <c:v>27</c:v>
                </c:pt>
                <c:pt idx="503">
                  <c:v>28</c:v>
                </c:pt>
                <c:pt idx="504">
                  <c:v>29</c:v>
                </c:pt>
                <c:pt idx="505">
                  <c:v>30</c:v>
                </c:pt>
                <c:pt idx="506">
                  <c:v>31</c:v>
                </c:pt>
                <c:pt idx="507">
                  <c:v>32</c:v>
                </c:pt>
                <c:pt idx="508">
                  <c:v>33</c:v>
                </c:pt>
                <c:pt idx="509">
                  <c:v>34</c:v>
                </c:pt>
                <c:pt idx="510">
                  <c:v>35</c:v>
                </c:pt>
                <c:pt idx="511">
                  <c:v>36</c:v>
                </c:pt>
                <c:pt idx="512">
                  <c:v>37</c:v>
                </c:pt>
                <c:pt idx="513">
                  <c:v>38</c:v>
                </c:pt>
                <c:pt idx="514">
                  <c:v>39</c:v>
                </c:pt>
                <c:pt idx="515">
                  <c:v>40</c:v>
                </c:pt>
                <c:pt idx="516">
                  <c:v>41</c:v>
                </c:pt>
                <c:pt idx="517">
                  <c:v>42</c:v>
                </c:pt>
                <c:pt idx="518">
                  <c:v>43</c:v>
                </c:pt>
                <c:pt idx="519">
                  <c:v>44</c:v>
                </c:pt>
                <c:pt idx="520">
                  <c:v>45</c:v>
                </c:pt>
                <c:pt idx="521">
                  <c:v>46</c:v>
                </c:pt>
                <c:pt idx="522">
                  <c:v>47</c:v>
                </c:pt>
                <c:pt idx="523">
                  <c:v>48</c:v>
                </c:pt>
                <c:pt idx="524">
                  <c:v>49</c:v>
                </c:pt>
                <c:pt idx="525">
                  <c:v>50</c:v>
                </c:pt>
                <c:pt idx="526">
                  <c:v>51</c:v>
                </c:pt>
                <c:pt idx="527">
                  <c:v>52</c:v>
                </c:pt>
                <c:pt idx="528">
                  <c:v>53</c:v>
                </c:pt>
                <c:pt idx="529">
                  <c:v>54</c:v>
                </c:pt>
                <c:pt idx="530">
                  <c:v>55</c:v>
                </c:pt>
                <c:pt idx="531">
                  <c:v>17</c:v>
                </c:pt>
                <c:pt idx="532">
                  <c:v>18</c:v>
                </c:pt>
                <c:pt idx="533">
                  <c:v>19</c:v>
                </c:pt>
                <c:pt idx="534">
                  <c:v>20</c:v>
                </c:pt>
                <c:pt idx="535">
                  <c:v>21</c:v>
                </c:pt>
                <c:pt idx="536">
                  <c:v>22</c:v>
                </c:pt>
                <c:pt idx="537">
                  <c:v>23</c:v>
                </c:pt>
                <c:pt idx="538">
                  <c:v>24</c:v>
                </c:pt>
                <c:pt idx="539">
                  <c:v>25</c:v>
                </c:pt>
                <c:pt idx="540">
                  <c:v>26</c:v>
                </c:pt>
                <c:pt idx="541">
                  <c:v>27</c:v>
                </c:pt>
                <c:pt idx="542">
                  <c:v>28</c:v>
                </c:pt>
                <c:pt idx="543">
                  <c:v>29</c:v>
                </c:pt>
                <c:pt idx="544">
                  <c:v>30</c:v>
                </c:pt>
                <c:pt idx="545">
                  <c:v>31</c:v>
                </c:pt>
                <c:pt idx="546">
                  <c:v>32</c:v>
                </c:pt>
                <c:pt idx="547">
                  <c:v>33</c:v>
                </c:pt>
                <c:pt idx="548">
                  <c:v>34</c:v>
                </c:pt>
                <c:pt idx="549">
                  <c:v>35</c:v>
                </c:pt>
                <c:pt idx="550">
                  <c:v>36</c:v>
                </c:pt>
                <c:pt idx="551">
                  <c:v>37</c:v>
                </c:pt>
                <c:pt idx="552">
                  <c:v>38</c:v>
                </c:pt>
                <c:pt idx="553">
                  <c:v>39</c:v>
                </c:pt>
                <c:pt idx="554">
                  <c:v>40</c:v>
                </c:pt>
                <c:pt idx="555">
                  <c:v>41</c:v>
                </c:pt>
                <c:pt idx="556">
                  <c:v>42</c:v>
                </c:pt>
                <c:pt idx="557">
                  <c:v>43</c:v>
                </c:pt>
                <c:pt idx="558">
                  <c:v>44</c:v>
                </c:pt>
                <c:pt idx="559">
                  <c:v>45</c:v>
                </c:pt>
                <c:pt idx="560">
                  <c:v>46</c:v>
                </c:pt>
                <c:pt idx="561">
                  <c:v>47</c:v>
                </c:pt>
                <c:pt idx="562">
                  <c:v>48</c:v>
                </c:pt>
                <c:pt idx="563">
                  <c:v>49</c:v>
                </c:pt>
                <c:pt idx="564">
                  <c:v>50</c:v>
                </c:pt>
                <c:pt idx="565">
                  <c:v>51</c:v>
                </c:pt>
                <c:pt idx="566">
                  <c:v>52</c:v>
                </c:pt>
                <c:pt idx="567">
                  <c:v>53</c:v>
                </c:pt>
                <c:pt idx="568">
                  <c:v>54</c:v>
                </c:pt>
                <c:pt idx="569">
                  <c:v>55</c:v>
                </c:pt>
                <c:pt idx="570">
                  <c:v>16</c:v>
                </c:pt>
                <c:pt idx="571">
                  <c:v>17</c:v>
                </c:pt>
                <c:pt idx="572">
                  <c:v>18</c:v>
                </c:pt>
                <c:pt idx="573">
                  <c:v>19</c:v>
                </c:pt>
                <c:pt idx="574">
                  <c:v>20</c:v>
                </c:pt>
                <c:pt idx="575">
                  <c:v>21</c:v>
                </c:pt>
                <c:pt idx="576">
                  <c:v>22</c:v>
                </c:pt>
                <c:pt idx="577">
                  <c:v>23</c:v>
                </c:pt>
                <c:pt idx="578">
                  <c:v>24</c:v>
                </c:pt>
                <c:pt idx="579">
                  <c:v>25</c:v>
                </c:pt>
                <c:pt idx="580">
                  <c:v>26</c:v>
                </c:pt>
                <c:pt idx="581">
                  <c:v>27</c:v>
                </c:pt>
                <c:pt idx="582">
                  <c:v>28</c:v>
                </c:pt>
                <c:pt idx="583">
                  <c:v>29</c:v>
                </c:pt>
                <c:pt idx="584">
                  <c:v>30</c:v>
                </c:pt>
                <c:pt idx="585">
                  <c:v>31</c:v>
                </c:pt>
                <c:pt idx="586">
                  <c:v>32</c:v>
                </c:pt>
                <c:pt idx="587">
                  <c:v>33</c:v>
                </c:pt>
                <c:pt idx="588">
                  <c:v>34</c:v>
                </c:pt>
                <c:pt idx="589">
                  <c:v>35</c:v>
                </c:pt>
                <c:pt idx="590">
                  <c:v>36</c:v>
                </c:pt>
                <c:pt idx="591">
                  <c:v>37</c:v>
                </c:pt>
                <c:pt idx="592">
                  <c:v>38</c:v>
                </c:pt>
                <c:pt idx="593">
                  <c:v>39</c:v>
                </c:pt>
                <c:pt idx="594">
                  <c:v>40</c:v>
                </c:pt>
                <c:pt idx="595">
                  <c:v>41</c:v>
                </c:pt>
                <c:pt idx="596">
                  <c:v>42</c:v>
                </c:pt>
                <c:pt idx="597">
                  <c:v>43</c:v>
                </c:pt>
                <c:pt idx="598">
                  <c:v>44</c:v>
                </c:pt>
                <c:pt idx="599">
                  <c:v>45</c:v>
                </c:pt>
                <c:pt idx="600">
                  <c:v>46</c:v>
                </c:pt>
                <c:pt idx="601">
                  <c:v>47</c:v>
                </c:pt>
                <c:pt idx="602">
                  <c:v>48</c:v>
                </c:pt>
                <c:pt idx="603">
                  <c:v>49</c:v>
                </c:pt>
                <c:pt idx="604">
                  <c:v>50</c:v>
                </c:pt>
                <c:pt idx="605">
                  <c:v>51</c:v>
                </c:pt>
                <c:pt idx="606">
                  <c:v>52</c:v>
                </c:pt>
                <c:pt idx="607">
                  <c:v>53</c:v>
                </c:pt>
                <c:pt idx="608">
                  <c:v>54</c:v>
                </c:pt>
                <c:pt idx="609">
                  <c:v>55</c:v>
                </c:pt>
                <c:pt idx="610">
                  <c:v>15</c:v>
                </c:pt>
                <c:pt idx="611">
                  <c:v>16</c:v>
                </c:pt>
                <c:pt idx="612">
                  <c:v>17</c:v>
                </c:pt>
                <c:pt idx="613">
                  <c:v>18</c:v>
                </c:pt>
                <c:pt idx="614">
                  <c:v>19</c:v>
                </c:pt>
                <c:pt idx="615">
                  <c:v>20</c:v>
                </c:pt>
                <c:pt idx="616">
                  <c:v>21</c:v>
                </c:pt>
                <c:pt idx="617">
                  <c:v>22</c:v>
                </c:pt>
                <c:pt idx="618">
                  <c:v>23</c:v>
                </c:pt>
                <c:pt idx="619">
                  <c:v>24</c:v>
                </c:pt>
                <c:pt idx="620">
                  <c:v>25</c:v>
                </c:pt>
                <c:pt idx="621">
                  <c:v>26</c:v>
                </c:pt>
                <c:pt idx="622">
                  <c:v>27</c:v>
                </c:pt>
                <c:pt idx="623">
                  <c:v>28</c:v>
                </c:pt>
                <c:pt idx="624">
                  <c:v>29</c:v>
                </c:pt>
                <c:pt idx="625">
                  <c:v>30</c:v>
                </c:pt>
                <c:pt idx="626">
                  <c:v>31</c:v>
                </c:pt>
                <c:pt idx="627">
                  <c:v>32</c:v>
                </c:pt>
                <c:pt idx="628">
                  <c:v>33</c:v>
                </c:pt>
                <c:pt idx="629">
                  <c:v>34</c:v>
                </c:pt>
                <c:pt idx="630">
                  <c:v>35</c:v>
                </c:pt>
                <c:pt idx="631">
                  <c:v>36</c:v>
                </c:pt>
                <c:pt idx="632">
                  <c:v>37</c:v>
                </c:pt>
                <c:pt idx="633">
                  <c:v>38</c:v>
                </c:pt>
                <c:pt idx="634">
                  <c:v>39</c:v>
                </c:pt>
                <c:pt idx="635">
                  <c:v>40</c:v>
                </c:pt>
                <c:pt idx="636">
                  <c:v>41</c:v>
                </c:pt>
                <c:pt idx="637">
                  <c:v>42</c:v>
                </c:pt>
                <c:pt idx="638">
                  <c:v>43</c:v>
                </c:pt>
                <c:pt idx="639">
                  <c:v>44</c:v>
                </c:pt>
                <c:pt idx="640">
                  <c:v>45</c:v>
                </c:pt>
                <c:pt idx="641">
                  <c:v>46</c:v>
                </c:pt>
                <c:pt idx="642">
                  <c:v>47</c:v>
                </c:pt>
                <c:pt idx="643">
                  <c:v>48</c:v>
                </c:pt>
                <c:pt idx="644">
                  <c:v>49</c:v>
                </c:pt>
                <c:pt idx="645">
                  <c:v>50</c:v>
                </c:pt>
                <c:pt idx="646">
                  <c:v>51</c:v>
                </c:pt>
                <c:pt idx="647">
                  <c:v>52</c:v>
                </c:pt>
                <c:pt idx="648">
                  <c:v>53</c:v>
                </c:pt>
                <c:pt idx="649">
                  <c:v>54</c:v>
                </c:pt>
                <c:pt idx="650">
                  <c:v>55</c:v>
                </c:pt>
                <c:pt idx="651">
                  <c:v>14</c:v>
                </c:pt>
                <c:pt idx="652">
                  <c:v>15</c:v>
                </c:pt>
                <c:pt idx="653">
                  <c:v>16</c:v>
                </c:pt>
                <c:pt idx="654">
                  <c:v>17</c:v>
                </c:pt>
                <c:pt idx="655">
                  <c:v>18</c:v>
                </c:pt>
                <c:pt idx="656">
                  <c:v>19</c:v>
                </c:pt>
                <c:pt idx="657">
                  <c:v>20</c:v>
                </c:pt>
                <c:pt idx="658">
                  <c:v>21</c:v>
                </c:pt>
                <c:pt idx="659">
                  <c:v>22</c:v>
                </c:pt>
                <c:pt idx="660">
                  <c:v>23</c:v>
                </c:pt>
                <c:pt idx="661">
                  <c:v>24</c:v>
                </c:pt>
                <c:pt idx="662">
                  <c:v>25</c:v>
                </c:pt>
                <c:pt idx="663">
                  <c:v>26</c:v>
                </c:pt>
                <c:pt idx="664">
                  <c:v>27</c:v>
                </c:pt>
                <c:pt idx="665">
                  <c:v>28</c:v>
                </c:pt>
                <c:pt idx="666">
                  <c:v>29</c:v>
                </c:pt>
                <c:pt idx="667">
                  <c:v>30</c:v>
                </c:pt>
                <c:pt idx="668">
                  <c:v>31</c:v>
                </c:pt>
                <c:pt idx="669">
                  <c:v>32</c:v>
                </c:pt>
                <c:pt idx="670">
                  <c:v>33</c:v>
                </c:pt>
                <c:pt idx="671">
                  <c:v>34</c:v>
                </c:pt>
                <c:pt idx="672">
                  <c:v>35</c:v>
                </c:pt>
                <c:pt idx="673">
                  <c:v>36</c:v>
                </c:pt>
                <c:pt idx="674">
                  <c:v>37</c:v>
                </c:pt>
                <c:pt idx="675">
                  <c:v>38</c:v>
                </c:pt>
                <c:pt idx="676">
                  <c:v>39</c:v>
                </c:pt>
                <c:pt idx="677">
                  <c:v>40</c:v>
                </c:pt>
                <c:pt idx="678">
                  <c:v>41</c:v>
                </c:pt>
                <c:pt idx="679">
                  <c:v>42</c:v>
                </c:pt>
                <c:pt idx="680">
                  <c:v>43</c:v>
                </c:pt>
                <c:pt idx="681">
                  <c:v>44</c:v>
                </c:pt>
                <c:pt idx="682">
                  <c:v>45</c:v>
                </c:pt>
                <c:pt idx="683">
                  <c:v>46</c:v>
                </c:pt>
                <c:pt idx="684">
                  <c:v>47</c:v>
                </c:pt>
                <c:pt idx="685">
                  <c:v>48</c:v>
                </c:pt>
                <c:pt idx="686">
                  <c:v>49</c:v>
                </c:pt>
                <c:pt idx="687">
                  <c:v>50</c:v>
                </c:pt>
                <c:pt idx="688">
                  <c:v>51</c:v>
                </c:pt>
                <c:pt idx="689">
                  <c:v>52</c:v>
                </c:pt>
                <c:pt idx="690">
                  <c:v>53</c:v>
                </c:pt>
                <c:pt idx="691">
                  <c:v>54</c:v>
                </c:pt>
                <c:pt idx="692">
                  <c:v>55</c:v>
                </c:pt>
                <c:pt idx="693">
                  <c:v>13</c:v>
                </c:pt>
                <c:pt idx="694">
                  <c:v>14</c:v>
                </c:pt>
                <c:pt idx="695">
                  <c:v>15</c:v>
                </c:pt>
                <c:pt idx="696">
                  <c:v>16</c:v>
                </c:pt>
                <c:pt idx="697">
                  <c:v>17</c:v>
                </c:pt>
                <c:pt idx="698">
                  <c:v>18</c:v>
                </c:pt>
                <c:pt idx="699">
                  <c:v>19</c:v>
                </c:pt>
                <c:pt idx="700">
                  <c:v>20</c:v>
                </c:pt>
                <c:pt idx="701">
                  <c:v>21</c:v>
                </c:pt>
                <c:pt idx="702">
                  <c:v>22</c:v>
                </c:pt>
                <c:pt idx="703">
                  <c:v>23</c:v>
                </c:pt>
                <c:pt idx="704">
                  <c:v>24</c:v>
                </c:pt>
                <c:pt idx="705">
                  <c:v>25</c:v>
                </c:pt>
                <c:pt idx="706">
                  <c:v>26</c:v>
                </c:pt>
                <c:pt idx="707">
                  <c:v>27</c:v>
                </c:pt>
                <c:pt idx="708">
                  <c:v>28</c:v>
                </c:pt>
                <c:pt idx="709">
                  <c:v>29</c:v>
                </c:pt>
                <c:pt idx="710">
                  <c:v>30</c:v>
                </c:pt>
                <c:pt idx="711">
                  <c:v>31</c:v>
                </c:pt>
                <c:pt idx="712">
                  <c:v>32</c:v>
                </c:pt>
                <c:pt idx="713">
                  <c:v>33</c:v>
                </c:pt>
                <c:pt idx="714">
                  <c:v>34</c:v>
                </c:pt>
                <c:pt idx="715">
                  <c:v>35</c:v>
                </c:pt>
                <c:pt idx="716">
                  <c:v>36</c:v>
                </c:pt>
                <c:pt idx="717">
                  <c:v>37</c:v>
                </c:pt>
                <c:pt idx="718">
                  <c:v>38</c:v>
                </c:pt>
                <c:pt idx="719">
                  <c:v>39</c:v>
                </c:pt>
                <c:pt idx="720">
                  <c:v>40</c:v>
                </c:pt>
                <c:pt idx="721">
                  <c:v>41</c:v>
                </c:pt>
                <c:pt idx="722">
                  <c:v>42</c:v>
                </c:pt>
                <c:pt idx="723">
                  <c:v>43</c:v>
                </c:pt>
                <c:pt idx="724">
                  <c:v>44</c:v>
                </c:pt>
                <c:pt idx="725">
                  <c:v>45</c:v>
                </c:pt>
                <c:pt idx="726">
                  <c:v>46</c:v>
                </c:pt>
                <c:pt idx="727">
                  <c:v>47</c:v>
                </c:pt>
                <c:pt idx="728">
                  <c:v>48</c:v>
                </c:pt>
                <c:pt idx="729">
                  <c:v>49</c:v>
                </c:pt>
                <c:pt idx="730">
                  <c:v>50</c:v>
                </c:pt>
                <c:pt idx="731">
                  <c:v>51</c:v>
                </c:pt>
                <c:pt idx="732">
                  <c:v>52</c:v>
                </c:pt>
                <c:pt idx="733">
                  <c:v>53</c:v>
                </c:pt>
                <c:pt idx="734">
                  <c:v>54</c:v>
                </c:pt>
                <c:pt idx="735">
                  <c:v>55</c:v>
                </c:pt>
                <c:pt idx="736">
                  <c:v>12</c:v>
                </c:pt>
                <c:pt idx="737">
                  <c:v>13</c:v>
                </c:pt>
                <c:pt idx="738">
                  <c:v>14</c:v>
                </c:pt>
                <c:pt idx="739">
                  <c:v>15</c:v>
                </c:pt>
                <c:pt idx="740">
                  <c:v>16</c:v>
                </c:pt>
                <c:pt idx="741">
                  <c:v>17</c:v>
                </c:pt>
                <c:pt idx="742">
                  <c:v>18</c:v>
                </c:pt>
                <c:pt idx="743">
                  <c:v>19</c:v>
                </c:pt>
                <c:pt idx="744">
                  <c:v>20</c:v>
                </c:pt>
                <c:pt idx="745">
                  <c:v>21</c:v>
                </c:pt>
                <c:pt idx="746">
                  <c:v>22</c:v>
                </c:pt>
                <c:pt idx="747">
                  <c:v>23</c:v>
                </c:pt>
                <c:pt idx="748">
                  <c:v>24</c:v>
                </c:pt>
                <c:pt idx="749">
                  <c:v>25</c:v>
                </c:pt>
                <c:pt idx="750">
                  <c:v>26</c:v>
                </c:pt>
                <c:pt idx="751">
                  <c:v>27</c:v>
                </c:pt>
                <c:pt idx="752">
                  <c:v>28</c:v>
                </c:pt>
                <c:pt idx="753">
                  <c:v>29</c:v>
                </c:pt>
                <c:pt idx="754">
                  <c:v>30</c:v>
                </c:pt>
                <c:pt idx="755">
                  <c:v>31</c:v>
                </c:pt>
                <c:pt idx="756">
                  <c:v>32</c:v>
                </c:pt>
                <c:pt idx="757">
                  <c:v>33</c:v>
                </c:pt>
                <c:pt idx="758">
                  <c:v>34</c:v>
                </c:pt>
                <c:pt idx="759">
                  <c:v>35</c:v>
                </c:pt>
                <c:pt idx="760">
                  <c:v>36</c:v>
                </c:pt>
                <c:pt idx="761">
                  <c:v>37</c:v>
                </c:pt>
                <c:pt idx="762">
                  <c:v>38</c:v>
                </c:pt>
                <c:pt idx="763">
                  <c:v>39</c:v>
                </c:pt>
                <c:pt idx="764">
                  <c:v>40</c:v>
                </c:pt>
                <c:pt idx="765">
                  <c:v>41</c:v>
                </c:pt>
                <c:pt idx="766">
                  <c:v>42</c:v>
                </c:pt>
                <c:pt idx="767">
                  <c:v>43</c:v>
                </c:pt>
                <c:pt idx="768">
                  <c:v>44</c:v>
                </c:pt>
                <c:pt idx="769">
                  <c:v>45</c:v>
                </c:pt>
                <c:pt idx="770">
                  <c:v>46</c:v>
                </c:pt>
                <c:pt idx="771">
                  <c:v>47</c:v>
                </c:pt>
                <c:pt idx="772">
                  <c:v>48</c:v>
                </c:pt>
                <c:pt idx="773">
                  <c:v>49</c:v>
                </c:pt>
                <c:pt idx="774">
                  <c:v>50</c:v>
                </c:pt>
                <c:pt idx="775">
                  <c:v>51</c:v>
                </c:pt>
                <c:pt idx="776">
                  <c:v>52</c:v>
                </c:pt>
                <c:pt idx="777">
                  <c:v>53</c:v>
                </c:pt>
                <c:pt idx="778">
                  <c:v>54</c:v>
                </c:pt>
                <c:pt idx="779">
                  <c:v>55</c:v>
                </c:pt>
                <c:pt idx="780">
                  <c:v>11</c:v>
                </c:pt>
                <c:pt idx="781">
                  <c:v>12</c:v>
                </c:pt>
                <c:pt idx="782">
                  <c:v>13</c:v>
                </c:pt>
                <c:pt idx="783">
                  <c:v>14</c:v>
                </c:pt>
                <c:pt idx="784">
                  <c:v>15</c:v>
                </c:pt>
                <c:pt idx="785">
                  <c:v>16</c:v>
                </c:pt>
                <c:pt idx="786">
                  <c:v>17</c:v>
                </c:pt>
                <c:pt idx="787">
                  <c:v>18</c:v>
                </c:pt>
                <c:pt idx="788">
                  <c:v>19</c:v>
                </c:pt>
                <c:pt idx="789">
                  <c:v>20</c:v>
                </c:pt>
                <c:pt idx="790">
                  <c:v>21</c:v>
                </c:pt>
                <c:pt idx="791">
                  <c:v>22</c:v>
                </c:pt>
                <c:pt idx="792">
                  <c:v>23</c:v>
                </c:pt>
                <c:pt idx="793">
                  <c:v>24</c:v>
                </c:pt>
                <c:pt idx="794">
                  <c:v>25</c:v>
                </c:pt>
                <c:pt idx="795">
                  <c:v>26</c:v>
                </c:pt>
                <c:pt idx="796">
                  <c:v>27</c:v>
                </c:pt>
                <c:pt idx="797">
                  <c:v>28</c:v>
                </c:pt>
                <c:pt idx="798">
                  <c:v>29</c:v>
                </c:pt>
                <c:pt idx="799">
                  <c:v>30</c:v>
                </c:pt>
                <c:pt idx="800">
                  <c:v>31</c:v>
                </c:pt>
                <c:pt idx="801">
                  <c:v>32</c:v>
                </c:pt>
                <c:pt idx="802">
                  <c:v>33</c:v>
                </c:pt>
                <c:pt idx="803">
                  <c:v>34</c:v>
                </c:pt>
                <c:pt idx="804">
                  <c:v>35</c:v>
                </c:pt>
                <c:pt idx="805">
                  <c:v>36</c:v>
                </c:pt>
                <c:pt idx="806">
                  <c:v>37</c:v>
                </c:pt>
                <c:pt idx="807">
                  <c:v>38</c:v>
                </c:pt>
                <c:pt idx="808">
                  <c:v>39</c:v>
                </c:pt>
                <c:pt idx="809">
                  <c:v>40</c:v>
                </c:pt>
                <c:pt idx="810">
                  <c:v>41</c:v>
                </c:pt>
                <c:pt idx="811">
                  <c:v>42</c:v>
                </c:pt>
                <c:pt idx="812">
                  <c:v>43</c:v>
                </c:pt>
                <c:pt idx="813">
                  <c:v>44</c:v>
                </c:pt>
                <c:pt idx="814">
                  <c:v>45</c:v>
                </c:pt>
                <c:pt idx="815">
                  <c:v>46</c:v>
                </c:pt>
                <c:pt idx="816">
                  <c:v>47</c:v>
                </c:pt>
                <c:pt idx="817">
                  <c:v>48</c:v>
                </c:pt>
                <c:pt idx="818">
                  <c:v>49</c:v>
                </c:pt>
                <c:pt idx="819">
                  <c:v>50</c:v>
                </c:pt>
                <c:pt idx="820">
                  <c:v>51</c:v>
                </c:pt>
                <c:pt idx="821">
                  <c:v>52</c:v>
                </c:pt>
                <c:pt idx="822">
                  <c:v>53</c:v>
                </c:pt>
                <c:pt idx="823">
                  <c:v>54</c:v>
                </c:pt>
                <c:pt idx="824">
                  <c:v>55</c:v>
                </c:pt>
                <c:pt idx="825">
                  <c:v>10</c:v>
                </c:pt>
                <c:pt idx="826">
                  <c:v>11</c:v>
                </c:pt>
                <c:pt idx="827">
                  <c:v>12</c:v>
                </c:pt>
                <c:pt idx="828">
                  <c:v>13</c:v>
                </c:pt>
                <c:pt idx="829">
                  <c:v>14</c:v>
                </c:pt>
                <c:pt idx="830">
                  <c:v>15</c:v>
                </c:pt>
                <c:pt idx="831">
                  <c:v>16</c:v>
                </c:pt>
                <c:pt idx="832">
                  <c:v>17</c:v>
                </c:pt>
                <c:pt idx="833">
                  <c:v>18</c:v>
                </c:pt>
                <c:pt idx="834">
                  <c:v>19</c:v>
                </c:pt>
                <c:pt idx="835">
                  <c:v>20</c:v>
                </c:pt>
                <c:pt idx="836">
                  <c:v>21</c:v>
                </c:pt>
                <c:pt idx="837">
                  <c:v>22</c:v>
                </c:pt>
                <c:pt idx="838">
                  <c:v>23</c:v>
                </c:pt>
                <c:pt idx="839">
                  <c:v>24</c:v>
                </c:pt>
                <c:pt idx="840">
                  <c:v>25</c:v>
                </c:pt>
                <c:pt idx="841">
                  <c:v>26</c:v>
                </c:pt>
                <c:pt idx="842">
                  <c:v>27</c:v>
                </c:pt>
                <c:pt idx="843">
                  <c:v>28</c:v>
                </c:pt>
                <c:pt idx="844">
                  <c:v>29</c:v>
                </c:pt>
                <c:pt idx="845">
                  <c:v>30</c:v>
                </c:pt>
                <c:pt idx="846">
                  <c:v>31</c:v>
                </c:pt>
                <c:pt idx="847">
                  <c:v>32</c:v>
                </c:pt>
                <c:pt idx="848">
                  <c:v>33</c:v>
                </c:pt>
                <c:pt idx="849">
                  <c:v>34</c:v>
                </c:pt>
                <c:pt idx="850">
                  <c:v>35</c:v>
                </c:pt>
                <c:pt idx="851">
                  <c:v>36</c:v>
                </c:pt>
                <c:pt idx="852">
                  <c:v>37</c:v>
                </c:pt>
                <c:pt idx="853">
                  <c:v>38</c:v>
                </c:pt>
                <c:pt idx="854">
                  <c:v>39</c:v>
                </c:pt>
                <c:pt idx="855">
                  <c:v>40</c:v>
                </c:pt>
                <c:pt idx="856">
                  <c:v>41</c:v>
                </c:pt>
                <c:pt idx="857">
                  <c:v>42</c:v>
                </c:pt>
                <c:pt idx="858">
                  <c:v>43</c:v>
                </c:pt>
                <c:pt idx="859">
                  <c:v>44</c:v>
                </c:pt>
                <c:pt idx="860">
                  <c:v>45</c:v>
                </c:pt>
                <c:pt idx="861">
                  <c:v>46</c:v>
                </c:pt>
                <c:pt idx="862">
                  <c:v>47</c:v>
                </c:pt>
                <c:pt idx="863">
                  <c:v>48</c:v>
                </c:pt>
                <c:pt idx="864">
                  <c:v>49</c:v>
                </c:pt>
                <c:pt idx="865">
                  <c:v>50</c:v>
                </c:pt>
                <c:pt idx="866">
                  <c:v>51</c:v>
                </c:pt>
                <c:pt idx="867">
                  <c:v>52</c:v>
                </c:pt>
                <c:pt idx="868">
                  <c:v>53</c:v>
                </c:pt>
                <c:pt idx="869">
                  <c:v>54</c:v>
                </c:pt>
                <c:pt idx="870">
                  <c:v>55</c:v>
                </c:pt>
                <c:pt idx="871">
                  <c:v>10</c:v>
                </c:pt>
                <c:pt idx="872">
                  <c:v>11</c:v>
                </c:pt>
                <c:pt idx="873">
                  <c:v>12</c:v>
                </c:pt>
                <c:pt idx="874">
                  <c:v>13</c:v>
                </c:pt>
                <c:pt idx="875">
                  <c:v>14</c:v>
                </c:pt>
                <c:pt idx="876">
                  <c:v>15</c:v>
                </c:pt>
                <c:pt idx="877">
                  <c:v>16</c:v>
                </c:pt>
                <c:pt idx="878">
                  <c:v>17</c:v>
                </c:pt>
                <c:pt idx="879">
                  <c:v>18</c:v>
                </c:pt>
                <c:pt idx="880">
                  <c:v>19</c:v>
                </c:pt>
                <c:pt idx="881">
                  <c:v>20</c:v>
                </c:pt>
                <c:pt idx="882">
                  <c:v>21</c:v>
                </c:pt>
                <c:pt idx="883">
                  <c:v>22</c:v>
                </c:pt>
                <c:pt idx="884">
                  <c:v>23</c:v>
                </c:pt>
                <c:pt idx="885">
                  <c:v>24</c:v>
                </c:pt>
                <c:pt idx="886">
                  <c:v>25</c:v>
                </c:pt>
                <c:pt idx="887">
                  <c:v>26</c:v>
                </c:pt>
                <c:pt idx="888">
                  <c:v>27</c:v>
                </c:pt>
                <c:pt idx="889">
                  <c:v>28</c:v>
                </c:pt>
                <c:pt idx="890">
                  <c:v>29</c:v>
                </c:pt>
                <c:pt idx="891">
                  <c:v>30</c:v>
                </c:pt>
                <c:pt idx="892">
                  <c:v>31</c:v>
                </c:pt>
                <c:pt idx="893">
                  <c:v>32</c:v>
                </c:pt>
                <c:pt idx="894">
                  <c:v>33</c:v>
                </c:pt>
                <c:pt idx="895">
                  <c:v>34</c:v>
                </c:pt>
                <c:pt idx="896">
                  <c:v>35</c:v>
                </c:pt>
                <c:pt idx="897">
                  <c:v>36</c:v>
                </c:pt>
                <c:pt idx="898">
                  <c:v>37</c:v>
                </c:pt>
                <c:pt idx="899">
                  <c:v>38</c:v>
                </c:pt>
                <c:pt idx="900">
                  <c:v>39</c:v>
                </c:pt>
                <c:pt idx="901">
                  <c:v>40</c:v>
                </c:pt>
                <c:pt idx="902">
                  <c:v>41</c:v>
                </c:pt>
                <c:pt idx="903">
                  <c:v>42</c:v>
                </c:pt>
                <c:pt idx="904">
                  <c:v>43</c:v>
                </c:pt>
                <c:pt idx="905">
                  <c:v>44</c:v>
                </c:pt>
                <c:pt idx="906">
                  <c:v>45</c:v>
                </c:pt>
                <c:pt idx="907">
                  <c:v>46</c:v>
                </c:pt>
                <c:pt idx="908">
                  <c:v>47</c:v>
                </c:pt>
                <c:pt idx="909">
                  <c:v>48</c:v>
                </c:pt>
                <c:pt idx="910">
                  <c:v>49</c:v>
                </c:pt>
                <c:pt idx="911">
                  <c:v>50</c:v>
                </c:pt>
                <c:pt idx="912">
                  <c:v>51</c:v>
                </c:pt>
                <c:pt idx="913">
                  <c:v>52</c:v>
                </c:pt>
                <c:pt idx="914">
                  <c:v>53</c:v>
                </c:pt>
                <c:pt idx="915">
                  <c:v>54</c:v>
                </c:pt>
                <c:pt idx="916">
                  <c:v>10</c:v>
                </c:pt>
                <c:pt idx="917">
                  <c:v>11</c:v>
                </c:pt>
                <c:pt idx="918">
                  <c:v>12</c:v>
                </c:pt>
                <c:pt idx="919">
                  <c:v>13</c:v>
                </c:pt>
                <c:pt idx="920">
                  <c:v>14</c:v>
                </c:pt>
                <c:pt idx="921">
                  <c:v>15</c:v>
                </c:pt>
                <c:pt idx="922">
                  <c:v>16</c:v>
                </c:pt>
                <c:pt idx="923">
                  <c:v>17</c:v>
                </c:pt>
                <c:pt idx="924">
                  <c:v>18</c:v>
                </c:pt>
                <c:pt idx="925">
                  <c:v>19</c:v>
                </c:pt>
                <c:pt idx="926">
                  <c:v>20</c:v>
                </c:pt>
                <c:pt idx="927">
                  <c:v>21</c:v>
                </c:pt>
                <c:pt idx="928">
                  <c:v>22</c:v>
                </c:pt>
                <c:pt idx="929">
                  <c:v>23</c:v>
                </c:pt>
                <c:pt idx="930">
                  <c:v>24</c:v>
                </c:pt>
                <c:pt idx="931">
                  <c:v>25</c:v>
                </c:pt>
                <c:pt idx="932">
                  <c:v>26</c:v>
                </c:pt>
                <c:pt idx="933">
                  <c:v>27</c:v>
                </c:pt>
                <c:pt idx="934">
                  <c:v>28</c:v>
                </c:pt>
                <c:pt idx="935">
                  <c:v>29</c:v>
                </c:pt>
                <c:pt idx="936">
                  <c:v>30</c:v>
                </c:pt>
                <c:pt idx="937">
                  <c:v>31</c:v>
                </c:pt>
                <c:pt idx="938">
                  <c:v>32</c:v>
                </c:pt>
                <c:pt idx="939">
                  <c:v>33</c:v>
                </c:pt>
                <c:pt idx="940">
                  <c:v>34</c:v>
                </c:pt>
                <c:pt idx="941">
                  <c:v>35</c:v>
                </c:pt>
                <c:pt idx="942">
                  <c:v>36</c:v>
                </c:pt>
                <c:pt idx="943">
                  <c:v>37</c:v>
                </c:pt>
                <c:pt idx="944">
                  <c:v>38</c:v>
                </c:pt>
                <c:pt idx="945">
                  <c:v>39</c:v>
                </c:pt>
                <c:pt idx="946">
                  <c:v>40</c:v>
                </c:pt>
                <c:pt idx="947">
                  <c:v>41</c:v>
                </c:pt>
                <c:pt idx="948">
                  <c:v>42</c:v>
                </c:pt>
                <c:pt idx="949">
                  <c:v>43</c:v>
                </c:pt>
                <c:pt idx="950">
                  <c:v>44</c:v>
                </c:pt>
                <c:pt idx="951">
                  <c:v>45</c:v>
                </c:pt>
                <c:pt idx="952">
                  <c:v>46</c:v>
                </c:pt>
                <c:pt idx="953">
                  <c:v>47</c:v>
                </c:pt>
                <c:pt idx="954">
                  <c:v>48</c:v>
                </c:pt>
                <c:pt idx="955">
                  <c:v>49</c:v>
                </c:pt>
                <c:pt idx="956">
                  <c:v>50</c:v>
                </c:pt>
                <c:pt idx="957">
                  <c:v>51</c:v>
                </c:pt>
                <c:pt idx="958">
                  <c:v>52</c:v>
                </c:pt>
                <c:pt idx="959">
                  <c:v>53</c:v>
                </c:pt>
                <c:pt idx="960">
                  <c:v>10</c:v>
                </c:pt>
                <c:pt idx="961">
                  <c:v>11</c:v>
                </c:pt>
                <c:pt idx="962">
                  <c:v>12</c:v>
                </c:pt>
                <c:pt idx="963">
                  <c:v>13</c:v>
                </c:pt>
                <c:pt idx="964">
                  <c:v>14</c:v>
                </c:pt>
                <c:pt idx="965">
                  <c:v>15</c:v>
                </c:pt>
                <c:pt idx="966">
                  <c:v>16</c:v>
                </c:pt>
                <c:pt idx="967">
                  <c:v>17</c:v>
                </c:pt>
                <c:pt idx="968">
                  <c:v>18</c:v>
                </c:pt>
                <c:pt idx="969">
                  <c:v>19</c:v>
                </c:pt>
                <c:pt idx="970">
                  <c:v>20</c:v>
                </c:pt>
                <c:pt idx="971">
                  <c:v>21</c:v>
                </c:pt>
                <c:pt idx="972">
                  <c:v>22</c:v>
                </c:pt>
                <c:pt idx="973">
                  <c:v>23</c:v>
                </c:pt>
                <c:pt idx="974">
                  <c:v>24</c:v>
                </c:pt>
                <c:pt idx="975">
                  <c:v>25</c:v>
                </c:pt>
                <c:pt idx="976">
                  <c:v>26</c:v>
                </c:pt>
                <c:pt idx="977">
                  <c:v>27</c:v>
                </c:pt>
                <c:pt idx="978">
                  <c:v>28</c:v>
                </c:pt>
                <c:pt idx="979">
                  <c:v>29</c:v>
                </c:pt>
                <c:pt idx="980">
                  <c:v>30</c:v>
                </c:pt>
                <c:pt idx="981">
                  <c:v>31</c:v>
                </c:pt>
                <c:pt idx="982">
                  <c:v>32</c:v>
                </c:pt>
                <c:pt idx="983">
                  <c:v>33</c:v>
                </c:pt>
                <c:pt idx="984">
                  <c:v>34</c:v>
                </c:pt>
                <c:pt idx="985">
                  <c:v>35</c:v>
                </c:pt>
                <c:pt idx="986">
                  <c:v>36</c:v>
                </c:pt>
                <c:pt idx="987">
                  <c:v>37</c:v>
                </c:pt>
                <c:pt idx="988">
                  <c:v>38</c:v>
                </c:pt>
                <c:pt idx="989">
                  <c:v>39</c:v>
                </c:pt>
                <c:pt idx="990">
                  <c:v>40</c:v>
                </c:pt>
                <c:pt idx="991">
                  <c:v>41</c:v>
                </c:pt>
                <c:pt idx="992">
                  <c:v>42</c:v>
                </c:pt>
                <c:pt idx="993">
                  <c:v>43</c:v>
                </c:pt>
                <c:pt idx="994">
                  <c:v>44</c:v>
                </c:pt>
                <c:pt idx="995">
                  <c:v>45</c:v>
                </c:pt>
                <c:pt idx="996">
                  <c:v>46</c:v>
                </c:pt>
                <c:pt idx="997">
                  <c:v>47</c:v>
                </c:pt>
                <c:pt idx="998">
                  <c:v>48</c:v>
                </c:pt>
                <c:pt idx="999">
                  <c:v>49</c:v>
                </c:pt>
                <c:pt idx="1000">
                  <c:v>50</c:v>
                </c:pt>
                <c:pt idx="1001">
                  <c:v>51</c:v>
                </c:pt>
                <c:pt idx="1002">
                  <c:v>52</c:v>
                </c:pt>
                <c:pt idx="1003">
                  <c:v>10</c:v>
                </c:pt>
                <c:pt idx="1004">
                  <c:v>11</c:v>
                </c:pt>
                <c:pt idx="1005">
                  <c:v>12</c:v>
                </c:pt>
                <c:pt idx="1006">
                  <c:v>13</c:v>
                </c:pt>
                <c:pt idx="1007">
                  <c:v>14</c:v>
                </c:pt>
                <c:pt idx="1008">
                  <c:v>15</c:v>
                </c:pt>
                <c:pt idx="1009">
                  <c:v>16</c:v>
                </c:pt>
                <c:pt idx="1010">
                  <c:v>17</c:v>
                </c:pt>
                <c:pt idx="1011">
                  <c:v>18</c:v>
                </c:pt>
                <c:pt idx="1012">
                  <c:v>19</c:v>
                </c:pt>
                <c:pt idx="1013">
                  <c:v>20</c:v>
                </c:pt>
                <c:pt idx="1014">
                  <c:v>21</c:v>
                </c:pt>
                <c:pt idx="1015">
                  <c:v>22</c:v>
                </c:pt>
                <c:pt idx="1016">
                  <c:v>23</c:v>
                </c:pt>
                <c:pt idx="1017">
                  <c:v>24</c:v>
                </c:pt>
                <c:pt idx="1018">
                  <c:v>25</c:v>
                </c:pt>
                <c:pt idx="1019">
                  <c:v>26</c:v>
                </c:pt>
                <c:pt idx="1020">
                  <c:v>27</c:v>
                </c:pt>
                <c:pt idx="1021">
                  <c:v>28</c:v>
                </c:pt>
                <c:pt idx="1022">
                  <c:v>29</c:v>
                </c:pt>
                <c:pt idx="1023">
                  <c:v>30</c:v>
                </c:pt>
                <c:pt idx="1024">
                  <c:v>31</c:v>
                </c:pt>
                <c:pt idx="1025">
                  <c:v>32</c:v>
                </c:pt>
                <c:pt idx="1026">
                  <c:v>33</c:v>
                </c:pt>
                <c:pt idx="1027">
                  <c:v>34</c:v>
                </c:pt>
                <c:pt idx="1028">
                  <c:v>35</c:v>
                </c:pt>
                <c:pt idx="1029">
                  <c:v>36</c:v>
                </c:pt>
                <c:pt idx="1030">
                  <c:v>37</c:v>
                </c:pt>
                <c:pt idx="1031">
                  <c:v>38</c:v>
                </c:pt>
                <c:pt idx="1032">
                  <c:v>39</c:v>
                </c:pt>
                <c:pt idx="1033">
                  <c:v>40</c:v>
                </c:pt>
                <c:pt idx="1034">
                  <c:v>41</c:v>
                </c:pt>
                <c:pt idx="1035">
                  <c:v>42</c:v>
                </c:pt>
                <c:pt idx="1036">
                  <c:v>43</c:v>
                </c:pt>
                <c:pt idx="1037">
                  <c:v>44</c:v>
                </c:pt>
                <c:pt idx="1038">
                  <c:v>45</c:v>
                </c:pt>
                <c:pt idx="1039">
                  <c:v>46</c:v>
                </c:pt>
                <c:pt idx="1040">
                  <c:v>47</c:v>
                </c:pt>
                <c:pt idx="1041">
                  <c:v>48</c:v>
                </c:pt>
                <c:pt idx="1042">
                  <c:v>49</c:v>
                </c:pt>
                <c:pt idx="1043">
                  <c:v>50</c:v>
                </c:pt>
                <c:pt idx="1044">
                  <c:v>51</c:v>
                </c:pt>
                <c:pt idx="1045">
                  <c:v>10</c:v>
                </c:pt>
                <c:pt idx="1046">
                  <c:v>11</c:v>
                </c:pt>
                <c:pt idx="1047">
                  <c:v>12</c:v>
                </c:pt>
                <c:pt idx="1048">
                  <c:v>13</c:v>
                </c:pt>
                <c:pt idx="1049">
                  <c:v>14</c:v>
                </c:pt>
                <c:pt idx="1050">
                  <c:v>15</c:v>
                </c:pt>
                <c:pt idx="1051">
                  <c:v>16</c:v>
                </c:pt>
                <c:pt idx="1052">
                  <c:v>17</c:v>
                </c:pt>
                <c:pt idx="1053">
                  <c:v>18</c:v>
                </c:pt>
                <c:pt idx="1054">
                  <c:v>19</c:v>
                </c:pt>
                <c:pt idx="1055">
                  <c:v>20</c:v>
                </c:pt>
                <c:pt idx="1056">
                  <c:v>21</c:v>
                </c:pt>
                <c:pt idx="1057">
                  <c:v>22</c:v>
                </c:pt>
                <c:pt idx="1058">
                  <c:v>23</c:v>
                </c:pt>
                <c:pt idx="1059">
                  <c:v>24</c:v>
                </c:pt>
                <c:pt idx="1060">
                  <c:v>25</c:v>
                </c:pt>
                <c:pt idx="1061">
                  <c:v>26</c:v>
                </c:pt>
                <c:pt idx="1062">
                  <c:v>27</c:v>
                </c:pt>
                <c:pt idx="1063">
                  <c:v>28</c:v>
                </c:pt>
                <c:pt idx="1064">
                  <c:v>29</c:v>
                </c:pt>
                <c:pt idx="1065">
                  <c:v>30</c:v>
                </c:pt>
                <c:pt idx="1066">
                  <c:v>31</c:v>
                </c:pt>
                <c:pt idx="1067">
                  <c:v>32</c:v>
                </c:pt>
                <c:pt idx="1068">
                  <c:v>33</c:v>
                </c:pt>
                <c:pt idx="1069">
                  <c:v>34</c:v>
                </c:pt>
                <c:pt idx="1070">
                  <c:v>35</c:v>
                </c:pt>
                <c:pt idx="1071">
                  <c:v>36</c:v>
                </c:pt>
                <c:pt idx="1072">
                  <c:v>37</c:v>
                </c:pt>
                <c:pt idx="1073">
                  <c:v>38</c:v>
                </c:pt>
                <c:pt idx="1074">
                  <c:v>39</c:v>
                </c:pt>
                <c:pt idx="1075">
                  <c:v>40</c:v>
                </c:pt>
                <c:pt idx="1076">
                  <c:v>41</c:v>
                </c:pt>
                <c:pt idx="1077">
                  <c:v>42</c:v>
                </c:pt>
                <c:pt idx="1078">
                  <c:v>43</c:v>
                </c:pt>
                <c:pt idx="1079">
                  <c:v>44</c:v>
                </c:pt>
                <c:pt idx="1080">
                  <c:v>45</c:v>
                </c:pt>
                <c:pt idx="1081">
                  <c:v>46</c:v>
                </c:pt>
                <c:pt idx="1082">
                  <c:v>47</c:v>
                </c:pt>
                <c:pt idx="1083">
                  <c:v>48</c:v>
                </c:pt>
                <c:pt idx="1084">
                  <c:v>49</c:v>
                </c:pt>
                <c:pt idx="1085">
                  <c:v>50</c:v>
                </c:pt>
                <c:pt idx="1086">
                  <c:v>10</c:v>
                </c:pt>
                <c:pt idx="1087">
                  <c:v>11</c:v>
                </c:pt>
                <c:pt idx="1088">
                  <c:v>12</c:v>
                </c:pt>
                <c:pt idx="1089">
                  <c:v>13</c:v>
                </c:pt>
                <c:pt idx="1090">
                  <c:v>14</c:v>
                </c:pt>
                <c:pt idx="1091">
                  <c:v>15</c:v>
                </c:pt>
                <c:pt idx="1092">
                  <c:v>16</c:v>
                </c:pt>
                <c:pt idx="1093">
                  <c:v>17</c:v>
                </c:pt>
                <c:pt idx="1094">
                  <c:v>18</c:v>
                </c:pt>
                <c:pt idx="1095">
                  <c:v>19</c:v>
                </c:pt>
                <c:pt idx="1096">
                  <c:v>20</c:v>
                </c:pt>
                <c:pt idx="1097">
                  <c:v>21</c:v>
                </c:pt>
                <c:pt idx="1098">
                  <c:v>22</c:v>
                </c:pt>
                <c:pt idx="1099">
                  <c:v>23</c:v>
                </c:pt>
                <c:pt idx="1100">
                  <c:v>24</c:v>
                </c:pt>
                <c:pt idx="1101">
                  <c:v>25</c:v>
                </c:pt>
                <c:pt idx="1102">
                  <c:v>26</c:v>
                </c:pt>
                <c:pt idx="1103">
                  <c:v>27</c:v>
                </c:pt>
                <c:pt idx="1104">
                  <c:v>28</c:v>
                </c:pt>
                <c:pt idx="1105">
                  <c:v>29</c:v>
                </c:pt>
                <c:pt idx="1106">
                  <c:v>30</c:v>
                </c:pt>
                <c:pt idx="1107">
                  <c:v>31</c:v>
                </c:pt>
                <c:pt idx="1108">
                  <c:v>32</c:v>
                </c:pt>
                <c:pt idx="1109">
                  <c:v>33</c:v>
                </c:pt>
                <c:pt idx="1110">
                  <c:v>34</c:v>
                </c:pt>
                <c:pt idx="1111">
                  <c:v>35</c:v>
                </c:pt>
                <c:pt idx="1112">
                  <c:v>36</c:v>
                </c:pt>
                <c:pt idx="1113">
                  <c:v>37</c:v>
                </c:pt>
                <c:pt idx="1114">
                  <c:v>38</c:v>
                </c:pt>
                <c:pt idx="1115">
                  <c:v>39</c:v>
                </c:pt>
                <c:pt idx="1116">
                  <c:v>40</c:v>
                </c:pt>
                <c:pt idx="1117">
                  <c:v>41</c:v>
                </c:pt>
                <c:pt idx="1118">
                  <c:v>42</c:v>
                </c:pt>
                <c:pt idx="1119">
                  <c:v>43</c:v>
                </c:pt>
                <c:pt idx="1120">
                  <c:v>44</c:v>
                </c:pt>
                <c:pt idx="1121">
                  <c:v>45</c:v>
                </c:pt>
                <c:pt idx="1122">
                  <c:v>46</c:v>
                </c:pt>
                <c:pt idx="1123">
                  <c:v>47</c:v>
                </c:pt>
                <c:pt idx="1124">
                  <c:v>48</c:v>
                </c:pt>
                <c:pt idx="1125">
                  <c:v>49</c:v>
                </c:pt>
                <c:pt idx="1126">
                  <c:v>10</c:v>
                </c:pt>
                <c:pt idx="1127">
                  <c:v>11</c:v>
                </c:pt>
                <c:pt idx="1128">
                  <c:v>12</c:v>
                </c:pt>
                <c:pt idx="1129">
                  <c:v>13</c:v>
                </c:pt>
                <c:pt idx="1130">
                  <c:v>14</c:v>
                </c:pt>
                <c:pt idx="1131">
                  <c:v>15</c:v>
                </c:pt>
                <c:pt idx="1132">
                  <c:v>16</c:v>
                </c:pt>
                <c:pt idx="1133">
                  <c:v>17</c:v>
                </c:pt>
                <c:pt idx="1134">
                  <c:v>18</c:v>
                </c:pt>
                <c:pt idx="1135">
                  <c:v>19</c:v>
                </c:pt>
                <c:pt idx="1136">
                  <c:v>20</c:v>
                </c:pt>
                <c:pt idx="1137">
                  <c:v>21</c:v>
                </c:pt>
                <c:pt idx="1138">
                  <c:v>22</c:v>
                </c:pt>
                <c:pt idx="1139">
                  <c:v>23</c:v>
                </c:pt>
                <c:pt idx="1140">
                  <c:v>24</c:v>
                </c:pt>
                <c:pt idx="1141">
                  <c:v>25</c:v>
                </c:pt>
                <c:pt idx="1142">
                  <c:v>26</c:v>
                </c:pt>
                <c:pt idx="1143">
                  <c:v>27</c:v>
                </c:pt>
                <c:pt idx="1144">
                  <c:v>28</c:v>
                </c:pt>
                <c:pt idx="1145">
                  <c:v>29</c:v>
                </c:pt>
                <c:pt idx="1146">
                  <c:v>30</c:v>
                </c:pt>
                <c:pt idx="1147">
                  <c:v>31</c:v>
                </c:pt>
                <c:pt idx="1148">
                  <c:v>32</c:v>
                </c:pt>
                <c:pt idx="1149">
                  <c:v>33</c:v>
                </c:pt>
                <c:pt idx="1150">
                  <c:v>34</c:v>
                </c:pt>
                <c:pt idx="1151">
                  <c:v>35</c:v>
                </c:pt>
                <c:pt idx="1152">
                  <c:v>36</c:v>
                </c:pt>
                <c:pt idx="1153">
                  <c:v>37</c:v>
                </c:pt>
                <c:pt idx="1154">
                  <c:v>38</c:v>
                </c:pt>
                <c:pt idx="1155">
                  <c:v>39</c:v>
                </c:pt>
                <c:pt idx="1156">
                  <c:v>40</c:v>
                </c:pt>
                <c:pt idx="1157">
                  <c:v>41</c:v>
                </c:pt>
                <c:pt idx="1158">
                  <c:v>42</c:v>
                </c:pt>
                <c:pt idx="1159">
                  <c:v>43</c:v>
                </c:pt>
                <c:pt idx="1160">
                  <c:v>44</c:v>
                </c:pt>
                <c:pt idx="1161">
                  <c:v>45</c:v>
                </c:pt>
                <c:pt idx="1162">
                  <c:v>46</c:v>
                </c:pt>
                <c:pt idx="1163">
                  <c:v>47</c:v>
                </c:pt>
                <c:pt idx="1164">
                  <c:v>48</c:v>
                </c:pt>
                <c:pt idx="1165">
                  <c:v>10</c:v>
                </c:pt>
                <c:pt idx="1166">
                  <c:v>11</c:v>
                </c:pt>
                <c:pt idx="1167">
                  <c:v>12</c:v>
                </c:pt>
                <c:pt idx="1168">
                  <c:v>13</c:v>
                </c:pt>
                <c:pt idx="1169">
                  <c:v>14</c:v>
                </c:pt>
                <c:pt idx="1170">
                  <c:v>15</c:v>
                </c:pt>
                <c:pt idx="1171">
                  <c:v>16</c:v>
                </c:pt>
                <c:pt idx="1172">
                  <c:v>17</c:v>
                </c:pt>
                <c:pt idx="1173">
                  <c:v>18</c:v>
                </c:pt>
                <c:pt idx="1174">
                  <c:v>19</c:v>
                </c:pt>
                <c:pt idx="1175">
                  <c:v>20</c:v>
                </c:pt>
                <c:pt idx="1176">
                  <c:v>21</c:v>
                </c:pt>
                <c:pt idx="1177">
                  <c:v>22</c:v>
                </c:pt>
                <c:pt idx="1178">
                  <c:v>23</c:v>
                </c:pt>
                <c:pt idx="1179">
                  <c:v>24</c:v>
                </c:pt>
                <c:pt idx="1180">
                  <c:v>25</c:v>
                </c:pt>
                <c:pt idx="1181">
                  <c:v>26</c:v>
                </c:pt>
                <c:pt idx="1182">
                  <c:v>27</c:v>
                </c:pt>
                <c:pt idx="1183">
                  <c:v>28</c:v>
                </c:pt>
                <c:pt idx="1184">
                  <c:v>29</c:v>
                </c:pt>
                <c:pt idx="1185">
                  <c:v>30</c:v>
                </c:pt>
                <c:pt idx="1186">
                  <c:v>31</c:v>
                </c:pt>
                <c:pt idx="1187">
                  <c:v>32</c:v>
                </c:pt>
                <c:pt idx="1188">
                  <c:v>33</c:v>
                </c:pt>
                <c:pt idx="1189">
                  <c:v>34</c:v>
                </c:pt>
                <c:pt idx="1190">
                  <c:v>35</c:v>
                </c:pt>
                <c:pt idx="1191">
                  <c:v>36</c:v>
                </c:pt>
                <c:pt idx="1192">
                  <c:v>37</c:v>
                </c:pt>
                <c:pt idx="1193">
                  <c:v>38</c:v>
                </c:pt>
                <c:pt idx="1194">
                  <c:v>39</c:v>
                </c:pt>
                <c:pt idx="1195">
                  <c:v>40</c:v>
                </c:pt>
                <c:pt idx="1196">
                  <c:v>41</c:v>
                </c:pt>
                <c:pt idx="1197">
                  <c:v>42</c:v>
                </c:pt>
                <c:pt idx="1198">
                  <c:v>43</c:v>
                </c:pt>
                <c:pt idx="1199">
                  <c:v>44</c:v>
                </c:pt>
                <c:pt idx="1200">
                  <c:v>45</c:v>
                </c:pt>
                <c:pt idx="1201">
                  <c:v>46</c:v>
                </c:pt>
                <c:pt idx="1202">
                  <c:v>47</c:v>
                </c:pt>
                <c:pt idx="1203">
                  <c:v>10</c:v>
                </c:pt>
                <c:pt idx="1204">
                  <c:v>11</c:v>
                </c:pt>
                <c:pt idx="1205">
                  <c:v>12</c:v>
                </c:pt>
                <c:pt idx="1206">
                  <c:v>13</c:v>
                </c:pt>
                <c:pt idx="1207">
                  <c:v>14</c:v>
                </c:pt>
                <c:pt idx="1208">
                  <c:v>15</c:v>
                </c:pt>
                <c:pt idx="1209">
                  <c:v>16</c:v>
                </c:pt>
                <c:pt idx="1210">
                  <c:v>17</c:v>
                </c:pt>
                <c:pt idx="1211">
                  <c:v>18</c:v>
                </c:pt>
                <c:pt idx="1212">
                  <c:v>19</c:v>
                </c:pt>
                <c:pt idx="1213">
                  <c:v>20</c:v>
                </c:pt>
                <c:pt idx="1214">
                  <c:v>21</c:v>
                </c:pt>
                <c:pt idx="1215">
                  <c:v>22</c:v>
                </c:pt>
                <c:pt idx="1216">
                  <c:v>23</c:v>
                </c:pt>
                <c:pt idx="1217">
                  <c:v>24</c:v>
                </c:pt>
                <c:pt idx="1218">
                  <c:v>25</c:v>
                </c:pt>
                <c:pt idx="1219">
                  <c:v>26</c:v>
                </c:pt>
                <c:pt idx="1220">
                  <c:v>27</c:v>
                </c:pt>
                <c:pt idx="1221">
                  <c:v>28</c:v>
                </c:pt>
                <c:pt idx="1222">
                  <c:v>29</c:v>
                </c:pt>
                <c:pt idx="1223">
                  <c:v>30</c:v>
                </c:pt>
                <c:pt idx="1224">
                  <c:v>31</c:v>
                </c:pt>
                <c:pt idx="1225">
                  <c:v>32</c:v>
                </c:pt>
                <c:pt idx="1226">
                  <c:v>33</c:v>
                </c:pt>
                <c:pt idx="1227">
                  <c:v>34</c:v>
                </c:pt>
                <c:pt idx="1228">
                  <c:v>35</c:v>
                </c:pt>
                <c:pt idx="1229">
                  <c:v>36</c:v>
                </c:pt>
                <c:pt idx="1230">
                  <c:v>37</c:v>
                </c:pt>
                <c:pt idx="1231">
                  <c:v>38</c:v>
                </c:pt>
                <c:pt idx="1232">
                  <c:v>39</c:v>
                </c:pt>
                <c:pt idx="1233">
                  <c:v>40</c:v>
                </c:pt>
                <c:pt idx="1234">
                  <c:v>41</c:v>
                </c:pt>
                <c:pt idx="1235">
                  <c:v>42</c:v>
                </c:pt>
                <c:pt idx="1236">
                  <c:v>43</c:v>
                </c:pt>
                <c:pt idx="1237">
                  <c:v>44</c:v>
                </c:pt>
                <c:pt idx="1238">
                  <c:v>45</c:v>
                </c:pt>
                <c:pt idx="1239">
                  <c:v>46</c:v>
                </c:pt>
                <c:pt idx="1240">
                  <c:v>10</c:v>
                </c:pt>
                <c:pt idx="1241">
                  <c:v>11</c:v>
                </c:pt>
                <c:pt idx="1242">
                  <c:v>12</c:v>
                </c:pt>
                <c:pt idx="1243">
                  <c:v>13</c:v>
                </c:pt>
                <c:pt idx="1244">
                  <c:v>14</c:v>
                </c:pt>
                <c:pt idx="1245">
                  <c:v>15</c:v>
                </c:pt>
                <c:pt idx="1246">
                  <c:v>16</c:v>
                </c:pt>
                <c:pt idx="1247">
                  <c:v>17</c:v>
                </c:pt>
                <c:pt idx="1248">
                  <c:v>18</c:v>
                </c:pt>
                <c:pt idx="1249">
                  <c:v>19</c:v>
                </c:pt>
                <c:pt idx="1250">
                  <c:v>20</c:v>
                </c:pt>
                <c:pt idx="1251">
                  <c:v>21</c:v>
                </c:pt>
                <c:pt idx="1252">
                  <c:v>22</c:v>
                </c:pt>
                <c:pt idx="1253">
                  <c:v>23</c:v>
                </c:pt>
                <c:pt idx="1254">
                  <c:v>24</c:v>
                </c:pt>
                <c:pt idx="1255">
                  <c:v>25</c:v>
                </c:pt>
                <c:pt idx="1256">
                  <c:v>26</c:v>
                </c:pt>
                <c:pt idx="1257">
                  <c:v>27</c:v>
                </c:pt>
                <c:pt idx="1258">
                  <c:v>28</c:v>
                </c:pt>
                <c:pt idx="1259">
                  <c:v>29</c:v>
                </c:pt>
                <c:pt idx="1260">
                  <c:v>30</c:v>
                </c:pt>
                <c:pt idx="1261">
                  <c:v>31</c:v>
                </c:pt>
                <c:pt idx="1262">
                  <c:v>32</c:v>
                </c:pt>
                <c:pt idx="1263">
                  <c:v>33</c:v>
                </c:pt>
                <c:pt idx="1264">
                  <c:v>34</c:v>
                </c:pt>
                <c:pt idx="1265">
                  <c:v>35</c:v>
                </c:pt>
                <c:pt idx="1266">
                  <c:v>36</c:v>
                </c:pt>
                <c:pt idx="1267">
                  <c:v>37</c:v>
                </c:pt>
                <c:pt idx="1268">
                  <c:v>38</c:v>
                </c:pt>
                <c:pt idx="1269">
                  <c:v>39</c:v>
                </c:pt>
                <c:pt idx="1270">
                  <c:v>40</c:v>
                </c:pt>
                <c:pt idx="1271">
                  <c:v>41</c:v>
                </c:pt>
                <c:pt idx="1272">
                  <c:v>42</c:v>
                </c:pt>
                <c:pt idx="1273">
                  <c:v>43</c:v>
                </c:pt>
                <c:pt idx="1274">
                  <c:v>44</c:v>
                </c:pt>
                <c:pt idx="1275">
                  <c:v>45</c:v>
                </c:pt>
                <c:pt idx="1276">
                  <c:v>10</c:v>
                </c:pt>
                <c:pt idx="1277">
                  <c:v>11</c:v>
                </c:pt>
                <c:pt idx="1278">
                  <c:v>12</c:v>
                </c:pt>
                <c:pt idx="1279">
                  <c:v>13</c:v>
                </c:pt>
                <c:pt idx="1280">
                  <c:v>14</c:v>
                </c:pt>
                <c:pt idx="1281">
                  <c:v>15</c:v>
                </c:pt>
                <c:pt idx="1282">
                  <c:v>16</c:v>
                </c:pt>
                <c:pt idx="1283">
                  <c:v>17</c:v>
                </c:pt>
                <c:pt idx="1284">
                  <c:v>18</c:v>
                </c:pt>
                <c:pt idx="1285">
                  <c:v>19</c:v>
                </c:pt>
                <c:pt idx="1286">
                  <c:v>20</c:v>
                </c:pt>
                <c:pt idx="1287">
                  <c:v>21</c:v>
                </c:pt>
                <c:pt idx="1288">
                  <c:v>22</c:v>
                </c:pt>
                <c:pt idx="1289">
                  <c:v>23</c:v>
                </c:pt>
                <c:pt idx="1290">
                  <c:v>24</c:v>
                </c:pt>
                <c:pt idx="1291">
                  <c:v>25</c:v>
                </c:pt>
                <c:pt idx="1292">
                  <c:v>26</c:v>
                </c:pt>
                <c:pt idx="1293">
                  <c:v>27</c:v>
                </c:pt>
                <c:pt idx="1294">
                  <c:v>28</c:v>
                </c:pt>
                <c:pt idx="1295">
                  <c:v>29</c:v>
                </c:pt>
                <c:pt idx="1296">
                  <c:v>30</c:v>
                </c:pt>
                <c:pt idx="1297">
                  <c:v>31</c:v>
                </c:pt>
                <c:pt idx="1298">
                  <c:v>32</c:v>
                </c:pt>
                <c:pt idx="1299">
                  <c:v>33</c:v>
                </c:pt>
                <c:pt idx="1300">
                  <c:v>34</c:v>
                </c:pt>
                <c:pt idx="1301">
                  <c:v>35</c:v>
                </c:pt>
                <c:pt idx="1302">
                  <c:v>36</c:v>
                </c:pt>
                <c:pt idx="1303">
                  <c:v>37</c:v>
                </c:pt>
                <c:pt idx="1304">
                  <c:v>38</c:v>
                </c:pt>
                <c:pt idx="1305">
                  <c:v>39</c:v>
                </c:pt>
                <c:pt idx="1306">
                  <c:v>40</c:v>
                </c:pt>
                <c:pt idx="1307">
                  <c:v>41</c:v>
                </c:pt>
                <c:pt idx="1308">
                  <c:v>42</c:v>
                </c:pt>
                <c:pt idx="1309">
                  <c:v>43</c:v>
                </c:pt>
                <c:pt idx="1310">
                  <c:v>44</c:v>
                </c:pt>
                <c:pt idx="1311">
                  <c:v>10</c:v>
                </c:pt>
                <c:pt idx="1312">
                  <c:v>11</c:v>
                </c:pt>
                <c:pt idx="1313">
                  <c:v>12</c:v>
                </c:pt>
                <c:pt idx="1314">
                  <c:v>13</c:v>
                </c:pt>
                <c:pt idx="1315">
                  <c:v>14</c:v>
                </c:pt>
                <c:pt idx="1316">
                  <c:v>15</c:v>
                </c:pt>
                <c:pt idx="1317">
                  <c:v>16</c:v>
                </c:pt>
                <c:pt idx="1318">
                  <c:v>17</c:v>
                </c:pt>
                <c:pt idx="1319">
                  <c:v>18</c:v>
                </c:pt>
                <c:pt idx="1320">
                  <c:v>19</c:v>
                </c:pt>
                <c:pt idx="1321">
                  <c:v>20</c:v>
                </c:pt>
                <c:pt idx="1322">
                  <c:v>21</c:v>
                </c:pt>
                <c:pt idx="1323">
                  <c:v>22</c:v>
                </c:pt>
                <c:pt idx="1324">
                  <c:v>23</c:v>
                </c:pt>
                <c:pt idx="1325">
                  <c:v>24</c:v>
                </c:pt>
                <c:pt idx="1326">
                  <c:v>25</c:v>
                </c:pt>
                <c:pt idx="1327">
                  <c:v>26</c:v>
                </c:pt>
                <c:pt idx="1328">
                  <c:v>27</c:v>
                </c:pt>
                <c:pt idx="1329">
                  <c:v>28</c:v>
                </c:pt>
                <c:pt idx="1330">
                  <c:v>29</c:v>
                </c:pt>
                <c:pt idx="1331">
                  <c:v>30</c:v>
                </c:pt>
                <c:pt idx="1332">
                  <c:v>31</c:v>
                </c:pt>
                <c:pt idx="1333">
                  <c:v>32</c:v>
                </c:pt>
                <c:pt idx="1334">
                  <c:v>33</c:v>
                </c:pt>
                <c:pt idx="1335">
                  <c:v>34</c:v>
                </c:pt>
                <c:pt idx="1336">
                  <c:v>35</c:v>
                </c:pt>
                <c:pt idx="1337">
                  <c:v>36</c:v>
                </c:pt>
                <c:pt idx="1338">
                  <c:v>37</c:v>
                </c:pt>
                <c:pt idx="1339">
                  <c:v>38</c:v>
                </c:pt>
                <c:pt idx="1340">
                  <c:v>39</c:v>
                </c:pt>
                <c:pt idx="1341">
                  <c:v>40</c:v>
                </c:pt>
                <c:pt idx="1342">
                  <c:v>41</c:v>
                </c:pt>
                <c:pt idx="1343">
                  <c:v>42</c:v>
                </c:pt>
                <c:pt idx="1344">
                  <c:v>43</c:v>
                </c:pt>
                <c:pt idx="1345">
                  <c:v>10</c:v>
                </c:pt>
                <c:pt idx="1346">
                  <c:v>11</c:v>
                </c:pt>
                <c:pt idx="1347">
                  <c:v>12</c:v>
                </c:pt>
                <c:pt idx="1348">
                  <c:v>13</c:v>
                </c:pt>
                <c:pt idx="1349">
                  <c:v>14</c:v>
                </c:pt>
                <c:pt idx="1350">
                  <c:v>15</c:v>
                </c:pt>
                <c:pt idx="1351">
                  <c:v>16</c:v>
                </c:pt>
                <c:pt idx="1352">
                  <c:v>17</c:v>
                </c:pt>
                <c:pt idx="1353">
                  <c:v>18</c:v>
                </c:pt>
                <c:pt idx="1354">
                  <c:v>19</c:v>
                </c:pt>
                <c:pt idx="1355">
                  <c:v>20</c:v>
                </c:pt>
                <c:pt idx="1356">
                  <c:v>21</c:v>
                </c:pt>
                <c:pt idx="1357">
                  <c:v>22</c:v>
                </c:pt>
                <c:pt idx="1358">
                  <c:v>23</c:v>
                </c:pt>
                <c:pt idx="1359">
                  <c:v>24</c:v>
                </c:pt>
                <c:pt idx="1360">
                  <c:v>25</c:v>
                </c:pt>
                <c:pt idx="1361">
                  <c:v>26</c:v>
                </c:pt>
                <c:pt idx="1362">
                  <c:v>27</c:v>
                </c:pt>
                <c:pt idx="1363">
                  <c:v>28</c:v>
                </c:pt>
                <c:pt idx="1364">
                  <c:v>29</c:v>
                </c:pt>
                <c:pt idx="1365">
                  <c:v>30</c:v>
                </c:pt>
                <c:pt idx="1366">
                  <c:v>31</c:v>
                </c:pt>
                <c:pt idx="1367">
                  <c:v>32</c:v>
                </c:pt>
                <c:pt idx="1368">
                  <c:v>33</c:v>
                </c:pt>
                <c:pt idx="1369">
                  <c:v>34</c:v>
                </c:pt>
                <c:pt idx="1370">
                  <c:v>35</c:v>
                </c:pt>
                <c:pt idx="1371">
                  <c:v>36</c:v>
                </c:pt>
                <c:pt idx="1372">
                  <c:v>37</c:v>
                </c:pt>
                <c:pt idx="1373">
                  <c:v>38</c:v>
                </c:pt>
                <c:pt idx="1374">
                  <c:v>39</c:v>
                </c:pt>
                <c:pt idx="1375">
                  <c:v>40</c:v>
                </c:pt>
                <c:pt idx="1376">
                  <c:v>41</c:v>
                </c:pt>
                <c:pt idx="1377">
                  <c:v>42</c:v>
                </c:pt>
                <c:pt idx="1378">
                  <c:v>10</c:v>
                </c:pt>
                <c:pt idx="1379">
                  <c:v>11</c:v>
                </c:pt>
                <c:pt idx="1380">
                  <c:v>12</c:v>
                </c:pt>
                <c:pt idx="1381">
                  <c:v>13</c:v>
                </c:pt>
                <c:pt idx="1382">
                  <c:v>14</c:v>
                </c:pt>
                <c:pt idx="1383">
                  <c:v>15</c:v>
                </c:pt>
                <c:pt idx="1384">
                  <c:v>16</c:v>
                </c:pt>
                <c:pt idx="1385">
                  <c:v>17</c:v>
                </c:pt>
                <c:pt idx="1386">
                  <c:v>18</c:v>
                </c:pt>
                <c:pt idx="1387">
                  <c:v>19</c:v>
                </c:pt>
                <c:pt idx="1388">
                  <c:v>20</c:v>
                </c:pt>
                <c:pt idx="1389">
                  <c:v>21</c:v>
                </c:pt>
                <c:pt idx="1390">
                  <c:v>22</c:v>
                </c:pt>
                <c:pt idx="1391">
                  <c:v>23</c:v>
                </c:pt>
                <c:pt idx="1392">
                  <c:v>24</c:v>
                </c:pt>
                <c:pt idx="1393">
                  <c:v>25</c:v>
                </c:pt>
                <c:pt idx="1394">
                  <c:v>26</c:v>
                </c:pt>
                <c:pt idx="1395">
                  <c:v>27</c:v>
                </c:pt>
                <c:pt idx="1396">
                  <c:v>28</c:v>
                </c:pt>
                <c:pt idx="1397">
                  <c:v>29</c:v>
                </c:pt>
                <c:pt idx="1398">
                  <c:v>30</c:v>
                </c:pt>
                <c:pt idx="1399">
                  <c:v>31</c:v>
                </c:pt>
                <c:pt idx="1400">
                  <c:v>32</c:v>
                </c:pt>
                <c:pt idx="1401">
                  <c:v>33</c:v>
                </c:pt>
                <c:pt idx="1402">
                  <c:v>34</c:v>
                </c:pt>
                <c:pt idx="1403">
                  <c:v>35</c:v>
                </c:pt>
                <c:pt idx="1404">
                  <c:v>36</c:v>
                </c:pt>
                <c:pt idx="1405">
                  <c:v>37</c:v>
                </c:pt>
                <c:pt idx="1406">
                  <c:v>38</c:v>
                </c:pt>
                <c:pt idx="1407">
                  <c:v>39</c:v>
                </c:pt>
                <c:pt idx="1408">
                  <c:v>40</c:v>
                </c:pt>
                <c:pt idx="1409">
                  <c:v>41</c:v>
                </c:pt>
                <c:pt idx="1410">
                  <c:v>10</c:v>
                </c:pt>
                <c:pt idx="1411">
                  <c:v>11</c:v>
                </c:pt>
                <c:pt idx="1412">
                  <c:v>12</c:v>
                </c:pt>
                <c:pt idx="1413">
                  <c:v>13</c:v>
                </c:pt>
                <c:pt idx="1414">
                  <c:v>14</c:v>
                </c:pt>
                <c:pt idx="1415">
                  <c:v>15</c:v>
                </c:pt>
                <c:pt idx="1416">
                  <c:v>16</c:v>
                </c:pt>
                <c:pt idx="1417">
                  <c:v>17</c:v>
                </c:pt>
                <c:pt idx="1418">
                  <c:v>18</c:v>
                </c:pt>
                <c:pt idx="1419">
                  <c:v>19</c:v>
                </c:pt>
                <c:pt idx="1420">
                  <c:v>20</c:v>
                </c:pt>
                <c:pt idx="1421">
                  <c:v>21</c:v>
                </c:pt>
                <c:pt idx="1422">
                  <c:v>22</c:v>
                </c:pt>
                <c:pt idx="1423">
                  <c:v>23</c:v>
                </c:pt>
                <c:pt idx="1424">
                  <c:v>24</c:v>
                </c:pt>
                <c:pt idx="1425">
                  <c:v>25</c:v>
                </c:pt>
                <c:pt idx="1426">
                  <c:v>26</c:v>
                </c:pt>
                <c:pt idx="1427">
                  <c:v>27</c:v>
                </c:pt>
                <c:pt idx="1428">
                  <c:v>28</c:v>
                </c:pt>
                <c:pt idx="1429">
                  <c:v>29</c:v>
                </c:pt>
                <c:pt idx="1430">
                  <c:v>30</c:v>
                </c:pt>
                <c:pt idx="1431">
                  <c:v>31</c:v>
                </c:pt>
                <c:pt idx="1432">
                  <c:v>32</c:v>
                </c:pt>
                <c:pt idx="1433">
                  <c:v>33</c:v>
                </c:pt>
                <c:pt idx="1434">
                  <c:v>34</c:v>
                </c:pt>
                <c:pt idx="1435">
                  <c:v>35</c:v>
                </c:pt>
                <c:pt idx="1436">
                  <c:v>36</c:v>
                </c:pt>
                <c:pt idx="1437">
                  <c:v>37</c:v>
                </c:pt>
                <c:pt idx="1438">
                  <c:v>38</c:v>
                </c:pt>
                <c:pt idx="1439">
                  <c:v>39</c:v>
                </c:pt>
                <c:pt idx="1440">
                  <c:v>40</c:v>
                </c:pt>
                <c:pt idx="1441">
                  <c:v>10</c:v>
                </c:pt>
                <c:pt idx="1442">
                  <c:v>11</c:v>
                </c:pt>
                <c:pt idx="1443">
                  <c:v>12</c:v>
                </c:pt>
                <c:pt idx="1444">
                  <c:v>13</c:v>
                </c:pt>
                <c:pt idx="1445">
                  <c:v>14</c:v>
                </c:pt>
                <c:pt idx="1446">
                  <c:v>15</c:v>
                </c:pt>
                <c:pt idx="1447">
                  <c:v>16</c:v>
                </c:pt>
                <c:pt idx="1448">
                  <c:v>17</c:v>
                </c:pt>
                <c:pt idx="1449">
                  <c:v>18</c:v>
                </c:pt>
                <c:pt idx="1450">
                  <c:v>19</c:v>
                </c:pt>
                <c:pt idx="1451">
                  <c:v>20</c:v>
                </c:pt>
                <c:pt idx="1452">
                  <c:v>21</c:v>
                </c:pt>
                <c:pt idx="1453">
                  <c:v>22</c:v>
                </c:pt>
                <c:pt idx="1454">
                  <c:v>23</c:v>
                </c:pt>
                <c:pt idx="1455">
                  <c:v>24</c:v>
                </c:pt>
                <c:pt idx="1456">
                  <c:v>25</c:v>
                </c:pt>
                <c:pt idx="1457">
                  <c:v>26</c:v>
                </c:pt>
                <c:pt idx="1458">
                  <c:v>27</c:v>
                </c:pt>
                <c:pt idx="1459">
                  <c:v>28</c:v>
                </c:pt>
                <c:pt idx="1460">
                  <c:v>29</c:v>
                </c:pt>
                <c:pt idx="1461">
                  <c:v>30</c:v>
                </c:pt>
                <c:pt idx="1462">
                  <c:v>31</c:v>
                </c:pt>
                <c:pt idx="1463">
                  <c:v>32</c:v>
                </c:pt>
                <c:pt idx="1464">
                  <c:v>33</c:v>
                </c:pt>
                <c:pt idx="1465">
                  <c:v>34</c:v>
                </c:pt>
                <c:pt idx="1466">
                  <c:v>35</c:v>
                </c:pt>
                <c:pt idx="1467">
                  <c:v>36</c:v>
                </c:pt>
                <c:pt idx="1468">
                  <c:v>37</c:v>
                </c:pt>
                <c:pt idx="1469">
                  <c:v>38</c:v>
                </c:pt>
                <c:pt idx="1470">
                  <c:v>39</c:v>
                </c:pt>
                <c:pt idx="1471">
                  <c:v>10</c:v>
                </c:pt>
                <c:pt idx="1472">
                  <c:v>11</c:v>
                </c:pt>
                <c:pt idx="1473">
                  <c:v>12</c:v>
                </c:pt>
                <c:pt idx="1474">
                  <c:v>13</c:v>
                </c:pt>
                <c:pt idx="1475">
                  <c:v>14</c:v>
                </c:pt>
                <c:pt idx="1476">
                  <c:v>15</c:v>
                </c:pt>
                <c:pt idx="1477">
                  <c:v>16</c:v>
                </c:pt>
                <c:pt idx="1478">
                  <c:v>17</c:v>
                </c:pt>
                <c:pt idx="1479">
                  <c:v>18</c:v>
                </c:pt>
                <c:pt idx="1480">
                  <c:v>19</c:v>
                </c:pt>
                <c:pt idx="1481">
                  <c:v>20</c:v>
                </c:pt>
                <c:pt idx="1482">
                  <c:v>21</c:v>
                </c:pt>
                <c:pt idx="1483">
                  <c:v>22</c:v>
                </c:pt>
                <c:pt idx="1484">
                  <c:v>23</c:v>
                </c:pt>
                <c:pt idx="1485">
                  <c:v>24</c:v>
                </c:pt>
                <c:pt idx="1486">
                  <c:v>25</c:v>
                </c:pt>
                <c:pt idx="1487">
                  <c:v>26</c:v>
                </c:pt>
                <c:pt idx="1488">
                  <c:v>27</c:v>
                </c:pt>
                <c:pt idx="1489">
                  <c:v>28</c:v>
                </c:pt>
                <c:pt idx="1490">
                  <c:v>29</c:v>
                </c:pt>
                <c:pt idx="1491">
                  <c:v>30</c:v>
                </c:pt>
                <c:pt idx="1492">
                  <c:v>31</c:v>
                </c:pt>
                <c:pt idx="1493">
                  <c:v>32</c:v>
                </c:pt>
                <c:pt idx="1494">
                  <c:v>33</c:v>
                </c:pt>
                <c:pt idx="1495">
                  <c:v>34</c:v>
                </c:pt>
                <c:pt idx="1496">
                  <c:v>35</c:v>
                </c:pt>
                <c:pt idx="1497">
                  <c:v>36</c:v>
                </c:pt>
                <c:pt idx="1498">
                  <c:v>37</c:v>
                </c:pt>
                <c:pt idx="1499">
                  <c:v>38</c:v>
                </c:pt>
                <c:pt idx="1500">
                  <c:v>10</c:v>
                </c:pt>
                <c:pt idx="1501">
                  <c:v>11</c:v>
                </c:pt>
                <c:pt idx="1502">
                  <c:v>12</c:v>
                </c:pt>
                <c:pt idx="1503">
                  <c:v>13</c:v>
                </c:pt>
                <c:pt idx="1504">
                  <c:v>14</c:v>
                </c:pt>
                <c:pt idx="1505">
                  <c:v>15</c:v>
                </c:pt>
                <c:pt idx="1506">
                  <c:v>16</c:v>
                </c:pt>
                <c:pt idx="1507">
                  <c:v>17</c:v>
                </c:pt>
                <c:pt idx="1508">
                  <c:v>18</c:v>
                </c:pt>
                <c:pt idx="1509">
                  <c:v>19</c:v>
                </c:pt>
                <c:pt idx="1510">
                  <c:v>20</c:v>
                </c:pt>
                <c:pt idx="1511">
                  <c:v>21</c:v>
                </c:pt>
                <c:pt idx="1512">
                  <c:v>22</c:v>
                </c:pt>
                <c:pt idx="1513">
                  <c:v>23</c:v>
                </c:pt>
                <c:pt idx="1514">
                  <c:v>24</c:v>
                </c:pt>
                <c:pt idx="1515">
                  <c:v>25</c:v>
                </c:pt>
                <c:pt idx="1516">
                  <c:v>26</c:v>
                </c:pt>
                <c:pt idx="1517">
                  <c:v>27</c:v>
                </c:pt>
                <c:pt idx="1518">
                  <c:v>28</c:v>
                </c:pt>
                <c:pt idx="1519">
                  <c:v>29</c:v>
                </c:pt>
                <c:pt idx="1520">
                  <c:v>30</c:v>
                </c:pt>
                <c:pt idx="1521">
                  <c:v>31</c:v>
                </c:pt>
                <c:pt idx="1522">
                  <c:v>32</c:v>
                </c:pt>
                <c:pt idx="1523">
                  <c:v>33</c:v>
                </c:pt>
                <c:pt idx="1524">
                  <c:v>34</c:v>
                </c:pt>
                <c:pt idx="1525">
                  <c:v>35</c:v>
                </c:pt>
                <c:pt idx="1526">
                  <c:v>36</c:v>
                </c:pt>
                <c:pt idx="1527">
                  <c:v>37</c:v>
                </c:pt>
                <c:pt idx="1528">
                  <c:v>10</c:v>
                </c:pt>
                <c:pt idx="1529">
                  <c:v>11</c:v>
                </c:pt>
                <c:pt idx="1530">
                  <c:v>12</c:v>
                </c:pt>
                <c:pt idx="1531">
                  <c:v>13</c:v>
                </c:pt>
                <c:pt idx="1532">
                  <c:v>14</c:v>
                </c:pt>
                <c:pt idx="1533">
                  <c:v>15</c:v>
                </c:pt>
                <c:pt idx="1534">
                  <c:v>16</c:v>
                </c:pt>
                <c:pt idx="1535">
                  <c:v>17</c:v>
                </c:pt>
                <c:pt idx="1536">
                  <c:v>18</c:v>
                </c:pt>
                <c:pt idx="1537">
                  <c:v>19</c:v>
                </c:pt>
                <c:pt idx="1538">
                  <c:v>20</c:v>
                </c:pt>
                <c:pt idx="1539">
                  <c:v>21</c:v>
                </c:pt>
                <c:pt idx="1540">
                  <c:v>22</c:v>
                </c:pt>
                <c:pt idx="1541">
                  <c:v>23</c:v>
                </c:pt>
                <c:pt idx="1542">
                  <c:v>24</c:v>
                </c:pt>
                <c:pt idx="1543">
                  <c:v>25</c:v>
                </c:pt>
                <c:pt idx="1544">
                  <c:v>26</c:v>
                </c:pt>
                <c:pt idx="1545">
                  <c:v>27</c:v>
                </c:pt>
                <c:pt idx="1546">
                  <c:v>28</c:v>
                </c:pt>
                <c:pt idx="1547">
                  <c:v>29</c:v>
                </c:pt>
                <c:pt idx="1548">
                  <c:v>30</c:v>
                </c:pt>
                <c:pt idx="1549">
                  <c:v>31</c:v>
                </c:pt>
                <c:pt idx="1550">
                  <c:v>32</c:v>
                </c:pt>
                <c:pt idx="1551">
                  <c:v>33</c:v>
                </c:pt>
                <c:pt idx="1552">
                  <c:v>34</c:v>
                </c:pt>
                <c:pt idx="1553">
                  <c:v>35</c:v>
                </c:pt>
                <c:pt idx="1554">
                  <c:v>36</c:v>
                </c:pt>
                <c:pt idx="1555">
                  <c:v>10</c:v>
                </c:pt>
                <c:pt idx="1556">
                  <c:v>11</c:v>
                </c:pt>
                <c:pt idx="1557">
                  <c:v>12</c:v>
                </c:pt>
                <c:pt idx="1558">
                  <c:v>13</c:v>
                </c:pt>
                <c:pt idx="1559">
                  <c:v>14</c:v>
                </c:pt>
                <c:pt idx="1560">
                  <c:v>15</c:v>
                </c:pt>
                <c:pt idx="1561">
                  <c:v>16</c:v>
                </c:pt>
                <c:pt idx="1562">
                  <c:v>17</c:v>
                </c:pt>
                <c:pt idx="1563">
                  <c:v>18</c:v>
                </c:pt>
                <c:pt idx="1564">
                  <c:v>19</c:v>
                </c:pt>
                <c:pt idx="1565">
                  <c:v>20</c:v>
                </c:pt>
                <c:pt idx="1566">
                  <c:v>21</c:v>
                </c:pt>
                <c:pt idx="1567">
                  <c:v>22</c:v>
                </c:pt>
                <c:pt idx="1568">
                  <c:v>23</c:v>
                </c:pt>
                <c:pt idx="1569">
                  <c:v>24</c:v>
                </c:pt>
                <c:pt idx="1570">
                  <c:v>25</c:v>
                </c:pt>
                <c:pt idx="1571">
                  <c:v>26</c:v>
                </c:pt>
                <c:pt idx="1572">
                  <c:v>27</c:v>
                </c:pt>
                <c:pt idx="1573">
                  <c:v>28</c:v>
                </c:pt>
                <c:pt idx="1574">
                  <c:v>29</c:v>
                </c:pt>
                <c:pt idx="1575">
                  <c:v>30</c:v>
                </c:pt>
                <c:pt idx="1576">
                  <c:v>31</c:v>
                </c:pt>
                <c:pt idx="1577">
                  <c:v>32</c:v>
                </c:pt>
                <c:pt idx="1578">
                  <c:v>33</c:v>
                </c:pt>
                <c:pt idx="1579">
                  <c:v>34</c:v>
                </c:pt>
                <c:pt idx="1580">
                  <c:v>35</c:v>
                </c:pt>
                <c:pt idx="1581">
                  <c:v>1000</c:v>
                </c:pt>
              </c:numCache>
            </c:numRef>
          </c:yVal>
          <c:bubbleSize>
            <c:numRef>
              <c:f>卡片数值分配统计!$AB$3:$AB$1584</c:f>
              <c:numCache>
                <c:formatCode>General</c:formatCode>
                <c:ptCount val="15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1</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1</c:v>
                </c:pt>
                <c:pt idx="176">
                  <c:v>0</c:v>
                </c:pt>
                <c:pt idx="177">
                  <c:v>0</c:v>
                </c:pt>
                <c:pt idx="178">
                  <c:v>1</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1</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1</c:v>
                </c:pt>
                <c:pt idx="261">
                  <c:v>1</c:v>
                </c:pt>
                <c:pt idx="262">
                  <c:v>2</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3</c:v>
                </c:pt>
                <c:pt idx="326">
                  <c:v>0</c:v>
                </c:pt>
                <c:pt idx="327">
                  <c:v>0</c:v>
                </c:pt>
                <c:pt idx="328">
                  <c:v>3</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1</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1</c:v>
                </c:pt>
                <c:pt idx="394">
                  <c:v>0</c:v>
                </c:pt>
                <c:pt idx="395">
                  <c:v>2</c:v>
                </c:pt>
                <c:pt idx="396">
                  <c:v>3</c:v>
                </c:pt>
                <c:pt idx="397">
                  <c:v>0</c:v>
                </c:pt>
                <c:pt idx="398">
                  <c:v>2</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2</c:v>
                </c:pt>
                <c:pt idx="428">
                  <c:v>1</c:v>
                </c:pt>
                <c:pt idx="429">
                  <c:v>0</c:v>
                </c:pt>
                <c:pt idx="430">
                  <c:v>1</c:v>
                </c:pt>
                <c:pt idx="431">
                  <c:v>0</c:v>
                </c:pt>
                <c:pt idx="432">
                  <c:v>2</c:v>
                </c:pt>
                <c:pt idx="433">
                  <c:v>0</c:v>
                </c:pt>
                <c:pt idx="434">
                  <c:v>0</c:v>
                </c:pt>
                <c:pt idx="435">
                  <c:v>1</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2</c:v>
                </c:pt>
                <c:pt idx="465">
                  <c:v>1</c:v>
                </c:pt>
                <c:pt idx="466">
                  <c:v>2</c:v>
                </c:pt>
                <c:pt idx="467">
                  <c:v>3</c:v>
                </c:pt>
                <c:pt idx="468">
                  <c:v>0</c:v>
                </c:pt>
                <c:pt idx="469">
                  <c:v>0</c:v>
                </c:pt>
                <c:pt idx="470">
                  <c:v>0</c:v>
                </c:pt>
                <c:pt idx="471">
                  <c:v>1</c:v>
                </c:pt>
                <c:pt idx="472">
                  <c:v>3</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1</c:v>
                </c:pt>
                <c:pt idx="499">
                  <c:v>0</c:v>
                </c:pt>
                <c:pt idx="500">
                  <c:v>0</c:v>
                </c:pt>
                <c:pt idx="501">
                  <c:v>1</c:v>
                </c:pt>
                <c:pt idx="502">
                  <c:v>0</c:v>
                </c:pt>
                <c:pt idx="503">
                  <c:v>0</c:v>
                </c:pt>
                <c:pt idx="504">
                  <c:v>0</c:v>
                </c:pt>
                <c:pt idx="505">
                  <c:v>0</c:v>
                </c:pt>
                <c:pt idx="506">
                  <c:v>0</c:v>
                </c:pt>
                <c:pt idx="507">
                  <c:v>0</c:v>
                </c:pt>
                <c:pt idx="508">
                  <c:v>5</c:v>
                </c:pt>
                <c:pt idx="509">
                  <c:v>1</c:v>
                </c:pt>
                <c:pt idx="510">
                  <c:v>1</c:v>
                </c:pt>
                <c:pt idx="511">
                  <c:v>1</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2</c:v>
                </c:pt>
                <c:pt idx="540">
                  <c:v>1</c:v>
                </c:pt>
                <c:pt idx="541">
                  <c:v>2</c:v>
                </c:pt>
                <c:pt idx="542">
                  <c:v>0</c:v>
                </c:pt>
                <c:pt idx="543">
                  <c:v>1</c:v>
                </c:pt>
                <c:pt idx="544">
                  <c:v>3</c:v>
                </c:pt>
                <c:pt idx="545">
                  <c:v>4</c:v>
                </c:pt>
                <c:pt idx="546">
                  <c:v>0</c:v>
                </c:pt>
                <c:pt idx="547">
                  <c:v>2</c:v>
                </c:pt>
                <c:pt idx="548">
                  <c:v>1</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1</c:v>
                </c:pt>
                <c:pt idx="583">
                  <c:v>0</c:v>
                </c:pt>
                <c:pt idx="584">
                  <c:v>4</c:v>
                </c:pt>
                <c:pt idx="585">
                  <c:v>3</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1</c:v>
                </c:pt>
                <c:pt idx="619">
                  <c:v>0</c:v>
                </c:pt>
                <c:pt idx="620">
                  <c:v>5</c:v>
                </c:pt>
                <c:pt idx="621">
                  <c:v>1</c:v>
                </c:pt>
                <c:pt idx="622">
                  <c:v>0</c:v>
                </c:pt>
                <c:pt idx="623">
                  <c:v>2</c:v>
                </c:pt>
                <c:pt idx="624">
                  <c:v>2</c:v>
                </c:pt>
                <c:pt idx="625">
                  <c:v>24</c:v>
                </c:pt>
                <c:pt idx="626">
                  <c:v>0</c:v>
                </c:pt>
                <c:pt idx="627">
                  <c:v>5</c:v>
                </c:pt>
                <c:pt idx="628">
                  <c:v>0</c:v>
                </c:pt>
                <c:pt idx="629">
                  <c:v>0</c:v>
                </c:pt>
                <c:pt idx="630">
                  <c:v>25</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3</c:v>
                </c:pt>
                <c:pt idx="667">
                  <c:v>0</c:v>
                </c:pt>
                <c:pt idx="668">
                  <c:v>1</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1</c:v>
                </c:pt>
                <c:pt idx="705">
                  <c:v>1</c:v>
                </c:pt>
                <c:pt idx="706">
                  <c:v>0</c:v>
                </c:pt>
                <c:pt idx="707">
                  <c:v>0</c:v>
                </c:pt>
                <c:pt idx="708">
                  <c:v>0</c:v>
                </c:pt>
                <c:pt idx="709">
                  <c:v>0</c:v>
                </c:pt>
                <c:pt idx="710">
                  <c:v>4</c:v>
                </c:pt>
                <c:pt idx="711">
                  <c:v>0</c:v>
                </c:pt>
                <c:pt idx="712">
                  <c:v>0</c:v>
                </c:pt>
                <c:pt idx="713">
                  <c:v>0</c:v>
                </c:pt>
                <c:pt idx="714">
                  <c:v>1</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1</c:v>
                </c:pt>
                <c:pt idx="753">
                  <c:v>0</c:v>
                </c:pt>
                <c:pt idx="754">
                  <c:v>0</c:v>
                </c:pt>
                <c:pt idx="755">
                  <c:v>0</c:v>
                </c:pt>
                <c:pt idx="756">
                  <c:v>5</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1</c:v>
                </c:pt>
                <c:pt idx="795">
                  <c:v>0</c:v>
                </c:pt>
                <c:pt idx="796">
                  <c:v>0</c:v>
                </c:pt>
                <c:pt idx="797">
                  <c:v>0</c:v>
                </c:pt>
                <c:pt idx="798">
                  <c:v>1</c:v>
                </c:pt>
                <c:pt idx="799">
                  <c:v>0</c:v>
                </c:pt>
                <c:pt idx="800">
                  <c:v>0</c:v>
                </c:pt>
                <c:pt idx="801">
                  <c:v>0</c:v>
                </c:pt>
                <c:pt idx="802">
                  <c:v>3</c:v>
                </c:pt>
                <c:pt idx="803">
                  <c:v>1</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6</c:v>
                </c:pt>
                <c:pt idx="848">
                  <c:v>5</c:v>
                </c:pt>
                <c:pt idx="849">
                  <c:v>2</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1</c:v>
                </c:pt>
                <c:pt idx="891">
                  <c:v>0</c:v>
                </c:pt>
                <c:pt idx="892">
                  <c:v>0</c:v>
                </c:pt>
                <c:pt idx="893">
                  <c:v>0</c:v>
                </c:pt>
                <c:pt idx="894">
                  <c:v>0</c:v>
                </c:pt>
                <c:pt idx="895">
                  <c:v>3</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1</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1</c:v>
                </c:pt>
                <c:pt idx="935">
                  <c:v>0</c:v>
                </c:pt>
                <c:pt idx="936">
                  <c:v>2</c:v>
                </c:pt>
                <c:pt idx="937">
                  <c:v>0</c:v>
                </c:pt>
                <c:pt idx="938">
                  <c:v>1</c:v>
                </c:pt>
                <c:pt idx="939">
                  <c:v>2</c:v>
                </c:pt>
                <c:pt idx="940">
                  <c:v>4</c:v>
                </c:pt>
                <c:pt idx="941">
                  <c:v>3</c:v>
                </c:pt>
                <c:pt idx="942">
                  <c:v>0</c:v>
                </c:pt>
                <c:pt idx="943">
                  <c:v>4</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2</c:v>
                </c:pt>
                <c:pt idx="978">
                  <c:v>0</c:v>
                </c:pt>
                <c:pt idx="979">
                  <c:v>0</c:v>
                </c:pt>
                <c:pt idx="980">
                  <c:v>3</c:v>
                </c:pt>
                <c:pt idx="981">
                  <c:v>4</c:v>
                </c:pt>
                <c:pt idx="982">
                  <c:v>4</c:v>
                </c:pt>
                <c:pt idx="983">
                  <c:v>4</c:v>
                </c:pt>
                <c:pt idx="984">
                  <c:v>2</c:v>
                </c:pt>
                <c:pt idx="985">
                  <c:v>5</c:v>
                </c:pt>
                <c:pt idx="986">
                  <c:v>2</c:v>
                </c:pt>
                <c:pt idx="987">
                  <c:v>0</c:v>
                </c:pt>
                <c:pt idx="988">
                  <c:v>1</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1</c:v>
                </c:pt>
                <c:pt idx="1023">
                  <c:v>1</c:v>
                </c:pt>
                <c:pt idx="1024">
                  <c:v>2</c:v>
                </c:pt>
                <c:pt idx="1025">
                  <c:v>4</c:v>
                </c:pt>
                <c:pt idx="1026">
                  <c:v>0</c:v>
                </c:pt>
                <c:pt idx="1027">
                  <c:v>4</c:v>
                </c:pt>
                <c:pt idx="1028">
                  <c:v>1</c:v>
                </c:pt>
                <c:pt idx="1029">
                  <c:v>0</c:v>
                </c:pt>
                <c:pt idx="1030">
                  <c:v>2</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2</c:v>
                </c:pt>
                <c:pt idx="1058">
                  <c:v>0</c:v>
                </c:pt>
                <c:pt idx="1059">
                  <c:v>1</c:v>
                </c:pt>
                <c:pt idx="1060">
                  <c:v>2</c:v>
                </c:pt>
                <c:pt idx="1061">
                  <c:v>1</c:v>
                </c:pt>
                <c:pt idx="1062">
                  <c:v>0</c:v>
                </c:pt>
                <c:pt idx="1063">
                  <c:v>0</c:v>
                </c:pt>
                <c:pt idx="1064">
                  <c:v>0</c:v>
                </c:pt>
                <c:pt idx="1065">
                  <c:v>25</c:v>
                </c:pt>
                <c:pt idx="1066">
                  <c:v>0</c:v>
                </c:pt>
                <c:pt idx="1067">
                  <c:v>5</c:v>
                </c:pt>
                <c:pt idx="1068">
                  <c:v>2</c:v>
                </c:pt>
                <c:pt idx="1069">
                  <c:v>0</c:v>
                </c:pt>
                <c:pt idx="1070">
                  <c:v>4</c:v>
                </c:pt>
                <c:pt idx="1071">
                  <c:v>0</c:v>
                </c:pt>
                <c:pt idx="1072">
                  <c:v>2</c:v>
                </c:pt>
                <c:pt idx="1073">
                  <c:v>0</c:v>
                </c:pt>
                <c:pt idx="1074">
                  <c:v>1</c:v>
                </c:pt>
                <c:pt idx="1075">
                  <c:v>1</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1</c:v>
                </c:pt>
                <c:pt idx="1101">
                  <c:v>0</c:v>
                </c:pt>
                <c:pt idx="1102">
                  <c:v>0</c:v>
                </c:pt>
                <c:pt idx="1103">
                  <c:v>0</c:v>
                </c:pt>
                <c:pt idx="1104">
                  <c:v>0</c:v>
                </c:pt>
                <c:pt idx="1105">
                  <c:v>1</c:v>
                </c:pt>
                <c:pt idx="1106">
                  <c:v>1</c:v>
                </c:pt>
                <c:pt idx="1107">
                  <c:v>0</c:v>
                </c:pt>
                <c:pt idx="1108">
                  <c:v>3</c:v>
                </c:pt>
                <c:pt idx="1109">
                  <c:v>0</c:v>
                </c:pt>
                <c:pt idx="1110">
                  <c:v>1</c:v>
                </c:pt>
                <c:pt idx="1111">
                  <c:v>0</c:v>
                </c:pt>
                <c:pt idx="1112">
                  <c:v>5</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1</c:v>
                </c:pt>
                <c:pt idx="1135">
                  <c:v>0</c:v>
                </c:pt>
                <c:pt idx="1136">
                  <c:v>0</c:v>
                </c:pt>
                <c:pt idx="1137">
                  <c:v>0</c:v>
                </c:pt>
                <c:pt idx="1138">
                  <c:v>1</c:v>
                </c:pt>
                <c:pt idx="1139">
                  <c:v>0</c:v>
                </c:pt>
                <c:pt idx="1140">
                  <c:v>1</c:v>
                </c:pt>
                <c:pt idx="1141">
                  <c:v>0</c:v>
                </c:pt>
                <c:pt idx="1142">
                  <c:v>1</c:v>
                </c:pt>
                <c:pt idx="1143">
                  <c:v>1</c:v>
                </c:pt>
                <c:pt idx="1144">
                  <c:v>2</c:v>
                </c:pt>
                <c:pt idx="1145">
                  <c:v>1</c:v>
                </c:pt>
                <c:pt idx="1146">
                  <c:v>9</c:v>
                </c:pt>
                <c:pt idx="1147">
                  <c:v>0</c:v>
                </c:pt>
                <c:pt idx="1148">
                  <c:v>0</c:v>
                </c:pt>
                <c:pt idx="1149">
                  <c:v>3</c:v>
                </c:pt>
                <c:pt idx="1150">
                  <c:v>0</c:v>
                </c:pt>
                <c:pt idx="1151">
                  <c:v>3</c:v>
                </c:pt>
                <c:pt idx="1152">
                  <c:v>5</c:v>
                </c:pt>
                <c:pt idx="1153">
                  <c:v>0</c:v>
                </c:pt>
                <c:pt idx="1154">
                  <c:v>1</c:v>
                </c:pt>
                <c:pt idx="1155">
                  <c:v>1</c:v>
                </c:pt>
                <c:pt idx="1156">
                  <c:v>0</c:v>
                </c:pt>
                <c:pt idx="1157">
                  <c:v>0</c:v>
                </c:pt>
                <c:pt idx="1158">
                  <c:v>2</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3</c:v>
                </c:pt>
                <c:pt idx="1187">
                  <c:v>2</c:v>
                </c:pt>
                <c:pt idx="1188">
                  <c:v>0</c:v>
                </c:pt>
                <c:pt idx="1189">
                  <c:v>1</c:v>
                </c:pt>
                <c:pt idx="1190">
                  <c:v>1</c:v>
                </c:pt>
                <c:pt idx="1191">
                  <c:v>2</c:v>
                </c:pt>
                <c:pt idx="1192">
                  <c:v>3</c:v>
                </c:pt>
                <c:pt idx="1193">
                  <c:v>3</c:v>
                </c:pt>
                <c:pt idx="1194">
                  <c:v>4</c:v>
                </c:pt>
                <c:pt idx="1195">
                  <c:v>1</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1</c:v>
                </c:pt>
                <c:pt idx="1214">
                  <c:v>0</c:v>
                </c:pt>
                <c:pt idx="1215">
                  <c:v>0</c:v>
                </c:pt>
                <c:pt idx="1216">
                  <c:v>0</c:v>
                </c:pt>
                <c:pt idx="1217">
                  <c:v>0</c:v>
                </c:pt>
                <c:pt idx="1218">
                  <c:v>0</c:v>
                </c:pt>
                <c:pt idx="1219">
                  <c:v>0</c:v>
                </c:pt>
                <c:pt idx="1220">
                  <c:v>0</c:v>
                </c:pt>
                <c:pt idx="1221">
                  <c:v>0</c:v>
                </c:pt>
                <c:pt idx="1222">
                  <c:v>0</c:v>
                </c:pt>
                <c:pt idx="1223">
                  <c:v>0</c:v>
                </c:pt>
                <c:pt idx="1224">
                  <c:v>1</c:v>
                </c:pt>
                <c:pt idx="1225">
                  <c:v>0</c:v>
                </c:pt>
                <c:pt idx="1226">
                  <c:v>3</c:v>
                </c:pt>
                <c:pt idx="1227">
                  <c:v>1</c:v>
                </c:pt>
                <c:pt idx="1228">
                  <c:v>2</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1</c:v>
                </c:pt>
                <c:pt idx="1257">
                  <c:v>0</c:v>
                </c:pt>
                <c:pt idx="1258">
                  <c:v>0</c:v>
                </c:pt>
                <c:pt idx="1259">
                  <c:v>0</c:v>
                </c:pt>
                <c:pt idx="1260">
                  <c:v>1</c:v>
                </c:pt>
                <c:pt idx="1261">
                  <c:v>0</c:v>
                </c:pt>
                <c:pt idx="1262">
                  <c:v>0</c:v>
                </c:pt>
                <c:pt idx="1263">
                  <c:v>0</c:v>
                </c:pt>
                <c:pt idx="1264">
                  <c:v>0</c:v>
                </c:pt>
                <c:pt idx="1265">
                  <c:v>10</c:v>
                </c:pt>
                <c:pt idx="1266">
                  <c:v>1</c:v>
                </c:pt>
                <c:pt idx="1267">
                  <c:v>0</c:v>
                </c:pt>
                <c:pt idx="1268">
                  <c:v>0</c:v>
                </c:pt>
                <c:pt idx="1269">
                  <c:v>0</c:v>
                </c:pt>
                <c:pt idx="1270">
                  <c:v>0</c:v>
                </c:pt>
                <c:pt idx="1271">
                  <c:v>0</c:v>
                </c:pt>
                <c:pt idx="1272">
                  <c:v>4</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1</c:v>
                </c:pt>
                <c:pt idx="1295">
                  <c:v>0</c:v>
                </c:pt>
                <c:pt idx="1296">
                  <c:v>0</c:v>
                </c:pt>
                <c:pt idx="1297">
                  <c:v>1</c:v>
                </c:pt>
                <c:pt idx="1298">
                  <c:v>0</c:v>
                </c:pt>
                <c:pt idx="1299">
                  <c:v>0</c:v>
                </c:pt>
                <c:pt idx="1300">
                  <c:v>1</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1</c:v>
                </c:pt>
                <c:pt idx="1333">
                  <c:v>0</c:v>
                </c:pt>
                <c:pt idx="1334">
                  <c:v>2</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1</c:v>
                </c:pt>
                <c:pt idx="1368">
                  <c:v>0</c:v>
                </c:pt>
                <c:pt idx="1369">
                  <c:v>0</c:v>
                </c:pt>
                <c:pt idx="1370">
                  <c:v>2</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1</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1</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1</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26</c:v>
                </c:pt>
              </c:numCache>
            </c:numRef>
          </c:bubbleSize>
          <c:bubble3D val="0"/>
          <c:extLst>
            <c:ext xmlns:c16="http://schemas.microsoft.com/office/drawing/2014/chart" uri="{C3380CC4-5D6E-409C-BE32-E72D297353CC}">
              <c16:uniqueId val="{00000000-77F8-4A83-847D-91024697837A}"/>
            </c:ext>
          </c:extLst>
        </c:ser>
        <c:ser>
          <c:idx val="1"/>
          <c:order val="1"/>
          <c:spPr>
            <a:solidFill>
              <a:srgbClr val="1077D4">
                <a:alpha val="74902"/>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卡片数值分配统计!$T$3:$T$1584</c:f>
              <c:numCache>
                <c:formatCode>General</c:formatCode>
                <c:ptCount val="1582"/>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11</c:v>
                </c:pt>
                <c:pt idx="22">
                  <c:v>11</c:v>
                </c:pt>
                <c:pt idx="23">
                  <c:v>11</c:v>
                </c:pt>
                <c:pt idx="24">
                  <c:v>11</c:v>
                </c:pt>
                <c:pt idx="25">
                  <c:v>11</c:v>
                </c:pt>
                <c:pt idx="26">
                  <c:v>11</c:v>
                </c:pt>
                <c:pt idx="27">
                  <c:v>11</c:v>
                </c:pt>
                <c:pt idx="28">
                  <c:v>11</c:v>
                </c:pt>
                <c:pt idx="29">
                  <c:v>11</c:v>
                </c:pt>
                <c:pt idx="30">
                  <c:v>11</c:v>
                </c:pt>
                <c:pt idx="31">
                  <c:v>11</c:v>
                </c:pt>
                <c:pt idx="32">
                  <c:v>11</c:v>
                </c:pt>
                <c:pt idx="33">
                  <c:v>11</c:v>
                </c:pt>
                <c:pt idx="34">
                  <c:v>11</c:v>
                </c:pt>
                <c:pt idx="35">
                  <c:v>11</c:v>
                </c:pt>
                <c:pt idx="36">
                  <c:v>11</c:v>
                </c:pt>
                <c:pt idx="37">
                  <c:v>11</c:v>
                </c:pt>
                <c:pt idx="38">
                  <c:v>11</c:v>
                </c:pt>
                <c:pt idx="39">
                  <c:v>11</c:v>
                </c:pt>
                <c:pt idx="40">
                  <c:v>11</c:v>
                </c:pt>
                <c:pt idx="41">
                  <c:v>11</c:v>
                </c:pt>
                <c:pt idx="42">
                  <c:v>11</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13</c:v>
                </c:pt>
                <c:pt idx="67">
                  <c:v>13</c:v>
                </c:pt>
                <c:pt idx="68">
                  <c:v>13</c:v>
                </c:pt>
                <c:pt idx="69">
                  <c:v>13</c:v>
                </c:pt>
                <c:pt idx="70">
                  <c:v>13</c:v>
                </c:pt>
                <c:pt idx="71">
                  <c:v>13</c:v>
                </c:pt>
                <c:pt idx="72">
                  <c:v>13</c:v>
                </c:pt>
                <c:pt idx="73">
                  <c:v>13</c:v>
                </c:pt>
                <c:pt idx="74">
                  <c:v>13</c:v>
                </c:pt>
                <c:pt idx="75">
                  <c:v>13</c:v>
                </c:pt>
                <c:pt idx="76">
                  <c:v>13</c:v>
                </c:pt>
                <c:pt idx="77">
                  <c:v>13</c:v>
                </c:pt>
                <c:pt idx="78">
                  <c:v>13</c:v>
                </c:pt>
                <c:pt idx="79">
                  <c:v>13</c:v>
                </c:pt>
                <c:pt idx="80">
                  <c:v>13</c:v>
                </c:pt>
                <c:pt idx="81">
                  <c:v>13</c:v>
                </c:pt>
                <c:pt idx="82">
                  <c:v>13</c:v>
                </c:pt>
                <c:pt idx="83">
                  <c:v>13</c:v>
                </c:pt>
                <c:pt idx="84">
                  <c:v>13</c:v>
                </c:pt>
                <c:pt idx="85">
                  <c:v>13</c:v>
                </c:pt>
                <c:pt idx="86">
                  <c:v>13</c:v>
                </c:pt>
                <c:pt idx="87">
                  <c:v>13</c:v>
                </c:pt>
                <c:pt idx="88">
                  <c:v>13</c:v>
                </c:pt>
                <c:pt idx="89">
                  <c:v>13</c:v>
                </c:pt>
                <c:pt idx="90">
                  <c:v>14</c:v>
                </c:pt>
                <c:pt idx="91">
                  <c:v>14</c:v>
                </c:pt>
                <c:pt idx="92">
                  <c:v>14</c:v>
                </c:pt>
                <c:pt idx="93">
                  <c:v>14</c:v>
                </c:pt>
                <c:pt idx="94">
                  <c:v>14</c:v>
                </c:pt>
                <c:pt idx="95">
                  <c:v>14</c:v>
                </c:pt>
                <c:pt idx="96">
                  <c:v>14</c:v>
                </c:pt>
                <c:pt idx="97">
                  <c:v>14</c:v>
                </c:pt>
                <c:pt idx="98">
                  <c:v>14</c:v>
                </c:pt>
                <c:pt idx="99">
                  <c:v>14</c:v>
                </c:pt>
                <c:pt idx="100">
                  <c:v>14</c:v>
                </c:pt>
                <c:pt idx="101">
                  <c:v>14</c:v>
                </c:pt>
                <c:pt idx="102">
                  <c:v>14</c:v>
                </c:pt>
                <c:pt idx="103">
                  <c:v>14</c:v>
                </c:pt>
                <c:pt idx="104">
                  <c:v>14</c:v>
                </c:pt>
                <c:pt idx="105">
                  <c:v>14</c:v>
                </c:pt>
                <c:pt idx="106">
                  <c:v>14</c:v>
                </c:pt>
                <c:pt idx="107">
                  <c:v>14</c:v>
                </c:pt>
                <c:pt idx="108">
                  <c:v>14</c:v>
                </c:pt>
                <c:pt idx="109">
                  <c:v>14</c:v>
                </c:pt>
                <c:pt idx="110">
                  <c:v>14</c:v>
                </c:pt>
                <c:pt idx="111">
                  <c:v>14</c:v>
                </c:pt>
                <c:pt idx="112">
                  <c:v>14</c:v>
                </c:pt>
                <c:pt idx="113">
                  <c:v>14</c:v>
                </c:pt>
                <c:pt idx="114">
                  <c:v>14</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16</c:v>
                </c:pt>
                <c:pt idx="142">
                  <c:v>16</c:v>
                </c:pt>
                <c:pt idx="143">
                  <c:v>16</c:v>
                </c:pt>
                <c:pt idx="144">
                  <c:v>16</c:v>
                </c:pt>
                <c:pt idx="145">
                  <c:v>16</c:v>
                </c:pt>
                <c:pt idx="146">
                  <c:v>16</c:v>
                </c:pt>
                <c:pt idx="147">
                  <c:v>16</c:v>
                </c:pt>
                <c:pt idx="148">
                  <c:v>16</c:v>
                </c:pt>
                <c:pt idx="149">
                  <c:v>16</c:v>
                </c:pt>
                <c:pt idx="150">
                  <c:v>16</c:v>
                </c:pt>
                <c:pt idx="151">
                  <c:v>16</c:v>
                </c:pt>
                <c:pt idx="152">
                  <c:v>16</c:v>
                </c:pt>
                <c:pt idx="153">
                  <c:v>16</c:v>
                </c:pt>
                <c:pt idx="154">
                  <c:v>16</c:v>
                </c:pt>
                <c:pt idx="155">
                  <c:v>16</c:v>
                </c:pt>
                <c:pt idx="156">
                  <c:v>16</c:v>
                </c:pt>
                <c:pt idx="157">
                  <c:v>16</c:v>
                </c:pt>
                <c:pt idx="158">
                  <c:v>16</c:v>
                </c:pt>
                <c:pt idx="159">
                  <c:v>16</c:v>
                </c:pt>
                <c:pt idx="160">
                  <c:v>16</c:v>
                </c:pt>
                <c:pt idx="161">
                  <c:v>16</c:v>
                </c:pt>
                <c:pt idx="162">
                  <c:v>16</c:v>
                </c:pt>
                <c:pt idx="163">
                  <c:v>16</c:v>
                </c:pt>
                <c:pt idx="164">
                  <c:v>16</c:v>
                </c:pt>
                <c:pt idx="165">
                  <c:v>16</c:v>
                </c:pt>
                <c:pt idx="166">
                  <c:v>16</c:v>
                </c:pt>
                <c:pt idx="167">
                  <c:v>16</c:v>
                </c:pt>
                <c:pt idx="168">
                  <c:v>17</c:v>
                </c:pt>
                <c:pt idx="169">
                  <c:v>17</c:v>
                </c:pt>
                <c:pt idx="170">
                  <c:v>17</c:v>
                </c:pt>
                <c:pt idx="171">
                  <c:v>17</c:v>
                </c:pt>
                <c:pt idx="172">
                  <c:v>17</c:v>
                </c:pt>
                <c:pt idx="173">
                  <c:v>17</c:v>
                </c:pt>
                <c:pt idx="174">
                  <c:v>17</c:v>
                </c:pt>
                <c:pt idx="175">
                  <c:v>17</c:v>
                </c:pt>
                <c:pt idx="176">
                  <c:v>17</c:v>
                </c:pt>
                <c:pt idx="177">
                  <c:v>17</c:v>
                </c:pt>
                <c:pt idx="178">
                  <c:v>17</c:v>
                </c:pt>
                <c:pt idx="179">
                  <c:v>17</c:v>
                </c:pt>
                <c:pt idx="180">
                  <c:v>17</c:v>
                </c:pt>
                <c:pt idx="181">
                  <c:v>17</c:v>
                </c:pt>
                <c:pt idx="182">
                  <c:v>17</c:v>
                </c:pt>
                <c:pt idx="183">
                  <c:v>17</c:v>
                </c:pt>
                <c:pt idx="184">
                  <c:v>17</c:v>
                </c:pt>
                <c:pt idx="185">
                  <c:v>17</c:v>
                </c:pt>
                <c:pt idx="186">
                  <c:v>17</c:v>
                </c:pt>
                <c:pt idx="187">
                  <c:v>17</c:v>
                </c:pt>
                <c:pt idx="188">
                  <c:v>17</c:v>
                </c:pt>
                <c:pt idx="189">
                  <c:v>17</c:v>
                </c:pt>
                <c:pt idx="190">
                  <c:v>17</c:v>
                </c:pt>
                <c:pt idx="191">
                  <c:v>17</c:v>
                </c:pt>
                <c:pt idx="192">
                  <c:v>17</c:v>
                </c:pt>
                <c:pt idx="193">
                  <c:v>17</c:v>
                </c:pt>
                <c:pt idx="194">
                  <c:v>17</c:v>
                </c:pt>
                <c:pt idx="195">
                  <c:v>17</c:v>
                </c:pt>
                <c:pt idx="196">
                  <c:v>18</c:v>
                </c:pt>
                <c:pt idx="197">
                  <c:v>18</c:v>
                </c:pt>
                <c:pt idx="198">
                  <c:v>18</c:v>
                </c:pt>
                <c:pt idx="199">
                  <c:v>18</c:v>
                </c:pt>
                <c:pt idx="200">
                  <c:v>18</c:v>
                </c:pt>
                <c:pt idx="201">
                  <c:v>18</c:v>
                </c:pt>
                <c:pt idx="202">
                  <c:v>18</c:v>
                </c:pt>
                <c:pt idx="203">
                  <c:v>18</c:v>
                </c:pt>
                <c:pt idx="204">
                  <c:v>18</c:v>
                </c:pt>
                <c:pt idx="205">
                  <c:v>18</c:v>
                </c:pt>
                <c:pt idx="206">
                  <c:v>18</c:v>
                </c:pt>
                <c:pt idx="207">
                  <c:v>18</c:v>
                </c:pt>
                <c:pt idx="208">
                  <c:v>18</c:v>
                </c:pt>
                <c:pt idx="209">
                  <c:v>18</c:v>
                </c:pt>
                <c:pt idx="210">
                  <c:v>18</c:v>
                </c:pt>
                <c:pt idx="211">
                  <c:v>18</c:v>
                </c:pt>
                <c:pt idx="212">
                  <c:v>18</c:v>
                </c:pt>
                <c:pt idx="213">
                  <c:v>18</c:v>
                </c:pt>
                <c:pt idx="214">
                  <c:v>18</c:v>
                </c:pt>
                <c:pt idx="215">
                  <c:v>18</c:v>
                </c:pt>
                <c:pt idx="216">
                  <c:v>18</c:v>
                </c:pt>
                <c:pt idx="217">
                  <c:v>18</c:v>
                </c:pt>
                <c:pt idx="218">
                  <c:v>18</c:v>
                </c:pt>
                <c:pt idx="219">
                  <c:v>18</c:v>
                </c:pt>
                <c:pt idx="220">
                  <c:v>18</c:v>
                </c:pt>
                <c:pt idx="221">
                  <c:v>18</c:v>
                </c:pt>
                <c:pt idx="222">
                  <c:v>18</c:v>
                </c:pt>
                <c:pt idx="223">
                  <c:v>18</c:v>
                </c:pt>
                <c:pt idx="224">
                  <c:v>18</c:v>
                </c:pt>
                <c:pt idx="225">
                  <c:v>19</c:v>
                </c:pt>
                <c:pt idx="226">
                  <c:v>19</c:v>
                </c:pt>
                <c:pt idx="227">
                  <c:v>19</c:v>
                </c:pt>
                <c:pt idx="228">
                  <c:v>19</c:v>
                </c:pt>
                <c:pt idx="229">
                  <c:v>19</c:v>
                </c:pt>
                <c:pt idx="230">
                  <c:v>19</c:v>
                </c:pt>
                <c:pt idx="231">
                  <c:v>19</c:v>
                </c:pt>
                <c:pt idx="232">
                  <c:v>19</c:v>
                </c:pt>
                <c:pt idx="233">
                  <c:v>19</c:v>
                </c:pt>
                <c:pt idx="234">
                  <c:v>19</c:v>
                </c:pt>
                <c:pt idx="235">
                  <c:v>19</c:v>
                </c:pt>
                <c:pt idx="236">
                  <c:v>19</c:v>
                </c:pt>
                <c:pt idx="237">
                  <c:v>19</c:v>
                </c:pt>
                <c:pt idx="238">
                  <c:v>19</c:v>
                </c:pt>
                <c:pt idx="239">
                  <c:v>19</c:v>
                </c:pt>
                <c:pt idx="240">
                  <c:v>19</c:v>
                </c:pt>
                <c:pt idx="241">
                  <c:v>19</c:v>
                </c:pt>
                <c:pt idx="242">
                  <c:v>19</c:v>
                </c:pt>
                <c:pt idx="243">
                  <c:v>19</c:v>
                </c:pt>
                <c:pt idx="244">
                  <c:v>19</c:v>
                </c:pt>
                <c:pt idx="245">
                  <c:v>19</c:v>
                </c:pt>
                <c:pt idx="246">
                  <c:v>19</c:v>
                </c:pt>
                <c:pt idx="247">
                  <c:v>19</c:v>
                </c:pt>
                <c:pt idx="248">
                  <c:v>19</c:v>
                </c:pt>
                <c:pt idx="249">
                  <c:v>19</c:v>
                </c:pt>
                <c:pt idx="250">
                  <c:v>19</c:v>
                </c:pt>
                <c:pt idx="251">
                  <c:v>19</c:v>
                </c:pt>
                <c:pt idx="252">
                  <c:v>19</c:v>
                </c:pt>
                <c:pt idx="253">
                  <c:v>19</c:v>
                </c:pt>
                <c:pt idx="254">
                  <c:v>19</c:v>
                </c:pt>
                <c:pt idx="255">
                  <c:v>20</c:v>
                </c:pt>
                <c:pt idx="256">
                  <c:v>20</c:v>
                </c:pt>
                <c:pt idx="257">
                  <c:v>20</c:v>
                </c:pt>
                <c:pt idx="258">
                  <c:v>20</c:v>
                </c:pt>
                <c:pt idx="259">
                  <c:v>20</c:v>
                </c:pt>
                <c:pt idx="260">
                  <c:v>20</c:v>
                </c:pt>
                <c:pt idx="261">
                  <c:v>20</c:v>
                </c:pt>
                <c:pt idx="262">
                  <c:v>20</c:v>
                </c:pt>
                <c:pt idx="263">
                  <c:v>20</c:v>
                </c:pt>
                <c:pt idx="264">
                  <c:v>20</c:v>
                </c:pt>
                <c:pt idx="265">
                  <c:v>20</c:v>
                </c:pt>
                <c:pt idx="266">
                  <c:v>20</c:v>
                </c:pt>
                <c:pt idx="267">
                  <c:v>20</c:v>
                </c:pt>
                <c:pt idx="268">
                  <c:v>20</c:v>
                </c:pt>
                <c:pt idx="269">
                  <c:v>20</c:v>
                </c:pt>
                <c:pt idx="270">
                  <c:v>20</c:v>
                </c:pt>
                <c:pt idx="271">
                  <c:v>20</c:v>
                </c:pt>
                <c:pt idx="272">
                  <c:v>20</c:v>
                </c:pt>
                <c:pt idx="273">
                  <c:v>20</c:v>
                </c:pt>
                <c:pt idx="274">
                  <c:v>20</c:v>
                </c:pt>
                <c:pt idx="275">
                  <c:v>20</c:v>
                </c:pt>
                <c:pt idx="276">
                  <c:v>20</c:v>
                </c:pt>
                <c:pt idx="277">
                  <c:v>20</c:v>
                </c:pt>
                <c:pt idx="278">
                  <c:v>20</c:v>
                </c:pt>
                <c:pt idx="279">
                  <c:v>20</c:v>
                </c:pt>
                <c:pt idx="280">
                  <c:v>20</c:v>
                </c:pt>
                <c:pt idx="281">
                  <c:v>20</c:v>
                </c:pt>
                <c:pt idx="282">
                  <c:v>20</c:v>
                </c:pt>
                <c:pt idx="283">
                  <c:v>20</c:v>
                </c:pt>
                <c:pt idx="284">
                  <c:v>20</c:v>
                </c:pt>
                <c:pt idx="285">
                  <c:v>20</c:v>
                </c:pt>
                <c:pt idx="286">
                  <c:v>21</c:v>
                </c:pt>
                <c:pt idx="287">
                  <c:v>21</c:v>
                </c:pt>
                <c:pt idx="288">
                  <c:v>21</c:v>
                </c:pt>
                <c:pt idx="289">
                  <c:v>21</c:v>
                </c:pt>
                <c:pt idx="290">
                  <c:v>21</c:v>
                </c:pt>
                <c:pt idx="291">
                  <c:v>21</c:v>
                </c:pt>
                <c:pt idx="292">
                  <c:v>21</c:v>
                </c:pt>
                <c:pt idx="293">
                  <c:v>21</c:v>
                </c:pt>
                <c:pt idx="294">
                  <c:v>21</c:v>
                </c:pt>
                <c:pt idx="295">
                  <c:v>21</c:v>
                </c:pt>
                <c:pt idx="296">
                  <c:v>21</c:v>
                </c:pt>
                <c:pt idx="297">
                  <c:v>21</c:v>
                </c:pt>
                <c:pt idx="298">
                  <c:v>21</c:v>
                </c:pt>
                <c:pt idx="299">
                  <c:v>21</c:v>
                </c:pt>
                <c:pt idx="300">
                  <c:v>21</c:v>
                </c:pt>
                <c:pt idx="301">
                  <c:v>21</c:v>
                </c:pt>
                <c:pt idx="302">
                  <c:v>21</c:v>
                </c:pt>
                <c:pt idx="303">
                  <c:v>21</c:v>
                </c:pt>
                <c:pt idx="304">
                  <c:v>21</c:v>
                </c:pt>
                <c:pt idx="305">
                  <c:v>21</c:v>
                </c:pt>
                <c:pt idx="306">
                  <c:v>21</c:v>
                </c:pt>
                <c:pt idx="307">
                  <c:v>21</c:v>
                </c:pt>
                <c:pt idx="308">
                  <c:v>21</c:v>
                </c:pt>
                <c:pt idx="309">
                  <c:v>21</c:v>
                </c:pt>
                <c:pt idx="310">
                  <c:v>21</c:v>
                </c:pt>
                <c:pt idx="311">
                  <c:v>21</c:v>
                </c:pt>
                <c:pt idx="312">
                  <c:v>21</c:v>
                </c:pt>
                <c:pt idx="313">
                  <c:v>21</c:v>
                </c:pt>
                <c:pt idx="314">
                  <c:v>21</c:v>
                </c:pt>
                <c:pt idx="315">
                  <c:v>21</c:v>
                </c:pt>
                <c:pt idx="316">
                  <c:v>21</c:v>
                </c:pt>
                <c:pt idx="317">
                  <c:v>21</c:v>
                </c:pt>
                <c:pt idx="318">
                  <c:v>22</c:v>
                </c:pt>
                <c:pt idx="319">
                  <c:v>22</c:v>
                </c:pt>
                <c:pt idx="320">
                  <c:v>22</c:v>
                </c:pt>
                <c:pt idx="321">
                  <c:v>22</c:v>
                </c:pt>
                <c:pt idx="322">
                  <c:v>22</c:v>
                </c:pt>
                <c:pt idx="323">
                  <c:v>22</c:v>
                </c:pt>
                <c:pt idx="324">
                  <c:v>22</c:v>
                </c:pt>
                <c:pt idx="325">
                  <c:v>22</c:v>
                </c:pt>
                <c:pt idx="326">
                  <c:v>22</c:v>
                </c:pt>
                <c:pt idx="327">
                  <c:v>22</c:v>
                </c:pt>
                <c:pt idx="328">
                  <c:v>22</c:v>
                </c:pt>
                <c:pt idx="329">
                  <c:v>22</c:v>
                </c:pt>
                <c:pt idx="330">
                  <c:v>22</c:v>
                </c:pt>
                <c:pt idx="331">
                  <c:v>22</c:v>
                </c:pt>
                <c:pt idx="332">
                  <c:v>22</c:v>
                </c:pt>
                <c:pt idx="333">
                  <c:v>22</c:v>
                </c:pt>
                <c:pt idx="334">
                  <c:v>22</c:v>
                </c:pt>
                <c:pt idx="335">
                  <c:v>22</c:v>
                </c:pt>
                <c:pt idx="336">
                  <c:v>22</c:v>
                </c:pt>
                <c:pt idx="337">
                  <c:v>22</c:v>
                </c:pt>
                <c:pt idx="338">
                  <c:v>22</c:v>
                </c:pt>
                <c:pt idx="339">
                  <c:v>22</c:v>
                </c:pt>
                <c:pt idx="340">
                  <c:v>22</c:v>
                </c:pt>
                <c:pt idx="341">
                  <c:v>22</c:v>
                </c:pt>
                <c:pt idx="342">
                  <c:v>22</c:v>
                </c:pt>
                <c:pt idx="343">
                  <c:v>22</c:v>
                </c:pt>
                <c:pt idx="344">
                  <c:v>22</c:v>
                </c:pt>
                <c:pt idx="345">
                  <c:v>22</c:v>
                </c:pt>
                <c:pt idx="346">
                  <c:v>22</c:v>
                </c:pt>
                <c:pt idx="347">
                  <c:v>22</c:v>
                </c:pt>
                <c:pt idx="348">
                  <c:v>22</c:v>
                </c:pt>
                <c:pt idx="349">
                  <c:v>22</c:v>
                </c:pt>
                <c:pt idx="350">
                  <c:v>22</c:v>
                </c:pt>
                <c:pt idx="351">
                  <c:v>23</c:v>
                </c:pt>
                <c:pt idx="352">
                  <c:v>23</c:v>
                </c:pt>
                <c:pt idx="353">
                  <c:v>23</c:v>
                </c:pt>
                <c:pt idx="354">
                  <c:v>23</c:v>
                </c:pt>
                <c:pt idx="355">
                  <c:v>23</c:v>
                </c:pt>
                <c:pt idx="356">
                  <c:v>23</c:v>
                </c:pt>
                <c:pt idx="357">
                  <c:v>23</c:v>
                </c:pt>
                <c:pt idx="358">
                  <c:v>23</c:v>
                </c:pt>
                <c:pt idx="359">
                  <c:v>23</c:v>
                </c:pt>
                <c:pt idx="360">
                  <c:v>23</c:v>
                </c:pt>
                <c:pt idx="361">
                  <c:v>23</c:v>
                </c:pt>
                <c:pt idx="362">
                  <c:v>23</c:v>
                </c:pt>
                <c:pt idx="363">
                  <c:v>23</c:v>
                </c:pt>
                <c:pt idx="364">
                  <c:v>23</c:v>
                </c:pt>
                <c:pt idx="365">
                  <c:v>23</c:v>
                </c:pt>
                <c:pt idx="366">
                  <c:v>23</c:v>
                </c:pt>
                <c:pt idx="367">
                  <c:v>23</c:v>
                </c:pt>
                <c:pt idx="368">
                  <c:v>23</c:v>
                </c:pt>
                <c:pt idx="369">
                  <c:v>23</c:v>
                </c:pt>
                <c:pt idx="370">
                  <c:v>23</c:v>
                </c:pt>
                <c:pt idx="371">
                  <c:v>23</c:v>
                </c:pt>
                <c:pt idx="372">
                  <c:v>23</c:v>
                </c:pt>
                <c:pt idx="373">
                  <c:v>23</c:v>
                </c:pt>
                <c:pt idx="374">
                  <c:v>23</c:v>
                </c:pt>
                <c:pt idx="375">
                  <c:v>23</c:v>
                </c:pt>
                <c:pt idx="376">
                  <c:v>23</c:v>
                </c:pt>
                <c:pt idx="377">
                  <c:v>23</c:v>
                </c:pt>
                <c:pt idx="378">
                  <c:v>23</c:v>
                </c:pt>
                <c:pt idx="379">
                  <c:v>23</c:v>
                </c:pt>
                <c:pt idx="380">
                  <c:v>23</c:v>
                </c:pt>
                <c:pt idx="381">
                  <c:v>23</c:v>
                </c:pt>
                <c:pt idx="382">
                  <c:v>23</c:v>
                </c:pt>
                <c:pt idx="383">
                  <c:v>23</c:v>
                </c:pt>
                <c:pt idx="384">
                  <c:v>23</c:v>
                </c:pt>
                <c:pt idx="385">
                  <c:v>24</c:v>
                </c:pt>
                <c:pt idx="386">
                  <c:v>24</c:v>
                </c:pt>
                <c:pt idx="387">
                  <c:v>24</c:v>
                </c:pt>
                <c:pt idx="388">
                  <c:v>24</c:v>
                </c:pt>
                <c:pt idx="389">
                  <c:v>24</c:v>
                </c:pt>
                <c:pt idx="390">
                  <c:v>24</c:v>
                </c:pt>
                <c:pt idx="391">
                  <c:v>24</c:v>
                </c:pt>
                <c:pt idx="392">
                  <c:v>24</c:v>
                </c:pt>
                <c:pt idx="393">
                  <c:v>24</c:v>
                </c:pt>
                <c:pt idx="394">
                  <c:v>24</c:v>
                </c:pt>
                <c:pt idx="395">
                  <c:v>24</c:v>
                </c:pt>
                <c:pt idx="396">
                  <c:v>24</c:v>
                </c:pt>
                <c:pt idx="397">
                  <c:v>24</c:v>
                </c:pt>
                <c:pt idx="398">
                  <c:v>24</c:v>
                </c:pt>
                <c:pt idx="399">
                  <c:v>24</c:v>
                </c:pt>
                <c:pt idx="400">
                  <c:v>24</c:v>
                </c:pt>
                <c:pt idx="401">
                  <c:v>24</c:v>
                </c:pt>
                <c:pt idx="402">
                  <c:v>24</c:v>
                </c:pt>
                <c:pt idx="403">
                  <c:v>24</c:v>
                </c:pt>
                <c:pt idx="404">
                  <c:v>24</c:v>
                </c:pt>
                <c:pt idx="405">
                  <c:v>24</c:v>
                </c:pt>
                <c:pt idx="406">
                  <c:v>24</c:v>
                </c:pt>
                <c:pt idx="407">
                  <c:v>24</c:v>
                </c:pt>
                <c:pt idx="408">
                  <c:v>24</c:v>
                </c:pt>
                <c:pt idx="409">
                  <c:v>24</c:v>
                </c:pt>
                <c:pt idx="410">
                  <c:v>24</c:v>
                </c:pt>
                <c:pt idx="411">
                  <c:v>24</c:v>
                </c:pt>
                <c:pt idx="412">
                  <c:v>24</c:v>
                </c:pt>
                <c:pt idx="413">
                  <c:v>24</c:v>
                </c:pt>
                <c:pt idx="414">
                  <c:v>24</c:v>
                </c:pt>
                <c:pt idx="415">
                  <c:v>24</c:v>
                </c:pt>
                <c:pt idx="416">
                  <c:v>24</c:v>
                </c:pt>
                <c:pt idx="417">
                  <c:v>24</c:v>
                </c:pt>
                <c:pt idx="418">
                  <c:v>24</c:v>
                </c:pt>
                <c:pt idx="419">
                  <c:v>24</c:v>
                </c:pt>
                <c:pt idx="420">
                  <c:v>25</c:v>
                </c:pt>
                <c:pt idx="421">
                  <c:v>25</c:v>
                </c:pt>
                <c:pt idx="422">
                  <c:v>25</c:v>
                </c:pt>
                <c:pt idx="423">
                  <c:v>25</c:v>
                </c:pt>
                <c:pt idx="424">
                  <c:v>25</c:v>
                </c:pt>
                <c:pt idx="425">
                  <c:v>25</c:v>
                </c:pt>
                <c:pt idx="426">
                  <c:v>25</c:v>
                </c:pt>
                <c:pt idx="427">
                  <c:v>25</c:v>
                </c:pt>
                <c:pt idx="428">
                  <c:v>25</c:v>
                </c:pt>
                <c:pt idx="429">
                  <c:v>25</c:v>
                </c:pt>
                <c:pt idx="430">
                  <c:v>25</c:v>
                </c:pt>
                <c:pt idx="431">
                  <c:v>25</c:v>
                </c:pt>
                <c:pt idx="432">
                  <c:v>25</c:v>
                </c:pt>
                <c:pt idx="433">
                  <c:v>25</c:v>
                </c:pt>
                <c:pt idx="434">
                  <c:v>25</c:v>
                </c:pt>
                <c:pt idx="435">
                  <c:v>25</c:v>
                </c:pt>
                <c:pt idx="436">
                  <c:v>25</c:v>
                </c:pt>
                <c:pt idx="437">
                  <c:v>25</c:v>
                </c:pt>
                <c:pt idx="438">
                  <c:v>25</c:v>
                </c:pt>
                <c:pt idx="439">
                  <c:v>25</c:v>
                </c:pt>
                <c:pt idx="440">
                  <c:v>25</c:v>
                </c:pt>
                <c:pt idx="441">
                  <c:v>25</c:v>
                </c:pt>
                <c:pt idx="442">
                  <c:v>25</c:v>
                </c:pt>
                <c:pt idx="443">
                  <c:v>25</c:v>
                </c:pt>
                <c:pt idx="444">
                  <c:v>25</c:v>
                </c:pt>
                <c:pt idx="445">
                  <c:v>25</c:v>
                </c:pt>
                <c:pt idx="446">
                  <c:v>25</c:v>
                </c:pt>
                <c:pt idx="447">
                  <c:v>25</c:v>
                </c:pt>
                <c:pt idx="448">
                  <c:v>25</c:v>
                </c:pt>
                <c:pt idx="449">
                  <c:v>25</c:v>
                </c:pt>
                <c:pt idx="450">
                  <c:v>25</c:v>
                </c:pt>
                <c:pt idx="451">
                  <c:v>25</c:v>
                </c:pt>
                <c:pt idx="452">
                  <c:v>25</c:v>
                </c:pt>
                <c:pt idx="453">
                  <c:v>25</c:v>
                </c:pt>
                <c:pt idx="454">
                  <c:v>25</c:v>
                </c:pt>
                <c:pt idx="455">
                  <c:v>25</c:v>
                </c:pt>
                <c:pt idx="456">
                  <c:v>26</c:v>
                </c:pt>
                <c:pt idx="457">
                  <c:v>26</c:v>
                </c:pt>
                <c:pt idx="458">
                  <c:v>26</c:v>
                </c:pt>
                <c:pt idx="459">
                  <c:v>26</c:v>
                </c:pt>
                <c:pt idx="460">
                  <c:v>26</c:v>
                </c:pt>
                <c:pt idx="461">
                  <c:v>26</c:v>
                </c:pt>
                <c:pt idx="462">
                  <c:v>26</c:v>
                </c:pt>
                <c:pt idx="463">
                  <c:v>26</c:v>
                </c:pt>
                <c:pt idx="464">
                  <c:v>26</c:v>
                </c:pt>
                <c:pt idx="465">
                  <c:v>26</c:v>
                </c:pt>
                <c:pt idx="466">
                  <c:v>26</c:v>
                </c:pt>
                <c:pt idx="467">
                  <c:v>26</c:v>
                </c:pt>
                <c:pt idx="468">
                  <c:v>26</c:v>
                </c:pt>
                <c:pt idx="469">
                  <c:v>26</c:v>
                </c:pt>
                <c:pt idx="470">
                  <c:v>26</c:v>
                </c:pt>
                <c:pt idx="471">
                  <c:v>26</c:v>
                </c:pt>
                <c:pt idx="472">
                  <c:v>26</c:v>
                </c:pt>
                <c:pt idx="473">
                  <c:v>26</c:v>
                </c:pt>
                <c:pt idx="474">
                  <c:v>26</c:v>
                </c:pt>
                <c:pt idx="475">
                  <c:v>26</c:v>
                </c:pt>
                <c:pt idx="476">
                  <c:v>26</c:v>
                </c:pt>
                <c:pt idx="477">
                  <c:v>26</c:v>
                </c:pt>
                <c:pt idx="478">
                  <c:v>26</c:v>
                </c:pt>
                <c:pt idx="479">
                  <c:v>26</c:v>
                </c:pt>
                <c:pt idx="480">
                  <c:v>26</c:v>
                </c:pt>
                <c:pt idx="481">
                  <c:v>26</c:v>
                </c:pt>
                <c:pt idx="482">
                  <c:v>26</c:v>
                </c:pt>
                <c:pt idx="483">
                  <c:v>26</c:v>
                </c:pt>
                <c:pt idx="484">
                  <c:v>26</c:v>
                </c:pt>
                <c:pt idx="485">
                  <c:v>26</c:v>
                </c:pt>
                <c:pt idx="486">
                  <c:v>26</c:v>
                </c:pt>
                <c:pt idx="487">
                  <c:v>26</c:v>
                </c:pt>
                <c:pt idx="488">
                  <c:v>26</c:v>
                </c:pt>
                <c:pt idx="489">
                  <c:v>26</c:v>
                </c:pt>
                <c:pt idx="490">
                  <c:v>26</c:v>
                </c:pt>
                <c:pt idx="491">
                  <c:v>26</c:v>
                </c:pt>
                <c:pt idx="492">
                  <c:v>26</c:v>
                </c:pt>
                <c:pt idx="493">
                  <c:v>27</c:v>
                </c:pt>
                <c:pt idx="494">
                  <c:v>27</c:v>
                </c:pt>
                <c:pt idx="495">
                  <c:v>27</c:v>
                </c:pt>
                <c:pt idx="496">
                  <c:v>27</c:v>
                </c:pt>
                <c:pt idx="497">
                  <c:v>27</c:v>
                </c:pt>
                <c:pt idx="498">
                  <c:v>27</c:v>
                </c:pt>
                <c:pt idx="499">
                  <c:v>27</c:v>
                </c:pt>
                <c:pt idx="500">
                  <c:v>27</c:v>
                </c:pt>
                <c:pt idx="501">
                  <c:v>27</c:v>
                </c:pt>
                <c:pt idx="502">
                  <c:v>27</c:v>
                </c:pt>
                <c:pt idx="503">
                  <c:v>27</c:v>
                </c:pt>
                <c:pt idx="504">
                  <c:v>27</c:v>
                </c:pt>
                <c:pt idx="505">
                  <c:v>27</c:v>
                </c:pt>
                <c:pt idx="506">
                  <c:v>27</c:v>
                </c:pt>
                <c:pt idx="507">
                  <c:v>27</c:v>
                </c:pt>
                <c:pt idx="508">
                  <c:v>27</c:v>
                </c:pt>
                <c:pt idx="509">
                  <c:v>27</c:v>
                </c:pt>
                <c:pt idx="510">
                  <c:v>27</c:v>
                </c:pt>
                <c:pt idx="511">
                  <c:v>27</c:v>
                </c:pt>
                <c:pt idx="512">
                  <c:v>27</c:v>
                </c:pt>
                <c:pt idx="513">
                  <c:v>27</c:v>
                </c:pt>
                <c:pt idx="514">
                  <c:v>27</c:v>
                </c:pt>
                <c:pt idx="515">
                  <c:v>27</c:v>
                </c:pt>
                <c:pt idx="516">
                  <c:v>27</c:v>
                </c:pt>
                <c:pt idx="517">
                  <c:v>27</c:v>
                </c:pt>
                <c:pt idx="518">
                  <c:v>27</c:v>
                </c:pt>
                <c:pt idx="519">
                  <c:v>27</c:v>
                </c:pt>
                <c:pt idx="520">
                  <c:v>27</c:v>
                </c:pt>
                <c:pt idx="521">
                  <c:v>27</c:v>
                </c:pt>
                <c:pt idx="522">
                  <c:v>27</c:v>
                </c:pt>
                <c:pt idx="523">
                  <c:v>27</c:v>
                </c:pt>
                <c:pt idx="524">
                  <c:v>27</c:v>
                </c:pt>
                <c:pt idx="525">
                  <c:v>27</c:v>
                </c:pt>
                <c:pt idx="526">
                  <c:v>27</c:v>
                </c:pt>
                <c:pt idx="527">
                  <c:v>27</c:v>
                </c:pt>
                <c:pt idx="528">
                  <c:v>27</c:v>
                </c:pt>
                <c:pt idx="529">
                  <c:v>27</c:v>
                </c:pt>
                <c:pt idx="530">
                  <c:v>27</c:v>
                </c:pt>
                <c:pt idx="531">
                  <c:v>28</c:v>
                </c:pt>
                <c:pt idx="532">
                  <c:v>28</c:v>
                </c:pt>
                <c:pt idx="533">
                  <c:v>28</c:v>
                </c:pt>
                <c:pt idx="534">
                  <c:v>28</c:v>
                </c:pt>
                <c:pt idx="535">
                  <c:v>28</c:v>
                </c:pt>
                <c:pt idx="536">
                  <c:v>28</c:v>
                </c:pt>
                <c:pt idx="537">
                  <c:v>28</c:v>
                </c:pt>
                <c:pt idx="538">
                  <c:v>28</c:v>
                </c:pt>
                <c:pt idx="539">
                  <c:v>28</c:v>
                </c:pt>
                <c:pt idx="540">
                  <c:v>28</c:v>
                </c:pt>
                <c:pt idx="541">
                  <c:v>28</c:v>
                </c:pt>
                <c:pt idx="542">
                  <c:v>28</c:v>
                </c:pt>
                <c:pt idx="543">
                  <c:v>28</c:v>
                </c:pt>
                <c:pt idx="544">
                  <c:v>28</c:v>
                </c:pt>
                <c:pt idx="545">
                  <c:v>28</c:v>
                </c:pt>
                <c:pt idx="546">
                  <c:v>28</c:v>
                </c:pt>
                <c:pt idx="547">
                  <c:v>28</c:v>
                </c:pt>
                <c:pt idx="548">
                  <c:v>28</c:v>
                </c:pt>
                <c:pt idx="549">
                  <c:v>28</c:v>
                </c:pt>
                <c:pt idx="550">
                  <c:v>28</c:v>
                </c:pt>
                <c:pt idx="551">
                  <c:v>28</c:v>
                </c:pt>
                <c:pt idx="552">
                  <c:v>28</c:v>
                </c:pt>
                <c:pt idx="553">
                  <c:v>28</c:v>
                </c:pt>
                <c:pt idx="554">
                  <c:v>28</c:v>
                </c:pt>
                <c:pt idx="555">
                  <c:v>28</c:v>
                </c:pt>
                <c:pt idx="556">
                  <c:v>28</c:v>
                </c:pt>
                <c:pt idx="557">
                  <c:v>28</c:v>
                </c:pt>
                <c:pt idx="558">
                  <c:v>28</c:v>
                </c:pt>
                <c:pt idx="559">
                  <c:v>28</c:v>
                </c:pt>
                <c:pt idx="560">
                  <c:v>28</c:v>
                </c:pt>
                <c:pt idx="561">
                  <c:v>28</c:v>
                </c:pt>
                <c:pt idx="562">
                  <c:v>28</c:v>
                </c:pt>
                <c:pt idx="563">
                  <c:v>28</c:v>
                </c:pt>
                <c:pt idx="564">
                  <c:v>28</c:v>
                </c:pt>
                <c:pt idx="565">
                  <c:v>28</c:v>
                </c:pt>
                <c:pt idx="566">
                  <c:v>28</c:v>
                </c:pt>
                <c:pt idx="567">
                  <c:v>28</c:v>
                </c:pt>
                <c:pt idx="568">
                  <c:v>28</c:v>
                </c:pt>
                <c:pt idx="569">
                  <c:v>28</c:v>
                </c:pt>
                <c:pt idx="570">
                  <c:v>29</c:v>
                </c:pt>
                <c:pt idx="571">
                  <c:v>29</c:v>
                </c:pt>
                <c:pt idx="572">
                  <c:v>29</c:v>
                </c:pt>
                <c:pt idx="573">
                  <c:v>29</c:v>
                </c:pt>
                <c:pt idx="574">
                  <c:v>29</c:v>
                </c:pt>
                <c:pt idx="575">
                  <c:v>29</c:v>
                </c:pt>
                <c:pt idx="576">
                  <c:v>29</c:v>
                </c:pt>
                <c:pt idx="577">
                  <c:v>29</c:v>
                </c:pt>
                <c:pt idx="578">
                  <c:v>29</c:v>
                </c:pt>
                <c:pt idx="579">
                  <c:v>29</c:v>
                </c:pt>
                <c:pt idx="580">
                  <c:v>29</c:v>
                </c:pt>
                <c:pt idx="581">
                  <c:v>29</c:v>
                </c:pt>
                <c:pt idx="582">
                  <c:v>29</c:v>
                </c:pt>
                <c:pt idx="583">
                  <c:v>29</c:v>
                </c:pt>
                <c:pt idx="584">
                  <c:v>29</c:v>
                </c:pt>
                <c:pt idx="585">
                  <c:v>29</c:v>
                </c:pt>
                <c:pt idx="586">
                  <c:v>29</c:v>
                </c:pt>
                <c:pt idx="587">
                  <c:v>29</c:v>
                </c:pt>
                <c:pt idx="588">
                  <c:v>29</c:v>
                </c:pt>
                <c:pt idx="589">
                  <c:v>29</c:v>
                </c:pt>
                <c:pt idx="590">
                  <c:v>29</c:v>
                </c:pt>
                <c:pt idx="591">
                  <c:v>29</c:v>
                </c:pt>
                <c:pt idx="592">
                  <c:v>29</c:v>
                </c:pt>
                <c:pt idx="593">
                  <c:v>29</c:v>
                </c:pt>
                <c:pt idx="594">
                  <c:v>29</c:v>
                </c:pt>
                <c:pt idx="595">
                  <c:v>29</c:v>
                </c:pt>
                <c:pt idx="596">
                  <c:v>29</c:v>
                </c:pt>
                <c:pt idx="597">
                  <c:v>29</c:v>
                </c:pt>
                <c:pt idx="598">
                  <c:v>29</c:v>
                </c:pt>
                <c:pt idx="599">
                  <c:v>29</c:v>
                </c:pt>
                <c:pt idx="600">
                  <c:v>29</c:v>
                </c:pt>
                <c:pt idx="601">
                  <c:v>29</c:v>
                </c:pt>
                <c:pt idx="602">
                  <c:v>29</c:v>
                </c:pt>
                <c:pt idx="603">
                  <c:v>29</c:v>
                </c:pt>
                <c:pt idx="604">
                  <c:v>29</c:v>
                </c:pt>
                <c:pt idx="605">
                  <c:v>29</c:v>
                </c:pt>
                <c:pt idx="606">
                  <c:v>29</c:v>
                </c:pt>
                <c:pt idx="607">
                  <c:v>29</c:v>
                </c:pt>
                <c:pt idx="608">
                  <c:v>29</c:v>
                </c:pt>
                <c:pt idx="609">
                  <c:v>29</c:v>
                </c:pt>
                <c:pt idx="610">
                  <c:v>30</c:v>
                </c:pt>
                <c:pt idx="611">
                  <c:v>30</c:v>
                </c:pt>
                <c:pt idx="612">
                  <c:v>30</c:v>
                </c:pt>
                <c:pt idx="613">
                  <c:v>30</c:v>
                </c:pt>
                <c:pt idx="614">
                  <c:v>30</c:v>
                </c:pt>
                <c:pt idx="615">
                  <c:v>30</c:v>
                </c:pt>
                <c:pt idx="616">
                  <c:v>30</c:v>
                </c:pt>
                <c:pt idx="617">
                  <c:v>30</c:v>
                </c:pt>
                <c:pt idx="618">
                  <c:v>30</c:v>
                </c:pt>
                <c:pt idx="619">
                  <c:v>30</c:v>
                </c:pt>
                <c:pt idx="620">
                  <c:v>30</c:v>
                </c:pt>
                <c:pt idx="621">
                  <c:v>30</c:v>
                </c:pt>
                <c:pt idx="622">
                  <c:v>30</c:v>
                </c:pt>
                <c:pt idx="623">
                  <c:v>30</c:v>
                </c:pt>
                <c:pt idx="624">
                  <c:v>30</c:v>
                </c:pt>
                <c:pt idx="625">
                  <c:v>30</c:v>
                </c:pt>
                <c:pt idx="626">
                  <c:v>30</c:v>
                </c:pt>
                <c:pt idx="627">
                  <c:v>30</c:v>
                </c:pt>
                <c:pt idx="628">
                  <c:v>30</c:v>
                </c:pt>
                <c:pt idx="629">
                  <c:v>30</c:v>
                </c:pt>
                <c:pt idx="630">
                  <c:v>30</c:v>
                </c:pt>
                <c:pt idx="631">
                  <c:v>30</c:v>
                </c:pt>
                <c:pt idx="632">
                  <c:v>30</c:v>
                </c:pt>
                <c:pt idx="633">
                  <c:v>30</c:v>
                </c:pt>
                <c:pt idx="634">
                  <c:v>30</c:v>
                </c:pt>
                <c:pt idx="635">
                  <c:v>30</c:v>
                </c:pt>
                <c:pt idx="636">
                  <c:v>30</c:v>
                </c:pt>
                <c:pt idx="637">
                  <c:v>30</c:v>
                </c:pt>
                <c:pt idx="638">
                  <c:v>30</c:v>
                </c:pt>
                <c:pt idx="639">
                  <c:v>30</c:v>
                </c:pt>
                <c:pt idx="640">
                  <c:v>30</c:v>
                </c:pt>
                <c:pt idx="641">
                  <c:v>30</c:v>
                </c:pt>
                <c:pt idx="642">
                  <c:v>30</c:v>
                </c:pt>
                <c:pt idx="643">
                  <c:v>30</c:v>
                </c:pt>
                <c:pt idx="644">
                  <c:v>30</c:v>
                </c:pt>
                <c:pt idx="645">
                  <c:v>30</c:v>
                </c:pt>
                <c:pt idx="646">
                  <c:v>30</c:v>
                </c:pt>
                <c:pt idx="647">
                  <c:v>30</c:v>
                </c:pt>
                <c:pt idx="648">
                  <c:v>30</c:v>
                </c:pt>
                <c:pt idx="649">
                  <c:v>30</c:v>
                </c:pt>
                <c:pt idx="650">
                  <c:v>30</c:v>
                </c:pt>
                <c:pt idx="651">
                  <c:v>31</c:v>
                </c:pt>
                <c:pt idx="652">
                  <c:v>31</c:v>
                </c:pt>
                <c:pt idx="653">
                  <c:v>31</c:v>
                </c:pt>
                <c:pt idx="654">
                  <c:v>31</c:v>
                </c:pt>
                <c:pt idx="655">
                  <c:v>31</c:v>
                </c:pt>
                <c:pt idx="656">
                  <c:v>31</c:v>
                </c:pt>
                <c:pt idx="657">
                  <c:v>31</c:v>
                </c:pt>
                <c:pt idx="658">
                  <c:v>31</c:v>
                </c:pt>
                <c:pt idx="659">
                  <c:v>31</c:v>
                </c:pt>
                <c:pt idx="660">
                  <c:v>31</c:v>
                </c:pt>
                <c:pt idx="661">
                  <c:v>31</c:v>
                </c:pt>
                <c:pt idx="662">
                  <c:v>31</c:v>
                </c:pt>
                <c:pt idx="663">
                  <c:v>31</c:v>
                </c:pt>
                <c:pt idx="664">
                  <c:v>31</c:v>
                </c:pt>
                <c:pt idx="665">
                  <c:v>31</c:v>
                </c:pt>
                <c:pt idx="666">
                  <c:v>31</c:v>
                </c:pt>
                <c:pt idx="667">
                  <c:v>31</c:v>
                </c:pt>
                <c:pt idx="668">
                  <c:v>31</c:v>
                </c:pt>
                <c:pt idx="669">
                  <c:v>31</c:v>
                </c:pt>
                <c:pt idx="670">
                  <c:v>31</c:v>
                </c:pt>
                <c:pt idx="671">
                  <c:v>31</c:v>
                </c:pt>
                <c:pt idx="672">
                  <c:v>31</c:v>
                </c:pt>
                <c:pt idx="673">
                  <c:v>31</c:v>
                </c:pt>
                <c:pt idx="674">
                  <c:v>31</c:v>
                </c:pt>
                <c:pt idx="675">
                  <c:v>31</c:v>
                </c:pt>
                <c:pt idx="676">
                  <c:v>31</c:v>
                </c:pt>
                <c:pt idx="677">
                  <c:v>31</c:v>
                </c:pt>
                <c:pt idx="678">
                  <c:v>31</c:v>
                </c:pt>
                <c:pt idx="679">
                  <c:v>31</c:v>
                </c:pt>
                <c:pt idx="680">
                  <c:v>31</c:v>
                </c:pt>
                <c:pt idx="681">
                  <c:v>31</c:v>
                </c:pt>
                <c:pt idx="682">
                  <c:v>31</c:v>
                </c:pt>
                <c:pt idx="683">
                  <c:v>31</c:v>
                </c:pt>
                <c:pt idx="684">
                  <c:v>31</c:v>
                </c:pt>
                <c:pt idx="685">
                  <c:v>31</c:v>
                </c:pt>
                <c:pt idx="686">
                  <c:v>31</c:v>
                </c:pt>
                <c:pt idx="687">
                  <c:v>31</c:v>
                </c:pt>
                <c:pt idx="688">
                  <c:v>31</c:v>
                </c:pt>
                <c:pt idx="689">
                  <c:v>31</c:v>
                </c:pt>
                <c:pt idx="690">
                  <c:v>31</c:v>
                </c:pt>
                <c:pt idx="691">
                  <c:v>31</c:v>
                </c:pt>
                <c:pt idx="692">
                  <c:v>31</c:v>
                </c:pt>
                <c:pt idx="693">
                  <c:v>32</c:v>
                </c:pt>
                <c:pt idx="694">
                  <c:v>32</c:v>
                </c:pt>
                <c:pt idx="695">
                  <c:v>32</c:v>
                </c:pt>
                <c:pt idx="696">
                  <c:v>32</c:v>
                </c:pt>
                <c:pt idx="697">
                  <c:v>32</c:v>
                </c:pt>
                <c:pt idx="698">
                  <c:v>32</c:v>
                </c:pt>
                <c:pt idx="699">
                  <c:v>32</c:v>
                </c:pt>
                <c:pt idx="700">
                  <c:v>32</c:v>
                </c:pt>
                <c:pt idx="701">
                  <c:v>32</c:v>
                </c:pt>
                <c:pt idx="702">
                  <c:v>32</c:v>
                </c:pt>
                <c:pt idx="703">
                  <c:v>32</c:v>
                </c:pt>
                <c:pt idx="704">
                  <c:v>32</c:v>
                </c:pt>
                <c:pt idx="705">
                  <c:v>32</c:v>
                </c:pt>
                <c:pt idx="706">
                  <c:v>32</c:v>
                </c:pt>
                <c:pt idx="707">
                  <c:v>32</c:v>
                </c:pt>
                <c:pt idx="708">
                  <c:v>32</c:v>
                </c:pt>
                <c:pt idx="709">
                  <c:v>32</c:v>
                </c:pt>
                <c:pt idx="710">
                  <c:v>32</c:v>
                </c:pt>
                <c:pt idx="711">
                  <c:v>32</c:v>
                </c:pt>
                <c:pt idx="712">
                  <c:v>32</c:v>
                </c:pt>
                <c:pt idx="713">
                  <c:v>32</c:v>
                </c:pt>
                <c:pt idx="714">
                  <c:v>32</c:v>
                </c:pt>
                <c:pt idx="715">
                  <c:v>32</c:v>
                </c:pt>
                <c:pt idx="716">
                  <c:v>32</c:v>
                </c:pt>
                <c:pt idx="717">
                  <c:v>32</c:v>
                </c:pt>
                <c:pt idx="718">
                  <c:v>32</c:v>
                </c:pt>
                <c:pt idx="719">
                  <c:v>32</c:v>
                </c:pt>
                <c:pt idx="720">
                  <c:v>32</c:v>
                </c:pt>
                <c:pt idx="721">
                  <c:v>32</c:v>
                </c:pt>
                <c:pt idx="722">
                  <c:v>32</c:v>
                </c:pt>
                <c:pt idx="723">
                  <c:v>32</c:v>
                </c:pt>
                <c:pt idx="724">
                  <c:v>32</c:v>
                </c:pt>
                <c:pt idx="725">
                  <c:v>32</c:v>
                </c:pt>
                <c:pt idx="726">
                  <c:v>32</c:v>
                </c:pt>
                <c:pt idx="727">
                  <c:v>32</c:v>
                </c:pt>
                <c:pt idx="728">
                  <c:v>32</c:v>
                </c:pt>
                <c:pt idx="729">
                  <c:v>32</c:v>
                </c:pt>
                <c:pt idx="730">
                  <c:v>32</c:v>
                </c:pt>
                <c:pt idx="731">
                  <c:v>32</c:v>
                </c:pt>
                <c:pt idx="732">
                  <c:v>32</c:v>
                </c:pt>
                <c:pt idx="733">
                  <c:v>32</c:v>
                </c:pt>
                <c:pt idx="734">
                  <c:v>32</c:v>
                </c:pt>
                <c:pt idx="735">
                  <c:v>32</c:v>
                </c:pt>
                <c:pt idx="736">
                  <c:v>33</c:v>
                </c:pt>
                <c:pt idx="737">
                  <c:v>33</c:v>
                </c:pt>
                <c:pt idx="738">
                  <c:v>33</c:v>
                </c:pt>
                <c:pt idx="739">
                  <c:v>33</c:v>
                </c:pt>
                <c:pt idx="740">
                  <c:v>33</c:v>
                </c:pt>
                <c:pt idx="741">
                  <c:v>33</c:v>
                </c:pt>
                <c:pt idx="742">
                  <c:v>33</c:v>
                </c:pt>
                <c:pt idx="743">
                  <c:v>33</c:v>
                </c:pt>
                <c:pt idx="744">
                  <c:v>33</c:v>
                </c:pt>
                <c:pt idx="745">
                  <c:v>33</c:v>
                </c:pt>
                <c:pt idx="746">
                  <c:v>33</c:v>
                </c:pt>
                <c:pt idx="747">
                  <c:v>33</c:v>
                </c:pt>
                <c:pt idx="748">
                  <c:v>33</c:v>
                </c:pt>
                <c:pt idx="749">
                  <c:v>33</c:v>
                </c:pt>
                <c:pt idx="750">
                  <c:v>33</c:v>
                </c:pt>
                <c:pt idx="751">
                  <c:v>33</c:v>
                </c:pt>
                <c:pt idx="752">
                  <c:v>33</c:v>
                </c:pt>
                <c:pt idx="753">
                  <c:v>33</c:v>
                </c:pt>
                <c:pt idx="754">
                  <c:v>33</c:v>
                </c:pt>
                <c:pt idx="755">
                  <c:v>33</c:v>
                </c:pt>
                <c:pt idx="756">
                  <c:v>33</c:v>
                </c:pt>
                <c:pt idx="757">
                  <c:v>33</c:v>
                </c:pt>
                <c:pt idx="758">
                  <c:v>33</c:v>
                </c:pt>
                <c:pt idx="759">
                  <c:v>33</c:v>
                </c:pt>
                <c:pt idx="760">
                  <c:v>33</c:v>
                </c:pt>
                <c:pt idx="761">
                  <c:v>33</c:v>
                </c:pt>
                <c:pt idx="762">
                  <c:v>33</c:v>
                </c:pt>
                <c:pt idx="763">
                  <c:v>33</c:v>
                </c:pt>
                <c:pt idx="764">
                  <c:v>33</c:v>
                </c:pt>
                <c:pt idx="765">
                  <c:v>33</c:v>
                </c:pt>
                <c:pt idx="766">
                  <c:v>33</c:v>
                </c:pt>
                <c:pt idx="767">
                  <c:v>33</c:v>
                </c:pt>
                <c:pt idx="768">
                  <c:v>33</c:v>
                </c:pt>
                <c:pt idx="769">
                  <c:v>33</c:v>
                </c:pt>
                <c:pt idx="770">
                  <c:v>33</c:v>
                </c:pt>
                <c:pt idx="771">
                  <c:v>33</c:v>
                </c:pt>
                <c:pt idx="772">
                  <c:v>33</c:v>
                </c:pt>
                <c:pt idx="773">
                  <c:v>33</c:v>
                </c:pt>
                <c:pt idx="774">
                  <c:v>33</c:v>
                </c:pt>
                <c:pt idx="775">
                  <c:v>33</c:v>
                </c:pt>
                <c:pt idx="776">
                  <c:v>33</c:v>
                </c:pt>
                <c:pt idx="777">
                  <c:v>33</c:v>
                </c:pt>
                <c:pt idx="778">
                  <c:v>33</c:v>
                </c:pt>
                <c:pt idx="779">
                  <c:v>33</c:v>
                </c:pt>
                <c:pt idx="780">
                  <c:v>34</c:v>
                </c:pt>
                <c:pt idx="781">
                  <c:v>34</c:v>
                </c:pt>
                <c:pt idx="782">
                  <c:v>34</c:v>
                </c:pt>
                <c:pt idx="783">
                  <c:v>34</c:v>
                </c:pt>
                <c:pt idx="784">
                  <c:v>34</c:v>
                </c:pt>
                <c:pt idx="785">
                  <c:v>34</c:v>
                </c:pt>
                <c:pt idx="786">
                  <c:v>34</c:v>
                </c:pt>
                <c:pt idx="787">
                  <c:v>34</c:v>
                </c:pt>
                <c:pt idx="788">
                  <c:v>34</c:v>
                </c:pt>
                <c:pt idx="789">
                  <c:v>34</c:v>
                </c:pt>
                <c:pt idx="790">
                  <c:v>34</c:v>
                </c:pt>
                <c:pt idx="791">
                  <c:v>34</c:v>
                </c:pt>
                <c:pt idx="792">
                  <c:v>34</c:v>
                </c:pt>
                <c:pt idx="793">
                  <c:v>34</c:v>
                </c:pt>
                <c:pt idx="794">
                  <c:v>34</c:v>
                </c:pt>
                <c:pt idx="795">
                  <c:v>34</c:v>
                </c:pt>
                <c:pt idx="796">
                  <c:v>34</c:v>
                </c:pt>
                <c:pt idx="797">
                  <c:v>34</c:v>
                </c:pt>
                <c:pt idx="798">
                  <c:v>34</c:v>
                </c:pt>
                <c:pt idx="799">
                  <c:v>34</c:v>
                </c:pt>
                <c:pt idx="800">
                  <c:v>34</c:v>
                </c:pt>
                <c:pt idx="801">
                  <c:v>34</c:v>
                </c:pt>
                <c:pt idx="802">
                  <c:v>34</c:v>
                </c:pt>
                <c:pt idx="803">
                  <c:v>34</c:v>
                </c:pt>
                <c:pt idx="804">
                  <c:v>34</c:v>
                </c:pt>
                <c:pt idx="805">
                  <c:v>34</c:v>
                </c:pt>
                <c:pt idx="806">
                  <c:v>34</c:v>
                </c:pt>
                <c:pt idx="807">
                  <c:v>34</c:v>
                </c:pt>
                <c:pt idx="808">
                  <c:v>34</c:v>
                </c:pt>
                <c:pt idx="809">
                  <c:v>34</c:v>
                </c:pt>
                <c:pt idx="810">
                  <c:v>34</c:v>
                </c:pt>
                <c:pt idx="811">
                  <c:v>34</c:v>
                </c:pt>
                <c:pt idx="812">
                  <c:v>34</c:v>
                </c:pt>
                <c:pt idx="813">
                  <c:v>34</c:v>
                </c:pt>
                <c:pt idx="814">
                  <c:v>34</c:v>
                </c:pt>
                <c:pt idx="815">
                  <c:v>34</c:v>
                </c:pt>
                <c:pt idx="816">
                  <c:v>34</c:v>
                </c:pt>
                <c:pt idx="817">
                  <c:v>34</c:v>
                </c:pt>
                <c:pt idx="818">
                  <c:v>34</c:v>
                </c:pt>
                <c:pt idx="819">
                  <c:v>34</c:v>
                </c:pt>
                <c:pt idx="820">
                  <c:v>34</c:v>
                </c:pt>
                <c:pt idx="821">
                  <c:v>34</c:v>
                </c:pt>
                <c:pt idx="822">
                  <c:v>34</c:v>
                </c:pt>
                <c:pt idx="823">
                  <c:v>34</c:v>
                </c:pt>
                <c:pt idx="824">
                  <c:v>34</c:v>
                </c:pt>
                <c:pt idx="825">
                  <c:v>35</c:v>
                </c:pt>
                <c:pt idx="826">
                  <c:v>35</c:v>
                </c:pt>
                <c:pt idx="827">
                  <c:v>35</c:v>
                </c:pt>
                <c:pt idx="828">
                  <c:v>35</c:v>
                </c:pt>
                <c:pt idx="829">
                  <c:v>35</c:v>
                </c:pt>
                <c:pt idx="830">
                  <c:v>35</c:v>
                </c:pt>
                <c:pt idx="831">
                  <c:v>35</c:v>
                </c:pt>
                <c:pt idx="832">
                  <c:v>35</c:v>
                </c:pt>
                <c:pt idx="833">
                  <c:v>35</c:v>
                </c:pt>
                <c:pt idx="834">
                  <c:v>35</c:v>
                </c:pt>
                <c:pt idx="835">
                  <c:v>35</c:v>
                </c:pt>
                <c:pt idx="836">
                  <c:v>35</c:v>
                </c:pt>
                <c:pt idx="837">
                  <c:v>35</c:v>
                </c:pt>
                <c:pt idx="838">
                  <c:v>35</c:v>
                </c:pt>
                <c:pt idx="839">
                  <c:v>35</c:v>
                </c:pt>
                <c:pt idx="840">
                  <c:v>35</c:v>
                </c:pt>
                <c:pt idx="841">
                  <c:v>35</c:v>
                </c:pt>
                <c:pt idx="842">
                  <c:v>35</c:v>
                </c:pt>
                <c:pt idx="843">
                  <c:v>35</c:v>
                </c:pt>
                <c:pt idx="844">
                  <c:v>35</c:v>
                </c:pt>
                <c:pt idx="845">
                  <c:v>35</c:v>
                </c:pt>
                <c:pt idx="846">
                  <c:v>35</c:v>
                </c:pt>
                <c:pt idx="847">
                  <c:v>35</c:v>
                </c:pt>
                <c:pt idx="848">
                  <c:v>35</c:v>
                </c:pt>
                <c:pt idx="849">
                  <c:v>35</c:v>
                </c:pt>
                <c:pt idx="850">
                  <c:v>35</c:v>
                </c:pt>
                <c:pt idx="851">
                  <c:v>35</c:v>
                </c:pt>
                <c:pt idx="852">
                  <c:v>35</c:v>
                </c:pt>
                <c:pt idx="853">
                  <c:v>35</c:v>
                </c:pt>
                <c:pt idx="854">
                  <c:v>35</c:v>
                </c:pt>
                <c:pt idx="855">
                  <c:v>35</c:v>
                </c:pt>
                <c:pt idx="856">
                  <c:v>35</c:v>
                </c:pt>
                <c:pt idx="857">
                  <c:v>35</c:v>
                </c:pt>
                <c:pt idx="858">
                  <c:v>35</c:v>
                </c:pt>
                <c:pt idx="859">
                  <c:v>35</c:v>
                </c:pt>
                <c:pt idx="860">
                  <c:v>35</c:v>
                </c:pt>
                <c:pt idx="861">
                  <c:v>35</c:v>
                </c:pt>
                <c:pt idx="862">
                  <c:v>35</c:v>
                </c:pt>
                <c:pt idx="863">
                  <c:v>35</c:v>
                </c:pt>
                <c:pt idx="864">
                  <c:v>35</c:v>
                </c:pt>
                <c:pt idx="865">
                  <c:v>35</c:v>
                </c:pt>
                <c:pt idx="866">
                  <c:v>35</c:v>
                </c:pt>
                <c:pt idx="867">
                  <c:v>35</c:v>
                </c:pt>
                <c:pt idx="868">
                  <c:v>35</c:v>
                </c:pt>
                <c:pt idx="869">
                  <c:v>35</c:v>
                </c:pt>
                <c:pt idx="870">
                  <c:v>35</c:v>
                </c:pt>
                <c:pt idx="871">
                  <c:v>36</c:v>
                </c:pt>
                <c:pt idx="872">
                  <c:v>36</c:v>
                </c:pt>
                <c:pt idx="873">
                  <c:v>36</c:v>
                </c:pt>
                <c:pt idx="874">
                  <c:v>36</c:v>
                </c:pt>
                <c:pt idx="875">
                  <c:v>36</c:v>
                </c:pt>
                <c:pt idx="876">
                  <c:v>36</c:v>
                </c:pt>
                <c:pt idx="877">
                  <c:v>36</c:v>
                </c:pt>
                <c:pt idx="878">
                  <c:v>36</c:v>
                </c:pt>
                <c:pt idx="879">
                  <c:v>36</c:v>
                </c:pt>
                <c:pt idx="880">
                  <c:v>36</c:v>
                </c:pt>
                <c:pt idx="881">
                  <c:v>36</c:v>
                </c:pt>
                <c:pt idx="882">
                  <c:v>36</c:v>
                </c:pt>
                <c:pt idx="883">
                  <c:v>36</c:v>
                </c:pt>
                <c:pt idx="884">
                  <c:v>36</c:v>
                </c:pt>
                <c:pt idx="885">
                  <c:v>36</c:v>
                </c:pt>
                <c:pt idx="886">
                  <c:v>36</c:v>
                </c:pt>
                <c:pt idx="887">
                  <c:v>36</c:v>
                </c:pt>
                <c:pt idx="888">
                  <c:v>36</c:v>
                </c:pt>
                <c:pt idx="889">
                  <c:v>36</c:v>
                </c:pt>
                <c:pt idx="890">
                  <c:v>36</c:v>
                </c:pt>
                <c:pt idx="891">
                  <c:v>36</c:v>
                </c:pt>
                <c:pt idx="892">
                  <c:v>36</c:v>
                </c:pt>
                <c:pt idx="893">
                  <c:v>36</c:v>
                </c:pt>
                <c:pt idx="894">
                  <c:v>36</c:v>
                </c:pt>
                <c:pt idx="895">
                  <c:v>36</c:v>
                </c:pt>
                <c:pt idx="896">
                  <c:v>36</c:v>
                </c:pt>
                <c:pt idx="897">
                  <c:v>36</c:v>
                </c:pt>
                <c:pt idx="898">
                  <c:v>36</c:v>
                </c:pt>
                <c:pt idx="899">
                  <c:v>36</c:v>
                </c:pt>
                <c:pt idx="900">
                  <c:v>36</c:v>
                </c:pt>
                <c:pt idx="901">
                  <c:v>36</c:v>
                </c:pt>
                <c:pt idx="902">
                  <c:v>36</c:v>
                </c:pt>
                <c:pt idx="903">
                  <c:v>36</c:v>
                </c:pt>
                <c:pt idx="904">
                  <c:v>36</c:v>
                </c:pt>
                <c:pt idx="905">
                  <c:v>36</c:v>
                </c:pt>
                <c:pt idx="906">
                  <c:v>36</c:v>
                </c:pt>
                <c:pt idx="907">
                  <c:v>36</c:v>
                </c:pt>
                <c:pt idx="908">
                  <c:v>36</c:v>
                </c:pt>
                <c:pt idx="909">
                  <c:v>36</c:v>
                </c:pt>
                <c:pt idx="910">
                  <c:v>36</c:v>
                </c:pt>
                <c:pt idx="911">
                  <c:v>36</c:v>
                </c:pt>
                <c:pt idx="912">
                  <c:v>36</c:v>
                </c:pt>
                <c:pt idx="913">
                  <c:v>36</c:v>
                </c:pt>
                <c:pt idx="914">
                  <c:v>36</c:v>
                </c:pt>
                <c:pt idx="915">
                  <c:v>36</c:v>
                </c:pt>
                <c:pt idx="916">
                  <c:v>37</c:v>
                </c:pt>
                <c:pt idx="917">
                  <c:v>37</c:v>
                </c:pt>
                <c:pt idx="918">
                  <c:v>37</c:v>
                </c:pt>
                <c:pt idx="919">
                  <c:v>37</c:v>
                </c:pt>
                <c:pt idx="920">
                  <c:v>37</c:v>
                </c:pt>
                <c:pt idx="921">
                  <c:v>37</c:v>
                </c:pt>
                <c:pt idx="922">
                  <c:v>37</c:v>
                </c:pt>
                <c:pt idx="923">
                  <c:v>37</c:v>
                </c:pt>
                <c:pt idx="924">
                  <c:v>37</c:v>
                </c:pt>
                <c:pt idx="925">
                  <c:v>37</c:v>
                </c:pt>
                <c:pt idx="926">
                  <c:v>37</c:v>
                </c:pt>
                <c:pt idx="927">
                  <c:v>37</c:v>
                </c:pt>
                <c:pt idx="928">
                  <c:v>37</c:v>
                </c:pt>
                <c:pt idx="929">
                  <c:v>37</c:v>
                </c:pt>
                <c:pt idx="930">
                  <c:v>37</c:v>
                </c:pt>
                <c:pt idx="931">
                  <c:v>37</c:v>
                </c:pt>
                <c:pt idx="932">
                  <c:v>37</c:v>
                </c:pt>
                <c:pt idx="933">
                  <c:v>37</c:v>
                </c:pt>
                <c:pt idx="934">
                  <c:v>37</c:v>
                </c:pt>
                <c:pt idx="935">
                  <c:v>37</c:v>
                </c:pt>
                <c:pt idx="936">
                  <c:v>37</c:v>
                </c:pt>
                <c:pt idx="937">
                  <c:v>37</c:v>
                </c:pt>
                <c:pt idx="938">
                  <c:v>37</c:v>
                </c:pt>
                <c:pt idx="939">
                  <c:v>37</c:v>
                </c:pt>
                <c:pt idx="940">
                  <c:v>37</c:v>
                </c:pt>
                <c:pt idx="941">
                  <c:v>37</c:v>
                </c:pt>
                <c:pt idx="942">
                  <c:v>37</c:v>
                </c:pt>
                <c:pt idx="943">
                  <c:v>37</c:v>
                </c:pt>
                <c:pt idx="944">
                  <c:v>37</c:v>
                </c:pt>
                <c:pt idx="945">
                  <c:v>37</c:v>
                </c:pt>
                <c:pt idx="946">
                  <c:v>37</c:v>
                </c:pt>
                <c:pt idx="947">
                  <c:v>37</c:v>
                </c:pt>
                <c:pt idx="948">
                  <c:v>37</c:v>
                </c:pt>
                <c:pt idx="949">
                  <c:v>37</c:v>
                </c:pt>
                <c:pt idx="950">
                  <c:v>37</c:v>
                </c:pt>
                <c:pt idx="951">
                  <c:v>37</c:v>
                </c:pt>
                <c:pt idx="952">
                  <c:v>37</c:v>
                </c:pt>
                <c:pt idx="953">
                  <c:v>37</c:v>
                </c:pt>
                <c:pt idx="954">
                  <c:v>37</c:v>
                </c:pt>
                <c:pt idx="955">
                  <c:v>37</c:v>
                </c:pt>
                <c:pt idx="956">
                  <c:v>37</c:v>
                </c:pt>
                <c:pt idx="957">
                  <c:v>37</c:v>
                </c:pt>
                <c:pt idx="958">
                  <c:v>37</c:v>
                </c:pt>
                <c:pt idx="959">
                  <c:v>37</c:v>
                </c:pt>
                <c:pt idx="960">
                  <c:v>38</c:v>
                </c:pt>
                <c:pt idx="961">
                  <c:v>38</c:v>
                </c:pt>
                <c:pt idx="962">
                  <c:v>38</c:v>
                </c:pt>
                <c:pt idx="963">
                  <c:v>38</c:v>
                </c:pt>
                <c:pt idx="964">
                  <c:v>38</c:v>
                </c:pt>
                <c:pt idx="965">
                  <c:v>38</c:v>
                </c:pt>
                <c:pt idx="966">
                  <c:v>38</c:v>
                </c:pt>
                <c:pt idx="967">
                  <c:v>38</c:v>
                </c:pt>
                <c:pt idx="968">
                  <c:v>38</c:v>
                </c:pt>
                <c:pt idx="969">
                  <c:v>38</c:v>
                </c:pt>
                <c:pt idx="970">
                  <c:v>38</c:v>
                </c:pt>
                <c:pt idx="971">
                  <c:v>38</c:v>
                </c:pt>
                <c:pt idx="972">
                  <c:v>38</c:v>
                </c:pt>
                <c:pt idx="973">
                  <c:v>38</c:v>
                </c:pt>
                <c:pt idx="974">
                  <c:v>38</c:v>
                </c:pt>
                <c:pt idx="975">
                  <c:v>38</c:v>
                </c:pt>
                <c:pt idx="976">
                  <c:v>38</c:v>
                </c:pt>
                <c:pt idx="977">
                  <c:v>38</c:v>
                </c:pt>
                <c:pt idx="978">
                  <c:v>38</c:v>
                </c:pt>
                <c:pt idx="979">
                  <c:v>38</c:v>
                </c:pt>
                <c:pt idx="980">
                  <c:v>38</c:v>
                </c:pt>
                <c:pt idx="981">
                  <c:v>38</c:v>
                </c:pt>
                <c:pt idx="982">
                  <c:v>38</c:v>
                </c:pt>
                <c:pt idx="983">
                  <c:v>38</c:v>
                </c:pt>
                <c:pt idx="984">
                  <c:v>38</c:v>
                </c:pt>
                <c:pt idx="985">
                  <c:v>38</c:v>
                </c:pt>
                <c:pt idx="986">
                  <c:v>38</c:v>
                </c:pt>
                <c:pt idx="987">
                  <c:v>38</c:v>
                </c:pt>
                <c:pt idx="988">
                  <c:v>38</c:v>
                </c:pt>
                <c:pt idx="989">
                  <c:v>38</c:v>
                </c:pt>
                <c:pt idx="990">
                  <c:v>38</c:v>
                </c:pt>
                <c:pt idx="991">
                  <c:v>38</c:v>
                </c:pt>
                <c:pt idx="992">
                  <c:v>38</c:v>
                </c:pt>
                <c:pt idx="993">
                  <c:v>38</c:v>
                </c:pt>
                <c:pt idx="994">
                  <c:v>38</c:v>
                </c:pt>
                <c:pt idx="995">
                  <c:v>38</c:v>
                </c:pt>
                <c:pt idx="996">
                  <c:v>38</c:v>
                </c:pt>
                <c:pt idx="997">
                  <c:v>38</c:v>
                </c:pt>
                <c:pt idx="998">
                  <c:v>38</c:v>
                </c:pt>
                <c:pt idx="999">
                  <c:v>38</c:v>
                </c:pt>
                <c:pt idx="1000">
                  <c:v>38</c:v>
                </c:pt>
                <c:pt idx="1001">
                  <c:v>38</c:v>
                </c:pt>
                <c:pt idx="1002">
                  <c:v>38</c:v>
                </c:pt>
                <c:pt idx="1003">
                  <c:v>39</c:v>
                </c:pt>
                <c:pt idx="1004">
                  <c:v>39</c:v>
                </c:pt>
                <c:pt idx="1005">
                  <c:v>39</c:v>
                </c:pt>
                <c:pt idx="1006">
                  <c:v>39</c:v>
                </c:pt>
                <c:pt idx="1007">
                  <c:v>39</c:v>
                </c:pt>
                <c:pt idx="1008">
                  <c:v>39</c:v>
                </c:pt>
                <c:pt idx="1009">
                  <c:v>39</c:v>
                </c:pt>
                <c:pt idx="1010">
                  <c:v>39</c:v>
                </c:pt>
                <c:pt idx="1011">
                  <c:v>39</c:v>
                </c:pt>
                <c:pt idx="1012">
                  <c:v>39</c:v>
                </c:pt>
                <c:pt idx="1013">
                  <c:v>39</c:v>
                </c:pt>
                <c:pt idx="1014">
                  <c:v>39</c:v>
                </c:pt>
                <c:pt idx="1015">
                  <c:v>39</c:v>
                </c:pt>
                <c:pt idx="1016">
                  <c:v>39</c:v>
                </c:pt>
                <c:pt idx="1017">
                  <c:v>39</c:v>
                </c:pt>
                <c:pt idx="1018">
                  <c:v>39</c:v>
                </c:pt>
                <c:pt idx="1019">
                  <c:v>39</c:v>
                </c:pt>
                <c:pt idx="1020">
                  <c:v>39</c:v>
                </c:pt>
                <c:pt idx="1021">
                  <c:v>39</c:v>
                </c:pt>
                <c:pt idx="1022">
                  <c:v>39</c:v>
                </c:pt>
                <c:pt idx="1023">
                  <c:v>39</c:v>
                </c:pt>
                <c:pt idx="1024">
                  <c:v>39</c:v>
                </c:pt>
                <c:pt idx="1025">
                  <c:v>39</c:v>
                </c:pt>
                <c:pt idx="1026">
                  <c:v>39</c:v>
                </c:pt>
                <c:pt idx="1027">
                  <c:v>39</c:v>
                </c:pt>
                <c:pt idx="1028">
                  <c:v>39</c:v>
                </c:pt>
                <c:pt idx="1029">
                  <c:v>39</c:v>
                </c:pt>
                <c:pt idx="1030">
                  <c:v>39</c:v>
                </c:pt>
                <c:pt idx="1031">
                  <c:v>39</c:v>
                </c:pt>
                <c:pt idx="1032">
                  <c:v>39</c:v>
                </c:pt>
                <c:pt idx="1033">
                  <c:v>39</c:v>
                </c:pt>
                <c:pt idx="1034">
                  <c:v>39</c:v>
                </c:pt>
                <c:pt idx="1035">
                  <c:v>39</c:v>
                </c:pt>
                <c:pt idx="1036">
                  <c:v>39</c:v>
                </c:pt>
                <c:pt idx="1037">
                  <c:v>39</c:v>
                </c:pt>
                <c:pt idx="1038">
                  <c:v>39</c:v>
                </c:pt>
                <c:pt idx="1039">
                  <c:v>39</c:v>
                </c:pt>
                <c:pt idx="1040">
                  <c:v>39</c:v>
                </c:pt>
                <c:pt idx="1041">
                  <c:v>39</c:v>
                </c:pt>
                <c:pt idx="1042">
                  <c:v>39</c:v>
                </c:pt>
                <c:pt idx="1043">
                  <c:v>39</c:v>
                </c:pt>
                <c:pt idx="1044">
                  <c:v>39</c:v>
                </c:pt>
                <c:pt idx="1045">
                  <c:v>40</c:v>
                </c:pt>
                <c:pt idx="1046">
                  <c:v>40</c:v>
                </c:pt>
                <c:pt idx="1047">
                  <c:v>40</c:v>
                </c:pt>
                <c:pt idx="1048">
                  <c:v>40</c:v>
                </c:pt>
                <c:pt idx="1049">
                  <c:v>40</c:v>
                </c:pt>
                <c:pt idx="1050">
                  <c:v>40</c:v>
                </c:pt>
                <c:pt idx="1051">
                  <c:v>40</c:v>
                </c:pt>
                <c:pt idx="1052">
                  <c:v>40</c:v>
                </c:pt>
                <c:pt idx="1053">
                  <c:v>40</c:v>
                </c:pt>
                <c:pt idx="1054">
                  <c:v>40</c:v>
                </c:pt>
                <c:pt idx="1055">
                  <c:v>40</c:v>
                </c:pt>
                <c:pt idx="1056">
                  <c:v>40</c:v>
                </c:pt>
                <c:pt idx="1057">
                  <c:v>40</c:v>
                </c:pt>
                <c:pt idx="1058">
                  <c:v>40</c:v>
                </c:pt>
                <c:pt idx="1059">
                  <c:v>40</c:v>
                </c:pt>
                <c:pt idx="1060">
                  <c:v>40</c:v>
                </c:pt>
                <c:pt idx="1061">
                  <c:v>40</c:v>
                </c:pt>
                <c:pt idx="1062">
                  <c:v>40</c:v>
                </c:pt>
                <c:pt idx="1063">
                  <c:v>40</c:v>
                </c:pt>
                <c:pt idx="1064">
                  <c:v>40</c:v>
                </c:pt>
                <c:pt idx="1065">
                  <c:v>40</c:v>
                </c:pt>
                <c:pt idx="1066">
                  <c:v>40</c:v>
                </c:pt>
                <c:pt idx="1067">
                  <c:v>40</c:v>
                </c:pt>
                <c:pt idx="1068">
                  <c:v>40</c:v>
                </c:pt>
                <c:pt idx="1069">
                  <c:v>40</c:v>
                </c:pt>
                <c:pt idx="1070">
                  <c:v>40</c:v>
                </c:pt>
                <c:pt idx="1071">
                  <c:v>40</c:v>
                </c:pt>
                <c:pt idx="1072">
                  <c:v>40</c:v>
                </c:pt>
                <c:pt idx="1073">
                  <c:v>40</c:v>
                </c:pt>
                <c:pt idx="1074">
                  <c:v>40</c:v>
                </c:pt>
                <c:pt idx="1075">
                  <c:v>40</c:v>
                </c:pt>
                <c:pt idx="1076">
                  <c:v>40</c:v>
                </c:pt>
                <c:pt idx="1077">
                  <c:v>40</c:v>
                </c:pt>
                <c:pt idx="1078">
                  <c:v>40</c:v>
                </c:pt>
                <c:pt idx="1079">
                  <c:v>40</c:v>
                </c:pt>
                <c:pt idx="1080">
                  <c:v>40</c:v>
                </c:pt>
                <c:pt idx="1081">
                  <c:v>40</c:v>
                </c:pt>
                <c:pt idx="1082">
                  <c:v>40</c:v>
                </c:pt>
                <c:pt idx="1083">
                  <c:v>40</c:v>
                </c:pt>
                <c:pt idx="1084">
                  <c:v>40</c:v>
                </c:pt>
                <c:pt idx="1085">
                  <c:v>40</c:v>
                </c:pt>
                <c:pt idx="1086">
                  <c:v>41</c:v>
                </c:pt>
                <c:pt idx="1087">
                  <c:v>41</c:v>
                </c:pt>
                <c:pt idx="1088">
                  <c:v>41</c:v>
                </c:pt>
                <c:pt idx="1089">
                  <c:v>41</c:v>
                </c:pt>
                <c:pt idx="1090">
                  <c:v>41</c:v>
                </c:pt>
                <c:pt idx="1091">
                  <c:v>41</c:v>
                </c:pt>
                <c:pt idx="1092">
                  <c:v>41</c:v>
                </c:pt>
                <c:pt idx="1093">
                  <c:v>41</c:v>
                </c:pt>
                <c:pt idx="1094">
                  <c:v>41</c:v>
                </c:pt>
                <c:pt idx="1095">
                  <c:v>41</c:v>
                </c:pt>
                <c:pt idx="1096">
                  <c:v>41</c:v>
                </c:pt>
                <c:pt idx="1097">
                  <c:v>41</c:v>
                </c:pt>
                <c:pt idx="1098">
                  <c:v>41</c:v>
                </c:pt>
                <c:pt idx="1099">
                  <c:v>41</c:v>
                </c:pt>
                <c:pt idx="1100">
                  <c:v>41</c:v>
                </c:pt>
                <c:pt idx="1101">
                  <c:v>41</c:v>
                </c:pt>
                <c:pt idx="1102">
                  <c:v>41</c:v>
                </c:pt>
                <c:pt idx="1103">
                  <c:v>41</c:v>
                </c:pt>
                <c:pt idx="1104">
                  <c:v>41</c:v>
                </c:pt>
                <c:pt idx="1105">
                  <c:v>41</c:v>
                </c:pt>
                <c:pt idx="1106">
                  <c:v>41</c:v>
                </c:pt>
                <c:pt idx="1107">
                  <c:v>41</c:v>
                </c:pt>
                <c:pt idx="1108">
                  <c:v>41</c:v>
                </c:pt>
                <c:pt idx="1109">
                  <c:v>41</c:v>
                </c:pt>
                <c:pt idx="1110">
                  <c:v>41</c:v>
                </c:pt>
                <c:pt idx="1111">
                  <c:v>41</c:v>
                </c:pt>
                <c:pt idx="1112">
                  <c:v>41</c:v>
                </c:pt>
                <c:pt idx="1113">
                  <c:v>41</c:v>
                </c:pt>
                <c:pt idx="1114">
                  <c:v>41</c:v>
                </c:pt>
                <c:pt idx="1115">
                  <c:v>41</c:v>
                </c:pt>
                <c:pt idx="1116">
                  <c:v>41</c:v>
                </c:pt>
                <c:pt idx="1117">
                  <c:v>41</c:v>
                </c:pt>
                <c:pt idx="1118">
                  <c:v>41</c:v>
                </c:pt>
                <c:pt idx="1119">
                  <c:v>41</c:v>
                </c:pt>
                <c:pt idx="1120">
                  <c:v>41</c:v>
                </c:pt>
                <c:pt idx="1121">
                  <c:v>41</c:v>
                </c:pt>
                <c:pt idx="1122">
                  <c:v>41</c:v>
                </c:pt>
                <c:pt idx="1123">
                  <c:v>41</c:v>
                </c:pt>
                <c:pt idx="1124">
                  <c:v>41</c:v>
                </c:pt>
                <c:pt idx="1125">
                  <c:v>41</c:v>
                </c:pt>
                <c:pt idx="1126">
                  <c:v>42</c:v>
                </c:pt>
                <c:pt idx="1127">
                  <c:v>42</c:v>
                </c:pt>
                <c:pt idx="1128">
                  <c:v>42</c:v>
                </c:pt>
                <c:pt idx="1129">
                  <c:v>42</c:v>
                </c:pt>
                <c:pt idx="1130">
                  <c:v>42</c:v>
                </c:pt>
                <c:pt idx="1131">
                  <c:v>42</c:v>
                </c:pt>
                <c:pt idx="1132">
                  <c:v>42</c:v>
                </c:pt>
                <c:pt idx="1133">
                  <c:v>42</c:v>
                </c:pt>
                <c:pt idx="1134">
                  <c:v>42</c:v>
                </c:pt>
                <c:pt idx="1135">
                  <c:v>42</c:v>
                </c:pt>
                <c:pt idx="1136">
                  <c:v>42</c:v>
                </c:pt>
                <c:pt idx="1137">
                  <c:v>42</c:v>
                </c:pt>
                <c:pt idx="1138">
                  <c:v>42</c:v>
                </c:pt>
                <c:pt idx="1139">
                  <c:v>42</c:v>
                </c:pt>
                <c:pt idx="1140">
                  <c:v>42</c:v>
                </c:pt>
                <c:pt idx="1141">
                  <c:v>42</c:v>
                </c:pt>
                <c:pt idx="1142">
                  <c:v>42</c:v>
                </c:pt>
                <c:pt idx="1143">
                  <c:v>42</c:v>
                </c:pt>
                <c:pt idx="1144">
                  <c:v>42</c:v>
                </c:pt>
                <c:pt idx="1145">
                  <c:v>42</c:v>
                </c:pt>
                <c:pt idx="1146">
                  <c:v>42</c:v>
                </c:pt>
                <c:pt idx="1147">
                  <c:v>42</c:v>
                </c:pt>
                <c:pt idx="1148">
                  <c:v>42</c:v>
                </c:pt>
                <c:pt idx="1149">
                  <c:v>42</c:v>
                </c:pt>
                <c:pt idx="1150">
                  <c:v>42</c:v>
                </c:pt>
                <c:pt idx="1151">
                  <c:v>42</c:v>
                </c:pt>
                <c:pt idx="1152">
                  <c:v>42</c:v>
                </c:pt>
                <c:pt idx="1153">
                  <c:v>42</c:v>
                </c:pt>
                <c:pt idx="1154">
                  <c:v>42</c:v>
                </c:pt>
                <c:pt idx="1155">
                  <c:v>42</c:v>
                </c:pt>
                <c:pt idx="1156">
                  <c:v>42</c:v>
                </c:pt>
                <c:pt idx="1157">
                  <c:v>42</c:v>
                </c:pt>
                <c:pt idx="1158">
                  <c:v>42</c:v>
                </c:pt>
                <c:pt idx="1159">
                  <c:v>42</c:v>
                </c:pt>
                <c:pt idx="1160">
                  <c:v>42</c:v>
                </c:pt>
                <c:pt idx="1161">
                  <c:v>42</c:v>
                </c:pt>
                <c:pt idx="1162">
                  <c:v>42</c:v>
                </c:pt>
                <c:pt idx="1163">
                  <c:v>42</c:v>
                </c:pt>
                <c:pt idx="1164">
                  <c:v>42</c:v>
                </c:pt>
                <c:pt idx="1165">
                  <c:v>43</c:v>
                </c:pt>
                <c:pt idx="1166">
                  <c:v>43</c:v>
                </c:pt>
                <c:pt idx="1167">
                  <c:v>43</c:v>
                </c:pt>
                <c:pt idx="1168">
                  <c:v>43</c:v>
                </c:pt>
                <c:pt idx="1169">
                  <c:v>43</c:v>
                </c:pt>
                <c:pt idx="1170">
                  <c:v>43</c:v>
                </c:pt>
                <c:pt idx="1171">
                  <c:v>43</c:v>
                </c:pt>
                <c:pt idx="1172">
                  <c:v>43</c:v>
                </c:pt>
                <c:pt idx="1173">
                  <c:v>43</c:v>
                </c:pt>
                <c:pt idx="1174">
                  <c:v>43</c:v>
                </c:pt>
                <c:pt idx="1175">
                  <c:v>43</c:v>
                </c:pt>
                <c:pt idx="1176">
                  <c:v>43</c:v>
                </c:pt>
                <c:pt idx="1177">
                  <c:v>43</c:v>
                </c:pt>
                <c:pt idx="1178">
                  <c:v>43</c:v>
                </c:pt>
                <c:pt idx="1179">
                  <c:v>43</c:v>
                </c:pt>
                <c:pt idx="1180">
                  <c:v>43</c:v>
                </c:pt>
                <c:pt idx="1181">
                  <c:v>43</c:v>
                </c:pt>
                <c:pt idx="1182">
                  <c:v>43</c:v>
                </c:pt>
                <c:pt idx="1183">
                  <c:v>43</c:v>
                </c:pt>
                <c:pt idx="1184">
                  <c:v>43</c:v>
                </c:pt>
                <c:pt idx="1185">
                  <c:v>43</c:v>
                </c:pt>
                <c:pt idx="1186">
                  <c:v>43</c:v>
                </c:pt>
                <c:pt idx="1187">
                  <c:v>43</c:v>
                </c:pt>
                <c:pt idx="1188">
                  <c:v>43</c:v>
                </c:pt>
                <c:pt idx="1189">
                  <c:v>43</c:v>
                </c:pt>
                <c:pt idx="1190">
                  <c:v>43</c:v>
                </c:pt>
                <c:pt idx="1191">
                  <c:v>43</c:v>
                </c:pt>
                <c:pt idx="1192">
                  <c:v>43</c:v>
                </c:pt>
                <c:pt idx="1193">
                  <c:v>43</c:v>
                </c:pt>
                <c:pt idx="1194">
                  <c:v>43</c:v>
                </c:pt>
                <c:pt idx="1195">
                  <c:v>43</c:v>
                </c:pt>
                <c:pt idx="1196">
                  <c:v>43</c:v>
                </c:pt>
                <c:pt idx="1197">
                  <c:v>43</c:v>
                </c:pt>
                <c:pt idx="1198">
                  <c:v>43</c:v>
                </c:pt>
                <c:pt idx="1199">
                  <c:v>43</c:v>
                </c:pt>
                <c:pt idx="1200">
                  <c:v>43</c:v>
                </c:pt>
                <c:pt idx="1201">
                  <c:v>43</c:v>
                </c:pt>
                <c:pt idx="1202">
                  <c:v>43</c:v>
                </c:pt>
                <c:pt idx="1203">
                  <c:v>44</c:v>
                </c:pt>
                <c:pt idx="1204">
                  <c:v>44</c:v>
                </c:pt>
                <c:pt idx="1205">
                  <c:v>44</c:v>
                </c:pt>
                <c:pt idx="1206">
                  <c:v>44</c:v>
                </c:pt>
                <c:pt idx="1207">
                  <c:v>44</c:v>
                </c:pt>
                <c:pt idx="1208">
                  <c:v>44</c:v>
                </c:pt>
                <c:pt idx="1209">
                  <c:v>44</c:v>
                </c:pt>
                <c:pt idx="1210">
                  <c:v>44</c:v>
                </c:pt>
                <c:pt idx="1211">
                  <c:v>44</c:v>
                </c:pt>
                <c:pt idx="1212">
                  <c:v>44</c:v>
                </c:pt>
                <c:pt idx="1213">
                  <c:v>44</c:v>
                </c:pt>
                <c:pt idx="1214">
                  <c:v>44</c:v>
                </c:pt>
                <c:pt idx="1215">
                  <c:v>44</c:v>
                </c:pt>
                <c:pt idx="1216">
                  <c:v>44</c:v>
                </c:pt>
                <c:pt idx="1217">
                  <c:v>44</c:v>
                </c:pt>
                <c:pt idx="1218">
                  <c:v>44</c:v>
                </c:pt>
                <c:pt idx="1219">
                  <c:v>44</c:v>
                </c:pt>
                <c:pt idx="1220">
                  <c:v>44</c:v>
                </c:pt>
                <c:pt idx="1221">
                  <c:v>44</c:v>
                </c:pt>
                <c:pt idx="1222">
                  <c:v>44</c:v>
                </c:pt>
                <c:pt idx="1223">
                  <c:v>44</c:v>
                </c:pt>
                <c:pt idx="1224">
                  <c:v>44</c:v>
                </c:pt>
                <c:pt idx="1225">
                  <c:v>44</c:v>
                </c:pt>
                <c:pt idx="1226">
                  <c:v>44</c:v>
                </c:pt>
                <c:pt idx="1227">
                  <c:v>44</c:v>
                </c:pt>
                <c:pt idx="1228">
                  <c:v>44</c:v>
                </c:pt>
                <c:pt idx="1229">
                  <c:v>44</c:v>
                </c:pt>
                <c:pt idx="1230">
                  <c:v>44</c:v>
                </c:pt>
                <c:pt idx="1231">
                  <c:v>44</c:v>
                </c:pt>
                <c:pt idx="1232">
                  <c:v>44</c:v>
                </c:pt>
                <c:pt idx="1233">
                  <c:v>44</c:v>
                </c:pt>
                <c:pt idx="1234">
                  <c:v>44</c:v>
                </c:pt>
                <c:pt idx="1235">
                  <c:v>44</c:v>
                </c:pt>
                <c:pt idx="1236">
                  <c:v>44</c:v>
                </c:pt>
                <c:pt idx="1237">
                  <c:v>44</c:v>
                </c:pt>
                <c:pt idx="1238">
                  <c:v>44</c:v>
                </c:pt>
                <c:pt idx="1239">
                  <c:v>44</c:v>
                </c:pt>
                <c:pt idx="1240">
                  <c:v>45</c:v>
                </c:pt>
                <c:pt idx="1241">
                  <c:v>45</c:v>
                </c:pt>
                <c:pt idx="1242">
                  <c:v>45</c:v>
                </c:pt>
                <c:pt idx="1243">
                  <c:v>45</c:v>
                </c:pt>
                <c:pt idx="1244">
                  <c:v>45</c:v>
                </c:pt>
                <c:pt idx="1245">
                  <c:v>45</c:v>
                </c:pt>
                <c:pt idx="1246">
                  <c:v>45</c:v>
                </c:pt>
                <c:pt idx="1247">
                  <c:v>45</c:v>
                </c:pt>
                <c:pt idx="1248">
                  <c:v>45</c:v>
                </c:pt>
                <c:pt idx="1249">
                  <c:v>45</c:v>
                </c:pt>
                <c:pt idx="1250">
                  <c:v>45</c:v>
                </c:pt>
                <c:pt idx="1251">
                  <c:v>45</c:v>
                </c:pt>
                <c:pt idx="1252">
                  <c:v>45</c:v>
                </c:pt>
                <c:pt idx="1253">
                  <c:v>45</c:v>
                </c:pt>
                <c:pt idx="1254">
                  <c:v>45</c:v>
                </c:pt>
                <c:pt idx="1255">
                  <c:v>45</c:v>
                </c:pt>
                <c:pt idx="1256">
                  <c:v>45</c:v>
                </c:pt>
                <c:pt idx="1257">
                  <c:v>45</c:v>
                </c:pt>
                <c:pt idx="1258">
                  <c:v>45</c:v>
                </c:pt>
                <c:pt idx="1259">
                  <c:v>45</c:v>
                </c:pt>
                <c:pt idx="1260">
                  <c:v>45</c:v>
                </c:pt>
                <c:pt idx="1261">
                  <c:v>45</c:v>
                </c:pt>
                <c:pt idx="1262">
                  <c:v>45</c:v>
                </c:pt>
                <c:pt idx="1263">
                  <c:v>45</c:v>
                </c:pt>
                <c:pt idx="1264">
                  <c:v>45</c:v>
                </c:pt>
                <c:pt idx="1265">
                  <c:v>45</c:v>
                </c:pt>
                <c:pt idx="1266">
                  <c:v>45</c:v>
                </c:pt>
                <c:pt idx="1267">
                  <c:v>45</c:v>
                </c:pt>
                <c:pt idx="1268">
                  <c:v>45</c:v>
                </c:pt>
                <c:pt idx="1269">
                  <c:v>45</c:v>
                </c:pt>
                <c:pt idx="1270">
                  <c:v>45</c:v>
                </c:pt>
                <c:pt idx="1271">
                  <c:v>45</c:v>
                </c:pt>
                <c:pt idx="1272">
                  <c:v>45</c:v>
                </c:pt>
                <c:pt idx="1273">
                  <c:v>45</c:v>
                </c:pt>
                <c:pt idx="1274">
                  <c:v>45</c:v>
                </c:pt>
                <c:pt idx="1275">
                  <c:v>45</c:v>
                </c:pt>
                <c:pt idx="1276">
                  <c:v>46</c:v>
                </c:pt>
                <c:pt idx="1277">
                  <c:v>46</c:v>
                </c:pt>
                <c:pt idx="1278">
                  <c:v>46</c:v>
                </c:pt>
                <c:pt idx="1279">
                  <c:v>46</c:v>
                </c:pt>
                <c:pt idx="1280">
                  <c:v>46</c:v>
                </c:pt>
                <c:pt idx="1281">
                  <c:v>46</c:v>
                </c:pt>
                <c:pt idx="1282">
                  <c:v>46</c:v>
                </c:pt>
                <c:pt idx="1283">
                  <c:v>46</c:v>
                </c:pt>
                <c:pt idx="1284">
                  <c:v>46</c:v>
                </c:pt>
                <c:pt idx="1285">
                  <c:v>46</c:v>
                </c:pt>
                <c:pt idx="1286">
                  <c:v>46</c:v>
                </c:pt>
                <c:pt idx="1287">
                  <c:v>46</c:v>
                </c:pt>
                <c:pt idx="1288">
                  <c:v>46</c:v>
                </c:pt>
                <c:pt idx="1289">
                  <c:v>46</c:v>
                </c:pt>
                <c:pt idx="1290">
                  <c:v>46</c:v>
                </c:pt>
                <c:pt idx="1291">
                  <c:v>46</c:v>
                </c:pt>
                <c:pt idx="1292">
                  <c:v>46</c:v>
                </c:pt>
                <c:pt idx="1293">
                  <c:v>46</c:v>
                </c:pt>
                <c:pt idx="1294">
                  <c:v>46</c:v>
                </c:pt>
                <c:pt idx="1295">
                  <c:v>46</c:v>
                </c:pt>
                <c:pt idx="1296">
                  <c:v>46</c:v>
                </c:pt>
                <c:pt idx="1297">
                  <c:v>46</c:v>
                </c:pt>
                <c:pt idx="1298">
                  <c:v>46</c:v>
                </c:pt>
                <c:pt idx="1299">
                  <c:v>46</c:v>
                </c:pt>
                <c:pt idx="1300">
                  <c:v>46</c:v>
                </c:pt>
                <c:pt idx="1301">
                  <c:v>46</c:v>
                </c:pt>
                <c:pt idx="1302">
                  <c:v>46</c:v>
                </c:pt>
                <c:pt idx="1303">
                  <c:v>46</c:v>
                </c:pt>
                <c:pt idx="1304">
                  <c:v>46</c:v>
                </c:pt>
                <c:pt idx="1305">
                  <c:v>46</c:v>
                </c:pt>
                <c:pt idx="1306">
                  <c:v>46</c:v>
                </c:pt>
                <c:pt idx="1307">
                  <c:v>46</c:v>
                </c:pt>
                <c:pt idx="1308">
                  <c:v>46</c:v>
                </c:pt>
                <c:pt idx="1309">
                  <c:v>46</c:v>
                </c:pt>
                <c:pt idx="1310">
                  <c:v>46</c:v>
                </c:pt>
                <c:pt idx="1311">
                  <c:v>47</c:v>
                </c:pt>
                <c:pt idx="1312">
                  <c:v>47</c:v>
                </c:pt>
                <c:pt idx="1313">
                  <c:v>47</c:v>
                </c:pt>
                <c:pt idx="1314">
                  <c:v>47</c:v>
                </c:pt>
                <c:pt idx="1315">
                  <c:v>47</c:v>
                </c:pt>
                <c:pt idx="1316">
                  <c:v>47</c:v>
                </c:pt>
                <c:pt idx="1317">
                  <c:v>47</c:v>
                </c:pt>
                <c:pt idx="1318">
                  <c:v>47</c:v>
                </c:pt>
                <c:pt idx="1319">
                  <c:v>47</c:v>
                </c:pt>
                <c:pt idx="1320">
                  <c:v>47</c:v>
                </c:pt>
                <c:pt idx="1321">
                  <c:v>47</c:v>
                </c:pt>
                <c:pt idx="1322">
                  <c:v>47</c:v>
                </c:pt>
                <c:pt idx="1323">
                  <c:v>47</c:v>
                </c:pt>
                <c:pt idx="1324">
                  <c:v>47</c:v>
                </c:pt>
                <c:pt idx="1325">
                  <c:v>47</c:v>
                </c:pt>
                <c:pt idx="1326">
                  <c:v>47</c:v>
                </c:pt>
                <c:pt idx="1327">
                  <c:v>47</c:v>
                </c:pt>
                <c:pt idx="1328">
                  <c:v>47</c:v>
                </c:pt>
                <c:pt idx="1329">
                  <c:v>47</c:v>
                </c:pt>
                <c:pt idx="1330">
                  <c:v>47</c:v>
                </c:pt>
                <c:pt idx="1331">
                  <c:v>47</c:v>
                </c:pt>
                <c:pt idx="1332">
                  <c:v>47</c:v>
                </c:pt>
                <c:pt idx="1333">
                  <c:v>47</c:v>
                </c:pt>
                <c:pt idx="1334">
                  <c:v>47</c:v>
                </c:pt>
                <c:pt idx="1335">
                  <c:v>47</c:v>
                </c:pt>
                <c:pt idx="1336">
                  <c:v>47</c:v>
                </c:pt>
                <c:pt idx="1337">
                  <c:v>47</c:v>
                </c:pt>
                <c:pt idx="1338">
                  <c:v>47</c:v>
                </c:pt>
                <c:pt idx="1339">
                  <c:v>47</c:v>
                </c:pt>
                <c:pt idx="1340">
                  <c:v>47</c:v>
                </c:pt>
                <c:pt idx="1341">
                  <c:v>47</c:v>
                </c:pt>
                <c:pt idx="1342">
                  <c:v>47</c:v>
                </c:pt>
                <c:pt idx="1343">
                  <c:v>47</c:v>
                </c:pt>
                <c:pt idx="1344">
                  <c:v>47</c:v>
                </c:pt>
                <c:pt idx="1345">
                  <c:v>48</c:v>
                </c:pt>
                <c:pt idx="1346">
                  <c:v>48</c:v>
                </c:pt>
                <c:pt idx="1347">
                  <c:v>48</c:v>
                </c:pt>
                <c:pt idx="1348">
                  <c:v>48</c:v>
                </c:pt>
                <c:pt idx="1349">
                  <c:v>48</c:v>
                </c:pt>
                <c:pt idx="1350">
                  <c:v>48</c:v>
                </c:pt>
                <c:pt idx="1351">
                  <c:v>48</c:v>
                </c:pt>
                <c:pt idx="1352">
                  <c:v>48</c:v>
                </c:pt>
                <c:pt idx="1353">
                  <c:v>48</c:v>
                </c:pt>
                <c:pt idx="1354">
                  <c:v>48</c:v>
                </c:pt>
                <c:pt idx="1355">
                  <c:v>48</c:v>
                </c:pt>
                <c:pt idx="1356">
                  <c:v>48</c:v>
                </c:pt>
                <c:pt idx="1357">
                  <c:v>48</c:v>
                </c:pt>
                <c:pt idx="1358">
                  <c:v>48</c:v>
                </c:pt>
                <c:pt idx="1359">
                  <c:v>48</c:v>
                </c:pt>
                <c:pt idx="1360">
                  <c:v>48</c:v>
                </c:pt>
                <c:pt idx="1361">
                  <c:v>48</c:v>
                </c:pt>
                <c:pt idx="1362">
                  <c:v>48</c:v>
                </c:pt>
                <c:pt idx="1363">
                  <c:v>48</c:v>
                </c:pt>
                <c:pt idx="1364">
                  <c:v>48</c:v>
                </c:pt>
                <c:pt idx="1365">
                  <c:v>48</c:v>
                </c:pt>
                <c:pt idx="1366">
                  <c:v>48</c:v>
                </c:pt>
                <c:pt idx="1367">
                  <c:v>48</c:v>
                </c:pt>
                <c:pt idx="1368">
                  <c:v>48</c:v>
                </c:pt>
                <c:pt idx="1369">
                  <c:v>48</c:v>
                </c:pt>
                <c:pt idx="1370">
                  <c:v>48</c:v>
                </c:pt>
                <c:pt idx="1371">
                  <c:v>48</c:v>
                </c:pt>
                <c:pt idx="1372">
                  <c:v>48</c:v>
                </c:pt>
                <c:pt idx="1373">
                  <c:v>48</c:v>
                </c:pt>
                <c:pt idx="1374">
                  <c:v>48</c:v>
                </c:pt>
                <c:pt idx="1375">
                  <c:v>48</c:v>
                </c:pt>
                <c:pt idx="1376">
                  <c:v>48</c:v>
                </c:pt>
                <c:pt idx="1377">
                  <c:v>48</c:v>
                </c:pt>
                <c:pt idx="1378">
                  <c:v>49</c:v>
                </c:pt>
                <c:pt idx="1379">
                  <c:v>49</c:v>
                </c:pt>
                <c:pt idx="1380">
                  <c:v>49</c:v>
                </c:pt>
                <c:pt idx="1381">
                  <c:v>49</c:v>
                </c:pt>
                <c:pt idx="1382">
                  <c:v>49</c:v>
                </c:pt>
                <c:pt idx="1383">
                  <c:v>49</c:v>
                </c:pt>
                <c:pt idx="1384">
                  <c:v>49</c:v>
                </c:pt>
                <c:pt idx="1385">
                  <c:v>49</c:v>
                </c:pt>
                <c:pt idx="1386">
                  <c:v>49</c:v>
                </c:pt>
                <c:pt idx="1387">
                  <c:v>49</c:v>
                </c:pt>
                <c:pt idx="1388">
                  <c:v>49</c:v>
                </c:pt>
                <c:pt idx="1389">
                  <c:v>49</c:v>
                </c:pt>
                <c:pt idx="1390">
                  <c:v>49</c:v>
                </c:pt>
                <c:pt idx="1391">
                  <c:v>49</c:v>
                </c:pt>
                <c:pt idx="1392">
                  <c:v>49</c:v>
                </c:pt>
                <c:pt idx="1393">
                  <c:v>49</c:v>
                </c:pt>
                <c:pt idx="1394">
                  <c:v>49</c:v>
                </c:pt>
                <c:pt idx="1395">
                  <c:v>49</c:v>
                </c:pt>
                <c:pt idx="1396">
                  <c:v>49</c:v>
                </c:pt>
                <c:pt idx="1397">
                  <c:v>49</c:v>
                </c:pt>
                <c:pt idx="1398">
                  <c:v>49</c:v>
                </c:pt>
                <c:pt idx="1399">
                  <c:v>49</c:v>
                </c:pt>
                <c:pt idx="1400">
                  <c:v>49</c:v>
                </c:pt>
                <c:pt idx="1401">
                  <c:v>49</c:v>
                </c:pt>
                <c:pt idx="1402">
                  <c:v>49</c:v>
                </c:pt>
                <c:pt idx="1403">
                  <c:v>49</c:v>
                </c:pt>
                <c:pt idx="1404">
                  <c:v>49</c:v>
                </c:pt>
                <c:pt idx="1405">
                  <c:v>49</c:v>
                </c:pt>
                <c:pt idx="1406">
                  <c:v>49</c:v>
                </c:pt>
                <c:pt idx="1407">
                  <c:v>49</c:v>
                </c:pt>
                <c:pt idx="1408">
                  <c:v>49</c:v>
                </c:pt>
                <c:pt idx="1409">
                  <c:v>49</c:v>
                </c:pt>
                <c:pt idx="1410">
                  <c:v>50</c:v>
                </c:pt>
                <c:pt idx="1411">
                  <c:v>50</c:v>
                </c:pt>
                <c:pt idx="1412">
                  <c:v>50</c:v>
                </c:pt>
                <c:pt idx="1413">
                  <c:v>50</c:v>
                </c:pt>
                <c:pt idx="1414">
                  <c:v>50</c:v>
                </c:pt>
                <c:pt idx="1415">
                  <c:v>50</c:v>
                </c:pt>
                <c:pt idx="1416">
                  <c:v>50</c:v>
                </c:pt>
                <c:pt idx="1417">
                  <c:v>50</c:v>
                </c:pt>
                <c:pt idx="1418">
                  <c:v>50</c:v>
                </c:pt>
                <c:pt idx="1419">
                  <c:v>50</c:v>
                </c:pt>
                <c:pt idx="1420">
                  <c:v>50</c:v>
                </c:pt>
                <c:pt idx="1421">
                  <c:v>50</c:v>
                </c:pt>
                <c:pt idx="1422">
                  <c:v>50</c:v>
                </c:pt>
                <c:pt idx="1423">
                  <c:v>50</c:v>
                </c:pt>
                <c:pt idx="1424">
                  <c:v>50</c:v>
                </c:pt>
                <c:pt idx="1425">
                  <c:v>50</c:v>
                </c:pt>
                <c:pt idx="1426">
                  <c:v>50</c:v>
                </c:pt>
                <c:pt idx="1427">
                  <c:v>50</c:v>
                </c:pt>
                <c:pt idx="1428">
                  <c:v>50</c:v>
                </c:pt>
                <c:pt idx="1429">
                  <c:v>50</c:v>
                </c:pt>
                <c:pt idx="1430">
                  <c:v>50</c:v>
                </c:pt>
                <c:pt idx="1431">
                  <c:v>50</c:v>
                </c:pt>
                <c:pt idx="1432">
                  <c:v>50</c:v>
                </c:pt>
                <c:pt idx="1433">
                  <c:v>50</c:v>
                </c:pt>
                <c:pt idx="1434">
                  <c:v>50</c:v>
                </c:pt>
                <c:pt idx="1435">
                  <c:v>50</c:v>
                </c:pt>
                <c:pt idx="1436">
                  <c:v>50</c:v>
                </c:pt>
                <c:pt idx="1437">
                  <c:v>50</c:v>
                </c:pt>
                <c:pt idx="1438">
                  <c:v>50</c:v>
                </c:pt>
                <c:pt idx="1439">
                  <c:v>50</c:v>
                </c:pt>
                <c:pt idx="1440">
                  <c:v>50</c:v>
                </c:pt>
                <c:pt idx="1441">
                  <c:v>51</c:v>
                </c:pt>
                <c:pt idx="1442">
                  <c:v>51</c:v>
                </c:pt>
                <c:pt idx="1443">
                  <c:v>51</c:v>
                </c:pt>
                <c:pt idx="1444">
                  <c:v>51</c:v>
                </c:pt>
                <c:pt idx="1445">
                  <c:v>51</c:v>
                </c:pt>
                <c:pt idx="1446">
                  <c:v>51</c:v>
                </c:pt>
                <c:pt idx="1447">
                  <c:v>51</c:v>
                </c:pt>
                <c:pt idx="1448">
                  <c:v>51</c:v>
                </c:pt>
                <c:pt idx="1449">
                  <c:v>51</c:v>
                </c:pt>
                <c:pt idx="1450">
                  <c:v>51</c:v>
                </c:pt>
                <c:pt idx="1451">
                  <c:v>51</c:v>
                </c:pt>
                <c:pt idx="1452">
                  <c:v>51</c:v>
                </c:pt>
                <c:pt idx="1453">
                  <c:v>51</c:v>
                </c:pt>
                <c:pt idx="1454">
                  <c:v>51</c:v>
                </c:pt>
                <c:pt idx="1455">
                  <c:v>51</c:v>
                </c:pt>
                <c:pt idx="1456">
                  <c:v>51</c:v>
                </c:pt>
                <c:pt idx="1457">
                  <c:v>51</c:v>
                </c:pt>
                <c:pt idx="1458">
                  <c:v>51</c:v>
                </c:pt>
                <c:pt idx="1459">
                  <c:v>51</c:v>
                </c:pt>
                <c:pt idx="1460">
                  <c:v>51</c:v>
                </c:pt>
                <c:pt idx="1461">
                  <c:v>51</c:v>
                </c:pt>
                <c:pt idx="1462">
                  <c:v>51</c:v>
                </c:pt>
                <c:pt idx="1463">
                  <c:v>51</c:v>
                </c:pt>
                <c:pt idx="1464">
                  <c:v>51</c:v>
                </c:pt>
                <c:pt idx="1465">
                  <c:v>51</c:v>
                </c:pt>
                <c:pt idx="1466">
                  <c:v>51</c:v>
                </c:pt>
                <c:pt idx="1467">
                  <c:v>51</c:v>
                </c:pt>
                <c:pt idx="1468">
                  <c:v>51</c:v>
                </c:pt>
                <c:pt idx="1469">
                  <c:v>51</c:v>
                </c:pt>
                <c:pt idx="1470">
                  <c:v>51</c:v>
                </c:pt>
                <c:pt idx="1471">
                  <c:v>52</c:v>
                </c:pt>
                <c:pt idx="1472">
                  <c:v>52</c:v>
                </c:pt>
                <c:pt idx="1473">
                  <c:v>52</c:v>
                </c:pt>
                <c:pt idx="1474">
                  <c:v>52</c:v>
                </c:pt>
                <c:pt idx="1475">
                  <c:v>52</c:v>
                </c:pt>
                <c:pt idx="1476">
                  <c:v>52</c:v>
                </c:pt>
                <c:pt idx="1477">
                  <c:v>52</c:v>
                </c:pt>
                <c:pt idx="1478">
                  <c:v>52</c:v>
                </c:pt>
                <c:pt idx="1479">
                  <c:v>52</c:v>
                </c:pt>
                <c:pt idx="1480">
                  <c:v>52</c:v>
                </c:pt>
                <c:pt idx="1481">
                  <c:v>52</c:v>
                </c:pt>
                <c:pt idx="1482">
                  <c:v>52</c:v>
                </c:pt>
                <c:pt idx="1483">
                  <c:v>52</c:v>
                </c:pt>
                <c:pt idx="1484">
                  <c:v>52</c:v>
                </c:pt>
                <c:pt idx="1485">
                  <c:v>52</c:v>
                </c:pt>
                <c:pt idx="1486">
                  <c:v>52</c:v>
                </c:pt>
                <c:pt idx="1487">
                  <c:v>52</c:v>
                </c:pt>
                <c:pt idx="1488">
                  <c:v>52</c:v>
                </c:pt>
                <c:pt idx="1489">
                  <c:v>52</c:v>
                </c:pt>
                <c:pt idx="1490">
                  <c:v>52</c:v>
                </c:pt>
                <c:pt idx="1491">
                  <c:v>52</c:v>
                </c:pt>
                <c:pt idx="1492">
                  <c:v>52</c:v>
                </c:pt>
                <c:pt idx="1493">
                  <c:v>52</c:v>
                </c:pt>
                <c:pt idx="1494">
                  <c:v>52</c:v>
                </c:pt>
                <c:pt idx="1495">
                  <c:v>52</c:v>
                </c:pt>
                <c:pt idx="1496">
                  <c:v>52</c:v>
                </c:pt>
                <c:pt idx="1497">
                  <c:v>52</c:v>
                </c:pt>
                <c:pt idx="1498">
                  <c:v>52</c:v>
                </c:pt>
                <c:pt idx="1499">
                  <c:v>52</c:v>
                </c:pt>
                <c:pt idx="1500">
                  <c:v>53</c:v>
                </c:pt>
                <c:pt idx="1501">
                  <c:v>53</c:v>
                </c:pt>
                <c:pt idx="1502">
                  <c:v>53</c:v>
                </c:pt>
                <c:pt idx="1503">
                  <c:v>53</c:v>
                </c:pt>
                <c:pt idx="1504">
                  <c:v>53</c:v>
                </c:pt>
                <c:pt idx="1505">
                  <c:v>53</c:v>
                </c:pt>
                <c:pt idx="1506">
                  <c:v>53</c:v>
                </c:pt>
                <c:pt idx="1507">
                  <c:v>53</c:v>
                </c:pt>
                <c:pt idx="1508">
                  <c:v>53</c:v>
                </c:pt>
                <c:pt idx="1509">
                  <c:v>53</c:v>
                </c:pt>
                <c:pt idx="1510">
                  <c:v>53</c:v>
                </c:pt>
                <c:pt idx="1511">
                  <c:v>53</c:v>
                </c:pt>
                <c:pt idx="1512">
                  <c:v>53</c:v>
                </c:pt>
                <c:pt idx="1513">
                  <c:v>53</c:v>
                </c:pt>
                <c:pt idx="1514">
                  <c:v>53</c:v>
                </c:pt>
                <c:pt idx="1515">
                  <c:v>53</c:v>
                </c:pt>
                <c:pt idx="1516">
                  <c:v>53</c:v>
                </c:pt>
                <c:pt idx="1517">
                  <c:v>53</c:v>
                </c:pt>
                <c:pt idx="1518">
                  <c:v>53</c:v>
                </c:pt>
                <c:pt idx="1519">
                  <c:v>53</c:v>
                </c:pt>
                <c:pt idx="1520">
                  <c:v>53</c:v>
                </c:pt>
                <c:pt idx="1521">
                  <c:v>53</c:v>
                </c:pt>
                <c:pt idx="1522">
                  <c:v>53</c:v>
                </c:pt>
                <c:pt idx="1523">
                  <c:v>53</c:v>
                </c:pt>
                <c:pt idx="1524">
                  <c:v>53</c:v>
                </c:pt>
                <c:pt idx="1525">
                  <c:v>53</c:v>
                </c:pt>
                <c:pt idx="1526">
                  <c:v>53</c:v>
                </c:pt>
                <c:pt idx="1527">
                  <c:v>53</c:v>
                </c:pt>
                <c:pt idx="1528">
                  <c:v>54</c:v>
                </c:pt>
                <c:pt idx="1529">
                  <c:v>54</c:v>
                </c:pt>
                <c:pt idx="1530">
                  <c:v>54</c:v>
                </c:pt>
                <c:pt idx="1531">
                  <c:v>54</c:v>
                </c:pt>
                <c:pt idx="1532">
                  <c:v>54</c:v>
                </c:pt>
                <c:pt idx="1533">
                  <c:v>54</c:v>
                </c:pt>
                <c:pt idx="1534">
                  <c:v>54</c:v>
                </c:pt>
                <c:pt idx="1535">
                  <c:v>54</c:v>
                </c:pt>
                <c:pt idx="1536">
                  <c:v>54</c:v>
                </c:pt>
                <c:pt idx="1537">
                  <c:v>54</c:v>
                </c:pt>
                <c:pt idx="1538">
                  <c:v>54</c:v>
                </c:pt>
                <c:pt idx="1539">
                  <c:v>54</c:v>
                </c:pt>
                <c:pt idx="1540">
                  <c:v>54</c:v>
                </c:pt>
                <c:pt idx="1541">
                  <c:v>54</c:v>
                </c:pt>
                <c:pt idx="1542">
                  <c:v>54</c:v>
                </c:pt>
                <c:pt idx="1543">
                  <c:v>54</c:v>
                </c:pt>
                <c:pt idx="1544">
                  <c:v>54</c:v>
                </c:pt>
                <c:pt idx="1545">
                  <c:v>54</c:v>
                </c:pt>
                <c:pt idx="1546">
                  <c:v>54</c:v>
                </c:pt>
                <c:pt idx="1547">
                  <c:v>54</c:v>
                </c:pt>
                <c:pt idx="1548">
                  <c:v>54</c:v>
                </c:pt>
                <c:pt idx="1549">
                  <c:v>54</c:v>
                </c:pt>
                <c:pt idx="1550">
                  <c:v>54</c:v>
                </c:pt>
                <c:pt idx="1551">
                  <c:v>54</c:v>
                </c:pt>
                <c:pt idx="1552">
                  <c:v>54</c:v>
                </c:pt>
                <c:pt idx="1553">
                  <c:v>54</c:v>
                </c:pt>
                <c:pt idx="1554">
                  <c:v>54</c:v>
                </c:pt>
                <c:pt idx="1555">
                  <c:v>55</c:v>
                </c:pt>
                <c:pt idx="1556">
                  <c:v>55</c:v>
                </c:pt>
                <c:pt idx="1557">
                  <c:v>55</c:v>
                </c:pt>
                <c:pt idx="1558">
                  <c:v>55</c:v>
                </c:pt>
                <c:pt idx="1559">
                  <c:v>55</c:v>
                </c:pt>
                <c:pt idx="1560">
                  <c:v>55</c:v>
                </c:pt>
                <c:pt idx="1561">
                  <c:v>55</c:v>
                </c:pt>
                <c:pt idx="1562">
                  <c:v>55</c:v>
                </c:pt>
                <c:pt idx="1563">
                  <c:v>55</c:v>
                </c:pt>
                <c:pt idx="1564">
                  <c:v>55</c:v>
                </c:pt>
                <c:pt idx="1565">
                  <c:v>55</c:v>
                </c:pt>
                <c:pt idx="1566">
                  <c:v>55</c:v>
                </c:pt>
                <c:pt idx="1567">
                  <c:v>55</c:v>
                </c:pt>
                <c:pt idx="1568">
                  <c:v>55</c:v>
                </c:pt>
                <c:pt idx="1569">
                  <c:v>55</c:v>
                </c:pt>
                <c:pt idx="1570">
                  <c:v>55</c:v>
                </c:pt>
                <c:pt idx="1571">
                  <c:v>55</c:v>
                </c:pt>
                <c:pt idx="1572">
                  <c:v>55</c:v>
                </c:pt>
                <c:pt idx="1573">
                  <c:v>55</c:v>
                </c:pt>
                <c:pt idx="1574">
                  <c:v>55</c:v>
                </c:pt>
                <c:pt idx="1575">
                  <c:v>55</c:v>
                </c:pt>
                <c:pt idx="1576">
                  <c:v>55</c:v>
                </c:pt>
                <c:pt idx="1577">
                  <c:v>55</c:v>
                </c:pt>
                <c:pt idx="1578">
                  <c:v>55</c:v>
                </c:pt>
                <c:pt idx="1579">
                  <c:v>55</c:v>
                </c:pt>
                <c:pt idx="1580">
                  <c:v>55</c:v>
                </c:pt>
                <c:pt idx="1581">
                  <c:v>1000</c:v>
                </c:pt>
              </c:numCache>
            </c:numRef>
          </c:xVal>
          <c:yVal>
            <c:numRef>
              <c:f>卡片数值分配统计!$Y$3:$Y$1584</c:f>
              <c:numCache>
                <c:formatCode>General</c:formatCode>
                <c:ptCount val="1582"/>
                <c:pt idx="0">
                  <c:v>35</c:v>
                </c:pt>
                <c:pt idx="1">
                  <c:v>36</c:v>
                </c:pt>
                <c:pt idx="2">
                  <c:v>37</c:v>
                </c:pt>
                <c:pt idx="3">
                  <c:v>38</c:v>
                </c:pt>
                <c:pt idx="4">
                  <c:v>39</c:v>
                </c:pt>
                <c:pt idx="5">
                  <c:v>40</c:v>
                </c:pt>
                <c:pt idx="6">
                  <c:v>41</c:v>
                </c:pt>
                <c:pt idx="7">
                  <c:v>42</c:v>
                </c:pt>
                <c:pt idx="8">
                  <c:v>43</c:v>
                </c:pt>
                <c:pt idx="9">
                  <c:v>44</c:v>
                </c:pt>
                <c:pt idx="10">
                  <c:v>45</c:v>
                </c:pt>
                <c:pt idx="11">
                  <c:v>46</c:v>
                </c:pt>
                <c:pt idx="12">
                  <c:v>47</c:v>
                </c:pt>
                <c:pt idx="13">
                  <c:v>48</c:v>
                </c:pt>
                <c:pt idx="14">
                  <c:v>49</c:v>
                </c:pt>
                <c:pt idx="15">
                  <c:v>50</c:v>
                </c:pt>
                <c:pt idx="16">
                  <c:v>51</c:v>
                </c:pt>
                <c:pt idx="17">
                  <c:v>52</c:v>
                </c:pt>
                <c:pt idx="18">
                  <c:v>53</c:v>
                </c:pt>
                <c:pt idx="19">
                  <c:v>54</c:v>
                </c:pt>
                <c:pt idx="20">
                  <c:v>55</c:v>
                </c:pt>
                <c:pt idx="21">
                  <c:v>34</c:v>
                </c:pt>
                <c:pt idx="22">
                  <c:v>35</c:v>
                </c:pt>
                <c:pt idx="23">
                  <c:v>36</c:v>
                </c:pt>
                <c:pt idx="24">
                  <c:v>37</c:v>
                </c:pt>
                <c:pt idx="25">
                  <c:v>38</c:v>
                </c:pt>
                <c:pt idx="26">
                  <c:v>39</c:v>
                </c:pt>
                <c:pt idx="27">
                  <c:v>40</c:v>
                </c:pt>
                <c:pt idx="28">
                  <c:v>41</c:v>
                </c:pt>
                <c:pt idx="29">
                  <c:v>42</c:v>
                </c:pt>
                <c:pt idx="30">
                  <c:v>43</c:v>
                </c:pt>
                <c:pt idx="31">
                  <c:v>44</c:v>
                </c:pt>
                <c:pt idx="32">
                  <c:v>45</c:v>
                </c:pt>
                <c:pt idx="33">
                  <c:v>46</c:v>
                </c:pt>
                <c:pt idx="34">
                  <c:v>47</c:v>
                </c:pt>
                <c:pt idx="35">
                  <c:v>48</c:v>
                </c:pt>
                <c:pt idx="36">
                  <c:v>49</c:v>
                </c:pt>
                <c:pt idx="37">
                  <c:v>50</c:v>
                </c:pt>
                <c:pt idx="38">
                  <c:v>51</c:v>
                </c:pt>
                <c:pt idx="39">
                  <c:v>52</c:v>
                </c:pt>
                <c:pt idx="40">
                  <c:v>53</c:v>
                </c:pt>
                <c:pt idx="41">
                  <c:v>54</c:v>
                </c:pt>
                <c:pt idx="42">
                  <c:v>55</c:v>
                </c:pt>
                <c:pt idx="43">
                  <c:v>33</c:v>
                </c:pt>
                <c:pt idx="44">
                  <c:v>34</c:v>
                </c:pt>
                <c:pt idx="45">
                  <c:v>35</c:v>
                </c:pt>
                <c:pt idx="46">
                  <c:v>36</c:v>
                </c:pt>
                <c:pt idx="47">
                  <c:v>37</c:v>
                </c:pt>
                <c:pt idx="48">
                  <c:v>38</c:v>
                </c:pt>
                <c:pt idx="49">
                  <c:v>39</c:v>
                </c:pt>
                <c:pt idx="50">
                  <c:v>40</c:v>
                </c:pt>
                <c:pt idx="51">
                  <c:v>41</c:v>
                </c:pt>
                <c:pt idx="52">
                  <c:v>42</c:v>
                </c:pt>
                <c:pt idx="53">
                  <c:v>43</c:v>
                </c:pt>
                <c:pt idx="54">
                  <c:v>44</c:v>
                </c:pt>
                <c:pt idx="55">
                  <c:v>45</c:v>
                </c:pt>
                <c:pt idx="56">
                  <c:v>46</c:v>
                </c:pt>
                <c:pt idx="57">
                  <c:v>47</c:v>
                </c:pt>
                <c:pt idx="58">
                  <c:v>48</c:v>
                </c:pt>
                <c:pt idx="59">
                  <c:v>49</c:v>
                </c:pt>
                <c:pt idx="60">
                  <c:v>50</c:v>
                </c:pt>
                <c:pt idx="61">
                  <c:v>51</c:v>
                </c:pt>
                <c:pt idx="62">
                  <c:v>52</c:v>
                </c:pt>
                <c:pt idx="63">
                  <c:v>53</c:v>
                </c:pt>
                <c:pt idx="64">
                  <c:v>54</c:v>
                </c:pt>
                <c:pt idx="65">
                  <c:v>55</c:v>
                </c:pt>
                <c:pt idx="66">
                  <c:v>32</c:v>
                </c:pt>
                <c:pt idx="67">
                  <c:v>33</c:v>
                </c:pt>
                <c:pt idx="68">
                  <c:v>34</c:v>
                </c:pt>
                <c:pt idx="69">
                  <c:v>35</c:v>
                </c:pt>
                <c:pt idx="70">
                  <c:v>36</c:v>
                </c:pt>
                <c:pt idx="71">
                  <c:v>37</c:v>
                </c:pt>
                <c:pt idx="72">
                  <c:v>38</c:v>
                </c:pt>
                <c:pt idx="73">
                  <c:v>39</c:v>
                </c:pt>
                <c:pt idx="74">
                  <c:v>40</c:v>
                </c:pt>
                <c:pt idx="75">
                  <c:v>41</c:v>
                </c:pt>
                <c:pt idx="76">
                  <c:v>42</c:v>
                </c:pt>
                <c:pt idx="77">
                  <c:v>43</c:v>
                </c:pt>
                <c:pt idx="78">
                  <c:v>44</c:v>
                </c:pt>
                <c:pt idx="79">
                  <c:v>45</c:v>
                </c:pt>
                <c:pt idx="80">
                  <c:v>46</c:v>
                </c:pt>
                <c:pt idx="81">
                  <c:v>47</c:v>
                </c:pt>
                <c:pt idx="82">
                  <c:v>48</c:v>
                </c:pt>
                <c:pt idx="83">
                  <c:v>49</c:v>
                </c:pt>
                <c:pt idx="84">
                  <c:v>50</c:v>
                </c:pt>
                <c:pt idx="85">
                  <c:v>51</c:v>
                </c:pt>
                <c:pt idx="86">
                  <c:v>52</c:v>
                </c:pt>
                <c:pt idx="87">
                  <c:v>53</c:v>
                </c:pt>
                <c:pt idx="88">
                  <c:v>54</c:v>
                </c:pt>
                <c:pt idx="89">
                  <c:v>55</c:v>
                </c:pt>
                <c:pt idx="90">
                  <c:v>31</c:v>
                </c:pt>
                <c:pt idx="91">
                  <c:v>32</c:v>
                </c:pt>
                <c:pt idx="92">
                  <c:v>33</c:v>
                </c:pt>
                <c:pt idx="93">
                  <c:v>34</c:v>
                </c:pt>
                <c:pt idx="94">
                  <c:v>35</c:v>
                </c:pt>
                <c:pt idx="95">
                  <c:v>36</c:v>
                </c:pt>
                <c:pt idx="96">
                  <c:v>37</c:v>
                </c:pt>
                <c:pt idx="97">
                  <c:v>38</c:v>
                </c:pt>
                <c:pt idx="98">
                  <c:v>39</c:v>
                </c:pt>
                <c:pt idx="99">
                  <c:v>40</c:v>
                </c:pt>
                <c:pt idx="100">
                  <c:v>41</c:v>
                </c:pt>
                <c:pt idx="101">
                  <c:v>42</c:v>
                </c:pt>
                <c:pt idx="102">
                  <c:v>43</c:v>
                </c:pt>
                <c:pt idx="103">
                  <c:v>44</c:v>
                </c:pt>
                <c:pt idx="104">
                  <c:v>45</c:v>
                </c:pt>
                <c:pt idx="105">
                  <c:v>46</c:v>
                </c:pt>
                <c:pt idx="106">
                  <c:v>47</c:v>
                </c:pt>
                <c:pt idx="107">
                  <c:v>48</c:v>
                </c:pt>
                <c:pt idx="108">
                  <c:v>49</c:v>
                </c:pt>
                <c:pt idx="109">
                  <c:v>50</c:v>
                </c:pt>
                <c:pt idx="110">
                  <c:v>51</c:v>
                </c:pt>
                <c:pt idx="111">
                  <c:v>52</c:v>
                </c:pt>
                <c:pt idx="112">
                  <c:v>53</c:v>
                </c:pt>
                <c:pt idx="113">
                  <c:v>54</c:v>
                </c:pt>
                <c:pt idx="114">
                  <c:v>55</c:v>
                </c:pt>
                <c:pt idx="115">
                  <c:v>30</c:v>
                </c:pt>
                <c:pt idx="116">
                  <c:v>31</c:v>
                </c:pt>
                <c:pt idx="117">
                  <c:v>32</c:v>
                </c:pt>
                <c:pt idx="118">
                  <c:v>33</c:v>
                </c:pt>
                <c:pt idx="119">
                  <c:v>34</c:v>
                </c:pt>
                <c:pt idx="120">
                  <c:v>35</c:v>
                </c:pt>
                <c:pt idx="121">
                  <c:v>36</c:v>
                </c:pt>
                <c:pt idx="122">
                  <c:v>37</c:v>
                </c:pt>
                <c:pt idx="123">
                  <c:v>38</c:v>
                </c:pt>
                <c:pt idx="124">
                  <c:v>39</c:v>
                </c:pt>
                <c:pt idx="125">
                  <c:v>40</c:v>
                </c:pt>
                <c:pt idx="126">
                  <c:v>41</c:v>
                </c:pt>
                <c:pt idx="127">
                  <c:v>42</c:v>
                </c:pt>
                <c:pt idx="128">
                  <c:v>43</c:v>
                </c:pt>
                <c:pt idx="129">
                  <c:v>44</c:v>
                </c:pt>
                <c:pt idx="130">
                  <c:v>45</c:v>
                </c:pt>
                <c:pt idx="131">
                  <c:v>46</c:v>
                </c:pt>
                <c:pt idx="132">
                  <c:v>47</c:v>
                </c:pt>
                <c:pt idx="133">
                  <c:v>48</c:v>
                </c:pt>
                <c:pt idx="134">
                  <c:v>49</c:v>
                </c:pt>
                <c:pt idx="135">
                  <c:v>50</c:v>
                </c:pt>
                <c:pt idx="136">
                  <c:v>51</c:v>
                </c:pt>
                <c:pt idx="137">
                  <c:v>52</c:v>
                </c:pt>
                <c:pt idx="138">
                  <c:v>53</c:v>
                </c:pt>
                <c:pt idx="139">
                  <c:v>54</c:v>
                </c:pt>
                <c:pt idx="140">
                  <c:v>55</c:v>
                </c:pt>
                <c:pt idx="141">
                  <c:v>29</c:v>
                </c:pt>
                <c:pt idx="142">
                  <c:v>30</c:v>
                </c:pt>
                <c:pt idx="143">
                  <c:v>31</c:v>
                </c:pt>
                <c:pt idx="144">
                  <c:v>32</c:v>
                </c:pt>
                <c:pt idx="145">
                  <c:v>33</c:v>
                </c:pt>
                <c:pt idx="146">
                  <c:v>34</c:v>
                </c:pt>
                <c:pt idx="147">
                  <c:v>35</c:v>
                </c:pt>
                <c:pt idx="148">
                  <c:v>36</c:v>
                </c:pt>
                <c:pt idx="149">
                  <c:v>37</c:v>
                </c:pt>
                <c:pt idx="150">
                  <c:v>38</c:v>
                </c:pt>
                <c:pt idx="151">
                  <c:v>39</c:v>
                </c:pt>
                <c:pt idx="152">
                  <c:v>40</c:v>
                </c:pt>
                <c:pt idx="153">
                  <c:v>41</c:v>
                </c:pt>
                <c:pt idx="154">
                  <c:v>42</c:v>
                </c:pt>
                <c:pt idx="155">
                  <c:v>43</c:v>
                </c:pt>
                <c:pt idx="156">
                  <c:v>44</c:v>
                </c:pt>
                <c:pt idx="157">
                  <c:v>45</c:v>
                </c:pt>
                <c:pt idx="158">
                  <c:v>46</c:v>
                </c:pt>
                <c:pt idx="159">
                  <c:v>47</c:v>
                </c:pt>
                <c:pt idx="160">
                  <c:v>48</c:v>
                </c:pt>
                <c:pt idx="161">
                  <c:v>49</c:v>
                </c:pt>
                <c:pt idx="162">
                  <c:v>50</c:v>
                </c:pt>
                <c:pt idx="163">
                  <c:v>51</c:v>
                </c:pt>
                <c:pt idx="164">
                  <c:v>52</c:v>
                </c:pt>
                <c:pt idx="165">
                  <c:v>53</c:v>
                </c:pt>
                <c:pt idx="166">
                  <c:v>54</c:v>
                </c:pt>
                <c:pt idx="167">
                  <c:v>55</c:v>
                </c:pt>
                <c:pt idx="168">
                  <c:v>28</c:v>
                </c:pt>
                <c:pt idx="169">
                  <c:v>29</c:v>
                </c:pt>
                <c:pt idx="170">
                  <c:v>30</c:v>
                </c:pt>
                <c:pt idx="171">
                  <c:v>31</c:v>
                </c:pt>
                <c:pt idx="172">
                  <c:v>32</c:v>
                </c:pt>
                <c:pt idx="173">
                  <c:v>33</c:v>
                </c:pt>
                <c:pt idx="174">
                  <c:v>34</c:v>
                </c:pt>
                <c:pt idx="175">
                  <c:v>35</c:v>
                </c:pt>
                <c:pt idx="176">
                  <c:v>36</c:v>
                </c:pt>
                <c:pt idx="177">
                  <c:v>37</c:v>
                </c:pt>
                <c:pt idx="178">
                  <c:v>38</c:v>
                </c:pt>
                <c:pt idx="179">
                  <c:v>39</c:v>
                </c:pt>
                <c:pt idx="180">
                  <c:v>40</c:v>
                </c:pt>
                <c:pt idx="181">
                  <c:v>41</c:v>
                </c:pt>
                <c:pt idx="182">
                  <c:v>42</c:v>
                </c:pt>
                <c:pt idx="183">
                  <c:v>43</c:v>
                </c:pt>
                <c:pt idx="184">
                  <c:v>44</c:v>
                </c:pt>
                <c:pt idx="185">
                  <c:v>45</c:v>
                </c:pt>
                <c:pt idx="186">
                  <c:v>46</c:v>
                </c:pt>
                <c:pt idx="187">
                  <c:v>47</c:v>
                </c:pt>
                <c:pt idx="188">
                  <c:v>48</c:v>
                </c:pt>
                <c:pt idx="189">
                  <c:v>49</c:v>
                </c:pt>
                <c:pt idx="190">
                  <c:v>50</c:v>
                </c:pt>
                <c:pt idx="191">
                  <c:v>51</c:v>
                </c:pt>
                <c:pt idx="192">
                  <c:v>52</c:v>
                </c:pt>
                <c:pt idx="193">
                  <c:v>53</c:v>
                </c:pt>
                <c:pt idx="194">
                  <c:v>54</c:v>
                </c:pt>
                <c:pt idx="195">
                  <c:v>55</c:v>
                </c:pt>
                <c:pt idx="196">
                  <c:v>27</c:v>
                </c:pt>
                <c:pt idx="197">
                  <c:v>28</c:v>
                </c:pt>
                <c:pt idx="198">
                  <c:v>29</c:v>
                </c:pt>
                <c:pt idx="199">
                  <c:v>30</c:v>
                </c:pt>
                <c:pt idx="200">
                  <c:v>31</c:v>
                </c:pt>
                <c:pt idx="201">
                  <c:v>32</c:v>
                </c:pt>
                <c:pt idx="202">
                  <c:v>33</c:v>
                </c:pt>
                <c:pt idx="203">
                  <c:v>34</c:v>
                </c:pt>
                <c:pt idx="204">
                  <c:v>35</c:v>
                </c:pt>
                <c:pt idx="205">
                  <c:v>36</c:v>
                </c:pt>
                <c:pt idx="206">
                  <c:v>37</c:v>
                </c:pt>
                <c:pt idx="207">
                  <c:v>38</c:v>
                </c:pt>
                <c:pt idx="208">
                  <c:v>39</c:v>
                </c:pt>
                <c:pt idx="209">
                  <c:v>40</c:v>
                </c:pt>
                <c:pt idx="210">
                  <c:v>41</c:v>
                </c:pt>
                <c:pt idx="211">
                  <c:v>42</c:v>
                </c:pt>
                <c:pt idx="212">
                  <c:v>43</c:v>
                </c:pt>
                <c:pt idx="213">
                  <c:v>44</c:v>
                </c:pt>
                <c:pt idx="214">
                  <c:v>45</c:v>
                </c:pt>
                <c:pt idx="215">
                  <c:v>46</c:v>
                </c:pt>
                <c:pt idx="216">
                  <c:v>47</c:v>
                </c:pt>
                <c:pt idx="217">
                  <c:v>48</c:v>
                </c:pt>
                <c:pt idx="218">
                  <c:v>49</c:v>
                </c:pt>
                <c:pt idx="219">
                  <c:v>50</c:v>
                </c:pt>
                <c:pt idx="220">
                  <c:v>51</c:v>
                </c:pt>
                <c:pt idx="221">
                  <c:v>52</c:v>
                </c:pt>
                <c:pt idx="222">
                  <c:v>53</c:v>
                </c:pt>
                <c:pt idx="223">
                  <c:v>54</c:v>
                </c:pt>
                <c:pt idx="224">
                  <c:v>55</c:v>
                </c:pt>
                <c:pt idx="225">
                  <c:v>26</c:v>
                </c:pt>
                <c:pt idx="226">
                  <c:v>27</c:v>
                </c:pt>
                <c:pt idx="227">
                  <c:v>28</c:v>
                </c:pt>
                <c:pt idx="228">
                  <c:v>29</c:v>
                </c:pt>
                <c:pt idx="229">
                  <c:v>30</c:v>
                </c:pt>
                <c:pt idx="230">
                  <c:v>31</c:v>
                </c:pt>
                <c:pt idx="231">
                  <c:v>32</c:v>
                </c:pt>
                <c:pt idx="232">
                  <c:v>33</c:v>
                </c:pt>
                <c:pt idx="233">
                  <c:v>34</c:v>
                </c:pt>
                <c:pt idx="234">
                  <c:v>35</c:v>
                </c:pt>
                <c:pt idx="235">
                  <c:v>36</c:v>
                </c:pt>
                <c:pt idx="236">
                  <c:v>37</c:v>
                </c:pt>
                <c:pt idx="237">
                  <c:v>38</c:v>
                </c:pt>
                <c:pt idx="238">
                  <c:v>39</c:v>
                </c:pt>
                <c:pt idx="239">
                  <c:v>40</c:v>
                </c:pt>
                <c:pt idx="240">
                  <c:v>41</c:v>
                </c:pt>
                <c:pt idx="241">
                  <c:v>42</c:v>
                </c:pt>
                <c:pt idx="242">
                  <c:v>43</c:v>
                </c:pt>
                <c:pt idx="243">
                  <c:v>44</c:v>
                </c:pt>
                <c:pt idx="244">
                  <c:v>45</c:v>
                </c:pt>
                <c:pt idx="245">
                  <c:v>46</c:v>
                </c:pt>
                <c:pt idx="246">
                  <c:v>47</c:v>
                </c:pt>
                <c:pt idx="247">
                  <c:v>48</c:v>
                </c:pt>
                <c:pt idx="248">
                  <c:v>49</c:v>
                </c:pt>
                <c:pt idx="249">
                  <c:v>50</c:v>
                </c:pt>
                <c:pt idx="250">
                  <c:v>51</c:v>
                </c:pt>
                <c:pt idx="251">
                  <c:v>52</c:v>
                </c:pt>
                <c:pt idx="252">
                  <c:v>53</c:v>
                </c:pt>
                <c:pt idx="253">
                  <c:v>54</c:v>
                </c:pt>
                <c:pt idx="254">
                  <c:v>55</c:v>
                </c:pt>
                <c:pt idx="255">
                  <c:v>25</c:v>
                </c:pt>
                <c:pt idx="256">
                  <c:v>26</c:v>
                </c:pt>
                <c:pt idx="257">
                  <c:v>27</c:v>
                </c:pt>
                <c:pt idx="258">
                  <c:v>28</c:v>
                </c:pt>
                <c:pt idx="259">
                  <c:v>29</c:v>
                </c:pt>
                <c:pt idx="260">
                  <c:v>30</c:v>
                </c:pt>
                <c:pt idx="261">
                  <c:v>31</c:v>
                </c:pt>
                <c:pt idx="262">
                  <c:v>32</c:v>
                </c:pt>
                <c:pt idx="263">
                  <c:v>33</c:v>
                </c:pt>
                <c:pt idx="264">
                  <c:v>34</c:v>
                </c:pt>
                <c:pt idx="265">
                  <c:v>35</c:v>
                </c:pt>
                <c:pt idx="266">
                  <c:v>36</c:v>
                </c:pt>
                <c:pt idx="267">
                  <c:v>37</c:v>
                </c:pt>
                <c:pt idx="268">
                  <c:v>38</c:v>
                </c:pt>
                <c:pt idx="269">
                  <c:v>39</c:v>
                </c:pt>
                <c:pt idx="270">
                  <c:v>40</c:v>
                </c:pt>
                <c:pt idx="271">
                  <c:v>41</c:v>
                </c:pt>
                <c:pt idx="272">
                  <c:v>42</c:v>
                </c:pt>
                <c:pt idx="273">
                  <c:v>43</c:v>
                </c:pt>
                <c:pt idx="274">
                  <c:v>44</c:v>
                </c:pt>
                <c:pt idx="275">
                  <c:v>45</c:v>
                </c:pt>
                <c:pt idx="276">
                  <c:v>46</c:v>
                </c:pt>
                <c:pt idx="277">
                  <c:v>47</c:v>
                </c:pt>
                <c:pt idx="278">
                  <c:v>48</c:v>
                </c:pt>
                <c:pt idx="279">
                  <c:v>49</c:v>
                </c:pt>
                <c:pt idx="280">
                  <c:v>50</c:v>
                </c:pt>
                <c:pt idx="281">
                  <c:v>51</c:v>
                </c:pt>
                <c:pt idx="282">
                  <c:v>52</c:v>
                </c:pt>
                <c:pt idx="283">
                  <c:v>53</c:v>
                </c:pt>
                <c:pt idx="284">
                  <c:v>54</c:v>
                </c:pt>
                <c:pt idx="285">
                  <c:v>55</c:v>
                </c:pt>
                <c:pt idx="286">
                  <c:v>24</c:v>
                </c:pt>
                <c:pt idx="287">
                  <c:v>25</c:v>
                </c:pt>
                <c:pt idx="288">
                  <c:v>26</c:v>
                </c:pt>
                <c:pt idx="289">
                  <c:v>27</c:v>
                </c:pt>
                <c:pt idx="290">
                  <c:v>28</c:v>
                </c:pt>
                <c:pt idx="291">
                  <c:v>29</c:v>
                </c:pt>
                <c:pt idx="292">
                  <c:v>30</c:v>
                </c:pt>
                <c:pt idx="293">
                  <c:v>31</c:v>
                </c:pt>
                <c:pt idx="294">
                  <c:v>32</c:v>
                </c:pt>
                <c:pt idx="295">
                  <c:v>33</c:v>
                </c:pt>
                <c:pt idx="296">
                  <c:v>34</c:v>
                </c:pt>
                <c:pt idx="297">
                  <c:v>35</c:v>
                </c:pt>
                <c:pt idx="298">
                  <c:v>36</c:v>
                </c:pt>
                <c:pt idx="299">
                  <c:v>37</c:v>
                </c:pt>
                <c:pt idx="300">
                  <c:v>38</c:v>
                </c:pt>
                <c:pt idx="301">
                  <c:v>39</c:v>
                </c:pt>
                <c:pt idx="302">
                  <c:v>40</c:v>
                </c:pt>
                <c:pt idx="303">
                  <c:v>41</c:v>
                </c:pt>
                <c:pt idx="304">
                  <c:v>42</c:v>
                </c:pt>
                <c:pt idx="305">
                  <c:v>43</c:v>
                </c:pt>
                <c:pt idx="306">
                  <c:v>44</c:v>
                </c:pt>
                <c:pt idx="307">
                  <c:v>45</c:v>
                </c:pt>
                <c:pt idx="308">
                  <c:v>46</c:v>
                </c:pt>
                <c:pt idx="309">
                  <c:v>47</c:v>
                </c:pt>
                <c:pt idx="310">
                  <c:v>48</c:v>
                </c:pt>
                <c:pt idx="311">
                  <c:v>49</c:v>
                </c:pt>
                <c:pt idx="312">
                  <c:v>50</c:v>
                </c:pt>
                <c:pt idx="313">
                  <c:v>51</c:v>
                </c:pt>
                <c:pt idx="314">
                  <c:v>52</c:v>
                </c:pt>
                <c:pt idx="315">
                  <c:v>53</c:v>
                </c:pt>
                <c:pt idx="316">
                  <c:v>54</c:v>
                </c:pt>
                <c:pt idx="317">
                  <c:v>55</c:v>
                </c:pt>
                <c:pt idx="318">
                  <c:v>23</c:v>
                </c:pt>
                <c:pt idx="319">
                  <c:v>24</c:v>
                </c:pt>
                <c:pt idx="320">
                  <c:v>25</c:v>
                </c:pt>
                <c:pt idx="321">
                  <c:v>26</c:v>
                </c:pt>
                <c:pt idx="322">
                  <c:v>27</c:v>
                </c:pt>
                <c:pt idx="323">
                  <c:v>28</c:v>
                </c:pt>
                <c:pt idx="324">
                  <c:v>29</c:v>
                </c:pt>
                <c:pt idx="325">
                  <c:v>30</c:v>
                </c:pt>
                <c:pt idx="326">
                  <c:v>31</c:v>
                </c:pt>
                <c:pt idx="327">
                  <c:v>32</c:v>
                </c:pt>
                <c:pt idx="328">
                  <c:v>33</c:v>
                </c:pt>
                <c:pt idx="329">
                  <c:v>34</c:v>
                </c:pt>
                <c:pt idx="330">
                  <c:v>35</c:v>
                </c:pt>
                <c:pt idx="331">
                  <c:v>36</c:v>
                </c:pt>
                <c:pt idx="332">
                  <c:v>37</c:v>
                </c:pt>
                <c:pt idx="333">
                  <c:v>38</c:v>
                </c:pt>
                <c:pt idx="334">
                  <c:v>39</c:v>
                </c:pt>
                <c:pt idx="335">
                  <c:v>40</c:v>
                </c:pt>
                <c:pt idx="336">
                  <c:v>41</c:v>
                </c:pt>
                <c:pt idx="337">
                  <c:v>42</c:v>
                </c:pt>
                <c:pt idx="338">
                  <c:v>43</c:v>
                </c:pt>
                <c:pt idx="339">
                  <c:v>44</c:v>
                </c:pt>
                <c:pt idx="340">
                  <c:v>45</c:v>
                </c:pt>
                <c:pt idx="341">
                  <c:v>46</c:v>
                </c:pt>
                <c:pt idx="342">
                  <c:v>47</c:v>
                </c:pt>
                <c:pt idx="343">
                  <c:v>48</c:v>
                </c:pt>
                <c:pt idx="344">
                  <c:v>49</c:v>
                </c:pt>
                <c:pt idx="345">
                  <c:v>50</c:v>
                </c:pt>
                <c:pt idx="346">
                  <c:v>51</c:v>
                </c:pt>
                <c:pt idx="347">
                  <c:v>52</c:v>
                </c:pt>
                <c:pt idx="348">
                  <c:v>53</c:v>
                </c:pt>
                <c:pt idx="349">
                  <c:v>54</c:v>
                </c:pt>
                <c:pt idx="350">
                  <c:v>55</c:v>
                </c:pt>
                <c:pt idx="351">
                  <c:v>22</c:v>
                </c:pt>
                <c:pt idx="352">
                  <c:v>23</c:v>
                </c:pt>
                <c:pt idx="353">
                  <c:v>24</c:v>
                </c:pt>
                <c:pt idx="354">
                  <c:v>25</c:v>
                </c:pt>
                <c:pt idx="355">
                  <c:v>26</c:v>
                </c:pt>
                <c:pt idx="356">
                  <c:v>27</c:v>
                </c:pt>
                <c:pt idx="357">
                  <c:v>28</c:v>
                </c:pt>
                <c:pt idx="358">
                  <c:v>29</c:v>
                </c:pt>
                <c:pt idx="359">
                  <c:v>30</c:v>
                </c:pt>
                <c:pt idx="360">
                  <c:v>31</c:v>
                </c:pt>
                <c:pt idx="361">
                  <c:v>32</c:v>
                </c:pt>
                <c:pt idx="362">
                  <c:v>33</c:v>
                </c:pt>
                <c:pt idx="363">
                  <c:v>34</c:v>
                </c:pt>
                <c:pt idx="364">
                  <c:v>35</c:v>
                </c:pt>
                <c:pt idx="365">
                  <c:v>36</c:v>
                </c:pt>
                <c:pt idx="366">
                  <c:v>37</c:v>
                </c:pt>
                <c:pt idx="367">
                  <c:v>38</c:v>
                </c:pt>
                <c:pt idx="368">
                  <c:v>39</c:v>
                </c:pt>
                <c:pt idx="369">
                  <c:v>40</c:v>
                </c:pt>
                <c:pt idx="370">
                  <c:v>41</c:v>
                </c:pt>
                <c:pt idx="371">
                  <c:v>42</c:v>
                </c:pt>
                <c:pt idx="372">
                  <c:v>43</c:v>
                </c:pt>
                <c:pt idx="373">
                  <c:v>44</c:v>
                </c:pt>
                <c:pt idx="374">
                  <c:v>45</c:v>
                </c:pt>
                <c:pt idx="375">
                  <c:v>46</c:v>
                </c:pt>
                <c:pt idx="376">
                  <c:v>47</c:v>
                </c:pt>
                <c:pt idx="377">
                  <c:v>48</c:v>
                </c:pt>
                <c:pt idx="378">
                  <c:v>49</c:v>
                </c:pt>
                <c:pt idx="379">
                  <c:v>50</c:v>
                </c:pt>
                <c:pt idx="380">
                  <c:v>51</c:v>
                </c:pt>
                <c:pt idx="381">
                  <c:v>52</c:v>
                </c:pt>
                <c:pt idx="382">
                  <c:v>53</c:v>
                </c:pt>
                <c:pt idx="383">
                  <c:v>54</c:v>
                </c:pt>
                <c:pt idx="384">
                  <c:v>55</c:v>
                </c:pt>
                <c:pt idx="385">
                  <c:v>21</c:v>
                </c:pt>
                <c:pt idx="386">
                  <c:v>22</c:v>
                </c:pt>
                <c:pt idx="387">
                  <c:v>23</c:v>
                </c:pt>
                <c:pt idx="388">
                  <c:v>24</c:v>
                </c:pt>
                <c:pt idx="389">
                  <c:v>25</c:v>
                </c:pt>
                <c:pt idx="390">
                  <c:v>26</c:v>
                </c:pt>
                <c:pt idx="391">
                  <c:v>27</c:v>
                </c:pt>
                <c:pt idx="392">
                  <c:v>28</c:v>
                </c:pt>
                <c:pt idx="393">
                  <c:v>29</c:v>
                </c:pt>
                <c:pt idx="394">
                  <c:v>30</c:v>
                </c:pt>
                <c:pt idx="395">
                  <c:v>31</c:v>
                </c:pt>
                <c:pt idx="396">
                  <c:v>32</c:v>
                </c:pt>
                <c:pt idx="397">
                  <c:v>33</c:v>
                </c:pt>
                <c:pt idx="398">
                  <c:v>34</c:v>
                </c:pt>
                <c:pt idx="399">
                  <c:v>35</c:v>
                </c:pt>
                <c:pt idx="400">
                  <c:v>36</c:v>
                </c:pt>
                <c:pt idx="401">
                  <c:v>37</c:v>
                </c:pt>
                <c:pt idx="402">
                  <c:v>38</c:v>
                </c:pt>
                <c:pt idx="403">
                  <c:v>39</c:v>
                </c:pt>
                <c:pt idx="404">
                  <c:v>40</c:v>
                </c:pt>
                <c:pt idx="405">
                  <c:v>41</c:v>
                </c:pt>
                <c:pt idx="406">
                  <c:v>42</c:v>
                </c:pt>
                <c:pt idx="407">
                  <c:v>43</c:v>
                </c:pt>
                <c:pt idx="408">
                  <c:v>44</c:v>
                </c:pt>
                <c:pt idx="409">
                  <c:v>45</c:v>
                </c:pt>
                <c:pt idx="410">
                  <c:v>46</c:v>
                </c:pt>
                <c:pt idx="411">
                  <c:v>47</c:v>
                </c:pt>
                <c:pt idx="412">
                  <c:v>48</c:v>
                </c:pt>
                <c:pt idx="413">
                  <c:v>49</c:v>
                </c:pt>
                <c:pt idx="414">
                  <c:v>50</c:v>
                </c:pt>
                <c:pt idx="415">
                  <c:v>51</c:v>
                </c:pt>
                <c:pt idx="416">
                  <c:v>52</c:v>
                </c:pt>
                <c:pt idx="417">
                  <c:v>53</c:v>
                </c:pt>
                <c:pt idx="418">
                  <c:v>54</c:v>
                </c:pt>
                <c:pt idx="419">
                  <c:v>55</c:v>
                </c:pt>
                <c:pt idx="420">
                  <c:v>20</c:v>
                </c:pt>
                <c:pt idx="421">
                  <c:v>21</c:v>
                </c:pt>
                <c:pt idx="422">
                  <c:v>22</c:v>
                </c:pt>
                <c:pt idx="423">
                  <c:v>23</c:v>
                </c:pt>
                <c:pt idx="424">
                  <c:v>24</c:v>
                </c:pt>
                <c:pt idx="425">
                  <c:v>25</c:v>
                </c:pt>
                <c:pt idx="426">
                  <c:v>26</c:v>
                </c:pt>
                <c:pt idx="427">
                  <c:v>27</c:v>
                </c:pt>
                <c:pt idx="428">
                  <c:v>28</c:v>
                </c:pt>
                <c:pt idx="429">
                  <c:v>29</c:v>
                </c:pt>
                <c:pt idx="430">
                  <c:v>30</c:v>
                </c:pt>
                <c:pt idx="431">
                  <c:v>31</c:v>
                </c:pt>
                <c:pt idx="432">
                  <c:v>32</c:v>
                </c:pt>
                <c:pt idx="433">
                  <c:v>33</c:v>
                </c:pt>
                <c:pt idx="434">
                  <c:v>34</c:v>
                </c:pt>
                <c:pt idx="435">
                  <c:v>35</c:v>
                </c:pt>
                <c:pt idx="436">
                  <c:v>36</c:v>
                </c:pt>
                <c:pt idx="437">
                  <c:v>37</c:v>
                </c:pt>
                <c:pt idx="438">
                  <c:v>38</c:v>
                </c:pt>
                <c:pt idx="439">
                  <c:v>39</c:v>
                </c:pt>
                <c:pt idx="440">
                  <c:v>40</c:v>
                </c:pt>
                <c:pt idx="441">
                  <c:v>41</c:v>
                </c:pt>
                <c:pt idx="442">
                  <c:v>42</c:v>
                </c:pt>
                <c:pt idx="443">
                  <c:v>43</c:v>
                </c:pt>
                <c:pt idx="444">
                  <c:v>44</c:v>
                </c:pt>
                <c:pt idx="445">
                  <c:v>45</c:v>
                </c:pt>
                <c:pt idx="446">
                  <c:v>46</c:v>
                </c:pt>
                <c:pt idx="447">
                  <c:v>47</c:v>
                </c:pt>
                <c:pt idx="448">
                  <c:v>48</c:v>
                </c:pt>
                <c:pt idx="449">
                  <c:v>49</c:v>
                </c:pt>
                <c:pt idx="450">
                  <c:v>50</c:v>
                </c:pt>
                <c:pt idx="451">
                  <c:v>51</c:v>
                </c:pt>
                <c:pt idx="452">
                  <c:v>52</c:v>
                </c:pt>
                <c:pt idx="453">
                  <c:v>53</c:v>
                </c:pt>
                <c:pt idx="454">
                  <c:v>54</c:v>
                </c:pt>
                <c:pt idx="455">
                  <c:v>55</c:v>
                </c:pt>
                <c:pt idx="456">
                  <c:v>19</c:v>
                </c:pt>
                <c:pt idx="457">
                  <c:v>20</c:v>
                </c:pt>
                <c:pt idx="458">
                  <c:v>21</c:v>
                </c:pt>
                <c:pt idx="459">
                  <c:v>22</c:v>
                </c:pt>
                <c:pt idx="460">
                  <c:v>23</c:v>
                </c:pt>
                <c:pt idx="461">
                  <c:v>24</c:v>
                </c:pt>
                <c:pt idx="462">
                  <c:v>25</c:v>
                </c:pt>
                <c:pt idx="463">
                  <c:v>26</c:v>
                </c:pt>
                <c:pt idx="464">
                  <c:v>27</c:v>
                </c:pt>
                <c:pt idx="465">
                  <c:v>28</c:v>
                </c:pt>
                <c:pt idx="466">
                  <c:v>29</c:v>
                </c:pt>
                <c:pt idx="467">
                  <c:v>30</c:v>
                </c:pt>
                <c:pt idx="468">
                  <c:v>31</c:v>
                </c:pt>
                <c:pt idx="469">
                  <c:v>32</c:v>
                </c:pt>
                <c:pt idx="470">
                  <c:v>33</c:v>
                </c:pt>
                <c:pt idx="471">
                  <c:v>34</c:v>
                </c:pt>
                <c:pt idx="472">
                  <c:v>35</c:v>
                </c:pt>
                <c:pt idx="473">
                  <c:v>36</c:v>
                </c:pt>
                <c:pt idx="474">
                  <c:v>37</c:v>
                </c:pt>
                <c:pt idx="475">
                  <c:v>38</c:v>
                </c:pt>
                <c:pt idx="476">
                  <c:v>39</c:v>
                </c:pt>
                <c:pt idx="477">
                  <c:v>40</c:v>
                </c:pt>
                <c:pt idx="478">
                  <c:v>41</c:v>
                </c:pt>
                <c:pt idx="479">
                  <c:v>42</c:v>
                </c:pt>
                <c:pt idx="480">
                  <c:v>43</c:v>
                </c:pt>
                <c:pt idx="481">
                  <c:v>44</c:v>
                </c:pt>
                <c:pt idx="482">
                  <c:v>45</c:v>
                </c:pt>
                <c:pt idx="483">
                  <c:v>46</c:v>
                </c:pt>
                <c:pt idx="484">
                  <c:v>47</c:v>
                </c:pt>
                <c:pt idx="485">
                  <c:v>48</c:v>
                </c:pt>
                <c:pt idx="486">
                  <c:v>49</c:v>
                </c:pt>
                <c:pt idx="487">
                  <c:v>50</c:v>
                </c:pt>
                <c:pt idx="488">
                  <c:v>51</c:v>
                </c:pt>
                <c:pt idx="489">
                  <c:v>52</c:v>
                </c:pt>
                <c:pt idx="490">
                  <c:v>53</c:v>
                </c:pt>
                <c:pt idx="491">
                  <c:v>54</c:v>
                </c:pt>
                <c:pt idx="492">
                  <c:v>55</c:v>
                </c:pt>
                <c:pt idx="493">
                  <c:v>18</c:v>
                </c:pt>
                <c:pt idx="494">
                  <c:v>19</c:v>
                </c:pt>
                <c:pt idx="495">
                  <c:v>20</c:v>
                </c:pt>
                <c:pt idx="496">
                  <c:v>21</c:v>
                </c:pt>
                <c:pt idx="497">
                  <c:v>22</c:v>
                </c:pt>
                <c:pt idx="498">
                  <c:v>23</c:v>
                </c:pt>
                <c:pt idx="499">
                  <c:v>24</c:v>
                </c:pt>
                <c:pt idx="500">
                  <c:v>25</c:v>
                </c:pt>
                <c:pt idx="501">
                  <c:v>26</c:v>
                </c:pt>
                <c:pt idx="502">
                  <c:v>27</c:v>
                </c:pt>
                <c:pt idx="503">
                  <c:v>28</c:v>
                </c:pt>
                <c:pt idx="504">
                  <c:v>29</c:v>
                </c:pt>
                <c:pt idx="505">
                  <c:v>30</c:v>
                </c:pt>
                <c:pt idx="506">
                  <c:v>31</c:v>
                </c:pt>
                <c:pt idx="507">
                  <c:v>32</c:v>
                </c:pt>
                <c:pt idx="508">
                  <c:v>33</c:v>
                </c:pt>
                <c:pt idx="509">
                  <c:v>34</c:v>
                </c:pt>
                <c:pt idx="510">
                  <c:v>35</c:v>
                </c:pt>
                <c:pt idx="511">
                  <c:v>36</c:v>
                </c:pt>
                <c:pt idx="512">
                  <c:v>37</c:v>
                </c:pt>
                <c:pt idx="513">
                  <c:v>38</c:v>
                </c:pt>
                <c:pt idx="514">
                  <c:v>39</c:v>
                </c:pt>
                <c:pt idx="515">
                  <c:v>40</c:v>
                </c:pt>
                <c:pt idx="516">
                  <c:v>41</c:v>
                </c:pt>
                <c:pt idx="517">
                  <c:v>42</c:v>
                </c:pt>
                <c:pt idx="518">
                  <c:v>43</c:v>
                </c:pt>
                <c:pt idx="519">
                  <c:v>44</c:v>
                </c:pt>
                <c:pt idx="520">
                  <c:v>45</c:v>
                </c:pt>
                <c:pt idx="521">
                  <c:v>46</c:v>
                </c:pt>
                <c:pt idx="522">
                  <c:v>47</c:v>
                </c:pt>
                <c:pt idx="523">
                  <c:v>48</c:v>
                </c:pt>
                <c:pt idx="524">
                  <c:v>49</c:v>
                </c:pt>
                <c:pt idx="525">
                  <c:v>50</c:v>
                </c:pt>
                <c:pt idx="526">
                  <c:v>51</c:v>
                </c:pt>
                <c:pt idx="527">
                  <c:v>52</c:v>
                </c:pt>
                <c:pt idx="528">
                  <c:v>53</c:v>
                </c:pt>
                <c:pt idx="529">
                  <c:v>54</c:v>
                </c:pt>
                <c:pt idx="530">
                  <c:v>55</c:v>
                </c:pt>
                <c:pt idx="531">
                  <c:v>17</c:v>
                </c:pt>
                <c:pt idx="532">
                  <c:v>18</c:v>
                </c:pt>
                <c:pt idx="533">
                  <c:v>19</c:v>
                </c:pt>
                <c:pt idx="534">
                  <c:v>20</c:v>
                </c:pt>
                <c:pt idx="535">
                  <c:v>21</c:v>
                </c:pt>
                <c:pt idx="536">
                  <c:v>22</c:v>
                </c:pt>
                <c:pt idx="537">
                  <c:v>23</c:v>
                </c:pt>
                <c:pt idx="538">
                  <c:v>24</c:v>
                </c:pt>
                <c:pt idx="539">
                  <c:v>25</c:v>
                </c:pt>
                <c:pt idx="540">
                  <c:v>26</c:v>
                </c:pt>
                <c:pt idx="541">
                  <c:v>27</c:v>
                </c:pt>
                <c:pt idx="542">
                  <c:v>28</c:v>
                </c:pt>
                <c:pt idx="543">
                  <c:v>29</c:v>
                </c:pt>
                <c:pt idx="544">
                  <c:v>30</c:v>
                </c:pt>
                <c:pt idx="545">
                  <c:v>31</c:v>
                </c:pt>
                <c:pt idx="546">
                  <c:v>32</c:v>
                </c:pt>
                <c:pt idx="547">
                  <c:v>33</c:v>
                </c:pt>
                <c:pt idx="548">
                  <c:v>34</c:v>
                </c:pt>
                <c:pt idx="549">
                  <c:v>35</c:v>
                </c:pt>
                <c:pt idx="550">
                  <c:v>36</c:v>
                </c:pt>
                <c:pt idx="551">
                  <c:v>37</c:v>
                </c:pt>
                <c:pt idx="552">
                  <c:v>38</c:v>
                </c:pt>
                <c:pt idx="553">
                  <c:v>39</c:v>
                </c:pt>
                <c:pt idx="554">
                  <c:v>40</c:v>
                </c:pt>
                <c:pt idx="555">
                  <c:v>41</c:v>
                </c:pt>
                <c:pt idx="556">
                  <c:v>42</c:v>
                </c:pt>
                <c:pt idx="557">
                  <c:v>43</c:v>
                </c:pt>
                <c:pt idx="558">
                  <c:v>44</c:v>
                </c:pt>
                <c:pt idx="559">
                  <c:v>45</c:v>
                </c:pt>
                <c:pt idx="560">
                  <c:v>46</c:v>
                </c:pt>
                <c:pt idx="561">
                  <c:v>47</c:v>
                </c:pt>
                <c:pt idx="562">
                  <c:v>48</c:v>
                </c:pt>
                <c:pt idx="563">
                  <c:v>49</c:v>
                </c:pt>
                <c:pt idx="564">
                  <c:v>50</c:v>
                </c:pt>
                <c:pt idx="565">
                  <c:v>51</c:v>
                </c:pt>
                <c:pt idx="566">
                  <c:v>52</c:v>
                </c:pt>
                <c:pt idx="567">
                  <c:v>53</c:v>
                </c:pt>
                <c:pt idx="568">
                  <c:v>54</c:v>
                </c:pt>
                <c:pt idx="569">
                  <c:v>55</c:v>
                </c:pt>
                <c:pt idx="570">
                  <c:v>16</c:v>
                </c:pt>
                <c:pt idx="571">
                  <c:v>17</c:v>
                </c:pt>
                <c:pt idx="572">
                  <c:v>18</c:v>
                </c:pt>
                <c:pt idx="573">
                  <c:v>19</c:v>
                </c:pt>
                <c:pt idx="574">
                  <c:v>20</c:v>
                </c:pt>
                <c:pt idx="575">
                  <c:v>21</c:v>
                </c:pt>
                <c:pt idx="576">
                  <c:v>22</c:v>
                </c:pt>
                <c:pt idx="577">
                  <c:v>23</c:v>
                </c:pt>
                <c:pt idx="578">
                  <c:v>24</c:v>
                </c:pt>
                <c:pt idx="579">
                  <c:v>25</c:v>
                </c:pt>
                <c:pt idx="580">
                  <c:v>26</c:v>
                </c:pt>
                <c:pt idx="581">
                  <c:v>27</c:v>
                </c:pt>
                <c:pt idx="582">
                  <c:v>28</c:v>
                </c:pt>
                <c:pt idx="583">
                  <c:v>29</c:v>
                </c:pt>
                <c:pt idx="584">
                  <c:v>30</c:v>
                </c:pt>
                <c:pt idx="585">
                  <c:v>31</c:v>
                </c:pt>
                <c:pt idx="586">
                  <c:v>32</c:v>
                </c:pt>
                <c:pt idx="587">
                  <c:v>33</c:v>
                </c:pt>
                <c:pt idx="588">
                  <c:v>34</c:v>
                </c:pt>
                <c:pt idx="589">
                  <c:v>35</c:v>
                </c:pt>
                <c:pt idx="590">
                  <c:v>36</c:v>
                </c:pt>
                <c:pt idx="591">
                  <c:v>37</c:v>
                </c:pt>
                <c:pt idx="592">
                  <c:v>38</c:v>
                </c:pt>
                <c:pt idx="593">
                  <c:v>39</c:v>
                </c:pt>
                <c:pt idx="594">
                  <c:v>40</c:v>
                </c:pt>
                <c:pt idx="595">
                  <c:v>41</c:v>
                </c:pt>
                <c:pt idx="596">
                  <c:v>42</c:v>
                </c:pt>
                <c:pt idx="597">
                  <c:v>43</c:v>
                </c:pt>
                <c:pt idx="598">
                  <c:v>44</c:v>
                </c:pt>
                <c:pt idx="599">
                  <c:v>45</c:v>
                </c:pt>
                <c:pt idx="600">
                  <c:v>46</c:v>
                </c:pt>
                <c:pt idx="601">
                  <c:v>47</c:v>
                </c:pt>
                <c:pt idx="602">
                  <c:v>48</c:v>
                </c:pt>
                <c:pt idx="603">
                  <c:v>49</c:v>
                </c:pt>
                <c:pt idx="604">
                  <c:v>50</c:v>
                </c:pt>
                <c:pt idx="605">
                  <c:v>51</c:v>
                </c:pt>
                <c:pt idx="606">
                  <c:v>52</c:v>
                </c:pt>
                <c:pt idx="607">
                  <c:v>53</c:v>
                </c:pt>
                <c:pt idx="608">
                  <c:v>54</c:v>
                </c:pt>
                <c:pt idx="609">
                  <c:v>55</c:v>
                </c:pt>
                <c:pt idx="610">
                  <c:v>15</c:v>
                </c:pt>
                <c:pt idx="611">
                  <c:v>16</c:v>
                </c:pt>
                <c:pt idx="612">
                  <c:v>17</c:v>
                </c:pt>
                <c:pt idx="613">
                  <c:v>18</c:v>
                </c:pt>
                <c:pt idx="614">
                  <c:v>19</c:v>
                </c:pt>
                <c:pt idx="615">
                  <c:v>20</c:v>
                </c:pt>
                <c:pt idx="616">
                  <c:v>21</c:v>
                </c:pt>
                <c:pt idx="617">
                  <c:v>22</c:v>
                </c:pt>
                <c:pt idx="618">
                  <c:v>23</c:v>
                </c:pt>
                <c:pt idx="619">
                  <c:v>24</c:v>
                </c:pt>
                <c:pt idx="620">
                  <c:v>25</c:v>
                </c:pt>
                <c:pt idx="621">
                  <c:v>26</c:v>
                </c:pt>
                <c:pt idx="622">
                  <c:v>27</c:v>
                </c:pt>
                <c:pt idx="623">
                  <c:v>28</c:v>
                </c:pt>
                <c:pt idx="624">
                  <c:v>29</c:v>
                </c:pt>
                <c:pt idx="625">
                  <c:v>30</c:v>
                </c:pt>
                <c:pt idx="626">
                  <c:v>31</c:v>
                </c:pt>
                <c:pt idx="627">
                  <c:v>32</c:v>
                </c:pt>
                <c:pt idx="628">
                  <c:v>33</c:v>
                </c:pt>
                <c:pt idx="629">
                  <c:v>34</c:v>
                </c:pt>
                <c:pt idx="630">
                  <c:v>35</c:v>
                </c:pt>
                <c:pt idx="631">
                  <c:v>36</c:v>
                </c:pt>
                <c:pt idx="632">
                  <c:v>37</c:v>
                </c:pt>
                <c:pt idx="633">
                  <c:v>38</c:v>
                </c:pt>
                <c:pt idx="634">
                  <c:v>39</c:v>
                </c:pt>
                <c:pt idx="635">
                  <c:v>40</c:v>
                </c:pt>
                <c:pt idx="636">
                  <c:v>41</c:v>
                </c:pt>
                <c:pt idx="637">
                  <c:v>42</c:v>
                </c:pt>
                <c:pt idx="638">
                  <c:v>43</c:v>
                </c:pt>
                <c:pt idx="639">
                  <c:v>44</c:v>
                </c:pt>
                <c:pt idx="640">
                  <c:v>45</c:v>
                </c:pt>
                <c:pt idx="641">
                  <c:v>46</c:v>
                </c:pt>
                <c:pt idx="642">
                  <c:v>47</c:v>
                </c:pt>
                <c:pt idx="643">
                  <c:v>48</c:v>
                </c:pt>
                <c:pt idx="644">
                  <c:v>49</c:v>
                </c:pt>
                <c:pt idx="645">
                  <c:v>50</c:v>
                </c:pt>
                <c:pt idx="646">
                  <c:v>51</c:v>
                </c:pt>
                <c:pt idx="647">
                  <c:v>52</c:v>
                </c:pt>
                <c:pt idx="648">
                  <c:v>53</c:v>
                </c:pt>
                <c:pt idx="649">
                  <c:v>54</c:v>
                </c:pt>
                <c:pt idx="650">
                  <c:v>55</c:v>
                </c:pt>
                <c:pt idx="651">
                  <c:v>14</c:v>
                </c:pt>
                <c:pt idx="652">
                  <c:v>15</c:v>
                </c:pt>
                <c:pt idx="653">
                  <c:v>16</c:v>
                </c:pt>
                <c:pt idx="654">
                  <c:v>17</c:v>
                </c:pt>
                <c:pt idx="655">
                  <c:v>18</c:v>
                </c:pt>
                <c:pt idx="656">
                  <c:v>19</c:v>
                </c:pt>
                <c:pt idx="657">
                  <c:v>20</c:v>
                </c:pt>
                <c:pt idx="658">
                  <c:v>21</c:v>
                </c:pt>
                <c:pt idx="659">
                  <c:v>22</c:v>
                </c:pt>
                <c:pt idx="660">
                  <c:v>23</c:v>
                </c:pt>
                <c:pt idx="661">
                  <c:v>24</c:v>
                </c:pt>
                <c:pt idx="662">
                  <c:v>25</c:v>
                </c:pt>
                <c:pt idx="663">
                  <c:v>26</c:v>
                </c:pt>
                <c:pt idx="664">
                  <c:v>27</c:v>
                </c:pt>
                <c:pt idx="665">
                  <c:v>28</c:v>
                </c:pt>
                <c:pt idx="666">
                  <c:v>29</c:v>
                </c:pt>
                <c:pt idx="667">
                  <c:v>30</c:v>
                </c:pt>
                <c:pt idx="668">
                  <c:v>31</c:v>
                </c:pt>
                <c:pt idx="669">
                  <c:v>32</c:v>
                </c:pt>
                <c:pt idx="670">
                  <c:v>33</c:v>
                </c:pt>
                <c:pt idx="671">
                  <c:v>34</c:v>
                </c:pt>
                <c:pt idx="672">
                  <c:v>35</c:v>
                </c:pt>
                <c:pt idx="673">
                  <c:v>36</c:v>
                </c:pt>
                <c:pt idx="674">
                  <c:v>37</c:v>
                </c:pt>
                <c:pt idx="675">
                  <c:v>38</c:v>
                </c:pt>
                <c:pt idx="676">
                  <c:v>39</c:v>
                </c:pt>
                <c:pt idx="677">
                  <c:v>40</c:v>
                </c:pt>
                <c:pt idx="678">
                  <c:v>41</c:v>
                </c:pt>
                <c:pt idx="679">
                  <c:v>42</c:v>
                </c:pt>
                <c:pt idx="680">
                  <c:v>43</c:v>
                </c:pt>
                <c:pt idx="681">
                  <c:v>44</c:v>
                </c:pt>
                <c:pt idx="682">
                  <c:v>45</c:v>
                </c:pt>
                <c:pt idx="683">
                  <c:v>46</c:v>
                </c:pt>
                <c:pt idx="684">
                  <c:v>47</c:v>
                </c:pt>
                <c:pt idx="685">
                  <c:v>48</c:v>
                </c:pt>
                <c:pt idx="686">
                  <c:v>49</c:v>
                </c:pt>
                <c:pt idx="687">
                  <c:v>50</c:v>
                </c:pt>
                <c:pt idx="688">
                  <c:v>51</c:v>
                </c:pt>
                <c:pt idx="689">
                  <c:v>52</c:v>
                </c:pt>
                <c:pt idx="690">
                  <c:v>53</c:v>
                </c:pt>
                <c:pt idx="691">
                  <c:v>54</c:v>
                </c:pt>
                <c:pt idx="692">
                  <c:v>55</c:v>
                </c:pt>
                <c:pt idx="693">
                  <c:v>13</c:v>
                </c:pt>
                <c:pt idx="694">
                  <c:v>14</c:v>
                </c:pt>
                <c:pt idx="695">
                  <c:v>15</c:v>
                </c:pt>
                <c:pt idx="696">
                  <c:v>16</c:v>
                </c:pt>
                <c:pt idx="697">
                  <c:v>17</c:v>
                </c:pt>
                <c:pt idx="698">
                  <c:v>18</c:v>
                </c:pt>
                <c:pt idx="699">
                  <c:v>19</c:v>
                </c:pt>
                <c:pt idx="700">
                  <c:v>20</c:v>
                </c:pt>
                <c:pt idx="701">
                  <c:v>21</c:v>
                </c:pt>
                <c:pt idx="702">
                  <c:v>22</c:v>
                </c:pt>
                <c:pt idx="703">
                  <c:v>23</c:v>
                </c:pt>
                <c:pt idx="704">
                  <c:v>24</c:v>
                </c:pt>
                <c:pt idx="705">
                  <c:v>25</c:v>
                </c:pt>
                <c:pt idx="706">
                  <c:v>26</c:v>
                </c:pt>
                <c:pt idx="707">
                  <c:v>27</c:v>
                </c:pt>
                <c:pt idx="708">
                  <c:v>28</c:v>
                </c:pt>
                <c:pt idx="709">
                  <c:v>29</c:v>
                </c:pt>
                <c:pt idx="710">
                  <c:v>30</c:v>
                </c:pt>
                <c:pt idx="711">
                  <c:v>31</c:v>
                </c:pt>
                <c:pt idx="712">
                  <c:v>32</c:v>
                </c:pt>
                <c:pt idx="713">
                  <c:v>33</c:v>
                </c:pt>
                <c:pt idx="714">
                  <c:v>34</c:v>
                </c:pt>
                <c:pt idx="715">
                  <c:v>35</c:v>
                </c:pt>
                <c:pt idx="716">
                  <c:v>36</c:v>
                </c:pt>
                <c:pt idx="717">
                  <c:v>37</c:v>
                </c:pt>
                <c:pt idx="718">
                  <c:v>38</c:v>
                </c:pt>
                <c:pt idx="719">
                  <c:v>39</c:v>
                </c:pt>
                <c:pt idx="720">
                  <c:v>40</c:v>
                </c:pt>
                <c:pt idx="721">
                  <c:v>41</c:v>
                </c:pt>
                <c:pt idx="722">
                  <c:v>42</c:v>
                </c:pt>
                <c:pt idx="723">
                  <c:v>43</c:v>
                </c:pt>
                <c:pt idx="724">
                  <c:v>44</c:v>
                </c:pt>
                <c:pt idx="725">
                  <c:v>45</c:v>
                </c:pt>
                <c:pt idx="726">
                  <c:v>46</c:v>
                </c:pt>
                <c:pt idx="727">
                  <c:v>47</c:v>
                </c:pt>
                <c:pt idx="728">
                  <c:v>48</c:v>
                </c:pt>
                <c:pt idx="729">
                  <c:v>49</c:v>
                </c:pt>
                <c:pt idx="730">
                  <c:v>50</c:v>
                </c:pt>
                <c:pt idx="731">
                  <c:v>51</c:v>
                </c:pt>
                <c:pt idx="732">
                  <c:v>52</c:v>
                </c:pt>
                <c:pt idx="733">
                  <c:v>53</c:v>
                </c:pt>
                <c:pt idx="734">
                  <c:v>54</c:v>
                </c:pt>
                <c:pt idx="735">
                  <c:v>55</c:v>
                </c:pt>
                <c:pt idx="736">
                  <c:v>12</c:v>
                </c:pt>
                <c:pt idx="737">
                  <c:v>13</c:v>
                </c:pt>
                <c:pt idx="738">
                  <c:v>14</c:v>
                </c:pt>
                <c:pt idx="739">
                  <c:v>15</c:v>
                </c:pt>
                <c:pt idx="740">
                  <c:v>16</c:v>
                </c:pt>
                <c:pt idx="741">
                  <c:v>17</c:v>
                </c:pt>
                <c:pt idx="742">
                  <c:v>18</c:v>
                </c:pt>
                <c:pt idx="743">
                  <c:v>19</c:v>
                </c:pt>
                <c:pt idx="744">
                  <c:v>20</c:v>
                </c:pt>
                <c:pt idx="745">
                  <c:v>21</c:v>
                </c:pt>
                <c:pt idx="746">
                  <c:v>22</c:v>
                </c:pt>
                <c:pt idx="747">
                  <c:v>23</c:v>
                </c:pt>
                <c:pt idx="748">
                  <c:v>24</c:v>
                </c:pt>
                <c:pt idx="749">
                  <c:v>25</c:v>
                </c:pt>
                <c:pt idx="750">
                  <c:v>26</c:v>
                </c:pt>
                <c:pt idx="751">
                  <c:v>27</c:v>
                </c:pt>
                <c:pt idx="752">
                  <c:v>28</c:v>
                </c:pt>
                <c:pt idx="753">
                  <c:v>29</c:v>
                </c:pt>
                <c:pt idx="754">
                  <c:v>30</c:v>
                </c:pt>
                <c:pt idx="755">
                  <c:v>31</c:v>
                </c:pt>
                <c:pt idx="756">
                  <c:v>32</c:v>
                </c:pt>
                <c:pt idx="757">
                  <c:v>33</c:v>
                </c:pt>
                <c:pt idx="758">
                  <c:v>34</c:v>
                </c:pt>
                <c:pt idx="759">
                  <c:v>35</c:v>
                </c:pt>
                <c:pt idx="760">
                  <c:v>36</c:v>
                </c:pt>
                <c:pt idx="761">
                  <c:v>37</c:v>
                </c:pt>
                <c:pt idx="762">
                  <c:v>38</c:v>
                </c:pt>
                <c:pt idx="763">
                  <c:v>39</c:v>
                </c:pt>
                <c:pt idx="764">
                  <c:v>40</c:v>
                </c:pt>
                <c:pt idx="765">
                  <c:v>41</c:v>
                </c:pt>
                <c:pt idx="766">
                  <c:v>42</c:v>
                </c:pt>
                <c:pt idx="767">
                  <c:v>43</c:v>
                </c:pt>
                <c:pt idx="768">
                  <c:v>44</c:v>
                </c:pt>
                <c:pt idx="769">
                  <c:v>45</c:v>
                </c:pt>
                <c:pt idx="770">
                  <c:v>46</c:v>
                </c:pt>
                <c:pt idx="771">
                  <c:v>47</c:v>
                </c:pt>
                <c:pt idx="772">
                  <c:v>48</c:v>
                </c:pt>
                <c:pt idx="773">
                  <c:v>49</c:v>
                </c:pt>
                <c:pt idx="774">
                  <c:v>50</c:v>
                </c:pt>
                <c:pt idx="775">
                  <c:v>51</c:v>
                </c:pt>
                <c:pt idx="776">
                  <c:v>52</c:v>
                </c:pt>
                <c:pt idx="777">
                  <c:v>53</c:v>
                </c:pt>
                <c:pt idx="778">
                  <c:v>54</c:v>
                </c:pt>
                <c:pt idx="779">
                  <c:v>55</c:v>
                </c:pt>
                <c:pt idx="780">
                  <c:v>11</c:v>
                </c:pt>
                <c:pt idx="781">
                  <c:v>12</c:v>
                </c:pt>
                <c:pt idx="782">
                  <c:v>13</c:v>
                </c:pt>
                <c:pt idx="783">
                  <c:v>14</c:v>
                </c:pt>
                <c:pt idx="784">
                  <c:v>15</c:v>
                </c:pt>
                <c:pt idx="785">
                  <c:v>16</c:v>
                </c:pt>
                <c:pt idx="786">
                  <c:v>17</c:v>
                </c:pt>
                <c:pt idx="787">
                  <c:v>18</c:v>
                </c:pt>
                <c:pt idx="788">
                  <c:v>19</c:v>
                </c:pt>
                <c:pt idx="789">
                  <c:v>20</c:v>
                </c:pt>
                <c:pt idx="790">
                  <c:v>21</c:v>
                </c:pt>
                <c:pt idx="791">
                  <c:v>22</c:v>
                </c:pt>
                <c:pt idx="792">
                  <c:v>23</c:v>
                </c:pt>
                <c:pt idx="793">
                  <c:v>24</c:v>
                </c:pt>
                <c:pt idx="794">
                  <c:v>25</c:v>
                </c:pt>
                <c:pt idx="795">
                  <c:v>26</c:v>
                </c:pt>
                <c:pt idx="796">
                  <c:v>27</c:v>
                </c:pt>
                <c:pt idx="797">
                  <c:v>28</c:v>
                </c:pt>
                <c:pt idx="798">
                  <c:v>29</c:v>
                </c:pt>
                <c:pt idx="799">
                  <c:v>30</c:v>
                </c:pt>
                <c:pt idx="800">
                  <c:v>31</c:v>
                </c:pt>
                <c:pt idx="801">
                  <c:v>32</c:v>
                </c:pt>
                <c:pt idx="802">
                  <c:v>33</c:v>
                </c:pt>
                <c:pt idx="803">
                  <c:v>34</c:v>
                </c:pt>
                <c:pt idx="804">
                  <c:v>35</c:v>
                </c:pt>
                <c:pt idx="805">
                  <c:v>36</c:v>
                </c:pt>
                <c:pt idx="806">
                  <c:v>37</c:v>
                </c:pt>
                <c:pt idx="807">
                  <c:v>38</c:v>
                </c:pt>
                <c:pt idx="808">
                  <c:v>39</c:v>
                </c:pt>
                <c:pt idx="809">
                  <c:v>40</c:v>
                </c:pt>
                <c:pt idx="810">
                  <c:v>41</c:v>
                </c:pt>
                <c:pt idx="811">
                  <c:v>42</c:v>
                </c:pt>
                <c:pt idx="812">
                  <c:v>43</c:v>
                </c:pt>
                <c:pt idx="813">
                  <c:v>44</c:v>
                </c:pt>
                <c:pt idx="814">
                  <c:v>45</c:v>
                </c:pt>
                <c:pt idx="815">
                  <c:v>46</c:v>
                </c:pt>
                <c:pt idx="816">
                  <c:v>47</c:v>
                </c:pt>
                <c:pt idx="817">
                  <c:v>48</c:v>
                </c:pt>
                <c:pt idx="818">
                  <c:v>49</c:v>
                </c:pt>
                <c:pt idx="819">
                  <c:v>50</c:v>
                </c:pt>
                <c:pt idx="820">
                  <c:v>51</c:v>
                </c:pt>
                <c:pt idx="821">
                  <c:v>52</c:v>
                </c:pt>
                <c:pt idx="822">
                  <c:v>53</c:v>
                </c:pt>
                <c:pt idx="823">
                  <c:v>54</c:v>
                </c:pt>
                <c:pt idx="824">
                  <c:v>55</c:v>
                </c:pt>
                <c:pt idx="825">
                  <c:v>10</c:v>
                </c:pt>
                <c:pt idx="826">
                  <c:v>11</c:v>
                </c:pt>
                <c:pt idx="827">
                  <c:v>12</c:v>
                </c:pt>
                <c:pt idx="828">
                  <c:v>13</c:v>
                </c:pt>
                <c:pt idx="829">
                  <c:v>14</c:v>
                </c:pt>
                <c:pt idx="830">
                  <c:v>15</c:v>
                </c:pt>
                <c:pt idx="831">
                  <c:v>16</c:v>
                </c:pt>
                <c:pt idx="832">
                  <c:v>17</c:v>
                </c:pt>
                <c:pt idx="833">
                  <c:v>18</c:v>
                </c:pt>
                <c:pt idx="834">
                  <c:v>19</c:v>
                </c:pt>
                <c:pt idx="835">
                  <c:v>20</c:v>
                </c:pt>
                <c:pt idx="836">
                  <c:v>21</c:v>
                </c:pt>
                <c:pt idx="837">
                  <c:v>22</c:v>
                </c:pt>
                <c:pt idx="838">
                  <c:v>23</c:v>
                </c:pt>
                <c:pt idx="839">
                  <c:v>24</c:v>
                </c:pt>
                <c:pt idx="840">
                  <c:v>25</c:v>
                </c:pt>
                <c:pt idx="841">
                  <c:v>26</c:v>
                </c:pt>
                <c:pt idx="842">
                  <c:v>27</c:v>
                </c:pt>
                <c:pt idx="843">
                  <c:v>28</c:v>
                </c:pt>
                <c:pt idx="844">
                  <c:v>29</c:v>
                </c:pt>
                <c:pt idx="845">
                  <c:v>30</c:v>
                </c:pt>
                <c:pt idx="846">
                  <c:v>31</c:v>
                </c:pt>
                <c:pt idx="847">
                  <c:v>32</c:v>
                </c:pt>
                <c:pt idx="848">
                  <c:v>33</c:v>
                </c:pt>
                <c:pt idx="849">
                  <c:v>34</c:v>
                </c:pt>
                <c:pt idx="850">
                  <c:v>35</c:v>
                </c:pt>
                <c:pt idx="851">
                  <c:v>36</c:v>
                </c:pt>
                <c:pt idx="852">
                  <c:v>37</c:v>
                </c:pt>
                <c:pt idx="853">
                  <c:v>38</c:v>
                </c:pt>
                <c:pt idx="854">
                  <c:v>39</c:v>
                </c:pt>
                <c:pt idx="855">
                  <c:v>40</c:v>
                </c:pt>
                <c:pt idx="856">
                  <c:v>41</c:v>
                </c:pt>
                <c:pt idx="857">
                  <c:v>42</c:v>
                </c:pt>
                <c:pt idx="858">
                  <c:v>43</c:v>
                </c:pt>
                <c:pt idx="859">
                  <c:v>44</c:v>
                </c:pt>
                <c:pt idx="860">
                  <c:v>45</c:v>
                </c:pt>
                <c:pt idx="861">
                  <c:v>46</c:v>
                </c:pt>
                <c:pt idx="862">
                  <c:v>47</c:v>
                </c:pt>
                <c:pt idx="863">
                  <c:v>48</c:v>
                </c:pt>
                <c:pt idx="864">
                  <c:v>49</c:v>
                </c:pt>
                <c:pt idx="865">
                  <c:v>50</c:v>
                </c:pt>
                <c:pt idx="866">
                  <c:v>51</c:v>
                </c:pt>
                <c:pt idx="867">
                  <c:v>52</c:v>
                </c:pt>
                <c:pt idx="868">
                  <c:v>53</c:v>
                </c:pt>
                <c:pt idx="869">
                  <c:v>54</c:v>
                </c:pt>
                <c:pt idx="870">
                  <c:v>55</c:v>
                </c:pt>
                <c:pt idx="871">
                  <c:v>10</c:v>
                </c:pt>
                <c:pt idx="872">
                  <c:v>11</c:v>
                </c:pt>
                <c:pt idx="873">
                  <c:v>12</c:v>
                </c:pt>
                <c:pt idx="874">
                  <c:v>13</c:v>
                </c:pt>
                <c:pt idx="875">
                  <c:v>14</c:v>
                </c:pt>
                <c:pt idx="876">
                  <c:v>15</c:v>
                </c:pt>
                <c:pt idx="877">
                  <c:v>16</c:v>
                </c:pt>
                <c:pt idx="878">
                  <c:v>17</c:v>
                </c:pt>
                <c:pt idx="879">
                  <c:v>18</c:v>
                </c:pt>
                <c:pt idx="880">
                  <c:v>19</c:v>
                </c:pt>
                <c:pt idx="881">
                  <c:v>20</c:v>
                </c:pt>
                <c:pt idx="882">
                  <c:v>21</c:v>
                </c:pt>
                <c:pt idx="883">
                  <c:v>22</c:v>
                </c:pt>
                <c:pt idx="884">
                  <c:v>23</c:v>
                </c:pt>
                <c:pt idx="885">
                  <c:v>24</c:v>
                </c:pt>
                <c:pt idx="886">
                  <c:v>25</c:v>
                </c:pt>
                <c:pt idx="887">
                  <c:v>26</c:v>
                </c:pt>
                <c:pt idx="888">
                  <c:v>27</c:v>
                </c:pt>
                <c:pt idx="889">
                  <c:v>28</c:v>
                </c:pt>
                <c:pt idx="890">
                  <c:v>29</c:v>
                </c:pt>
                <c:pt idx="891">
                  <c:v>30</c:v>
                </c:pt>
                <c:pt idx="892">
                  <c:v>31</c:v>
                </c:pt>
                <c:pt idx="893">
                  <c:v>32</c:v>
                </c:pt>
                <c:pt idx="894">
                  <c:v>33</c:v>
                </c:pt>
                <c:pt idx="895">
                  <c:v>34</c:v>
                </c:pt>
                <c:pt idx="896">
                  <c:v>35</c:v>
                </c:pt>
                <c:pt idx="897">
                  <c:v>36</c:v>
                </c:pt>
                <c:pt idx="898">
                  <c:v>37</c:v>
                </c:pt>
                <c:pt idx="899">
                  <c:v>38</c:v>
                </c:pt>
                <c:pt idx="900">
                  <c:v>39</c:v>
                </c:pt>
                <c:pt idx="901">
                  <c:v>40</c:v>
                </c:pt>
                <c:pt idx="902">
                  <c:v>41</c:v>
                </c:pt>
                <c:pt idx="903">
                  <c:v>42</c:v>
                </c:pt>
                <c:pt idx="904">
                  <c:v>43</c:v>
                </c:pt>
                <c:pt idx="905">
                  <c:v>44</c:v>
                </c:pt>
                <c:pt idx="906">
                  <c:v>45</c:v>
                </c:pt>
                <c:pt idx="907">
                  <c:v>46</c:v>
                </c:pt>
                <c:pt idx="908">
                  <c:v>47</c:v>
                </c:pt>
                <c:pt idx="909">
                  <c:v>48</c:v>
                </c:pt>
                <c:pt idx="910">
                  <c:v>49</c:v>
                </c:pt>
                <c:pt idx="911">
                  <c:v>50</c:v>
                </c:pt>
                <c:pt idx="912">
                  <c:v>51</c:v>
                </c:pt>
                <c:pt idx="913">
                  <c:v>52</c:v>
                </c:pt>
                <c:pt idx="914">
                  <c:v>53</c:v>
                </c:pt>
                <c:pt idx="915">
                  <c:v>54</c:v>
                </c:pt>
                <c:pt idx="916">
                  <c:v>10</c:v>
                </c:pt>
                <c:pt idx="917">
                  <c:v>11</c:v>
                </c:pt>
                <c:pt idx="918">
                  <c:v>12</c:v>
                </c:pt>
                <c:pt idx="919">
                  <c:v>13</c:v>
                </c:pt>
                <c:pt idx="920">
                  <c:v>14</c:v>
                </c:pt>
                <c:pt idx="921">
                  <c:v>15</c:v>
                </c:pt>
                <c:pt idx="922">
                  <c:v>16</c:v>
                </c:pt>
                <c:pt idx="923">
                  <c:v>17</c:v>
                </c:pt>
                <c:pt idx="924">
                  <c:v>18</c:v>
                </c:pt>
                <c:pt idx="925">
                  <c:v>19</c:v>
                </c:pt>
                <c:pt idx="926">
                  <c:v>20</c:v>
                </c:pt>
                <c:pt idx="927">
                  <c:v>21</c:v>
                </c:pt>
                <c:pt idx="928">
                  <c:v>22</c:v>
                </c:pt>
                <c:pt idx="929">
                  <c:v>23</c:v>
                </c:pt>
                <c:pt idx="930">
                  <c:v>24</c:v>
                </c:pt>
                <c:pt idx="931">
                  <c:v>25</c:v>
                </c:pt>
                <c:pt idx="932">
                  <c:v>26</c:v>
                </c:pt>
                <c:pt idx="933">
                  <c:v>27</c:v>
                </c:pt>
                <c:pt idx="934">
                  <c:v>28</c:v>
                </c:pt>
                <c:pt idx="935">
                  <c:v>29</c:v>
                </c:pt>
                <c:pt idx="936">
                  <c:v>30</c:v>
                </c:pt>
                <c:pt idx="937">
                  <c:v>31</c:v>
                </c:pt>
                <c:pt idx="938">
                  <c:v>32</c:v>
                </c:pt>
                <c:pt idx="939">
                  <c:v>33</c:v>
                </c:pt>
                <c:pt idx="940">
                  <c:v>34</c:v>
                </c:pt>
                <c:pt idx="941">
                  <c:v>35</c:v>
                </c:pt>
                <c:pt idx="942">
                  <c:v>36</c:v>
                </c:pt>
                <c:pt idx="943">
                  <c:v>37</c:v>
                </c:pt>
                <c:pt idx="944">
                  <c:v>38</c:v>
                </c:pt>
                <c:pt idx="945">
                  <c:v>39</c:v>
                </c:pt>
                <c:pt idx="946">
                  <c:v>40</c:v>
                </c:pt>
                <c:pt idx="947">
                  <c:v>41</c:v>
                </c:pt>
                <c:pt idx="948">
                  <c:v>42</c:v>
                </c:pt>
                <c:pt idx="949">
                  <c:v>43</c:v>
                </c:pt>
                <c:pt idx="950">
                  <c:v>44</c:v>
                </c:pt>
                <c:pt idx="951">
                  <c:v>45</c:v>
                </c:pt>
                <c:pt idx="952">
                  <c:v>46</c:v>
                </c:pt>
                <c:pt idx="953">
                  <c:v>47</c:v>
                </c:pt>
                <c:pt idx="954">
                  <c:v>48</c:v>
                </c:pt>
                <c:pt idx="955">
                  <c:v>49</c:v>
                </c:pt>
                <c:pt idx="956">
                  <c:v>50</c:v>
                </c:pt>
                <c:pt idx="957">
                  <c:v>51</c:v>
                </c:pt>
                <c:pt idx="958">
                  <c:v>52</c:v>
                </c:pt>
                <c:pt idx="959">
                  <c:v>53</c:v>
                </c:pt>
                <c:pt idx="960">
                  <c:v>10</c:v>
                </c:pt>
                <c:pt idx="961">
                  <c:v>11</c:v>
                </c:pt>
                <c:pt idx="962">
                  <c:v>12</c:v>
                </c:pt>
                <c:pt idx="963">
                  <c:v>13</c:v>
                </c:pt>
                <c:pt idx="964">
                  <c:v>14</c:v>
                </c:pt>
                <c:pt idx="965">
                  <c:v>15</c:v>
                </c:pt>
                <c:pt idx="966">
                  <c:v>16</c:v>
                </c:pt>
                <c:pt idx="967">
                  <c:v>17</c:v>
                </c:pt>
                <c:pt idx="968">
                  <c:v>18</c:v>
                </c:pt>
                <c:pt idx="969">
                  <c:v>19</c:v>
                </c:pt>
                <c:pt idx="970">
                  <c:v>20</c:v>
                </c:pt>
                <c:pt idx="971">
                  <c:v>21</c:v>
                </c:pt>
                <c:pt idx="972">
                  <c:v>22</c:v>
                </c:pt>
                <c:pt idx="973">
                  <c:v>23</c:v>
                </c:pt>
                <c:pt idx="974">
                  <c:v>24</c:v>
                </c:pt>
                <c:pt idx="975">
                  <c:v>25</c:v>
                </c:pt>
                <c:pt idx="976">
                  <c:v>26</c:v>
                </c:pt>
                <c:pt idx="977">
                  <c:v>27</c:v>
                </c:pt>
                <c:pt idx="978">
                  <c:v>28</c:v>
                </c:pt>
                <c:pt idx="979">
                  <c:v>29</c:v>
                </c:pt>
                <c:pt idx="980">
                  <c:v>30</c:v>
                </c:pt>
                <c:pt idx="981">
                  <c:v>31</c:v>
                </c:pt>
                <c:pt idx="982">
                  <c:v>32</c:v>
                </c:pt>
                <c:pt idx="983">
                  <c:v>33</c:v>
                </c:pt>
                <c:pt idx="984">
                  <c:v>34</c:v>
                </c:pt>
                <c:pt idx="985">
                  <c:v>35</c:v>
                </c:pt>
                <c:pt idx="986">
                  <c:v>36</c:v>
                </c:pt>
                <c:pt idx="987">
                  <c:v>37</c:v>
                </c:pt>
                <c:pt idx="988">
                  <c:v>38</c:v>
                </c:pt>
                <c:pt idx="989">
                  <c:v>39</c:v>
                </c:pt>
                <c:pt idx="990">
                  <c:v>40</c:v>
                </c:pt>
                <c:pt idx="991">
                  <c:v>41</c:v>
                </c:pt>
                <c:pt idx="992">
                  <c:v>42</c:v>
                </c:pt>
                <c:pt idx="993">
                  <c:v>43</c:v>
                </c:pt>
                <c:pt idx="994">
                  <c:v>44</c:v>
                </c:pt>
                <c:pt idx="995">
                  <c:v>45</c:v>
                </c:pt>
                <c:pt idx="996">
                  <c:v>46</c:v>
                </c:pt>
                <c:pt idx="997">
                  <c:v>47</c:v>
                </c:pt>
                <c:pt idx="998">
                  <c:v>48</c:v>
                </c:pt>
                <c:pt idx="999">
                  <c:v>49</c:v>
                </c:pt>
                <c:pt idx="1000">
                  <c:v>50</c:v>
                </c:pt>
                <c:pt idx="1001">
                  <c:v>51</c:v>
                </c:pt>
                <c:pt idx="1002">
                  <c:v>52</c:v>
                </c:pt>
                <c:pt idx="1003">
                  <c:v>10</c:v>
                </c:pt>
                <c:pt idx="1004">
                  <c:v>11</c:v>
                </c:pt>
                <c:pt idx="1005">
                  <c:v>12</c:v>
                </c:pt>
                <c:pt idx="1006">
                  <c:v>13</c:v>
                </c:pt>
                <c:pt idx="1007">
                  <c:v>14</c:v>
                </c:pt>
                <c:pt idx="1008">
                  <c:v>15</c:v>
                </c:pt>
                <c:pt idx="1009">
                  <c:v>16</c:v>
                </c:pt>
                <c:pt idx="1010">
                  <c:v>17</c:v>
                </c:pt>
                <c:pt idx="1011">
                  <c:v>18</c:v>
                </c:pt>
                <c:pt idx="1012">
                  <c:v>19</c:v>
                </c:pt>
                <c:pt idx="1013">
                  <c:v>20</c:v>
                </c:pt>
                <c:pt idx="1014">
                  <c:v>21</c:v>
                </c:pt>
                <c:pt idx="1015">
                  <c:v>22</c:v>
                </c:pt>
                <c:pt idx="1016">
                  <c:v>23</c:v>
                </c:pt>
                <c:pt idx="1017">
                  <c:v>24</c:v>
                </c:pt>
                <c:pt idx="1018">
                  <c:v>25</c:v>
                </c:pt>
                <c:pt idx="1019">
                  <c:v>26</c:v>
                </c:pt>
                <c:pt idx="1020">
                  <c:v>27</c:v>
                </c:pt>
                <c:pt idx="1021">
                  <c:v>28</c:v>
                </c:pt>
                <c:pt idx="1022">
                  <c:v>29</c:v>
                </c:pt>
                <c:pt idx="1023">
                  <c:v>30</c:v>
                </c:pt>
                <c:pt idx="1024">
                  <c:v>31</c:v>
                </c:pt>
                <c:pt idx="1025">
                  <c:v>32</c:v>
                </c:pt>
                <c:pt idx="1026">
                  <c:v>33</c:v>
                </c:pt>
                <c:pt idx="1027">
                  <c:v>34</c:v>
                </c:pt>
                <c:pt idx="1028">
                  <c:v>35</c:v>
                </c:pt>
                <c:pt idx="1029">
                  <c:v>36</c:v>
                </c:pt>
                <c:pt idx="1030">
                  <c:v>37</c:v>
                </c:pt>
                <c:pt idx="1031">
                  <c:v>38</c:v>
                </c:pt>
                <c:pt idx="1032">
                  <c:v>39</c:v>
                </c:pt>
                <c:pt idx="1033">
                  <c:v>40</c:v>
                </c:pt>
                <c:pt idx="1034">
                  <c:v>41</c:v>
                </c:pt>
                <c:pt idx="1035">
                  <c:v>42</c:v>
                </c:pt>
                <c:pt idx="1036">
                  <c:v>43</c:v>
                </c:pt>
                <c:pt idx="1037">
                  <c:v>44</c:v>
                </c:pt>
                <c:pt idx="1038">
                  <c:v>45</c:v>
                </c:pt>
                <c:pt idx="1039">
                  <c:v>46</c:v>
                </c:pt>
                <c:pt idx="1040">
                  <c:v>47</c:v>
                </c:pt>
                <c:pt idx="1041">
                  <c:v>48</c:v>
                </c:pt>
                <c:pt idx="1042">
                  <c:v>49</c:v>
                </c:pt>
                <c:pt idx="1043">
                  <c:v>50</c:v>
                </c:pt>
                <c:pt idx="1044">
                  <c:v>51</c:v>
                </c:pt>
                <c:pt idx="1045">
                  <c:v>10</c:v>
                </c:pt>
                <c:pt idx="1046">
                  <c:v>11</c:v>
                </c:pt>
                <c:pt idx="1047">
                  <c:v>12</c:v>
                </c:pt>
                <c:pt idx="1048">
                  <c:v>13</c:v>
                </c:pt>
                <c:pt idx="1049">
                  <c:v>14</c:v>
                </c:pt>
                <c:pt idx="1050">
                  <c:v>15</c:v>
                </c:pt>
                <c:pt idx="1051">
                  <c:v>16</c:v>
                </c:pt>
                <c:pt idx="1052">
                  <c:v>17</c:v>
                </c:pt>
                <c:pt idx="1053">
                  <c:v>18</c:v>
                </c:pt>
                <c:pt idx="1054">
                  <c:v>19</c:v>
                </c:pt>
                <c:pt idx="1055">
                  <c:v>20</c:v>
                </c:pt>
                <c:pt idx="1056">
                  <c:v>21</c:v>
                </c:pt>
                <c:pt idx="1057">
                  <c:v>22</c:v>
                </c:pt>
                <c:pt idx="1058">
                  <c:v>23</c:v>
                </c:pt>
                <c:pt idx="1059">
                  <c:v>24</c:v>
                </c:pt>
                <c:pt idx="1060">
                  <c:v>25</c:v>
                </c:pt>
                <c:pt idx="1061">
                  <c:v>26</c:v>
                </c:pt>
                <c:pt idx="1062">
                  <c:v>27</c:v>
                </c:pt>
                <c:pt idx="1063">
                  <c:v>28</c:v>
                </c:pt>
                <c:pt idx="1064">
                  <c:v>29</c:v>
                </c:pt>
                <c:pt idx="1065">
                  <c:v>30</c:v>
                </c:pt>
                <c:pt idx="1066">
                  <c:v>31</c:v>
                </c:pt>
                <c:pt idx="1067">
                  <c:v>32</c:v>
                </c:pt>
                <c:pt idx="1068">
                  <c:v>33</c:v>
                </c:pt>
                <c:pt idx="1069">
                  <c:v>34</c:v>
                </c:pt>
                <c:pt idx="1070">
                  <c:v>35</c:v>
                </c:pt>
                <c:pt idx="1071">
                  <c:v>36</c:v>
                </c:pt>
                <c:pt idx="1072">
                  <c:v>37</c:v>
                </c:pt>
                <c:pt idx="1073">
                  <c:v>38</c:v>
                </c:pt>
                <c:pt idx="1074">
                  <c:v>39</c:v>
                </c:pt>
                <c:pt idx="1075">
                  <c:v>40</c:v>
                </c:pt>
                <c:pt idx="1076">
                  <c:v>41</c:v>
                </c:pt>
                <c:pt idx="1077">
                  <c:v>42</c:v>
                </c:pt>
                <c:pt idx="1078">
                  <c:v>43</c:v>
                </c:pt>
                <c:pt idx="1079">
                  <c:v>44</c:v>
                </c:pt>
                <c:pt idx="1080">
                  <c:v>45</c:v>
                </c:pt>
                <c:pt idx="1081">
                  <c:v>46</c:v>
                </c:pt>
                <c:pt idx="1082">
                  <c:v>47</c:v>
                </c:pt>
                <c:pt idx="1083">
                  <c:v>48</c:v>
                </c:pt>
                <c:pt idx="1084">
                  <c:v>49</c:v>
                </c:pt>
                <c:pt idx="1085">
                  <c:v>50</c:v>
                </c:pt>
                <c:pt idx="1086">
                  <c:v>10</c:v>
                </c:pt>
                <c:pt idx="1087">
                  <c:v>11</c:v>
                </c:pt>
                <c:pt idx="1088">
                  <c:v>12</c:v>
                </c:pt>
                <c:pt idx="1089">
                  <c:v>13</c:v>
                </c:pt>
                <c:pt idx="1090">
                  <c:v>14</c:v>
                </c:pt>
                <c:pt idx="1091">
                  <c:v>15</c:v>
                </c:pt>
                <c:pt idx="1092">
                  <c:v>16</c:v>
                </c:pt>
                <c:pt idx="1093">
                  <c:v>17</c:v>
                </c:pt>
                <c:pt idx="1094">
                  <c:v>18</c:v>
                </c:pt>
                <c:pt idx="1095">
                  <c:v>19</c:v>
                </c:pt>
                <c:pt idx="1096">
                  <c:v>20</c:v>
                </c:pt>
                <c:pt idx="1097">
                  <c:v>21</c:v>
                </c:pt>
                <c:pt idx="1098">
                  <c:v>22</c:v>
                </c:pt>
                <c:pt idx="1099">
                  <c:v>23</c:v>
                </c:pt>
                <c:pt idx="1100">
                  <c:v>24</c:v>
                </c:pt>
                <c:pt idx="1101">
                  <c:v>25</c:v>
                </c:pt>
                <c:pt idx="1102">
                  <c:v>26</c:v>
                </c:pt>
                <c:pt idx="1103">
                  <c:v>27</c:v>
                </c:pt>
                <c:pt idx="1104">
                  <c:v>28</c:v>
                </c:pt>
                <c:pt idx="1105">
                  <c:v>29</c:v>
                </c:pt>
                <c:pt idx="1106">
                  <c:v>30</c:v>
                </c:pt>
                <c:pt idx="1107">
                  <c:v>31</c:v>
                </c:pt>
                <c:pt idx="1108">
                  <c:v>32</c:v>
                </c:pt>
                <c:pt idx="1109">
                  <c:v>33</c:v>
                </c:pt>
                <c:pt idx="1110">
                  <c:v>34</c:v>
                </c:pt>
                <c:pt idx="1111">
                  <c:v>35</c:v>
                </c:pt>
                <c:pt idx="1112">
                  <c:v>36</c:v>
                </c:pt>
                <c:pt idx="1113">
                  <c:v>37</c:v>
                </c:pt>
                <c:pt idx="1114">
                  <c:v>38</c:v>
                </c:pt>
                <c:pt idx="1115">
                  <c:v>39</c:v>
                </c:pt>
                <c:pt idx="1116">
                  <c:v>40</c:v>
                </c:pt>
                <c:pt idx="1117">
                  <c:v>41</c:v>
                </c:pt>
                <c:pt idx="1118">
                  <c:v>42</c:v>
                </c:pt>
                <c:pt idx="1119">
                  <c:v>43</c:v>
                </c:pt>
                <c:pt idx="1120">
                  <c:v>44</c:v>
                </c:pt>
                <c:pt idx="1121">
                  <c:v>45</c:v>
                </c:pt>
                <c:pt idx="1122">
                  <c:v>46</c:v>
                </c:pt>
                <c:pt idx="1123">
                  <c:v>47</c:v>
                </c:pt>
                <c:pt idx="1124">
                  <c:v>48</c:v>
                </c:pt>
                <c:pt idx="1125">
                  <c:v>49</c:v>
                </c:pt>
                <c:pt idx="1126">
                  <c:v>10</c:v>
                </c:pt>
                <c:pt idx="1127">
                  <c:v>11</c:v>
                </c:pt>
                <c:pt idx="1128">
                  <c:v>12</c:v>
                </c:pt>
                <c:pt idx="1129">
                  <c:v>13</c:v>
                </c:pt>
                <c:pt idx="1130">
                  <c:v>14</c:v>
                </c:pt>
                <c:pt idx="1131">
                  <c:v>15</c:v>
                </c:pt>
                <c:pt idx="1132">
                  <c:v>16</c:v>
                </c:pt>
                <c:pt idx="1133">
                  <c:v>17</c:v>
                </c:pt>
                <c:pt idx="1134">
                  <c:v>18</c:v>
                </c:pt>
                <c:pt idx="1135">
                  <c:v>19</c:v>
                </c:pt>
                <c:pt idx="1136">
                  <c:v>20</c:v>
                </c:pt>
                <c:pt idx="1137">
                  <c:v>21</c:v>
                </c:pt>
                <c:pt idx="1138">
                  <c:v>22</c:v>
                </c:pt>
                <c:pt idx="1139">
                  <c:v>23</c:v>
                </c:pt>
                <c:pt idx="1140">
                  <c:v>24</c:v>
                </c:pt>
                <c:pt idx="1141">
                  <c:v>25</c:v>
                </c:pt>
                <c:pt idx="1142">
                  <c:v>26</c:v>
                </c:pt>
                <c:pt idx="1143">
                  <c:v>27</c:v>
                </c:pt>
                <c:pt idx="1144">
                  <c:v>28</c:v>
                </c:pt>
                <c:pt idx="1145">
                  <c:v>29</c:v>
                </c:pt>
                <c:pt idx="1146">
                  <c:v>30</c:v>
                </c:pt>
                <c:pt idx="1147">
                  <c:v>31</c:v>
                </c:pt>
                <c:pt idx="1148">
                  <c:v>32</c:v>
                </c:pt>
                <c:pt idx="1149">
                  <c:v>33</c:v>
                </c:pt>
                <c:pt idx="1150">
                  <c:v>34</c:v>
                </c:pt>
                <c:pt idx="1151">
                  <c:v>35</c:v>
                </c:pt>
                <c:pt idx="1152">
                  <c:v>36</c:v>
                </c:pt>
                <c:pt idx="1153">
                  <c:v>37</c:v>
                </c:pt>
                <c:pt idx="1154">
                  <c:v>38</c:v>
                </c:pt>
                <c:pt idx="1155">
                  <c:v>39</c:v>
                </c:pt>
                <c:pt idx="1156">
                  <c:v>40</c:v>
                </c:pt>
                <c:pt idx="1157">
                  <c:v>41</c:v>
                </c:pt>
                <c:pt idx="1158">
                  <c:v>42</c:v>
                </c:pt>
                <c:pt idx="1159">
                  <c:v>43</c:v>
                </c:pt>
                <c:pt idx="1160">
                  <c:v>44</c:v>
                </c:pt>
                <c:pt idx="1161">
                  <c:v>45</c:v>
                </c:pt>
                <c:pt idx="1162">
                  <c:v>46</c:v>
                </c:pt>
                <c:pt idx="1163">
                  <c:v>47</c:v>
                </c:pt>
                <c:pt idx="1164">
                  <c:v>48</c:v>
                </c:pt>
                <c:pt idx="1165">
                  <c:v>10</c:v>
                </c:pt>
                <c:pt idx="1166">
                  <c:v>11</c:v>
                </c:pt>
                <c:pt idx="1167">
                  <c:v>12</c:v>
                </c:pt>
                <c:pt idx="1168">
                  <c:v>13</c:v>
                </c:pt>
                <c:pt idx="1169">
                  <c:v>14</c:v>
                </c:pt>
                <c:pt idx="1170">
                  <c:v>15</c:v>
                </c:pt>
                <c:pt idx="1171">
                  <c:v>16</c:v>
                </c:pt>
                <c:pt idx="1172">
                  <c:v>17</c:v>
                </c:pt>
                <c:pt idx="1173">
                  <c:v>18</c:v>
                </c:pt>
                <c:pt idx="1174">
                  <c:v>19</c:v>
                </c:pt>
                <c:pt idx="1175">
                  <c:v>20</c:v>
                </c:pt>
                <c:pt idx="1176">
                  <c:v>21</c:v>
                </c:pt>
                <c:pt idx="1177">
                  <c:v>22</c:v>
                </c:pt>
                <c:pt idx="1178">
                  <c:v>23</c:v>
                </c:pt>
                <c:pt idx="1179">
                  <c:v>24</c:v>
                </c:pt>
                <c:pt idx="1180">
                  <c:v>25</c:v>
                </c:pt>
                <c:pt idx="1181">
                  <c:v>26</c:v>
                </c:pt>
                <c:pt idx="1182">
                  <c:v>27</c:v>
                </c:pt>
                <c:pt idx="1183">
                  <c:v>28</c:v>
                </c:pt>
                <c:pt idx="1184">
                  <c:v>29</c:v>
                </c:pt>
                <c:pt idx="1185">
                  <c:v>30</c:v>
                </c:pt>
                <c:pt idx="1186">
                  <c:v>31</c:v>
                </c:pt>
                <c:pt idx="1187">
                  <c:v>32</c:v>
                </c:pt>
                <c:pt idx="1188">
                  <c:v>33</c:v>
                </c:pt>
                <c:pt idx="1189">
                  <c:v>34</c:v>
                </c:pt>
                <c:pt idx="1190">
                  <c:v>35</c:v>
                </c:pt>
                <c:pt idx="1191">
                  <c:v>36</c:v>
                </c:pt>
                <c:pt idx="1192">
                  <c:v>37</c:v>
                </c:pt>
                <c:pt idx="1193">
                  <c:v>38</c:v>
                </c:pt>
                <c:pt idx="1194">
                  <c:v>39</c:v>
                </c:pt>
                <c:pt idx="1195">
                  <c:v>40</c:v>
                </c:pt>
                <c:pt idx="1196">
                  <c:v>41</c:v>
                </c:pt>
                <c:pt idx="1197">
                  <c:v>42</c:v>
                </c:pt>
                <c:pt idx="1198">
                  <c:v>43</c:v>
                </c:pt>
                <c:pt idx="1199">
                  <c:v>44</c:v>
                </c:pt>
                <c:pt idx="1200">
                  <c:v>45</c:v>
                </c:pt>
                <c:pt idx="1201">
                  <c:v>46</c:v>
                </c:pt>
                <c:pt idx="1202">
                  <c:v>47</c:v>
                </c:pt>
                <c:pt idx="1203">
                  <c:v>10</c:v>
                </c:pt>
                <c:pt idx="1204">
                  <c:v>11</c:v>
                </c:pt>
                <c:pt idx="1205">
                  <c:v>12</c:v>
                </c:pt>
                <c:pt idx="1206">
                  <c:v>13</c:v>
                </c:pt>
                <c:pt idx="1207">
                  <c:v>14</c:v>
                </c:pt>
                <c:pt idx="1208">
                  <c:v>15</c:v>
                </c:pt>
                <c:pt idx="1209">
                  <c:v>16</c:v>
                </c:pt>
                <c:pt idx="1210">
                  <c:v>17</c:v>
                </c:pt>
                <c:pt idx="1211">
                  <c:v>18</c:v>
                </c:pt>
                <c:pt idx="1212">
                  <c:v>19</c:v>
                </c:pt>
                <c:pt idx="1213">
                  <c:v>20</c:v>
                </c:pt>
                <c:pt idx="1214">
                  <c:v>21</c:v>
                </c:pt>
                <c:pt idx="1215">
                  <c:v>22</c:v>
                </c:pt>
                <c:pt idx="1216">
                  <c:v>23</c:v>
                </c:pt>
                <c:pt idx="1217">
                  <c:v>24</c:v>
                </c:pt>
                <c:pt idx="1218">
                  <c:v>25</c:v>
                </c:pt>
                <c:pt idx="1219">
                  <c:v>26</c:v>
                </c:pt>
                <c:pt idx="1220">
                  <c:v>27</c:v>
                </c:pt>
                <c:pt idx="1221">
                  <c:v>28</c:v>
                </c:pt>
                <c:pt idx="1222">
                  <c:v>29</c:v>
                </c:pt>
                <c:pt idx="1223">
                  <c:v>30</c:v>
                </c:pt>
                <c:pt idx="1224">
                  <c:v>31</c:v>
                </c:pt>
                <c:pt idx="1225">
                  <c:v>32</c:v>
                </c:pt>
                <c:pt idx="1226">
                  <c:v>33</c:v>
                </c:pt>
                <c:pt idx="1227">
                  <c:v>34</c:v>
                </c:pt>
                <c:pt idx="1228">
                  <c:v>35</c:v>
                </c:pt>
                <c:pt idx="1229">
                  <c:v>36</c:v>
                </c:pt>
                <c:pt idx="1230">
                  <c:v>37</c:v>
                </c:pt>
                <c:pt idx="1231">
                  <c:v>38</c:v>
                </c:pt>
                <c:pt idx="1232">
                  <c:v>39</c:v>
                </c:pt>
                <c:pt idx="1233">
                  <c:v>40</c:v>
                </c:pt>
                <c:pt idx="1234">
                  <c:v>41</c:v>
                </c:pt>
                <c:pt idx="1235">
                  <c:v>42</c:v>
                </c:pt>
                <c:pt idx="1236">
                  <c:v>43</c:v>
                </c:pt>
                <c:pt idx="1237">
                  <c:v>44</c:v>
                </c:pt>
                <c:pt idx="1238">
                  <c:v>45</c:v>
                </c:pt>
                <c:pt idx="1239">
                  <c:v>46</c:v>
                </c:pt>
                <c:pt idx="1240">
                  <c:v>10</c:v>
                </c:pt>
                <c:pt idx="1241">
                  <c:v>11</c:v>
                </c:pt>
                <c:pt idx="1242">
                  <c:v>12</c:v>
                </c:pt>
                <c:pt idx="1243">
                  <c:v>13</c:v>
                </c:pt>
                <c:pt idx="1244">
                  <c:v>14</c:v>
                </c:pt>
                <c:pt idx="1245">
                  <c:v>15</c:v>
                </c:pt>
                <c:pt idx="1246">
                  <c:v>16</c:v>
                </c:pt>
                <c:pt idx="1247">
                  <c:v>17</c:v>
                </c:pt>
                <c:pt idx="1248">
                  <c:v>18</c:v>
                </c:pt>
                <c:pt idx="1249">
                  <c:v>19</c:v>
                </c:pt>
                <c:pt idx="1250">
                  <c:v>20</c:v>
                </c:pt>
                <c:pt idx="1251">
                  <c:v>21</c:v>
                </c:pt>
                <c:pt idx="1252">
                  <c:v>22</c:v>
                </c:pt>
                <c:pt idx="1253">
                  <c:v>23</c:v>
                </c:pt>
                <c:pt idx="1254">
                  <c:v>24</c:v>
                </c:pt>
                <c:pt idx="1255">
                  <c:v>25</c:v>
                </c:pt>
                <c:pt idx="1256">
                  <c:v>26</c:v>
                </c:pt>
                <c:pt idx="1257">
                  <c:v>27</c:v>
                </c:pt>
                <c:pt idx="1258">
                  <c:v>28</c:v>
                </c:pt>
                <c:pt idx="1259">
                  <c:v>29</c:v>
                </c:pt>
                <c:pt idx="1260">
                  <c:v>30</c:v>
                </c:pt>
                <c:pt idx="1261">
                  <c:v>31</c:v>
                </c:pt>
                <c:pt idx="1262">
                  <c:v>32</c:v>
                </c:pt>
                <c:pt idx="1263">
                  <c:v>33</c:v>
                </c:pt>
                <c:pt idx="1264">
                  <c:v>34</c:v>
                </c:pt>
                <c:pt idx="1265">
                  <c:v>35</c:v>
                </c:pt>
                <c:pt idx="1266">
                  <c:v>36</c:v>
                </c:pt>
                <c:pt idx="1267">
                  <c:v>37</c:v>
                </c:pt>
                <c:pt idx="1268">
                  <c:v>38</c:v>
                </c:pt>
                <c:pt idx="1269">
                  <c:v>39</c:v>
                </c:pt>
                <c:pt idx="1270">
                  <c:v>40</c:v>
                </c:pt>
                <c:pt idx="1271">
                  <c:v>41</c:v>
                </c:pt>
                <c:pt idx="1272">
                  <c:v>42</c:v>
                </c:pt>
                <c:pt idx="1273">
                  <c:v>43</c:v>
                </c:pt>
                <c:pt idx="1274">
                  <c:v>44</c:v>
                </c:pt>
                <c:pt idx="1275">
                  <c:v>45</c:v>
                </c:pt>
                <c:pt idx="1276">
                  <c:v>10</c:v>
                </c:pt>
                <c:pt idx="1277">
                  <c:v>11</c:v>
                </c:pt>
                <c:pt idx="1278">
                  <c:v>12</c:v>
                </c:pt>
                <c:pt idx="1279">
                  <c:v>13</c:v>
                </c:pt>
                <c:pt idx="1280">
                  <c:v>14</c:v>
                </c:pt>
                <c:pt idx="1281">
                  <c:v>15</c:v>
                </c:pt>
                <c:pt idx="1282">
                  <c:v>16</c:v>
                </c:pt>
                <c:pt idx="1283">
                  <c:v>17</c:v>
                </c:pt>
                <c:pt idx="1284">
                  <c:v>18</c:v>
                </c:pt>
                <c:pt idx="1285">
                  <c:v>19</c:v>
                </c:pt>
                <c:pt idx="1286">
                  <c:v>20</c:v>
                </c:pt>
                <c:pt idx="1287">
                  <c:v>21</c:v>
                </c:pt>
                <c:pt idx="1288">
                  <c:v>22</c:v>
                </c:pt>
                <c:pt idx="1289">
                  <c:v>23</c:v>
                </c:pt>
                <c:pt idx="1290">
                  <c:v>24</c:v>
                </c:pt>
                <c:pt idx="1291">
                  <c:v>25</c:v>
                </c:pt>
                <c:pt idx="1292">
                  <c:v>26</c:v>
                </c:pt>
                <c:pt idx="1293">
                  <c:v>27</c:v>
                </c:pt>
                <c:pt idx="1294">
                  <c:v>28</c:v>
                </c:pt>
                <c:pt idx="1295">
                  <c:v>29</c:v>
                </c:pt>
                <c:pt idx="1296">
                  <c:v>30</c:v>
                </c:pt>
                <c:pt idx="1297">
                  <c:v>31</c:v>
                </c:pt>
                <c:pt idx="1298">
                  <c:v>32</c:v>
                </c:pt>
                <c:pt idx="1299">
                  <c:v>33</c:v>
                </c:pt>
                <c:pt idx="1300">
                  <c:v>34</c:v>
                </c:pt>
                <c:pt idx="1301">
                  <c:v>35</c:v>
                </c:pt>
                <c:pt idx="1302">
                  <c:v>36</c:v>
                </c:pt>
                <c:pt idx="1303">
                  <c:v>37</c:v>
                </c:pt>
                <c:pt idx="1304">
                  <c:v>38</c:v>
                </c:pt>
                <c:pt idx="1305">
                  <c:v>39</c:v>
                </c:pt>
                <c:pt idx="1306">
                  <c:v>40</c:v>
                </c:pt>
                <c:pt idx="1307">
                  <c:v>41</c:v>
                </c:pt>
                <c:pt idx="1308">
                  <c:v>42</c:v>
                </c:pt>
                <c:pt idx="1309">
                  <c:v>43</c:v>
                </c:pt>
                <c:pt idx="1310">
                  <c:v>44</c:v>
                </c:pt>
                <c:pt idx="1311">
                  <c:v>10</c:v>
                </c:pt>
                <c:pt idx="1312">
                  <c:v>11</c:v>
                </c:pt>
                <c:pt idx="1313">
                  <c:v>12</c:v>
                </c:pt>
                <c:pt idx="1314">
                  <c:v>13</c:v>
                </c:pt>
                <c:pt idx="1315">
                  <c:v>14</c:v>
                </c:pt>
                <c:pt idx="1316">
                  <c:v>15</c:v>
                </c:pt>
                <c:pt idx="1317">
                  <c:v>16</c:v>
                </c:pt>
                <c:pt idx="1318">
                  <c:v>17</c:v>
                </c:pt>
                <c:pt idx="1319">
                  <c:v>18</c:v>
                </c:pt>
                <c:pt idx="1320">
                  <c:v>19</c:v>
                </c:pt>
                <c:pt idx="1321">
                  <c:v>20</c:v>
                </c:pt>
                <c:pt idx="1322">
                  <c:v>21</c:v>
                </c:pt>
                <c:pt idx="1323">
                  <c:v>22</c:v>
                </c:pt>
                <c:pt idx="1324">
                  <c:v>23</c:v>
                </c:pt>
                <c:pt idx="1325">
                  <c:v>24</c:v>
                </c:pt>
                <c:pt idx="1326">
                  <c:v>25</c:v>
                </c:pt>
                <c:pt idx="1327">
                  <c:v>26</c:v>
                </c:pt>
                <c:pt idx="1328">
                  <c:v>27</c:v>
                </c:pt>
                <c:pt idx="1329">
                  <c:v>28</c:v>
                </c:pt>
                <c:pt idx="1330">
                  <c:v>29</c:v>
                </c:pt>
                <c:pt idx="1331">
                  <c:v>30</c:v>
                </c:pt>
                <c:pt idx="1332">
                  <c:v>31</c:v>
                </c:pt>
                <c:pt idx="1333">
                  <c:v>32</c:v>
                </c:pt>
                <c:pt idx="1334">
                  <c:v>33</c:v>
                </c:pt>
                <c:pt idx="1335">
                  <c:v>34</c:v>
                </c:pt>
                <c:pt idx="1336">
                  <c:v>35</c:v>
                </c:pt>
                <c:pt idx="1337">
                  <c:v>36</c:v>
                </c:pt>
                <c:pt idx="1338">
                  <c:v>37</c:v>
                </c:pt>
                <c:pt idx="1339">
                  <c:v>38</c:v>
                </c:pt>
                <c:pt idx="1340">
                  <c:v>39</c:v>
                </c:pt>
                <c:pt idx="1341">
                  <c:v>40</c:v>
                </c:pt>
                <c:pt idx="1342">
                  <c:v>41</c:v>
                </c:pt>
                <c:pt idx="1343">
                  <c:v>42</c:v>
                </c:pt>
                <c:pt idx="1344">
                  <c:v>43</c:v>
                </c:pt>
                <c:pt idx="1345">
                  <c:v>10</c:v>
                </c:pt>
                <c:pt idx="1346">
                  <c:v>11</c:v>
                </c:pt>
                <c:pt idx="1347">
                  <c:v>12</c:v>
                </c:pt>
                <c:pt idx="1348">
                  <c:v>13</c:v>
                </c:pt>
                <c:pt idx="1349">
                  <c:v>14</c:v>
                </c:pt>
                <c:pt idx="1350">
                  <c:v>15</c:v>
                </c:pt>
                <c:pt idx="1351">
                  <c:v>16</c:v>
                </c:pt>
                <c:pt idx="1352">
                  <c:v>17</c:v>
                </c:pt>
                <c:pt idx="1353">
                  <c:v>18</c:v>
                </c:pt>
                <c:pt idx="1354">
                  <c:v>19</c:v>
                </c:pt>
                <c:pt idx="1355">
                  <c:v>20</c:v>
                </c:pt>
                <c:pt idx="1356">
                  <c:v>21</c:v>
                </c:pt>
                <c:pt idx="1357">
                  <c:v>22</c:v>
                </c:pt>
                <c:pt idx="1358">
                  <c:v>23</c:v>
                </c:pt>
                <c:pt idx="1359">
                  <c:v>24</c:v>
                </c:pt>
                <c:pt idx="1360">
                  <c:v>25</c:v>
                </c:pt>
                <c:pt idx="1361">
                  <c:v>26</c:v>
                </c:pt>
                <c:pt idx="1362">
                  <c:v>27</c:v>
                </c:pt>
                <c:pt idx="1363">
                  <c:v>28</c:v>
                </c:pt>
                <c:pt idx="1364">
                  <c:v>29</c:v>
                </c:pt>
                <c:pt idx="1365">
                  <c:v>30</c:v>
                </c:pt>
                <c:pt idx="1366">
                  <c:v>31</c:v>
                </c:pt>
                <c:pt idx="1367">
                  <c:v>32</c:v>
                </c:pt>
                <c:pt idx="1368">
                  <c:v>33</c:v>
                </c:pt>
                <c:pt idx="1369">
                  <c:v>34</c:v>
                </c:pt>
                <c:pt idx="1370">
                  <c:v>35</c:v>
                </c:pt>
                <c:pt idx="1371">
                  <c:v>36</c:v>
                </c:pt>
                <c:pt idx="1372">
                  <c:v>37</c:v>
                </c:pt>
                <c:pt idx="1373">
                  <c:v>38</c:v>
                </c:pt>
                <c:pt idx="1374">
                  <c:v>39</c:v>
                </c:pt>
                <c:pt idx="1375">
                  <c:v>40</c:v>
                </c:pt>
                <c:pt idx="1376">
                  <c:v>41</c:v>
                </c:pt>
                <c:pt idx="1377">
                  <c:v>42</c:v>
                </c:pt>
                <c:pt idx="1378">
                  <c:v>10</c:v>
                </c:pt>
                <c:pt idx="1379">
                  <c:v>11</c:v>
                </c:pt>
                <c:pt idx="1380">
                  <c:v>12</c:v>
                </c:pt>
                <c:pt idx="1381">
                  <c:v>13</c:v>
                </c:pt>
                <c:pt idx="1382">
                  <c:v>14</c:v>
                </c:pt>
                <c:pt idx="1383">
                  <c:v>15</c:v>
                </c:pt>
                <c:pt idx="1384">
                  <c:v>16</c:v>
                </c:pt>
                <c:pt idx="1385">
                  <c:v>17</c:v>
                </c:pt>
                <c:pt idx="1386">
                  <c:v>18</c:v>
                </c:pt>
                <c:pt idx="1387">
                  <c:v>19</c:v>
                </c:pt>
                <c:pt idx="1388">
                  <c:v>20</c:v>
                </c:pt>
                <c:pt idx="1389">
                  <c:v>21</c:v>
                </c:pt>
                <c:pt idx="1390">
                  <c:v>22</c:v>
                </c:pt>
                <c:pt idx="1391">
                  <c:v>23</c:v>
                </c:pt>
                <c:pt idx="1392">
                  <c:v>24</c:v>
                </c:pt>
                <c:pt idx="1393">
                  <c:v>25</c:v>
                </c:pt>
                <c:pt idx="1394">
                  <c:v>26</c:v>
                </c:pt>
                <c:pt idx="1395">
                  <c:v>27</c:v>
                </c:pt>
                <c:pt idx="1396">
                  <c:v>28</c:v>
                </c:pt>
                <c:pt idx="1397">
                  <c:v>29</c:v>
                </c:pt>
                <c:pt idx="1398">
                  <c:v>30</c:v>
                </c:pt>
                <c:pt idx="1399">
                  <c:v>31</c:v>
                </c:pt>
                <c:pt idx="1400">
                  <c:v>32</c:v>
                </c:pt>
                <c:pt idx="1401">
                  <c:v>33</c:v>
                </c:pt>
                <c:pt idx="1402">
                  <c:v>34</c:v>
                </c:pt>
                <c:pt idx="1403">
                  <c:v>35</c:v>
                </c:pt>
                <c:pt idx="1404">
                  <c:v>36</c:v>
                </c:pt>
                <c:pt idx="1405">
                  <c:v>37</c:v>
                </c:pt>
                <c:pt idx="1406">
                  <c:v>38</c:v>
                </c:pt>
                <c:pt idx="1407">
                  <c:v>39</c:v>
                </c:pt>
                <c:pt idx="1408">
                  <c:v>40</c:v>
                </c:pt>
                <c:pt idx="1409">
                  <c:v>41</c:v>
                </c:pt>
                <c:pt idx="1410">
                  <c:v>10</c:v>
                </c:pt>
                <c:pt idx="1411">
                  <c:v>11</c:v>
                </c:pt>
                <c:pt idx="1412">
                  <c:v>12</c:v>
                </c:pt>
                <c:pt idx="1413">
                  <c:v>13</c:v>
                </c:pt>
                <c:pt idx="1414">
                  <c:v>14</c:v>
                </c:pt>
                <c:pt idx="1415">
                  <c:v>15</c:v>
                </c:pt>
                <c:pt idx="1416">
                  <c:v>16</c:v>
                </c:pt>
                <c:pt idx="1417">
                  <c:v>17</c:v>
                </c:pt>
                <c:pt idx="1418">
                  <c:v>18</c:v>
                </c:pt>
                <c:pt idx="1419">
                  <c:v>19</c:v>
                </c:pt>
                <c:pt idx="1420">
                  <c:v>20</c:v>
                </c:pt>
                <c:pt idx="1421">
                  <c:v>21</c:v>
                </c:pt>
                <c:pt idx="1422">
                  <c:v>22</c:v>
                </c:pt>
                <c:pt idx="1423">
                  <c:v>23</c:v>
                </c:pt>
                <c:pt idx="1424">
                  <c:v>24</c:v>
                </c:pt>
                <c:pt idx="1425">
                  <c:v>25</c:v>
                </c:pt>
                <c:pt idx="1426">
                  <c:v>26</c:v>
                </c:pt>
                <c:pt idx="1427">
                  <c:v>27</c:v>
                </c:pt>
                <c:pt idx="1428">
                  <c:v>28</c:v>
                </c:pt>
                <c:pt idx="1429">
                  <c:v>29</c:v>
                </c:pt>
                <c:pt idx="1430">
                  <c:v>30</c:v>
                </c:pt>
                <c:pt idx="1431">
                  <c:v>31</c:v>
                </c:pt>
                <c:pt idx="1432">
                  <c:v>32</c:v>
                </c:pt>
                <c:pt idx="1433">
                  <c:v>33</c:v>
                </c:pt>
                <c:pt idx="1434">
                  <c:v>34</c:v>
                </c:pt>
                <c:pt idx="1435">
                  <c:v>35</c:v>
                </c:pt>
                <c:pt idx="1436">
                  <c:v>36</c:v>
                </c:pt>
                <c:pt idx="1437">
                  <c:v>37</c:v>
                </c:pt>
                <c:pt idx="1438">
                  <c:v>38</c:v>
                </c:pt>
                <c:pt idx="1439">
                  <c:v>39</c:v>
                </c:pt>
                <c:pt idx="1440">
                  <c:v>40</c:v>
                </c:pt>
                <c:pt idx="1441">
                  <c:v>10</c:v>
                </c:pt>
                <c:pt idx="1442">
                  <c:v>11</c:v>
                </c:pt>
                <c:pt idx="1443">
                  <c:v>12</c:v>
                </c:pt>
                <c:pt idx="1444">
                  <c:v>13</c:v>
                </c:pt>
                <c:pt idx="1445">
                  <c:v>14</c:v>
                </c:pt>
                <c:pt idx="1446">
                  <c:v>15</c:v>
                </c:pt>
                <c:pt idx="1447">
                  <c:v>16</c:v>
                </c:pt>
                <c:pt idx="1448">
                  <c:v>17</c:v>
                </c:pt>
                <c:pt idx="1449">
                  <c:v>18</c:v>
                </c:pt>
                <c:pt idx="1450">
                  <c:v>19</c:v>
                </c:pt>
                <c:pt idx="1451">
                  <c:v>20</c:v>
                </c:pt>
                <c:pt idx="1452">
                  <c:v>21</c:v>
                </c:pt>
                <c:pt idx="1453">
                  <c:v>22</c:v>
                </c:pt>
                <c:pt idx="1454">
                  <c:v>23</c:v>
                </c:pt>
                <c:pt idx="1455">
                  <c:v>24</c:v>
                </c:pt>
                <c:pt idx="1456">
                  <c:v>25</c:v>
                </c:pt>
                <c:pt idx="1457">
                  <c:v>26</c:v>
                </c:pt>
                <c:pt idx="1458">
                  <c:v>27</c:v>
                </c:pt>
                <c:pt idx="1459">
                  <c:v>28</c:v>
                </c:pt>
                <c:pt idx="1460">
                  <c:v>29</c:v>
                </c:pt>
                <c:pt idx="1461">
                  <c:v>30</c:v>
                </c:pt>
                <c:pt idx="1462">
                  <c:v>31</c:v>
                </c:pt>
                <c:pt idx="1463">
                  <c:v>32</c:v>
                </c:pt>
                <c:pt idx="1464">
                  <c:v>33</c:v>
                </c:pt>
                <c:pt idx="1465">
                  <c:v>34</c:v>
                </c:pt>
                <c:pt idx="1466">
                  <c:v>35</c:v>
                </c:pt>
                <c:pt idx="1467">
                  <c:v>36</c:v>
                </c:pt>
                <c:pt idx="1468">
                  <c:v>37</c:v>
                </c:pt>
                <c:pt idx="1469">
                  <c:v>38</c:v>
                </c:pt>
                <c:pt idx="1470">
                  <c:v>39</c:v>
                </c:pt>
                <c:pt idx="1471">
                  <c:v>10</c:v>
                </c:pt>
                <c:pt idx="1472">
                  <c:v>11</c:v>
                </c:pt>
                <c:pt idx="1473">
                  <c:v>12</c:v>
                </c:pt>
                <c:pt idx="1474">
                  <c:v>13</c:v>
                </c:pt>
                <c:pt idx="1475">
                  <c:v>14</c:v>
                </c:pt>
                <c:pt idx="1476">
                  <c:v>15</c:v>
                </c:pt>
                <c:pt idx="1477">
                  <c:v>16</c:v>
                </c:pt>
                <c:pt idx="1478">
                  <c:v>17</c:v>
                </c:pt>
                <c:pt idx="1479">
                  <c:v>18</c:v>
                </c:pt>
                <c:pt idx="1480">
                  <c:v>19</c:v>
                </c:pt>
                <c:pt idx="1481">
                  <c:v>20</c:v>
                </c:pt>
                <c:pt idx="1482">
                  <c:v>21</c:v>
                </c:pt>
                <c:pt idx="1483">
                  <c:v>22</c:v>
                </c:pt>
                <c:pt idx="1484">
                  <c:v>23</c:v>
                </c:pt>
                <c:pt idx="1485">
                  <c:v>24</c:v>
                </c:pt>
                <c:pt idx="1486">
                  <c:v>25</c:v>
                </c:pt>
                <c:pt idx="1487">
                  <c:v>26</c:v>
                </c:pt>
                <c:pt idx="1488">
                  <c:v>27</c:v>
                </c:pt>
                <c:pt idx="1489">
                  <c:v>28</c:v>
                </c:pt>
                <c:pt idx="1490">
                  <c:v>29</c:v>
                </c:pt>
                <c:pt idx="1491">
                  <c:v>30</c:v>
                </c:pt>
                <c:pt idx="1492">
                  <c:v>31</c:v>
                </c:pt>
                <c:pt idx="1493">
                  <c:v>32</c:v>
                </c:pt>
                <c:pt idx="1494">
                  <c:v>33</c:v>
                </c:pt>
                <c:pt idx="1495">
                  <c:v>34</c:v>
                </c:pt>
                <c:pt idx="1496">
                  <c:v>35</c:v>
                </c:pt>
                <c:pt idx="1497">
                  <c:v>36</c:v>
                </c:pt>
                <c:pt idx="1498">
                  <c:v>37</c:v>
                </c:pt>
                <c:pt idx="1499">
                  <c:v>38</c:v>
                </c:pt>
                <c:pt idx="1500">
                  <c:v>10</c:v>
                </c:pt>
                <c:pt idx="1501">
                  <c:v>11</c:v>
                </c:pt>
                <c:pt idx="1502">
                  <c:v>12</c:v>
                </c:pt>
                <c:pt idx="1503">
                  <c:v>13</c:v>
                </c:pt>
                <c:pt idx="1504">
                  <c:v>14</c:v>
                </c:pt>
                <c:pt idx="1505">
                  <c:v>15</c:v>
                </c:pt>
                <c:pt idx="1506">
                  <c:v>16</c:v>
                </c:pt>
                <c:pt idx="1507">
                  <c:v>17</c:v>
                </c:pt>
                <c:pt idx="1508">
                  <c:v>18</c:v>
                </c:pt>
                <c:pt idx="1509">
                  <c:v>19</c:v>
                </c:pt>
                <c:pt idx="1510">
                  <c:v>20</c:v>
                </c:pt>
                <c:pt idx="1511">
                  <c:v>21</c:v>
                </c:pt>
                <c:pt idx="1512">
                  <c:v>22</c:v>
                </c:pt>
                <c:pt idx="1513">
                  <c:v>23</c:v>
                </c:pt>
                <c:pt idx="1514">
                  <c:v>24</c:v>
                </c:pt>
                <c:pt idx="1515">
                  <c:v>25</c:v>
                </c:pt>
                <c:pt idx="1516">
                  <c:v>26</c:v>
                </c:pt>
                <c:pt idx="1517">
                  <c:v>27</c:v>
                </c:pt>
                <c:pt idx="1518">
                  <c:v>28</c:v>
                </c:pt>
                <c:pt idx="1519">
                  <c:v>29</c:v>
                </c:pt>
                <c:pt idx="1520">
                  <c:v>30</c:v>
                </c:pt>
                <c:pt idx="1521">
                  <c:v>31</c:v>
                </c:pt>
                <c:pt idx="1522">
                  <c:v>32</c:v>
                </c:pt>
                <c:pt idx="1523">
                  <c:v>33</c:v>
                </c:pt>
                <c:pt idx="1524">
                  <c:v>34</c:v>
                </c:pt>
                <c:pt idx="1525">
                  <c:v>35</c:v>
                </c:pt>
                <c:pt idx="1526">
                  <c:v>36</c:v>
                </c:pt>
                <c:pt idx="1527">
                  <c:v>37</c:v>
                </c:pt>
                <c:pt idx="1528">
                  <c:v>10</c:v>
                </c:pt>
                <c:pt idx="1529">
                  <c:v>11</c:v>
                </c:pt>
                <c:pt idx="1530">
                  <c:v>12</c:v>
                </c:pt>
                <c:pt idx="1531">
                  <c:v>13</c:v>
                </c:pt>
                <c:pt idx="1532">
                  <c:v>14</c:v>
                </c:pt>
                <c:pt idx="1533">
                  <c:v>15</c:v>
                </c:pt>
                <c:pt idx="1534">
                  <c:v>16</c:v>
                </c:pt>
                <c:pt idx="1535">
                  <c:v>17</c:v>
                </c:pt>
                <c:pt idx="1536">
                  <c:v>18</c:v>
                </c:pt>
                <c:pt idx="1537">
                  <c:v>19</c:v>
                </c:pt>
                <c:pt idx="1538">
                  <c:v>20</c:v>
                </c:pt>
                <c:pt idx="1539">
                  <c:v>21</c:v>
                </c:pt>
                <c:pt idx="1540">
                  <c:v>22</c:v>
                </c:pt>
                <c:pt idx="1541">
                  <c:v>23</c:v>
                </c:pt>
                <c:pt idx="1542">
                  <c:v>24</c:v>
                </c:pt>
                <c:pt idx="1543">
                  <c:v>25</c:v>
                </c:pt>
                <c:pt idx="1544">
                  <c:v>26</c:v>
                </c:pt>
                <c:pt idx="1545">
                  <c:v>27</c:v>
                </c:pt>
                <c:pt idx="1546">
                  <c:v>28</c:v>
                </c:pt>
                <c:pt idx="1547">
                  <c:v>29</c:v>
                </c:pt>
                <c:pt idx="1548">
                  <c:v>30</c:v>
                </c:pt>
                <c:pt idx="1549">
                  <c:v>31</c:v>
                </c:pt>
                <c:pt idx="1550">
                  <c:v>32</c:v>
                </c:pt>
                <c:pt idx="1551">
                  <c:v>33</c:v>
                </c:pt>
                <c:pt idx="1552">
                  <c:v>34</c:v>
                </c:pt>
                <c:pt idx="1553">
                  <c:v>35</c:v>
                </c:pt>
                <c:pt idx="1554">
                  <c:v>36</c:v>
                </c:pt>
                <c:pt idx="1555">
                  <c:v>10</c:v>
                </c:pt>
                <c:pt idx="1556">
                  <c:v>11</c:v>
                </c:pt>
                <c:pt idx="1557">
                  <c:v>12</c:v>
                </c:pt>
                <c:pt idx="1558">
                  <c:v>13</c:v>
                </c:pt>
                <c:pt idx="1559">
                  <c:v>14</c:v>
                </c:pt>
                <c:pt idx="1560">
                  <c:v>15</c:v>
                </c:pt>
                <c:pt idx="1561">
                  <c:v>16</c:v>
                </c:pt>
                <c:pt idx="1562">
                  <c:v>17</c:v>
                </c:pt>
                <c:pt idx="1563">
                  <c:v>18</c:v>
                </c:pt>
                <c:pt idx="1564">
                  <c:v>19</c:v>
                </c:pt>
                <c:pt idx="1565">
                  <c:v>20</c:v>
                </c:pt>
                <c:pt idx="1566">
                  <c:v>21</c:v>
                </c:pt>
                <c:pt idx="1567">
                  <c:v>22</c:v>
                </c:pt>
                <c:pt idx="1568">
                  <c:v>23</c:v>
                </c:pt>
                <c:pt idx="1569">
                  <c:v>24</c:v>
                </c:pt>
                <c:pt idx="1570">
                  <c:v>25</c:v>
                </c:pt>
                <c:pt idx="1571">
                  <c:v>26</c:v>
                </c:pt>
                <c:pt idx="1572">
                  <c:v>27</c:v>
                </c:pt>
                <c:pt idx="1573">
                  <c:v>28</c:v>
                </c:pt>
                <c:pt idx="1574">
                  <c:v>29</c:v>
                </c:pt>
                <c:pt idx="1575">
                  <c:v>30</c:v>
                </c:pt>
                <c:pt idx="1576">
                  <c:v>31</c:v>
                </c:pt>
                <c:pt idx="1577">
                  <c:v>32</c:v>
                </c:pt>
                <c:pt idx="1578">
                  <c:v>33</c:v>
                </c:pt>
                <c:pt idx="1579">
                  <c:v>34</c:v>
                </c:pt>
                <c:pt idx="1580">
                  <c:v>35</c:v>
                </c:pt>
                <c:pt idx="1581">
                  <c:v>1000</c:v>
                </c:pt>
              </c:numCache>
            </c:numRef>
          </c:yVal>
          <c:bubbleSize>
            <c:numRef>
              <c:f>卡片数值分配统计!$Z$3:$Z$1584</c:f>
              <c:numCache>
                <c:formatCode>General</c:formatCode>
                <c:ptCount val="15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1</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1</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1</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3</c:v>
                </c:pt>
                <c:pt idx="370">
                  <c:v>0</c:v>
                </c:pt>
                <c:pt idx="371">
                  <c:v>1</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5</c:v>
                </c:pt>
                <c:pt idx="555">
                  <c:v>0</c:v>
                </c:pt>
                <c:pt idx="556">
                  <c:v>0</c:v>
                </c:pt>
                <c:pt idx="557">
                  <c:v>0</c:v>
                </c:pt>
                <c:pt idx="558">
                  <c:v>0</c:v>
                </c:pt>
                <c:pt idx="559">
                  <c:v>1</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1</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1</c:v>
                </c:pt>
                <c:pt idx="634">
                  <c:v>0</c:v>
                </c:pt>
                <c:pt idx="635">
                  <c:v>11</c:v>
                </c:pt>
                <c:pt idx="636">
                  <c:v>1</c:v>
                </c:pt>
                <c:pt idx="637">
                  <c:v>0</c:v>
                </c:pt>
                <c:pt idx="638">
                  <c:v>0</c:v>
                </c:pt>
                <c:pt idx="639">
                  <c:v>0</c:v>
                </c:pt>
                <c:pt idx="640">
                  <c:v>12</c:v>
                </c:pt>
                <c:pt idx="641">
                  <c:v>0</c:v>
                </c:pt>
                <c:pt idx="642">
                  <c:v>0</c:v>
                </c:pt>
                <c:pt idx="643">
                  <c:v>1</c:v>
                </c:pt>
                <c:pt idx="644">
                  <c:v>0</c:v>
                </c:pt>
                <c:pt idx="645">
                  <c:v>3</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2</c:v>
                </c:pt>
                <c:pt idx="673">
                  <c:v>0</c:v>
                </c:pt>
                <c:pt idx="674">
                  <c:v>1</c:v>
                </c:pt>
                <c:pt idx="675">
                  <c:v>0</c:v>
                </c:pt>
                <c:pt idx="676">
                  <c:v>0</c:v>
                </c:pt>
                <c:pt idx="677">
                  <c:v>1</c:v>
                </c:pt>
                <c:pt idx="678">
                  <c:v>2</c:v>
                </c:pt>
                <c:pt idx="679">
                  <c:v>0</c:v>
                </c:pt>
                <c:pt idx="680">
                  <c:v>1</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3</c:v>
                </c:pt>
                <c:pt idx="717">
                  <c:v>1</c:v>
                </c:pt>
                <c:pt idx="718">
                  <c:v>3</c:v>
                </c:pt>
                <c:pt idx="719">
                  <c:v>2</c:v>
                </c:pt>
                <c:pt idx="720">
                  <c:v>10</c:v>
                </c:pt>
                <c:pt idx="721">
                  <c:v>0</c:v>
                </c:pt>
                <c:pt idx="722">
                  <c:v>1</c:v>
                </c:pt>
                <c:pt idx="723">
                  <c:v>1</c:v>
                </c:pt>
                <c:pt idx="724">
                  <c:v>0</c:v>
                </c:pt>
                <c:pt idx="725">
                  <c:v>0</c:v>
                </c:pt>
                <c:pt idx="726">
                  <c:v>0</c:v>
                </c:pt>
                <c:pt idx="727">
                  <c:v>2</c:v>
                </c:pt>
                <c:pt idx="728">
                  <c:v>1</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26</c:v>
                </c:pt>
                <c:pt idx="759">
                  <c:v>1</c:v>
                </c:pt>
                <c:pt idx="760">
                  <c:v>1</c:v>
                </c:pt>
                <c:pt idx="761">
                  <c:v>4</c:v>
                </c:pt>
                <c:pt idx="762">
                  <c:v>1</c:v>
                </c:pt>
                <c:pt idx="763">
                  <c:v>1</c:v>
                </c:pt>
                <c:pt idx="764">
                  <c:v>1</c:v>
                </c:pt>
                <c:pt idx="765">
                  <c:v>2</c:v>
                </c:pt>
                <c:pt idx="766">
                  <c:v>3</c:v>
                </c:pt>
                <c:pt idx="767">
                  <c:v>0</c:v>
                </c:pt>
                <c:pt idx="768">
                  <c:v>0</c:v>
                </c:pt>
                <c:pt idx="769">
                  <c:v>3</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1</c:v>
                </c:pt>
                <c:pt idx="809">
                  <c:v>5</c:v>
                </c:pt>
                <c:pt idx="810">
                  <c:v>6</c:v>
                </c:pt>
                <c:pt idx="811">
                  <c:v>1</c:v>
                </c:pt>
                <c:pt idx="812">
                  <c:v>0</c:v>
                </c:pt>
                <c:pt idx="813">
                  <c:v>0</c:v>
                </c:pt>
                <c:pt idx="814">
                  <c:v>1</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5</c:v>
                </c:pt>
                <c:pt idx="852">
                  <c:v>3</c:v>
                </c:pt>
                <c:pt idx="853">
                  <c:v>4</c:v>
                </c:pt>
                <c:pt idx="854">
                  <c:v>1</c:v>
                </c:pt>
                <c:pt idx="855">
                  <c:v>1</c:v>
                </c:pt>
                <c:pt idx="856">
                  <c:v>1</c:v>
                </c:pt>
                <c:pt idx="857">
                  <c:v>4</c:v>
                </c:pt>
                <c:pt idx="858">
                  <c:v>4</c:v>
                </c:pt>
                <c:pt idx="859">
                  <c:v>2</c:v>
                </c:pt>
                <c:pt idx="860">
                  <c:v>6</c:v>
                </c:pt>
                <c:pt idx="861">
                  <c:v>0</c:v>
                </c:pt>
                <c:pt idx="862">
                  <c:v>1</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2</c:v>
                </c:pt>
                <c:pt idx="900">
                  <c:v>0</c:v>
                </c:pt>
                <c:pt idx="901">
                  <c:v>1</c:v>
                </c:pt>
                <c:pt idx="902">
                  <c:v>4</c:v>
                </c:pt>
                <c:pt idx="903">
                  <c:v>5</c:v>
                </c:pt>
                <c:pt idx="904">
                  <c:v>1</c:v>
                </c:pt>
                <c:pt idx="905">
                  <c:v>1</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3</c:v>
                </c:pt>
                <c:pt idx="945">
                  <c:v>1</c:v>
                </c:pt>
                <c:pt idx="946">
                  <c:v>5</c:v>
                </c:pt>
                <c:pt idx="947">
                  <c:v>1</c:v>
                </c:pt>
                <c:pt idx="948">
                  <c:v>1</c:v>
                </c:pt>
                <c:pt idx="949">
                  <c:v>1</c:v>
                </c:pt>
                <c:pt idx="950">
                  <c:v>0</c:v>
                </c:pt>
                <c:pt idx="951">
                  <c:v>3</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3</c:v>
                </c:pt>
                <c:pt idx="990">
                  <c:v>5</c:v>
                </c:pt>
                <c:pt idx="991">
                  <c:v>1</c:v>
                </c:pt>
                <c:pt idx="992">
                  <c:v>1</c:v>
                </c:pt>
                <c:pt idx="993">
                  <c:v>1</c:v>
                </c:pt>
                <c:pt idx="994">
                  <c:v>0</c:v>
                </c:pt>
                <c:pt idx="995">
                  <c:v>0</c:v>
                </c:pt>
                <c:pt idx="996">
                  <c:v>0</c:v>
                </c:pt>
                <c:pt idx="997">
                  <c:v>0</c:v>
                </c:pt>
                <c:pt idx="998">
                  <c:v>0</c:v>
                </c:pt>
                <c:pt idx="999">
                  <c:v>1</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2</c:v>
                </c:pt>
                <c:pt idx="1034">
                  <c:v>0</c:v>
                </c:pt>
                <c:pt idx="1035">
                  <c:v>1</c:v>
                </c:pt>
                <c:pt idx="1036">
                  <c:v>1</c:v>
                </c:pt>
                <c:pt idx="1037">
                  <c:v>2</c:v>
                </c:pt>
                <c:pt idx="1038">
                  <c:v>4</c:v>
                </c:pt>
                <c:pt idx="1039">
                  <c:v>2</c:v>
                </c:pt>
                <c:pt idx="1040">
                  <c:v>1</c:v>
                </c:pt>
                <c:pt idx="1041">
                  <c:v>1</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5</c:v>
                </c:pt>
                <c:pt idx="1077">
                  <c:v>1</c:v>
                </c:pt>
                <c:pt idx="1078">
                  <c:v>0</c:v>
                </c:pt>
                <c:pt idx="1079">
                  <c:v>2</c:v>
                </c:pt>
                <c:pt idx="1080">
                  <c:v>0</c:v>
                </c:pt>
                <c:pt idx="1081">
                  <c:v>0</c:v>
                </c:pt>
                <c:pt idx="1082">
                  <c:v>1</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3</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numCache>
            </c:numRef>
          </c:bubbleSize>
          <c:bubble3D val="0"/>
          <c:extLst>
            <c:ext xmlns:c16="http://schemas.microsoft.com/office/drawing/2014/chart" uri="{C3380CC4-5D6E-409C-BE32-E72D297353CC}">
              <c16:uniqueId val="{00000003-77F8-4A83-847D-91024697837A}"/>
            </c:ext>
          </c:extLst>
        </c:ser>
        <c:dLbls>
          <c:dLblPos val="ctr"/>
          <c:showLegendKey val="0"/>
          <c:showVal val="1"/>
          <c:showCatName val="0"/>
          <c:showSerName val="0"/>
          <c:showPercent val="0"/>
          <c:showBubbleSize val="0"/>
        </c:dLbls>
        <c:bubbleScale val="15"/>
        <c:showNegBubbles val="0"/>
        <c:axId val="915342095"/>
        <c:axId val="707395807"/>
      </c:bubbleChart>
      <c:valAx>
        <c:axId val="915342095"/>
        <c:scaling>
          <c:orientation val="minMax"/>
          <c:max val="60"/>
          <c:min val="1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07395807"/>
        <c:crosses val="autoZero"/>
        <c:crossBetween val="midCat"/>
      </c:valAx>
      <c:valAx>
        <c:axId val="707395807"/>
        <c:scaling>
          <c:orientation val="minMax"/>
          <c:max val="60"/>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153420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19050</xdr:colOff>
      <xdr:row>66</xdr:row>
      <xdr:rowOff>38099</xdr:rowOff>
    </xdr:to>
    <xdr:graphicFrame macro="">
      <xdr:nvGraphicFramePr>
        <xdr:cNvPr id="2" name="图表 1">
          <a:extLst>
            <a:ext uri="{FF2B5EF4-FFF2-40B4-BE49-F238E27FC236}">
              <a16:creationId xmlns:a16="http://schemas.microsoft.com/office/drawing/2014/main" id="{B79000B7-9B59-40E3-ABC9-B205F406FE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61913</xdr:colOff>
      <xdr:row>0</xdr:row>
      <xdr:rowOff>0</xdr:rowOff>
    </xdr:from>
    <xdr:to>
      <xdr:col>14</xdr:col>
      <xdr:colOff>438151</xdr:colOff>
      <xdr:row>46</xdr:row>
      <xdr:rowOff>180975</xdr:rowOff>
    </xdr:to>
    <xdr:graphicFrame macro="">
      <xdr:nvGraphicFramePr>
        <xdr:cNvPr id="3" name="图表 2">
          <a:extLst>
            <a:ext uri="{FF2B5EF4-FFF2-40B4-BE49-F238E27FC236}">
              <a16:creationId xmlns:a16="http://schemas.microsoft.com/office/drawing/2014/main" id="{6BE7062A-3639-4557-A8F2-C704B1A8C1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FN1001"/>
  <sheetViews>
    <sheetView zoomScale="70" zoomScaleNormal="70" workbookViewId="0">
      <pane xSplit="16" ySplit="3" topLeftCell="Q584" activePane="bottomRight" state="frozen"/>
      <selection pane="topRight" activeCell="O1" sqref="O1"/>
      <selection pane="bottomLeft" activeCell="A4" sqref="A4"/>
      <selection pane="bottomRight" activeCell="P621" sqref="P621"/>
    </sheetView>
  </sheetViews>
  <sheetFormatPr defaultColWidth="9" defaultRowHeight="16.5" customHeight="1"/>
  <cols>
    <col min="1" max="1" width="0.375" style="406" customWidth="1"/>
    <col min="2" max="2" width="8" style="395" customWidth="1"/>
    <col min="3" max="3" width="5.5" style="395" customWidth="1"/>
    <col min="4" max="4" width="5.625" style="395" customWidth="1"/>
    <col min="5" max="5" width="12.25" style="395" customWidth="1"/>
    <col min="6" max="6" width="5.5" style="395" customWidth="1"/>
    <col min="7" max="7" width="8" style="396" customWidth="1"/>
    <col min="8" max="8" width="5.5" style="396" customWidth="1"/>
    <col min="9" max="9" width="5.5" style="396" hidden="1" customWidth="1"/>
    <col min="10" max="10" width="6.625" style="397" hidden="1" customWidth="1"/>
    <col min="11" max="11" width="11.5" style="397" hidden="1" customWidth="1"/>
    <col min="12" max="12" width="9" style="396" customWidth="1"/>
    <col min="13" max="13" width="14.25" style="396" customWidth="1"/>
    <col min="14" max="14" width="6.25" style="396" customWidth="1"/>
    <col min="15" max="16" width="5.5" style="396" customWidth="1"/>
    <col min="17" max="17" width="8.875" style="397" bestFit="1" customWidth="1"/>
    <col min="18" max="18" width="9.375" style="398" bestFit="1" customWidth="1"/>
    <col min="19" max="19" width="8.875" style="397" bestFit="1" customWidth="1"/>
    <col min="20" max="20" width="9.375" style="398" bestFit="1" customWidth="1"/>
    <col min="21" max="21" width="9.375" style="399" bestFit="1" customWidth="1"/>
    <col min="22" max="22" width="10.125" style="397" customWidth="1"/>
    <col min="23" max="23" width="8.75" style="397" customWidth="1"/>
    <col min="24" max="24" width="8" style="398" bestFit="1" customWidth="1"/>
    <col min="25" max="25" width="7.5" style="400" hidden="1" customWidth="1"/>
    <col min="26" max="26" width="8" style="399" bestFit="1" customWidth="1"/>
    <col min="27" max="27" width="8.875" style="400" bestFit="1" customWidth="1"/>
    <col min="28" max="28" width="8.75" style="400" customWidth="1"/>
    <col min="29" max="29" width="8" style="398" bestFit="1" customWidth="1"/>
    <col min="30" max="30" width="9" style="401" bestFit="1" customWidth="1"/>
    <col min="31" max="31" width="9.375" style="402" bestFit="1" customWidth="1"/>
    <col min="32" max="32" width="8.875" style="520" bestFit="1" customWidth="1"/>
    <col min="33" max="33" width="10.125" style="400" customWidth="1"/>
    <col min="34" max="34" width="7.375" style="400" customWidth="1"/>
    <col min="35" max="36" width="10.125" style="400" customWidth="1"/>
    <col min="37" max="40" width="8.875" style="400" bestFit="1" customWidth="1"/>
    <col min="41" max="41" width="5.25" style="396" customWidth="1"/>
    <col min="42" max="42" width="8" style="555" bestFit="1" customWidth="1"/>
    <col min="43" max="45" width="8.875" style="400" bestFit="1" customWidth="1"/>
    <col min="46" max="46" width="5.25" style="396" customWidth="1"/>
    <col min="47" max="47" width="9" style="398" customWidth="1"/>
    <col min="48" max="48" width="6.75" style="402" bestFit="1" customWidth="1"/>
    <col min="49" max="49" width="8.875" style="400" bestFit="1" customWidth="1"/>
    <col min="50" max="50" width="7.5" style="400" customWidth="1"/>
    <col min="51" max="55" width="8.875" style="400" bestFit="1" customWidth="1"/>
    <col min="56" max="56" width="8.875" style="398" customWidth="1"/>
    <col min="57" max="57" width="6.75" style="398" customWidth="1"/>
    <col min="58" max="59" width="9.375" style="520" customWidth="1"/>
    <col min="60" max="60" width="8.875" style="400" bestFit="1" customWidth="1"/>
    <col min="61" max="61" width="8.5" style="400" bestFit="1" customWidth="1"/>
    <col min="62" max="62" width="7.25" style="397" customWidth="1"/>
    <col min="63" max="65" width="8.5" style="400" bestFit="1" customWidth="1"/>
    <col min="66" max="66" width="5.25" style="396" customWidth="1"/>
    <col min="67" max="67" width="7.5" style="400" bestFit="1" customWidth="1"/>
    <col min="68" max="68" width="7.25" style="400" customWidth="1"/>
    <col min="69" max="69" width="5.25" style="396" customWidth="1"/>
    <col min="70" max="70" width="8.25" style="396" bestFit="1" customWidth="1"/>
    <col min="71" max="71" width="8" style="398" bestFit="1" customWidth="1"/>
    <col min="72" max="72" width="7.5" style="400" bestFit="1" customWidth="1"/>
    <col min="73" max="73" width="7.25" style="400" customWidth="1"/>
    <col min="74" max="74" width="7.5" style="400" bestFit="1" customWidth="1"/>
    <col min="75" max="75" width="6.25" style="403" customWidth="1"/>
    <col min="76" max="77" width="7.5" style="400" bestFit="1" customWidth="1"/>
    <col min="78" max="78" width="5.25" style="396" customWidth="1"/>
    <col min="79" max="79" width="8.25" style="396" bestFit="1" customWidth="1"/>
    <col min="80" max="80" width="6.75" style="398" bestFit="1" customWidth="1"/>
    <col min="81" max="81" width="7.5" style="400" bestFit="1" customWidth="1"/>
    <col min="82" max="82" width="7.25" style="400" customWidth="1"/>
    <col min="83" max="83" width="7.5" style="400" bestFit="1" customWidth="1"/>
    <col min="84" max="84" width="6.25" style="403" customWidth="1"/>
    <col min="85" max="86" width="7.5" style="400" bestFit="1" customWidth="1"/>
    <col min="87" max="87" width="10" style="396" bestFit="1" customWidth="1"/>
    <col min="88" max="88" width="7.5" style="404" bestFit="1" customWidth="1"/>
    <col min="89" max="89" width="8.375" style="396" customWidth="1"/>
    <col min="90" max="90" width="8.25" style="396" bestFit="1" customWidth="1"/>
    <col min="91" max="91" width="9.375" style="398" bestFit="1" customWidth="1"/>
    <col min="92" max="92" width="6.75" style="396" bestFit="1" customWidth="1"/>
    <col min="93" max="93" width="6.25" style="396" customWidth="1"/>
    <col min="94" max="96" width="9.375" style="397" bestFit="1" customWidth="1"/>
    <col min="97" max="97" width="8" style="397" bestFit="1" customWidth="1"/>
    <col min="98" max="98" width="8" style="402" bestFit="1" customWidth="1"/>
    <col min="99" max="103" width="7.5" style="400" bestFit="1" customWidth="1"/>
    <col min="104" max="104" width="10" style="396" bestFit="1" customWidth="1"/>
    <col min="105" max="105" width="7.5" style="404" bestFit="1" customWidth="1"/>
    <col min="106" max="106" width="8.5" style="396" customWidth="1"/>
    <col min="107" max="107" width="8.25" style="396" bestFit="1" customWidth="1"/>
    <col min="108" max="108" width="9.375" style="398" bestFit="1" customWidth="1"/>
    <col min="109" max="109" width="6.75" style="396" bestFit="1" customWidth="1"/>
    <col min="110" max="110" width="6.25" style="396" customWidth="1"/>
    <col min="111" max="113" width="9.375" style="397" bestFit="1" customWidth="1"/>
    <col min="114" max="114" width="8" style="397" bestFit="1" customWidth="1"/>
    <col min="115" max="115" width="8" style="402" bestFit="1" customWidth="1"/>
    <col min="116" max="120" width="7.5" style="400" bestFit="1" customWidth="1"/>
    <col min="121" max="121" width="8.375" style="396" bestFit="1" customWidth="1"/>
    <col min="122" max="122" width="6.375" style="404" bestFit="1" customWidth="1"/>
    <col min="123" max="123" width="5.25" style="396" customWidth="1"/>
    <col min="124" max="124" width="8.25" style="396" bestFit="1" customWidth="1"/>
    <col min="125" max="125" width="8" style="396" bestFit="1" customWidth="1"/>
    <col min="126" max="126" width="8" style="398" customWidth="1"/>
    <col min="127" max="128" width="8" style="398" hidden="1" customWidth="1"/>
    <col min="129" max="130" width="8" style="397" bestFit="1" customWidth="1"/>
    <col min="131" max="131" width="6.75" style="405" bestFit="1" customWidth="1"/>
    <col min="132" max="132" width="6.75" style="399" bestFit="1" customWidth="1"/>
    <col min="133" max="133" width="8.75" style="400" customWidth="1"/>
    <col min="134" max="134" width="7.5" style="400" customWidth="1"/>
    <col min="135" max="135" width="8.75" style="400" customWidth="1"/>
    <col min="136" max="136" width="8.375" style="400" bestFit="1" customWidth="1"/>
    <col min="137" max="137" width="6.375" style="400" bestFit="1" customWidth="1"/>
    <col min="138" max="138" width="5.25" style="400" customWidth="1"/>
    <col min="139" max="139" width="8.25" style="400" bestFit="1" customWidth="1"/>
    <col min="140" max="141" width="8" style="400" bestFit="1" customWidth="1"/>
    <col min="142" max="143" width="8" style="400" hidden="1" customWidth="1"/>
    <col min="144" max="145" width="8" style="400" bestFit="1" customWidth="1"/>
    <col min="146" max="147" width="6.75" style="400" bestFit="1" customWidth="1"/>
    <col min="148" max="148" width="8.75" style="400" customWidth="1"/>
    <col min="149" max="149" width="7.5" style="400" customWidth="1"/>
    <col min="150" max="150" width="8.75" style="400" customWidth="1"/>
    <col min="151" max="151" width="9" style="397"/>
    <col min="152" max="152" width="33.375" style="397" bestFit="1" customWidth="1"/>
    <col min="153" max="153" width="6.5" style="397" customWidth="1"/>
    <col min="154" max="154" width="7.875" style="397" customWidth="1"/>
    <col min="155" max="155" width="2.875" style="397" customWidth="1"/>
    <col min="156" max="156" width="33.375" style="397" bestFit="1" customWidth="1"/>
    <col min="157" max="157" width="6.5" style="397" customWidth="1"/>
    <col min="158" max="158" width="7.875" style="397" customWidth="1"/>
    <col min="159" max="159" width="2.875" style="397" customWidth="1"/>
    <col min="160" max="160" width="24.5" style="397" customWidth="1"/>
    <col min="161" max="161" width="6.5" style="397" customWidth="1"/>
    <col min="162" max="162" width="7.875" style="397" customWidth="1"/>
    <col min="163" max="163" width="2.875" style="397" customWidth="1"/>
    <col min="164" max="164" width="24.5" style="397" customWidth="1"/>
    <col min="165" max="166" width="6.5" style="397" customWidth="1"/>
    <col min="167" max="167" width="2.875" style="406" customWidth="1"/>
    <col min="168" max="168" width="34.5" style="406" customWidth="1"/>
    <col min="169" max="169" width="6.5" style="406" customWidth="1"/>
    <col min="170" max="170" width="7.875" style="406" customWidth="1"/>
    <col min="171" max="16384" width="9" style="406"/>
  </cols>
  <sheetData>
    <row r="1" spans="1:170" s="527" customFormat="1" ht="2.25" customHeight="1" thickBot="1">
      <c r="B1" s="523"/>
      <c r="C1" s="523"/>
      <c r="D1" s="523"/>
      <c r="E1" s="523"/>
      <c r="F1" s="523"/>
      <c r="G1" s="524"/>
      <c r="H1" s="524"/>
      <c r="I1" s="524"/>
      <c r="J1" s="525"/>
      <c r="K1" s="525"/>
      <c r="L1" s="524"/>
      <c r="M1" s="524"/>
      <c r="N1" s="524"/>
      <c r="O1" s="524"/>
      <c r="P1" s="524"/>
      <c r="Q1" s="525"/>
      <c r="R1" s="525"/>
      <c r="S1" s="525"/>
      <c r="T1" s="525"/>
      <c r="U1" s="525"/>
      <c r="V1" s="525"/>
      <c r="W1" s="525"/>
      <c r="X1" s="525"/>
      <c r="Y1" s="525"/>
      <c r="Z1" s="525"/>
      <c r="AA1" s="525"/>
      <c r="AB1" s="525"/>
      <c r="AC1" s="525"/>
      <c r="AD1" s="525"/>
      <c r="AE1" s="525"/>
      <c r="AF1" s="525"/>
      <c r="AG1" s="525"/>
      <c r="AH1" s="525"/>
      <c r="AI1" s="525"/>
      <c r="AJ1" s="525"/>
      <c r="AK1" s="525"/>
      <c r="AL1" s="525"/>
      <c r="AM1" s="525"/>
      <c r="AN1" s="525"/>
      <c r="AO1" s="524"/>
      <c r="AP1" s="555"/>
      <c r="AQ1" s="525"/>
      <c r="AR1" s="525"/>
      <c r="AS1" s="525"/>
      <c r="AT1" s="524"/>
      <c r="AU1" s="525"/>
      <c r="AV1" s="525"/>
      <c r="AW1" s="525"/>
      <c r="AX1" s="525"/>
      <c r="AY1" s="525"/>
      <c r="AZ1" s="400"/>
      <c r="BA1" s="525"/>
      <c r="BB1" s="525"/>
      <c r="BC1" s="525"/>
      <c r="BD1" s="525"/>
      <c r="BE1" s="525"/>
      <c r="BF1" s="520"/>
      <c r="BG1" s="520"/>
      <c r="BH1" s="525"/>
      <c r="BI1" s="525"/>
      <c r="BJ1" s="525"/>
      <c r="BK1" s="525"/>
      <c r="BL1" s="525"/>
      <c r="BM1" s="525"/>
      <c r="BN1" s="524"/>
      <c r="BO1" s="525"/>
      <c r="BP1" s="525"/>
      <c r="BQ1" s="524"/>
      <c r="BR1" s="524"/>
      <c r="BS1" s="525"/>
      <c r="BT1" s="525"/>
      <c r="BU1" s="525"/>
      <c r="BV1" s="525"/>
      <c r="BW1" s="525"/>
      <c r="BX1" s="525"/>
      <c r="BY1" s="525"/>
      <c r="BZ1" s="524"/>
      <c r="CA1" s="524"/>
      <c r="CB1" s="525"/>
      <c r="CC1" s="525"/>
      <c r="CD1" s="525"/>
      <c r="CE1" s="525"/>
      <c r="CF1" s="525"/>
      <c r="CG1" s="525"/>
      <c r="CH1" s="525"/>
      <c r="CI1" s="524"/>
      <c r="CJ1" s="524"/>
      <c r="CK1" s="524"/>
      <c r="CL1" s="524"/>
      <c r="CM1" s="525"/>
      <c r="CN1" s="524"/>
      <c r="CO1" s="524"/>
      <c r="CP1" s="525"/>
      <c r="CQ1" s="525"/>
      <c r="CR1" s="525"/>
      <c r="CS1" s="525"/>
      <c r="CT1" s="525"/>
      <c r="CU1" s="525"/>
      <c r="CV1" s="525"/>
      <c r="CW1" s="525"/>
      <c r="CX1" s="525"/>
      <c r="CY1" s="525"/>
      <c r="CZ1" s="524"/>
      <c r="DA1" s="524"/>
      <c r="DB1" s="524"/>
      <c r="DC1" s="524"/>
      <c r="DD1" s="525"/>
      <c r="DE1" s="524"/>
      <c r="DF1" s="524"/>
      <c r="DG1" s="525"/>
      <c r="DH1" s="525"/>
      <c r="DI1" s="525"/>
      <c r="DJ1" s="525"/>
      <c r="DK1" s="525"/>
      <c r="DL1" s="525"/>
      <c r="DM1" s="525"/>
      <c r="DN1" s="525"/>
      <c r="DO1" s="525"/>
      <c r="DP1" s="525"/>
      <c r="DQ1" s="524"/>
      <c r="DR1" s="524"/>
      <c r="DS1" s="524"/>
      <c r="DT1" s="524"/>
      <c r="DU1" s="524"/>
      <c r="DV1" s="525"/>
      <c r="DW1" s="525"/>
      <c r="DX1" s="525"/>
      <c r="DY1" s="525"/>
      <c r="DZ1" s="525"/>
      <c r="EA1" s="526"/>
      <c r="EB1" s="525"/>
      <c r="EC1" s="525"/>
      <c r="ED1" s="525"/>
      <c r="EE1" s="525"/>
      <c r="EF1" s="525"/>
      <c r="EG1" s="525"/>
      <c r="EH1" s="525"/>
      <c r="EI1" s="525"/>
      <c r="EJ1" s="525"/>
      <c r="EK1" s="525"/>
      <c r="EL1" s="525"/>
      <c r="EM1" s="525"/>
      <c r="EN1" s="525"/>
      <c r="EO1" s="525"/>
      <c r="EP1" s="525"/>
      <c r="EQ1" s="525"/>
      <c r="ER1" s="525"/>
      <c r="ES1" s="525"/>
      <c r="ET1" s="525"/>
      <c r="EU1" s="525"/>
      <c r="EV1" s="525"/>
      <c r="EW1" s="525"/>
      <c r="EX1" s="525"/>
      <c r="EY1" s="525"/>
      <c r="EZ1" s="525"/>
      <c r="FA1" s="525"/>
      <c r="FB1" s="525"/>
      <c r="FC1" s="525"/>
      <c r="FD1" s="525"/>
      <c r="FE1" s="525"/>
      <c r="FF1" s="525"/>
      <c r="FG1" s="525"/>
      <c r="FH1" s="525"/>
      <c r="FI1" s="525"/>
      <c r="FJ1" s="525"/>
    </row>
    <row r="2" spans="1:170" s="527" customFormat="1" ht="16.5" customHeight="1" thickTop="1">
      <c r="B2" s="1337" t="s">
        <v>2338</v>
      </c>
      <c r="C2" s="1332"/>
      <c r="D2" s="1332"/>
      <c r="E2" s="1332"/>
      <c r="F2" s="1332"/>
      <c r="G2" s="1332"/>
      <c r="H2" s="1332"/>
      <c r="I2" s="1332"/>
      <c r="J2" s="1332"/>
      <c r="K2" s="1332"/>
      <c r="L2" s="1332"/>
      <c r="M2" s="1332"/>
      <c r="N2" s="1332"/>
      <c r="O2" s="1332"/>
      <c r="P2" s="1338"/>
      <c r="Q2" s="1339" t="s">
        <v>141</v>
      </c>
      <c r="R2" s="1332"/>
      <c r="S2" s="1332"/>
      <c r="T2" s="1332"/>
      <c r="U2" s="1332"/>
      <c r="V2" s="1340"/>
      <c r="W2" s="1341" t="s">
        <v>142</v>
      </c>
      <c r="X2" s="1332"/>
      <c r="Y2" s="1332"/>
      <c r="Z2" s="1332"/>
      <c r="AA2" s="1340"/>
      <c r="AB2" s="1341" t="s">
        <v>127</v>
      </c>
      <c r="AC2" s="1332"/>
      <c r="AD2" s="1341" t="s">
        <v>1936</v>
      </c>
      <c r="AE2" s="1333"/>
      <c r="AF2" s="1331" t="s">
        <v>1920</v>
      </c>
      <c r="AG2" s="1332"/>
      <c r="AH2" s="1332"/>
      <c r="AI2" s="1332"/>
      <c r="AJ2" s="1332"/>
      <c r="AK2" s="1338"/>
      <c r="AL2" s="1332" t="s">
        <v>131</v>
      </c>
      <c r="AM2" s="1332"/>
      <c r="AN2" s="1333"/>
      <c r="AO2" s="1342" t="s">
        <v>1939</v>
      </c>
      <c r="AP2" s="1332"/>
      <c r="AQ2" s="1332"/>
      <c r="AR2" s="1332"/>
      <c r="AS2" s="1332"/>
      <c r="AT2" s="1332"/>
      <c r="AU2" s="1332"/>
      <c r="AV2" s="1332"/>
      <c r="AW2" s="1332"/>
      <c r="AX2" s="1332"/>
      <c r="AY2" s="1333"/>
      <c r="AZ2" s="1332" t="s">
        <v>4933</v>
      </c>
      <c r="BA2" s="1332"/>
      <c r="BB2" s="1332"/>
      <c r="BC2" s="1332"/>
      <c r="BD2" s="1332"/>
      <c r="BE2" s="1332"/>
      <c r="BF2" s="1332"/>
      <c r="BG2" s="1332"/>
      <c r="BH2" s="1332"/>
      <c r="BI2" s="1331" t="s">
        <v>135</v>
      </c>
      <c r="BJ2" s="1332"/>
      <c r="BK2" s="1333"/>
      <c r="BL2" s="1331" t="s">
        <v>1951</v>
      </c>
      <c r="BM2" s="1333"/>
      <c r="BN2" s="1331" t="s">
        <v>136</v>
      </c>
      <c r="BO2" s="1332"/>
      <c r="BP2" s="1332"/>
      <c r="BQ2" s="1331" t="s">
        <v>833</v>
      </c>
      <c r="BR2" s="1332"/>
      <c r="BS2" s="1332"/>
      <c r="BT2" s="1332"/>
      <c r="BU2" s="1332"/>
      <c r="BV2" s="1332"/>
      <c r="BW2" s="1332"/>
      <c r="BX2" s="1332"/>
      <c r="BY2" s="1333"/>
      <c r="BZ2" s="1331" t="s">
        <v>834</v>
      </c>
      <c r="CA2" s="1332"/>
      <c r="CB2" s="1332"/>
      <c r="CC2" s="1332"/>
      <c r="CD2" s="1332"/>
      <c r="CE2" s="1332"/>
      <c r="CF2" s="1332"/>
      <c r="CG2" s="1332"/>
      <c r="CH2" s="1333"/>
      <c r="CI2" s="1331" t="s">
        <v>835</v>
      </c>
      <c r="CJ2" s="1332"/>
      <c r="CK2" s="1332"/>
      <c r="CL2" s="1332"/>
      <c r="CM2" s="1332"/>
      <c r="CN2" s="1332"/>
      <c r="CO2" s="1332"/>
      <c r="CP2" s="1332"/>
      <c r="CQ2" s="1332"/>
      <c r="CR2" s="1332"/>
      <c r="CS2" s="1332"/>
      <c r="CT2" s="1332"/>
      <c r="CU2" s="1332"/>
      <c r="CV2" s="1332"/>
      <c r="CW2" s="1332"/>
      <c r="CX2" s="1332"/>
      <c r="CY2" s="1333"/>
      <c r="CZ2" s="1331" t="s">
        <v>836</v>
      </c>
      <c r="DA2" s="1332"/>
      <c r="DB2" s="1332"/>
      <c r="DC2" s="1332"/>
      <c r="DD2" s="1332"/>
      <c r="DE2" s="1332"/>
      <c r="DF2" s="1332"/>
      <c r="DG2" s="1332"/>
      <c r="DH2" s="1332"/>
      <c r="DI2" s="1332"/>
      <c r="DJ2" s="1332"/>
      <c r="DK2" s="1332"/>
      <c r="DL2" s="1332"/>
      <c r="DM2" s="1332"/>
      <c r="DN2" s="1332"/>
      <c r="DO2" s="1332"/>
      <c r="DP2" s="1333"/>
      <c r="DQ2" s="1331" t="s">
        <v>709</v>
      </c>
      <c r="DR2" s="1332"/>
      <c r="DS2" s="1332"/>
      <c r="DT2" s="1332"/>
      <c r="DU2" s="1332"/>
      <c r="DV2" s="1332"/>
      <c r="DW2" s="1332"/>
      <c r="DX2" s="1332"/>
      <c r="DY2" s="1332"/>
      <c r="DZ2" s="1332"/>
      <c r="EA2" s="1332"/>
      <c r="EB2" s="1332"/>
      <c r="EC2" s="1332"/>
      <c r="ED2" s="1332"/>
      <c r="EE2" s="1333"/>
      <c r="EF2" s="1332" t="s">
        <v>718</v>
      </c>
      <c r="EG2" s="1332"/>
      <c r="EH2" s="1332"/>
      <c r="EI2" s="1332"/>
      <c r="EJ2" s="1332"/>
      <c r="EK2" s="1332"/>
      <c r="EL2" s="1332"/>
      <c r="EM2" s="1332"/>
      <c r="EN2" s="1332"/>
      <c r="EO2" s="1332"/>
      <c r="EP2" s="1332"/>
      <c r="EQ2" s="1332"/>
      <c r="ER2" s="1332"/>
      <c r="ES2" s="1332"/>
      <c r="ET2" s="1344"/>
      <c r="EU2" s="525"/>
      <c r="EV2" s="525"/>
      <c r="EW2" s="525"/>
      <c r="EX2" s="525"/>
      <c r="EY2" s="525"/>
      <c r="EZ2" s="525"/>
      <c r="FA2" s="525"/>
      <c r="FB2" s="525"/>
      <c r="FC2" s="525"/>
      <c r="FD2" s="525"/>
      <c r="FE2" s="525"/>
      <c r="FF2" s="525"/>
      <c r="FG2" s="525"/>
      <c r="FH2" s="525"/>
      <c r="FI2" s="525"/>
      <c r="FJ2" s="525"/>
    </row>
    <row r="3" spans="1:170" s="527" customFormat="1" ht="16.5" customHeight="1" thickBot="1">
      <c r="B3" s="528" t="s">
        <v>2164</v>
      </c>
      <c r="C3" s="529" t="s">
        <v>2165</v>
      </c>
      <c r="D3" s="529" t="s">
        <v>2166</v>
      </c>
      <c r="E3" s="530" t="s">
        <v>2167</v>
      </c>
      <c r="F3" s="531" t="s">
        <v>2168</v>
      </c>
      <c r="G3" s="532" t="s">
        <v>2169</v>
      </c>
      <c r="H3" s="533" t="s">
        <v>2170</v>
      </c>
      <c r="I3" s="534" t="s">
        <v>2171</v>
      </c>
      <c r="J3" s="534" t="s">
        <v>2172</v>
      </c>
      <c r="K3" s="535" t="s">
        <v>2173</v>
      </c>
      <c r="L3" s="532" t="s">
        <v>2174</v>
      </c>
      <c r="M3" s="534" t="s">
        <v>2175</v>
      </c>
      <c r="N3" s="536" t="s">
        <v>2176</v>
      </c>
      <c r="O3" s="532" t="s">
        <v>2177</v>
      </c>
      <c r="P3" s="537" t="s">
        <v>2178</v>
      </c>
      <c r="Q3" s="538" t="s">
        <v>128</v>
      </c>
      <c r="R3" s="533" t="s">
        <v>2179</v>
      </c>
      <c r="S3" s="534" t="s">
        <v>129</v>
      </c>
      <c r="T3" s="539" t="s">
        <v>2180</v>
      </c>
      <c r="U3" s="540" t="s">
        <v>2181</v>
      </c>
      <c r="V3" s="535" t="s">
        <v>130</v>
      </c>
      <c r="W3" s="532" t="s">
        <v>128</v>
      </c>
      <c r="X3" s="533" t="s">
        <v>2179</v>
      </c>
      <c r="Y3" s="534" t="s">
        <v>2182</v>
      </c>
      <c r="Z3" s="541" t="s">
        <v>2181</v>
      </c>
      <c r="AA3" s="542" t="s">
        <v>130</v>
      </c>
      <c r="AB3" s="532" t="s">
        <v>128</v>
      </c>
      <c r="AC3" s="543" t="s">
        <v>2179</v>
      </c>
      <c r="AD3" s="532" t="s">
        <v>2183</v>
      </c>
      <c r="AE3" s="535" t="s">
        <v>2184</v>
      </c>
      <c r="AF3" s="544" t="s">
        <v>2185</v>
      </c>
      <c r="AG3" s="539" t="s">
        <v>2186</v>
      </c>
      <c r="AH3" s="539" t="s">
        <v>8</v>
      </c>
      <c r="AI3" s="539" t="s">
        <v>2213</v>
      </c>
      <c r="AJ3" s="539" t="s">
        <v>2187</v>
      </c>
      <c r="AK3" s="537" t="s">
        <v>2188</v>
      </c>
      <c r="AL3" s="545" t="s">
        <v>143</v>
      </c>
      <c r="AM3" s="534" t="s">
        <v>144</v>
      </c>
      <c r="AN3" s="535" t="s">
        <v>145</v>
      </c>
      <c r="AO3" s="546" t="s">
        <v>2189</v>
      </c>
      <c r="AP3" s="533" t="s">
        <v>2190</v>
      </c>
      <c r="AQ3" s="534" t="s">
        <v>143</v>
      </c>
      <c r="AR3" s="534" t="s">
        <v>144</v>
      </c>
      <c r="AS3" s="534" t="s">
        <v>145</v>
      </c>
      <c r="AT3" s="534" t="s">
        <v>2191</v>
      </c>
      <c r="AU3" s="534" t="s">
        <v>2192</v>
      </c>
      <c r="AV3" s="542" t="s">
        <v>2193</v>
      </c>
      <c r="AW3" s="532" t="s">
        <v>128</v>
      </c>
      <c r="AX3" s="534" t="s">
        <v>2194</v>
      </c>
      <c r="AY3" s="547" t="s">
        <v>130</v>
      </c>
      <c r="AZ3" s="567" t="s">
        <v>2195</v>
      </c>
      <c r="BA3" s="534" t="s">
        <v>143</v>
      </c>
      <c r="BB3" s="534" t="s">
        <v>144</v>
      </c>
      <c r="BC3" s="534" t="s">
        <v>145</v>
      </c>
      <c r="BD3" s="535" t="s">
        <v>2192</v>
      </c>
      <c r="BE3" s="542" t="s">
        <v>2193</v>
      </c>
      <c r="BF3" s="643" t="s">
        <v>2317</v>
      </c>
      <c r="BG3" s="644" t="s">
        <v>2318</v>
      </c>
      <c r="BH3" s="547" t="s">
        <v>129</v>
      </c>
      <c r="BI3" s="546" t="s">
        <v>128</v>
      </c>
      <c r="BJ3" s="534" t="s">
        <v>129</v>
      </c>
      <c r="BK3" s="547" t="s">
        <v>130</v>
      </c>
      <c r="BL3" s="546" t="s">
        <v>128</v>
      </c>
      <c r="BM3" s="547" t="s">
        <v>129</v>
      </c>
      <c r="BN3" s="546" t="s">
        <v>2196</v>
      </c>
      <c r="BO3" s="534" t="s">
        <v>128</v>
      </c>
      <c r="BP3" s="535" t="s">
        <v>129</v>
      </c>
      <c r="BQ3" s="546" t="s">
        <v>137</v>
      </c>
      <c r="BR3" s="534" t="s">
        <v>138</v>
      </c>
      <c r="BS3" s="534" t="s">
        <v>139</v>
      </c>
      <c r="BT3" s="548" t="s">
        <v>176</v>
      </c>
      <c r="BU3" s="549" t="s">
        <v>129</v>
      </c>
      <c r="BV3" s="549" t="s">
        <v>177</v>
      </c>
      <c r="BW3" s="550" t="s">
        <v>2181</v>
      </c>
      <c r="BX3" s="550" t="s">
        <v>2197</v>
      </c>
      <c r="BY3" s="551" t="s">
        <v>2198</v>
      </c>
      <c r="BZ3" s="546" t="s">
        <v>137</v>
      </c>
      <c r="CA3" s="534" t="s">
        <v>138</v>
      </c>
      <c r="CB3" s="534" t="s">
        <v>139</v>
      </c>
      <c r="CC3" s="548" t="s">
        <v>176</v>
      </c>
      <c r="CD3" s="549" t="s">
        <v>129</v>
      </c>
      <c r="CE3" s="549" t="s">
        <v>177</v>
      </c>
      <c r="CF3" s="550" t="s">
        <v>2181</v>
      </c>
      <c r="CG3" s="550" t="s">
        <v>2197</v>
      </c>
      <c r="CH3" s="551" t="s">
        <v>2198</v>
      </c>
      <c r="CI3" s="546" t="s">
        <v>2199</v>
      </c>
      <c r="CJ3" s="545" t="s">
        <v>2200</v>
      </c>
      <c r="CK3" s="545" t="s">
        <v>2201</v>
      </c>
      <c r="CL3" s="545" t="s">
        <v>2202</v>
      </c>
      <c r="CM3" s="545" t="s">
        <v>2203</v>
      </c>
      <c r="CN3" s="545" t="s">
        <v>2204</v>
      </c>
      <c r="CO3" s="533" t="s">
        <v>2205</v>
      </c>
      <c r="CP3" s="539" t="s">
        <v>1309</v>
      </c>
      <c r="CQ3" s="539" t="s">
        <v>2206</v>
      </c>
      <c r="CR3" s="539" t="s">
        <v>1310</v>
      </c>
      <c r="CS3" s="539" t="s">
        <v>679</v>
      </c>
      <c r="CT3" s="536" t="s">
        <v>2207</v>
      </c>
      <c r="CU3" s="552" t="s">
        <v>176</v>
      </c>
      <c r="CV3" s="539" t="s">
        <v>129</v>
      </c>
      <c r="CW3" s="539" t="s">
        <v>177</v>
      </c>
      <c r="CX3" s="539" t="s">
        <v>2197</v>
      </c>
      <c r="CY3" s="553" t="s">
        <v>2198</v>
      </c>
      <c r="CZ3" s="546" t="s">
        <v>2199</v>
      </c>
      <c r="DA3" s="545" t="s">
        <v>2200</v>
      </c>
      <c r="DB3" s="545" t="s">
        <v>2201</v>
      </c>
      <c r="DC3" s="545" t="s">
        <v>2202</v>
      </c>
      <c r="DD3" s="545" t="s">
        <v>2203</v>
      </c>
      <c r="DE3" s="545" t="s">
        <v>2204</v>
      </c>
      <c r="DF3" s="533" t="s">
        <v>2205</v>
      </c>
      <c r="DG3" s="539" t="s">
        <v>1309</v>
      </c>
      <c r="DH3" s="539" t="s">
        <v>2206</v>
      </c>
      <c r="DI3" s="539" t="s">
        <v>1310</v>
      </c>
      <c r="DJ3" s="539" t="s">
        <v>679</v>
      </c>
      <c r="DK3" s="536" t="s">
        <v>2207</v>
      </c>
      <c r="DL3" s="552" t="s">
        <v>176</v>
      </c>
      <c r="DM3" s="539" t="s">
        <v>129</v>
      </c>
      <c r="DN3" s="539" t="s">
        <v>177</v>
      </c>
      <c r="DO3" s="539" t="s">
        <v>2197</v>
      </c>
      <c r="DP3" s="553" t="s">
        <v>2198</v>
      </c>
      <c r="DQ3" s="546" t="s">
        <v>137</v>
      </c>
      <c r="DR3" s="545" t="s">
        <v>2200</v>
      </c>
      <c r="DS3" s="534" t="s">
        <v>2204</v>
      </c>
      <c r="DT3" s="534" t="s">
        <v>2202</v>
      </c>
      <c r="DU3" s="539" t="s">
        <v>2208</v>
      </c>
      <c r="DV3" s="534" t="s">
        <v>2203</v>
      </c>
      <c r="DW3" s="534" t="s">
        <v>4853</v>
      </c>
      <c r="DX3" s="534" t="s">
        <v>4854</v>
      </c>
      <c r="DY3" s="539" t="s">
        <v>2209</v>
      </c>
      <c r="DZ3" s="539" t="s">
        <v>2210</v>
      </c>
      <c r="EA3" s="539" t="s">
        <v>679</v>
      </c>
      <c r="EB3" s="536" t="s">
        <v>2207</v>
      </c>
      <c r="EC3" s="532" t="s">
        <v>128</v>
      </c>
      <c r="ED3" s="534" t="s">
        <v>129</v>
      </c>
      <c r="EE3" s="547" t="s">
        <v>130</v>
      </c>
      <c r="EF3" s="545" t="s">
        <v>137</v>
      </c>
      <c r="EG3" s="545" t="s">
        <v>2200</v>
      </c>
      <c r="EH3" s="534" t="s">
        <v>2204</v>
      </c>
      <c r="EI3" s="534" t="s">
        <v>2202</v>
      </c>
      <c r="EJ3" s="539" t="s">
        <v>2208</v>
      </c>
      <c r="EK3" s="534" t="s">
        <v>2203</v>
      </c>
      <c r="EL3" s="534" t="s">
        <v>4853</v>
      </c>
      <c r="EM3" s="534" t="s">
        <v>4854</v>
      </c>
      <c r="EN3" s="539" t="s">
        <v>2209</v>
      </c>
      <c r="EO3" s="539" t="s">
        <v>2210</v>
      </c>
      <c r="EP3" s="539" t="s">
        <v>679</v>
      </c>
      <c r="EQ3" s="536" t="s">
        <v>2207</v>
      </c>
      <c r="ER3" s="532" t="s">
        <v>128</v>
      </c>
      <c r="ES3" s="534" t="s">
        <v>129</v>
      </c>
      <c r="ET3" s="554" t="s">
        <v>130</v>
      </c>
      <c r="EU3" s="525"/>
      <c r="EV3" s="525"/>
      <c r="EW3" s="525"/>
      <c r="EX3" s="525"/>
      <c r="EY3" s="525"/>
      <c r="EZ3" s="525"/>
      <c r="FA3" s="525"/>
      <c r="FB3" s="525"/>
      <c r="FC3" s="525"/>
      <c r="FD3" s="525"/>
      <c r="FE3" s="525"/>
      <c r="FF3" s="525"/>
      <c r="FG3" s="525"/>
      <c r="FH3" s="525"/>
      <c r="FI3" s="525"/>
      <c r="FJ3" s="525"/>
    </row>
    <row r="4" spans="1:170" ht="16.5" customHeight="1" thickTop="1" thickBot="1">
      <c r="B4" s="407" t="str">
        <f>INDEX('卡片raw data'!B:B,MATCH($D4,'卡片raw data'!$F:$F,))</f>
        <v>校服果</v>
      </c>
      <c r="C4" s="408" t="s">
        <v>124</v>
      </c>
      <c r="D4" s="408">
        <v>1</v>
      </c>
      <c r="E4" s="1090">
        <v>100011001</v>
      </c>
      <c r="F4" s="1090" t="str">
        <f>INDEX('卡片raw data'!C:C,MATCH($D4,'卡片raw data'!$F:$F,))</f>
        <v>R</v>
      </c>
      <c r="G4" s="1091" t="s">
        <v>331</v>
      </c>
      <c r="H4" s="411">
        <f>IFERROR(INDEX(绊状态确认!C:C,MATCH($G4,绊状态确认!$B:$B,)),"")</f>
        <v>1</v>
      </c>
      <c r="I4" s="1093" t="str">
        <f>IFERROR(INDEX(绊状态确认!D:D,MATCH($G4,绊状态确认!$B:$B,)),"")</f>
        <v>缪</v>
      </c>
      <c r="J4" s="1093" t="str">
        <f>IFERROR(INDEX(绊状态确认!E:E,MATCH($G4,绊状态确认!$B:$B,)),"")</f>
        <v>2年级</v>
      </c>
      <c r="K4" s="413" t="str">
        <f>IFERROR(INDEX(绊状态确认!F:F,MATCH($G4,绊状态确认!$B:$B,)),"")</f>
        <v>Printemps</v>
      </c>
      <c r="L4" s="1094" t="str">
        <f>INDEX('卡片raw data'!E:E,MATCH($D4,'卡片raw data'!$F:$F,))</f>
        <v>卡池卡</v>
      </c>
      <c r="M4" s="415">
        <v>43735</v>
      </c>
      <c r="N4" s="416">
        <v>0</v>
      </c>
      <c r="O4" s="1091" t="str">
        <f>INDEX('卡片raw data'!D:D,MATCH($D4,'卡片raw data'!$F:$F,))</f>
        <v>vo</v>
      </c>
      <c r="P4" s="417">
        <v>5</v>
      </c>
      <c r="Q4" s="1095">
        <f t="shared" ref="Q4:Q67" si="0">IF($P4="",0,AW4+BI4+BO4+BT4+CU4+EC4+ER4+CC4+DL4+BL4)</f>
        <v>22200.744131960535</v>
      </c>
      <c r="R4" s="1096">
        <f t="shared" ref="R4:R67" si="1">_xlfn.FLOOR.MATH(IF($P4="","N/A",Q4/$EW$81)*1000)/1000</f>
        <v>0.25800000000000001</v>
      </c>
      <c r="S4" s="1097">
        <f t="shared" ref="S4:S67" si="2">IF($P4="",0,BH4+BJ4+BP4+BU4+CV4+ED4+ES4+CD4+DM4+BM4)</f>
        <v>8483.4149479207954</v>
      </c>
      <c r="T4" s="1098">
        <f t="shared" ref="T4:T67" si="3">_xlfn.FLOOR.MATH(IF($P4="","N/A",S4/($FI$24/3))*1000)/1000</f>
        <v>0.42399999999999999</v>
      </c>
      <c r="U4" s="1099">
        <f t="shared" ref="U4:U67" si="4">$EW$64*(IF(O4="vo",-0.05)+IF(O4="gd",0.05))+CP4*(IF(CK4="减伤",$EW$64*(1-$EW$75))+IF(OR(CK4="加盾",AND(CK4="回血",OR(CI4&lt;&gt;"切队",CO4=""))),1))+DG4*(IF(DB4="减伤",$EW$64*(1-$EW$75))+IF(OR(DB4="加盾",AND(DB4="回血",OR(CZ4&lt;&gt;"切队",DF4=""))),1))+AR4*$EW$78/$EW$65+BW4+CF4+DY4*(1+IF(O4="sk",0.05)+IF(O4="sp",-0.05))*(IF(DQ4="减伤",$EW$64*(1-$EW$75))+IF(OR(DQ4="回血",DQ4="加盾"),1))+EN4*(1+IF(O4="sk",0.05)+IF(O4="sp",-0.05))*(IF(EF4="减伤",$EW$64*(1-$EW$75))+IF(OR(EF4="回血",EF4="加盾"),1))</f>
        <v>-17.713554757857143</v>
      </c>
      <c r="V4" s="1100">
        <f t="shared" ref="V4:V67" si="5">IF($P4="",0,AY4+BK4+BO4+BX4+CX4+EE4+ET4+CG4+DO4+BL4)</f>
        <v>21471.794714375224</v>
      </c>
      <c r="W4" s="1101">
        <f t="shared" ref="W4:W67" si="6">IF($P4="",0,BO4+BV4+CW4+CE4+DN4)</f>
        <v>3523.9513063999639</v>
      </c>
      <c r="X4" s="1096">
        <f t="shared" ref="X4:X67" si="7">_xlfn.FLOOR.MATH(IF($P4="","N/A",W4/$EW$81)*1000)/1000</f>
        <v>0.04</v>
      </c>
      <c r="Y4" s="1097">
        <f t="shared" ref="Y4:Y67" si="8">IF($P4="",0,AA4-W4)</f>
        <v>575.71903265639321</v>
      </c>
      <c r="Z4" s="1102">
        <f t="shared" ref="Z4:Z67" si="9">CP4*IF(OR(CI4="ap时",CI4="ct时"),0,1)*(IF(CK4="减伤",$EW$64*(1-$EW$75))+IF(OR(CK4="加盾",AND(CK4="回血",OR(CI4&lt;&gt;"切队",CO4=""))),1))+DG4*IF(OR(CZ4="ap时",CZ4="ct时"),0,1)*(IF(DB4="减伤",$EW$64*(1-$EW$75))+IF(OR(DB4="加盾",AND(DB4="回血",OR(CZ4&lt;&gt;"切队",DF4=""))),1))+AR4*$EW$78/$EW$65+BW4+CF4</f>
        <v>7.2864452421428565</v>
      </c>
      <c r="AA4" s="1103">
        <f t="shared" ref="AA4:AA67" si="10">IF($P4="",0,BO4+BY4+CY4+AX4+CH4+DP4)</f>
        <v>4099.6703390563571</v>
      </c>
      <c r="AB4" s="1101">
        <f t="shared" ref="AB4:AB67" si="11">IF($P4="",0,BT4+CU4+BO4+CC4+DL4)</f>
        <v>4042.7549547159269</v>
      </c>
      <c r="AC4" s="1104">
        <f t="shared" ref="AC4:AC67" si="12">_xlfn.FLOOR.MATH(IF($P4="","N/A",AB4/$EW$81)*1000)/1000</f>
        <v>4.7E-2</v>
      </c>
      <c r="AD4" s="1105">
        <f t="shared" ref="AD4:AD67" si="13">CS4+DJ4+EA4+EP4+IF(O4="sp",-0.05*FM$14*FM$15/2)+IF(O4="sk",0.05*FM$14*FM$15/2)+IF(O4="sk",FM$11^2/(3-FM$11)*FM$12)-IF(O4="sk",FM$10,FM$9)*IF(O4="sk",FM$18,FM$17)*($FM$14-DR4)</f>
        <v>-3.8207812500000026E-3</v>
      </c>
      <c r="AE4" s="1128">
        <f t="shared" ref="AE4:AE67" si="14">AD4/FM$18*FM$29+CT4+DK4+EB4+EQ4+IF(O4="sp",0.05*$FM$9*3*FM$26)-IF(O4="gd",0.05*$FM$9*3*FM$26)+IF(O4="sp",300*1/3*$FM$11/2)+IF(O4="sk",FM$11^2/(3-FM$11)*FM$13)+IF(F4="R",-100*IF(O4="sk",FM$10,FM$9))+IF(F4="SR",-50*IF(O4="sk",FM$10,FM$9))</f>
        <v>-22.692028985507246</v>
      </c>
      <c r="AF4" s="521">
        <f t="shared" ref="AF4:AF67" si="15">IF(OR(DQ4="回血",DQ4="加盾"),EN4/EL4*3*2*IF(EG4=0.11,$EW$71,$EW$70)+DY4/DW4*3*2*IF(DR4=0.11,$EW$71,$EW$70)+IF(O4="gd",AR4*0.05)+IF(OR(CK4="回血",CK4="加盾"),-(CR4-CP4)*6)+IF(AND(CI4="切队",CO4=""),CP4/$EW$79*$EW$65*2),0)</f>
        <v>0</v>
      </c>
      <c r="AG4" s="420">
        <f t="shared" ref="AG4:AG67" si="16">IF(OR(DQ4="回血",DQ4="加盾"),MAX($EW$64*$EW$65*IF(CK4="减伤",(1-IF(CI4="切队",IF(CO4&lt;&gt;"",MAX(CO4/$EW$79,1),0),1)*CR4),1)-$EW$62*0.3+$EX$17-AR4-(BW4+CF4)/$EW$78*$EW$65-IF(OR(CK4="回血",CK4="加盾"),IF(CI4="切队",IF(CO4&lt;&gt;"",MAX(CO4/$EW$79,1),0),1)*CR4*$EW$65),0),0)</f>
        <v>0</v>
      </c>
      <c r="AH4" s="420">
        <f t="shared" ref="AH4:AH67" si="17">IFERROR(AG4/AF4,0)</f>
        <v>0</v>
      </c>
      <c r="AI4" s="1097">
        <f t="shared" ref="AI4:AI67" si="18">IF(OR(DQ4="回血",DQ4="加盾"),$EW$26*(1-$EW$66)/$EW$66-AH4*(($EW$26*IF(O4="sk",14/3-8/3*$EW$68,5-3*$EW$68)-2*3*Q4*$EW$69)/$EW$66)/$EW$65+($EW$26/3+$EW$26/$EW$24*0.05+$EW$61*4*$EW$26*$EX$5/$EX$11+$EW$28)-($EW$72-W4),0)</f>
        <v>0</v>
      </c>
      <c r="AJ4" s="420">
        <f t="shared" ref="AJ4:AJ67" si="19">IF(OR(DQ4="回血",DQ4="加盾"),V4,0)</f>
        <v>0</v>
      </c>
      <c r="AK4" s="518">
        <f t="shared" ref="AK4:AK67" si="20">IFERROR(AI4-AJ4,"")</f>
        <v>0</v>
      </c>
      <c r="AL4" s="1106">
        <f>IF($P4="","N/A",(IF($P4=-1,INDEX('卡片raw data'!S:S,MATCH($D4,'卡片raw data'!$F:$F,)),0)+IF($P4=0,INDEX('卡片raw data'!V:V,MATCH($D4,'卡片raw data'!$F:$F,)),0)+IF($P4=1,INDEX('卡片raw data'!Y:Y,MATCH($D4,'卡片raw data'!$F:$F,)),0)+IF($P4=2,INDEX('卡片raw data'!AB:AB,MATCH($D4,'卡片raw data'!$F:$F,)),0)+IF($P4=3,INDEX('卡片raw data'!AE:AE,MATCH($D4,'卡片raw data'!$F:$F,)),0)+IF($P4=4,INDEX('卡片raw data'!AH:AH,MATCH($D4,'卡片raw data'!$F:$F,)),0)+IF($P4=5,INDEX('卡片raw data'!AK:AK,MATCH($D4,'卡片raw data'!$F:$F,)),0)+INDEX('卡片raw data'!S:S,MATCH($D4,'卡片raw data'!$F:$F,))*(IF($F4="UR",0.04,0.033))*(IF($F4="UR",INDEX(绊状态确认!$S:$S,MATCH($G4,绊状态确认!$B:$B,))/2-40)+IF($F4="SR",INDEX(绊状态确认!$R:$R,MATCH($G4,绊状态确认!$B:$B,))/4-15))+IF($F4="R",INDEX(绊状态确认!$Q:$Q,MATCH($G4,绊状态确认!$B:$B,))/6-40/6)))*(INDEX(绊状态确认!$H:$H,MATCH($G4,绊状态确认!$B:$B,))+INDEX(绊状态确认!J:J,MATCH($G4,绊状态确认!$B:$B,)))</f>
        <v>3601.2515999999996</v>
      </c>
      <c r="AM4" s="1106">
        <f>IF($P4="","N/A",(IF($P4=-1,INDEX('卡片raw data'!T:T,MATCH($D4,'卡片raw data'!$F:$F,)),0)+IF($P4=0,INDEX('卡片raw data'!W:W,MATCH($D4,'卡片raw data'!$F:$F,)),0)+IF($P4=1,INDEX('卡片raw data'!Z:Z,MATCH($D4,'卡片raw data'!$F:$F,)),0)+IF($P4=2,INDEX('卡片raw data'!AC:AC,MATCH($D4,'卡片raw data'!$F:$F,)),0)+IF($P4=3,INDEX('卡片raw data'!AF:AF,MATCH($D4,'卡片raw data'!$F:$F,)),0)+IF($P4=4,INDEX('卡片raw data'!AI:AI,MATCH($D4,'卡片raw data'!$F:$F,)),0)+IF($P4=5,INDEX('卡片raw data'!AL:AL,MATCH($D4,'卡片raw data'!$F:$F,)),0)+INDEX('卡片raw data'!T:T,MATCH($D4,'卡片raw data'!$F:$F,))*(IF($F4="UR",0.04,0.033))*(IF($F4="UR",INDEX(绊状态确认!$S:$S,MATCH($G4,绊状态确认!$B:$B,))/2-40)+IF($F4="SR",INDEX(绊状态确认!$R:$R,MATCH($G4,绊状态确认!$B:$B,))/4-15))+IF($F4="R",INDEX(绊状态确认!$Q:$Q,MATCH($G4,绊状态确认!$B:$B,))/6-40/6)))*(INDEX(绊状态确认!$H:$H,MATCH($G4,绊状态确认!$B:$B,))+INDEX(绊状态确认!K:K,MATCH($G4,绊状态确认!$B:$B,)))</f>
        <v>3001.2323999999994</v>
      </c>
      <c r="AN4" s="1106">
        <f>IF($P4="","N/A",(IF($P4=-1,INDEX('卡片raw data'!U:U,MATCH($D4,'卡片raw data'!$F:$F,)),0)+IF($P4=0,INDEX('卡片raw data'!X:X,MATCH($D4,'卡片raw data'!$F:$F,)),0)+IF($P4=1,INDEX('卡片raw data'!AA:AA,MATCH($D4,'卡片raw data'!$F:$F,)),0)+IF($P4=2,INDEX('卡片raw data'!AD:AD,MATCH($D4,'卡片raw data'!$F:$F,)),0)+IF($P4=3,INDEX('卡片raw data'!AG:AG,MATCH($D4,'卡片raw data'!$F:$F,)),0)+IF($P4=4,INDEX('卡片raw data'!AJ:AJ,MATCH($D4,'卡片raw data'!$F:$F,)),0)+IF($P4=5,INDEX('卡片raw data'!AM:AM,MATCH($D4,'卡片raw data'!$F:$F,)),0)+INDEX('卡片raw data'!U:U,MATCH($D4,'卡片raw data'!$F:$F,))*(IF($F4="UR",0.04,0.033))*(IF($F4="UR",INDEX(绊状态确认!$S:$S,MATCH($G4,绊状态确认!$B:$B,))/2-40)+IF($F4="SR",INDEX(绊状态确认!$R:$R,MATCH($G4,绊状态确认!$B:$B,))/4-15))+IF($F4="R",INDEX(绊状态确认!$Q:$Q,MATCH($G4,绊状态确认!$B:$B,))/6-40/6)))*(INDEX(绊状态确认!$H:$H,MATCH($G4,绊状态确认!$B:$B,))+INDEX(绊状态确认!L:L,MATCH($G4,绊状态确认!$B:$B,)))</f>
        <v>5401.3091999999997</v>
      </c>
      <c r="AO4" s="1107">
        <f t="shared" ref="AO4:AO67" si="21">IF(OR($FE$5=C4,$FE$5="全"),1,0)</f>
        <v>1</v>
      </c>
      <c r="AP4" s="1131">
        <f>1+(INDEX(绊状态确认!$T:$T,MATCH($G4,绊状态确认!$B:$B,))+0.2)*$AO4</f>
        <v>1.3</v>
      </c>
      <c r="AQ4" s="1108">
        <f t="shared" ref="AQ4:AQ67" si="22">(AL4*(1+$EX$8)+$EX$34)*(1+$EW$15)*IF(AO4=0,1-$FE$6,1)*IF(AO4=1,1+$FE$7,1)*IF(O4="vo",1+$FE$8,1)*IF(O4="gd",1+$FE$9,1)*IF(O4="sp",1+$FE$10,1)*IF(O4="sk",1+$FE$11,1)*IF(I4=$FF$12,1+$FE$12,1)*IF(I4=$FF$13,1,1-$FE$13)*IF(I4=$FF$14,1+$FE$14,1)*IF(J4=$FF$16,1+$FE$16,1)*IF(J4=$FF$17,1+$FE$17,1)*IF(K4=$FF$18,1+$FE$18,1)*(1+$FE$15)</f>
        <v>12703.285449999999</v>
      </c>
      <c r="AR4" s="1097">
        <f>(AM4*(1+$EX$9)+$EX$35)*(1+(INDEX(绊状态确认!$T:$T,MATCH($G4,绊状态确认!$B:$B,))+0.2)*AO4)*IF(J4=$FF$17,1+$FE$17,1)*IF(I4=$FF$14,1+$FE$14,1)</f>
        <v>6800.682225999999</v>
      </c>
      <c r="AS4" s="1097">
        <f>(AN4*(1+$EX$10)+$EX$36)*(1+(INDEX(绊状态确认!$T:$T,MATCH($G4,绊状态确认!$B:$B,))+0.2)*AO4)*IF(J4=$FF$17,1+$FE$17,1)*IF(I4=$FF$14,1+$FE$14,1)</f>
        <v>12130.957253999999</v>
      </c>
      <c r="AT4" s="1093">
        <f>IF(AND(INDEX('卡片raw data'!AK:AK,MATCH($D4,'卡片raw data'!$F:$F,))&lt;INDEX('卡片raw data'!AM:AM,MATCH($D4,'卡片raw data'!$F:$F,)),INDEX('卡片raw data'!AL:AL,MATCH($D4,'卡片raw data'!$F:$F,))&lt;INDEX('卡片raw data'!AM:AM,MATCH($D4,'卡片raw data'!$F:$F,))),1,0)</f>
        <v>1</v>
      </c>
      <c r="AU4" s="1098">
        <f>MIN(AT4*0.15+AS4*0.00003+INDEX(绊状态确认!M:M,MATCH($G4,绊状态确认!$B:$B,)),1)</f>
        <v>0.54392871761999995</v>
      </c>
      <c r="AV4" s="1109">
        <f>(INDEX(绊状态确认!$N:$N,MATCH($G4,绊状态确认!$B:$B,))+1.5)*$EW$21</f>
        <v>2.6599999999999997</v>
      </c>
      <c r="AW4" s="1101">
        <f t="shared" ref="AW4:AW67" si="23">AQ4*(1+(AV4-1)*AU4)*(AP4)*(1+EW$25)*EW$66/3*$EW$24</f>
        <v>12554.352916166901</v>
      </c>
      <c r="AX4" s="1097">
        <f t="shared" ref="AX4:AX67" si="24">$EW$26*(HP($EW$62,$EW$65,$EW$64-AR4*$EW$78/$EW$65)/$EW$66-1)</f>
        <v>575.71903265639287</v>
      </c>
      <c r="AY4" s="1110">
        <f t="shared" ref="AY4:AY67" si="25">AW4+AX4</f>
        <v>13130.071948823293</v>
      </c>
      <c r="AZ4" s="429">
        <f t="shared" ref="AZ4:AZ67" si="26">(AL4*(1+$FB$8)+$FB$34)*IF(AO4=0,1-$FE$6,1)*IF(AO4=1,1+$FE$7,1)*IF(O4="vo",1+$FE$8,1)*IF(O4="gd",1+$FE$9,1)*IF(O4="sp",1+$FE$10,1)*IF(O4="sk",1+$FE$11,1)*IF(I4=$FF$12,1+$FE$12,1)*IF(I4=$FF$13,1,1-$FE$13)*IF(I4=$FF$14,1+$FE$14,1)*IF(J4=$FF$16,1+$FE$16,1)*IF(J4=$FF$17,1+$FE$17,1)*IF(K4=$FF$18,1+$FE$18,1)*(1+$FE$15)</f>
        <v>9622.4406199999994</v>
      </c>
      <c r="BA4" s="431">
        <f t="shared" ref="BA4:BA67" si="27">AZ4*(1+$FA$15)</f>
        <v>11546.928743999999</v>
      </c>
      <c r="BB4" s="1097">
        <f>(AM4*(1+$FB$9)+$FB$35)*(1+(INDEX(绊状态确认!$T:$T,MATCH($G4,绊状态确认!$B:$B,))+0.2)*AO4)*IF(J4=$FF$17,1+$FE$17,1)*IF(I4=$FF$14,1+$FE$14,1)*(1+$FE$15)</f>
        <v>6800.682225999999</v>
      </c>
      <c r="BC4" s="1097">
        <f>(AN4*(1+$FB$10)+$FB$36)*(1+(INDEX(绊状态确认!$T:$T,MATCH($G4,绊状态确认!$B:$B,))+0.2)*AO4)*IF(J4=$FF$17,1+$FE$17,1)*IF(I4=$FF$14,1+$FE$14,1)*(1+$FE$15)</f>
        <v>12130.957253999999</v>
      </c>
      <c r="BD4" s="1104">
        <f>MIN(AT4*0.15+BC4*0.00003+INDEX(绊状态确认!M:M,MATCH($G4,绊状态确认!$B:$B,)),1)</f>
        <v>0.54392871761999995</v>
      </c>
      <c r="BE4" s="432">
        <f>(INDEX(绊状态确认!$N:$N,MATCH($G4,绊状态确认!$B:$B,))+1.5)</f>
        <v>1.9</v>
      </c>
      <c r="BF4" s="1139">
        <f t="array" ref="BF4">SUMPRODUCT(IF(AZ4*AP4*$FI$16:$FI$23*$FA$22&gt;=$FI$24,$FI$24,AZ4*AP4*$FI$16:$FI$23*$FA$22),$FJ$16:$FJ$23)</f>
        <v>19139.034393180002</v>
      </c>
      <c r="BG4" s="1125">
        <f t="array" ref="BG4">SUMPRODUCT(IF(BE4*AZ4*AP4*$FI$16:$FI$23*$FA$22&gt;=$FI$24,$FI$24,BE4*AZ4*AP4*$FI$16:$FI$23*$FA$22),$FJ$16:$FJ$23)</f>
        <v>36364.165347041999</v>
      </c>
      <c r="BH4" s="1110">
        <f t="shared" ref="BH4:BH67" si="28">((1-$BD4)*BF4+$BD4*BG4)/3</f>
        <v>9502.7592612502413</v>
      </c>
      <c r="BI4" s="1111">
        <f>IF(O4="vo",$EW$26/$EW$24*0.05,0)+IF(O4="sk",-$EW$26/$EW$24*(0.05-INDEX(绊状态确认!W:W,MATCH($G4,绊状态确认!$B:$B,)))+0.05*$EW$28,0)+IF(O4="sp",0.05*$EW$32*$EW$30*(1-$EW$33)-(0.05-INDEX(绊状态确认!V:V,MATCH($G4,绊状态确认!$B:$B,)))*$EW$28,0)+IF(O4="gd",-(0.05-INDEX(绊状态确认!X:X,MATCH($G4,绊状态确认!$B:$B,)))*$EW$32*$EW$30*(1-$EW$33),0)</f>
        <v>7726.3029277443748</v>
      </c>
      <c r="BJ4" s="1097">
        <f>IF(O4="vo",0.05*(1-$FI$26)*$FA$24,0)+IF(O4="sk",-(0.05-INDEX(绊状态确认!W:W,MATCH($G4,绊状态确认!$B:$B,)))*(1-$FI$26)*$FA$24+0.05*$FA$26,0)+IF(O4="sp",0.05*$FA$32*$FA$27*(1-$FA$33)/$FA$30+0.05*$FA$29/$FA$69*$FA$27*(1-$FA$33)-(0.05-INDEX(绊状态确认!V:V,MATCH($G4,绊状态确认!$B:$B,)))*$FA$26,0)+IF(O4="gd",-(0.05-INDEX(绊状态确认!X:X,MATCH($G4,绊状态确认!$B:$B,)))*$FA$32*$FA$27*(1-$FA$33)/$FA$30-(0.05-INDEX(绊状态确认!X:X,MATCH($G4,绊状态确认!$B:$B,)))*$FA$29/$FA$69*$FA$27*(1-$FA$33),0)</f>
        <v>393.93433687500004</v>
      </c>
      <c r="BK4" s="1110">
        <f>IF(O4="vo",$EW$26/$EW$24*0.05+$EW$26*(-HP($EW$62,$EW$65,$EW$64)+HP($EW$62,$EW$65,(1.05-INDEX(绊状态确认!U:U,MATCH($G4,绊状态确认!$B:$B,)))*$EW$64)),0)+IF(O4="sk",-$EW$26/$EW$24*(0.05-INDEX(绊状态确认!W:W,MATCH($G4,绊状态确认!$B:$B,)))+0.05*$EW$29,0)+IF(O4="sp",0.05*$EW$32*$EW$30*(1-$EW$33)-(0.05-INDEX(绊状态确认!V:V,MATCH($G4,绊状态确认!$B:$B,)))*$EW$29,0)+IF(O4="gd",-(0.05-INDEX(绊状态确认!X:X,MATCH($G4,绊状态确认!$B:$B,)))*$EW$32*$EW$30*(1-$EW$33)+$EW$26*(-HP($EW$62,$EW$65,$EW$64)+HP($EW$62,$EW$65,0.95*$EW$64)),0)</f>
        <v>6421.6344775026746</v>
      </c>
      <c r="BL4" s="1111">
        <f t="shared" ref="BL4:BL67" si="29">(IF(F4="UR",0)+IF(F4="SR",-1/4)+IF(F4="R",-1/2))*1/3*$EW$31/$EW$77*$EW$30</f>
        <v>-2166.6666666666665</v>
      </c>
      <c r="BM4" s="1110">
        <f t="shared" ref="BM4:BM67" si="30">(IF(F4="UR",0)+IF(F4="SR",-1/4)+IF(F4="R",-1/2))*1/3*$FA$31/$FA$69*$FA$27</f>
        <v>-1661.1111111111109</v>
      </c>
      <c r="BN4" s="1113">
        <f t="shared" ref="BN4:BN67" si="31">IF($P4="","N/A",IF(P4=-1,IF(OR(L4="fes卡",L4="party卡"),2,1),IF(F4="UR",IF(L4="party卡",4-IF(P4=0,1),IF(L4="fes卡",4,3)-IF(P4&gt;=4,0,1)))+IF(F4="SR",IF(P4&gt;=4,3,2))+IF(F4="R",2)))</f>
        <v>2</v>
      </c>
      <c r="BO4" s="1097">
        <f t="shared" ref="BO4:BO67" si="32">$EW$61*$BN4*$EW$26*$EX$5/$EX$11</f>
        <v>3005.1476580839999</v>
      </c>
      <c r="BP4" s="1100">
        <f t="shared" ref="BP4:BP67" si="33">BN4*$FA$58*(1-$FI$26)*$FA$24*$FB$5/$FB$11</f>
        <v>147.56068806020068</v>
      </c>
      <c r="BQ4" s="1107" t="s">
        <v>616</v>
      </c>
      <c r="BR4" s="1093" t="s">
        <v>171</v>
      </c>
      <c r="BS4" s="1098">
        <f>IF($P4="","N/A",IF($P4=-1,INDEX('卡片raw data'!AX:AX,MATCH($D4,'卡片raw data'!$F:$F,)),0)+IF($L4="party卡",IF($P4=5,INDEX('卡片raw data'!BD:BD,MATCH($D4,'卡片raw data'!$F:$F,)),IF($P4&gt;=3,INDEX('卡片raw data'!BC:BC,MATCH($D4,'卡片raw data'!$F:$F,)),INDEX('卡片raw data'!BB:BB,MATCH($D4,'卡片raw data'!$F:$F,)))),IF(OR(AND($F4="UR",$P4=0),AND($F4="SR",$P4&gt;=0,$P4&lt;=2),AND($F4="R",$P4&gt;=0,$P4&lt;4)),INDEX('卡片raw data'!AZ:AZ,MATCH($D4,'卡片raw data'!$F:$F,)),0)+IF(OR(AND($F4="UR",$P4&gt;=1,$P4&lt;=4),AND($F4="SR",$P4&lt;=4,$P4&gt;=3),AND($F4="R",$P4=4)),INDEX('卡片raw data'!BA:BA,MATCH($D4,'卡片raw data'!$F:$F,)),0)+IF($P4=5,INDEX('卡片raw data'!BB:BB,MATCH($D4,'卡片raw data'!$F:$F,)),0)))</f>
        <v>2.1999999999999999E-2</v>
      </c>
      <c r="BT4" s="1101">
        <f t="shared" ref="BT4:BT67" si="34">IF(BQ4="ap",BS4*$EX$5/$EX$11*(+IF(BR4="全员",$EW$26,0)+IF(BR4="同作战",$EW$26,0)+IF(BR4="仲间",$EW$26*2/3,0)+IF(BR4="同属性",$EW$26*$EW$37/3,0)+IF(BR4="同年级",$EW$26*$EW$40/3,0)+IF(BR4="同学校",$EW$26*$EW$43/3,0)+IF(BR4="同小队",$EW$26*$EW$46/3,0)+IF(BR4="同type",$EW$26*INDEX($EX$49:$EX$52,MATCH(O4,$EW$49:$EW$52,))/3,0)+IF(BR4="自身",$AW4,0)),0)+IF(BQ4="te",BS4*($EW$22-1)*0.00003*$EX$7/$EX$13*(+IF(BR4="全员",$EX$18*$EW$26/(1+($EW$22-1)*$EW$19),0)+IF(BR4="同作战",$EX$18*$EW$26/(1+($EW$22-1)*$EW$19),0)+IF(BR4="仲间",$EX$18*$EW$26/(1+($EW$22-1)*$EW$19)*2/3,0)+IF(BR4="同属性",$EX$18*$EW$26/(1+($EW$22-1)*$EW$19)*$EW$37/3,0)+IF(BR4="同年级",$EX$18*$EW$26/(1+($EW$22-1)*$EW$19)*$EW$40/3,0)+IF(BR4="同学校",$EX$18*$EW$26/(1+($EW$22-1)*$EW$19)*$EW$43/3,0)+IF(BR4="同小队",$EX$18*$EW$26/(1+($EW$22-1)*$EW$19)*$EW$46/3,0)+IF(BR4="同type",$EX$18*$EW$26/(1+($EW$22-1)*$EW$19)*INDEX($EX$49:$EX$52,MATCH(O4,$EW$49:$EW$52,))/3,0)+IF(BR4="自身",$AS4*$AW4/(1+(AV4-1)*$AU4),0)),0)</f>
        <v>1037.6072966319273</v>
      </c>
      <c r="BU4" s="1097">
        <f t="shared" ref="BU4:BU67" si="35">IF(BQ4="ap",BS4*(1-$FI$26)*$FB$5/$FB$11*(+IF(BR4="全员",$FA$24,0)+IF(BR4="同作战",$FA$24,0)+IF(BR4="仲间",$FA$24*2/3,0)+IF(BR4="同属性",$FA$24*$FA$37/3,0)+IF(BR4="同年级",$FA$24*$FA$40/3,0)+IF(BR4="同学校",$FA$24*$FA$43/3,0)+IF(BR4="同小队",$FA$24*$FA$46/3,0)+IF(BR4="同type",$FA$24*INDEX($FB$49:$FB$52,MATCH(O4,$FA$49:$FA$52,))/3,0)+IF(BR4="自身",BH4/3,0)),0)+IF(BQ4="te",BS4*(1-$FI$27)*($FA$20-1)*$FB$7/$FB$13*(+IF(BR4="全员",$FA$19*$FA$24/(1+($FA$20-1)*$FA$19),0)+IF(BR4="同作战",$FA$19*$FA$24/(1+($FA$20-1)*$FA$19),0)+IF(BR4="仲间",$FA$19*$FA$24*2/3/(1+($FA$20-1)*$FA$19),0)+IF(BR4="同属性",$FA$19*$FA$24*$FA$37/3/(1+($FA$20-1)*$FA$19),0)+IF(BR4="同年级",$FA$19*$FA$24*$FA$40/3/(1+($FA$20-1)*$FA$19),0)+IF(BR4="同学校",$FA$19*$FA$24*$FA$43/3/(1+($FA$20-1)*$FA$19),0)+IF(BR4="同小队",$FA$19*$FA$24*$FA$46/3/(1+($FA$20-1)*$FA$19),0)+IF(BR4="同type",$FA$19*$FA$24*INDEX($FB$49:$FB$52,MATCH(O4,$FA$49:$FA$52,))/3/(1+($FA$20-1)*$FA$19),0)+IF(BR4="自身",$FA$19*BH4/3/(1+(AV4-1)*$BD4),0)),0)</f>
        <v>65.671772846463853</v>
      </c>
      <c r="BV4" s="1097">
        <f t="shared" ref="BV4:BV67" si="36">IF(BQ4="ap",BS4*$EW$26*$EX$5/$EX$11*(+IF(BR4="全员",1,0)+IF(BR4="仲间",1,0)+IF(BR4="同属性",$EW$38/3,0)+IF(BR4="同年级",$EW$41/3,0)+IF(BR4="同学校",$EW$44/3,0)+IF(BR4="同小队",$EW$47/3,0)+IF(BR4="同type",INDEX($EX$53:$EX$56,MATCH(O4,$EW$53:$EW$56,))/3,0)),0)+IF(BQ4="te",BS4*($EW$22-1)*0.00003*$EX$18*$EW$26/(1+($EW$22-1)*$EW$19)*$EX$7/$EX$13*(+IF(BR4="全员",1,0)+IF(BR4="仲间",1,0)+IF(BR4="同属性",$EW$38/3,0)+IF(BR4="同年级",$EW$41/3,0)+IF(BR4="同学校",$EW$44/3,0)+IF(BR4="同小队",$EW$47/3,0)+IF(BR4="同type",INDEX($EX$53:$EX$56,MATCH(O4,$EW$53:$EW$56,))/3,0)),0)</f>
        <v>518.80364831596376</v>
      </c>
      <c r="BW4" s="1112">
        <f t="shared" ref="BW4:BW67" si="37">IF(BQ4="st",BS4*$EX$6/$EX$12*(+IF(BR4="全员",$EX$17*9,0)+IF(BR4="仲间",$EX$17*8,0)+IF(BR4="同作战",$EX$17*3,0)+IF(BR4="同属性",$EX$17*$EW$39,0)+IF(BR4="同年级",$EX$17*$EW$42,0)+IF(BR4="同学校",$EX$17*$EW$45,0)+IF(BR4="同小队",$EX$17*$EW$48,0)+IF(BR4="同type",$EX$17*INDEX($EX$57:$EX$60,MATCH(O4,$EW$57:$EW$60,)),0)+IF(BR4="自身",$AR4)),0)/$EW$65*$EW$78</f>
        <v>0</v>
      </c>
      <c r="BX4" s="1100">
        <f t="shared" ref="BX4:BX67" si="38">IF(BQ4="st",$EW$26*(HP($EW$62,$EW$65,$EW$64-BW4)/$EW$66-1),BT4)</f>
        <v>1037.6072966319273</v>
      </c>
      <c r="BY4" s="1110">
        <f t="shared" ref="BY4:BY67" si="39">IF(BQ4="st",$EW$26*(HP($EW$62,$EW$65,$EW$64-BW4)/$EW$66-1),BV4)</f>
        <v>518.80364831596376</v>
      </c>
      <c r="BZ4" s="1107" t="s">
        <v>569</v>
      </c>
      <c r="CA4" s="1093"/>
      <c r="CB4" s="1098">
        <f>IF($P4="","N/A",IF($P4=-1,INDEX('卡片raw data'!BE:BE,MATCH($D4,'卡片raw data'!$F:$F,)),0)+IF($L4="party卡",IF($P4=5,INDEX('卡片raw data'!BK:BK,MATCH($D4,'卡片raw data'!$F:$F,)),IF($P4&gt;=3,INDEX('卡片raw data'!BJ:BJ,MATCH($D4,'卡片raw data'!$F:$F,)),INDEX('卡片raw data'!BI:BI,MATCH($D4,'卡片raw data'!$F:$F,)))),IF(OR(AND($F4="UR",$P4=0),AND($F4="SR",$P4&gt;=0,$P4&lt;=2),AND($F4="R",$P4&gt;=0,$P4&lt;4)),INDEX('卡片raw data'!BG:BG,MATCH($D4,'卡片raw data'!$F:$F,)),0)+IF(OR(AND($F4="UR",$P4&gt;=1,$P4&lt;=4),AND($F4="SR",$P4&lt;=4,$P4&gt;=3),AND($F4="R",$P4=4)),INDEX('卡片raw data'!BH:BH,MATCH($D4,'卡片raw data'!$F:$F,)),0)+IF($P4=5,INDEX('卡片raw data'!BI:BI,MATCH($D4,'卡片raw data'!$F:$F,)),0)))</f>
        <v>0</v>
      </c>
      <c r="CC4" s="1101">
        <f t="shared" ref="CC4:CC67" si="40">IF(BZ4="ap",CB4*$EX$5/$EX$11*(+IF(CA4="全员",$EW$26,0)+IF(CA4="同作战",$EW$26,0)+IF(CA4="仲间",$EW$26*2/3,0)+IF(CA4="同属性",$EW$26*$EW$37/3,0)+IF(CA4="同年级",$EW$26*$EW$40/3,0)+IF(CA4="同学校",$EW$26*$EW$43/3,0)+IF(CA4="同小队",$EW$26*$EW$46/3,0)+IF(CA4="同type",$EW$26*INDEX($EX$49:$EX$52,MATCH(O4,$EW$49:$EW$52,))/3,0)+IF(CA4="自身",$AW4,0)),0)+IF(BZ4="te",CB4*($EW$22-1)*0.00003*$EX$7/$EX$13*(+IF(CA4="全员",$EX$18*$EW$26/(1+($EW$22-1)*$EW$19),0)+IF(CA4="同作战",$EX$18*$EW$26/(1+($EW$22-1)*$EW$19),0)+IF(CA4="仲间",$EX$18*$EW$26/(1+($EW$22-1)*$EW$19)*2/3,0)+IF(CA4="同属性",$EX$18*$EW$26/(1+($EW$22-1)*$EW$19)*$EW$37/3,0)+IF(CA4="同年级",$EX$18*$EW$26/(1+($EW$22-1)*$EW$19)*$EW$40/3,0)+IF(CA4="同学校",$EX$18*$EW$26/(1+($EW$22-1)*$EW$19)*$EW$43/3,0)+IF(CA4="同小队",$EX$18*$EW$26/(1+($EW$22-1)*$EW$19)*$EW$46/3,0)+IF(CA4="同type",$EX$18*$EW$26/(1+($EW$22-1)*$EW$19)*INDEX($EX$49:$EX$52,MATCH(O4,$EW$49:$EW$52,))/3,0)+IF(CA4="自身",$AS4*$AW4/(1+(AV4-1)*$AU4),0)),0)</f>
        <v>0</v>
      </c>
      <c r="CD4" s="1097">
        <f>IF(BZ4="ap",CB4*(1-$FI$26)*$FB$5/$FB$11*(+IF(CA4="全员",$FA$24,0)+IF(CA4="同作战",$FA$24,0)+IF(CA4="仲间",$FA$24*2/3,0)+IF(CA4="同属性",$FA$24*$FA$37/3,0)+IF(CA4="同年级",$FA$24*$FA$40/3,0)+IF(CA4="同学校",$FA$24*$FA$43/3,0)+IF(CA4="同小队",$FA$24*$FA$46/3,0)+IF(CA4="同type",$FA$24*INDEX($FB$49:$FB$52,MATCH(X4,$FA$49:$FA$52,))/3,0)+IF(CA4="自身",#REF!/3,0)),0)+IF(BZ4="te",CB4*(1-$FI$27)*($FA$20-1)*$FB$7/$FB$13*(+IF(CA4="全员",$FA$19*$FA$24/(1+($FA$20-1)*$FA$19),0)+IF(CA4="同作战",$FA$19*$FA$24/(1+($FA$20-1)*$FA$19),0)+IF(CA4="仲间",$FA$19*$FA$24*2/3/(1+($FA$20-1)*$FA$19),0)+IF(CA4="同属性",$FA$19*$FA$24*$FA$37/3/(1+($FA$20-1)*$FA$19),0)+IF(CA4="同年级",$FA$19*$FA$24*$FA$40/3/(1+($FA$20-1)*$FA$19),0)+IF(CA4="同学校",$FA$19*$FA$24*$FA$43/3/(1+($FA$20-1)*$FA$19),0)+IF(CA4="同小队",$FA$19*$FA$24*$FA$46/3/(1+($FA$20-1)*$FA$19),0)+IF(CA4="同type",$FA$19*$FA$24*INDEX($FB$49:$FB$52,MATCH(X4,$FA$49:$FA$52,))/3/(1+($FA$20-1)*$FA$19),0)+IF(CA4="自身",$FA$19*#REF!/3/(1+(BH4-1)*$BD4),0)),0)</f>
        <v>0</v>
      </c>
      <c r="CE4" s="1097">
        <f t="shared" ref="CE4:CE67" si="41">IF(BZ4="ap",CB4*$EW$26*$EX$5/$EX$11*(+IF(CA4="全员",1,0)+IF(CA4="仲间",1,0)+IF(CA4="同属性",$EW$38/3,0)+IF(CA4="同年级",$EW$41/3,0)+IF(CA4="同学校",$EW$44/3,0)+IF(CA4="同小队",$EW$47/3,0)+IF(CA4="同type",INDEX($EX$53:$EX$56,MATCH(X4,$EW$53:$EW$56,))/3,0)),0)+IF(BZ4="te",CB4*($EW$22-1)*0.00003*$EX$18*$EW$26/(1+($EW$22-1)*$EW$19)*$EX$7/$EX$13*(+IF(CA4="全员",1,0)+IF(CA4="仲间",1,0)+IF(CA4="同属性",$EW$38/3,0)+IF(CA4="同年级",$EW$41/3,0)+IF(CA4="同学校",$EW$44/3,0)+IF(CA4="同小队",$EW$47/3,0)+IF(CA4="同type",INDEX($EX$53:$EX$56,MATCH(X4,$EW$53:$EW$56,))/3,0)),0)</f>
        <v>0</v>
      </c>
      <c r="CF4" s="1112">
        <f t="shared" ref="CF4:CF67" si="42">IF(BZ4="st",CB4*$EX$6/$EX$12*(+IF(CA4="全员",$EX$17*9,0)+IF(CA4="仲间",$EX$17*8,0)+IF(CA4="同作战",$EX$17*3,0)+IF(CA4="同属性",$EX$17*$EW$39,0)+IF(CA4="同年级",$EX$17*$EW$42,0)+IF(CA4="同学校",$EX$17*$EW$45,0)+IF(CA4="同小队",$EX$17*$EW$48,0)+IF(CA4="同type",$EX$17*INDEX($EX$57:$EX$60,MATCH(O4,$EW$57:$EW$60,)),0)+IF(CA4="自身",$AR4)),0)/$EW$65*$EW$78</f>
        <v>0</v>
      </c>
      <c r="CG4" s="1100">
        <f t="shared" ref="CG4:CG67" si="43">IF(BZ4="st",$EW$26*(HP($EW$62,$EW$65,$EW$64-CF4)/$EW$66-1),CC4)</f>
        <v>0</v>
      </c>
      <c r="CH4" s="1110">
        <f t="shared" ref="CH4:CH67" si="44">IF(BZ4="st",$EW$26*(HP($EW$62,$EW$65,$EW$64-CF4)/$EW$66-1),CE4)</f>
        <v>0</v>
      </c>
      <c r="CI4" s="1113"/>
      <c r="CJ4" s="1114"/>
      <c r="CK4" s="1115" t="s">
        <v>569</v>
      </c>
      <c r="CL4" s="1115"/>
      <c r="CM4" s="1119"/>
      <c r="CN4" s="1092"/>
      <c r="CO4" s="1092"/>
      <c r="CP4" s="1117">
        <f t="shared" ref="CP4:CP67" si="45">IF(OR(CK4="无",CI4="大量伤害",CI4="AC失败",CI4="低血量",CK4="复活",CK4="驱散",CK4="Gd切队效果up"),0,IF(AND(CK4="sp获得",CI4="AC成功"),0,IF(CK4="其他",0,IF(CN4=0,CM4*(IF(CL4="ap",AQ4*IF(CK4="vo获得",AP4,1))+IF(CL4="st",AR4)+IF(CL4="te",AS4)+IF(CL4="sp槽",$EW$77)+IF(CL4="",1))*(IF(CI4="曲开始",CJ4,0)+IF(CI4="切队",IF(CO4&lt;&gt;"",MIN(CO4,CJ4*$EW$79),CJ4*$EW$79))+IF(CI4="SP发动",IF(CO4&lt;&gt;"",MIN(CO4,CJ4*$EW$76),CJ4*$EW$76))+IF(CI4="ap时",IF(CO4&lt;&gt;"",MIN(CO4,CJ4*$EW$65/3),CJ4*$EW$65/3),0)+IF(CI4="伤害时",IF(CO4&lt;&gt;"",MIN(CO4,CJ4*$EW$65*(1-$EW$75)),CJ4*$EW$65*(1-$EW$75)),0)+IF(CI4="ct时",IF(CO4&lt;&gt;"",MIN(CO4,CJ4*$EW$65/3*$AU4),CJ4*$EW$65/3*$AU4),0)+IF(OR(CI4="AC时",CI4="AC成功"),IF(CO4&lt;&gt;"",MIN(CO4,CJ4*$EW$73),CJ4*$EW$73))),0)/$EW$65+IF(CN4="infty",IF(OR(CI4="曲开始",AND(CJ4=1,CO4=1)),CM4*CJ4,IF(CI4="SP发动",IF(CO4=1,CM4*(1-(1-(1-CJ4)^($EW$76+1))/(($EW$76+1)*CJ4)))+IF(CO4="",CJ4*CM4*$EW$76/2),0)+IF(CI4="AC时",IF(CO4=1,CM4*(1-(1-(1-CJ4)^($EW$73+1))/(($EW$73+1)*CJ4)))+IF(CO4="",CJ4*CM4*$EW$73/2),0)+IF(CI4="AC成功",IF(CO4=1,CM4*(1-(1-(1-CJ4)^($EW$73+1))/(($EW$73+1)*CJ4)))+IF(CO4="",CJ4*CM4*$EW$73/2),0)),0)*(IF(CL4="全员",1,0)+IF(CL4="同属性",$EW$37/3,0)+IF(CL4="同年级",$EW$40/3,0)+IF(CL4="同作战",1,0)+IF(CL4="自身",1/3,0)+IF(CL4="同type",INDEX($EX$49:$EX$52,MATCH($O4,$EW$49:$EW$52,))/3))+IF(AND(CN4&lt;&gt;0,CN4&lt;&gt;"infty"),IF(CN4="AC内",$EW$74,CN4)*CM4*(IF(CI4="曲开始",CJ4,0)+IF(CI4="切队",IF(CO4&lt;&gt;"",MIN(CO4,CJ4*$EW$79),CJ4*$EW$79))+IF(CI4="SP发动",IF(CO4&lt;&gt;"",MIN(CO4,CJ4*$EW$76),CJ4*$EW$76))+IF(CI4="ap时",IF(CO4&lt;&gt;"",MIN(CO4,CJ4*$EW$65/3),CJ4*$EW$65/3),0)+IF(CI4="伤害时",IF(CO4&lt;&gt;"",MIN(CO4,CJ4*$EW$65*(1-$EW$75)),CJ4*$EW$65*(1-$EW$75)),0)+IF(CI4="ct时",IF(CO4&lt;&gt;"",MIN(CO4,CJ4*$EW$65/3*$AU4),CJ4*$EW$65/3*$AU4),0)+IF(OR(CI4="AC时",CI4="AC成功"),IF(CO4&lt;&gt;"",MIN(CO4,CJ4*$EW$73),CJ4*$EW$73))),0)/$EW$65*(IF(CL4="全员",1,0)+IF(CL4="同属性",$EW$37/3,0)+IF(CL4="同年级",$EW$40/3,0)+IF(CL4="同学校",$EW$43/3,0)+IF(CL4="同作战",1,0)+IF(CL4="自身",1/3,0)+IF(CL4="同type",INDEX($EX$49:$EX$52,MATCH($O4,$EW$49:$EW$52,))/3)-IF(AND(CK4="ct+",CL4&lt;&gt;"仲间"),MAX(CM4+$AU4-1,0)/CM4/3)))))</f>
        <v>0</v>
      </c>
      <c r="CQ4" s="1117">
        <f t="shared" ref="CQ4:CQ67" si="46">IF(OR(CK4="无",CI4="大量伤害",CI4="AC失败",CI4="低血量",CK4="复活",CK4="驱散",CK4="Gd切队效果up"),0,IF(AND(CK4="sp获得",CI4="AC成功"),0,IF(CK4="其他",0,IF(CN4=0,CM4*(IF(CL4="ap",BA4*IF(CK4="vo获得",AP4,1))+IF(CL4="st",BB4)+IF(CL4="te",BC4)+IF(CL4="sp槽",$FA$69)+IF(CL4="",1))*(IF(CK4="sp获得",$FA$30,1))*(IF(CI4="曲开始",CJ4,0)+IF(CI4="切队",IF(CO4&lt;&gt;"",MIN(CO4,CJ4*$FA$71),CJ4*$FA$71))+IF(CI4="SP发动",IF(CO4&lt;&gt;"",MIN(CO4,CJ4*$FA$68),CJ4*$FA$68))+IF(CI4="ap时",IF(CO4&lt;&gt;"",MIN(CO4,CJ4*$FA$62/3),CJ4*$FA$62/3),0)+IF(CI4="伤害时",IF(CO4&lt;&gt;"",MIN(CO4,CJ4*$FA$62*(1-$FA$67)),CJ4*$FA$62*(1-$FA$67)),0)+IF(CI4="ct时",IF(CO4&lt;&gt;"",MIN(CO4,CJ4*$FA$62/3*$BD4),CJ4*$FA$62/3*$BD4),0)+IF(OR(CI4="AC时",CI4="AC成功"),IF(CO4&lt;&gt;"",MIN(CO4,CJ4*$FA$65),CJ4*$FA$65))),0)/$FA$62+IF(CN4="infty",IF(OR(CI4="曲开始",AND(CJ4=1,CO4=1)),CM4*CJ4,IF(CI4="SP发动",IF(CO4=1,CM4*(1-(1-(1-CJ4)^($FA$68+1))/(($FA$68+1)*CJ4)))+IF(CO4="",CJ4*CM4*$FA$68/2),0)+IF(CI4="AC时",IF(CO4=1,CM4*(1-(1-(1-CJ4)^($FA$65+1))/(($FA$65+1)*CJ4)))+IF(CO4="",CJ4*CM4*$FA$65/2),0)+IF(CI4="AC成功",IF(CO4=1,CM4*(1-(1-(1-CJ4)^($FA$65+1))/(($FA$65+1)*CJ4)))+IF(CO4="",CJ4*CM4*$FA$65/2),0)),0)*(IF(CL4="全员",1,0)+IF(CL4="同属性",$FA$37/3,0)+IF(CL4="同年级",$FA$40/3,0)+IF(CL4="同作战",1,0)+IF(CL4="自身",1/3,0)+IF(CL4="同type",INDEX($FB$49:$FB$52,MATCH($O4,$FA$49:$FA$52,))/3))+IF(AND(CN4&lt;&gt;0,CN4&lt;&gt;"infty"),IF(CN4="AC内",$FA$66,CN4)*CM4*(IF(CI4="曲开始",CJ4,0)+IF(CI4="切队",IF(CO4&lt;&gt;"",MIN(CO4,CJ4*$FA$71),CJ4*$FA$71))+IF(CI4="SP发动",IF(CO4&lt;&gt;"",MIN(CO4,CJ4*$FA$68),CJ4*$FA$68))+IF(CI4="ap时",IF(CO4&lt;&gt;"",MIN(CO4,CJ4*$FA$62/3),CJ4*$FA$62/3),0)+IF(CI4="伤害时",IF(CO4&lt;&gt;"",MIN(CO4,CJ4*$FA$62*(1-$FA$67)),CJ4*$FA$62*(1-$FA$67)),0)+IF(CI4="ct时",IF(CO4&lt;&gt;"",MIN(CO4,CJ4*$FA$62/3*$BD4),CJ4*$FA$62/3*$BD4),0)+IF(OR(CI4="AC时",CI4="AC成功"),IF(CO4&lt;&gt;"",MIN(CO4,CJ4*$FA$65),CJ4*$FA$65))),0)/$FA$62*(IF(CL4="全员",1,0)+IF(CL4="同属性",$FA$37/3,0)+IF(CL4="同年级",$FA$40/3,0)+IF(CL4="同学校",$FA$43/3,0)+IF(CL4="同作战",1,0)+IF(CL4="自身",1/3,0)+IF(CL4="同type",INDEX($FB$49:$FB$52,MATCH($O4,$FA$49:$FA$52,))/3)-IF(AND(CK4="ct+",CL4&lt;&gt;"仲间"),MAX(CM4+$BD4-1,0)/3/CM4)))))</f>
        <v>0</v>
      </c>
      <c r="CR4" s="1117">
        <f t="shared" ref="CR4:CR67" si="47">IF(OR(CK4="无",CI4="大量伤害",CI4="AC失败",CI4="低血量",CK4="复活",CK4="驱散",CK4="Gd切队效果up"),0,IF(AND(CK4="sp获得",CI4="AC成功"),0,IF(CK4="其他",0,IF(CN4=0,CM4*(IF(CL4="ap",AQ4*IF(CK4="vo获得",AP4,1))+IF(CL4="st",AR4)+IF(CL4="te",AS4)+IF(CL4="sp槽",$EW$77)+IF(CL4="",1))*(IF(CI4="曲开始",CJ4,0)+IF(CI4="切队",IF(CO4&lt;&gt;"",MIN(CO4,CJ4*$EW$79),CJ4*$EW$79))+IF(CI4="SP发动",IF(CO4&lt;&gt;"",MIN(CO4,CJ4*$EW$76),CJ4*$EW$76))+IF(CI4="ap时",0)+IF(CI4="伤害时",IF(CO4&lt;&gt;"",MIN(CO4,CJ4*$EW$65*(1-$EW$75)),CJ4*$EW$65*(1-$EW$75)),0)+IF(CI4="ct时",0)+IF(OR(CI4="AC时",CI4="AC成功"),IF(CO4&lt;&gt;"",MIN(CO4,CJ4*$EW$73),CJ4*$EW$73))),0)/$EW$65+IF(CN4="infty",IF(OR(CI4="曲开始",AND(CJ4=1,CO4=1)),CM4*CJ4,IF(CI4="SP发动",IF(CO4=1,CM4*(1-(1-(1-CJ4)^($EW$76+1))/(($EW$76+1)*CJ4)))+IF(CO4="",CJ4*CM4*$EW$76/2),0)+IF(CI4="AC时",IF(CO4=1,CM4*(1-(1-(1-CJ4)^($EW$73+1))/(($EW$73+1)*CJ4)))+IF(CO4="",CJ4*CM4*$EW$73/2),0)+IF(CI4="AC成功",IF(CO4=1,CM4*(1-(1-(1-CJ4)^($EW$73+1))/(($EW$73+1)*CJ4)))+IF(CO4="",CJ4*CM4*$EW$73/2),0)),0)*(IF(CL4="全员",1,0)+IF(CL4="同属性",$EW$38/3,0)+IF(CL4="同年级",$EW$41/3,0)+IF(CL4="同作战",0,0)+IF(CL4="自身",0,0)+IF(CL4="同type",INDEX($EX$53:$EX$56,MATCH($O4,$EW$53:$EW$56,))/3))+IF(AND(CN4&lt;&gt;0,CN4&lt;&gt;"infty"),IF(CN4="AC内",$EW$74,CN4)*(IF(CI4="曲开始",CM4*CJ4,0)+IF(CI4="切队",CM4*IF(CO4&lt;&gt;"",MIN(CO4,CJ4*$EW$79),CJ4*$EW$79))+IF(CI4="SP发动",CM4*IF(CO4&lt;&gt;"",MIN(CO4,CJ4*$EW$76),CJ4*$EW$76))+IF(CI4="ap时",0,0)+IF(CI4="伤害时",CM4*IF(CO4&lt;&gt;"",MIN(CO4,CJ4*$EW$65*(1-$EW$75)),CJ4*$EW$65*(1-$EW$75)),0)+IF(CI4="ct时",0,0)+IF(OR(CI4="AC时",CI4="AC成功"),CM4*IF(CO4&lt;&gt;"",MIN(CO4,CJ4*$EW$73),CJ4*$EW$73))),0)/$EW$65*(IF(CL4="全员",1,0)+IF(CL4="同属性",$EW$38/3,0)+IF(CL4="同年级",$EW$41/3,0)+IF(CL4="同学校",$EW$44/3,0)+IF(CL4="同作战",0,0)+IF(CL4="自身",0,0)+IF(CL4="同type",INDEX($EX$53:$EX$56,MATCH($O4,$EW$53:$EW$56,))/3)))))</f>
        <v>0</v>
      </c>
      <c r="CS4" s="1118">
        <f t="shared" ref="CS4:CS67" si="48">IF(CK4="技能+",IF(CN4="infty",(IF(CI4="曲开始",CM4*CJ4)+IF(OR(CI4="AC时",CI4="AC成功"),(1-(1-(1-CJ4)^($FM$20+1))/(($FM$20+1)*CJ4))*CM4))*(IF(CL4="全员",1)))+IF(CN4&lt;&gt;"infty",CM4*(IF(CI4="曲开始",CJ4*CN4/$FM$19)+IF(OR(CI4="AC时",CI4="AC成功"),CN4*IF(CO4&lt;&gt;"",MIN(CO4,CJ4*$FM$20),CJ4*$FM$20)/$FM$19)+IF(CI4="切队",CN4*IF(CO4&lt;&gt;"",MIN(CJ4*$FM$11,CO4/$FM$19),CJ4*$FM$11))+IF(CI4="ap时",IF(CO4&lt;&gt;"",MIN(CO4/$FM19,IF($O4="sk",$FM$10,$FM$9)*CJ4),IF($O4="sk",$FM$10,$FM$9)*CJ4)*CN4)+IF(CI4="ct时",IF(CO4&lt;&gt;"",MIN(CO4/$FM19,$AU4*IF($O4="sk",$FM$10,$FM$9)*CJ4),$AU4*IF($O4="sk",$FM$10,$FM$9)*CJ4)*CN4))*(IF(CL4="全员",1)+IF(CL4="同作战",IF($O4="sk",$FM$10*3,$FM$9*3))+IF(CL4="同属性",$FM$23/6)+IF(CL4="同年级",$FM$24/6)+IF(CL4="自身",IF($O4="sk",$FM$10,$FM$9)))),0)*$FM$16</f>
        <v>0</v>
      </c>
      <c r="CT4" s="1109">
        <f t="shared" ref="CT4:CT67" si="49">IF(CK4="sp+",IF(CN4="infty",(IF(CI4="曲开始",CM4*CJ4*$FM$28)+IF(OR(CI4="AC时",CI4="AC成功"),(1-(1-(1-CJ4)^($FM$20+1))/(($FM$20+1)*CJ4))*CM4*$FM$28))*(IF(CL4="全员",1)))+IF(CN4&lt;&gt;"infty",CM4*$FM$28*(IF(CI4="曲开始",CJ4*CN4/$FM$19)+IF(OR(CI4="AC时",CI4="AC成功"),CN4*IF(CO4&lt;&gt;"",MIN(CO4,CJ4*$FM$20),CJ4*$FM$20)/$FM$19)+IF(CI4="切队",CN4*IF(CO4&lt;&gt;"",MIN(CJ4*$FM$11,CO4/$FM$19),CJ4*$FM$11))+IF(CI4="ap时",IF(CO4&lt;&gt;"",MIN(CO4/$FM19,IF($O4="sk",$FM$10,$FM$9)*CJ4),IF($O4="sk",$FM$10,$FM$9)*CJ4)*CN4)+IF(CI4="ct时",IF(CO4&lt;&gt;"",MIN(CO4/$FM19,$AU4*IF($O4="sk",$FM$10,$FM$9)*CJ4),$AU4*IF($O4="sk",$FM$10,$FM$9)*CJ4)*CN4))*(IF(CL4="全员",1)+IF(CL4="同作战",IF($O4="sk",$FM$10*3,$FM$9*3))+IF(CL4="同属性",$FM$23/6)+IF(CL4="同年级",$FM$24/6)+IF(CL4="同type",IF(O4="sp",$FN$6*$FM$9)))),0)+IF(CK4="sp获得",IF(CI4="AC成功",0,CM4*(IF(CL4="ap",AQ4)+IF(CL4="st",AR4)+IF(CL4="te",AS4)+IF(CL4="sp槽",$EW$77)+IF(CL4="",1))*IF($O4="sk",1,1+(1+$FM$10/$FM$9)*($FM$27-1))*(IF(CI4="曲开始",CJ4/$FM$19)+IF(CI4="SP发动",IF(CO4&lt;&gt;"",MIN(CO4/$FM$19,CJ4*$FM$30/$FM$19),CJ4*$FM$30/$FM$19))+IF(CI4="切队",IF(CO4&lt;&gt;"",MIN(CO4/$FM$19,CJ4*$FM$11),CJ4*$FM$11))+IF(OR(CI4="AC时",CI4="AC成功"),IF(CO4&lt;&gt;"",MIN(CO4/$FM$19,CJ4*$FM$20/$FM$19),CJ4*$FM$20/$FM$19))+IF(CI4="ap时",IF(CO4&lt;&gt;"",MIN(CO4/$FM$19,CJ4*IF($O4="sk",$FM$10,$FM$9)),CJ4*IF($O4="sk",$FM$10,$FM$9)))+IF(CI4="ct时",IF(CO4&lt;&gt;"",MIN(CO4/$FM$19,CJ4*IF($O4="sk",$FM$10,$FM$9)*$AU4),CJ4*IF($O4="sk",$FM$10,$FM$9)*$AU4)))))</f>
        <v>0</v>
      </c>
      <c r="CU4" s="1101">
        <f t="shared" ref="CU4:CU67" si="50">IF(AND(CK4="技能+",CL4="自身",$DR4=0.11),0,IF(CK4="sp+",CP4*$EW$30*$EW$32*(1-$EW$33),0)+IF(CK4="ap+",CP4*$EW$26/(1+$EW$15),0)+IF(CK4="ap+元气",CP4*$EW$26/(1+$EW$15)*$EW$67,0)+IF(CK4="技能+",$EW$28*CP4/$EW$27,0)+IF(CK4="vo+",$EW$26*CP4,0)+IF(CK4="sp获得",CP4*(1-$EW$33)*$EW$30/$EW$77)+IF(CK4="vo获得",CP4*$EW$24)+IF(CK4="ct+",$EW$26/(1+($EW$22-1)*$EW$19)*($EW$22-1)*CP4)+IF(CK4="核弹",$EW$24*CP4*(1+$EW$23))+IF(CK4="ct值+",$EW$26/(1+($EW$22-1)*$EW$19)*$EW$19*CP4))</f>
        <v>0</v>
      </c>
      <c r="CV4" s="431">
        <f t="shared" ref="CV4:CV67" si="51">IF(AND(CK4="技能+",CL4="自身",$DR4=0.11),0,IF(CK4="sp+",CQ4*$FA$27*$FA$32*(1-$FA$33),0)+IF(CK4="ap+",CQ4*$FA$24/(1+$FA$15)*(1-$FI$26),0)+IF(CK4="ap+元气",CQ4*$FA$24/(1+$FA$15)*(1-$FI$26)*$FA$64,0)+IF(CK4="技能+",$FA$26*CQ4/$FA$25,0)+IF(CK4="vo+",$FA$24*CQ4*(1-$FI$26),0)+IF(CK4="sp获得",CQ4*(1-$FA$33)*$FA$27/$FA$69)+IF(CK4="vo获得",CQ4*$FA$22)+IF(CK4="ct+",$FA$24/(1+($FA$20-1)*$FA$19)*($FA$20-1)*CQ4*(1-$FI$27))+IF(CK4="核弹",CQ4*(1+$FA$21)*(1-$FI$29))+IF(CK4="ct值+",$FA$24/(1+($FA$20-1)*$FA$19)*$FA$19*CQ4*(1-$FI$28))+IF(CK4="自身ct时上限突破",CQ4*$FI$24*$FI$26*BD4,0))</f>
        <v>0</v>
      </c>
      <c r="CW4" s="1097">
        <f t="shared" ref="CW4:CW67" si="52">IF(CK4="sp+",CR4*$EW$30*$EW$32*(1-$EW$33),0)+IF(CK4="ap+",CR4*$EW$26/(1+$EW$15),0)+IF(CK4="ap+元气",CR4*$EW$26/(1+$EW$15)*$EW$67,0)+IF(CK4="技能+",$EW$28*CR4/$EW$27,0)+IF(CK4="vo+",$EW$26*CR4,0)+IF(CK4="sp获得",CR4*(1-$EW$33)*$EW$30/$EW$77)+IF(CK4="vo获得",CR4*$EW$24)+IF(CK4="ct+",$EW$26/(1+($EW$22-1)*$EW$19)*($EW$22-1)*CR4)+IF(CK4="核弹",CR4*(1+$EW$23)*$EW$24)+IF(CK4="ct值+",$EW$26/(1+($EW$22-1)*$EW$19)*$EW$19*CR4)</f>
        <v>0</v>
      </c>
      <c r="CX4" s="1097">
        <f t="shared" ref="CX4:CX67" si="53">CU4+IF(OR(CK4="加盾",AND(CK4="回血",OR(CI4&lt;&gt;"切队",CO4=""))),MIN($EW$26/$EW$66*(1-$EW$66)-$EE4+$EC4-$ET4+$ER4, $EW$26*(HP($EW$62,$EW$65,$EW$64-CP4)/$EW$66-1)))+IF(CK4="减伤",MIN($EW$26/$EW$66*(1-$EW$66)-$EE4+$EC4-$ET4+$ER4, $EW$26*(HP($EW$62,$EW$65,$EW$64*(1-CP4))/$EW$66-1)))</f>
        <v>0</v>
      </c>
      <c r="CY4" s="1110">
        <f t="shared" ref="CY4:CY67" si="54">CW4+(IF(OR(CK4="加盾",AND(CK4="回血",OR(CI4&lt;&gt;"切队",CO4=""))),$EW$26*(HP($EW$62,$EW$65,$EW$64-CP4)/$EW$66-1))+IF(CK4="减伤",$EW$26*(HP($EW$62,$EW$65,$EW$64*(1-CP4))/$EW$66-1)))*IF(OR(CL4="自身",CL4="同作战"),0,1)*IF(OR(CI4="ap时",CI4="ct时"),0,1)</f>
        <v>0</v>
      </c>
      <c r="CZ4" s="437"/>
      <c r="DA4" s="438"/>
      <c r="DB4" s="439" t="s">
        <v>569</v>
      </c>
      <c r="DC4" s="439"/>
      <c r="DD4" s="443"/>
      <c r="DE4" s="411"/>
      <c r="DF4" s="411"/>
      <c r="DG4" s="1116">
        <f t="shared" ref="DG4:DG67" si="55">IF(OR(DB4="无",CZ4="大量伤害",CZ4="AC失败",CZ4="低血量",DB4="复活",DB4="驱散",DB4="Gd切队效果up"),0,IF(AND(DB4="sp获得",CZ4="AC成功"),0,IF(DB4="其他",0,IF(DE4=0,DD4*(IF(DC4="ap",BH4*IF(DB4="vo获得",BG4,1))+IF(DC4="st",BI4)+IF(DC4="te",BJ4)+IF(DC4="sp槽",$EW$77)+IF(DC4="",1))*(IF(CZ4="曲开始",DA4,0)+IF(CZ4="切队",IF(DF4&lt;&gt;"",MIN(DF4,DA4*$EW$79),DA4*$EW$79))+IF(CZ4="SP发动",IF(DF4&lt;&gt;"",MIN(DF4,DA4*$EW$76),DA4*$EW$76))+IF(CZ4="ap时",IF(DF4&lt;&gt;"",MIN(DF4,DA4*$EW$65/3),DA4*$EW$65/3),0)+IF(CZ4="伤害时",IF(DF4&lt;&gt;"",MIN(DF4,DA4*$EW$65*(1-$EW$75)),DA4*$EW$65*(1-$EW$75)),0)+IF(CZ4="ct时",IF(DF4&lt;&gt;"",MIN(DF4,DA4*$EW$65/3*$AU4),DA4*$EW$65/3*$AU4),0)+IF(OR(CZ4="AC时",CZ4="AC成功"),IF(DF4&lt;&gt;"",MIN(DF4,DA4*$EW$73),DA4*$EW$73))),0)/$EW$65+IF(DE4="infty",IF(OR(CZ4="曲开始",AND(DA4=1,DF4=1)),DD4*DA4,IF(CZ4="SP发动",IF(DF4=1,DD4*(1-(1-(1-DA4)^($EW$76+1))/(($EW$76+1)*DA4)))+IF(DF4="",DA4*DD4*$EW$76/2),0)+IF(CZ4="AC时",IF(DF4=1,DD4*(1-(1-(1-DA4)^($EW$73+1))/(($EW$73+1)*DA4)))+IF(DF4="",DA4*DD4*$EW$73/2),0)+IF(CZ4="AC成功",IF(DF4=1,DD4*(1-(1-(1-DA4)^($EW$73+1))/(($EW$73+1)*DA4)))+IF(DF4="",DA4*DD4*$EW$73/2),0)),0)*(IF(DC4="全员",1,0)+IF(DC4="同属性",$EW$37/3,0)+IF(DC4="同年级",$EW$40/3,0)+IF(DC4="同作战",1,0)+IF(DC4="自身",1/3,0)+IF(DC4="同type",INDEX($EX$49:$EX$52,MATCH($O4,$EW$49:$EW$52,))/3))+IF(AND(DE4&lt;&gt;0,DE4&lt;&gt;"infty"),IF(DE4="AC内",$EW$74,DE4)*DD4*(IF(CZ4="曲开始",DA4,0)+IF(CZ4="切队",IF(DF4&lt;&gt;"",MIN(DF4,DA4*$EW$79),DA4*$EW$79))+IF(CZ4="SP发动",IF(DF4&lt;&gt;"",MIN(DF4,DA4*$EW$76),DA4*$EW$76))+IF(CZ4="ap时",IF(DF4&lt;&gt;"",MIN(DF4,DA4*$EW$65/3),DA4*$EW$65/3),0)+IF(CZ4="伤害时",IF(DF4&lt;&gt;"",MIN(DF4,DA4*$EW$65*(1-$EW$75)),DA4*$EW$65*(1-$EW$75)),0)+IF(CZ4="ct时",IF(DF4&lt;&gt;"",MIN(DF4,DA4*$EW$65/3*$AU4),DA4*$EW$65/3*$AU4),0)+IF(OR(CZ4="AC时",CZ4="AC成功"),IF(DF4&lt;&gt;"",MIN(DF4,DA4*$EW$73),DA4*$EW$73))),0)/$EW$65*(IF(DC4="全员",1,0)+IF(DC4="同属性",$EW$37/3,0)+IF(DC4="同年级",$EW$40/3,0)+IF(DC4="同学校",$EW$43/3,0)+IF(DC4="同作战",1,0)+IF(DC4="自身",1/3,0)+IF(DC4="同type",INDEX($EX$49:$EX$52,MATCH($O4,$EW$49:$EW$52,))/3)-IF(AND(DB4="ct+",DC4&lt;&gt;"仲间"),MAX(DD4+$AU4-1,0)/DD4/3)))))</f>
        <v>0</v>
      </c>
      <c r="DH4" s="1116">
        <f t="shared" ref="DH4:DH67" si="56">IF(OR(DB4="无",CZ4="大量伤害",CZ4="AC失败",CZ4="低血量",DB4="复活",DB4="驱散",DB4="Gd切队效果up"),0,IF(AND(DB4="sp获得",CZ4="AC成功"),0,IF(DB4="其他",0,IF(DE4=0,DD4*(IF(DC4="ap",BR4*IF(DB4="vo获得",BG4,1))+IF(DC4="st",BS4)+IF(DC4="te",BT4)+IF(DC4="sp槽",$FA$69)+IF(DC4="",1))*(IF(DB4="sp获得",$FA$30,1))*(IF(CZ4="曲开始",DA4,0)+IF(CZ4="切队",IF(DF4&lt;&gt;"",MIN(DF4,DA4*$FA$71),DA4*$FA$71))+IF(CZ4="SP发动",IF(DF4&lt;&gt;"",MIN(DF4,DA4*$FA$68),DA4*$FA$68))+IF(CZ4="ap时",IF(DF4&lt;&gt;"",MIN(DF4,DA4*$FA$62/3),DA4*$FA$62/3),0)+IF(CZ4="伤害时",IF(DF4&lt;&gt;"",MIN(DF4,DA4*$FA$62*(1-$FA$67)),DA4*$FA$62*(1-$FA$67)),0)+IF(CZ4="ct时",IF(DF4&lt;&gt;"",MIN(DF4,DA4*$FA$62/3*$BD4),DA4*$FA$62/3*$BD4),0)+IF(OR(CZ4="AC时",CZ4="AC成功"),IF(DF4&lt;&gt;"",MIN(DF4,DA4*$FA$65),DA4*$FA$65))),0)/$FA$62+IF(DE4="infty",IF(OR(CZ4="曲开始",AND(DA4=1,DF4=1)),DD4*DA4,IF(CZ4="SP发动",IF(DF4=1,DD4*(1-(1-(1-DA4)^($FA$68+1))/(($FA$68+1)*DA4)))+IF(DF4="",DA4*DD4*$FA$68/2),0)+IF(CZ4="AC时",IF(DF4=1,DD4*(1-(1-(1-DA4)^($FA$65+1))/(($FA$65+1)*DA4)))+IF(DF4="",DA4*DD4*$FA$65/2),0)+IF(CZ4="AC成功",IF(DF4=1,DD4*(1-(1-(1-DA4)^($FA$65+1))/(($FA$65+1)*DA4)))+IF(DF4="",DA4*DD4*$FA$65/2),0)),0)*(IF(DC4="全员",1,0)+IF(DC4="同属性",$FA$37/3,0)+IF(DC4="同年级",$FA$40/3,0)+IF(DC4="同作战",1,0)+IF(DC4="自身",1/3,0)+IF(DC4="同type",INDEX($FB$49:$FB$52,MATCH($O4,$FA$49:$FA$52,))/3))+IF(AND(DE4&lt;&gt;0,DE4&lt;&gt;"infty"),IF(DE4="AC内",$FA$66,DE4)*DD4*(IF(CZ4="曲开始",DA4,0)+IF(CZ4="切队",IF(DF4&lt;&gt;"",MIN(DF4,DA4*$FA$71),DA4*$FA$71))+IF(CZ4="SP发动",IF(DF4&lt;&gt;"",MIN(DF4,DA4*$FA$68),DA4*$FA$68))+IF(CZ4="ap时",IF(DF4&lt;&gt;"",MIN(DF4,DA4*$FA$62/3),DA4*$FA$62/3),0)+IF(CZ4="伤害时",IF(DF4&lt;&gt;"",MIN(DF4,DA4*$FA$62*(1-$FA$67)),DA4*$FA$62*(1-$FA$67)),0)+IF(CZ4="ct时",IF(DF4&lt;&gt;"",MIN(DF4,DA4*$FA$62/3*$BD4),DA4*$FA$62/3*$BD4),0)+IF(OR(CZ4="AC时",CZ4="AC成功"),IF(DF4&lt;&gt;"",MIN(DF4,DA4*$FA$65),DA4*$FA$65))),0)/$FA$62*(IF(DC4="全员",1,0)+IF(DC4="同属性",$FA$37/3,0)+IF(DC4="同年级",$FA$40/3,0)+IF(DC4="同学校",$FA$43/3,0)+IF(DC4="同作战",1,0)+IF(DC4="自身",1/3,0)+IF(DC4="同type",INDEX($FB$49:$FB$52,MATCH($O4,$FA$49:$FA$52,))/3)-IF(AND(DB4="ct+",DC4&lt;&gt;"仲间"),MAX(DD4+$BD4-1,0)/3/DD4)))))</f>
        <v>0</v>
      </c>
      <c r="DI4" s="1116">
        <f t="shared" ref="DI4:DI67" si="57">IF(OR(DB4="无",CZ4="大量伤害",CZ4="AC失败",CZ4="低血量",DB4="复活",DB4="驱散",DB4="Gd切队效果up"),0,IF(AND(DB4="sp获得",CZ4="AC成功"),0,IF(DB4="其他",0,IF(DE4=0,DD4*(IF(DC4="ap",BH4*IF(DB4="vo获得",BG4,1))+IF(DC4="st",BI4)+IF(DC4="te",BJ4)+IF(DC4="sp槽",$EW$77)+IF(DC4="",1))*(IF(CZ4="曲开始",DA4,0)+IF(CZ4="切队",IF(DF4&lt;&gt;"",MIN(DF4,DA4*$EW$79),DA4*$EW$79))+IF(CZ4="SP发动",IF(DF4&lt;&gt;"",MIN(DF4,DA4*$EW$76),DA4*$EW$76))+IF(CZ4="ap时",0)+IF(CZ4="伤害时",IF(DF4&lt;&gt;"",MIN(DF4,DA4*$EW$65*(1-$EW$75)),DA4*$EW$65*(1-$EW$75)),0)+IF(CZ4="ct时",0)+IF(OR(CZ4="AC时",CZ4="AC成功"),IF(DF4&lt;&gt;"",MIN(DF4,DA4*$EW$73),DA4*$EW$73))),0)/$EW$65+IF(DE4="infty",IF(OR(CZ4="曲开始",AND(DA4=1,DF4=1)),DD4*DA4,IF(CZ4="SP发动",IF(DF4=1,DD4*(1-(1-(1-DA4)^($EW$76+1))/(($EW$76+1)*DA4)))+IF(DF4="",DA4*DD4*$EW$76/2),0)+IF(CZ4="AC时",IF(DF4=1,DD4*(1-(1-(1-DA4)^($EW$73+1))/(($EW$73+1)*DA4)))+IF(DF4="",DA4*DD4*$EW$73/2),0)+IF(CZ4="AC成功",IF(DF4=1,DD4*(1-(1-(1-DA4)^($EW$73+1))/(($EW$73+1)*DA4)))+IF(DF4="",DA4*DD4*$EW$73/2),0)),0)*(IF(DC4="全员",1,0)+IF(DC4="同属性",$EW$38/3,0)+IF(DC4="同年级",$EW$41/3,0)+IF(DC4="同作战",0,0)+IF(DC4="自身",0,0)+IF(DC4="同type",INDEX($EX$53:$EX$56,MATCH($O4,$EW$53:$EW$56,))/3))+IF(AND(DE4&lt;&gt;0,DE4&lt;&gt;"infty"),IF(DE4="AC内",$EW$74,DE4)*(IF(CZ4="曲开始",DD4*DA4,0)+IF(CZ4="切队",DD4*IF(DF4&lt;&gt;"",MIN(DF4,DA4*$EW$79),DA4*$EW$79))+IF(CZ4="SP发动",DD4*IF(DF4&lt;&gt;"",MIN(DF4,DA4*$EW$76),DA4*$EW$76))+IF(CZ4="ap时",0,0)+IF(CZ4="伤害时",DD4*IF(DF4&lt;&gt;"",MIN(DF4,DA4*$EW$65*(1-$EW$75)),DA4*$EW$65*(1-$EW$75)),0)+IF(CZ4="ct时",0,0)+IF(OR(CZ4="AC时",CZ4="AC成功"),DD4*IF(DF4&lt;&gt;"",MIN(DF4,DA4*$EW$73),DA4*$EW$73))),0)/$EW$65*(IF(DC4="全员",1,0)+IF(DC4="同属性",$EW$38/3,0)+IF(DC4="同年级",$EW$41/3,0)+IF(DC4="同学校",$EW$44/3,0)+IF(DC4="同作战",0,0)+IF(DC4="自身",0,0)+IF(DC4="同type",INDEX($EX$53:$EX$56,MATCH($O4,$EW$53:$EW$56,))/3)))))</f>
        <v>0</v>
      </c>
      <c r="DJ4" s="442">
        <f t="shared" ref="DJ4:DJ67" si="58">IF(DB4="技能+",IF(DE4="infty",(IF(CZ4="曲开始",DD4*DA4)+IF(OR(CZ4="AC时",CZ4="AC成功"),(1-(1-(1-DA4)^($FM$20+1))/(($FM$20+1)*DA4))*DD4))*(IF(DC4="全员",1)))+IF(DE4&lt;&gt;"infty",DD4*(IF(CZ4="曲开始",DA4*DE4/$FM$19)+IF(OR(CZ4="AC时",CZ4="AC成功"),DE4*IF(DF4&lt;&gt;"",MIN(DF4,DA4*$FM$20),DA4*$FM$20)/$FM$19)+IF(CZ4="切队",DE4*IF(DF4&lt;&gt;"",MIN(DA4*$FM$11,DF4/$FM$19),DA4*$FM$11))+IF(CZ4="ap时",IF(DF4&lt;&gt;"",MIN(DF4/$FM19,IF($O4="sk",$FM$10,$FM$9)*DA4),IF($O4="sk",$FM$10,$FM$9)*DA4)*DE4)+IF(CZ4="ct时",IF(DF4&lt;&gt;"",MIN(DF4/$FM19,$AU4*IF($O4="sk",$FM$10,$FM$9)*DA4),$AU4*IF($O4="sk",$FM$10,$FM$9)*DA4)*DE4))*(IF(DC4="全员",1)+IF(DC4="同作战",IF($O4="sk",$FM$10*3,$FM$9*3))+IF(DC4="同属性",$FM$23/6)+IF(DC4="同年级",$FM$24/6)+IF(DC4="自身",IF($O4="sk",$FM$10,$FM$9)))),0)*$FM$16</f>
        <v>0</v>
      </c>
      <c r="DK4" s="1109">
        <f t="shared" ref="DK4:DK67" si="59">IF(DB4="sp+",IF(DE4="infty",(IF(CZ4="曲开始",DD4*DA4*$FM$28)+IF(OR(CZ4="AC时",CZ4="AC成功"),(1-(1-(1-DA4)^($FM$20+1))/(($FM$20+1)*DA4))*DD4*$FM$28))*(IF(DC4="全员",1)))+IF(DE4&lt;&gt;"infty",DD4*$FM$28*(IF(CZ4="曲开始",DA4*DE4/$FM$19)+IF(OR(CZ4="AC时",CZ4="AC成功"),DE4*IF(DF4&lt;&gt;"",MIN(DF4,DA4*$FM$20),DA4*$FM$20)/$FM$19)+IF(CZ4="切队",DE4*IF(DF4&lt;&gt;"",MIN(DA4*$FM$11,DF4/$FM$19),DA4*$FM$11))+IF(CZ4="ap时",IF(DF4&lt;&gt;"",MIN(DF4/$FM19,IF($O4="sk",$FM$10,$FM$9)*DA4),IF($O4="sk",$FM$10,$FM$9)*DA4)*DE4)+IF(CZ4="ct时",IF(DF4&lt;&gt;"",MIN(DF4/$FM19,$AU4*IF($O4="sk",$FM$10,$FM$9)*DA4),$AU4*IF($O4="sk",$FM$10,$FM$9)*DA4)*DE4))*(IF(DC4="全员",1)+IF(DC4="同作战",IF($O4="sk",$FM$10*3,$FM$9*3))+IF(DC4="同属性",$FM$23/6)+IF(DC4="同年级",$FM$24/6)+IF(DC4="同type",IF(AF4="sp",$FN$6*$FM$9)))),0)+IF(DB4="sp获得",IF(CZ4="AC成功",0,DD4*(IF(DC4="ap",BI4)+IF(DC4="st",BJ4)+IF(DC4="te",BK4)+IF(DC4="sp槽",$EW$77)+IF(DC4="",1))*IF($O4="sk",1,1+(1+$FM$10/$FM$9)*($FM$27-1))*(IF(CZ4="曲开始",DA4/$FM$19)+IF(CZ4="SP发动",IF(DF4&lt;&gt;"",MIN(DF4/$FM$19,DA4*$FM$30/$FM$19),DA4*$FM$30/$FM$19))+IF(CZ4="切队",IF(DF4&lt;&gt;"",MIN(DF4/$FM$19,DA4*$FM$11),DA4*$FM$11))+IF(OR(CZ4="AC时",CZ4="AC成功"),IF(DF4&lt;&gt;"",MIN(DF4/$FM$19,DA4*$FM$20/$FM$19),DA4*$FM$20/$FM$19))+IF(CZ4="ap时",IF(DF4&lt;&gt;"",MIN(DF4/$FM$19,DA4*IF($O4="sk",$FM$10,$FM$9)),DA4*IF($O4="sk",$FM$10,$FM$9)))+IF(CZ4="ct时",IF(DF4&lt;&gt;"",MIN(DF4/$FM$19,DA4*IF($O4="sk",$FM$10,$FM$9)*$AU4),DA4*IF($O4="sk",$FM$10,$FM$9)*$AU4)))))</f>
        <v>0</v>
      </c>
      <c r="DL4" s="1101">
        <f t="shared" ref="DL4:DL67" si="60">IF(DB4="sp+",DG4*$EW$30*$EW$32*(1-$EW$33),0)+IF(DB4="ap+",DG4*$EW$26/(1+$EW$15),0)+IF(DB4="ap+元气",DG4*$EW$26/(1+$EW$15)*$EW$67,0)+IF(DB4="技能+",$EW$28*DG4/$EW$27,0)+IF(DB4="vo+",$EW$26*DG4,0)+IF(DB4="sp获得",DG4*(1-$EW$33)*$EW$30/$EW$77)+IF(DB4="vo获得",DG4*$EW$24)+IF(DB4="ct+",$EW$26/(1+($EW$22-1)*$EW$19)*($EW$22-1)*DG4)+IF(DB4="核弹",DG4*(1+$EW$23))+IF(DB4="ct值+",$EW$26/(1+($EW$22-1)*$EW$19)*$EW$19*DG4)</f>
        <v>0</v>
      </c>
      <c r="DM4" s="1097">
        <f t="shared" ref="DM4:DM67" si="61">IF(DB4="sp+",DH4*$FA$27*$FA$32*(1-$FA$33),0)+IF(DB4="ap+",DH4*$FA$24/(1+$FA$15)*(1-$FI$26),0)+IF(DB4="ap+元气",DH4*$FA$24/(1+$FA$15)*(1-$FI$26)*$FA$64,0)+IF(DB4="技能+",$FA$26*DH4/$FA$25,0)+IF(DB4="vo+",$FA$24*DH4*(1-$FI$26),0)+IF(DB4="sp获得",DH4*(1-$FA$33)*$FA$27/$FA$69)+IF(DB4="vo获得",DH4*$FA$22)+IF(DB4="ct+",$FA$24/(1+($FA$20-1)*$FA$19)*($FA$20-1)*DH4*(1-$FI$27))+IF(DB4="核弹",DH4*(1+$FA$21)*(1-$FI$29))+IF(DB4="ct值+",$FA$24/(1+($FA$20-1)*$FA$19)*$FA$19*DH4*(1-$FI$28))</f>
        <v>0</v>
      </c>
      <c r="DN4" s="1097">
        <f t="shared" ref="DN4:DN67" si="62">IF(DB4="sp+",DI4*$EW$30*$EW$32*(1-$EW$33),0)+IF(DB4="ap+",DI4*$EW$26/(1+$EW$15),0)+IF(DB4="ap+元气",DI4*$EW$26/(1+$EW$15)*$EW$67,0)+IF(DB4="技能+",$EW$28*DI4/$EW$27,0)+IF(DB4="vo+",$EW$26*DI4,0)+IF(DB4="sp获得",DI4*(1-$EW$33)*$EW$30/$EW$77)+IF(DB4="vo获得",DI4*$EW$24)+IF(DB4="ct+",$EW$26/(1+($EW$22-1)*$EW$19)*($EW$22-1)*DI4)+IF(DB4="核弹",DI4*(1+$EW$23))+IF(DB4="ct值+",$EW$26/(1+($EW$22-1)*$EW$19)*$EW$19*DI4)</f>
        <v>0</v>
      </c>
      <c r="DO4" s="1097">
        <f t="shared" ref="DO4:DO67" si="63">DL4+IF(OR(DB4="加盾",AND(DB4="回血",OR(CZ4&lt;&gt;"切队",DF4=""))),MIN($EW$26/$EW$66*(1-$EW$66)-$EE4+$EC4-$ET4+$ER4, $EW$26*(HP($EW$62,$EW$65,$EW$64-DG4)/$EW$66-1)))+IF(DB4="减伤",MIN($EW$26/$EW$66*(1-$EW$66)-$EE4+$EC4-$ET4+$ER4, $EW$26*(HP($EW$62,$EW$65,$EW$64*(1-DG4))/$EW$66-1)))</f>
        <v>0</v>
      </c>
      <c r="DP4" s="1110">
        <f t="shared" ref="DP4:DP67" si="64">DN4+(IF(OR(DB4="加盾",AND(DB4="回血",OR(CZ4&lt;&gt;"切队",DF4=""))),$EW$26*(HP($EW$62,$EW$65,$EW$64-DG4)/$EW$66-1))+IF(DB4="减伤",$EW$26*(HP($EW$62,$EW$65,$EW$64*(1-DG4))/$EW$66-1)))*IF(OR(DC4="自身",DC4="同作战"),0,1)*IF(OR(CZ4="ap时",CZ4="ct时"),0,1)</f>
        <v>0</v>
      </c>
      <c r="DQ4" s="1107" t="s">
        <v>545</v>
      </c>
      <c r="DR4" s="1120">
        <f t="shared" ref="DR4:DR67" si="65">IF(F4="UR",0.33,0.3)</f>
        <v>0.3</v>
      </c>
      <c r="DS4" s="1093"/>
      <c r="DT4" s="1093" t="s">
        <v>546</v>
      </c>
      <c r="DU4" s="1093"/>
      <c r="DV4" s="1097">
        <f>IF($P4="","N/A",IF(P4=-1,INDEX('卡片raw data'!AN:AN,MATCH(D4,'卡片raw data'!$F:$F,)),0)+IF(AND(L4&lt;&gt;"party卡",P4&lt;=2,P4&gt;=0),INDEX('卡片raw data'!AP:AP,MATCH(D4,'卡片raw data'!$F:$F,)),0)+IF(OR(AND(L4="party卡",P4&lt;=1),AND(P4&lt;=4,L4&lt;&gt;"party卡",P4&gt;=3)),INDEX('卡片raw data'!AQ:AQ,MATCH(D4,'卡片raw data'!$F:$F,)),0)+IF(OR(P4=5,AND(L4="party卡",P4&gt;=2)),INDEX('卡片raw data'!AR:AR,MATCH(D4,'卡片raw data'!$F:$F,)),0))</f>
        <v>400</v>
      </c>
      <c r="DW4" s="1098">
        <f t="shared" ref="DW4:DW67" si="66">DR4+IF(AND($CK4="技能+",$CL4="自身",DR4=0.11),$CP4*3)</f>
        <v>0.3</v>
      </c>
      <c r="DX4" s="1098">
        <f t="shared" ref="DX4:DX67" si="67">DR4+IF(AND($CK4="技能+",$CL4="自身",DR4=0.11),$CQ4*3)</f>
        <v>0.3</v>
      </c>
      <c r="DY4" s="1125">
        <f t="shared" ref="DY4:DY67" si="68">IF(DS4=0,IF(DT4="ap",DV4*$AQ4*DW4/3*IF(DQ4="vo获得",$AP4,1))+IF(DT4="st",DV4*$AR4*DW4/3)+IF(DT4="te",DV4*$AS4*DW4/3)+IF(DT4="sp槽",DV4*DW4/3)+IF(DT4="固定值",IF(DQ4="sp获得",DV4/3*DW4/$EW$77,DV4*DW4/3)),IF(DU4="百分比",IF(DT4="全员",DV4*DW4/3*DS4)+IF(DT4="仲间",DV4*DW4/3*DS4*2/3)+IF(DT4="同作战",DV4*DW4/3*DS4)+IF(DT4="同年级",DV4*DW4/3*DS4*$EW$40/3)+IF(DT4="同学校",DV4*DW4/3*DS4*$EW$43/3)+IF(DT4="同属性",DV4*DW4/3*DS4*$EW$37/3)+IF(DT4="同type",DV4*DW4/3*DS4*INDEX($EX$49:$EX$52,MATCH(O4,$EW$49:$EW$52,))/3),(IF(DQ4="ap+",DV4/$EX$16*DS4*DW4/3)+IF(DQ4="vo+",DV4*(1+$EW$23)/$EW$26*DS4*DW4/3))*(IF(DT4="全员",1)+IF(DT4="同作战",1)))-IF(AND(DQ4="ct+",DT4&lt;&gt;"仲间"),MAX(DV4+$AU4-1,0)*DW4/3*_xlfn.FLOOR.MATH(DS4/3)))</f>
        <v>40</v>
      </c>
      <c r="DZ4" s="1125">
        <f t="shared" ref="DZ4:DZ67" si="69">IF(DS4=0,IF(DT4="ap",IF(DQ4="vo获得",MIN(DV4*$BA4*$AP4,$FI$25)*$FA$22*DX4/3,DV4*$BA4*DX4/3))+IF(DT4="st",DV4*$BB4*DX4/3)+IF(DT4="te",DV4*$BC4*DX4/3)+IF(DT4="sp槽",DV4*DX4/3*$FA$30)+IF(DT4="固定值",IF(DQ4="sp获得",DV4/3*DX4/$FA$69*$FA$30,DV4*DX4/3)),IF(DU4="百分比",IF(DT4="全员",DV4*DX4/3*DS4)+IF(DT4="仲间",DV4*DX4/3*DS4*2/3)+IF(DT4="同作战",DV4*DX4/3*DS4)+IF(DT4="同年级",DV4*DX4/3*DS4*$FA$40/3)+IF(DT4="同学校",DV4*DX4/3*DS4*$FA$43/3)+IF(DT4="同属性",DV4*DX4/3*DS4*$FA$37/3)+IF(DT4="同type",DV4*DX4/3*DS4*INDEX($FB$49:$FB$52,MATCH(O4,$FA$49:$FA$52,))/3),(IF(DQ4="ap+",DV4/$FB$16*DS4*DX4/3)+IF(DQ4="vo+",DV4*(1+$FA$21)/$FA$24*DS4*DX4/3))*(IF(DT4="全员",1)+IF(DT4="同作战",1)))-IF(AND(DQ4="ct+",DT4&lt;&gt;"仲间"),MAX(DV4+$BD4-1,0)*DX4/3*_xlfn.FLOOR.MATH(DS4/3)))*$FA$57</f>
        <v>34.6</v>
      </c>
      <c r="EA4" s="1098">
        <f t="shared" ref="EA4:EA67" si="70">IF(DQ4="技能+",IF(O4="sk",FM$10,FM$9)*(1+0.1*$FM$31/$FM$19)*IF(O4="sk",$FM$18,$FM$17)*DR4/$FM$14*(IF(DT4="全员",DS4*DV4)+IF(DT4="同属性",DS4*DV4*$FM$23/6)+IF(DT4="同作战",DV4*IF(O4="sk",IF(AND(DS4&gt;1,DS4&lt;6),2),$FM$9*DS4*3))),0)*$FM$16</f>
        <v>0</v>
      </c>
      <c r="EB4" s="1121">
        <f t="shared" ref="EB4:EB67" si="71">IF(DQ4="sp+",1/6*(1+0.1*$FM$31/$FM$19)*IF(O4="sk",$FM$18,$FM$17)*DR4/$FM$14*$FM$28*(IF(DT4="全员",DS4*DV4)+IF(DT4="同属性",DS4*DV4*$FM$23/6)+IF(DT4="同年级",DS4*DV4*$FM$24/6)),0)+IF(DQ4="sp获得",1/6*(1+0.1*$FM$31/$FM$19)*IF(O4="sk",$FM$18,$FM$17)*DR4/$FM$14*IF(O4="sk",1,1+(1+$FM$10/$FM$9)*($FM$27-1))*IF(DT4="固定值",DV4,DV4*$FM$25))</f>
        <v>0</v>
      </c>
      <c r="EC4" s="1101">
        <f t="shared" ref="EC4:EC67" si="72">IF(DQ4="ap+",$EW$26/(1+$EW$15)*DY4)+IF(DQ4="vo+",$EW$26*DY4)+IF(DQ4="vo获得",DY4*$EW$24)+IF(DQ4="sp+",DY4*$EW$30*$EW$32*(1-$EW$33))+IF(DQ4="sp获得",DY4*$EW$30*(1-$EW$33))+IF(DQ4="技能+",DY4*$EW$28/$EW$27)+IF(DQ4="ct+",DY4*$EW$26/(1+($EW$22-1)*$EW$19)*($EW$22-1))+IF(DQ4="核弹",DY4*(1+$EW$23)*$EW$24)+IF(DQ4="ct值+",$EW$26/(1+($EW$22-1)*$EW$19)*$EW$19*DY4)</f>
        <v>44</v>
      </c>
      <c r="ED4" s="1097">
        <f t="shared" ref="ED4:ED67" si="73">IF(DQ4="ap+",$FA$24/(1+$FA$15)*DZ4*(1-$FI$26))+IF(DQ4="vo+",$FA$24*DZ4*(1-$FI$26))+IF(DQ4="vo获得",DZ4)+IF(DQ4="sp+",DZ4*$FA$27*$FA$32*(1-$FA$33))+IF(DQ4="sp获得",DZ4*$FA$27*(1-$FA$33))+IF(DQ4="技能+",DZ4*$FA$26/$FA$25)+IF(DQ4="ct+",DZ4*$FA$24/(1+($FA$20-1)*$FA$19)*($FA$20-1)*(1-$FI$27))+IF(DQ4="核弹",DZ4*(1+$FA$21)*(1-$FI$29))+IF(DQ4="ct值+",$FA$24/(1+($FA$20-1)*$FA$19)*$FA$19*DZ4*(1-$FI$28))</f>
        <v>34.6</v>
      </c>
      <c r="EE4" s="1110">
        <f t="shared" ref="EE4:EE67" si="74">EC4+IF(OR(DQ4="回血",DQ4="加盾"),$EW$26*(HP($EW$62,$EW$65,$EW$64-DY4)/$EW$66-1))+IF(DQ4="减伤",$EW$26*(HP($EW$62,$EW$65,$EW$64*(1-DY4))/$EW$66-1))</f>
        <v>44</v>
      </c>
      <c r="EF4" s="1092" t="s">
        <v>711</v>
      </c>
      <c r="EG4" s="1120">
        <f t="shared" ref="EG4:EG67" si="75">IF(F4="UR",0.33,0.3)</f>
        <v>0.3</v>
      </c>
      <c r="EH4" s="1093"/>
      <c r="EI4" s="1093"/>
      <c r="EJ4" s="1093"/>
      <c r="EK4" s="1097">
        <f>IF($P4="","N/A",IF(P4=-1,INDEX('卡片raw data'!AS:AS,MATCH(D4,'卡片raw data'!$F:$F,)),0)+IF(AND(L4&lt;&gt;"party卡",P4&lt;=2,P4&gt;=0),INDEX('卡片raw data'!AU:AU,MATCH(D4,'卡片raw data'!$F:$F,)),0)+IF(OR(AND(L4="party卡",P4&lt;=1),AND(P4&lt;=4,L4&lt;&gt;"party卡",P4&gt;=3)),INDEX('卡片raw data'!AV:AV,MATCH(D4,'卡片raw data'!$F:$F,)),0)+IF(OR(P4=5,AND(L4="party卡",P4&gt;=2)),INDEX('卡片raw data'!AW:AW,MATCH(D4,'卡片raw data'!$F:$F,)),0))</f>
        <v>0</v>
      </c>
      <c r="EL4" s="1098">
        <f t="shared" ref="EL4:EL67" si="76">EG4+IF(AND($CK4="技能+",$CL4="自身",EG4=0.11),$CP4*3)</f>
        <v>0.3</v>
      </c>
      <c r="EM4" s="1098">
        <f t="shared" ref="EM4:EM67" si="77">EG4+IF(AND($CK4="技能+",$CL4="自身",EG4=0.11),$CQ4*3)</f>
        <v>0.3</v>
      </c>
      <c r="EN4" s="1125">
        <f t="shared" ref="EN4:EN67" si="78">IF(EH4=0,IF(EI4="ap",EK4*$AQ4*EL4/3*IF(EF4="vo获得",$AP4,1))+IF(EI4="st",EK4*$AR4*EL4/3)+IF(EI4="te",EK4*$AS4*EL4/3)+IF(EI4="sp槽",EK4*EL4/3)+IF(EI4="固定值",IF(EF4="sp获得",EK4/3*EL4/$EW$77,EK4*EL4/3)),IF(EJ4="百分比",IF(EI4="全员",EK4*EL4/3*EH4)+IF(EI4="仲间",EK4*EL4/3*EH4*2/3)+IF(EI4="同作战",EK4*EL4/3*EH4)+IF(EI4="同年级",EK4*EL4/3*EH4*$EW$40/3)+IF(EI4="同学校",EK4*EL4/3*EH4*$EW$43/3)+IF(EI4="同属性",EK4*EL4/3*EH4*$EW$37/3)+IF(EI4="同type",EK4*EL4/3*EH4*INDEX($EX$49:$EX$52,MATCH(AD4,$EW$49:$EW$52,))/3),(IF(EF4="ap+",EK4/$EX$16*EH4*EL4/3)+IF(EF4="vo+",EK4*(1+$EW$23)/$EW$26*EH4*EL4/3))*(IF(EI4="全员",1)+IF(EI4="同作战",1)))-IF(AND(EF4="ct+",EI4&lt;&gt;"仲间"),MAX(EK4+$AU4-1,0)*EL4/3*_xlfn.FLOOR.MATH(EH4/3)))</f>
        <v>0</v>
      </c>
      <c r="EO4" s="1125">
        <f t="shared" ref="EO4:EO67" si="79">IF(EH4=0,IF(EI4="ap",IF(EF4="vo获得",MIN(EK4*$BA4*$AP4,$FI$25)*$FA$22*EM4/3,EK4*$BA4*EM4/3))+IF(EI4="st",EK4*$BB4*EM4/3)+IF(EI4="te",EK4*$BC4*EM4/3)+IF(EI4="sp槽",EK4*EM4/3*$FA$30)+IF(EI4="固定值",IF(EF4="sp获得",EK4/3*EM4/$FA$69*$FA$30,EK4*EM4/3)),IF(EJ4="百分比",IF(EI4="全员",EK4*EM4/3*EH4)+IF(EI4="仲间",EK4*EM4/3*EH4*2/3)+IF(EI4="同作战",EK4*EM4/3*EH4)+IF(EI4="同年级",EK4*EM4/3*EH4*$FA$40/3)+IF(EI4="同学校",EK4*EM4/3*EH4*$FA$43/3)+IF(EI4="同属性",EK4*EM4/3*EH4*$FA$37/3)+IF(EI4="同type",EK4*EM4/3*EH4*INDEX($FB$49:$FB$52,MATCH(AD4,$FA$49:$FA$52,))/3),(IF(EF4="ap+",EK4/$FB$16*EH4*EM4/3)+IF(EF4="vo+",EK4*(1+$FA$21)/$FA$24*EH4*EM4/3))*(IF(EI4="全员",1)+IF(EI4="同作战",1)))-IF(AND(EF4="ct+",EI4&lt;&gt;"仲间"),MAX(EK4+$BD4-1,0)*EM4/3*_xlfn.FLOOR.MATH(EH4/3)))*$FA$57</f>
        <v>0</v>
      </c>
      <c r="EP4" s="1098">
        <f t="shared" ref="EP4:EP67" si="80">IF(EF4="技能+",IF(AB4="sk",FZ$10,FZ$9)*(1+0.1*$FM$31/$FM$19)*IF(AB4="sk",$FM$18,$FM$17)*EG4/$FM$14*(IF(EI4="全员",EH4*EK4)+IF(EI4="同属性",EH4*EK4*$FM$23/6)+IF(EI4="同作战",EK4*IF(AB4="sk",IF(AND(EH4&gt;1,EH4&lt;6),2),$FM$9*EH4*3))),0)*$FM$16</f>
        <v>0</v>
      </c>
      <c r="EQ4" s="1121">
        <f t="shared" ref="EQ4:EQ67" si="81">IF(EF4="sp+",1/6*(1+0.1*$FM$31/$FM$19)*IF(AB4="sk",$FM$18,$FM$17)*EG4/$FM$14*$FM$28*(IF(EI4="全员",EH4*EK4)+IF(EI4="同属性",EH4*EK4*$FM$23/6)+IF(EI4="同年级",EH4*EK4*$FM$24/6)),0)+IF(EF4="sp获得",1/6*(1+0.1*$FM$31/$FM$19)*IF(AB4="sk",$FM$18,$FM$17)*EG4/$FM$14*IF(AB4="sk",1,1+(1+$FM$10/$FM$9)*($FM$27-1))*IF(EI4="固定值",EK4,EK4*$FM$25))</f>
        <v>0</v>
      </c>
      <c r="ER4" s="1101">
        <f t="shared" ref="ER4:ER67" si="82">IF(EF4="ap+",$EW$26/(1+$EW$15)*EN4)+IF(EF4="vo+",$EW$26*EN4)+IF(EF4="vo获得",EN4*$EW$24)+IF(EF4="sp+",EN4*$EW$30*$EW$32*(1-$EW$33))+IF(EF4="sp获得",EN4*$EW$30*(1-$EW$33))+IF(EF4="技能+",EN4*$EW$28/$EW$27)+IF(EF4="ct+",EN4*$EW$26/(1+($EW$22-1)*$EW$19)*($EW$22-1))+IF(EF4="核弹",EN4*(1+$EW$23)*$EW$24)+IF(EF4="ct值+",$EW$26/(1+($EW$22-1)*$EW$19)*$EW$19*EN4)</f>
        <v>0</v>
      </c>
      <c r="ES4" s="1097">
        <f t="shared" ref="ES4:ES67" si="83">IF(EF4="ap+",$FA$24/(1+$FA$15)*EO4*(1-$FI$26))+IF(EF4="vo+",$FA$24*EO4*(1-$FI$26))+IF(EF4="vo获得",EO4)+IF(EF4="sp+",EO4*$FA$27*$FA$32*(1-$FA$33))+IF(EF4="sp获得",EO4*$FA$27*(1-$FA$33))+IF(EF4="技能+",EO4*$FA$26/$FA$25)+IF(EF4="ct+",EO4*$FA$24/(1+($FA$20-1)*$FA$19)*($FA$20-1)*(1-$FI$27))+IF(EF4="核弹",EO4*(1+$FA$21)*(1-$FI$29))+IF(EF4="ct值+",$FA$24/(1+($FA$20-1)*$FA$19)*$FA$19*EO4*(1-$FI$28))</f>
        <v>0</v>
      </c>
      <c r="ET4" s="1122">
        <f t="shared" ref="ET4:ET67" si="84">ER4+IF(OR(EF4="回血",EF4="加盾"),$EW$26*(HP($EW$62,$EW$65,$EW$64-EN4)/$EW$66-1))+IF(EF4="减伤",$EW$26*(HP($EW$62,$EW$65,$EW$64*(1-EN4))/$EW$66-1))</f>
        <v>0</v>
      </c>
      <c r="EV4" s="1345" t="s">
        <v>1921</v>
      </c>
      <c r="EW4" s="1346"/>
      <c r="EX4" s="1347"/>
      <c r="EY4" s="1212"/>
      <c r="EZ4" s="1345" t="s">
        <v>1937</v>
      </c>
      <c r="FA4" s="1346"/>
      <c r="FB4" s="1347"/>
      <c r="FC4" s="447"/>
      <c r="FD4" s="1349" t="s">
        <v>228</v>
      </c>
      <c r="FE4" s="1349"/>
      <c r="FF4" s="1349"/>
      <c r="FG4" s="447"/>
      <c r="FH4" s="1349" t="s">
        <v>229</v>
      </c>
      <c r="FI4" s="1349"/>
      <c r="FJ4" s="1349"/>
      <c r="FK4" s="447"/>
      <c r="FL4" s="1349" t="s">
        <v>680</v>
      </c>
      <c r="FM4" s="1349"/>
      <c r="FN4" s="1349"/>
    </row>
    <row r="5" spans="1:170" ht="16.5" customHeight="1">
      <c r="B5" s="1123" t="str">
        <f>INDEX('卡片raw data'!B:B,MATCH($D5,'卡片raw data'!$F:$F,))</f>
        <v>练习果</v>
      </c>
      <c r="C5" s="449" t="s">
        <v>67</v>
      </c>
      <c r="D5" s="408">
        <v>2</v>
      </c>
      <c r="E5" s="1090">
        <v>100011002</v>
      </c>
      <c r="F5" s="1090" t="str">
        <f>INDEX('卡片raw data'!C:C,MATCH($D5,'卡片raw data'!$F:$F,))</f>
        <v>R</v>
      </c>
      <c r="G5" s="1094" t="s">
        <v>24</v>
      </c>
      <c r="H5" s="411">
        <f>IFERROR(INDEX(绊状态确认!C:C,MATCH($G5,绊状态确认!$B:$B,)),"")</f>
        <v>1</v>
      </c>
      <c r="I5" s="1124" t="str">
        <f>IFERROR(INDEX(绊状态确认!D:D,MATCH($G5,绊状态确认!$B:$B,)),"")</f>
        <v>缪</v>
      </c>
      <c r="J5" s="1124" t="str">
        <f>IFERROR(INDEX(绊状态确认!E:E,MATCH($G5,绊状态确认!$B:$B,)),"")</f>
        <v>2年级</v>
      </c>
      <c r="K5" s="451" t="str">
        <f>IFERROR(INDEX(绊状态确认!F:F,MATCH($G5,绊状态确认!$B:$B,)),"")</f>
        <v>Printemps</v>
      </c>
      <c r="L5" s="1094" t="str">
        <f>INDEX('卡片raw data'!E:E,MATCH($D5,'卡片raw data'!$F:$F,))</f>
        <v>卡池卡</v>
      </c>
      <c r="M5" s="415">
        <v>43735</v>
      </c>
      <c r="N5" s="416">
        <v>0</v>
      </c>
      <c r="O5" s="1091" t="str">
        <f>INDEX('卡片raw data'!D:D,MATCH($D5,'卡片raw data'!$F:$F,))</f>
        <v>sp</v>
      </c>
      <c r="P5" s="417">
        <v>5</v>
      </c>
      <c r="Q5" s="1095">
        <f t="shared" si="0"/>
        <v>14231.214221176864</v>
      </c>
      <c r="R5" s="1096">
        <f t="shared" si="1"/>
        <v>0.16500000000000001</v>
      </c>
      <c r="S5" s="1097">
        <f t="shared" si="2"/>
        <v>8857.4969485239362</v>
      </c>
      <c r="T5" s="1098">
        <f t="shared" si="3"/>
        <v>0.442</v>
      </c>
      <c r="U5" s="1099">
        <f t="shared" si="4"/>
        <v>9.9306633771428565</v>
      </c>
      <c r="V5" s="1100">
        <f t="shared" si="5"/>
        <v>13220.092725673732</v>
      </c>
      <c r="W5" s="1101">
        <f t="shared" si="6"/>
        <v>3641.8612264717735</v>
      </c>
      <c r="X5" s="1096">
        <f t="shared" si="7"/>
        <v>4.2000000000000003E-2</v>
      </c>
      <c r="Y5" s="1097">
        <f t="shared" si="8"/>
        <v>788.87850449686948</v>
      </c>
      <c r="Z5" s="1102">
        <f t="shared" si="9"/>
        <v>9.9306633771428565</v>
      </c>
      <c r="AA5" s="1103">
        <f t="shared" si="10"/>
        <v>4430.739730968643</v>
      </c>
      <c r="AB5" s="1101">
        <f t="shared" si="11"/>
        <v>4066.3369387302896</v>
      </c>
      <c r="AC5" s="1104">
        <f t="shared" si="12"/>
        <v>4.7E-2</v>
      </c>
      <c r="AD5" s="1105">
        <f t="shared" si="13"/>
        <v>-1.9908281250000003E-2</v>
      </c>
      <c r="AE5" s="1128">
        <f t="shared" si="14"/>
        <v>-3.387869067028987</v>
      </c>
      <c r="AF5" s="1130">
        <f t="shared" si="15"/>
        <v>0</v>
      </c>
      <c r="AG5" s="420">
        <f t="shared" si="16"/>
        <v>0</v>
      </c>
      <c r="AH5" s="420">
        <f t="shared" si="17"/>
        <v>0</v>
      </c>
      <c r="AI5" s="1097">
        <f t="shared" si="18"/>
        <v>0</v>
      </c>
      <c r="AJ5" s="420">
        <f t="shared" si="19"/>
        <v>0</v>
      </c>
      <c r="AK5" s="518">
        <f t="shared" si="20"/>
        <v>0</v>
      </c>
      <c r="AL5" s="1106">
        <f>IF($P5="","N/A",(IF($P5=-1,INDEX('卡片raw data'!S:S,MATCH($D5,'卡片raw data'!$F:$F,)),0)+IF($P5=0,INDEX('卡片raw data'!V:V,MATCH($D5,'卡片raw data'!$F:$F,)),0)+IF($P5=1,INDEX('卡片raw data'!Y:Y,MATCH($D5,'卡片raw data'!$F:$F,)),0)+IF($P5=2,INDEX('卡片raw data'!AB:AB,MATCH($D5,'卡片raw data'!$F:$F,)),0)+IF($P5=3,INDEX('卡片raw data'!AE:AE,MATCH($D5,'卡片raw data'!$F:$F,)),0)+IF($P5=4,INDEX('卡片raw data'!AH:AH,MATCH($D5,'卡片raw data'!$F:$F,)),0)+IF($P5=5,INDEX('卡片raw data'!AK:AK,MATCH($D5,'卡片raw data'!$F:$F,)),0)+INDEX('卡片raw data'!S:S,MATCH($D5,'卡片raw data'!$F:$F,))*(IF($F5="UR",0.04,0.033))*(IF($F5="UR",INDEX(绊状态确认!$S:$S,MATCH($G5,绊状态确认!$B:$B,))/2-40)+IF($F5="SR",INDEX(绊状态确认!$R:$R,MATCH($G5,绊状态确认!$B:$B,))/4-15))+IF($F5="R",INDEX(绊状态确认!$Q:$Q,MATCH($G5,绊状态确认!$B:$B,))/6-40/6)))*(INDEX(绊状态确认!$H:$H,MATCH($G5,绊状态确认!$B:$B,))+INDEX(绊状态确认!J:J,MATCH($G5,绊状态确认!$B:$B,)))</f>
        <v>4122.8591999999999</v>
      </c>
      <c r="AM5" s="1106">
        <f>IF($P5="","N/A",(IF($P5=-1,INDEX('卡片raw data'!T:T,MATCH($D5,'卡片raw data'!$F:$F,)),0)+IF($P5=0,INDEX('卡片raw data'!W:W,MATCH($D5,'卡片raw data'!$F:$F,)),0)+IF($P5=1,INDEX('卡片raw data'!Z:Z,MATCH($D5,'卡片raw data'!$F:$F,)),0)+IF($P5=2,INDEX('卡片raw data'!AC:AC,MATCH($D5,'卡片raw data'!$F:$F,)),0)+IF($P5=3,INDEX('卡片raw data'!AF:AF,MATCH($D5,'卡片raw data'!$F:$F,)),0)+IF($P5=4,INDEX('卡片raw data'!AI:AI,MATCH($D5,'卡片raw data'!$F:$F,)),0)+IF($P5=5,INDEX('卡片raw data'!AL:AL,MATCH($D5,'卡片raw data'!$F:$F,)),0)+INDEX('卡片raw data'!T:T,MATCH($D5,'卡片raw data'!$F:$F,))*(IF($F5="UR",0.04,0.033))*(IF($F5="UR",INDEX(绊状态确认!$S:$S,MATCH($G5,绊状态确认!$B:$B,))/2-40)+IF($F5="SR",INDEX(绊状态确认!$R:$R,MATCH($G5,绊状态确认!$B:$B,))/4-15))+IF($F5="R",INDEX(绊状态确认!$Q:$Q,MATCH($G5,绊状态确认!$B:$B,))/6-40/6)))*(INDEX(绊状态确认!$H:$H,MATCH($G5,绊状态确认!$B:$B,))+INDEX(绊状态确认!K:K,MATCH($G5,绊状态确认!$B:$B,)))</f>
        <v>4809.2447999999995</v>
      </c>
      <c r="AN5" s="1106">
        <f>IF($P5="","N/A",(IF($P5=-1,INDEX('卡片raw data'!U:U,MATCH($D5,'卡片raw data'!$F:$F,)),0)+IF($P5=0,INDEX('卡片raw data'!X:X,MATCH($D5,'卡片raw data'!$F:$F,)),0)+IF($P5=1,INDEX('卡片raw data'!AA:AA,MATCH($D5,'卡片raw data'!$F:$F,)),0)+IF($P5=2,INDEX('卡片raw data'!AD:AD,MATCH($D5,'卡片raw data'!$F:$F,)),0)+IF($P5=3,INDEX('卡片raw data'!AG:AG,MATCH($D5,'卡片raw data'!$F:$F,)),0)+IF($P5=4,INDEX('卡片raw data'!AJ:AJ,MATCH($D5,'卡片raw data'!$F:$F,)),0)+IF($P5=5,INDEX('卡片raw data'!AM:AM,MATCH($D5,'卡片raw data'!$F:$F,)),0)+INDEX('卡片raw data'!U:U,MATCH($D5,'卡片raw data'!$F:$F,))*(IF($F5="UR",0.04,0.033))*(IF($F5="UR",INDEX(绊状态确认!$S:$S,MATCH($G5,绊状态确认!$B:$B,))/2-40)+IF($F5="SR",INDEX(绊状态确认!$R:$R,MATCH($G5,绊状态确认!$B:$B,))/4-15))+IF($F5="R",INDEX(绊状态确认!$Q:$Q,MATCH($G5,绊状态确认!$B:$B,))/6-40/6)))*(INDEX(绊状态确认!$H:$H,MATCH($G5,绊状态确认!$B:$B,))+INDEX(绊状态确认!L:L,MATCH($G5,绊状态确认!$B:$B,)))</f>
        <v>4809.2447999999995</v>
      </c>
      <c r="AO5" s="1107">
        <f t="shared" si="21"/>
        <v>1</v>
      </c>
      <c r="AP5" s="1131">
        <f>1+(INDEX(绊状态确认!$T:$T,MATCH($G5,绊状态确认!$B:$B,))+0.2)*$AO5</f>
        <v>1.3</v>
      </c>
      <c r="AQ5" s="1108">
        <f t="shared" si="22"/>
        <v>14072.5054</v>
      </c>
      <c r="AR5" s="1097">
        <f>(AM5*(1+$EX$9)+$EX$35)*(1+(INDEX(绊状态确认!$T:$T,MATCH($G5,绊状态确认!$B:$B,))+0.2)*AO5)*IF(J5=$FF$17,1+$FE$17,1)*IF(I5=$FF$14,1+$FE$14,1)</f>
        <v>9268.6191519999993</v>
      </c>
      <c r="AS5" s="1097">
        <f>(AN5*(1+$EX$10)+$EX$36)*(1+(INDEX(绊状态确认!$T:$T,MATCH($G5,绊状态确认!$B:$B,))+0.2)*AO5)*IF(J5=$FF$17,1+$FE$17,1)*IF(I5=$FF$14,1+$FE$14,1)</f>
        <v>11245.820975999999</v>
      </c>
      <c r="AT5" s="1093">
        <f>IF(AND(INDEX('卡片raw data'!AK:AK,MATCH($D5,'卡片raw data'!$F:$F,))&lt;INDEX('卡片raw data'!AM:AM,MATCH($D5,'卡片raw data'!$F:$F,)),INDEX('卡片raw data'!AL:AL,MATCH($D5,'卡片raw data'!$F:$F,))&lt;INDEX('卡片raw data'!AM:AM,MATCH($D5,'卡片raw data'!$F:$F,))),1,0)</f>
        <v>0</v>
      </c>
      <c r="AU5" s="1098">
        <f>MIN(AT5*0.15+AS5*0.00003+INDEX(绊状态确认!M:M,MATCH($G5,绊状态确认!$B:$B,)),1)</f>
        <v>0.36737462928000003</v>
      </c>
      <c r="AV5" s="1109">
        <f>(INDEX(绊状态确认!$N:$N,MATCH($G5,绊状态确认!$B:$B,))+1.5)*$EW$21</f>
        <v>2.6599999999999997</v>
      </c>
      <c r="AW5" s="1101">
        <f t="shared" si="23"/>
        <v>11765.54394911324</v>
      </c>
      <c r="AX5" s="1097">
        <f t="shared" si="24"/>
        <v>788.87850449686971</v>
      </c>
      <c r="AY5" s="1110">
        <f t="shared" si="25"/>
        <v>12554.42245361011</v>
      </c>
      <c r="AZ5" s="429">
        <f t="shared" si="26"/>
        <v>10639.575440000001</v>
      </c>
      <c r="BA5" s="431">
        <f t="shared" si="27"/>
        <v>12767.490528</v>
      </c>
      <c r="BB5" s="1097">
        <f>(AM5*(1+$FB$9)+$FB$35)*(1+(INDEX(绊状态确认!$T:$T,MATCH($G5,绊状态确认!$B:$B,))+0.2)*AO5)*IF(J5=$FF$17,1+$FE$17,1)*IF(I5=$FF$14,1+$FE$14,1)*(1+$FE$15)</f>
        <v>9268.6191519999993</v>
      </c>
      <c r="BC5" s="1097">
        <f>(AN5*(1+$FB$10)+$FB$36)*(1+(INDEX(绊状态确认!$T:$T,MATCH($G5,绊状态确认!$B:$B,))+0.2)*AO5)*IF(J5=$FF$17,1+$FE$17,1)*IF(I5=$FF$14,1+$FE$14,1)*(1+$FE$15)</f>
        <v>11245.820975999999</v>
      </c>
      <c r="BD5" s="1104">
        <f>MIN(AT5*0.15+BC5*0.00003+INDEX(绊状态确认!M:M,MATCH($G5,绊状态确认!$B:$B,)),1)</f>
        <v>0.36737462928000003</v>
      </c>
      <c r="BE5" s="432">
        <f>(INDEX(绊状态确认!$N:$N,MATCH($G5,绊状态确认!$B:$B,))+1.5)</f>
        <v>1.9</v>
      </c>
      <c r="BF5" s="1139">
        <f t="array" ref="BF5">SUMPRODUCT(IF(AZ5*AP5*$FI$16:$FI$23*$FA$22&gt;=$FI$24,$FI$24,AZ5*AP5*$FI$16:$FI$23*$FA$22),$FJ$16:$FJ$23)</f>
        <v>21162.115550160001</v>
      </c>
      <c r="BG5" s="1125">
        <f t="array" ref="BG5">SUMPRODUCT(IF(BE5*AZ5*AP5*$FI$16:$FI$23*$FA$22&gt;=$FI$24,$FI$24,BE5*AZ5*AP5*$FI$16:$FI$23*$FA$22),$FJ$16:$FJ$23)</f>
        <v>40208.019545304</v>
      </c>
      <c r="BH5" s="1110">
        <f t="shared" si="28"/>
        <v>9386.365823226166</v>
      </c>
      <c r="BI5" s="1111">
        <f>IF(O5="vo",$EW$26/$EW$24*0.05,0)+IF(O5="sk",-$EW$26/$EW$24*(0.05-INDEX(绊状态确认!W:W,MATCH($G5,绊状态确认!$B:$B,)))+0.05*$EW$28,0)+IF(O5="sp",0.05*$EW$32*$EW$30*(1-$EW$33)-(0.05-INDEX(绊状态确认!V:V,MATCH($G5,绊状态确认!$B:$B,)))*$EW$28,0)+IF(O5="gd",-(0.05-INDEX(绊状态确认!X:X,MATCH($G5,绊状态确认!$B:$B,)))*$EW$32*$EW$30*(1-$EW$33),0)</f>
        <v>19.999999999999886</v>
      </c>
      <c r="BJ5" s="1097">
        <f>IF(O5="vo",0.05*(1-$FI$26)*$FA$24,0)+IF(O5="sk",-(0.05-INDEX(绊状态确认!W:W,MATCH($G5,绊状态确认!$B:$B,)))*(1-$FI$26)*$FA$24+0.05*$FA$26,0)+IF(O5="sp",0.05*$FA$32*$FA$27*(1-$FA$33)/$FA$30+0.05*$FA$29/$FA$69*$FA$27*(1-$FA$33)-(0.05-INDEX(绊状态确认!V:V,MATCH($G5,绊状态确认!$B:$B,)))*$FA$26,0)+IF(O5="gd",-(0.05-INDEX(绊状态确认!X:X,MATCH($G5,绊状态确认!$B:$B,)))*$FA$32*$FA$27*(1-$FA$33)/$FA$30-(0.05-INDEX(绊状态确认!X:X,MATCH($G5,绊状态确认!$B:$B,)))*$FA$29/$FA$69*$FA$27*(1-$FA$33),0)</f>
        <v>545.83333333333326</v>
      </c>
      <c r="BK5" s="1110">
        <f>IF(O5="vo",$EW$26/$EW$24*0.05+$EW$26*(-HP($EW$62,$EW$65,$EW$64)+HP($EW$62,$EW$65,(1.05-INDEX(绊状态确认!U:U,MATCH($G5,绊状态确认!$B:$B,)))*$EW$64)),0)+IF(O5="sk",-$EW$26/$EW$24*(0.05-INDEX(绊状态确认!W:W,MATCH($G5,绊状态确认!$B:$B,)))+0.05*$EW$29,0)+IF(O5="sp",0.05*$EW$32*$EW$30*(1-$EW$33)-(0.05-INDEX(绊状态确认!V:V,MATCH($G5,绊状态确认!$B:$B,)))*$EW$29,0)+IF(O5="gd",-(0.05-INDEX(绊状态确认!X:X,MATCH($G5,绊状态确认!$B:$B,)))*$EW$32*$EW$30*(1-$EW$33)+$EW$26*(-HP($EW$62,$EW$65,$EW$64)+HP($EW$62,$EW$65,0.95*$EW$64)),0)</f>
        <v>-1780.0000000000005</v>
      </c>
      <c r="BL5" s="1111">
        <f t="shared" si="29"/>
        <v>-2166.6666666666665</v>
      </c>
      <c r="BM5" s="1110">
        <f t="shared" si="30"/>
        <v>-1661.1111111111109</v>
      </c>
      <c r="BN5" s="1113">
        <f t="shared" si="31"/>
        <v>2</v>
      </c>
      <c r="BO5" s="1097">
        <f t="shared" si="32"/>
        <v>3005.1476580839999</v>
      </c>
      <c r="BP5" s="1100">
        <f t="shared" si="33"/>
        <v>147.56068806020068</v>
      </c>
      <c r="BQ5" s="1113" t="s">
        <v>616</v>
      </c>
      <c r="BR5" s="1124" t="s">
        <v>617</v>
      </c>
      <c r="BS5" s="1098">
        <f>IF($P5="","N/A",IF($P5=-1,INDEX('卡片raw data'!AX:AX,MATCH($D5,'卡片raw data'!$F:$F,)),0)+IF($L5="party卡",IF($P5=5,INDEX('卡片raw data'!BD:BD,MATCH($D5,'卡片raw data'!$F:$F,)),IF($P5&gt;=3,INDEX('卡片raw data'!BC:BC,MATCH($D5,'卡片raw data'!$F:$F,)),INDEX('卡片raw data'!BB:BB,MATCH($D5,'卡片raw data'!$F:$F,)))),IF(OR(AND($F5="UR",$P5=0),AND($F5="SR",$P5&gt;=0,$P5&lt;=2),AND($F5="R",$P5&gt;=0,$P5&lt;4)),INDEX('卡片raw data'!AZ:AZ,MATCH($D5,'卡片raw data'!$F:$F,)),0)+IF(OR(AND($F5="UR",$P5&gt;=1,$P5&lt;=4),AND($F5="SR",$P5&lt;=4,$P5&gt;=3),AND($F5="R",$P5=4)),INDEX('卡片raw data'!BA:BA,MATCH($D5,'卡片raw data'!$F:$F,)),0)+IF($P5=5,INDEX('卡片raw data'!BB:BB,MATCH($D5,'卡片raw data'!$F:$F,)),0)))</f>
        <v>2.7E-2</v>
      </c>
      <c r="BT5" s="1101">
        <f t="shared" si="34"/>
        <v>1061.1892806462897</v>
      </c>
      <c r="BU5" s="1097">
        <f t="shared" si="35"/>
        <v>76.759215015347351</v>
      </c>
      <c r="BV5" s="1097">
        <f t="shared" si="36"/>
        <v>636.71356838777365</v>
      </c>
      <c r="BW5" s="1112">
        <f t="shared" si="37"/>
        <v>0</v>
      </c>
      <c r="BX5" s="1100">
        <f t="shared" si="38"/>
        <v>1061.1892806462897</v>
      </c>
      <c r="BY5" s="1110">
        <f t="shared" si="39"/>
        <v>636.71356838777365</v>
      </c>
      <c r="BZ5" s="1107" t="s">
        <v>569</v>
      </c>
      <c r="CA5" s="1124"/>
      <c r="CB5" s="1098">
        <f>IF($P5="","N/A",IF($P5=-1,INDEX('卡片raw data'!BE:BE,MATCH($D5,'卡片raw data'!$F:$F,)),0)+IF($L5="party卡",IF($P5=5,INDEX('卡片raw data'!BK:BK,MATCH($D5,'卡片raw data'!$F:$F,)),IF($P5&gt;=3,INDEX('卡片raw data'!BJ:BJ,MATCH($D5,'卡片raw data'!$F:$F,)),INDEX('卡片raw data'!BI:BI,MATCH($D5,'卡片raw data'!$F:$F,)))),IF(OR(AND($F5="UR",$P5=0),AND($F5="SR",$P5&gt;=0,$P5&lt;=2),AND($F5="R",$P5&gt;=0,$P5&lt;4)),INDEX('卡片raw data'!BG:BG,MATCH($D5,'卡片raw data'!$F:$F,)),0)+IF(OR(AND($F5="UR",$P5&gt;=1,$P5&lt;=4),AND($F5="SR",$P5&lt;=4,$P5&gt;=3),AND($F5="R",$P5=4)),INDEX('卡片raw data'!BH:BH,MATCH($D5,'卡片raw data'!$F:$F,)),0)+IF($P5=5,INDEX('卡片raw data'!BI:BI,MATCH($D5,'卡片raw data'!$F:$F,)),0)))</f>
        <v>0</v>
      </c>
      <c r="CC5" s="1101">
        <f t="shared" si="40"/>
        <v>0</v>
      </c>
      <c r="CD5" s="1097">
        <f>IF(BZ5="ap",CB5*(1-$FI$26)*$FB$5/$FB$11*(+IF(CA5="全员",$FA$24,0)+IF(CA5="同作战",$FA$24,0)+IF(CA5="仲间",$FA$24*2/3,0)+IF(CA5="同属性",$FA$24*$FA$37/3,0)+IF(CA5="同年级",$FA$24*$FA$40/3,0)+IF(CA5="同学校",$FA$24*$FA$43/3,0)+IF(CA5="同小队",$FA$24*$FA$46/3,0)+IF(CA5="同type",$FA$24*INDEX($FB$49:$FB$52,MATCH(X5,$FA$49:$FA$52,))/3,0)+IF(CA5="自身",#REF!/3,0)),0)+IF(BZ5="te",CB5*(1-$FI$27)*($FA$20-1)*$FB$7/$FB$13*(+IF(CA5="全员",$FA$19*$FA$24/(1+($FA$20-1)*$FA$19),0)+IF(CA5="同作战",$FA$19*$FA$24/(1+($FA$20-1)*$FA$19),0)+IF(CA5="仲间",$FA$19*$FA$24*2/3/(1+($FA$20-1)*$FA$19),0)+IF(CA5="同属性",$FA$19*$FA$24*$FA$37/3/(1+($FA$20-1)*$FA$19),0)+IF(CA5="同年级",$FA$19*$FA$24*$FA$40/3/(1+($FA$20-1)*$FA$19),0)+IF(CA5="同学校",$FA$19*$FA$24*$FA$43/3/(1+($FA$20-1)*$FA$19),0)+IF(CA5="同小队",$FA$19*$FA$24*$FA$46/3/(1+($FA$20-1)*$FA$19),0)+IF(CA5="同type",$FA$19*$FA$24*INDEX($FB$49:$FB$52,MATCH(X5,$FA$49:$FA$52,))/3/(1+($FA$20-1)*$FA$19),0)+IF(CA5="自身",$FA$19*#REF!/3/(1+(BH5-1)*$BD5),0)),0)</f>
        <v>0</v>
      </c>
      <c r="CE5" s="1097">
        <f t="shared" si="41"/>
        <v>0</v>
      </c>
      <c r="CF5" s="1112">
        <f t="shared" si="42"/>
        <v>0</v>
      </c>
      <c r="CG5" s="1100">
        <f t="shared" si="43"/>
        <v>0</v>
      </c>
      <c r="CH5" s="1110">
        <f t="shared" si="44"/>
        <v>0</v>
      </c>
      <c r="CI5" s="1113"/>
      <c r="CJ5" s="1114"/>
      <c r="CK5" s="1115" t="s">
        <v>569</v>
      </c>
      <c r="CL5" s="1115"/>
      <c r="CM5" s="1119"/>
      <c r="CN5" s="1115"/>
      <c r="CO5" s="1092"/>
      <c r="CP5" s="1117">
        <f t="shared" si="45"/>
        <v>0</v>
      </c>
      <c r="CQ5" s="1117">
        <f t="shared" si="46"/>
        <v>0</v>
      </c>
      <c r="CR5" s="1117">
        <f t="shared" si="47"/>
        <v>0</v>
      </c>
      <c r="CS5" s="1118">
        <f t="shared" si="48"/>
        <v>0</v>
      </c>
      <c r="CT5" s="1109">
        <f t="shared" si="49"/>
        <v>0</v>
      </c>
      <c r="CU5" s="1101">
        <f t="shared" si="50"/>
        <v>0</v>
      </c>
      <c r="CV5" s="1108">
        <f t="shared" si="51"/>
        <v>0</v>
      </c>
      <c r="CW5" s="1097">
        <f t="shared" si="52"/>
        <v>0</v>
      </c>
      <c r="CX5" s="1097">
        <f t="shared" si="53"/>
        <v>0</v>
      </c>
      <c r="CY5" s="1110">
        <f t="shared" si="54"/>
        <v>0</v>
      </c>
      <c r="CZ5" s="437"/>
      <c r="DA5" s="438"/>
      <c r="DB5" s="439" t="s">
        <v>569</v>
      </c>
      <c r="DC5" s="439"/>
      <c r="DD5" s="443"/>
      <c r="DE5" s="411"/>
      <c r="DF5" s="411"/>
      <c r="DG5" s="1116">
        <f t="shared" si="55"/>
        <v>0</v>
      </c>
      <c r="DH5" s="1116">
        <f t="shared" si="56"/>
        <v>0</v>
      </c>
      <c r="DI5" s="1116">
        <f t="shared" si="57"/>
        <v>0</v>
      </c>
      <c r="DJ5" s="442">
        <f t="shared" si="58"/>
        <v>0</v>
      </c>
      <c r="DK5" s="1109">
        <f t="shared" si="59"/>
        <v>0</v>
      </c>
      <c r="DL5" s="1101">
        <f t="shared" si="60"/>
        <v>0</v>
      </c>
      <c r="DM5" s="1097">
        <f t="shared" si="61"/>
        <v>0</v>
      </c>
      <c r="DN5" s="1097">
        <f t="shared" si="62"/>
        <v>0</v>
      </c>
      <c r="DO5" s="1097">
        <f t="shared" si="63"/>
        <v>0</v>
      </c>
      <c r="DP5" s="1110">
        <f t="shared" si="64"/>
        <v>0</v>
      </c>
      <c r="DQ5" s="1113" t="s">
        <v>547</v>
      </c>
      <c r="DR5" s="1120">
        <f t="shared" si="65"/>
        <v>0.3</v>
      </c>
      <c r="DS5" s="1124">
        <v>10</v>
      </c>
      <c r="DT5" s="1093" t="s">
        <v>161</v>
      </c>
      <c r="DU5" s="1093" t="s">
        <v>544</v>
      </c>
      <c r="DV5" s="1098">
        <f>IF($P5="","N/A",IF(P5=-1,INDEX('卡片raw data'!AN:AN,MATCH(D5,'卡片raw data'!$F:$F,)),0)+IF(AND(L5&lt;&gt;"party卡",P5&lt;=2,P5&gt;=0),INDEX('卡片raw data'!AP:AP,MATCH(D5,'卡片raw data'!$F:$F,)),0)+IF(OR(AND(L5="party卡",P5&lt;=1),AND(P5&lt;=4,L5&lt;&gt;"party卡",P5&gt;=3)),INDEX('卡片raw data'!AQ:AQ,MATCH(D5,'卡片raw data'!$F:$F,)),0)+IF(OR(P5=5,AND(L5="party卡",P5&gt;=2)),INDEX('卡片raw data'!AR:AR,MATCH(D5,'卡片raw data'!$F:$F,)),0))</f>
        <v>4.2000000000000003E-2</v>
      </c>
      <c r="DW5" s="1098">
        <f t="shared" si="66"/>
        <v>0.3</v>
      </c>
      <c r="DX5" s="1098">
        <f t="shared" si="67"/>
        <v>0.3</v>
      </c>
      <c r="DY5" s="1098">
        <f t="shared" si="68"/>
        <v>4.1999999999999996E-2</v>
      </c>
      <c r="DZ5" s="1098">
        <f t="shared" si="69"/>
        <v>3.6329999999999994E-2</v>
      </c>
      <c r="EA5" s="1098">
        <f t="shared" si="70"/>
        <v>0</v>
      </c>
      <c r="EB5" s="1121">
        <f t="shared" si="71"/>
        <v>8.3802468749999992</v>
      </c>
      <c r="EC5" s="1101">
        <f t="shared" si="72"/>
        <v>545.99999999999989</v>
      </c>
      <c r="ED5" s="1097">
        <f t="shared" si="73"/>
        <v>362.08899999999988</v>
      </c>
      <c r="EE5" s="1110">
        <f t="shared" si="74"/>
        <v>545.99999999999989</v>
      </c>
      <c r="EF5" s="1092" t="s">
        <v>711</v>
      </c>
      <c r="EG5" s="1120">
        <f t="shared" si="75"/>
        <v>0.3</v>
      </c>
      <c r="EH5" s="1124"/>
      <c r="EI5" s="1093"/>
      <c r="EJ5" s="1093"/>
      <c r="EK5" s="1097">
        <f>IF($P5="","N/A",IF(P5=-1,INDEX('卡片raw data'!AS:AS,MATCH(D5,'卡片raw data'!$F:$F,)),0)+IF(AND(L5&lt;&gt;"party卡",P5&lt;=2,P5&gt;=0),INDEX('卡片raw data'!AU:AU,MATCH(D5,'卡片raw data'!$F:$F,)),0)+IF(OR(AND(L5="party卡",P5&lt;=1),AND(P5&lt;=4,L5&lt;&gt;"party卡",P5&gt;=3)),INDEX('卡片raw data'!AV:AV,MATCH(D5,'卡片raw data'!$F:$F,)),0)+IF(OR(P5=5,AND(L5="party卡",P5&gt;=2)),INDEX('卡片raw data'!AW:AW,MATCH(D5,'卡片raw data'!$F:$F,)),0))</f>
        <v>0</v>
      </c>
      <c r="EL5" s="1098">
        <f t="shared" si="76"/>
        <v>0.3</v>
      </c>
      <c r="EM5" s="1098">
        <f t="shared" si="77"/>
        <v>0.3</v>
      </c>
      <c r="EN5" s="1125">
        <f t="shared" si="78"/>
        <v>0</v>
      </c>
      <c r="EO5" s="1125">
        <f t="shared" si="79"/>
        <v>0</v>
      </c>
      <c r="EP5" s="1098">
        <f t="shared" si="80"/>
        <v>0</v>
      </c>
      <c r="EQ5" s="1121">
        <f t="shared" si="81"/>
        <v>0</v>
      </c>
      <c r="ER5" s="1101">
        <f t="shared" si="82"/>
        <v>0</v>
      </c>
      <c r="ES5" s="1097">
        <f t="shared" si="83"/>
        <v>0</v>
      </c>
      <c r="ET5" s="1122">
        <f t="shared" si="84"/>
        <v>0</v>
      </c>
      <c r="EV5" s="1348" t="s">
        <v>230</v>
      </c>
      <c r="EW5" s="1213" t="s">
        <v>143</v>
      </c>
      <c r="EX5" s="1214">
        <v>16000</v>
      </c>
      <c r="EY5" s="1212"/>
      <c r="EZ5" s="1348" t="s">
        <v>230</v>
      </c>
      <c r="FA5" s="1213" t="s">
        <v>143</v>
      </c>
      <c r="FB5" s="1214">
        <v>14000</v>
      </c>
      <c r="FC5" s="447"/>
      <c r="FD5" s="454" t="s">
        <v>9</v>
      </c>
      <c r="FE5" s="1353" t="s">
        <v>4934</v>
      </c>
      <c r="FF5" s="1353"/>
      <c r="FG5" s="447"/>
      <c r="FH5" s="563" t="s">
        <v>231</v>
      </c>
      <c r="FI5" s="564" t="s">
        <v>232</v>
      </c>
      <c r="FJ5" s="565">
        <f>SUMPRODUCT(FJ16:FJ23,FI16:FI23)</f>
        <v>1.53</v>
      </c>
      <c r="FL5" s="1372" t="s">
        <v>693</v>
      </c>
      <c r="FM5" s="455" t="s">
        <v>13</v>
      </c>
      <c r="FN5" s="456">
        <v>2</v>
      </c>
    </row>
    <row r="6" spans="1:170" ht="16.5" customHeight="1">
      <c r="B6" s="1123" t="str">
        <f>INDEX('卡片raw data'!B:B,MATCH($D6,'卡片raw data'!$F:$F,))</f>
        <v>打工果</v>
      </c>
      <c r="C6" s="449" t="s">
        <v>123</v>
      </c>
      <c r="D6" s="408">
        <v>3</v>
      </c>
      <c r="E6" s="1090">
        <v>100012001</v>
      </c>
      <c r="F6" s="1090" t="str">
        <f>INDEX('卡片raw data'!C:C,MATCH($D6,'卡片raw data'!$F:$F,))</f>
        <v>SR</v>
      </c>
      <c r="G6" s="1094" t="s">
        <v>331</v>
      </c>
      <c r="H6" s="411">
        <f>IFERROR(INDEX(绊状态确认!C:C,MATCH($G6,绊状态确认!$B:$B,)),"")</f>
        <v>1</v>
      </c>
      <c r="I6" s="450" t="str">
        <f>IFERROR(INDEX(绊状态确认!D:D,MATCH($G6,绊状态确认!$B:$B,)),"")</f>
        <v>缪</v>
      </c>
      <c r="J6" s="450" t="str">
        <f>IFERROR(INDEX(绊状态确认!E:E,MATCH($G6,绊状态确认!$B:$B,)),"")</f>
        <v>2年级</v>
      </c>
      <c r="K6" s="451" t="str">
        <f>IFERROR(INDEX(绊状态确认!F:F,MATCH($G6,绊状态确认!$B:$B,)),"")</f>
        <v>Printemps</v>
      </c>
      <c r="L6" s="1094" t="str">
        <f>INDEX('卡片raw data'!E:E,MATCH($D6,'卡片raw data'!$F:$F,))</f>
        <v>卡池卡</v>
      </c>
      <c r="M6" s="415">
        <v>43735</v>
      </c>
      <c r="N6" s="416">
        <v>0</v>
      </c>
      <c r="O6" s="1091" t="str">
        <f>INDEX('卡片raw data'!D:D,MATCH($D6,'卡片raw data'!$F:$F,))</f>
        <v>sk</v>
      </c>
      <c r="P6" s="417">
        <v>5</v>
      </c>
      <c r="Q6" s="1095">
        <f t="shared" si="0"/>
        <v>19555.186442000348</v>
      </c>
      <c r="R6" s="1096">
        <f t="shared" si="1"/>
        <v>0.22700000000000001</v>
      </c>
      <c r="S6" s="1097">
        <f t="shared" si="2"/>
        <v>14365.19523709985</v>
      </c>
      <c r="T6" s="1098">
        <f t="shared" si="3"/>
        <v>0.71799999999999997</v>
      </c>
      <c r="U6" s="1099">
        <f t="shared" si="4"/>
        <v>11.192176471542858</v>
      </c>
      <c r="V6" s="1100">
        <f t="shared" si="5"/>
        <v>22446.572408432257</v>
      </c>
      <c r="W6" s="1101">
        <f t="shared" si="6"/>
        <v>5326.0552331549088</v>
      </c>
      <c r="X6" s="1096">
        <f t="shared" si="7"/>
        <v>6.0999999999999999E-2</v>
      </c>
      <c r="Y6" s="1097">
        <f t="shared" si="8"/>
        <v>891.38596643190976</v>
      </c>
      <c r="Z6" s="1102">
        <f t="shared" si="9"/>
        <v>11.192176471542858</v>
      </c>
      <c r="AA6" s="1103">
        <f t="shared" si="10"/>
        <v>6217.4411995868186</v>
      </c>
      <c r="AB6" s="1101">
        <f t="shared" si="11"/>
        <v>6080.678721614493</v>
      </c>
      <c r="AC6" s="1104">
        <f t="shared" si="12"/>
        <v>7.0000000000000007E-2</v>
      </c>
      <c r="AD6" s="1105">
        <f t="shared" si="13"/>
        <v>1.8994224431818179E-2</v>
      </c>
      <c r="AE6" s="1128">
        <f t="shared" si="14"/>
        <v>4.3537577047458456</v>
      </c>
      <c r="AF6" s="1130">
        <f t="shared" si="15"/>
        <v>0</v>
      </c>
      <c r="AG6" s="420">
        <f t="shared" si="16"/>
        <v>0</v>
      </c>
      <c r="AH6" s="420">
        <f t="shared" si="17"/>
        <v>0</v>
      </c>
      <c r="AI6" s="1097">
        <f t="shared" si="18"/>
        <v>0</v>
      </c>
      <c r="AJ6" s="420">
        <f t="shared" si="19"/>
        <v>0</v>
      </c>
      <c r="AK6" s="518">
        <f t="shared" si="20"/>
        <v>0</v>
      </c>
      <c r="AL6" s="1106">
        <f>IF($P6="","N/A",(IF($P6=-1,INDEX('卡片raw data'!S:S,MATCH($D6,'卡片raw data'!$F:$F,)),0)+IF($P6=0,INDEX('卡片raw data'!V:V,MATCH($D6,'卡片raw data'!$F:$F,)),0)+IF($P6=1,INDEX('卡片raw data'!Y:Y,MATCH($D6,'卡片raw data'!$F:$F,)),0)+IF($P6=2,INDEX('卡片raw data'!AB:AB,MATCH($D6,'卡片raw data'!$F:$F,)),0)+IF($P6=3,INDEX('卡片raw data'!AE:AE,MATCH($D6,'卡片raw data'!$F:$F,)),0)+IF($P6=4,INDEX('卡片raw data'!AH:AH,MATCH($D6,'卡片raw data'!$F:$F,)),0)+IF($P6=5,INDEX('卡片raw data'!AK:AK,MATCH($D6,'卡片raw data'!$F:$F,)),0)+INDEX('卡片raw data'!S:S,MATCH($D6,'卡片raw data'!$F:$F,))*(IF($F6="UR",0.04,0.033))*(IF($F6="UR",INDEX(绊状态确认!$S:$S,MATCH($G6,绊状态确认!$B:$B,))/2-40)+IF($F6="SR",INDEX(绊状态确认!$R:$R,MATCH($G6,绊状态确认!$B:$B,))/4-15))+IF($F6="R",INDEX(绊状态确认!$Q:$Q,MATCH($G6,绊状态确认!$B:$B,))/6-40/6)))*(INDEX(绊状态确认!$H:$H,MATCH($G6,绊状态确认!$B:$B,))+INDEX(绊状态确认!J:J,MATCH($G6,绊状态确认!$B:$B,)))</f>
        <v>7562.4238079999996</v>
      </c>
      <c r="AM6" s="1106">
        <f>IF($P6="","N/A",(IF($P6=-1,INDEX('卡片raw data'!T:T,MATCH($D6,'卡片raw data'!$F:$F,)),0)+IF($P6=0,INDEX('卡片raw data'!W:W,MATCH($D6,'卡片raw data'!$F:$F,)),0)+IF($P6=1,INDEX('卡片raw data'!Z:Z,MATCH($D6,'卡片raw data'!$F:$F,)),0)+IF($P6=2,INDEX('卡片raw data'!AC:AC,MATCH($D6,'卡片raw data'!$F:$F,)),0)+IF($P6=3,INDEX('卡片raw data'!AF:AF,MATCH($D6,'卡片raw data'!$F:$F,)),0)+IF($P6=4,INDEX('卡片raw data'!AI:AI,MATCH($D6,'卡片raw data'!$F:$F,)),0)+IF($P6=5,INDEX('卡片raw data'!AL:AL,MATCH($D6,'卡片raw data'!$F:$F,)),0)+INDEX('卡片raw data'!T:T,MATCH($D6,'卡片raw data'!$F:$F,))*(IF($F6="UR",0.04,0.033))*(IF($F6="UR",INDEX(绊状态确认!$S:$S,MATCH($G6,绊状态确认!$B:$B,))/2-40)+IF($F6="SR",INDEX(绊状态确认!$R:$R,MATCH($G6,绊状态确认!$B:$B,))/4-15))+IF($F6="R",INDEX(绊状态确认!$Q:$Q,MATCH($G6,绊状态确认!$B:$B,))/6-40/6)))*(INDEX(绊状态确认!$H:$H,MATCH($G6,绊状态确认!$B:$B,))+INDEX(绊状态确认!K:K,MATCH($G6,绊状态确认!$B:$B,)))</f>
        <v>5671.8178559999997</v>
      </c>
      <c r="AN6" s="1106">
        <f>IF($P6="","N/A",(IF($P6=-1,INDEX('卡片raw data'!U:U,MATCH($D6,'卡片raw data'!$F:$F,)),0)+IF($P6=0,INDEX('卡片raw data'!X:X,MATCH($D6,'卡片raw data'!$F:$F,)),0)+IF($P6=1,INDEX('卡片raw data'!AA:AA,MATCH($D6,'卡片raw data'!$F:$F,)),0)+IF($P6=2,INDEX('卡片raw data'!AD:AD,MATCH($D6,'卡片raw data'!$F:$F,)),0)+IF($P6=3,INDEX('卡片raw data'!AG:AG,MATCH($D6,'卡片raw data'!$F:$F,)),0)+IF($P6=4,INDEX('卡片raw data'!AJ:AJ,MATCH($D6,'卡片raw data'!$F:$F,)),0)+IF($P6=5,INDEX('卡片raw data'!AM:AM,MATCH($D6,'卡片raw data'!$F:$F,)),0)+INDEX('卡片raw data'!U:U,MATCH($D6,'卡片raw data'!$F:$F,))*(IF($F6="UR",0.04,0.033))*(IF($F6="UR",INDEX(绊状态确认!$S:$S,MATCH($G6,绊状态确认!$B:$B,))/2-40)+IF($F6="SR",INDEX(绊状态确认!$R:$R,MATCH($G6,绊状态确认!$B:$B,))/4-15))+IF($F6="R",INDEX(绊状态确认!$Q:$Q,MATCH($G6,绊状态确认!$B:$B,))/6-40/6)))*(INDEX(绊状态确认!$H:$H,MATCH($G6,绊状态确认!$B:$B,))+INDEX(绊状态确认!L:L,MATCH($G6,绊状态确认!$B:$B,)))</f>
        <v>5671.8178559999997</v>
      </c>
      <c r="AO6" s="1107">
        <f t="shared" si="21"/>
        <v>1</v>
      </c>
      <c r="AP6" s="1131">
        <f>1+(INDEX(绊状态确认!$T:$T,MATCH($G6,绊状态确认!$B:$B,))+0.2)*$AO6</f>
        <v>1.3</v>
      </c>
      <c r="AQ6" s="1108">
        <f t="shared" si="22"/>
        <v>23101.362496000002</v>
      </c>
      <c r="AR6" s="1097">
        <f>(AM6*(1+$EX$9)+$EX$35)*(1+(INDEX(绊状态确认!$T:$T,MATCH($G6,绊状态确认!$B:$B,))+0.2)*AO6)*IF(J6=$FF$17,1+$FE$17,1)*IF(I6=$FF$14,1+$FE$14,1)</f>
        <v>10446.031373440001</v>
      </c>
      <c r="AS6" s="1097">
        <f>(AN6*(1+$EX$10)+$EX$36)*(1+(INDEX(绊状态确认!$T:$T,MATCH($G6,绊状态确认!$B:$B,))+0.2)*AO6)*IF(J6=$FF$17,1+$FE$17,1)*IF(I6=$FF$14,1+$FE$14,1)</f>
        <v>12535.367694719998</v>
      </c>
      <c r="AT6" s="1093">
        <f>IF(AND(INDEX('卡片raw data'!AK:AK,MATCH($D6,'卡片raw data'!$F:$F,))&lt;INDEX('卡片raw data'!AM:AM,MATCH($D6,'卡片raw data'!$F:$F,)),INDEX('卡片raw data'!AL:AL,MATCH($D6,'卡片raw data'!$F:$F,))&lt;INDEX('卡片raw data'!AM:AM,MATCH($D6,'卡片raw data'!$F:$F,))),1,0)</f>
        <v>0</v>
      </c>
      <c r="AU6" s="1098">
        <f>MIN(AT6*0.15+AS6*0.00003+INDEX(绊状态确认!M:M,MATCH($G6,绊状态确认!$B:$B,)),1)</f>
        <v>0.4060610308416</v>
      </c>
      <c r="AV6" s="1109">
        <f>(INDEX(绊状态确认!$N:$N,MATCH($G6,绊状态确认!$B:$B,))+1.5)*$EW$21</f>
        <v>2.6599999999999997</v>
      </c>
      <c r="AW6" s="1101">
        <f t="shared" si="23"/>
        <v>20084.744824564968</v>
      </c>
      <c r="AX6" s="1097">
        <f t="shared" si="24"/>
        <v>891.38596643190999</v>
      </c>
      <c r="AY6" s="1110">
        <f t="shared" si="25"/>
        <v>20976.130790996878</v>
      </c>
      <c r="AZ6" s="429">
        <f t="shared" si="26"/>
        <v>17346.726425599998</v>
      </c>
      <c r="BA6" s="431">
        <f t="shared" si="27"/>
        <v>20816.071710719996</v>
      </c>
      <c r="BB6" s="1097">
        <f>(AM6*(1+$FB$9)+$FB$35)*(1+(INDEX(绊状态确认!$T:$T,MATCH($G6,绊状态确认!$B:$B,))+0.2)*AO6)*IF(J6=$FF$17,1+$FE$17,1)*IF(I6=$FF$14,1+$FE$14,1)*(1+$FE$15)</f>
        <v>10446.031373440001</v>
      </c>
      <c r="BC6" s="1097">
        <f>(AN6*(1+$FB$10)+$FB$36)*(1+(INDEX(绊状态确认!$T:$T,MATCH($G6,绊状态确认!$B:$B,))+0.2)*AO6)*IF(J6=$FF$17,1+$FE$17,1)*IF(I6=$FF$14,1+$FE$14,1)*(1+$FE$15)</f>
        <v>12535.367694719998</v>
      </c>
      <c r="BD6" s="1104">
        <f>MIN(AT6*0.15+BC6*0.00003+INDEX(绊状态确认!M:M,MATCH($G6,绊状态确认!$B:$B,)),1)</f>
        <v>0.4060610308416</v>
      </c>
      <c r="BE6" s="432">
        <f>(INDEX(绊状态确认!$N:$N,MATCH($G6,绊状态确认!$B:$B,))+1.5)</f>
        <v>1.9</v>
      </c>
      <c r="BF6" s="1139">
        <f t="array" ref="BF6">SUMPRODUCT(IF(AZ6*AP6*$FI$16:$FI$23*$FA$22&gt;=$FI$24,$FI$24,AZ6*AP6*$FI$16:$FI$23*$FA$22),$FJ$16:$FJ$23)</f>
        <v>34502.638860518404</v>
      </c>
      <c r="BG6" s="1125">
        <f t="array" ref="BG6">SUMPRODUCT(IF(BE6*AZ6*AP6*$FI$16:$FI$23*$FA$22&gt;=$FI$24,$FI$24,BE6*AZ6*AP6*$FI$16:$FI$23*$FA$22),$FJ$16:$FJ$23)</f>
        <v>58708.599563752956</v>
      </c>
      <c r="BH6" s="1110">
        <f t="shared" si="28"/>
        <v>14777.24540539503</v>
      </c>
      <c r="BI6" s="1111">
        <f>IF(O6="vo",$EW$26/$EW$24*0.05,0)+IF(O6="sk",-$EW$26/$EW$24*(0.05-INDEX(绊状态确认!W:W,MATCH($G6,绊状态确认!$B:$B,)))+0.05*$EW$28,0)+IF(O6="sp",0.05*$EW$32*$EW$30*(1-$EW$33)-(0.05-INDEX(绊状态确认!V:V,MATCH($G6,绊状态确认!$B:$B,)))*$EW$28,0)+IF(O6="gd",-(0.05-INDEX(绊状态确认!X:X,MATCH($G6,绊状态确认!$B:$B,)))*$EW$32*$EW$30*(1-$EW$33),0)</f>
        <v>-6253.6726349699375</v>
      </c>
      <c r="BJ6" s="1097">
        <f>IF(O6="vo",0.05*(1-$FI$26)*$FA$24,0)+IF(O6="sk",-(0.05-INDEX(绊状态确认!W:W,MATCH($G6,绊状态确认!$B:$B,)))*(1-$FI$26)*$FA$24+0.05*$FA$26,0)+IF(O6="sp",0.05*$FA$32*$FA$27*(1-$FA$33)/$FA$30+0.05*$FA$29/$FA$69*$FA$27*(1-$FA$33)-(0.05-INDEX(绊状态确认!V:V,MATCH($G6,绊状态确认!$B:$B,)))*$FA$26,0)+IF(O6="gd",-(0.05-INDEX(绊状态确认!X:X,MATCH($G6,绊状态确认!$B:$B,)))*$FA$32*$FA$27*(1-$FA$33)/$FA$30-(0.05-INDEX(绊状态确认!X:X,MATCH($G6,绊状态确认!$B:$B,)))*$FA$29/$FA$69*$FA$27*(1-$FA$33),0)</f>
        <v>20.459096812499922</v>
      </c>
      <c r="BK6" s="1110">
        <f>IF(O6="vo",$EW$26/$EW$24*0.05+$EW$26*(-HP($EW$62,$EW$65,$EW$64)+HP($EW$62,$EW$65,(1.05-INDEX(绊状态确认!U:U,MATCH($G6,绊状态确认!$B:$B,)))*$EW$64)),0)+IF(O6="sk",-$EW$26/$EW$24*(0.05-INDEX(绊状态确认!W:W,MATCH($G6,绊状态确认!$B:$B,)))+0.05*$EW$29,0)+IF(O6="sp",0.05*$EW$32*$EW$30*(1-$EW$33)-(0.05-INDEX(绊状态确认!V:V,MATCH($G6,绊状态确认!$B:$B,)))*$EW$29,0)+IF(O6="gd",-(0.05-INDEX(绊状态确认!X:X,MATCH($G6,绊状态确认!$B:$B,)))*$EW$32*$EW$30*(1-$EW$33)+$EW$26*(-HP($EW$62,$EW$65,$EW$64)+HP($EW$62,$EW$65,0.95*$EW$64)),0)</f>
        <v>-4253.6726349699375</v>
      </c>
      <c r="BL6" s="1111">
        <f t="shared" si="29"/>
        <v>-1083.3333333333333</v>
      </c>
      <c r="BM6" s="1110">
        <f t="shared" si="30"/>
        <v>-830.55555555555543</v>
      </c>
      <c r="BN6" s="1113">
        <f t="shared" si="31"/>
        <v>3</v>
      </c>
      <c r="BO6" s="1097">
        <f t="shared" si="32"/>
        <v>4507.7214871259994</v>
      </c>
      <c r="BP6" s="1100">
        <f t="shared" si="33"/>
        <v>221.34103209030098</v>
      </c>
      <c r="BQ6" s="1113" t="s">
        <v>616</v>
      </c>
      <c r="BR6" s="1124" t="s">
        <v>171</v>
      </c>
      <c r="BS6" s="1098">
        <f>IF($P6="","N/A",IF($P6=-1,INDEX('卡片raw data'!AX:AX,MATCH($D6,'卡片raw data'!$F:$F,)),0)+IF($L6="party卡",IF($P6=5,INDEX('卡片raw data'!BD:BD,MATCH($D6,'卡片raw data'!$F:$F,)),IF($P6&gt;=3,INDEX('卡片raw data'!BC:BC,MATCH($D6,'卡片raw data'!$F:$F,)),INDEX('卡片raw data'!BB:BB,MATCH($D6,'卡片raw data'!$F:$F,)))),IF(OR(AND($F6="UR",$P6=0),AND($F6="SR",$P6&gt;=0,$P6&lt;=2),AND($F6="R",$P6&gt;=0,$P6&lt;4)),INDEX('卡片raw data'!AZ:AZ,MATCH($D6,'卡片raw data'!$F:$F,)),0)+IF(OR(AND($F6="UR",$P6&gt;=1,$P6&lt;=4),AND($F6="SR",$P6&lt;=4,$P6&gt;=3),AND($F6="R",$P6=4)),INDEX('卡片raw data'!BA:BA,MATCH($D6,'卡片raw data'!$F:$F,)),0)+IF($P6=5,INDEX('卡片raw data'!BB:BB,MATCH($D6,'卡片raw data'!$F:$F,)),0)))</f>
        <v>3.2000000000000001E-2</v>
      </c>
      <c r="BT6" s="1101">
        <f t="shared" si="34"/>
        <v>1509.2469769191675</v>
      </c>
      <c r="BU6" s="1097">
        <f t="shared" si="35"/>
        <v>95.522578685765595</v>
      </c>
      <c r="BV6" s="1097">
        <f t="shared" si="36"/>
        <v>754.62348845958354</v>
      </c>
      <c r="BW6" s="1112">
        <f t="shared" si="37"/>
        <v>0</v>
      </c>
      <c r="BX6" s="1100">
        <f t="shared" si="38"/>
        <v>1509.2469769191675</v>
      </c>
      <c r="BY6" s="1110">
        <f t="shared" si="39"/>
        <v>754.62348845958354</v>
      </c>
      <c r="BZ6" s="1107" t="s">
        <v>569</v>
      </c>
      <c r="CA6" s="1124"/>
      <c r="CB6" s="1098">
        <f>IF($P6="","N/A",IF($P6=-1,INDEX('卡片raw data'!BE:BE,MATCH($D6,'卡片raw data'!$F:$F,)),0)+IF($L6="party卡",IF($P6=5,INDEX('卡片raw data'!BK:BK,MATCH($D6,'卡片raw data'!$F:$F,)),IF($P6&gt;=3,INDEX('卡片raw data'!BJ:BJ,MATCH($D6,'卡片raw data'!$F:$F,)),INDEX('卡片raw data'!BI:BI,MATCH($D6,'卡片raw data'!$F:$F,)))),IF(OR(AND($F6="UR",$P6=0),AND($F6="SR",$P6&gt;=0,$P6&lt;=2),AND($F6="R",$P6&gt;=0,$P6&lt;4)),INDEX('卡片raw data'!BG:BG,MATCH($D6,'卡片raw data'!$F:$F,)),0)+IF(OR(AND($F6="UR",$P6&gt;=1,$P6&lt;=4),AND($F6="SR",$P6&lt;=4,$P6&gt;=3),AND($F6="R",$P6=4)),INDEX('卡片raw data'!BH:BH,MATCH($D6,'卡片raw data'!$F:$F,)),0)+IF($P6=5,INDEX('卡片raw data'!BI:BI,MATCH($D6,'卡片raw data'!$F:$F,)),0)))</f>
        <v>0</v>
      </c>
      <c r="CC6" s="1101">
        <f t="shared" si="40"/>
        <v>0</v>
      </c>
      <c r="CD6" s="1097">
        <f>IF(BZ6="ap",CB6*(1-$FI$26)*$FB$5/$FB$11*(+IF(CA6="全员",$FA$24,0)+IF(CA6="同作战",$FA$24,0)+IF(CA6="仲间",$FA$24*2/3,0)+IF(CA6="同属性",$FA$24*$FA$37/3,0)+IF(CA6="同年级",$FA$24*$FA$40/3,0)+IF(CA6="同学校",$FA$24*$FA$43/3,0)+IF(CA6="同小队",$FA$24*$FA$46/3,0)+IF(CA6="同type",$FA$24*INDEX($FB$49:$FB$52,MATCH(X6,$FA$49:$FA$52,))/3,0)+IF(CA6="自身",#REF!/3,0)),0)+IF(BZ6="te",CB6*(1-$FI$27)*($FA$20-1)*$FB$7/$FB$13*(+IF(CA6="全员",$FA$19*$FA$24/(1+($FA$20-1)*$FA$19),0)+IF(CA6="同作战",$FA$19*$FA$24/(1+($FA$20-1)*$FA$19),0)+IF(CA6="仲间",$FA$19*$FA$24*2/3/(1+($FA$20-1)*$FA$19),0)+IF(CA6="同属性",$FA$19*$FA$24*$FA$37/3/(1+($FA$20-1)*$FA$19),0)+IF(CA6="同年级",$FA$19*$FA$24*$FA$40/3/(1+($FA$20-1)*$FA$19),0)+IF(CA6="同学校",$FA$19*$FA$24*$FA$43/3/(1+($FA$20-1)*$FA$19),0)+IF(CA6="同小队",$FA$19*$FA$24*$FA$46/3/(1+($FA$20-1)*$FA$19),0)+IF(CA6="同type",$FA$19*$FA$24*INDEX($FB$49:$FB$52,MATCH(X6,$FA$49:$FA$52,))/3/(1+($FA$20-1)*$FA$19),0)+IF(CA6="自身",$FA$19*#REF!/3/(1+(BH6-1)*$BD6),0)),0)</f>
        <v>0</v>
      </c>
      <c r="CE6" s="1097">
        <f t="shared" si="41"/>
        <v>0</v>
      </c>
      <c r="CF6" s="1112">
        <f t="shared" si="42"/>
        <v>0</v>
      </c>
      <c r="CG6" s="1100">
        <f t="shared" si="43"/>
        <v>0</v>
      </c>
      <c r="CH6" s="1110">
        <f t="shared" si="44"/>
        <v>0</v>
      </c>
      <c r="CI6" s="1113" t="s">
        <v>162</v>
      </c>
      <c r="CJ6" s="1114">
        <v>0.3</v>
      </c>
      <c r="CK6" s="1115" t="s">
        <v>545</v>
      </c>
      <c r="CL6" s="1115" t="s">
        <v>1940</v>
      </c>
      <c r="CM6" s="1119">
        <v>0.3</v>
      </c>
      <c r="CN6" s="1115"/>
      <c r="CO6" s="1092"/>
      <c r="CP6" s="1116">
        <f t="shared" si="45"/>
        <v>57.918415972114289</v>
      </c>
      <c r="CQ6" s="1116">
        <f t="shared" si="46"/>
        <v>81.182679671807975</v>
      </c>
      <c r="CR6" s="1116">
        <f t="shared" si="47"/>
        <v>57.918415972114289</v>
      </c>
      <c r="CS6" s="1118">
        <f t="shared" si="48"/>
        <v>0</v>
      </c>
      <c r="CT6" s="1109">
        <f t="shared" si="49"/>
        <v>0</v>
      </c>
      <c r="CU6" s="1101">
        <f t="shared" si="50"/>
        <v>63.710257569325726</v>
      </c>
      <c r="CV6" s="1108">
        <f t="shared" si="51"/>
        <v>81.182679671807975</v>
      </c>
      <c r="CW6" s="1097">
        <f t="shared" si="52"/>
        <v>63.710257569325726</v>
      </c>
      <c r="CX6" s="1097">
        <f t="shared" si="53"/>
        <v>63.710257569325726</v>
      </c>
      <c r="CY6" s="1110">
        <f t="shared" si="54"/>
        <v>63.710257569325726</v>
      </c>
      <c r="CZ6" s="437"/>
      <c r="DA6" s="438"/>
      <c r="DB6" s="439" t="s">
        <v>569</v>
      </c>
      <c r="DC6" s="439"/>
      <c r="DD6" s="443"/>
      <c r="DE6" s="411"/>
      <c r="DF6" s="411"/>
      <c r="DG6" s="1116">
        <f t="shared" si="55"/>
        <v>0</v>
      </c>
      <c r="DH6" s="1116">
        <f t="shared" si="56"/>
        <v>0</v>
      </c>
      <c r="DI6" s="1116">
        <f t="shared" si="57"/>
        <v>0</v>
      </c>
      <c r="DJ6" s="442">
        <f t="shared" si="58"/>
        <v>0</v>
      </c>
      <c r="DK6" s="1109">
        <f t="shared" si="59"/>
        <v>0</v>
      </c>
      <c r="DL6" s="1101">
        <f t="shared" si="60"/>
        <v>0</v>
      </c>
      <c r="DM6" s="1097">
        <f t="shared" si="61"/>
        <v>0</v>
      </c>
      <c r="DN6" s="1097">
        <f t="shared" si="62"/>
        <v>0</v>
      </c>
      <c r="DO6" s="1097">
        <f t="shared" si="63"/>
        <v>0</v>
      </c>
      <c r="DP6" s="1110">
        <f t="shared" si="64"/>
        <v>0</v>
      </c>
      <c r="DQ6" s="1113" t="s">
        <v>256</v>
      </c>
      <c r="DR6" s="1120">
        <f t="shared" si="65"/>
        <v>0.3</v>
      </c>
      <c r="DS6" s="1124"/>
      <c r="DT6" s="1093" t="s">
        <v>548</v>
      </c>
      <c r="DU6" s="1093"/>
      <c r="DV6" s="1098">
        <f>IF($P6="","N/A",IF(P6=-1,INDEX('卡片raw data'!AN:AN,MATCH(D6,'卡片raw data'!$F:$F,)),0)+IF(AND(L6&lt;&gt;"party卡",P6&lt;=2,P6&gt;=0),INDEX('卡片raw data'!AP:AP,MATCH(D6,'卡片raw data'!$F:$F,)),0)+IF(OR(AND(L6="party卡",P6&lt;=1),AND(P6&lt;=4,L6&lt;&gt;"party卡",P6&gt;=3)),INDEX('卡片raw data'!AQ:AQ,MATCH(D6,'卡片raw data'!$F:$F,)),0)+IF(OR(P6=5,AND(L6="party卡",P6&gt;=2)),INDEX('卡片raw data'!AR:AR,MATCH(D6,'卡片raw data'!$F:$F,)),0))</f>
        <v>0.22</v>
      </c>
      <c r="DW6" s="1098">
        <f t="shared" si="66"/>
        <v>0.3</v>
      </c>
      <c r="DX6" s="1098">
        <f t="shared" si="67"/>
        <v>0.3</v>
      </c>
      <c r="DY6" s="1125">
        <f t="shared" si="68"/>
        <v>508.22997491199999</v>
      </c>
      <c r="DZ6" s="1125">
        <f t="shared" si="69"/>
        <v>396.12984465500148</v>
      </c>
      <c r="EA6" s="1098">
        <f t="shared" si="70"/>
        <v>0</v>
      </c>
      <c r="EB6" s="1121">
        <f t="shared" si="71"/>
        <v>0</v>
      </c>
      <c r="EC6" s="1101">
        <f t="shared" si="72"/>
        <v>726.76886412416002</v>
      </c>
      <c r="ED6" s="1097">
        <f t="shared" si="73"/>
        <v>0</v>
      </c>
      <c r="EE6" s="1110">
        <f t="shared" si="74"/>
        <v>726.76886412416002</v>
      </c>
      <c r="EF6" s="1092" t="s">
        <v>711</v>
      </c>
      <c r="EG6" s="1120">
        <f t="shared" si="75"/>
        <v>0.3</v>
      </c>
      <c r="EH6" s="1124"/>
      <c r="EI6" s="1093"/>
      <c r="EJ6" s="1093"/>
      <c r="EK6" s="1097">
        <f>IF($P6="","N/A",IF(P6=-1,INDEX('卡片raw data'!AS:AS,MATCH(D6,'卡片raw data'!$F:$F,)),0)+IF(AND(L6&lt;&gt;"party卡",P6&lt;=2,P6&gt;=0),INDEX('卡片raw data'!AU:AU,MATCH(D6,'卡片raw data'!$F:$F,)),0)+IF(OR(AND(L6="party卡",P6&lt;=1),AND(P6&lt;=4,L6&lt;&gt;"party卡",P6&gt;=3)),INDEX('卡片raw data'!AV:AV,MATCH(D6,'卡片raw data'!$F:$F,)),0)+IF(OR(P6=5,AND(L6="party卡",P6&gt;=2)),INDEX('卡片raw data'!AW:AW,MATCH(D6,'卡片raw data'!$F:$F,)),0))</f>
        <v>0</v>
      </c>
      <c r="EL6" s="1098">
        <f t="shared" si="76"/>
        <v>0.3</v>
      </c>
      <c r="EM6" s="1098">
        <f t="shared" si="77"/>
        <v>0.3</v>
      </c>
      <c r="EN6" s="1125">
        <f t="shared" si="78"/>
        <v>0</v>
      </c>
      <c r="EO6" s="1125">
        <f t="shared" si="79"/>
        <v>0</v>
      </c>
      <c r="EP6" s="1098">
        <f t="shared" si="80"/>
        <v>0</v>
      </c>
      <c r="EQ6" s="1121">
        <f t="shared" si="81"/>
        <v>0</v>
      </c>
      <c r="ER6" s="1101">
        <f t="shared" si="82"/>
        <v>0</v>
      </c>
      <c r="ES6" s="1097">
        <f t="shared" si="83"/>
        <v>0</v>
      </c>
      <c r="ET6" s="1122">
        <f t="shared" si="84"/>
        <v>0</v>
      </c>
      <c r="EV6" s="1348"/>
      <c r="EW6" s="1215" t="s">
        <v>144</v>
      </c>
      <c r="EX6" s="1216">
        <v>9500</v>
      </c>
      <c r="EY6" s="1212"/>
      <c r="EZ6" s="1348"/>
      <c r="FA6" s="1215" t="s">
        <v>144</v>
      </c>
      <c r="FB6" s="1216">
        <v>8000</v>
      </c>
      <c r="FC6" s="447"/>
      <c r="FD6" s="459" t="s">
        <v>1341</v>
      </c>
      <c r="FE6" s="1350">
        <v>0</v>
      </c>
      <c r="FF6" s="1350"/>
      <c r="FG6" s="447"/>
      <c r="FH6" s="454" t="s">
        <v>233</v>
      </c>
      <c r="FI6" s="475" t="s">
        <v>234</v>
      </c>
      <c r="FJ6" s="561" t="s">
        <v>235</v>
      </c>
      <c r="FL6" s="1373"/>
      <c r="FM6" s="457" t="s">
        <v>14</v>
      </c>
      <c r="FN6" s="458">
        <v>1</v>
      </c>
    </row>
    <row r="7" spans="1:170" ht="16.5" customHeight="1">
      <c r="B7" s="1123" t="str">
        <f>INDEX('卡片raw data'!B:B,MATCH($D7,'卡片raw data'!$F:$F,))</f>
        <v>初始果</v>
      </c>
      <c r="C7" s="449" t="s">
        <v>22</v>
      </c>
      <c r="D7" s="408">
        <v>4</v>
      </c>
      <c r="E7" s="1090">
        <v>100013001</v>
      </c>
      <c r="F7" s="1090" t="str">
        <f>INDEX('卡片raw data'!C:C,MATCH($D7,'卡片raw data'!$F:$F,))</f>
        <v>UR</v>
      </c>
      <c r="G7" s="1094" t="s">
        <v>24</v>
      </c>
      <c r="H7" s="411">
        <f>IFERROR(INDEX(绊状态确认!C:C,MATCH($G7,绊状态确认!$B:$B,)),"")</f>
        <v>1</v>
      </c>
      <c r="I7" s="1124" t="str">
        <f>IFERROR(INDEX(绊状态确认!D:D,MATCH($G7,绊状态确认!$B:$B,)),"")</f>
        <v>缪</v>
      </c>
      <c r="J7" s="1124" t="str">
        <f>IFERROR(INDEX(绊状态确认!E:E,MATCH($G7,绊状态确认!$B:$B,)),"")</f>
        <v>2年级</v>
      </c>
      <c r="K7" s="451" t="str">
        <f>IFERROR(INDEX(绊状态确认!F:F,MATCH($G7,绊状态确认!$B:$B,)),"")</f>
        <v>Printemps</v>
      </c>
      <c r="L7" s="1094" t="str">
        <f>INDEX('卡片raw data'!E:E,MATCH($D7,'卡片raw data'!$F:$F,))</f>
        <v>卡池卡</v>
      </c>
      <c r="M7" s="415">
        <v>43735</v>
      </c>
      <c r="N7" s="416">
        <v>0</v>
      </c>
      <c r="O7" s="1091" t="str">
        <f>INDEX('卡片raw data'!D:D,MATCH($D7,'卡片raw data'!$F:$F,))</f>
        <v>gd</v>
      </c>
      <c r="P7" s="417">
        <v>5</v>
      </c>
      <c r="Q7" s="1095">
        <f t="shared" si="0"/>
        <v>29920.463516775777</v>
      </c>
      <c r="R7" s="1096">
        <f t="shared" si="1"/>
        <v>0.34699999999999998</v>
      </c>
      <c r="S7" s="1097">
        <f t="shared" si="2"/>
        <v>16223.264935408855</v>
      </c>
      <c r="T7" s="1098">
        <f t="shared" si="3"/>
        <v>0.81100000000000005</v>
      </c>
      <c r="U7" s="1099">
        <f t="shared" si="4"/>
        <v>130.78381651314288</v>
      </c>
      <c r="V7" s="1100">
        <f t="shared" si="5"/>
        <v>43159.084572755717</v>
      </c>
      <c r="W7" s="1101">
        <f t="shared" si="6"/>
        <v>4507.7214871259994</v>
      </c>
      <c r="X7" s="1096">
        <f t="shared" si="7"/>
        <v>5.1999999999999998E-2</v>
      </c>
      <c r="Y7" s="1097">
        <f t="shared" si="8"/>
        <v>4557.3964312189137</v>
      </c>
      <c r="Z7" s="1102">
        <f t="shared" si="9"/>
        <v>55.733816513142855</v>
      </c>
      <c r="AA7" s="1103">
        <f t="shared" si="10"/>
        <v>9065.1179183449131</v>
      </c>
      <c r="AB7" s="1101">
        <f t="shared" si="11"/>
        <v>4507.7214871259994</v>
      </c>
      <c r="AC7" s="1104">
        <f t="shared" si="12"/>
        <v>5.1999999999999998E-2</v>
      </c>
      <c r="AD7" s="1105">
        <f t="shared" si="13"/>
        <v>0</v>
      </c>
      <c r="AE7" s="1128">
        <f t="shared" si="14"/>
        <v>-6.25</v>
      </c>
      <c r="AF7" s="1130">
        <f t="shared" si="15"/>
        <v>0</v>
      </c>
      <c r="AG7" s="420">
        <f t="shared" si="16"/>
        <v>0</v>
      </c>
      <c r="AH7" s="420">
        <f t="shared" si="17"/>
        <v>0</v>
      </c>
      <c r="AI7" s="1097">
        <f t="shared" si="18"/>
        <v>0</v>
      </c>
      <c r="AJ7" s="420">
        <f t="shared" si="19"/>
        <v>0</v>
      </c>
      <c r="AK7" s="518">
        <f t="shared" si="20"/>
        <v>0</v>
      </c>
      <c r="AL7" s="1106">
        <f>IF($P7="","N/A",(IF($P7=-1,INDEX('卡片raw data'!S:S,MATCH($D7,'卡片raw data'!$F:$F,)),0)+IF($P7=0,INDEX('卡片raw data'!V:V,MATCH($D7,'卡片raw data'!$F:$F,)),0)+IF($P7=1,INDEX('卡片raw data'!Y:Y,MATCH($D7,'卡片raw data'!$F:$F,)),0)+IF($P7=2,INDEX('卡片raw data'!AB:AB,MATCH($D7,'卡片raw data'!$F:$F,)),0)+IF($P7=3,INDEX('卡片raw data'!AE:AE,MATCH($D7,'卡片raw data'!$F:$F,)),0)+IF($P7=4,INDEX('卡片raw data'!AH:AH,MATCH($D7,'卡片raw data'!$F:$F,)),0)+IF($P7=5,INDEX('卡片raw data'!AK:AK,MATCH($D7,'卡片raw data'!$F:$F,)),0)+INDEX('卡片raw data'!S:S,MATCH($D7,'卡片raw data'!$F:$F,))*(IF($F7="UR",0.04,0.033))*(IF($F7="UR",INDEX(绊状态确认!$S:$S,MATCH($G7,绊状态确认!$B:$B,))/2-40)+IF($F7="SR",INDEX(绊状态确认!$R:$R,MATCH($G7,绊状态确认!$B:$B,))/4-15))+IF($F7="R",INDEX(绊状态确认!$Q:$Q,MATCH($G7,绊状态确认!$B:$B,))/6-40/6)))*(INDEX(绊状态确认!$H:$H,MATCH($G7,绊状态确认!$B:$B,))+INDEX(绊状态确认!J:J,MATCH($G7,绊状态确认!$B:$B,)))</f>
        <v>9218.4767999999985</v>
      </c>
      <c r="AM7" s="1106">
        <f>IF($P7="","N/A",(IF($P7=-1,INDEX('卡片raw data'!T:T,MATCH($D7,'卡片raw data'!$F:$F,)),0)+IF($P7=0,INDEX('卡片raw data'!W:W,MATCH($D7,'卡片raw data'!$F:$F,)),0)+IF($P7=1,INDEX('卡片raw data'!Z:Z,MATCH($D7,'卡片raw data'!$F:$F,)),0)+IF($P7=2,INDEX('卡片raw data'!AC:AC,MATCH($D7,'卡片raw data'!$F:$F,)),0)+IF($P7=3,INDEX('卡片raw data'!AF:AF,MATCH($D7,'卡片raw data'!$F:$F,)),0)+IF($P7=4,INDEX('卡片raw data'!AI:AI,MATCH($D7,'卡片raw data'!$F:$F,)),0)+IF($P7=5,INDEX('卡片raw data'!AL:AL,MATCH($D7,'卡片raw data'!$F:$F,)),0)+INDEX('卡片raw data'!T:T,MATCH($D7,'卡片raw data'!$F:$F,))*(IF($F7="UR",0.04,0.033))*(IF($F7="UR",INDEX(绊状态确认!$S:$S,MATCH($G7,绊状态确认!$B:$B,))/2-40)+IF($F7="SR",INDEX(绊状态确认!$R:$R,MATCH($G7,绊状态确认!$B:$B,))/4-15))+IF($F7="R",INDEX(绊状态确认!$Q:$Q,MATCH($G7,绊状态确认!$B:$B,))/6-40/6)))*(INDEX(绊状态确认!$H:$H,MATCH($G7,绊状态确认!$B:$B,))+INDEX(绊状态确认!K:K,MATCH($G7,绊状态确认!$B:$B,)))</f>
        <v>13827.715199999999</v>
      </c>
      <c r="AN7" s="1106">
        <f>IF($P7="","N/A",(IF($P7=-1,INDEX('卡片raw data'!U:U,MATCH($D7,'卡片raw data'!$F:$F,)),0)+IF($P7=0,INDEX('卡片raw data'!X:X,MATCH($D7,'卡片raw data'!$F:$F,)),0)+IF($P7=1,INDEX('卡片raw data'!AA:AA,MATCH($D7,'卡片raw data'!$F:$F,)),0)+IF($P7=2,INDEX('卡片raw data'!AD:AD,MATCH($D7,'卡片raw data'!$F:$F,)),0)+IF($P7=3,INDEX('卡片raw data'!AG:AG,MATCH($D7,'卡片raw data'!$F:$F,)),0)+IF($P7=4,INDEX('卡片raw data'!AJ:AJ,MATCH($D7,'卡片raw data'!$F:$F,)),0)+IF($P7=5,INDEX('卡片raw data'!AM:AM,MATCH($D7,'卡片raw data'!$F:$F,)),0)+INDEX('卡片raw data'!U:U,MATCH($D7,'卡片raw data'!$F:$F,))*(IF($F7="UR",0.04,0.033))*(IF($F7="UR",INDEX(绊状态确认!$S:$S,MATCH($G7,绊状态确认!$B:$B,))/2-40)+IF($F7="SR",INDEX(绊状态确认!$R:$R,MATCH($G7,绊状态确认!$B:$B,))/4-15))+IF($F7="R",INDEX(绊状态确认!$Q:$Q,MATCH($G7,绊状态确认!$B:$B,))/6-40/6)))*(INDEX(绊状态确认!$H:$H,MATCH($G7,绊状态确认!$B:$B,))+INDEX(绊状态确认!L:L,MATCH($G7,绊状态确认!$B:$B,)))</f>
        <v>7682.0639999999994</v>
      </c>
      <c r="AO7" s="1107">
        <f t="shared" si="21"/>
        <v>1</v>
      </c>
      <c r="AP7" s="1131">
        <f>1+(INDEX(绊状态确认!$T:$T,MATCH($G7,绊状态确认!$B:$B,))+0.2)*$AO7</f>
        <v>1.3</v>
      </c>
      <c r="AQ7" s="1108">
        <f t="shared" si="22"/>
        <v>27448.501599999996</v>
      </c>
      <c r="AR7" s="1097">
        <f>(AM7*(1+$EX$9)+$EX$35)*(1+(INDEX(绊状态确认!$T:$T,MATCH($G7,绊状态确认!$B:$B,))+0.2)*AO7)*IF(J7=$FF$17,1+$FE$17,1)*IF(I7=$FF$14,1+$FE$14,1)*(1+$FE$15)</f>
        <v>21578.831248000002</v>
      </c>
      <c r="AS7" s="1097">
        <f>(AN7*(1+$EX$10)+$EX$36)*(1+(INDEX(绊状态确认!$T:$T,MATCH($G7,绊状态确认!$B:$B,))+0.2)*AO7)*IF(J7=$FF$17,1+$FE$17,1)*IF(I7=$FF$14,1+$FE$14,1)*(1+$FE$15)</f>
        <v>15540.685679999999</v>
      </c>
      <c r="AT7" s="1093">
        <f>IF(AND(INDEX('卡片raw data'!AK:AK,MATCH($D7,'卡片raw data'!$F:$F,))&lt;INDEX('卡片raw data'!AM:AM,MATCH($D7,'卡片raw data'!$F:$F,)),INDEX('卡片raw data'!AL:AL,MATCH($D7,'卡片raw data'!$F:$F,))&lt;INDEX('卡片raw data'!AM:AM,MATCH($D7,'卡片raw data'!$F:$F,))),1,0)</f>
        <v>0</v>
      </c>
      <c r="AU7" s="1098">
        <f>MIN(AT7*0.15+AS7*0.00003+INDEX(绊状态确认!M:M,MATCH($G7,绊状态确认!$B:$B,)),1)</f>
        <v>0.49622057040000001</v>
      </c>
      <c r="AV7" s="1109">
        <f>(INDEX(绊状态确认!$N:$N,MATCH($G7,绊状态确认!$B:$B,))+1.5)*$EW$21</f>
        <v>2.6599999999999997</v>
      </c>
      <c r="AW7" s="1101">
        <f t="shared" si="23"/>
        <v>25997.742029649777</v>
      </c>
      <c r="AX7" s="1097">
        <f t="shared" si="24"/>
        <v>1887.4331800458986</v>
      </c>
      <c r="AY7" s="1110">
        <f t="shared" si="25"/>
        <v>27885.175209695677</v>
      </c>
      <c r="AZ7" s="429">
        <f t="shared" si="26"/>
        <v>20576.029759999998</v>
      </c>
      <c r="BA7" s="431">
        <f t="shared" si="27"/>
        <v>24691.235711999998</v>
      </c>
      <c r="BB7" s="1097">
        <f>(AM7*(1+$FB$9)+$FB$35)*(1+(INDEX(绊状态确认!$T:$T,MATCH($G7,绊状态确认!$B:$B,))+0.2)*AO7)*IF(J7=$FF$17,1+$FE$17,1)*IF(I7=$FF$14,1+$FE$14,1)*(1+$FE$15)</f>
        <v>21578.831248000002</v>
      </c>
      <c r="BC7" s="1097">
        <f>(AN7*(1+$FB$10)+$FB$36)*(1+(INDEX(绊状态确认!$T:$T,MATCH($G7,绊状态确认!$B:$B,))+0.2)*AO7)*IF(J7=$FF$17,1+$FE$17,1)*IF(I7=$FF$14,1+$FE$14,1)*(1+$FE$15)</f>
        <v>15540.685679999999</v>
      </c>
      <c r="BD7" s="1104">
        <f>MIN(AT7*0.15+BC7*0.00003+INDEX(绊状态确认!M:M,MATCH($G7,绊状态确认!$B:$B,)),1)</f>
        <v>0.49622057040000001</v>
      </c>
      <c r="BE7" s="432">
        <f>(INDEX(绊状态确认!$N:$N,MATCH($G7,绊状态确认!$B:$B,))+1.5)</f>
        <v>1.9</v>
      </c>
      <c r="BF7" s="1139">
        <f t="array" ref="BF7">SUMPRODUCT(IF(AZ7*AP7*$FI$16:$FI$23*$FA$22&gt;=$FI$24,$FI$24,AZ7*AP7*$FI$16:$FI$23*$FA$22),$FJ$16:$FJ$23)</f>
        <v>40925.723192639991</v>
      </c>
      <c r="BG7" s="1125">
        <f t="array" ref="BG7">SUMPRODUCT(IF(BE7*AZ7*AP7*$FI$16:$FI$23*$FA$22&gt;=$FI$24,$FI$24,BE7*AZ7*AP7*$FI$16:$FI$23*$FA$22),$FJ$16:$FJ$23)</f>
        <v>60000</v>
      </c>
      <c r="BH7" s="1110">
        <f t="shared" si="28"/>
        <v>16796.923903318555</v>
      </c>
      <c r="BI7" s="1111">
        <f>IF(O7="vo",$EW$26/$EW$24*0.05,0)+IF(O7="sk",-$EW$26/$EW$24*(0.05-INDEX(绊状态确认!W:W,MATCH($G7,绊状态确认!$B:$B,)))+0.05*$EW$28,0)+IF(O7="sp",0.05*$EW$32*$EW$30*(1-$EW$33)-(0.05-INDEX(绊状态确认!V:V,MATCH($G7,绊状态确认!$B:$B,)))*$EW$28,0)+IF(O7="gd",-(0.05-INDEX(绊状态确认!X:X,MATCH($G7,绊状态确认!$B:$B,)))*$EW$32*$EW$30*(1-$EW$33),0)</f>
        <v>-585.00000000000011</v>
      </c>
      <c r="BJ7" s="1097">
        <f>IF(O7="vo",0.05*(1-$FI$26)*$FA$24,0)+IF(O7="sk",-(0.05-INDEX(绊状态确认!W:W,MATCH($G7,绊状态确认!$B:$B,)))*(1-$FI$26)*$FA$24+0.05*$FA$26,0)+IF(O7="sp",0.05*$FA$32*$FA$27*(1-$FA$33)/$FA$30+0.05*$FA$29/$FA$69*$FA$27*(1-$FA$33)-(0.05-INDEX(绊状态确认!V:V,MATCH($G7,绊状态确认!$B:$B,)))*$FA$26,0)+IF(O7="gd",-(0.05-INDEX(绊状态确认!X:X,MATCH($G7,绊状态确认!$B:$B,)))*$FA$32*$FA$27*(1-$FA$33)/$FA$30-(0.05-INDEX(绊状态确认!X:X,MATCH($G7,绊状态确认!$B:$B,)))*$FA$29/$FA$69*$FA$27*(1-$FA$33),0)</f>
        <v>-795.00000000000011</v>
      </c>
      <c r="BK7" s="1110">
        <f>IF(O7="vo",$EW$26/$EW$24*0.05+$EW$26*(-HP($EW$62,$EW$65,$EW$64)+HP($EW$62,$EW$65,(1.05-INDEX(绊状态确认!U:U,MATCH($G7,绊状态确认!$B:$B,)))*$EW$64)),0)+IF(O7="sk",-$EW$26/$EW$24*(0.05-INDEX(绊状态确认!W:W,MATCH($G7,绊状态确认!$B:$B,)))+0.05*$EW$29,0)+IF(O7="sp",0.05*$EW$32*$EW$30*(1-$EW$33)-(0.05-INDEX(绊状态确认!V:V,MATCH($G7,绊状态确认!$B:$B,)))*$EW$29,0)+IF(O7="gd",-(0.05-INDEX(绊状态确认!X:X,MATCH($G7,绊状态确认!$B:$B,)))*$EW$32*$EW$30*(1-$EW$33)+$EW$26*(-HP($EW$62,$EW$65,$EW$64)+HP($EW$62,$EW$65,0.95*$EW$64)),0)</f>
        <v>1009.5947725176144</v>
      </c>
      <c r="BL7" s="1111">
        <f t="shared" si="29"/>
        <v>0</v>
      </c>
      <c r="BM7" s="1110">
        <f t="shared" si="30"/>
        <v>0</v>
      </c>
      <c r="BN7" s="1113">
        <f t="shared" si="31"/>
        <v>3</v>
      </c>
      <c r="BO7" s="1097">
        <f t="shared" si="32"/>
        <v>4507.7214871259994</v>
      </c>
      <c r="BP7" s="1100">
        <f t="shared" si="33"/>
        <v>221.34103209030098</v>
      </c>
      <c r="BQ7" s="1113" t="s">
        <v>144</v>
      </c>
      <c r="BR7" s="1124" t="s">
        <v>1724</v>
      </c>
      <c r="BS7" s="1098">
        <f>IF($P7="","N/A",IF($P7=-1,INDEX('卡片raw data'!AX:AX,MATCH($D7,'卡片raw data'!$F:$F,)),0)+IF($L7="party卡",IF($P7=5,INDEX('卡片raw data'!BD:BD,MATCH($D7,'卡片raw data'!$F:$F,)),IF($P7&gt;=3,INDEX('卡片raw data'!BC:BC,MATCH($D7,'卡片raw data'!$F:$F,)),INDEX('卡片raw data'!BB:BB,MATCH($D7,'卡片raw data'!$F:$F,)))),IF(OR(AND($F7="UR",$P7=0),AND($F7="SR",$P7&gt;=0,$P7&lt;=2),AND($F7="R",$P7&gt;=0,$P7&lt;4)),INDEX('卡片raw data'!AZ:AZ,MATCH($D7,'卡片raw data'!$F:$F,)),0)+IF(OR(AND($F7="UR",$P7&gt;=1,$P7&lt;=4),AND($F7="SR",$P7&lt;=4,$P7&gt;=3),AND($F7="R",$P7=4)),INDEX('卡片raw data'!BA:BA,MATCH($D7,'卡片raw data'!$F:$F,)),0)+IF($P7=5,INDEX('卡片raw data'!BB:BB,MATCH($D7,'卡片raw data'!$F:$F,)),0)))</f>
        <v>5.1999999999999998E-2</v>
      </c>
      <c r="BT7" s="1101">
        <f t="shared" si="34"/>
        <v>0</v>
      </c>
      <c r="BU7" s="1097">
        <f t="shared" si="35"/>
        <v>0</v>
      </c>
      <c r="BV7" s="1097">
        <f t="shared" si="36"/>
        <v>0</v>
      </c>
      <c r="BW7" s="1112">
        <f t="shared" si="37"/>
        <v>4.8694285714285721</v>
      </c>
      <c r="BX7" s="1100">
        <f t="shared" si="38"/>
        <v>382.86674747391328</v>
      </c>
      <c r="BY7" s="1110">
        <f t="shared" si="39"/>
        <v>382.86674747391328</v>
      </c>
      <c r="BZ7" s="1107" t="s">
        <v>569</v>
      </c>
      <c r="CA7" s="1124"/>
      <c r="CB7" s="1098">
        <f>IF($P7="","N/A",IF($P7=-1,INDEX('卡片raw data'!BE:BE,MATCH($D7,'卡片raw data'!$F:$F,)),0)+IF($L7="party卡",IF($P7=5,INDEX('卡片raw data'!BK:BK,MATCH($D7,'卡片raw data'!$F:$F,)),IF($P7&gt;=3,INDEX('卡片raw data'!BJ:BJ,MATCH($D7,'卡片raw data'!$F:$F,)),INDEX('卡片raw data'!BI:BI,MATCH($D7,'卡片raw data'!$F:$F,)))),IF(OR(AND($F7="UR",$P7=0),AND($F7="SR",$P7&gt;=0,$P7&lt;=2),AND($F7="R",$P7&gt;=0,$P7&lt;4)),INDEX('卡片raw data'!BG:BG,MATCH($D7,'卡片raw data'!$F:$F,)),0)+IF(OR(AND($F7="UR",$P7&gt;=1,$P7&lt;=4),AND($F7="SR",$P7&lt;=4,$P7&gt;=3),AND($F7="R",$P7=4)),INDEX('卡片raw data'!BH:BH,MATCH($D7,'卡片raw data'!$F:$F,)),0)+IF($P7=5,INDEX('卡片raw data'!BI:BI,MATCH($D7,'卡片raw data'!$F:$F,)),0)))</f>
        <v>0</v>
      </c>
      <c r="CC7" s="1101">
        <f t="shared" si="40"/>
        <v>0</v>
      </c>
      <c r="CD7" s="1097">
        <f>IF(BZ7="ap",CB7*(1-$FI$26)*$FB$5/$FB$11*(+IF(CA7="全员",$FA$24,0)+IF(CA7="同作战",$FA$24,0)+IF(CA7="仲间",$FA$24*2/3,0)+IF(CA7="同属性",$FA$24*$FA$37/3,0)+IF(CA7="同年级",$FA$24*$FA$40/3,0)+IF(CA7="同学校",$FA$24*$FA$43/3,0)+IF(CA7="同小队",$FA$24*$FA$46/3,0)+IF(CA7="同type",$FA$24*INDEX($FB$49:$FB$52,MATCH(X7,$FA$49:$FA$52,))/3,0)+IF(CA7="自身",#REF!/3,0)),0)+IF(BZ7="te",CB7*(1-$FI$27)*($FA$20-1)*$FB$7/$FB$13*(+IF(CA7="全员",$FA$19*$FA$24/(1+($FA$20-1)*$FA$19),0)+IF(CA7="同作战",$FA$19*$FA$24/(1+($FA$20-1)*$FA$19),0)+IF(CA7="仲间",$FA$19*$FA$24*2/3/(1+($FA$20-1)*$FA$19),0)+IF(CA7="同属性",$FA$19*$FA$24*$FA$37/3/(1+($FA$20-1)*$FA$19),0)+IF(CA7="同年级",$FA$19*$FA$24*$FA$40/3/(1+($FA$20-1)*$FA$19),0)+IF(CA7="同学校",$FA$19*$FA$24*$FA$43/3/(1+($FA$20-1)*$FA$19),0)+IF(CA7="同小队",$FA$19*$FA$24*$FA$46/3/(1+($FA$20-1)*$FA$19),0)+IF(CA7="同type",$FA$19*$FA$24*INDEX($FB$49:$FB$52,MATCH(X7,$FA$49:$FA$52,))/3/(1+($FA$20-1)*$FA$19),0)+IF(CA7="自身",$FA$19*#REF!/3/(1+(BH7-1)*$BD7),0)),0)</f>
        <v>0</v>
      </c>
      <c r="CE7" s="1097">
        <f t="shared" si="41"/>
        <v>0</v>
      </c>
      <c r="CF7" s="1112">
        <f t="shared" si="42"/>
        <v>0</v>
      </c>
      <c r="CG7" s="1100">
        <f t="shared" si="43"/>
        <v>0</v>
      </c>
      <c r="CH7" s="1110">
        <f t="shared" si="44"/>
        <v>0</v>
      </c>
      <c r="CI7" s="1113" t="s">
        <v>162</v>
      </c>
      <c r="CJ7" s="1114">
        <v>0.3</v>
      </c>
      <c r="CK7" s="1115" t="s">
        <v>635</v>
      </c>
      <c r="CL7" s="1115" t="s">
        <v>1944</v>
      </c>
      <c r="CM7" s="1119">
        <v>0.2</v>
      </c>
      <c r="CN7" s="1115"/>
      <c r="CO7" s="1092"/>
      <c r="CP7" s="1116">
        <f t="shared" si="45"/>
        <v>27.744211604571426</v>
      </c>
      <c r="CQ7" s="1116">
        <f t="shared" si="46"/>
        <v>43.157662495999993</v>
      </c>
      <c r="CR7" s="1116">
        <f t="shared" si="47"/>
        <v>27.744211604571426</v>
      </c>
      <c r="CS7" s="1118">
        <f t="shared" si="48"/>
        <v>0</v>
      </c>
      <c r="CT7" s="1109">
        <f t="shared" si="49"/>
        <v>0</v>
      </c>
      <c r="CU7" s="1101">
        <f t="shared" si="50"/>
        <v>0</v>
      </c>
      <c r="CV7" s="1108">
        <f t="shared" si="51"/>
        <v>0</v>
      </c>
      <c r="CW7" s="1097">
        <f t="shared" si="52"/>
        <v>0</v>
      </c>
      <c r="CX7" s="1097">
        <f t="shared" si="53"/>
        <v>2287.0965036991029</v>
      </c>
      <c r="CY7" s="1110">
        <f t="shared" si="54"/>
        <v>2287.0965036991029</v>
      </c>
      <c r="CZ7" s="437"/>
      <c r="DA7" s="438"/>
      <c r="DB7" s="439" t="s">
        <v>569</v>
      </c>
      <c r="DC7" s="439"/>
      <c r="DD7" s="443"/>
      <c r="DE7" s="411"/>
      <c r="DF7" s="411"/>
      <c r="DG7" s="1116">
        <f t="shared" si="55"/>
        <v>0</v>
      </c>
      <c r="DH7" s="1116">
        <f t="shared" si="56"/>
        <v>0</v>
      </c>
      <c r="DI7" s="1116">
        <f t="shared" si="57"/>
        <v>0</v>
      </c>
      <c r="DJ7" s="442">
        <f t="shared" si="58"/>
        <v>0</v>
      </c>
      <c r="DK7" s="1109">
        <f t="shared" si="59"/>
        <v>0</v>
      </c>
      <c r="DL7" s="1101">
        <f t="shared" si="60"/>
        <v>0</v>
      </c>
      <c r="DM7" s="1097">
        <f t="shared" si="61"/>
        <v>0</v>
      </c>
      <c r="DN7" s="1097">
        <f t="shared" si="62"/>
        <v>0</v>
      </c>
      <c r="DO7" s="1097">
        <f t="shared" si="63"/>
        <v>0</v>
      </c>
      <c r="DP7" s="1110">
        <f t="shared" si="64"/>
        <v>0</v>
      </c>
      <c r="DQ7" s="1113" t="s">
        <v>158</v>
      </c>
      <c r="DR7" s="1120">
        <f t="shared" si="65"/>
        <v>0.33</v>
      </c>
      <c r="DS7" s="1124">
        <v>10</v>
      </c>
      <c r="DT7" s="1093" t="s">
        <v>161</v>
      </c>
      <c r="DU7" s="1093" t="s">
        <v>544</v>
      </c>
      <c r="DV7" s="1098">
        <f>IF($P7="","N/A",IF(P7=-1,INDEX('卡片raw data'!AN:AN,MATCH(D7,'卡片raw data'!$F:$F,)),0)+IF(AND(L7&lt;&gt;"party卡",P7&lt;=2,P7&gt;=0),INDEX('卡片raw data'!AP:AP,MATCH(D7,'卡片raw data'!$F:$F,)),0)+IF(OR(AND(L7="party卡",P7&lt;=1),AND(P7&lt;=4,L7&lt;&gt;"party卡",P7&gt;=3)),INDEX('卡片raw data'!AQ:AQ,MATCH(D7,'卡片raw data'!$F:$F,)),0)+IF(OR(P7=5,AND(L7="party卡",P7&gt;=2)),INDEX('卡片raw data'!AR:AR,MATCH(D7,'卡片raw data'!$F:$F,)),0))</f>
        <v>0.14000000000000001</v>
      </c>
      <c r="DW7" s="1098">
        <f t="shared" si="66"/>
        <v>0.33</v>
      </c>
      <c r="DX7" s="1098">
        <f t="shared" si="67"/>
        <v>0.33</v>
      </c>
      <c r="DY7" s="1098">
        <f t="shared" si="68"/>
        <v>0.15400000000000003</v>
      </c>
      <c r="DZ7" s="1098">
        <f t="shared" si="69"/>
        <v>0.13321000000000002</v>
      </c>
      <c r="EA7" s="1098">
        <f t="shared" si="70"/>
        <v>0</v>
      </c>
      <c r="EB7" s="1121">
        <f t="shared" si="71"/>
        <v>0</v>
      </c>
      <c r="EC7" s="1101">
        <f t="shared" si="72"/>
        <v>0</v>
      </c>
      <c r="ED7" s="1097">
        <f t="shared" si="73"/>
        <v>0</v>
      </c>
      <c r="EE7" s="1110">
        <f t="shared" si="74"/>
        <v>7086.6298522434072</v>
      </c>
      <c r="EF7" s="1092" t="s">
        <v>711</v>
      </c>
      <c r="EG7" s="1120">
        <f t="shared" si="75"/>
        <v>0.33</v>
      </c>
      <c r="EH7" s="1124"/>
      <c r="EI7" s="1093"/>
      <c r="EJ7" s="1093"/>
      <c r="EK7" s="1097">
        <f>IF($P7="","N/A",IF(P7=-1,INDEX('卡片raw data'!AS:AS,MATCH(D7,'卡片raw data'!$F:$F,)),0)+IF(AND(L7&lt;&gt;"party卡",P7&lt;=2,P7&gt;=0),INDEX('卡片raw data'!AU:AU,MATCH(D7,'卡片raw data'!$F:$F,)),0)+IF(OR(AND(L7="party卡",P7&lt;=1),AND(P7&lt;=4,L7&lt;&gt;"party卡",P7&gt;=3)),INDEX('卡片raw data'!AV:AV,MATCH(D7,'卡片raw data'!$F:$F,)),0)+IF(OR(P7=5,AND(L7="party卡",P7&gt;=2)),INDEX('卡片raw data'!AW:AW,MATCH(D7,'卡片raw data'!$F:$F,)),0))</f>
        <v>0</v>
      </c>
      <c r="EL7" s="1098">
        <f t="shared" si="76"/>
        <v>0.33</v>
      </c>
      <c r="EM7" s="1098">
        <f t="shared" si="77"/>
        <v>0.33</v>
      </c>
      <c r="EN7" s="1125">
        <f t="shared" si="78"/>
        <v>0</v>
      </c>
      <c r="EO7" s="1125">
        <f t="shared" si="79"/>
        <v>0</v>
      </c>
      <c r="EP7" s="1098">
        <f t="shared" si="80"/>
        <v>0</v>
      </c>
      <c r="EQ7" s="1121">
        <f t="shared" si="81"/>
        <v>0</v>
      </c>
      <c r="ER7" s="1101">
        <f t="shared" si="82"/>
        <v>0</v>
      </c>
      <c r="ES7" s="1097">
        <f t="shared" si="83"/>
        <v>0</v>
      </c>
      <c r="ET7" s="1122">
        <f t="shared" si="84"/>
        <v>0</v>
      </c>
      <c r="EV7" s="1348"/>
      <c r="EW7" s="1217" t="s">
        <v>145</v>
      </c>
      <c r="EX7" s="1218">
        <v>15500</v>
      </c>
      <c r="EY7" s="1212"/>
      <c r="EZ7" s="1348"/>
      <c r="FA7" s="1217" t="s">
        <v>145</v>
      </c>
      <c r="FB7" s="1218">
        <v>16000</v>
      </c>
      <c r="FC7" s="447"/>
      <c r="FD7" s="459" t="s">
        <v>1327</v>
      </c>
      <c r="FE7" s="1351">
        <v>0</v>
      </c>
      <c r="FF7" s="1352"/>
      <c r="FG7" s="447"/>
      <c r="FH7" s="465">
        <f>FI7*$FB$11*(1+$FA$21)*$FA$22</f>
        <v>38571</v>
      </c>
      <c r="FI7" s="560">
        <v>1.2</v>
      </c>
      <c r="FJ7" s="558">
        <v>0.1</v>
      </c>
      <c r="FL7" s="1373"/>
      <c r="FM7" s="457" t="s">
        <v>70</v>
      </c>
      <c r="FN7" s="458">
        <v>0</v>
      </c>
    </row>
    <row r="8" spans="1:170" ht="16.5" customHeight="1">
      <c r="B8" s="1123" t="str">
        <f>INDEX('卡片raw data'!B:B,MATCH($D8,'卡片raw data'!$F:$F,))</f>
        <v>校服绘</v>
      </c>
      <c r="C8" s="449" t="s">
        <v>66</v>
      </c>
      <c r="D8" s="408">
        <v>5</v>
      </c>
      <c r="E8" s="1090">
        <v>100021001</v>
      </c>
      <c r="F8" s="1090" t="str">
        <f>INDEX('卡片raw data'!C:C,MATCH($D8,'卡片raw data'!$F:$F,))</f>
        <v>R</v>
      </c>
      <c r="G8" s="1094" t="s">
        <v>332</v>
      </c>
      <c r="H8" s="411">
        <f>IFERROR(INDEX(绊状态确认!C:C,MATCH($G8,绊状态确认!$B:$B,)),"")</f>
        <v>2</v>
      </c>
      <c r="I8" s="1124" t="str">
        <f>IFERROR(INDEX(绊状态确认!D:D,MATCH($G8,绊状态确认!$B:$B,)),"")</f>
        <v>缪</v>
      </c>
      <c r="J8" s="1124" t="str">
        <f>IFERROR(INDEX(绊状态确认!E:E,MATCH($G8,绊状态确认!$B:$B,)),"")</f>
        <v>3年级</v>
      </c>
      <c r="K8" s="451" t="str">
        <f>IFERROR(INDEX(绊状态确认!F:F,MATCH($G8,绊状态确认!$B:$B,)),"")</f>
        <v>BiBi</v>
      </c>
      <c r="L8" s="1094" t="str">
        <f>INDEX('卡片raw data'!E:E,MATCH($D8,'卡片raw data'!$F:$F,))</f>
        <v>卡池卡</v>
      </c>
      <c r="M8" s="415">
        <v>43735</v>
      </c>
      <c r="N8" s="416">
        <v>0</v>
      </c>
      <c r="O8" s="1091" t="str">
        <f>INDEX('卡片raw data'!D:D,MATCH($D8,'卡片raw data'!$F:$F,))</f>
        <v>sp</v>
      </c>
      <c r="P8" s="417">
        <v>5</v>
      </c>
      <c r="Q8" s="1095">
        <f t="shared" si="0"/>
        <v>14584.590421751718</v>
      </c>
      <c r="R8" s="1096">
        <f t="shared" si="1"/>
        <v>0.16900000000000001</v>
      </c>
      <c r="S8" s="1097">
        <f t="shared" si="2"/>
        <v>9483.1922634142793</v>
      </c>
      <c r="T8" s="1098">
        <f t="shared" si="3"/>
        <v>0.47399999999999998</v>
      </c>
      <c r="U8" s="1099">
        <f t="shared" si="4"/>
        <v>10.093803439285713</v>
      </c>
      <c r="V8" s="1100">
        <f t="shared" si="5"/>
        <v>13582.776256529994</v>
      </c>
      <c r="W8" s="1101">
        <f t="shared" si="6"/>
        <v>3005.1476580839999</v>
      </c>
      <c r="X8" s="1096">
        <f t="shared" si="7"/>
        <v>3.4000000000000002E-2</v>
      </c>
      <c r="Y8" s="1097">
        <f t="shared" si="8"/>
        <v>798.18583477827679</v>
      </c>
      <c r="Z8" s="1102">
        <f t="shared" si="9"/>
        <v>10.093803439285713</v>
      </c>
      <c r="AA8" s="1103">
        <f t="shared" si="10"/>
        <v>3803.3334928622767</v>
      </c>
      <c r="AB8" s="1101">
        <f t="shared" si="11"/>
        <v>3005.1476580839999</v>
      </c>
      <c r="AC8" s="1104">
        <f t="shared" si="12"/>
        <v>3.4000000000000002E-2</v>
      </c>
      <c r="AD8" s="1105">
        <f t="shared" si="13"/>
        <v>-1.9908281250000003E-2</v>
      </c>
      <c r="AE8" s="1128">
        <f t="shared" si="14"/>
        <v>3.4686965579710112</v>
      </c>
      <c r="AF8" s="1130">
        <f t="shared" si="15"/>
        <v>0</v>
      </c>
      <c r="AG8" s="420">
        <f t="shared" si="16"/>
        <v>0</v>
      </c>
      <c r="AH8" s="420">
        <f t="shared" si="17"/>
        <v>0</v>
      </c>
      <c r="AI8" s="1097">
        <f t="shared" si="18"/>
        <v>0</v>
      </c>
      <c r="AJ8" s="420">
        <f t="shared" si="19"/>
        <v>0</v>
      </c>
      <c r="AK8" s="518">
        <f t="shared" si="20"/>
        <v>0</v>
      </c>
      <c r="AL8" s="1106">
        <f>IF($P8="","N/A",(IF($P8=-1,INDEX('卡片raw data'!S:S,MATCH($D8,'卡片raw data'!$F:$F,)),0)+IF($P8=0,INDEX('卡片raw data'!V:V,MATCH($D8,'卡片raw data'!$F:$F,)),0)+IF($P8=1,INDEX('卡片raw data'!Y:Y,MATCH($D8,'卡片raw data'!$F:$F,)),0)+IF($P8=2,INDEX('卡片raw data'!AB:AB,MATCH($D8,'卡片raw data'!$F:$F,)),0)+IF($P8=3,INDEX('卡片raw data'!AE:AE,MATCH($D8,'卡片raw data'!$F:$F,)),0)+IF($P8=4,INDEX('卡片raw data'!AH:AH,MATCH($D8,'卡片raw data'!$F:$F,)),0)+IF($P8=5,INDEX('卡片raw data'!AK:AK,MATCH($D8,'卡片raw data'!$F:$F,)),0)+INDEX('卡片raw data'!S:S,MATCH($D8,'卡片raw data'!$F:$F,))*(IF($F8="UR",0.04,0.033))*(IF($F8="UR",INDEX(绊状态确认!$S:$S,MATCH($G8,绊状态确认!$B:$B,))/2-40)+IF($F8="SR",INDEX(绊状态确认!$R:$R,MATCH($G8,绊状态确认!$B:$B,))/4-15))+IF($F8="R",INDEX(绊状态确认!$Q:$Q,MATCH($G8,绊状态确认!$B:$B,))/6-40/6)))*(INDEX(绊状态确认!$H:$H,MATCH($G8,绊状态确认!$B:$B,))+INDEX(绊状态确认!J:J,MATCH($G8,绊状态确认!$B:$B,)))</f>
        <v>3960.3539999999994</v>
      </c>
      <c r="AM8" s="1106">
        <f>IF($P8="","N/A",(IF($P8=-1,INDEX('卡片raw data'!T:T,MATCH($D8,'卡片raw data'!$F:$F,)),0)+IF($P8=0,INDEX('卡片raw data'!W:W,MATCH($D8,'卡片raw data'!$F:$F,)),0)+IF($P8=1,INDEX('卡片raw data'!Z:Z,MATCH($D8,'卡片raw data'!$F:$F,)),0)+IF($P8=2,INDEX('卡片raw data'!AC:AC,MATCH($D8,'卡片raw data'!$F:$F,)),0)+IF($P8=3,INDEX('卡片raw data'!AF:AF,MATCH($D8,'卡片raw data'!$F:$F,)),0)+IF($P8=4,INDEX('卡片raw data'!AI:AI,MATCH($D8,'卡片raw data'!$F:$F,)),0)+IF($P8=5,INDEX('卡片raw data'!AL:AL,MATCH($D8,'卡片raw data'!$F:$F,)),0)+INDEX('卡片raw data'!T:T,MATCH($D8,'卡片raw data'!$F:$F,))*(IF($F8="UR",0.04,0.033))*(IF($F8="UR",INDEX(绊状态确认!$S:$S,MATCH($G8,绊状态确认!$B:$B,))/2-40)+IF($F8="SR",INDEX(绊状态确认!$R:$R,MATCH($G8,绊状态确认!$B:$B,))/4-15))+IF($F8="R",INDEX(绊状态确认!$Q:$Q,MATCH($G8,绊状态确认!$B:$B,))/6-40/6)))*(INDEX(绊状态确认!$H:$H,MATCH($G8,绊状态确认!$B:$B,))+INDEX(绊状态确认!K:K,MATCH($G8,绊状态确认!$B:$B,)))</f>
        <v>3960.3539999999994</v>
      </c>
      <c r="AN8" s="1106">
        <f>IF($P8="","N/A",(IF($P8=-1,INDEX('卡片raw data'!U:U,MATCH($D8,'卡片raw data'!$F:$F,)),0)+IF($P8=0,INDEX('卡片raw data'!X:X,MATCH($D8,'卡片raw data'!$F:$F,)),0)+IF($P8=1,INDEX('卡片raw data'!AA:AA,MATCH($D8,'卡片raw data'!$F:$F,)),0)+IF($P8=2,INDEX('卡片raw data'!AD:AD,MATCH($D8,'卡片raw data'!$F:$F,)),0)+IF($P8=3,INDEX('卡片raw data'!AG:AG,MATCH($D8,'卡片raw data'!$F:$F,)),0)+IF($P8=4,INDEX('卡片raw data'!AJ:AJ,MATCH($D8,'卡片raw data'!$F:$F,)),0)+IF($P8=5,INDEX('卡片raw data'!AM:AM,MATCH($D8,'卡片raw data'!$F:$F,)),0)+INDEX('卡片raw data'!U:U,MATCH($D8,'卡片raw data'!$F:$F,))*(IF($F8="UR",0.04,0.033))*(IF($F8="UR",INDEX(绊状态确认!$S:$S,MATCH($G8,绊状态确认!$B:$B,))/2-40)+IF($F8="SR",INDEX(绊状态确认!$R:$R,MATCH($G8,绊状态确认!$B:$B,))/4-15))+IF($F8="R",INDEX(绊状态确认!$Q:$Q,MATCH($G8,绊状态确认!$B:$B,))/6-40/6)))*(INDEX(绊状态确认!$H:$H,MATCH($G8,绊状态确认!$B:$B,))+INDEX(绊状态确认!L:L,MATCH($G8,绊状态确认!$B:$B,)))</f>
        <v>4079.6759999999995</v>
      </c>
      <c r="AO8" s="1107">
        <f t="shared" si="21"/>
        <v>1</v>
      </c>
      <c r="AP8" s="1131">
        <f>1+(INDEX(绊状态确认!$T:$T,MATCH($G8,绊状态确认!$B:$B,))+0.2)*$AO8</f>
        <v>1.3</v>
      </c>
      <c r="AQ8" s="1108">
        <f t="shared" si="22"/>
        <v>13645.929249999999</v>
      </c>
      <c r="AR8" s="1097">
        <f>(AM8*(1+$EX$9)+$EX$35)*(1+(INDEX(绊状态确认!$T:$T,MATCH($G8,绊状态确认!$B:$B,))+0.2)*AO8)*IF(J8=$FF$17,1+$FE$17,1)*IF(I8=$FF$14,1+$FE$14,1)</f>
        <v>8109.88321</v>
      </c>
      <c r="AS8" s="1097">
        <f>(AN8*(1+$EX$10)+$EX$36)*(1+(INDEX(绊状态确认!$T:$T,MATCH($G8,绊状态确认!$B:$B,))+0.2)*AO8)*IF(J8=$FF$17,1+$FE$17,1)*IF(I8=$FF$14,1+$FE$14,1)</f>
        <v>10155.115619999999</v>
      </c>
      <c r="AT8" s="1093">
        <f>IF(AND(INDEX('卡片raw data'!AK:AK,MATCH($D8,'卡片raw data'!$F:$F,))&lt;INDEX('卡片raw data'!AM:AM,MATCH($D8,'卡片raw data'!$F:$F,)),INDEX('卡片raw data'!AL:AL,MATCH($D8,'卡片raw data'!$F:$F,))&lt;INDEX('卡片raw data'!AM:AM,MATCH($D8,'卡片raw data'!$F:$F,))),1,0)</f>
        <v>1</v>
      </c>
      <c r="AU8" s="1098">
        <f>MIN(AT8*0.15+AS8*0.00003+INDEX(绊状态确认!M:M,MATCH($G8,绊状态确认!$B:$B,)),1)</f>
        <v>0.48465346860000003</v>
      </c>
      <c r="AV8" s="1109">
        <f>(INDEX(绊状态确认!$N:$N,MATCH($G8,绊状态确认!$B:$B,))+1.5)*$EW$21</f>
        <v>2.6599999999999997</v>
      </c>
      <c r="AW8" s="1101">
        <f t="shared" si="23"/>
        <v>12788.609430334383</v>
      </c>
      <c r="AX8" s="1097">
        <f t="shared" si="24"/>
        <v>688.51097785156219</v>
      </c>
      <c r="AY8" s="1110">
        <f t="shared" si="25"/>
        <v>13477.120408185945</v>
      </c>
      <c r="AZ8" s="429">
        <f t="shared" si="26"/>
        <v>10322.690299999998</v>
      </c>
      <c r="BA8" s="431">
        <f t="shared" si="27"/>
        <v>12387.228359999997</v>
      </c>
      <c r="BB8" s="1097">
        <f>(AM8*(1+$FB$9)+$FB$35)*(1+(INDEX(绊状态确认!$T:$T,MATCH($G8,绊状态确认!$B:$B,))+0.2)*AO8)*IF(J8=$FF$17,1+$FE$17,1)*IF(I8=$FF$14,1+$FE$14,1)*(1+$FE$15)</f>
        <v>8109.88321</v>
      </c>
      <c r="BC8" s="1097">
        <f>(AN8*(1+$FB$10)+$FB$36)*(1+(INDEX(绊状态确认!$T:$T,MATCH($G8,绊状态确认!$B:$B,))+0.2)*AO8)*IF(J8=$FF$17,1+$FE$17,1)*IF(I8=$FF$14,1+$FE$14,1)*(1+$FE$15)</f>
        <v>10155.115619999999</v>
      </c>
      <c r="BD8" s="1104">
        <f>MIN(AT8*0.15+BC8*0.00003+INDEX(绊状态确认!M:M,MATCH($G8,绊状态确认!$B:$B,)),1)</f>
        <v>0.48465346860000003</v>
      </c>
      <c r="BE8" s="432">
        <f>(INDEX(绊状态确认!$N:$N,MATCH($G8,绊状态确认!$B:$B,))+1.5)</f>
        <v>1.9</v>
      </c>
      <c r="BF8" s="1139">
        <f t="array" ref="BF8">SUMPRODUCT(IF(AZ8*AP8*$FI$16:$FI$23*$FA$22&gt;=$FI$24,$FI$24,AZ8*AP8*$FI$16:$FI$23*$FA$22),$FJ$16:$FJ$23)</f>
        <v>20531.831006699998</v>
      </c>
      <c r="BG8" s="1125">
        <f t="array" ref="BG8">SUMPRODUCT(IF(BE8*AZ8*AP8*$FI$16:$FI$23*$FA$22&gt;=$FI$24,$FI$24,BE8*AZ8*AP8*$FI$16:$FI$23*$FA$22),$FJ$16:$FJ$23)</f>
        <v>39010.478912730003</v>
      </c>
      <c r="BH8" s="1110">
        <f t="shared" si="28"/>
        <v>9829.1906031318558</v>
      </c>
      <c r="BI8" s="1111">
        <f>IF(O8="vo",$EW$26/$EW$24*0.05,0)+IF(O8="sk",-$EW$26/$EW$24*(0.05-INDEX(绊状态确认!W:W,MATCH($G8,绊状态确认!$B:$B,)))+0.05*$EW$28,0)+IF(O8="sp",0.05*$EW$32*$EW$30*(1-$EW$33)-(0.05-INDEX(绊状态确认!V:V,MATCH($G8,绊状态确认!$B:$B,)))*$EW$28,0)+IF(O8="gd",-(0.05-INDEX(绊状态确认!X:X,MATCH($G8,绊状态确认!$B:$B,)))*$EW$32*$EW$30*(1-$EW$33),0)</f>
        <v>19.999999999999886</v>
      </c>
      <c r="BJ8" s="1097">
        <f>IF(O8="vo",0.05*(1-$FI$26)*$FA$24,0)+IF(O8="sk",-(0.05-INDEX(绊状态确认!W:W,MATCH($G8,绊状态确认!$B:$B,)))*(1-$FI$26)*$FA$24+0.05*$FA$26,0)+IF(O8="sp",0.05*$FA$32*$FA$27*(1-$FA$33)/$FA$30+0.05*$FA$29/$FA$69*$FA$27*(1-$FA$33)-(0.05-INDEX(绊状态确认!V:V,MATCH($G8,绊状态确认!$B:$B,)))*$FA$26,0)+IF(O8="gd",-(0.05-INDEX(绊状态确认!X:X,MATCH($G8,绊状态确认!$B:$B,)))*$FA$32*$FA$27*(1-$FA$33)/$FA$30-(0.05-INDEX(绊状态确认!X:X,MATCH($G8,绊状态确认!$B:$B,)))*$FA$29/$FA$69*$FA$27*(1-$FA$33),0)</f>
        <v>545.83333333333326</v>
      </c>
      <c r="BK8" s="1110">
        <f>IF(O8="vo",$EW$26/$EW$24*0.05+$EW$26*(-HP($EW$62,$EW$65,$EW$64)+HP($EW$62,$EW$65,(1.05-INDEX(绊状态确认!U:U,MATCH($G8,绊状态确认!$B:$B,)))*$EW$64)),0)+IF(O8="sk",-$EW$26/$EW$24*(0.05-INDEX(绊状态确认!W:W,MATCH($G8,绊状态确认!$B:$B,)))+0.05*$EW$29,0)+IF(O8="sp",0.05*$EW$32*$EW$30*(1-$EW$33)-(0.05-INDEX(绊状态确认!V:V,MATCH($G8,绊状态确认!$B:$B,)))*$EW$29,0)+IF(O8="gd",-(0.05-INDEX(绊状态确认!X:X,MATCH($G8,绊状态确认!$B:$B,)))*$EW$32*$EW$30*(1-$EW$33)+$EW$26*(-HP($EW$62,$EW$65,$EW$64)+HP($EW$62,$EW$65,0.95*$EW$64)),0)</f>
        <v>-1780.0000000000005</v>
      </c>
      <c r="BL8" s="1111">
        <f t="shared" si="29"/>
        <v>-2166.6666666666665</v>
      </c>
      <c r="BM8" s="1110">
        <f t="shared" si="30"/>
        <v>-1661.1111111111109</v>
      </c>
      <c r="BN8" s="1113">
        <f t="shared" si="31"/>
        <v>2</v>
      </c>
      <c r="BO8" s="1097">
        <f t="shared" si="32"/>
        <v>3005.1476580839999</v>
      </c>
      <c r="BP8" s="1100">
        <f t="shared" si="33"/>
        <v>147.56068806020068</v>
      </c>
      <c r="BQ8" s="1113" t="s">
        <v>618</v>
      </c>
      <c r="BR8" s="1124" t="s">
        <v>168</v>
      </c>
      <c r="BS8" s="1098">
        <f>IF($P8="","N/A",IF($P8=-1,INDEX('卡片raw data'!AX:AX,MATCH($D8,'卡片raw data'!$F:$F,)),0)+IF($L8="party卡",IF($P8=5,INDEX('卡片raw data'!BD:BD,MATCH($D8,'卡片raw data'!$F:$F,)),IF($P8&gt;=3,INDEX('卡片raw data'!BC:BC,MATCH($D8,'卡片raw data'!$F:$F,)),INDEX('卡片raw data'!BB:BB,MATCH($D8,'卡片raw data'!$F:$F,)))),IF(OR(AND($F8="UR",$P8=0),AND($F8="SR",$P8&gt;=0,$P8&lt;=2),AND($F8="R",$P8&gt;=0,$P8&lt;4)),INDEX('卡片raw data'!AZ:AZ,MATCH($D8,'卡片raw data'!$F:$F,)),0)+IF(OR(AND($F8="UR",$P8&gt;=1,$P8&lt;=4),AND($F8="SR",$P8&lt;=4,$P8&gt;=3),AND($F8="R",$P8=4)),INDEX('卡片raw data'!BA:BA,MATCH($D8,'卡片raw data'!$F:$F,)),0)+IF($P8=5,INDEX('卡片raw data'!BB:BB,MATCH($D8,'卡片raw data'!$F:$F,)),0)))</f>
        <v>0.04</v>
      </c>
      <c r="BT8" s="1101">
        <f t="shared" si="34"/>
        <v>0</v>
      </c>
      <c r="BU8" s="1097">
        <f t="shared" si="35"/>
        <v>0</v>
      </c>
      <c r="BV8" s="1097">
        <f t="shared" si="36"/>
        <v>0</v>
      </c>
      <c r="BW8" s="1112">
        <f t="shared" si="37"/>
        <v>1.4046428571428564</v>
      </c>
      <c r="BX8" s="1100">
        <f t="shared" si="38"/>
        <v>109.67485692671488</v>
      </c>
      <c r="BY8" s="1110">
        <f t="shared" si="39"/>
        <v>109.67485692671488</v>
      </c>
      <c r="BZ8" s="1107" t="s">
        <v>569</v>
      </c>
      <c r="CA8" s="1124"/>
      <c r="CB8" s="1098">
        <f>IF($P8="","N/A",IF($P8=-1,INDEX('卡片raw data'!BE:BE,MATCH($D8,'卡片raw data'!$F:$F,)),0)+IF($L8="party卡",IF($P8=5,INDEX('卡片raw data'!BK:BK,MATCH($D8,'卡片raw data'!$F:$F,)),IF($P8&gt;=3,INDEX('卡片raw data'!BJ:BJ,MATCH($D8,'卡片raw data'!$F:$F,)),INDEX('卡片raw data'!BI:BI,MATCH($D8,'卡片raw data'!$F:$F,)))),IF(OR(AND($F8="UR",$P8=0),AND($F8="SR",$P8&gt;=0,$P8&lt;=2),AND($F8="R",$P8&gt;=0,$P8&lt;4)),INDEX('卡片raw data'!BG:BG,MATCH($D8,'卡片raw data'!$F:$F,)),0)+IF(OR(AND($F8="UR",$P8&gt;=1,$P8&lt;=4),AND($F8="SR",$P8&lt;=4,$P8&gt;=3),AND($F8="R",$P8=4)),INDEX('卡片raw data'!BH:BH,MATCH($D8,'卡片raw data'!$F:$F,)),0)+IF($P8=5,INDEX('卡片raw data'!BI:BI,MATCH($D8,'卡片raw data'!$F:$F,)),0)))</f>
        <v>0</v>
      </c>
      <c r="CC8" s="1101">
        <f t="shared" si="40"/>
        <v>0</v>
      </c>
      <c r="CD8" s="1097">
        <f>IF(BZ8="ap",CB8*(1-$FI$26)*$FB$5/$FB$11*(+IF(CA8="全员",$FA$24,0)+IF(CA8="同作战",$FA$24,0)+IF(CA8="仲间",$FA$24*2/3,0)+IF(CA8="同属性",$FA$24*$FA$37/3,0)+IF(CA8="同年级",$FA$24*$FA$40/3,0)+IF(CA8="同学校",$FA$24*$FA$43/3,0)+IF(CA8="同小队",$FA$24*$FA$46/3,0)+IF(CA8="同type",$FA$24*INDEX($FB$49:$FB$52,MATCH(X8,$FA$49:$FA$52,))/3,0)+IF(CA8="自身",#REF!/3,0)),0)+IF(BZ8="te",CB8*(1-$FI$27)*($FA$20-1)*$FB$7/$FB$13*(+IF(CA8="全员",$FA$19*$FA$24/(1+($FA$20-1)*$FA$19),0)+IF(CA8="同作战",$FA$19*$FA$24/(1+($FA$20-1)*$FA$19),0)+IF(CA8="仲间",$FA$19*$FA$24*2/3/(1+($FA$20-1)*$FA$19),0)+IF(CA8="同属性",$FA$19*$FA$24*$FA$37/3/(1+($FA$20-1)*$FA$19),0)+IF(CA8="同年级",$FA$19*$FA$24*$FA$40/3/(1+($FA$20-1)*$FA$19),0)+IF(CA8="同学校",$FA$19*$FA$24*$FA$43/3/(1+($FA$20-1)*$FA$19),0)+IF(CA8="同小队",$FA$19*$FA$24*$FA$46/3/(1+($FA$20-1)*$FA$19),0)+IF(CA8="同type",$FA$19*$FA$24*INDEX($FB$49:$FB$52,MATCH(X8,$FA$49:$FA$52,))/3/(1+($FA$20-1)*$FA$19),0)+IF(CA8="自身",$FA$19*#REF!/3/(1+(BH8-1)*$BD8),0)),0)</f>
        <v>0</v>
      </c>
      <c r="CE8" s="1097">
        <f t="shared" si="41"/>
        <v>0</v>
      </c>
      <c r="CF8" s="1112">
        <f t="shared" si="42"/>
        <v>0</v>
      </c>
      <c r="CG8" s="1100">
        <f t="shared" si="43"/>
        <v>0</v>
      </c>
      <c r="CH8" s="1110">
        <f t="shared" si="44"/>
        <v>0</v>
      </c>
      <c r="CI8" s="1113"/>
      <c r="CJ8" s="1114"/>
      <c r="CK8" s="1115" t="s">
        <v>569</v>
      </c>
      <c r="CL8" s="1115"/>
      <c r="CM8" s="1119"/>
      <c r="CN8" s="1115"/>
      <c r="CO8" s="1092"/>
      <c r="CP8" s="1117">
        <f t="shared" si="45"/>
        <v>0</v>
      </c>
      <c r="CQ8" s="1117">
        <f t="shared" si="46"/>
        <v>0</v>
      </c>
      <c r="CR8" s="1117">
        <f t="shared" si="47"/>
        <v>0</v>
      </c>
      <c r="CS8" s="1118">
        <f t="shared" si="48"/>
        <v>0</v>
      </c>
      <c r="CT8" s="1109">
        <f t="shared" si="49"/>
        <v>0</v>
      </c>
      <c r="CU8" s="1101">
        <f t="shared" si="50"/>
        <v>0</v>
      </c>
      <c r="CV8" s="1108">
        <f t="shared" si="51"/>
        <v>0</v>
      </c>
      <c r="CW8" s="1097">
        <f t="shared" si="52"/>
        <v>0</v>
      </c>
      <c r="CX8" s="1097">
        <f t="shared" si="53"/>
        <v>0</v>
      </c>
      <c r="CY8" s="1110">
        <f t="shared" si="54"/>
        <v>0</v>
      </c>
      <c r="CZ8" s="437"/>
      <c r="DA8" s="438"/>
      <c r="DB8" s="439" t="s">
        <v>569</v>
      </c>
      <c r="DC8" s="439"/>
      <c r="DD8" s="443"/>
      <c r="DE8" s="411"/>
      <c r="DF8" s="411"/>
      <c r="DG8" s="1116">
        <f t="shared" si="55"/>
        <v>0</v>
      </c>
      <c r="DH8" s="1116">
        <f t="shared" si="56"/>
        <v>0</v>
      </c>
      <c r="DI8" s="1116">
        <f t="shared" si="57"/>
        <v>0</v>
      </c>
      <c r="DJ8" s="442">
        <f t="shared" si="58"/>
        <v>0</v>
      </c>
      <c r="DK8" s="1109">
        <f t="shared" si="59"/>
        <v>0</v>
      </c>
      <c r="DL8" s="1101">
        <f t="shared" si="60"/>
        <v>0</v>
      </c>
      <c r="DM8" s="1097">
        <f t="shared" si="61"/>
        <v>0</v>
      </c>
      <c r="DN8" s="1097">
        <f t="shared" si="62"/>
        <v>0</v>
      </c>
      <c r="DO8" s="1097">
        <f t="shared" si="63"/>
        <v>0</v>
      </c>
      <c r="DP8" s="1110">
        <f t="shared" si="64"/>
        <v>0</v>
      </c>
      <c r="DQ8" s="1113" t="s">
        <v>549</v>
      </c>
      <c r="DR8" s="1120">
        <f t="shared" si="65"/>
        <v>0.3</v>
      </c>
      <c r="DS8" s="1124"/>
      <c r="DT8" s="1093" t="s">
        <v>546</v>
      </c>
      <c r="DU8" s="1093"/>
      <c r="DV8" s="1097">
        <f>IF($P8="","N/A",IF(P8=-1,INDEX('卡片raw data'!AN:AN,MATCH(D8,'卡片raw data'!$F:$F,)),0)+IF(AND(L8&lt;&gt;"party卡",P8&lt;=2,P8&gt;=0),INDEX('卡片raw data'!AP:AP,MATCH(D8,'卡片raw data'!$F:$F,)),0)+IF(OR(AND(L8="party卡",P8&lt;=1),AND(P8&lt;=4,L8&lt;&gt;"party卡",P8&gt;=3)),INDEX('卡片raw data'!AQ:AQ,MATCH(D8,'卡片raw data'!$F:$F,)),0)+IF(OR(P8=5,AND(L8="party卡",P8&gt;=2)),INDEX('卡片raw data'!AR:AR,MATCH(D8,'卡片raw data'!$F:$F,)),0))</f>
        <v>150</v>
      </c>
      <c r="DW8" s="1098">
        <f t="shared" si="66"/>
        <v>0.3</v>
      </c>
      <c r="DX8" s="1098">
        <f t="shared" si="67"/>
        <v>0.3</v>
      </c>
      <c r="DY8" s="1098">
        <f t="shared" si="68"/>
        <v>2.0833333333333333E-3</v>
      </c>
      <c r="DZ8" s="1098">
        <f t="shared" si="69"/>
        <v>2.4868749999999999E-3</v>
      </c>
      <c r="EA8" s="1098">
        <f t="shared" si="70"/>
        <v>0</v>
      </c>
      <c r="EB8" s="1121">
        <f t="shared" si="71"/>
        <v>15.236812499999997</v>
      </c>
      <c r="EC8" s="1101">
        <f t="shared" si="72"/>
        <v>937.5</v>
      </c>
      <c r="ED8" s="1097">
        <f t="shared" si="73"/>
        <v>621.71875</v>
      </c>
      <c r="EE8" s="1110">
        <f t="shared" si="74"/>
        <v>937.5</v>
      </c>
      <c r="EF8" s="1092" t="s">
        <v>711</v>
      </c>
      <c r="EG8" s="1120">
        <f t="shared" si="75"/>
        <v>0.3</v>
      </c>
      <c r="EH8" s="1124"/>
      <c r="EI8" s="1093"/>
      <c r="EJ8" s="1093"/>
      <c r="EK8" s="1097">
        <f>IF($P8="","N/A",IF(P8=-1,INDEX('卡片raw data'!AS:AS,MATCH(D8,'卡片raw data'!$F:$F,)),0)+IF(AND(L8&lt;&gt;"party卡",P8&lt;=2,P8&gt;=0),INDEX('卡片raw data'!AU:AU,MATCH(D8,'卡片raw data'!$F:$F,)),0)+IF(OR(AND(L8="party卡",P8&lt;=1),AND(P8&lt;=4,L8&lt;&gt;"party卡",P8&gt;=3)),INDEX('卡片raw data'!AV:AV,MATCH(D8,'卡片raw data'!$F:$F,)),0)+IF(OR(P8=5,AND(L8="party卡",P8&gt;=2)),INDEX('卡片raw data'!AW:AW,MATCH(D8,'卡片raw data'!$F:$F,)),0))</f>
        <v>0</v>
      </c>
      <c r="EL8" s="1098">
        <f t="shared" si="76"/>
        <v>0.3</v>
      </c>
      <c r="EM8" s="1098">
        <f t="shared" si="77"/>
        <v>0.3</v>
      </c>
      <c r="EN8" s="1125">
        <f t="shared" si="78"/>
        <v>0</v>
      </c>
      <c r="EO8" s="1125">
        <f t="shared" si="79"/>
        <v>0</v>
      </c>
      <c r="EP8" s="1098">
        <f t="shared" si="80"/>
        <v>0</v>
      </c>
      <c r="EQ8" s="1121">
        <f t="shared" si="81"/>
        <v>0</v>
      </c>
      <c r="ER8" s="1101">
        <f t="shared" si="82"/>
        <v>0</v>
      </c>
      <c r="ES8" s="1097">
        <f t="shared" si="83"/>
        <v>0</v>
      </c>
      <c r="ET8" s="1122">
        <f t="shared" si="84"/>
        <v>0</v>
      </c>
      <c r="EV8" s="1348" t="s">
        <v>236</v>
      </c>
      <c r="EW8" s="1213" t="s">
        <v>143</v>
      </c>
      <c r="EX8" s="1219">
        <v>1.1000000000000001</v>
      </c>
      <c r="EY8" s="1212"/>
      <c r="EZ8" s="1348" t="s">
        <v>236</v>
      </c>
      <c r="FA8" s="1213" t="s">
        <v>143</v>
      </c>
      <c r="FB8" s="1286">
        <v>0.95</v>
      </c>
      <c r="FC8" s="447"/>
      <c r="FD8" s="459" t="s">
        <v>1566</v>
      </c>
      <c r="FE8" s="1351">
        <v>0</v>
      </c>
      <c r="FF8" s="1352"/>
      <c r="FG8" s="447"/>
      <c r="FH8" s="465">
        <f t="shared" ref="FH8:FH14" si="85">FI8*$FB$11*(1+$FA$21)*$FA$22</f>
        <v>41785.25</v>
      </c>
      <c r="FI8" s="560">
        <v>1.3</v>
      </c>
      <c r="FJ8" s="558">
        <v>0.1</v>
      </c>
      <c r="FL8" s="1374"/>
      <c r="FM8" s="463" t="s">
        <v>23</v>
      </c>
      <c r="FN8" s="464">
        <v>0</v>
      </c>
    </row>
    <row r="9" spans="1:170" ht="16.5" customHeight="1">
      <c r="B9" s="1123" t="str">
        <f>INDEX('卡片raw data'!B:B,MATCH($D9,'卡片raw data'!$F:$F,))</f>
        <v>练习绘</v>
      </c>
      <c r="C9" s="449" t="s">
        <v>124</v>
      </c>
      <c r="D9" s="408">
        <v>6</v>
      </c>
      <c r="E9" s="1090">
        <v>100021002</v>
      </c>
      <c r="F9" s="1090" t="str">
        <f>INDEX('卡片raw data'!C:C,MATCH($D9,'卡片raw data'!$F:$F,))</f>
        <v>R</v>
      </c>
      <c r="G9" s="1094" t="s">
        <v>25</v>
      </c>
      <c r="H9" s="411">
        <f>IFERROR(INDEX(绊状态确认!C:C,MATCH($G9,绊状态确认!$B:$B,)),"")</f>
        <v>2</v>
      </c>
      <c r="I9" s="1124" t="str">
        <f>IFERROR(INDEX(绊状态确认!D:D,MATCH($G9,绊状态确认!$B:$B,)),"")</f>
        <v>缪</v>
      </c>
      <c r="J9" s="1124" t="str">
        <f>IFERROR(INDEX(绊状态确认!E:E,MATCH($G9,绊状态确认!$B:$B,)),"")</f>
        <v>3年级</v>
      </c>
      <c r="K9" s="451" t="str">
        <f>IFERROR(INDEX(绊状态确认!F:F,MATCH($G9,绊状态确认!$B:$B,)),"")</f>
        <v>BiBi</v>
      </c>
      <c r="L9" s="1094" t="str">
        <f>INDEX('卡片raw data'!E:E,MATCH($D9,'卡片raw data'!$F:$F,))</f>
        <v>卡池卡</v>
      </c>
      <c r="M9" s="415">
        <v>43735</v>
      </c>
      <c r="N9" s="416">
        <v>0</v>
      </c>
      <c r="O9" s="1091" t="str">
        <f>INDEX('卡片raw data'!D:D,MATCH($D9,'卡片raw data'!$F:$F,))</f>
        <v>sk</v>
      </c>
      <c r="P9" s="417">
        <v>5</v>
      </c>
      <c r="Q9" s="1095">
        <f t="shared" si="0"/>
        <v>13832.482795811133</v>
      </c>
      <c r="R9" s="1096">
        <f t="shared" si="1"/>
        <v>0.16</v>
      </c>
      <c r="S9" s="1097">
        <f t="shared" si="2"/>
        <v>9530.6239714310686</v>
      </c>
      <c r="T9" s="1098">
        <f t="shared" si="3"/>
        <v>0.47599999999999998</v>
      </c>
      <c r="U9" s="1099">
        <f t="shared" si="4"/>
        <v>9.1855020835714285</v>
      </c>
      <c r="V9" s="1100">
        <f t="shared" si="5"/>
        <v>16557.852123712113</v>
      </c>
      <c r="W9" s="1101">
        <f t="shared" si="6"/>
        <v>3005.1476580839999</v>
      </c>
      <c r="X9" s="1096">
        <f t="shared" si="7"/>
        <v>3.4000000000000002E-2</v>
      </c>
      <c r="Y9" s="1097">
        <f t="shared" si="8"/>
        <v>725.36932790097944</v>
      </c>
      <c r="Z9" s="1102">
        <f t="shared" si="9"/>
        <v>9.1855020835714285</v>
      </c>
      <c r="AA9" s="1103">
        <f t="shared" si="10"/>
        <v>3730.5169859849793</v>
      </c>
      <c r="AB9" s="1101">
        <f t="shared" si="11"/>
        <v>3005.1476580839999</v>
      </c>
      <c r="AC9" s="1104">
        <f t="shared" si="12"/>
        <v>3.4000000000000002E-2</v>
      </c>
      <c r="AD9" s="1105">
        <f t="shared" si="13"/>
        <v>1.8994224431818179E-2</v>
      </c>
      <c r="AE9" s="1128">
        <f t="shared" si="14"/>
        <v>-1.8962422952541544</v>
      </c>
      <c r="AF9" s="1130">
        <f t="shared" si="15"/>
        <v>0</v>
      </c>
      <c r="AG9" s="420">
        <f t="shared" si="16"/>
        <v>0</v>
      </c>
      <c r="AH9" s="420">
        <f t="shared" si="17"/>
        <v>0</v>
      </c>
      <c r="AI9" s="1097">
        <f t="shared" si="18"/>
        <v>0</v>
      </c>
      <c r="AJ9" s="420">
        <f t="shared" si="19"/>
        <v>0</v>
      </c>
      <c r="AK9" s="518">
        <f t="shared" si="20"/>
        <v>0</v>
      </c>
      <c r="AL9" s="1106">
        <f>IF($P9="","N/A",(IF($P9=-1,INDEX('卡片raw data'!S:S,MATCH($D9,'卡片raw data'!$F:$F,)),0)+IF($P9=0,INDEX('卡片raw data'!V:V,MATCH($D9,'卡片raw data'!$F:$F,)),0)+IF($P9=1,INDEX('卡片raw data'!Y:Y,MATCH($D9,'卡片raw data'!$F:$F,)),0)+IF($P9=2,INDEX('卡片raw data'!AB:AB,MATCH($D9,'卡片raw data'!$F:$F,)),0)+IF($P9=3,INDEX('卡片raw data'!AE:AE,MATCH($D9,'卡片raw data'!$F:$F,)),0)+IF($P9=4,INDEX('卡片raw data'!AH:AH,MATCH($D9,'卡片raw data'!$F:$F,)),0)+IF($P9=5,INDEX('卡片raw data'!AK:AK,MATCH($D9,'卡片raw data'!$F:$F,)),0)+INDEX('卡片raw data'!S:S,MATCH($D9,'卡片raw data'!$F:$F,))*(IF($F9="UR",0.04,0.033))*(IF($F9="UR",INDEX(绊状态确认!$S:$S,MATCH($G9,绊状态确认!$B:$B,))/2-40)+IF($F9="SR",INDEX(绊状态确认!$R:$R,MATCH($G9,绊状态确认!$B:$B,))/4-15))+IF($F9="R",INDEX(绊状态确认!$Q:$Q,MATCH($G9,绊状态确认!$B:$B,))/6-40/6)))*(INDEX(绊状态确认!$H:$H,MATCH($G9,绊状态确认!$B:$B,))+INDEX(绊状态确认!J:J,MATCH($G9,绊状态确认!$B:$B,)))</f>
        <v>4122.8591999999999</v>
      </c>
      <c r="AM9" s="1106">
        <f>IF($P9="","N/A",(IF($P9=-1,INDEX('卡片raw data'!T:T,MATCH($D9,'卡片raw data'!$F:$F,)),0)+IF($P9=0,INDEX('卡片raw data'!W:W,MATCH($D9,'卡片raw data'!$F:$F,)),0)+IF($P9=1,INDEX('卡片raw data'!Z:Z,MATCH($D9,'卡片raw data'!$F:$F,)),0)+IF($P9=2,INDEX('卡片raw data'!AC:AC,MATCH($D9,'卡片raw data'!$F:$F,)),0)+IF($P9=3,INDEX('卡片raw data'!AF:AF,MATCH($D9,'卡片raw data'!$F:$F,)),0)+IF($P9=4,INDEX('卡片raw data'!AI:AI,MATCH($D9,'卡片raw data'!$F:$F,)),0)+IF($P9=5,INDEX('卡片raw data'!AL:AL,MATCH($D9,'卡片raw data'!$F:$F,)),0)+INDEX('卡片raw data'!T:T,MATCH($D9,'卡片raw data'!$F:$F,))*(IF($F9="UR",0.04,0.033))*(IF($F9="UR",INDEX(绊状态确认!$S:$S,MATCH($G9,绊状态确认!$B:$B,))/2-40)+IF($F9="SR",INDEX(绊状态确认!$R:$R,MATCH($G9,绊状态确认!$B:$B,))/4-15))+IF($F9="R",INDEX(绊状态确认!$Q:$Q,MATCH($G9,绊状态确认!$B:$B,))/6-40/6)))*(INDEX(绊状态确认!$H:$H,MATCH($G9,绊状态确认!$B:$B,))+INDEX(绊状态确认!K:K,MATCH($G9,绊状态确认!$B:$B,)))</f>
        <v>3435.3371999999995</v>
      </c>
      <c r="AN9" s="1106">
        <f>IF($P9="","N/A",(IF($P9=-1,INDEX('卡片raw data'!U:U,MATCH($D9,'卡片raw data'!$F:$F,)),0)+IF($P9=0,INDEX('卡片raw data'!X:X,MATCH($D9,'卡片raw data'!$F:$F,)),0)+IF($P9=1,INDEX('卡片raw data'!AA:AA,MATCH($D9,'卡片raw data'!$F:$F,)),0)+IF($P9=2,INDEX('卡片raw data'!AD:AD,MATCH($D9,'卡片raw data'!$F:$F,)),0)+IF($P9=3,INDEX('卡片raw data'!AG:AG,MATCH($D9,'卡片raw data'!$F:$F,)),0)+IF($P9=4,INDEX('卡片raw data'!AJ:AJ,MATCH($D9,'卡片raw data'!$F:$F,)),0)+IF($P9=5,INDEX('卡片raw data'!AM:AM,MATCH($D9,'卡片raw data'!$F:$F,)),0)+INDEX('卡片raw data'!U:U,MATCH($D9,'卡片raw data'!$F:$F,))*(IF($F9="UR",0.04,0.033))*(IF($F9="UR",INDEX(绊状态确认!$S:$S,MATCH($G9,绊状态确认!$B:$B,))/2-40)+IF($F9="SR",INDEX(绊状态确认!$R:$R,MATCH($G9,绊状态确认!$B:$B,))/4-15))+IF($F9="R",INDEX(绊状态确认!$Q:$Q,MATCH($G9,绊状态确认!$B:$B,))/6-40/6)))*(INDEX(绊状态确认!$H:$H,MATCH($G9,绊状态确认!$B:$B,))+INDEX(绊状态确认!L:L,MATCH($G9,绊状态确认!$B:$B,)))</f>
        <v>6182.0159999999996</v>
      </c>
      <c r="AO9" s="1107">
        <f t="shared" si="21"/>
        <v>1</v>
      </c>
      <c r="AP9" s="1131">
        <f>1+(INDEX(绊状态确认!$T:$T,MATCH($G9,绊状态确认!$B:$B,))+0.2)*$AO9</f>
        <v>1.3</v>
      </c>
      <c r="AQ9" s="1108">
        <f t="shared" si="22"/>
        <v>14072.5054</v>
      </c>
      <c r="AR9" s="1097">
        <f>(AM9*(1+$EX$9)+$EX$35)*(1+(INDEX(绊状态确认!$T:$T,MATCH($G9,绊状态确认!$B:$B,))+0.2)*AO9)*IF(J9=$FF$17,1+$FE$17,1)*IF(I9=$FF$14,1+$FE$14,1)</f>
        <v>7393.2352780000001</v>
      </c>
      <c r="AS9" s="1097">
        <f>(AN9*(1+$EX$10)+$EX$36)*(1+(INDEX(绊状态确认!$T:$T,MATCH($G9,绊状态确认!$B:$B,))+0.2)*AO9)*IF(J9=$FF$17,1+$FE$17,1)*IF(I9=$FF$14,1+$FE$14,1)</f>
        <v>13298.11392</v>
      </c>
      <c r="AT9" s="1093">
        <f>IF(AND(INDEX('卡片raw data'!AK:AK,MATCH($D9,'卡片raw data'!$F:$F,))&lt;INDEX('卡片raw data'!AM:AM,MATCH($D9,'卡片raw data'!$F:$F,)),INDEX('卡片raw data'!AL:AL,MATCH($D9,'卡片raw data'!$F:$F,))&lt;INDEX('卡片raw data'!AM:AM,MATCH($D9,'卡片raw data'!$F:$F,))),1,0)</f>
        <v>1</v>
      </c>
      <c r="AU9" s="1098">
        <f>MIN(AT9*0.15+AS9*0.00003+INDEX(绊状态确认!M:M,MATCH($G9,绊状态确认!$B:$B,)),1)</f>
        <v>0.57894341760000001</v>
      </c>
      <c r="AV9" s="1109">
        <f>(INDEX(绊状态确认!$N:$N,MATCH($G9,绊状态确认!$B:$B,))+1.5)*$EW$21</f>
        <v>2.6599999999999997</v>
      </c>
      <c r="AW9" s="1101">
        <f t="shared" si="23"/>
        <v>14332.322932648087</v>
      </c>
      <c r="AX9" s="1097">
        <f t="shared" si="24"/>
        <v>626.68975667608686</v>
      </c>
      <c r="AY9" s="1110">
        <f t="shared" si="25"/>
        <v>14959.012689324174</v>
      </c>
      <c r="AZ9" s="429">
        <f t="shared" si="26"/>
        <v>10639.575440000001</v>
      </c>
      <c r="BA9" s="431">
        <f t="shared" si="27"/>
        <v>12767.490528</v>
      </c>
      <c r="BB9" s="1097">
        <f>(AM9*(1+$FB$9)+$FB$35)*(1+(INDEX(绊状态确认!$T:$T,MATCH($G9,绊状态确认!$B:$B,))+0.2)*AO9)*IF(J9=$FF$17,1+$FE$17,1)*IF(I9=$FF$14,1+$FE$14,1)*(1+$FE$15)</f>
        <v>7393.2352780000001</v>
      </c>
      <c r="BC9" s="1097">
        <f>(AN9*(1+$FB$10)+$FB$36)*(1+(INDEX(绊状态确认!$T:$T,MATCH($G9,绊状态确认!$B:$B,))+0.2)*AO9)*IF(J9=$FF$17,1+$FE$17,1)*IF(I9=$FF$14,1+$FE$14,1)*(1+$FE$15)</f>
        <v>13298.11392</v>
      </c>
      <c r="BD9" s="1104">
        <f>MIN(AT9*0.15+BC9*0.00003+INDEX(绊状态确认!M:M,MATCH($G9,绊状态确认!$B:$B,)),1)</f>
        <v>0.57894341760000001</v>
      </c>
      <c r="BE9" s="432">
        <f>(INDEX(绊状态确认!$N:$N,MATCH($G9,绊状态确认!$B:$B,))+1.5)</f>
        <v>1.9</v>
      </c>
      <c r="BF9" s="1139">
        <f t="array" ref="BF9">SUMPRODUCT(IF(AZ9*AP9*$FI$16:$FI$23*$FA$22&gt;=$FI$24,$FI$24,AZ9*AP9*$FI$16:$FI$23*$FA$22),$FJ$16:$FJ$23)</f>
        <v>21162.115550160001</v>
      </c>
      <c r="BG9" s="1125">
        <f t="array" ref="BG9">SUMPRODUCT(IF(BE9*AZ9*AP9*$FI$16:$FI$23*$FA$22&gt;=$FI$24,$FI$24,BE9*AZ9*AP9*$FI$16:$FI$23*$FA$22),$FJ$16:$FJ$23)</f>
        <v>40208.019545304</v>
      </c>
      <c r="BH9" s="1110">
        <f t="shared" si="28"/>
        <v>10729.538766796721</v>
      </c>
      <c r="BI9" s="1111">
        <f>IF(O9="vo",$EW$26/$EW$24*0.05,0)+IF(O9="sk",-$EW$26/$EW$24*(0.05-INDEX(绊状态确认!W:W,MATCH($G9,绊状态确认!$B:$B,)))+0.05*$EW$28,0)+IF(O9="sp",0.05*$EW$32*$EW$30*(1-$EW$33)-(0.05-INDEX(绊状态确认!V:V,MATCH($G9,绊状态确认!$B:$B,)))*$EW$28,0)+IF(O9="gd",-(0.05-INDEX(绊状态确认!X:X,MATCH($G9,绊状态确认!$B:$B,)))*$EW$32*$EW$30*(1-$EW$33),0)</f>
        <v>-6253.6726349699375</v>
      </c>
      <c r="BJ9" s="1097">
        <f>IF(O9="vo",0.05*(1-$FI$26)*$FA$24,0)+IF(O9="sk",-(0.05-INDEX(绊状态确认!W:W,MATCH($G9,绊状态确认!$B:$B,)))*(1-$FI$26)*$FA$24+0.05*$FA$26,0)+IF(O9="sp",0.05*$FA$32*$FA$27*(1-$FA$33)/$FA$30+0.05*$FA$29/$FA$69*$FA$27*(1-$FA$33)-(0.05-INDEX(绊状态确认!V:V,MATCH($G9,绊状态确认!$B:$B,)))*$FA$26,0)+IF(O9="gd",-(0.05-INDEX(绊状态确认!X:X,MATCH($G9,绊状态确认!$B:$B,)))*$FA$32*$FA$27*(1-$FA$33)/$FA$30-(0.05-INDEX(绊状态确认!X:X,MATCH($G9,绊状态确认!$B:$B,)))*$FA$29/$FA$69*$FA$27*(1-$FA$33),0)</f>
        <v>20.459096812499922</v>
      </c>
      <c r="BK9" s="1110">
        <f>IF(O9="vo",$EW$26/$EW$24*0.05+$EW$26*(-HP($EW$62,$EW$65,$EW$64)+HP($EW$62,$EW$65,(1.05-INDEX(绊状态确认!U:U,MATCH($G9,绊状态确认!$B:$B,)))*$EW$64)),0)+IF(O9="sk",-$EW$26/$EW$24*(0.05-INDEX(绊状态确认!W:W,MATCH($G9,绊状态确认!$B:$B,)))+0.05*$EW$29,0)+IF(O9="sp",0.05*$EW$32*$EW$30*(1-$EW$33)-(0.05-INDEX(绊状态确认!V:V,MATCH($G9,绊状态确认!$B:$B,)))*$EW$29,0)+IF(O9="gd",-(0.05-INDEX(绊状态确认!X:X,MATCH($G9,绊状态确认!$B:$B,)))*$EW$32*$EW$30*(1-$EW$33)+$EW$26*(-HP($EW$62,$EW$65,$EW$64)+HP($EW$62,$EW$65,0.95*$EW$64)),0)</f>
        <v>-4253.6726349699375</v>
      </c>
      <c r="BL9" s="1111">
        <f t="shared" si="29"/>
        <v>-2166.6666666666665</v>
      </c>
      <c r="BM9" s="1110">
        <f t="shared" si="30"/>
        <v>-1661.1111111111109</v>
      </c>
      <c r="BN9" s="1113">
        <f t="shared" si="31"/>
        <v>2</v>
      </c>
      <c r="BO9" s="1097">
        <f t="shared" si="32"/>
        <v>3005.1476580839999</v>
      </c>
      <c r="BP9" s="1100">
        <f t="shared" si="33"/>
        <v>147.56068806020068</v>
      </c>
      <c r="BQ9" s="1113" t="s">
        <v>618</v>
      </c>
      <c r="BR9" s="1124" t="s">
        <v>617</v>
      </c>
      <c r="BS9" s="1098">
        <f>IF($P9="","N/A",IF($P9=-1,INDEX('卡片raw data'!AX:AX,MATCH($D9,'卡片raw data'!$F:$F,)),0)+IF($L9="party卡",IF($P9=5,INDEX('卡片raw data'!BD:BD,MATCH($D9,'卡片raw data'!$F:$F,)),IF($P9&gt;=3,INDEX('卡片raw data'!BC:BC,MATCH($D9,'卡片raw data'!$F:$F,)),INDEX('卡片raw data'!BB:BB,MATCH($D9,'卡片raw data'!$F:$F,)))),IF(OR(AND($F9="UR",$P9=0),AND($F9="SR",$P9&gt;=0,$P9&lt;=2),AND($F9="R",$P9&gt;=0,$P9&lt;4)),INDEX('卡片raw data'!AZ:AZ,MATCH($D9,'卡片raw data'!$F:$F,)),0)+IF(OR(AND($F9="UR",$P9&gt;=1,$P9&lt;=4),AND($F9="SR",$P9&lt;=4,$P9&gt;=3),AND($F9="R",$P9=4)),INDEX('卡片raw data'!BA:BA,MATCH($D9,'卡片raw data'!$F:$F,)),0)+IF($P9=5,INDEX('卡片raw data'!BB:BB,MATCH($D9,'卡片raw data'!$F:$F,)),0)))</f>
        <v>2.7E-2</v>
      </c>
      <c r="BT9" s="1101">
        <f t="shared" si="34"/>
        <v>0</v>
      </c>
      <c r="BU9" s="1097">
        <f t="shared" si="35"/>
        <v>0</v>
      </c>
      <c r="BV9" s="1097">
        <f t="shared" si="36"/>
        <v>0</v>
      </c>
      <c r="BW9" s="1112">
        <f t="shared" si="37"/>
        <v>1.2641785714285714</v>
      </c>
      <c r="BX9" s="1100">
        <f t="shared" si="38"/>
        <v>98.679571224892797</v>
      </c>
      <c r="BY9" s="1110">
        <f t="shared" si="39"/>
        <v>98.679571224892797</v>
      </c>
      <c r="BZ9" s="1107" t="s">
        <v>569</v>
      </c>
      <c r="CA9" s="1124"/>
      <c r="CB9" s="1098">
        <f>IF($P9="","N/A",IF($P9=-1,INDEX('卡片raw data'!BE:BE,MATCH($D9,'卡片raw data'!$F:$F,)),0)+IF($L9="party卡",IF($P9=5,INDEX('卡片raw data'!BK:BK,MATCH($D9,'卡片raw data'!$F:$F,)),IF($P9&gt;=3,INDEX('卡片raw data'!BJ:BJ,MATCH($D9,'卡片raw data'!$F:$F,)),INDEX('卡片raw data'!BI:BI,MATCH($D9,'卡片raw data'!$F:$F,)))),IF(OR(AND($F9="UR",$P9=0),AND($F9="SR",$P9&gt;=0,$P9&lt;=2),AND($F9="R",$P9&gt;=0,$P9&lt;4)),INDEX('卡片raw data'!BG:BG,MATCH($D9,'卡片raw data'!$F:$F,)),0)+IF(OR(AND($F9="UR",$P9&gt;=1,$P9&lt;=4),AND($F9="SR",$P9&lt;=4,$P9&gt;=3),AND($F9="R",$P9=4)),INDEX('卡片raw data'!BH:BH,MATCH($D9,'卡片raw data'!$F:$F,)),0)+IF($P9=5,INDEX('卡片raw data'!BI:BI,MATCH($D9,'卡片raw data'!$F:$F,)),0)))</f>
        <v>0</v>
      </c>
      <c r="CC9" s="1101">
        <f t="shared" si="40"/>
        <v>0</v>
      </c>
      <c r="CD9" s="1097">
        <f>IF(BZ9="ap",CB9*(1-$FI$26)*$FB$5/$FB$11*(+IF(CA9="全员",$FA$24,0)+IF(CA9="同作战",$FA$24,0)+IF(CA9="仲间",$FA$24*2/3,0)+IF(CA9="同属性",$FA$24*$FA$37/3,0)+IF(CA9="同年级",$FA$24*$FA$40/3,0)+IF(CA9="同学校",$FA$24*$FA$43/3,0)+IF(CA9="同小队",$FA$24*$FA$46/3,0)+IF(CA9="同type",$FA$24*INDEX($FB$49:$FB$52,MATCH(X9,$FA$49:$FA$52,))/3,0)+IF(CA9="自身",#REF!/3,0)),0)+IF(BZ9="te",CB9*(1-$FI$27)*($FA$20-1)*$FB$7/$FB$13*(+IF(CA9="全员",$FA$19*$FA$24/(1+($FA$20-1)*$FA$19),0)+IF(CA9="同作战",$FA$19*$FA$24/(1+($FA$20-1)*$FA$19),0)+IF(CA9="仲间",$FA$19*$FA$24*2/3/(1+($FA$20-1)*$FA$19),0)+IF(CA9="同属性",$FA$19*$FA$24*$FA$37/3/(1+($FA$20-1)*$FA$19),0)+IF(CA9="同年级",$FA$19*$FA$24*$FA$40/3/(1+($FA$20-1)*$FA$19),0)+IF(CA9="同学校",$FA$19*$FA$24*$FA$43/3/(1+($FA$20-1)*$FA$19),0)+IF(CA9="同小队",$FA$19*$FA$24*$FA$46/3/(1+($FA$20-1)*$FA$19),0)+IF(CA9="同type",$FA$19*$FA$24*INDEX($FB$49:$FB$52,MATCH(X9,$FA$49:$FA$52,))/3/(1+($FA$20-1)*$FA$19),0)+IF(CA9="自身",$FA$19*#REF!/3/(1+(BH9-1)*$BD9),0)),0)</f>
        <v>0</v>
      </c>
      <c r="CE9" s="1097">
        <f t="shared" si="41"/>
        <v>0</v>
      </c>
      <c r="CF9" s="1112">
        <f t="shared" si="42"/>
        <v>0</v>
      </c>
      <c r="CG9" s="1100">
        <f t="shared" si="43"/>
        <v>0</v>
      </c>
      <c r="CH9" s="1110">
        <f t="shared" si="44"/>
        <v>0</v>
      </c>
      <c r="CI9" s="1113"/>
      <c r="CJ9" s="1114"/>
      <c r="CK9" s="1115" t="s">
        <v>569</v>
      </c>
      <c r="CL9" s="1115"/>
      <c r="CM9" s="1119"/>
      <c r="CN9" s="1115"/>
      <c r="CO9" s="1092"/>
      <c r="CP9" s="1117">
        <f t="shared" si="45"/>
        <v>0</v>
      </c>
      <c r="CQ9" s="1117">
        <f t="shared" si="46"/>
        <v>0</v>
      </c>
      <c r="CR9" s="1117">
        <f t="shared" si="47"/>
        <v>0</v>
      </c>
      <c r="CS9" s="1118">
        <f t="shared" si="48"/>
        <v>0</v>
      </c>
      <c r="CT9" s="1109">
        <f t="shared" si="49"/>
        <v>0</v>
      </c>
      <c r="CU9" s="1101">
        <f t="shared" si="50"/>
        <v>0</v>
      </c>
      <c r="CV9" s="1108">
        <f t="shared" si="51"/>
        <v>0</v>
      </c>
      <c r="CW9" s="1097">
        <f t="shared" si="52"/>
        <v>0</v>
      </c>
      <c r="CX9" s="1097">
        <f t="shared" si="53"/>
        <v>0</v>
      </c>
      <c r="CY9" s="1110">
        <f t="shared" si="54"/>
        <v>0</v>
      </c>
      <c r="CZ9" s="437"/>
      <c r="DA9" s="438"/>
      <c r="DB9" s="439" t="s">
        <v>569</v>
      </c>
      <c r="DC9" s="439"/>
      <c r="DD9" s="443"/>
      <c r="DE9" s="411"/>
      <c r="DF9" s="411"/>
      <c r="DG9" s="1116">
        <f t="shared" si="55"/>
        <v>0</v>
      </c>
      <c r="DH9" s="1116">
        <f t="shared" si="56"/>
        <v>0</v>
      </c>
      <c r="DI9" s="1116">
        <f t="shared" si="57"/>
        <v>0</v>
      </c>
      <c r="DJ9" s="442">
        <f t="shared" si="58"/>
        <v>0</v>
      </c>
      <c r="DK9" s="1109">
        <f t="shared" si="59"/>
        <v>0</v>
      </c>
      <c r="DL9" s="1101">
        <f t="shared" si="60"/>
        <v>0</v>
      </c>
      <c r="DM9" s="1097">
        <f t="shared" si="61"/>
        <v>0</v>
      </c>
      <c r="DN9" s="1097">
        <f t="shared" si="62"/>
        <v>0</v>
      </c>
      <c r="DO9" s="1097">
        <f t="shared" si="63"/>
        <v>0</v>
      </c>
      <c r="DP9" s="1110">
        <f t="shared" si="64"/>
        <v>0</v>
      </c>
      <c r="DQ9" s="1113" t="s">
        <v>550</v>
      </c>
      <c r="DR9" s="1120">
        <f t="shared" si="65"/>
        <v>0.3</v>
      </c>
      <c r="DS9" s="1124">
        <v>10</v>
      </c>
      <c r="DT9" s="1093" t="s">
        <v>161</v>
      </c>
      <c r="DU9" s="1093" t="s">
        <v>544</v>
      </c>
      <c r="DV9" s="1098">
        <f>IF($P9="","N/A",IF(P9=-1,INDEX('卡片raw data'!AN:AN,MATCH(D9,'卡片raw data'!$F:$F,)),0)+IF(AND(L9&lt;&gt;"party卡",P9&lt;=2,P9&gt;=0),INDEX('卡片raw data'!AP:AP,MATCH(D9,'卡片raw data'!$F:$F,)),0)+IF(OR(AND(L9="party卡",P9&lt;=1),AND(P9&lt;=4,L9&lt;&gt;"party卡",P9&gt;=3)),INDEX('卡片raw data'!AQ:AQ,MATCH(D9,'卡片raw data'!$F:$F,)),0)+IF(OR(P9=5,AND(L9="party卡",P9&gt;=2)),INDEX('卡片raw data'!AR:AR,MATCH(D9,'卡片raw data'!$F:$F,)),0))</f>
        <v>4.2000000000000003E-2</v>
      </c>
      <c r="DW9" s="1098">
        <f t="shared" si="66"/>
        <v>0.3</v>
      </c>
      <c r="DX9" s="1098">
        <f t="shared" si="67"/>
        <v>0.3</v>
      </c>
      <c r="DY9" s="1098">
        <f t="shared" si="68"/>
        <v>4.1999999999999996E-2</v>
      </c>
      <c r="DZ9" s="1098">
        <f t="shared" si="69"/>
        <v>3.6329999999999994E-2</v>
      </c>
      <c r="EA9" s="1098">
        <f t="shared" si="70"/>
        <v>0</v>
      </c>
      <c r="EB9" s="1121">
        <f t="shared" si="71"/>
        <v>0</v>
      </c>
      <c r="EC9" s="1101">
        <f t="shared" si="72"/>
        <v>4915.3515067156495</v>
      </c>
      <c r="ED9" s="1097">
        <f t="shared" si="73"/>
        <v>294.17653087275926</v>
      </c>
      <c r="EE9" s="1110">
        <f t="shared" si="74"/>
        <v>4915.3515067156495</v>
      </c>
      <c r="EF9" s="1092" t="s">
        <v>711</v>
      </c>
      <c r="EG9" s="1120">
        <f t="shared" si="75"/>
        <v>0.3</v>
      </c>
      <c r="EH9" s="1124"/>
      <c r="EI9" s="1093"/>
      <c r="EJ9" s="1093"/>
      <c r="EK9" s="1097">
        <f>IF($P9="","N/A",IF(P9=-1,INDEX('卡片raw data'!AS:AS,MATCH(D9,'卡片raw data'!$F:$F,)),0)+IF(AND(L9&lt;&gt;"party卡",P9&lt;=2,P9&gt;=0),INDEX('卡片raw data'!AU:AU,MATCH(D9,'卡片raw data'!$F:$F,)),0)+IF(OR(AND(L9="party卡",P9&lt;=1),AND(P9&lt;=4,L9&lt;&gt;"party卡",P9&gt;=3)),INDEX('卡片raw data'!AV:AV,MATCH(D9,'卡片raw data'!$F:$F,)),0)+IF(OR(P9=5,AND(L9="party卡",P9&gt;=2)),INDEX('卡片raw data'!AW:AW,MATCH(D9,'卡片raw data'!$F:$F,)),0))</f>
        <v>0</v>
      </c>
      <c r="EL9" s="1098">
        <f t="shared" si="76"/>
        <v>0.3</v>
      </c>
      <c r="EM9" s="1098">
        <f t="shared" si="77"/>
        <v>0.3</v>
      </c>
      <c r="EN9" s="1125">
        <f t="shared" si="78"/>
        <v>0</v>
      </c>
      <c r="EO9" s="1125">
        <f t="shared" si="79"/>
        <v>0</v>
      </c>
      <c r="EP9" s="1098">
        <f t="shared" si="80"/>
        <v>0</v>
      </c>
      <c r="EQ9" s="1121">
        <f t="shared" si="81"/>
        <v>0</v>
      </c>
      <c r="ER9" s="1101">
        <f t="shared" si="82"/>
        <v>0</v>
      </c>
      <c r="ES9" s="1097">
        <f t="shared" si="83"/>
        <v>0</v>
      </c>
      <c r="ET9" s="1122">
        <f t="shared" si="84"/>
        <v>0</v>
      </c>
      <c r="EV9" s="1348"/>
      <c r="EW9" s="1215" t="s">
        <v>144</v>
      </c>
      <c r="EX9" s="1216">
        <v>0.05</v>
      </c>
      <c r="EY9" s="1212"/>
      <c r="EZ9" s="1348"/>
      <c r="FA9" s="1215" t="s">
        <v>144</v>
      </c>
      <c r="FB9" s="1216">
        <v>0.05</v>
      </c>
      <c r="FC9" s="447"/>
      <c r="FD9" s="459" t="s">
        <v>1567</v>
      </c>
      <c r="FE9" s="1351">
        <v>0</v>
      </c>
      <c r="FF9" s="1352"/>
      <c r="FG9" s="447"/>
      <c r="FH9" s="465">
        <f t="shared" si="85"/>
        <v>44999.5</v>
      </c>
      <c r="FI9" s="560">
        <v>1.4</v>
      </c>
      <c r="FJ9" s="558">
        <v>0.2</v>
      </c>
      <c r="FL9" s="467" t="s">
        <v>698</v>
      </c>
      <c r="FM9" s="1375">
        <f>1/3-FM10</f>
        <v>0.20833333333333331</v>
      </c>
      <c r="FN9" s="1376"/>
    </row>
    <row r="10" spans="1:170" ht="16.5" customHeight="1">
      <c r="B10" s="1123" t="str">
        <f>INDEX('卡片raw data'!B:B,MATCH($D10,'卡片raw data'!$F:$F,))</f>
        <v>打工绘</v>
      </c>
      <c r="C10" s="449" t="s">
        <v>22</v>
      </c>
      <c r="D10" s="408">
        <v>7</v>
      </c>
      <c r="E10" s="1090">
        <v>100022001</v>
      </c>
      <c r="F10" s="1090" t="str">
        <f>INDEX('卡片raw data'!C:C,MATCH($D10,'卡片raw data'!$F:$F,))</f>
        <v>SR</v>
      </c>
      <c r="G10" s="1094" t="s">
        <v>25</v>
      </c>
      <c r="H10" s="411">
        <f>IFERROR(INDEX(绊状态确认!C:C,MATCH($G10,绊状态确认!$B:$B,)),"")</f>
        <v>2</v>
      </c>
      <c r="I10" s="1124" t="str">
        <f>IFERROR(INDEX(绊状态确认!D:D,MATCH($G10,绊状态确认!$B:$B,)),"")</f>
        <v>缪</v>
      </c>
      <c r="J10" s="1124" t="str">
        <f>IFERROR(INDEX(绊状态确认!E:E,MATCH($G10,绊状态确认!$B:$B,)),"")</f>
        <v>3年级</v>
      </c>
      <c r="K10" s="451" t="str">
        <f>IFERROR(INDEX(绊状态确认!F:F,MATCH($G10,绊状态确认!$B:$B,)),"")</f>
        <v>BiBi</v>
      </c>
      <c r="L10" s="1094" t="str">
        <f>INDEX('卡片raw data'!E:E,MATCH($D10,'卡片raw data'!$F:$F,))</f>
        <v>卡池卡</v>
      </c>
      <c r="M10" s="415">
        <v>43735</v>
      </c>
      <c r="N10" s="416">
        <v>0</v>
      </c>
      <c r="O10" s="1091" t="str">
        <f>INDEX('卡片raw data'!D:D,MATCH($D10,'卡片raw data'!$F:$F,))</f>
        <v>vo</v>
      </c>
      <c r="P10" s="417">
        <v>5</v>
      </c>
      <c r="Q10" s="1095">
        <f t="shared" si="0"/>
        <v>34905.493314409505</v>
      </c>
      <c r="R10" s="1096">
        <f t="shared" si="1"/>
        <v>0.40500000000000003</v>
      </c>
      <c r="S10" s="1097">
        <f t="shared" si="2"/>
        <v>15562.809490366111</v>
      </c>
      <c r="T10" s="1098">
        <f t="shared" si="3"/>
        <v>0.77800000000000002</v>
      </c>
      <c r="U10" s="1099">
        <f t="shared" si="4"/>
        <v>-13.807823528457142</v>
      </c>
      <c r="V10" s="1100">
        <f t="shared" si="5"/>
        <v>34492.21083059971</v>
      </c>
      <c r="W10" s="1101">
        <f t="shared" si="6"/>
        <v>6394.5249095944546</v>
      </c>
      <c r="X10" s="1096">
        <f t="shared" si="7"/>
        <v>7.3999999999999996E-2</v>
      </c>
      <c r="Y10" s="1097">
        <f t="shared" si="8"/>
        <v>891.38596643190976</v>
      </c>
      <c r="Z10" s="1102">
        <f t="shared" si="9"/>
        <v>11.192176471542858</v>
      </c>
      <c r="AA10" s="1103">
        <f t="shared" si="10"/>
        <v>7285.9108760263643</v>
      </c>
      <c r="AB10" s="1101">
        <f t="shared" si="11"/>
        <v>6955.485805770134</v>
      </c>
      <c r="AC10" s="1104">
        <f t="shared" si="12"/>
        <v>0.08</v>
      </c>
      <c r="AD10" s="1105">
        <f t="shared" si="13"/>
        <v>-3.8207812500000026E-3</v>
      </c>
      <c r="AE10" s="1128">
        <f t="shared" si="14"/>
        <v>-12.27536231884058</v>
      </c>
      <c r="AF10" s="1130">
        <f t="shared" si="15"/>
        <v>0</v>
      </c>
      <c r="AG10" s="420">
        <f t="shared" si="16"/>
        <v>0</v>
      </c>
      <c r="AH10" s="420">
        <f t="shared" si="17"/>
        <v>0</v>
      </c>
      <c r="AI10" s="1097">
        <f t="shared" si="18"/>
        <v>0</v>
      </c>
      <c r="AJ10" s="420">
        <f t="shared" si="19"/>
        <v>0</v>
      </c>
      <c r="AK10" s="518">
        <f t="shared" si="20"/>
        <v>0</v>
      </c>
      <c r="AL10" s="1106">
        <f>IF($P10="","N/A",(IF($P10=-1,INDEX('卡片raw data'!S:S,MATCH($D10,'卡片raw data'!$F:$F,)),0)+IF($P10=0,INDEX('卡片raw data'!V:V,MATCH($D10,'卡片raw data'!$F:$F,)),0)+IF($P10=1,INDEX('卡片raw data'!Y:Y,MATCH($D10,'卡片raw data'!$F:$F,)),0)+IF($P10=2,INDEX('卡片raw data'!AB:AB,MATCH($D10,'卡片raw data'!$F:$F,)),0)+IF($P10=3,INDEX('卡片raw data'!AE:AE,MATCH($D10,'卡片raw data'!$F:$F,)),0)+IF($P10=4,INDEX('卡片raw data'!AH:AH,MATCH($D10,'卡片raw data'!$F:$F,)),0)+IF($P10=5,INDEX('卡片raw data'!AK:AK,MATCH($D10,'卡片raw data'!$F:$F,)),0)+INDEX('卡片raw data'!S:S,MATCH($D10,'卡片raw data'!$F:$F,))*(IF($F10="UR",0.04,0.033))*(IF($F10="UR",INDEX(绊状态确认!$S:$S,MATCH($G10,绊状态确认!$B:$B,))/2-40)+IF($F10="SR",INDEX(绊状态确认!$R:$R,MATCH($G10,绊状态确认!$B:$B,))/4-15))+IF($F10="R",INDEX(绊状态确认!$Q:$Q,MATCH($G10,绊状态确认!$B:$B,))/6-40/6)))*(INDEX(绊状态确认!$H:$H,MATCH($G10,绊状态确认!$B:$B,))+INDEX(绊状态确认!J:J,MATCH($G10,绊状态确认!$B:$B,)))</f>
        <v>7562.4238079999996</v>
      </c>
      <c r="AM10" s="1106">
        <f>IF($P10="","N/A",(IF($P10=-1,INDEX('卡片raw data'!T:T,MATCH($D10,'卡片raw data'!$F:$F,)),0)+IF($P10=0,INDEX('卡片raw data'!W:W,MATCH($D10,'卡片raw data'!$F:$F,)),0)+IF($P10=1,INDEX('卡片raw data'!Z:Z,MATCH($D10,'卡片raw data'!$F:$F,)),0)+IF($P10=2,INDEX('卡片raw data'!AC:AC,MATCH($D10,'卡片raw data'!$F:$F,)),0)+IF($P10=3,INDEX('卡片raw data'!AF:AF,MATCH($D10,'卡片raw data'!$F:$F,)),0)+IF($P10=4,INDEX('卡片raw data'!AI:AI,MATCH($D10,'卡片raw data'!$F:$F,)),0)+IF($P10=5,INDEX('卡片raw data'!AL:AL,MATCH($D10,'卡片raw data'!$F:$F,)),0)+INDEX('卡片raw data'!T:T,MATCH($D10,'卡片raw data'!$F:$F,))*(IF($F10="UR",0.04,0.033))*(IF($F10="UR",INDEX(绊状态确认!$S:$S,MATCH($G10,绊状态确认!$B:$B,))/2-40)+IF($F10="SR",INDEX(绊状态确认!$R:$R,MATCH($G10,绊状态确认!$B:$B,))/4-15))+IF($F10="R",INDEX(绊状态确认!$Q:$Q,MATCH($G10,绊状态确认!$B:$B,))/6-40/6)))*(INDEX(绊状态确认!$H:$H,MATCH($G10,绊状态确认!$B:$B,))+INDEX(绊状态确认!K:K,MATCH($G10,绊状态确认!$B:$B,)))</f>
        <v>5671.8178559999997</v>
      </c>
      <c r="AN10" s="1106">
        <f>IF($P10="","N/A",(IF($P10=-1,INDEX('卡片raw data'!U:U,MATCH($D10,'卡片raw data'!$F:$F,)),0)+IF($P10=0,INDEX('卡片raw data'!X:X,MATCH($D10,'卡片raw data'!$F:$F,)),0)+IF($P10=1,INDEX('卡片raw data'!AA:AA,MATCH($D10,'卡片raw data'!$F:$F,)),0)+IF($P10=2,INDEX('卡片raw data'!AD:AD,MATCH($D10,'卡片raw data'!$F:$F,)),0)+IF($P10=3,INDEX('卡片raw data'!AG:AG,MATCH($D10,'卡片raw data'!$F:$F,)),0)+IF($P10=4,INDEX('卡片raw data'!AJ:AJ,MATCH($D10,'卡片raw data'!$F:$F,)),0)+IF($P10=5,INDEX('卡片raw data'!AM:AM,MATCH($D10,'卡片raw data'!$F:$F,)),0)+INDEX('卡片raw data'!U:U,MATCH($D10,'卡片raw data'!$F:$F,))*(IF($F10="UR",0.04,0.033))*(IF($F10="UR",INDEX(绊状态确认!$S:$S,MATCH($G10,绊状态确认!$B:$B,))/2-40)+IF($F10="SR",INDEX(绊状态确认!$R:$R,MATCH($G10,绊状态确认!$B:$B,))/4-15))+IF($F10="R",INDEX(绊状态确认!$Q:$Q,MATCH($G10,绊状态确认!$B:$B,))/6-40/6)))*(INDEX(绊状态确认!$H:$H,MATCH($G10,绊状态确认!$B:$B,))+INDEX(绊状态确认!L:L,MATCH($G10,绊状态确认!$B:$B,)))</f>
        <v>5671.8178559999997</v>
      </c>
      <c r="AO10" s="1107">
        <f t="shared" si="21"/>
        <v>1</v>
      </c>
      <c r="AP10" s="1131">
        <f>1+(INDEX(绊状态确认!$T:$T,MATCH($G10,绊状态确认!$B:$B,))+0.2)*$AO10</f>
        <v>1.3</v>
      </c>
      <c r="AQ10" s="1108">
        <f t="shared" si="22"/>
        <v>23101.362496000002</v>
      </c>
      <c r="AR10" s="1097">
        <f>(AM10*(1+$EX$9)+$EX$35)*(1+(INDEX(绊状态确认!$T:$T,MATCH($G10,绊状态确认!$B:$B,))+0.2)*AO10)*IF(J10=$FF$17,1+$FE$17,1)*IF(I10=$FF$14,1+$FE$14,1)</f>
        <v>10446.031373440001</v>
      </c>
      <c r="AS10" s="1097">
        <f>(AN10*(1+$EX$10)+$EX$36)*(1+(INDEX(绊状态确认!$T:$T,MATCH($G10,绊状态确认!$B:$B,))+0.2)*AO10)*IF(J10=$FF$17,1+$FE$17,1)*IF(I10=$FF$14,1+$FE$14,1)</f>
        <v>12535.367694719998</v>
      </c>
      <c r="AT10" s="1093">
        <f>IF(AND(INDEX('卡片raw data'!AK:AK,MATCH($D10,'卡片raw data'!$F:$F,))&lt;INDEX('卡片raw data'!AM:AM,MATCH($D10,'卡片raw data'!$F:$F,)),INDEX('卡片raw data'!AL:AL,MATCH($D10,'卡片raw data'!$F:$F,))&lt;INDEX('卡片raw data'!AM:AM,MATCH($D10,'卡片raw data'!$F:$F,))),1,0)</f>
        <v>0</v>
      </c>
      <c r="AU10" s="1098">
        <f>MIN(AT10*0.15+AS10*0.00003+INDEX(绊状态确认!M:M,MATCH($G10,绊状态确认!$B:$B,)),1)</f>
        <v>0.4060610308416</v>
      </c>
      <c r="AV10" s="1109">
        <f>(INDEX(绊状态确认!$N:$N,MATCH($G10,绊状态确认!$B:$B,))+1.5)*$EW$21</f>
        <v>2.6599999999999997</v>
      </c>
      <c r="AW10" s="1101">
        <f t="shared" si="23"/>
        <v>20084.744824564968</v>
      </c>
      <c r="AX10" s="1097">
        <f t="shared" si="24"/>
        <v>891.38596643190999</v>
      </c>
      <c r="AY10" s="1110">
        <f t="shared" si="25"/>
        <v>20976.130790996878</v>
      </c>
      <c r="AZ10" s="429">
        <f t="shared" si="26"/>
        <v>17346.726425599998</v>
      </c>
      <c r="BA10" s="431">
        <f t="shared" si="27"/>
        <v>20816.071710719996</v>
      </c>
      <c r="BB10" s="1097">
        <f>(AM10*(1+$FB$9)+$FB$35)*(1+(INDEX(绊状态确认!$T:$T,MATCH($G10,绊状态确认!$B:$B,))+0.2)*AO10)*IF(J10=$FF$17,1+$FE$17,1)*IF(I10=$FF$14,1+$FE$14,1)*(1+$FE$15)</f>
        <v>10446.031373440001</v>
      </c>
      <c r="BC10" s="1097">
        <f>(AN10*(1+$FB$10)+$FB$36)*(1+(INDEX(绊状态确认!$T:$T,MATCH($G10,绊状态确认!$B:$B,))+0.2)*AO10)*IF(J10=$FF$17,1+$FE$17,1)*IF(I10=$FF$14,1+$FE$14,1)*(1+$FE$15)</f>
        <v>12535.367694719998</v>
      </c>
      <c r="BD10" s="1104">
        <f>MIN(AT10*0.15+BC10*0.00003+INDEX(绊状态确认!M:M,MATCH($G10,绊状态确认!$B:$B,)),1)</f>
        <v>0.4060610308416</v>
      </c>
      <c r="BE10" s="432">
        <f>(INDEX(绊状态确认!$N:$N,MATCH($G10,绊状态确认!$B:$B,))+1.5)</f>
        <v>1.9</v>
      </c>
      <c r="BF10" s="1139">
        <f t="array" ref="BF10">SUMPRODUCT(IF(AZ10*AP10*$FI$16:$FI$23*$FA$22&gt;=$FI$24,$FI$24,AZ10*AP10*$FI$16:$FI$23*$FA$22),$FJ$16:$FJ$23)</f>
        <v>34502.638860518404</v>
      </c>
      <c r="BG10" s="1125">
        <f t="array" ref="BG10">SUMPRODUCT(IF(BE10*AZ10*AP10*$FI$16:$FI$23*$FA$22&gt;=$FI$24,$FI$24,BE10*AZ10*AP10*$FI$16:$FI$23*$FA$22),$FJ$16:$FJ$23)</f>
        <v>58708.599563752956</v>
      </c>
      <c r="BH10" s="1110">
        <f t="shared" si="28"/>
        <v>14777.24540539503</v>
      </c>
      <c r="BI10" s="1111">
        <f>IF(O10="vo",$EW$26/$EW$24*0.05,0)+IF(O10="sk",-$EW$26/$EW$24*(0.05-INDEX(绊状态确认!W:W,MATCH($G10,绊状态确认!$B:$B,)))+0.05*$EW$28,0)+IF(O10="sp",0.05*$EW$32*$EW$30*(1-$EW$33)-(0.05-INDEX(绊状态确认!V:V,MATCH($G10,绊状态确认!$B:$B,)))*$EW$28,0)+IF(O10="gd",-(0.05-INDEX(绊状态确认!X:X,MATCH($G10,绊状态确认!$B:$B,)))*$EW$32*$EW$30*(1-$EW$33),0)</f>
        <v>7726.3029277443748</v>
      </c>
      <c r="BJ10" s="1097">
        <f>IF(O10="vo",0.05*(1-$FI$26)*$FA$24,0)+IF(O10="sk",-(0.05-INDEX(绊状态确认!W:W,MATCH($G10,绊状态确认!$B:$B,)))*(1-$FI$26)*$FA$24+0.05*$FA$26,0)+IF(O10="sp",0.05*$FA$32*$FA$27*(1-$FA$33)/$FA$30+0.05*$FA$29/$FA$69*$FA$27*(1-$FA$33)-(0.05-INDEX(绊状态确认!V:V,MATCH($G10,绊状态确认!$B:$B,)))*$FA$26,0)+IF(O10="gd",-(0.05-INDEX(绊状态确认!X:X,MATCH($G10,绊状态确认!$B:$B,)))*$FA$32*$FA$27*(1-$FA$33)/$FA$30-(0.05-INDEX(绊状态确认!X:X,MATCH($G10,绊状态确认!$B:$B,)))*$FA$29/$FA$69*$FA$27*(1-$FA$33),0)</f>
        <v>393.93433687500004</v>
      </c>
      <c r="BK10" s="1110">
        <f>IF(O10="vo",$EW$26/$EW$24*0.05+$EW$26*(-HP($EW$62,$EW$65,$EW$64)+HP($EW$62,$EW$65,(1.05-INDEX(绊状态确认!U:U,MATCH($G10,绊状态确认!$B:$B,)))*$EW$64)),0)+IF(O10="sk",-$EW$26/$EW$24*(0.05-INDEX(绊状态确认!W:W,MATCH($G10,绊状态确认!$B:$B,)))+0.05*$EW$29,0)+IF(O10="sp",0.05*$EW$32*$EW$30*(1-$EW$33)-(0.05-INDEX(绊状态确认!V:V,MATCH($G10,绊状态确认!$B:$B,)))*$EW$29,0)+IF(O10="gd",-(0.05-INDEX(绊状态确认!X:X,MATCH($G10,绊状态确认!$B:$B,)))*$EW$32*$EW$30*(1-$EW$33)+$EW$26*(-HP($EW$62,$EW$65,$EW$64)+HP($EW$62,$EW$65,0.95*$EW$64)),0)</f>
        <v>6421.6344775026746</v>
      </c>
      <c r="BL10" s="1111">
        <f t="shared" si="29"/>
        <v>-1083.3333333333333</v>
      </c>
      <c r="BM10" s="1110">
        <f t="shared" si="30"/>
        <v>-830.55555555555543</v>
      </c>
      <c r="BN10" s="1113">
        <f t="shared" si="31"/>
        <v>3</v>
      </c>
      <c r="BO10" s="1097">
        <f t="shared" si="32"/>
        <v>4507.7214871259994</v>
      </c>
      <c r="BP10" s="1100">
        <f t="shared" si="33"/>
        <v>221.34103209030098</v>
      </c>
      <c r="BQ10" s="1113" t="s">
        <v>619</v>
      </c>
      <c r="BR10" s="1124" t="s">
        <v>620</v>
      </c>
      <c r="BS10" s="1098">
        <f>IF($P10="","N/A",IF($P10=-1,INDEX('卡片raw data'!AX:AX,MATCH($D10,'卡片raw data'!$F:$F,)),0)+IF($L10="party卡",IF($P10=5,INDEX('卡片raw data'!BD:BD,MATCH($D10,'卡片raw data'!$F:$F,)),IF($P10&gt;=3,INDEX('卡片raw data'!BC:BC,MATCH($D10,'卡片raw data'!$F:$F,)),INDEX('卡片raw data'!BB:BB,MATCH($D10,'卡片raw data'!$F:$F,)))),IF(OR(AND($F10="UR",$P10=0),AND($F10="SR",$P10&gt;=0,$P10&lt;=2),AND($F10="R",$P10&gt;=0,$P10&lt;4)),INDEX('卡片raw data'!AZ:AZ,MATCH($D10,'卡片raw data'!$F:$F,)),0)+IF(OR(AND($F10="UR",$P10&gt;=1,$P10&lt;=4),AND($F10="SR",$P10&lt;=4,$P10&gt;=3),AND($F10="R",$P10=4)),INDEX('卡片raw data'!BA:BA,MATCH($D10,'卡片raw data'!$F:$F,)),0)+IF($P10=5,INDEX('卡片raw data'!BB:BB,MATCH($D10,'卡片raw data'!$F:$F,)),0)))</f>
        <v>3.2000000000000001E-2</v>
      </c>
      <c r="BT10" s="1101">
        <f t="shared" si="34"/>
        <v>1282.19633411584</v>
      </c>
      <c r="BU10" s="1097">
        <f t="shared" si="35"/>
        <v>47.219420179264212</v>
      </c>
      <c r="BV10" s="1097">
        <f t="shared" si="36"/>
        <v>721.23543794016007</v>
      </c>
      <c r="BW10" s="1112">
        <f t="shared" si="37"/>
        <v>0</v>
      </c>
      <c r="BX10" s="1100">
        <f t="shared" si="38"/>
        <v>1282.19633411584</v>
      </c>
      <c r="BY10" s="1110">
        <f t="shared" si="39"/>
        <v>721.23543794016007</v>
      </c>
      <c r="BZ10" s="1107" t="s">
        <v>569</v>
      </c>
      <c r="CA10" s="1124"/>
      <c r="CB10" s="1098">
        <f>IF($P10="","N/A",IF($P10=-1,INDEX('卡片raw data'!BE:BE,MATCH($D10,'卡片raw data'!$F:$F,)),0)+IF($L10="party卡",IF($P10=5,INDEX('卡片raw data'!BK:BK,MATCH($D10,'卡片raw data'!$F:$F,)),IF($P10&gt;=3,INDEX('卡片raw data'!BJ:BJ,MATCH($D10,'卡片raw data'!$F:$F,)),INDEX('卡片raw data'!BI:BI,MATCH($D10,'卡片raw data'!$F:$F,)))),IF(OR(AND($F10="UR",$P10=0),AND($F10="SR",$P10&gt;=0,$P10&lt;=2),AND($F10="R",$P10&gt;=0,$P10&lt;4)),INDEX('卡片raw data'!BG:BG,MATCH($D10,'卡片raw data'!$F:$F,)),0)+IF(OR(AND($F10="UR",$P10&gt;=1,$P10&lt;=4),AND($F10="SR",$P10&lt;=4,$P10&gt;=3),AND($F10="R",$P10=4)),INDEX('卡片raw data'!BH:BH,MATCH($D10,'卡片raw data'!$F:$F,)),0)+IF($P10=5,INDEX('卡片raw data'!BI:BI,MATCH($D10,'卡片raw data'!$F:$F,)),0)))</f>
        <v>0</v>
      </c>
      <c r="CC10" s="1101">
        <f t="shared" si="40"/>
        <v>0</v>
      </c>
      <c r="CD10" s="1097">
        <f>IF(BZ10="ap",CB10*(1-$FI$26)*$FB$5/$FB$11*(+IF(CA10="全员",$FA$24,0)+IF(CA10="同作战",$FA$24,0)+IF(CA10="仲间",$FA$24*2/3,0)+IF(CA10="同属性",$FA$24*$FA$37/3,0)+IF(CA10="同年级",$FA$24*$FA$40/3,0)+IF(CA10="同学校",$FA$24*$FA$43/3,0)+IF(CA10="同小队",$FA$24*$FA$46/3,0)+IF(CA10="同type",$FA$24*INDEX($FB$49:$FB$52,MATCH(X10,$FA$49:$FA$52,))/3,0)+IF(CA10="自身",#REF!/3,0)),0)+IF(BZ10="te",CB10*(1-$FI$27)*($FA$20-1)*$FB$7/$FB$13*(+IF(CA10="全员",$FA$19*$FA$24/(1+($FA$20-1)*$FA$19),0)+IF(CA10="同作战",$FA$19*$FA$24/(1+($FA$20-1)*$FA$19),0)+IF(CA10="仲间",$FA$19*$FA$24*2/3/(1+($FA$20-1)*$FA$19),0)+IF(CA10="同属性",$FA$19*$FA$24*$FA$37/3/(1+($FA$20-1)*$FA$19),0)+IF(CA10="同年级",$FA$19*$FA$24*$FA$40/3/(1+($FA$20-1)*$FA$19),0)+IF(CA10="同学校",$FA$19*$FA$24*$FA$43/3/(1+($FA$20-1)*$FA$19),0)+IF(CA10="同小队",$FA$19*$FA$24*$FA$46/3/(1+($FA$20-1)*$FA$19),0)+IF(CA10="同type",$FA$19*$FA$24*INDEX($FB$49:$FB$52,MATCH(X10,$FA$49:$FA$52,))/3/(1+($FA$20-1)*$FA$19),0)+IF(CA10="自身",$FA$19*#REF!/3/(1+(BH10-1)*$BD10),0)),0)</f>
        <v>0</v>
      </c>
      <c r="CE10" s="1097">
        <f t="shared" si="41"/>
        <v>0</v>
      </c>
      <c r="CF10" s="1112">
        <f t="shared" si="42"/>
        <v>0</v>
      </c>
      <c r="CG10" s="1100">
        <f t="shared" si="43"/>
        <v>0</v>
      </c>
      <c r="CH10" s="1110">
        <f t="shared" si="44"/>
        <v>0</v>
      </c>
      <c r="CI10" s="1113" t="s">
        <v>162</v>
      </c>
      <c r="CJ10" s="1114">
        <v>0.5</v>
      </c>
      <c r="CK10" s="1115" t="s">
        <v>566</v>
      </c>
      <c r="CL10" s="1115" t="s">
        <v>161</v>
      </c>
      <c r="CM10" s="1119">
        <v>0.08</v>
      </c>
      <c r="CN10" s="1115">
        <v>10</v>
      </c>
      <c r="CO10" s="1092"/>
      <c r="CP10" s="1118">
        <f t="shared" si="45"/>
        <v>8.5714285714285719E-3</v>
      </c>
      <c r="CQ10" s="1118">
        <f t="shared" si="46"/>
        <v>1.3333333333333336E-2</v>
      </c>
      <c r="CR10" s="1118">
        <f t="shared" si="47"/>
        <v>8.5714285714285719E-3</v>
      </c>
      <c r="CS10" s="1118">
        <f t="shared" si="48"/>
        <v>0</v>
      </c>
      <c r="CT10" s="1109">
        <f t="shared" si="49"/>
        <v>0</v>
      </c>
      <c r="CU10" s="1101">
        <f t="shared" si="50"/>
        <v>1165.5679845282943</v>
      </c>
      <c r="CV10" s="1108">
        <f t="shared" si="51"/>
        <v>87.540963750000031</v>
      </c>
      <c r="CW10" s="1097">
        <f t="shared" si="52"/>
        <v>1165.5679845282943</v>
      </c>
      <c r="CX10" s="1097">
        <f t="shared" si="53"/>
        <v>1165.5679845282943</v>
      </c>
      <c r="CY10" s="1110">
        <f t="shared" si="54"/>
        <v>1165.5679845282943</v>
      </c>
      <c r="CZ10" s="437"/>
      <c r="DA10" s="438"/>
      <c r="DB10" s="439" t="s">
        <v>569</v>
      </c>
      <c r="DC10" s="439"/>
      <c r="DD10" s="443"/>
      <c r="DE10" s="411"/>
      <c r="DF10" s="411"/>
      <c r="DG10" s="1116">
        <f t="shared" si="55"/>
        <v>0</v>
      </c>
      <c r="DH10" s="1116">
        <f t="shared" si="56"/>
        <v>0</v>
      </c>
      <c r="DI10" s="1116">
        <f t="shared" si="57"/>
        <v>0</v>
      </c>
      <c r="DJ10" s="442">
        <f t="shared" si="58"/>
        <v>0</v>
      </c>
      <c r="DK10" s="1109">
        <f t="shared" si="59"/>
        <v>0</v>
      </c>
      <c r="DL10" s="1101">
        <f t="shared" si="60"/>
        <v>0</v>
      </c>
      <c r="DM10" s="1097">
        <f t="shared" si="61"/>
        <v>0</v>
      </c>
      <c r="DN10" s="1097">
        <f t="shared" si="62"/>
        <v>0</v>
      </c>
      <c r="DO10" s="1097">
        <f t="shared" si="63"/>
        <v>0</v>
      </c>
      <c r="DP10" s="1110">
        <f t="shared" si="64"/>
        <v>0</v>
      </c>
      <c r="DQ10" s="1113" t="s">
        <v>545</v>
      </c>
      <c r="DR10" s="1120">
        <f t="shared" si="65"/>
        <v>0.3</v>
      </c>
      <c r="DS10" s="1124"/>
      <c r="DT10" s="1093" t="s">
        <v>548</v>
      </c>
      <c r="DU10" s="1093"/>
      <c r="DV10" s="1098">
        <f>IF($P10="","N/A",IF(P10=-1,INDEX('卡片raw data'!AN:AN,MATCH(D10,'卡片raw data'!$F:$F,)),0)+IF(AND(L10&lt;&gt;"party卡",P10&lt;=2,P10&gt;=0),INDEX('卡片raw data'!AP:AP,MATCH(D10,'卡片raw data'!$F:$F,)),0)+IF(OR(AND(L10="party卡",P10&lt;=1),AND(P10&lt;=4,L10&lt;&gt;"party卡",P10&gt;=3)),INDEX('卡片raw data'!AQ:AQ,MATCH(D10,'卡片raw data'!$F:$F,)),0)+IF(OR(P10=5,AND(L10="party卡",P10&gt;=2)),INDEX('卡片raw data'!AR:AR,MATCH(D10,'卡片raw data'!$F:$F,)),0))</f>
        <v>0.37</v>
      </c>
      <c r="DW10" s="1098">
        <f t="shared" si="66"/>
        <v>0.3</v>
      </c>
      <c r="DX10" s="1098">
        <f t="shared" si="67"/>
        <v>0.3</v>
      </c>
      <c r="DY10" s="1125">
        <f t="shared" si="68"/>
        <v>1111.1755360576003</v>
      </c>
      <c r="DZ10" s="1125">
        <f t="shared" si="69"/>
        <v>866.08388763207142</v>
      </c>
      <c r="EA10" s="1098">
        <f t="shared" si="70"/>
        <v>0</v>
      </c>
      <c r="EB10" s="1121">
        <f t="shared" si="71"/>
        <v>0</v>
      </c>
      <c r="EC10" s="1101">
        <f t="shared" si="72"/>
        <v>1222.2930896633604</v>
      </c>
      <c r="ED10" s="1097">
        <f t="shared" si="73"/>
        <v>866.08388763207142</v>
      </c>
      <c r="EE10" s="1110">
        <f t="shared" si="74"/>
        <v>1222.2930896633604</v>
      </c>
      <c r="EF10" s="1092" t="s">
        <v>711</v>
      </c>
      <c r="EG10" s="1120">
        <f t="shared" si="75"/>
        <v>0.3</v>
      </c>
      <c r="EH10" s="1124"/>
      <c r="EI10" s="1093"/>
      <c r="EJ10" s="1093"/>
      <c r="EK10" s="1097">
        <f>IF($P10="","N/A",IF(P10=-1,INDEX('卡片raw data'!AS:AS,MATCH(D10,'卡片raw data'!$F:$F,)),0)+IF(AND(L10&lt;&gt;"party卡",P10&lt;=2,P10&gt;=0),INDEX('卡片raw data'!AU:AU,MATCH(D10,'卡片raw data'!$F:$F,)),0)+IF(OR(AND(L10="party卡",P10&lt;=1),AND(P10&lt;=4,L10&lt;&gt;"party卡",P10&gt;=3)),INDEX('卡片raw data'!AV:AV,MATCH(D10,'卡片raw data'!$F:$F,)),0)+IF(OR(P10=5,AND(L10="party卡",P10&gt;=2)),INDEX('卡片raw data'!AW:AW,MATCH(D10,'卡片raw data'!$F:$F,)),0))</f>
        <v>0</v>
      </c>
      <c r="EL10" s="1098">
        <f t="shared" si="76"/>
        <v>0.3</v>
      </c>
      <c r="EM10" s="1098">
        <f t="shared" si="77"/>
        <v>0.3</v>
      </c>
      <c r="EN10" s="1125">
        <f t="shared" si="78"/>
        <v>0</v>
      </c>
      <c r="EO10" s="1125">
        <f t="shared" si="79"/>
        <v>0</v>
      </c>
      <c r="EP10" s="1098">
        <f t="shared" si="80"/>
        <v>0</v>
      </c>
      <c r="EQ10" s="1121">
        <f t="shared" si="81"/>
        <v>0</v>
      </c>
      <c r="ER10" s="1101">
        <f t="shared" si="82"/>
        <v>0</v>
      </c>
      <c r="ES10" s="1097">
        <f t="shared" si="83"/>
        <v>0</v>
      </c>
      <c r="ET10" s="1122">
        <f t="shared" si="84"/>
        <v>0</v>
      </c>
      <c r="EV10" s="1348"/>
      <c r="EW10" s="1217" t="s">
        <v>145</v>
      </c>
      <c r="EX10" s="1220">
        <v>0.15</v>
      </c>
      <c r="EY10" s="1212"/>
      <c r="EZ10" s="1348"/>
      <c r="FA10" s="1217" t="s">
        <v>145</v>
      </c>
      <c r="FB10" s="1220">
        <v>0.15</v>
      </c>
      <c r="FC10" s="447"/>
      <c r="FD10" s="459" t="s">
        <v>1568</v>
      </c>
      <c r="FE10" s="1351">
        <v>0</v>
      </c>
      <c r="FF10" s="1352"/>
      <c r="FG10" s="447"/>
      <c r="FH10" s="465">
        <f t="shared" si="85"/>
        <v>48213.75</v>
      </c>
      <c r="FI10" s="560">
        <v>1.5</v>
      </c>
      <c r="FJ10" s="558">
        <v>0.2</v>
      </c>
      <c r="FL10" s="468" t="s">
        <v>697</v>
      </c>
      <c r="FM10" s="1377">
        <f>FM11/2</f>
        <v>0.125</v>
      </c>
      <c r="FN10" s="1378"/>
    </row>
    <row r="11" spans="1:170" ht="16.5" customHeight="1">
      <c r="B11" s="1123" t="str">
        <f>INDEX('卡片raw data'!B:B,MATCH($D11,'卡片raw data'!$F:$F,))</f>
        <v>初始绘</v>
      </c>
      <c r="C11" s="449" t="s">
        <v>123</v>
      </c>
      <c r="D11" s="408">
        <v>8</v>
      </c>
      <c r="E11" s="1090">
        <v>100023001</v>
      </c>
      <c r="F11" s="1090" t="str">
        <f>INDEX('卡片raw data'!C:C,MATCH($D11,'卡片raw data'!$F:$F,))</f>
        <v>UR</v>
      </c>
      <c r="G11" s="1094" t="s">
        <v>25</v>
      </c>
      <c r="H11" s="411">
        <f>IFERROR(INDEX(绊状态确认!C:C,MATCH($G11,绊状态确认!$B:$B,)),"")</f>
        <v>2</v>
      </c>
      <c r="I11" s="450" t="str">
        <f>IFERROR(INDEX(绊状态确认!D:D,MATCH($G11,绊状态确认!$B:$B,)),"")</f>
        <v>缪</v>
      </c>
      <c r="J11" s="450" t="str">
        <f>IFERROR(INDEX(绊状态确认!E:E,MATCH($G11,绊状态确认!$B:$B,)),"")</f>
        <v>3年级</v>
      </c>
      <c r="K11" s="451" t="str">
        <f>IFERROR(INDEX(绊状态确认!F:F,MATCH($G11,绊状态确认!$B:$B,)),"")</f>
        <v>BiBi</v>
      </c>
      <c r="L11" s="1094" t="str">
        <f>INDEX('卡片raw data'!E:E,MATCH($D11,'卡片raw data'!$F:$F,))</f>
        <v>卡池卡</v>
      </c>
      <c r="M11" s="415">
        <v>43735</v>
      </c>
      <c r="N11" s="416">
        <v>0</v>
      </c>
      <c r="O11" s="1091" t="str">
        <f>INDEX('卡片raw data'!D:D,MATCH($D11,'卡片raw data'!$F:$F,))</f>
        <v>gd</v>
      </c>
      <c r="P11" s="417">
        <v>5</v>
      </c>
      <c r="Q11" s="1095">
        <f t="shared" si="0"/>
        <v>45292.372433615405</v>
      </c>
      <c r="R11" s="1096">
        <f t="shared" si="1"/>
        <v>0.52600000000000002</v>
      </c>
      <c r="S11" s="1097">
        <f t="shared" si="2"/>
        <v>19084.702706489144</v>
      </c>
      <c r="T11" s="1098">
        <f t="shared" si="3"/>
        <v>0.95399999999999996</v>
      </c>
      <c r="U11" s="1099">
        <f t="shared" si="4"/>
        <v>429.81033159474293</v>
      </c>
      <c r="V11" s="1100">
        <f t="shared" si="5"/>
        <v>96462.257085146935</v>
      </c>
      <c r="W11" s="1101">
        <f t="shared" si="6"/>
        <v>4507.7214871259994</v>
      </c>
      <c r="X11" s="1096">
        <f t="shared" si="7"/>
        <v>5.1999999999999998E-2</v>
      </c>
      <c r="Y11" s="1097">
        <f t="shared" si="8"/>
        <v>1140.2587893901746</v>
      </c>
      <c r="Z11" s="1102">
        <f t="shared" si="9"/>
        <v>14.343282737142857</v>
      </c>
      <c r="AA11" s="1103">
        <f t="shared" si="10"/>
        <v>5647.9802765161739</v>
      </c>
      <c r="AB11" s="1101">
        <f t="shared" si="11"/>
        <v>4507.7214871259994</v>
      </c>
      <c r="AC11" s="1104">
        <f t="shared" si="12"/>
        <v>5.1999999999999998E-2</v>
      </c>
      <c r="AD11" s="1105">
        <f t="shared" si="13"/>
        <v>0</v>
      </c>
      <c r="AE11" s="1128">
        <f t="shared" si="14"/>
        <v>-6.25</v>
      </c>
      <c r="AF11" s="1130">
        <f t="shared" si="15"/>
        <v>5524.2213162239996</v>
      </c>
      <c r="AG11" s="420">
        <f t="shared" si="16"/>
        <v>103045.411112</v>
      </c>
      <c r="AH11" s="420">
        <f t="shared" si="17"/>
        <v>18.653382117289098</v>
      </c>
      <c r="AI11" s="1097">
        <f t="shared" si="18"/>
        <v>100569.9386622475</v>
      </c>
      <c r="AJ11" s="420">
        <f t="shared" si="19"/>
        <v>96462.257085146935</v>
      </c>
      <c r="AK11" s="518">
        <f t="shared" si="20"/>
        <v>4107.681577100564</v>
      </c>
      <c r="AL11" s="1106">
        <f>IF($P11="","N/A",(IF($P11=-1,INDEX('卡片raw data'!S:S,MATCH($D11,'卡片raw data'!$F:$F,)),0)+IF($P11=0,INDEX('卡片raw data'!V:V,MATCH($D11,'卡片raw data'!$F:$F,)),0)+IF($P11=1,INDEX('卡片raw data'!Y:Y,MATCH($D11,'卡片raw data'!$F:$F,)),0)+IF($P11=2,INDEX('卡片raw data'!AB:AB,MATCH($D11,'卡片raw data'!$F:$F,)),0)+IF($P11=3,INDEX('卡片raw data'!AE:AE,MATCH($D11,'卡片raw data'!$F:$F,)),0)+IF($P11=4,INDEX('卡片raw data'!AH:AH,MATCH($D11,'卡片raw data'!$F:$F,)),0)+IF($P11=5,INDEX('卡片raw data'!AK:AK,MATCH($D11,'卡片raw data'!$F:$F,)),0)+INDEX('卡片raw data'!S:S,MATCH($D11,'卡片raw data'!$F:$F,))*(IF($F11="UR",0.04,0.033))*(IF($F11="UR",INDEX(绊状态确认!$S:$S,MATCH($G11,绊状态确认!$B:$B,))/2-40)+IF($F11="SR",INDEX(绊状态确认!$R:$R,MATCH($G11,绊状态确认!$B:$B,))/4-15))+IF($F11="R",INDEX(绊状态确认!$Q:$Q,MATCH($G11,绊状态确认!$B:$B,))/6-40/6)))*(INDEX(绊状态确认!$H:$H,MATCH($G11,绊状态确认!$B:$B,))+INDEX(绊状态确认!J:J,MATCH($G11,绊状态确认!$B:$B,)))</f>
        <v>10754.889599999999</v>
      </c>
      <c r="AM11" s="1106">
        <f>IF($P11="","N/A",(IF($P11=-1,INDEX('卡片raw data'!T:T,MATCH($D11,'卡片raw data'!$F:$F,)),0)+IF($P11=0,INDEX('卡片raw data'!W:W,MATCH($D11,'卡片raw data'!$F:$F,)),0)+IF($P11=1,INDEX('卡片raw data'!Z:Z,MATCH($D11,'卡片raw data'!$F:$F,)),0)+IF($P11=2,INDEX('卡片raw data'!AC:AC,MATCH($D11,'卡片raw data'!$F:$F,)),0)+IF($P11=3,INDEX('卡片raw data'!AF:AF,MATCH($D11,'卡片raw data'!$F:$F,)),0)+IF($P11=4,INDEX('卡片raw data'!AI:AI,MATCH($D11,'卡片raw data'!$F:$F,)),0)+IF($P11=5,INDEX('卡片raw data'!AL:AL,MATCH($D11,'卡片raw data'!$F:$F,)),0)+INDEX('卡片raw data'!T:T,MATCH($D11,'卡片raw data'!$F:$F,))*(IF($F11="UR",0.04,0.033))*(IF($F11="UR",INDEX(绊状态确认!$S:$S,MATCH($G11,绊状态确认!$B:$B,))/2-40)+IF($F11="SR",INDEX(绊状态确认!$R:$R,MATCH($G11,绊状态确认!$B:$B,))/4-15))+IF($F11="R",INDEX(绊状态确认!$Q:$Q,MATCH($G11,绊状态确认!$B:$B,))/6-40/6)))*(INDEX(绊状态确认!$H:$H,MATCH($G11,绊状态确认!$B:$B,))+INDEX(绊状态确认!K:K,MATCH($G11,绊状态确认!$B:$B,)))</f>
        <v>6145.6511999999993</v>
      </c>
      <c r="AN11" s="1106">
        <f>IF($P11="","N/A",(IF($P11=-1,INDEX('卡片raw data'!U:U,MATCH($D11,'卡片raw data'!$F:$F,)),0)+IF($P11=0,INDEX('卡片raw data'!X:X,MATCH($D11,'卡片raw data'!$F:$F,)),0)+IF($P11=1,INDEX('卡片raw data'!AA:AA,MATCH($D11,'卡片raw data'!$F:$F,)),0)+IF($P11=2,INDEX('卡片raw data'!AD:AD,MATCH($D11,'卡片raw data'!$F:$F,)),0)+IF($P11=3,INDEX('卡片raw data'!AG:AG,MATCH($D11,'卡片raw data'!$F:$F,)),0)+IF($P11=4,INDEX('卡片raw data'!AJ:AJ,MATCH($D11,'卡片raw data'!$F:$F,)),0)+IF($P11=5,INDEX('卡片raw data'!AM:AM,MATCH($D11,'卡片raw data'!$F:$F,)),0)+INDEX('卡片raw data'!U:U,MATCH($D11,'卡片raw data'!$F:$F,))*(IF($F11="UR",0.04,0.033))*(IF($F11="UR",INDEX(绊状态确认!$S:$S,MATCH($G11,绊状态确认!$B:$B,))/2-40)+IF($F11="SR",INDEX(绊状态确认!$R:$R,MATCH($G11,绊状态确认!$B:$B,))/4-15))+IF($F11="R",INDEX(绊状态确认!$Q:$Q,MATCH($G11,绊状态确认!$B:$B,))/6-40/6)))*(INDEX(绊状态确认!$H:$H,MATCH($G11,绊状态确认!$B:$B,))+INDEX(绊状态确认!L:L,MATCH($G11,绊状态确认!$B:$B,)))</f>
        <v>13827.715199999999</v>
      </c>
      <c r="AO11" s="1107">
        <f t="shared" si="21"/>
        <v>1</v>
      </c>
      <c r="AP11" s="1131">
        <f>1+(INDEX(绊状态确认!$T:$T,MATCH($G11,绊状态确认!$B:$B,))+0.2)*$AO11</f>
        <v>1.3</v>
      </c>
      <c r="AQ11" s="1108">
        <f t="shared" si="22"/>
        <v>31481.585200000001</v>
      </c>
      <c r="AR11" s="1097">
        <f>(AM11*(1+$EX$9)+$EX$35)*(1+(INDEX(绊状态确认!$T:$T,MATCH($G11,绊状态确认!$B:$B,))+0.2)*AO11)*IF(J11=$FF$17,1+$FE$17,1)*IF(I11=$FF$14,1+$FE$14,1)*(1+$FE$15)</f>
        <v>11092.813888000001</v>
      </c>
      <c r="AS11" s="1097">
        <f>(AN11*(1+$EX$10)+$EX$36)*(1+(INDEX(绊状态确认!$T:$T,MATCH($G11,绊状态确认!$B:$B,))+0.2)*AO11)*IF(J11=$FF$17,1+$FE$17,1)*IF(I11=$FF$14,1+$FE$14,1)*(1+$FE$15)</f>
        <v>24728.434223999997</v>
      </c>
      <c r="AT11" s="1093">
        <f>IF(AND(INDEX('卡片raw data'!AK:AK,MATCH($D11,'卡片raw data'!$F:$F,))&lt;INDEX('卡片raw data'!AM:AM,MATCH($D11,'卡片raw data'!$F:$F,)),INDEX('卡片raw data'!AL:AL,MATCH($D11,'卡片raw data'!$F:$F,))&lt;INDEX('卡片raw data'!AM:AM,MATCH($D11,'卡片raw data'!$F:$F,))),1,0)</f>
        <v>1</v>
      </c>
      <c r="AU11" s="1098">
        <f>MIN(AT11*0.15+AS11*0.00003+INDEX(绊状态确认!M:M,MATCH($G11,绊状态确认!$B:$B,)),1)</f>
        <v>0.92185302672000002</v>
      </c>
      <c r="AV11" s="1109">
        <f>(INDEX(绊状态确认!$N:$N,MATCH($G11,绊状态确认!$B:$B,))+1.5)*$EW$21</f>
        <v>2.6599999999999997</v>
      </c>
      <c r="AW11" s="1101">
        <f t="shared" si="23"/>
        <v>41369.650946489404</v>
      </c>
      <c r="AX11" s="1097">
        <f t="shared" si="24"/>
        <v>947.921400093687</v>
      </c>
      <c r="AY11" s="1110">
        <f t="shared" si="25"/>
        <v>42317.572346583089</v>
      </c>
      <c r="AZ11" s="429">
        <f t="shared" si="26"/>
        <v>23572.034719999996</v>
      </c>
      <c r="BA11" s="431">
        <f t="shared" si="27"/>
        <v>28286.441663999994</v>
      </c>
      <c r="BB11" s="1097">
        <f>(AM11*(1+$FB$9)+$FB$35)*(1+(INDEX(绊状态确认!$T:$T,MATCH($G11,绊状态确认!$B:$B,))+0.2)*AO11)*IF(J11=$FF$17,1+$FE$17,1)*IF(I11=$FF$14,1+$FE$14,1)*(1+$FE$15)</f>
        <v>11092.813888000001</v>
      </c>
      <c r="BC11" s="1097">
        <f>(AN11*(1+$FB$10)+$FB$36)*(1+(INDEX(绊状态确认!$T:$T,MATCH($G11,绊状态确认!$B:$B,))+0.2)*AO11)*IF(J11=$FF$17,1+$FE$17,1)*IF(I11=$FF$14,1+$FE$14,1)*(1+$FE$15)</f>
        <v>24728.434223999997</v>
      </c>
      <c r="BD11" s="1104">
        <f>MIN(AT11*0.15+BC11*0.00003+INDEX(绊状态确认!M:M,MATCH($G11,绊状态确认!$B:$B,)),1)</f>
        <v>0.92185302672000002</v>
      </c>
      <c r="BE11" s="432">
        <f>(INDEX(绊状态确认!$N:$N,MATCH($G11,绊状态确认!$B:$B,))+1.5)</f>
        <v>1.9</v>
      </c>
      <c r="BF11" s="1139">
        <f t="array" ref="BF11">SUMPRODUCT(IF(AZ11*AP11*$FI$16:$FI$23*$FA$22&gt;=$FI$24,$FI$24,AZ11*AP11*$FI$16:$FI$23*$FA$22),$FJ$16:$FJ$23)</f>
        <v>46884.777058079999</v>
      </c>
      <c r="BG11" s="1125">
        <f t="array" ref="BG11">SUMPRODUCT(IF(BE11*AZ11*AP11*$FI$16:$FI$23*$FA$22&gt;=$FI$24,$FI$24,BE11*AZ11*AP11*$FI$16:$FI$23*$FA$22),$FJ$16:$FJ$23)</f>
        <v>60000</v>
      </c>
      <c r="BH11" s="1110">
        <f t="shared" si="28"/>
        <v>19658.361674398842</v>
      </c>
      <c r="BI11" s="1111">
        <f>IF(O11="vo",$EW$26/$EW$24*0.05,0)+IF(O11="sk",-$EW$26/$EW$24*(0.05-INDEX(绊状态确认!W:W,MATCH($G11,绊状态确认!$B:$B,)))+0.05*$EW$28,0)+IF(O11="sp",0.05*$EW$32*$EW$30*(1-$EW$33)-(0.05-INDEX(绊状态确认!V:V,MATCH($G11,绊状态确认!$B:$B,)))*$EW$28,0)+IF(O11="gd",-(0.05-INDEX(绊状态确认!X:X,MATCH($G11,绊状态确认!$B:$B,)))*$EW$32*$EW$30*(1-$EW$33),0)</f>
        <v>-585.00000000000011</v>
      </c>
      <c r="BJ11" s="1097">
        <f>IF(O11="vo",0.05*(1-$FI$26)*$FA$24,0)+IF(O11="sk",-(0.05-INDEX(绊状态确认!W:W,MATCH($G11,绊状态确认!$B:$B,)))*(1-$FI$26)*$FA$24+0.05*$FA$26,0)+IF(O11="sp",0.05*$FA$32*$FA$27*(1-$FA$33)/$FA$30+0.05*$FA$29/$FA$69*$FA$27*(1-$FA$33)-(0.05-INDEX(绊状态确认!V:V,MATCH($G11,绊状态确认!$B:$B,)))*$FA$26,0)+IF(O11="gd",-(0.05-INDEX(绊状态确认!X:X,MATCH($G11,绊状态确认!$B:$B,)))*$FA$32*$FA$27*(1-$FA$33)/$FA$30-(0.05-INDEX(绊状态确认!X:X,MATCH($G11,绊状态确认!$B:$B,)))*$FA$29/$FA$69*$FA$27*(1-$FA$33),0)</f>
        <v>-795.00000000000011</v>
      </c>
      <c r="BK11" s="1110">
        <f>IF(O11="vo",$EW$26/$EW$24*0.05+$EW$26*(-HP($EW$62,$EW$65,$EW$64)+HP($EW$62,$EW$65,(1.05-INDEX(绊状态确认!U:U,MATCH($G11,绊状态确认!$B:$B,)))*$EW$64)),0)+IF(O11="sk",-$EW$26/$EW$24*(0.05-INDEX(绊状态确认!W:W,MATCH($G11,绊状态确认!$B:$B,)))+0.05*$EW$29,0)+IF(O11="sp",0.05*$EW$32*$EW$30*(1-$EW$33)-(0.05-INDEX(绊状态确认!V:V,MATCH($G11,绊状态确认!$B:$B,)))*$EW$29,0)+IF(O11="gd",-(0.05-INDEX(绊状态确认!X:X,MATCH($G11,绊状态确认!$B:$B,)))*$EW$32*$EW$30*(1-$EW$33)+$EW$26*(-HP($EW$62,$EW$65,$EW$64)+HP($EW$62,$EW$65,0.95*$EW$64)),0)</f>
        <v>1009.5947725176144</v>
      </c>
      <c r="BL11" s="1111">
        <f t="shared" si="29"/>
        <v>0</v>
      </c>
      <c r="BM11" s="1110">
        <f t="shared" si="30"/>
        <v>0</v>
      </c>
      <c r="BN11" s="1113">
        <f t="shared" si="31"/>
        <v>3</v>
      </c>
      <c r="BO11" s="1097">
        <f t="shared" si="32"/>
        <v>4507.7214871259994</v>
      </c>
      <c r="BP11" s="1100">
        <f t="shared" si="33"/>
        <v>221.34103209030098</v>
      </c>
      <c r="BQ11" s="1113" t="s">
        <v>144</v>
      </c>
      <c r="BR11" s="1124" t="s">
        <v>146</v>
      </c>
      <c r="BS11" s="1098">
        <f>IF($P11="","N/A",IF($P11=-1,INDEX('卡片raw data'!AX:AX,MATCH($D11,'卡片raw data'!$F:$F,)),0)+IF($L11="party卡",IF($P11=5,INDEX('卡片raw data'!BD:BD,MATCH($D11,'卡片raw data'!$F:$F,)),IF($P11&gt;=3,INDEX('卡片raw data'!BC:BC,MATCH($D11,'卡片raw data'!$F:$F,)),INDEX('卡片raw data'!BB:BB,MATCH($D11,'卡片raw data'!$F:$F,)))),IF(OR(AND($F11="UR",$P11=0),AND($F11="SR",$P11&gt;=0,$P11&lt;=2),AND($F11="R",$P11&gt;=0,$P11&lt;4)),INDEX('卡片raw data'!AZ:AZ,MATCH($D11,'卡片raw data'!$F:$F,)),0)+IF(OR(AND($F11="UR",$P11&gt;=1,$P11&lt;=4),AND($F11="SR",$P11&lt;=4,$P11&gt;=3),AND($F11="R",$P11=4)),INDEX('卡片raw data'!BA:BA,MATCH($D11,'卡片raw data'!$F:$F,)),0)+IF($P11=5,INDEX('卡片raw data'!BB:BB,MATCH($D11,'卡片raw data'!$F:$F,)),0)))</f>
        <v>7.0000000000000007E-2</v>
      </c>
      <c r="BT11" s="1101">
        <f t="shared" si="34"/>
        <v>0</v>
      </c>
      <c r="BU11" s="1097">
        <f t="shared" si="35"/>
        <v>0</v>
      </c>
      <c r="BV11" s="1097">
        <f t="shared" si="36"/>
        <v>0</v>
      </c>
      <c r="BW11" s="1112">
        <f t="shared" si="37"/>
        <v>2.4581249999999999</v>
      </c>
      <c r="BX11" s="1100">
        <f t="shared" si="38"/>
        <v>192.3373892964872</v>
      </c>
      <c r="BY11" s="1110">
        <f t="shared" si="39"/>
        <v>192.3373892964872</v>
      </c>
      <c r="BZ11" s="1107" t="s">
        <v>569</v>
      </c>
      <c r="CA11" s="1124"/>
      <c r="CB11" s="1098">
        <f>IF($P11="","N/A",IF($P11=-1,INDEX('卡片raw data'!BE:BE,MATCH($D11,'卡片raw data'!$F:$F,)),0)+IF($L11="party卡",IF($P11=5,INDEX('卡片raw data'!BK:BK,MATCH($D11,'卡片raw data'!$F:$F,)),IF($P11&gt;=3,INDEX('卡片raw data'!BJ:BJ,MATCH($D11,'卡片raw data'!$F:$F,)),INDEX('卡片raw data'!BI:BI,MATCH($D11,'卡片raw data'!$F:$F,)))),IF(OR(AND($F11="UR",$P11=0),AND($F11="SR",$P11&gt;=0,$P11&lt;=2),AND($F11="R",$P11&gt;=0,$P11&lt;4)),INDEX('卡片raw data'!BG:BG,MATCH($D11,'卡片raw data'!$F:$F,)),0)+IF(OR(AND($F11="UR",$P11&gt;=1,$P11&lt;=4),AND($F11="SR",$P11&lt;=4,$P11&gt;=3),AND($F11="R",$P11=4)),INDEX('卡片raw data'!BH:BH,MATCH($D11,'卡片raw data'!$F:$F,)),0)+IF($P11=5,INDEX('卡片raw data'!BI:BI,MATCH($D11,'卡片raw data'!$F:$F,)),0)))</f>
        <v>0</v>
      </c>
      <c r="CC11" s="1101">
        <f t="shared" si="40"/>
        <v>0</v>
      </c>
      <c r="CD11" s="1097">
        <f>IF(BZ11="ap",CB11*(1-$FI$26)*$FB$5/$FB$11*(+IF(CA11="全员",$FA$24,0)+IF(CA11="同作战",$FA$24,0)+IF(CA11="仲间",$FA$24*2/3,0)+IF(CA11="同属性",$FA$24*$FA$37/3,0)+IF(CA11="同年级",$FA$24*$FA$40/3,0)+IF(CA11="同学校",$FA$24*$FA$43/3,0)+IF(CA11="同小队",$FA$24*$FA$46/3,0)+IF(CA11="同type",$FA$24*INDEX($FB$49:$FB$52,MATCH(X11,$FA$49:$FA$52,))/3,0)+IF(CA11="自身",#REF!/3,0)),0)+IF(BZ11="te",CB11*(1-$FI$27)*($FA$20-1)*$FB$7/$FB$13*(+IF(CA11="全员",$FA$19*$FA$24/(1+($FA$20-1)*$FA$19),0)+IF(CA11="同作战",$FA$19*$FA$24/(1+($FA$20-1)*$FA$19),0)+IF(CA11="仲间",$FA$19*$FA$24*2/3/(1+($FA$20-1)*$FA$19),0)+IF(CA11="同属性",$FA$19*$FA$24*$FA$37/3/(1+($FA$20-1)*$FA$19),0)+IF(CA11="同年级",$FA$19*$FA$24*$FA$40/3/(1+($FA$20-1)*$FA$19),0)+IF(CA11="同学校",$FA$19*$FA$24*$FA$43/3/(1+($FA$20-1)*$FA$19),0)+IF(CA11="同小队",$FA$19*$FA$24*$FA$46/3/(1+($FA$20-1)*$FA$19),0)+IF(CA11="同type",$FA$19*$FA$24*INDEX($FB$49:$FB$52,MATCH(X11,$FA$49:$FA$52,))/3/(1+($FA$20-1)*$FA$19),0)+IF(CA11="自身",$FA$19*#REF!/3/(1+(BH11-1)*$BD11),0)),0)</f>
        <v>0</v>
      </c>
      <c r="CE11" s="1097">
        <f t="shared" si="41"/>
        <v>0</v>
      </c>
      <c r="CF11" s="1112">
        <f t="shared" si="42"/>
        <v>0</v>
      </c>
      <c r="CG11" s="1100">
        <f t="shared" si="43"/>
        <v>0</v>
      </c>
      <c r="CH11" s="1110">
        <f t="shared" si="44"/>
        <v>0</v>
      </c>
      <c r="CI11" s="1113" t="s">
        <v>165</v>
      </c>
      <c r="CJ11" s="1114">
        <v>0.3</v>
      </c>
      <c r="CK11" s="1115" t="s">
        <v>312</v>
      </c>
      <c r="CL11" s="1115" t="s">
        <v>1942</v>
      </c>
      <c r="CM11" s="1119">
        <v>0.15</v>
      </c>
      <c r="CN11" s="1115"/>
      <c r="CO11" s="1092"/>
      <c r="CP11" s="1117">
        <f t="shared" si="45"/>
        <v>0</v>
      </c>
      <c r="CQ11" s="1117">
        <f t="shared" si="46"/>
        <v>0</v>
      </c>
      <c r="CR11" s="1117">
        <f t="shared" si="47"/>
        <v>0</v>
      </c>
      <c r="CS11" s="1118">
        <f t="shared" si="48"/>
        <v>0</v>
      </c>
      <c r="CT11" s="1109">
        <f t="shared" si="49"/>
        <v>0</v>
      </c>
      <c r="CU11" s="1101">
        <f t="shared" si="50"/>
        <v>0</v>
      </c>
      <c r="CV11" s="1108">
        <f t="shared" si="51"/>
        <v>0</v>
      </c>
      <c r="CW11" s="1097">
        <f t="shared" si="52"/>
        <v>0</v>
      </c>
      <c r="CX11" s="1097">
        <f t="shared" si="53"/>
        <v>0</v>
      </c>
      <c r="CY11" s="1110">
        <f t="shared" si="54"/>
        <v>0</v>
      </c>
      <c r="CZ11" s="437"/>
      <c r="DA11" s="438"/>
      <c r="DB11" s="439" t="s">
        <v>569</v>
      </c>
      <c r="DC11" s="439"/>
      <c r="DD11" s="443"/>
      <c r="DE11" s="411"/>
      <c r="DF11" s="411"/>
      <c r="DG11" s="1116">
        <f t="shared" si="55"/>
        <v>0</v>
      </c>
      <c r="DH11" s="1116">
        <f t="shared" si="56"/>
        <v>0</v>
      </c>
      <c r="DI11" s="1116">
        <f t="shared" si="57"/>
        <v>0</v>
      </c>
      <c r="DJ11" s="442">
        <f t="shared" si="58"/>
        <v>0</v>
      </c>
      <c r="DK11" s="1109">
        <f t="shared" si="59"/>
        <v>0</v>
      </c>
      <c r="DL11" s="1101">
        <f t="shared" si="60"/>
        <v>0</v>
      </c>
      <c r="DM11" s="1097">
        <f t="shared" si="61"/>
        <v>0</v>
      </c>
      <c r="DN11" s="1097">
        <f t="shared" si="62"/>
        <v>0</v>
      </c>
      <c r="DO11" s="1097">
        <f t="shared" si="63"/>
        <v>0</v>
      </c>
      <c r="DP11" s="1110">
        <f t="shared" si="64"/>
        <v>0</v>
      </c>
      <c r="DQ11" s="1113" t="s">
        <v>635</v>
      </c>
      <c r="DR11" s="1120">
        <f t="shared" si="65"/>
        <v>0.33</v>
      </c>
      <c r="DS11" s="1124"/>
      <c r="DT11" s="1093" t="s">
        <v>133</v>
      </c>
      <c r="DU11" s="1093"/>
      <c r="DV11" s="1098">
        <f>IF($P11="","N/A",IF(P11=-1,INDEX('卡片raw data'!AN:AN,MATCH(D11,'卡片raw data'!$F:$F,)),0)+IF(AND(L11&lt;&gt;"party卡",P11&lt;=2,P11&gt;=0),INDEX('卡片raw data'!AP:AP,MATCH(D11,'卡片raw data'!$F:$F,)),0)+IF(OR(AND(L11="party卡",P11&lt;=1),AND(P11&lt;=4,L11&lt;&gt;"party卡",P11&gt;=3)),INDEX('卡片raw data'!AQ:AQ,MATCH(D11,'卡片raw data'!$F:$F,)),0)+IF(OR(P11=5,AND(L11="party卡",P11&gt;=2)),INDEX('卡片raw data'!AR:AR,MATCH(D11,'卡片raw data'!$F:$F,)),0))</f>
        <v>0.32</v>
      </c>
      <c r="DW11" s="1098">
        <f t="shared" si="66"/>
        <v>0.33</v>
      </c>
      <c r="DX11" s="1098">
        <f t="shared" si="67"/>
        <v>0.33</v>
      </c>
      <c r="DY11" s="1125">
        <f t="shared" si="68"/>
        <v>390.46704885760005</v>
      </c>
      <c r="DZ11" s="1125">
        <f t="shared" si="69"/>
        <v>337.75399726182405</v>
      </c>
      <c r="EA11" s="1098">
        <f t="shared" si="70"/>
        <v>0</v>
      </c>
      <c r="EB11" s="1121">
        <f t="shared" si="71"/>
        <v>0</v>
      </c>
      <c r="EC11" s="1101">
        <f t="shared" si="72"/>
        <v>0</v>
      </c>
      <c r="ED11" s="1097">
        <f t="shared" si="73"/>
        <v>0</v>
      </c>
      <c r="EE11" s="1110">
        <f t="shared" si="74"/>
        <v>48435.03108962375</v>
      </c>
      <c r="EF11" s="1092" t="s">
        <v>711</v>
      </c>
      <c r="EG11" s="1120">
        <f t="shared" si="75"/>
        <v>0.33</v>
      </c>
      <c r="EH11" s="1124"/>
      <c r="EI11" s="1093"/>
      <c r="EJ11" s="1093"/>
      <c r="EK11" s="1097">
        <f>IF($P11="","N/A",IF(P11=-1,INDEX('卡片raw data'!AS:AS,MATCH(D11,'卡片raw data'!$F:$F,)),0)+IF(AND(L11&lt;&gt;"party卡",P11&lt;=2,P11&gt;=0),INDEX('卡片raw data'!AU:AU,MATCH(D11,'卡片raw data'!$F:$F,)),0)+IF(OR(AND(L11="party卡",P11&lt;=1),AND(P11&lt;=4,L11&lt;&gt;"party卡",P11&gt;=3)),INDEX('卡片raw data'!AV:AV,MATCH(D11,'卡片raw data'!$F:$F,)),0)+IF(OR(P11=5,AND(L11="party卡",P11&gt;=2)),INDEX('卡片raw data'!AW:AW,MATCH(D11,'卡片raw data'!$F:$F,)),0))</f>
        <v>0</v>
      </c>
      <c r="EL11" s="1098">
        <f t="shared" si="76"/>
        <v>0.33</v>
      </c>
      <c r="EM11" s="1098">
        <f t="shared" si="77"/>
        <v>0.33</v>
      </c>
      <c r="EN11" s="1125">
        <f t="shared" si="78"/>
        <v>0</v>
      </c>
      <c r="EO11" s="1125">
        <f t="shared" si="79"/>
        <v>0</v>
      </c>
      <c r="EP11" s="1098">
        <f t="shared" si="80"/>
        <v>0</v>
      </c>
      <c r="EQ11" s="1121">
        <f t="shared" si="81"/>
        <v>0</v>
      </c>
      <c r="ER11" s="1101">
        <f t="shared" si="82"/>
        <v>0</v>
      </c>
      <c r="ES11" s="1097">
        <f t="shared" si="83"/>
        <v>0</v>
      </c>
      <c r="ET11" s="1122">
        <f t="shared" si="84"/>
        <v>0</v>
      </c>
      <c r="EV11" s="1348" t="s">
        <v>239</v>
      </c>
      <c r="EW11" s="1213" t="s">
        <v>143</v>
      </c>
      <c r="EX11" s="1214">
        <f>EX5*(1+EX8)+EX34</f>
        <v>36200</v>
      </c>
      <c r="EY11" s="1212"/>
      <c r="EZ11" s="1348" t="s">
        <v>239</v>
      </c>
      <c r="FA11" s="1213" t="s">
        <v>143</v>
      </c>
      <c r="FB11" s="1214">
        <f>FB5*(1+FB8)+FB34</f>
        <v>29900</v>
      </c>
      <c r="FC11" s="447"/>
      <c r="FD11" s="459" t="s">
        <v>1569</v>
      </c>
      <c r="FE11" s="1351">
        <v>0</v>
      </c>
      <c r="FF11" s="1352"/>
      <c r="FG11" s="447"/>
      <c r="FH11" s="465">
        <f t="shared" si="85"/>
        <v>51428</v>
      </c>
      <c r="FI11" s="560">
        <v>1.6</v>
      </c>
      <c r="FJ11" s="558">
        <v>0.1</v>
      </c>
      <c r="FL11" s="469" t="s">
        <v>696</v>
      </c>
      <c r="FM11" s="1366">
        <f>1/(4-FN7/3)</f>
        <v>0.25</v>
      </c>
      <c r="FN11" s="1367"/>
    </row>
    <row r="12" spans="1:170" ht="16.5" customHeight="1">
      <c r="B12" s="1123" t="str">
        <f>INDEX('卡片raw data'!B:B,MATCH($D12,'卡片raw data'!$F:$F,))</f>
        <v>校服鸟</v>
      </c>
      <c r="C12" s="449" t="s">
        <v>123</v>
      </c>
      <c r="D12" s="408">
        <v>9</v>
      </c>
      <c r="E12" s="1090">
        <v>100031001</v>
      </c>
      <c r="F12" s="1090" t="str">
        <f>INDEX('卡片raw data'!C:C,MATCH($D12,'卡片raw data'!$F:$F,))</f>
        <v>R</v>
      </c>
      <c r="G12" s="1094" t="s">
        <v>333</v>
      </c>
      <c r="H12" s="411">
        <f>IFERROR(INDEX(绊状态确认!C:C,MATCH($G12,绊状态确认!$B:$B,)),"")</f>
        <v>3</v>
      </c>
      <c r="I12" s="1124" t="str">
        <f>IFERROR(INDEX(绊状态确认!D:D,MATCH($G12,绊状态确认!$B:$B,)),"")</f>
        <v>缪</v>
      </c>
      <c r="J12" s="1124" t="str">
        <f>IFERROR(INDEX(绊状态确认!E:E,MATCH($G12,绊状态确认!$B:$B,)),"")</f>
        <v>2年级</v>
      </c>
      <c r="K12" s="451" t="str">
        <f>IFERROR(INDEX(绊状态确认!F:F,MATCH($G12,绊状态确认!$B:$B,)),"")</f>
        <v>Printemps</v>
      </c>
      <c r="L12" s="1094" t="str">
        <f>INDEX('卡片raw data'!E:E,MATCH($D12,'卡片raw data'!$F:$F,))</f>
        <v>卡池卡</v>
      </c>
      <c r="M12" s="415">
        <v>43735</v>
      </c>
      <c r="N12" s="416">
        <v>0</v>
      </c>
      <c r="O12" s="1091" t="str">
        <f>INDEX('卡片raw data'!D:D,MATCH($D12,'卡片raw data'!$F:$F,))</f>
        <v>sp</v>
      </c>
      <c r="P12" s="417">
        <v>5</v>
      </c>
      <c r="Q12" s="1095">
        <f t="shared" si="0"/>
        <v>10885.920047327685</v>
      </c>
      <c r="R12" s="1096">
        <f t="shared" si="1"/>
        <v>0.126</v>
      </c>
      <c r="S12" s="1097">
        <f t="shared" si="2"/>
        <v>7210.2425169663711</v>
      </c>
      <c r="T12" s="1098">
        <f t="shared" si="3"/>
        <v>0.36</v>
      </c>
      <c r="U12" s="1099">
        <f t="shared" si="4"/>
        <v>39.449100910714286</v>
      </c>
      <c r="V12" s="1100">
        <f t="shared" si="5"/>
        <v>12439.145673647148</v>
      </c>
      <c r="W12" s="1101">
        <f t="shared" si="6"/>
        <v>3005.1476580839999</v>
      </c>
      <c r="X12" s="1096">
        <f t="shared" si="7"/>
        <v>3.4000000000000002E-2</v>
      </c>
      <c r="Y12" s="1097">
        <f t="shared" si="8"/>
        <v>868.30347033801354</v>
      </c>
      <c r="Z12" s="1102">
        <f t="shared" si="9"/>
        <v>10.949100910714284</v>
      </c>
      <c r="AA12" s="1103">
        <f t="shared" si="10"/>
        <v>3873.4511284220134</v>
      </c>
      <c r="AB12" s="1101">
        <f t="shared" si="11"/>
        <v>3005.1476580839999</v>
      </c>
      <c r="AC12" s="1104">
        <f t="shared" si="12"/>
        <v>3.4000000000000002E-2</v>
      </c>
      <c r="AD12" s="1105">
        <f t="shared" si="13"/>
        <v>-1.9908281250000003E-2</v>
      </c>
      <c r="AE12" s="1128">
        <f t="shared" si="14"/>
        <v>-11.768115942028986</v>
      </c>
      <c r="AF12" s="1130">
        <f t="shared" si="15"/>
        <v>420</v>
      </c>
      <c r="AG12" s="420">
        <f t="shared" si="16"/>
        <v>106213.31415000002</v>
      </c>
      <c r="AH12" s="420">
        <f t="shared" si="17"/>
        <v>252.88884321428577</v>
      </c>
      <c r="AI12" s="1097">
        <f t="shared" si="18"/>
        <v>-416183.3556110998</v>
      </c>
      <c r="AJ12" s="420">
        <f t="shared" si="19"/>
        <v>12439.145673647148</v>
      </c>
      <c r="AK12" s="518">
        <f t="shared" si="20"/>
        <v>-428622.50128474698</v>
      </c>
      <c r="AL12" s="1106">
        <f>IF($P12="","N/A",(IF($P12=-1,INDEX('卡片raw data'!S:S,MATCH($D12,'卡片raw data'!$F:$F,)),0)+IF($P12=0,INDEX('卡片raw data'!V:V,MATCH($D12,'卡片raw data'!$F:$F,)),0)+IF($P12=1,INDEX('卡片raw data'!Y:Y,MATCH($D12,'卡片raw data'!$F:$F,)),0)+IF($P12=2,INDEX('卡片raw data'!AB:AB,MATCH($D12,'卡片raw data'!$F:$F,)),0)+IF($P12=3,INDEX('卡片raw data'!AE:AE,MATCH($D12,'卡片raw data'!$F:$F,)),0)+IF($P12=4,INDEX('卡片raw data'!AH:AH,MATCH($D12,'卡片raw data'!$F:$F,)),0)+IF($P12=5,INDEX('卡片raw data'!AK:AK,MATCH($D12,'卡片raw data'!$F:$F,)),0)+INDEX('卡片raw data'!S:S,MATCH($D12,'卡片raw data'!$F:$F,))*(IF($F12="UR",0.04,0.033))*(IF($F12="UR",INDEX(绊状态确认!$S:$S,MATCH($G12,绊状态确认!$B:$B,))/2-40)+IF($F12="SR",INDEX(绊状态确认!$R:$R,MATCH($G12,绊状态确认!$B:$B,))/4-15))+IF($F12="R",INDEX(绊状态确认!$Q:$Q,MATCH($G12,绊状态确认!$B:$B,))/6-40/6)))*(INDEX(绊状态确认!$H:$H,MATCH($G12,绊状态确认!$B:$B,))+INDEX(绊状态确认!J:J,MATCH($G12,绊状态确认!$B:$B,)))</f>
        <v>3601.2515999999996</v>
      </c>
      <c r="AM12" s="1106">
        <f>IF($P12="","N/A",(IF($P12=-1,INDEX('卡片raw data'!T:T,MATCH($D12,'卡片raw data'!$F:$F,)),0)+IF($P12=0,INDEX('卡片raw data'!W:W,MATCH($D12,'卡片raw data'!$F:$F,)),0)+IF($P12=1,INDEX('卡片raw data'!Z:Z,MATCH($D12,'卡片raw data'!$F:$F,)),0)+IF($P12=2,INDEX('卡片raw data'!AC:AC,MATCH($D12,'卡片raw data'!$F:$F,)),0)+IF($P12=3,INDEX('卡片raw data'!AF:AF,MATCH($D12,'卡片raw data'!$F:$F,)),0)+IF($P12=4,INDEX('卡片raw data'!AI:AI,MATCH($D12,'卡片raw data'!$F:$F,)),0)+IF($P12=5,INDEX('卡片raw data'!AL:AL,MATCH($D12,'卡片raw data'!$F:$F,)),0)+INDEX('卡片raw data'!T:T,MATCH($D12,'卡片raw data'!$F:$F,))*(IF($F12="UR",0.04,0.033))*(IF($F12="UR",INDEX(绊状态确认!$S:$S,MATCH($G12,绊状态确认!$B:$B,))/2-40)+IF($F12="SR",INDEX(绊状态确认!$R:$R,MATCH($G12,绊状态确认!$B:$B,))/4-15))+IF($F12="R",INDEX(绊状态确认!$Q:$Q,MATCH($G12,绊状态确认!$B:$B,))/6-40/6)))*(INDEX(绊状态确认!$H:$H,MATCH($G12,绊状态确认!$B:$B,))+INDEX(绊状态确认!K:K,MATCH($G12,绊状态确认!$B:$B,)))</f>
        <v>4801.2899999999991</v>
      </c>
      <c r="AN12" s="1106">
        <f>IF($P12="","N/A",(IF($P12=-1,INDEX('卡片raw data'!U:U,MATCH($D12,'卡片raw data'!$F:$F,)),0)+IF($P12=0,INDEX('卡片raw data'!X:X,MATCH($D12,'卡片raw data'!$F:$F,)),0)+IF($P12=1,INDEX('卡片raw data'!AA:AA,MATCH($D12,'卡片raw data'!$F:$F,)),0)+IF($P12=2,INDEX('卡片raw data'!AD:AD,MATCH($D12,'卡片raw data'!$F:$F,)),0)+IF($P12=3,INDEX('卡片raw data'!AG:AG,MATCH($D12,'卡片raw data'!$F:$F,)),0)+IF($P12=4,INDEX('卡片raw data'!AJ:AJ,MATCH($D12,'卡片raw data'!$F:$F,)),0)+IF($P12=5,INDEX('卡片raw data'!AM:AM,MATCH($D12,'卡片raw data'!$F:$F,)),0)+INDEX('卡片raw data'!U:U,MATCH($D12,'卡片raw data'!$F:$F,))*(IF($F12="UR",0.04,0.033))*(IF($F12="UR",INDEX(绊状态确认!$S:$S,MATCH($G12,绊状态确认!$B:$B,))/2-40)+IF($F12="SR",INDEX(绊状态确认!$R:$R,MATCH($G12,绊状态确认!$B:$B,))/4-15))+IF($F12="R",INDEX(绊状态确认!$Q:$Q,MATCH($G12,绊状态确认!$B:$B,))/6-40/6)))*(INDEX(绊状态确认!$H:$H,MATCH($G12,绊状态确认!$B:$B,))+INDEX(绊状态确认!L:L,MATCH($G12,绊状态确认!$B:$B,)))</f>
        <v>3601.2515999999996</v>
      </c>
      <c r="AO12" s="1107">
        <f t="shared" si="21"/>
        <v>1</v>
      </c>
      <c r="AP12" s="1131">
        <f>1+(INDEX(绊状态确认!$T:$T,MATCH($G12,绊状态确认!$B:$B,))+0.2)*$AO12</f>
        <v>1.3</v>
      </c>
      <c r="AQ12" s="1108">
        <f t="shared" si="22"/>
        <v>12703.285449999999</v>
      </c>
      <c r="AR12" s="1097">
        <f>(AM12*(1+$EX$9)+$EX$35)*(1+(INDEX(绊状态确认!$T:$T,MATCH($G12,绊状态确认!$B:$B,))+0.2)*AO12)*IF(J12=$FF$17,1+$FE$17,1)*IF(I12=$FF$14,1+$FE$14,1)</f>
        <v>9257.7608499999988</v>
      </c>
      <c r="AS12" s="1097">
        <f>(AN12*(1+$EX$10)+$EX$36)*(1+(INDEX(绊状态确认!$T:$T,MATCH($G12,绊状态确认!$B:$B,))+0.2)*AO12)*IF(J12=$FF$17,1+$FE$17,1)*IF(I12=$FF$14,1+$FE$14,1)</f>
        <v>9439.8711419999981</v>
      </c>
      <c r="AT12" s="1093">
        <f>IF(AND(INDEX('卡片raw data'!AK:AK,MATCH($D12,'卡片raw data'!$F:$F,))&lt;INDEX('卡片raw data'!AM:AM,MATCH($D12,'卡片raw data'!$F:$F,)),INDEX('卡片raw data'!AL:AL,MATCH($D12,'卡片raw data'!$F:$F,))&lt;INDEX('卡片raw data'!AM:AM,MATCH($D12,'卡片raw data'!$F:$F,))),1,0)</f>
        <v>0</v>
      </c>
      <c r="AU12" s="1098">
        <f>MIN(AT12*0.15+AS12*0.00003+INDEX(绊状态确认!M:M,MATCH($G12,绊状态确认!$B:$B,)),1)</f>
        <v>0.31319613425999998</v>
      </c>
      <c r="AV12" s="1109">
        <f>(INDEX(绊状态确认!$N:$N,MATCH($G12,绊状态确认!$B:$B,))+1.5)*$EW$21</f>
        <v>2.6599999999999997</v>
      </c>
      <c r="AW12" s="1101">
        <f t="shared" si="23"/>
        <v>10027.43905591035</v>
      </c>
      <c r="AX12" s="1097">
        <f t="shared" si="24"/>
        <v>787.93561854235759</v>
      </c>
      <c r="AY12" s="1110">
        <f t="shared" si="25"/>
        <v>10815.374674452709</v>
      </c>
      <c r="AZ12" s="429">
        <f t="shared" si="26"/>
        <v>9622.4406199999994</v>
      </c>
      <c r="BA12" s="431">
        <f t="shared" si="27"/>
        <v>11546.928743999999</v>
      </c>
      <c r="BB12" s="1097">
        <f>(AM12*(1+$FB$9)+$FB$35)*(1+(INDEX(绊状态确认!$T:$T,MATCH($G12,绊状态确认!$B:$B,))+0.2)*AO12)*IF(J12=$FF$17,1+$FE$17,1)*IF(I12=$FF$14,1+$FE$14,1)*(1+$FE$15)</f>
        <v>9257.7608499999988</v>
      </c>
      <c r="BC12" s="1097">
        <f>(AN12*(1+$FB$10)+$FB$36)*(1+(INDEX(绊状态确认!$T:$T,MATCH($G12,绊状态确认!$B:$B,))+0.2)*AO12)*IF(J12=$FF$17,1+$FE$17,1)*IF(I12=$FF$14,1+$FE$14,1)*(1+$FE$15)</f>
        <v>9439.8711419999981</v>
      </c>
      <c r="BD12" s="1104">
        <f>MIN(AT12*0.15+BC12*0.00003+INDEX(绊状态确认!M:M,MATCH($G12,绊状态确认!$B:$B,)),1)</f>
        <v>0.31319613425999998</v>
      </c>
      <c r="BE12" s="432">
        <f>(INDEX(绊状态确认!$N:$N,MATCH($G12,绊状态确认!$B:$B,))+1.5)</f>
        <v>1.9</v>
      </c>
      <c r="BF12" s="1139">
        <f t="array" ref="BF12">SUMPRODUCT(IF(AZ12*AP12*$FI$16:$FI$23*$FA$22&gt;=$FI$24,$FI$24,AZ12*AP12*$FI$16:$FI$23*$FA$22),$FJ$16:$FJ$23)</f>
        <v>19139.034393180002</v>
      </c>
      <c r="BG12" s="1125">
        <f t="array" ref="BG12">SUMPRODUCT(IF(BE12*AZ12*AP12*$FI$16:$FI$23*$FA$22&gt;=$FI$24,$FI$24,BE12*AZ12*AP12*$FI$16:$FI$23*$FA$22),$FJ$16:$FJ$23)</f>
        <v>36364.165347041999</v>
      </c>
      <c r="BH12" s="1110">
        <f t="shared" si="28"/>
        <v>8177.9596066839486</v>
      </c>
      <c r="BI12" s="1111">
        <f>IF(O12="vo",$EW$26/$EW$24*0.05,0)+IF(O12="sk",-$EW$26/$EW$24*(0.05-INDEX(绊状态确认!W:W,MATCH($G12,绊状态确认!$B:$B,)))+0.05*$EW$28,0)+IF(O12="sp",0.05*$EW$32*$EW$30*(1-$EW$33)-(0.05-INDEX(绊状态确认!V:V,MATCH($G12,绊状态确认!$B:$B,)))*$EW$28,0)+IF(O12="gd",-(0.05-INDEX(绊状态确认!X:X,MATCH($G12,绊状态确认!$B:$B,)))*$EW$32*$EW$30*(1-$EW$33),0)</f>
        <v>19.999999999999886</v>
      </c>
      <c r="BJ12" s="1097">
        <f>IF(O12="vo",0.05*(1-$FI$26)*$FA$24,0)+IF(O12="sk",-(0.05-INDEX(绊状态确认!W:W,MATCH($G12,绊状态确认!$B:$B,)))*(1-$FI$26)*$FA$24+0.05*$FA$26,0)+IF(O12="sp",0.05*$FA$32*$FA$27*(1-$FA$33)/$FA$30+0.05*$FA$29/$FA$69*$FA$27*(1-$FA$33)-(0.05-INDEX(绊状态确认!V:V,MATCH($G12,绊状态确认!$B:$B,)))*$FA$26,0)+IF(O12="gd",-(0.05-INDEX(绊状态确认!X:X,MATCH($G12,绊状态确认!$B:$B,)))*$FA$32*$FA$27*(1-$FA$33)/$FA$30-(0.05-INDEX(绊状态确认!X:X,MATCH($G12,绊状态确认!$B:$B,)))*$FA$29/$FA$69*$FA$27*(1-$FA$33),0)</f>
        <v>545.83333333333326</v>
      </c>
      <c r="BK12" s="1110">
        <f>IF(O12="vo",$EW$26/$EW$24*0.05+$EW$26*(-HP($EW$62,$EW$65,$EW$64)+HP($EW$62,$EW$65,(1.05-INDEX(绊状态确认!U:U,MATCH($G12,绊状态确认!$B:$B,)))*$EW$64)),0)+IF(O12="sk",-$EW$26/$EW$24*(0.05-INDEX(绊状态确认!W:W,MATCH($G12,绊状态确认!$B:$B,)))+0.05*$EW$29,0)+IF(O12="sp",0.05*$EW$32*$EW$30*(1-$EW$33)-(0.05-INDEX(绊状态确认!V:V,MATCH($G12,绊状态确认!$B:$B,)))*$EW$29,0)+IF(O12="gd",-(0.05-INDEX(绊状态确认!X:X,MATCH($G12,绊状态确认!$B:$B,)))*$EW$32*$EW$30*(1-$EW$33)+$EW$26*(-HP($EW$62,$EW$65,$EW$64)+HP($EW$62,$EW$65,0.95*$EW$64)),0)</f>
        <v>-1780.0000000000005</v>
      </c>
      <c r="BL12" s="1111">
        <f t="shared" si="29"/>
        <v>-2166.6666666666665</v>
      </c>
      <c r="BM12" s="1110">
        <f t="shared" si="30"/>
        <v>-1661.1111111111109</v>
      </c>
      <c r="BN12" s="1113">
        <f t="shared" si="31"/>
        <v>2</v>
      </c>
      <c r="BO12" s="1097">
        <f t="shared" si="32"/>
        <v>3005.1476580839999</v>
      </c>
      <c r="BP12" s="1100">
        <f t="shared" si="33"/>
        <v>147.56068806020068</v>
      </c>
      <c r="BQ12" s="1113" t="s">
        <v>618</v>
      </c>
      <c r="BR12" s="1124" t="s">
        <v>171</v>
      </c>
      <c r="BS12" s="1098">
        <f>IF($P12="","N/A",IF($P12=-1,INDEX('卡片raw data'!AX:AX,MATCH($D12,'卡片raw data'!$F:$F,)),0)+IF($L12="party卡",IF($P12=5,INDEX('卡片raw data'!BD:BD,MATCH($D12,'卡片raw data'!$F:$F,)),IF($P12&gt;=3,INDEX('卡片raw data'!BC:BC,MATCH($D12,'卡片raw data'!$F:$F,)),INDEX('卡片raw data'!BB:BB,MATCH($D12,'卡片raw data'!$F:$F,)))),IF(OR(AND($F12="UR",$P12=0),AND($F12="SR",$P12&gt;=0,$P12&lt;=2),AND($F12="R",$P12&gt;=0,$P12&lt;4)),INDEX('卡片raw data'!AZ:AZ,MATCH($D12,'卡片raw data'!$F:$F,)),0)+IF(OR(AND($F12="UR",$P12&gt;=1,$P12&lt;=4),AND($F12="SR",$P12&lt;=4,$P12&gt;=3),AND($F12="R",$P12=4)),INDEX('卡片raw data'!BA:BA,MATCH($D12,'卡片raw data'!$F:$F,)),0)+IF($P12=5,INDEX('卡片raw data'!BB:BB,MATCH($D12,'卡片raw data'!$F:$F,)),0)))</f>
        <v>2.1999999999999999E-2</v>
      </c>
      <c r="BT12" s="1101">
        <f t="shared" si="34"/>
        <v>0</v>
      </c>
      <c r="BU12" s="1097">
        <f t="shared" si="35"/>
        <v>0</v>
      </c>
      <c r="BV12" s="1097">
        <f t="shared" si="36"/>
        <v>0</v>
      </c>
      <c r="BW12" s="1112">
        <f t="shared" si="37"/>
        <v>1.0300714285714283</v>
      </c>
      <c r="BX12" s="1100">
        <f t="shared" si="38"/>
        <v>80.367851795655781</v>
      </c>
      <c r="BY12" s="1110">
        <f t="shared" si="39"/>
        <v>80.367851795655781</v>
      </c>
      <c r="BZ12" s="1107" t="s">
        <v>569</v>
      </c>
      <c r="CA12" s="1124"/>
      <c r="CB12" s="1098">
        <f>IF($P12="","N/A",IF($P12=-1,INDEX('卡片raw data'!BE:BE,MATCH($D12,'卡片raw data'!$F:$F,)),0)+IF($L12="party卡",IF($P12=5,INDEX('卡片raw data'!BK:BK,MATCH($D12,'卡片raw data'!$F:$F,)),IF($P12&gt;=3,INDEX('卡片raw data'!BJ:BJ,MATCH($D12,'卡片raw data'!$F:$F,)),INDEX('卡片raw data'!BI:BI,MATCH($D12,'卡片raw data'!$F:$F,)))),IF(OR(AND($F12="UR",$P12=0),AND($F12="SR",$P12&gt;=0,$P12&lt;=2),AND($F12="R",$P12&gt;=0,$P12&lt;4)),INDEX('卡片raw data'!BG:BG,MATCH($D12,'卡片raw data'!$F:$F,)),0)+IF(OR(AND($F12="UR",$P12&gt;=1,$P12&lt;=4),AND($F12="SR",$P12&lt;=4,$P12&gt;=3),AND($F12="R",$P12=4)),INDEX('卡片raw data'!BH:BH,MATCH($D12,'卡片raw data'!$F:$F,)),0)+IF($P12=5,INDEX('卡片raw data'!BI:BI,MATCH($D12,'卡片raw data'!$F:$F,)),0)))</f>
        <v>0</v>
      </c>
      <c r="CC12" s="1101">
        <f t="shared" si="40"/>
        <v>0</v>
      </c>
      <c r="CD12" s="1097">
        <f>IF(BZ12="ap",CB12*(1-$FI$26)*$FB$5/$FB$11*(+IF(CA12="全员",$FA$24,0)+IF(CA12="同作战",$FA$24,0)+IF(CA12="仲间",$FA$24*2/3,0)+IF(CA12="同属性",$FA$24*$FA$37/3,0)+IF(CA12="同年级",$FA$24*$FA$40/3,0)+IF(CA12="同学校",$FA$24*$FA$43/3,0)+IF(CA12="同小队",$FA$24*$FA$46/3,0)+IF(CA12="同type",$FA$24*INDEX($FB$49:$FB$52,MATCH(X12,$FA$49:$FA$52,))/3,0)+IF(CA12="自身",#REF!/3,0)),0)+IF(BZ12="te",CB12*(1-$FI$27)*($FA$20-1)*$FB$7/$FB$13*(+IF(CA12="全员",$FA$19*$FA$24/(1+($FA$20-1)*$FA$19),0)+IF(CA12="同作战",$FA$19*$FA$24/(1+($FA$20-1)*$FA$19),0)+IF(CA12="仲间",$FA$19*$FA$24*2/3/(1+($FA$20-1)*$FA$19),0)+IF(CA12="同属性",$FA$19*$FA$24*$FA$37/3/(1+($FA$20-1)*$FA$19),0)+IF(CA12="同年级",$FA$19*$FA$24*$FA$40/3/(1+($FA$20-1)*$FA$19),0)+IF(CA12="同学校",$FA$19*$FA$24*$FA$43/3/(1+($FA$20-1)*$FA$19),0)+IF(CA12="同小队",$FA$19*$FA$24*$FA$46/3/(1+($FA$20-1)*$FA$19),0)+IF(CA12="同type",$FA$19*$FA$24*INDEX($FB$49:$FB$52,MATCH(X12,$FA$49:$FA$52,))/3/(1+($FA$20-1)*$FA$19),0)+IF(CA12="自身",$FA$19*#REF!/3/(1+(BH12-1)*$BD12),0)),0)</f>
        <v>0</v>
      </c>
      <c r="CE12" s="1097">
        <f t="shared" si="41"/>
        <v>0</v>
      </c>
      <c r="CF12" s="1112">
        <f t="shared" si="42"/>
        <v>0</v>
      </c>
      <c r="CG12" s="1100">
        <f t="shared" si="43"/>
        <v>0</v>
      </c>
      <c r="CH12" s="1110">
        <f t="shared" si="44"/>
        <v>0</v>
      </c>
      <c r="CI12" s="1113"/>
      <c r="CJ12" s="1114"/>
      <c r="CK12" s="1115" t="s">
        <v>569</v>
      </c>
      <c r="CL12" s="1115"/>
      <c r="CM12" s="1119"/>
      <c r="CN12" s="1115"/>
      <c r="CO12" s="1092"/>
      <c r="CP12" s="1117">
        <f t="shared" si="45"/>
        <v>0</v>
      </c>
      <c r="CQ12" s="1117">
        <f t="shared" si="46"/>
        <v>0</v>
      </c>
      <c r="CR12" s="1117">
        <f t="shared" si="47"/>
        <v>0</v>
      </c>
      <c r="CS12" s="1118">
        <f t="shared" si="48"/>
        <v>0</v>
      </c>
      <c r="CT12" s="1109">
        <f t="shared" si="49"/>
        <v>0</v>
      </c>
      <c r="CU12" s="1101">
        <f t="shared" si="50"/>
        <v>0</v>
      </c>
      <c r="CV12" s="1108">
        <f t="shared" si="51"/>
        <v>0</v>
      </c>
      <c r="CW12" s="1097">
        <f t="shared" si="52"/>
        <v>0</v>
      </c>
      <c r="CX12" s="1097">
        <f t="shared" si="53"/>
        <v>0</v>
      </c>
      <c r="CY12" s="1110">
        <f t="shared" si="54"/>
        <v>0</v>
      </c>
      <c r="CZ12" s="437"/>
      <c r="DA12" s="438"/>
      <c r="DB12" s="439" t="s">
        <v>569</v>
      </c>
      <c r="DC12" s="439"/>
      <c r="DD12" s="443"/>
      <c r="DE12" s="411"/>
      <c r="DF12" s="411"/>
      <c r="DG12" s="1116">
        <f t="shared" si="55"/>
        <v>0</v>
      </c>
      <c r="DH12" s="1116">
        <f t="shared" si="56"/>
        <v>0</v>
      </c>
      <c r="DI12" s="1116">
        <f t="shared" si="57"/>
        <v>0</v>
      </c>
      <c r="DJ12" s="442">
        <f t="shared" si="58"/>
        <v>0</v>
      </c>
      <c r="DK12" s="1109">
        <f t="shared" si="59"/>
        <v>0</v>
      </c>
      <c r="DL12" s="1101">
        <f t="shared" si="60"/>
        <v>0</v>
      </c>
      <c r="DM12" s="1097">
        <f t="shared" si="61"/>
        <v>0</v>
      </c>
      <c r="DN12" s="1097">
        <f t="shared" si="62"/>
        <v>0</v>
      </c>
      <c r="DO12" s="1097">
        <f t="shared" si="63"/>
        <v>0</v>
      </c>
      <c r="DP12" s="1110">
        <f t="shared" si="64"/>
        <v>0</v>
      </c>
      <c r="DQ12" s="1113" t="s">
        <v>636</v>
      </c>
      <c r="DR12" s="1120">
        <f t="shared" si="65"/>
        <v>0.3</v>
      </c>
      <c r="DS12" s="1124"/>
      <c r="DT12" s="1093" t="s">
        <v>546</v>
      </c>
      <c r="DU12" s="1093"/>
      <c r="DV12" s="1097">
        <f>IF($P12="","N/A",IF(P12=-1,INDEX('卡片raw data'!AN:AN,MATCH(D12,'卡片raw data'!$F:$F,)),0)+IF(AND(L12&lt;&gt;"party卡",P12&lt;=2,P12&gt;=0),INDEX('卡片raw data'!AP:AP,MATCH(D12,'卡片raw data'!$F:$F,)),0)+IF(OR(AND(L12="party卡",P12&lt;=1),AND(P12&lt;=4,L12&lt;&gt;"party卡",P12&gt;=3)),INDEX('卡片raw data'!AQ:AQ,MATCH(D12,'卡片raw data'!$F:$F,)),0)+IF(OR(P12=5,AND(L12="party卡",P12&gt;=2)),INDEX('卡片raw data'!AR:AR,MATCH(D12,'卡片raw data'!$F:$F,)),0))</f>
        <v>300</v>
      </c>
      <c r="DW12" s="1098">
        <f t="shared" si="66"/>
        <v>0.3</v>
      </c>
      <c r="DX12" s="1098">
        <f t="shared" si="67"/>
        <v>0.3</v>
      </c>
      <c r="DY12" s="1125">
        <f t="shared" si="68"/>
        <v>30</v>
      </c>
      <c r="DZ12" s="1125">
        <f t="shared" si="69"/>
        <v>25.95</v>
      </c>
      <c r="EA12" s="1098">
        <f t="shared" si="70"/>
        <v>0</v>
      </c>
      <c r="EB12" s="1121">
        <f t="shared" si="71"/>
        <v>0</v>
      </c>
      <c r="EC12" s="1101">
        <f t="shared" si="72"/>
        <v>0</v>
      </c>
      <c r="ED12" s="1097">
        <f t="shared" si="73"/>
        <v>0</v>
      </c>
      <c r="EE12" s="1110">
        <f t="shared" si="74"/>
        <v>2484.9221559814505</v>
      </c>
      <c r="EF12" s="1092" t="s">
        <v>711</v>
      </c>
      <c r="EG12" s="1120">
        <f t="shared" si="75"/>
        <v>0.3</v>
      </c>
      <c r="EH12" s="1124"/>
      <c r="EI12" s="1093"/>
      <c r="EJ12" s="1093"/>
      <c r="EK12" s="1097">
        <f>IF($P12="","N/A",IF(P12=-1,INDEX('卡片raw data'!AS:AS,MATCH(D12,'卡片raw data'!$F:$F,)),0)+IF(AND(L12&lt;&gt;"party卡",P12&lt;=2,P12&gt;=0),INDEX('卡片raw data'!AU:AU,MATCH(D12,'卡片raw data'!$F:$F,)),0)+IF(OR(AND(L12="party卡",P12&lt;=1),AND(P12&lt;=4,L12&lt;&gt;"party卡",P12&gt;=3)),INDEX('卡片raw data'!AV:AV,MATCH(D12,'卡片raw data'!$F:$F,)),0)+IF(OR(P12=5,AND(L12="party卡",P12&gt;=2)),INDEX('卡片raw data'!AW:AW,MATCH(D12,'卡片raw data'!$F:$F,)),0))</f>
        <v>0</v>
      </c>
      <c r="EL12" s="1098">
        <f t="shared" si="76"/>
        <v>0.3</v>
      </c>
      <c r="EM12" s="1098">
        <f t="shared" si="77"/>
        <v>0.3</v>
      </c>
      <c r="EN12" s="1125">
        <f t="shared" si="78"/>
        <v>0</v>
      </c>
      <c r="EO12" s="1125">
        <f t="shared" si="79"/>
        <v>0</v>
      </c>
      <c r="EP12" s="1098">
        <f t="shared" si="80"/>
        <v>0</v>
      </c>
      <c r="EQ12" s="1121">
        <f t="shared" si="81"/>
        <v>0</v>
      </c>
      <c r="ER12" s="1101">
        <f t="shared" si="82"/>
        <v>0</v>
      </c>
      <c r="ES12" s="1097">
        <f t="shared" si="83"/>
        <v>0</v>
      </c>
      <c r="ET12" s="1122">
        <f t="shared" si="84"/>
        <v>0</v>
      </c>
      <c r="EV12" s="1348"/>
      <c r="EW12" s="1215" t="s">
        <v>144</v>
      </c>
      <c r="EX12" s="1216">
        <f>EX6*(1+EX9)+EX35</f>
        <v>12055</v>
      </c>
      <c r="EY12" s="1212"/>
      <c r="EZ12" s="1348"/>
      <c r="FA12" s="1215" t="s">
        <v>144</v>
      </c>
      <c r="FB12" s="1216">
        <f>FB6*(1+FB9)+FB35</f>
        <v>10480</v>
      </c>
      <c r="FC12" s="447"/>
      <c r="FD12" s="459" t="s">
        <v>237</v>
      </c>
      <c r="FE12" s="470">
        <v>0</v>
      </c>
      <c r="FF12" s="458" t="s">
        <v>15</v>
      </c>
      <c r="FG12" s="447"/>
      <c r="FH12" s="465">
        <f t="shared" si="85"/>
        <v>54642.25</v>
      </c>
      <c r="FI12" s="560">
        <v>1.7</v>
      </c>
      <c r="FJ12" s="558">
        <v>0.1</v>
      </c>
      <c r="FL12" s="467" t="s">
        <v>700</v>
      </c>
      <c r="FM12" s="1379">
        <v>0.25</v>
      </c>
      <c r="FN12" s="1380"/>
    </row>
    <row r="13" spans="1:170" ht="16.5" customHeight="1">
      <c r="A13" s="406">
        <v>3999</v>
      </c>
      <c r="B13" s="1123" t="str">
        <f>INDEX('卡片raw data'!B:B,MATCH($D13,'卡片raw data'!$F:$F,))</f>
        <v>练习鸟</v>
      </c>
      <c r="C13" s="449" t="s">
        <v>69</v>
      </c>
      <c r="D13" s="408">
        <v>10</v>
      </c>
      <c r="E13" s="1090">
        <v>100031002</v>
      </c>
      <c r="F13" s="1090" t="str">
        <f>INDEX('卡片raw data'!C:C,MATCH($D13,'卡片raw data'!$F:$F,))</f>
        <v>R</v>
      </c>
      <c r="G13" s="1094" t="s">
        <v>26</v>
      </c>
      <c r="H13" s="411">
        <f>IFERROR(INDEX(绊状态确认!C:C,MATCH($G13,绊状态确认!$B:$B,)),"")</f>
        <v>3</v>
      </c>
      <c r="I13" s="450" t="str">
        <f>IFERROR(INDEX(绊状态确认!D:D,MATCH($G13,绊状态确认!$B:$B,)),"")</f>
        <v>缪</v>
      </c>
      <c r="J13" s="450" t="str">
        <f>IFERROR(INDEX(绊状态确认!E:E,MATCH($G13,绊状态确认!$B:$B,)),"")</f>
        <v>2年级</v>
      </c>
      <c r="K13" s="451" t="str">
        <f>IFERROR(INDEX(绊状态确认!F:F,MATCH($G13,绊状态确认!$B:$B,)),"")</f>
        <v>Printemps</v>
      </c>
      <c r="L13" s="1094" t="str">
        <f>INDEX('卡片raw data'!E:E,MATCH($D13,'卡片raw data'!$F:$F,))</f>
        <v>卡池卡</v>
      </c>
      <c r="M13" s="415">
        <v>43735</v>
      </c>
      <c r="N13" s="416">
        <v>0</v>
      </c>
      <c r="O13" s="1091" t="str">
        <f>INDEX('卡片raw data'!D:D,MATCH($D13,'卡片raw data'!$F:$F,))</f>
        <v>sk</v>
      </c>
      <c r="P13" s="417">
        <v>5</v>
      </c>
      <c r="Q13" s="1095">
        <f t="shared" si="0"/>
        <v>11413.331830298896</v>
      </c>
      <c r="R13" s="1096">
        <f t="shared" si="1"/>
        <v>0.13200000000000001</v>
      </c>
      <c r="S13" s="1097">
        <f t="shared" si="2"/>
        <v>9984.0743711708819</v>
      </c>
      <c r="T13" s="1098">
        <f t="shared" si="3"/>
        <v>0.499</v>
      </c>
      <c r="U13" s="1099">
        <f t="shared" si="4"/>
        <v>10.191003008571428</v>
      </c>
      <c r="V13" s="1100">
        <f t="shared" si="5"/>
        <v>14219.696699576316</v>
      </c>
      <c r="W13" s="1101">
        <f t="shared" si="6"/>
        <v>3005.1476580839999</v>
      </c>
      <c r="X13" s="1096">
        <f t="shared" si="7"/>
        <v>3.4000000000000002E-2</v>
      </c>
      <c r="Y13" s="1097">
        <f t="shared" si="8"/>
        <v>806.36486927742135</v>
      </c>
      <c r="Z13" s="1102">
        <f t="shared" si="9"/>
        <v>10.191003008571428</v>
      </c>
      <c r="AA13" s="1103">
        <f t="shared" si="10"/>
        <v>3811.5125273614212</v>
      </c>
      <c r="AB13" s="1101">
        <f t="shared" si="11"/>
        <v>3005.1476580839999</v>
      </c>
      <c r="AC13" s="1104">
        <f t="shared" si="12"/>
        <v>3.4000000000000002E-2</v>
      </c>
      <c r="AD13" s="1105">
        <f t="shared" si="13"/>
        <v>1.8994224431818179E-2</v>
      </c>
      <c r="AE13" s="1128">
        <f t="shared" si="14"/>
        <v>-1.8962422952541544</v>
      </c>
      <c r="AF13" s="1130">
        <f t="shared" si="15"/>
        <v>0</v>
      </c>
      <c r="AG13" s="420">
        <f t="shared" si="16"/>
        <v>0</v>
      </c>
      <c r="AH13" s="420">
        <f t="shared" si="17"/>
        <v>0</v>
      </c>
      <c r="AI13" s="1097">
        <f t="shared" si="18"/>
        <v>0</v>
      </c>
      <c r="AJ13" s="420">
        <f t="shared" si="19"/>
        <v>0</v>
      </c>
      <c r="AK13" s="518">
        <f t="shared" si="20"/>
        <v>0</v>
      </c>
      <c r="AL13" s="1106">
        <f>IF($P13="","N/A",(IF($P13=-1,INDEX('卡片raw data'!S:S,MATCH($D13,'卡片raw data'!$F:$F,)),0)+IF($P13=0,INDEX('卡片raw data'!V:V,MATCH($D13,'卡片raw data'!$F:$F,)),0)+IF($P13=1,INDEX('卡片raw data'!Y:Y,MATCH($D13,'卡片raw data'!$F:$F,)),0)+IF($P13=2,INDEX('卡片raw data'!AB:AB,MATCH($D13,'卡片raw data'!$F:$F,)),0)+IF($P13=3,INDEX('卡片raw data'!AE:AE,MATCH($D13,'卡片raw data'!$F:$F,)),0)+IF($P13=4,INDEX('卡片raw data'!AH:AH,MATCH($D13,'卡片raw data'!$F:$F,)),0)+IF($P13=5,INDEX('卡片raw data'!AK:AK,MATCH($D13,'卡片raw data'!$F:$F,)),0)+INDEX('卡片raw data'!S:S,MATCH($D13,'卡片raw data'!$F:$F,))*(IF($F13="UR",0.04,0.033))*(IF($F13="UR",INDEX(绊状态确认!$S:$S,MATCH($G13,绊状态确认!$B:$B,))/2-40)+IF($F13="SR",INDEX(绊状态确认!$R:$R,MATCH($G13,绊状态确认!$B:$B,))/4-15))+IF($F13="R",INDEX(绊状态确认!$Q:$Q,MATCH($G13,绊状态确认!$B:$B,))/6-40/6)))*(INDEX(绊状态确认!$H:$H,MATCH($G13,绊状态确认!$B:$B,))+INDEX(绊状态确认!J:J,MATCH($G13,绊状态确认!$B:$B,)))</f>
        <v>5496.7667999999994</v>
      </c>
      <c r="AM13" s="1106">
        <f>IF($P13="","N/A",(IF($P13=-1,INDEX('卡片raw data'!T:T,MATCH($D13,'卡片raw data'!$F:$F,)),0)+IF($P13=0,INDEX('卡片raw data'!W:W,MATCH($D13,'卡片raw data'!$F:$F,)),0)+IF($P13=1,INDEX('卡片raw data'!Z:Z,MATCH($D13,'卡片raw data'!$F:$F,)),0)+IF($P13=2,INDEX('卡片raw data'!AC:AC,MATCH($D13,'卡片raw data'!$F:$F,)),0)+IF($P13=3,INDEX('卡片raw data'!AF:AF,MATCH($D13,'卡片raw data'!$F:$F,)),0)+IF($P13=4,INDEX('卡片raw data'!AI:AI,MATCH($D13,'卡片raw data'!$F:$F,)),0)+IF($P13=5,INDEX('卡片raw data'!AL:AL,MATCH($D13,'卡片raw data'!$F:$F,)),0)+INDEX('卡片raw data'!T:T,MATCH($D13,'卡片raw data'!$F:$F,))*(IF($F13="UR",0.04,0.033))*(IF($F13="UR",INDEX(绊状态确认!$S:$S,MATCH($G13,绊状态确认!$B:$B,))/2-40)+IF($F13="SR",INDEX(绊状态确认!$R:$R,MATCH($G13,绊状态确认!$B:$B,))/4-15))+IF($F13="R",INDEX(绊状态确认!$Q:$Q,MATCH($G13,绊状态确认!$B:$B,))/6-40/6)))*(INDEX(绊状态确认!$H:$H,MATCH($G13,绊状态确认!$B:$B,))+INDEX(绊状态确认!K:K,MATCH($G13,绊状态确认!$B:$B,)))</f>
        <v>4122.8591999999999</v>
      </c>
      <c r="AN13" s="1106">
        <f>IF($P13="","N/A",(IF($P13=-1,INDEX('卡片raw data'!U:U,MATCH($D13,'卡片raw data'!$F:$F,)),0)+IF($P13=0,INDEX('卡片raw data'!X:X,MATCH($D13,'卡片raw data'!$F:$F,)),0)+IF($P13=1,INDEX('卡片raw data'!AA:AA,MATCH($D13,'卡片raw data'!$F:$F,)),0)+IF($P13=2,INDEX('卡片raw data'!AD:AD,MATCH($D13,'卡片raw data'!$F:$F,)),0)+IF($P13=3,INDEX('卡片raw data'!AG:AG,MATCH($D13,'卡片raw data'!$F:$F,)),0)+IF($P13=4,INDEX('卡片raw data'!AJ:AJ,MATCH($D13,'卡片raw data'!$F:$F,)),0)+IF($P13=5,INDEX('卡片raw data'!AM:AM,MATCH($D13,'卡片raw data'!$F:$F,)),0)+INDEX('卡片raw data'!U:U,MATCH($D13,'卡片raw data'!$F:$F,))*(IF($F13="UR",0.04,0.033))*(IF($F13="UR",INDEX(绊状态确认!$S:$S,MATCH($G13,绊状态确认!$B:$B,))/2-40)+IF($F13="SR",INDEX(绊状态确认!$R:$R,MATCH($G13,绊状态确认!$B:$B,))/4-15))+IF($F13="R",INDEX(绊状态确认!$Q:$Q,MATCH($G13,绊状态确认!$B:$B,))/6-40/6)))*(INDEX(绊状态确认!$H:$H,MATCH($G13,绊状态确认!$B:$B,))+INDEX(绊状态确认!L:L,MATCH($G13,绊状态确认!$B:$B,)))</f>
        <v>4122.8591999999999</v>
      </c>
      <c r="AO13" s="1107">
        <f t="shared" si="21"/>
        <v>1</v>
      </c>
      <c r="AP13" s="1131">
        <f>1+(INDEX(绊状态确认!$T:$T,MATCH($G13,绊状态确认!$B:$B,))+0.2)*$AO13</f>
        <v>1.3</v>
      </c>
      <c r="AQ13" s="1108">
        <f t="shared" si="22"/>
        <v>17679.012849999999</v>
      </c>
      <c r="AR13" s="1097">
        <f>(AM13*(1+$EX$9)+$EX$35)*(1+(INDEX(绊状态确认!$T:$T,MATCH($G13,绊状态确认!$B:$B,))+0.2)*AO13)*IF(J13=$FF$17,1+$FE$17,1)*IF(I13=$FF$14,1+$FE$14,1)</f>
        <v>8331.702808</v>
      </c>
      <c r="AS13" s="1097">
        <f>(AN13*(1+$EX$10)+$EX$36)*(1+(INDEX(绊状态确认!$T:$T,MATCH($G13,绊状态确认!$B:$B,))+0.2)*AO13)*IF(J13=$FF$17,1+$FE$17,1)*IF(I13=$FF$14,1+$FE$14,1)</f>
        <v>10219.674503999999</v>
      </c>
      <c r="AT13" s="1093">
        <f>IF(AND(INDEX('卡片raw data'!AK:AK,MATCH($D13,'卡片raw data'!$F:$F,))&lt;INDEX('卡片raw data'!AM:AM,MATCH($D13,'卡片raw data'!$F:$F,)),INDEX('卡片raw data'!AL:AL,MATCH($D13,'卡片raw data'!$F:$F,))&lt;INDEX('卡片raw data'!AM:AM,MATCH($D13,'卡片raw data'!$F:$F,))),1,0)</f>
        <v>0</v>
      </c>
      <c r="AU13" s="1098">
        <f>MIN(AT13*0.15+AS13*0.00003+INDEX(绊状态确认!M:M,MATCH($G13,绊状态确认!$B:$B,)),1)</f>
        <v>0.33659023511999997</v>
      </c>
      <c r="AV13" s="1109">
        <f>(INDEX(绊状态确认!$N:$N,MATCH($G13,绊状态确认!$B:$B,))+1.5)*$EW$21</f>
        <v>2.6599999999999997</v>
      </c>
      <c r="AW13" s="1101">
        <f t="shared" si="23"/>
        <v>14311.626618003123</v>
      </c>
      <c r="AX13" s="1097">
        <f t="shared" si="24"/>
        <v>707.68529805252854</v>
      </c>
      <c r="AY13" s="1110">
        <f t="shared" si="25"/>
        <v>15019.311916055653</v>
      </c>
      <c r="AZ13" s="429">
        <f t="shared" si="26"/>
        <v>13318.695259999999</v>
      </c>
      <c r="BA13" s="431">
        <f t="shared" si="27"/>
        <v>15982.434311999998</v>
      </c>
      <c r="BB13" s="1097">
        <f>(AM13*(1+$FB$9)+$FB$35)*(1+(INDEX(绊状态确认!$T:$T,MATCH($G13,绊状态确认!$B:$B,))+0.2)*AO13)*IF(J13=$FF$17,1+$FE$17,1)*IF(I13=$FF$14,1+$FE$14,1)*(1+$FE$15)</f>
        <v>8331.702808</v>
      </c>
      <c r="BC13" s="1097">
        <f>(AN13*(1+$FB$10)+$FB$36)*(1+(INDEX(绊状态确认!$T:$T,MATCH($G13,绊状态确认!$B:$B,))+0.2)*AO13)*IF(J13=$FF$17,1+$FE$17,1)*IF(I13=$FF$14,1+$FE$14,1)*(1+$FE$15)</f>
        <v>10219.674503999999</v>
      </c>
      <c r="BD13" s="1104">
        <f>MIN(AT13*0.15+BC13*0.00003+INDEX(绊状态确认!M:M,MATCH($G13,绊状态确认!$B:$B,)),1)</f>
        <v>0.33659023511999997</v>
      </c>
      <c r="BE13" s="432">
        <f>(INDEX(绊状态确认!$N:$N,MATCH($G13,绊状态确认!$B:$B,))+1.5)</f>
        <v>1.9</v>
      </c>
      <c r="BF13" s="1139">
        <f t="array" ref="BF13">SUMPRODUCT(IF(AZ13*AP13*$FI$16:$FI$23*$FA$22&gt;=$FI$24,$FI$24,AZ13*AP13*$FI$16:$FI$23*$FA$22),$FJ$16:$FJ$23)</f>
        <v>26490.884872139999</v>
      </c>
      <c r="BG13" s="1125">
        <f t="array" ref="BG13">SUMPRODUCT(IF(BE13*AZ13*AP13*$FI$16:$FI$23*$FA$22&gt;=$FI$24,$FI$24,BE13*AZ13*AP13*$FI$16:$FI$23*$FA$22),$FJ$16:$FJ$23)</f>
        <v>50082.21757154799</v>
      </c>
      <c r="BH13" s="1110">
        <f t="shared" si="28"/>
        <v>11477.165697409293</v>
      </c>
      <c r="BI13" s="1111">
        <f>IF(O13="vo",$EW$26/$EW$24*0.05,0)+IF(O13="sk",-$EW$26/$EW$24*(0.05-INDEX(绊状态确认!W:W,MATCH($G13,绊状态确认!$B:$B,)))+0.05*$EW$28,0)+IF(O13="sp",0.05*$EW$32*$EW$30*(1-$EW$33)-(0.05-INDEX(绊状态确认!V:V,MATCH($G13,绊状态确认!$B:$B,)))*$EW$28,0)+IF(O13="gd",-(0.05-INDEX(绊状态确认!X:X,MATCH($G13,绊状态确认!$B:$B,)))*$EW$32*$EW$30*(1-$EW$33),0)</f>
        <v>-6253.6726349699375</v>
      </c>
      <c r="BJ13" s="1097">
        <f>IF(O13="vo",0.05*(1-$FI$26)*$FA$24,0)+IF(O13="sk",-(0.05-INDEX(绊状态确认!W:W,MATCH($G13,绊状态确认!$B:$B,)))*(1-$FI$26)*$FA$24+0.05*$FA$26,0)+IF(O13="sp",0.05*$FA$32*$FA$27*(1-$FA$33)/$FA$30+0.05*$FA$29/$FA$69*$FA$27*(1-$FA$33)-(0.05-INDEX(绊状态确认!V:V,MATCH($G13,绊状态确认!$B:$B,)))*$FA$26,0)+IF(O13="gd",-(0.05-INDEX(绊状态确认!X:X,MATCH($G13,绊状态确认!$B:$B,)))*$FA$32*$FA$27*(1-$FA$33)/$FA$30-(0.05-INDEX(绊状态确认!X:X,MATCH($G13,绊状态确认!$B:$B,)))*$FA$29/$FA$69*$FA$27*(1-$FA$33),0)</f>
        <v>20.459096812499922</v>
      </c>
      <c r="BK13" s="1110">
        <f>IF(O13="vo",$EW$26/$EW$24*0.05+$EW$26*(-HP($EW$62,$EW$65,$EW$64)+HP($EW$62,$EW$65,(1.05-INDEX(绊状态确认!U:U,MATCH($G13,绊状态确认!$B:$B,)))*$EW$64)),0)+IF(O13="sk",-$EW$26/$EW$24*(0.05-INDEX(绊状态确认!W:W,MATCH($G13,绊状态确认!$B:$B,)))+0.05*$EW$29,0)+IF(O13="sp",0.05*$EW$32*$EW$30*(1-$EW$33)-(0.05-INDEX(绊状态确认!V:V,MATCH($G13,绊状态确认!$B:$B,)))*$EW$29,0)+IF(O13="gd",-(0.05-INDEX(绊状态确认!X:X,MATCH($G13,绊状态确认!$B:$B,)))*$EW$32*$EW$30*(1-$EW$33)+$EW$26*(-HP($EW$62,$EW$65,$EW$64)+HP($EW$62,$EW$65,0.95*$EW$64)),0)</f>
        <v>-4253.6726349699375</v>
      </c>
      <c r="BL13" s="1111">
        <f t="shared" si="29"/>
        <v>-2166.6666666666665</v>
      </c>
      <c r="BM13" s="1110">
        <f t="shared" si="30"/>
        <v>-1661.1111111111109</v>
      </c>
      <c r="BN13" s="1113">
        <f t="shared" si="31"/>
        <v>2</v>
      </c>
      <c r="BO13" s="1097">
        <f t="shared" si="32"/>
        <v>3005.1476580839999</v>
      </c>
      <c r="BP13" s="1100">
        <f t="shared" si="33"/>
        <v>147.56068806020068</v>
      </c>
      <c r="BQ13" s="1113" t="s">
        <v>618</v>
      </c>
      <c r="BR13" s="1124" t="s">
        <v>617</v>
      </c>
      <c r="BS13" s="1098">
        <f>IF($P13="","N/A",IF($P13=-1,INDEX('卡片raw data'!AX:AX,MATCH($D13,'卡片raw data'!$F:$F,)),0)+IF($L13="party卡",IF($P13=5,INDEX('卡片raw data'!BD:BD,MATCH($D13,'卡片raw data'!$F:$F,)),IF($P13&gt;=3,INDEX('卡片raw data'!BC:BC,MATCH($D13,'卡片raw data'!$F:$F,)),INDEX('卡片raw data'!BB:BB,MATCH($D13,'卡片raw data'!$F:$F,)))),IF(OR(AND($F13="UR",$P13=0),AND($F13="SR",$P13&gt;=0,$P13&lt;=2),AND($F13="R",$P13&gt;=0,$P13&lt;4)),INDEX('卡片raw data'!AZ:AZ,MATCH($D13,'卡片raw data'!$F:$F,)),0)+IF(OR(AND($F13="UR",$P13&gt;=1,$P13&lt;=4),AND($F13="SR",$P13&lt;=4,$P13&gt;=3),AND($F13="R",$P13=4)),INDEX('卡片raw data'!BA:BA,MATCH($D13,'卡片raw data'!$F:$F,)),0)+IF($P13=5,INDEX('卡片raw data'!BB:BB,MATCH($D13,'卡片raw data'!$F:$F,)),0)))</f>
        <v>2.7E-2</v>
      </c>
      <c r="BT13" s="1101">
        <f t="shared" si="34"/>
        <v>0</v>
      </c>
      <c r="BU13" s="1097">
        <f t="shared" si="35"/>
        <v>0</v>
      </c>
      <c r="BV13" s="1097">
        <f t="shared" si="36"/>
        <v>0</v>
      </c>
      <c r="BW13" s="1112">
        <f t="shared" si="37"/>
        <v>1.2641785714285714</v>
      </c>
      <c r="BX13" s="1100">
        <f t="shared" si="38"/>
        <v>98.679571224892797</v>
      </c>
      <c r="BY13" s="1110">
        <f t="shared" si="39"/>
        <v>98.679571224892797</v>
      </c>
      <c r="BZ13" s="1107" t="s">
        <v>569</v>
      </c>
      <c r="CA13" s="1124"/>
      <c r="CB13" s="1098">
        <f>IF($P13="","N/A",IF($P13=-1,INDEX('卡片raw data'!BE:BE,MATCH($D13,'卡片raw data'!$F:$F,)),0)+IF($L13="party卡",IF($P13=5,INDEX('卡片raw data'!BK:BK,MATCH($D13,'卡片raw data'!$F:$F,)),IF($P13&gt;=3,INDEX('卡片raw data'!BJ:BJ,MATCH($D13,'卡片raw data'!$F:$F,)),INDEX('卡片raw data'!BI:BI,MATCH($D13,'卡片raw data'!$F:$F,)))),IF(OR(AND($F13="UR",$P13=0),AND($F13="SR",$P13&gt;=0,$P13&lt;=2),AND($F13="R",$P13&gt;=0,$P13&lt;4)),INDEX('卡片raw data'!BG:BG,MATCH($D13,'卡片raw data'!$F:$F,)),0)+IF(OR(AND($F13="UR",$P13&gt;=1,$P13&lt;=4),AND($F13="SR",$P13&lt;=4,$P13&gt;=3),AND($F13="R",$P13=4)),INDEX('卡片raw data'!BH:BH,MATCH($D13,'卡片raw data'!$F:$F,)),0)+IF($P13=5,INDEX('卡片raw data'!BI:BI,MATCH($D13,'卡片raw data'!$F:$F,)),0)))</f>
        <v>0</v>
      </c>
      <c r="CC13" s="1101">
        <f t="shared" si="40"/>
        <v>0</v>
      </c>
      <c r="CD13" s="1097">
        <f>IF(BZ13="ap",CB13*(1-$FI$26)*$FB$5/$FB$11*(+IF(CA13="全员",$FA$24,0)+IF(CA13="同作战",$FA$24,0)+IF(CA13="仲间",$FA$24*2/3,0)+IF(CA13="同属性",$FA$24*$FA$37/3,0)+IF(CA13="同年级",$FA$24*$FA$40/3,0)+IF(CA13="同学校",$FA$24*$FA$43/3,0)+IF(CA13="同小队",$FA$24*$FA$46/3,0)+IF(CA13="同type",$FA$24*INDEX($FB$49:$FB$52,MATCH(X13,$FA$49:$FA$52,))/3,0)+IF(CA13="自身",#REF!/3,0)),0)+IF(BZ13="te",CB13*(1-$FI$27)*($FA$20-1)*$FB$7/$FB$13*(+IF(CA13="全员",$FA$19*$FA$24/(1+($FA$20-1)*$FA$19),0)+IF(CA13="同作战",$FA$19*$FA$24/(1+($FA$20-1)*$FA$19),0)+IF(CA13="仲间",$FA$19*$FA$24*2/3/(1+($FA$20-1)*$FA$19),0)+IF(CA13="同属性",$FA$19*$FA$24*$FA$37/3/(1+($FA$20-1)*$FA$19),0)+IF(CA13="同年级",$FA$19*$FA$24*$FA$40/3/(1+($FA$20-1)*$FA$19),0)+IF(CA13="同学校",$FA$19*$FA$24*$FA$43/3/(1+($FA$20-1)*$FA$19),0)+IF(CA13="同小队",$FA$19*$FA$24*$FA$46/3/(1+($FA$20-1)*$FA$19),0)+IF(CA13="同type",$FA$19*$FA$24*INDEX($FB$49:$FB$52,MATCH(X13,$FA$49:$FA$52,))/3/(1+($FA$20-1)*$FA$19),0)+IF(CA13="自身",$FA$19*#REF!/3/(1+(BH13-1)*$BD13),0)),0)</f>
        <v>0</v>
      </c>
      <c r="CE13" s="1097">
        <f t="shared" si="41"/>
        <v>0</v>
      </c>
      <c r="CF13" s="1112">
        <f t="shared" si="42"/>
        <v>0</v>
      </c>
      <c r="CG13" s="1100">
        <f t="shared" si="43"/>
        <v>0</v>
      </c>
      <c r="CH13" s="1110">
        <f t="shared" si="44"/>
        <v>0</v>
      </c>
      <c r="CI13" s="1113"/>
      <c r="CJ13" s="1114"/>
      <c r="CK13" s="1115" t="s">
        <v>569</v>
      </c>
      <c r="CL13" s="1115"/>
      <c r="CM13" s="1119"/>
      <c r="CN13" s="1115"/>
      <c r="CO13" s="1092"/>
      <c r="CP13" s="1117">
        <f t="shared" si="45"/>
        <v>0</v>
      </c>
      <c r="CQ13" s="1117">
        <f t="shared" si="46"/>
        <v>0</v>
      </c>
      <c r="CR13" s="1117">
        <f t="shared" si="47"/>
        <v>0</v>
      </c>
      <c r="CS13" s="1118">
        <f t="shared" si="48"/>
        <v>0</v>
      </c>
      <c r="CT13" s="1109">
        <f t="shared" si="49"/>
        <v>0</v>
      </c>
      <c r="CU13" s="1101">
        <f t="shared" si="50"/>
        <v>0</v>
      </c>
      <c r="CV13" s="1108">
        <f t="shared" si="51"/>
        <v>0</v>
      </c>
      <c r="CW13" s="1097">
        <f t="shared" si="52"/>
        <v>0</v>
      </c>
      <c r="CX13" s="1097">
        <f t="shared" si="53"/>
        <v>0</v>
      </c>
      <c r="CY13" s="1110">
        <f t="shared" si="54"/>
        <v>0</v>
      </c>
      <c r="CZ13" s="437"/>
      <c r="DA13" s="438"/>
      <c r="DB13" s="439" t="s">
        <v>569</v>
      </c>
      <c r="DC13" s="439"/>
      <c r="DD13" s="443"/>
      <c r="DE13" s="411"/>
      <c r="DF13" s="411"/>
      <c r="DG13" s="1116">
        <f t="shared" si="55"/>
        <v>0</v>
      </c>
      <c r="DH13" s="1116">
        <f t="shared" si="56"/>
        <v>0</v>
      </c>
      <c r="DI13" s="1116">
        <f t="shared" si="57"/>
        <v>0</v>
      </c>
      <c r="DJ13" s="442">
        <f t="shared" si="58"/>
        <v>0</v>
      </c>
      <c r="DK13" s="1109">
        <f t="shared" si="59"/>
        <v>0</v>
      </c>
      <c r="DL13" s="1101">
        <f t="shared" si="60"/>
        <v>0</v>
      </c>
      <c r="DM13" s="1097">
        <f t="shared" si="61"/>
        <v>0</v>
      </c>
      <c r="DN13" s="1097">
        <f t="shared" si="62"/>
        <v>0</v>
      </c>
      <c r="DO13" s="1097">
        <f t="shared" si="63"/>
        <v>0</v>
      </c>
      <c r="DP13" s="1110">
        <f t="shared" si="64"/>
        <v>0</v>
      </c>
      <c r="DQ13" s="1113" t="s">
        <v>551</v>
      </c>
      <c r="DR13" s="1120">
        <f t="shared" si="65"/>
        <v>0.3</v>
      </c>
      <c r="DS13" s="1124">
        <v>10</v>
      </c>
      <c r="DT13" s="1093" t="s">
        <v>161</v>
      </c>
      <c r="DU13" s="1093" t="s">
        <v>544</v>
      </c>
      <c r="DV13" s="1098">
        <f>IF($P13="","N/A",IF(P13=-1,INDEX('卡片raw data'!AN:AN,MATCH(D13,'卡片raw data'!$F:$F,)),0)+IF(AND(L13&lt;&gt;"party卡",P13&lt;=2,P13&gt;=0),INDEX('卡片raw data'!AP:AP,MATCH(D13,'卡片raw data'!$F:$F,)),0)+IF(OR(AND(L13="party卡",P13&lt;=1),AND(P13&lt;=4,L13&lt;&gt;"party卡",P13&gt;=3)),INDEX('卡片raw data'!AQ:AQ,MATCH(D13,'卡片raw data'!$F:$F,)),0)+IF(OR(P13=5,AND(L13="party卡",P13&gt;=2)),INDEX('卡片raw data'!AR:AR,MATCH(D13,'卡片raw data'!$F:$F,)),0))</f>
        <v>4.2000000000000003E-2</v>
      </c>
      <c r="DW13" s="1098">
        <f t="shared" si="66"/>
        <v>0.3</v>
      </c>
      <c r="DX13" s="1098">
        <f t="shared" si="67"/>
        <v>0.3</v>
      </c>
      <c r="DY13" s="1098">
        <f t="shared" si="68"/>
        <v>4.1999999999999996E-2</v>
      </c>
      <c r="DZ13" s="1098">
        <f t="shared" si="69"/>
        <v>3.6329999999999994E-2</v>
      </c>
      <c r="EA13" s="1098">
        <f t="shared" si="70"/>
        <v>0</v>
      </c>
      <c r="EB13" s="1121">
        <f t="shared" si="71"/>
        <v>0</v>
      </c>
      <c r="EC13" s="1101">
        <f t="shared" si="72"/>
        <v>2516.8968558483753</v>
      </c>
      <c r="ED13" s="1097">
        <f t="shared" si="73"/>
        <v>0</v>
      </c>
      <c r="EE13" s="1110">
        <f t="shared" si="74"/>
        <v>2516.8968558483753</v>
      </c>
      <c r="EF13" s="1092" t="s">
        <v>711</v>
      </c>
      <c r="EG13" s="1120">
        <f t="shared" si="75"/>
        <v>0.3</v>
      </c>
      <c r="EH13" s="1124"/>
      <c r="EI13" s="1093"/>
      <c r="EJ13" s="1093"/>
      <c r="EK13" s="1097">
        <f>IF($P13="","N/A",IF(P13=-1,INDEX('卡片raw data'!AS:AS,MATCH(D13,'卡片raw data'!$F:$F,)),0)+IF(AND(L13&lt;&gt;"party卡",P13&lt;=2,P13&gt;=0),INDEX('卡片raw data'!AU:AU,MATCH(D13,'卡片raw data'!$F:$F,)),0)+IF(OR(AND(L13="party卡",P13&lt;=1),AND(P13&lt;=4,L13&lt;&gt;"party卡",P13&gt;=3)),INDEX('卡片raw data'!AV:AV,MATCH(D13,'卡片raw data'!$F:$F,)),0)+IF(OR(P13=5,AND(L13="party卡",P13&gt;=2)),INDEX('卡片raw data'!AW:AW,MATCH(D13,'卡片raw data'!$F:$F,)),0))</f>
        <v>0</v>
      </c>
      <c r="EL13" s="1098">
        <f t="shared" si="76"/>
        <v>0.3</v>
      </c>
      <c r="EM13" s="1098">
        <f t="shared" si="77"/>
        <v>0.3</v>
      </c>
      <c r="EN13" s="1125">
        <f t="shared" si="78"/>
        <v>0</v>
      </c>
      <c r="EO13" s="1125">
        <f t="shared" si="79"/>
        <v>0</v>
      </c>
      <c r="EP13" s="1098">
        <f t="shared" si="80"/>
        <v>0</v>
      </c>
      <c r="EQ13" s="1121">
        <f t="shared" si="81"/>
        <v>0</v>
      </c>
      <c r="ER13" s="1101">
        <f t="shared" si="82"/>
        <v>0</v>
      </c>
      <c r="ES13" s="1097">
        <f t="shared" si="83"/>
        <v>0</v>
      </c>
      <c r="ET13" s="1122">
        <f t="shared" si="84"/>
        <v>0</v>
      </c>
      <c r="EV13" s="1348"/>
      <c r="EW13" s="1217" t="s">
        <v>145</v>
      </c>
      <c r="EX13" s="1218">
        <f>EX7*(1+EX10)+EX36</f>
        <v>20945</v>
      </c>
      <c r="EY13" s="1212"/>
      <c r="EZ13" s="1348"/>
      <c r="FA13" s="1217" t="s">
        <v>145</v>
      </c>
      <c r="FB13" s="1218">
        <f>FB7*(1+FB10)+FB36</f>
        <v>21520</v>
      </c>
      <c r="FC13" s="447"/>
      <c r="FD13" s="459" t="s">
        <v>1342</v>
      </c>
      <c r="FE13" s="470">
        <v>0</v>
      </c>
      <c r="FF13" s="458" t="s">
        <v>53</v>
      </c>
      <c r="FG13" s="447"/>
      <c r="FH13" s="465">
        <f t="shared" si="85"/>
        <v>57856.5</v>
      </c>
      <c r="FI13" s="560">
        <v>1.8</v>
      </c>
      <c r="FJ13" s="558">
        <v>0.1</v>
      </c>
      <c r="FL13" s="469" t="s">
        <v>703</v>
      </c>
      <c r="FM13" s="1381">
        <v>60</v>
      </c>
      <c r="FN13" s="1382"/>
    </row>
    <row r="14" spans="1:170" ht="16.5" customHeight="1">
      <c r="B14" s="1123" t="str">
        <f>INDEX('卡片raw data'!B:B,MATCH($D14,'卡片raw data'!$F:$F,))</f>
        <v>打工鸟</v>
      </c>
      <c r="C14" s="449" t="s">
        <v>124</v>
      </c>
      <c r="D14" s="408">
        <v>11</v>
      </c>
      <c r="E14" s="1090">
        <v>100032001</v>
      </c>
      <c r="F14" s="1090" t="str">
        <f>INDEX('卡片raw data'!C:C,MATCH($D14,'卡片raw data'!$F:$F,))</f>
        <v>SR</v>
      </c>
      <c r="G14" s="1094" t="s">
        <v>333</v>
      </c>
      <c r="H14" s="411">
        <f>IFERROR(INDEX(绊状态确认!C:C,MATCH($G14,绊状态确认!$B:$B,)),"")</f>
        <v>3</v>
      </c>
      <c r="I14" s="1124" t="str">
        <f>IFERROR(INDEX(绊状态确认!D:D,MATCH($G14,绊状态确认!$B:$B,)),"")</f>
        <v>缪</v>
      </c>
      <c r="J14" s="1124" t="str">
        <f>IFERROR(INDEX(绊状态确认!E:E,MATCH($G14,绊状态确认!$B:$B,)),"")</f>
        <v>2年级</v>
      </c>
      <c r="K14" s="451" t="str">
        <f>IFERROR(INDEX(绊状态确认!F:F,MATCH($G14,绊状态确认!$B:$B,)),"")</f>
        <v>Printemps</v>
      </c>
      <c r="L14" s="1094" t="str">
        <f>INDEX('卡片raw data'!E:E,MATCH($D14,'卡片raw data'!$F:$F,))</f>
        <v>卡池卡</v>
      </c>
      <c r="M14" s="415">
        <v>43735</v>
      </c>
      <c r="N14" s="416">
        <v>0</v>
      </c>
      <c r="O14" s="1091" t="str">
        <f>INDEX('卡片raw data'!D:D,MATCH($D14,'卡片raw data'!$F:$F,))</f>
        <v>gd</v>
      </c>
      <c r="P14" s="417">
        <v>5</v>
      </c>
      <c r="Q14" s="1095">
        <f t="shared" si="0"/>
        <v>23013.333624229352</v>
      </c>
      <c r="R14" s="1096">
        <f t="shared" si="1"/>
        <v>0.26700000000000002</v>
      </c>
      <c r="S14" s="1097">
        <f t="shared" si="2"/>
        <v>13249.252348181693</v>
      </c>
      <c r="T14" s="1098">
        <f t="shared" si="3"/>
        <v>0.66200000000000003</v>
      </c>
      <c r="U14" s="1099">
        <f t="shared" si="4"/>
        <v>341.44017093423656</v>
      </c>
      <c r="V14" s="1100">
        <f t="shared" si="5"/>
        <v>60066.846124139447</v>
      </c>
      <c r="W14" s="1101">
        <f t="shared" si="6"/>
        <v>4507.7214871259994</v>
      </c>
      <c r="X14" s="1096">
        <f t="shared" si="7"/>
        <v>5.1999999999999998E-2</v>
      </c>
      <c r="Y14" s="1097">
        <f t="shared" si="8"/>
        <v>1076.0051791737187</v>
      </c>
      <c r="Z14" s="1102">
        <f t="shared" si="9"/>
        <v>13.518968356268571</v>
      </c>
      <c r="AA14" s="1103">
        <f t="shared" si="10"/>
        <v>5583.7266662997181</v>
      </c>
      <c r="AB14" s="1101">
        <f t="shared" si="11"/>
        <v>4507.7214871259994</v>
      </c>
      <c r="AC14" s="1104">
        <f t="shared" si="12"/>
        <v>5.1999999999999998E-2</v>
      </c>
      <c r="AD14" s="1105">
        <f t="shared" si="13"/>
        <v>-3.8207812500000026E-3</v>
      </c>
      <c r="AE14" s="1128">
        <f t="shared" si="14"/>
        <v>-18.525362318840578</v>
      </c>
      <c r="AF14" s="1130">
        <f t="shared" si="15"/>
        <v>4801.8620260507523</v>
      </c>
      <c r="AG14" s="420">
        <f t="shared" si="16"/>
        <v>103814.77120081602</v>
      </c>
      <c r="AH14" s="420">
        <f t="shared" si="17"/>
        <v>21.619690577864755</v>
      </c>
      <c r="AI14" s="1097">
        <f t="shared" si="18"/>
        <v>85862.111254477903</v>
      </c>
      <c r="AJ14" s="420">
        <f t="shared" si="19"/>
        <v>60066.846124139447</v>
      </c>
      <c r="AK14" s="518">
        <f t="shared" si="20"/>
        <v>25795.265130338455</v>
      </c>
      <c r="AL14" s="1106">
        <f>IF($P14="","N/A",(IF($P14=-1,INDEX('卡片raw data'!S:S,MATCH($D14,'卡片raw data'!$F:$F,)),0)+IF($P14=0,INDEX('卡片raw data'!V:V,MATCH($D14,'卡片raw data'!$F:$F,)),0)+IF($P14=1,INDEX('卡片raw data'!Y:Y,MATCH($D14,'卡片raw data'!$F:$F,)),0)+IF($P14=2,INDEX('卡片raw data'!AB:AB,MATCH($D14,'卡片raw data'!$F:$F,)),0)+IF($P14=3,INDEX('卡片raw data'!AE:AE,MATCH($D14,'卡片raw data'!$F:$F,)),0)+IF($P14=4,INDEX('卡片raw data'!AH:AH,MATCH($D14,'卡片raw data'!$F:$F,)),0)+IF($P14=5,INDEX('卡片raw data'!AK:AK,MATCH($D14,'卡片raw data'!$F:$F,)),0)+INDEX('卡片raw data'!S:S,MATCH($D14,'卡片raw data'!$F:$F,))*(IF($F14="UR",0.04,0.033))*(IF($F14="UR",INDEX(绊状态确认!$S:$S,MATCH($G14,绊状态确认!$B:$B,))/2-40)+IF($F14="SR",INDEX(绊状态确认!$R:$R,MATCH($G14,绊状态确认!$B:$B,))/4-15))+IF($F14="R",INDEX(绊状态确认!$Q:$Q,MATCH($G14,绊状态确认!$B:$B,))/6-40/6)))*(INDEX(绊状态确认!$H:$H,MATCH($G14,绊状态确认!$B:$B,))+INDEX(绊状态确认!J:J,MATCH($G14,绊状态确认!$B:$B,)))</f>
        <v>6238.3178015999993</v>
      </c>
      <c r="AM14" s="1106">
        <f>IF($P14="","N/A",(IF($P14=-1,INDEX('卡片raw data'!T:T,MATCH($D14,'卡片raw data'!$F:$F,)),0)+IF($P14=0,INDEX('卡片raw data'!W:W,MATCH($D14,'卡片raw data'!$F:$F,)),0)+IF($P14=1,INDEX('卡片raw data'!Z:Z,MATCH($D14,'卡片raw data'!$F:$F,)),0)+IF($P14=2,INDEX('卡片raw data'!AC:AC,MATCH($D14,'卡片raw data'!$F:$F,)),0)+IF($P14=3,INDEX('卡片raw data'!AF:AF,MATCH($D14,'卡片raw data'!$F:$F,)),0)+IF($P14=4,INDEX('卡片raw data'!AI:AI,MATCH($D14,'卡片raw data'!$F:$F,)),0)+IF($P14=5,INDEX('卡片raw data'!AL:AL,MATCH($D14,'卡片raw data'!$F:$F,)),0)+INDEX('卡片raw data'!T:T,MATCH($D14,'卡片raw data'!$F:$F,))*(IF($F14="UR",0.04,0.033))*(IF($F14="UR",INDEX(绊状态确认!$S:$S,MATCH($G14,绊状态确认!$B:$B,))/2-40)+IF($F14="SR",INDEX(绊状态确认!$R:$R,MATCH($G14,绊状态确认!$B:$B,))/4-15))+IF($F14="R",INDEX(绊状态确认!$Q:$Q,MATCH($G14,绊状态确认!$B:$B,))/6-40/6)))*(INDEX(绊状态确认!$H:$H,MATCH($G14,绊状态确认!$B:$B,))+INDEX(绊状态确认!K:K,MATCH($G14,绊状态确认!$B:$B,)))</f>
        <v>6238.3178015999993</v>
      </c>
      <c r="AN14" s="1106">
        <f>IF($P14="","N/A",(IF($P14=-1,INDEX('卡片raw data'!U:U,MATCH($D14,'卡片raw data'!$F:$F,)),0)+IF($P14=0,INDEX('卡片raw data'!X:X,MATCH($D14,'卡片raw data'!$F:$F,)),0)+IF($P14=1,INDEX('卡片raw data'!AA:AA,MATCH($D14,'卡片raw data'!$F:$F,)),0)+IF($P14=2,INDEX('卡片raw data'!AD:AD,MATCH($D14,'卡片raw data'!$F:$F,)),0)+IF($P14=3,INDEX('卡片raw data'!AG:AG,MATCH($D14,'卡片raw data'!$F:$F,)),0)+IF($P14=4,INDEX('卡片raw data'!AJ:AJ,MATCH($D14,'卡片raw data'!$F:$F,)),0)+IF($P14=5,INDEX('卡片raw data'!AM:AM,MATCH($D14,'卡片raw data'!$F:$F,)),0)+INDEX('卡片raw data'!U:U,MATCH($D14,'卡片raw data'!$F:$F,))*(IF($F14="UR",0.04,0.033))*(IF($F14="UR",INDEX(绊状态确认!$S:$S,MATCH($G14,绊状态确认!$B:$B,))/2-40)+IF($F14="SR",INDEX(绊状态确认!$R:$R,MATCH($G14,绊状态确认!$B:$B,))/4-15))+IF($F14="R",INDEX(绊状态确认!$Q:$Q,MATCH($G14,绊状态确认!$B:$B,))/6-40/6)))*(INDEX(绊状态确认!$H:$H,MATCH($G14,绊状态确认!$B:$B,))+INDEX(绊状态确认!L:L,MATCH($G14,绊状态确认!$B:$B,)))</f>
        <v>6427.1511167999997</v>
      </c>
      <c r="AO14" s="1107">
        <f t="shared" si="21"/>
        <v>1</v>
      </c>
      <c r="AP14" s="1131">
        <f>1+(INDEX(绊状态确认!$T:$T,MATCH($G14,绊状态确认!$B:$B,))+0.2)*$AO14</f>
        <v>1.3</v>
      </c>
      <c r="AQ14" s="1108">
        <f t="shared" si="22"/>
        <v>19625.584229199998</v>
      </c>
      <c r="AR14" s="1097">
        <f>(AM14*(1+$EX$9)+$EX$35)*(1+(INDEX(绊状态确认!$T:$T,MATCH($G14,绊状态确认!$B:$B,))+0.2)*AO14)*IF(J14=$FF$17,1+$FE$17,1)*IF(I14=$FF$14,1+$FE$14,1)</f>
        <v>11219.303799183999</v>
      </c>
      <c r="AS14" s="1097">
        <f>(AN14*(1+$EX$10)+$EX$36)*(1+(INDEX(绊状态确认!$T:$T,MATCH($G14,绊状态确认!$B:$B,))+0.2)*AO14)*IF(J14=$FF$17,1+$FE$17,1)*IF(I14=$FF$14,1+$FE$14,1)</f>
        <v>13664.590919615997</v>
      </c>
      <c r="AT14" s="1093">
        <f>IF(AND(INDEX('卡片raw data'!AK:AK,MATCH($D14,'卡片raw data'!$F:$F,))&lt;INDEX('卡片raw data'!AM:AM,MATCH($D14,'卡片raw data'!$F:$F,)),INDEX('卡片raw data'!AL:AL,MATCH($D14,'卡片raw data'!$F:$F,))&lt;INDEX('卡片raw data'!AM:AM,MATCH($D14,'卡片raw data'!$F:$F,))),1,0)</f>
        <v>1</v>
      </c>
      <c r="AU14" s="1098">
        <f>MIN(AT14*0.15+AS14*0.00003+INDEX(绊状态确认!M:M,MATCH($G14,绊状态确认!$B:$B,)),1)</f>
        <v>0.58993772758847995</v>
      </c>
      <c r="AV14" s="1109">
        <f>(INDEX(绊状态确认!$N:$N,MATCH($G14,绊状态确认!$B:$B,))+1.5)*$EW$21</f>
        <v>2.6599999999999997</v>
      </c>
      <c r="AW14" s="1101">
        <f t="shared" si="23"/>
        <v>20173.945470436684</v>
      </c>
      <c r="AX14" s="1097">
        <f t="shared" si="24"/>
        <v>958.9966893637876</v>
      </c>
      <c r="AY14" s="1110">
        <f t="shared" si="25"/>
        <v>21132.94215980047</v>
      </c>
      <c r="AZ14" s="429">
        <f t="shared" si="26"/>
        <v>14764.719713119999</v>
      </c>
      <c r="BA14" s="431">
        <f t="shared" si="27"/>
        <v>17717.663655744</v>
      </c>
      <c r="BB14" s="1097">
        <f>(AM14*(1+$FB$9)+$FB$35)*(1+(INDEX(绊状态确认!$T:$T,MATCH($G14,绊状态确认!$B:$B,))+0.2)*AO14)*IF(J14=$FF$17,1+$FE$17,1)*IF(I14=$FF$14,1+$FE$14,1)*(1+$FE$15)</f>
        <v>11219.303799183999</v>
      </c>
      <c r="BC14" s="1097">
        <f>(AN14*(1+$FB$10)+$FB$36)*(1+(INDEX(绊状态确认!$T:$T,MATCH($G14,绊状态确认!$B:$B,))+0.2)*AO14)*IF(J14=$FF$17,1+$FE$17,1)*IF(I14=$FF$14,1+$FE$14,1)*(1+$FE$15)</f>
        <v>13664.590919615997</v>
      </c>
      <c r="BD14" s="1104">
        <f>MIN(AT14*0.15+BC14*0.00003+INDEX(绊状态确认!M:M,MATCH($G14,绊状态确认!$B:$B,)),1)</f>
        <v>0.58993772758847995</v>
      </c>
      <c r="BE14" s="432">
        <f>(INDEX(绊状态确认!$N:$N,MATCH($G14,绊状态确认!$B:$B,))+1.5)</f>
        <v>1.9</v>
      </c>
      <c r="BF14" s="1139">
        <f t="array" ref="BF14">SUMPRODUCT(IF(AZ14*AP14*$FI$16:$FI$23*$FA$22&gt;=$FI$24,$FI$24,AZ14*AP14*$FI$16:$FI$23*$FA$22),$FJ$16:$FJ$23)</f>
        <v>29367.027509395681</v>
      </c>
      <c r="BG14" s="1125">
        <f t="array" ref="BG14">SUMPRODUCT(IF(BE14*AZ14*AP14*$FI$16:$FI$23*$FA$22&gt;=$FI$24,$FI$24,BE14*AZ14*AP14*$FI$16:$FI$23*$FA$22),$FJ$16:$FJ$23)</f>
        <v>54104.169114492332</v>
      </c>
      <c r="BH14" s="1110">
        <f t="shared" si="28"/>
        <v>14653.466871646948</v>
      </c>
      <c r="BI14" s="1111">
        <f>IF(O14="vo",$EW$26/$EW$24*0.05,0)+IF(O14="sk",-$EW$26/$EW$24*(0.05-INDEX(绊状态确认!W:W,MATCH($G14,绊状态确认!$B:$B,)))+0.05*$EW$28,0)+IF(O14="sp",0.05*$EW$32*$EW$30*(1-$EW$33)-(0.05-INDEX(绊状态确认!V:V,MATCH($G14,绊状态确认!$B:$B,)))*$EW$28,0)+IF(O14="gd",-(0.05-INDEX(绊状态确认!X:X,MATCH($G14,绊状态确认!$B:$B,)))*$EW$32*$EW$30*(1-$EW$33),0)</f>
        <v>-585.00000000000011</v>
      </c>
      <c r="BJ14" s="1097">
        <f>IF(O14="vo",0.05*(1-$FI$26)*$FA$24,0)+IF(O14="sk",-(0.05-INDEX(绊状态确认!W:W,MATCH($G14,绊状态确认!$B:$B,)))*(1-$FI$26)*$FA$24+0.05*$FA$26,0)+IF(O14="sp",0.05*$FA$32*$FA$27*(1-$FA$33)/$FA$30+0.05*$FA$29/$FA$69*$FA$27*(1-$FA$33)-(0.05-INDEX(绊状态确认!V:V,MATCH($G14,绊状态确认!$B:$B,)))*$FA$26,0)+IF(O14="gd",-(0.05-INDEX(绊状态确认!X:X,MATCH($G14,绊状态确认!$B:$B,)))*$FA$32*$FA$27*(1-$FA$33)/$FA$30-(0.05-INDEX(绊状态确认!X:X,MATCH($G14,绊状态确认!$B:$B,)))*$FA$29/$FA$69*$FA$27*(1-$FA$33),0)</f>
        <v>-795.00000000000011</v>
      </c>
      <c r="BK14" s="1110">
        <f>IF(O14="vo",$EW$26/$EW$24*0.05+$EW$26*(-HP($EW$62,$EW$65,$EW$64)+HP($EW$62,$EW$65,(1.05-INDEX(绊状态确认!U:U,MATCH($G14,绊状态确认!$B:$B,)))*$EW$64)),0)+IF(O14="sk",-$EW$26/$EW$24*(0.05-INDEX(绊状态确认!W:W,MATCH($G14,绊状态确认!$B:$B,)))+0.05*$EW$29,0)+IF(O14="sp",0.05*$EW$32*$EW$30*(1-$EW$33)-(0.05-INDEX(绊状态确认!V:V,MATCH($G14,绊状态确认!$B:$B,)))*$EW$29,0)+IF(O14="gd",-(0.05-INDEX(绊状态确认!X:X,MATCH($G14,绊状态确认!$B:$B,)))*$EW$32*$EW$30*(1-$EW$33)+$EW$26*(-HP($EW$62,$EW$65,$EW$64)+HP($EW$62,$EW$65,0.95*$EW$64)),0)</f>
        <v>1009.5947725176144</v>
      </c>
      <c r="BL14" s="1111">
        <f t="shared" si="29"/>
        <v>-1083.3333333333333</v>
      </c>
      <c r="BM14" s="1110">
        <f t="shared" si="30"/>
        <v>-830.55555555555543</v>
      </c>
      <c r="BN14" s="1113">
        <f t="shared" si="31"/>
        <v>3</v>
      </c>
      <c r="BO14" s="1097">
        <f t="shared" si="32"/>
        <v>4507.7214871259994</v>
      </c>
      <c r="BP14" s="1100">
        <f t="shared" si="33"/>
        <v>221.34103209030098</v>
      </c>
      <c r="BQ14" s="1113" t="s">
        <v>618</v>
      </c>
      <c r="BR14" s="1124" t="s">
        <v>171</v>
      </c>
      <c r="BS14" s="1098">
        <f>IF($P14="","N/A",IF($P14=-1,INDEX('卡片raw data'!AX:AX,MATCH($D14,'卡片raw data'!$F:$F,)),0)+IF($L14="party卡",IF($P14=5,INDEX('卡片raw data'!BD:BD,MATCH($D14,'卡片raw data'!$F:$F,)),IF($P14&gt;=3,INDEX('卡片raw data'!BC:BC,MATCH($D14,'卡片raw data'!$F:$F,)),INDEX('卡片raw data'!BB:BB,MATCH($D14,'卡片raw data'!$F:$F,)))),IF(OR(AND($F14="UR",$P14=0),AND($F14="SR",$P14&gt;=0,$P14&lt;=2),AND($F14="R",$P14&gt;=0,$P14&lt;4)),INDEX('卡片raw data'!AZ:AZ,MATCH($D14,'卡片raw data'!$F:$F,)),0)+IF(OR(AND($F14="UR",$P14&gt;=1,$P14&lt;=4),AND($F14="SR",$P14&lt;=4,$P14&gt;=3),AND($F14="R",$P14=4)),INDEX('卡片raw data'!BA:BA,MATCH($D14,'卡片raw data'!$F:$F,)),0)+IF($P14=5,INDEX('卡片raw data'!BB:BB,MATCH($D14,'卡片raw data'!$F:$F,)),0)))</f>
        <v>3.2000000000000001E-2</v>
      </c>
      <c r="BT14" s="1101">
        <f t="shared" si="34"/>
        <v>0</v>
      </c>
      <c r="BU14" s="1097">
        <f t="shared" si="35"/>
        <v>0</v>
      </c>
      <c r="BV14" s="1097">
        <f t="shared" si="36"/>
        <v>0</v>
      </c>
      <c r="BW14" s="1112">
        <f t="shared" si="37"/>
        <v>1.498285714285714</v>
      </c>
      <c r="BX14" s="1100">
        <f t="shared" si="38"/>
        <v>117.00848980993118</v>
      </c>
      <c r="BY14" s="1110">
        <f t="shared" si="39"/>
        <v>117.00848980993118</v>
      </c>
      <c r="BZ14" s="1107" t="s">
        <v>569</v>
      </c>
      <c r="CA14" s="1124"/>
      <c r="CB14" s="1098">
        <f>IF($P14="","N/A",IF($P14=-1,INDEX('卡片raw data'!BE:BE,MATCH($D14,'卡片raw data'!$F:$F,)),0)+IF($L14="party卡",IF($P14=5,INDEX('卡片raw data'!BK:BK,MATCH($D14,'卡片raw data'!$F:$F,)),IF($P14&gt;=3,INDEX('卡片raw data'!BJ:BJ,MATCH($D14,'卡片raw data'!$F:$F,)),INDEX('卡片raw data'!BI:BI,MATCH($D14,'卡片raw data'!$F:$F,)))),IF(OR(AND($F14="UR",$P14=0),AND($F14="SR",$P14&gt;=0,$P14&lt;=2),AND($F14="R",$P14&gt;=0,$P14&lt;4)),INDEX('卡片raw data'!BG:BG,MATCH($D14,'卡片raw data'!$F:$F,)),0)+IF(OR(AND($F14="UR",$P14&gt;=1,$P14&lt;=4),AND($F14="SR",$P14&lt;=4,$P14&gt;=3),AND($F14="R",$P14=4)),INDEX('卡片raw data'!BH:BH,MATCH($D14,'卡片raw data'!$F:$F,)),0)+IF($P14=5,INDEX('卡片raw data'!BI:BI,MATCH($D14,'卡片raw data'!$F:$F,)),0)))</f>
        <v>0</v>
      </c>
      <c r="CC14" s="1101">
        <f t="shared" si="40"/>
        <v>0</v>
      </c>
      <c r="CD14" s="1097">
        <f>IF(BZ14="ap",CB14*(1-$FI$26)*$FB$5/$FB$11*(+IF(CA14="全员",$FA$24,0)+IF(CA14="同作战",$FA$24,0)+IF(CA14="仲间",$FA$24*2/3,0)+IF(CA14="同属性",$FA$24*$FA$37/3,0)+IF(CA14="同年级",$FA$24*$FA$40/3,0)+IF(CA14="同学校",$FA$24*$FA$43/3,0)+IF(CA14="同小队",$FA$24*$FA$46/3,0)+IF(CA14="同type",$FA$24*INDEX($FB$49:$FB$52,MATCH(X14,$FA$49:$FA$52,))/3,0)+IF(CA14="自身",#REF!/3,0)),0)+IF(BZ14="te",CB14*(1-$FI$27)*($FA$20-1)*$FB$7/$FB$13*(+IF(CA14="全员",$FA$19*$FA$24/(1+($FA$20-1)*$FA$19),0)+IF(CA14="同作战",$FA$19*$FA$24/(1+($FA$20-1)*$FA$19),0)+IF(CA14="仲间",$FA$19*$FA$24*2/3/(1+($FA$20-1)*$FA$19),0)+IF(CA14="同属性",$FA$19*$FA$24*$FA$37/3/(1+($FA$20-1)*$FA$19),0)+IF(CA14="同年级",$FA$19*$FA$24*$FA$40/3/(1+($FA$20-1)*$FA$19),0)+IF(CA14="同学校",$FA$19*$FA$24*$FA$43/3/(1+($FA$20-1)*$FA$19),0)+IF(CA14="同小队",$FA$19*$FA$24*$FA$46/3/(1+($FA$20-1)*$FA$19),0)+IF(CA14="同type",$FA$19*$FA$24*INDEX($FB$49:$FB$52,MATCH(X14,$FA$49:$FA$52,))/3/(1+($FA$20-1)*$FA$19),0)+IF(CA14="自身",$FA$19*#REF!/3/(1+(BH14-1)*$BD14),0)),0)</f>
        <v>0</v>
      </c>
      <c r="CE14" s="1097">
        <f t="shared" si="41"/>
        <v>0</v>
      </c>
      <c r="CF14" s="1112">
        <f t="shared" si="42"/>
        <v>0</v>
      </c>
      <c r="CG14" s="1100">
        <f t="shared" si="43"/>
        <v>0</v>
      </c>
      <c r="CH14" s="1110">
        <f t="shared" si="44"/>
        <v>0</v>
      </c>
      <c r="CI14" s="1113" t="s">
        <v>570</v>
      </c>
      <c r="CJ14" s="1114">
        <v>0.4</v>
      </c>
      <c r="CK14" s="1115" t="s">
        <v>635</v>
      </c>
      <c r="CL14" s="1115" t="s">
        <v>1944</v>
      </c>
      <c r="CM14" s="1119">
        <v>0.15</v>
      </c>
      <c r="CN14" s="1115"/>
      <c r="CO14" s="1092"/>
      <c r="CP14" s="1117">
        <f t="shared" si="45"/>
        <v>0</v>
      </c>
      <c r="CQ14" s="1117">
        <f t="shared" si="46"/>
        <v>0</v>
      </c>
      <c r="CR14" s="1117">
        <f t="shared" si="47"/>
        <v>0</v>
      </c>
      <c r="CS14" s="1118">
        <f t="shared" si="48"/>
        <v>0</v>
      </c>
      <c r="CT14" s="1109">
        <f t="shared" si="49"/>
        <v>0</v>
      </c>
      <c r="CU14" s="1101">
        <f t="shared" si="50"/>
        <v>0</v>
      </c>
      <c r="CV14" s="1108">
        <f t="shared" si="51"/>
        <v>0</v>
      </c>
      <c r="CW14" s="1097">
        <f t="shared" si="52"/>
        <v>0</v>
      </c>
      <c r="CX14" s="1097">
        <f t="shared" si="53"/>
        <v>0</v>
      </c>
      <c r="CY14" s="1110">
        <f t="shared" si="54"/>
        <v>0</v>
      </c>
      <c r="CZ14" s="437"/>
      <c r="DA14" s="438"/>
      <c r="DB14" s="439" t="s">
        <v>569</v>
      </c>
      <c r="DC14" s="439"/>
      <c r="DD14" s="443"/>
      <c r="DE14" s="411"/>
      <c r="DF14" s="411"/>
      <c r="DG14" s="1116">
        <f t="shared" si="55"/>
        <v>0</v>
      </c>
      <c r="DH14" s="1116">
        <f t="shared" si="56"/>
        <v>0</v>
      </c>
      <c r="DI14" s="1116">
        <f t="shared" si="57"/>
        <v>0</v>
      </c>
      <c r="DJ14" s="442">
        <f t="shared" si="58"/>
        <v>0</v>
      </c>
      <c r="DK14" s="1109">
        <f t="shared" si="59"/>
        <v>0</v>
      </c>
      <c r="DL14" s="1101">
        <f t="shared" si="60"/>
        <v>0</v>
      </c>
      <c r="DM14" s="1097">
        <f t="shared" si="61"/>
        <v>0</v>
      </c>
      <c r="DN14" s="1097">
        <f t="shared" si="62"/>
        <v>0</v>
      </c>
      <c r="DO14" s="1097">
        <f t="shared" si="63"/>
        <v>0</v>
      </c>
      <c r="DP14" s="1110">
        <f t="shared" si="64"/>
        <v>0</v>
      </c>
      <c r="DQ14" s="1113" t="s">
        <v>636</v>
      </c>
      <c r="DR14" s="1120">
        <f t="shared" si="65"/>
        <v>0.3</v>
      </c>
      <c r="DS14" s="1124"/>
      <c r="DT14" s="1093" t="s">
        <v>552</v>
      </c>
      <c r="DU14" s="1093"/>
      <c r="DV14" s="1098">
        <f>IF($P14="","N/A",IF(P14=-1,INDEX('卡片raw data'!AN:AN,MATCH(D14,'卡片raw data'!$F:$F,)),0)+IF(AND(L14&lt;&gt;"party卡",P14&lt;=2,P14&gt;=0),INDEX('卡片raw data'!AP:AP,MATCH(D14,'卡片raw data'!$F:$F,)),0)+IF(OR(AND(L14="party卡",P14&lt;=1),AND(P14&lt;=4,L14&lt;&gt;"party卡",P14&gt;=3)),INDEX('卡片raw data'!AQ:AQ,MATCH(D14,'卡片raw data'!$F:$F,)),0)+IF(OR(P14=5,AND(L14="party卡",P14&gt;=2)),INDEX('卡片raw data'!AR:AR,MATCH(D14,'卡片raw data'!$F:$F,)),0))</f>
        <v>0.27</v>
      </c>
      <c r="DW14" s="1098">
        <f t="shared" si="66"/>
        <v>0.3</v>
      </c>
      <c r="DX14" s="1098">
        <f t="shared" si="67"/>
        <v>0.3</v>
      </c>
      <c r="DY14" s="1125">
        <f t="shared" si="68"/>
        <v>302.92120257796802</v>
      </c>
      <c r="DZ14" s="1125">
        <f t="shared" si="69"/>
        <v>262.02684022994231</v>
      </c>
      <c r="EA14" s="1098">
        <f t="shared" si="70"/>
        <v>0</v>
      </c>
      <c r="EB14" s="1121">
        <f t="shared" si="71"/>
        <v>0</v>
      </c>
      <c r="EC14" s="1101">
        <f t="shared" si="72"/>
        <v>0</v>
      </c>
      <c r="ED14" s="1097">
        <f t="shared" si="73"/>
        <v>0</v>
      </c>
      <c r="EE14" s="1110">
        <f t="shared" si="74"/>
        <v>34382.912548218766</v>
      </c>
      <c r="EF14" s="1092" t="s">
        <v>711</v>
      </c>
      <c r="EG14" s="1120">
        <f t="shared" si="75"/>
        <v>0.3</v>
      </c>
      <c r="EH14" s="1124"/>
      <c r="EI14" s="1093"/>
      <c r="EJ14" s="1093"/>
      <c r="EK14" s="1097">
        <f>IF($P14="","N/A",IF(P14=-1,INDEX('卡片raw data'!AS:AS,MATCH(D14,'卡片raw data'!$F:$F,)),0)+IF(AND(L14&lt;&gt;"party卡",P14&lt;=2,P14&gt;=0),INDEX('卡片raw data'!AU:AU,MATCH(D14,'卡片raw data'!$F:$F,)),0)+IF(OR(AND(L14="party卡",P14&lt;=1),AND(P14&lt;=4,L14&lt;&gt;"party卡",P14&gt;=3)),INDEX('卡片raw data'!AV:AV,MATCH(D14,'卡片raw data'!$F:$F,)),0)+IF(OR(P14=5,AND(L14="party卡",P14&gt;=2)),INDEX('卡片raw data'!AW:AW,MATCH(D14,'卡片raw data'!$F:$F,)),0))</f>
        <v>0</v>
      </c>
      <c r="EL14" s="1098">
        <f t="shared" si="76"/>
        <v>0.3</v>
      </c>
      <c r="EM14" s="1098">
        <f t="shared" si="77"/>
        <v>0.3</v>
      </c>
      <c r="EN14" s="1125">
        <f t="shared" si="78"/>
        <v>0</v>
      </c>
      <c r="EO14" s="1125">
        <f t="shared" si="79"/>
        <v>0</v>
      </c>
      <c r="EP14" s="1098">
        <f t="shared" si="80"/>
        <v>0</v>
      </c>
      <c r="EQ14" s="1121">
        <f t="shared" si="81"/>
        <v>0</v>
      </c>
      <c r="ER14" s="1101">
        <f t="shared" si="82"/>
        <v>0</v>
      </c>
      <c r="ES14" s="1097">
        <f t="shared" si="83"/>
        <v>0</v>
      </c>
      <c r="ET14" s="1122">
        <f t="shared" si="84"/>
        <v>0</v>
      </c>
      <c r="EV14" s="1221" t="s">
        <v>1931</v>
      </c>
      <c r="EW14" s="1321">
        <v>0.15</v>
      </c>
      <c r="EX14" s="1322"/>
      <c r="EY14" s="1212"/>
      <c r="EZ14" s="1221" t="s">
        <v>1931</v>
      </c>
      <c r="FA14" s="1321">
        <v>0.15</v>
      </c>
      <c r="FB14" s="1322"/>
      <c r="FC14" s="447"/>
      <c r="FD14" s="459" t="s">
        <v>603</v>
      </c>
      <c r="FE14" s="470">
        <v>0</v>
      </c>
      <c r="FF14" s="1014" t="s">
        <v>15</v>
      </c>
      <c r="FG14" s="447"/>
      <c r="FH14" s="465">
        <f t="shared" si="85"/>
        <v>61070.75</v>
      </c>
      <c r="FI14" s="562">
        <v>1.9</v>
      </c>
      <c r="FJ14" s="559">
        <v>0.1</v>
      </c>
      <c r="FL14" s="454" t="s">
        <v>688</v>
      </c>
      <c r="FM14" s="1368">
        <v>0.33</v>
      </c>
      <c r="FN14" s="1369"/>
    </row>
    <row r="15" spans="1:170" ht="16.5" customHeight="1">
      <c r="B15" s="1123" t="str">
        <f>INDEX('卡片raw data'!B:B,MATCH($D15,'卡片raw data'!$F:$F,))</f>
        <v>初始鸟</v>
      </c>
      <c r="C15" s="449" t="s">
        <v>66</v>
      </c>
      <c r="D15" s="408">
        <v>12</v>
      </c>
      <c r="E15" s="1090">
        <v>100033001</v>
      </c>
      <c r="F15" s="1090" t="str">
        <f>INDEX('卡片raw data'!C:C,MATCH($D15,'卡片raw data'!$F:$F,))</f>
        <v>UR</v>
      </c>
      <c r="G15" s="1094" t="s">
        <v>26</v>
      </c>
      <c r="H15" s="411">
        <f>IFERROR(INDEX(绊状态确认!C:C,MATCH($G15,绊状态确认!$B:$B,)),"")</f>
        <v>3</v>
      </c>
      <c r="I15" s="450" t="str">
        <f>IFERROR(INDEX(绊状态确认!D:D,MATCH($G15,绊状态确认!$B:$B,)),"")</f>
        <v>缪</v>
      </c>
      <c r="J15" s="450" t="str">
        <f>IFERROR(INDEX(绊状态确认!E:E,MATCH($G15,绊状态确认!$B:$B,)),"")</f>
        <v>2年级</v>
      </c>
      <c r="K15" s="451" t="str">
        <f>IFERROR(INDEX(绊状态确认!F:F,MATCH($G15,绊状态确认!$B:$B,)),"")</f>
        <v>Printemps</v>
      </c>
      <c r="L15" s="1094" t="str">
        <f>INDEX('卡片raw data'!E:E,MATCH($D15,'卡片raw data'!$F:$F,))</f>
        <v>卡池卡</v>
      </c>
      <c r="M15" s="415">
        <v>43735</v>
      </c>
      <c r="N15" s="416">
        <v>0</v>
      </c>
      <c r="O15" s="1091" t="str">
        <f>INDEX('卡片raw data'!D:D,MATCH($D15,'卡片raw data'!$F:$F,))</f>
        <v>vo</v>
      </c>
      <c r="P15" s="417">
        <v>5</v>
      </c>
      <c r="Q15" s="1095">
        <f t="shared" si="0"/>
        <v>61088.489725923821</v>
      </c>
      <c r="R15" s="1096">
        <f t="shared" si="1"/>
        <v>0.71</v>
      </c>
      <c r="S15" s="1097">
        <f t="shared" si="2"/>
        <v>20614.748984140304</v>
      </c>
      <c r="T15" s="1098">
        <f t="shared" si="3"/>
        <v>1.03</v>
      </c>
      <c r="U15" s="1099">
        <f t="shared" si="4"/>
        <v>-8.6208348228571481</v>
      </c>
      <c r="V15" s="1100">
        <f t="shared" si="5"/>
        <v>61102.309185481194</v>
      </c>
      <c r="W15" s="1101">
        <f t="shared" si="6"/>
        <v>13126.726455590579</v>
      </c>
      <c r="X15" s="1096">
        <f t="shared" si="7"/>
        <v>0.152</v>
      </c>
      <c r="Y15" s="1097">
        <f t="shared" si="8"/>
        <v>1318.4879097990724</v>
      </c>
      <c r="Z15" s="1102">
        <f t="shared" si="9"/>
        <v>16.379165177142852</v>
      </c>
      <c r="AA15" s="1103">
        <f t="shared" si="10"/>
        <v>14445.214365389651</v>
      </c>
      <c r="AB15" s="1101">
        <f t="shared" si="11"/>
        <v>13126.726455590579</v>
      </c>
      <c r="AC15" s="1104">
        <f t="shared" si="12"/>
        <v>0.152</v>
      </c>
      <c r="AD15" s="1105">
        <f t="shared" si="13"/>
        <v>0</v>
      </c>
      <c r="AE15" s="1128">
        <f t="shared" si="14"/>
        <v>0</v>
      </c>
      <c r="AF15" s="1130">
        <f t="shared" si="15"/>
        <v>0</v>
      </c>
      <c r="AG15" s="420">
        <f t="shared" si="16"/>
        <v>0</v>
      </c>
      <c r="AH15" s="420">
        <f t="shared" si="17"/>
        <v>0</v>
      </c>
      <c r="AI15" s="1097">
        <f t="shared" si="18"/>
        <v>0</v>
      </c>
      <c r="AJ15" s="420">
        <f t="shared" si="19"/>
        <v>0</v>
      </c>
      <c r="AK15" s="518">
        <f t="shared" si="20"/>
        <v>0</v>
      </c>
      <c r="AL15" s="1106">
        <f>IF($P15="","N/A",(IF($P15=-1,INDEX('卡片raw data'!S:S,MATCH($D15,'卡片raw data'!$F:$F,)),0)+IF($P15=0,INDEX('卡片raw data'!V:V,MATCH($D15,'卡片raw data'!$F:$F,)),0)+IF($P15=1,INDEX('卡片raw data'!Y:Y,MATCH($D15,'卡片raw data'!$F:$F,)),0)+IF($P15=2,INDEX('卡片raw data'!AB:AB,MATCH($D15,'卡片raw data'!$F:$F,)),0)+IF($P15=3,INDEX('卡片raw data'!AE:AE,MATCH($D15,'卡片raw data'!$F:$F,)),0)+IF($P15=4,INDEX('卡片raw data'!AH:AH,MATCH($D15,'卡片raw data'!$F:$F,)),0)+IF($P15=5,INDEX('卡片raw data'!AK:AK,MATCH($D15,'卡片raw data'!$F:$F,)),0)+INDEX('卡片raw data'!S:S,MATCH($D15,'卡片raw data'!$F:$F,))*(IF($F15="UR",0.04,0.033))*(IF($F15="UR",INDEX(绊状态确认!$S:$S,MATCH($G15,绊状态确认!$B:$B,))/2-40)+IF($F15="SR",INDEX(绊状态确认!$R:$R,MATCH($G15,绊状态确认!$B:$B,))/4-15))+IF($F15="R",INDEX(绊状态确认!$Q:$Q,MATCH($G15,绊状态确认!$B:$B,))/6-40/6)))*(INDEX(绊状态确认!$H:$H,MATCH($G15,绊状态确认!$B:$B,))+INDEX(绊状态确认!J:J,MATCH($G15,绊状态确认!$B:$B,)))</f>
        <v>9218.4767999999985</v>
      </c>
      <c r="AM15" s="1106">
        <f>IF($P15="","N/A",(IF($P15=-1,INDEX('卡片raw data'!T:T,MATCH($D15,'卡片raw data'!$F:$F,)),0)+IF($P15=0,INDEX('卡片raw data'!W:W,MATCH($D15,'卡片raw data'!$F:$F,)),0)+IF($P15=1,INDEX('卡片raw data'!Z:Z,MATCH($D15,'卡片raw data'!$F:$F,)),0)+IF($P15=2,INDEX('卡片raw data'!AC:AC,MATCH($D15,'卡片raw data'!$F:$F,)),0)+IF($P15=3,INDEX('卡片raw data'!AF:AF,MATCH($D15,'卡片raw data'!$F:$F,)),0)+IF($P15=4,INDEX('卡片raw data'!AI:AI,MATCH($D15,'卡片raw data'!$F:$F,)),0)+IF($P15=5,INDEX('卡片raw data'!AL:AL,MATCH($D15,'卡片raw data'!$F:$F,)),0)+INDEX('卡片raw data'!T:T,MATCH($D15,'卡片raw data'!$F:$F,))*(IF($F15="UR",0.04,0.033))*(IF($F15="UR",INDEX(绊状态确认!$S:$S,MATCH($G15,绊状态确认!$B:$B,))/2-40)+IF($F15="SR",INDEX(绊状态确认!$R:$R,MATCH($G15,绊状态确认!$B:$B,))/4-15))+IF($F15="R",INDEX(绊状态确认!$Q:$Q,MATCH($G15,绊状态确认!$B:$B,))/6-40/6)))*(INDEX(绊状态确认!$H:$H,MATCH($G15,绊状态确认!$B:$B,))+INDEX(绊状态确认!K:K,MATCH($G15,绊状态确认!$B:$B,)))</f>
        <v>9218.4767999999985</v>
      </c>
      <c r="AN15" s="1106">
        <f>IF($P15="","N/A",(IF($P15=-1,INDEX('卡片raw data'!U:U,MATCH($D15,'卡片raw data'!$F:$F,)),0)+IF($P15=0,INDEX('卡片raw data'!X:X,MATCH($D15,'卡片raw data'!$F:$F,)),0)+IF($P15=1,INDEX('卡片raw data'!AA:AA,MATCH($D15,'卡片raw data'!$F:$F,)),0)+IF($P15=2,INDEX('卡片raw data'!AD:AD,MATCH($D15,'卡片raw data'!$F:$F,)),0)+IF($P15=3,INDEX('卡片raw data'!AG:AG,MATCH($D15,'卡片raw data'!$F:$F,)),0)+IF($P15=4,INDEX('卡片raw data'!AJ:AJ,MATCH($D15,'卡片raw data'!$F:$F,)),0)+IF($P15=5,INDEX('卡片raw data'!AM:AM,MATCH($D15,'卡片raw data'!$F:$F,)),0)+INDEX('卡片raw data'!U:U,MATCH($D15,'卡片raw data'!$F:$F,))*(IF($F15="UR",0.04,0.033))*(IF($F15="UR",INDEX(绊状态确认!$S:$S,MATCH($G15,绊状态确认!$B:$B,))/2-40)+IF($F15="SR",INDEX(绊状态确认!$R:$R,MATCH($G15,绊状态确认!$B:$B,))/4-15))+IF($F15="R",INDEX(绊状态确认!$Q:$Q,MATCH($G15,绊状态确认!$B:$B,))/6-40/6)))*(INDEX(绊状态确认!$H:$H,MATCH($G15,绊状态确认!$B:$B,))+INDEX(绊状态确认!L:L,MATCH($G15,绊状态确认!$B:$B,)))</f>
        <v>12291.302399999999</v>
      </c>
      <c r="AO15" s="1107">
        <f t="shared" si="21"/>
        <v>1</v>
      </c>
      <c r="AP15" s="1131">
        <f>1+(INDEX(绊状态确认!$T:$T,MATCH($G15,绊状态确认!$B:$B,))+0.2)*$AO15</f>
        <v>1.3</v>
      </c>
      <c r="AQ15" s="1108">
        <f t="shared" si="22"/>
        <v>27448.501599999996</v>
      </c>
      <c r="AR15" s="1097">
        <f>(AM15*(1+$EX$9)+$EX$35)*(1+(INDEX(绊状态确认!$T:$T,MATCH($G15,绊状态确认!$B:$B,))+0.2)*AO15)*IF(J15=$FF$17,1+$FE$17,1)*IF(I15=$FF$14,1+$FE$14,1)*(1+$FE$15)</f>
        <v>15287.220831999997</v>
      </c>
      <c r="AS15" s="1097">
        <f>(AN15*(1+$EX$10)+$EX$36)*(1+(INDEX(绊状态确认!$T:$T,MATCH($G15,绊状态确认!$B:$B,))+0.2)*AO15)*IF(J15=$FF$17,1+$FE$17,1)*IF(I15=$FF$14,1+$FE$14,1)*(1+$FE$15)</f>
        <v>22431.497088</v>
      </c>
      <c r="AT15" s="1093">
        <f>IF(AND(INDEX('卡片raw data'!AK:AK,MATCH($D15,'卡片raw data'!$F:$F,))&lt;INDEX('卡片raw data'!AM:AM,MATCH($D15,'卡片raw data'!$F:$F,)),INDEX('卡片raw data'!AL:AL,MATCH($D15,'卡片raw data'!$F:$F,))&lt;INDEX('卡片raw data'!AM:AM,MATCH($D15,'卡片raw data'!$F:$F,))),1,0)</f>
        <v>1</v>
      </c>
      <c r="AU15" s="1098">
        <f>MIN(AT15*0.15+AS15*0.00003+INDEX(绊状态确认!M:M,MATCH($G15,绊状态确认!$B:$B,)),1)</f>
        <v>0.85294491264000005</v>
      </c>
      <c r="AV15" s="1109">
        <f>(INDEX(绊状态确认!$N:$N,MATCH($G15,绊状态确认!$B:$B,))+1.5)*$EW$21</f>
        <v>2.6599999999999997</v>
      </c>
      <c r="AW15" s="1101">
        <f t="shared" si="23"/>
        <v>34439.187886195039</v>
      </c>
      <c r="AX15" s="1097">
        <f t="shared" si="24"/>
        <v>1318.4879097990729</v>
      </c>
      <c r="AY15" s="1110">
        <f t="shared" si="25"/>
        <v>35757.67579599411</v>
      </c>
      <c r="AZ15" s="429">
        <f t="shared" si="26"/>
        <v>20576.029759999998</v>
      </c>
      <c r="BA15" s="431">
        <f t="shared" si="27"/>
        <v>24691.235711999998</v>
      </c>
      <c r="BB15" s="1097">
        <f>(AM15*(1+$FB$9)+$FB$35)*(1+(INDEX(绊状态确认!$T:$T,MATCH($G15,绊状态确认!$B:$B,))+0.2)*AO15)*IF(J15=$FF$17,1+$FE$17,1)*IF(I15=$FF$14,1+$FE$14,1)*(1+$FE$15)</f>
        <v>15287.220831999997</v>
      </c>
      <c r="BC15" s="1097">
        <f>(AN15*(1+$FB$10)+$FB$36)*(1+(INDEX(绊状态确认!$T:$T,MATCH($G15,绊状态确认!$B:$B,))+0.2)*AO15)*IF(J15=$FF$17,1+$FE$17,1)*IF(I15=$FF$14,1+$FE$14,1)*(1+$FE$15)</f>
        <v>22431.497088</v>
      </c>
      <c r="BD15" s="1104">
        <f>MIN(AT15*0.15+BC15*0.00003+INDEX(绊状态确认!M:M,MATCH($G15,绊状态确认!$B:$B,)),1)</f>
        <v>0.85294491264000005</v>
      </c>
      <c r="BE15" s="432">
        <f>(INDEX(绊状态确认!$N:$N,MATCH($G15,绊状态确认!$B:$B,))+1.5)</f>
        <v>1.9</v>
      </c>
      <c r="BF15" s="1139">
        <f t="array" ref="BF15">SUMPRODUCT(IF(AZ15*AP15*$FI$16:$FI$23*$FA$22&gt;=$FI$24,$FI$24,AZ15*AP15*$FI$16:$FI$23*$FA$22),$FJ$16:$FJ$23)</f>
        <v>40925.723192639991</v>
      </c>
      <c r="BG15" s="1125">
        <f t="array" ref="BG15">SUMPRODUCT(IF(BE15*AZ15*AP15*$FI$16:$FI$23*$FA$22&gt;=$FI$24,$FI$24,BE15*AZ15*AP15*$FI$16:$FI$23*$FA$22),$FJ$16:$FJ$23)</f>
        <v>60000</v>
      </c>
      <c r="BH15" s="1110">
        <f t="shared" si="28"/>
        <v>19065.010185921619</v>
      </c>
      <c r="BI15" s="1111">
        <f>IF(O15="vo",$EW$26/$EW$24*0.05,0)+IF(O15="sk",-$EW$26/$EW$24*(0.05-INDEX(绊状态确认!W:W,MATCH($G15,绊状态确认!$B:$B,)))+0.05*$EW$28,0)+IF(O15="sp",0.05*$EW$32*$EW$30*(1-$EW$33)-(0.05-INDEX(绊状态确认!V:V,MATCH($G15,绊状态确认!$B:$B,)))*$EW$28,0)+IF(O15="gd",-(0.05-INDEX(绊状态确认!X:X,MATCH($G15,绊状态确认!$B:$B,)))*$EW$32*$EW$30*(1-$EW$33),0)</f>
        <v>7726.3029277443748</v>
      </c>
      <c r="BJ15" s="1097">
        <f>IF(O15="vo",0.05*(1-$FI$26)*$FA$24,0)+IF(O15="sk",-(0.05-INDEX(绊状态确认!W:W,MATCH($G15,绊状态确认!$B:$B,)))*(1-$FI$26)*$FA$24+0.05*$FA$26,0)+IF(O15="sp",0.05*$FA$32*$FA$27*(1-$FA$33)/$FA$30+0.05*$FA$29/$FA$69*$FA$27*(1-$FA$33)-(0.05-INDEX(绊状态确认!V:V,MATCH($G15,绊状态确认!$B:$B,)))*$FA$26,0)+IF(O15="gd",-(0.05-INDEX(绊状态确认!X:X,MATCH($G15,绊状态确认!$B:$B,)))*$FA$32*$FA$27*(1-$FA$33)/$FA$30-(0.05-INDEX(绊状态确认!X:X,MATCH($G15,绊状态确认!$B:$B,)))*$FA$29/$FA$69*$FA$27*(1-$FA$33),0)</f>
        <v>393.93433687500004</v>
      </c>
      <c r="BK15" s="1110">
        <f>IF(O15="vo",$EW$26/$EW$24*0.05+$EW$26*(-HP($EW$62,$EW$65,$EW$64)+HP($EW$62,$EW$65,(1.05-INDEX(绊状态确认!U:U,MATCH($G15,绊状态确认!$B:$B,)))*$EW$64)),0)+IF(O15="sk",-$EW$26/$EW$24*(0.05-INDEX(绊状态确认!W:W,MATCH($G15,绊状态确认!$B:$B,)))+0.05*$EW$29,0)+IF(O15="sp",0.05*$EW$32*$EW$30*(1-$EW$33)-(0.05-INDEX(绊状态确认!V:V,MATCH($G15,绊状态确认!$B:$B,)))*$EW$29,0)+IF(O15="gd",-(0.05-INDEX(绊状态确认!X:X,MATCH($G15,绊状态确认!$B:$B,)))*$EW$32*$EW$30*(1-$EW$33)+$EW$26*(-HP($EW$62,$EW$65,$EW$64)+HP($EW$62,$EW$65,0.95*$EW$64)),0)</f>
        <v>6421.6344775026746</v>
      </c>
      <c r="BL15" s="1111">
        <f t="shared" si="29"/>
        <v>0</v>
      </c>
      <c r="BM15" s="1110">
        <f t="shared" si="30"/>
        <v>0</v>
      </c>
      <c r="BN15" s="1113">
        <f t="shared" si="31"/>
        <v>3</v>
      </c>
      <c r="BO15" s="1097">
        <f t="shared" si="32"/>
        <v>4507.7214871259994</v>
      </c>
      <c r="BP15" s="1100">
        <f t="shared" si="33"/>
        <v>221.34103209030098</v>
      </c>
      <c r="BQ15" s="1113" t="s">
        <v>143</v>
      </c>
      <c r="BR15" s="1124" t="s">
        <v>147</v>
      </c>
      <c r="BS15" s="1098">
        <f>IF($P15="","N/A",IF($P15=-1,INDEX('卡片raw data'!AX:AX,MATCH($D15,'卡片raw data'!$F:$F,)),0)+IF($L15="party卡",IF($P15=5,INDEX('卡片raw data'!BD:BD,MATCH($D15,'卡片raw data'!$F:$F,)),IF($P15&gt;=3,INDEX('卡片raw data'!BC:BC,MATCH($D15,'卡片raw data'!$F:$F,)),INDEX('卡片raw data'!BB:BB,MATCH($D15,'卡片raw data'!$F:$F,)))),IF(OR(AND($F15="UR",$P15=0),AND($F15="SR",$P15&gt;=0,$P15&lt;=2),AND($F15="R",$P15&gt;=0,$P15&lt;4)),INDEX('卡片raw data'!AZ:AZ,MATCH($D15,'卡片raw data'!$F:$F,)),0)+IF(OR(AND($F15="UR",$P15&gt;=1,$P15&lt;=4),AND($F15="SR",$P15&lt;=4,$P15&gt;=3),AND($F15="R",$P15=4)),INDEX('卡片raw data'!BA:BA,MATCH($D15,'卡片raw data'!$F:$F,)),0)+IF($P15=5,INDEX('卡片raw data'!BB:BB,MATCH($D15,'卡片raw data'!$F:$F,)),0)))</f>
        <v>4.2000000000000003E-2</v>
      </c>
      <c r="BT15" s="1101">
        <f t="shared" si="34"/>
        <v>3155.4050409881997</v>
      </c>
      <c r="BU15" s="1097">
        <f t="shared" si="35"/>
        <v>154.93872246321072</v>
      </c>
      <c r="BV15" s="1097">
        <f t="shared" si="36"/>
        <v>3155.4050409882002</v>
      </c>
      <c r="BW15" s="1112">
        <f t="shared" si="37"/>
        <v>0</v>
      </c>
      <c r="BX15" s="1100">
        <f t="shared" si="38"/>
        <v>3155.4050409881997</v>
      </c>
      <c r="BY15" s="1110">
        <f t="shared" si="39"/>
        <v>3155.4050409882002</v>
      </c>
      <c r="BZ15" s="1107" t="s">
        <v>569</v>
      </c>
      <c r="CA15" s="1124"/>
      <c r="CB15" s="1098">
        <f>IF($P15="","N/A",IF($P15=-1,INDEX('卡片raw data'!BE:BE,MATCH($D15,'卡片raw data'!$F:$F,)),0)+IF($L15="party卡",IF($P15=5,INDEX('卡片raw data'!BK:BK,MATCH($D15,'卡片raw data'!$F:$F,)),IF($P15&gt;=3,INDEX('卡片raw data'!BJ:BJ,MATCH($D15,'卡片raw data'!$F:$F,)),INDEX('卡片raw data'!BI:BI,MATCH($D15,'卡片raw data'!$F:$F,)))),IF(OR(AND($F15="UR",$P15=0),AND($F15="SR",$P15&gt;=0,$P15&lt;=2),AND($F15="R",$P15&gt;=0,$P15&lt;4)),INDEX('卡片raw data'!BG:BG,MATCH($D15,'卡片raw data'!$F:$F,)),0)+IF(OR(AND($F15="UR",$P15&gt;=1,$P15&lt;=4),AND($F15="SR",$P15&lt;=4,$P15&gt;=3),AND($F15="R",$P15=4)),INDEX('卡片raw data'!BH:BH,MATCH($D15,'卡片raw data'!$F:$F,)),0)+IF($P15=5,INDEX('卡片raw data'!BI:BI,MATCH($D15,'卡片raw data'!$F:$F,)),0)))</f>
        <v>0</v>
      </c>
      <c r="CC15" s="1101">
        <f t="shared" si="40"/>
        <v>0</v>
      </c>
      <c r="CD15" s="1097">
        <f>IF(BZ15="ap",CB15*(1-$FI$26)*$FB$5/$FB$11*(+IF(CA15="全员",$FA$24,0)+IF(CA15="同作战",$FA$24,0)+IF(CA15="仲间",$FA$24*2/3,0)+IF(CA15="同属性",$FA$24*$FA$37/3,0)+IF(CA15="同年级",$FA$24*$FA$40/3,0)+IF(CA15="同学校",$FA$24*$FA$43/3,0)+IF(CA15="同小队",$FA$24*$FA$46/3,0)+IF(CA15="同type",$FA$24*INDEX($FB$49:$FB$52,MATCH(X15,$FA$49:$FA$52,))/3,0)+IF(CA15="自身",#REF!/3,0)),0)+IF(BZ15="te",CB15*(1-$FI$27)*($FA$20-1)*$FB$7/$FB$13*(+IF(CA15="全员",$FA$19*$FA$24/(1+($FA$20-1)*$FA$19),0)+IF(CA15="同作战",$FA$19*$FA$24/(1+($FA$20-1)*$FA$19),0)+IF(CA15="仲间",$FA$19*$FA$24*2/3/(1+($FA$20-1)*$FA$19),0)+IF(CA15="同属性",$FA$19*$FA$24*$FA$37/3/(1+($FA$20-1)*$FA$19),0)+IF(CA15="同年级",$FA$19*$FA$24*$FA$40/3/(1+($FA$20-1)*$FA$19),0)+IF(CA15="同学校",$FA$19*$FA$24*$FA$43/3/(1+($FA$20-1)*$FA$19),0)+IF(CA15="同小队",$FA$19*$FA$24*$FA$46/3/(1+($FA$20-1)*$FA$19),0)+IF(CA15="同type",$FA$19*$FA$24*INDEX($FB$49:$FB$52,MATCH(X15,$FA$49:$FA$52,))/3/(1+($FA$20-1)*$FA$19),0)+IF(CA15="自身",$FA$19*#REF!/3/(1+(BH15-1)*$BD15),0)),0)</f>
        <v>0</v>
      </c>
      <c r="CE15" s="1097">
        <f t="shared" si="41"/>
        <v>0</v>
      </c>
      <c r="CF15" s="1112">
        <f t="shared" si="42"/>
        <v>0</v>
      </c>
      <c r="CG15" s="1100">
        <f t="shared" si="43"/>
        <v>0</v>
      </c>
      <c r="CH15" s="1110">
        <f t="shared" si="44"/>
        <v>0</v>
      </c>
      <c r="CI15" s="1113" t="s">
        <v>160</v>
      </c>
      <c r="CJ15" s="1114">
        <v>0.5</v>
      </c>
      <c r="CK15" s="1115" t="s">
        <v>153</v>
      </c>
      <c r="CL15" s="1115" t="s">
        <v>161</v>
      </c>
      <c r="CM15" s="1119">
        <v>0.1</v>
      </c>
      <c r="CN15" s="1115">
        <v>15</v>
      </c>
      <c r="CO15" s="1092"/>
      <c r="CP15" s="1118">
        <f t="shared" si="45"/>
        <v>4.0178571428571432E-2</v>
      </c>
      <c r="CQ15" s="1118">
        <f t="shared" si="46"/>
        <v>8.3333333333333329E-2</v>
      </c>
      <c r="CR15" s="1118">
        <f t="shared" si="47"/>
        <v>4.0178571428571432E-2</v>
      </c>
      <c r="CS15" s="1118">
        <f t="shared" si="48"/>
        <v>0</v>
      </c>
      <c r="CT15" s="1109">
        <f t="shared" si="49"/>
        <v>0</v>
      </c>
      <c r="CU15" s="1101">
        <f t="shared" si="50"/>
        <v>5463.5999274763799</v>
      </c>
      <c r="CV15" s="1108">
        <f t="shared" si="51"/>
        <v>547.13102343750006</v>
      </c>
      <c r="CW15" s="1097">
        <f t="shared" si="52"/>
        <v>5463.5999274763799</v>
      </c>
      <c r="CX15" s="1097">
        <f t="shared" si="53"/>
        <v>5463.5999274763799</v>
      </c>
      <c r="CY15" s="1110">
        <f t="shared" si="54"/>
        <v>5463.5999274763799</v>
      </c>
      <c r="CZ15" s="437"/>
      <c r="DA15" s="438"/>
      <c r="DB15" s="439" t="s">
        <v>569</v>
      </c>
      <c r="DC15" s="439"/>
      <c r="DD15" s="443"/>
      <c r="DE15" s="411"/>
      <c r="DF15" s="411"/>
      <c r="DG15" s="1116">
        <f t="shared" si="55"/>
        <v>0</v>
      </c>
      <c r="DH15" s="1116">
        <f t="shared" si="56"/>
        <v>0</v>
      </c>
      <c r="DI15" s="1116">
        <f t="shared" si="57"/>
        <v>0</v>
      </c>
      <c r="DJ15" s="442">
        <f t="shared" si="58"/>
        <v>0</v>
      </c>
      <c r="DK15" s="1109">
        <f t="shared" si="59"/>
        <v>0</v>
      </c>
      <c r="DL15" s="1101">
        <f t="shared" si="60"/>
        <v>0</v>
      </c>
      <c r="DM15" s="1097">
        <f t="shared" si="61"/>
        <v>0</v>
      </c>
      <c r="DN15" s="1097">
        <f t="shared" si="62"/>
        <v>0</v>
      </c>
      <c r="DO15" s="1097">
        <f t="shared" si="63"/>
        <v>0</v>
      </c>
      <c r="DP15" s="1110">
        <f t="shared" si="64"/>
        <v>0</v>
      </c>
      <c r="DQ15" s="1113" t="s">
        <v>159</v>
      </c>
      <c r="DR15" s="1120">
        <f t="shared" si="65"/>
        <v>0.33</v>
      </c>
      <c r="DS15" s="1124">
        <v>5</v>
      </c>
      <c r="DT15" s="1093" t="s">
        <v>161</v>
      </c>
      <c r="DU15" s="1093" t="s">
        <v>544</v>
      </c>
      <c r="DV15" s="1098">
        <f>IF($P15="","N/A",IF(P15=-1,INDEX('卡片raw data'!AN:AN,MATCH(D15,'卡片raw data'!$F:$F,)),0)+IF(AND(L15&lt;&gt;"party卡",P15&lt;=2,P15&gt;=0),INDEX('卡片raw data'!AP:AP,MATCH(D15,'卡片raw data'!$F:$F,)),0)+IF(OR(AND(L15="party卡",P15&lt;=1),AND(P15&lt;=4,L15&lt;&gt;"party卡",P15&gt;=3)),INDEX('卡片raw data'!AQ:AQ,MATCH(D15,'卡片raw data'!$F:$F,)),0)+IF(OR(P15=5,AND(L15="party卡",P15&gt;=2)),INDEX('卡片raw data'!AR:AR,MATCH(D15,'卡片raw data'!$F:$F,)),0))</f>
        <v>6.2E-2</v>
      </c>
      <c r="DW15" s="1098">
        <f t="shared" si="66"/>
        <v>0.33</v>
      </c>
      <c r="DX15" s="1098">
        <f t="shared" si="67"/>
        <v>0.33</v>
      </c>
      <c r="DY15" s="1098">
        <f t="shared" si="68"/>
        <v>3.4100000000000005E-2</v>
      </c>
      <c r="DZ15" s="1098">
        <f t="shared" si="69"/>
        <v>2.9496500000000005E-2</v>
      </c>
      <c r="EA15" s="1098">
        <f t="shared" si="70"/>
        <v>0</v>
      </c>
      <c r="EB15" s="1121">
        <f t="shared" si="71"/>
        <v>0</v>
      </c>
      <c r="EC15" s="1101">
        <f t="shared" si="72"/>
        <v>5796.2724563938309</v>
      </c>
      <c r="ED15" s="1097">
        <f t="shared" si="73"/>
        <v>232.39368335266883</v>
      </c>
      <c r="EE15" s="1110">
        <f t="shared" si="74"/>
        <v>5796.2724563938309</v>
      </c>
      <c r="EF15" s="1092" t="s">
        <v>711</v>
      </c>
      <c r="EG15" s="1120">
        <f t="shared" si="75"/>
        <v>0.33</v>
      </c>
      <c r="EH15" s="1124"/>
      <c r="EI15" s="1093"/>
      <c r="EJ15" s="1093"/>
      <c r="EK15" s="1097">
        <f>IF($P15="","N/A",IF(P15=-1,INDEX('卡片raw data'!AS:AS,MATCH(D15,'卡片raw data'!$F:$F,)),0)+IF(AND(L15&lt;&gt;"party卡",P15&lt;=2,P15&gt;=0),INDEX('卡片raw data'!AU:AU,MATCH(D15,'卡片raw data'!$F:$F,)),0)+IF(OR(AND(L15="party卡",P15&lt;=1),AND(P15&lt;=4,L15&lt;&gt;"party卡",P15&gt;=3)),INDEX('卡片raw data'!AV:AV,MATCH(D15,'卡片raw data'!$F:$F,)),0)+IF(OR(P15=5,AND(L15="party卡",P15&gt;=2)),INDEX('卡片raw data'!AW:AW,MATCH(D15,'卡片raw data'!$F:$F,)),0))</f>
        <v>0</v>
      </c>
      <c r="EL15" s="1098">
        <f t="shared" si="76"/>
        <v>0.33</v>
      </c>
      <c r="EM15" s="1098">
        <f t="shared" si="77"/>
        <v>0.33</v>
      </c>
      <c r="EN15" s="1125">
        <f t="shared" si="78"/>
        <v>0</v>
      </c>
      <c r="EO15" s="1125">
        <f t="shared" si="79"/>
        <v>0</v>
      </c>
      <c r="EP15" s="1098">
        <f t="shared" si="80"/>
        <v>0</v>
      </c>
      <c r="EQ15" s="1121">
        <f t="shared" si="81"/>
        <v>0</v>
      </c>
      <c r="ER15" s="1101">
        <f t="shared" si="82"/>
        <v>0</v>
      </c>
      <c r="ES15" s="1097">
        <f t="shared" si="83"/>
        <v>0</v>
      </c>
      <c r="ET15" s="1122">
        <f t="shared" si="84"/>
        <v>0</v>
      </c>
      <c r="EV15" s="1222" t="s">
        <v>242</v>
      </c>
      <c r="EW15" s="1336">
        <v>0.25</v>
      </c>
      <c r="EX15" s="1325"/>
      <c r="EY15" s="1212"/>
      <c r="EZ15" s="1222" t="s">
        <v>242</v>
      </c>
      <c r="FA15" s="1336">
        <v>0.2</v>
      </c>
      <c r="FB15" s="1325"/>
      <c r="FC15" s="447"/>
      <c r="FD15" s="459" t="s">
        <v>1160</v>
      </c>
      <c r="FE15" s="1350">
        <v>0</v>
      </c>
      <c r="FF15" s="1350"/>
      <c r="FG15" s="447"/>
      <c r="FH15" s="460" t="s">
        <v>1938</v>
      </c>
      <c r="FI15" s="475" t="s">
        <v>234</v>
      </c>
      <c r="FJ15" s="461" t="s">
        <v>235</v>
      </c>
      <c r="FL15" s="459" t="s">
        <v>699</v>
      </c>
      <c r="FM15" s="1370">
        <v>1.95</v>
      </c>
      <c r="FN15" s="1371"/>
    </row>
    <row r="16" spans="1:170" ht="16.5" customHeight="1">
      <c r="B16" s="1123" t="str">
        <f>INDEX('卡片raw data'!B:B,MATCH($D16,'卡片raw data'!$F:$F,))</f>
        <v>校服海</v>
      </c>
      <c r="C16" s="449" t="s">
        <v>66</v>
      </c>
      <c r="D16" s="408">
        <v>13</v>
      </c>
      <c r="E16" s="1090">
        <v>100041001</v>
      </c>
      <c r="F16" s="1090" t="str">
        <f>INDEX('卡片raw data'!C:C,MATCH($D16,'卡片raw data'!$F:$F,))</f>
        <v>R</v>
      </c>
      <c r="G16" s="1094" t="s">
        <v>334</v>
      </c>
      <c r="H16" s="411">
        <f>IFERROR(INDEX(绊状态确认!C:C,MATCH($G16,绊状态确认!$B:$B,)),"")</f>
        <v>4</v>
      </c>
      <c r="I16" s="450" t="str">
        <f>IFERROR(INDEX(绊状态确认!D:D,MATCH($G16,绊状态确认!$B:$B,)),"")</f>
        <v>缪</v>
      </c>
      <c r="J16" s="450" t="str">
        <f>IFERROR(INDEX(绊状态确认!E:E,MATCH($G16,绊状态确认!$B:$B,)),"")</f>
        <v>2年级</v>
      </c>
      <c r="K16" s="451" t="str">
        <f>IFERROR(INDEX(绊状态确认!F:F,MATCH($G16,绊状态确认!$B:$B,)),"")</f>
        <v>lilywhite</v>
      </c>
      <c r="L16" s="1094" t="str">
        <f>INDEX('卡片raw data'!E:E,MATCH($D16,'卡片raw data'!$F:$F,))</f>
        <v>卡池卡</v>
      </c>
      <c r="M16" s="415">
        <v>43735</v>
      </c>
      <c r="N16" s="416">
        <v>0</v>
      </c>
      <c r="O16" s="1091" t="str">
        <f>INDEX('卡片raw data'!D:D,MATCH($D16,'卡片raw data'!$F:$F,))</f>
        <v>sk</v>
      </c>
      <c r="P16" s="417">
        <v>5</v>
      </c>
      <c r="Q16" s="1095">
        <f t="shared" si="0"/>
        <v>9047.3887197773438</v>
      </c>
      <c r="R16" s="1096">
        <f t="shared" si="1"/>
        <v>0.105</v>
      </c>
      <c r="S16" s="1097">
        <f t="shared" si="2"/>
        <v>8696.6574133762733</v>
      </c>
      <c r="T16" s="1098">
        <f t="shared" si="3"/>
        <v>0.434</v>
      </c>
      <c r="U16" s="1099">
        <f t="shared" si="4"/>
        <v>8.6891605821428559</v>
      </c>
      <c r="V16" s="1100">
        <f t="shared" si="5"/>
        <v>11735.899697628905</v>
      </c>
      <c r="W16" s="1101">
        <f t="shared" si="6"/>
        <v>3523.9513063999639</v>
      </c>
      <c r="X16" s="1096">
        <f t="shared" si="7"/>
        <v>0.04</v>
      </c>
      <c r="Y16" s="1097">
        <f t="shared" si="8"/>
        <v>688.51097785156253</v>
      </c>
      <c r="Z16" s="1102">
        <f t="shared" si="9"/>
        <v>8.6891605821428559</v>
      </c>
      <c r="AA16" s="1103">
        <f t="shared" si="10"/>
        <v>4212.4622842515264</v>
      </c>
      <c r="AB16" s="1101">
        <f t="shared" si="11"/>
        <v>4042.7549547159269</v>
      </c>
      <c r="AC16" s="1104">
        <f t="shared" si="12"/>
        <v>4.7E-2</v>
      </c>
      <c r="AD16" s="1105">
        <f t="shared" si="13"/>
        <v>2.4395846306818177E-2</v>
      </c>
      <c r="AE16" s="1128">
        <f t="shared" si="14"/>
        <v>0.73148497747311758</v>
      </c>
      <c r="AF16" s="1130">
        <f t="shared" si="15"/>
        <v>0</v>
      </c>
      <c r="AG16" s="420">
        <f t="shared" si="16"/>
        <v>0</v>
      </c>
      <c r="AH16" s="420">
        <f t="shared" si="17"/>
        <v>0</v>
      </c>
      <c r="AI16" s="1097">
        <f t="shared" si="18"/>
        <v>0</v>
      </c>
      <c r="AJ16" s="420">
        <f t="shared" si="19"/>
        <v>0</v>
      </c>
      <c r="AK16" s="518">
        <f t="shared" si="20"/>
        <v>0</v>
      </c>
      <c r="AL16" s="1106">
        <f>IF($P16="","N/A",(IF($P16=-1,INDEX('卡片raw data'!S:S,MATCH($D16,'卡片raw data'!$F:$F,)),0)+IF($P16=0,INDEX('卡片raw data'!V:V,MATCH($D16,'卡片raw data'!$F:$F,)),0)+IF($P16=1,INDEX('卡片raw data'!Y:Y,MATCH($D16,'卡片raw data'!$F:$F,)),0)+IF($P16=2,INDEX('卡片raw data'!AB:AB,MATCH($D16,'卡片raw data'!$F:$F,)),0)+IF($P16=3,INDEX('卡片raw data'!AE:AE,MATCH($D16,'卡片raw data'!$F:$F,)),0)+IF($P16=4,INDEX('卡片raw data'!AH:AH,MATCH($D16,'卡片raw data'!$F:$F,)),0)+IF($P16=5,INDEX('卡片raw data'!AK:AK,MATCH($D16,'卡片raw data'!$F:$F,)),0)+INDEX('卡片raw data'!S:S,MATCH($D16,'卡片raw data'!$F:$F,))*(IF($F16="UR",0.04,0.033))*(IF($F16="UR",INDEX(绊状态确认!$S:$S,MATCH($G16,绊状态确认!$B:$B,))/2-40)+IF($F16="SR",INDEX(绊状态确认!$R:$R,MATCH($G16,绊状态确认!$B:$B,))/4-15))+IF($F16="R",INDEX(绊状态确认!$Q:$Q,MATCH($G16,绊状态确认!$B:$B,))/6-40/6)))*(INDEX(绊状态确认!$H:$H,MATCH($G16,绊状态确认!$B:$B,))+INDEX(绊状态确认!J:J,MATCH($G16,绊状态确认!$B:$B,)))</f>
        <v>3960.3539999999994</v>
      </c>
      <c r="AM16" s="1106">
        <f>IF($P16="","N/A",(IF($P16=-1,INDEX('卡片raw data'!T:T,MATCH($D16,'卡片raw data'!$F:$F,)),0)+IF($P16=0,INDEX('卡片raw data'!W:W,MATCH($D16,'卡片raw data'!$F:$F,)),0)+IF($P16=1,INDEX('卡片raw data'!Z:Z,MATCH($D16,'卡片raw data'!$F:$F,)),0)+IF($P16=2,INDEX('卡片raw data'!AC:AC,MATCH($D16,'卡片raw data'!$F:$F,)),0)+IF($P16=3,INDEX('卡片raw data'!AF:AF,MATCH($D16,'卡片raw data'!$F:$F,)),0)+IF($P16=4,INDEX('卡片raw data'!AI:AI,MATCH($D16,'卡片raw data'!$F:$F,)),0)+IF($P16=5,INDEX('卡片raw data'!AL:AL,MATCH($D16,'卡片raw data'!$F:$F,)),0)+INDEX('卡片raw data'!T:T,MATCH($D16,'卡片raw data'!$F:$F,))*(IF($F16="UR",0.04,0.033))*(IF($F16="UR",INDEX(绊状态确认!$S:$S,MATCH($G16,绊状态确认!$B:$B,))/2-40)+IF($F16="SR",INDEX(绊状态确认!$R:$R,MATCH($G16,绊状态确认!$B:$B,))/4-15))+IF($F16="R",INDEX(绊状态确认!$Q:$Q,MATCH($G16,绊状态确认!$B:$B,))/6-40/6)))*(INDEX(绊状态确认!$H:$H,MATCH($G16,绊状态确认!$B:$B,))+INDEX(绊状态确认!K:K,MATCH($G16,绊状态确认!$B:$B,)))</f>
        <v>3960.3539999999994</v>
      </c>
      <c r="AN16" s="1106">
        <f>IF($P16="","N/A",(IF($P16=-1,INDEX('卡片raw data'!U:U,MATCH($D16,'卡片raw data'!$F:$F,)),0)+IF($P16=0,INDEX('卡片raw data'!X:X,MATCH($D16,'卡片raw data'!$F:$F,)),0)+IF($P16=1,INDEX('卡片raw data'!AA:AA,MATCH($D16,'卡片raw data'!$F:$F,)),0)+IF($P16=2,INDEX('卡片raw data'!AD:AD,MATCH($D16,'卡片raw data'!$F:$F,)),0)+IF($P16=3,INDEX('卡片raw data'!AG:AG,MATCH($D16,'卡片raw data'!$F:$F,)),0)+IF($P16=4,INDEX('卡片raw data'!AJ:AJ,MATCH($D16,'卡片raw data'!$F:$F,)),0)+IF($P16=5,INDEX('卡片raw data'!AM:AM,MATCH($D16,'卡片raw data'!$F:$F,)),0)+INDEX('卡片raw data'!U:U,MATCH($D16,'卡片raw data'!$F:$F,))*(IF($F16="UR",0.04,0.033))*(IF($F16="UR",INDEX(绊状态确认!$S:$S,MATCH($G16,绊状态确认!$B:$B,))/2-40)+IF($F16="SR",INDEX(绊状态确认!$R:$R,MATCH($G16,绊状态确认!$B:$B,))/4-15))+IF($F16="R",INDEX(绊状态确认!$Q:$Q,MATCH($G16,绊状态确认!$B:$B,))/6-40/6)))*(INDEX(绊状态确认!$H:$H,MATCH($G16,绊状态确认!$B:$B,))+INDEX(绊状态确认!L:L,MATCH($G16,绊状态确认!$B:$B,)))</f>
        <v>4079.6759999999995</v>
      </c>
      <c r="AO16" s="1107">
        <f t="shared" si="21"/>
        <v>1</v>
      </c>
      <c r="AP16" s="1131">
        <f>1+(INDEX(绊状态确认!$T:$T,MATCH($G16,绊状态确认!$B:$B,))+0.2)*$AO16</f>
        <v>1.3</v>
      </c>
      <c r="AQ16" s="1108">
        <f t="shared" si="22"/>
        <v>13645.929249999999</v>
      </c>
      <c r="AR16" s="1097">
        <f>(AM16*(1+$EX$9)+$EX$35)*(1+(INDEX(绊状态确认!$T:$T,MATCH($G16,绊状态确认!$B:$B,))+0.2)*AO16)*IF(J16=$FF$17,1+$FE$17,1)*IF(I16=$FF$14,1+$FE$14,1)</f>
        <v>8109.88321</v>
      </c>
      <c r="AS16" s="1097">
        <f>(AN16*(1+$EX$10)+$EX$36)*(1+(INDEX(绊状态确认!$T:$T,MATCH($G16,绊状态确认!$B:$B,))+0.2)*AO16)*IF(J16=$FF$17,1+$FE$17,1)*IF(I16=$FF$14,1+$FE$14,1)</f>
        <v>10155.115619999999</v>
      </c>
      <c r="AT16" s="1093">
        <f>IF(AND(INDEX('卡片raw data'!AK:AK,MATCH($D16,'卡片raw data'!$F:$F,))&lt;INDEX('卡片raw data'!AM:AM,MATCH($D16,'卡片raw data'!$F:$F,)),INDEX('卡片raw data'!AL:AL,MATCH($D16,'卡片raw data'!$F:$F,))&lt;INDEX('卡片raw data'!AM:AM,MATCH($D16,'卡片raw data'!$F:$F,))),1,0)</f>
        <v>1</v>
      </c>
      <c r="AU16" s="1098">
        <f>MIN(AT16*0.15+AS16*0.00003+INDEX(绊状态确认!M:M,MATCH($G16,绊状态确认!$B:$B,)),1)</f>
        <v>0.48465346860000003</v>
      </c>
      <c r="AV16" s="1109">
        <f>(INDEX(绊状态确认!$N:$N,MATCH($G16,绊状态确认!$B:$B,))+1.5)*$EW$21</f>
        <v>2.6599999999999997</v>
      </c>
      <c r="AW16" s="1101">
        <f t="shared" si="23"/>
        <v>12788.609430334383</v>
      </c>
      <c r="AX16" s="1097">
        <f t="shared" si="24"/>
        <v>688.51097785156219</v>
      </c>
      <c r="AY16" s="1110">
        <f t="shared" si="25"/>
        <v>13477.120408185945</v>
      </c>
      <c r="AZ16" s="429">
        <f t="shared" si="26"/>
        <v>10322.690299999998</v>
      </c>
      <c r="BA16" s="431">
        <f t="shared" si="27"/>
        <v>12387.228359999997</v>
      </c>
      <c r="BB16" s="1097">
        <f>(AM16*(1+$FB$9)+$FB$35)*(1+(INDEX(绊状态确认!$T:$T,MATCH($G16,绊状态确认!$B:$B,))+0.2)*AO16)*IF(J16=$FF$17,1+$FE$17,1)*IF(I16=$FF$14,1+$FE$14,1)*(1+$FE$15)</f>
        <v>8109.88321</v>
      </c>
      <c r="BC16" s="1097">
        <f>(AN16*(1+$FB$10)+$FB$36)*(1+(INDEX(绊状态确认!$T:$T,MATCH($G16,绊状态确认!$B:$B,))+0.2)*AO16)*IF(J16=$FF$17,1+$FE$17,1)*IF(I16=$FF$14,1+$FE$14,1)*(1+$FE$15)</f>
        <v>10155.115619999999</v>
      </c>
      <c r="BD16" s="1104">
        <f>MIN(AT16*0.15+BC16*0.00003+INDEX(绊状态确认!M:M,MATCH($G16,绊状态确认!$B:$B,)),1)</f>
        <v>0.48465346860000003</v>
      </c>
      <c r="BE16" s="432">
        <f>(INDEX(绊状态确认!$N:$N,MATCH($G16,绊状态确认!$B:$B,))+1.5)</f>
        <v>1.9</v>
      </c>
      <c r="BF16" s="1139">
        <f t="array" ref="BF16">SUMPRODUCT(IF(AZ16*AP16*$FI$16:$FI$23*$FA$22&gt;=$FI$24,$FI$24,AZ16*AP16*$FI$16:$FI$23*$FA$22),$FJ$16:$FJ$23)</f>
        <v>20531.831006699998</v>
      </c>
      <c r="BG16" s="1125">
        <f t="array" ref="BG16">SUMPRODUCT(IF(BE16*AZ16*AP16*$FI$16:$FI$23*$FA$22&gt;=$FI$24,$FI$24,BE16*AZ16*AP16*$FI$16:$FI$23*$FA$22),$FJ$16:$FJ$23)</f>
        <v>39010.478912730003</v>
      </c>
      <c r="BH16" s="1110">
        <f t="shared" si="28"/>
        <v>9829.1906031318558</v>
      </c>
      <c r="BI16" s="1111">
        <f>IF(O16="vo",$EW$26/$EW$24*0.05,0)+IF(O16="sk",-$EW$26/$EW$24*(0.05-INDEX(绊状态确认!W:W,MATCH($G16,绊状态确认!$B:$B,)))+0.05*$EW$28,0)+IF(O16="sp",0.05*$EW$32*$EW$30*(1-$EW$33)-(0.05-INDEX(绊状态确认!V:V,MATCH($G16,绊状态确认!$B:$B,)))*$EW$28,0)+IF(O16="gd",-(0.05-INDEX(绊状态确认!X:X,MATCH($G16,绊状态确认!$B:$B,)))*$EW$32*$EW$30*(1-$EW$33),0)</f>
        <v>-6253.6726349699375</v>
      </c>
      <c r="BJ16" s="1097">
        <f>IF(O16="vo",0.05*(1-$FI$26)*$FA$24,0)+IF(O16="sk",-(0.05-INDEX(绊状态确认!W:W,MATCH($G16,绊状态确认!$B:$B,)))*(1-$FI$26)*$FA$24+0.05*$FA$26,0)+IF(O16="sp",0.05*$FA$32*$FA$27*(1-$FA$33)/$FA$30+0.05*$FA$29/$FA$69*$FA$27*(1-$FA$33)-(0.05-INDEX(绊状态确认!V:V,MATCH($G16,绊状态确认!$B:$B,)))*$FA$26,0)+IF(O16="gd",-(0.05-INDEX(绊状态确认!X:X,MATCH($G16,绊状态确认!$B:$B,)))*$FA$32*$FA$27*(1-$FA$33)/$FA$30-(0.05-INDEX(绊状态确认!X:X,MATCH($G16,绊状态确认!$B:$B,)))*$FA$29/$FA$69*$FA$27*(1-$FA$33),0)</f>
        <v>20.459096812499922</v>
      </c>
      <c r="BK16" s="1110">
        <f>IF(O16="vo",$EW$26/$EW$24*0.05+$EW$26*(-HP($EW$62,$EW$65,$EW$64)+HP($EW$62,$EW$65,(1.05-INDEX(绊状态确认!U:U,MATCH($G16,绊状态确认!$B:$B,)))*$EW$64)),0)+IF(O16="sk",-$EW$26/$EW$24*(0.05-INDEX(绊状态确认!W:W,MATCH($G16,绊状态确认!$B:$B,)))+0.05*$EW$29,0)+IF(O16="sp",0.05*$EW$32*$EW$30*(1-$EW$33)-(0.05-INDEX(绊状态确认!V:V,MATCH($G16,绊状态确认!$B:$B,)))*$EW$29,0)+IF(O16="gd",-(0.05-INDEX(绊状态确认!X:X,MATCH($G16,绊状态确认!$B:$B,)))*$EW$32*$EW$30*(1-$EW$33)+$EW$26*(-HP($EW$62,$EW$65,$EW$64)+HP($EW$62,$EW$65,0.95*$EW$64)),0)</f>
        <v>-4253.6726349699375</v>
      </c>
      <c r="BL16" s="1111">
        <f t="shared" si="29"/>
        <v>-2166.6666666666665</v>
      </c>
      <c r="BM16" s="1110">
        <f t="shared" si="30"/>
        <v>-1661.1111111111109</v>
      </c>
      <c r="BN16" s="1113">
        <f t="shared" si="31"/>
        <v>2</v>
      </c>
      <c r="BO16" s="1097">
        <f t="shared" si="32"/>
        <v>3005.1476580839999</v>
      </c>
      <c r="BP16" s="1100">
        <f t="shared" si="33"/>
        <v>147.56068806020068</v>
      </c>
      <c r="BQ16" s="1113" t="s">
        <v>616</v>
      </c>
      <c r="BR16" s="1124" t="s">
        <v>171</v>
      </c>
      <c r="BS16" s="1098">
        <f>IF($P16="","N/A",IF($P16=-1,INDEX('卡片raw data'!AX:AX,MATCH($D16,'卡片raw data'!$F:$F,)),0)+IF($L16="party卡",IF($P16=5,INDEX('卡片raw data'!BD:BD,MATCH($D16,'卡片raw data'!$F:$F,)),IF($P16&gt;=3,INDEX('卡片raw data'!BC:BC,MATCH($D16,'卡片raw data'!$F:$F,)),INDEX('卡片raw data'!BB:BB,MATCH($D16,'卡片raw data'!$F:$F,)))),IF(OR(AND($F16="UR",$P16=0),AND($F16="SR",$P16&gt;=0,$P16&lt;=2),AND($F16="R",$P16&gt;=0,$P16&lt;4)),INDEX('卡片raw data'!AZ:AZ,MATCH($D16,'卡片raw data'!$F:$F,)),0)+IF(OR(AND($F16="UR",$P16&gt;=1,$P16&lt;=4),AND($F16="SR",$P16&lt;=4,$P16&gt;=3),AND($F16="R",$P16=4)),INDEX('卡片raw data'!BA:BA,MATCH($D16,'卡片raw data'!$F:$F,)),0)+IF($P16=5,INDEX('卡片raw data'!BB:BB,MATCH($D16,'卡片raw data'!$F:$F,)),0)))</f>
        <v>2.1999999999999999E-2</v>
      </c>
      <c r="BT16" s="1101">
        <f t="shared" si="34"/>
        <v>1037.6072966319273</v>
      </c>
      <c r="BU16" s="1097">
        <f t="shared" si="35"/>
        <v>65.671772846463853</v>
      </c>
      <c r="BV16" s="1097">
        <f t="shared" si="36"/>
        <v>518.80364831596376</v>
      </c>
      <c r="BW16" s="1112">
        <f t="shared" si="37"/>
        <v>0</v>
      </c>
      <c r="BX16" s="1100">
        <f t="shared" si="38"/>
        <v>1037.6072966319273</v>
      </c>
      <c r="BY16" s="1110">
        <f t="shared" si="39"/>
        <v>518.80364831596376</v>
      </c>
      <c r="BZ16" s="1107" t="s">
        <v>569</v>
      </c>
      <c r="CA16" s="1124"/>
      <c r="CB16" s="1098">
        <f>IF($P16="","N/A",IF($P16=-1,INDEX('卡片raw data'!BE:BE,MATCH($D16,'卡片raw data'!$F:$F,)),0)+IF($L16="party卡",IF($P16=5,INDEX('卡片raw data'!BK:BK,MATCH($D16,'卡片raw data'!$F:$F,)),IF($P16&gt;=3,INDEX('卡片raw data'!BJ:BJ,MATCH($D16,'卡片raw data'!$F:$F,)),INDEX('卡片raw data'!BI:BI,MATCH($D16,'卡片raw data'!$F:$F,)))),IF(OR(AND($F16="UR",$P16=0),AND($F16="SR",$P16&gt;=0,$P16&lt;=2),AND($F16="R",$P16&gt;=0,$P16&lt;4)),INDEX('卡片raw data'!BG:BG,MATCH($D16,'卡片raw data'!$F:$F,)),0)+IF(OR(AND($F16="UR",$P16&gt;=1,$P16&lt;=4),AND($F16="SR",$P16&lt;=4,$P16&gt;=3),AND($F16="R",$P16=4)),INDEX('卡片raw data'!BH:BH,MATCH($D16,'卡片raw data'!$F:$F,)),0)+IF($P16=5,INDEX('卡片raw data'!BI:BI,MATCH($D16,'卡片raw data'!$F:$F,)),0)))</f>
        <v>0</v>
      </c>
      <c r="CC16" s="1101">
        <f t="shared" si="40"/>
        <v>0</v>
      </c>
      <c r="CD16" s="1097">
        <f>IF(BZ16="ap",CB16*(1-$FI$26)*$FB$5/$FB$11*(+IF(CA16="全员",$FA$24,0)+IF(CA16="同作战",$FA$24,0)+IF(CA16="仲间",$FA$24*2/3,0)+IF(CA16="同属性",$FA$24*$FA$37/3,0)+IF(CA16="同年级",$FA$24*$FA$40/3,0)+IF(CA16="同学校",$FA$24*$FA$43/3,0)+IF(CA16="同小队",$FA$24*$FA$46/3,0)+IF(CA16="同type",$FA$24*INDEX($FB$49:$FB$52,MATCH(X16,$FA$49:$FA$52,))/3,0)+IF(CA16="自身",#REF!/3,0)),0)+IF(BZ16="te",CB16*(1-$FI$27)*($FA$20-1)*$FB$7/$FB$13*(+IF(CA16="全员",$FA$19*$FA$24/(1+($FA$20-1)*$FA$19),0)+IF(CA16="同作战",$FA$19*$FA$24/(1+($FA$20-1)*$FA$19),0)+IF(CA16="仲间",$FA$19*$FA$24*2/3/(1+($FA$20-1)*$FA$19),0)+IF(CA16="同属性",$FA$19*$FA$24*$FA$37/3/(1+($FA$20-1)*$FA$19),0)+IF(CA16="同年级",$FA$19*$FA$24*$FA$40/3/(1+($FA$20-1)*$FA$19),0)+IF(CA16="同学校",$FA$19*$FA$24*$FA$43/3/(1+($FA$20-1)*$FA$19),0)+IF(CA16="同小队",$FA$19*$FA$24*$FA$46/3/(1+($FA$20-1)*$FA$19),0)+IF(CA16="同type",$FA$19*$FA$24*INDEX($FB$49:$FB$52,MATCH(X16,$FA$49:$FA$52,))/3/(1+($FA$20-1)*$FA$19),0)+IF(CA16="自身",$FA$19*#REF!/3/(1+(BH16-1)*$BD16),0)),0)</f>
        <v>0</v>
      </c>
      <c r="CE16" s="1097">
        <f t="shared" si="41"/>
        <v>0</v>
      </c>
      <c r="CF16" s="1112">
        <f t="shared" si="42"/>
        <v>0</v>
      </c>
      <c r="CG16" s="1100">
        <f t="shared" si="43"/>
        <v>0</v>
      </c>
      <c r="CH16" s="1110">
        <f t="shared" si="44"/>
        <v>0</v>
      </c>
      <c r="CI16" s="1113"/>
      <c r="CJ16" s="1114"/>
      <c r="CK16" s="1115" t="s">
        <v>569</v>
      </c>
      <c r="CL16" s="1115"/>
      <c r="CM16" s="1119"/>
      <c r="CN16" s="1115"/>
      <c r="CO16" s="1092"/>
      <c r="CP16" s="1117">
        <f t="shared" si="45"/>
        <v>0</v>
      </c>
      <c r="CQ16" s="1117">
        <f t="shared" si="46"/>
        <v>0</v>
      </c>
      <c r="CR16" s="1117">
        <f t="shared" si="47"/>
        <v>0</v>
      </c>
      <c r="CS16" s="1118">
        <f t="shared" si="48"/>
        <v>0</v>
      </c>
      <c r="CT16" s="1109">
        <f t="shared" si="49"/>
        <v>0</v>
      </c>
      <c r="CU16" s="1101">
        <f t="shared" si="50"/>
        <v>0</v>
      </c>
      <c r="CV16" s="1108">
        <f t="shared" si="51"/>
        <v>0</v>
      </c>
      <c r="CW16" s="1097">
        <f t="shared" si="52"/>
        <v>0</v>
      </c>
      <c r="CX16" s="1097">
        <f t="shared" si="53"/>
        <v>0</v>
      </c>
      <c r="CY16" s="1110">
        <f t="shared" si="54"/>
        <v>0</v>
      </c>
      <c r="CZ16" s="437"/>
      <c r="DA16" s="438"/>
      <c r="DB16" s="439" t="s">
        <v>569</v>
      </c>
      <c r="DC16" s="439"/>
      <c r="DD16" s="443"/>
      <c r="DE16" s="411"/>
      <c r="DF16" s="411"/>
      <c r="DG16" s="1116">
        <f t="shared" si="55"/>
        <v>0</v>
      </c>
      <c r="DH16" s="1116">
        <f t="shared" si="56"/>
        <v>0</v>
      </c>
      <c r="DI16" s="1116">
        <f t="shared" si="57"/>
        <v>0</v>
      </c>
      <c r="DJ16" s="442">
        <f t="shared" si="58"/>
        <v>0</v>
      </c>
      <c r="DK16" s="1109">
        <f t="shared" si="59"/>
        <v>0</v>
      </c>
      <c r="DL16" s="1101">
        <f t="shared" si="60"/>
        <v>0</v>
      </c>
      <c r="DM16" s="1097">
        <f t="shared" si="61"/>
        <v>0</v>
      </c>
      <c r="DN16" s="1097">
        <f t="shared" si="62"/>
        <v>0</v>
      </c>
      <c r="DO16" s="1097">
        <f t="shared" si="63"/>
        <v>0</v>
      </c>
      <c r="DP16" s="1110">
        <f t="shared" si="64"/>
        <v>0</v>
      </c>
      <c r="DQ16" s="1113" t="s">
        <v>553</v>
      </c>
      <c r="DR16" s="1120">
        <f t="shared" si="65"/>
        <v>0.3</v>
      </c>
      <c r="DS16" s="1124">
        <v>5</v>
      </c>
      <c r="DT16" s="1093" t="s">
        <v>168</v>
      </c>
      <c r="DU16" s="1093" t="s">
        <v>544</v>
      </c>
      <c r="DV16" s="1098">
        <f>IF($P16="","N/A",IF(P16=-1,INDEX('卡片raw data'!AN:AN,MATCH(D16,'卡片raw data'!$F:$F,)),0)+IF(AND(L16&lt;&gt;"party卡",P16&lt;=2,P16&gt;=0),INDEX('卡片raw data'!AP:AP,MATCH(D16,'卡片raw data'!$F:$F,)),0)+IF(OR(AND(L16="party卡",P16&lt;=1),AND(P16&lt;=4,L16&lt;&gt;"party卡",P16&gt;=3)),INDEX('卡片raw data'!AQ:AQ,MATCH(D16,'卡片raw data'!$F:$F,)),0)+IF(OR(P16=5,AND(L16="party卡",P16&gt;=2)),INDEX('卡片raw data'!AR:AR,MATCH(D16,'卡片raw data'!$F:$F,)),0))</f>
        <v>0.03</v>
      </c>
      <c r="DW16" s="1098">
        <f t="shared" si="66"/>
        <v>0.3</v>
      </c>
      <c r="DX16" s="1098">
        <f t="shared" si="67"/>
        <v>0.3</v>
      </c>
      <c r="DY16" s="1098">
        <f t="shared" si="68"/>
        <v>1.4999999999999998E-2</v>
      </c>
      <c r="DZ16" s="1098">
        <f t="shared" si="69"/>
        <v>1.2974999999999999E-2</v>
      </c>
      <c r="EA16" s="1098">
        <f t="shared" si="70"/>
        <v>5.4016218749999984E-3</v>
      </c>
      <c r="EB16" s="1121">
        <f t="shared" si="71"/>
        <v>0</v>
      </c>
      <c r="EC16" s="1101">
        <f t="shared" si="72"/>
        <v>636.36363636363626</v>
      </c>
      <c r="ED16" s="1097">
        <f t="shared" si="73"/>
        <v>294.88636363636357</v>
      </c>
      <c r="EE16" s="1110">
        <f t="shared" si="74"/>
        <v>636.36363636363626</v>
      </c>
      <c r="EF16" s="1092" t="s">
        <v>711</v>
      </c>
      <c r="EG16" s="1120">
        <f t="shared" si="75"/>
        <v>0.3</v>
      </c>
      <c r="EH16" s="1124"/>
      <c r="EI16" s="1093"/>
      <c r="EJ16" s="1093"/>
      <c r="EK16" s="1097">
        <f>IF($P16="","N/A",IF(P16=-1,INDEX('卡片raw data'!AS:AS,MATCH(D16,'卡片raw data'!$F:$F,)),0)+IF(AND(L16&lt;&gt;"party卡",P16&lt;=2,P16&gt;=0),INDEX('卡片raw data'!AU:AU,MATCH(D16,'卡片raw data'!$F:$F,)),0)+IF(OR(AND(L16="party卡",P16&lt;=1),AND(P16&lt;=4,L16&lt;&gt;"party卡",P16&gt;=3)),INDEX('卡片raw data'!AV:AV,MATCH(D16,'卡片raw data'!$F:$F,)),0)+IF(OR(P16=5,AND(L16="party卡",P16&gt;=2)),INDEX('卡片raw data'!AW:AW,MATCH(D16,'卡片raw data'!$F:$F,)),0))</f>
        <v>0</v>
      </c>
      <c r="EL16" s="1098">
        <f t="shared" si="76"/>
        <v>0.3</v>
      </c>
      <c r="EM16" s="1098">
        <f t="shared" si="77"/>
        <v>0.3</v>
      </c>
      <c r="EN16" s="1125">
        <f t="shared" si="78"/>
        <v>0</v>
      </c>
      <c r="EO16" s="1125">
        <f t="shared" si="79"/>
        <v>0</v>
      </c>
      <c r="EP16" s="1098">
        <f t="shared" si="80"/>
        <v>0</v>
      </c>
      <c r="EQ16" s="1121">
        <f t="shared" si="81"/>
        <v>0</v>
      </c>
      <c r="ER16" s="1101">
        <f t="shared" si="82"/>
        <v>0</v>
      </c>
      <c r="ES16" s="1097">
        <f t="shared" si="83"/>
        <v>0</v>
      </c>
      <c r="ET16" s="1122">
        <f t="shared" si="84"/>
        <v>0</v>
      </c>
      <c r="EV16" s="1348" t="s">
        <v>243</v>
      </c>
      <c r="EW16" s="1213" t="s">
        <v>143</v>
      </c>
      <c r="EX16" s="1214">
        <f>EX11*(1+EW$15)</f>
        <v>45250</v>
      </c>
      <c r="EY16" s="1212"/>
      <c r="EZ16" s="1348" t="s">
        <v>243</v>
      </c>
      <c r="FA16" s="1213" t="s">
        <v>143</v>
      </c>
      <c r="FB16" s="1214">
        <f>FB11*(1+FA$15)</f>
        <v>35880</v>
      </c>
      <c r="FC16" s="447"/>
      <c r="FD16" s="459" t="s">
        <v>238</v>
      </c>
      <c r="FE16" s="470">
        <v>0</v>
      </c>
      <c r="FF16" s="458" t="s">
        <v>16</v>
      </c>
      <c r="FG16" s="447"/>
      <c r="FH16" s="465">
        <f>FI16*$FB$11*$FA$20*(1+$FA$21)</f>
        <v>73284.899999999994</v>
      </c>
      <c r="FI16" s="466">
        <f t="shared" ref="FI16:FJ23" si="86">FI7</f>
        <v>1.2</v>
      </c>
      <c r="FJ16" s="458">
        <f t="shared" si="86"/>
        <v>0.1</v>
      </c>
      <c r="FL16" s="454" t="s">
        <v>702</v>
      </c>
      <c r="FM16" s="1358">
        <f>1.15*FM10*3+(1-0.05*FN6+0.05*FN7)*FM9*3</f>
        <v>1.0249999999999999</v>
      </c>
      <c r="FN16" s="1359"/>
    </row>
    <row r="17" spans="2:170" ht="16.5" customHeight="1">
      <c r="B17" s="1123" t="str">
        <f>INDEX('卡片raw data'!B:B,MATCH($D17,'卡片raw data'!$F:$F,))</f>
        <v>练习海</v>
      </c>
      <c r="C17" s="449" t="s">
        <v>67</v>
      </c>
      <c r="D17" s="408">
        <v>14</v>
      </c>
      <c r="E17" s="1090">
        <v>100041002</v>
      </c>
      <c r="F17" s="1090" t="str">
        <f>INDEX('卡片raw data'!C:C,MATCH($D17,'卡片raw data'!$F:$F,))</f>
        <v>R</v>
      </c>
      <c r="G17" s="1094" t="s">
        <v>27</v>
      </c>
      <c r="H17" s="411">
        <f>IFERROR(INDEX(绊状态确认!C:C,MATCH($G17,绊状态确认!$B:$B,)),"")</f>
        <v>4</v>
      </c>
      <c r="I17" s="450" t="str">
        <f>IFERROR(INDEX(绊状态确认!D:D,MATCH($G17,绊状态确认!$B:$B,)),"")</f>
        <v>缪</v>
      </c>
      <c r="J17" s="450" t="str">
        <f>IFERROR(INDEX(绊状态确认!E:E,MATCH($G17,绊状态确认!$B:$B,)),"")</f>
        <v>2年级</v>
      </c>
      <c r="K17" s="451" t="str">
        <f>IFERROR(INDEX(绊状态确认!F:F,MATCH($G17,绊状态确认!$B:$B,)),"")</f>
        <v>lilywhite</v>
      </c>
      <c r="L17" s="1094" t="str">
        <f>INDEX('卡片raw data'!E:E,MATCH($D17,'卡片raw data'!$F:$F,))</f>
        <v>卡池卡</v>
      </c>
      <c r="M17" s="415">
        <v>43735</v>
      </c>
      <c r="N17" s="416">
        <v>0</v>
      </c>
      <c r="O17" s="1091" t="str">
        <f>INDEX('卡片raw data'!D:D,MATCH($D17,'卡片raw data'!$F:$F,))</f>
        <v>vo</v>
      </c>
      <c r="P17" s="417">
        <v>5</v>
      </c>
      <c r="Q17" s="1095">
        <f t="shared" si="0"/>
        <v>21350.145465281101</v>
      </c>
      <c r="R17" s="1096">
        <f t="shared" si="1"/>
        <v>0.248</v>
      </c>
      <c r="S17" s="1097">
        <f t="shared" si="2"/>
        <v>8342.8789033645207</v>
      </c>
      <c r="T17" s="1098">
        <f t="shared" si="3"/>
        <v>0.41699999999999998</v>
      </c>
      <c r="U17" s="1099">
        <f t="shared" si="4"/>
        <v>-15.069336622857143</v>
      </c>
      <c r="V17" s="1100">
        <f t="shared" si="5"/>
        <v>20834.355519536271</v>
      </c>
      <c r="W17" s="1101">
        <f t="shared" si="6"/>
        <v>3256.6888209038611</v>
      </c>
      <c r="X17" s="1096">
        <f t="shared" si="7"/>
        <v>3.6999999999999998E-2</v>
      </c>
      <c r="Y17" s="1097">
        <f t="shared" si="8"/>
        <v>788.87850449686948</v>
      </c>
      <c r="Z17" s="1102">
        <f t="shared" si="9"/>
        <v>9.9306633771428565</v>
      </c>
      <c r="AA17" s="1103">
        <f t="shared" si="10"/>
        <v>4045.5673254007306</v>
      </c>
      <c r="AB17" s="1101">
        <f t="shared" si="11"/>
        <v>3927.4652550901578</v>
      </c>
      <c r="AC17" s="1104">
        <f t="shared" si="12"/>
        <v>4.4999999999999998E-2</v>
      </c>
      <c r="AD17" s="1105">
        <f t="shared" si="13"/>
        <v>-3.8207812500000026E-3</v>
      </c>
      <c r="AE17" s="1128">
        <f t="shared" si="14"/>
        <v>-22.692028985507246</v>
      </c>
      <c r="AF17" s="1130">
        <f t="shared" si="15"/>
        <v>0</v>
      </c>
      <c r="AG17" s="420">
        <f t="shared" si="16"/>
        <v>0</v>
      </c>
      <c r="AH17" s="420">
        <f t="shared" si="17"/>
        <v>0</v>
      </c>
      <c r="AI17" s="1097">
        <f t="shared" si="18"/>
        <v>0</v>
      </c>
      <c r="AJ17" s="420">
        <f t="shared" si="19"/>
        <v>0</v>
      </c>
      <c r="AK17" s="518">
        <f t="shared" si="20"/>
        <v>0</v>
      </c>
      <c r="AL17" s="1106">
        <f>IF($P17="","N/A",(IF($P17=-1,INDEX('卡片raw data'!S:S,MATCH($D17,'卡片raw data'!$F:$F,)),0)+IF($P17=0,INDEX('卡片raw data'!V:V,MATCH($D17,'卡片raw data'!$F:$F,)),0)+IF($P17=1,INDEX('卡片raw data'!Y:Y,MATCH($D17,'卡片raw data'!$F:$F,)),0)+IF($P17=2,INDEX('卡片raw data'!AB:AB,MATCH($D17,'卡片raw data'!$F:$F,)),0)+IF($P17=3,INDEX('卡片raw data'!AE:AE,MATCH($D17,'卡片raw data'!$F:$F,)),0)+IF($P17=4,INDEX('卡片raw data'!AH:AH,MATCH($D17,'卡片raw data'!$F:$F,)),0)+IF($P17=5,INDEX('卡片raw data'!AK:AK,MATCH($D17,'卡片raw data'!$F:$F,)),0)+INDEX('卡片raw data'!S:S,MATCH($D17,'卡片raw data'!$F:$F,))*(IF($F17="UR",0.04,0.033))*(IF($F17="UR",INDEX(绊状态确认!$S:$S,MATCH($G17,绊状态确认!$B:$B,))/2-40)+IF($F17="SR",INDEX(绊状态确认!$R:$R,MATCH($G17,绊状态确认!$B:$B,))/4-15))+IF($F17="R",INDEX(绊状态确认!$Q:$Q,MATCH($G17,绊状态确认!$B:$B,))/6-40/6)))*(INDEX(绊状态确认!$H:$H,MATCH($G17,绊状态确认!$B:$B,))+INDEX(绊状态确认!J:J,MATCH($G17,绊状态确认!$B:$B,)))</f>
        <v>4122.8591999999999</v>
      </c>
      <c r="AM17" s="1106">
        <f>IF($P17="","N/A",(IF($P17=-1,INDEX('卡片raw data'!T:T,MATCH($D17,'卡片raw data'!$F:$F,)),0)+IF($P17=0,INDEX('卡片raw data'!W:W,MATCH($D17,'卡片raw data'!$F:$F,)),0)+IF($P17=1,INDEX('卡片raw data'!Z:Z,MATCH($D17,'卡片raw data'!$F:$F,)),0)+IF($P17=2,INDEX('卡片raw data'!AC:AC,MATCH($D17,'卡片raw data'!$F:$F,)),0)+IF($P17=3,INDEX('卡片raw data'!AF:AF,MATCH($D17,'卡片raw data'!$F:$F,)),0)+IF($P17=4,INDEX('卡片raw data'!AI:AI,MATCH($D17,'卡片raw data'!$F:$F,)),0)+IF($P17=5,INDEX('卡片raw data'!AL:AL,MATCH($D17,'卡片raw data'!$F:$F,)),0)+INDEX('卡片raw data'!T:T,MATCH($D17,'卡片raw data'!$F:$F,))*(IF($F17="UR",0.04,0.033))*(IF($F17="UR",INDEX(绊状态确认!$S:$S,MATCH($G17,绊状态确认!$B:$B,))/2-40)+IF($F17="SR",INDEX(绊状态确认!$R:$R,MATCH($G17,绊状态确认!$B:$B,))/4-15))+IF($F17="R",INDEX(绊状态确认!$Q:$Q,MATCH($G17,绊状态确认!$B:$B,))/6-40/6)))*(INDEX(绊状态确认!$H:$H,MATCH($G17,绊状态确认!$B:$B,))+INDEX(绊状态确认!K:K,MATCH($G17,绊状态确认!$B:$B,)))</f>
        <v>4809.2447999999995</v>
      </c>
      <c r="AN17" s="1106">
        <f>IF($P17="","N/A",(IF($P17=-1,INDEX('卡片raw data'!U:U,MATCH($D17,'卡片raw data'!$F:$F,)),0)+IF($P17=0,INDEX('卡片raw data'!X:X,MATCH($D17,'卡片raw data'!$F:$F,)),0)+IF($P17=1,INDEX('卡片raw data'!AA:AA,MATCH($D17,'卡片raw data'!$F:$F,)),0)+IF($P17=2,INDEX('卡片raw data'!AD:AD,MATCH($D17,'卡片raw data'!$F:$F,)),0)+IF($P17=3,INDEX('卡片raw data'!AG:AG,MATCH($D17,'卡片raw data'!$F:$F,)),0)+IF($P17=4,INDEX('卡片raw data'!AJ:AJ,MATCH($D17,'卡片raw data'!$F:$F,)),0)+IF($P17=5,INDEX('卡片raw data'!AM:AM,MATCH($D17,'卡片raw data'!$F:$F,)),0)+INDEX('卡片raw data'!U:U,MATCH($D17,'卡片raw data'!$F:$F,))*(IF($F17="UR",0.04,0.033))*(IF($F17="UR",INDEX(绊状态确认!$S:$S,MATCH($G17,绊状态确认!$B:$B,))/2-40)+IF($F17="SR",INDEX(绊状态确认!$R:$R,MATCH($G17,绊状态确认!$B:$B,))/4-15))+IF($F17="R",INDEX(绊状态确认!$Q:$Q,MATCH($G17,绊状态确认!$B:$B,))/6-40/6)))*(INDEX(绊状态确认!$H:$H,MATCH($G17,绊状态确认!$B:$B,))+INDEX(绊状态确认!L:L,MATCH($G17,绊状态确认!$B:$B,)))</f>
        <v>4809.2447999999995</v>
      </c>
      <c r="AO17" s="1107">
        <f t="shared" si="21"/>
        <v>1</v>
      </c>
      <c r="AP17" s="1131">
        <f>1+(INDEX(绊状态确认!$T:$T,MATCH($G17,绊状态确认!$B:$B,))+0.2)*$AO17</f>
        <v>1.3</v>
      </c>
      <c r="AQ17" s="1108">
        <f t="shared" si="22"/>
        <v>14072.5054</v>
      </c>
      <c r="AR17" s="1097">
        <f>(AM17*(1+$EX$9)+$EX$35)*(1+(INDEX(绊状态确认!$T:$T,MATCH($G17,绊状态确认!$B:$B,))+0.2)*AO17)*IF(J17=$FF$17,1+$FE$17,1)*IF(I17=$FF$14,1+$FE$14,1)</f>
        <v>9268.6191519999993</v>
      </c>
      <c r="AS17" s="1097">
        <f>(AN17*(1+$EX$10)+$EX$36)*(1+(INDEX(绊状态确认!$T:$T,MATCH($G17,绊状态确认!$B:$B,))+0.2)*AO17)*IF(J17=$FF$17,1+$FE$17,1)*IF(I17=$FF$14,1+$FE$14,1)</f>
        <v>11245.820975999999</v>
      </c>
      <c r="AT17" s="1093">
        <f>IF(AND(INDEX('卡片raw data'!AK:AK,MATCH($D17,'卡片raw data'!$F:$F,))&lt;INDEX('卡片raw data'!AM:AM,MATCH($D17,'卡片raw data'!$F:$F,)),INDEX('卡片raw data'!AL:AL,MATCH($D17,'卡片raw data'!$F:$F,))&lt;INDEX('卡片raw data'!AM:AM,MATCH($D17,'卡片raw data'!$F:$F,))),1,0)</f>
        <v>0</v>
      </c>
      <c r="AU17" s="1098">
        <f>MIN(AT17*0.15+AS17*0.00003+INDEX(绊状态确认!M:M,MATCH($G17,绊状态确认!$B:$B,)),1)</f>
        <v>0.36737462928000003</v>
      </c>
      <c r="AV17" s="1109">
        <f>(INDEX(绊状态确认!$N:$N,MATCH($G17,绊状态确认!$B:$B,))+1.5)*$EW$21</f>
        <v>2.6599999999999997</v>
      </c>
      <c r="AW17" s="1101">
        <f t="shared" si="23"/>
        <v>11765.54394911324</v>
      </c>
      <c r="AX17" s="1097">
        <f t="shared" si="24"/>
        <v>788.87850449686971</v>
      </c>
      <c r="AY17" s="1110">
        <f t="shared" si="25"/>
        <v>12554.42245361011</v>
      </c>
      <c r="AZ17" s="429">
        <f t="shared" si="26"/>
        <v>10639.575440000001</v>
      </c>
      <c r="BA17" s="431">
        <f t="shared" si="27"/>
        <v>12767.490528</v>
      </c>
      <c r="BB17" s="1097">
        <f>(AM17*(1+$FB$9)+$FB$35)*(1+(INDEX(绊状态确认!$T:$T,MATCH($G17,绊状态确认!$B:$B,))+0.2)*AO17)*IF(J17=$FF$17,1+$FE$17,1)*IF(I17=$FF$14,1+$FE$14,1)*(1+$FE$15)</f>
        <v>9268.6191519999993</v>
      </c>
      <c r="BC17" s="1097">
        <f>(AN17*(1+$FB$10)+$FB$36)*(1+(INDEX(绊状态确认!$T:$T,MATCH($G17,绊状态确认!$B:$B,))+0.2)*AO17)*IF(J17=$FF$17,1+$FE$17,1)*IF(I17=$FF$14,1+$FE$14,1)*(1+$FE$15)</f>
        <v>11245.820975999999</v>
      </c>
      <c r="BD17" s="1104">
        <f>MIN(AT17*0.15+BC17*0.00003+INDEX(绊状态确认!M:M,MATCH($G17,绊状态确认!$B:$B,)),1)</f>
        <v>0.36737462928000003</v>
      </c>
      <c r="BE17" s="432">
        <f>(INDEX(绊状态确认!$N:$N,MATCH($G17,绊状态确认!$B:$B,))+1.5)</f>
        <v>1.9</v>
      </c>
      <c r="BF17" s="1139">
        <f t="array" ref="BF17">SUMPRODUCT(IF(AZ17*AP17*$FI$16:$FI$23*$FA$22&gt;=$FI$24,$FI$24,AZ17*AP17*$FI$16:$FI$23*$FA$22),$FJ$16:$FJ$23)</f>
        <v>21162.115550160001</v>
      </c>
      <c r="BG17" s="1125">
        <f t="array" ref="BG17">SUMPRODUCT(IF(BE17*AZ17*AP17*$FI$16:$FI$23*$FA$22&gt;=$FI$24,$FI$24,BE17*AZ17*AP17*$FI$16:$FI$23*$FA$22),$FJ$16:$FJ$23)</f>
        <v>40208.019545304</v>
      </c>
      <c r="BH17" s="1110">
        <f t="shared" si="28"/>
        <v>9386.365823226166</v>
      </c>
      <c r="BI17" s="1111">
        <f>IF(O17="vo",$EW$26/$EW$24*0.05,0)+IF(O17="sk",-$EW$26/$EW$24*(0.05-INDEX(绊状态确认!W:W,MATCH($G17,绊状态确认!$B:$B,)))+0.05*$EW$28,0)+IF(O17="sp",0.05*$EW$32*$EW$30*(1-$EW$33)-(0.05-INDEX(绊状态确认!V:V,MATCH($G17,绊状态确认!$B:$B,)))*$EW$28,0)+IF(O17="gd",-(0.05-INDEX(绊状态确认!X:X,MATCH($G17,绊状态确认!$B:$B,)))*$EW$32*$EW$30*(1-$EW$33),0)</f>
        <v>7726.3029277443748</v>
      </c>
      <c r="BJ17" s="1097">
        <f>IF(O17="vo",0.05*(1-$FI$26)*$FA$24,0)+IF(O17="sk",-(0.05-INDEX(绊状态确认!W:W,MATCH($G17,绊状态确认!$B:$B,)))*(1-$FI$26)*$FA$24+0.05*$FA$26,0)+IF(O17="sp",0.05*$FA$32*$FA$27*(1-$FA$33)/$FA$30+0.05*$FA$29/$FA$69*$FA$27*(1-$FA$33)-(0.05-INDEX(绊状态确认!V:V,MATCH($G17,绊状态确认!$B:$B,)))*$FA$26,0)+IF(O17="gd",-(0.05-INDEX(绊状态确认!X:X,MATCH($G17,绊状态确认!$B:$B,)))*$FA$32*$FA$27*(1-$FA$33)/$FA$30-(0.05-INDEX(绊状态确认!X:X,MATCH($G17,绊状态确认!$B:$B,)))*$FA$29/$FA$69*$FA$27*(1-$FA$33),0)</f>
        <v>393.93433687500004</v>
      </c>
      <c r="BK17" s="1110">
        <f>IF(O17="vo",$EW$26/$EW$24*0.05+$EW$26*(-HP($EW$62,$EW$65,$EW$64)+HP($EW$62,$EW$65,(1.05-INDEX(绊状态确认!U:U,MATCH($G17,绊状态确认!$B:$B,)))*$EW$64)),0)+IF(O17="sk",-$EW$26/$EW$24*(0.05-INDEX(绊状态确认!W:W,MATCH($G17,绊状态确认!$B:$B,)))+0.05*$EW$29,0)+IF(O17="sp",0.05*$EW$32*$EW$30*(1-$EW$33)-(0.05-INDEX(绊状态确认!V:V,MATCH($G17,绊状态确认!$B:$B,)))*$EW$29,0)+IF(O17="gd",-(0.05-INDEX(绊状态确认!X:X,MATCH($G17,绊状态确认!$B:$B,)))*$EW$32*$EW$30*(1-$EW$33)+$EW$26*(-HP($EW$62,$EW$65,$EW$64)+HP($EW$62,$EW$65,0.95*$EW$64)),0)</f>
        <v>6421.6344775026746</v>
      </c>
      <c r="BL17" s="1111">
        <f t="shared" si="29"/>
        <v>-2166.6666666666665</v>
      </c>
      <c r="BM17" s="1110">
        <f t="shared" si="30"/>
        <v>-1661.1111111111109</v>
      </c>
      <c r="BN17" s="1113">
        <f t="shared" si="31"/>
        <v>2</v>
      </c>
      <c r="BO17" s="1097">
        <f t="shared" si="32"/>
        <v>3005.1476580839999</v>
      </c>
      <c r="BP17" s="1100">
        <f t="shared" si="33"/>
        <v>147.56068806020068</v>
      </c>
      <c r="BQ17" s="1113" t="s">
        <v>616</v>
      </c>
      <c r="BR17" s="1124" t="s">
        <v>621</v>
      </c>
      <c r="BS17" s="1098">
        <f>IF($P17="","N/A",IF($P17=-1,INDEX('卡片raw data'!AX:AX,MATCH($D17,'卡片raw data'!$F:$F,)),0)+IF($L17="party卡",IF($P17=5,INDEX('卡片raw data'!BD:BD,MATCH($D17,'卡片raw data'!$F:$F,)),IF($P17&gt;=3,INDEX('卡片raw data'!BC:BC,MATCH($D17,'卡片raw data'!$F:$F,)),INDEX('卡片raw data'!BB:BB,MATCH($D17,'卡片raw data'!$F:$F,)))),IF(OR(AND($F17="UR",$P17=0),AND($F17="SR",$P17&gt;=0,$P17&lt;=2),AND($F17="R",$P17&gt;=0,$P17&lt;4)),INDEX('卡片raw data'!AZ:AZ,MATCH($D17,'卡片raw data'!$F:$F,)),0)+IF(OR(AND($F17="UR",$P17&gt;=1,$P17&lt;=4),AND($F17="SR",$P17&lt;=4,$P17&gt;=3),AND($F17="R",$P17=4)),INDEX('卡片raw data'!BA:BA,MATCH($D17,'卡片raw data'!$F:$F,)),0)+IF($P17=5,INDEX('卡片raw data'!BB:BB,MATCH($D17,'卡片raw data'!$F:$F,)),0)))</f>
        <v>3.2000000000000001E-2</v>
      </c>
      <c r="BT17" s="1101">
        <f t="shared" si="34"/>
        <v>922.31759700615794</v>
      </c>
      <c r="BU17" s="1097">
        <f t="shared" si="35"/>
        <v>66.714181939264861</v>
      </c>
      <c r="BV17" s="1097">
        <f t="shared" si="36"/>
        <v>251.5411628198612</v>
      </c>
      <c r="BW17" s="1112">
        <f t="shared" si="37"/>
        <v>0</v>
      </c>
      <c r="BX17" s="1100">
        <f t="shared" si="38"/>
        <v>922.31759700615794</v>
      </c>
      <c r="BY17" s="1110">
        <f t="shared" si="39"/>
        <v>251.5411628198612</v>
      </c>
      <c r="BZ17" s="1107" t="s">
        <v>569</v>
      </c>
      <c r="CA17" s="1124"/>
      <c r="CB17" s="1098">
        <f>IF($P17="","N/A",IF($P17=-1,INDEX('卡片raw data'!BE:BE,MATCH($D17,'卡片raw data'!$F:$F,)),0)+IF($L17="party卡",IF($P17=5,INDEX('卡片raw data'!BK:BK,MATCH($D17,'卡片raw data'!$F:$F,)),IF($P17&gt;=3,INDEX('卡片raw data'!BJ:BJ,MATCH($D17,'卡片raw data'!$F:$F,)),INDEX('卡片raw data'!BI:BI,MATCH($D17,'卡片raw data'!$F:$F,)))),IF(OR(AND($F17="UR",$P17=0),AND($F17="SR",$P17&gt;=0,$P17&lt;=2),AND($F17="R",$P17&gt;=0,$P17&lt;4)),INDEX('卡片raw data'!BG:BG,MATCH($D17,'卡片raw data'!$F:$F,)),0)+IF(OR(AND($F17="UR",$P17&gt;=1,$P17&lt;=4),AND($F17="SR",$P17&lt;=4,$P17&gt;=3),AND($F17="R",$P17=4)),INDEX('卡片raw data'!BH:BH,MATCH($D17,'卡片raw data'!$F:$F,)),0)+IF($P17=5,INDEX('卡片raw data'!BI:BI,MATCH($D17,'卡片raw data'!$F:$F,)),0)))</f>
        <v>0</v>
      </c>
      <c r="CC17" s="1101">
        <f t="shared" si="40"/>
        <v>0</v>
      </c>
      <c r="CD17" s="1097">
        <f>IF(BZ17="ap",CB17*(1-$FI$26)*$FB$5/$FB$11*(+IF(CA17="全员",$FA$24,0)+IF(CA17="同作战",$FA$24,0)+IF(CA17="仲间",$FA$24*2/3,0)+IF(CA17="同属性",$FA$24*$FA$37/3,0)+IF(CA17="同年级",$FA$24*$FA$40/3,0)+IF(CA17="同学校",$FA$24*$FA$43/3,0)+IF(CA17="同小队",$FA$24*$FA$46/3,0)+IF(CA17="同type",$FA$24*INDEX($FB$49:$FB$52,MATCH(X17,$FA$49:$FA$52,))/3,0)+IF(CA17="自身",#REF!/3,0)),0)+IF(BZ17="te",CB17*(1-$FI$27)*($FA$20-1)*$FB$7/$FB$13*(+IF(CA17="全员",$FA$19*$FA$24/(1+($FA$20-1)*$FA$19),0)+IF(CA17="同作战",$FA$19*$FA$24/(1+($FA$20-1)*$FA$19),0)+IF(CA17="仲间",$FA$19*$FA$24*2/3/(1+($FA$20-1)*$FA$19),0)+IF(CA17="同属性",$FA$19*$FA$24*$FA$37/3/(1+($FA$20-1)*$FA$19),0)+IF(CA17="同年级",$FA$19*$FA$24*$FA$40/3/(1+($FA$20-1)*$FA$19),0)+IF(CA17="同学校",$FA$19*$FA$24*$FA$43/3/(1+($FA$20-1)*$FA$19),0)+IF(CA17="同小队",$FA$19*$FA$24*$FA$46/3/(1+($FA$20-1)*$FA$19),0)+IF(CA17="同type",$FA$19*$FA$24*INDEX($FB$49:$FB$52,MATCH(X17,$FA$49:$FA$52,))/3/(1+($FA$20-1)*$FA$19),0)+IF(CA17="自身",$FA$19*#REF!/3/(1+(BH17-1)*$BD17),0)),0)</f>
        <v>0</v>
      </c>
      <c r="CE17" s="1097">
        <f t="shared" si="41"/>
        <v>0</v>
      </c>
      <c r="CF17" s="1112">
        <f t="shared" si="42"/>
        <v>0</v>
      </c>
      <c r="CG17" s="1100">
        <f t="shared" si="43"/>
        <v>0</v>
      </c>
      <c r="CH17" s="1110">
        <f t="shared" si="44"/>
        <v>0</v>
      </c>
      <c r="CI17" s="1113"/>
      <c r="CJ17" s="1114"/>
      <c r="CK17" s="1115" t="s">
        <v>569</v>
      </c>
      <c r="CL17" s="1115"/>
      <c r="CM17" s="1119"/>
      <c r="CN17" s="1115"/>
      <c r="CO17" s="1092"/>
      <c r="CP17" s="1117">
        <f t="shared" si="45"/>
        <v>0</v>
      </c>
      <c r="CQ17" s="1117">
        <f t="shared" si="46"/>
        <v>0</v>
      </c>
      <c r="CR17" s="1117">
        <f t="shared" si="47"/>
        <v>0</v>
      </c>
      <c r="CS17" s="1118">
        <f t="shared" si="48"/>
        <v>0</v>
      </c>
      <c r="CT17" s="1109">
        <f t="shared" si="49"/>
        <v>0</v>
      </c>
      <c r="CU17" s="1101">
        <f t="shared" si="50"/>
        <v>0</v>
      </c>
      <c r="CV17" s="1108">
        <f t="shared" si="51"/>
        <v>0</v>
      </c>
      <c r="CW17" s="1097">
        <f t="shared" si="52"/>
        <v>0</v>
      </c>
      <c r="CX17" s="1097">
        <f t="shared" si="53"/>
        <v>0</v>
      </c>
      <c r="CY17" s="1110">
        <f t="shared" si="54"/>
        <v>0</v>
      </c>
      <c r="CZ17" s="437"/>
      <c r="DA17" s="438"/>
      <c r="DB17" s="439" t="s">
        <v>569</v>
      </c>
      <c r="DC17" s="439"/>
      <c r="DD17" s="443"/>
      <c r="DE17" s="411"/>
      <c r="DF17" s="411"/>
      <c r="DG17" s="1116">
        <f t="shared" si="55"/>
        <v>0</v>
      </c>
      <c r="DH17" s="1116">
        <f t="shared" si="56"/>
        <v>0</v>
      </c>
      <c r="DI17" s="1116">
        <f t="shared" si="57"/>
        <v>0</v>
      </c>
      <c r="DJ17" s="442">
        <f t="shared" si="58"/>
        <v>0</v>
      </c>
      <c r="DK17" s="1109">
        <f t="shared" si="59"/>
        <v>0</v>
      </c>
      <c r="DL17" s="1101">
        <f t="shared" si="60"/>
        <v>0</v>
      </c>
      <c r="DM17" s="1097">
        <f t="shared" si="61"/>
        <v>0</v>
      </c>
      <c r="DN17" s="1097">
        <f t="shared" si="62"/>
        <v>0</v>
      </c>
      <c r="DO17" s="1097">
        <f t="shared" si="63"/>
        <v>0</v>
      </c>
      <c r="DP17" s="1110">
        <f t="shared" si="64"/>
        <v>0</v>
      </c>
      <c r="DQ17" s="1113" t="s">
        <v>554</v>
      </c>
      <c r="DR17" s="1120">
        <f t="shared" si="65"/>
        <v>0.3</v>
      </c>
      <c r="DS17" s="1124">
        <v>5</v>
      </c>
      <c r="DT17" s="1093" t="s">
        <v>161</v>
      </c>
      <c r="DU17" s="1093" t="s">
        <v>546</v>
      </c>
      <c r="DV17" s="1097">
        <f>IF($P17="","N/A",IF(P17=-1,INDEX('卡片raw data'!AN:AN,MATCH(D17,'卡片raw data'!$F:$F,)),0)+IF(AND(L17&lt;&gt;"party卡",P17&lt;=2,P17&gt;=0),INDEX('卡片raw data'!AP:AP,MATCH(D17,'卡片raw data'!$F:$F,)),0)+IF(OR(AND(L17="party卡",P17&lt;=1),AND(P17&lt;=4,L17&lt;&gt;"party卡",P17&gt;=3)),INDEX('卡片raw data'!AQ:AQ,MATCH(D17,'卡片raw data'!$F:$F,)),0)+IF(OR(P17=5,AND(L17="party卡",P17&gt;=2)),INDEX('卡片raw data'!AR:AR,MATCH(D17,'卡片raw data'!$F:$F,)),0))</f>
        <v>150</v>
      </c>
      <c r="DW17" s="1098">
        <f t="shared" si="66"/>
        <v>0.3</v>
      </c>
      <c r="DX17" s="1098">
        <f t="shared" si="67"/>
        <v>0.3</v>
      </c>
      <c r="DY17" s="1098">
        <f t="shared" si="68"/>
        <v>5.7360140072996221E-4</v>
      </c>
      <c r="DZ17" s="1098">
        <f t="shared" si="69"/>
        <v>1.1949941263926284E-3</v>
      </c>
      <c r="EA17" s="1098">
        <f t="shared" si="70"/>
        <v>0</v>
      </c>
      <c r="EB17" s="1121">
        <f t="shared" si="71"/>
        <v>0</v>
      </c>
      <c r="EC17" s="1101">
        <f t="shared" si="72"/>
        <v>97.5</v>
      </c>
      <c r="ED17" s="1097">
        <f t="shared" si="73"/>
        <v>9.4149843749999995</v>
      </c>
      <c r="EE17" s="1110">
        <f t="shared" si="74"/>
        <v>97.5</v>
      </c>
      <c r="EF17" s="1092" t="s">
        <v>711</v>
      </c>
      <c r="EG17" s="1120">
        <f t="shared" si="75"/>
        <v>0.3</v>
      </c>
      <c r="EH17" s="1124"/>
      <c r="EI17" s="1093"/>
      <c r="EJ17" s="1093"/>
      <c r="EK17" s="1097">
        <f>IF($P17="","N/A",IF(P17=-1,INDEX('卡片raw data'!AS:AS,MATCH(D17,'卡片raw data'!$F:$F,)),0)+IF(AND(L17&lt;&gt;"party卡",P17&lt;=2,P17&gt;=0),INDEX('卡片raw data'!AU:AU,MATCH(D17,'卡片raw data'!$F:$F,)),0)+IF(OR(AND(L17="party卡",P17&lt;=1),AND(P17&lt;=4,L17&lt;&gt;"party卡",P17&gt;=3)),INDEX('卡片raw data'!AV:AV,MATCH(D17,'卡片raw data'!$F:$F,)),0)+IF(OR(P17=5,AND(L17="party卡",P17&gt;=2)),INDEX('卡片raw data'!AW:AW,MATCH(D17,'卡片raw data'!$F:$F,)),0))</f>
        <v>0</v>
      </c>
      <c r="EL17" s="1098">
        <f t="shared" si="76"/>
        <v>0.3</v>
      </c>
      <c r="EM17" s="1098">
        <f t="shared" si="77"/>
        <v>0.3</v>
      </c>
      <c r="EN17" s="1125">
        <f t="shared" si="78"/>
        <v>0</v>
      </c>
      <c r="EO17" s="1125">
        <f t="shared" si="79"/>
        <v>0</v>
      </c>
      <c r="EP17" s="1098">
        <f t="shared" si="80"/>
        <v>0</v>
      </c>
      <c r="EQ17" s="1121">
        <f t="shared" si="81"/>
        <v>0</v>
      </c>
      <c r="ER17" s="1101">
        <f t="shared" si="82"/>
        <v>0</v>
      </c>
      <c r="ES17" s="1097">
        <f t="shared" si="83"/>
        <v>0</v>
      </c>
      <c r="ET17" s="1122">
        <f t="shared" si="84"/>
        <v>0</v>
      </c>
      <c r="EV17" s="1348"/>
      <c r="EW17" s="1215" t="s">
        <v>144</v>
      </c>
      <c r="EX17" s="1216">
        <f>EX12*(1+EW$14)</f>
        <v>13863.249999999998</v>
      </c>
      <c r="EY17" s="1212"/>
      <c r="EZ17" s="1348"/>
      <c r="FA17" s="1215" t="s">
        <v>144</v>
      </c>
      <c r="FB17" s="1216">
        <f>FB12*(1+FA$14)</f>
        <v>12051.999999999998</v>
      </c>
      <c r="FC17" s="447"/>
      <c r="FD17" s="459" t="s">
        <v>240</v>
      </c>
      <c r="FE17" s="470">
        <v>0</v>
      </c>
      <c r="FF17" s="458" t="s">
        <v>17</v>
      </c>
      <c r="FG17" s="447"/>
      <c r="FH17" s="465">
        <f t="shared" ref="FH17:FH23" si="87">FI17*$FB$11*$FA$20*(1+$FA$21)</f>
        <v>79391.974999999991</v>
      </c>
      <c r="FI17" s="560">
        <f t="shared" si="86"/>
        <v>1.3</v>
      </c>
      <c r="FJ17" s="558">
        <f t="shared" si="86"/>
        <v>0.1</v>
      </c>
      <c r="FL17" s="471" t="s">
        <v>695</v>
      </c>
      <c r="FM17" s="1371">
        <f>FM14*FM15*(1-0.05*FN6+0.05*FN7)</f>
        <v>0.6113249999999999</v>
      </c>
      <c r="FN17" s="1371"/>
    </row>
    <row r="18" spans="2:170" ht="16.5" customHeight="1" thickBot="1">
      <c r="B18" s="1123" t="str">
        <f>INDEX('卡片raw data'!B:B,MATCH($D18,'卡片raw data'!$F:$F,))</f>
        <v>打工海</v>
      </c>
      <c r="C18" s="449" t="s">
        <v>69</v>
      </c>
      <c r="D18" s="408">
        <v>15</v>
      </c>
      <c r="E18" s="1090">
        <v>100042001</v>
      </c>
      <c r="F18" s="1090" t="str">
        <f>INDEX('卡片raw data'!C:C,MATCH($D18,'卡片raw data'!$F:$F,))</f>
        <v>SR</v>
      </c>
      <c r="G18" s="1094" t="s">
        <v>334</v>
      </c>
      <c r="H18" s="411">
        <f>IFERROR(INDEX(绊状态确认!C:C,MATCH($G18,绊状态确认!$B:$B,)),"")</f>
        <v>4</v>
      </c>
      <c r="I18" s="450" t="str">
        <f>IFERROR(INDEX(绊状态确认!D:D,MATCH($G18,绊状态确认!$B:$B,)),"")</f>
        <v>缪</v>
      </c>
      <c r="J18" s="450" t="str">
        <f>IFERROR(INDEX(绊状态确认!E:E,MATCH($G18,绊状态确认!$B:$B,)),"")</f>
        <v>2年级</v>
      </c>
      <c r="K18" s="451" t="str">
        <f>IFERROR(INDEX(绊状态确认!F:F,MATCH($G18,绊状态确认!$B:$B,)),"")</f>
        <v>lilywhite</v>
      </c>
      <c r="L18" s="1094" t="str">
        <f>INDEX('卡片raw data'!E:E,MATCH($D18,'卡片raw data'!$F:$F,))</f>
        <v>卡池卡</v>
      </c>
      <c r="M18" s="415">
        <v>43735</v>
      </c>
      <c r="N18" s="416">
        <v>0</v>
      </c>
      <c r="O18" s="1091" t="str">
        <f>INDEX('卡片raw data'!D:D,MATCH($D18,'卡片raw data'!$F:$F,))</f>
        <v>gd</v>
      </c>
      <c r="P18" s="417">
        <v>5</v>
      </c>
      <c r="Q18" s="1095">
        <f t="shared" si="0"/>
        <v>18609.349053587655</v>
      </c>
      <c r="R18" s="1096">
        <f t="shared" si="1"/>
        <v>0.216</v>
      </c>
      <c r="S18" s="1097">
        <f t="shared" si="2"/>
        <v>10896.678171632484</v>
      </c>
      <c r="T18" s="1098">
        <f t="shared" si="3"/>
        <v>0.54400000000000004</v>
      </c>
      <c r="U18" s="1099">
        <f t="shared" si="4"/>
        <v>473.33041678363134</v>
      </c>
      <c r="V18" s="1100">
        <f t="shared" si="5"/>
        <v>69816.94026001617</v>
      </c>
      <c r="W18" s="1101">
        <f t="shared" si="6"/>
        <v>4507.7214871259994</v>
      </c>
      <c r="X18" s="1096">
        <f t="shared" si="7"/>
        <v>5.1999999999999998E-2</v>
      </c>
      <c r="Y18" s="1097">
        <f t="shared" si="8"/>
        <v>2527.2247607920172</v>
      </c>
      <c r="Z18" s="1102">
        <f t="shared" si="9"/>
        <v>31.475744850191369</v>
      </c>
      <c r="AA18" s="1103">
        <f t="shared" si="10"/>
        <v>7034.9462479180165</v>
      </c>
      <c r="AB18" s="1101">
        <f t="shared" si="11"/>
        <v>4507.7214871259994</v>
      </c>
      <c r="AC18" s="1104">
        <f t="shared" si="12"/>
        <v>5.1999999999999998E-2</v>
      </c>
      <c r="AD18" s="1105">
        <f t="shared" si="13"/>
        <v>-3.8207812500000026E-3</v>
      </c>
      <c r="AE18" s="1128">
        <f t="shared" si="14"/>
        <v>-18.525362318840578</v>
      </c>
      <c r="AF18" s="1130">
        <f t="shared" si="15"/>
        <v>6487.3008319641604</v>
      </c>
      <c r="AG18" s="420">
        <f t="shared" si="16"/>
        <v>97997.548278074202</v>
      </c>
      <c r="AH18" s="420">
        <f t="shared" si="17"/>
        <v>15.106058870466082</v>
      </c>
      <c r="AI18" s="1097">
        <f t="shared" si="18"/>
        <v>96591.624127273753</v>
      </c>
      <c r="AJ18" s="420">
        <f t="shared" si="19"/>
        <v>69816.94026001617</v>
      </c>
      <c r="AK18" s="518">
        <f t="shared" si="20"/>
        <v>26774.683867257583</v>
      </c>
      <c r="AL18" s="1106">
        <f>IF($P18="","N/A",(IF($P18=-1,INDEX('卡片raw data'!S:S,MATCH($D18,'卡片raw data'!$F:$F,)),0)+IF($P18=0,INDEX('卡片raw data'!V:V,MATCH($D18,'卡片raw data'!$F:$F,)),0)+IF($P18=1,INDEX('卡片raw data'!Y:Y,MATCH($D18,'卡片raw data'!$F:$F,)),0)+IF($P18=2,INDEX('卡片raw data'!AB:AB,MATCH($D18,'卡片raw data'!$F:$F,)),0)+IF($P18=3,INDEX('卡片raw data'!AE:AE,MATCH($D18,'卡片raw data'!$F:$F,)),0)+IF($P18=4,INDEX('卡片raw data'!AH:AH,MATCH($D18,'卡片raw data'!$F:$F,)),0)+IF($P18=5,INDEX('卡片raw data'!AK:AK,MATCH($D18,'卡片raw data'!$F:$F,)),0)+INDEX('卡片raw data'!S:S,MATCH($D18,'卡片raw data'!$F:$F,))*(IF($F18="UR",0.04,0.033))*(IF($F18="UR",INDEX(绊状态确认!$S:$S,MATCH($G18,绊状态确认!$B:$B,))/2-40)+IF($F18="SR",INDEX(绊状态确认!$R:$R,MATCH($G18,绊状态确认!$B:$B,))/4-15))+IF($F18="R",INDEX(绊状态确认!$Q:$Q,MATCH($G18,绊状态确认!$B:$B,))/6-40/6)))*(INDEX(绊状态确认!$H:$H,MATCH($G18,绊状态确认!$B:$B,))+INDEX(绊状态确认!J:J,MATCH($G18,绊状态确认!$B:$B,)))</f>
        <v>5671.8178559999997</v>
      </c>
      <c r="AM18" s="1106">
        <f>IF($P18="","N/A",(IF($P18=-1,INDEX('卡片raw data'!T:T,MATCH($D18,'卡片raw data'!$F:$F,)),0)+IF($P18=0,INDEX('卡片raw data'!W:W,MATCH($D18,'卡片raw data'!$F:$F,)),0)+IF($P18=1,INDEX('卡片raw data'!Z:Z,MATCH($D18,'卡片raw data'!$F:$F,)),0)+IF($P18=2,INDEX('卡片raw data'!AC:AC,MATCH($D18,'卡片raw data'!$F:$F,)),0)+IF($P18=3,INDEX('卡片raw data'!AF:AF,MATCH($D18,'卡片raw data'!$F:$F,)),0)+IF($P18=4,INDEX('卡片raw data'!AI:AI,MATCH($D18,'卡片raw data'!$F:$F,)),0)+IF($P18=5,INDEX('卡片raw data'!AL:AL,MATCH($D18,'卡片raw data'!$F:$F,)),0)+INDEX('卡片raw data'!T:T,MATCH($D18,'卡片raw data'!$F:$F,))*(IF($F18="UR",0.04,0.033))*(IF($F18="UR",INDEX(绊状态确认!$S:$S,MATCH($G18,绊状态确认!$B:$B,))/2-40)+IF($F18="SR",INDEX(绊状态确认!$R:$R,MATCH($G18,绊状态确认!$B:$B,))/4-15))+IF($F18="R",INDEX(绊状态确认!$Q:$Q,MATCH($G18,绊状态确认!$B:$B,))/6-40/6)))*(INDEX(绊状态确认!$H:$H,MATCH($G18,绊状态确认!$B:$B,))+INDEX(绊状态确认!K:K,MATCH($G18,绊状态确认!$B:$B,)))</f>
        <v>7562.4238079999996</v>
      </c>
      <c r="AN18" s="1106">
        <f>IF($P18="","N/A",(IF($P18=-1,INDEX('卡片raw data'!U:U,MATCH($D18,'卡片raw data'!$F:$F,)),0)+IF($P18=0,INDEX('卡片raw data'!X:X,MATCH($D18,'卡片raw data'!$F:$F,)),0)+IF($P18=1,INDEX('卡片raw data'!AA:AA,MATCH($D18,'卡片raw data'!$F:$F,)),0)+IF($P18=2,INDEX('卡片raw data'!AD:AD,MATCH($D18,'卡片raw data'!$F:$F,)),0)+IF($P18=3,INDEX('卡片raw data'!AG:AG,MATCH($D18,'卡片raw data'!$F:$F,)),0)+IF($P18=4,INDEX('卡片raw data'!AJ:AJ,MATCH($D18,'卡片raw data'!$F:$F,)),0)+IF($P18=5,INDEX('卡片raw data'!AM:AM,MATCH($D18,'卡片raw data'!$F:$F,)),0)+INDEX('卡片raw data'!U:U,MATCH($D18,'卡片raw data'!$F:$F,))*(IF($F18="UR",0.04,0.033))*(IF($F18="UR",INDEX(绊状态确认!$S:$S,MATCH($G18,绊状态确认!$B:$B,))/2-40)+IF($F18="SR",INDEX(绊状态确认!$R:$R,MATCH($G18,绊状态确认!$B:$B,))/4-15))+IF($F18="R",INDEX(绊状态确认!$Q:$Q,MATCH($G18,绊状态确认!$B:$B,))/6-40/6)))*(INDEX(绊状态确认!$H:$H,MATCH($G18,绊状态确认!$B:$B,))+INDEX(绊状态确认!L:L,MATCH($G18,绊状态确认!$B:$B,)))</f>
        <v>5671.8178559999997</v>
      </c>
      <c r="AO18" s="1107">
        <f t="shared" si="21"/>
        <v>1</v>
      </c>
      <c r="AP18" s="1131">
        <f>1+(INDEX(绊状态确认!$T:$T,MATCH($G18,绊状态确认!$B:$B,))+0.2)*$AO18</f>
        <v>1.3</v>
      </c>
      <c r="AQ18" s="1108">
        <f t="shared" si="22"/>
        <v>18138.521871999998</v>
      </c>
      <c r="AR18" s="1097">
        <f>(AM18*(1+$EX$9)+$EX$35)*(1+(INDEX(绊状态确认!$T:$T,MATCH($G18,绊状态确认!$B:$B,))+0.2)*AO18)*IF(J18=$FF$17,1+$FE$17,1)*IF(I18=$FF$14,1+$FE$14,1)</f>
        <v>13026.708497920001</v>
      </c>
      <c r="AS18" s="1097">
        <f>(AN18*(1+$EX$10)+$EX$36)*(1+(INDEX(绊状态确认!$T:$T,MATCH($G18,绊状态确认!$B:$B,))+0.2)*AO18)*IF(J18=$FF$17,1+$FE$17,1)*IF(I18=$FF$14,1+$FE$14,1)</f>
        <v>12535.367694719998</v>
      </c>
      <c r="AT18" s="1093">
        <f>IF(AND(INDEX('卡片raw data'!AK:AK,MATCH($D18,'卡片raw data'!$F:$F,))&lt;INDEX('卡片raw data'!AM:AM,MATCH($D18,'卡片raw data'!$F:$F,)),INDEX('卡片raw data'!AL:AL,MATCH($D18,'卡片raw data'!$F:$F,))&lt;INDEX('卡片raw data'!AM:AM,MATCH($D18,'卡片raw data'!$F:$F,))),1,0)</f>
        <v>0</v>
      </c>
      <c r="AU18" s="1098">
        <f>MIN(AT18*0.15+AS18*0.00003+INDEX(绊状态确认!M:M,MATCH($G18,绊状态确认!$B:$B,)),1)</f>
        <v>0.4060610308416</v>
      </c>
      <c r="AV18" s="1109">
        <f>(INDEX(绊状态确认!$N:$N,MATCH($G18,绊状态确认!$B:$B,))+1.5)*$EW$21</f>
        <v>2.6599999999999997</v>
      </c>
      <c r="AW18" s="1101">
        <f t="shared" si="23"/>
        <v>15769.960899794989</v>
      </c>
      <c r="AX18" s="1097">
        <f t="shared" si="24"/>
        <v>1117.9252997195524</v>
      </c>
      <c r="AY18" s="1110">
        <f t="shared" si="25"/>
        <v>16887.886199514542</v>
      </c>
      <c r="AZ18" s="429">
        <f t="shared" si="26"/>
        <v>13660.044819199999</v>
      </c>
      <c r="BA18" s="431">
        <f t="shared" si="27"/>
        <v>16392.053783039999</v>
      </c>
      <c r="BB18" s="1097">
        <f>(AM18*(1+$FB$9)+$FB$35)*(1+(INDEX(绊状态确认!$T:$T,MATCH($G18,绊状态确认!$B:$B,))+0.2)*AO18)*IF(J18=$FF$17,1+$FE$17,1)*IF(I18=$FF$14,1+$FE$14,1)*(1+$FE$15)</f>
        <v>13026.708497920001</v>
      </c>
      <c r="BC18" s="1097">
        <f>(AN18*(1+$FB$10)+$FB$36)*(1+(INDEX(绊状态确认!$T:$T,MATCH($G18,绊状态确认!$B:$B,))+0.2)*AO18)*IF(J18=$FF$17,1+$FE$17,1)*IF(I18=$FF$14,1+$FE$14,1)*(1+$FE$15)</f>
        <v>12535.367694719998</v>
      </c>
      <c r="BD18" s="1104">
        <f>MIN(AT18*0.15+BC18*0.00003+INDEX(绊状态确认!M:M,MATCH($G18,绊状态确认!$B:$B,)),1)</f>
        <v>0.4060610308416</v>
      </c>
      <c r="BE18" s="432">
        <f>(INDEX(绊状态确认!$N:$N,MATCH($G18,绊状态确认!$B:$B,))+1.5)</f>
        <v>1.9</v>
      </c>
      <c r="BF18" s="1139">
        <f t="array" ref="BF18">SUMPRODUCT(IF(AZ18*AP18*$FI$16:$FI$23*$FA$22&gt;=$FI$24,$FI$24,AZ18*AP18*$FI$16:$FI$23*$FA$22),$FJ$16:$FJ$23)</f>
        <v>27169.829145388805</v>
      </c>
      <c r="BG18" s="1125">
        <f t="array" ref="BG18">SUMPRODUCT(IF(BE18*AZ18*AP18*$FI$16:$FI$23*$FA$22&gt;=$FI$24,$FI$24,BE18*AZ18*AP18*$FI$16:$FI$23*$FA$22),$FJ$16:$FJ$23)</f>
        <v>51138.760415971832</v>
      </c>
      <c r="BH18" s="1110">
        <f t="shared" si="28"/>
        <v>12300.892695097738</v>
      </c>
      <c r="BI18" s="1111">
        <f>IF(O18="vo",$EW$26/$EW$24*0.05,0)+IF(O18="sk",-$EW$26/$EW$24*(0.05-INDEX(绊状态确认!W:W,MATCH($G18,绊状态确认!$B:$B,)))+0.05*$EW$28,0)+IF(O18="sp",0.05*$EW$32*$EW$30*(1-$EW$33)-(0.05-INDEX(绊状态确认!V:V,MATCH($G18,绊状态确认!$B:$B,)))*$EW$28,0)+IF(O18="gd",-(0.05-INDEX(绊状态确认!X:X,MATCH($G18,绊状态确认!$B:$B,)))*$EW$32*$EW$30*(1-$EW$33),0)</f>
        <v>-585.00000000000011</v>
      </c>
      <c r="BJ18" s="1097">
        <f>IF(O18="vo",0.05*(1-$FI$26)*$FA$24,0)+IF(O18="sk",-(0.05-INDEX(绊状态确认!W:W,MATCH($G18,绊状态确认!$B:$B,)))*(1-$FI$26)*$FA$24+0.05*$FA$26,0)+IF(O18="sp",0.05*$FA$32*$FA$27*(1-$FA$33)/$FA$30+0.05*$FA$29/$FA$69*$FA$27*(1-$FA$33)-(0.05-INDEX(绊状态确认!V:V,MATCH($G18,绊状态确认!$B:$B,)))*$FA$26,0)+IF(O18="gd",-(0.05-INDEX(绊状态确认!X:X,MATCH($G18,绊状态确认!$B:$B,)))*$FA$32*$FA$27*(1-$FA$33)/$FA$30-(0.05-INDEX(绊状态确认!X:X,MATCH($G18,绊状态确认!$B:$B,)))*$FA$29/$FA$69*$FA$27*(1-$FA$33),0)</f>
        <v>-795.00000000000011</v>
      </c>
      <c r="BK18" s="1110">
        <f>IF(O18="vo",$EW$26/$EW$24*0.05+$EW$26*(-HP($EW$62,$EW$65,$EW$64)+HP($EW$62,$EW$65,(1.05-INDEX(绊状态确认!U:U,MATCH($G18,绊状态确认!$B:$B,)))*$EW$64)),0)+IF(O18="sk",-$EW$26/$EW$24*(0.05-INDEX(绊状态确认!W:W,MATCH($G18,绊状态确认!$B:$B,)))+0.05*$EW$29,0)+IF(O18="sp",0.05*$EW$32*$EW$30*(1-$EW$33)-(0.05-INDEX(绊状态确认!V:V,MATCH($G18,绊状态确认!$B:$B,)))*$EW$29,0)+IF(O18="gd",-(0.05-INDEX(绊状态确认!X:X,MATCH($G18,绊状态确认!$B:$B,)))*$EW$32*$EW$30*(1-$EW$33)+$EW$26*(-HP($EW$62,$EW$65,$EW$64)+HP($EW$62,$EW$65,0.95*$EW$64)),0)</f>
        <v>1009.5947725176144</v>
      </c>
      <c r="BL18" s="1111">
        <f t="shared" si="29"/>
        <v>-1083.3333333333333</v>
      </c>
      <c r="BM18" s="1110">
        <f t="shared" si="30"/>
        <v>-830.55555555555543</v>
      </c>
      <c r="BN18" s="1113">
        <f t="shared" si="31"/>
        <v>3</v>
      </c>
      <c r="BO18" s="1097">
        <f t="shared" si="32"/>
        <v>4507.7214871259994</v>
      </c>
      <c r="BP18" s="1100">
        <f t="shared" si="33"/>
        <v>221.34103209030098</v>
      </c>
      <c r="BQ18" s="1113" t="s">
        <v>618</v>
      </c>
      <c r="BR18" s="1124" t="s">
        <v>622</v>
      </c>
      <c r="BS18" s="1098">
        <f>IF($P18="","N/A",IF($P18=-1,INDEX('卡片raw data'!AX:AX,MATCH($D18,'卡片raw data'!$F:$F,)),0)+IF($L18="party卡",IF($P18=5,INDEX('卡片raw data'!BD:BD,MATCH($D18,'卡片raw data'!$F:$F,)),IF($P18&gt;=3,INDEX('卡片raw data'!BC:BC,MATCH($D18,'卡片raw data'!$F:$F,)),INDEX('卡片raw data'!BB:BB,MATCH($D18,'卡片raw data'!$F:$F,)))),IF(OR(AND($F18="UR",$P18=0),AND($F18="SR",$P18&gt;=0,$P18&lt;=2),AND($F18="R",$P18&gt;=0,$P18&lt;4)),INDEX('卡片raw data'!AZ:AZ,MATCH($D18,'卡片raw data'!$F:$F,)),0)+IF(OR(AND($F18="UR",$P18&gt;=1,$P18&lt;=4),AND($F18="SR",$P18&lt;=4,$P18&gt;=3),AND($F18="R",$P18=4)),INDEX('卡片raw data'!BA:BA,MATCH($D18,'卡片raw data'!$F:$F,)),0)+IF($P18=5,INDEX('卡片raw data'!BB:BB,MATCH($D18,'卡片raw data'!$F:$F,)),0)))</f>
        <v>7.0000000000000007E-2</v>
      </c>
      <c r="BT18" s="1101">
        <f t="shared" si="34"/>
        <v>0</v>
      </c>
      <c r="BU18" s="1097">
        <f t="shared" si="35"/>
        <v>0</v>
      </c>
      <c r="BV18" s="1097">
        <f t="shared" si="36"/>
        <v>0</v>
      </c>
      <c r="BW18" s="1112">
        <f t="shared" si="37"/>
        <v>0.76993196223708016</v>
      </c>
      <c r="BX18" s="1100">
        <f t="shared" si="38"/>
        <v>60.040044567597612</v>
      </c>
      <c r="BY18" s="1110">
        <f t="shared" si="39"/>
        <v>60.040044567597612</v>
      </c>
      <c r="BZ18" s="1107" t="s">
        <v>569</v>
      </c>
      <c r="CA18" s="1124"/>
      <c r="CB18" s="1098">
        <f>IF($P18="","N/A",IF($P18=-1,INDEX('卡片raw data'!BE:BE,MATCH($D18,'卡片raw data'!$F:$F,)),0)+IF($L18="party卡",IF($P18=5,INDEX('卡片raw data'!BK:BK,MATCH($D18,'卡片raw data'!$F:$F,)),IF($P18&gt;=3,INDEX('卡片raw data'!BJ:BJ,MATCH($D18,'卡片raw data'!$F:$F,)),INDEX('卡片raw data'!BI:BI,MATCH($D18,'卡片raw data'!$F:$F,)))),IF(OR(AND($F18="UR",$P18=0),AND($F18="SR",$P18&gt;=0,$P18&lt;=2),AND($F18="R",$P18&gt;=0,$P18&lt;4)),INDEX('卡片raw data'!BG:BG,MATCH($D18,'卡片raw data'!$F:$F,)),0)+IF(OR(AND($F18="UR",$P18&gt;=1,$P18&lt;=4),AND($F18="SR",$P18&lt;=4,$P18&gt;=3),AND($F18="R",$P18=4)),INDEX('卡片raw data'!BH:BH,MATCH($D18,'卡片raw data'!$F:$F,)),0)+IF($P18=5,INDEX('卡片raw data'!BI:BI,MATCH($D18,'卡片raw data'!$F:$F,)),0)))</f>
        <v>0</v>
      </c>
      <c r="CC18" s="1101">
        <f t="shared" si="40"/>
        <v>0</v>
      </c>
      <c r="CD18" s="1097">
        <f>IF(BZ18="ap",CB18*(1-$FI$26)*$FB$5/$FB$11*(+IF(CA18="全员",$FA$24,0)+IF(CA18="同作战",$FA$24,0)+IF(CA18="仲间",$FA$24*2/3,0)+IF(CA18="同属性",$FA$24*$FA$37/3,0)+IF(CA18="同年级",$FA$24*$FA$40/3,0)+IF(CA18="同学校",$FA$24*$FA$43/3,0)+IF(CA18="同小队",$FA$24*$FA$46/3,0)+IF(CA18="同type",$FA$24*INDEX($FB$49:$FB$52,MATCH(X18,$FA$49:$FA$52,))/3,0)+IF(CA18="自身",#REF!/3,0)),0)+IF(BZ18="te",CB18*(1-$FI$27)*($FA$20-1)*$FB$7/$FB$13*(+IF(CA18="全员",$FA$19*$FA$24/(1+($FA$20-1)*$FA$19),0)+IF(CA18="同作战",$FA$19*$FA$24/(1+($FA$20-1)*$FA$19),0)+IF(CA18="仲间",$FA$19*$FA$24*2/3/(1+($FA$20-1)*$FA$19),0)+IF(CA18="同属性",$FA$19*$FA$24*$FA$37/3/(1+($FA$20-1)*$FA$19),0)+IF(CA18="同年级",$FA$19*$FA$24*$FA$40/3/(1+($FA$20-1)*$FA$19),0)+IF(CA18="同学校",$FA$19*$FA$24*$FA$43/3/(1+($FA$20-1)*$FA$19),0)+IF(CA18="同小队",$FA$19*$FA$24*$FA$46/3/(1+($FA$20-1)*$FA$19),0)+IF(CA18="同type",$FA$19*$FA$24*INDEX($FB$49:$FB$52,MATCH(X18,$FA$49:$FA$52,))/3/(1+($FA$20-1)*$FA$19),0)+IF(CA18="自身",$FA$19*#REF!/3/(1+(BH18-1)*$BD18),0)),0)</f>
        <v>0</v>
      </c>
      <c r="CE18" s="1097">
        <f t="shared" si="41"/>
        <v>0</v>
      </c>
      <c r="CF18" s="1112">
        <f t="shared" si="42"/>
        <v>0</v>
      </c>
      <c r="CG18" s="1100">
        <f t="shared" si="43"/>
        <v>0</v>
      </c>
      <c r="CH18" s="1110">
        <f t="shared" si="44"/>
        <v>0</v>
      </c>
      <c r="CI18" s="1113" t="s">
        <v>162</v>
      </c>
      <c r="CJ18" s="1114">
        <v>0.3</v>
      </c>
      <c r="CK18" s="1115" t="s">
        <v>635</v>
      </c>
      <c r="CL18" s="1115" t="s">
        <v>1944</v>
      </c>
      <c r="CM18" s="1119">
        <v>0.2</v>
      </c>
      <c r="CN18" s="1115"/>
      <c r="CO18" s="1092"/>
      <c r="CP18" s="1116">
        <f t="shared" si="45"/>
        <v>16.748625211611429</v>
      </c>
      <c r="CQ18" s="1116">
        <f t="shared" si="46"/>
        <v>26.053416995840003</v>
      </c>
      <c r="CR18" s="1116">
        <f t="shared" si="47"/>
        <v>16.748625211611429</v>
      </c>
      <c r="CS18" s="1118">
        <f t="shared" si="48"/>
        <v>0</v>
      </c>
      <c r="CT18" s="1109">
        <f t="shared" si="49"/>
        <v>0</v>
      </c>
      <c r="CU18" s="1101">
        <f t="shared" si="50"/>
        <v>0</v>
      </c>
      <c r="CV18" s="1108">
        <f t="shared" si="51"/>
        <v>0</v>
      </c>
      <c r="CW18" s="1097">
        <f t="shared" si="52"/>
        <v>0</v>
      </c>
      <c r="CX18" s="1097">
        <f t="shared" si="53"/>
        <v>0</v>
      </c>
      <c r="CY18" s="1110">
        <f t="shared" si="54"/>
        <v>1349.2594165048663</v>
      </c>
      <c r="CZ18" s="437"/>
      <c r="DA18" s="438"/>
      <c r="DB18" s="439" t="s">
        <v>569</v>
      </c>
      <c r="DC18" s="439"/>
      <c r="DD18" s="443"/>
      <c r="DE18" s="411"/>
      <c r="DF18" s="411"/>
      <c r="DG18" s="1116">
        <f t="shared" si="55"/>
        <v>0</v>
      </c>
      <c r="DH18" s="1116">
        <f t="shared" si="56"/>
        <v>0</v>
      </c>
      <c r="DI18" s="1116">
        <f t="shared" si="57"/>
        <v>0</v>
      </c>
      <c r="DJ18" s="442">
        <f t="shared" si="58"/>
        <v>0</v>
      </c>
      <c r="DK18" s="1109">
        <f t="shared" si="59"/>
        <v>0</v>
      </c>
      <c r="DL18" s="1101">
        <f t="shared" si="60"/>
        <v>0</v>
      </c>
      <c r="DM18" s="1097">
        <f t="shared" si="61"/>
        <v>0</v>
      </c>
      <c r="DN18" s="1097">
        <f t="shared" si="62"/>
        <v>0</v>
      </c>
      <c r="DO18" s="1097">
        <f t="shared" si="63"/>
        <v>0</v>
      </c>
      <c r="DP18" s="1110">
        <f t="shared" si="64"/>
        <v>0</v>
      </c>
      <c r="DQ18" s="1113" t="s">
        <v>635</v>
      </c>
      <c r="DR18" s="1120">
        <f t="shared" si="65"/>
        <v>0.3</v>
      </c>
      <c r="DS18" s="1124"/>
      <c r="DT18" s="1093" t="s">
        <v>552</v>
      </c>
      <c r="DU18" s="1093"/>
      <c r="DV18" s="1098">
        <f>IF($P18="","N/A",IF(P18=-1,INDEX('卡片raw data'!AN:AN,MATCH(D18,'卡片raw data'!$F:$F,)),0)+IF(AND(L18&lt;&gt;"party卡",P18&lt;=2,P18&gt;=0),INDEX('卡片raw data'!AP:AP,MATCH(D18,'卡片raw data'!$F:$F,)),0)+IF(OR(AND(L18="party卡",P18&lt;=1),AND(P18&lt;=4,L18&lt;&gt;"party卡",P18&gt;=3)),INDEX('卡片raw data'!AQ:AQ,MATCH(D18,'卡片raw data'!$F:$F,)),0)+IF(OR(P18=5,AND(L18="party卡",P18&gt;=2)),INDEX('卡片raw data'!AR:AR,MATCH(D18,'卡片raw data'!$F:$F,)),0))</f>
        <v>0.32</v>
      </c>
      <c r="DW18" s="1098">
        <f t="shared" si="66"/>
        <v>0.3</v>
      </c>
      <c r="DX18" s="1098">
        <f t="shared" si="67"/>
        <v>0.3</v>
      </c>
      <c r="DY18" s="1125">
        <f t="shared" si="68"/>
        <v>416.85467193343999</v>
      </c>
      <c r="DZ18" s="1125">
        <f t="shared" si="69"/>
        <v>360.57929122242558</v>
      </c>
      <c r="EA18" s="1098">
        <f t="shared" si="70"/>
        <v>0</v>
      </c>
      <c r="EB18" s="1121">
        <f t="shared" si="71"/>
        <v>0</v>
      </c>
      <c r="EC18" s="1101">
        <f t="shared" si="72"/>
        <v>0</v>
      </c>
      <c r="ED18" s="1097">
        <f t="shared" si="73"/>
        <v>0</v>
      </c>
      <c r="EE18" s="1110">
        <f t="shared" si="74"/>
        <v>48435.03108962375</v>
      </c>
      <c r="EF18" s="1092" t="s">
        <v>711</v>
      </c>
      <c r="EG18" s="1120">
        <f t="shared" si="75"/>
        <v>0.3</v>
      </c>
      <c r="EH18" s="1124"/>
      <c r="EI18" s="1093"/>
      <c r="EJ18" s="1093"/>
      <c r="EK18" s="1097">
        <f>IF($P18="","N/A",IF(P18=-1,INDEX('卡片raw data'!AS:AS,MATCH(D18,'卡片raw data'!$F:$F,)),0)+IF(AND(L18&lt;&gt;"party卡",P18&lt;=2,P18&gt;=0),INDEX('卡片raw data'!AU:AU,MATCH(D18,'卡片raw data'!$F:$F,)),0)+IF(OR(AND(L18="party卡",P18&lt;=1),AND(P18&lt;=4,L18&lt;&gt;"party卡",P18&gt;=3)),INDEX('卡片raw data'!AV:AV,MATCH(D18,'卡片raw data'!$F:$F,)),0)+IF(OR(P18=5,AND(L18="party卡",P18&gt;=2)),INDEX('卡片raw data'!AW:AW,MATCH(D18,'卡片raw data'!$F:$F,)),0))</f>
        <v>0</v>
      </c>
      <c r="EL18" s="1098">
        <f t="shared" si="76"/>
        <v>0.3</v>
      </c>
      <c r="EM18" s="1098">
        <f t="shared" si="77"/>
        <v>0.3</v>
      </c>
      <c r="EN18" s="1125">
        <f t="shared" si="78"/>
        <v>0</v>
      </c>
      <c r="EO18" s="1125">
        <f t="shared" si="79"/>
        <v>0</v>
      </c>
      <c r="EP18" s="1098">
        <f t="shared" si="80"/>
        <v>0</v>
      </c>
      <c r="EQ18" s="1121">
        <f t="shared" si="81"/>
        <v>0</v>
      </c>
      <c r="ER18" s="1101">
        <f t="shared" si="82"/>
        <v>0</v>
      </c>
      <c r="ES18" s="1097">
        <f t="shared" si="83"/>
        <v>0</v>
      </c>
      <c r="ET18" s="1122">
        <f t="shared" si="84"/>
        <v>0</v>
      </c>
      <c r="EV18" s="1348"/>
      <c r="EW18" s="1217" t="s">
        <v>145</v>
      </c>
      <c r="EX18" s="1218">
        <f>EX13*(1+EW$23)</f>
        <v>27228.5</v>
      </c>
      <c r="EY18" s="1212"/>
      <c r="EZ18" s="1348"/>
      <c r="FA18" s="1217" t="s">
        <v>145</v>
      </c>
      <c r="FB18" s="1218">
        <f>FB13*(1+FA$21)</f>
        <v>23134</v>
      </c>
      <c r="FC18" s="447"/>
      <c r="FD18" s="472" t="s">
        <v>241</v>
      </c>
      <c r="FE18" s="473">
        <v>0</v>
      </c>
      <c r="FF18" s="474" t="s">
        <v>18</v>
      </c>
      <c r="FG18" s="447"/>
      <c r="FH18" s="465">
        <f t="shared" si="87"/>
        <v>85499.05</v>
      </c>
      <c r="FI18" s="560">
        <f t="shared" si="86"/>
        <v>1.4</v>
      </c>
      <c r="FJ18" s="558">
        <f t="shared" si="86"/>
        <v>0.2</v>
      </c>
      <c r="FL18" s="469" t="s">
        <v>694</v>
      </c>
      <c r="FM18" s="1366">
        <f>FM15*FM14*1.15</f>
        <v>0.74002499999999993</v>
      </c>
      <c r="FN18" s="1367"/>
    </row>
    <row r="19" spans="2:170" ht="16.5" customHeight="1" thickTop="1">
      <c r="B19" s="1123" t="str">
        <f>INDEX('卡片raw data'!B:B,MATCH($D19,'卡片raw data'!$F:$F,))</f>
        <v>初始海</v>
      </c>
      <c r="C19" s="449" t="s">
        <v>124</v>
      </c>
      <c r="D19" s="408">
        <v>16</v>
      </c>
      <c r="E19" s="1090">
        <v>100043001</v>
      </c>
      <c r="F19" s="1090" t="str">
        <f>INDEX('卡片raw data'!C:C,MATCH($D19,'卡片raw data'!$F:$F,))</f>
        <v>UR</v>
      </c>
      <c r="G19" s="1094" t="s">
        <v>27</v>
      </c>
      <c r="H19" s="411">
        <f>IFERROR(INDEX(绊状态确认!C:C,MATCH($G19,绊状态确认!$B:$B,)),"")</f>
        <v>4</v>
      </c>
      <c r="I19" s="450" t="str">
        <f>IFERROR(INDEX(绊状态确认!D:D,MATCH($G19,绊状态确认!$B:$B,)),"")</f>
        <v>缪</v>
      </c>
      <c r="J19" s="450" t="str">
        <f>IFERROR(INDEX(绊状态确认!E:E,MATCH($G19,绊状态确认!$B:$B,)),"")</f>
        <v>2年级</v>
      </c>
      <c r="K19" s="451" t="str">
        <f>IFERROR(INDEX(绊状态确认!F:F,MATCH($G19,绊状态确认!$B:$B,)),"")</f>
        <v>lilywhite</v>
      </c>
      <c r="L19" s="1094" t="str">
        <f>INDEX('卡片raw data'!E:E,MATCH($D19,'卡片raw data'!$F:$F,))</f>
        <v>卡池卡</v>
      </c>
      <c r="M19" s="415">
        <v>43735</v>
      </c>
      <c r="N19" s="416">
        <v>0</v>
      </c>
      <c r="O19" s="1091" t="str">
        <f>INDEX('卡片raw data'!D:D,MATCH($D19,'卡片raw data'!$F:$F,))</f>
        <v>sp</v>
      </c>
      <c r="P19" s="417">
        <v>5</v>
      </c>
      <c r="Q19" s="1095">
        <f t="shared" si="0"/>
        <v>50044.04838605065</v>
      </c>
      <c r="R19" s="1096">
        <f t="shared" si="1"/>
        <v>0.58099999999999996</v>
      </c>
      <c r="S19" s="1097">
        <f t="shared" si="2"/>
        <v>21035.080793662357</v>
      </c>
      <c r="T19" s="1098">
        <f t="shared" si="3"/>
        <v>1.0509999999999999</v>
      </c>
      <c r="U19" s="1099">
        <f t="shared" si="4"/>
        <v>11.885157737142858</v>
      </c>
      <c r="V19" s="1100">
        <f t="shared" si="5"/>
        <v>49191.969786144335</v>
      </c>
      <c r="W19" s="1101">
        <f t="shared" si="6"/>
        <v>5754.8775130156791</v>
      </c>
      <c r="X19" s="1096">
        <f t="shared" si="7"/>
        <v>6.6000000000000003E-2</v>
      </c>
      <c r="Y19" s="1097">
        <f t="shared" si="8"/>
        <v>947.92140009368723</v>
      </c>
      <c r="Z19" s="1102">
        <f t="shared" si="9"/>
        <v>11.885157737142858</v>
      </c>
      <c r="AA19" s="1103">
        <f t="shared" si="10"/>
        <v>6702.7989131093664</v>
      </c>
      <c r="AB19" s="1101">
        <f t="shared" si="11"/>
        <v>6981.1406817625029</v>
      </c>
      <c r="AC19" s="1104">
        <f t="shared" si="12"/>
        <v>8.1000000000000003E-2</v>
      </c>
      <c r="AD19" s="1105">
        <f t="shared" si="13"/>
        <v>-1.6087500000000001E-2</v>
      </c>
      <c r="AE19" s="1128">
        <f t="shared" si="14"/>
        <v>47.734962730978253</v>
      </c>
      <c r="AF19" s="1130">
        <f t="shared" si="15"/>
        <v>0</v>
      </c>
      <c r="AG19" s="420">
        <f t="shared" si="16"/>
        <v>0</v>
      </c>
      <c r="AH19" s="420">
        <f t="shared" si="17"/>
        <v>0</v>
      </c>
      <c r="AI19" s="1097">
        <f t="shared" si="18"/>
        <v>0</v>
      </c>
      <c r="AJ19" s="420">
        <f t="shared" si="19"/>
        <v>0</v>
      </c>
      <c r="AK19" s="518">
        <f t="shared" si="20"/>
        <v>0</v>
      </c>
      <c r="AL19" s="1106">
        <f>IF($P19="","N/A",(IF($P19=-1,INDEX('卡片raw data'!S:S,MATCH($D19,'卡片raw data'!$F:$F,)),0)+IF($P19=0,INDEX('卡片raw data'!V:V,MATCH($D19,'卡片raw data'!$F:$F,)),0)+IF($P19=1,INDEX('卡片raw data'!Y:Y,MATCH($D19,'卡片raw data'!$F:$F,)),0)+IF($P19=2,INDEX('卡片raw data'!AB:AB,MATCH($D19,'卡片raw data'!$F:$F,)),0)+IF($P19=3,INDEX('卡片raw data'!AE:AE,MATCH($D19,'卡片raw data'!$F:$F,)),0)+IF($P19=4,INDEX('卡片raw data'!AH:AH,MATCH($D19,'卡片raw data'!$F:$F,)),0)+IF($P19=5,INDEX('卡片raw data'!AK:AK,MATCH($D19,'卡片raw data'!$F:$F,)),0)+INDEX('卡片raw data'!S:S,MATCH($D19,'卡片raw data'!$F:$F,))*(IF($F19="UR",0.04,0.033))*(IF($F19="UR",INDEX(绊状态确认!$S:$S,MATCH($G19,绊状态确认!$B:$B,))/2-40)+IF($F19="SR",INDEX(绊状态确认!$R:$R,MATCH($G19,绊状态确认!$B:$B,))/4-15))+IF($F19="R",INDEX(绊状态确认!$Q:$Q,MATCH($G19,绊状态确认!$B:$B,))/6-40/6)))*(INDEX(绊状态确认!$H:$H,MATCH($G19,绊状态确认!$B:$B,))+INDEX(绊状态确认!J:J,MATCH($G19,绊状态确认!$B:$B,)))</f>
        <v>13827.715199999999</v>
      </c>
      <c r="AM19" s="1106">
        <f>IF($P19="","N/A",(IF($P19=-1,INDEX('卡片raw data'!T:T,MATCH($D19,'卡片raw data'!$F:$F,)),0)+IF($P19=0,INDEX('卡片raw data'!W:W,MATCH($D19,'卡片raw data'!$F:$F,)),0)+IF($P19=1,INDEX('卡片raw data'!Z:Z,MATCH($D19,'卡片raw data'!$F:$F,)),0)+IF($P19=2,INDEX('卡片raw data'!AC:AC,MATCH($D19,'卡片raw data'!$F:$F,)),0)+IF($P19=3,INDEX('卡片raw data'!AF:AF,MATCH($D19,'卡片raw data'!$F:$F,)),0)+IF($P19=4,INDEX('卡片raw data'!AI:AI,MATCH($D19,'卡片raw data'!$F:$F,)),0)+IF($P19=5,INDEX('卡片raw data'!AL:AL,MATCH($D19,'卡片raw data'!$F:$F,)),0)+INDEX('卡片raw data'!T:T,MATCH($D19,'卡片raw data'!$F:$F,))*(IF($F19="UR",0.04,0.033))*(IF($F19="UR",INDEX(绊状态确认!$S:$S,MATCH($G19,绊状态确认!$B:$B,))/2-40)+IF($F19="SR",INDEX(绊状态确认!$R:$R,MATCH($G19,绊状态确认!$B:$B,))/4-15))+IF($F19="R",INDEX(绊状态确认!$Q:$Q,MATCH($G19,绊状态确认!$B:$B,))/6-40/6)))*(INDEX(绊状态确认!$H:$H,MATCH($G19,绊状态确认!$B:$B,))+INDEX(绊状态确认!K:K,MATCH($G19,绊状态确认!$B:$B,)))</f>
        <v>6145.6511999999993</v>
      </c>
      <c r="AN19" s="1106">
        <f>IF($P19="","N/A",(IF($P19=-1,INDEX('卡片raw data'!U:U,MATCH($D19,'卡片raw data'!$F:$F,)),0)+IF($P19=0,INDEX('卡片raw data'!X:X,MATCH($D19,'卡片raw data'!$F:$F,)),0)+IF($P19=1,INDEX('卡片raw data'!AA:AA,MATCH($D19,'卡片raw data'!$F:$F,)),0)+IF($P19=2,INDEX('卡片raw data'!AD:AD,MATCH($D19,'卡片raw data'!$F:$F,)),0)+IF($P19=3,INDEX('卡片raw data'!AG:AG,MATCH($D19,'卡片raw data'!$F:$F,)),0)+IF($P19=4,INDEX('卡片raw data'!AJ:AJ,MATCH($D19,'卡片raw data'!$F:$F,)),0)+IF($P19=5,INDEX('卡片raw data'!AM:AM,MATCH($D19,'卡片raw data'!$F:$F,)),0)+INDEX('卡片raw data'!U:U,MATCH($D19,'卡片raw data'!$F:$F,))*(IF($F19="UR",0.04,0.033))*(IF($F19="UR",INDEX(绊状态确认!$S:$S,MATCH($G19,绊状态确认!$B:$B,))/2-40)+IF($F19="SR",INDEX(绊状态确认!$R:$R,MATCH($G19,绊状态确认!$B:$B,))/4-15))+IF($F19="R",INDEX(绊状态确认!$Q:$Q,MATCH($G19,绊状态确认!$B:$B,))/6-40/6)))*(INDEX(绊状态确认!$H:$H,MATCH($G19,绊状态确认!$B:$B,))+INDEX(绊状态确认!L:L,MATCH($G19,绊状态确认!$B:$B,)))</f>
        <v>10754.889599999999</v>
      </c>
      <c r="AO19" s="1107">
        <f t="shared" si="21"/>
        <v>1</v>
      </c>
      <c r="AP19" s="1131">
        <f>1+(INDEX(绊状态确认!$T:$T,MATCH($G19,绊状态确认!$B:$B,))+0.2)*$AO19</f>
        <v>1.3</v>
      </c>
      <c r="AQ19" s="1108">
        <f t="shared" si="22"/>
        <v>39547.752399999998</v>
      </c>
      <c r="AR19" s="1097">
        <f>(AM19*(1+$EX$9)+$EX$35)*(1+(INDEX(绊状态确认!$T:$T,MATCH($G19,绊状态确认!$B:$B,))+0.2)*AO19)*IF(J19=$FF$17,1+$FE$17,1)*IF(I19=$FF$14,1+$FE$14,1)*(1+$FE$15)</f>
        <v>11092.813888000001</v>
      </c>
      <c r="AS19" s="1097">
        <f>(AN19*(1+$EX$10)+$EX$36)*(1+(INDEX(绊状态确认!$T:$T,MATCH($G19,绊状态确认!$B:$B,))+0.2)*AO19)*IF(J19=$FF$17,1+$FE$17,1)*IF(I19=$FF$14,1+$FE$14,1)*(1+$FE$15)</f>
        <v>20134.559951999996</v>
      </c>
      <c r="AT19" s="1093">
        <f>IF(AND(INDEX('卡片raw data'!AK:AK,MATCH($D19,'卡片raw data'!$F:$F,))&lt;INDEX('卡片raw data'!AM:AM,MATCH($D19,'卡片raw data'!$F:$F,)),INDEX('卡片raw data'!AL:AL,MATCH($D19,'卡片raw data'!$F:$F,))&lt;INDEX('卡片raw data'!AM:AM,MATCH($D19,'卡片raw data'!$F:$F,))),1,0)</f>
        <v>0</v>
      </c>
      <c r="AU19" s="1098">
        <f>MIN(AT19*0.15+AS19*0.00003+INDEX(绊状态确认!M:M,MATCH($G19,绊状态确认!$B:$B,)),1)</f>
        <v>0.63403679855999995</v>
      </c>
      <c r="AV19" s="1109">
        <f>(INDEX(绊状态确认!$N:$N,MATCH($G19,绊状态确认!$B:$B,))+1.5)*$EW$21</f>
        <v>2.6599999999999997</v>
      </c>
      <c r="AW19" s="1101">
        <f t="shared" si="23"/>
        <v>42156.307704288149</v>
      </c>
      <c r="AX19" s="1097">
        <f t="shared" si="24"/>
        <v>947.921400093687</v>
      </c>
      <c r="AY19" s="1110">
        <f t="shared" si="25"/>
        <v>43104.229104381833</v>
      </c>
      <c r="AZ19" s="429">
        <f t="shared" si="26"/>
        <v>29564.044639999996</v>
      </c>
      <c r="BA19" s="431">
        <f t="shared" si="27"/>
        <v>35476.853567999991</v>
      </c>
      <c r="BB19" s="1097">
        <f>(AM19*(1+$FB$9)+$FB$35)*(1+(INDEX(绊状态确认!$T:$T,MATCH($G19,绊状态确认!$B:$B,))+0.2)*AO19)*IF(J19=$FF$17,1+$FE$17,1)*IF(I19=$FF$14,1+$FE$14,1)*(1+$FE$15)</f>
        <v>11092.813888000001</v>
      </c>
      <c r="BC19" s="1097">
        <f>(AN19*(1+$FB$10)+$FB$36)*(1+(INDEX(绊状态确认!$T:$T,MATCH($G19,绊状态确认!$B:$B,))+0.2)*AO19)*IF(J19=$FF$17,1+$FE$17,1)*IF(I19=$FF$14,1+$FE$14,1)*(1+$FE$15)</f>
        <v>20134.559951999996</v>
      </c>
      <c r="BD19" s="1104">
        <f>MIN(AT19*0.15+BC19*0.00003+INDEX(绊状态确认!M:M,MATCH($G19,绊状态确认!$B:$B,)),1)</f>
        <v>0.63403679855999995</v>
      </c>
      <c r="BE19" s="432">
        <f>(INDEX(绊状态确认!$N:$N,MATCH($G19,绊状态确认!$B:$B,))+1.5)</f>
        <v>1.9</v>
      </c>
      <c r="BF19" s="1139">
        <f t="array" ref="BF19">SUMPRODUCT(IF(AZ19*AP19*$FI$16:$FI$23*$FA$22&gt;=$FI$24,$FI$24,AZ19*AP19*$FI$16:$FI$23*$FA$22),$FJ$16:$FJ$23)</f>
        <v>55899.604166559999</v>
      </c>
      <c r="BG19" s="1125">
        <f t="array" ref="BG19">SUMPRODUCT(IF(BE19*AZ19*AP19*$FI$16:$FI$23*$FA$22&gt;=$FI$24,$FI$24,BE19*AZ19*AP19*$FI$16:$FI$23*$FA$22),$FJ$16:$FJ$23)</f>
        <v>60000</v>
      </c>
      <c r="BH19" s="1110">
        <f t="shared" si="28"/>
        <v>19499.802004541019</v>
      </c>
      <c r="BI19" s="1111">
        <f>IF(O19="vo",$EW$26/$EW$24*0.05,0)+IF(O19="sk",-$EW$26/$EW$24*(0.05-INDEX(绊状态确认!W:W,MATCH($G19,绊状态确认!$B:$B,)))+0.05*$EW$28,0)+IF(O19="sp",0.05*$EW$32*$EW$30*(1-$EW$33)-(0.05-INDEX(绊状态确认!V:V,MATCH($G19,绊状态确认!$B:$B,)))*$EW$28,0)+IF(O19="gd",-(0.05-INDEX(绊状态确认!X:X,MATCH($G19,绊状态确认!$B:$B,)))*$EW$32*$EW$30*(1-$EW$33),0)</f>
        <v>19.999999999999886</v>
      </c>
      <c r="BJ19" s="1097">
        <f>IF(O19="vo",0.05*(1-$FI$26)*$FA$24,0)+IF(O19="sk",-(0.05-INDEX(绊状态确认!W:W,MATCH($G19,绊状态确认!$B:$B,)))*(1-$FI$26)*$FA$24+0.05*$FA$26,0)+IF(O19="sp",0.05*$FA$32*$FA$27*(1-$FA$33)/$FA$30+0.05*$FA$29/$FA$69*$FA$27*(1-$FA$33)-(0.05-INDEX(绊状态确认!V:V,MATCH($G19,绊状态确认!$B:$B,)))*$FA$26,0)+IF(O19="gd",-(0.05-INDEX(绊状态确认!X:X,MATCH($G19,绊状态确认!$B:$B,)))*$FA$32*$FA$27*(1-$FA$33)/$FA$30-(0.05-INDEX(绊状态确认!X:X,MATCH($G19,绊状态确认!$B:$B,)))*$FA$29/$FA$69*$FA$27*(1-$FA$33),0)</f>
        <v>545.83333333333326</v>
      </c>
      <c r="BK19" s="1110">
        <f>IF(O19="vo",$EW$26/$EW$24*0.05+$EW$26*(-HP($EW$62,$EW$65,$EW$64)+HP($EW$62,$EW$65,(1.05-INDEX(绊状态确认!U:U,MATCH($G19,绊状态确认!$B:$B,)))*$EW$64)),0)+IF(O19="sk",-$EW$26/$EW$24*(0.05-INDEX(绊状态确认!W:W,MATCH($G19,绊状态确认!$B:$B,)))+0.05*$EW$29,0)+IF(O19="sp",0.05*$EW$32*$EW$30*(1-$EW$33)-(0.05-INDEX(绊状态确认!V:V,MATCH($G19,绊状态确认!$B:$B,)))*$EW$29,0)+IF(O19="gd",-(0.05-INDEX(绊状态确认!X:X,MATCH($G19,绊状态确认!$B:$B,)))*$EW$32*$EW$30*(1-$EW$33)+$EW$26*(-HP($EW$62,$EW$65,$EW$64)+HP($EW$62,$EW$65,0.95*$EW$64)),0)</f>
        <v>-1780.0000000000005</v>
      </c>
      <c r="BL19" s="1111">
        <f t="shared" si="29"/>
        <v>0</v>
      </c>
      <c r="BM19" s="1110">
        <f t="shared" si="30"/>
        <v>0</v>
      </c>
      <c r="BN19" s="1113">
        <f t="shared" si="31"/>
        <v>3</v>
      </c>
      <c r="BO19" s="1097">
        <f t="shared" si="32"/>
        <v>4507.7214871259994</v>
      </c>
      <c r="BP19" s="1100">
        <f t="shared" si="33"/>
        <v>221.34103209030098</v>
      </c>
      <c r="BQ19" s="1113" t="s">
        <v>145</v>
      </c>
      <c r="BR19" s="1124" t="s">
        <v>148</v>
      </c>
      <c r="BS19" s="1098">
        <f>IF($P19="","N/A",IF($P19=-1,INDEX('卡片raw data'!AX:AX,MATCH($D19,'卡片raw data'!$F:$F,)),0)+IF($L19="party卡",IF($P19=5,INDEX('卡片raw data'!BD:BD,MATCH($D19,'卡片raw data'!$F:$F,)),IF($P19&gt;=3,INDEX('卡片raw data'!BC:BC,MATCH($D19,'卡片raw data'!$F:$F,)),INDEX('卡片raw data'!BB:BB,MATCH($D19,'卡片raw data'!$F:$F,)))),IF(OR(AND($F19="UR",$P19=0),AND($F19="SR",$P19&gt;=0,$P19&lt;=2),AND($F19="R",$P19&gt;=0,$P19&lt;4)),INDEX('卡片raw data'!AZ:AZ,MATCH($D19,'卡片raw data'!$F:$F,)),0)+IF(OR(AND($F19="UR",$P19&gt;=1,$P19&lt;=4),AND($F19="SR",$P19&lt;=4,$P19&gt;=3),AND($F19="R",$P19=4)),INDEX('卡片raw data'!BA:BA,MATCH($D19,'卡片raw data'!$F:$F,)),0)+IF($P19=5,INDEX('卡片raw data'!BB:BB,MATCH($D19,'卡片raw data'!$F:$F,)),0)))</f>
        <v>5.1999999999999998E-2</v>
      </c>
      <c r="BT19" s="1101">
        <f t="shared" si="34"/>
        <v>2452.5263374936467</v>
      </c>
      <c r="BU19" s="1097">
        <f t="shared" si="35"/>
        <v>155.22419036436909</v>
      </c>
      <c r="BV19" s="1097">
        <f t="shared" si="36"/>
        <v>1226.2631687468233</v>
      </c>
      <c r="BW19" s="1112">
        <f t="shared" si="37"/>
        <v>0</v>
      </c>
      <c r="BX19" s="1100">
        <f t="shared" si="38"/>
        <v>2452.5263374936467</v>
      </c>
      <c r="BY19" s="1110">
        <f t="shared" si="39"/>
        <v>1226.2631687468233</v>
      </c>
      <c r="BZ19" s="1107" t="s">
        <v>569</v>
      </c>
      <c r="CA19" s="1124"/>
      <c r="CB19" s="1098">
        <f>IF($P19="","N/A",IF($P19=-1,INDEX('卡片raw data'!BE:BE,MATCH($D19,'卡片raw data'!$F:$F,)),0)+IF($L19="party卡",IF($P19=5,INDEX('卡片raw data'!BK:BK,MATCH($D19,'卡片raw data'!$F:$F,)),IF($P19&gt;=3,INDEX('卡片raw data'!BJ:BJ,MATCH($D19,'卡片raw data'!$F:$F,)),INDEX('卡片raw data'!BI:BI,MATCH($D19,'卡片raw data'!$F:$F,)))),IF(OR(AND($F19="UR",$P19=0),AND($F19="SR",$P19&gt;=0,$P19&lt;=2),AND($F19="R",$P19&gt;=0,$P19&lt;4)),INDEX('卡片raw data'!BG:BG,MATCH($D19,'卡片raw data'!$F:$F,)),0)+IF(OR(AND($F19="UR",$P19&gt;=1,$P19&lt;=4),AND($F19="SR",$P19&lt;=4,$P19&gt;=3),AND($F19="R",$P19=4)),INDEX('卡片raw data'!BH:BH,MATCH($D19,'卡片raw data'!$F:$F,)),0)+IF($P19=5,INDEX('卡片raw data'!BI:BI,MATCH($D19,'卡片raw data'!$F:$F,)),0)))</f>
        <v>0</v>
      </c>
      <c r="CC19" s="1101">
        <f t="shared" si="40"/>
        <v>0</v>
      </c>
      <c r="CD19" s="1097">
        <f>IF(BZ19="ap",CB19*(1-$FI$26)*$FB$5/$FB$11*(+IF(CA19="全员",$FA$24,0)+IF(CA19="同作战",$FA$24,0)+IF(CA19="仲间",$FA$24*2/3,0)+IF(CA19="同属性",$FA$24*$FA$37/3,0)+IF(CA19="同年级",$FA$24*$FA$40/3,0)+IF(CA19="同学校",$FA$24*$FA$43/3,0)+IF(CA19="同小队",$FA$24*$FA$46/3,0)+IF(CA19="同type",$FA$24*INDEX($FB$49:$FB$52,MATCH(X19,$FA$49:$FA$52,))/3,0)+IF(CA19="自身",#REF!/3,0)),0)+IF(BZ19="te",CB19*(1-$FI$27)*($FA$20-1)*$FB$7/$FB$13*(+IF(CA19="全员",$FA$19*$FA$24/(1+($FA$20-1)*$FA$19),0)+IF(CA19="同作战",$FA$19*$FA$24/(1+($FA$20-1)*$FA$19),0)+IF(CA19="仲间",$FA$19*$FA$24*2/3/(1+($FA$20-1)*$FA$19),0)+IF(CA19="同属性",$FA$19*$FA$24*$FA$37/3/(1+($FA$20-1)*$FA$19),0)+IF(CA19="同年级",$FA$19*$FA$24*$FA$40/3/(1+($FA$20-1)*$FA$19),0)+IF(CA19="同学校",$FA$19*$FA$24*$FA$43/3/(1+($FA$20-1)*$FA$19),0)+IF(CA19="同小队",$FA$19*$FA$24*$FA$46/3/(1+($FA$20-1)*$FA$19),0)+IF(CA19="同type",$FA$19*$FA$24*INDEX($FB$49:$FB$52,MATCH(X19,$FA$49:$FA$52,))/3/(1+($FA$20-1)*$FA$19),0)+IF(CA19="自身",$FA$19*#REF!/3/(1+(BH19-1)*$BD19),0)),0)</f>
        <v>0</v>
      </c>
      <c r="CE19" s="1097">
        <f t="shared" si="41"/>
        <v>0</v>
      </c>
      <c r="CF19" s="1112">
        <f t="shared" si="42"/>
        <v>0</v>
      </c>
      <c r="CG19" s="1100">
        <f t="shared" si="43"/>
        <v>0</v>
      </c>
      <c r="CH19" s="1110">
        <f t="shared" si="44"/>
        <v>0</v>
      </c>
      <c r="CI19" s="1113" t="s">
        <v>170</v>
      </c>
      <c r="CJ19" s="1114">
        <v>0.3</v>
      </c>
      <c r="CK19" s="1115" t="s">
        <v>157</v>
      </c>
      <c r="CL19" s="1115" t="s">
        <v>161</v>
      </c>
      <c r="CM19" s="1119">
        <v>0.1</v>
      </c>
      <c r="CN19" s="1115">
        <v>15</v>
      </c>
      <c r="CO19" s="1092"/>
      <c r="CP19" s="1118">
        <f t="shared" si="45"/>
        <v>1.6071428571428569E-3</v>
      </c>
      <c r="CQ19" s="1118">
        <f t="shared" si="46"/>
        <v>2.4999999999999996E-3</v>
      </c>
      <c r="CR19" s="1118">
        <f t="shared" si="47"/>
        <v>1.6071428571428569E-3</v>
      </c>
      <c r="CS19" s="1118">
        <f t="shared" si="48"/>
        <v>0</v>
      </c>
      <c r="CT19" s="1109">
        <f t="shared" si="49"/>
        <v>23.203125</v>
      </c>
      <c r="CU19" s="1101">
        <f t="shared" si="50"/>
        <v>20.892857142857139</v>
      </c>
      <c r="CV19" s="1108">
        <f t="shared" si="51"/>
        <v>24.916666666666657</v>
      </c>
      <c r="CW19" s="1097">
        <f t="shared" si="52"/>
        <v>20.892857142857139</v>
      </c>
      <c r="CX19" s="1097">
        <f t="shared" si="53"/>
        <v>20.892857142857139</v>
      </c>
      <c r="CY19" s="1110">
        <f t="shared" si="54"/>
        <v>20.892857142857139</v>
      </c>
      <c r="CZ19" s="437"/>
      <c r="DA19" s="438"/>
      <c r="DB19" s="439" t="s">
        <v>569</v>
      </c>
      <c r="DC19" s="439"/>
      <c r="DD19" s="443"/>
      <c r="DE19" s="411"/>
      <c r="DF19" s="411"/>
      <c r="DG19" s="1116">
        <f t="shared" si="55"/>
        <v>0</v>
      </c>
      <c r="DH19" s="1116">
        <f t="shared" si="56"/>
        <v>0</v>
      </c>
      <c r="DI19" s="1116">
        <f t="shared" si="57"/>
        <v>0</v>
      </c>
      <c r="DJ19" s="442">
        <f t="shared" si="58"/>
        <v>0</v>
      </c>
      <c r="DK19" s="1109">
        <f t="shared" si="59"/>
        <v>0</v>
      </c>
      <c r="DL19" s="1101">
        <f t="shared" si="60"/>
        <v>0</v>
      </c>
      <c r="DM19" s="1097">
        <f t="shared" si="61"/>
        <v>0</v>
      </c>
      <c r="DN19" s="1097">
        <f t="shared" si="62"/>
        <v>0</v>
      </c>
      <c r="DO19" s="1097">
        <f t="shared" si="63"/>
        <v>0</v>
      </c>
      <c r="DP19" s="1110">
        <f t="shared" si="64"/>
        <v>0</v>
      </c>
      <c r="DQ19" s="1113" t="s">
        <v>157</v>
      </c>
      <c r="DR19" s="1120">
        <f t="shared" si="65"/>
        <v>0.33</v>
      </c>
      <c r="DS19" s="1124">
        <v>10</v>
      </c>
      <c r="DT19" s="1093" t="s">
        <v>161</v>
      </c>
      <c r="DU19" s="1093" t="s">
        <v>544</v>
      </c>
      <c r="DV19" s="1098">
        <f>IF($P19="","N/A",IF(P19=-1,INDEX('卡片raw data'!AN:AN,MATCH(D19,'卡片raw data'!$F:$F,)),0)+IF(AND(L19&lt;&gt;"party卡",P19&lt;=2,P19&gt;=0),INDEX('卡片raw data'!AP:AP,MATCH(D19,'卡片raw data'!$F:$F,)),0)+IF(OR(AND(L19="party卡",P19&lt;=1),AND(P19&lt;=4,L19&lt;&gt;"party卡",P19&gt;=3)),INDEX('卡片raw data'!AQ:AQ,MATCH(D19,'卡片raw data'!$F:$F,)),0)+IF(OR(P19=5,AND(L19="party卡",P19&gt;=2)),INDEX('卡片raw data'!AR:AR,MATCH(D19,'卡片raw data'!$F:$F,)),0))</f>
        <v>6.2E-2</v>
      </c>
      <c r="DW19" s="1098">
        <f t="shared" si="66"/>
        <v>0.33</v>
      </c>
      <c r="DX19" s="1098">
        <f t="shared" si="67"/>
        <v>0.33</v>
      </c>
      <c r="DY19" s="1098">
        <f t="shared" si="68"/>
        <v>6.8200000000000011E-2</v>
      </c>
      <c r="DZ19" s="1098">
        <f t="shared" si="69"/>
        <v>5.8993000000000011E-2</v>
      </c>
      <c r="EA19" s="1098">
        <f t="shared" si="70"/>
        <v>0</v>
      </c>
      <c r="EB19" s="1121">
        <f t="shared" si="71"/>
        <v>13.607924687499997</v>
      </c>
      <c r="EC19" s="1101">
        <f t="shared" si="72"/>
        <v>886.6</v>
      </c>
      <c r="ED19" s="1097">
        <f t="shared" si="73"/>
        <v>587.96356666666668</v>
      </c>
      <c r="EE19" s="1110">
        <f t="shared" si="74"/>
        <v>886.6</v>
      </c>
      <c r="EF19" s="1092" t="s">
        <v>711</v>
      </c>
      <c r="EG19" s="1120">
        <f t="shared" si="75"/>
        <v>0.33</v>
      </c>
      <c r="EH19" s="1124"/>
      <c r="EI19" s="1093"/>
      <c r="EJ19" s="1093"/>
      <c r="EK19" s="1097">
        <f>IF($P19="","N/A",IF(P19=-1,INDEX('卡片raw data'!AS:AS,MATCH(D19,'卡片raw data'!$F:$F,)),0)+IF(AND(L19&lt;&gt;"party卡",P19&lt;=2,P19&gt;=0),INDEX('卡片raw data'!AU:AU,MATCH(D19,'卡片raw data'!$F:$F,)),0)+IF(OR(AND(L19="party卡",P19&lt;=1),AND(P19&lt;=4,L19&lt;&gt;"party卡",P19&gt;=3)),INDEX('卡片raw data'!AV:AV,MATCH(D19,'卡片raw data'!$F:$F,)),0)+IF(OR(P19=5,AND(L19="party卡",P19&gt;=2)),INDEX('卡片raw data'!AW:AW,MATCH(D19,'卡片raw data'!$F:$F,)),0))</f>
        <v>0</v>
      </c>
      <c r="EL19" s="1098">
        <f t="shared" si="76"/>
        <v>0.33</v>
      </c>
      <c r="EM19" s="1098">
        <f t="shared" si="77"/>
        <v>0.33</v>
      </c>
      <c r="EN19" s="1125">
        <f t="shared" si="78"/>
        <v>0</v>
      </c>
      <c r="EO19" s="1125">
        <f t="shared" si="79"/>
        <v>0</v>
      </c>
      <c r="EP19" s="1098">
        <f t="shared" si="80"/>
        <v>0</v>
      </c>
      <c r="EQ19" s="1121">
        <f t="shared" si="81"/>
        <v>0</v>
      </c>
      <c r="ER19" s="1101">
        <f t="shared" si="82"/>
        <v>0</v>
      </c>
      <c r="ES19" s="1097">
        <f t="shared" si="83"/>
        <v>0</v>
      </c>
      <c r="ET19" s="1122">
        <f t="shared" si="84"/>
        <v>0</v>
      </c>
      <c r="EV19" s="1221" t="s">
        <v>0</v>
      </c>
      <c r="EW19" s="1343">
        <v>0.85</v>
      </c>
      <c r="EX19" s="1343"/>
      <c r="EY19" s="1212"/>
      <c r="EZ19" s="1221" t="s">
        <v>0</v>
      </c>
      <c r="FA19" s="1343">
        <v>0.85</v>
      </c>
      <c r="FB19" s="1343"/>
      <c r="FC19" s="447"/>
      <c r="FD19" s="447"/>
      <c r="FE19" s="447"/>
      <c r="FF19" s="447"/>
      <c r="FG19" s="447"/>
      <c r="FH19" s="465">
        <f t="shared" si="87"/>
        <v>91606.125</v>
      </c>
      <c r="FI19" s="560">
        <f t="shared" si="86"/>
        <v>1.5</v>
      </c>
      <c r="FJ19" s="558">
        <f t="shared" si="86"/>
        <v>0.2</v>
      </c>
      <c r="FL19" s="468" t="s">
        <v>681</v>
      </c>
      <c r="FM19" s="1361">
        <v>180</v>
      </c>
      <c r="FN19" s="1361"/>
    </row>
    <row r="20" spans="2:170" ht="16.5" customHeight="1">
      <c r="B20" s="1123" t="str">
        <f>INDEX('卡片raw data'!B:B,MATCH($D20,'卡片raw data'!$F:$F,))</f>
        <v>校服凛</v>
      </c>
      <c r="C20" s="449" t="s">
        <v>67</v>
      </c>
      <c r="D20" s="408">
        <v>17</v>
      </c>
      <c r="E20" s="1090">
        <v>100051001</v>
      </c>
      <c r="F20" s="1090" t="str">
        <f>INDEX('卡片raw data'!C:C,MATCH($D20,'卡片raw data'!$F:$F,))</f>
        <v>R</v>
      </c>
      <c r="G20" s="1094" t="s">
        <v>335</v>
      </c>
      <c r="H20" s="411">
        <f>IFERROR(INDEX(绊状态确认!C:C,MATCH($G20,绊状态确认!$B:$B,)),"")</f>
        <v>5</v>
      </c>
      <c r="I20" s="1124" t="str">
        <f>IFERROR(INDEX(绊状态确认!D:D,MATCH($G20,绊状态确认!$B:$B,)),"")</f>
        <v>缪</v>
      </c>
      <c r="J20" s="1124" t="str">
        <f>IFERROR(INDEX(绊状态确认!E:E,MATCH($G20,绊状态确认!$B:$B,)),"")</f>
        <v>1年级</v>
      </c>
      <c r="K20" s="451" t="str">
        <f>IFERROR(INDEX(绊状态确认!F:F,MATCH($G20,绊状态确认!$B:$B,)),"")</f>
        <v>lilywhite</v>
      </c>
      <c r="L20" s="1094" t="str">
        <f>INDEX('卡片raw data'!E:E,MATCH($D20,'卡片raw data'!$F:$F,))</f>
        <v>卡池卡</v>
      </c>
      <c r="M20" s="415">
        <v>43735</v>
      </c>
      <c r="N20" s="416">
        <v>0</v>
      </c>
      <c r="O20" s="1091" t="str">
        <f>INDEX('卡片raw data'!D:D,MATCH($D20,'卡片raw data'!$F:$F,))</f>
        <v>gd</v>
      </c>
      <c r="P20" s="417">
        <v>5</v>
      </c>
      <c r="Q20" s="1095">
        <f t="shared" si="0"/>
        <v>13989.57046238946</v>
      </c>
      <c r="R20" s="1096">
        <f t="shared" si="1"/>
        <v>0.16200000000000001</v>
      </c>
      <c r="S20" s="1097">
        <f t="shared" si="2"/>
        <v>7911.8754312954061</v>
      </c>
      <c r="T20" s="1098">
        <f t="shared" si="3"/>
        <v>0.39500000000000002</v>
      </c>
      <c r="U20" s="1099">
        <f t="shared" si="4"/>
        <v>33.163973322142859</v>
      </c>
      <c r="V20" s="1100">
        <f t="shared" si="5"/>
        <v>16230.370706626976</v>
      </c>
      <c r="W20" s="1101">
        <f t="shared" si="6"/>
        <v>3556.0913953994</v>
      </c>
      <c r="X20" s="1096">
        <f t="shared" si="7"/>
        <v>4.1000000000000002E-2</v>
      </c>
      <c r="Y20" s="1097">
        <f t="shared" si="8"/>
        <v>646.20547171990029</v>
      </c>
      <c r="Z20" s="1102">
        <f t="shared" si="9"/>
        <v>8.1639733221428568</v>
      </c>
      <c r="AA20" s="1103">
        <f t="shared" si="10"/>
        <v>4202.2968671193003</v>
      </c>
      <c r="AB20" s="1101">
        <f t="shared" si="11"/>
        <v>4107.0351327148001</v>
      </c>
      <c r="AC20" s="1104">
        <f t="shared" si="12"/>
        <v>4.7E-2</v>
      </c>
      <c r="AD20" s="1105">
        <f t="shared" si="13"/>
        <v>-3.8207812500000026E-3</v>
      </c>
      <c r="AE20" s="1128">
        <f t="shared" si="14"/>
        <v>-28.942028985507246</v>
      </c>
      <c r="AF20" s="1130">
        <f t="shared" si="15"/>
        <v>0</v>
      </c>
      <c r="AG20" s="420">
        <f t="shared" si="16"/>
        <v>0</v>
      </c>
      <c r="AH20" s="420">
        <f t="shared" si="17"/>
        <v>0</v>
      </c>
      <c r="AI20" s="1097">
        <f t="shared" si="18"/>
        <v>0</v>
      </c>
      <c r="AJ20" s="420">
        <f t="shared" si="19"/>
        <v>0</v>
      </c>
      <c r="AK20" s="518">
        <f t="shared" si="20"/>
        <v>0</v>
      </c>
      <c r="AL20" s="1106">
        <f>IF($P20="","N/A",(IF($P20=-1,INDEX('卡片raw data'!S:S,MATCH($D20,'卡片raw data'!$F:$F,)),0)+IF($P20=0,INDEX('卡片raw data'!V:V,MATCH($D20,'卡片raw data'!$F:$F,)),0)+IF($P20=1,INDEX('卡片raw data'!Y:Y,MATCH($D20,'卡片raw data'!$F:$F,)),0)+IF($P20=2,INDEX('卡片raw data'!AB:AB,MATCH($D20,'卡片raw data'!$F:$F,)),0)+IF($P20=3,INDEX('卡片raw data'!AE:AE,MATCH($D20,'卡片raw data'!$F:$F,)),0)+IF($P20=4,INDEX('卡片raw data'!AH:AH,MATCH($D20,'卡片raw data'!$F:$F,)),0)+IF($P20=5,INDEX('卡片raw data'!AK:AK,MATCH($D20,'卡片raw data'!$F:$F,)),0)+INDEX('卡片raw data'!S:S,MATCH($D20,'卡片raw data'!$F:$F,))*(IF($F20="UR",0.04,0.033))*(IF($F20="UR",INDEX(绊状态确认!$S:$S,MATCH($G20,绊状态确认!$B:$B,))/2-40)+IF($F20="SR",INDEX(绊状态确认!$R:$R,MATCH($G20,绊状态确认!$B:$B,))/4-15))+IF($F20="R",INDEX(绊状态确认!$Q:$Q,MATCH($G20,绊状态确认!$B:$B,))/6-40/6)))*(INDEX(绊状态确认!$H:$H,MATCH($G20,绊状态确认!$B:$B,))+INDEX(绊状态确认!J:J,MATCH($G20,绊状态确认!$B:$B,)))</f>
        <v>4801.2899999999991</v>
      </c>
      <c r="AM20" s="1106">
        <f>IF($P20="","N/A",(IF($P20=-1,INDEX('卡片raw data'!T:T,MATCH($D20,'卡片raw data'!$F:$F,)),0)+IF($P20=0,INDEX('卡片raw data'!W:W,MATCH($D20,'卡片raw data'!$F:$F,)),0)+IF($P20=1,INDEX('卡片raw data'!Z:Z,MATCH($D20,'卡片raw data'!$F:$F,)),0)+IF($P20=2,INDEX('卡片raw data'!AC:AC,MATCH($D20,'卡片raw data'!$F:$F,)),0)+IF($P20=3,INDEX('卡片raw data'!AF:AF,MATCH($D20,'卡片raw data'!$F:$F,)),0)+IF($P20=4,INDEX('卡片raw data'!AI:AI,MATCH($D20,'卡片raw data'!$F:$F,)),0)+IF($P20=5,INDEX('卡片raw data'!AL:AL,MATCH($D20,'卡片raw data'!$F:$F,)),0)+INDEX('卡片raw data'!T:T,MATCH($D20,'卡片raw data'!$F:$F,))*(IF($F20="UR",0.04,0.033))*(IF($F20="UR",INDEX(绊状态确认!$S:$S,MATCH($G20,绊状态确认!$B:$B,))/2-40)+IF($F20="SR",INDEX(绊状态确认!$R:$R,MATCH($G20,绊状态确认!$B:$B,))/4-15))+IF($F20="R",INDEX(绊状态确认!$Q:$Q,MATCH($G20,绊状态确认!$B:$B,))/6-40/6)))*(INDEX(绊状态确认!$H:$H,MATCH($G20,绊状态确认!$B:$B,))+INDEX(绊状态确认!K:K,MATCH($G20,绊状态确认!$B:$B,)))</f>
        <v>3601.2515999999996</v>
      </c>
      <c r="AN20" s="1106">
        <f>IF($P20="","N/A",(IF($P20=-1,INDEX('卡片raw data'!U:U,MATCH($D20,'卡片raw data'!$F:$F,)),0)+IF($P20=0,INDEX('卡片raw data'!X:X,MATCH($D20,'卡片raw data'!$F:$F,)),0)+IF($P20=1,INDEX('卡片raw data'!AA:AA,MATCH($D20,'卡片raw data'!$F:$F,)),0)+IF($P20=2,INDEX('卡片raw data'!AD:AD,MATCH($D20,'卡片raw data'!$F:$F,)),0)+IF($P20=3,INDEX('卡片raw data'!AG:AG,MATCH($D20,'卡片raw data'!$F:$F,)),0)+IF($P20=4,INDEX('卡片raw data'!AJ:AJ,MATCH($D20,'卡片raw data'!$F:$F,)),0)+IF($P20=5,INDEX('卡片raw data'!AM:AM,MATCH($D20,'卡片raw data'!$F:$F,)),0)+INDEX('卡片raw data'!U:U,MATCH($D20,'卡片raw data'!$F:$F,))*(IF($F20="UR",0.04,0.033))*(IF($F20="UR",INDEX(绊状态确认!$S:$S,MATCH($G20,绊状态确认!$B:$B,))/2-40)+IF($F20="SR",INDEX(绊状态确认!$R:$R,MATCH($G20,绊状态确认!$B:$B,))/4-15))+IF($F20="R",INDEX(绊状态确认!$Q:$Q,MATCH($G20,绊状态确认!$B:$B,))/6-40/6)))*(INDEX(绊状态确认!$H:$H,MATCH($G20,绊状态确认!$B:$B,))+INDEX(绊状态确认!L:L,MATCH($G20,绊状态确认!$B:$B,)))</f>
        <v>3601.2515999999996</v>
      </c>
      <c r="AO20" s="1107">
        <f t="shared" si="21"/>
        <v>1</v>
      </c>
      <c r="AP20" s="1131">
        <f>1+(INDEX(绊状态确认!$T:$T,MATCH($G20,绊状态确认!$B:$B,))+0.2)*$AO20</f>
        <v>1.3</v>
      </c>
      <c r="AQ20" s="1108">
        <f t="shared" si="22"/>
        <v>15853.38625</v>
      </c>
      <c r="AR20" s="1097">
        <f>(AM20*(1+$EX$9)+$EX$35)*(1+(INDEX(绊状态确认!$T:$T,MATCH($G20,绊状态确认!$B:$B,))+0.2)*AO20)*IF(J20=$FF$17,1+$FE$17,1)*IF(I20=$FF$14,1+$FE$14,1)</f>
        <v>7619.7084339999992</v>
      </c>
      <c r="AS20" s="1097">
        <f>(AN20*(1+$EX$10)+$EX$36)*(1+(INDEX(绊状态确认!$T:$T,MATCH($G20,绊状态确认!$B:$B,))+0.2)*AO20)*IF(J20=$FF$17,1+$FE$17,1)*IF(I20=$FF$14,1+$FE$14,1)</f>
        <v>9439.8711419999981</v>
      </c>
      <c r="AT20" s="1093">
        <f>IF(AND(INDEX('卡片raw data'!AK:AK,MATCH($D20,'卡片raw data'!$F:$F,))&lt;INDEX('卡片raw data'!AM:AM,MATCH($D20,'卡片raw data'!$F:$F,)),INDEX('卡片raw data'!AL:AL,MATCH($D20,'卡片raw data'!$F:$F,))&lt;INDEX('卡片raw data'!AM:AM,MATCH($D20,'卡片raw data'!$F:$F,))),1,0)</f>
        <v>0</v>
      </c>
      <c r="AU20" s="1098">
        <f>MIN(AT20*0.15+AS20*0.00003+INDEX(绊状态确认!M:M,MATCH($G20,绊状态确认!$B:$B,)),1)</f>
        <v>0.31319613425999998</v>
      </c>
      <c r="AV20" s="1109">
        <f>(INDEX(绊状态确认!$N:$N,MATCH($G20,绊状态确认!$B:$B,))+1.5)*$EW$21</f>
        <v>2.6599999999999997</v>
      </c>
      <c r="AW20" s="1101">
        <f t="shared" si="23"/>
        <v>12513.996090017969</v>
      </c>
      <c r="AX20" s="1097">
        <f t="shared" si="24"/>
        <v>646.2054717199004</v>
      </c>
      <c r="AY20" s="1110">
        <f t="shared" si="25"/>
        <v>13160.201561737869</v>
      </c>
      <c r="AZ20" s="429">
        <f t="shared" si="26"/>
        <v>11962.515499999998</v>
      </c>
      <c r="BA20" s="431">
        <f t="shared" si="27"/>
        <v>14355.018599999998</v>
      </c>
      <c r="BB20" s="1097">
        <f>(AM20*(1+$FB$9)+$FB$35)*(1+(INDEX(绊状态确认!$T:$T,MATCH($G20,绊状态确认!$B:$B,))+0.2)*AO20)*IF(J20=$FF$17,1+$FE$17,1)*IF(I20=$FF$14,1+$FE$14,1)*(1+$FE$15)</f>
        <v>7619.7084339999992</v>
      </c>
      <c r="BC20" s="1097">
        <f>(AN20*(1+$FB$10)+$FB$36)*(1+(INDEX(绊状态确认!$T:$T,MATCH($G20,绊状态确认!$B:$B,))+0.2)*AO20)*IF(J20=$FF$17,1+$FE$17,1)*IF(I20=$FF$14,1+$FE$14,1)*(1+$FE$15)</f>
        <v>9439.8711419999981</v>
      </c>
      <c r="BD20" s="1104">
        <f>MIN(AT20*0.15+BC20*0.00003+INDEX(绊状态确认!M:M,MATCH($G20,绊状态确认!$B:$B,)),1)</f>
        <v>0.31319613425999998</v>
      </c>
      <c r="BE20" s="432">
        <f>(INDEX(绊状态确认!$N:$N,MATCH($G20,绊状态确认!$B:$B,))+1.5)</f>
        <v>1.9</v>
      </c>
      <c r="BF20" s="1139">
        <f t="array" ref="BF20">SUMPRODUCT(IF(AZ20*AP20*$FI$16:$FI$23*$FA$22&gt;=$FI$24,$FI$24,AZ20*AP20*$FI$16:$FI$23*$FA$22),$FJ$16:$FJ$23)</f>
        <v>23793.443329499998</v>
      </c>
      <c r="BG20" s="1125">
        <f t="array" ref="BG20">SUMPRODUCT(IF(BE20*AZ20*AP20*$FI$16:$FI$23*$FA$22&gt;=$FI$24,$FI$24,BE20*AZ20*AP20*$FI$16:$FI$23*$FA$22),$FJ$16:$FJ$23)</f>
        <v>45207.542326049988</v>
      </c>
      <c r="BH20" s="1110">
        <f t="shared" si="28"/>
        <v>10166.752117960134</v>
      </c>
      <c r="BI20" s="1111">
        <f>IF(O20="vo",$EW$26/$EW$24*0.05,0)+IF(O20="sk",-$EW$26/$EW$24*(0.05-INDEX(绊状态确认!W:W,MATCH($G20,绊状态确认!$B:$B,)))+0.05*$EW$28,0)+IF(O20="sp",0.05*$EW$32*$EW$30*(1-$EW$33)-(0.05-INDEX(绊状态确认!V:V,MATCH($G20,绊状态确认!$B:$B,)))*$EW$28,0)+IF(O20="gd",-(0.05-INDEX(绊状态确认!X:X,MATCH($G20,绊状态确认!$B:$B,)))*$EW$32*$EW$30*(1-$EW$33),0)</f>
        <v>-585.00000000000011</v>
      </c>
      <c r="BJ20" s="1097">
        <f>IF(O20="vo",0.05*(1-$FI$26)*$FA$24,0)+IF(O20="sk",-(0.05-INDEX(绊状态确认!W:W,MATCH($G20,绊状态确认!$B:$B,)))*(1-$FI$26)*$FA$24+0.05*$FA$26,0)+IF(O20="sp",0.05*$FA$32*$FA$27*(1-$FA$33)/$FA$30+0.05*$FA$29/$FA$69*$FA$27*(1-$FA$33)-(0.05-INDEX(绊状态确认!V:V,MATCH($G20,绊状态确认!$B:$B,)))*$FA$26,0)+IF(O20="gd",-(0.05-INDEX(绊状态确认!X:X,MATCH($G20,绊状态确认!$B:$B,)))*$FA$32*$FA$27*(1-$FA$33)/$FA$30-(0.05-INDEX(绊状态确认!X:X,MATCH($G20,绊状态确认!$B:$B,)))*$FA$29/$FA$69*$FA$27*(1-$FA$33),0)</f>
        <v>-795.00000000000011</v>
      </c>
      <c r="BK20" s="1110">
        <f>IF(O20="vo",$EW$26/$EW$24*0.05+$EW$26*(-HP($EW$62,$EW$65,$EW$64)+HP($EW$62,$EW$65,(1.05-INDEX(绊状态确认!U:U,MATCH($G20,绊状态确认!$B:$B,)))*$EW$64)),0)+IF(O20="sk",-$EW$26/$EW$24*(0.05-INDEX(绊状态确认!W:W,MATCH($G20,绊状态确认!$B:$B,)))+0.05*$EW$29,0)+IF(O20="sp",0.05*$EW$32*$EW$30*(1-$EW$33)-(0.05-INDEX(绊状态确认!V:V,MATCH($G20,绊状态确认!$B:$B,)))*$EW$29,0)+IF(O20="gd",-(0.05-INDEX(绊状态确认!X:X,MATCH($G20,绊状态确认!$B:$B,)))*$EW$32*$EW$30*(1-$EW$33)+$EW$26*(-HP($EW$62,$EW$65,$EW$64)+HP($EW$62,$EW$65,0.95*$EW$64)),0)</f>
        <v>1009.5947725176144</v>
      </c>
      <c r="BL20" s="1111">
        <f t="shared" si="29"/>
        <v>-2166.6666666666665</v>
      </c>
      <c r="BM20" s="1110">
        <f t="shared" si="30"/>
        <v>-1661.1111111111109</v>
      </c>
      <c r="BN20" s="1113">
        <f t="shared" si="31"/>
        <v>2</v>
      </c>
      <c r="BO20" s="1097">
        <f t="shared" si="32"/>
        <v>3005.1476580839999</v>
      </c>
      <c r="BP20" s="1100">
        <f t="shared" si="33"/>
        <v>147.56068806020068</v>
      </c>
      <c r="BQ20" s="1113" t="s">
        <v>619</v>
      </c>
      <c r="BR20" s="1124" t="s">
        <v>171</v>
      </c>
      <c r="BS20" s="1098">
        <f>IF($P20="","N/A",IF($P20=-1,INDEX('卡片raw data'!AX:AX,MATCH($D20,'卡片raw data'!$F:$F,)),0)+IF($L20="party卡",IF($P20=5,INDEX('卡片raw data'!BD:BD,MATCH($D20,'卡片raw data'!$F:$F,)),IF($P20&gt;=3,INDEX('卡片raw data'!BC:BC,MATCH($D20,'卡片raw data'!$F:$F,)),INDEX('卡片raw data'!BB:BB,MATCH($D20,'卡片raw data'!$F:$F,)))),IF(OR(AND($F20="UR",$P20=0),AND($F20="SR",$P20&gt;=0,$P20&lt;=2),AND($F20="R",$P20&gt;=0,$P20&lt;4)),INDEX('卡片raw data'!AZ:AZ,MATCH($D20,'卡片raw data'!$F:$F,)),0)+IF(OR(AND($F20="UR",$P20&gt;=1,$P20&lt;=4),AND($F20="SR",$P20&lt;=4,$P20&gt;=3),AND($F20="R",$P20=4)),INDEX('卡片raw data'!BA:BA,MATCH($D20,'卡片raw data'!$F:$F,)),0)+IF($P20=5,INDEX('卡片raw data'!BB:BB,MATCH($D20,'卡片raw data'!$F:$F,)),0)))</f>
        <v>2.1999999999999999E-2</v>
      </c>
      <c r="BT20" s="1101">
        <f t="shared" si="34"/>
        <v>1101.8874746307999</v>
      </c>
      <c r="BU20" s="1097">
        <f t="shared" si="35"/>
        <v>47.342387419314377</v>
      </c>
      <c r="BV20" s="1097">
        <f t="shared" si="36"/>
        <v>550.94373731539997</v>
      </c>
      <c r="BW20" s="1112">
        <f t="shared" si="37"/>
        <v>0</v>
      </c>
      <c r="BX20" s="1100">
        <f t="shared" si="38"/>
        <v>1101.8874746307999</v>
      </c>
      <c r="BY20" s="1110">
        <f t="shared" si="39"/>
        <v>550.94373731539997</v>
      </c>
      <c r="BZ20" s="1107" t="s">
        <v>569</v>
      </c>
      <c r="CA20" s="1124"/>
      <c r="CB20" s="1098">
        <f>IF($P20="","N/A",IF($P20=-1,INDEX('卡片raw data'!BE:BE,MATCH($D20,'卡片raw data'!$F:$F,)),0)+IF($L20="party卡",IF($P20=5,INDEX('卡片raw data'!BK:BK,MATCH($D20,'卡片raw data'!$F:$F,)),IF($P20&gt;=3,INDEX('卡片raw data'!BJ:BJ,MATCH($D20,'卡片raw data'!$F:$F,)),INDEX('卡片raw data'!BI:BI,MATCH($D20,'卡片raw data'!$F:$F,)))),IF(OR(AND($F20="UR",$P20=0),AND($F20="SR",$P20&gt;=0,$P20&lt;=2),AND($F20="R",$P20&gt;=0,$P20&lt;4)),INDEX('卡片raw data'!BG:BG,MATCH($D20,'卡片raw data'!$F:$F,)),0)+IF(OR(AND($F20="UR",$P20&gt;=1,$P20&lt;=4),AND($F20="SR",$P20&lt;=4,$P20&gt;=3),AND($F20="R",$P20=4)),INDEX('卡片raw data'!BH:BH,MATCH($D20,'卡片raw data'!$F:$F,)),0)+IF($P20=5,INDEX('卡片raw data'!BI:BI,MATCH($D20,'卡片raw data'!$F:$F,)),0)))</f>
        <v>0</v>
      </c>
      <c r="CC20" s="1101">
        <f t="shared" si="40"/>
        <v>0</v>
      </c>
      <c r="CD20" s="1097">
        <f>IF(BZ20="ap",CB20*(1-$FI$26)*$FB$5/$FB$11*(+IF(CA20="全员",$FA$24,0)+IF(CA20="同作战",$FA$24,0)+IF(CA20="仲间",$FA$24*2/3,0)+IF(CA20="同属性",$FA$24*$FA$37/3,0)+IF(CA20="同年级",$FA$24*$FA$40/3,0)+IF(CA20="同学校",$FA$24*$FA$43/3,0)+IF(CA20="同小队",$FA$24*$FA$46/3,0)+IF(CA20="同type",$FA$24*INDEX($FB$49:$FB$52,MATCH(X20,$FA$49:$FA$52,))/3,0)+IF(CA20="自身",#REF!/3,0)),0)+IF(BZ20="te",CB20*(1-$FI$27)*($FA$20-1)*$FB$7/$FB$13*(+IF(CA20="全员",$FA$19*$FA$24/(1+($FA$20-1)*$FA$19),0)+IF(CA20="同作战",$FA$19*$FA$24/(1+($FA$20-1)*$FA$19),0)+IF(CA20="仲间",$FA$19*$FA$24*2/3/(1+($FA$20-1)*$FA$19),0)+IF(CA20="同属性",$FA$19*$FA$24*$FA$37/3/(1+($FA$20-1)*$FA$19),0)+IF(CA20="同年级",$FA$19*$FA$24*$FA$40/3/(1+($FA$20-1)*$FA$19),0)+IF(CA20="同学校",$FA$19*$FA$24*$FA$43/3/(1+($FA$20-1)*$FA$19),0)+IF(CA20="同小队",$FA$19*$FA$24*$FA$46/3/(1+($FA$20-1)*$FA$19),0)+IF(CA20="同type",$FA$19*$FA$24*INDEX($FB$49:$FB$52,MATCH(X20,$FA$49:$FA$52,))/3/(1+($FA$20-1)*$FA$19),0)+IF(CA20="自身",$FA$19*#REF!/3/(1+(BH20-1)*$BD20),0)),0)</f>
        <v>0</v>
      </c>
      <c r="CE20" s="1097">
        <f t="shared" si="41"/>
        <v>0</v>
      </c>
      <c r="CF20" s="1112">
        <f t="shared" si="42"/>
        <v>0</v>
      </c>
      <c r="CG20" s="1100">
        <f t="shared" si="43"/>
        <v>0</v>
      </c>
      <c r="CH20" s="1110">
        <f t="shared" si="44"/>
        <v>0</v>
      </c>
      <c r="CI20" s="1113"/>
      <c r="CJ20" s="1114"/>
      <c r="CK20" s="1115" t="s">
        <v>569</v>
      </c>
      <c r="CL20" s="1115"/>
      <c r="CM20" s="1119"/>
      <c r="CN20" s="1115"/>
      <c r="CO20" s="1092"/>
      <c r="CP20" s="1117">
        <f t="shared" si="45"/>
        <v>0</v>
      </c>
      <c r="CQ20" s="1117">
        <f t="shared" si="46"/>
        <v>0</v>
      </c>
      <c r="CR20" s="1117">
        <f t="shared" si="47"/>
        <v>0</v>
      </c>
      <c r="CS20" s="1118">
        <f t="shared" si="48"/>
        <v>0</v>
      </c>
      <c r="CT20" s="1109">
        <f t="shared" si="49"/>
        <v>0</v>
      </c>
      <c r="CU20" s="1101">
        <f t="shared" si="50"/>
        <v>0</v>
      </c>
      <c r="CV20" s="1108">
        <f t="shared" si="51"/>
        <v>0</v>
      </c>
      <c r="CW20" s="1097">
        <f t="shared" si="52"/>
        <v>0</v>
      </c>
      <c r="CX20" s="1097">
        <f t="shared" si="53"/>
        <v>0</v>
      </c>
      <c r="CY20" s="1110">
        <f t="shared" si="54"/>
        <v>0</v>
      </c>
      <c r="CZ20" s="437"/>
      <c r="DA20" s="438"/>
      <c r="DB20" s="439" t="s">
        <v>569</v>
      </c>
      <c r="DC20" s="439"/>
      <c r="DD20" s="443"/>
      <c r="DE20" s="411"/>
      <c r="DF20" s="411"/>
      <c r="DG20" s="1116">
        <f t="shared" si="55"/>
        <v>0</v>
      </c>
      <c r="DH20" s="1116">
        <f t="shared" si="56"/>
        <v>0</v>
      </c>
      <c r="DI20" s="1116">
        <f t="shared" si="57"/>
        <v>0</v>
      </c>
      <c r="DJ20" s="442">
        <f t="shared" si="58"/>
        <v>0</v>
      </c>
      <c r="DK20" s="1109">
        <f t="shared" si="59"/>
        <v>0</v>
      </c>
      <c r="DL20" s="1101">
        <f t="shared" si="60"/>
        <v>0</v>
      </c>
      <c r="DM20" s="1097">
        <f t="shared" si="61"/>
        <v>0</v>
      </c>
      <c r="DN20" s="1097">
        <f t="shared" si="62"/>
        <v>0</v>
      </c>
      <c r="DO20" s="1097">
        <f t="shared" si="63"/>
        <v>0</v>
      </c>
      <c r="DP20" s="1110">
        <f t="shared" si="64"/>
        <v>0</v>
      </c>
      <c r="DQ20" s="1113" t="s">
        <v>555</v>
      </c>
      <c r="DR20" s="1120">
        <f t="shared" si="65"/>
        <v>0.3</v>
      </c>
      <c r="DS20" s="1124">
        <v>5</v>
      </c>
      <c r="DT20" s="1093" t="s">
        <v>168</v>
      </c>
      <c r="DU20" s="1093" t="s">
        <v>546</v>
      </c>
      <c r="DV20" s="1097">
        <f>IF($P20="","N/A",IF(P20=-1,INDEX('卡片raw data'!AN:AN,MATCH(D20,'卡片raw data'!$F:$F,)),0)+IF(AND(L20&lt;&gt;"party卡",P20&lt;=2,P20&gt;=0),INDEX('卡片raw data'!AP:AP,MATCH(D20,'卡片raw data'!$F:$F,)),0)+IF(OR(AND(L20="party卡",P20&lt;=1),AND(P20&lt;=4,L20&lt;&gt;"party卡",P20&gt;=3)),INDEX('卡片raw data'!AQ:AQ,MATCH(D20,'卡片raw data'!$F:$F,)),0)+IF(OR(P20=5,AND(L20="party卡",P20&gt;=2)),INDEX('卡片raw data'!AR:AR,MATCH(D20,'卡片raw data'!$F:$F,)),0))</f>
        <v>80</v>
      </c>
      <c r="DW20" s="1098">
        <f t="shared" si="66"/>
        <v>0.3</v>
      </c>
      <c r="DX20" s="1098">
        <f t="shared" si="67"/>
        <v>0.3</v>
      </c>
      <c r="DY20" s="1098">
        <f t="shared" si="68"/>
        <v>8.8397790055248619E-4</v>
      </c>
      <c r="DZ20" s="1098">
        <f t="shared" si="69"/>
        <v>9.6432552954292083E-4</v>
      </c>
      <c r="EA20" s="1098">
        <f t="shared" si="70"/>
        <v>0</v>
      </c>
      <c r="EB20" s="1121">
        <f t="shared" si="71"/>
        <v>0</v>
      </c>
      <c r="EC20" s="1101">
        <f t="shared" si="72"/>
        <v>120.20590632336001</v>
      </c>
      <c r="ED20" s="1097">
        <f t="shared" si="73"/>
        <v>6.3313489668687293</v>
      </c>
      <c r="EE20" s="1110">
        <f t="shared" si="74"/>
        <v>120.20590632336001</v>
      </c>
      <c r="EF20" s="1092" t="s">
        <v>711</v>
      </c>
      <c r="EG20" s="1120">
        <f t="shared" si="75"/>
        <v>0.3</v>
      </c>
      <c r="EH20" s="1124"/>
      <c r="EI20" s="1093"/>
      <c r="EJ20" s="1093"/>
      <c r="EK20" s="1097">
        <f>IF($P20="","N/A",IF(P20=-1,INDEX('卡片raw data'!AS:AS,MATCH(D20,'卡片raw data'!$F:$F,)),0)+IF(AND(L20&lt;&gt;"party卡",P20&lt;=2,P20&gt;=0),INDEX('卡片raw data'!AU:AU,MATCH(D20,'卡片raw data'!$F:$F,)),0)+IF(OR(AND(L20="party卡",P20&lt;=1),AND(P20&lt;=4,L20&lt;&gt;"party卡",P20&gt;=3)),INDEX('卡片raw data'!AV:AV,MATCH(D20,'卡片raw data'!$F:$F,)),0)+IF(OR(P20=5,AND(L20="party卡",P20&gt;=2)),INDEX('卡片raw data'!AW:AW,MATCH(D20,'卡片raw data'!$F:$F,)),0))</f>
        <v>0</v>
      </c>
      <c r="EL20" s="1098">
        <f t="shared" si="76"/>
        <v>0.3</v>
      </c>
      <c r="EM20" s="1098">
        <f t="shared" si="77"/>
        <v>0.3</v>
      </c>
      <c r="EN20" s="1125">
        <f t="shared" si="78"/>
        <v>0</v>
      </c>
      <c r="EO20" s="1125">
        <f t="shared" si="79"/>
        <v>0</v>
      </c>
      <c r="EP20" s="1098">
        <f t="shared" si="80"/>
        <v>0</v>
      </c>
      <c r="EQ20" s="1121">
        <f t="shared" si="81"/>
        <v>0</v>
      </c>
      <c r="ER20" s="1101">
        <f t="shared" si="82"/>
        <v>0</v>
      </c>
      <c r="ES20" s="1097">
        <f t="shared" si="83"/>
        <v>0</v>
      </c>
      <c r="ET20" s="1122">
        <f t="shared" si="84"/>
        <v>0</v>
      </c>
      <c r="EV20" s="1223" t="s">
        <v>4088</v>
      </c>
      <c r="EW20" s="1334">
        <v>1.9</v>
      </c>
      <c r="EX20" s="1335"/>
      <c r="EY20" s="1212"/>
      <c r="EZ20" s="1223" t="s">
        <v>276</v>
      </c>
      <c r="FA20" s="1334">
        <v>1.9</v>
      </c>
      <c r="FB20" s="1335"/>
      <c r="FC20" s="447"/>
      <c r="FD20" s="447"/>
      <c r="FE20" s="447"/>
      <c r="FF20" s="447"/>
      <c r="FG20" s="447"/>
      <c r="FH20" s="465">
        <f t="shared" si="87"/>
        <v>97713.2</v>
      </c>
      <c r="FI20" s="560">
        <f t="shared" si="86"/>
        <v>1.6</v>
      </c>
      <c r="FJ20" s="558">
        <f t="shared" si="86"/>
        <v>0.1</v>
      </c>
      <c r="FL20" s="467" t="s">
        <v>250</v>
      </c>
      <c r="FM20" s="1355">
        <v>5</v>
      </c>
      <c r="FN20" s="1355"/>
    </row>
    <row r="21" spans="2:170" ht="16.5" customHeight="1">
      <c r="B21" s="1123" t="str">
        <f>INDEX('卡片raw data'!B:B,MATCH($D21,'卡片raw data'!$F:$F,))</f>
        <v>练习凛</v>
      </c>
      <c r="C21" s="449" t="s">
        <v>123</v>
      </c>
      <c r="D21" s="408">
        <v>18</v>
      </c>
      <c r="E21" s="1090">
        <v>100051002</v>
      </c>
      <c r="F21" s="1090" t="str">
        <f>INDEX('卡片raw data'!C:C,MATCH($D21,'卡片raw data'!$F:$F,))</f>
        <v>R</v>
      </c>
      <c r="G21" s="1094" t="s">
        <v>28</v>
      </c>
      <c r="H21" s="411">
        <f>IFERROR(INDEX(绊状态确认!C:C,MATCH($G21,绊状态确认!$B:$B,)),"")</f>
        <v>5</v>
      </c>
      <c r="I21" s="1124" t="str">
        <f>IFERROR(INDEX(绊状态确认!D:D,MATCH($G21,绊状态确认!$B:$B,)),"")</f>
        <v>缪</v>
      </c>
      <c r="J21" s="1124" t="str">
        <f>IFERROR(INDEX(绊状态确认!E:E,MATCH($G21,绊状态确认!$B:$B,)),"")</f>
        <v>1年级</v>
      </c>
      <c r="K21" s="451" t="str">
        <f>IFERROR(INDEX(绊状态确认!F:F,MATCH($G21,绊状态确认!$B:$B,)),"")</f>
        <v>lilywhite</v>
      </c>
      <c r="L21" s="1094" t="str">
        <f>INDEX('卡片raw data'!E:E,MATCH($D21,'卡片raw data'!$F:$F,))</f>
        <v>卡池卡</v>
      </c>
      <c r="M21" s="415">
        <v>43735</v>
      </c>
      <c r="N21" s="416">
        <v>0</v>
      </c>
      <c r="O21" s="1091" t="str">
        <f>INDEX('卡片raw data'!D:D,MATCH($D21,'卡片raw data'!$F:$F,))</f>
        <v>vo</v>
      </c>
      <c r="P21" s="417">
        <v>5</v>
      </c>
      <c r="Q21" s="1095">
        <f t="shared" si="0"/>
        <v>21353.783401280099</v>
      </c>
      <c r="R21" s="1096">
        <f t="shared" si="1"/>
        <v>0.248</v>
      </c>
      <c r="S21" s="1097">
        <f t="shared" si="2"/>
        <v>8349.4435909365438</v>
      </c>
      <c r="T21" s="1098">
        <f t="shared" si="3"/>
        <v>0.41699999999999998</v>
      </c>
      <c r="U21" s="1099">
        <f t="shared" si="4"/>
        <v>-15.069336622857143</v>
      </c>
      <c r="V21" s="1100">
        <f t="shared" si="5"/>
        <v>20837.99345553527</v>
      </c>
      <c r="W21" s="1101">
        <f t="shared" si="6"/>
        <v>3272.2718943581331</v>
      </c>
      <c r="X21" s="1096">
        <f t="shared" si="7"/>
        <v>3.7999999999999999E-2</v>
      </c>
      <c r="Y21" s="1097">
        <f t="shared" si="8"/>
        <v>788.87850449686994</v>
      </c>
      <c r="Z21" s="1102">
        <f t="shared" si="9"/>
        <v>9.9306633771428565</v>
      </c>
      <c r="AA21" s="1103">
        <f t="shared" si="10"/>
        <v>4061.150398855003</v>
      </c>
      <c r="AB21" s="1101">
        <f t="shared" si="11"/>
        <v>3984.6031910891552</v>
      </c>
      <c r="AC21" s="1104">
        <f t="shared" si="12"/>
        <v>4.5999999999999999E-2</v>
      </c>
      <c r="AD21" s="1105">
        <f t="shared" si="13"/>
        <v>-3.8207812500000026E-3</v>
      </c>
      <c r="AE21" s="1128">
        <f t="shared" si="14"/>
        <v>-22.692028985507246</v>
      </c>
      <c r="AF21" s="1130">
        <f t="shared" si="15"/>
        <v>0</v>
      </c>
      <c r="AG21" s="420">
        <f t="shared" si="16"/>
        <v>0</v>
      </c>
      <c r="AH21" s="420">
        <f t="shared" si="17"/>
        <v>0</v>
      </c>
      <c r="AI21" s="1097">
        <f t="shared" si="18"/>
        <v>0</v>
      </c>
      <c r="AJ21" s="420">
        <f t="shared" si="19"/>
        <v>0</v>
      </c>
      <c r="AK21" s="518">
        <f t="shared" si="20"/>
        <v>0</v>
      </c>
      <c r="AL21" s="1106">
        <f>IF($P21="","N/A",(IF($P21=-1,INDEX('卡片raw data'!S:S,MATCH($D21,'卡片raw data'!$F:$F,)),0)+IF($P21=0,INDEX('卡片raw data'!V:V,MATCH($D21,'卡片raw data'!$F:$F,)),0)+IF($P21=1,INDEX('卡片raw data'!Y:Y,MATCH($D21,'卡片raw data'!$F:$F,)),0)+IF($P21=2,INDEX('卡片raw data'!AB:AB,MATCH($D21,'卡片raw data'!$F:$F,)),0)+IF($P21=3,INDEX('卡片raw data'!AE:AE,MATCH($D21,'卡片raw data'!$F:$F,)),0)+IF($P21=4,INDEX('卡片raw data'!AH:AH,MATCH($D21,'卡片raw data'!$F:$F,)),0)+IF($P21=5,INDEX('卡片raw data'!AK:AK,MATCH($D21,'卡片raw data'!$F:$F,)),0)+INDEX('卡片raw data'!S:S,MATCH($D21,'卡片raw data'!$F:$F,))*(IF($F21="UR",0.04,0.033))*(IF($F21="UR",INDEX(绊状态确认!$S:$S,MATCH($G21,绊状态确认!$B:$B,))/2-40)+IF($F21="SR",INDEX(绊状态确认!$R:$R,MATCH($G21,绊状态确认!$B:$B,))/4-15))+IF($F21="R",INDEX(绊状态确认!$Q:$Q,MATCH($G21,绊状态确认!$B:$B,))/6-40/6)))*(INDEX(绊状态确认!$H:$H,MATCH($G21,绊状态确认!$B:$B,))+INDEX(绊状态确认!J:J,MATCH($G21,绊状态确认!$B:$B,)))</f>
        <v>4122.8591999999999</v>
      </c>
      <c r="AM21" s="1106">
        <f>IF($P21="","N/A",(IF($P21=-1,INDEX('卡片raw data'!T:T,MATCH($D21,'卡片raw data'!$F:$F,)),0)+IF($P21=0,INDEX('卡片raw data'!W:W,MATCH($D21,'卡片raw data'!$F:$F,)),0)+IF($P21=1,INDEX('卡片raw data'!Z:Z,MATCH($D21,'卡片raw data'!$F:$F,)),0)+IF($P21=2,INDEX('卡片raw data'!AC:AC,MATCH($D21,'卡片raw data'!$F:$F,)),0)+IF($P21=3,INDEX('卡片raw data'!AF:AF,MATCH($D21,'卡片raw data'!$F:$F,)),0)+IF($P21=4,INDEX('卡片raw data'!AI:AI,MATCH($D21,'卡片raw data'!$F:$F,)),0)+IF($P21=5,INDEX('卡片raw data'!AL:AL,MATCH($D21,'卡片raw data'!$F:$F,)),0)+INDEX('卡片raw data'!T:T,MATCH($D21,'卡片raw data'!$F:$F,))*(IF($F21="UR",0.04,0.033))*(IF($F21="UR",INDEX(绊状态确认!$S:$S,MATCH($G21,绊状态确认!$B:$B,))/2-40)+IF($F21="SR",INDEX(绊状态确认!$R:$R,MATCH($G21,绊状态确认!$B:$B,))/4-15))+IF($F21="R",INDEX(绊状态确认!$Q:$Q,MATCH($G21,绊状态确认!$B:$B,))/6-40/6)))*(INDEX(绊状态确认!$H:$H,MATCH($G21,绊状态确认!$B:$B,))+INDEX(绊状态确认!K:K,MATCH($G21,绊状态确认!$B:$B,)))</f>
        <v>4809.2447999999995</v>
      </c>
      <c r="AN21" s="1106">
        <f>IF($P21="","N/A",(IF($P21=-1,INDEX('卡片raw data'!U:U,MATCH($D21,'卡片raw data'!$F:$F,)),0)+IF($P21=0,INDEX('卡片raw data'!X:X,MATCH($D21,'卡片raw data'!$F:$F,)),0)+IF($P21=1,INDEX('卡片raw data'!AA:AA,MATCH($D21,'卡片raw data'!$F:$F,)),0)+IF($P21=2,INDEX('卡片raw data'!AD:AD,MATCH($D21,'卡片raw data'!$F:$F,)),0)+IF($P21=3,INDEX('卡片raw data'!AG:AG,MATCH($D21,'卡片raw data'!$F:$F,)),0)+IF($P21=4,INDEX('卡片raw data'!AJ:AJ,MATCH($D21,'卡片raw data'!$F:$F,)),0)+IF($P21=5,INDEX('卡片raw data'!AM:AM,MATCH($D21,'卡片raw data'!$F:$F,)),0)+INDEX('卡片raw data'!U:U,MATCH($D21,'卡片raw data'!$F:$F,))*(IF($F21="UR",0.04,0.033))*(IF($F21="UR",INDEX(绊状态确认!$S:$S,MATCH($G21,绊状态确认!$B:$B,))/2-40)+IF($F21="SR",INDEX(绊状态确认!$R:$R,MATCH($G21,绊状态确认!$B:$B,))/4-15))+IF($F21="R",INDEX(绊状态确认!$Q:$Q,MATCH($G21,绊状态确认!$B:$B,))/6-40/6)))*(INDEX(绊状态确认!$H:$H,MATCH($G21,绊状态确认!$B:$B,))+INDEX(绊状态确认!L:L,MATCH($G21,绊状态确认!$B:$B,)))</f>
        <v>4809.2447999999995</v>
      </c>
      <c r="AO21" s="1107">
        <f t="shared" si="21"/>
        <v>1</v>
      </c>
      <c r="AP21" s="1131">
        <f>1+(INDEX(绊状态确认!$T:$T,MATCH($G21,绊状态确认!$B:$B,))+0.2)*$AO21</f>
        <v>1.3</v>
      </c>
      <c r="AQ21" s="1108">
        <f t="shared" si="22"/>
        <v>14072.5054</v>
      </c>
      <c r="AR21" s="1097">
        <f>(AM21*(1+$EX$9)+$EX$35)*(1+(INDEX(绊状态确认!$T:$T,MATCH($G21,绊状态确认!$B:$B,))+0.2)*AO21)*IF(J21=$FF$17,1+$FE$17,1)*IF(I21=$FF$14,1+$FE$14,1)</f>
        <v>9268.6191519999993</v>
      </c>
      <c r="AS21" s="1097">
        <f>(AN21*(1+$EX$10)+$EX$36)*(1+(INDEX(绊状态确认!$T:$T,MATCH($G21,绊状态确认!$B:$B,))+0.2)*AO21)*IF(J21=$FF$17,1+$FE$17,1)*IF(I21=$FF$14,1+$FE$14,1)</f>
        <v>11245.820975999999</v>
      </c>
      <c r="AT21" s="1093">
        <f>IF(AND(INDEX('卡片raw data'!AK:AK,MATCH($D21,'卡片raw data'!$F:$F,))&lt;INDEX('卡片raw data'!AM:AM,MATCH($D21,'卡片raw data'!$F:$F,)),INDEX('卡片raw data'!AL:AL,MATCH($D21,'卡片raw data'!$F:$F,))&lt;INDEX('卡片raw data'!AM:AM,MATCH($D21,'卡片raw data'!$F:$F,))),1,0)</f>
        <v>0</v>
      </c>
      <c r="AU21" s="1098">
        <f>MIN(AT21*0.15+AS21*0.00003+INDEX(绊状态确认!M:M,MATCH($G21,绊状态确认!$B:$B,)),1)</f>
        <v>0.36737462928000003</v>
      </c>
      <c r="AV21" s="1109">
        <f>(INDEX(绊状态确认!$N:$N,MATCH($G21,绊状态确认!$B:$B,))+1.5)*$EW$21</f>
        <v>2.6599999999999997</v>
      </c>
      <c r="AW21" s="1101">
        <f t="shared" si="23"/>
        <v>11765.54394911324</v>
      </c>
      <c r="AX21" s="1097">
        <f t="shared" si="24"/>
        <v>788.87850449686971</v>
      </c>
      <c r="AY21" s="1110">
        <f t="shared" si="25"/>
        <v>12554.42245361011</v>
      </c>
      <c r="AZ21" s="429">
        <f t="shared" si="26"/>
        <v>10639.575440000001</v>
      </c>
      <c r="BA21" s="431">
        <f t="shared" si="27"/>
        <v>12767.490528</v>
      </c>
      <c r="BB21" s="1097">
        <f>(AM21*(1+$FB$9)+$FB$35)*(1+(INDEX(绊状态确认!$T:$T,MATCH($G21,绊状态确认!$B:$B,))+0.2)*AO21)*IF(J21=$FF$17,1+$FE$17,1)*IF(I21=$FF$14,1+$FE$14,1)*(1+$FE$15)</f>
        <v>9268.6191519999993</v>
      </c>
      <c r="BC21" s="1097">
        <f>(AN21*(1+$FB$10)+$FB$36)*(1+(INDEX(绊状态确认!$T:$T,MATCH($G21,绊状态确认!$B:$B,))+0.2)*AO21)*IF(J21=$FF$17,1+$FE$17,1)*IF(I21=$FF$14,1+$FE$14,1)*(1+$FE$15)</f>
        <v>11245.820975999999</v>
      </c>
      <c r="BD21" s="1104">
        <f>MIN(AT21*0.15+BC21*0.00003+INDEX(绊状态确认!M:M,MATCH($G21,绊状态确认!$B:$B,)),1)</f>
        <v>0.36737462928000003</v>
      </c>
      <c r="BE21" s="432">
        <f>(INDEX(绊状态确认!$N:$N,MATCH($G21,绊状态确认!$B:$B,))+1.5)</f>
        <v>1.9</v>
      </c>
      <c r="BF21" s="1139">
        <f t="array" ref="BF21">SUMPRODUCT(IF(AZ21*AP21*$FI$16:$FI$23*$FA$22&gt;=$FI$24,$FI$24,AZ21*AP21*$FI$16:$FI$23*$FA$22),$FJ$16:$FJ$23)</f>
        <v>21162.115550160001</v>
      </c>
      <c r="BG21" s="1125">
        <f t="array" ref="BG21">SUMPRODUCT(IF(BE21*AZ21*AP21*$FI$16:$FI$23*$FA$22&gt;=$FI$24,$FI$24,BE21*AZ21*AP21*$FI$16:$FI$23*$FA$22),$FJ$16:$FJ$23)</f>
        <v>40208.019545304</v>
      </c>
      <c r="BH21" s="1110">
        <f t="shared" si="28"/>
        <v>9386.365823226166</v>
      </c>
      <c r="BI21" s="1111">
        <f>IF(O21="vo",$EW$26/$EW$24*0.05,0)+IF(O21="sk",-$EW$26/$EW$24*(0.05-INDEX(绊状态确认!W:W,MATCH($G21,绊状态确认!$B:$B,)))+0.05*$EW$28,0)+IF(O21="sp",0.05*$EW$32*$EW$30*(1-$EW$33)-(0.05-INDEX(绊状态确认!V:V,MATCH($G21,绊状态确认!$B:$B,)))*$EW$28,0)+IF(O21="gd",-(0.05-INDEX(绊状态确认!X:X,MATCH($G21,绊状态确认!$B:$B,)))*$EW$32*$EW$30*(1-$EW$33),0)</f>
        <v>7726.3029277443748</v>
      </c>
      <c r="BJ21" s="1097">
        <f>IF(O21="vo",0.05*(1-$FI$26)*$FA$24,0)+IF(O21="sk",-(0.05-INDEX(绊状态确认!W:W,MATCH($G21,绊状态确认!$B:$B,)))*(1-$FI$26)*$FA$24+0.05*$FA$26,0)+IF(O21="sp",0.05*$FA$32*$FA$27*(1-$FA$33)/$FA$30+0.05*$FA$29/$FA$69*$FA$27*(1-$FA$33)-(0.05-INDEX(绊状态确认!V:V,MATCH($G21,绊状态确认!$B:$B,)))*$FA$26,0)+IF(O21="gd",-(0.05-INDEX(绊状态确认!X:X,MATCH($G21,绊状态确认!$B:$B,)))*$FA$32*$FA$27*(1-$FA$33)/$FA$30-(0.05-INDEX(绊状态确认!X:X,MATCH($G21,绊状态确认!$B:$B,)))*$FA$29/$FA$69*$FA$27*(1-$FA$33),0)</f>
        <v>393.93433687500004</v>
      </c>
      <c r="BK21" s="1110">
        <f>IF(O21="vo",$EW$26/$EW$24*0.05+$EW$26*(-HP($EW$62,$EW$65,$EW$64)+HP($EW$62,$EW$65,(1.05-INDEX(绊状态确认!U:U,MATCH($G21,绊状态确认!$B:$B,)))*$EW$64)),0)+IF(O21="sk",-$EW$26/$EW$24*(0.05-INDEX(绊状态确认!W:W,MATCH($G21,绊状态确认!$B:$B,)))+0.05*$EW$29,0)+IF(O21="sp",0.05*$EW$32*$EW$30*(1-$EW$33)-(0.05-INDEX(绊状态确认!V:V,MATCH($G21,绊状态确认!$B:$B,)))*$EW$29,0)+IF(O21="gd",-(0.05-INDEX(绊状态确认!X:X,MATCH($G21,绊状态确认!$B:$B,)))*$EW$32*$EW$30*(1-$EW$33)+$EW$26*(-HP($EW$62,$EW$65,$EW$64)+HP($EW$62,$EW$65,0.95*$EW$64)),0)</f>
        <v>6421.6344775026746</v>
      </c>
      <c r="BL21" s="1111">
        <f t="shared" si="29"/>
        <v>-2166.6666666666665</v>
      </c>
      <c r="BM21" s="1110">
        <f t="shared" si="30"/>
        <v>-1661.1111111111109</v>
      </c>
      <c r="BN21" s="1113">
        <f t="shared" si="31"/>
        <v>2</v>
      </c>
      <c r="BO21" s="1097">
        <f t="shared" si="32"/>
        <v>3005.1476580839999</v>
      </c>
      <c r="BP21" s="1100">
        <f t="shared" si="33"/>
        <v>147.56068806020068</v>
      </c>
      <c r="BQ21" s="1113" t="s">
        <v>619</v>
      </c>
      <c r="BR21" s="1124" t="s">
        <v>621</v>
      </c>
      <c r="BS21" s="1098">
        <f>IF($P21="","N/A",IF($P21=-1,INDEX('卡片raw data'!AX:AX,MATCH($D21,'卡片raw data'!$F:$F,)),0)+IF($L21="party卡",IF($P21=5,INDEX('卡片raw data'!BD:BD,MATCH($D21,'卡片raw data'!$F:$F,)),IF($P21&gt;=3,INDEX('卡片raw data'!BC:BC,MATCH($D21,'卡片raw data'!$F:$F,)),INDEX('卡片raw data'!BB:BB,MATCH($D21,'卡片raw data'!$F:$F,)))),IF(OR(AND($F21="UR",$P21=0),AND($F21="SR",$P21&gt;=0,$P21&lt;=2),AND($F21="R",$P21&gt;=0,$P21&lt;4)),INDEX('卡片raw data'!AZ:AZ,MATCH($D21,'卡片raw data'!$F:$F,)),0)+IF(OR(AND($F21="UR",$P21&gt;=1,$P21&lt;=4),AND($F21="SR",$P21&lt;=4,$P21&gt;=3),AND($F21="R",$P21=4)),INDEX('卡片raw data'!BA:BA,MATCH($D21,'卡片raw data'!$F:$F,)),0)+IF($P21=5,INDEX('卡片raw data'!BB:BB,MATCH($D21,'卡片raw data'!$F:$F,)),0)))</f>
        <v>3.2000000000000001E-2</v>
      </c>
      <c r="BT21" s="1101">
        <f t="shared" si="34"/>
        <v>979.45553300515553</v>
      </c>
      <c r="BU21" s="1097">
        <f t="shared" si="35"/>
        <v>48.09385388628764</v>
      </c>
      <c r="BV21" s="1097">
        <f t="shared" si="36"/>
        <v>267.12423627413335</v>
      </c>
      <c r="BW21" s="1112">
        <f t="shared" si="37"/>
        <v>0</v>
      </c>
      <c r="BX21" s="1100">
        <f t="shared" si="38"/>
        <v>979.45553300515553</v>
      </c>
      <c r="BY21" s="1110">
        <f t="shared" si="39"/>
        <v>267.12423627413335</v>
      </c>
      <c r="BZ21" s="1107" t="s">
        <v>569</v>
      </c>
      <c r="CA21" s="1124"/>
      <c r="CB21" s="1098">
        <f>IF($P21="","N/A",IF($P21=-1,INDEX('卡片raw data'!BE:BE,MATCH($D21,'卡片raw data'!$F:$F,)),0)+IF($L21="party卡",IF($P21=5,INDEX('卡片raw data'!BK:BK,MATCH($D21,'卡片raw data'!$F:$F,)),IF($P21&gt;=3,INDEX('卡片raw data'!BJ:BJ,MATCH($D21,'卡片raw data'!$F:$F,)),INDEX('卡片raw data'!BI:BI,MATCH($D21,'卡片raw data'!$F:$F,)))),IF(OR(AND($F21="UR",$P21=0),AND($F21="SR",$P21&gt;=0,$P21&lt;=2),AND($F21="R",$P21&gt;=0,$P21&lt;4)),INDEX('卡片raw data'!BG:BG,MATCH($D21,'卡片raw data'!$F:$F,)),0)+IF(OR(AND($F21="UR",$P21&gt;=1,$P21&lt;=4),AND($F21="SR",$P21&lt;=4,$P21&gt;=3),AND($F21="R",$P21=4)),INDEX('卡片raw data'!BH:BH,MATCH($D21,'卡片raw data'!$F:$F,)),0)+IF($P21=5,INDEX('卡片raw data'!BI:BI,MATCH($D21,'卡片raw data'!$F:$F,)),0)))</f>
        <v>0</v>
      </c>
      <c r="CC21" s="1101">
        <f t="shared" si="40"/>
        <v>0</v>
      </c>
      <c r="CD21" s="1097">
        <f>IF(BZ21="ap",CB21*(1-$FI$26)*$FB$5/$FB$11*(+IF(CA21="全员",$FA$24,0)+IF(CA21="同作战",$FA$24,0)+IF(CA21="仲间",$FA$24*2/3,0)+IF(CA21="同属性",$FA$24*$FA$37/3,0)+IF(CA21="同年级",$FA$24*$FA$40/3,0)+IF(CA21="同学校",$FA$24*$FA$43/3,0)+IF(CA21="同小队",$FA$24*$FA$46/3,0)+IF(CA21="同type",$FA$24*INDEX($FB$49:$FB$52,MATCH(X21,$FA$49:$FA$52,))/3,0)+IF(CA21="自身",#REF!/3,0)),0)+IF(BZ21="te",CB21*(1-$FI$27)*($FA$20-1)*$FB$7/$FB$13*(+IF(CA21="全员",$FA$19*$FA$24/(1+($FA$20-1)*$FA$19),0)+IF(CA21="同作战",$FA$19*$FA$24/(1+($FA$20-1)*$FA$19),0)+IF(CA21="仲间",$FA$19*$FA$24*2/3/(1+($FA$20-1)*$FA$19),0)+IF(CA21="同属性",$FA$19*$FA$24*$FA$37/3/(1+($FA$20-1)*$FA$19),0)+IF(CA21="同年级",$FA$19*$FA$24*$FA$40/3/(1+($FA$20-1)*$FA$19),0)+IF(CA21="同学校",$FA$19*$FA$24*$FA$43/3/(1+($FA$20-1)*$FA$19),0)+IF(CA21="同小队",$FA$19*$FA$24*$FA$46/3/(1+($FA$20-1)*$FA$19),0)+IF(CA21="同type",$FA$19*$FA$24*INDEX($FB$49:$FB$52,MATCH(X21,$FA$49:$FA$52,))/3/(1+($FA$20-1)*$FA$19),0)+IF(CA21="自身",$FA$19*#REF!/3/(1+(BH21-1)*$BD21),0)),0)</f>
        <v>0</v>
      </c>
      <c r="CE21" s="1097">
        <f t="shared" si="41"/>
        <v>0</v>
      </c>
      <c r="CF21" s="1112">
        <f t="shared" si="42"/>
        <v>0</v>
      </c>
      <c r="CG21" s="1100">
        <f t="shared" si="43"/>
        <v>0</v>
      </c>
      <c r="CH21" s="1110">
        <f t="shared" si="44"/>
        <v>0</v>
      </c>
      <c r="CI21" s="1113"/>
      <c r="CJ21" s="1114"/>
      <c r="CK21" s="1115" t="s">
        <v>569</v>
      </c>
      <c r="CL21" s="1115"/>
      <c r="CM21" s="1119"/>
      <c r="CN21" s="1115"/>
      <c r="CO21" s="1092"/>
      <c r="CP21" s="1117">
        <f t="shared" si="45"/>
        <v>0</v>
      </c>
      <c r="CQ21" s="1117">
        <f t="shared" si="46"/>
        <v>0</v>
      </c>
      <c r="CR21" s="1117">
        <f t="shared" si="47"/>
        <v>0</v>
      </c>
      <c r="CS21" s="1118">
        <f t="shared" si="48"/>
        <v>0</v>
      </c>
      <c r="CT21" s="1109">
        <f t="shared" si="49"/>
        <v>0</v>
      </c>
      <c r="CU21" s="1101">
        <f t="shared" si="50"/>
        <v>0</v>
      </c>
      <c r="CV21" s="1108">
        <f t="shared" si="51"/>
        <v>0</v>
      </c>
      <c r="CW21" s="1097">
        <f t="shared" si="52"/>
        <v>0</v>
      </c>
      <c r="CX21" s="1097">
        <f t="shared" si="53"/>
        <v>0</v>
      </c>
      <c r="CY21" s="1110">
        <f t="shared" si="54"/>
        <v>0</v>
      </c>
      <c r="CZ21" s="437"/>
      <c r="DA21" s="438"/>
      <c r="DB21" s="439" t="s">
        <v>569</v>
      </c>
      <c r="DC21" s="439"/>
      <c r="DD21" s="443"/>
      <c r="DE21" s="411"/>
      <c r="DF21" s="411"/>
      <c r="DG21" s="1116">
        <f t="shared" si="55"/>
        <v>0</v>
      </c>
      <c r="DH21" s="1116">
        <f t="shared" si="56"/>
        <v>0</v>
      </c>
      <c r="DI21" s="1116">
        <f t="shared" si="57"/>
        <v>0</v>
      </c>
      <c r="DJ21" s="442">
        <f t="shared" si="58"/>
        <v>0</v>
      </c>
      <c r="DK21" s="1109">
        <f t="shared" si="59"/>
        <v>0</v>
      </c>
      <c r="DL21" s="1101">
        <f t="shared" si="60"/>
        <v>0</v>
      </c>
      <c r="DM21" s="1097">
        <f t="shared" si="61"/>
        <v>0</v>
      </c>
      <c r="DN21" s="1097">
        <f t="shared" si="62"/>
        <v>0</v>
      </c>
      <c r="DO21" s="1097">
        <f t="shared" si="63"/>
        <v>0</v>
      </c>
      <c r="DP21" s="1110">
        <f t="shared" si="64"/>
        <v>0</v>
      </c>
      <c r="DQ21" s="1113" t="s">
        <v>545</v>
      </c>
      <c r="DR21" s="1120">
        <f t="shared" si="65"/>
        <v>0.3</v>
      </c>
      <c r="DS21" s="1124"/>
      <c r="DT21" s="1093" t="s">
        <v>546</v>
      </c>
      <c r="DU21" s="1093"/>
      <c r="DV21" s="1097">
        <f>IF($P21="","N/A",IF(P21=-1,INDEX('卡片raw data'!AN:AN,MATCH(D21,'卡片raw data'!$F:$F,)),0)+IF(AND(L21&lt;&gt;"party卡",P21&lt;=2,P21&gt;=0),INDEX('卡片raw data'!AP:AP,MATCH(D21,'卡片raw data'!$F:$F,)),0)+IF(OR(AND(L21="party卡",P21&lt;=1),AND(P21&lt;=4,L21&lt;&gt;"party卡",P21&gt;=3)),INDEX('卡片raw data'!AQ:AQ,MATCH(D21,'卡片raw data'!$F:$F,)),0)+IF(OR(P21=5,AND(L21="party卡",P21&gt;=2)),INDEX('卡片raw data'!AR:AR,MATCH(D21,'卡片raw data'!$F:$F,)),0))</f>
        <v>400</v>
      </c>
      <c r="DW21" s="1098">
        <f t="shared" si="66"/>
        <v>0.3</v>
      </c>
      <c r="DX21" s="1098">
        <f t="shared" si="67"/>
        <v>0.3</v>
      </c>
      <c r="DY21" s="1125">
        <f t="shared" si="68"/>
        <v>40</v>
      </c>
      <c r="DZ21" s="1125">
        <f t="shared" si="69"/>
        <v>34.6</v>
      </c>
      <c r="EA21" s="1098">
        <f t="shared" si="70"/>
        <v>0</v>
      </c>
      <c r="EB21" s="1121">
        <f t="shared" si="71"/>
        <v>0</v>
      </c>
      <c r="EC21" s="1101">
        <f t="shared" si="72"/>
        <v>44</v>
      </c>
      <c r="ED21" s="1097">
        <f t="shared" si="73"/>
        <v>34.6</v>
      </c>
      <c r="EE21" s="1110">
        <f t="shared" si="74"/>
        <v>44</v>
      </c>
      <c r="EF21" s="1092" t="s">
        <v>711</v>
      </c>
      <c r="EG21" s="1120">
        <f t="shared" si="75"/>
        <v>0.3</v>
      </c>
      <c r="EH21" s="1124"/>
      <c r="EI21" s="1093"/>
      <c r="EJ21" s="1093"/>
      <c r="EK21" s="1097">
        <f>IF($P21="","N/A",IF(P21=-1,INDEX('卡片raw data'!AS:AS,MATCH(D21,'卡片raw data'!$F:$F,)),0)+IF(AND(L21&lt;&gt;"party卡",P21&lt;=2,P21&gt;=0),INDEX('卡片raw data'!AU:AU,MATCH(D21,'卡片raw data'!$F:$F,)),0)+IF(OR(AND(L21="party卡",P21&lt;=1),AND(P21&lt;=4,L21&lt;&gt;"party卡",P21&gt;=3)),INDEX('卡片raw data'!AV:AV,MATCH(D21,'卡片raw data'!$F:$F,)),0)+IF(OR(P21=5,AND(L21="party卡",P21&gt;=2)),INDEX('卡片raw data'!AW:AW,MATCH(D21,'卡片raw data'!$F:$F,)),0))</f>
        <v>0</v>
      </c>
      <c r="EL21" s="1098">
        <f t="shared" si="76"/>
        <v>0.3</v>
      </c>
      <c r="EM21" s="1098">
        <f t="shared" si="77"/>
        <v>0.3</v>
      </c>
      <c r="EN21" s="1125">
        <f t="shared" si="78"/>
        <v>0</v>
      </c>
      <c r="EO21" s="1125">
        <f t="shared" si="79"/>
        <v>0</v>
      </c>
      <c r="EP21" s="1098">
        <f t="shared" si="80"/>
        <v>0</v>
      </c>
      <c r="EQ21" s="1121">
        <f t="shared" si="81"/>
        <v>0</v>
      </c>
      <c r="ER21" s="1101">
        <f t="shared" si="82"/>
        <v>0</v>
      </c>
      <c r="ES21" s="1097">
        <f t="shared" si="83"/>
        <v>0</v>
      </c>
      <c r="ET21" s="1122">
        <f t="shared" si="84"/>
        <v>0</v>
      </c>
      <c r="EV21" s="1223" t="s">
        <v>4089</v>
      </c>
      <c r="EW21" s="1334">
        <v>1.4</v>
      </c>
      <c r="EX21" s="1335"/>
      <c r="EY21" s="1212"/>
      <c r="EZ21" s="1224" t="s">
        <v>1304</v>
      </c>
      <c r="FA21" s="1330">
        <v>7.4999999999999997E-2</v>
      </c>
      <c r="FB21" s="1330"/>
      <c r="FC21" s="447"/>
      <c r="FD21" s="447"/>
      <c r="FE21" s="447"/>
      <c r="FF21" s="447"/>
      <c r="FG21" s="447"/>
      <c r="FH21" s="465">
        <f t="shared" si="87"/>
        <v>103820.27499999999</v>
      </c>
      <c r="FI21" s="560">
        <f t="shared" si="86"/>
        <v>1.7</v>
      </c>
      <c r="FJ21" s="558">
        <f t="shared" si="86"/>
        <v>0.1</v>
      </c>
      <c r="FL21" s="459" t="s">
        <v>251</v>
      </c>
      <c r="FM21" s="1364">
        <v>15</v>
      </c>
      <c r="FN21" s="1365"/>
    </row>
    <row r="22" spans="2:170">
      <c r="B22" s="1123" t="str">
        <f>INDEX('卡片raw data'!B:B,MATCH($D22,'卡片raw data'!$F:$F,))</f>
        <v>打工凛</v>
      </c>
      <c r="C22" s="449" t="s">
        <v>66</v>
      </c>
      <c r="D22" s="408">
        <v>19</v>
      </c>
      <c r="E22" s="1090">
        <v>100052001</v>
      </c>
      <c r="F22" s="1090" t="str">
        <f>INDEX('卡片raw data'!C:C,MATCH($D22,'卡片raw data'!$F:$F,))</f>
        <v>SR</v>
      </c>
      <c r="G22" s="1094" t="s">
        <v>335</v>
      </c>
      <c r="H22" s="411">
        <f>IFERROR(INDEX(绊状态确认!C:C,MATCH($G22,绊状态确认!$B:$B,)),"")</f>
        <v>5</v>
      </c>
      <c r="I22" s="1124" t="str">
        <f>IFERROR(INDEX(绊状态确认!D:D,MATCH($G22,绊状态确认!$B:$B,)),"")</f>
        <v>缪</v>
      </c>
      <c r="J22" s="1124" t="str">
        <f>IFERROR(INDEX(绊状态确认!E:E,MATCH($G22,绊状态确认!$B:$B,)),"")</f>
        <v>1年级</v>
      </c>
      <c r="K22" s="451" t="str">
        <f>IFERROR(INDEX(绊状态确认!F:F,MATCH($G22,绊状态确认!$B:$B,)),"")</f>
        <v>lilywhite</v>
      </c>
      <c r="L22" s="1094" t="str">
        <f>INDEX('卡片raw data'!E:E,MATCH($D22,'卡片raw data'!$F:$F,))</f>
        <v>卡池卡</v>
      </c>
      <c r="M22" s="415">
        <v>43735</v>
      </c>
      <c r="N22" s="416">
        <v>0</v>
      </c>
      <c r="O22" s="1091" t="str">
        <f>INDEX('卡片raw data'!D:D,MATCH($D22,'卡片raw data'!$F:$F,))</f>
        <v>sk</v>
      </c>
      <c r="P22" s="417">
        <v>5</v>
      </c>
      <c r="Q22" s="1095">
        <f t="shared" si="0"/>
        <v>19592.352586013632</v>
      </c>
      <c r="R22" s="1096">
        <f t="shared" si="1"/>
        <v>0.22700000000000001</v>
      </c>
      <c r="S22" s="1097">
        <f t="shared" si="2"/>
        <v>14986.069903112893</v>
      </c>
      <c r="T22" s="1098">
        <f t="shared" si="3"/>
        <v>0.749</v>
      </c>
      <c r="U22" s="1099">
        <f t="shared" si="4"/>
        <v>8.4271652667428576</v>
      </c>
      <c r="V22" s="1100">
        <f t="shared" si="5"/>
        <v>22259.747707400598</v>
      </c>
      <c r="W22" s="1101">
        <f t="shared" si="6"/>
        <v>4871.3578507623633</v>
      </c>
      <c r="X22" s="1096">
        <f t="shared" si="7"/>
        <v>5.6000000000000001E-2</v>
      </c>
      <c r="Y22" s="1097">
        <f t="shared" si="8"/>
        <v>667.39512138696591</v>
      </c>
      <c r="Z22" s="1102">
        <f t="shared" si="9"/>
        <v>8.4271652667428576</v>
      </c>
      <c r="AA22" s="1103">
        <f t="shared" si="10"/>
        <v>5538.7529721493293</v>
      </c>
      <c r="AB22" s="1101">
        <f t="shared" si="11"/>
        <v>5313.3653037353242</v>
      </c>
      <c r="AC22" s="1104">
        <f t="shared" si="12"/>
        <v>6.0999999999999999E-2</v>
      </c>
      <c r="AD22" s="1105">
        <f t="shared" si="13"/>
        <v>3.7585275820707073E-2</v>
      </c>
      <c r="AE22" s="1128">
        <f t="shared" si="14"/>
        <v>13.397747434822538</v>
      </c>
      <c r="AF22" s="1130">
        <f t="shared" si="15"/>
        <v>0</v>
      </c>
      <c r="AG22" s="420">
        <f t="shared" si="16"/>
        <v>0</v>
      </c>
      <c r="AH22" s="420">
        <f t="shared" si="17"/>
        <v>0</v>
      </c>
      <c r="AI22" s="1097">
        <f t="shared" si="18"/>
        <v>0</v>
      </c>
      <c r="AJ22" s="420">
        <f t="shared" si="19"/>
        <v>0</v>
      </c>
      <c r="AK22" s="518">
        <f t="shared" si="20"/>
        <v>0</v>
      </c>
      <c r="AL22" s="1106">
        <f>IF($P22="","N/A",(IF($P22=-1,INDEX('卡片raw data'!S:S,MATCH($D22,'卡片raw data'!$F:$F,)),0)+IF($P22=0,INDEX('卡片raw data'!V:V,MATCH($D22,'卡片raw data'!$F:$F,)),0)+IF($P22=1,INDEX('卡片raw data'!Y:Y,MATCH($D22,'卡片raw data'!$F:$F,)),0)+IF($P22=2,INDEX('卡片raw data'!AB:AB,MATCH($D22,'卡片raw data'!$F:$F,)),0)+IF($P22=3,INDEX('卡片raw data'!AE:AE,MATCH($D22,'卡片raw data'!$F:$F,)),0)+IF($P22=4,INDEX('卡片raw data'!AH:AH,MATCH($D22,'卡片raw data'!$F:$F,)),0)+IF($P22=5,INDEX('卡片raw data'!AK:AK,MATCH($D22,'卡片raw data'!$F:$F,)),0)+INDEX('卡片raw data'!S:S,MATCH($D22,'卡片raw data'!$F:$F,))*(IF($F22="UR",0.04,0.033))*(IF($F22="UR",INDEX(绊状态确认!$S:$S,MATCH($G22,绊状态确认!$B:$B,))/2-40)+IF($F22="SR",INDEX(绊状态确认!$R:$R,MATCH($G22,绊状态确认!$B:$B,))/4-15))+IF($F22="R",INDEX(绊状态确认!$Q:$Q,MATCH($G22,绊状态确认!$B:$B,))/6-40/6)))*(INDEX(绊状态确认!$H:$H,MATCH($G22,绊状态确认!$B:$B,))+INDEX(绊状态确认!J:J,MATCH($G22,绊状态确认!$B:$B,)))</f>
        <v>5671.8178559999997</v>
      </c>
      <c r="AM22" s="1106">
        <f>IF($P22="","N/A",(IF($P22=-1,INDEX('卡片raw data'!T:T,MATCH($D22,'卡片raw data'!$F:$F,)),0)+IF($P22=0,INDEX('卡片raw data'!W:W,MATCH($D22,'卡片raw data'!$F:$F,)),0)+IF($P22=1,INDEX('卡片raw data'!Z:Z,MATCH($D22,'卡片raw data'!$F:$F,)),0)+IF($P22=2,INDEX('卡片raw data'!AC:AC,MATCH($D22,'卡片raw data'!$F:$F,)),0)+IF($P22=3,INDEX('卡片raw data'!AF:AF,MATCH($D22,'卡片raw data'!$F:$F,)),0)+IF($P22=4,INDEX('卡片raw data'!AI:AI,MATCH($D22,'卡片raw data'!$F:$F,)),0)+IF($P22=5,INDEX('卡片raw data'!AL:AL,MATCH($D22,'卡片raw data'!$F:$F,)),0)+INDEX('卡片raw data'!T:T,MATCH($D22,'卡片raw data'!$F:$F,))*(IF($F22="UR",0.04,0.033))*(IF($F22="UR",INDEX(绊状态确认!$S:$S,MATCH($G22,绊状态确认!$B:$B,))/2-40)+IF($F22="SR",INDEX(绊状态确认!$R:$R,MATCH($G22,绊状态确认!$B:$B,))/4-15))+IF($F22="R",INDEX(绊状态确认!$Q:$Q,MATCH($G22,绊状态确认!$B:$B,))/6-40/6)))*(INDEX(绊状态确认!$H:$H,MATCH($G22,绊状态确认!$B:$B,))+INDEX(绊状态确认!K:K,MATCH($G22,绊状态确认!$B:$B,)))</f>
        <v>3781.2119039999998</v>
      </c>
      <c r="AN22" s="1106">
        <f>IF($P22="","N/A",(IF($P22=-1,INDEX('卡片raw data'!U:U,MATCH($D22,'卡片raw data'!$F:$F,)),0)+IF($P22=0,INDEX('卡片raw data'!X:X,MATCH($D22,'卡片raw data'!$F:$F,)),0)+IF($P22=1,INDEX('卡片raw data'!AA:AA,MATCH($D22,'卡片raw data'!$F:$F,)),0)+IF($P22=2,INDEX('卡片raw data'!AD:AD,MATCH($D22,'卡片raw data'!$F:$F,)),0)+IF($P22=3,INDEX('卡片raw data'!AG:AG,MATCH($D22,'卡片raw data'!$F:$F,)),0)+IF($P22=4,INDEX('卡片raw data'!AJ:AJ,MATCH($D22,'卡片raw data'!$F:$F,)),0)+IF($P22=5,INDEX('卡片raw data'!AM:AM,MATCH($D22,'卡片raw data'!$F:$F,)),0)+INDEX('卡片raw data'!U:U,MATCH($D22,'卡片raw data'!$F:$F,))*(IF($F22="UR",0.04,0.033))*(IF($F22="UR",INDEX(绊状态确认!$S:$S,MATCH($G22,绊状态确认!$B:$B,))/2-40)+IF($F22="SR",INDEX(绊状态确认!$R:$R,MATCH($G22,绊状态确认!$B:$B,))/4-15))+IF($F22="R",INDEX(绊状态确认!$Q:$Q,MATCH($G22,绊状态确认!$B:$B,))/6-40/6)))*(INDEX(绊状态确认!$H:$H,MATCH($G22,绊状态确认!$B:$B,))+INDEX(绊状态确认!L:L,MATCH($G22,绊状态确认!$B:$B,)))</f>
        <v>9453.0297599999976</v>
      </c>
      <c r="AO22" s="1107">
        <f t="shared" si="21"/>
        <v>1</v>
      </c>
      <c r="AP22" s="1131">
        <f>1+(INDEX(绊状态确认!$T:$T,MATCH($G22,绊状态确认!$B:$B,))+0.2)*$AO22</f>
        <v>1.3</v>
      </c>
      <c r="AQ22" s="1108">
        <f t="shared" si="22"/>
        <v>18138.521871999998</v>
      </c>
      <c r="AR22" s="1097">
        <f>(AM22*(1+$EX$9)+$EX$35)*(1+(INDEX(绊状态确认!$T:$T,MATCH($G22,绊状态确认!$B:$B,))+0.2)*AO22)*IF(J22=$FF$17,1+$FE$17,1)*IF(I22=$FF$14,1+$FE$14,1)</f>
        <v>7865.3542489600004</v>
      </c>
      <c r="AS22" s="1097">
        <f>(AN22*(1+$EX$10)+$EX$36)*(1+(INDEX(绊状态确认!$T:$T,MATCH($G22,绊状态确认!$B:$B,))+0.2)*AO22)*IF(J22=$FF$17,1+$FE$17,1)*IF(I22=$FF$14,1+$FE$14,1)</f>
        <v>18188.279491199995</v>
      </c>
      <c r="AT22" s="1093">
        <f>IF(AND(INDEX('卡片raw data'!AK:AK,MATCH($D22,'卡片raw data'!$F:$F,))&lt;INDEX('卡片raw data'!AM:AM,MATCH($D22,'卡片raw data'!$F:$F,)),INDEX('卡片raw data'!AL:AL,MATCH($D22,'卡片raw data'!$F:$F,))&lt;INDEX('卡片raw data'!AM:AM,MATCH($D22,'卡片raw data'!$F:$F,))),1,0)</f>
        <v>1</v>
      </c>
      <c r="AU22" s="1098">
        <f>MIN(AT22*0.15+AS22*0.00003+INDEX(绊状态确认!M:M,MATCH($G22,绊状态确认!$B:$B,)),1)</f>
        <v>0.72564838473599991</v>
      </c>
      <c r="AV22" s="1109">
        <f>(INDEX(绊状态确认!$N:$N,MATCH($G22,绊状态确认!$B:$B,))+1.5)*$EW$21</f>
        <v>2.6599999999999997</v>
      </c>
      <c r="AW22" s="1101">
        <f t="shared" si="23"/>
        <v>20767.50840209673</v>
      </c>
      <c r="AX22" s="1097">
        <f t="shared" si="24"/>
        <v>667.39512138696614</v>
      </c>
      <c r="AY22" s="1110">
        <f t="shared" si="25"/>
        <v>21434.903523483696</v>
      </c>
      <c r="AZ22" s="429">
        <f t="shared" si="26"/>
        <v>13660.044819199999</v>
      </c>
      <c r="BA22" s="431">
        <f t="shared" si="27"/>
        <v>16392.053783039999</v>
      </c>
      <c r="BB22" s="1097">
        <f>(AM22*(1+$FB$9)+$FB$35)*(1+(INDEX(绊状态确认!$T:$T,MATCH($G22,绊状态确认!$B:$B,))+0.2)*AO22)*IF(J22=$FF$17,1+$FE$17,1)*IF(I22=$FF$14,1+$FE$14,1)*(1+$FE$15)</f>
        <v>7865.3542489600004</v>
      </c>
      <c r="BC22" s="1097">
        <f>(AN22*(1+$FB$10)+$FB$36)*(1+(INDEX(绊状态确认!$T:$T,MATCH($G22,绊状态确认!$B:$B,))+0.2)*AO22)*IF(J22=$FF$17,1+$FE$17,1)*IF(I22=$FF$14,1+$FE$14,1)*(1+$FE$15)</f>
        <v>18188.279491199995</v>
      </c>
      <c r="BD22" s="1104">
        <f>MIN(AT22*0.15+BC22*0.00003+INDEX(绊状态确认!M:M,MATCH($G22,绊状态确认!$B:$B,)),1)</f>
        <v>0.72564838473599991</v>
      </c>
      <c r="BE22" s="432">
        <f>(INDEX(绊状态确认!$N:$N,MATCH($G22,绊状态确认!$B:$B,))+1.5)</f>
        <v>1.9</v>
      </c>
      <c r="BF22" s="1139">
        <f t="array" ref="BF22">SUMPRODUCT(IF(AZ22*AP22*$FI$16:$FI$23*$FA$22&gt;=$FI$24,$FI$24,AZ22*AP22*$FI$16:$FI$23*$FA$22),$FJ$16:$FJ$23)</f>
        <v>27169.829145388805</v>
      </c>
      <c r="BG22" s="1125">
        <f t="array" ref="BG22">SUMPRODUCT(IF(BE22*AZ22*AP22*$FI$16:$FI$23*$FA$22&gt;=$FI$24,$FI$24,BE22*AZ22*AP22*$FI$16:$FI$23*$FA$22),$FJ$16:$FJ$23)</f>
        <v>51138.760415971832</v>
      </c>
      <c r="BH22" s="1110">
        <f t="shared" si="28"/>
        <v>14854.281801911859</v>
      </c>
      <c r="BI22" s="1111">
        <f>IF(O22="vo",$EW$26/$EW$24*0.05,0)+IF(O22="sk",-$EW$26/$EW$24*(0.05-INDEX(绊状态确认!W:W,MATCH($G22,绊状态确认!$B:$B,)))+0.05*$EW$28,0)+IF(O22="sp",0.05*$EW$32*$EW$30*(1-$EW$33)-(0.05-INDEX(绊状态确认!V:V,MATCH($G22,绊状态确认!$B:$B,)))*$EW$28,0)+IF(O22="gd",-(0.05-INDEX(绊状态确认!X:X,MATCH($G22,绊状态确认!$B:$B,)))*$EW$32*$EW$30*(1-$EW$33),0)</f>
        <v>-6253.6726349699375</v>
      </c>
      <c r="BJ22" s="1097">
        <f>IF(O22="vo",0.05*(1-$FI$26)*$FA$24,0)+IF(O22="sk",-(0.05-INDEX(绊状态确认!W:W,MATCH($G22,绊状态确认!$B:$B,)))*(1-$FI$26)*$FA$24+0.05*$FA$26,0)+IF(O22="sp",0.05*$FA$32*$FA$27*(1-$FA$33)/$FA$30+0.05*$FA$29/$FA$69*$FA$27*(1-$FA$33)-(0.05-INDEX(绊状态确认!V:V,MATCH($G22,绊状态确认!$B:$B,)))*$FA$26,0)+IF(O22="gd",-(0.05-INDEX(绊状态确认!X:X,MATCH($G22,绊状态确认!$B:$B,)))*$FA$32*$FA$27*(1-$FA$33)/$FA$30-(0.05-INDEX(绊状态确认!X:X,MATCH($G22,绊状态确认!$B:$B,)))*$FA$29/$FA$69*$FA$27*(1-$FA$33),0)</f>
        <v>20.459096812499922</v>
      </c>
      <c r="BK22" s="1110">
        <f>IF(O22="vo",$EW$26/$EW$24*0.05+$EW$26*(-HP($EW$62,$EW$65,$EW$64)+HP($EW$62,$EW$65,(1.05-INDEX(绊状态确认!U:U,MATCH($G22,绊状态确认!$B:$B,)))*$EW$64)),0)+IF(O22="sk",-$EW$26/$EW$24*(0.05-INDEX(绊状态确认!W:W,MATCH($G22,绊状态确认!$B:$B,)))+0.05*$EW$29,0)+IF(O22="sp",0.05*$EW$32*$EW$30*(1-$EW$33)-(0.05-INDEX(绊状态确认!V:V,MATCH($G22,绊状态确认!$B:$B,)))*$EW$29,0)+IF(O22="gd",-(0.05-INDEX(绊状态确认!X:X,MATCH($G22,绊状态确认!$B:$B,)))*$EW$32*$EW$30*(1-$EW$33)+$EW$26*(-HP($EW$62,$EW$65,$EW$64)+HP($EW$62,$EW$65,0.95*$EW$64)),0)</f>
        <v>-4253.6726349699375</v>
      </c>
      <c r="BL22" s="1111">
        <f t="shared" si="29"/>
        <v>-1083.3333333333333</v>
      </c>
      <c r="BM22" s="1110">
        <f t="shared" si="30"/>
        <v>-830.55555555555543</v>
      </c>
      <c r="BN22" s="1113">
        <f t="shared" si="31"/>
        <v>3</v>
      </c>
      <c r="BO22" s="1097">
        <f t="shared" si="32"/>
        <v>4507.7214871259994</v>
      </c>
      <c r="BP22" s="1100">
        <f t="shared" si="33"/>
        <v>221.34103209030098</v>
      </c>
      <c r="BQ22" s="1113" t="s">
        <v>616</v>
      </c>
      <c r="BR22" s="1124" t="s">
        <v>622</v>
      </c>
      <c r="BS22" s="1098">
        <f>IF($P22="","N/A",IF($P22=-1,INDEX('卡片raw data'!AX:AX,MATCH($D22,'卡片raw data'!$F:$F,)),0)+IF($L22="party卡",IF($P22=5,INDEX('卡片raw data'!BD:BD,MATCH($D22,'卡片raw data'!$F:$F,)),IF($P22&gt;=3,INDEX('卡片raw data'!BC:BC,MATCH($D22,'卡片raw data'!$F:$F,)),INDEX('卡片raw data'!BB:BB,MATCH($D22,'卡片raw data'!$F:$F,)))),IF(OR(AND($F22="UR",$P22=0),AND($F22="SR",$P22&gt;=0,$P22&lt;=2),AND($F22="R",$P22&gt;=0,$P22&lt;4)),INDEX('卡片raw data'!AZ:AZ,MATCH($D22,'卡片raw data'!$F:$F,)),0)+IF(OR(AND($F22="UR",$P22&gt;=1,$P22&lt;=4),AND($F22="SR",$P22&lt;=4,$P22&gt;=3),AND($F22="R",$P22=4)),INDEX('卡片raw data'!BA:BA,MATCH($D22,'卡片raw data'!$F:$F,)),0)+IF($P22=5,INDEX('卡片raw data'!BB:BB,MATCH($D22,'卡片raw data'!$F:$F,)),0)))</f>
        <v>7.0000000000000007E-2</v>
      </c>
      <c r="BT22" s="1101">
        <f t="shared" si="34"/>
        <v>442.00745297296157</v>
      </c>
      <c r="BU22" s="1097">
        <f t="shared" si="35"/>
        <v>24.331406641667094</v>
      </c>
      <c r="BV22" s="1097">
        <f t="shared" si="36"/>
        <v>0</v>
      </c>
      <c r="BW22" s="1112">
        <f t="shared" si="37"/>
        <v>0</v>
      </c>
      <c r="BX22" s="1100">
        <f t="shared" si="38"/>
        <v>442.00745297296157</v>
      </c>
      <c r="BY22" s="1110">
        <f t="shared" si="39"/>
        <v>0</v>
      </c>
      <c r="BZ22" s="1107" t="s">
        <v>569</v>
      </c>
      <c r="CA22" s="1124"/>
      <c r="CB22" s="1098">
        <f>IF($P22="","N/A",IF($P22=-1,INDEX('卡片raw data'!BE:BE,MATCH($D22,'卡片raw data'!$F:$F,)),0)+IF($L22="party卡",IF($P22=5,INDEX('卡片raw data'!BK:BK,MATCH($D22,'卡片raw data'!$F:$F,)),IF($P22&gt;=3,INDEX('卡片raw data'!BJ:BJ,MATCH($D22,'卡片raw data'!$F:$F,)),INDEX('卡片raw data'!BI:BI,MATCH($D22,'卡片raw data'!$F:$F,)))),IF(OR(AND($F22="UR",$P22=0),AND($F22="SR",$P22&gt;=0,$P22&lt;=2),AND($F22="R",$P22&gt;=0,$P22&lt;4)),INDEX('卡片raw data'!BG:BG,MATCH($D22,'卡片raw data'!$F:$F,)),0)+IF(OR(AND($F22="UR",$P22&gt;=1,$P22&lt;=4),AND($F22="SR",$P22&lt;=4,$P22&gt;=3),AND($F22="R",$P22=4)),INDEX('卡片raw data'!BH:BH,MATCH($D22,'卡片raw data'!$F:$F,)),0)+IF($P22=5,INDEX('卡片raw data'!BI:BI,MATCH($D22,'卡片raw data'!$F:$F,)),0)))</f>
        <v>0</v>
      </c>
      <c r="CC22" s="1101">
        <f t="shared" si="40"/>
        <v>0</v>
      </c>
      <c r="CD22" s="1097">
        <f>IF(BZ22="ap",CB22*(1-$FI$26)*$FB$5/$FB$11*(+IF(CA22="全员",$FA$24,0)+IF(CA22="同作战",$FA$24,0)+IF(CA22="仲间",$FA$24*2/3,0)+IF(CA22="同属性",$FA$24*$FA$37/3,0)+IF(CA22="同年级",$FA$24*$FA$40/3,0)+IF(CA22="同学校",$FA$24*$FA$43/3,0)+IF(CA22="同小队",$FA$24*$FA$46/3,0)+IF(CA22="同type",$FA$24*INDEX($FB$49:$FB$52,MATCH(X22,$FA$49:$FA$52,))/3,0)+IF(CA22="自身",#REF!/3,0)),0)+IF(BZ22="te",CB22*(1-$FI$27)*($FA$20-1)*$FB$7/$FB$13*(+IF(CA22="全员",$FA$19*$FA$24/(1+($FA$20-1)*$FA$19),0)+IF(CA22="同作战",$FA$19*$FA$24/(1+($FA$20-1)*$FA$19),0)+IF(CA22="仲间",$FA$19*$FA$24*2/3/(1+($FA$20-1)*$FA$19),0)+IF(CA22="同属性",$FA$19*$FA$24*$FA$37/3/(1+($FA$20-1)*$FA$19),0)+IF(CA22="同年级",$FA$19*$FA$24*$FA$40/3/(1+($FA$20-1)*$FA$19),0)+IF(CA22="同学校",$FA$19*$FA$24*$FA$43/3/(1+($FA$20-1)*$FA$19),0)+IF(CA22="同小队",$FA$19*$FA$24*$FA$46/3/(1+($FA$20-1)*$FA$19),0)+IF(CA22="同type",$FA$19*$FA$24*INDEX($FB$49:$FB$52,MATCH(X22,$FA$49:$FA$52,))/3/(1+($FA$20-1)*$FA$19),0)+IF(CA22="自身",$FA$19*#REF!/3/(1+(BH22-1)*$BD22),0)),0)</f>
        <v>0</v>
      </c>
      <c r="CE22" s="1097">
        <f t="shared" si="41"/>
        <v>0</v>
      </c>
      <c r="CF22" s="1112">
        <f t="shared" si="42"/>
        <v>0</v>
      </c>
      <c r="CG22" s="1100">
        <f t="shared" si="43"/>
        <v>0</v>
      </c>
      <c r="CH22" s="1110">
        <f t="shared" si="44"/>
        <v>0</v>
      </c>
      <c r="CI22" s="1113" t="s">
        <v>162</v>
      </c>
      <c r="CJ22" s="1114">
        <v>0.5</v>
      </c>
      <c r="CK22" s="1115" t="s">
        <v>561</v>
      </c>
      <c r="CL22" s="1115" t="s">
        <v>161</v>
      </c>
      <c r="CM22" s="1119">
        <v>0.08</v>
      </c>
      <c r="CN22" s="1115">
        <v>10</v>
      </c>
      <c r="CO22" s="1092"/>
      <c r="CP22" s="1118">
        <f t="shared" si="45"/>
        <v>8.5714285714285719E-3</v>
      </c>
      <c r="CQ22" s="1118">
        <f t="shared" si="46"/>
        <v>1.3333333333333336E-2</v>
      </c>
      <c r="CR22" s="1118">
        <f t="shared" si="47"/>
        <v>8.5714285714285719E-3</v>
      </c>
      <c r="CS22" s="1118">
        <f t="shared" si="48"/>
        <v>1.1388888888888888E-2</v>
      </c>
      <c r="CT22" s="1109">
        <f t="shared" si="49"/>
        <v>0</v>
      </c>
      <c r="CU22" s="1101">
        <f t="shared" si="50"/>
        <v>363.63636363636363</v>
      </c>
      <c r="CV22" s="1108">
        <f t="shared" si="51"/>
        <v>303.03030303030306</v>
      </c>
      <c r="CW22" s="1097">
        <f t="shared" si="52"/>
        <v>363.63636363636363</v>
      </c>
      <c r="CX22" s="1097">
        <f t="shared" si="53"/>
        <v>363.63636363636363</v>
      </c>
      <c r="CY22" s="1110">
        <f t="shared" si="54"/>
        <v>363.63636363636363</v>
      </c>
      <c r="CZ22" s="437"/>
      <c r="DA22" s="438"/>
      <c r="DB22" s="439" t="s">
        <v>569</v>
      </c>
      <c r="DC22" s="439"/>
      <c r="DD22" s="443"/>
      <c r="DE22" s="411"/>
      <c r="DF22" s="411"/>
      <c r="DG22" s="1116">
        <f t="shared" si="55"/>
        <v>0</v>
      </c>
      <c r="DH22" s="1116">
        <f t="shared" si="56"/>
        <v>0</v>
      </c>
      <c r="DI22" s="1116">
        <f t="shared" si="57"/>
        <v>0</v>
      </c>
      <c r="DJ22" s="442">
        <f t="shared" si="58"/>
        <v>0</v>
      </c>
      <c r="DK22" s="1109">
        <f t="shared" si="59"/>
        <v>0</v>
      </c>
      <c r="DL22" s="1101">
        <f t="shared" si="60"/>
        <v>0</v>
      </c>
      <c r="DM22" s="1097">
        <f t="shared" si="61"/>
        <v>0</v>
      </c>
      <c r="DN22" s="1097">
        <f t="shared" si="62"/>
        <v>0</v>
      </c>
      <c r="DO22" s="1097">
        <f t="shared" si="63"/>
        <v>0</v>
      </c>
      <c r="DP22" s="1110">
        <f t="shared" si="64"/>
        <v>0</v>
      </c>
      <c r="DQ22" s="1113" t="s">
        <v>553</v>
      </c>
      <c r="DR22" s="1120">
        <f t="shared" si="65"/>
        <v>0.3</v>
      </c>
      <c r="DS22" s="1124">
        <v>5</v>
      </c>
      <c r="DT22" s="1093" t="s">
        <v>168</v>
      </c>
      <c r="DU22" s="1093" t="s">
        <v>544</v>
      </c>
      <c r="DV22" s="1098">
        <f>IF($P22="","N/A",IF(P22=-1,INDEX('卡片raw data'!AN:AN,MATCH(D22,'卡片raw data'!$F:$F,)),0)+IF(AND(L22&lt;&gt;"party卡",P22&lt;=2,P22&gt;=0),INDEX('卡片raw data'!AP:AP,MATCH(D22,'卡片raw data'!$F:$F,)),0)+IF(OR(AND(L22="party卡",P22&lt;=1),AND(P22&lt;=4,L22&lt;&gt;"party卡",P22&gt;=3)),INDEX('卡片raw data'!AQ:AQ,MATCH(D22,'卡片raw data'!$F:$F,)),0)+IF(OR(P22=5,AND(L22="party卡",P22&gt;=2)),INDEX('卡片raw data'!AR:AR,MATCH(D22,'卡片raw data'!$F:$F,)),0))</f>
        <v>0.04</v>
      </c>
      <c r="DW22" s="1098">
        <f t="shared" si="66"/>
        <v>0.3</v>
      </c>
      <c r="DX22" s="1098">
        <f t="shared" si="67"/>
        <v>0.3</v>
      </c>
      <c r="DY22" s="1098">
        <f t="shared" si="68"/>
        <v>0.02</v>
      </c>
      <c r="DZ22" s="1098">
        <f t="shared" si="69"/>
        <v>1.7299999999999999E-2</v>
      </c>
      <c r="EA22" s="1098">
        <f t="shared" si="70"/>
        <v>7.2021624999999987E-3</v>
      </c>
      <c r="EB22" s="1121">
        <f t="shared" si="71"/>
        <v>0</v>
      </c>
      <c r="EC22" s="1101">
        <f t="shared" si="72"/>
        <v>848.4848484848485</v>
      </c>
      <c r="ED22" s="1097">
        <f t="shared" si="73"/>
        <v>393.18181818181819</v>
      </c>
      <c r="EE22" s="1110">
        <f t="shared" si="74"/>
        <v>848.4848484848485</v>
      </c>
      <c r="EF22" s="1092" t="s">
        <v>711</v>
      </c>
      <c r="EG22" s="1120">
        <f t="shared" si="75"/>
        <v>0.3</v>
      </c>
      <c r="EH22" s="1124"/>
      <c r="EI22" s="1093"/>
      <c r="EJ22" s="1093"/>
      <c r="EK22" s="1097">
        <f>IF($P22="","N/A",IF(P22=-1,INDEX('卡片raw data'!AS:AS,MATCH(D22,'卡片raw data'!$F:$F,)),0)+IF(AND(L22&lt;&gt;"party卡",P22&lt;=2,P22&gt;=0),INDEX('卡片raw data'!AU:AU,MATCH(D22,'卡片raw data'!$F:$F,)),0)+IF(OR(AND(L22="party卡",P22&lt;=1),AND(P22&lt;=4,L22&lt;&gt;"party卡",P22&gt;=3)),INDEX('卡片raw data'!AV:AV,MATCH(D22,'卡片raw data'!$F:$F,)),0)+IF(OR(P22=5,AND(L22="party卡",P22&gt;=2)),INDEX('卡片raw data'!AW:AW,MATCH(D22,'卡片raw data'!$F:$F,)),0))</f>
        <v>0</v>
      </c>
      <c r="EL22" s="1098">
        <f t="shared" si="76"/>
        <v>0.3</v>
      </c>
      <c r="EM22" s="1098">
        <f t="shared" si="77"/>
        <v>0.3</v>
      </c>
      <c r="EN22" s="1125">
        <f t="shared" si="78"/>
        <v>0</v>
      </c>
      <c r="EO22" s="1125">
        <f t="shared" si="79"/>
        <v>0</v>
      </c>
      <c r="EP22" s="1098">
        <f t="shared" si="80"/>
        <v>0</v>
      </c>
      <c r="EQ22" s="1121">
        <f t="shared" si="81"/>
        <v>0</v>
      </c>
      <c r="ER22" s="1101">
        <f t="shared" si="82"/>
        <v>0</v>
      </c>
      <c r="ES22" s="1097">
        <f t="shared" si="83"/>
        <v>0</v>
      </c>
      <c r="ET22" s="1122">
        <f t="shared" si="84"/>
        <v>0</v>
      </c>
      <c r="EV22" s="1223" t="s">
        <v>4087</v>
      </c>
      <c r="EW22" s="1334">
        <f>EW20*EW21</f>
        <v>2.6599999999999997</v>
      </c>
      <c r="EX22" s="1335"/>
      <c r="EY22" s="1212"/>
      <c r="EZ22" s="1224" t="s">
        <v>2323</v>
      </c>
      <c r="FA22" s="1323">
        <v>1</v>
      </c>
      <c r="FB22" s="1324"/>
      <c r="FC22" s="447"/>
      <c r="FD22" s="447"/>
      <c r="FE22" s="447"/>
      <c r="FF22" s="447"/>
      <c r="FG22" s="447"/>
      <c r="FH22" s="465">
        <f t="shared" si="87"/>
        <v>109927.34999999999</v>
      </c>
      <c r="FI22" s="560">
        <f t="shared" si="86"/>
        <v>1.8</v>
      </c>
      <c r="FJ22" s="558">
        <f t="shared" si="86"/>
        <v>0.1</v>
      </c>
      <c r="FL22" s="469" t="s">
        <v>675</v>
      </c>
      <c r="FM22" s="1362">
        <v>0.3</v>
      </c>
      <c r="FN22" s="1363"/>
    </row>
    <row r="23" spans="2:170" ht="16.5" customHeight="1">
      <c r="B23" s="1123" t="str">
        <f>INDEX('卡片raw data'!B:B,MATCH($D23,'卡片raw data'!$F:$F,))</f>
        <v>初始凛</v>
      </c>
      <c r="C23" s="449" t="s">
        <v>69</v>
      </c>
      <c r="D23" s="408">
        <v>20</v>
      </c>
      <c r="E23" s="1090">
        <v>100053001</v>
      </c>
      <c r="F23" s="1090" t="str">
        <f>INDEX('卡片raw data'!C:C,MATCH($D23,'卡片raw data'!$F:$F,))</f>
        <v>UR</v>
      </c>
      <c r="G23" s="1094" t="s">
        <v>28</v>
      </c>
      <c r="H23" s="411">
        <f>IFERROR(INDEX(绊状态确认!C:C,MATCH($G23,绊状态确认!$B:$B,)),"")</f>
        <v>5</v>
      </c>
      <c r="I23" s="450" t="str">
        <f>IFERROR(INDEX(绊状态确认!D:D,MATCH($G23,绊状态确认!$B:$B,)),"")</f>
        <v>缪</v>
      </c>
      <c r="J23" s="450" t="str">
        <f>IFERROR(INDEX(绊状态确认!E:E,MATCH($G23,绊状态确认!$B:$B,)),"")</f>
        <v>1年级</v>
      </c>
      <c r="K23" s="451" t="str">
        <f>IFERROR(INDEX(绊状态确认!F:F,MATCH($G23,绊状态确认!$B:$B,)),"")</f>
        <v>lilywhite</v>
      </c>
      <c r="L23" s="1094" t="str">
        <f>INDEX('卡片raw data'!E:E,MATCH($D23,'卡片raw data'!$F:$F,))</f>
        <v>卡池卡</v>
      </c>
      <c r="M23" s="415">
        <v>43735</v>
      </c>
      <c r="N23" s="416">
        <v>0</v>
      </c>
      <c r="O23" s="1091" t="str">
        <f>INDEX('卡片raw data'!D:D,MATCH($D23,'卡片raw data'!$F:$F,))</f>
        <v>sp</v>
      </c>
      <c r="P23" s="417">
        <v>5</v>
      </c>
      <c r="Q23" s="1095">
        <f t="shared" si="0"/>
        <v>46122.146639313367</v>
      </c>
      <c r="R23" s="1096">
        <f t="shared" si="1"/>
        <v>0.53600000000000003</v>
      </c>
      <c r="S23" s="1097">
        <f t="shared" si="2"/>
        <v>20651.118943272777</v>
      </c>
      <c r="T23" s="1098">
        <f t="shared" si="3"/>
        <v>1.032</v>
      </c>
      <c r="U23" s="1099">
        <f t="shared" si="4"/>
        <v>17.726370218142854</v>
      </c>
      <c r="V23" s="1100">
        <f t="shared" si="5"/>
        <v>45753.067750526745</v>
      </c>
      <c r="W23" s="1101">
        <f t="shared" si="6"/>
        <v>4873.6882942688562</v>
      </c>
      <c r="X23" s="1096">
        <f t="shared" si="7"/>
        <v>5.6000000000000001E-2</v>
      </c>
      <c r="Y23" s="1097">
        <f t="shared" si="8"/>
        <v>1430.9211112133762</v>
      </c>
      <c r="Z23" s="1102">
        <f t="shared" si="9"/>
        <v>17.726370218142854</v>
      </c>
      <c r="AA23" s="1103">
        <f t="shared" si="10"/>
        <v>6304.6094054822324</v>
      </c>
      <c r="AB23" s="1101">
        <f t="shared" si="11"/>
        <v>9825.9049372848749</v>
      </c>
      <c r="AC23" s="1104">
        <f t="shared" si="12"/>
        <v>0.114</v>
      </c>
      <c r="AD23" s="1105">
        <f t="shared" si="13"/>
        <v>1.1181557291666661E-2</v>
      </c>
      <c r="AE23" s="1128">
        <f t="shared" si="14"/>
        <v>29.446856816123184</v>
      </c>
      <c r="AF23" s="1130">
        <f t="shared" si="15"/>
        <v>0</v>
      </c>
      <c r="AG23" s="420">
        <f t="shared" si="16"/>
        <v>0</v>
      </c>
      <c r="AH23" s="420">
        <f t="shared" si="17"/>
        <v>0</v>
      </c>
      <c r="AI23" s="1097">
        <f t="shared" si="18"/>
        <v>0</v>
      </c>
      <c r="AJ23" s="420">
        <f t="shared" si="19"/>
        <v>0</v>
      </c>
      <c r="AK23" s="518">
        <f t="shared" si="20"/>
        <v>0</v>
      </c>
      <c r="AL23" s="1106">
        <f>IF($P23="","N/A",(IF($P23=-1,INDEX('卡片raw data'!S:S,MATCH($D23,'卡片raw data'!$F:$F,)),0)+IF($P23=0,INDEX('卡片raw data'!V:V,MATCH($D23,'卡片raw data'!$F:$F,)),0)+IF($P23=1,INDEX('卡片raw data'!Y:Y,MATCH($D23,'卡片raw data'!$F:$F,)),0)+IF($P23=2,INDEX('卡片raw data'!AB:AB,MATCH($D23,'卡片raw data'!$F:$F,)),0)+IF($P23=3,INDEX('卡片raw data'!AE:AE,MATCH($D23,'卡片raw data'!$F:$F,)),0)+IF($P23=4,INDEX('卡片raw data'!AH:AH,MATCH($D23,'卡片raw data'!$F:$F,)),0)+IF($P23=5,INDEX('卡片raw data'!AK:AK,MATCH($D23,'卡片raw data'!$F:$F,)),0)+INDEX('卡片raw data'!S:S,MATCH($D23,'卡片raw data'!$F:$F,))*(IF($F23="UR",0.04,0.033))*(IF($F23="UR",INDEX(绊状态确认!$S:$S,MATCH($G23,绊状态确认!$B:$B,))/2-40)+IF($F23="SR",INDEX(绊状态确认!$R:$R,MATCH($G23,绊状态确认!$B:$B,))/4-15))+IF($F23="R",INDEX(绊状态确认!$Q:$Q,MATCH($G23,绊状态确认!$B:$B,))/6-40/6)))*(INDEX(绊状态确认!$H:$H,MATCH($G23,绊状态确认!$B:$B,))+INDEX(绊状态确认!J:J,MATCH($G23,绊状态确认!$B:$B,)))</f>
        <v>10139.642639999998</v>
      </c>
      <c r="AM23" s="1106">
        <f>IF($P23="","N/A",(IF($P23=-1,INDEX('卡片raw data'!T:T,MATCH($D23,'卡片raw data'!$F:$F,)),0)+IF($P23=0,INDEX('卡片raw data'!W:W,MATCH($D23,'卡片raw data'!$F:$F,)),0)+IF($P23=1,INDEX('卡片raw data'!Z:Z,MATCH($D23,'卡片raw data'!$F:$F,)),0)+IF($P23=2,INDEX('卡片raw data'!AC:AC,MATCH($D23,'卡片raw data'!$F:$F,)),0)+IF($P23=3,INDEX('卡片raw data'!AF:AF,MATCH($D23,'卡片raw data'!$F:$F,)),0)+IF($P23=4,INDEX('卡片raw data'!AI:AI,MATCH($D23,'卡片raw data'!$F:$F,)),0)+IF($P23=5,INDEX('卡片raw data'!AL:AL,MATCH($D23,'卡片raw data'!$F:$F,)),0)+INDEX('卡片raw data'!T:T,MATCH($D23,'卡片raw data'!$F:$F,))*(IF($F23="UR",0.04,0.033))*(IF($F23="UR",INDEX(绊状态确认!$S:$S,MATCH($G23,绊状态确认!$B:$B,))/2-40)+IF($F23="SR",INDEX(绊状态确认!$R:$R,MATCH($G23,绊状态确认!$B:$B,))/4-15))+IF($F23="R",INDEX(绊状态确认!$Q:$Q,MATCH($G23,绊状态确认!$B:$B,))/6-40/6)))*(INDEX(绊状态确认!$H:$H,MATCH($G23,绊状态确认!$B:$B,))+INDEX(绊状态确认!K:K,MATCH($G23,绊状态确认!$B:$B,)))</f>
        <v>10139.642639999998</v>
      </c>
      <c r="AN23" s="1106">
        <f>IF($P23="","N/A",(IF($P23=-1,INDEX('卡片raw data'!U:U,MATCH($D23,'卡片raw data'!$F:$F,)),0)+IF($P23=0,INDEX('卡片raw data'!X:X,MATCH($D23,'卡片raw data'!$F:$F,)),0)+IF($P23=1,INDEX('卡片raw data'!AA:AA,MATCH($D23,'卡片raw data'!$F:$F,)),0)+IF($P23=2,INDEX('卡片raw data'!AD:AD,MATCH($D23,'卡片raw data'!$F:$F,)),0)+IF($P23=3,INDEX('卡片raw data'!AG:AG,MATCH($D23,'卡片raw data'!$F:$F,)),0)+IF($P23=4,INDEX('卡片raw data'!AJ:AJ,MATCH($D23,'卡片raw data'!$F:$F,)),0)+IF($P23=5,INDEX('卡片raw data'!AM:AM,MATCH($D23,'卡片raw data'!$F:$F,)),0)+INDEX('卡片raw data'!U:U,MATCH($D23,'卡片raw data'!$F:$F,))*(IF($F23="UR",0.04,0.033))*(IF($F23="UR",INDEX(绊状态确认!$S:$S,MATCH($G23,绊状态确认!$B:$B,))/2-40)+IF($F23="SR",INDEX(绊状态确认!$R:$R,MATCH($G23,绊状态确认!$B:$B,))/4-15))+IF($F23="R",INDEX(绊状态确认!$Q:$Q,MATCH($G23,绊状态确认!$B:$B,))/6-40/6)))*(INDEX(绊状态确认!$H:$H,MATCH($G23,绊状态确认!$B:$B,))+INDEX(绊状态确认!L:L,MATCH($G23,绊状态确认!$B:$B,)))</f>
        <v>10446.697919999999</v>
      </c>
      <c r="AO23" s="1107">
        <f t="shared" si="21"/>
        <v>1</v>
      </c>
      <c r="AP23" s="1131">
        <f>1+(INDEX(绊状态确认!$T:$T,MATCH($G23,绊状态确认!$B:$B,))+0.2)*$AO23</f>
        <v>1.3</v>
      </c>
      <c r="AQ23" s="1108">
        <f t="shared" si="22"/>
        <v>29866.561929999996</v>
      </c>
      <c r="AR23" s="1097">
        <f>(AM23*(1+$EX$9)+$EX$35)*(1+(INDEX(绊状态确认!$T:$T,MATCH($G23,绊状态确认!$B:$B,))+0.2)*AO23)*IF(J23=$FF$17,1+$FE$17,1)*IF(I23=$FF$14,1+$FE$14,1)*(1+$FE$15)</f>
        <v>16544.612203599998</v>
      </c>
      <c r="AS23" s="1097">
        <f>(AN23*(1+$EX$10)+$EX$36)*(1+(INDEX(绊状态确认!$T:$T,MATCH($G23,绊状态确认!$B:$B,))+0.2)*AO23)*IF(J23=$FF$17,1+$FE$17,1)*IF(I23=$FF$14,1+$FE$14,1)*(1+$FE$15)</f>
        <v>19673.813390399999</v>
      </c>
      <c r="AT23" s="1093">
        <f>IF(AND(INDEX('卡片raw data'!AK:AK,MATCH($D23,'卡片raw data'!$F:$F,))&lt;INDEX('卡片raw data'!AM:AM,MATCH($D23,'卡片raw data'!$F:$F,)),INDEX('卡片raw data'!AL:AL,MATCH($D23,'卡片raw data'!$F:$F,))&lt;INDEX('卡片raw data'!AM:AM,MATCH($D23,'卡片raw data'!$F:$F,))),1,0)</f>
        <v>1</v>
      </c>
      <c r="AU23" s="1098">
        <f>MIN(AT23*0.15+AS23*0.00003+INDEX(绊状态确认!M:M,MATCH($G23,绊状态确认!$B:$B,)),1)</f>
        <v>0.77021440171200006</v>
      </c>
      <c r="AV23" s="1109">
        <f>(INDEX(绊状态确认!$N:$N,MATCH($G23,绊状态确认!$B:$B,))+1.5)*$EW$21</f>
        <v>2.6599999999999997</v>
      </c>
      <c r="AW23" s="1101">
        <f t="shared" si="23"/>
        <v>35342.908368695149</v>
      </c>
      <c r="AX23" s="1097">
        <f t="shared" si="24"/>
        <v>1430.921111213376</v>
      </c>
      <c r="AY23" s="1110">
        <f t="shared" si="25"/>
        <v>36773.829479908527</v>
      </c>
      <c r="AZ23" s="429">
        <f t="shared" si="26"/>
        <v>22372.303147999995</v>
      </c>
      <c r="BA23" s="431">
        <f t="shared" si="27"/>
        <v>26846.763777599994</v>
      </c>
      <c r="BB23" s="1097">
        <f>(AM23*(1+$FB$9)+$FB$35)*(1+(INDEX(绊状态确认!$T:$T,MATCH($G23,绊状态确认!$B:$B,))+0.2)*AO23)*IF(J23=$FF$17,1+$FE$17,1)*IF(I23=$FF$14,1+$FE$14,1)*(1+$FE$15)</f>
        <v>16544.612203599998</v>
      </c>
      <c r="BC23" s="1097">
        <f>(AN23*(1+$FB$10)+$FB$36)*(1+(INDEX(绊状态确认!$T:$T,MATCH($G23,绊状态确认!$B:$B,))+0.2)*AO23)*IF(J23=$FF$17,1+$FE$17,1)*IF(I23=$FF$14,1+$FE$14,1)*(1+$FE$15)</f>
        <v>19673.813390399999</v>
      </c>
      <c r="BD23" s="1104">
        <f>MIN(AT23*0.15+BC23*0.00003+INDEX(绊状态确认!M:M,MATCH($G23,绊状态确认!$B:$B,)),1)</f>
        <v>0.77021440171200006</v>
      </c>
      <c r="BE23" s="432">
        <f>(INDEX(绊状态确认!$N:$N,MATCH($G23,绊状态确认!$B:$B,))+1.5)</f>
        <v>1.9</v>
      </c>
      <c r="BF23" s="1139">
        <f t="array" ref="BF23">SUMPRODUCT(IF(AZ23*AP23*$FI$16:$FI$23*$FA$22&gt;=$FI$24,$FI$24,AZ23*AP23*$FI$16:$FI$23*$FA$22),$FJ$16:$FJ$23)</f>
        <v>44498.510961371998</v>
      </c>
      <c r="BG23" s="1125">
        <f t="array" ref="BG23">SUMPRODUCT(IF(BE23*AZ23*AP23*$FI$16:$FI$23*$FA$22&gt;=$FI$24,$FI$24,BE23*AZ23*AP23*$FI$16:$FI$23*$FA$22),$FJ$16:$FJ$23)</f>
        <v>60000</v>
      </c>
      <c r="BH23" s="1110">
        <f t="shared" si="28"/>
        <v>18812.660355634664</v>
      </c>
      <c r="BI23" s="1111">
        <f>IF(O23="vo",$EW$26/$EW$24*0.05,0)+IF(O23="sk",-$EW$26/$EW$24*(0.05-INDEX(绊状态确认!W:W,MATCH($G23,绊状态确认!$B:$B,)))+0.05*$EW$28,0)+IF(O23="sp",0.05*$EW$32*$EW$30*(1-$EW$33)-(0.05-INDEX(绊状态确认!V:V,MATCH($G23,绊状态确认!$B:$B,)))*$EW$28,0)+IF(O23="gd",-(0.05-INDEX(绊状态确认!X:X,MATCH($G23,绊状态确认!$B:$B,)))*$EW$32*$EW$30*(1-$EW$33),0)</f>
        <v>19.999999999999886</v>
      </c>
      <c r="BJ23" s="1097">
        <f>IF(O23="vo",0.05*(1-$FI$26)*$FA$24,0)+IF(O23="sk",-(0.05-INDEX(绊状态确认!W:W,MATCH($G23,绊状态确认!$B:$B,)))*(1-$FI$26)*$FA$24+0.05*$FA$26,0)+IF(O23="sp",0.05*$FA$32*$FA$27*(1-$FA$33)/$FA$30+0.05*$FA$29/$FA$69*$FA$27*(1-$FA$33)-(0.05-INDEX(绊状态确认!V:V,MATCH($G23,绊状态确认!$B:$B,)))*$FA$26,0)+IF(O23="gd",-(0.05-INDEX(绊状态确认!X:X,MATCH($G23,绊状态确认!$B:$B,)))*$FA$32*$FA$27*(1-$FA$33)/$FA$30-(0.05-INDEX(绊状态确认!X:X,MATCH($G23,绊状态确认!$B:$B,)))*$FA$29/$FA$69*$FA$27*(1-$FA$33),0)</f>
        <v>545.83333333333326</v>
      </c>
      <c r="BK23" s="1110">
        <f>IF(O23="vo",$EW$26/$EW$24*0.05+$EW$26*(-HP($EW$62,$EW$65,$EW$64)+HP($EW$62,$EW$65,(1.05-INDEX(绊状态确认!U:U,MATCH($G23,绊状态确认!$B:$B,)))*$EW$64)),0)+IF(O23="sk",-$EW$26/$EW$24*(0.05-INDEX(绊状态确认!W:W,MATCH($G23,绊状态确认!$B:$B,)))+0.05*$EW$29,0)+IF(O23="sp",0.05*$EW$32*$EW$30*(1-$EW$33)-(0.05-INDEX(绊状态确认!V:V,MATCH($G23,绊状态确认!$B:$B,)))*$EW$29,0)+IF(O23="gd",-(0.05-INDEX(绊状态确认!X:X,MATCH($G23,绊状态确认!$B:$B,)))*$EW$32*$EW$30*(1-$EW$33)+$EW$26*(-HP($EW$62,$EW$65,$EW$64)+HP($EW$62,$EW$65,0.95*$EW$64)),0)</f>
        <v>-1780.0000000000005</v>
      </c>
      <c r="BL23" s="1111">
        <f t="shared" si="29"/>
        <v>0</v>
      </c>
      <c r="BM23" s="1110">
        <f t="shared" si="30"/>
        <v>0</v>
      </c>
      <c r="BN23" s="1113">
        <f t="shared" si="31"/>
        <v>3</v>
      </c>
      <c r="BO23" s="1097">
        <f t="shared" si="32"/>
        <v>4507.7214871259994</v>
      </c>
      <c r="BP23" s="1100">
        <f t="shared" si="33"/>
        <v>221.34103209030098</v>
      </c>
      <c r="BQ23" s="1113" t="s">
        <v>145</v>
      </c>
      <c r="BR23" s="1124" t="s">
        <v>146</v>
      </c>
      <c r="BS23" s="1098">
        <f>IF($P23="","N/A",IF($P23=-1,INDEX('卡片raw data'!AX:AX,MATCH($D23,'卡片raw data'!$F:$F,)),0)+IF($L23="party卡",IF($P23=5,INDEX('卡片raw data'!BD:BD,MATCH($D23,'卡片raw data'!$F:$F,)),IF($P23&gt;=3,INDEX('卡片raw data'!BC:BC,MATCH($D23,'卡片raw data'!$F:$F,)),INDEX('卡片raw data'!BB:BB,MATCH($D23,'卡片raw data'!$F:$F,)))),IF(OR(AND($F23="UR",$P23=0),AND($F23="SR",$P23&gt;=0,$P23&lt;=2),AND($F23="R",$P23&gt;=0,$P23&lt;4)),INDEX('卡片raw data'!AZ:AZ,MATCH($D23,'卡片raw data'!$F:$F,)),0)+IF(OR(AND($F23="UR",$P23&gt;=1,$P23&lt;=4),AND($F23="SR",$P23&lt;=4,$P23&gt;=3),AND($F23="R",$P23=4)),INDEX('卡片raw data'!BA:BA,MATCH($D23,'卡片raw data'!$F:$F,)),0)+IF($P23=5,INDEX('卡片raw data'!BB:BB,MATCH($D23,'卡片raw data'!$F:$F,)),0)))</f>
        <v>7.0000000000000007E-2</v>
      </c>
      <c r="BT23" s="1101">
        <f t="shared" si="34"/>
        <v>4952.2166430160187</v>
      </c>
      <c r="BU23" s="1097">
        <f t="shared" si="35"/>
        <v>358.20967007162113</v>
      </c>
      <c r="BV23" s="1097">
        <f t="shared" si="36"/>
        <v>0</v>
      </c>
      <c r="BW23" s="1112">
        <f t="shared" si="37"/>
        <v>0</v>
      </c>
      <c r="BX23" s="1100">
        <f t="shared" si="38"/>
        <v>4952.2166430160187</v>
      </c>
      <c r="BY23" s="1110">
        <f t="shared" si="39"/>
        <v>0</v>
      </c>
      <c r="BZ23" s="1107" t="s">
        <v>569</v>
      </c>
      <c r="CA23" s="1124"/>
      <c r="CB23" s="1098">
        <f>IF($P23="","N/A",IF($P23=-1,INDEX('卡片raw data'!BE:BE,MATCH($D23,'卡片raw data'!$F:$F,)),0)+IF($L23="party卡",IF($P23=5,INDEX('卡片raw data'!BK:BK,MATCH($D23,'卡片raw data'!$F:$F,)),IF($P23&gt;=3,INDEX('卡片raw data'!BJ:BJ,MATCH($D23,'卡片raw data'!$F:$F,)),INDEX('卡片raw data'!BI:BI,MATCH($D23,'卡片raw data'!$F:$F,)))),IF(OR(AND($F23="UR",$P23=0),AND($F23="SR",$P23&gt;=0,$P23&lt;=2),AND($F23="R",$P23&gt;=0,$P23&lt;4)),INDEX('卡片raw data'!BG:BG,MATCH($D23,'卡片raw data'!$F:$F,)),0)+IF(OR(AND($F23="UR",$P23&gt;=1,$P23&lt;=4),AND($F23="SR",$P23&lt;=4,$P23&gt;=3),AND($F23="R",$P23=4)),INDEX('卡片raw data'!BH:BH,MATCH($D23,'卡片raw data'!$F:$F,)),0)+IF($P23=5,INDEX('卡片raw data'!BI:BI,MATCH($D23,'卡片raw data'!$F:$F,)),0)))</f>
        <v>0</v>
      </c>
      <c r="CC23" s="1101">
        <f t="shared" si="40"/>
        <v>0</v>
      </c>
      <c r="CD23" s="1097">
        <f>IF(BZ23="ap",CB23*(1-$FI$26)*$FB$5/$FB$11*(+IF(CA23="全员",$FA$24,0)+IF(CA23="同作战",$FA$24,0)+IF(CA23="仲间",$FA$24*2/3,0)+IF(CA23="同属性",$FA$24*$FA$37/3,0)+IF(CA23="同年级",$FA$24*$FA$40/3,0)+IF(CA23="同学校",$FA$24*$FA$43/3,0)+IF(CA23="同小队",$FA$24*$FA$46/3,0)+IF(CA23="同type",$FA$24*INDEX($FB$49:$FB$52,MATCH(X23,$FA$49:$FA$52,))/3,0)+IF(CA23="自身",#REF!/3,0)),0)+IF(BZ23="te",CB23*(1-$FI$27)*($FA$20-1)*$FB$7/$FB$13*(+IF(CA23="全员",$FA$19*$FA$24/(1+($FA$20-1)*$FA$19),0)+IF(CA23="同作战",$FA$19*$FA$24/(1+($FA$20-1)*$FA$19),0)+IF(CA23="仲间",$FA$19*$FA$24*2/3/(1+($FA$20-1)*$FA$19),0)+IF(CA23="同属性",$FA$19*$FA$24*$FA$37/3/(1+($FA$20-1)*$FA$19),0)+IF(CA23="同年级",$FA$19*$FA$24*$FA$40/3/(1+($FA$20-1)*$FA$19),0)+IF(CA23="同学校",$FA$19*$FA$24*$FA$43/3/(1+($FA$20-1)*$FA$19),0)+IF(CA23="同小队",$FA$19*$FA$24*$FA$46/3/(1+($FA$20-1)*$FA$19),0)+IF(CA23="同type",$FA$19*$FA$24*INDEX($FB$49:$FB$52,MATCH(X23,$FA$49:$FA$52,))/3/(1+($FA$20-1)*$FA$19),0)+IF(CA23="自身",$FA$19*#REF!/3/(1+(BH23-1)*$BD23),0)),0)</f>
        <v>0</v>
      </c>
      <c r="CE23" s="1097">
        <f t="shared" si="41"/>
        <v>0</v>
      </c>
      <c r="CF23" s="1112">
        <f t="shared" si="42"/>
        <v>0</v>
      </c>
      <c r="CG23" s="1100">
        <f t="shared" si="43"/>
        <v>0</v>
      </c>
      <c r="CH23" s="1110">
        <f t="shared" si="44"/>
        <v>0</v>
      </c>
      <c r="CI23" s="1113" t="s">
        <v>162</v>
      </c>
      <c r="CJ23" s="1114">
        <v>0.3</v>
      </c>
      <c r="CK23" s="1115" t="s">
        <v>157</v>
      </c>
      <c r="CL23" s="1115" t="s">
        <v>161</v>
      </c>
      <c r="CM23" s="1119">
        <v>0.05</v>
      </c>
      <c r="CN23" s="1115" t="s">
        <v>163</v>
      </c>
      <c r="CO23" s="1092">
        <v>1</v>
      </c>
      <c r="CP23" s="1118">
        <f t="shared" si="45"/>
        <v>2.8151292857142858E-2</v>
      </c>
      <c r="CQ23" s="1118">
        <f t="shared" si="46"/>
        <v>2.8151292857142858E-2</v>
      </c>
      <c r="CR23" s="1118">
        <f t="shared" si="47"/>
        <v>2.8151292857142858E-2</v>
      </c>
      <c r="CS23" s="1118">
        <f t="shared" si="48"/>
        <v>0</v>
      </c>
      <c r="CT23" s="1109">
        <f t="shared" si="49"/>
        <v>5.257364062499998</v>
      </c>
      <c r="CU23" s="1101">
        <f t="shared" si="50"/>
        <v>365.96680714285714</v>
      </c>
      <c r="CV23" s="1108">
        <f t="shared" si="51"/>
        <v>280.5745521428571</v>
      </c>
      <c r="CW23" s="1097">
        <f t="shared" si="52"/>
        <v>365.96680714285714</v>
      </c>
      <c r="CX23" s="1097">
        <f t="shared" si="53"/>
        <v>365.96680714285714</v>
      </c>
      <c r="CY23" s="1110">
        <f t="shared" si="54"/>
        <v>365.96680714285714</v>
      </c>
      <c r="CZ23" s="437"/>
      <c r="DA23" s="438"/>
      <c r="DB23" s="439" t="s">
        <v>569</v>
      </c>
      <c r="DC23" s="439"/>
      <c r="DD23" s="443"/>
      <c r="DE23" s="411"/>
      <c r="DF23" s="411"/>
      <c r="DG23" s="1116">
        <f t="shared" si="55"/>
        <v>0</v>
      </c>
      <c r="DH23" s="1116">
        <f t="shared" si="56"/>
        <v>0</v>
      </c>
      <c r="DI23" s="1116">
        <f t="shared" si="57"/>
        <v>0</v>
      </c>
      <c r="DJ23" s="442">
        <f t="shared" si="58"/>
        <v>0</v>
      </c>
      <c r="DK23" s="1109">
        <f t="shared" si="59"/>
        <v>0</v>
      </c>
      <c r="DL23" s="1101">
        <f t="shared" si="60"/>
        <v>0</v>
      </c>
      <c r="DM23" s="1097">
        <f t="shared" si="61"/>
        <v>0</v>
      </c>
      <c r="DN23" s="1097">
        <f t="shared" si="62"/>
        <v>0</v>
      </c>
      <c r="DO23" s="1097">
        <f t="shared" si="63"/>
        <v>0</v>
      </c>
      <c r="DP23" s="1110">
        <f t="shared" si="64"/>
        <v>0</v>
      </c>
      <c r="DQ23" s="1113" t="s">
        <v>154</v>
      </c>
      <c r="DR23" s="1120">
        <f t="shared" si="65"/>
        <v>0.33</v>
      </c>
      <c r="DS23" s="1124">
        <v>5</v>
      </c>
      <c r="DT23" s="1093" t="s">
        <v>161</v>
      </c>
      <c r="DU23" s="1093" t="s">
        <v>544</v>
      </c>
      <c r="DV23" s="1098">
        <f>IF($P23="","N/A",IF(P23=-1,INDEX('卡片raw data'!AN:AN,MATCH(D23,'卡片raw data'!$F:$F,)),0)+IF(AND(L23&lt;&gt;"party卡",P23&lt;=2,P23&gt;=0),INDEX('卡片raw data'!AP:AP,MATCH(D23,'卡片raw data'!$F:$F,)),0)+IF(OR(AND(L23="party卡",P23&lt;=1),AND(P23&lt;=4,L23&lt;&gt;"party卡",P23&gt;=3)),INDEX('卡片raw data'!AQ:AQ,MATCH(D23,'卡片raw data'!$F:$F,)),0)+IF(OR(P23=5,AND(L23="party卡",P23&gt;=2)),INDEX('卡片raw data'!AR:AR,MATCH(D23,'卡片raw data'!$F:$F,)),0))</f>
        <v>0.04</v>
      </c>
      <c r="DW23" s="1098">
        <f t="shared" si="66"/>
        <v>0.33</v>
      </c>
      <c r="DX23" s="1098">
        <f t="shared" si="67"/>
        <v>0.33</v>
      </c>
      <c r="DY23" s="1098">
        <f t="shared" si="68"/>
        <v>2.2000000000000002E-2</v>
      </c>
      <c r="DZ23" s="1098">
        <f t="shared" si="69"/>
        <v>1.9030000000000002E-2</v>
      </c>
      <c r="EA23" s="1098">
        <f t="shared" si="70"/>
        <v>2.7269057291666662E-2</v>
      </c>
      <c r="EB23" s="1121">
        <f t="shared" si="71"/>
        <v>0</v>
      </c>
      <c r="EC23" s="1101">
        <f t="shared" si="72"/>
        <v>933.33333333333348</v>
      </c>
      <c r="ED23" s="1097">
        <f t="shared" si="73"/>
        <v>432.50000000000006</v>
      </c>
      <c r="EE23" s="1110">
        <f t="shared" si="74"/>
        <v>933.33333333333348</v>
      </c>
      <c r="EF23" s="1092" t="s">
        <v>711</v>
      </c>
      <c r="EG23" s="1120">
        <f t="shared" si="75"/>
        <v>0.33</v>
      </c>
      <c r="EH23" s="1124"/>
      <c r="EI23" s="1093"/>
      <c r="EJ23" s="1093"/>
      <c r="EK23" s="1097">
        <f>IF($P23="","N/A",IF(P23=-1,INDEX('卡片raw data'!AS:AS,MATCH(D23,'卡片raw data'!$F:$F,)),0)+IF(AND(L23&lt;&gt;"party卡",P23&lt;=2,P23&gt;=0),INDEX('卡片raw data'!AU:AU,MATCH(D23,'卡片raw data'!$F:$F,)),0)+IF(OR(AND(L23="party卡",P23&lt;=1),AND(P23&lt;=4,L23&lt;&gt;"party卡",P23&gt;=3)),INDEX('卡片raw data'!AV:AV,MATCH(D23,'卡片raw data'!$F:$F,)),0)+IF(OR(P23=5,AND(L23="party卡",P23&gt;=2)),INDEX('卡片raw data'!AW:AW,MATCH(D23,'卡片raw data'!$F:$F,)),0))</f>
        <v>0</v>
      </c>
      <c r="EL23" s="1098">
        <f t="shared" si="76"/>
        <v>0.33</v>
      </c>
      <c r="EM23" s="1098">
        <f t="shared" si="77"/>
        <v>0.33</v>
      </c>
      <c r="EN23" s="1125">
        <f t="shared" si="78"/>
        <v>0</v>
      </c>
      <c r="EO23" s="1125">
        <f t="shared" si="79"/>
        <v>0</v>
      </c>
      <c r="EP23" s="1098">
        <f t="shared" si="80"/>
        <v>0</v>
      </c>
      <c r="EQ23" s="1121">
        <f t="shared" si="81"/>
        <v>0</v>
      </c>
      <c r="ER23" s="1101">
        <f t="shared" si="82"/>
        <v>0</v>
      </c>
      <c r="ES23" s="1097">
        <f t="shared" si="83"/>
        <v>0</v>
      </c>
      <c r="ET23" s="1122">
        <f t="shared" si="84"/>
        <v>0</v>
      </c>
      <c r="EV23" s="1223" t="s">
        <v>1304</v>
      </c>
      <c r="EW23" s="1326">
        <v>0.3</v>
      </c>
      <c r="EX23" s="1326"/>
      <c r="EY23" s="1212"/>
      <c r="EZ23" s="1222" t="s">
        <v>244</v>
      </c>
      <c r="FA23" s="1325">
        <v>0.4</v>
      </c>
      <c r="FB23" s="1325"/>
      <c r="FC23" s="447"/>
      <c r="FD23" s="447"/>
      <c r="FE23" s="447"/>
      <c r="FF23" s="447"/>
      <c r="FG23" s="447"/>
      <c r="FH23" s="465">
        <f t="shared" si="87"/>
        <v>116034.42499999999</v>
      </c>
      <c r="FI23" s="560">
        <f t="shared" si="86"/>
        <v>1.9</v>
      </c>
      <c r="FJ23" s="558">
        <f t="shared" si="86"/>
        <v>0.1</v>
      </c>
      <c r="FL23" s="467" t="s">
        <v>682</v>
      </c>
      <c r="FM23" s="1354">
        <v>2.5</v>
      </c>
      <c r="FN23" s="1355"/>
    </row>
    <row r="24" spans="2:170" ht="16.5" customHeight="1">
      <c r="B24" s="1123" t="str">
        <f>INDEX('卡片raw data'!B:B,MATCH($D24,'卡片raw data'!$F:$F,))</f>
        <v>校服姬</v>
      </c>
      <c r="C24" s="449" t="s">
        <v>22</v>
      </c>
      <c r="D24" s="408">
        <v>21</v>
      </c>
      <c r="E24" s="1090">
        <v>100061001</v>
      </c>
      <c r="F24" s="1090" t="str">
        <f>INDEX('卡片raw data'!C:C,MATCH($D24,'卡片raw data'!$F:$F,))</f>
        <v>R</v>
      </c>
      <c r="G24" s="1094" t="s">
        <v>336</v>
      </c>
      <c r="H24" s="411">
        <f>IFERROR(INDEX(绊状态确认!C:C,MATCH($G24,绊状态确认!$B:$B,)),"")</f>
        <v>6</v>
      </c>
      <c r="I24" s="1124" t="str">
        <f>IFERROR(INDEX(绊状态确认!D:D,MATCH($G24,绊状态确认!$B:$B,)),"")</f>
        <v>缪</v>
      </c>
      <c r="J24" s="1124" t="str">
        <f>IFERROR(INDEX(绊状态确认!E:E,MATCH($G24,绊状态确认!$B:$B,)),"")</f>
        <v>1年级</v>
      </c>
      <c r="K24" s="451" t="str">
        <f>IFERROR(INDEX(绊状态确认!F:F,MATCH($G24,绊状态确认!$B:$B,)),"")</f>
        <v>BiBi</v>
      </c>
      <c r="L24" s="1094" t="str">
        <f>INDEX('卡片raw data'!E:E,MATCH($D24,'卡片raw data'!$F:$F,))</f>
        <v>卡池卡</v>
      </c>
      <c r="M24" s="415">
        <v>43735</v>
      </c>
      <c r="N24" s="416">
        <v>0</v>
      </c>
      <c r="O24" s="1091" t="str">
        <f>INDEX('卡片raw data'!D:D,MATCH($D24,'卡片raw data'!$F:$F,))</f>
        <v>vo</v>
      </c>
      <c r="P24" s="417">
        <v>5</v>
      </c>
      <c r="Q24" s="1095">
        <f t="shared" si="0"/>
        <v>21934.432109545462</v>
      </c>
      <c r="R24" s="1096">
        <f t="shared" si="1"/>
        <v>0.255</v>
      </c>
      <c r="S24" s="1097">
        <f t="shared" si="2"/>
        <v>7360.1259366756731</v>
      </c>
      <c r="T24" s="1098">
        <f t="shared" si="3"/>
        <v>0.36799999999999999</v>
      </c>
      <c r="U24" s="1099">
        <f t="shared" si="4"/>
        <v>-15.960160582857142</v>
      </c>
      <c r="V24" s="1100">
        <f t="shared" si="5"/>
        <v>21346.573328539627</v>
      </c>
      <c r="W24" s="1101">
        <f t="shared" si="6"/>
        <v>3005.1476580839999</v>
      </c>
      <c r="X24" s="1096">
        <f t="shared" si="7"/>
        <v>3.4000000000000002E-2</v>
      </c>
      <c r="Y24" s="1097">
        <f t="shared" si="8"/>
        <v>716.80966923586857</v>
      </c>
      <c r="Z24" s="1102">
        <f t="shared" si="9"/>
        <v>9.0398394171428578</v>
      </c>
      <c r="AA24" s="1103">
        <f t="shared" si="10"/>
        <v>3721.9573273198685</v>
      </c>
      <c r="AB24" s="1101">
        <f t="shared" si="11"/>
        <v>6010.2953161679998</v>
      </c>
      <c r="AC24" s="1104">
        <f t="shared" si="12"/>
        <v>6.9000000000000006E-2</v>
      </c>
      <c r="AD24" s="1105">
        <f t="shared" si="13"/>
        <v>-3.8207812500000026E-3</v>
      </c>
      <c r="AE24" s="1128">
        <f t="shared" si="14"/>
        <v>-22.692028985507246</v>
      </c>
      <c r="AF24" s="1130">
        <f t="shared" si="15"/>
        <v>0</v>
      </c>
      <c r="AG24" s="420">
        <f t="shared" si="16"/>
        <v>0</v>
      </c>
      <c r="AH24" s="420">
        <f t="shared" si="17"/>
        <v>0</v>
      </c>
      <c r="AI24" s="1097">
        <f t="shared" si="18"/>
        <v>0</v>
      </c>
      <c r="AJ24" s="420">
        <f t="shared" si="19"/>
        <v>0</v>
      </c>
      <c r="AK24" s="518">
        <f t="shared" si="20"/>
        <v>0</v>
      </c>
      <c r="AL24" s="1106">
        <f>IF($P24="","N/A",(IF($P24=-1,INDEX('卡片raw data'!S:S,MATCH($D24,'卡片raw data'!$F:$F,)),0)+IF($P24=0,INDEX('卡片raw data'!V:V,MATCH($D24,'卡片raw data'!$F:$F,)),0)+IF($P24=1,INDEX('卡片raw data'!Y:Y,MATCH($D24,'卡片raw data'!$F:$F,)),0)+IF($P24=2,INDEX('卡片raw data'!AB:AB,MATCH($D24,'卡片raw data'!$F:$F,)),0)+IF($P24=3,INDEX('卡片raw data'!AE:AE,MATCH($D24,'卡片raw data'!$F:$F,)),0)+IF($P24=4,INDEX('卡片raw data'!AH:AH,MATCH($D24,'卡片raw data'!$F:$F,)),0)+IF($P24=5,INDEX('卡片raw data'!AK:AK,MATCH($D24,'卡片raw data'!$F:$F,)),0)+INDEX('卡片raw data'!S:S,MATCH($D24,'卡片raw data'!$F:$F,))*(IF($F24="UR",0.04,0.033))*(IF($F24="UR",INDEX(绊状态确认!$S:$S,MATCH($G24,绊状态确认!$B:$B,))/2-40)+IF($F24="SR",INDEX(绊状态确认!$R:$R,MATCH($G24,绊状态确认!$B:$B,))/4-15))+IF($F24="R",INDEX(绊状态确认!$Q:$Q,MATCH($G24,绊状态确认!$B:$B,))/6-40/6)))*(INDEX(绊状态确认!$H:$H,MATCH($G24,绊状态确认!$B:$B,))+INDEX(绊状态确认!J:J,MATCH($G24,绊状态确认!$B:$B,)))</f>
        <v>3601.2515999999996</v>
      </c>
      <c r="AM24" s="1106">
        <f>IF($P24="","N/A",(IF($P24=-1,INDEX('卡片raw data'!T:T,MATCH($D24,'卡片raw data'!$F:$F,)),0)+IF($P24=0,INDEX('卡片raw data'!W:W,MATCH($D24,'卡片raw data'!$F:$F,)),0)+IF($P24=1,INDEX('卡片raw data'!Z:Z,MATCH($D24,'卡片raw data'!$F:$F,)),0)+IF($P24=2,INDEX('卡片raw data'!AC:AC,MATCH($D24,'卡片raw data'!$F:$F,)),0)+IF($P24=3,INDEX('卡片raw data'!AF:AF,MATCH($D24,'卡片raw data'!$F:$F,)),0)+IF($P24=4,INDEX('卡片raw data'!AI:AI,MATCH($D24,'卡片raw data'!$F:$F,)),0)+IF($P24=5,INDEX('卡片raw data'!AL:AL,MATCH($D24,'卡片raw data'!$F:$F,)),0)+INDEX('卡片raw data'!T:T,MATCH($D24,'卡片raw data'!$F:$F,))*(IF($F24="UR",0.04,0.033))*(IF($F24="UR",INDEX(绊状态确认!$S:$S,MATCH($G24,绊状态确认!$B:$B,))/2-40)+IF($F24="SR",INDEX(绊状态确认!$R:$R,MATCH($G24,绊状态确认!$B:$B,))/4-15))+IF($F24="R",INDEX(绊状态确认!$Q:$Q,MATCH($G24,绊状态确认!$B:$B,))/6-40/6)))*(INDEX(绊状态确认!$H:$H,MATCH($G24,绊状态确认!$B:$B,))+INDEX(绊状态确认!K:K,MATCH($G24,绊状态确认!$B:$B,)))</f>
        <v>4200.1343999999999</v>
      </c>
      <c r="AN24" s="1106">
        <f>IF($P24="","N/A",(IF($P24=-1,INDEX('卡片raw data'!U:U,MATCH($D24,'卡片raw data'!$F:$F,)),0)+IF($P24=0,INDEX('卡片raw data'!X:X,MATCH($D24,'卡片raw data'!$F:$F,)),0)+IF($P24=1,INDEX('卡片raw data'!AA:AA,MATCH($D24,'卡片raw data'!$F:$F,)),0)+IF($P24=2,INDEX('卡片raw data'!AD:AD,MATCH($D24,'卡片raw data'!$F:$F,)),0)+IF($P24=3,INDEX('卡片raw data'!AG:AG,MATCH($D24,'卡片raw data'!$F:$F,)),0)+IF($P24=4,INDEX('卡片raw data'!AJ:AJ,MATCH($D24,'卡片raw data'!$F:$F,)),0)+IF($P24=5,INDEX('卡片raw data'!AM:AM,MATCH($D24,'卡片raw data'!$F:$F,)),0)+INDEX('卡片raw data'!U:U,MATCH($D24,'卡片raw data'!$F:$F,))*(IF($F24="UR",0.04,0.033))*(IF($F24="UR",INDEX(绊状态确认!$S:$S,MATCH($G24,绊状态确认!$B:$B,))/2-40)+IF($F24="SR",INDEX(绊状态确认!$R:$R,MATCH($G24,绊状态确认!$B:$B,))/4-15))+IF($F24="R",INDEX(绊状态确认!$Q:$Q,MATCH($G24,绊状态确认!$B:$B,))/6-40/6)))*(INDEX(绊状态确认!$H:$H,MATCH($G24,绊状态确认!$B:$B,))+INDEX(绊状态确认!L:L,MATCH($G24,绊状态确认!$B:$B,)))</f>
        <v>4200.1343999999999</v>
      </c>
      <c r="AO24" s="1107">
        <f t="shared" si="21"/>
        <v>1</v>
      </c>
      <c r="AP24" s="1131">
        <f>1+(INDEX(绊状态确认!$T:$T,MATCH($G24,绊状态确认!$B:$B,))+0.2)*$AO24</f>
        <v>1.3</v>
      </c>
      <c r="AQ24" s="1108">
        <f t="shared" si="22"/>
        <v>12703.285449999999</v>
      </c>
      <c r="AR24" s="1097">
        <f>(AM24*(1+$EX$9)+$EX$35)*(1+(INDEX(绊状态确认!$T:$T,MATCH($G24,绊状态确认!$B:$B,))+0.2)*AO24)*IF(J24=$FF$17,1+$FE$17,1)*IF(I24=$FF$14,1+$FE$14,1)</f>
        <v>8437.1834560000007</v>
      </c>
      <c r="AS24" s="1097">
        <f>(AN24*(1+$EX$10)+$EX$36)*(1+(INDEX(绊状态确认!$T:$T,MATCH($G24,绊状态确认!$B:$B,))+0.2)*AO24)*IF(J24=$FF$17,1+$FE$17,1)*IF(I24=$FF$14,1+$FE$14,1)</f>
        <v>10335.200928</v>
      </c>
      <c r="AT24" s="1093">
        <f>IF(AND(INDEX('卡片raw data'!AK:AK,MATCH($D24,'卡片raw data'!$F:$F,))&lt;INDEX('卡片raw data'!AM:AM,MATCH($D24,'卡片raw data'!$F:$F,)),INDEX('卡片raw data'!AL:AL,MATCH($D24,'卡片raw data'!$F:$F,))&lt;INDEX('卡片raw data'!AM:AM,MATCH($D24,'卡片raw data'!$F:$F,))),1,0)</f>
        <v>0</v>
      </c>
      <c r="AU24" s="1098">
        <f>MIN(AT24*0.15+AS24*0.00003+INDEX(绊状态确认!M:M,MATCH($G24,绊状态确认!$B:$B,)),1)</f>
        <v>0.34005602784000005</v>
      </c>
      <c r="AV24" s="1109">
        <f>(INDEX(绊状态确认!$N:$N,MATCH($G24,绊状态确认!$B:$B,))+1.5)*$EW$21</f>
        <v>2.6599999999999997</v>
      </c>
      <c r="AW24" s="1101">
        <f t="shared" si="23"/>
        <v>10321.600532299753</v>
      </c>
      <c r="AX24" s="1097">
        <f t="shared" si="24"/>
        <v>716.8096692358688</v>
      </c>
      <c r="AY24" s="1110">
        <f t="shared" si="25"/>
        <v>11038.410201535622</v>
      </c>
      <c r="AZ24" s="429">
        <f t="shared" si="26"/>
        <v>9622.4406199999994</v>
      </c>
      <c r="BA24" s="431">
        <f t="shared" si="27"/>
        <v>11546.928743999999</v>
      </c>
      <c r="BB24" s="1097">
        <f>(AM24*(1+$FB$9)+$FB$35)*(1+(INDEX(绊状态确认!$T:$T,MATCH($G24,绊状态确认!$B:$B,))+0.2)*AO24)*IF(J24=$FF$17,1+$FE$17,1)*IF(I24=$FF$14,1+$FE$14,1)*(1+$FE$15)</f>
        <v>8437.1834560000007</v>
      </c>
      <c r="BC24" s="1097">
        <f>(AN24*(1+$FB$10)+$FB$36)*(1+(INDEX(绊状态确认!$T:$T,MATCH($G24,绊状态确认!$B:$B,))+0.2)*AO24)*IF(J24=$FF$17,1+$FE$17,1)*IF(I24=$FF$14,1+$FE$14,1)*(1+$FE$15)</f>
        <v>10335.200928</v>
      </c>
      <c r="BD24" s="1104">
        <f>MIN(AT24*0.15+BC24*0.00003+INDEX(绊状态确认!M:M,MATCH($G24,绊状态确认!$B:$B,)),1)</f>
        <v>0.34005602784000005</v>
      </c>
      <c r="BE24" s="432">
        <f>(INDEX(绊状态确认!$N:$N,MATCH($G24,绊状态确认!$B:$B,))+1.5)</f>
        <v>1.9</v>
      </c>
      <c r="BF24" s="1139">
        <f t="array" ref="BF24">SUMPRODUCT(IF(AZ24*AP24*$FI$16:$FI$23*$FA$22&gt;=$FI$24,$FI$24,AZ24*AP24*$FI$16:$FI$23*$FA$22),$FJ$16:$FJ$23)</f>
        <v>19139.034393180002</v>
      </c>
      <c r="BG24" s="1125">
        <f t="array" ref="BG24">SUMPRODUCT(IF(BE24*AZ24*AP24*$FI$16:$FI$23*$FA$22&gt;=$FI$24,$FI$24,BE24*AZ24*AP24*$FI$16:$FI$23*$FA$22),$FJ$16:$FJ$23)</f>
        <v>36364.165347041999</v>
      </c>
      <c r="BH24" s="1110">
        <f t="shared" si="28"/>
        <v>8332.1813347913831</v>
      </c>
      <c r="BI24" s="1111">
        <f>IF(O24="vo",$EW$26/$EW$24*0.05,0)+IF(O24="sk",-$EW$26/$EW$24*(0.05-INDEX(绊状态确认!W:W,MATCH($G24,绊状态确认!$B:$B,)))+0.05*$EW$28,0)+IF(O24="sp",0.05*$EW$32*$EW$30*(1-$EW$33)-(0.05-INDEX(绊状态确认!V:V,MATCH($G24,绊状态确认!$B:$B,)))*$EW$28,0)+IF(O24="gd",-(0.05-INDEX(绊状态确认!X:X,MATCH($G24,绊状态确认!$B:$B,)))*$EW$32*$EW$30*(1-$EW$33),0)</f>
        <v>7726.3029277443748</v>
      </c>
      <c r="BJ24" s="1097">
        <f>IF(O24="vo",0.05*(1-$FI$26)*$FA$24,0)+IF(O24="sk",-(0.05-INDEX(绊状态确认!W:W,MATCH($G24,绊状态确认!$B:$B,)))*(1-$FI$26)*$FA$24+0.05*$FA$26,0)+IF(O24="sp",0.05*$FA$32*$FA$27*(1-$FA$33)/$FA$30+0.05*$FA$29/$FA$69*$FA$27*(1-$FA$33)-(0.05-INDEX(绊状态确认!V:V,MATCH($G24,绊状态确认!$B:$B,)))*$FA$26,0)+IF(O24="gd",-(0.05-INDEX(绊状态确认!X:X,MATCH($G24,绊状态确认!$B:$B,)))*$FA$32*$FA$27*(1-$FA$33)/$FA$30-(0.05-INDEX(绊状态确认!X:X,MATCH($G24,绊状态确认!$B:$B,)))*$FA$29/$FA$69*$FA$27*(1-$FA$33),0)</f>
        <v>393.93433687500004</v>
      </c>
      <c r="BK24" s="1110">
        <f>IF(O24="vo",$EW$26/$EW$24*0.05+$EW$26*(-HP($EW$62,$EW$65,$EW$64)+HP($EW$62,$EW$65,(1.05-INDEX(绊状态确认!U:U,MATCH($G24,绊状态确认!$B:$B,)))*$EW$64)),0)+IF(O24="sk",-$EW$26/$EW$24*(0.05-INDEX(绊状态确认!W:W,MATCH($G24,绊状态确认!$B:$B,)))+0.05*$EW$29,0)+IF(O24="sp",0.05*$EW$32*$EW$30*(1-$EW$33)-(0.05-INDEX(绊状态确认!V:V,MATCH($G24,绊状态确认!$B:$B,)))*$EW$29,0)+IF(O24="gd",-(0.05-INDEX(绊状态确认!X:X,MATCH($G24,绊状态确认!$B:$B,)))*$EW$32*$EW$30*(1-$EW$33)+$EW$26*(-HP($EW$62,$EW$65,$EW$64)+HP($EW$62,$EW$65,0.95*$EW$64)),0)</f>
        <v>6421.6344775026746</v>
      </c>
      <c r="BL24" s="1111">
        <f t="shared" si="29"/>
        <v>-2166.6666666666665</v>
      </c>
      <c r="BM24" s="1110">
        <f t="shared" si="30"/>
        <v>-1661.1111111111109</v>
      </c>
      <c r="BN24" s="1113">
        <f t="shared" si="31"/>
        <v>2</v>
      </c>
      <c r="BO24" s="1097">
        <f t="shared" si="32"/>
        <v>3005.1476580839999</v>
      </c>
      <c r="BP24" s="1100">
        <f t="shared" si="33"/>
        <v>147.56068806020068</v>
      </c>
      <c r="BQ24" s="1113" t="s">
        <v>619</v>
      </c>
      <c r="BR24" s="1124" t="s">
        <v>168</v>
      </c>
      <c r="BS24" s="1098">
        <f>IF($P24="","N/A",IF($P24=-1,INDEX('卡片raw data'!AX:AX,MATCH($D24,'卡片raw data'!$F:$F,)),0)+IF($L24="party卡",IF($P24=5,INDEX('卡片raw data'!BD:BD,MATCH($D24,'卡片raw data'!$F:$F,)),IF($P24&gt;=3,INDEX('卡片raw data'!BC:BC,MATCH($D24,'卡片raw data'!$F:$F,)),INDEX('卡片raw data'!BB:BB,MATCH($D24,'卡片raw data'!$F:$F,)))),IF(OR(AND($F24="UR",$P24=0),AND($F24="SR",$P24&gt;=0,$P24&lt;=2),AND($F24="R",$P24&gt;=0,$P24&lt;4)),INDEX('卡片raw data'!AZ:AZ,MATCH($D24,'卡片raw data'!$F:$F,)),0)+IF(OR(AND($F24="UR",$P24&gt;=1,$P24&lt;=4),AND($F24="SR",$P24&lt;=4,$P24&gt;=3),AND($F24="R",$P24=4)),INDEX('卡片raw data'!BA:BA,MATCH($D24,'卡片raw data'!$F:$F,)),0)+IF($P24=5,INDEX('卡片raw data'!BB:BB,MATCH($D24,'卡片raw data'!$F:$F,)),0)))</f>
        <v>0.04</v>
      </c>
      <c r="BT24" s="1101">
        <f t="shared" si="34"/>
        <v>3005.1476580840003</v>
      </c>
      <c r="BU24" s="1097">
        <f t="shared" si="35"/>
        <v>147.56068806020068</v>
      </c>
      <c r="BV24" s="1097">
        <f t="shared" si="36"/>
        <v>0</v>
      </c>
      <c r="BW24" s="1112">
        <f t="shared" si="37"/>
        <v>0</v>
      </c>
      <c r="BX24" s="1100">
        <f t="shared" si="38"/>
        <v>3005.1476580840003</v>
      </c>
      <c r="BY24" s="1110">
        <f t="shared" si="39"/>
        <v>0</v>
      </c>
      <c r="BZ24" s="1107" t="s">
        <v>569</v>
      </c>
      <c r="CA24" s="1124"/>
      <c r="CB24" s="1098">
        <f>IF($P24="","N/A",IF($P24=-1,INDEX('卡片raw data'!BE:BE,MATCH($D24,'卡片raw data'!$F:$F,)),0)+IF($L24="party卡",IF($P24=5,INDEX('卡片raw data'!BK:BK,MATCH($D24,'卡片raw data'!$F:$F,)),IF($P24&gt;=3,INDEX('卡片raw data'!BJ:BJ,MATCH($D24,'卡片raw data'!$F:$F,)),INDEX('卡片raw data'!BI:BI,MATCH($D24,'卡片raw data'!$F:$F,)))),IF(OR(AND($F24="UR",$P24=0),AND($F24="SR",$P24&gt;=0,$P24&lt;=2),AND($F24="R",$P24&gt;=0,$P24&lt;4)),INDEX('卡片raw data'!BG:BG,MATCH($D24,'卡片raw data'!$F:$F,)),0)+IF(OR(AND($F24="UR",$P24&gt;=1,$P24&lt;=4),AND($F24="SR",$P24&lt;=4,$P24&gt;=3),AND($F24="R",$P24=4)),INDEX('卡片raw data'!BH:BH,MATCH($D24,'卡片raw data'!$F:$F,)),0)+IF($P24=5,INDEX('卡片raw data'!BI:BI,MATCH($D24,'卡片raw data'!$F:$F,)),0)))</f>
        <v>0</v>
      </c>
      <c r="CC24" s="1101">
        <f t="shared" si="40"/>
        <v>0</v>
      </c>
      <c r="CD24" s="1097">
        <f>IF(BZ24="ap",CB24*(1-$FI$26)*$FB$5/$FB$11*(+IF(CA24="全员",$FA$24,0)+IF(CA24="同作战",$FA$24,0)+IF(CA24="仲间",$FA$24*2/3,0)+IF(CA24="同属性",$FA$24*$FA$37/3,0)+IF(CA24="同年级",$FA$24*$FA$40/3,0)+IF(CA24="同学校",$FA$24*$FA$43/3,0)+IF(CA24="同小队",$FA$24*$FA$46/3,0)+IF(CA24="同type",$FA$24*INDEX($FB$49:$FB$52,MATCH(X24,$FA$49:$FA$52,))/3,0)+IF(CA24="自身",#REF!/3,0)),0)+IF(BZ24="te",CB24*(1-$FI$27)*($FA$20-1)*$FB$7/$FB$13*(+IF(CA24="全员",$FA$19*$FA$24/(1+($FA$20-1)*$FA$19),0)+IF(CA24="同作战",$FA$19*$FA$24/(1+($FA$20-1)*$FA$19),0)+IF(CA24="仲间",$FA$19*$FA$24*2/3/(1+($FA$20-1)*$FA$19),0)+IF(CA24="同属性",$FA$19*$FA$24*$FA$37/3/(1+($FA$20-1)*$FA$19),0)+IF(CA24="同年级",$FA$19*$FA$24*$FA$40/3/(1+($FA$20-1)*$FA$19),0)+IF(CA24="同学校",$FA$19*$FA$24*$FA$43/3/(1+($FA$20-1)*$FA$19),0)+IF(CA24="同小队",$FA$19*$FA$24*$FA$46/3/(1+($FA$20-1)*$FA$19),0)+IF(CA24="同type",$FA$19*$FA$24*INDEX($FB$49:$FB$52,MATCH(X24,$FA$49:$FA$52,))/3/(1+($FA$20-1)*$FA$19),0)+IF(CA24="自身",$FA$19*#REF!/3/(1+(BH24-1)*$BD24),0)),0)</f>
        <v>0</v>
      </c>
      <c r="CE24" s="1097">
        <f t="shared" si="41"/>
        <v>0</v>
      </c>
      <c r="CF24" s="1112">
        <f t="shared" si="42"/>
        <v>0</v>
      </c>
      <c r="CG24" s="1100">
        <f t="shared" si="43"/>
        <v>0</v>
      </c>
      <c r="CH24" s="1110">
        <f t="shared" si="44"/>
        <v>0</v>
      </c>
      <c r="CI24" s="1113"/>
      <c r="CJ24" s="1114"/>
      <c r="CK24" s="1115" t="s">
        <v>569</v>
      </c>
      <c r="CL24" s="1115"/>
      <c r="CM24" s="1119"/>
      <c r="CN24" s="1115"/>
      <c r="CO24" s="1092"/>
      <c r="CP24" s="1117">
        <f t="shared" si="45"/>
        <v>0</v>
      </c>
      <c r="CQ24" s="1117">
        <f t="shared" si="46"/>
        <v>0</v>
      </c>
      <c r="CR24" s="1117">
        <f t="shared" si="47"/>
        <v>0</v>
      </c>
      <c r="CS24" s="1118">
        <f t="shared" si="48"/>
        <v>0</v>
      </c>
      <c r="CT24" s="1109">
        <f t="shared" si="49"/>
        <v>0</v>
      </c>
      <c r="CU24" s="1101">
        <f t="shared" si="50"/>
        <v>0</v>
      </c>
      <c r="CV24" s="1108">
        <f t="shared" si="51"/>
        <v>0</v>
      </c>
      <c r="CW24" s="1097">
        <f t="shared" si="52"/>
        <v>0</v>
      </c>
      <c r="CX24" s="1097">
        <f t="shared" si="53"/>
        <v>0</v>
      </c>
      <c r="CY24" s="1110">
        <f t="shared" si="54"/>
        <v>0</v>
      </c>
      <c r="CZ24" s="437"/>
      <c r="DA24" s="438"/>
      <c r="DB24" s="439" t="s">
        <v>569</v>
      </c>
      <c r="DC24" s="439"/>
      <c r="DD24" s="443"/>
      <c r="DE24" s="411"/>
      <c r="DF24" s="411"/>
      <c r="DG24" s="1116">
        <f t="shared" si="55"/>
        <v>0</v>
      </c>
      <c r="DH24" s="1116">
        <f t="shared" si="56"/>
        <v>0</v>
      </c>
      <c r="DI24" s="1116">
        <f t="shared" si="57"/>
        <v>0</v>
      </c>
      <c r="DJ24" s="442">
        <f t="shared" si="58"/>
        <v>0</v>
      </c>
      <c r="DK24" s="1109">
        <f t="shared" si="59"/>
        <v>0</v>
      </c>
      <c r="DL24" s="1101">
        <f t="shared" si="60"/>
        <v>0</v>
      </c>
      <c r="DM24" s="1097">
        <f t="shared" si="61"/>
        <v>0</v>
      </c>
      <c r="DN24" s="1097">
        <f t="shared" si="62"/>
        <v>0</v>
      </c>
      <c r="DO24" s="1097">
        <f t="shared" si="63"/>
        <v>0</v>
      </c>
      <c r="DP24" s="1110">
        <f t="shared" si="64"/>
        <v>0</v>
      </c>
      <c r="DQ24" s="1113" t="s">
        <v>256</v>
      </c>
      <c r="DR24" s="1120">
        <f t="shared" si="65"/>
        <v>0.3</v>
      </c>
      <c r="DS24" s="1124"/>
      <c r="DT24" s="1093" t="s">
        <v>546</v>
      </c>
      <c r="DU24" s="1093"/>
      <c r="DV24" s="1097">
        <f>IF($P24="","N/A",IF(P24=-1,INDEX('卡片raw data'!AN:AN,MATCH(D24,'卡片raw data'!$F:$F,)),0)+IF(AND(L24&lt;&gt;"party卡",P24&lt;=2,P24&gt;=0),INDEX('卡片raw data'!AP:AP,MATCH(D24,'卡片raw data'!$F:$F,)),0)+IF(OR(AND(L24="party卡",P24&lt;=1),AND(P24&lt;=4,L24&lt;&gt;"party卡",P24&gt;=3)),INDEX('卡片raw data'!AQ:AQ,MATCH(D24,'卡片raw data'!$F:$F,)),0)+IF(OR(P24=5,AND(L24="party卡",P24&gt;=2)),INDEX('卡片raw data'!AR:AR,MATCH(D24,'卡片raw data'!$F:$F,)),0))</f>
        <v>300</v>
      </c>
      <c r="DW24" s="1098">
        <f t="shared" si="66"/>
        <v>0.3</v>
      </c>
      <c r="DX24" s="1098">
        <f t="shared" si="67"/>
        <v>0.3</v>
      </c>
      <c r="DY24" s="1125">
        <f t="shared" si="68"/>
        <v>30</v>
      </c>
      <c r="DZ24" s="1125">
        <f t="shared" si="69"/>
        <v>25.95</v>
      </c>
      <c r="EA24" s="1098">
        <f t="shared" si="70"/>
        <v>0</v>
      </c>
      <c r="EB24" s="1121">
        <f t="shared" si="71"/>
        <v>0</v>
      </c>
      <c r="EC24" s="1101">
        <f t="shared" si="72"/>
        <v>42.900000000000006</v>
      </c>
      <c r="ED24" s="1097">
        <f t="shared" si="73"/>
        <v>0</v>
      </c>
      <c r="EE24" s="1110">
        <f t="shared" si="74"/>
        <v>42.900000000000006</v>
      </c>
      <c r="EF24" s="1092" t="s">
        <v>711</v>
      </c>
      <c r="EG24" s="1120">
        <f t="shared" si="75"/>
        <v>0.3</v>
      </c>
      <c r="EH24" s="1124"/>
      <c r="EI24" s="1093"/>
      <c r="EJ24" s="1093"/>
      <c r="EK24" s="1097">
        <f>IF($P24="","N/A",IF(P24=-1,INDEX('卡片raw data'!AS:AS,MATCH(D24,'卡片raw data'!$F:$F,)),0)+IF(AND(L24&lt;&gt;"party卡",P24&lt;=2,P24&gt;=0),INDEX('卡片raw data'!AU:AU,MATCH(D24,'卡片raw data'!$F:$F,)),0)+IF(OR(AND(L24="party卡",P24&lt;=1),AND(P24&lt;=4,L24&lt;&gt;"party卡",P24&gt;=3)),INDEX('卡片raw data'!AV:AV,MATCH(D24,'卡片raw data'!$F:$F,)),0)+IF(OR(P24=5,AND(L24="party卡",P24&gt;=2)),INDEX('卡片raw data'!AW:AW,MATCH(D24,'卡片raw data'!$F:$F,)),0))</f>
        <v>0</v>
      </c>
      <c r="EL24" s="1098">
        <f t="shared" si="76"/>
        <v>0.3</v>
      </c>
      <c r="EM24" s="1098">
        <f t="shared" si="77"/>
        <v>0.3</v>
      </c>
      <c r="EN24" s="1125">
        <f t="shared" si="78"/>
        <v>0</v>
      </c>
      <c r="EO24" s="1125">
        <f t="shared" si="79"/>
        <v>0</v>
      </c>
      <c r="EP24" s="1098">
        <f t="shared" si="80"/>
        <v>0</v>
      </c>
      <c r="EQ24" s="1121">
        <f t="shared" si="81"/>
        <v>0</v>
      </c>
      <c r="ER24" s="1101">
        <f t="shared" si="82"/>
        <v>0</v>
      </c>
      <c r="ES24" s="1097">
        <f t="shared" si="83"/>
        <v>0</v>
      </c>
      <c r="ET24" s="1122">
        <f t="shared" si="84"/>
        <v>0</v>
      </c>
      <c r="EV24" s="1224" t="s">
        <v>2323</v>
      </c>
      <c r="EW24" s="1323">
        <v>1.1000000000000001</v>
      </c>
      <c r="EX24" s="1324"/>
      <c r="EY24" s="1212"/>
      <c r="EZ24" s="1222" t="s">
        <v>2</v>
      </c>
      <c r="FA24" s="1325">
        <f>FH32</f>
        <v>58360.642500000002</v>
      </c>
      <c r="FB24" s="1325"/>
      <c r="FC24" s="447"/>
      <c r="FD24" s="447"/>
      <c r="FE24" s="447"/>
      <c r="FF24" s="447"/>
      <c r="FG24" s="447"/>
      <c r="FH24" s="925" t="s">
        <v>263</v>
      </c>
      <c r="FI24" s="1354">
        <v>60000</v>
      </c>
      <c r="FJ24" s="1355"/>
      <c r="FL24" s="469" t="s">
        <v>689</v>
      </c>
      <c r="FM24" s="1362">
        <v>3.5</v>
      </c>
      <c r="FN24" s="1363"/>
    </row>
    <row r="25" spans="2:170" ht="16.149999999999999" customHeight="1">
      <c r="B25" s="1123" t="str">
        <f>INDEX('卡片raw data'!B:B,MATCH($D25,'卡片raw data'!$F:$F,))</f>
        <v>练习姬</v>
      </c>
      <c r="C25" s="449" t="s">
        <v>69</v>
      </c>
      <c r="D25" s="408">
        <v>22</v>
      </c>
      <c r="E25" s="1090">
        <v>100061002</v>
      </c>
      <c r="F25" s="1090" t="str">
        <f>INDEX('卡片raw data'!C:C,MATCH($D25,'卡片raw data'!$F:$F,))</f>
        <v>R</v>
      </c>
      <c r="G25" s="1094" t="s">
        <v>29</v>
      </c>
      <c r="H25" s="411">
        <f>IFERROR(INDEX(绊状态确认!C:C,MATCH($G25,绊状态确认!$B:$B,)),"")</f>
        <v>6</v>
      </c>
      <c r="I25" s="450" t="str">
        <f>IFERROR(INDEX(绊状态确认!D:D,MATCH($G25,绊状态确认!$B:$B,)),"")</f>
        <v>缪</v>
      </c>
      <c r="J25" s="450" t="str">
        <f>IFERROR(INDEX(绊状态确认!E:E,MATCH($G25,绊状态确认!$B:$B,)),"")</f>
        <v>1年级</v>
      </c>
      <c r="K25" s="451" t="str">
        <f>IFERROR(INDEX(绊状态确认!F:F,MATCH($G25,绊状态确认!$B:$B,)),"")</f>
        <v>BiBi</v>
      </c>
      <c r="L25" s="1094" t="str">
        <f>INDEX('卡片raw data'!E:E,MATCH($D25,'卡片raw data'!$F:$F,))</f>
        <v>卡池卡</v>
      </c>
      <c r="M25" s="415">
        <v>43735</v>
      </c>
      <c r="N25" s="416">
        <v>0</v>
      </c>
      <c r="O25" s="1091" t="str">
        <f>INDEX('卡片raw data'!D:D,MATCH($D25,'卡片raw data'!$F:$F,))</f>
        <v>gd</v>
      </c>
      <c r="P25" s="417">
        <v>5</v>
      </c>
      <c r="Q25" s="1095">
        <f t="shared" si="0"/>
        <v>12772.475194671912</v>
      </c>
      <c r="R25" s="1096">
        <f t="shared" si="1"/>
        <v>0.14799999999999999</v>
      </c>
      <c r="S25" s="1097">
        <f t="shared" si="2"/>
        <v>6937.7117862911527</v>
      </c>
      <c r="T25" s="1098">
        <f t="shared" si="3"/>
        <v>0.34599999999999997</v>
      </c>
      <c r="U25" s="1099">
        <f t="shared" si="4"/>
        <v>75.936164302142856</v>
      </c>
      <c r="V25" s="1100">
        <f t="shared" si="5"/>
        <v>18622.866512522043</v>
      </c>
      <c r="W25" s="1101">
        <f t="shared" si="6"/>
        <v>3681.3058811528999</v>
      </c>
      <c r="X25" s="1096">
        <f t="shared" si="7"/>
        <v>4.2000000000000003E-2</v>
      </c>
      <c r="Y25" s="1097">
        <f t="shared" si="8"/>
        <v>870.54027486502673</v>
      </c>
      <c r="Z25" s="1102">
        <f t="shared" si="9"/>
        <v>10.936164302142856</v>
      </c>
      <c r="AA25" s="1103">
        <f t="shared" si="10"/>
        <v>4551.8461560179267</v>
      </c>
      <c r="AB25" s="1101">
        <f t="shared" si="11"/>
        <v>4132.0780298655</v>
      </c>
      <c r="AC25" s="1104">
        <f t="shared" si="12"/>
        <v>4.8000000000000001E-2</v>
      </c>
      <c r="AD25" s="1105">
        <f t="shared" si="13"/>
        <v>-3.8207812500000026E-3</v>
      </c>
      <c r="AE25" s="1128">
        <f t="shared" si="14"/>
        <v>-28.942028985507246</v>
      </c>
      <c r="AF25" s="1130">
        <f t="shared" si="15"/>
        <v>1070.3543341</v>
      </c>
      <c r="AG25" s="420">
        <f t="shared" si="16"/>
        <v>106225.38831800001</v>
      </c>
      <c r="AH25" s="420">
        <f t="shared" si="17"/>
        <v>99.243199129304131</v>
      </c>
      <c r="AI25" s="1097">
        <f t="shared" si="18"/>
        <v>-82680.017202368836</v>
      </c>
      <c r="AJ25" s="420">
        <f t="shared" si="19"/>
        <v>18622.866512522043</v>
      </c>
      <c r="AK25" s="518">
        <f t="shared" si="20"/>
        <v>-101302.88371489088</v>
      </c>
      <c r="AL25" s="1106">
        <f>IF($P25="","N/A",(IF($P25=-1,INDEX('卡片raw data'!S:S,MATCH($D25,'卡片raw data'!$F:$F,)),0)+IF($P25=0,INDEX('卡片raw data'!V:V,MATCH($D25,'卡片raw data'!$F:$F,)),0)+IF($P25=1,INDEX('卡片raw data'!Y:Y,MATCH($D25,'卡片raw data'!$F:$F,)),0)+IF($P25=2,INDEX('卡片raw data'!AB:AB,MATCH($D25,'卡片raw data'!$F:$F,)),0)+IF($P25=3,INDEX('卡片raw data'!AE:AE,MATCH($D25,'卡片raw data'!$F:$F,)),0)+IF($P25=4,INDEX('卡片raw data'!AH:AH,MATCH($D25,'卡片raw data'!$F:$F,)),0)+IF($P25=5,INDEX('卡片raw data'!AK:AK,MATCH($D25,'卡片raw data'!$F:$F,)),0)+INDEX('卡片raw data'!S:S,MATCH($D25,'卡片raw data'!$F:$F,))*(IF($F25="UR",0.04,0.033))*(IF($F25="UR",INDEX(绊状态确认!$S:$S,MATCH($G25,绊状态确认!$B:$B,))/2-40)+IF($F25="SR",INDEX(绊状态确认!$R:$R,MATCH($G25,绊状态确认!$B:$B,))/4-15))+IF($F25="R",INDEX(绊状态确认!$Q:$Q,MATCH($G25,绊状态确认!$B:$B,))/6-40/6)))*(INDEX(绊状态确认!$H:$H,MATCH($G25,绊状态确认!$B:$B,))+INDEX(绊状态确认!J:J,MATCH($G25,绊状态确认!$B:$B,)))</f>
        <v>4122.8591999999999</v>
      </c>
      <c r="AM25" s="1106">
        <f>IF($P25="","N/A",(IF($P25=-1,INDEX('卡片raw data'!T:T,MATCH($D25,'卡片raw data'!$F:$F,)),0)+IF($P25=0,INDEX('卡片raw data'!W:W,MATCH($D25,'卡片raw data'!$F:$F,)),0)+IF($P25=1,INDEX('卡片raw data'!Z:Z,MATCH($D25,'卡片raw data'!$F:$F,)),0)+IF($P25=2,INDEX('卡片raw data'!AC:AC,MATCH($D25,'卡片raw data'!$F:$F,)),0)+IF($P25=3,INDEX('卡片raw data'!AF:AF,MATCH($D25,'卡片raw data'!$F:$F,)),0)+IF($P25=4,INDEX('卡片raw data'!AI:AI,MATCH($D25,'卡片raw data'!$F:$F,)),0)+IF($P25=5,INDEX('卡片raw data'!AL:AL,MATCH($D25,'卡片raw data'!$F:$F,)),0)+INDEX('卡片raw data'!T:T,MATCH($D25,'卡片raw data'!$F:$F,))*(IF($F25="UR",0.04,0.033))*(IF($F25="UR",INDEX(绊状态确认!$S:$S,MATCH($G25,绊状态确认!$B:$B,))/2-40)+IF($F25="SR",INDEX(绊状态确认!$R:$R,MATCH($G25,绊状态确认!$B:$B,))/4-15))+IF($F25="R",INDEX(绊状态确认!$Q:$Q,MATCH($G25,绊状态确认!$B:$B,))/6-40/6)))*(INDEX(绊状态确认!$H:$H,MATCH($G25,绊状态确认!$B:$B,))+INDEX(绊状态确认!K:K,MATCH($G25,绊状态确认!$B:$B,)))</f>
        <v>5496.7667999999994</v>
      </c>
      <c r="AN25" s="1106">
        <f>IF($P25="","N/A",(IF($P25=-1,INDEX('卡片raw data'!U:U,MATCH($D25,'卡片raw data'!$F:$F,)),0)+IF($P25=0,INDEX('卡片raw data'!X:X,MATCH($D25,'卡片raw data'!$F:$F,)),0)+IF($P25=1,INDEX('卡片raw data'!AA:AA,MATCH($D25,'卡片raw data'!$F:$F,)),0)+IF($P25=2,INDEX('卡片raw data'!AD:AD,MATCH($D25,'卡片raw data'!$F:$F,)),0)+IF($P25=3,INDEX('卡片raw data'!AG:AG,MATCH($D25,'卡片raw data'!$F:$F,)),0)+IF($P25=4,INDEX('卡片raw data'!AJ:AJ,MATCH($D25,'卡片raw data'!$F:$F,)),0)+IF($P25=5,INDEX('卡片raw data'!AM:AM,MATCH($D25,'卡片raw data'!$F:$F,)),0)+INDEX('卡片raw data'!U:U,MATCH($D25,'卡片raw data'!$F:$F,))*(IF($F25="UR",0.04,0.033))*(IF($F25="UR",INDEX(绊状态确认!$S:$S,MATCH($G25,绊状态确认!$B:$B,))/2-40)+IF($F25="SR",INDEX(绊状态确认!$R:$R,MATCH($G25,绊状态确认!$B:$B,))/4-15))+IF($F25="R",INDEX(绊状态确认!$Q:$Q,MATCH($G25,绊状态确认!$B:$B,))/6-40/6)))*(INDEX(绊状态确认!$H:$H,MATCH($G25,绊状态确认!$B:$B,))+INDEX(绊状态确认!L:L,MATCH($G25,绊状态确认!$B:$B,)))</f>
        <v>4122.8591999999999</v>
      </c>
      <c r="AO25" s="1107">
        <f t="shared" si="21"/>
        <v>1</v>
      </c>
      <c r="AP25" s="1131">
        <f>1+(INDEX(绊状态确认!$T:$T,MATCH($G25,绊状态确认!$B:$B,))+0.2)*$AO25</f>
        <v>1.3</v>
      </c>
      <c r="AQ25" s="1108">
        <f t="shared" si="22"/>
        <v>14072.5054</v>
      </c>
      <c r="AR25" s="1097">
        <f>(AM25*(1+$EX$9)+$EX$35)*(1+(INDEX(绊状态确认!$T:$T,MATCH($G25,绊状态确认!$B:$B,))+0.2)*AO25)*IF(J25=$FF$17,1+$FE$17,1)*IF(I25=$FF$14,1+$FE$14,1)</f>
        <v>10207.086681999999</v>
      </c>
      <c r="AS25" s="1097">
        <f>(AN25*(1+$EX$10)+$EX$36)*(1+(INDEX(绊状态确认!$T:$T,MATCH($G25,绊状态确认!$B:$B,))+0.2)*AO25)*IF(J25=$FF$17,1+$FE$17,1)*IF(I25=$FF$14,1+$FE$14,1)</f>
        <v>10219.674503999999</v>
      </c>
      <c r="AT25" s="1093">
        <f>IF(AND(INDEX('卡片raw data'!AK:AK,MATCH($D25,'卡片raw data'!$F:$F,))&lt;INDEX('卡片raw data'!AM:AM,MATCH($D25,'卡片raw data'!$F:$F,)),INDEX('卡片raw data'!AL:AL,MATCH($D25,'卡片raw data'!$F:$F,))&lt;INDEX('卡片raw data'!AM:AM,MATCH($D25,'卡片raw data'!$F:$F,))),1,0)</f>
        <v>0</v>
      </c>
      <c r="AU25" s="1098">
        <f>MIN(AT25*0.15+AS25*0.00003+INDEX(绊状态确认!M:M,MATCH($G25,绊状态确认!$B:$B,)),1)</f>
        <v>0.33659023511999997</v>
      </c>
      <c r="AV25" s="1109">
        <f>(INDEX(绊状态确认!$N:$N,MATCH($G25,绊状态确认!$B:$B,))+1.5)*$EW$21</f>
        <v>2.6599999999999997</v>
      </c>
      <c r="AW25" s="1101">
        <f t="shared" si="23"/>
        <v>11392.063831473077</v>
      </c>
      <c r="AX25" s="1097">
        <f t="shared" si="24"/>
        <v>870.54027486502696</v>
      </c>
      <c r="AY25" s="1110">
        <f t="shared" si="25"/>
        <v>12262.604106338104</v>
      </c>
      <c r="AZ25" s="429">
        <f t="shared" si="26"/>
        <v>10639.575440000001</v>
      </c>
      <c r="BA25" s="431">
        <f t="shared" si="27"/>
        <v>12767.490528</v>
      </c>
      <c r="BB25" s="1097">
        <f>(AM25*(1+$FB$9)+$FB$35)*(1+(INDEX(绊状态确认!$T:$T,MATCH($G25,绊状态确认!$B:$B,))+0.2)*AO25)*IF(J25=$FF$17,1+$FE$17,1)*IF(I25=$FF$14,1+$FE$14,1)*(1+$FE$15)</f>
        <v>10207.086681999999</v>
      </c>
      <c r="BC25" s="1097">
        <f>(AN25*(1+$FB$10)+$FB$36)*(1+(INDEX(绊状态确认!$T:$T,MATCH($G25,绊状态确认!$B:$B,))+0.2)*AO25)*IF(J25=$FF$17,1+$FE$17,1)*IF(I25=$FF$14,1+$FE$14,1)*(1+$FE$15)</f>
        <v>10219.674503999999</v>
      </c>
      <c r="BD25" s="1104">
        <f>MIN(AT25*0.15+BC25*0.00003+INDEX(绊状态确认!M:M,MATCH($G25,绊状态确认!$B:$B,)),1)</f>
        <v>0.33659023511999997</v>
      </c>
      <c r="BE25" s="432">
        <f>(INDEX(绊状态确认!$N:$N,MATCH($G25,绊状态确认!$B:$B,))+1.5)</f>
        <v>1.9</v>
      </c>
      <c r="BF25" s="1139">
        <f t="array" ref="BF25">SUMPRODUCT(IF(AZ25*AP25*$FI$16:$FI$23*$FA$22&gt;=$FI$24,$FI$24,AZ25*AP25*$FI$16:$FI$23*$FA$22),$FJ$16:$FJ$23)</f>
        <v>21162.115550160001</v>
      </c>
      <c r="BG25" s="1125">
        <f t="array" ref="BG25">SUMPRODUCT(IF(BE25*AZ25*AP25*$FI$16:$FI$23*$FA$22&gt;=$FI$24,$FI$24,BE25*AZ25*AP25*$FI$16:$FI$23*$FA$22),$FJ$16:$FJ$23)</f>
        <v>40208.019545304</v>
      </c>
      <c r="BH25" s="1110">
        <f t="shared" si="28"/>
        <v>9190.9269513194886</v>
      </c>
      <c r="BI25" s="1111">
        <f>IF(O25="vo",$EW$26/$EW$24*0.05,0)+IF(O25="sk",-$EW$26/$EW$24*(0.05-INDEX(绊状态确认!W:W,MATCH($G25,绊状态确认!$B:$B,)))+0.05*$EW$28,0)+IF(O25="sp",0.05*$EW$32*$EW$30*(1-$EW$33)-(0.05-INDEX(绊状态确认!V:V,MATCH($G25,绊状态确认!$B:$B,)))*$EW$28,0)+IF(O25="gd",-(0.05-INDEX(绊状态确认!X:X,MATCH($G25,绊状态确认!$B:$B,)))*$EW$32*$EW$30*(1-$EW$33),0)</f>
        <v>-585.00000000000011</v>
      </c>
      <c r="BJ25" s="1097">
        <f>IF(O25="vo",0.05*(1-$FI$26)*$FA$24,0)+IF(O25="sk",-(0.05-INDEX(绊状态确认!W:W,MATCH($G25,绊状态确认!$B:$B,)))*(1-$FI$26)*$FA$24+0.05*$FA$26,0)+IF(O25="sp",0.05*$FA$32*$FA$27*(1-$FA$33)/$FA$30+0.05*$FA$29/$FA$69*$FA$27*(1-$FA$33)-(0.05-INDEX(绊状态确认!V:V,MATCH($G25,绊状态确认!$B:$B,)))*$FA$26,0)+IF(O25="gd",-(0.05-INDEX(绊状态确认!X:X,MATCH($G25,绊状态确认!$B:$B,)))*$FA$32*$FA$27*(1-$FA$33)/$FA$30-(0.05-INDEX(绊状态确认!X:X,MATCH($G25,绊状态确认!$B:$B,)))*$FA$29/$FA$69*$FA$27*(1-$FA$33),0)</f>
        <v>-795.00000000000011</v>
      </c>
      <c r="BK25" s="1110">
        <f>IF(O25="vo",$EW$26/$EW$24*0.05+$EW$26*(-HP($EW$62,$EW$65,$EW$64)+HP($EW$62,$EW$65,(1.05-INDEX(绊状态确认!U:U,MATCH($G25,绊状态确认!$B:$B,)))*$EW$64)),0)+IF(O25="sk",-$EW$26/$EW$24*(0.05-INDEX(绊状态确认!W:W,MATCH($G25,绊状态确认!$B:$B,)))+0.05*$EW$29,0)+IF(O25="sp",0.05*$EW$32*$EW$30*(1-$EW$33)-(0.05-INDEX(绊状态确认!V:V,MATCH($G25,绊状态确认!$B:$B,)))*$EW$29,0)+IF(O25="gd",-(0.05-INDEX(绊状态确认!X:X,MATCH($G25,绊状态确认!$B:$B,)))*$EW$32*$EW$30*(1-$EW$33)+$EW$26*(-HP($EW$62,$EW$65,$EW$64)+HP($EW$62,$EW$65,0.95*$EW$64)),0)</f>
        <v>1009.5947725176144</v>
      </c>
      <c r="BL25" s="1111">
        <f t="shared" si="29"/>
        <v>-2166.6666666666665</v>
      </c>
      <c r="BM25" s="1110">
        <f t="shared" si="30"/>
        <v>-1661.1111111111109</v>
      </c>
      <c r="BN25" s="1113">
        <f t="shared" si="31"/>
        <v>2</v>
      </c>
      <c r="BO25" s="1097">
        <f t="shared" si="32"/>
        <v>3005.1476580839999</v>
      </c>
      <c r="BP25" s="1100">
        <f t="shared" si="33"/>
        <v>147.56068806020068</v>
      </c>
      <c r="BQ25" s="1113" t="s">
        <v>619</v>
      </c>
      <c r="BR25" s="1124" t="s">
        <v>617</v>
      </c>
      <c r="BS25" s="1098">
        <f>IF($P25="","N/A",IF($P25=-1,INDEX('卡片raw data'!AX:AX,MATCH($D25,'卡片raw data'!$F:$F,)),0)+IF($L25="party卡",IF($P25=5,INDEX('卡片raw data'!BD:BD,MATCH($D25,'卡片raw data'!$F:$F,)),IF($P25&gt;=3,INDEX('卡片raw data'!BC:BC,MATCH($D25,'卡片raw data'!$F:$F,)),INDEX('卡片raw data'!BB:BB,MATCH($D25,'卡片raw data'!$F:$F,)))),IF(OR(AND($F25="UR",$P25=0),AND($F25="SR",$P25&gt;=0,$P25&lt;=2),AND($F25="R",$P25&gt;=0,$P25&lt;4)),INDEX('卡片raw data'!AZ:AZ,MATCH($D25,'卡片raw data'!$F:$F,)),0)+IF(OR(AND($F25="UR",$P25&gt;=1,$P25&lt;=4),AND($F25="SR",$P25&lt;=4,$P25&gt;=3),AND($F25="R",$P25=4)),INDEX('卡片raw data'!BA:BA,MATCH($D25,'卡片raw data'!$F:$F,)),0)+IF($P25=5,INDEX('卡片raw data'!BB:BB,MATCH($D25,'卡片raw data'!$F:$F,)),0)))</f>
        <v>2.7E-2</v>
      </c>
      <c r="BT25" s="1101">
        <f t="shared" si="34"/>
        <v>1126.9303717815001</v>
      </c>
      <c r="BU25" s="1097">
        <f t="shared" si="35"/>
        <v>55.335258022575253</v>
      </c>
      <c r="BV25" s="1097">
        <f t="shared" si="36"/>
        <v>676.15822306889982</v>
      </c>
      <c r="BW25" s="1112">
        <f t="shared" si="37"/>
        <v>0</v>
      </c>
      <c r="BX25" s="1100">
        <f t="shared" si="38"/>
        <v>1126.9303717815001</v>
      </c>
      <c r="BY25" s="1110">
        <f t="shared" si="39"/>
        <v>676.15822306889982</v>
      </c>
      <c r="BZ25" s="1107" t="s">
        <v>569</v>
      </c>
      <c r="CA25" s="1124"/>
      <c r="CB25" s="1098">
        <f>IF($P25="","N/A",IF($P25=-1,INDEX('卡片raw data'!BE:BE,MATCH($D25,'卡片raw data'!$F:$F,)),0)+IF($L25="party卡",IF($P25=5,INDEX('卡片raw data'!BK:BK,MATCH($D25,'卡片raw data'!$F:$F,)),IF($P25&gt;=3,INDEX('卡片raw data'!BJ:BJ,MATCH($D25,'卡片raw data'!$F:$F,)),INDEX('卡片raw data'!BI:BI,MATCH($D25,'卡片raw data'!$F:$F,)))),IF(OR(AND($F25="UR",$P25=0),AND($F25="SR",$P25&gt;=0,$P25&lt;=2),AND($F25="R",$P25&gt;=0,$P25&lt;4)),INDEX('卡片raw data'!BG:BG,MATCH($D25,'卡片raw data'!$F:$F,)),0)+IF(OR(AND($F25="UR",$P25&gt;=1,$P25&lt;=4),AND($F25="SR",$P25&lt;=4,$P25&gt;=3),AND($F25="R",$P25=4)),INDEX('卡片raw data'!BH:BH,MATCH($D25,'卡片raw data'!$F:$F,)),0)+IF($P25=5,INDEX('卡片raw data'!BI:BI,MATCH($D25,'卡片raw data'!$F:$F,)),0)))</f>
        <v>0</v>
      </c>
      <c r="CC25" s="1101">
        <f t="shared" si="40"/>
        <v>0</v>
      </c>
      <c r="CD25" s="1097">
        <f>IF(BZ25="ap",CB25*(1-$FI$26)*$FB$5/$FB$11*(+IF(CA25="全员",$FA$24,0)+IF(CA25="同作战",$FA$24,0)+IF(CA25="仲间",$FA$24*2/3,0)+IF(CA25="同属性",$FA$24*$FA$37/3,0)+IF(CA25="同年级",$FA$24*$FA$40/3,0)+IF(CA25="同学校",$FA$24*$FA$43/3,0)+IF(CA25="同小队",$FA$24*$FA$46/3,0)+IF(CA25="同type",$FA$24*INDEX($FB$49:$FB$52,MATCH(X25,$FA$49:$FA$52,))/3,0)+IF(CA25="自身",#REF!/3,0)),0)+IF(BZ25="te",CB25*(1-$FI$27)*($FA$20-1)*$FB$7/$FB$13*(+IF(CA25="全员",$FA$19*$FA$24/(1+($FA$20-1)*$FA$19),0)+IF(CA25="同作战",$FA$19*$FA$24/(1+($FA$20-1)*$FA$19),0)+IF(CA25="仲间",$FA$19*$FA$24*2/3/(1+($FA$20-1)*$FA$19),0)+IF(CA25="同属性",$FA$19*$FA$24*$FA$37/3/(1+($FA$20-1)*$FA$19),0)+IF(CA25="同年级",$FA$19*$FA$24*$FA$40/3/(1+($FA$20-1)*$FA$19),0)+IF(CA25="同学校",$FA$19*$FA$24*$FA$43/3/(1+($FA$20-1)*$FA$19),0)+IF(CA25="同小队",$FA$19*$FA$24*$FA$46/3/(1+($FA$20-1)*$FA$19),0)+IF(CA25="同type",$FA$19*$FA$24*INDEX($FB$49:$FB$52,MATCH(X25,$FA$49:$FA$52,))/3/(1+($FA$20-1)*$FA$19),0)+IF(CA25="自身",$FA$19*#REF!/3/(1+(BH25-1)*$BD25),0)),0)</f>
        <v>0</v>
      </c>
      <c r="CE25" s="1097">
        <f t="shared" si="41"/>
        <v>0</v>
      </c>
      <c r="CF25" s="1112">
        <f t="shared" si="42"/>
        <v>0</v>
      </c>
      <c r="CG25" s="1100">
        <f t="shared" si="43"/>
        <v>0</v>
      </c>
      <c r="CH25" s="1110">
        <f t="shared" si="44"/>
        <v>0</v>
      </c>
      <c r="CI25" s="1113"/>
      <c r="CJ25" s="1114"/>
      <c r="CK25" s="1115" t="s">
        <v>569</v>
      </c>
      <c r="CL25" s="1115"/>
      <c r="CM25" s="1119"/>
      <c r="CN25" s="1115"/>
      <c r="CO25" s="1092"/>
      <c r="CP25" s="1117">
        <f t="shared" si="45"/>
        <v>0</v>
      </c>
      <c r="CQ25" s="1117">
        <f t="shared" si="46"/>
        <v>0</v>
      </c>
      <c r="CR25" s="1117">
        <f t="shared" si="47"/>
        <v>0</v>
      </c>
      <c r="CS25" s="1118">
        <f t="shared" si="48"/>
        <v>0</v>
      </c>
      <c r="CT25" s="1109">
        <f t="shared" si="49"/>
        <v>0</v>
      </c>
      <c r="CU25" s="1101">
        <f t="shared" si="50"/>
        <v>0</v>
      </c>
      <c r="CV25" s="1108">
        <f t="shared" si="51"/>
        <v>0</v>
      </c>
      <c r="CW25" s="1097">
        <f t="shared" si="52"/>
        <v>0</v>
      </c>
      <c r="CX25" s="1097">
        <f t="shared" si="53"/>
        <v>0</v>
      </c>
      <c r="CY25" s="1110">
        <f t="shared" si="54"/>
        <v>0</v>
      </c>
      <c r="CZ25" s="437"/>
      <c r="DA25" s="438"/>
      <c r="DB25" s="439" t="s">
        <v>569</v>
      </c>
      <c r="DC25" s="439"/>
      <c r="DD25" s="443"/>
      <c r="DE25" s="411"/>
      <c r="DF25" s="411"/>
      <c r="DG25" s="1116">
        <f t="shared" si="55"/>
        <v>0</v>
      </c>
      <c r="DH25" s="1116">
        <f t="shared" si="56"/>
        <v>0</v>
      </c>
      <c r="DI25" s="1116">
        <f t="shared" si="57"/>
        <v>0</v>
      </c>
      <c r="DJ25" s="442">
        <f t="shared" si="58"/>
        <v>0</v>
      </c>
      <c r="DK25" s="1109">
        <f t="shared" si="59"/>
        <v>0</v>
      </c>
      <c r="DL25" s="1101">
        <f t="shared" si="60"/>
        <v>0</v>
      </c>
      <c r="DM25" s="1097">
        <f t="shared" si="61"/>
        <v>0</v>
      </c>
      <c r="DN25" s="1097">
        <f t="shared" si="62"/>
        <v>0</v>
      </c>
      <c r="DO25" s="1097">
        <f t="shared" si="63"/>
        <v>0</v>
      </c>
      <c r="DP25" s="1110">
        <f t="shared" si="64"/>
        <v>0</v>
      </c>
      <c r="DQ25" s="1113" t="s">
        <v>635</v>
      </c>
      <c r="DR25" s="1120">
        <f t="shared" si="65"/>
        <v>0.3</v>
      </c>
      <c r="DS25" s="1124"/>
      <c r="DT25" s="1093" t="s">
        <v>546</v>
      </c>
      <c r="DU25" s="1093"/>
      <c r="DV25" s="1097">
        <f>IF($P25="","N/A",IF(P25=-1,INDEX('卡片raw data'!AN:AN,MATCH(D25,'卡片raw data'!$F:$F,)),0)+IF(AND(L25&lt;&gt;"party卡",P25&lt;=2,P25&gt;=0),INDEX('卡片raw data'!AP:AP,MATCH(D25,'卡片raw data'!$F:$F,)),0)+IF(OR(AND(L25="party卡",P25&lt;=1),AND(P25&lt;=4,L25&lt;&gt;"party卡",P25&gt;=3)),INDEX('卡片raw data'!AQ:AQ,MATCH(D25,'卡片raw data'!$F:$F,)),0)+IF(OR(P25=5,AND(L25="party卡",P25&gt;=2)),INDEX('卡片raw data'!AR:AR,MATCH(D25,'卡片raw data'!$F:$F,)),0))</f>
        <v>400</v>
      </c>
      <c r="DW25" s="1098">
        <f t="shared" si="66"/>
        <v>0.3</v>
      </c>
      <c r="DX25" s="1098">
        <f t="shared" si="67"/>
        <v>0.3</v>
      </c>
      <c r="DY25" s="1125">
        <f t="shared" si="68"/>
        <v>40</v>
      </c>
      <c r="DZ25" s="1125">
        <f t="shared" si="69"/>
        <v>34.6</v>
      </c>
      <c r="EA25" s="1098">
        <f t="shared" si="70"/>
        <v>0</v>
      </c>
      <c r="EB25" s="1121">
        <f t="shared" si="71"/>
        <v>0</v>
      </c>
      <c r="EC25" s="1101">
        <f t="shared" si="72"/>
        <v>0</v>
      </c>
      <c r="ED25" s="1097">
        <f t="shared" si="73"/>
        <v>0</v>
      </c>
      <c r="EE25" s="1110">
        <f t="shared" si="74"/>
        <v>3385.2562704674956</v>
      </c>
      <c r="EF25" s="1092" t="s">
        <v>711</v>
      </c>
      <c r="EG25" s="1120">
        <f t="shared" si="75"/>
        <v>0.3</v>
      </c>
      <c r="EH25" s="1124"/>
      <c r="EI25" s="1093"/>
      <c r="EJ25" s="1093"/>
      <c r="EK25" s="1097">
        <f>IF($P25="","N/A",IF(P25=-1,INDEX('卡片raw data'!AS:AS,MATCH(D25,'卡片raw data'!$F:$F,)),0)+IF(AND(L25&lt;&gt;"party卡",P25&lt;=2,P25&gt;=0),INDEX('卡片raw data'!AU:AU,MATCH(D25,'卡片raw data'!$F:$F,)),0)+IF(OR(AND(L25="party卡",P25&lt;=1),AND(P25&lt;=4,L25&lt;&gt;"party卡",P25&gt;=3)),INDEX('卡片raw data'!AV:AV,MATCH(D25,'卡片raw data'!$F:$F,)),0)+IF(OR(P25=5,AND(L25="party卡",P25&gt;=2)),INDEX('卡片raw data'!AW:AW,MATCH(D25,'卡片raw data'!$F:$F,)),0))</f>
        <v>0</v>
      </c>
      <c r="EL25" s="1098">
        <f t="shared" si="76"/>
        <v>0.3</v>
      </c>
      <c r="EM25" s="1098">
        <f t="shared" si="77"/>
        <v>0.3</v>
      </c>
      <c r="EN25" s="1125">
        <f t="shared" si="78"/>
        <v>0</v>
      </c>
      <c r="EO25" s="1125">
        <f t="shared" si="79"/>
        <v>0</v>
      </c>
      <c r="EP25" s="1098">
        <f t="shared" si="80"/>
        <v>0</v>
      </c>
      <c r="EQ25" s="1121">
        <f t="shared" si="81"/>
        <v>0</v>
      </c>
      <c r="ER25" s="1101">
        <f t="shared" si="82"/>
        <v>0</v>
      </c>
      <c r="ES25" s="1097">
        <f t="shared" si="83"/>
        <v>0</v>
      </c>
      <c r="ET25" s="1122">
        <f t="shared" si="84"/>
        <v>0</v>
      </c>
      <c r="EV25" s="1222" t="s">
        <v>244</v>
      </c>
      <c r="EW25" s="1325">
        <v>0.4</v>
      </c>
      <c r="EX25" s="1325"/>
      <c r="EY25" s="1212"/>
      <c r="EZ25" s="1221" t="s">
        <v>1996</v>
      </c>
      <c r="FA25" s="1321">
        <v>0.33</v>
      </c>
      <c r="FB25" s="1322"/>
      <c r="FC25" s="447"/>
      <c r="FD25" s="447"/>
      <c r="FE25" s="447"/>
      <c r="FF25" s="447"/>
      <c r="FG25" s="447"/>
      <c r="FH25" s="469" t="s">
        <v>4258</v>
      </c>
      <c r="FI25" s="1362">
        <v>50000</v>
      </c>
      <c r="FJ25" s="1363"/>
      <c r="FL25" s="467" t="s">
        <v>683</v>
      </c>
      <c r="FM25" s="1355">
        <v>6000</v>
      </c>
      <c r="FN25" s="1355"/>
    </row>
    <row r="26" spans="2:170" ht="16.5" customHeight="1">
      <c r="B26" s="1123" t="str">
        <f>INDEX('卡片raw data'!B:B,MATCH($D26,'卡片raw data'!$F:$F,))</f>
        <v>打工姬</v>
      </c>
      <c r="C26" s="449" t="s">
        <v>67</v>
      </c>
      <c r="D26" s="408">
        <v>23</v>
      </c>
      <c r="E26" s="1090">
        <v>100062001</v>
      </c>
      <c r="F26" s="1090" t="str">
        <f>INDEX('卡片raw data'!C:C,MATCH($D26,'卡片raw data'!$F:$F,))</f>
        <v>SR</v>
      </c>
      <c r="G26" s="1094" t="s">
        <v>336</v>
      </c>
      <c r="H26" s="411">
        <f>IFERROR(INDEX(绊状态确认!C:C,MATCH($G26,绊状态确认!$B:$B,)),"")</f>
        <v>6</v>
      </c>
      <c r="I26" s="450" t="str">
        <f>IFERROR(INDEX(绊状态确认!D:D,MATCH($G26,绊状态确认!$B:$B,)),"")</f>
        <v>缪</v>
      </c>
      <c r="J26" s="450" t="str">
        <f>IFERROR(INDEX(绊状态确认!E:E,MATCH($G26,绊状态确认!$B:$B,)),"")</f>
        <v>1年级</v>
      </c>
      <c r="K26" s="451" t="str">
        <f>IFERROR(INDEX(绊状态确认!F:F,MATCH($G26,绊状态确认!$B:$B,)),"")</f>
        <v>BiBi</v>
      </c>
      <c r="L26" s="1094" t="str">
        <f>INDEX('卡片raw data'!E:E,MATCH($D26,'卡片raw data'!$F:$F,))</f>
        <v>卡池卡</v>
      </c>
      <c r="M26" s="415">
        <v>43735</v>
      </c>
      <c r="N26" s="416">
        <v>0</v>
      </c>
      <c r="O26" s="1091" t="str">
        <f>INDEX('卡片raw data'!D:D,MATCH($D26,'卡片raw data'!$F:$F,))</f>
        <v>sp</v>
      </c>
      <c r="P26" s="417">
        <v>5</v>
      </c>
      <c r="Q26" s="1095">
        <f t="shared" si="0"/>
        <v>28350.482428948926</v>
      </c>
      <c r="R26" s="1096">
        <f t="shared" si="1"/>
        <v>0.32900000000000001</v>
      </c>
      <c r="S26" s="1097">
        <f t="shared" si="2"/>
        <v>16444.651450926405</v>
      </c>
      <c r="T26" s="1098">
        <f t="shared" si="3"/>
        <v>0.82199999999999995</v>
      </c>
      <c r="U26" s="1099">
        <f t="shared" si="4"/>
        <v>9.809670869142856</v>
      </c>
      <c r="V26" s="1100">
        <f t="shared" si="5"/>
        <v>27329.557107183569</v>
      </c>
      <c r="W26" s="1101">
        <f t="shared" si="6"/>
        <v>5465.9776257260255</v>
      </c>
      <c r="X26" s="1096">
        <f t="shared" si="7"/>
        <v>6.3E-2</v>
      </c>
      <c r="Y26" s="1097">
        <f t="shared" si="8"/>
        <v>779.07467823464503</v>
      </c>
      <c r="Z26" s="1102">
        <f t="shared" si="9"/>
        <v>9.809670869142856</v>
      </c>
      <c r="AA26" s="1103">
        <f t="shared" si="10"/>
        <v>6245.0523039606705</v>
      </c>
      <c r="AB26" s="1101">
        <f t="shared" si="11"/>
        <v>6159.2879557482684</v>
      </c>
      <c r="AC26" s="1104">
        <f t="shared" si="12"/>
        <v>7.0999999999999994E-2</v>
      </c>
      <c r="AD26" s="1105">
        <f t="shared" si="13"/>
        <v>-1.9908281250000003E-2</v>
      </c>
      <c r="AE26" s="1128">
        <f t="shared" si="14"/>
        <v>42.686625724637679</v>
      </c>
      <c r="AF26" s="1130">
        <f t="shared" si="15"/>
        <v>0</v>
      </c>
      <c r="AG26" s="420">
        <f t="shared" si="16"/>
        <v>0</v>
      </c>
      <c r="AH26" s="420">
        <f t="shared" si="17"/>
        <v>0</v>
      </c>
      <c r="AI26" s="1097">
        <f t="shared" si="18"/>
        <v>0</v>
      </c>
      <c r="AJ26" s="420">
        <f t="shared" si="19"/>
        <v>0</v>
      </c>
      <c r="AK26" s="518">
        <f t="shared" si="20"/>
        <v>0</v>
      </c>
      <c r="AL26" s="1106">
        <f>IF($P26="","N/A",(IF($P26=-1,INDEX('卡片raw data'!S:S,MATCH($D26,'卡片raw data'!$F:$F,)),0)+IF($P26=0,INDEX('卡片raw data'!V:V,MATCH($D26,'卡片raw data'!$F:$F,)),0)+IF($P26=1,INDEX('卡片raw data'!Y:Y,MATCH($D26,'卡片raw data'!$F:$F,)),0)+IF($P26=2,INDEX('卡片raw data'!AB:AB,MATCH($D26,'卡片raw data'!$F:$F,)),0)+IF($P26=3,INDEX('卡片raw data'!AE:AE,MATCH($D26,'卡片raw data'!$F:$F,)),0)+IF($P26=4,INDEX('卡片raw data'!AH:AH,MATCH($D26,'卡片raw data'!$F:$F,)),0)+IF($P26=5,INDEX('卡片raw data'!AK:AK,MATCH($D26,'卡片raw data'!$F:$F,)),0)+INDEX('卡片raw data'!S:S,MATCH($D26,'卡片raw data'!$F:$F,))*(IF($F26="UR",0.04,0.033))*(IF($F26="UR",INDEX(绊状态确认!$S:$S,MATCH($G26,绊状态确认!$B:$B,))/2-40)+IF($F26="SR",INDEX(绊状态确认!$R:$R,MATCH($G26,绊状态确认!$B:$B,))/4-15))+IF($F26="R",INDEX(绊状态确认!$Q:$Q,MATCH($G26,绊状态确认!$B:$B,))/6-40/6)))*(INDEX(绊状态确认!$H:$H,MATCH($G26,绊状态确认!$B:$B,))+INDEX(绊状态确认!J:J,MATCH($G26,绊状态确认!$B:$B,)))</f>
        <v>5671.8178559999997</v>
      </c>
      <c r="AM26" s="1106">
        <f>IF($P26="","N/A",(IF($P26=-1,INDEX('卡片raw data'!T:T,MATCH($D26,'卡片raw data'!$F:$F,)),0)+IF($P26=0,INDEX('卡片raw data'!W:W,MATCH($D26,'卡片raw data'!$F:$F,)),0)+IF($P26=1,INDEX('卡片raw data'!Z:Z,MATCH($D26,'卡片raw data'!$F:$F,)),0)+IF($P26=2,INDEX('卡片raw data'!AC:AC,MATCH($D26,'卡片raw data'!$F:$F,)),0)+IF($P26=3,INDEX('卡片raw data'!AF:AF,MATCH($D26,'卡片raw data'!$F:$F,)),0)+IF($P26=4,INDEX('卡片raw data'!AI:AI,MATCH($D26,'卡片raw data'!$F:$F,)),0)+IF($P26=5,INDEX('卡片raw data'!AL:AL,MATCH($D26,'卡片raw data'!$F:$F,)),0)+INDEX('卡片raw data'!T:T,MATCH($D26,'卡片raw data'!$F:$F,))*(IF($F26="UR",0.04,0.033))*(IF($F26="UR",INDEX(绊状态确认!$S:$S,MATCH($G26,绊状态确认!$B:$B,))/2-40)+IF($F26="SR",INDEX(绊状态确认!$R:$R,MATCH($G26,绊状态确认!$B:$B,))/4-15))+IF($F26="R",INDEX(绊状态确认!$Q:$Q,MATCH($G26,绊状态确认!$B:$B,))/6-40/6)))*(INDEX(绊状态确认!$H:$H,MATCH($G26,绊状态确认!$B:$B,))+INDEX(绊状态确认!K:K,MATCH($G26,绊状态确认!$B:$B,)))</f>
        <v>4726.5148799999988</v>
      </c>
      <c r="AN26" s="1106">
        <f>IF($P26="","N/A",(IF($P26=-1,INDEX('卡片raw data'!U:U,MATCH($D26,'卡片raw data'!$F:$F,)),0)+IF($P26=0,INDEX('卡片raw data'!X:X,MATCH($D26,'卡片raw data'!$F:$F,)),0)+IF($P26=1,INDEX('卡片raw data'!AA:AA,MATCH($D26,'卡片raw data'!$F:$F,)),0)+IF($P26=2,INDEX('卡片raw data'!AD:AD,MATCH($D26,'卡片raw data'!$F:$F,)),0)+IF($P26=3,INDEX('卡片raw data'!AG:AG,MATCH($D26,'卡片raw data'!$F:$F,)),0)+IF($P26=4,INDEX('卡片raw data'!AJ:AJ,MATCH($D26,'卡片raw data'!$F:$F,)),0)+IF($P26=5,INDEX('卡片raw data'!AM:AM,MATCH($D26,'卡片raw data'!$F:$F,)),0)+INDEX('卡片raw data'!U:U,MATCH($D26,'卡片raw data'!$F:$F,))*(IF($F26="UR",0.04,0.033))*(IF($F26="UR",INDEX(绊状态确认!$S:$S,MATCH($G26,绊状态确认!$B:$B,))/2-40)+IF($F26="SR",INDEX(绊状态确认!$R:$R,MATCH($G26,绊状态确认!$B:$B,))/4-15))+IF($F26="R",INDEX(绊状态确认!$Q:$Q,MATCH($G26,绊状态确认!$B:$B,))/6-40/6)))*(INDEX(绊状态确认!$H:$H,MATCH($G26,绊状态确认!$B:$B,))+INDEX(绊状态确认!L:L,MATCH($G26,绊状态确认!$B:$B,)))</f>
        <v>8507.7267839999986</v>
      </c>
      <c r="AO26" s="1107">
        <f t="shared" si="21"/>
        <v>1</v>
      </c>
      <c r="AP26" s="1131">
        <f>1+(INDEX(绊状态确认!$T:$T,MATCH($G26,绊状态确认!$B:$B,))+0.2)*$AO26</f>
        <v>1.3</v>
      </c>
      <c r="AQ26" s="1108">
        <f t="shared" si="22"/>
        <v>18138.521871999998</v>
      </c>
      <c r="AR26" s="1097">
        <f>(AM26*(1+$EX$9)+$EX$35)*(1+(INDEX(绊状态确认!$T:$T,MATCH($G26,绊状态确认!$B:$B,))+0.2)*AO26)*IF(J26=$FF$17,1+$FE$17,1)*IF(I26=$FF$14,1+$FE$14,1)</f>
        <v>9155.6928111999987</v>
      </c>
      <c r="AS26" s="1097">
        <f>(AN26*(1+$EX$10)+$EX$36)*(1+(INDEX(绊状态确认!$T:$T,MATCH($G26,绊状态确认!$B:$B,))+0.2)*AO26)*IF(J26=$FF$17,1+$FE$17,1)*IF(I26=$FF$14,1+$FE$14,1)</f>
        <v>16775.051542079997</v>
      </c>
      <c r="AT26" s="1093">
        <f>IF(AND(INDEX('卡片raw data'!AK:AK,MATCH($D26,'卡片raw data'!$F:$F,))&lt;INDEX('卡片raw data'!AM:AM,MATCH($D26,'卡片raw data'!$F:$F,)),INDEX('卡片raw data'!AL:AL,MATCH($D26,'卡片raw data'!$F:$F,))&lt;INDEX('卡片raw data'!AM:AM,MATCH($D26,'卡片raw data'!$F:$F,))),1,0)</f>
        <v>1</v>
      </c>
      <c r="AU26" s="1098">
        <f>MIN(AT26*0.15+AS26*0.00003+INDEX(绊状态确认!M:M,MATCH($G26,绊状态确认!$B:$B,)),1)</f>
        <v>0.68325154626239992</v>
      </c>
      <c r="AV26" s="1109">
        <f>(INDEX(绊状态确认!$N:$N,MATCH($G26,绊状态确认!$B:$B,))+1.5)*$EW$21</f>
        <v>2.6599999999999997</v>
      </c>
      <c r="AW26" s="1101">
        <f t="shared" si="23"/>
        <v>20104.527806533992</v>
      </c>
      <c r="AX26" s="1097">
        <f t="shared" si="24"/>
        <v>779.07467823464469</v>
      </c>
      <c r="AY26" s="1110">
        <f t="shared" si="25"/>
        <v>20883.602484768635</v>
      </c>
      <c r="AZ26" s="429">
        <f t="shared" si="26"/>
        <v>13660.044819199999</v>
      </c>
      <c r="BA26" s="431">
        <f t="shared" si="27"/>
        <v>16392.053783039999</v>
      </c>
      <c r="BB26" s="1097">
        <f>(AM26*(1+$FB$9)+$FB$35)*(1+(INDEX(绊状态确认!$T:$T,MATCH($G26,绊状态确认!$B:$B,))+0.2)*AO26)*IF(J26=$FF$17,1+$FE$17,1)*IF(I26=$FF$14,1+$FE$14,1)*(1+$FE$15)</f>
        <v>9155.6928111999987</v>
      </c>
      <c r="BC26" s="1097">
        <f>(AN26*(1+$FB$10)+$FB$36)*(1+(INDEX(绊状态确认!$T:$T,MATCH($G26,绊状态确认!$B:$B,))+0.2)*AO26)*IF(J26=$FF$17,1+$FE$17,1)*IF(I26=$FF$14,1+$FE$14,1)*(1+$FE$15)</f>
        <v>16775.051542079997</v>
      </c>
      <c r="BD26" s="1104">
        <f>MIN(AT26*0.15+BC26*0.00003+INDEX(绊状态确认!M:M,MATCH($G26,绊状态确认!$B:$B,)),1)</f>
        <v>0.68325154626239992</v>
      </c>
      <c r="BE26" s="432">
        <f>(INDEX(绊状态确认!$N:$N,MATCH($G26,绊状态确认!$B:$B,))+1.5)</f>
        <v>1.9</v>
      </c>
      <c r="BF26" s="1139">
        <f t="array" ref="BF26">SUMPRODUCT(IF(AZ26*AP26*$FI$16:$FI$23*$FA$22&gt;=$FI$24,$FI$24,AZ26*AP26*$FI$16:$FI$23*$FA$22),$FJ$16:$FJ$23)</f>
        <v>27169.829145388805</v>
      </c>
      <c r="BG26" s="1125">
        <f t="array" ref="BG26">SUMPRODUCT(IF(BE26*AZ26*AP26*$FI$16:$FI$23*$FA$22&gt;=$FI$24,$FI$24,BE26*AZ26*AP26*$FI$16:$FI$23*$FA$22),$FJ$16:$FJ$23)</f>
        <v>51138.760415971832</v>
      </c>
      <c r="BH26" s="1110">
        <f t="shared" si="28"/>
        <v>14515.546166090615</v>
      </c>
      <c r="BI26" s="1111">
        <f>IF(O26="vo",$EW$26/$EW$24*0.05,0)+IF(O26="sk",-$EW$26/$EW$24*(0.05-INDEX(绊状态确认!W:W,MATCH($G26,绊状态确认!$B:$B,)))+0.05*$EW$28,0)+IF(O26="sp",0.05*$EW$32*$EW$30*(1-$EW$33)-(0.05-INDEX(绊状态确认!V:V,MATCH($G26,绊状态确认!$B:$B,)))*$EW$28,0)+IF(O26="gd",-(0.05-INDEX(绊状态确认!X:X,MATCH($G26,绊状态确认!$B:$B,)))*$EW$32*$EW$30*(1-$EW$33),0)</f>
        <v>19.999999999999886</v>
      </c>
      <c r="BJ26" s="1097">
        <f>IF(O26="vo",0.05*(1-$FI$26)*$FA$24,0)+IF(O26="sk",-(0.05-INDEX(绊状态确认!W:W,MATCH($G26,绊状态确认!$B:$B,)))*(1-$FI$26)*$FA$24+0.05*$FA$26,0)+IF(O26="sp",0.05*$FA$32*$FA$27*(1-$FA$33)/$FA$30+0.05*$FA$29/$FA$69*$FA$27*(1-$FA$33)-(0.05-INDEX(绊状态确认!V:V,MATCH($G26,绊状态确认!$B:$B,)))*$FA$26,0)+IF(O26="gd",-(0.05-INDEX(绊状态确认!X:X,MATCH($G26,绊状态确认!$B:$B,)))*$FA$32*$FA$27*(1-$FA$33)/$FA$30-(0.05-INDEX(绊状态确认!X:X,MATCH($G26,绊状态确认!$B:$B,)))*$FA$29/$FA$69*$FA$27*(1-$FA$33),0)</f>
        <v>545.83333333333326</v>
      </c>
      <c r="BK26" s="1110">
        <f>IF(O26="vo",$EW$26/$EW$24*0.05+$EW$26*(-HP($EW$62,$EW$65,$EW$64)+HP($EW$62,$EW$65,(1.05-INDEX(绊状态确认!U:U,MATCH($G26,绊状态确认!$B:$B,)))*$EW$64)),0)+IF(O26="sk",-$EW$26/$EW$24*(0.05-INDEX(绊状态确认!W:W,MATCH($G26,绊状态确认!$B:$B,)))+0.05*$EW$29,0)+IF(O26="sp",0.05*$EW$32*$EW$30*(1-$EW$33)-(0.05-INDEX(绊状态确认!V:V,MATCH($G26,绊状态确认!$B:$B,)))*$EW$29,0)+IF(O26="gd",-(0.05-INDEX(绊状态确认!X:X,MATCH($G26,绊状态确认!$B:$B,)))*$EW$32*$EW$30*(1-$EW$33)+$EW$26*(-HP($EW$62,$EW$65,$EW$64)+HP($EW$62,$EW$65,0.95*$EW$64)),0)</f>
        <v>-1780.0000000000005</v>
      </c>
      <c r="BL26" s="1111">
        <f t="shared" si="29"/>
        <v>-1083.3333333333333</v>
      </c>
      <c r="BM26" s="1110">
        <f t="shared" si="30"/>
        <v>-830.55555555555543</v>
      </c>
      <c r="BN26" s="1113">
        <f t="shared" si="31"/>
        <v>3</v>
      </c>
      <c r="BO26" s="1097">
        <f t="shared" si="32"/>
        <v>4507.7214871259994</v>
      </c>
      <c r="BP26" s="1100">
        <f t="shared" si="33"/>
        <v>221.34103209030098</v>
      </c>
      <c r="BQ26" s="1113" t="s">
        <v>616</v>
      </c>
      <c r="BR26" s="1124" t="s">
        <v>620</v>
      </c>
      <c r="BS26" s="1098">
        <f>IF($P26="","N/A",IF($P26=-1,INDEX('卡片raw data'!AX:AX,MATCH($D26,'卡片raw data'!$F:$F,)),0)+IF($L26="party卡",IF($P26=5,INDEX('卡片raw data'!BD:BD,MATCH($D26,'卡片raw data'!$F:$F,)),IF($P26&gt;=3,INDEX('卡片raw data'!BC:BC,MATCH($D26,'卡片raw data'!$F:$F,)),INDEX('卡片raw data'!BB:BB,MATCH($D26,'卡片raw data'!$F:$F,)))),IF(OR(AND($F26="UR",$P26=0),AND($F26="SR",$P26&gt;=0,$P26&lt;=2),AND($F26="R",$P26&gt;=0,$P26&lt;4)),INDEX('卡片raw data'!AZ:AZ,MATCH($D26,'卡片raw data'!$F:$F,)),0)+IF(OR(AND($F26="UR",$P26&gt;=1,$P26&lt;=4),AND($F26="SR",$P26&lt;=4,$P26&gt;=3),AND($F26="R",$P26=4)),INDEX('卡片raw data'!BA:BA,MATCH($D26,'卡片raw data'!$F:$F,)),0)+IF($P26=5,INDEX('卡片raw data'!BB:BB,MATCH($D26,'卡片raw data'!$F:$F,)),0)))</f>
        <v>4.2000000000000003E-2</v>
      </c>
      <c r="BT26" s="1101">
        <f t="shared" si="34"/>
        <v>1584.7093257651256</v>
      </c>
      <c r="BU26" s="1097">
        <f t="shared" si="35"/>
        <v>171.9406416343781</v>
      </c>
      <c r="BV26" s="1097">
        <f t="shared" si="36"/>
        <v>891.39899574288302</v>
      </c>
      <c r="BW26" s="1112">
        <f t="shared" si="37"/>
        <v>0</v>
      </c>
      <c r="BX26" s="1100">
        <f t="shared" si="38"/>
        <v>1584.7093257651256</v>
      </c>
      <c r="BY26" s="1110">
        <f t="shared" si="39"/>
        <v>891.39899574288302</v>
      </c>
      <c r="BZ26" s="1107" t="s">
        <v>569</v>
      </c>
      <c r="CA26" s="1124"/>
      <c r="CB26" s="1098">
        <f>IF($P26="","N/A",IF($P26=-1,INDEX('卡片raw data'!BE:BE,MATCH($D26,'卡片raw data'!$F:$F,)),0)+IF($L26="party卡",IF($P26=5,INDEX('卡片raw data'!BK:BK,MATCH($D26,'卡片raw data'!$F:$F,)),IF($P26&gt;=3,INDEX('卡片raw data'!BJ:BJ,MATCH($D26,'卡片raw data'!$F:$F,)),INDEX('卡片raw data'!BI:BI,MATCH($D26,'卡片raw data'!$F:$F,)))),IF(OR(AND($F26="UR",$P26=0),AND($F26="SR",$P26&gt;=0,$P26&lt;=2),AND($F26="R",$P26&gt;=0,$P26&lt;4)),INDEX('卡片raw data'!BG:BG,MATCH($D26,'卡片raw data'!$F:$F,)),0)+IF(OR(AND($F26="UR",$P26&gt;=1,$P26&lt;=4),AND($F26="SR",$P26&lt;=4,$P26&gt;=3),AND($F26="R",$P26=4)),INDEX('卡片raw data'!BH:BH,MATCH($D26,'卡片raw data'!$F:$F,)),0)+IF($P26=5,INDEX('卡片raw data'!BI:BI,MATCH($D26,'卡片raw data'!$F:$F,)),0)))</f>
        <v>0</v>
      </c>
      <c r="CC26" s="1101">
        <f t="shared" si="40"/>
        <v>0</v>
      </c>
      <c r="CD26" s="1097">
        <f>IF(BZ26="ap",CB26*(1-$FI$26)*$FB$5/$FB$11*(+IF(CA26="全员",$FA$24,0)+IF(CA26="同作战",$FA$24,0)+IF(CA26="仲间",$FA$24*2/3,0)+IF(CA26="同属性",$FA$24*$FA$37/3,0)+IF(CA26="同年级",$FA$24*$FA$40/3,0)+IF(CA26="同学校",$FA$24*$FA$43/3,0)+IF(CA26="同小队",$FA$24*$FA$46/3,0)+IF(CA26="同type",$FA$24*INDEX($FB$49:$FB$52,MATCH(X26,$FA$49:$FA$52,))/3,0)+IF(CA26="自身",#REF!/3,0)),0)+IF(BZ26="te",CB26*(1-$FI$27)*($FA$20-1)*$FB$7/$FB$13*(+IF(CA26="全员",$FA$19*$FA$24/(1+($FA$20-1)*$FA$19),0)+IF(CA26="同作战",$FA$19*$FA$24/(1+($FA$20-1)*$FA$19),0)+IF(CA26="仲间",$FA$19*$FA$24*2/3/(1+($FA$20-1)*$FA$19),0)+IF(CA26="同属性",$FA$19*$FA$24*$FA$37/3/(1+($FA$20-1)*$FA$19),0)+IF(CA26="同年级",$FA$19*$FA$24*$FA$40/3/(1+($FA$20-1)*$FA$19),0)+IF(CA26="同学校",$FA$19*$FA$24*$FA$43/3/(1+($FA$20-1)*$FA$19),0)+IF(CA26="同小队",$FA$19*$FA$24*$FA$46/3/(1+($FA$20-1)*$FA$19),0)+IF(CA26="同type",$FA$19*$FA$24*INDEX($FB$49:$FB$52,MATCH(X26,$FA$49:$FA$52,))/3/(1+($FA$20-1)*$FA$19),0)+IF(CA26="自身",$FA$19*#REF!/3/(1+(BH26-1)*$BD26),0)),0)</f>
        <v>0</v>
      </c>
      <c r="CE26" s="1097">
        <f t="shared" si="41"/>
        <v>0</v>
      </c>
      <c r="CF26" s="1112">
        <f t="shared" si="42"/>
        <v>0</v>
      </c>
      <c r="CG26" s="1100">
        <f t="shared" si="43"/>
        <v>0</v>
      </c>
      <c r="CH26" s="1110">
        <f t="shared" si="44"/>
        <v>0</v>
      </c>
      <c r="CI26" s="1113" t="s">
        <v>162</v>
      </c>
      <c r="CJ26" s="1114">
        <v>0.3</v>
      </c>
      <c r="CK26" s="1115" t="s">
        <v>565</v>
      </c>
      <c r="CL26" s="1115" t="s">
        <v>161</v>
      </c>
      <c r="CM26" s="1119">
        <v>0.08</v>
      </c>
      <c r="CN26" s="1115">
        <v>10</v>
      </c>
      <c r="CO26" s="1092"/>
      <c r="CP26" s="1118">
        <f t="shared" si="45"/>
        <v>5.1428571428571426E-3</v>
      </c>
      <c r="CQ26" s="1118">
        <f t="shared" si="46"/>
        <v>8.0000000000000002E-3</v>
      </c>
      <c r="CR26" s="1118">
        <f t="shared" si="47"/>
        <v>5.1428571428571426E-3</v>
      </c>
      <c r="CS26" s="1118">
        <f t="shared" si="48"/>
        <v>0</v>
      </c>
      <c r="CT26" s="1109">
        <f t="shared" si="49"/>
        <v>1.375</v>
      </c>
      <c r="CU26" s="1101">
        <f t="shared" si="50"/>
        <v>66.857142857142847</v>
      </c>
      <c r="CV26" s="1108">
        <f t="shared" si="51"/>
        <v>79.73333333333332</v>
      </c>
      <c r="CW26" s="1097">
        <f t="shared" si="52"/>
        <v>66.857142857142847</v>
      </c>
      <c r="CX26" s="1097">
        <f t="shared" si="53"/>
        <v>66.857142857142847</v>
      </c>
      <c r="CY26" s="1110">
        <f t="shared" si="54"/>
        <v>66.857142857142847</v>
      </c>
      <c r="CZ26" s="437"/>
      <c r="DA26" s="438"/>
      <c r="DB26" s="439" t="s">
        <v>569</v>
      </c>
      <c r="DC26" s="439"/>
      <c r="DD26" s="443"/>
      <c r="DE26" s="411"/>
      <c r="DF26" s="411"/>
      <c r="DG26" s="1116">
        <f t="shared" si="55"/>
        <v>0</v>
      </c>
      <c r="DH26" s="1116">
        <f t="shared" si="56"/>
        <v>0</v>
      </c>
      <c r="DI26" s="1116">
        <f t="shared" si="57"/>
        <v>0</v>
      </c>
      <c r="DJ26" s="442">
        <f t="shared" si="58"/>
        <v>0</v>
      </c>
      <c r="DK26" s="1109">
        <f t="shared" si="59"/>
        <v>0</v>
      </c>
      <c r="DL26" s="1101">
        <f t="shared" si="60"/>
        <v>0</v>
      </c>
      <c r="DM26" s="1097">
        <f t="shared" si="61"/>
        <v>0</v>
      </c>
      <c r="DN26" s="1097">
        <f t="shared" si="62"/>
        <v>0</v>
      </c>
      <c r="DO26" s="1097">
        <f t="shared" si="63"/>
        <v>0</v>
      </c>
      <c r="DP26" s="1110">
        <f t="shared" si="64"/>
        <v>0</v>
      </c>
      <c r="DQ26" s="1113" t="s">
        <v>549</v>
      </c>
      <c r="DR26" s="1120">
        <f t="shared" si="65"/>
        <v>0.3</v>
      </c>
      <c r="DS26" s="1124"/>
      <c r="DT26" s="1093" t="s">
        <v>179</v>
      </c>
      <c r="DU26" s="1093"/>
      <c r="DV26" s="1098">
        <f>IF($P26="","N/A",IF(P26=-1,INDEX('卡片raw data'!AN:AN,MATCH(D26,'卡片raw data'!$F:$F,)),0)+IF(AND(L26&lt;&gt;"party卡",P26&lt;=2,P26&gt;=0),INDEX('卡片raw data'!AP:AP,MATCH(D26,'卡片raw data'!$F:$F,)),0)+IF(OR(AND(L26="party卡",P26&lt;=1),AND(P26&lt;=4,L26&lt;&gt;"party卡",P26&gt;=3)),INDEX('卡片raw data'!AQ:AQ,MATCH(D26,'卡片raw data'!$F:$F,)),0)+IF(OR(P26=5,AND(L26="party卡",P26&gt;=2)),INDEX('卡片raw data'!AR:AR,MATCH(D26,'卡片raw data'!$F:$F,)),0))</f>
        <v>7.0000000000000007E-2</v>
      </c>
      <c r="DW26" s="1098">
        <f t="shared" si="66"/>
        <v>0.3</v>
      </c>
      <c r="DX26" s="1098">
        <f t="shared" si="67"/>
        <v>0.3</v>
      </c>
      <c r="DY26" s="1098">
        <f t="shared" si="68"/>
        <v>7.0000000000000001E-3</v>
      </c>
      <c r="DZ26" s="1098">
        <f t="shared" si="69"/>
        <v>6.9632499999999998E-3</v>
      </c>
      <c r="EA26" s="1098">
        <f t="shared" si="70"/>
        <v>0</v>
      </c>
      <c r="EB26" s="1121">
        <f t="shared" si="71"/>
        <v>42.663074999999999</v>
      </c>
      <c r="EC26" s="1101">
        <f t="shared" si="72"/>
        <v>3150</v>
      </c>
      <c r="ED26" s="1097">
        <f t="shared" si="73"/>
        <v>1740.8125</v>
      </c>
      <c r="EE26" s="1110">
        <f t="shared" si="74"/>
        <v>3150</v>
      </c>
      <c r="EF26" s="1092" t="s">
        <v>711</v>
      </c>
      <c r="EG26" s="1120">
        <f t="shared" si="75"/>
        <v>0.3</v>
      </c>
      <c r="EH26" s="1124"/>
      <c r="EI26" s="1093"/>
      <c r="EJ26" s="1093"/>
      <c r="EK26" s="1097">
        <f>IF($P26="","N/A",IF(P26=-1,INDEX('卡片raw data'!AS:AS,MATCH(D26,'卡片raw data'!$F:$F,)),0)+IF(AND(L26&lt;&gt;"party卡",P26&lt;=2,P26&gt;=0),INDEX('卡片raw data'!AU:AU,MATCH(D26,'卡片raw data'!$F:$F,)),0)+IF(OR(AND(L26="party卡",P26&lt;=1),AND(P26&lt;=4,L26&lt;&gt;"party卡",P26&gt;=3)),INDEX('卡片raw data'!AV:AV,MATCH(D26,'卡片raw data'!$F:$F,)),0)+IF(OR(P26=5,AND(L26="party卡",P26&gt;=2)),INDEX('卡片raw data'!AW:AW,MATCH(D26,'卡片raw data'!$F:$F,)),0))</f>
        <v>0</v>
      </c>
      <c r="EL26" s="1098">
        <f t="shared" si="76"/>
        <v>0.3</v>
      </c>
      <c r="EM26" s="1098">
        <f t="shared" si="77"/>
        <v>0.3</v>
      </c>
      <c r="EN26" s="1125">
        <f t="shared" si="78"/>
        <v>0</v>
      </c>
      <c r="EO26" s="1125">
        <f t="shared" si="79"/>
        <v>0</v>
      </c>
      <c r="EP26" s="1098">
        <f t="shared" si="80"/>
        <v>0</v>
      </c>
      <c r="EQ26" s="1121">
        <f t="shared" si="81"/>
        <v>0</v>
      </c>
      <c r="ER26" s="1101">
        <f t="shared" si="82"/>
        <v>0</v>
      </c>
      <c r="ES26" s="1097">
        <f t="shared" si="83"/>
        <v>0</v>
      </c>
      <c r="ET26" s="1122">
        <f t="shared" si="84"/>
        <v>0</v>
      </c>
      <c r="EV26" s="1221" t="s">
        <v>1</v>
      </c>
      <c r="EW26" s="1327">
        <f>EX$16*(1+($EW$22-1)*EW$19)*(1+EW$23)*(EW$24)*(1+EW$25)*EW$66</f>
        <v>169978.66441037625</v>
      </c>
      <c r="EX26" s="1327"/>
      <c r="EY26" s="1212"/>
      <c r="EZ26" s="1225" t="s">
        <v>2380</v>
      </c>
      <c r="FA26" s="1330">
        <v>7500</v>
      </c>
      <c r="FB26" s="1330"/>
      <c r="FC26" s="447"/>
      <c r="FD26" s="447"/>
      <c r="FE26" s="447"/>
      <c r="FF26" s="447"/>
      <c r="FG26" s="447"/>
      <c r="FH26" s="454" t="s">
        <v>10</v>
      </c>
      <c r="FI26" s="1360">
        <f>(1-FH33)</f>
        <v>0.86499999999999999</v>
      </c>
      <c r="FJ26" s="1361"/>
      <c r="FL26" s="454" t="s">
        <v>684</v>
      </c>
      <c r="FM26" s="1358">
        <v>200</v>
      </c>
      <c r="FN26" s="1359"/>
    </row>
    <row r="27" spans="2:170" ht="16.5" customHeight="1">
      <c r="B27" s="1123" t="str">
        <f>INDEX('卡片raw data'!B:B,MATCH($D27,'卡片raw data'!$F:$F,))</f>
        <v>初始姬</v>
      </c>
      <c r="C27" s="449" t="s">
        <v>66</v>
      </c>
      <c r="D27" s="408">
        <v>24</v>
      </c>
      <c r="E27" s="1090">
        <v>100063001</v>
      </c>
      <c r="F27" s="1090" t="str">
        <f>INDEX('卡片raw data'!C:C,MATCH($D27,'卡片raw data'!$F:$F,))</f>
        <v>UR</v>
      </c>
      <c r="G27" s="1094" t="s">
        <v>29</v>
      </c>
      <c r="H27" s="411">
        <f>IFERROR(INDEX(绊状态确认!C:C,MATCH($G27,绊状态确认!$B:$B,)),"")</f>
        <v>6</v>
      </c>
      <c r="I27" s="450" t="str">
        <f>IFERROR(INDEX(绊状态确认!D:D,MATCH($G27,绊状态确认!$B:$B,)),"")</f>
        <v>缪</v>
      </c>
      <c r="J27" s="450" t="str">
        <f>IFERROR(INDEX(绊状态确认!E:E,MATCH($G27,绊状态确认!$B:$B,)),"")</f>
        <v>1年级</v>
      </c>
      <c r="K27" s="451" t="str">
        <f>IFERROR(INDEX(绊状态确认!F:F,MATCH($G27,绊状态确认!$B:$B,)),"")</f>
        <v>BiBi</v>
      </c>
      <c r="L27" s="1094" t="str">
        <f>INDEX('卡片raw data'!E:E,MATCH($D27,'卡片raw data'!$F:$F,))</f>
        <v>卡池卡</v>
      </c>
      <c r="M27" s="415">
        <v>43735</v>
      </c>
      <c r="N27" s="416">
        <v>0</v>
      </c>
      <c r="O27" s="1091" t="str">
        <f>INDEX('卡片raw data'!D:D,MATCH($D27,'卡片raw data'!$F:$F,))</f>
        <v>sk</v>
      </c>
      <c r="P27" s="417">
        <v>5</v>
      </c>
      <c r="Q27" s="1095">
        <f t="shared" si="0"/>
        <v>50635.451604178568</v>
      </c>
      <c r="R27" s="1096">
        <f t="shared" si="1"/>
        <v>0.58799999999999997</v>
      </c>
      <c r="S27" s="1097">
        <f t="shared" si="2"/>
        <v>20473.009400278701</v>
      </c>
      <c r="T27" s="1098">
        <f t="shared" si="3"/>
        <v>1.0229999999999999</v>
      </c>
      <c r="U27" s="1099">
        <f t="shared" si="4"/>
        <v>10.536290711142856</v>
      </c>
      <c r="V27" s="1100">
        <f t="shared" si="5"/>
        <v>53473.475957129383</v>
      </c>
      <c r="W27" s="1101">
        <f t="shared" si="6"/>
        <v>6216.0132116896712</v>
      </c>
      <c r="X27" s="1096">
        <f t="shared" si="7"/>
        <v>7.1999999999999995E-2</v>
      </c>
      <c r="Y27" s="1097">
        <f t="shared" si="8"/>
        <v>838.02435295081159</v>
      </c>
      <c r="Z27" s="1102">
        <f t="shared" si="9"/>
        <v>10.536290711142856</v>
      </c>
      <c r="AA27" s="1103">
        <f t="shared" si="10"/>
        <v>7054.0375646404827</v>
      </c>
      <c r="AB27" s="1101">
        <f t="shared" si="11"/>
        <v>7518.2438635260723</v>
      </c>
      <c r="AC27" s="1104">
        <f t="shared" si="12"/>
        <v>8.6999999999999994E-2</v>
      </c>
      <c r="AD27" s="1105">
        <f t="shared" si="13"/>
        <v>3.0652670306818182E-2</v>
      </c>
      <c r="AE27" s="1128">
        <f t="shared" si="14"/>
        <v>16.275242472152353</v>
      </c>
      <c r="AF27" s="1130">
        <f t="shared" si="15"/>
        <v>0</v>
      </c>
      <c r="AG27" s="420">
        <f t="shared" si="16"/>
        <v>0</v>
      </c>
      <c r="AH27" s="420">
        <f t="shared" si="17"/>
        <v>0</v>
      </c>
      <c r="AI27" s="1097">
        <f t="shared" si="18"/>
        <v>0</v>
      </c>
      <c r="AJ27" s="420">
        <f t="shared" si="19"/>
        <v>0</v>
      </c>
      <c r="AK27" s="518">
        <f t="shared" si="20"/>
        <v>0</v>
      </c>
      <c r="AL27" s="1106">
        <f>IF($P27="","N/A",(IF($P27=-1,INDEX('卡片raw data'!S:S,MATCH($D27,'卡片raw data'!$F:$F,)),0)+IF($P27=0,INDEX('卡片raw data'!V:V,MATCH($D27,'卡片raw data'!$F:$F,)),0)+IF($P27=1,INDEX('卡片raw data'!Y:Y,MATCH($D27,'卡片raw data'!$F:$F,)),0)+IF($P27=2,INDEX('卡片raw data'!AB:AB,MATCH($D27,'卡片raw data'!$F:$F,)),0)+IF($P27=3,INDEX('卡片raw data'!AE:AE,MATCH($D27,'卡片raw data'!$F:$F,)),0)+IF($P27=4,INDEX('卡片raw data'!AH:AH,MATCH($D27,'卡片raw data'!$F:$F,)),0)+IF($P27=5,INDEX('卡片raw data'!AK:AK,MATCH($D27,'卡片raw data'!$F:$F,)),0)+INDEX('卡片raw data'!S:S,MATCH($D27,'卡片raw data'!$F:$F,))*(IF($F27="UR",0.04,0.033))*(IF($F27="UR",INDEX(绊状态确认!$S:$S,MATCH($G27,绊状态确认!$B:$B,))/2-40)+IF($F27="SR",INDEX(绊状态确认!$R:$R,MATCH($G27,绊状态确认!$B:$B,))/4-15))+IF($F27="R",INDEX(绊状态确认!$Q:$Q,MATCH($G27,绊状态确认!$B:$B,))/6-40/6)))*(INDEX(绊状态确认!$H:$H,MATCH($G27,绊状态确认!$B:$B,))+INDEX(绊状态确认!J:J,MATCH($G27,绊状态确认!$B:$B,)))</f>
        <v>14748.881039999998</v>
      </c>
      <c r="AM27" s="1106">
        <f>IF($P27="","N/A",(IF($P27=-1,INDEX('卡片raw data'!T:T,MATCH($D27,'卡片raw data'!$F:$F,)),0)+IF($P27=0,INDEX('卡片raw data'!W:W,MATCH($D27,'卡片raw data'!$F:$F,)),0)+IF($P27=1,INDEX('卡片raw data'!Z:Z,MATCH($D27,'卡片raw data'!$F:$F,)),0)+IF($P27=2,INDEX('卡片raw data'!AC:AC,MATCH($D27,'卡片raw data'!$F:$F,)),0)+IF($P27=3,INDEX('卡片raw data'!AF:AF,MATCH($D27,'卡片raw data'!$F:$F,)),0)+IF($P27=4,INDEX('卡片raw data'!AI:AI,MATCH($D27,'卡片raw data'!$F:$F,)),0)+IF($P27=5,INDEX('卡片raw data'!AL:AL,MATCH($D27,'卡片raw data'!$F:$F,)),0)+INDEX('卡片raw data'!T:T,MATCH($D27,'卡片raw data'!$F:$F,))*(IF($F27="UR",0.04,0.033))*(IF($F27="UR",INDEX(绊状态确认!$S:$S,MATCH($G27,绊状态确认!$B:$B,))/2-40)+IF($F27="SR",INDEX(绊状态确认!$R:$R,MATCH($G27,绊状态确认!$B:$B,))/4-15))+IF($F27="R",INDEX(绊状态确认!$Q:$Q,MATCH($G27,绊状态确认!$B:$B,))/6-40/6)))*(INDEX(绊状态确认!$H:$H,MATCH($G27,绊状态确认!$B:$B,))+INDEX(绊状态确认!K:K,MATCH($G27,绊状态确认!$B:$B,)))</f>
        <v>5223.3489599999994</v>
      </c>
      <c r="AN27" s="1106">
        <f>IF($P27="","N/A",(IF($P27=-1,INDEX('卡片raw data'!U:U,MATCH($D27,'卡片raw data'!$F:$F,)),0)+IF($P27=0,INDEX('卡片raw data'!X:X,MATCH($D27,'卡片raw data'!$F:$F,)),0)+IF($P27=1,INDEX('卡片raw data'!AA:AA,MATCH($D27,'卡片raw data'!$F:$F,)),0)+IF($P27=2,INDEX('卡片raw data'!AD:AD,MATCH($D27,'卡片raw data'!$F:$F,)),0)+IF($P27=3,INDEX('卡片raw data'!AG:AG,MATCH($D27,'卡片raw data'!$F:$F,)),0)+IF($P27=4,INDEX('卡片raw data'!AJ:AJ,MATCH($D27,'卡片raw data'!$F:$F,)),0)+IF($P27=5,INDEX('卡片raw data'!AM:AM,MATCH($D27,'卡片raw data'!$F:$F,)),0)+INDEX('卡片raw data'!U:U,MATCH($D27,'卡片raw data'!$F:$F,))*(IF($F27="UR",0.04,0.033))*(IF($F27="UR",INDEX(绊状态确认!$S:$S,MATCH($G27,绊状态确认!$B:$B,))/2-40)+IF($F27="SR",INDEX(绊状态确认!$R:$R,MATCH($G27,绊状态确认!$B:$B,))/4-15))+IF($F27="R",INDEX(绊状态确认!$Q:$Q,MATCH($G27,绊状态确认!$B:$B,))/6-40/6)))*(INDEX(绊状态确认!$H:$H,MATCH($G27,绊状态确认!$B:$B,))+INDEX(绊状态确认!L:L,MATCH($G27,绊状态确认!$B:$B,)))</f>
        <v>10754.889599999999</v>
      </c>
      <c r="AO27" s="1107">
        <f t="shared" si="21"/>
        <v>1</v>
      </c>
      <c r="AP27" s="1131">
        <f>1+(INDEX(绊状态确认!$T:$T,MATCH($G27,绊状态确认!$B:$B,))+0.2)*$AO27</f>
        <v>1.3</v>
      </c>
      <c r="AQ27" s="1108">
        <f t="shared" si="22"/>
        <v>41965.812729999998</v>
      </c>
      <c r="AR27" s="1097">
        <f>(AM27*(1+$EX$9)+$EX$35)*(1+(INDEX(绊状态确认!$T:$T,MATCH($G27,绊状态确认!$B:$B,))+0.2)*AO27)*IF(J27=$FF$17,1+$FE$17,1)*IF(I27=$FF$14,1+$FE$14,1)*(1+$FE$15)</f>
        <v>9833.8713303999994</v>
      </c>
      <c r="AS27" s="1097">
        <f>(AN27*(1+$EX$10)+$EX$36)*(1+(INDEX(绊状态确认!$T:$T,MATCH($G27,绊状态确认!$B:$B,))+0.2)*AO27)*IF(J27=$FF$17,1+$FE$17,1)*IF(I27=$FF$14,1+$FE$14,1)*(1+$FE$15)</f>
        <v>20134.559951999996</v>
      </c>
      <c r="AT27" s="1093">
        <f>IF(AND(INDEX('卡片raw data'!AK:AK,MATCH($D27,'卡片raw data'!$F:$F,))&lt;INDEX('卡片raw data'!AM:AM,MATCH($D27,'卡片raw data'!$F:$F,)),INDEX('卡片raw data'!AL:AL,MATCH($D27,'卡片raw data'!$F:$F,))&lt;INDEX('卡片raw data'!AM:AM,MATCH($D27,'卡片raw data'!$F:$F,))),1,0)</f>
        <v>0</v>
      </c>
      <c r="AU27" s="1098">
        <f>MIN(AT27*0.15+AS27*0.00003+INDEX(绊状态确认!M:M,MATCH($G27,绊状态确认!$B:$B,)),1)</f>
        <v>0.63403679855999995</v>
      </c>
      <c r="AV27" s="1109">
        <f>(INDEX(绊状态确认!$N:$N,MATCH($G27,绊状态确认!$B:$B,))+1.5)*$EW$21</f>
        <v>2.6599999999999997</v>
      </c>
      <c r="AW27" s="1101">
        <f t="shared" si="23"/>
        <v>44733.862410507376</v>
      </c>
      <c r="AX27" s="1097">
        <f t="shared" si="24"/>
        <v>838.02435295081148</v>
      </c>
      <c r="AY27" s="1110">
        <f t="shared" si="25"/>
        <v>45571.886763458184</v>
      </c>
      <c r="AZ27" s="429">
        <f t="shared" si="26"/>
        <v>31360.318027999998</v>
      </c>
      <c r="BA27" s="431">
        <f t="shared" si="27"/>
        <v>37632.381633599995</v>
      </c>
      <c r="BB27" s="1097">
        <f>(AM27*(1+$FB$9)+$FB$35)*(1+(INDEX(绊状态确认!$T:$T,MATCH($G27,绊状态确认!$B:$B,))+0.2)*AO27)*IF(J27=$FF$17,1+$FE$17,1)*IF(I27=$FF$14,1+$FE$14,1)*(1+$FE$15)</f>
        <v>9833.8713303999994</v>
      </c>
      <c r="BC27" s="1097">
        <f>(AN27*(1+$FB$10)+$FB$36)*(1+(INDEX(绊状态确认!$T:$T,MATCH($G27,绊状态确认!$B:$B,))+0.2)*AO27)*IF(J27=$FF$17,1+$FE$17,1)*IF(I27=$FF$14,1+$FE$14,1)*(1+$FE$15)</f>
        <v>20134.559951999996</v>
      </c>
      <c r="BD27" s="1104">
        <f>MIN(AT27*0.15+BC27*0.00003+INDEX(绊状态确认!M:M,MATCH($G27,绊状态确认!$B:$B,)),1)</f>
        <v>0.63403679855999995</v>
      </c>
      <c r="BE27" s="432">
        <f>(INDEX(绊状态确认!$N:$N,MATCH($G27,绊状态确认!$B:$B,))+1.5)</f>
        <v>1.9</v>
      </c>
      <c r="BF27" s="1139">
        <f t="array" ref="BF27">SUMPRODUCT(IF(AZ27*AP27*$FI$16:$FI$23*$FA$22&gt;=$FI$24,$FI$24,AZ27*AP27*$FI$16:$FI$23*$FA$22),$FJ$16:$FJ$23)</f>
        <v>57607.259121292002</v>
      </c>
      <c r="BG27" s="1125">
        <f t="array" ref="BG27">SUMPRODUCT(IF(BE27*AZ27*AP27*$FI$16:$FI$23*$FA$22&gt;=$FI$24,$FI$24,BE27*AZ27*AP27*$FI$16:$FI$23*$FA$22),$FJ$16:$FJ$23)</f>
        <v>60000</v>
      </c>
      <c r="BH27" s="1110">
        <f t="shared" si="28"/>
        <v>19708.114962603886</v>
      </c>
      <c r="BI27" s="1111">
        <f>IF(O27="vo",$EW$26/$EW$24*0.05,0)+IF(O27="sk",-$EW$26/$EW$24*(0.05-INDEX(绊状态确认!W:W,MATCH($G27,绊状态确认!$B:$B,)))+0.05*$EW$28,0)+IF(O27="sp",0.05*$EW$32*$EW$30*(1-$EW$33)-(0.05-INDEX(绊状态确认!V:V,MATCH($G27,绊状态确认!$B:$B,)))*$EW$28,0)+IF(O27="gd",-(0.05-INDEX(绊状态确认!X:X,MATCH($G27,绊状态确认!$B:$B,)))*$EW$32*$EW$30*(1-$EW$33),0)</f>
        <v>-6253.6726349699375</v>
      </c>
      <c r="BJ27" s="1097">
        <f>IF(O27="vo",0.05*(1-$FI$26)*$FA$24,0)+IF(O27="sk",-(0.05-INDEX(绊状态确认!W:W,MATCH($G27,绊状态确认!$B:$B,)))*(1-$FI$26)*$FA$24+0.05*$FA$26,0)+IF(O27="sp",0.05*$FA$32*$FA$27*(1-$FA$33)/$FA$30+0.05*$FA$29/$FA$69*$FA$27*(1-$FA$33)-(0.05-INDEX(绊状态确认!V:V,MATCH($G27,绊状态确认!$B:$B,)))*$FA$26,0)+IF(O27="gd",-(0.05-INDEX(绊状态确认!X:X,MATCH($G27,绊状态确认!$B:$B,)))*$FA$32*$FA$27*(1-$FA$33)/$FA$30-(0.05-INDEX(绊状态确认!X:X,MATCH($G27,绊状态确认!$B:$B,)))*$FA$29/$FA$69*$FA$27*(1-$FA$33),0)</f>
        <v>20.459096812499922</v>
      </c>
      <c r="BK27" s="1110">
        <f>IF(O27="vo",$EW$26/$EW$24*0.05+$EW$26*(-HP($EW$62,$EW$65,$EW$64)+HP($EW$62,$EW$65,(1.05-INDEX(绊状态确认!U:U,MATCH($G27,绊状态确认!$B:$B,)))*$EW$64)),0)+IF(O27="sk",-$EW$26/$EW$24*(0.05-INDEX(绊状态确认!W:W,MATCH($G27,绊状态确认!$B:$B,)))+0.05*$EW$29,0)+IF(O27="sp",0.05*$EW$32*$EW$30*(1-$EW$33)-(0.05-INDEX(绊状态确认!V:V,MATCH($G27,绊状态确认!$B:$B,)))*$EW$29,0)+IF(O27="gd",-(0.05-INDEX(绊状态确认!X:X,MATCH($G27,绊状态确认!$B:$B,)))*$EW$32*$EW$30*(1-$EW$33)+$EW$26*(-HP($EW$62,$EW$65,$EW$64)+HP($EW$62,$EW$65,0.95*$EW$64)),0)</f>
        <v>-4253.6726349699375</v>
      </c>
      <c r="BL27" s="1111">
        <f t="shared" si="29"/>
        <v>0</v>
      </c>
      <c r="BM27" s="1110">
        <f t="shared" si="30"/>
        <v>0</v>
      </c>
      <c r="BN27" s="1113">
        <f t="shared" si="31"/>
        <v>3</v>
      </c>
      <c r="BO27" s="1097">
        <f t="shared" si="32"/>
        <v>4507.7214871259994</v>
      </c>
      <c r="BP27" s="1100">
        <f t="shared" si="33"/>
        <v>221.34103209030098</v>
      </c>
      <c r="BQ27" s="1113" t="s">
        <v>143</v>
      </c>
      <c r="BR27" s="1124" t="s">
        <v>148</v>
      </c>
      <c r="BS27" s="1098">
        <f>IF($P27="","N/A",IF($P27=-1,INDEX('卡片raw data'!AX:AX,MATCH($D27,'卡片raw data'!$F:$F,)),0)+IF($L27="party卡",IF($P27=5,INDEX('卡片raw data'!BD:BD,MATCH($D27,'卡片raw data'!$F:$F,)),IF($P27&gt;=3,INDEX('卡片raw data'!BC:BC,MATCH($D27,'卡片raw data'!$F:$F,)),INDEX('卡片raw data'!BB:BB,MATCH($D27,'卡片raw data'!$F:$F,)))),IF(OR(AND($F27="UR",$P27=0),AND($F27="SR",$P27&gt;=0,$P27&lt;=2),AND($F27="R",$P27&gt;=0,$P27&lt;4)),INDEX('卡片raw data'!AZ:AZ,MATCH($D27,'卡片raw data'!$F:$F,)),0)+IF(OR(AND($F27="UR",$P27&gt;=1,$P27&lt;=4),AND($F27="SR",$P27&lt;=4,$P27&gt;=3),AND($F27="R",$P27=4)),INDEX('卡片raw data'!BA:BA,MATCH($D27,'卡片raw data'!$F:$F,)),0)+IF($P27=5,INDEX('卡片raw data'!BB:BB,MATCH($D27,'卡片raw data'!$F:$F,)),0)))</f>
        <v>5.1999999999999998E-2</v>
      </c>
      <c r="BT27" s="1101">
        <f t="shared" si="34"/>
        <v>2604.4613036728001</v>
      </c>
      <c r="BU27" s="1097">
        <f t="shared" si="35"/>
        <v>111.90018844565216</v>
      </c>
      <c r="BV27" s="1097">
        <f t="shared" si="36"/>
        <v>1302.2306518363998</v>
      </c>
      <c r="BW27" s="1112">
        <f t="shared" si="37"/>
        <v>0</v>
      </c>
      <c r="BX27" s="1100">
        <f t="shared" si="38"/>
        <v>2604.4613036728001</v>
      </c>
      <c r="BY27" s="1110">
        <f t="shared" si="39"/>
        <v>1302.2306518363998</v>
      </c>
      <c r="BZ27" s="1107" t="s">
        <v>569</v>
      </c>
      <c r="CA27" s="1124"/>
      <c r="CB27" s="1098">
        <f>IF($P27="","N/A",IF($P27=-1,INDEX('卡片raw data'!BE:BE,MATCH($D27,'卡片raw data'!$F:$F,)),0)+IF($L27="party卡",IF($P27=5,INDEX('卡片raw data'!BK:BK,MATCH($D27,'卡片raw data'!$F:$F,)),IF($P27&gt;=3,INDEX('卡片raw data'!BJ:BJ,MATCH($D27,'卡片raw data'!$F:$F,)),INDEX('卡片raw data'!BI:BI,MATCH($D27,'卡片raw data'!$F:$F,)))),IF(OR(AND($F27="UR",$P27=0),AND($F27="SR",$P27&gt;=0,$P27&lt;=2),AND($F27="R",$P27&gt;=0,$P27&lt;4)),INDEX('卡片raw data'!BG:BG,MATCH($D27,'卡片raw data'!$F:$F,)),0)+IF(OR(AND($F27="UR",$P27&gt;=1,$P27&lt;=4),AND($F27="SR",$P27&lt;=4,$P27&gt;=3),AND($F27="R",$P27=4)),INDEX('卡片raw data'!BH:BH,MATCH($D27,'卡片raw data'!$F:$F,)),0)+IF($P27=5,INDEX('卡片raw data'!BI:BI,MATCH($D27,'卡片raw data'!$F:$F,)),0)))</f>
        <v>0</v>
      </c>
      <c r="CC27" s="1101">
        <f t="shared" si="40"/>
        <v>0</v>
      </c>
      <c r="CD27" s="1097">
        <f>IF(BZ27="ap",CB27*(1-$FI$26)*$FB$5/$FB$11*(+IF(CA27="全员",$FA$24,0)+IF(CA27="同作战",$FA$24,0)+IF(CA27="仲间",$FA$24*2/3,0)+IF(CA27="同属性",$FA$24*$FA$37/3,0)+IF(CA27="同年级",$FA$24*$FA$40/3,0)+IF(CA27="同学校",$FA$24*$FA$43/3,0)+IF(CA27="同小队",$FA$24*$FA$46/3,0)+IF(CA27="同type",$FA$24*INDEX($FB$49:$FB$52,MATCH(X27,$FA$49:$FA$52,))/3,0)+IF(CA27="自身",#REF!/3,0)),0)+IF(BZ27="te",CB27*(1-$FI$27)*($FA$20-1)*$FB$7/$FB$13*(+IF(CA27="全员",$FA$19*$FA$24/(1+($FA$20-1)*$FA$19),0)+IF(CA27="同作战",$FA$19*$FA$24/(1+($FA$20-1)*$FA$19),0)+IF(CA27="仲间",$FA$19*$FA$24*2/3/(1+($FA$20-1)*$FA$19),0)+IF(CA27="同属性",$FA$19*$FA$24*$FA$37/3/(1+($FA$20-1)*$FA$19),0)+IF(CA27="同年级",$FA$19*$FA$24*$FA$40/3/(1+($FA$20-1)*$FA$19),0)+IF(CA27="同学校",$FA$19*$FA$24*$FA$43/3/(1+($FA$20-1)*$FA$19),0)+IF(CA27="同小队",$FA$19*$FA$24*$FA$46/3/(1+($FA$20-1)*$FA$19),0)+IF(CA27="同type",$FA$19*$FA$24*INDEX($FB$49:$FB$52,MATCH(X27,$FA$49:$FA$52,))/3/(1+($FA$20-1)*$FA$19),0)+IF(CA27="自身",$FA$19*#REF!/3/(1+(BH27-1)*$BD27),0)),0)</f>
        <v>0</v>
      </c>
      <c r="CE27" s="1097">
        <f t="shared" si="41"/>
        <v>0</v>
      </c>
      <c r="CF27" s="1112">
        <f t="shared" si="42"/>
        <v>0</v>
      </c>
      <c r="CG27" s="1100">
        <f t="shared" si="43"/>
        <v>0</v>
      </c>
      <c r="CH27" s="1110">
        <f t="shared" si="44"/>
        <v>0</v>
      </c>
      <c r="CI27" s="1113" t="s">
        <v>162</v>
      </c>
      <c r="CJ27" s="1114">
        <v>0.3</v>
      </c>
      <c r="CK27" s="1115" t="s">
        <v>154</v>
      </c>
      <c r="CL27" s="1115" t="s">
        <v>161</v>
      </c>
      <c r="CM27" s="1119">
        <v>1.7000000000000001E-2</v>
      </c>
      <c r="CN27" s="1115" t="s">
        <v>163</v>
      </c>
      <c r="CO27" s="1092">
        <v>1</v>
      </c>
      <c r="CP27" s="1118">
        <f t="shared" si="45"/>
        <v>9.5714395714285722E-3</v>
      </c>
      <c r="CQ27" s="1118">
        <f t="shared" si="46"/>
        <v>9.5714395714285722E-3</v>
      </c>
      <c r="CR27" s="1118">
        <f t="shared" si="47"/>
        <v>9.5714395714285722E-3</v>
      </c>
      <c r="CS27" s="1118">
        <f t="shared" si="48"/>
        <v>8.8833521249999971E-3</v>
      </c>
      <c r="CT27" s="1109">
        <f t="shared" si="49"/>
        <v>0</v>
      </c>
      <c r="CU27" s="1101">
        <f t="shared" si="50"/>
        <v>406.06107272727274</v>
      </c>
      <c r="CV27" s="1108">
        <f t="shared" si="51"/>
        <v>217.53271753246756</v>
      </c>
      <c r="CW27" s="1097">
        <f t="shared" si="52"/>
        <v>406.06107272727274</v>
      </c>
      <c r="CX27" s="1097">
        <f t="shared" si="53"/>
        <v>406.06107272727274</v>
      </c>
      <c r="CY27" s="1110">
        <f t="shared" si="54"/>
        <v>406.06107272727274</v>
      </c>
      <c r="CZ27" s="437"/>
      <c r="DA27" s="438"/>
      <c r="DB27" s="439" t="s">
        <v>569</v>
      </c>
      <c r="DC27" s="439"/>
      <c r="DD27" s="443"/>
      <c r="DE27" s="411"/>
      <c r="DF27" s="411"/>
      <c r="DG27" s="1116">
        <f t="shared" si="55"/>
        <v>0</v>
      </c>
      <c r="DH27" s="1116">
        <f t="shared" si="56"/>
        <v>0</v>
      </c>
      <c r="DI27" s="1116">
        <f t="shared" si="57"/>
        <v>0</v>
      </c>
      <c r="DJ27" s="442">
        <f t="shared" si="58"/>
        <v>0</v>
      </c>
      <c r="DK27" s="1109">
        <f t="shared" si="59"/>
        <v>0</v>
      </c>
      <c r="DL27" s="1101">
        <f t="shared" si="60"/>
        <v>0</v>
      </c>
      <c r="DM27" s="1097">
        <f t="shared" si="61"/>
        <v>0</v>
      </c>
      <c r="DN27" s="1097">
        <f t="shared" si="62"/>
        <v>0</v>
      </c>
      <c r="DO27" s="1097">
        <f t="shared" si="63"/>
        <v>0</v>
      </c>
      <c r="DP27" s="1110">
        <f t="shared" si="64"/>
        <v>0</v>
      </c>
      <c r="DQ27" s="1113" t="s">
        <v>153</v>
      </c>
      <c r="DR27" s="1120">
        <f t="shared" si="65"/>
        <v>0.33</v>
      </c>
      <c r="DS27" s="1124">
        <v>5</v>
      </c>
      <c r="DT27" s="1093" t="s">
        <v>161</v>
      </c>
      <c r="DU27" s="1093" t="s">
        <v>544</v>
      </c>
      <c r="DV27" s="1098">
        <f>IF($P27="","N/A",IF(P27=-1,INDEX('卡片raw data'!AN:AN,MATCH(D27,'卡片raw data'!$F:$F,)),0)+IF(AND(L27&lt;&gt;"party卡",P27&lt;=2,P27&gt;=0),INDEX('卡片raw data'!AP:AP,MATCH(D27,'卡片raw data'!$F:$F,)),0)+IF(OR(AND(L27="party卡",P27&lt;=1),AND(P27&lt;=4,L27&lt;&gt;"party卡",P27&gt;=3)),INDEX('卡片raw data'!AQ:AQ,MATCH(D27,'卡片raw data'!$F:$F,)),0)+IF(OR(P27=5,AND(L27="party卡",P27&gt;=2)),INDEX('卡片raw data'!AR:AR,MATCH(D27,'卡片raw data'!$F:$F,)),0))</f>
        <v>6.2E-2</v>
      </c>
      <c r="DW27" s="1098">
        <f t="shared" si="66"/>
        <v>0.33</v>
      </c>
      <c r="DX27" s="1098">
        <f t="shared" si="67"/>
        <v>0.33</v>
      </c>
      <c r="DY27" s="1098">
        <f t="shared" si="68"/>
        <v>3.4100000000000005E-2</v>
      </c>
      <c r="DZ27" s="1098">
        <f t="shared" si="69"/>
        <v>2.9496500000000005E-2</v>
      </c>
      <c r="EA27" s="1098">
        <f t="shared" si="70"/>
        <v>0</v>
      </c>
      <c r="EB27" s="1121">
        <f t="shared" si="71"/>
        <v>0</v>
      </c>
      <c r="EC27" s="1101">
        <f t="shared" si="72"/>
        <v>4637.0179651150647</v>
      </c>
      <c r="ED27" s="1097">
        <f t="shared" si="73"/>
        <v>193.66140279389066</v>
      </c>
      <c r="EE27" s="1110">
        <f t="shared" si="74"/>
        <v>4637.0179651150647</v>
      </c>
      <c r="EF27" s="1092" t="s">
        <v>711</v>
      </c>
      <c r="EG27" s="1120">
        <f t="shared" si="75"/>
        <v>0.33</v>
      </c>
      <c r="EH27" s="1124"/>
      <c r="EI27" s="1093"/>
      <c r="EJ27" s="1093"/>
      <c r="EK27" s="1097">
        <f>IF($P27="","N/A",IF(P27=-1,INDEX('卡片raw data'!AS:AS,MATCH(D27,'卡片raw data'!$F:$F,)),0)+IF(AND(L27&lt;&gt;"party卡",P27&lt;=2,P27&gt;=0),INDEX('卡片raw data'!AU:AU,MATCH(D27,'卡片raw data'!$F:$F,)),0)+IF(OR(AND(L27="party卡",P27&lt;=1),AND(P27&lt;=4,L27&lt;&gt;"party卡",P27&gt;=3)),INDEX('卡片raw data'!AV:AV,MATCH(D27,'卡片raw data'!$F:$F,)),0)+IF(OR(P27=5,AND(L27="party卡",P27&gt;=2)),INDEX('卡片raw data'!AW:AW,MATCH(D27,'卡片raw data'!$F:$F,)),0))</f>
        <v>0</v>
      </c>
      <c r="EL27" s="1098">
        <f t="shared" si="76"/>
        <v>0.33</v>
      </c>
      <c r="EM27" s="1098">
        <f t="shared" si="77"/>
        <v>0.33</v>
      </c>
      <c r="EN27" s="1125">
        <f t="shared" si="78"/>
        <v>0</v>
      </c>
      <c r="EO27" s="1125">
        <f t="shared" si="79"/>
        <v>0</v>
      </c>
      <c r="EP27" s="1098">
        <f t="shared" si="80"/>
        <v>0</v>
      </c>
      <c r="EQ27" s="1121">
        <f t="shared" si="81"/>
        <v>0</v>
      </c>
      <c r="ER27" s="1101">
        <f t="shared" si="82"/>
        <v>0</v>
      </c>
      <c r="ES27" s="1097">
        <f t="shared" si="83"/>
        <v>0</v>
      </c>
      <c r="ET27" s="1122">
        <f t="shared" si="84"/>
        <v>0</v>
      </c>
      <c r="EV27" s="1221" t="s">
        <v>1996</v>
      </c>
      <c r="EW27" s="1321">
        <v>0.33</v>
      </c>
      <c r="EX27" s="1322"/>
      <c r="EY27" s="1212"/>
      <c r="EZ27" s="1221" t="s">
        <v>3</v>
      </c>
      <c r="FA27" s="1327">
        <v>250000</v>
      </c>
      <c r="FB27" s="1327"/>
      <c r="FC27" s="447"/>
      <c r="FD27" s="447"/>
      <c r="FE27" s="447"/>
      <c r="FF27" s="447"/>
      <c r="FG27" s="447"/>
      <c r="FH27" s="459" t="s">
        <v>11</v>
      </c>
      <c r="FI27" s="1364">
        <f>(1-FH34)</f>
        <v>0.72790236931537855</v>
      </c>
      <c r="FJ27" s="1365"/>
      <c r="FL27" s="454" t="s">
        <v>701</v>
      </c>
      <c r="FM27" s="1358">
        <f>1+FM9*3*0.05*(FN6-FN8)</f>
        <v>1.03125</v>
      </c>
      <c r="FN27" s="1359"/>
    </row>
    <row r="28" spans="2:170" ht="16.5" customHeight="1">
      <c r="B28" s="1123" t="str">
        <f>INDEX('卡片raw data'!B:B,MATCH($D28,'卡片raw data'!$F:$F,))</f>
        <v>校服希</v>
      </c>
      <c r="C28" s="449" t="s">
        <v>123</v>
      </c>
      <c r="D28" s="408">
        <v>25</v>
      </c>
      <c r="E28" s="1090">
        <v>100071001</v>
      </c>
      <c r="F28" s="1090" t="str">
        <f>INDEX('卡片raw data'!C:C,MATCH($D28,'卡片raw data'!$F:$F,))</f>
        <v>R</v>
      </c>
      <c r="G28" s="1094" t="s">
        <v>140</v>
      </c>
      <c r="H28" s="411">
        <f>IFERROR(INDEX(绊状态确认!C:C,MATCH($G28,绊状态确认!$B:$B,)),"")</f>
        <v>7</v>
      </c>
      <c r="I28" s="450" t="str">
        <f>IFERROR(INDEX(绊状态确认!D:D,MATCH($G28,绊状态确认!$B:$B,)),"")</f>
        <v>缪</v>
      </c>
      <c r="J28" s="450" t="str">
        <f>IFERROR(INDEX(绊状态确认!E:E,MATCH($G28,绊状态确认!$B:$B,)),"")</f>
        <v>3年级</v>
      </c>
      <c r="K28" s="451" t="str">
        <f>IFERROR(INDEX(绊状态确认!F:F,MATCH($G28,绊状态确认!$B:$B,)),"")</f>
        <v>lilywhite</v>
      </c>
      <c r="L28" s="1094" t="str">
        <f>INDEX('卡片raw data'!E:E,MATCH($D28,'卡片raw data'!$F:$F,))</f>
        <v>卡池卡</v>
      </c>
      <c r="M28" s="415">
        <v>43735</v>
      </c>
      <c r="N28" s="416">
        <v>0</v>
      </c>
      <c r="O28" s="1091" t="str">
        <f>INDEX('卡片raw data'!D:D,MATCH($D28,'卡片raw data'!$F:$F,))</f>
        <v>gd</v>
      </c>
      <c r="P28" s="417">
        <v>5</v>
      </c>
      <c r="Q28" s="1095">
        <f t="shared" si="0"/>
        <v>15342.952331748655</v>
      </c>
      <c r="R28" s="1096">
        <f t="shared" si="1"/>
        <v>0.17799999999999999</v>
      </c>
      <c r="S28" s="1097">
        <f t="shared" si="2"/>
        <v>7244.3857092825256</v>
      </c>
      <c r="T28" s="1098">
        <f t="shared" si="3"/>
        <v>0.36199999999999999</v>
      </c>
      <c r="U28" s="1099">
        <f t="shared" si="4"/>
        <v>68.163973322142851</v>
      </c>
      <c r="V28" s="1100">
        <f t="shared" si="5"/>
        <v>20514.001283218786</v>
      </c>
      <c r="W28" s="1101">
        <f t="shared" si="6"/>
        <v>3005.1476580839999</v>
      </c>
      <c r="X28" s="1096">
        <f t="shared" si="7"/>
        <v>3.4000000000000002E-2</v>
      </c>
      <c r="Y28" s="1097">
        <f t="shared" si="8"/>
        <v>646.20547171990029</v>
      </c>
      <c r="Z28" s="1102">
        <f t="shared" si="9"/>
        <v>8.1639733221428568</v>
      </c>
      <c r="AA28" s="1103">
        <f t="shared" si="10"/>
        <v>3651.3531298039002</v>
      </c>
      <c r="AB28" s="1101">
        <f t="shared" si="11"/>
        <v>5834.9857398074382</v>
      </c>
      <c r="AC28" s="1104">
        <f t="shared" si="12"/>
        <v>6.7000000000000004E-2</v>
      </c>
      <c r="AD28" s="1105">
        <f t="shared" si="13"/>
        <v>-3.8207812500000026E-3</v>
      </c>
      <c r="AE28" s="1128">
        <f t="shared" si="14"/>
        <v>-28.942028985507246</v>
      </c>
      <c r="AF28" s="1130">
        <f t="shared" si="15"/>
        <v>870.98542169999996</v>
      </c>
      <c r="AG28" s="420">
        <f t="shared" si="16"/>
        <v>108812.76656600001</v>
      </c>
      <c r="AH28" s="420">
        <f t="shared" si="17"/>
        <v>124.93064046194702</v>
      </c>
      <c r="AI28" s="1097">
        <f t="shared" si="18"/>
        <v>-130169.54484356591</v>
      </c>
      <c r="AJ28" s="420">
        <f t="shared" si="19"/>
        <v>20514.001283218786</v>
      </c>
      <c r="AK28" s="518">
        <f t="shared" si="20"/>
        <v>-150683.5461267847</v>
      </c>
      <c r="AL28" s="1106">
        <f>IF($P28="","N/A",(IF($P28=-1,INDEX('卡片raw data'!S:S,MATCH($D28,'卡片raw data'!$F:$F,)),0)+IF($P28=0,INDEX('卡片raw data'!V:V,MATCH($D28,'卡片raw data'!$F:$F,)),0)+IF($P28=1,INDEX('卡片raw data'!Y:Y,MATCH($D28,'卡片raw data'!$F:$F,)),0)+IF($P28=2,INDEX('卡片raw data'!AB:AB,MATCH($D28,'卡片raw data'!$F:$F,)),0)+IF($P28=3,INDEX('卡片raw data'!AE:AE,MATCH($D28,'卡片raw data'!$F:$F,)),0)+IF($P28=4,INDEX('卡片raw data'!AH:AH,MATCH($D28,'卡片raw data'!$F:$F,)),0)+IF($P28=5,INDEX('卡片raw data'!AK:AK,MATCH($D28,'卡片raw data'!$F:$F,)),0)+INDEX('卡片raw data'!S:S,MATCH($D28,'卡片raw data'!$F:$F,))*(IF($F28="UR",0.04,0.033))*(IF($F28="UR",INDEX(绊状态确认!$S:$S,MATCH($G28,绊状态确认!$B:$B,))/2-40)+IF($F28="SR",INDEX(绊状态确认!$R:$R,MATCH($G28,绊状态确认!$B:$B,))/4-15))+IF($F28="R",INDEX(绊状态确认!$Q:$Q,MATCH($G28,绊状态确认!$B:$B,))/6-40/6)))*(INDEX(绊状态确认!$H:$H,MATCH($G28,绊状态确认!$B:$B,))+INDEX(绊状态确认!J:J,MATCH($G28,绊状态确认!$B:$B,)))</f>
        <v>3601.2515999999996</v>
      </c>
      <c r="AM28" s="1106">
        <f>IF($P28="","N/A",(IF($P28=-1,INDEX('卡片raw data'!T:T,MATCH($D28,'卡片raw data'!$F:$F,)),0)+IF($P28=0,INDEX('卡片raw data'!W:W,MATCH($D28,'卡片raw data'!$F:$F,)),0)+IF($P28=1,INDEX('卡片raw data'!Z:Z,MATCH($D28,'卡片raw data'!$F:$F,)),0)+IF($P28=2,INDEX('卡片raw data'!AC:AC,MATCH($D28,'卡片raw data'!$F:$F,)),0)+IF($P28=3,INDEX('卡片raw data'!AF:AF,MATCH($D28,'卡片raw data'!$F:$F,)),0)+IF($P28=4,INDEX('卡片raw data'!AI:AI,MATCH($D28,'卡片raw data'!$F:$F,)),0)+IF($P28=5,INDEX('卡片raw data'!AL:AL,MATCH($D28,'卡片raw data'!$F:$F,)),0)+INDEX('卡片raw data'!T:T,MATCH($D28,'卡片raw data'!$F:$F,))*(IF($F28="UR",0.04,0.033))*(IF($F28="UR",INDEX(绊状态确认!$S:$S,MATCH($G28,绊状态确认!$B:$B,))/2-40)+IF($F28="SR",INDEX(绊状态确认!$R:$R,MATCH($G28,绊状态确认!$B:$B,))/4-15))+IF($F28="R",INDEX(绊状态确认!$Q:$Q,MATCH($G28,绊状态确认!$B:$B,))/6-40/6)))*(INDEX(绊状态确认!$H:$H,MATCH($G28,绊状态确认!$B:$B,))+INDEX(绊状态确认!K:K,MATCH($G28,绊状态确认!$B:$B,)))</f>
        <v>3601.2515999999996</v>
      </c>
      <c r="AN28" s="1106">
        <f>IF($P28="","N/A",(IF($P28=-1,INDEX('卡片raw data'!U:U,MATCH($D28,'卡片raw data'!$F:$F,)),0)+IF($P28=0,INDEX('卡片raw data'!X:X,MATCH($D28,'卡片raw data'!$F:$F,)),0)+IF($P28=1,INDEX('卡片raw data'!AA:AA,MATCH($D28,'卡片raw data'!$F:$F,)),0)+IF($P28=2,INDEX('卡片raw data'!AD:AD,MATCH($D28,'卡片raw data'!$F:$F,)),0)+IF($P28=3,INDEX('卡片raw data'!AG:AG,MATCH($D28,'卡片raw data'!$F:$F,)),0)+IF($P28=4,INDEX('卡片raw data'!AJ:AJ,MATCH($D28,'卡片raw data'!$F:$F,)),0)+IF($P28=5,INDEX('卡片raw data'!AM:AM,MATCH($D28,'卡片raw data'!$F:$F,)),0)+INDEX('卡片raw data'!U:U,MATCH($D28,'卡片raw data'!$F:$F,))*(IF($F28="UR",0.04,0.033))*(IF($F28="UR",INDEX(绊状态确认!$S:$S,MATCH($G28,绊状态确认!$B:$B,))/2-40)+IF($F28="SR",INDEX(绊状态确认!$R:$R,MATCH($G28,绊状态确认!$B:$B,))/4-15))+IF($F28="R",INDEX(绊状态确认!$Q:$Q,MATCH($G28,绊状态确认!$B:$B,))/6-40/6)))*(INDEX(绊状态确认!$H:$H,MATCH($G28,绊状态确认!$B:$B,))+INDEX(绊状态确认!L:L,MATCH($G28,绊状态确认!$B:$B,)))</f>
        <v>4801.2899999999991</v>
      </c>
      <c r="AO28" s="1107">
        <f t="shared" si="21"/>
        <v>1</v>
      </c>
      <c r="AP28" s="1131">
        <f>1+(INDEX(绊状态确认!$T:$T,MATCH($G28,绊状态确认!$B:$B,))+0.2)*$AO28</f>
        <v>1.3</v>
      </c>
      <c r="AQ28" s="1108">
        <f t="shared" si="22"/>
        <v>12703.285449999999</v>
      </c>
      <c r="AR28" s="1097">
        <f>(AM28*(1+$EX$9)+$EX$35)*(1+(INDEX(绊状态确认!$T:$T,MATCH($G28,绊状态确认!$B:$B,))+0.2)*AO28)*IF(J28=$FF$17,1+$FE$17,1)*IF(I28=$FF$14,1+$FE$14,1)</f>
        <v>7619.7084339999992</v>
      </c>
      <c r="AS28" s="1097">
        <f>(AN28*(1+$EX$10)+$EX$36)*(1+(INDEX(绊状态确认!$T:$T,MATCH($G28,绊状态确认!$B:$B,))+0.2)*AO28)*IF(J28=$FF$17,1+$FE$17,1)*IF(I28=$FF$14,1+$FE$14,1)</f>
        <v>11233.928549999999</v>
      </c>
      <c r="AT28" s="1093">
        <f>IF(AND(INDEX('卡片raw data'!AK:AK,MATCH($D28,'卡片raw data'!$F:$F,))&lt;INDEX('卡片raw data'!AM:AM,MATCH($D28,'卡片raw data'!$F:$F,)),INDEX('卡片raw data'!AL:AL,MATCH($D28,'卡片raw data'!$F:$F,))&lt;INDEX('卡片raw data'!AM:AM,MATCH($D28,'卡片raw data'!$F:$F,))),1,0)</f>
        <v>1</v>
      </c>
      <c r="AU28" s="1098">
        <f>MIN(AT28*0.15+AS28*0.00003+INDEX(绊状态确认!M:M,MATCH($G28,绊状态确认!$B:$B,)),1)</f>
        <v>0.51701785649999998</v>
      </c>
      <c r="AV28" s="1109">
        <f>(INDEX(绊状态确认!$N:$N,MATCH($G28,绊状态确认!$B:$B,))+1.5)*$EW$21</f>
        <v>2.6599999999999997</v>
      </c>
      <c r="AW28" s="1101">
        <f t="shared" si="23"/>
        <v>12259.633258607882</v>
      </c>
      <c r="AX28" s="1097">
        <f t="shared" si="24"/>
        <v>646.2054717199004</v>
      </c>
      <c r="AY28" s="1110">
        <f t="shared" si="25"/>
        <v>12905.838730327783</v>
      </c>
      <c r="AZ28" s="429">
        <f t="shared" si="26"/>
        <v>9622.4406199999994</v>
      </c>
      <c r="BA28" s="431">
        <f t="shared" si="27"/>
        <v>11546.928743999999</v>
      </c>
      <c r="BB28" s="1097">
        <f>(AM28*(1+$FB$9)+$FB$35)*(1+(INDEX(绊状态确认!$T:$T,MATCH($G28,绊状态确认!$B:$B,))+0.2)*AO28)*IF(J28=$FF$17,1+$FE$17,1)*IF(I28=$FF$14,1+$FE$14,1)*(1+$FE$15)</f>
        <v>7619.7084339999992</v>
      </c>
      <c r="BC28" s="1097">
        <f>(AN28*(1+$FB$10)+$FB$36)*(1+(INDEX(绊状态确认!$T:$T,MATCH($G28,绊状态确认!$B:$B,))+0.2)*AO28)*IF(J28=$FF$17,1+$FE$17,1)*IF(I28=$FF$14,1+$FE$14,1)*(1+$FE$15)</f>
        <v>11233.928549999999</v>
      </c>
      <c r="BD28" s="1104">
        <f>MIN(AT28*0.15+BC28*0.00003+INDEX(绊状态确认!M:M,MATCH($G28,绊状态确认!$B:$B,)),1)</f>
        <v>0.51701785649999998</v>
      </c>
      <c r="BE28" s="432">
        <f>(INDEX(绊状态确认!$N:$N,MATCH($G28,绊状态确认!$B:$B,))+1.5)</f>
        <v>1.9</v>
      </c>
      <c r="BF28" s="1139">
        <f t="array" ref="BF28">SUMPRODUCT(IF(AZ28*AP28*$FI$16:$FI$23*$FA$22&gt;=$FI$24,$FI$24,AZ28*AP28*$FI$16:$FI$23*$FA$22),$FJ$16:$FJ$23)</f>
        <v>19139.034393180002</v>
      </c>
      <c r="BG28" s="1125">
        <f t="array" ref="BG28">SUMPRODUCT(IF(BE28*AZ28*AP28*$FI$16:$FI$23*$FA$22&gt;=$FI$24,$FI$24,BE28*AZ28*AP28*$FI$16:$FI$23*$FA$22),$FJ$16:$FJ$23)</f>
        <v>36364.165347041999</v>
      </c>
      <c r="BH28" s="1110">
        <f t="shared" si="28"/>
        <v>9348.2448922925105</v>
      </c>
      <c r="BI28" s="1111">
        <f>IF(O28="vo",$EW$26/$EW$24*0.05,0)+IF(O28="sk",-$EW$26/$EW$24*(0.05-INDEX(绊状态确认!W:W,MATCH($G28,绊状态确认!$B:$B,)))+0.05*$EW$28,0)+IF(O28="sp",0.05*$EW$32*$EW$30*(1-$EW$33)-(0.05-INDEX(绊状态确认!V:V,MATCH($G28,绊状态确认!$B:$B,)))*$EW$28,0)+IF(O28="gd",-(0.05-INDEX(绊状态确认!X:X,MATCH($G28,绊状态确认!$B:$B,)))*$EW$32*$EW$30*(1-$EW$33),0)</f>
        <v>-585.00000000000011</v>
      </c>
      <c r="BJ28" s="1097">
        <f>IF(O28="vo",0.05*(1-$FI$26)*$FA$24,0)+IF(O28="sk",-(0.05-INDEX(绊状态确认!W:W,MATCH($G28,绊状态确认!$B:$B,)))*(1-$FI$26)*$FA$24+0.05*$FA$26,0)+IF(O28="sp",0.05*$FA$32*$FA$27*(1-$FA$33)/$FA$30+0.05*$FA$29/$FA$69*$FA$27*(1-$FA$33)-(0.05-INDEX(绊状态确认!V:V,MATCH($G28,绊状态确认!$B:$B,)))*$FA$26,0)+IF(O28="gd",-(0.05-INDEX(绊状态确认!X:X,MATCH($G28,绊状态确认!$B:$B,)))*$FA$32*$FA$27*(1-$FA$33)/$FA$30-(0.05-INDEX(绊状态确认!X:X,MATCH($G28,绊状态确认!$B:$B,)))*$FA$29/$FA$69*$FA$27*(1-$FA$33),0)</f>
        <v>-795.00000000000011</v>
      </c>
      <c r="BK28" s="1110">
        <f>IF(O28="vo",$EW$26/$EW$24*0.05+$EW$26*(-HP($EW$62,$EW$65,$EW$64)+HP($EW$62,$EW$65,(1.05-INDEX(绊状态确认!U:U,MATCH($G28,绊状态确认!$B:$B,)))*$EW$64)),0)+IF(O28="sk",-$EW$26/$EW$24*(0.05-INDEX(绊状态确认!W:W,MATCH($G28,绊状态确认!$B:$B,)))+0.05*$EW$29,0)+IF(O28="sp",0.05*$EW$32*$EW$30*(1-$EW$33)-(0.05-INDEX(绊状态确认!V:V,MATCH($G28,绊状态确认!$B:$B,)))*$EW$29,0)+IF(O28="gd",-(0.05-INDEX(绊状态确认!X:X,MATCH($G28,绊状态确认!$B:$B,)))*$EW$32*$EW$30*(1-$EW$33)+$EW$26*(-HP($EW$62,$EW$65,$EW$64)+HP($EW$62,$EW$65,0.95*$EW$64)),0)</f>
        <v>1009.5947725176144</v>
      </c>
      <c r="BL28" s="1111">
        <f t="shared" si="29"/>
        <v>-2166.6666666666665</v>
      </c>
      <c r="BM28" s="1110">
        <f t="shared" si="30"/>
        <v>-1661.1111111111109</v>
      </c>
      <c r="BN28" s="1113">
        <f t="shared" si="31"/>
        <v>2</v>
      </c>
      <c r="BO28" s="1097">
        <f t="shared" si="32"/>
        <v>3005.1476580839999</v>
      </c>
      <c r="BP28" s="1100">
        <f t="shared" si="33"/>
        <v>147.56068806020068</v>
      </c>
      <c r="BQ28" s="1113" t="s">
        <v>616</v>
      </c>
      <c r="BR28" s="1124" t="s">
        <v>168</v>
      </c>
      <c r="BS28" s="1098">
        <f>IF($P28="","N/A",IF($P28=-1,INDEX('卡片raw data'!AX:AX,MATCH($D28,'卡片raw data'!$F:$F,)),0)+IF($L28="party卡",IF($P28=5,INDEX('卡片raw data'!BD:BD,MATCH($D28,'卡片raw data'!$F:$F,)),IF($P28&gt;=3,INDEX('卡片raw data'!BC:BC,MATCH($D28,'卡片raw data'!$F:$F,)),INDEX('卡片raw data'!BB:BB,MATCH($D28,'卡片raw data'!$F:$F,)))),IF(OR(AND($F28="UR",$P28=0),AND($F28="SR",$P28&gt;=0,$P28&lt;=2),AND($F28="R",$P28&gt;=0,$P28&lt;4)),INDEX('卡片raw data'!AZ:AZ,MATCH($D28,'卡片raw data'!$F:$F,)),0)+IF(OR(AND($F28="UR",$P28&gt;=1,$P28&lt;=4),AND($F28="SR",$P28&lt;=4,$P28&gt;=3),AND($F28="R",$P28=4)),INDEX('卡片raw data'!BA:BA,MATCH($D28,'卡片raw data'!$F:$F,)),0)+IF($P28=5,INDEX('卡片raw data'!BB:BB,MATCH($D28,'卡片raw data'!$F:$F,)),0)))</f>
        <v>0.04</v>
      </c>
      <c r="BT28" s="1101">
        <f t="shared" si="34"/>
        <v>2829.8380817234388</v>
      </c>
      <c r="BU28" s="1097">
        <f t="shared" si="35"/>
        <v>204.69124004092632</v>
      </c>
      <c r="BV28" s="1097">
        <f t="shared" si="36"/>
        <v>0</v>
      </c>
      <c r="BW28" s="1112">
        <f t="shared" si="37"/>
        <v>0</v>
      </c>
      <c r="BX28" s="1100">
        <f t="shared" si="38"/>
        <v>2829.8380817234388</v>
      </c>
      <c r="BY28" s="1110">
        <f t="shared" si="39"/>
        <v>0</v>
      </c>
      <c r="BZ28" s="1107" t="s">
        <v>569</v>
      </c>
      <c r="CA28" s="1124"/>
      <c r="CB28" s="1098">
        <f>IF($P28="","N/A",IF($P28=-1,INDEX('卡片raw data'!BE:BE,MATCH($D28,'卡片raw data'!$F:$F,)),0)+IF($L28="party卡",IF($P28=5,INDEX('卡片raw data'!BK:BK,MATCH($D28,'卡片raw data'!$F:$F,)),IF($P28&gt;=3,INDEX('卡片raw data'!BJ:BJ,MATCH($D28,'卡片raw data'!$F:$F,)),INDEX('卡片raw data'!BI:BI,MATCH($D28,'卡片raw data'!$F:$F,)))),IF(OR(AND($F28="UR",$P28=0),AND($F28="SR",$P28&gt;=0,$P28&lt;=2),AND($F28="R",$P28&gt;=0,$P28&lt;4)),INDEX('卡片raw data'!BG:BG,MATCH($D28,'卡片raw data'!$F:$F,)),0)+IF(OR(AND($F28="UR",$P28&gt;=1,$P28&lt;=4),AND($F28="SR",$P28&lt;=4,$P28&gt;=3),AND($F28="R",$P28=4)),INDEX('卡片raw data'!BH:BH,MATCH($D28,'卡片raw data'!$F:$F,)),0)+IF($P28=5,INDEX('卡片raw data'!BI:BI,MATCH($D28,'卡片raw data'!$F:$F,)),0)))</f>
        <v>0</v>
      </c>
      <c r="CC28" s="1101">
        <f t="shared" si="40"/>
        <v>0</v>
      </c>
      <c r="CD28" s="1097">
        <f>IF(BZ28="ap",CB28*(1-$FI$26)*$FB$5/$FB$11*(+IF(CA28="全员",$FA$24,0)+IF(CA28="同作战",$FA$24,0)+IF(CA28="仲间",$FA$24*2/3,0)+IF(CA28="同属性",$FA$24*$FA$37/3,0)+IF(CA28="同年级",$FA$24*$FA$40/3,0)+IF(CA28="同学校",$FA$24*$FA$43/3,0)+IF(CA28="同小队",$FA$24*$FA$46/3,0)+IF(CA28="同type",$FA$24*INDEX($FB$49:$FB$52,MATCH(X28,$FA$49:$FA$52,))/3,0)+IF(CA28="自身",#REF!/3,0)),0)+IF(BZ28="te",CB28*(1-$FI$27)*($FA$20-1)*$FB$7/$FB$13*(+IF(CA28="全员",$FA$19*$FA$24/(1+($FA$20-1)*$FA$19),0)+IF(CA28="同作战",$FA$19*$FA$24/(1+($FA$20-1)*$FA$19),0)+IF(CA28="仲间",$FA$19*$FA$24*2/3/(1+($FA$20-1)*$FA$19),0)+IF(CA28="同属性",$FA$19*$FA$24*$FA$37/3/(1+($FA$20-1)*$FA$19),0)+IF(CA28="同年级",$FA$19*$FA$24*$FA$40/3/(1+($FA$20-1)*$FA$19),0)+IF(CA28="同学校",$FA$19*$FA$24*$FA$43/3/(1+($FA$20-1)*$FA$19),0)+IF(CA28="同小队",$FA$19*$FA$24*$FA$46/3/(1+($FA$20-1)*$FA$19),0)+IF(CA28="同type",$FA$19*$FA$24*INDEX($FB$49:$FB$52,MATCH(X28,$FA$49:$FA$52,))/3/(1+($FA$20-1)*$FA$19),0)+IF(CA28="自身",$FA$19*#REF!/3/(1+(BH28-1)*$BD28),0)),0)</f>
        <v>0</v>
      </c>
      <c r="CE28" s="1097">
        <f t="shared" si="41"/>
        <v>0</v>
      </c>
      <c r="CF28" s="1112">
        <f t="shared" si="42"/>
        <v>0</v>
      </c>
      <c r="CG28" s="1100">
        <f t="shared" si="43"/>
        <v>0</v>
      </c>
      <c r="CH28" s="1110">
        <f t="shared" si="44"/>
        <v>0</v>
      </c>
      <c r="CI28" s="1113"/>
      <c r="CJ28" s="1114"/>
      <c r="CK28" s="1115" t="s">
        <v>569</v>
      </c>
      <c r="CL28" s="1115"/>
      <c r="CM28" s="1119"/>
      <c r="CN28" s="1115"/>
      <c r="CO28" s="1092"/>
      <c r="CP28" s="1117">
        <f t="shared" si="45"/>
        <v>0</v>
      </c>
      <c r="CQ28" s="1117">
        <f t="shared" si="46"/>
        <v>0</v>
      </c>
      <c r="CR28" s="1117">
        <f t="shared" si="47"/>
        <v>0</v>
      </c>
      <c r="CS28" s="1118">
        <f t="shared" si="48"/>
        <v>0</v>
      </c>
      <c r="CT28" s="1109">
        <f t="shared" si="49"/>
        <v>0</v>
      </c>
      <c r="CU28" s="1101">
        <f t="shared" si="50"/>
        <v>0</v>
      </c>
      <c r="CV28" s="1108">
        <f t="shared" si="51"/>
        <v>0</v>
      </c>
      <c r="CW28" s="1097">
        <f t="shared" si="52"/>
        <v>0</v>
      </c>
      <c r="CX28" s="1097">
        <f t="shared" si="53"/>
        <v>0</v>
      </c>
      <c r="CY28" s="1110">
        <f t="shared" si="54"/>
        <v>0</v>
      </c>
      <c r="CZ28" s="437"/>
      <c r="DA28" s="438"/>
      <c r="DB28" s="439" t="s">
        <v>569</v>
      </c>
      <c r="DC28" s="439"/>
      <c r="DD28" s="443"/>
      <c r="DE28" s="411"/>
      <c r="DF28" s="411"/>
      <c r="DG28" s="1116">
        <f t="shared" si="55"/>
        <v>0</v>
      </c>
      <c r="DH28" s="1116">
        <f t="shared" si="56"/>
        <v>0</v>
      </c>
      <c r="DI28" s="1116">
        <f t="shared" si="57"/>
        <v>0</v>
      </c>
      <c r="DJ28" s="442">
        <f t="shared" si="58"/>
        <v>0</v>
      </c>
      <c r="DK28" s="1109">
        <f t="shared" si="59"/>
        <v>0</v>
      </c>
      <c r="DL28" s="1101">
        <f t="shared" si="60"/>
        <v>0</v>
      </c>
      <c r="DM28" s="1097">
        <f t="shared" si="61"/>
        <v>0</v>
      </c>
      <c r="DN28" s="1097">
        <f t="shared" si="62"/>
        <v>0</v>
      </c>
      <c r="DO28" s="1097">
        <f t="shared" si="63"/>
        <v>0</v>
      </c>
      <c r="DP28" s="1110">
        <f t="shared" si="64"/>
        <v>0</v>
      </c>
      <c r="DQ28" s="1113" t="s">
        <v>635</v>
      </c>
      <c r="DR28" s="1120">
        <f t="shared" si="65"/>
        <v>0.3</v>
      </c>
      <c r="DS28" s="1124"/>
      <c r="DT28" s="1093" t="s">
        <v>546</v>
      </c>
      <c r="DU28" s="1093"/>
      <c r="DV28" s="1097">
        <f>IF($P28="","N/A",IF(P28=-1,INDEX('卡片raw data'!AN:AN,MATCH(D28,'卡片raw data'!$F:$F,)),0)+IF(AND(L28&lt;&gt;"party卡",P28&lt;=2,P28&gt;=0),INDEX('卡片raw data'!AP:AP,MATCH(D28,'卡片raw data'!$F:$F,)),0)+IF(OR(AND(L28="party卡",P28&lt;=1),AND(P28&lt;=4,L28&lt;&gt;"party卡",P28&gt;=3)),INDEX('卡片raw data'!AQ:AQ,MATCH(D28,'卡片raw data'!$F:$F,)),0)+IF(OR(P28=5,AND(L28="party卡",P28&gt;=2)),INDEX('卡片raw data'!AR:AR,MATCH(D28,'卡片raw data'!$F:$F,)),0))</f>
        <v>350</v>
      </c>
      <c r="DW28" s="1098">
        <f t="shared" si="66"/>
        <v>0.3</v>
      </c>
      <c r="DX28" s="1098">
        <f t="shared" si="67"/>
        <v>0.3</v>
      </c>
      <c r="DY28" s="1125">
        <f t="shared" si="68"/>
        <v>35</v>
      </c>
      <c r="DZ28" s="1125">
        <f t="shared" si="69"/>
        <v>30.274999999999999</v>
      </c>
      <c r="EA28" s="1098">
        <f t="shared" si="70"/>
        <v>0</v>
      </c>
      <c r="EB28" s="1121">
        <f t="shared" si="71"/>
        <v>0</v>
      </c>
      <c r="EC28" s="1101">
        <f t="shared" si="72"/>
        <v>0</v>
      </c>
      <c r="ED28" s="1097">
        <f t="shared" si="73"/>
        <v>0</v>
      </c>
      <c r="EE28" s="1110">
        <f t="shared" si="74"/>
        <v>2930.2487072326198</v>
      </c>
      <c r="EF28" s="1092" t="s">
        <v>711</v>
      </c>
      <c r="EG28" s="1120">
        <f t="shared" si="75"/>
        <v>0.3</v>
      </c>
      <c r="EH28" s="1124"/>
      <c r="EI28" s="1093"/>
      <c r="EJ28" s="1093"/>
      <c r="EK28" s="1097">
        <f>IF($P28="","N/A",IF(P28=-1,INDEX('卡片raw data'!AS:AS,MATCH(D28,'卡片raw data'!$F:$F,)),0)+IF(AND(L28&lt;&gt;"party卡",P28&lt;=2,P28&gt;=0),INDEX('卡片raw data'!AU:AU,MATCH(D28,'卡片raw data'!$F:$F,)),0)+IF(OR(AND(L28="party卡",P28&lt;=1),AND(P28&lt;=4,L28&lt;&gt;"party卡",P28&gt;=3)),INDEX('卡片raw data'!AV:AV,MATCH(D28,'卡片raw data'!$F:$F,)),0)+IF(OR(P28=5,AND(L28="party卡",P28&gt;=2)),INDEX('卡片raw data'!AW:AW,MATCH(D28,'卡片raw data'!$F:$F,)),0))</f>
        <v>0</v>
      </c>
      <c r="EL28" s="1098">
        <f t="shared" si="76"/>
        <v>0.3</v>
      </c>
      <c r="EM28" s="1098">
        <f t="shared" si="77"/>
        <v>0.3</v>
      </c>
      <c r="EN28" s="1125">
        <f t="shared" si="78"/>
        <v>0</v>
      </c>
      <c r="EO28" s="1125">
        <f t="shared" si="79"/>
        <v>0</v>
      </c>
      <c r="EP28" s="1098">
        <f t="shared" si="80"/>
        <v>0</v>
      </c>
      <c r="EQ28" s="1121">
        <f t="shared" si="81"/>
        <v>0</v>
      </c>
      <c r="ER28" s="1101">
        <f t="shared" si="82"/>
        <v>0</v>
      </c>
      <c r="ES28" s="1097">
        <f t="shared" si="83"/>
        <v>0</v>
      </c>
      <c r="ET28" s="1122">
        <f t="shared" si="84"/>
        <v>0</v>
      </c>
      <c r="EV28" s="1223" t="s">
        <v>2381</v>
      </c>
      <c r="EW28" s="1323">
        <v>14000</v>
      </c>
      <c r="EX28" s="1324"/>
      <c r="EY28" s="1212"/>
      <c r="EZ28" s="1223" t="s">
        <v>1960</v>
      </c>
      <c r="FA28" s="1323">
        <v>208</v>
      </c>
      <c r="FB28" s="1324"/>
      <c r="FC28" s="447"/>
      <c r="FD28" s="447"/>
      <c r="FE28" s="447"/>
      <c r="FF28" s="447"/>
      <c r="FG28" s="447"/>
      <c r="FH28" s="459" t="s">
        <v>12</v>
      </c>
      <c r="FI28" s="1364">
        <f>2/3+(1-FH35)*1/3</f>
        <v>1</v>
      </c>
      <c r="FJ28" s="1365"/>
      <c r="FL28" s="454" t="s">
        <v>685</v>
      </c>
      <c r="FM28" s="1358">
        <f>FM26*FM27</f>
        <v>206.25</v>
      </c>
      <c r="FN28" s="1359"/>
    </row>
    <row r="29" spans="2:170" ht="16.5" customHeight="1" thickBot="1">
      <c r="B29" s="1123" t="str">
        <f>INDEX('卡片raw data'!B:B,MATCH($D29,'卡片raw data'!$F:$F,))</f>
        <v>练习希</v>
      </c>
      <c r="C29" s="449" t="s">
        <v>66</v>
      </c>
      <c r="D29" s="408">
        <v>26</v>
      </c>
      <c r="E29" s="1090">
        <v>100071002</v>
      </c>
      <c r="F29" s="1090" t="str">
        <f>INDEX('卡片raw data'!C:C,MATCH($D29,'卡片raw data'!$F:$F,))</f>
        <v>R</v>
      </c>
      <c r="G29" s="1094" t="s">
        <v>140</v>
      </c>
      <c r="H29" s="411">
        <f>IFERROR(INDEX(绊状态确认!C:C,MATCH($G29,绊状态确认!$B:$B,)),"")</f>
        <v>7</v>
      </c>
      <c r="I29" s="450" t="str">
        <f>IFERROR(INDEX(绊状态确认!D:D,MATCH($G29,绊状态确认!$B:$B,)),"")</f>
        <v>缪</v>
      </c>
      <c r="J29" s="450" t="str">
        <f>IFERROR(INDEX(绊状态确认!E:E,MATCH($G29,绊状态确认!$B:$B,)),"")</f>
        <v>3年级</v>
      </c>
      <c r="K29" s="451" t="str">
        <f>IFERROR(INDEX(绊状态确认!F:F,MATCH($G29,绊状态确认!$B:$B,)),"")</f>
        <v>lilywhite</v>
      </c>
      <c r="L29" s="1094" t="str">
        <f>INDEX('卡片raw data'!E:E,MATCH($D29,'卡片raw data'!$F:$F,))</f>
        <v>卡池卡</v>
      </c>
      <c r="M29" s="415">
        <v>43735</v>
      </c>
      <c r="N29" s="416">
        <v>0</v>
      </c>
      <c r="O29" s="1091" t="str">
        <f>INDEX('卡片raw data'!D:D,MATCH($D29,'卡片raw data'!$F:$F,))</f>
        <v>sp</v>
      </c>
      <c r="P29" s="417">
        <v>5</v>
      </c>
      <c r="Q29" s="1095">
        <f t="shared" si="0"/>
        <v>16288.496890066746</v>
      </c>
      <c r="R29" s="1096">
        <f t="shared" si="1"/>
        <v>0.189</v>
      </c>
      <c r="S29" s="1097">
        <f t="shared" si="2"/>
        <v>10586.207822707063</v>
      </c>
      <c r="T29" s="1098">
        <f t="shared" si="3"/>
        <v>0.52900000000000003</v>
      </c>
      <c r="U29" s="1099">
        <f t="shared" si="4"/>
        <v>8.9268244371428569</v>
      </c>
      <c r="V29" s="1100">
        <f t="shared" si="5"/>
        <v>15196.182188119275</v>
      </c>
      <c r="W29" s="1101">
        <f t="shared" si="6"/>
        <v>3641.8612264717735</v>
      </c>
      <c r="X29" s="1096">
        <f t="shared" si="7"/>
        <v>4.2000000000000003E-2</v>
      </c>
      <c r="Y29" s="1097">
        <f t="shared" si="8"/>
        <v>707.68529805252865</v>
      </c>
      <c r="Z29" s="1102">
        <f t="shared" si="9"/>
        <v>8.9268244371428569</v>
      </c>
      <c r="AA29" s="1103">
        <f t="shared" si="10"/>
        <v>4349.5465245243022</v>
      </c>
      <c r="AB29" s="1101">
        <f t="shared" si="11"/>
        <v>4066.3369387302896</v>
      </c>
      <c r="AC29" s="1104">
        <f t="shared" si="12"/>
        <v>4.7E-2</v>
      </c>
      <c r="AD29" s="1105">
        <f t="shared" si="13"/>
        <v>-1.9908281250000003E-2</v>
      </c>
      <c r="AE29" s="1128">
        <f t="shared" si="14"/>
        <v>-11.768115942028986</v>
      </c>
      <c r="AF29" s="1130">
        <f t="shared" si="15"/>
        <v>0</v>
      </c>
      <c r="AG29" s="420">
        <f t="shared" si="16"/>
        <v>0</v>
      </c>
      <c r="AH29" s="420">
        <f t="shared" si="17"/>
        <v>0</v>
      </c>
      <c r="AI29" s="1097">
        <f t="shared" si="18"/>
        <v>0</v>
      </c>
      <c r="AJ29" s="420">
        <f t="shared" si="19"/>
        <v>0</v>
      </c>
      <c r="AK29" s="518">
        <f t="shared" si="20"/>
        <v>0</v>
      </c>
      <c r="AL29" s="1106">
        <f>IF($P29="","N/A",(IF($P29=-1,INDEX('卡片raw data'!S:S,MATCH($D29,'卡片raw data'!$F:$F,)),0)+IF($P29=0,INDEX('卡片raw data'!V:V,MATCH($D29,'卡片raw data'!$F:$F,)),0)+IF($P29=1,INDEX('卡片raw data'!Y:Y,MATCH($D29,'卡片raw data'!$F:$F,)),0)+IF($P29=2,INDEX('卡片raw data'!AB:AB,MATCH($D29,'卡片raw data'!$F:$F,)),0)+IF($P29=3,INDEX('卡片raw data'!AE:AE,MATCH($D29,'卡片raw data'!$F:$F,)),0)+IF($P29=4,INDEX('卡片raw data'!AH:AH,MATCH($D29,'卡片raw data'!$F:$F,)),0)+IF($P29=5,INDEX('卡片raw data'!AK:AK,MATCH($D29,'卡片raw data'!$F:$F,)),0)+INDEX('卡片raw data'!S:S,MATCH($D29,'卡片raw data'!$F:$F,))*(IF($F29="UR",0.04,0.033))*(IF($F29="UR",INDEX(绊状态确认!$S:$S,MATCH($G29,绊状态确认!$B:$B,))/2-40)+IF($F29="SR",INDEX(绊状态确认!$R:$R,MATCH($G29,绊状态确认!$B:$B,))/4-15))+IF($F29="R",INDEX(绊状态确认!$Q:$Q,MATCH($G29,绊状态确认!$B:$B,))/6-40/6)))*(INDEX(绊状态确认!$H:$H,MATCH($G29,绊状态确认!$B:$B,))+INDEX(绊状态确认!J:J,MATCH($G29,绊状态确认!$B:$B,)))</f>
        <v>5496.7667999999994</v>
      </c>
      <c r="AM29" s="1106">
        <f>IF($P29="","N/A",(IF($P29=-1,INDEX('卡片raw data'!T:T,MATCH($D29,'卡片raw data'!$F:$F,)),0)+IF($P29=0,INDEX('卡片raw data'!W:W,MATCH($D29,'卡片raw data'!$F:$F,)),0)+IF($P29=1,INDEX('卡片raw data'!Z:Z,MATCH($D29,'卡片raw data'!$F:$F,)),0)+IF($P29=2,INDEX('卡片raw data'!AC:AC,MATCH($D29,'卡片raw data'!$F:$F,)),0)+IF($P29=3,INDEX('卡片raw data'!AF:AF,MATCH($D29,'卡片raw data'!$F:$F,)),0)+IF($P29=4,INDEX('卡片raw data'!AI:AI,MATCH($D29,'卡片raw data'!$F:$F,)),0)+IF($P29=5,INDEX('卡片raw data'!AL:AL,MATCH($D29,'卡片raw data'!$F:$F,)),0)+INDEX('卡片raw data'!T:T,MATCH($D29,'卡片raw data'!$F:$F,))*(IF($F29="UR",0.04,0.033))*(IF($F29="UR",INDEX(绊状态确认!$S:$S,MATCH($G29,绊状态确认!$B:$B,))/2-40)+IF($F29="SR",INDEX(绊状态确认!$R:$R,MATCH($G29,绊状态确认!$B:$B,))/4-15))+IF($F29="R",INDEX(绊状态确认!$Q:$Q,MATCH($G29,绊状态确认!$B:$B,))/6-40/6)))*(INDEX(绊状态确认!$H:$H,MATCH($G29,绊状态确认!$B:$B,))+INDEX(绊状态确认!K:K,MATCH($G29,绊状态确认!$B:$B,)))</f>
        <v>4122.8591999999999</v>
      </c>
      <c r="AN29" s="1106">
        <f>IF($P29="","N/A",(IF($P29=-1,INDEX('卡片raw data'!U:U,MATCH($D29,'卡片raw data'!$F:$F,)),0)+IF($P29=0,INDEX('卡片raw data'!X:X,MATCH($D29,'卡片raw data'!$F:$F,)),0)+IF($P29=1,INDEX('卡片raw data'!AA:AA,MATCH($D29,'卡片raw data'!$F:$F,)),0)+IF($P29=2,INDEX('卡片raw data'!AD:AD,MATCH($D29,'卡片raw data'!$F:$F,)),0)+IF($P29=3,INDEX('卡片raw data'!AG:AG,MATCH($D29,'卡片raw data'!$F:$F,)),0)+IF($P29=4,INDEX('卡片raw data'!AJ:AJ,MATCH($D29,'卡片raw data'!$F:$F,)),0)+IF($P29=5,INDEX('卡片raw data'!AM:AM,MATCH($D29,'卡片raw data'!$F:$F,)),0)+INDEX('卡片raw data'!U:U,MATCH($D29,'卡片raw data'!$F:$F,))*(IF($F29="UR",0.04,0.033))*(IF($F29="UR",INDEX(绊状态确认!$S:$S,MATCH($G29,绊状态确认!$B:$B,))/2-40)+IF($F29="SR",INDEX(绊状态确认!$R:$R,MATCH($G29,绊状态确认!$B:$B,))/4-15))+IF($F29="R",INDEX(绊状态确认!$Q:$Q,MATCH($G29,绊状态确认!$B:$B,))/6-40/6)))*(INDEX(绊状态确认!$H:$H,MATCH($G29,绊状态确认!$B:$B,))+INDEX(绊状态确认!L:L,MATCH($G29,绊状态确认!$B:$B,)))</f>
        <v>4122.8591999999999</v>
      </c>
      <c r="AO29" s="1107">
        <f t="shared" si="21"/>
        <v>1</v>
      </c>
      <c r="AP29" s="1131">
        <f>1+(INDEX(绊状态确认!$T:$T,MATCH($G29,绊状态确认!$B:$B,))+0.2)*$AO29</f>
        <v>1.3</v>
      </c>
      <c r="AQ29" s="1108">
        <f t="shared" si="22"/>
        <v>17679.012849999999</v>
      </c>
      <c r="AR29" s="1097">
        <f>(AM29*(1+$EX$9)+$EX$35)*(1+(INDEX(绊状态确认!$T:$T,MATCH($G29,绊状态确认!$B:$B,))+0.2)*AO29)*IF(J29=$FF$17,1+$FE$17,1)*IF(I29=$FF$14,1+$FE$14,1)</f>
        <v>8331.702808</v>
      </c>
      <c r="AS29" s="1097">
        <f>(AN29*(1+$EX$10)+$EX$36)*(1+(INDEX(绊状态确认!$T:$T,MATCH($G29,绊状态确认!$B:$B,))+0.2)*AO29)*IF(J29=$FF$17,1+$FE$17,1)*IF(I29=$FF$14,1+$FE$14,1)</f>
        <v>10219.674503999999</v>
      </c>
      <c r="AT29" s="1093">
        <f>IF(AND(INDEX('卡片raw data'!AK:AK,MATCH($D29,'卡片raw data'!$F:$F,))&lt;INDEX('卡片raw data'!AM:AM,MATCH($D29,'卡片raw data'!$F:$F,)),INDEX('卡片raw data'!AL:AL,MATCH($D29,'卡片raw data'!$F:$F,))&lt;INDEX('卡片raw data'!AM:AM,MATCH($D29,'卡片raw data'!$F:$F,))),1,0)</f>
        <v>0</v>
      </c>
      <c r="AU29" s="1098">
        <f>MIN(AT29*0.15+AS29*0.00003+INDEX(绊状态确认!M:M,MATCH($G29,绊状态确认!$B:$B,)),1)</f>
        <v>0.33659023511999997</v>
      </c>
      <c r="AV29" s="1109">
        <f>(INDEX(绊状态确认!$N:$N,MATCH($G29,绊状态确认!$B:$B,))+1.5)*$EW$21</f>
        <v>2.6599999999999997</v>
      </c>
      <c r="AW29" s="1101">
        <f t="shared" si="23"/>
        <v>14311.626618003123</v>
      </c>
      <c r="AX29" s="1097">
        <f t="shared" si="24"/>
        <v>707.68529805252854</v>
      </c>
      <c r="AY29" s="1110">
        <f t="shared" si="25"/>
        <v>15019.311916055653</v>
      </c>
      <c r="AZ29" s="429">
        <f t="shared" si="26"/>
        <v>13318.695259999999</v>
      </c>
      <c r="BA29" s="431">
        <f t="shared" si="27"/>
        <v>15982.434311999998</v>
      </c>
      <c r="BB29" s="1097">
        <f>(AM29*(1+$FB$9)+$FB$35)*(1+(INDEX(绊状态确认!$T:$T,MATCH($G29,绊状态确认!$B:$B,))+0.2)*AO29)*IF(J29=$FF$17,1+$FE$17,1)*IF(I29=$FF$14,1+$FE$14,1)*(1+$FE$15)</f>
        <v>8331.702808</v>
      </c>
      <c r="BC29" s="1097">
        <f>(AN29*(1+$FB$10)+$FB$36)*(1+(INDEX(绊状态确认!$T:$T,MATCH($G29,绊状态确认!$B:$B,))+0.2)*AO29)*IF(J29=$FF$17,1+$FE$17,1)*IF(I29=$FF$14,1+$FE$14,1)*(1+$FE$15)</f>
        <v>10219.674503999999</v>
      </c>
      <c r="BD29" s="1104">
        <f>MIN(AT29*0.15+BC29*0.00003+INDEX(绊状态确认!M:M,MATCH($G29,绊状态确认!$B:$B,)),1)</f>
        <v>0.33659023511999997</v>
      </c>
      <c r="BE29" s="432">
        <f>(INDEX(绊状态确认!$N:$N,MATCH($G29,绊状态确认!$B:$B,))+1.5)</f>
        <v>1.9</v>
      </c>
      <c r="BF29" s="1139">
        <f t="array" ref="BF29">SUMPRODUCT(IF(AZ29*AP29*$FI$16:$FI$23*$FA$22&gt;=$FI$24,$FI$24,AZ29*AP29*$FI$16:$FI$23*$FA$22),$FJ$16:$FJ$23)</f>
        <v>26490.884872139999</v>
      </c>
      <c r="BG29" s="1125">
        <f t="array" ref="BG29">SUMPRODUCT(IF(BE29*AZ29*AP29*$FI$16:$FI$23*$FA$22&gt;=$FI$24,$FI$24,BE29*AZ29*AP29*$FI$16:$FI$23*$FA$22),$FJ$16:$FJ$23)</f>
        <v>50082.21757154799</v>
      </c>
      <c r="BH29" s="1110">
        <f t="shared" si="28"/>
        <v>11477.165697409293</v>
      </c>
      <c r="BI29" s="1111">
        <f>IF(O29="vo",$EW$26/$EW$24*0.05,0)+IF(O29="sk",-$EW$26/$EW$24*(0.05-INDEX(绊状态确认!W:W,MATCH($G29,绊状态确认!$B:$B,)))+0.05*$EW$28,0)+IF(O29="sp",0.05*$EW$32*$EW$30*(1-$EW$33)-(0.05-INDEX(绊状态确认!V:V,MATCH($G29,绊状态确认!$B:$B,)))*$EW$28,0)+IF(O29="gd",-(0.05-INDEX(绊状态确认!X:X,MATCH($G29,绊状态确认!$B:$B,)))*$EW$32*$EW$30*(1-$EW$33),0)</f>
        <v>19.999999999999886</v>
      </c>
      <c r="BJ29" s="1097">
        <f>IF(O29="vo",0.05*(1-$FI$26)*$FA$24,0)+IF(O29="sk",-(0.05-INDEX(绊状态确认!W:W,MATCH($G29,绊状态确认!$B:$B,)))*(1-$FI$26)*$FA$24+0.05*$FA$26,0)+IF(O29="sp",0.05*$FA$32*$FA$27*(1-$FA$33)/$FA$30+0.05*$FA$29/$FA$69*$FA$27*(1-$FA$33)-(0.05-INDEX(绊状态确认!V:V,MATCH($G29,绊状态确认!$B:$B,)))*$FA$26,0)+IF(O29="gd",-(0.05-INDEX(绊状态确认!X:X,MATCH($G29,绊状态确认!$B:$B,)))*$FA$32*$FA$27*(1-$FA$33)/$FA$30-(0.05-INDEX(绊状态确认!X:X,MATCH($G29,绊状态确认!$B:$B,)))*$FA$29/$FA$69*$FA$27*(1-$FA$33),0)</f>
        <v>545.83333333333326</v>
      </c>
      <c r="BK29" s="1110">
        <f>IF(O29="vo",$EW$26/$EW$24*0.05+$EW$26*(-HP($EW$62,$EW$65,$EW$64)+HP($EW$62,$EW$65,(1.05-INDEX(绊状态确认!U:U,MATCH($G29,绊状态确认!$B:$B,)))*$EW$64)),0)+IF(O29="sk",-$EW$26/$EW$24*(0.05-INDEX(绊状态确认!W:W,MATCH($G29,绊状态确认!$B:$B,)))+0.05*$EW$29,0)+IF(O29="sp",0.05*$EW$32*$EW$30*(1-$EW$33)-(0.05-INDEX(绊状态确认!V:V,MATCH($G29,绊状态确认!$B:$B,)))*$EW$29,0)+IF(O29="gd",-(0.05-INDEX(绊状态确认!X:X,MATCH($G29,绊状态确认!$B:$B,)))*$EW$32*$EW$30*(1-$EW$33)+$EW$26*(-HP($EW$62,$EW$65,$EW$64)+HP($EW$62,$EW$65,0.95*$EW$64)),0)</f>
        <v>-1780.0000000000005</v>
      </c>
      <c r="BL29" s="1111">
        <f t="shared" si="29"/>
        <v>-2166.6666666666665</v>
      </c>
      <c r="BM29" s="1110">
        <f t="shared" si="30"/>
        <v>-1661.1111111111109</v>
      </c>
      <c r="BN29" s="1113">
        <f t="shared" si="31"/>
        <v>2</v>
      </c>
      <c r="BO29" s="1097">
        <f t="shared" si="32"/>
        <v>3005.1476580839999</v>
      </c>
      <c r="BP29" s="1100">
        <f t="shared" si="33"/>
        <v>147.56068806020068</v>
      </c>
      <c r="BQ29" s="1113" t="s">
        <v>616</v>
      </c>
      <c r="BR29" s="1124" t="s">
        <v>617</v>
      </c>
      <c r="BS29" s="1098">
        <f>IF($P29="","N/A",IF($P29=-1,INDEX('卡片raw data'!AX:AX,MATCH($D29,'卡片raw data'!$F:$F,)),0)+IF($L29="party卡",IF($P29=5,INDEX('卡片raw data'!BD:BD,MATCH($D29,'卡片raw data'!$F:$F,)),IF($P29&gt;=3,INDEX('卡片raw data'!BC:BC,MATCH($D29,'卡片raw data'!$F:$F,)),INDEX('卡片raw data'!BB:BB,MATCH($D29,'卡片raw data'!$F:$F,)))),IF(OR(AND($F29="UR",$P29=0),AND($F29="SR",$P29&gt;=0,$P29&lt;=2),AND($F29="R",$P29&gt;=0,$P29&lt;4)),INDEX('卡片raw data'!AZ:AZ,MATCH($D29,'卡片raw data'!$F:$F,)),0)+IF(OR(AND($F29="UR",$P29&gt;=1,$P29&lt;=4),AND($F29="SR",$P29&lt;=4,$P29&gt;=3),AND($F29="R",$P29=4)),INDEX('卡片raw data'!BA:BA,MATCH($D29,'卡片raw data'!$F:$F,)),0)+IF($P29=5,INDEX('卡片raw data'!BB:BB,MATCH($D29,'卡片raw data'!$F:$F,)),0)))</f>
        <v>2.7E-2</v>
      </c>
      <c r="BT29" s="1101">
        <f t="shared" si="34"/>
        <v>1061.1892806462897</v>
      </c>
      <c r="BU29" s="1097">
        <f t="shared" si="35"/>
        <v>76.759215015347351</v>
      </c>
      <c r="BV29" s="1097">
        <f t="shared" si="36"/>
        <v>636.71356838777365</v>
      </c>
      <c r="BW29" s="1112">
        <f t="shared" si="37"/>
        <v>0</v>
      </c>
      <c r="BX29" s="1100">
        <f t="shared" si="38"/>
        <v>1061.1892806462897</v>
      </c>
      <c r="BY29" s="1110">
        <f t="shared" si="39"/>
        <v>636.71356838777365</v>
      </c>
      <c r="BZ29" s="1107" t="s">
        <v>569</v>
      </c>
      <c r="CA29" s="1124"/>
      <c r="CB29" s="1098">
        <f>IF($P29="","N/A",IF($P29=-1,INDEX('卡片raw data'!BE:BE,MATCH($D29,'卡片raw data'!$F:$F,)),0)+IF($L29="party卡",IF($P29=5,INDEX('卡片raw data'!BK:BK,MATCH($D29,'卡片raw data'!$F:$F,)),IF($P29&gt;=3,INDEX('卡片raw data'!BJ:BJ,MATCH($D29,'卡片raw data'!$F:$F,)),INDEX('卡片raw data'!BI:BI,MATCH($D29,'卡片raw data'!$F:$F,)))),IF(OR(AND($F29="UR",$P29=0),AND($F29="SR",$P29&gt;=0,$P29&lt;=2),AND($F29="R",$P29&gt;=0,$P29&lt;4)),INDEX('卡片raw data'!BG:BG,MATCH($D29,'卡片raw data'!$F:$F,)),0)+IF(OR(AND($F29="UR",$P29&gt;=1,$P29&lt;=4),AND($F29="SR",$P29&lt;=4,$P29&gt;=3),AND($F29="R",$P29=4)),INDEX('卡片raw data'!BH:BH,MATCH($D29,'卡片raw data'!$F:$F,)),0)+IF($P29=5,INDEX('卡片raw data'!BI:BI,MATCH($D29,'卡片raw data'!$F:$F,)),0)))</f>
        <v>0</v>
      </c>
      <c r="CC29" s="1101">
        <f t="shared" si="40"/>
        <v>0</v>
      </c>
      <c r="CD29" s="1097">
        <f>IF(BZ29="ap",CB29*(1-$FI$26)*$FB$5/$FB$11*(+IF(CA29="全员",$FA$24,0)+IF(CA29="同作战",$FA$24,0)+IF(CA29="仲间",$FA$24*2/3,0)+IF(CA29="同属性",$FA$24*$FA$37/3,0)+IF(CA29="同年级",$FA$24*$FA$40/3,0)+IF(CA29="同学校",$FA$24*$FA$43/3,0)+IF(CA29="同小队",$FA$24*$FA$46/3,0)+IF(CA29="同type",$FA$24*INDEX($FB$49:$FB$52,MATCH(X29,$FA$49:$FA$52,))/3,0)+IF(CA29="自身",#REF!/3,0)),0)+IF(BZ29="te",CB29*(1-$FI$27)*($FA$20-1)*$FB$7/$FB$13*(+IF(CA29="全员",$FA$19*$FA$24/(1+($FA$20-1)*$FA$19),0)+IF(CA29="同作战",$FA$19*$FA$24/(1+($FA$20-1)*$FA$19),0)+IF(CA29="仲间",$FA$19*$FA$24*2/3/(1+($FA$20-1)*$FA$19),0)+IF(CA29="同属性",$FA$19*$FA$24*$FA$37/3/(1+($FA$20-1)*$FA$19),0)+IF(CA29="同年级",$FA$19*$FA$24*$FA$40/3/(1+($FA$20-1)*$FA$19),0)+IF(CA29="同学校",$FA$19*$FA$24*$FA$43/3/(1+($FA$20-1)*$FA$19),0)+IF(CA29="同小队",$FA$19*$FA$24*$FA$46/3/(1+($FA$20-1)*$FA$19),0)+IF(CA29="同type",$FA$19*$FA$24*INDEX($FB$49:$FB$52,MATCH(X29,$FA$49:$FA$52,))/3/(1+($FA$20-1)*$FA$19),0)+IF(CA29="自身",$FA$19*#REF!/3/(1+(BH29-1)*$BD29),0)),0)</f>
        <v>0</v>
      </c>
      <c r="CE29" s="1097">
        <f t="shared" si="41"/>
        <v>0</v>
      </c>
      <c r="CF29" s="1112">
        <f t="shared" si="42"/>
        <v>0</v>
      </c>
      <c r="CG29" s="1100">
        <f t="shared" si="43"/>
        <v>0</v>
      </c>
      <c r="CH29" s="1110">
        <f t="shared" si="44"/>
        <v>0</v>
      </c>
      <c r="CI29" s="1113"/>
      <c r="CJ29" s="1114"/>
      <c r="CK29" s="1115" t="s">
        <v>569</v>
      </c>
      <c r="CL29" s="1115"/>
      <c r="CM29" s="1119"/>
      <c r="CN29" s="1115"/>
      <c r="CO29" s="1092"/>
      <c r="CP29" s="1117">
        <f t="shared" si="45"/>
        <v>0</v>
      </c>
      <c r="CQ29" s="1117">
        <f t="shared" si="46"/>
        <v>0</v>
      </c>
      <c r="CR29" s="1117">
        <f t="shared" si="47"/>
        <v>0</v>
      </c>
      <c r="CS29" s="1118">
        <f t="shared" si="48"/>
        <v>0</v>
      </c>
      <c r="CT29" s="1109">
        <f t="shared" si="49"/>
        <v>0</v>
      </c>
      <c r="CU29" s="1101">
        <f t="shared" si="50"/>
        <v>0</v>
      </c>
      <c r="CV29" s="1108">
        <f t="shared" si="51"/>
        <v>0</v>
      </c>
      <c r="CW29" s="1097">
        <f t="shared" si="52"/>
        <v>0</v>
      </c>
      <c r="CX29" s="1097">
        <f t="shared" si="53"/>
        <v>0</v>
      </c>
      <c r="CY29" s="1110">
        <f t="shared" si="54"/>
        <v>0</v>
      </c>
      <c r="CZ29" s="437"/>
      <c r="DA29" s="438"/>
      <c r="DB29" s="439" t="s">
        <v>569</v>
      </c>
      <c r="DC29" s="439"/>
      <c r="DD29" s="443"/>
      <c r="DE29" s="411"/>
      <c r="DF29" s="411"/>
      <c r="DG29" s="1116">
        <f t="shared" si="55"/>
        <v>0</v>
      </c>
      <c r="DH29" s="1116">
        <f t="shared" si="56"/>
        <v>0</v>
      </c>
      <c r="DI29" s="1116">
        <f t="shared" si="57"/>
        <v>0</v>
      </c>
      <c r="DJ29" s="442">
        <f t="shared" si="58"/>
        <v>0</v>
      </c>
      <c r="DK29" s="1109">
        <f t="shared" si="59"/>
        <v>0</v>
      </c>
      <c r="DL29" s="1101">
        <f t="shared" si="60"/>
        <v>0</v>
      </c>
      <c r="DM29" s="1097">
        <f t="shared" si="61"/>
        <v>0</v>
      </c>
      <c r="DN29" s="1097">
        <f t="shared" si="62"/>
        <v>0</v>
      </c>
      <c r="DO29" s="1097">
        <f t="shared" si="63"/>
        <v>0</v>
      </c>
      <c r="DP29" s="1110">
        <f t="shared" si="64"/>
        <v>0</v>
      </c>
      <c r="DQ29" s="1113" t="s">
        <v>256</v>
      </c>
      <c r="DR29" s="1120">
        <f t="shared" si="65"/>
        <v>0.3</v>
      </c>
      <c r="DS29" s="1124"/>
      <c r="DT29" s="1093" t="s">
        <v>546</v>
      </c>
      <c r="DU29" s="1093"/>
      <c r="DV29" s="1097">
        <f>IF($P29="","N/A",IF(P29=-1,INDEX('卡片raw data'!AN:AN,MATCH(D29,'卡片raw data'!$F:$F,)),0)+IF(AND(L29&lt;&gt;"party卡",P29&lt;=2,P29&gt;=0),INDEX('卡片raw data'!AP:AP,MATCH(D29,'卡片raw data'!$F:$F,)),0)+IF(OR(AND(L29="party卡",P29&lt;=1),AND(P29&lt;=4,L29&lt;&gt;"party卡",P29&gt;=3)),INDEX('卡片raw data'!AQ:AQ,MATCH(D29,'卡片raw data'!$F:$F,)),0)+IF(OR(P29=5,AND(L29="party卡",P29&gt;=2)),INDEX('卡片raw data'!AR:AR,MATCH(D29,'卡片raw data'!$F:$F,)),0))</f>
        <v>400</v>
      </c>
      <c r="DW29" s="1098">
        <f t="shared" si="66"/>
        <v>0.3</v>
      </c>
      <c r="DX29" s="1098">
        <f t="shared" si="67"/>
        <v>0.3</v>
      </c>
      <c r="DY29" s="1125">
        <f t="shared" si="68"/>
        <v>40</v>
      </c>
      <c r="DZ29" s="1125">
        <f t="shared" si="69"/>
        <v>34.6</v>
      </c>
      <c r="EA29" s="1098">
        <f t="shared" si="70"/>
        <v>0</v>
      </c>
      <c r="EB29" s="1121">
        <f t="shared" si="71"/>
        <v>0</v>
      </c>
      <c r="EC29" s="1101">
        <f t="shared" si="72"/>
        <v>57.2</v>
      </c>
      <c r="ED29" s="1097">
        <f t="shared" si="73"/>
        <v>0</v>
      </c>
      <c r="EE29" s="1110">
        <f t="shared" si="74"/>
        <v>57.2</v>
      </c>
      <c r="EF29" s="1092" t="s">
        <v>711</v>
      </c>
      <c r="EG29" s="1120">
        <f t="shared" si="75"/>
        <v>0.3</v>
      </c>
      <c r="EH29" s="1124"/>
      <c r="EI29" s="1093"/>
      <c r="EJ29" s="1093"/>
      <c r="EK29" s="1097">
        <f>IF($P29="","N/A",IF(P29=-1,INDEX('卡片raw data'!AS:AS,MATCH(D29,'卡片raw data'!$F:$F,)),0)+IF(AND(L29&lt;&gt;"party卡",P29&lt;=2,P29&gt;=0),INDEX('卡片raw data'!AU:AU,MATCH(D29,'卡片raw data'!$F:$F,)),0)+IF(OR(AND(L29="party卡",P29&lt;=1),AND(P29&lt;=4,L29&lt;&gt;"party卡",P29&gt;=3)),INDEX('卡片raw data'!AV:AV,MATCH(D29,'卡片raw data'!$F:$F,)),0)+IF(OR(P29=5,AND(L29="party卡",P29&gt;=2)),INDEX('卡片raw data'!AW:AW,MATCH(D29,'卡片raw data'!$F:$F,)),0))</f>
        <v>0</v>
      </c>
      <c r="EL29" s="1098">
        <f t="shared" si="76"/>
        <v>0.3</v>
      </c>
      <c r="EM29" s="1098">
        <f t="shared" si="77"/>
        <v>0.3</v>
      </c>
      <c r="EN29" s="1125">
        <f t="shared" si="78"/>
        <v>0</v>
      </c>
      <c r="EO29" s="1125">
        <f t="shared" si="79"/>
        <v>0</v>
      </c>
      <c r="EP29" s="1098">
        <f t="shared" si="80"/>
        <v>0</v>
      </c>
      <c r="EQ29" s="1121">
        <f t="shared" si="81"/>
        <v>0</v>
      </c>
      <c r="ER29" s="1101">
        <f t="shared" si="82"/>
        <v>0</v>
      </c>
      <c r="ES29" s="1097">
        <f t="shared" si="83"/>
        <v>0</v>
      </c>
      <c r="ET29" s="1122">
        <f t="shared" si="84"/>
        <v>0</v>
      </c>
      <c r="EV29" s="1222" t="s">
        <v>2382</v>
      </c>
      <c r="EW29" s="1325">
        <v>54000</v>
      </c>
      <c r="EX29" s="1325"/>
      <c r="EY29" s="1212"/>
      <c r="EZ29" s="1223" t="s">
        <v>4117</v>
      </c>
      <c r="FA29" s="1323">
        <v>216</v>
      </c>
      <c r="FB29" s="1324"/>
      <c r="FC29" s="447"/>
      <c r="FD29" s="447"/>
      <c r="FE29" s="447"/>
      <c r="FF29" s="642"/>
      <c r="FG29" s="642"/>
      <c r="FH29" s="472" t="s">
        <v>1318</v>
      </c>
      <c r="FI29" s="1356">
        <v>1</v>
      </c>
      <c r="FJ29" s="1357"/>
      <c r="FL29" s="454" t="s">
        <v>690</v>
      </c>
      <c r="FM29" s="1358">
        <v>360</v>
      </c>
      <c r="FN29" s="1359"/>
    </row>
    <row r="30" spans="2:170" ht="16.5" customHeight="1" thickTop="1" thickBot="1">
      <c r="B30" s="1123" t="str">
        <f>INDEX('卡片raw data'!B:B,MATCH($D30,'卡片raw data'!$F:$F,))</f>
        <v>打工希</v>
      </c>
      <c r="C30" s="449" t="s">
        <v>22</v>
      </c>
      <c r="D30" s="408">
        <v>27</v>
      </c>
      <c r="E30" s="1090">
        <v>100072001</v>
      </c>
      <c r="F30" s="1090" t="str">
        <f>INDEX('卡片raw data'!C:C,MATCH($D30,'卡片raw data'!$F:$F,))</f>
        <v>SR</v>
      </c>
      <c r="G30" s="1094" t="s">
        <v>140</v>
      </c>
      <c r="H30" s="411">
        <f>IFERROR(INDEX(绊状态确认!C:C,MATCH($G30,绊状态确认!$B:$B,)),"")</f>
        <v>7</v>
      </c>
      <c r="I30" s="450" t="str">
        <f>IFERROR(INDEX(绊状态确认!D:D,MATCH($G30,绊状态确认!$B:$B,)),"")</f>
        <v>缪</v>
      </c>
      <c r="J30" s="450" t="str">
        <f>IFERROR(INDEX(绊状态确认!E:E,MATCH($G30,绊状态确认!$B:$B,)),"")</f>
        <v>3年级</v>
      </c>
      <c r="K30" s="451" t="str">
        <f>IFERROR(INDEX(绊状态确认!F:F,MATCH($G30,绊状态确认!$B:$B,)),"")</f>
        <v>lilywhite</v>
      </c>
      <c r="L30" s="1094" t="str">
        <f>INDEX('卡片raw data'!E:E,MATCH($D30,'卡片raw data'!$F:$F,))</f>
        <v>卡池卡</v>
      </c>
      <c r="M30" s="415">
        <v>43735</v>
      </c>
      <c r="N30" s="416">
        <v>0</v>
      </c>
      <c r="O30" s="1091" t="str">
        <f>INDEX('卡片raw data'!D:D,MATCH($D30,'卡片raw data'!$F:$F,))</f>
        <v>vo</v>
      </c>
      <c r="P30" s="417">
        <v>5</v>
      </c>
      <c r="Q30" s="1095">
        <f t="shared" si="0"/>
        <v>38520.850290034323</v>
      </c>
      <c r="R30" s="1096">
        <f t="shared" si="1"/>
        <v>0.44700000000000001</v>
      </c>
      <c r="S30" s="1097">
        <f t="shared" si="2"/>
        <v>16005.896209239014</v>
      </c>
      <c r="T30" s="1098">
        <f t="shared" si="3"/>
        <v>0.8</v>
      </c>
      <c r="U30" s="1099">
        <f t="shared" si="4"/>
        <v>-16.572834733257142</v>
      </c>
      <c r="V30" s="1100">
        <f t="shared" si="5"/>
        <v>37883.576961179591</v>
      </c>
      <c r="W30" s="1101">
        <f t="shared" si="6"/>
        <v>5365.9610507858451</v>
      </c>
      <c r="X30" s="1096">
        <f t="shared" si="7"/>
        <v>6.2E-2</v>
      </c>
      <c r="Y30" s="1097">
        <f t="shared" si="8"/>
        <v>667.39512138696591</v>
      </c>
      <c r="Z30" s="1102">
        <f t="shared" si="9"/>
        <v>8.4271652667428576</v>
      </c>
      <c r="AA30" s="1103">
        <f t="shared" si="10"/>
        <v>6033.3561721728111</v>
      </c>
      <c r="AB30" s="1101">
        <f t="shared" si="11"/>
        <v>6167.3337596082456</v>
      </c>
      <c r="AC30" s="1104">
        <f t="shared" si="12"/>
        <v>7.0999999999999994E-2</v>
      </c>
      <c r="AD30" s="1105">
        <f t="shared" si="13"/>
        <v>-3.8207812500000026E-3</v>
      </c>
      <c r="AE30" s="1128">
        <f t="shared" si="14"/>
        <v>-12.27536231884058</v>
      </c>
      <c r="AF30" s="1130">
        <f t="shared" si="15"/>
        <v>0</v>
      </c>
      <c r="AG30" s="420">
        <f t="shared" si="16"/>
        <v>0</v>
      </c>
      <c r="AH30" s="420">
        <f t="shared" si="17"/>
        <v>0</v>
      </c>
      <c r="AI30" s="1097">
        <f t="shared" si="18"/>
        <v>0</v>
      </c>
      <c r="AJ30" s="420">
        <f t="shared" si="19"/>
        <v>0</v>
      </c>
      <c r="AK30" s="518">
        <f t="shared" si="20"/>
        <v>0</v>
      </c>
      <c r="AL30" s="1106">
        <f>IF($P30="","N/A",(IF($P30=-1,INDEX('卡片raw data'!S:S,MATCH($D30,'卡片raw data'!$F:$F,)),0)+IF($P30=0,INDEX('卡片raw data'!V:V,MATCH($D30,'卡片raw data'!$F:$F,)),0)+IF($P30=1,INDEX('卡片raw data'!Y:Y,MATCH($D30,'卡片raw data'!$F:$F,)),0)+IF($P30=2,INDEX('卡片raw data'!AB:AB,MATCH($D30,'卡片raw data'!$F:$F,)),0)+IF($P30=3,INDEX('卡片raw data'!AE:AE,MATCH($D30,'卡片raw data'!$F:$F,)),0)+IF($P30=4,INDEX('卡片raw data'!AH:AH,MATCH($D30,'卡片raw data'!$F:$F,)),0)+IF($P30=5,INDEX('卡片raw data'!AK:AK,MATCH($D30,'卡片raw data'!$F:$F,)),0)+INDEX('卡片raw data'!S:S,MATCH($D30,'卡片raw data'!$F:$F,))*(IF($F30="UR",0.04,0.033))*(IF($F30="UR",INDEX(绊状态确认!$S:$S,MATCH($G30,绊状态确认!$B:$B,))/2-40)+IF($F30="SR",INDEX(绊状态确认!$R:$R,MATCH($G30,绊状态确认!$B:$B,))/4-15))+IF($F30="R",INDEX(绊状态确认!$Q:$Q,MATCH($G30,绊状态确认!$B:$B,))/6-40/6)))*(INDEX(绊状态确认!$H:$H,MATCH($G30,绊状态确认!$B:$B,))+INDEX(绊状态确认!J:J,MATCH($G30,绊状态确认!$B:$B,)))</f>
        <v>6617.1208319999996</v>
      </c>
      <c r="AM30" s="1106">
        <f>IF($P30="","N/A",(IF($P30=-1,INDEX('卡片raw data'!T:T,MATCH($D30,'卡片raw data'!$F:$F,)),0)+IF($P30=0,INDEX('卡片raw data'!W:W,MATCH($D30,'卡片raw data'!$F:$F,)),0)+IF($P30=1,INDEX('卡片raw data'!Z:Z,MATCH($D30,'卡片raw data'!$F:$F,)),0)+IF($P30=2,INDEX('卡片raw data'!AC:AC,MATCH($D30,'卡片raw data'!$F:$F,)),0)+IF($P30=3,INDEX('卡片raw data'!AF:AF,MATCH($D30,'卡片raw data'!$F:$F,)),0)+IF($P30=4,INDEX('卡片raw data'!AI:AI,MATCH($D30,'卡片raw data'!$F:$F,)),0)+IF($P30=5,INDEX('卡片raw data'!AL:AL,MATCH($D30,'卡片raw data'!$F:$F,)),0)+INDEX('卡片raw data'!T:T,MATCH($D30,'卡片raw data'!$F:$F,))*(IF($F30="UR",0.04,0.033))*(IF($F30="UR",INDEX(绊状态确认!$S:$S,MATCH($G30,绊状态确认!$B:$B,))/2-40)+IF($F30="SR",INDEX(绊状态确认!$R:$R,MATCH($G30,绊状态确认!$B:$B,))/4-15))+IF($F30="R",INDEX(绊状态确认!$Q:$Q,MATCH($G30,绊状态确认!$B:$B,))/6-40/6)))*(INDEX(绊状态确认!$H:$H,MATCH($G30,绊状态确认!$B:$B,))+INDEX(绊状态确认!K:K,MATCH($G30,绊状态确认!$B:$B,)))</f>
        <v>3781.2119039999998</v>
      </c>
      <c r="AN30" s="1106">
        <f>IF($P30="","N/A",(IF($P30=-1,INDEX('卡片raw data'!U:U,MATCH($D30,'卡片raw data'!$F:$F,)),0)+IF($P30=0,INDEX('卡片raw data'!X:X,MATCH($D30,'卡片raw data'!$F:$F,)),0)+IF($P30=1,INDEX('卡片raw data'!AA:AA,MATCH($D30,'卡片raw data'!$F:$F,)),0)+IF($P30=2,INDEX('卡片raw data'!AD:AD,MATCH($D30,'卡片raw data'!$F:$F,)),0)+IF($P30=3,INDEX('卡片raw data'!AG:AG,MATCH($D30,'卡片raw data'!$F:$F,)),0)+IF($P30=4,INDEX('卡片raw data'!AJ:AJ,MATCH($D30,'卡片raw data'!$F:$F,)),0)+IF($P30=5,INDEX('卡片raw data'!AM:AM,MATCH($D30,'卡片raw data'!$F:$F,)),0)+INDEX('卡片raw data'!U:U,MATCH($D30,'卡片raw data'!$F:$F,))*(IF($F30="UR",0.04,0.033))*(IF($F30="UR",INDEX(绊状态确认!$S:$S,MATCH($G30,绊状态确认!$B:$B,))/2-40)+IF($F30="SR",INDEX(绊状态确认!$R:$R,MATCH($G30,绊状态确认!$B:$B,))/4-15))+IF($F30="R",INDEX(绊状态确认!$Q:$Q,MATCH($G30,绊状态确认!$B:$B,))/6-40/6)))*(INDEX(绊状态确认!$H:$H,MATCH($G30,绊状态确认!$B:$B,))+INDEX(绊状态确认!L:L,MATCH($G30,绊状态确认!$B:$B,)))</f>
        <v>8507.7267839999986</v>
      </c>
      <c r="AO30" s="1107">
        <f t="shared" si="21"/>
        <v>1</v>
      </c>
      <c r="AP30" s="1131">
        <f>1+(INDEX(绊状态确认!$T:$T,MATCH($G30,绊状态确认!$B:$B,))+0.2)*$AO30</f>
        <v>1.3</v>
      </c>
      <c r="AQ30" s="1108">
        <f t="shared" si="22"/>
        <v>20619.942184</v>
      </c>
      <c r="AR30" s="1097">
        <f>(AM30*(1+$EX$9)+$EX$35)*(1+(INDEX(绊状态确认!$T:$T,MATCH($G30,绊状态确认!$B:$B,))+0.2)*AO30)*IF(J30=$FF$17,1+$FE$17,1)*IF(I30=$FF$14,1+$FE$14,1)</f>
        <v>7865.3542489600004</v>
      </c>
      <c r="AS30" s="1097">
        <f>(AN30*(1+$EX$10)+$EX$36)*(1+(INDEX(绊状态确认!$T:$T,MATCH($G30,绊状态确认!$B:$B,))+0.2)*AO30)*IF(J30=$FF$17,1+$FE$17,1)*IF(I30=$FF$14,1+$FE$14,1)</f>
        <v>16775.051542079997</v>
      </c>
      <c r="AT30" s="1093">
        <f>IF(AND(INDEX('卡片raw data'!AK:AK,MATCH($D30,'卡片raw data'!$F:$F,))&lt;INDEX('卡片raw data'!AM:AM,MATCH($D30,'卡片raw data'!$F:$F,)),INDEX('卡片raw data'!AL:AL,MATCH($D30,'卡片raw data'!$F:$F,))&lt;INDEX('卡片raw data'!AM:AM,MATCH($D30,'卡片raw data'!$F:$F,))),1,0)</f>
        <v>1</v>
      </c>
      <c r="AU30" s="1098">
        <f>MIN(AT30*0.15+AS30*0.00003+INDEX(绊状态确认!M:M,MATCH($G30,绊状态确认!$B:$B,)),1)</f>
        <v>0.68325154626239992</v>
      </c>
      <c r="AV30" s="1109">
        <f>(INDEX(绊状态确认!$N:$N,MATCH($G30,绊状态确认!$B:$B,))+1.5)*$EW$21</f>
        <v>2.6599999999999997</v>
      </c>
      <c r="AW30" s="1101">
        <f t="shared" si="23"/>
        <v>22854.905373920716</v>
      </c>
      <c r="AX30" s="1097">
        <f t="shared" si="24"/>
        <v>667.39512138696614</v>
      </c>
      <c r="AY30" s="1110">
        <f t="shared" si="25"/>
        <v>23522.300495307682</v>
      </c>
      <c r="AZ30" s="429">
        <f t="shared" si="26"/>
        <v>15503.385622399999</v>
      </c>
      <c r="BA30" s="431">
        <f t="shared" si="27"/>
        <v>18604.062746879998</v>
      </c>
      <c r="BB30" s="1097">
        <f>(AM30*(1+$FB$9)+$FB$35)*(1+(INDEX(绊状态确认!$T:$T,MATCH($G30,绊状态确认!$B:$B,))+0.2)*AO30)*IF(J30=$FF$17,1+$FE$17,1)*IF(I30=$FF$14,1+$FE$14,1)*(1+$FE$15)</f>
        <v>7865.3542489600004</v>
      </c>
      <c r="BC30" s="1097">
        <f>(AN30*(1+$FB$10)+$FB$36)*(1+(INDEX(绊状态确认!$T:$T,MATCH($G30,绊状态确认!$B:$B,))+0.2)*AO30)*IF(J30=$FF$17,1+$FE$17,1)*IF(I30=$FF$14,1+$FE$14,1)*(1+$FE$15)</f>
        <v>16775.051542079997</v>
      </c>
      <c r="BD30" s="1104">
        <f>MIN(AT30*0.15+BC30*0.00003+INDEX(绊状态确认!M:M,MATCH($G30,绊状态确认!$B:$B,)),1)</f>
        <v>0.68325154626239992</v>
      </c>
      <c r="BE30" s="432">
        <f>(INDEX(绊状态确认!$N:$N,MATCH($G30,绊状态确认!$B:$B,))+1.5)</f>
        <v>1.9</v>
      </c>
      <c r="BF30" s="1139">
        <f t="array" ref="BF30">SUMPRODUCT(IF(AZ30*AP30*$FI$16:$FI$23*$FA$22&gt;=$FI$24,$FI$24,AZ30*AP30*$FI$16:$FI$23*$FA$22),$FJ$16:$FJ$23)</f>
        <v>30836.234002953603</v>
      </c>
      <c r="BG30" s="1125">
        <f t="array" ref="BG30">SUMPRODUCT(IF(BE30*AZ30*AP30*$FI$16:$FI$23*$FA$22&gt;=$FI$24,$FI$24,BE30*AZ30*AP30*$FI$16:$FI$23*$FA$22),$FJ$16:$FJ$23)</f>
        <v>55783.490864482243</v>
      </c>
      <c r="BH30" s="1110">
        <f t="shared" si="28"/>
        <v>15960.495276199437</v>
      </c>
      <c r="BI30" s="1111">
        <f>IF(O30="vo",$EW$26/$EW$24*0.05,0)+IF(O30="sk",-$EW$26/$EW$24*(0.05-INDEX(绊状态确认!W:W,MATCH($G30,绊状态确认!$B:$B,)))+0.05*$EW$28,0)+IF(O30="sp",0.05*$EW$32*$EW$30*(1-$EW$33)-(0.05-INDEX(绊状态确认!V:V,MATCH($G30,绊状态确认!$B:$B,)))*$EW$28,0)+IF(O30="gd",-(0.05-INDEX(绊状态确认!X:X,MATCH($G30,绊状态确认!$B:$B,)))*$EW$32*$EW$30*(1-$EW$33),0)</f>
        <v>7726.3029277443748</v>
      </c>
      <c r="BJ30" s="1097">
        <f>IF(O30="vo",0.05*(1-$FI$26)*$FA$24,0)+IF(O30="sk",-(0.05-INDEX(绊状态确认!W:W,MATCH($G30,绊状态确认!$B:$B,)))*(1-$FI$26)*$FA$24+0.05*$FA$26,0)+IF(O30="sp",0.05*$FA$32*$FA$27*(1-$FA$33)/$FA$30+0.05*$FA$29/$FA$69*$FA$27*(1-$FA$33)-(0.05-INDEX(绊状态确认!V:V,MATCH($G30,绊状态确认!$B:$B,)))*$FA$26,0)+IF(O30="gd",-(0.05-INDEX(绊状态确认!X:X,MATCH($G30,绊状态确认!$B:$B,)))*$FA$32*$FA$27*(1-$FA$33)/$FA$30-(0.05-INDEX(绊状态确认!X:X,MATCH($G30,绊状态确认!$B:$B,)))*$FA$29/$FA$69*$FA$27*(1-$FA$33),0)</f>
        <v>393.93433687500004</v>
      </c>
      <c r="BK30" s="1110">
        <f>IF(O30="vo",$EW$26/$EW$24*0.05+$EW$26*(-HP($EW$62,$EW$65,$EW$64)+HP($EW$62,$EW$65,(1.05-INDEX(绊状态确认!U:U,MATCH($G30,绊状态确认!$B:$B,)))*$EW$64)),0)+IF(O30="sk",-$EW$26/$EW$24*(0.05-INDEX(绊状态确认!W:W,MATCH($G30,绊状态确认!$B:$B,)))+0.05*$EW$29,0)+IF(O30="sp",0.05*$EW$32*$EW$30*(1-$EW$33)-(0.05-INDEX(绊状态确认!V:V,MATCH($G30,绊状态确认!$B:$B,)))*$EW$29,0)+IF(O30="gd",-(0.05-INDEX(绊状态确认!X:X,MATCH($G30,绊状态确认!$B:$B,)))*$EW$32*$EW$30*(1-$EW$33)+$EW$26*(-HP($EW$62,$EW$65,$EW$64)+HP($EW$62,$EW$65,0.95*$EW$64)),0)</f>
        <v>6421.6344775026746</v>
      </c>
      <c r="BL30" s="1111">
        <f t="shared" si="29"/>
        <v>-1083.3333333333333</v>
      </c>
      <c r="BM30" s="1110">
        <f t="shared" si="30"/>
        <v>-830.55555555555543</v>
      </c>
      <c r="BN30" s="1113">
        <f t="shared" si="31"/>
        <v>3</v>
      </c>
      <c r="BO30" s="1097">
        <f t="shared" si="32"/>
        <v>4507.7214871259994</v>
      </c>
      <c r="BP30" s="1100">
        <f t="shared" si="33"/>
        <v>221.34103209030098</v>
      </c>
      <c r="BQ30" s="1113" t="s">
        <v>619</v>
      </c>
      <c r="BR30" s="1124" t="s">
        <v>171</v>
      </c>
      <c r="BS30" s="1098">
        <f>IF($P30="","N/A",IF($P30=-1,INDEX('卡片raw data'!AX:AX,MATCH($D30,'卡片raw data'!$F:$F,)),0)+IF($L30="party卡",IF($P30=5,INDEX('卡片raw data'!BD:BD,MATCH($D30,'卡片raw data'!$F:$F,)),IF($P30&gt;=3,INDEX('卡片raw data'!BC:BC,MATCH($D30,'卡片raw data'!$F:$F,)),INDEX('卡片raw data'!BB:BB,MATCH($D30,'卡片raw data'!$F:$F,)))),IF(OR(AND($F30="UR",$P30=0),AND($F30="SR",$P30&gt;=0,$P30&lt;=2),AND($F30="R",$P30&gt;=0,$P30&lt;4)),INDEX('卡片raw data'!AZ:AZ,MATCH($D30,'卡片raw data'!$F:$F,)),0)+IF(OR(AND($F30="UR",$P30&gt;=1,$P30&lt;=4),AND($F30="SR",$P30&lt;=4,$P30&gt;=3),AND($F30="R",$P30=4)),INDEX('卡片raw data'!BA:BA,MATCH($D30,'卡片raw data'!$F:$F,)),0)+IF($P30=5,INDEX('卡片raw data'!BB:BB,MATCH($D30,'卡片raw data'!$F:$F,)),0)))</f>
        <v>3.2000000000000001E-2</v>
      </c>
      <c r="BT30" s="1101">
        <f t="shared" si="34"/>
        <v>1602.7454176448</v>
      </c>
      <c r="BU30" s="1097">
        <f t="shared" si="35"/>
        <v>68.861654428093644</v>
      </c>
      <c r="BV30" s="1097">
        <f t="shared" si="36"/>
        <v>801.37270882240011</v>
      </c>
      <c r="BW30" s="1112">
        <f t="shared" si="37"/>
        <v>0</v>
      </c>
      <c r="BX30" s="1100">
        <f t="shared" si="38"/>
        <v>1602.7454176448</v>
      </c>
      <c r="BY30" s="1110">
        <f t="shared" si="39"/>
        <v>801.37270882240011</v>
      </c>
      <c r="BZ30" s="1107" t="s">
        <v>569</v>
      </c>
      <c r="CA30" s="1124"/>
      <c r="CB30" s="1098">
        <f>IF($P30="","N/A",IF($P30=-1,INDEX('卡片raw data'!BE:BE,MATCH($D30,'卡片raw data'!$F:$F,)),0)+IF($L30="party卡",IF($P30=5,INDEX('卡片raw data'!BK:BK,MATCH($D30,'卡片raw data'!$F:$F,)),IF($P30&gt;=3,INDEX('卡片raw data'!BJ:BJ,MATCH($D30,'卡片raw data'!$F:$F,)),INDEX('卡片raw data'!BI:BI,MATCH($D30,'卡片raw data'!$F:$F,)))),IF(OR(AND($F30="UR",$P30=0),AND($F30="SR",$P30&gt;=0,$P30&lt;=2),AND($F30="R",$P30&gt;=0,$P30&lt;4)),INDEX('卡片raw data'!BG:BG,MATCH($D30,'卡片raw data'!$F:$F,)),0)+IF(OR(AND($F30="UR",$P30&gt;=1,$P30&lt;=4),AND($F30="SR",$P30&lt;=4,$P30&gt;=3),AND($F30="R",$P30=4)),INDEX('卡片raw data'!BH:BH,MATCH($D30,'卡片raw data'!$F:$F,)),0)+IF($P30=5,INDEX('卡片raw data'!BI:BI,MATCH($D30,'卡片raw data'!$F:$F,)),0)))</f>
        <v>0</v>
      </c>
      <c r="CC30" s="1101">
        <f t="shared" si="40"/>
        <v>0</v>
      </c>
      <c r="CD30" s="1097">
        <f>IF(BZ30="ap",CB30*(1-$FI$26)*$FB$5/$FB$11*(+IF(CA30="全员",$FA$24,0)+IF(CA30="同作战",$FA$24,0)+IF(CA30="仲间",$FA$24*2/3,0)+IF(CA30="同属性",$FA$24*$FA$37/3,0)+IF(CA30="同年级",$FA$24*$FA$40/3,0)+IF(CA30="同学校",$FA$24*$FA$43/3,0)+IF(CA30="同小队",$FA$24*$FA$46/3,0)+IF(CA30="同type",$FA$24*INDEX($FB$49:$FB$52,MATCH(X30,$FA$49:$FA$52,))/3,0)+IF(CA30="自身",#REF!/3,0)),0)+IF(BZ30="te",CB30*(1-$FI$27)*($FA$20-1)*$FB$7/$FB$13*(+IF(CA30="全员",$FA$19*$FA$24/(1+($FA$20-1)*$FA$19),0)+IF(CA30="同作战",$FA$19*$FA$24/(1+($FA$20-1)*$FA$19),0)+IF(CA30="仲间",$FA$19*$FA$24*2/3/(1+($FA$20-1)*$FA$19),0)+IF(CA30="同属性",$FA$19*$FA$24*$FA$37/3/(1+($FA$20-1)*$FA$19),0)+IF(CA30="同年级",$FA$19*$FA$24*$FA$40/3/(1+($FA$20-1)*$FA$19),0)+IF(CA30="同学校",$FA$19*$FA$24*$FA$43/3/(1+($FA$20-1)*$FA$19),0)+IF(CA30="同小队",$FA$19*$FA$24*$FA$46/3/(1+($FA$20-1)*$FA$19),0)+IF(CA30="同type",$FA$19*$FA$24*INDEX($FB$49:$FB$52,MATCH(X30,$FA$49:$FA$52,))/3/(1+($FA$20-1)*$FA$19),0)+IF(CA30="自身",$FA$19*#REF!/3/(1+(BH30-1)*$BD30),0)),0)</f>
        <v>0</v>
      </c>
      <c r="CE30" s="1097">
        <f t="shared" si="41"/>
        <v>0</v>
      </c>
      <c r="CF30" s="1112">
        <f t="shared" si="42"/>
        <v>0</v>
      </c>
      <c r="CG30" s="1100">
        <f t="shared" si="43"/>
        <v>0</v>
      </c>
      <c r="CH30" s="1110">
        <f t="shared" si="44"/>
        <v>0</v>
      </c>
      <c r="CI30" s="1113" t="s">
        <v>162</v>
      </c>
      <c r="CJ30" s="1114">
        <v>0.3</v>
      </c>
      <c r="CK30" s="1115" t="s">
        <v>545</v>
      </c>
      <c r="CL30" s="1115" t="s">
        <v>1940</v>
      </c>
      <c r="CM30" s="1119">
        <v>0.3</v>
      </c>
      <c r="CN30" s="1115"/>
      <c r="CO30" s="1092"/>
      <c r="CP30" s="1116">
        <f t="shared" si="45"/>
        <v>51.69714076131428</v>
      </c>
      <c r="CQ30" s="1116">
        <f t="shared" si="46"/>
        <v>72.55584471283197</v>
      </c>
      <c r="CR30" s="1116">
        <f t="shared" si="47"/>
        <v>51.69714076131428</v>
      </c>
      <c r="CS30" s="1118">
        <f t="shared" si="48"/>
        <v>0</v>
      </c>
      <c r="CT30" s="1109">
        <f t="shared" si="49"/>
        <v>0</v>
      </c>
      <c r="CU30" s="1101">
        <f t="shared" si="50"/>
        <v>56.866854837445715</v>
      </c>
      <c r="CV30" s="1108">
        <f t="shared" si="51"/>
        <v>72.55584471283197</v>
      </c>
      <c r="CW30" s="1097">
        <f t="shared" si="52"/>
        <v>56.866854837445715</v>
      </c>
      <c r="CX30" s="1097">
        <f t="shared" si="53"/>
        <v>56.866854837445715</v>
      </c>
      <c r="CY30" s="1110">
        <f t="shared" si="54"/>
        <v>56.866854837445715</v>
      </c>
      <c r="CZ30" s="437"/>
      <c r="DA30" s="438"/>
      <c r="DB30" s="439" t="s">
        <v>569</v>
      </c>
      <c r="DC30" s="439"/>
      <c r="DD30" s="443"/>
      <c r="DE30" s="411"/>
      <c r="DF30" s="411"/>
      <c r="DG30" s="1116">
        <f t="shared" si="55"/>
        <v>0</v>
      </c>
      <c r="DH30" s="1116">
        <f t="shared" si="56"/>
        <v>0</v>
      </c>
      <c r="DI30" s="1116">
        <f t="shared" si="57"/>
        <v>0</v>
      </c>
      <c r="DJ30" s="442">
        <f t="shared" si="58"/>
        <v>0</v>
      </c>
      <c r="DK30" s="1109">
        <f t="shared" si="59"/>
        <v>0</v>
      </c>
      <c r="DL30" s="1101">
        <f t="shared" si="60"/>
        <v>0</v>
      </c>
      <c r="DM30" s="1097">
        <f t="shared" si="61"/>
        <v>0</v>
      </c>
      <c r="DN30" s="1097">
        <f t="shared" si="62"/>
        <v>0</v>
      </c>
      <c r="DO30" s="1097">
        <f t="shared" si="63"/>
        <v>0</v>
      </c>
      <c r="DP30" s="1110">
        <f t="shared" si="64"/>
        <v>0</v>
      </c>
      <c r="DQ30" s="1113" t="s">
        <v>555</v>
      </c>
      <c r="DR30" s="1120">
        <f t="shared" si="65"/>
        <v>0.3</v>
      </c>
      <c r="DS30" s="1124">
        <v>5</v>
      </c>
      <c r="DT30" s="1093" t="s">
        <v>161</v>
      </c>
      <c r="DU30" s="1093" t="s">
        <v>544</v>
      </c>
      <c r="DV30" s="1098">
        <f>IF($P30="","N/A",IF(P30=-1,INDEX('卡片raw data'!AN:AN,MATCH(D30,'卡片raw data'!$F:$F,)),0)+IF(AND(L30&lt;&gt;"party卡",P30&lt;=2,P30&gt;=0),INDEX('卡片raw data'!AP:AP,MATCH(D30,'卡片raw data'!$F:$F,)),0)+IF(OR(AND(L30="party卡",P30&lt;=1),AND(P30&lt;=4,L30&lt;&gt;"party卡",P30&gt;=3)),INDEX('卡片raw data'!AQ:AQ,MATCH(D30,'卡片raw data'!$F:$F,)),0)+IF(OR(P30=5,AND(L30="party卡",P30&gt;=2)),INDEX('卡片raw data'!AR:AR,MATCH(D30,'卡片raw data'!$F:$F,)),0))</f>
        <v>4.2000000000000003E-2</v>
      </c>
      <c r="DW30" s="1098">
        <f t="shared" si="66"/>
        <v>0.3</v>
      </c>
      <c r="DX30" s="1098">
        <f t="shared" si="67"/>
        <v>0.3</v>
      </c>
      <c r="DY30" s="1098">
        <f t="shared" si="68"/>
        <v>2.0999999999999998E-2</v>
      </c>
      <c r="DZ30" s="1098">
        <f t="shared" si="69"/>
        <v>1.8164999999999997E-2</v>
      </c>
      <c r="EA30" s="1098">
        <f t="shared" si="70"/>
        <v>0</v>
      </c>
      <c r="EB30" s="1121">
        <f t="shared" si="71"/>
        <v>0</v>
      </c>
      <c r="EC30" s="1101">
        <f t="shared" si="72"/>
        <v>2855.6415620943208</v>
      </c>
      <c r="ED30" s="1097">
        <f t="shared" si="73"/>
        <v>119.26362048890624</v>
      </c>
      <c r="EE30" s="1110">
        <f t="shared" si="74"/>
        <v>2855.6415620943208</v>
      </c>
      <c r="EF30" s="1092" t="s">
        <v>711</v>
      </c>
      <c r="EG30" s="1120">
        <f t="shared" si="75"/>
        <v>0.3</v>
      </c>
      <c r="EH30" s="1124"/>
      <c r="EI30" s="1093"/>
      <c r="EJ30" s="1093"/>
      <c r="EK30" s="1097">
        <f>IF($P30="","N/A",IF(P30=-1,INDEX('卡片raw data'!AS:AS,MATCH(D30,'卡片raw data'!$F:$F,)),0)+IF(AND(L30&lt;&gt;"party卡",P30&lt;=2,P30&gt;=0),INDEX('卡片raw data'!AU:AU,MATCH(D30,'卡片raw data'!$F:$F,)),0)+IF(OR(AND(L30="party卡",P30&lt;=1),AND(P30&lt;=4,L30&lt;&gt;"party卡",P30&gt;=3)),INDEX('卡片raw data'!AV:AV,MATCH(D30,'卡片raw data'!$F:$F,)),0)+IF(OR(P30=5,AND(L30="party卡",P30&gt;=2)),INDEX('卡片raw data'!AW:AW,MATCH(D30,'卡片raw data'!$F:$F,)),0))</f>
        <v>0</v>
      </c>
      <c r="EL30" s="1098">
        <f t="shared" si="76"/>
        <v>0.3</v>
      </c>
      <c r="EM30" s="1098">
        <f t="shared" si="77"/>
        <v>0.3</v>
      </c>
      <c r="EN30" s="1125">
        <f t="shared" si="78"/>
        <v>0</v>
      </c>
      <c r="EO30" s="1125">
        <f t="shared" si="79"/>
        <v>0</v>
      </c>
      <c r="EP30" s="1098">
        <f t="shared" si="80"/>
        <v>0</v>
      </c>
      <c r="EQ30" s="1121">
        <f t="shared" si="81"/>
        <v>0</v>
      </c>
      <c r="ER30" s="1101">
        <f t="shared" si="82"/>
        <v>0</v>
      </c>
      <c r="ES30" s="1097">
        <f t="shared" si="83"/>
        <v>0</v>
      </c>
      <c r="ET30" s="1122">
        <f t="shared" si="84"/>
        <v>0</v>
      </c>
      <c r="EV30" s="1221" t="s">
        <v>3</v>
      </c>
      <c r="EW30" s="1327">
        <v>450000</v>
      </c>
      <c r="EX30" s="1327"/>
      <c r="EY30" s="1212"/>
      <c r="EZ30" s="1223" t="s">
        <v>1962</v>
      </c>
      <c r="FA30" s="1323">
        <v>1.1499999999999999</v>
      </c>
      <c r="FB30" s="1324"/>
      <c r="FC30" s="447"/>
      <c r="FD30" s="447"/>
      <c r="FE30" s="447"/>
      <c r="FF30" s="642"/>
      <c r="FG30" s="642"/>
      <c r="FH30" s="566"/>
      <c r="FI30" s="642"/>
      <c r="FJ30" s="447"/>
      <c r="FL30" s="468" t="s">
        <v>686</v>
      </c>
      <c r="FM30" s="1358">
        <v>18</v>
      </c>
      <c r="FN30" s="1359"/>
    </row>
    <row r="31" spans="2:170" ht="16.5" customHeight="1" thickTop="1" thickBot="1">
      <c r="B31" s="1123" t="str">
        <f>INDEX('卡片raw data'!B:B,MATCH($D31,'卡片raw data'!$F:$F,))</f>
        <v>初始希</v>
      </c>
      <c r="C31" s="449" t="s">
        <v>124</v>
      </c>
      <c r="D31" s="408">
        <v>28</v>
      </c>
      <c r="E31" s="1090">
        <v>100073001</v>
      </c>
      <c r="F31" s="1090" t="str">
        <f>INDEX('卡片raw data'!C:C,MATCH($D31,'卡片raw data'!$F:$F,))</f>
        <v>UR</v>
      </c>
      <c r="G31" s="1094" t="s">
        <v>140</v>
      </c>
      <c r="H31" s="411">
        <f>IFERROR(INDEX(绊状态确认!C:C,MATCH($G31,绊状态确认!$B:$B,)),"")</f>
        <v>7</v>
      </c>
      <c r="I31" s="1124" t="str">
        <f>IFERROR(INDEX(绊状态确认!D:D,MATCH($G31,绊状态确认!$B:$B,)),"")</f>
        <v>缪</v>
      </c>
      <c r="J31" s="1124" t="str">
        <f>IFERROR(INDEX(绊状态确认!E:E,MATCH($G31,绊状态确认!$B:$B,)),"")</f>
        <v>3年级</v>
      </c>
      <c r="K31" s="451" t="str">
        <f>IFERROR(INDEX(绊状态确认!F:F,MATCH($G31,绊状态确认!$B:$B,)),"")</f>
        <v>lilywhite</v>
      </c>
      <c r="L31" s="1094" t="str">
        <f>INDEX('卡片raw data'!E:E,MATCH($D31,'卡片raw data'!$F:$F,))</f>
        <v>卡池卡</v>
      </c>
      <c r="M31" s="415">
        <v>43735</v>
      </c>
      <c r="N31" s="416">
        <v>0</v>
      </c>
      <c r="O31" s="1091" t="str">
        <f>INDEX('卡片raw data'!D:D,MATCH($D31,'卡片raw data'!$F:$F,))</f>
        <v>sk</v>
      </c>
      <c r="P31" s="417">
        <v>5</v>
      </c>
      <c r="Q31" s="1095">
        <f t="shared" si="0"/>
        <v>28562.515273676054</v>
      </c>
      <c r="R31" s="1096">
        <f t="shared" si="1"/>
        <v>0.33200000000000002</v>
      </c>
      <c r="S31" s="1097">
        <f t="shared" si="2"/>
        <v>17903.682551796799</v>
      </c>
      <c r="T31" s="1098">
        <f t="shared" si="3"/>
        <v>0.89500000000000002</v>
      </c>
      <c r="U31" s="1099">
        <f t="shared" si="4"/>
        <v>23.120176337142862</v>
      </c>
      <c r="V31" s="1100">
        <f t="shared" si="5"/>
        <v>32449.948453721954</v>
      </c>
      <c r="W31" s="1101">
        <f t="shared" si="6"/>
        <v>7885.1125456628815</v>
      </c>
      <c r="X31" s="1096">
        <f t="shared" si="7"/>
        <v>9.0999999999999998E-2</v>
      </c>
      <c r="Y31" s="1097">
        <f t="shared" si="8"/>
        <v>1887.4331800458986</v>
      </c>
      <c r="Z31" s="1102">
        <f t="shared" si="9"/>
        <v>23.120176337142862</v>
      </c>
      <c r="AA31" s="1103">
        <f t="shared" si="10"/>
        <v>9772.5457257087801</v>
      </c>
      <c r="AB31" s="1101">
        <f t="shared" si="11"/>
        <v>7885.1125456628824</v>
      </c>
      <c r="AC31" s="1104">
        <f t="shared" si="12"/>
        <v>9.0999999999999998E-2</v>
      </c>
      <c r="AD31" s="1105">
        <f t="shared" si="13"/>
        <v>5.0458617181818183E-2</v>
      </c>
      <c r="AE31" s="1128">
        <f t="shared" si="14"/>
        <v>25.910242472152355</v>
      </c>
      <c r="AF31" s="1130">
        <f t="shared" si="15"/>
        <v>0</v>
      </c>
      <c r="AG31" s="420">
        <f t="shared" si="16"/>
        <v>0</v>
      </c>
      <c r="AH31" s="420">
        <f t="shared" si="17"/>
        <v>0</v>
      </c>
      <c r="AI31" s="1097">
        <f t="shared" si="18"/>
        <v>0</v>
      </c>
      <c r="AJ31" s="420">
        <f t="shared" si="19"/>
        <v>0</v>
      </c>
      <c r="AK31" s="518">
        <f t="shared" si="20"/>
        <v>0</v>
      </c>
      <c r="AL31" s="1106">
        <f>IF($P31="","N/A",(IF($P31=-1,INDEX('卡片raw data'!S:S,MATCH($D31,'卡片raw data'!$F:$F,)),0)+IF($P31=0,INDEX('卡片raw data'!V:V,MATCH($D31,'卡片raw data'!$F:$F,)),0)+IF($P31=1,INDEX('卡片raw data'!Y:Y,MATCH($D31,'卡片raw data'!$F:$F,)),0)+IF($P31=2,INDEX('卡片raw data'!AB:AB,MATCH($D31,'卡片raw data'!$F:$F,)),0)+IF($P31=3,INDEX('卡片raw data'!AE:AE,MATCH($D31,'卡片raw data'!$F:$F,)),0)+IF($P31=4,INDEX('卡片raw data'!AH:AH,MATCH($D31,'卡片raw data'!$F:$F,)),0)+IF($P31=5,INDEX('卡片raw data'!AK:AK,MATCH($D31,'卡片raw data'!$F:$F,)),0)+INDEX('卡片raw data'!S:S,MATCH($D31,'卡片raw data'!$F:$F,))*(IF($F31="UR",0.04,0.033))*(IF($F31="UR",INDEX(绊状态确认!$S:$S,MATCH($G31,绊状态确认!$B:$B,))/2-40)+IF($F31="SR",INDEX(绊状态确认!$R:$R,MATCH($G31,绊状态确认!$B:$B,))/4-15))+IF($F31="R",INDEX(绊状态确认!$Q:$Q,MATCH($G31,绊状态确认!$B:$B,))/6-40/6)))*(INDEX(绊状态确认!$H:$H,MATCH($G31,绊状态确认!$B:$B,))+INDEX(绊状态确认!J:J,MATCH($G31,绊状态确认!$B:$B,)))</f>
        <v>9218.4767999999985</v>
      </c>
      <c r="AM31" s="1106">
        <f>IF($P31="","N/A",(IF($P31=-1,INDEX('卡片raw data'!T:T,MATCH($D31,'卡片raw data'!$F:$F,)),0)+IF($P31=0,INDEX('卡片raw data'!W:W,MATCH($D31,'卡片raw data'!$F:$F,)),0)+IF($P31=1,INDEX('卡片raw data'!Z:Z,MATCH($D31,'卡片raw data'!$F:$F,)),0)+IF($P31=2,INDEX('卡片raw data'!AC:AC,MATCH($D31,'卡片raw data'!$F:$F,)),0)+IF($P31=3,INDEX('卡片raw data'!AF:AF,MATCH($D31,'卡片raw data'!$F:$F,)),0)+IF($P31=4,INDEX('卡片raw data'!AI:AI,MATCH($D31,'卡片raw data'!$F:$F,)),0)+IF($P31=5,INDEX('卡片raw data'!AL:AL,MATCH($D31,'卡片raw data'!$F:$F,)),0)+INDEX('卡片raw data'!T:T,MATCH($D31,'卡片raw data'!$F:$F,))*(IF($F31="UR",0.04,0.033))*(IF($F31="UR",INDEX(绊状态确认!$S:$S,MATCH($G31,绊状态确认!$B:$B,))/2-40)+IF($F31="SR",INDEX(绊状态确认!$R:$R,MATCH($G31,绊状态确认!$B:$B,))/4-15))+IF($F31="R",INDEX(绊状态确认!$Q:$Q,MATCH($G31,绊状态确认!$B:$B,))/6-40/6)))*(INDEX(绊状态确认!$H:$H,MATCH($G31,绊状态确认!$B:$B,))+INDEX(绊状态确认!K:K,MATCH($G31,绊状态确认!$B:$B,)))</f>
        <v>13827.715199999999</v>
      </c>
      <c r="AN31" s="1106">
        <f>IF($P31="","N/A",(IF($P31=-1,INDEX('卡片raw data'!U:U,MATCH($D31,'卡片raw data'!$F:$F,)),0)+IF($P31=0,INDEX('卡片raw data'!X:X,MATCH($D31,'卡片raw data'!$F:$F,)),0)+IF($P31=1,INDEX('卡片raw data'!AA:AA,MATCH($D31,'卡片raw data'!$F:$F,)),0)+IF($P31=2,INDEX('卡片raw data'!AD:AD,MATCH($D31,'卡片raw data'!$F:$F,)),0)+IF($P31=3,INDEX('卡片raw data'!AG:AG,MATCH($D31,'卡片raw data'!$F:$F,)),0)+IF($P31=4,INDEX('卡片raw data'!AJ:AJ,MATCH($D31,'卡片raw data'!$F:$F,)),0)+IF($P31=5,INDEX('卡片raw data'!AM:AM,MATCH($D31,'卡片raw data'!$F:$F,)),0)+INDEX('卡片raw data'!U:U,MATCH($D31,'卡片raw data'!$F:$F,))*(IF($F31="UR",0.04,0.033))*(IF($F31="UR",INDEX(绊状态确认!$S:$S,MATCH($G31,绊状态确认!$B:$B,))/2-40)+IF($F31="SR",INDEX(绊状态确认!$R:$R,MATCH($G31,绊状态确认!$B:$B,))/4-15))+IF($F31="R",INDEX(绊状态确认!$Q:$Q,MATCH($G31,绊状态确认!$B:$B,))/6-40/6)))*(INDEX(绊状态确认!$H:$H,MATCH($G31,绊状态确认!$B:$B,))+INDEX(绊状态确认!L:L,MATCH($G31,绊状态确认!$B:$B,)))</f>
        <v>7682.0639999999994</v>
      </c>
      <c r="AO31" s="1107">
        <f t="shared" si="21"/>
        <v>1</v>
      </c>
      <c r="AP31" s="1131">
        <f>1+(INDEX(绊状态确认!$T:$T,MATCH($G31,绊状态确认!$B:$B,))+0.2)*$AO31</f>
        <v>1.3</v>
      </c>
      <c r="AQ31" s="1108">
        <f t="shared" si="22"/>
        <v>27448.501599999996</v>
      </c>
      <c r="AR31" s="1097">
        <f>(AM31*(1+$EX$9)+$EX$35)*(1+(INDEX(绊状态确认!$T:$T,MATCH($G31,绊状态确认!$B:$B,))+0.2)*AO31)*IF(J31=$FF$17,1+$FE$17,1)*IF(I31=$FF$14,1+$FE$14,1)*(1+$FE$15)</f>
        <v>21578.831248000002</v>
      </c>
      <c r="AS31" s="1097">
        <f>(AN31*(1+$EX$10)+$EX$36)*(1+(INDEX(绊状态确认!$T:$T,MATCH($G31,绊状态确认!$B:$B,))+0.2)*AO31)*IF(J31=$FF$17,1+$FE$17,1)*IF(I31=$FF$14,1+$FE$14,1)*(1+$FE$15)</f>
        <v>15540.685679999999</v>
      </c>
      <c r="AT31" s="1093">
        <f>IF(AND(INDEX('卡片raw data'!AK:AK,MATCH($D31,'卡片raw data'!$F:$F,))&lt;INDEX('卡片raw data'!AM:AM,MATCH($D31,'卡片raw data'!$F:$F,)),INDEX('卡片raw data'!AL:AL,MATCH($D31,'卡片raw data'!$F:$F,))&lt;INDEX('卡片raw data'!AM:AM,MATCH($D31,'卡片raw data'!$F:$F,))),1,0)</f>
        <v>0</v>
      </c>
      <c r="AU31" s="1098">
        <f>MIN(AT31*0.15+AS31*0.00003+INDEX(绊状态确认!M:M,MATCH($G31,绊状态确认!$B:$B,)),1)</f>
        <v>0.49622057040000001</v>
      </c>
      <c r="AV31" s="1109">
        <f>(INDEX(绊状态确认!$N:$N,MATCH($G31,绊状态确认!$B:$B,))+1.5)*$EW$21</f>
        <v>2.6599999999999997</v>
      </c>
      <c r="AW31" s="1101">
        <f t="shared" si="23"/>
        <v>25997.742029649777</v>
      </c>
      <c r="AX31" s="1097">
        <f t="shared" si="24"/>
        <v>1887.4331800458986</v>
      </c>
      <c r="AY31" s="1110">
        <f t="shared" si="25"/>
        <v>27885.175209695677</v>
      </c>
      <c r="AZ31" s="429">
        <f t="shared" si="26"/>
        <v>20576.029759999998</v>
      </c>
      <c r="BA31" s="431">
        <f t="shared" si="27"/>
        <v>24691.235711999998</v>
      </c>
      <c r="BB31" s="1097">
        <f>(AM31*(1+$FB$9)+$FB$35)*(1+(INDEX(绊状态确认!$T:$T,MATCH($G31,绊状态确认!$B:$B,))+0.2)*AO31)*IF(J31=$FF$17,1+$FE$17,1)*IF(I31=$FF$14,1+$FE$14,1)*(1+$FE$15)</f>
        <v>21578.831248000002</v>
      </c>
      <c r="BC31" s="1097">
        <f>(AN31*(1+$FB$10)+$FB$36)*(1+(INDEX(绊状态确认!$T:$T,MATCH($G31,绊状态确认!$B:$B,))+0.2)*AO31)*IF(J31=$FF$17,1+$FE$17,1)*IF(I31=$FF$14,1+$FE$14,1)*(1+$FE$15)</f>
        <v>15540.685679999999</v>
      </c>
      <c r="BD31" s="1104">
        <f>MIN(AT31*0.15+BC31*0.00003+INDEX(绊状态确认!M:M,MATCH($G31,绊状态确认!$B:$B,)),1)</f>
        <v>0.49622057040000001</v>
      </c>
      <c r="BE31" s="432">
        <f>(INDEX(绊状态确认!$N:$N,MATCH($G31,绊状态确认!$B:$B,))+1.5)</f>
        <v>1.9</v>
      </c>
      <c r="BF31" s="1139">
        <f t="array" ref="BF31">SUMPRODUCT(IF(AZ31*AP31*$FI$16:$FI$23*$FA$22&gt;=$FI$24,$FI$24,AZ31*AP31*$FI$16:$FI$23*$FA$22),$FJ$16:$FJ$23)</f>
        <v>40925.723192639991</v>
      </c>
      <c r="BG31" s="1125">
        <f t="array" ref="BG31">SUMPRODUCT(IF(BE31*AZ31*AP31*$FI$16:$FI$23*$FA$22&gt;=$FI$24,$FI$24,BE31*AZ31*AP31*$FI$16:$FI$23*$FA$22),$FJ$16:$FJ$23)</f>
        <v>60000</v>
      </c>
      <c r="BH31" s="1110">
        <f t="shared" si="28"/>
        <v>16796.923903318555</v>
      </c>
      <c r="BI31" s="1111">
        <f>IF(O31="vo",$EW$26/$EW$24*0.05,0)+IF(O31="sk",-$EW$26/$EW$24*(0.05-INDEX(绊状态确认!W:W,MATCH($G31,绊状态确认!$B:$B,)))+0.05*$EW$28,0)+IF(O31="sp",0.05*$EW$32*$EW$30*(1-$EW$33)-(0.05-INDEX(绊状态确认!V:V,MATCH($G31,绊状态确认!$B:$B,)))*$EW$28,0)+IF(O31="gd",-(0.05-INDEX(绊状态确认!X:X,MATCH($G31,绊状态确认!$B:$B,)))*$EW$32*$EW$30*(1-$EW$33),0)</f>
        <v>-6253.6726349699375</v>
      </c>
      <c r="BJ31" s="1097">
        <f>IF(O31="vo",0.05*(1-$FI$26)*$FA$24,0)+IF(O31="sk",-(0.05-INDEX(绊状态确认!W:W,MATCH($G31,绊状态确认!$B:$B,)))*(1-$FI$26)*$FA$24+0.05*$FA$26,0)+IF(O31="sp",0.05*$FA$32*$FA$27*(1-$FA$33)/$FA$30+0.05*$FA$29/$FA$69*$FA$27*(1-$FA$33)-(0.05-INDEX(绊状态确认!V:V,MATCH($G31,绊状态确认!$B:$B,)))*$FA$26,0)+IF(O31="gd",-(0.05-INDEX(绊状态确认!X:X,MATCH($G31,绊状态确认!$B:$B,)))*$FA$32*$FA$27*(1-$FA$33)/$FA$30-(0.05-INDEX(绊状态确认!X:X,MATCH($G31,绊状态确认!$B:$B,)))*$FA$29/$FA$69*$FA$27*(1-$FA$33),0)</f>
        <v>20.459096812499922</v>
      </c>
      <c r="BK31" s="1110">
        <f>IF(O31="vo",$EW$26/$EW$24*0.05+$EW$26*(-HP($EW$62,$EW$65,$EW$64)+HP($EW$62,$EW$65,(1.05-INDEX(绊状态确认!U:U,MATCH($G31,绊状态确认!$B:$B,)))*$EW$64)),0)+IF(O31="sk",-$EW$26/$EW$24*(0.05-INDEX(绊状态确认!W:W,MATCH($G31,绊状态确认!$B:$B,)))+0.05*$EW$29,0)+IF(O31="sp",0.05*$EW$32*$EW$30*(1-$EW$33)-(0.05-INDEX(绊状态确认!V:V,MATCH($G31,绊状态确认!$B:$B,)))*$EW$29,0)+IF(O31="gd",-(0.05-INDEX(绊状态确认!X:X,MATCH($G31,绊状态确认!$B:$B,)))*$EW$32*$EW$30*(1-$EW$33)+$EW$26*(-HP($EW$62,$EW$65,$EW$64)+HP($EW$62,$EW$65,0.95*$EW$64)),0)</f>
        <v>-4253.6726349699375</v>
      </c>
      <c r="BL31" s="1111">
        <f t="shared" si="29"/>
        <v>0</v>
      </c>
      <c r="BM31" s="1110">
        <f t="shared" si="30"/>
        <v>0</v>
      </c>
      <c r="BN31" s="1113">
        <f t="shared" si="31"/>
        <v>3</v>
      </c>
      <c r="BO31" s="1097">
        <f t="shared" si="32"/>
        <v>4507.7214871259994</v>
      </c>
      <c r="BP31" s="1100">
        <f t="shared" si="33"/>
        <v>221.34103209030098</v>
      </c>
      <c r="BQ31" s="1113" t="s">
        <v>145</v>
      </c>
      <c r="BR31" s="1124" t="s">
        <v>147</v>
      </c>
      <c r="BS31" s="1098">
        <f>IF($P31="","N/A",IF($P31=-1,INDEX('卡片raw data'!AX:AX,MATCH($D31,'卡片raw data'!$F:$F,)),0)+IF($L31="party卡",IF($P31=5,INDEX('卡片raw data'!BD:BD,MATCH($D31,'卡片raw data'!$F:$F,)),IF($P31&gt;=3,INDEX('卡片raw data'!BC:BC,MATCH($D31,'卡片raw data'!$F:$F,)),INDEX('卡片raw data'!BB:BB,MATCH($D31,'卡片raw data'!$F:$F,)))),IF(OR(AND($F31="UR",$P31=0),AND($F31="SR",$P31&gt;=0,$P31&lt;=2),AND($F31="R",$P31&gt;=0,$P31&lt;4)),INDEX('卡片raw data'!AZ:AZ,MATCH($D31,'卡片raw data'!$F:$F,)),0)+IF(OR(AND($F31="UR",$P31&gt;=1,$P31&lt;=4),AND($F31="SR",$P31&lt;=4,$P31&gt;=3),AND($F31="R",$P31=4)),INDEX('卡片raw data'!BA:BA,MATCH($D31,'卡片raw data'!$F:$F,)),0)+IF($P31=5,INDEX('卡片raw data'!BB:BB,MATCH($D31,'卡片raw data'!$F:$F,)),0)))</f>
        <v>4.2000000000000003E-2</v>
      </c>
      <c r="BT31" s="1101">
        <f t="shared" si="34"/>
        <v>2971.3299858096102</v>
      </c>
      <c r="BU31" s="1097">
        <f t="shared" si="35"/>
        <v>214.92580204297263</v>
      </c>
      <c r="BV31" s="1097">
        <f t="shared" si="36"/>
        <v>2971.3299858096102</v>
      </c>
      <c r="BW31" s="1112">
        <f t="shared" si="37"/>
        <v>0</v>
      </c>
      <c r="BX31" s="1100">
        <f t="shared" si="38"/>
        <v>2971.3299858096102</v>
      </c>
      <c r="BY31" s="1110">
        <f t="shared" si="39"/>
        <v>2971.3299858096102</v>
      </c>
      <c r="BZ31" s="1107" t="s">
        <v>569</v>
      </c>
      <c r="CA31" s="1124"/>
      <c r="CB31" s="1098">
        <f>IF($P31="","N/A",IF($P31=-1,INDEX('卡片raw data'!BE:BE,MATCH($D31,'卡片raw data'!$F:$F,)),0)+IF($L31="party卡",IF($P31=5,INDEX('卡片raw data'!BK:BK,MATCH($D31,'卡片raw data'!$F:$F,)),IF($P31&gt;=3,INDEX('卡片raw data'!BJ:BJ,MATCH($D31,'卡片raw data'!$F:$F,)),INDEX('卡片raw data'!BI:BI,MATCH($D31,'卡片raw data'!$F:$F,)))),IF(OR(AND($F31="UR",$P31=0),AND($F31="SR",$P31&gt;=0,$P31&lt;=2),AND($F31="R",$P31&gt;=0,$P31&lt;4)),INDEX('卡片raw data'!BG:BG,MATCH($D31,'卡片raw data'!$F:$F,)),0)+IF(OR(AND($F31="UR",$P31&gt;=1,$P31&lt;=4),AND($F31="SR",$P31&lt;=4,$P31&gt;=3),AND($F31="R",$P31=4)),INDEX('卡片raw data'!BH:BH,MATCH($D31,'卡片raw data'!$F:$F,)),0)+IF($P31=5,INDEX('卡片raw data'!BI:BI,MATCH($D31,'卡片raw data'!$F:$F,)),0)))</f>
        <v>0</v>
      </c>
      <c r="CC31" s="1101">
        <f t="shared" si="40"/>
        <v>0</v>
      </c>
      <c r="CD31" s="1097">
        <f>IF(BZ31="ap",CB31*(1-$FI$26)*$FB$5/$FB$11*(+IF(CA31="全员",$FA$24,0)+IF(CA31="同作战",$FA$24,0)+IF(CA31="仲间",$FA$24*2/3,0)+IF(CA31="同属性",$FA$24*$FA$37/3,0)+IF(CA31="同年级",$FA$24*$FA$40/3,0)+IF(CA31="同学校",$FA$24*$FA$43/3,0)+IF(CA31="同小队",$FA$24*$FA$46/3,0)+IF(CA31="同type",$FA$24*INDEX($FB$49:$FB$52,MATCH(X31,$FA$49:$FA$52,))/3,0)+IF(CA31="自身",#REF!/3,0)),0)+IF(BZ31="te",CB31*(1-$FI$27)*($FA$20-1)*$FB$7/$FB$13*(+IF(CA31="全员",$FA$19*$FA$24/(1+($FA$20-1)*$FA$19),0)+IF(CA31="同作战",$FA$19*$FA$24/(1+($FA$20-1)*$FA$19),0)+IF(CA31="仲间",$FA$19*$FA$24*2/3/(1+($FA$20-1)*$FA$19),0)+IF(CA31="同属性",$FA$19*$FA$24*$FA$37/3/(1+($FA$20-1)*$FA$19),0)+IF(CA31="同年级",$FA$19*$FA$24*$FA$40/3/(1+($FA$20-1)*$FA$19),0)+IF(CA31="同学校",$FA$19*$FA$24*$FA$43/3/(1+($FA$20-1)*$FA$19),0)+IF(CA31="同小队",$FA$19*$FA$24*$FA$46/3/(1+($FA$20-1)*$FA$19),0)+IF(CA31="同type",$FA$19*$FA$24*INDEX($FB$49:$FB$52,MATCH(X31,$FA$49:$FA$52,))/3/(1+($FA$20-1)*$FA$19),0)+IF(CA31="自身",$FA$19*#REF!/3/(1+(BH31-1)*$BD31),0)),0)</f>
        <v>0</v>
      </c>
      <c r="CE31" s="1097">
        <f t="shared" si="41"/>
        <v>0</v>
      </c>
      <c r="CF31" s="1112">
        <f t="shared" si="42"/>
        <v>0</v>
      </c>
      <c r="CG31" s="1100">
        <f t="shared" si="43"/>
        <v>0</v>
      </c>
      <c r="CH31" s="1110">
        <f t="shared" si="44"/>
        <v>0</v>
      </c>
      <c r="CI31" s="1113" t="s">
        <v>162</v>
      </c>
      <c r="CJ31" s="1114">
        <v>0.3</v>
      </c>
      <c r="CK31" s="1115" t="s">
        <v>154</v>
      </c>
      <c r="CL31" s="1115" t="s">
        <v>161</v>
      </c>
      <c r="CM31" s="1119">
        <v>1.7000000000000001E-2</v>
      </c>
      <c r="CN31" s="1115" t="s">
        <v>163</v>
      </c>
      <c r="CO31" s="1092">
        <v>1</v>
      </c>
      <c r="CP31" s="1118">
        <f t="shared" si="45"/>
        <v>9.5714395714285722E-3</v>
      </c>
      <c r="CQ31" s="1118">
        <f t="shared" si="46"/>
        <v>9.5714395714285722E-3</v>
      </c>
      <c r="CR31" s="1118">
        <f t="shared" si="47"/>
        <v>9.5714395714285722E-3</v>
      </c>
      <c r="CS31" s="1118">
        <f t="shared" si="48"/>
        <v>8.8833521249999971E-3</v>
      </c>
      <c r="CT31" s="1109">
        <f t="shared" si="49"/>
        <v>0</v>
      </c>
      <c r="CU31" s="1101">
        <f t="shared" si="50"/>
        <v>406.06107272727274</v>
      </c>
      <c r="CV31" s="1108">
        <f t="shared" si="51"/>
        <v>217.53271753246756</v>
      </c>
      <c r="CW31" s="1097">
        <f t="shared" si="52"/>
        <v>406.06107272727274</v>
      </c>
      <c r="CX31" s="1097">
        <f t="shared" si="53"/>
        <v>406.06107272727274</v>
      </c>
      <c r="CY31" s="1110">
        <f t="shared" si="54"/>
        <v>406.06107272727274</v>
      </c>
      <c r="CZ31" s="437"/>
      <c r="DA31" s="438"/>
      <c r="DB31" s="439" t="s">
        <v>569</v>
      </c>
      <c r="DC31" s="439"/>
      <c r="DD31" s="443"/>
      <c r="DE31" s="411"/>
      <c r="DF31" s="411"/>
      <c r="DG31" s="1116">
        <f t="shared" si="55"/>
        <v>0</v>
      </c>
      <c r="DH31" s="1116">
        <f t="shared" si="56"/>
        <v>0</v>
      </c>
      <c r="DI31" s="1116">
        <f t="shared" si="57"/>
        <v>0</v>
      </c>
      <c r="DJ31" s="442">
        <f t="shared" si="58"/>
        <v>0</v>
      </c>
      <c r="DK31" s="1109">
        <f t="shared" si="59"/>
        <v>0</v>
      </c>
      <c r="DL31" s="1101">
        <f t="shared" si="60"/>
        <v>0</v>
      </c>
      <c r="DM31" s="1097">
        <f t="shared" si="61"/>
        <v>0</v>
      </c>
      <c r="DN31" s="1097">
        <f t="shared" si="62"/>
        <v>0</v>
      </c>
      <c r="DO31" s="1097">
        <f t="shared" si="63"/>
        <v>0</v>
      </c>
      <c r="DP31" s="1110">
        <f t="shared" si="64"/>
        <v>0</v>
      </c>
      <c r="DQ31" s="1113" t="s">
        <v>154</v>
      </c>
      <c r="DR31" s="1120">
        <f t="shared" si="65"/>
        <v>0.33</v>
      </c>
      <c r="DS31" s="1124">
        <v>5</v>
      </c>
      <c r="DT31" s="1093" t="s">
        <v>161</v>
      </c>
      <c r="DU31" s="1093" t="s">
        <v>544</v>
      </c>
      <c r="DV31" s="1098">
        <f>IF($P31="","N/A",IF(P31=-1,INDEX('卡片raw data'!AN:AN,MATCH(D31,'卡片raw data'!$F:$F,)),0)+IF(AND(L31&lt;&gt;"party卡",P31&lt;=2,P31&gt;=0),INDEX('卡片raw data'!AP:AP,MATCH(D31,'卡片raw data'!$F:$F,)),0)+IF(OR(AND(L31="party卡",P31&lt;=1),AND(P31&lt;=4,L31&lt;&gt;"party卡",P31&gt;=3)),INDEX('卡片raw data'!AQ:AQ,MATCH(D31,'卡片raw data'!$F:$F,)),0)+IF(OR(P31=5,AND(L31="party卡",P31&gt;=2)),INDEX('卡片raw data'!AR:AR,MATCH(D31,'卡片raw data'!$F:$F,)),0))</f>
        <v>0.04</v>
      </c>
      <c r="DW31" s="1098">
        <f t="shared" si="66"/>
        <v>0.33</v>
      </c>
      <c r="DX31" s="1098">
        <f t="shared" si="67"/>
        <v>0.33</v>
      </c>
      <c r="DY31" s="1098">
        <f t="shared" si="68"/>
        <v>2.2000000000000002E-2</v>
      </c>
      <c r="DZ31" s="1098">
        <f t="shared" si="69"/>
        <v>1.9030000000000002E-2</v>
      </c>
      <c r="EA31" s="1098">
        <f t="shared" si="70"/>
        <v>1.9805946875000001E-2</v>
      </c>
      <c r="EB31" s="1121">
        <f t="shared" si="71"/>
        <v>0</v>
      </c>
      <c r="EC31" s="1101">
        <f t="shared" si="72"/>
        <v>933.33333333333348</v>
      </c>
      <c r="ED31" s="1097">
        <f t="shared" si="73"/>
        <v>432.50000000000006</v>
      </c>
      <c r="EE31" s="1110">
        <f t="shared" si="74"/>
        <v>933.33333333333348</v>
      </c>
      <c r="EF31" s="1092" t="s">
        <v>711</v>
      </c>
      <c r="EG31" s="1120">
        <f t="shared" si="75"/>
        <v>0.33</v>
      </c>
      <c r="EH31" s="1124"/>
      <c r="EI31" s="1093"/>
      <c r="EJ31" s="1093"/>
      <c r="EK31" s="1097">
        <f>IF($P31="","N/A",IF(P31=-1,INDEX('卡片raw data'!AS:AS,MATCH(D31,'卡片raw data'!$F:$F,)),0)+IF(AND(L31&lt;&gt;"party卡",P31&lt;=2,P31&gt;=0),INDEX('卡片raw data'!AU:AU,MATCH(D31,'卡片raw data'!$F:$F,)),0)+IF(OR(AND(L31="party卡",P31&lt;=1),AND(P31&lt;=4,L31&lt;&gt;"party卡",P31&gt;=3)),INDEX('卡片raw data'!AV:AV,MATCH(D31,'卡片raw data'!$F:$F,)),0)+IF(OR(P31=5,AND(L31="party卡",P31&gt;=2)),INDEX('卡片raw data'!AW:AW,MATCH(D31,'卡片raw data'!$F:$F,)),0))</f>
        <v>0</v>
      </c>
      <c r="EL31" s="1098">
        <f t="shared" si="76"/>
        <v>0.33</v>
      </c>
      <c r="EM31" s="1098">
        <f t="shared" si="77"/>
        <v>0.33</v>
      </c>
      <c r="EN31" s="1125">
        <f t="shared" si="78"/>
        <v>0</v>
      </c>
      <c r="EO31" s="1125">
        <f t="shared" si="79"/>
        <v>0</v>
      </c>
      <c r="EP31" s="1098">
        <f t="shared" si="80"/>
        <v>0</v>
      </c>
      <c r="EQ31" s="1121">
        <f t="shared" si="81"/>
        <v>0</v>
      </c>
      <c r="ER31" s="1101">
        <f t="shared" si="82"/>
        <v>0</v>
      </c>
      <c r="ES31" s="1097">
        <f t="shared" si="83"/>
        <v>0</v>
      </c>
      <c r="ET31" s="1122">
        <f t="shared" si="84"/>
        <v>0</v>
      </c>
      <c r="EV31" s="1223" t="s">
        <v>278</v>
      </c>
      <c r="EW31" s="1323">
        <v>208</v>
      </c>
      <c r="EX31" s="1324"/>
      <c r="EY31" s="1212"/>
      <c r="EZ31" s="1223" t="s">
        <v>1961</v>
      </c>
      <c r="FA31" s="1323">
        <f>FA28*FA30</f>
        <v>239.2</v>
      </c>
      <c r="FB31" s="1324"/>
      <c r="FC31" s="447"/>
      <c r="FD31" s="447"/>
      <c r="FE31" s="447"/>
      <c r="FF31" s="642"/>
      <c r="FG31" s="642"/>
      <c r="FH31" s="652" t="s">
        <v>2324</v>
      </c>
      <c r="FI31" s="642"/>
      <c r="FJ31" s="447"/>
      <c r="FL31" s="472" t="s">
        <v>687</v>
      </c>
      <c r="FM31" s="1356">
        <v>80</v>
      </c>
      <c r="FN31" s="1357"/>
    </row>
    <row r="32" spans="2:170" ht="16.5" customHeight="1">
      <c r="B32" s="1123" t="str">
        <f>INDEX('卡片raw data'!B:B,MATCH($D32,'卡片raw data'!$F:$F,))</f>
        <v>校服花</v>
      </c>
      <c r="C32" s="449" t="s">
        <v>69</v>
      </c>
      <c r="D32" s="408">
        <v>29</v>
      </c>
      <c r="E32" s="1090">
        <v>100081001</v>
      </c>
      <c r="F32" s="1090" t="str">
        <f>INDEX('卡片raw data'!C:C,MATCH($D32,'卡片raw data'!$F:$F,))</f>
        <v>R</v>
      </c>
      <c r="G32" s="1094" t="s">
        <v>337</v>
      </c>
      <c r="H32" s="411">
        <f>IFERROR(INDEX(绊状态确认!C:C,MATCH($G32,绊状态确认!$B:$B,)),"")</f>
        <v>8</v>
      </c>
      <c r="I32" s="450" t="str">
        <f>IFERROR(INDEX(绊状态确认!D:D,MATCH($G32,绊状态确认!$B:$B,)),"")</f>
        <v>缪</v>
      </c>
      <c r="J32" s="450" t="str">
        <f>IFERROR(INDEX(绊状态确认!E:E,MATCH($G32,绊状态确认!$B:$B,)),"")</f>
        <v>1年级</v>
      </c>
      <c r="K32" s="451" t="str">
        <f>IFERROR(INDEX(绊状态确认!F:F,MATCH($G32,绊状态确认!$B:$B,)),"")</f>
        <v>Printemps</v>
      </c>
      <c r="L32" s="1094" t="str">
        <f>INDEX('卡片raw data'!E:E,MATCH($D32,'卡片raw data'!$F:$F,))</f>
        <v>卡池卡</v>
      </c>
      <c r="M32" s="415">
        <v>43735</v>
      </c>
      <c r="N32" s="416">
        <v>0</v>
      </c>
      <c r="O32" s="1091" t="str">
        <f>INDEX('卡片raw data'!D:D,MATCH($D32,'卡片raw data'!$F:$F,))</f>
        <v>sp</v>
      </c>
      <c r="P32" s="417">
        <v>5</v>
      </c>
      <c r="Q32" s="1095">
        <f t="shared" si="0"/>
        <v>10885.920047327685</v>
      </c>
      <c r="R32" s="1096">
        <f t="shared" si="1"/>
        <v>0.126</v>
      </c>
      <c r="S32" s="1097">
        <f t="shared" si="2"/>
        <v>7210.2425169663711</v>
      </c>
      <c r="T32" s="1098">
        <f t="shared" si="3"/>
        <v>0.36</v>
      </c>
      <c r="U32" s="1099">
        <f t="shared" si="4"/>
        <v>22.129922339285713</v>
      </c>
      <c r="V32" s="1100">
        <f t="shared" si="5"/>
        <v>11395.515651152342</v>
      </c>
      <c r="W32" s="1101">
        <f t="shared" si="6"/>
        <v>3005.1476580839999</v>
      </c>
      <c r="X32" s="1096">
        <f t="shared" si="7"/>
        <v>3.4000000000000002E-2</v>
      </c>
      <c r="Y32" s="1097">
        <f t="shared" si="8"/>
        <v>897.6104754690723</v>
      </c>
      <c r="Z32" s="1102">
        <f t="shared" si="9"/>
        <v>11.323672339285713</v>
      </c>
      <c r="AA32" s="1103">
        <f t="shared" si="10"/>
        <v>3902.7581335530722</v>
      </c>
      <c r="AB32" s="1101">
        <f t="shared" si="11"/>
        <v>3005.1476580839999</v>
      </c>
      <c r="AC32" s="1104">
        <f t="shared" si="12"/>
        <v>3.4000000000000002E-2</v>
      </c>
      <c r="AD32" s="1105">
        <f t="shared" si="13"/>
        <v>-1.9908281250000003E-2</v>
      </c>
      <c r="AE32" s="1128">
        <f t="shared" si="14"/>
        <v>-11.768115942028986</v>
      </c>
      <c r="AF32" s="1130">
        <f t="shared" si="15"/>
        <v>0</v>
      </c>
      <c r="AG32" s="420">
        <f t="shared" si="16"/>
        <v>0</v>
      </c>
      <c r="AH32" s="420">
        <f t="shared" si="17"/>
        <v>0</v>
      </c>
      <c r="AI32" s="1097">
        <f t="shared" si="18"/>
        <v>0</v>
      </c>
      <c r="AJ32" s="420">
        <f t="shared" si="19"/>
        <v>0</v>
      </c>
      <c r="AK32" s="518">
        <f t="shared" si="20"/>
        <v>0</v>
      </c>
      <c r="AL32" s="1106">
        <f>IF($P32="","N/A",(IF($P32=-1,INDEX('卡片raw data'!S:S,MATCH($D32,'卡片raw data'!$F:$F,)),0)+IF($P32=0,INDEX('卡片raw data'!V:V,MATCH($D32,'卡片raw data'!$F:$F,)),0)+IF($P32=1,INDEX('卡片raw data'!Y:Y,MATCH($D32,'卡片raw data'!$F:$F,)),0)+IF($P32=2,INDEX('卡片raw data'!AB:AB,MATCH($D32,'卡片raw data'!$F:$F,)),0)+IF($P32=3,INDEX('卡片raw data'!AE:AE,MATCH($D32,'卡片raw data'!$F:$F,)),0)+IF($P32=4,INDEX('卡片raw data'!AH:AH,MATCH($D32,'卡片raw data'!$F:$F,)),0)+IF($P32=5,INDEX('卡片raw data'!AK:AK,MATCH($D32,'卡片raw data'!$F:$F,)),0)+INDEX('卡片raw data'!S:S,MATCH($D32,'卡片raw data'!$F:$F,))*(IF($F32="UR",0.04,0.033))*(IF($F32="UR",INDEX(绊状态确认!$S:$S,MATCH($G32,绊状态确认!$B:$B,))/2-40)+IF($F32="SR",INDEX(绊状态确认!$R:$R,MATCH($G32,绊状态确认!$B:$B,))/4-15))+IF($F32="R",INDEX(绊状态确认!$Q:$Q,MATCH($G32,绊状态确认!$B:$B,))/6-40/6)))*(INDEX(绊状态确认!$H:$H,MATCH($G32,绊状态确认!$B:$B,))+INDEX(绊状态确认!J:J,MATCH($G32,绊状态确认!$B:$B,)))</f>
        <v>3601.2515999999996</v>
      </c>
      <c r="AM32" s="1106">
        <f>IF($P32="","N/A",(IF($P32=-1,INDEX('卡片raw data'!T:T,MATCH($D32,'卡片raw data'!$F:$F,)),0)+IF($P32=0,INDEX('卡片raw data'!W:W,MATCH($D32,'卡片raw data'!$F:$F,)),0)+IF($P32=1,INDEX('卡片raw data'!Z:Z,MATCH($D32,'卡片raw data'!$F:$F,)),0)+IF($P32=2,INDEX('卡片raw data'!AC:AC,MATCH($D32,'卡片raw data'!$F:$F,)),0)+IF($P32=3,INDEX('卡片raw data'!AF:AF,MATCH($D32,'卡片raw data'!$F:$F,)),0)+IF($P32=4,INDEX('卡片raw data'!AI:AI,MATCH($D32,'卡片raw data'!$F:$F,)),0)+IF($P32=5,INDEX('卡片raw data'!AL:AL,MATCH($D32,'卡片raw data'!$F:$F,)),0)+INDEX('卡片raw data'!T:T,MATCH($D32,'卡片raw data'!$F:$F,))*(IF($F32="UR",0.04,0.033))*(IF($F32="UR",INDEX(绊状态确认!$S:$S,MATCH($G32,绊状态确认!$B:$B,))/2-40)+IF($F32="SR",INDEX(绊状态确认!$R:$R,MATCH($G32,绊状态确认!$B:$B,))/4-15))+IF($F32="R",INDEX(绊状态确认!$Q:$Q,MATCH($G32,绊状态确认!$B:$B,))/6-40/6)))*(INDEX(绊状态确认!$H:$H,MATCH($G32,绊状态确认!$B:$B,))+INDEX(绊状态确认!K:K,MATCH($G32,绊状态确认!$B:$B,)))</f>
        <v>4801.2899999999991</v>
      </c>
      <c r="AN32" s="1106">
        <f>IF($P32="","N/A",(IF($P32=-1,INDEX('卡片raw data'!U:U,MATCH($D32,'卡片raw data'!$F:$F,)),0)+IF($P32=0,INDEX('卡片raw data'!X:X,MATCH($D32,'卡片raw data'!$F:$F,)),0)+IF($P32=1,INDEX('卡片raw data'!AA:AA,MATCH($D32,'卡片raw data'!$F:$F,)),0)+IF($P32=2,INDEX('卡片raw data'!AD:AD,MATCH($D32,'卡片raw data'!$F:$F,)),0)+IF($P32=3,INDEX('卡片raw data'!AG:AG,MATCH($D32,'卡片raw data'!$F:$F,)),0)+IF($P32=4,INDEX('卡片raw data'!AJ:AJ,MATCH($D32,'卡片raw data'!$F:$F,)),0)+IF($P32=5,INDEX('卡片raw data'!AM:AM,MATCH($D32,'卡片raw data'!$F:$F,)),0)+INDEX('卡片raw data'!U:U,MATCH($D32,'卡片raw data'!$F:$F,))*(IF($F32="UR",0.04,0.033))*(IF($F32="UR",INDEX(绊状态确认!$S:$S,MATCH($G32,绊状态确认!$B:$B,))/2-40)+IF($F32="SR",INDEX(绊状态确认!$R:$R,MATCH($G32,绊状态确认!$B:$B,))/4-15))+IF($F32="R",INDEX(绊状态确认!$Q:$Q,MATCH($G32,绊状态确认!$B:$B,))/6-40/6)))*(INDEX(绊状态确认!$H:$H,MATCH($G32,绊状态确认!$B:$B,))+INDEX(绊状态确认!L:L,MATCH($G32,绊状态确认!$B:$B,)))</f>
        <v>3601.2515999999996</v>
      </c>
      <c r="AO32" s="1107">
        <f t="shared" si="21"/>
        <v>1</v>
      </c>
      <c r="AP32" s="1131">
        <f>1+(INDEX(绊状态确认!$T:$T,MATCH($G32,绊状态确认!$B:$B,))+0.2)*$AO32</f>
        <v>1.3</v>
      </c>
      <c r="AQ32" s="1108">
        <f t="shared" si="22"/>
        <v>12703.285449999999</v>
      </c>
      <c r="AR32" s="1097">
        <f>(AM32*(1+$EX$9)+$EX$35)*(1+(INDEX(绊状态确认!$T:$T,MATCH($G32,绊状态确认!$B:$B,))+0.2)*AO32)*IF(J32=$FF$17,1+$FE$17,1)*IF(I32=$FF$14,1+$FE$14,1)</f>
        <v>9257.7608499999988</v>
      </c>
      <c r="AS32" s="1097">
        <f>(AN32*(1+$EX$10)+$EX$36)*(1+(INDEX(绊状态确认!$T:$T,MATCH($G32,绊状态确认!$B:$B,))+0.2)*AO32)*IF(J32=$FF$17,1+$FE$17,1)*IF(I32=$FF$14,1+$FE$14,1)</f>
        <v>9439.8711419999981</v>
      </c>
      <c r="AT32" s="1093">
        <f>IF(AND(INDEX('卡片raw data'!AK:AK,MATCH($D32,'卡片raw data'!$F:$F,))&lt;INDEX('卡片raw data'!AM:AM,MATCH($D32,'卡片raw data'!$F:$F,)),INDEX('卡片raw data'!AL:AL,MATCH($D32,'卡片raw data'!$F:$F,))&lt;INDEX('卡片raw data'!AM:AM,MATCH($D32,'卡片raw data'!$F:$F,))),1,0)</f>
        <v>0</v>
      </c>
      <c r="AU32" s="1098">
        <f>MIN(AT32*0.15+AS32*0.00003+INDEX(绊状态确认!M:M,MATCH($G32,绊状态确认!$B:$B,)),1)</f>
        <v>0.31319613425999998</v>
      </c>
      <c r="AV32" s="1109">
        <f>(INDEX(绊状态确认!$N:$N,MATCH($G32,绊状态确认!$B:$B,))+1.5)*$EW$21</f>
        <v>2.6599999999999997</v>
      </c>
      <c r="AW32" s="1101">
        <f t="shared" si="23"/>
        <v>10027.43905591035</v>
      </c>
      <c r="AX32" s="1097">
        <f t="shared" si="24"/>
        <v>787.93561854235759</v>
      </c>
      <c r="AY32" s="1110">
        <f t="shared" si="25"/>
        <v>10815.374674452709</v>
      </c>
      <c r="AZ32" s="429">
        <f t="shared" si="26"/>
        <v>9622.4406199999994</v>
      </c>
      <c r="BA32" s="431">
        <f t="shared" si="27"/>
        <v>11546.928743999999</v>
      </c>
      <c r="BB32" s="1097">
        <f>(AM32*(1+$FB$9)+$FB$35)*(1+(INDEX(绊状态确认!$T:$T,MATCH($G32,绊状态确认!$B:$B,))+0.2)*AO32)*IF(J32=$FF$17,1+$FE$17,1)*IF(I32=$FF$14,1+$FE$14,1)*(1+$FE$15)</f>
        <v>9257.7608499999988</v>
      </c>
      <c r="BC32" s="1097">
        <f>(AN32*(1+$FB$10)+$FB$36)*(1+(INDEX(绊状态确认!$T:$T,MATCH($G32,绊状态确认!$B:$B,))+0.2)*AO32)*IF(J32=$FF$17,1+$FE$17,1)*IF(I32=$FF$14,1+$FE$14,1)*(1+$FE$15)</f>
        <v>9439.8711419999981</v>
      </c>
      <c r="BD32" s="1104">
        <f>MIN(AT32*0.15+BC32*0.00003+INDEX(绊状态确认!M:M,MATCH($G32,绊状态确认!$B:$B,)),1)</f>
        <v>0.31319613425999998</v>
      </c>
      <c r="BE32" s="432">
        <f>(INDEX(绊状态确认!$N:$N,MATCH($G32,绊状态确认!$B:$B,))+1.5)</f>
        <v>1.9</v>
      </c>
      <c r="BF32" s="1139">
        <f t="array" ref="BF32">SUMPRODUCT(IF(AZ32*AP32*$FI$16:$FI$23*$FA$22&gt;=$FI$24,$FI$24,AZ32*AP32*$FI$16:$FI$23*$FA$22),$FJ$16:$FJ$23)</f>
        <v>19139.034393180002</v>
      </c>
      <c r="BG32" s="1125">
        <f t="array" ref="BG32">SUMPRODUCT(IF(BE32*AZ32*AP32*$FI$16:$FI$23*$FA$22&gt;=$FI$24,$FI$24,BE32*AZ32*AP32*$FI$16:$FI$23*$FA$22),$FJ$16:$FJ$23)</f>
        <v>36364.165347041999</v>
      </c>
      <c r="BH32" s="1110">
        <f t="shared" si="28"/>
        <v>8177.9596066839486</v>
      </c>
      <c r="BI32" s="1111">
        <f>IF(O32="vo",$EW$26/$EW$24*0.05,0)+IF(O32="sk",-$EW$26/$EW$24*(0.05-INDEX(绊状态确认!W:W,MATCH($G32,绊状态确认!$B:$B,)))+0.05*$EW$28,0)+IF(O32="sp",0.05*$EW$32*$EW$30*(1-$EW$33)-(0.05-INDEX(绊状态确认!V:V,MATCH($G32,绊状态确认!$B:$B,)))*$EW$28,0)+IF(O32="gd",-(0.05-INDEX(绊状态确认!X:X,MATCH($G32,绊状态确认!$B:$B,)))*$EW$32*$EW$30*(1-$EW$33),0)</f>
        <v>19.999999999999886</v>
      </c>
      <c r="BJ32" s="1097">
        <f>IF(O32="vo",0.05*(1-$FI$26)*$FA$24,0)+IF(O32="sk",-(0.05-INDEX(绊状态确认!W:W,MATCH($G32,绊状态确认!$B:$B,)))*(1-$FI$26)*$FA$24+0.05*$FA$26,0)+IF(O32="sp",0.05*$FA$32*$FA$27*(1-$FA$33)/$FA$30+0.05*$FA$29/$FA$69*$FA$27*(1-$FA$33)-(0.05-INDEX(绊状态确认!V:V,MATCH($G32,绊状态确认!$B:$B,)))*$FA$26,0)+IF(O32="gd",-(0.05-INDEX(绊状态确认!X:X,MATCH($G32,绊状态确认!$B:$B,)))*$FA$32*$FA$27*(1-$FA$33)/$FA$30-(0.05-INDEX(绊状态确认!X:X,MATCH($G32,绊状态确认!$B:$B,)))*$FA$29/$FA$69*$FA$27*(1-$FA$33),0)</f>
        <v>545.83333333333326</v>
      </c>
      <c r="BK32" s="1110">
        <f>IF(O32="vo",$EW$26/$EW$24*0.05+$EW$26*(-HP($EW$62,$EW$65,$EW$64)+HP($EW$62,$EW$65,(1.05-INDEX(绊状态确认!U:U,MATCH($G32,绊状态确认!$B:$B,)))*$EW$64)),0)+IF(O32="sk",-$EW$26/$EW$24*(0.05-INDEX(绊状态确认!W:W,MATCH($G32,绊状态确认!$B:$B,)))+0.05*$EW$29,0)+IF(O32="sp",0.05*$EW$32*$EW$30*(1-$EW$33)-(0.05-INDEX(绊状态确认!V:V,MATCH($G32,绊状态确认!$B:$B,)))*$EW$29,0)+IF(O32="gd",-(0.05-INDEX(绊状态确认!X:X,MATCH($G32,绊状态确认!$B:$B,)))*$EW$32*$EW$30*(1-$EW$33)+$EW$26*(-HP($EW$62,$EW$65,$EW$64)+HP($EW$62,$EW$65,0.95*$EW$64)),0)</f>
        <v>-1780.0000000000005</v>
      </c>
      <c r="BL32" s="1111">
        <f t="shared" si="29"/>
        <v>-2166.6666666666665</v>
      </c>
      <c r="BM32" s="1110">
        <f t="shared" si="30"/>
        <v>-1661.1111111111109</v>
      </c>
      <c r="BN32" s="1113">
        <f t="shared" si="31"/>
        <v>2</v>
      </c>
      <c r="BO32" s="1097">
        <f t="shared" si="32"/>
        <v>3005.1476580839999</v>
      </c>
      <c r="BP32" s="1100">
        <f t="shared" si="33"/>
        <v>147.56068806020068</v>
      </c>
      <c r="BQ32" s="1113" t="s">
        <v>618</v>
      </c>
      <c r="BR32" s="1124" t="s">
        <v>168</v>
      </c>
      <c r="BS32" s="1098">
        <f>IF($P32="","N/A",IF($P32=-1,INDEX('卡片raw data'!AX:AX,MATCH($D32,'卡片raw data'!$F:$F,)),0)+IF($L32="party卡",IF($P32=5,INDEX('卡片raw data'!BD:BD,MATCH($D32,'卡片raw data'!$F:$F,)),IF($P32&gt;=3,INDEX('卡片raw data'!BC:BC,MATCH($D32,'卡片raw data'!$F:$F,)),INDEX('卡片raw data'!BB:BB,MATCH($D32,'卡片raw data'!$F:$F,)))),IF(OR(AND($F32="UR",$P32=0),AND($F32="SR",$P32&gt;=0,$P32&lt;=2),AND($F32="R",$P32&gt;=0,$P32&lt;4)),INDEX('卡片raw data'!AZ:AZ,MATCH($D32,'卡片raw data'!$F:$F,)),0)+IF(OR(AND($F32="UR",$P32&gt;=1,$P32&lt;=4),AND($F32="SR",$P32&lt;=4,$P32&gt;=3),AND($F32="R",$P32=4)),INDEX('卡片raw data'!BA:BA,MATCH($D32,'卡片raw data'!$F:$F,)),0)+IF($P32=5,INDEX('卡片raw data'!BB:BB,MATCH($D32,'卡片raw data'!$F:$F,)),0)))</f>
        <v>0.04</v>
      </c>
      <c r="BT32" s="1101">
        <f t="shared" si="34"/>
        <v>0</v>
      </c>
      <c r="BU32" s="1097">
        <f t="shared" si="35"/>
        <v>0</v>
      </c>
      <c r="BV32" s="1097">
        <f t="shared" si="36"/>
        <v>0</v>
      </c>
      <c r="BW32" s="1112">
        <f t="shared" si="37"/>
        <v>1.4046428571428564</v>
      </c>
      <c r="BX32" s="1100">
        <f t="shared" si="38"/>
        <v>109.67485692671488</v>
      </c>
      <c r="BY32" s="1110">
        <f t="shared" si="39"/>
        <v>109.67485692671488</v>
      </c>
      <c r="BZ32" s="1107" t="s">
        <v>569</v>
      </c>
      <c r="CA32" s="1124"/>
      <c r="CB32" s="1098">
        <f>IF($P32="","N/A",IF($P32=-1,INDEX('卡片raw data'!BE:BE,MATCH($D32,'卡片raw data'!$F:$F,)),0)+IF($L32="party卡",IF($P32=5,INDEX('卡片raw data'!BK:BK,MATCH($D32,'卡片raw data'!$F:$F,)),IF($P32&gt;=3,INDEX('卡片raw data'!BJ:BJ,MATCH($D32,'卡片raw data'!$F:$F,)),INDEX('卡片raw data'!BI:BI,MATCH($D32,'卡片raw data'!$F:$F,)))),IF(OR(AND($F32="UR",$P32=0),AND($F32="SR",$P32&gt;=0,$P32&lt;=2),AND($F32="R",$P32&gt;=0,$P32&lt;4)),INDEX('卡片raw data'!BG:BG,MATCH($D32,'卡片raw data'!$F:$F,)),0)+IF(OR(AND($F32="UR",$P32&gt;=1,$P32&lt;=4),AND($F32="SR",$P32&lt;=4,$P32&gt;=3),AND($F32="R",$P32=4)),INDEX('卡片raw data'!BH:BH,MATCH($D32,'卡片raw data'!$F:$F,)),0)+IF($P32=5,INDEX('卡片raw data'!BI:BI,MATCH($D32,'卡片raw data'!$F:$F,)),0)))</f>
        <v>0</v>
      </c>
      <c r="CC32" s="1101">
        <f t="shared" si="40"/>
        <v>0</v>
      </c>
      <c r="CD32" s="1097">
        <f>IF(BZ32="ap",CB32*(1-$FI$26)*$FB$5/$FB$11*(+IF(CA32="全员",$FA$24,0)+IF(CA32="同作战",$FA$24,0)+IF(CA32="仲间",$FA$24*2/3,0)+IF(CA32="同属性",$FA$24*$FA$37/3,0)+IF(CA32="同年级",$FA$24*$FA$40/3,0)+IF(CA32="同学校",$FA$24*$FA$43/3,0)+IF(CA32="同小队",$FA$24*$FA$46/3,0)+IF(CA32="同type",$FA$24*INDEX($FB$49:$FB$52,MATCH(X32,$FA$49:$FA$52,))/3,0)+IF(CA32="自身",#REF!/3,0)),0)+IF(BZ32="te",CB32*(1-$FI$27)*($FA$20-1)*$FB$7/$FB$13*(+IF(CA32="全员",$FA$19*$FA$24/(1+($FA$20-1)*$FA$19),0)+IF(CA32="同作战",$FA$19*$FA$24/(1+($FA$20-1)*$FA$19),0)+IF(CA32="仲间",$FA$19*$FA$24*2/3/(1+($FA$20-1)*$FA$19),0)+IF(CA32="同属性",$FA$19*$FA$24*$FA$37/3/(1+($FA$20-1)*$FA$19),0)+IF(CA32="同年级",$FA$19*$FA$24*$FA$40/3/(1+($FA$20-1)*$FA$19),0)+IF(CA32="同学校",$FA$19*$FA$24*$FA$43/3/(1+($FA$20-1)*$FA$19),0)+IF(CA32="同小队",$FA$19*$FA$24*$FA$46/3/(1+($FA$20-1)*$FA$19),0)+IF(CA32="同type",$FA$19*$FA$24*INDEX($FB$49:$FB$52,MATCH(X32,$FA$49:$FA$52,))/3/(1+($FA$20-1)*$FA$19),0)+IF(CA32="自身",$FA$19*#REF!/3/(1+(BH32-1)*$BD32),0)),0)</f>
        <v>0</v>
      </c>
      <c r="CE32" s="1097">
        <f t="shared" si="41"/>
        <v>0</v>
      </c>
      <c r="CF32" s="1112">
        <f t="shared" si="42"/>
        <v>0</v>
      </c>
      <c r="CG32" s="1100">
        <f t="shared" si="43"/>
        <v>0</v>
      </c>
      <c r="CH32" s="1110">
        <f t="shared" si="44"/>
        <v>0</v>
      </c>
      <c r="CI32" s="1113"/>
      <c r="CJ32" s="1114"/>
      <c r="CK32" s="1115" t="s">
        <v>569</v>
      </c>
      <c r="CL32" s="1115"/>
      <c r="CM32" s="1119"/>
      <c r="CN32" s="1115"/>
      <c r="CO32" s="1092"/>
      <c r="CP32" s="1117">
        <f t="shared" si="45"/>
        <v>0</v>
      </c>
      <c r="CQ32" s="1117">
        <f t="shared" si="46"/>
        <v>0</v>
      </c>
      <c r="CR32" s="1117">
        <f t="shared" si="47"/>
        <v>0</v>
      </c>
      <c r="CS32" s="1118">
        <f t="shared" si="48"/>
        <v>0</v>
      </c>
      <c r="CT32" s="1109">
        <f t="shared" si="49"/>
        <v>0</v>
      </c>
      <c r="CU32" s="1101">
        <f t="shared" si="50"/>
        <v>0</v>
      </c>
      <c r="CV32" s="1108">
        <f t="shared" si="51"/>
        <v>0</v>
      </c>
      <c r="CW32" s="1097">
        <f t="shared" si="52"/>
        <v>0</v>
      </c>
      <c r="CX32" s="1097">
        <f t="shared" si="53"/>
        <v>0</v>
      </c>
      <c r="CY32" s="1110">
        <f t="shared" si="54"/>
        <v>0</v>
      </c>
      <c r="CZ32" s="437"/>
      <c r="DA32" s="438"/>
      <c r="DB32" s="439" t="s">
        <v>569</v>
      </c>
      <c r="DC32" s="439"/>
      <c r="DD32" s="443"/>
      <c r="DE32" s="411"/>
      <c r="DF32" s="411"/>
      <c r="DG32" s="1116">
        <f t="shared" si="55"/>
        <v>0</v>
      </c>
      <c r="DH32" s="1116">
        <f t="shared" si="56"/>
        <v>0</v>
      </c>
      <c r="DI32" s="1116">
        <f t="shared" si="57"/>
        <v>0</v>
      </c>
      <c r="DJ32" s="442">
        <f t="shared" si="58"/>
        <v>0</v>
      </c>
      <c r="DK32" s="1109">
        <f t="shared" si="59"/>
        <v>0</v>
      </c>
      <c r="DL32" s="1101">
        <f t="shared" si="60"/>
        <v>0</v>
      </c>
      <c r="DM32" s="1097">
        <f t="shared" si="61"/>
        <v>0</v>
      </c>
      <c r="DN32" s="1097">
        <f t="shared" si="62"/>
        <v>0</v>
      </c>
      <c r="DO32" s="1097">
        <f t="shared" si="63"/>
        <v>0</v>
      </c>
      <c r="DP32" s="1110">
        <f t="shared" si="64"/>
        <v>0</v>
      </c>
      <c r="DQ32" s="1113" t="s">
        <v>556</v>
      </c>
      <c r="DR32" s="1120">
        <f t="shared" si="65"/>
        <v>0.3</v>
      </c>
      <c r="DS32" s="1124">
        <v>5</v>
      </c>
      <c r="DT32" s="1093" t="s">
        <v>161</v>
      </c>
      <c r="DU32" s="1093" t="s">
        <v>544</v>
      </c>
      <c r="DV32" s="1098">
        <f>IF($P32="","N/A",IF(P32=-1,INDEX('卡片raw data'!AN:AN,MATCH(D32,'卡片raw data'!$F:$F,)),0)+IF(AND(L32&lt;&gt;"party卡",P32&lt;=2,P32&gt;=0),INDEX('卡片raw data'!AP:AP,MATCH(D32,'卡片raw data'!$F:$F,)),0)+IF(OR(AND(L32="party卡",P32&lt;=1),AND(P32&lt;=4,L32&lt;&gt;"party卡",P32&gt;=3)),INDEX('卡片raw data'!AQ:AQ,MATCH(D32,'卡片raw data'!$F:$F,)),0)+IF(OR(P32=5,AND(L32="party卡",P32&gt;=2)),INDEX('卡片raw data'!AR:AR,MATCH(D32,'卡片raw data'!$F:$F,)),0))</f>
        <v>7.0000000000000007E-2</v>
      </c>
      <c r="DW32" s="1098">
        <f t="shared" si="66"/>
        <v>0.3</v>
      </c>
      <c r="DX32" s="1098">
        <f t="shared" si="67"/>
        <v>0.3</v>
      </c>
      <c r="DY32" s="1098">
        <f t="shared" si="68"/>
        <v>3.5000000000000003E-2</v>
      </c>
      <c r="DZ32" s="1098">
        <f t="shared" si="69"/>
        <v>3.0275000000000003E-2</v>
      </c>
      <c r="EA32" s="1098">
        <f t="shared" si="70"/>
        <v>0</v>
      </c>
      <c r="EB32" s="1121">
        <f t="shared" si="71"/>
        <v>0</v>
      </c>
      <c r="EC32" s="1101">
        <f t="shared" si="72"/>
        <v>0</v>
      </c>
      <c r="ED32" s="1097">
        <f t="shared" si="73"/>
        <v>0</v>
      </c>
      <c r="EE32" s="1110">
        <f t="shared" si="74"/>
        <v>1411.9851283555852</v>
      </c>
      <c r="EF32" s="1092" t="s">
        <v>711</v>
      </c>
      <c r="EG32" s="1120">
        <f t="shared" si="75"/>
        <v>0.3</v>
      </c>
      <c r="EH32" s="1124"/>
      <c r="EI32" s="1093"/>
      <c r="EJ32" s="1093"/>
      <c r="EK32" s="1097">
        <f>IF($P32="","N/A",IF(P32=-1,INDEX('卡片raw data'!AS:AS,MATCH(D32,'卡片raw data'!$F:$F,)),0)+IF(AND(L32&lt;&gt;"party卡",P32&lt;=2,P32&gt;=0),INDEX('卡片raw data'!AU:AU,MATCH(D32,'卡片raw data'!$F:$F,)),0)+IF(OR(AND(L32="party卡",P32&lt;=1),AND(P32&lt;=4,L32&lt;&gt;"party卡",P32&gt;=3)),INDEX('卡片raw data'!AV:AV,MATCH(D32,'卡片raw data'!$F:$F,)),0)+IF(OR(P32=5,AND(L32="party卡",P32&gt;=2)),INDEX('卡片raw data'!AW:AW,MATCH(D32,'卡片raw data'!$F:$F,)),0))</f>
        <v>0</v>
      </c>
      <c r="EL32" s="1098">
        <f t="shared" si="76"/>
        <v>0.3</v>
      </c>
      <c r="EM32" s="1098">
        <f t="shared" si="77"/>
        <v>0.3</v>
      </c>
      <c r="EN32" s="1125">
        <f t="shared" si="78"/>
        <v>0</v>
      </c>
      <c r="EO32" s="1125">
        <f t="shared" si="79"/>
        <v>0</v>
      </c>
      <c r="EP32" s="1098">
        <f t="shared" si="80"/>
        <v>0</v>
      </c>
      <c r="EQ32" s="1121">
        <f t="shared" si="81"/>
        <v>0</v>
      </c>
      <c r="ER32" s="1101">
        <f t="shared" si="82"/>
        <v>0</v>
      </c>
      <c r="ES32" s="1097">
        <f t="shared" si="83"/>
        <v>0</v>
      </c>
      <c r="ET32" s="1122">
        <f t="shared" si="84"/>
        <v>0</v>
      </c>
      <c r="EV32" s="1224" t="s">
        <v>277</v>
      </c>
      <c r="EW32" s="1330">
        <f>EW31/EW77</f>
        <v>2.8888888888888888E-2</v>
      </c>
      <c r="EX32" s="1330"/>
      <c r="EY32" s="1212"/>
      <c r="EZ32" s="1224" t="s">
        <v>277</v>
      </c>
      <c r="FA32" s="1330">
        <f>FA31/FA69</f>
        <v>3.9866666666666661E-2</v>
      </c>
      <c r="FB32" s="1330"/>
      <c r="FC32" s="447"/>
      <c r="FD32" s="447"/>
      <c r="FE32" s="447"/>
      <c r="FF32" s="642"/>
      <c r="FG32" s="642"/>
      <c r="FH32" s="651">
        <f t="array" ref="FH32">SUMPRODUCT(FA19*IF(FH16:FH23&gt;FI24,FI24,FH16:FH23)+(1-FA19)*IF(FH7:FH14&gt;FI24,FI24,FH7:FH14),FJ7:FJ14)</f>
        <v>58360.642500000002</v>
      </c>
      <c r="FI32" s="642"/>
      <c r="FJ32" s="447"/>
    </row>
    <row r="33" spans="2:166" ht="16.5" customHeight="1">
      <c r="B33" s="1123" t="str">
        <f>INDEX('卡片raw data'!B:B,MATCH($D33,'卡片raw data'!$F:$F,))</f>
        <v>练习花</v>
      </c>
      <c r="C33" s="449" t="s">
        <v>22</v>
      </c>
      <c r="D33" s="408">
        <v>30</v>
      </c>
      <c r="E33" s="1090">
        <v>100081002</v>
      </c>
      <c r="F33" s="1090" t="str">
        <f>INDEX('卡片raw data'!C:C,MATCH($D33,'卡片raw data'!$F:$F,))</f>
        <v>R</v>
      </c>
      <c r="G33" s="1094" t="s">
        <v>31</v>
      </c>
      <c r="H33" s="411">
        <f>IFERROR(INDEX(绊状态确认!C:C,MATCH($G33,绊状态确认!$B:$B,)),"")</f>
        <v>8</v>
      </c>
      <c r="I33" s="450" t="str">
        <f>IFERROR(INDEX(绊状态确认!D:D,MATCH($G33,绊状态确认!$B:$B,)),"")</f>
        <v>缪</v>
      </c>
      <c r="J33" s="450" t="str">
        <f>IFERROR(INDEX(绊状态确认!E:E,MATCH($G33,绊状态确认!$B:$B,)),"")</f>
        <v>1年级</v>
      </c>
      <c r="K33" s="451" t="str">
        <f>IFERROR(INDEX(绊状态确认!F:F,MATCH($G33,绊状态确认!$B:$B,)),"")</f>
        <v>Printemps</v>
      </c>
      <c r="L33" s="1094" t="str">
        <f>INDEX('卡片raw data'!E:E,MATCH($D33,'卡片raw data'!$F:$F,))</f>
        <v>卡池卡</v>
      </c>
      <c r="M33" s="415">
        <v>43735</v>
      </c>
      <c r="N33" s="416">
        <v>0</v>
      </c>
      <c r="O33" s="1091" t="str">
        <f>INDEX('卡片raw data'!D:D,MATCH($D33,'卡片raw data'!$F:$F,))</f>
        <v>sk</v>
      </c>
      <c r="P33" s="417">
        <v>5</v>
      </c>
      <c r="Q33" s="1095">
        <f t="shared" si="0"/>
        <v>9320.6773986929438</v>
      </c>
      <c r="R33" s="1096">
        <f t="shared" si="1"/>
        <v>0.108</v>
      </c>
      <c r="S33" s="1097">
        <f t="shared" si="2"/>
        <v>10180.665280261792</v>
      </c>
      <c r="T33" s="1098">
        <f t="shared" si="3"/>
        <v>0.50900000000000001</v>
      </c>
      <c r="U33" s="1099">
        <f t="shared" si="4"/>
        <v>10.191003008571428</v>
      </c>
      <c r="V33" s="1100">
        <f t="shared" si="5"/>
        <v>12127.042267970364</v>
      </c>
      <c r="W33" s="1101">
        <f t="shared" si="6"/>
        <v>3005.1476580839999</v>
      </c>
      <c r="X33" s="1096">
        <f t="shared" si="7"/>
        <v>3.4000000000000002E-2</v>
      </c>
      <c r="Y33" s="1097">
        <f t="shared" si="8"/>
        <v>806.36486927742135</v>
      </c>
      <c r="Z33" s="1102">
        <f t="shared" si="9"/>
        <v>10.191003008571428</v>
      </c>
      <c r="AA33" s="1103">
        <f t="shared" si="10"/>
        <v>3811.5125273614212</v>
      </c>
      <c r="AB33" s="1101">
        <f t="shared" si="11"/>
        <v>3005.1476580839999</v>
      </c>
      <c r="AC33" s="1104">
        <f t="shared" si="12"/>
        <v>3.4000000000000002E-2</v>
      </c>
      <c r="AD33" s="1105">
        <f t="shared" si="13"/>
        <v>2.7996927556818183E-2</v>
      </c>
      <c r="AE33" s="1128">
        <f t="shared" si="14"/>
        <v>2.4833031592913049</v>
      </c>
      <c r="AF33" s="1130">
        <f t="shared" si="15"/>
        <v>0</v>
      </c>
      <c r="AG33" s="420">
        <f t="shared" si="16"/>
        <v>0</v>
      </c>
      <c r="AH33" s="420">
        <f t="shared" si="17"/>
        <v>0</v>
      </c>
      <c r="AI33" s="1097">
        <f t="shared" si="18"/>
        <v>0</v>
      </c>
      <c r="AJ33" s="420">
        <f t="shared" si="19"/>
        <v>0</v>
      </c>
      <c r="AK33" s="518">
        <f t="shared" si="20"/>
        <v>0</v>
      </c>
      <c r="AL33" s="1106">
        <f>IF($P33="","N/A",(IF($P33=-1,INDEX('卡片raw data'!S:S,MATCH($D33,'卡片raw data'!$F:$F,)),0)+IF($P33=0,INDEX('卡片raw data'!V:V,MATCH($D33,'卡片raw data'!$F:$F,)),0)+IF($P33=1,INDEX('卡片raw data'!Y:Y,MATCH($D33,'卡片raw data'!$F:$F,)),0)+IF($P33=2,INDEX('卡片raw data'!AB:AB,MATCH($D33,'卡片raw data'!$F:$F,)),0)+IF($P33=3,INDEX('卡片raw data'!AE:AE,MATCH($D33,'卡片raw data'!$F:$F,)),0)+IF($P33=4,INDEX('卡片raw data'!AH:AH,MATCH($D33,'卡片raw data'!$F:$F,)),0)+IF($P33=5,INDEX('卡片raw data'!AK:AK,MATCH($D33,'卡片raw data'!$F:$F,)),0)+INDEX('卡片raw data'!S:S,MATCH($D33,'卡片raw data'!$F:$F,))*(IF($F33="UR",0.04,0.033))*(IF($F33="UR",INDEX(绊状态确认!$S:$S,MATCH($G33,绊状态确认!$B:$B,))/2-40)+IF($F33="SR",INDEX(绊状态确认!$R:$R,MATCH($G33,绊状态确认!$B:$B,))/4-15))+IF($F33="R",INDEX(绊状态确认!$Q:$Q,MATCH($G33,绊状态确认!$B:$B,))/6-40/6)))*(INDEX(绊状态确认!$H:$H,MATCH($G33,绊状态确认!$B:$B,))+INDEX(绊状态确认!J:J,MATCH($G33,绊状态确认!$B:$B,)))</f>
        <v>5496.7667999999994</v>
      </c>
      <c r="AM33" s="1106">
        <f>IF($P33="","N/A",(IF($P33=-1,INDEX('卡片raw data'!T:T,MATCH($D33,'卡片raw data'!$F:$F,)),0)+IF($P33=0,INDEX('卡片raw data'!W:W,MATCH($D33,'卡片raw data'!$F:$F,)),0)+IF($P33=1,INDEX('卡片raw data'!Z:Z,MATCH($D33,'卡片raw data'!$F:$F,)),0)+IF($P33=2,INDEX('卡片raw data'!AC:AC,MATCH($D33,'卡片raw data'!$F:$F,)),0)+IF($P33=3,INDEX('卡片raw data'!AF:AF,MATCH($D33,'卡片raw data'!$F:$F,)),0)+IF($P33=4,INDEX('卡片raw data'!AI:AI,MATCH($D33,'卡片raw data'!$F:$F,)),0)+IF($P33=5,INDEX('卡片raw data'!AL:AL,MATCH($D33,'卡片raw data'!$F:$F,)),0)+INDEX('卡片raw data'!T:T,MATCH($D33,'卡片raw data'!$F:$F,))*(IF($F33="UR",0.04,0.033))*(IF($F33="UR",INDEX(绊状态确认!$S:$S,MATCH($G33,绊状态确认!$B:$B,))/2-40)+IF($F33="SR",INDEX(绊状态确认!$R:$R,MATCH($G33,绊状态确认!$B:$B,))/4-15))+IF($F33="R",INDEX(绊状态确认!$Q:$Q,MATCH($G33,绊状态确认!$B:$B,))/6-40/6)))*(INDEX(绊状态确认!$H:$H,MATCH($G33,绊状态确认!$B:$B,))+INDEX(绊状态确认!K:K,MATCH($G33,绊状态确认!$B:$B,)))</f>
        <v>4122.8591999999999</v>
      </c>
      <c r="AN33" s="1106">
        <f>IF($P33="","N/A",(IF($P33=-1,INDEX('卡片raw data'!U:U,MATCH($D33,'卡片raw data'!$F:$F,)),0)+IF($P33=0,INDEX('卡片raw data'!X:X,MATCH($D33,'卡片raw data'!$F:$F,)),0)+IF($P33=1,INDEX('卡片raw data'!AA:AA,MATCH($D33,'卡片raw data'!$F:$F,)),0)+IF($P33=2,INDEX('卡片raw data'!AD:AD,MATCH($D33,'卡片raw data'!$F:$F,)),0)+IF($P33=3,INDEX('卡片raw data'!AG:AG,MATCH($D33,'卡片raw data'!$F:$F,)),0)+IF($P33=4,INDEX('卡片raw data'!AJ:AJ,MATCH($D33,'卡片raw data'!$F:$F,)),0)+IF($P33=5,INDEX('卡片raw data'!AM:AM,MATCH($D33,'卡片raw data'!$F:$F,)),0)+INDEX('卡片raw data'!U:U,MATCH($D33,'卡片raw data'!$F:$F,))*(IF($F33="UR",0.04,0.033))*(IF($F33="UR",INDEX(绊状态确认!$S:$S,MATCH($G33,绊状态确认!$B:$B,))/2-40)+IF($F33="SR",INDEX(绊状态确认!$R:$R,MATCH($G33,绊状态确认!$B:$B,))/4-15))+IF($F33="R",INDEX(绊状态确认!$Q:$Q,MATCH($G33,绊状态确认!$B:$B,))/6-40/6)))*(INDEX(绊状态确认!$H:$H,MATCH($G33,绊状态确认!$B:$B,))+INDEX(绊状态确认!L:L,MATCH($G33,绊状态确认!$B:$B,)))</f>
        <v>4122.8591999999999</v>
      </c>
      <c r="AO33" s="1107">
        <f t="shared" si="21"/>
        <v>1</v>
      </c>
      <c r="AP33" s="1131">
        <f>1+(INDEX(绊状态确认!$T:$T,MATCH($G33,绊状态确认!$B:$B,))+0.2)*$AO33</f>
        <v>1.3</v>
      </c>
      <c r="AQ33" s="1108">
        <f t="shared" si="22"/>
        <v>17679.012849999999</v>
      </c>
      <c r="AR33" s="1097">
        <f>(AM33*(1+$EX$9)+$EX$35)*(1+(INDEX(绊状态确认!$T:$T,MATCH($G33,绊状态确认!$B:$B,))+0.2)*AO33)*IF(J33=$FF$17,1+$FE$17,1)*IF(I33=$FF$14,1+$FE$14,1)</f>
        <v>8331.702808</v>
      </c>
      <c r="AS33" s="1097">
        <f>(AN33*(1+$EX$10)+$EX$36)*(1+(INDEX(绊状态确认!$T:$T,MATCH($G33,绊状态确认!$B:$B,))+0.2)*AO33)*IF(J33=$FF$17,1+$FE$17,1)*IF(I33=$FF$14,1+$FE$14,1)</f>
        <v>10219.674503999999</v>
      </c>
      <c r="AT33" s="1093">
        <f>IF(AND(INDEX('卡片raw data'!AK:AK,MATCH($D33,'卡片raw data'!$F:$F,))&lt;INDEX('卡片raw data'!AM:AM,MATCH($D33,'卡片raw data'!$F:$F,)),INDEX('卡片raw data'!AL:AL,MATCH($D33,'卡片raw data'!$F:$F,))&lt;INDEX('卡片raw data'!AM:AM,MATCH($D33,'卡片raw data'!$F:$F,))),1,0)</f>
        <v>0</v>
      </c>
      <c r="AU33" s="1098">
        <f>MIN(AT33*0.15+AS33*0.00003+INDEX(绊状态确认!M:M,MATCH($G33,绊状态确认!$B:$B,)),1)</f>
        <v>0.33659023511999997</v>
      </c>
      <c r="AV33" s="1109">
        <f>(INDEX(绊状态确认!$N:$N,MATCH($G33,绊状态确认!$B:$B,))+1.5)*$EW$21</f>
        <v>2.6599999999999997</v>
      </c>
      <c r="AW33" s="1101">
        <f t="shared" si="23"/>
        <v>14311.626618003123</v>
      </c>
      <c r="AX33" s="1097">
        <f t="shared" si="24"/>
        <v>707.68529805252854</v>
      </c>
      <c r="AY33" s="1110">
        <f t="shared" si="25"/>
        <v>15019.311916055653</v>
      </c>
      <c r="AZ33" s="429">
        <f t="shared" si="26"/>
        <v>13318.695259999999</v>
      </c>
      <c r="BA33" s="431">
        <f t="shared" si="27"/>
        <v>15982.434311999998</v>
      </c>
      <c r="BB33" s="1097">
        <f>(AM33*(1+$FB$9)+$FB$35)*(1+(INDEX(绊状态确认!$T:$T,MATCH($G33,绊状态确认!$B:$B,))+0.2)*AO33)*IF(J33=$FF$17,1+$FE$17,1)*IF(I33=$FF$14,1+$FE$14,1)*(1+$FE$15)</f>
        <v>8331.702808</v>
      </c>
      <c r="BC33" s="1097">
        <f>(AN33*(1+$FB$10)+$FB$36)*(1+(INDEX(绊状态确认!$T:$T,MATCH($G33,绊状态确认!$B:$B,))+0.2)*AO33)*IF(J33=$FF$17,1+$FE$17,1)*IF(I33=$FF$14,1+$FE$14,1)*(1+$FE$15)</f>
        <v>10219.674503999999</v>
      </c>
      <c r="BD33" s="1104">
        <f>MIN(AT33*0.15+BC33*0.00003+INDEX(绊状态确认!M:M,MATCH($G33,绊状态确认!$B:$B,)),1)</f>
        <v>0.33659023511999997</v>
      </c>
      <c r="BE33" s="432">
        <f>(INDEX(绊状态确认!$N:$N,MATCH($G33,绊状态确认!$B:$B,))+1.5)</f>
        <v>1.9</v>
      </c>
      <c r="BF33" s="1139">
        <f t="array" ref="BF33">SUMPRODUCT(IF(AZ33*AP33*$FI$16:$FI$23*$FA$22&gt;=$FI$24,$FI$24,AZ33*AP33*$FI$16:$FI$23*$FA$22),$FJ$16:$FJ$23)</f>
        <v>26490.884872139999</v>
      </c>
      <c r="BG33" s="1125">
        <f t="array" ref="BG33">SUMPRODUCT(IF(BE33*AZ33*AP33*$FI$16:$FI$23*$FA$22&gt;=$FI$24,$FI$24,BE33*AZ33*AP33*$FI$16:$FI$23*$FA$22),$FJ$16:$FJ$23)</f>
        <v>50082.21757154799</v>
      </c>
      <c r="BH33" s="1110">
        <f t="shared" si="28"/>
        <v>11477.165697409293</v>
      </c>
      <c r="BI33" s="1111">
        <f>IF(O33="vo",$EW$26/$EW$24*0.05,0)+IF(O33="sk",-$EW$26/$EW$24*(0.05-INDEX(绊状态确认!W:W,MATCH($G33,绊状态确认!$B:$B,)))+0.05*$EW$28,0)+IF(O33="sp",0.05*$EW$32*$EW$30*(1-$EW$33)-(0.05-INDEX(绊状态确认!V:V,MATCH($G33,绊状态确认!$B:$B,)))*$EW$28,0)+IF(O33="gd",-(0.05-INDEX(绊状态确认!X:X,MATCH($G33,绊状态确认!$B:$B,)))*$EW$32*$EW$30*(1-$EW$33),0)</f>
        <v>-6253.6726349699375</v>
      </c>
      <c r="BJ33" s="1097">
        <f>IF(O33="vo",0.05*(1-$FI$26)*$FA$24,0)+IF(O33="sk",-(0.05-INDEX(绊状态确认!W:W,MATCH($G33,绊状态确认!$B:$B,)))*(1-$FI$26)*$FA$24+0.05*$FA$26,0)+IF(O33="sp",0.05*$FA$32*$FA$27*(1-$FA$33)/$FA$30+0.05*$FA$29/$FA$69*$FA$27*(1-$FA$33)-(0.05-INDEX(绊状态确认!V:V,MATCH($G33,绊状态确认!$B:$B,)))*$FA$26,0)+IF(O33="gd",-(0.05-INDEX(绊状态确认!X:X,MATCH($G33,绊状态确认!$B:$B,)))*$FA$32*$FA$27*(1-$FA$33)/$FA$30-(0.05-INDEX(绊状态确认!X:X,MATCH($G33,绊状态确认!$B:$B,)))*$FA$29/$FA$69*$FA$27*(1-$FA$33),0)</f>
        <v>20.459096812499922</v>
      </c>
      <c r="BK33" s="1110">
        <f>IF(O33="vo",$EW$26/$EW$24*0.05+$EW$26*(-HP($EW$62,$EW$65,$EW$64)+HP($EW$62,$EW$65,(1.05-INDEX(绊状态确认!U:U,MATCH($G33,绊状态确认!$B:$B,)))*$EW$64)),0)+IF(O33="sk",-$EW$26/$EW$24*(0.05-INDEX(绊状态确认!W:W,MATCH($G33,绊状态确认!$B:$B,)))+0.05*$EW$29,0)+IF(O33="sp",0.05*$EW$32*$EW$30*(1-$EW$33)-(0.05-INDEX(绊状态确认!V:V,MATCH($G33,绊状态确认!$B:$B,)))*$EW$29,0)+IF(O33="gd",-(0.05-INDEX(绊状态确认!X:X,MATCH($G33,绊状态确认!$B:$B,)))*$EW$32*$EW$30*(1-$EW$33)+$EW$26*(-HP($EW$62,$EW$65,$EW$64)+HP($EW$62,$EW$65,0.95*$EW$64)),0)</f>
        <v>-4253.6726349699375</v>
      </c>
      <c r="BL33" s="1111">
        <f t="shared" si="29"/>
        <v>-2166.6666666666665</v>
      </c>
      <c r="BM33" s="1110">
        <f t="shared" si="30"/>
        <v>-1661.1111111111109</v>
      </c>
      <c r="BN33" s="1113">
        <f t="shared" si="31"/>
        <v>2</v>
      </c>
      <c r="BO33" s="1097">
        <f t="shared" si="32"/>
        <v>3005.1476580839999</v>
      </c>
      <c r="BP33" s="1100">
        <f t="shared" si="33"/>
        <v>147.56068806020068</v>
      </c>
      <c r="BQ33" s="1113" t="s">
        <v>618</v>
      </c>
      <c r="BR33" s="1124" t="s">
        <v>617</v>
      </c>
      <c r="BS33" s="1098">
        <f>IF($P33="","N/A",IF($P33=-1,INDEX('卡片raw data'!AX:AX,MATCH($D33,'卡片raw data'!$F:$F,)),0)+IF($L33="party卡",IF($P33=5,INDEX('卡片raw data'!BD:BD,MATCH($D33,'卡片raw data'!$F:$F,)),IF($P33&gt;=3,INDEX('卡片raw data'!BC:BC,MATCH($D33,'卡片raw data'!$F:$F,)),INDEX('卡片raw data'!BB:BB,MATCH($D33,'卡片raw data'!$F:$F,)))),IF(OR(AND($F33="UR",$P33=0),AND($F33="SR",$P33&gt;=0,$P33&lt;=2),AND($F33="R",$P33&gt;=0,$P33&lt;4)),INDEX('卡片raw data'!AZ:AZ,MATCH($D33,'卡片raw data'!$F:$F,)),0)+IF(OR(AND($F33="UR",$P33&gt;=1,$P33&lt;=4),AND($F33="SR",$P33&lt;=4,$P33&gt;=3),AND($F33="R",$P33=4)),INDEX('卡片raw data'!BA:BA,MATCH($D33,'卡片raw data'!$F:$F,)),0)+IF($P33=5,INDEX('卡片raw data'!BB:BB,MATCH($D33,'卡片raw data'!$F:$F,)),0)))</f>
        <v>2.7E-2</v>
      </c>
      <c r="BT33" s="1101">
        <f t="shared" si="34"/>
        <v>0</v>
      </c>
      <c r="BU33" s="1097">
        <f t="shared" si="35"/>
        <v>0</v>
      </c>
      <c r="BV33" s="1097">
        <f t="shared" si="36"/>
        <v>0</v>
      </c>
      <c r="BW33" s="1112">
        <f t="shared" si="37"/>
        <v>1.2641785714285714</v>
      </c>
      <c r="BX33" s="1100">
        <f t="shared" si="38"/>
        <v>98.679571224892797</v>
      </c>
      <c r="BY33" s="1110">
        <f t="shared" si="39"/>
        <v>98.679571224892797</v>
      </c>
      <c r="BZ33" s="1107" t="s">
        <v>569</v>
      </c>
      <c r="CA33" s="1124"/>
      <c r="CB33" s="1098">
        <f>IF($P33="","N/A",IF($P33=-1,INDEX('卡片raw data'!BE:BE,MATCH($D33,'卡片raw data'!$F:$F,)),0)+IF($L33="party卡",IF($P33=5,INDEX('卡片raw data'!BK:BK,MATCH($D33,'卡片raw data'!$F:$F,)),IF($P33&gt;=3,INDEX('卡片raw data'!BJ:BJ,MATCH($D33,'卡片raw data'!$F:$F,)),INDEX('卡片raw data'!BI:BI,MATCH($D33,'卡片raw data'!$F:$F,)))),IF(OR(AND($F33="UR",$P33=0),AND($F33="SR",$P33&gt;=0,$P33&lt;=2),AND($F33="R",$P33&gt;=0,$P33&lt;4)),INDEX('卡片raw data'!BG:BG,MATCH($D33,'卡片raw data'!$F:$F,)),0)+IF(OR(AND($F33="UR",$P33&gt;=1,$P33&lt;=4),AND($F33="SR",$P33&lt;=4,$P33&gt;=3),AND($F33="R",$P33=4)),INDEX('卡片raw data'!BH:BH,MATCH($D33,'卡片raw data'!$F:$F,)),0)+IF($P33=5,INDEX('卡片raw data'!BI:BI,MATCH($D33,'卡片raw data'!$F:$F,)),0)))</f>
        <v>0</v>
      </c>
      <c r="CC33" s="1101">
        <f t="shared" si="40"/>
        <v>0</v>
      </c>
      <c r="CD33" s="1097">
        <f>IF(BZ33="ap",CB33*(1-$FI$26)*$FB$5/$FB$11*(+IF(CA33="全员",$FA$24,0)+IF(CA33="同作战",$FA$24,0)+IF(CA33="仲间",$FA$24*2/3,0)+IF(CA33="同属性",$FA$24*$FA$37/3,0)+IF(CA33="同年级",$FA$24*$FA$40/3,0)+IF(CA33="同学校",$FA$24*$FA$43/3,0)+IF(CA33="同小队",$FA$24*$FA$46/3,0)+IF(CA33="同type",$FA$24*INDEX($FB$49:$FB$52,MATCH(X33,$FA$49:$FA$52,))/3,0)+IF(CA33="自身",#REF!/3,0)),0)+IF(BZ33="te",CB33*(1-$FI$27)*($FA$20-1)*$FB$7/$FB$13*(+IF(CA33="全员",$FA$19*$FA$24/(1+($FA$20-1)*$FA$19),0)+IF(CA33="同作战",$FA$19*$FA$24/(1+($FA$20-1)*$FA$19),0)+IF(CA33="仲间",$FA$19*$FA$24*2/3/(1+($FA$20-1)*$FA$19),0)+IF(CA33="同属性",$FA$19*$FA$24*$FA$37/3/(1+($FA$20-1)*$FA$19),0)+IF(CA33="同年级",$FA$19*$FA$24*$FA$40/3/(1+($FA$20-1)*$FA$19),0)+IF(CA33="同学校",$FA$19*$FA$24*$FA$43/3/(1+($FA$20-1)*$FA$19),0)+IF(CA33="同小队",$FA$19*$FA$24*$FA$46/3/(1+($FA$20-1)*$FA$19),0)+IF(CA33="同type",$FA$19*$FA$24*INDEX($FB$49:$FB$52,MATCH(X33,$FA$49:$FA$52,))/3/(1+($FA$20-1)*$FA$19),0)+IF(CA33="自身",$FA$19*#REF!/3/(1+(BH33-1)*$BD33),0)),0)</f>
        <v>0</v>
      </c>
      <c r="CE33" s="1097">
        <f t="shared" si="41"/>
        <v>0</v>
      </c>
      <c r="CF33" s="1112">
        <f t="shared" si="42"/>
        <v>0</v>
      </c>
      <c r="CG33" s="1100">
        <f t="shared" si="43"/>
        <v>0</v>
      </c>
      <c r="CH33" s="1110">
        <f t="shared" si="44"/>
        <v>0</v>
      </c>
      <c r="CI33" s="1113"/>
      <c r="CJ33" s="1114"/>
      <c r="CK33" s="1115" t="s">
        <v>569</v>
      </c>
      <c r="CL33" s="1115"/>
      <c r="CM33" s="1119"/>
      <c r="CN33" s="1115"/>
      <c r="CO33" s="1092"/>
      <c r="CP33" s="1117">
        <f t="shared" si="45"/>
        <v>0</v>
      </c>
      <c r="CQ33" s="1117">
        <f t="shared" si="46"/>
        <v>0</v>
      </c>
      <c r="CR33" s="1117">
        <f t="shared" si="47"/>
        <v>0</v>
      </c>
      <c r="CS33" s="1118">
        <f t="shared" si="48"/>
        <v>0</v>
      </c>
      <c r="CT33" s="1109">
        <f t="shared" si="49"/>
        <v>0</v>
      </c>
      <c r="CU33" s="1101">
        <f t="shared" si="50"/>
        <v>0</v>
      </c>
      <c r="CV33" s="1108">
        <f t="shared" si="51"/>
        <v>0</v>
      </c>
      <c r="CW33" s="1097">
        <f t="shared" si="52"/>
        <v>0</v>
      </c>
      <c r="CX33" s="1097">
        <f t="shared" si="53"/>
        <v>0</v>
      </c>
      <c r="CY33" s="1110">
        <f t="shared" si="54"/>
        <v>0</v>
      </c>
      <c r="CZ33" s="437"/>
      <c r="DA33" s="438"/>
      <c r="DB33" s="439" t="s">
        <v>569</v>
      </c>
      <c r="DC33" s="439"/>
      <c r="DD33" s="443"/>
      <c r="DE33" s="411"/>
      <c r="DF33" s="411"/>
      <c r="DG33" s="1116">
        <f t="shared" si="55"/>
        <v>0</v>
      </c>
      <c r="DH33" s="1116">
        <f t="shared" si="56"/>
        <v>0</v>
      </c>
      <c r="DI33" s="1116">
        <f t="shared" si="57"/>
        <v>0</v>
      </c>
      <c r="DJ33" s="442">
        <f t="shared" si="58"/>
        <v>0</v>
      </c>
      <c r="DK33" s="1109">
        <f t="shared" si="59"/>
        <v>0</v>
      </c>
      <c r="DL33" s="1101">
        <f t="shared" si="60"/>
        <v>0</v>
      </c>
      <c r="DM33" s="1097">
        <f t="shared" si="61"/>
        <v>0</v>
      </c>
      <c r="DN33" s="1097">
        <f t="shared" si="62"/>
        <v>0</v>
      </c>
      <c r="DO33" s="1097">
        <f t="shared" si="63"/>
        <v>0</v>
      </c>
      <c r="DP33" s="1110">
        <f t="shared" si="64"/>
        <v>0</v>
      </c>
      <c r="DQ33" s="1113" t="s">
        <v>553</v>
      </c>
      <c r="DR33" s="1120">
        <f t="shared" si="65"/>
        <v>0.3</v>
      </c>
      <c r="DS33" s="1124">
        <v>5</v>
      </c>
      <c r="DT33" s="1093" t="s">
        <v>161</v>
      </c>
      <c r="DU33" s="1093" t="s">
        <v>544</v>
      </c>
      <c r="DV33" s="1098">
        <f>IF($P33="","N/A",IF(P33=-1,INDEX('卡片raw data'!AN:AN,MATCH(D33,'卡片raw data'!$F:$F,)),0)+IF(AND(L33&lt;&gt;"party卡",P33&lt;=2,P33&gt;=0),INDEX('卡片raw data'!AP:AP,MATCH(D33,'卡片raw data'!$F:$F,)),0)+IF(OR(AND(L33="party卡",P33&lt;=1),AND(P33&lt;=4,L33&lt;&gt;"party卡",P33&gt;=3)),INDEX('卡片raw data'!AQ:AQ,MATCH(D33,'卡片raw data'!$F:$F,)),0)+IF(OR(P33=5,AND(L33="party卡",P33&gt;=2)),INDEX('卡片raw data'!AR:AR,MATCH(D33,'卡片raw data'!$F:$F,)),0))</f>
        <v>0.02</v>
      </c>
      <c r="DW33" s="1098">
        <f t="shared" si="66"/>
        <v>0.3</v>
      </c>
      <c r="DX33" s="1098">
        <f t="shared" si="67"/>
        <v>0.3</v>
      </c>
      <c r="DY33" s="1098">
        <f t="shared" si="68"/>
        <v>0.01</v>
      </c>
      <c r="DZ33" s="1098">
        <f t="shared" si="69"/>
        <v>8.6499999999999997E-3</v>
      </c>
      <c r="EA33" s="1098">
        <f t="shared" si="70"/>
        <v>9.002703124999999E-3</v>
      </c>
      <c r="EB33" s="1121">
        <f t="shared" si="71"/>
        <v>0</v>
      </c>
      <c r="EC33" s="1101">
        <f t="shared" si="72"/>
        <v>424.24242424242425</v>
      </c>
      <c r="ED33" s="1097">
        <f t="shared" si="73"/>
        <v>196.59090909090909</v>
      </c>
      <c r="EE33" s="1110">
        <f t="shared" si="74"/>
        <v>424.24242424242425</v>
      </c>
      <c r="EF33" s="1092" t="s">
        <v>711</v>
      </c>
      <c r="EG33" s="1120">
        <f t="shared" si="75"/>
        <v>0.3</v>
      </c>
      <c r="EH33" s="1124"/>
      <c r="EI33" s="1093"/>
      <c r="EJ33" s="1093"/>
      <c r="EK33" s="1097">
        <f>IF($P33="","N/A",IF(P33=-1,INDEX('卡片raw data'!AS:AS,MATCH(D33,'卡片raw data'!$F:$F,)),0)+IF(AND(L33&lt;&gt;"party卡",P33&lt;=2,P33&gt;=0),INDEX('卡片raw data'!AU:AU,MATCH(D33,'卡片raw data'!$F:$F,)),0)+IF(OR(AND(L33="party卡",P33&lt;=1),AND(P33&lt;=4,L33&lt;&gt;"party卡",P33&gt;=3)),INDEX('卡片raw data'!AV:AV,MATCH(D33,'卡片raw data'!$F:$F,)),0)+IF(OR(P33=5,AND(L33="party卡",P33&gt;=2)),INDEX('卡片raw data'!AW:AW,MATCH(D33,'卡片raw data'!$F:$F,)),0))</f>
        <v>0</v>
      </c>
      <c r="EL33" s="1098">
        <f t="shared" si="76"/>
        <v>0.3</v>
      </c>
      <c r="EM33" s="1098">
        <f t="shared" si="77"/>
        <v>0.3</v>
      </c>
      <c r="EN33" s="1125">
        <f t="shared" si="78"/>
        <v>0</v>
      </c>
      <c r="EO33" s="1125">
        <f t="shared" si="79"/>
        <v>0</v>
      </c>
      <c r="EP33" s="1098">
        <f t="shared" si="80"/>
        <v>0</v>
      </c>
      <c r="EQ33" s="1121">
        <f t="shared" si="81"/>
        <v>0</v>
      </c>
      <c r="ER33" s="1101">
        <f t="shared" si="82"/>
        <v>0</v>
      </c>
      <c r="ES33" s="1097">
        <f t="shared" si="83"/>
        <v>0</v>
      </c>
      <c r="ET33" s="1122">
        <f t="shared" si="84"/>
        <v>0</v>
      </c>
      <c r="EV33" s="1222" t="s">
        <v>4</v>
      </c>
      <c r="EW33" s="1325">
        <v>0</v>
      </c>
      <c r="EX33" s="1325"/>
      <c r="EY33" s="1212"/>
      <c r="EZ33" s="1222" t="s">
        <v>4</v>
      </c>
      <c r="FA33" s="1325">
        <v>0</v>
      </c>
      <c r="FB33" s="1325"/>
      <c r="FC33" s="447"/>
      <c r="FD33" s="447"/>
      <c r="FE33" s="447"/>
      <c r="FF33" s="642"/>
      <c r="FG33" s="642"/>
      <c r="FH33" s="649">
        <f t="array" ref="FH33">(1-FA19)*SUM(IF(FH7:FH14&gt;FI24,0,FJ7:FJ14))+FA19*SUM(IF(FH16:FH23&gt;FI24,0,FJ7:FJ14))</f>
        <v>0.13500000000000004</v>
      </c>
      <c r="FI33" s="642"/>
      <c r="FJ33" s="447"/>
    </row>
    <row r="34" spans="2:166" ht="16.5" customHeight="1">
      <c r="B34" s="1123" t="str">
        <f>INDEX('卡片raw data'!B:B,MATCH($D34,'卡片raw data'!$F:$F,))</f>
        <v>打工花</v>
      </c>
      <c r="C34" s="449" t="s">
        <v>124</v>
      </c>
      <c r="D34" s="408">
        <v>31</v>
      </c>
      <c r="E34" s="1090">
        <v>100082001</v>
      </c>
      <c r="F34" s="1090" t="str">
        <f>INDEX('卡片raw data'!C:C,MATCH($D34,'卡片raw data'!$F:$F,))</f>
        <v>SR</v>
      </c>
      <c r="G34" s="1094" t="s">
        <v>337</v>
      </c>
      <c r="H34" s="411">
        <f>IFERROR(INDEX(绊状态确认!C:C,MATCH($G34,绊状态确认!$B:$B,)),"")</f>
        <v>8</v>
      </c>
      <c r="I34" s="450" t="str">
        <f>IFERROR(INDEX(绊状态确认!D:D,MATCH($G34,绊状态确认!$B:$B,)),"")</f>
        <v>缪</v>
      </c>
      <c r="J34" s="450" t="str">
        <f>IFERROR(INDEX(绊状态确认!E:E,MATCH($G34,绊状态确认!$B:$B,)),"")</f>
        <v>1年级</v>
      </c>
      <c r="K34" s="451" t="str">
        <f>IFERROR(INDEX(绊状态确认!F:F,MATCH($G34,绊状态确认!$B:$B,)),"")</f>
        <v>Printemps</v>
      </c>
      <c r="L34" s="1094" t="str">
        <f>INDEX('卡片raw data'!E:E,MATCH($D34,'卡片raw data'!$F:$F,))</f>
        <v>卡池卡</v>
      </c>
      <c r="M34" s="415">
        <v>43735</v>
      </c>
      <c r="N34" s="416">
        <v>0</v>
      </c>
      <c r="O34" s="1091" t="str">
        <f>INDEX('卡片raw data'!D:D,MATCH($D34,'卡片raw data'!$F:$F,))</f>
        <v>vo</v>
      </c>
      <c r="P34" s="417">
        <v>5</v>
      </c>
      <c r="Q34" s="1095">
        <f t="shared" si="0"/>
        <v>33103.749280692122</v>
      </c>
      <c r="R34" s="1096">
        <f t="shared" si="1"/>
        <v>0.38400000000000001</v>
      </c>
      <c r="S34" s="1097">
        <f t="shared" si="2"/>
        <v>15205.723392753824</v>
      </c>
      <c r="T34" s="1098">
        <f t="shared" si="3"/>
        <v>0.76</v>
      </c>
      <c r="U34" s="1099">
        <f t="shared" si="4"/>
        <v>-12.979317358017143</v>
      </c>
      <c r="V34" s="1100">
        <f t="shared" si="5"/>
        <v>32758.077519814211</v>
      </c>
      <c r="W34" s="1101">
        <f t="shared" si="6"/>
        <v>4624.2782855788291</v>
      </c>
      <c r="X34" s="1096">
        <f t="shared" si="7"/>
        <v>5.2999999999999999E-2</v>
      </c>
      <c r="Y34" s="1097">
        <f t="shared" si="8"/>
        <v>958.99668936378748</v>
      </c>
      <c r="Z34" s="1102">
        <f t="shared" si="9"/>
        <v>12.020682641982857</v>
      </c>
      <c r="AA34" s="1103">
        <f t="shared" si="10"/>
        <v>5583.2749749426166</v>
      </c>
      <c r="AB34" s="1101">
        <f t="shared" si="11"/>
        <v>5248.444554277422</v>
      </c>
      <c r="AC34" s="1104">
        <f t="shared" si="12"/>
        <v>6.0999999999999999E-2</v>
      </c>
      <c r="AD34" s="1105">
        <f t="shared" si="13"/>
        <v>-3.8207812500000026E-3</v>
      </c>
      <c r="AE34" s="1128">
        <f t="shared" si="14"/>
        <v>-12.27536231884058</v>
      </c>
      <c r="AF34" s="1130">
        <f t="shared" si="15"/>
        <v>0</v>
      </c>
      <c r="AG34" s="420">
        <f t="shared" si="16"/>
        <v>0</v>
      </c>
      <c r="AH34" s="420">
        <f t="shared" si="17"/>
        <v>0</v>
      </c>
      <c r="AI34" s="1097">
        <f t="shared" si="18"/>
        <v>0</v>
      </c>
      <c r="AJ34" s="420">
        <f t="shared" si="19"/>
        <v>0</v>
      </c>
      <c r="AK34" s="518">
        <f t="shared" si="20"/>
        <v>0</v>
      </c>
      <c r="AL34" s="1106">
        <f>IF($P34="","N/A",(IF($P34=-1,INDEX('卡片raw data'!S:S,MATCH($D34,'卡片raw data'!$F:$F,)),0)+IF($P34=0,INDEX('卡片raw data'!V:V,MATCH($D34,'卡片raw data'!$F:$F,)),0)+IF($P34=1,INDEX('卡片raw data'!Y:Y,MATCH($D34,'卡片raw data'!$F:$F,)),0)+IF($P34=2,INDEX('卡片raw data'!AB:AB,MATCH($D34,'卡片raw data'!$F:$F,)),0)+IF($P34=3,INDEX('卡片raw data'!AE:AE,MATCH($D34,'卡片raw data'!$F:$F,)),0)+IF($P34=4,INDEX('卡片raw data'!AH:AH,MATCH($D34,'卡片raw data'!$F:$F,)),0)+IF($P34=5,INDEX('卡片raw data'!AK:AK,MATCH($D34,'卡片raw data'!$F:$F,)),0)+INDEX('卡片raw data'!S:S,MATCH($D34,'卡片raw data'!$F:$F,))*(IF($F34="UR",0.04,0.033))*(IF($F34="UR",INDEX(绊状态确认!$S:$S,MATCH($G34,绊状态确认!$B:$B,))/2-40)+IF($F34="SR",INDEX(绊状态确认!$R:$R,MATCH($G34,绊状态确认!$B:$B,))/4-15))+IF($F34="R",INDEX(绊状态确认!$Q:$Q,MATCH($G34,绊状态确认!$B:$B,))/6-40/6)))*(INDEX(绊状态确认!$H:$H,MATCH($G34,绊状态确认!$B:$B,))+INDEX(绊状态确认!J:J,MATCH($G34,绊状态确认!$B:$B,)))</f>
        <v>6238.3178015999993</v>
      </c>
      <c r="AM34" s="1106">
        <f>IF($P34="","N/A",(IF($P34=-1,INDEX('卡片raw data'!T:T,MATCH($D34,'卡片raw data'!$F:$F,)),0)+IF($P34=0,INDEX('卡片raw data'!W:W,MATCH($D34,'卡片raw data'!$F:$F,)),0)+IF($P34=1,INDEX('卡片raw data'!Z:Z,MATCH($D34,'卡片raw data'!$F:$F,)),0)+IF($P34=2,INDEX('卡片raw data'!AC:AC,MATCH($D34,'卡片raw data'!$F:$F,)),0)+IF($P34=3,INDEX('卡片raw data'!AF:AF,MATCH($D34,'卡片raw data'!$F:$F,)),0)+IF($P34=4,INDEX('卡片raw data'!AI:AI,MATCH($D34,'卡片raw data'!$F:$F,)),0)+IF($P34=5,INDEX('卡片raw data'!AL:AL,MATCH($D34,'卡片raw data'!$F:$F,)),0)+INDEX('卡片raw data'!T:T,MATCH($D34,'卡片raw data'!$F:$F,))*(IF($F34="UR",0.04,0.033))*(IF($F34="UR",INDEX(绊状态确认!$S:$S,MATCH($G34,绊状态确认!$B:$B,))/2-40)+IF($F34="SR",INDEX(绊状态确认!$R:$R,MATCH($G34,绊状态确认!$B:$B,))/4-15))+IF($F34="R",INDEX(绊状态确认!$Q:$Q,MATCH($G34,绊状态确认!$B:$B,))/6-40/6)))*(INDEX(绊状态确认!$H:$H,MATCH($G34,绊状态确认!$B:$B,))+INDEX(绊状态确认!K:K,MATCH($G34,绊状态确认!$B:$B,)))</f>
        <v>6238.3178015999993</v>
      </c>
      <c r="AN34" s="1106">
        <f>IF($P34="","N/A",(IF($P34=-1,INDEX('卡片raw data'!U:U,MATCH($D34,'卡片raw data'!$F:$F,)),0)+IF($P34=0,INDEX('卡片raw data'!X:X,MATCH($D34,'卡片raw data'!$F:$F,)),0)+IF($P34=1,INDEX('卡片raw data'!AA:AA,MATCH($D34,'卡片raw data'!$F:$F,)),0)+IF($P34=2,INDEX('卡片raw data'!AD:AD,MATCH($D34,'卡片raw data'!$F:$F,)),0)+IF($P34=3,INDEX('卡片raw data'!AG:AG,MATCH($D34,'卡片raw data'!$F:$F,)),0)+IF($P34=4,INDEX('卡片raw data'!AJ:AJ,MATCH($D34,'卡片raw data'!$F:$F,)),0)+IF($P34=5,INDEX('卡片raw data'!AM:AM,MATCH($D34,'卡片raw data'!$F:$F,)),0)+INDEX('卡片raw data'!U:U,MATCH($D34,'卡片raw data'!$F:$F,))*(IF($F34="UR",0.04,0.033))*(IF($F34="UR",INDEX(绊状态确认!$S:$S,MATCH($G34,绊状态确认!$B:$B,))/2-40)+IF($F34="SR",INDEX(绊状态确认!$R:$R,MATCH($G34,绊状态确认!$B:$B,))/4-15))+IF($F34="R",INDEX(绊状态确认!$Q:$Q,MATCH($G34,绊状态确认!$B:$B,))/6-40/6)))*(INDEX(绊状态确认!$H:$H,MATCH($G34,绊状态确认!$B:$B,))+INDEX(绊状态确认!L:L,MATCH($G34,绊状态确认!$B:$B,)))</f>
        <v>6427.1511167999997</v>
      </c>
      <c r="AO34" s="1107">
        <f t="shared" si="21"/>
        <v>1</v>
      </c>
      <c r="AP34" s="1131">
        <f>1+(INDEX(绊状态确认!$T:$T,MATCH($G34,绊状态确认!$B:$B,))+0.2)*$AO34</f>
        <v>1.3</v>
      </c>
      <c r="AQ34" s="1108">
        <f t="shared" si="22"/>
        <v>19625.584229199998</v>
      </c>
      <c r="AR34" s="1097">
        <f>(AM34*(1+$EX$9)+$EX$35)*(1+(INDEX(绊状态确认!$T:$T,MATCH($G34,绊状态确认!$B:$B,))+0.2)*AO34)*IF(J34=$FF$17,1+$FE$17,1)*IF(I34=$FF$14,1+$FE$14,1)</f>
        <v>11219.303799183999</v>
      </c>
      <c r="AS34" s="1097">
        <f>(AN34*(1+$EX$10)+$EX$36)*(1+(INDEX(绊状态确认!$T:$T,MATCH($G34,绊状态确认!$B:$B,))+0.2)*AO34)*IF(J34=$FF$17,1+$FE$17,1)*IF(I34=$FF$14,1+$FE$14,1)</f>
        <v>13664.590919615997</v>
      </c>
      <c r="AT34" s="1093">
        <f>IF(AND(INDEX('卡片raw data'!AK:AK,MATCH($D34,'卡片raw data'!$F:$F,))&lt;INDEX('卡片raw data'!AM:AM,MATCH($D34,'卡片raw data'!$F:$F,)),INDEX('卡片raw data'!AL:AL,MATCH($D34,'卡片raw data'!$F:$F,))&lt;INDEX('卡片raw data'!AM:AM,MATCH($D34,'卡片raw data'!$F:$F,))),1,0)</f>
        <v>1</v>
      </c>
      <c r="AU34" s="1098">
        <f>MIN(AT34*0.15+AS34*0.00003+INDEX(绊状态确认!M:M,MATCH($G34,绊状态确认!$B:$B,)),1)</f>
        <v>0.58993772758847995</v>
      </c>
      <c r="AV34" s="1109">
        <f>(INDEX(绊状态确认!$N:$N,MATCH($G34,绊状态确认!$B:$B,))+1.5)*$EW$21</f>
        <v>2.6599999999999997</v>
      </c>
      <c r="AW34" s="1101">
        <f t="shared" si="23"/>
        <v>20173.945470436684</v>
      </c>
      <c r="AX34" s="1097">
        <f t="shared" si="24"/>
        <v>958.9966893637876</v>
      </c>
      <c r="AY34" s="1110">
        <f t="shared" si="25"/>
        <v>21132.94215980047</v>
      </c>
      <c r="AZ34" s="429">
        <f t="shared" si="26"/>
        <v>14764.719713119999</v>
      </c>
      <c r="BA34" s="431">
        <f t="shared" si="27"/>
        <v>17717.663655744</v>
      </c>
      <c r="BB34" s="1097">
        <f>(AM34*(1+$FB$9)+$FB$35)*(1+(INDEX(绊状态确认!$T:$T,MATCH($G34,绊状态确认!$B:$B,))+0.2)*AO34)*IF(J34=$FF$17,1+$FE$17,1)*IF(I34=$FF$14,1+$FE$14,1)*(1+$FE$15)</f>
        <v>11219.303799183999</v>
      </c>
      <c r="BC34" s="1097">
        <f>(AN34*(1+$FB$10)+$FB$36)*(1+(INDEX(绊状态确认!$T:$T,MATCH($G34,绊状态确认!$B:$B,))+0.2)*AO34)*IF(J34=$FF$17,1+$FE$17,1)*IF(I34=$FF$14,1+$FE$14,1)*(1+$FE$15)</f>
        <v>13664.590919615997</v>
      </c>
      <c r="BD34" s="1104">
        <f>MIN(AT34*0.15+BC34*0.00003+INDEX(绊状态确认!M:M,MATCH($G34,绊状态确认!$B:$B,)),1)</f>
        <v>0.58993772758847995</v>
      </c>
      <c r="BE34" s="432">
        <f>(INDEX(绊状态确认!$N:$N,MATCH($G34,绊状态确认!$B:$B,))+1.5)</f>
        <v>1.9</v>
      </c>
      <c r="BF34" s="1139">
        <f t="array" ref="BF34">SUMPRODUCT(IF(AZ34*AP34*$FI$16:$FI$23*$FA$22&gt;=$FI$24,$FI$24,AZ34*AP34*$FI$16:$FI$23*$FA$22),$FJ$16:$FJ$23)</f>
        <v>29367.027509395681</v>
      </c>
      <c r="BG34" s="1125">
        <f t="array" ref="BG34">SUMPRODUCT(IF(BE34*AZ34*AP34*$FI$16:$FI$23*$FA$22&gt;=$FI$24,$FI$24,BE34*AZ34*AP34*$FI$16:$FI$23*$FA$22),$FJ$16:$FJ$23)</f>
        <v>54104.169114492332</v>
      </c>
      <c r="BH34" s="1110">
        <f t="shared" si="28"/>
        <v>14653.466871646948</v>
      </c>
      <c r="BI34" s="1111">
        <f>IF(O34="vo",$EW$26/$EW$24*0.05,0)+IF(O34="sk",-$EW$26/$EW$24*(0.05-INDEX(绊状态确认!W:W,MATCH($G34,绊状态确认!$B:$B,)))+0.05*$EW$28,0)+IF(O34="sp",0.05*$EW$32*$EW$30*(1-$EW$33)-(0.05-INDEX(绊状态确认!V:V,MATCH($G34,绊状态确认!$B:$B,)))*$EW$28,0)+IF(O34="gd",-(0.05-INDEX(绊状态确认!X:X,MATCH($G34,绊状态确认!$B:$B,)))*$EW$32*$EW$30*(1-$EW$33),0)</f>
        <v>7726.3029277443748</v>
      </c>
      <c r="BJ34" s="1097">
        <f>IF(O34="vo",0.05*(1-$FI$26)*$FA$24,0)+IF(O34="sk",-(0.05-INDEX(绊状态确认!W:W,MATCH($G34,绊状态确认!$B:$B,)))*(1-$FI$26)*$FA$24+0.05*$FA$26,0)+IF(O34="sp",0.05*$FA$32*$FA$27*(1-$FA$33)/$FA$30+0.05*$FA$29/$FA$69*$FA$27*(1-$FA$33)-(0.05-INDEX(绊状态确认!V:V,MATCH($G34,绊状态确认!$B:$B,)))*$FA$26,0)+IF(O34="gd",-(0.05-INDEX(绊状态确认!X:X,MATCH($G34,绊状态确认!$B:$B,)))*$FA$32*$FA$27*(1-$FA$33)/$FA$30-(0.05-INDEX(绊状态确认!X:X,MATCH($G34,绊状态确认!$B:$B,)))*$FA$29/$FA$69*$FA$27*(1-$FA$33),0)</f>
        <v>393.93433687500004</v>
      </c>
      <c r="BK34" s="1110">
        <f>IF(O34="vo",$EW$26/$EW$24*0.05+$EW$26*(-HP($EW$62,$EW$65,$EW$64)+HP($EW$62,$EW$65,(1.05-INDEX(绊状态确认!U:U,MATCH($G34,绊状态确认!$B:$B,)))*$EW$64)),0)+IF(O34="sk",-$EW$26/$EW$24*(0.05-INDEX(绊状态确认!W:W,MATCH($G34,绊状态确认!$B:$B,)))+0.05*$EW$29,0)+IF(O34="sp",0.05*$EW$32*$EW$30*(1-$EW$33)-(0.05-INDEX(绊状态确认!V:V,MATCH($G34,绊状态确认!$B:$B,)))*$EW$29,0)+IF(O34="gd",-(0.05-INDEX(绊状态确认!X:X,MATCH($G34,绊状态确认!$B:$B,)))*$EW$32*$EW$30*(1-$EW$33)+$EW$26*(-HP($EW$62,$EW$65,$EW$64)+HP($EW$62,$EW$65,0.95*$EW$64)),0)</f>
        <v>6421.6344775026746</v>
      </c>
      <c r="BL34" s="1111">
        <f t="shared" si="29"/>
        <v>-1083.3333333333333</v>
      </c>
      <c r="BM34" s="1110">
        <f t="shared" si="30"/>
        <v>-830.55555555555543</v>
      </c>
      <c r="BN34" s="1113">
        <f t="shared" si="31"/>
        <v>3</v>
      </c>
      <c r="BO34" s="1097">
        <f t="shared" si="32"/>
        <v>4507.7214871259994</v>
      </c>
      <c r="BP34" s="1100">
        <f t="shared" si="33"/>
        <v>221.34103209030098</v>
      </c>
      <c r="BQ34" s="1113" t="s">
        <v>619</v>
      </c>
      <c r="BR34" s="1124" t="s">
        <v>622</v>
      </c>
      <c r="BS34" s="1098">
        <f>IF($P34="","N/A",IF($P34=-1,INDEX('卡片raw data'!AX:AX,MATCH($D34,'卡片raw data'!$F:$F,)),0)+IF($L34="party卡",IF($P34=5,INDEX('卡片raw data'!BD:BD,MATCH($D34,'卡片raw data'!$F:$F,)),IF($P34&gt;=3,INDEX('卡片raw data'!BC:BC,MATCH($D34,'卡片raw data'!$F:$F,)),INDEX('卡片raw data'!BB:BB,MATCH($D34,'卡片raw data'!$F:$F,)))),IF(OR(AND($F34="UR",$P34=0),AND($F34="SR",$P34&gt;=0,$P34&lt;=2),AND($F34="R",$P34&gt;=0,$P34&lt;4)),INDEX('卡片raw data'!AZ:AZ,MATCH($D34,'卡片raw data'!$F:$F,)),0)+IF(OR(AND($F34="UR",$P34&gt;=1,$P34&lt;=4),AND($F34="SR",$P34&lt;=4,$P34&gt;=3),AND($F34="R",$P34=4)),INDEX('卡片raw data'!BA:BA,MATCH($D34,'卡片raw data'!$F:$F,)),0)+IF($P34=5,INDEX('卡片raw data'!BB:BB,MATCH($D34,'卡片raw data'!$F:$F,)),0)))</f>
        <v>7.0000000000000007E-2</v>
      </c>
      <c r="BT34" s="1101">
        <f t="shared" si="34"/>
        <v>624.16626869859351</v>
      </c>
      <c r="BU34" s="1097">
        <f t="shared" si="35"/>
        <v>21.612638429419075</v>
      </c>
      <c r="BV34" s="1097">
        <f t="shared" si="36"/>
        <v>0</v>
      </c>
      <c r="BW34" s="1112">
        <f t="shared" si="37"/>
        <v>0</v>
      </c>
      <c r="BX34" s="1100">
        <f t="shared" si="38"/>
        <v>624.16626869859351</v>
      </c>
      <c r="BY34" s="1110">
        <f t="shared" si="39"/>
        <v>0</v>
      </c>
      <c r="BZ34" s="1107" t="s">
        <v>569</v>
      </c>
      <c r="CA34" s="1124"/>
      <c r="CB34" s="1098">
        <f>IF($P34="","N/A",IF($P34=-1,INDEX('卡片raw data'!BE:BE,MATCH($D34,'卡片raw data'!$F:$F,)),0)+IF($L34="party卡",IF($P34=5,INDEX('卡片raw data'!BK:BK,MATCH($D34,'卡片raw data'!$F:$F,)),IF($P34&gt;=3,INDEX('卡片raw data'!BJ:BJ,MATCH($D34,'卡片raw data'!$F:$F,)),INDEX('卡片raw data'!BI:BI,MATCH($D34,'卡片raw data'!$F:$F,)))),IF(OR(AND($F34="UR",$P34=0),AND($F34="SR",$P34&gt;=0,$P34&lt;=2),AND($F34="R",$P34&gt;=0,$P34&lt;4)),INDEX('卡片raw data'!BG:BG,MATCH($D34,'卡片raw data'!$F:$F,)),0)+IF(OR(AND($F34="UR",$P34&gt;=1,$P34&lt;=4),AND($F34="SR",$P34&lt;=4,$P34&gt;=3),AND($F34="R",$P34=4)),INDEX('卡片raw data'!BH:BH,MATCH($D34,'卡片raw data'!$F:$F,)),0)+IF($P34=5,INDEX('卡片raw data'!BI:BI,MATCH($D34,'卡片raw data'!$F:$F,)),0)))</f>
        <v>0</v>
      </c>
      <c r="CC34" s="1101">
        <f t="shared" si="40"/>
        <v>0</v>
      </c>
      <c r="CD34" s="1097">
        <f>IF(BZ34="ap",CB34*(1-$FI$26)*$FB$5/$FB$11*(+IF(CA34="全员",$FA$24,0)+IF(CA34="同作战",$FA$24,0)+IF(CA34="仲间",$FA$24*2/3,0)+IF(CA34="同属性",$FA$24*$FA$37/3,0)+IF(CA34="同年级",$FA$24*$FA$40/3,0)+IF(CA34="同学校",$FA$24*$FA$43/3,0)+IF(CA34="同小队",$FA$24*$FA$46/3,0)+IF(CA34="同type",$FA$24*INDEX($FB$49:$FB$52,MATCH(X34,$FA$49:$FA$52,))/3,0)+IF(CA34="自身",#REF!/3,0)),0)+IF(BZ34="te",CB34*(1-$FI$27)*($FA$20-1)*$FB$7/$FB$13*(+IF(CA34="全员",$FA$19*$FA$24/(1+($FA$20-1)*$FA$19),0)+IF(CA34="同作战",$FA$19*$FA$24/(1+($FA$20-1)*$FA$19),0)+IF(CA34="仲间",$FA$19*$FA$24*2/3/(1+($FA$20-1)*$FA$19),0)+IF(CA34="同属性",$FA$19*$FA$24*$FA$37/3/(1+($FA$20-1)*$FA$19),0)+IF(CA34="同年级",$FA$19*$FA$24*$FA$40/3/(1+($FA$20-1)*$FA$19),0)+IF(CA34="同学校",$FA$19*$FA$24*$FA$43/3/(1+($FA$20-1)*$FA$19),0)+IF(CA34="同小队",$FA$19*$FA$24*$FA$46/3/(1+($FA$20-1)*$FA$19),0)+IF(CA34="同type",$FA$19*$FA$24*INDEX($FB$49:$FB$52,MATCH(X34,$FA$49:$FA$52,))/3/(1+($FA$20-1)*$FA$19),0)+IF(CA34="自身",$FA$19*#REF!/3/(1+(BH34-1)*$BD34),0)),0)</f>
        <v>0</v>
      </c>
      <c r="CE34" s="1097">
        <f t="shared" si="41"/>
        <v>0</v>
      </c>
      <c r="CF34" s="1112">
        <f t="shared" si="42"/>
        <v>0</v>
      </c>
      <c r="CG34" s="1100">
        <f t="shared" si="43"/>
        <v>0</v>
      </c>
      <c r="CH34" s="1110">
        <f t="shared" si="44"/>
        <v>0</v>
      </c>
      <c r="CI34" s="1113" t="s">
        <v>165</v>
      </c>
      <c r="CJ34" s="1114">
        <v>0.3</v>
      </c>
      <c r="CK34" s="1115" t="s">
        <v>566</v>
      </c>
      <c r="CL34" s="1115" t="s">
        <v>161</v>
      </c>
      <c r="CM34" s="1119">
        <v>0.08</v>
      </c>
      <c r="CN34" s="1115">
        <v>10</v>
      </c>
      <c r="CO34" s="1092"/>
      <c r="CP34" s="1118">
        <f t="shared" si="45"/>
        <v>8.571428571428571E-4</v>
      </c>
      <c r="CQ34" s="1118">
        <f t="shared" si="46"/>
        <v>1.3333333333333333E-3</v>
      </c>
      <c r="CR34" s="1118">
        <f t="shared" si="47"/>
        <v>8.571428571428571E-4</v>
      </c>
      <c r="CS34" s="1118">
        <f t="shared" si="48"/>
        <v>0</v>
      </c>
      <c r="CT34" s="1109">
        <f t="shared" si="49"/>
        <v>0</v>
      </c>
      <c r="CU34" s="1101">
        <f t="shared" si="50"/>
        <v>116.55679845282944</v>
      </c>
      <c r="CV34" s="1108">
        <f t="shared" si="51"/>
        <v>8.7540963749999996</v>
      </c>
      <c r="CW34" s="1097">
        <f t="shared" si="52"/>
        <v>116.55679845282944</v>
      </c>
      <c r="CX34" s="1097">
        <f t="shared" si="53"/>
        <v>116.55679845282944</v>
      </c>
      <c r="CY34" s="1110">
        <f t="shared" si="54"/>
        <v>116.55679845282944</v>
      </c>
      <c r="CZ34" s="437"/>
      <c r="DA34" s="438"/>
      <c r="DB34" s="439" t="s">
        <v>569</v>
      </c>
      <c r="DC34" s="439"/>
      <c r="DD34" s="443"/>
      <c r="DE34" s="411"/>
      <c r="DF34" s="411"/>
      <c r="DG34" s="1116">
        <f t="shared" si="55"/>
        <v>0</v>
      </c>
      <c r="DH34" s="1116">
        <f t="shared" si="56"/>
        <v>0</v>
      </c>
      <c r="DI34" s="1116">
        <f t="shared" si="57"/>
        <v>0</v>
      </c>
      <c r="DJ34" s="442">
        <f t="shared" si="58"/>
        <v>0</v>
      </c>
      <c r="DK34" s="1109">
        <f t="shared" si="59"/>
        <v>0</v>
      </c>
      <c r="DL34" s="1101">
        <f t="shared" si="60"/>
        <v>0</v>
      </c>
      <c r="DM34" s="1097">
        <f t="shared" si="61"/>
        <v>0</v>
      </c>
      <c r="DN34" s="1097">
        <f t="shared" si="62"/>
        <v>0</v>
      </c>
      <c r="DO34" s="1097">
        <f t="shared" si="63"/>
        <v>0</v>
      </c>
      <c r="DP34" s="1110">
        <f t="shared" si="64"/>
        <v>0</v>
      </c>
      <c r="DQ34" s="1113" t="s">
        <v>545</v>
      </c>
      <c r="DR34" s="1120">
        <f t="shared" si="65"/>
        <v>0.3</v>
      </c>
      <c r="DS34" s="1124"/>
      <c r="DT34" s="1093" t="s">
        <v>548</v>
      </c>
      <c r="DU34" s="1093"/>
      <c r="DV34" s="1098">
        <f>IF($P34="","N/A",IF(P34=-1,INDEX('卡片raw data'!AN:AN,MATCH(D34,'卡片raw data'!$F:$F,)),0)+IF(AND(L34&lt;&gt;"party卡",P34&lt;=2,P34&gt;=0),INDEX('卡片raw data'!AP:AP,MATCH(D34,'卡片raw data'!$F:$F,)),0)+IF(OR(AND(L34="party卡",P34&lt;=1),AND(P34&lt;=4,L34&lt;&gt;"party卡",P34&gt;=3)),INDEX('卡片raw data'!AQ:AQ,MATCH(D34,'卡片raw data'!$F:$F,)),0)+IF(OR(P34=5,AND(L34="party卡",P34&gt;=2)),INDEX('卡片raw data'!AR:AR,MATCH(D34,'卡片raw data'!$F:$F,)),0))</f>
        <v>0.37</v>
      </c>
      <c r="DW34" s="1098">
        <f t="shared" si="66"/>
        <v>0.3</v>
      </c>
      <c r="DX34" s="1098">
        <f t="shared" si="67"/>
        <v>0.3</v>
      </c>
      <c r="DY34" s="1125">
        <f t="shared" si="68"/>
        <v>943.99060142452004</v>
      </c>
      <c r="DZ34" s="1125">
        <f t="shared" si="69"/>
        <v>737.16997289271274</v>
      </c>
      <c r="EA34" s="1098">
        <f t="shared" si="70"/>
        <v>0</v>
      </c>
      <c r="EB34" s="1121">
        <f t="shared" si="71"/>
        <v>0</v>
      </c>
      <c r="EC34" s="1101">
        <f t="shared" si="72"/>
        <v>1038.3896615669721</v>
      </c>
      <c r="ED34" s="1097">
        <f t="shared" si="73"/>
        <v>737.16997289271274</v>
      </c>
      <c r="EE34" s="1110">
        <f t="shared" si="74"/>
        <v>1038.3896615669721</v>
      </c>
      <c r="EF34" s="1092" t="s">
        <v>711</v>
      </c>
      <c r="EG34" s="1120">
        <f t="shared" si="75"/>
        <v>0.3</v>
      </c>
      <c r="EH34" s="1124"/>
      <c r="EI34" s="1093"/>
      <c r="EJ34" s="1093"/>
      <c r="EK34" s="1097">
        <f>IF($P34="","N/A",IF(P34=-1,INDEX('卡片raw data'!AS:AS,MATCH(D34,'卡片raw data'!$F:$F,)),0)+IF(AND(L34&lt;&gt;"party卡",P34&lt;=2,P34&gt;=0),INDEX('卡片raw data'!AU:AU,MATCH(D34,'卡片raw data'!$F:$F,)),0)+IF(OR(AND(L34="party卡",P34&lt;=1),AND(P34&lt;=4,L34&lt;&gt;"party卡",P34&gt;=3)),INDEX('卡片raw data'!AV:AV,MATCH(D34,'卡片raw data'!$F:$F,)),0)+IF(OR(P34=5,AND(L34="party卡",P34&gt;=2)),INDEX('卡片raw data'!AW:AW,MATCH(D34,'卡片raw data'!$F:$F,)),0))</f>
        <v>0</v>
      </c>
      <c r="EL34" s="1098">
        <f t="shared" si="76"/>
        <v>0.3</v>
      </c>
      <c r="EM34" s="1098">
        <f t="shared" si="77"/>
        <v>0.3</v>
      </c>
      <c r="EN34" s="1125">
        <f t="shared" si="78"/>
        <v>0</v>
      </c>
      <c r="EO34" s="1125">
        <f t="shared" si="79"/>
        <v>0</v>
      </c>
      <c r="EP34" s="1098">
        <f t="shared" si="80"/>
        <v>0</v>
      </c>
      <c r="EQ34" s="1121">
        <f t="shared" si="81"/>
        <v>0</v>
      </c>
      <c r="ER34" s="1101">
        <f t="shared" si="82"/>
        <v>0</v>
      </c>
      <c r="ES34" s="1097">
        <f t="shared" si="83"/>
        <v>0</v>
      </c>
      <c r="ET34" s="1122">
        <f t="shared" si="84"/>
        <v>0</v>
      </c>
      <c r="EV34" s="1314" t="s">
        <v>245</v>
      </c>
      <c r="EW34" s="1213" t="s">
        <v>143</v>
      </c>
      <c r="EX34" s="1226">
        <v>2600</v>
      </c>
      <c r="EY34" s="1212"/>
      <c r="EZ34" s="1314" t="s">
        <v>245</v>
      </c>
      <c r="FA34" s="1213" t="s">
        <v>143</v>
      </c>
      <c r="FB34" s="1226">
        <v>2600</v>
      </c>
      <c r="FC34" s="447"/>
      <c r="FD34" s="447"/>
      <c r="FE34" s="447"/>
      <c r="FF34" s="642"/>
      <c r="FG34" s="642"/>
      <c r="FH34" s="649">
        <f t="array" ref="FH34">SUMPRODUCT(FJ7:FJ14,IF((FI24-FH7:FH14)/(FH16:FH23-FH7:FH14)&gt;1,1,IF((FI24-FH7:FH14)/(FH16:FH23-FH7:FH14)&lt;0,0,(FI24-FH7:FH14)/(FH16:FH23-FH7:FH14))))</f>
        <v>0.27209763068462151</v>
      </c>
      <c r="FI34" s="642"/>
      <c r="FJ34" s="447"/>
    </row>
    <row r="35" spans="2:166" ht="16.5" customHeight="1" thickBot="1">
      <c r="B35" s="1123" t="str">
        <f>INDEX('卡片raw data'!B:B,MATCH($D35,'卡片raw data'!$F:$F,))</f>
        <v>初始花</v>
      </c>
      <c r="C35" s="449" t="s">
        <v>67</v>
      </c>
      <c r="D35" s="408">
        <v>32</v>
      </c>
      <c r="E35" s="1090">
        <v>100083001</v>
      </c>
      <c r="F35" s="1090" t="str">
        <f>INDEX('卡片raw data'!C:C,MATCH($D35,'卡片raw data'!$F:$F,))</f>
        <v>UR</v>
      </c>
      <c r="G35" s="1094" t="s">
        <v>31</v>
      </c>
      <c r="H35" s="411">
        <f>IFERROR(INDEX(绊状态确认!C:C,MATCH($G35,绊状态确认!$B:$B,)),"")</f>
        <v>8</v>
      </c>
      <c r="I35" s="450" t="str">
        <f>IFERROR(INDEX(绊状态确认!D:D,MATCH($G35,绊状态确认!$B:$B,)),"")</f>
        <v>缪</v>
      </c>
      <c r="J35" s="450" t="str">
        <f>IFERROR(INDEX(绊状态确认!E:E,MATCH($G35,绊状态确认!$B:$B,)),"")</f>
        <v>1年级</v>
      </c>
      <c r="K35" s="451" t="str">
        <f>IFERROR(INDEX(绊状态确认!F:F,MATCH($G35,绊状态确认!$B:$B,)),"")</f>
        <v>Printemps</v>
      </c>
      <c r="L35" s="1094" t="str">
        <f>INDEX('卡片raw data'!E:E,MATCH($D35,'卡片raw data'!$F:$F,))</f>
        <v>卡池卡</v>
      </c>
      <c r="M35" s="415">
        <v>43735</v>
      </c>
      <c r="N35" s="416">
        <v>0</v>
      </c>
      <c r="O35" s="1091" t="str">
        <f>INDEX('卡片raw data'!D:D,MATCH($D35,'卡片raw data'!$F:$F,))</f>
        <v>gd</v>
      </c>
      <c r="P35" s="417">
        <v>5</v>
      </c>
      <c r="Q35" s="1095">
        <f t="shared" si="0"/>
        <v>38545.716303678186</v>
      </c>
      <c r="R35" s="1096">
        <f t="shared" si="1"/>
        <v>0.44800000000000001</v>
      </c>
      <c r="S35" s="1097">
        <f t="shared" si="2"/>
        <v>18688.53816987859</v>
      </c>
      <c r="T35" s="1098">
        <f t="shared" si="3"/>
        <v>0.93400000000000005</v>
      </c>
      <c r="U35" s="1099">
        <f t="shared" si="4"/>
        <v>583.91396346354281</v>
      </c>
      <c r="V35" s="1100">
        <f t="shared" si="5"/>
        <v>90241.41116668022</v>
      </c>
      <c r="W35" s="1101">
        <f t="shared" si="6"/>
        <v>4691.5284174831422</v>
      </c>
      <c r="X35" s="1096">
        <f t="shared" si="7"/>
        <v>5.3999999999999999E-2</v>
      </c>
      <c r="Y35" s="1097">
        <f t="shared" si="8"/>
        <v>1666.0690008606662</v>
      </c>
      <c r="Z35" s="1102">
        <f t="shared" si="9"/>
        <v>20.803790177142851</v>
      </c>
      <c r="AA35" s="1103">
        <f t="shared" si="10"/>
        <v>6357.5974183438084</v>
      </c>
      <c r="AB35" s="1101">
        <f t="shared" si="11"/>
        <v>4691.5284174831422</v>
      </c>
      <c r="AC35" s="1104">
        <f t="shared" si="12"/>
        <v>5.3999999999999999E-2</v>
      </c>
      <c r="AD35" s="1105">
        <f t="shared" si="13"/>
        <v>0</v>
      </c>
      <c r="AE35" s="1128">
        <f t="shared" si="14"/>
        <v>-1.4465122199999998</v>
      </c>
      <c r="AF35" s="1130">
        <f t="shared" si="15"/>
        <v>7613.0359743359986</v>
      </c>
      <c r="AG35" s="420">
        <f t="shared" si="16"/>
        <v>97015.60416800002</v>
      </c>
      <c r="AH35" s="420">
        <f t="shared" si="17"/>
        <v>12.743352914007691</v>
      </c>
      <c r="AI35" s="1097">
        <f t="shared" si="18"/>
        <v>107024.40555086041</v>
      </c>
      <c r="AJ35" s="420">
        <f t="shared" si="19"/>
        <v>90241.41116668022</v>
      </c>
      <c r="AK35" s="518">
        <f t="shared" si="20"/>
        <v>16782.994384180187</v>
      </c>
      <c r="AL35" s="1106">
        <f>IF($P35="","N/A",(IF($P35=-1,INDEX('卡片raw data'!S:S,MATCH($D35,'卡片raw data'!$F:$F,)),0)+IF($P35=0,INDEX('卡片raw data'!V:V,MATCH($D35,'卡片raw data'!$F:$F,)),0)+IF($P35=1,INDEX('卡片raw data'!Y:Y,MATCH($D35,'卡片raw data'!$F:$F,)),0)+IF($P35=2,INDEX('卡片raw data'!AB:AB,MATCH($D35,'卡片raw data'!$F:$F,)),0)+IF($P35=3,INDEX('卡片raw data'!AE:AE,MATCH($D35,'卡片raw data'!$F:$F,)),0)+IF($P35=4,INDEX('卡片raw data'!AH:AH,MATCH($D35,'卡片raw data'!$F:$F,)),0)+IF($P35=5,INDEX('卡片raw data'!AK:AK,MATCH($D35,'卡片raw data'!$F:$F,)),0)+INDEX('卡片raw data'!S:S,MATCH($D35,'卡片raw data'!$F:$F,))*(IF($F35="UR",0.04,0.033))*(IF($F35="UR",INDEX(绊状态确认!$S:$S,MATCH($G35,绊状态确认!$B:$B,))/2-40)+IF($F35="SR",INDEX(绊状态确认!$R:$R,MATCH($G35,绊状态确认!$B:$B,))/4-15))+IF($F35="R",INDEX(绊状态确认!$Q:$Q,MATCH($G35,绊状态确认!$B:$B,))/6-40/6)))*(INDEX(绊状态确认!$H:$H,MATCH($G35,绊状态确认!$B:$B,))+INDEX(绊状态确认!J:J,MATCH($G35,绊状态确认!$B:$B,)))</f>
        <v>9218.4767999999985</v>
      </c>
      <c r="AM35" s="1106">
        <f>IF($P35="","N/A",(IF($P35=-1,INDEX('卡片raw data'!T:T,MATCH($D35,'卡片raw data'!$F:$F,)),0)+IF($P35=0,INDEX('卡片raw data'!W:W,MATCH($D35,'卡片raw data'!$F:$F,)),0)+IF($P35=1,INDEX('卡片raw data'!Z:Z,MATCH($D35,'卡片raw data'!$F:$F,)),0)+IF($P35=2,INDEX('卡片raw data'!AC:AC,MATCH($D35,'卡片raw data'!$F:$F,)),0)+IF($P35=3,INDEX('卡片raw data'!AF:AF,MATCH($D35,'卡片raw data'!$F:$F,)),0)+IF($P35=4,INDEX('卡片raw data'!AI:AI,MATCH($D35,'卡片raw data'!$F:$F,)),0)+IF($P35=5,INDEX('卡片raw data'!AL:AL,MATCH($D35,'卡片raw data'!$F:$F,)),0)+INDEX('卡片raw data'!T:T,MATCH($D35,'卡片raw data'!$F:$F,))*(IF($F35="UR",0.04,0.033))*(IF($F35="UR",INDEX(绊状态确认!$S:$S,MATCH($G35,绊状态确认!$B:$B,))/2-40)+IF($F35="SR",INDEX(绊状态确认!$R:$R,MATCH($G35,绊状态确认!$B:$B,))/4-15))+IF($F35="R",INDEX(绊状态确认!$Q:$Q,MATCH($G35,绊状态确认!$B:$B,))/6-40/6)))*(INDEX(绊状态确认!$H:$H,MATCH($G35,绊状态确认!$B:$B,))+INDEX(绊状态确认!K:K,MATCH($G35,绊状态确认!$B:$B,)))</f>
        <v>9218.4767999999985</v>
      </c>
      <c r="AN35" s="1106">
        <f>IF($P35="","N/A",(IF($P35=-1,INDEX('卡片raw data'!U:U,MATCH($D35,'卡片raw data'!$F:$F,)),0)+IF($P35=0,INDEX('卡片raw data'!X:X,MATCH($D35,'卡片raw data'!$F:$F,)),0)+IF($P35=1,INDEX('卡片raw data'!AA:AA,MATCH($D35,'卡片raw data'!$F:$F,)),0)+IF($P35=2,INDEX('卡片raw data'!AD:AD,MATCH($D35,'卡片raw data'!$F:$F,)),0)+IF($P35=3,INDEX('卡片raw data'!AG:AG,MATCH($D35,'卡片raw data'!$F:$F,)),0)+IF($P35=4,INDEX('卡片raw data'!AJ:AJ,MATCH($D35,'卡片raw data'!$F:$F,)),0)+IF($P35=5,INDEX('卡片raw data'!AM:AM,MATCH($D35,'卡片raw data'!$F:$F,)),0)+INDEX('卡片raw data'!U:U,MATCH($D35,'卡片raw data'!$F:$F,))*(IF($F35="UR",0.04,0.033))*(IF($F35="UR",INDEX(绊状态确认!$S:$S,MATCH($G35,绊状态确认!$B:$B,))/2-40)+IF($F35="SR",INDEX(绊状态确认!$R:$R,MATCH($G35,绊状态确认!$B:$B,))/4-15))+IF($F35="R",INDEX(绊状态确认!$Q:$Q,MATCH($G35,绊状态确认!$B:$B,))/6-40/6)))*(INDEX(绊状态确认!$H:$H,MATCH($G35,绊状态确认!$B:$B,))+INDEX(绊状态确认!L:L,MATCH($G35,绊状态确认!$B:$B,)))</f>
        <v>12291.302399999999</v>
      </c>
      <c r="AO35" s="1107">
        <f t="shared" si="21"/>
        <v>1</v>
      </c>
      <c r="AP35" s="1131">
        <f>1+(INDEX(绊状态确认!$T:$T,MATCH($G35,绊状态确认!$B:$B,))+0.2)*$AO35</f>
        <v>1.3</v>
      </c>
      <c r="AQ35" s="1108">
        <f t="shared" si="22"/>
        <v>27448.501599999996</v>
      </c>
      <c r="AR35" s="1097">
        <f>(AM35*(1+$EX$9)+$EX$35)*(1+(INDEX(绊状态确认!$T:$T,MATCH($G35,绊状态确认!$B:$B,))+0.2)*AO35)*IF(J35=$FF$17,1+$FE$17,1)*IF(I35=$FF$14,1+$FE$14,1)*(1+$FE$15)</f>
        <v>15287.220831999997</v>
      </c>
      <c r="AS35" s="1097">
        <f>(AN35*(1+$EX$10)+$EX$36)*(1+(INDEX(绊状态确认!$T:$T,MATCH($G35,绊状态确认!$B:$B,))+0.2)*AO35)*IF(J35=$FF$17,1+$FE$17,1)*IF(I35=$FF$14,1+$FE$14,1)*(1+$FE$15)</f>
        <v>22431.497088</v>
      </c>
      <c r="AT35" s="1093">
        <f>IF(AND(INDEX('卡片raw data'!AK:AK,MATCH($D35,'卡片raw data'!$F:$F,))&lt;INDEX('卡片raw data'!AM:AM,MATCH($D35,'卡片raw data'!$F:$F,)),INDEX('卡片raw data'!AL:AL,MATCH($D35,'卡片raw data'!$F:$F,))&lt;INDEX('卡片raw data'!AM:AM,MATCH($D35,'卡片raw data'!$F:$F,))),1,0)</f>
        <v>1</v>
      </c>
      <c r="AU35" s="1098">
        <f>MIN(AT35*0.15+AS35*0.00003+INDEX(绊状态确认!M:M,MATCH($G35,绊状态确认!$B:$B,)),1)</f>
        <v>0.85294491264000005</v>
      </c>
      <c r="AV35" s="1109">
        <f>(INDEX(绊状态确认!$N:$N,MATCH($G35,绊状态确认!$B:$B,))+1.5)*$EW$21</f>
        <v>2.6599999999999997</v>
      </c>
      <c r="AW35" s="1101">
        <f t="shared" si="23"/>
        <v>34439.187886195039</v>
      </c>
      <c r="AX35" s="1097">
        <f t="shared" si="24"/>
        <v>1318.4879097990729</v>
      </c>
      <c r="AY35" s="1110">
        <f t="shared" si="25"/>
        <v>35757.67579599411</v>
      </c>
      <c r="AZ35" s="429">
        <f t="shared" si="26"/>
        <v>20576.029759999998</v>
      </c>
      <c r="BA35" s="431">
        <f t="shared" si="27"/>
        <v>24691.235711999998</v>
      </c>
      <c r="BB35" s="1097">
        <f>(AM35*(1+$FB$9)+$FB$35)*(1+(INDEX(绊状态确认!$T:$T,MATCH($G35,绊状态确认!$B:$B,))+0.2)*AO35)*IF(J35=$FF$17,1+$FE$17,1)*IF(I35=$FF$14,1+$FE$14,1)*(1+$FE$15)</f>
        <v>15287.220831999997</v>
      </c>
      <c r="BC35" s="1097">
        <f>(AN35*(1+$FB$10)+$FB$36)*(1+(INDEX(绊状态确认!$T:$T,MATCH($G35,绊状态确认!$B:$B,))+0.2)*AO35)*IF(J35=$FF$17,1+$FE$17,1)*IF(I35=$FF$14,1+$FE$14,1)*(1+$FE$15)</f>
        <v>22431.497088</v>
      </c>
      <c r="BD35" s="1104">
        <f>MIN(AT35*0.15+BC35*0.00003+INDEX(绊状态确认!M:M,MATCH($G35,绊状态确认!$B:$B,)),1)</f>
        <v>0.85294491264000005</v>
      </c>
      <c r="BE35" s="432">
        <f>(INDEX(绊状态确认!$N:$N,MATCH($G35,绊状态确认!$B:$B,))+1.5)</f>
        <v>1.9</v>
      </c>
      <c r="BF35" s="1139">
        <f t="array" ref="BF35">SUMPRODUCT(IF(AZ35*AP35*$FI$16:$FI$23*$FA$22&gt;=$FI$24,$FI$24,AZ35*AP35*$FI$16:$FI$23*$FA$22),$FJ$16:$FJ$23)</f>
        <v>40925.723192639991</v>
      </c>
      <c r="BG35" s="1125">
        <f t="array" ref="BG35">SUMPRODUCT(IF(BE35*AZ35*AP35*$FI$16:$FI$23*$FA$22&gt;=$FI$24,$FI$24,BE35*AZ35*AP35*$FI$16:$FI$23*$FA$22),$FJ$16:$FJ$23)</f>
        <v>60000</v>
      </c>
      <c r="BH35" s="1110">
        <f t="shared" si="28"/>
        <v>19065.010185921619</v>
      </c>
      <c r="BI35" s="1111">
        <f>IF(O35="vo",$EW$26/$EW$24*0.05,0)+IF(O35="sk",-$EW$26/$EW$24*(0.05-INDEX(绊状态确认!W:W,MATCH($G35,绊状态确认!$B:$B,)))+0.05*$EW$28,0)+IF(O35="sp",0.05*$EW$32*$EW$30*(1-$EW$33)-(0.05-INDEX(绊状态确认!V:V,MATCH($G35,绊状态确认!$B:$B,)))*$EW$28,0)+IF(O35="gd",-(0.05-INDEX(绊状态确认!X:X,MATCH($G35,绊状态确认!$B:$B,)))*$EW$32*$EW$30*(1-$EW$33),0)</f>
        <v>-585.00000000000011</v>
      </c>
      <c r="BJ35" s="1097">
        <f>IF(O35="vo",0.05*(1-$FI$26)*$FA$24,0)+IF(O35="sk",-(0.05-INDEX(绊状态确认!W:W,MATCH($G35,绊状态确认!$B:$B,)))*(1-$FI$26)*$FA$24+0.05*$FA$26,0)+IF(O35="sp",0.05*$FA$32*$FA$27*(1-$FA$33)/$FA$30+0.05*$FA$29/$FA$69*$FA$27*(1-$FA$33)-(0.05-INDEX(绊状态确认!V:V,MATCH($G35,绊状态确认!$B:$B,)))*$FA$26,0)+IF(O35="gd",-(0.05-INDEX(绊状态确认!X:X,MATCH($G35,绊状态确认!$B:$B,)))*$FA$32*$FA$27*(1-$FA$33)/$FA$30-(0.05-INDEX(绊状态确认!X:X,MATCH($G35,绊状态确认!$B:$B,)))*$FA$29/$FA$69*$FA$27*(1-$FA$33),0)</f>
        <v>-795.00000000000011</v>
      </c>
      <c r="BK35" s="1110">
        <f>IF(O35="vo",$EW$26/$EW$24*0.05+$EW$26*(-HP($EW$62,$EW$65,$EW$64)+HP($EW$62,$EW$65,(1.05-INDEX(绊状态确认!U:U,MATCH($G35,绊状态确认!$B:$B,)))*$EW$64)),0)+IF(O35="sk",-$EW$26/$EW$24*(0.05-INDEX(绊状态确认!W:W,MATCH($G35,绊状态确认!$B:$B,)))+0.05*$EW$29,0)+IF(O35="sp",0.05*$EW$32*$EW$30*(1-$EW$33)-(0.05-INDEX(绊状态确认!V:V,MATCH($G35,绊状态确认!$B:$B,)))*$EW$29,0)+IF(O35="gd",-(0.05-INDEX(绊状态确认!X:X,MATCH($G35,绊状态确认!$B:$B,)))*$EW$32*$EW$30*(1-$EW$33)+$EW$26*(-HP($EW$62,$EW$65,$EW$64)+HP($EW$62,$EW$65,0.95*$EW$64)),0)</f>
        <v>1009.5947725176144</v>
      </c>
      <c r="BL35" s="1111">
        <f t="shared" si="29"/>
        <v>0</v>
      </c>
      <c r="BM35" s="1110">
        <f t="shared" si="30"/>
        <v>0</v>
      </c>
      <c r="BN35" s="1113">
        <f t="shared" si="31"/>
        <v>3</v>
      </c>
      <c r="BO35" s="1097">
        <f t="shared" si="32"/>
        <v>4507.7214871259994</v>
      </c>
      <c r="BP35" s="1100">
        <f t="shared" si="33"/>
        <v>221.34103209030098</v>
      </c>
      <c r="BQ35" s="1113" t="s">
        <v>144</v>
      </c>
      <c r="BR35" s="1124" t="s">
        <v>147</v>
      </c>
      <c r="BS35" s="1098">
        <f>IF($P35="","N/A",IF($P35=-1,INDEX('卡片raw data'!AX:AX,MATCH($D35,'卡片raw data'!$F:$F,)),0)+IF($L35="party卡",IF($P35=5,INDEX('卡片raw data'!BD:BD,MATCH($D35,'卡片raw data'!$F:$F,)),IF($P35&gt;=3,INDEX('卡片raw data'!BC:BC,MATCH($D35,'卡片raw data'!$F:$F,)),INDEX('卡片raw data'!BB:BB,MATCH($D35,'卡片raw data'!$F:$F,)))),IF(OR(AND($F35="UR",$P35=0),AND($F35="SR",$P35&gt;=0,$P35&lt;=2),AND($F35="R",$P35&gt;=0,$P35&lt;4)),INDEX('卡片raw data'!AZ:AZ,MATCH($D35,'卡片raw data'!$F:$F,)),0)+IF(OR(AND($F35="UR",$P35&gt;=1,$P35&lt;=4),AND($F35="SR",$P35&lt;=4,$P35&gt;=3),AND($F35="R",$P35=4)),INDEX('卡片raw data'!BA:BA,MATCH($D35,'卡片raw data'!$F:$F,)),0)+IF($P35=5,INDEX('卡片raw data'!BB:BB,MATCH($D35,'卡片raw data'!$F:$F,)),0)))</f>
        <v>4.2000000000000003E-2</v>
      </c>
      <c r="BT35" s="1101">
        <f t="shared" si="34"/>
        <v>0</v>
      </c>
      <c r="BU35" s="1097">
        <f t="shared" si="35"/>
        <v>0</v>
      </c>
      <c r="BV35" s="1097">
        <f t="shared" si="36"/>
        <v>0</v>
      </c>
      <c r="BW35" s="1112">
        <f t="shared" si="37"/>
        <v>4.4246249999999989</v>
      </c>
      <c r="BX35" s="1100">
        <f t="shared" si="38"/>
        <v>347.58109106159276</v>
      </c>
      <c r="BY35" s="1110">
        <f t="shared" si="39"/>
        <v>347.58109106159276</v>
      </c>
      <c r="BZ35" s="1107" t="s">
        <v>569</v>
      </c>
      <c r="CA35" s="1124"/>
      <c r="CB35" s="1098">
        <f>IF($P35="","N/A",IF($P35=-1,INDEX('卡片raw data'!BE:BE,MATCH($D35,'卡片raw data'!$F:$F,)),0)+IF($L35="party卡",IF($P35=5,INDEX('卡片raw data'!BK:BK,MATCH($D35,'卡片raw data'!$F:$F,)),IF($P35&gt;=3,INDEX('卡片raw data'!BJ:BJ,MATCH($D35,'卡片raw data'!$F:$F,)),INDEX('卡片raw data'!BI:BI,MATCH($D35,'卡片raw data'!$F:$F,)))),IF(OR(AND($F35="UR",$P35=0),AND($F35="SR",$P35&gt;=0,$P35&lt;=2),AND($F35="R",$P35&gt;=0,$P35&lt;4)),INDEX('卡片raw data'!BG:BG,MATCH($D35,'卡片raw data'!$F:$F,)),0)+IF(OR(AND($F35="UR",$P35&gt;=1,$P35&lt;=4),AND($F35="SR",$P35&lt;=4,$P35&gt;=3),AND($F35="R",$P35=4)),INDEX('卡片raw data'!BH:BH,MATCH($D35,'卡片raw data'!$F:$F,)),0)+IF($P35=5,INDEX('卡片raw data'!BI:BI,MATCH($D35,'卡片raw data'!$F:$F,)),0)))</f>
        <v>0</v>
      </c>
      <c r="CC35" s="1101">
        <f t="shared" si="40"/>
        <v>0</v>
      </c>
      <c r="CD35" s="1097">
        <f>IF(BZ35="ap",CB35*(1-$FI$26)*$FB$5/$FB$11*(+IF(CA35="全员",$FA$24,0)+IF(CA35="同作战",$FA$24,0)+IF(CA35="仲间",$FA$24*2/3,0)+IF(CA35="同属性",$FA$24*$FA$37/3,0)+IF(CA35="同年级",$FA$24*$FA$40/3,0)+IF(CA35="同学校",$FA$24*$FA$43/3,0)+IF(CA35="同小队",$FA$24*$FA$46/3,0)+IF(CA35="同type",$FA$24*INDEX($FB$49:$FB$52,MATCH(X35,$FA$49:$FA$52,))/3,0)+IF(CA35="自身",#REF!/3,0)),0)+IF(BZ35="te",CB35*(1-$FI$27)*($FA$20-1)*$FB$7/$FB$13*(+IF(CA35="全员",$FA$19*$FA$24/(1+($FA$20-1)*$FA$19),0)+IF(CA35="同作战",$FA$19*$FA$24/(1+($FA$20-1)*$FA$19),0)+IF(CA35="仲间",$FA$19*$FA$24*2/3/(1+($FA$20-1)*$FA$19),0)+IF(CA35="同属性",$FA$19*$FA$24*$FA$37/3/(1+($FA$20-1)*$FA$19),0)+IF(CA35="同年级",$FA$19*$FA$24*$FA$40/3/(1+($FA$20-1)*$FA$19),0)+IF(CA35="同学校",$FA$19*$FA$24*$FA$43/3/(1+($FA$20-1)*$FA$19),0)+IF(CA35="同小队",$FA$19*$FA$24*$FA$46/3/(1+($FA$20-1)*$FA$19),0)+IF(CA35="同type",$FA$19*$FA$24*INDEX($FB$49:$FB$52,MATCH(X35,$FA$49:$FA$52,))/3/(1+($FA$20-1)*$FA$19),0)+IF(CA35="自身",$FA$19*#REF!/3/(1+(BH35-1)*$BD35),0)),0)</f>
        <v>0</v>
      </c>
      <c r="CE35" s="1097">
        <f t="shared" si="41"/>
        <v>0</v>
      </c>
      <c r="CF35" s="1112">
        <f t="shared" si="42"/>
        <v>0</v>
      </c>
      <c r="CG35" s="1100">
        <f t="shared" si="43"/>
        <v>0</v>
      </c>
      <c r="CH35" s="1110">
        <f t="shared" si="44"/>
        <v>0</v>
      </c>
      <c r="CI35" s="1113" t="s">
        <v>165</v>
      </c>
      <c r="CJ35" s="1114">
        <v>0.3</v>
      </c>
      <c r="CK35" s="1115" t="s">
        <v>156</v>
      </c>
      <c r="CL35" s="1115" t="s">
        <v>1940</v>
      </c>
      <c r="CM35" s="1119">
        <v>0.1</v>
      </c>
      <c r="CN35" s="1115"/>
      <c r="CO35" s="1092"/>
      <c r="CP35" s="1116">
        <f t="shared" si="45"/>
        <v>2.9409108857142856</v>
      </c>
      <c r="CQ35" s="1116">
        <f t="shared" si="46"/>
        <v>4.7324868447999995</v>
      </c>
      <c r="CR35" s="1116">
        <f t="shared" si="47"/>
        <v>2.9409108857142856</v>
      </c>
      <c r="CS35" s="1118">
        <f t="shared" si="48"/>
        <v>0</v>
      </c>
      <c r="CT35" s="1109">
        <f t="shared" si="49"/>
        <v>4.8034877800000002</v>
      </c>
      <c r="CU35" s="1101">
        <f t="shared" si="50"/>
        <v>183.80693035714287</v>
      </c>
      <c r="CV35" s="1108">
        <f t="shared" si="51"/>
        <v>197.18695186666662</v>
      </c>
      <c r="CW35" s="1097">
        <f t="shared" si="52"/>
        <v>183.80693035714287</v>
      </c>
      <c r="CX35" s="1097">
        <f t="shared" si="53"/>
        <v>183.80693035714287</v>
      </c>
      <c r="CY35" s="1110">
        <f t="shared" si="54"/>
        <v>183.80693035714287</v>
      </c>
      <c r="CZ35" s="437"/>
      <c r="DA35" s="438"/>
      <c r="DB35" s="439" t="s">
        <v>569</v>
      </c>
      <c r="DC35" s="439"/>
      <c r="DD35" s="443"/>
      <c r="DE35" s="411"/>
      <c r="DF35" s="411"/>
      <c r="DG35" s="1116">
        <f t="shared" si="55"/>
        <v>0</v>
      </c>
      <c r="DH35" s="1116">
        <f t="shared" si="56"/>
        <v>0</v>
      </c>
      <c r="DI35" s="1116">
        <f t="shared" si="57"/>
        <v>0</v>
      </c>
      <c r="DJ35" s="442">
        <f t="shared" si="58"/>
        <v>0</v>
      </c>
      <c r="DK35" s="1109">
        <f t="shared" si="59"/>
        <v>0</v>
      </c>
      <c r="DL35" s="1101">
        <f t="shared" si="60"/>
        <v>0</v>
      </c>
      <c r="DM35" s="1097">
        <f t="shared" si="61"/>
        <v>0</v>
      </c>
      <c r="DN35" s="1097">
        <f t="shared" si="62"/>
        <v>0</v>
      </c>
      <c r="DO35" s="1097">
        <f t="shared" si="63"/>
        <v>0</v>
      </c>
      <c r="DP35" s="1110">
        <f t="shared" si="64"/>
        <v>0</v>
      </c>
      <c r="DQ35" s="1113" t="s">
        <v>636</v>
      </c>
      <c r="DR35" s="1120">
        <f t="shared" si="65"/>
        <v>0.33</v>
      </c>
      <c r="DS35" s="1124"/>
      <c r="DT35" s="1093" t="s">
        <v>133</v>
      </c>
      <c r="DU35" s="1093"/>
      <c r="DV35" s="1098">
        <f>IF($P35="","N/A",IF(P35=-1,INDEX('卡片raw data'!AN:AN,MATCH(D35,'卡片raw data'!$F:$F,)),0)+IF(AND(L35&lt;&gt;"party卡",P35&lt;=2,P35&gt;=0),INDEX('卡片raw data'!AP:AP,MATCH(D35,'卡片raw data'!$F:$F,)),0)+IF(OR(AND(L35="party卡",P35&lt;=1),AND(P35&lt;=4,L35&lt;&gt;"party卡",P35&gt;=3)),INDEX('卡片raw data'!AQ:AQ,MATCH(D35,'卡片raw data'!$F:$F,)),0)+IF(OR(P35=5,AND(L35="party卡",P35&gt;=2)),INDEX('卡片raw data'!AR:AR,MATCH(D35,'卡片raw data'!$F:$F,)),0))</f>
        <v>0.32</v>
      </c>
      <c r="DW35" s="1098">
        <f t="shared" si="66"/>
        <v>0.33</v>
      </c>
      <c r="DX35" s="1098">
        <f t="shared" si="67"/>
        <v>0.33</v>
      </c>
      <c r="DY35" s="1125">
        <f t="shared" si="68"/>
        <v>538.11017328639991</v>
      </c>
      <c r="DZ35" s="1125">
        <f t="shared" si="69"/>
        <v>465.46529989273591</v>
      </c>
      <c r="EA35" s="1098">
        <f t="shared" si="70"/>
        <v>0</v>
      </c>
      <c r="EB35" s="1121">
        <f t="shared" si="71"/>
        <v>0</v>
      </c>
      <c r="EC35" s="1101">
        <f t="shared" si="72"/>
        <v>0</v>
      </c>
      <c r="ED35" s="1097">
        <f t="shared" si="73"/>
        <v>0</v>
      </c>
      <c r="EE35" s="1110">
        <f t="shared" si="74"/>
        <v>48435.03108962375</v>
      </c>
      <c r="EF35" s="1092" t="s">
        <v>711</v>
      </c>
      <c r="EG35" s="1120">
        <f t="shared" si="75"/>
        <v>0.33</v>
      </c>
      <c r="EH35" s="1124"/>
      <c r="EI35" s="1093"/>
      <c r="EJ35" s="1093"/>
      <c r="EK35" s="1097">
        <f>IF($P35="","N/A",IF(P35=-1,INDEX('卡片raw data'!AS:AS,MATCH(D35,'卡片raw data'!$F:$F,)),0)+IF(AND(L35&lt;&gt;"party卡",P35&lt;=2,P35&gt;=0),INDEX('卡片raw data'!AU:AU,MATCH(D35,'卡片raw data'!$F:$F,)),0)+IF(OR(AND(L35="party卡",P35&lt;=1),AND(P35&lt;=4,L35&lt;&gt;"party卡",P35&gt;=3)),INDEX('卡片raw data'!AV:AV,MATCH(D35,'卡片raw data'!$F:$F,)),0)+IF(OR(P35=5,AND(L35="party卡",P35&gt;=2)),INDEX('卡片raw data'!AW:AW,MATCH(D35,'卡片raw data'!$F:$F,)),0))</f>
        <v>0</v>
      </c>
      <c r="EL35" s="1098">
        <f t="shared" si="76"/>
        <v>0.33</v>
      </c>
      <c r="EM35" s="1098">
        <f t="shared" si="77"/>
        <v>0.33</v>
      </c>
      <c r="EN35" s="1125">
        <f t="shared" si="78"/>
        <v>0</v>
      </c>
      <c r="EO35" s="1125">
        <f t="shared" si="79"/>
        <v>0</v>
      </c>
      <c r="EP35" s="1098">
        <f t="shared" si="80"/>
        <v>0</v>
      </c>
      <c r="EQ35" s="1121">
        <f t="shared" si="81"/>
        <v>0</v>
      </c>
      <c r="ER35" s="1101">
        <f t="shared" si="82"/>
        <v>0</v>
      </c>
      <c r="ES35" s="1097">
        <f t="shared" si="83"/>
        <v>0</v>
      </c>
      <c r="ET35" s="1122">
        <f t="shared" si="84"/>
        <v>0</v>
      </c>
      <c r="EV35" s="1314"/>
      <c r="EW35" s="1215" t="s">
        <v>144</v>
      </c>
      <c r="EX35" s="1227">
        <v>2080</v>
      </c>
      <c r="EY35" s="1212"/>
      <c r="EZ35" s="1314"/>
      <c r="FA35" s="1215" t="s">
        <v>144</v>
      </c>
      <c r="FB35" s="1227">
        <v>2080</v>
      </c>
      <c r="FC35" s="447"/>
      <c r="FD35" s="447"/>
      <c r="FE35" s="447"/>
      <c r="FF35" s="642"/>
      <c r="FG35" s="642"/>
      <c r="FH35" s="650">
        <f t="array" ref="FH35">SUM(IF(FH16:FH23&gt;FI24,0,FJ7:FJ14))</f>
        <v>0</v>
      </c>
      <c r="FI35" s="642"/>
      <c r="FJ35" s="447"/>
    </row>
    <row r="36" spans="2:166" ht="16.5" customHeight="1" thickTop="1">
      <c r="B36" s="1123" t="str">
        <f>INDEX('卡片raw data'!B:B,MATCH($D36,'卡片raw data'!$F:$F,))</f>
        <v>校服妮</v>
      </c>
      <c r="C36" s="449" t="s">
        <v>124</v>
      </c>
      <c r="D36" s="408">
        <v>33</v>
      </c>
      <c r="E36" s="1090">
        <v>100091001</v>
      </c>
      <c r="F36" s="1090" t="str">
        <f>INDEX('卡片raw data'!C:C,MATCH($D36,'卡片raw data'!$F:$F,))</f>
        <v>R</v>
      </c>
      <c r="G36" s="1094" t="s">
        <v>338</v>
      </c>
      <c r="H36" s="411">
        <f>IFERROR(INDEX(绊状态确认!C:C,MATCH($G36,绊状态确认!$B:$B,)),"")</f>
        <v>9</v>
      </c>
      <c r="I36" s="450" t="str">
        <f>IFERROR(INDEX(绊状态确认!D:D,MATCH($G36,绊状态确认!$B:$B,)),"")</f>
        <v>缪</v>
      </c>
      <c r="J36" s="450" t="str">
        <f>IFERROR(INDEX(绊状态确认!E:E,MATCH($G36,绊状态确认!$B:$B,)),"")</f>
        <v>3年级</v>
      </c>
      <c r="K36" s="451" t="str">
        <f>IFERROR(INDEX(绊状态确认!F:F,MATCH($G36,绊状态确认!$B:$B,)),"")</f>
        <v>BiBi</v>
      </c>
      <c r="L36" s="1094" t="str">
        <f>INDEX('卡片raw data'!E:E,MATCH($D36,'卡片raw data'!$F:$F,))</f>
        <v>卡池卡</v>
      </c>
      <c r="M36" s="415">
        <v>43735</v>
      </c>
      <c r="N36" s="416">
        <v>0</v>
      </c>
      <c r="O36" s="1091" t="str">
        <f>INDEX('卡片raw data'!D:D,MATCH($D36,'卡片raw data'!$F:$F,))</f>
        <v>sk</v>
      </c>
      <c r="P36" s="417">
        <v>5</v>
      </c>
      <c r="Q36" s="1095">
        <f t="shared" si="0"/>
        <v>8013.1979326375767</v>
      </c>
      <c r="R36" s="1096">
        <f t="shared" si="1"/>
        <v>9.2999999999999999E-2</v>
      </c>
      <c r="S36" s="1097">
        <f t="shared" si="2"/>
        <v>8538.4095878893095</v>
      </c>
      <c r="T36" s="1098">
        <f t="shared" si="3"/>
        <v>0.42599999999999999</v>
      </c>
      <c r="U36" s="1099">
        <f t="shared" si="4"/>
        <v>9.0398394171428578</v>
      </c>
      <c r="V36" s="1100">
        <f t="shared" si="5"/>
        <v>10730.007601873443</v>
      </c>
      <c r="W36" s="1101">
        <f t="shared" si="6"/>
        <v>3556.0913953994</v>
      </c>
      <c r="X36" s="1096">
        <f t="shared" si="7"/>
        <v>4.1000000000000002E-2</v>
      </c>
      <c r="Y36" s="1097">
        <f t="shared" si="8"/>
        <v>716.80966923586902</v>
      </c>
      <c r="Z36" s="1102">
        <f t="shared" si="9"/>
        <v>9.0398394171428578</v>
      </c>
      <c r="AA36" s="1103">
        <f t="shared" si="10"/>
        <v>4272.901064635269</v>
      </c>
      <c r="AB36" s="1101">
        <f t="shared" si="11"/>
        <v>4107.0351327148001</v>
      </c>
      <c r="AC36" s="1104">
        <f t="shared" si="12"/>
        <v>4.7E-2</v>
      </c>
      <c r="AD36" s="1105">
        <f t="shared" si="13"/>
        <v>1.8994224431818179E-2</v>
      </c>
      <c r="AE36" s="1128">
        <f t="shared" si="14"/>
        <v>-1.8962422952541544</v>
      </c>
      <c r="AF36" s="1130">
        <f t="shared" si="15"/>
        <v>0</v>
      </c>
      <c r="AG36" s="420">
        <f t="shared" si="16"/>
        <v>0</v>
      </c>
      <c r="AH36" s="420">
        <f t="shared" si="17"/>
        <v>0</v>
      </c>
      <c r="AI36" s="1097">
        <f t="shared" si="18"/>
        <v>0</v>
      </c>
      <c r="AJ36" s="420">
        <f t="shared" si="19"/>
        <v>0</v>
      </c>
      <c r="AK36" s="518">
        <f t="shared" si="20"/>
        <v>0</v>
      </c>
      <c r="AL36" s="1106">
        <f>IF($P36="","N/A",(IF($P36=-1,INDEX('卡片raw data'!S:S,MATCH($D36,'卡片raw data'!$F:$F,)),0)+IF($P36=0,INDEX('卡片raw data'!V:V,MATCH($D36,'卡片raw data'!$F:$F,)),0)+IF($P36=1,INDEX('卡片raw data'!Y:Y,MATCH($D36,'卡片raw data'!$F:$F,)),0)+IF($P36=2,INDEX('卡片raw data'!AB:AB,MATCH($D36,'卡片raw data'!$F:$F,)),0)+IF($P36=3,INDEX('卡片raw data'!AE:AE,MATCH($D36,'卡片raw data'!$F:$F,)),0)+IF($P36=4,INDEX('卡片raw data'!AH:AH,MATCH($D36,'卡片raw data'!$F:$F,)),0)+IF($P36=5,INDEX('卡片raw data'!AK:AK,MATCH($D36,'卡片raw data'!$F:$F,)),0)+INDEX('卡片raw data'!S:S,MATCH($D36,'卡片raw data'!$F:$F,))*(IF($F36="UR",0.04,0.033))*(IF($F36="UR",INDEX(绊状态确认!$S:$S,MATCH($G36,绊状态确认!$B:$B,))/2-40)+IF($F36="SR",INDEX(绊状态确认!$R:$R,MATCH($G36,绊状态确认!$B:$B,))/4-15))+IF($F36="R",INDEX(绊状态确认!$Q:$Q,MATCH($G36,绊状态确认!$B:$B,))/6-40/6)))*(INDEX(绊状态确认!$H:$H,MATCH($G36,绊状态确认!$B:$B,))+INDEX(绊状态确认!J:J,MATCH($G36,绊状态确认!$B:$B,)))</f>
        <v>4801.2899999999991</v>
      </c>
      <c r="AM36" s="1106">
        <f>IF($P36="","N/A",(IF($P36=-1,INDEX('卡片raw data'!T:T,MATCH($D36,'卡片raw data'!$F:$F,)),0)+IF($P36=0,INDEX('卡片raw data'!W:W,MATCH($D36,'卡片raw data'!$F:$F,)),0)+IF($P36=1,INDEX('卡片raw data'!Z:Z,MATCH($D36,'卡片raw data'!$F:$F,)),0)+IF($P36=2,INDEX('卡片raw data'!AC:AC,MATCH($D36,'卡片raw data'!$F:$F,)),0)+IF($P36=3,INDEX('卡片raw data'!AF:AF,MATCH($D36,'卡片raw data'!$F:$F,)),0)+IF($P36=4,INDEX('卡片raw data'!AI:AI,MATCH($D36,'卡片raw data'!$F:$F,)),0)+IF($P36=5,INDEX('卡片raw data'!AL:AL,MATCH($D36,'卡片raw data'!$F:$F,)),0)+INDEX('卡片raw data'!T:T,MATCH($D36,'卡片raw data'!$F:$F,))*(IF($F36="UR",0.04,0.033))*(IF($F36="UR",INDEX(绊状态确认!$S:$S,MATCH($G36,绊状态确认!$B:$B,))/2-40)+IF($F36="SR",INDEX(绊状态确认!$R:$R,MATCH($G36,绊状态确认!$B:$B,))/4-15))+IF($F36="R",INDEX(绊状态确认!$Q:$Q,MATCH($G36,绊状态确认!$B:$B,))/6-40/6)))*(INDEX(绊状态确认!$H:$H,MATCH($G36,绊状态确认!$B:$B,))+INDEX(绊状态确认!K:K,MATCH($G36,绊状态确认!$B:$B,)))</f>
        <v>4200.1343999999999</v>
      </c>
      <c r="AN36" s="1106">
        <f>IF($P36="","N/A",(IF($P36=-1,INDEX('卡片raw data'!U:U,MATCH($D36,'卡片raw data'!$F:$F,)),0)+IF($P36=0,INDEX('卡片raw data'!X:X,MATCH($D36,'卡片raw data'!$F:$F,)),0)+IF($P36=1,INDEX('卡片raw data'!AA:AA,MATCH($D36,'卡片raw data'!$F:$F,)),0)+IF($P36=2,INDEX('卡片raw data'!AD:AD,MATCH($D36,'卡片raw data'!$F:$F,)),0)+IF($P36=3,INDEX('卡片raw data'!AG:AG,MATCH($D36,'卡片raw data'!$F:$F,)),0)+IF($P36=4,INDEX('卡片raw data'!AJ:AJ,MATCH($D36,'卡片raw data'!$F:$F,)),0)+IF($P36=5,INDEX('卡片raw data'!AM:AM,MATCH($D36,'卡片raw data'!$F:$F,)),0)+INDEX('卡片raw data'!U:U,MATCH($D36,'卡片raw data'!$F:$F,))*(IF($F36="UR",0.04,0.033))*(IF($F36="UR",INDEX(绊状态确认!$S:$S,MATCH($G36,绊状态确认!$B:$B,))/2-40)+IF($F36="SR",INDEX(绊状态确认!$R:$R,MATCH($G36,绊状态确认!$B:$B,))/4-15))+IF($F36="R",INDEX(绊状态确认!$Q:$Q,MATCH($G36,绊状态确认!$B:$B,))/6-40/6)))*(INDEX(绊状态确认!$H:$H,MATCH($G36,绊状态确认!$B:$B,))+INDEX(绊状态确认!L:L,MATCH($G36,绊状态确认!$B:$B,)))</f>
        <v>3001.2323999999994</v>
      </c>
      <c r="AO36" s="1107">
        <f t="shared" si="21"/>
        <v>1</v>
      </c>
      <c r="AP36" s="1131">
        <f>1+(INDEX(绊状态确认!$T:$T,MATCH($G36,绊状态确认!$B:$B,))+0.2)*$AO36</f>
        <v>1.3</v>
      </c>
      <c r="AQ36" s="1108">
        <f t="shared" si="22"/>
        <v>15853.38625</v>
      </c>
      <c r="AR36" s="1097">
        <f>(AM36*(1+$EX$9)+$EX$35)*(1+(INDEX(绊状态确认!$T:$T,MATCH($G36,绊状态确认!$B:$B,))+0.2)*AO36)*IF(J36=$FF$17,1+$FE$17,1)*IF(I36=$FF$14,1+$FE$14,1)</f>
        <v>8437.1834560000007</v>
      </c>
      <c r="AS36" s="1097">
        <f>(AN36*(1+$EX$10)+$EX$36)*(1+(INDEX(绊状态确认!$T:$T,MATCH($G36,绊状态确认!$B:$B,))+0.2)*AO36)*IF(J36=$FF$17,1+$FE$17,1)*IF(I36=$FF$14,1+$FE$14,1)</f>
        <v>8542.8424379999997</v>
      </c>
      <c r="AT36" s="1093">
        <f>IF(AND(INDEX('卡片raw data'!AK:AK,MATCH($D36,'卡片raw data'!$F:$F,))&lt;INDEX('卡片raw data'!AM:AM,MATCH($D36,'卡片raw data'!$F:$F,)),INDEX('卡片raw data'!AL:AL,MATCH($D36,'卡片raw data'!$F:$F,))&lt;INDEX('卡片raw data'!AM:AM,MATCH($D36,'卡片raw data'!$F:$F,))),1,0)</f>
        <v>0</v>
      </c>
      <c r="AU36" s="1098">
        <f>MIN(AT36*0.15+AS36*0.00003+INDEX(绊状态确认!M:M,MATCH($G36,绊状态确认!$B:$B,)),1)</f>
        <v>0.28628527314000002</v>
      </c>
      <c r="AV36" s="1109">
        <f>(INDEX(绊状态确认!$N:$N,MATCH($G36,绊状态确认!$B:$B,))+1.5)*$EW$21</f>
        <v>2.6599999999999997</v>
      </c>
      <c r="AW36" s="1101">
        <f t="shared" si="23"/>
        <v>12146.193242074341</v>
      </c>
      <c r="AX36" s="1097">
        <f t="shared" si="24"/>
        <v>716.8096692358688</v>
      </c>
      <c r="AY36" s="1110">
        <f t="shared" si="25"/>
        <v>12863.00291131021</v>
      </c>
      <c r="AZ36" s="429">
        <f t="shared" si="26"/>
        <v>11962.515499999998</v>
      </c>
      <c r="BA36" s="431">
        <f t="shared" si="27"/>
        <v>14355.018599999998</v>
      </c>
      <c r="BB36" s="1097">
        <f>(AM36*(1+$FB$9)+$FB$35)*(1+(INDEX(绊状态确认!$T:$T,MATCH($G36,绊状态确认!$B:$B,))+0.2)*AO36)*IF(J36=$FF$17,1+$FE$17,1)*IF(I36=$FF$14,1+$FE$14,1)*(1+$FE$15)</f>
        <v>8437.1834560000007</v>
      </c>
      <c r="BC36" s="1097">
        <f>(AN36*(1+$FB$10)+$FB$36)*(1+(INDEX(绊状态确认!$T:$T,MATCH($G36,绊状态确认!$B:$B,))+0.2)*AO36)*IF(J36=$FF$17,1+$FE$17,1)*IF(I36=$FF$14,1+$FE$14,1)*(1+$FE$15)</f>
        <v>8542.8424379999997</v>
      </c>
      <c r="BD36" s="1104">
        <f>MIN(AT36*0.15+BC36*0.00003+INDEX(绊状态确认!M:M,MATCH($G36,绊状态确认!$B:$B,)),1)</f>
        <v>0.28628527314000002</v>
      </c>
      <c r="BE36" s="432">
        <f>(INDEX(绊状态确认!$N:$N,MATCH($G36,绊状态确认!$B:$B,))+1.5)</f>
        <v>1.9</v>
      </c>
      <c r="BF36" s="1139">
        <f t="array" ref="BF36">SUMPRODUCT(IF(AZ36*AP36*$FI$16:$FI$23*$FA$22&gt;=$FI$24,$FI$24,AZ36*AP36*$FI$16:$FI$23*$FA$22),$FJ$16:$FJ$23)</f>
        <v>23793.443329499998</v>
      </c>
      <c r="BG36" s="1125">
        <f t="array" ref="BG36">SUMPRODUCT(IF(BE36*AZ36*AP36*$FI$16:$FI$23*$FA$22&gt;=$FI$24,$FI$24,BE36*AZ36*AP36*$FI$16:$FI$23*$FA$22),$FJ$16:$FJ$23)</f>
        <v>45207.542326049988</v>
      </c>
      <c r="BH36" s="1110">
        <f t="shared" si="28"/>
        <v>9974.661503258103</v>
      </c>
      <c r="BI36" s="1111">
        <f>IF(O36="vo",$EW$26/$EW$24*0.05,0)+IF(O36="sk",-$EW$26/$EW$24*(0.05-INDEX(绊状态确认!W:W,MATCH($G36,绊状态确认!$B:$B,)))+0.05*$EW$28,0)+IF(O36="sp",0.05*$EW$32*$EW$30*(1-$EW$33)-(0.05-INDEX(绊状态确认!V:V,MATCH($G36,绊状态确认!$B:$B,)))*$EW$28,0)+IF(O36="gd",-(0.05-INDEX(绊状态确认!X:X,MATCH($G36,绊状态确认!$B:$B,)))*$EW$32*$EW$30*(1-$EW$33),0)</f>
        <v>-6253.6726349699375</v>
      </c>
      <c r="BJ36" s="1097">
        <f>IF(O36="vo",0.05*(1-$FI$26)*$FA$24,0)+IF(O36="sk",-(0.05-INDEX(绊状态确认!W:W,MATCH($G36,绊状态确认!$B:$B,)))*(1-$FI$26)*$FA$24+0.05*$FA$26,0)+IF(O36="sp",0.05*$FA$32*$FA$27*(1-$FA$33)/$FA$30+0.05*$FA$29/$FA$69*$FA$27*(1-$FA$33)-(0.05-INDEX(绊状态确认!V:V,MATCH($G36,绊状态确认!$B:$B,)))*$FA$26,0)+IF(O36="gd",-(0.05-INDEX(绊状态确认!X:X,MATCH($G36,绊状态确认!$B:$B,)))*$FA$32*$FA$27*(1-$FA$33)/$FA$30-(0.05-INDEX(绊状态确认!X:X,MATCH($G36,绊状态确认!$B:$B,)))*$FA$29/$FA$69*$FA$27*(1-$FA$33),0)</f>
        <v>20.459096812499922</v>
      </c>
      <c r="BK36" s="1110">
        <f>IF(O36="vo",$EW$26/$EW$24*0.05+$EW$26*(-HP($EW$62,$EW$65,$EW$64)+HP($EW$62,$EW$65,(1.05-INDEX(绊状态确认!U:U,MATCH($G36,绊状态确认!$B:$B,)))*$EW$64)),0)+IF(O36="sk",-$EW$26/$EW$24*(0.05-INDEX(绊状态确认!W:W,MATCH($G36,绊状态确认!$B:$B,)))+0.05*$EW$29,0)+IF(O36="sp",0.05*$EW$32*$EW$30*(1-$EW$33)-(0.05-INDEX(绊状态确认!V:V,MATCH($G36,绊状态确认!$B:$B,)))*$EW$29,0)+IF(O36="gd",-(0.05-INDEX(绊状态确认!X:X,MATCH($G36,绊状态确认!$B:$B,)))*$EW$32*$EW$30*(1-$EW$33)+$EW$26*(-HP($EW$62,$EW$65,$EW$64)+HP($EW$62,$EW$65,0.95*$EW$64)),0)</f>
        <v>-4253.6726349699375</v>
      </c>
      <c r="BL36" s="1111">
        <f t="shared" si="29"/>
        <v>-2166.6666666666665</v>
      </c>
      <c r="BM36" s="1110">
        <f t="shared" si="30"/>
        <v>-1661.1111111111109</v>
      </c>
      <c r="BN36" s="1113">
        <f t="shared" si="31"/>
        <v>2</v>
      </c>
      <c r="BO36" s="1097">
        <f t="shared" si="32"/>
        <v>3005.1476580839999</v>
      </c>
      <c r="BP36" s="1100">
        <f t="shared" si="33"/>
        <v>147.56068806020068</v>
      </c>
      <c r="BQ36" s="1113" t="s">
        <v>619</v>
      </c>
      <c r="BR36" s="1124" t="s">
        <v>171</v>
      </c>
      <c r="BS36" s="1098">
        <f>IF($P36="","N/A",IF($P36=-1,INDEX('卡片raw data'!AX:AX,MATCH($D36,'卡片raw data'!$F:$F,)),0)+IF($L36="party卡",IF($P36=5,INDEX('卡片raw data'!BD:BD,MATCH($D36,'卡片raw data'!$F:$F,)),IF($P36&gt;=3,INDEX('卡片raw data'!BC:BC,MATCH($D36,'卡片raw data'!$F:$F,)),INDEX('卡片raw data'!BB:BB,MATCH($D36,'卡片raw data'!$F:$F,)))),IF(OR(AND($F36="UR",$P36=0),AND($F36="SR",$P36&gt;=0,$P36&lt;=2),AND($F36="R",$P36&gt;=0,$P36&lt;4)),INDEX('卡片raw data'!AZ:AZ,MATCH($D36,'卡片raw data'!$F:$F,)),0)+IF(OR(AND($F36="UR",$P36&gt;=1,$P36&lt;=4),AND($F36="SR",$P36&lt;=4,$P36&gt;=3),AND($F36="R",$P36=4)),INDEX('卡片raw data'!BA:BA,MATCH($D36,'卡片raw data'!$F:$F,)),0)+IF($P36=5,INDEX('卡片raw data'!BB:BB,MATCH($D36,'卡片raw data'!$F:$F,)),0)))</f>
        <v>2.1999999999999999E-2</v>
      </c>
      <c r="BT36" s="1101">
        <f t="shared" si="34"/>
        <v>1101.8874746307999</v>
      </c>
      <c r="BU36" s="1097">
        <f t="shared" si="35"/>
        <v>47.342387419314377</v>
      </c>
      <c r="BV36" s="1097">
        <f t="shared" si="36"/>
        <v>550.94373731539997</v>
      </c>
      <c r="BW36" s="1112">
        <f t="shared" si="37"/>
        <v>0</v>
      </c>
      <c r="BX36" s="1100">
        <f t="shared" si="38"/>
        <v>1101.8874746307999</v>
      </c>
      <c r="BY36" s="1110">
        <f t="shared" si="39"/>
        <v>550.94373731539997</v>
      </c>
      <c r="BZ36" s="1107" t="s">
        <v>569</v>
      </c>
      <c r="CA36" s="1124"/>
      <c r="CB36" s="1098">
        <f>IF($P36="","N/A",IF($P36=-1,INDEX('卡片raw data'!BE:BE,MATCH($D36,'卡片raw data'!$F:$F,)),0)+IF($L36="party卡",IF($P36=5,INDEX('卡片raw data'!BK:BK,MATCH($D36,'卡片raw data'!$F:$F,)),IF($P36&gt;=3,INDEX('卡片raw data'!BJ:BJ,MATCH($D36,'卡片raw data'!$F:$F,)),INDEX('卡片raw data'!BI:BI,MATCH($D36,'卡片raw data'!$F:$F,)))),IF(OR(AND($F36="UR",$P36=0),AND($F36="SR",$P36&gt;=0,$P36&lt;=2),AND($F36="R",$P36&gt;=0,$P36&lt;4)),INDEX('卡片raw data'!BG:BG,MATCH($D36,'卡片raw data'!$F:$F,)),0)+IF(OR(AND($F36="UR",$P36&gt;=1,$P36&lt;=4),AND($F36="SR",$P36&lt;=4,$P36&gt;=3),AND($F36="R",$P36=4)),INDEX('卡片raw data'!BH:BH,MATCH($D36,'卡片raw data'!$F:$F,)),0)+IF($P36=5,INDEX('卡片raw data'!BI:BI,MATCH($D36,'卡片raw data'!$F:$F,)),0)))</f>
        <v>0</v>
      </c>
      <c r="CC36" s="1101">
        <f t="shared" si="40"/>
        <v>0</v>
      </c>
      <c r="CD36" s="1097">
        <f>IF(BZ36="ap",CB36*(1-$FI$26)*$FB$5/$FB$11*(+IF(CA36="全员",$FA$24,0)+IF(CA36="同作战",$FA$24,0)+IF(CA36="仲间",$FA$24*2/3,0)+IF(CA36="同属性",$FA$24*$FA$37/3,0)+IF(CA36="同年级",$FA$24*$FA$40/3,0)+IF(CA36="同学校",$FA$24*$FA$43/3,0)+IF(CA36="同小队",$FA$24*$FA$46/3,0)+IF(CA36="同type",$FA$24*INDEX($FB$49:$FB$52,MATCH(X36,$FA$49:$FA$52,))/3,0)+IF(CA36="自身",#REF!/3,0)),0)+IF(BZ36="te",CB36*(1-$FI$27)*($FA$20-1)*$FB$7/$FB$13*(+IF(CA36="全员",$FA$19*$FA$24/(1+($FA$20-1)*$FA$19),0)+IF(CA36="同作战",$FA$19*$FA$24/(1+($FA$20-1)*$FA$19),0)+IF(CA36="仲间",$FA$19*$FA$24*2/3/(1+($FA$20-1)*$FA$19),0)+IF(CA36="同属性",$FA$19*$FA$24*$FA$37/3/(1+($FA$20-1)*$FA$19),0)+IF(CA36="同年级",$FA$19*$FA$24*$FA$40/3/(1+($FA$20-1)*$FA$19),0)+IF(CA36="同学校",$FA$19*$FA$24*$FA$43/3/(1+($FA$20-1)*$FA$19),0)+IF(CA36="同小队",$FA$19*$FA$24*$FA$46/3/(1+($FA$20-1)*$FA$19),0)+IF(CA36="同type",$FA$19*$FA$24*INDEX($FB$49:$FB$52,MATCH(X36,$FA$49:$FA$52,))/3/(1+($FA$20-1)*$FA$19),0)+IF(CA36="自身",$FA$19*#REF!/3/(1+(BH36-1)*$BD36),0)),0)</f>
        <v>0</v>
      </c>
      <c r="CE36" s="1097">
        <f t="shared" si="41"/>
        <v>0</v>
      </c>
      <c r="CF36" s="1112">
        <f t="shared" si="42"/>
        <v>0</v>
      </c>
      <c r="CG36" s="1100">
        <f t="shared" si="43"/>
        <v>0</v>
      </c>
      <c r="CH36" s="1110">
        <f t="shared" si="44"/>
        <v>0</v>
      </c>
      <c r="CI36" s="1113"/>
      <c r="CJ36" s="1114"/>
      <c r="CK36" s="1115" t="s">
        <v>569</v>
      </c>
      <c r="CL36" s="1115"/>
      <c r="CM36" s="1119"/>
      <c r="CN36" s="1115"/>
      <c r="CO36" s="1092"/>
      <c r="CP36" s="1117">
        <f t="shared" si="45"/>
        <v>0</v>
      </c>
      <c r="CQ36" s="1117">
        <f t="shared" si="46"/>
        <v>0</v>
      </c>
      <c r="CR36" s="1117">
        <f t="shared" si="47"/>
        <v>0</v>
      </c>
      <c r="CS36" s="1118">
        <f t="shared" si="48"/>
        <v>0</v>
      </c>
      <c r="CT36" s="1109">
        <f t="shared" si="49"/>
        <v>0</v>
      </c>
      <c r="CU36" s="1101">
        <f t="shared" si="50"/>
        <v>0</v>
      </c>
      <c r="CV36" s="1108">
        <f t="shared" si="51"/>
        <v>0</v>
      </c>
      <c r="CW36" s="1097">
        <f t="shared" si="52"/>
        <v>0</v>
      </c>
      <c r="CX36" s="1097">
        <f t="shared" si="53"/>
        <v>0</v>
      </c>
      <c r="CY36" s="1110">
        <f t="shared" si="54"/>
        <v>0</v>
      </c>
      <c r="CZ36" s="437"/>
      <c r="DA36" s="438"/>
      <c r="DB36" s="439" t="s">
        <v>569</v>
      </c>
      <c r="DC36" s="439"/>
      <c r="DD36" s="443"/>
      <c r="DE36" s="411"/>
      <c r="DF36" s="411"/>
      <c r="DG36" s="1116">
        <f t="shared" si="55"/>
        <v>0</v>
      </c>
      <c r="DH36" s="1116">
        <f t="shared" si="56"/>
        <v>0</v>
      </c>
      <c r="DI36" s="1116">
        <f t="shared" si="57"/>
        <v>0</v>
      </c>
      <c r="DJ36" s="442">
        <f t="shared" si="58"/>
        <v>0</v>
      </c>
      <c r="DK36" s="1109">
        <f t="shared" si="59"/>
        <v>0</v>
      </c>
      <c r="DL36" s="1101">
        <f t="shared" si="60"/>
        <v>0</v>
      </c>
      <c r="DM36" s="1097">
        <f t="shared" si="61"/>
        <v>0</v>
      </c>
      <c r="DN36" s="1097">
        <f t="shared" si="62"/>
        <v>0</v>
      </c>
      <c r="DO36" s="1097">
        <f t="shared" si="63"/>
        <v>0</v>
      </c>
      <c r="DP36" s="1110">
        <f t="shared" si="64"/>
        <v>0</v>
      </c>
      <c r="DQ36" s="1113" t="s">
        <v>555</v>
      </c>
      <c r="DR36" s="1120">
        <f t="shared" si="65"/>
        <v>0.3</v>
      </c>
      <c r="DS36" s="1124">
        <v>5</v>
      </c>
      <c r="DT36" s="1093" t="s">
        <v>168</v>
      </c>
      <c r="DU36" s="1093" t="s">
        <v>546</v>
      </c>
      <c r="DV36" s="1097">
        <f>IF($P36="","N/A",IF(P36=-1,INDEX('卡片raw data'!AN:AN,MATCH(D36,'卡片raw data'!$F:$F,)),0)+IF(AND(L36&lt;&gt;"party卡",P36&lt;=2,P36&gt;=0),INDEX('卡片raw data'!AP:AP,MATCH(D36,'卡片raw data'!$F:$F,)),0)+IF(OR(AND(L36="party卡",P36&lt;=1),AND(P36&lt;=4,L36&lt;&gt;"party卡",P36&gt;=3)),INDEX('卡片raw data'!AQ:AQ,MATCH(D36,'卡片raw data'!$F:$F,)),0)+IF(OR(P36=5,AND(L36="party卡",P36&gt;=2)),INDEX('卡片raw data'!AR:AR,MATCH(D36,'卡片raw data'!$F:$F,)),0))</f>
        <v>120</v>
      </c>
      <c r="DW36" s="1098">
        <f t="shared" si="66"/>
        <v>0.3</v>
      </c>
      <c r="DX36" s="1098">
        <f t="shared" si="67"/>
        <v>0.3</v>
      </c>
      <c r="DY36" s="1098">
        <f t="shared" si="68"/>
        <v>1.3259668508287291E-3</v>
      </c>
      <c r="DZ36" s="1098">
        <f t="shared" si="69"/>
        <v>1.4464882943143811E-3</v>
      </c>
      <c r="EA36" s="1098">
        <f t="shared" si="70"/>
        <v>0</v>
      </c>
      <c r="EB36" s="1121">
        <f t="shared" si="71"/>
        <v>0</v>
      </c>
      <c r="EC36" s="1101">
        <f t="shared" si="72"/>
        <v>180.30885948503999</v>
      </c>
      <c r="ED36" s="1097">
        <f t="shared" si="73"/>
        <v>9.497023450303093</v>
      </c>
      <c r="EE36" s="1110">
        <f t="shared" si="74"/>
        <v>180.30885948503999</v>
      </c>
      <c r="EF36" s="1092" t="s">
        <v>711</v>
      </c>
      <c r="EG36" s="1120">
        <f t="shared" si="75"/>
        <v>0.3</v>
      </c>
      <c r="EH36" s="1124"/>
      <c r="EI36" s="1093"/>
      <c r="EJ36" s="1093"/>
      <c r="EK36" s="1097">
        <f>IF($P36="","N/A",IF(P36=-1,INDEX('卡片raw data'!AS:AS,MATCH(D36,'卡片raw data'!$F:$F,)),0)+IF(AND(L36&lt;&gt;"party卡",P36&lt;=2,P36&gt;=0),INDEX('卡片raw data'!AU:AU,MATCH(D36,'卡片raw data'!$F:$F,)),0)+IF(OR(AND(L36="party卡",P36&lt;=1),AND(P36&lt;=4,L36&lt;&gt;"party卡",P36&gt;=3)),INDEX('卡片raw data'!AV:AV,MATCH(D36,'卡片raw data'!$F:$F,)),0)+IF(OR(P36=5,AND(L36="party卡",P36&gt;=2)),INDEX('卡片raw data'!AW:AW,MATCH(D36,'卡片raw data'!$F:$F,)),0))</f>
        <v>0</v>
      </c>
      <c r="EL36" s="1098">
        <f t="shared" si="76"/>
        <v>0.3</v>
      </c>
      <c r="EM36" s="1098">
        <f t="shared" si="77"/>
        <v>0.3</v>
      </c>
      <c r="EN36" s="1125">
        <f t="shared" si="78"/>
        <v>0</v>
      </c>
      <c r="EO36" s="1125">
        <f t="shared" si="79"/>
        <v>0</v>
      </c>
      <c r="EP36" s="1098">
        <f t="shared" si="80"/>
        <v>0</v>
      </c>
      <c r="EQ36" s="1121">
        <f t="shared" si="81"/>
        <v>0</v>
      </c>
      <c r="ER36" s="1101">
        <f t="shared" si="82"/>
        <v>0</v>
      </c>
      <c r="ES36" s="1097">
        <f t="shared" si="83"/>
        <v>0</v>
      </c>
      <c r="ET36" s="1122">
        <f t="shared" si="84"/>
        <v>0</v>
      </c>
      <c r="EV36" s="1314"/>
      <c r="EW36" s="1217" t="s">
        <v>145</v>
      </c>
      <c r="EX36" s="1228">
        <v>3120</v>
      </c>
      <c r="EY36" s="1212"/>
      <c r="EZ36" s="1314"/>
      <c r="FA36" s="1217" t="s">
        <v>145</v>
      </c>
      <c r="FB36" s="1228">
        <v>3120</v>
      </c>
      <c r="FC36" s="447"/>
      <c r="FD36" s="447"/>
      <c r="FE36" s="447"/>
      <c r="FF36" s="642"/>
      <c r="FG36" s="642"/>
      <c r="FH36" s="642"/>
      <c r="FI36" s="642"/>
      <c r="FJ36" s="447"/>
    </row>
    <row r="37" spans="2:166" ht="16.5" customHeight="1">
      <c r="B37" s="1123" t="str">
        <f>INDEX('卡片raw data'!B:B,MATCH($D37,'卡片raw data'!$F:$F,))</f>
        <v>练习妮</v>
      </c>
      <c r="C37" s="449" t="s">
        <v>123</v>
      </c>
      <c r="D37" s="408">
        <v>34</v>
      </c>
      <c r="E37" s="1090">
        <v>100091002</v>
      </c>
      <c r="F37" s="1090" t="str">
        <f>INDEX('卡片raw data'!C:C,MATCH($D37,'卡片raw data'!$F:$F,))</f>
        <v>R</v>
      </c>
      <c r="G37" s="1094" t="s">
        <v>32</v>
      </c>
      <c r="H37" s="411">
        <f>IFERROR(INDEX(绊状态确认!C:C,MATCH($G37,绊状态确认!$B:$B,)),"")</f>
        <v>9</v>
      </c>
      <c r="I37" s="450" t="str">
        <f>IFERROR(INDEX(绊状态确认!D:D,MATCH($G37,绊状态确认!$B:$B,)),"")</f>
        <v>缪</v>
      </c>
      <c r="J37" s="450" t="str">
        <f>IFERROR(INDEX(绊状态确认!E:E,MATCH($G37,绊状态确认!$B:$B,)),"")</f>
        <v>3年级</v>
      </c>
      <c r="K37" s="451" t="str">
        <f>IFERROR(INDEX(绊状态确认!F:F,MATCH($G37,绊状态确认!$B:$B,)),"")</f>
        <v>BiBi</v>
      </c>
      <c r="L37" s="1094" t="str">
        <f>INDEX('卡片raw data'!E:E,MATCH($D37,'卡片raw data'!$F:$F,))</f>
        <v>卡池卡</v>
      </c>
      <c r="M37" s="415">
        <v>43735</v>
      </c>
      <c r="N37" s="416">
        <v>0</v>
      </c>
      <c r="O37" s="1091" t="str">
        <f>INDEX('卡片raw data'!D:D,MATCH($D37,'卡片raw data'!$F:$F,))</f>
        <v>sp</v>
      </c>
      <c r="P37" s="417">
        <v>5</v>
      </c>
      <c r="Q37" s="1095">
        <f t="shared" si="0"/>
        <v>17420.259457070573</v>
      </c>
      <c r="R37" s="1096">
        <f t="shared" si="1"/>
        <v>0.20200000000000001</v>
      </c>
      <c r="S37" s="1097">
        <f t="shared" si="2"/>
        <v>10638.873864298766</v>
      </c>
      <c r="T37" s="1098">
        <f t="shared" si="3"/>
        <v>0.53100000000000003</v>
      </c>
      <c r="U37" s="1099">
        <f t="shared" si="4"/>
        <v>7.921323512142858</v>
      </c>
      <c r="V37" s="1100">
        <f t="shared" si="5"/>
        <v>16246.949213746664</v>
      </c>
      <c r="W37" s="1101">
        <f t="shared" si="6"/>
        <v>3272.2718943581331</v>
      </c>
      <c r="X37" s="1096">
        <f t="shared" si="7"/>
        <v>3.7999999999999999E-2</v>
      </c>
      <c r="Y37" s="1097">
        <f t="shared" si="8"/>
        <v>626.68975667608674</v>
      </c>
      <c r="Z37" s="1102">
        <f t="shared" si="9"/>
        <v>7.921323512142858</v>
      </c>
      <c r="AA37" s="1103">
        <f t="shared" si="10"/>
        <v>3898.9616510342198</v>
      </c>
      <c r="AB37" s="1101">
        <f t="shared" si="11"/>
        <v>3984.6031910891552</v>
      </c>
      <c r="AC37" s="1104">
        <f t="shared" si="12"/>
        <v>4.5999999999999999E-2</v>
      </c>
      <c r="AD37" s="1105">
        <f t="shared" si="13"/>
        <v>-1.9908281250000003E-2</v>
      </c>
      <c r="AE37" s="1128">
        <f t="shared" si="14"/>
        <v>8.5476340579710133</v>
      </c>
      <c r="AF37" s="1130">
        <f t="shared" si="15"/>
        <v>0</v>
      </c>
      <c r="AG37" s="420">
        <f t="shared" si="16"/>
        <v>0</v>
      </c>
      <c r="AH37" s="420">
        <f t="shared" si="17"/>
        <v>0</v>
      </c>
      <c r="AI37" s="1097">
        <f t="shared" si="18"/>
        <v>0</v>
      </c>
      <c r="AJ37" s="420">
        <f t="shared" si="19"/>
        <v>0</v>
      </c>
      <c r="AK37" s="518">
        <f t="shared" si="20"/>
        <v>0</v>
      </c>
      <c r="AL37" s="1106">
        <f>IF($P37="","N/A",(IF($P37=-1,INDEX('卡片raw data'!S:S,MATCH($D37,'卡片raw data'!$F:$F,)),0)+IF($P37=0,INDEX('卡片raw data'!V:V,MATCH($D37,'卡片raw data'!$F:$F,)),0)+IF($P37=1,INDEX('卡片raw data'!Y:Y,MATCH($D37,'卡片raw data'!$F:$F,)),0)+IF($P37=2,INDEX('卡片raw data'!AB:AB,MATCH($D37,'卡片raw data'!$F:$F,)),0)+IF($P37=3,INDEX('卡片raw data'!AE:AE,MATCH($D37,'卡片raw data'!$F:$F,)),0)+IF($P37=4,INDEX('卡片raw data'!AH:AH,MATCH($D37,'卡片raw data'!$F:$F,)),0)+IF($P37=5,INDEX('卡片raw data'!AK:AK,MATCH($D37,'卡片raw data'!$F:$F,)),0)+INDEX('卡片raw data'!S:S,MATCH($D37,'卡片raw data'!$F:$F,))*(IF($F37="UR",0.04,0.033))*(IF($F37="UR",INDEX(绊状态确认!$S:$S,MATCH($G37,绊状态确认!$B:$B,))/2-40)+IF($F37="SR",INDEX(绊状态确认!$R:$R,MATCH($G37,绊状态确认!$B:$B,))/4-15))+IF($F37="R",INDEX(绊状态确认!$Q:$Q,MATCH($G37,绊状态确认!$B:$B,))/6-40/6)))*(INDEX(绊状态确认!$H:$H,MATCH($G37,绊状态确认!$B:$B,))+INDEX(绊状态确认!J:J,MATCH($G37,绊状态确认!$B:$B,)))</f>
        <v>4122.8591999999999</v>
      </c>
      <c r="AM37" s="1106">
        <f>IF($P37="","N/A",(IF($P37=-1,INDEX('卡片raw data'!T:T,MATCH($D37,'卡片raw data'!$F:$F,)),0)+IF($P37=0,INDEX('卡片raw data'!W:W,MATCH($D37,'卡片raw data'!$F:$F,)),0)+IF($P37=1,INDEX('卡片raw data'!Z:Z,MATCH($D37,'卡片raw data'!$F:$F,)),0)+IF($P37=2,INDEX('卡片raw data'!AC:AC,MATCH($D37,'卡片raw data'!$F:$F,)),0)+IF($P37=3,INDEX('卡片raw data'!AF:AF,MATCH($D37,'卡片raw data'!$F:$F,)),0)+IF($P37=4,INDEX('卡片raw data'!AI:AI,MATCH($D37,'卡片raw data'!$F:$F,)),0)+IF($P37=5,INDEX('卡片raw data'!AL:AL,MATCH($D37,'卡片raw data'!$F:$F,)),0)+INDEX('卡片raw data'!T:T,MATCH($D37,'卡片raw data'!$F:$F,))*(IF($F37="UR",0.04,0.033))*(IF($F37="UR",INDEX(绊状态确认!$S:$S,MATCH($G37,绊状态确认!$B:$B,))/2-40)+IF($F37="SR",INDEX(绊状态确认!$R:$R,MATCH($G37,绊状态确认!$B:$B,))/4-15))+IF($F37="R",INDEX(绊状态确认!$Q:$Q,MATCH($G37,绊状态确认!$B:$B,))/6-40/6)))*(INDEX(绊状态确认!$H:$H,MATCH($G37,绊状态确认!$B:$B,))+INDEX(绊状态确认!K:K,MATCH($G37,绊状态确认!$B:$B,)))</f>
        <v>3435.3371999999995</v>
      </c>
      <c r="AN37" s="1106">
        <f>IF($P37="","N/A",(IF($P37=-1,INDEX('卡片raw data'!U:U,MATCH($D37,'卡片raw data'!$F:$F,)),0)+IF($P37=0,INDEX('卡片raw data'!X:X,MATCH($D37,'卡片raw data'!$F:$F,)),0)+IF($P37=1,INDEX('卡片raw data'!AA:AA,MATCH($D37,'卡片raw data'!$F:$F,)),0)+IF($P37=2,INDEX('卡片raw data'!AD:AD,MATCH($D37,'卡片raw data'!$F:$F,)),0)+IF($P37=3,INDEX('卡片raw data'!AG:AG,MATCH($D37,'卡片raw data'!$F:$F,)),0)+IF($P37=4,INDEX('卡片raw data'!AJ:AJ,MATCH($D37,'卡片raw data'!$F:$F,)),0)+IF($P37=5,INDEX('卡片raw data'!AM:AM,MATCH($D37,'卡片raw data'!$F:$F,)),0)+INDEX('卡片raw data'!U:U,MATCH($D37,'卡片raw data'!$F:$F,))*(IF($F37="UR",0.04,0.033))*(IF($F37="UR",INDEX(绊状态确认!$S:$S,MATCH($G37,绊状态确认!$B:$B,))/2-40)+IF($F37="SR",INDEX(绊状态确认!$R:$R,MATCH($G37,绊状态确认!$B:$B,))/4-15))+IF($F37="R",INDEX(绊状态确认!$Q:$Q,MATCH($G37,绊状态确认!$B:$B,))/6-40/6)))*(INDEX(绊状态确认!$H:$H,MATCH($G37,绊状态确认!$B:$B,))+INDEX(绊状态确认!L:L,MATCH($G37,绊状态确认!$B:$B,)))</f>
        <v>6182.0159999999996</v>
      </c>
      <c r="AO37" s="1107">
        <f t="shared" si="21"/>
        <v>1</v>
      </c>
      <c r="AP37" s="1131">
        <f>1+(INDEX(绊状态确认!$T:$T,MATCH($G37,绊状态确认!$B:$B,))+0.2)*$AO37</f>
        <v>1.3</v>
      </c>
      <c r="AQ37" s="1108">
        <f t="shared" si="22"/>
        <v>14072.5054</v>
      </c>
      <c r="AR37" s="1097">
        <f>(AM37*(1+$EX$9)+$EX$35)*(1+(INDEX(绊状态确认!$T:$T,MATCH($G37,绊状态确认!$B:$B,))+0.2)*AO37)*IF(J37=$FF$17,1+$FE$17,1)*IF(I37=$FF$14,1+$FE$14,1)</f>
        <v>7393.2352780000001</v>
      </c>
      <c r="AS37" s="1097">
        <f>(AN37*(1+$EX$10)+$EX$36)*(1+(INDEX(绊状态确认!$T:$T,MATCH($G37,绊状态确认!$B:$B,))+0.2)*AO37)*IF(J37=$FF$17,1+$FE$17,1)*IF(I37=$FF$14,1+$FE$14,1)</f>
        <v>13298.11392</v>
      </c>
      <c r="AT37" s="1093">
        <f>IF(AND(INDEX('卡片raw data'!AK:AK,MATCH($D37,'卡片raw data'!$F:$F,))&lt;INDEX('卡片raw data'!AM:AM,MATCH($D37,'卡片raw data'!$F:$F,)),INDEX('卡片raw data'!AL:AL,MATCH($D37,'卡片raw data'!$F:$F,))&lt;INDEX('卡片raw data'!AM:AM,MATCH($D37,'卡片raw data'!$F:$F,))),1,0)</f>
        <v>1</v>
      </c>
      <c r="AU37" s="1098">
        <f>MIN(AT37*0.15+AS37*0.00003+INDEX(绊状态确认!M:M,MATCH($G37,绊状态确认!$B:$B,)),1)</f>
        <v>0.57894341760000001</v>
      </c>
      <c r="AV37" s="1109">
        <f>(INDEX(绊状态确认!$N:$N,MATCH($G37,绊状态确认!$B:$B,))+1.5)*$EW$21</f>
        <v>2.6599999999999997</v>
      </c>
      <c r="AW37" s="1101">
        <f t="shared" si="23"/>
        <v>14332.322932648087</v>
      </c>
      <c r="AX37" s="1097">
        <f t="shared" si="24"/>
        <v>626.68975667608686</v>
      </c>
      <c r="AY37" s="1110">
        <f t="shared" si="25"/>
        <v>14959.012689324174</v>
      </c>
      <c r="AZ37" s="429">
        <f t="shared" si="26"/>
        <v>10639.575440000001</v>
      </c>
      <c r="BA37" s="431">
        <f t="shared" si="27"/>
        <v>12767.490528</v>
      </c>
      <c r="BB37" s="1097">
        <f>(AM37*(1+$FB$9)+$FB$35)*(1+(INDEX(绊状态确认!$T:$T,MATCH($G37,绊状态确认!$B:$B,))+0.2)*AO37)*IF(J37=$FF$17,1+$FE$17,1)*IF(I37=$FF$14,1+$FE$14,1)*(1+$FE$15)</f>
        <v>7393.2352780000001</v>
      </c>
      <c r="BC37" s="1097">
        <f>(AN37*(1+$FB$10)+$FB$36)*(1+(INDEX(绊状态确认!$T:$T,MATCH($G37,绊状态确认!$B:$B,))+0.2)*AO37)*IF(J37=$FF$17,1+$FE$17,1)*IF(I37=$FF$14,1+$FE$14,1)*(1+$FE$15)</f>
        <v>13298.11392</v>
      </c>
      <c r="BD37" s="1104">
        <f>MIN(AT37*0.15+BC37*0.00003+INDEX(绊状态确认!M:M,MATCH($G37,绊状态确认!$B:$B,)),1)</f>
        <v>0.57894341760000001</v>
      </c>
      <c r="BE37" s="432">
        <f>(INDEX(绊状态确认!$N:$N,MATCH($G37,绊状态确认!$B:$B,))+1.5)</f>
        <v>1.9</v>
      </c>
      <c r="BF37" s="1139">
        <f t="array" ref="BF37">SUMPRODUCT(IF(AZ37*AP37*$FI$16:$FI$23*$FA$22&gt;=$FI$24,$FI$24,AZ37*AP37*$FI$16:$FI$23*$FA$22),$FJ$16:$FJ$23)</f>
        <v>21162.115550160001</v>
      </c>
      <c r="BG37" s="1125">
        <f t="array" ref="BG37">SUMPRODUCT(IF(BE37*AZ37*AP37*$FI$16:$FI$23*$FA$22&gt;=$FI$24,$FI$24,BE37*AZ37*AP37*$FI$16:$FI$23*$FA$22),$FJ$16:$FJ$23)</f>
        <v>40208.019545304</v>
      </c>
      <c r="BH37" s="1110">
        <f t="shared" si="28"/>
        <v>10729.538766796721</v>
      </c>
      <c r="BI37" s="1111">
        <f>IF(O37="vo",$EW$26/$EW$24*0.05,0)+IF(O37="sk",-$EW$26/$EW$24*(0.05-INDEX(绊状态确认!W:W,MATCH($G37,绊状态确认!$B:$B,)))+0.05*$EW$28,0)+IF(O37="sp",0.05*$EW$32*$EW$30*(1-$EW$33)-(0.05-INDEX(绊状态确认!V:V,MATCH($G37,绊状态确认!$B:$B,)))*$EW$28,0)+IF(O37="gd",-(0.05-INDEX(绊状态确认!X:X,MATCH($G37,绊状态确认!$B:$B,)))*$EW$32*$EW$30*(1-$EW$33),0)</f>
        <v>19.999999999999886</v>
      </c>
      <c r="BJ37" s="1097">
        <f>IF(O37="vo",0.05*(1-$FI$26)*$FA$24,0)+IF(O37="sk",-(0.05-INDEX(绊状态确认!W:W,MATCH($G37,绊状态确认!$B:$B,)))*(1-$FI$26)*$FA$24+0.05*$FA$26,0)+IF(O37="sp",0.05*$FA$32*$FA$27*(1-$FA$33)/$FA$30+0.05*$FA$29/$FA$69*$FA$27*(1-$FA$33)-(0.05-INDEX(绊状态确认!V:V,MATCH($G37,绊状态确认!$B:$B,)))*$FA$26,0)+IF(O37="gd",-(0.05-INDEX(绊状态确认!X:X,MATCH($G37,绊状态确认!$B:$B,)))*$FA$32*$FA$27*(1-$FA$33)/$FA$30-(0.05-INDEX(绊状态确认!X:X,MATCH($G37,绊状态确认!$B:$B,)))*$FA$29/$FA$69*$FA$27*(1-$FA$33),0)</f>
        <v>545.83333333333326</v>
      </c>
      <c r="BK37" s="1110">
        <f>IF(O37="vo",$EW$26/$EW$24*0.05+$EW$26*(-HP($EW$62,$EW$65,$EW$64)+HP($EW$62,$EW$65,(1.05-INDEX(绊状态确认!U:U,MATCH($G37,绊状态确认!$B:$B,)))*$EW$64)),0)+IF(O37="sk",-$EW$26/$EW$24*(0.05-INDEX(绊状态确认!W:W,MATCH($G37,绊状态确认!$B:$B,)))+0.05*$EW$29,0)+IF(O37="sp",0.05*$EW$32*$EW$30*(1-$EW$33)-(0.05-INDEX(绊状态确认!V:V,MATCH($G37,绊状态确认!$B:$B,)))*$EW$29,0)+IF(O37="gd",-(0.05-INDEX(绊状态确认!X:X,MATCH($G37,绊状态确认!$B:$B,)))*$EW$32*$EW$30*(1-$EW$33)+$EW$26*(-HP($EW$62,$EW$65,$EW$64)+HP($EW$62,$EW$65,0.95*$EW$64)),0)</f>
        <v>-1780.0000000000005</v>
      </c>
      <c r="BL37" s="1111">
        <f t="shared" si="29"/>
        <v>-2166.6666666666665</v>
      </c>
      <c r="BM37" s="1110">
        <f t="shared" si="30"/>
        <v>-1661.1111111111109</v>
      </c>
      <c r="BN37" s="1113">
        <f t="shared" si="31"/>
        <v>2</v>
      </c>
      <c r="BO37" s="1097">
        <f t="shared" si="32"/>
        <v>3005.1476580839999</v>
      </c>
      <c r="BP37" s="1100">
        <f t="shared" si="33"/>
        <v>147.56068806020068</v>
      </c>
      <c r="BQ37" s="1113" t="s">
        <v>619</v>
      </c>
      <c r="BR37" s="1124" t="s">
        <v>621</v>
      </c>
      <c r="BS37" s="1098">
        <f>IF($P37="","N/A",IF($P37=-1,INDEX('卡片raw data'!AX:AX,MATCH($D37,'卡片raw data'!$F:$F,)),0)+IF($L37="party卡",IF($P37=5,INDEX('卡片raw data'!BD:BD,MATCH($D37,'卡片raw data'!$F:$F,)),IF($P37&gt;=3,INDEX('卡片raw data'!BC:BC,MATCH($D37,'卡片raw data'!$F:$F,)),INDEX('卡片raw data'!BB:BB,MATCH($D37,'卡片raw data'!$F:$F,)))),IF(OR(AND($F37="UR",$P37=0),AND($F37="SR",$P37&gt;=0,$P37&lt;=2),AND($F37="R",$P37&gt;=0,$P37&lt;4)),INDEX('卡片raw data'!AZ:AZ,MATCH($D37,'卡片raw data'!$F:$F,)),0)+IF(OR(AND($F37="UR",$P37&gt;=1,$P37&lt;=4),AND($F37="SR",$P37&lt;=4,$P37&gt;=3),AND($F37="R",$P37=4)),INDEX('卡片raw data'!BA:BA,MATCH($D37,'卡片raw data'!$F:$F,)),0)+IF($P37=5,INDEX('卡片raw data'!BB:BB,MATCH($D37,'卡片raw data'!$F:$F,)),0)))</f>
        <v>3.2000000000000001E-2</v>
      </c>
      <c r="BT37" s="1101">
        <f t="shared" si="34"/>
        <v>979.45553300515553</v>
      </c>
      <c r="BU37" s="1097">
        <f t="shared" si="35"/>
        <v>48.09385388628764</v>
      </c>
      <c r="BV37" s="1097">
        <f t="shared" si="36"/>
        <v>267.12423627413335</v>
      </c>
      <c r="BW37" s="1112">
        <f t="shared" si="37"/>
        <v>0</v>
      </c>
      <c r="BX37" s="1100">
        <f t="shared" si="38"/>
        <v>979.45553300515553</v>
      </c>
      <c r="BY37" s="1110">
        <f t="shared" si="39"/>
        <v>267.12423627413335</v>
      </c>
      <c r="BZ37" s="1107" t="s">
        <v>569</v>
      </c>
      <c r="CA37" s="1124"/>
      <c r="CB37" s="1098">
        <f>IF($P37="","N/A",IF($P37=-1,INDEX('卡片raw data'!BE:BE,MATCH($D37,'卡片raw data'!$F:$F,)),0)+IF($L37="party卡",IF($P37=5,INDEX('卡片raw data'!BK:BK,MATCH($D37,'卡片raw data'!$F:$F,)),IF($P37&gt;=3,INDEX('卡片raw data'!BJ:BJ,MATCH($D37,'卡片raw data'!$F:$F,)),INDEX('卡片raw data'!BI:BI,MATCH($D37,'卡片raw data'!$F:$F,)))),IF(OR(AND($F37="UR",$P37=0),AND($F37="SR",$P37&gt;=0,$P37&lt;=2),AND($F37="R",$P37&gt;=0,$P37&lt;4)),INDEX('卡片raw data'!BG:BG,MATCH($D37,'卡片raw data'!$F:$F,)),0)+IF(OR(AND($F37="UR",$P37&gt;=1,$P37&lt;=4),AND($F37="SR",$P37&lt;=4,$P37&gt;=3),AND($F37="R",$P37=4)),INDEX('卡片raw data'!BH:BH,MATCH($D37,'卡片raw data'!$F:$F,)),0)+IF($P37=5,INDEX('卡片raw data'!BI:BI,MATCH($D37,'卡片raw data'!$F:$F,)),0)))</f>
        <v>0</v>
      </c>
      <c r="CC37" s="1101">
        <f t="shared" si="40"/>
        <v>0</v>
      </c>
      <c r="CD37" s="1097">
        <f>IF(BZ37="ap",CB37*(1-$FI$26)*$FB$5/$FB$11*(+IF(CA37="全员",$FA$24,0)+IF(CA37="同作战",$FA$24,0)+IF(CA37="仲间",$FA$24*2/3,0)+IF(CA37="同属性",$FA$24*$FA$37/3,0)+IF(CA37="同年级",$FA$24*$FA$40/3,0)+IF(CA37="同学校",$FA$24*$FA$43/3,0)+IF(CA37="同小队",$FA$24*$FA$46/3,0)+IF(CA37="同type",$FA$24*INDEX($FB$49:$FB$52,MATCH(X37,$FA$49:$FA$52,))/3,0)+IF(CA37="自身",#REF!/3,0)),0)+IF(BZ37="te",CB37*(1-$FI$27)*($FA$20-1)*$FB$7/$FB$13*(+IF(CA37="全员",$FA$19*$FA$24/(1+($FA$20-1)*$FA$19),0)+IF(CA37="同作战",$FA$19*$FA$24/(1+($FA$20-1)*$FA$19),0)+IF(CA37="仲间",$FA$19*$FA$24*2/3/(1+($FA$20-1)*$FA$19),0)+IF(CA37="同属性",$FA$19*$FA$24*$FA$37/3/(1+($FA$20-1)*$FA$19),0)+IF(CA37="同年级",$FA$19*$FA$24*$FA$40/3/(1+($FA$20-1)*$FA$19),0)+IF(CA37="同学校",$FA$19*$FA$24*$FA$43/3/(1+($FA$20-1)*$FA$19),0)+IF(CA37="同小队",$FA$19*$FA$24*$FA$46/3/(1+($FA$20-1)*$FA$19),0)+IF(CA37="同type",$FA$19*$FA$24*INDEX($FB$49:$FB$52,MATCH(X37,$FA$49:$FA$52,))/3/(1+($FA$20-1)*$FA$19),0)+IF(CA37="自身",$FA$19*#REF!/3/(1+(BH37-1)*$BD37),0)),0)</f>
        <v>0</v>
      </c>
      <c r="CE37" s="1097">
        <f t="shared" si="41"/>
        <v>0</v>
      </c>
      <c r="CF37" s="1112">
        <f t="shared" si="42"/>
        <v>0</v>
      </c>
      <c r="CG37" s="1100">
        <f t="shared" si="43"/>
        <v>0</v>
      </c>
      <c r="CH37" s="1110">
        <f t="shared" si="44"/>
        <v>0</v>
      </c>
      <c r="CI37" s="1113"/>
      <c r="CJ37" s="1114"/>
      <c r="CK37" s="1115" t="s">
        <v>569</v>
      </c>
      <c r="CL37" s="1115"/>
      <c r="CM37" s="1119"/>
      <c r="CN37" s="1115"/>
      <c r="CO37" s="1092"/>
      <c r="CP37" s="1117">
        <f t="shared" si="45"/>
        <v>0</v>
      </c>
      <c r="CQ37" s="1117">
        <f t="shared" si="46"/>
        <v>0</v>
      </c>
      <c r="CR37" s="1117">
        <f t="shared" si="47"/>
        <v>0</v>
      </c>
      <c r="CS37" s="1118">
        <f t="shared" si="48"/>
        <v>0</v>
      </c>
      <c r="CT37" s="1109">
        <f t="shared" si="49"/>
        <v>0</v>
      </c>
      <c r="CU37" s="1101">
        <f t="shared" si="50"/>
        <v>0</v>
      </c>
      <c r="CV37" s="1108">
        <f t="shared" si="51"/>
        <v>0</v>
      </c>
      <c r="CW37" s="1097">
        <f t="shared" si="52"/>
        <v>0</v>
      </c>
      <c r="CX37" s="1097">
        <f t="shared" si="53"/>
        <v>0</v>
      </c>
      <c r="CY37" s="1110">
        <f t="shared" si="54"/>
        <v>0</v>
      </c>
      <c r="CZ37" s="437"/>
      <c r="DA37" s="438"/>
      <c r="DB37" s="439" t="s">
        <v>569</v>
      </c>
      <c r="DC37" s="439"/>
      <c r="DD37" s="443"/>
      <c r="DE37" s="411"/>
      <c r="DF37" s="411"/>
      <c r="DG37" s="1116">
        <f t="shared" si="55"/>
        <v>0</v>
      </c>
      <c r="DH37" s="1116">
        <f t="shared" si="56"/>
        <v>0</v>
      </c>
      <c r="DI37" s="1116">
        <f t="shared" si="57"/>
        <v>0</v>
      </c>
      <c r="DJ37" s="442">
        <f t="shared" si="58"/>
        <v>0</v>
      </c>
      <c r="DK37" s="1109">
        <f t="shared" si="59"/>
        <v>0</v>
      </c>
      <c r="DL37" s="1101">
        <f t="shared" si="60"/>
        <v>0</v>
      </c>
      <c r="DM37" s="1097">
        <f t="shared" si="61"/>
        <v>0</v>
      </c>
      <c r="DN37" s="1097">
        <f t="shared" si="62"/>
        <v>0</v>
      </c>
      <c r="DO37" s="1097">
        <f t="shared" si="63"/>
        <v>0</v>
      </c>
      <c r="DP37" s="1110">
        <f t="shared" si="64"/>
        <v>0</v>
      </c>
      <c r="DQ37" s="1113" t="s">
        <v>549</v>
      </c>
      <c r="DR37" s="1120">
        <f t="shared" si="65"/>
        <v>0.3</v>
      </c>
      <c r="DS37" s="1124"/>
      <c r="DT37" s="1093" t="s">
        <v>546</v>
      </c>
      <c r="DU37" s="1093"/>
      <c r="DV37" s="1097">
        <f>IF($P37="","N/A",IF(P37=-1,INDEX('卡片raw data'!AN:AN,MATCH(D37,'卡片raw data'!$F:$F,)),0)+IF(AND(L37&lt;&gt;"party卡",P37&lt;=2,P37&gt;=0),INDEX('卡片raw data'!AP:AP,MATCH(D37,'卡片raw data'!$F:$F,)),0)+IF(OR(AND(L37="party卡",P37&lt;=1),AND(P37&lt;=4,L37&lt;&gt;"party卡",P37&gt;=3)),INDEX('卡片raw data'!AQ:AQ,MATCH(D37,'卡片raw data'!$F:$F,)),0)+IF(OR(P37=5,AND(L37="party卡",P37&gt;=2)),INDEX('卡片raw data'!AR:AR,MATCH(D37,'卡片raw data'!$F:$F,)),0))</f>
        <v>200</v>
      </c>
      <c r="DW37" s="1098">
        <f t="shared" si="66"/>
        <v>0.3</v>
      </c>
      <c r="DX37" s="1098">
        <f t="shared" si="67"/>
        <v>0.3</v>
      </c>
      <c r="DY37" s="1098">
        <f t="shared" si="68"/>
        <v>2.7777777777777779E-3</v>
      </c>
      <c r="DZ37" s="1098">
        <f t="shared" si="69"/>
        <v>3.315833333333333E-3</v>
      </c>
      <c r="EA37" s="1098">
        <f t="shared" si="70"/>
        <v>0</v>
      </c>
      <c r="EB37" s="1121">
        <f t="shared" si="71"/>
        <v>20.315749999999998</v>
      </c>
      <c r="EC37" s="1101">
        <f t="shared" si="72"/>
        <v>1250</v>
      </c>
      <c r="ED37" s="1097">
        <f t="shared" si="73"/>
        <v>828.95833333333326</v>
      </c>
      <c r="EE37" s="1110">
        <f t="shared" si="74"/>
        <v>1250</v>
      </c>
      <c r="EF37" s="1092" t="s">
        <v>711</v>
      </c>
      <c r="EG37" s="1120">
        <f t="shared" si="75"/>
        <v>0.3</v>
      </c>
      <c r="EH37" s="1124"/>
      <c r="EI37" s="1093"/>
      <c r="EJ37" s="1093"/>
      <c r="EK37" s="1097">
        <f>IF($P37="","N/A",IF(P37=-1,INDEX('卡片raw data'!AS:AS,MATCH(D37,'卡片raw data'!$F:$F,)),0)+IF(AND(L37&lt;&gt;"party卡",P37&lt;=2,P37&gt;=0),INDEX('卡片raw data'!AU:AU,MATCH(D37,'卡片raw data'!$F:$F,)),0)+IF(OR(AND(L37="party卡",P37&lt;=1),AND(P37&lt;=4,L37&lt;&gt;"party卡",P37&gt;=3)),INDEX('卡片raw data'!AV:AV,MATCH(D37,'卡片raw data'!$F:$F,)),0)+IF(OR(P37=5,AND(L37="party卡",P37&gt;=2)),INDEX('卡片raw data'!AW:AW,MATCH(D37,'卡片raw data'!$F:$F,)),0))</f>
        <v>0</v>
      </c>
      <c r="EL37" s="1098">
        <f t="shared" si="76"/>
        <v>0.3</v>
      </c>
      <c r="EM37" s="1098">
        <f t="shared" si="77"/>
        <v>0.3</v>
      </c>
      <c r="EN37" s="1125">
        <f t="shared" si="78"/>
        <v>0</v>
      </c>
      <c r="EO37" s="1125">
        <f t="shared" si="79"/>
        <v>0</v>
      </c>
      <c r="EP37" s="1098">
        <f t="shared" si="80"/>
        <v>0</v>
      </c>
      <c r="EQ37" s="1121">
        <f t="shared" si="81"/>
        <v>0</v>
      </c>
      <c r="ER37" s="1101">
        <f t="shared" si="82"/>
        <v>0</v>
      </c>
      <c r="ES37" s="1097">
        <f t="shared" si="83"/>
        <v>0</v>
      </c>
      <c r="ET37" s="1122">
        <f t="shared" si="84"/>
        <v>0</v>
      </c>
      <c r="EV37" s="1221" t="s">
        <v>1300</v>
      </c>
      <c r="EW37" s="1389">
        <v>2</v>
      </c>
      <c r="EX37" s="1390"/>
      <c r="EY37" s="1212"/>
      <c r="EZ37" s="1221" t="s">
        <v>1300</v>
      </c>
      <c r="FA37" s="1389">
        <v>1.75</v>
      </c>
      <c r="FB37" s="1390"/>
      <c r="FC37" s="447"/>
      <c r="FD37" s="447"/>
      <c r="FE37" s="447"/>
      <c r="FF37" s="642"/>
      <c r="FG37" s="642"/>
      <c r="FH37" s="642"/>
      <c r="FI37" s="642"/>
      <c r="FJ37" s="447"/>
    </row>
    <row r="38" spans="2:166" ht="16.5" customHeight="1">
      <c r="B38" s="1123" t="str">
        <f>INDEX('卡片raw data'!B:B,MATCH($D38,'卡片raw data'!$F:$F,))</f>
        <v>打工妮</v>
      </c>
      <c r="C38" s="449" t="s">
        <v>69</v>
      </c>
      <c r="D38" s="408">
        <v>35</v>
      </c>
      <c r="E38" s="1090">
        <v>100092001</v>
      </c>
      <c r="F38" s="1090" t="str">
        <f>INDEX('卡片raw data'!C:C,MATCH($D38,'卡片raw data'!$F:$F,))</f>
        <v>SR</v>
      </c>
      <c r="G38" s="1094" t="s">
        <v>338</v>
      </c>
      <c r="H38" s="411">
        <f>IFERROR(INDEX(绊状态确认!C:C,MATCH($G38,绊状态确认!$B:$B,)),"")</f>
        <v>9</v>
      </c>
      <c r="I38" s="450" t="str">
        <f>IFERROR(INDEX(绊状态确认!D:D,MATCH($G38,绊状态确认!$B:$B,)),"")</f>
        <v>缪</v>
      </c>
      <c r="J38" s="450" t="str">
        <f>IFERROR(INDEX(绊状态确认!E:E,MATCH($G38,绊状态确认!$B:$B,)),"")</f>
        <v>3年级</v>
      </c>
      <c r="K38" s="451" t="str">
        <f>IFERROR(INDEX(绊状态确认!F:F,MATCH($G38,绊状态确认!$B:$B,)),"")</f>
        <v>BiBi</v>
      </c>
      <c r="L38" s="1094" t="str">
        <f>INDEX('卡片raw data'!E:E,MATCH($D38,'卡片raw data'!$F:$F,))</f>
        <v>卡池卡</v>
      </c>
      <c r="M38" s="415">
        <v>43735</v>
      </c>
      <c r="N38" s="416">
        <v>0</v>
      </c>
      <c r="O38" s="1091" t="str">
        <f>INDEX('卡片raw data'!D:D,MATCH($D38,'卡片raw data'!$F:$F,))</f>
        <v>gd</v>
      </c>
      <c r="P38" s="417">
        <v>5</v>
      </c>
      <c r="Q38" s="1095">
        <f t="shared" si="0"/>
        <v>18609.349053587655</v>
      </c>
      <c r="R38" s="1096">
        <f t="shared" si="1"/>
        <v>0.216</v>
      </c>
      <c r="S38" s="1097">
        <f t="shared" si="2"/>
        <v>10896.678171632484</v>
      </c>
      <c r="T38" s="1098">
        <f t="shared" si="3"/>
        <v>0.54400000000000004</v>
      </c>
      <c r="U38" s="1099">
        <f t="shared" si="4"/>
        <v>75.269044819200005</v>
      </c>
      <c r="V38" s="1100">
        <f t="shared" si="5"/>
        <v>26177.293334026701</v>
      </c>
      <c r="W38" s="1101">
        <f t="shared" si="6"/>
        <v>4507.7214871259994</v>
      </c>
      <c r="X38" s="1096">
        <f t="shared" si="7"/>
        <v>5.1999999999999998E-2</v>
      </c>
      <c r="Y38" s="1097">
        <f t="shared" si="8"/>
        <v>1161.7212133805451</v>
      </c>
      <c r="Z38" s="1102">
        <f t="shared" si="9"/>
        <v>14.519044819200001</v>
      </c>
      <c r="AA38" s="1103">
        <f t="shared" si="10"/>
        <v>5669.4427005065445</v>
      </c>
      <c r="AB38" s="1101">
        <f t="shared" si="11"/>
        <v>4507.7214871259994</v>
      </c>
      <c r="AC38" s="1104">
        <f t="shared" si="12"/>
        <v>5.1999999999999998E-2</v>
      </c>
      <c r="AD38" s="1105">
        <f t="shared" si="13"/>
        <v>-3.8207812500000026E-3</v>
      </c>
      <c r="AE38" s="1128">
        <f t="shared" si="14"/>
        <v>-18.525362318840578</v>
      </c>
      <c r="AF38" s="1130">
        <f t="shared" si="15"/>
        <v>0</v>
      </c>
      <c r="AG38" s="420">
        <f t="shared" si="16"/>
        <v>0</v>
      </c>
      <c r="AH38" s="420">
        <f t="shared" si="17"/>
        <v>0</v>
      </c>
      <c r="AI38" s="1097">
        <f t="shared" si="18"/>
        <v>0</v>
      </c>
      <c r="AJ38" s="420">
        <f t="shared" si="19"/>
        <v>0</v>
      </c>
      <c r="AK38" s="518">
        <f t="shared" si="20"/>
        <v>0</v>
      </c>
      <c r="AL38" s="1106">
        <f>IF($P38="","N/A",(IF($P38=-1,INDEX('卡片raw data'!S:S,MATCH($D38,'卡片raw data'!$F:$F,)),0)+IF($P38=0,INDEX('卡片raw data'!V:V,MATCH($D38,'卡片raw data'!$F:$F,)),0)+IF($P38=1,INDEX('卡片raw data'!Y:Y,MATCH($D38,'卡片raw data'!$F:$F,)),0)+IF($P38=2,INDEX('卡片raw data'!AB:AB,MATCH($D38,'卡片raw data'!$F:$F,)),0)+IF($P38=3,INDEX('卡片raw data'!AE:AE,MATCH($D38,'卡片raw data'!$F:$F,)),0)+IF($P38=4,INDEX('卡片raw data'!AH:AH,MATCH($D38,'卡片raw data'!$F:$F,)),0)+IF($P38=5,INDEX('卡片raw data'!AK:AK,MATCH($D38,'卡片raw data'!$F:$F,)),0)+INDEX('卡片raw data'!S:S,MATCH($D38,'卡片raw data'!$F:$F,))*(IF($F38="UR",0.04,0.033))*(IF($F38="UR",INDEX(绊状态确认!$S:$S,MATCH($G38,绊状态确认!$B:$B,))/2-40)+IF($F38="SR",INDEX(绊状态确认!$R:$R,MATCH($G38,绊状态确认!$B:$B,))/4-15))+IF($F38="R",INDEX(绊状态确认!$Q:$Q,MATCH($G38,绊状态确认!$B:$B,))/6-40/6)))*(INDEX(绊状态确认!$H:$H,MATCH($G38,绊状态确认!$B:$B,))+INDEX(绊状态确认!J:J,MATCH($G38,绊状态确认!$B:$B,)))</f>
        <v>5671.8178559999997</v>
      </c>
      <c r="AM38" s="1106">
        <f>IF($P38="","N/A",(IF($P38=-1,INDEX('卡片raw data'!T:T,MATCH($D38,'卡片raw data'!$F:$F,)),0)+IF($P38=0,INDEX('卡片raw data'!W:W,MATCH($D38,'卡片raw data'!$F:$F,)),0)+IF($P38=1,INDEX('卡片raw data'!Z:Z,MATCH($D38,'卡片raw data'!$F:$F,)),0)+IF($P38=2,INDEX('卡片raw data'!AC:AC,MATCH($D38,'卡片raw data'!$F:$F,)),0)+IF($P38=3,INDEX('卡片raw data'!AF:AF,MATCH($D38,'卡片raw data'!$F:$F,)),0)+IF($P38=4,INDEX('卡片raw data'!AI:AI,MATCH($D38,'卡片raw data'!$F:$F,)),0)+IF($P38=5,INDEX('卡片raw data'!AL:AL,MATCH($D38,'卡片raw data'!$F:$F,)),0)+INDEX('卡片raw data'!T:T,MATCH($D38,'卡片raw data'!$F:$F,))*(IF($F38="UR",0.04,0.033))*(IF($F38="UR",INDEX(绊状态确认!$S:$S,MATCH($G38,绊状态确认!$B:$B,))/2-40)+IF($F38="SR",INDEX(绊状态确认!$R:$R,MATCH($G38,绊状态确认!$B:$B,))/4-15))+IF($F38="R",INDEX(绊状态确认!$Q:$Q,MATCH($G38,绊状态确认!$B:$B,))/6-40/6)))*(INDEX(绊状态确认!$H:$H,MATCH($G38,绊状态确认!$B:$B,))+INDEX(绊状态确认!K:K,MATCH($G38,绊状态确认!$B:$B,)))</f>
        <v>7562.4238079999996</v>
      </c>
      <c r="AN38" s="1106">
        <f>IF($P38="","N/A",(IF($P38=-1,INDEX('卡片raw data'!U:U,MATCH($D38,'卡片raw data'!$F:$F,)),0)+IF($P38=0,INDEX('卡片raw data'!X:X,MATCH($D38,'卡片raw data'!$F:$F,)),0)+IF($P38=1,INDEX('卡片raw data'!AA:AA,MATCH($D38,'卡片raw data'!$F:$F,)),0)+IF($P38=2,INDEX('卡片raw data'!AD:AD,MATCH($D38,'卡片raw data'!$F:$F,)),0)+IF($P38=3,INDEX('卡片raw data'!AG:AG,MATCH($D38,'卡片raw data'!$F:$F,)),0)+IF($P38=4,INDEX('卡片raw data'!AJ:AJ,MATCH($D38,'卡片raw data'!$F:$F,)),0)+IF($P38=5,INDEX('卡片raw data'!AM:AM,MATCH($D38,'卡片raw data'!$F:$F,)),0)+INDEX('卡片raw data'!U:U,MATCH($D38,'卡片raw data'!$F:$F,))*(IF($F38="UR",0.04,0.033))*(IF($F38="UR",INDEX(绊状态确认!$S:$S,MATCH($G38,绊状态确认!$B:$B,))/2-40)+IF($F38="SR",INDEX(绊状态确认!$R:$R,MATCH($G38,绊状态确认!$B:$B,))/4-15))+IF($F38="R",INDEX(绊状态确认!$Q:$Q,MATCH($G38,绊状态确认!$B:$B,))/6-40/6)))*(INDEX(绊状态确认!$H:$H,MATCH($G38,绊状态确认!$B:$B,))+INDEX(绊状态确认!L:L,MATCH($G38,绊状态确认!$B:$B,)))</f>
        <v>5671.8178559999997</v>
      </c>
      <c r="AO38" s="1107">
        <f t="shared" si="21"/>
        <v>1</v>
      </c>
      <c r="AP38" s="1131">
        <f>1+(INDEX(绊状态确认!$T:$T,MATCH($G38,绊状态确认!$B:$B,))+0.2)*$AO38</f>
        <v>1.3</v>
      </c>
      <c r="AQ38" s="1108">
        <f t="shared" si="22"/>
        <v>18138.521871999998</v>
      </c>
      <c r="AR38" s="1097">
        <f>(AM38*(1+$EX$9)+$EX$35)*(1+(INDEX(绊状态确认!$T:$T,MATCH($G38,绊状态确认!$B:$B,))+0.2)*AO38)*IF(J38=$FF$17,1+$FE$17,1)*IF(I38=$FF$14,1+$FE$14,1)</f>
        <v>13026.708497920001</v>
      </c>
      <c r="AS38" s="1097">
        <f>(AN38*(1+$EX$10)+$EX$36)*(1+(INDEX(绊状态确认!$T:$T,MATCH($G38,绊状态确认!$B:$B,))+0.2)*AO38)*IF(J38=$FF$17,1+$FE$17,1)*IF(I38=$FF$14,1+$FE$14,1)</f>
        <v>12535.367694719998</v>
      </c>
      <c r="AT38" s="1093">
        <f>IF(AND(INDEX('卡片raw data'!AK:AK,MATCH($D38,'卡片raw data'!$F:$F,))&lt;INDEX('卡片raw data'!AM:AM,MATCH($D38,'卡片raw data'!$F:$F,)),INDEX('卡片raw data'!AL:AL,MATCH($D38,'卡片raw data'!$F:$F,))&lt;INDEX('卡片raw data'!AM:AM,MATCH($D38,'卡片raw data'!$F:$F,))),1,0)</f>
        <v>0</v>
      </c>
      <c r="AU38" s="1098">
        <f>MIN(AT38*0.15+AS38*0.00003+INDEX(绊状态确认!M:M,MATCH($G38,绊状态确认!$B:$B,)),1)</f>
        <v>0.4060610308416</v>
      </c>
      <c r="AV38" s="1109">
        <f>(INDEX(绊状态确认!$N:$N,MATCH($G38,绊状态确认!$B:$B,))+1.5)*$EW$21</f>
        <v>2.6599999999999997</v>
      </c>
      <c r="AW38" s="1101">
        <f t="shared" si="23"/>
        <v>15769.960899794989</v>
      </c>
      <c r="AX38" s="1097">
        <f t="shared" si="24"/>
        <v>1117.9252997195524</v>
      </c>
      <c r="AY38" s="1110">
        <f t="shared" si="25"/>
        <v>16887.886199514542</v>
      </c>
      <c r="AZ38" s="429">
        <f t="shared" si="26"/>
        <v>13660.044819199999</v>
      </c>
      <c r="BA38" s="431">
        <f t="shared" si="27"/>
        <v>16392.053783039999</v>
      </c>
      <c r="BB38" s="1097">
        <f>(AM38*(1+$FB$9)+$FB$35)*(1+(INDEX(绊状态确认!$T:$T,MATCH($G38,绊状态确认!$B:$B,))+0.2)*AO38)*IF(J38=$FF$17,1+$FE$17,1)*IF(I38=$FF$14,1+$FE$14,1)*(1+$FE$15)</f>
        <v>13026.708497920001</v>
      </c>
      <c r="BC38" s="1097">
        <f>(AN38*(1+$FB$10)+$FB$36)*(1+(INDEX(绊状态确认!$T:$T,MATCH($G38,绊状态确认!$B:$B,))+0.2)*AO38)*IF(J38=$FF$17,1+$FE$17,1)*IF(I38=$FF$14,1+$FE$14,1)*(1+$FE$15)</f>
        <v>12535.367694719998</v>
      </c>
      <c r="BD38" s="1104">
        <f>MIN(AT38*0.15+BC38*0.00003+INDEX(绊状态确认!M:M,MATCH($G38,绊状态确认!$B:$B,)),1)</f>
        <v>0.4060610308416</v>
      </c>
      <c r="BE38" s="432">
        <f>(INDEX(绊状态确认!$N:$N,MATCH($G38,绊状态确认!$B:$B,))+1.5)</f>
        <v>1.9</v>
      </c>
      <c r="BF38" s="1139">
        <f t="array" ref="BF38">SUMPRODUCT(IF(AZ38*AP38*$FI$16:$FI$23*$FA$22&gt;=$FI$24,$FI$24,AZ38*AP38*$FI$16:$FI$23*$FA$22),$FJ$16:$FJ$23)</f>
        <v>27169.829145388805</v>
      </c>
      <c r="BG38" s="1125">
        <f t="array" ref="BG38">SUMPRODUCT(IF(BE38*AZ38*AP38*$FI$16:$FI$23*$FA$22&gt;=$FI$24,$FI$24,BE38*AZ38*AP38*$FI$16:$FI$23*$FA$22),$FJ$16:$FJ$23)</f>
        <v>51138.760415971832</v>
      </c>
      <c r="BH38" s="1110">
        <f t="shared" si="28"/>
        <v>12300.892695097738</v>
      </c>
      <c r="BI38" s="1111">
        <f>IF(O38="vo",$EW$26/$EW$24*0.05,0)+IF(O38="sk",-$EW$26/$EW$24*(0.05-INDEX(绊状态确认!W:W,MATCH($G38,绊状态确认!$B:$B,)))+0.05*$EW$28,0)+IF(O38="sp",0.05*$EW$32*$EW$30*(1-$EW$33)-(0.05-INDEX(绊状态确认!V:V,MATCH($G38,绊状态确认!$B:$B,)))*$EW$28,0)+IF(O38="gd",-(0.05-INDEX(绊状态确认!X:X,MATCH($G38,绊状态确认!$B:$B,)))*$EW$32*$EW$30*(1-$EW$33),0)</f>
        <v>-585.00000000000011</v>
      </c>
      <c r="BJ38" s="1097">
        <f>IF(O38="vo",0.05*(1-$FI$26)*$FA$24,0)+IF(O38="sk",-(0.05-INDEX(绊状态确认!W:W,MATCH($G38,绊状态确认!$B:$B,)))*(1-$FI$26)*$FA$24+0.05*$FA$26,0)+IF(O38="sp",0.05*$FA$32*$FA$27*(1-$FA$33)/$FA$30+0.05*$FA$29/$FA$69*$FA$27*(1-$FA$33)-(0.05-INDEX(绊状态确认!V:V,MATCH($G38,绊状态确认!$B:$B,)))*$FA$26,0)+IF(O38="gd",-(0.05-INDEX(绊状态确认!X:X,MATCH($G38,绊状态确认!$B:$B,)))*$FA$32*$FA$27*(1-$FA$33)/$FA$30-(0.05-INDEX(绊状态确认!X:X,MATCH($G38,绊状态确认!$B:$B,)))*$FA$29/$FA$69*$FA$27*(1-$FA$33),0)</f>
        <v>-795.00000000000011</v>
      </c>
      <c r="BK38" s="1110">
        <f>IF(O38="vo",$EW$26/$EW$24*0.05+$EW$26*(-HP($EW$62,$EW$65,$EW$64)+HP($EW$62,$EW$65,(1.05-INDEX(绊状态确认!U:U,MATCH($G38,绊状态确认!$B:$B,)))*$EW$64)),0)+IF(O38="sk",-$EW$26/$EW$24*(0.05-INDEX(绊状态确认!W:W,MATCH($G38,绊状态确认!$B:$B,)))+0.05*$EW$29,0)+IF(O38="sp",0.05*$EW$32*$EW$30*(1-$EW$33)-(0.05-INDEX(绊状态确认!V:V,MATCH($G38,绊状态确认!$B:$B,)))*$EW$29,0)+IF(O38="gd",-(0.05-INDEX(绊状态确认!X:X,MATCH($G38,绊状态确认!$B:$B,)))*$EW$32*$EW$30*(1-$EW$33)+$EW$26*(-HP($EW$62,$EW$65,$EW$64)+HP($EW$62,$EW$65,0.95*$EW$64)),0)</f>
        <v>1009.5947725176144</v>
      </c>
      <c r="BL38" s="1111">
        <f t="shared" si="29"/>
        <v>-1083.3333333333333</v>
      </c>
      <c r="BM38" s="1110">
        <f t="shared" si="30"/>
        <v>-830.55555555555543</v>
      </c>
      <c r="BN38" s="1113">
        <f t="shared" si="31"/>
        <v>3</v>
      </c>
      <c r="BO38" s="1097">
        <f t="shared" si="32"/>
        <v>4507.7214871259994</v>
      </c>
      <c r="BP38" s="1100">
        <f t="shared" si="33"/>
        <v>221.34103209030098</v>
      </c>
      <c r="BQ38" s="1113" t="s">
        <v>618</v>
      </c>
      <c r="BR38" s="1124" t="s">
        <v>620</v>
      </c>
      <c r="BS38" s="1098">
        <f>IF($P38="","N/A",IF($P38=-1,INDEX('卡片raw data'!AX:AX,MATCH($D38,'卡片raw data'!$F:$F,)),0)+IF($L38="party卡",IF($P38=5,INDEX('卡片raw data'!BD:BD,MATCH($D38,'卡片raw data'!$F:$F,)),IF($P38&gt;=3,INDEX('卡片raw data'!BC:BC,MATCH($D38,'卡片raw data'!$F:$F,)),INDEX('卡片raw data'!BB:BB,MATCH($D38,'卡片raw data'!$F:$F,)))),IF(OR(AND($F38="UR",$P38=0),AND($F38="SR",$P38&gt;=0,$P38&lt;=2),AND($F38="R",$P38&gt;=0,$P38&lt;4)),INDEX('卡片raw data'!AZ:AZ,MATCH($D38,'卡片raw data'!$F:$F,)),0)+IF(OR(AND($F38="UR",$P38&gt;=1,$P38&lt;=4),AND($F38="SR",$P38&lt;=4,$P38&gt;=3),AND($F38="R",$P38=4)),INDEX('卡片raw data'!BA:BA,MATCH($D38,'卡片raw data'!$F:$F,)),0)+IF($P38=5,INDEX('卡片raw data'!BB:BB,MATCH($D38,'卡片raw data'!$F:$F,)),0)))</f>
        <v>3.2000000000000001E-2</v>
      </c>
      <c r="BT38" s="1101">
        <f t="shared" si="34"/>
        <v>0</v>
      </c>
      <c r="BU38" s="1097">
        <f t="shared" si="35"/>
        <v>0</v>
      </c>
      <c r="BV38" s="1097">
        <f t="shared" si="36"/>
        <v>0</v>
      </c>
      <c r="BW38" s="1112">
        <f t="shared" si="37"/>
        <v>0.56185714285714283</v>
      </c>
      <c r="BX38" s="1100">
        <f t="shared" si="38"/>
        <v>43.795913660992277</v>
      </c>
      <c r="BY38" s="1110">
        <f t="shared" si="39"/>
        <v>43.795913660992277</v>
      </c>
      <c r="BZ38" s="1107" t="s">
        <v>569</v>
      </c>
      <c r="CA38" s="1124"/>
      <c r="CB38" s="1098">
        <f>IF($P38="","N/A",IF($P38=-1,INDEX('卡片raw data'!BE:BE,MATCH($D38,'卡片raw data'!$F:$F,)),0)+IF($L38="party卡",IF($P38=5,INDEX('卡片raw data'!BK:BK,MATCH($D38,'卡片raw data'!$F:$F,)),IF($P38&gt;=3,INDEX('卡片raw data'!BJ:BJ,MATCH($D38,'卡片raw data'!$F:$F,)),INDEX('卡片raw data'!BI:BI,MATCH($D38,'卡片raw data'!$F:$F,)))),IF(OR(AND($F38="UR",$P38=0),AND($F38="SR",$P38&gt;=0,$P38&lt;=2),AND($F38="R",$P38&gt;=0,$P38&lt;4)),INDEX('卡片raw data'!BG:BG,MATCH($D38,'卡片raw data'!$F:$F,)),0)+IF(OR(AND($F38="UR",$P38&gt;=1,$P38&lt;=4),AND($F38="SR",$P38&lt;=4,$P38&gt;=3),AND($F38="R",$P38=4)),INDEX('卡片raw data'!BH:BH,MATCH($D38,'卡片raw data'!$F:$F,)),0)+IF($P38=5,INDEX('卡片raw data'!BI:BI,MATCH($D38,'卡片raw data'!$F:$F,)),0)))</f>
        <v>0</v>
      </c>
      <c r="CC38" s="1101">
        <f t="shared" si="40"/>
        <v>0</v>
      </c>
      <c r="CD38" s="1097">
        <f>IF(BZ38="ap",CB38*(1-$FI$26)*$FB$5/$FB$11*(+IF(CA38="全员",$FA$24,0)+IF(CA38="同作战",$FA$24,0)+IF(CA38="仲间",$FA$24*2/3,0)+IF(CA38="同属性",$FA$24*$FA$37/3,0)+IF(CA38="同年级",$FA$24*$FA$40/3,0)+IF(CA38="同学校",$FA$24*$FA$43/3,0)+IF(CA38="同小队",$FA$24*$FA$46/3,0)+IF(CA38="同type",$FA$24*INDEX($FB$49:$FB$52,MATCH(X38,$FA$49:$FA$52,))/3,0)+IF(CA38="自身",#REF!/3,0)),0)+IF(BZ38="te",CB38*(1-$FI$27)*($FA$20-1)*$FB$7/$FB$13*(+IF(CA38="全员",$FA$19*$FA$24/(1+($FA$20-1)*$FA$19),0)+IF(CA38="同作战",$FA$19*$FA$24/(1+($FA$20-1)*$FA$19),0)+IF(CA38="仲间",$FA$19*$FA$24*2/3/(1+($FA$20-1)*$FA$19),0)+IF(CA38="同属性",$FA$19*$FA$24*$FA$37/3/(1+($FA$20-1)*$FA$19),0)+IF(CA38="同年级",$FA$19*$FA$24*$FA$40/3/(1+($FA$20-1)*$FA$19),0)+IF(CA38="同学校",$FA$19*$FA$24*$FA$43/3/(1+($FA$20-1)*$FA$19),0)+IF(CA38="同小队",$FA$19*$FA$24*$FA$46/3/(1+($FA$20-1)*$FA$19),0)+IF(CA38="同type",$FA$19*$FA$24*INDEX($FB$49:$FB$52,MATCH(X38,$FA$49:$FA$52,))/3/(1+($FA$20-1)*$FA$19),0)+IF(CA38="自身",$FA$19*#REF!/3/(1+(BH38-1)*$BD38),0)),0)</f>
        <v>0</v>
      </c>
      <c r="CE38" s="1097">
        <f t="shared" si="41"/>
        <v>0</v>
      </c>
      <c r="CF38" s="1112">
        <f t="shared" si="42"/>
        <v>0</v>
      </c>
      <c r="CG38" s="1100">
        <f t="shared" si="43"/>
        <v>0</v>
      </c>
      <c r="CH38" s="1110">
        <f t="shared" si="44"/>
        <v>0</v>
      </c>
      <c r="CI38" s="1113" t="s">
        <v>160</v>
      </c>
      <c r="CJ38" s="1114">
        <v>0.5</v>
      </c>
      <c r="CK38" s="1115" t="s">
        <v>311</v>
      </c>
      <c r="CL38" s="1115" t="s">
        <v>1947</v>
      </c>
      <c r="CM38" s="1119"/>
      <c r="CN38" s="1115"/>
      <c r="CO38" s="1092"/>
      <c r="CP38" s="1117">
        <f t="shared" si="45"/>
        <v>0</v>
      </c>
      <c r="CQ38" s="1117">
        <f t="shared" si="46"/>
        <v>0</v>
      </c>
      <c r="CR38" s="1117">
        <f t="shared" si="47"/>
        <v>0</v>
      </c>
      <c r="CS38" s="1118">
        <f t="shared" si="48"/>
        <v>0</v>
      </c>
      <c r="CT38" s="1109">
        <f t="shared" si="49"/>
        <v>0</v>
      </c>
      <c r="CU38" s="1101">
        <f t="shared" si="50"/>
        <v>0</v>
      </c>
      <c r="CV38" s="1108">
        <f t="shared" si="51"/>
        <v>0</v>
      </c>
      <c r="CW38" s="1097">
        <f t="shared" si="52"/>
        <v>0</v>
      </c>
      <c r="CX38" s="1097">
        <f t="shared" si="53"/>
        <v>0</v>
      </c>
      <c r="CY38" s="1110">
        <f t="shared" si="54"/>
        <v>0</v>
      </c>
      <c r="CZ38" s="437"/>
      <c r="DA38" s="438"/>
      <c r="DB38" s="439" t="s">
        <v>569</v>
      </c>
      <c r="DC38" s="439"/>
      <c r="DD38" s="443"/>
      <c r="DE38" s="411"/>
      <c r="DF38" s="411"/>
      <c r="DG38" s="1116">
        <f t="shared" si="55"/>
        <v>0</v>
      </c>
      <c r="DH38" s="1116">
        <f t="shared" si="56"/>
        <v>0</v>
      </c>
      <c r="DI38" s="1116">
        <f t="shared" si="57"/>
        <v>0</v>
      </c>
      <c r="DJ38" s="442">
        <f t="shared" si="58"/>
        <v>0</v>
      </c>
      <c r="DK38" s="1109">
        <f t="shared" si="59"/>
        <v>0</v>
      </c>
      <c r="DL38" s="1101">
        <f t="shared" si="60"/>
        <v>0</v>
      </c>
      <c r="DM38" s="1097">
        <f t="shared" si="61"/>
        <v>0</v>
      </c>
      <c r="DN38" s="1097">
        <f t="shared" si="62"/>
        <v>0</v>
      </c>
      <c r="DO38" s="1097">
        <f t="shared" si="63"/>
        <v>0</v>
      </c>
      <c r="DP38" s="1110">
        <f t="shared" si="64"/>
        <v>0</v>
      </c>
      <c r="DQ38" s="1113" t="s">
        <v>556</v>
      </c>
      <c r="DR38" s="1120">
        <f t="shared" si="65"/>
        <v>0.3</v>
      </c>
      <c r="DS38" s="1124">
        <v>10</v>
      </c>
      <c r="DT38" s="1093" t="s">
        <v>161</v>
      </c>
      <c r="DU38" s="1093" t="s">
        <v>544</v>
      </c>
      <c r="DV38" s="1098">
        <f>IF($P38="","N/A",IF(P38=-1,INDEX('卡片raw data'!AN:AN,MATCH(D38,'卡片raw data'!$F:$F,)),0)+IF(AND(L38&lt;&gt;"party卡",P38&lt;=2,P38&gt;=0),INDEX('卡片raw data'!AP:AP,MATCH(D38,'卡片raw data'!$F:$F,)),0)+IF(OR(AND(L38="party卡",P38&lt;=1),AND(P38&lt;=4,L38&lt;&gt;"party卡",P38&gt;=3)),INDEX('卡片raw data'!AQ:AQ,MATCH(D38,'卡片raw data'!$F:$F,)),0)+IF(OR(P38=5,AND(L38="party卡",P38&gt;=2)),INDEX('卡片raw data'!AR:AR,MATCH(D38,'卡片raw data'!$F:$F,)),0))</f>
        <v>0.11</v>
      </c>
      <c r="DW38" s="1098">
        <f t="shared" si="66"/>
        <v>0.3</v>
      </c>
      <c r="DX38" s="1098">
        <f t="shared" si="67"/>
        <v>0.3</v>
      </c>
      <c r="DY38" s="1098">
        <f t="shared" si="68"/>
        <v>0.11000000000000001</v>
      </c>
      <c r="DZ38" s="1098">
        <f t="shared" si="69"/>
        <v>9.5150000000000012E-2</v>
      </c>
      <c r="EA38" s="1098">
        <f t="shared" si="70"/>
        <v>0</v>
      </c>
      <c r="EB38" s="1121">
        <f t="shared" si="71"/>
        <v>0</v>
      </c>
      <c r="EC38" s="1101">
        <f t="shared" si="72"/>
        <v>0</v>
      </c>
      <c r="ED38" s="1097">
        <f t="shared" si="73"/>
        <v>0</v>
      </c>
      <c r="EE38" s="1110">
        <f t="shared" si="74"/>
        <v>4811.6282945408811</v>
      </c>
      <c r="EF38" s="1092" t="s">
        <v>711</v>
      </c>
      <c r="EG38" s="1120">
        <f t="shared" si="75"/>
        <v>0.3</v>
      </c>
      <c r="EH38" s="1124"/>
      <c r="EI38" s="1093"/>
      <c r="EJ38" s="1093"/>
      <c r="EK38" s="1097">
        <f>IF($P38="","N/A",IF(P38=-1,INDEX('卡片raw data'!AS:AS,MATCH(D38,'卡片raw data'!$F:$F,)),0)+IF(AND(L38&lt;&gt;"party卡",P38&lt;=2,P38&gt;=0),INDEX('卡片raw data'!AU:AU,MATCH(D38,'卡片raw data'!$F:$F,)),0)+IF(OR(AND(L38="party卡",P38&lt;=1),AND(P38&lt;=4,L38&lt;&gt;"party卡",P38&gt;=3)),INDEX('卡片raw data'!AV:AV,MATCH(D38,'卡片raw data'!$F:$F,)),0)+IF(OR(P38=5,AND(L38="party卡",P38&gt;=2)),INDEX('卡片raw data'!AW:AW,MATCH(D38,'卡片raw data'!$F:$F,)),0))</f>
        <v>0</v>
      </c>
      <c r="EL38" s="1098">
        <f t="shared" si="76"/>
        <v>0.3</v>
      </c>
      <c r="EM38" s="1098">
        <f t="shared" si="77"/>
        <v>0.3</v>
      </c>
      <c r="EN38" s="1125">
        <f t="shared" si="78"/>
        <v>0</v>
      </c>
      <c r="EO38" s="1125">
        <f t="shared" si="79"/>
        <v>0</v>
      </c>
      <c r="EP38" s="1098">
        <f t="shared" si="80"/>
        <v>0</v>
      </c>
      <c r="EQ38" s="1121">
        <f t="shared" si="81"/>
        <v>0</v>
      </c>
      <c r="ER38" s="1101">
        <f t="shared" si="82"/>
        <v>0</v>
      </c>
      <c r="ES38" s="1097">
        <f t="shared" si="83"/>
        <v>0</v>
      </c>
      <c r="ET38" s="1122">
        <f t="shared" si="84"/>
        <v>0</v>
      </c>
      <c r="EV38" s="1225" t="s">
        <v>1301</v>
      </c>
      <c r="EW38" s="1310">
        <v>1</v>
      </c>
      <c r="EX38" s="1311"/>
      <c r="EY38" s="1212"/>
      <c r="EZ38" s="1225" t="s">
        <v>1301</v>
      </c>
      <c r="FA38" s="1310">
        <v>1</v>
      </c>
      <c r="FB38" s="1311"/>
      <c r="FC38" s="447"/>
      <c r="FD38" s="447"/>
      <c r="FE38" s="447"/>
      <c r="FF38" s="642"/>
      <c r="FG38" s="642"/>
      <c r="FH38" s="642"/>
      <c r="FI38" s="642"/>
      <c r="FJ38" s="447"/>
    </row>
    <row r="39" spans="2:166" ht="16.5" customHeight="1">
      <c r="B39" s="1123" t="str">
        <f>INDEX('卡片raw data'!B:B,MATCH($D39,'卡片raw data'!$F:$F,))</f>
        <v>初始妮</v>
      </c>
      <c r="C39" s="449" t="s">
        <v>22</v>
      </c>
      <c r="D39" s="408">
        <v>36</v>
      </c>
      <c r="E39" s="1090">
        <v>100093001</v>
      </c>
      <c r="F39" s="1090" t="str">
        <f>INDEX('卡片raw data'!C:C,MATCH($D39,'卡片raw data'!$F:$F,))</f>
        <v>UR</v>
      </c>
      <c r="G39" s="1094" t="s">
        <v>32</v>
      </c>
      <c r="H39" s="411">
        <f>IFERROR(INDEX(绊状态确认!C:C,MATCH($G39,绊状态确认!$B:$B,)),"")</f>
        <v>9</v>
      </c>
      <c r="I39" s="450" t="str">
        <f>IFERROR(INDEX(绊状态确认!D:D,MATCH($G39,绊状态确认!$B:$B,)),"")</f>
        <v>缪</v>
      </c>
      <c r="J39" s="450" t="str">
        <f>IFERROR(INDEX(绊状态确认!E:E,MATCH($G39,绊状态确认!$B:$B,)),"")</f>
        <v>3年级</v>
      </c>
      <c r="K39" s="451" t="str">
        <f>IFERROR(INDEX(绊状态确认!F:F,MATCH($G39,绊状态确认!$B:$B,)),"")</f>
        <v>BiBi</v>
      </c>
      <c r="L39" s="1094" t="str">
        <f>INDEX('卡片raw data'!E:E,MATCH($D39,'卡片raw data'!$F:$F,))</f>
        <v>卡池卡</v>
      </c>
      <c r="M39" s="415">
        <v>43735</v>
      </c>
      <c r="N39" s="416">
        <v>0</v>
      </c>
      <c r="O39" s="1091" t="str">
        <f>INDEX('卡片raw data'!D:D,MATCH($D39,'卡片raw data'!$F:$F,))</f>
        <v>vo</v>
      </c>
      <c r="P39" s="417">
        <v>5</v>
      </c>
      <c r="Q39" s="1095">
        <f t="shared" si="0"/>
        <v>51198.794880595524</v>
      </c>
      <c r="R39" s="1096">
        <f t="shared" si="1"/>
        <v>0.59499999999999997</v>
      </c>
      <c r="S39" s="1097">
        <f t="shared" si="2"/>
        <v>19598.551496817425</v>
      </c>
      <c r="T39" s="1098">
        <f t="shared" si="3"/>
        <v>0.97899999999999998</v>
      </c>
      <c r="U39" s="1099">
        <f t="shared" si="4"/>
        <v>-5.0266260618571437</v>
      </c>
      <c r="V39" s="1100">
        <f t="shared" si="5"/>
        <v>51513.979029143724</v>
      </c>
      <c r="W39" s="1101">
        <f t="shared" si="6"/>
        <v>8335.8168161520061</v>
      </c>
      <c r="X39" s="1096">
        <f t="shared" si="7"/>
        <v>9.6000000000000002E-2</v>
      </c>
      <c r="Y39" s="1097">
        <f t="shared" si="8"/>
        <v>1619.8525987899011</v>
      </c>
      <c r="Z39" s="1102">
        <f t="shared" si="9"/>
        <v>19.973373938142856</v>
      </c>
      <c r="AA39" s="1103">
        <f t="shared" si="10"/>
        <v>9955.6694149419072</v>
      </c>
      <c r="AB39" s="1101">
        <f t="shared" si="11"/>
        <v>13594.825217799007</v>
      </c>
      <c r="AC39" s="1104">
        <f t="shared" si="12"/>
        <v>0.158</v>
      </c>
      <c r="AD39" s="1105">
        <f t="shared" si="13"/>
        <v>0</v>
      </c>
      <c r="AE39" s="1128">
        <f t="shared" si="14"/>
        <v>0</v>
      </c>
      <c r="AF39" s="1130">
        <f t="shared" si="15"/>
        <v>0</v>
      </c>
      <c r="AG39" s="420">
        <f t="shared" si="16"/>
        <v>0</v>
      </c>
      <c r="AH39" s="420">
        <f t="shared" si="17"/>
        <v>0</v>
      </c>
      <c r="AI39" s="1097">
        <f t="shared" si="18"/>
        <v>0</v>
      </c>
      <c r="AJ39" s="420">
        <f t="shared" si="19"/>
        <v>0</v>
      </c>
      <c r="AK39" s="518">
        <f t="shared" si="20"/>
        <v>0</v>
      </c>
      <c r="AL39" s="1106">
        <f>IF($P39="","N/A",(IF($P39=-1,INDEX('卡片raw data'!S:S,MATCH($D39,'卡片raw data'!$F:$F,)),0)+IF($P39=0,INDEX('卡片raw data'!V:V,MATCH($D39,'卡片raw data'!$F:$F,)),0)+IF($P39=1,INDEX('卡片raw data'!Y:Y,MATCH($D39,'卡片raw data'!$F:$F,)),0)+IF($P39=2,INDEX('卡片raw data'!AB:AB,MATCH($D39,'卡片raw data'!$F:$F,)),0)+IF($P39=3,INDEX('卡片raw data'!AE:AE,MATCH($D39,'卡片raw data'!$F:$F,)),0)+IF($P39=4,INDEX('卡片raw data'!AH:AH,MATCH($D39,'卡片raw data'!$F:$F,)),0)+IF($P39=5,INDEX('卡片raw data'!AK:AK,MATCH($D39,'卡片raw data'!$F:$F,)),0)+INDEX('卡片raw data'!S:S,MATCH($D39,'卡片raw data'!$F:$F,))*(IF($F39="UR",0.04,0.033))*(IF($F39="UR",INDEX(绊状态确认!$S:$S,MATCH($G39,绊状态确认!$B:$B,))/2-40)+IF($F39="SR",INDEX(绊状态确认!$R:$R,MATCH($G39,绊状态确认!$B:$B,))/4-15))+IF($F39="R",INDEX(绊状态确认!$Q:$Q,MATCH($G39,绊状态确认!$B:$B,))/6-40/6)))*(INDEX(绊状态确认!$H:$H,MATCH($G39,绊状态确认!$B:$B,))+INDEX(绊状态确认!J:J,MATCH($G39,绊状态确认!$B:$B,)))</f>
        <v>9218.4767999999985</v>
      </c>
      <c r="AM39" s="1106">
        <f>IF($P39="","N/A",(IF($P39=-1,INDEX('卡片raw data'!T:T,MATCH($D39,'卡片raw data'!$F:$F,)),0)+IF($P39=0,INDEX('卡片raw data'!W:W,MATCH($D39,'卡片raw data'!$F:$F,)),0)+IF($P39=1,INDEX('卡片raw data'!Z:Z,MATCH($D39,'卡片raw data'!$F:$F,)),0)+IF($P39=2,INDEX('卡片raw data'!AC:AC,MATCH($D39,'卡片raw data'!$F:$F,)),0)+IF($P39=3,INDEX('卡片raw data'!AF:AF,MATCH($D39,'卡片raw data'!$F:$F,)),0)+IF($P39=4,INDEX('卡片raw data'!AI:AI,MATCH($D39,'卡片raw data'!$F:$F,)),0)+IF($P39=5,INDEX('卡片raw data'!AL:AL,MATCH($D39,'卡片raw data'!$F:$F,)),0)+INDEX('卡片raw data'!T:T,MATCH($D39,'卡片raw data'!$F:$F,))*(IF($F39="UR",0.04,0.033))*(IF($F39="UR",INDEX(绊状态确认!$S:$S,MATCH($G39,绊状态确认!$B:$B,))/2-40)+IF($F39="SR",INDEX(绊状态确认!$R:$R,MATCH($G39,绊状态确认!$B:$B,))/4-15))+IF($F39="R",INDEX(绊状态确认!$Q:$Q,MATCH($G39,绊状态确认!$B:$B,))/6-40/6)))*(INDEX(绊状态确认!$H:$H,MATCH($G39,绊状态确认!$B:$B,))+INDEX(绊状态确认!K:K,MATCH($G39,绊状态确认!$B:$B,)))</f>
        <v>11676.055439999998</v>
      </c>
      <c r="AN39" s="1106">
        <f>IF($P39="","N/A",(IF($P39=-1,INDEX('卡片raw data'!U:U,MATCH($D39,'卡片raw data'!$F:$F,)),0)+IF($P39=0,INDEX('卡片raw data'!X:X,MATCH($D39,'卡片raw data'!$F:$F,)),0)+IF($P39=1,INDEX('卡片raw data'!AA:AA,MATCH($D39,'卡片raw data'!$F:$F,)),0)+IF($P39=2,INDEX('卡片raw data'!AD:AD,MATCH($D39,'卡片raw data'!$F:$F,)),0)+IF($P39=3,INDEX('卡片raw data'!AG:AG,MATCH($D39,'卡片raw data'!$F:$F,)),0)+IF($P39=4,INDEX('卡片raw data'!AJ:AJ,MATCH($D39,'卡片raw data'!$F:$F,)),0)+IF($P39=5,INDEX('卡片raw data'!AM:AM,MATCH($D39,'卡片raw data'!$F:$F,)),0)+INDEX('卡片raw data'!U:U,MATCH($D39,'卡片raw data'!$F:$F,))*(IF($F39="UR",0.04,0.033))*(IF($F39="UR",INDEX(绊状态确认!$S:$S,MATCH($G39,绊状态确认!$B:$B,))/2-40)+IF($F39="SR",INDEX(绊状态确认!$R:$R,MATCH($G39,绊状态确认!$B:$B,))/4-15))+IF($F39="R",INDEX(绊状态确认!$Q:$Q,MATCH($G39,绊状态确认!$B:$B,))/6-40/6)))*(INDEX(绊状态确认!$H:$H,MATCH($G39,绊状态确认!$B:$B,))+INDEX(绊状态确认!L:L,MATCH($G39,绊状态确认!$B:$B,)))</f>
        <v>9832.5873599999977</v>
      </c>
      <c r="AO39" s="1107">
        <f t="shared" si="21"/>
        <v>1</v>
      </c>
      <c r="AP39" s="1131">
        <f>1+(INDEX(绊状态确认!$T:$T,MATCH($G39,绊状态确认!$B:$B,))+0.2)*$AO39</f>
        <v>1.3</v>
      </c>
      <c r="AQ39" s="1108">
        <f t="shared" si="22"/>
        <v>27448.501599999996</v>
      </c>
      <c r="AR39" s="1097">
        <f>(AM39*(1+$EX$9)+$EX$35)*(1+(INDEX(绊状态确认!$T:$T,MATCH($G39,绊状态确认!$B:$B,))+0.2)*AO39)*IF(J39=$FF$17,1+$FE$17,1)*IF(I39=$FF$14,1+$FE$14,1)*(1+$FE$15)</f>
        <v>18641.815675599999</v>
      </c>
      <c r="AS39" s="1097">
        <f>(AN39*(1+$EX$10)+$EX$36)*(1+(INDEX(绊状态确认!$T:$T,MATCH($G39,绊状态确认!$B:$B,))+0.2)*AO39)*IF(J39=$FF$17,1+$FE$17,1)*IF(I39=$FF$14,1+$FE$14,1)*(1+$FE$15)</f>
        <v>18755.718103199997</v>
      </c>
      <c r="AT39" s="1093">
        <f>IF(AND(INDEX('卡片raw data'!AK:AK,MATCH($D39,'卡片raw data'!$F:$F,))&lt;INDEX('卡片raw data'!AM:AM,MATCH($D39,'卡片raw data'!$F:$F,)),INDEX('卡片raw data'!AL:AL,MATCH($D39,'卡片raw data'!$F:$F,))&lt;INDEX('卡片raw data'!AM:AM,MATCH($D39,'卡片raw data'!$F:$F,))),1,0)</f>
        <v>0</v>
      </c>
      <c r="AU39" s="1098">
        <f>MIN(AT39*0.15+AS39*0.00003+INDEX(绊状态确认!M:M,MATCH($G39,绊状态确认!$B:$B,)),1)</f>
        <v>0.59267154309600001</v>
      </c>
      <c r="AV39" s="1109">
        <f>(INDEX(绊状态确认!$N:$N,MATCH($G39,绊状态确认!$B:$B,))+1.5)*$EW$21</f>
        <v>2.6599999999999997</v>
      </c>
      <c r="AW39" s="1101">
        <f t="shared" si="23"/>
        <v>28280.136493430538</v>
      </c>
      <c r="AX39" s="1097">
        <f t="shared" si="24"/>
        <v>1619.8525987899011</v>
      </c>
      <c r="AY39" s="1110">
        <f t="shared" si="25"/>
        <v>29899.989092220439</v>
      </c>
      <c r="AZ39" s="429">
        <f t="shared" si="26"/>
        <v>20576.029759999998</v>
      </c>
      <c r="BA39" s="431">
        <f t="shared" si="27"/>
        <v>24691.235711999998</v>
      </c>
      <c r="BB39" s="1097">
        <f>(AM39*(1+$FB$9)+$FB$35)*(1+(INDEX(绊状态确认!$T:$T,MATCH($G39,绊状态确认!$B:$B,))+0.2)*AO39)*IF(J39=$FF$17,1+$FE$17,1)*IF(I39=$FF$14,1+$FE$14,1)*(1+$FE$15)</f>
        <v>18641.815675599999</v>
      </c>
      <c r="BC39" s="1097">
        <f>(AN39*(1+$FB$10)+$FB$36)*(1+(INDEX(绊状态确认!$T:$T,MATCH($G39,绊状态确认!$B:$B,))+0.2)*AO39)*IF(J39=$FF$17,1+$FE$17,1)*IF(I39=$FF$14,1+$FE$14,1)*(1+$FE$15)</f>
        <v>18755.718103199997</v>
      </c>
      <c r="BD39" s="1104">
        <f>MIN(AT39*0.15+BC39*0.00003+INDEX(绊状态确认!M:M,MATCH($G39,绊状态确认!$B:$B,)),1)</f>
        <v>0.59267154309600001</v>
      </c>
      <c r="BE39" s="432">
        <f>(INDEX(绊状态确认!$N:$N,MATCH($G39,绊状态确认!$B:$B,))+1.5)</f>
        <v>1.9</v>
      </c>
      <c r="BF39" s="1139">
        <f t="array" ref="BF39">SUMPRODUCT(IF(AZ39*AP39*$FI$16:$FI$23*$FA$22&gt;=$FI$24,$FI$24,AZ39*AP39*$FI$16:$FI$23*$FA$22),$FJ$16:$FJ$23)</f>
        <v>40925.723192639991</v>
      </c>
      <c r="BG39" s="1125">
        <f t="array" ref="BG39">SUMPRODUCT(IF(BE39*AZ39*AP39*$FI$16:$FI$23*$FA$22&gt;=$FI$24,$FI$24,BE39*AZ39*AP39*$FI$16:$FI$23*$FA$22),$FJ$16:$FJ$23)</f>
        <v>60000</v>
      </c>
      <c r="BH39" s="1110">
        <f t="shared" si="28"/>
        <v>17410.168087166097</v>
      </c>
      <c r="BI39" s="1111">
        <f>IF(O39="vo",$EW$26/$EW$24*0.05,0)+IF(O39="sk",-$EW$26/$EW$24*(0.05-INDEX(绊状态确认!W:W,MATCH($G39,绊状态确认!$B:$B,)))+0.05*$EW$28,0)+IF(O39="sp",0.05*$EW$32*$EW$30*(1-$EW$33)-(0.05-INDEX(绊状态确认!V:V,MATCH($G39,绊状态确认!$B:$B,)))*$EW$28,0)+IF(O39="gd",-(0.05-INDEX(绊状态确认!X:X,MATCH($G39,绊状态确认!$B:$B,)))*$EW$32*$EW$30*(1-$EW$33),0)</f>
        <v>7726.3029277443748</v>
      </c>
      <c r="BJ39" s="1097">
        <f>IF(O39="vo",0.05*(1-$FI$26)*$FA$24,0)+IF(O39="sk",-(0.05-INDEX(绊状态确认!W:W,MATCH($G39,绊状态确认!$B:$B,)))*(1-$FI$26)*$FA$24+0.05*$FA$26,0)+IF(O39="sp",0.05*$FA$32*$FA$27*(1-$FA$33)/$FA$30+0.05*$FA$29/$FA$69*$FA$27*(1-$FA$33)-(0.05-INDEX(绊状态确认!V:V,MATCH($G39,绊状态确认!$B:$B,)))*$FA$26,0)+IF(O39="gd",-(0.05-INDEX(绊状态确认!X:X,MATCH($G39,绊状态确认!$B:$B,)))*$FA$32*$FA$27*(1-$FA$33)/$FA$30-(0.05-INDEX(绊状态确认!X:X,MATCH($G39,绊状态确认!$B:$B,)))*$FA$29/$FA$69*$FA$27*(1-$FA$33),0)</f>
        <v>393.93433687500004</v>
      </c>
      <c r="BK39" s="1110">
        <f>IF(O39="vo",$EW$26/$EW$24*0.05+$EW$26*(-HP($EW$62,$EW$65,$EW$64)+HP($EW$62,$EW$65,(1.05-INDEX(绊状态确认!U:U,MATCH($G39,绊状态确认!$B:$B,)))*$EW$64)),0)+IF(O39="sk",-$EW$26/$EW$24*(0.05-INDEX(绊状态确认!W:W,MATCH($G39,绊状态确认!$B:$B,)))+0.05*$EW$29,0)+IF(O39="sp",0.05*$EW$32*$EW$30*(1-$EW$33)-(0.05-INDEX(绊状态确认!V:V,MATCH($G39,绊状态确认!$B:$B,)))*$EW$29,0)+IF(O39="gd",-(0.05-INDEX(绊状态确认!X:X,MATCH($G39,绊状态确认!$B:$B,)))*$EW$32*$EW$30*(1-$EW$33)+$EW$26*(-HP($EW$62,$EW$65,$EW$64)+HP($EW$62,$EW$65,0.95*$EW$64)),0)</f>
        <v>6421.6344775026746</v>
      </c>
      <c r="BL39" s="1111">
        <f t="shared" si="29"/>
        <v>0</v>
      </c>
      <c r="BM39" s="1110">
        <f t="shared" si="30"/>
        <v>0</v>
      </c>
      <c r="BN39" s="1113">
        <f t="shared" si="31"/>
        <v>3</v>
      </c>
      <c r="BO39" s="1097">
        <f t="shared" si="32"/>
        <v>4507.7214871259994</v>
      </c>
      <c r="BP39" s="1100">
        <f t="shared" si="33"/>
        <v>221.34103209030098</v>
      </c>
      <c r="BQ39" s="1113" t="s">
        <v>143</v>
      </c>
      <c r="BR39" s="1124" t="s">
        <v>146</v>
      </c>
      <c r="BS39" s="1098">
        <f>IF($P39="","N/A",IF($P39=-1,INDEX('卡片raw data'!AX:AX,MATCH($D39,'卡片raw data'!$F:$F,)),0)+IF($L39="party卡",IF($P39=5,INDEX('卡片raw data'!BD:BD,MATCH($D39,'卡片raw data'!$F:$F,)),IF($P39&gt;=3,INDEX('卡片raw data'!BC:BC,MATCH($D39,'卡片raw data'!$F:$F,)),INDEX('卡片raw data'!BB:BB,MATCH($D39,'卡片raw data'!$F:$F,)))),IF(OR(AND($F39="UR",$P39=0),AND($F39="SR",$P39&gt;=0,$P39&lt;=2),AND($F39="R",$P39&gt;=0,$P39&lt;4)),INDEX('卡片raw data'!AZ:AZ,MATCH($D39,'卡片raw data'!$F:$F,)),0)+IF(OR(AND($F39="UR",$P39&gt;=1,$P39&lt;=4),AND($F39="SR",$P39&lt;=4,$P39&gt;=3),AND($F39="R",$P39=4)),INDEX('卡片raw data'!BA:BA,MATCH($D39,'卡片raw data'!$F:$F,)),0)+IF($P39=5,INDEX('卡片raw data'!BB:BB,MATCH($D39,'卡片raw data'!$F:$F,)),0)))</f>
        <v>7.0000000000000007E-2</v>
      </c>
      <c r="BT39" s="1101">
        <f t="shared" si="34"/>
        <v>5259.008401647</v>
      </c>
      <c r="BU39" s="1097">
        <f t="shared" si="35"/>
        <v>258.2312041053512</v>
      </c>
      <c r="BV39" s="1097">
        <f t="shared" si="36"/>
        <v>0</v>
      </c>
      <c r="BW39" s="1112">
        <f t="shared" si="37"/>
        <v>0</v>
      </c>
      <c r="BX39" s="1100">
        <f t="shared" si="38"/>
        <v>5259.008401647</v>
      </c>
      <c r="BY39" s="1110">
        <f t="shared" si="39"/>
        <v>0</v>
      </c>
      <c r="BZ39" s="1107" t="s">
        <v>569</v>
      </c>
      <c r="CA39" s="1124"/>
      <c r="CB39" s="1098">
        <f>IF($P39="","N/A",IF($P39=-1,INDEX('卡片raw data'!BE:BE,MATCH($D39,'卡片raw data'!$F:$F,)),0)+IF($L39="party卡",IF($P39=5,INDEX('卡片raw data'!BK:BK,MATCH($D39,'卡片raw data'!$F:$F,)),IF($P39&gt;=3,INDEX('卡片raw data'!BJ:BJ,MATCH($D39,'卡片raw data'!$F:$F,)),INDEX('卡片raw data'!BI:BI,MATCH($D39,'卡片raw data'!$F:$F,)))),IF(OR(AND($F39="UR",$P39=0),AND($F39="SR",$P39&gt;=0,$P39&lt;=2),AND($F39="R",$P39&gt;=0,$P39&lt;4)),INDEX('卡片raw data'!BG:BG,MATCH($D39,'卡片raw data'!$F:$F,)),0)+IF(OR(AND($F39="UR",$P39&gt;=1,$P39&lt;=4),AND($F39="SR",$P39&lt;=4,$P39&gt;=3),AND($F39="R",$P39=4)),INDEX('卡片raw data'!BH:BH,MATCH($D39,'卡片raw data'!$F:$F,)),0)+IF($P39=5,INDEX('卡片raw data'!BI:BI,MATCH($D39,'卡片raw data'!$F:$F,)),0)))</f>
        <v>0</v>
      </c>
      <c r="CC39" s="1101">
        <f t="shared" si="40"/>
        <v>0</v>
      </c>
      <c r="CD39" s="1097">
        <f>IF(BZ39="ap",CB39*(1-$FI$26)*$FB$5/$FB$11*(+IF(CA39="全员",$FA$24,0)+IF(CA39="同作战",$FA$24,0)+IF(CA39="仲间",$FA$24*2/3,0)+IF(CA39="同属性",$FA$24*$FA$37/3,0)+IF(CA39="同年级",$FA$24*$FA$40/3,0)+IF(CA39="同学校",$FA$24*$FA$43/3,0)+IF(CA39="同小队",$FA$24*$FA$46/3,0)+IF(CA39="同type",$FA$24*INDEX($FB$49:$FB$52,MATCH(X39,$FA$49:$FA$52,))/3,0)+IF(CA39="自身",#REF!/3,0)),0)+IF(BZ39="te",CB39*(1-$FI$27)*($FA$20-1)*$FB$7/$FB$13*(+IF(CA39="全员",$FA$19*$FA$24/(1+($FA$20-1)*$FA$19),0)+IF(CA39="同作战",$FA$19*$FA$24/(1+($FA$20-1)*$FA$19),0)+IF(CA39="仲间",$FA$19*$FA$24*2/3/(1+($FA$20-1)*$FA$19),0)+IF(CA39="同属性",$FA$19*$FA$24*$FA$37/3/(1+($FA$20-1)*$FA$19),0)+IF(CA39="同年级",$FA$19*$FA$24*$FA$40/3/(1+($FA$20-1)*$FA$19),0)+IF(CA39="同学校",$FA$19*$FA$24*$FA$43/3/(1+($FA$20-1)*$FA$19),0)+IF(CA39="同小队",$FA$19*$FA$24*$FA$46/3/(1+($FA$20-1)*$FA$19),0)+IF(CA39="同type",$FA$19*$FA$24*INDEX($FB$49:$FB$52,MATCH(X39,$FA$49:$FA$52,))/3/(1+($FA$20-1)*$FA$19),0)+IF(CA39="自身",$FA$19*#REF!/3/(1+(BH39-1)*$BD39),0)),0)</f>
        <v>0</v>
      </c>
      <c r="CE39" s="1097">
        <f t="shared" si="41"/>
        <v>0</v>
      </c>
      <c r="CF39" s="1112">
        <f t="shared" si="42"/>
        <v>0</v>
      </c>
      <c r="CG39" s="1100">
        <f t="shared" si="43"/>
        <v>0</v>
      </c>
      <c r="CH39" s="1110">
        <f t="shared" si="44"/>
        <v>0</v>
      </c>
      <c r="CI39" s="1113" t="s">
        <v>162</v>
      </c>
      <c r="CJ39" s="1114">
        <v>0.3</v>
      </c>
      <c r="CK39" s="1115" t="s">
        <v>153</v>
      </c>
      <c r="CL39" s="1115" t="s">
        <v>161</v>
      </c>
      <c r="CM39" s="1119">
        <v>0.05</v>
      </c>
      <c r="CN39" s="1115" t="s">
        <v>163</v>
      </c>
      <c r="CO39" s="1092">
        <v>1</v>
      </c>
      <c r="CP39" s="1118">
        <f t="shared" si="45"/>
        <v>2.8151292857142858E-2</v>
      </c>
      <c r="CQ39" s="1118">
        <f t="shared" si="46"/>
        <v>2.8151292857142858E-2</v>
      </c>
      <c r="CR39" s="1118">
        <f t="shared" si="47"/>
        <v>2.8151292857142858E-2</v>
      </c>
      <c r="CS39" s="1118">
        <f t="shared" si="48"/>
        <v>0</v>
      </c>
      <c r="CT39" s="1109">
        <f t="shared" si="49"/>
        <v>0</v>
      </c>
      <c r="CU39" s="1101">
        <f t="shared" si="50"/>
        <v>3828.0953290260063</v>
      </c>
      <c r="CV39" s="1108">
        <f t="shared" si="51"/>
        <v>184.82934806420829</v>
      </c>
      <c r="CW39" s="1097">
        <f t="shared" si="52"/>
        <v>3828.0953290260063</v>
      </c>
      <c r="CX39" s="1097">
        <f t="shared" si="53"/>
        <v>3828.0953290260063</v>
      </c>
      <c r="CY39" s="1110">
        <f t="shared" si="54"/>
        <v>3828.0953290260063</v>
      </c>
      <c r="CZ39" s="437"/>
      <c r="DA39" s="438"/>
      <c r="DB39" s="439" t="s">
        <v>569</v>
      </c>
      <c r="DC39" s="439"/>
      <c r="DD39" s="443"/>
      <c r="DE39" s="411"/>
      <c r="DF39" s="411"/>
      <c r="DG39" s="1116">
        <f t="shared" si="55"/>
        <v>0</v>
      </c>
      <c r="DH39" s="1116">
        <f t="shared" si="56"/>
        <v>0</v>
      </c>
      <c r="DI39" s="1116">
        <f t="shared" si="57"/>
        <v>0</v>
      </c>
      <c r="DJ39" s="442">
        <f t="shared" si="58"/>
        <v>0</v>
      </c>
      <c r="DK39" s="1109">
        <f t="shared" si="59"/>
        <v>0</v>
      </c>
      <c r="DL39" s="1101">
        <f t="shared" si="60"/>
        <v>0</v>
      </c>
      <c r="DM39" s="1097">
        <f t="shared" si="61"/>
        <v>0</v>
      </c>
      <c r="DN39" s="1097">
        <f t="shared" si="62"/>
        <v>0</v>
      </c>
      <c r="DO39" s="1097">
        <f t="shared" si="63"/>
        <v>0</v>
      </c>
      <c r="DP39" s="1110">
        <f t="shared" si="64"/>
        <v>0</v>
      </c>
      <c r="DQ39" s="1113" t="s">
        <v>152</v>
      </c>
      <c r="DR39" s="1120">
        <f t="shared" si="65"/>
        <v>0.33</v>
      </c>
      <c r="DS39" s="1124"/>
      <c r="DT39" s="1093" t="s">
        <v>132</v>
      </c>
      <c r="DU39" s="1093"/>
      <c r="DV39" s="1098">
        <f>IF($P39="","N/A",IF(P39=-1,INDEX('卡片raw data'!AN:AN,MATCH(D39,'卡片raw data'!$F:$F,)),0)+IF(AND(L39&lt;&gt;"party卡",P39&lt;=2,P39&gt;=0),INDEX('卡片raw data'!AP:AP,MATCH(D39,'卡片raw data'!$F:$F,)),0)+IF(OR(AND(L39="party卡",P39&lt;=1),AND(P39&lt;=4,L39&lt;&gt;"party卡",P39&gt;=3)),INDEX('卡片raw data'!AQ:AQ,MATCH(D39,'卡片raw data'!$F:$F,)),0)+IF(OR(P39=5,AND(L39="party卡",P39&gt;=2)),INDEX('卡片raw data'!AR:AR,MATCH(D39,'卡片raw data'!$F:$F,)),0))</f>
        <v>0.37</v>
      </c>
      <c r="DW39" s="1098">
        <f t="shared" si="66"/>
        <v>0.33</v>
      </c>
      <c r="DX39" s="1098">
        <f t="shared" si="67"/>
        <v>0.33</v>
      </c>
      <c r="DY39" s="1125">
        <f t="shared" si="68"/>
        <v>1452.3002196560001</v>
      </c>
      <c r="DZ39" s="1125">
        <f t="shared" si="69"/>
        <v>1130.0474885164608</v>
      </c>
      <c r="EA39" s="1098">
        <f t="shared" si="70"/>
        <v>0</v>
      </c>
      <c r="EB39" s="1121">
        <f t="shared" si="71"/>
        <v>0</v>
      </c>
      <c r="EC39" s="1101">
        <f t="shared" si="72"/>
        <v>1597.5302416216002</v>
      </c>
      <c r="ED39" s="1097">
        <f t="shared" si="73"/>
        <v>1130.0474885164608</v>
      </c>
      <c r="EE39" s="1110">
        <f t="shared" si="74"/>
        <v>1597.5302416216002</v>
      </c>
      <c r="EF39" s="1092" t="s">
        <v>711</v>
      </c>
      <c r="EG39" s="1120">
        <f t="shared" si="75"/>
        <v>0.33</v>
      </c>
      <c r="EH39" s="1124"/>
      <c r="EI39" s="1093"/>
      <c r="EJ39" s="1093"/>
      <c r="EK39" s="1097">
        <f>IF($P39="","N/A",IF(P39=-1,INDEX('卡片raw data'!AS:AS,MATCH(D39,'卡片raw data'!$F:$F,)),0)+IF(AND(L39&lt;&gt;"party卡",P39&lt;=2,P39&gt;=0),INDEX('卡片raw data'!AU:AU,MATCH(D39,'卡片raw data'!$F:$F,)),0)+IF(OR(AND(L39="party卡",P39&lt;=1),AND(P39&lt;=4,L39&lt;&gt;"party卡",P39&gt;=3)),INDEX('卡片raw data'!AV:AV,MATCH(D39,'卡片raw data'!$F:$F,)),0)+IF(OR(P39=5,AND(L39="party卡",P39&gt;=2)),INDEX('卡片raw data'!AW:AW,MATCH(D39,'卡片raw data'!$F:$F,)),0))</f>
        <v>0</v>
      </c>
      <c r="EL39" s="1098">
        <f t="shared" si="76"/>
        <v>0.33</v>
      </c>
      <c r="EM39" s="1098">
        <f t="shared" si="77"/>
        <v>0.33</v>
      </c>
      <c r="EN39" s="1125">
        <f t="shared" si="78"/>
        <v>0</v>
      </c>
      <c r="EO39" s="1125">
        <f t="shared" si="79"/>
        <v>0</v>
      </c>
      <c r="EP39" s="1098">
        <f t="shared" si="80"/>
        <v>0</v>
      </c>
      <c r="EQ39" s="1121">
        <f t="shared" si="81"/>
        <v>0</v>
      </c>
      <c r="ER39" s="1101">
        <f t="shared" si="82"/>
        <v>0</v>
      </c>
      <c r="ES39" s="1097">
        <f t="shared" si="83"/>
        <v>0</v>
      </c>
      <c r="ET39" s="1122">
        <f t="shared" si="84"/>
        <v>0</v>
      </c>
      <c r="EV39" s="1229" t="s">
        <v>246</v>
      </c>
      <c r="EW39" s="1391">
        <v>4</v>
      </c>
      <c r="EX39" s="1392"/>
      <c r="EY39" s="1212"/>
      <c r="EZ39" s="1229" t="s">
        <v>246</v>
      </c>
      <c r="FA39" s="1391">
        <v>4</v>
      </c>
      <c r="FB39" s="1392"/>
      <c r="FC39" s="447"/>
      <c r="FD39" s="447"/>
      <c r="FE39" s="447"/>
      <c r="FF39" s="642"/>
      <c r="FG39" s="642"/>
      <c r="FH39" s="642"/>
      <c r="FI39" s="642"/>
      <c r="FJ39" s="447"/>
    </row>
    <row r="40" spans="2:166" ht="16.5" customHeight="1">
      <c r="B40" s="1123" t="str">
        <f>INDEX('卡片raw data'!B:B,MATCH($D40,'卡片raw data'!$F:$F,))</f>
        <v>校服千</v>
      </c>
      <c r="C40" s="449" t="s">
        <v>124</v>
      </c>
      <c r="D40" s="408">
        <v>37</v>
      </c>
      <c r="E40" s="1090">
        <v>101011001</v>
      </c>
      <c r="F40" s="1090" t="str">
        <f>INDEX('卡片raw data'!C:C,MATCH($D40,'卡片raw data'!$F:$F,))</f>
        <v>R</v>
      </c>
      <c r="G40" s="1094" t="s">
        <v>339</v>
      </c>
      <c r="H40" s="411">
        <f>IFERROR(INDEX(绊状态确认!C:C,MATCH($G40,绊状态确认!$B:$B,)),"")</f>
        <v>101</v>
      </c>
      <c r="I40" s="450" t="str">
        <f>IFERROR(INDEX(绊状态确认!D:D,MATCH($G40,绊状态确认!$B:$B,)),"")</f>
        <v>水</v>
      </c>
      <c r="J40" s="450" t="str">
        <f>IFERROR(INDEX(绊状态确认!E:E,MATCH($G40,绊状态确认!$B:$B,)),"")</f>
        <v>2年级</v>
      </c>
      <c r="K40" s="451" t="str">
        <f>IFERROR(INDEX(绊状态确认!F:F,MATCH($G40,绊状态确认!$B:$B,)),"")</f>
        <v>CYaRon!</v>
      </c>
      <c r="L40" s="1094" t="str">
        <f>INDEX('卡片raw data'!E:E,MATCH($D40,'卡片raw data'!$F:$F,))</f>
        <v>卡池卡</v>
      </c>
      <c r="M40" s="415">
        <v>43735</v>
      </c>
      <c r="N40" s="416">
        <v>0</v>
      </c>
      <c r="O40" s="1091" t="str">
        <f>INDEX('卡片raw data'!D:D,MATCH($D40,'卡片raw data'!$F:$F,))</f>
        <v>sp</v>
      </c>
      <c r="P40" s="417">
        <v>5</v>
      </c>
      <c r="Q40" s="1095">
        <f t="shared" si="0"/>
        <v>12324.868998347887</v>
      </c>
      <c r="R40" s="1096">
        <f t="shared" si="1"/>
        <v>0.14299999999999999</v>
      </c>
      <c r="S40" s="1097">
        <f t="shared" si="2"/>
        <v>7411.8066324931206</v>
      </c>
      <c r="T40" s="1098">
        <f t="shared" si="3"/>
        <v>0.37</v>
      </c>
      <c r="U40" s="1099">
        <f t="shared" si="4"/>
        <v>9.0398394171428578</v>
      </c>
      <c r="V40" s="1100">
        <f t="shared" si="5"/>
        <v>11241.678667583754</v>
      </c>
      <c r="W40" s="1101">
        <f t="shared" si="6"/>
        <v>3556.0913953994</v>
      </c>
      <c r="X40" s="1096">
        <f t="shared" si="7"/>
        <v>4.1000000000000002E-2</v>
      </c>
      <c r="Y40" s="1097">
        <f t="shared" si="8"/>
        <v>716.80966923586902</v>
      </c>
      <c r="Z40" s="1102">
        <f t="shared" si="9"/>
        <v>9.0398394171428578</v>
      </c>
      <c r="AA40" s="1103">
        <f t="shared" si="10"/>
        <v>4272.901064635269</v>
      </c>
      <c r="AB40" s="1101">
        <f t="shared" si="11"/>
        <v>4107.0351327148001</v>
      </c>
      <c r="AC40" s="1104">
        <f t="shared" si="12"/>
        <v>4.7E-2</v>
      </c>
      <c r="AD40" s="1105">
        <f t="shared" si="13"/>
        <v>-1.9908281250000003E-2</v>
      </c>
      <c r="AE40" s="1128">
        <f t="shared" si="14"/>
        <v>-11.768115942028986</v>
      </c>
      <c r="AF40" s="1130">
        <f t="shared" si="15"/>
        <v>0</v>
      </c>
      <c r="AG40" s="420">
        <f t="shared" si="16"/>
        <v>0</v>
      </c>
      <c r="AH40" s="420">
        <f t="shared" si="17"/>
        <v>0</v>
      </c>
      <c r="AI40" s="1097">
        <f t="shared" si="18"/>
        <v>0</v>
      </c>
      <c r="AJ40" s="420">
        <f t="shared" si="19"/>
        <v>0</v>
      </c>
      <c r="AK40" s="518">
        <f t="shared" si="20"/>
        <v>0</v>
      </c>
      <c r="AL40" s="1106">
        <f>IF($P40="","N/A",(IF($P40=-1,INDEX('卡片raw data'!S:S,MATCH($D40,'卡片raw data'!$F:$F,)),0)+IF($P40=0,INDEX('卡片raw data'!V:V,MATCH($D40,'卡片raw data'!$F:$F,)),0)+IF($P40=1,INDEX('卡片raw data'!Y:Y,MATCH($D40,'卡片raw data'!$F:$F,)),0)+IF($P40=2,INDEX('卡片raw data'!AB:AB,MATCH($D40,'卡片raw data'!$F:$F,)),0)+IF($P40=3,INDEX('卡片raw data'!AE:AE,MATCH($D40,'卡片raw data'!$F:$F,)),0)+IF($P40=4,INDEX('卡片raw data'!AH:AH,MATCH($D40,'卡片raw data'!$F:$F,)),0)+IF($P40=5,INDEX('卡片raw data'!AK:AK,MATCH($D40,'卡片raw data'!$F:$F,)),0)+INDEX('卡片raw data'!S:S,MATCH($D40,'卡片raw data'!$F:$F,))*(IF($F40="UR",0.04,0.033))*(IF($F40="UR",INDEX(绊状态确认!$S:$S,MATCH($G40,绊状态确认!$B:$B,))/2-40)+IF($F40="SR",INDEX(绊状态确认!$R:$R,MATCH($G40,绊状态确认!$B:$B,))/4-15))+IF($F40="R",INDEX(绊状态确认!$Q:$Q,MATCH($G40,绊状态确认!$B:$B,))/6-40/6)))*(INDEX(绊状态确认!$H:$H,MATCH($G40,绊状态确认!$B:$B,))+INDEX(绊状态确认!J:J,MATCH($G40,绊状态确认!$B:$B,)))</f>
        <v>3601.2515999999996</v>
      </c>
      <c r="AM40" s="1106">
        <f>IF($P40="","N/A",(IF($P40=-1,INDEX('卡片raw data'!T:T,MATCH($D40,'卡片raw data'!$F:$F,)),0)+IF($P40=0,INDEX('卡片raw data'!W:W,MATCH($D40,'卡片raw data'!$F:$F,)),0)+IF($P40=1,INDEX('卡片raw data'!Z:Z,MATCH($D40,'卡片raw data'!$F:$F,)),0)+IF($P40=2,INDEX('卡片raw data'!AC:AC,MATCH($D40,'卡片raw data'!$F:$F,)),0)+IF($P40=3,INDEX('卡片raw data'!AF:AF,MATCH($D40,'卡片raw data'!$F:$F,)),0)+IF($P40=4,INDEX('卡片raw data'!AI:AI,MATCH($D40,'卡片raw data'!$F:$F,)),0)+IF($P40=5,INDEX('卡片raw data'!AL:AL,MATCH($D40,'卡片raw data'!$F:$F,)),0)+INDEX('卡片raw data'!T:T,MATCH($D40,'卡片raw data'!$F:$F,))*(IF($F40="UR",0.04,0.033))*(IF($F40="UR",INDEX(绊状态确认!$S:$S,MATCH($G40,绊状态确认!$B:$B,))/2-40)+IF($F40="SR",INDEX(绊状态确认!$R:$R,MATCH($G40,绊状态确认!$B:$B,))/4-15))+IF($F40="R",INDEX(绊状态确认!$Q:$Q,MATCH($G40,绊状态确认!$B:$B,))/6-40/6)))*(INDEX(绊状态确认!$H:$H,MATCH($G40,绊状态确认!$B:$B,))+INDEX(绊状态确认!K:K,MATCH($G40,绊状态确认!$B:$B,)))</f>
        <v>4200.1343999999999</v>
      </c>
      <c r="AN40" s="1106">
        <f>IF($P40="","N/A",(IF($P40=-1,INDEX('卡片raw data'!U:U,MATCH($D40,'卡片raw data'!$F:$F,)),0)+IF($P40=0,INDEX('卡片raw data'!X:X,MATCH($D40,'卡片raw data'!$F:$F,)),0)+IF($P40=1,INDEX('卡片raw data'!AA:AA,MATCH($D40,'卡片raw data'!$F:$F,)),0)+IF($P40=2,INDEX('卡片raw data'!AD:AD,MATCH($D40,'卡片raw data'!$F:$F,)),0)+IF($P40=3,INDEX('卡片raw data'!AG:AG,MATCH($D40,'卡片raw data'!$F:$F,)),0)+IF($P40=4,INDEX('卡片raw data'!AJ:AJ,MATCH($D40,'卡片raw data'!$F:$F,)),0)+IF($P40=5,INDEX('卡片raw data'!AM:AM,MATCH($D40,'卡片raw data'!$F:$F,)),0)+INDEX('卡片raw data'!U:U,MATCH($D40,'卡片raw data'!$F:$F,))*(IF($F40="UR",0.04,0.033))*(IF($F40="UR",INDEX(绊状态确认!$S:$S,MATCH($G40,绊状态确认!$B:$B,))/2-40)+IF($F40="SR",INDEX(绊状态确认!$R:$R,MATCH($G40,绊状态确认!$B:$B,))/4-15))+IF($F40="R",INDEX(绊状态确认!$Q:$Q,MATCH($G40,绊状态确认!$B:$B,))/6-40/6)))*(INDEX(绊状态确认!$H:$H,MATCH($G40,绊状态确认!$B:$B,))+INDEX(绊状态确认!L:L,MATCH($G40,绊状态确认!$B:$B,)))</f>
        <v>4200.1343999999999</v>
      </c>
      <c r="AO40" s="1107">
        <f t="shared" si="21"/>
        <v>1</v>
      </c>
      <c r="AP40" s="1131">
        <f>1+(INDEX(绊状态确认!$T:$T,MATCH($G40,绊状态确认!$B:$B,))+0.2)*$AO40</f>
        <v>1.3</v>
      </c>
      <c r="AQ40" s="1108">
        <f t="shared" si="22"/>
        <v>12703.285449999999</v>
      </c>
      <c r="AR40" s="1097">
        <f>(AM40*(1+$EX$9)+$EX$35)*(1+(INDEX(绊状态确认!$T:$T,MATCH($G40,绊状态确认!$B:$B,))+0.2)*AO40)*IF(J40=$FF$17,1+$FE$17,1)*IF(I40=$FF$14,1+$FE$14,1)</f>
        <v>8437.1834560000007</v>
      </c>
      <c r="AS40" s="1097">
        <f>(AN40*(1+$EX$10)+$EX$36)*(1+(INDEX(绊状态确认!$T:$T,MATCH($G40,绊状态确认!$B:$B,))+0.2)*AO40)*IF(J40=$FF$17,1+$FE$17,1)*IF(I40=$FF$14,1+$FE$14,1)</f>
        <v>10335.200928</v>
      </c>
      <c r="AT40" s="1093">
        <f>IF(AND(INDEX('卡片raw data'!AK:AK,MATCH($D40,'卡片raw data'!$F:$F,))&lt;INDEX('卡片raw data'!AM:AM,MATCH($D40,'卡片raw data'!$F:$F,)),INDEX('卡片raw data'!AL:AL,MATCH($D40,'卡片raw data'!$F:$F,))&lt;INDEX('卡片raw data'!AM:AM,MATCH($D40,'卡片raw data'!$F:$F,))),1,0)</f>
        <v>0</v>
      </c>
      <c r="AU40" s="1098">
        <f>MIN(AT40*0.15+AS40*0.00003+INDEX(绊状态确认!M:M,MATCH($G40,绊状态确认!$B:$B,)),1)</f>
        <v>0.34005602784000005</v>
      </c>
      <c r="AV40" s="1109">
        <f>(INDEX(绊状态确认!$N:$N,MATCH($G40,绊状态确认!$B:$B,))+1.5)*$EW$21</f>
        <v>2.6599999999999997</v>
      </c>
      <c r="AW40" s="1101">
        <f t="shared" si="23"/>
        <v>10321.600532299753</v>
      </c>
      <c r="AX40" s="1097">
        <f t="shared" si="24"/>
        <v>716.8096692358688</v>
      </c>
      <c r="AY40" s="1110">
        <f t="shared" si="25"/>
        <v>11038.410201535622</v>
      </c>
      <c r="AZ40" s="429">
        <f t="shared" si="26"/>
        <v>9622.4406199999994</v>
      </c>
      <c r="BA40" s="431">
        <f t="shared" si="27"/>
        <v>11546.928743999999</v>
      </c>
      <c r="BB40" s="1097">
        <f>(AM40*(1+$FB$9)+$FB$35)*(1+(INDEX(绊状态确认!$T:$T,MATCH($G40,绊状态确认!$B:$B,))+0.2)*AO40)*IF(J40=$FF$17,1+$FE$17,1)*IF(I40=$FF$14,1+$FE$14,1)*(1+$FE$15)</f>
        <v>8437.1834560000007</v>
      </c>
      <c r="BC40" s="1097">
        <f>(AN40*(1+$FB$10)+$FB$36)*(1+(INDEX(绊状态确认!$T:$T,MATCH($G40,绊状态确认!$B:$B,))+0.2)*AO40)*IF(J40=$FF$17,1+$FE$17,1)*IF(I40=$FF$14,1+$FE$14,1)*(1+$FE$15)</f>
        <v>10335.200928</v>
      </c>
      <c r="BD40" s="1104">
        <f>MIN(AT40*0.15+BC40*0.00003+INDEX(绊状态确认!M:M,MATCH($G40,绊状态确认!$B:$B,)),1)</f>
        <v>0.34005602784000005</v>
      </c>
      <c r="BE40" s="432">
        <f>(INDEX(绊状态确认!$N:$N,MATCH($G40,绊状态确认!$B:$B,))+1.5)</f>
        <v>1.9</v>
      </c>
      <c r="BF40" s="1139">
        <f t="array" ref="BF40">SUMPRODUCT(IF(AZ40*AP40*$FI$16:$FI$23*$FA$22&gt;=$FI$24,$FI$24,AZ40*AP40*$FI$16:$FI$23*$FA$22),$FJ$16:$FJ$23)</f>
        <v>19139.034393180002</v>
      </c>
      <c r="BG40" s="1125">
        <f t="array" ref="BG40">SUMPRODUCT(IF(BE40*AZ40*AP40*$FI$16:$FI$23*$FA$22&gt;=$FI$24,$FI$24,BE40*AZ40*AP40*$FI$16:$FI$23*$FA$22),$FJ$16:$FJ$23)</f>
        <v>36364.165347041999</v>
      </c>
      <c r="BH40" s="1110">
        <f t="shared" si="28"/>
        <v>8332.1813347913831</v>
      </c>
      <c r="BI40" s="1111">
        <f>IF(O40="vo",$EW$26/$EW$24*0.05,0)+IF(O40="sk",-$EW$26/$EW$24*(0.05-INDEX(绊状态确认!W:W,MATCH($G40,绊状态确认!$B:$B,)))+0.05*$EW$28,0)+IF(O40="sp",0.05*$EW$32*$EW$30*(1-$EW$33)-(0.05-INDEX(绊状态确认!V:V,MATCH($G40,绊状态确认!$B:$B,)))*$EW$28,0)+IF(O40="gd",-(0.05-INDEX(绊状态确认!X:X,MATCH($G40,绊状态确认!$B:$B,)))*$EW$32*$EW$30*(1-$EW$33),0)</f>
        <v>19.999999999999886</v>
      </c>
      <c r="BJ40" s="1097">
        <f>IF(O40="vo",0.05*(1-$FI$26)*$FA$24,0)+IF(O40="sk",-(0.05-INDEX(绊状态确认!W:W,MATCH($G40,绊状态确认!$B:$B,)))*(1-$FI$26)*$FA$24+0.05*$FA$26,0)+IF(O40="sp",0.05*$FA$32*$FA$27*(1-$FA$33)/$FA$30+0.05*$FA$29/$FA$69*$FA$27*(1-$FA$33)-(0.05-INDEX(绊状态确认!V:V,MATCH($G40,绊状态确认!$B:$B,)))*$FA$26,0)+IF(O40="gd",-(0.05-INDEX(绊状态确认!X:X,MATCH($G40,绊状态确认!$B:$B,)))*$FA$32*$FA$27*(1-$FA$33)/$FA$30-(0.05-INDEX(绊状态确认!X:X,MATCH($G40,绊状态确认!$B:$B,)))*$FA$29/$FA$69*$FA$27*(1-$FA$33),0)</f>
        <v>545.83333333333326</v>
      </c>
      <c r="BK40" s="1110">
        <f>IF(O40="vo",$EW$26/$EW$24*0.05+$EW$26*(-HP($EW$62,$EW$65,$EW$64)+HP($EW$62,$EW$65,(1.05-INDEX(绊状态确认!U:U,MATCH($G40,绊状态确认!$B:$B,)))*$EW$64)),0)+IF(O40="sk",-$EW$26/$EW$24*(0.05-INDEX(绊状态确认!W:W,MATCH($G40,绊状态确认!$B:$B,)))+0.05*$EW$29,0)+IF(O40="sp",0.05*$EW$32*$EW$30*(1-$EW$33)-(0.05-INDEX(绊状态确认!V:V,MATCH($G40,绊状态确认!$B:$B,)))*$EW$29,0)+IF(O40="gd",-(0.05-INDEX(绊状态确认!X:X,MATCH($G40,绊状态确认!$B:$B,)))*$EW$32*$EW$30*(1-$EW$33)+$EW$26*(-HP($EW$62,$EW$65,$EW$64)+HP($EW$62,$EW$65,0.95*$EW$64)),0)</f>
        <v>-1780.0000000000005</v>
      </c>
      <c r="BL40" s="1111">
        <f t="shared" si="29"/>
        <v>-2166.6666666666665</v>
      </c>
      <c r="BM40" s="1110">
        <f t="shared" si="30"/>
        <v>-1661.1111111111109</v>
      </c>
      <c r="BN40" s="1113">
        <f t="shared" si="31"/>
        <v>2</v>
      </c>
      <c r="BO40" s="1097">
        <f t="shared" si="32"/>
        <v>3005.1476580839999</v>
      </c>
      <c r="BP40" s="1100">
        <f t="shared" si="33"/>
        <v>147.56068806020068</v>
      </c>
      <c r="BQ40" s="1113" t="s">
        <v>619</v>
      </c>
      <c r="BR40" s="1124" t="s">
        <v>171</v>
      </c>
      <c r="BS40" s="1098">
        <f>IF($P40="","N/A",IF($P40=-1,INDEX('卡片raw data'!AX:AX,MATCH($D40,'卡片raw data'!$F:$F,)),0)+IF($L40="party卡",IF($P40=5,INDEX('卡片raw data'!BD:BD,MATCH($D40,'卡片raw data'!$F:$F,)),IF($P40&gt;=3,INDEX('卡片raw data'!BC:BC,MATCH($D40,'卡片raw data'!$F:$F,)),INDEX('卡片raw data'!BB:BB,MATCH($D40,'卡片raw data'!$F:$F,)))),IF(OR(AND($F40="UR",$P40=0),AND($F40="SR",$P40&gt;=0,$P40&lt;=2),AND($F40="R",$P40&gt;=0,$P40&lt;4)),INDEX('卡片raw data'!AZ:AZ,MATCH($D40,'卡片raw data'!$F:$F,)),0)+IF(OR(AND($F40="UR",$P40&gt;=1,$P40&lt;=4),AND($F40="SR",$P40&lt;=4,$P40&gt;=3),AND($F40="R",$P40=4)),INDEX('卡片raw data'!BA:BA,MATCH($D40,'卡片raw data'!$F:$F,)),0)+IF($P40=5,INDEX('卡片raw data'!BB:BB,MATCH($D40,'卡片raw data'!$F:$F,)),0)))</f>
        <v>2.1999999999999999E-2</v>
      </c>
      <c r="BT40" s="1101">
        <f t="shared" si="34"/>
        <v>1101.8874746307999</v>
      </c>
      <c r="BU40" s="1097">
        <f t="shared" si="35"/>
        <v>47.342387419314377</v>
      </c>
      <c r="BV40" s="1097">
        <f t="shared" si="36"/>
        <v>550.94373731539997</v>
      </c>
      <c r="BW40" s="1112">
        <f t="shared" si="37"/>
        <v>0</v>
      </c>
      <c r="BX40" s="1100">
        <f t="shared" si="38"/>
        <v>1101.8874746307999</v>
      </c>
      <c r="BY40" s="1110">
        <f t="shared" si="39"/>
        <v>550.94373731539997</v>
      </c>
      <c r="BZ40" s="1107" t="s">
        <v>569</v>
      </c>
      <c r="CA40" s="1124"/>
      <c r="CB40" s="1098">
        <f>IF($P40="","N/A",IF($P40=-1,INDEX('卡片raw data'!BE:BE,MATCH($D40,'卡片raw data'!$F:$F,)),0)+IF($L40="party卡",IF($P40=5,INDEX('卡片raw data'!BK:BK,MATCH($D40,'卡片raw data'!$F:$F,)),IF($P40&gt;=3,INDEX('卡片raw data'!BJ:BJ,MATCH($D40,'卡片raw data'!$F:$F,)),INDEX('卡片raw data'!BI:BI,MATCH($D40,'卡片raw data'!$F:$F,)))),IF(OR(AND($F40="UR",$P40=0),AND($F40="SR",$P40&gt;=0,$P40&lt;=2),AND($F40="R",$P40&gt;=0,$P40&lt;4)),INDEX('卡片raw data'!BG:BG,MATCH($D40,'卡片raw data'!$F:$F,)),0)+IF(OR(AND($F40="UR",$P40&gt;=1,$P40&lt;=4),AND($F40="SR",$P40&lt;=4,$P40&gt;=3),AND($F40="R",$P40=4)),INDEX('卡片raw data'!BH:BH,MATCH($D40,'卡片raw data'!$F:$F,)),0)+IF($P40=5,INDEX('卡片raw data'!BI:BI,MATCH($D40,'卡片raw data'!$F:$F,)),0)))</f>
        <v>0</v>
      </c>
      <c r="CC40" s="1101">
        <f t="shared" si="40"/>
        <v>0</v>
      </c>
      <c r="CD40" s="1097">
        <f>IF(BZ40="ap",CB40*(1-$FI$26)*$FB$5/$FB$11*(+IF(CA40="全员",$FA$24,0)+IF(CA40="同作战",$FA$24,0)+IF(CA40="仲间",$FA$24*2/3,0)+IF(CA40="同属性",$FA$24*$FA$37/3,0)+IF(CA40="同年级",$FA$24*$FA$40/3,0)+IF(CA40="同学校",$FA$24*$FA$43/3,0)+IF(CA40="同小队",$FA$24*$FA$46/3,0)+IF(CA40="同type",$FA$24*INDEX($FB$49:$FB$52,MATCH(X40,$FA$49:$FA$52,))/3,0)+IF(CA40="自身",#REF!/3,0)),0)+IF(BZ40="te",CB40*(1-$FI$27)*($FA$20-1)*$FB$7/$FB$13*(+IF(CA40="全员",$FA$19*$FA$24/(1+($FA$20-1)*$FA$19),0)+IF(CA40="同作战",$FA$19*$FA$24/(1+($FA$20-1)*$FA$19),0)+IF(CA40="仲间",$FA$19*$FA$24*2/3/(1+($FA$20-1)*$FA$19),0)+IF(CA40="同属性",$FA$19*$FA$24*$FA$37/3/(1+($FA$20-1)*$FA$19),0)+IF(CA40="同年级",$FA$19*$FA$24*$FA$40/3/(1+($FA$20-1)*$FA$19),0)+IF(CA40="同学校",$FA$19*$FA$24*$FA$43/3/(1+($FA$20-1)*$FA$19),0)+IF(CA40="同小队",$FA$19*$FA$24*$FA$46/3/(1+($FA$20-1)*$FA$19),0)+IF(CA40="同type",$FA$19*$FA$24*INDEX($FB$49:$FB$52,MATCH(X40,$FA$49:$FA$52,))/3/(1+($FA$20-1)*$FA$19),0)+IF(CA40="自身",$FA$19*#REF!/3/(1+(BH40-1)*$BD40),0)),0)</f>
        <v>0</v>
      </c>
      <c r="CE40" s="1097">
        <f t="shared" si="41"/>
        <v>0</v>
      </c>
      <c r="CF40" s="1112">
        <f t="shared" si="42"/>
        <v>0</v>
      </c>
      <c r="CG40" s="1100">
        <f t="shared" si="43"/>
        <v>0</v>
      </c>
      <c r="CH40" s="1110">
        <f t="shared" si="44"/>
        <v>0</v>
      </c>
      <c r="CI40" s="1113"/>
      <c r="CJ40" s="1114"/>
      <c r="CK40" s="1115" t="s">
        <v>569</v>
      </c>
      <c r="CL40" s="1115"/>
      <c r="CM40" s="1119"/>
      <c r="CN40" s="1115"/>
      <c r="CO40" s="1092"/>
      <c r="CP40" s="1117">
        <f t="shared" si="45"/>
        <v>0</v>
      </c>
      <c r="CQ40" s="1117">
        <f t="shared" si="46"/>
        <v>0</v>
      </c>
      <c r="CR40" s="1117">
        <f t="shared" si="47"/>
        <v>0</v>
      </c>
      <c r="CS40" s="1118">
        <f t="shared" si="48"/>
        <v>0</v>
      </c>
      <c r="CT40" s="1109">
        <f t="shared" si="49"/>
        <v>0</v>
      </c>
      <c r="CU40" s="1101">
        <f t="shared" si="50"/>
        <v>0</v>
      </c>
      <c r="CV40" s="1108">
        <f t="shared" si="51"/>
        <v>0</v>
      </c>
      <c r="CW40" s="1097">
        <f t="shared" si="52"/>
        <v>0</v>
      </c>
      <c r="CX40" s="1097">
        <f t="shared" si="53"/>
        <v>0</v>
      </c>
      <c r="CY40" s="1110">
        <f t="shared" si="54"/>
        <v>0</v>
      </c>
      <c r="CZ40" s="437"/>
      <c r="DA40" s="438"/>
      <c r="DB40" s="439" t="s">
        <v>569</v>
      </c>
      <c r="DC40" s="439"/>
      <c r="DD40" s="443"/>
      <c r="DE40" s="411"/>
      <c r="DF40" s="411"/>
      <c r="DG40" s="1116">
        <f t="shared" si="55"/>
        <v>0</v>
      </c>
      <c r="DH40" s="1116">
        <f t="shared" si="56"/>
        <v>0</v>
      </c>
      <c r="DI40" s="1116">
        <f t="shared" si="57"/>
        <v>0</v>
      </c>
      <c r="DJ40" s="442">
        <f t="shared" si="58"/>
        <v>0</v>
      </c>
      <c r="DK40" s="1109">
        <f t="shared" si="59"/>
        <v>0</v>
      </c>
      <c r="DL40" s="1101">
        <f t="shared" si="60"/>
        <v>0</v>
      </c>
      <c r="DM40" s="1097">
        <f t="shared" si="61"/>
        <v>0</v>
      </c>
      <c r="DN40" s="1097">
        <f t="shared" si="62"/>
        <v>0</v>
      </c>
      <c r="DO40" s="1097">
        <f t="shared" si="63"/>
        <v>0</v>
      </c>
      <c r="DP40" s="1110">
        <f t="shared" si="64"/>
        <v>0</v>
      </c>
      <c r="DQ40" s="1113" t="s">
        <v>256</v>
      </c>
      <c r="DR40" s="1120">
        <f t="shared" si="65"/>
        <v>0.3</v>
      </c>
      <c r="DS40" s="1124"/>
      <c r="DT40" s="1093" t="s">
        <v>546</v>
      </c>
      <c r="DU40" s="1093"/>
      <c r="DV40" s="1097">
        <f>IF($P40="","N/A",IF(P40=-1,INDEX('卡片raw data'!AN:AN,MATCH(D40,'卡片raw data'!$F:$F,)),0)+IF(AND(L40&lt;&gt;"party卡",P40&lt;=2,P40&gt;=0),INDEX('卡片raw data'!AP:AP,MATCH(D40,'卡片raw data'!$F:$F,)),0)+IF(OR(AND(L40="party卡",P40&lt;=1),AND(P40&lt;=4,L40&lt;&gt;"party卡",P40&gt;=3)),INDEX('卡片raw data'!AQ:AQ,MATCH(D40,'卡片raw data'!$F:$F,)),0)+IF(OR(P40=5,AND(L40="party卡",P40&gt;=2)),INDEX('卡片raw data'!AR:AR,MATCH(D40,'卡片raw data'!$F:$F,)),0))</f>
        <v>300</v>
      </c>
      <c r="DW40" s="1098">
        <f t="shared" si="66"/>
        <v>0.3</v>
      </c>
      <c r="DX40" s="1098">
        <f t="shared" si="67"/>
        <v>0.3</v>
      </c>
      <c r="DY40" s="1125">
        <f t="shared" si="68"/>
        <v>30</v>
      </c>
      <c r="DZ40" s="1125">
        <f t="shared" si="69"/>
        <v>25.95</v>
      </c>
      <c r="EA40" s="1098">
        <f t="shared" si="70"/>
        <v>0</v>
      </c>
      <c r="EB40" s="1121">
        <f t="shared" si="71"/>
        <v>0</v>
      </c>
      <c r="EC40" s="1101">
        <f t="shared" si="72"/>
        <v>42.900000000000006</v>
      </c>
      <c r="ED40" s="1097">
        <f t="shared" si="73"/>
        <v>0</v>
      </c>
      <c r="EE40" s="1110">
        <f t="shared" si="74"/>
        <v>42.900000000000006</v>
      </c>
      <c r="EF40" s="1092" t="s">
        <v>711</v>
      </c>
      <c r="EG40" s="1120">
        <f t="shared" si="75"/>
        <v>0.3</v>
      </c>
      <c r="EH40" s="1124"/>
      <c r="EI40" s="1093"/>
      <c r="EJ40" s="1093"/>
      <c r="EK40" s="1097">
        <f>IF($P40="","N/A",IF(P40=-1,INDEX('卡片raw data'!AS:AS,MATCH(D40,'卡片raw data'!$F:$F,)),0)+IF(AND(L40&lt;&gt;"party卡",P40&lt;=2,P40&gt;=0),INDEX('卡片raw data'!AU:AU,MATCH(D40,'卡片raw data'!$F:$F,)),0)+IF(OR(AND(L40="party卡",P40&lt;=1),AND(P40&lt;=4,L40&lt;&gt;"party卡",P40&gt;=3)),INDEX('卡片raw data'!AV:AV,MATCH(D40,'卡片raw data'!$F:$F,)),0)+IF(OR(P40=5,AND(L40="party卡",P40&gt;=2)),INDEX('卡片raw data'!AW:AW,MATCH(D40,'卡片raw data'!$F:$F,)),0))</f>
        <v>0</v>
      </c>
      <c r="EL40" s="1098">
        <f t="shared" si="76"/>
        <v>0.3</v>
      </c>
      <c r="EM40" s="1098">
        <f t="shared" si="77"/>
        <v>0.3</v>
      </c>
      <c r="EN40" s="1125">
        <f t="shared" si="78"/>
        <v>0</v>
      </c>
      <c r="EO40" s="1125">
        <f t="shared" si="79"/>
        <v>0</v>
      </c>
      <c r="EP40" s="1098">
        <f t="shared" si="80"/>
        <v>0</v>
      </c>
      <c r="EQ40" s="1121">
        <f t="shared" si="81"/>
        <v>0</v>
      </c>
      <c r="ER40" s="1101">
        <f t="shared" si="82"/>
        <v>0</v>
      </c>
      <c r="ES40" s="1097">
        <f t="shared" si="83"/>
        <v>0</v>
      </c>
      <c r="ET40" s="1122">
        <f t="shared" si="84"/>
        <v>0</v>
      </c>
      <c r="EV40" s="1230" t="s">
        <v>1302</v>
      </c>
      <c r="EW40" s="1315">
        <f>5/3</f>
        <v>1.6666666666666667</v>
      </c>
      <c r="EX40" s="1316"/>
      <c r="EY40" s="1212"/>
      <c r="EZ40" s="1230" t="s">
        <v>1302</v>
      </c>
      <c r="FA40" s="1315">
        <f>5/3</f>
        <v>1.6666666666666667</v>
      </c>
      <c r="FB40" s="1316"/>
      <c r="FC40" s="447"/>
      <c r="FD40" s="447"/>
      <c r="FE40" s="447"/>
      <c r="FF40" s="642"/>
      <c r="FG40" s="642"/>
      <c r="FH40" s="642"/>
      <c r="FI40" s="642"/>
      <c r="FJ40" s="447"/>
    </row>
    <row r="41" spans="2:166" ht="16.5" customHeight="1">
      <c r="B41" s="1123" t="str">
        <f>INDEX('卡片raw data'!B:B,MATCH($D41,'卡片raw data'!$F:$F,))</f>
        <v>练习千</v>
      </c>
      <c r="C41" s="449" t="s">
        <v>69</v>
      </c>
      <c r="D41" s="408">
        <v>38</v>
      </c>
      <c r="E41" s="1090">
        <v>101011002</v>
      </c>
      <c r="F41" s="1090" t="str">
        <f>INDEX('卡片raw data'!C:C,MATCH($D41,'卡片raw data'!$F:$F,))</f>
        <v>R</v>
      </c>
      <c r="G41" s="1094" t="s">
        <v>33</v>
      </c>
      <c r="H41" s="411">
        <f>IFERROR(INDEX(绊状态确认!C:C,MATCH($G41,绊状态确认!$B:$B,)),"")</f>
        <v>101</v>
      </c>
      <c r="I41" s="450" t="str">
        <f>IFERROR(INDEX(绊状态确认!D:D,MATCH($G41,绊状态确认!$B:$B,)),"")</f>
        <v>水</v>
      </c>
      <c r="J41" s="450" t="str">
        <f>IFERROR(INDEX(绊状态确认!E:E,MATCH($G41,绊状态确认!$B:$B,)),"")</f>
        <v>2年级</v>
      </c>
      <c r="K41" s="451" t="str">
        <f>IFERROR(INDEX(绊状态确认!F:F,MATCH($G41,绊状态确认!$B:$B,)),"")</f>
        <v>CYaRon!</v>
      </c>
      <c r="L41" s="1094" t="str">
        <f>INDEX('卡片raw data'!E:E,MATCH($D41,'卡片raw data'!$F:$F,))</f>
        <v>卡池卡</v>
      </c>
      <c r="M41" s="415">
        <v>43735</v>
      </c>
      <c r="N41" s="416">
        <v>0</v>
      </c>
      <c r="O41" s="1091" t="str">
        <f>INDEX('卡片raw data'!D:D,MATCH($D41,'卡片raw data'!$F:$F,))</f>
        <v>gd</v>
      </c>
      <c r="P41" s="417">
        <v>5</v>
      </c>
      <c r="Q41" s="1095">
        <f t="shared" si="0"/>
        <v>15782.419031759769</v>
      </c>
      <c r="R41" s="1096">
        <f t="shared" si="1"/>
        <v>0.183</v>
      </c>
      <c r="S41" s="1097">
        <f t="shared" si="2"/>
        <v>8817.3940475315285</v>
      </c>
      <c r="T41" s="1098">
        <f t="shared" si="3"/>
        <v>0.44</v>
      </c>
      <c r="U41" s="1099">
        <f t="shared" si="4"/>
        <v>79.530124992142859</v>
      </c>
      <c r="V41" s="1100">
        <f t="shared" si="5"/>
        <v>21983.719832282259</v>
      </c>
      <c r="W41" s="1101">
        <f t="shared" si="6"/>
        <v>3272.2718943581331</v>
      </c>
      <c r="X41" s="1096">
        <f t="shared" si="7"/>
        <v>3.7999999999999999E-2</v>
      </c>
      <c r="Y41" s="1097">
        <f t="shared" si="8"/>
        <v>756.44202807755937</v>
      </c>
      <c r="Z41" s="1102">
        <f t="shared" si="9"/>
        <v>9.5301249921428557</v>
      </c>
      <c r="AA41" s="1103">
        <f t="shared" si="10"/>
        <v>4028.7139224356924</v>
      </c>
      <c r="AB41" s="1101">
        <f t="shared" si="11"/>
        <v>3984.6031910891552</v>
      </c>
      <c r="AC41" s="1104">
        <f t="shared" si="12"/>
        <v>4.5999999999999999E-2</v>
      </c>
      <c r="AD41" s="1105">
        <f t="shared" si="13"/>
        <v>-3.8207812500000026E-3</v>
      </c>
      <c r="AE41" s="1128">
        <f t="shared" si="14"/>
        <v>-28.942028985507246</v>
      </c>
      <c r="AF41" s="1130">
        <f t="shared" si="15"/>
        <v>1074.7391662999999</v>
      </c>
      <c r="AG41" s="420">
        <f t="shared" si="16"/>
        <v>107537.691674</v>
      </c>
      <c r="AH41" s="420">
        <f t="shared" si="17"/>
        <v>100.05934002035077</v>
      </c>
      <c r="AI41" s="1097">
        <f t="shared" si="18"/>
        <v>-78167.011737738794</v>
      </c>
      <c r="AJ41" s="420">
        <f t="shared" si="19"/>
        <v>21983.719832282259</v>
      </c>
      <c r="AK41" s="518">
        <f t="shared" si="20"/>
        <v>-100150.73157002105</v>
      </c>
      <c r="AL41" s="1106">
        <f>IF($P41="","N/A",(IF($P41=-1,INDEX('卡片raw data'!S:S,MATCH($D41,'卡片raw data'!$F:$F,)),0)+IF($P41=0,INDEX('卡片raw data'!V:V,MATCH($D41,'卡片raw data'!$F:$F,)),0)+IF($P41=1,INDEX('卡片raw data'!Y:Y,MATCH($D41,'卡片raw data'!$F:$F,)),0)+IF($P41=2,INDEX('卡片raw data'!AB:AB,MATCH($D41,'卡片raw data'!$F:$F,)),0)+IF($P41=3,INDEX('卡片raw data'!AE:AE,MATCH($D41,'卡片raw data'!$F:$F,)),0)+IF($P41=4,INDEX('卡片raw data'!AH:AH,MATCH($D41,'卡片raw data'!$F:$F,)),0)+IF($P41=5,INDEX('卡片raw data'!AK:AK,MATCH($D41,'卡片raw data'!$F:$F,)),0)+INDEX('卡片raw data'!S:S,MATCH($D41,'卡片raw data'!$F:$F,))*(IF($F41="UR",0.04,0.033))*(IF($F41="UR",INDEX(绊状态确认!$S:$S,MATCH($G41,绊状态确认!$B:$B,))/2-40)+IF($F41="SR",INDEX(绊状态确认!$R:$R,MATCH($G41,绊状态确认!$B:$B,))/4-15))+IF($F41="R",INDEX(绊状态确认!$Q:$Q,MATCH($G41,绊状态确认!$B:$B,))/6-40/6)))*(INDEX(绊状态确认!$H:$H,MATCH($G41,绊状态确认!$B:$B,))+INDEX(绊状态确认!J:J,MATCH($G41,绊状态确认!$B:$B,)))</f>
        <v>4535.3723999999993</v>
      </c>
      <c r="AM41" s="1106">
        <f>IF($P41="","N/A",(IF($P41=-1,INDEX('卡片raw data'!T:T,MATCH($D41,'卡片raw data'!$F:$F,)),0)+IF($P41=0,INDEX('卡片raw data'!W:W,MATCH($D41,'卡片raw data'!$F:$F,)),0)+IF($P41=1,INDEX('卡片raw data'!Z:Z,MATCH($D41,'卡片raw data'!$F:$F,)),0)+IF($P41=2,INDEX('卡片raw data'!AC:AC,MATCH($D41,'卡片raw data'!$F:$F,)),0)+IF($P41=3,INDEX('卡片raw data'!AF:AF,MATCH($D41,'卡片raw data'!$F:$F,)),0)+IF($P41=4,INDEX('卡片raw data'!AI:AI,MATCH($D41,'卡片raw data'!$F:$F,)),0)+IF($P41=5,INDEX('卡片raw data'!AL:AL,MATCH($D41,'卡片raw data'!$F:$F,)),0)+INDEX('卡片raw data'!T:T,MATCH($D41,'卡片raw data'!$F:$F,))*(IF($F41="UR",0.04,0.033))*(IF($F41="UR",INDEX(绊状态确认!$S:$S,MATCH($G41,绊状态确认!$B:$B,))/2-40)+IF($F41="SR",INDEX(绊状态确认!$R:$R,MATCH($G41,绊状态确认!$B:$B,))/4-15))+IF($F41="R",INDEX(绊状态确认!$Q:$Q,MATCH($G41,绊状态确认!$B:$B,))/6-40/6)))*(INDEX(绊状态确认!$H:$H,MATCH($G41,绊状态确认!$B:$B,))+INDEX(绊状态确认!K:K,MATCH($G41,绊状态确认!$B:$B,)))</f>
        <v>4535.3723999999993</v>
      </c>
      <c r="AN41" s="1106">
        <f>IF($P41="","N/A",(IF($P41=-1,INDEX('卡片raw data'!U:U,MATCH($D41,'卡片raw data'!$F:$F,)),0)+IF($P41=0,INDEX('卡片raw data'!X:X,MATCH($D41,'卡片raw data'!$F:$F,)),0)+IF($P41=1,INDEX('卡片raw data'!AA:AA,MATCH($D41,'卡片raw data'!$F:$F,)),0)+IF($P41=2,INDEX('卡片raw data'!AD:AD,MATCH($D41,'卡片raw data'!$F:$F,)),0)+IF($P41=3,INDEX('卡片raw data'!AG:AG,MATCH($D41,'卡片raw data'!$F:$F,)),0)+IF($P41=4,INDEX('卡片raw data'!AJ:AJ,MATCH($D41,'卡片raw data'!$F:$F,)),0)+IF($P41=5,INDEX('卡片raw data'!AM:AM,MATCH($D41,'卡片raw data'!$F:$F,)),0)+INDEX('卡片raw data'!U:U,MATCH($D41,'卡片raw data'!$F:$F,))*(IF($F41="UR",0.04,0.033))*(IF($F41="UR",INDEX(绊状态确认!$S:$S,MATCH($G41,绊状态确认!$B:$B,))/2-40)+IF($F41="SR",INDEX(绊状态确认!$R:$R,MATCH($G41,绊状态确认!$B:$B,))/4-15))+IF($F41="R",INDEX(绊状态确认!$Q:$Q,MATCH($G41,绊状态确认!$B:$B,))/6-40/6)))*(INDEX(绊状态确认!$H:$H,MATCH($G41,绊状态确认!$B:$B,))+INDEX(绊状态确认!L:L,MATCH($G41,绊状态确认!$B:$B,)))</f>
        <v>4670.6039999999994</v>
      </c>
      <c r="AO41" s="1107">
        <f t="shared" si="21"/>
        <v>1</v>
      </c>
      <c r="AP41" s="1131">
        <f>1+(INDEX(绊状态确认!$T:$T,MATCH($G41,绊状态确认!$B:$B,))+0.2)*$AO41</f>
        <v>1.3</v>
      </c>
      <c r="AQ41" s="1108">
        <f t="shared" si="22"/>
        <v>15155.352549999998</v>
      </c>
      <c r="AR41" s="1097">
        <f>(AM41*(1+$EX$9)+$EX$35)*(1+(INDEX(绊状态确认!$T:$T,MATCH($G41,绊状态确认!$B:$B,))+0.2)*AO41)*IF(J41=$FF$17,1+$FE$17,1)*IF(I41=$FF$14,1+$FE$14,1)</f>
        <v>8894.7833259999989</v>
      </c>
      <c r="AS41" s="1097">
        <f>(AN41*(1+$EX$10)+$EX$36)*(1+(INDEX(绊状态确认!$T:$T,MATCH($G41,绊状态确认!$B:$B,))+0.2)*AO41)*IF(J41=$FF$17,1+$FE$17,1)*IF(I41=$FF$14,1+$FE$14,1)</f>
        <v>11038.552979999999</v>
      </c>
      <c r="AT41" s="1093">
        <f>IF(AND(INDEX('卡片raw data'!AK:AK,MATCH($D41,'卡片raw data'!$F:$F,))&lt;INDEX('卡片raw data'!AM:AM,MATCH($D41,'卡片raw data'!$F:$F,)),INDEX('卡片raw data'!AL:AL,MATCH($D41,'卡片raw data'!$F:$F,))&lt;INDEX('卡片raw data'!AM:AM,MATCH($D41,'卡片raw data'!$F:$F,))),1,0)</f>
        <v>1</v>
      </c>
      <c r="AU41" s="1098">
        <f>MIN(AT41*0.15+AS41*0.00003+INDEX(绊状态确认!M:M,MATCH($G41,绊状态确认!$B:$B,)),1)</f>
        <v>0.51115658939999997</v>
      </c>
      <c r="AV41" s="1109">
        <f>(INDEX(绊状态确认!$N:$N,MATCH($G41,绊状态确认!$B:$B,))+1.5)*$EW$21</f>
        <v>2.6599999999999997</v>
      </c>
      <c r="AW41" s="1101">
        <f t="shared" si="23"/>
        <v>14549.482507337281</v>
      </c>
      <c r="AX41" s="1097">
        <f t="shared" si="24"/>
        <v>756.44202807755914</v>
      </c>
      <c r="AY41" s="1110">
        <f t="shared" si="25"/>
        <v>15305.924535414841</v>
      </c>
      <c r="AZ41" s="429">
        <f t="shared" si="26"/>
        <v>11443.976179999998</v>
      </c>
      <c r="BA41" s="431">
        <f t="shared" si="27"/>
        <v>13732.771415999998</v>
      </c>
      <c r="BB41" s="1097">
        <f>(AM41*(1+$FB$9)+$FB$35)*(1+(INDEX(绊状态确认!$T:$T,MATCH($G41,绊状态确认!$B:$B,))+0.2)*AO41)*IF(J41=$FF$17,1+$FE$17,1)*IF(I41=$FF$14,1+$FE$14,1)*(1+$FE$15)</f>
        <v>8894.7833259999989</v>
      </c>
      <c r="BC41" s="1097">
        <f>(AN41*(1+$FB$10)+$FB$36)*(1+(INDEX(绊状态确认!$T:$T,MATCH($G41,绊状态确认!$B:$B,))+0.2)*AO41)*IF(J41=$FF$17,1+$FE$17,1)*IF(I41=$FF$14,1+$FE$14,1)*(1+$FE$15)</f>
        <v>11038.552979999999</v>
      </c>
      <c r="BD41" s="1104">
        <f>MIN(AT41*0.15+BC41*0.00003+INDEX(绊状态确认!M:M,MATCH($G41,绊状态确认!$B:$B,)),1)</f>
        <v>0.51115658939999997</v>
      </c>
      <c r="BE41" s="432">
        <f>(INDEX(绊状态确认!$N:$N,MATCH($G41,绊状态确认!$B:$B,))+1.5)</f>
        <v>1.9</v>
      </c>
      <c r="BF41" s="1139">
        <f t="array" ref="BF41">SUMPRODUCT(IF(AZ41*AP41*$FI$16:$FI$23*$FA$22&gt;=$FI$24,$FI$24,AZ41*AP41*$FI$16:$FI$23*$FA$22),$FJ$16:$FJ$23)</f>
        <v>22762.068622019997</v>
      </c>
      <c r="BG41" s="1125">
        <f t="array" ref="BG41">SUMPRODUCT(IF(BE41*AZ41*AP41*$FI$16:$FI$23*$FA$22&gt;=$FI$24,$FI$24,BE41*AZ41*AP41*$FI$16:$FI$23*$FA$22),$FJ$16:$FJ$23)</f>
        <v>43247.930381837999</v>
      </c>
      <c r="BH41" s="1110">
        <f t="shared" si="28"/>
        <v>11077.850616696151</v>
      </c>
      <c r="BI41" s="1111">
        <f>IF(O41="vo",$EW$26/$EW$24*0.05,0)+IF(O41="sk",-$EW$26/$EW$24*(0.05-INDEX(绊状态确认!W:W,MATCH($G41,绊状态确认!$B:$B,)))+0.05*$EW$28,0)+IF(O41="sp",0.05*$EW$32*$EW$30*(1-$EW$33)-(0.05-INDEX(绊状态确认!V:V,MATCH($G41,绊状态确认!$B:$B,)))*$EW$28,0)+IF(O41="gd",-(0.05-INDEX(绊状态确认!X:X,MATCH($G41,绊状态确认!$B:$B,)))*$EW$32*$EW$30*(1-$EW$33),0)</f>
        <v>-585.00000000000011</v>
      </c>
      <c r="BJ41" s="1097">
        <f>IF(O41="vo",0.05*(1-$FI$26)*$FA$24,0)+IF(O41="sk",-(0.05-INDEX(绊状态确认!W:W,MATCH($G41,绊状态确认!$B:$B,)))*(1-$FI$26)*$FA$24+0.05*$FA$26,0)+IF(O41="sp",0.05*$FA$32*$FA$27*(1-$FA$33)/$FA$30+0.05*$FA$29/$FA$69*$FA$27*(1-$FA$33)-(0.05-INDEX(绊状态确认!V:V,MATCH($G41,绊状态确认!$B:$B,)))*$FA$26,0)+IF(O41="gd",-(0.05-INDEX(绊状态确认!X:X,MATCH($G41,绊状态确认!$B:$B,)))*$FA$32*$FA$27*(1-$FA$33)/$FA$30-(0.05-INDEX(绊状态确认!X:X,MATCH($G41,绊状态确认!$B:$B,)))*$FA$29/$FA$69*$FA$27*(1-$FA$33),0)</f>
        <v>-795.00000000000011</v>
      </c>
      <c r="BK41" s="1110">
        <f>IF(O41="vo",$EW$26/$EW$24*0.05+$EW$26*(-HP($EW$62,$EW$65,$EW$64)+HP($EW$62,$EW$65,(1.05-INDEX(绊状态确认!U:U,MATCH($G41,绊状态确认!$B:$B,)))*$EW$64)),0)+IF(O41="sk",-$EW$26/$EW$24*(0.05-INDEX(绊状态确认!W:W,MATCH($G41,绊状态确认!$B:$B,)))+0.05*$EW$29,0)+IF(O41="sp",0.05*$EW$32*$EW$30*(1-$EW$33)-(0.05-INDEX(绊状态确认!V:V,MATCH($G41,绊状态确认!$B:$B,)))*$EW$29,0)+IF(O41="gd",-(0.05-INDEX(绊状态确认!X:X,MATCH($G41,绊状态确认!$B:$B,)))*$EW$32*$EW$30*(1-$EW$33)+$EW$26*(-HP($EW$62,$EW$65,$EW$64)+HP($EW$62,$EW$65,0.95*$EW$64)),0)</f>
        <v>1009.5947725176144</v>
      </c>
      <c r="BL41" s="1111">
        <f t="shared" si="29"/>
        <v>-2166.6666666666665</v>
      </c>
      <c r="BM41" s="1110">
        <f t="shared" si="30"/>
        <v>-1661.1111111111109</v>
      </c>
      <c r="BN41" s="1113">
        <f t="shared" si="31"/>
        <v>2</v>
      </c>
      <c r="BO41" s="1097">
        <f t="shared" si="32"/>
        <v>3005.1476580839999</v>
      </c>
      <c r="BP41" s="1100">
        <f t="shared" si="33"/>
        <v>147.56068806020068</v>
      </c>
      <c r="BQ41" s="1113" t="s">
        <v>619</v>
      </c>
      <c r="BR41" s="1124" t="s">
        <v>621</v>
      </c>
      <c r="BS41" s="1098">
        <f>IF($P41="","N/A",IF($P41=-1,INDEX('卡片raw data'!AX:AX,MATCH($D41,'卡片raw data'!$F:$F,)),0)+IF($L41="party卡",IF($P41=5,INDEX('卡片raw data'!BD:BD,MATCH($D41,'卡片raw data'!$F:$F,)),IF($P41&gt;=3,INDEX('卡片raw data'!BC:BC,MATCH($D41,'卡片raw data'!$F:$F,)),INDEX('卡片raw data'!BB:BB,MATCH($D41,'卡片raw data'!$F:$F,)))),IF(OR(AND($F41="UR",$P41=0),AND($F41="SR",$P41&gt;=0,$P41&lt;=2),AND($F41="R",$P41&gt;=0,$P41&lt;4)),INDEX('卡片raw data'!AZ:AZ,MATCH($D41,'卡片raw data'!$F:$F,)),0)+IF(OR(AND($F41="UR",$P41&gt;=1,$P41&lt;=4),AND($F41="SR",$P41&lt;=4,$P41&gt;=3),AND($F41="R",$P41=4)),INDEX('卡片raw data'!BA:BA,MATCH($D41,'卡片raw data'!$F:$F,)),0)+IF($P41=5,INDEX('卡片raw data'!BB:BB,MATCH($D41,'卡片raw data'!$F:$F,)),0)))</f>
        <v>3.2000000000000001E-2</v>
      </c>
      <c r="BT41" s="1101">
        <f t="shared" si="34"/>
        <v>979.45553300515553</v>
      </c>
      <c r="BU41" s="1097">
        <f t="shared" si="35"/>
        <v>48.09385388628764</v>
      </c>
      <c r="BV41" s="1097">
        <f t="shared" si="36"/>
        <v>267.12423627413335</v>
      </c>
      <c r="BW41" s="1112">
        <f t="shared" si="37"/>
        <v>0</v>
      </c>
      <c r="BX41" s="1100">
        <f t="shared" si="38"/>
        <v>979.45553300515553</v>
      </c>
      <c r="BY41" s="1110">
        <f t="shared" si="39"/>
        <v>267.12423627413335</v>
      </c>
      <c r="BZ41" s="1107" t="s">
        <v>569</v>
      </c>
      <c r="CA41" s="1124"/>
      <c r="CB41" s="1098">
        <f>IF($P41="","N/A",IF($P41=-1,INDEX('卡片raw data'!BE:BE,MATCH($D41,'卡片raw data'!$F:$F,)),0)+IF($L41="party卡",IF($P41=5,INDEX('卡片raw data'!BK:BK,MATCH($D41,'卡片raw data'!$F:$F,)),IF($P41&gt;=3,INDEX('卡片raw data'!BJ:BJ,MATCH($D41,'卡片raw data'!$F:$F,)),INDEX('卡片raw data'!BI:BI,MATCH($D41,'卡片raw data'!$F:$F,)))),IF(OR(AND($F41="UR",$P41=0),AND($F41="SR",$P41&gt;=0,$P41&lt;=2),AND($F41="R",$P41&gt;=0,$P41&lt;4)),INDEX('卡片raw data'!BG:BG,MATCH($D41,'卡片raw data'!$F:$F,)),0)+IF(OR(AND($F41="UR",$P41&gt;=1,$P41&lt;=4),AND($F41="SR",$P41&lt;=4,$P41&gt;=3),AND($F41="R",$P41=4)),INDEX('卡片raw data'!BH:BH,MATCH($D41,'卡片raw data'!$F:$F,)),0)+IF($P41=5,INDEX('卡片raw data'!BI:BI,MATCH($D41,'卡片raw data'!$F:$F,)),0)))</f>
        <v>0</v>
      </c>
      <c r="CC41" s="1101">
        <f t="shared" si="40"/>
        <v>0</v>
      </c>
      <c r="CD41" s="1097">
        <f>IF(BZ41="ap",CB41*(1-$FI$26)*$FB$5/$FB$11*(+IF(CA41="全员",$FA$24,0)+IF(CA41="同作战",$FA$24,0)+IF(CA41="仲间",$FA$24*2/3,0)+IF(CA41="同属性",$FA$24*$FA$37/3,0)+IF(CA41="同年级",$FA$24*$FA$40/3,0)+IF(CA41="同学校",$FA$24*$FA$43/3,0)+IF(CA41="同小队",$FA$24*$FA$46/3,0)+IF(CA41="同type",$FA$24*INDEX($FB$49:$FB$52,MATCH(X41,$FA$49:$FA$52,))/3,0)+IF(CA41="自身",#REF!/3,0)),0)+IF(BZ41="te",CB41*(1-$FI$27)*($FA$20-1)*$FB$7/$FB$13*(+IF(CA41="全员",$FA$19*$FA$24/(1+($FA$20-1)*$FA$19),0)+IF(CA41="同作战",$FA$19*$FA$24/(1+($FA$20-1)*$FA$19),0)+IF(CA41="仲间",$FA$19*$FA$24*2/3/(1+($FA$20-1)*$FA$19),0)+IF(CA41="同属性",$FA$19*$FA$24*$FA$37/3/(1+($FA$20-1)*$FA$19),0)+IF(CA41="同年级",$FA$19*$FA$24*$FA$40/3/(1+($FA$20-1)*$FA$19),0)+IF(CA41="同学校",$FA$19*$FA$24*$FA$43/3/(1+($FA$20-1)*$FA$19),0)+IF(CA41="同小队",$FA$19*$FA$24*$FA$46/3/(1+($FA$20-1)*$FA$19),0)+IF(CA41="同type",$FA$19*$FA$24*INDEX($FB$49:$FB$52,MATCH(X41,$FA$49:$FA$52,))/3/(1+($FA$20-1)*$FA$19),0)+IF(CA41="自身",$FA$19*#REF!/3/(1+(BH41-1)*$BD41),0)),0)</f>
        <v>0</v>
      </c>
      <c r="CE41" s="1097">
        <f t="shared" si="41"/>
        <v>0</v>
      </c>
      <c r="CF41" s="1112">
        <f t="shared" si="42"/>
        <v>0</v>
      </c>
      <c r="CG41" s="1100">
        <f t="shared" si="43"/>
        <v>0</v>
      </c>
      <c r="CH41" s="1110">
        <f t="shared" si="44"/>
        <v>0</v>
      </c>
      <c r="CI41" s="1113"/>
      <c r="CJ41" s="1114"/>
      <c r="CK41" s="1115" t="s">
        <v>569</v>
      </c>
      <c r="CL41" s="1115"/>
      <c r="CM41" s="1119"/>
      <c r="CN41" s="1115"/>
      <c r="CO41" s="1092"/>
      <c r="CP41" s="1117">
        <f t="shared" si="45"/>
        <v>0</v>
      </c>
      <c r="CQ41" s="1117">
        <f t="shared" si="46"/>
        <v>0</v>
      </c>
      <c r="CR41" s="1117">
        <f t="shared" si="47"/>
        <v>0</v>
      </c>
      <c r="CS41" s="1118">
        <f t="shared" si="48"/>
        <v>0</v>
      </c>
      <c r="CT41" s="1109">
        <f t="shared" si="49"/>
        <v>0</v>
      </c>
      <c r="CU41" s="1101">
        <f t="shared" si="50"/>
        <v>0</v>
      </c>
      <c r="CV41" s="1108">
        <f t="shared" si="51"/>
        <v>0</v>
      </c>
      <c r="CW41" s="1097">
        <f t="shared" si="52"/>
        <v>0</v>
      </c>
      <c r="CX41" s="1097">
        <f t="shared" si="53"/>
        <v>0</v>
      </c>
      <c r="CY41" s="1110">
        <f t="shared" si="54"/>
        <v>0</v>
      </c>
      <c r="CZ41" s="437"/>
      <c r="DA41" s="438"/>
      <c r="DB41" s="439" t="s">
        <v>569</v>
      </c>
      <c r="DC41" s="439"/>
      <c r="DD41" s="443"/>
      <c r="DE41" s="411"/>
      <c r="DF41" s="411"/>
      <c r="DG41" s="1116">
        <f t="shared" si="55"/>
        <v>0</v>
      </c>
      <c r="DH41" s="1116">
        <f t="shared" si="56"/>
        <v>0</v>
      </c>
      <c r="DI41" s="1116">
        <f t="shared" si="57"/>
        <v>0</v>
      </c>
      <c r="DJ41" s="442">
        <f t="shared" si="58"/>
        <v>0</v>
      </c>
      <c r="DK41" s="1109">
        <f t="shared" si="59"/>
        <v>0</v>
      </c>
      <c r="DL41" s="1101">
        <f t="shared" si="60"/>
        <v>0</v>
      </c>
      <c r="DM41" s="1097">
        <f t="shared" si="61"/>
        <v>0</v>
      </c>
      <c r="DN41" s="1097">
        <f t="shared" si="62"/>
        <v>0</v>
      </c>
      <c r="DO41" s="1097">
        <f t="shared" si="63"/>
        <v>0</v>
      </c>
      <c r="DP41" s="1110">
        <f t="shared" si="64"/>
        <v>0</v>
      </c>
      <c r="DQ41" s="1113" t="s">
        <v>636</v>
      </c>
      <c r="DR41" s="1120">
        <f t="shared" si="65"/>
        <v>0.3</v>
      </c>
      <c r="DS41" s="1124"/>
      <c r="DT41" s="1093" t="s">
        <v>546</v>
      </c>
      <c r="DU41" s="1093"/>
      <c r="DV41" s="1097">
        <f>IF($P41="","N/A",IF(P41=-1,INDEX('卡片raw data'!AN:AN,MATCH(D41,'卡片raw data'!$F:$F,)),0)+IF(AND(L41&lt;&gt;"party卡",P41&lt;=2,P41&gt;=0),INDEX('卡片raw data'!AP:AP,MATCH(D41,'卡片raw data'!$F:$F,)),0)+IF(OR(AND(L41="party卡",P41&lt;=1),AND(P41&lt;=4,L41&lt;&gt;"party卡",P41&gt;=3)),INDEX('卡片raw data'!AQ:AQ,MATCH(D41,'卡片raw data'!$F:$F,)),0)+IF(OR(P41=5,AND(L41="party卡",P41&gt;=2)),INDEX('卡片raw data'!AR:AR,MATCH(D41,'卡片raw data'!$F:$F,)),0))</f>
        <v>450</v>
      </c>
      <c r="DW41" s="1098">
        <f t="shared" si="66"/>
        <v>0.3</v>
      </c>
      <c r="DX41" s="1098">
        <f t="shared" si="67"/>
        <v>0.3</v>
      </c>
      <c r="DY41" s="1125">
        <f t="shared" si="68"/>
        <v>45</v>
      </c>
      <c r="DZ41" s="1125">
        <f t="shared" si="69"/>
        <v>38.924999999999997</v>
      </c>
      <c r="EA41" s="1098">
        <f t="shared" si="70"/>
        <v>0</v>
      </c>
      <c r="EB41" s="1121">
        <f t="shared" si="71"/>
        <v>0</v>
      </c>
      <c r="EC41" s="1101">
        <f t="shared" si="72"/>
        <v>0</v>
      </c>
      <c r="ED41" s="1097">
        <f t="shared" si="73"/>
        <v>0</v>
      </c>
      <c r="EE41" s="1110">
        <f t="shared" si="74"/>
        <v>3850.2639999273156</v>
      </c>
      <c r="EF41" s="1092" t="s">
        <v>711</v>
      </c>
      <c r="EG41" s="1120">
        <f t="shared" si="75"/>
        <v>0.3</v>
      </c>
      <c r="EH41" s="1124"/>
      <c r="EI41" s="1093"/>
      <c r="EJ41" s="1093"/>
      <c r="EK41" s="1097">
        <f>IF($P41="","N/A",IF(P41=-1,INDEX('卡片raw data'!AS:AS,MATCH(D41,'卡片raw data'!$F:$F,)),0)+IF(AND(L41&lt;&gt;"party卡",P41&lt;=2,P41&gt;=0),INDEX('卡片raw data'!AU:AU,MATCH(D41,'卡片raw data'!$F:$F,)),0)+IF(OR(AND(L41="party卡",P41&lt;=1),AND(P41&lt;=4,L41&lt;&gt;"party卡",P41&gt;=3)),INDEX('卡片raw data'!AV:AV,MATCH(D41,'卡片raw data'!$F:$F,)),0)+IF(OR(P41=5,AND(L41="party卡",P41&gt;=2)),INDEX('卡片raw data'!AW:AW,MATCH(D41,'卡片raw data'!$F:$F,)),0))</f>
        <v>0</v>
      </c>
      <c r="EL41" s="1098">
        <f t="shared" si="76"/>
        <v>0.3</v>
      </c>
      <c r="EM41" s="1098">
        <f t="shared" si="77"/>
        <v>0.3</v>
      </c>
      <c r="EN41" s="1125">
        <f t="shared" si="78"/>
        <v>0</v>
      </c>
      <c r="EO41" s="1125">
        <f t="shared" si="79"/>
        <v>0</v>
      </c>
      <c r="EP41" s="1098">
        <f t="shared" si="80"/>
        <v>0</v>
      </c>
      <c r="EQ41" s="1121">
        <f t="shared" si="81"/>
        <v>0</v>
      </c>
      <c r="ER41" s="1101">
        <f t="shared" si="82"/>
        <v>0</v>
      </c>
      <c r="ES41" s="1097">
        <f t="shared" si="83"/>
        <v>0</v>
      </c>
      <c r="ET41" s="1122">
        <f t="shared" si="84"/>
        <v>0</v>
      </c>
      <c r="EV41" s="1225" t="s">
        <v>1305</v>
      </c>
      <c r="EW41" s="1310">
        <v>1</v>
      </c>
      <c r="EX41" s="1311"/>
      <c r="EY41" s="1212"/>
      <c r="EZ41" s="1225" t="s">
        <v>1305</v>
      </c>
      <c r="FA41" s="1310">
        <v>1</v>
      </c>
      <c r="FB41" s="1311"/>
      <c r="FC41" s="447"/>
      <c r="FD41" s="447"/>
      <c r="FE41" s="447"/>
      <c r="FF41" s="642"/>
      <c r="FG41" s="642"/>
      <c r="FH41" s="642"/>
      <c r="FI41" s="642"/>
      <c r="FJ41" s="447"/>
    </row>
    <row r="42" spans="2:166" ht="16.5" customHeight="1">
      <c r="B42" s="1123" t="str">
        <f>INDEX('卡片raw data'!B:B,MATCH($D42,'卡片raw data'!$F:$F,))</f>
        <v>啦啦千</v>
      </c>
      <c r="C42" s="449" t="s">
        <v>123</v>
      </c>
      <c r="D42" s="408">
        <v>39</v>
      </c>
      <c r="E42" s="1090">
        <v>101012001</v>
      </c>
      <c r="F42" s="1090" t="str">
        <f>INDEX('卡片raw data'!C:C,MATCH($D42,'卡片raw data'!$F:$F,))</f>
        <v>SR</v>
      </c>
      <c r="G42" s="1094" t="s">
        <v>339</v>
      </c>
      <c r="H42" s="411">
        <f>IFERROR(INDEX(绊状态确认!C:C,MATCH($G42,绊状态确认!$B:$B,)),"")</f>
        <v>101</v>
      </c>
      <c r="I42" s="450" t="str">
        <f>IFERROR(INDEX(绊状态确认!D:D,MATCH($G42,绊状态确认!$B:$B,)),"")</f>
        <v>水</v>
      </c>
      <c r="J42" s="450" t="str">
        <f>IFERROR(INDEX(绊状态确认!E:E,MATCH($G42,绊状态确认!$B:$B,)),"")</f>
        <v>2年级</v>
      </c>
      <c r="K42" s="451" t="str">
        <f>IFERROR(INDEX(绊状态确认!F:F,MATCH($G42,绊状态确认!$B:$B,)),"")</f>
        <v>CYaRon!</v>
      </c>
      <c r="L42" s="1094" t="str">
        <f>INDEX('卡片raw data'!E:E,MATCH($D42,'卡片raw data'!$F:$F,))</f>
        <v>卡池卡</v>
      </c>
      <c r="M42" s="415">
        <v>43735</v>
      </c>
      <c r="N42" s="416">
        <v>0</v>
      </c>
      <c r="O42" s="1091" t="str">
        <f>INDEX('卡片raw data'!D:D,MATCH($D42,'卡片raw data'!$F:$F,))</f>
        <v>vo</v>
      </c>
      <c r="P42" s="417">
        <v>5</v>
      </c>
      <c r="Q42" s="1095">
        <f t="shared" si="0"/>
        <v>35728.632512880598</v>
      </c>
      <c r="R42" s="1096">
        <f t="shared" si="1"/>
        <v>0.41499999999999998</v>
      </c>
      <c r="S42" s="1097">
        <f t="shared" si="2"/>
        <v>14708.447501736484</v>
      </c>
      <c r="T42" s="1098">
        <f t="shared" si="3"/>
        <v>0.73499999999999999</v>
      </c>
      <c r="U42" s="1099">
        <f t="shared" si="4"/>
        <v>-13.807823528457142</v>
      </c>
      <c r="V42" s="1100">
        <f t="shared" si="5"/>
        <v>35315.350029070811</v>
      </c>
      <c r="W42" s="1101">
        <f t="shared" si="6"/>
        <v>5454.3429994224589</v>
      </c>
      <c r="X42" s="1096">
        <f t="shared" si="7"/>
        <v>6.3E-2</v>
      </c>
      <c r="Y42" s="1097">
        <f t="shared" si="8"/>
        <v>891.38596643190976</v>
      </c>
      <c r="Z42" s="1102">
        <f t="shared" si="9"/>
        <v>11.192176471542858</v>
      </c>
      <c r="AA42" s="1103">
        <f t="shared" si="10"/>
        <v>6345.7289658543687</v>
      </c>
      <c r="AB42" s="1101">
        <f t="shared" si="11"/>
        <v>6190.6041756530394</v>
      </c>
      <c r="AC42" s="1104">
        <f t="shared" si="12"/>
        <v>7.0999999999999994E-2</v>
      </c>
      <c r="AD42" s="1105">
        <f t="shared" si="13"/>
        <v>-3.8207812500000026E-3</v>
      </c>
      <c r="AE42" s="1128">
        <f t="shared" si="14"/>
        <v>-12.27536231884058</v>
      </c>
      <c r="AF42" s="1130">
        <f t="shared" si="15"/>
        <v>0</v>
      </c>
      <c r="AG42" s="420">
        <f t="shared" si="16"/>
        <v>0</v>
      </c>
      <c r="AH42" s="420">
        <f t="shared" si="17"/>
        <v>0</v>
      </c>
      <c r="AI42" s="1097">
        <f t="shared" si="18"/>
        <v>0</v>
      </c>
      <c r="AJ42" s="420">
        <f t="shared" si="19"/>
        <v>0</v>
      </c>
      <c r="AK42" s="518">
        <f t="shared" si="20"/>
        <v>0</v>
      </c>
      <c r="AL42" s="1106">
        <f>IF($P42="","N/A",(IF($P42=-1,INDEX('卡片raw data'!S:S,MATCH($D42,'卡片raw data'!$F:$F,)),0)+IF($P42=0,INDEX('卡片raw data'!V:V,MATCH($D42,'卡片raw data'!$F:$F,)),0)+IF($P42=1,INDEX('卡片raw data'!Y:Y,MATCH($D42,'卡片raw data'!$F:$F,)),0)+IF($P42=2,INDEX('卡片raw data'!AB:AB,MATCH($D42,'卡片raw data'!$F:$F,)),0)+IF($P42=3,INDEX('卡片raw data'!AE:AE,MATCH($D42,'卡片raw data'!$F:$F,)),0)+IF($P42=4,INDEX('卡片raw data'!AH:AH,MATCH($D42,'卡片raw data'!$F:$F,)),0)+IF($P42=5,INDEX('卡片raw data'!AK:AK,MATCH($D42,'卡片raw data'!$F:$F,)),0)+INDEX('卡片raw data'!S:S,MATCH($D42,'卡片raw data'!$F:$F,))*(IF($F42="UR",0.04,0.033))*(IF($F42="UR",INDEX(绊状态确认!$S:$S,MATCH($G42,绊状态确认!$B:$B,))/2-40)+IF($F42="SR",INDEX(绊状态确认!$R:$R,MATCH($G42,绊状态确认!$B:$B,))/4-15))+IF($F42="R",INDEX(绊状态确认!$Q:$Q,MATCH($G42,绊状态确认!$B:$B,))/6-40/6)))*(INDEX(绊状态确认!$H:$H,MATCH($G42,绊状态确认!$B:$B,))+INDEX(绊状态确认!J:J,MATCH($G42,绊状态确认!$B:$B,)))</f>
        <v>7562.4238079999996</v>
      </c>
      <c r="AM42" s="1106">
        <f>IF($P42="","N/A",(IF($P42=-1,INDEX('卡片raw data'!T:T,MATCH($D42,'卡片raw data'!$F:$F,)),0)+IF($P42=0,INDEX('卡片raw data'!W:W,MATCH($D42,'卡片raw data'!$F:$F,)),0)+IF($P42=1,INDEX('卡片raw data'!Z:Z,MATCH($D42,'卡片raw data'!$F:$F,)),0)+IF($P42=2,INDEX('卡片raw data'!AC:AC,MATCH($D42,'卡片raw data'!$F:$F,)),0)+IF($P42=3,INDEX('卡片raw data'!AF:AF,MATCH($D42,'卡片raw data'!$F:$F,)),0)+IF($P42=4,INDEX('卡片raw data'!AI:AI,MATCH($D42,'卡片raw data'!$F:$F,)),0)+IF($P42=5,INDEX('卡片raw data'!AL:AL,MATCH($D42,'卡片raw data'!$F:$F,)),0)+INDEX('卡片raw data'!T:T,MATCH($D42,'卡片raw data'!$F:$F,))*(IF($F42="UR",0.04,0.033))*(IF($F42="UR",INDEX(绊状态确认!$S:$S,MATCH($G42,绊状态确认!$B:$B,))/2-40)+IF($F42="SR",INDEX(绊状态确认!$R:$R,MATCH($G42,绊状态确认!$B:$B,))/4-15))+IF($F42="R",INDEX(绊状态确认!$Q:$Q,MATCH($G42,绊状态确认!$B:$B,))/6-40/6)))*(INDEX(绊状态确认!$H:$H,MATCH($G42,绊状态确认!$B:$B,))+INDEX(绊状态确认!K:K,MATCH($G42,绊状态确认!$B:$B,)))</f>
        <v>5671.8178559999997</v>
      </c>
      <c r="AN42" s="1106">
        <f>IF($P42="","N/A",(IF($P42=-1,INDEX('卡片raw data'!U:U,MATCH($D42,'卡片raw data'!$F:$F,)),0)+IF($P42=0,INDEX('卡片raw data'!X:X,MATCH($D42,'卡片raw data'!$F:$F,)),0)+IF($P42=1,INDEX('卡片raw data'!AA:AA,MATCH($D42,'卡片raw data'!$F:$F,)),0)+IF($P42=2,INDEX('卡片raw data'!AD:AD,MATCH($D42,'卡片raw data'!$F:$F,)),0)+IF($P42=3,INDEX('卡片raw data'!AG:AG,MATCH($D42,'卡片raw data'!$F:$F,)),0)+IF($P42=4,INDEX('卡片raw data'!AJ:AJ,MATCH($D42,'卡片raw data'!$F:$F,)),0)+IF($P42=5,INDEX('卡片raw data'!AM:AM,MATCH($D42,'卡片raw data'!$F:$F,)),0)+INDEX('卡片raw data'!U:U,MATCH($D42,'卡片raw data'!$F:$F,))*(IF($F42="UR",0.04,0.033))*(IF($F42="UR",INDEX(绊状态确认!$S:$S,MATCH($G42,绊状态确认!$B:$B,))/2-40)+IF($F42="SR",INDEX(绊状态确认!$R:$R,MATCH($G42,绊状态确认!$B:$B,))/4-15))+IF($F42="R",INDEX(绊状态确认!$Q:$Q,MATCH($G42,绊状态确认!$B:$B,))/6-40/6)))*(INDEX(绊状态确认!$H:$H,MATCH($G42,绊状态确认!$B:$B,))+INDEX(绊状态确认!L:L,MATCH($G42,绊状态确认!$B:$B,)))</f>
        <v>5671.8178559999997</v>
      </c>
      <c r="AO42" s="1107">
        <f t="shared" si="21"/>
        <v>1</v>
      </c>
      <c r="AP42" s="1131">
        <f>1+(INDEX(绊状态确认!$T:$T,MATCH($G42,绊状态确认!$B:$B,))+0.2)*$AO42</f>
        <v>1.3</v>
      </c>
      <c r="AQ42" s="1108">
        <f t="shared" si="22"/>
        <v>23101.362496000002</v>
      </c>
      <c r="AR42" s="1097">
        <f>(AM42*(1+$EX$9)+$EX$35)*(1+(INDEX(绊状态确认!$T:$T,MATCH($G42,绊状态确认!$B:$B,))+0.2)*AO42)*IF(J42=$FF$17,1+$FE$17,1)*IF(I42=$FF$14,1+$FE$14,1)</f>
        <v>10446.031373440001</v>
      </c>
      <c r="AS42" s="1097">
        <f>(AN42*(1+$EX$10)+$EX$36)*(1+(INDEX(绊状态确认!$T:$T,MATCH($G42,绊状态确认!$B:$B,))+0.2)*AO42)*IF(J42=$FF$17,1+$FE$17,1)*IF(I42=$FF$14,1+$FE$14,1)</f>
        <v>12535.367694719998</v>
      </c>
      <c r="AT42" s="1093">
        <f>IF(AND(INDEX('卡片raw data'!AK:AK,MATCH($D42,'卡片raw data'!$F:$F,))&lt;INDEX('卡片raw data'!AM:AM,MATCH($D42,'卡片raw data'!$F:$F,)),INDEX('卡片raw data'!AL:AL,MATCH($D42,'卡片raw data'!$F:$F,))&lt;INDEX('卡片raw data'!AM:AM,MATCH($D42,'卡片raw data'!$F:$F,))),1,0)</f>
        <v>0</v>
      </c>
      <c r="AU42" s="1098">
        <f>MIN(AT42*0.15+AS42*0.00003+INDEX(绊状态确认!M:M,MATCH($G42,绊状态确认!$B:$B,)),1)</f>
        <v>0.4060610308416</v>
      </c>
      <c r="AV42" s="1109">
        <f>(INDEX(绊状态确认!$N:$N,MATCH($G42,绊状态确认!$B:$B,))+1.5)*$EW$21</f>
        <v>2.6599999999999997</v>
      </c>
      <c r="AW42" s="1101">
        <f t="shared" si="23"/>
        <v>20084.744824564968</v>
      </c>
      <c r="AX42" s="1097">
        <f t="shared" si="24"/>
        <v>891.38596643190999</v>
      </c>
      <c r="AY42" s="1110">
        <f t="shared" si="25"/>
        <v>20976.130790996878</v>
      </c>
      <c r="AZ42" s="429">
        <f t="shared" si="26"/>
        <v>17346.726425599998</v>
      </c>
      <c r="BA42" s="431">
        <f t="shared" si="27"/>
        <v>20816.071710719996</v>
      </c>
      <c r="BB42" s="1097">
        <f>(AM42*(1+$FB$9)+$FB$35)*(1+(INDEX(绊状态确认!$T:$T,MATCH($G42,绊状态确认!$B:$B,))+0.2)*AO42)*IF(J42=$FF$17,1+$FE$17,1)*IF(I42=$FF$14,1+$FE$14,1)*(1+$FE$15)</f>
        <v>10446.031373440001</v>
      </c>
      <c r="BC42" s="1097">
        <f>(AN42*(1+$FB$10)+$FB$36)*(1+(INDEX(绊状态确认!$T:$T,MATCH($G42,绊状态确认!$B:$B,))+0.2)*AO42)*IF(J42=$FF$17,1+$FE$17,1)*IF(I42=$FF$14,1+$FE$14,1)*(1+$FE$15)</f>
        <v>12535.367694719998</v>
      </c>
      <c r="BD42" s="1104">
        <f>MIN(AT42*0.15+BC42*0.00003+INDEX(绊状态确认!M:M,MATCH($G42,绊状态确认!$B:$B,)),1)</f>
        <v>0.4060610308416</v>
      </c>
      <c r="BE42" s="432">
        <f>(INDEX(绊状态确认!$N:$N,MATCH($G42,绊状态确认!$B:$B,))+1.5)</f>
        <v>1.9</v>
      </c>
      <c r="BF42" s="1139">
        <f t="array" ref="BF42">SUMPRODUCT(IF(AZ42*AP42*$FI$16:$FI$23*$FA$22&gt;=$FI$24,$FI$24,AZ42*AP42*$FI$16:$FI$23*$FA$22),$FJ$16:$FJ$23)</f>
        <v>34502.638860518404</v>
      </c>
      <c r="BG42" s="1125">
        <f t="array" ref="BG42">SUMPRODUCT(IF(BE42*AZ42*AP42*$FI$16:$FI$23*$FA$22&gt;=$FI$24,$FI$24,BE42*AZ42*AP42*$FI$16:$FI$23*$FA$22),$FJ$16:$FJ$23)</f>
        <v>58708.599563752956</v>
      </c>
      <c r="BH42" s="1110">
        <f t="shared" si="28"/>
        <v>14777.24540539503</v>
      </c>
      <c r="BI42" s="1111">
        <f>IF(O42="vo",$EW$26/$EW$24*0.05,0)+IF(O42="sk",-$EW$26/$EW$24*(0.05-INDEX(绊状态确认!W:W,MATCH($G42,绊状态确认!$B:$B,)))+0.05*$EW$28,0)+IF(O42="sp",0.05*$EW$32*$EW$30*(1-$EW$33)-(0.05-INDEX(绊状态确认!V:V,MATCH($G42,绊状态确认!$B:$B,)))*$EW$28,0)+IF(O42="gd",-(0.05-INDEX(绊状态确认!X:X,MATCH($G42,绊状态确认!$B:$B,)))*$EW$32*$EW$30*(1-$EW$33),0)</f>
        <v>7726.3029277443748</v>
      </c>
      <c r="BJ42" s="1097">
        <f>IF(O42="vo",0.05*(1-$FI$26)*$FA$24,0)+IF(O42="sk",-(0.05-INDEX(绊状态确认!W:W,MATCH($G42,绊状态确认!$B:$B,)))*(1-$FI$26)*$FA$24+0.05*$FA$26,0)+IF(O42="sp",0.05*$FA$32*$FA$27*(1-$FA$33)/$FA$30+0.05*$FA$29/$FA$69*$FA$27*(1-$FA$33)-(0.05-INDEX(绊状态确认!V:V,MATCH($G42,绊状态确认!$B:$B,)))*$FA$26,0)+IF(O42="gd",-(0.05-INDEX(绊状态确认!X:X,MATCH($G42,绊状态确认!$B:$B,)))*$FA$32*$FA$27*(1-$FA$33)/$FA$30-(0.05-INDEX(绊状态确认!X:X,MATCH($G42,绊状态确认!$B:$B,)))*$FA$29/$FA$69*$FA$27*(1-$FA$33),0)</f>
        <v>393.93433687500004</v>
      </c>
      <c r="BK42" s="1110">
        <f>IF(O42="vo",$EW$26/$EW$24*0.05+$EW$26*(-HP($EW$62,$EW$65,$EW$64)+HP($EW$62,$EW$65,(1.05-INDEX(绊状态确认!U:U,MATCH($G42,绊状态确认!$B:$B,)))*$EW$64)),0)+IF(O42="sk",-$EW$26/$EW$24*(0.05-INDEX(绊状态确认!W:W,MATCH($G42,绊状态确认!$B:$B,)))+0.05*$EW$29,0)+IF(O42="sp",0.05*$EW$32*$EW$30*(1-$EW$33)-(0.05-INDEX(绊状态确认!V:V,MATCH($G42,绊状态确认!$B:$B,)))*$EW$29,0)+IF(O42="gd",-(0.05-INDEX(绊状态确认!X:X,MATCH($G42,绊状态确认!$B:$B,)))*$EW$32*$EW$30*(1-$EW$33)+$EW$26*(-HP($EW$62,$EW$65,$EW$64)+HP($EW$62,$EW$65,0.95*$EW$64)),0)</f>
        <v>6421.6344775026746</v>
      </c>
      <c r="BL42" s="1111">
        <f t="shared" si="29"/>
        <v>-1083.3333333333333</v>
      </c>
      <c r="BM42" s="1110">
        <f t="shared" si="30"/>
        <v>-830.55555555555543</v>
      </c>
      <c r="BN42" s="1113">
        <f t="shared" si="31"/>
        <v>3</v>
      </c>
      <c r="BO42" s="1097">
        <f t="shared" si="32"/>
        <v>4507.7214871259994</v>
      </c>
      <c r="BP42" s="1100">
        <f t="shared" si="33"/>
        <v>221.34103209030098</v>
      </c>
      <c r="BQ42" s="1113" t="s">
        <v>619</v>
      </c>
      <c r="BR42" s="1124" t="s">
        <v>620</v>
      </c>
      <c r="BS42" s="1098">
        <f>IF($P42="","N/A",IF($P42=-1,INDEX('卡片raw data'!AX:AX,MATCH($D42,'卡片raw data'!$F:$F,)),0)+IF($L42="party卡",IF($P42=5,INDEX('卡片raw data'!BD:BD,MATCH($D42,'卡片raw data'!$F:$F,)),IF($P42&gt;=3,INDEX('卡片raw data'!BC:BC,MATCH($D42,'卡片raw data'!$F:$F,)),INDEX('卡片raw data'!BB:BB,MATCH($D42,'卡片raw data'!$F:$F,)))),IF(OR(AND($F42="UR",$P42=0),AND($F42="SR",$P42&gt;=0,$P42&lt;=2),AND($F42="R",$P42&gt;=0,$P42&lt;4)),INDEX('卡片raw data'!AZ:AZ,MATCH($D42,'卡片raw data'!$F:$F,)),0)+IF(OR(AND($F42="UR",$P42&gt;=1,$P42&lt;=4),AND($F42="SR",$P42&lt;=4,$P42&gt;=3),AND($F42="R",$P42=4)),INDEX('卡片raw data'!BA:BA,MATCH($D42,'卡片raw data'!$F:$F,)),0)+IF($P42=5,INDEX('卡片raw data'!BB:BB,MATCH($D42,'卡片raw data'!$F:$F,)),0)))</f>
        <v>4.2000000000000003E-2</v>
      </c>
      <c r="BT42" s="1101">
        <f t="shared" si="34"/>
        <v>1682.88268852704</v>
      </c>
      <c r="BU42" s="1097">
        <f t="shared" si="35"/>
        <v>61.975488985284287</v>
      </c>
      <c r="BV42" s="1097">
        <f t="shared" si="36"/>
        <v>946.62151229645997</v>
      </c>
      <c r="BW42" s="1112">
        <f t="shared" si="37"/>
        <v>0</v>
      </c>
      <c r="BX42" s="1100">
        <f t="shared" si="38"/>
        <v>1682.88268852704</v>
      </c>
      <c r="BY42" s="1110">
        <f t="shared" si="39"/>
        <v>946.62151229645997</v>
      </c>
      <c r="BZ42" s="1107" t="s">
        <v>569</v>
      </c>
      <c r="CA42" s="1124"/>
      <c r="CB42" s="1098">
        <f>IF($P42="","N/A",IF($P42=-1,INDEX('卡片raw data'!BE:BE,MATCH($D42,'卡片raw data'!$F:$F,)),0)+IF($L42="party卡",IF($P42=5,INDEX('卡片raw data'!BK:BK,MATCH($D42,'卡片raw data'!$F:$F,)),IF($P42&gt;=3,INDEX('卡片raw data'!BJ:BJ,MATCH($D42,'卡片raw data'!$F:$F,)),INDEX('卡片raw data'!BI:BI,MATCH($D42,'卡片raw data'!$F:$F,)))),IF(OR(AND($F42="UR",$P42=0),AND($F42="SR",$P42&gt;=0,$P42&lt;=2),AND($F42="R",$P42&gt;=0,$P42&lt;4)),INDEX('卡片raw data'!BG:BG,MATCH($D42,'卡片raw data'!$F:$F,)),0)+IF(OR(AND($F42="UR",$P42&gt;=1,$P42&lt;=4),AND($F42="SR",$P42&lt;=4,$P42&gt;=3),AND($F42="R",$P42=4)),INDEX('卡片raw data'!BH:BH,MATCH($D42,'卡片raw data'!$F:$F,)),0)+IF($P42=5,INDEX('卡片raw data'!BI:BI,MATCH($D42,'卡片raw data'!$F:$F,)),0)))</f>
        <v>0</v>
      </c>
      <c r="CC42" s="1101">
        <f t="shared" si="40"/>
        <v>0</v>
      </c>
      <c r="CD42" s="1097">
        <f>IF(BZ42="ap",CB42*(1-$FI$26)*$FB$5/$FB$11*(+IF(CA42="全员",$FA$24,0)+IF(CA42="同作战",$FA$24,0)+IF(CA42="仲间",$FA$24*2/3,0)+IF(CA42="同属性",$FA$24*$FA$37/3,0)+IF(CA42="同年级",$FA$24*$FA$40/3,0)+IF(CA42="同学校",$FA$24*$FA$43/3,0)+IF(CA42="同小队",$FA$24*$FA$46/3,0)+IF(CA42="同type",$FA$24*INDEX($FB$49:$FB$52,MATCH(X42,$FA$49:$FA$52,))/3,0)+IF(CA42="自身",#REF!/3,0)),0)+IF(BZ42="te",CB42*(1-$FI$27)*($FA$20-1)*$FB$7/$FB$13*(+IF(CA42="全员",$FA$19*$FA$24/(1+($FA$20-1)*$FA$19),0)+IF(CA42="同作战",$FA$19*$FA$24/(1+($FA$20-1)*$FA$19),0)+IF(CA42="仲间",$FA$19*$FA$24*2/3/(1+($FA$20-1)*$FA$19),0)+IF(CA42="同属性",$FA$19*$FA$24*$FA$37/3/(1+($FA$20-1)*$FA$19),0)+IF(CA42="同年级",$FA$19*$FA$24*$FA$40/3/(1+($FA$20-1)*$FA$19),0)+IF(CA42="同学校",$FA$19*$FA$24*$FA$43/3/(1+($FA$20-1)*$FA$19),0)+IF(CA42="同小队",$FA$19*$FA$24*$FA$46/3/(1+($FA$20-1)*$FA$19),0)+IF(CA42="同type",$FA$19*$FA$24*INDEX($FB$49:$FB$52,MATCH(X42,$FA$49:$FA$52,))/3/(1+($FA$20-1)*$FA$19),0)+IF(CA42="自身",$FA$19*#REF!/3/(1+(BH42-1)*$BD42),0)),0)</f>
        <v>0</v>
      </c>
      <c r="CE42" s="1097">
        <f t="shared" si="41"/>
        <v>0</v>
      </c>
      <c r="CF42" s="1112">
        <f t="shared" si="42"/>
        <v>0</v>
      </c>
      <c r="CG42" s="1100">
        <f t="shared" si="43"/>
        <v>0</v>
      </c>
      <c r="CH42" s="1110">
        <f t="shared" si="44"/>
        <v>0</v>
      </c>
      <c r="CI42" s="1113" t="s">
        <v>571</v>
      </c>
      <c r="CJ42" s="1114">
        <v>0.8</v>
      </c>
      <c r="CK42" s="1115" t="s">
        <v>566</v>
      </c>
      <c r="CL42" s="1115" t="s">
        <v>178</v>
      </c>
      <c r="CM42" s="1119">
        <v>0.1</v>
      </c>
      <c r="CN42" s="1115">
        <v>10</v>
      </c>
      <c r="CO42" s="1092"/>
      <c r="CP42" s="1117">
        <f t="shared" si="45"/>
        <v>0</v>
      </c>
      <c r="CQ42" s="1117">
        <f t="shared" si="46"/>
        <v>0</v>
      </c>
      <c r="CR42" s="1117">
        <f t="shared" si="47"/>
        <v>0</v>
      </c>
      <c r="CS42" s="1118">
        <f t="shared" si="48"/>
        <v>0</v>
      </c>
      <c r="CT42" s="1109">
        <f t="shared" si="49"/>
        <v>0</v>
      </c>
      <c r="CU42" s="1101">
        <f t="shared" si="50"/>
        <v>0</v>
      </c>
      <c r="CV42" s="1108">
        <f t="shared" si="51"/>
        <v>0</v>
      </c>
      <c r="CW42" s="1097">
        <f t="shared" si="52"/>
        <v>0</v>
      </c>
      <c r="CX42" s="1097">
        <f t="shared" si="53"/>
        <v>0</v>
      </c>
      <c r="CY42" s="1110">
        <f t="shared" si="54"/>
        <v>0</v>
      </c>
      <c r="CZ42" s="437"/>
      <c r="DA42" s="438"/>
      <c r="DB42" s="439" t="s">
        <v>569</v>
      </c>
      <c r="DC42" s="439"/>
      <c r="DD42" s="443"/>
      <c r="DE42" s="411"/>
      <c r="DF42" s="411"/>
      <c r="DG42" s="1116">
        <f t="shared" si="55"/>
        <v>0</v>
      </c>
      <c r="DH42" s="1116">
        <f t="shared" si="56"/>
        <v>0</v>
      </c>
      <c r="DI42" s="1116">
        <f t="shared" si="57"/>
        <v>0</v>
      </c>
      <c r="DJ42" s="442">
        <f t="shared" si="58"/>
        <v>0</v>
      </c>
      <c r="DK42" s="1109">
        <f t="shared" si="59"/>
        <v>0</v>
      </c>
      <c r="DL42" s="1101">
        <f t="shared" si="60"/>
        <v>0</v>
      </c>
      <c r="DM42" s="1097">
        <f t="shared" si="61"/>
        <v>0</v>
      </c>
      <c r="DN42" s="1097">
        <f t="shared" si="62"/>
        <v>0</v>
      </c>
      <c r="DO42" s="1097">
        <f t="shared" si="63"/>
        <v>0</v>
      </c>
      <c r="DP42" s="1110">
        <f t="shared" si="64"/>
        <v>0</v>
      </c>
      <c r="DQ42" s="1113" t="s">
        <v>554</v>
      </c>
      <c r="DR42" s="1120">
        <f t="shared" si="65"/>
        <v>0.3</v>
      </c>
      <c r="DS42" s="1124">
        <v>5</v>
      </c>
      <c r="DT42" s="1093" t="s">
        <v>557</v>
      </c>
      <c r="DU42" s="1093" t="s">
        <v>544</v>
      </c>
      <c r="DV42" s="1098">
        <f>IF($P42="","N/A",IF(P42=-1,INDEX('卡片raw data'!AN:AN,MATCH(D42,'卡片raw data'!$F:$F,)),0)+IF(AND(L42&lt;&gt;"party卡",P42&lt;=2,P42&gt;=0),INDEX('卡片raw data'!AP:AP,MATCH(D42,'卡片raw data'!$F:$F,)),0)+IF(OR(AND(L42="party卡",P42&lt;=1),AND(P42&lt;=4,L42&lt;&gt;"party卡",P42&gt;=3)),INDEX('卡片raw data'!AQ:AQ,MATCH(D42,'卡片raw data'!$F:$F,)),0)+IF(OR(P42=5,AND(L42="party卡",P42&gt;=2)),INDEX('卡片raw data'!AR:AR,MATCH(D42,'卡片raw data'!$F:$F,)),0))</f>
        <v>6.2E-2</v>
      </c>
      <c r="DW42" s="1098">
        <f t="shared" si="66"/>
        <v>0.3</v>
      </c>
      <c r="DX42" s="1098">
        <f t="shared" si="67"/>
        <v>0.3</v>
      </c>
      <c r="DY42" s="1098">
        <f t="shared" si="68"/>
        <v>1.6533333333333334E-2</v>
      </c>
      <c r="DZ42" s="1098">
        <f t="shared" si="69"/>
        <v>1.0725999999999999E-2</v>
      </c>
      <c r="EA42" s="1098">
        <f t="shared" si="70"/>
        <v>0</v>
      </c>
      <c r="EB42" s="1121">
        <f t="shared" si="71"/>
        <v>0</v>
      </c>
      <c r="EC42" s="1101">
        <f t="shared" si="72"/>
        <v>2810.3139182515542</v>
      </c>
      <c r="ED42" s="1097">
        <f t="shared" si="73"/>
        <v>84.506793946425006</v>
      </c>
      <c r="EE42" s="1110">
        <f t="shared" si="74"/>
        <v>2810.3139182515542</v>
      </c>
      <c r="EF42" s="1092" t="s">
        <v>711</v>
      </c>
      <c r="EG42" s="1120">
        <f t="shared" si="75"/>
        <v>0.3</v>
      </c>
      <c r="EH42" s="1124"/>
      <c r="EI42" s="1093"/>
      <c r="EJ42" s="1093"/>
      <c r="EK42" s="1097">
        <f>IF($P42="","N/A",IF(P42=-1,INDEX('卡片raw data'!AS:AS,MATCH(D42,'卡片raw data'!$F:$F,)),0)+IF(AND(L42&lt;&gt;"party卡",P42&lt;=2,P42&gt;=0),INDEX('卡片raw data'!AU:AU,MATCH(D42,'卡片raw data'!$F:$F,)),0)+IF(OR(AND(L42="party卡",P42&lt;=1),AND(P42&lt;=4,L42&lt;&gt;"party卡",P42&gt;=3)),INDEX('卡片raw data'!AV:AV,MATCH(D42,'卡片raw data'!$F:$F,)),0)+IF(OR(P42=5,AND(L42="party卡",P42&gt;=2)),INDEX('卡片raw data'!AW:AW,MATCH(D42,'卡片raw data'!$F:$F,)),0))</f>
        <v>0</v>
      </c>
      <c r="EL42" s="1098">
        <f t="shared" si="76"/>
        <v>0.3</v>
      </c>
      <c r="EM42" s="1098">
        <f t="shared" si="77"/>
        <v>0.3</v>
      </c>
      <c r="EN42" s="1125">
        <f t="shared" si="78"/>
        <v>0</v>
      </c>
      <c r="EO42" s="1125">
        <f t="shared" si="79"/>
        <v>0</v>
      </c>
      <c r="EP42" s="1098">
        <f t="shared" si="80"/>
        <v>0</v>
      </c>
      <c r="EQ42" s="1121">
        <f t="shared" si="81"/>
        <v>0</v>
      </c>
      <c r="ER42" s="1101">
        <f t="shared" si="82"/>
        <v>0</v>
      </c>
      <c r="ES42" s="1097">
        <f t="shared" si="83"/>
        <v>0</v>
      </c>
      <c r="ET42" s="1122">
        <f t="shared" si="84"/>
        <v>0</v>
      </c>
      <c r="EV42" s="1231" t="s">
        <v>247</v>
      </c>
      <c r="EW42" s="1312">
        <v>4</v>
      </c>
      <c r="EX42" s="1313"/>
      <c r="EY42" s="1212"/>
      <c r="EZ42" s="1231" t="s">
        <v>247</v>
      </c>
      <c r="FA42" s="1312">
        <v>4</v>
      </c>
      <c r="FB42" s="1313"/>
      <c r="FC42" s="447"/>
      <c r="FD42" s="447"/>
      <c r="FE42" s="447"/>
      <c r="FF42" s="642"/>
      <c r="FG42" s="642"/>
      <c r="FH42" s="642"/>
      <c r="FI42" s="642"/>
      <c r="FJ42" s="447"/>
    </row>
    <row r="43" spans="2:166" ht="16.5" customHeight="1">
      <c r="B43" s="1123" t="str">
        <f>INDEX('卡片raw data'!B:B,MATCH($D43,'卡片raw data'!$F:$F,))</f>
        <v>初始千</v>
      </c>
      <c r="C43" s="449" t="s">
        <v>67</v>
      </c>
      <c r="D43" s="408">
        <v>40</v>
      </c>
      <c r="E43" s="1090">
        <v>101013001</v>
      </c>
      <c r="F43" s="1090" t="str">
        <f>INDEX('卡片raw data'!C:C,MATCH($D43,'卡片raw data'!$F:$F,))</f>
        <v>UR</v>
      </c>
      <c r="G43" s="1094" t="s">
        <v>33</v>
      </c>
      <c r="H43" s="411">
        <f>IFERROR(INDEX(绊状态确认!C:C,MATCH($G43,绊状态确认!$B:$B,)),"")</f>
        <v>101</v>
      </c>
      <c r="I43" s="450" t="str">
        <f>IFERROR(INDEX(绊状态确认!D:D,MATCH($G43,绊状态确认!$B:$B,)),"")</f>
        <v>水</v>
      </c>
      <c r="J43" s="450" t="str">
        <f>IFERROR(INDEX(绊状态确认!E:E,MATCH($G43,绊状态确认!$B:$B,)),"")</f>
        <v>2年级</v>
      </c>
      <c r="K43" s="451" t="str">
        <f>IFERROR(INDEX(绊状态确认!F:F,MATCH($G43,绊状态确认!$B:$B,)),"")</f>
        <v>CYaRon!</v>
      </c>
      <c r="L43" s="1094" t="str">
        <f>INDEX('卡片raw data'!E:E,MATCH($D43,'卡片raw data'!$F:$F,))</f>
        <v>卡池卡</v>
      </c>
      <c r="M43" s="415">
        <v>43735</v>
      </c>
      <c r="N43" s="416">
        <v>0</v>
      </c>
      <c r="O43" s="1091" t="str">
        <f>INDEX('卡片raw data'!D:D,MATCH($D43,'卡片raw data'!$F:$F,))</f>
        <v>sk</v>
      </c>
      <c r="P43" s="417">
        <v>5</v>
      </c>
      <c r="Q43" s="1095">
        <f t="shared" si="0"/>
        <v>19390.296022019094</v>
      </c>
      <c r="R43" s="1096">
        <f t="shared" si="1"/>
        <v>0.22500000000000001</v>
      </c>
      <c r="S43" s="1097">
        <f t="shared" si="2"/>
        <v>15322.340993306663</v>
      </c>
      <c r="T43" s="1098">
        <f t="shared" si="3"/>
        <v>0.76600000000000001</v>
      </c>
      <c r="U43" s="1099">
        <f t="shared" si="4"/>
        <v>31.481809949571428</v>
      </c>
      <c r="V43" s="1100">
        <f t="shared" si="5"/>
        <v>24034.882846241635</v>
      </c>
      <c r="W43" s="1101">
        <f t="shared" si="6"/>
        <v>4507.7214871259994</v>
      </c>
      <c r="X43" s="1096">
        <f t="shared" si="7"/>
        <v>5.1999999999999998E-2</v>
      </c>
      <c r="Y43" s="1097">
        <f t="shared" si="8"/>
        <v>2644.5868242225433</v>
      </c>
      <c r="Z43" s="1102">
        <f t="shared" si="9"/>
        <v>31.481809949571428</v>
      </c>
      <c r="AA43" s="1103">
        <f t="shared" si="10"/>
        <v>7152.3083113485427</v>
      </c>
      <c r="AB43" s="1101">
        <f t="shared" si="11"/>
        <v>4507.7214871259994</v>
      </c>
      <c r="AC43" s="1104">
        <f t="shared" si="12"/>
        <v>5.1999999999999998E-2</v>
      </c>
      <c r="AD43" s="1105">
        <f t="shared" si="13"/>
        <v>3.1672291619318185E-2</v>
      </c>
      <c r="AE43" s="1128">
        <f t="shared" si="14"/>
        <v>16.77125770474585</v>
      </c>
      <c r="AF43" s="1130">
        <f t="shared" si="15"/>
        <v>0</v>
      </c>
      <c r="AG43" s="420">
        <f t="shared" si="16"/>
        <v>0</v>
      </c>
      <c r="AH43" s="420">
        <f t="shared" si="17"/>
        <v>0</v>
      </c>
      <c r="AI43" s="1097">
        <f t="shared" si="18"/>
        <v>0</v>
      </c>
      <c r="AJ43" s="420">
        <f t="shared" si="19"/>
        <v>0</v>
      </c>
      <c r="AK43" s="518">
        <f t="shared" si="20"/>
        <v>0</v>
      </c>
      <c r="AL43" s="1106">
        <f>IF($P43="","N/A",(IF($P43=-1,INDEX('卡片raw data'!S:S,MATCH($D43,'卡片raw data'!$F:$F,)),0)+IF($P43=0,INDEX('卡片raw data'!V:V,MATCH($D43,'卡片raw data'!$F:$F,)),0)+IF($P43=1,INDEX('卡片raw data'!Y:Y,MATCH($D43,'卡片raw data'!$F:$F,)),0)+IF($P43=2,INDEX('卡片raw data'!AB:AB,MATCH($D43,'卡片raw data'!$F:$F,)),0)+IF($P43=3,INDEX('卡片raw data'!AE:AE,MATCH($D43,'卡片raw data'!$F:$F,)),0)+IF($P43=4,INDEX('卡片raw data'!AH:AH,MATCH($D43,'卡片raw data'!$F:$F,)),0)+IF($P43=5,INDEX('卡片raw data'!AK:AK,MATCH($D43,'卡片raw data'!$F:$F,)),0)+INDEX('卡片raw data'!S:S,MATCH($D43,'卡片raw data'!$F:$F,))*(IF($F43="UR",0.04,0.033))*(IF($F43="UR",INDEX(绊状态确认!$S:$S,MATCH($G43,绊状态确认!$B:$B,))/2-40)+IF($F43="SR",INDEX(绊状态确认!$R:$R,MATCH($G43,绊状态确认!$B:$B,))/4-15))+IF($F43="R",INDEX(绊状态确认!$Q:$Q,MATCH($G43,绊状态确认!$B:$B,))/6-40/6)))*(INDEX(绊状态确认!$H:$H,MATCH($G43,绊状态确认!$B:$B,))+INDEX(绊状态确认!J:J,MATCH($G43,绊状态确认!$B:$B,)))</f>
        <v>6145.6511999999993</v>
      </c>
      <c r="AM43" s="1106">
        <f>IF($P43="","N/A",(IF($P43=-1,INDEX('卡片raw data'!T:T,MATCH($D43,'卡片raw data'!$F:$F,)),0)+IF($P43=0,INDEX('卡片raw data'!W:W,MATCH($D43,'卡片raw data'!$F:$F,)),0)+IF($P43=1,INDEX('卡片raw data'!Z:Z,MATCH($D43,'卡片raw data'!$F:$F,)),0)+IF($P43=2,INDEX('卡片raw data'!AC:AC,MATCH($D43,'卡片raw data'!$F:$F,)),0)+IF($P43=3,INDEX('卡片raw data'!AF:AF,MATCH($D43,'卡片raw data'!$F:$F,)),0)+IF($P43=4,INDEX('卡片raw data'!AI:AI,MATCH($D43,'卡片raw data'!$F:$F,)),0)+IF($P43=5,INDEX('卡片raw data'!AL:AL,MATCH($D43,'卡片raw data'!$F:$F,)),0)+INDEX('卡片raw data'!T:T,MATCH($D43,'卡片raw data'!$F:$F,))*(IF($F43="UR",0.04,0.033))*(IF($F43="UR",INDEX(绊状态确认!$S:$S,MATCH($G43,绊状态确认!$B:$B,))/2-40)+IF($F43="SR",INDEX(绊状态确认!$R:$R,MATCH($G43,绊状态确认!$B:$B,))/4-15))+IF($F43="R",INDEX(绊状态确认!$Q:$Q,MATCH($G43,绊状态确认!$B:$B,))/6-40/6)))*(INDEX(绊状态确认!$H:$H,MATCH($G43,绊状态确认!$B:$B,))+INDEX(绊状态确认!K:K,MATCH($G43,绊状态确认!$B:$B,)))</f>
        <v>14748.881039999998</v>
      </c>
      <c r="AN43" s="1106">
        <f>IF($P43="","N/A",(IF($P43=-1,INDEX('卡片raw data'!U:U,MATCH($D43,'卡片raw data'!$F:$F,)),0)+IF($P43=0,INDEX('卡片raw data'!X:X,MATCH($D43,'卡片raw data'!$F:$F,)),0)+IF($P43=1,INDEX('卡片raw data'!AA:AA,MATCH($D43,'卡片raw data'!$F:$F,)),0)+IF($P43=2,INDEX('卡片raw data'!AD:AD,MATCH($D43,'卡片raw data'!$F:$F,)),0)+IF($P43=3,INDEX('卡片raw data'!AG:AG,MATCH($D43,'卡片raw data'!$F:$F,)),0)+IF($P43=4,INDEX('卡片raw data'!AJ:AJ,MATCH($D43,'卡片raw data'!$F:$F,)),0)+IF($P43=5,INDEX('卡片raw data'!AM:AM,MATCH($D43,'卡片raw data'!$F:$F,)),0)+INDEX('卡片raw data'!U:U,MATCH($D43,'卡片raw data'!$F:$F,))*(IF($F43="UR",0.04,0.033))*(IF($F43="UR",INDEX(绊状态确认!$S:$S,MATCH($G43,绊状态确认!$B:$B,))/2-40)+IF($F43="SR",INDEX(绊状态确认!$R:$R,MATCH($G43,绊状态确认!$B:$B,))/4-15))+IF($F43="R",INDEX(绊状态确认!$Q:$Q,MATCH($G43,绊状态确认!$B:$B,))/6-40/6)))*(INDEX(绊状态确认!$H:$H,MATCH($G43,绊状态确认!$B:$B,))+INDEX(绊状态确认!L:L,MATCH($G43,绊状态确认!$B:$B,)))</f>
        <v>9832.5873599999977</v>
      </c>
      <c r="AO43" s="1107">
        <f t="shared" si="21"/>
        <v>1</v>
      </c>
      <c r="AP43" s="1131">
        <f>1+(INDEX(绊状态确认!$T:$T,MATCH($G43,绊状态确认!$B:$B,))+0.2)*$AO43</f>
        <v>1.3</v>
      </c>
      <c r="AQ43" s="1108">
        <f t="shared" si="22"/>
        <v>19382.3344</v>
      </c>
      <c r="AR43" s="1097">
        <f>(AM43*(1+$EX$9)+$EX$35)*(1+(INDEX(绊状态确认!$T:$T,MATCH($G43,绊状态确认!$B:$B,))+0.2)*AO43)*IF(J43=$FF$17,1+$FE$17,1)*IF(I43=$FF$14,1+$FE$14,1)*(1+$FE$15)</f>
        <v>22836.222619600001</v>
      </c>
      <c r="AS43" s="1097">
        <f>(AN43*(1+$EX$10)+$EX$36)*(1+(INDEX(绊状态确认!$T:$T,MATCH($G43,绊状态确认!$B:$B,))+0.2)*AO43)*IF(J43=$FF$17,1+$FE$17,1)*IF(I43=$FF$14,1+$FE$14,1)*(1+$FE$15)</f>
        <v>18755.718103199997</v>
      </c>
      <c r="AT43" s="1093">
        <f>IF(AND(INDEX('卡片raw data'!AK:AK,MATCH($D43,'卡片raw data'!$F:$F,))&lt;INDEX('卡片raw data'!AM:AM,MATCH($D43,'卡片raw data'!$F:$F,)),INDEX('卡片raw data'!AL:AL,MATCH($D43,'卡片raw data'!$F:$F,))&lt;INDEX('卡片raw data'!AM:AM,MATCH($D43,'卡片raw data'!$F:$F,))),1,0)</f>
        <v>0</v>
      </c>
      <c r="AU43" s="1098">
        <f>MIN(AT43*0.15+AS43*0.00003+INDEX(绊状态确认!M:M,MATCH($G43,绊状态确认!$B:$B,)),1)</f>
        <v>0.59267154309600001</v>
      </c>
      <c r="AV43" s="1109">
        <f>(INDEX(绊状态确认!$N:$N,MATCH($G43,绊状态确认!$B:$B,))+1.5)*$EW$21</f>
        <v>2.6599999999999997</v>
      </c>
      <c r="AW43" s="1101">
        <f t="shared" si="23"/>
        <v>19969.580503196365</v>
      </c>
      <c r="AX43" s="1097">
        <f t="shared" si="24"/>
        <v>2003.0720488359264</v>
      </c>
      <c r="AY43" s="1110">
        <f t="shared" si="25"/>
        <v>21972.65255203229</v>
      </c>
      <c r="AZ43" s="429">
        <f t="shared" si="26"/>
        <v>14584.019839999999</v>
      </c>
      <c r="BA43" s="431">
        <f t="shared" si="27"/>
        <v>17500.823807999997</v>
      </c>
      <c r="BB43" s="1097">
        <f>(AM43*(1+$FB$9)+$FB$35)*(1+(INDEX(绊状态确认!$T:$T,MATCH($G43,绊状态确认!$B:$B,))+0.2)*AO43)*IF(J43=$FF$17,1+$FE$17,1)*IF(I43=$FF$14,1+$FE$14,1)*(1+$FE$15)</f>
        <v>22836.222619600001</v>
      </c>
      <c r="BC43" s="1097">
        <f>(AN43*(1+$FB$10)+$FB$36)*(1+(INDEX(绊状态确认!$T:$T,MATCH($G43,绊状态确认!$B:$B,))+0.2)*AO43)*IF(J43=$FF$17,1+$FE$17,1)*IF(I43=$FF$14,1+$FE$14,1)*(1+$FE$15)</f>
        <v>18755.718103199997</v>
      </c>
      <c r="BD43" s="1104">
        <f>MIN(AT43*0.15+BC43*0.00003+INDEX(绊状态确认!M:M,MATCH($G43,绊状态确认!$B:$B,)),1)</f>
        <v>0.59267154309600001</v>
      </c>
      <c r="BE43" s="432">
        <f>(INDEX(绊状态确认!$N:$N,MATCH($G43,绊状态确认!$B:$B,))+1.5)</f>
        <v>1.9</v>
      </c>
      <c r="BF43" s="1139">
        <f t="array" ref="BF43">SUMPRODUCT(IF(AZ43*AP43*$FI$16:$FI$23*$FA$22&gt;=$FI$24,$FI$24,AZ43*AP43*$FI$16:$FI$23*$FA$22),$FJ$16:$FJ$23)</f>
        <v>29007.615461760004</v>
      </c>
      <c r="BG43" s="1125">
        <f t="array" ref="BG43">SUMPRODUCT(IF(BE43*AZ43*AP43*$FI$16:$FI$23*$FA$22&gt;=$FI$24,$FI$24,BE43*AZ43*AP43*$FI$16:$FI$23*$FA$22),$FJ$16:$FJ$23)</f>
        <v>53662.303714751994</v>
      </c>
      <c r="BH43" s="1110">
        <f t="shared" si="28"/>
        <v>14539.915864403863</v>
      </c>
      <c r="BI43" s="1111">
        <f>IF(O43="vo",$EW$26/$EW$24*0.05,0)+IF(O43="sk",-$EW$26/$EW$24*(0.05-INDEX(绊状态确认!W:W,MATCH($G43,绊状态确认!$B:$B,)))+0.05*$EW$28,0)+IF(O43="sp",0.05*$EW$32*$EW$30*(1-$EW$33)-(0.05-INDEX(绊状态确认!V:V,MATCH($G43,绊状态确认!$B:$B,)))*$EW$28,0)+IF(O43="gd",-(0.05-INDEX(绊状态确认!X:X,MATCH($G43,绊状态确认!$B:$B,)))*$EW$32*$EW$30*(1-$EW$33),0)</f>
        <v>-6253.6726349699375</v>
      </c>
      <c r="BJ43" s="1097">
        <f>IF(O43="vo",0.05*(1-$FI$26)*$FA$24,0)+IF(O43="sk",-(0.05-INDEX(绊状态确认!W:W,MATCH($G43,绊状态确认!$B:$B,)))*(1-$FI$26)*$FA$24+0.05*$FA$26,0)+IF(O43="sp",0.05*$FA$32*$FA$27*(1-$FA$33)/$FA$30+0.05*$FA$29/$FA$69*$FA$27*(1-$FA$33)-(0.05-INDEX(绊状态确认!V:V,MATCH($G43,绊状态确认!$B:$B,)))*$FA$26,0)+IF(O43="gd",-(0.05-INDEX(绊状态确认!X:X,MATCH($G43,绊状态确认!$B:$B,)))*$FA$32*$FA$27*(1-$FA$33)/$FA$30-(0.05-INDEX(绊状态确认!X:X,MATCH($G43,绊状态确认!$B:$B,)))*$FA$29/$FA$69*$FA$27*(1-$FA$33),0)</f>
        <v>20.459096812499922</v>
      </c>
      <c r="BK43" s="1110">
        <f>IF(O43="vo",$EW$26/$EW$24*0.05+$EW$26*(-HP($EW$62,$EW$65,$EW$64)+HP($EW$62,$EW$65,(1.05-INDEX(绊状态确认!U:U,MATCH($G43,绊状态确认!$B:$B,)))*$EW$64)),0)+IF(O43="sk",-$EW$26/$EW$24*(0.05-INDEX(绊状态确认!W:W,MATCH($G43,绊状态确认!$B:$B,)))+0.05*$EW$29,0)+IF(O43="sp",0.05*$EW$32*$EW$30*(1-$EW$33)-(0.05-INDEX(绊状态确认!V:V,MATCH($G43,绊状态确认!$B:$B,)))*$EW$29,0)+IF(O43="gd",-(0.05-INDEX(绊状态确认!X:X,MATCH($G43,绊状态确认!$B:$B,)))*$EW$32*$EW$30*(1-$EW$33)+$EW$26*(-HP($EW$62,$EW$65,$EW$64)+HP($EW$62,$EW$65,0.95*$EW$64)),0)</f>
        <v>-4253.6726349699375</v>
      </c>
      <c r="BL43" s="1111">
        <f t="shared" si="29"/>
        <v>0</v>
      </c>
      <c r="BM43" s="1110">
        <f t="shared" si="30"/>
        <v>0</v>
      </c>
      <c r="BN43" s="1113">
        <f t="shared" si="31"/>
        <v>3</v>
      </c>
      <c r="BO43" s="1097">
        <f t="shared" si="32"/>
        <v>4507.7214871259994</v>
      </c>
      <c r="BP43" s="1100">
        <f t="shared" si="33"/>
        <v>221.34103209030098</v>
      </c>
      <c r="BQ43" s="1113" t="s">
        <v>144</v>
      </c>
      <c r="BR43" s="1124" t="s">
        <v>149</v>
      </c>
      <c r="BS43" s="1098">
        <f>IF($P43="","N/A",IF($P43=-1,INDEX('卡片raw data'!AX:AX,MATCH($D43,'卡片raw data'!$F:$F,)),0)+IF($L43="party卡",IF($P43=5,INDEX('卡片raw data'!BD:BD,MATCH($D43,'卡片raw data'!$F:$F,)),IF($P43&gt;=3,INDEX('卡片raw data'!BC:BC,MATCH($D43,'卡片raw data'!$F:$F,)),INDEX('卡片raw data'!BB:BB,MATCH($D43,'卡片raw data'!$F:$F,)))),IF(OR(AND($F43="UR",$P43=0),AND($F43="SR",$P43&gt;=0,$P43&lt;=2),AND($F43="R",$P43&gt;=0,$P43&lt;4)),INDEX('卡片raw data'!AZ:AZ,MATCH($D43,'卡片raw data'!$F:$F,)),0)+IF(OR(AND($F43="UR",$P43&gt;=1,$P43&lt;=4),AND($F43="SR",$P43&lt;=4,$P43&gt;=3),AND($F43="R",$P43=4)),INDEX('卡片raw data'!BA:BA,MATCH($D43,'卡片raw data'!$F:$F,)),0)+IF($P43=5,INDEX('卡片raw data'!BB:BB,MATCH($D43,'卡片raw data'!$F:$F,)),0)))</f>
        <v>5.1999999999999998E-2</v>
      </c>
      <c r="BT43" s="1101">
        <f t="shared" si="34"/>
        <v>0</v>
      </c>
      <c r="BU43" s="1097">
        <f t="shared" si="35"/>
        <v>0</v>
      </c>
      <c r="BV43" s="1097">
        <f t="shared" si="36"/>
        <v>0</v>
      </c>
      <c r="BW43" s="1112">
        <f t="shared" si="37"/>
        <v>4.8694285714285721</v>
      </c>
      <c r="BX43" s="1100">
        <f t="shared" si="38"/>
        <v>382.86674747391328</v>
      </c>
      <c r="BY43" s="1110">
        <f t="shared" si="39"/>
        <v>382.86674747391328</v>
      </c>
      <c r="BZ43" s="1107" t="s">
        <v>569</v>
      </c>
      <c r="CA43" s="1124"/>
      <c r="CB43" s="1098">
        <f>IF($P43="","N/A",IF($P43=-1,INDEX('卡片raw data'!BE:BE,MATCH($D43,'卡片raw data'!$F:$F,)),0)+IF($L43="party卡",IF($P43=5,INDEX('卡片raw data'!BK:BK,MATCH($D43,'卡片raw data'!$F:$F,)),IF($P43&gt;=3,INDEX('卡片raw data'!BJ:BJ,MATCH($D43,'卡片raw data'!$F:$F,)),INDEX('卡片raw data'!BI:BI,MATCH($D43,'卡片raw data'!$F:$F,)))),IF(OR(AND($F43="UR",$P43=0),AND($F43="SR",$P43&gt;=0,$P43&lt;=2),AND($F43="R",$P43&gt;=0,$P43&lt;4)),INDEX('卡片raw data'!BG:BG,MATCH($D43,'卡片raw data'!$F:$F,)),0)+IF(OR(AND($F43="UR",$P43&gt;=1,$P43&lt;=4),AND($F43="SR",$P43&lt;=4,$P43&gt;=3),AND($F43="R",$P43=4)),INDEX('卡片raw data'!BH:BH,MATCH($D43,'卡片raw data'!$F:$F,)),0)+IF($P43=5,INDEX('卡片raw data'!BI:BI,MATCH($D43,'卡片raw data'!$F:$F,)),0)))</f>
        <v>0</v>
      </c>
      <c r="CC43" s="1101">
        <f t="shared" si="40"/>
        <v>0</v>
      </c>
      <c r="CD43" s="1097">
        <f>IF(BZ43="ap",CB43*(1-$FI$26)*$FB$5/$FB$11*(+IF(CA43="全员",$FA$24,0)+IF(CA43="同作战",$FA$24,0)+IF(CA43="仲间",$FA$24*2/3,0)+IF(CA43="同属性",$FA$24*$FA$37/3,0)+IF(CA43="同年级",$FA$24*$FA$40/3,0)+IF(CA43="同学校",$FA$24*$FA$43/3,0)+IF(CA43="同小队",$FA$24*$FA$46/3,0)+IF(CA43="同type",$FA$24*INDEX($FB$49:$FB$52,MATCH(X43,$FA$49:$FA$52,))/3,0)+IF(CA43="自身",#REF!/3,0)),0)+IF(BZ43="te",CB43*(1-$FI$27)*($FA$20-1)*$FB$7/$FB$13*(+IF(CA43="全员",$FA$19*$FA$24/(1+($FA$20-1)*$FA$19),0)+IF(CA43="同作战",$FA$19*$FA$24/(1+($FA$20-1)*$FA$19),0)+IF(CA43="仲间",$FA$19*$FA$24*2/3/(1+($FA$20-1)*$FA$19),0)+IF(CA43="同属性",$FA$19*$FA$24*$FA$37/3/(1+($FA$20-1)*$FA$19),0)+IF(CA43="同年级",$FA$19*$FA$24*$FA$40/3/(1+($FA$20-1)*$FA$19),0)+IF(CA43="同学校",$FA$19*$FA$24*$FA$43/3/(1+($FA$20-1)*$FA$19),0)+IF(CA43="同小队",$FA$19*$FA$24*$FA$46/3/(1+($FA$20-1)*$FA$19),0)+IF(CA43="同type",$FA$19*$FA$24*INDEX($FB$49:$FB$52,MATCH(X43,$FA$49:$FA$52,))/3/(1+($FA$20-1)*$FA$19),0)+IF(CA43="自身",$FA$19*#REF!/3/(1+(BH43-1)*$BD43),0)),0)</f>
        <v>0</v>
      </c>
      <c r="CE43" s="1097">
        <f t="shared" si="41"/>
        <v>0</v>
      </c>
      <c r="CF43" s="1112">
        <f t="shared" si="42"/>
        <v>0</v>
      </c>
      <c r="CG43" s="1100">
        <f t="shared" si="43"/>
        <v>0</v>
      </c>
      <c r="CH43" s="1110">
        <f t="shared" si="44"/>
        <v>0</v>
      </c>
      <c r="CI43" s="1113" t="s">
        <v>165</v>
      </c>
      <c r="CJ43" s="1114">
        <v>0.3</v>
      </c>
      <c r="CK43" s="1115" t="s">
        <v>158</v>
      </c>
      <c r="CL43" s="1115" t="s">
        <v>161</v>
      </c>
      <c r="CM43" s="1119">
        <v>2.1999999999999999E-2</v>
      </c>
      <c r="CN43" s="1115" t="s">
        <v>163</v>
      </c>
      <c r="CO43" s="1092"/>
      <c r="CP43" s="1118">
        <f t="shared" si="45"/>
        <v>6.5999999999999991E-3</v>
      </c>
      <c r="CQ43" s="1118">
        <f t="shared" si="46"/>
        <v>6.5999999999999991E-3</v>
      </c>
      <c r="CR43" s="1118">
        <f t="shared" si="47"/>
        <v>6.5999999999999991E-3</v>
      </c>
      <c r="CS43" s="1118">
        <f t="shared" si="48"/>
        <v>0</v>
      </c>
      <c r="CT43" s="1109">
        <f t="shared" si="49"/>
        <v>0</v>
      </c>
      <c r="CU43" s="1101">
        <f t="shared" si="50"/>
        <v>0</v>
      </c>
      <c r="CV43" s="1108">
        <f t="shared" si="51"/>
        <v>0</v>
      </c>
      <c r="CW43" s="1097">
        <f t="shared" si="52"/>
        <v>0</v>
      </c>
      <c r="CX43" s="1097">
        <f t="shared" si="53"/>
        <v>258.64802791270347</v>
      </c>
      <c r="CY43" s="1110">
        <f t="shared" si="54"/>
        <v>258.64802791270347</v>
      </c>
      <c r="CZ43" s="437"/>
      <c r="DA43" s="438"/>
      <c r="DB43" s="439" t="s">
        <v>569</v>
      </c>
      <c r="DC43" s="439"/>
      <c r="DD43" s="443"/>
      <c r="DE43" s="411"/>
      <c r="DF43" s="411"/>
      <c r="DG43" s="1116">
        <f t="shared" si="55"/>
        <v>0</v>
      </c>
      <c r="DH43" s="1116">
        <f t="shared" si="56"/>
        <v>0</v>
      </c>
      <c r="DI43" s="1116">
        <f t="shared" si="57"/>
        <v>0</v>
      </c>
      <c r="DJ43" s="442">
        <f t="shared" si="58"/>
        <v>0</v>
      </c>
      <c r="DK43" s="1109">
        <f t="shared" si="59"/>
        <v>0</v>
      </c>
      <c r="DL43" s="1101">
        <f t="shared" si="60"/>
        <v>0</v>
      </c>
      <c r="DM43" s="1097">
        <f t="shared" si="61"/>
        <v>0</v>
      </c>
      <c r="DN43" s="1097">
        <f t="shared" si="62"/>
        <v>0</v>
      </c>
      <c r="DO43" s="1097">
        <f t="shared" si="63"/>
        <v>0</v>
      </c>
      <c r="DP43" s="1110">
        <f t="shared" si="64"/>
        <v>0</v>
      </c>
      <c r="DQ43" s="1113" t="s">
        <v>154</v>
      </c>
      <c r="DR43" s="1120">
        <f t="shared" si="65"/>
        <v>0.33</v>
      </c>
      <c r="DS43" s="1124">
        <v>5</v>
      </c>
      <c r="DT43" s="1093" t="s">
        <v>168</v>
      </c>
      <c r="DU43" s="1093" t="s">
        <v>544</v>
      </c>
      <c r="DV43" s="1098">
        <f>IF($P43="","N/A",IF(P43=-1,INDEX('卡片raw data'!AN:AN,MATCH(D43,'卡片raw data'!$F:$F,)),0)+IF(AND(L43&lt;&gt;"party卡",P43&lt;=2,P43&gt;=0),INDEX('卡片raw data'!AP:AP,MATCH(D43,'卡片raw data'!$F:$F,)),0)+IF(OR(AND(L43="party卡",P43&lt;=1),AND(P43&lt;=4,L43&lt;&gt;"party卡",P43&gt;=3)),INDEX('卡片raw data'!AQ:AQ,MATCH(D43,'卡片raw data'!$F:$F,)),0)+IF(OR(P43=5,AND(L43="party卡",P43&gt;=2)),INDEX('卡片raw data'!AR:AR,MATCH(D43,'卡片raw data'!$F:$F,)),0))</f>
        <v>0.05</v>
      </c>
      <c r="DW43" s="1098">
        <f t="shared" si="66"/>
        <v>0.33</v>
      </c>
      <c r="DX43" s="1098">
        <f t="shared" si="67"/>
        <v>0.33</v>
      </c>
      <c r="DY43" s="1098">
        <f t="shared" si="68"/>
        <v>2.7500000000000004E-2</v>
      </c>
      <c r="DZ43" s="1098">
        <f t="shared" si="69"/>
        <v>2.3787500000000003E-2</v>
      </c>
      <c r="EA43" s="1098">
        <f t="shared" si="70"/>
        <v>9.9029734375000004E-3</v>
      </c>
      <c r="EB43" s="1121">
        <f t="shared" si="71"/>
        <v>0</v>
      </c>
      <c r="EC43" s="1101">
        <f t="shared" si="72"/>
        <v>1166.6666666666667</v>
      </c>
      <c r="ED43" s="1097">
        <f t="shared" si="73"/>
        <v>540.62500000000011</v>
      </c>
      <c r="EE43" s="1110">
        <f t="shared" si="74"/>
        <v>1166.6666666666667</v>
      </c>
      <c r="EF43" s="1092" t="s">
        <v>711</v>
      </c>
      <c r="EG43" s="1120">
        <f t="shared" si="75"/>
        <v>0.33</v>
      </c>
      <c r="EH43" s="1124"/>
      <c r="EI43" s="1093"/>
      <c r="EJ43" s="1093"/>
      <c r="EK43" s="1097">
        <f>IF($P43="","N/A",IF(P43=-1,INDEX('卡片raw data'!AS:AS,MATCH(D43,'卡片raw data'!$F:$F,)),0)+IF(AND(L43&lt;&gt;"party卡",P43&lt;=2,P43&gt;=0),INDEX('卡片raw data'!AU:AU,MATCH(D43,'卡片raw data'!$F:$F,)),0)+IF(OR(AND(L43="party卡",P43&lt;=1),AND(P43&lt;=4,L43&lt;&gt;"party卡",P43&gt;=3)),INDEX('卡片raw data'!AV:AV,MATCH(D43,'卡片raw data'!$F:$F,)),0)+IF(OR(P43=5,AND(L43="party卡",P43&gt;=2)),INDEX('卡片raw data'!AW:AW,MATCH(D43,'卡片raw data'!$F:$F,)),0))</f>
        <v>0</v>
      </c>
      <c r="EL43" s="1098">
        <f t="shared" si="76"/>
        <v>0.33</v>
      </c>
      <c r="EM43" s="1098">
        <f t="shared" si="77"/>
        <v>0.33</v>
      </c>
      <c r="EN43" s="1125">
        <f t="shared" si="78"/>
        <v>0</v>
      </c>
      <c r="EO43" s="1125">
        <f t="shared" si="79"/>
        <v>0</v>
      </c>
      <c r="EP43" s="1098">
        <f t="shared" si="80"/>
        <v>0</v>
      </c>
      <c r="EQ43" s="1121">
        <f t="shared" si="81"/>
        <v>0</v>
      </c>
      <c r="ER43" s="1101">
        <f t="shared" si="82"/>
        <v>0</v>
      </c>
      <c r="ES43" s="1097">
        <f t="shared" si="83"/>
        <v>0</v>
      </c>
      <c r="ET43" s="1122">
        <f t="shared" si="84"/>
        <v>0</v>
      </c>
      <c r="EV43" s="1230" t="s">
        <v>1303</v>
      </c>
      <c r="EW43" s="1315">
        <f>5/3</f>
        <v>1.6666666666666667</v>
      </c>
      <c r="EX43" s="1316"/>
      <c r="EY43" s="1212"/>
      <c r="EZ43" s="1230" t="s">
        <v>1303</v>
      </c>
      <c r="FA43" s="1315">
        <f>5/3</f>
        <v>1.6666666666666667</v>
      </c>
      <c r="FB43" s="1316"/>
      <c r="FC43" s="447"/>
      <c r="FD43" s="447"/>
      <c r="FE43" s="447"/>
      <c r="FF43" s="642"/>
      <c r="FG43" s="642"/>
      <c r="FH43" s="642"/>
      <c r="FI43" s="642"/>
      <c r="FJ43" s="447"/>
    </row>
    <row r="44" spans="2:166" ht="16.5" customHeight="1">
      <c r="B44" s="1123" t="str">
        <f>INDEX('卡片raw data'!B:B,MATCH($D44,'卡片raw data'!$F:$F,))</f>
        <v>校服梨</v>
      </c>
      <c r="C44" s="449" t="s">
        <v>69</v>
      </c>
      <c r="D44" s="408">
        <v>41</v>
      </c>
      <c r="E44" s="1090">
        <v>101021001</v>
      </c>
      <c r="F44" s="1090" t="str">
        <f>INDEX('卡片raw data'!C:C,MATCH($D44,'卡片raw data'!$F:$F,))</f>
        <v>R</v>
      </c>
      <c r="G44" s="1094" t="s">
        <v>340</v>
      </c>
      <c r="H44" s="411">
        <f>IFERROR(INDEX(绊状态确认!C:C,MATCH($G44,绊状态确认!$B:$B,)),"")</f>
        <v>102</v>
      </c>
      <c r="I44" s="450" t="str">
        <f>IFERROR(INDEX(绊状态确认!D:D,MATCH($G44,绊状态确认!$B:$B,)),"")</f>
        <v>水</v>
      </c>
      <c r="J44" s="450" t="str">
        <f>IFERROR(INDEX(绊状态确认!E:E,MATCH($G44,绊状态确认!$B:$B,)),"")</f>
        <v>2年级</v>
      </c>
      <c r="K44" s="451" t="str">
        <f>IFERROR(INDEX(绊状态确认!F:F,MATCH($G44,绊状态确认!$B:$B,)),"")</f>
        <v>Guilty Kiss</v>
      </c>
      <c r="L44" s="1094" t="str">
        <f>INDEX('卡片raw data'!E:E,MATCH($D44,'卡片raw data'!$F:$F,))</f>
        <v>卡池卡</v>
      </c>
      <c r="M44" s="415">
        <v>43735</v>
      </c>
      <c r="N44" s="416">
        <v>0</v>
      </c>
      <c r="O44" s="1091" t="str">
        <f>INDEX('卡片raw data'!D:D,MATCH($D44,'卡片raw data'!$F:$F,))</f>
        <v>sk</v>
      </c>
      <c r="P44" s="417">
        <v>5</v>
      </c>
      <c r="Q44" s="1095">
        <f t="shared" si="0"/>
        <v>6580.3798217427138</v>
      </c>
      <c r="R44" s="1096">
        <f t="shared" si="1"/>
        <v>7.5999999999999998E-2</v>
      </c>
      <c r="S44" s="1097">
        <f t="shared" si="2"/>
        <v>7199.6481450358006</v>
      </c>
      <c r="T44" s="1098">
        <f t="shared" si="3"/>
        <v>0.35899999999999999</v>
      </c>
      <c r="U44" s="1099">
        <f t="shared" si="4"/>
        <v>9.0398394171428578</v>
      </c>
      <c r="V44" s="1100">
        <f t="shared" si="5"/>
        <v>9297.1894909785824</v>
      </c>
      <c r="W44" s="1101">
        <f t="shared" si="6"/>
        <v>3523.9513063999639</v>
      </c>
      <c r="X44" s="1096">
        <f t="shared" si="7"/>
        <v>0.04</v>
      </c>
      <c r="Y44" s="1097">
        <f t="shared" si="8"/>
        <v>716.80966923586857</v>
      </c>
      <c r="Z44" s="1102">
        <f t="shared" si="9"/>
        <v>9.0398394171428578</v>
      </c>
      <c r="AA44" s="1103">
        <f t="shared" si="10"/>
        <v>4240.7609756358324</v>
      </c>
      <c r="AB44" s="1101">
        <f t="shared" si="11"/>
        <v>4042.7549547159269</v>
      </c>
      <c r="AC44" s="1104">
        <f t="shared" si="12"/>
        <v>4.7E-2</v>
      </c>
      <c r="AD44" s="1105">
        <f t="shared" si="13"/>
        <v>2.4395846306818177E-2</v>
      </c>
      <c r="AE44" s="1128">
        <f t="shared" si="14"/>
        <v>0.73148497747311758</v>
      </c>
      <c r="AF44" s="1130">
        <f t="shared" si="15"/>
        <v>0</v>
      </c>
      <c r="AG44" s="420">
        <f t="shared" si="16"/>
        <v>0</v>
      </c>
      <c r="AH44" s="420">
        <f t="shared" si="17"/>
        <v>0</v>
      </c>
      <c r="AI44" s="1097">
        <f t="shared" si="18"/>
        <v>0</v>
      </c>
      <c r="AJ44" s="420">
        <f t="shared" si="19"/>
        <v>0</v>
      </c>
      <c r="AK44" s="518">
        <f t="shared" si="20"/>
        <v>0</v>
      </c>
      <c r="AL44" s="1106">
        <f>IF($P44="","N/A",(IF($P44=-1,INDEX('卡片raw data'!S:S,MATCH($D44,'卡片raw data'!$F:$F,)),0)+IF($P44=0,INDEX('卡片raw data'!V:V,MATCH($D44,'卡片raw data'!$F:$F,)),0)+IF($P44=1,INDEX('卡片raw data'!Y:Y,MATCH($D44,'卡片raw data'!$F:$F,)),0)+IF($P44=2,INDEX('卡片raw data'!AB:AB,MATCH($D44,'卡片raw data'!$F:$F,)),0)+IF($P44=3,INDEX('卡片raw data'!AE:AE,MATCH($D44,'卡片raw data'!$F:$F,)),0)+IF($P44=4,INDEX('卡片raw data'!AH:AH,MATCH($D44,'卡片raw data'!$F:$F,)),0)+IF($P44=5,INDEX('卡片raw data'!AK:AK,MATCH($D44,'卡片raw data'!$F:$F,)),0)+INDEX('卡片raw data'!S:S,MATCH($D44,'卡片raw data'!$F:$F,))*(IF($F44="UR",0.04,0.033))*(IF($F44="UR",INDEX(绊状态确认!$S:$S,MATCH($G44,绊状态确认!$B:$B,))/2-40)+IF($F44="SR",INDEX(绊状态确认!$R:$R,MATCH($G44,绊状态确认!$B:$B,))/4-15))+IF($F44="R",INDEX(绊状态确认!$Q:$Q,MATCH($G44,绊状态确认!$B:$B,))/6-40/6)))*(INDEX(绊状态确认!$H:$H,MATCH($G44,绊状态确认!$B:$B,))+INDEX(绊状态确认!J:J,MATCH($G44,绊状态确认!$B:$B,)))</f>
        <v>3601.2515999999996</v>
      </c>
      <c r="AM44" s="1106">
        <f>IF($P44="","N/A",(IF($P44=-1,INDEX('卡片raw data'!T:T,MATCH($D44,'卡片raw data'!$F:$F,)),0)+IF($P44=0,INDEX('卡片raw data'!W:W,MATCH($D44,'卡片raw data'!$F:$F,)),0)+IF($P44=1,INDEX('卡片raw data'!Z:Z,MATCH($D44,'卡片raw data'!$F:$F,)),0)+IF($P44=2,INDEX('卡片raw data'!AC:AC,MATCH($D44,'卡片raw data'!$F:$F,)),0)+IF($P44=3,INDEX('卡片raw data'!AF:AF,MATCH($D44,'卡片raw data'!$F:$F,)),0)+IF($P44=4,INDEX('卡片raw data'!AI:AI,MATCH($D44,'卡片raw data'!$F:$F,)),0)+IF($P44=5,INDEX('卡片raw data'!AL:AL,MATCH($D44,'卡片raw data'!$F:$F,)),0)+INDEX('卡片raw data'!T:T,MATCH($D44,'卡片raw data'!$F:$F,))*(IF($F44="UR",0.04,0.033))*(IF($F44="UR",INDEX(绊状态确认!$S:$S,MATCH($G44,绊状态确认!$B:$B,))/2-40)+IF($F44="SR",INDEX(绊状态确认!$R:$R,MATCH($G44,绊状态确认!$B:$B,))/4-15))+IF($F44="R",INDEX(绊状态确认!$Q:$Q,MATCH($G44,绊状态确认!$B:$B,))/6-40/6)))*(INDEX(绊状态确认!$H:$H,MATCH($G44,绊状态确认!$B:$B,))+INDEX(绊状态确认!K:K,MATCH($G44,绊状态确认!$B:$B,)))</f>
        <v>4200.1343999999999</v>
      </c>
      <c r="AN44" s="1106">
        <f>IF($P44="","N/A",(IF($P44=-1,INDEX('卡片raw data'!U:U,MATCH($D44,'卡片raw data'!$F:$F,)),0)+IF($P44=0,INDEX('卡片raw data'!X:X,MATCH($D44,'卡片raw data'!$F:$F,)),0)+IF($P44=1,INDEX('卡片raw data'!AA:AA,MATCH($D44,'卡片raw data'!$F:$F,)),0)+IF($P44=2,INDEX('卡片raw data'!AD:AD,MATCH($D44,'卡片raw data'!$F:$F,)),0)+IF($P44=3,INDEX('卡片raw data'!AG:AG,MATCH($D44,'卡片raw data'!$F:$F,)),0)+IF($P44=4,INDEX('卡片raw data'!AJ:AJ,MATCH($D44,'卡片raw data'!$F:$F,)),0)+IF($P44=5,INDEX('卡片raw data'!AM:AM,MATCH($D44,'卡片raw data'!$F:$F,)),0)+INDEX('卡片raw data'!U:U,MATCH($D44,'卡片raw data'!$F:$F,))*(IF($F44="UR",0.04,0.033))*(IF($F44="UR",INDEX(绊状态确认!$S:$S,MATCH($G44,绊状态确认!$B:$B,))/2-40)+IF($F44="SR",INDEX(绊状态确认!$R:$R,MATCH($G44,绊状态确认!$B:$B,))/4-15))+IF($F44="R",INDEX(绊状态确认!$Q:$Q,MATCH($G44,绊状态确认!$B:$B,))/6-40/6)))*(INDEX(绊状态确认!$H:$H,MATCH($G44,绊状态确认!$B:$B,))+INDEX(绊状态确认!L:L,MATCH($G44,绊状态确认!$B:$B,)))</f>
        <v>4200.1343999999999</v>
      </c>
      <c r="AO44" s="1107">
        <f t="shared" si="21"/>
        <v>1</v>
      </c>
      <c r="AP44" s="1131">
        <f>1+(INDEX(绊状态确认!$T:$T,MATCH($G44,绊状态确认!$B:$B,))+0.2)*$AO44</f>
        <v>1.3</v>
      </c>
      <c r="AQ44" s="1108">
        <f t="shared" si="22"/>
        <v>12703.285449999999</v>
      </c>
      <c r="AR44" s="1097">
        <f>(AM44*(1+$EX$9)+$EX$35)*(1+(INDEX(绊状态确认!$T:$T,MATCH($G44,绊状态确认!$B:$B,))+0.2)*AO44)*IF(J44=$FF$17,1+$FE$17,1)*IF(I44=$FF$14,1+$FE$14,1)</f>
        <v>8437.1834560000007</v>
      </c>
      <c r="AS44" s="1097">
        <f>(AN44*(1+$EX$10)+$EX$36)*(1+(INDEX(绊状态确认!$T:$T,MATCH($G44,绊状态确认!$B:$B,))+0.2)*AO44)*IF(J44=$FF$17,1+$FE$17,1)*IF(I44=$FF$14,1+$FE$14,1)</f>
        <v>10335.200928</v>
      </c>
      <c r="AT44" s="1093">
        <f>IF(AND(INDEX('卡片raw data'!AK:AK,MATCH($D44,'卡片raw data'!$F:$F,))&lt;INDEX('卡片raw data'!AM:AM,MATCH($D44,'卡片raw data'!$F:$F,)),INDEX('卡片raw data'!AL:AL,MATCH($D44,'卡片raw data'!$F:$F,))&lt;INDEX('卡片raw data'!AM:AM,MATCH($D44,'卡片raw data'!$F:$F,))),1,0)</f>
        <v>0</v>
      </c>
      <c r="AU44" s="1098">
        <f>MIN(AT44*0.15+AS44*0.00003+INDEX(绊状态确认!M:M,MATCH($G44,绊状态确认!$B:$B,)),1)</f>
        <v>0.34005602784000005</v>
      </c>
      <c r="AV44" s="1109">
        <f>(INDEX(绊状态确认!$N:$N,MATCH($G44,绊状态确认!$B:$B,))+1.5)*$EW$21</f>
        <v>2.6599999999999997</v>
      </c>
      <c r="AW44" s="1101">
        <f t="shared" si="23"/>
        <v>10321.600532299753</v>
      </c>
      <c r="AX44" s="1097">
        <f t="shared" si="24"/>
        <v>716.8096692358688</v>
      </c>
      <c r="AY44" s="1110">
        <f t="shared" si="25"/>
        <v>11038.410201535622</v>
      </c>
      <c r="AZ44" s="429">
        <f t="shared" si="26"/>
        <v>9622.4406199999994</v>
      </c>
      <c r="BA44" s="431">
        <f t="shared" si="27"/>
        <v>11546.928743999999</v>
      </c>
      <c r="BB44" s="1097">
        <f>(AM44*(1+$FB$9)+$FB$35)*(1+(INDEX(绊状态确认!$T:$T,MATCH($G44,绊状态确认!$B:$B,))+0.2)*AO44)*IF(J44=$FF$17,1+$FE$17,1)*IF(I44=$FF$14,1+$FE$14,1)*(1+$FE$15)</f>
        <v>8437.1834560000007</v>
      </c>
      <c r="BC44" s="1097">
        <f>(AN44*(1+$FB$10)+$FB$36)*(1+(INDEX(绊状态确认!$T:$T,MATCH($G44,绊状态确认!$B:$B,))+0.2)*AO44)*IF(J44=$FF$17,1+$FE$17,1)*IF(I44=$FF$14,1+$FE$14,1)*(1+$FE$15)</f>
        <v>10335.200928</v>
      </c>
      <c r="BD44" s="1104">
        <f>MIN(AT44*0.15+BC44*0.00003+INDEX(绊状态确认!M:M,MATCH($G44,绊状态确认!$B:$B,)),1)</f>
        <v>0.34005602784000005</v>
      </c>
      <c r="BE44" s="432">
        <f>(INDEX(绊状态确认!$N:$N,MATCH($G44,绊状态确认!$B:$B,))+1.5)</f>
        <v>1.9</v>
      </c>
      <c r="BF44" s="1139">
        <f t="array" ref="BF44">SUMPRODUCT(IF(AZ44*AP44*$FI$16:$FI$23*$FA$22&gt;=$FI$24,$FI$24,AZ44*AP44*$FI$16:$FI$23*$FA$22),$FJ$16:$FJ$23)</f>
        <v>19139.034393180002</v>
      </c>
      <c r="BG44" s="1125">
        <f t="array" ref="BG44">SUMPRODUCT(IF(BE44*AZ44*AP44*$FI$16:$FI$23*$FA$22&gt;=$FI$24,$FI$24,BE44*AZ44*AP44*$FI$16:$FI$23*$FA$22),$FJ$16:$FJ$23)</f>
        <v>36364.165347041999</v>
      </c>
      <c r="BH44" s="1110">
        <f t="shared" si="28"/>
        <v>8332.1813347913831</v>
      </c>
      <c r="BI44" s="1111">
        <f>IF(O44="vo",$EW$26/$EW$24*0.05,0)+IF(O44="sk",-$EW$26/$EW$24*(0.05-INDEX(绊状态确认!W:W,MATCH($G44,绊状态确认!$B:$B,)))+0.05*$EW$28,0)+IF(O44="sp",0.05*$EW$32*$EW$30*(1-$EW$33)-(0.05-INDEX(绊状态确认!V:V,MATCH($G44,绊状态确认!$B:$B,)))*$EW$28,0)+IF(O44="gd",-(0.05-INDEX(绊状态确认!X:X,MATCH($G44,绊状态确认!$B:$B,)))*$EW$32*$EW$30*(1-$EW$33),0)</f>
        <v>-6253.6726349699375</v>
      </c>
      <c r="BJ44" s="1097">
        <f>IF(O44="vo",0.05*(1-$FI$26)*$FA$24,0)+IF(O44="sk",-(0.05-INDEX(绊状态确认!W:W,MATCH($G44,绊状态确认!$B:$B,)))*(1-$FI$26)*$FA$24+0.05*$FA$26,0)+IF(O44="sp",0.05*$FA$32*$FA$27*(1-$FA$33)/$FA$30+0.05*$FA$29/$FA$69*$FA$27*(1-$FA$33)-(0.05-INDEX(绊状态确认!V:V,MATCH($G44,绊状态确认!$B:$B,)))*$FA$26,0)+IF(O44="gd",-(0.05-INDEX(绊状态确认!X:X,MATCH($G44,绊状态确认!$B:$B,)))*$FA$32*$FA$27*(1-$FA$33)/$FA$30-(0.05-INDEX(绊状态确认!X:X,MATCH($G44,绊状态确认!$B:$B,)))*$FA$29/$FA$69*$FA$27*(1-$FA$33),0)</f>
        <v>20.459096812499922</v>
      </c>
      <c r="BK44" s="1110">
        <f>IF(O44="vo",$EW$26/$EW$24*0.05+$EW$26*(-HP($EW$62,$EW$65,$EW$64)+HP($EW$62,$EW$65,(1.05-INDEX(绊状态确认!U:U,MATCH($G44,绊状态确认!$B:$B,)))*$EW$64)),0)+IF(O44="sk",-$EW$26/$EW$24*(0.05-INDEX(绊状态确认!W:W,MATCH($G44,绊状态确认!$B:$B,)))+0.05*$EW$29,0)+IF(O44="sp",0.05*$EW$32*$EW$30*(1-$EW$33)-(0.05-INDEX(绊状态确认!V:V,MATCH($G44,绊状态确认!$B:$B,)))*$EW$29,0)+IF(O44="gd",-(0.05-INDEX(绊状态确认!X:X,MATCH($G44,绊状态确认!$B:$B,)))*$EW$32*$EW$30*(1-$EW$33)+$EW$26*(-HP($EW$62,$EW$65,$EW$64)+HP($EW$62,$EW$65,0.95*$EW$64)),0)</f>
        <v>-4253.6726349699375</v>
      </c>
      <c r="BL44" s="1111">
        <f t="shared" si="29"/>
        <v>-2166.6666666666665</v>
      </c>
      <c r="BM44" s="1110">
        <f t="shared" si="30"/>
        <v>-1661.1111111111109</v>
      </c>
      <c r="BN44" s="1113">
        <f t="shared" si="31"/>
        <v>2</v>
      </c>
      <c r="BO44" s="1097">
        <f t="shared" si="32"/>
        <v>3005.1476580839999</v>
      </c>
      <c r="BP44" s="1100">
        <f t="shared" si="33"/>
        <v>147.56068806020068</v>
      </c>
      <c r="BQ44" s="1113" t="s">
        <v>616</v>
      </c>
      <c r="BR44" s="1124" t="s">
        <v>171</v>
      </c>
      <c r="BS44" s="1098">
        <f>IF($P44="","N/A",IF($P44=-1,INDEX('卡片raw data'!AX:AX,MATCH($D44,'卡片raw data'!$F:$F,)),0)+IF($L44="party卡",IF($P44=5,INDEX('卡片raw data'!BD:BD,MATCH($D44,'卡片raw data'!$F:$F,)),IF($P44&gt;=3,INDEX('卡片raw data'!BC:BC,MATCH($D44,'卡片raw data'!$F:$F,)),INDEX('卡片raw data'!BB:BB,MATCH($D44,'卡片raw data'!$F:$F,)))),IF(OR(AND($F44="UR",$P44=0),AND($F44="SR",$P44&gt;=0,$P44&lt;=2),AND($F44="R",$P44&gt;=0,$P44&lt;4)),INDEX('卡片raw data'!AZ:AZ,MATCH($D44,'卡片raw data'!$F:$F,)),0)+IF(OR(AND($F44="UR",$P44&gt;=1,$P44&lt;=4),AND($F44="SR",$P44&lt;=4,$P44&gt;=3),AND($F44="R",$P44=4)),INDEX('卡片raw data'!BA:BA,MATCH($D44,'卡片raw data'!$F:$F,)),0)+IF($P44=5,INDEX('卡片raw data'!BB:BB,MATCH($D44,'卡片raw data'!$F:$F,)),0)))</f>
        <v>2.1999999999999999E-2</v>
      </c>
      <c r="BT44" s="1101">
        <f t="shared" si="34"/>
        <v>1037.6072966319273</v>
      </c>
      <c r="BU44" s="1097">
        <f t="shared" si="35"/>
        <v>65.671772846463853</v>
      </c>
      <c r="BV44" s="1097">
        <f t="shared" si="36"/>
        <v>518.80364831596376</v>
      </c>
      <c r="BW44" s="1112">
        <f t="shared" si="37"/>
        <v>0</v>
      </c>
      <c r="BX44" s="1100">
        <f t="shared" si="38"/>
        <v>1037.6072966319273</v>
      </c>
      <c r="BY44" s="1110">
        <f t="shared" si="39"/>
        <v>518.80364831596376</v>
      </c>
      <c r="BZ44" s="1107" t="s">
        <v>569</v>
      </c>
      <c r="CA44" s="1124"/>
      <c r="CB44" s="1098">
        <f>IF($P44="","N/A",IF($P44=-1,INDEX('卡片raw data'!BE:BE,MATCH($D44,'卡片raw data'!$F:$F,)),0)+IF($L44="party卡",IF($P44=5,INDEX('卡片raw data'!BK:BK,MATCH($D44,'卡片raw data'!$F:$F,)),IF($P44&gt;=3,INDEX('卡片raw data'!BJ:BJ,MATCH($D44,'卡片raw data'!$F:$F,)),INDEX('卡片raw data'!BI:BI,MATCH($D44,'卡片raw data'!$F:$F,)))),IF(OR(AND($F44="UR",$P44=0),AND($F44="SR",$P44&gt;=0,$P44&lt;=2),AND($F44="R",$P44&gt;=0,$P44&lt;4)),INDEX('卡片raw data'!BG:BG,MATCH($D44,'卡片raw data'!$F:$F,)),0)+IF(OR(AND($F44="UR",$P44&gt;=1,$P44&lt;=4),AND($F44="SR",$P44&lt;=4,$P44&gt;=3),AND($F44="R",$P44=4)),INDEX('卡片raw data'!BH:BH,MATCH($D44,'卡片raw data'!$F:$F,)),0)+IF($P44=5,INDEX('卡片raw data'!BI:BI,MATCH($D44,'卡片raw data'!$F:$F,)),0)))</f>
        <v>0</v>
      </c>
      <c r="CC44" s="1101">
        <f t="shared" si="40"/>
        <v>0</v>
      </c>
      <c r="CD44" s="1097">
        <f>IF(BZ44="ap",CB44*(1-$FI$26)*$FB$5/$FB$11*(+IF(CA44="全员",$FA$24,0)+IF(CA44="同作战",$FA$24,0)+IF(CA44="仲间",$FA$24*2/3,0)+IF(CA44="同属性",$FA$24*$FA$37/3,0)+IF(CA44="同年级",$FA$24*$FA$40/3,0)+IF(CA44="同学校",$FA$24*$FA$43/3,0)+IF(CA44="同小队",$FA$24*$FA$46/3,0)+IF(CA44="同type",$FA$24*INDEX($FB$49:$FB$52,MATCH(X44,$FA$49:$FA$52,))/3,0)+IF(CA44="自身",#REF!/3,0)),0)+IF(BZ44="te",CB44*(1-$FI$27)*($FA$20-1)*$FB$7/$FB$13*(+IF(CA44="全员",$FA$19*$FA$24/(1+($FA$20-1)*$FA$19),0)+IF(CA44="同作战",$FA$19*$FA$24/(1+($FA$20-1)*$FA$19),0)+IF(CA44="仲间",$FA$19*$FA$24*2/3/(1+($FA$20-1)*$FA$19),0)+IF(CA44="同属性",$FA$19*$FA$24*$FA$37/3/(1+($FA$20-1)*$FA$19),0)+IF(CA44="同年级",$FA$19*$FA$24*$FA$40/3/(1+($FA$20-1)*$FA$19),0)+IF(CA44="同学校",$FA$19*$FA$24*$FA$43/3/(1+($FA$20-1)*$FA$19),0)+IF(CA44="同小队",$FA$19*$FA$24*$FA$46/3/(1+($FA$20-1)*$FA$19),0)+IF(CA44="同type",$FA$19*$FA$24*INDEX($FB$49:$FB$52,MATCH(X44,$FA$49:$FA$52,))/3/(1+($FA$20-1)*$FA$19),0)+IF(CA44="自身",$FA$19*#REF!/3/(1+(BH44-1)*$BD44),0)),0)</f>
        <v>0</v>
      </c>
      <c r="CE44" s="1097">
        <f t="shared" si="41"/>
        <v>0</v>
      </c>
      <c r="CF44" s="1112">
        <f t="shared" si="42"/>
        <v>0</v>
      </c>
      <c r="CG44" s="1100">
        <f t="shared" si="43"/>
        <v>0</v>
      </c>
      <c r="CH44" s="1110">
        <f t="shared" si="44"/>
        <v>0</v>
      </c>
      <c r="CI44" s="1113"/>
      <c r="CJ44" s="1114"/>
      <c r="CK44" s="1115" t="s">
        <v>569</v>
      </c>
      <c r="CL44" s="1115"/>
      <c r="CM44" s="1119"/>
      <c r="CN44" s="1115"/>
      <c r="CO44" s="1092"/>
      <c r="CP44" s="1117">
        <f t="shared" si="45"/>
        <v>0</v>
      </c>
      <c r="CQ44" s="1117">
        <f t="shared" si="46"/>
        <v>0</v>
      </c>
      <c r="CR44" s="1117">
        <f t="shared" si="47"/>
        <v>0</v>
      </c>
      <c r="CS44" s="1118">
        <f t="shared" si="48"/>
        <v>0</v>
      </c>
      <c r="CT44" s="1109">
        <f t="shared" si="49"/>
        <v>0</v>
      </c>
      <c r="CU44" s="1101">
        <f t="shared" si="50"/>
        <v>0</v>
      </c>
      <c r="CV44" s="1108">
        <f t="shared" si="51"/>
        <v>0</v>
      </c>
      <c r="CW44" s="1097">
        <f t="shared" si="52"/>
        <v>0</v>
      </c>
      <c r="CX44" s="1097">
        <f t="shared" si="53"/>
        <v>0</v>
      </c>
      <c r="CY44" s="1110">
        <f t="shared" si="54"/>
        <v>0</v>
      </c>
      <c r="CZ44" s="437"/>
      <c r="DA44" s="438"/>
      <c r="DB44" s="439" t="s">
        <v>569</v>
      </c>
      <c r="DC44" s="439"/>
      <c r="DD44" s="443"/>
      <c r="DE44" s="411"/>
      <c r="DF44" s="411"/>
      <c r="DG44" s="1116">
        <f t="shared" si="55"/>
        <v>0</v>
      </c>
      <c r="DH44" s="1116">
        <f t="shared" si="56"/>
        <v>0</v>
      </c>
      <c r="DI44" s="1116">
        <f t="shared" si="57"/>
        <v>0</v>
      </c>
      <c r="DJ44" s="442">
        <f t="shared" si="58"/>
        <v>0</v>
      </c>
      <c r="DK44" s="1109">
        <f t="shared" si="59"/>
        <v>0</v>
      </c>
      <c r="DL44" s="1101">
        <f t="shared" si="60"/>
        <v>0</v>
      </c>
      <c r="DM44" s="1097">
        <f t="shared" si="61"/>
        <v>0</v>
      </c>
      <c r="DN44" s="1097">
        <f t="shared" si="62"/>
        <v>0</v>
      </c>
      <c r="DO44" s="1097">
        <f t="shared" si="63"/>
        <v>0</v>
      </c>
      <c r="DP44" s="1110">
        <f t="shared" si="64"/>
        <v>0</v>
      </c>
      <c r="DQ44" s="1113" t="s">
        <v>553</v>
      </c>
      <c r="DR44" s="1120">
        <f t="shared" si="65"/>
        <v>0.3</v>
      </c>
      <c r="DS44" s="1124">
        <v>5</v>
      </c>
      <c r="DT44" s="1093" t="s">
        <v>168</v>
      </c>
      <c r="DU44" s="1093" t="s">
        <v>544</v>
      </c>
      <c r="DV44" s="1098">
        <f>IF($P44="","N/A",IF(P44=-1,INDEX('卡片raw data'!AN:AN,MATCH(D44,'卡片raw data'!$F:$F,)),0)+IF(AND(L44&lt;&gt;"party卡",P44&lt;=2,P44&gt;=0),INDEX('卡片raw data'!AP:AP,MATCH(D44,'卡片raw data'!$F:$F,)),0)+IF(OR(AND(L44="party卡",P44&lt;=1),AND(P44&lt;=4,L44&lt;&gt;"party卡",P44&gt;=3)),INDEX('卡片raw data'!AQ:AQ,MATCH(D44,'卡片raw data'!$F:$F,)),0)+IF(OR(P44=5,AND(L44="party卡",P44&gt;=2)),INDEX('卡片raw data'!AR:AR,MATCH(D44,'卡片raw data'!$F:$F,)),0))</f>
        <v>0.03</v>
      </c>
      <c r="DW44" s="1098">
        <f t="shared" si="66"/>
        <v>0.3</v>
      </c>
      <c r="DX44" s="1098">
        <f t="shared" si="67"/>
        <v>0.3</v>
      </c>
      <c r="DY44" s="1098">
        <f t="shared" si="68"/>
        <v>1.4999999999999998E-2</v>
      </c>
      <c r="DZ44" s="1098">
        <f t="shared" si="69"/>
        <v>1.2974999999999999E-2</v>
      </c>
      <c r="EA44" s="1098">
        <f t="shared" si="70"/>
        <v>5.4016218749999984E-3</v>
      </c>
      <c r="EB44" s="1121">
        <f t="shared" si="71"/>
        <v>0</v>
      </c>
      <c r="EC44" s="1101">
        <f t="shared" si="72"/>
        <v>636.36363636363626</v>
      </c>
      <c r="ED44" s="1097">
        <f t="shared" si="73"/>
        <v>294.88636363636357</v>
      </c>
      <c r="EE44" s="1110">
        <f t="shared" si="74"/>
        <v>636.36363636363626</v>
      </c>
      <c r="EF44" s="1092" t="s">
        <v>711</v>
      </c>
      <c r="EG44" s="1120">
        <f t="shared" si="75"/>
        <v>0.3</v>
      </c>
      <c r="EH44" s="1124"/>
      <c r="EI44" s="1093"/>
      <c r="EJ44" s="1093"/>
      <c r="EK44" s="1097">
        <f>IF($P44="","N/A",IF(P44=-1,INDEX('卡片raw data'!AS:AS,MATCH(D44,'卡片raw data'!$F:$F,)),0)+IF(AND(L44&lt;&gt;"party卡",P44&lt;=2,P44&gt;=0),INDEX('卡片raw data'!AU:AU,MATCH(D44,'卡片raw data'!$F:$F,)),0)+IF(OR(AND(L44="party卡",P44&lt;=1),AND(P44&lt;=4,L44&lt;&gt;"party卡",P44&gt;=3)),INDEX('卡片raw data'!AV:AV,MATCH(D44,'卡片raw data'!$F:$F,)),0)+IF(OR(P44=5,AND(L44="party卡",P44&gt;=2)),INDEX('卡片raw data'!AW:AW,MATCH(D44,'卡片raw data'!$F:$F,)),0))</f>
        <v>0</v>
      </c>
      <c r="EL44" s="1098">
        <f t="shared" si="76"/>
        <v>0.3</v>
      </c>
      <c r="EM44" s="1098">
        <f t="shared" si="77"/>
        <v>0.3</v>
      </c>
      <c r="EN44" s="1125">
        <f t="shared" si="78"/>
        <v>0</v>
      </c>
      <c r="EO44" s="1125">
        <f t="shared" si="79"/>
        <v>0</v>
      </c>
      <c r="EP44" s="1098">
        <f t="shared" si="80"/>
        <v>0</v>
      </c>
      <c r="EQ44" s="1121">
        <f t="shared" si="81"/>
        <v>0</v>
      </c>
      <c r="ER44" s="1101">
        <f t="shared" si="82"/>
        <v>0</v>
      </c>
      <c r="ES44" s="1097">
        <f t="shared" si="83"/>
        <v>0</v>
      </c>
      <c r="ET44" s="1122">
        <f t="shared" si="84"/>
        <v>0</v>
      </c>
      <c r="EV44" s="1225" t="s">
        <v>1306</v>
      </c>
      <c r="EW44" s="1310">
        <v>1</v>
      </c>
      <c r="EX44" s="1311"/>
      <c r="EY44" s="1212"/>
      <c r="EZ44" s="1225" t="s">
        <v>1306</v>
      </c>
      <c r="FA44" s="1310">
        <v>1</v>
      </c>
      <c r="FB44" s="1311"/>
      <c r="FC44" s="447"/>
      <c r="FD44" s="447"/>
      <c r="FE44" s="447"/>
      <c r="FF44" s="642"/>
      <c r="FG44" s="642"/>
      <c r="FH44" s="642"/>
      <c r="FI44" s="642"/>
      <c r="FJ44" s="447"/>
    </row>
    <row r="45" spans="2:166" ht="16.5" customHeight="1">
      <c r="B45" s="1123" t="str">
        <f>INDEX('卡片raw data'!B:B,MATCH($D45,'卡片raw data'!$F:$F,))</f>
        <v>练习梨</v>
      </c>
      <c r="C45" s="449" t="s">
        <v>67</v>
      </c>
      <c r="D45" s="408">
        <v>42</v>
      </c>
      <c r="E45" s="1090">
        <v>101021002</v>
      </c>
      <c r="F45" s="1090" t="str">
        <f>INDEX('卡片raw data'!C:C,MATCH($D45,'卡片raw data'!$F:$F,))</f>
        <v>R</v>
      </c>
      <c r="G45" s="1094" t="s">
        <v>34</v>
      </c>
      <c r="H45" s="411">
        <f>IFERROR(INDEX(绊状态确认!C:C,MATCH($G45,绊状态确认!$B:$B,)),"")</f>
        <v>102</v>
      </c>
      <c r="I45" s="450" t="str">
        <f>IFERROR(INDEX(绊状态确认!D:D,MATCH($G45,绊状态确认!$B:$B,)),"")</f>
        <v>水</v>
      </c>
      <c r="J45" s="450" t="str">
        <f>IFERROR(INDEX(绊状态确认!E:E,MATCH($G45,绊状态确认!$B:$B,)),"")</f>
        <v>2年级</v>
      </c>
      <c r="K45" s="451" t="str">
        <f>IFERROR(INDEX(绊状态确认!F:F,MATCH($G45,绊状态确认!$B:$B,)),"")</f>
        <v>Guilty Kiss</v>
      </c>
      <c r="L45" s="1094" t="str">
        <f>INDEX('卡片raw data'!E:E,MATCH($D45,'卡片raw data'!$F:$F,))</f>
        <v>卡池卡</v>
      </c>
      <c r="M45" s="415">
        <v>43735</v>
      </c>
      <c r="N45" s="416">
        <v>0</v>
      </c>
      <c r="O45" s="1091" t="str">
        <f>INDEX('卡片raw data'!D:D,MATCH($D45,'卡片raw data'!$F:$F,))</f>
        <v>vo</v>
      </c>
      <c r="P45" s="417">
        <v>5</v>
      </c>
      <c r="Q45" s="1095">
        <f t="shared" si="0"/>
        <v>24087.85720071532</v>
      </c>
      <c r="R45" s="1096">
        <f t="shared" si="1"/>
        <v>0.28000000000000003</v>
      </c>
      <c r="S45" s="1097">
        <f t="shared" si="2"/>
        <v>10442.223012457314</v>
      </c>
      <c r="T45" s="1098">
        <f t="shared" si="3"/>
        <v>0.52200000000000002</v>
      </c>
      <c r="U45" s="1099">
        <f t="shared" si="4"/>
        <v>-16.073175562857145</v>
      </c>
      <c r="V45" s="1100">
        <f t="shared" si="5"/>
        <v>23490.874048526148</v>
      </c>
      <c r="W45" s="1101">
        <f t="shared" si="6"/>
        <v>3641.8612264717735</v>
      </c>
      <c r="X45" s="1096">
        <f t="shared" si="7"/>
        <v>4.2000000000000003E-2</v>
      </c>
      <c r="Y45" s="1097">
        <f t="shared" si="8"/>
        <v>707.68529805252865</v>
      </c>
      <c r="Z45" s="1102">
        <f t="shared" si="9"/>
        <v>8.9268244371428569</v>
      </c>
      <c r="AA45" s="1103">
        <f t="shared" si="10"/>
        <v>4349.5465245243022</v>
      </c>
      <c r="AB45" s="1101">
        <f t="shared" si="11"/>
        <v>4066.3369387302896</v>
      </c>
      <c r="AC45" s="1104">
        <f t="shared" si="12"/>
        <v>4.7E-2</v>
      </c>
      <c r="AD45" s="1105">
        <f t="shared" si="13"/>
        <v>-3.8207812500000026E-3</v>
      </c>
      <c r="AE45" s="1128">
        <f t="shared" si="14"/>
        <v>-22.692028985507246</v>
      </c>
      <c r="AF45" s="1130">
        <f t="shared" si="15"/>
        <v>0</v>
      </c>
      <c r="AG45" s="420">
        <f t="shared" si="16"/>
        <v>0</v>
      </c>
      <c r="AH45" s="420">
        <f t="shared" si="17"/>
        <v>0</v>
      </c>
      <c r="AI45" s="1097">
        <f t="shared" si="18"/>
        <v>0</v>
      </c>
      <c r="AJ45" s="420">
        <f t="shared" si="19"/>
        <v>0</v>
      </c>
      <c r="AK45" s="518">
        <f t="shared" si="20"/>
        <v>0</v>
      </c>
      <c r="AL45" s="1106">
        <f>IF($P45="","N/A",(IF($P45=-1,INDEX('卡片raw data'!S:S,MATCH($D45,'卡片raw data'!$F:$F,)),0)+IF($P45=0,INDEX('卡片raw data'!V:V,MATCH($D45,'卡片raw data'!$F:$F,)),0)+IF($P45=1,INDEX('卡片raw data'!Y:Y,MATCH($D45,'卡片raw data'!$F:$F,)),0)+IF($P45=2,INDEX('卡片raw data'!AB:AB,MATCH($D45,'卡片raw data'!$F:$F,)),0)+IF($P45=3,INDEX('卡片raw data'!AE:AE,MATCH($D45,'卡片raw data'!$F:$F,)),0)+IF($P45=4,INDEX('卡片raw data'!AH:AH,MATCH($D45,'卡片raw data'!$F:$F,)),0)+IF($P45=5,INDEX('卡片raw data'!AK:AK,MATCH($D45,'卡片raw data'!$F:$F,)),0)+INDEX('卡片raw data'!S:S,MATCH($D45,'卡片raw data'!$F:$F,))*(IF($F45="UR",0.04,0.033))*(IF($F45="UR",INDEX(绊状态确认!$S:$S,MATCH($G45,绊状态确认!$B:$B,))/2-40)+IF($F45="SR",INDEX(绊状态确认!$R:$R,MATCH($G45,绊状态确认!$B:$B,))/4-15))+IF($F45="R",INDEX(绊状态确认!$Q:$Q,MATCH($G45,绊状态确认!$B:$B,))/6-40/6)))*(INDEX(绊状态确认!$H:$H,MATCH($G45,绊状态确认!$B:$B,))+INDEX(绊状态确认!J:J,MATCH($G45,绊状态确认!$B:$B,)))</f>
        <v>5496.7667999999994</v>
      </c>
      <c r="AM45" s="1106">
        <f>IF($P45="","N/A",(IF($P45=-1,INDEX('卡片raw data'!T:T,MATCH($D45,'卡片raw data'!$F:$F,)),0)+IF($P45=0,INDEX('卡片raw data'!W:W,MATCH($D45,'卡片raw data'!$F:$F,)),0)+IF($P45=1,INDEX('卡片raw data'!Z:Z,MATCH($D45,'卡片raw data'!$F:$F,)),0)+IF($P45=2,INDEX('卡片raw data'!AC:AC,MATCH($D45,'卡片raw data'!$F:$F,)),0)+IF($P45=3,INDEX('卡片raw data'!AF:AF,MATCH($D45,'卡片raw data'!$F:$F,)),0)+IF($P45=4,INDEX('卡片raw data'!AI:AI,MATCH($D45,'卡片raw data'!$F:$F,)),0)+IF($P45=5,INDEX('卡片raw data'!AL:AL,MATCH($D45,'卡片raw data'!$F:$F,)),0)+INDEX('卡片raw data'!T:T,MATCH($D45,'卡片raw data'!$F:$F,))*(IF($F45="UR",0.04,0.033))*(IF($F45="UR",INDEX(绊状态确认!$S:$S,MATCH($G45,绊状态确认!$B:$B,))/2-40)+IF($F45="SR",INDEX(绊状态确认!$R:$R,MATCH($G45,绊状态确认!$B:$B,))/4-15))+IF($F45="R",INDEX(绊状态确认!$Q:$Q,MATCH($G45,绊状态确认!$B:$B,))/6-40/6)))*(INDEX(绊状态确认!$H:$H,MATCH($G45,绊状态确认!$B:$B,))+INDEX(绊状态确认!K:K,MATCH($G45,绊状态确认!$B:$B,)))</f>
        <v>4122.8591999999999</v>
      </c>
      <c r="AN45" s="1106">
        <f>IF($P45="","N/A",(IF($P45=-1,INDEX('卡片raw data'!U:U,MATCH($D45,'卡片raw data'!$F:$F,)),0)+IF($P45=0,INDEX('卡片raw data'!X:X,MATCH($D45,'卡片raw data'!$F:$F,)),0)+IF($P45=1,INDEX('卡片raw data'!AA:AA,MATCH($D45,'卡片raw data'!$F:$F,)),0)+IF($P45=2,INDEX('卡片raw data'!AD:AD,MATCH($D45,'卡片raw data'!$F:$F,)),0)+IF($P45=3,INDEX('卡片raw data'!AG:AG,MATCH($D45,'卡片raw data'!$F:$F,)),0)+IF($P45=4,INDEX('卡片raw data'!AJ:AJ,MATCH($D45,'卡片raw data'!$F:$F,)),0)+IF($P45=5,INDEX('卡片raw data'!AM:AM,MATCH($D45,'卡片raw data'!$F:$F,)),0)+INDEX('卡片raw data'!U:U,MATCH($D45,'卡片raw data'!$F:$F,))*(IF($F45="UR",0.04,0.033))*(IF($F45="UR",INDEX(绊状态确认!$S:$S,MATCH($G45,绊状态确认!$B:$B,))/2-40)+IF($F45="SR",INDEX(绊状态确认!$R:$R,MATCH($G45,绊状态确认!$B:$B,))/4-15))+IF($F45="R",INDEX(绊状态确认!$Q:$Q,MATCH($G45,绊状态确认!$B:$B,))/6-40/6)))*(INDEX(绊状态确认!$H:$H,MATCH($G45,绊状态确认!$B:$B,))+INDEX(绊状态确认!L:L,MATCH($G45,绊状态确认!$B:$B,)))</f>
        <v>4122.8591999999999</v>
      </c>
      <c r="AO45" s="1107">
        <f t="shared" si="21"/>
        <v>1</v>
      </c>
      <c r="AP45" s="1131">
        <f>1+(INDEX(绊状态确认!$T:$T,MATCH($G45,绊状态确认!$B:$B,))+0.2)*$AO45</f>
        <v>1.3</v>
      </c>
      <c r="AQ45" s="1108">
        <f t="shared" si="22"/>
        <v>17679.012849999999</v>
      </c>
      <c r="AR45" s="1097">
        <f>(AM45*(1+$EX$9)+$EX$35)*(1+(INDEX(绊状态确认!$T:$T,MATCH($G45,绊状态确认!$B:$B,))+0.2)*AO45)*IF(J45=$FF$17,1+$FE$17,1)*IF(I45=$FF$14,1+$FE$14,1)</f>
        <v>8331.702808</v>
      </c>
      <c r="AS45" s="1097">
        <f>(AN45*(1+$EX$10)+$EX$36)*(1+(INDEX(绊状态确认!$T:$T,MATCH($G45,绊状态确认!$B:$B,))+0.2)*AO45)*IF(J45=$FF$17,1+$FE$17,1)*IF(I45=$FF$14,1+$FE$14,1)</f>
        <v>10219.674503999999</v>
      </c>
      <c r="AT45" s="1093">
        <f>IF(AND(INDEX('卡片raw data'!AK:AK,MATCH($D45,'卡片raw data'!$F:$F,))&lt;INDEX('卡片raw data'!AM:AM,MATCH($D45,'卡片raw data'!$F:$F,)),INDEX('卡片raw data'!AL:AL,MATCH($D45,'卡片raw data'!$F:$F,))&lt;INDEX('卡片raw data'!AM:AM,MATCH($D45,'卡片raw data'!$F:$F,))),1,0)</f>
        <v>0</v>
      </c>
      <c r="AU45" s="1098">
        <f>MIN(AT45*0.15+AS45*0.00003+INDEX(绊状态确认!M:M,MATCH($G45,绊状态确认!$B:$B,)),1)</f>
        <v>0.33659023511999997</v>
      </c>
      <c r="AV45" s="1109">
        <f>(INDEX(绊状态确认!$N:$N,MATCH($G45,绊状态确认!$B:$B,))+1.5)*$EW$21</f>
        <v>2.6599999999999997</v>
      </c>
      <c r="AW45" s="1101">
        <f t="shared" si="23"/>
        <v>14311.626618003123</v>
      </c>
      <c r="AX45" s="1097">
        <f t="shared" si="24"/>
        <v>707.68529805252854</v>
      </c>
      <c r="AY45" s="1110">
        <f t="shared" si="25"/>
        <v>15019.311916055653</v>
      </c>
      <c r="AZ45" s="429">
        <f t="shared" si="26"/>
        <v>13318.695259999999</v>
      </c>
      <c r="BA45" s="431">
        <f t="shared" si="27"/>
        <v>15982.434311999998</v>
      </c>
      <c r="BB45" s="1097">
        <f>(AM45*(1+$FB$9)+$FB$35)*(1+(INDEX(绊状态确认!$T:$T,MATCH($G45,绊状态确认!$B:$B,))+0.2)*AO45)*IF(J45=$FF$17,1+$FE$17,1)*IF(I45=$FF$14,1+$FE$14,1)*(1+$FE$15)</f>
        <v>8331.702808</v>
      </c>
      <c r="BC45" s="1097">
        <f>(AN45*(1+$FB$10)+$FB$36)*(1+(INDEX(绊状态确认!$T:$T,MATCH($G45,绊状态确认!$B:$B,))+0.2)*AO45)*IF(J45=$FF$17,1+$FE$17,1)*IF(I45=$FF$14,1+$FE$14,1)*(1+$FE$15)</f>
        <v>10219.674503999999</v>
      </c>
      <c r="BD45" s="1104">
        <f>MIN(AT45*0.15+BC45*0.00003+INDEX(绊状态确认!M:M,MATCH($G45,绊状态确认!$B:$B,)),1)</f>
        <v>0.33659023511999997</v>
      </c>
      <c r="BE45" s="432">
        <f>(INDEX(绊状态确认!$N:$N,MATCH($G45,绊状态确认!$B:$B,))+1.5)</f>
        <v>1.9</v>
      </c>
      <c r="BF45" s="1139">
        <f t="array" ref="BF45">SUMPRODUCT(IF(AZ45*AP45*$FI$16:$FI$23*$FA$22&gt;=$FI$24,$FI$24,AZ45*AP45*$FI$16:$FI$23*$FA$22),$FJ$16:$FJ$23)</f>
        <v>26490.884872139999</v>
      </c>
      <c r="BG45" s="1125">
        <f t="array" ref="BG45">SUMPRODUCT(IF(BE45*AZ45*AP45*$FI$16:$FI$23*$FA$22&gt;=$FI$24,$FI$24,BE45*AZ45*AP45*$FI$16:$FI$23*$FA$22),$FJ$16:$FJ$23)</f>
        <v>50082.21757154799</v>
      </c>
      <c r="BH45" s="1110">
        <f t="shared" si="28"/>
        <v>11477.165697409293</v>
      </c>
      <c r="BI45" s="1111">
        <f>IF(O45="vo",$EW$26/$EW$24*0.05,0)+IF(O45="sk",-$EW$26/$EW$24*(0.05-INDEX(绊状态确认!W:W,MATCH($G45,绊状态确认!$B:$B,)))+0.05*$EW$28,0)+IF(O45="sp",0.05*$EW$32*$EW$30*(1-$EW$33)-(0.05-INDEX(绊状态确认!V:V,MATCH($G45,绊状态确认!$B:$B,)))*$EW$28,0)+IF(O45="gd",-(0.05-INDEX(绊状态确认!X:X,MATCH($G45,绊状态确认!$B:$B,)))*$EW$32*$EW$30*(1-$EW$33),0)</f>
        <v>7726.3029277443748</v>
      </c>
      <c r="BJ45" s="1097">
        <f>IF(O45="vo",0.05*(1-$FI$26)*$FA$24,0)+IF(O45="sk",-(0.05-INDEX(绊状态确认!W:W,MATCH($G45,绊状态确认!$B:$B,)))*(1-$FI$26)*$FA$24+0.05*$FA$26,0)+IF(O45="sp",0.05*$FA$32*$FA$27*(1-$FA$33)/$FA$30+0.05*$FA$29/$FA$69*$FA$27*(1-$FA$33)-(0.05-INDEX(绊状态确认!V:V,MATCH($G45,绊状态确认!$B:$B,)))*$FA$26,0)+IF(O45="gd",-(0.05-INDEX(绊状态确认!X:X,MATCH($G45,绊状态确认!$B:$B,)))*$FA$32*$FA$27*(1-$FA$33)/$FA$30-(0.05-INDEX(绊状态确认!X:X,MATCH($G45,绊状态确认!$B:$B,)))*$FA$29/$FA$69*$FA$27*(1-$FA$33),0)</f>
        <v>393.93433687500004</v>
      </c>
      <c r="BK45" s="1110">
        <f>IF(O45="vo",$EW$26/$EW$24*0.05+$EW$26*(-HP($EW$62,$EW$65,$EW$64)+HP($EW$62,$EW$65,(1.05-INDEX(绊状态确认!U:U,MATCH($G45,绊状态确认!$B:$B,)))*$EW$64)),0)+IF(O45="sk",-$EW$26/$EW$24*(0.05-INDEX(绊状态确认!W:W,MATCH($G45,绊状态确认!$B:$B,)))+0.05*$EW$29,0)+IF(O45="sp",0.05*$EW$32*$EW$30*(1-$EW$33)-(0.05-INDEX(绊状态确认!V:V,MATCH($G45,绊状态确认!$B:$B,)))*$EW$29,0)+IF(O45="gd",-(0.05-INDEX(绊状态确认!X:X,MATCH($G45,绊状态确认!$B:$B,)))*$EW$32*$EW$30*(1-$EW$33)+$EW$26*(-HP($EW$62,$EW$65,$EW$64)+HP($EW$62,$EW$65,0.95*$EW$64)),0)</f>
        <v>6421.6344775026746</v>
      </c>
      <c r="BL45" s="1111">
        <f t="shared" si="29"/>
        <v>-2166.6666666666665</v>
      </c>
      <c r="BM45" s="1110">
        <f t="shared" si="30"/>
        <v>-1661.1111111111109</v>
      </c>
      <c r="BN45" s="1113">
        <f t="shared" si="31"/>
        <v>2</v>
      </c>
      <c r="BO45" s="1097">
        <f t="shared" si="32"/>
        <v>3005.1476580839999</v>
      </c>
      <c r="BP45" s="1100">
        <f t="shared" si="33"/>
        <v>147.56068806020068</v>
      </c>
      <c r="BQ45" s="1113" t="s">
        <v>616</v>
      </c>
      <c r="BR45" s="1124" t="s">
        <v>617</v>
      </c>
      <c r="BS45" s="1098">
        <f>IF($P45="","N/A",IF($P45=-1,INDEX('卡片raw data'!AX:AX,MATCH($D45,'卡片raw data'!$F:$F,)),0)+IF($L45="party卡",IF($P45=5,INDEX('卡片raw data'!BD:BD,MATCH($D45,'卡片raw data'!$F:$F,)),IF($P45&gt;=3,INDEX('卡片raw data'!BC:BC,MATCH($D45,'卡片raw data'!$F:$F,)),INDEX('卡片raw data'!BB:BB,MATCH($D45,'卡片raw data'!$F:$F,)))),IF(OR(AND($F45="UR",$P45=0),AND($F45="SR",$P45&gt;=0,$P45&lt;=2),AND($F45="R",$P45&gt;=0,$P45&lt;4)),INDEX('卡片raw data'!AZ:AZ,MATCH($D45,'卡片raw data'!$F:$F,)),0)+IF(OR(AND($F45="UR",$P45&gt;=1,$P45&lt;=4),AND($F45="SR",$P45&lt;=4,$P45&gt;=3),AND($F45="R",$P45=4)),INDEX('卡片raw data'!BA:BA,MATCH($D45,'卡片raw data'!$F:$F,)),0)+IF($P45=5,INDEX('卡片raw data'!BB:BB,MATCH($D45,'卡片raw data'!$F:$F,)),0)))</f>
        <v>2.7E-2</v>
      </c>
      <c r="BT45" s="1101">
        <f t="shared" si="34"/>
        <v>1061.1892806462897</v>
      </c>
      <c r="BU45" s="1097">
        <f t="shared" si="35"/>
        <v>76.759215015347351</v>
      </c>
      <c r="BV45" s="1097">
        <f t="shared" si="36"/>
        <v>636.71356838777365</v>
      </c>
      <c r="BW45" s="1112">
        <f t="shared" si="37"/>
        <v>0</v>
      </c>
      <c r="BX45" s="1100">
        <f t="shared" si="38"/>
        <v>1061.1892806462897</v>
      </c>
      <c r="BY45" s="1110">
        <f t="shared" si="39"/>
        <v>636.71356838777365</v>
      </c>
      <c r="BZ45" s="1107" t="s">
        <v>569</v>
      </c>
      <c r="CA45" s="1124"/>
      <c r="CB45" s="1098">
        <f>IF($P45="","N/A",IF($P45=-1,INDEX('卡片raw data'!BE:BE,MATCH($D45,'卡片raw data'!$F:$F,)),0)+IF($L45="party卡",IF($P45=5,INDEX('卡片raw data'!BK:BK,MATCH($D45,'卡片raw data'!$F:$F,)),IF($P45&gt;=3,INDEX('卡片raw data'!BJ:BJ,MATCH($D45,'卡片raw data'!$F:$F,)),INDEX('卡片raw data'!BI:BI,MATCH($D45,'卡片raw data'!$F:$F,)))),IF(OR(AND($F45="UR",$P45=0),AND($F45="SR",$P45&gt;=0,$P45&lt;=2),AND($F45="R",$P45&gt;=0,$P45&lt;4)),INDEX('卡片raw data'!BG:BG,MATCH($D45,'卡片raw data'!$F:$F,)),0)+IF(OR(AND($F45="UR",$P45&gt;=1,$P45&lt;=4),AND($F45="SR",$P45&lt;=4,$P45&gt;=3),AND($F45="R",$P45=4)),INDEX('卡片raw data'!BH:BH,MATCH($D45,'卡片raw data'!$F:$F,)),0)+IF($P45=5,INDEX('卡片raw data'!BI:BI,MATCH($D45,'卡片raw data'!$F:$F,)),0)))</f>
        <v>0</v>
      </c>
      <c r="CC45" s="1101">
        <f t="shared" si="40"/>
        <v>0</v>
      </c>
      <c r="CD45" s="1097">
        <f>IF(BZ45="ap",CB45*(1-$FI$26)*$FB$5/$FB$11*(+IF(CA45="全员",$FA$24,0)+IF(CA45="同作战",$FA$24,0)+IF(CA45="仲间",$FA$24*2/3,0)+IF(CA45="同属性",$FA$24*$FA$37/3,0)+IF(CA45="同年级",$FA$24*$FA$40/3,0)+IF(CA45="同学校",$FA$24*$FA$43/3,0)+IF(CA45="同小队",$FA$24*$FA$46/3,0)+IF(CA45="同type",$FA$24*INDEX($FB$49:$FB$52,MATCH(X45,$FA$49:$FA$52,))/3,0)+IF(CA45="自身",#REF!/3,0)),0)+IF(BZ45="te",CB45*(1-$FI$27)*($FA$20-1)*$FB$7/$FB$13*(+IF(CA45="全员",$FA$19*$FA$24/(1+($FA$20-1)*$FA$19),0)+IF(CA45="同作战",$FA$19*$FA$24/(1+($FA$20-1)*$FA$19),0)+IF(CA45="仲间",$FA$19*$FA$24*2/3/(1+($FA$20-1)*$FA$19),0)+IF(CA45="同属性",$FA$19*$FA$24*$FA$37/3/(1+($FA$20-1)*$FA$19),0)+IF(CA45="同年级",$FA$19*$FA$24*$FA$40/3/(1+($FA$20-1)*$FA$19),0)+IF(CA45="同学校",$FA$19*$FA$24*$FA$43/3/(1+($FA$20-1)*$FA$19),0)+IF(CA45="同小队",$FA$19*$FA$24*$FA$46/3/(1+($FA$20-1)*$FA$19),0)+IF(CA45="同type",$FA$19*$FA$24*INDEX($FB$49:$FB$52,MATCH(X45,$FA$49:$FA$52,))/3/(1+($FA$20-1)*$FA$19),0)+IF(CA45="自身",$FA$19*#REF!/3/(1+(BH45-1)*$BD45),0)),0)</f>
        <v>0</v>
      </c>
      <c r="CE45" s="1097">
        <f t="shared" si="41"/>
        <v>0</v>
      </c>
      <c r="CF45" s="1112">
        <f t="shared" si="42"/>
        <v>0</v>
      </c>
      <c r="CG45" s="1100">
        <f t="shared" si="43"/>
        <v>0</v>
      </c>
      <c r="CH45" s="1110">
        <f t="shared" si="44"/>
        <v>0</v>
      </c>
      <c r="CI45" s="1113"/>
      <c r="CJ45" s="1114"/>
      <c r="CK45" s="1115" t="s">
        <v>569</v>
      </c>
      <c r="CL45" s="1115"/>
      <c r="CM45" s="1119"/>
      <c r="CN45" s="1115"/>
      <c r="CO45" s="1092"/>
      <c r="CP45" s="1117">
        <f t="shared" si="45"/>
        <v>0</v>
      </c>
      <c r="CQ45" s="1117">
        <f t="shared" si="46"/>
        <v>0</v>
      </c>
      <c r="CR45" s="1117">
        <f t="shared" si="47"/>
        <v>0</v>
      </c>
      <c r="CS45" s="1118">
        <f t="shared" si="48"/>
        <v>0</v>
      </c>
      <c r="CT45" s="1109">
        <f t="shared" si="49"/>
        <v>0</v>
      </c>
      <c r="CU45" s="1101">
        <f t="shared" si="50"/>
        <v>0</v>
      </c>
      <c r="CV45" s="1108">
        <f t="shared" si="51"/>
        <v>0</v>
      </c>
      <c r="CW45" s="1097">
        <f t="shared" si="52"/>
        <v>0</v>
      </c>
      <c r="CX45" s="1097">
        <f t="shared" si="53"/>
        <v>0</v>
      </c>
      <c r="CY45" s="1110">
        <f t="shared" si="54"/>
        <v>0</v>
      </c>
      <c r="CZ45" s="437"/>
      <c r="DA45" s="438"/>
      <c r="DB45" s="439" t="s">
        <v>569</v>
      </c>
      <c r="DC45" s="439"/>
      <c r="DD45" s="443"/>
      <c r="DE45" s="411"/>
      <c r="DF45" s="411"/>
      <c r="DG45" s="1116">
        <f t="shared" si="55"/>
        <v>0</v>
      </c>
      <c r="DH45" s="1116">
        <f t="shared" si="56"/>
        <v>0</v>
      </c>
      <c r="DI45" s="1116">
        <f t="shared" si="57"/>
        <v>0</v>
      </c>
      <c r="DJ45" s="442">
        <f t="shared" si="58"/>
        <v>0</v>
      </c>
      <c r="DK45" s="1109">
        <f t="shared" si="59"/>
        <v>0</v>
      </c>
      <c r="DL45" s="1101">
        <f t="shared" si="60"/>
        <v>0</v>
      </c>
      <c r="DM45" s="1097">
        <f t="shared" si="61"/>
        <v>0</v>
      </c>
      <c r="DN45" s="1097">
        <f t="shared" si="62"/>
        <v>0</v>
      </c>
      <c r="DO45" s="1097">
        <f t="shared" si="63"/>
        <v>0</v>
      </c>
      <c r="DP45" s="1110">
        <f t="shared" si="64"/>
        <v>0</v>
      </c>
      <c r="DQ45" s="1113" t="s">
        <v>555</v>
      </c>
      <c r="DR45" s="1120">
        <f t="shared" si="65"/>
        <v>0.3</v>
      </c>
      <c r="DS45" s="1124">
        <v>5</v>
      </c>
      <c r="DT45" s="1093" t="s">
        <v>161</v>
      </c>
      <c r="DU45" s="1093" t="s">
        <v>546</v>
      </c>
      <c r="DV45" s="1097">
        <f>IF($P45="","N/A",IF(P45=-1,INDEX('卡片raw data'!AN:AN,MATCH(D45,'卡片raw data'!$F:$F,)),0)+IF(AND(L45&lt;&gt;"party卡",P45&lt;=2,P45&gt;=0),INDEX('卡片raw data'!AP:AP,MATCH(D45,'卡片raw data'!$F:$F,)),0)+IF(OR(AND(L45="party卡",P45&lt;=1),AND(P45&lt;=4,L45&lt;&gt;"party卡",P45&gt;=3)),INDEX('卡片raw data'!AQ:AQ,MATCH(D45,'卡片raw data'!$F:$F,)),0)+IF(OR(P45=5,AND(L45="party卡",P45&gt;=2)),INDEX('卡片raw data'!AR:AR,MATCH(D45,'卡片raw data'!$F:$F,)),0))</f>
        <v>100</v>
      </c>
      <c r="DW45" s="1098">
        <f t="shared" si="66"/>
        <v>0.3</v>
      </c>
      <c r="DX45" s="1098">
        <f t="shared" si="67"/>
        <v>0.3</v>
      </c>
      <c r="DY45" s="1098">
        <f t="shared" si="68"/>
        <v>1.1049723756906078E-3</v>
      </c>
      <c r="DZ45" s="1098">
        <f t="shared" si="69"/>
        <v>1.2054069119286509E-3</v>
      </c>
      <c r="EA45" s="1098">
        <f t="shared" si="70"/>
        <v>0</v>
      </c>
      <c r="EB45" s="1121">
        <f t="shared" si="71"/>
        <v>0</v>
      </c>
      <c r="EC45" s="1101">
        <f t="shared" si="72"/>
        <v>150.25738290420003</v>
      </c>
      <c r="ED45" s="1097">
        <f t="shared" si="73"/>
        <v>7.9141862085859112</v>
      </c>
      <c r="EE45" s="1110">
        <f t="shared" si="74"/>
        <v>150.25738290420003</v>
      </c>
      <c r="EF45" s="1092" t="s">
        <v>711</v>
      </c>
      <c r="EG45" s="1120">
        <f t="shared" si="75"/>
        <v>0.3</v>
      </c>
      <c r="EH45" s="1124"/>
      <c r="EI45" s="1093"/>
      <c r="EJ45" s="1093"/>
      <c r="EK45" s="1097">
        <f>IF($P45="","N/A",IF(P45=-1,INDEX('卡片raw data'!AS:AS,MATCH(D45,'卡片raw data'!$F:$F,)),0)+IF(AND(L45&lt;&gt;"party卡",P45&lt;=2,P45&gt;=0),INDEX('卡片raw data'!AU:AU,MATCH(D45,'卡片raw data'!$F:$F,)),0)+IF(OR(AND(L45="party卡",P45&lt;=1),AND(P45&lt;=4,L45&lt;&gt;"party卡",P45&gt;=3)),INDEX('卡片raw data'!AV:AV,MATCH(D45,'卡片raw data'!$F:$F,)),0)+IF(OR(P45=5,AND(L45="party卡",P45&gt;=2)),INDEX('卡片raw data'!AW:AW,MATCH(D45,'卡片raw data'!$F:$F,)),0))</f>
        <v>0</v>
      </c>
      <c r="EL45" s="1098">
        <f t="shared" si="76"/>
        <v>0.3</v>
      </c>
      <c r="EM45" s="1098">
        <f t="shared" si="77"/>
        <v>0.3</v>
      </c>
      <c r="EN45" s="1125">
        <f t="shared" si="78"/>
        <v>0</v>
      </c>
      <c r="EO45" s="1125">
        <f t="shared" si="79"/>
        <v>0</v>
      </c>
      <c r="EP45" s="1098">
        <f t="shared" si="80"/>
        <v>0</v>
      </c>
      <c r="EQ45" s="1121">
        <f t="shared" si="81"/>
        <v>0</v>
      </c>
      <c r="ER45" s="1101">
        <f t="shared" si="82"/>
        <v>0</v>
      </c>
      <c r="ES45" s="1097">
        <f t="shared" si="83"/>
        <v>0</v>
      </c>
      <c r="ET45" s="1122">
        <f t="shared" si="84"/>
        <v>0</v>
      </c>
      <c r="EV45" s="1231" t="s">
        <v>614</v>
      </c>
      <c r="EW45" s="1312">
        <v>4</v>
      </c>
      <c r="EX45" s="1313"/>
      <c r="EY45" s="1212"/>
      <c r="EZ45" s="1231" t="s">
        <v>614</v>
      </c>
      <c r="FA45" s="1312">
        <v>4</v>
      </c>
      <c r="FB45" s="1313"/>
      <c r="FC45" s="447"/>
      <c r="FD45" s="447"/>
      <c r="FE45" s="447"/>
      <c r="FF45" s="642"/>
      <c r="FG45" s="642"/>
      <c r="FH45" s="642"/>
      <c r="FI45" s="642"/>
      <c r="FJ45" s="447"/>
    </row>
    <row r="46" spans="2:166" ht="16.5" customHeight="1">
      <c r="B46" s="1123" t="str">
        <f>INDEX('卡片raw data'!B:B,MATCH($D46,'卡片raw data'!$F:$F,))</f>
        <v>啦啦梨</v>
      </c>
      <c r="C46" s="449" t="s">
        <v>22</v>
      </c>
      <c r="D46" s="408">
        <v>43</v>
      </c>
      <c r="E46" s="1090">
        <v>101022001</v>
      </c>
      <c r="F46" s="1090" t="str">
        <f>INDEX('卡片raw data'!C:C,MATCH($D46,'卡片raw data'!$F:$F,))</f>
        <v>SR</v>
      </c>
      <c r="G46" s="1094" t="s">
        <v>340</v>
      </c>
      <c r="H46" s="411">
        <f>IFERROR(INDEX(绊状态确认!C:C,MATCH($G46,绊状态确认!$B:$B,)),"")</f>
        <v>102</v>
      </c>
      <c r="I46" s="450" t="str">
        <f>IFERROR(INDEX(绊状态确认!D:D,MATCH($G46,绊状态确认!$B:$B,)),"")</f>
        <v>水</v>
      </c>
      <c r="J46" s="450" t="str">
        <f>IFERROR(INDEX(绊状态确认!E:E,MATCH($G46,绊状态确认!$B:$B,)),"")</f>
        <v>2年级</v>
      </c>
      <c r="K46" s="451" t="str">
        <f>IFERROR(INDEX(绊状态确认!F:F,MATCH($G46,绊状态确认!$B:$B,)),"")</f>
        <v>Guilty Kiss</v>
      </c>
      <c r="L46" s="1094" t="str">
        <f>INDEX('卡片raw data'!E:E,MATCH($D46,'卡片raw data'!$F:$F,))</f>
        <v>卡池卡</v>
      </c>
      <c r="M46" s="415">
        <v>43735</v>
      </c>
      <c r="N46" s="416">
        <v>0</v>
      </c>
      <c r="O46" s="1091" t="str">
        <f>INDEX('卡片raw data'!D:D,MATCH($D46,'卡片raw data'!$F:$F,))</f>
        <v>sp</v>
      </c>
      <c r="P46" s="417">
        <v>5</v>
      </c>
      <c r="Q46" s="1095">
        <f t="shared" si="0"/>
        <v>17408.190879882983</v>
      </c>
      <c r="R46" s="1096">
        <f t="shared" si="1"/>
        <v>0.20200000000000001</v>
      </c>
      <c r="S46" s="1097">
        <f t="shared" si="2"/>
        <v>9945.6047820925105</v>
      </c>
      <c r="T46" s="1098">
        <f t="shared" si="3"/>
        <v>0.497</v>
      </c>
      <c r="U46" s="1099">
        <f t="shared" si="4"/>
        <v>16.168199449182854</v>
      </c>
      <c r="V46" s="1100">
        <f t="shared" si="5"/>
        <v>16909.129000961129</v>
      </c>
      <c r="W46" s="1101">
        <f t="shared" si="6"/>
        <v>4516.3154375986333</v>
      </c>
      <c r="X46" s="1096">
        <f t="shared" si="7"/>
        <v>5.1999999999999998E-2</v>
      </c>
      <c r="Y46" s="1097">
        <f t="shared" si="8"/>
        <v>1300.9381210781467</v>
      </c>
      <c r="Z46" s="1102">
        <f t="shared" si="9"/>
        <v>16.168199449182854</v>
      </c>
      <c r="AA46" s="1103">
        <f t="shared" si="10"/>
        <v>5817.2535586767799</v>
      </c>
      <c r="AB46" s="1101">
        <f t="shared" si="11"/>
        <v>4734.6984805002958</v>
      </c>
      <c r="AC46" s="1104">
        <f t="shared" si="12"/>
        <v>5.5E-2</v>
      </c>
      <c r="AD46" s="1105">
        <f t="shared" si="13"/>
        <v>-1.9908281250000003E-2</v>
      </c>
      <c r="AE46" s="1128">
        <f t="shared" si="14"/>
        <v>41.311625724637679</v>
      </c>
      <c r="AF46" s="1130">
        <f t="shared" si="15"/>
        <v>0</v>
      </c>
      <c r="AG46" s="420">
        <f t="shared" si="16"/>
        <v>0</v>
      </c>
      <c r="AH46" s="420">
        <f t="shared" si="17"/>
        <v>0</v>
      </c>
      <c r="AI46" s="1097">
        <f t="shared" si="18"/>
        <v>0</v>
      </c>
      <c r="AJ46" s="420">
        <f t="shared" si="19"/>
        <v>0</v>
      </c>
      <c r="AK46" s="518">
        <f t="shared" si="20"/>
        <v>0</v>
      </c>
      <c r="AL46" s="1106">
        <f>IF($P46="","N/A",(IF($P46=-1,INDEX('卡片raw data'!S:S,MATCH($D46,'卡片raw data'!$F:$F,)),0)+IF($P46=0,INDEX('卡片raw data'!V:V,MATCH($D46,'卡片raw data'!$F:$F,)),0)+IF($P46=1,INDEX('卡片raw data'!Y:Y,MATCH($D46,'卡片raw data'!$F:$F,)),0)+IF($P46=2,INDEX('卡片raw data'!AB:AB,MATCH($D46,'卡片raw data'!$F:$F,)),0)+IF($P46=3,INDEX('卡片raw data'!AE:AE,MATCH($D46,'卡片raw data'!$F:$F,)),0)+IF($P46=4,INDEX('卡片raw data'!AH:AH,MATCH($D46,'卡片raw data'!$F:$F,)),0)+IF($P46=5,INDEX('卡片raw data'!AK:AK,MATCH($D46,'卡片raw data'!$F:$F,)),0)+INDEX('卡片raw data'!S:S,MATCH($D46,'卡片raw data'!$F:$F,))*(IF($F46="UR",0.04,0.033))*(IF($F46="UR",INDEX(绊状态确认!$S:$S,MATCH($G46,绊状态确认!$B:$B,))/2-40)+IF($F46="SR",INDEX(绊状态确认!$R:$R,MATCH($G46,绊状态确认!$B:$B,))/4-15))+IF($F46="R",INDEX(绊状态确认!$Q:$Q,MATCH($G46,绊状态确认!$B:$B,))/6-40/6)))*(INDEX(绊状态确认!$H:$H,MATCH($G46,绊状态确认!$B:$B,))+INDEX(绊状态确认!J:J,MATCH($G46,绊状态确认!$B:$B,)))</f>
        <v>3213.5755583999999</v>
      </c>
      <c r="AM46" s="1106">
        <f>IF($P46="","N/A",(IF($P46=-1,INDEX('卡片raw data'!T:T,MATCH($D46,'卡片raw data'!$F:$F,)),0)+IF($P46=0,INDEX('卡片raw data'!W:W,MATCH($D46,'卡片raw data'!$F:$F,)),0)+IF($P46=1,INDEX('卡片raw data'!Z:Z,MATCH($D46,'卡片raw data'!$F:$F,)),0)+IF($P46=2,INDEX('卡片raw data'!AC:AC,MATCH($D46,'卡片raw data'!$F:$F,)),0)+IF($P46=3,INDEX('卡片raw data'!AF:AF,MATCH($D46,'卡片raw data'!$F:$F,)),0)+IF($P46=4,INDEX('卡片raw data'!AI:AI,MATCH($D46,'卡片raw data'!$F:$F,)),0)+IF($P46=5,INDEX('卡片raw data'!AL:AL,MATCH($D46,'卡片raw data'!$F:$F,)),0)+INDEX('卡片raw data'!T:T,MATCH($D46,'卡片raw data'!$F:$F,))*(IF($F46="UR",0.04,0.033))*(IF($F46="UR",INDEX(绊状态确认!$S:$S,MATCH($G46,绊状态确认!$B:$B,))/2-40)+IF($F46="SR",INDEX(绊状态确认!$R:$R,MATCH($G46,绊状态确认!$B:$B,))/4-15))+IF($F46="R",INDEX(绊状态确认!$Q:$Q,MATCH($G46,绊状态确认!$B:$B,))/6-40/6)))*(INDEX(绊状态确认!$H:$H,MATCH($G46,绊状态确认!$B:$B,))+INDEX(绊状态确认!K:K,MATCH($G46,绊状态确认!$B:$B,)))</f>
        <v>9074.2267295999991</v>
      </c>
      <c r="AN46" s="1106">
        <f>IF($P46="","N/A",(IF($P46=-1,INDEX('卡片raw data'!U:U,MATCH($D46,'卡片raw data'!$F:$F,)),0)+IF($P46=0,INDEX('卡片raw data'!X:X,MATCH($D46,'卡片raw data'!$F:$F,)),0)+IF($P46=1,INDEX('卡片raw data'!AA:AA,MATCH($D46,'卡片raw data'!$F:$F,)),0)+IF($P46=2,INDEX('卡片raw data'!AD:AD,MATCH($D46,'卡片raw data'!$F:$F,)),0)+IF($P46=3,INDEX('卡片raw data'!AG:AG,MATCH($D46,'卡片raw data'!$F:$F,)),0)+IF($P46=4,INDEX('卡片raw data'!AJ:AJ,MATCH($D46,'卡片raw data'!$F:$F,)),0)+IF($P46=5,INDEX('卡片raw data'!AM:AM,MATCH($D46,'卡片raw data'!$F:$F,)),0)+INDEX('卡片raw data'!U:U,MATCH($D46,'卡片raw data'!$F:$F,))*(IF($F46="UR",0.04,0.033))*(IF($F46="UR",INDEX(绊状态确认!$S:$S,MATCH($G46,绊状态确认!$B:$B,))/2-40)+IF($F46="SR",INDEX(绊状态确认!$R:$R,MATCH($G46,绊状态确认!$B:$B,))/4-15))+IF($F46="R",INDEX(绊状态确认!$Q:$Q,MATCH($G46,绊状态确认!$B:$B,))/6-40/6)))*(INDEX(绊状态确认!$H:$H,MATCH($G46,绊状态确认!$B:$B,))+INDEX(绊状态确认!L:L,MATCH($G46,绊状态确认!$B:$B,)))</f>
        <v>6617.1208319999996</v>
      </c>
      <c r="AO46" s="1107">
        <f t="shared" si="21"/>
        <v>1</v>
      </c>
      <c r="AP46" s="1131">
        <f>1+(INDEX(绊状态确认!$T:$T,MATCH($G46,绊状态确认!$B:$B,))+0.2)*$AO46</f>
        <v>1.3</v>
      </c>
      <c r="AQ46" s="1108">
        <f t="shared" si="22"/>
        <v>11685.635840800001</v>
      </c>
      <c r="AR46" s="1097">
        <f>(AM46*(1+$EX$9)+$EX$35)*(1+(INDEX(绊状态确认!$T:$T,MATCH($G46,绊状态确认!$B:$B,))+0.2)*AO46)*IF(J46=$FF$17,1+$FE$17,1)*IF(I46=$FF$14,1+$FE$14,1)</f>
        <v>15090.319485904</v>
      </c>
      <c r="AS46" s="1097">
        <f>(AN46*(1+$EX$10)+$EX$36)*(1+(INDEX(绊状态确认!$T:$T,MATCH($G46,绊状态确认!$B:$B,))+0.2)*AO46)*IF(J46=$FF$17,1+$FE$17,1)*IF(I46=$FF$14,1+$FE$14,1)</f>
        <v>13948.595643839999</v>
      </c>
      <c r="AT46" s="1093">
        <f>IF(AND(INDEX('卡片raw data'!AK:AK,MATCH($D46,'卡片raw data'!$F:$F,))&lt;INDEX('卡片raw data'!AM:AM,MATCH($D46,'卡片raw data'!$F:$F,)),INDEX('卡片raw data'!AL:AL,MATCH($D46,'卡片raw data'!$F:$F,))&lt;INDEX('卡片raw data'!AM:AM,MATCH($D46,'卡片raw data'!$F:$F,))),1,0)</f>
        <v>0</v>
      </c>
      <c r="AU46" s="1098">
        <f>MIN(AT46*0.15+AS46*0.00003+INDEX(绊状态确认!M:M,MATCH($G46,绊状态确认!$B:$B,)),1)</f>
        <v>0.44845786931519999</v>
      </c>
      <c r="AV46" s="1109">
        <f>(INDEX(绊状态确认!$N:$N,MATCH($G46,绊状态确认!$B:$B,))+1.5)*$EW$21</f>
        <v>2.6599999999999997</v>
      </c>
      <c r="AW46" s="1101">
        <f t="shared" si="23"/>
        <v>10586.825732716017</v>
      </c>
      <c r="AX46" s="1097">
        <f t="shared" si="24"/>
        <v>1300.9381210781469</v>
      </c>
      <c r="AY46" s="1110">
        <f t="shared" si="25"/>
        <v>11887.763853794164</v>
      </c>
      <c r="AZ46" s="429">
        <f t="shared" si="26"/>
        <v>8866.4723388799994</v>
      </c>
      <c r="BA46" s="431">
        <f t="shared" si="27"/>
        <v>10639.766806655998</v>
      </c>
      <c r="BB46" s="1097">
        <f>(AM46*(1+$FB$9)+$FB$35)*(1+(INDEX(绊状态确认!$T:$T,MATCH($G46,绊状态确认!$B:$B,))+0.2)*AO46)*IF(J46=$FF$17,1+$FE$17,1)*IF(I46=$FF$14,1+$FE$14,1)*(1+$FE$15)</f>
        <v>15090.319485904</v>
      </c>
      <c r="BC46" s="1097">
        <f>(AN46*(1+$FB$10)+$FB$36)*(1+(INDEX(绊状态确认!$T:$T,MATCH($G46,绊状态确认!$B:$B,))+0.2)*AO46)*IF(J46=$FF$17,1+$FE$17,1)*IF(I46=$FF$14,1+$FE$14,1)*(1+$FE$15)</f>
        <v>13948.595643839999</v>
      </c>
      <c r="BD46" s="1104">
        <f>MIN(AT46*0.15+BC46*0.00003+INDEX(绊状态确认!M:M,MATCH($G46,绊状态确认!$B:$B,)),1)</f>
        <v>0.44845786931519999</v>
      </c>
      <c r="BE46" s="432">
        <f>(INDEX(绊状态确认!$N:$N,MATCH($G46,绊状态确认!$B:$B,))+1.5)</f>
        <v>1.9</v>
      </c>
      <c r="BF46" s="1139">
        <f t="array" ref="BF46">SUMPRODUCT(IF(AZ46*AP46*$FI$16:$FI$23*$FA$22&gt;=$FI$24,$FI$24,AZ46*AP46*$FI$16:$FI$23*$FA$22),$FJ$16:$FJ$23)</f>
        <v>17635.41348203232</v>
      </c>
      <c r="BG46" s="1125">
        <f t="array" ref="BG46">SUMPRODUCT(IF(BE46*AZ46*AP46*$FI$16:$FI$23*$FA$22&gt;=$FI$24,$FI$24,BE46*AZ46*AP46*$FI$16:$FI$23*$FA$22),$FJ$16:$FJ$23)</f>
        <v>33507.285615861409</v>
      </c>
      <c r="BH46" s="1110">
        <f t="shared" si="28"/>
        <v>8251.0931470708692</v>
      </c>
      <c r="BI46" s="1111">
        <f>IF(O46="vo",$EW$26/$EW$24*0.05,0)+IF(O46="sk",-$EW$26/$EW$24*(0.05-INDEX(绊状态确认!W:W,MATCH($G46,绊状态确认!$B:$B,)))+0.05*$EW$28,0)+IF(O46="sp",0.05*$EW$32*$EW$30*(1-$EW$33)-(0.05-INDEX(绊状态确认!V:V,MATCH($G46,绊状态确认!$B:$B,)))*$EW$28,0)+IF(O46="gd",-(0.05-INDEX(绊状态确认!X:X,MATCH($G46,绊状态确认!$B:$B,)))*$EW$32*$EW$30*(1-$EW$33),0)</f>
        <v>19.999999999999886</v>
      </c>
      <c r="BJ46" s="1097">
        <f>IF(O46="vo",0.05*(1-$FI$26)*$FA$24,0)+IF(O46="sk",-(0.05-INDEX(绊状态确认!W:W,MATCH($G46,绊状态确认!$B:$B,)))*(1-$FI$26)*$FA$24+0.05*$FA$26,0)+IF(O46="sp",0.05*$FA$32*$FA$27*(1-$FA$33)/$FA$30+0.05*$FA$29/$FA$69*$FA$27*(1-$FA$33)-(0.05-INDEX(绊状态确认!V:V,MATCH($G46,绊状态确认!$B:$B,)))*$FA$26,0)+IF(O46="gd",-(0.05-INDEX(绊状态确认!X:X,MATCH($G46,绊状态确认!$B:$B,)))*$FA$32*$FA$27*(1-$FA$33)/$FA$30-(0.05-INDEX(绊状态确认!X:X,MATCH($G46,绊状态确认!$B:$B,)))*$FA$29/$FA$69*$FA$27*(1-$FA$33),0)</f>
        <v>545.83333333333326</v>
      </c>
      <c r="BK46" s="1110">
        <f>IF(O46="vo",$EW$26/$EW$24*0.05+$EW$26*(-HP($EW$62,$EW$65,$EW$64)+HP($EW$62,$EW$65,(1.05-INDEX(绊状态确认!U:U,MATCH($G46,绊状态确认!$B:$B,)))*$EW$64)),0)+IF(O46="sk",-$EW$26/$EW$24*(0.05-INDEX(绊状态确认!W:W,MATCH($G46,绊状态确认!$B:$B,)))+0.05*$EW$29,0)+IF(O46="sp",0.05*$EW$32*$EW$30*(1-$EW$33)-(0.05-INDEX(绊状态确认!V:V,MATCH($G46,绊状态确认!$B:$B,)))*$EW$29,0)+IF(O46="gd",-(0.05-INDEX(绊状态确认!X:X,MATCH($G46,绊状态确认!$B:$B,)))*$EW$32*$EW$30*(1-$EW$33)+$EW$26*(-HP($EW$62,$EW$65,$EW$64)+HP($EW$62,$EW$65,0.95*$EW$64)),0)</f>
        <v>-1780.0000000000005</v>
      </c>
      <c r="BL46" s="1111">
        <f t="shared" si="29"/>
        <v>-1083.3333333333333</v>
      </c>
      <c r="BM46" s="1110">
        <f t="shared" si="30"/>
        <v>-830.55555555555543</v>
      </c>
      <c r="BN46" s="1113">
        <f t="shared" si="31"/>
        <v>3</v>
      </c>
      <c r="BO46" s="1097">
        <f t="shared" si="32"/>
        <v>4507.7214871259994</v>
      </c>
      <c r="BP46" s="1100">
        <f t="shared" si="33"/>
        <v>221.34103209030098</v>
      </c>
      <c r="BQ46" s="1113" t="s">
        <v>616</v>
      </c>
      <c r="BR46" s="1124" t="s">
        <v>622</v>
      </c>
      <c r="BS46" s="1098">
        <f>IF($P46="","N/A",IF($P46=-1,INDEX('卡片raw data'!AX:AX,MATCH($D46,'卡片raw data'!$F:$F,)),0)+IF($L46="party卡",IF($P46=5,INDEX('卡片raw data'!BD:BD,MATCH($D46,'卡片raw data'!$F:$F,)),IF($P46&gt;=3,INDEX('卡片raw data'!BC:BC,MATCH($D46,'卡片raw data'!$F:$F,)),INDEX('卡片raw data'!BB:BB,MATCH($D46,'卡片raw data'!$F:$F,)))),IF(OR(AND($F46="UR",$P46=0),AND($F46="SR",$P46&gt;=0,$P46&lt;=2),AND($F46="R",$P46&gt;=0,$P46&lt;4)),INDEX('卡片raw data'!AZ:AZ,MATCH($D46,'卡片raw data'!$F:$F,)),0)+IF(OR(AND($F46="UR",$P46&gt;=1,$P46&lt;=4),AND($F46="SR",$P46&lt;=4,$P46&gt;=3),AND($F46="R",$P46=4)),INDEX('卡片raw data'!BA:BA,MATCH($D46,'卡片raw data'!$F:$F,)),0)+IF($P46=5,INDEX('卡片raw data'!BB:BB,MATCH($D46,'卡片raw data'!$F:$F,)),0)))</f>
        <v>7.0000000000000007E-2</v>
      </c>
      <c r="BT46" s="1101">
        <f t="shared" si="34"/>
        <v>218.38304290166263</v>
      </c>
      <c r="BU46" s="1097">
        <f t="shared" si="35"/>
        <v>17.080325153562523</v>
      </c>
      <c r="BV46" s="1097">
        <f t="shared" si="36"/>
        <v>0</v>
      </c>
      <c r="BW46" s="1112">
        <f t="shared" si="37"/>
        <v>0</v>
      </c>
      <c r="BX46" s="1100">
        <f t="shared" si="38"/>
        <v>218.38304290166263</v>
      </c>
      <c r="BY46" s="1110">
        <f t="shared" si="39"/>
        <v>0</v>
      </c>
      <c r="BZ46" s="1107" t="s">
        <v>569</v>
      </c>
      <c r="CA46" s="1124"/>
      <c r="CB46" s="1098">
        <f>IF($P46="","N/A",IF($P46=-1,INDEX('卡片raw data'!BE:BE,MATCH($D46,'卡片raw data'!$F:$F,)),0)+IF($L46="party卡",IF($P46=5,INDEX('卡片raw data'!BK:BK,MATCH($D46,'卡片raw data'!$F:$F,)),IF($P46&gt;=3,INDEX('卡片raw data'!BJ:BJ,MATCH($D46,'卡片raw data'!$F:$F,)),INDEX('卡片raw data'!BI:BI,MATCH($D46,'卡片raw data'!$F:$F,)))),IF(OR(AND($F46="UR",$P46=0),AND($F46="SR",$P46&gt;=0,$P46&lt;=2),AND($F46="R",$P46&gt;=0,$P46&lt;4)),INDEX('卡片raw data'!BG:BG,MATCH($D46,'卡片raw data'!$F:$F,)),0)+IF(OR(AND($F46="UR",$P46&gt;=1,$P46&lt;=4),AND($F46="SR",$P46&lt;=4,$P46&gt;=3),AND($F46="R",$P46=4)),INDEX('卡片raw data'!BH:BH,MATCH($D46,'卡片raw data'!$F:$F,)),0)+IF($P46=5,INDEX('卡片raw data'!BI:BI,MATCH($D46,'卡片raw data'!$F:$F,)),0)))</f>
        <v>0</v>
      </c>
      <c r="CC46" s="1101">
        <f t="shared" si="40"/>
        <v>0</v>
      </c>
      <c r="CD46" s="1097">
        <f>IF(BZ46="ap",CB46*(1-$FI$26)*$FB$5/$FB$11*(+IF(CA46="全员",$FA$24,0)+IF(CA46="同作战",$FA$24,0)+IF(CA46="仲间",$FA$24*2/3,0)+IF(CA46="同属性",$FA$24*$FA$37/3,0)+IF(CA46="同年级",$FA$24*$FA$40/3,0)+IF(CA46="同学校",$FA$24*$FA$43/3,0)+IF(CA46="同小队",$FA$24*$FA$46/3,0)+IF(CA46="同type",$FA$24*INDEX($FB$49:$FB$52,MATCH(X46,$FA$49:$FA$52,))/3,0)+IF(CA46="自身",#REF!/3,0)),0)+IF(BZ46="te",CB46*(1-$FI$27)*($FA$20-1)*$FB$7/$FB$13*(+IF(CA46="全员",$FA$19*$FA$24/(1+($FA$20-1)*$FA$19),0)+IF(CA46="同作战",$FA$19*$FA$24/(1+($FA$20-1)*$FA$19),0)+IF(CA46="仲间",$FA$19*$FA$24*2/3/(1+($FA$20-1)*$FA$19),0)+IF(CA46="同属性",$FA$19*$FA$24*$FA$37/3/(1+($FA$20-1)*$FA$19),0)+IF(CA46="同年级",$FA$19*$FA$24*$FA$40/3/(1+($FA$20-1)*$FA$19),0)+IF(CA46="同学校",$FA$19*$FA$24*$FA$43/3/(1+($FA$20-1)*$FA$19),0)+IF(CA46="同小队",$FA$19*$FA$24*$FA$46/3/(1+($FA$20-1)*$FA$19),0)+IF(CA46="同type",$FA$19*$FA$24*INDEX($FB$49:$FB$52,MATCH(X46,$FA$49:$FA$52,))/3/(1+($FA$20-1)*$FA$19),0)+IF(CA46="自身",$FA$19*#REF!/3/(1+(BH46-1)*$BD46),0)),0)</f>
        <v>0</v>
      </c>
      <c r="CE46" s="1097">
        <f t="shared" si="41"/>
        <v>0</v>
      </c>
      <c r="CF46" s="1112">
        <f t="shared" si="42"/>
        <v>0</v>
      </c>
      <c r="CG46" s="1100">
        <f t="shared" si="43"/>
        <v>0</v>
      </c>
      <c r="CH46" s="1110">
        <f t="shared" si="44"/>
        <v>0</v>
      </c>
      <c r="CI46" s="1113" t="s">
        <v>162</v>
      </c>
      <c r="CJ46" s="1114">
        <v>0.3</v>
      </c>
      <c r="CK46" s="1115" t="s">
        <v>256</v>
      </c>
      <c r="CL46" s="1115" t="s">
        <v>1940</v>
      </c>
      <c r="CM46" s="1119">
        <v>0.08</v>
      </c>
      <c r="CN46" s="1115"/>
      <c r="CO46" s="1092"/>
      <c r="CP46" s="1116">
        <f t="shared" si="45"/>
        <v>6.0097555752685716</v>
      </c>
      <c r="CQ46" s="1116">
        <f t="shared" si="46"/>
        <v>8.5118134453247976</v>
      </c>
      <c r="CR46" s="1116">
        <f t="shared" si="47"/>
        <v>6.0097555752685716</v>
      </c>
      <c r="CS46" s="1118">
        <f t="shared" si="48"/>
        <v>0</v>
      </c>
      <c r="CT46" s="1109">
        <f t="shared" si="49"/>
        <v>0</v>
      </c>
      <c r="CU46" s="1101">
        <f t="shared" si="50"/>
        <v>8.5939504726340576</v>
      </c>
      <c r="CV46" s="1108">
        <f t="shared" si="51"/>
        <v>0</v>
      </c>
      <c r="CW46" s="1097">
        <f t="shared" si="52"/>
        <v>8.5939504726340594</v>
      </c>
      <c r="CX46" s="1097">
        <f t="shared" si="53"/>
        <v>8.5939504726340576</v>
      </c>
      <c r="CY46" s="1110">
        <f t="shared" si="54"/>
        <v>8.5939504726340594</v>
      </c>
      <c r="CZ46" s="437"/>
      <c r="DA46" s="438"/>
      <c r="DB46" s="439" t="s">
        <v>569</v>
      </c>
      <c r="DC46" s="439"/>
      <c r="DD46" s="443"/>
      <c r="DE46" s="411"/>
      <c r="DF46" s="411"/>
      <c r="DG46" s="1116">
        <f t="shared" si="55"/>
        <v>0</v>
      </c>
      <c r="DH46" s="1116">
        <f t="shared" si="56"/>
        <v>0</v>
      </c>
      <c r="DI46" s="1116">
        <f t="shared" si="57"/>
        <v>0</v>
      </c>
      <c r="DJ46" s="442">
        <f t="shared" si="58"/>
        <v>0</v>
      </c>
      <c r="DK46" s="1109">
        <f t="shared" si="59"/>
        <v>0</v>
      </c>
      <c r="DL46" s="1101">
        <f t="shared" si="60"/>
        <v>0</v>
      </c>
      <c r="DM46" s="1097">
        <f t="shared" si="61"/>
        <v>0</v>
      </c>
      <c r="DN46" s="1097">
        <f t="shared" si="62"/>
        <v>0</v>
      </c>
      <c r="DO46" s="1097">
        <f t="shared" si="63"/>
        <v>0</v>
      </c>
      <c r="DP46" s="1110">
        <f t="shared" si="64"/>
        <v>0</v>
      </c>
      <c r="DQ46" s="1113" t="s">
        <v>549</v>
      </c>
      <c r="DR46" s="1120">
        <f t="shared" si="65"/>
        <v>0.3</v>
      </c>
      <c r="DS46" s="1124"/>
      <c r="DT46" s="1093" t="s">
        <v>179</v>
      </c>
      <c r="DU46" s="1093"/>
      <c r="DV46" s="1098">
        <f>IF($P46="","N/A",IF(P46=-1,INDEX('卡片raw data'!AN:AN,MATCH(D46,'卡片raw data'!$F:$F,)),0)+IF(AND(L46&lt;&gt;"party卡",P46&lt;=2,P46&gt;=0),INDEX('卡片raw data'!AP:AP,MATCH(D46,'卡片raw data'!$F:$F,)),0)+IF(OR(AND(L46="party卡",P46&lt;=1),AND(P46&lt;=4,L46&lt;&gt;"party卡",P46&gt;=3)),INDEX('卡片raw data'!AQ:AQ,MATCH(D46,'卡片raw data'!$F:$F,)),0)+IF(OR(P46=5,AND(L46="party卡",P46&gt;=2)),INDEX('卡片raw data'!AR:AR,MATCH(D46,'卡片raw data'!$F:$F,)),0))</f>
        <v>7.0000000000000007E-2</v>
      </c>
      <c r="DW46" s="1098">
        <f t="shared" si="66"/>
        <v>0.3</v>
      </c>
      <c r="DX46" s="1098">
        <f t="shared" si="67"/>
        <v>0.3</v>
      </c>
      <c r="DY46" s="1098">
        <f t="shared" si="68"/>
        <v>7.0000000000000001E-3</v>
      </c>
      <c r="DZ46" s="1098">
        <f t="shared" si="69"/>
        <v>6.9632499999999998E-3</v>
      </c>
      <c r="EA46" s="1098">
        <f t="shared" si="70"/>
        <v>0</v>
      </c>
      <c r="EB46" s="1121">
        <f t="shared" si="71"/>
        <v>42.663074999999999</v>
      </c>
      <c r="EC46" s="1101">
        <f t="shared" si="72"/>
        <v>3150</v>
      </c>
      <c r="ED46" s="1097">
        <f t="shared" si="73"/>
        <v>1740.8125</v>
      </c>
      <c r="EE46" s="1110">
        <f t="shared" si="74"/>
        <v>3150</v>
      </c>
      <c r="EF46" s="1092" t="s">
        <v>711</v>
      </c>
      <c r="EG46" s="1120">
        <f t="shared" si="75"/>
        <v>0.3</v>
      </c>
      <c r="EH46" s="1124"/>
      <c r="EI46" s="1093"/>
      <c r="EJ46" s="1093"/>
      <c r="EK46" s="1097">
        <f>IF($P46="","N/A",IF(P46=-1,INDEX('卡片raw data'!AS:AS,MATCH(D46,'卡片raw data'!$F:$F,)),0)+IF(AND(L46&lt;&gt;"party卡",P46&lt;=2,P46&gt;=0),INDEX('卡片raw data'!AU:AU,MATCH(D46,'卡片raw data'!$F:$F,)),0)+IF(OR(AND(L46="party卡",P46&lt;=1),AND(P46&lt;=4,L46&lt;&gt;"party卡",P46&gt;=3)),INDEX('卡片raw data'!AV:AV,MATCH(D46,'卡片raw data'!$F:$F,)),0)+IF(OR(P46=5,AND(L46="party卡",P46&gt;=2)),INDEX('卡片raw data'!AW:AW,MATCH(D46,'卡片raw data'!$F:$F,)),0))</f>
        <v>0</v>
      </c>
      <c r="EL46" s="1098">
        <f t="shared" si="76"/>
        <v>0.3</v>
      </c>
      <c r="EM46" s="1098">
        <f t="shared" si="77"/>
        <v>0.3</v>
      </c>
      <c r="EN46" s="1125">
        <f t="shared" si="78"/>
        <v>0</v>
      </c>
      <c r="EO46" s="1125">
        <f t="shared" si="79"/>
        <v>0</v>
      </c>
      <c r="EP46" s="1098">
        <f t="shared" si="80"/>
        <v>0</v>
      </c>
      <c r="EQ46" s="1121">
        <f t="shared" si="81"/>
        <v>0</v>
      </c>
      <c r="ER46" s="1101">
        <f t="shared" si="82"/>
        <v>0</v>
      </c>
      <c r="ES46" s="1097">
        <f t="shared" si="83"/>
        <v>0</v>
      </c>
      <c r="ET46" s="1122">
        <f t="shared" si="84"/>
        <v>0</v>
      </c>
      <c r="EV46" s="1223" t="s">
        <v>1308</v>
      </c>
      <c r="EW46" s="1317">
        <f>1+2/9</f>
        <v>1.2222222222222223</v>
      </c>
      <c r="EX46" s="1318"/>
      <c r="EY46" s="1212"/>
      <c r="EZ46" s="1223" t="s">
        <v>1308</v>
      </c>
      <c r="FA46" s="1317">
        <f>1+2/9</f>
        <v>1.2222222222222223</v>
      </c>
      <c r="FB46" s="1318"/>
      <c r="FC46" s="447"/>
      <c r="FD46" s="447"/>
      <c r="FE46" s="447"/>
      <c r="FF46" s="642"/>
      <c r="FG46" s="642"/>
      <c r="FH46" s="642"/>
      <c r="FI46" s="642"/>
      <c r="FJ46" s="447"/>
    </row>
    <row r="47" spans="2:166" ht="16.5" customHeight="1">
      <c r="B47" s="1123" t="str">
        <f>INDEX('卡片raw data'!B:B,MATCH($D47,'卡片raw data'!$F:$F,))</f>
        <v>初始梨</v>
      </c>
      <c r="C47" s="449" t="s">
        <v>123</v>
      </c>
      <c r="D47" s="408">
        <v>44</v>
      </c>
      <c r="E47" s="1090">
        <v>101023001</v>
      </c>
      <c r="F47" s="1090" t="str">
        <f>INDEX('卡片raw data'!C:C,MATCH($D47,'卡片raw data'!$F:$F,))</f>
        <v>UR</v>
      </c>
      <c r="G47" s="1094" t="s">
        <v>34</v>
      </c>
      <c r="H47" s="411">
        <f>IFERROR(INDEX(绊状态确认!C:C,MATCH($G47,绊状态确认!$B:$B,)),"")</f>
        <v>102</v>
      </c>
      <c r="I47" s="450" t="str">
        <f>IFERROR(INDEX(绊状态确认!D:D,MATCH($G47,绊状态确认!$B:$B,)),"")</f>
        <v>水</v>
      </c>
      <c r="J47" s="450" t="str">
        <f>IFERROR(INDEX(绊状态确认!E:E,MATCH($G47,绊状态确认!$B:$B,)),"")</f>
        <v>2年级</v>
      </c>
      <c r="K47" s="451" t="str">
        <f>IFERROR(INDEX(绊状态确认!F:F,MATCH($G47,绊状态确认!$B:$B,)),"")</f>
        <v>Guilty Kiss</v>
      </c>
      <c r="L47" s="1094" t="str">
        <f>INDEX('卡片raw data'!E:E,MATCH($D47,'卡片raw data'!$F:$F,))</f>
        <v>卡池卡</v>
      </c>
      <c r="M47" s="415">
        <v>43735</v>
      </c>
      <c r="N47" s="416">
        <v>0</v>
      </c>
      <c r="O47" s="1091" t="str">
        <f>INDEX('卡片raw data'!D:D,MATCH($D47,'卡片raw data'!$F:$F,))</f>
        <v>gd</v>
      </c>
      <c r="P47" s="417">
        <v>5</v>
      </c>
      <c r="Q47" s="1095">
        <f t="shared" si="0"/>
        <v>38361.909373321039</v>
      </c>
      <c r="R47" s="1096">
        <f t="shared" si="1"/>
        <v>0.44500000000000001</v>
      </c>
      <c r="S47" s="1097">
        <f t="shared" si="2"/>
        <v>18491.351218011921</v>
      </c>
      <c r="T47" s="1098">
        <f t="shared" si="3"/>
        <v>0.92400000000000004</v>
      </c>
      <c r="U47" s="1099">
        <f t="shared" si="4"/>
        <v>95.853790177142855</v>
      </c>
      <c r="V47" s="1100">
        <f t="shared" si="5"/>
        <v>48709.202998942725</v>
      </c>
      <c r="W47" s="1101">
        <f t="shared" si="6"/>
        <v>4507.7214871259994</v>
      </c>
      <c r="X47" s="1096">
        <f t="shared" si="7"/>
        <v>5.1999999999999998E-2</v>
      </c>
      <c r="Y47" s="1097">
        <f t="shared" si="8"/>
        <v>1666.0690008606662</v>
      </c>
      <c r="Z47" s="1102">
        <f t="shared" si="9"/>
        <v>20.803790177142851</v>
      </c>
      <c r="AA47" s="1103">
        <f t="shared" si="10"/>
        <v>6173.7904879866655</v>
      </c>
      <c r="AB47" s="1101">
        <f t="shared" si="11"/>
        <v>4507.7214871259994</v>
      </c>
      <c r="AC47" s="1104">
        <f t="shared" si="12"/>
        <v>5.1999999999999998E-2</v>
      </c>
      <c r="AD47" s="1105">
        <f t="shared" si="13"/>
        <v>0</v>
      </c>
      <c r="AE47" s="1128">
        <f t="shared" si="14"/>
        <v>-6.25</v>
      </c>
      <c r="AF47" s="1130">
        <f t="shared" si="15"/>
        <v>0</v>
      </c>
      <c r="AG47" s="420">
        <f t="shared" si="16"/>
        <v>0</v>
      </c>
      <c r="AH47" s="420">
        <f t="shared" si="17"/>
        <v>0</v>
      </c>
      <c r="AI47" s="1097">
        <f t="shared" si="18"/>
        <v>0</v>
      </c>
      <c r="AJ47" s="420">
        <f t="shared" si="19"/>
        <v>0</v>
      </c>
      <c r="AK47" s="518">
        <f t="shared" si="20"/>
        <v>0</v>
      </c>
      <c r="AL47" s="1106">
        <f>IF($P47="","N/A",(IF($P47=-1,INDEX('卡片raw data'!S:S,MATCH($D47,'卡片raw data'!$F:$F,)),0)+IF($P47=0,INDEX('卡片raw data'!V:V,MATCH($D47,'卡片raw data'!$F:$F,)),0)+IF($P47=1,INDEX('卡片raw data'!Y:Y,MATCH($D47,'卡片raw data'!$F:$F,)),0)+IF($P47=2,INDEX('卡片raw data'!AB:AB,MATCH($D47,'卡片raw data'!$F:$F,)),0)+IF($P47=3,INDEX('卡片raw data'!AE:AE,MATCH($D47,'卡片raw data'!$F:$F,)),0)+IF($P47=4,INDEX('卡片raw data'!AH:AH,MATCH($D47,'卡片raw data'!$F:$F,)),0)+IF($P47=5,INDEX('卡片raw data'!AK:AK,MATCH($D47,'卡片raw data'!$F:$F,)),0)+INDEX('卡片raw data'!S:S,MATCH($D47,'卡片raw data'!$F:$F,))*(IF($F47="UR",0.04,0.033))*(IF($F47="UR",INDEX(绊状态确认!$S:$S,MATCH($G47,绊状态确认!$B:$B,))/2-40)+IF($F47="SR",INDEX(绊状态确认!$R:$R,MATCH($G47,绊状态确认!$B:$B,))/4-15))+IF($F47="R",INDEX(绊状态确认!$Q:$Q,MATCH($G47,绊状态确认!$B:$B,))/6-40/6)))*(INDEX(绊状态确认!$H:$H,MATCH($G47,绊状态确认!$B:$B,))+INDEX(绊状态确认!J:J,MATCH($G47,绊状态确认!$B:$B,)))</f>
        <v>9218.4767999999985</v>
      </c>
      <c r="AM47" s="1106">
        <f>IF($P47="","N/A",(IF($P47=-1,INDEX('卡片raw data'!T:T,MATCH($D47,'卡片raw data'!$F:$F,)),0)+IF($P47=0,INDEX('卡片raw data'!W:W,MATCH($D47,'卡片raw data'!$F:$F,)),0)+IF($P47=1,INDEX('卡片raw data'!Z:Z,MATCH($D47,'卡片raw data'!$F:$F,)),0)+IF($P47=2,INDEX('卡片raw data'!AC:AC,MATCH($D47,'卡片raw data'!$F:$F,)),0)+IF($P47=3,INDEX('卡片raw data'!AF:AF,MATCH($D47,'卡片raw data'!$F:$F,)),0)+IF($P47=4,INDEX('卡片raw data'!AI:AI,MATCH($D47,'卡片raw data'!$F:$F,)),0)+IF($P47=5,INDEX('卡片raw data'!AL:AL,MATCH($D47,'卡片raw data'!$F:$F,)),0)+INDEX('卡片raw data'!T:T,MATCH($D47,'卡片raw data'!$F:$F,))*(IF($F47="UR",0.04,0.033))*(IF($F47="UR",INDEX(绊状态确认!$S:$S,MATCH($G47,绊状态确认!$B:$B,))/2-40)+IF($F47="SR",INDEX(绊状态确认!$R:$R,MATCH($G47,绊状态确认!$B:$B,))/4-15))+IF($F47="R",INDEX(绊状态确认!$Q:$Q,MATCH($G47,绊状态确认!$B:$B,))/6-40/6)))*(INDEX(绊状态确认!$H:$H,MATCH($G47,绊状态确认!$B:$B,))+INDEX(绊状态确认!K:K,MATCH($G47,绊状态确认!$B:$B,)))</f>
        <v>9218.4767999999985</v>
      </c>
      <c r="AN47" s="1106">
        <f>IF($P47="","N/A",(IF($P47=-1,INDEX('卡片raw data'!U:U,MATCH($D47,'卡片raw data'!$F:$F,)),0)+IF($P47=0,INDEX('卡片raw data'!X:X,MATCH($D47,'卡片raw data'!$F:$F,)),0)+IF($P47=1,INDEX('卡片raw data'!AA:AA,MATCH($D47,'卡片raw data'!$F:$F,)),0)+IF($P47=2,INDEX('卡片raw data'!AD:AD,MATCH($D47,'卡片raw data'!$F:$F,)),0)+IF($P47=3,INDEX('卡片raw data'!AG:AG,MATCH($D47,'卡片raw data'!$F:$F,)),0)+IF($P47=4,INDEX('卡片raw data'!AJ:AJ,MATCH($D47,'卡片raw data'!$F:$F,)),0)+IF($P47=5,INDEX('卡片raw data'!AM:AM,MATCH($D47,'卡片raw data'!$F:$F,)),0)+INDEX('卡片raw data'!U:U,MATCH($D47,'卡片raw data'!$F:$F,))*(IF($F47="UR",0.04,0.033))*(IF($F47="UR",INDEX(绊状态确认!$S:$S,MATCH($G47,绊状态确认!$B:$B,))/2-40)+IF($F47="SR",INDEX(绊状态确认!$R:$R,MATCH($G47,绊状态确认!$B:$B,))/4-15))+IF($F47="R",INDEX(绊状态确认!$Q:$Q,MATCH($G47,绊状态确认!$B:$B,))/6-40/6)))*(INDEX(绊状态确认!$H:$H,MATCH($G47,绊状态确认!$B:$B,))+INDEX(绊状态确认!L:L,MATCH($G47,绊状态确认!$B:$B,)))</f>
        <v>12291.302399999999</v>
      </c>
      <c r="AO47" s="1107">
        <f t="shared" si="21"/>
        <v>1</v>
      </c>
      <c r="AP47" s="1131">
        <f>1+(INDEX(绊状态确认!$T:$T,MATCH($G47,绊状态确认!$B:$B,))+0.2)*$AO47</f>
        <v>1.3</v>
      </c>
      <c r="AQ47" s="1108">
        <f t="shared" si="22"/>
        <v>27448.501599999996</v>
      </c>
      <c r="AR47" s="1097">
        <f>(AM47*(1+$EX$9)+$EX$35)*(1+(INDEX(绊状态确认!$T:$T,MATCH($G47,绊状态确认!$B:$B,))+0.2)*AO47)*IF(J47=$FF$17,1+$FE$17,1)*IF(I47=$FF$14,1+$FE$14,1)*(1+$FE$15)</f>
        <v>15287.220831999997</v>
      </c>
      <c r="AS47" s="1097">
        <f>(AN47*(1+$EX$10)+$EX$36)*(1+(INDEX(绊状态确认!$T:$T,MATCH($G47,绊状态确认!$B:$B,))+0.2)*AO47)*IF(J47=$FF$17,1+$FE$17,1)*IF(I47=$FF$14,1+$FE$14,1)*(1+$FE$15)</f>
        <v>22431.497088</v>
      </c>
      <c r="AT47" s="1093">
        <f>IF(AND(INDEX('卡片raw data'!AK:AK,MATCH($D47,'卡片raw data'!$F:$F,))&lt;INDEX('卡片raw data'!AM:AM,MATCH($D47,'卡片raw data'!$F:$F,)),INDEX('卡片raw data'!AL:AL,MATCH($D47,'卡片raw data'!$F:$F,))&lt;INDEX('卡片raw data'!AM:AM,MATCH($D47,'卡片raw data'!$F:$F,))),1,0)</f>
        <v>1</v>
      </c>
      <c r="AU47" s="1098">
        <f>MIN(AT47*0.15+AS47*0.00003+INDEX(绊状态确认!M:M,MATCH($G47,绊状态确认!$B:$B,)),1)</f>
        <v>0.85294491264000005</v>
      </c>
      <c r="AV47" s="1109">
        <f>(INDEX(绊状态确认!$N:$N,MATCH($G47,绊状态确认!$B:$B,))+1.5)*$EW$21</f>
        <v>2.6599999999999997</v>
      </c>
      <c r="AW47" s="1101">
        <f t="shared" si="23"/>
        <v>34439.187886195039</v>
      </c>
      <c r="AX47" s="1097">
        <f t="shared" si="24"/>
        <v>1318.4879097990729</v>
      </c>
      <c r="AY47" s="1110">
        <f t="shared" si="25"/>
        <v>35757.67579599411</v>
      </c>
      <c r="AZ47" s="429">
        <f t="shared" si="26"/>
        <v>20576.029759999998</v>
      </c>
      <c r="BA47" s="431">
        <f t="shared" si="27"/>
        <v>24691.235711999998</v>
      </c>
      <c r="BB47" s="1097">
        <f>(AM47*(1+$FB$9)+$FB$35)*(1+(INDEX(绊状态确认!$T:$T,MATCH($G47,绊状态确认!$B:$B,))+0.2)*AO47)*IF(J47=$FF$17,1+$FE$17,1)*IF(I47=$FF$14,1+$FE$14,1)*(1+$FE$15)</f>
        <v>15287.220831999997</v>
      </c>
      <c r="BC47" s="1097">
        <f>(AN47*(1+$FB$10)+$FB$36)*(1+(INDEX(绊状态确认!$T:$T,MATCH($G47,绊状态确认!$B:$B,))+0.2)*AO47)*IF(J47=$FF$17,1+$FE$17,1)*IF(I47=$FF$14,1+$FE$14,1)*(1+$FE$15)</f>
        <v>22431.497088</v>
      </c>
      <c r="BD47" s="1104">
        <f>MIN(AT47*0.15+BC47*0.00003+INDEX(绊状态确认!M:M,MATCH($G47,绊状态确认!$B:$B,)),1)</f>
        <v>0.85294491264000005</v>
      </c>
      <c r="BE47" s="432">
        <f>(INDEX(绊状态确认!$N:$N,MATCH($G47,绊状态确认!$B:$B,))+1.5)</f>
        <v>1.9</v>
      </c>
      <c r="BF47" s="1139">
        <f t="array" ref="BF47">SUMPRODUCT(IF(AZ47*AP47*$FI$16:$FI$23*$FA$22&gt;=$FI$24,$FI$24,AZ47*AP47*$FI$16:$FI$23*$FA$22),$FJ$16:$FJ$23)</f>
        <v>40925.723192639991</v>
      </c>
      <c r="BG47" s="1125">
        <f t="array" ref="BG47">SUMPRODUCT(IF(BE47*AZ47*AP47*$FI$16:$FI$23*$FA$22&gt;=$FI$24,$FI$24,BE47*AZ47*AP47*$FI$16:$FI$23*$FA$22),$FJ$16:$FJ$23)</f>
        <v>60000</v>
      </c>
      <c r="BH47" s="1110">
        <f t="shared" si="28"/>
        <v>19065.010185921619</v>
      </c>
      <c r="BI47" s="1111">
        <f>IF(O47="vo",$EW$26/$EW$24*0.05,0)+IF(O47="sk",-$EW$26/$EW$24*(0.05-INDEX(绊状态确认!W:W,MATCH($G47,绊状态确认!$B:$B,)))+0.05*$EW$28,0)+IF(O47="sp",0.05*$EW$32*$EW$30*(1-$EW$33)-(0.05-INDEX(绊状态确认!V:V,MATCH($G47,绊状态确认!$B:$B,)))*$EW$28,0)+IF(O47="gd",-(0.05-INDEX(绊状态确认!X:X,MATCH($G47,绊状态确认!$B:$B,)))*$EW$32*$EW$30*(1-$EW$33),0)</f>
        <v>-585.00000000000011</v>
      </c>
      <c r="BJ47" s="1097">
        <f>IF(O47="vo",0.05*(1-$FI$26)*$FA$24,0)+IF(O47="sk",-(0.05-INDEX(绊状态确认!W:W,MATCH($G47,绊状态确认!$B:$B,)))*(1-$FI$26)*$FA$24+0.05*$FA$26,0)+IF(O47="sp",0.05*$FA$32*$FA$27*(1-$FA$33)/$FA$30+0.05*$FA$29/$FA$69*$FA$27*(1-$FA$33)-(0.05-INDEX(绊状态确认!V:V,MATCH($G47,绊状态确认!$B:$B,)))*$FA$26,0)+IF(O47="gd",-(0.05-INDEX(绊状态确认!X:X,MATCH($G47,绊状态确认!$B:$B,)))*$FA$32*$FA$27*(1-$FA$33)/$FA$30-(0.05-INDEX(绊状态确认!X:X,MATCH($G47,绊状态确认!$B:$B,)))*$FA$29/$FA$69*$FA$27*(1-$FA$33),0)</f>
        <v>-795.00000000000011</v>
      </c>
      <c r="BK47" s="1110">
        <f>IF(O47="vo",$EW$26/$EW$24*0.05+$EW$26*(-HP($EW$62,$EW$65,$EW$64)+HP($EW$62,$EW$65,(1.05-INDEX(绊状态确认!U:U,MATCH($G47,绊状态确认!$B:$B,)))*$EW$64)),0)+IF(O47="sk",-$EW$26/$EW$24*(0.05-INDEX(绊状态确认!W:W,MATCH($G47,绊状态确认!$B:$B,)))+0.05*$EW$29,0)+IF(O47="sp",0.05*$EW$32*$EW$30*(1-$EW$33)-(0.05-INDEX(绊状态确认!V:V,MATCH($G47,绊状态确认!$B:$B,)))*$EW$29,0)+IF(O47="gd",-(0.05-INDEX(绊状态确认!X:X,MATCH($G47,绊状态确认!$B:$B,)))*$EW$32*$EW$30*(1-$EW$33)+$EW$26*(-HP($EW$62,$EW$65,$EW$64)+HP($EW$62,$EW$65,0.95*$EW$64)),0)</f>
        <v>1009.5947725176144</v>
      </c>
      <c r="BL47" s="1111">
        <f t="shared" si="29"/>
        <v>0</v>
      </c>
      <c r="BM47" s="1110">
        <f t="shared" si="30"/>
        <v>0</v>
      </c>
      <c r="BN47" s="1113">
        <f t="shared" si="31"/>
        <v>3</v>
      </c>
      <c r="BO47" s="1097">
        <f t="shared" si="32"/>
        <v>4507.7214871259994</v>
      </c>
      <c r="BP47" s="1100">
        <f t="shared" si="33"/>
        <v>221.34103209030098</v>
      </c>
      <c r="BQ47" s="1113" t="s">
        <v>144</v>
      </c>
      <c r="BR47" s="1124" t="s">
        <v>147</v>
      </c>
      <c r="BS47" s="1098">
        <f>IF($P47="","N/A",IF($P47=-1,INDEX('卡片raw data'!AX:AX,MATCH($D47,'卡片raw data'!$F:$F,)),0)+IF($L47="party卡",IF($P47=5,INDEX('卡片raw data'!BD:BD,MATCH($D47,'卡片raw data'!$F:$F,)),IF($P47&gt;=3,INDEX('卡片raw data'!BC:BC,MATCH($D47,'卡片raw data'!$F:$F,)),INDEX('卡片raw data'!BB:BB,MATCH($D47,'卡片raw data'!$F:$F,)))),IF(OR(AND($F47="UR",$P47=0),AND($F47="SR",$P47&gt;=0,$P47&lt;=2),AND($F47="R",$P47&gt;=0,$P47&lt;4)),INDEX('卡片raw data'!AZ:AZ,MATCH($D47,'卡片raw data'!$F:$F,)),0)+IF(OR(AND($F47="UR",$P47&gt;=1,$P47&lt;=4),AND($F47="SR",$P47&lt;=4,$P47&gt;=3),AND($F47="R",$P47=4)),INDEX('卡片raw data'!BA:BA,MATCH($D47,'卡片raw data'!$F:$F,)),0)+IF($P47=5,INDEX('卡片raw data'!BB:BB,MATCH($D47,'卡片raw data'!$F:$F,)),0)))</f>
        <v>4.2000000000000003E-2</v>
      </c>
      <c r="BT47" s="1101">
        <f t="shared" si="34"/>
        <v>0</v>
      </c>
      <c r="BU47" s="1097">
        <f t="shared" si="35"/>
        <v>0</v>
      </c>
      <c r="BV47" s="1097">
        <f t="shared" si="36"/>
        <v>0</v>
      </c>
      <c r="BW47" s="1112">
        <f t="shared" si="37"/>
        <v>4.4246249999999989</v>
      </c>
      <c r="BX47" s="1100">
        <f t="shared" si="38"/>
        <v>347.58109106159276</v>
      </c>
      <c r="BY47" s="1110">
        <f t="shared" si="39"/>
        <v>347.58109106159276</v>
      </c>
      <c r="BZ47" s="1107" t="s">
        <v>569</v>
      </c>
      <c r="CA47" s="1124"/>
      <c r="CB47" s="1098">
        <f>IF($P47="","N/A",IF($P47=-1,INDEX('卡片raw data'!BE:BE,MATCH($D47,'卡片raw data'!$F:$F,)),0)+IF($L47="party卡",IF($P47=5,INDEX('卡片raw data'!BK:BK,MATCH($D47,'卡片raw data'!$F:$F,)),IF($P47&gt;=3,INDEX('卡片raw data'!BJ:BJ,MATCH($D47,'卡片raw data'!$F:$F,)),INDEX('卡片raw data'!BI:BI,MATCH($D47,'卡片raw data'!$F:$F,)))),IF(OR(AND($F47="UR",$P47=0),AND($F47="SR",$P47&gt;=0,$P47&lt;=2),AND($F47="R",$P47&gt;=0,$P47&lt;4)),INDEX('卡片raw data'!BG:BG,MATCH($D47,'卡片raw data'!$F:$F,)),0)+IF(OR(AND($F47="UR",$P47&gt;=1,$P47&lt;=4),AND($F47="SR",$P47&lt;=4,$P47&gt;=3),AND($F47="R",$P47=4)),INDEX('卡片raw data'!BH:BH,MATCH($D47,'卡片raw data'!$F:$F,)),0)+IF($P47=5,INDEX('卡片raw data'!BI:BI,MATCH($D47,'卡片raw data'!$F:$F,)),0)))</f>
        <v>0</v>
      </c>
      <c r="CC47" s="1101">
        <f t="shared" si="40"/>
        <v>0</v>
      </c>
      <c r="CD47" s="1097">
        <f>IF(BZ47="ap",CB47*(1-$FI$26)*$FB$5/$FB$11*(+IF(CA47="全员",$FA$24,0)+IF(CA47="同作战",$FA$24,0)+IF(CA47="仲间",$FA$24*2/3,0)+IF(CA47="同属性",$FA$24*$FA$37/3,0)+IF(CA47="同年级",$FA$24*$FA$40/3,0)+IF(CA47="同学校",$FA$24*$FA$43/3,0)+IF(CA47="同小队",$FA$24*$FA$46/3,0)+IF(CA47="同type",$FA$24*INDEX($FB$49:$FB$52,MATCH(X47,$FA$49:$FA$52,))/3,0)+IF(CA47="自身",#REF!/3,0)),0)+IF(BZ47="te",CB47*(1-$FI$27)*($FA$20-1)*$FB$7/$FB$13*(+IF(CA47="全员",$FA$19*$FA$24/(1+($FA$20-1)*$FA$19),0)+IF(CA47="同作战",$FA$19*$FA$24/(1+($FA$20-1)*$FA$19),0)+IF(CA47="仲间",$FA$19*$FA$24*2/3/(1+($FA$20-1)*$FA$19),0)+IF(CA47="同属性",$FA$19*$FA$24*$FA$37/3/(1+($FA$20-1)*$FA$19),0)+IF(CA47="同年级",$FA$19*$FA$24*$FA$40/3/(1+($FA$20-1)*$FA$19),0)+IF(CA47="同学校",$FA$19*$FA$24*$FA$43/3/(1+($FA$20-1)*$FA$19),0)+IF(CA47="同小队",$FA$19*$FA$24*$FA$46/3/(1+($FA$20-1)*$FA$19),0)+IF(CA47="同type",$FA$19*$FA$24*INDEX($FB$49:$FB$52,MATCH(X47,$FA$49:$FA$52,))/3/(1+($FA$20-1)*$FA$19),0)+IF(CA47="自身",$FA$19*#REF!/3/(1+(BH47-1)*$BD47),0)),0)</f>
        <v>0</v>
      </c>
      <c r="CE47" s="1097">
        <f t="shared" si="41"/>
        <v>0</v>
      </c>
      <c r="CF47" s="1112">
        <f t="shared" si="42"/>
        <v>0</v>
      </c>
      <c r="CG47" s="1100">
        <f t="shared" si="43"/>
        <v>0</v>
      </c>
      <c r="CH47" s="1110">
        <f t="shared" si="44"/>
        <v>0</v>
      </c>
      <c r="CI47" s="1113" t="s">
        <v>170</v>
      </c>
      <c r="CJ47" s="1114">
        <v>0.3</v>
      </c>
      <c r="CK47" s="1115" t="s">
        <v>311</v>
      </c>
      <c r="CL47" s="1115" t="s">
        <v>161</v>
      </c>
      <c r="CM47" s="1119"/>
      <c r="CN47" s="1115"/>
      <c r="CO47" s="1092"/>
      <c r="CP47" s="1117">
        <f t="shared" si="45"/>
        <v>0</v>
      </c>
      <c r="CQ47" s="1117">
        <f t="shared" si="46"/>
        <v>0</v>
      </c>
      <c r="CR47" s="1117">
        <f t="shared" si="47"/>
        <v>0</v>
      </c>
      <c r="CS47" s="1118">
        <f t="shared" si="48"/>
        <v>0</v>
      </c>
      <c r="CT47" s="1109">
        <f t="shared" si="49"/>
        <v>0</v>
      </c>
      <c r="CU47" s="1101">
        <f t="shared" si="50"/>
        <v>0</v>
      </c>
      <c r="CV47" s="1108">
        <f t="shared" si="51"/>
        <v>0</v>
      </c>
      <c r="CW47" s="1097">
        <f t="shared" si="52"/>
        <v>0</v>
      </c>
      <c r="CX47" s="1097">
        <f t="shared" si="53"/>
        <v>0</v>
      </c>
      <c r="CY47" s="1110">
        <f t="shared" si="54"/>
        <v>0</v>
      </c>
      <c r="CZ47" s="437"/>
      <c r="DA47" s="438"/>
      <c r="DB47" s="439" t="s">
        <v>569</v>
      </c>
      <c r="DC47" s="439"/>
      <c r="DD47" s="443"/>
      <c r="DE47" s="411"/>
      <c r="DF47" s="411"/>
      <c r="DG47" s="1116">
        <f t="shared" si="55"/>
        <v>0</v>
      </c>
      <c r="DH47" s="1116">
        <f t="shared" si="56"/>
        <v>0</v>
      </c>
      <c r="DI47" s="1116">
        <f t="shared" si="57"/>
        <v>0</v>
      </c>
      <c r="DJ47" s="442">
        <f t="shared" si="58"/>
        <v>0</v>
      </c>
      <c r="DK47" s="1109">
        <f t="shared" si="59"/>
        <v>0</v>
      </c>
      <c r="DL47" s="1101">
        <f t="shared" si="60"/>
        <v>0</v>
      </c>
      <c r="DM47" s="1097">
        <f t="shared" si="61"/>
        <v>0</v>
      </c>
      <c r="DN47" s="1097">
        <f t="shared" si="62"/>
        <v>0</v>
      </c>
      <c r="DO47" s="1097">
        <f t="shared" si="63"/>
        <v>0</v>
      </c>
      <c r="DP47" s="1110">
        <f t="shared" si="64"/>
        <v>0</v>
      </c>
      <c r="DQ47" s="1113" t="s">
        <v>158</v>
      </c>
      <c r="DR47" s="1120">
        <f t="shared" si="65"/>
        <v>0.33</v>
      </c>
      <c r="DS47" s="1124">
        <v>10</v>
      </c>
      <c r="DT47" s="1093" t="s">
        <v>161</v>
      </c>
      <c r="DU47" s="1093" t="s">
        <v>544</v>
      </c>
      <c r="DV47" s="1098">
        <f>IF($P47="","N/A",IF(P47=-1,INDEX('卡片raw data'!AN:AN,MATCH(D47,'卡片raw data'!$F:$F,)),0)+IF(AND(L47&lt;&gt;"party卡",P47&lt;=2,P47&gt;=0),INDEX('卡片raw data'!AP:AP,MATCH(D47,'卡片raw data'!$F:$F,)),0)+IF(OR(AND(L47="party卡",P47&lt;=1),AND(P47&lt;=4,L47&lt;&gt;"party卡",P47&gt;=3)),INDEX('卡片raw data'!AQ:AQ,MATCH(D47,'卡片raw data'!$F:$F,)),0)+IF(OR(P47=5,AND(L47="party卡",P47&gt;=2)),INDEX('卡片raw data'!AR:AR,MATCH(D47,'卡片raw data'!$F:$F,)),0))</f>
        <v>0.14000000000000001</v>
      </c>
      <c r="DW47" s="1098">
        <f t="shared" si="66"/>
        <v>0.33</v>
      </c>
      <c r="DX47" s="1098">
        <f t="shared" si="67"/>
        <v>0.33</v>
      </c>
      <c r="DY47" s="1098">
        <f t="shared" si="68"/>
        <v>0.15400000000000003</v>
      </c>
      <c r="DZ47" s="1098">
        <f t="shared" si="69"/>
        <v>0.13321000000000002</v>
      </c>
      <c r="EA47" s="1098">
        <f t="shared" si="70"/>
        <v>0</v>
      </c>
      <c r="EB47" s="1121">
        <f t="shared" si="71"/>
        <v>0</v>
      </c>
      <c r="EC47" s="1101">
        <f t="shared" si="72"/>
        <v>0</v>
      </c>
      <c r="ED47" s="1097">
        <f t="shared" si="73"/>
        <v>0</v>
      </c>
      <c r="EE47" s="1110">
        <f t="shared" si="74"/>
        <v>7086.6298522434072</v>
      </c>
      <c r="EF47" s="1092" t="s">
        <v>711</v>
      </c>
      <c r="EG47" s="1120">
        <f t="shared" si="75"/>
        <v>0.33</v>
      </c>
      <c r="EH47" s="1124"/>
      <c r="EI47" s="1093"/>
      <c r="EJ47" s="1093"/>
      <c r="EK47" s="1097">
        <f>IF($P47="","N/A",IF(P47=-1,INDEX('卡片raw data'!AS:AS,MATCH(D47,'卡片raw data'!$F:$F,)),0)+IF(AND(L47&lt;&gt;"party卡",P47&lt;=2,P47&gt;=0),INDEX('卡片raw data'!AU:AU,MATCH(D47,'卡片raw data'!$F:$F,)),0)+IF(OR(AND(L47="party卡",P47&lt;=1),AND(P47&lt;=4,L47&lt;&gt;"party卡",P47&gt;=3)),INDEX('卡片raw data'!AV:AV,MATCH(D47,'卡片raw data'!$F:$F,)),0)+IF(OR(P47=5,AND(L47="party卡",P47&gt;=2)),INDEX('卡片raw data'!AW:AW,MATCH(D47,'卡片raw data'!$F:$F,)),0))</f>
        <v>0</v>
      </c>
      <c r="EL47" s="1098">
        <f t="shared" si="76"/>
        <v>0.33</v>
      </c>
      <c r="EM47" s="1098">
        <f t="shared" si="77"/>
        <v>0.33</v>
      </c>
      <c r="EN47" s="1125">
        <f t="shared" si="78"/>
        <v>0</v>
      </c>
      <c r="EO47" s="1125">
        <f t="shared" si="79"/>
        <v>0</v>
      </c>
      <c r="EP47" s="1098">
        <f t="shared" si="80"/>
        <v>0</v>
      </c>
      <c r="EQ47" s="1121">
        <f t="shared" si="81"/>
        <v>0</v>
      </c>
      <c r="ER47" s="1101">
        <f t="shared" si="82"/>
        <v>0</v>
      </c>
      <c r="ES47" s="1097">
        <f t="shared" si="83"/>
        <v>0</v>
      </c>
      <c r="ET47" s="1122">
        <f t="shared" si="84"/>
        <v>0</v>
      </c>
      <c r="EV47" s="1223" t="s">
        <v>1307</v>
      </c>
      <c r="EW47" s="1310">
        <f>1/3</f>
        <v>0.33333333333333331</v>
      </c>
      <c r="EX47" s="1311"/>
      <c r="EY47" s="1212"/>
      <c r="EZ47" s="1223" t="s">
        <v>1307</v>
      </c>
      <c r="FA47" s="1310">
        <v>0.5</v>
      </c>
      <c r="FB47" s="1311"/>
      <c r="FC47" s="447"/>
      <c r="FD47" s="447"/>
      <c r="FE47" s="447"/>
      <c r="FF47" s="642"/>
      <c r="FG47" s="642"/>
      <c r="FH47" s="642"/>
      <c r="FI47" s="642"/>
      <c r="FJ47" s="447"/>
    </row>
    <row r="48" spans="2:166" ht="16.5" customHeight="1">
      <c r="B48" s="1123" t="str">
        <f>INDEX('卡片raw data'!B:B,MATCH($D48,'卡片raw data'!$F:$F,))</f>
        <v>校服南</v>
      </c>
      <c r="C48" s="449" t="s">
        <v>123</v>
      </c>
      <c r="D48" s="408">
        <v>45</v>
      </c>
      <c r="E48" s="1090">
        <v>101031001</v>
      </c>
      <c r="F48" s="1090" t="str">
        <f>INDEX('卡片raw data'!C:C,MATCH($D48,'卡片raw data'!$F:$F,))</f>
        <v>R</v>
      </c>
      <c r="G48" s="1094" t="s">
        <v>290</v>
      </c>
      <c r="H48" s="411">
        <f>IFERROR(INDEX(绊状态确认!C:C,MATCH($G48,绊状态确认!$B:$B,)),"")</f>
        <v>103</v>
      </c>
      <c r="I48" s="450" t="str">
        <f>IFERROR(INDEX(绊状态确认!D:D,MATCH($G48,绊状态确认!$B:$B,)),"")</f>
        <v>水</v>
      </c>
      <c r="J48" s="450" t="str">
        <f>IFERROR(INDEX(绊状态确认!E:E,MATCH($G48,绊状态确认!$B:$B,)),"")</f>
        <v>3年级</v>
      </c>
      <c r="K48" s="451" t="str">
        <f>IFERROR(INDEX(绊状态确认!F:F,MATCH($G48,绊状态确认!$B:$B,)),"")</f>
        <v>AZALEA</v>
      </c>
      <c r="L48" s="1094" t="str">
        <f>INDEX('卡片raw data'!E:E,MATCH($D48,'卡片raw data'!$F:$F,))</f>
        <v>卡池卡</v>
      </c>
      <c r="M48" s="415">
        <v>43735</v>
      </c>
      <c r="N48" s="416">
        <v>0</v>
      </c>
      <c r="O48" s="1091" t="str">
        <f>INDEX('卡片raw data'!D:D,MATCH($D48,'卡片raw data'!$F:$F,))</f>
        <v>sk</v>
      </c>
      <c r="P48" s="417">
        <v>5</v>
      </c>
      <c r="Q48" s="1095">
        <f t="shared" si="0"/>
        <v>10299.222255064904</v>
      </c>
      <c r="R48" s="1096">
        <f t="shared" si="1"/>
        <v>0.11899999999999999</v>
      </c>
      <c r="S48" s="1097">
        <f t="shared" si="2"/>
        <v>8511.2043547938974</v>
      </c>
      <c r="T48" s="1098">
        <f t="shared" si="3"/>
        <v>0.42499999999999999</v>
      </c>
      <c r="U48" s="1099">
        <f t="shared" si="4"/>
        <v>9.3329552249999992</v>
      </c>
      <c r="V48" s="1100">
        <f t="shared" si="5"/>
        <v>13037.924284964693</v>
      </c>
      <c r="W48" s="1101">
        <f t="shared" si="6"/>
        <v>3005.1476580839999</v>
      </c>
      <c r="X48" s="1096">
        <f t="shared" si="7"/>
        <v>3.4000000000000002E-2</v>
      </c>
      <c r="Y48" s="1097">
        <f t="shared" si="8"/>
        <v>738.70202989978634</v>
      </c>
      <c r="Z48" s="1102">
        <f t="shared" si="9"/>
        <v>9.3329552249999992</v>
      </c>
      <c r="AA48" s="1103">
        <f t="shared" si="10"/>
        <v>3743.8496879837862</v>
      </c>
      <c r="AB48" s="1101">
        <f t="shared" si="11"/>
        <v>3005.1476580839999</v>
      </c>
      <c r="AC48" s="1104">
        <f t="shared" si="12"/>
        <v>3.4000000000000002E-2</v>
      </c>
      <c r="AD48" s="1105">
        <f t="shared" si="13"/>
        <v>1.8994224431818179E-2</v>
      </c>
      <c r="AE48" s="1128">
        <f t="shared" si="14"/>
        <v>-1.8962422952541544</v>
      </c>
      <c r="AF48" s="1130">
        <f t="shared" si="15"/>
        <v>0</v>
      </c>
      <c r="AG48" s="420">
        <f t="shared" si="16"/>
        <v>0</v>
      </c>
      <c r="AH48" s="420">
        <f t="shared" si="17"/>
        <v>0</v>
      </c>
      <c r="AI48" s="1097">
        <f t="shared" si="18"/>
        <v>0</v>
      </c>
      <c r="AJ48" s="420">
        <f t="shared" si="19"/>
        <v>0</v>
      </c>
      <c r="AK48" s="518">
        <f t="shared" si="20"/>
        <v>0</v>
      </c>
      <c r="AL48" s="1106">
        <f>IF($P48="","N/A",(IF($P48=-1,INDEX('卡片raw data'!S:S,MATCH($D48,'卡片raw data'!$F:$F,)),0)+IF($P48=0,INDEX('卡片raw data'!V:V,MATCH($D48,'卡片raw data'!$F:$F,)),0)+IF($P48=1,INDEX('卡片raw data'!Y:Y,MATCH($D48,'卡片raw data'!$F:$F,)),0)+IF($P48=2,INDEX('卡片raw data'!AB:AB,MATCH($D48,'卡片raw data'!$F:$F,)),0)+IF($P48=3,INDEX('卡片raw data'!AE:AE,MATCH($D48,'卡片raw data'!$F:$F,)),0)+IF($P48=4,INDEX('卡片raw data'!AH:AH,MATCH($D48,'卡片raw data'!$F:$F,)),0)+IF($P48=5,INDEX('卡片raw data'!AK:AK,MATCH($D48,'卡片raw data'!$F:$F,)),0)+INDEX('卡片raw data'!S:S,MATCH($D48,'卡片raw data'!$F:$F,))*(IF($F48="UR",0.04,0.033))*(IF($F48="UR",INDEX(绊状态确认!$S:$S,MATCH($G48,绊状态确认!$B:$B,))/2-40)+IF($F48="SR",INDEX(绊状态确认!$R:$R,MATCH($G48,绊状态确认!$B:$B,))/4-15))+IF($F48="R",INDEX(绊状态确认!$Q:$Q,MATCH($G48,绊状态确认!$B:$B,))/6-40/6)))*(INDEX(绊状态确认!$H:$H,MATCH($G48,绊状态确认!$B:$B,))+INDEX(绊状态确认!J:J,MATCH($G48,绊状态确认!$B:$B,)))</f>
        <v>3960.3539999999994</v>
      </c>
      <c r="AM48" s="1106">
        <f>IF($P48="","N/A",(IF($P48=-1,INDEX('卡片raw data'!T:T,MATCH($D48,'卡片raw data'!$F:$F,)),0)+IF($P48=0,INDEX('卡片raw data'!W:W,MATCH($D48,'卡片raw data'!$F:$F,)),0)+IF($P48=1,INDEX('卡片raw data'!Z:Z,MATCH($D48,'卡片raw data'!$F:$F,)),0)+IF($P48=2,INDEX('卡片raw data'!AC:AC,MATCH($D48,'卡片raw data'!$F:$F,)),0)+IF($P48=3,INDEX('卡片raw data'!AF:AF,MATCH($D48,'卡片raw data'!$F:$F,)),0)+IF($P48=4,INDEX('卡片raw data'!AI:AI,MATCH($D48,'卡片raw data'!$F:$F,)),0)+IF($P48=5,INDEX('卡片raw data'!AL:AL,MATCH($D48,'卡片raw data'!$F:$F,)),0)+INDEX('卡片raw data'!T:T,MATCH($D48,'卡片raw data'!$F:$F,))*(IF($F48="UR",0.04,0.033))*(IF($F48="UR",INDEX(绊状态确认!$S:$S,MATCH($G48,绊状态确认!$B:$B,))/2-40)+IF($F48="SR",INDEX(绊状态确认!$R:$R,MATCH($G48,绊状态确认!$B:$B,))/4-15))+IF($F48="R",INDEX(绊状态确认!$Q:$Q,MATCH($G48,绊状态确认!$B:$B,))/6-40/6)))*(INDEX(绊状态确认!$H:$H,MATCH($G48,绊状态确认!$B:$B,))+INDEX(绊状态确认!K:K,MATCH($G48,绊状态确认!$B:$B,)))</f>
        <v>3960.3539999999994</v>
      </c>
      <c r="AN48" s="1106">
        <f>IF($P48="","N/A",(IF($P48=-1,INDEX('卡片raw data'!U:U,MATCH($D48,'卡片raw data'!$F:$F,)),0)+IF($P48=0,INDEX('卡片raw data'!X:X,MATCH($D48,'卡片raw data'!$F:$F,)),0)+IF($P48=1,INDEX('卡片raw data'!AA:AA,MATCH($D48,'卡片raw data'!$F:$F,)),0)+IF($P48=2,INDEX('卡片raw data'!AD:AD,MATCH($D48,'卡片raw data'!$F:$F,)),0)+IF($P48=3,INDEX('卡片raw data'!AG:AG,MATCH($D48,'卡片raw data'!$F:$F,)),0)+IF($P48=4,INDEX('卡片raw data'!AJ:AJ,MATCH($D48,'卡片raw data'!$F:$F,)),0)+IF($P48=5,INDEX('卡片raw data'!AM:AM,MATCH($D48,'卡片raw data'!$F:$F,)),0)+INDEX('卡片raw data'!U:U,MATCH($D48,'卡片raw data'!$F:$F,))*(IF($F48="UR",0.04,0.033))*(IF($F48="UR",INDEX(绊状态确认!$S:$S,MATCH($G48,绊状态确认!$B:$B,))/2-40)+IF($F48="SR",INDEX(绊状态确认!$R:$R,MATCH($G48,绊状态确认!$B:$B,))/4-15))+IF($F48="R",INDEX(绊状态确认!$Q:$Q,MATCH($G48,绊状态确认!$B:$B,))/6-40/6)))*(INDEX(绊状态确认!$H:$H,MATCH($G48,绊状态确认!$B:$B,))+INDEX(绊状态确认!L:L,MATCH($G48,绊状态确认!$B:$B,)))</f>
        <v>4079.6759999999995</v>
      </c>
      <c r="AO48" s="1107">
        <f t="shared" si="21"/>
        <v>1</v>
      </c>
      <c r="AP48" s="1131">
        <f>1+(INDEX(绊状态确认!$T:$T,MATCH($G48,绊状态确认!$B:$B,))+0.2)*$AO48</f>
        <v>1.3</v>
      </c>
      <c r="AQ48" s="1108">
        <f t="shared" si="22"/>
        <v>13645.929249999999</v>
      </c>
      <c r="AR48" s="1097">
        <f>(AM48*(1+$EX$9)+$EX$35)*(1+(INDEX(绊状态确认!$T:$T,MATCH($G48,绊状态确认!$B:$B,))+0.2)*AO48)*IF(J48=$FF$17,1+$FE$17,1)*IF(I48=$FF$14,1+$FE$14,1)</f>
        <v>8109.88321</v>
      </c>
      <c r="AS48" s="1097">
        <f>(AN48*(1+$EX$10)+$EX$36)*(1+(INDEX(绊状态确认!$T:$T,MATCH($G48,绊状态确认!$B:$B,))+0.2)*AO48)*IF(J48=$FF$17,1+$FE$17,1)*IF(I48=$FF$14,1+$FE$14,1)</f>
        <v>10155.115619999999</v>
      </c>
      <c r="AT48" s="1093">
        <f>IF(AND(INDEX('卡片raw data'!AK:AK,MATCH($D48,'卡片raw data'!$F:$F,))&lt;INDEX('卡片raw data'!AM:AM,MATCH($D48,'卡片raw data'!$F:$F,)),INDEX('卡片raw data'!AL:AL,MATCH($D48,'卡片raw data'!$F:$F,))&lt;INDEX('卡片raw data'!AM:AM,MATCH($D48,'卡片raw data'!$F:$F,))),1,0)</f>
        <v>1</v>
      </c>
      <c r="AU48" s="1098">
        <f>MIN(AT48*0.15+AS48*0.00003+INDEX(绊状态确认!M:M,MATCH($G48,绊状态确认!$B:$B,)),1)</f>
        <v>0.48465346860000003</v>
      </c>
      <c r="AV48" s="1109">
        <f>(INDEX(绊状态确认!$N:$N,MATCH($G48,绊状态确认!$B:$B,))+1.5)*$EW$21</f>
        <v>2.6599999999999997</v>
      </c>
      <c r="AW48" s="1101">
        <f t="shared" si="23"/>
        <v>12788.609430334383</v>
      </c>
      <c r="AX48" s="1097">
        <f t="shared" si="24"/>
        <v>688.51097785156219</v>
      </c>
      <c r="AY48" s="1110">
        <f t="shared" si="25"/>
        <v>13477.120408185945</v>
      </c>
      <c r="AZ48" s="429">
        <f t="shared" si="26"/>
        <v>10322.690299999998</v>
      </c>
      <c r="BA48" s="431">
        <f t="shared" si="27"/>
        <v>12387.228359999997</v>
      </c>
      <c r="BB48" s="1097">
        <f>(AM48*(1+$FB$9)+$FB$35)*(1+(INDEX(绊状态确认!$T:$T,MATCH($G48,绊状态确认!$B:$B,))+0.2)*AO48)*IF(J48=$FF$17,1+$FE$17,1)*IF(I48=$FF$14,1+$FE$14,1)*(1+$FE$15)</f>
        <v>8109.88321</v>
      </c>
      <c r="BC48" s="1097">
        <f>(AN48*(1+$FB$10)+$FB$36)*(1+(INDEX(绊状态确认!$T:$T,MATCH($G48,绊状态确认!$B:$B,))+0.2)*AO48)*IF(J48=$FF$17,1+$FE$17,1)*IF(I48=$FF$14,1+$FE$14,1)*(1+$FE$15)</f>
        <v>10155.115619999999</v>
      </c>
      <c r="BD48" s="1104">
        <f>MIN(AT48*0.15+BC48*0.00003+INDEX(绊状态确认!M:M,MATCH($G48,绊状态确认!$B:$B,)),1)</f>
        <v>0.48465346860000003</v>
      </c>
      <c r="BE48" s="432">
        <f>(INDEX(绊状态确认!$N:$N,MATCH($G48,绊状态确认!$B:$B,))+1.5)</f>
        <v>1.9</v>
      </c>
      <c r="BF48" s="1139">
        <f t="array" ref="BF48">SUMPRODUCT(IF(AZ48*AP48*$FI$16:$FI$23*$FA$22&gt;=$FI$24,$FI$24,AZ48*AP48*$FI$16:$FI$23*$FA$22),$FJ$16:$FJ$23)</f>
        <v>20531.831006699998</v>
      </c>
      <c r="BG48" s="1125">
        <f t="array" ref="BG48">SUMPRODUCT(IF(BE48*AZ48*AP48*$FI$16:$FI$23*$FA$22&gt;=$FI$24,$FI$24,BE48*AZ48*AP48*$FI$16:$FI$23*$FA$22),$FJ$16:$FJ$23)</f>
        <v>39010.478912730003</v>
      </c>
      <c r="BH48" s="1110">
        <f t="shared" si="28"/>
        <v>9829.1906031318558</v>
      </c>
      <c r="BI48" s="1111">
        <f>IF(O48="vo",$EW$26/$EW$24*0.05,0)+IF(O48="sk",-$EW$26/$EW$24*(0.05-INDEX(绊状态确认!W:W,MATCH($G48,绊状态确认!$B:$B,)))+0.05*$EW$28,0)+IF(O48="sp",0.05*$EW$32*$EW$30*(1-$EW$33)-(0.05-INDEX(绊状态确认!V:V,MATCH($G48,绊状态确认!$B:$B,)))*$EW$28,0)+IF(O48="gd",-(0.05-INDEX(绊状态确认!X:X,MATCH($G48,绊状态确认!$B:$B,)))*$EW$32*$EW$30*(1-$EW$33),0)</f>
        <v>-6253.6726349699375</v>
      </c>
      <c r="BJ48" s="1097">
        <f>IF(O48="vo",0.05*(1-$FI$26)*$FA$24,0)+IF(O48="sk",-(0.05-INDEX(绊状态确认!W:W,MATCH($G48,绊状态确认!$B:$B,)))*(1-$FI$26)*$FA$24+0.05*$FA$26,0)+IF(O48="sp",0.05*$FA$32*$FA$27*(1-$FA$33)/$FA$30+0.05*$FA$29/$FA$69*$FA$27*(1-$FA$33)-(0.05-INDEX(绊状态确认!V:V,MATCH($G48,绊状态确认!$B:$B,)))*$FA$26,0)+IF(O48="gd",-(0.05-INDEX(绊状态确认!X:X,MATCH($G48,绊状态确认!$B:$B,)))*$FA$32*$FA$27*(1-$FA$33)/$FA$30-(0.05-INDEX(绊状态确认!X:X,MATCH($G48,绊状态确认!$B:$B,)))*$FA$29/$FA$69*$FA$27*(1-$FA$33),0)</f>
        <v>20.459096812499922</v>
      </c>
      <c r="BK48" s="1110">
        <f>IF(O48="vo",$EW$26/$EW$24*0.05+$EW$26*(-HP($EW$62,$EW$65,$EW$64)+HP($EW$62,$EW$65,(1.05-INDEX(绊状态确认!U:U,MATCH($G48,绊状态确认!$B:$B,)))*$EW$64)),0)+IF(O48="sk",-$EW$26/$EW$24*(0.05-INDEX(绊状态确认!W:W,MATCH($G48,绊状态确认!$B:$B,)))+0.05*$EW$29,0)+IF(O48="sp",0.05*$EW$32*$EW$30*(1-$EW$33)-(0.05-INDEX(绊状态确认!V:V,MATCH($G48,绊状态确认!$B:$B,)))*$EW$29,0)+IF(O48="gd",-(0.05-INDEX(绊状态确认!X:X,MATCH($G48,绊状态确认!$B:$B,)))*$EW$32*$EW$30*(1-$EW$33)+$EW$26*(-HP($EW$62,$EW$65,$EW$64)+HP($EW$62,$EW$65,0.95*$EW$64)),0)</f>
        <v>-4253.6726349699375</v>
      </c>
      <c r="BL48" s="1111">
        <f t="shared" si="29"/>
        <v>-2166.6666666666665</v>
      </c>
      <c r="BM48" s="1110">
        <f t="shared" si="30"/>
        <v>-1661.1111111111109</v>
      </c>
      <c r="BN48" s="1113">
        <f t="shared" si="31"/>
        <v>2</v>
      </c>
      <c r="BO48" s="1097">
        <f t="shared" si="32"/>
        <v>3005.1476580839999</v>
      </c>
      <c r="BP48" s="1100">
        <f t="shared" si="33"/>
        <v>147.56068806020068</v>
      </c>
      <c r="BQ48" s="1113" t="s">
        <v>618</v>
      </c>
      <c r="BR48" s="1124" t="s">
        <v>620</v>
      </c>
      <c r="BS48" s="1098">
        <f>IF($P48="","N/A",IF($P48=-1,INDEX('卡片raw data'!AX:AX,MATCH($D48,'卡片raw data'!$F:$F,)),0)+IF($L48="party卡",IF($P48=5,INDEX('卡片raw data'!BD:BD,MATCH($D48,'卡片raw data'!$F:$F,)),IF($P48&gt;=3,INDEX('卡片raw data'!BC:BC,MATCH($D48,'卡片raw data'!$F:$F,)),INDEX('卡片raw data'!BB:BB,MATCH($D48,'卡片raw data'!$F:$F,)))),IF(OR(AND($F48="UR",$P48=0),AND($F48="SR",$P48&gt;=0,$P48&lt;=2),AND($F48="R",$P48&gt;=0,$P48&lt;4)),INDEX('卡片raw data'!AZ:AZ,MATCH($D48,'卡片raw data'!$F:$F,)),0)+IF(OR(AND($F48="UR",$P48&gt;=1,$P48&lt;=4),AND($F48="SR",$P48&lt;=4,$P48&gt;=3),AND($F48="R",$P48=4)),INDEX('卡片raw data'!BA:BA,MATCH($D48,'卡片raw data'!$F:$F,)),0)+IF($P48=5,INDEX('卡片raw data'!BB:BB,MATCH($D48,'卡片raw data'!$F:$F,)),0)))</f>
        <v>2.1999999999999999E-2</v>
      </c>
      <c r="BT48" s="1101">
        <f t="shared" si="34"/>
        <v>0</v>
      </c>
      <c r="BU48" s="1097">
        <f t="shared" si="35"/>
        <v>0</v>
      </c>
      <c r="BV48" s="1097">
        <f t="shared" si="36"/>
        <v>0</v>
      </c>
      <c r="BW48" s="1112">
        <f t="shared" si="37"/>
        <v>0.64379464285714261</v>
      </c>
      <c r="BX48" s="1100">
        <f t="shared" si="38"/>
        <v>50.191052048224321</v>
      </c>
      <c r="BY48" s="1110">
        <f t="shared" si="39"/>
        <v>50.191052048224321</v>
      </c>
      <c r="BZ48" s="1107" t="s">
        <v>569</v>
      </c>
      <c r="CA48" s="1124"/>
      <c r="CB48" s="1098">
        <f>IF($P48="","N/A",IF($P48=-1,INDEX('卡片raw data'!BE:BE,MATCH($D48,'卡片raw data'!$F:$F,)),0)+IF($L48="party卡",IF($P48=5,INDEX('卡片raw data'!BK:BK,MATCH($D48,'卡片raw data'!$F:$F,)),IF($P48&gt;=3,INDEX('卡片raw data'!BJ:BJ,MATCH($D48,'卡片raw data'!$F:$F,)),INDEX('卡片raw data'!BI:BI,MATCH($D48,'卡片raw data'!$F:$F,)))),IF(OR(AND($F48="UR",$P48=0),AND($F48="SR",$P48&gt;=0,$P48&lt;=2),AND($F48="R",$P48&gt;=0,$P48&lt;4)),INDEX('卡片raw data'!BG:BG,MATCH($D48,'卡片raw data'!$F:$F,)),0)+IF(OR(AND($F48="UR",$P48&gt;=1,$P48&lt;=4),AND($F48="SR",$P48&lt;=4,$P48&gt;=3),AND($F48="R",$P48=4)),INDEX('卡片raw data'!BH:BH,MATCH($D48,'卡片raw data'!$F:$F,)),0)+IF($P48=5,INDEX('卡片raw data'!BI:BI,MATCH($D48,'卡片raw data'!$F:$F,)),0)))</f>
        <v>0</v>
      </c>
      <c r="CC48" s="1101">
        <f t="shared" si="40"/>
        <v>0</v>
      </c>
      <c r="CD48" s="1097">
        <f>IF(BZ48="ap",CB48*(1-$FI$26)*$FB$5/$FB$11*(+IF(CA48="全员",$FA$24,0)+IF(CA48="同作战",$FA$24,0)+IF(CA48="仲间",$FA$24*2/3,0)+IF(CA48="同属性",$FA$24*$FA$37/3,0)+IF(CA48="同年级",$FA$24*$FA$40/3,0)+IF(CA48="同学校",$FA$24*$FA$43/3,0)+IF(CA48="同小队",$FA$24*$FA$46/3,0)+IF(CA48="同type",$FA$24*INDEX($FB$49:$FB$52,MATCH(X48,$FA$49:$FA$52,))/3,0)+IF(CA48="自身",#REF!/3,0)),0)+IF(BZ48="te",CB48*(1-$FI$27)*($FA$20-1)*$FB$7/$FB$13*(+IF(CA48="全员",$FA$19*$FA$24/(1+($FA$20-1)*$FA$19),0)+IF(CA48="同作战",$FA$19*$FA$24/(1+($FA$20-1)*$FA$19),0)+IF(CA48="仲间",$FA$19*$FA$24*2/3/(1+($FA$20-1)*$FA$19),0)+IF(CA48="同属性",$FA$19*$FA$24*$FA$37/3/(1+($FA$20-1)*$FA$19),0)+IF(CA48="同年级",$FA$19*$FA$24*$FA$40/3/(1+($FA$20-1)*$FA$19),0)+IF(CA48="同学校",$FA$19*$FA$24*$FA$43/3/(1+($FA$20-1)*$FA$19),0)+IF(CA48="同小队",$FA$19*$FA$24*$FA$46/3/(1+($FA$20-1)*$FA$19),0)+IF(CA48="同type",$FA$19*$FA$24*INDEX($FB$49:$FB$52,MATCH(X48,$FA$49:$FA$52,))/3/(1+($FA$20-1)*$FA$19),0)+IF(CA48="自身",$FA$19*#REF!/3/(1+(BH48-1)*$BD48),0)),0)</f>
        <v>0</v>
      </c>
      <c r="CE48" s="1097">
        <f t="shared" si="41"/>
        <v>0</v>
      </c>
      <c r="CF48" s="1112">
        <f t="shared" si="42"/>
        <v>0</v>
      </c>
      <c r="CG48" s="1100">
        <f t="shared" si="43"/>
        <v>0</v>
      </c>
      <c r="CH48" s="1110">
        <f t="shared" si="44"/>
        <v>0</v>
      </c>
      <c r="CI48" s="1113"/>
      <c r="CJ48" s="1114"/>
      <c r="CK48" s="1115" t="s">
        <v>569</v>
      </c>
      <c r="CL48" s="1115"/>
      <c r="CM48" s="1119"/>
      <c r="CN48" s="1115"/>
      <c r="CO48" s="1092"/>
      <c r="CP48" s="1117">
        <f t="shared" si="45"/>
        <v>0</v>
      </c>
      <c r="CQ48" s="1117">
        <f t="shared" si="46"/>
        <v>0</v>
      </c>
      <c r="CR48" s="1117">
        <f t="shared" si="47"/>
        <v>0</v>
      </c>
      <c r="CS48" s="1118">
        <f t="shared" si="48"/>
        <v>0</v>
      </c>
      <c r="CT48" s="1109">
        <f t="shared" si="49"/>
        <v>0</v>
      </c>
      <c r="CU48" s="1101">
        <f t="shared" si="50"/>
        <v>0</v>
      </c>
      <c r="CV48" s="1108">
        <f t="shared" si="51"/>
        <v>0</v>
      </c>
      <c r="CW48" s="1097">
        <f t="shared" si="52"/>
        <v>0</v>
      </c>
      <c r="CX48" s="1097">
        <f t="shared" si="53"/>
        <v>0</v>
      </c>
      <c r="CY48" s="1110">
        <f t="shared" si="54"/>
        <v>0</v>
      </c>
      <c r="CZ48" s="437"/>
      <c r="DA48" s="438"/>
      <c r="DB48" s="439" t="s">
        <v>569</v>
      </c>
      <c r="DC48" s="439"/>
      <c r="DD48" s="443"/>
      <c r="DE48" s="411"/>
      <c r="DF48" s="411"/>
      <c r="DG48" s="1116">
        <f t="shared" si="55"/>
        <v>0</v>
      </c>
      <c r="DH48" s="1116">
        <f t="shared" si="56"/>
        <v>0</v>
      </c>
      <c r="DI48" s="1116">
        <f t="shared" si="57"/>
        <v>0</v>
      </c>
      <c r="DJ48" s="442">
        <f t="shared" si="58"/>
        <v>0</v>
      </c>
      <c r="DK48" s="1109">
        <f t="shared" si="59"/>
        <v>0</v>
      </c>
      <c r="DL48" s="1101">
        <f t="shared" si="60"/>
        <v>0</v>
      </c>
      <c r="DM48" s="1097">
        <f t="shared" si="61"/>
        <v>0</v>
      </c>
      <c r="DN48" s="1097">
        <f t="shared" si="62"/>
        <v>0</v>
      </c>
      <c r="DO48" s="1097">
        <f t="shared" si="63"/>
        <v>0</v>
      </c>
      <c r="DP48" s="1110">
        <f t="shared" si="64"/>
        <v>0</v>
      </c>
      <c r="DQ48" s="1113" t="s">
        <v>550</v>
      </c>
      <c r="DR48" s="1120">
        <f t="shared" si="65"/>
        <v>0.3</v>
      </c>
      <c r="DS48" s="1124">
        <v>5</v>
      </c>
      <c r="DT48" s="1093" t="s">
        <v>168</v>
      </c>
      <c r="DU48" s="1093" t="s">
        <v>544</v>
      </c>
      <c r="DV48" s="1098">
        <f>IF($P48="","N/A",IF(P48=-1,INDEX('卡片raw data'!AN:AN,MATCH(D48,'卡片raw data'!$F:$F,)),0)+IF(AND(L48&lt;&gt;"party卡",P48&lt;=2,P48&gt;=0),INDEX('卡片raw data'!AP:AP,MATCH(D48,'卡片raw data'!$F:$F,)),0)+IF(OR(AND(L48="party卡",P48&lt;=1),AND(P48&lt;=4,L48&lt;&gt;"party卡",P48&gt;=3)),INDEX('卡片raw data'!AQ:AQ,MATCH(D48,'卡片raw data'!$F:$F,)),0)+IF(OR(P48=5,AND(L48="party卡",P48&gt;=2)),INDEX('卡片raw data'!AR:AR,MATCH(D48,'卡片raw data'!$F:$F,)),0))</f>
        <v>0.05</v>
      </c>
      <c r="DW48" s="1098">
        <f t="shared" si="66"/>
        <v>0.3</v>
      </c>
      <c r="DX48" s="1098">
        <f t="shared" si="67"/>
        <v>0.3</v>
      </c>
      <c r="DY48" s="1098">
        <f t="shared" si="68"/>
        <v>2.5000000000000001E-2</v>
      </c>
      <c r="DZ48" s="1098">
        <f t="shared" si="69"/>
        <v>2.1625000000000002E-2</v>
      </c>
      <c r="EA48" s="1098">
        <f t="shared" si="70"/>
        <v>0</v>
      </c>
      <c r="EB48" s="1121">
        <f t="shared" si="71"/>
        <v>0</v>
      </c>
      <c r="EC48" s="1101">
        <f t="shared" si="72"/>
        <v>2925.8044682831251</v>
      </c>
      <c r="ED48" s="1097">
        <f t="shared" si="73"/>
        <v>175.10507790045199</v>
      </c>
      <c r="EE48" s="1110">
        <f t="shared" si="74"/>
        <v>2925.8044682831251</v>
      </c>
      <c r="EF48" s="1092" t="s">
        <v>711</v>
      </c>
      <c r="EG48" s="1120">
        <f t="shared" si="75"/>
        <v>0.3</v>
      </c>
      <c r="EH48" s="1124"/>
      <c r="EI48" s="1093"/>
      <c r="EJ48" s="1093"/>
      <c r="EK48" s="1097">
        <f>IF($P48="","N/A",IF(P48=-1,INDEX('卡片raw data'!AS:AS,MATCH(D48,'卡片raw data'!$F:$F,)),0)+IF(AND(L48&lt;&gt;"party卡",P48&lt;=2,P48&gt;=0),INDEX('卡片raw data'!AU:AU,MATCH(D48,'卡片raw data'!$F:$F,)),0)+IF(OR(AND(L48="party卡",P48&lt;=1),AND(P48&lt;=4,L48&lt;&gt;"party卡",P48&gt;=3)),INDEX('卡片raw data'!AV:AV,MATCH(D48,'卡片raw data'!$F:$F,)),0)+IF(OR(P48=5,AND(L48="party卡",P48&gt;=2)),INDEX('卡片raw data'!AW:AW,MATCH(D48,'卡片raw data'!$F:$F,)),0))</f>
        <v>0</v>
      </c>
      <c r="EL48" s="1098">
        <f t="shared" si="76"/>
        <v>0.3</v>
      </c>
      <c r="EM48" s="1098">
        <f t="shared" si="77"/>
        <v>0.3</v>
      </c>
      <c r="EN48" s="1125">
        <f t="shared" si="78"/>
        <v>0</v>
      </c>
      <c r="EO48" s="1125">
        <f t="shared" si="79"/>
        <v>0</v>
      </c>
      <c r="EP48" s="1098">
        <f t="shared" si="80"/>
        <v>0</v>
      </c>
      <c r="EQ48" s="1121">
        <f t="shared" si="81"/>
        <v>0</v>
      </c>
      <c r="ER48" s="1101">
        <f t="shared" si="82"/>
        <v>0</v>
      </c>
      <c r="ES48" s="1097">
        <f t="shared" si="83"/>
        <v>0</v>
      </c>
      <c r="ET48" s="1122">
        <f t="shared" si="84"/>
        <v>0</v>
      </c>
      <c r="EV48" s="1224" t="s">
        <v>615</v>
      </c>
      <c r="EW48" s="1319">
        <v>2.5</v>
      </c>
      <c r="EX48" s="1320"/>
      <c r="EY48" s="1212"/>
      <c r="EZ48" s="1224" t="s">
        <v>615</v>
      </c>
      <c r="FA48" s="1319">
        <v>2.5</v>
      </c>
      <c r="FB48" s="1320"/>
      <c r="FC48" s="447"/>
      <c r="FD48" s="447"/>
      <c r="FE48" s="447"/>
      <c r="FF48" s="447"/>
      <c r="FG48" s="447"/>
      <c r="FH48" s="642"/>
      <c r="FI48" s="642"/>
      <c r="FJ48" s="447"/>
    </row>
    <row r="49" spans="2:166" ht="16.5" customHeight="1">
      <c r="B49" s="1123" t="str">
        <f>INDEX('卡片raw data'!B:B,MATCH($D49,'卡片raw data'!$F:$F,))</f>
        <v>练习南</v>
      </c>
      <c r="C49" s="449" t="s">
        <v>22</v>
      </c>
      <c r="D49" s="408">
        <v>46</v>
      </c>
      <c r="E49" s="1090">
        <v>101031002</v>
      </c>
      <c r="F49" s="1090" t="str">
        <f>INDEX('卡片raw data'!C:C,MATCH($D49,'卡片raw data'!$F:$F,))</f>
        <v>R</v>
      </c>
      <c r="G49" s="1094" t="s">
        <v>35</v>
      </c>
      <c r="H49" s="411">
        <f>IFERROR(INDEX(绊状态确认!C:C,MATCH($G49,绊状态确认!$B:$B,)),"")</f>
        <v>103</v>
      </c>
      <c r="I49" s="450" t="str">
        <f>IFERROR(INDEX(绊状态确认!D:D,MATCH($G49,绊状态确认!$B:$B,)),"")</f>
        <v>水</v>
      </c>
      <c r="J49" s="450" t="str">
        <f>IFERROR(INDEX(绊状态确认!E:E,MATCH($G49,绊状态确认!$B:$B,)),"")</f>
        <v>3年级</v>
      </c>
      <c r="K49" s="451" t="str">
        <f>IFERROR(INDEX(绊状态确认!F:F,MATCH($G49,绊状态确认!$B:$B,)),"")</f>
        <v>AZALEA</v>
      </c>
      <c r="L49" s="1094" t="str">
        <f>INDEX('卡片raw data'!E:E,MATCH($D49,'卡片raw data'!$F:$F,))</f>
        <v>卡池卡</v>
      </c>
      <c r="M49" s="415">
        <v>43735</v>
      </c>
      <c r="N49" s="416">
        <v>0</v>
      </c>
      <c r="O49" s="1091" t="str">
        <f>INDEX('卡片raw data'!D:D,MATCH($D49,'卡片raw data'!$F:$F,))</f>
        <v>gd</v>
      </c>
      <c r="P49" s="417">
        <v>5</v>
      </c>
      <c r="Q49" s="1095">
        <f t="shared" si="0"/>
        <v>11645.544822890412</v>
      </c>
      <c r="R49" s="1096">
        <f t="shared" si="1"/>
        <v>0.13500000000000001</v>
      </c>
      <c r="S49" s="1097">
        <f t="shared" si="2"/>
        <v>6882.3765282685781</v>
      </c>
      <c r="T49" s="1098">
        <f t="shared" si="3"/>
        <v>0.34399999999999997</v>
      </c>
      <c r="U49" s="1099">
        <f t="shared" si="4"/>
        <v>50.200342873571429</v>
      </c>
      <c r="V49" s="1100">
        <f t="shared" si="5"/>
        <v>15831.46140443026</v>
      </c>
      <c r="W49" s="1101">
        <f t="shared" si="6"/>
        <v>3005.1476580839999</v>
      </c>
      <c r="X49" s="1096">
        <f t="shared" si="7"/>
        <v>3.4000000000000002E-2</v>
      </c>
      <c r="Y49" s="1097">
        <f t="shared" si="8"/>
        <v>969.21984608991988</v>
      </c>
      <c r="Z49" s="1102">
        <f t="shared" si="9"/>
        <v>12.200342873571428</v>
      </c>
      <c r="AA49" s="1103">
        <f t="shared" si="10"/>
        <v>3974.3675041739198</v>
      </c>
      <c r="AB49" s="1101">
        <f t="shared" si="11"/>
        <v>3005.1476580839999</v>
      </c>
      <c r="AC49" s="1104">
        <f t="shared" si="12"/>
        <v>3.4000000000000002E-2</v>
      </c>
      <c r="AD49" s="1105">
        <f t="shared" si="13"/>
        <v>-3.8207812500000026E-3</v>
      </c>
      <c r="AE49" s="1128">
        <f t="shared" si="14"/>
        <v>-28.942028985507246</v>
      </c>
      <c r="AF49" s="1130">
        <f t="shared" si="15"/>
        <v>0</v>
      </c>
      <c r="AG49" s="420">
        <f t="shared" si="16"/>
        <v>0</v>
      </c>
      <c r="AH49" s="420">
        <f t="shared" si="17"/>
        <v>0</v>
      </c>
      <c r="AI49" s="1097">
        <f t="shared" si="18"/>
        <v>0</v>
      </c>
      <c r="AJ49" s="420">
        <f t="shared" si="19"/>
        <v>0</v>
      </c>
      <c r="AK49" s="518">
        <f t="shared" si="20"/>
        <v>0</v>
      </c>
      <c r="AL49" s="1106">
        <f>IF($P49="","N/A",(IF($P49=-1,INDEX('卡片raw data'!S:S,MATCH($D49,'卡片raw data'!$F:$F,)),0)+IF($P49=0,INDEX('卡片raw data'!V:V,MATCH($D49,'卡片raw data'!$F:$F,)),0)+IF($P49=1,INDEX('卡片raw data'!Y:Y,MATCH($D49,'卡片raw data'!$F:$F,)),0)+IF($P49=2,INDEX('卡片raw data'!AB:AB,MATCH($D49,'卡片raw data'!$F:$F,)),0)+IF($P49=3,INDEX('卡片raw data'!AE:AE,MATCH($D49,'卡片raw data'!$F:$F,)),0)+IF($P49=4,INDEX('卡片raw data'!AH:AH,MATCH($D49,'卡片raw data'!$F:$F,)),0)+IF($P49=5,INDEX('卡片raw data'!AK:AK,MATCH($D49,'卡片raw data'!$F:$F,)),0)+INDEX('卡片raw data'!S:S,MATCH($D49,'卡片raw data'!$F:$F,))*(IF($F49="UR",0.04,0.033))*(IF($F49="UR",INDEX(绊状态确认!$S:$S,MATCH($G49,绊状态确认!$B:$B,))/2-40)+IF($F49="SR",INDEX(绊状态确认!$R:$R,MATCH($G49,绊状态确认!$B:$B,))/4-15))+IF($F49="R",INDEX(绊状态确认!$Q:$Q,MATCH($G49,绊状态确认!$B:$B,))/6-40/6)))*(INDEX(绊状态确认!$H:$H,MATCH($G49,绊状态确认!$B:$B,))+INDEX(绊状态确认!J:J,MATCH($G49,绊状态确认!$B:$B,)))</f>
        <v>4122.8591999999999</v>
      </c>
      <c r="AM49" s="1106">
        <f>IF($P49="","N/A",(IF($P49=-1,INDEX('卡片raw data'!T:T,MATCH($D49,'卡片raw data'!$F:$F,)),0)+IF($P49=0,INDEX('卡片raw data'!W:W,MATCH($D49,'卡片raw data'!$F:$F,)),0)+IF($P49=1,INDEX('卡片raw data'!Z:Z,MATCH($D49,'卡片raw data'!$F:$F,)),0)+IF($P49=2,INDEX('卡片raw data'!AC:AC,MATCH($D49,'卡片raw data'!$F:$F,)),0)+IF($P49=3,INDEX('卡片raw data'!AF:AF,MATCH($D49,'卡片raw data'!$F:$F,)),0)+IF($P49=4,INDEX('卡片raw data'!AI:AI,MATCH($D49,'卡片raw data'!$F:$F,)),0)+IF($P49=5,INDEX('卡片raw data'!AL:AL,MATCH($D49,'卡片raw data'!$F:$F,)),0)+INDEX('卡片raw data'!T:T,MATCH($D49,'卡片raw data'!$F:$F,))*(IF($F49="UR",0.04,0.033))*(IF($F49="UR",INDEX(绊状态确认!$S:$S,MATCH($G49,绊状态确认!$B:$B,))/2-40)+IF($F49="SR",INDEX(绊状态确认!$R:$R,MATCH($G49,绊状态确认!$B:$B,))/4-15))+IF($F49="R",INDEX(绊状态确认!$Q:$Q,MATCH($G49,绊状态确认!$B:$B,))/6-40/6)))*(INDEX(绊状态确认!$H:$H,MATCH($G49,绊状态确认!$B:$B,))+INDEX(绊状态确认!K:K,MATCH($G49,绊状态确认!$B:$B,)))</f>
        <v>5496.7667999999994</v>
      </c>
      <c r="AN49" s="1106">
        <f>IF($P49="","N/A",(IF($P49=-1,INDEX('卡片raw data'!U:U,MATCH($D49,'卡片raw data'!$F:$F,)),0)+IF($P49=0,INDEX('卡片raw data'!X:X,MATCH($D49,'卡片raw data'!$F:$F,)),0)+IF($P49=1,INDEX('卡片raw data'!AA:AA,MATCH($D49,'卡片raw data'!$F:$F,)),0)+IF($P49=2,INDEX('卡片raw data'!AD:AD,MATCH($D49,'卡片raw data'!$F:$F,)),0)+IF($P49=3,INDEX('卡片raw data'!AG:AG,MATCH($D49,'卡片raw data'!$F:$F,)),0)+IF($P49=4,INDEX('卡片raw data'!AJ:AJ,MATCH($D49,'卡片raw data'!$F:$F,)),0)+IF($P49=5,INDEX('卡片raw data'!AM:AM,MATCH($D49,'卡片raw data'!$F:$F,)),0)+INDEX('卡片raw data'!U:U,MATCH($D49,'卡片raw data'!$F:$F,))*(IF($F49="UR",0.04,0.033))*(IF($F49="UR",INDEX(绊状态确认!$S:$S,MATCH($G49,绊状态确认!$B:$B,))/2-40)+IF($F49="SR",INDEX(绊状态确认!$R:$R,MATCH($G49,绊状态确认!$B:$B,))/4-15))+IF($F49="R",INDEX(绊状态确认!$Q:$Q,MATCH($G49,绊状态确认!$B:$B,))/6-40/6)))*(INDEX(绊状态确认!$H:$H,MATCH($G49,绊状态确认!$B:$B,))+INDEX(绊状态确认!L:L,MATCH($G49,绊状态确认!$B:$B,)))</f>
        <v>4122.8591999999999</v>
      </c>
      <c r="AO49" s="1107">
        <f t="shared" si="21"/>
        <v>1</v>
      </c>
      <c r="AP49" s="1131">
        <f>1+(INDEX(绊状态确认!$T:$T,MATCH($G49,绊状态确认!$B:$B,))+0.2)*$AO49</f>
        <v>1.3</v>
      </c>
      <c r="AQ49" s="1108">
        <f t="shared" si="22"/>
        <v>14072.5054</v>
      </c>
      <c r="AR49" s="1097">
        <f>(AM49*(1+$EX$9)+$EX$35)*(1+(INDEX(绊状态确认!$T:$T,MATCH($G49,绊状态确认!$B:$B,))+0.2)*AO49)*IF(J49=$FF$17,1+$FE$17,1)*IF(I49=$FF$14,1+$FE$14,1)</f>
        <v>10207.086681999999</v>
      </c>
      <c r="AS49" s="1097">
        <f>(AN49*(1+$EX$10)+$EX$36)*(1+(INDEX(绊状态确认!$T:$T,MATCH($G49,绊状态确认!$B:$B,))+0.2)*AO49)*IF(J49=$FF$17,1+$FE$17,1)*IF(I49=$FF$14,1+$FE$14,1)</f>
        <v>10219.674503999999</v>
      </c>
      <c r="AT49" s="1093">
        <f>IF(AND(INDEX('卡片raw data'!AK:AK,MATCH($D49,'卡片raw data'!$F:$F,))&lt;INDEX('卡片raw data'!AM:AM,MATCH($D49,'卡片raw data'!$F:$F,)),INDEX('卡片raw data'!AL:AL,MATCH($D49,'卡片raw data'!$F:$F,))&lt;INDEX('卡片raw data'!AM:AM,MATCH($D49,'卡片raw data'!$F:$F,))),1,0)</f>
        <v>0</v>
      </c>
      <c r="AU49" s="1098">
        <f>MIN(AT49*0.15+AS49*0.00003+INDEX(绊状态确认!M:M,MATCH($G49,绊状态确认!$B:$B,)),1)</f>
        <v>0.33659023511999997</v>
      </c>
      <c r="AV49" s="1109">
        <f>(INDEX(绊状态确认!$N:$N,MATCH($G49,绊状态确认!$B:$B,))+1.5)*$EW$21</f>
        <v>2.6599999999999997</v>
      </c>
      <c r="AW49" s="1101">
        <f t="shared" si="23"/>
        <v>11392.063831473077</v>
      </c>
      <c r="AX49" s="1097">
        <f t="shared" si="24"/>
        <v>870.54027486502696</v>
      </c>
      <c r="AY49" s="1110">
        <f t="shared" si="25"/>
        <v>12262.604106338104</v>
      </c>
      <c r="AZ49" s="429">
        <f t="shared" si="26"/>
        <v>10639.575440000001</v>
      </c>
      <c r="BA49" s="431">
        <f t="shared" si="27"/>
        <v>12767.490528</v>
      </c>
      <c r="BB49" s="1097">
        <f>(AM49*(1+$FB$9)+$FB$35)*(1+(INDEX(绊状态确认!$T:$T,MATCH($G49,绊状态确认!$B:$B,))+0.2)*AO49)*IF(J49=$FF$17,1+$FE$17,1)*IF(I49=$FF$14,1+$FE$14,1)*(1+$FE$15)</f>
        <v>10207.086681999999</v>
      </c>
      <c r="BC49" s="1097">
        <f>(AN49*(1+$FB$10)+$FB$36)*(1+(INDEX(绊状态确认!$T:$T,MATCH($G49,绊状态确认!$B:$B,))+0.2)*AO49)*IF(J49=$FF$17,1+$FE$17,1)*IF(I49=$FF$14,1+$FE$14,1)*(1+$FE$15)</f>
        <v>10219.674503999999</v>
      </c>
      <c r="BD49" s="1104">
        <f>MIN(AT49*0.15+BC49*0.00003+INDEX(绊状态确认!M:M,MATCH($G49,绊状态确认!$B:$B,)),1)</f>
        <v>0.33659023511999997</v>
      </c>
      <c r="BE49" s="432">
        <f>(INDEX(绊状态确认!$N:$N,MATCH($G49,绊状态确认!$B:$B,))+1.5)</f>
        <v>1.9</v>
      </c>
      <c r="BF49" s="1139">
        <f t="array" ref="BF49">SUMPRODUCT(IF(AZ49*AP49*$FI$16:$FI$23*$FA$22&gt;=$FI$24,$FI$24,AZ49*AP49*$FI$16:$FI$23*$FA$22),$FJ$16:$FJ$23)</f>
        <v>21162.115550160001</v>
      </c>
      <c r="BG49" s="1125">
        <f t="array" ref="BG49">SUMPRODUCT(IF(BE49*AZ49*AP49*$FI$16:$FI$23*$FA$22&gt;=$FI$24,$FI$24,BE49*AZ49*AP49*$FI$16:$FI$23*$FA$22),$FJ$16:$FJ$23)</f>
        <v>40208.019545304</v>
      </c>
      <c r="BH49" s="1110">
        <f t="shared" si="28"/>
        <v>9190.9269513194886</v>
      </c>
      <c r="BI49" s="1111">
        <f>IF(O49="vo",$EW$26/$EW$24*0.05,0)+IF(O49="sk",-$EW$26/$EW$24*(0.05-INDEX(绊状态确认!W:W,MATCH($G49,绊状态确认!$B:$B,)))+0.05*$EW$28,0)+IF(O49="sp",0.05*$EW$32*$EW$30*(1-$EW$33)-(0.05-INDEX(绊状态确认!V:V,MATCH($G49,绊状态确认!$B:$B,)))*$EW$28,0)+IF(O49="gd",-(0.05-INDEX(绊状态确认!X:X,MATCH($G49,绊状态确认!$B:$B,)))*$EW$32*$EW$30*(1-$EW$33),0)</f>
        <v>-585.00000000000011</v>
      </c>
      <c r="BJ49" s="1097">
        <f>IF(O49="vo",0.05*(1-$FI$26)*$FA$24,0)+IF(O49="sk",-(0.05-INDEX(绊状态确认!W:W,MATCH($G49,绊状态确认!$B:$B,)))*(1-$FI$26)*$FA$24+0.05*$FA$26,0)+IF(O49="sp",0.05*$FA$32*$FA$27*(1-$FA$33)/$FA$30+0.05*$FA$29/$FA$69*$FA$27*(1-$FA$33)-(0.05-INDEX(绊状态确认!V:V,MATCH($G49,绊状态确认!$B:$B,)))*$FA$26,0)+IF(O49="gd",-(0.05-INDEX(绊状态确认!X:X,MATCH($G49,绊状态确认!$B:$B,)))*$FA$32*$FA$27*(1-$FA$33)/$FA$30-(0.05-INDEX(绊状态确认!X:X,MATCH($G49,绊状态确认!$B:$B,)))*$FA$29/$FA$69*$FA$27*(1-$FA$33),0)</f>
        <v>-795.00000000000011</v>
      </c>
      <c r="BK49" s="1110">
        <f>IF(O49="vo",$EW$26/$EW$24*0.05+$EW$26*(-HP($EW$62,$EW$65,$EW$64)+HP($EW$62,$EW$65,(1.05-INDEX(绊状态确认!U:U,MATCH($G49,绊状态确认!$B:$B,)))*$EW$64)),0)+IF(O49="sk",-$EW$26/$EW$24*(0.05-INDEX(绊状态确认!W:W,MATCH($G49,绊状态确认!$B:$B,)))+0.05*$EW$29,0)+IF(O49="sp",0.05*$EW$32*$EW$30*(1-$EW$33)-(0.05-INDEX(绊状态确认!V:V,MATCH($G49,绊状态确认!$B:$B,)))*$EW$29,0)+IF(O49="gd",-(0.05-INDEX(绊状态确认!X:X,MATCH($G49,绊状态确认!$B:$B,)))*$EW$32*$EW$30*(1-$EW$33)+$EW$26*(-HP($EW$62,$EW$65,$EW$64)+HP($EW$62,$EW$65,0.95*$EW$64)),0)</f>
        <v>1009.5947725176144</v>
      </c>
      <c r="BL49" s="1111">
        <f t="shared" si="29"/>
        <v>-2166.6666666666665</v>
      </c>
      <c r="BM49" s="1110">
        <f t="shared" si="30"/>
        <v>-1661.1111111111109</v>
      </c>
      <c r="BN49" s="1113">
        <f t="shared" si="31"/>
        <v>2</v>
      </c>
      <c r="BO49" s="1097">
        <f t="shared" si="32"/>
        <v>3005.1476580839999</v>
      </c>
      <c r="BP49" s="1100">
        <f t="shared" si="33"/>
        <v>147.56068806020068</v>
      </c>
      <c r="BQ49" s="1113" t="s">
        <v>618</v>
      </c>
      <c r="BR49" s="1124" t="s">
        <v>617</v>
      </c>
      <c r="BS49" s="1098">
        <f>IF($P49="","N/A",IF($P49=-1,INDEX('卡片raw data'!AX:AX,MATCH($D49,'卡片raw data'!$F:$F,)),0)+IF($L49="party卡",IF($P49=5,INDEX('卡片raw data'!BD:BD,MATCH($D49,'卡片raw data'!$F:$F,)),IF($P49&gt;=3,INDEX('卡片raw data'!BC:BC,MATCH($D49,'卡片raw data'!$F:$F,)),INDEX('卡片raw data'!BB:BB,MATCH($D49,'卡片raw data'!$F:$F,)))),IF(OR(AND($F49="UR",$P49=0),AND($F49="SR",$P49&gt;=0,$P49&lt;=2),AND($F49="R",$P49&gt;=0,$P49&lt;4)),INDEX('卡片raw data'!AZ:AZ,MATCH($D49,'卡片raw data'!$F:$F,)),0)+IF(OR(AND($F49="UR",$P49&gt;=1,$P49&lt;=4),AND($F49="SR",$P49&lt;=4,$P49&gt;=3),AND($F49="R",$P49=4)),INDEX('卡片raw data'!BA:BA,MATCH($D49,'卡片raw data'!$F:$F,)),0)+IF($P49=5,INDEX('卡片raw data'!BB:BB,MATCH($D49,'卡片raw data'!$F:$F,)),0)))</f>
        <v>2.7E-2</v>
      </c>
      <c r="BT49" s="1101">
        <f t="shared" si="34"/>
        <v>0</v>
      </c>
      <c r="BU49" s="1097">
        <f t="shared" si="35"/>
        <v>0</v>
      </c>
      <c r="BV49" s="1097">
        <f t="shared" si="36"/>
        <v>0</v>
      </c>
      <c r="BW49" s="1112">
        <f t="shared" si="37"/>
        <v>1.2641785714285714</v>
      </c>
      <c r="BX49" s="1100">
        <f t="shared" si="38"/>
        <v>98.679571224892797</v>
      </c>
      <c r="BY49" s="1110">
        <f t="shared" si="39"/>
        <v>98.679571224892797</v>
      </c>
      <c r="BZ49" s="1107" t="s">
        <v>569</v>
      </c>
      <c r="CA49" s="1124"/>
      <c r="CB49" s="1098">
        <f>IF($P49="","N/A",IF($P49=-1,INDEX('卡片raw data'!BE:BE,MATCH($D49,'卡片raw data'!$F:$F,)),0)+IF($L49="party卡",IF($P49=5,INDEX('卡片raw data'!BK:BK,MATCH($D49,'卡片raw data'!$F:$F,)),IF($P49&gt;=3,INDEX('卡片raw data'!BJ:BJ,MATCH($D49,'卡片raw data'!$F:$F,)),INDEX('卡片raw data'!BI:BI,MATCH($D49,'卡片raw data'!$F:$F,)))),IF(OR(AND($F49="UR",$P49=0),AND($F49="SR",$P49&gt;=0,$P49&lt;=2),AND($F49="R",$P49&gt;=0,$P49&lt;4)),INDEX('卡片raw data'!BG:BG,MATCH($D49,'卡片raw data'!$F:$F,)),0)+IF(OR(AND($F49="UR",$P49&gt;=1,$P49&lt;=4),AND($F49="SR",$P49&lt;=4,$P49&gt;=3),AND($F49="R",$P49=4)),INDEX('卡片raw data'!BH:BH,MATCH($D49,'卡片raw data'!$F:$F,)),0)+IF($P49=5,INDEX('卡片raw data'!BI:BI,MATCH($D49,'卡片raw data'!$F:$F,)),0)))</f>
        <v>0</v>
      </c>
      <c r="CC49" s="1101">
        <f t="shared" si="40"/>
        <v>0</v>
      </c>
      <c r="CD49" s="1097">
        <f>IF(BZ49="ap",CB49*(1-$FI$26)*$FB$5/$FB$11*(+IF(CA49="全员",$FA$24,0)+IF(CA49="同作战",$FA$24,0)+IF(CA49="仲间",$FA$24*2/3,0)+IF(CA49="同属性",$FA$24*$FA$37/3,0)+IF(CA49="同年级",$FA$24*$FA$40/3,0)+IF(CA49="同学校",$FA$24*$FA$43/3,0)+IF(CA49="同小队",$FA$24*$FA$46/3,0)+IF(CA49="同type",$FA$24*INDEX($FB$49:$FB$52,MATCH(X49,$FA$49:$FA$52,))/3,0)+IF(CA49="自身",#REF!/3,0)),0)+IF(BZ49="te",CB49*(1-$FI$27)*($FA$20-1)*$FB$7/$FB$13*(+IF(CA49="全员",$FA$19*$FA$24/(1+($FA$20-1)*$FA$19),0)+IF(CA49="同作战",$FA$19*$FA$24/(1+($FA$20-1)*$FA$19),0)+IF(CA49="仲间",$FA$19*$FA$24*2/3/(1+($FA$20-1)*$FA$19),0)+IF(CA49="同属性",$FA$19*$FA$24*$FA$37/3/(1+($FA$20-1)*$FA$19),0)+IF(CA49="同年级",$FA$19*$FA$24*$FA$40/3/(1+($FA$20-1)*$FA$19),0)+IF(CA49="同学校",$FA$19*$FA$24*$FA$43/3/(1+($FA$20-1)*$FA$19),0)+IF(CA49="同小队",$FA$19*$FA$24*$FA$46/3/(1+($FA$20-1)*$FA$19),0)+IF(CA49="同type",$FA$19*$FA$24*INDEX($FB$49:$FB$52,MATCH(X49,$FA$49:$FA$52,))/3/(1+($FA$20-1)*$FA$19),0)+IF(CA49="自身",$FA$19*#REF!/3/(1+(BH49-1)*$BD49),0)),0)</f>
        <v>0</v>
      </c>
      <c r="CE49" s="1097">
        <f t="shared" si="41"/>
        <v>0</v>
      </c>
      <c r="CF49" s="1112">
        <f t="shared" si="42"/>
        <v>0</v>
      </c>
      <c r="CG49" s="1100">
        <f t="shared" si="43"/>
        <v>0</v>
      </c>
      <c r="CH49" s="1110">
        <f t="shared" si="44"/>
        <v>0</v>
      </c>
      <c r="CI49" s="1113"/>
      <c r="CJ49" s="1114"/>
      <c r="CK49" s="1115" t="s">
        <v>569</v>
      </c>
      <c r="CL49" s="1115"/>
      <c r="CM49" s="1119"/>
      <c r="CN49" s="1115"/>
      <c r="CO49" s="1092"/>
      <c r="CP49" s="1117">
        <f t="shared" si="45"/>
        <v>0</v>
      </c>
      <c r="CQ49" s="1117">
        <f t="shared" si="46"/>
        <v>0</v>
      </c>
      <c r="CR49" s="1117">
        <f t="shared" si="47"/>
        <v>0</v>
      </c>
      <c r="CS49" s="1118">
        <f t="shared" si="48"/>
        <v>0</v>
      </c>
      <c r="CT49" s="1109">
        <f t="shared" si="49"/>
        <v>0</v>
      </c>
      <c r="CU49" s="1101">
        <f t="shared" si="50"/>
        <v>0</v>
      </c>
      <c r="CV49" s="1108">
        <f t="shared" si="51"/>
        <v>0</v>
      </c>
      <c r="CW49" s="1097">
        <f t="shared" si="52"/>
        <v>0</v>
      </c>
      <c r="CX49" s="1097">
        <f t="shared" si="53"/>
        <v>0</v>
      </c>
      <c r="CY49" s="1110">
        <f t="shared" si="54"/>
        <v>0</v>
      </c>
      <c r="CZ49" s="437"/>
      <c r="DA49" s="438"/>
      <c r="DB49" s="439" t="s">
        <v>569</v>
      </c>
      <c r="DC49" s="439"/>
      <c r="DD49" s="443"/>
      <c r="DE49" s="411"/>
      <c r="DF49" s="411"/>
      <c r="DG49" s="1116">
        <f t="shared" si="55"/>
        <v>0</v>
      </c>
      <c r="DH49" s="1116">
        <f t="shared" si="56"/>
        <v>0</v>
      </c>
      <c r="DI49" s="1116">
        <f t="shared" si="57"/>
        <v>0</v>
      </c>
      <c r="DJ49" s="442">
        <f t="shared" si="58"/>
        <v>0</v>
      </c>
      <c r="DK49" s="1109">
        <f t="shared" si="59"/>
        <v>0</v>
      </c>
      <c r="DL49" s="1101">
        <f t="shared" si="60"/>
        <v>0</v>
      </c>
      <c r="DM49" s="1097">
        <f t="shared" si="61"/>
        <v>0</v>
      </c>
      <c r="DN49" s="1097">
        <f t="shared" si="62"/>
        <v>0</v>
      </c>
      <c r="DO49" s="1097">
        <f t="shared" si="63"/>
        <v>0</v>
      </c>
      <c r="DP49" s="1110">
        <f t="shared" si="64"/>
        <v>0</v>
      </c>
      <c r="DQ49" s="1113" t="s">
        <v>556</v>
      </c>
      <c r="DR49" s="1120">
        <f t="shared" si="65"/>
        <v>0.3</v>
      </c>
      <c r="DS49" s="1124">
        <v>5</v>
      </c>
      <c r="DT49" s="1093" t="s">
        <v>161</v>
      </c>
      <c r="DU49" s="1093" t="s">
        <v>544</v>
      </c>
      <c r="DV49" s="1098">
        <f>IF($P49="","N/A",IF(P49=-1,INDEX('卡片raw data'!AN:AN,MATCH(D49,'卡片raw data'!$F:$F,)),0)+IF(AND(L49&lt;&gt;"party卡",P49&lt;=2,P49&gt;=0),INDEX('卡片raw data'!AP:AP,MATCH(D49,'卡片raw data'!$F:$F,)),0)+IF(OR(AND(L49="party卡",P49&lt;=1),AND(P49&lt;=4,L49&lt;&gt;"party卡",P49&gt;=3)),INDEX('卡片raw data'!AQ:AQ,MATCH(D49,'卡片raw data'!$F:$F,)),0)+IF(OR(P49=5,AND(L49="party卡",P49&gt;=2)),INDEX('卡片raw data'!AR:AR,MATCH(D49,'卡片raw data'!$F:$F,)),0))</f>
        <v>0.08</v>
      </c>
      <c r="DW49" s="1098">
        <f t="shared" si="66"/>
        <v>0.3</v>
      </c>
      <c r="DX49" s="1098">
        <f t="shared" si="67"/>
        <v>0.3</v>
      </c>
      <c r="DY49" s="1098">
        <f t="shared" si="68"/>
        <v>0.04</v>
      </c>
      <c r="DZ49" s="1098">
        <f t="shared" si="69"/>
        <v>3.4599999999999999E-2</v>
      </c>
      <c r="EA49" s="1098">
        <f t="shared" si="70"/>
        <v>0</v>
      </c>
      <c r="EB49" s="1121">
        <f t="shared" si="71"/>
        <v>0</v>
      </c>
      <c r="EC49" s="1101">
        <f t="shared" si="72"/>
        <v>0</v>
      </c>
      <c r="ED49" s="1097">
        <f t="shared" si="73"/>
        <v>0</v>
      </c>
      <c r="EE49" s="1110">
        <f t="shared" si="74"/>
        <v>1622.1019629323148</v>
      </c>
      <c r="EF49" s="1092" t="s">
        <v>711</v>
      </c>
      <c r="EG49" s="1120">
        <f t="shared" si="75"/>
        <v>0.3</v>
      </c>
      <c r="EH49" s="1124"/>
      <c r="EI49" s="1093"/>
      <c r="EJ49" s="1093"/>
      <c r="EK49" s="1097">
        <f>IF($P49="","N/A",IF(P49=-1,INDEX('卡片raw data'!AS:AS,MATCH(D49,'卡片raw data'!$F:$F,)),0)+IF(AND(L49&lt;&gt;"party卡",P49&lt;=2,P49&gt;=0),INDEX('卡片raw data'!AU:AU,MATCH(D49,'卡片raw data'!$F:$F,)),0)+IF(OR(AND(L49="party卡",P49&lt;=1),AND(P49&lt;=4,L49&lt;&gt;"party卡",P49&gt;=3)),INDEX('卡片raw data'!AV:AV,MATCH(D49,'卡片raw data'!$F:$F,)),0)+IF(OR(P49=5,AND(L49="party卡",P49&gt;=2)),INDEX('卡片raw data'!AW:AW,MATCH(D49,'卡片raw data'!$F:$F,)),0))</f>
        <v>0</v>
      </c>
      <c r="EL49" s="1098">
        <f t="shared" si="76"/>
        <v>0.3</v>
      </c>
      <c r="EM49" s="1098">
        <f t="shared" si="77"/>
        <v>0.3</v>
      </c>
      <c r="EN49" s="1125">
        <f t="shared" si="78"/>
        <v>0</v>
      </c>
      <c r="EO49" s="1125">
        <f t="shared" si="79"/>
        <v>0</v>
      </c>
      <c r="EP49" s="1098">
        <f t="shared" si="80"/>
        <v>0</v>
      </c>
      <c r="EQ49" s="1121">
        <f t="shared" si="81"/>
        <v>0</v>
      </c>
      <c r="ER49" s="1101">
        <f t="shared" si="82"/>
        <v>0</v>
      </c>
      <c r="ES49" s="1097">
        <f t="shared" si="83"/>
        <v>0</v>
      </c>
      <c r="ET49" s="1122">
        <f t="shared" si="84"/>
        <v>0</v>
      </c>
      <c r="EV49" s="1395" t="s">
        <v>1949</v>
      </c>
      <c r="EW49" s="1213" t="s">
        <v>13</v>
      </c>
      <c r="EX49" s="1214">
        <v>1.6</v>
      </c>
      <c r="EY49" s="1212"/>
      <c r="EZ49" s="1395" t="s">
        <v>255</v>
      </c>
      <c r="FA49" s="1213" t="s">
        <v>13</v>
      </c>
      <c r="FB49" s="1214">
        <v>1.2</v>
      </c>
      <c r="FC49" s="447"/>
      <c r="FD49" s="447"/>
      <c r="FE49" s="447"/>
      <c r="FF49" s="447"/>
      <c r="FG49" s="447"/>
      <c r="FH49" s="447"/>
      <c r="FI49" s="447"/>
      <c r="FJ49" s="447"/>
    </row>
    <row r="50" spans="2:166" ht="16.5" customHeight="1">
      <c r="B50" s="1123" t="str">
        <f>INDEX('卡片raw data'!B:B,MATCH($D50,'卡片raw data'!$F:$F,))</f>
        <v>啦啦南</v>
      </c>
      <c r="C50" s="449" t="s">
        <v>66</v>
      </c>
      <c r="D50" s="408">
        <v>47</v>
      </c>
      <c r="E50" s="1090">
        <v>101032001</v>
      </c>
      <c r="F50" s="1090" t="str">
        <f>INDEX('卡片raw data'!C:C,MATCH($D50,'卡片raw data'!$F:$F,))</f>
        <v>SR</v>
      </c>
      <c r="G50" s="1094" t="s">
        <v>290</v>
      </c>
      <c r="H50" s="411">
        <f>IFERROR(INDEX(绊状态确认!C:C,MATCH($G50,绊状态确认!$B:$B,)),"")</f>
        <v>103</v>
      </c>
      <c r="I50" s="450" t="str">
        <f>IFERROR(INDEX(绊状态确认!D:D,MATCH($G50,绊状态确认!$B:$B,)),"")</f>
        <v>水</v>
      </c>
      <c r="J50" s="450" t="str">
        <f>IFERROR(INDEX(绊状态确认!E:E,MATCH($G50,绊状态确认!$B:$B,)),"")</f>
        <v>3年级</v>
      </c>
      <c r="K50" s="451" t="str">
        <f>IFERROR(INDEX(绊状态确认!F:F,MATCH($G50,绊状态确认!$B:$B,)),"")</f>
        <v>AZALEA</v>
      </c>
      <c r="L50" s="1094" t="str">
        <f>INDEX('卡片raw data'!E:E,MATCH($D50,'卡片raw data'!$F:$F,))</f>
        <v>卡池卡</v>
      </c>
      <c r="M50" s="415">
        <v>43735</v>
      </c>
      <c r="N50" s="416">
        <v>0</v>
      </c>
      <c r="O50" s="1091" t="str">
        <f>INDEX('卡片raw data'!D:D,MATCH($D50,'卡片raw data'!$F:$F,))</f>
        <v>sp</v>
      </c>
      <c r="P50" s="417">
        <v>5</v>
      </c>
      <c r="Q50" s="1095">
        <f t="shared" si="0"/>
        <v>21607.889442436113</v>
      </c>
      <c r="R50" s="1096">
        <f t="shared" si="1"/>
        <v>0.251</v>
      </c>
      <c r="S50" s="1097">
        <f t="shared" si="2"/>
        <v>14851.831846397727</v>
      </c>
      <c r="T50" s="1098">
        <f t="shared" si="3"/>
        <v>0.74199999999999999</v>
      </c>
      <c r="U50" s="1099">
        <f t="shared" si="4"/>
        <v>14.330485645371427</v>
      </c>
      <c r="V50" s="1100">
        <f t="shared" si="5"/>
        <v>20949.413998049367</v>
      </c>
      <c r="W50" s="1101">
        <f t="shared" si="6"/>
        <v>5965.2812804117139</v>
      </c>
      <c r="X50" s="1096">
        <f t="shared" si="7"/>
        <v>6.9000000000000006E-2</v>
      </c>
      <c r="Y50" s="1097">
        <f t="shared" si="8"/>
        <v>1141.5245556132531</v>
      </c>
      <c r="Z50" s="1102">
        <f t="shared" si="9"/>
        <v>14.330485645371427</v>
      </c>
      <c r="AA50" s="1103">
        <f t="shared" si="10"/>
        <v>7106.805836024967</v>
      </c>
      <c r="AB50" s="1101">
        <f t="shared" si="11"/>
        <v>5965.2812804117139</v>
      </c>
      <c r="AC50" s="1104">
        <f t="shared" si="12"/>
        <v>6.9000000000000006E-2</v>
      </c>
      <c r="AD50" s="1105">
        <f t="shared" si="13"/>
        <v>-1.9908281250000003E-2</v>
      </c>
      <c r="AE50" s="1128">
        <f t="shared" si="14"/>
        <v>48.547749279577666</v>
      </c>
      <c r="AF50" s="1130">
        <f t="shared" si="15"/>
        <v>0</v>
      </c>
      <c r="AG50" s="420">
        <f t="shared" si="16"/>
        <v>0</v>
      </c>
      <c r="AH50" s="420">
        <f t="shared" si="17"/>
        <v>0</v>
      </c>
      <c r="AI50" s="1097">
        <f t="shared" si="18"/>
        <v>0</v>
      </c>
      <c r="AJ50" s="420">
        <f t="shared" si="19"/>
        <v>0</v>
      </c>
      <c r="AK50" s="518">
        <f t="shared" si="20"/>
        <v>0</v>
      </c>
      <c r="AL50" s="1106">
        <f>IF($P50="","N/A",(IF($P50=-1,INDEX('卡片raw data'!S:S,MATCH($D50,'卡片raw data'!$F:$F,)),0)+IF($P50=0,INDEX('卡片raw data'!V:V,MATCH($D50,'卡片raw data'!$F:$F,)),0)+IF($P50=1,INDEX('卡片raw data'!Y:Y,MATCH($D50,'卡片raw data'!$F:$F,)),0)+IF($P50=2,INDEX('卡片raw data'!AB:AB,MATCH($D50,'卡片raw data'!$F:$F,)),0)+IF($P50=3,INDEX('卡片raw data'!AE:AE,MATCH($D50,'卡片raw data'!$F:$F,)),0)+IF($P50=4,INDEX('卡片raw data'!AH:AH,MATCH($D50,'卡片raw data'!$F:$F,)),0)+IF($P50=5,INDEX('卡片raw data'!AK:AK,MATCH($D50,'卡片raw data'!$F:$F,)),0)+INDEX('卡片raw data'!S:S,MATCH($D50,'卡片raw data'!$F:$F,))*(IF($F50="UR",0.04,0.033))*(IF($F50="UR",INDEX(绊状态确认!$S:$S,MATCH($G50,绊状态确认!$B:$B,))/2-40)+IF($F50="SR",INDEX(绊状态确认!$R:$R,MATCH($G50,绊状态确认!$B:$B,))/4-15))+IF($F50="R",INDEX(绊状态确认!$Q:$Q,MATCH($G50,绊状态确认!$B:$B,))/6-40/6)))*(INDEX(绊状态确认!$H:$H,MATCH($G50,绊状态确认!$B:$B,))+INDEX(绊状态确认!J:J,MATCH($G50,绊状态确认!$B:$B,)))</f>
        <v>5671.8178559999997</v>
      </c>
      <c r="AM50" s="1106">
        <f>IF($P50="","N/A",(IF($P50=-1,INDEX('卡片raw data'!T:T,MATCH($D50,'卡片raw data'!$F:$F,)),0)+IF($P50=0,INDEX('卡片raw data'!W:W,MATCH($D50,'卡片raw data'!$F:$F,)),0)+IF($P50=1,INDEX('卡片raw data'!Z:Z,MATCH($D50,'卡片raw data'!$F:$F,)),0)+IF($P50=2,INDEX('卡片raw data'!AC:AC,MATCH($D50,'卡片raw data'!$F:$F,)),0)+IF($P50=3,INDEX('卡片raw data'!AF:AF,MATCH($D50,'卡片raw data'!$F:$F,)),0)+IF($P50=4,INDEX('卡片raw data'!AI:AI,MATCH($D50,'卡片raw data'!$F:$F,)),0)+IF($P50=5,INDEX('卡片raw data'!AL:AL,MATCH($D50,'卡片raw data'!$F:$F,)),0)+INDEX('卡片raw data'!T:T,MATCH($D50,'卡片raw data'!$F:$F,))*(IF($F50="UR",0.04,0.033))*(IF($F50="UR",INDEX(绊状态确认!$S:$S,MATCH($G50,绊状态确认!$B:$B,))/2-40)+IF($F50="SR",INDEX(绊状态确认!$R:$R,MATCH($G50,绊状态确认!$B:$B,))/4-15))+IF($F50="R",INDEX(绊状态确认!$Q:$Q,MATCH($G50,绊状态确认!$B:$B,))/6-40/6)))*(INDEX(绊状态确认!$H:$H,MATCH($G50,绊状态确认!$B:$B,))+INDEX(绊状态确认!K:K,MATCH($G50,绊状态确认!$B:$B,)))</f>
        <v>6617.1208319999996</v>
      </c>
      <c r="AN50" s="1106">
        <f>IF($P50="","N/A",(IF($P50=-1,INDEX('卡片raw data'!U:U,MATCH($D50,'卡片raw data'!$F:$F,)),0)+IF($P50=0,INDEX('卡片raw data'!X:X,MATCH($D50,'卡片raw data'!$F:$F,)),0)+IF($P50=1,INDEX('卡片raw data'!AA:AA,MATCH($D50,'卡片raw data'!$F:$F,)),0)+IF($P50=2,INDEX('卡片raw data'!AD:AD,MATCH($D50,'卡片raw data'!$F:$F,)),0)+IF($P50=3,INDEX('卡片raw data'!AG:AG,MATCH($D50,'卡片raw data'!$F:$F,)),0)+IF($P50=4,INDEX('卡片raw data'!AJ:AJ,MATCH($D50,'卡片raw data'!$F:$F,)),0)+IF($P50=5,INDEX('卡片raw data'!AM:AM,MATCH($D50,'卡片raw data'!$F:$F,)),0)+INDEX('卡片raw data'!U:U,MATCH($D50,'卡片raw data'!$F:$F,))*(IF($F50="UR",0.04,0.033))*(IF($F50="UR",INDEX(绊状态确认!$S:$S,MATCH($G50,绊状态确认!$B:$B,))/2-40)+IF($F50="SR",INDEX(绊状态确认!$R:$R,MATCH($G50,绊状态确认!$B:$B,))/4-15))+IF($F50="R",INDEX(绊状态确认!$Q:$Q,MATCH($G50,绊状态确认!$B:$B,))/6-40/6)))*(INDEX(绊状态确认!$H:$H,MATCH($G50,绊状态确认!$B:$B,))+INDEX(绊状态确认!L:L,MATCH($G50,绊状态确认!$B:$B,)))</f>
        <v>6617.1208319999996</v>
      </c>
      <c r="AO50" s="1107">
        <f t="shared" si="21"/>
        <v>1</v>
      </c>
      <c r="AP50" s="1131">
        <f>1+(INDEX(绊状态确认!$T:$T,MATCH($G50,绊状态确认!$B:$B,))+0.2)*$AO50</f>
        <v>1.3</v>
      </c>
      <c r="AQ50" s="1108">
        <f t="shared" si="22"/>
        <v>18138.521871999998</v>
      </c>
      <c r="AR50" s="1097">
        <f>(AM50*(1+$EX$9)+$EX$35)*(1+(INDEX(绊状态确认!$T:$T,MATCH($G50,绊状态确认!$B:$B,))+0.2)*AO50)*IF(J50=$FF$17,1+$FE$17,1)*IF(I50=$FF$14,1+$FE$14,1)</f>
        <v>11736.369935680001</v>
      </c>
      <c r="AS50" s="1097">
        <f>(AN50*(1+$EX$10)+$EX$36)*(1+(INDEX(绊状态确认!$T:$T,MATCH($G50,绊状态确认!$B:$B,))+0.2)*AO50)*IF(J50=$FF$17,1+$FE$17,1)*IF(I50=$FF$14,1+$FE$14,1)</f>
        <v>13948.595643839999</v>
      </c>
      <c r="AT50" s="1093">
        <f>IF(AND(INDEX('卡片raw data'!AK:AK,MATCH($D50,'卡片raw data'!$F:$F,))&lt;INDEX('卡片raw data'!AM:AM,MATCH($D50,'卡片raw data'!$F:$F,)),INDEX('卡片raw data'!AL:AL,MATCH($D50,'卡片raw data'!$F:$F,))&lt;INDEX('卡片raw data'!AM:AM,MATCH($D50,'卡片raw data'!$F:$F,))),1,0)</f>
        <v>0</v>
      </c>
      <c r="AU50" s="1098">
        <f>MIN(AT50*0.15+AS50*0.00003+INDEX(绊状态确认!M:M,MATCH($G50,绊状态确认!$B:$B,)),1)</f>
        <v>0.44845786931519999</v>
      </c>
      <c r="AV50" s="1109">
        <f>(INDEX(绊状态确认!$N:$N,MATCH($G50,绊状态确认!$B:$B,))+1.5)*$EW$21</f>
        <v>2.6599999999999997</v>
      </c>
      <c r="AW50" s="1101">
        <f t="shared" si="23"/>
        <v>16432.941495357732</v>
      </c>
      <c r="AX50" s="1097">
        <f t="shared" si="24"/>
        <v>1004.3343613999118</v>
      </c>
      <c r="AY50" s="1110">
        <f t="shared" si="25"/>
        <v>17437.275856757646</v>
      </c>
      <c r="AZ50" s="429">
        <f t="shared" si="26"/>
        <v>13660.044819199999</v>
      </c>
      <c r="BA50" s="431">
        <f t="shared" si="27"/>
        <v>16392.053783039999</v>
      </c>
      <c r="BB50" s="1097">
        <f>(AM50*(1+$FB$9)+$FB$35)*(1+(INDEX(绊状态确认!$T:$T,MATCH($G50,绊状态确认!$B:$B,))+0.2)*AO50)*IF(J50=$FF$17,1+$FE$17,1)*IF(I50=$FF$14,1+$FE$14,1)*(1+$FE$15)</f>
        <v>11736.369935680001</v>
      </c>
      <c r="BC50" s="1097">
        <f>(AN50*(1+$FB$10)+$FB$36)*(1+(INDEX(绊状态确认!$T:$T,MATCH($G50,绊状态确认!$B:$B,))+0.2)*AO50)*IF(J50=$FF$17,1+$FE$17,1)*IF(I50=$FF$14,1+$FE$14,1)*(1+$FE$15)</f>
        <v>13948.595643839999</v>
      </c>
      <c r="BD50" s="1104">
        <f>MIN(AT50*0.15+BC50*0.00003+INDEX(绊状态确认!M:M,MATCH($G50,绊状态确认!$B:$B,)),1)</f>
        <v>0.44845786931519999</v>
      </c>
      <c r="BE50" s="432">
        <f>(INDEX(绊状态确认!$N:$N,MATCH($G50,绊状态确认!$B:$B,))+1.5)</f>
        <v>1.9</v>
      </c>
      <c r="BF50" s="1139">
        <f t="array" ref="BF50">SUMPRODUCT(IF(AZ50*AP50*$FI$16:$FI$23*$FA$22&gt;=$FI$24,$FI$24,AZ50*AP50*$FI$16:$FI$23*$FA$22),$FJ$16:$FJ$23)</f>
        <v>27169.829145388805</v>
      </c>
      <c r="BG50" s="1125">
        <f t="array" ref="BG50">SUMPRODUCT(IF(BE50*AZ50*AP50*$FI$16:$FI$23*$FA$22&gt;=$FI$24,$FI$24,BE50*AZ50*AP50*$FI$16:$FI$23*$FA$22),$FJ$16:$FJ$23)</f>
        <v>51138.760415971832</v>
      </c>
      <c r="BH50" s="1110">
        <f t="shared" si="28"/>
        <v>12639.62833091898</v>
      </c>
      <c r="BI50" s="1111">
        <f>IF(O50="vo",$EW$26/$EW$24*0.05,0)+IF(O50="sk",-$EW$26/$EW$24*(0.05-INDEX(绊状态确认!W:W,MATCH($G50,绊状态确认!$B:$B,)))+0.05*$EW$28,0)+IF(O50="sp",0.05*$EW$32*$EW$30*(1-$EW$33)-(0.05-INDEX(绊状态确认!V:V,MATCH($G50,绊状态确认!$B:$B,)))*$EW$28,0)+IF(O50="gd",-(0.05-INDEX(绊状态确认!X:X,MATCH($G50,绊状态确认!$B:$B,)))*$EW$32*$EW$30*(1-$EW$33),0)</f>
        <v>19.999999999999886</v>
      </c>
      <c r="BJ50" s="1097">
        <f>IF(O50="vo",0.05*(1-$FI$26)*$FA$24,0)+IF(O50="sk",-(0.05-INDEX(绊状态确认!W:W,MATCH($G50,绊状态确认!$B:$B,)))*(1-$FI$26)*$FA$24+0.05*$FA$26,0)+IF(O50="sp",0.05*$FA$32*$FA$27*(1-$FA$33)/$FA$30+0.05*$FA$29/$FA$69*$FA$27*(1-$FA$33)-(0.05-INDEX(绊状态确认!V:V,MATCH($G50,绊状态确认!$B:$B,)))*$FA$26,0)+IF(O50="gd",-(0.05-INDEX(绊状态确认!X:X,MATCH($G50,绊状态确认!$B:$B,)))*$FA$32*$FA$27*(1-$FA$33)/$FA$30-(0.05-INDEX(绊状态确认!X:X,MATCH($G50,绊状态确认!$B:$B,)))*$FA$29/$FA$69*$FA$27*(1-$FA$33),0)</f>
        <v>545.83333333333326</v>
      </c>
      <c r="BK50" s="1110">
        <f>IF(O50="vo",$EW$26/$EW$24*0.05+$EW$26*(-HP($EW$62,$EW$65,$EW$64)+HP($EW$62,$EW$65,(1.05-INDEX(绊状态确认!U:U,MATCH($G50,绊状态确认!$B:$B,)))*$EW$64)),0)+IF(O50="sk",-$EW$26/$EW$24*(0.05-INDEX(绊状态确认!W:W,MATCH($G50,绊状态确认!$B:$B,)))+0.05*$EW$29,0)+IF(O50="sp",0.05*$EW$32*$EW$30*(1-$EW$33)-(0.05-INDEX(绊状态确认!V:V,MATCH($G50,绊状态确认!$B:$B,)))*$EW$29,0)+IF(O50="gd",-(0.05-INDEX(绊状态确认!X:X,MATCH($G50,绊状态确认!$B:$B,)))*$EW$32*$EW$30*(1-$EW$33)+$EW$26*(-HP($EW$62,$EW$65,$EW$64)+HP($EW$62,$EW$65,0.95*$EW$64)),0)</f>
        <v>-1780.0000000000005</v>
      </c>
      <c r="BL50" s="1111">
        <f t="shared" si="29"/>
        <v>-1083.3333333333333</v>
      </c>
      <c r="BM50" s="1110">
        <f t="shared" si="30"/>
        <v>-830.55555555555543</v>
      </c>
      <c r="BN50" s="1113">
        <f t="shared" si="31"/>
        <v>3</v>
      </c>
      <c r="BO50" s="1097">
        <f t="shared" si="32"/>
        <v>4507.7214871259994</v>
      </c>
      <c r="BP50" s="1100">
        <f t="shared" si="33"/>
        <v>221.34103209030098</v>
      </c>
      <c r="BQ50" s="1113" t="s">
        <v>618</v>
      </c>
      <c r="BR50" s="1124" t="s">
        <v>168</v>
      </c>
      <c r="BS50" s="1098">
        <f>IF($P50="","N/A",IF($P50=-1,INDEX('卡片raw data'!AX:AX,MATCH($D50,'卡片raw data'!$F:$F,)),0)+IF($L50="party卡",IF($P50=5,INDEX('卡片raw data'!BD:BD,MATCH($D50,'卡片raw data'!$F:$F,)),IF($P50&gt;=3,INDEX('卡片raw data'!BC:BC,MATCH($D50,'卡片raw data'!$F:$F,)),INDEX('卡片raw data'!BB:BB,MATCH($D50,'卡片raw data'!$F:$F,)))),IF(OR(AND($F50="UR",$P50=0),AND($F50="SR",$P50&gt;=0,$P50&lt;=2),AND($F50="R",$P50&gt;=0,$P50&lt;4)),INDEX('卡片raw data'!AZ:AZ,MATCH($D50,'卡片raw data'!$F:$F,)),0)+IF(OR(AND($F50="UR",$P50&gt;=1,$P50&lt;=4),AND($F50="SR",$P50&lt;=4,$P50&gt;=3),AND($F50="R",$P50=4)),INDEX('卡片raw data'!BA:BA,MATCH($D50,'卡片raw data'!$F:$F,)),0)+IF($P50=5,INDEX('卡片raw data'!BB:BB,MATCH($D50,'卡片raw data'!$F:$F,)),0)))</f>
        <v>0.05</v>
      </c>
      <c r="BT50" s="1101">
        <f t="shared" si="34"/>
        <v>0</v>
      </c>
      <c r="BU50" s="1097">
        <f t="shared" si="35"/>
        <v>0</v>
      </c>
      <c r="BV50" s="1097">
        <f t="shared" si="36"/>
        <v>0</v>
      </c>
      <c r="BW50" s="1112">
        <f t="shared" si="37"/>
        <v>1.7558035714285711</v>
      </c>
      <c r="BX50" s="1100">
        <f t="shared" si="38"/>
        <v>137.19019421334193</v>
      </c>
      <c r="BY50" s="1110">
        <f t="shared" si="39"/>
        <v>137.19019421334193</v>
      </c>
      <c r="BZ50" s="1107" t="s">
        <v>569</v>
      </c>
      <c r="CA50" s="1124"/>
      <c r="CB50" s="1098">
        <f>IF($P50="","N/A",IF($P50=-1,INDEX('卡片raw data'!BE:BE,MATCH($D50,'卡片raw data'!$F:$F,)),0)+IF($L50="party卡",IF($P50=5,INDEX('卡片raw data'!BK:BK,MATCH($D50,'卡片raw data'!$F:$F,)),IF($P50&gt;=3,INDEX('卡片raw data'!BJ:BJ,MATCH($D50,'卡片raw data'!$F:$F,)),INDEX('卡片raw data'!BI:BI,MATCH($D50,'卡片raw data'!$F:$F,)))),IF(OR(AND($F50="UR",$P50=0),AND($F50="SR",$P50&gt;=0,$P50&lt;=2),AND($F50="R",$P50&gt;=0,$P50&lt;4)),INDEX('卡片raw data'!BG:BG,MATCH($D50,'卡片raw data'!$F:$F,)),0)+IF(OR(AND($F50="UR",$P50&gt;=1,$P50&lt;=4),AND($F50="SR",$P50&lt;=4,$P50&gt;=3),AND($F50="R",$P50=4)),INDEX('卡片raw data'!BH:BH,MATCH($D50,'卡片raw data'!$F:$F,)),0)+IF($P50=5,INDEX('卡片raw data'!BI:BI,MATCH($D50,'卡片raw data'!$F:$F,)),0)))</f>
        <v>0</v>
      </c>
      <c r="CC50" s="1101">
        <f t="shared" si="40"/>
        <v>0</v>
      </c>
      <c r="CD50" s="1097">
        <f>IF(BZ50="ap",CB50*(1-$FI$26)*$FB$5/$FB$11*(+IF(CA50="全员",$FA$24,0)+IF(CA50="同作战",$FA$24,0)+IF(CA50="仲间",$FA$24*2/3,0)+IF(CA50="同属性",$FA$24*$FA$37/3,0)+IF(CA50="同年级",$FA$24*$FA$40/3,0)+IF(CA50="同学校",$FA$24*$FA$43/3,0)+IF(CA50="同小队",$FA$24*$FA$46/3,0)+IF(CA50="同type",$FA$24*INDEX($FB$49:$FB$52,MATCH(X50,$FA$49:$FA$52,))/3,0)+IF(CA50="自身",#REF!/3,0)),0)+IF(BZ50="te",CB50*(1-$FI$27)*($FA$20-1)*$FB$7/$FB$13*(+IF(CA50="全员",$FA$19*$FA$24/(1+($FA$20-1)*$FA$19),0)+IF(CA50="同作战",$FA$19*$FA$24/(1+($FA$20-1)*$FA$19),0)+IF(CA50="仲间",$FA$19*$FA$24*2/3/(1+($FA$20-1)*$FA$19),0)+IF(CA50="同属性",$FA$19*$FA$24*$FA$37/3/(1+($FA$20-1)*$FA$19),0)+IF(CA50="同年级",$FA$19*$FA$24*$FA$40/3/(1+($FA$20-1)*$FA$19),0)+IF(CA50="同学校",$FA$19*$FA$24*$FA$43/3/(1+($FA$20-1)*$FA$19),0)+IF(CA50="同小队",$FA$19*$FA$24*$FA$46/3/(1+($FA$20-1)*$FA$19),0)+IF(CA50="同type",$FA$19*$FA$24*INDEX($FB$49:$FB$52,MATCH(X50,$FA$49:$FA$52,))/3/(1+($FA$20-1)*$FA$19),0)+IF(CA50="自身",$FA$19*#REF!/3/(1+(BH50-1)*$BD50),0)),0)</f>
        <v>0</v>
      </c>
      <c r="CE50" s="1097">
        <f t="shared" si="41"/>
        <v>0</v>
      </c>
      <c r="CF50" s="1112">
        <f t="shared" si="42"/>
        <v>0</v>
      </c>
      <c r="CG50" s="1100">
        <f t="shared" si="43"/>
        <v>0</v>
      </c>
      <c r="CH50" s="1110">
        <f t="shared" si="44"/>
        <v>0</v>
      </c>
      <c r="CI50" s="1113" t="s">
        <v>160</v>
      </c>
      <c r="CJ50" s="1114">
        <v>0.3</v>
      </c>
      <c r="CK50" s="1115" t="s">
        <v>549</v>
      </c>
      <c r="CL50" s="1115" t="s">
        <v>1940</v>
      </c>
      <c r="CM50" s="1119">
        <v>0.08</v>
      </c>
      <c r="CN50" s="1115"/>
      <c r="CO50" s="1092"/>
      <c r="CP50" s="1116">
        <f t="shared" si="45"/>
        <v>23.320956692571428</v>
      </c>
      <c r="CQ50" s="1116">
        <f t="shared" si="46"/>
        <v>50.268964934655997</v>
      </c>
      <c r="CR50" s="1116">
        <f t="shared" si="47"/>
        <v>23.320956692571428</v>
      </c>
      <c r="CS50" s="1118">
        <f t="shared" si="48"/>
        <v>0</v>
      </c>
      <c r="CT50" s="1109">
        <f t="shared" si="49"/>
        <v>45.709075117439987</v>
      </c>
      <c r="CU50" s="1101">
        <f t="shared" si="50"/>
        <v>1457.5597932857142</v>
      </c>
      <c r="CV50" s="1108">
        <f t="shared" si="51"/>
        <v>2094.5402056106664</v>
      </c>
      <c r="CW50" s="1097">
        <f t="shared" si="52"/>
        <v>1457.5597932857142</v>
      </c>
      <c r="CX50" s="1097">
        <f t="shared" si="53"/>
        <v>1457.5597932857142</v>
      </c>
      <c r="CY50" s="1110">
        <f t="shared" si="54"/>
        <v>1457.5597932857142</v>
      </c>
      <c r="CZ50" s="437"/>
      <c r="DA50" s="438"/>
      <c r="DB50" s="439" t="s">
        <v>569</v>
      </c>
      <c r="DC50" s="439"/>
      <c r="DD50" s="443"/>
      <c r="DE50" s="411"/>
      <c r="DF50" s="411"/>
      <c r="DG50" s="1116">
        <f t="shared" si="55"/>
        <v>0</v>
      </c>
      <c r="DH50" s="1116">
        <f t="shared" si="56"/>
        <v>0</v>
      </c>
      <c r="DI50" s="1116">
        <f t="shared" si="57"/>
        <v>0</v>
      </c>
      <c r="DJ50" s="442">
        <f t="shared" si="58"/>
        <v>0</v>
      </c>
      <c r="DK50" s="1109">
        <f t="shared" si="59"/>
        <v>0</v>
      </c>
      <c r="DL50" s="1101">
        <f t="shared" si="60"/>
        <v>0</v>
      </c>
      <c r="DM50" s="1097">
        <f t="shared" si="61"/>
        <v>0</v>
      </c>
      <c r="DN50" s="1097">
        <f t="shared" si="62"/>
        <v>0</v>
      </c>
      <c r="DO50" s="1097">
        <f t="shared" si="63"/>
        <v>0</v>
      </c>
      <c r="DP50" s="1110">
        <f t="shared" si="64"/>
        <v>0</v>
      </c>
      <c r="DQ50" s="1113" t="s">
        <v>547</v>
      </c>
      <c r="DR50" s="1120">
        <f t="shared" si="65"/>
        <v>0.3</v>
      </c>
      <c r="DS50" s="1124">
        <v>5</v>
      </c>
      <c r="DT50" s="1093" t="s">
        <v>161</v>
      </c>
      <c r="DU50" s="1093" t="s">
        <v>544</v>
      </c>
      <c r="DV50" s="1098">
        <f>IF($P50="","N/A",IF(P50=-1,INDEX('卡片raw data'!AN:AN,MATCH(D50,'卡片raw data'!$F:$F,)),0)+IF(AND(L50&lt;&gt;"party卡",P50&lt;=2,P50&gt;=0),INDEX('卡片raw data'!AP:AP,MATCH(D50,'卡片raw data'!$F:$F,)),0)+IF(OR(AND(L50="party卡",P50&lt;=1),AND(P50&lt;=4,L50&lt;&gt;"party卡",P50&gt;=3)),INDEX('卡片raw data'!AQ:AQ,MATCH(D50,'卡片raw data'!$F:$F,)),0)+IF(OR(P50=5,AND(L50="party卡",P50&gt;=2)),INDEX('卡片raw data'!AR:AR,MATCH(D50,'卡片raw data'!$F:$F,)),0))</f>
        <v>4.2000000000000003E-2</v>
      </c>
      <c r="DW50" s="1098">
        <f t="shared" si="66"/>
        <v>0.3</v>
      </c>
      <c r="DX50" s="1098">
        <f t="shared" si="67"/>
        <v>0.3</v>
      </c>
      <c r="DY50" s="1098">
        <f t="shared" si="68"/>
        <v>2.0999999999999998E-2</v>
      </c>
      <c r="DZ50" s="1098">
        <f t="shared" si="69"/>
        <v>1.8164999999999997E-2</v>
      </c>
      <c r="EA50" s="1098">
        <f t="shared" si="70"/>
        <v>0</v>
      </c>
      <c r="EB50" s="1121">
        <f t="shared" si="71"/>
        <v>4.1901234374999996</v>
      </c>
      <c r="EC50" s="1101">
        <f t="shared" si="72"/>
        <v>272.99999999999994</v>
      </c>
      <c r="ED50" s="1097">
        <f t="shared" si="73"/>
        <v>181.04449999999994</v>
      </c>
      <c r="EE50" s="1110">
        <f t="shared" si="74"/>
        <v>272.99999999999994</v>
      </c>
      <c r="EF50" s="1092" t="s">
        <v>711</v>
      </c>
      <c r="EG50" s="1120">
        <f t="shared" si="75"/>
        <v>0.3</v>
      </c>
      <c r="EH50" s="1124"/>
      <c r="EI50" s="1093"/>
      <c r="EJ50" s="1093"/>
      <c r="EK50" s="1097">
        <f>IF($P50="","N/A",IF(P50=-1,INDEX('卡片raw data'!AS:AS,MATCH(D50,'卡片raw data'!$F:$F,)),0)+IF(AND(L50&lt;&gt;"party卡",P50&lt;=2,P50&gt;=0),INDEX('卡片raw data'!AU:AU,MATCH(D50,'卡片raw data'!$F:$F,)),0)+IF(OR(AND(L50="party卡",P50&lt;=1),AND(P50&lt;=4,L50&lt;&gt;"party卡",P50&gt;=3)),INDEX('卡片raw data'!AV:AV,MATCH(D50,'卡片raw data'!$F:$F,)),0)+IF(OR(P50=5,AND(L50="party卡",P50&gt;=2)),INDEX('卡片raw data'!AW:AW,MATCH(D50,'卡片raw data'!$F:$F,)),0))</f>
        <v>0</v>
      </c>
      <c r="EL50" s="1098">
        <f t="shared" si="76"/>
        <v>0.3</v>
      </c>
      <c r="EM50" s="1098">
        <f t="shared" si="77"/>
        <v>0.3</v>
      </c>
      <c r="EN50" s="1125">
        <f t="shared" si="78"/>
        <v>0</v>
      </c>
      <c r="EO50" s="1125">
        <f t="shared" si="79"/>
        <v>0</v>
      </c>
      <c r="EP50" s="1098">
        <f t="shared" si="80"/>
        <v>0</v>
      </c>
      <c r="EQ50" s="1121">
        <f t="shared" si="81"/>
        <v>0</v>
      </c>
      <c r="ER50" s="1101">
        <f t="shared" si="82"/>
        <v>0</v>
      </c>
      <c r="ES50" s="1097">
        <f t="shared" si="83"/>
        <v>0</v>
      </c>
      <c r="ET50" s="1122">
        <f t="shared" si="84"/>
        <v>0</v>
      </c>
      <c r="EV50" s="1394"/>
      <c r="EW50" s="1215" t="s">
        <v>14</v>
      </c>
      <c r="EX50" s="1216">
        <v>1.6</v>
      </c>
      <c r="EY50" s="1212"/>
      <c r="EZ50" s="1394"/>
      <c r="FA50" s="1215" t="s">
        <v>14</v>
      </c>
      <c r="FB50" s="1216">
        <v>2.4</v>
      </c>
      <c r="FC50" s="447"/>
      <c r="FD50" s="447"/>
      <c r="FE50" s="447"/>
      <c r="FF50" s="447"/>
      <c r="FG50" s="447"/>
      <c r="FH50" s="447"/>
      <c r="FI50" s="447"/>
      <c r="FJ50" s="447"/>
    </row>
    <row r="51" spans="2:166" ht="16.5" customHeight="1">
      <c r="B51" s="1123" t="str">
        <f>INDEX('卡片raw data'!B:B,MATCH($D51,'卡片raw data'!$F:$F,))</f>
        <v>初始南</v>
      </c>
      <c r="C51" s="449" t="s">
        <v>69</v>
      </c>
      <c r="D51" s="408">
        <v>48</v>
      </c>
      <c r="E51" s="1090">
        <v>101033001</v>
      </c>
      <c r="F51" s="1090" t="str">
        <f>INDEX('卡片raw data'!C:C,MATCH($D51,'卡片raw data'!$F:$F,))</f>
        <v>UR</v>
      </c>
      <c r="G51" s="1094" t="s">
        <v>35</v>
      </c>
      <c r="H51" s="411">
        <f>IFERROR(INDEX(绊状态确认!C:C,MATCH($G51,绊状态确认!$B:$B,)),"")</f>
        <v>103</v>
      </c>
      <c r="I51" s="450" t="str">
        <f>IFERROR(INDEX(绊状态确认!D:D,MATCH($G51,绊状态确认!$B:$B,)),"")</f>
        <v>水</v>
      </c>
      <c r="J51" s="450" t="str">
        <f>IFERROR(INDEX(绊状态确认!E:E,MATCH($G51,绊状态确认!$B:$B,)),"")</f>
        <v>3年级</v>
      </c>
      <c r="K51" s="451" t="str">
        <f>IFERROR(INDEX(绊状态确认!F:F,MATCH($G51,绊状态确认!$B:$B,)),"")</f>
        <v>AZALEA</v>
      </c>
      <c r="L51" s="1094" t="str">
        <f>INDEX('卡片raw data'!E:E,MATCH($D51,'卡片raw data'!$F:$F,))</f>
        <v>卡池卡</v>
      </c>
      <c r="M51" s="415">
        <v>43735</v>
      </c>
      <c r="N51" s="416">
        <v>0</v>
      </c>
      <c r="O51" s="1091" t="str">
        <f>INDEX('卡片raw data'!D:D,MATCH($D51,'卡片raw data'!$F:$F,))</f>
        <v>vo</v>
      </c>
      <c r="P51" s="417">
        <v>5</v>
      </c>
      <c r="Q51" s="1095">
        <f t="shared" si="0"/>
        <v>68104.987599823624</v>
      </c>
      <c r="R51" s="1096">
        <f t="shared" si="1"/>
        <v>0.79100000000000004</v>
      </c>
      <c r="S51" s="1097">
        <f t="shared" si="2"/>
        <v>20735.966835186166</v>
      </c>
      <c r="T51" s="1098">
        <f t="shared" si="3"/>
        <v>1.036</v>
      </c>
      <c r="U51" s="1099">
        <f t="shared" si="4"/>
        <v>-13.114842262857142</v>
      </c>
      <c r="V51" s="1100">
        <f t="shared" si="5"/>
        <v>67748.240549675611</v>
      </c>
      <c r="W51" s="1101">
        <f t="shared" si="6"/>
        <v>11491.221857140206</v>
      </c>
      <c r="X51" s="1096">
        <f t="shared" si="7"/>
        <v>0.13300000000000001</v>
      </c>
      <c r="Y51" s="1097">
        <f t="shared" si="8"/>
        <v>947.92140009368632</v>
      </c>
      <c r="Z51" s="1102">
        <f t="shared" si="9"/>
        <v>11.885157737142858</v>
      </c>
      <c r="AA51" s="1103">
        <f t="shared" si="10"/>
        <v>12439.143257233893</v>
      </c>
      <c r="AB51" s="1101">
        <f t="shared" si="11"/>
        <v>11491.221857140205</v>
      </c>
      <c r="AC51" s="1104">
        <f t="shared" si="12"/>
        <v>0.13300000000000001</v>
      </c>
      <c r="AD51" s="1105">
        <f t="shared" si="13"/>
        <v>0</v>
      </c>
      <c r="AE51" s="1128">
        <f t="shared" si="14"/>
        <v>0</v>
      </c>
      <c r="AF51" s="1130">
        <f t="shared" si="15"/>
        <v>0</v>
      </c>
      <c r="AG51" s="420">
        <f t="shared" si="16"/>
        <v>0</v>
      </c>
      <c r="AH51" s="420">
        <f t="shared" si="17"/>
        <v>0</v>
      </c>
      <c r="AI51" s="1097">
        <f t="shared" si="18"/>
        <v>0</v>
      </c>
      <c r="AJ51" s="420">
        <f t="shared" si="19"/>
        <v>0</v>
      </c>
      <c r="AK51" s="518">
        <f t="shared" si="20"/>
        <v>0</v>
      </c>
      <c r="AL51" s="1106">
        <f>IF($P51="","N/A",(IF($P51=-1,INDEX('卡片raw data'!S:S,MATCH($D51,'卡片raw data'!$F:$F,)),0)+IF($P51=0,INDEX('卡片raw data'!V:V,MATCH($D51,'卡片raw data'!$F:$F,)),0)+IF($P51=1,INDEX('卡片raw data'!Y:Y,MATCH($D51,'卡片raw data'!$F:$F,)),0)+IF($P51=2,INDEX('卡片raw data'!AB:AB,MATCH($D51,'卡片raw data'!$F:$F,)),0)+IF($P51=3,INDEX('卡片raw data'!AE:AE,MATCH($D51,'卡片raw data'!$F:$F,)),0)+IF($P51=4,INDEX('卡片raw data'!AH:AH,MATCH($D51,'卡片raw data'!$F:$F,)),0)+IF($P51=5,INDEX('卡片raw data'!AK:AK,MATCH($D51,'卡片raw data'!$F:$F,)),0)+INDEX('卡片raw data'!S:S,MATCH($D51,'卡片raw data'!$F:$F,))*(IF($F51="UR",0.04,0.033))*(IF($F51="UR",INDEX(绊状态确认!$S:$S,MATCH($G51,绊状态确认!$B:$B,))/2-40)+IF($F51="SR",INDEX(绊状态确认!$R:$R,MATCH($G51,绊状态确认!$B:$B,))/4-15))+IF($F51="R",INDEX(绊状态确认!$Q:$Q,MATCH($G51,绊状态确认!$B:$B,))/6-40/6)))*(INDEX(绊状态确认!$H:$H,MATCH($G51,绊状态确认!$B:$B,))+INDEX(绊状态确认!J:J,MATCH($G51,绊状态确认!$B:$B,)))</f>
        <v>13827.715199999999</v>
      </c>
      <c r="AM51" s="1106">
        <f>IF($P51="","N/A",(IF($P51=-1,INDEX('卡片raw data'!T:T,MATCH($D51,'卡片raw data'!$F:$F,)),0)+IF($P51=0,INDEX('卡片raw data'!W:W,MATCH($D51,'卡片raw data'!$F:$F,)),0)+IF($P51=1,INDEX('卡片raw data'!Z:Z,MATCH($D51,'卡片raw data'!$F:$F,)),0)+IF($P51=2,INDEX('卡片raw data'!AC:AC,MATCH($D51,'卡片raw data'!$F:$F,)),0)+IF($P51=3,INDEX('卡片raw data'!AF:AF,MATCH($D51,'卡片raw data'!$F:$F,)),0)+IF($P51=4,INDEX('卡片raw data'!AI:AI,MATCH($D51,'卡片raw data'!$F:$F,)),0)+IF($P51=5,INDEX('卡片raw data'!AL:AL,MATCH($D51,'卡片raw data'!$F:$F,)),0)+INDEX('卡片raw data'!T:T,MATCH($D51,'卡片raw data'!$F:$F,))*(IF($F51="UR",0.04,0.033))*(IF($F51="UR",INDEX(绊状态确认!$S:$S,MATCH($G51,绊状态确认!$B:$B,))/2-40)+IF($F51="SR",INDEX(绊状态确认!$R:$R,MATCH($G51,绊状态确认!$B:$B,))/4-15))+IF($F51="R",INDEX(绊状态确认!$Q:$Q,MATCH($G51,绊状态确认!$B:$B,))/6-40/6)))*(INDEX(绊状态确认!$H:$H,MATCH($G51,绊状态确认!$B:$B,))+INDEX(绊状态确认!K:K,MATCH($G51,绊状态确认!$B:$B,)))</f>
        <v>6145.6511999999993</v>
      </c>
      <c r="AN51" s="1106">
        <f>IF($P51="","N/A",(IF($P51=-1,INDEX('卡片raw data'!U:U,MATCH($D51,'卡片raw data'!$F:$F,)),0)+IF($P51=0,INDEX('卡片raw data'!X:X,MATCH($D51,'卡片raw data'!$F:$F,)),0)+IF($P51=1,INDEX('卡片raw data'!AA:AA,MATCH($D51,'卡片raw data'!$F:$F,)),0)+IF($P51=2,INDEX('卡片raw data'!AD:AD,MATCH($D51,'卡片raw data'!$F:$F,)),0)+IF($P51=3,INDEX('卡片raw data'!AG:AG,MATCH($D51,'卡片raw data'!$F:$F,)),0)+IF($P51=4,INDEX('卡片raw data'!AJ:AJ,MATCH($D51,'卡片raw data'!$F:$F,)),0)+IF($P51=5,INDEX('卡片raw data'!AM:AM,MATCH($D51,'卡片raw data'!$F:$F,)),0)+INDEX('卡片raw data'!U:U,MATCH($D51,'卡片raw data'!$F:$F,))*(IF($F51="UR",0.04,0.033))*(IF($F51="UR",INDEX(绊状态确认!$S:$S,MATCH($G51,绊状态确认!$B:$B,))/2-40)+IF($F51="SR",INDEX(绊状态确认!$R:$R,MATCH($G51,绊状态确认!$B:$B,))/4-15))+IF($F51="R",INDEX(绊状态确认!$Q:$Q,MATCH($G51,绊状态确认!$B:$B,))/6-40/6)))*(INDEX(绊状态确认!$H:$H,MATCH($G51,绊状态确认!$B:$B,))+INDEX(绊状态确认!L:L,MATCH($G51,绊状态确认!$B:$B,)))</f>
        <v>10754.889599999999</v>
      </c>
      <c r="AO51" s="1107">
        <f t="shared" si="21"/>
        <v>1</v>
      </c>
      <c r="AP51" s="1131">
        <f>1+(INDEX(绊状态确认!$T:$T,MATCH($G51,绊状态确认!$B:$B,))+0.2)*$AO51</f>
        <v>1.3</v>
      </c>
      <c r="AQ51" s="1108">
        <f t="shared" si="22"/>
        <v>39547.752399999998</v>
      </c>
      <c r="AR51" s="1097">
        <f>(AM51*(1+$EX$9)+$EX$35)*(1+(INDEX(绊状态确认!$T:$T,MATCH($G51,绊状态确认!$B:$B,))+0.2)*AO51)*IF(J51=$FF$17,1+$FE$17,1)*IF(I51=$FF$14,1+$FE$14,1)*(1+$FE$15)</f>
        <v>11092.813888000001</v>
      </c>
      <c r="AS51" s="1097">
        <f>(AN51*(1+$EX$10)+$EX$36)*(1+(INDEX(绊状态确认!$T:$T,MATCH($G51,绊状态确认!$B:$B,))+0.2)*AO51)*IF(J51=$FF$17,1+$FE$17,1)*IF(I51=$FF$14,1+$FE$14,1)*(1+$FE$15)</f>
        <v>20134.559951999996</v>
      </c>
      <c r="AT51" s="1093">
        <f>IF(AND(INDEX('卡片raw data'!AK:AK,MATCH($D51,'卡片raw data'!$F:$F,))&lt;INDEX('卡片raw data'!AM:AM,MATCH($D51,'卡片raw data'!$F:$F,)),INDEX('卡片raw data'!AL:AL,MATCH($D51,'卡片raw data'!$F:$F,))&lt;INDEX('卡片raw data'!AM:AM,MATCH($D51,'卡片raw data'!$F:$F,))),1,0)</f>
        <v>0</v>
      </c>
      <c r="AU51" s="1098">
        <f>MIN(AT51*0.15+AS51*0.00003+INDEX(绊状态确认!M:M,MATCH($G51,绊状态确认!$B:$B,)),1)</f>
        <v>0.63403679855999995</v>
      </c>
      <c r="AV51" s="1109">
        <f>(INDEX(绊状态确认!$N:$N,MATCH($G51,绊状态确认!$B:$B,))+1.5)*$EW$21</f>
        <v>2.6599999999999997</v>
      </c>
      <c r="AW51" s="1101">
        <f t="shared" si="23"/>
        <v>42156.307704288149</v>
      </c>
      <c r="AX51" s="1097">
        <f t="shared" si="24"/>
        <v>947.921400093687</v>
      </c>
      <c r="AY51" s="1110">
        <f t="shared" si="25"/>
        <v>43104.229104381833</v>
      </c>
      <c r="AZ51" s="429">
        <f t="shared" si="26"/>
        <v>29564.044639999996</v>
      </c>
      <c r="BA51" s="431">
        <f t="shared" si="27"/>
        <v>35476.853567999991</v>
      </c>
      <c r="BB51" s="1097">
        <f>(AM51*(1+$FB$9)+$FB$35)*(1+(INDEX(绊状态确认!$T:$T,MATCH($G51,绊状态确认!$B:$B,))+0.2)*AO51)*IF(J51=$FF$17,1+$FE$17,1)*IF(I51=$FF$14,1+$FE$14,1)*(1+$FE$15)</f>
        <v>11092.813888000001</v>
      </c>
      <c r="BC51" s="1097">
        <f>(AN51*(1+$FB$10)+$FB$36)*(1+(INDEX(绊状态确认!$T:$T,MATCH($G51,绊状态确认!$B:$B,))+0.2)*AO51)*IF(J51=$FF$17,1+$FE$17,1)*IF(I51=$FF$14,1+$FE$14,1)*(1+$FE$15)</f>
        <v>20134.559951999996</v>
      </c>
      <c r="BD51" s="1104">
        <f>MIN(AT51*0.15+BC51*0.00003+INDEX(绊状态确认!M:M,MATCH($G51,绊状态确认!$B:$B,)),1)</f>
        <v>0.63403679855999995</v>
      </c>
      <c r="BE51" s="432">
        <f>(INDEX(绊状态确认!$N:$N,MATCH($G51,绊状态确认!$B:$B,))+1.5)</f>
        <v>1.9</v>
      </c>
      <c r="BF51" s="1139">
        <f t="array" ref="BF51">SUMPRODUCT(IF(AZ51*AP51*$FI$16:$FI$23*$FA$22&gt;=$FI$24,$FI$24,AZ51*AP51*$FI$16:$FI$23*$FA$22),$FJ$16:$FJ$23)</f>
        <v>55899.604166559999</v>
      </c>
      <c r="BG51" s="1125">
        <f t="array" ref="BG51">SUMPRODUCT(IF(BE51*AZ51*AP51*$FI$16:$FI$23*$FA$22&gt;=$FI$24,$FI$24,BE51*AZ51*AP51*$FI$16:$FI$23*$FA$22),$FJ$16:$FJ$23)</f>
        <v>60000</v>
      </c>
      <c r="BH51" s="1110">
        <f t="shared" si="28"/>
        <v>19499.802004541019</v>
      </c>
      <c r="BI51" s="1111">
        <f>IF(O51="vo",$EW$26/$EW$24*0.05,0)+IF(O51="sk",-$EW$26/$EW$24*(0.05-INDEX(绊状态确认!W:W,MATCH($G51,绊状态确认!$B:$B,)))+0.05*$EW$28,0)+IF(O51="sp",0.05*$EW$32*$EW$30*(1-$EW$33)-(0.05-INDEX(绊状态确认!V:V,MATCH($G51,绊状态确认!$B:$B,)))*$EW$28,0)+IF(O51="gd",-(0.05-INDEX(绊状态确认!X:X,MATCH($G51,绊状态确认!$B:$B,)))*$EW$32*$EW$30*(1-$EW$33),0)</f>
        <v>7726.3029277443748</v>
      </c>
      <c r="BJ51" s="1097">
        <f>IF(O51="vo",0.05*(1-$FI$26)*$FA$24,0)+IF(O51="sk",-(0.05-INDEX(绊状态确认!W:W,MATCH($G51,绊状态确认!$B:$B,)))*(1-$FI$26)*$FA$24+0.05*$FA$26,0)+IF(O51="sp",0.05*$FA$32*$FA$27*(1-$FA$33)/$FA$30+0.05*$FA$29/$FA$69*$FA$27*(1-$FA$33)-(0.05-INDEX(绊状态确认!V:V,MATCH($G51,绊状态确认!$B:$B,)))*$FA$26,0)+IF(O51="gd",-(0.05-INDEX(绊状态确认!X:X,MATCH($G51,绊状态确认!$B:$B,)))*$FA$32*$FA$27*(1-$FA$33)/$FA$30-(0.05-INDEX(绊状态确认!X:X,MATCH($G51,绊状态确认!$B:$B,)))*$FA$29/$FA$69*$FA$27*(1-$FA$33),0)</f>
        <v>393.93433687500004</v>
      </c>
      <c r="BK51" s="1110">
        <f>IF(O51="vo",$EW$26/$EW$24*0.05+$EW$26*(-HP($EW$62,$EW$65,$EW$64)+HP($EW$62,$EW$65,(1.05-INDEX(绊状态确认!U:U,MATCH($G51,绊状态确认!$B:$B,)))*$EW$64)),0)+IF(O51="sk",-$EW$26/$EW$24*(0.05-INDEX(绊状态确认!W:W,MATCH($G51,绊状态确认!$B:$B,)))+0.05*$EW$29,0)+IF(O51="sp",0.05*$EW$32*$EW$30*(1-$EW$33)-(0.05-INDEX(绊状态确认!V:V,MATCH($G51,绊状态确认!$B:$B,)))*$EW$29,0)+IF(O51="gd",-(0.05-INDEX(绊状态确认!X:X,MATCH($G51,绊状态确认!$B:$B,)))*$EW$32*$EW$30*(1-$EW$33)+$EW$26*(-HP($EW$62,$EW$65,$EW$64)+HP($EW$62,$EW$65,0.95*$EW$64)),0)</f>
        <v>6421.6344775026746</v>
      </c>
      <c r="BL51" s="1111">
        <f t="shared" si="29"/>
        <v>0</v>
      </c>
      <c r="BM51" s="1110">
        <f t="shared" si="30"/>
        <v>0</v>
      </c>
      <c r="BN51" s="1113">
        <f t="shared" si="31"/>
        <v>3</v>
      </c>
      <c r="BO51" s="1097">
        <f t="shared" si="32"/>
        <v>4507.7214871259994</v>
      </c>
      <c r="BP51" s="1100">
        <f t="shared" si="33"/>
        <v>221.34103209030098</v>
      </c>
      <c r="BQ51" s="1113" t="s">
        <v>143</v>
      </c>
      <c r="BR51" s="1124" t="s">
        <v>147</v>
      </c>
      <c r="BS51" s="1098">
        <f>IF($P51="","N/A",IF($P51=-1,INDEX('卡片raw data'!AX:AX,MATCH($D51,'卡片raw data'!$F:$F,)),0)+IF($L51="party卡",IF($P51=5,INDEX('卡片raw data'!BD:BD,MATCH($D51,'卡片raw data'!$F:$F,)),IF($P51&gt;=3,INDEX('卡片raw data'!BC:BC,MATCH($D51,'卡片raw data'!$F:$F,)),INDEX('卡片raw data'!BB:BB,MATCH($D51,'卡片raw data'!$F:$F,)))),IF(OR(AND($F51="UR",$P51=0),AND($F51="SR",$P51&gt;=0,$P51&lt;=2),AND($F51="R",$P51&gt;=0,$P51&lt;4)),INDEX('卡片raw data'!AZ:AZ,MATCH($D51,'卡片raw data'!$F:$F,)),0)+IF(OR(AND($F51="UR",$P51&gt;=1,$P51&lt;=4),AND($F51="SR",$P51&lt;=4,$P51&gt;=3),AND($F51="R",$P51=4)),INDEX('卡片raw data'!BA:BA,MATCH($D51,'卡片raw data'!$F:$F,)),0)+IF($P51=5,INDEX('卡片raw data'!BB:BB,MATCH($D51,'卡片raw data'!$F:$F,)),0)))</f>
        <v>4.2000000000000003E-2</v>
      </c>
      <c r="BT51" s="1101">
        <f t="shared" si="34"/>
        <v>3155.4050409881997</v>
      </c>
      <c r="BU51" s="1097">
        <f t="shared" si="35"/>
        <v>154.93872246321072</v>
      </c>
      <c r="BV51" s="1097">
        <f t="shared" si="36"/>
        <v>3155.4050409882002</v>
      </c>
      <c r="BW51" s="1112">
        <f t="shared" si="37"/>
        <v>0</v>
      </c>
      <c r="BX51" s="1100">
        <f t="shared" si="38"/>
        <v>3155.4050409881997</v>
      </c>
      <c r="BY51" s="1110">
        <f t="shared" si="39"/>
        <v>3155.4050409882002</v>
      </c>
      <c r="BZ51" s="1107" t="s">
        <v>569</v>
      </c>
      <c r="CA51" s="1124"/>
      <c r="CB51" s="1098">
        <f>IF($P51="","N/A",IF($P51=-1,INDEX('卡片raw data'!BE:BE,MATCH($D51,'卡片raw data'!$F:$F,)),0)+IF($L51="party卡",IF($P51=5,INDEX('卡片raw data'!BK:BK,MATCH($D51,'卡片raw data'!$F:$F,)),IF($P51&gt;=3,INDEX('卡片raw data'!BJ:BJ,MATCH($D51,'卡片raw data'!$F:$F,)),INDEX('卡片raw data'!BI:BI,MATCH($D51,'卡片raw data'!$F:$F,)))),IF(OR(AND($F51="UR",$P51=0),AND($F51="SR",$P51&gt;=0,$P51&lt;=2),AND($F51="R",$P51&gt;=0,$P51&lt;4)),INDEX('卡片raw data'!BG:BG,MATCH($D51,'卡片raw data'!$F:$F,)),0)+IF(OR(AND($F51="UR",$P51&gt;=1,$P51&lt;=4),AND($F51="SR",$P51&lt;=4,$P51&gt;=3),AND($F51="R",$P51=4)),INDEX('卡片raw data'!BH:BH,MATCH($D51,'卡片raw data'!$F:$F,)),0)+IF($P51=5,INDEX('卡片raw data'!BI:BI,MATCH($D51,'卡片raw data'!$F:$F,)),0)))</f>
        <v>0</v>
      </c>
      <c r="CC51" s="1101">
        <f t="shared" si="40"/>
        <v>0</v>
      </c>
      <c r="CD51" s="1097">
        <f>IF(BZ51="ap",CB51*(1-$FI$26)*$FB$5/$FB$11*(+IF(CA51="全员",$FA$24,0)+IF(CA51="同作战",$FA$24,0)+IF(CA51="仲间",$FA$24*2/3,0)+IF(CA51="同属性",$FA$24*$FA$37/3,0)+IF(CA51="同年级",$FA$24*$FA$40/3,0)+IF(CA51="同学校",$FA$24*$FA$43/3,0)+IF(CA51="同小队",$FA$24*$FA$46/3,0)+IF(CA51="同type",$FA$24*INDEX($FB$49:$FB$52,MATCH(X51,$FA$49:$FA$52,))/3,0)+IF(CA51="自身",#REF!/3,0)),0)+IF(BZ51="te",CB51*(1-$FI$27)*($FA$20-1)*$FB$7/$FB$13*(+IF(CA51="全员",$FA$19*$FA$24/(1+($FA$20-1)*$FA$19),0)+IF(CA51="同作战",$FA$19*$FA$24/(1+($FA$20-1)*$FA$19),0)+IF(CA51="仲间",$FA$19*$FA$24*2/3/(1+($FA$20-1)*$FA$19),0)+IF(CA51="同属性",$FA$19*$FA$24*$FA$37/3/(1+($FA$20-1)*$FA$19),0)+IF(CA51="同年级",$FA$19*$FA$24*$FA$40/3/(1+($FA$20-1)*$FA$19),0)+IF(CA51="同学校",$FA$19*$FA$24*$FA$43/3/(1+($FA$20-1)*$FA$19),0)+IF(CA51="同小队",$FA$19*$FA$24*$FA$46/3/(1+($FA$20-1)*$FA$19),0)+IF(CA51="同type",$FA$19*$FA$24*INDEX($FB$49:$FB$52,MATCH(X51,$FA$49:$FA$52,))/3/(1+($FA$20-1)*$FA$19),0)+IF(CA51="自身",$FA$19*#REF!/3/(1+(BH51-1)*$BD51),0)),0)</f>
        <v>0</v>
      </c>
      <c r="CE51" s="1097">
        <f t="shared" si="41"/>
        <v>0</v>
      </c>
      <c r="CF51" s="1112">
        <f t="shared" si="42"/>
        <v>0</v>
      </c>
      <c r="CG51" s="1100">
        <f t="shared" si="43"/>
        <v>0</v>
      </c>
      <c r="CH51" s="1110">
        <f t="shared" si="44"/>
        <v>0</v>
      </c>
      <c r="CI51" s="1113" t="s">
        <v>164</v>
      </c>
      <c r="CJ51" s="1114">
        <v>0.3</v>
      </c>
      <c r="CK51" s="1115" t="s">
        <v>153</v>
      </c>
      <c r="CL51" s="1115" t="s">
        <v>161</v>
      </c>
      <c r="CM51" s="1119">
        <v>0.05</v>
      </c>
      <c r="CN51" s="1115" t="s">
        <v>163</v>
      </c>
      <c r="CO51" s="1092">
        <v>1</v>
      </c>
      <c r="CP51" s="1118">
        <f t="shared" si="45"/>
        <v>2.8151292857142858E-2</v>
      </c>
      <c r="CQ51" s="1118">
        <f t="shared" si="46"/>
        <v>2.8151292857142858E-2</v>
      </c>
      <c r="CR51" s="1118">
        <f t="shared" si="47"/>
        <v>2.8151292857142858E-2</v>
      </c>
      <c r="CS51" s="1118">
        <f t="shared" si="48"/>
        <v>0</v>
      </c>
      <c r="CT51" s="1109">
        <f t="shared" si="49"/>
        <v>0</v>
      </c>
      <c r="CU51" s="1101">
        <f t="shared" si="50"/>
        <v>3828.0953290260063</v>
      </c>
      <c r="CV51" s="1108">
        <f t="shared" si="51"/>
        <v>184.82934806420829</v>
      </c>
      <c r="CW51" s="1097">
        <f t="shared" si="52"/>
        <v>3828.0953290260063</v>
      </c>
      <c r="CX51" s="1097">
        <f t="shared" si="53"/>
        <v>3828.0953290260063</v>
      </c>
      <c r="CY51" s="1110">
        <f t="shared" si="54"/>
        <v>3828.0953290260063</v>
      </c>
      <c r="CZ51" s="437"/>
      <c r="DA51" s="438"/>
      <c r="DB51" s="439" t="s">
        <v>569</v>
      </c>
      <c r="DC51" s="439"/>
      <c r="DD51" s="443"/>
      <c r="DE51" s="411"/>
      <c r="DF51" s="411"/>
      <c r="DG51" s="1116">
        <f t="shared" si="55"/>
        <v>0</v>
      </c>
      <c r="DH51" s="1116">
        <f t="shared" si="56"/>
        <v>0</v>
      </c>
      <c r="DI51" s="1116">
        <f t="shared" si="57"/>
        <v>0</v>
      </c>
      <c r="DJ51" s="442">
        <f t="shared" si="58"/>
        <v>0</v>
      </c>
      <c r="DK51" s="1109">
        <f t="shared" si="59"/>
        <v>0</v>
      </c>
      <c r="DL51" s="1101">
        <f t="shared" si="60"/>
        <v>0</v>
      </c>
      <c r="DM51" s="1097">
        <f t="shared" si="61"/>
        <v>0</v>
      </c>
      <c r="DN51" s="1097">
        <f t="shared" si="62"/>
        <v>0</v>
      </c>
      <c r="DO51" s="1097">
        <f t="shared" si="63"/>
        <v>0</v>
      </c>
      <c r="DP51" s="1110">
        <f t="shared" si="64"/>
        <v>0</v>
      </c>
      <c r="DQ51" s="1113" t="s">
        <v>153</v>
      </c>
      <c r="DR51" s="1120">
        <f t="shared" si="65"/>
        <v>0.33</v>
      </c>
      <c r="DS51" s="1124">
        <v>5</v>
      </c>
      <c r="DT51" s="1093" t="s">
        <v>168</v>
      </c>
      <c r="DU51" s="1093" t="s">
        <v>544</v>
      </c>
      <c r="DV51" s="1098">
        <f>IF($P51="","N/A",IF(P51=-1,INDEX('卡片raw data'!AN:AN,MATCH(D51,'卡片raw data'!$F:$F,)),0)+IF(AND(L51&lt;&gt;"party卡",P51&lt;=2,P51&gt;=0),INDEX('卡片raw data'!AP:AP,MATCH(D51,'卡片raw data'!$F:$F,)),0)+IF(OR(AND(L51="party卡",P51&lt;=1),AND(P51&lt;=4,L51&lt;&gt;"party卡",P51&gt;=3)),INDEX('卡片raw data'!AQ:AQ,MATCH(D51,'卡片raw data'!$F:$F,)),0)+IF(OR(P51=5,AND(L51="party卡",P51&gt;=2)),INDEX('卡片raw data'!AR:AR,MATCH(D51,'卡片raw data'!$F:$F,)),0))</f>
        <v>0.09</v>
      </c>
      <c r="DW51" s="1098">
        <f t="shared" si="66"/>
        <v>0.33</v>
      </c>
      <c r="DX51" s="1098">
        <f t="shared" si="67"/>
        <v>0.33</v>
      </c>
      <c r="DY51" s="1098">
        <f t="shared" si="68"/>
        <v>4.9500000000000002E-2</v>
      </c>
      <c r="DZ51" s="1098">
        <f t="shared" si="69"/>
        <v>4.2817500000000001E-2</v>
      </c>
      <c r="EA51" s="1098">
        <f t="shared" si="70"/>
        <v>0</v>
      </c>
      <c r="EB51" s="1121">
        <f t="shared" si="71"/>
        <v>0</v>
      </c>
      <c r="EC51" s="1101">
        <f t="shared" si="72"/>
        <v>6731.1551106509005</v>
      </c>
      <c r="ED51" s="1097">
        <f t="shared" si="73"/>
        <v>281.12139115242189</v>
      </c>
      <c r="EE51" s="1110">
        <f t="shared" si="74"/>
        <v>6731.1551106509005</v>
      </c>
      <c r="EF51" s="1092" t="s">
        <v>711</v>
      </c>
      <c r="EG51" s="1120">
        <f t="shared" si="75"/>
        <v>0.33</v>
      </c>
      <c r="EH51" s="1124"/>
      <c r="EI51" s="1093"/>
      <c r="EJ51" s="1093"/>
      <c r="EK51" s="1097">
        <f>IF($P51="","N/A",IF(P51=-1,INDEX('卡片raw data'!AS:AS,MATCH(D51,'卡片raw data'!$F:$F,)),0)+IF(AND(L51&lt;&gt;"party卡",P51&lt;=2,P51&gt;=0),INDEX('卡片raw data'!AU:AU,MATCH(D51,'卡片raw data'!$F:$F,)),0)+IF(OR(AND(L51="party卡",P51&lt;=1),AND(P51&lt;=4,L51&lt;&gt;"party卡",P51&gt;=3)),INDEX('卡片raw data'!AV:AV,MATCH(D51,'卡片raw data'!$F:$F,)),0)+IF(OR(P51=5,AND(L51="party卡",P51&gt;=2)),INDEX('卡片raw data'!AW:AW,MATCH(D51,'卡片raw data'!$F:$F,)),0))</f>
        <v>0</v>
      </c>
      <c r="EL51" s="1098">
        <f t="shared" si="76"/>
        <v>0.33</v>
      </c>
      <c r="EM51" s="1098">
        <f t="shared" si="77"/>
        <v>0.33</v>
      </c>
      <c r="EN51" s="1125">
        <f t="shared" si="78"/>
        <v>0</v>
      </c>
      <c r="EO51" s="1125">
        <f t="shared" si="79"/>
        <v>0</v>
      </c>
      <c r="EP51" s="1098">
        <f t="shared" si="80"/>
        <v>0</v>
      </c>
      <c r="EQ51" s="1121">
        <f t="shared" si="81"/>
        <v>0</v>
      </c>
      <c r="ER51" s="1101">
        <f t="shared" si="82"/>
        <v>0</v>
      </c>
      <c r="ES51" s="1097">
        <f t="shared" si="83"/>
        <v>0</v>
      </c>
      <c r="ET51" s="1122">
        <f t="shared" si="84"/>
        <v>0</v>
      </c>
      <c r="EV51" s="1394"/>
      <c r="EW51" s="1215" t="s">
        <v>70</v>
      </c>
      <c r="EX51" s="1216">
        <v>1.6</v>
      </c>
      <c r="EY51" s="1232"/>
      <c r="EZ51" s="1394"/>
      <c r="FA51" s="1215" t="s">
        <v>70</v>
      </c>
      <c r="FB51" s="1216">
        <v>1.2</v>
      </c>
      <c r="FD51" s="447"/>
      <c r="FE51" s="447"/>
      <c r="FF51" s="447"/>
      <c r="FH51" s="447"/>
      <c r="FI51" s="447"/>
      <c r="FJ51" s="447"/>
    </row>
    <row r="52" spans="2:166" ht="16.5" customHeight="1">
      <c r="B52" s="1123" t="str">
        <f>INDEX('卡片raw data'!B:B,MATCH($D52,'卡片raw data'!$F:$F,))</f>
        <v>校服黛</v>
      </c>
      <c r="C52" s="449" t="s">
        <v>66</v>
      </c>
      <c r="D52" s="408">
        <v>49</v>
      </c>
      <c r="E52" s="1090">
        <v>101041001</v>
      </c>
      <c r="F52" s="1090" t="str">
        <f>INDEX('卡片raw data'!C:C,MATCH($D52,'卡片raw data'!$F:$F,))</f>
        <v>R</v>
      </c>
      <c r="G52" s="1094" t="s">
        <v>341</v>
      </c>
      <c r="H52" s="411">
        <f>IFERROR(INDEX(绊状态确认!C:C,MATCH($G52,绊状态确认!$B:$B,)),"")</f>
        <v>104</v>
      </c>
      <c r="I52" s="450" t="str">
        <f>IFERROR(INDEX(绊状态确认!D:D,MATCH($G52,绊状态确认!$B:$B,)),"")</f>
        <v>水</v>
      </c>
      <c r="J52" s="450" t="str">
        <f>IFERROR(INDEX(绊状态确认!E:E,MATCH($G52,绊状态确认!$B:$B,)),"")</f>
        <v>3年级</v>
      </c>
      <c r="K52" s="451" t="str">
        <f>IFERROR(INDEX(绊状态确认!F:F,MATCH($G52,绊状态确认!$B:$B,)),"")</f>
        <v>AZALEA</v>
      </c>
      <c r="L52" s="1094" t="str">
        <f>INDEX('卡片raw data'!E:E,MATCH($D52,'卡片raw data'!$F:$F,))</f>
        <v>卡池卡</v>
      </c>
      <c r="M52" s="415">
        <v>43735</v>
      </c>
      <c r="N52" s="416">
        <v>0</v>
      </c>
      <c r="O52" s="1091" t="str">
        <f>INDEX('卡片raw data'!D:D,MATCH($D52,'卡片raw data'!$F:$F,))</f>
        <v>vo</v>
      </c>
      <c r="P52" s="417">
        <v>5</v>
      </c>
      <c r="Q52" s="1095">
        <f t="shared" si="0"/>
        <v>22181.878544749048</v>
      </c>
      <c r="R52" s="1096">
        <f t="shared" si="1"/>
        <v>0.25700000000000001</v>
      </c>
      <c r="S52" s="1097">
        <f t="shared" si="2"/>
        <v>8473.0098098853814</v>
      </c>
      <c r="T52" s="1098">
        <f t="shared" si="3"/>
        <v>0.42299999999999999</v>
      </c>
      <c r="U52" s="1099">
        <f t="shared" si="4"/>
        <v>-17.713554757857143</v>
      </c>
      <c r="V52" s="1100">
        <f t="shared" si="5"/>
        <v>21452.929127163738</v>
      </c>
      <c r="W52" s="1101">
        <f t="shared" si="6"/>
        <v>3578.1898696329963</v>
      </c>
      <c r="X52" s="1096">
        <f t="shared" si="7"/>
        <v>4.1000000000000002E-2</v>
      </c>
      <c r="Y52" s="1097">
        <f t="shared" si="8"/>
        <v>575.71903265639321</v>
      </c>
      <c r="Z52" s="1102">
        <f t="shared" si="9"/>
        <v>7.2864452421428565</v>
      </c>
      <c r="AA52" s="1103">
        <f t="shared" si="10"/>
        <v>4153.9089022893895</v>
      </c>
      <c r="AB52" s="1101">
        <f t="shared" si="11"/>
        <v>4023.8893675044378</v>
      </c>
      <c r="AC52" s="1104">
        <f t="shared" si="12"/>
        <v>4.5999999999999999E-2</v>
      </c>
      <c r="AD52" s="1105">
        <f t="shared" si="13"/>
        <v>-3.8207812500000026E-3</v>
      </c>
      <c r="AE52" s="1128">
        <f t="shared" si="14"/>
        <v>-22.692028985507246</v>
      </c>
      <c r="AF52" s="1130">
        <f t="shared" si="15"/>
        <v>0</v>
      </c>
      <c r="AG52" s="420">
        <f t="shared" si="16"/>
        <v>0</v>
      </c>
      <c r="AH52" s="420">
        <f t="shared" si="17"/>
        <v>0</v>
      </c>
      <c r="AI52" s="1097">
        <f t="shared" si="18"/>
        <v>0</v>
      </c>
      <c r="AJ52" s="420">
        <f t="shared" si="19"/>
        <v>0</v>
      </c>
      <c r="AK52" s="518">
        <f t="shared" si="20"/>
        <v>0</v>
      </c>
      <c r="AL52" s="1106">
        <f>IF($P52="","N/A",(IF($P52=-1,INDEX('卡片raw data'!S:S,MATCH($D52,'卡片raw data'!$F:$F,)),0)+IF($P52=0,INDEX('卡片raw data'!V:V,MATCH($D52,'卡片raw data'!$F:$F,)),0)+IF($P52=1,INDEX('卡片raw data'!Y:Y,MATCH($D52,'卡片raw data'!$F:$F,)),0)+IF($P52=2,INDEX('卡片raw data'!AB:AB,MATCH($D52,'卡片raw data'!$F:$F,)),0)+IF($P52=3,INDEX('卡片raw data'!AE:AE,MATCH($D52,'卡片raw data'!$F:$F,)),0)+IF($P52=4,INDEX('卡片raw data'!AH:AH,MATCH($D52,'卡片raw data'!$F:$F,)),0)+IF($P52=5,INDEX('卡片raw data'!AK:AK,MATCH($D52,'卡片raw data'!$F:$F,)),0)+INDEX('卡片raw data'!S:S,MATCH($D52,'卡片raw data'!$F:$F,))*(IF($F52="UR",0.04,0.033))*(IF($F52="UR",INDEX(绊状态确认!$S:$S,MATCH($G52,绊状态确认!$B:$B,))/2-40)+IF($F52="SR",INDEX(绊状态确认!$R:$R,MATCH($G52,绊状态确认!$B:$B,))/4-15))+IF($F52="R",INDEX(绊状态确认!$Q:$Q,MATCH($G52,绊状态确认!$B:$B,))/6-40/6)))*(INDEX(绊状态确认!$H:$H,MATCH($G52,绊状态确认!$B:$B,))+INDEX(绊状态确认!J:J,MATCH($G52,绊状态确认!$B:$B,)))</f>
        <v>3601.2515999999996</v>
      </c>
      <c r="AM52" s="1106">
        <f>IF($P52="","N/A",(IF($P52=-1,INDEX('卡片raw data'!T:T,MATCH($D52,'卡片raw data'!$F:$F,)),0)+IF($P52=0,INDEX('卡片raw data'!W:W,MATCH($D52,'卡片raw data'!$F:$F,)),0)+IF($P52=1,INDEX('卡片raw data'!Z:Z,MATCH($D52,'卡片raw data'!$F:$F,)),0)+IF($P52=2,INDEX('卡片raw data'!AC:AC,MATCH($D52,'卡片raw data'!$F:$F,)),0)+IF($P52=3,INDEX('卡片raw data'!AF:AF,MATCH($D52,'卡片raw data'!$F:$F,)),0)+IF($P52=4,INDEX('卡片raw data'!AI:AI,MATCH($D52,'卡片raw data'!$F:$F,)),0)+IF($P52=5,INDEX('卡片raw data'!AL:AL,MATCH($D52,'卡片raw data'!$F:$F,)),0)+INDEX('卡片raw data'!T:T,MATCH($D52,'卡片raw data'!$F:$F,))*(IF($F52="UR",0.04,0.033))*(IF($F52="UR",INDEX(绊状态确认!$S:$S,MATCH($G52,绊状态确认!$B:$B,))/2-40)+IF($F52="SR",INDEX(绊状态确认!$R:$R,MATCH($G52,绊状态确认!$B:$B,))/4-15))+IF($F52="R",INDEX(绊状态确认!$Q:$Q,MATCH($G52,绊状态确认!$B:$B,))/6-40/6)))*(INDEX(绊状态确认!$H:$H,MATCH($G52,绊状态确认!$B:$B,))+INDEX(绊状态确认!K:K,MATCH($G52,绊状态确认!$B:$B,)))</f>
        <v>3001.2323999999994</v>
      </c>
      <c r="AN52" s="1106">
        <f>IF($P52="","N/A",(IF($P52=-1,INDEX('卡片raw data'!U:U,MATCH($D52,'卡片raw data'!$F:$F,)),0)+IF($P52=0,INDEX('卡片raw data'!X:X,MATCH($D52,'卡片raw data'!$F:$F,)),0)+IF($P52=1,INDEX('卡片raw data'!AA:AA,MATCH($D52,'卡片raw data'!$F:$F,)),0)+IF($P52=2,INDEX('卡片raw data'!AD:AD,MATCH($D52,'卡片raw data'!$F:$F,)),0)+IF($P52=3,INDEX('卡片raw data'!AG:AG,MATCH($D52,'卡片raw data'!$F:$F,)),0)+IF($P52=4,INDEX('卡片raw data'!AJ:AJ,MATCH($D52,'卡片raw data'!$F:$F,)),0)+IF($P52=5,INDEX('卡片raw data'!AM:AM,MATCH($D52,'卡片raw data'!$F:$F,)),0)+INDEX('卡片raw data'!U:U,MATCH($D52,'卡片raw data'!$F:$F,))*(IF($F52="UR",0.04,0.033))*(IF($F52="UR",INDEX(绊状态确认!$S:$S,MATCH($G52,绊状态确认!$B:$B,))/2-40)+IF($F52="SR",INDEX(绊状态确认!$R:$R,MATCH($G52,绊状态确认!$B:$B,))/4-15))+IF($F52="R",INDEX(绊状态确认!$Q:$Q,MATCH($G52,绊状态确认!$B:$B,))/6-40/6)))*(INDEX(绊状态确认!$H:$H,MATCH($G52,绊状态确认!$B:$B,))+INDEX(绊状态确认!L:L,MATCH($G52,绊状态确认!$B:$B,)))</f>
        <v>5401.3091999999997</v>
      </c>
      <c r="AO52" s="1107">
        <f t="shared" si="21"/>
        <v>1</v>
      </c>
      <c r="AP52" s="1131">
        <f>1+(INDEX(绊状态确认!$T:$T,MATCH($G52,绊状态确认!$B:$B,))+0.2)*$AO52</f>
        <v>1.3</v>
      </c>
      <c r="AQ52" s="1108">
        <f t="shared" si="22"/>
        <v>12703.285449999999</v>
      </c>
      <c r="AR52" s="1097">
        <f>(AM52*(1+$EX$9)+$EX$35)*(1+(INDEX(绊状态确认!$T:$T,MATCH($G52,绊状态确认!$B:$B,))+0.2)*AO52)*IF(J52=$FF$17,1+$FE$17,1)*IF(I52=$FF$14,1+$FE$14,1)</f>
        <v>6800.682225999999</v>
      </c>
      <c r="AS52" s="1097">
        <f>(AN52*(1+$EX$10)+$EX$36)*(1+(INDEX(绊状态确认!$T:$T,MATCH($G52,绊状态确认!$B:$B,))+0.2)*AO52)*IF(J52=$FF$17,1+$FE$17,1)*IF(I52=$FF$14,1+$FE$14,1)</f>
        <v>12130.957253999999</v>
      </c>
      <c r="AT52" s="1093">
        <f>IF(AND(INDEX('卡片raw data'!AK:AK,MATCH($D52,'卡片raw data'!$F:$F,))&lt;INDEX('卡片raw data'!AM:AM,MATCH($D52,'卡片raw data'!$F:$F,)),INDEX('卡片raw data'!AL:AL,MATCH($D52,'卡片raw data'!$F:$F,))&lt;INDEX('卡片raw data'!AM:AM,MATCH($D52,'卡片raw data'!$F:$F,))),1,0)</f>
        <v>1</v>
      </c>
      <c r="AU52" s="1098">
        <f>MIN(AT52*0.15+AS52*0.00003+INDEX(绊状态确认!M:M,MATCH($G52,绊状态确认!$B:$B,)),1)</f>
        <v>0.54392871761999995</v>
      </c>
      <c r="AV52" s="1109">
        <f>(INDEX(绊状态确认!$N:$N,MATCH($G52,绊状态确认!$B:$B,))+1.5)*$EW$21</f>
        <v>2.6599999999999997</v>
      </c>
      <c r="AW52" s="1101">
        <f t="shared" si="23"/>
        <v>12554.352916166901</v>
      </c>
      <c r="AX52" s="1097">
        <f t="shared" si="24"/>
        <v>575.71903265639287</v>
      </c>
      <c r="AY52" s="1110">
        <f t="shared" si="25"/>
        <v>13130.071948823293</v>
      </c>
      <c r="AZ52" s="429">
        <f t="shared" si="26"/>
        <v>9622.4406199999994</v>
      </c>
      <c r="BA52" s="431">
        <f t="shared" si="27"/>
        <v>11546.928743999999</v>
      </c>
      <c r="BB52" s="1097">
        <f>(AM52*(1+$FB$9)+$FB$35)*(1+(INDEX(绊状态确认!$T:$T,MATCH($G52,绊状态确认!$B:$B,))+0.2)*AO52)*IF(J52=$FF$17,1+$FE$17,1)*IF(I52=$FF$14,1+$FE$14,1)*(1+$FE$15)</f>
        <v>6800.682225999999</v>
      </c>
      <c r="BC52" s="1097">
        <f>(AN52*(1+$FB$10)+$FB$36)*(1+(INDEX(绊状态确认!$T:$T,MATCH($G52,绊状态确认!$B:$B,))+0.2)*AO52)*IF(J52=$FF$17,1+$FE$17,1)*IF(I52=$FF$14,1+$FE$14,1)*(1+$FE$15)</f>
        <v>12130.957253999999</v>
      </c>
      <c r="BD52" s="1104">
        <f>MIN(AT52*0.15+BC52*0.00003+INDEX(绊状态确认!M:M,MATCH($G52,绊状态确认!$B:$B,)),1)</f>
        <v>0.54392871761999995</v>
      </c>
      <c r="BE52" s="432">
        <f>(INDEX(绊状态确认!$N:$N,MATCH($G52,绊状态确认!$B:$B,))+1.5)</f>
        <v>1.9</v>
      </c>
      <c r="BF52" s="1139">
        <f t="array" ref="BF52">SUMPRODUCT(IF(AZ52*AP52*$FI$16:$FI$23*$FA$22&gt;=$FI$24,$FI$24,AZ52*AP52*$FI$16:$FI$23*$FA$22),$FJ$16:$FJ$23)</f>
        <v>19139.034393180002</v>
      </c>
      <c r="BG52" s="1125">
        <f t="array" ref="BG52">SUMPRODUCT(IF(BE52*AZ52*AP52*$FI$16:$FI$23*$FA$22&gt;=$FI$24,$FI$24,BE52*AZ52*AP52*$FI$16:$FI$23*$FA$22),$FJ$16:$FJ$23)</f>
        <v>36364.165347041999</v>
      </c>
      <c r="BH52" s="1110">
        <f t="shared" si="28"/>
        <v>9502.7592612502413</v>
      </c>
      <c r="BI52" s="1111">
        <f>IF(O52="vo",$EW$26/$EW$24*0.05,0)+IF(O52="sk",-$EW$26/$EW$24*(0.05-INDEX(绊状态确认!W:W,MATCH($G52,绊状态确认!$B:$B,)))+0.05*$EW$28,0)+IF(O52="sp",0.05*$EW$32*$EW$30*(1-$EW$33)-(0.05-INDEX(绊状态确认!V:V,MATCH($G52,绊状态确认!$B:$B,)))*$EW$28,0)+IF(O52="gd",-(0.05-INDEX(绊状态确认!X:X,MATCH($G52,绊状态确认!$B:$B,)))*$EW$32*$EW$30*(1-$EW$33),0)</f>
        <v>7726.3029277443748</v>
      </c>
      <c r="BJ52" s="1097">
        <f>IF(O52="vo",0.05*(1-$FI$26)*$FA$24,0)+IF(O52="sk",-(0.05-INDEX(绊状态确认!W:W,MATCH($G52,绊状态确认!$B:$B,)))*(1-$FI$26)*$FA$24+0.05*$FA$26,0)+IF(O52="sp",0.05*$FA$32*$FA$27*(1-$FA$33)/$FA$30+0.05*$FA$29/$FA$69*$FA$27*(1-$FA$33)-(0.05-INDEX(绊状态确认!V:V,MATCH($G52,绊状态确认!$B:$B,)))*$FA$26,0)+IF(O52="gd",-(0.05-INDEX(绊状态确认!X:X,MATCH($G52,绊状态确认!$B:$B,)))*$FA$32*$FA$27*(1-$FA$33)/$FA$30-(0.05-INDEX(绊状态确认!X:X,MATCH($G52,绊状态确认!$B:$B,)))*$FA$29/$FA$69*$FA$27*(1-$FA$33),0)</f>
        <v>393.93433687500004</v>
      </c>
      <c r="BK52" s="1110">
        <f>IF(O52="vo",$EW$26/$EW$24*0.05+$EW$26*(-HP($EW$62,$EW$65,$EW$64)+HP($EW$62,$EW$65,(1.05-INDEX(绊状态确认!U:U,MATCH($G52,绊状态确认!$B:$B,)))*$EW$64)),0)+IF(O52="sk",-$EW$26/$EW$24*(0.05-INDEX(绊状态确认!W:W,MATCH($G52,绊状态确认!$B:$B,)))+0.05*$EW$29,0)+IF(O52="sp",0.05*$EW$32*$EW$30*(1-$EW$33)-(0.05-INDEX(绊状态确认!V:V,MATCH($G52,绊状态确认!$B:$B,)))*$EW$29,0)+IF(O52="gd",-(0.05-INDEX(绊状态确认!X:X,MATCH($G52,绊状态确认!$B:$B,)))*$EW$32*$EW$30*(1-$EW$33)+$EW$26*(-HP($EW$62,$EW$65,$EW$64)+HP($EW$62,$EW$65,0.95*$EW$64)),0)</f>
        <v>6421.6344775026746</v>
      </c>
      <c r="BL52" s="1111">
        <f t="shared" si="29"/>
        <v>-2166.6666666666665</v>
      </c>
      <c r="BM52" s="1110">
        <f t="shared" si="30"/>
        <v>-1661.1111111111109</v>
      </c>
      <c r="BN52" s="1113">
        <f t="shared" si="31"/>
        <v>2</v>
      </c>
      <c r="BO52" s="1097">
        <f t="shared" si="32"/>
        <v>3005.1476580839999</v>
      </c>
      <c r="BP52" s="1100">
        <f t="shared" si="33"/>
        <v>147.56068806020068</v>
      </c>
      <c r="BQ52" s="1113" t="s">
        <v>616</v>
      </c>
      <c r="BR52" s="1124" t="s">
        <v>620</v>
      </c>
      <c r="BS52" s="1098">
        <f>IF($P52="","N/A",IF($P52=-1,INDEX('卡片raw data'!AX:AX,MATCH($D52,'卡片raw data'!$F:$F,)),0)+IF($L52="party卡",IF($P52=5,INDEX('卡片raw data'!BD:BD,MATCH($D52,'卡片raw data'!$F:$F,)),IF($P52&gt;=3,INDEX('卡片raw data'!BC:BC,MATCH($D52,'卡片raw data'!$F:$F,)),INDEX('卡片raw data'!BB:BB,MATCH($D52,'卡片raw data'!$F:$F,)))),IF(OR(AND($F52="UR",$P52=0),AND($F52="SR",$P52&gt;=0,$P52&lt;=2),AND($F52="R",$P52&gt;=0,$P52&lt;4)),INDEX('卡片raw data'!AZ:AZ,MATCH($D52,'卡片raw data'!$F:$F,)),0)+IF(OR(AND($F52="UR",$P52&gt;=1,$P52&lt;=4),AND($F52="SR",$P52&lt;=4,$P52&gt;=3),AND($F52="R",$P52=4)),INDEX('卡片raw data'!BA:BA,MATCH($D52,'卡片raw data'!$F:$F,)),0)+IF($P52=5,INDEX('卡片raw data'!BB:BB,MATCH($D52,'卡片raw data'!$F:$F,)),0)))</f>
        <v>2.7E-2</v>
      </c>
      <c r="BT52" s="1101">
        <f t="shared" si="34"/>
        <v>1018.741709420438</v>
      </c>
      <c r="BU52" s="1097">
        <f t="shared" si="35"/>
        <v>55.266634811050096</v>
      </c>
      <c r="BV52" s="1097">
        <f t="shared" si="36"/>
        <v>573.04221154899631</v>
      </c>
      <c r="BW52" s="1112">
        <f t="shared" si="37"/>
        <v>0</v>
      </c>
      <c r="BX52" s="1100">
        <f t="shared" si="38"/>
        <v>1018.741709420438</v>
      </c>
      <c r="BY52" s="1110">
        <f t="shared" si="39"/>
        <v>573.04221154899631</v>
      </c>
      <c r="BZ52" s="1107" t="s">
        <v>569</v>
      </c>
      <c r="CA52" s="1124"/>
      <c r="CB52" s="1098">
        <f>IF($P52="","N/A",IF($P52=-1,INDEX('卡片raw data'!BE:BE,MATCH($D52,'卡片raw data'!$F:$F,)),0)+IF($L52="party卡",IF($P52=5,INDEX('卡片raw data'!BK:BK,MATCH($D52,'卡片raw data'!$F:$F,)),IF($P52&gt;=3,INDEX('卡片raw data'!BJ:BJ,MATCH($D52,'卡片raw data'!$F:$F,)),INDEX('卡片raw data'!BI:BI,MATCH($D52,'卡片raw data'!$F:$F,)))),IF(OR(AND($F52="UR",$P52=0),AND($F52="SR",$P52&gt;=0,$P52&lt;=2),AND($F52="R",$P52&gt;=0,$P52&lt;4)),INDEX('卡片raw data'!BG:BG,MATCH($D52,'卡片raw data'!$F:$F,)),0)+IF(OR(AND($F52="UR",$P52&gt;=1,$P52&lt;=4),AND($F52="SR",$P52&lt;=4,$P52&gt;=3),AND($F52="R",$P52=4)),INDEX('卡片raw data'!BH:BH,MATCH($D52,'卡片raw data'!$F:$F,)),0)+IF($P52=5,INDEX('卡片raw data'!BI:BI,MATCH($D52,'卡片raw data'!$F:$F,)),0)))</f>
        <v>0</v>
      </c>
      <c r="CC52" s="1101">
        <f t="shared" si="40"/>
        <v>0</v>
      </c>
      <c r="CD52" s="1097">
        <f>IF(BZ52="ap",CB52*(1-$FI$26)*$FB$5/$FB$11*(+IF(CA52="全员",$FA$24,0)+IF(CA52="同作战",$FA$24,0)+IF(CA52="仲间",$FA$24*2/3,0)+IF(CA52="同属性",$FA$24*$FA$37/3,0)+IF(CA52="同年级",$FA$24*$FA$40/3,0)+IF(CA52="同学校",$FA$24*$FA$43/3,0)+IF(CA52="同小队",$FA$24*$FA$46/3,0)+IF(CA52="同type",$FA$24*INDEX($FB$49:$FB$52,MATCH(X52,$FA$49:$FA$52,))/3,0)+IF(CA52="自身",#REF!/3,0)),0)+IF(BZ52="te",CB52*(1-$FI$27)*($FA$20-1)*$FB$7/$FB$13*(+IF(CA52="全员",$FA$19*$FA$24/(1+($FA$20-1)*$FA$19),0)+IF(CA52="同作战",$FA$19*$FA$24/(1+($FA$20-1)*$FA$19),0)+IF(CA52="仲间",$FA$19*$FA$24*2/3/(1+($FA$20-1)*$FA$19),0)+IF(CA52="同属性",$FA$19*$FA$24*$FA$37/3/(1+($FA$20-1)*$FA$19),0)+IF(CA52="同年级",$FA$19*$FA$24*$FA$40/3/(1+($FA$20-1)*$FA$19),0)+IF(CA52="同学校",$FA$19*$FA$24*$FA$43/3/(1+($FA$20-1)*$FA$19),0)+IF(CA52="同小队",$FA$19*$FA$24*$FA$46/3/(1+($FA$20-1)*$FA$19),0)+IF(CA52="同type",$FA$19*$FA$24*INDEX($FB$49:$FB$52,MATCH(X52,$FA$49:$FA$52,))/3/(1+($FA$20-1)*$FA$19),0)+IF(CA52="自身",$FA$19*#REF!/3/(1+(BH52-1)*$BD52),0)),0)</f>
        <v>0</v>
      </c>
      <c r="CE52" s="1097">
        <f t="shared" si="41"/>
        <v>0</v>
      </c>
      <c r="CF52" s="1112">
        <f t="shared" si="42"/>
        <v>0</v>
      </c>
      <c r="CG52" s="1100">
        <f t="shared" si="43"/>
        <v>0</v>
      </c>
      <c r="CH52" s="1110">
        <f t="shared" si="44"/>
        <v>0</v>
      </c>
      <c r="CI52" s="1113"/>
      <c r="CJ52" s="1114"/>
      <c r="CK52" s="1115" t="s">
        <v>569</v>
      </c>
      <c r="CL52" s="1115"/>
      <c r="CM52" s="1119"/>
      <c r="CN52" s="1115"/>
      <c r="CO52" s="1092"/>
      <c r="CP52" s="1117">
        <f t="shared" si="45"/>
        <v>0</v>
      </c>
      <c r="CQ52" s="1117">
        <f t="shared" si="46"/>
        <v>0</v>
      </c>
      <c r="CR52" s="1117">
        <f t="shared" si="47"/>
        <v>0</v>
      </c>
      <c r="CS52" s="1118">
        <f t="shared" si="48"/>
        <v>0</v>
      </c>
      <c r="CT52" s="1109">
        <f t="shared" si="49"/>
        <v>0</v>
      </c>
      <c r="CU52" s="1101">
        <f t="shared" si="50"/>
        <v>0</v>
      </c>
      <c r="CV52" s="1108">
        <f t="shared" si="51"/>
        <v>0</v>
      </c>
      <c r="CW52" s="1097">
        <f t="shared" si="52"/>
        <v>0</v>
      </c>
      <c r="CX52" s="1097">
        <f t="shared" si="53"/>
        <v>0</v>
      </c>
      <c r="CY52" s="1110">
        <f t="shared" si="54"/>
        <v>0</v>
      </c>
      <c r="CZ52" s="437"/>
      <c r="DA52" s="438"/>
      <c r="DB52" s="439" t="s">
        <v>569</v>
      </c>
      <c r="DC52" s="439"/>
      <c r="DD52" s="443"/>
      <c r="DE52" s="411"/>
      <c r="DF52" s="411"/>
      <c r="DG52" s="1116">
        <f t="shared" si="55"/>
        <v>0</v>
      </c>
      <c r="DH52" s="1116">
        <f t="shared" si="56"/>
        <v>0</v>
      </c>
      <c r="DI52" s="1116">
        <f t="shared" si="57"/>
        <v>0</v>
      </c>
      <c r="DJ52" s="442">
        <f t="shared" si="58"/>
        <v>0</v>
      </c>
      <c r="DK52" s="1109">
        <f t="shared" si="59"/>
        <v>0</v>
      </c>
      <c r="DL52" s="1101">
        <f t="shared" si="60"/>
        <v>0</v>
      </c>
      <c r="DM52" s="1097">
        <f t="shared" si="61"/>
        <v>0</v>
      </c>
      <c r="DN52" s="1097">
        <f t="shared" si="62"/>
        <v>0</v>
      </c>
      <c r="DO52" s="1097">
        <f t="shared" si="63"/>
        <v>0</v>
      </c>
      <c r="DP52" s="1110">
        <f t="shared" si="64"/>
        <v>0</v>
      </c>
      <c r="DQ52" s="1113" t="s">
        <v>545</v>
      </c>
      <c r="DR52" s="1120">
        <f t="shared" si="65"/>
        <v>0.3</v>
      </c>
      <c r="DS52" s="1124"/>
      <c r="DT52" s="1093" t="s">
        <v>546</v>
      </c>
      <c r="DU52" s="1093"/>
      <c r="DV52" s="1097">
        <f>IF($P52="","N/A",IF(P52=-1,INDEX('卡片raw data'!AN:AN,MATCH(D52,'卡片raw data'!$F:$F,)),0)+IF(AND(L52&lt;&gt;"party卡",P52&lt;=2,P52&gt;=0),INDEX('卡片raw data'!AP:AP,MATCH(D52,'卡片raw data'!$F:$F,)),0)+IF(OR(AND(L52="party卡",P52&lt;=1),AND(P52&lt;=4,L52&lt;&gt;"party卡",P52&gt;=3)),INDEX('卡片raw data'!AQ:AQ,MATCH(D52,'卡片raw data'!$F:$F,)),0)+IF(OR(P52=5,AND(L52="party卡",P52&gt;=2)),INDEX('卡片raw data'!AR:AR,MATCH(D52,'卡片raw data'!$F:$F,)),0))</f>
        <v>400</v>
      </c>
      <c r="DW52" s="1098">
        <f t="shared" si="66"/>
        <v>0.3</v>
      </c>
      <c r="DX52" s="1098">
        <f t="shared" si="67"/>
        <v>0.3</v>
      </c>
      <c r="DY52" s="1125">
        <f t="shared" si="68"/>
        <v>40</v>
      </c>
      <c r="DZ52" s="1125">
        <f t="shared" si="69"/>
        <v>34.6</v>
      </c>
      <c r="EA52" s="1098">
        <f t="shared" si="70"/>
        <v>0</v>
      </c>
      <c r="EB52" s="1121">
        <f t="shared" si="71"/>
        <v>0</v>
      </c>
      <c r="EC52" s="1101">
        <f t="shared" si="72"/>
        <v>44</v>
      </c>
      <c r="ED52" s="1097">
        <f t="shared" si="73"/>
        <v>34.6</v>
      </c>
      <c r="EE52" s="1110">
        <f t="shared" si="74"/>
        <v>44</v>
      </c>
      <c r="EF52" s="1092" t="s">
        <v>711</v>
      </c>
      <c r="EG52" s="1120">
        <f t="shared" si="75"/>
        <v>0.3</v>
      </c>
      <c r="EH52" s="1124"/>
      <c r="EI52" s="1093"/>
      <c r="EJ52" s="1093"/>
      <c r="EK52" s="1097">
        <f>IF($P52="","N/A",IF(P52=-1,INDEX('卡片raw data'!AS:AS,MATCH(D52,'卡片raw data'!$F:$F,)),0)+IF(AND(L52&lt;&gt;"party卡",P52&lt;=2,P52&gt;=0),INDEX('卡片raw data'!AU:AU,MATCH(D52,'卡片raw data'!$F:$F,)),0)+IF(OR(AND(L52="party卡",P52&lt;=1),AND(P52&lt;=4,L52&lt;&gt;"party卡",P52&gt;=3)),INDEX('卡片raw data'!AV:AV,MATCH(D52,'卡片raw data'!$F:$F,)),0)+IF(OR(P52=5,AND(L52="party卡",P52&gt;=2)),INDEX('卡片raw data'!AW:AW,MATCH(D52,'卡片raw data'!$F:$F,)),0))</f>
        <v>0</v>
      </c>
      <c r="EL52" s="1098">
        <f t="shared" si="76"/>
        <v>0.3</v>
      </c>
      <c r="EM52" s="1098">
        <f t="shared" si="77"/>
        <v>0.3</v>
      </c>
      <c r="EN52" s="1125">
        <f t="shared" si="78"/>
        <v>0</v>
      </c>
      <c r="EO52" s="1125">
        <f t="shared" si="79"/>
        <v>0</v>
      </c>
      <c r="EP52" s="1098">
        <f t="shared" si="80"/>
        <v>0</v>
      </c>
      <c r="EQ52" s="1121">
        <f t="shared" si="81"/>
        <v>0</v>
      </c>
      <c r="ER52" s="1101">
        <f t="shared" si="82"/>
        <v>0</v>
      </c>
      <c r="ES52" s="1097">
        <f t="shared" si="83"/>
        <v>0</v>
      </c>
      <c r="ET52" s="1122">
        <f t="shared" si="84"/>
        <v>0</v>
      </c>
      <c r="EV52" s="1396"/>
      <c r="EW52" s="1233" t="s">
        <v>23</v>
      </c>
      <c r="EX52" s="1220">
        <v>1.2</v>
      </c>
      <c r="EY52" s="1232"/>
      <c r="EZ52" s="1394"/>
      <c r="FA52" s="1234" t="s">
        <v>23</v>
      </c>
      <c r="FB52" s="1235">
        <v>1.2</v>
      </c>
      <c r="FD52" s="447"/>
      <c r="FE52" s="447"/>
      <c r="FF52" s="447"/>
      <c r="FH52" s="447"/>
      <c r="FI52" s="447"/>
      <c r="FJ52" s="447"/>
    </row>
    <row r="53" spans="2:166" ht="16.5" customHeight="1">
      <c r="B53" s="1123" t="str">
        <f>INDEX('卡片raw data'!B:B,MATCH($D53,'卡片raw data'!$F:$F,))</f>
        <v>练习黛</v>
      </c>
      <c r="C53" s="449" t="s">
        <v>69</v>
      </c>
      <c r="D53" s="408">
        <v>50</v>
      </c>
      <c r="E53" s="1090">
        <v>101041002</v>
      </c>
      <c r="F53" s="1090" t="str">
        <f>INDEX('卡片raw data'!C:C,MATCH($D53,'卡片raw data'!$F:$F,))</f>
        <v>R</v>
      </c>
      <c r="G53" s="1094" t="s">
        <v>36</v>
      </c>
      <c r="H53" s="411">
        <f>IFERROR(INDEX(绊状态确认!C:C,MATCH($G53,绊状态确认!$B:$B,)),"")</f>
        <v>104</v>
      </c>
      <c r="I53" s="450" t="str">
        <f>IFERROR(INDEX(绊状态确认!D:D,MATCH($G53,绊状态确认!$B:$B,)),"")</f>
        <v>水</v>
      </c>
      <c r="J53" s="450" t="str">
        <f>IFERROR(INDEX(绊状态确认!E:E,MATCH($G53,绊状态确认!$B:$B,)),"")</f>
        <v>3年级</v>
      </c>
      <c r="K53" s="451" t="str">
        <f>IFERROR(INDEX(绊状态确认!F:F,MATCH($G53,绊状态确认!$B:$B,)),"")</f>
        <v>AZALEA</v>
      </c>
      <c r="L53" s="1094" t="str">
        <f>INDEX('卡片raw data'!E:E,MATCH($D53,'卡片raw data'!$F:$F,))</f>
        <v>卡池卡</v>
      </c>
      <c r="M53" s="415">
        <v>43735</v>
      </c>
      <c r="N53" s="416">
        <v>0</v>
      </c>
      <c r="O53" s="1091" t="str">
        <f>INDEX('卡片raw data'!D:D,MATCH($D53,'卡片raw data'!$F:$F,))</f>
        <v>sp</v>
      </c>
      <c r="P53" s="417">
        <v>5</v>
      </c>
      <c r="Q53" s="1095">
        <f t="shared" si="0"/>
        <v>14092.342537536733</v>
      </c>
      <c r="R53" s="1096">
        <f t="shared" si="1"/>
        <v>0.16300000000000001</v>
      </c>
      <c r="S53" s="1097">
        <f t="shared" si="2"/>
        <v>8847.4519154478548</v>
      </c>
      <c r="T53" s="1098">
        <f t="shared" si="3"/>
        <v>0.442</v>
      </c>
      <c r="U53" s="1099">
        <f t="shared" si="4"/>
        <v>9.9306633771428565</v>
      </c>
      <c r="V53" s="1100">
        <f t="shared" si="5"/>
        <v>13081.221042033601</v>
      </c>
      <c r="W53" s="1101">
        <f t="shared" si="6"/>
        <v>3256.6888209038611</v>
      </c>
      <c r="X53" s="1096">
        <f t="shared" si="7"/>
        <v>3.6999999999999998E-2</v>
      </c>
      <c r="Y53" s="1097">
        <f t="shared" si="8"/>
        <v>788.87850449686948</v>
      </c>
      <c r="Z53" s="1102">
        <f t="shared" si="9"/>
        <v>9.9306633771428565</v>
      </c>
      <c r="AA53" s="1103">
        <f t="shared" si="10"/>
        <v>4045.5673254007306</v>
      </c>
      <c r="AB53" s="1101">
        <f t="shared" si="11"/>
        <v>3927.4652550901578</v>
      </c>
      <c r="AC53" s="1104">
        <f t="shared" si="12"/>
        <v>4.4999999999999998E-2</v>
      </c>
      <c r="AD53" s="1105">
        <f t="shared" si="13"/>
        <v>-1.9908281250000003E-2</v>
      </c>
      <c r="AE53" s="1128">
        <f t="shared" si="14"/>
        <v>-3.387869067028987</v>
      </c>
      <c r="AF53" s="1130">
        <f t="shared" si="15"/>
        <v>0</v>
      </c>
      <c r="AG53" s="420">
        <f t="shared" si="16"/>
        <v>0</v>
      </c>
      <c r="AH53" s="420">
        <f t="shared" si="17"/>
        <v>0</v>
      </c>
      <c r="AI53" s="1097">
        <f t="shared" si="18"/>
        <v>0</v>
      </c>
      <c r="AJ53" s="420">
        <f t="shared" si="19"/>
        <v>0</v>
      </c>
      <c r="AK53" s="518">
        <f t="shared" si="20"/>
        <v>0</v>
      </c>
      <c r="AL53" s="1106">
        <f>IF($P53="","N/A",(IF($P53=-1,INDEX('卡片raw data'!S:S,MATCH($D53,'卡片raw data'!$F:$F,)),0)+IF($P53=0,INDEX('卡片raw data'!V:V,MATCH($D53,'卡片raw data'!$F:$F,)),0)+IF($P53=1,INDEX('卡片raw data'!Y:Y,MATCH($D53,'卡片raw data'!$F:$F,)),0)+IF($P53=2,INDEX('卡片raw data'!AB:AB,MATCH($D53,'卡片raw data'!$F:$F,)),0)+IF($P53=3,INDEX('卡片raw data'!AE:AE,MATCH($D53,'卡片raw data'!$F:$F,)),0)+IF($P53=4,INDEX('卡片raw data'!AH:AH,MATCH($D53,'卡片raw data'!$F:$F,)),0)+IF($P53=5,INDEX('卡片raw data'!AK:AK,MATCH($D53,'卡片raw data'!$F:$F,)),0)+INDEX('卡片raw data'!S:S,MATCH($D53,'卡片raw data'!$F:$F,))*(IF($F53="UR",0.04,0.033))*(IF($F53="UR",INDEX(绊状态确认!$S:$S,MATCH($G53,绊状态确认!$B:$B,))/2-40)+IF($F53="SR",INDEX(绊状态确认!$R:$R,MATCH($G53,绊状态确认!$B:$B,))/4-15))+IF($F53="R",INDEX(绊状态确认!$Q:$Q,MATCH($G53,绊状态确认!$B:$B,))/6-40/6)))*(INDEX(绊状态确认!$H:$H,MATCH($G53,绊状态确认!$B:$B,))+INDEX(绊状态确认!J:J,MATCH($G53,绊状态确认!$B:$B,)))</f>
        <v>4122.8591999999999</v>
      </c>
      <c r="AM53" s="1106">
        <f>IF($P53="","N/A",(IF($P53=-1,INDEX('卡片raw data'!T:T,MATCH($D53,'卡片raw data'!$F:$F,)),0)+IF($P53=0,INDEX('卡片raw data'!W:W,MATCH($D53,'卡片raw data'!$F:$F,)),0)+IF($P53=1,INDEX('卡片raw data'!Z:Z,MATCH($D53,'卡片raw data'!$F:$F,)),0)+IF($P53=2,INDEX('卡片raw data'!AC:AC,MATCH($D53,'卡片raw data'!$F:$F,)),0)+IF($P53=3,INDEX('卡片raw data'!AF:AF,MATCH($D53,'卡片raw data'!$F:$F,)),0)+IF($P53=4,INDEX('卡片raw data'!AI:AI,MATCH($D53,'卡片raw data'!$F:$F,)),0)+IF($P53=5,INDEX('卡片raw data'!AL:AL,MATCH($D53,'卡片raw data'!$F:$F,)),0)+INDEX('卡片raw data'!T:T,MATCH($D53,'卡片raw data'!$F:$F,))*(IF($F53="UR",0.04,0.033))*(IF($F53="UR",INDEX(绊状态确认!$S:$S,MATCH($G53,绊状态确认!$B:$B,))/2-40)+IF($F53="SR",INDEX(绊状态确认!$R:$R,MATCH($G53,绊状态确认!$B:$B,))/4-15))+IF($F53="R",INDEX(绊状态确认!$Q:$Q,MATCH($G53,绊状态确认!$B:$B,))/6-40/6)))*(INDEX(绊状态确认!$H:$H,MATCH($G53,绊状态确认!$B:$B,))+INDEX(绊状态确认!K:K,MATCH($G53,绊状态确认!$B:$B,)))</f>
        <v>4809.2447999999995</v>
      </c>
      <c r="AN53" s="1106">
        <f>IF($P53="","N/A",(IF($P53=-1,INDEX('卡片raw data'!U:U,MATCH($D53,'卡片raw data'!$F:$F,)),0)+IF($P53=0,INDEX('卡片raw data'!X:X,MATCH($D53,'卡片raw data'!$F:$F,)),0)+IF($P53=1,INDEX('卡片raw data'!AA:AA,MATCH($D53,'卡片raw data'!$F:$F,)),0)+IF($P53=2,INDEX('卡片raw data'!AD:AD,MATCH($D53,'卡片raw data'!$F:$F,)),0)+IF($P53=3,INDEX('卡片raw data'!AG:AG,MATCH($D53,'卡片raw data'!$F:$F,)),0)+IF($P53=4,INDEX('卡片raw data'!AJ:AJ,MATCH($D53,'卡片raw data'!$F:$F,)),0)+IF($P53=5,INDEX('卡片raw data'!AM:AM,MATCH($D53,'卡片raw data'!$F:$F,)),0)+INDEX('卡片raw data'!U:U,MATCH($D53,'卡片raw data'!$F:$F,))*(IF($F53="UR",0.04,0.033))*(IF($F53="UR",INDEX(绊状态确认!$S:$S,MATCH($G53,绊状态确认!$B:$B,))/2-40)+IF($F53="SR",INDEX(绊状态确认!$R:$R,MATCH($G53,绊状态确认!$B:$B,))/4-15))+IF($F53="R",INDEX(绊状态确认!$Q:$Q,MATCH($G53,绊状态确认!$B:$B,))/6-40/6)))*(INDEX(绊状态确认!$H:$H,MATCH($G53,绊状态确认!$B:$B,))+INDEX(绊状态确认!L:L,MATCH($G53,绊状态确认!$B:$B,)))</f>
        <v>4809.2447999999995</v>
      </c>
      <c r="AO53" s="1107">
        <f t="shared" si="21"/>
        <v>1</v>
      </c>
      <c r="AP53" s="1131">
        <f>1+(INDEX(绊状态确认!$T:$T,MATCH($G53,绊状态确认!$B:$B,))+0.2)*$AO53</f>
        <v>1.3</v>
      </c>
      <c r="AQ53" s="1108">
        <f t="shared" si="22"/>
        <v>14072.5054</v>
      </c>
      <c r="AR53" s="1097">
        <f>(AM53*(1+$EX$9)+$EX$35)*(1+(INDEX(绊状态确认!$T:$T,MATCH($G53,绊状态确认!$B:$B,))+0.2)*AO53)*IF(J53=$FF$17,1+$FE$17,1)*IF(I53=$FF$14,1+$FE$14,1)</f>
        <v>9268.6191519999993</v>
      </c>
      <c r="AS53" s="1097">
        <f>(AN53*(1+$EX$10)+$EX$36)*(1+(INDEX(绊状态确认!$T:$T,MATCH($G53,绊状态确认!$B:$B,))+0.2)*AO53)*IF(J53=$FF$17,1+$FE$17,1)*IF(I53=$FF$14,1+$FE$14,1)</f>
        <v>11245.820975999999</v>
      </c>
      <c r="AT53" s="1093">
        <f>IF(AND(INDEX('卡片raw data'!AK:AK,MATCH($D53,'卡片raw data'!$F:$F,))&lt;INDEX('卡片raw data'!AM:AM,MATCH($D53,'卡片raw data'!$F:$F,)),INDEX('卡片raw data'!AL:AL,MATCH($D53,'卡片raw data'!$F:$F,))&lt;INDEX('卡片raw data'!AM:AM,MATCH($D53,'卡片raw data'!$F:$F,))),1,0)</f>
        <v>0</v>
      </c>
      <c r="AU53" s="1098">
        <f>MIN(AT53*0.15+AS53*0.00003+INDEX(绊状态确认!M:M,MATCH($G53,绊状态确认!$B:$B,)),1)</f>
        <v>0.36737462928000003</v>
      </c>
      <c r="AV53" s="1109">
        <f>(INDEX(绊状态确认!$N:$N,MATCH($G53,绊状态确认!$B:$B,))+1.5)*$EW$21</f>
        <v>2.6599999999999997</v>
      </c>
      <c r="AW53" s="1101">
        <f t="shared" si="23"/>
        <v>11765.54394911324</v>
      </c>
      <c r="AX53" s="1097">
        <f t="shared" si="24"/>
        <v>788.87850449686971</v>
      </c>
      <c r="AY53" s="1110">
        <f t="shared" si="25"/>
        <v>12554.42245361011</v>
      </c>
      <c r="AZ53" s="429">
        <f t="shared" si="26"/>
        <v>10639.575440000001</v>
      </c>
      <c r="BA53" s="431">
        <f t="shared" si="27"/>
        <v>12767.490528</v>
      </c>
      <c r="BB53" s="1097">
        <f>(AM53*(1+$FB$9)+$FB$35)*(1+(INDEX(绊状态确认!$T:$T,MATCH($G53,绊状态确认!$B:$B,))+0.2)*AO53)*IF(J53=$FF$17,1+$FE$17,1)*IF(I53=$FF$14,1+$FE$14,1)*(1+$FE$15)</f>
        <v>9268.6191519999993</v>
      </c>
      <c r="BC53" s="1097">
        <f>(AN53*(1+$FB$10)+$FB$36)*(1+(INDEX(绊状态确认!$T:$T,MATCH($G53,绊状态确认!$B:$B,))+0.2)*AO53)*IF(J53=$FF$17,1+$FE$17,1)*IF(I53=$FF$14,1+$FE$14,1)*(1+$FE$15)</f>
        <v>11245.820975999999</v>
      </c>
      <c r="BD53" s="1104">
        <f>MIN(AT53*0.15+BC53*0.00003+INDEX(绊状态确认!M:M,MATCH($G53,绊状态确认!$B:$B,)),1)</f>
        <v>0.36737462928000003</v>
      </c>
      <c r="BE53" s="432">
        <f>(INDEX(绊状态确认!$N:$N,MATCH($G53,绊状态确认!$B:$B,))+1.5)</f>
        <v>1.9</v>
      </c>
      <c r="BF53" s="1139">
        <f t="array" ref="BF53">SUMPRODUCT(IF(AZ53*AP53*$FI$16:$FI$23*$FA$22&gt;=$FI$24,$FI$24,AZ53*AP53*$FI$16:$FI$23*$FA$22),$FJ$16:$FJ$23)</f>
        <v>21162.115550160001</v>
      </c>
      <c r="BG53" s="1125">
        <f t="array" ref="BG53">SUMPRODUCT(IF(BE53*AZ53*AP53*$FI$16:$FI$23*$FA$22&gt;=$FI$24,$FI$24,BE53*AZ53*AP53*$FI$16:$FI$23*$FA$22),$FJ$16:$FJ$23)</f>
        <v>40208.019545304</v>
      </c>
      <c r="BH53" s="1110">
        <f t="shared" si="28"/>
        <v>9386.365823226166</v>
      </c>
      <c r="BI53" s="1111">
        <f>IF(O53="vo",$EW$26/$EW$24*0.05,0)+IF(O53="sk",-$EW$26/$EW$24*(0.05-INDEX(绊状态确认!W:W,MATCH($G53,绊状态确认!$B:$B,)))+0.05*$EW$28,0)+IF(O53="sp",0.05*$EW$32*$EW$30*(1-$EW$33)-(0.05-INDEX(绊状态确认!V:V,MATCH($G53,绊状态确认!$B:$B,)))*$EW$28,0)+IF(O53="gd",-(0.05-INDEX(绊状态确认!X:X,MATCH($G53,绊状态确认!$B:$B,)))*$EW$32*$EW$30*(1-$EW$33),0)</f>
        <v>19.999999999999886</v>
      </c>
      <c r="BJ53" s="1097">
        <f>IF(O53="vo",0.05*(1-$FI$26)*$FA$24,0)+IF(O53="sk",-(0.05-INDEX(绊状态确认!W:W,MATCH($G53,绊状态确认!$B:$B,)))*(1-$FI$26)*$FA$24+0.05*$FA$26,0)+IF(O53="sp",0.05*$FA$32*$FA$27*(1-$FA$33)/$FA$30+0.05*$FA$29/$FA$69*$FA$27*(1-$FA$33)-(0.05-INDEX(绊状态确认!V:V,MATCH($G53,绊状态确认!$B:$B,)))*$FA$26,0)+IF(O53="gd",-(0.05-INDEX(绊状态确认!X:X,MATCH($G53,绊状态确认!$B:$B,)))*$FA$32*$FA$27*(1-$FA$33)/$FA$30-(0.05-INDEX(绊状态确认!X:X,MATCH($G53,绊状态确认!$B:$B,)))*$FA$29/$FA$69*$FA$27*(1-$FA$33),0)</f>
        <v>545.83333333333326</v>
      </c>
      <c r="BK53" s="1110">
        <f>IF(O53="vo",$EW$26/$EW$24*0.05+$EW$26*(-HP($EW$62,$EW$65,$EW$64)+HP($EW$62,$EW$65,(1.05-INDEX(绊状态确认!U:U,MATCH($G53,绊状态确认!$B:$B,)))*$EW$64)),0)+IF(O53="sk",-$EW$26/$EW$24*(0.05-INDEX(绊状态确认!W:W,MATCH($G53,绊状态确认!$B:$B,)))+0.05*$EW$29,0)+IF(O53="sp",0.05*$EW$32*$EW$30*(1-$EW$33)-(0.05-INDEX(绊状态确认!V:V,MATCH($G53,绊状态确认!$B:$B,)))*$EW$29,0)+IF(O53="gd",-(0.05-INDEX(绊状态确认!X:X,MATCH($G53,绊状态确认!$B:$B,)))*$EW$32*$EW$30*(1-$EW$33)+$EW$26*(-HP($EW$62,$EW$65,$EW$64)+HP($EW$62,$EW$65,0.95*$EW$64)),0)</f>
        <v>-1780.0000000000005</v>
      </c>
      <c r="BL53" s="1111">
        <f t="shared" si="29"/>
        <v>-2166.6666666666665</v>
      </c>
      <c r="BM53" s="1110">
        <f t="shared" si="30"/>
        <v>-1661.1111111111109</v>
      </c>
      <c r="BN53" s="1113">
        <f t="shared" si="31"/>
        <v>2</v>
      </c>
      <c r="BO53" s="1097">
        <f t="shared" si="32"/>
        <v>3005.1476580839999</v>
      </c>
      <c r="BP53" s="1100">
        <f t="shared" si="33"/>
        <v>147.56068806020068</v>
      </c>
      <c r="BQ53" s="1113" t="s">
        <v>616</v>
      </c>
      <c r="BR53" s="1124" t="s">
        <v>621</v>
      </c>
      <c r="BS53" s="1098">
        <f>IF($P53="","N/A",IF($P53=-1,INDEX('卡片raw data'!AX:AX,MATCH($D53,'卡片raw data'!$F:$F,)),0)+IF($L53="party卡",IF($P53=5,INDEX('卡片raw data'!BD:BD,MATCH($D53,'卡片raw data'!$F:$F,)),IF($P53&gt;=3,INDEX('卡片raw data'!BC:BC,MATCH($D53,'卡片raw data'!$F:$F,)),INDEX('卡片raw data'!BB:BB,MATCH($D53,'卡片raw data'!$F:$F,)))),IF(OR(AND($F53="UR",$P53=0),AND($F53="SR",$P53&gt;=0,$P53&lt;=2),AND($F53="R",$P53&gt;=0,$P53&lt;4)),INDEX('卡片raw data'!AZ:AZ,MATCH($D53,'卡片raw data'!$F:$F,)),0)+IF(OR(AND($F53="UR",$P53&gt;=1,$P53&lt;=4),AND($F53="SR",$P53&lt;=4,$P53&gt;=3),AND($F53="R",$P53=4)),INDEX('卡片raw data'!BA:BA,MATCH($D53,'卡片raw data'!$F:$F,)),0)+IF($P53=5,INDEX('卡片raw data'!BB:BB,MATCH($D53,'卡片raw data'!$F:$F,)),0)))</f>
        <v>3.2000000000000001E-2</v>
      </c>
      <c r="BT53" s="1101">
        <f t="shared" si="34"/>
        <v>922.31759700615794</v>
      </c>
      <c r="BU53" s="1097">
        <f t="shared" si="35"/>
        <v>66.714181939264861</v>
      </c>
      <c r="BV53" s="1097">
        <f t="shared" si="36"/>
        <v>251.5411628198612</v>
      </c>
      <c r="BW53" s="1112">
        <f t="shared" si="37"/>
        <v>0</v>
      </c>
      <c r="BX53" s="1100">
        <f t="shared" si="38"/>
        <v>922.31759700615794</v>
      </c>
      <c r="BY53" s="1110">
        <f t="shared" si="39"/>
        <v>251.5411628198612</v>
      </c>
      <c r="BZ53" s="1107" t="s">
        <v>569</v>
      </c>
      <c r="CA53" s="1124"/>
      <c r="CB53" s="1098">
        <f>IF($P53="","N/A",IF($P53=-1,INDEX('卡片raw data'!BE:BE,MATCH($D53,'卡片raw data'!$F:$F,)),0)+IF($L53="party卡",IF($P53=5,INDEX('卡片raw data'!BK:BK,MATCH($D53,'卡片raw data'!$F:$F,)),IF($P53&gt;=3,INDEX('卡片raw data'!BJ:BJ,MATCH($D53,'卡片raw data'!$F:$F,)),INDEX('卡片raw data'!BI:BI,MATCH($D53,'卡片raw data'!$F:$F,)))),IF(OR(AND($F53="UR",$P53=0),AND($F53="SR",$P53&gt;=0,$P53&lt;=2),AND($F53="R",$P53&gt;=0,$P53&lt;4)),INDEX('卡片raw data'!BG:BG,MATCH($D53,'卡片raw data'!$F:$F,)),0)+IF(OR(AND($F53="UR",$P53&gt;=1,$P53&lt;=4),AND($F53="SR",$P53&lt;=4,$P53&gt;=3),AND($F53="R",$P53=4)),INDEX('卡片raw data'!BH:BH,MATCH($D53,'卡片raw data'!$F:$F,)),0)+IF($P53=5,INDEX('卡片raw data'!BI:BI,MATCH($D53,'卡片raw data'!$F:$F,)),0)))</f>
        <v>0</v>
      </c>
      <c r="CC53" s="1101">
        <f t="shared" si="40"/>
        <v>0</v>
      </c>
      <c r="CD53" s="1097">
        <f>IF(BZ53="ap",CB53*(1-$FI$26)*$FB$5/$FB$11*(+IF(CA53="全员",$FA$24,0)+IF(CA53="同作战",$FA$24,0)+IF(CA53="仲间",$FA$24*2/3,0)+IF(CA53="同属性",$FA$24*$FA$37/3,0)+IF(CA53="同年级",$FA$24*$FA$40/3,0)+IF(CA53="同学校",$FA$24*$FA$43/3,0)+IF(CA53="同小队",$FA$24*$FA$46/3,0)+IF(CA53="同type",$FA$24*INDEX($FB$49:$FB$52,MATCH(X53,$FA$49:$FA$52,))/3,0)+IF(CA53="自身",#REF!/3,0)),0)+IF(BZ53="te",CB53*(1-$FI$27)*($FA$20-1)*$FB$7/$FB$13*(+IF(CA53="全员",$FA$19*$FA$24/(1+($FA$20-1)*$FA$19),0)+IF(CA53="同作战",$FA$19*$FA$24/(1+($FA$20-1)*$FA$19),0)+IF(CA53="仲间",$FA$19*$FA$24*2/3/(1+($FA$20-1)*$FA$19),0)+IF(CA53="同属性",$FA$19*$FA$24*$FA$37/3/(1+($FA$20-1)*$FA$19),0)+IF(CA53="同年级",$FA$19*$FA$24*$FA$40/3/(1+($FA$20-1)*$FA$19),0)+IF(CA53="同学校",$FA$19*$FA$24*$FA$43/3/(1+($FA$20-1)*$FA$19),0)+IF(CA53="同小队",$FA$19*$FA$24*$FA$46/3/(1+($FA$20-1)*$FA$19),0)+IF(CA53="同type",$FA$19*$FA$24*INDEX($FB$49:$FB$52,MATCH(X53,$FA$49:$FA$52,))/3/(1+($FA$20-1)*$FA$19),0)+IF(CA53="自身",$FA$19*#REF!/3/(1+(BH53-1)*$BD53),0)),0)</f>
        <v>0</v>
      </c>
      <c r="CE53" s="1097">
        <f t="shared" si="41"/>
        <v>0</v>
      </c>
      <c r="CF53" s="1112">
        <f t="shared" si="42"/>
        <v>0</v>
      </c>
      <c r="CG53" s="1100">
        <f t="shared" si="43"/>
        <v>0</v>
      </c>
      <c r="CH53" s="1110">
        <f t="shared" si="44"/>
        <v>0</v>
      </c>
      <c r="CI53" s="1113"/>
      <c r="CJ53" s="1114"/>
      <c r="CK53" s="1115" t="s">
        <v>569</v>
      </c>
      <c r="CL53" s="1115"/>
      <c r="CM53" s="1119"/>
      <c r="CN53" s="1115"/>
      <c r="CO53" s="1092"/>
      <c r="CP53" s="1117">
        <f t="shared" si="45"/>
        <v>0</v>
      </c>
      <c r="CQ53" s="1117">
        <f t="shared" si="46"/>
        <v>0</v>
      </c>
      <c r="CR53" s="1117">
        <f t="shared" si="47"/>
        <v>0</v>
      </c>
      <c r="CS53" s="1118">
        <f t="shared" si="48"/>
        <v>0</v>
      </c>
      <c r="CT53" s="1109">
        <f t="shared" si="49"/>
        <v>0</v>
      </c>
      <c r="CU53" s="1101">
        <f t="shared" si="50"/>
        <v>0</v>
      </c>
      <c r="CV53" s="1108">
        <f t="shared" si="51"/>
        <v>0</v>
      </c>
      <c r="CW53" s="1097">
        <f t="shared" si="52"/>
        <v>0</v>
      </c>
      <c r="CX53" s="1097">
        <f t="shared" si="53"/>
        <v>0</v>
      </c>
      <c r="CY53" s="1110">
        <f t="shared" si="54"/>
        <v>0</v>
      </c>
      <c r="CZ53" s="437"/>
      <c r="DA53" s="438"/>
      <c r="DB53" s="439" t="s">
        <v>569</v>
      </c>
      <c r="DC53" s="439"/>
      <c r="DD53" s="443"/>
      <c r="DE53" s="411"/>
      <c r="DF53" s="411"/>
      <c r="DG53" s="1116">
        <f t="shared" si="55"/>
        <v>0</v>
      </c>
      <c r="DH53" s="1116">
        <f t="shared" si="56"/>
        <v>0</v>
      </c>
      <c r="DI53" s="1116">
        <f t="shared" si="57"/>
        <v>0</v>
      </c>
      <c r="DJ53" s="442">
        <f t="shared" si="58"/>
        <v>0</v>
      </c>
      <c r="DK53" s="1109">
        <f t="shared" si="59"/>
        <v>0</v>
      </c>
      <c r="DL53" s="1101">
        <f t="shared" si="60"/>
        <v>0</v>
      </c>
      <c r="DM53" s="1097">
        <f t="shared" si="61"/>
        <v>0</v>
      </c>
      <c r="DN53" s="1097">
        <f t="shared" si="62"/>
        <v>0</v>
      </c>
      <c r="DO53" s="1097">
        <f t="shared" si="63"/>
        <v>0</v>
      </c>
      <c r="DP53" s="1110">
        <f t="shared" si="64"/>
        <v>0</v>
      </c>
      <c r="DQ53" s="1113" t="s">
        <v>547</v>
      </c>
      <c r="DR53" s="1120">
        <f t="shared" si="65"/>
        <v>0.3</v>
      </c>
      <c r="DS53" s="1124">
        <v>10</v>
      </c>
      <c r="DT53" s="1093" t="s">
        <v>161</v>
      </c>
      <c r="DU53" s="1093" t="s">
        <v>544</v>
      </c>
      <c r="DV53" s="1098">
        <f>IF($P53="","N/A",IF(P53=-1,INDEX('卡片raw data'!AN:AN,MATCH(D53,'卡片raw data'!$F:$F,)),0)+IF(AND(L53&lt;&gt;"party卡",P53&lt;=2,P53&gt;=0),INDEX('卡片raw data'!AP:AP,MATCH(D53,'卡片raw data'!$F:$F,)),0)+IF(OR(AND(L53="party卡",P53&lt;=1),AND(P53&lt;=4,L53&lt;&gt;"party卡",P53&gt;=3)),INDEX('卡片raw data'!AQ:AQ,MATCH(D53,'卡片raw data'!$F:$F,)),0)+IF(OR(P53=5,AND(L53="party卡",P53&gt;=2)),INDEX('卡片raw data'!AR:AR,MATCH(D53,'卡片raw data'!$F:$F,)),0))</f>
        <v>4.2000000000000003E-2</v>
      </c>
      <c r="DW53" s="1098">
        <f t="shared" si="66"/>
        <v>0.3</v>
      </c>
      <c r="DX53" s="1098">
        <f t="shared" si="67"/>
        <v>0.3</v>
      </c>
      <c r="DY53" s="1098">
        <f t="shared" si="68"/>
        <v>4.1999999999999996E-2</v>
      </c>
      <c r="DZ53" s="1098">
        <f t="shared" si="69"/>
        <v>3.6329999999999994E-2</v>
      </c>
      <c r="EA53" s="1098">
        <f t="shared" si="70"/>
        <v>0</v>
      </c>
      <c r="EB53" s="1121">
        <f t="shared" si="71"/>
        <v>8.3802468749999992</v>
      </c>
      <c r="EC53" s="1101">
        <f t="shared" si="72"/>
        <v>545.99999999999989</v>
      </c>
      <c r="ED53" s="1097">
        <f t="shared" si="73"/>
        <v>362.08899999999988</v>
      </c>
      <c r="EE53" s="1110">
        <f t="shared" si="74"/>
        <v>545.99999999999989</v>
      </c>
      <c r="EF53" s="1092" t="s">
        <v>711</v>
      </c>
      <c r="EG53" s="1120">
        <f t="shared" si="75"/>
        <v>0.3</v>
      </c>
      <c r="EH53" s="1124"/>
      <c r="EI53" s="1093"/>
      <c r="EJ53" s="1093"/>
      <c r="EK53" s="1097">
        <f>IF($P53="","N/A",IF(P53=-1,INDEX('卡片raw data'!AS:AS,MATCH(D53,'卡片raw data'!$F:$F,)),0)+IF(AND(L53&lt;&gt;"party卡",P53&lt;=2,P53&gt;=0),INDEX('卡片raw data'!AU:AU,MATCH(D53,'卡片raw data'!$F:$F,)),0)+IF(OR(AND(L53="party卡",P53&lt;=1),AND(P53&lt;=4,L53&lt;&gt;"party卡",P53&gt;=3)),INDEX('卡片raw data'!AV:AV,MATCH(D53,'卡片raw data'!$F:$F,)),0)+IF(OR(P53=5,AND(L53="party卡",P53&gt;=2)),INDEX('卡片raw data'!AW:AW,MATCH(D53,'卡片raw data'!$F:$F,)),0))</f>
        <v>0</v>
      </c>
      <c r="EL53" s="1098">
        <f t="shared" si="76"/>
        <v>0.3</v>
      </c>
      <c r="EM53" s="1098">
        <f t="shared" si="77"/>
        <v>0.3</v>
      </c>
      <c r="EN53" s="1125">
        <f t="shared" si="78"/>
        <v>0</v>
      </c>
      <c r="EO53" s="1125">
        <f t="shared" si="79"/>
        <v>0</v>
      </c>
      <c r="EP53" s="1098">
        <f t="shared" si="80"/>
        <v>0</v>
      </c>
      <c r="EQ53" s="1121">
        <f t="shared" si="81"/>
        <v>0</v>
      </c>
      <c r="ER53" s="1101">
        <f t="shared" si="82"/>
        <v>0</v>
      </c>
      <c r="ES53" s="1097">
        <f t="shared" si="83"/>
        <v>0</v>
      </c>
      <c r="ET53" s="1122">
        <f t="shared" si="84"/>
        <v>0</v>
      </c>
      <c r="EV53" s="1393" t="s">
        <v>1950</v>
      </c>
      <c r="EW53" s="1236" t="s">
        <v>13</v>
      </c>
      <c r="EX53" s="1237">
        <v>0.9</v>
      </c>
      <c r="EY53" s="1232"/>
      <c r="EZ53" s="1384" t="s">
        <v>254</v>
      </c>
      <c r="FA53" s="1238" t="s">
        <v>13</v>
      </c>
      <c r="FB53" s="1219">
        <v>3.5</v>
      </c>
      <c r="FD53" s="447"/>
      <c r="FE53" s="447"/>
      <c r="FF53" s="447"/>
      <c r="FH53" s="447"/>
      <c r="FI53" s="447"/>
      <c r="FJ53" s="447"/>
    </row>
    <row r="54" spans="2:166" ht="16.5" customHeight="1">
      <c r="B54" s="1123" t="str">
        <f>INDEX('卡片raw data'!B:B,MATCH($D54,'卡片raw data'!$F:$F,))</f>
        <v>啦啦黛</v>
      </c>
      <c r="C54" s="449" t="s">
        <v>124</v>
      </c>
      <c r="D54" s="408">
        <v>51</v>
      </c>
      <c r="E54" s="1090">
        <v>101042001</v>
      </c>
      <c r="F54" s="1090" t="str">
        <f>INDEX('卡片raw data'!C:C,MATCH($D54,'卡片raw data'!$F:$F,))</f>
        <v>SR</v>
      </c>
      <c r="G54" s="1094" t="s">
        <v>341</v>
      </c>
      <c r="H54" s="411">
        <f>IFERROR(INDEX(绊状态确认!C:C,MATCH($G54,绊状态确认!$B:$B,)),"")</f>
        <v>104</v>
      </c>
      <c r="I54" s="450" t="str">
        <f>IFERROR(INDEX(绊状态确认!D:D,MATCH($G54,绊状态确认!$B:$B,)),"")</f>
        <v>水</v>
      </c>
      <c r="J54" s="450" t="str">
        <f>IFERROR(INDEX(绊状态确认!E:E,MATCH($G54,绊状态确认!$B:$B,)),"")</f>
        <v>3年级</v>
      </c>
      <c r="K54" s="451" t="str">
        <f>IFERROR(INDEX(绊状态确认!F:F,MATCH($G54,绊状态确认!$B:$B,)),"")</f>
        <v>AZALEA</v>
      </c>
      <c r="L54" s="1094" t="str">
        <f>INDEX('卡片raw data'!E:E,MATCH($D54,'卡片raw data'!$F:$F,))</f>
        <v>卡池卡</v>
      </c>
      <c r="M54" s="415">
        <v>43735</v>
      </c>
      <c r="N54" s="416">
        <v>0</v>
      </c>
      <c r="O54" s="1091" t="str">
        <f>INDEX('卡片raw data'!D:D,MATCH($D54,'卡片raw data'!$F:$F,))</f>
        <v>gd</v>
      </c>
      <c r="P54" s="417">
        <v>5</v>
      </c>
      <c r="Q54" s="1095">
        <f t="shared" si="0"/>
        <v>18609.349053587655</v>
      </c>
      <c r="R54" s="1096">
        <f t="shared" si="1"/>
        <v>0.216</v>
      </c>
      <c r="S54" s="1097">
        <f t="shared" si="2"/>
        <v>10896.678171632484</v>
      </c>
      <c r="T54" s="1098">
        <f t="shared" si="3"/>
        <v>0.54400000000000004</v>
      </c>
      <c r="U54" s="1099">
        <f t="shared" si="4"/>
        <v>456.58179157201994</v>
      </c>
      <c r="V54" s="1100">
        <f t="shared" si="5"/>
        <v>69816.94026001617</v>
      </c>
      <c r="W54" s="1101">
        <f t="shared" si="6"/>
        <v>4507.7214871259994</v>
      </c>
      <c r="X54" s="1096">
        <f t="shared" si="7"/>
        <v>5.1999999999999998E-2</v>
      </c>
      <c r="Y54" s="1097">
        <f t="shared" si="8"/>
        <v>1177.9653442871504</v>
      </c>
      <c r="Z54" s="1102">
        <f t="shared" si="9"/>
        <v>14.727119638579939</v>
      </c>
      <c r="AA54" s="1103">
        <f t="shared" si="10"/>
        <v>5685.6868314131498</v>
      </c>
      <c r="AB54" s="1101">
        <f t="shared" si="11"/>
        <v>4507.7214871259994</v>
      </c>
      <c r="AC54" s="1104">
        <f t="shared" si="12"/>
        <v>5.1999999999999998E-2</v>
      </c>
      <c r="AD54" s="1105">
        <f t="shared" si="13"/>
        <v>-3.8207812500000026E-3</v>
      </c>
      <c r="AE54" s="1128">
        <f t="shared" si="14"/>
        <v>-18.525362318840578</v>
      </c>
      <c r="AF54" s="1130">
        <f t="shared" si="15"/>
        <v>6487.3008319641604</v>
      </c>
      <c r="AG54" s="420">
        <f t="shared" si="16"/>
        <v>102687.1633373254</v>
      </c>
      <c r="AH54" s="420">
        <f t="shared" si="17"/>
        <v>15.828950436731143</v>
      </c>
      <c r="AI54" s="1097">
        <f t="shared" si="18"/>
        <v>95168.08545992311</v>
      </c>
      <c r="AJ54" s="420">
        <f t="shared" si="19"/>
        <v>69816.94026001617</v>
      </c>
      <c r="AK54" s="518">
        <f t="shared" si="20"/>
        <v>25351.14519990694</v>
      </c>
      <c r="AL54" s="1106">
        <f>IF($P54="","N/A",(IF($P54=-1,INDEX('卡片raw data'!S:S,MATCH($D54,'卡片raw data'!$F:$F,)),0)+IF($P54=0,INDEX('卡片raw data'!V:V,MATCH($D54,'卡片raw data'!$F:$F,)),0)+IF($P54=1,INDEX('卡片raw data'!Y:Y,MATCH($D54,'卡片raw data'!$F:$F,)),0)+IF($P54=2,INDEX('卡片raw data'!AB:AB,MATCH($D54,'卡片raw data'!$F:$F,)),0)+IF($P54=3,INDEX('卡片raw data'!AE:AE,MATCH($D54,'卡片raw data'!$F:$F,)),0)+IF($P54=4,INDEX('卡片raw data'!AH:AH,MATCH($D54,'卡片raw data'!$F:$F,)),0)+IF($P54=5,INDEX('卡片raw data'!AK:AK,MATCH($D54,'卡片raw data'!$F:$F,)),0)+INDEX('卡片raw data'!S:S,MATCH($D54,'卡片raw data'!$F:$F,))*(IF($F54="UR",0.04,0.033))*(IF($F54="UR",INDEX(绊状态确认!$S:$S,MATCH($G54,绊状态确认!$B:$B,))/2-40)+IF($F54="SR",INDEX(绊状态确认!$R:$R,MATCH($G54,绊状态确认!$B:$B,))/4-15))+IF($F54="R",INDEX(绊状态确认!$Q:$Q,MATCH($G54,绊状态确认!$B:$B,))/6-40/6)))*(INDEX(绊状态确认!$H:$H,MATCH($G54,绊状态确认!$B:$B,))+INDEX(绊状态确认!J:J,MATCH($G54,绊状态确认!$B:$B,)))</f>
        <v>5671.8178559999997</v>
      </c>
      <c r="AM54" s="1106">
        <f>IF($P54="","N/A",(IF($P54=-1,INDEX('卡片raw data'!T:T,MATCH($D54,'卡片raw data'!$F:$F,)),0)+IF($P54=0,INDEX('卡片raw data'!W:W,MATCH($D54,'卡片raw data'!$F:$F,)),0)+IF($P54=1,INDEX('卡片raw data'!Z:Z,MATCH($D54,'卡片raw data'!$F:$F,)),0)+IF($P54=2,INDEX('卡片raw data'!AC:AC,MATCH($D54,'卡片raw data'!$F:$F,)),0)+IF($P54=3,INDEX('卡片raw data'!AF:AF,MATCH($D54,'卡片raw data'!$F:$F,)),0)+IF($P54=4,INDEX('卡片raw data'!AI:AI,MATCH($D54,'卡片raw data'!$F:$F,)),0)+IF($P54=5,INDEX('卡片raw data'!AL:AL,MATCH($D54,'卡片raw data'!$F:$F,)),0)+INDEX('卡片raw data'!T:T,MATCH($D54,'卡片raw data'!$F:$F,))*(IF($F54="UR",0.04,0.033))*(IF($F54="UR",INDEX(绊状态确认!$S:$S,MATCH($G54,绊状态确认!$B:$B,))/2-40)+IF($F54="SR",INDEX(绊状态确认!$R:$R,MATCH($G54,绊状态确认!$B:$B,))/4-15))+IF($F54="R",INDEX(绊状态确认!$Q:$Q,MATCH($G54,绊状态确认!$B:$B,))/6-40/6)))*(INDEX(绊状态确认!$H:$H,MATCH($G54,绊状态确认!$B:$B,))+INDEX(绊状态确认!K:K,MATCH($G54,绊状态确认!$B:$B,)))</f>
        <v>7562.4238079999996</v>
      </c>
      <c r="AN54" s="1106">
        <f>IF($P54="","N/A",(IF($P54=-1,INDEX('卡片raw data'!U:U,MATCH($D54,'卡片raw data'!$F:$F,)),0)+IF($P54=0,INDEX('卡片raw data'!X:X,MATCH($D54,'卡片raw data'!$F:$F,)),0)+IF($P54=1,INDEX('卡片raw data'!AA:AA,MATCH($D54,'卡片raw data'!$F:$F,)),0)+IF($P54=2,INDEX('卡片raw data'!AD:AD,MATCH($D54,'卡片raw data'!$F:$F,)),0)+IF($P54=3,INDEX('卡片raw data'!AG:AG,MATCH($D54,'卡片raw data'!$F:$F,)),0)+IF($P54=4,INDEX('卡片raw data'!AJ:AJ,MATCH($D54,'卡片raw data'!$F:$F,)),0)+IF($P54=5,INDEX('卡片raw data'!AM:AM,MATCH($D54,'卡片raw data'!$F:$F,)),0)+INDEX('卡片raw data'!U:U,MATCH($D54,'卡片raw data'!$F:$F,))*(IF($F54="UR",0.04,0.033))*(IF($F54="UR",INDEX(绊状态确认!$S:$S,MATCH($G54,绊状态确认!$B:$B,))/2-40)+IF($F54="SR",INDEX(绊状态确认!$R:$R,MATCH($G54,绊状态确认!$B:$B,))/4-15))+IF($F54="R",INDEX(绊状态确认!$Q:$Q,MATCH($G54,绊状态确认!$B:$B,))/6-40/6)))*(INDEX(绊状态确认!$H:$H,MATCH($G54,绊状态确认!$B:$B,))+INDEX(绊状态确认!L:L,MATCH($G54,绊状态确认!$B:$B,)))</f>
        <v>5671.8178559999997</v>
      </c>
      <c r="AO54" s="1107">
        <f t="shared" si="21"/>
        <v>1</v>
      </c>
      <c r="AP54" s="1131">
        <f>1+(INDEX(绊状态确认!$T:$T,MATCH($G54,绊状态确认!$B:$B,))+0.2)*$AO54</f>
        <v>1.3</v>
      </c>
      <c r="AQ54" s="1108">
        <f t="shared" si="22"/>
        <v>18138.521871999998</v>
      </c>
      <c r="AR54" s="1097">
        <f>(AM54*(1+$EX$9)+$EX$35)*(1+(INDEX(绊状态确认!$T:$T,MATCH($G54,绊状态确认!$B:$B,))+0.2)*AO54)*IF(J54=$FF$17,1+$FE$17,1)*IF(I54=$FF$14,1+$FE$14,1)</f>
        <v>13026.708497920001</v>
      </c>
      <c r="AS54" s="1097">
        <f>(AN54*(1+$EX$10)+$EX$36)*(1+(INDEX(绊状态确认!$T:$T,MATCH($G54,绊状态确认!$B:$B,))+0.2)*AO54)*IF(J54=$FF$17,1+$FE$17,1)*IF(I54=$FF$14,1+$FE$14,1)</f>
        <v>12535.367694719998</v>
      </c>
      <c r="AT54" s="1093">
        <f>IF(AND(INDEX('卡片raw data'!AK:AK,MATCH($D54,'卡片raw data'!$F:$F,))&lt;INDEX('卡片raw data'!AM:AM,MATCH($D54,'卡片raw data'!$F:$F,)),INDEX('卡片raw data'!AL:AL,MATCH($D54,'卡片raw data'!$F:$F,))&lt;INDEX('卡片raw data'!AM:AM,MATCH($D54,'卡片raw data'!$F:$F,))),1,0)</f>
        <v>0</v>
      </c>
      <c r="AU54" s="1098">
        <f>MIN(AT54*0.15+AS54*0.00003+INDEX(绊状态确认!M:M,MATCH($G54,绊状态确认!$B:$B,)),1)</f>
        <v>0.4060610308416</v>
      </c>
      <c r="AV54" s="1109">
        <f>(INDEX(绊状态确认!$N:$N,MATCH($G54,绊状态确认!$B:$B,))+1.5)*$EW$21</f>
        <v>2.6599999999999997</v>
      </c>
      <c r="AW54" s="1101">
        <f t="shared" si="23"/>
        <v>15769.960899794989</v>
      </c>
      <c r="AX54" s="1097">
        <f t="shared" si="24"/>
        <v>1117.9252997195524</v>
      </c>
      <c r="AY54" s="1110">
        <f t="shared" si="25"/>
        <v>16887.886199514542</v>
      </c>
      <c r="AZ54" s="429">
        <f t="shared" si="26"/>
        <v>13660.044819199999</v>
      </c>
      <c r="BA54" s="431">
        <f t="shared" si="27"/>
        <v>16392.053783039999</v>
      </c>
      <c r="BB54" s="1097">
        <f>(AM54*(1+$FB$9)+$FB$35)*(1+(INDEX(绊状态确认!$T:$T,MATCH($G54,绊状态确认!$B:$B,))+0.2)*AO54)*IF(J54=$FF$17,1+$FE$17,1)*IF(I54=$FF$14,1+$FE$14,1)*(1+$FE$15)</f>
        <v>13026.708497920001</v>
      </c>
      <c r="BC54" s="1097">
        <f>(AN54*(1+$FB$10)+$FB$36)*(1+(INDEX(绊状态确认!$T:$T,MATCH($G54,绊状态确认!$B:$B,))+0.2)*AO54)*IF(J54=$FF$17,1+$FE$17,1)*IF(I54=$FF$14,1+$FE$14,1)*(1+$FE$15)</f>
        <v>12535.367694719998</v>
      </c>
      <c r="BD54" s="1104">
        <f>MIN(AT54*0.15+BC54*0.00003+INDEX(绊状态确认!M:M,MATCH($G54,绊状态确认!$B:$B,)),1)</f>
        <v>0.4060610308416</v>
      </c>
      <c r="BE54" s="432">
        <f>(INDEX(绊状态确认!$N:$N,MATCH($G54,绊状态确认!$B:$B,))+1.5)</f>
        <v>1.9</v>
      </c>
      <c r="BF54" s="1139">
        <f t="array" ref="BF54">SUMPRODUCT(IF(AZ54*AP54*$FI$16:$FI$23*$FA$22&gt;=$FI$24,$FI$24,AZ54*AP54*$FI$16:$FI$23*$FA$22),$FJ$16:$FJ$23)</f>
        <v>27169.829145388805</v>
      </c>
      <c r="BG54" s="1125">
        <f t="array" ref="BG54">SUMPRODUCT(IF(BE54*AZ54*AP54*$FI$16:$FI$23*$FA$22&gt;=$FI$24,$FI$24,BE54*AZ54*AP54*$FI$16:$FI$23*$FA$22),$FJ$16:$FJ$23)</f>
        <v>51138.760415971832</v>
      </c>
      <c r="BH54" s="1110">
        <f t="shared" si="28"/>
        <v>12300.892695097738</v>
      </c>
      <c r="BI54" s="1111">
        <f>IF(O54="vo",$EW$26/$EW$24*0.05,0)+IF(O54="sk",-$EW$26/$EW$24*(0.05-INDEX(绊状态确认!W:W,MATCH($G54,绊状态确认!$B:$B,)))+0.05*$EW$28,0)+IF(O54="sp",0.05*$EW$32*$EW$30*(1-$EW$33)-(0.05-INDEX(绊状态确认!V:V,MATCH($G54,绊状态确认!$B:$B,)))*$EW$28,0)+IF(O54="gd",-(0.05-INDEX(绊状态确认!X:X,MATCH($G54,绊状态确认!$B:$B,)))*$EW$32*$EW$30*(1-$EW$33),0)</f>
        <v>-585.00000000000011</v>
      </c>
      <c r="BJ54" s="1097">
        <f>IF(O54="vo",0.05*(1-$FI$26)*$FA$24,0)+IF(O54="sk",-(0.05-INDEX(绊状态确认!W:W,MATCH($G54,绊状态确认!$B:$B,)))*(1-$FI$26)*$FA$24+0.05*$FA$26,0)+IF(O54="sp",0.05*$FA$32*$FA$27*(1-$FA$33)/$FA$30+0.05*$FA$29/$FA$69*$FA$27*(1-$FA$33)-(0.05-INDEX(绊状态确认!V:V,MATCH($G54,绊状态确认!$B:$B,)))*$FA$26,0)+IF(O54="gd",-(0.05-INDEX(绊状态确认!X:X,MATCH($G54,绊状态确认!$B:$B,)))*$FA$32*$FA$27*(1-$FA$33)/$FA$30-(0.05-INDEX(绊状态确认!X:X,MATCH($G54,绊状态确认!$B:$B,)))*$FA$29/$FA$69*$FA$27*(1-$FA$33),0)</f>
        <v>-795.00000000000011</v>
      </c>
      <c r="BK54" s="1110">
        <f>IF(O54="vo",$EW$26/$EW$24*0.05+$EW$26*(-HP($EW$62,$EW$65,$EW$64)+HP($EW$62,$EW$65,(1.05-INDEX(绊状态确认!U:U,MATCH($G54,绊状态确认!$B:$B,)))*$EW$64)),0)+IF(O54="sk",-$EW$26/$EW$24*(0.05-INDEX(绊状态确认!W:W,MATCH($G54,绊状态确认!$B:$B,)))+0.05*$EW$29,0)+IF(O54="sp",0.05*$EW$32*$EW$30*(1-$EW$33)-(0.05-INDEX(绊状态确认!V:V,MATCH($G54,绊状态确认!$B:$B,)))*$EW$29,0)+IF(O54="gd",-(0.05-INDEX(绊状态确认!X:X,MATCH($G54,绊状态确认!$B:$B,)))*$EW$32*$EW$30*(1-$EW$33)+$EW$26*(-HP($EW$62,$EW$65,$EW$64)+HP($EW$62,$EW$65,0.95*$EW$64)),0)</f>
        <v>1009.5947725176144</v>
      </c>
      <c r="BL54" s="1111">
        <f t="shared" si="29"/>
        <v>-1083.3333333333333</v>
      </c>
      <c r="BM54" s="1110">
        <f t="shared" si="30"/>
        <v>-830.55555555555543</v>
      </c>
      <c r="BN54" s="1113">
        <f t="shared" si="31"/>
        <v>3</v>
      </c>
      <c r="BO54" s="1097">
        <f t="shared" si="32"/>
        <v>4507.7214871259994</v>
      </c>
      <c r="BP54" s="1100">
        <f t="shared" si="33"/>
        <v>221.34103209030098</v>
      </c>
      <c r="BQ54" s="1113" t="s">
        <v>618</v>
      </c>
      <c r="BR54" s="1124" t="s">
        <v>622</v>
      </c>
      <c r="BS54" s="1098">
        <f>IF($P54="","N/A",IF($P54=-1,INDEX('卡片raw data'!AX:AX,MATCH($D54,'卡片raw data'!$F:$F,)),0)+IF($L54="party卡",IF($P54=5,INDEX('卡片raw data'!BD:BD,MATCH($D54,'卡片raw data'!$F:$F,)),IF($P54&gt;=3,INDEX('卡片raw data'!BC:BC,MATCH($D54,'卡片raw data'!$F:$F,)),INDEX('卡片raw data'!BB:BB,MATCH($D54,'卡片raw data'!$F:$F,)))),IF(OR(AND($F54="UR",$P54=0),AND($F54="SR",$P54&gt;=0,$P54&lt;=2),AND($F54="R",$P54&gt;=0,$P54&lt;4)),INDEX('卡片raw data'!AZ:AZ,MATCH($D54,'卡片raw data'!$F:$F,)),0)+IF(OR(AND($F54="UR",$P54&gt;=1,$P54&lt;=4),AND($F54="SR",$P54&lt;=4,$P54&gt;=3),AND($F54="R",$P54=4)),INDEX('卡片raw data'!BA:BA,MATCH($D54,'卡片raw data'!$F:$F,)),0)+IF($P54=5,INDEX('卡片raw data'!BB:BB,MATCH($D54,'卡片raw data'!$F:$F,)),0)))</f>
        <v>7.0000000000000007E-2</v>
      </c>
      <c r="BT54" s="1101">
        <f t="shared" si="34"/>
        <v>0</v>
      </c>
      <c r="BU54" s="1097">
        <f t="shared" si="35"/>
        <v>0</v>
      </c>
      <c r="BV54" s="1097">
        <f t="shared" si="36"/>
        <v>0</v>
      </c>
      <c r="BW54" s="1112">
        <f t="shared" si="37"/>
        <v>0.76993196223708016</v>
      </c>
      <c r="BX54" s="1100">
        <f t="shared" si="38"/>
        <v>60.040044567597612</v>
      </c>
      <c r="BY54" s="1110">
        <f t="shared" si="39"/>
        <v>60.040044567597612</v>
      </c>
      <c r="BZ54" s="1107" t="s">
        <v>569</v>
      </c>
      <c r="CA54" s="1124"/>
      <c r="CB54" s="1098">
        <f>IF($P54="","N/A",IF($P54=-1,INDEX('卡片raw data'!BE:BE,MATCH($D54,'卡片raw data'!$F:$F,)),0)+IF($L54="party卡",IF($P54=5,INDEX('卡片raw data'!BK:BK,MATCH($D54,'卡片raw data'!$F:$F,)),IF($P54&gt;=3,INDEX('卡片raw data'!BJ:BJ,MATCH($D54,'卡片raw data'!$F:$F,)),INDEX('卡片raw data'!BI:BI,MATCH($D54,'卡片raw data'!$F:$F,)))),IF(OR(AND($F54="UR",$P54=0),AND($F54="SR",$P54&gt;=0,$P54&lt;=2),AND($F54="R",$P54&gt;=0,$P54&lt;4)),INDEX('卡片raw data'!BG:BG,MATCH($D54,'卡片raw data'!$F:$F,)),0)+IF(OR(AND($F54="UR",$P54&gt;=1,$P54&lt;=4),AND($F54="SR",$P54&lt;=4,$P54&gt;=3),AND($F54="R",$P54=4)),INDEX('卡片raw data'!BH:BH,MATCH($D54,'卡片raw data'!$F:$F,)),0)+IF($P54=5,INDEX('卡片raw data'!BI:BI,MATCH($D54,'卡片raw data'!$F:$F,)),0)))</f>
        <v>0</v>
      </c>
      <c r="CC54" s="1101">
        <f t="shared" si="40"/>
        <v>0</v>
      </c>
      <c r="CD54" s="1097">
        <f>IF(BZ54="ap",CB54*(1-$FI$26)*$FB$5/$FB$11*(+IF(CA54="全员",$FA$24,0)+IF(CA54="同作战",$FA$24,0)+IF(CA54="仲间",$FA$24*2/3,0)+IF(CA54="同属性",$FA$24*$FA$37/3,0)+IF(CA54="同年级",$FA$24*$FA$40/3,0)+IF(CA54="同学校",$FA$24*$FA$43/3,0)+IF(CA54="同小队",$FA$24*$FA$46/3,0)+IF(CA54="同type",$FA$24*INDEX($FB$49:$FB$52,MATCH(X54,$FA$49:$FA$52,))/3,0)+IF(CA54="自身",#REF!/3,0)),0)+IF(BZ54="te",CB54*(1-$FI$27)*($FA$20-1)*$FB$7/$FB$13*(+IF(CA54="全员",$FA$19*$FA$24/(1+($FA$20-1)*$FA$19),0)+IF(CA54="同作战",$FA$19*$FA$24/(1+($FA$20-1)*$FA$19),0)+IF(CA54="仲间",$FA$19*$FA$24*2/3/(1+($FA$20-1)*$FA$19),0)+IF(CA54="同属性",$FA$19*$FA$24*$FA$37/3/(1+($FA$20-1)*$FA$19),0)+IF(CA54="同年级",$FA$19*$FA$24*$FA$40/3/(1+($FA$20-1)*$FA$19),0)+IF(CA54="同学校",$FA$19*$FA$24*$FA$43/3/(1+($FA$20-1)*$FA$19),0)+IF(CA54="同小队",$FA$19*$FA$24*$FA$46/3/(1+($FA$20-1)*$FA$19),0)+IF(CA54="同type",$FA$19*$FA$24*INDEX($FB$49:$FB$52,MATCH(X54,$FA$49:$FA$52,))/3/(1+($FA$20-1)*$FA$19),0)+IF(CA54="自身",$FA$19*#REF!/3/(1+(BH54-1)*$BD54),0)),0)</f>
        <v>0</v>
      </c>
      <c r="CE54" s="1097">
        <f t="shared" si="41"/>
        <v>0</v>
      </c>
      <c r="CF54" s="1112">
        <f t="shared" si="42"/>
        <v>0</v>
      </c>
      <c r="CG54" s="1100">
        <f t="shared" si="43"/>
        <v>0</v>
      </c>
      <c r="CH54" s="1110">
        <f t="shared" si="44"/>
        <v>0</v>
      </c>
      <c r="CI54" s="1113" t="s">
        <v>571</v>
      </c>
      <c r="CJ54" s="1114">
        <v>0.5</v>
      </c>
      <c r="CK54" s="1115" t="s">
        <v>635</v>
      </c>
      <c r="CL54" s="1115" t="s">
        <v>1944</v>
      </c>
      <c r="CM54" s="1119">
        <v>0.2</v>
      </c>
      <c r="CN54" s="1115"/>
      <c r="CO54" s="1092"/>
      <c r="CP54" s="1117">
        <f t="shared" si="45"/>
        <v>0</v>
      </c>
      <c r="CQ54" s="1117">
        <f t="shared" si="46"/>
        <v>0</v>
      </c>
      <c r="CR54" s="1117">
        <f t="shared" si="47"/>
        <v>0</v>
      </c>
      <c r="CS54" s="1118">
        <f t="shared" si="48"/>
        <v>0</v>
      </c>
      <c r="CT54" s="1109">
        <f t="shared" si="49"/>
        <v>0</v>
      </c>
      <c r="CU54" s="1101">
        <f t="shared" si="50"/>
        <v>0</v>
      </c>
      <c r="CV54" s="1108">
        <f t="shared" si="51"/>
        <v>0</v>
      </c>
      <c r="CW54" s="1097">
        <f t="shared" si="52"/>
        <v>0</v>
      </c>
      <c r="CX54" s="1097">
        <f t="shared" si="53"/>
        <v>0</v>
      </c>
      <c r="CY54" s="1110">
        <f t="shared" si="54"/>
        <v>0</v>
      </c>
      <c r="CZ54" s="437"/>
      <c r="DA54" s="438"/>
      <c r="DB54" s="439" t="s">
        <v>569</v>
      </c>
      <c r="DC54" s="439"/>
      <c r="DD54" s="443"/>
      <c r="DE54" s="411"/>
      <c r="DF54" s="411"/>
      <c r="DG54" s="1116">
        <f t="shared" si="55"/>
        <v>0</v>
      </c>
      <c r="DH54" s="1116">
        <f t="shared" si="56"/>
        <v>0</v>
      </c>
      <c r="DI54" s="1116">
        <f t="shared" si="57"/>
        <v>0</v>
      </c>
      <c r="DJ54" s="442">
        <f t="shared" si="58"/>
        <v>0</v>
      </c>
      <c r="DK54" s="1109">
        <f t="shared" si="59"/>
        <v>0</v>
      </c>
      <c r="DL54" s="1101">
        <f t="shared" si="60"/>
        <v>0</v>
      </c>
      <c r="DM54" s="1097">
        <f t="shared" si="61"/>
        <v>0</v>
      </c>
      <c r="DN54" s="1097">
        <f t="shared" si="62"/>
        <v>0</v>
      </c>
      <c r="DO54" s="1097">
        <f t="shared" si="63"/>
        <v>0</v>
      </c>
      <c r="DP54" s="1110">
        <f t="shared" si="64"/>
        <v>0</v>
      </c>
      <c r="DQ54" s="1113" t="s">
        <v>635</v>
      </c>
      <c r="DR54" s="1120">
        <f t="shared" si="65"/>
        <v>0.3</v>
      </c>
      <c r="DS54" s="1124"/>
      <c r="DT54" s="1093" t="s">
        <v>552</v>
      </c>
      <c r="DU54" s="1093"/>
      <c r="DV54" s="1098">
        <f>IF($P54="","N/A",IF(P54=-1,INDEX('卡片raw data'!AN:AN,MATCH(D54,'卡片raw data'!$F:$F,)),0)+IF(AND(L54&lt;&gt;"party卡",P54&lt;=2,P54&gt;=0),INDEX('卡片raw data'!AP:AP,MATCH(D54,'卡片raw data'!$F:$F,)),0)+IF(OR(AND(L54="party卡",P54&lt;=1),AND(P54&lt;=4,L54&lt;&gt;"party卡",P54&gt;=3)),INDEX('卡片raw data'!AQ:AQ,MATCH(D54,'卡片raw data'!$F:$F,)),0)+IF(OR(P54=5,AND(L54="party卡",P54&gt;=2)),INDEX('卡片raw data'!AR:AR,MATCH(D54,'卡片raw data'!$F:$F,)),0))</f>
        <v>0.32</v>
      </c>
      <c r="DW54" s="1098">
        <f t="shared" si="66"/>
        <v>0.3</v>
      </c>
      <c r="DX54" s="1098">
        <f t="shared" si="67"/>
        <v>0.3</v>
      </c>
      <c r="DY54" s="1125">
        <f t="shared" si="68"/>
        <v>416.85467193343999</v>
      </c>
      <c r="DZ54" s="1125">
        <f t="shared" si="69"/>
        <v>360.57929122242558</v>
      </c>
      <c r="EA54" s="1098">
        <f t="shared" si="70"/>
        <v>0</v>
      </c>
      <c r="EB54" s="1121">
        <f t="shared" si="71"/>
        <v>0</v>
      </c>
      <c r="EC54" s="1101">
        <f t="shared" si="72"/>
        <v>0</v>
      </c>
      <c r="ED54" s="1097">
        <f t="shared" si="73"/>
        <v>0</v>
      </c>
      <c r="EE54" s="1110">
        <f t="shared" si="74"/>
        <v>48435.03108962375</v>
      </c>
      <c r="EF54" s="1092" t="s">
        <v>711</v>
      </c>
      <c r="EG54" s="1120">
        <f t="shared" si="75"/>
        <v>0.3</v>
      </c>
      <c r="EH54" s="1124"/>
      <c r="EI54" s="1093"/>
      <c r="EJ54" s="1093"/>
      <c r="EK54" s="1097">
        <f>IF($P54="","N/A",IF(P54=-1,INDEX('卡片raw data'!AS:AS,MATCH(D54,'卡片raw data'!$F:$F,)),0)+IF(AND(L54&lt;&gt;"party卡",P54&lt;=2,P54&gt;=0),INDEX('卡片raw data'!AU:AU,MATCH(D54,'卡片raw data'!$F:$F,)),0)+IF(OR(AND(L54="party卡",P54&lt;=1),AND(P54&lt;=4,L54&lt;&gt;"party卡",P54&gt;=3)),INDEX('卡片raw data'!AV:AV,MATCH(D54,'卡片raw data'!$F:$F,)),0)+IF(OR(P54=5,AND(L54="party卡",P54&gt;=2)),INDEX('卡片raw data'!AW:AW,MATCH(D54,'卡片raw data'!$F:$F,)),0))</f>
        <v>0</v>
      </c>
      <c r="EL54" s="1098">
        <f t="shared" si="76"/>
        <v>0.3</v>
      </c>
      <c r="EM54" s="1098">
        <f t="shared" si="77"/>
        <v>0.3</v>
      </c>
      <c r="EN54" s="1125">
        <f t="shared" si="78"/>
        <v>0</v>
      </c>
      <c r="EO54" s="1125">
        <f t="shared" si="79"/>
        <v>0</v>
      </c>
      <c r="EP54" s="1098">
        <f t="shared" si="80"/>
        <v>0</v>
      </c>
      <c r="EQ54" s="1121">
        <f t="shared" si="81"/>
        <v>0</v>
      </c>
      <c r="ER54" s="1101">
        <f t="shared" si="82"/>
        <v>0</v>
      </c>
      <c r="ES54" s="1097">
        <f t="shared" si="83"/>
        <v>0</v>
      </c>
      <c r="ET54" s="1122">
        <f t="shared" si="84"/>
        <v>0</v>
      </c>
      <c r="EV54" s="1394"/>
      <c r="EW54" s="1215" t="s">
        <v>14</v>
      </c>
      <c r="EX54" s="1216">
        <v>0.9</v>
      </c>
      <c r="EY54" s="1232"/>
      <c r="EZ54" s="1384"/>
      <c r="FA54" s="1215" t="s">
        <v>14</v>
      </c>
      <c r="FB54" s="1216">
        <v>4.5</v>
      </c>
      <c r="FD54" s="447"/>
      <c r="FE54" s="447"/>
      <c r="FF54" s="447"/>
      <c r="FH54" s="447"/>
      <c r="FI54" s="447"/>
      <c r="FJ54" s="447"/>
    </row>
    <row r="55" spans="2:166" ht="16.5" customHeight="1">
      <c r="B55" s="1123" t="str">
        <f>INDEX('卡片raw data'!B:B,MATCH($D55,'卡片raw data'!$F:$F,))</f>
        <v>初始黛</v>
      </c>
      <c r="C55" s="449" t="s">
        <v>22</v>
      </c>
      <c r="D55" s="408">
        <v>52</v>
      </c>
      <c r="E55" s="1090">
        <v>101043001</v>
      </c>
      <c r="F55" s="1090" t="str">
        <f>INDEX('卡片raw data'!C:C,MATCH($D55,'卡片raw data'!$F:$F,))</f>
        <v>UR</v>
      </c>
      <c r="G55" s="1094" t="s">
        <v>36</v>
      </c>
      <c r="H55" s="411">
        <f>IFERROR(INDEX(绊状态确认!C:C,MATCH($G55,绊状态确认!$B:$B,)),"")</f>
        <v>104</v>
      </c>
      <c r="I55" s="450" t="str">
        <f>IFERROR(INDEX(绊状态确认!D:D,MATCH($G55,绊状态确认!$B:$B,)),"")</f>
        <v>水</v>
      </c>
      <c r="J55" s="450" t="str">
        <f>IFERROR(INDEX(绊状态确认!E:E,MATCH($G55,绊状态确认!$B:$B,)),"")</f>
        <v>3年级</v>
      </c>
      <c r="K55" s="451" t="str">
        <f>IFERROR(INDEX(绊状态确认!F:F,MATCH($G55,绊状态确认!$B:$B,)),"")</f>
        <v>AZALEA</v>
      </c>
      <c r="L55" s="1094" t="str">
        <f>INDEX('卡片raw data'!E:E,MATCH($D55,'卡片raw data'!$F:$F,))</f>
        <v>卡池卡</v>
      </c>
      <c r="M55" s="415">
        <v>43735</v>
      </c>
      <c r="N55" s="416">
        <v>0</v>
      </c>
      <c r="O55" s="1091" t="str">
        <f>INDEX('卡片raw data'!D:D,MATCH($D55,'卡片raw data'!$F:$F,))</f>
        <v>sk</v>
      </c>
      <c r="P55" s="417">
        <v>5</v>
      </c>
      <c r="Q55" s="1095">
        <f t="shared" si="0"/>
        <v>48681.65388777027</v>
      </c>
      <c r="R55" s="1096">
        <f t="shared" si="1"/>
        <v>0.56499999999999995</v>
      </c>
      <c r="S55" s="1097">
        <f t="shared" si="2"/>
        <v>20081.655671872402</v>
      </c>
      <c r="T55" s="1098">
        <f t="shared" si="3"/>
        <v>1.004</v>
      </c>
      <c r="U55" s="1099">
        <f t="shared" si="4"/>
        <v>11.885157737142858</v>
      </c>
      <c r="V55" s="1100">
        <f t="shared" si="5"/>
        <v>51629.575287863954</v>
      </c>
      <c r="W55" s="1101">
        <f t="shared" si="6"/>
        <v>9562.0799848988281</v>
      </c>
      <c r="X55" s="1096">
        <f t="shared" si="7"/>
        <v>0.111</v>
      </c>
      <c r="Y55" s="1097">
        <f t="shared" si="8"/>
        <v>947.92140009368632</v>
      </c>
      <c r="Z55" s="1102">
        <f t="shared" si="9"/>
        <v>11.885157737142858</v>
      </c>
      <c r="AA55" s="1103">
        <f t="shared" si="10"/>
        <v>10510.001384992514</v>
      </c>
      <c r="AB55" s="1101">
        <f t="shared" si="11"/>
        <v>10788.343153645652</v>
      </c>
      <c r="AC55" s="1104">
        <f t="shared" si="12"/>
        <v>0.125</v>
      </c>
      <c r="AD55" s="1105">
        <f t="shared" si="13"/>
        <v>2.1769318181818181E-2</v>
      </c>
      <c r="AE55" s="1128">
        <f t="shared" si="14"/>
        <v>11.953757704745847</v>
      </c>
      <c r="AF55" s="1130">
        <f t="shared" si="15"/>
        <v>0</v>
      </c>
      <c r="AG55" s="420">
        <f t="shared" si="16"/>
        <v>0</v>
      </c>
      <c r="AH55" s="420">
        <f t="shared" si="17"/>
        <v>0</v>
      </c>
      <c r="AI55" s="1097">
        <f t="shared" si="18"/>
        <v>0</v>
      </c>
      <c r="AJ55" s="420">
        <f t="shared" si="19"/>
        <v>0</v>
      </c>
      <c r="AK55" s="518">
        <f t="shared" si="20"/>
        <v>0</v>
      </c>
      <c r="AL55" s="1106">
        <f>IF($P55="","N/A",(IF($P55=-1,INDEX('卡片raw data'!S:S,MATCH($D55,'卡片raw data'!$F:$F,)),0)+IF($P55=0,INDEX('卡片raw data'!V:V,MATCH($D55,'卡片raw data'!$F:$F,)),0)+IF($P55=1,INDEX('卡片raw data'!Y:Y,MATCH($D55,'卡片raw data'!$F:$F,)),0)+IF($P55=2,INDEX('卡片raw data'!AB:AB,MATCH($D55,'卡片raw data'!$F:$F,)),0)+IF($P55=3,INDEX('卡片raw data'!AE:AE,MATCH($D55,'卡片raw data'!$F:$F,)),0)+IF($P55=4,INDEX('卡片raw data'!AH:AH,MATCH($D55,'卡片raw data'!$F:$F,)),0)+IF($P55=5,INDEX('卡片raw data'!AK:AK,MATCH($D55,'卡片raw data'!$F:$F,)),0)+INDEX('卡片raw data'!S:S,MATCH($D55,'卡片raw data'!$F:$F,))*(IF($F55="UR",0.04,0.033))*(IF($F55="UR",INDEX(绊状态确认!$S:$S,MATCH($G55,绊状态确认!$B:$B,))/2-40)+IF($F55="SR",INDEX(绊状态确认!$R:$R,MATCH($G55,绊状态确认!$B:$B,))/4-15))+IF($F55="R",INDEX(绊状态确认!$Q:$Q,MATCH($G55,绊状态确认!$B:$B,))/6-40/6)))*(INDEX(绊状态确认!$H:$H,MATCH($G55,绊状态确认!$B:$B,))+INDEX(绊状态确认!J:J,MATCH($G55,绊状态确认!$B:$B,)))</f>
        <v>13827.715199999999</v>
      </c>
      <c r="AM55" s="1106">
        <f>IF($P55="","N/A",(IF($P55=-1,INDEX('卡片raw data'!T:T,MATCH($D55,'卡片raw data'!$F:$F,)),0)+IF($P55=0,INDEX('卡片raw data'!W:W,MATCH($D55,'卡片raw data'!$F:$F,)),0)+IF($P55=1,INDEX('卡片raw data'!Z:Z,MATCH($D55,'卡片raw data'!$F:$F,)),0)+IF($P55=2,INDEX('卡片raw data'!AC:AC,MATCH($D55,'卡片raw data'!$F:$F,)),0)+IF($P55=3,INDEX('卡片raw data'!AF:AF,MATCH($D55,'卡片raw data'!$F:$F,)),0)+IF($P55=4,INDEX('卡片raw data'!AI:AI,MATCH($D55,'卡片raw data'!$F:$F,)),0)+IF($P55=5,INDEX('卡片raw data'!AL:AL,MATCH($D55,'卡片raw data'!$F:$F,)),0)+INDEX('卡片raw data'!T:T,MATCH($D55,'卡片raw data'!$F:$F,))*(IF($F55="UR",0.04,0.033))*(IF($F55="UR",INDEX(绊状态确认!$S:$S,MATCH($G55,绊状态确认!$B:$B,))/2-40)+IF($F55="SR",INDEX(绊状态确认!$R:$R,MATCH($G55,绊状态确认!$B:$B,))/4-15))+IF($F55="R",INDEX(绊状态确认!$Q:$Q,MATCH($G55,绊状态确认!$B:$B,))/6-40/6)))*(INDEX(绊状态确认!$H:$H,MATCH($G55,绊状态确认!$B:$B,))+INDEX(绊状态确认!K:K,MATCH($G55,绊状态确认!$B:$B,)))</f>
        <v>6145.6511999999993</v>
      </c>
      <c r="AN55" s="1106">
        <f>IF($P55="","N/A",(IF($P55=-1,INDEX('卡片raw data'!U:U,MATCH($D55,'卡片raw data'!$F:$F,)),0)+IF($P55=0,INDEX('卡片raw data'!X:X,MATCH($D55,'卡片raw data'!$F:$F,)),0)+IF($P55=1,INDEX('卡片raw data'!AA:AA,MATCH($D55,'卡片raw data'!$F:$F,)),0)+IF($P55=2,INDEX('卡片raw data'!AD:AD,MATCH($D55,'卡片raw data'!$F:$F,)),0)+IF($P55=3,INDEX('卡片raw data'!AG:AG,MATCH($D55,'卡片raw data'!$F:$F,)),0)+IF($P55=4,INDEX('卡片raw data'!AJ:AJ,MATCH($D55,'卡片raw data'!$F:$F,)),0)+IF($P55=5,INDEX('卡片raw data'!AM:AM,MATCH($D55,'卡片raw data'!$F:$F,)),0)+INDEX('卡片raw data'!U:U,MATCH($D55,'卡片raw data'!$F:$F,))*(IF($F55="UR",0.04,0.033))*(IF($F55="UR",INDEX(绊状态确认!$S:$S,MATCH($G55,绊状态确认!$B:$B,))/2-40)+IF($F55="SR",INDEX(绊状态确认!$R:$R,MATCH($G55,绊状态确认!$B:$B,))/4-15))+IF($F55="R",INDEX(绊状态确认!$Q:$Q,MATCH($G55,绊状态确认!$B:$B,))/6-40/6)))*(INDEX(绊状态确认!$H:$H,MATCH($G55,绊状态确认!$B:$B,))+INDEX(绊状态确认!L:L,MATCH($G55,绊状态确认!$B:$B,)))</f>
        <v>10754.889599999999</v>
      </c>
      <c r="AO55" s="1107">
        <f t="shared" si="21"/>
        <v>1</v>
      </c>
      <c r="AP55" s="1131">
        <f>1+(INDEX(绊状态确认!$T:$T,MATCH($G55,绊状态确认!$B:$B,))+0.2)*$AO55</f>
        <v>1.3</v>
      </c>
      <c r="AQ55" s="1108">
        <f t="shared" si="22"/>
        <v>39547.752399999998</v>
      </c>
      <c r="AR55" s="1097">
        <f>(AM55*(1+$EX$9)+$EX$35)*(1+(INDEX(绊状态确认!$T:$T,MATCH($G55,绊状态确认!$B:$B,))+0.2)*AO55)*IF(J55=$FF$17,1+$FE$17,1)*IF(I55=$FF$14,1+$FE$14,1)*(1+$FE$15)</f>
        <v>11092.813888000001</v>
      </c>
      <c r="AS55" s="1097">
        <f>(AN55*(1+$EX$10)+$EX$36)*(1+(INDEX(绊状态确认!$T:$T,MATCH($G55,绊状态确认!$B:$B,))+0.2)*AO55)*IF(J55=$FF$17,1+$FE$17,1)*IF(I55=$FF$14,1+$FE$14,1)*(1+$FE$15)</f>
        <v>20134.559951999996</v>
      </c>
      <c r="AT55" s="1093">
        <f>IF(AND(INDEX('卡片raw data'!AK:AK,MATCH($D55,'卡片raw data'!$F:$F,))&lt;INDEX('卡片raw data'!AM:AM,MATCH($D55,'卡片raw data'!$F:$F,)),INDEX('卡片raw data'!AL:AL,MATCH($D55,'卡片raw data'!$F:$F,))&lt;INDEX('卡片raw data'!AM:AM,MATCH($D55,'卡片raw data'!$F:$F,))),1,0)</f>
        <v>0</v>
      </c>
      <c r="AU55" s="1098">
        <f>MIN(AT55*0.15+AS55*0.00003+INDEX(绊状态确认!M:M,MATCH($G55,绊状态确认!$B:$B,)),1)</f>
        <v>0.63403679855999995</v>
      </c>
      <c r="AV55" s="1109">
        <f>(INDEX(绊状态确认!$N:$N,MATCH($G55,绊状态确认!$B:$B,))+1.5)*$EW$21</f>
        <v>2.6599999999999997</v>
      </c>
      <c r="AW55" s="1101">
        <f t="shared" si="23"/>
        <v>42156.307704288149</v>
      </c>
      <c r="AX55" s="1097">
        <f t="shared" si="24"/>
        <v>947.921400093687</v>
      </c>
      <c r="AY55" s="1110">
        <f t="shared" si="25"/>
        <v>43104.229104381833</v>
      </c>
      <c r="AZ55" s="429">
        <f t="shared" si="26"/>
        <v>29564.044639999996</v>
      </c>
      <c r="BA55" s="431">
        <f t="shared" si="27"/>
        <v>35476.853567999991</v>
      </c>
      <c r="BB55" s="1097">
        <f>(AM55*(1+$FB$9)+$FB$35)*(1+(INDEX(绊状态确认!$T:$T,MATCH($G55,绊状态确认!$B:$B,))+0.2)*AO55)*IF(J55=$FF$17,1+$FE$17,1)*IF(I55=$FF$14,1+$FE$14,1)*(1+$FE$15)</f>
        <v>11092.813888000001</v>
      </c>
      <c r="BC55" s="1097">
        <f>(AN55*(1+$FB$10)+$FB$36)*(1+(INDEX(绊状态确认!$T:$T,MATCH($G55,绊状态确认!$B:$B,))+0.2)*AO55)*IF(J55=$FF$17,1+$FE$17,1)*IF(I55=$FF$14,1+$FE$14,1)*(1+$FE$15)</f>
        <v>20134.559951999996</v>
      </c>
      <c r="BD55" s="1104">
        <f>MIN(AT55*0.15+BC55*0.00003+INDEX(绊状态确认!M:M,MATCH($G55,绊状态确认!$B:$B,)),1)</f>
        <v>0.63403679855999995</v>
      </c>
      <c r="BE55" s="432">
        <f>(INDEX(绊状态确认!$N:$N,MATCH($G55,绊状态确认!$B:$B,))+1.5)</f>
        <v>1.9</v>
      </c>
      <c r="BF55" s="1139">
        <f t="array" ref="BF55">SUMPRODUCT(IF(AZ55*AP55*$FI$16:$FI$23*$FA$22&gt;=$FI$24,$FI$24,AZ55*AP55*$FI$16:$FI$23*$FA$22),$FJ$16:$FJ$23)</f>
        <v>55899.604166559999</v>
      </c>
      <c r="BG55" s="1125">
        <f t="array" ref="BG55">SUMPRODUCT(IF(BE55*AZ55*AP55*$FI$16:$FI$23*$FA$22&gt;=$FI$24,$FI$24,BE55*AZ55*AP55*$FI$16:$FI$23*$FA$22),$FJ$16:$FJ$23)</f>
        <v>60000</v>
      </c>
      <c r="BH55" s="1110">
        <f t="shared" si="28"/>
        <v>19499.802004541019</v>
      </c>
      <c r="BI55" s="1111">
        <f>IF(O55="vo",$EW$26/$EW$24*0.05,0)+IF(O55="sk",-$EW$26/$EW$24*(0.05-INDEX(绊状态确认!W:W,MATCH($G55,绊状态确认!$B:$B,)))+0.05*$EW$28,0)+IF(O55="sp",0.05*$EW$32*$EW$30*(1-$EW$33)-(0.05-INDEX(绊状态确认!V:V,MATCH($G55,绊状态确认!$B:$B,)))*$EW$28,0)+IF(O55="gd",-(0.05-INDEX(绊状态确认!X:X,MATCH($G55,绊状态确认!$B:$B,)))*$EW$32*$EW$30*(1-$EW$33),0)</f>
        <v>-6253.6726349699375</v>
      </c>
      <c r="BJ55" s="1097">
        <f>IF(O55="vo",0.05*(1-$FI$26)*$FA$24,0)+IF(O55="sk",-(0.05-INDEX(绊状态确认!W:W,MATCH($G55,绊状态确认!$B:$B,)))*(1-$FI$26)*$FA$24+0.05*$FA$26,0)+IF(O55="sp",0.05*$FA$32*$FA$27*(1-$FA$33)/$FA$30+0.05*$FA$29/$FA$69*$FA$27*(1-$FA$33)-(0.05-INDEX(绊状态确认!V:V,MATCH($G55,绊状态确认!$B:$B,)))*$FA$26,0)+IF(O55="gd",-(0.05-INDEX(绊状态确认!X:X,MATCH($G55,绊状态确认!$B:$B,)))*$FA$32*$FA$27*(1-$FA$33)/$FA$30-(0.05-INDEX(绊状态确认!X:X,MATCH($G55,绊状态确认!$B:$B,)))*$FA$29/$FA$69*$FA$27*(1-$FA$33),0)</f>
        <v>20.459096812499922</v>
      </c>
      <c r="BK55" s="1110">
        <f>IF(O55="vo",$EW$26/$EW$24*0.05+$EW$26*(-HP($EW$62,$EW$65,$EW$64)+HP($EW$62,$EW$65,(1.05-INDEX(绊状态确认!U:U,MATCH($G55,绊状态确认!$B:$B,)))*$EW$64)),0)+IF(O55="sk",-$EW$26/$EW$24*(0.05-INDEX(绊状态确认!W:W,MATCH($G55,绊状态确认!$B:$B,)))+0.05*$EW$29,0)+IF(O55="sp",0.05*$EW$32*$EW$30*(1-$EW$33)-(0.05-INDEX(绊状态确认!V:V,MATCH($G55,绊状态确认!$B:$B,)))*$EW$29,0)+IF(O55="gd",-(0.05-INDEX(绊状态确认!X:X,MATCH($G55,绊状态确认!$B:$B,)))*$EW$32*$EW$30*(1-$EW$33)+$EW$26*(-HP($EW$62,$EW$65,$EW$64)+HP($EW$62,$EW$65,0.95*$EW$64)),0)</f>
        <v>-4253.6726349699375</v>
      </c>
      <c r="BL55" s="1111">
        <f t="shared" si="29"/>
        <v>0</v>
      </c>
      <c r="BM55" s="1110">
        <f t="shared" si="30"/>
        <v>0</v>
      </c>
      <c r="BN55" s="1113">
        <f t="shared" si="31"/>
        <v>3</v>
      </c>
      <c r="BO55" s="1097">
        <f t="shared" si="32"/>
        <v>4507.7214871259994</v>
      </c>
      <c r="BP55" s="1100">
        <f t="shared" si="33"/>
        <v>221.34103209030098</v>
      </c>
      <c r="BQ55" s="1113" t="s">
        <v>145</v>
      </c>
      <c r="BR55" s="1124" t="s">
        <v>148</v>
      </c>
      <c r="BS55" s="1098">
        <f>IF($P55="","N/A",IF($P55=-1,INDEX('卡片raw data'!AX:AX,MATCH($D55,'卡片raw data'!$F:$F,)),0)+IF($L55="party卡",IF($P55=5,INDEX('卡片raw data'!BD:BD,MATCH($D55,'卡片raw data'!$F:$F,)),IF($P55&gt;=3,INDEX('卡片raw data'!BC:BC,MATCH($D55,'卡片raw data'!$F:$F,)),INDEX('卡片raw data'!BB:BB,MATCH($D55,'卡片raw data'!$F:$F,)))),IF(OR(AND($F55="UR",$P55=0),AND($F55="SR",$P55&gt;=0,$P55&lt;=2),AND($F55="R",$P55&gt;=0,$P55&lt;4)),INDEX('卡片raw data'!AZ:AZ,MATCH($D55,'卡片raw data'!$F:$F,)),0)+IF(OR(AND($F55="UR",$P55&gt;=1,$P55&lt;=4),AND($F55="SR",$P55&lt;=4,$P55&gt;=3),AND($F55="R",$P55=4)),INDEX('卡片raw data'!BA:BA,MATCH($D55,'卡片raw data'!$F:$F,)),0)+IF($P55=5,INDEX('卡片raw data'!BB:BB,MATCH($D55,'卡片raw data'!$F:$F,)),0)))</f>
        <v>5.1999999999999998E-2</v>
      </c>
      <c r="BT55" s="1101">
        <f t="shared" si="34"/>
        <v>2452.5263374936467</v>
      </c>
      <c r="BU55" s="1097">
        <f t="shared" si="35"/>
        <v>155.22419036436909</v>
      </c>
      <c r="BV55" s="1097">
        <f t="shared" si="36"/>
        <v>1226.2631687468233</v>
      </c>
      <c r="BW55" s="1112">
        <f t="shared" si="37"/>
        <v>0</v>
      </c>
      <c r="BX55" s="1100">
        <f t="shared" si="38"/>
        <v>2452.5263374936467</v>
      </c>
      <c r="BY55" s="1110">
        <f t="shared" si="39"/>
        <v>1226.2631687468233</v>
      </c>
      <c r="BZ55" s="1107" t="s">
        <v>569</v>
      </c>
      <c r="CA55" s="1124"/>
      <c r="CB55" s="1098">
        <f>IF($P55="","N/A",IF($P55=-1,INDEX('卡片raw data'!BE:BE,MATCH($D55,'卡片raw data'!$F:$F,)),0)+IF($L55="party卡",IF($P55=5,INDEX('卡片raw data'!BK:BK,MATCH($D55,'卡片raw data'!$F:$F,)),IF($P55&gt;=3,INDEX('卡片raw data'!BJ:BJ,MATCH($D55,'卡片raw data'!$F:$F,)),INDEX('卡片raw data'!BI:BI,MATCH($D55,'卡片raw data'!$F:$F,)))),IF(OR(AND($F55="UR",$P55=0),AND($F55="SR",$P55&gt;=0,$P55&lt;=2),AND($F55="R",$P55&gt;=0,$P55&lt;4)),INDEX('卡片raw data'!BG:BG,MATCH($D55,'卡片raw data'!$F:$F,)),0)+IF(OR(AND($F55="UR",$P55&gt;=1,$P55&lt;=4),AND($F55="SR",$P55&lt;=4,$P55&gt;=3),AND($F55="R",$P55=4)),INDEX('卡片raw data'!BH:BH,MATCH($D55,'卡片raw data'!$F:$F,)),0)+IF($P55=5,INDEX('卡片raw data'!BI:BI,MATCH($D55,'卡片raw data'!$F:$F,)),0)))</f>
        <v>0</v>
      </c>
      <c r="CC55" s="1101">
        <f t="shared" si="40"/>
        <v>0</v>
      </c>
      <c r="CD55" s="1097">
        <f>IF(BZ55="ap",CB55*(1-$FI$26)*$FB$5/$FB$11*(+IF(CA55="全员",$FA$24,0)+IF(CA55="同作战",$FA$24,0)+IF(CA55="仲间",$FA$24*2/3,0)+IF(CA55="同属性",$FA$24*$FA$37/3,0)+IF(CA55="同年级",$FA$24*$FA$40/3,0)+IF(CA55="同学校",$FA$24*$FA$43/3,0)+IF(CA55="同小队",$FA$24*$FA$46/3,0)+IF(CA55="同type",$FA$24*INDEX($FB$49:$FB$52,MATCH(X55,$FA$49:$FA$52,))/3,0)+IF(CA55="自身",#REF!/3,0)),0)+IF(BZ55="te",CB55*(1-$FI$27)*($FA$20-1)*$FB$7/$FB$13*(+IF(CA55="全员",$FA$19*$FA$24/(1+($FA$20-1)*$FA$19),0)+IF(CA55="同作战",$FA$19*$FA$24/(1+($FA$20-1)*$FA$19),0)+IF(CA55="仲间",$FA$19*$FA$24*2/3/(1+($FA$20-1)*$FA$19),0)+IF(CA55="同属性",$FA$19*$FA$24*$FA$37/3/(1+($FA$20-1)*$FA$19),0)+IF(CA55="同年级",$FA$19*$FA$24*$FA$40/3/(1+($FA$20-1)*$FA$19),0)+IF(CA55="同学校",$FA$19*$FA$24*$FA$43/3/(1+($FA$20-1)*$FA$19),0)+IF(CA55="同小队",$FA$19*$FA$24*$FA$46/3/(1+($FA$20-1)*$FA$19),0)+IF(CA55="同type",$FA$19*$FA$24*INDEX($FB$49:$FB$52,MATCH(X55,$FA$49:$FA$52,))/3/(1+($FA$20-1)*$FA$19),0)+IF(CA55="自身",$FA$19*#REF!/3/(1+(BH55-1)*$BD55),0)),0)</f>
        <v>0</v>
      </c>
      <c r="CE55" s="1097">
        <f t="shared" si="41"/>
        <v>0</v>
      </c>
      <c r="CF55" s="1112">
        <f t="shared" si="42"/>
        <v>0</v>
      </c>
      <c r="CG55" s="1100">
        <f t="shared" si="43"/>
        <v>0</v>
      </c>
      <c r="CH55" s="1110">
        <f t="shared" si="44"/>
        <v>0</v>
      </c>
      <c r="CI55" s="1113" t="s">
        <v>164</v>
      </c>
      <c r="CJ55" s="1114">
        <v>0.3</v>
      </c>
      <c r="CK55" s="1115" t="s">
        <v>153</v>
      </c>
      <c r="CL55" s="1115" t="s">
        <v>161</v>
      </c>
      <c r="CM55" s="1119">
        <v>0.05</v>
      </c>
      <c r="CN55" s="1115" t="s">
        <v>163</v>
      </c>
      <c r="CO55" s="1092">
        <v>1</v>
      </c>
      <c r="CP55" s="1118">
        <f t="shared" si="45"/>
        <v>2.8151292857142858E-2</v>
      </c>
      <c r="CQ55" s="1118">
        <f t="shared" si="46"/>
        <v>2.8151292857142858E-2</v>
      </c>
      <c r="CR55" s="1118">
        <f t="shared" si="47"/>
        <v>2.8151292857142858E-2</v>
      </c>
      <c r="CS55" s="1118">
        <f t="shared" si="48"/>
        <v>0</v>
      </c>
      <c r="CT55" s="1109">
        <f t="shared" si="49"/>
        <v>0</v>
      </c>
      <c r="CU55" s="1101">
        <f t="shared" si="50"/>
        <v>3828.0953290260063</v>
      </c>
      <c r="CV55" s="1108">
        <f t="shared" si="51"/>
        <v>184.82934806420829</v>
      </c>
      <c r="CW55" s="1097">
        <f t="shared" si="52"/>
        <v>3828.0953290260063</v>
      </c>
      <c r="CX55" s="1097">
        <f t="shared" si="53"/>
        <v>3828.0953290260063</v>
      </c>
      <c r="CY55" s="1110">
        <f t="shared" si="54"/>
        <v>3828.0953290260063</v>
      </c>
      <c r="CZ55" s="437"/>
      <c r="DA55" s="438"/>
      <c r="DB55" s="439" t="s">
        <v>569</v>
      </c>
      <c r="DC55" s="439"/>
      <c r="DD55" s="443"/>
      <c r="DE55" s="411"/>
      <c r="DF55" s="411"/>
      <c r="DG55" s="1116">
        <f t="shared" si="55"/>
        <v>0</v>
      </c>
      <c r="DH55" s="1116">
        <f t="shared" si="56"/>
        <v>0</v>
      </c>
      <c r="DI55" s="1116">
        <f t="shared" si="57"/>
        <v>0</v>
      </c>
      <c r="DJ55" s="442">
        <f t="shared" si="58"/>
        <v>0</v>
      </c>
      <c r="DK55" s="1109">
        <f t="shared" si="59"/>
        <v>0</v>
      </c>
      <c r="DL55" s="1101">
        <f t="shared" si="60"/>
        <v>0</v>
      </c>
      <c r="DM55" s="1097">
        <f t="shared" si="61"/>
        <v>0</v>
      </c>
      <c r="DN55" s="1097">
        <f t="shared" si="62"/>
        <v>0</v>
      </c>
      <c r="DO55" s="1097">
        <f t="shared" si="63"/>
        <v>0</v>
      </c>
      <c r="DP55" s="1110">
        <f t="shared" si="64"/>
        <v>0</v>
      </c>
      <c r="DQ55" s="1113" t="s">
        <v>256</v>
      </c>
      <c r="DR55" s="1120">
        <f t="shared" si="65"/>
        <v>0.33</v>
      </c>
      <c r="DS55" s="1124"/>
      <c r="DT55" s="1093" t="s">
        <v>132</v>
      </c>
      <c r="DU55" s="1093"/>
      <c r="DV55" s="1098">
        <f>IF($P55="","N/A",IF(P55=-1,INDEX('卡片raw data'!AN:AN,MATCH(D55,'卡片raw data'!$F:$F,)),0)+IF(AND(L55&lt;&gt;"party卡",P55&lt;=2,P55&gt;=0),INDEX('卡片raw data'!AP:AP,MATCH(D55,'卡片raw data'!$F:$F,)),0)+IF(OR(AND(L55="party卡",P55&lt;=1),AND(P55&lt;=4,L55&lt;&gt;"party卡",P55&gt;=3)),INDEX('卡片raw data'!AQ:AQ,MATCH(D55,'卡片raw data'!$F:$F,)),0)+IF(OR(P55=5,AND(L55="party卡",P55&gt;=2)),INDEX('卡片raw data'!AR:AR,MATCH(D55,'卡片raw data'!$F:$F,)),0))</f>
        <v>0.32</v>
      </c>
      <c r="DW55" s="1098">
        <f t="shared" si="66"/>
        <v>0.33</v>
      </c>
      <c r="DX55" s="1098">
        <f t="shared" si="67"/>
        <v>0.33</v>
      </c>
      <c r="DY55" s="1125">
        <f t="shared" si="68"/>
        <v>1392.0808844800001</v>
      </c>
      <c r="DZ55" s="1125">
        <f t="shared" si="69"/>
        <v>1080.1992374384638</v>
      </c>
      <c r="EA55" s="1098">
        <f t="shared" si="70"/>
        <v>0</v>
      </c>
      <c r="EB55" s="1121">
        <f t="shared" si="71"/>
        <v>0</v>
      </c>
      <c r="EC55" s="1101">
        <f t="shared" si="72"/>
        <v>1990.6756648064004</v>
      </c>
      <c r="ED55" s="1097">
        <f t="shared" si="73"/>
        <v>0</v>
      </c>
      <c r="EE55" s="1110">
        <f t="shared" si="74"/>
        <v>1990.6756648064004</v>
      </c>
      <c r="EF55" s="1092" t="s">
        <v>711</v>
      </c>
      <c r="EG55" s="1120">
        <f t="shared" si="75"/>
        <v>0.33</v>
      </c>
      <c r="EH55" s="1124"/>
      <c r="EI55" s="1093"/>
      <c r="EJ55" s="1093"/>
      <c r="EK55" s="1097">
        <f>IF($P55="","N/A",IF(P55=-1,INDEX('卡片raw data'!AS:AS,MATCH(D55,'卡片raw data'!$F:$F,)),0)+IF(AND(L55&lt;&gt;"party卡",P55&lt;=2,P55&gt;=0),INDEX('卡片raw data'!AU:AU,MATCH(D55,'卡片raw data'!$F:$F,)),0)+IF(OR(AND(L55="party卡",P55&lt;=1),AND(P55&lt;=4,L55&lt;&gt;"party卡",P55&gt;=3)),INDEX('卡片raw data'!AV:AV,MATCH(D55,'卡片raw data'!$F:$F,)),0)+IF(OR(P55=5,AND(L55="party卡",P55&gt;=2)),INDEX('卡片raw data'!AW:AW,MATCH(D55,'卡片raw data'!$F:$F,)),0))</f>
        <v>0</v>
      </c>
      <c r="EL55" s="1098">
        <f t="shared" si="76"/>
        <v>0.33</v>
      </c>
      <c r="EM55" s="1098">
        <f t="shared" si="77"/>
        <v>0.33</v>
      </c>
      <c r="EN55" s="1125">
        <f t="shared" si="78"/>
        <v>0</v>
      </c>
      <c r="EO55" s="1125">
        <f t="shared" si="79"/>
        <v>0</v>
      </c>
      <c r="EP55" s="1098">
        <f t="shared" si="80"/>
        <v>0</v>
      </c>
      <c r="EQ55" s="1121">
        <f t="shared" si="81"/>
        <v>0</v>
      </c>
      <c r="ER55" s="1101">
        <f t="shared" si="82"/>
        <v>0</v>
      </c>
      <c r="ES55" s="1097">
        <f t="shared" si="83"/>
        <v>0</v>
      </c>
      <c r="ET55" s="1122">
        <f t="shared" si="84"/>
        <v>0</v>
      </c>
      <c r="EV55" s="1394"/>
      <c r="EW55" s="1215" t="s">
        <v>70</v>
      </c>
      <c r="EX55" s="1216">
        <v>0.9</v>
      </c>
      <c r="EY55" s="1232"/>
      <c r="EZ55" s="1384"/>
      <c r="FA55" s="1215" t="s">
        <v>70</v>
      </c>
      <c r="FB55" s="1216">
        <v>2.5</v>
      </c>
      <c r="FD55" s="447"/>
      <c r="FE55" s="447"/>
      <c r="FF55" s="447"/>
      <c r="FH55" s="447"/>
      <c r="FI55" s="447"/>
      <c r="FJ55" s="447"/>
    </row>
    <row r="56" spans="2:166" ht="16.5" customHeight="1">
      <c r="B56" s="1123" t="str">
        <f>INDEX('卡片raw data'!B:B,MATCH($D56,'卡片raw data'!$F:$F,))</f>
        <v>校服曜</v>
      </c>
      <c r="C56" s="449" t="s">
        <v>67</v>
      </c>
      <c r="D56" s="408">
        <v>53</v>
      </c>
      <c r="E56" s="1090">
        <v>101051001</v>
      </c>
      <c r="F56" s="1090" t="str">
        <f>INDEX('卡片raw data'!C:C,MATCH($D56,'卡片raw data'!$F:$F,))</f>
        <v>R</v>
      </c>
      <c r="G56" s="1094" t="s">
        <v>342</v>
      </c>
      <c r="H56" s="411">
        <f>IFERROR(INDEX(绊状态确认!C:C,MATCH($G56,绊状态确认!$B:$B,)),"")</f>
        <v>105</v>
      </c>
      <c r="I56" s="450" t="str">
        <f>IFERROR(INDEX(绊状态确认!D:D,MATCH($G56,绊状态确认!$B:$B,)),"")</f>
        <v>水</v>
      </c>
      <c r="J56" s="450" t="str">
        <f>IFERROR(INDEX(绊状态确认!E:E,MATCH($G56,绊状态确认!$B:$B,)),"")</f>
        <v>2年级</v>
      </c>
      <c r="K56" s="451" t="str">
        <f>IFERROR(INDEX(绊状态确认!F:F,MATCH($G56,绊状态确认!$B:$B,)),"")</f>
        <v>CYaRon!</v>
      </c>
      <c r="L56" s="1094" t="str">
        <f>INDEX('卡片raw data'!E:E,MATCH($D56,'卡片raw data'!$F:$F,))</f>
        <v>卡池卡</v>
      </c>
      <c r="M56" s="415">
        <v>43735</v>
      </c>
      <c r="N56" s="416">
        <v>0</v>
      </c>
      <c r="O56" s="1091" t="str">
        <f>INDEX('卡片raw data'!D:D,MATCH($D56,'卡片raw data'!$F:$F,))</f>
        <v>vo</v>
      </c>
      <c r="P56" s="417">
        <v>5</v>
      </c>
      <c r="Q56" s="1095">
        <f t="shared" si="0"/>
        <v>22258.667483810474</v>
      </c>
      <c r="R56" s="1096">
        <f t="shared" si="1"/>
        <v>0.25800000000000001</v>
      </c>
      <c r="S56" s="1097">
        <f t="shared" si="2"/>
        <v>9102.0104067035372</v>
      </c>
      <c r="T56" s="1098">
        <f t="shared" si="3"/>
        <v>0.45500000000000002</v>
      </c>
      <c r="U56" s="1099">
        <f t="shared" si="4"/>
        <v>-16.836026677857141</v>
      </c>
      <c r="V56" s="1100">
        <f t="shared" si="5"/>
        <v>21600.204505288675</v>
      </c>
      <c r="W56" s="1101">
        <f t="shared" si="6"/>
        <v>3556.0913953994</v>
      </c>
      <c r="X56" s="1096">
        <f t="shared" si="7"/>
        <v>4.1000000000000002E-2</v>
      </c>
      <c r="Y56" s="1097">
        <f t="shared" si="8"/>
        <v>646.20547171990029</v>
      </c>
      <c r="Z56" s="1102">
        <f t="shared" si="9"/>
        <v>8.1639733221428568</v>
      </c>
      <c r="AA56" s="1103">
        <f t="shared" si="10"/>
        <v>4202.2968671193003</v>
      </c>
      <c r="AB56" s="1101">
        <f t="shared" si="11"/>
        <v>4107.0351327148001</v>
      </c>
      <c r="AC56" s="1104">
        <f t="shared" si="12"/>
        <v>4.7E-2</v>
      </c>
      <c r="AD56" s="1105">
        <f t="shared" si="13"/>
        <v>-3.8207812500000026E-3</v>
      </c>
      <c r="AE56" s="1128">
        <f t="shared" si="14"/>
        <v>-22.692028985507246</v>
      </c>
      <c r="AF56" s="1130">
        <f t="shared" si="15"/>
        <v>0</v>
      </c>
      <c r="AG56" s="420">
        <f t="shared" si="16"/>
        <v>0</v>
      </c>
      <c r="AH56" s="420">
        <f t="shared" si="17"/>
        <v>0</v>
      </c>
      <c r="AI56" s="1097">
        <f t="shared" si="18"/>
        <v>0</v>
      </c>
      <c r="AJ56" s="420">
        <f t="shared" si="19"/>
        <v>0</v>
      </c>
      <c r="AK56" s="518">
        <f t="shared" si="20"/>
        <v>0</v>
      </c>
      <c r="AL56" s="1106">
        <f>IF($P56="","N/A",(IF($P56=-1,INDEX('卡片raw data'!S:S,MATCH($D56,'卡片raw data'!$F:$F,)),0)+IF($P56=0,INDEX('卡片raw data'!V:V,MATCH($D56,'卡片raw data'!$F:$F,)),0)+IF($P56=1,INDEX('卡片raw data'!Y:Y,MATCH($D56,'卡片raw data'!$F:$F,)),0)+IF($P56=2,INDEX('卡片raw data'!AB:AB,MATCH($D56,'卡片raw data'!$F:$F,)),0)+IF($P56=3,INDEX('卡片raw data'!AE:AE,MATCH($D56,'卡片raw data'!$F:$F,)),0)+IF($P56=4,INDEX('卡片raw data'!AH:AH,MATCH($D56,'卡片raw data'!$F:$F,)),0)+IF($P56=5,INDEX('卡片raw data'!AK:AK,MATCH($D56,'卡片raw data'!$F:$F,)),0)+INDEX('卡片raw data'!S:S,MATCH($D56,'卡片raw data'!$F:$F,))*(IF($F56="UR",0.04,0.033))*(IF($F56="UR",INDEX(绊状态确认!$S:$S,MATCH($G56,绊状态确认!$B:$B,))/2-40)+IF($F56="SR",INDEX(绊状态确认!$R:$R,MATCH($G56,绊状态确认!$B:$B,))/4-15))+IF($F56="R",INDEX(绊状态确认!$Q:$Q,MATCH($G56,绊状态确认!$B:$B,))/6-40/6)))*(INDEX(绊状态确认!$H:$H,MATCH($G56,绊状态确认!$B:$B,))+INDEX(绊状态确认!J:J,MATCH($G56,绊状态确认!$B:$B,)))</f>
        <v>4801.2899999999991</v>
      </c>
      <c r="AM56" s="1106">
        <f>IF($P56="","N/A",(IF($P56=-1,INDEX('卡片raw data'!T:T,MATCH($D56,'卡片raw data'!$F:$F,)),0)+IF($P56=0,INDEX('卡片raw data'!W:W,MATCH($D56,'卡片raw data'!$F:$F,)),0)+IF($P56=1,INDEX('卡片raw data'!Z:Z,MATCH($D56,'卡片raw data'!$F:$F,)),0)+IF($P56=2,INDEX('卡片raw data'!AC:AC,MATCH($D56,'卡片raw data'!$F:$F,)),0)+IF($P56=3,INDEX('卡片raw data'!AF:AF,MATCH($D56,'卡片raw data'!$F:$F,)),0)+IF($P56=4,INDEX('卡片raw data'!AI:AI,MATCH($D56,'卡片raw data'!$F:$F,)),0)+IF($P56=5,INDEX('卡片raw data'!AL:AL,MATCH($D56,'卡片raw data'!$F:$F,)),0)+INDEX('卡片raw data'!T:T,MATCH($D56,'卡片raw data'!$F:$F,))*(IF($F56="UR",0.04,0.033))*(IF($F56="UR",INDEX(绊状态确认!$S:$S,MATCH($G56,绊状态确认!$B:$B,))/2-40)+IF($F56="SR",INDEX(绊状态确认!$R:$R,MATCH($G56,绊状态确认!$B:$B,))/4-15))+IF($F56="R",INDEX(绊状态确认!$Q:$Q,MATCH($G56,绊状态确认!$B:$B,))/6-40/6)))*(INDEX(绊状态确认!$H:$H,MATCH($G56,绊状态确认!$B:$B,))+INDEX(绊状态确认!K:K,MATCH($G56,绊状态确认!$B:$B,)))</f>
        <v>3601.2515999999996</v>
      </c>
      <c r="AN56" s="1106">
        <f>IF($P56="","N/A",(IF($P56=-1,INDEX('卡片raw data'!U:U,MATCH($D56,'卡片raw data'!$F:$F,)),0)+IF($P56=0,INDEX('卡片raw data'!X:X,MATCH($D56,'卡片raw data'!$F:$F,)),0)+IF($P56=1,INDEX('卡片raw data'!AA:AA,MATCH($D56,'卡片raw data'!$F:$F,)),0)+IF($P56=2,INDEX('卡片raw data'!AD:AD,MATCH($D56,'卡片raw data'!$F:$F,)),0)+IF($P56=3,INDEX('卡片raw data'!AG:AG,MATCH($D56,'卡片raw data'!$F:$F,)),0)+IF($P56=4,INDEX('卡片raw data'!AJ:AJ,MATCH($D56,'卡片raw data'!$F:$F,)),0)+IF($P56=5,INDEX('卡片raw data'!AM:AM,MATCH($D56,'卡片raw data'!$F:$F,)),0)+INDEX('卡片raw data'!U:U,MATCH($D56,'卡片raw data'!$F:$F,))*(IF($F56="UR",0.04,0.033))*(IF($F56="UR",INDEX(绊状态确认!$S:$S,MATCH($G56,绊状态确认!$B:$B,))/2-40)+IF($F56="SR",INDEX(绊状态确认!$R:$R,MATCH($G56,绊状态确认!$B:$B,))/4-15))+IF($F56="R",INDEX(绊状态确认!$Q:$Q,MATCH($G56,绊状态确认!$B:$B,))/6-40/6)))*(INDEX(绊状态确认!$H:$H,MATCH($G56,绊状态确认!$B:$B,))+INDEX(绊状态确认!L:L,MATCH($G56,绊状态确认!$B:$B,)))</f>
        <v>3601.2515999999996</v>
      </c>
      <c r="AO56" s="1107">
        <f t="shared" si="21"/>
        <v>1</v>
      </c>
      <c r="AP56" s="1131">
        <f>1+(INDEX(绊状态确认!$T:$T,MATCH($G56,绊状态确认!$B:$B,))+0.2)*$AO56</f>
        <v>1.3</v>
      </c>
      <c r="AQ56" s="1108">
        <f t="shared" si="22"/>
        <v>15853.38625</v>
      </c>
      <c r="AR56" s="1097">
        <f>(AM56*(1+$EX$9)+$EX$35)*(1+(INDEX(绊状态确认!$T:$T,MATCH($G56,绊状态确认!$B:$B,))+0.2)*AO56)*IF(J56=$FF$17,1+$FE$17,1)*IF(I56=$FF$14,1+$FE$14,1)</f>
        <v>7619.7084339999992</v>
      </c>
      <c r="AS56" s="1097">
        <f>(AN56*(1+$EX$10)+$EX$36)*(1+(INDEX(绊状态确认!$T:$T,MATCH($G56,绊状态确认!$B:$B,))+0.2)*AO56)*IF(J56=$FF$17,1+$FE$17,1)*IF(I56=$FF$14,1+$FE$14,1)</f>
        <v>9439.8711419999981</v>
      </c>
      <c r="AT56" s="1093">
        <f>IF(AND(INDEX('卡片raw data'!AK:AK,MATCH($D56,'卡片raw data'!$F:$F,))&lt;INDEX('卡片raw data'!AM:AM,MATCH($D56,'卡片raw data'!$F:$F,)),INDEX('卡片raw data'!AL:AL,MATCH($D56,'卡片raw data'!$F:$F,))&lt;INDEX('卡片raw data'!AM:AM,MATCH($D56,'卡片raw data'!$F:$F,))),1,0)</f>
        <v>0</v>
      </c>
      <c r="AU56" s="1098">
        <f>MIN(AT56*0.15+AS56*0.00003+INDEX(绊状态确认!M:M,MATCH($G56,绊状态确认!$B:$B,)),1)</f>
        <v>0.31319613425999998</v>
      </c>
      <c r="AV56" s="1109">
        <f>(INDEX(绊状态确认!$N:$N,MATCH($G56,绊状态确认!$B:$B,))+1.5)*$EW$21</f>
        <v>2.6599999999999997</v>
      </c>
      <c r="AW56" s="1101">
        <f t="shared" si="23"/>
        <v>12513.996090017969</v>
      </c>
      <c r="AX56" s="1097">
        <f t="shared" si="24"/>
        <v>646.2054717199004</v>
      </c>
      <c r="AY56" s="1110">
        <f t="shared" si="25"/>
        <v>13160.201561737869</v>
      </c>
      <c r="AZ56" s="429">
        <f t="shared" si="26"/>
        <v>11962.515499999998</v>
      </c>
      <c r="BA56" s="431">
        <f t="shared" si="27"/>
        <v>14355.018599999998</v>
      </c>
      <c r="BB56" s="1097">
        <f>(AM56*(1+$FB$9)+$FB$35)*(1+(INDEX(绊状态确认!$T:$T,MATCH($G56,绊状态确认!$B:$B,))+0.2)*AO56)*IF(J56=$FF$17,1+$FE$17,1)*IF(I56=$FF$14,1+$FE$14,1)*(1+$FE$15)</f>
        <v>7619.7084339999992</v>
      </c>
      <c r="BC56" s="1097">
        <f>(AN56*(1+$FB$10)+$FB$36)*(1+(INDEX(绊状态确认!$T:$T,MATCH($G56,绊状态确认!$B:$B,))+0.2)*AO56)*IF(J56=$FF$17,1+$FE$17,1)*IF(I56=$FF$14,1+$FE$14,1)*(1+$FE$15)</f>
        <v>9439.8711419999981</v>
      </c>
      <c r="BD56" s="1104">
        <f>MIN(AT56*0.15+BC56*0.00003+INDEX(绊状态确认!M:M,MATCH($G56,绊状态确认!$B:$B,)),1)</f>
        <v>0.31319613425999998</v>
      </c>
      <c r="BE56" s="432">
        <f>(INDEX(绊状态确认!$N:$N,MATCH($G56,绊状态确认!$B:$B,))+1.5)</f>
        <v>1.9</v>
      </c>
      <c r="BF56" s="1139">
        <f t="array" ref="BF56">SUMPRODUCT(IF(AZ56*AP56*$FI$16:$FI$23*$FA$22&gt;=$FI$24,$FI$24,AZ56*AP56*$FI$16:$FI$23*$FA$22),$FJ$16:$FJ$23)</f>
        <v>23793.443329499998</v>
      </c>
      <c r="BG56" s="1125">
        <f t="array" ref="BG56">SUMPRODUCT(IF(BE56*AZ56*AP56*$FI$16:$FI$23*$FA$22&gt;=$FI$24,$FI$24,BE56*AZ56*AP56*$FI$16:$FI$23*$FA$22),$FJ$16:$FJ$23)</f>
        <v>45207.542326049988</v>
      </c>
      <c r="BH56" s="1110">
        <f t="shared" si="28"/>
        <v>10166.752117960134</v>
      </c>
      <c r="BI56" s="1111">
        <f>IF(O56="vo",$EW$26/$EW$24*0.05,0)+IF(O56="sk",-$EW$26/$EW$24*(0.05-INDEX(绊状态确认!W:W,MATCH($G56,绊状态确认!$B:$B,)))+0.05*$EW$28,0)+IF(O56="sp",0.05*$EW$32*$EW$30*(1-$EW$33)-(0.05-INDEX(绊状态确认!V:V,MATCH($G56,绊状态确认!$B:$B,)))*$EW$28,0)+IF(O56="gd",-(0.05-INDEX(绊状态确认!X:X,MATCH($G56,绊状态确认!$B:$B,)))*$EW$32*$EW$30*(1-$EW$33),0)</f>
        <v>7726.3029277443748</v>
      </c>
      <c r="BJ56" s="1097">
        <f>IF(O56="vo",0.05*(1-$FI$26)*$FA$24,0)+IF(O56="sk",-(0.05-INDEX(绊状态确认!W:W,MATCH($G56,绊状态确认!$B:$B,)))*(1-$FI$26)*$FA$24+0.05*$FA$26,0)+IF(O56="sp",0.05*$FA$32*$FA$27*(1-$FA$33)/$FA$30+0.05*$FA$29/$FA$69*$FA$27*(1-$FA$33)-(0.05-INDEX(绊状态确认!V:V,MATCH($G56,绊状态确认!$B:$B,)))*$FA$26,0)+IF(O56="gd",-(0.05-INDEX(绊状态确认!X:X,MATCH($G56,绊状态确认!$B:$B,)))*$FA$32*$FA$27*(1-$FA$33)/$FA$30-(0.05-INDEX(绊状态确认!X:X,MATCH($G56,绊状态确认!$B:$B,)))*$FA$29/$FA$69*$FA$27*(1-$FA$33),0)</f>
        <v>393.93433687500004</v>
      </c>
      <c r="BK56" s="1110">
        <f>IF(O56="vo",$EW$26/$EW$24*0.05+$EW$26*(-HP($EW$62,$EW$65,$EW$64)+HP($EW$62,$EW$65,(1.05-INDEX(绊状态确认!U:U,MATCH($G56,绊状态确认!$B:$B,)))*$EW$64)),0)+IF(O56="sk",-$EW$26/$EW$24*(0.05-INDEX(绊状态确认!W:W,MATCH($G56,绊状态确认!$B:$B,)))+0.05*$EW$29,0)+IF(O56="sp",0.05*$EW$32*$EW$30*(1-$EW$33)-(0.05-INDEX(绊状态确认!V:V,MATCH($G56,绊状态确认!$B:$B,)))*$EW$29,0)+IF(O56="gd",-(0.05-INDEX(绊状态确认!X:X,MATCH($G56,绊状态确认!$B:$B,)))*$EW$32*$EW$30*(1-$EW$33)+$EW$26*(-HP($EW$62,$EW$65,$EW$64)+HP($EW$62,$EW$65,0.95*$EW$64)),0)</f>
        <v>6421.6344775026746</v>
      </c>
      <c r="BL56" s="1111">
        <f t="shared" si="29"/>
        <v>-2166.6666666666665</v>
      </c>
      <c r="BM56" s="1110">
        <f t="shared" si="30"/>
        <v>-1661.1111111111109</v>
      </c>
      <c r="BN56" s="1113">
        <f t="shared" si="31"/>
        <v>2</v>
      </c>
      <c r="BO56" s="1097">
        <f t="shared" si="32"/>
        <v>3005.1476580839999</v>
      </c>
      <c r="BP56" s="1100">
        <f t="shared" si="33"/>
        <v>147.56068806020068</v>
      </c>
      <c r="BQ56" s="1113" t="s">
        <v>619</v>
      </c>
      <c r="BR56" s="1124" t="s">
        <v>171</v>
      </c>
      <c r="BS56" s="1098">
        <f>IF($P56="","N/A",IF($P56=-1,INDEX('卡片raw data'!AX:AX,MATCH($D56,'卡片raw data'!$F:$F,)),0)+IF($L56="party卡",IF($P56=5,INDEX('卡片raw data'!BD:BD,MATCH($D56,'卡片raw data'!$F:$F,)),IF($P56&gt;=3,INDEX('卡片raw data'!BC:BC,MATCH($D56,'卡片raw data'!$F:$F,)),INDEX('卡片raw data'!BB:BB,MATCH($D56,'卡片raw data'!$F:$F,)))),IF(OR(AND($F56="UR",$P56=0),AND($F56="SR",$P56&gt;=0,$P56&lt;=2),AND($F56="R",$P56&gt;=0,$P56&lt;4)),INDEX('卡片raw data'!AZ:AZ,MATCH($D56,'卡片raw data'!$F:$F,)),0)+IF(OR(AND($F56="UR",$P56&gt;=1,$P56&lt;=4),AND($F56="SR",$P56&lt;=4,$P56&gt;=3),AND($F56="R",$P56=4)),INDEX('卡片raw data'!BA:BA,MATCH($D56,'卡片raw data'!$F:$F,)),0)+IF($P56=5,INDEX('卡片raw data'!BB:BB,MATCH($D56,'卡片raw data'!$F:$F,)),0)))</f>
        <v>2.1999999999999999E-2</v>
      </c>
      <c r="BT56" s="1101">
        <f t="shared" si="34"/>
        <v>1101.8874746307999</v>
      </c>
      <c r="BU56" s="1097">
        <f t="shared" si="35"/>
        <v>47.342387419314377</v>
      </c>
      <c r="BV56" s="1097">
        <f t="shared" si="36"/>
        <v>550.94373731539997</v>
      </c>
      <c r="BW56" s="1112">
        <f t="shared" si="37"/>
        <v>0</v>
      </c>
      <c r="BX56" s="1100">
        <f t="shared" si="38"/>
        <v>1101.8874746307999</v>
      </c>
      <c r="BY56" s="1110">
        <f t="shared" si="39"/>
        <v>550.94373731539997</v>
      </c>
      <c r="BZ56" s="1107" t="s">
        <v>569</v>
      </c>
      <c r="CA56" s="1124"/>
      <c r="CB56" s="1098">
        <f>IF($P56="","N/A",IF($P56=-1,INDEX('卡片raw data'!BE:BE,MATCH($D56,'卡片raw data'!$F:$F,)),0)+IF($L56="party卡",IF($P56=5,INDEX('卡片raw data'!BK:BK,MATCH($D56,'卡片raw data'!$F:$F,)),IF($P56&gt;=3,INDEX('卡片raw data'!BJ:BJ,MATCH($D56,'卡片raw data'!$F:$F,)),INDEX('卡片raw data'!BI:BI,MATCH($D56,'卡片raw data'!$F:$F,)))),IF(OR(AND($F56="UR",$P56=0),AND($F56="SR",$P56&gt;=0,$P56&lt;=2),AND($F56="R",$P56&gt;=0,$P56&lt;4)),INDEX('卡片raw data'!BG:BG,MATCH($D56,'卡片raw data'!$F:$F,)),0)+IF(OR(AND($F56="UR",$P56&gt;=1,$P56&lt;=4),AND($F56="SR",$P56&lt;=4,$P56&gt;=3),AND($F56="R",$P56=4)),INDEX('卡片raw data'!BH:BH,MATCH($D56,'卡片raw data'!$F:$F,)),0)+IF($P56=5,INDEX('卡片raw data'!BI:BI,MATCH($D56,'卡片raw data'!$F:$F,)),0)))</f>
        <v>0</v>
      </c>
      <c r="CC56" s="1101">
        <f t="shared" si="40"/>
        <v>0</v>
      </c>
      <c r="CD56" s="1097">
        <f>IF(BZ56="ap",CB56*(1-$FI$26)*$FB$5/$FB$11*(+IF(CA56="全员",$FA$24,0)+IF(CA56="同作战",$FA$24,0)+IF(CA56="仲间",$FA$24*2/3,0)+IF(CA56="同属性",$FA$24*$FA$37/3,0)+IF(CA56="同年级",$FA$24*$FA$40/3,0)+IF(CA56="同学校",$FA$24*$FA$43/3,0)+IF(CA56="同小队",$FA$24*$FA$46/3,0)+IF(CA56="同type",$FA$24*INDEX($FB$49:$FB$52,MATCH(X56,$FA$49:$FA$52,))/3,0)+IF(CA56="自身",#REF!/3,0)),0)+IF(BZ56="te",CB56*(1-$FI$27)*($FA$20-1)*$FB$7/$FB$13*(+IF(CA56="全员",$FA$19*$FA$24/(1+($FA$20-1)*$FA$19),0)+IF(CA56="同作战",$FA$19*$FA$24/(1+($FA$20-1)*$FA$19),0)+IF(CA56="仲间",$FA$19*$FA$24*2/3/(1+($FA$20-1)*$FA$19),0)+IF(CA56="同属性",$FA$19*$FA$24*$FA$37/3/(1+($FA$20-1)*$FA$19),0)+IF(CA56="同年级",$FA$19*$FA$24*$FA$40/3/(1+($FA$20-1)*$FA$19),0)+IF(CA56="同学校",$FA$19*$FA$24*$FA$43/3/(1+($FA$20-1)*$FA$19),0)+IF(CA56="同小队",$FA$19*$FA$24*$FA$46/3/(1+($FA$20-1)*$FA$19),0)+IF(CA56="同type",$FA$19*$FA$24*INDEX($FB$49:$FB$52,MATCH(X56,$FA$49:$FA$52,))/3/(1+($FA$20-1)*$FA$19),0)+IF(CA56="自身",$FA$19*#REF!/3/(1+(BH56-1)*$BD56),0)),0)</f>
        <v>0</v>
      </c>
      <c r="CE56" s="1097">
        <f t="shared" si="41"/>
        <v>0</v>
      </c>
      <c r="CF56" s="1112">
        <f t="shared" si="42"/>
        <v>0</v>
      </c>
      <c r="CG56" s="1100">
        <f t="shared" si="43"/>
        <v>0</v>
      </c>
      <c r="CH56" s="1110">
        <f t="shared" si="44"/>
        <v>0</v>
      </c>
      <c r="CI56" s="1113"/>
      <c r="CJ56" s="1114"/>
      <c r="CK56" s="1115" t="s">
        <v>569</v>
      </c>
      <c r="CL56" s="1115"/>
      <c r="CM56" s="1119"/>
      <c r="CN56" s="1115"/>
      <c r="CO56" s="1092"/>
      <c r="CP56" s="1117">
        <f t="shared" si="45"/>
        <v>0</v>
      </c>
      <c r="CQ56" s="1117">
        <f t="shared" si="46"/>
        <v>0</v>
      </c>
      <c r="CR56" s="1117">
        <f t="shared" si="47"/>
        <v>0</v>
      </c>
      <c r="CS56" s="1118">
        <f t="shared" si="48"/>
        <v>0</v>
      </c>
      <c r="CT56" s="1109">
        <f t="shared" si="49"/>
        <v>0</v>
      </c>
      <c r="CU56" s="1101">
        <f t="shared" si="50"/>
        <v>0</v>
      </c>
      <c r="CV56" s="1108">
        <f t="shared" si="51"/>
        <v>0</v>
      </c>
      <c r="CW56" s="1097">
        <f t="shared" si="52"/>
        <v>0</v>
      </c>
      <c r="CX56" s="1097">
        <f t="shared" si="53"/>
        <v>0</v>
      </c>
      <c r="CY56" s="1110">
        <f t="shared" si="54"/>
        <v>0</v>
      </c>
      <c r="CZ56" s="437"/>
      <c r="DA56" s="438"/>
      <c r="DB56" s="439" t="s">
        <v>569</v>
      </c>
      <c r="DC56" s="439"/>
      <c r="DD56" s="443"/>
      <c r="DE56" s="411"/>
      <c r="DF56" s="411"/>
      <c r="DG56" s="1116">
        <f t="shared" si="55"/>
        <v>0</v>
      </c>
      <c r="DH56" s="1116">
        <f t="shared" si="56"/>
        <v>0</v>
      </c>
      <c r="DI56" s="1116">
        <f t="shared" si="57"/>
        <v>0</v>
      </c>
      <c r="DJ56" s="442">
        <f t="shared" si="58"/>
        <v>0</v>
      </c>
      <c r="DK56" s="1109">
        <f t="shared" si="59"/>
        <v>0</v>
      </c>
      <c r="DL56" s="1101">
        <f t="shared" si="60"/>
        <v>0</v>
      </c>
      <c r="DM56" s="1097">
        <f t="shared" si="61"/>
        <v>0</v>
      </c>
      <c r="DN56" s="1097">
        <f t="shared" si="62"/>
        <v>0</v>
      </c>
      <c r="DO56" s="1097">
        <f t="shared" si="63"/>
        <v>0</v>
      </c>
      <c r="DP56" s="1110">
        <f t="shared" si="64"/>
        <v>0</v>
      </c>
      <c r="DQ56" s="1113" t="s">
        <v>554</v>
      </c>
      <c r="DR56" s="1120">
        <f t="shared" si="65"/>
        <v>0.3</v>
      </c>
      <c r="DS56" s="1124">
        <v>5</v>
      </c>
      <c r="DT56" s="1093" t="s">
        <v>168</v>
      </c>
      <c r="DU56" s="1093" t="s">
        <v>546</v>
      </c>
      <c r="DV56" s="1097">
        <f>IF($P56="","N/A",IF(P56=-1,INDEX('卡片raw data'!AN:AN,MATCH(D56,'卡片raw data'!$F:$F,)),0)+IF(AND(L56&lt;&gt;"party卡",P56&lt;=2,P56&gt;=0),INDEX('卡片raw data'!AP:AP,MATCH(D56,'卡片raw data'!$F:$F,)),0)+IF(OR(AND(L56="party卡",P56&lt;=1),AND(P56&lt;=4,L56&lt;&gt;"party卡",P56&gt;=3)),INDEX('卡片raw data'!AQ:AQ,MATCH(D56,'卡片raw data'!$F:$F,)),0)+IF(OR(P56=5,AND(L56="party卡",P56&gt;=2)),INDEX('卡片raw data'!AR:AR,MATCH(D56,'卡片raw data'!$F:$F,)),0))</f>
        <v>120</v>
      </c>
      <c r="DW56" s="1098">
        <f t="shared" si="66"/>
        <v>0.3</v>
      </c>
      <c r="DX56" s="1098">
        <f t="shared" si="67"/>
        <v>0.3</v>
      </c>
      <c r="DY56" s="1098">
        <f t="shared" si="68"/>
        <v>4.588811205839698E-4</v>
      </c>
      <c r="DZ56" s="1098">
        <f t="shared" si="69"/>
        <v>9.5599530111410268E-4</v>
      </c>
      <c r="EA56" s="1098">
        <f t="shared" si="70"/>
        <v>0</v>
      </c>
      <c r="EB56" s="1121">
        <f t="shared" si="71"/>
        <v>0</v>
      </c>
      <c r="EC56" s="1101">
        <f t="shared" si="72"/>
        <v>78</v>
      </c>
      <c r="ED56" s="1097">
        <f t="shared" si="73"/>
        <v>7.5319875000000005</v>
      </c>
      <c r="EE56" s="1110">
        <f t="shared" si="74"/>
        <v>78</v>
      </c>
      <c r="EF56" s="1092" t="s">
        <v>711</v>
      </c>
      <c r="EG56" s="1120">
        <f t="shared" si="75"/>
        <v>0.3</v>
      </c>
      <c r="EH56" s="1124"/>
      <c r="EI56" s="1093"/>
      <c r="EJ56" s="1093"/>
      <c r="EK56" s="1097">
        <f>IF($P56="","N/A",IF(P56=-1,INDEX('卡片raw data'!AS:AS,MATCH(D56,'卡片raw data'!$F:$F,)),0)+IF(AND(L56&lt;&gt;"party卡",P56&lt;=2,P56&gt;=0),INDEX('卡片raw data'!AU:AU,MATCH(D56,'卡片raw data'!$F:$F,)),0)+IF(OR(AND(L56="party卡",P56&lt;=1),AND(P56&lt;=4,L56&lt;&gt;"party卡",P56&gt;=3)),INDEX('卡片raw data'!AV:AV,MATCH(D56,'卡片raw data'!$F:$F,)),0)+IF(OR(P56=5,AND(L56="party卡",P56&gt;=2)),INDEX('卡片raw data'!AW:AW,MATCH(D56,'卡片raw data'!$F:$F,)),0))</f>
        <v>0</v>
      </c>
      <c r="EL56" s="1098">
        <f t="shared" si="76"/>
        <v>0.3</v>
      </c>
      <c r="EM56" s="1098">
        <f t="shared" si="77"/>
        <v>0.3</v>
      </c>
      <c r="EN56" s="1125">
        <f t="shared" si="78"/>
        <v>0</v>
      </c>
      <c r="EO56" s="1125">
        <f t="shared" si="79"/>
        <v>0</v>
      </c>
      <c r="EP56" s="1098">
        <f t="shared" si="80"/>
        <v>0</v>
      </c>
      <c r="EQ56" s="1121">
        <f t="shared" si="81"/>
        <v>0</v>
      </c>
      <c r="ER56" s="1101">
        <f t="shared" si="82"/>
        <v>0</v>
      </c>
      <c r="ES56" s="1097">
        <f t="shared" si="83"/>
        <v>0</v>
      </c>
      <c r="ET56" s="1122">
        <f t="shared" si="84"/>
        <v>0</v>
      </c>
      <c r="EV56" s="1394"/>
      <c r="EW56" s="1234" t="s">
        <v>23</v>
      </c>
      <c r="EX56" s="1235">
        <v>0.3</v>
      </c>
      <c r="EY56" s="1232"/>
      <c r="EZ56" s="1384"/>
      <c r="FA56" s="1217" t="s">
        <v>23</v>
      </c>
      <c r="FB56" s="1218">
        <v>1.5</v>
      </c>
      <c r="FH56" s="447"/>
      <c r="FI56" s="447"/>
      <c r="FJ56" s="447"/>
    </row>
    <row r="57" spans="2:166" ht="16.5" customHeight="1">
      <c r="B57" s="1123" t="str">
        <f>INDEX('卡片raw data'!B:B,MATCH($D57,'卡片raw data'!$F:$F,))</f>
        <v>练习曜</v>
      </c>
      <c r="C57" s="449" t="s">
        <v>124</v>
      </c>
      <c r="D57" s="408">
        <v>54</v>
      </c>
      <c r="E57" s="1090">
        <v>101051002</v>
      </c>
      <c r="F57" s="1090" t="str">
        <f>INDEX('卡片raw data'!C:C,MATCH($D57,'卡片raw data'!$F:$F,))</f>
        <v>R</v>
      </c>
      <c r="G57" s="1094" t="s">
        <v>37</v>
      </c>
      <c r="H57" s="411">
        <f>IFERROR(INDEX(绊状态确认!C:C,MATCH($G57,绊状态确认!$B:$B,)),"")</f>
        <v>105</v>
      </c>
      <c r="I57" s="450" t="str">
        <f>IFERROR(INDEX(绊状态确认!D:D,MATCH($G57,绊状态确认!$B:$B,)),"")</f>
        <v>水</v>
      </c>
      <c r="J57" s="450" t="str">
        <f>IFERROR(INDEX(绊状态确认!E:E,MATCH($G57,绊状态确认!$B:$B,)),"")</f>
        <v>2年级</v>
      </c>
      <c r="K57" s="451" t="str">
        <f>IFERROR(INDEX(绊状态确认!F:F,MATCH($G57,绊状态确认!$B:$B,)),"")</f>
        <v>CYaRon!</v>
      </c>
      <c r="L57" s="1094" t="str">
        <f>INDEX('卡片raw data'!E:E,MATCH($D57,'卡片raw data'!$F:$F,))</f>
        <v>卡池卡</v>
      </c>
      <c r="M57" s="415">
        <v>43735</v>
      </c>
      <c r="N57" s="416">
        <v>0</v>
      </c>
      <c r="O57" s="1091" t="str">
        <f>INDEX('卡片raw data'!D:D,MATCH($D57,'卡片raw data'!$F:$F,))</f>
        <v>sk</v>
      </c>
      <c r="P57" s="417">
        <v>5</v>
      </c>
      <c r="Q57" s="1095">
        <f t="shared" si="0"/>
        <v>7528.0449839443972</v>
      </c>
      <c r="R57" s="1096">
        <f t="shared" si="1"/>
        <v>8.6999999999999994E-2</v>
      </c>
      <c r="S57" s="1097">
        <f t="shared" si="2"/>
        <v>7949.7617921945621</v>
      </c>
      <c r="T57" s="1098">
        <f t="shared" si="3"/>
        <v>0.39700000000000002</v>
      </c>
      <c r="U57" s="1099">
        <f t="shared" si="4"/>
        <v>10.936164302142856</v>
      </c>
      <c r="V57" s="1100">
        <f t="shared" si="5"/>
        <v>10398.585258809424</v>
      </c>
      <c r="W57" s="1101">
        <f t="shared" si="6"/>
        <v>3681.3058811528999</v>
      </c>
      <c r="X57" s="1096">
        <f t="shared" si="7"/>
        <v>4.2000000000000003E-2</v>
      </c>
      <c r="Y57" s="1097">
        <f t="shared" si="8"/>
        <v>870.54027486502673</v>
      </c>
      <c r="Z57" s="1102">
        <f t="shared" si="9"/>
        <v>10.936164302142856</v>
      </c>
      <c r="AA57" s="1103">
        <f t="shared" si="10"/>
        <v>4551.8461560179267</v>
      </c>
      <c r="AB57" s="1101">
        <f t="shared" si="11"/>
        <v>4132.0780298655</v>
      </c>
      <c r="AC57" s="1104">
        <f t="shared" si="12"/>
        <v>4.8000000000000001E-2</v>
      </c>
      <c r="AD57" s="1105">
        <f t="shared" si="13"/>
        <v>2.7996927556818183E-2</v>
      </c>
      <c r="AE57" s="1128">
        <f t="shared" si="14"/>
        <v>2.4833031592913049</v>
      </c>
      <c r="AF57" s="1130">
        <f t="shared" si="15"/>
        <v>0</v>
      </c>
      <c r="AG57" s="420">
        <f t="shared" si="16"/>
        <v>0</v>
      </c>
      <c r="AH57" s="420">
        <f t="shared" si="17"/>
        <v>0</v>
      </c>
      <c r="AI57" s="1097">
        <f t="shared" si="18"/>
        <v>0</v>
      </c>
      <c r="AJ57" s="420">
        <f t="shared" si="19"/>
        <v>0</v>
      </c>
      <c r="AK57" s="518">
        <f t="shared" si="20"/>
        <v>0</v>
      </c>
      <c r="AL57" s="1106">
        <f>IF($P57="","N/A",(IF($P57=-1,INDEX('卡片raw data'!S:S,MATCH($D57,'卡片raw data'!$F:$F,)),0)+IF($P57=0,INDEX('卡片raw data'!V:V,MATCH($D57,'卡片raw data'!$F:$F,)),0)+IF($P57=1,INDEX('卡片raw data'!Y:Y,MATCH($D57,'卡片raw data'!$F:$F,)),0)+IF($P57=2,INDEX('卡片raw data'!AB:AB,MATCH($D57,'卡片raw data'!$F:$F,)),0)+IF($P57=3,INDEX('卡片raw data'!AE:AE,MATCH($D57,'卡片raw data'!$F:$F,)),0)+IF($P57=4,INDEX('卡片raw data'!AH:AH,MATCH($D57,'卡片raw data'!$F:$F,)),0)+IF($P57=5,INDEX('卡片raw data'!AK:AK,MATCH($D57,'卡片raw data'!$F:$F,)),0)+INDEX('卡片raw data'!S:S,MATCH($D57,'卡片raw data'!$F:$F,))*(IF($F57="UR",0.04,0.033))*(IF($F57="UR",INDEX(绊状态确认!$S:$S,MATCH($G57,绊状态确认!$B:$B,))/2-40)+IF($F57="SR",INDEX(绊状态确认!$R:$R,MATCH($G57,绊状态确认!$B:$B,))/4-15))+IF($F57="R",INDEX(绊状态确认!$Q:$Q,MATCH($G57,绊状态确认!$B:$B,))/6-40/6)))*(INDEX(绊状态确认!$H:$H,MATCH($G57,绊状态确认!$B:$B,))+INDEX(绊状态确认!J:J,MATCH($G57,绊状态确认!$B:$B,)))</f>
        <v>4122.8591999999999</v>
      </c>
      <c r="AM57" s="1106">
        <f>IF($P57="","N/A",(IF($P57=-1,INDEX('卡片raw data'!T:T,MATCH($D57,'卡片raw data'!$F:$F,)),0)+IF($P57=0,INDEX('卡片raw data'!W:W,MATCH($D57,'卡片raw data'!$F:$F,)),0)+IF($P57=1,INDEX('卡片raw data'!Z:Z,MATCH($D57,'卡片raw data'!$F:$F,)),0)+IF($P57=2,INDEX('卡片raw data'!AC:AC,MATCH($D57,'卡片raw data'!$F:$F,)),0)+IF($P57=3,INDEX('卡片raw data'!AF:AF,MATCH($D57,'卡片raw data'!$F:$F,)),0)+IF($P57=4,INDEX('卡片raw data'!AI:AI,MATCH($D57,'卡片raw data'!$F:$F,)),0)+IF($P57=5,INDEX('卡片raw data'!AL:AL,MATCH($D57,'卡片raw data'!$F:$F,)),0)+INDEX('卡片raw data'!T:T,MATCH($D57,'卡片raw data'!$F:$F,))*(IF($F57="UR",0.04,0.033))*(IF($F57="UR",INDEX(绊状态确认!$S:$S,MATCH($G57,绊状态确认!$B:$B,))/2-40)+IF($F57="SR",INDEX(绊状态确认!$R:$R,MATCH($G57,绊状态确认!$B:$B,))/4-15))+IF($F57="R",INDEX(绊状态确认!$Q:$Q,MATCH($G57,绊状态确认!$B:$B,))/6-40/6)))*(INDEX(绊状态确认!$H:$H,MATCH($G57,绊状态确认!$B:$B,))+INDEX(绊状态确认!K:K,MATCH($G57,绊状态确认!$B:$B,)))</f>
        <v>5496.7667999999994</v>
      </c>
      <c r="AN57" s="1106">
        <f>IF($P57="","N/A",(IF($P57=-1,INDEX('卡片raw data'!U:U,MATCH($D57,'卡片raw data'!$F:$F,)),0)+IF($P57=0,INDEX('卡片raw data'!X:X,MATCH($D57,'卡片raw data'!$F:$F,)),0)+IF($P57=1,INDEX('卡片raw data'!AA:AA,MATCH($D57,'卡片raw data'!$F:$F,)),0)+IF($P57=2,INDEX('卡片raw data'!AD:AD,MATCH($D57,'卡片raw data'!$F:$F,)),0)+IF($P57=3,INDEX('卡片raw data'!AG:AG,MATCH($D57,'卡片raw data'!$F:$F,)),0)+IF($P57=4,INDEX('卡片raw data'!AJ:AJ,MATCH($D57,'卡片raw data'!$F:$F,)),0)+IF($P57=5,INDEX('卡片raw data'!AM:AM,MATCH($D57,'卡片raw data'!$F:$F,)),0)+INDEX('卡片raw data'!U:U,MATCH($D57,'卡片raw data'!$F:$F,))*(IF($F57="UR",0.04,0.033))*(IF($F57="UR",INDEX(绊状态确认!$S:$S,MATCH($G57,绊状态确认!$B:$B,))/2-40)+IF($F57="SR",INDEX(绊状态确认!$R:$R,MATCH($G57,绊状态确认!$B:$B,))/4-15))+IF($F57="R",INDEX(绊状态确认!$Q:$Q,MATCH($G57,绊状态确认!$B:$B,))/6-40/6)))*(INDEX(绊状态确认!$H:$H,MATCH($G57,绊状态确认!$B:$B,))+INDEX(绊状态确认!L:L,MATCH($G57,绊状态确认!$B:$B,)))</f>
        <v>4122.8591999999999</v>
      </c>
      <c r="AO57" s="1107">
        <f t="shared" si="21"/>
        <v>1</v>
      </c>
      <c r="AP57" s="1131">
        <f>1+(INDEX(绊状态确认!$T:$T,MATCH($G57,绊状态确认!$B:$B,))+0.2)*$AO57</f>
        <v>1.3</v>
      </c>
      <c r="AQ57" s="1108">
        <f t="shared" si="22"/>
        <v>14072.5054</v>
      </c>
      <c r="AR57" s="1097">
        <f>(AM57*(1+$EX$9)+$EX$35)*(1+(INDEX(绊状态确认!$T:$T,MATCH($G57,绊状态确认!$B:$B,))+0.2)*AO57)*IF(J57=$FF$17,1+$FE$17,1)*IF(I57=$FF$14,1+$FE$14,1)</f>
        <v>10207.086681999999</v>
      </c>
      <c r="AS57" s="1097">
        <f>(AN57*(1+$EX$10)+$EX$36)*(1+(INDEX(绊状态确认!$T:$T,MATCH($G57,绊状态确认!$B:$B,))+0.2)*AO57)*IF(J57=$FF$17,1+$FE$17,1)*IF(I57=$FF$14,1+$FE$14,1)</f>
        <v>10219.674503999999</v>
      </c>
      <c r="AT57" s="1093">
        <f>IF(AND(INDEX('卡片raw data'!AK:AK,MATCH($D57,'卡片raw data'!$F:$F,))&lt;INDEX('卡片raw data'!AM:AM,MATCH($D57,'卡片raw data'!$F:$F,)),INDEX('卡片raw data'!AL:AL,MATCH($D57,'卡片raw data'!$F:$F,))&lt;INDEX('卡片raw data'!AM:AM,MATCH($D57,'卡片raw data'!$F:$F,))),1,0)</f>
        <v>0</v>
      </c>
      <c r="AU57" s="1098">
        <f>MIN(AT57*0.15+AS57*0.00003+INDEX(绊状态确认!M:M,MATCH($G57,绊状态确认!$B:$B,)),1)</f>
        <v>0.33659023511999997</v>
      </c>
      <c r="AV57" s="1109">
        <f>(INDEX(绊状态确认!$N:$N,MATCH($G57,绊状态确认!$B:$B,))+1.5)*$EW$21</f>
        <v>2.6599999999999997</v>
      </c>
      <c r="AW57" s="1101">
        <f t="shared" si="23"/>
        <v>11392.063831473077</v>
      </c>
      <c r="AX57" s="1097">
        <f t="shared" si="24"/>
        <v>870.54027486502696</v>
      </c>
      <c r="AY57" s="1110">
        <f t="shared" si="25"/>
        <v>12262.604106338104</v>
      </c>
      <c r="AZ57" s="429">
        <f t="shared" si="26"/>
        <v>10639.575440000001</v>
      </c>
      <c r="BA57" s="431">
        <f t="shared" si="27"/>
        <v>12767.490528</v>
      </c>
      <c r="BB57" s="1097">
        <f>(AM57*(1+$FB$9)+$FB$35)*(1+(INDEX(绊状态确认!$T:$T,MATCH($G57,绊状态确认!$B:$B,))+0.2)*AO57)*IF(J57=$FF$17,1+$FE$17,1)*IF(I57=$FF$14,1+$FE$14,1)*(1+$FE$15)</f>
        <v>10207.086681999999</v>
      </c>
      <c r="BC57" s="1097">
        <f>(AN57*(1+$FB$10)+$FB$36)*(1+(INDEX(绊状态确认!$T:$T,MATCH($G57,绊状态确认!$B:$B,))+0.2)*AO57)*IF(J57=$FF$17,1+$FE$17,1)*IF(I57=$FF$14,1+$FE$14,1)*(1+$FE$15)</f>
        <v>10219.674503999999</v>
      </c>
      <c r="BD57" s="1104">
        <f>MIN(AT57*0.15+BC57*0.00003+INDEX(绊状态确认!M:M,MATCH($G57,绊状态确认!$B:$B,)),1)</f>
        <v>0.33659023511999997</v>
      </c>
      <c r="BE57" s="432">
        <f>(INDEX(绊状态确认!$N:$N,MATCH($G57,绊状态确认!$B:$B,))+1.5)</f>
        <v>1.9</v>
      </c>
      <c r="BF57" s="1139">
        <f t="array" ref="BF57">SUMPRODUCT(IF(AZ57*AP57*$FI$16:$FI$23*$FA$22&gt;=$FI$24,$FI$24,AZ57*AP57*$FI$16:$FI$23*$FA$22),$FJ$16:$FJ$23)</f>
        <v>21162.115550160001</v>
      </c>
      <c r="BG57" s="1125">
        <f t="array" ref="BG57">SUMPRODUCT(IF(BE57*AZ57*AP57*$FI$16:$FI$23*$FA$22&gt;=$FI$24,$FI$24,BE57*AZ57*AP57*$FI$16:$FI$23*$FA$22),$FJ$16:$FJ$23)</f>
        <v>40208.019545304</v>
      </c>
      <c r="BH57" s="1110">
        <f t="shared" si="28"/>
        <v>9190.9269513194886</v>
      </c>
      <c r="BI57" s="1111">
        <f>IF(O57="vo",$EW$26/$EW$24*0.05,0)+IF(O57="sk",-$EW$26/$EW$24*(0.05-INDEX(绊状态确认!W:W,MATCH($G57,绊状态确认!$B:$B,)))+0.05*$EW$28,0)+IF(O57="sp",0.05*$EW$32*$EW$30*(1-$EW$33)-(0.05-INDEX(绊状态确认!V:V,MATCH($G57,绊状态确认!$B:$B,)))*$EW$28,0)+IF(O57="gd",-(0.05-INDEX(绊状态确认!X:X,MATCH($G57,绊状态确认!$B:$B,)))*$EW$32*$EW$30*(1-$EW$33),0)</f>
        <v>-6253.6726349699375</v>
      </c>
      <c r="BJ57" s="1097">
        <f>IF(O57="vo",0.05*(1-$FI$26)*$FA$24,0)+IF(O57="sk",-(0.05-INDEX(绊状态确认!W:W,MATCH($G57,绊状态确认!$B:$B,)))*(1-$FI$26)*$FA$24+0.05*$FA$26,0)+IF(O57="sp",0.05*$FA$32*$FA$27*(1-$FA$33)/$FA$30+0.05*$FA$29/$FA$69*$FA$27*(1-$FA$33)-(0.05-INDEX(绊状态确认!V:V,MATCH($G57,绊状态确认!$B:$B,)))*$FA$26,0)+IF(O57="gd",-(0.05-INDEX(绊状态确认!X:X,MATCH($G57,绊状态确认!$B:$B,)))*$FA$32*$FA$27*(1-$FA$33)/$FA$30-(0.05-INDEX(绊状态确认!X:X,MATCH($G57,绊状态确认!$B:$B,)))*$FA$29/$FA$69*$FA$27*(1-$FA$33),0)</f>
        <v>20.459096812499922</v>
      </c>
      <c r="BK57" s="1110">
        <f>IF(O57="vo",$EW$26/$EW$24*0.05+$EW$26*(-HP($EW$62,$EW$65,$EW$64)+HP($EW$62,$EW$65,(1.05-INDEX(绊状态确认!U:U,MATCH($G57,绊状态确认!$B:$B,)))*$EW$64)),0)+IF(O57="sk",-$EW$26/$EW$24*(0.05-INDEX(绊状态确认!W:W,MATCH($G57,绊状态确认!$B:$B,)))+0.05*$EW$29,0)+IF(O57="sp",0.05*$EW$32*$EW$30*(1-$EW$33)-(0.05-INDEX(绊状态确认!V:V,MATCH($G57,绊状态确认!$B:$B,)))*$EW$29,0)+IF(O57="gd",-(0.05-INDEX(绊状态确认!X:X,MATCH($G57,绊状态确认!$B:$B,)))*$EW$32*$EW$30*(1-$EW$33)+$EW$26*(-HP($EW$62,$EW$65,$EW$64)+HP($EW$62,$EW$65,0.95*$EW$64)),0)</f>
        <v>-4253.6726349699375</v>
      </c>
      <c r="BL57" s="1111">
        <f t="shared" si="29"/>
        <v>-2166.6666666666665</v>
      </c>
      <c r="BM57" s="1110">
        <f t="shared" si="30"/>
        <v>-1661.1111111111109</v>
      </c>
      <c r="BN57" s="1113">
        <f t="shared" si="31"/>
        <v>2</v>
      </c>
      <c r="BO57" s="1097">
        <f t="shared" si="32"/>
        <v>3005.1476580839999</v>
      </c>
      <c r="BP57" s="1100">
        <f t="shared" si="33"/>
        <v>147.56068806020068</v>
      </c>
      <c r="BQ57" s="1113" t="s">
        <v>619</v>
      </c>
      <c r="BR57" s="1124" t="s">
        <v>617</v>
      </c>
      <c r="BS57" s="1098">
        <f>IF($P57="","N/A",IF($P57=-1,INDEX('卡片raw data'!AX:AX,MATCH($D57,'卡片raw data'!$F:$F,)),0)+IF($L57="party卡",IF($P57=5,INDEX('卡片raw data'!BD:BD,MATCH($D57,'卡片raw data'!$F:$F,)),IF($P57&gt;=3,INDEX('卡片raw data'!BC:BC,MATCH($D57,'卡片raw data'!$F:$F,)),INDEX('卡片raw data'!BB:BB,MATCH($D57,'卡片raw data'!$F:$F,)))),IF(OR(AND($F57="UR",$P57=0),AND($F57="SR",$P57&gt;=0,$P57&lt;=2),AND($F57="R",$P57&gt;=0,$P57&lt;4)),INDEX('卡片raw data'!AZ:AZ,MATCH($D57,'卡片raw data'!$F:$F,)),0)+IF(OR(AND($F57="UR",$P57&gt;=1,$P57&lt;=4),AND($F57="SR",$P57&lt;=4,$P57&gt;=3),AND($F57="R",$P57=4)),INDEX('卡片raw data'!BA:BA,MATCH($D57,'卡片raw data'!$F:$F,)),0)+IF($P57=5,INDEX('卡片raw data'!BB:BB,MATCH($D57,'卡片raw data'!$F:$F,)),0)))</f>
        <v>2.7E-2</v>
      </c>
      <c r="BT57" s="1101">
        <f t="shared" si="34"/>
        <v>1126.9303717815001</v>
      </c>
      <c r="BU57" s="1097">
        <f t="shared" si="35"/>
        <v>55.335258022575253</v>
      </c>
      <c r="BV57" s="1097">
        <f t="shared" si="36"/>
        <v>676.15822306889982</v>
      </c>
      <c r="BW57" s="1112">
        <f t="shared" si="37"/>
        <v>0</v>
      </c>
      <c r="BX57" s="1100">
        <f t="shared" si="38"/>
        <v>1126.9303717815001</v>
      </c>
      <c r="BY57" s="1110">
        <f t="shared" si="39"/>
        <v>676.15822306889982</v>
      </c>
      <c r="BZ57" s="1107" t="s">
        <v>569</v>
      </c>
      <c r="CA57" s="1124"/>
      <c r="CB57" s="1098">
        <f>IF($P57="","N/A",IF($P57=-1,INDEX('卡片raw data'!BE:BE,MATCH($D57,'卡片raw data'!$F:$F,)),0)+IF($L57="party卡",IF($P57=5,INDEX('卡片raw data'!BK:BK,MATCH($D57,'卡片raw data'!$F:$F,)),IF($P57&gt;=3,INDEX('卡片raw data'!BJ:BJ,MATCH($D57,'卡片raw data'!$F:$F,)),INDEX('卡片raw data'!BI:BI,MATCH($D57,'卡片raw data'!$F:$F,)))),IF(OR(AND($F57="UR",$P57=0),AND($F57="SR",$P57&gt;=0,$P57&lt;=2),AND($F57="R",$P57&gt;=0,$P57&lt;4)),INDEX('卡片raw data'!BG:BG,MATCH($D57,'卡片raw data'!$F:$F,)),0)+IF(OR(AND($F57="UR",$P57&gt;=1,$P57&lt;=4),AND($F57="SR",$P57&lt;=4,$P57&gt;=3),AND($F57="R",$P57=4)),INDEX('卡片raw data'!BH:BH,MATCH($D57,'卡片raw data'!$F:$F,)),0)+IF($P57=5,INDEX('卡片raw data'!BI:BI,MATCH($D57,'卡片raw data'!$F:$F,)),0)))</f>
        <v>0</v>
      </c>
      <c r="CC57" s="1101">
        <f t="shared" si="40"/>
        <v>0</v>
      </c>
      <c r="CD57" s="1097">
        <f>IF(BZ57="ap",CB57*(1-$FI$26)*$FB$5/$FB$11*(+IF(CA57="全员",$FA$24,0)+IF(CA57="同作战",$FA$24,0)+IF(CA57="仲间",$FA$24*2/3,0)+IF(CA57="同属性",$FA$24*$FA$37/3,0)+IF(CA57="同年级",$FA$24*$FA$40/3,0)+IF(CA57="同学校",$FA$24*$FA$43/3,0)+IF(CA57="同小队",$FA$24*$FA$46/3,0)+IF(CA57="同type",$FA$24*INDEX($FB$49:$FB$52,MATCH(X57,$FA$49:$FA$52,))/3,0)+IF(CA57="自身",#REF!/3,0)),0)+IF(BZ57="te",CB57*(1-$FI$27)*($FA$20-1)*$FB$7/$FB$13*(+IF(CA57="全员",$FA$19*$FA$24/(1+($FA$20-1)*$FA$19),0)+IF(CA57="同作战",$FA$19*$FA$24/(1+($FA$20-1)*$FA$19),0)+IF(CA57="仲间",$FA$19*$FA$24*2/3/(1+($FA$20-1)*$FA$19),0)+IF(CA57="同属性",$FA$19*$FA$24*$FA$37/3/(1+($FA$20-1)*$FA$19),0)+IF(CA57="同年级",$FA$19*$FA$24*$FA$40/3/(1+($FA$20-1)*$FA$19),0)+IF(CA57="同学校",$FA$19*$FA$24*$FA$43/3/(1+($FA$20-1)*$FA$19),0)+IF(CA57="同小队",$FA$19*$FA$24*$FA$46/3/(1+($FA$20-1)*$FA$19),0)+IF(CA57="同type",$FA$19*$FA$24*INDEX($FB$49:$FB$52,MATCH(X57,$FA$49:$FA$52,))/3/(1+($FA$20-1)*$FA$19),0)+IF(CA57="自身",$FA$19*#REF!/3/(1+(BH57-1)*$BD57),0)),0)</f>
        <v>0</v>
      </c>
      <c r="CE57" s="1097">
        <f t="shared" si="41"/>
        <v>0</v>
      </c>
      <c r="CF57" s="1112">
        <f t="shared" si="42"/>
        <v>0</v>
      </c>
      <c r="CG57" s="1100">
        <f t="shared" si="43"/>
        <v>0</v>
      </c>
      <c r="CH57" s="1110">
        <f t="shared" si="44"/>
        <v>0</v>
      </c>
      <c r="CI57" s="1113"/>
      <c r="CJ57" s="1114"/>
      <c r="CK57" s="1115" t="s">
        <v>569</v>
      </c>
      <c r="CL57" s="1115"/>
      <c r="CM57" s="1119"/>
      <c r="CN57" s="1115"/>
      <c r="CO57" s="1092"/>
      <c r="CP57" s="1117">
        <f t="shared" si="45"/>
        <v>0</v>
      </c>
      <c r="CQ57" s="1117">
        <f t="shared" si="46"/>
        <v>0</v>
      </c>
      <c r="CR57" s="1117">
        <f t="shared" si="47"/>
        <v>0</v>
      </c>
      <c r="CS57" s="1118">
        <f t="shared" si="48"/>
        <v>0</v>
      </c>
      <c r="CT57" s="1109">
        <f t="shared" si="49"/>
        <v>0</v>
      </c>
      <c r="CU57" s="1101">
        <f t="shared" si="50"/>
        <v>0</v>
      </c>
      <c r="CV57" s="1108">
        <f t="shared" si="51"/>
        <v>0</v>
      </c>
      <c r="CW57" s="1097">
        <f t="shared" si="52"/>
        <v>0</v>
      </c>
      <c r="CX57" s="1097">
        <f t="shared" si="53"/>
        <v>0</v>
      </c>
      <c r="CY57" s="1110">
        <f t="shared" si="54"/>
        <v>0</v>
      </c>
      <c r="CZ57" s="437"/>
      <c r="DA57" s="438"/>
      <c r="DB57" s="439" t="s">
        <v>569</v>
      </c>
      <c r="DC57" s="439"/>
      <c r="DD57" s="443"/>
      <c r="DE57" s="411"/>
      <c r="DF57" s="411"/>
      <c r="DG57" s="1116">
        <f t="shared" si="55"/>
        <v>0</v>
      </c>
      <c r="DH57" s="1116">
        <f t="shared" si="56"/>
        <v>0</v>
      </c>
      <c r="DI57" s="1116">
        <f t="shared" si="57"/>
        <v>0</v>
      </c>
      <c r="DJ57" s="442">
        <f t="shared" si="58"/>
        <v>0</v>
      </c>
      <c r="DK57" s="1109">
        <f t="shared" si="59"/>
        <v>0</v>
      </c>
      <c r="DL57" s="1101">
        <f t="shared" si="60"/>
        <v>0</v>
      </c>
      <c r="DM57" s="1097">
        <f t="shared" si="61"/>
        <v>0</v>
      </c>
      <c r="DN57" s="1097">
        <f t="shared" si="62"/>
        <v>0</v>
      </c>
      <c r="DO57" s="1097">
        <f t="shared" si="63"/>
        <v>0</v>
      </c>
      <c r="DP57" s="1110">
        <f t="shared" si="64"/>
        <v>0</v>
      </c>
      <c r="DQ57" s="1113" t="s">
        <v>553</v>
      </c>
      <c r="DR57" s="1120">
        <f t="shared" si="65"/>
        <v>0.3</v>
      </c>
      <c r="DS57" s="1124">
        <v>5</v>
      </c>
      <c r="DT57" s="1093" t="s">
        <v>161</v>
      </c>
      <c r="DU57" s="1093" t="s">
        <v>544</v>
      </c>
      <c r="DV57" s="1098">
        <f>IF($P57="","N/A",IF(P57=-1,INDEX('卡片raw data'!AN:AN,MATCH(D57,'卡片raw data'!$F:$F,)),0)+IF(AND(L57&lt;&gt;"party卡",P57&lt;=2,P57&gt;=0),INDEX('卡片raw data'!AP:AP,MATCH(D57,'卡片raw data'!$F:$F,)),0)+IF(OR(AND(L57="party卡",P57&lt;=1),AND(P57&lt;=4,L57&lt;&gt;"party卡",P57&gt;=3)),INDEX('卡片raw data'!AQ:AQ,MATCH(D57,'卡片raw data'!$F:$F,)),0)+IF(OR(P57=5,AND(L57="party卡",P57&gt;=2)),INDEX('卡片raw data'!AR:AR,MATCH(D57,'卡片raw data'!$F:$F,)),0))</f>
        <v>0.02</v>
      </c>
      <c r="DW57" s="1098">
        <f t="shared" si="66"/>
        <v>0.3</v>
      </c>
      <c r="DX57" s="1098">
        <f t="shared" si="67"/>
        <v>0.3</v>
      </c>
      <c r="DY57" s="1098">
        <f t="shared" si="68"/>
        <v>0.01</v>
      </c>
      <c r="DZ57" s="1098">
        <f t="shared" si="69"/>
        <v>8.6499999999999997E-3</v>
      </c>
      <c r="EA57" s="1098">
        <f t="shared" si="70"/>
        <v>9.002703124999999E-3</v>
      </c>
      <c r="EB57" s="1121">
        <f t="shared" si="71"/>
        <v>0</v>
      </c>
      <c r="EC57" s="1101">
        <f t="shared" si="72"/>
        <v>424.24242424242425</v>
      </c>
      <c r="ED57" s="1097">
        <f t="shared" si="73"/>
        <v>196.59090909090909</v>
      </c>
      <c r="EE57" s="1110">
        <f t="shared" si="74"/>
        <v>424.24242424242425</v>
      </c>
      <c r="EF57" s="1092" t="s">
        <v>711</v>
      </c>
      <c r="EG57" s="1120">
        <f t="shared" si="75"/>
        <v>0.3</v>
      </c>
      <c r="EH57" s="1124"/>
      <c r="EI57" s="1093"/>
      <c r="EJ57" s="1093"/>
      <c r="EK57" s="1097">
        <f>IF($P57="","N/A",IF(P57=-1,INDEX('卡片raw data'!AS:AS,MATCH(D57,'卡片raw data'!$F:$F,)),0)+IF(AND(L57&lt;&gt;"party卡",P57&lt;=2,P57&gt;=0),INDEX('卡片raw data'!AU:AU,MATCH(D57,'卡片raw data'!$F:$F,)),0)+IF(OR(AND(L57="party卡",P57&lt;=1),AND(P57&lt;=4,L57&lt;&gt;"party卡",P57&gt;=3)),INDEX('卡片raw data'!AV:AV,MATCH(D57,'卡片raw data'!$F:$F,)),0)+IF(OR(P57=5,AND(L57="party卡",P57&gt;=2)),INDEX('卡片raw data'!AW:AW,MATCH(D57,'卡片raw data'!$F:$F,)),0))</f>
        <v>0</v>
      </c>
      <c r="EL57" s="1098">
        <f t="shared" si="76"/>
        <v>0.3</v>
      </c>
      <c r="EM57" s="1098">
        <f t="shared" si="77"/>
        <v>0.3</v>
      </c>
      <c r="EN57" s="1125">
        <f t="shared" si="78"/>
        <v>0</v>
      </c>
      <c r="EO57" s="1125">
        <f t="shared" si="79"/>
        <v>0</v>
      </c>
      <c r="EP57" s="1098">
        <f t="shared" si="80"/>
        <v>0</v>
      </c>
      <c r="EQ57" s="1121">
        <f t="shared" si="81"/>
        <v>0</v>
      </c>
      <c r="ER57" s="1101">
        <f t="shared" si="82"/>
        <v>0</v>
      </c>
      <c r="ES57" s="1097">
        <f t="shared" si="83"/>
        <v>0</v>
      </c>
      <c r="ET57" s="1122">
        <f t="shared" si="84"/>
        <v>0</v>
      </c>
      <c r="EV57" s="1384" t="s">
        <v>254</v>
      </c>
      <c r="EW57" s="1238" t="s">
        <v>13</v>
      </c>
      <c r="EX57" s="1219">
        <v>5.5</v>
      </c>
      <c r="EY57" s="1232"/>
      <c r="EZ57" s="1239" t="s">
        <v>1959</v>
      </c>
      <c r="FA57" s="1385">
        <v>0.86499999999999999</v>
      </c>
      <c r="FB57" s="1386"/>
      <c r="FH57" s="447"/>
      <c r="FI57" s="447"/>
      <c r="FJ57" s="447"/>
    </row>
    <row r="58" spans="2:166" ht="16.5" customHeight="1">
      <c r="B58" s="1123" t="str">
        <f>INDEX('卡片raw data'!B:B,MATCH($D58,'卡片raw data'!$F:$F,))</f>
        <v>啦啦曜</v>
      </c>
      <c r="C58" s="449" t="s">
        <v>123</v>
      </c>
      <c r="D58" s="408">
        <v>55</v>
      </c>
      <c r="E58" s="1090">
        <v>101052001</v>
      </c>
      <c r="F58" s="1090" t="str">
        <f>INDEX('卡片raw data'!C:C,MATCH($D58,'卡片raw data'!$F:$F,))</f>
        <v>SR</v>
      </c>
      <c r="G58" s="1094" t="s">
        <v>342</v>
      </c>
      <c r="H58" s="411">
        <f>IFERROR(INDEX(绊状态确认!C:C,MATCH($G58,绊状态确认!$B:$B,)),"")</f>
        <v>105</v>
      </c>
      <c r="I58" s="450" t="str">
        <f>IFERROR(INDEX(绊状态确认!D:D,MATCH($G58,绊状态确认!$B:$B,)),"")</f>
        <v>水</v>
      </c>
      <c r="J58" s="450" t="str">
        <f>IFERROR(INDEX(绊状态确认!E:E,MATCH($G58,绊状态确认!$B:$B,)),"")</f>
        <v>2年级</v>
      </c>
      <c r="K58" s="451" t="str">
        <f>IFERROR(INDEX(绊状态确认!F:F,MATCH($G58,绊状态确认!$B:$B,)),"")</f>
        <v>CYaRon!</v>
      </c>
      <c r="L58" s="1094" t="str">
        <f>INDEX('卡片raw data'!E:E,MATCH($D58,'卡片raw data'!$F:$F,))</f>
        <v>卡池卡</v>
      </c>
      <c r="M58" s="415">
        <v>43735</v>
      </c>
      <c r="N58" s="416">
        <v>0</v>
      </c>
      <c r="O58" s="1091" t="str">
        <f>INDEX('卡片raw data'!D:D,MATCH($D58,'卡片raw data'!$F:$F,))</f>
        <v>sp</v>
      </c>
      <c r="P58" s="417">
        <v>5</v>
      </c>
      <c r="Q58" s="1095">
        <f t="shared" si="0"/>
        <v>25526.750169212868</v>
      </c>
      <c r="R58" s="1096">
        <f t="shared" si="1"/>
        <v>0.29599999999999999</v>
      </c>
      <c r="S58" s="1097">
        <f t="shared" si="2"/>
        <v>14616.925382477868</v>
      </c>
      <c r="T58" s="1098">
        <f t="shared" si="3"/>
        <v>0.73</v>
      </c>
      <c r="U58" s="1099">
        <f t="shared" si="4"/>
        <v>9.809670869142856</v>
      </c>
      <c r="V58" s="1100">
        <f t="shared" si="5"/>
        <v>24505.824847447511</v>
      </c>
      <c r="W58" s="1101">
        <f t="shared" si="6"/>
        <v>5304.1444119471107</v>
      </c>
      <c r="X58" s="1096">
        <f t="shared" si="7"/>
        <v>6.0999999999999999E-2</v>
      </c>
      <c r="Y58" s="1097">
        <f t="shared" si="8"/>
        <v>779.07467823464503</v>
      </c>
      <c r="Z58" s="1102">
        <f t="shared" si="9"/>
        <v>9.809670869142856</v>
      </c>
      <c r="AA58" s="1103">
        <f t="shared" si="10"/>
        <v>6083.2190901817557</v>
      </c>
      <c r="AB58" s="1101">
        <f t="shared" si="11"/>
        <v>5914.9177979190863</v>
      </c>
      <c r="AC58" s="1104">
        <f t="shared" si="12"/>
        <v>6.8000000000000005E-2</v>
      </c>
      <c r="AD58" s="1105">
        <f t="shared" si="13"/>
        <v>-1.9908281250000003E-2</v>
      </c>
      <c r="AE58" s="1128">
        <f t="shared" si="14"/>
        <v>-1.0764492753623198</v>
      </c>
      <c r="AF58" s="1130">
        <f t="shared" si="15"/>
        <v>0</v>
      </c>
      <c r="AG58" s="420">
        <f t="shared" si="16"/>
        <v>0</v>
      </c>
      <c r="AH58" s="420">
        <f t="shared" si="17"/>
        <v>0</v>
      </c>
      <c r="AI58" s="1097">
        <f t="shared" si="18"/>
        <v>0</v>
      </c>
      <c r="AJ58" s="420">
        <f t="shared" si="19"/>
        <v>0</v>
      </c>
      <c r="AK58" s="518">
        <f t="shared" si="20"/>
        <v>0</v>
      </c>
      <c r="AL58" s="1106">
        <f>IF($P58="","N/A",(IF($P58=-1,INDEX('卡片raw data'!S:S,MATCH($D58,'卡片raw data'!$F:$F,)),0)+IF($P58=0,INDEX('卡片raw data'!V:V,MATCH($D58,'卡片raw data'!$F:$F,)),0)+IF($P58=1,INDEX('卡片raw data'!Y:Y,MATCH($D58,'卡片raw data'!$F:$F,)),0)+IF($P58=2,INDEX('卡片raw data'!AB:AB,MATCH($D58,'卡片raw data'!$F:$F,)),0)+IF($P58=3,INDEX('卡片raw data'!AE:AE,MATCH($D58,'卡片raw data'!$F:$F,)),0)+IF($P58=4,INDEX('卡片raw data'!AH:AH,MATCH($D58,'卡片raw data'!$F:$F,)),0)+IF($P58=5,INDEX('卡片raw data'!AK:AK,MATCH($D58,'卡片raw data'!$F:$F,)),0)+INDEX('卡片raw data'!S:S,MATCH($D58,'卡片raw data'!$F:$F,))*(IF($F58="UR",0.04,0.033))*(IF($F58="UR",INDEX(绊状态确认!$S:$S,MATCH($G58,绊状态确认!$B:$B,))/2-40)+IF($F58="SR",INDEX(绊状态确认!$R:$R,MATCH($G58,绊状态确认!$B:$B,))/4-15))+IF($F58="R",INDEX(绊状态确认!$Q:$Q,MATCH($G58,绊状态确认!$B:$B,))/6-40/6)))*(INDEX(绊状态确认!$H:$H,MATCH($G58,绊状态确认!$B:$B,))+INDEX(绊状态确认!J:J,MATCH($G58,绊状态确认!$B:$B,)))</f>
        <v>5671.8178559999997</v>
      </c>
      <c r="AM58" s="1106">
        <f>IF($P58="","N/A",(IF($P58=-1,INDEX('卡片raw data'!T:T,MATCH($D58,'卡片raw data'!$F:$F,)),0)+IF($P58=0,INDEX('卡片raw data'!W:W,MATCH($D58,'卡片raw data'!$F:$F,)),0)+IF($P58=1,INDEX('卡片raw data'!Z:Z,MATCH($D58,'卡片raw data'!$F:$F,)),0)+IF($P58=2,INDEX('卡片raw data'!AC:AC,MATCH($D58,'卡片raw data'!$F:$F,)),0)+IF($P58=3,INDEX('卡片raw data'!AF:AF,MATCH($D58,'卡片raw data'!$F:$F,)),0)+IF($P58=4,INDEX('卡片raw data'!AI:AI,MATCH($D58,'卡片raw data'!$F:$F,)),0)+IF($P58=5,INDEX('卡片raw data'!AL:AL,MATCH($D58,'卡片raw data'!$F:$F,)),0)+INDEX('卡片raw data'!T:T,MATCH($D58,'卡片raw data'!$F:$F,))*(IF($F58="UR",0.04,0.033))*(IF($F58="UR",INDEX(绊状态确认!$S:$S,MATCH($G58,绊状态确认!$B:$B,))/2-40)+IF($F58="SR",INDEX(绊状态确认!$R:$R,MATCH($G58,绊状态确认!$B:$B,))/4-15))+IF($F58="R",INDEX(绊状态确认!$Q:$Q,MATCH($G58,绊状态确认!$B:$B,))/6-40/6)))*(INDEX(绊状态确认!$H:$H,MATCH($G58,绊状态确认!$B:$B,))+INDEX(绊状态确认!K:K,MATCH($G58,绊状态确认!$B:$B,)))</f>
        <v>4726.5148799999988</v>
      </c>
      <c r="AN58" s="1106">
        <f>IF($P58="","N/A",(IF($P58=-1,INDEX('卡片raw data'!U:U,MATCH($D58,'卡片raw data'!$F:$F,)),0)+IF($P58=0,INDEX('卡片raw data'!X:X,MATCH($D58,'卡片raw data'!$F:$F,)),0)+IF($P58=1,INDEX('卡片raw data'!AA:AA,MATCH($D58,'卡片raw data'!$F:$F,)),0)+IF($P58=2,INDEX('卡片raw data'!AD:AD,MATCH($D58,'卡片raw data'!$F:$F,)),0)+IF($P58=3,INDEX('卡片raw data'!AG:AG,MATCH($D58,'卡片raw data'!$F:$F,)),0)+IF($P58=4,INDEX('卡片raw data'!AJ:AJ,MATCH($D58,'卡片raw data'!$F:$F,)),0)+IF($P58=5,INDEX('卡片raw data'!AM:AM,MATCH($D58,'卡片raw data'!$F:$F,)),0)+INDEX('卡片raw data'!U:U,MATCH($D58,'卡片raw data'!$F:$F,))*(IF($F58="UR",0.04,0.033))*(IF($F58="UR",INDEX(绊状态确认!$S:$S,MATCH($G58,绊状态确认!$B:$B,))/2-40)+IF($F58="SR",INDEX(绊状态确认!$R:$R,MATCH($G58,绊状态确认!$B:$B,))/4-15))+IF($F58="R",INDEX(绊状态确认!$Q:$Q,MATCH($G58,绊状态确认!$B:$B,))/6-40/6)))*(INDEX(绊状态确认!$H:$H,MATCH($G58,绊状态确认!$B:$B,))+INDEX(绊状态确认!L:L,MATCH($G58,绊状态确认!$B:$B,)))</f>
        <v>8507.7267839999986</v>
      </c>
      <c r="AO58" s="1107">
        <f t="shared" si="21"/>
        <v>1</v>
      </c>
      <c r="AP58" s="1131">
        <f>1+(INDEX(绊状态确认!$T:$T,MATCH($G58,绊状态确认!$B:$B,))+0.2)*$AO58</f>
        <v>1.3</v>
      </c>
      <c r="AQ58" s="1108">
        <f t="shared" si="22"/>
        <v>18138.521871999998</v>
      </c>
      <c r="AR58" s="1097">
        <f>(AM58*(1+$EX$9)+$EX$35)*(1+(INDEX(绊状态确认!$T:$T,MATCH($G58,绊状态确认!$B:$B,))+0.2)*AO58)*IF(J58=$FF$17,1+$FE$17,1)*IF(I58=$FF$14,1+$FE$14,1)</f>
        <v>9155.6928111999987</v>
      </c>
      <c r="AS58" s="1097">
        <f>(AN58*(1+$EX$10)+$EX$36)*(1+(INDEX(绊状态确认!$T:$T,MATCH($G58,绊状态确认!$B:$B,))+0.2)*AO58)*IF(J58=$FF$17,1+$FE$17,1)*IF(I58=$FF$14,1+$FE$14,1)</f>
        <v>16775.051542079997</v>
      </c>
      <c r="AT58" s="1093">
        <f>IF(AND(INDEX('卡片raw data'!AK:AK,MATCH($D58,'卡片raw data'!$F:$F,))&lt;INDEX('卡片raw data'!AM:AM,MATCH($D58,'卡片raw data'!$F:$F,)),INDEX('卡片raw data'!AL:AL,MATCH($D58,'卡片raw data'!$F:$F,))&lt;INDEX('卡片raw data'!AM:AM,MATCH($D58,'卡片raw data'!$F:$F,))),1,0)</f>
        <v>1</v>
      </c>
      <c r="AU58" s="1098">
        <f>MIN(AT58*0.15+AS58*0.00003+INDEX(绊状态确认!M:M,MATCH($G58,绊状态确认!$B:$B,)),1)</f>
        <v>0.68325154626239992</v>
      </c>
      <c r="AV58" s="1109">
        <f>(INDEX(绊状态确认!$N:$N,MATCH($G58,绊状态确认!$B:$B,))+1.5)*$EW$21</f>
        <v>2.6599999999999997</v>
      </c>
      <c r="AW58" s="1101">
        <f t="shared" si="23"/>
        <v>20104.527806533992</v>
      </c>
      <c r="AX58" s="1097">
        <f t="shared" si="24"/>
        <v>779.07467823464469</v>
      </c>
      <c r="AY58" s="1110">
        <f t="shared" si="25"/>
        <v>20883.602484768635</v>
      </c>
      <c r="AZ58" s="429">
        <f t="shared" si="26"/>
        <v>13660.044819199999</v>
      </c>
      <c r="BA58" s="431">
        <f t="shared" si="27"/>
        <v>16392.053783039999</v>
      </c>
      <c r="BB58" s="1097">
        <f>(AM58*(1+$FB$9)+$FB$35)*(1+(INDEX(绊状态确认!$T:$T,MATCH($G58,绊状态确认!$B:$B,))+0.2)*AO58)*IF(J58=$FF$17,1+$FE$17,1)*IF(I58=$FF$14,1+$FE$14,1)*(1+$FE$15)</f>
        <v>9155.6928111999987</v>
      </c>
      <c r="BC58" s="1097">
        <f>(AN58*(1+$FB$10)+$FB$36)*(1+(INDEX(绊状态确认!$T:$T,MATCH($G58,绊状态确认!$B:$B,))+0.2)*AO58)*IF(J58=$FF$17,1+$FE$17,1)*IF(I58=$FF$14,1+$FE$14,1)*(1+$FE$15)</f>
        <v>16775.051542079997</v>
      </c>
      <c r="BD58" s="1104">
        <f>MIN(AT58*0.15+BC58*0.00003+INDEX(绊状态确认!M:M,MATCH($G58,绊状态确认!$B:$B,)),1)</f>
        <v>0.68325154626239992</v>
      </c>
      <c r="BE58" s="432">
        <f>(INDEX(绊状态确认!$N:$N,MATCH($G58,绊状态确认!$B:$B,))+1.5)</f>
        <v>1.9</v>
      </c>
      <c r="BF58" s="1139">
        <f t="array" ref="BF58">SUMPRODUCT(IF(AZ58*AP58*$FI$16:$FI$23*$FA$22&gt;=$FI$24,$FI$24,AZ58*AP58*$FI$16:$FI$23*$FA$22),$FJ$16:$FJ$23)</f>
        <v>27169.829145388805</v>
      </c>
      <c r="BG58" s="1125">
        <f t="array" ref="BG58">SUMPRODUCT(IF(BE58*AZ58*AP58*$FI$16:$FI$23*$FA$22&gt;=$FI$24,$FI$24,BE58*AZ58*AP58*$FI$16:$FI$23*$FA$22),$FJ$16:$FJ$23)</f>
        <v>51138.760415971832</v>
      </c>
      <c r="BH58" s="1110">
        <f t="shared" si="28"/>
        <v>14515.546166090615</v>
      </c>
      <c r="BI58" s="1111">
        <f>IF(O58="vo",$EW$26/$EW$24*0.05,0)+IF(O58="sk",-$EW$26/$EW$24*(0.05-INDEX(绊状态确认!W:W,MATCH($G58,绊状态确认!$B:$B,)))+0.05*$EW$28,0)+IF(O58="sp",0.05*$EW$32*$EW$30*(1-$EW$33)-(0.05-INDEX(绊状态确认!V:V,MATCH($G58,绊状态确认!$B:$B,)))*$EW$28,0)+IF(O58="gd",-(0.05-INDEX(绊状态确认!X:X,MATCH($G58,绊状态确认!$B:$B,)))*$EW$32*$EW$30*(1-$EW$33),0)</f>
        <v>19.999999999999886</v>
      </c>
      <c r="BJ58" s="1097">
        <f>IF(O58="vo",0.05*(1-$FI$26)*$FA$24,0)+IF(O58="sk",-(0.05-INDEX(绊状态确认!W:W,MATCH($G58,绊状态确认!$B:$B,)))*(1-$FI$26)*$FA$24+0.05*$FA$26,0)+IF(O58="sp",0.05*$FA$32*$FA$27*(1-$FA$33)/$FA$30+0.05*$FA$29/$FA$69*$FA$27*(1-$FA$33)-(0.05-INDEX(绊状态确认!V:V,MATCH($G58,绊状态确认!$B:$B,)))*$FA$26,0)+IF(O58="gd",-(0.05-INDEX(绊状态确认!X:X,MATCH($G58,绊状态确认!$B:$B,)))*$FA$32*$FA$27*(1-$FA$33)/$FA$30-(0.05-INDEX(绊状态确认!X:X,MATCH($G58,绊状态确认!$B:$B,)))*$FA$29/$FA$69*$FA$27*(1-$FA$33),0)</f>
        <v>545.83333333333326</v>
      </c>
      <c r="BK58" s="1110">
        <f>IF(O58="vo",$EW$26/$EW$24*0.05+$EW$26*(-HP($EW$62,$EW$65,$EW$64)+HP($EW$62,$EW$65,(1.05-INDEX(绊状态确认!U:U,MATCH($G58,绊状态确认!$B:$B,)))*$EW$64)),0)+IF(O58="sk",-$EW$26/$EW$24*(0.05-INDEX(绊状态确认!W:W,MATCH($G58,绊状态确认!$B:$B,)))+0.05*$EW$29,0)+IF(O58="sp",0.05*$EW$32*$EW$30*(1-$EW$33)-(0.05-INDEX(绊状态确认!V:V,MATCH($G58,绊状态确认!$B:$B,)))*$EW$29,0)+IF(O58="gd",-(0.05-INDEX(绊状态确认!X:X,MATCH($G58,绊状态确认!$B:$B,)))*$EW$32*$EW$30*(1-$EW$33)+$EW$26*(-HP($EW$62,$EW$65,$EW$64)+HP($EW$62,$EW$65,0.95*$EW$64)),0)</f>
        <v>-1780.0000000000005</v>
      </c>
      <c r="BL58" s="1111">
        <f t="shared" si="29"/>
        <v>-1083.3333333333333</v>
      </c>
      <c r="BM58" s="1110">
        <f t="shared" si="30"/>
        <v>-830.55555555555543</v>
      </c>
      <c r="BN58" s="1113">
        <f t="shared" si="31"/>
        <v>3</v>
      </c>
      <c r="BO58" s="1097">
        <f t="shared" si="32"/>
        <v>4507.7214871259994</v>
      </c>
      <c r="BP58" s="1100">
        <f t="shared" si="33"/>
        <v>221.34103209030098</v>
      </c>
      <c r="BQ58" s="1113" t="s">
        <v>616</v>
      </c>
      <c r="BR58" s="1124" t="s">
        <v>620</v>
      </c>
      <c r="BS58" s="1098">
        <f>IF($P58="","N/A",IF($P58=-1,INDEX('卡片raw data'!AX:AX,MATCH($D58,'卡片raw data'!$F:$F,)),0)+IF($L58="party卡",IF($P58=5,INDEX('卡片raw data'!BD:BD,MATCH($D58,'卡片raw data'!$F:$F,)),IF($P58&gt;=3,INDEX('卡片raw data'!BC:BC,MATCH($D58,'卡片raw data'!$F:$F,)),INDEX('卡片raw data'!BB:BB,MATCH($D58,'卡片raw data'!$F:$F,)))),IF(OR(AND($F58="UR",$P58=0),AND($F58="SR",$P58&gt;=0,$P58&lt;=2),AND($F58="R",$P58&gt;=0,$P58&lt;4)),INDEX('卡片raw data'!AZ:AZ,MATCH($D58,'卡片raw data'!$F:$F,)),0)+IF(OR(AND($F58="UR",$P58&gt;=1,$P58&lt;=4),AND($F58="SR",$P58&lt;=4,$P58&gt;=3),AND($F58="R",$P58=4)),INDEX('卡片raw data'!BA:BA,MATCH($D58,'卡片raw data'!$F:$F,)),0)+IF($P58=5,INDEX('卡片raw data'!BB:BB,MATCH($D58,'卡片raw data'!$F:$F,)),0)))</f>
        <v>3.6999999999999998E-2</v>
      </c>
      <c r="BT58" s="1101">
        <f t="shared" si="34"/>
        <v>1396.05345365023</v>
      </c>
      <c r="BU58" s="1097">
        <f t="shared" si="35"/>
        <v>151.47151763028543</v>
      </c>
      <c r="BV58" s="1097">
        <f t="shared" si="36"/>
        <v>785.28006767825423</v>
      </c>
      <c r="BW58" s="1112">
        <f t="shared" si="37"/>
        <v>0</v>
      </c>
      <c r="BX58" s="1100">
        <f t="shared" si="38"/>
        <v>1396.05345365023</v>
      </c>
      <c r="BY58" s="1110">
        <f t="shared" si="39"/>
        <v>785.28006767825423</v>
      </c>
      <c r="BZ58" s="1107" t="s">
        <v>569</v>
      </c>
      <c r="CA58" s="1124"/>
      <c r="CB58" s="1098">
        <f>IF($P58="","N/A",IF($P58=-1,INDEX('卡片raw data'!BE:BE,MATCH($D58,'卡片raw data'!$F:$F,)),0)+IF($L58="party卡",IF($P58=5,INDEX('卡片raw data'!BK:BK,MATCH($D58,'卡片raw data'!$F:$F,)),IF($P58&gt;=3,INDEX('卡片raw data'!BJ:BJ,MATCH($D58,'卡片raw data'!$F:$F,)),INDEX('卡片raw data'!BI:BI,MATCH($D58,'卡片raw data'!$F:$F,)))),IF(OR(AND($F58="UR",$P58=0),AND($F58="SR",$P58&gt;=0,$P58&lt;=2),AND($F58="R",$P58&gt;=0,$P58&lt;4)),INDEX('卡片raw data'!BG:BG,MATCH($D58,'卡片raw data'!$F:$F,)),0)+IF(OR(AND($F58="UR",$P58&gt;=1,$P58&lt;=4),AND($F58="SR",$P58&lt;=4,$P58&gt;=3),AND($F58="R",$P58=4)),INDEX('卡片raw data'!BH:BH,MATCH($D58,'卡片raw data'!$F:$F,)),0)+IF($P58=5,INDEX('卡片raw data'!BI:BI,MATCH($D58,'卡片raw data'!$F:$F,)),0)))</f>
        <v>0</v>
      </c>
      <c r="CC58" s="1101">
        <f t="shared" si="40"/>
        <v>0</v>
      </c>
      <c r="CD58" s="1097">
        <f>IF(BZ58="ap",CB58*(1-$FI$26)*$FB$5/$FB$11*(+IF(CA58="全员",$FA$24,0)+IF(CA58="同作战",$FA$24,0)+IF(CA58="仲间",$FA$24*2/3,0)+IF(CA58="同属性",$FA$24*$FA$37/3,0)+IF(CA58="同年级",$FA$24*$FA$40/3,0)+IF(CA58="同学校",$FA$24*$FA$43/3,0)+IF(CA58="同小队",$FA$24*$FA$46/3,0)+IF(CA58="同type",$FA$24*INDEX($FB$49:$FB$52,MATCH(X58,$FA$49:$FA$52,))/3,0)+IF(CA58="自身",#REF!/3,0)),0)+IF(BZ58="te",CB58*(1-$FI$27)*($FA$20-1)*$FB$7/$FB$13*(+IF(CA58="全员",$FA$19*$FA$24/(1+($FA$20-1)*$FA$19),0)+IF(CA58="同作战",$FA$19*$FA$24/(1+($FA$20-1)*$FA$19),0)+IF(CA58="仲间",$FA$19*$FA$24*2/3/(1+($FA$20-1)*$FA$19),0)+IF(CA58="同属性",$FA$19*$FA$24*$FA$37/3/(1+($FA$20-1)*$FA$19),0)+IF(CA58="同年级",$FA$19*$FA$24*$FA$40/3/(1+($FA$20-1)*$FA$19),0)+IF(CA58="同学校",$FA$19*$FA$24*$FA$43/3/(1+($FA$20-1)*$FA$19),0)+IF(CA58="同小队",$FA$19*$FA$24*$FA$46/3/(1+($FA$20-1)*$FA$19),0)+IF(CA58="同type",$FA$19*$FA$24*INDEX($FB$49:$FB$52,MATCH(X58,$FA$49:$FA$52,))/3/(1+($FA$20-1)*$FA$19),0)+IF(CA58="自身",$FA$19*#REF!/3/(1+(BH58-1)*$BD58),0)),0)</f>
        <v>0</v>
      </c>
      <c r="CE58" s="1097">
        <f t="shared" si="41"/>
        <v>0</v>
      </c>
      <c r="CF58" s="1112">
        <f t="shared" si="42"/>
        <v>0</v>
      </c>
      <c r="CG58" s="1100">
        <f t="shared" si="43"/>
        <v>0</v>
      </c>
      <c r="CH58" s="1110">
        <f t="shared" si="44"/>
        <v>0</v>
      </c>
      <c r="CI58" s="1113" t="s">
        <v>165</v>
      </c>
      <c r="CJ58" s="1114">
        <v>0.3</v>
      </c>
      <c r="CK58" s="1115" t="s">
        <v>565</v>
      </c>
      <c r="CL58" s="1115" t="s">
        <v>161</v>
      </c>
      <c r="CM58" s="1119">
        <v>0.08</v>
      </c>
      <c r="CN58" s="1115">
        <v>10</v>
      </c>
      <c r="CO58" s="1092"/>
      <c r="CP58" s="1118">
        <f t="shared" si="45"/>
        <v>8.571428571428571E-4</v>
      </c>
      <c r="CQ58" s="1118">
        <f t="shared" si="46"/>
        <v>1.3333333333333333E-3</v>
      </c>
      <c r="CR58" s="1118">
        <f t="shared" si="47"/>
        <v>8.571428571428571E-4</v>
      </c>
      <c r="CS58" s="1118">
        <f t="shared" si="48"/>
        <v>0</v>
      </c>
      <c r="CT58" s="1109">
        <f t="shared" si="49"/>
        <v>0.27500000000000002</v>
      </c>
      <c r="CU58" s="1101">
        <f t="shared" si="50"/>
        <v>11.142857142857142</v>
      </c>
      <c r="CV58" s="1108">
        <f t="shared" si="51"/>
        <v>13.288888888888886</v>
      </c>
      <c r="CW58" s="1097">
        <f t="shared" si="52"/>
        <v>11.142857142857142</v>
      </c>
      <c r="CX58" s="1097">
        <f t="shared" si="53"/>
        <v>11.142857142857142</v>
      </c>
      <c r="CY58" s="1110">
        <f t="shared" si="54"/>
        <v>11.142857142857142</v>
      </c>
      <c r="CZ58" s="437"/>
      <c r="DA58" s="438"/>
      <c r="DB58" s="439" t="s">
        <v>569</v>
      </c>
      <c r="DC58" s="439"/>
      <c r="DD58" s="443"/>
      <c r="DE58" s="411"/>
      <c r="DF58" s="411"/>
      <c r="DG58" s="1116">
        <f t="shared" si="55"/>
        <v>0</v>
      </c>
      <c r="DH58" s="1116">
        <f t="shared" si="56"/>
        <v>0</v>
      </c>
      <c r="DI58" s="1116">
        <f t="shared" si="57"/>
        <v>0</v>
      </c>
      <c r="DJ58" s="442">
        <f t="shared" si="58"/>
        <v>0</v>
      </c>
      <c r="DK58" s="1109">
        <f t="shared" si="59"/>
        <v>0</v>
      </c>
      <c r="DL58" s="1101">
        <f t="shared" si="60"/>
        <v>0</v>
      </c>
      <c r="DM58" s="1097">
        <f t="shared" si="61"/>
        <v>0</v>
      </c>
      <c r="DN58" s="1097">
        <f t="shared" si="62"/>
        <v>0</v>
      </c>
      <c r="DO58" s="1097">
        <f t="shared" si="63"/>
        <v>0</v>
      </c>
      <c r="DP58" s="1110">
        <f t="shared" si="64"/>
        <v>0</v>
      </c>
      <c r="DQ58" s="1113" t="s">
        <v>256</v>
      </c>
      <c r="DR58" s="1120">
        <f t="shared" si="65"/>
        <v>0.3</v>
      </c>
      <c r="DS58" s="1124"/>
      <c r="DT58" s="1093" t="s">
        <v>548</v>
      </c>
      <c r="DU58" s="1093"/>
      <c r="DV58" s="1098">
        <f>IF($P58="","N/A",IF(P58=-1,INDEX('卡片raw data'!AN:AN,MATCH(D58,'卡片raw data'!$F:$F,)),0)+IF(AND(L58&lt;&gt;"party卡",P58&lt;=2,P58&gt;=0),INDEX('卡片raw data'!AP:AP,MATCH(D58,'卡片raw data'!$F:$F,)),0)+IF(OR(AND(L58="party卡",P58&lt;=1),AND(P58&lt;=4,L58&lt;&gt;"party卡",P58&gt;=3)),INDEX('卡片raw data'!AQ:AQ,MATCH(D58,'卡片raw data'!$F:$F,)),0)+IF(OR(P58=5,AND(L58="party卡",P58&gt;=2)),INDEX('卡片raw data'!AR:AR,MATCH(D58,'卡片raw data'!$F:$F,)),0))</f>
        <v>0.22</v>
      </c>
      <c r="DW58" s="1098">
        <f t="shared" si="66"/>
        <v>0.3</v>
      </c>
      <c r="DX58" s="1098">
        <f t="shared" si="67"/>
        <v>0.3</v>
      </c>
      <c r="DY58" s="1125">
        <f t="shared" si="68"/>
        <v>399.04748118399993</v>
      </c>
      <c r="DZ58" s="1125">
        <f t="shared" si="69"/>
        <v>311.94078349125112</v>
      </c>
      <c r="EA58" s="1098">
        <f t="shared" si="70"/>
        <v>0</v>
      </c>
      <c r="EB58" s="1121">
        <f t="shared" si="71"/>
        <v>0</v>
      </c>
      <c r="EC58" s="1101">
        <f t="shared" si="72"/>
        <v>570.63789809311993</v>
      </c>
      <c r="ED58" s="1097">
        <f t="shared" si="73"/>
        <v>0</v>
      </c>
      <c r="EE58" s="1110">
        <f t="shared" si="74"/>
        <v>570.63789809311993</v>
      </c>
      <c r="EF58" s="1092" t="s">
        <v>711</v>
      </c>
      <c r="EG58" s="1120">
        <f t="shared" si="75"/>
        <v>0.3</v>
      </c>
      <c r="EH58" s="1124"/>
      <c r="EI58" s="1093"/>
      <c r="EJ58" s="1093"/>
      <c r="EK58" s="1097">
        <f>IF($P58="","N/A",IF(P58=-1,INDEX('卡片raw data'!AS:AS,MATCH(D58,'卡片raw data'!$F:$F,)),0)+IF(AND(L58&lt;&gt;"party卡",P58&lt;=2,P58&gt;=0),INDEX('卡片raw data'!AU:AU,MATCH(D58,'卡片raw data'!$F:$F,)),0)+IF(OR(AND(L58="party卡",P58&lt;=1),AND(P58&lt;=4,L58&lt;&gt;"party卡",P58&gt;=3)),INDEX('卡片raw data'!AV:AV,MATCH(D58,'卡片raw data'!$F:$F,)),0)+IF(OR(P58=5,AND(L58="party卡",P58&gt;=2)),INDEX('卡片raw data'!AW:AW,MATCH(D58,'卡片raw data'!$F:$F,)),0))</f>
        <v>0</v>
      </c>
      <c r="EL58" s="1098">
        <f t="shared" si="76"/>
        <v>0.3</v>
      </c>
      <c r="EM58" s="1098">
        <f t="shared" si="77"/>
        <v>0.3</v>
      </c>
      <c r="EN58" s="1125">
        <f t="shared" si="78"/>
        <v>0</v>
      </c>
      <c r="EO58" s="1125">
        <f t="shared" si="79"/>
        <v>0</v>
      </c>
      <c r="EP58" s="1098">
        <f t="shared" si="80"/>
        <v>0</v>
      </c>
      <c r="EQ58" s="1121">
        <f t="shared" si="81"/>
        <v>0</v>
      </c>
      <c r="ER58" s="1101">
        <f t="shared" si="82"/>
        <v>0</v>
      </c>
      <c r="ES58" s="1097">
        <f t="shared" si="83"/>
        <v>0</v>
      </c>
      <c r="ET58" s="1122">
        <f t="shared" si="84"/>
        <v>0</v>
      </c>
      <c r="EV58" s="1384"/>
      <c r="EW58" s="1215" t="s">
        <v>14</v>
      </c>
      <c r="EX58" s="1216">
        <v>2.5</v>
      </c>
      <c r="EY58" s="1232"/>
      <c r="EZ58" s="1225" t="s">
        <v>248</v>
      </c>
      <c r="FA58" s="1326">
        <v>0.02</v>
      </c>
      <c r="FB58" s="1326"/>
      <c r="FH58" s="447"/>
      <c r="FI58" s="447"/>
      <c r="FJ58" s="447"/>
    </row>
    <row r="59" spans="2:166" ht="16.5" customHeight="1">
      <c r="B59" s="1123" t="str">
        <f>INDEX('卡片raw data'!B:B,MATCH($D59,'卡片raw data'!$F:$F,))</f>
        <v>初始曜</v>
      </c>
      <c r="C59" s="449" t="s">
        <v>66</v>
      </c>
      <c r="D59" s="408">
        <v>56</v>
      </c>
      <c r="E59" s="1090">
        <v>101053001</v>
      </c>
      <c r="F59" s="1090" t="str">
        <f>INDEX('卡片raw data'!C:C,MATCH($D59,'卡片raw data'!$F:$F,))</f>
        <v>UR</v>
      </c>
      <c r="G59" s="1094" t="s">
        <v>37</v>
      </c>
      <c r="H59" s="411">
        <f>IFERROR(INDEX(绊状态确认!C:C,MATCH($G59,绊状态确认!$B:$B,)),"")</f>
        <v>105</v>
      </c>
      <c r="I59" s="450" t="str">
        <f>IFERROR(INDEX(绊状态确认!D:D,MATCH($G59,绊状态确认!$B:$B,)),"")</f>
        <v>水</v>
      </c>
      <c r="J59" s="450" t="str">
        <f>IFERROR(INDEX(绊状态确认!E:E,MATCH($G59,绊状态确认!$B:$B,)),"")</f>
        <v>2年级</v>
      </c>
      <c r="K59" s="451" t="str">
        <f>IFERROR(INDEX(绊状态确认!F:F,MATCH($G59,绊状态确认!$B:$B,)),"")</f>
        <v>CYaRon!</v>
      </c>
      <c r="L59" s="1094" t="str">
        <f>INDEX('卡片raw data'!E:E,MATCH($D59,'卡片raw data'!$F:$F,))</f>
        <v>卡池卡</v>
      </c>
      <c r="M59" s="415">
        <v>43735</v>
      </c>
      <c r="N59" s="416">
        <v>0</v>
      </c>
      <c r="O59" s="1091" t="str">
        <f>INDEX('卡片raw data'!D:D,MATCH($D59,'卡片raw data'!$F:$F,))</f>
        <v>gd</v>
      </c>
      <c r="P59" s="417">
        <v>5</v>
      </c>
      <c r="Q59" s="1095">
        <f t="shared" si="0"/>
        <v>45292.372433615405</v>
      </c>
      <c r="R59" s="1096">
        <f t="shared" si="1"/>
        <v>0.52600000000000002</v>
      </c>
      <c r="S59" s="1097">
        <f t="shared" si="2"/>
        <v>19084.702706489144</v>
      </c>
      <c r="T59" s="1098">
        <f t="shared" si="3"/>
        <v>0.95399999999999996</v>
      </c>
      <c r="U59" s="1099">
        <f t="shared" si="4"/>
        <v>429.81033159474293</v>
      </c>
      <c r="V59" s="1100">
        <f t="shared" si="5"/>
        <v>96462.257085146935</v>
      </c>
      <c r="W59" s="1101">
        <f t="shared" si="6"/>
        <v>4507.7214871259994</v>
      </c>
      <c r="X59" s="1096">
        <f t="shared" si="7"/>
        <v>5.1999999999999998E-2</v>
      </c>
      <c r="Y59" s="1097">
        <f t="shared" si="8"/>
        <v>1140.2587893901746</v>
      </c>
      <c r="Z59" s="1102">
        <f t="shared" si="9"/>
        <v>14.343282737142857</v>
      </c>
      <c r="AA59" s="1103">
        <f t="shared" si="10"/>
        <v>5647.9802765161739</v>
      </c>
      <c r="AB59" s="1101">
        <f t="shared" si="11"/>
        <v>4507.7214871259994</v>
      </c>
      <c r="AC59" s="1104">
        <f t="shared" si="12"/>
        <v>5.1999999999999998E-2</v>
      </c>
      <c r="AD59" s="1105">
        <f t="shared" si="13"/>
        <v>0</v>
      </c>
      <c r="AE59" s="1128">
        <f t="shared" si="14"/>
        <v>-6.25</v>
      </c>
      <c r="AF59" s="1130">
        <f t="shared" si="15"/>
        <v>5524.2213162239996</v>
      </c>
      <c r="AG59" s="420">
        <f t="shared" si="16"/>
        <v>103045.411112</v>
      </c>
      <c r="AH59" s="420">
        <f t="shared" si="17"/>
        <v>18.653382117289098</v>
      </c>
      <c r="AI59" s="1097">
        <f t="shared" si="18"/>
        <v>100569.9386622475</v>
      </c>
      <c r="AJ59" s="420">
        <f t="shared" si="19"/>
        <v>96462.257085146935</v>
      </c>
      <c r="AK59" s="518">
        <f t="shared" si="20"/>
        <v>4107.681577100564</v>
      </c>
      <c r="AL59" s="1106">
        <f>IF($P59="","N/A",(IF($P59=-1,INDEX('卡片raw data'!S:S,MATCH($D59,'卡片raw data'!$F:$F,)),0)+IF($P59=0,INDEX('卡片raw data'!V:V,MATCH($D59,'卡片raw data'!$F:$F,)),0)+IF($P59=1,INDEX('卡片raw data'!Y:Y,MATCH($D59,'卡片raw data'!$F:$F,)),0)+IF($P59=2,INDEX('卡片raw data'!AB:AB,MATCH($D59,'卡片raw data'!$F:$F,)),0)+IF($P59=3,INDEX('卡片raw data'!AE:AE,MATCH($D59,'卡片raw data'!$F:$F,)),0)+IF($P59=4,INDEX('卡片raw data'!AH:AH,MATCH($D59,'卡片raw data'!$F:$F,)),0)+IF($P59=5,INDEX('卡片raw data'!AK:AK,MATCH($D59,'卡片raw data'!$F:$F,)),0)+INDEX('卡片raw data'!S:S,MATCH($D59,'卡片raw data'!$F:$F,))*(IF($F59="UR",0.04,0.033))*(IF($F59="UR",INDEX(绊状态确认!$S:$S,MATCH($G59,绊状态确认!$B:$B,))/2-40)+IF($F59="SR",INDEX(绊状态确认!$R:$R,MATCH($G59,绊状态确认!$B:$B,))/4-15))+IF($F59="R",INDEX(绊状态确认!$Q:$Q,MATCH($G59,绊状态确认!$B:$B,))/6-40/6)))*(INDEX(绊状态确认!$H:$H,MATCH($G59,绊状态确认!$B:$B,))+INDEX(绊状态确认!J:J,MATCH($G59,绊状态确认!$B:$B,)))</f>
        <v>10754.889599999999</v>
      </c>
      <c r="AM59" s="1106">
        <f>IF($P59="","N/A",(IF($P59=-1,INDEX('卡片raw data'!T:T,MATCH($D59,'卡片raw data'!$F:$F,)),0)+IF($P59=0,INDEX('卡片raw data'!W:W,MATCH($D59,'卡片raw data'!$F:$F,)),0)+IF($P59=1,INDEX('卡片raw data'!Z:Z,MATCH($D59,'卡片raw data'!$F:$F,)),0)+IF($P59=2,INDEX('卡片raw data'!AC:AC,MATCH($D59,'卡片raw data'!$F:$F,)),0)+IF($P59=3,INDEX('卡片raw data'!AF:AF,MATCH($D59,'卡片raw data'!$F:$F,)),0)+IF($P59=4,INDEX('卡片raw data'!AI:AI,MATCH($D59,'卡片raw data'!$F:$F,)),0)+IF($P59=5,INDEX('卡片raw data'!AL:AL,MATCH($D59,'卡片raw data'!$F:$F,)),0)+INDEX('卡片raw data'!T:T,MATCH($D59,'卡片raw data'!$F:$F,))*(IF($F59="UR",0.04,0.033))*(IF($F59="UR",INDEX(绊状态确认!$S:$S,MATCH($G59,绊状态确认!$B:$B,))/2-40)+IF($F59="SR",INDEX(绊状态确认!$R:$R,MATCH($G59,绊状态确认!$B:$B,))/4-15))+IF($F59="R",INDEX(绊状态确认!$Q:$Q,MATCH($G59,绊状态确认!$B:$B,))/6-40/6)))*(INDEX(绊状态确认!$H:$H,MATCH($G59,绊状态确认!$B:$B,))+INDEX(绊状态确认!K:K,MATCH($G59,绊状态确认!$B:$B,)))</f>
        <v>6145.6511999999993</v>
      </c>
      <c r="AN59" s="1106">
        <f>IF($P59="","N/A",(IF($P59=-1,INDEX('卡片raw data'!U:U,MATCH($D59,'卡片raw data'!$F:$F,)),0)+IF($P59=0,INDEX('卡片raw data'!X:X,MATCH($D59,'卡片raw data'!$F:$F,)),0)+IF($P59=1,INDEX('卡片raw data'!AA:AA,MATCH($D59,'卡片raw data'!$F:$F,)),0)+IF($P59=2,INDEX('卡片raw data'!AD:AD,MATCH($D59,'卡片raw data'!$F:$F,)),0)+IF($P59=3,INDEX('卡片raw data'!AG:AG,MATCH($D59,'卡片raw data'!$F:$F,)),0)+IF($P59=4,INDEX('卡片raw data'!AJ:AJ,MATCH($D59,'卡片raw data'!$F:$F,)),0)+IF($P59=5,INDEX('卡片raw data'!AM:AM,MATCH($D59,'卡片raw data'!$F:$F,)),0)+INDEX('卡片raw data'!U:U,MATCH($D59,'卡片raw data'!$F:$F,))*(IF($F59="UR",0.04,0.033))*(IF($F59="UR",INDEX(绊状态确认!$S:$S,MATCH($G59,绊状态确认!$B:$B,))/2-40)+IF($F59="SR",INDEX(绊状态确认!$R:$R,MATCH($G59,绊状态确认!$B:$B,))/4-15))+IF($F59="R",INDEX(绊状态确认!$Q:$Q,MATCH($G59,绊状态确认!$B:$B,))/6-40/6)))*(INDEX(绊状态确认!$H:$H,MATCH($G59,绊状态确认!$B:$B,))+INDEX(绊状态确认!L:L,MATCH($G59,绊状态确认!$B:$B,)))</f>
        <v>13827.715199999999</v>
      </c>
      <c r="AO59" s="1107">
        <f t="shared" si="21"/>
        <v>1</v>
      </c>
      <c r="AP59" s="1131">
        <f>1+(INDEX(绊状态确认!$T:$T,MATCH($G59,绊状态确认!$B:$B,))+0.2)*$AO59</f>
        <v>1.3</v>
      </c>
      <c r="AQ59" s="1108">
        <f t="shared" si="22"/>
        <v>31481.585200000001</v>
      </c>
      <c r="AR59" s="1097">
        <f>(AM59*(1+$EX$9)+$EX$35)*(1+(INDEX(绊状态确认!$T:$T,MATCH($G59,绊状态确认!$B:$B,))+0.2)*AO59)*IF(J59=$FF$17,1+$FE$17,1)*IF(I59=$FF$14,1+$FE$14,1)*(1+$FE$15)</f>
        <v>11092.813888000001</v>
      </c>
      <c r="AS59" s="1097">
        <f>(AN59*(1+$EX$10)+$EX$36)*(1+(INDEX(绊状态确认!$T:$T,MATCH($G59,绊状态确认!$B:$B,))+0.2)*AO59)*IF(J59=$FF$17,1+$FE$17,1)*IF(I59=$FF$14,1+$FE$14,1)*(1+$FE$15)</f>
        <v>24728.434223999997</v>
      </c>
      <c r="AT59" s="1093">
        <f>IF(AND(INDEX('卡片raw data'!AK:AK,MATCH($D59,'卡片raw data'!$F:$F,))&lt;INDEX('卡片raw data'!AM:AM,MATCH($D59,'卡片raw data'!$F:$F,)),INDEX('卡片raw data'!AL:AL,MATCH($D59,'卡片raw data'!$F:$F,))&lt;INDEX('卡片raw data'!AM:AM,MATCH($D59,'卡片raw data'!$F:$F,))),1,0)</f>
        <v>1</v>
      </c>
      <c r="AU59" s="1098">
        <f>MIN(AT59*0.15+AS59*0.00003+INDEX(绊状态确认!M:M,MATCH($G59,绊状态确认!$B:$B,)),1)</f>
        <v>0.92185302672000002</v>
      </c>
      <c r="AV59" s="1109">
        <f>(INDEX(绊状态确认!$N:$N,MATCH($G59,绊状态确认!$B:$B,))+1.5)*$EW$21</f>
        <v>2.6599999999999997</v>
      </c>
      <c r="AW59" s="1101">
        <f t="shared" si="23"/>
        <v>41369.650946489404</v>
      </c>
      <c r="AX59" s="1097">
        <f t="shared" si="24"/>
        <v>947.921400093687</v>
      </c>
      <c r="AY59" s="1110">
        <f t="shared" si="25"/>
        <v>42317.572346583089</v>
      </c>
      <c r="AZ59" s="429">
        <f t="shared" si="26"/>
        <v>23572.034719999996</v>
      </c>
      <c r="BA59" s="431">
        <f t="shared" si="27"/>
        <v>28286.441663999994</v>
      </c>
      <c r="BB59" s="1097">
        <f>(AM59*(1+$FB$9)+$FB$35)*(1+(INDEX(绊状态确认!$T:$T,MATCH($G59,绊状态确认!$B:$B,))+0.2)*AO59)*IF(J59=$FF$17,1+$FE$17,1)*IF(I59=$FF$14,1+$FE$14,1)*(1+$FE$15)</f>
        <v>11092.813888000001</v>
      </c>
      <c r="BC59" s="1097">
        <f>(AN59*(1+$FB$10)+$FB$36)*(1+(INDEX(绊状态确认!$T:$T,MATCH($G59,绊状态确认!$B:$B,))+0.2)*AO59)*IF(J59=$FF$17,1+$FE$17,1)*IF(I59=$FF$14,1+$FE$14,1)*(1+$FE$15)</f>
        <v>24728.434223999997</v>
      </c>
      <c r="BD59" s="1104">
        <f>MIN(AT59*0.15+BC59*0.00003+INDEX(绊状态确认!M:M,MATCH($G59,绊状态确认!$B:$B,)),1)</f>
        <v>0.92185302672000002</v>
      </c>
      <c r="BE59" s="432">
        <f>(INDEX(绊状态确认!$N:$N,MATCH($G59,绊状态确认!$B:$B,))+1.5)</f>
        <v>1.9</v>
      </c>
      <c r="BF59" s="1139">
        <f t="array" ref="BF59">SUMPRODUCT(IF(AZ59*AP59*$FI$16:$FI$23*$FA$22&gt;=$FI$24,$FI$24,AZ59*AP59*$FI$16:$FI$23*$FA$22),$FJ$16:$FJ$23)</f>
        <v>46884.777058079999</v>
      </c>
      <c r="BG59" s="1125">
        <f t="array" ref="BG59">SUMPRODUCT(IF(BE59*AZ59*AP59*$FI$16:$FI$23*$FA$22&gt;=$FI$24,$FI$24,BE59*AZ59*AP59*$FI$16:$FI$23*$FA$22),$FJ$16:$FJ$23)</f>
        <v>60000</v>
      </c>
      <c r="BH59" s="1110">
        <f t="shared" si="28"/>
        <v>19658.361674398842</v>
      </c>
      <c r="BI59" s="1111">
        <f>IF(O59="vo",$EW$26/$EW$24*0.05,0)+IF(O59="sk",-$EW$26/$EW$24*(0.05-INDEX(绊状态确认!W:W,MATCH($G59,绊状态确认!$B:$B,)))+0.05*$EW$28,0)+IF(O59="sp",0.05*$EW$32*$EW$30*(1-$EW$33)-(0.05-INDEX(绊状态确认!V:V,MATCH($G59,绊状态确认!$B:$B,)))*$EW$28,0)+IF(O59="gd",-(0.05-INDEX(绊状态确认!X:X,MATCH($G59,绊状态确认!$B:$B,)))*$EW$32*$EW$30*(1-$EW$33),0)</f>
        <v>-585.00000000000011</v>
      </c>
      <c r="BJ59" s="1097">
        <f>IF(O59="vo",0.05*(1-$FI$26)*$FA$24,0)+IF(O59="sk",-(0.05-INDEX(绊状态确认!W:W,MATCH($G59,绊状态确认!$B:$B,)))*(1-$FI$26)*$FA$24+0.05*$FA$26,0)+IF(O59="sp",0.05*$FA$32*$FA$27*(1-$FA$33)/$FA$30+0.05*$FA$29/$FA$69*$FA$27*(1-$FA$33)-(0.05-INDEX(绊状态确认!V:V,MATCH($G59,绊状态确认!$B:$B,)))*$FA$26,0)+IF(O59="gd",-(0.05-INDEX(绊状态确认!X:X,MATCH($G59,绊状态确认!$B:$B,)))*$FA$32*$FA$27*(1-$FA$33)/$FA$30-(0.05-INDEX(绊状态确认!X:X,MATCH($G59,绊状态确认!$B:$B,)))*$FA$29/$FA$69*$FA$27*(1-$FA$33),0)</f>
        <v>-795.00000000000011</v>
      </c>
      <c r="BK59" s="1110">
        <f>IF(O59="vo",$EW$26/$EW$24*0.05+$EW$26*(-HP($EW$62,$EW$65,$EW$64)+HP($EW$62,$EW$65,(1.05-INDEX(绊状态确认!U:U,MATCH($G59,绊状态确认!$B:$B,)))*$EW$64)),0)+IF(O59="sk",-$EW$26/$EW$24*(0.05-INDEX(绊状态确认!W:W,MATCH($G59,绊状态确认!$B:$B,)))+0.05*$EW$29,0)+IF(O59="sp",0.05*$EW$32*$EW$30*(1-$EW$33)-(0.05-INDEX(绊状态确认!V:V,MATCH($G59,绊状态确认!$B:$B,)))*$EW$29,0)+IF(O59="gd",-(0.05-INDEX(绊状态确认!X:X,MATCH($G59,绊状态确认!$B:$B,)))*$EW$32*$EW$30*(1-$EW$33)+$EW$26*(-HP($EW$62,$EW$65,$EW$64)+HP($EW$62,$EW$65,0.95*$EW$64)),0)</f>
        <v>1009.5947725176144</v>
      </c>
      <c r="BL59" s="1111">
        <f t="shared" si="29"/>
        <v>0</v>
      </c>
      <c r="BM59" s="1110">
        <f t="shared" si="30"/>
        <v>0</v>
      </c>
      <c r="BN59" s="1113">
        <f t="shared" si="31"/>
        <v>3</v>
      </c>
      <c r="BO59" s="1097">
        <f t="shared" si="32"/>
        <v>4507.7214871259994</v>
      </c>
      <c r="BP59" s="1100">
        <f t="shared" si="33"/>
        <v>221.34103209030098</v>
      </c>
      <c r="BQ59" s="1113" t="s">
        <v>144</v>
      </c>
      <c r="BR59" s="1124" t="s">
        <v>146</v>
      </c>
      <c r="BS59" s="1098">
        <f>IF($P59="","N/A",IF($P59=-1,INDEX('卡片raw data'!AX:AX,MATCH($D59,'卡片raw data'!$F:$F,)),0)+IF($L59="party卡",IF($P59=5,INDEX('卡片raw data'!BD:BD,MATCH($D59,'卡片raw data'!$F:$F,)),IF($P59&gt;=3,INDEX('卡片raw data'!BC:BC,MATCH($D59,'卡片raw data'!$F:$F,)),INDEX('卡片raw data'!BB:BB,MATCH($D59,'卡片raw data'!$F:$F,)))),IF(OR(AND($F59="UR",$P59=0),AND($F59="SR",$P59&gt;=0,$P59&lt;=2),AND($F59="R",$P59&gt;=0,$P59&lt;4)),INDEX('卡片raw data'!AZ:AZ,MATCH($D59,'卡片raw data'!$F:$F,)),0)+IF(OR(AND($F59="UR",$P59&gt;=1,$P59&lt;=4),AND($F59="SR",$P59&lt;=4,$P59&gt;=3),AND($F59="R",$P59=4)),INDEX('卡片raw data'!BA:BA,MATCH($D59,'卡片raw data'!$F:$F,)),0)+IF($P59=5,INDEX('卡片raw data'!BB:BB,MATCH($D59,'卡片raw data'!$F:$F,)),0)))</f>
        <v>7.0000000000000007E-2</v>
      </c>
      <c r="BT59" s="1101">
        <f t="shared" si="34"/>
        <v>0</v>
      </c>
      <c r="BU59" s="1097">
        <f t="shared" si="35"/>
        <v>0</v>
      </c>
      <c r="BV59" s="1097">
        <f t="shared" si="36"/>
        <v>0</v>
      </c>
      <c r="BW59" s="1112">
        <f t="shared" si="37"/>
        <v>2.4581249999999999</v>
      </c>
      <c r="BX59" s="1100">
        <f t="shared" si="38"/>
        <v>192.3373892964872</v>
      </c>
      <c r="BY59" s="1110">
        <f t="shared" si="39"/>
        <v>192.3373892964872</v>
      </c>
      <c r="BZ59" s="1107" t="s">
        <v>569</v>
      </c>
      <c r="CA59" s="1124"/>
      <c r="CB59" s="1098">
        <f>IF($P59="","N/A",IF($P59=-1,INDEX('卡片raw data'!BE:BE,MATCH($D59,'卡片raw data'!$F:$F,)),0)+IF($L59="party卡",IF($P59=5,INDEX('卡片raw data'!BK:BK,MATCH($D59,'卡片raw data'!$F:$F,)),IF($P59&gt;=3,INDEX('卡片raw data'!BJ:BJ,MATCH($D59,'卡片raw data'!$F:$F,)),INDEX('卡片raw data'!BI:BI,MATCH($D59,'卡片raw data'!$F:$F,)))),IF(OR(AND($F59="UR",$P59=0),AND($F59="SR",$P59&gt;=0,$P59&lt;=2),AND($F59="R",$P59&gt;=0,$P59&lt;4)),INDEX('卡片raw data'!BG:BG,MATCH($D59,'卡片raw data'!$F:$F,)),0)+IF(OR(AND($F59="UR",$P59&gt;=1,$P59&lt;=4),AND($F59="SR",$P59&lt;=4,$P59&gt;=3),AND($F59="R",$P59=4)),INDEX('卡片raw data'!BH:BH,MATCH($D59,'卡片raw data'!$F:$F,)),0)+IF($P59=5,INDEX('卡片raw data'!BI:BI,MATCH($D59,'卡片raw data'!$F:$F,)),0)))</f>
        <v>0</v>
      </c>
      <c r="CC59" s="1101">
        <f t="shared" si="40"/>
        <v>0</v>
      </c>
      <c r="CD59" s="1097">
        <f>IF(BZ59="ap",CB59*(1-$FI$26)*$FB$5/$FB$11*(+IF(CA59="全员",$FA$24,0)+IF(CA59="同作战",$FA$24,0)+IF(CA59="仲间",$FA$24*2/3,0)+IF(CA59="同属性",$FA$24*$FA$37/3,0)+IF(CA59="同年级",$FA$24*$FA$40/3,0)+IF(CA59="同学校",$FA$24*$FA$43/3,0)+IF(CA59="同小队",$FA$24*$FA$46/3,0)+IF(CA59="同type",$FA$24*INDEX($FB$49:$FB$52,MATCH(X59,$FA$49:$FA$52,))/3,0)+IF(CA59="自身",#REF!/3,0)),0)+IF(BZ59="te",CB59*(1-$FI$27)*($FA$20-1)*$FB$7/$FB$13*(+IF(CA59="全员",$FA$19*$FA$24/(1+($FA$20-1)*$FA$19),0)+IF(CA59="同作战",$FA$19*$FA$24/(1+($FA$20-1)*$FA$19),0)+IF(CA59="仲间",$FA$19*$FA$24*2/3/(1+($FA$20-1)*$FA$19),0)+IF(CA59="同属性",$FA$19*$FA$24*$FA$37/3/(1+($FA$20-1)*$FA$19),0)+IF(CA59="同年级",$FA$19*$FA$24*$FA$40/3/(1+($FA$20-1)*$FA$19),0)+IF(CA59="同学校",$FA$19*$FA$24*$FA$43/3/(1+($FA$20-1)*$FA$19),0)+IF(CA59="同小队",$FA$19*$FA$24*$FA$46/3/(1+($FA$20-1)*$FA$19),0)+IF(CA59="同type",$FA$19*$FA$24*INDEX($FB$49:$FB$52,MATCH(X59,$FA$49:$FA$52,))/3/(1+($FA$20-1)*$FA$19),0)+IF(CA59="自身",$FA$19*#REF!/3/(1+(BH59-1)*$BD59),0)),0)</f>
        <v>0</v>
      </c>
      <c r="CE59" s="1097">
        <f t="shared" si="41"/>
        <v>0</v>
      </c>
      <c r="CF59" s="1112">
        <f t="shared" si="42"/>
        <v>0</v>
      </c>
      <c r="CG59" s="1100">
        <f t="shared" si="43"/>
        <v>0</v>
      </c>
      <c r="CH59" s="1110">
        <f t="shared" si="44"/>
        <v>0</v>
      </c>
      <c r="CI59" s="1113" t="s">
        <v>570</v>
      </c>
      <c r="CJ59" s="1114">
        <v>0.4</v>
      </c>
      <c r="CK59" s="1115" t="s">
        <v>635</v>
      </c>
      <c r="CL59" s="1115" t="s">
        <v>1943</v>
      </c>
      <c r="CM59" s="1119">
        <v>0.2</v>
      </c>
      <c r="CN59" s="1115"/>
      <c r="CO59" s="1092"/>
      <c r="CP59" s="1117">
        <f t="shared" si="45"/>
        <v>0</v>
      </c>
      <c r="CQ59" s="1117">
        <f t="shared" si="46"/>
        <v>0</v>
      </c>
      <c r="CR59" s="1117">
        <f t="shared" si="47"/>
        <v>0</v>
      </c>
      <c r="CS59" s="1118">
        <f t="shared" si="48"/>
        <v>0</v>
      </c>
      <c r="CT59" s="1109">
        <f t="shared" si="49"/>
        <v>0</v>
      </c>
      <c r="CU59" s="1101">
        <f t="shared" si="50"/>
        <v>0</v>
      </c>
      <c r="CV59" s="1108">
        <f t="shared" si="51"/>
        <v>0</v>
      </c>
      <c r="CW59" s="1097">
        <f t="shared" si="52"/>
        <v>0</v>
      </c>
      <c r="CX59" s="1097">
        <f t="shared" si="53"/>
        <v>0</v>
      </c>
      <c r="CY59" s="1110">
        <f t="shared" si="54"/>
        <v>0</v>
      </c>
      <c r="CZ59" s="437"/>
      <c r="DA59" s="438"/>
      <c r="DB59" s="439" t="s">
        <v>569</v>
      </c>
      <c r="DC59" s="439"/>
      <c r="DD59" s="443"/>
      <c r="DE59" s="411"/>
      <c r="DF59" s="411"/>
      <c r="DG59" s="1116">
        <f t="shared" si="55"/>
        <v>0</v>
      </c>
      <c r="DH59" s="1116">
        <f t="shared" si="56"/>
        <v>0</v>
      </c>
      <c r="DI59" s="1116">
        <f t="shared" si="57"/>
        <v>0</v>
      </c>
      <c r="DJ59" s="442">
        <f t="shared" si="58"/>
        <v>0</v>
      </c>
      <c r="DK59" s="1109">
        <f t="shared" si="59"/>
        <v>0</v>
      </c>
      <c r="DL59" s="1101">
        <f t="shared" si="60"/>
        <v>0</v>
      </c>
      <c r="DM59" s="1097">
        <f t="shared" si="61"/>
        <v>0</v>
      </c>
      <c r="DN59" s="1097">
        <f t="shared" si="62"/>
        <v>0</v>
      </c>
      <c r="DO59" s="1097">
        <f t="shared" si="63"/>
        <v>0</v>
      </c>
      <c r="DP59" s="1110">
        <f t="shared" si="64"/>
        <v>0</v>
      </c>
      <c r="DQ59" s="1113" t="s">
        <v>635</v>
      </c>
      <c r="DR59" s="1120">
        <f t="shared" si="65"/>
        <v>0.33</v>
      </c>
      <c r="DS59" s="1124"/>
      <c r="DT59" s="1093" t="s">
        <v>133</v>
      </c>
      <c r="DU59" s="1093"/>
      <c r="DV59" s="1098">
        <f>IF($P59="","N/A",IF(P59=-1,INDEX('卡片raw data'!AN:AN,MATCH(D59,'卡片raw data'!$F:$F,)),0)+IF(AND(L59&lt;&gt;"party卡",P59&lt;=2,P59&gt;=0),INDEX('卡片raw data'!AP:AP,MATCH(D59,'卡片raw data'!$F:$F,)),0)+IF(OR(AND(L59="party卡",P59&lt;=1),AND(P59&lt;=4,L59&lt;&gt;"party卡",P59&gt;=3)),INDEX('卡片raw data'!AQ:AQ,MATCH(D59,'卡片raw data'!$F:$F,)),0)+IF(OR(P59=5,AND(L59="party卡",P59&gt;=2)),INDEX('卡片raw data'!AR:AR,MATCH(D59,'卡片raw data'!$F:$F,)),0))</f>
        <v>0.32</v>
      </c>
      <c r="DW59" s="1098">
        <f t="shared" si="66"/>
        <v>0.33</v>
      </c>
      <c r="DX59" s="1098">
        <f t="shared" si="67"/>
        <v>0.33</v>
      </c>
      <c r="DY59" s="1125">
        <f t="shared" si="68"/>
        <v>390.46704885760005</v>
      </c>
      <c r="DZ59" s="1125">
        <f t="shared" si="69"/>
        <v>337.75399726182405</v>
      </c>
      <c r="EA59" s="1098">
        <f t="shared" si="70"/>
        <v>0</v>
      </c>
      <c r="EB59" s="1121">
        <f t="shared" si="71"/>
        <v>0</v>
      </c>
      <c r="EC59" s="1101">
        <f t="shared" si="72"/>
        <v>0</v>
      </c>
      <c r="ED59" s="1097">
        <f t="shared" si="73"/>
        <v>0</v>
      </c>
      <c r="EE59" s="1110">
        <f t="shared" si="74"/>
        <v>48435.03108962375</v>
      </c>
      <c r="EF59" s="1092" t="s">
        <v>711</v>
      </c>
      <c r="EG59" s="1120">
        <f t="shared" si="75"/>
        <v>0.33</v>
      </c>
      <c r="EH59" s="1124"/>
      <c r="EI59" s="1093"/>
      <c r="EJ59" s="1093"/>
      <c r="EK59" s="1097">
        <f>IF($P59="","N/A",IF(P59=-1,INDEX('卡片raw data'!AS:AS,MATCH(D59,'卡片raw data'!$F:$F,)),0)+IF(AND(L59&lt;&gt;"party卡",P59&lt;=2,P59&gt;=0),INDEX('卡片raw data'!AU:AU,MATCH(D59,'卡片raw data'!$F:$F,)),0)+IF(OR(AND(L59="party卡",P59&lt;=1),AND(P59&lt;=4,L59&lt;&gt;"party卡",P59&gt;=3)),INDEX('卡片raw data'!AV:AV,MATCH(D59,'卡片raw data'!$F:$F,)),0)+IF(OR(P59=5,AND(L59="party卡",P59&gt;=2)),INDEX('卡片raw data'!AW:AW,MATCH(D59,'卡片raw data'!$F:$F,)),0))</f>
        <v>0</v>
      </c>
      <c r="EL59" s="1098">
        <f t="shared" si="76"/>
        <v>0.33</v>
      </c>
      <c r="EM59" s="1098">
        <f t="shared" si="77"/>
        <v>0.33</v>
      </c>
      <c r="EN59" s="1125">
        <f t="shared" si="78"/>
        <v>0</v>
      </c>
      <c r="EO59" s="1125">
        <f t="shared" si="79"/>
        <v>0</v>
      </c>
      <c r="EP59" s="1098">
        <f t="shared" si="80"/>
        <v>0</v>
      </c>
      <c r="EQ59" s="1121">
        <f t="shared" si="81"/>
        <v>0</v>
      </c>
      <c r="ER59" s="1101">
        <f t="shared" si="82"/>
        <v>0</v>
      </c>
      <c r="ES59" s="1097">
        <f t="shared" si="83"/>
        <v>0</v>
      </c>
      <c r="ET59" s="1122">
        <f t="shared" si="84"/>
        <v>0</v>
      </c>
      <c r="EV59" s="1384"/>
      <c r="EW59" s="1215" t="s">
        <v>70</v>
      </c>
      <c r="EX59" s="1216">
        <v>2.5</v>
      </c>
      <c r="EY59" s="1232"/>
      <c r="EZ59" s="1221" t="s">
        <v>5</v>
      </c>
      <c r="FA59" s="1327">
        <f>FB17*9</f>
        <v>108467.99999999999</v>
      </c>
      <c r="FB59" s="1327"/>
      <c r="FH59" s="447"/>
      <c r="FI59" s="447"/>
      <c r="FJ59" s="447"/>
    </row>
    <row r="60" spans="2:166" ht="16.5" customHeight="1">
      <c r="B60" s="1123" t="str">
        <f>INDEX('卡片raw data'!B:B,MATCH($D60,'卡片raw data'!$F:$F,))</f>
        <v>校服善</v>
      </c>
      <c r="C60" s="449" t="s">
        <v>66</v>
      </c>
      <c r="D60" s="408">
        <v>57</v>
      </c>
      <c r="E60" s="1090">
        <v>101061001</v>
      </c>
      <c r="F60" s="1090" t="str">
        <f>INDEX('卡片raw data'!C:C,MATCH($D60,'卡片raw data'!$F:$F,))</f>
        <v>R</v>
      </c>
      <c r="G60" s="1094" t="s">
        <v>343</v>
      </c>
      <c r="H60" s="411">
        <f>IFERROR(INDEX(绊状态确认!C:C,MATCH($G60,绊状态确认!$B:$B,)),"")</f>
        <v>106</v>
      </c>
      <c r="I60" s="450" t="str">
        <f>IFERROR(INDEX(绊状态确认!D:D,MATCH($G60,绊状态确认!$B:$B,)),"")</f>
        <v>水</v>
      </c>
      <c r="J60" s="450" t="str">
        <f>IFERROR(INDEX(绊状态确认!E:E,MATCH($G60,绊状态确认!$B:$B,)),"")</f>
        <v>1年级</v>
      </c>
      <c r="K60" s="451" t="str">
        <f>IFERROR(INDEX(绊状态确认!F:F,MATCH($G60,绊状态确认!$B:$B,)),"")</f>
        <v>Guilty Kiss</v>
      </c>
      <c r="L60" s="1094" t="str">
        <f>INDEX('卡片raw data'!E:E,MATCH($D60,'卡片raw data'!$F:$F,))</f>
        <v>卡池卡</v>
      </c>
      <c r="M60" s="415">
        <v>43735</v>
      </c>
      <c r="N60" s="416">
        <v>0</v>
      </c>
      <c r="O60" s="1091" t="str">
        <f>INDEX('卡片raw data'!D:D,MATCH($D60,'卡片raw data'!$F:$F,))</f>
        <v>vo</v>
      </c>
      <c r="P60" s="417">
        <v>5</v>
      </c>
      <c r="Q60" s="1095">
        <f t="shared" si="0"/>
        <v>22340.942025574957</v>
      </c>
      <c r="R60" s="1096">
        <f t="shared" si="1"/>
        <v>0.25900000000000001</v>
      </c>
      <c r="S60" s="1097">
        <f t="shared" si="2"/>
        <v>9096.4744410107796</v>
      </c>
      <c r="T60" s="1098">
        <f t="shared" si="3"/>
        <v>0.45400000000000001</v>
      </c>
      <c r="U60" s="1099">
        <f t="shared" si="4"/>
        <v>-16.836026677857141</v>
      </c>
      <c r="V60" s="1100">
        <f t="shared" si="5"/>
        <v>21682.479047053159</v>
      </c>
      <c r="W60" s="1101">
        <f t="shared" si="6"/>
        <v>3613.6900588460098</v>
      </c>
      <c r="X60" s="1096">
        <f t="shared" si="7"/>
        <v>4.2000000000000003E-2</v>
      </c>
      <c r="Y60" s="1097">
        <f t="shared" si="8"/>
        <v>646.20547171990029</v>
      </c>
      <c r="Z60" s="1102">
        <f t="shared" si="9"/>
        <v>8.1639733221428568</v>
      </c>
      <c r="AA60" s="1103">
        <f t="shared" si="10"/>
        <v>4259.8955305659101</v>
      </c>
      <c r="AB60" s="1101">
        <f t="shared" si="11"/>
        <v>4087.0008149942396</v>
      </c>
      <c r="AC60" s="1104">
        <f t="shared" si="12"/>
        <v>4.7E-2</v>
      </c>
      <c r="AD60" s="1105">
        <f t="shared" si="13"/>
        <v>-3.8207812500000026E-3</v>
      </c>
      <c r="AE60" s="1128">
        <f t="shared" si="14"/>
        <v>-22.692028985507246</v>
      </c>
      <c r="AF60" s="1130">
        <f t="shared" si="15"/>
        <v>0</v>
      </c>
      <c r="AG60" s="420">
        <f t="shared" si="16"/>
        <v>0</v>
      </c>
      <c r="AH60" s="420">
        <f t="shared" si="17"/>
        <v>0</v>
      </c>
      <c r="AI60" s="1097">
        <f t="shared" si="18"/>
        <v>0</v>
      </c>
      <c r="AJ60" s="420">
        <f t="shared" si="19"/>
        <v>0</v>
      </c>
      <c r="AK60" s="518">
        <f t="shared" si="20"/>
        <v>0</v>
      </c>
      <c r="AL60" s="1106">
        <f>IF($P60="","N/A",(IF($P60=-1,INDEX('卡片raw data'!S:S,MATCH($D60,'卡片raw data'!$F:$F,)),0)+IF($P60=0,INDEX('卡片raw data'!V:V,MATCH($D60,'卡片raw data'!$F:$F,)),0)+IF($P60=1,INDEX('卡片raw data'!Y:Y,MATCH($D60,'卡片raw data'!$F:$F,)),0)+IF($P60=2,INDEX('卡片raw data'!AB:AB,MATCH($D60,'卡片raw data'!$F:$F,)),0)+IF($P60=3,INDEX('卡片raw data'!AE:AE,MATCH($D60,'卡片raw data'!$F:$F,)),0)+IF($P60=4,INDEX('卡片raw data'!AH:AH,MATCH($D60,'卡片raw data'!$F:$F,)),0)+IF($P60=5,INDEX('卡片raw data'!AK:AK,MATCH($D60,'卡片raw data'!$F:$F,)),0)+INDEX('卡片raw data'!S:S,MATCH($D60,'卡片raw data'!$F:$F,))*(IF($F60="UR",0.04,0.033))*(IF($F60="UR",INDEX(绊状态确认!$S:$S,MATCH($G60,绊状态确认!$B:$B,))/2-40)+IF($F60="SR",INDEX(绊状态确认!$R:$R,MATCH($G60,绊状态确认!$B:$B,))/4-15))+IF($F60="R",INDEX(绊状态确认!$Q:$Q,MATCH($G60,绊状态确认!$B:$B,))/6-40/6)))*(INDEX(绊状态确认!$H:$H,MATCH($G60,绊状态确认!$B:$B,))+INDEX(绊状态确认!J:J,MATCH($G60,绊状态确认!$B:$B,)))</f>
        <v>4801.2899999999991</v>
      </c>
      <c r="AM60" s="1106">
        <f>IF($P60="","N/A",(IF($P60=-1,INDEX('卡片raw data'!T:T,MATCH($D60,'卡片raw data'!$F:$F,)),0)+IF($P60=0,INDEX('卡片raw data'!W:W,MATCH($D60,'卡片raw data'!$F:$F,)),0)+IF($P60=1,INDEX('卡片raw data'!Z:Z,MATCH($D60,'卡片raw data'!$F:$F,)),0)+IF($P60=2,INDEX('卡片raw data'!AC:AC,MATCH($D60,'卡片raw data'!$F:$F,)),0)+IF($P60=3,INDEX('卡片raw data'!AF:AF,MATCH($D60,'卡片raw data'!$F:$F,)),0)+IF($P60=4,INDEX('卡片raw data'!AI:AI,MATCH($D60,'卡片raw data'!$F:$F,)),0)+IF($P60=5,INDEX('卡片raw data'!AL:AL,MATCH($D60,'卡片raw data'!$F:$F,)),0)+INDEX('卡片raw data'!T:T,MATCH($D60,'卡片raw data'!$F:$F,))*(IF($F60="UR",0.04,0.033))*(IF($F60="UR",INDEX(绊状态确认!$S:$S,MATCH($G60,绊状态确认!$B:$B,))/2-40)+IF($F60="SR",INDEX(绊状态确认!$R:$R,MATCH($G60,绊状态确认!$B:$B,))/4-15))+IF($F60="R",INDEX(绊状态确认!$Q:$Q,MATCH($G60,绊状态确认!$B:$B,))/6-40/6)))*(INDEX(绊状态确认!$H:$H,MATCH($G60,绊状态确认!$B:$B,))+INDEX(绊状态确认!K:K,MATCH($G60,绊状态确认!$B:$B,)))</f>
        <v>3601.2515999999996</v>
      </c>
      <c r="AN60" s="1106">
        <f>IF($P60="","N/A",(IF($P60=-1,INDEX('卡片raw data'!U:U,MATCH($D60,'卡片raw data'!$F:$F,)),0)+IF($P60=0,INDEX('卡片raw data'!X:X,MATCH($D60,'卡片raw data'!$F:$F,)),0)+IF($P60=1,INDEX('卡片raw data'!AA:AA,MATCH($D60,'卡片raw data'!$F:$F,)),0)+IF($P60=2,INDEX('卡片raw data'!AD:AD,MATCH($D60,'卡片raw data'!$F:$F,)),0)+IF($P60=3,INDEX('卡片raw data'!AG:AG,MATCH($D60,'卡片raw data'!$F:$F,)),0)+IF($P60=4,INDEX('卡片raw data'!AJ:AJ,MATCH($D60,'卡片raw data'!$F:$F,)),0)+IF($P60=5,INDEX('卡片raw data'!AM:AM,MATCH($D60,'卡片raw data'!$F:$F,)),0)+INDEX('卡片raw data'!U:U,MATCH($D60,'卡片raw data'!$F:$F,))*(IF($F60="UR",0.04,0.033))*(IF($F60="UR",INDEX(绊状态确认!$S:$S,MATCH($G60,绊状态确认!$B:$B,))/2-40)+IF($F60="SR",INDEX(绊状态确认!$R:$R,MATCH($G60,绊状态确认!$B:$B,))/4-15))+IF($F60="R",INDEX(绊状态确认!$Q:$Q,MATCH($G60,绊状态确认!$B:$B,))/6-40/6)))*(INDEX(绊状态确认!$H:$H,MATCH($G60,绊状态确认!$B:$B,))+INDEX(绊状态确认!L:L,MATCH($G60,绊状态确认!$B:$B,)))</f>
        <v>3601.2515999999996</v>
      </c>
      <c r="AO60" s="1107">
        <f t="shared" si="21"/>
        <v>1</v>
      </c>
      <c r="AP60" s="1131">
        <f>1+(INDEX(绊状态确认!$T:$T,MATCH($G60,绊状态确认!$B:$B,))+0.2)*$AO60</f>
        <v>1.3</v>
      </c>
      <c r="AQ60" s="1108">
        <f t="shared" si="22"/>
        <v>15853.38625</v>
      </c>
      <c r="AR60" s="1097">
        <f>(AM60*(1+$EX$9)+$EX$35)*(1+(INDEX(绊状态确认!$T:$T,MATCH($G60,绊状态确认!$B:$B,))+0.2)*AO60)*IF(J60=$FF$17,1+$FE$17,1)*IF(I60=$FF$14,1+$FE$14,1)</f>
        <v>7619.7084339999992</v>
      </c>
      <c r="AS60" s="1097">
        <f>(AN60*(1+$EX$10)+$EX$36)*(1+(INDEX(绊状态确认!$T:$T,MATCH($G60,绊状态确认!$B:$B,))+0.2)*AO60)*IF(J60=$FF$17,1+$FE$17,1)*IF(I60=$FF$14,1+$FE$14,1)</f>
        <v>9439.8711419999981</v>
      </c>
      <c r="AT60" s="1093">
        <f>IF(AND(INDEX('卡片raw data'!AK:AK,MATCH($D60,'卡片raw data'!$F:$F,))&lt;INDEX('卡片raw data'!AM:AM,MATCH($D60,'卡片raw data'!$F:$F,)),INDEX('卡片raw data'!AL:AL,MATCH($D60,'卡片raw data'!$F:$F,))&lt;INDEX('卡片raw data'!AM:AM,MATCH($D60,'卡片raw data'!$F:$F,))),1,0)</f>
        <v>0</v>
      </c>
      <c r="AU60" s="1098">
        <f>MIN(AT60*0.15+AS60*0.00003+INDEX(绊状态确认!M:M,MATCH($G60,绊状态确认!$B:$B,)),1)</f>
        <v>0.31319613425999998</v>
      </c>
      <c r="AV60" s="1109">
        <f>(INDEX(绊状态确认!$N:$N,MATCH($G60,绊状态确认!$B:$B,))+1.5)*$EW$21</f>
        <v>2.6599999999999997</v>
      </c>
      <c r="AW60" s="1101">
        <f t="shared" si="23"/>
        <v>12513.996090017969</v>
      </c>
      <c r="AX60" s="1097">
        <f t="shared" si="24"/>
        <v>646.2054717199004</v>
      </c>
      <c r="AY60" s="1110">
        <f t="shared" si="25"/>
        <v>13160.201561737869</v>
      </c>
      <c r="AZ60" s="429">
        <f t="shared" si="26"/>
        <v>11962.515499999998</v>
      </c>
      <c r="BA60" s="431">
        <f t="shared" si="27"/>
        <v>14355.018599999998</v>
      </c>
      <c r="BB60" s="1097">
        <f>(AM60*(1+$FB$9)+$FB$35)*(1+(INDEX(绊状态确认!$T:$T,MATCH($G60,绊状态确认!$B:$B,))+0.2)*AO60)*IF(J60=$FF$17,1+$FE$17,1)*IF(I60=$FF$14,1+$FE$14,1)*(1+$FE$15)</f>
        <v>7619.7084339999992</v>
      </c>
      <c r="BC60" s="1097">
        <f>(AN60*(1+$FB$10)+$FB$36)*(1+(INDEX(绊状态确认!$T:$T,MATCH($G60,绊状态确认!$B:$B,))+0.2)*AO60)*IF(J60=$FF$17,1+$FE$17,1)*IF(I60=$FF$14,1+$FE$14,1)*(1+$FE$15)</f>
        <v>9439.8711419999981</v>
      </c>
      <c r="BD60" s="1104">
        <f>MIN(AT60*0.15+BC60*0.00003+INDEX(绊状态确认!M:M,MATCH($G60,绊状态确认!$B:$B,)),1)</f>
        <v>0.31319613425999998</v>
      </c>
      <c r="BE60" s="432">
        <f>(INDEX(绊状态确认!$N:$N,MATCH($G60,绊状态确认!$B:$B,))+1.5)</f>
        <v>1.9</v>
      </c>
      <c r="BF60" s="1139">
        <f t="array" ref="BF60">SUMPRODUCT(IF(AZ60*AP60*$FI$16:$FI$23*$FA$22&gt;=$FI$24,$FI$24,AZ60*AP60*$FI$16:$FI$23*$FA$22),$FJ$16:$FJ$23)</f>
        <v>23793.443329499998</v>
      </c>
      <c r="BG60" s="1125">
        <f t="array" ref="BG60">SUMPRODUCT(IF(BE60*AZ60*AP60*$FI$16:$FI$23*$FA$22&gt;=$FI$24,$FI$24,BE60*AZ60*AP60*$FI$16:$FI$23*$FA$22),$FJ$16:$FJ$23)</f>
        <v>45207.542326049988</v>
      </c>
      <c r="BH60" s="1110">
        <f t="shared" si="28"/>
        <v>10166.752117960134</v>
      </c>
      <c r="BI60" s="1111">
        <f>IF(O60="vo",$EW$26/$EW$24*0.05,0)+IF(O60="sk",-$EW$26/$EW$24*(0.05-INDEX(绊状态确认!W:W,MATCH($G60,绊状态确认!$B:$B,)))+0.05*$EW$28,0)+IF(O60="sp",0.05*$EW$32*$EW$30*(1-$EW$33)-(0.05-INDEX(绊状态确认!V:V,MATCH($G60,绊状态确认!$B:$B,)))*$EW$28,0)+IF(O60="gd",-(0.05-INDEX(绊状态确认!X:X,MATCH($G60,绊状态确认!$B:$B,)))*$EW$32*$EW$30*(1-$EW$33),0)</f>
        <v>7726.3029277443748</v>
      </c>
      <c r="BJ60" s="1097">
        <f>IF(O60="vo",0.05*(1-$FI$26)*$FA$24,0)+IF(O60="sk",-(0.05-INDEX(绊状态确认!W:W,MATCH($G60,绊状态确认!$B:$B,)))*(1-$FI$26)*$FA$24+0.05*$FA$26,0)+IF(O60="sp",0.05*$FA$32*$FA$27*(1-$FA$33)/$FA$30+0.05*$FA$29/$FA$69*$FA$27*(1-$FA$33)-(0.05-INDEX(绊状态确认!V:V,MATCH($G60,绊状态确认!$B:$B,)))*$FA$26,0)+IF(O60="gd",-(0.05-INDEX(绊状态确认!X:X,MATCH($G60,绊状态确认!$B:$B,)))*$FA$32*$FA$27*(1-$FA$33)/$FA$30-(0.05-INDEX(绊状态确认!X:X,MATCH($G60,绊状态确认!$B:$B,)))*$FA$29/$FA$69*$FA$27*(1-$FA$33),0)</f>
        <v>393.93433687500004</v>
      </c>
      <c r="BK60" s="1110">
        <f>IF(O60="vo",$EW$26/$EW$24*0.05+$EW$26*(-HP($EW$62,$EW$65,$EW$64)+HP($EW$62,$EW$65,(1.05-INDEX(绊状态确认!U:U,MATCH($G60,绊状态确认!$B:$B,)))*$EW$64)),0)+IF(O60="sk",-$EW$26/$EW$24*(0.05-INDEX(绊状态确认!W:W,MATCH($G60,绊状态确认!$B:$B,)))+0.05*$EW$29,0)+IF(O60="sp",0.05*$EW$32*$EW$30*(1-$EW$33)-(0.05-INDEX(绊状态确认!V:V,MATCH($G60,绊状态确认!$B:$B,)))*$EW$29,0)+IF(O60="gd",-(0.05-INDEX(绊状态确认!X:X,MATCH($G60,绊状态确认!$B:$B,)))*$EW$32*$EW$30*(1-$EW$33)+$EW$26*(-HP($EW$62,$EW$65,$EW$64)+HP($EW$62,$EW$65,0.95*$EW$64)),0)</f>
        <v>6421.6344775026746</v>
      </c>
      <c r="BL60" s="1111">
        <f t="shared" si="29"/>
        <v>-2166.6666666666665</v>
      </c>
      <c r="BM60" s="1110">
        <f t="shared" si="30"/>
        <v>-1661.1111111111109</v>
      </c>
      <c r="BN60" s="1113">
        <f t="shared" si="31"/>
        <v>2</v>
      </c>
      <c r="BO60" s="1097">
        <f t="shared" si="32"/>
        <v>3005.1476580839999</v>
      </c>
      <c r="BP60" s="1100">
        <f t="shared" si="33"/>
        <v>147.56068806020068</v>
      </c>
      <c r="BQ60" s="1113" t="s">
        <v>619</v>
      </c>
      <c r="BR60" s="1124" t="s">
        <v>620</v>
      </c>
      <c r="BS60" s="1098">
        <f>IF($P60="","N/A",IF($P60=-1,INDEX('卡片raw data'!AX:AX,MATCH($D60,'卡片raw data'!$F:$F,)),0)+IF($L60="party卡",IF($P60=5,INDEX('卡片raw data'!BD:BD,MATCH($D60,'卡片raw data'!$F:$F,)),IF($P60&gt;=3,INDEX('卡片raw data'!BC:BC,MATCH($D60,'卡片raw data'!$F:$F,)),INDEX('卡片raw data'!BB:BB,MATCH($D60,'卡片raw data'!$F:$F,)))),IF(OR(AND($F60="UR",$P60=0),AND($F60="SR",$P60&gt;=0,$P60&lt;=2),AND($F60="R",$P60&gt;=0,$P60&lt;4)),INDEX('卡片raw data'!AZ:AZ,MATCH($D60,'卡片raw data'!$F:$F,)),0)+IF(OR(AND($F60="UR",$P60&gt;=1,$P60&lt;=4),AND($F60="SR",$P60&lt;=4,$P60&gt;=3),AND($F60="R",$P60=4)),INDEX('卡片raw data'!BA:BA,MATCH($D60,'卡片raw data'!$F:$F,)),0)+IF($P60=5,INDEX('卡片raw data'!BB:BB,MATCH($D60,'卡片raw data'!$F:$F,)),0)))</f>
        <v>2.7E-2</v>
      </c>
      <c r="BT60" s="1101">
        <f t="shared" si="34"/>
        <v>1081.8531569102399</v>
      </c>
      <c r="BU60" s="1097">
        <f t="shared" si="35"/>
        <v>39.841385776254178</v>
      </c>
      <c r="BV60" s="1097">
        <f t="shared" si="36"/>
        <v>608.54240076200983</v>
      </c>
      <c r="BW60" s="1112">
        <f t="shared" si="37"/>
        <v>0</v>
      </c>
      <c r="BX60" s="1100">
        <f t="shared" si="38"/>
        <v>1081.8531569102399</v>
      </c>
      <c r="BY60" s="1110">
        <f t="shared" si="39"/>
        <v>608.54240076200983</v>
      </c>
      <c r="BZ60" s="1107" t="s">
        <v>569</v>
      </c>
      <c r="CA60" s="1124"/>
      <c r="CB60" s="1098">
        <f>IF($P60="","N/A",IF($P60=-1,INDEX('卡片raw data'!BE:BE,MATCH($D60,'卡片raw data'!$F:$F,)),0)+IF($L60="party卡",IF($P60=5,INDEX('卡片raw data'!BK:BK,MATCH($D60,'卡片raw data'!$F:$F,)),IF($P60&gt;=3,INDEX('卡片raw data'!BJ:BJ,MATCH($D60,'卡片raw data'!$F:$F,)),INDEX('卡片raw data'!BI:BI,MATCH($D60,'卡片raw data'!$F:$F,)))),IF(OR(AND($F60="UR",$P60=0),AND($F60="SR",$P60&gt;=0,$P60&lt;=2),AND($F60="R",$P60&gt;=0,$P60&lt;4)),INDEX('卡片raw data'!BG:BG,MATCH($D60,'卡片raw data'!$F:$F,)),0)+IF(OR(AND($F60="UR",$P60&gt;=1,$P60&lt;=4),AND($F60="SR",$P60&lt;=4,$P60&gt;=3),AND($F60="R",$P60=4)),INDEX('卡片raw data'!BH:BH,MATCH($D60,'卡片raw data'!$F:$F,)),0)+IF($P60=5,INDEX('卡片raw data'!BI:BI,MATCH($D60,'卡片raw data'!$F:$F,)),0)))</f>
        <v>0</v>
      </c>
      <c r="CC60" s="1101">
        <f t="shared" si="40"/>
        <v>0</v>
      </c>
      <c r="CD60" s="1097">
        <f>IF(BZ60="ap",CB60*(1-$FI$26)*$FB$5/$FB$11*(+IF(CA60="全员",$FA$24,0)+IF(CA60="同作战",$FA$24,0)+IF(CA60="仲间",$FA$24*2/3,0)+IF(CA60="同属性",$FA$24*$FA$37/3,0)+IF(CA60="同年级",$FA$24*$FA$40/3,0)+IF(CA60="同学校",$FA$24*$FA$43/3,0)+IF(CA60="同小队",$FA$24*$FA$46/3,0)+IF(CA60="同type",$FA$24*INDEX($FB$49:$FB$52,MATCH(X60,$FA$49:$FA$52,))/3,0)+IF(CA60="自身",#REF!/3,0)),0)+IF(BZ60="te",CB60*(1-$FI$27)*($FA$20-1)*$FB$7/$FB$13*(+IF(CA60="全员",$FA$19*$FA$24/(1+($FA$20-1)*$FA$19),0)+IF(CA60="同作战",$FA$19*$FA$24/(1+($FA$20-1)*$FA$19),0)+IF(CA60="仲间",$FA$19*$FA$24*2/3/(1+($FA$20-1)*$FA$19),0)+IF(CA60="同属性",$FA$19*$FA$24*$FA$37/3/(1+($FA$20-1)*$FA$19),0)+IF(CA60="同年级",$FA$19*$FA$24*$FA$40/3/(1+($FA$20-1)*$FA$19),0)+IF(CA60="同学校",$FA$19*$FA$24*$FA$43/3/(1+($FA$20-1)*$FA$19),0)+IF(CA60="同小队",$FA$19*$FA$24*$FA$46/3/(1+($FA$20-1)*$FA$19),0)+IF(CA60="同type",$FA$19*$FA$24*INDEX($FB$49:$FB$52,MATCH(X60,$FA$49:$FA$52,))/3/(1+($FA$20-1)*$FA$19),0)+IF(CA60="自身",$FA$19*#REF!/3/(1+(BH60-1)*$BD60),0)),0)</f>
        <v>0</v>
      </c>
      <c r="CE60" s="1097">
        <f t="shared" si="41"/>
        <v>0</v>
      </c>
      <c r="CF60" s="1112">
        <f t="shared" si="42"/>
        <v>0</v>
      </c>
      <c r="CG60" s="1100">
        <f t="shared" si="43"/>
        <v>0</v>
      </c>
      <c r="CH60" s="1110">
        <f t="shared" si="44"/>
        <v>0</v>
      </c>
      <c r="CI60" s="1113"/>
      <c r="CJ60" s="1114"/>
      <c r="CK60" s="1115" t="s">
        <v>569</v>
      </c>
      <c r="CL60" s="1115"/>
      <c r="CM60" s="1119"/>
      <c r="CN60" s="1115"/>
      <c r="CO60" s="1092"/>
      <c r="CP60" s="1117">
        <f t="shared" si="45"/>
        <v>0</v>
      </c>
      <c r="CQ60" s="1117">
        <f t="shared" si="46"/>
        <v>0</v>
      </c>
      <c r="CR60" s="1117">
        <f t="shared" si="47"/>
        <v>0</v>
      </c>
      <c r="CS60" s="1118">
        <f t="shared" si="48"/>
        <v>0</v>
      </c>
      <c r="CT60" s="1109">
        <f t="shared" si="49"/>
        <v>0</v>
      </c>
      <c r="CU60" s="1101">
        <f t="shared" si="50"/>
        <v>0</v>
      </c>
      <c r="CV60" s="1108">
        <f t="shared" si="51"/>
        <v>0</v>
      </c>
      <c r="CW60" s="1097">
        <f t="shared" si="52"/>
        <v>0</v>
      </c>
      <c r="CX60" s="1097">
        <f t="shared" si="53"/>
        <v>0</v>
      </c>
      <c r="CY60" s="1110">
        <f t="shared" si="54"/>
        <v>0</v>
      </c>
      <c r="CZ60" s="437"/>
      <c r="DA60" s="438"/>
      <c r="DB60" s="439" t="s">
        <v>569</v>
      </c>
      <c r="DC60" s="439"/>
      <c r="DD60" s="443"/>
      <c r="DE60" s="411"/>
      <c r="DF60" s="411"/>
      <c r="DG60" s="1116">
        <f t="shared" si="55"/>
        <v>0</v>
      </c>
      <c r="DH60" s="1116">
        <f t="shared" si="56"/>
        <v>0</v>
      </c>
      <c r="DI60" s="1116">
        <f t="shared" si="57"/>
        <v>0</v>
      </c>
      <c r="DJ60" s="442">
        <f t="shared" si="58"/>
        <v>0</v>
      </c>
      <c r="DK60" s="1109">
        <f t="shared" si="59"/>
        <v>0</v>
      </c>
      <c r="DL60" s="1101">
        <f t="shared" si="60"/>
        <v>0</v>
      </c>
      <c r="DM60" s="1097">
        <f t="shared" si="61"/>
        <v>0</v>
      </c>
      <c r="DN60" s="1097">
        <f t="shared" si="62"/>
        <v>0</v>
      </c>
      <c r="DO60" s="1097">
        <f t="shared" si="63"/>
        <v>0</v>
      </c>
      <c r="DP60" s="1110">
        <f t="shared" si="64"/>
        <v>0</v>
      </c>
      <c r="DQ60" s="1113" t="s">
        <v>555</v>
      </c>
      <c r="DR60" s="1120">
        <f t="shared" si="65"/>
        <v>0.3</v>
      </c>
      <c r="DS60" s="1124">
        <v>5</v>
      </c>
      <c r="DT60" s="1093" t="s">
        <v>168</v>
      </c>
      <c r="DU60" s="1093" t="s">
        <v>546</v>
      </c>
      <c r="DV60" s="1097">
        <f>IF($P60="","N/A",IF(P60=-1,INDEX('卡片raw data'!AN:AN,MATCH(D60,'卡片raw data'!$F:$F,)),0)+IF(AND(L60&lt;&gt;"party卡",P60&lt;=2,P60&gt;=0),INDEX('卡片raw data'!AP:AP,MATCH(D60,'卡片raw data'!$F:$F,)),0)+IF(OR(AND(L60="party卡",P60&lt;=1),AND(P60&lt;=4,L60&lt;&gt;"party卡",P60&gt;=3)),INDEX('卡片raw data'!AQ:AQ,MATCH(D60,'卡片raw data'!$F:$F,)),0)+IF(OR(P60=5,AND(L60="party卡",P60&gt;=2)),INDEX('卡片raw data'!AR:AR,MATCH(D60,'卡片raw data'!$F:$F,)),0))</f>
        <v>120</v>
      </c>
      <c r="DW60" s="1098">
        <f t="shared" si="66"/>
        <v>0.3</v>
      </c>
      <c r="DX60" s="1098">
        <f t="shared" si="67"/>
        <v>0.3</v>
      </c>
      <c r="DY60" s="1098">
        <f t="shared" si="68"/>
        <v>1.3259668508287291E-3</v>
      </c>
      <c r="DZ60" s="1098">
        <f t="shared" si="69"/>
        <v>1.4464882943143811E-3</v>
      </c>
      <c r="EA60" s="1098">
        <f t="shared" si="70"/>
        <v>0</v>
      </c>
      <c r="EB60" s="1121">
        <f t="shared" si="71"/>
        <v>0</v>
      </c>
      <c r="EC60" s="1101">
        <f t="shared" si="72"/>
        <v>180.30885948503999</v>
      </c>
      <c r="ED60" s="1097">
        <f t="shared" si="73"/>
        <v>9.497023450303093</v>
      </c>
      <c r="EE60" s="1110">
        <f t="shared" si="74"/>
        <v>180.30885948503999</v>
      </c>
      <c r="EF60" s="1092" t="s">
        <v>711</v>
      </c>
      <c r="EG60" s="1120">
        <f t="shared" si="75"/>
        <v>0.3</v>
      </c>
      <c r="EH60" s="1124"/>
      <c r="EI60" s="1093"/>
      <c r="EJ60" s="1093"/>
      <c r="EK60" s="1097">
        <f>IF($P60="","N/A",IF(P60=-1,INDEX('卡片raw data'!AS:AS,MATCH(D60,'卡片raw data'!$F:$F,)),0)+IF(AND(L60&lt;&gt;"party卡",P60&lt;=2,P60&gt;=0),INDEX('卡片raw data'!AU:AU,MATCH(D60,'卡片raw data'!$F:$F,)),0)+IF(OR(AND(L60="party卡",P60&lt;=1),AND(P60&lt;=4,L60&lt;&gt;"party卡",P60&gt;=3)),INDEX('卡片raw data'!AV:AV,MATCH(D60,'卡片raw data'!$F:$F,)),0)+IF(OR(P60=5,AND(L60="party卡",P60&gt;=2)),INDEX('卡片raw data'!AW:AW,MATCH(D60,'卡片raw data'!$F:$F,)),0))</f>
        <v>0</v>
      </c>
      <c r="EL60" s="1098">
        <f t="shared" si="76"/>
        <v>0.3</v>
      </c>
      <c r="EM60" s="1098">
        <f t="shared" si="77"/>
        <v>0.3</v>
      </c>
      <c r="EN60" s="1125">
        <f t="shared" si="78"/>
        <v>0</v>
      </c>
      <c r="EO60" s="1125">
        <f t="shared" si="79"/>
        <v>0</v>
      </c>
      <c r="EP60" s="1098">
        <f t="shared" si="80"/>
        <v>0</v>
      </c>
      <c r="EQ60" s="1121">
        <f t="shared" si="81"/>
        <v>0</v>
      </c>
      <c r="ER60" s="1101">
        <f t="shared" si="82"/>
        <v>0</v>
      </c>
      <c r="ES60" s="1097">
        <f t="shared" si="83"/>
        <v>0</v>
      </c>
      <c r="ET60" s="1122">
        <f t="shared" si="84"/>
        <v>0</v>
      </c>
      <c r="EV60" s="1384"/>
      <c r="EW60" s="1217" t="s">
        <v>23</v>
      </c>
      <c r="EX60" s="1218">
        <v>1.5</v>
      </c>
      <c r="EY60" s="1232"/>
      <c r="EZ60" s="1224" t="s">
        <v>6</v>
      </c>
      <c r="FA60" s="1330">
        <f>FB6*9</f>
        <v>72000</v>
      </c>
      <c r="FB60" s="1330"/>
      <c r="FH60" s="447"/>
      <c r="FI60" s="447"/>
      <c r="FJ60" s="447"/>
    </row>
    <row r="61" spans="2:166" ht="16.5" customHeight="1">
      <c r="B61" s="1123" t="str">
        <f>INDEX('卡片raw data'!B:B,MATCH($D61,'卡片raw data'!$F:$F,))</f>
        <v>练习善</v>
      </c>
      <c r="C61" s="449" t="s">
        <v>123</v>
      </c>
      <c r="D61" s="408">
        <v>58</v>
      </c>
      <c r="E61" s="1090">
        <v>101061002</v>
      </c>
      <c r="F61" s="1090" t="str">
        <f>INDEX('卡片raw data'!C:C,MATCH($D61,'卡片raw data'!$F:$F,))</f>
        <v>R</v>
      </c>
      <c r="G61" s="1094" t="s">
        <v>38</v>
      </c>
      <c r="H61" s="411">
        <f>IFERROR(INDEX(绊状态确认!C:C,MATCH($G61,绊状态确认!$B:$B,)),"")</f>
        <v>106</v>
      </c>
      <c r="I61" s="1124" t="str">
        <f>IFERROR(INDEX(绊状态确认!D:D,MATCH($G61,绊状态确认!$B:$B,)),"")</f>
        <v>水</v>
      </c>
      <c r="J61" s="1124" t="str">
        <f>IFERROR(INDEX(绊状态确认!E:E,MATCH($G61,绊状态确认!$B:$B,)),"")</f>
        <v>1年级</v>
      </c>
      <c r="K61" s="451" t="str">
        <f>IFERROR(INDEX(绊状态确认!F:F,MATCH($G61,绊状态确认!$B:$B,)),"")</f>
        <v>Guilty Kiss</v>
      </c>
      <c r="L61" s="1094" t="str">
        <f>INDEX('卡片raw data'!E:E,MATCH($D61,'卡片raw data'!$F:$F,))</f>
        <v>卡池卡</v>
      </c>
      <c r="M61" s="415">
        <v>43735</v>
      </c>
      <c r="N61" s="416">
        <v>0</v>
      </c>
      <c r="O61" s="1091" t="str">
        <f>INDEX('卡片raw data'!D:D,MATCH($D61,'卡片raw data'!$F:$F,))</f>
        <v>gd</v>
      </c>
      <c r="P61" s="417">
        <v>5</v>
      </c>
      <c r="Q61" s="1095">
        <f t="shared" si="0"/>
        <v>15782.419031759769</v>
      </c>
      <c r="R61" s="1096">
        <f t="shared" si="1"/>
        <v>0.183</v>
      </c>
      <c r="S61" s="1097">
        <f t="shared" si="2"/>
        <v>8817.3940475315285</v>
      </c>
      <c r="T61" s="1098">
        <f t="shared" si="3"/>
        <v>0.44</v>
      </c>
      <c r="U61" s="1099">
        <f t="shared" si="4"/>
        <v>79.530124992142859</v>
      </c>
      <c r="V61" s="1100">
        <f t="shared" si="5"/>
        <v>21983.719832282259</v>
      </c>
      <c r="W61" s="1101">
        <f t="shared" si="6"/>
        <v>3272.2718943581331</v>
      </c>
      <c r="X61" s="1096">
        <f t="shared" si="7"/>
        <v>3.7999999999999999E-2</v>
      </c>
      <c r="Y61" s="1097">
        <f t="shared" si="8"/>
        <v>756.44202807755937</v>
      </c>
      <c r="Z61" s="1102">
        <f t="shared" si="9"/>
        <v>9.5301249921428557</v>
      </c>
      <c r="AA61" s="1103">
        <f t="shared" si="10"/>
        <v>4028.7139224356924</v>
      </c>
      <c r="AB61" s="1101">
        <f t="shared" si="11"/>
        <v>3984.6031910891552</v>
      </c>
      <c r="AC61" s="1104">
        <f t="shared" si="12"/>
        <v>4.5999999999999999E-2</v>
      </c>
      <c r="AD61" s="1105">
        <f t="shared" si="13"/>
        <v>-3.8207812500000026E-3</v>
      </c>
      <c r="AE61" s="1128">
        <f t="shared" si="14"/>
        <v>-28.942028985507246</v>
      </c>
      <c r="AF61" s="1130">
        <f t="shared" si="15"/>
        <v>1074.7391662999999</v>
      </c>
      <c r="AG61" s="420">
        <f t="shared" si="16"/>
        <v>107537.691674</v>
      </c>
      <c r="AH61" s="420">
        <f t="shared" si="17"/>
        <v>100.05934002035077</v>
      </c>
      <c r="AI61" s="1097">
        <f t="shared" si="18"/>
        <v>-78167.011737738794</v>
      </c>
      <c r="AJ61" s="420">
        <f t="shared" si="19"/>
        <v>21983.719832282259</v>
      </c>
      <c r="AK61" s="518">
        <f t="shared" si="20"/>
        <v>-100150.73157002105</v>
      </c>
      <c r="AL61" s="1106">
        <f>IF($P61="","N/A",(IF($P61=-1,INDEX('卡片raw data'!S:S,MATCH($D61,'卡片raw data'!$F:$F,)),0)+IF($P61=0,INDEX('卡片raw data'!V:V,MATCH($D61,'卡片raw data'!$F:$F,)),0)+IF($P61=1,INDEX('卡片raw data'!Y:Y,MATCH($D61,'卡片raw data'!$F:$F,)),0)+IF($P61=2,INDEX('卡片raw data'!AB:AB,MATCH($D61,'卡片raw data'!$F:$F,)),0)+IF($P61=3,INDEX('卡片raw data'!AE:AE,MATCH($D61,'卡片raw data'!$F:$F,)),0)+IF($P61=4,INDEX('卡片raw data'!AH:AH,MATCH($D61,'卡片raw data'!$F:$F,)),0)+IF($P61=5,INDEX('卡片raw data'!AK:AK,MATCH($D61,'卡片raw data'!$F:$F,)),0)+INDEX('卡片raw data'!S:S,MATCH($D61,'卡片raw data'!$F:$F,))*(IF($F61="UR",0.04,0.033))*(IF($F61="UR",INDEX(绊状态确认!$S:$S,MATCH($G61,绊状态确认!$B:$B,))/2-40)+IF($F61="SR",INDEX(绊状态确认!$R:$R,MATCH($G61,绊状态确认!$B:$B,))/4-15))+IF($F61="R",INDEX(绊状态确认!$Q:$Q,MATCH($G61,绊状态确认!$B:$B,))/6-40/6)))*(INDEX(绊状态确认!$H:$H,MATCH($G61,绊状态确认!$B:$B,))+INDEX(绊状态确认!J:J,MATCH($G61,绊状态确认!$B:$B,)))</f>
        <v>4535.3723999999993</v>
      </c>
      <c r="AM61" s="1106">
        <f>IF($P61="","N/A",(IF($P61=-1,INDEX('卡片raw data'!T:T,MATCH($D61,'卡片raw data'!$F:$F,)),0)+IF($P61=0,INDEX('卡片raw data'!W:W,MATCH($D61,'卡片raw data'!$F:$F,)),0)+IF($P61=1,INDEX('卡片raw data'!Z:Z,MATCH($D61,'卡片raw data'!$F:$F,)),0)+IF($P61=2,INDEX('卡片raw data'!AC:AC,MATCH($D61,'卡片raw data'!$F:$F,)),0)+IF($P61=3,INDEX('卡片raw data'!AF:AF,MATCH($D61,'卡片raw data'!$F:$F,)),0)+IF($P61=4,INDEX('卡片raw data'!AI:AI,MATCH($D61,'卡片raw data'!$F:$F,)),0)+IF($P61=5,INDEX('卡片raw data'!AL:AL,MATCH($D61,'卡片raw data'!$F:$F,)),0)+INDEX('卡片raw data'!T:T,MATCH($D61,'卡片raw data'!$F:$F,))*(IF($F61="UR",0.04,0.033))*(IF($F61="UR",INDEX(绊状态确认!$S:$S,MATCH($G61,绊状态确认!$B:$B,))/2-40)+IF($F61="SR",INDEX(绊状态确认!$R:$R,MATCH($G61,绊状态确认!$B:$B,))/4-15))+IF($F61="R",INDEX(绊状态确认!$Q:$Q,MATCH($G61,绊状态确认!$B:$B,))/6-40/6)))*(INDEX(绊状态确认!$H:$H,MATCH($G61,绊状态确认!$B:$B,))+INDEX(绊状态确认!K:K,MATCH($G61,绊状态确认!$B:$B,)))</f>
        <v>4535.3723999999993</v>
      </c>
      <c r="AN61" s="1106">
        <f>IF($P61="","N/A",(IF($P61=-1,INDEX('卡片raw data'!U:U,MATCH($D61,'卡片raw data'!$F:$F,)),0)+IF($P61=0,INDEX('卡片raw data'!X:X,MATCH($D61,'卡片raw data'!$F:$F,)),0)+IF($P61=1,INDEX('卡片raw data'!AA:AA,MATCH($D61,'卡片raw data'!$F:$F,)),0)+IF($P61=2,INDEX('卡片raw data'!AD:AD,MATCH($D61,'卡片raw data'!$F:$F,)),0)+IF($P61=3,INDEX('卡片raw data'!AG:AG,MATCH($D61,'卡片raw data'!$F:$F,)),0)+IF($P61=4,INDEX('卡片raw data'!AJ:AJ,MATCH($D61,'卡片raw data'!$F:$F,)),0)+IF($P61=5,INDEX('卡片raw data'!AM:AM,MATCH($D61,'卡片raw data'!$F:$F,)),0)+INDEX('卡片raw data'!U:U,MATCH($D61,'卡片raw data'!$F:$F,))*(IF($F61="UR",0.04,0.033))*(IF($F61="UR",INDEX(绊状态确认!$S:$S,MATCH($G61,绊状态确认!$B:$B,))/2-40)+IF($F61="SR",INDEX(绊状态确认!$R:$R,MATCH($G61,绊状态确认!$B:$B,))/4-15))+IF($F61="R",INDEX(绊状态确认!$Q:$Q,MATCH($G61,绊状态确认!$B:$B,))/6-40/6)))*(INDEX(绊状态确认!$H:$H,MATCH($G61,绊状态确认!$B:$B,))+INDEX(绊状态确认!L:L,MATCH($G61,绊状态确认!$B:$B,)))</f>
        <v>4670.6039999999994</v>
      </c>
      <c r="AO61" s="1107">
        <f t="shared" si="21"/>
        <v>1</v>
      </c>
      <c r="AP61" s="1131">
        <f>1+(INDEX(绊状态确认!$T:$T,MATCH($G61,绊状态确认!$B:$B,))+0.2)*$AO61</f>
        <v>1.3</v>
      </c>
      <c r="AQ61" s="1108">
        <f t="shared" si="22"/>
        <v>15155.352549999998</v>
      </c>
      <c r="AR61" s="1097">
        <f>(AM61*(1+$EX$9)+$EX$35)*(1+(INDEX(绊状态确认!$T:$T,MATCH($G61,绊状态确认!$B:$B,))+0.2)*AO61)*IF(J61=$FF$17,1+$FE$17,1)*IF(I61=$FF$14,1+$FE$14,1)</f>
        <v>8894.7833259999989</v>
      </c>
      <c r="AS61" s="1097">
        <f>(AN61*(1+$EX$10)+$EX$36)*(1+(INDEX(绊状态确认!$T:$T,MATCH($G61,绊状态确认!$B:$B,))+0.2)*AO61)*IF(J61=$FF$17,1+$FE$17,1)*IF(I61=$FF$14,1+$FE$14,1)</f>
        <v>11038.552979999999</v>
      </c>
      <c r="AT61" s="1093">
        <f>IF(AND(INDEX('卡片raw data'!AK:AK,MATCH($D61,'卡片raw data'!$F:$F,))&lt;INDEX('卡片raw data'!AM:AM,MATCH($D61,'卡片raw data'!$F:$F,)),INDEX('卡片raw data'!AL:AL,MATCH($D61,'卡片raw data'!$F:$F,))&lt;INDEX('卡片raw data'!AM:AM,MATCH($D61,'卡片raw data'!$F:$F,))),1,0)</f>
        <v>1</v>
      </c>
      <c r="AU61" s="1098">
        <f>MIN(AT61*0.15+AS61*0.00003+INDEX(绊状态确认!M:M,MATCH($G61,绊状态确认!$B:$B,)),1)</f>
        <v>0.51115658939999997</v>
      </c>
      <c r="AV61" s="1109">
        <f>(INDEX(绊状态确认!$N:$N,MATCH($G61,绊状态确认!$B:$B,))+1.5)*$EW$21</f>
        <v>2.6599999999999997</v>
      </c>
      <c r="AW61" s="1101">
        <f t="shared" si="23"/>
        <v>14549.482507337281</v>
      </c>
      <c r="AX61" s="1097">
        <f t="shared" si="24"/>
        <v>756.44202807755914</v>
      </c>
      <c r="AY61" s="1110">
        <f t="shared" si="25"/>
        <v>15305.924535414841</v>
      </c>
      <c r="AZ61" s="429">
        <f t="shared" si="26"/>
        <v>11443.976179999998</v>
      </c>
      <c r="BA61" s="431">
        <f t="shared" si="27"/>
        <v>13732.771415999998</v>
      </c>
      <c r="BB61" s="1097">
        <f>(AM61*(1+$FB$9)+$FB$35)*(1+(INDEX(绊状态确认!$T:$T,MATCH($G61,绊状态确认!$B:$B,))+0.2)*AO61)*IF(J61=$FF$17,1+$FE$17,1)*IF(I61=$FF$14,1+$FE$14,1)*(1+$FE$15)</f>
        <v>8894.7833259999989</v>
      </c>
      <c r="BC61" s="1097">
        <f>(AN61*(1+$FB$10)+$FB$36)*(1+(INDEX(绊状态确认!$T:$T,MATCH($G61,绊状态确认!$B:$B,))+0.2)*AO61)*IF(J61=$FF$17,1+$FE$17,1)*IF(I61=$FF$14,1+$FE$14,1)*(1+$FE$15)</f>
        <v>11038.552979999999</v>
      </c>
      <c r="BD61" s="1104">
        <f>MIN(AT61*0.15+BC61*0.00003+INDEX(绊状态确认!M:M,MATCH($G61,绊状态确认!$B:$B,)),1)</f>
        <v>0.51115658939999997</v>
      </c>
      <c r="BE61" s="432">
        <f>(INDEX(绊状态确认!$N:$N,MATCH($G61,绊状态确认!$B:$B,))+1.5)</f>
        <v>1.9</v>
      </c>
      <c r="BF61" s="1139">
        <f t="array" ref="BF61">SUMPRODUCT(IF(AZ61*AP61*$FI$16:$FI$23*$FA$22&gt;=$FI$24,$FI$24,AZ61*AP61*$FI$16:$FI$23*$FA$22),$FJ$16:$FJ$23)</f>
        <v>22762.068622019997</v>
      </c>
      <c r="BG61" s="1125">
        <f t="array" ref="BG61">SUMPRODUCT(IF(BE61*AZ61*AP61*$FI$16:$FI$23*$FA$22&gt;=$FI$24,$FI$24,BE61*AZ61*AP61*$FI$16:$FI$23*$FA$22),$FJ$16:$FJ$23)</f>
        <v>43247.930381837999</v>
      </c>
      <c r="BH61" s="1110">
        <f t="shared" si="28"/>
        <v>11077.850616696151</v>
      </c>
      <c r="BI61" s="1111">
        <f>IF(O61="vo",$EW$26/$EW$24*0.05,0)+IF(O61="sk",-$EW$26/$EW$24*(0.05-INDEX(绊状态确认!W:W,MATCH($G61,绊状态确认!$B:$B,)))+0.05*$EW$28,0)+IF(O61="sp",0.05*$EW$32*$EW$30*(1-$EW$33)-(0.05-INDEX(绊状态确认!V:V,MATCH($G61,绊状态确认!$B:$B,)))*$EW$28,0)+IF(O61="gd",-(0.05-INDEX(绊状态确认!X:X,MATCH($G61,绊状态确认!$B:$B,)))*$EW$32*$EW$30*(1-$EW$33),0)</f>
        <v>-585.00000000000011</v>
      </c>
      <c r="BJ61" s="1097">
        <f>IF(O61="vo",0.05*(1-$FI$26)*$FA$24,0)+IF(O61="sk",-(0.05-INDEX(绊状态确认!W:W,MATCH($G61,绊状态确认!$B:$B,)))*(1-$FI$26)*$FA$24+0.05*$FA$26,0)+IF(O61="sp",0.05*$FA$32*$FA$27*(1-$FA$33)/$FA$30+0.05*$FA$29/$FA$69*$FA$27*(1-$FA$33)-(0.05-INDEX(绊状态确认!V:V,MATCH($G61,绊状态确认!$B:$B,)))*$FA$26,0)+IF(O61="gd",-(0.05-INDEX(绊状态确认!X:X,MATCH($G61,绊状态确认!$B:$B,)))*$FA$32*$FA$27*(1-$FA$33)/$FA$30-(0.05-INDEX(绊状态确认!X:X,MATCH($G61,绊状态确认!$B:$B,)))*$FA$29/$FA$69*$FA$27*(1-$FA$33),0)</f>
        <v>-795.00000000000011</v>
      </c>
      <c r="BK61" s="1110">
        <f>IF(O61="vo",$EW$26/$EW$24*0.05+$EW$26*(-HP($EW$62,$EW$65,$EW$64)+HP($EW$62,$EW$65,(1.05-INDEX(绊状态确认!U:U,MATCH($G61,绊状态确认!$B:$B,)))*$EW$64)),0)+IF(O61="sk",-$EW$26/$EW$24*(0.05-INDEX(绊状态确认!W:W,MATCH($G61,绊状态确认!$B:$B,)))+0.05*$EW$29,0)+IF(O61="sp",0.05*$EW$32*$EW$30*(1-$EW$33)-(0.05-INDEX(绊状态确认!V:V,MATCH($G61,绊状态确认!$B:$B,)))*$EW$29,0)+IF(O61="gd",-(0.05-INDEX(绊状态确认!X:X,MATCH($G61,绊状态确认!$B:$B,)))*$EW$32*$EW$30*(1-$EW$33)+$EW$26*(-HP($EW$62,$EW$65,$EW$64)+HP($EW$62,$EW$65,0.95*$EW$64)),0)</f>
        <v>1009.5947725176144</v>
      </c>
      <c r="BL61" s="1111">
        <f t="shared" si="29"/>
        <v>-2166.6666666666665</v>
      </c>
      <c r="BM61" s="1110">
        <f t="shared" si="30"/>
        <v>-1661.1111111111109</v>
      </c>
      <c r="BN61" s="1113">
        <f t="shared" si="31"/>
        <v>2</v>
      </c>
      <c r="BO61" s="1097">
        <f t="shared" si="32"/>
        <v>3005.1476580839999</v>
      </c>
      <c r="BP61" s="1100">
        <f t="shared" si="33"/>
        <v>147.56068806020068</v>
      </c>
      <c r="BQ61" s="1113" t="s">
        <v>619</v>
      </c>
      <c r="BR61" s="1124" t="s">
        <v>621</v>
      </c>
      <c r="BS61" s="1098">
        <f>IF($P61="","N/A",IF($P61=-1,INDEX('卡片raw data'!AX:AX,MATCH($D61,'卡片raw data'!$F:$F,)),0)+IF($L61="party卡",IF($P61=5,INDEX('卡片raw data'!BD:BD,MATCH($D61,'卡片raw data'!$F:$F,)),IF($P61&gt;=3,INDEX('卡片raw data'!BC:BC,MATCH($D61,'卡片raw data'!$F:$F,)),INDEX('卡片raw data'!BB:BB,MATCH($D61,'卡片raw data'!$F:$F,)))),IF(OR(AND($F61="UR",$P61=0),AND($F61="SR",$P61&gt;=0,$P61&lt;=2),AND($F61="R",$P61&gt;=0,$P61&lt;4)),INDEX('卡片raw data'!AZ:AZ,MATCH($D61,'卡片raw data'!$F:$F,)),0)+IF(OR(AND($F61="UR",$P61&gt;=1,$P61&lt;=4),AND($F61="SR",$P61&lt;=4,$P61&gt;=3),AND($F61="R",$P61=4)),INDEX('卡片raw data'!BA:BA,MATCH($D61,'卡片raw data'!$F:$F,)),0)+IF($P61=5,INDEX('卡片raw data'!BB:BB,MATCH($D61,'卡片raw data'!$F:$F,)),0)))</f>
        <v>3.2000000000000001E-2</v>
      </c>
      <c r="BT61" s="1101">
        <f t="shared" si="34"/>
        <v>979.45553300515553</v>
      </c>
      <c r="BU61" s="1097">
        <f t="shared" si="35"/>
        <v>48.09385388628764</v>
      </c>
      <c r="BV61" s="1097">
        <f t="shared" si="36"/>
        <v>267.12423627413335</v>
      </c>
      <c r="BW61" s="1112">
        <f t="shared" si="37"/>
        <v>0</v>
      </c>
      <c r="BX61" s="1100">
        <f t="shared" si="38"/>
        <v>979.45553300515553</v>
      </c>
      <c r="BY61" s="1110">
        <f t="shared" si="39"/>
        <v>267.12423627413335</v>
      </c>
      <c r="BZ61" s="1107" t="s">
        <v>569</v>
      </c>
      <c r="CA61" s="1124"/>
      <c r="CB61" s="1098">
        <f>IF($P61="","N/A",IF($P61=-1,INDEX('卡片raw data'!BE:BE,MATCH($D61,'卡片raw data'!$F:$F,)),0)+IF($L61="party卡",IF($P61=5,INDEX('卡片raw data'!BK:BK,MATCH($D61,'卡片raw data'!$F:$F,)),IF($P61&gt;=3,INDEX('卡片raw data'!BJ:BJ,MATCH($D61,'卡片raw data'!$F:$F,)),INDEX('卡片raw data'!BI:BI,MATCH($D61,'卡片raw data'!$F:$F,)))),IF(OR(AND($F61="UR",$P61=0),AND($F61="SR",$P61&gt;=0,$P61&lt;=2),AND($F61="R",$P61&gt;=0,$P61&lt;4)),INDEX('卡片raw data'!BG:BG,MATCH($D61,'卡片raw data'!$F:$F,)),0)+IF(OR(AND($F61="UR",$P61&gt;=1,$P61&lt;=4),AND($F61="SR",$P61&lt;=4,$P61&gt;=3),AND($F61="R",$P61=4)),INDEX('卡片raw data'!BH:BH,MATCH($D61,'卡片raw data'!$F:$F,)),0)+IF($P61=5,INDEX('卡片raw data'!BI:BI,MATCH($D61,'卡片raw data'!$F:$F,)),0)))</f>
        <v>0</v>
      </c>
      <c r="CC61" s="1101">
        <f t="shared" si="40"/>
        <v>0</v>
      </c>
      <c r="CD61" s="1097">
        <f>IF(BZ61="ap",CB61*(1-$FI$26)*$FB$5/$FB$11*(+IF(CA61="全员",$FA$24,0)+IF(CA61="同作战",$FA$24,0)+IF(CA61="仲间",$FA$24*2/3,0)+IF(CA61="同属性",$FA$24*$FA$37/3,0)+IF(CA61="同年级",$FA$24*$FA$40/3,0)+IF(CA61="同学校",$FA$24*$FA$43/3,0)+IF(CA61="同小队",$FA$24*$FA$46/3,0)+IF(CA61="同type",$FA$24*INDEX($FB$49:$FB$52,MATCH(X61,$FA$49:$FA$52,))/3,0)+IF(CA61="自身",#REF!/3,0)),0)+IF(BZ61="te",CB61*(1-$FI$27)*($FA$20-1)*$FB$7/$FB$13*(+IF(CA61="全员",$FA$19*$FA$24/(1+($FA$20-1)*$FA$19),0)+IF(CA61="同作战",$FA$19*$FA$24/(1+($FA$20-1)*$FA$19),0)+IF(CA61="仲间",$FA$19*$FA$24*2/3/(1+($FA$20-1)*$FA$19),0)+IF(CA61="同属性",$FA$19*$FA$24*$FA$37/3/(1+($FA$20-1)*$FA$19),0)+IF(CA61="同年级",$FA$19*$FA$24*$FA$40/3/(1+($FA$20-1)*$FA$19),0)+IF(CA61="同学校",$FA$19*$FA$24*$FA$43/3/(1+($FA$20-1)*$FA$19),0)+IF(CA61="同小队",$FA$19*$FA$24*$FA$46/3/(1+($FA$20-1)*$FA$19),0)+IF(CA61="同type",$FA$19*$FA$24*INDEX($FB$49:$FB$52,MATCH(X61,$FA$49:$FA$52,))/3/(1+($FA$20-1)*$FA$19),0)+IF(CA61="自身",$FA$19*#REF!/3/(1+(BH61-1)*$BD61),0)),0)</f>
        <v>0</v>
      </c>
      <c r="CE61" s="1097">
        <f t="shared" si="41"/>
        <v>0</v>
      </c>
      <c r="CF61" s="1112">
        <f t="shared" si="42"/>
        <v>0</v>
      </c>
      <c r="CG61" s="1100">
        <f t="shared" si="43"/>
        <v>0</v>
      </c>
      <c r="CH61" s="1110">
        <f t="shared" si="44"/>
        <v>0</v>
      </c>
      <c r="CI61" s="1113"/>
      <c r="CJ61" s="1114"/>
      <c r="CK61" s="1115" t="s">
        <v>569</v>
      </c>
      <c r="CL61" s="1115"/>
      <c r="CM61" s="1119"/>
      <c r="CN61" s="1115"/>
      <c r="CO61" s="1092"/>
      <c r="CP61" s="1117">
        <f t="shared" si="45"/>
        <v>0</v>
      </c>
      <c r="CQ61" s="1117">
        <f t="shared" si="46"/>
        <v>0</v>
      </c>
      <c r="CR61" s="1117">
        <f t="shared" si="47"/>
        <v>0</v>
      </c>
      <c r="CS61" s="1118">
        <f t="shared" si="48"/>
        <v>0</v>
      </c>
      <c r="CT61" s="1109">
        <f t="shared" si="49"/>
        <v>0</v>
      </c>
      <c r="CU61" s="1101">
        <f t="shared" si="50"/>
        <v>0</v>
      </c>
      <c r="CV61" s="1108">
        <f t="shared" si="51"/>
        <v>0</v>
      </c>
      <c r="CW61" s="1097">
        <f t="shared" si="52"/>
        <v>0</v>
      </c>
      <c r="CX61" s="1097">
        <f t="shared" si="53"/>
        <v>0</v>
      </c>
      <c r="CY61" s="1110">
        <f t="shared" si="54"/>
        <v>0</v>
      </c>
      <c r="CZ61" s="437"/>
      <c r="DA61" s="438"/>
      <c r="DB61" s="439" t="s">
        <v>569</v>
      </c>
      <c r="DC61" s="439"/>
      <c r="DD61" s="443"/>
      <c r="DE61" s="411"/>
      <c r="DF61" s="411"/>
      <c r="DG61" s="1116">
        <f t="shared" si="55"/>
        <v>0</v>
      </c>
      <c r="DH61" s="1116">
        <f t="shared" si="56"/>
        <v>0</v>
      </c>
      <c r="DI61" s="1116">
        <f t="shared" si="57"/>
        <v>0</v>
      </c>
      <c r="DJ61" s="442">
        <f t="shared" si="58"/>
        <v>0</v>
      </c>
      <c r="DK61" s="1109">
        <f t="shared" si="59"/>
        <v>0</v>
      </c>
      <c r="DL61" s="1101">
        <f t="shared" si="60"/>
        <v>0</v>
      </c>
      <c r="DM61" s="1097">
        <f t="shared" si="61"/>
        <v>0</v>
      </c>
      <c r="DN61" s="1097">
        <f t="shared" si="62"/>
        <v>0</v>
      </c>
      <c r="DO61" s="1097">
        <f t="shared" si="63"/>
        <v>0</v>
      </c>
      <c r="DP61" s="1110">
        <f t="shared" si="64"/>
        <v>0</v>
      </c>
      <c r="DQ61" s="1113" t="s">
        <v>636</v>
      </c>
      <c r="DR61" s="1120">
        <f t="shared" si="65"/>
        <v>0.3</v>
      </c>
      <c r="DS61" s="1124"/>
      <c r="DT61" s="1093" t="s">
        <v>546</v>
      </c>
      <c r="DU61" s="1093"/>
      <c r="DV61" s="1097">
        <f>IF($P61="","N/A",IF(P61=-1,INDEX('卡片raw data'!AN:AN,MATCH(D61,'卡片raw data'!$F:$F,)),0)+IF(AND(L61&lt;&gt;"party卡",P61&lt;=2,P61&gt;=0),INDEX('卡片raw data'!AP:AP,MATCH(D61,'卡片raw data'!$F:$F,)),0)+IF(OR(AND(L61="party卡",P61&lt;=1),AND(P61&lt;=4,L61&lt;&gt;"party卡",P61&gt;=3)),INDEX('卡片raw data'!AQ:AQ,MATCH(D61,'卡片raw data'!$F:$F,)),0)+IF(OR(P61=5,AND(L61="party卡",P61&gt;=2)),INDEX('卡片raw data'!AR:AR,MATCH(D61,'卡片raw data'!$F:$F,)),0))</f>
        <v>450</v>
      </c>
      <c r="DW61" s="1098">
        <f t="shared" si="66"/>
        <v>0.3</v>
      </c>
      <c r="DX61" s="1098">
        <f t="shared" si="67"/>
        <v>0.3</v>
      </c>
      <c r="DY61" s="1125">
        <f t="shared" si="68"/>
        <v>45</v>
      </c>
      <c r="DZ61" s="1125">
        <f t="shared" si="69"/>
        <v>38.924999999999997</v>
      </c>
      <c r="EA61" s="1098">
        <f t="shared" si="70"/>
        <v>0</v>
      </c>
      <c r="EB61" s="1121">
        <f t="shared" si="71"/>
        <v>0</v>
      </c>
      <c r="EC61" s="1101">
        <f t="shared" si="72"/>
        <v>0</v>
      </c>
      <c r="ED61" s="1097">
        <f t="shared" si="73"/>
        <v>0</v>
      </c>
      <c r="EE61" s="1110">
        <f t="shared" si="74"/>
        <v>3850.2639999273156</v>
      </c>
      <c r="EF61" s="1092" t="s">
        <v>711</v>
      </c>
      <c r="EG61" s="1120">
        <f t="shared" si="75"/>
        <v>0.3</v>
      </c>
      <c r="EH61" s="1124"/>
      <c r="EI61" s="1093"/>
      <c r="EJ61" s="1093"/>
      <c r="EK61" s="1097">
        <f>IF($P61="","N/A",IF(P61=-1,INDEX('卡片raw data'!AS:AS,MATCH(D61,'卡片raw data'!$F:$F,)),0)+IF(AND(L61&lt;&gt;"party卡",P61&lt;=2,P61&gt;=0),INDEX('卡片raw data'!AU:AU,MATCH(D61,'卡片raw data'!$F:$F,)),0)+IF(OR(AND(L61="party卡",P61&lt;=1),AND(P61&lt;=4,L61&lt;&gt;"party卡",P61&gt;=3)),INDEX('卡片raw data'!AV:AV,MATCH(D61,'卡片raw data'!$F:$F,)),0)+IF(OR(P61=5,AND(L61="party卡",P61&gt;=2)),INDEX('卡片raw data'!AW:AW,MATCH(D61,'卡片raw data'!$F:$F,)),0))</f>
        <v>0</v>
      </c>
      <c r="EL61" s="1098">
        <f t="shared" si="76"/>
        <v>0.3</v>
      </c>
      <c r="EM61" s="1098">
        <f t="shared" si="77"/>
        <v>0.3</v>
      </c>
      <c r="EN61" s="1125">
        <f t="shared" si="78"/>
        <v>0</v>
      </c>
      <c r="EO61" s="1125">
        <f t="shared" si="79"/>
        <v>0</v>
      </c>
      <c r="EP61" s="1098">
        <f t="shared" si="80"/>
        <v>0</v>
      </c>
      <c r="EQ61" s="1121">
        <f t="shared" si="81"/>
        <v>0</v>
      </c>
      <c r="ER61" s="1101">
        <f t="shared" si="82"/>
        <v>0</v>
      </c>
      <c r="ES61" s="1097">
        <f t="shared" si="83"/>
        <v>0</v>
      </c>
      <c r="ET61" s="1122">
        <f t="shared" si="84"/>
        <v>0</v>
      </c>
      <c r="EV61" s="1225" t="s">
        <v>248</v>
      </c>
      <c r="EW61" s="1326">
        <v>0.02</v>
      </c>
      <c r="EX61" s="1326"/>
      <c r="EY61" s="1232"/>
      <c r="EZ61" s="1224" t="s">
        <v>1926</v>
      </c>
      <c r="FA61" s="1330">
        <v>400</v>
      </c>
      <c r="FB61" s="1330"/>
      <c r="FH61" s="447"/>
      <c r="FI61" s="447"/>
      <c r="FJ61" s="447"/>
    </row>
    <row r="62" spans="2:166" ht="16.5" customHeight="1">
      <c r="B62" s="1123" t="str">
        <f>INDEX('卡片raw data'!B:B,MATCH($D62,'卡片raw data'!$F:$F,))</f>
        <v>啦啦善</v>
      </c>
      <c r="C62" s="449" t="s">
        <v>124</v>
      </c>
      <c r="D62" s="408">
        <v>59</v>
      </c>
      <c r="E62" s="1090">
        <v>101062001</v>
      </c>
      <c r="F62" s="1090" t="str">
        <f>INDEX('卡片raw data'!C:C,MATCH($D62,'卡片raw data'!$F:$F,))</f>
        <v>SR</v>
      </c>
      <c r="G62" s="1094" t="s">
        <v>343</v>
      </c>
      <c r="H62" s="411">
        <f>IFERROR(INDEX(绊状态确认!C:C,MATCH($G62,绊状态确认!$B:$B,)),"")</f>
        <v>106</v>
      </c>
      <c r="I62" s="450" t="str">
        <f>IFERROR(INDEX(绊状态确认!D:D,MATCH($G62,绊状态确认!$B:$B,)),"")</f>
        <v>水</v>
      </c>
      <c r="J62" s="450" t="str">
        <f>IFERROR(INDEX(绊状态确认!E:E,MATCH($G62,绊状态确认!$B:$B,)),"")</f>
        <v>1年级</v>
      </c>
      <c r="K62" s="451" t="str">
        <f>IFERROR(INDEX(绊状态确认!F:F,MATCH($G62,绊状态确认!$B:$B,)),"")</f>
        <v>Guilty Kiss</v>
      </c>
      <c r="L62" s="1094" t="str">
        <f>INDEX('卡片raw data'!E:E,MATCH($D62,'卡片raw data'!$F:$F,))</f>
        <v>卡池卡</v>
      </c>
      <c r="M62" s="415">
        <v>43735</v>
      </c>
      <c r="N62" s="416">
        <v>0</v>
      </c>
      <c r="O62" s="1091" t="str">
        <f>INDEX('卡片raw data'!D:D,MATCH($D62,'卡片raw data'!$F:$F,))</f>
        <v>sk</v>
      </c>
      <c r="P62" s="417">
        <v>5</v>
      </c>
      <c r="Q62" s="1095">
        <f t="shared" si="0"/>
        <v>29260.294045518112</v>
      </c>
      <c r="R62" s="1096">
        <f t="shared" si="1"/>
        <v>0.34</v>
      </c>
      <c r="S62" s="1097">
        <f t="shared" si="2"/>
        <v>14631.838847937406</v>
      </c>
      <c r="T62" s="1098">
        <f t="shared" si="3"/>
        <v>0.73099999999999998</v>
      </c>
      <c r="U62" s="1099">
        <f t="shared" si="4"/>
        <v>9.809670869142856</v>
      </c>
      <c r="V62" s="1100">
        <f t="shared" si="5"/>
        <v>32039.368723752752</v>
      </c>
      <c r="W62" s="1101">
        <f t="shared" si="6"/>
        <v>4544.0851234896354</v>
      </c>
      <c r="X62" s="1096">
        <f t="shared" si="7"/>
        <v>5.1999999999999998E-2</v>
      </c>
      <c r="Y62" s="1097">
        <f t="shared" si="8"/>
        <v>779.07467823464503</v>
      </c>
      <c r="Z62" s="1102">
        <f t="shared" si="9"/>
        <v>9.809670869142856</v>
      </c>
      <c r="AA62" s="1103">
        <f t="shared" si="10"/>
        <v>5323.1598017242804</v>
      </c>
      <c r="AB62" s="1101">
        <f t="shared" si="11"/>
        <v>8300.5196960946359</v>
      </c>
      <c r="AC62" s="1104">
        <f t="shared" si="12"/>
        <v>9.6000000000000002E-2</v>
      </c>
      <c r="AD62" s="1105">
        <f t="shared" si="13"/>
        <v>8.0494224431818168E-2</v>
      </c>
      <c r="AE62" s="1128">
        <f t="shared" si="14"/>
        <v>34.271665883523589</v>
      </c>
      <c r="AF62" s="1130">
        <f t="shared" si="15"/>
        <v>0</v>
      </c>
      <c r="AG62" s="420">
        <f t="shared" si="16"/>
        <v>0</v>
      </c>
      <c r="AH62" s="420">
        <f t="shared" si="17"/>
        <v>0</v>
      </c>
      <c r="AI62" s="1097">
        <f t="shared" si="18"/>
        <v>0</v>
      </c>
      <c r="AJ62" s="420">
        <f t="shared" si="19"/>
        <v>0</v>
      </c>
      <c r="AK62" s="518">
        <f t="shared" si="20"/>
        <v>0</v>
      </c>
      <c r="AL62" s="1106">
        <f>IF($P62="","N/A",(IF($P62=-1,INDEX('卡片raw data'!S:S,MATCH($D62,'卡片raw data'!$F:$F,)),0)+IF($P62=0,INDEX('卡片raw data'!V:V,MATCH($D62,'卡片raw data'!$F:$F,)),0)+IF($P62=1,INDEX('卡片raw data'!Y:Y,MATCH($D62,'卡片raw data'!$F:$F,)),0)+IF($P62=2,INDEX('卡片raw data'!AB:AB,MATCH($D62,'卡片raw data'!$F:$F,)),0)+IF($P62=3,INDEX('卡片raw data'!AE:AE,MATCH($D62,'卡片raw data'!$F:$F,)),0)+IF($P62=4,INDEX('卡片raw data'!AH:AH,MATCH($D62,'卡片raw data'!$F:$F,)),0)+IF($P62=5,INDEX('卡片raw data'!AK:AK,MATCH($D62,'卡片raw data'!$F:$F,)),0)+INDEX('卡片raw data'!S:S,MATCH($D62,'卡片raw data'!$F:$F,))*(IF($F62="UR",0.04,0.033))*(IF($F62="UR",INDEX(绊状态确认!$S:$S,MATCH($G62,绊状态确认!$B:$B,))/2-40)+IF($F62="SR",INDEX(绊状态确认!$R:$R,MATCH($G62,绊状态确认!$B:$B,))/4-15))+IF($F62="R",INDEX(绊状态确认!$Q:$Q,MATCH($G62,绊状态确认!$B:$B,))/6-40/6)))*(INDEX(绊状态确认!$H:$H,MATCH($G62,绊状态确认!$B:$B,))+INDEX(绊状态确认!J:J,MATCH($G62,绊状态确认!$B:$B,)))</f>
        <v>5671.8178559999997</v>
      </c>
      <c r="AM62" s="1106">
        <f>IF($P62="","N/A",(IF($P62=-1,INDEX('卡片raw data'!T:T,MATCH($D62,'卡片raw data'!$F:$F,)),0)+IF($P62=0,INDEX('卡片raw data'!W:W,MATCH($D62,'卡片raw data'!$F:$F,)),0)+IF($P62=1,INDEX('卡片raw data'!Z:Z,MATCH($D62,'卡片raw data'!$F:$F,)),0)+IF($P62=2,INDEX('卡片raw data'!AC:AC,MATCH($D62,'卡片raw data'!$F:$F,)),0)+IF($P62=3,INDEX('卡片raw data'!AF:AF,MATCH($D62,'卡片raw data'!$F:$F,)),0)+IF($P62=4,INDEX('卡片raw data'!AI:AI,MATCH($D62,'卡片raw data'!$F:$F,)),0)+IF($P62=5,INDEX('卡片raw data'!AL:AL,MATCH($D62,'卡片raw data'!$F:$F,)),0)+INDEX('卡片raw data'!T:T,MATCH($D62,'卡片raw data'!$F:$F,))*(IF($F62="UR",0.04,0.033))*(IF($F62="UR",INDEX(绊状态确认!$S:$S,MATCH($G62,绊状态确认!$B:$B,))/2-40)+IF($F62="SR",INDEX(绊状态确认!$R:$R,MATCH($G62,绊状态确认!$B:$B,))/4-15))+IF($F62="R",INDEX(绊状态确认!$Q:$Q,MATCH($G62,绊状态确认!$B:$B,))/6-40/6)))*(INDEX(绊状态确认!$H:$H,MATCH($G62,绊状态确认!$B:$B,))+INDEX(绊状态确认!K:K,MATCH($G62,绊状态确认!$B:$B,)))</f>
        <v>4726.5148799999988</v>
      </c>
      <c r="AN62" s="1106">
        <f>IF($P62="","N/A",(IF($P62=-1,INDEX('卡片raw data'!U:U,MATCH($D62,'卡片raw data'!$F:$F,)),0)+IF($P62=0,INDEX('卡片raw data'!X:X,MATCH($D62,'卡片raw data'!$F:$F,)),0)+IF($P62=1,INDEX('卡片raw data'!AA:AA,MATCH($D62,'卡片raw data'!$F:$F,)),0)+IF($P62=2,INDEX('卡片raw data'!AD:AD,MATCH($D62,'卡片raw data'!$F:$F,)),0)+IF($P62=3,INDEX('卡片raw data'!AG:AG,MATCH($D62,'卡片raw data'!$F:$F,)),0)+IF($P62=4,INDEX('卡片raw data'!AJ:AJ,MATCH($D62,'卡片raw data'!$F:$F,)),0)+IF($P62=5,INDEX('卡片raw data'!AM:AM,MATCH($D62,'卡片raw data'!$F:$F,)),0)+INDEX('卡片raw data'!U:U,MATCH($D62,'卡片raw data'!$F:$F,))*(IF($F62="UR",0.04,0.033))*(IF($F62="UR",INDEX(绊状态确认!$S:$S,MATCH($G62,绊状态确认!$B:$B,))/2-40)+IF($F62="SR",INDEX(绊状态确认!$R:$R,MATCH($G62,绊状态确认!$B:$B,))/4-15))+IF($F62="R",INDEX(绊状态确认!$Q:$Q,MATCH($G62,绊状态确认!$B:$B,))/6-40/6)))*(INDEX(绊状态确认!$H:$H,MATCH($G62,绊状态确认!$B:$B,))+INDEX(绊状态确认!L:L,MATCH($G62,绊状态确认!$B:$B,)))</f>
        <v>8507.7267839999986</v>
      </c>
      <c r="AO62" s="1107">
        <f t="shared" si="21"/>
        <v>1</v>
      </c>
      <c r="AP62" s="1131">
        <f>1+(INDEX(绊状态确认!$T:$T,MATCH($G62,绊状态确认!$B:$B,))+0.2)*$AO62</f>
        <v>1.3</v>
      </c>
      <c r="AQ62" s="1108">
        <f t="shared" si="22"/>
        <v>18138.521871999998</v>
      </c>
      <c r="AR62" s="1097">
        <f>(AM62*(1+$EX$9)+$EX$35)*(1+(INDEX(绊状态确认!$T:$T,MATCH($G62,绊状态确认!$B:$B,))+0.2)*AO62)*IF(J62=$FF$17,1+$FE$17,1)*IF(I62=$FF$14,1+$FE$14,1)</f>
        <v>9155.6928111999987</v>
      </c>
      <c r="AS62" s="1097">
        <f>(AN62*(1+$EX$10)+$EX$36)*(1+(INDEX(绊状态确认!$T:$T,MATCH($G62,绊状态确认!$B:$B,))+0.2)*AO62)*IF(J62=$FF$17,1+$FE$17,1)*IF(I62=$FF$14,1+$FE$14,1)</f>
        <v>16775.051542079997</v>
      </c>
      <c r="AT62" s="1093">
        <f>IF(AND(INDEX('卡片raw data'!AK:AK,MATCH($D62,'卡片raw data'!$F:$F,))&lt;INDEX('卡片raw data'!AM:AM,MATCH($D62,'卡片raw data'!$F:$F,)),INDEX('卡片raw data'!AL:AL,MATCH($D62,'卡片raw data'!$F:$F,))&lt;INDEX('卡片raw data'!AM:AM,MATCH($D62,'卡片raw data'!$F:$F,))),1,0)</f>
        <v>1</v>
      </c>
      <c r="AU62" s="1098">
        <f>MIN(AT62*0.15+AS62*0.00003+INDEX(绊状态确认!M:M,MATCH($G62,绊状态确认!$B:$B,)),1)</f>
        <v>0.68325154626239992</v>
      </c>
      <c r="AV62" s="1109">
        <f>(INDEX(绊状态确认!$N:$N,MATCH($G62,绊状态确认!$B:$B,))+1.5)*$EW$21</f>
        <v>2.6599999999999997</v>
      </c>
      <c r="AW62" s="1101">
        <f t="shared" si="23"/>
        <v>20104.527806533992</v>
      </c>
      <c r="AX62" s="1097">
        <f t="shared" si="24"/>
        <v>779.07467823464469</v>
      </c>
      <c r="AY62" s="1110">
        <f t="shared" si="25"/>
        <v>20883.602484768635</v>
      </c>
      <c r="AZ62" s="429">
        <f t="shared" si="26"/>
        <v>13660.044819199999</v>
      </c>
      <c r="BA62" s="431">
        <f t="shared" si="27"/>
        <v>16392.053783039999</v>
      </c>
      <c r="BB62" s="1097">
        <f>(AM62*(1+$FB$9)+$FB$35)*(1+(INDEX(绊状态确认!$T:$T,MATCH($G62,绊状态确认!$B:$B,))+0.2)*AO62)*IF(J62=$FF$17,1+$FE$17,1)*IF(I62=$FF$14,1+$FE$14,1)*(1+$FE$15)</f>
        <v>9155.6928111999987</v>
      </c>
      <c r="BC62" s="1097">
        <f>(AN62*(1+$FB$10)+$FB$36)*(1+(INDEX(绊状态确认!$T:$T,MATCH($G62,绊状态确认!$B:$B,))+0.2)*AO62)*IF(J62=$FF$17,1+$FE$17,1)*IF(I62=$FF$14,1+$FE$14,1)*(1+$FE$15)</f>
        <v>16775.051542079997</v>
      </c>
      <c r="BD62" s="1104">
        <f>MIN(AT62*0.15+BC62*0.00003+INDEX(绊状态确认!M:M,MATCH($G62,绊状态确认!$B:$B,)),1)</f>
        <v>0.68325154626239992</v>
      </c>
      <c r="BE62" s="432">
        <f>(INDEX(绊状态确认!$N:$N,MATCH($G62,绊状态确认!$B:$B,))+1.5)</f>
        <v>1.9</v>
      </c>
      <c r="BF62" s="1139">
        <f t="array" ref="BF62">SUMPRODUCT(IF(AZ62*AP62*$FI$16:$FI$23*$FA$22&gt;=$FI$24,$FI$24,AZ62*AP62*$FI$16:$FI$23*$FA$22),$FJ$16:$FJ$23)</f>
        <v>27169.829145388805</v>
      </c>
      <c r="BG62" s="1125">
        <f t="array" ref="BG62">SUMPRODUCT(IF(BE62*AZ62*AP62*$FI$16:$FI$23*$FA$22&gt;=$FI$24,$FI$24,BE62*AZ62*AP62*$FI$16:$FI$23*$FA$22),$FJ$16:$FJ$23)</f>
        <v>51138.760415971832</v>
      </c>
      <c r="BH62" s="1110">
        <f t="shared" si="28"/>
        <v>14515.546166090615</v>
      </c>
      <c r="BI62" s="1111">
        <f>IF(O62="vo",$EW$26/$EW$24*0.05,0)+IF(O62="sk",-$EW$26/$EW$24*(0.05-INDEX(绊状态确认!W:W,MATCH($G62,绊状态确认!$B:$B,)))+0.05*$EW$28,0)+IF(O62="sp",0.05*$EW$32*$EW$30*(1-$EW$33)-(0.05-INDEX(绊状态确认!V:V,MATCH($G62,绊状态确认!$B:$B,)))*$EW$28,0)+IF(O62="gd",-(0.05-INDEX(绊状态确认!X:X,MATCH($G62,绊状态确认!$B:$B,)))*$EW$32*$EW$30*(1-$EW$33),0)</f>
        <v>-6253.6726349699375</v>
      </c>
      <c r="BJ62" s="1097">
        <f>IF(O62="vo",0.05*(1-$FI$26)*$FA$24,0)+IF(O62="sk",-(0.05-INDEX(绊状态确认!W:W,MATCH($G62,绊状态确认!$B:$B,)))*(1-$FI$26)*$FA$24+0.05*$FA$26,0)+IF(O62="sp",0.05*$FA$32*$FA$27*(1-$FA$33)/$FA$30+0.05*$FA$29/$FA$69*$FA$27*(1-$FA$33)-(0.05-INDEX(绊状态确认!V:V,MATCH($G62,绊状态确认!$B:$B,)))*$FA$26,0)+IF(O62="gd",-(0.05-INDEX(绊状态确认!X:X,MATCH($G62,绊状态确认!$B:$B,)))*$FA$32*$FA$27*(1-$FA$33)/$FA$30-(0.05-INDEX(绊状态确认!X:X,MATCH($G62,绊状态确认!$B:$B,)))*$FA$29/$FA$69*$FA$27*(1-$FA$33),0)</f>
        <v>20.459096812499922</v>
      </c>
      <c r="BK62" s="1110">
        <f>IF(O62="vo",$EW$26/$EW$24*0.05+$EW$26*(-HP($EW$62,$EW$65,$EW$64)+HP($EW$62,$EW$65,(1.05-INDEX(绊状态确认!U:U,MATCH($G62,绊状态确认!$B:$B,)))*$EW$64)),0)+IF(O62="sk",-$EW$26/$EW$24*(0.05-INDEX(绊状态确认!W:W,MATCH($G62,绊状态确认!$B:$B,)))+0.05*$EW$29,0)+IF(O62="sp",0.05*$EW$32*$EW$30*(1-$EW$33)-(0.05-INDEX(绊状态确认!V:V,MATCH($G62,绊状态确认!$B:$B,)))*$EW$29,0)+IF(O62="gd",-(0.05-INDEX(绊状态确认!X:X,MATCH($G62,绊状态确认!$B:$B,)))*$EW$32*$EW$30*(1-$EW$33)+$EW$26*(-HP($EW$62,$EW$65,$EW$64)+HP($EW$62,$EW$65,0.95*$EW$64)),0)</f>
        <v>-4253.6726349699375</v>
      </c>
      <c r="BL62" s="1111">
        <f t="shared" si="29"/>
        <v>-1083.3333333333333</v>
      </c>
      <c r="BM62" s="1110">
        <f t="shared" si="30"/>
        <v>-830.55555555555543</v>
      </c>
      <c r="BN62" s="1113">
        <f t="shared" si="31"/>
        <v>3</v>
      </c>
      <c r="BO62" s="1097">
        <f t="shared" si="32"/>
        <v>4507.7214871259994</v>
      </c>
      <c r="BP62" s="1100">
        <f t="shared" si="33"/>
        <v>221.34103209030098</v>
      </c>
      <c r="BQ62" s="1113" t="s">
        <v>619</v>
      </c>
      <c r="BR62" s="1124" t="s">
        <v>168</v>
      </c>
      <c r="BS62" s="1098">
        <f>IF($P62="","N/A",IF($P62=-1,INDEX('卡片raw data'!AX:AX,MATCH($D62,'卡片raw data'!$F:$F,)),0)+IF($L62="party卡",IF($P62=5,INDEX('卡片raw data'!BD:BD,MATCH($D62,'卡片raw data'!$F:$F,)),IF($P62&gt;=3,INDEX('卡片raw data'!BC:BC,MATCH($D62,'卡片raw data'!$F:$F,)),INDEX('卡片raw data'!BB:BB,MATCH($D62,'卡片raw data'!$F:$F,)))),IF(OR(AND($F62="UR",$P62=0),AND($F62="SR",$P62&gt;=0,$P62&lt;=2),AND($F62="R",$P62&gt;=0,$P62&lt;4)),INDEX('卡片raw data'!AZ:AZ,MATCH($D62,'卡片raw data'!$F:$F,)),0)+IF(OR(AND($F62="UR",$P62&gt;=1,$P62&lt;=4),AND($F62="SR",$P62&lt;=4,$P62&gt;=3),AND($F62="R",$P62=4)),INDEX('卡片raw data'!BA:BA,MATCH($D62,'卡片raw data'!$F:$F,)),0)+IF($P62=5,INDEX('卡片raw data'!BB:BB,MATCH($D62,'卡片raw data'!$F:$F,)),0)))</f>
        <v>0.05</v>
      </c>
      <c r="BT62" s="1101">
        <f t="shared" si="34"/>
        <v>3756.4345726050001</v>
      </c>
      <c r="BU62" s="1097">
        <f t="shared" si="35"/>
        <v>184.45086007525089</v>
      </c>
      <c r="BV62" s="1097">
        <f t="shared" si="36"/>
        <v>0</v>
      </c>
      <c r="BW62" s="1112">
        <f t="shared" si="37"/>
        <v>0</v>
      </c>
      <c r="BX62" s="1100">
        <f t="shared" si="38"/>
        <v>3756.4345726050001</v>
      </c>
      <c r="BY62" s="1110">
        <f t="shared" si="39"/>
        <v>0</v>
      </c>
      <c r="BZ62" s="1107" t="s">
        <v>569</v>
      </c>
      <c r="CA62" s="1124"/>
      <c r="CB62" s="1098">
        <f>IF($P62="","N/A",IF($P62=-1,INDEX('卡片raw data'!BE:BE,MATCH($D62,'卡片raw data'!$F:$F,)),0)+IF($L62="party卡",IF($P62=5,INDEX('卡片raw data'!BK:BK,MATCH($D62,'卡片raw data'!$F:$F,)),IF($P62&gt;=3,INDEX('卡片raw data'!BJ:BJ,MATCH($D62,'卡片raw data'!$F:$F,)),INDEX('卡片raw data'!BI:BI,MATCH($D62,'卡片raw data'!$F:$F,)))),IF(OR(AND($F62="UR",$P62=0),AND($F62="SR",$P62&gt;=0,$P62&lt;=2),AND($F62="R",$P62&gt;=0,$P62&lt;4)),INDEX('卡片raw data'!BG:BG,MATCH($D62,'卡片raw data'!$F:$F,)),0)+IF(OR(AND($F62="UR",$P62&gt;=1,$P62&lt;=4),AND($F62="SR",$P62&lt;=4,$P62&gt;=3),AND($F62="R",$P62=4)),INDEX('卡片raw data'!BH:BH,MATCH($D62,'卡片raw data'!$F:$F,)),0)+IF($P62=5,INDEX('卡片raw data'!BI:BI,MATCH($D62,'卡片raw data'!$F:$F,)),0)))</f>
        <v>0</v>
      </c>
      <c r="CC62" s="1101">
        <f t="shared" si="40"/>
        <v>0</v>
      </c>
      <c r="CD62" s="1097">
        <f>IF(BZ62="ap",CB62*(1-$FI$26)*$FB$5/$FB$11*(+IF(CA62="全员",$FA$24,0)+IF(CA62="同作战",$FA$24,0)+IF(CA62="仲间",$FA$24*2/3,0)+IF(CA62="同属性",$FA$24*$FA$37/3,0)+IF(CA62="同年级",$FA$24*$FA$40/3,0)+IF(CA62="同学校",$FA$24*$FA$43/3,0)+IF(CA62="同小队",$FA$24*$FA$46/3,0)+IF(CA62="同type",$FA$24*INDEX($FB$49:$FB$52,MATCH(X62,$FA$49:$FA$52,))/3,0)+IF(CA62="自身",#REF!/3,0)),0)+IF(BZ62="te",CB62*(1-$FI$27)*($FA$20-1)*$FB$7/$FB$13*(+IF(CA62="全员",$FA$19*$FA$24/(1+($FA$20-1)*$FA$19),0)+IF(CA62="同作战",$FA$19*$FA$24/(1+($FA$20-1)*$FA$19),0)+IF(CA62="仲间",$FA$19*$FA$24*2/3/(1+($FA$20-1)*$FA$19),0)+IF(CA62="同属性",$FA$19*$FA$24*$FA$37/3/(1+($FA$20-1)*$FA$19),0)+IF(CA62="同年级",$FA$19*$FA$24*$FA$40/3/(1+($FA$20-1)*$FA$19),0)+IF(CA62="同学校",$FA$19*$FA$24*$FA$43/3/(1+($FA$20-1)*$FA$19),0)+IF(CA62="同小队",$FA$19*$FA$24*$FA$46/3/(1+($FA$20-1)*$FA$19),0)+IF(CA62="同type",$FA$19*$FA$24*INDEX($FB$49:$FB$52,MATCH(X62,$FA$49:$FA$52,))/3/(1+($FA$20-1)*$FA$19),0)+IF(CA62="自身",$FA$19*#REF!/3/(1+(BH62-1)*$BD62),0)),0)</f>
        <v>0</v>
      </c>
      <c r="CE62" s="1097">
        <f t="shared" si="41"/>
        <v>0</v>
      </c>
      <c r="CF62" s="1112">
        <f t="shared" si="42"/>
        <v>0</v>
      </c>
      <c r="CG62" s="1100">
        <f t="shared" si="43"/>
        <v>0</v>
      </c>
      <c r="CH62" s="1110">
        <f t="shared" si="44"/>
        <v>0</v>
      </c>
      <c r="CI62" s="1113" t="s">
        <v>170</v>
      </c>
      <c r="CJ62" s="1114">
        <v>0.3</v>
      </c>
      <c r="CK62" s="1115" t="s">
        <v>561</v>
      </c>
      <c r="CL62" s="1115" t="s">
        <v>161</v>
      </c>
      <c r="CM62" s="1119">
        <v>0.08</v>
      </c>
      <c r="CN62" s="1115">
        <v>10</v>
      </c>
      <c r="CO62" s="1092"/>
      <c r="CP62" s="1118">
        <f t="shared" si="45"/>
        <v>8.571428571428571E-4</v>
      </c>
      <c r="CQ62" s="1118">
        <f t="shared" si="46"/>
        <v>1.3333333333333333E-3</v>
      </c>
      <c r="CR62" s="1118">
        <f t="shared" si="47"/>
        <v>8.571428571428571E-4</v>
      </c>
      <c r="CS62" s="1118">
        <f t="shared" si="48"/>
        <v>6.1499999999999992E-2</v>
      </c>
      <c r="CT62" s="1109">
        <f t="shared" si="49"/>
        <v>0</v>
      </c>
      <c r="CU62" s="1101">
        <f t="shared" si="50"/>
        <v>36.36363636363636</v>
      </c>
      <c r="CV62" s="1108">
        <f t="shared" si="51"/>
        <v>30.303030303030301</v>
      </c>
      <c r="CW62" s="1097">
        <f t="shared" si="52"/>
        <v>36.36363636363636</v>
      </c>
      <c r="CX62" s="1097">
        <f t="shared" si="53"/>
        <v>36.36363636363636</v>
      </c>
      <c r="CY62" s="1110">
        <f t="shared" si="54"/>
        <v>36.36363636363636</v>
      </c>
      <c r="CZ62" s="437"/>
      <c r="DA62" s="438"/>
      <c r="DB62" s="439" t="s">
        <v>569</v>
      </c>
      <c r="DC62" s="439"/>
      <c r="DD62" s="443"/>
      <c r="DE62" s="411"/>
      <c r="DF62" s="411"/>
      <c r="DG62" s="1116">
        <f t="shared" si="55"/>
        <v>0</v>
      </c>
      <c r="DH62" s="1116">
        <f t="shared" si="56"/>
        <v>0</v>
      </c>
      <c r="DI62" s="1116">
        <f t="shared" si="57"/>
        <v>0</v>
      </c>
      <c r="DJ62" s="442">
        <f t="shared" si="58"/>
        <v>0</v>
      </c>
      <c r="DK62" s="1109">
        <f t="shared" si="59"/>
        <v>0</v>
      </c>
      <c r="DL62" s="1101">
        <f t="shared" si="60"/>
        <v>0</v>
      </c>
      <c r="DM62" s="1097">
        <f t="shared" si="61"/>
        <v>0</v>
      </c>
      <c r="DN62" s="1097">
        <f t="shared" si="62"/>
        <v>0</v>
      </c>
      <c r="DO62" s="1097">
        <f t="shared" si="63"/>
        <v>0</v>
      </c>
      <c r="DP62" s="1110">
        <f t="shared" si="64"/>
        <v>0</v>
      </c>
      <c r="DQ62" s="1113" t="s">
        <v>550</v>
      </c>
      <c r="DR62" s="1120">
        <f t="shared" si="65"/>
        <v>0.3</v>
      </c>
      <c r="DS62" s="1124">
        <v>10</v>
      </c>
      <c r="DT62" s="1093" t="s">
        <v>168</v>
      </c>
      <c r="DU62" s="1093" t="s">
        <v>544</v>
      </c>
      <c r="DV62" s="1098">
        <f>IF($P62="","N/A",IF(P62=-1,INDEX('卡片raw data'!AN:AN,MATCH(D62,'卡片raw data'!$F:$F,)),0)+IF(AND(L62&lt;&gt;"party卡",P62&lt;=2,P62&gt;=0),INDEX('卡片raw data'!AP:AP,MATCH(D62,'卡片raw data'!$F:$F,)),0)+IF(OR(AND(L62="party卡",P62&lt;=1),AND(P62&lt;=4,L62&lt;&gt;"party卡",P62&gt;=3)),INDEX('卡片raw data'!AQ:AQ,MATCH(D62,'卡片raw data'!$F:$F,)),0)+IF(OR(P62=5,AND(L62="party卡",P62&gt;=2)),INDEX('卡片raw data'!AR:AR,MATCH(D62,'卡片raw data'!$F:$F,)),0))</f>
        <v>7.0000000000000007E-2</v>
      </c>
      <c r="DW62" s="1098">
        <f t="shared" si="66"/>
        <v>0.3</v>
      </c>
      <c r="DX62" s="1098">
        <f t="shared" si="67"/>
        <v>0.3</v>
      </c>
      <c r="DY62" s="1098">
        <f t="shared" si="68"/>
        <v>7.0000000000000007E-2</v>
      </c>
      <c r="DZ62" s="1098">
        <f t="shared" si="69"/>
        <v>6.0550000000000007E-2</v>
      </c>
      <c r="EA62" s="1098">
        <f t="shared" si="70"/>
        <v>0</v>
      </c>
      <c r="EB62" s="1121">
        <f t="shared" si="71"/>
        <v>0</v>
      </c>
      <c r="EC62" s="1101">
        <f t="shared" si="72"/>
        <v>8192.2525111927516</v>
      </c>
      <c r="ED62" s="1097">
        <f t="shared" si="73"/>
        <v>490.2942181212656</v>
      </c>
      <c r="EE62" s="1110">
        <f t="shared" si="74"/>
        <v>8192.2525111927516</v>
      </c>
      <c r="EF62" s="1092" t="s">
        <v>711</v>
      </c>
      <c r="EG62" s="1120">
        <f t="shared" si="75"/>
        <v>0.3</v>
      </c>
      <c r="EH62" s="1124"/>
      <c r="EI62" s="1093"/>
      <c r="EJ62" s="1093"/>
      <c r="EK62" s="1097">
        <f>IF($P62="","N/A",IF(P62=-1,INDEX('卡片raw data'!AS:AS,MATCH(D62,'卡片raw data'!$F:$F,)),0)+IF(AND(L62&lt;&gt;"party卡",P62&lt;=2,P62&gt;=0),INDEX('卡片raw data'!AU:AU,MATCH(D62,'卡片raw data'!$F:$F,)),0)+IF(OR(AND(L62="party卡",P62&lt;=1),AND(P62&lt;=4,L62&lt;&gt;"party卡",P62&gt;=3)),INDEX('卡片raw data'!AV:AV,MATCH(D62,'卡片raw data'!$F:$F,)),0)+IF(OR(P62=5,AND(L62="party卡",P62&gt;=2)),INDEX('卡片raw data'!AW:AW,MATCH(D62,'卡片raw data'!$F:$F,)),0))</f>
        <v>0</v>
      </c>
      <c r="EL62" s="1098">
        <f t="shared" si="76"/>
        <v>0.3</v>
      </c>
      <c r="EM62" s="1098">
        <f t="shared" si="77"/>
        <v>0.3</v>
      </c>
      <c r="EN62" s="1125">
        <f t="shared" si="78"/>
        <v>0</v>
      </c>
      <c r="EO62" s="1125">
        <f t="shared" si="79"/>
        <v>0</v>
      </c>
      <c r="EP62" s="1098">
        <f t="shared" si="80"/>
        <v>0</v>
      </c>
      <c r="EQ62" s="1121">
        <f t="shared" si="81"/>
        <v>0</v>
      </c>
      <c r="ER62" s="1101">
        <f t="shared" si="82"/>
        <v>0</v>
      </c>
      <c r="ES62" s="1097">
        <f t="shared" si="83"/>
        <v>0</v>
      </c>
      <c r="ET62" s="1122">
        <f t="shared" si="84"/>
        <v>0</v>
      </c>
      <c r="EV62" s="1221" t="s">
        <v>5</v>
      </c>
      <c r="EW62" s="1327">
        <f>EX17*9</f>
        <v>124769.24999999999</v>
      </c>
      <c r="EX62" s="1327"/>
      <c r="EY62" s="1232"/>
      <c r="EZ62" s="1224" t="s">
        <v>7</v>
      </c>
      <c r="FA62" s="1323">
        <v>180</v>
      </c>
      <c r="FB62" s="1324"/>
      <c r="FH62" s="447"/>
      <c r="FI62" s="447"/>
      <c r="FJ62" s="447"/>
    </row>
    <row r="63" spans="2:166" ht="16.5" customHeight="1">
      <c r="B63" s="1123" t="str">
        <f>INDEX('卡片raw data'!B:B,MATCH($D63,'卡片raw data'!$F:$F,))</f>
        <v>初始善</v>
      </c>
      <c r="C63" s="449" t="s">
        <v>22</v>
      </c>
      <c r="D63" s="408">
        <v>60</v>
      </c>
      <c r="E63" s="1090">
        <v>101063001</v>
      </c>
      <c r="F63" s="1090" t="str">
        <f>INDEX('卡片raw data'!C:C,MATCH($D63,'卡片raw data'!$F:$F,))</f>
        <v>UR</v>
      </c>
      <c r="G63" s="1094" t="s">
        <v>38</v>
      </c>
      <c r="H63" s="411">
        <f>IFERROR(INDEX(绊状态确认!C:C,MATCH($G63,绊状态确认!$B:$B,)),"")</f>
        <v>106</v>
      </c>
      <c r="I63" s="450" t="str">
        <f>IFERROR(INDEX(绊状态确认!D:D,MATCH($G63,绊状态确认!$B:$B,)),"")</f>
        <v>水</v>
      </c>
      <c r="J63" s="450" t="str">
        <f>IFERROR(INDEX(绊状态确认!E:E,MATCH($G63,绊状态确认!$B:$B,)),"")</f>
        <v>1年级</v>
      </c>
      <c r="K63" s="451" t="str">
        <f>IFERROR(INDEX(绊状态确认!F:F,MATCH($G63,绊状态确认!$B:$B,)),"")</f>
        <v>Guilty Kiss</v>
      </c>
      <c r="L63" s="1094" t="str">
        <f>INDEX('卡片raw data'!E:E,MATCH($D63,'卡片raw data'!$F:$F,))</f>
        <v>卡池卡</v>
      </c>
      <c r="M63" s="415">
        <v>43735</v>
      </c>
      <c r="N63" s="416">
        <v>0</v>
      </c>
      <c r="O63" s="1091" t="str">
        <f>INDEX('卡片raw data'!D:D,MATCH($D63,'卡片raw data'!$F:$F,))</f>
        <v>sp</v>
      </c>
      <c r="P63" s="417">
        <v>5</v>
      </c>
      <c r="Q63" s="1095">
        <f t="shared" si="0"/>
        <v>55325.481933774281</v>
      </c>
      <c r="R63" s="1096">
        <f t="shared" si="1"/>
        <v>0.64300000000000002</v>
      </c>
      <c r="S63" s="1097">
        <f t="shared" si="2"/>
        <v>23270.668626560764</v>
      </c>
      <c r="T63" s="1098">
        <f t="shared" si="3"/>
        <v>1.163</v>
      </c>
      <c r="U63" s="1099">
        <f t="shared" si="4"/>
        <v>11.885157737142858</v>
      </c>
      <c r="V63" s="1100">
        <f t="shared" si="5"/>
        <v>54473.403333867966</v>
      </c>
      <c r="W63" s="1101">
        <f t="shared" si="6"/>
        <v>4528.6143442688563</v>
      </c>
      <c r="X63" s="1096">
        <f t="shared" si="7"/>
        <v>5.1999999999999998E-2</v>
      </c>
      <c r="Y63" s="1097">
        <f t="shared" si="8"/>
        <v>947.92140009368723</v>
      </c>
      <c r="Z63" s="1102">
        <f t="shared" si="9"/>
        <v>11.885157737142858</v>
      </c>
      <c r="AA63" s="1103">
        <f t="shared" si="10"/>
        <v>5476.5357443625435</v>
      </c>
      <c r="AB63" s="1101">
        <f t="shared" si="11"/>
        <v>9480.8309872848749</v>
      </c>
      <c r="AC63" s="1104">
        <f t="shared" si="12"/>
        <v>0.11</v>
      </c>
      <c r="AD63" s="1105">
        <f t="shared" si="13"/>
        <v>-1.6087500000000001E-2</v>
      </c>
      <c r="AE63" s="1128">
        <f t="shared" si="14"/>
        <v>71.777315543478238</v>
      </c>
      <c r="AF63" s="1130">
        <f t="shared" si="15"/>
        <v>0</v>
      </c>
      <c r="AG63" s="420">
        <f t="shared" si="16"/>
        <v>0</v>
      </c>
      <c r="AH63" s="420">
        <f t="shared" si="17"/>
        <v>0</v>
      </c>
      <c r="AI63" s="1097">
        <f t="shared" si="18"/>
        <v>0</v>
      </c>
      <c r="AJ63" s="420">
        <f t="shared" si="19"/>
        <v>0</v>
      </c>
      <c r="AK63" s="518">
        <f t="shared" si="20"/>
        <v>0</v>
      </c>
      <c r="AL63" s="1106">
        <f>IF($P63="","N/A",(IF($P63=-1,INDEX('卡片raw data'!S:S,MATCH($D63,'卡片raw data'!$F:$F,)),0)+IF($P63=0,INDEX('卡片raw data'!V:V,MATCH($D63,'卡片raw data'!$F:$F,)),0)+IF($P63=1,INDEX('卡片raw data'!Y:Y,MATCH($D63,'卡片raw data'!$F:$F,)),0)+IF($P63=2,INDEX('卡片raw data'!AB:AB,MATCH($D63,'卡片raw data'!$F:$F,)),0)+IF($P63=3,INDEX('卡片raw data'!AE:AE,MATCH($D63,'卡片raw data'!$F:$F,)),0)+IF($P63=4,INDEX('卡片raw data'!AH:AH,MATCH($D63,'卡片raw data'!$F:$F,)),0)+IF($P63=5,INDEX('卡片raw data'!AK:AK,MATCH($D63,'卡片raw data'!$F:$F,)),0)+INDEX('卡片raw data'!S:S,MATCH($D63,'卡片raw data'!$F:$F,))*(IF($F63="UR",0.04,0.033))*(IF($F63="UR",INDEX(绊状态确认!$S:$S,MATCH($G63,绊状态确认!$B:$B,))/2-40)+IF($F63="SR",INDEX(绊状态确认!$R:$R,MATCH($G63,绊状态确认!$B:$B,))/4-15))+IF($F63="R",INDEX(绊状态确认!$Q:$Q,MATCH($G63,绊状态确认!$B:$B,))/6-40/6)))*(INDEX(绊状态确认!$H:$H,MATCH($G63,绊状态确认!$B:$B,))+INDEX(绊状态确认!J:J,MATCH($G63,绊状态确认!$B:$B,)))</f>
        <v>10754.889599999999</v>
      </c>
      <c r="AM63" s="1106">
        <f>IF($P63="","N/A",(IF($P63=-1,INDEX('卡片raw data'!T:T,MATCH($D63,'卡片raw data'!$F:$F,)),0)+IF($P63=0,INDEX('卡片raw data'!W:W,MATCH($D63,'卡片raw data'!$F:$F,)),0)+IF($P63=1,INDEX('卡片raw data'!Z:Z,MATCH($D63,'卡片raw data'!$F:$F,)),0)+IF($P63=2,INDEX('卡片raw data'!AC:AC,MATCH($D63,'卡片raw data'!$F:$F,)),0)+IF($P63=3,INDEX('卡片raw data'!AF:AF,MATCH($D63,'卡片raw data'!$F:$F,)),0)+IF($P63=4,INDEX('卡片raw data'!AI:AI,MATCH($D63,'卡片raw data'!$F:$F,)),0)+IF($P63=5,INDEX('卡片raw data'!AL:AL,MATCH($D63,'卡片raw data'!$F:$F,)),0)+INDEX('卡片raw data'!T:T,MATCH($D63,'卡片raw data'!$F:$F,))*(IF($F63="UR",0.04,0.033))*(IF($F63="UR",INDEX(绊状态确认!$S:$S,MATCH($G63,绊状态确认!$B:$B,))/2-40)+IF($F63="SR",INDEX(绊状态确认!$R:$R,MATCH($G63,绊状态确认!$B:$B,))/4-15))+IF($F63="R",INDEX(绊状态确认!$Q:$Q,MATCH($G63,绊状态确认!$B:$B,))/6-40/6)))*(INDEX(绊状态确认!$H:$H,MATCH($G63,绊状态确认!$B:$B,))+INDEX(绊状态确认!K:K,MATCH($G63,绊状态确认!$B:$B,)))</f>
        <v>6145.6511999999993</v>
      </c>
      <c r="AN63" s="1106">
        <f>IF($P63="","N/A",(IF($P63=-1,INDEX('卡片raw data'!U:U,MATCH($D63,'卡片raw data'!$F:$F,)),0)+IF($P63=0,INDEX('卡片raw data'!X:X,MATCH($D63,'卡片raw data'!$F:$F,)),0)+IF($P63=1,INDEX('卡片raw data'!AA:AA,MATCH($D63,'卡片raw data'!$F:$F,)),0)+IF($P63=2,INDEX('卡片raw data'!AD:AD,MATCH($D63,'卡片raw data'!$F:$F,)),0)+IF($P63=3,INDEX('卡片raw data'!AG:AG,MATCH($D63,'卡片raw data'!$F:$F,)),0)+IF($P63=4,INDEX('卡片raw data'!AJ:AJ,MATCH($D63,'卡片raw data'!$F:$F,)),0)+IF($P63=5,INDEX('卡片raw data'!AM:AM,MATCH($D63,'卡片raw data'!$F:$F,)),0)+INDEX('卡片raw data'!U:U,MATCH($D63,'卡片raw data'!$F:$F,))*(IF($F63="UR",0.04,0.033))*(IF($F63="UR",INDEX(绊状态确认!$S:$S,MATCH($G63,绊状态确认!$B:$B,))/2-40)+IF($F63="SR",INDEX(绊状态确认!$R:$R,MATCH($G63,绊状态确认!$B:$B,))/4-15))+IF($F63="R",INDEX(绊状态确认!$Q:$Q,MATCH($G63,绊状态确认!$B:$B,))/6-40/6)))*(INDEX(绊状态确认!$H:$H,MATCH($G63,绊状态确认!$B:$B,))+INDEX(绊状态确认!L:L,MATCH($G63,绊状态确认!$B:$B,)))</f>
        <v>13827.715199999999</v>
      </c>
      <c r="AO63" s="1107">
        <f t="shared" si="21"/>
        <v>1</v>
      </c>
      <c r="AP63" s="1131">
        <f>1+(INDEX(绊状态确认!$T:$T,MATCH($G63,绊状态确认!$B:$B,))+0.2)*$AO63</f>
        <v>1.3</v>
      </c>
      <c r="AQ63" s="1108">
        <f t="shared" si="22"/>
        <v>31481.585200000001</v>
      </c>
      <c r="AR63" s="1097">
        <f>(AM63*(1+$EX$9)+$EX$35)*(1+(INDEX(绊状态确认!$T:$T,MATCH($G63,绊状态确认!$B:$B,))+0.2)*AO63)*IF(J63=$FF$17,1+$FE$17,1)*IF(I63=$FF$14,1+$FE$14,1)*(1+$FE$15)</f>
        <v>11092.813888000001</v>
      </c>
      <c r="AS63" s="1097">
        <f>(AN63*(1+$EX$10)+$EX$36)*(1+(INDEX(绊状态确认!$T:$T,MATCH($G63,绊状态确认!$B:$B,))+0.2)*AO63)*IF(J63=$FF$17,1+$FE$17,1)*IF(I63=$FF$14,1+$FE$14,1)*(1+$FE$15)</f>
        <v>24728.434223999997</v>
      </c>
      <c r="AT63" s="1093">
        <f>IF(AND(INDEX('卡片raw data'!AK:AK,MATCH($D63,'卡片raw data'!$F:$F,))&lt;INDEX('卡片raw data'!AM:AM,MATCH($D63,'卡片raw data'!$F:$F,)),INDEX('卡片raw data'!AL:AL,MATCH($D63,'卡片raw data'!$F:$F,))&lt;INDEX('卡片raw data'!AM:AM,MATCH($D63,'卡片raw data'!$F:$F,))),1,0)</f>
        <v>1</v>
      </c>
      <c r="AU63" s="1098">
        <f>MIN(AT63*0.15+AS63*0.00003+INDEX(绊状态确认!M:M,MATCH($G63,绊状态确认!$B:$B,)),1)</f>
        <v>0.92185302672000002</v>
      </c>
      <c r="AV63" s="1109">
        <f>(INDEX(绊状态确认!$N:$N,MATCH($G63,绊状态确认!$B:$B,))+1.5)*$EW$21</f>
        <v>2.6599999999999997</v>
      </c>
      <c r="AW63" s="1101">
        <f t="shared" si="23"/>
        <v>41369.650946489404</v>
      </c>
      <c r="AX63" s="1097">
        <f t="shared" si="24"/>
        <v>947.921400093687</v>
      </c>
      <c r="AY63" s="1110">
        <f t="shared" si="25"/>
        <v>42317.572346583089</v>
      </c>
      <c r="AZ63" s="429">
        <f t="shared" si="26"/>
        <v>23572.034719999996</v>
      </c>
      <c r="BA63" s="431">
        <f t="shared" si="27"/>
        <v>28286.441663999994</v>
      </c>
      <c r="BB63" s="1097">
        <f>(AM63*(1+$FB$9)+$FB$35)*(1+(INDEX(绊状态确认!$T:$T,MATCH($G63,绊状态确认!$B:$B,))+0.2)*AO63)*IF(J63=$FF$17,1+$FE$17,1)*IF(I63=$FF$14,1+$FE$14,1)*(1+$FE$15)</f>
        <v>11092.813888000001</v>
      </c>
      <c r="BC63" s="1097">
        <f>(AN63*(1+$FB$10)+$FB$36)*(1+(INDEX(绊状态确认!$T:$T,MATCH($G63,绊状态确认!$B:$B,))+0.2)*AO63)*IF(J63=$FF$17,1+$FE$17,1)*IF(I63=$FF$14,1+$FE$14,1)*(1+$FE$15)</f>
        <v>24728.434223999997</v>
      </c>
      <c r="BD63" s="1104">
        <f>MIN(AT63*0.15+BC63*0.00003+INDEX(绊状态确认!M:M,MATCH($G63,绊状态确认!$B:$B,)),1)</f>
        <v>0.92185302672000002</v>
      </c>
      <c r="BE63" s="432">
        <f>(INDEX(绊状态确认!$N:$N,MATCH($G63,绊状态确认!$B:$B,))+1.5)</f>
        <v>1.9</v>
      </c>
      <c r="BF63" s="1139">
        <f t="array" ref="BF63">SUMPRODUCT(IF(AZ63*AP63*$FI$16:$FI$23*$FA$22&gt;=$FI$24,$FI$24,AZ63*AP63*$FI$16:$FI$23*$FA$22),$FJ$16:$FJ$23)</f>
        <v>46884.777058079999</v>
      </c>
      <c r="BG63" s="1125">
        <f t="array" ref="BG63">SUMPRODUCT(IF(BE63*AZ63*AP63*$FI$16:$FI$23*$FA$22&gt;=$FI$24,$FI$24,BE63*AZ63*AP63*$FI$16:$FI$23*$FA$22),$FJ$16:$FJ$23)</f>
        <v>60000</v>
      </c>
      <c r="BH63" s="1110">
        <f t="shared" si="28"/>
        <v>19658.361674398842</v>
      </c>
      <c r="BI63" s="1111">
        <f>IF(O63="vo",$EW$26/$EW$24*0.05,0)+IF(O63="sk",-$EW$26/$EW$24*(0.05-INDEX(绊状态确认!W:W,MATCH($G63,绊状态确认!$B:$B,)))+0.05*$EW$28,0)+IF(O63="sp",0.05*$EW$32*$EW$30*(1-$EW$33)-(0.05-INDEX(绊状态确认!V:V,MATCH($G63,绊状态确认!$B:$B,)))*$EW$28,0)+IF(O63="gd",-(0.05-INDEX(绊状态确认!X:X,MATCH($G63,绊状态确认!$B:$B,)))*$EW$32*$EW$30*(1-$EW$33),0)</f>
        <v>19.999999999999886</v>
      </c>
      <c r="BJ63" s="1097">
        <f>IF(O63="vo",0.05*(1-$FI$26)*$FA$24,0)+IF(O63="sk",-(0.05-INDEX(绊状态确认!W:W,MATCH($G63,绊状态确认!$B:$B,)))*(1-$FI$26)*$FA$24+0.05*$FA$26,0)+IF(O63="sp",0.05*$FA$32*$FA$27*(1-$FA$33)/$FA$30+0.05*$FA$29/$FA$69*$FA$27*(1-$FA$33)-(0.05-INDEX(绊状态确认!V:V,MATCH($G63,绊状态确认!$B:$B,)))*$FA$26,0)+IF(O63="gd",-(0.05-INDEX(绊状态确认!X:X,MATCH($G63,绊状态确认!$B:$B,)))*$FA$32*$FA$27*(1-$FA$33)/$FA$30-(0.05-INDEX(绊状态确认!X:X,MATCH($G63,绊状态确认!$B:$B,)))*$FA$29/$FA$69*$FA$27*(1-$FA$33),0)</f>
        <v>545.83333333333326</v>
      </c>
      <c r="BK63" s="1110">
        <f>IF(O63="vo",$EW$26/$EW$24*0.05+$EW$26*(-HP($EW$62,$EW$65,$EW$64)+HP($EW$62,$EW$65,(1.05-INDEX(绊状态确认!U:U,MATCH($G63,绊状态确认!$B:$B,)))*$EW$64)),0)+IF(O63="sk",-$EW$26/$EW$24*(0.05-INDEX(绊状态确认!W:W,MATCH($G63,绊状态确认!$B:$B,)))+0.05*$EW$29,0)+IF(O63="sp",0.05*$EW$32*$EW$30*(1-$EW$33)-(0.05-INDEX(绊状态确认!V:V,MATCH($G63,绊状态确认!$B:$B,)))*$EW$29,0)+IF(O63="gd",-(0.05-INDEX(绊状态确认!X:X,MATCH($G63,绊状态确认!$B:$B,)))*$EW$32*$EW$30*(1-$EW$33)+$EW$26*(-HP($EW$62,$EW$65,$EW$64)+HP($EW$62,$EW$65,0.95*$EW$64)),0)</f>
        <v>-1780.0000000000005</v>
      </c>
      <c r="BL63" s="1111">
        <f t="shared" si="29"/>
        <v>0</v>
      </c>
      <c r="BM63" s="1110">
        <f t="shared" si="30"/>
        <v>0</v>
      </c>
      <c r="BN63" s="1113">
        <f t="shared" si="31"/>
        <v>3</v>
      </c>
      <c r="BO63" s="1097">
        <f t="shared" si="32"/>
        <v>4507.7214871259994</v>
      </c>
      <c r="BP63" s="1100">
        <f t="shared" si="33"/>
        <v>221.34103209030098</v>
      </c>
      <c r="BQ63" s="1113" t="s">
        <v>145</v>
      </c>
      <c r="BR63" s="1124" t="s">
        <v>146</v>
      </c>
      <c r="BS63" s="1098">
        <f>IF($P63="","N/A",IF($P63=-1,INDEX('卡片raw data'!AX:AX,MATCH($D63,'卡片raw data'!$F:$F,)),0)+IF($L63="party卡",IF($P63=5,INDEX('卡片raw data'!BD:BD,MATCH($D63,'卡片raw data'!$F:$F,)),IF($P63&gt;=3,INDEX('卡片raw data'!BC:BC,MATCH($D63,'卡片raw data'!$F:$F,)),INDEX('卡片raw data'!BB:BB,MATCH($D63,'卡片raw data'!$F:$F,)))),IF(OR(AND($F63="UR",$P63=0),AND($F63="SR",$P63&gt;=0,$P63&lt;=2),AND($F63="R",$P63&gt;=0,$P63&lt;4)),INDEX('卡片raw data'!AZ:AZ,MATCH($D63,'卡片raw data'!$F:$F,)),0)+IF(OR(AND($F63="UR",$P63&gt;=1,$P63&lt;=4),AND($F63="SR",$P63&lt;=4,$P63&gt;=3),AND($F63="R",$P63=4)),INDEX('卡片raw data'!BA:BA,MATCH($D63,'卡片raw data'!$F:$F,)),0)+IF($P63=5,INDEX('卡片raw data'!BB:BB,MATCH($D63,'卡片raw data'!$F:$F,)),0)))</f>
        <v>7.0000000000000007E-2</v>
      </c>
      <c r="BT63" s="1101">
        <f t="shared" si="34"/>
        <v>4952.2166430160187</v>
      </c>
      <c r="BU63" s="1097">
        <f t="shared" si="35"/>
        <v>358.20967007162113</v>
      </c>
      <c r="BV63" s="1097">
        <f t="shared" si="36"/>
        <v>0</v>
      </c>
      <c r="BW63" s="1112">
        <f t="shared" si="37"/>
        <v>0</v>
      </c>
      <c r="BX63" s="1100">
        <f t="shared" si="38"/>
        <v>4952.2166430160187</v>
      </c>
      <c r="BY63" s="1110">
        <f t="shared" si="39"/>
        <v>0</v>
      </c>
      <c r="BZ63" s="1107" t="s">
        <v>569</v>
      </c>
      <c r="CA63" s="1124"/>
      <c r="CB63" s="1098">
        <f>IF($P63="","N/A",IF($P63=-1,INDEX('卡片raw data'!BE:BE,MATCH($D63,'卡片raw data'!$F:$F,)),0)+IF($L63="party卡",IF($P63=5,INDEX('卡片raw data'!BK:BK,MATCH($D63,'卡片raw data'!$F:$F,)),IF($P63&gt;=3,INDEX('卡片raw data'!BJ:BJ,MATCH($D63,'卡片raw data'!$F:$F,)),INDEX('卡片raw data'!BI:BI,MATCH($D63,'卡片raw data'!$F:$F,)))),IF(OR(AND($F63="UR",$P63=0),AND($F63="SR",$P63&gt;=0,$P63&lt;=2),AND($F63="R",$P63&gt;=0,$P63&lt;4)),INDEX('卡片raw data'!BG:BG,MATCH($D63,'卡片raw data'!$F:$F,)),0)+IF(OR(AND($F63="UR",$P63&gt;=1,$P63&lt;=4),AND($F63="SR",$P63&lt;=4,$P63&gt;=3),AND($F63="R",$P63=4)),INDEX('卡片raw data'!BH:BH,MATCH($D63,'卡片raw data'!$F:$F,)),0)+IF($P63=5,INDEX('卡片raw data'!BI:BI,MATCH($D63,'卡片raw data'!$F:$F,)),0)))</f>
        <v>0</v>
      </c>
      <c r="CC63" s="1101">
        <f t="shared" si="40"/>
        <v>0</v>
      </c>
      <c r="CD63" s="1097">
        <f>IF(BZ63="ap",CB63*(1-$FI$26)*$FB$5/$FB$11*(+IF(CA63="全员",$FA$24,0)+IF(CA63="同作战",$FA$24,0)+IF(CA63="仲间",$FA$24*2/3,0)+IF(CA63="同属性",$FA$24*$FA$37/3,0)+IF(CA63="同年级",$FA$24*$FA$40/3,0)+IF(CA63="同学校",$FA$24*$FA$43/3,0)+IF(CA63="同小队",$FA$24*$FA$46/3,0)+IF(CA63="同type",$FA$24*INDEX($FB$49:$FB$52,MATCH(X63,$FA$49:$FA$52,))/3,0)+IF(CA63="自身",#REF!/3,0)),0)+IF(BZ63="te",CB63*(1-$FI$27)*($FA$20-1)*$FB$7/$FB$13*(+IF(CA63="全员",$FA$19*$FA$24/(1+($FA$20-1)*$FA$19),0)+IF(CA63="同作战",$FA$19*$FA$24/(1+($FA$20-1)*$FA$19),0)+IF(CA63="仲间",$FA$19*$FA$24*2/3/(1+($FA$20-1)*$FA$19),0)+IF(CA63="同属性",$FA$19*$FA$24*$FA$37/3/(1+($FA$20-1)*$FA$19),0)+IF(CA63="同年级",$FA$19*$FA$24*$FA$40/3/(1+($FA$20-1)*$FA$19),0)+IF(CA63="同学校",$FA$19*$FA$24*$FA$43/3/(1+($FA$20-1)*$FA$19),0)+IF(CA63="同小队",$FA$19*$FA$24*$FA$46/3/(1+($FA$20-1)*$FA$19),0)+IF(CA63="同type",$FA$19*$FA$24*INDEX($FB$49:$FB$52,MATCH(X63,$FA$49:$FA$52,))/3/(1+($FA$20-1)*$FA$19),0)+IF(CA63="自身",$FA$19*#REF!/3/(1+(BH63-1)*$BD63),0)),0)</f>
        <v>0</v>
      </c>
      <c r="CE63" s="1097">
        <f t="shared" si="41"/>
        <v>0</v>
      </c>
      <c r="CF63" s="1112">
        <f t="shared" si="42"/>
        <v>0</v>
      </c>
      <c r="CG63" s="1100">
        <f t="shared" si="43"/>
        <v>0</v>
      </c>
      <c r="CH63" s="1110">
        <f t="shared" si="44"/>
        <v>0</v>
      </c>
      <c r="CI63" s="1113" t="s">
        <v>165</v>
      </c>
      <c r="CJ63" s="1114">
        <v>0.3</v>
      </c>
      <c r="CK63" s="1115" t="s">
        <v>157</v>
      </c>
      <c r="CL63" s="1115" t="s">
        <v>161</v>
      </c>
      <c r="CM63" s="1119">
        <v>0.1</v>
      </c>
      <c r="CN63" s="1115">
        <v>15</v>
      </c>
      <c r="CO63" s="1092"/>
      <c r="CP63" s="1118">
        <f t="shared" si="45"/>
        <v>1.6071428571428569E-3</v>
      </c>
      <c r="CQ63" s="1118">
        <f t="shared" si="46"/>
        <v>2.4999999999999996E-3</v>
      </c>
      <c r="CR63" s="1118">
        <f t="shared" si="47"/>
        <v>1.6071428571428569E-3</v>
      </c>
      <c r="CS63" s="1118">
        <f t="shared" si="48"/>
        <v>0</v>
      </c>
      <c r="CT63" s="1109">
        <f t="shared" si="49"/>
        <v>0.515625</v>
      </c>
      <c r="CU63" s="1101">
        <f t="shared" si="50"/>
        <v>20.892857142857139</v>
      </c>
      <c r="CV63" s="1108">
        <f t="shared" si="51"/>
        <v>24.916666666666657</v>
      </c>
      <c r="CW63" s="1097">
        <f t="shared" si="52"/>
        <v>20.892857142857139</v>
      </c>
      <c r="CX63" s="1097">
        <f t="shared" si="53"/>
        <v>20.892857142857139</v>
      </c>
      <c r="CY63" s="1110">
        <f t="shared" si="54"/>
        <v>20.892857142857139</v>
      </c>
      <c r="CZ63" s="437"/>
      <c r="DA63" s="438"/>
      <c r="DB63" s="439" t="s">
        <v>569</v>
      </c>
      <c r="DC63" s="439"/>
      <c r="DD63" s="443"/>
      <c r="DE63" s="411"/>
      <c r="DF63" s="411"/>
      <c r="DG63" s="1116">
        <f t="shared" si="55"/>
        <v>0</v>
      </c>
      <c r="DH63" s="1116">
        <f t="shared" si="56"/>
        <v>0</v>
      </c>
      <c r="DI63" s="1116">
        <f t="shared" si="57"/>
        <v>0</v>
      </c>
      <c r="DJ63" s="442">
        <f t="shared" si="58"/>
        <v>0</v>
      </c>
      <c r="DK63" s="1109">
        <f t="shared" si="59"/>
        <v>0</v>
      </c>
      <c r="DL63" s="1101">
        <f t="shared" si="60"/>
        <v>0</v>
      </c>
      <c r="DM63" s="1097">
        <f t="shared" si="61"/>
        <v>0</v>
      </c>
      <c r="DN63" s="1097">
        <f t="shared" si="62"/>
        <v>0</v>
      </c>
      <c r="DO63" s="1097">
        <f t="shared" si="63"/>
        <v>0</v>
      </c>
      <c r="DP63" s="1110">
        <f t="shared" si="64"/>
        <v>0</v>
      </c>
      <c r="DQ63" s="1113" t="s">
        <v>156</v>
      </c>
      <c r="DR63" s="1120">
        <f t="shared" si="65"/>
        <v>0.33</v>
      </c>
      <c r="DS63" s="1124"/>
      <c r="DT63" s="1093" t="s">
        <v>179</v>
      </c>
      <c r="DU63" s="1093"/>
      <c r="DV63" s="1098">
        <f>IF($P63="","N/A",IF(P63=-1,INDEX('卡片raw data'!AN:AN,MATCH(D63,'卡片raw data'!$F:$F,)),0)+IF(AND(L63&lt;&gt;"party卡",P63&lt;=2,P63&gt;=0),INDEX('卡片raw data'!AP:AP,MATCH(D63,'卡片raw data'!$F:$F,)),0)+IF(OR(AND(L63="party卡",P63&lt;=1),AND(P63&lt;=4,L63&lt;&gt;"party卡",P63&gt;=3)),INDEX('卡片raw data'!AQ:AQ,MATCH(D63,'卡片raw data'!$F:$F,)),0)+IF(OR(P63=5,AND(L63="party卡",P63&gt;=2)),INDEX('卡片raw data'!AR:AR,MATCH(D63,'卡片raw data'!$F:$F,)),0))</f>
        <v>0.09</v>
      </c>
      <c r="DW63" s="1098">
        <f t="shared" si="66"/>
        <v>0.33</v>
      </c>
      <c r="DX63" s="1098">
        <f t="shared" si="67"/>
        <v>0.33</v>
      </c>
      <c r="DY63" s="1098">
        <f t="shared" si="68"/>
        <v>9.9000000000000008E-3</v>
      </c>
      <c r="DZ63" s="1098">
        <f t="shared" si="69"/>
        <v>9.8480249999999998E-3</v>
      </c>
      <c r="EA63" s="1098">
        <f t="shared" si="70"/>
        <v>0</v>
      </c>
      <c r="EB63" s="1121">
        <f t="shared" si="71"/>
        <v>60.337777499999987</v>
      </c>
      <c r="EC63" s="1101">
        <f t="shared" si="72"/>
        <v>4455</v>
      </c>
      <c r="ED63" s="1097">
        <f t="shared" si="73"/>
        <v>2462.0062499999999</v>
      </c>
      <c r="EE63" s="1110">
        <f t="shared" si="74"/>
        <v>4455</v>
      </c>
      <c r="EF63" s="1092" t="s">
        <v>711</v>
      </c>
      <c r="EG63" s="1120">
        <f t="shared" si="75"/>
        <v>0.33</v>
      </c>
      <c r="EH63" s="1124"/>
      <c r="EI63" s="1093"/>
      <c r="EJ63" s="1093"/>
      <c r="EK63" s="1097">
        <f>IF($P63="","N/A",IF(P63=-1,INDEX('卡片raw data'!AS:AS,MATCH(D63,'卡片raw data'!$F:$F,)),0)+IF(AND(L63&lt;&gt;"party卡",P63&lt;=2,P63&gt;=0),INDEX('卡片raw data'!AU:AU,MATCH(D63,'卡片raw data'!$F:$F,)),0)+IF(OR(AND(L63="party卡",P63&lt;=1),AND(P63&lt;=4,L63&lt;&gt;"party卡",P63&gt;=3)),INDEX('卡片raw data'!AV:AV,MATCH(D63,'卡片raw data'!$F:$F,)),0)+IF(OR(P63=5,AND(L63="party卡",P63&gt;=2)),INDEX('卡片raw data'!AW:AW,MATCH(D63,'卡片raw data'!$F:$F,)),0))</f>
        <v>0</v>
      </c>
      <c r="EL63" s="1098">
        <f t="shared" si="76"/>
        <v>0.33</v>
      </c>
      <c r="EM63" s="1098">
        <f t="shared" si="77"/>
        <v>0.33</v>
      </c>
      <c r="EN63" s="1125">
        <f t="shared" si="78"/>
        <v>0</v>
      </c>
      <c r="EO63" s="1125">
        <f t="shared" si="79"/>
        <v>0</v>
      </c>
      <c r="EP63" s="1098">
        <f t="shared" si="80"/>
        <v>0</v>
      </c>
      <c r="EQ63" s="1121">
        <f t="shared" si="81"/>
        <v>0</v>
      </c>
      <c r="ER63" s="1101">
        <f t="shared" si="82"/>
        <v>0</v>
      </c>
      <c r="ES63" s="1097">
        <f t="shared" si="83"/>
        <v>0</v>
      </c>
      <c r="ET63" s="1122">
        <f t="shared" si="84"/>
        <v>0</v>
      </c>
      <c r="EV63" s="1224" t="s">
        <v>6</v>
      </c>
      <c r="EW63" s="1330">
        <f>EX6*9</f>
        <v>85500</v>
      </c>
      <c r="EX63" s="1330"/>
      <c r="EY63" s="1232"/>
      <c r="EZ63" s="1222" t="s">
        <v>249</v>
      </c>
      <c r="FA63" s="1325">
        <f>HP(FA59,FA62,FA61)</f>
        <v>0.89039000000000001</v>
      </c>
      <c r="FB63" s="1325"/>
    </row>
    <row r="64" spans="2:166" ht="16.5" customHeight="1">
      <c r="B64" s="1123" t="str">
        <f>INDEX('卡片raw data'!B:B,MATCH($D64,'卡片raw data'!$F:$F,))</f>
        <v>校服丸</v>
      </c>
      <c r="C64" s="449" t="s">
        <v>124</v>
      </c>
      <c r="D64" s="408">
        <v>61</v>
      </c>
      <c r="E64" s="1090">
        <v>101071001</v>
      </c>
      <c r="F64" s="1090" t="str">
        <f>INDEX('卡片raw data'!C:C,MATCH($D64,'卡片raw data'!$F:$F,))</f>
        <v>R</v>
      </c>
      <c r="G64" s="1094" t="s">
        <v>344</v>
      </c>
      <c r="H64" s="411">
        <f>IFERROR(INDEX(绊状态确认!C:C,MATCH($G64,绊状态确认!$B:$B,)),"")</f>
        <v>107</v>
      </c>
      <c r="I64" s="450" t="str">
        <f>IFERROR(INDEX(绊状态确认!D:D,MATCH($G64,绊状态确认!$B:$B,)),"")</f>
        <v>水</v>
      </c>
      <c r="J64" s="450" t="str">
        <f>IFERROR(INDEX(绊状态确认!E:E,MATCH($G64,绊状态确认!$B:$B,)),"")</f>
        <v>1年级</v>
      </c>
      <c r="K64" s="451" t="str">
        <f>IFERROR(INDEX(绊状态确认!F:F,MATCH($G64,绊状态确认!$B:$B,)),"")</f>
        <v>AZALEA</v>
      </c>
      <c r="L64" s="1094" t="str">
        <f>INDEX('卡片raw data'!E:E,MATCH($D64,'卡片raw data'!$F:$F,))</f>
        <v>卡池卡</v>
      </c>
      <c r="M64" s="415">
        <v>43735</v>
      </c>
      <c r="N64" s="416">
        <v>0</v>
      </c>
      <c r="O64" s="1091" t="str">
        <f>INDEX('卡片raw data'!D:D,MATCH($D64,'卡片raw data'!$F:$F,))</f>
        <v>gd</v>
      </c>
      <c r="P64" s="417">
        <v>5</v>
      </c>
      <c r="Q64" s="1095">
        <f t="shared" si="0"/>
        <v>13101.995383973635</v>
      </c>
      <c r="R64" s="1096">
        <f t="shared" si="1"/>
        <v>0.152</v>
      </c>
      <c r="S64" s="1097">
        <f t="shared" si="2"/>
        <v>7348.4305663067626</v>
      </c>
      <c r="T64" s="1098">
        <f t="shared" si="3"/>
        <v>0.36699999999999999</v>
      </c>
      <c r="U64" s="1099">
        <f t="shared" si="4"/>
        <v>72.440650575714272</v>
      </c>
      <c r="V64" s="1100">
        <f t="shared" si="5"/>
        <v>18667.830286495217</v>
      </c>
      <c r="W64" s="1101">
        <f t="shared" si="6"/>
        <v>3005.1476580839999</v>
      </c>
      <c r="X64" s="1096">
        <f t="shared" si="7"/>
        <v>3.4000000000000002E-2</v>
      </c>
      <c r="Y64" s="1097">
        <f t="shared" si="8"/>
        <v>585.98385953647448</v>
      </c>
      <c r="Z64" s="1102">
        <f t="shared" si="9"/>
        <v>7.4406505757142849</v>
      </c>
      <c r="AA64" s="1103">
        <f t="shared" si="10"/>
        <v>3591.1315176204744</v>
      </c>
      <c r="AB64" s="1101">
        <f t="shared" si="11"/>
        <v>3005.1476580839999</v>
      </c>
      <c r="AC64" s="1104">
        <f t="shared" si="12"/>
        <v>3.4000000000000002E-2</v>
      </c>
      <c r="AD64" s="1105">
        <f t="shared" si="13"/>
        <v>-3.8207812500000026E-3</v>
      </c>
      <c r="AE64" s="1128">
        <f t="shared" si="14"/>
        <v>-28.942028985507246</v>
      </c>
      <c r="AF64" s="1130">
        <f t="shared" si="15"/>
        <v>859.16036020000001</v>
      </c>
      <c r="AG64" s="420">
        <f t="shared" si="16"/>
        <v>109487.86779600001</v>
      </c>
      <c r="AH64" s="420">
        <f t="shared" si="17"/>
        <v>127.43589307415536</v>
      </c>
      <c r="AI64" s="1097">
        <f t="shared" si="18"/>
        <v>-141573.84249298472</v>
      </c>
      <c r="AJ64" s="420">
        <f t="shared" si="19"/>
        <v>18667.830286495217</v>
      </c>
      <c r="AK64" s="518">
        <f t="shared" si="20"/>
        <v>-160241.67277947994</v>
      </c>
      <c r="AL64" s="1106">
        <f>IF($P64="","N/A",(IF($P64=-1,INDEX('卡片raw data'!S:S,MATCH($D64,'卡片raw data'!$F:$F,)),0)+IF($P64=0,INDEX('卡片raw data'!V:V,MATCH($D64,'卡片raw data'!$F:$F,)),0)+IF($P64=1,INDEX('卡片raw data'!Y:Y,MATCH($D64,'卡片raw data'!$F:$F,)),0)+IF($P64=2,INDEX('卡片raw data'!AB:AB,MATCH($D64,'卡片raw data'!$F:$F,)),0)+IF($P64=3,INDEX('卡片raw data'!AE:AE,MATCH($D64,'卡片raw data'!$F:$F,)),0)+IF($P64=4,INDEX('卡片raw data'!AH:AH,MATCH($D64,'卡片raw data'!$F:$F,)),0)+IF($P64=5,INDEX('卡片raw data'!AK:AK,MATCH($D64,'卡片raw data'!$F:$F,)),0)+INDEX('卡片raw data'!S:S,MATCH($D64,'卡片raw data'!$F:$F,))*(IF($F64="UR",0.04,0.033))*(IF($F64="UR",INDEX(绊状态确认!$S:$S,MATCH($G64,绊状态确认!$B:$B,))/2-40)+IF($F64="SR",INDEX(绊状态确认!$R:$R,MATCH($G64,绊状态确认!$B:$B,))/4-15))+IF($F64="R",INDEX(绊状态确认!$Q:$Q,MATCH($G64,绊状态确认!$B:$B,))/6-40/6)))*(INDEX(绊状态确认!$H:$H,MATCH($G64,绊状态确认!$B:$B,))+INDEX(绊状态确认!J:J,MATCH($G64,绊状态确认!$B:$B,)))</f>
        <v>3601.2515999999996</v>
      </c>
      <c r="AM64" s="1106">
        <f>IF($P64="","N/A",(IF($P64=-1,INDEX('卡片raw data'!T:T,MATCH($D64,'卡片raw data'!$F:$F,)),0)+IF($P64=0,INDEX('卡片raw data'!W:W,MATCH($D64,'卡片raw data'!$F:$F,)),0)+IF($P64=1,INDEX('卡片raw data'!Z:Z,MATCH($D64,'卡片raw data'!$F:$F,)),0)+IF($P64=2,INDEX('卡片raw data'!AC:AC,MATCH($D64,'卡片raw data'!$F:$F,)),0)+IF($P64=3,INDEX('卡片raw data'!AF:AF,MATCH($D64,'卡片raw data'!$F:$F,)),0)+IF($P64=4,INDEX('卡片raw data'!AI:AI,MATCH($D64,'卡片raw data'!$F:$F,)),0)+IF($P64=5,INDEX('卡片raw data'!AL:AL,MATCH($D64,'卡片raw data'!$F:$F,)),0)+INDEX('卡片raw data'!T:T,MATCH($D64,'卡片raw data'!$F:$F,))*(IF($F64="UR",0.04,0.033))*(IF($F64="UR",INDEX(绊状态确认!$S:$S,MATCH($G64,绊状态确认!$B:$B,))/2-40)+IF($F64="SR",INDEX(绊状态确认!$R:$R,MATCH($G64,绊状态确认!$B:$B,))/4-15))+IF($F64="R",INDEX(绊状态确认!$Q:$Q,MATCH($G64,绊状态确认!$B:$B,))/6-40/6)))*(INDEX(绊状态确认!$H:$H,MATCH($G64,绊状态确认!$B:$B,))+INDEX(绊状态确认!K:K,MATCH($G64,绊状态确认!$B:$B,)))</f>
        <v>2402.3495999999996</v>
      </c>
      <c r="AN64" s="1106">
        <f>IF($P64="","N/A",(IF($P64=-1,INDEX('卡片raw data'!U:U,MATCH($D64,'卡片raw data'!$F:$F,)),0)+IF($P64=0,INDEX('卡片raw data'!X:X,MATCH($D64,'卡片raw data'!$F:$F,)),0)+IF($P64=1,INDEX('卡片raw data'!AA:AA,MATCH($D64,'卡片raw data'!$F:$F,)),0)+IF($P64=2,INDEX('卡片raw data'!AD:AD,MATCH($D64,'卡片raw data'!$F:$F,)),0)+IF($P64=3,INDEX('卡片raw data'!AG:AG,MATCH($D64,'卡片raw data'!$F:$F,)),0)+IF($P64=4,INDEX('卡片raw data'!AJ:AJ,MATCH($D64,'卡片raw data'!$F:$F,)),0)+IF($P64=5,INDEX('卡片raw data'!AM:AM,MATCH($D64,'卡片raw data'!$F:$F,)),0)+INDEX('卡片raw data'!U:U,MATCH($D64,'卡片raw data'!$F:$F,))*(IF($F64="UR",0.04,0.033))*(IF($F64="UR",INDEX(绊状态确认!$S:$S,MATCH($G64,绊状态确认!$B:$B,))/2-40)+IF($F64="SR",INDEX(绊状态确认!$R:$R,MATCH($G64,绊状态确认!$B:$B,))/4-15))+IF($F64="R",INDEX(绊状态确认!$Q:$Q,MATCH($G64,绊状态确认!$B:$B,))/6-40/6)))*(INDEX(绊状态确认!$H:$H,MATCH($G64,绊状态确认!$B:$B,))+INDEX(绊状态确认!L:L,MATCH($G64,绊状态确认!$B:$B,)))</f>
        <v>6000.1919999999991</v>
      </c>
      <c r="AO64" s="1107">
        <f t="shared" si="21"/>
        <v>1</v>
      </c>
      <c r="AP64" s="1131">
        <f>1+(INDEX(绊状态确认!$T:$T,MATCH($G64,绊状态确认!$B:$B,))+0.2)*$AO64</f>
        <v>1.3</v>
      </c>
      <c r="AQ64" s="1108">
        <f t="shared" si="22"/>
        <v>12703.285449999999</v>
      </c>
      <c r="AR64" s="1097">
        <f>(AM64*(1+$EX$9)+$EX$35)*(1+(INDEX(绊状态确认!$T:$T,MATCH($G64,绊状态确认!$B:$B,))+0.2)*AO64)*IF(J64=$FF$17,1+$FE$17,1)*IF(I64=$FF$14,1+$FE$14,1)</f>
        <v>5983.2072039999994</v>
      </c>
      <c r="AS64" s="1097">
        <f>(AN64*(1+$EX$10)+$EX$36)*(1+(INDEX(绊状态确认!$T:$T,MATCH($G64,绊状态确认!$B:$B,))+0.2)*AO64)*IF(J64=$FF$17,1+$FE$17,1)*IF(I64=$FF$14,1+$FE$14,1)</f>
        <v>13026.287039999999</v>
      </c>
      <c r="AT64" s="1093">
        <f>IF(AND(INDEX('卡片raw data'!AK:AK,MATCH($D64,'卡片raw data'!$F:$F,))&lt;INDEX('卡片raw data'!AM:AM,MATCH($D64,'卡片raw data'!$F:$F,)),INDEX('卡片raw data'!AL:AL,MATCH($D64,'卡片raw data'!$F:$F,))&lt;INDEX('卡片raw data'!AM:AM,MATCH($D64,'卡片raw data'!$F:$F,))),1,0)</f>
        <v>1</v>
      </c>
      <c r="AU64" s="1098">
        <f>MIN(AT64*0.15+AS64*0.00003+INDEX(绊状态确认!M:M,MATCH($G64,绊状态确认!$B:$B,)),1)</f>
        <v>0.57078861120000002</v>
      </c>
      <c r="AV64" s="1109">
        <f>(INDEX(绊状态确认!$N:$N,MATCH($G64,绊状态确认!$B:$B,))+1.5)*$EW$21</f>
        <v>2.6599999999999997</v>
      </c>
      <c r="AW64" s="1101">
        <f t="shared" si="23"/>
        <v>12848.514392556301</v>
      </c>
      <c r="AX64" s="1097">
        <f t="shared" si="24"/>
        <v>505.61600774081859</v>
      </c>
      <c r="AY64" s="1110">
        <f t="shared" si="25"/>
        <v>13354.130400297119</v>
      </c>
      <c r="AZ64" s="429">
        <f t="shared" si="26"/>
        <v>9622.4406199999994</v>
      </c>
      <c r="BA64" s="431">
        <f t="shared" si="27"/>
        <v>11546.928743999999</v>
      </c>
      <c r="BB64" s="1097">
        <f>(AM64*(1+$FB$9)+$FB$35)*(1+(INDEX(绊状态确认!$T:$T,MATCH($G64,绊状态确认!$B:$B,))+0.2)*AO64)*IF(J64=$FF$17,1+$FE$17,1)*IF(I64=$FF$14,1+$FE$14,1)*(1+$FE$15)</f>
        <v>5983.2072039999994</v>
      </c>
      <c r="BC64" s="1097">
        <f>(AN64*(1+$FB$10)+$FB$36)*(1+(INDEX(绊状态确认!$T:$T,MATCH($G64,绊状态确认!$B:$B,))+0.2)*AO64)*IF(J64=$FF$17,1+$FE$17,1)*IF(I64=$FF$14,1+$FE$14,1)*(1+$FE$15)</f>
        <v>13026.287039999999</v>
      </c>
      <c r="BD64" s="1104">
        <f>MIN(AT64*0.15+BC64*0.00003+INDEX(绊状态确认!M:M,MATCH($G64,绊状态确认!$B:$B,)),1)</f>
        <v>0.57078861120000002</v>
      </c>
      <c r="BE64" s="432">
        <f>(INDEX(绊状态确认!$N:$N,MATCH($G64,绊状态确认!$B:$B,))+1.5)</f>
        <v>1.9</v>
      </c>
      <c r="BF64" s="1139">
        <f t="array" ref="BF64">SUMPRODUCT(IF(AZ64*AP64*$FI$16:$FI$23*$FA$22&gt;=$FI$24,$FI$24,AZ64*AP64*$FI$16:$FI$23*$FA$22),$FJ$16:$FJ$23)</f>
        <v>19139.034393180002</v>
      </c>
      <c r="BG64" s="1125">
        <f t="array" ref="BG64">SUMPRODUCT(IF(BE64*AZ64*AP64*$FI$16:$FI$23*$FA$22&gt;=$FI$24,$FI$24,BE64*AZ64*AP64*$FI$16:$FI$23*$FA$22),$FJ$16:$FJ$23)</f>
        <v>36364.165347041999</v>
      </c>
      <c r="BH64" s="1110">
        <f t="shared" si="28"/>
        <v>9656.980989357673</v>
      </c>
      <c r="BI64" s="1111">
        <f>IF(O64="vo",$EW$26/$EW$24*0.05,0)+IF(O64="sk",-$EW$26/$EW$24*(0.05-INDEX(绊状态确认!W:W,MATCH($G64,绊状态确认!$B:$B,)))+0.05*$EW$28,0)+IF(O64="sp",0.05*$EW$32*$EW$30*(1-$EW$33)-(0.05-INDEX(绊状态确认!V:V,MATCH($G64,绊状态确认!$B:$B,)))*$EW$28,0)+IF(O64="gd",-(0.05-INDEX(绊状态确认!X:X,MATCH($G64,绊状态确认!$B:$B,)))*$EW$32*$EW$30*(1-$EW$33),0)</f>
        <v>-585.00000000000011</v>
      </c>
      <c r="BJ64" s="1097">
        <f>IF(O64="vo",0.05*(1-$FI$26)*$FA$24,0)+IF(O64="sk",-(0.05-INDEX(绊状态确认!W:W,MATCH($G64,绊状态确认!$B:$B,)))*(1-$FI$26)*$FA$24+0.05*$FA$26,0)+IF(O64="sp",0.05*$FA$32*$FA$27*(1-$FA$33)/$FA$30+0.05*$FA$29/$FA$69*$FA$27*(1-$FA$33)-(0.05-INDEX(绊状态确认!V:V,MATCH($G64,绊状态确认!$B:$B,)))*$FA$26,0)+IF(O64="gd",-(0.05-INDEX(绊状态确认!X:X,MATCH($G64,绊状态确认!$B:$B,)))*$FA$32*$FA$27*(1-$FA$33)/$FA$30-(0.05-INDEX(绊状态确认!X:X,MATCH($G64,绊状态确认!$B:$B,)))*$FA$29/$FA$69*$FA$27*(1-$FA$33),0)</f>
        <v>-795.00000000000011</v>
      </c>
      <c r="BK64" s="1110">
        <f>IF(O64="vo",$EW$26/$EW$24*0.05+$EW$26*(-HP($EW$62,$EW$65,$EW$64)+HP($EW$62,$EW$65,(1.05-INDEX(绊状态确认!U:U,MATCH($G64,绊状态确认!$B:$B,)))*$EW$64)),0)+IF(O64="sk",-$EW$26/$EW$24*(0.05-INDEX(绊状态确认!W:W,MATCH($G64,绊状态确认!$B:$B,)))+0.05*$EW$29,0)+IF(O64="sp",0.05*$EW$32*$EW$30*(1-$EW$33)-(0.05-INDEX(绊状态确认!V:V,MATCH($G64,绊状态确认!$B:$B,)))*$EW$29,0)+IF(O64="gd",-(0.05-INDEX(绊状态确认!X:X,MATCH($G64,绊状态确认!$B:$B,)))*$EW$32*$EW$30*(1-$EW$33)+$EW$26*(-HP($EW$62,$EW$65,$EW$64)+HP($EW$62,$EW$65,0.95*$EW$64)),0)</f>
        <v>1009.5947725176144</v>
      </c>
      <c r="BL64" s="1111">
        <f t="shared" si="29"/>
        <v>-2166.6666666666665</v>
      </c>
      <c r="BM64" s="1110">
        <f t="shared" si="30"/>
        <v>-1661.1111111111109</v>
      </c>
      <c r="BN64" s="1113">
        <f t="shared" si="31"/>
        <v>2</v>
      </c>
      <c r="BO64" s="1097">
        <f t="shared" si="32"/>
        <v>3005.1476580839999</v>
      </c>
      <c r="BP64" s="1100">
        <f t="shared" si="33"/>
        <v>147.56068806020068</v>
      </c>
      <c r="BQ64" s="1113" t="s">
        <v>618</v>
      </c>
      <c r="BR64" s="1124" t="s">
        <v>171</v>
      </c>
      <c r="BS64" s="1098">
        <f>IF($P64="","N/A",IF($P64=-1,INDEX('卡片raw data'!AX:AX,MATCH($D64,'卡片raw data'!$F:$F,)),0)+IF($L64="party卡",IF($P64=5,INDEX('卡片raw data'!BD:BD,MATCH($D64,'卡片raw data'!$F:$F,)),IF($P64&gt;=3,INDEX('卡片raw data'!BC:BC,MATCH($D64,'卡片raw data'!$F:$F,)),INDEX('卡片raw data'!BB:BB,MATCH($D64,'卡片raw data'!$F:$F,)))),IF(OR(AND($F64="UR",$P64=0),AND($F64="SR",$P64&gt;=0,$P64&lt;=2),AND($F64="R",$P64&gt;=0,$P64&lt;4)),INDEX('卡片raw data'!AZ:AZ,MATCH($D64,'卡片raw data'!$F:$F,)),0)+IF(OR(AND($F64="UR",$P64&gt;=1,$P64&lt;=4),AND($F64="SR",$P64&lt;=4,$P64&gt;=3),AND($F64="R",$P64=4)),INDEX('卡片raw data'!BA:BA,MATCH($D64,'卡片raw data'!$F:$F,)),0)+IF($P64=5,INDEX('卡片raw data'!BB:BB,MATCH($D64,'卡片raw data'!$F:$F,)),0)))</f>
        <v>2.1999999999999999E-2</v>
      </c>
      <c r="BT64" s="1101">
        <f t="shared" si="34"/>
        <v>0</v>
      </c>
      <c r="BU64" s="1097">
        <f t="shared" si="35"/>
        <v>0</v>
      </c>
      <c r="BV64" s="1097">
        <f t="shared" si="36"/>
        <v>0</v>
      </c>
      <c r="BW64" s="1112">
        <f t="shared" si="37"/>
        <v>1.0300714285714283</v>
      </c>
      <c r="BX64" s="1100">
        <f t="shared" si="38"/>
        <v>80.367851795655781</v>
      </c>
      <c r="BY64" s="1110">
        <f t="shared" si="39"/>
        <v>80.367851795655781</v>
      </c>
      <c r="BZ64" s="1107" t="s">
        <v>569</v>
      </c>
      <c r="CA64" s="1124"/>
      <c r="CB64" s="1098">
        <f>IF($P64="","N/A",IF($P64=-1,INDEX('卡片raw data'!BE:BE,MATCH($D64,'卡片raw data'!$F:$F,)),0)+IF($L64="party卡",IF($P64=5,INDEX('卡片raw data'!BK:BK,MATCH($D64,'卡片raw data'!$F:$F,)),IF($P64&gt;=3,INDEX('卡片raw data'!BJ:BJ,MATCH($D64,'卡片raw data'!$F:$F,)),INDEX('卡片raw data'!BI:BI,MATCH($D64,'卡片raw data'!$F:$F,)))),IF(OR(AND($F64="UR",$P64=0),AND($F64="SR",$P64&gt;=0,$P64&lt;=2),AND($F64="R",$P64&gt;=0,$P64&lt;4)),INDEX('卡片raw data'!BG:BG,MATCH($D64,'卡片raw data'!$F:$F,)),0)+IF(OR(AND($F64="UR",$P64&gt;=1,$P64&lt;=4),AND($F64="SR",$P64&lt;=4,$P64&gt;=3),AND($F64="R",$P64=4)),INDEX('卡片raw data'!BH:BH,MATCH($D64,'卡片raw data'!$F:$F,)),0)+IF($P64=5,INDEX('卡片raw data'!BI:BI,MATCH($D64,'卡片raw data'!$F:$F,)),0)))</f>
        <v>0</v>
      </c>
      <c r="CC64" s="1101">
        <f t="shared" si="40"/>
        <v>0</v>
      </c>
      <c r="CD64" s="1097">
        <f>IF(BZ64="ap",CB64*(1-$FI$26)*$FB$5/$FB$11*(+IF(CA64="全员",$FA$24,0)+IF(CA64="同作战",$FA$24,0)+IF(CA64="仲间",$FA$24*2/3,0)+IF(CA64="同属性",$FA$24*$FA$37/3,0)+IF(CA64="同年级",$FA$24*$FA$40/3,0)+IF(CA64="同学校",$FA$24*$FA$43/3,0)+IF(CA64="同小队",$FA$24*$FA$46/3,0)+IF(CA64="同type",$FA$24*INDEX($FB$49:$FB$52,MATCH(X64,$FA$49:$FA$52,))/3,0)+IF(CA64="自身",#REF!/3,0)),0)+IF(BZ64="te",CB64*(1-$FI$27)*($FA$20-1)*$FB$7/$FB$13*(+IF(CA64="全员",$FA$19*$FA$24/(1+($FA$20-1)*$FA$19),0)+IF(CA64="同作战",$FA$19*$FA$24/(1+($FA$20-1)*$FA$19),0)+IF(CA64="仲间",$FA$19*$FA$24*2/3/(1+($FA$20-1)*$FA$19),0)+IF(CA64="同属性",$FA$19*$FA$24*$FA$37/3/(1+($FA$20-1)*$FA$19),0)+IF(CA64="同年级",$FA$19*$FA$24*$FA$40/3/(1+($FA$20-1)*$FA$19),0)+IF(CA64="同学校",$FA$19*$FA$24*$FA$43/3/(1+($FA$20-1)*$FA$19),0)+IF(CA64="同小队",$FA$19*$FA$24*$FA$46/3/(1+($FA$20-1)*$FA$19),0)+IF(CA64="同type",$FA$19*$FA$24*INDEX($FB$49:$FB$52,MATCH(X64,$FA$49:$FA$52,))/3/(1+($FA$20-1)*$FA$19),0)+IF(CA64="自身",$FA$19*#REF!/3/(1+(BH64-1)*$BD64),0)),0)</f>
        <v>0</v>
      </c>
      <c r="CE64" s="1097">
        <f t="shared" si="41"/>
        <v>0</v>
      </c>
      <c r="CF64" s="1112">
        <f t="shared" si="42"/>
        <v>0</v>
      </c>
      <c r="CG64" s="1100">
        <f t="shared" si="43"/>
        <v>0</v>
      </c>
      <c r="CH64" s="1110">
        <f t="shared" si="44"/>
        <v>0</v>
      </c>
      <c r="CI64" s="1113"/>
      <c r="CJ64" s="1114"/>
      <c r="CK64" s="1115" t="s">
        <v>569</v>
      </c>
      <c r="CL64" s="1115"/>
      <c r="CM64" s="1119"/>
      <c r="CN64" s="1115"/>
      <c r="CO64" s="1092"/>
      <c r="CP64" s="1117">
        <f t="shared" si="45"/>
        <v>0</v>
      </c>
      <c r="CQ64" s="1117">
        <f t="shared" si="46"/>
        <v>0</v>
      </c>
      <c r="CR64" s="1117">
        <f t="shared" si="47"/>
        <v>0</v>
      </c>
      <c r="CS64" s="1118">
        <f t="shared" si="48"/>
        <v>0</v>
      </c>
      <c r="CT64" s="1109">
        <f t="shared" si="49"/>
        <v>0</v>
      </c>
      <c r="CU64" s="1101">
        <f t="shared" si="50"/>
        <v>0</v>
      </c>
      <c r="CV64" s="1108">
        <f t="shared" si="51"/>
        <v>0</v>
      </c>
      <c r="CW64" s="1097">
        <f t="shared" si="52"/>
        <v>0</v>
      </c>
      <c r="CX64" s="1097">
        <f t="shared" si="53"/>
        <v>0</v>
      </c>
      <c r="CY64" s="1110">
        <f t="shared" si="54"/>
        <v>0</v>
      </c>
      <c r="CZ64" s="437"/>
      <c r="DA64" s="438"/>
      <c r="DB64" s="439" t="s">
        <v>569</v>
      </c>
      <c r="DC64" s="439"/>
      <c r="DD64" s="443"/>
      <c r="DE64" s="411"/>
      <c r="DF64" s="411"/>
      <c r="DG64" s="1116">
        <f t="shared" si="55"/>
        <v>0</v>
      </c>
      <c r="DH64" s="1116">
        <f t="shared" si="56"/>
        <v>0</v>
      </c>
      <c r="DI64" s="1116">
        <f t="shared" si="57"/>
        <v>0</v>
      </c>
      <c r="DJ64" s="442">
        <f t="shared" si="58"/>
        <v>0</v>
      </c>
      <c r="DK64" s="1109">
        <f t="shared" si="59"/>
        <v>0</v>
      </c>
      <c r="DL64" s="1101">
        <f t="shared" si="60"/>
        <v>0</v>
      </c>
      <c r="DM64" s="1097">
        <f t="shared" si="61"/>
        <v>0</v>
      </c>
      <c r="DN64" s="1097">
        <f t="shared" si="62"/>
        <v>0</v>
      </c>
      <c r="DO64" s="1097">
        <f t="shared" si="63"/>
        <v>0</v>
      </c>
      <c r="DP64" s="1110">
        <f t="shared" si="64"/>
        <v>0</v>
      </c>
      <c r="DQ64" s="1113" t="s">
        <v>636</v>
      </c>
      <c r="DR64" s="1120">
        <f t="shared" si="65"/>
        <v>0.3</v>
      </c>
      <c r="DS64" s="1124"/>
      <c r="DT64" s="1093" t="s">
        <v>546</v>
      </c>
      <c r="DU64" s="1093"/>
      <c r="DV64" s="1097">
        <f>IF($P64="","N/A",IF(P64=-1,INDEX('卡片raw data'!AN:AN,MATCH(D64,'卡片raw data'!$F:$F,)),0)+IF(AND(L64&lt;&gt;"party卡",P64&lt;=2,P64&gt;=0),INDEX('卡片raw data'!AP:AP,MATCH(D64,'卡片raw data'!$F:$F,)),0)+IF(OR(AND(L64="party卡",P64&lt;=1),AND(P64&lt;=4,L64&lt;&gt;"party卡",P64&gt;=3)),INDEX('卡片raw data'!AQ:AQ,MATCH(D64,'卡片raw data'!$F:$F,)),0)+IF(OR(P64=5,AND(L64="party卡",P64&gt;=2)),INDEX('卡片raw data'!AR:AR,MATCH(D64,'卡片raw data'!$F:$F,)),0))</f>
        <v>400</v>
      </c>
      <c r="DW64" s="1098">
        <f t="shared" si="66"/>
        <v>0.3</v>
      </c>
      <c r="DX64" s="1098">
        <f t="shared" si="67"/>
        <v>0.3</v>
      </c>
      <c r="DY64" s="1125">
        <f t="shared" si="68"/>
        <v>40</v>
      </c>
      <c r="DZ64" s="1125">
        <f t="shared" si="69"/>
        <v>34.6</v>
      </c>
      <c r="EA64" s="1098">
        <f t="shared" si="70"/>
        <v>0</v>
      </c>
      <c r="EB64" s="1121">
        <f t="shared" si="71"/>
        <v>0</v>
      </c>
      <c r="EC64" s="1101">
        <f t="shared" si="72"/>
        <v>0</v>
      </c>
      <c r="ED64" s="1097">
        <f t="shared" si="73"/>
        <v>0</v>
      </c>
      <c r="EE64" s="1110">
        <f t="shared" si="74"/>
        <v>3385.2562704674956</v>
      </c>
      <c r="EF64" s="1092" t="s">
        <v>711</v>
      </c>
      <c r="EG64" s="1120">
        <f t="shared" si="75"/>
        <v>0.3</v>
      </c>
      <c r="EH64" s="1124"/>
      <c r="EI64" s="1093"/>
      <c r="EJ64" s="1093"/>
      <c r="EK64" s="1097">
        <f>IF($P64="","N/A",IF(P64=-1,INDEX('卡片raw data'!AS:AS,MATCH(D64,'卡片raw data'!$F:$F,)),0)+IF(AND(L64&lt;&gt;"party卡",P64&lt;=2,P64&gt;=0),INDEX('卡片raw data'!AU:AU,MATCH(D64,'卡片raw data'!$F:$F,)),0)+IF(OR(AND(L64="party卡",P64&lt;=1),AND(P64&lt;=4,L64&lt;&gt;"party卡",P64&gt;=3)),INDEX('卡片raw data'!AV:AV,MATCH(D64,'卡片raw data'!$F:$F,)),0)+IF(OR(P64=5,AND(L64="party卡",P64&gt;=2)),INDEX('卡片raw data'!AW:AW,MATCH(D64,'卡片raw data'!$F:$F,)),0))</f>
        <v>0</v>
      </c>
      <c r="EL64" s="1098">
        <f t="shared" si="76"/>
        <v>0.3</v>
      </c>
      <c r="EM64" s="1098">
        <f t="shared" si="77"/>
        <v>0.3</v>
      </c>
      <c r="EN64" s="1125">
        <f t="shared" si="78"/>
        <v>0</v>
      </c>
      <c r="EO64" s="1125">
        <f t="shared" si="79"/>
        <v>0</v>
      </c>
      <c r="EP64" s="1098">
        <f t="shared" si="80"/>
        <v>0</v>
      </c>
      <c r="EQ64" s="1121">
        <f t="shared" si="81"/>
        <v>0</v>
      </c>
      <c r="ER64" s="1101">
        <f t="shared" si="82"/>
        <v>0</v>
      </c>
      <c r="ES64" s="1097">
        <f t="shared" si="83"/>
        <v>0</v>
      </c>
      <c r="ET64" s="1122">
        <f t="shared" si="84"/>
        <v>0</v>
      </c>
      <c r="EV64" s="1224" t="s">
        <v>1926</v>
      </c>
      <c r="EW64" s="1330">
        <v>500</v>
      </c>
      <c r="EX64" s="1330"/>
      <c r="EY64" s="1232"/>
      <c r="EZ64" s="1225" t="s">
        <v>2122</v>
      </c>
      <c r="FA64" s="1387">
        <v>0.75</v>
      </c>
      <c r="FB64" s="1388"/>
    </row>
    <row r="65" spans="2:158" ht="16.5" customHeight="1">
      <c r="B65" s="1123" t="str">
        <f>INDEX('卡片raw data'!B:B,MATCH($D65,'卡片raw data'!$F:$F,))</f>
        <v>练习丸</v>
      </c>
      <c r="C65" s="449" t="s">
        <v>66</v>
      </c>
      <c r="D65" s="408">
        <v>62</v>
      </c>
      <c r="E65" s="1090">
        <v>101071002</v>
      </c>
      <c r="F65" s="1090" t="str">
        <f>INDEX('卡片raw data'!C:C,MATCH($D65,'卡片raw data'!$F:$F,))</f>
        <v>R</v>
      </c>
      <c r="G65" s="1094" t="s">
        <v>39</v>
      </c>
      <c r="H65" s="411">
        <f>IFERROR(INDEX(绊状态确认!C:C,MATCH($G65,绊状态确认!$B:$B,)),"")</f>
        <v>107</v>
      </c>
      <c r="I65" s="450" t="str">
        <f>IFERROR(INDEX(绊状态确认!D:D,MATCH($G65,绊状态确认!$B:$B,)),"")</f>
        <v>水</v>
      </c>
      <c r="J65" s="450" t="str">
        <f>IFERROR(INDEX(绊状态确认!E:E,MATCH($G65,绊状态确认!$B:$B,)),"")</f>
        <v>1年级</v>
      </c>
      <c r="K65" s="451" t="str">
        <f>IFERROR(INDEX(绊状态确认!F:F,MATCH($G65,绊状态确认!$B:$B,)),"")</f>
        <v>AZALEA</v>
      </c>
      <c r="L65" s="1094" t="str">
        <f>INDEX('卡片raw data'!E:E,MATCH($D65,'卡片raw data'!$F:$F,))</f>
        <v>卡池卡</v>
      </c>
      <c r="M65" s="415">
        <v>43735</v>
      </c>
      <c r="N65" s="416">
        <v>0</v>
      </c>
      <c r="O65" s="1091" t="str">
        <f>INDEX('卡片raw data'!D:D,MATCH($D65,'卡片raw data'!$F:$F,))</f>
        <v>vo</v>
      </c>
      <c r="P65" s="417">
        <v>5</v>
      </c>
      <c r="Q65" s="1095">
        <f t="shared" si="0"/>
        <v>20408.327868274944</v>
      </c>
      <c r="R65" s="1096">
        <f t="shared" si="1"/>
        <v>0.23699999999999999</v>
      </c>
      <c r="S65" s="1097">
        <f t="shared" si="2"/>
        <v>8274.2817245502556</v>
      </c>
      <c r="T65" s="1098">
        <f t="shared" si="3"/>
        <v>0.41299999999999998</v>
      </c>
      <c r="U65" s="1099">
        <f t="shared" si="4"/>
        <v>-13.805158051428572</v>
      </c>
      <c r="V65" s="1100">
        <f t="shared" si="5"/>
        <v>19991.217493755008</v>
      </c>
      <c r="W65" s="1101">
        <f t="shared" si="6"/>
        <v>3005.1476580839999</v>
      </c>
      <c r="X65" s="1096">
        <f t="shared" si="7"/>
        <v>3.4000000000000002E-2</v>
      </c>
      <c r="Y65" s="1097">
        <f t="shared" si="8"/>
        <v>887.55807572176218</v>
      </c>
      <c r="Z65" s="1102">
        <f t="shared" si="9"/>
        <v>11.194841948571428</v>
      </c>
      <c r="AA65" s="1103">
        <f t="shared" si="10"/>
        <v>3892.7057338057621</v>
      </c>
      <c r="AB65" s="1101">
        <f t="shared" si="11"/>
        <v>3005.1476580839999</v>
      </c>
      <c r="AC65" s="1104">
        <f t="shared" si="12"/>
        <v>3.4000000000000002E-2</v>
      </c>
      <c r="AD65" s="1105">
        <f t="shared" si="13"/>
        <v>-3.8207812500000026E-3</v>
      </c>
      <c r="AE65" s="1128">
        <f t="shared" si="14"/>
        <v>-22.692028985507246</v>
      </c>
      <c r="AF65" s="1130">
        <f t="shared" si="15"/>
        <v>0</v>
      </c>
      <c r="AG65" s="420">
        <f t="shared" si="16"/>
        <v>0</v>
      </c>
      <c r="AH65" s="420">
        <f t="shared" si="17"/>
        <v>0</v>
      </c>
      <c r="AI65" s="1097">
        <f t="shared" si="18"/>
        <v>0</v>
      </c>
      <c r="AJ65" s="420">
        <f t="shared" si="19"/>
        <v>0</v>
      </c>
      <c r="AK65" s="518">
        <f t="shared" si="20"/>
        <v>0</v>
      </c>
      <c r="AL65" s="1106">
        <f>IF($P65="","N/A",(IF($P65=-1,INDEX('卡片raw data'!S:S,MATCH($D65,'卡片raw data'!$F:$F,)),0)+IF($P65=0,INDEX('卡片raw data'!V:V,MATCH($D65,'卡片raw data'!$F:$F,)),0)+IF($P65=1,INDEX('卡片raw data'!Y:Y,MATCH($D65,'卡片raw data'!$F:$F,)),0)+IF($P65=2,INDEX('卡片raw data'!AB:AB,MATCH($D65,'卡片raw data'!$F:$F,)),0)+IF($P65=3,INDEX('卡片raw data'!AE:AE,MATCH($D65,'卡片raw data'!$F:$F,)),0)+IF($P65=4,INDEX('卡片raw data'!AH:AH,MATCH($D65,'卡片raw data'!$F:$F,)),0)+IF($P65=5,INDEX('卡片raw data'!AK:AK,MATCH($D65,'卡片raw data'!$F:$F,)),0)+INDEX('卡片raw data'!S:S,MATCH($D65,'卡片raw data'!$F:$F,))*(IF($F65="UR",0.04,0.033))*(IF($F65="UR",INDEX(绊状态确认!$S:$S,MATCH($G65,绊状态确认!$B:$B,))/2-40)+IF($F65="SR",INDEX(绊状态确认!$R:$R,MATCH($G65,绊状态确认!$B:$B,))/4-15))+IF($F65="R",INDEX(绊状态确认!$Q:$Q,MATCH($G65,绊状态确认!$B:$B,))/6-40/6)))*(INDEX(绊状态确认!$H:$H,MATCH($G65,绊状态确认!$B:$B,))+INDEX(绊状态确认!J:J,MATCH($G65,绊状态确认!$B:$B,)))</f>
        <v>4122.8591999999999</v>
      </c>
      <c r="AM65" s="1106">
        <f>IF($P65="","N/A",(IF($P65=-1,INDEX('卡片raw data'!T:T,MATCH($D65,'卡片raw data'!$F:$F,)),0)+IF($P65=0,INDEX('卡片raw data'!W:W,MATCH($D65,'卡片raw data'!$F:$F,)),0)+IF($P65=1,INDEX('卡片raw data'!Z:Z,MATCH($D65,'卡片raw data'!$F:$F,)),0)+IF($P65=2,INDEX('卡片raw data'!AC:AC,MATCH($D65,'卡片raw data'!$F:$F,)),0)+IF($P65=3,INDEX('卡片raw data'!AF:AF,MATCH($D65,'卡片raw data'!$F:$F,)),0)+IF($P65=4,INDEX('卡片raw data'!AI:AI,MATCH($D65,'卡片raw data'!$F:$F,)),0)+IF($P65=5,INDEX('卡片raw data'!AL:AL,MATCH($D65,'卡片raw data'!$F:$F,)),0)+INDEX('卡片raw data'!T:T,MATCH($D65,'卡片raw data'!$F:$F,))*(IF($F65="UR",0.04,0.033))*(IF($F65="UR",INDEX(绊状态确认!$S:$S,MATCH($G65,绊状态确认!$B:$B,))/2-40)+IF($F65="SR",INDEX(绊状态确认!$R:$R,MATCH($G65,绊状态确认!$B:$B,))/4-15))+IF($F65="R",INDEX(绊状态确认!$Q:$Q,MATCH($G65,绊状态确认!$B:$B,))/6-40/6)))*(INDEX(绊状态确认!$H:$H,MATCH($G65,绊状态确认!$B:$B,))+INDEX(绊状态确认!K:K,MATCH($G65,绊状态确认!$B:$B,)))</f>
        <v>4809.2447999999995</v>
      </c>
      <c r="AN65" s="1106">
        <f>IF($P65="","N/A",(IF($P65=-1,INDEX('卡片raw data'!U:U,MATCH($D65,'卡片raw data'!$F:$F,)),0)+IF($P65=0,INDEX('卡片raw data'!X:X,MATCH($D65,'卡片raw data'!$F:$F,)),0)+IF($P65=1,INDEX('卡片raw data'!AA:AA,MATCH($D65,'卡片raw data'!$F:$F,)),0)+IF($P65=2,INDEX('卡片raw data'!AD:AD,MATCH($D65,'卡片raw data'!$F:$F,)),0)+IF($P65=3,INDEX('卡片raw data'!AG:AG,MATCH($D65,'卡片raw data'!$F:$F,)),0)+IF($P65=4,INDEX('卡片raw data'!AJ:AJ,MATCH($D65,'卡片raw data'!$F:$F,)),0)+IF($P65=5,INDEX('卡片raw data'!AM:AM,MATCH($D65,'卡片raw data'!$F:$F,)),0)+INDEX('卡片raw data'!U:U,MATCH($D65,'卡片raw data'!$F:$F,))*(IF($F65="UR",0.04,0.033))*(IF($F65="UR",INDEX(绊状态确认!$S:$S,MATCH($G65,绊状态确认!$B:$B,))/2-40)+IF($F65="SR",INDEX(绊状态确认!$R:$R,MATCH($G65,绊状态确认!$B:$B,))/4-15))+IF($F65="R",INDEX(绊状态确认!$Q:$Q,MATCH($G65,绊状态确认!$B:$B,))/6-40/6)))*(INDEX(绊状态确认!$H:$H,MATCH($G65,绊状态确认!$B:$B,))+INDEX(绊状态确认!L:L,MATCH($G65,绊状态确认!$B:$B,)))</f>
        <v>4809.2447999999995</v>
      </c>
      <c r="AO65" s="1107">
        <f t="shared" si="21"/>
        <v>1</v>
      </c>
      <c r="AP65" s="1131">
        <f>1+(INDEX(绊状态确认!$T:$T,MATCH($G65,绊状态确认!$B:$B,))+0.2)*$AO65</f>
        <v>1.3</v>
      </c>
      <c r="AQ65" s="1108">
        <f t="shared" si="22"/>
        <v>14072.5054</v>
      </c>
      <c r="AR65" s="1097">
        <f>(AM65*(1+$EX$9)+$EX$35)*(1+(INDEX(绊状态确认!$T:$T,MATCH($G65,绊状态确认!$B:$B,))+0.2)*AO65)*IF(J65=$FF$17,1+$FE$17,1)*IF(I65=$FF$14,1+$FE$14,1)</f>
        <v>9268.6191519999993</v>
      </c>
      <c r="AS65" s="1097">
        <f>(AN65*(1+$EX$10)+$EX$36)*(1+(INDEX(绊状态确认!$T:$T,MATCH($G65,绊状态确认!$B:$B,))+0.2)*AO65)*IF(J65=$FF$17,1+$FE$17,1)*IF(I65=$FF$14,1+$FE$14,1)</f>
        <v>11245.820975999999</v>
      </c>
      <c r="AT65" s="1093">
        <f>IF(AND(INDEX('卡片raw data'!AK:AK,MATCH($D65,'卡片raw data'!$F:$F,))&lt;INDEX('卡片raw data'!AM:AM,MATCH($D65,'卡片raw data'!$F:$F,)),INDEX('卡片raw data'!AL:AL,MATCH($D65,'卡片raw data'!$F:$F,))&lt;INDEX('卡片raw data'!AM:AM,MATCH($D65,'卡片raw data'!$F:$F,))),1,0)</f>
        <v>0</v>
      </c>
      <c r="AU65" s="1098">
        <f>MIN(AT65*0.15+AS65*0.00003+INDEX(绊状态确认!M:M,MATCH($G65,绊状态确认!$B:$B,)),1)</f>
        <v>0.36737462928000003</v>
      </c>
      <c r="AV65" s="1109">
        <f>(INDEX(绊状态确认!$N:$N,MATCH($G65,绊状态确认!$B:$B,))+1.5)*$EW$21</f>
        <v>2.6599999999999997</v>
      </c>
      <c r="AW65" s="1101">
        <f t="shared" si="23"/>
        <v>11765.54394911324</v>
      </c>
      <c r="AX65" s="1097">
        <f t="shared" si="24"/>
        <v>788.87850449686971</v>
      </c>
      <c r="AY65" s="1110">
        <f t="shared" si="25"/>
        <v>12554.42245361011</v>
      </c>
      <c r="AZ65" s="429">
        <f t="shared" si="26"/>
        <v>10639.575440000001</v>
      </c>
      <c r="BA65" s="431">
        <f t="shared" si="27"/>
        <v>12767.490528</v>
      </c>
      <c r="BB65" s="1097">
        <f>(AM65*(1+$FB$9)+$FB$35)*(1+(INDEX(绊状态确认!$T:$T,MATCH($G65,绊状态确认!$B:$B,))+0.2)*AO65)*IF(J65=$FF$17,1+$FE$17,1)*IF(I65=$FF$14,1+$FE$14,1)*(1+$FE$15)</f>
        <v>9268.6191519999993</v>
      </c>
      <c r="BC65" s="1097">
        <f>(AN65*(1+$FB$10)+$FB$36)*(1+(INDEX(绊状态确认!$T:$T,MATCH($G65,绊状态确认!$B:$B,))+0.2)*AO65)*IF(J65=$FF$17,1+$FE$17,1)*IF(I65=$FF$14,1+$FE$14,1)*(1+$FE$15)</f>
        <v>11245.820975999999</v>
      </c>
      <c r="BD65" s="1104">
        <f>MIN(AT65*0.15+BC65*0.00003+INDEX(绊状态确认!M:M,MATCH($G65,绊状态确认!$B:$B,)),1)</f>
        <v>0.36737462928000003</v>
      </c>
      <c r="BE65" s="432">
        <f>(INDEX(绊状态确认!$N:$N,MATCH($G65,绊状态确认!$B:$B,))+1.5)</f>
        <v>1.9</v>
      </c>
      <c r="BF65" s="1139">
        <f t="array" ref="BF65">SUMPRODUCT(IF(AZ65*AP65*$FI$16:$FI$23*$FA$22&gt;=$FI$24,$FI$24,AZ65*AP65*$FI$16:$FI$23*$FA$22),$FJ$16:$FJ$23)</f>
        <v>21162.115550160001</v>
      </c>
      <c r="BG65" s="1125">
        <f t="array" ref="BG65">SUMPRODUCT(IF(BE65*AZ65*AP65*$FI$16:$FI$23*$FA$22&gt;=$FI$24,$FI$24,BE65*AZ65*AP65*$FI$16:$FI$23*$FA$22),$FJ$16:$FJ$23)</f>
        <v>40208.019545304</v>
      </c>
      <c r="BH65" s="1110">
        <f t="shared" si="28"/>
        <v>9386.365823226166</v>
      </c>
      <c r="BI65" s="1111">
        <f>IF(O65="vo",$EW$26/$EW$24*0.05,0)+IF(O65="sk",-$EW$26/$EW$24*(0.05-INDEX(绊状态确认!W:W,MATCH($G65,绊状态确认!$B:$B,)))+0.05*$EW$28,0)+IF(O65="sp",0.05*$EW$32*$EW$30*(1-$EW$33)-(0.05-INDEX(绊状态确认!V:V,MATCH($G65,绊状态确认!$B:$B,)))*$EW$28,0)+IF(O65="gd",-(0.05-INDEX(绊状态确认!X:X,MATCH($G65,绊状态确认!$B:$B,)))*$EW$32*$EW$30*(1-$EW$33),0)</f>
        <v>7726.3029277443748</v>
      </c>
      <c r="BJ65" s="1097">
        <f>IF(O65="vo",0.05*(1-$FI$26)*$FA$24,0)+IF(O65="sk",-(0.05-INDEX(绊状态确认!W:W,MATCH($G65,绊状态确认!$B:$B,)))*(1-$FI$26)*$FA$24+0.05*$FA$26,0)+IF(O65="sp",0.05*$FA$32*$FA$27*(1-$FA$33)/$FA$30+0.05*$FA$29/$FA$69*$FA$27*(1-$FA$33)-(0.05-INDEX(绊状态确认!V:V,MATCH($G65,绊状态确认!$B:$B,)))*$FA$26,0)+IF(O65="gd",-(0.05-INDEX(绊状态确认!X:X,MATCH($G65,绊状态确认!$B:$B,)))*$FA$32*$FA$27*(1-$FA$33)/$FA$30-(0.05-INDEX(绊状态确认!X:X,MATCH($G65,绊状态确认!$B:$B,)))*$FA$29/$FA$69*$FA$27*(1-$FA$33),0)</f>
        <v>393.93433687500004</v>
      </c>
      <c r="BK65" s="1110">
        <f>IF(O65="vo",$EW$26/$EW$24*0.05+$EW$26*(-HP($EW$62,$EW$65,$EW$64)+HP($EW$62,$EW$65,(1.05-INDEX(绊状态确认!U:U,MATCH($G65,绊状态确认!$B:$B,)))*$EW$64)),0)+IF(O65="sk",-$EW$26/$EW$24*(0.05-INDEX(绊状态确认!W:W,MATCH($G65,绊状态确认!$B:$B,)))+0.05*$EW$29,0)+IF(O65="sp",0.05*$EW$32*$EW$30*(1-$EW$33)-(0.05-INDEX(绊状态确认!V:V,MATCH($G65,绊状态确认!$B:$B,)))*$EW$29,0)+IF(O65="gd",-(0.05-INDEX(绊状态确认!X:X,MATCH($G65,绊状态确认!$B:$B,)))*$EW$32*$EW$30*(1-$EW$33)+$EW$26*(-HP($EW$62,$EW$65,$EW$64)+HP($EW$62,$EW$65,0.95*$EW$64)),0)</f>
        <v>6421.6344775026746</v>
      </c>
      <c r="BL65" s="1111">
        <f t="shared" si="29"/>
        <v>-2166.6666666666665</v>
      </c>
      <c r="BM65" s="1110">
        <f t="shared" si="30"/>
        <v>-1661.1111111111109</v>
      </c>
      <c r="BN65" s="1113">
        <f t="shared" si="31"/>
        <v>2</v>
      </c>
      <c r="BO65" s="1097">
        <f t="shared" si="32"/>
        <v>3005.1476580839999</v>
      </c>
      <c r="BP65" s="1100">
        <f t="shared" si="33"/>
        <v>147.56068806020068</v>
      </c>
      <c r="BQ65" s="1113" t="s">
        <v>618</v>
      </c>
      <c r="BR65" s="1124" t="s">
        <v>617</v>
      </c>
      <c r="BS65" s="1098">
        <f>IF($P65="","N/A",IF($P65=-1,INDEX('卡片raw data'!AX:AX,MATCH($D65,'卡片raw data'!$F:$F,)),0)+IF($L65="party卡",IF($P65=5,INDEX('卡片raw data'!BD:BD,MATCH($D65,'卡片raw data'!$F:$F,)),IF($P65&gt;=3,INDEX('卡片raw data'!BC:BC,MATCH($D65,'卡片raw data'!$F:$F,)),INDEX('卡片raw data'!BB:BB,MATCH($D65,'卡片raw data'!$F:$F,)))),IF(OR(AND($F65="UR",$P65=0),AND($F65="SR",$P65&gt;=0,$P65&lt;=2),AND($F65="R",$P65&gt;=0,$P65&lt;4)),INDEX('卡片raw data'!AZ:AZ,MATCH($D65,'卡片raw data'!$F:$F,)),0)+IF(OR(AND($F65="UR",$P65&gt;=1,$P65&lt;=4),AND($F65="SR",$P65&lt;=4,$P65&gt;=3),AND($F65="R",$P65=4)),INDEX('卡片raw data'!BA:BA,MATCH($D65,'卡片raw data'!$F:$F,)),0)+IF($P65=5,INDEX('卡片raw data'!BB:BB,MATCH($D65,'卡片raw data'!$F:$F,)),0)))</f>
        <v>2.7E-2</v>
      </c>
      <c r="BT65" s="1101">
        <f t="shared" si="34"/>
        <v>0</v>
      </c>
      <c r="BU65" s="1097">
        <f t="shared" si="35"/>
        <v>0</v>
      </c>
      <c r="BV65" s="1097">
        <f t="shared" si="36"/>
        <v>0</v>
      </c>
      <c r="BW65" s="1112">
        <f t="shared" si="37"/>
        <v>1.2641785714285714</v>
      </c>
      <c r="BX65" s="1100">
        <f t="shared" si="38"/>
        <v>98.679571224892797</v>
      </c>
      <c r="BY65" s="1110">
        <f t="shared" si="39"/>
        <v>98.679571224892797</v>
      </c>
      <c r="BZ65" s="1107" t="s">
        <v>569</v>
      </c>
      <c r="CA65" s="1124"/>
      <c r="CB65" s="1098">
        <f>IF($P65="","N/A",IF($P65=-1,INDEX('卡片raw data'!BE:BE,MATCH($D65,'卡片raw data'!$F:$F,)),0)+IF($L65="party卡",IF($P65=5,INDEX('卡片raw data'!BK:BK,MATCH($D65,'卡片raw data'!$F:$F,)),IF($P65&gt;=3,INDEX('卡片raw data'!BJ:BJ,MATCH($D65,'卡片raw data'!$F:$F,)),INDEX('卡片raw data'!BI:BI,MATCH($D65,'卡片raw data'!$F:$F,)))),IF(OR(AND($F65="UR",$P65=0),AND($F65="SR",$P65&gt;=0,$P65&lt;=2),AND($F65="R",$P65&gt;=0,$P65&lt;4)),INDEX('卡片raw data'!BG:BG,MATCH($D65,'卡片raw data'!$F:$F,)),0)+IF(OR(AND($F65="UR",$P65&gt;=1,$P65&lt;=4),AND($F65="SR",$P65&lt;=4,$P65&gt;=3),AND($F65="R",$P65=4)),INDEX('卡片raw data'!BH:BH,MATCH($D65,'卡片raw data'!$F:$F,)),0)+IF($P65=5,INDEX('卡片raw data'!BI:BI,MATCH($D65,'卡片raw data'!$F:$F,)),0)))</f>
        <v>0</v>
      </c>
      <c r="CC65" s="1101">
        <f t="shared" si="40"/>
        <v>0</v>
      </c>
      <c r="CD65" s="1097">
        <f>IF(BZ65="ap",CB65*(1-$FI$26)*$FB$5/$FB$11*(+IF(CA65="全员",$FA$24,0)+IF(CA65="同作战",$FA$24,0)+IF(CA65="仲间",$FA$24*2/3,0)+IF(CA65="同属性",$FA$24*$FA$37/3,0)+IF(CA65="同年级",$FA$24*$FA$40/3,0)+IF(CA65="同学校",$FA$24*$FA$43/3,0)+IF(CA65="同小队",$FA$24*$FA$46/3,0)+IF(CA65="同type",$FA$24*INDEX($FB$49:$FB$52,MATCH(X65,$FA$49:$FA$52,))/3,0)+IF(CA65="自身",#REF!/3,0)),0)+IF(BZ65="te",CB65*(1-$FI$27)*($FA$20-1)*$FB$7/$FB$13*(+IF(CA65="全员",$FA$19*$FA$24/(1+($FA$20-1)*$FA$19),0)+IF(CA65="同作战",$FA$19*$FA$24/(1+($FA$20-1)*$FA$19),0)+IF(CA65="仲间",$FA$19*$FA$24*2/3/(1+($FA$20-1)*$FA$19),0)+IF(CA65="同属性",$FA$19*$FA$24*$FA$37/3/(1+($FA$20-1)*$FA$19),0)+IF(CA65="同年级",$FA$19*$FA$24*$FA$40/3/(1+($FA$20-1)*$FA$19),0)+IF(CA65="同学校",$FA$19*$FA$24*$FA$43/3/(1+($FA$20-1)*$FA$19),0)+IF(CA65="同小队",$FA$19*$FA$24*$FA$46/3/(1+($FA$20-1)*$FA$19),0)+IF(CA65="同type",$FA$19*$FA$24*INDEX($FB$49:$FB$52,MATCH(X65,$FA$49:$FA$52,))/3/(1+($FA$20-1)*$FA$19),0)+IF(CA65="自身",$FA$19*#REF!/3/(1+(BH65-1)*$BD65),0)),0)</f>
        <v>0</v>
      </c>
      <c r="CE65" s="1097">
        <f t="shared" si="41"/>
        <v>0</v>
      </c>
      <c r="CF65" s="1112">
        <f t="shared" si="42"/>
        <v>0</v>
      </c>
      <c r="CG65" s="1100">
        <f t="shared" si="43"/>
        <v>0</v>
      </c>
      <c r="CH65" s="1110">
        <f t="shared" si="44"/>
        <v>0</v>
      </c>
      <c r="CI65" s="1113"/>
      <c r="CJ65" s="1114"/>
      <c r="CK65" s="1115" t="s">
        <v>569</v>
      </c>
      <c r="CL65" s="1115"/>
      <c r="CM65" s="1119"/>
      <c r="CN65" s="1115"/>
      <c r="CO65" s="1092"/>
      <c r="CP65" s="1117">
        <f t="shared" si="45"/>
        <v>0</v>
      </c>
      <c r="CQ65" s="1117">
        <f t="shared" si="46"/>
        <v>0</v>
      </c>
      <c r="CR65" s="1117">
        <f t="shared" si="47"/>
        <v>0</v>
      </c>
      <c r="CS65" s="1118">
        <f t="shared" si="48"/>
        <v>0</v>
      </c>
      <c r="CT65" s="1109">
        <f t="shared" si="49"/>
        <v>0</v>
      </c>
      <c r="CU65" s="1101">
        <f t="shared" si="50"/>
        <v>0</v>
      </c>
      <c r="CV65" s="1108">
        <f t="shared" si="51"/>
        <v>0</v>
      </c>
      <c r="CW65" s="1097">
        <f t="shared" si="52"/>
        <v>0</v>
      </c>
      <c r="CX65" s="1097">
        <f t="shared" si="53"/>
        <v>0</v>
      </c>
      <c r="CY65" s="1110">
        <f t="shared" si="54"/>
        <v>0</v>
      </c>
      <c r="CZ65" s="437"/>
      <c r="DA65" s="438"/>
      <c r="DB65" s="439" t="s">
        <v>569</v>
      </c>
      <c r="DC65" s="439"/>
      <c r="DD65" s="443"/>
      <c r="DE65" s="411"/>
      <c r="DF65" s="411"/>
      <c r="DG65" s="1116">
        <f t="shared" si="55"/>
        <v>0</v>
      </c>
      <c r="DH65" s="1116">
        <f t="shared" si="56"/>
        <v>0</v>
      </c>
      <c r="DI65" s="1116">
        <f t="shared" si="57"/>
        <v>0</v>
      </c>
      <c r="DJ65" s="442">
        <f t="shared" si="58"/>
        <v>0</v>
      </c>
      <c r="DK65" s="1109">
        <f t="shared" si="59"/>
        <v>0</v>
      </c>
      <c r="DL65" s="1101">
        <f t="shared" si="60"/>
        <v>0</v>
      </c>
      <c r="DM65" s="1097">
        <f t="shared" si="61"/>
        <v>0</v>
      </c>
      <c r="DN65" s="1097">
        <f t="shared" si="62"/>
        <v>0</v>
      </c>
      <c r="DO65" s="1097">
        <f t="shared" si="63"/>
        <v>0</v>
      </c>
      <c r="DP65" s="1110">
        <f t="shared" si="64"/>
        <v>0</v>
      </c>
      <c r="DQ65" s="1113" t="s">
        <v>554</v>
      </c>
      <c r="DR65" s="1120">
        <f t="shared" si="65"/>
        <v>0.3</v>
      </c>
      <c r="DS65" s="1124">
        <v>5</v>
      </c>
      <c r="DT65" s="1093" t="s">
        <v>161</v>
      </c>
      <c r="DU65" s="1093" t="s">
        <v>546</v>
      </c>
      <c r="DV65" s="1097">
        <f>IF($P65="","N/A",IF(P65=-1,INDEX('卡片raw data'!AN:AN,MATCH(D65,'卡片raw data'!$F:$F,)),0)+IF(AND(L65&lt;&gt;"party卡",P65&lt;=2,P65&gt;=0),INDEX('卡片raw data'!AP:AP,MATCH(D65,'卡片raw data'!$F:$F,)),0)+IF(OR(AND(L65="party卡",P65&lt;=1),AND(P65&lt;=4,L65&lt;&gt;"party卡",P65&gt;=3)),INDEX('卡片raw data'!AQ:AQ,MATCH(D65,'卡片raw data'!$F:$F,)),0)+IF(OR(P65=5,AND(L65="party卡",P65&gt;=2)),INDEX('卡片raw data'!AR:AR,MATCH(D65,'卡片raw data'!$F:$F,)),0))</f>
        <v>120</v>
      </c>
      <c r="DW65" s="1098">
        <f t="shared" si="66"/>
        <v>0.3</v>
      </c>
      <c r="DX65" s="1098">
        <f t="shared" si="67"/>
        <v>0.3</v>
      </c>
      <c r="DY65" s="1098">
        <f t="shared" si="68"/>
        <v>4.588811205839698E-4</v>
      </c>
      <c r="DZ65" s="1098">
        <f t="shared" si="69"/>
        <v>9.5599530111410268E-4</v>
      </c>
      <c r="EA65" s="1098">
        <f t="shared" si="70"/>
        <v>0</v>
      </c>
      <c r="EB65" s="1121">
        <f t="shared" si="71"/>
        <v>0</v>
      </c>
      <c r="EC65" s="1101">
        <f t="shared" si="72"/>
        <v>78</v>
      </c>
      <c r="ED65" s="1097">
        <f t="shared" si="73"/>
        <v>7.5319875000000005</v>
      </c>
      <c r="EE65" s="1110">
        <f t="shared" si="74"/>
        <v>78</v>
      </c>
      <c r="EF65" s="1092" t="s">
        <v>711</v>
      </c>
      <c r="EG65" s="1120">
        <f t="shared" si="75"/>
        <v>0.3</v>
      </c>
      <c r="EH65" s="1124"/>
      <c r="EI65" s="1093"/>
      <c r="EJ65" s="1093"/>
      <c r="EK65" s="1097">
        <f>IF($P65="","N/A",IF(P65=-1,INDEX('卡片raw data'!AS:AS,MATCH(D65,'卡片raw data'!$F:$F,)),0)+IF(AND(L65&lt;&gt;"party卡",P65&lt;=2,P65&gt;=0),INDEX('卡片raw data'!AU:AU,MATCH(D65,'卡片raw data'!$F:$F,)),0)+IF(OR(AND(L65="party卡",P65&lt;=1),AND(P65&lt;=4,L65&lt;&gt;"party卡",P65&gt;=3)),INDEX('卡片raw data'!AV:AV,MATCH(D65,'卡片raw data'!$F:$F,)),0)+IF(OR(P65=5,AND(L65="party卡",P65&gt;=2)),INDEX('卡片raw data'!AW:AW,MATCH(D65,'卡片raw data'!$F:$F,)),0))</f>
        <v>0</v>
      </c>
      <c r="EL65" s="1098">
        <f t="shared" si="76"/>
        <v>0.3</v>
      </c>
      <c r="EM65" s="1098">
        <f t="shared" si="77"/>
        <v>0.3</v>
      </c>
      <c r="EN65" s="1125">
        <f t="shared" si="78"/>
        <v>0</v>
      </c>
      <c r="EO65" s="1125">
        <f t="shared" si="79"/>
        <v>0</v>
      </c>
      <c r="EP65" s="1098">
        <f t="shared" si="80"/>
        <v>0</v>
      </c>
      <c r="EQ65" s="1121">
        <f t="shared" si="81"/>
        <v>0</v>
      </c>
      <c r="ER65" s="1101">
        <f t="shared" si="82"/>
        <v>0</v>
      </c>
      <c r="ES65" s="1097">
        <f t="shared" si="83"/>
        <v>0</v>
      </c>
      <c r="ET65" s="1122">
        <f t="shared" si="84"/>
        <v>0</v>
      </c>
      <c r="EV65" s="1224" t="s">
        <v>7</v>
      </c>
      <c r="EW65" s="1323">
        <v>280</v>
      </c>
      <c r="EX65" s="1324"/>
      <c r="EY65" s="1232"/>
      <c r="EZ65" s="1221" t="s">
        <v>250</v>
      </c>
      <c r="FA65" s="1327">
        <v>6</v>
      </c>
      <c r="FB65" s="1327"/>
    </row>
    <row r="66" spans="2:158" ht="16.5" customHeight="1">
      <c r="B66" s="1123" t="str">
        <f>INDEX('卡片raw data'!B:B,MATCH($D66,'卡片raw data'!$F:$F,))</f>
        <v>啦啦丸</v>
      </c>
      <c r="C66" s="449" t="s">
        <v>69</v>
      </c>
      <c r="D66" s="408">
        <v>63</v>
      </c>
      <c r="E66" s="1090">
        <v>101072001</v>
      </c>
      <c r="F66" s="1090" t="str">
        <f>INDEX('卡片raw data'!C:C,MATCH($D66,'卡片raw data'!$F:$F,))</f>
        <v>SR</v>
      </c>
      <c r="G66" s="1094" t="s">
        <v>344</v>
      </c>
      <c r="H66" s="411">
        <f>IFERROR(INDEX(绊状态确认!C:C,MATCH($G66,绊状态确认!$B:$B,)),"")</f>
        <v>107</v>
      </c>
      <c r="I66" s="450" t="str">
        <f>IFERROR(INDEX(绊状态确认!D:D,MATCH($G66,绊状态确认!$B:$B,)),"")</f>
        <v>水</v>
      </c>
      <c r="J66" s="450" t="str">
        <f>IFERROR(INDEX(绊状态确认!E:E,MATCH($G66,绊状态确认!$B:$B,)),"")</f>
        <v>1年级</v>
      </c>
      <c r="K66" s="451" t="str">
        <f>IFERROR(INDEX(绊状态确认!F:F,MATCH($G66,绊状态确认!$B:$B,)),"")</f>
        <v>AZALEA</v>
      </c>
      <c r="L66" s="1094" t="str">
        <f>INDEX('卡片raw data'!E:E,MATCH($D66,'卡片raw data'!$F:$F,))</f>
        <v>卡池卡</v>
      </c>
      <c r="M66" s="415">
        <v>43735</v>
      </c>
      <c r="N66" s="416">
        <v>0</v>
      </c>
      <c r="O66" s="1091" t="str">
        <f>INDEX('卡片raw data'!D:D,MATCH($D66,'卡片raw data'!$F:$F,))</f>
        <v>sk</v>
      </c>
      <c r="P66" s="417">
        <v>5</v>
      </c>
      <c r="Q66" s="1095">
        <f t="shared" si="0"/>
        <v>20665.921419554437</v>
      </c>
      <c r="R66" s="1096">
        <f t="shared" si="1"/>
        <v>0.24</v>
      </c>
      <c r="S66" s="1097">
        <f t="shared" si="2"/>
        <v>14123.801595525443</v>
      </c>
      <c r="T66" s="1098">
        <f t="shared" si="3"/>
        <v>0.70599999999999996</v>
      </c>
      <c r="U66" s="1099">
        <f t="shared" si="4"/>
        <v>12.683789564995598</v>
      </c>
      <c r="V66" s="1100">
        <f t="shared" si="5"/>
        <v>23676.616770388617</v>
      </c>
      <c r="W66" s="1101">
        <f t="shared" si="6"/>
        <v>5731.5678708807081</v>
      </c>
      <c r="X66" s="1096">
        <f t="shared" si="7"/>
        <v>6.6000000000000003E-2</v>
      </c>
      <c r="Y66" s="1097">
        <f t="shared" si="8"/>
        <v>1010.6953508341794</v>
      </c>
      <c r="Z66" s="1102">
        <f t="shared" si="9"/>
        <v>12.683789564995598</v>
      </c>
      <c r="AA66" s="1103">
        <f t="shared" si="10"/>
        <v>6742.2632217148875</v>
      </c>
      <c r="AB66" s="1101">
        <f t="shared" si="11"/>
        <v>5731.5678708807081</v>
      </c>
      <c r="AC66" s="1104">
        <f t="shared" si="12"/>
        <v>6.6000000000000003E-2</v>
      </c>
      <c r="AD66" s="1105">
        <f t="shared" si="13"/>
        <v>1.8994224431818179E-2</v>
      </c>
      <c r="AE66" s="1128">
        <f t="shared" si="14"/>
        <v>4.3537577047458456</v>
      </c>
      <c r="AF66" s="1130">
        <f t="shared" si="15"/>
        <v>0</v>
      </c>
      <c r="AG66" s="420">
        <f t="shared" si="16"/>
        <v>0</v>
      </c>
      <c r="AH66" s="420">
        <f t="shared" si="17"/>
        <v>0</v>
      </c>
      <c r="AI66" s="1097">
        <f t="shared" si="18"/>
        <v>0</v>
      </c>
      <c r="AJ66" s="420">
        <f t="shared" si="19"/>
        <v>0</v>
      </c>
      <c r="AK66" s="518">
        <f t="shared" si="20"/>
        <v>0</v>
      </c>
      <c r="AL66" s="1106">
        <f>IF($P66="","N/A",(IF($P66=-1,INDEX('卡片raw data'!S:S,MATCH($D66,'卡片raw data'!$F:$F,)),0)+IF($P66=0,INDEX('卡片raw data'!V:V,MATCH($D66,'卡片raw data'!$F:$F,)),0)+IF($P66=1,INDEX('卡片raw data'!Y:Y,MATCH($D66,'卡片raw data'!$F:$F,)),0)+IF($P66=2,INDEX('卡片raw data'!AB:AB,MATCH($D66,'卡片raw data'!$F:$F,)),0)+IF($P66=3,INDEX('卡片raw data'!AE:AE,MATCH($D66,'卡片raw data'!$F:$F,)),0)+IF($P66=4,INDEX('卡片raw data'!AH:AH,MATCH($D66,'卡片raw data'!$F:$F,)),0)+IF($P66=5,INDEX('卡片raw data'!AK:AK,MATCH($D66,'卡片raw data'!$F:$F,)),0)+INDEX('卡片raw data'!S:S,MATCH($D66,'卡片raw data'!$F:$F,))*(IF($F66="UR",0.04,0.033))*(IF($F66="UR",INDEX(绊状态确认!$S:$S,MATCH($G66,绊状态确认!$B:$B,))/2-40)+IF($F66="SR",INDEX(绊状态确认!$R:$R,MATCH($G66,绊状态确认!$B:$B,))/4-15))+IF($F66="R",INDEX(绊状态确认!$Q:$Q,MATCH($G66,绊状态确认!$B:$B,))/6-40/6)))*(INDEX(绊状态确认!$H:$H,MATCH($G66,绊状态确认!$B:$B,))+INDEX(绊状态确认!J:J,MATCH($G66,绊状态确认!$B:$B,)))</f>
        <v>6238.3178015999993</v>
      </c>
      <c r="AM66" s="1106">
        <f>IF($P66="","N/A",(IF($P66=-1,INDEX('卡片raw data'!T:T,MATCH($D66,'卡片raw data'!$F:$F,)),0)+IF($P66=0,INDEX('卡片raw data'!W:W,MATCH($D66,'卡片raw data'!$F:$F,)),0)+IF($P66=1,INDEX('卡片raw data'!Z:Z,MATCH($D66,'卡片raw data'!$F:$F,)),0)+IF($P66=2,INDEX('卡片raw data'!AC:AC,MATCH($D66,'卡片raw data'!$F:$F,)),0)+IF($P66=3,INDEX('卡片raw data'!AF:AF,MATCH($D66,'卡片raw data'!$F:$F,)),0)+IF($P66=4,INDEX('卡片raw data'!AI:AI,MATCH($D66,'卡片raw data'!$F:$F,)),0)+IF($P66=5,INDEX('卡片raw data'!AL:AL,MATCH($D66,'卡片raw data'!$F:$F,)),0)+INDEX('卡片raw data'!T:T,MATCH($D66,'卡片raw data'!$F:$F,))*(IF($F66="UR",0.04,0.033))*(IF($F66="UR",INDEX(绊状态确认!$S:$S,MATCH($G66,绊状态确认!$B:$B,))/2-40)+IF($F66="SR",INDEX(绊状态确认!$R:$R,MATCH($G66,绊状态确认!$B:$B,))/4-15))+IF($F66="R",INDEX(绊状态确认!$Q:$Q,MATCH($G66,绊状态确认!$B:$B,))/6-40/6)))*(INDEX(绊状态确认!$H:$H,MATCH($G66,绊状态确认!$B:$B,))+INDEX(绊状态确认!K:K,MATCH($G66,绊状态确认!$B:$B,)))</f>
        <v>6238.3178015999993</v>
      </c>
      <c r="AN66" s="1106">
        <f>IF($P66="","N/A",(IF($P66=-1,INDEX('卡片raw data'!U:U,MATCH($D66,'卡片raw data'!$F:$F,)),0)+IF($P66=0,INDEX('卡片raw data'!X:X,MATCH($D66,'卡片raw data'!$F:$F,)),0)+IF($P66=1,INDEX('卡片raw data'!AA:AA,MATCH($D66,'卡片raw data'!$F:$F,)),0)+IF($P66=2,INDEX('卡片raw data'!AD:AD,MATCH($D66,'卡片raw data'!$F:$F,)),0)+IF($P66=3,INDEX('卡片raw data'!AG:AG,MATCH($D66,'卡片raw data'!$F:$F,)),0)+IF($P66=4,INDEX('卡片raw data'!AJ:AJ,MATCH($D66,'卡片raw data'!$F:$F,)),0)+IF($P66=5,INDEX('卡片raw data'!AM:AM,MATCH($D66,'卡片raw data'!$F:$F,)),0)+INDEX('卡片raw data'!U:U,MATCH($D66,'卡片raw data'!$F:$F,))*(IF($F66="UR",0.04,0.033))*(IF($F66="UR",INDEX(绊状态确认!$S:$S,MATCH($G66,绊状态确认!$B:$B,))/2-40)+IF($F66="SR",INDEX(绊状态确认!$R:$R,MATCH($G66,绊状态确认!$B:$B,))/4-15))+IF($F66="R",INDEX(绊状态确认!$Q:$Q,MATCH($G66,绊状态确认!$B:$B,))/6-40/6)))*(INDEX(绊状态确认!$H:$H,MATCH($G66,绊状态确认!$B:$B,))+INDEX(绊状态确认!L:L,MATCH($G66,绊状态确认!$B:$B,)))</f>
        <v>6427.1511167999997</v>
      </c>
      <c r="AO66" s="1107">
        <f t="shared" si="21"/>
        <v>1</v>
      </c>
      <c r="AP66" s="1131">
        <f>1+(INDEX(绊状态确认!$T:$T,MATCH($G66,绊状态确认!$B:$B,))+0.2)*$AO66</f>
        <v>1.3</v>
      </c>
      <c r="AQ66" s="1108">
        <f t="shared" si="22"/>
        <v>19625.584229199998</v>
      </c>
      <c r="AR66" s="1097">
        <f>(AM66*(1+$EX$9)+$EX$35)*(1+(INDEX(绊状态确认!$T:$T,MATCH($G66,绊状态确认!$B:$B,))+0.2)*AO66)*IF(J66=$FF$17,1+$FE$17,1)*IF(I66=$FF$14,1+$FE$14,1)</f>
        <v>11219.303799183999</v>
      </c>
      <c r="AS66" s="1097">
        <f>(AN66*(1+$EX$10)+$EX$36)*(1+(INDEX(绊状态确认!$T:$T,MATCH($G66,绊状态确认!$B:$B,))+0.2)*AO66)*IF(J66=$FF$17,1+$FE$17,1)*IF(I66=$FF$14,1+$FE$14,1)</f>
        <v>13664.590919615997</v>
      </c>
      <c r="AT66" s="1093">
        <f>IF(AND(INDEX('卡片raw data'!AK:AK,MATCH($D66,'卡片raw data'!$F:$F,))&lt;INDEX('卡片raw data'!AM:AM,MATCH($D66,'卡片raw data'!$F:$F,)),INDEX('卡片raw data'!AL:AL,MATCH($D66,'卡片raw data'!$F:$F,))&lt;INDEX('卡片raw data'!AM:AM,MATCH($D66,'卡片raw data'!$F:$F,))),1,0)</f>
        <v>1</v>
      </c>
      <c r="AU66" s="1098">
        <f>MIN(AT66*0.15+AS66*0.00003+INDEX(绊状态确认!M:M,MATCH($G66,绊状态确认!$B:$B,)),1)</f>
        <v>0.58993772758847995</v>
      </c>
      <c r="AV66" s="1109">
        <f>(INDEX(绊状态确认!$N:$N,MATCH($G66,绊状态确认!$B:$B,))+1.5)*$EW$21</f>
        <v>2.6599999999999997</v>
      </c>
      <c r="AW66" s="1101">
        <f t="shared" si="23"/>
        <v>20173.945470436684</v>
      </c>
      <c r="AX66" s="1097">
        <f t="shared" si="24"/>
        <v>958.9966893637876</v>
      </c>
      <c r="AY66" s="1110">
        <f t="shared" si="25"/>
        <v>21132.94215980047</v>
      </c>
      <c r="AZ66" s="429">
        <f t="shared" si="26"/>
        <v>14764.719713119999</v>
      </c>
      <c r="BA66" s="431">
        <f t="shared" si="27"/>
        <v>17717.663655744</v>
      </c>
      <c r="BB66" s="1097">
        <f>(AM66*(1+$FB$9)+$FB$35)*(1+(INDEX(绊状态确认!$T:$T,MATCH($G66,绊状态确认!$B:$B,))+0.2)*AO66)*IF(J66=$FF$17,1+$FE$17,1)*IF(I66=$FF$14,1+$FE$14,1)*(1+$FE$15)</f>
        <v>11219.303799183999</v>
      </c>
      <c r="BC66" s="1097">
        <f>(AN66*(1+$FB$10)+$FB$36)*(1+(INDEX(绊状态确认!$T:$T,MATCH($G66,绊状态确认!$B:$B,))+0.2)*AO66)*IF(J66=$FF$17,1+$FE$17,1)*IF(I66=$FF$14,1+$FE$14,1)*(1+$FE$15)</f>
        <v>13664.590919615997</v>
      </c>
      <c r="BD66" s="1104">
        <f>MIN(AT66*0.15+BC66*0.00003+INDEX(绊状态确认!M:M,MATCH($G66,绊状态确认!$B:$B,)),1)</f>
        <v>0.58993772758847995</v>
      </c>
      <c r="BE66" s="432">
        <f>(INDEX(绊状态确认!$N:$N,MATCH($G66,绊状态确认!$B:$B,))+1.5)</f>
        <v>1.9</v>
      </c>
      <c r="BF66" s="1139">
        <f t="array" ref="BF66">SUMPRODUCT(IF(AZ66*AP66*$FI$16:$FI$23*$FA$22&gt;=$FI$24,$FI$24,AZ66*AP66*$FI$16:$FI$23*$FA$22),$FJ$16:$FJ$23)</f>
        <v>29367.027509395681</v>
      </c>
      <c r="BG66" s="1125">
        <f t="array" ref="BG66">SUMPRODUCT(IF(BE66*AZ66*AP66*$FI$16:$FI$23*$FA$22&gt;=$FI$24,$FI$24,BE66*AZ66*AP66*$FI$16:$FI$23*$FA$22),$FJ$16:$FJ$23)</f>
        <v>54104.169114492332</v>
      </c>
      <c r="BH66" s="1110">
        <f t="shared" si="28"/>
        <v>14653.466871646948</v>
      </c>
      <c r="BI66" s="1111">
        <f>IF(O66="vo",$EW$26/$EW$24*0.05,0)+IF(O66="sk",-$EW$26/$EW$24*(0.05-INDEX(绊状态确认!W:W,MATCH($G66,绊状态确认!$B:$B,)))+0.05*$EW$28,0)+IF(O66="sp",0.05*$EW$32*$EW$30*(1-$EW$33)-(0.05-INDEX(绊状态确认!V:V,MATCH($G66,绊状态确认!$B:$B,)))*$EW$28,0)+IF(O66="gd",-(0.05-INDEX(绊状态确认!X:X,MATCH($G66,绊状态确认!$B:$B,)))*$EW$32*$EW$30*(1-$EW$33),0)</f>
        <v>-6253.6726349699375</v>
      </c>
      <c r="BJ66" s="1097">
        <f>IF(O66="vo",0.05*(1-$FI$26)*$FA$24,0)+IF(O66="sk",-(0.05-INDEX(绊状态确认!W:W,MATCH($G66,绊状态确认!$B:$B,)))*(1-$FI$26)*$FA$24+0.05*$FA$26,0)+IF(O66="sp",0.05*$FA$32*$FA$27*(1-$FA$33)/$FA$30+0.05*$FA$29/$FA$69*$FA$27*(1-$FA$33)-(0.05-INDEX(绊状态确认!V:V,MATCH($G66,绊状态确认!$B:$B,)))*$FA$26,0)+IF(O66="gd",-(0.05-INDEX(绊状态确认!X:X,MATCH($G66,绊状态确认!$B:$B,)))*$FA$32*$FA$27*(1-$FA$33)/$FA$30-(0.05-INDEX(绊状态确认!X:X,MATCH($G66,绊状态确认!$B:$B,)))*$FA$29/$FA$69*$FA$27*(1-$FA$33),0)</f>
        <v>20.459096812499922</v>
      </c>
      <c r="BK66" s="1110">
        <f>IF(O66="vo",$EW$26/$EW$24*0.05+$EW$26*(-HP($EW$62,$EW$65,$EW$64)+HP($EW$62,$EW$65,(1.05-INDEX(绊状态确认!U:U,MATCH($G66,绊状态确认!$B:$B,)))*$EW$64)),0)+IF(O66="sk",-$EW$26/$EW$24*(0.05-INDEX(绊状态确认!W:W,MATCH($G66,绊状态确认!$B:$B,)))+0.05*$EW$29,0)+IF(O66="sp",0.05*$EW$32*$EW$30*(1-$EW$33)-(0.05-INDEX(绊状态确认!V:V,MATCH($G66,绊状态确认!$B:$B,)))*$EW$29,0)+IF(O66="gd",-(0.05-INDEX(绊状态确认!X:X,MATCH($G66,绊状态确认!$B:$B,)))*$EW$32*$EW$30*(1-$EW$33)+$EW$26*(-HP($EW$62,$EW$65,$EW$64)+HP($EW$62,$EW$65,0.95*$EW$64)),0)</f>
        <v>-4253.6726349699375</v>
      </c>
      <c r="BL66" s="1111">
        <f t="shared" si="29"/>
        <v>-1083.3333333333333</v>
      </c>
      <c r="BM66" s="1110">
        <f t="shared" si="30"/>
        <v>-830.55555555555543</v>
      </c>
      <c r="BN66" s="1113">
        <f t="shared" si="31"/>
        <v>3</v>
      </c>
      <c r="BO66" s="1097">
        <f t="shared" si="32"/>
        <v>4507.7214871259994</v>
      </c>
      <c r="BP66" s="1100">
        <f t="shared" si="33"/>
        <v>221.34103209030098</v>
      </c>
      <c r="BQ66" s="1113" t="s">
        <v>618</v>
      </c>
      <c r="BR66" s="1124" t="s">
        <v>622</v>
      </c>
      <c r="BS66" s="1098">
        <f>IF($P66="","N/A",IF($P66=-1,INDEX('卡片raw data'!AX:AX,MATCH($D66,'卡片raw data'!$F:$F,)),0)+IF($L66="party卡",IF($P66=5,INDEX('卡片raw data'!BD:BD,MATCH($D66,'卡片raw data'!$F:$F,)),IF($P66&gt;=3,INDEX('卡片raw data'!BC:BC,MATCH($D66,'卡片raw data'!$F:$F,)),INDEX('卡片raw data'!BB:BB,MATCH($D66,'卡片raw data'!$F:$F,)))),IF(OR(AND($F66="UR",$P66=0),AND($F66="SR",$P66&gt;=0,$P66&lt;=2),AND($F66="R",$P66&gt;=0,$P66&lt;4)),INDEX('卡片raw data'!AZ:AZ,MATCH($D66,'卡片raw data'!$F:$F,)),0)+IF(OR(AND($F66="UR",$P66&gt;=1,$P66&lt;=4),AND($F66="SR",$P66&lt;=4,$P66&gt;=3),AND($F66="R",$P66=4)),INDEX('卡片raw data'!BA:BA,MATCH($D66,'卡片raw data'!$F:$F,)),0)+IF($P66=5,INDEX('卡片raw data'!BB:BB,MATCH($D66,'卡片raw data'!$F:$F,)),0)))</f>
        <v>7.0000000000000007E-2</v>
      </c>
      <c r="BT66" s="1101">
        <f t="shared" si="34"/>
        <v>0</v>
      </c>
      <c r="BU66" s="1097">
        <f t="shared" si="35"/>
        <v>0</v>
      </c>
      <c r="BV66" s="1097">
        <f t="shared" si="36"/>
        <v>0</v>
      </c>
      <c r="BW66" s="1112">
        <f t="shared" si="37"/>
        <v>0.66310692301274154</v>
      </c>
      <c r="BX66" s="1100">
        <f t="shared" si="38"/>
        <v>51.698661470391855</v>
      </c>
      <c r="BY66" s="1110">
        <f t="shared" si="39"/>
        <v>51.698661470391855</v>
      </c>
      <c r="BZ66" s="1107" t="s">
        <v>569</v>
      </c>
      <c r="CA66" s="1124"/>
      <c r="CB66" s="1098">
        <f>IF($P66="","N/A",IF($P66=-1,INDEX('卡片raw data'!BE:BE,MATCH($D66,'卡片raw data'!$F:$F,)),0)+IF($L66="party卡",IF($P66=5,INDEX('卡片raw data'!BK:BK,MATCH($D66,'卡片raw data'!$F:$F,)),IF($P66&gt;=3,INDEX('卡片raw data'!BJ:BJ,MATCH($D66,'卡片raw data'!$F:$F,)),INDEX('卡片raw data'!BI:BI,MATCH($D66,'卡片raw data'!$F:$F,)))),IF(OR(AND($F66="UR",$P66=0),AND($F66="SR",$P66&gt;=0,$P66&lt;=2),AND($F66="R",$P66&gt;=0,$P66&lt;4)),INDEX('卡片raw data'!BG:BG,MATCH($D66,'卡片raw data'!$F:$F,)),0)+IF(OR(AND($F66="UR",$P66&gt;=1,$P66&lt;=4),AND($F66="SR",$P66&lt;=4,$P66&gt;=3),AND($F66="R",$P66=4)),INDEX('卡片raw data'!BH:BH,MATCH($D66,'卡片raw data'!$F:$F,)),0)+IF($P66=5,INDEX('卡片raw data'!BI:BI,MATCH($D66,'卡片raw data'!$F:$F,)),0)))</f>
        <v>0</v>
      </c>
      <c r="CC66" s="1101">
        <f t="shared" si="40"/>
        <v>0</v>
      </c>
      <c r="CD66" s="1097">
        <f>IF(BZ66="ap",CB66*(1-$FI$26)*$FB$5/$FB$11*(+IF(CA66="全员",$FA$24,0)+IF(CA66="同作战",$FA$24,0)+IF(CA66="仲间",$FA$24*2/3,0)+IF(CA66="同属性",$FA$24*$FA$37/3,0)+IF(CA66="同年级",$FA$24*$FA$40/3,0)+IF(CA66="同学校",$FA$24*$FA$43/3,0)+IF(CA66="同小队",$FA$24*$FA$46/3,0)+IF(CA66="同type",$FA$24*INDEX($FB$49:$FB$52,MATCH(X66,$FA$49:$FA$52,))/3,0)+IF(CA66="自身",#REF!/3,0)),0)+IF(BZ66="te",CB66*(1-$FI$27)*($FA$20-1)*$FB$7/$FB$13*(+IF(CA66="全员",$FA$19*$FA$24/(1+($FA$20-1)*$FA$19),0)+IF(CA66="同作战",$FA$19*$FA$24/(1+($FA$20-1)*$FA$19),0)+IF(CA66="仲间",$FA$19*$FA$24*2/3/(1+($FA$20-1)*$FA$19),0)+IF(CA66="同属性",$FA$19*$FA$24*$FA$37/3/(1+($FA$20-1)*$FA$19),0)+IF(CA66="同年级",$FA$19*$FA$24*$FA$40/3/(1+($FA$20-1)*$FA$19),0)+IF(CA66="同学校",$FA$19*$FA$24*$FA$43/3/(1+($FA$20-1)*$FA$19),0)+IF(CA66="同小队",$FA$19*$FA$24*$FA$46/3/(1+($FA$20-1)*$FA$19),0)+IF(CA66="同type",$FA$19*$FA$24*INDEX($FB$49:$FB$52,MATCH(X66,$FA$49:$FA$52,))/3/(1+($FA$20-1)*$FA$19),0)+IF(CA66="自身",$FA$19*#REF!/3/(1+(BH66-1)*$BD66),0)),0)</f>
        <v>0</v>
      </c>
      <c r="CE66" s="1097">
        <f t="shared" si="41"/>
        <v>0</v>
      </c>
      <c r="CF66" s="1112">
        <f t="shared" si="42"/>
        <v>0</v>
      </c>
      <c r="CG66" s="1100">
        <f t="shared" si="43"/>
        <v>0</v>
      </c>
      <c r="CH66" s="1110">
        <f t="shared" si="44"/>
        <v>0</v>
      </c>
      <c r="CI66" s="1113" t="s">
        <v>165</v>
      </c>
      <c r="CJ66" s="1114">
        <v>0.3</v>
      </c>
      <c r="CK66" s="1115" t="s">
        <v>566</v>
      </c>
      <c r="CL66" s="1115" t="s">
        <v>161</v>
      </c>
      <c r="CM66" s="1119">
        <v>0.03</v>
      </c>
      <c r="CN66" s="1115" t="s">
        <v>163</v>
      </c>
      <c r="CO66" s="1092"/>
      <c r="CP66" s="1118">
        <f t="shared" si="45"/>
        <v>8.9999999999999993E-3</v>
      </c>
      <c r="CQ66" s="1118">
        <f t="shared" si="46"/>
        <v>8.9999999999999993E-3</v>
      </c>
      <c r="CR66" s="1118">
        <f t="shared" si="47"/>
        <v>8.9999999999999993E-3</v>
      </c>
      <c r="CS66" s="1118">
        <f t="shared" si="48"/>
        <v>0</v>
      </c>
      <c r="CT66" s="1109">
        <f t="shared" si="49"/>
        <v>0</v>
      </c>
      <c r="CU66" s="1101">
        <f t="shared" si="50"/>
        <v>1223.846383754709</v>
      </c>
      <c r="CV66" s="1108">
        <f t="shared" si="51"/>
        <v>59.090150531250003</v>
      </c>
      <c r="CW66" s="1097">
        <f t="shared" si="52"/>
        <v>1223.846383754709</v>
      </c>
      <c r="CX66" s="1097">
        <f t="shared" si="53"/>
        <v>1223.846383754709</v>
      </c>
      <c r="CY66" s="1110">
        <f t="shared" si="54"/>
        <v>1223.846383754709</v>
      </c>
      <c r="CZ66" s="437"/>
      <c r="DA66" s="438"/>
      <c r="DB66" s="439" t="s">
        <v>569</v>
      </c>
      <c r="DC66" s="439"/>
      <c r="DD66" s="443"/>
      <c r="DE66" s="411"/>
      <c r="DF66" s="411"/>
      <c r="DG66" s="1116">
        <f t="shared" si="55"/>
        <v>0</v>
      </c>
      <c r="DH66" s="1116">
        <f t="shared" si="56"/>
        <v>0</v>
      </c>
      <c r="DI66" s="1116">
        <f t="shared" si="57"/>
        <v>0</v>
      </c>
      <c r="DJ66" s="442">
        <f t="shared" si="58"/>
        <v>0</v>
      </c>
      <c r="DK66" s="1109">
        <f t="shared" si="59"/>
        <v>0</v>
      </c>
      <c r="DL66" s="1101">
        <f t="shared" si="60"/>
        <v>0</v>
      </c>
      <c r="DM66" s="1097">
        <f t="shared" si="61"/>
        <v>0</v>
      </c>
      <c r="DN66" s="1097">
        <f t="shared" si="62"/>
        <v>0</v>
      </c>
      <c r="DO66" s="1097">
        <f t="shared" si="63"/>
        <v>0</v>
      </c>
      <c r="DP66" s="1110">
        <f t="shared" si="64"/>
        <v>0</v>
      </c>
      <c r="DQ66" s="1113" t="s">
        <v>551</v>
      </c>
      <c r="DR66" s="1120">
        <f t="shared" si="65"/>
        <v>0.3</v>
      </c>
      <c r="DS66" s="1124">
        <v>5</v>
      </c>
      <c r="DT66" s="1093" t="s">
        <v>168</v>
      </c>
      <c r="DU66" s="1093" t="s">
        <v>544</v>
      </c>
      <c r="DV66" s="1098">
        <f>IF($P66="","N/A",IF(P66=-1,INDEX('卡片raw data'!AN:AN,MATCH(D66,'卡片raw data'!$F:$F,)),0)+IF(AND(L66&lt;&gt;"party卡",P66&lt;=2,P66&gt;=0),INDEX('卡片raw data'!AP:AP,MATCH(D66,'卡片raw data'!$F:$F,)),0)+IF(OR(AND(L66="party卡",P66&lt;=1),AND(P66&lt;=4,L66&lt;&gt;"party卡",P66&gt;=3)),INDEX('卡片raw data'!AQ:AQ,MATCH(D66,'卡片raw data'!$F:$F,)),0)+IF(OR(P66=5,AND(L66="party卡",P66&gt;=2)),INDEX('卡片raw data'!AR:AR,MATCH(D66,'卡片raw data'!$F:$F,)),0))</f>
        <v>7.0000000000000007E-2</v>
      </c>
      <c r="DW66" s="1098">
        <f t="shared" si="66"/>
        <v>0.3</v>
      </c>
      <c r="DX66" s="1098">
        <f t="shared" si="67"/>
        <v>0.3</v>
      </c>
      <c r="DY66" s="1098">
        <f t="shared" si="68"/>
        <v>3.5000000000000003E-2</v>
      </c>
      <c r="DZ66" s="1098">
        <f t="shared" si="69"/>
        <v>3.0275000000000003E-2</v>
      </c>
      <c r="EA66" s="1098">
        <f t="shared" si="70"/>
        <v>0</v>
      </c>
      <c r="EB66" s="1121">
        <f t="shared" si="71"/>
        <v>0</v>
      </c>
      <c r="EC66" s="1101">
        <f t="shared" si="72"/>
        <v>2097.4140465403129</v>
      </c>
      <c r="ED66" s="1097">
        <f t="shared" si="73"/>
        <v>0</v>
      </c>
      <c r="EE66" s="1110">
        <f t="shared" si="74"/>
        <v>2097.4140465403129</v>
      </c>
      <c r="EF66" s="1092" t="s">
        <v>711</v>
      </c>
      <c r="EG66" s="1120">
        <f t="shared" si="75"/>
        <v>0.3</v>
      </c>
      <c r="EH66" s="1124"/>
      <c r="EI66" s="1093"/>
      <c r="EJ66" s="1093"/>
      <c r="EK66" s="1097">
        <f>IF($P66="","N/A",IF(P66=-1,INDEX('卡片raw data'!AS:AS,MATCH(D66,'卡片raw data'!$F:$F,)),0)+IF(AND(L66&lt;&gt;"party卡",P66&lt;=2,P66&gt;=0),INDEX('卡片raw data'!AU:AU,MATCH(D66,'卡片raw data'!$F:$F,)),0)+IF(OR(AND(L66="party卡",P66&lt;=1),AND(P66&lt;=4,L66&lt;&gt;"party卡",P66&gt;=3)),INDEX('卡片raw data'!AV:AV,MATCH(D66,'卡片raw data'!$F:$F,)),0)+IF(OR(P66=5,AND(L66="party卡",P66&gt;=2)),INDEX('卡片raw data'!AW:AW,MATCH(D66,'卡片raw data'!$F:$F,)),0))</f>
        <v>0</v>
      </c>
      <c r="EL66" s="1098">
        <f t="shared" si="76"/>
        <v>0.3</v>
      </c>
      <c r="EM66" s="1098">
        <f t="shared" si="77"/>
        <v>0.3</v>
      </c>
      <c r="EN66" s="1125">
        <f t="shared" si="78"/>
        <v>0</v>
      </c>
      <c r="EO66" s="1125">
        <f t="shared" si="79"/>
        <v>0</v>
      </c>
      <c r="EP66" s="1098">
        <f t="shared" si="80"/>
        <v>0</v>
      </c>
      <c r="EQ66" s="1121">
        <f t="shared" si="81"/>
        <v>0</v>
      </c>
      <c r="ER66" s="1101">
        <f t="shared" si="82"/>
        <v>0</v>
      </c>
      <c r="ES66" s="1097">
        <f t="shared" si="83"/>
        <v>0</v>
      </c>
      <c r="ET66" s="1122">
        <f t="shared" si="84"/>
        <v>0</v>
      </c>
      <c r="EV66" s="1222" t="s">
        <v>249</v>
      </c>
      <c r="EW66" s="1325">
        <f>HP(EW62,EW65,EW64)</f>
        <v>0.77824178571428571</v>
      </c>
      <c r="EX66" s="1325"/>
      <c r="EY66" s="1232"/>
      <c r="EZ66" s="1224" t="s">
        <v>251</v>
      </c>
      <c r="FA66" s="1383">
        <v>15</v>
      </c>
      <c r="FB66" s="1330"/>
    </row>
    <row r="67" spans="2:158" ht="16.5" customHeight="1">
      <c r="B67" s="1123" t="str">
        <f>INDEX('卡片raw data'!B:B,MATCH($D67,'卡片raw data'!$F:$F,))</f>
        <v>初始丸</v>
      </c>
      <c r="C67" s="449" t="s">
        <v>123</v>
      </c>
      <c r="D67" s="408">
        <v>64</v>
      </c>
      <c r="E67" s="1090">
        <v>101073001</v>
      </c>
      <c r="F67" s="1090" t="str">
        <f>INDEX('卡片raw data'!C:C,MATCH($D67,'卡片raw data'!$F:$F,))</f>
        <v>UR</v>
      </c>
      <c r="G67" s="1094" t="s">
        <v>39</v>
      </c>
      <c r="H67" s="411">
        <f>IFERROR(INDEX(绊状态确认!C:C,MATCH($G67,绊状态确认!$B:$B,)),"")</f>
        <v>107</v>
      </c>
      <c r="I67" s="450" t="str">
        <f>IFERROR(INDEX(绊状态确认!D:D,MATCH($G67,绊状态确认!$B:$B,)),"")</f>
        <v>水</v>
      </c>
      <c r="J67" s="450" t="str">
        <f>IFERROR(INDEX(绊状态确认!E:E,MATCH($G67,绊状态确认!$B:$B,)),"")</f>
        <v>1年级</v>
      </c>
      <c r="K67" s="451" t="str">
        <f>IFERROR(INDEX(绊状态确认!F:F,MATCH($G67,绊状态确认!$B:$B,)),"")</f>
        <v>AZALEA</v>
      </c>
      <c r="L67" s="1094" t="str">
        <f>INDEX('卡片raw data'!E:E,MATCH($D67,'卡片raw data'!$F:$F,))</f>
        <v>卡池卡</v>
      </c>
      <c r="M67" s="415">
        <v>43735</v>
      </c>
      <c r="N67" s="416">
        <v>0</v>
      </c>
      <c r="O67" s="1091" t="str">
        <f>INDEX('卡片raw data'!D:D,MATCH($D67,'卡片raw data'!$F:$F,))</f>
        <v>sp</v>
      </c>
      <c r="P67" s="417">
        <v>5</v>
      </c>
      <c r="Q67" s="1095">
        <f t="shared" si="0"/>
        <v>46764.946776902136</v>
      </c>
      <c r="R67" s="1096">
        <f t="shared" si="1"/>
        <v>0.54300000000000004</v>
      </c>
      <c r="S67" s="1097">
        <f t="shared" si="2"/>
        <v>21120.545600078269</v>
      </c>
      <c r="T67" s="1098">
        <f t="shared" si="3"/>
        <v>1.056</v>
      </c>
      <c r="U67" s="1099">
        <f t="shared" si="4"/>
        <v>11.885157737142858</v>
      </c>
      <c r="V67" s="1100">
        <f t="shared" si="5"/>
        <v>45912.86817699582</v>
      </c>
      <c r="W67" s="1101">
        <f t="shared" si="6"/>
        <v>7662.858403292752</v>
      </c>
      <c r="X67" s="1096">
        <f t="shared" si="7"/>
        <v>8.8999999999999996E-2</v>
      </c>
      <c r="Y67" s="1097">
        <f t="shared" si="8"/>
        <v>947.92140009368632</v>
      </c>
      <c r="Z67" s="1102">
        <f t="shared" si="9"/>
        <v>11.885157737142858</v>
      </c>
      <c r="AA67" s="1103">
        <f t="shared" si="10"/>
        <v>8610.7798033864383</v>
      </c>
      <c r="AB67" s="1101">
        <f t="shared" si="11"/>
        <v>7662.858403292752</v>
      </c>
      <c r="AC67" s="1104">
        <f t="shared" si="12"/>
        <v>8.8999999999999996E-2</v>
      </c>
      <c r="AD67" s="1105">
        <f t="shared" si="13"/>
        <v>-1.6087500000000001E-2</v>
      </c>
      <c r="AE67" s="1128">
        <f t="shared" si="14"/>
        <v>15.727400823478259</v>
      </c>
      <c r="AF67" s="1130">
        <f t="shared" si="15"/>
        <v>0</v>
      </c>
      <c r="AG67" s="420">
        <f t="shared" si="16"/>
        <v>0</v>
      </c>
      <c r="AH67" s="420">
        <f t="shared" si="17"/>
        <v>0</v>
      </c>
      <c r="AI67" s="1097">
        <f t="shared" si="18"/>
        <v>0</v>
      </c>
      <c r="AJ67" s="420">
        <f t="shared" si="19"/>
        <v>0</v>
      </c>
      <c r="AK67" s="518">
        <f t="shared" si="20"/>
        <v>0</v>
      </c>
      <c r="AL67" s="1106">
        <f>IF($P67="","N/A",(IF($P67=-1,INDEX('卡片raw data'!S:S,MATCH($D67,'卡片raw data'!$F:$F,)),0)+IF($P67=0,INDEX('卡片raw data'!V:V,MATCH($D67,'卡片raw data'!$F:$F,)),0)+IF($P67=1,INDEX('卡片raw data'!Y:Y,MATCH($D67,'卡片raw data'!$F:$F,)),0)+IF($P67=2,INDEX('卡片raw data'!AB:AB,MATCH($D67,'卡片raw data'!$F:$F,)),0)+IF($P67=3,INDEX('卡片raw data'!AE:AE,MATCH($D67,'卡片raw data'!$F:$F,)),0)+IF($P67=4,INDEX('卡片raw data'!AH:AH,MATCH($D67,'卡片raw data'!$F:$F,)),0)+IF($P67=5,INDEX('卡片raw data'!AK:AK,MATCH($D67,'卡片raw data'!$F:$F,)),0)+INDEX('卡片raw data'!S:S,MATCH($D67,'卡片raw data'!$F:$F,))*(IF($F67="UR",0.04,0.033))*(IF($F67="UR",INDEX(绊状态确认!$S:$S,MATCH($G67,绊状态确认!$B:$B,))/2-40)+IF($F67="SR",INDEX(绊状态确认!$R:$R,MATCH($G67,绊状态确认!$B:$B,))/4-15))+IF($F67="R",INDEX(绊状态确认!$Q:$Q,MATCH($G67,绊状态确认!$B:$B,))/6-40/6)))*(INDEX(绊状态确认!$H:$H,MATCH($G67,绊状态确认!$B:$B,))+INDEX(绊状态确认!J:J,MATCH($G67,绊状态确认!$B:$B,)))</f>
        <v>9218.4767999999985</v>
      </c>
      <c r="AM67" s="1106">
        <f>IF($P67="","N/A",(IF($P67=-1,INDEX('卡片raw data'!T:T,MATCH($D67,'卡片raw data'!$F:$F,)),0)+IF($P67=0,INDEX('卡片raw data'!W:W,MATCH($D67,'卡片raw data'!$F:$F,)),0)+IF($P67=1,INDEX('卡片raw data'!Z:Z,MATCH($D67,'卡片raw data'!$F:$F,)),0)+IF($P67=2,INDEX('卡片raw data'!AC:AC,MATCH($D67,'卡片raw data'!$F:$F,)),0)+IF($P67=3,INDEX('卡片raw data'!AF:AF,MATCH($D67,'卡片raw data'!$F:$F,)),0)+IF($P67=4,INDEX('卡片raw data'!AI:AI,MATCH($D67,'卡片raw data'!$F:$F,)),0)+IF($P67=5,INDEX('卡片raw data'!AL:AL,MATCH($D67,'卡片raw data'!$F:$F,)),0)+INDEX('卡片raw data'!T:T,MATCH($D67,'卡片raw data'!$F:$F,))*(IF($F67="UR",0.04,0.033))*(IF($F67="UR",INDEX(绊状态确认!$S:$S,MATCH($G67,绊状态确认!$B:$B,))/2-40)+IF($F67="SR",INDEX(绊状态确认!$R:$R,MATCH($G67,绊状态确认!$B:$B,))/4-15))+IF($F67="R",INDEX(绊状态确认!$Q:$Q,MATCH($G67,绊状态确认!$B:$B,))/6-40/6)))*(INDEX(绊状态确认!$H:$H,MATCH($G67,绊状态确认!$B:$B,))+INDEX(绊状态确认!K:K,MATCH($G67,绊状态确认!$B:$B,)))</f>
        <v>6145.6511999999993</v>
      </c>
      <c r="AN67" s="1106">
        <f>IF($P67="","N/A",(IF($P67=-1,INDEX('卡片raw data'!U:U,MATCH($D67,'卡片raw data'!$F:$F,)),0)+IF($P67=0,INDEX('卡片raw data'!X:X,MATCH($D67,'卡片raw data'!$F:$F,)),0)+IF($P67=1,INDEX('卡片raw data'!AA:AA,MATCH($D67,'卡片raw data'!$F:$F,)),0)+IF($P67=2,INDEX('卡片raw data'!AD:AD,MATCH($D67,'卡片raw data'!$F:$F,)),0)+IF($P67=3,INDEX('卡片raw data'!AG:AG,MATCH($D67,'卡片raw data'!$F:$F,)),0)+IF($P67=4,INDEX('卡片raw data'!AJ:AJ,MATCH($D67,'卡片raw data'!$F:$F,)),0)+IF($P67=5,INDEX('卡片raw data'!AM:AM,MATCH($D67,'卡片raw data'!$F:$F,)),0)+INDEX('卡片raw data'!U:U,MATCH($D67,'卡片raw data'!$F:$F,))*(IF($F67="UR",0.04,0.033))*(IF($F67="UR",INDEX(绊状态确认!$S:$S,MATCH($G67,绊状态确认!$B:$B,))/2-40)+IF($F67="SR",INDEX(绊状态确认!$R:$R,MATCH($G67,绊状态确认!$B:$B,))/4-15))+IF($F67="R",INDEX(绊状态确认!$Q:$Q,MATCH($G67,绊状态确认!$B:$B,))/6-40/6)))*(INDEX(绊状态确认!$H:$H,MATCH($G67,绊状态确认!$B:$B,))+INDEX(绊状态确认!L:L,MATCH($G67,绊状态确认!$B:$B,)))</f>
        <v>15364.127999999999</v>
      </c>
      <c r="AO67" s="1107">
        <f t="shared" si="21"/>
        <v>1</v>
      </c>
      <c r="AP67" s="1131">
        <f>1+(INDEX(绊状态确认!$T:$T,MATCH($G67,绊状态确认!$B:$B,))+0.2)*$AO67</f>
        <v>1.3</v>
      </c>
      <c r="AQ67" s="1108">
        <f t="shared" si="22"/>
        <v>27448.501599999996</v>
      </c>
      <c r="AR67" s="1097">
        <f>(AM67*(1+$EX$9)+$EX$35)*(1+(INDEX(绊状态确认!$T:$T,MATCH($G67,绊状态确认!$B:$B,))+0.2)*AO67)*IF(J67=$FF$17,1+$FE$17,1)*IF(I67=$FF$14,1+$FE$14,1)*(1+$FE$15)</f>
        <v>11092.813888000001</v>
      </c>
      <c r="AS67" s="1097">
        <f>(AN67*(1+$EX$10)+$EX$36)*(1+(INDEX(绊状态确认!$T:$T,MATCH($G67,绊状态确认!$B:$B,))+0.2)*AO67)*IF(J67=$FF$17,1+$FE$17,1)*IF(I67=$FF$14,1+$FE$14,1)*(1+$FE$15)</f>
        <v>27025.371359999997</v>
      </c>
      <c r="AT67" s="1093">
        <f>IF(AND(INDEX('卡片raw data'!AK:AK,MATCH($D67,'卡片raw data'!$F:$F,))&lt;INDEX('卡片raw data'!AM:AM,MATCH($D67,'卡片raw data'!$F:$F,)),INDEX('卡片raw data'!AL:AL,MATCH($D67,'卡片raw data'!$F:$F,))&lt;INDEX('卡片raw data'!AM:AM,MATCH($D67,'卡片raw data'!$F:$F,))),1,0)</f>
        <v>1</v>
      </c>
      <c r="AU67" s="1098">
        <f>MIN(AT67*0.15+AS67*0.00003+INDEX(绊状态确认!M:M,MATCH($G67,绊状态确认!$B:$B,)),1)</f>
        <v>0.9907611408</v>
      </c>
      <c r="AV67" s="1109">
        <f>(INDEX(绊状态确认!$N:$N,MATCH($G67,绊状态确认!$B:$B,))+1.5)*$EW$21</f>
        <v>2.6599999999999997</v>
      </c>
      <c r="AW67" s="1101">
        <f t="shared" si="23"/>
        <v>37700.440597071785</v>
      </c>
      <c r="AX67" s="1097">
        <f t="shared" si="24"/>
        <v>947.921400093687</v>
      </c>
      <c r="AY67" s="1110">
        <f t="shared" si="25"/>
        <v>38648.36199716547</v>
      </c>
      <c r="AZ67" s="429">
        <f t="shared" si="26"/>
        <v>20576.029759999998</v>
      </c>
      <c r="BA67" s="431">
        <f t="shared" si="27"/>
        <v>24691.235711999998</v>
      </c>
      <c r="BB67" s="1097">
        <f>(AM67*(1+$FB$9)+$FB$35)*(1+(INDEX(绊状态确认!$T:$T,MATCH($G67,绊状态确认!$B:$B,))+0.2)*AO67)*IF(J67=$FF$17,1+$FE$17,1)*IF(I67=$FF$14,1+$FE$14,1)*(1+$FE$15)</f>
        <v>11092.813888000001</v>
      </c>
      <c r="BC67" s="1097">
        <f>(AN67*(1+$FB$10)+$FB$36)*(1+(INDEX(绊状态确认!$T:$T,MATCH($G67,绊状态确认!$B:$B,))+0.2)*AO67)*IF(J67=$FF$17,1+$FE$17,1)*IF(I67=$FF$14,1+$FE$14,1)*(1+$FE$15)</f>
        <v>27025.371359999997</v>
      </c>
      <c r="BD67" s="1104">
        <f>MIN(AT67*0.15+BC67*0.00003+INDEX(绊状态确认!M:M,MATCH($G67,绊状态确认!$B:$B,)),1)</f>
        <v>0.9907611408</v>
      </c>
      <c r="BE67" s="432">
        <f>(INDEX(绊状态确认!$N:$N,MATCH($G67,绊状态确认!$B:$B,))+1.5)</f>
        <v>1.9</v>
      </c>
      <c r="BF67" s="1139">
        <f t="array" ref="BF67">SUMPRODUCT(IF(AZ67*AP67*$FI$16:$FI$23*$FA$22&gt;=$FI$24,$FI$24,AZ67*AP67*$FI$16:$FI$23*$FA$22),$FJ$16:$FJ$23)</f>
        <v>40925.723192639991</v>
      </c>
      <c r="BG67" s="1125">
        <f t="array" ref="BG67">SUMPRODUCT(IF(BE67*AZ67*AP67*$FI$16:$FI$23*$FA$22&gt;=$FI$24,$FI$24,BE67*AZ67*AP67*$FI$16:$FI$23*$FA$22),$FJ$16:$FJ$23)</f>
        <v>60000</v>
      </c>
      <c r="BH67" s="1110">
        <f t="shared" si="28"/>
        <v>19941.258480744993</v>
      </c>
      <c r="BI67" s="1111">
        <f>IF(O67="vo",$EW$26/$EW$24*0.05,0)+IF(O67="sk",-$EW$26/$EW$24*(0.05-INDEX(绊状态确认!W:W,MATCH($G67,绊状态确认!$B:$B,)))+0.05*$EW$28,0)+IF(O67="sp",0.05*$EW$32*$EW$30*(1-$EW$33)-(0.05-INDEX(绊状态确认!V:V,MATCH($G67,绊状态确认!$B:$B,)))*$EW$28,0)+IF(O67="gd",-(0.05-INDEX(绊状态确认!X:X,MATCH($G67,绊状态确认!$B:$B,)))*$EW$32*$EW$30*(1-$EW$33),0)</f>
        <v>19.999999999999886</v>
      </c>
      <c r="BJ67" s="1097">
        <f>IF(O67="vo",0.05*(1-$FI$26)*$FA$24,0)+IF(O67="sk",-(0.05-INDEX(绊状态确认!W:W,MATCH($G67,绊状态确认!$B:$B,)))*(1-$FI$26)*$FA$24+0.05*$FA$26,0)+IF(O67="sp",0.05*$FA$32*$FA$27*(1-$FA$33)/$FA$30+0.05*$FA$29/$FA$69*$FA$27*(1-$FA$33)-(0.05-INDEX(绊状态确认!V:V,MATCH($G67,绊状态确认!$B:$B,)))*$FA$26,0)+IF(O67="gd",-(0.05-INDEX(绊状态确认!X:X,MATCH($G67,绊状态确认!$B:$B,)))*$FA$32*$FA$27*(1-$FA$33)/$FA$30-(0.05-INDEX(绊状态确认!X:X,MATCH($G67,绊状态确认!$B:$B,)))*$FA$29/$FA$69*$FA$27*(1-$FA$33),0)</f>
        <v>545.83333333333326</v>
      </c>
      <c r="BK67" s="1110">
        <f>IF(O67="vo",$EW$26/$EW$24*0.05+$EW$26*(-HP($EW$62,$EW$65,$EW$64)+HP($EW$62,$EW$65,(1.05-INDEX(绊状态确认!U:U,MATCH($G67,绊状态确认!$B:$B,)))*$EW$64)),0)+IF(O67="sk",-$EW$26/$EW$24*(0.05-INDEX(绊状态确认!W:W,MATCH($G67,绊状态确认!$B:$B,)))+0.05*$EW$29,0)+IF(O67="sp",0.05*$EW$32*$EW$30*(1-$EW$33)-(0.05-INDEX(绊状态确认!V:V,MATCH($G67,绊状态确认!$B:$B,)))*$EW$29,0)+IF(O67="gd",-(0.05-INDEX(绊状态确认!X:X,MATCH($G67,绊状态确认!$B:$B,)))*$EW$32*$EW$30*(1-$EW$33)+$EW$26*(-HP($EW$62,$EW$65,$EW$64)+HP($EW$62,$EW$65,0.95*$EW$64)),0)</f>
        <v>-1780.0000000000005</v>
      </c>
      <c r="BL67" s="1111">
        <f t="shared" si="29"/>
        <v>0</v>
      </c>
      <c r="BM67" s="1110">
        <f t="shared" si="30"/>
        <v>0</v>
      </c>
      <c r="BN67" s="1113">
        <f t="shared" si="31"/>
        <v>3</v>
      </c>
      <c r="BO67" s="1097">
        <f t="shared" si="32"/>
        <v>4507.7214871259994</v>
      </c>
      <c r="BP67" s="1100">
        <f t="shared" si="33"/>
        <v>221.34103209030098</v>
      </c>
      <c r="BQ67" s="1113" t="s">
        <v>145</v>
      </c>
      <c r="BR67" s="1124" t="s">
        <v>147</v>
      </c>
      <c r="BS67" s="1098">
        <f>IF($P67="","N/A",IF($P67=-1,INDEX('卡片raw data'!AX:AX,MATCH($D67,'卡片raw data'!$F:$F,)),0)+IF($L67="party卡",IF($P67=5,INDEX('卡片raw data'!BD:BD,MATCH($D67,'卡片raw data'!$F:$F,)),IF($P67&gt;=3,INDEX('卡片raw data'!BC:BC,MATCH($D67,'卡片raw data'!$F:$F,)),INDEX('卡片raw data'!BB:BB,MATCH($D67,'卡片raw data'!$F:$F,)))),IF(OR(AND($F67="UR",$P67=0),AND($F67="SR",$P67&gt;=0,$P67&lt;=2),AND($F67="R",$P67&gt;=0,$P67&lt;4)),INDEX('卡片raw data'!AZ:AZ,MATCH($D67,'卡片raw data'!$F:$F,)),0)+IF(OR(AND($F67="UR",$P67&gt;=1,$P67&lt;=4),AND($F67="SR",$P67&lt;=4,$P67&gt;=3),AND($F67="R",$P67=4)),INDEX('卡片raw data'!BA:BA,MATCH($D67,'卡片raw data'!$F:$F,)),0)+IF($P67=5,INDEX('卡片raw data'!BB:BB,MATCH($D67,'卡片raw data'!$F:$F,)),0)))</f>
        <v>4.2000000000000003E-2</v>
      </c>
      <c r="BT67" s="1101">
        <f t="shared" si="34"/>
        <v>2971.3299858096102</v>
      </c>
      <c r="BU67" s="1097">
        <f t="shared" si="35"/>
        <v>214.92580204297263</v>
      </c>
      <c r="BV67" s="1097">
        <f t="shared" si="36"/>
        <v>2971.3299858096102</v>
      </c>
      <c r="BW67" s="1112">
        <f t="shared" si="37"/>
        <v>0</v>
      </c>
      <c r="BX67" s="1100">
        <f t="shared" si="38"/>
        <v>2971.3299858096102</v>
      </c>
      <c r="BY67" s="1110">
        <f t="shared" si="39"/>
        <v>2971.3299858096102</v>
      </c>
      <c r="BZ67" s="1107" t="s">
        <v>569</v>
      </c>
      <c r="CA67" s="1124"/>
      <c r="CB67" s="1098">
        <f>IF($P67="","N/A",IF($P67=-1,INDEX('卡片raw data'!BE:BE,MATCH($D67,'卡片raw data'!$F:$F,)),0)+IF($L67="party卡",IF($P67=5,INDEX('卡片raw data'!BK:BK,MATCH($D67,'卡片raw data'!$F:$F,)),IF($P67&gt;=3,INDEX('卡片raw data'!BJ:BJ,MATCH($D67,'卡片raw data'!$F:$F,)),INDEX('卡片raw data'!BI:BI,MATCH($D67,'卡片raw data'!$F:$F,)))),IF(OR(AND($F67="UR",$P67=0),AND($F67="SR",$P67&gt;=0,$P67&lt;=2),AND($F67="R",$P67&gt;=0,$P67&lt;4)),INDEX('卡片raw data'!BG:BG,MATCH($D67,'卡片raw data'!$F:$F,)),0)+IF(OR(AND($F67="UR",$P67&gt;=1,$P67&lt;=4),AND($F67="SR",$P67&lt;=4,$P67&gt;=3),AND($F67="R",$P67=4)),INDEX('卡片raw data'!BH:BH,MATCH($D67,'卡片raw data'!$F:$F,)),0)+IF($P67=5,INDEX('卡片raw data'!BI:BI,MATCH($D67,'卡片raw data'!$F:$F,)),0)))</f>
        <v>0</v>
      </c>
      <c r="CC67" s="1101">
        <f t="shared" si="40"/>
        <v>0</v>
      </c>
      <c r="CD67" s="1097">
        <f>IF(BZ67="ap",CB67*(1-$FI$26)*$FB$5/$FB$11*(+IF(CA67="全员",$FA$24,0)+IF(CA67="同作战",$FA$24,0)+IF(CA67="仲间",$FA$24*2/3,0)+IF(CA67="同属性",$FA$24*$FA$37/3,0)+IF(CA67="同年级",$FA$24*$FA$40/3,0)+IF(CA67="同学校",$FA$24*$FA$43/3,0)+IF(CA67="同小队",$FA$24*$FA$46/3,0)+IF(CA67="同type",$FA$24*INDEX($FB$49:$FB$52,MATCH(X67,$FA$49:$FA$52,))/3,0)+IF(CA67="自身",#REF!/3,0)),0)+IF(BZ67="te",CB67*(1-$FI$27)*($FA$20-1)*$FB$7/$FB$13*(+IF(CA67="全员",$FA$19*$FA$24/(1+($FA$20-1)*$FA$19),0)+IF(CA67="同作战",$FA$19*$FA$24/(1+($FA$20-1)*$FA$19),0)+IF(CA67="仲间",$FA$19*$FA$24*2/3/(1+($FA$20-1)*$FA$19),0)+IF(CA67="同属性",$FA$19*$FA$24*$FA$37/3/(1+($FA$20-1)*$FA$19),0)+IF(CA67="同年级",$FA$19*$FA$24*$FA$40/3/(1+($FA$20-1)*$FA$19),0)+IF(CA67="同学校",$FA$19*$FA$24*$FA$43/3/(1+($FA$20-1)*$FA$19),0)+IF(CA67="同小队",$FA$19*$FA$24*$FA$46/3/(1+($FA$20-1)*$FA$19),0)+IF(CA67="同type",$FA$19*$FA$24*INDEX($FB$49:$FB$52,MATCH(X67,$FA$49:$FA$52,))/3/(1+($FA$20-1)*$FA$19),0)+IF(CA67="自身",$FA$19*#REF!/3/(1+(BH67-1)*$BD67),0)),0)</f>
        <v>0</v>
      </c>
      <c r="CE67" s="1097">
        <f t="shared" si="41"/>
        <v>0</v>
      </c>
      <c r="CF67" s="1112">
        <f t="shared" si="42"/>
        <v>0</v>
      </c>
      <c r="CG67" s="1100">
        <f t="shared" si="43"/>
        <v>0</v>
      </c>
      <c r="CH67" s="1110">
        <f t="shared" si="44"/>
        <v>0</v>
      </c>
      <c r="CI67" s="1113" t="s">
        <v>165</v>
      </c>
      <c r="CJ67" s="1114">
        <v>0.3</v>
      </c>
      <c r="CK67" s="1115" t="s">
        <v>156</v>
      </c>
      <c r="CL67" s="1115" t="s">
        <v>1940</v>
      </c>
      <c r="CM67" s="1119">
        <v>0.1</v>
      </c>
      <c r="CN67" s="1115"/>
      <c r="CO67" s="1092"/>
      <c r="CP67" s="1116">
        <f t="shared" si="45"/>
        <v>2.9409108857142856</v>
      </c>
      <c r="CQ67" s="1116">
        <f t="shared" si="46"/>
        <v>4.7324868447999995</v>
      </c>
      <c r="CR67" s="1116">
        <f t="shared" si="47"/>
        <v>2.9409108857142856</v>
      </c>
      <c r="CS67" s="1118">
        <f t="shared" si="48"/>
        <v>0</v>
      </c>
      <c r="CT67" s="1109">
        <f t="shared" si="49"/>
        <v>4.8034877800000002</v>
      </c>
      <c r="CU67" s="1101">
        <f t="shared" si="50"/>
        <v>183.80693035714287</v>
      </c>
      <c r="CV67" s="1108">
        <f t="shared" si="51"/>
        <v>197.18695186666662</v>
      </c>
      <c r="CW67" s="1097">
        <f t="shared" si="52"/>
        <v>183.80693035714287</v>
      </c>
      <c r="CX67" s="1097">
        <f t="shared" si="53"/>
        <v>183.80693035714287</v>
      </c>
      <c r="CY67" s="1110">
        <f t="shared" si="54"/>
        <v>183.80693035714287</v>
      </c>
      <c r="CZ67" s="437"/>
      <c r="DA67" s="438"/>
      <c r="DB67" s="439" t="s">
        <v>569</v>
      </c>
      <c r="DC67" s="439"/>
      <c r="DD67" s="443"/>
      <c r="DE67" s="411"/>
      <c r="DF67" s="411"/>
      <c r="DG67" s="1116">
        <f t="shared" si="55"/>
        <v>0</v>
      </c>
      <c r="DH67" s="1116">
        <f t="shared" si="56"/>
        <v>0</v>
      </c>
      <c r="DI67" s="1116">
        <f t="shared" si="57"/>
        <v>0</v>
      </c>
      <c r="DJ67" s="442">
        <f t="shared" si="58"/>
        <v>0</v>
      </c>
      <c r="DK67" s="1109">
        <f t="shared" si="59"/>
        <v>0</v>
      </c>
      <c r="DL67" s="1101">
        <f t="shared" si="60"/>
        <v>0</v>
      </c>
      <c r="DM67" s="1097">
        <f t="shared" si="61"/>
        <v>0</v>
      </c>
      <c r="DN67" s="1097">
        <f t="shared" si="62"/>
        <v>0</v>
      </c>
      <c r="DO67" s="1097">
        <f t="shared" si="63"/>
        <v>0</v>
      </c>
      <c r="DP67" s="1110">
        <f t="shared" si="64"/>
        <v>0</v>
      </c>
      <c r="DQ67" s="1113" t="s">
        <v>256</v>
      </c>
      <c r="DR67" s="1120">
        <f t="shared" si="65"/>
        <v>0.33</v>
      </c>
      <c r="DS67" s="1124"/>
      <c r="DT67" s="1093" t="s">
        <v>132</v>
      </c>
      <c r="DU67" s="1093"/>
      <c r="DV67" s="1098">
        <f>IF($P67="","N/A",IF(P67=-1,INDEX('卡片raw data'!AN:AN,MATCH(D67,'卡片raw data'!$F:$F,)),0)+IF(AND(L67&lt;&gt;"party卡",P67&lt;=2,P67&gt;=0),INDEX('卡片raw data'!AP:AP,MATCH(D67,'卡片raw data'!$F:$F,)),0)+IF(OR(AND(L67="party卡",P67&lt;=1),AND(P67&lt;=4,L67&lt;&gt;"party卡",P67&gt;=3)),INDEX('卡片raw data'!AQ:AQ,MATCH(D67,'卡片raw data'!$F:$F,)),0)+IF(OR(P67=5,AND(L67="party卡",P67&gt;=2)),INDEX('卡片raw data'!AR:AR,MATCH(D67,'卡片raw data'!$F:$F,)),0))</f>
        <v>0.32</v>
      </c>
      <c r="DW67" s="1098">
        <f t="shared" si="66"/>
        <v>0.33</v>
      </c>
      <c r="DX67" s="1098">
        <f t="shared" si="67"/>
        <v>0.33</v>
      </c>
      <c r="DY67" s="1125">
        <f t="shared" si="68"/>
        <v>966.18725631999996</v>
      </c>
      <c r="DZ67" s="1125">
        <f t="shared" si="69"/>
        <v>751.79874495897593</v>
      </c>
      <c r="EA67" s="1098">
        <f t="shared" si="70"/>
        <v>0</v>
      </c>
      <c r="EB67" s="1121">
        <f t="shared" si="71"/>
        <v>0</v>
      </c>
      <c r="EC67" s="1101">
        <f t="shared" si="72"/>
        <v>1381.6477765376001</v>
      </c>
      <c r="ED67" s="1097">
        <f t="shared" si="73"/>
        <v>0</v>
      </c>
      <c r="EE67" s="1110">
        <f t="shared" si="74"/>
        <v>1381.6477765376001</v>
      </c>
      <c r="EF67" s="1092" t="s">
        <v>711</v>
      </c>
      <c r="EG67" s="1120">
        <f t="shared" si="75"/>
        <v>0.33</v>
      </c>
      <c r="EH67" s="1124"/>
      <c r="EI67" s="1093"/>
      <c r="EJ67" s="1093"/>
      <c r="EK67" s="1097">
        <f>IF($P67="","N/A",IF(P67=-1,INDEX('卡片raw data'!AS:AS,MATCH(D67,'卡片raw data'!$F:$F,)),0)+IF(AND(L67&lt;&gt;"party卡",P67&lt;=2,P67&gt;=0),INDEX('卡片raw data'!AU:AU,MATCH(D67,'卡片raw data'!$F:$F,)),0)+IF(OR(AND(L67="party卡",P67&lt;=1),AND(P67&lt;=4,L67&lt;&gt;"party卡",P67&gt;=3)),INDEX('卡片raw data'!AV:AV,MATCH(D67,'卡片raw data'!$F:$F,)),0)+IF(OR(P67=5,AND(L67="party卡",P67&gt;=2)),INDEX('卡片raw data'!AW:AW,MATCH(D67,'卡片raw data'!$F:$F,)),0))</f>
        <v>0</v>
      </c>
      <c r="EL67" s="1098">
        <f t="shared" si="76"/>
        <v>0.33</v>
      </c>
      <c r="EM67" s="1098">
        <f t="shared" si="77"/>
        <v>0.33</v>
      </c>
      <c r="EN67" s="1125">
        <f t="shared" si="78"/>
        <v>0</v>
      </c>
      <c r="EO67" s="1125">
        <f t="shared" si="79"/>
        <v>0</v>
      </c>
      <c r="EP67" s="1098">
        <f t="shared" si="80"/>
        <v>0</v>
      </c>
      <c r="EQ67" s="1121">
        <f t="shared" si="81"/>
        <v>0</v>
      </c>
      <c r="ER67" s="1101">
        <f t="shared" si="82"/>
        <v>0</v>
      </c>
      <c r="ES67" s="1097">
        <f t="shared" si="83"/>
        <v>0</v>
      </c>
      <c r="ET67" s="1122">
        <f t="shared" si="84"/>
        <v>0</v>
      </c>
      <c r="EV67" s="1225" t="s">
        <v>2122</v>
      </c>
      <c r="EW67" s="1387">
        <v>1</v>
      </c>
      <c r="EX67" s="1388"/>
      <c r="EY67" s="1232"/>
      <c r="EZ67" s="1222" t="s">
        <v>675</v>
      </c>
      <c r="FA67" s="1328">
        <v>0.4</v>
      </c>
      <c r="FB67" s="1329"/>
    </row>
    <row r="68" spans="2:158" ht="16.5" customHeight="1">
      <c r="B68" s="1123" t="str">
        <f>INDEX('卡片raw data'!B:B,MATCH($D68,'卡片raw data'!$F:$F,))</f>
        <v>校服鞠</v>
      </c>
      <c r="C68" s="449" t="s">
        <v>22</v>
      </c>
      <c r="D68" s="408">
        <v>65</v>
      </c>
      <c r="E68" s="1090">
        <v>101081001</v>
      </c>
      <c r="F68" s="1090" t="str">
        <f>INDEX('卡片raw data'!C:C,MATCH($D68,'卡片raw data'!$F:$F,))</f>
        <v>R</v>
      </c>
      <c r="G68" s="1094" t="s">
        <v>345</v>
      </c>
      <c r="H68" s="411">
        <f>IFERROR(INDEX(绊状态确认!C:C,MATCH($G68,绊状态确认!$B:$B,)),"")</f>
        <v>108</v>
      </c>
      <c r="I68" s="450" t="str">
        <f>IFERROR(INDEX(绊状态确认!D:D,MATCH($G68,绊状态确认!$B:$B,)),"")</f>
        <v>水</v>
      </c>
      <c r="J68" s="450" t="str">
        <f>IFERROR(INDEX(绊状态确认!E:E,MATCH($G68,绊状态确认!$B:$B,)),"")</f>
        <v>3年级</v>
      </c>
      <c r="K68" s="451" t="str">
        <f>IFERROR(INDEX(绊状态确认!F:F,MATCH($G68,绊状态确认!$B:$B,)),"")</f>
        <v>Guilty Kiss</v>
      </c>
      <c r="L68" s="1094" t="str">
        <f>INDEX('卡片raw data'!E:E,MATCH($D68,'卡片raw data'!$F:$F,))</f>
        <v>卡池卡</v>
      </c>
      <c r="M68" s="415">
        <v>43735</v>
      </c>
      <c r="N68" s="416">
        <v>0</v>
      </c>
      <c r="O68" s="1091" t="str">
        <f>INDEX('卡片raw data'!D:D,MATCH($D68,'卡片raw data'!$F:$F,))</f>
        <v>sp</v>
      </c>
      <c r="P68" s="417">
        <v>5</v>
      </c>
      <c r="Q68" s="1095">
        <f t="shared" ref="Q68:Q131" si="88">IF($P68="",0,AW68+BI68+BO68+BT68+CU68+EC68+ER68+CC68+DL68+BL68)</f>
        <v>14464.575617004675</v>
      </c>
      <c r="R68" s="1096">
        <f t="shared" ref="R68:R131" si="89">_xlfn.FLOOR.MATH(IF($P68="","N/A",Q68/$EW$81)*1000)/1000</f>
        <v>0.16800000000000001</v>
      </c>
      <c r="S68" s="1097">
        <f t="shared" ref="S68:S131" si="90">IF($P68="",0,BH68+BJ68+BP68+BU68+CV68+ED68+ES68+CD68+DM68+BM68)</f>
        <v>8671.5254411547648</v>
      </c>
      <c r="T68" s="1098">
        <f t="shared" ref="T68:T131" si="91">_xlfn.FLOOR.MATH(IF($P68="","N/A",S68/($FI$24/3))*1000)/1000</f>
        <v>0.433</v>
      </c>
      <c r="U68" s="1099">
        <f t="shared" ref="U68:U131" si="92">$EW$64*(IF(O68="vo",-0.05)+IF(O68="gd",0.05))+CP68*(IF(CK68="减伤",$EW$64*(1-$EW$75))+IF(OR(CK68="加盾",AND(CK68="回血",OR(CI68&lt;&gt;"切队",CO68=""))),1))+DG68*(IF(DB68="减伤",$EW$64*(1-$EW$75))+IF(OR(DB68="加盾",AND(DB68="回血",OR(CZ68&lt;&gt;"切队",DF68=""))),1))+AR68*$EW$78/$EW$65+BW68+CF68+DY68*(1+IF(O68="sk",0.05)+IF(O68="sp",-0.05))*(IF(DQ68="减伤",$EW$64*(1-$EW$75))+IF(OR(DQ68="回血",DQ68="加盾"),1))+EN68*(1+IF(O68="sk",0.05)+IF(O68="sp",-0.05))*(IF(EF68="减伤",$EW$64*(1-$EW$75))+IF(OR(EF68="回血",EF68="加盾"),1))</f>
        <v>7.2864452421428565</v>
      </c>
      <c r="V68" s="1100">
        <f t="shared" ref="V68:V131" si="93">IF($P68="",0,AY68+BK68+BO68+BX68+CX68+EE68+ET68+CG68+DO68+BL68)</f>
        <v>13240.294649661064</v>
      </c>
      <c r="W68" s="1101">
        <f t="shared" ref="W68:W131" si="94">IF($P68="",0,BO68+BV68+CW68+CE68+DN68)</f>
        <v>3578.1898696329963</v>
      </c>
      <c r="X68" s="1096">
        <f t="shared" ref="X68:X131" si="95">_xlfn.FLOOR.MATH(IF($P68="","N/A",W68/$EW$81)*1000)/1000</f>
        <v>4.1000000000000002E-2</v>
      </c>
      <c r="Y68" s="1097">
        <f t="shared" ref="Y68:Y131" si="96">IF($P68="",0,AA68-W68)</f>
        <v>575.71903265639321</v>
      </c>
      <c r="Z68" s="1102">
        <f t="shared" ref="Z68:Z131" si="97">CP68*IF(OR(CI68="ap时",CI68="ct时"),0,1)*(IF(CK68="减伤",$EW$64*(1-$EW$75))+IF(OR(CK68="加盾",AND(CK68="回血",OR(CI68&lt;&gt;"切队",CO68=""))),1))+DG68*IF(OR(CZ68="ap时",CZ68="ct时"),0,1)*(IF(DB68="减伤",$EW$64*(1-$EW$75))+IF(OR(DB68="加盾",AND(DB68="回血",OR(CZ68&lt;&gt;"切队",DF68=""))),1))+AR68*$EW$78/$EW$65+BW68+CF68</f>
        <v>7.2864452421428565</v>
      </c>
      <c r="AA68" s="1103">
        <f t="shared" ref="AA68:AA131" si="98">IF($P68="",0,BO68+BY68+CY68+AX68+CH68+DP68)</f>
        <v>4153.9089022893895</v>
      </c>
      <c r="AB68" s="1101">
        <f t="shared" ref="AB68:AB131" si="99">IF($P68="",0,BT68+CU68+BO68+CC68+DL68)</f>
        <v>4023.8893675044378</v>
      </c>
      <c r="AC68" s="1104">
        <f t="shared" ref="AC68:AC131" si="100">_xlfn.FLOOR.MATH(IF($P68="","N/A",AB68/$EW$81)*1000)/1000</f>
        <v>4.5999999999999999E-2</v>
      </c>
      <c r="AD68" s="1105">
        <f t="shared" ref="AD68:AD131" si="101">CS68+DJ68+EA68+EP68+IF(O68="sp",-0.05*FM$14*FM$15/2)+IF(O68="sk",0.05*FM$14*FM$15/2)+IF(O68="sk",FM$11^2/(3-FM$11)*FM$12)-IF(O68="sk",FM$10,FM$9)*IF(O68="sk",FM$18,FM$17)*($FM$14-DR68)</f>
        <v>-1.9908281250000003E-2</v>
      </c>
      <c r="AE68" s="1128">
        <f t="shared" ref="AE68:AE131" si="102">AD68/FM$18*FM$29+CT68+DK68+EB68+EQ68+IF(O68="sp",0.05*$FM$9*3*FM$26)-IF(O68="gd",0.05*$FM$9*3*FM$26)+IF(O68="sp",300*1/3*$FM$11/2)+IF(O68="sk",FM$11^2/(3-FM$11)*FM$13)+IF(F68="R",-100*IF(O68="sk",FM$10,FM$9))+IF(F68="SR",-50*IF(O68="sk",FM$10,FM$9))</f>
        <v>-11.768115942028986</v>
      </c>
      <c r="AF68" s="1130">
        <f t="shared" ref="AF68:AF131" si="103">IF(OR(DQ68="回血",DQ68="加盾"),EN68/EL68*3*2*IF(EG68=0.11,$EW$71,$EW$70)+DY68/DW68*3*2*IF(DR68=0.11,$EW$71,$EW$70)+IF(O68="gd",AR68*0.05)+IF(OR(CK68="回血",CK68="加盾"),-(CR68-CP68)*6)+IF(AND(CI68="切队",CO68=""),CP68/$EW$79*$EW$65*2),0)</f>
        <v>0</v>
      </c>
      <c r="AG68" s="420">
        <f t="shared" ref="AG68:AG131" si="104">IF(OR(DQ68="回血",DQ68="加盾"),MAX($EW$64*$EW$65*IF(CK68="减伤",(1-IF(CI68="切队",IF(CO68&lt;&gt;"",MAX(CO68/$EW$79,1),0),1)*CR68),1)-$EW$62*0.3+$EX$17-AR68-(BW68+CF68)/$EW$78*$EW$65-IF(OR(CK68="回血",CK68="加盾"),IF(CI68="切队",IF(CO68&lt;&gt;"",MAX(CO68/$EW$79,1),0),1)*CR68*$EW$65),0),0)</f>
        <v>0</v>
      </c>
      <c r="AH68" s="420">
        <f t="shared" ref="AH68:AH131" si="105">IFERROR(AG68/AF68,0)</f>
        <v>0</v>
      </c>
      <c r="AI68" s="1097">
        <f t="shared" ref="AI68:AI131" si="106">IF(OR(DQ68="回血",DQ68="加盾"),$EW$26*(1-$EW$66)/$EW$66-AH68*(($EW$26*IF(O68="sk",14/3-8/3*$EW$68,5-3*$EW$68)-2*3*Q68*$EW$69)/$EW$66)/$EW$65+($EW$26/3+$EW$26/$EW$24*0.05+$EW$61*4*$EW$26*$EX$5/$EX$11+$EW$28)-($EW$72-W68),0)</f>
        <v>0</v>
      </c>
      <c r="AJ68" s="420">
        <f t="shared" ref="AJ68:AJ131" si="107">IF(OR(DQ68="回血",DQ68="加盾"),V68,0)</f>
        <v>0</v>
      </c>
      <c r="AK68" s="518">
        <f t="shared" ref="AK68:AK131" si="108">IFERROR(AI68-AJ68,"")</f>
        <v>0</v>
      </c>
      <c r="AL68" s="1106">
        <f>IF($P68="","N/A",(IF($P68=-1,INDEX('卡片raw data'!S:S,MATCH($D68,'卡片raw data'!$F:$F,)),0)+IF($P68=0,INDEX('卡片raw data'!V:V,MATCH($D68,'卡片raw data'!$F:$F,)),0)+IF($P68=1,INDEX('卡片raw data'!Y:Y,MATCH($D68,'卡片raw data'!$F:$F,)),0)+IF($P68=2,INDEX('卡片raw data'!AB:AB,MATCH($D68,'卡片raw data'!$F:$F,)),0)+IF($P68=3,INDEX('卡片raw data'!AE:AE,MATCH($D68,'卡片raw data'!$F:$F,)),0)+IF($P68=4,INDEX('卡片raw data'!AH:AH,MATCH($D68,'卡片raw data'!$F:$F,)),0)+IF($P68=5,INDEX('卡片raw data'!AK:AK,MATCH($D68,'卡片raw data'!$F:$F,)),0)+INDEX('卡片raw data'!S:S,MATCH($D68,'卡片raw data'!$F:$F,))*(IF($F68="UR",0.04,0.033))*(IF($F68="UR",INDEX(绊状态确认!$S:$S,MATCH($G68,绊状态确认!$B:$B,))/2-40)+IF($F68="SR",INDEX(绊状态确认!$R:$R,MATCH($G68,绊状态确认!$B:$B,))/4-15))+IF($F68="R",INDEX(绊状态确认!$Q:$Q,MATCH($G68,绊状态确认!$B:$B,))/6-40/6)))*(INDEX(绊状态确认!$H:$H,MATCH($G68,绊状态确认!$B:$B,))+INDEX(绊状态确认!J:J,MATCH($G68,绊状态确认!$B:$B,)))</f>
        <v>3601.2515999999996</v>
      </c>
      <c r="AM68" s="1106">
        <f>IF($P68="","N/A",(IF($P68=-1,INDEX('卡片raw data'!T:T,MATCH($D68,'卡片raw data'!$F:$F,)),0)+IF($P68=0,INDEX('卡片raw data'!W:W,MATCH($D68,'卡片raw data'!$F:$F,)),0)+IF($P68=1,INDEX('卡片raw data'!Z:Z,MATCH($D68,'卡片raw data'!$F:$F,)),0)+IF($P68=2,INDEX('卡片raw data'!AC:AC,MATCH($D68,'卡片raw data'!$F:$F,)),0)+IF($P68=3,INDEX('卡片raw data'!AF:AF,MATCH($D68,'卡片raw data'!$F:$F,)),0)+IF($P68=4,INDEX('卡片raw data'!AI:AI,MATCH($D68,'卡片raw data'!$F:$F,)),0)+IF($P68=5,INDEX('卡片raw data'!AL:AL,MATCH($D68,'卡片raw data'!$F:$F,)),0)+INDEX('卡片raw data'!T:T,MATCH($D68,'卡片raw data'!$F:$F,))*(IF($F68="UR",0.04,0.033))*(IF($F68="UR",INDEX(绊状态确认!$S:$S,MATCH($G68,绊状态确认!$B:$B,))/2-40)+IF($F68="SR",INDEX(绊状态确认!$R:$R,MATCH($G68,绊状态确认!$B:$B,))/4-15))+IF($F68="R",INDEX(绊状态确认!$Q:$Q,MATCH($G68,绊状态确认!$B:$B,))/6-40/6)))*(INDEX(绊状态确认!$H:$H,MATCH($G68,绊状态确认!$B:$B,))+INDEX(绊状态确认!K:K,MATCH($G68,绊状态确认!$B:$B,)))</f>
        <v>3001.2323999999994</v>
      </c>
      <c r="AN68" s="1106">
        <f>IF($P68="","N/A",(IF($P68=-1,INDEX('卡片raw data'!U:U,MATCH($D68,'卡片raw data'!$F:$F,)),0)+IF($P68=0,INDEX('卡片raw data'!X:X,MATCH($D68,'卡片raw data'!$F:$F,)),0)+IF($P68=1,INDEX('卡片raw data'!AA:AA,MATCH($D68,'卡片raw data'!$F:$F,)),0)+IF($P68=2,INDEX('卡片raw data'!AD:AD,MATCH($D68,'卡片raw data'!$F:$F,)),0)+IF($P68=3,INDEX('卡片raw data'!AG:AG,MATCH($D68,'卡片raw data'!$F:$F,)),0)+IF($P68=4,INDEX('卡片raw data'!AJ:AJ,MATCH($D68,'卡片raw data'!$F:$F,)),0)+IF($P68=5,INDEX('卡片raw data'!AM:AM,MATCH($D68,'卡片raw data'!$F:$F,)),0)+INDEX('卡片raw data'!U:U,MATCH($D68,'卡片raw data'!$F:$F,))*(IF($F68="UR",0.04,0.033))*(IF($F68="UR",INDEX(绊状态确认!$S:$S,MATCH($G68,绊状态确认!$B:$B,))/2-40)+IF($F68="SR",INDEX(绊状态确认!$R:$R,MATCH($G68,绊状态确认!$B:$B,))/4-15))+IF($F68="R",INDEX(绊状态确认!$Q:$Q,MATCH($G68,绊状态确认!$B:$B,))/6-40/6)))*(INDEX(绊状态确认!$H:$H,MATCH($G68,绊状态确认!$B:$B,))+INDEX(绊状态确认!L:L,MATCH($G68,绊状态确认!$B:$B,)))</f>
        <v>5401.3091999999997</v>
      </c>
      <c r="AO68" s="1107">
        <f t="shared" ref="AO68:AO131" si="109">IF(OR($FE$5=C68,$FE$5="全"),1,0)</f>
        <v>1</v>
      </c>
      <c r="AP68" s="1131">
        <f>1+(INDEX(绊状态确认!$T:$T,MATCH($G68,绊状态确认!$B:$B,))+0.2)*$AO68</f>
        <v>1.3</v>
      </c>
      <c r="AQ68" s="1108">
        <f t="shared" ref="AQ68:AQ131" si="110">(AL68*(1+$EX$8)+$EX$34)*(1+$EW$15)*IF(AO68=0,1-$FE$6,1)*IF(AO68=1,1+$FE$7,1)*IF(O68="vo",1+$FE$8,1)*IF(O68="gd",1+$FE$9,1)*IF(O68="sp",1+$FE$10,1)*IF(O68="sk",1+$FE$11,1)*IF(I68=$FF$12,1+$FE$12,1)*IF(I68=$FF$13,1,1-$FE$13)*IF(I68=$FF$14,1+$FE$14,1)*IF(J68=$FF$16,1+$FE$16,1)*IF(J68=$FF$17,1+$FE$17,1)*IF(K68=$FF$18,1+$FE$18,1)*(1+$FE$15)</f>
        <v>12703.285449999999</v>
      </c>
      <c r="AR68" s="1097">
        <f>(AM68*(1+$EX$9)+$EX$35)*(1+(INDEX(绊状态确认!$T:$T,MATCH($G68,绊状态确认!$B:$B,))+0.2)*AO68)*IF(J68=$FF$17,1+$FE$17,1)*IF(I68=$FF$14,1+$FE$14,1)</f>
        <v>6800.682225999999</v>
      </c>
      <c r="AS68" s="1097">
        <f>(AN68*(1+$EX$10)+$EX$36)*(1+(INDEX(绊状态确认!$T:$T,MATCH($G68,绊状态确认!$B:$B,))+0.2)*AO68)*IF(J68=$FF$17,1+$FE$17,1)*IF(I68=$FF$14,1+$FE$14,1)</f>
        <v>12130.957253999999</v>
      </c>
      <c r="AT68" s="1093">
        <f>IF(AND(INDEX('卡片raw data'!AK:AK,MATCH($D68,'卡片raw data'!$F:$F,))&lt;INDEX('卡片raw data'!AM:AM,MATCH($D68,'卡片raw data'!$F:$F,)),INDEX('卡片raw data'!AL:AL,MATCH($D68,'卡片raw data'!$F:$F,))&lt;INDEX('卡片raw data'!AM:AM,MATCH($D68,'卡片raw data'!$F:$F,))),1,0)</f>
        <v>1</v>
      </c>
      <c r="AU68" s="1098">
        <f>MIN(AT68*0.15+AS68*0.00003+INDEX(绊状态确认!M:M,MATCH($G68,绊状态确认!$B:$B,)),1)</f>
        <v>0.54392871761999995</v>
      </c>
      <c r="AV68" s="1109">
        <f>(INDEX(绊状态确认!$N:$N,MATCH($G68,绊状态确认!$B:$B,))+1.5)*$EW$21</f>
        <v>2.6599999999999997</v>
      </c>
      <c r="AW68" s="1101">
        <f t="shared" ref="AW68:AW131" si="111">AQ68*(1+(AV68-1)*AU68)*(AP68)*(1+EW$25)*EW$66/3*$EW$24</f>
        <v>12554.352916166901</v>
      </c>
      <c r="AX68" s="1097">
        <f t="shared" ref="AX68:AX131" si="112">$EW$26*(HP($EW$62,$EW$65,$EW$64-AR68*$EW$78/$EW$65)/$EW$66-1)</f>
        <v>575.71903265639287</v>
      </c>
      <c r="AY68" s="1110">
        <f t="shared" ref="AY68:AY131" si="113">AW68+AX68</f>
        <v>13130.071948823293</v>
      </c>
      <c r="AZ68" s="429">
        <f t="shared" ref="AZ68:AZ131" si="114">(AL68*(1+$FB$8)+$FB$34)*IF(AO68=0,1-$FE$6,1)*IF(AO68=1,1+$FE$7,1)*IF(O68="vo",1+$FE$8,1)*IF(O68="gd",1+$FE$9,1)*IF(O68="sp",1+$FE$10,1)*IF(O68="sk",1+$FE$11,1)*IF(I68=$FF$12,1+$FE$12,1)*IF(I68=$FF$13,1,1-$FE$13)*IF(I68=$FF$14,1+$FE$14,1)*IF(J68=$FF$16,1+$FE$16,1)*IF(J68=$FF$17,1+$FE$17,1)*IF(K68=$FF$18,1+$FE$18,1)*(1+$FE$15)</f>
        <v>9622.4406199999994</v>
      </c>
      <c r="BA68" s="431">
        <f t="shared" ref="BA68:BA131" si="115">AZ68*(1+$FA$15)</f>
        <v>11546.928743999999</v>
      </c>
      <c r="BB68" s="1097">
        <f>(AM68*(1+$FB$9)+$FB$35)*(1+(INDEX(绊状态确认!$T:$T,MATCH($G68,绊状态确认!$B:$B,))+0.2)*AO68)*IF(J68=$FF$17,1+$FE$17,1)*IF(I68=$FF$14,1+$FE$14,1)*(1+$FE$15)</f>
        <v>6800.682225999999</v>
      </c>
      <c r="BC68" s="1097">
        <f>(AN68*(1+$FB$10)+$FB$36)*(1+(INDEX(绊状态确认!$T:$T,MATCH($G68,绊状态确认!$B:$B,))+0.2)*AO68)*IF(J68=$FF$17,1+$FE$17,1)*IF(I68=$FF$14,1+$FE$14,1)*(1+$FE$15)</f>
        <v>12130.957253999999</v>
      </c>
      <c r="BD68" s="1104">
        <f>MIN(AT68*0.15+BC68*0.00003+INDEX(绊状态确认!M:M,MATCH($G68,绊状态确认!$B:$B,)),1)</f>
        <v>0.54392871761999995</v>
      </c>
      <c r="BE68" s="432">
        <f>(INDEX(绊状态确认!$N:$N,MATCH($G68,绊状态确认!$B:$B,))+1.5)</f>
        <v>1.9</v>
      </c>
      <c r="BF68" s="1139">
        <f t="array" ref="BF68">SUMPRODUCT(IF(AZ68*AP68*$FI$16:$FI$23*$FA$22&gt;=$FI$24,$FI$24,AZ68*AP68*$FI$16:$FI$23*$FA$22),$FJ$16:$FJ$23)</f>
        <v>19139.034393180002</v>
      </c>
      <c r="BG68" s="1125">
        <f t="array" ref="BG68">SUMPRODUCT(IF(BE68*AZ68*AP68*$FI$16:$FI$23*$FA$22&gt;=$FI$24,$FI$24,BE68*AZ68*AP68*$FI$16:$FI$23*$FA$22),$FJ$16:$FJ$23)</f>
        <v>36364.165347041999</v>
      </c>
      <c r="BH68" s="1110">
        <f t="shared" ref="BH68:BH131" si="116">((1-$BD68)*BF68+$BD68*BG68)/3</f>
        <v>9502.7592612502413</v>
      </c>
      <c r="BI68" s="1111">
        <f>IF(O68="vo",$EW$26/$EW$24*0.05,0)+IF(O68="sk",-$EW$26/$EW$24*(0.05-INDEX(绊状态确认!W:W,MATCH($G68,绊状态确认!$B:$B,)))+0.05*$EW$28,0)+IF(O68="sp",0.05*$EW$32*$EW$30*(1-$EW$33)-(0.05-INDEX(绊状态确认!V:V,MATCH($G68,绊状态确认!$B:$B,)))*$EW$28,0)+IF(O68="gd",-(0.05-INDEX(绊状态确认!X:X,MATCH($G68,绊状态确认!$B:$B,)))*$EW$32*$EW$30*(1-$EW$33),0)</f>
        <v>19.999999999999886</v>
      </c>
      <c r="BJ68" s="1097">
        <f>IF(O68="vo",0.05*(1-$FI$26)*$FA$24,0)+IF(O68="sk",-(0.05-INDEX(绊状态确认!W:W,MATCH($G68,绊状态确认!$B:$B,)))*(1-$FI$26)*$FA$24+0.05*$FA$26,0)+IF(O68="sp",0.05*$FA$32*$FA$27*(1-$FA$33)/$FA$30+0.05*$FA$29/$FA$69*$FA$27*(1-$FA$33)-(0.05-INDEX(绊状态确认!V:V,MATCH($G68,绊状态确认!$B:$B,)))*$FA$26,0)+IF(O68="gd",-(0.05-INDEX(绊状态确认!X:X,MATCH($G68,绊状态确认!$B:$B,)))*$FA$32*$FA$27*(1-$FA$33)/$FA$30-(0.05-INDEX(绊状态确认!X:X,MATCH($G68,绊状态确认!$B:$B,)))*$FA$29/$FA$69*$FA$27*(1-$FA$33),0)</f>
        <v>545.83333333333326</v>
      </c>
      <c r="BK68" s="1110">
        <f>IF(O68="vo",$EW$26/$EW$24*0.05+$EW$26*(-HP($EW$62,$EW$65,$EW$64)+HP($EW$62,$EW$65,(1.05-INDEX(绊状态确认!U:U,MATCH($G68,绊状态确认!$B:$B,)))*$EW$64)),0)+IF(O68="sk",-$EW$26/$EW$24*(0.05-INDEX(绊状态确认!W:W,MATCH($G68,绊状态确认!$B:$B,)))+0.05*$EW$29,0)+IF(O68="sp",0.05*$EW$32*$EW$30*(1-$EW$33)-(0.05-INDEX(绊状态确认!V:V,MATCH($G68,绊状态确认!$B:$B,)))*$EW$29,0)+IF(O68="gd",-(0.05-INDEX(绊状态确认!X:X,MATCH($G68,绊状态确认!$B:$B,)))*$EW$32*$EW$30*(1-$EW$33)+$EW$26*(-HP($EW$62,$EW$65,$EW$64)+HP($EW$62,$EW$65,0.95*$EW$64)),0)</f>
        <v>-1780.0000000000005</v>
      </c>
      <c r="BL68" s="1111">
        <f t="shared" ref="BL68:BL131" si="117">(IF(F68="UR",0)+IF(F68="SR",-1/4)+IF(F68="R",-1/2))*1/3*$EW$31/$EW$77*$EW$30</f>
        <v>-2166.6666666666665</v>
      </c>
      <c r="BM68" s="1110">
        <f t="shared" ref="BM68:BM131" si="118">(IF(F68="UR",0)+IF(F68="SR",-1/4)+IF(F68="R",-1/2))*1/3*$FA$31/$FA$69*$FA$27</f>
        <v>-1661.1111111111109</v>
      </c>
      <c r="BN68" s="1113">
        <f t="shared" ref="BN68:BN131" si="119">IF($P68="","N/A",IF(P68=-1,IF(OR(L68="fes卡",L68="party卡"),2,1),IF(F68="UR",IF(L68="party卡",4-IF(P68=0,1),IF(L68="fes卡",4,3)-IF(P68&gt;=4,0,1)))+IF(F68="SR",IF(P68&gt;=4,3,2))+IF(F68="R",2)))</f>
        <v>2</v>
      </c>
      <c r="BO68" s="1097">
        <f t="shared" ref="BO68:BO131" si="120">$EW$61*$BN68*$EW$26*$EX$5/$EX$11</f>
        <v>3005.1476580839999</v>
      </c>
      <c r="BP68" s="1100">
        <f t="shared" ref="BP68:BP131" si="121">BN68*$FA$58*(1-$FI$26)*$FA$24*$FB$5/$FB$11</f>
        <v>147.56068806020068</v>
      </c>
      <c r="BQ68" s="1113" t="s">
        <v>616</v>
      </c>
      <c r="BR68" s="1124" t="s">
        <v>620</v>
      </c>
      <c r="BS68" s="1098">
        <f>IF($P68="","N/A",IF($P68=-1,INDEX('卡片raw data'!AX:AX,MATCH($D68,'卡片raw data'!$F:$F,)),0)+IF($L68="party卡",IF($P68=5,INDEX('卡片raw data'!BD:BD,MATCH($D68,'卡片raw data'!$F:$F,)),IF($P68&gt;=3,INDEX('卡片raw data'!BC:BC,MATCH($D68,'卡片raw data'!$F:$F,)),INDEX('卡片raw data'!BB:BB,MATCH($D68,'卡片raw data'!$F:$F,)))),IF(OR(AND($F68="UR",$P68=0),AND($F68="SR",$P68&gt;=0,$P68&lt;=2),AND($F68="R",$P68&gt;=0,$P68&lt;4)),INDEX('卡片raw data'!AZ:AZ,MATCH($D68,'卡片raw data'!$F:$F,)),0)+IF(OR(AND($F68="UR",$P68&gt;=1,$P68&lt;=4),AND($F68="SR",$P68&lt;=4,$P68&gt;=3),AND($F68="R",$P68=4)),INDEX('卡片raw data'!BA:BA,MATCH($D68,'卡片raw data'!$F:$F,)),0)+IF($P68=5,INDEX('卡片raw data'!BB:BB,MATCH($D68,'卡片raw data'!$F:$F,)),0)))</f>
        <v>2.7E-2</v>
      </c>
      <c r="BT68" s="1101">
        <f t="shared" ref="BT68:BT131" si="122">IF(BQ68="ap",BS68*$EX$5/$EX$11*(+IF(BR68="全员",$EW$26,0)+IF(BR68="同作战",$EW$26,0)+IF(BR68="仲间",$EW$26*2/3,0)+IF(BR68="同属性",$EW$26*$EW$37/3,0)+IF(BR68="同年级",$EW$26*$EW$40/3,0)+IF(BR68="同学校",$EW$26*$EW$43/3,0)+IF(BR68="同小队",$EW$26*$EW$46/3,0)+IF(BR68="同type",$EW$26*INDEX($EX$49:$EX$52,MATCH(O68,$EW$49:$EW$52,))/3,0)+IF(BR68="自身",$AW68,0)),0)+IF(BQ68="te",BS68*($EW$22-1)*0.00003*$EX$7/$EX$13*(+IF(BR68="全员",$EX$18*$EW$26/(1+($EW$22-1)*$EW$19),0)+IF(BR68="同作战",$EX$18*$EW$26/(1+($EW$22-1)*$EW$19),0)+IF(BR68="仲间",$EX$18*$EW$26/(1+($EW$22-1)*$EW$19)*2/3,0)+IF(BR68="同属性",$EX$18*$EW$26/(1+($EW$22-1)*$EW$19)*$EW$37/3,0)+IF(BR68="同年级",$EX$18*$EW$26/(1+($EW$22-1)*$EW$19)*$EW$40/3,0)+IF(BR68="同学校",$EX$18*$EW$26/(1+($EW$22-1)*$EW$19)*$EW$43/3,0)+IF(BR68="同小队",$EX$18*$EW$26/(1+($EW$22-1)*$EW$19)*$EW$46/3,0)+IF(BR68="同type",$EX$18*$EW$26/(1+($EW$22-1)*$EW$19)*INDEX($EX$49:$EX$52,MATCH(O68,$EW$49:$EW$52,))/3,0)+IF(BR68="自身",$AS68*$AW68/(1+(AV68-1)*$AU68),0)),0)</f>
        <v>1018.741709420438</v>
      </c>
      <c r="BU68" s="1097">
        <f t="shared" ref="BU68:BU131" si="123">IF(BQ68="ap",BS68*(1-$FI$26)*$FB$5/$FB$11*(+IF(BR68="全员",$FA$24,0)+IF(BR68="同作战",$FA$24,0)+IF(BR68="仲间",$FA$24*2/3,0)+IF(BR68="同属性",$FA$24*$FA$37/3,0)+IF(BR68="同年级",$FA$24*$FA$40/3,0)+IF(BR68="同学校",$FA$24*$FA$43/3,0)+IF(BR68="同小队",$FA$24*$FA$46/3,0)+IF(BR68="同type",$FA$24*INDEX($FB$49:$FB$52,MATCH(O68,$FA$49:$FA$52,))/3,0)+IF(BR68="自身",BH68/3,0)),0)+IF(BQ68="te",BS68*(1-$FI$27)*($FA$20-1)*$FB$7/$FB$13*(+IF(BR68="全员",$FA$19*$FA$24/(1+($FA$20-1)*$FA$19),0)+IF(BR68="同作战",$FA$19*$FA$24/(1+($FA$20-1)*$FA$19),0)+IF(BR68="仲间",$FA$19*$FA$24*2/3/(1+($FA$20-1)*$FA$19),0)+IF(BR68="同属性",$FA$19*$FA$24*$FA$37/3/(1+($FA$20-1)*$FA$19),0)+IF(BR68="同年级",$FA$19*$FA$24*$FA$40/3/(1+($FA$20-1)*$FA$19),0)+IF(BR68="同学校",$FA$19*$FA$24*$FA$43/3/(1+($FA$20-1)*$FA$19),0)+IF(BR68="同小队",$FA$19*$FA$24*$FA$46/3/(1+($FA$20-1)*$FA$19),0)+IF(BR68="同type",$FA$19*$FA$24*INDEX($FB$49:$FB$52,MATCH(O68,$FA$49:$FA$52,))/3/(1+($FA$20-1)*$FA$19),0)+IF(BR68="自身",$FA$19*BH68/3/(1+(AV68-1)*$BD68),0)),0)</f>
        <v>110.53326962210019</v>
      </c>
      <c r="BV68" s="1097">
        <f t="shared" ref="BV68:BV131" si="124">IF(BQ68="ap",BS68*$EW$26*$EX$5/$EX$11*(+IF(BR68="全员",1,0)+IF(BR68="仲间",1,0)+IF(BR68="同属性",$EW$38/3,0)+IF(BR68="同年级",$EW$41/3,0)+IF(BR68="同学校",$EW$44/3,0)+IF(BR68="同小队",$EW$47/3,0)+IF(BR68="同type",INDEX($EX$53:$EX$56,MATCH(O68,$EW$53:$EW$56,))/3,0)),0)+IF(BQ68="te",BS68*($EW$22-1)*0.00003*$EX$18*$EW$26/(1+($EW$22-1)*$EW$19)*$EX$7/$EX$13*(+IF(BR68="全员",1,0)+IF(BR68="仲间",1,0)+IF(BR68="同属性",$EW$38/3,0)+IF(BR68="同年级",$EW$41/3,0)+IF(BR68="同学校",$EW$44/3,0)+IF(BR68="同小队",$EW$47/3,0)+IF(BR68="同type",INDEX($EX$53:$EX$56,MATCH(O68,$EW$53:$EW$56,))/3,0)),0)</f>
        <v>573.04221154899631</v>
      </c>
      <c r="BW68" s="1112">
        <f t="shared" ref="BW68:BW131" si="125">IF(BQ68="st",BS68*$EX$6/$EX$12*(+IF(BR68="全员",$EX$17*9,0)+IF(BR68="仲间",$EX$17*8,0)+IF(BR68="同作战",$EX$17*3,0)+IF(BR68="同属性",$EX$17*$EW$39,0)+IF(BR68="同年级",$EX$17*$EW$42,0)+IF(BR68="同学校",$EX$17*$EW$45,0)+IF(BR68="同小队",$EX$17*$EW$48,0)+IF(BR68="同type",$EX$17*INDEX($EX$57:$EX$60,MATCH(O68,$EW$57:$EW$60,)),0)+IF(BR68="自身",$AR68)),0)/$EW$65*$EW$78</f>
        <v>0</v>
      </c>
      <c r="BX68" s="1100">
        <f t="shared" ref="BX68:BX131" si="126">IF(BQ68="st",$EW$26*(HP($EW$62,$EW$65,$EW$64-BW68)/$EW$66-1),BT68)</f>
        <v>1018.741709420438</v>
      </c>
      <c r="BY68" s="1110">
        <f t="shared" ref="BY68:BY131" si="127">IF(BQ68="st",$EW$26*(HP($EW$62,$EW$65,$EW$64-BW68)/$EW$66-1),BV68)</f>
        <v>573.04221154899631</v>
      </c>
      <c r="BZ68" s="1107" t="s">
        <v>569</v>
      </c>
      <c r="CA68" s="1124"/>
      <c r="CB68" s="1098">
        <f>IF($P68="","N/A",IF($P68=-1,INDEX('卡片raw data'!BE:BE,MATCH($D68,'卡片raw data'!$F:$F,)),0)+IF($L68="party卡",IF($P68=5,INDEX('卡片raw data'!BK:BK,MATCH($D68,'卡片raw data'!$F:$F,)),IF($P68&gt;=3,INDEX('卡片raw data'!BJ:BJ,MATCH($D68,'卡片raw data'!$F:$F,)),INDEX('卡片raw data'!BI:BI,MATCH($D68,'卡片raw data'!$F:$F,)))),IF(OR(AND($F68="UR",$P68=0),AND($F68="SR",$P68&gt;=0,$P68&lt;=2),AND($F68="R",$P68&gt;=0,$P68&lt;4)),INDEX('卡片raw data'!BG:BG,MATCH($D68,'卡片raw data'!$F:$F,)),0)+IF(OR(AND($F68="UR",$P68&gt;=1,$P68&lt;=4),AND($F68="SR",$P68&lt;=4,$P68&gt;=3),AND($F68="R",$P68=4)),INDEX('卡片raw data'!BH:BH,MATCH($D68,'卡片raw data'!$F:$F,)),0)+IF($P68=5,INDEX('卡片raw data'!BI:BI,MATCH($D68,'卡片raw data'!$F:$F,)),0)))</f>
        <v>0</v>
      </c>
      <c r="CC68" s="1101">
        <f t="shared" ref="CC68:CC131" si="128">IF(BZ68="ap",CB68*$EX$5/$EX$11*(+IF(CA68="全员",$EW$26,0)+IF(CA68="同作战",$EW$26,0)+IF(CA68="仲间",$EW$26*2/3,0)+IF(CA68="同属性",$EW$26*$EW$37/3,0)+IF(CA68="同年级",$EW$26*$EW$40/3,0)+IF(CA68="同学校",$EW$26*$EW$43/3,0)+IF(CA68="同小队",$EW$26*$EW$46/3,0)+IF(CA68="同type",$EW$26*INDEX($EX$49:$EX$52,MATCH(O68,$EW$49:$EW$52,))/3,0)+IF(CA68="自身",$AW68,0)),0)+IF(BZ68="te",CB68*($EW$22-1)*0.00003*$EX$7/$EX$13*(+IF(CA68="全员",$EX$18*$EW$26/(1+($EW$22-1)*$EW$19),0)+IF(CA68="同作战",$EX$18*$EW$26/(1+($EW$22-1)*$EW$19),0)+IF(CA68="仲间",$EX$18*$EW$26/(1+($EW$22-1)*$EW$19)*2/3,0)+IF(CA68="同属性",$EX$18*$EW$26/(1+($EW$22-1)*$EW$19)*$EW$37/3,0)+IF(CA68="同年级",$EX$18*$EW$26/(1+($EW$22-1)*$EW$19)*$EW$40/3,0)+IF(CA68="同学校",$EX$18*$EW$26/(1+($EW$22-1)*$EW$19)*$EW$43/3,0)+IF(CA68="同小队",$EX$18*$EW$26/(1+($EW$22-1)*$EW$19)*$EW$46/3,0)+IF(CA68="同type",$EX$18*$EW$26/(1+($EW$22-1)*$EW$19)*INDEX($EX$49:$EX$52,MATCH(O68,$EW$49:$EW$52,))/3,0)+IF(CA68="自身",$AS68*$AW68/(1+(AV68-1)*$AU68),0)),0)</f>
        <v>0</v>
      </c>
      <c r="CD68" s="1097">
        <f>IF(BZ68="ap",CB68*(1-$FI$26)*$FB$5/$FB$11*(+IF(CA68="全员",$FA$24,0)+IF(CA68="同作战",$FA$24,0)+IF(CA68="仲间",$FA$24*2/3,0)+IF(CA68="同属性",$FA$24*$FA$37/3,0)+IF(CA68="同年级",$FA$24*$FA$40/3,0)+IF(CA68="同学校",$FA$24*$FA$43/3,0)+IF(CA68="同小队",$FA$24*$FA$46/3,0)+IF(CA68="同type",$FA$24*INDEX($FB$49:$FB$52,MATCH(X68,$FA$49:$FA$52,))/3,0)+IF(CA68="自身",#REF!/3,0)),0)+IF(BZ68="te",CB68*(1-$FI$27)*($FA$20-1)*$FB$7/$FB$13*(+IF(CA68="全员",$FA$19*$FA$24/(1+($FA$20-1)*$FA$19),0)+IF(CA68="同作战",$FA$19*$FA$24/(1+($FA$20-1)*$FA$19),0)+IF(CA68="仲间",$FA$19*$FA$24*2/3/(1+($FA$20-1)*$FA$19),0)+IF(CA68="同属性",$FA$19*$FA$24*$FA$37/3/(1+($FA$20-1)*$FA$19),0)+IF(CA68="同年级",$FA$19*$FA$24*$FA$40/3/(1+($FA$20-1)*$FA$19),0)+IF(CA68="同学校",$FA$19*$FA$24*$FA$43/3/(1+($FA$20-1)*$FA$19),0)+IF(CA68="同小队",$FA$19*$FA$24*$FA$46/3/(1+($FA$20-1)*$FA$19),0)+IF(CA68="同type",$FA$19*$FA$24*INDEX($FB$49:$FB$52,MATCH(X68,$FA$49:$FA$52,))/3/(1+($FA$20-1)*$FA$19),0)+IF(CA68="自身",$FA$19*#REF!/3/(1+(BH68-1)*$BD68),0)),0)</f>
        <v>0</v>
      </c>
      <c r="CE68" s="1097">
        <f t="shared" ref="CE68:CE131" si="129">IF(BZ68="ap",CB68*$EW$26*$EX$5/$EX$11*(+IF(CA68="全员",1,0)+IF(CA68="仲间",1,0)+IF(CA68="同属性",$EW$38/3,0)+IF(CA68="同年级",$EW$41/3,0)+IF(CA68="同学校",$EW$44/3,0)+IF(CA68="同小队",$EW$47/3,0)+IF(CA68="同type",INDEX($EX$53:$EX$56,MATCH(X68,$EW$53:$EW$56,))/3,0)),0)+IF(BZ68="te",CB68*($EW$22-1)*0.00003*$EX$18*$EW$26/(1+($EW$22-1)*$EW$19)*$EX$7/$EX$13*(+IF(CA68="全员",1,0)+IF(CA68="仲间",1,0)+IF(CA68="同属性",$EW$38/3,0)+IF(CA68="同年级",$EW$41/3,0)+IF(CA68="同学校",$EW$44/3,0)+IF(CA68="同小队",$EW$47/3,0)+IF(CA68="同type",INDEX($EX$53:$EX$56,MATCH(X68,$EW$53:$EW$56,))/3,0)),0)</f>
        <v>0</v>
      </c>
      <c r="CF68" s="1112">
        <f t="shared" ref="CF68:CF131" si="130">IF(BZ68="st",CB68*$EX$6/$EX$12*(+IF(CA68="全员",$EX$17*9,0)+IF(CA68="仲间",$EX$17*8,0)+IF(CA68="同作战",$EX$17*3,0)+IF(CA68="同属性",$EX$17*$EW$39,0)+IF(CA68="同年级",$EX$17*$EW$42,0)+IF(CA68="同学校",$EX$17*$EW$45,0)+IF(CA68="同小队",$EX$17*$EW$48,0)+IF(CA68="同type",$EX$17*INDEX($EX$57:$EX$60,MATCH(O68,$EW$57:$EW$60,)),0)+IF(CA68="自身",$AR68)),0)/$EW$65*$EW$78</f>
        <v>0</v>
      </c>
      <c r="CG68" s="1100">
        <f t="shared" ref="CG68:CG131" si="131">IF(BZ68="st",$EW$26*(HP($EW$62,$EW$65,$EW$64-CF68)/$EW$66-1),CC68)</f>
        <v>0</v>
      </c>
      <c r="CH68" s="1110">
        <f t="shared" ref="CH68:CH131" si="132">IF(BZ68="st",$EW$26*(HP($EW$62,$EW$65,$EW$64-CF68)/$EW$66-1),CE68)</f>
        <v>0</v>
      </c>
      <c r="CI68" s="1113"/>
      <c r="CJ68" s="1114"/>
      <c r="CK68" s="1115" t="s">
        <v>569</v>
      </c>
      <c r="CL68" s="1115"/>
      <c r="CM68" s="1119"/>
      <c r="CN68" s="1115"/>
      <c r="CO68" s="1092"/>
      <c r="CP68" s="1117">
        <f t="shared" ref="CP68:CP131" si="133">IF(OR(CK68="无",CI68="大量伤害",CI68="AC失败",CI68="低血量",CK68="复活",CK68="驱散",CK68="Gd切队效果up"),0,IF(AND(CK68="sp获得",CI68="AC成功"),0,IF(CK68="其他",0,IF(CN68=0,CM68*(IF(CL68="ap",AQ68*IF(CK68="vo获得",AP68,1))+IF(CL68="st",AR68)+IF(CL68="te",AS68)+IF(CL68="sp槽",$EW$77)+IF(CL68="",1))*(IF(CI68="曲开始",CJ68,0)+IF(CI68="切队",IF(CO68&lt;&gt;"",MIN(CO68,CJ68*$EW$79),CJ68*$EW$79))+IF(CI68="SP发动",IF(CO68&lt;&gt;"",MIN(CO68,CJ68*$EW$76),CJ68*$EW$76))+IF(CI68="ap时",IF(CO68&lt;&gt;"",MIN(CO68,CJ68*$EW$65/3),CJ68*$EW$65/3),0)+IF(CI68="伤害时",IF(CO68&lt;&gt;"",MIN(CO68,CJ68*$EW$65*(1-$EW$75)),CJ68*$EW$65*(1-$EW$75)),0)+IF(CI68="ct时",IF(CO68&lt;&gt;"",MIN(CO68,CJ68*$EW$65/3*$AU68),CJ68*$EW$65/3*$AU68),0)+IF(OR(CI68="AC时",CI68="AC成功"),IF(CO68&lt;&gt;"",MIN(CO68,CJ68*$EW$73),CJ68*$EW$73))),0)/$EW$65+IF(CN68="infty",IF(OR(CI68="曲开始",AND(CJ68=1,CO68=1)),CM68*CJ68,IF(CI68="SP发动",IF(CO68=1,CM68*(1-(1-(1-CJ68)^($EW$76+1))/(($EW$76+1)*CJ68)))+IF(CO68="",CJ68*CM68*$EW$76/2),0)+IF(CI68="AC时",IF(CO68=1,CM68*(1-(1-(1-CJ68)^($EW$73+1))/(($EW$73+1)*CJ68)))+IF(CO68="",CJ68*CM68*$EW$73/2),0)+IF(CI68="AC成功",IF(CO68=1,CM68*(1-(1-(1-CJ68)^($EW$73+1))/(($EW$73+1)*CJ68)))+IF(CO68="",CJ68*CM68*$EW$73/2),0)),0)*(IF(CL68="全员",1,0)+IF(CL68="同属性",$EW$37/3,0)+IF(CL68="同年级",$EW$40/3,0)+IF(CL68="同作战",1,0)+IF(CL68="自身",1/3,0)+IF(CL68="同type",INDEX($EX$49:$EX$52,MATCH($O68,$EW$49:$EW$52,))/3))+IF(AND(CN68&lt;&gt;0,CN68&lt;&gt;"infty"),IF(CN68="AC内",$EW$74,CN68)*CM68*(IF(CI68="曲开始",CJ68,0)+IF(CI68="切队",IF(CO68&lt;&gt;"",MIN(CO68,CJ68*$EW$79),CJ68*$EW$79))+IF(CI68="SP发动",IF(CO68&lt;&gt;"",MIN(CO68,CJ68*$EW$76),CJ68*$EW$76))+IF(CI68="ap时",IF(CO68&lt;&gt;"",MIN(CO68,CJ68*$EW$65/3),CJ68*$EW$65/3),0)+IF(CI68="伤害时",IF(CO68&lt;&gt;"",MIN(CO68,CJ68*$EW$65*(1-$EW$75)),CJ68*$EW$65*(1-$EW$75)),0)+IF(CI68="ct时",IF(CO68&lt;&gt;"",MIN(CO68,CJ68*$EW$65/3*$AU68),CJ68*$EW$65/3*$AU68),0)+IF(OR(CI68="AC时",CI68="AC成功"),IF(CO68&lt;&gt;"",MIN(CO68,CJ68*$EW$73),CJ68*$EW$73))),0)/$EW$65*(IF(CL68="全员",1,0)+IF(CL68="同属性",$EW$37/3,0)+IF(CL68="同年级",$EW$40/3,0)+IF(CL68="同学校",$EW$43/3,0)+IF(CL68="同作战",1,0)+IF(CL68="自身",1/3,0)+IF(CL68="同type",INDEX($EX$49:$EX$52,MATCH($O68,$EW$49:$EW$52,))/3)-IF(AND(CK68="ct+",CL68&lt;&gt;"仲间"),MAX(CM68+$AU68-1,0)/CM68/3)))))</f>
        <v>0</v>
      </c>
      <c r="CQ68" s="1117">
        <f t="shared" ref="CQ68:CQ131" si="134">IF(OR(CK68="无",CI68="大量伤害",CI68="AC失败",CI68="低血量",CK68="复活",CK68="驱散",CK68="Gd切队效果up"),0,IF(AND(CK68="sp获得",CI68="AC成功"),0,IF(CK68="其他",0,IF(CN68=0,CM68*(IF(CL68="ap",BA68*IF(CK68="vo获得",AP68,1))+IF(CL68="st",BB68)+IF(CL68="te",BC68)+IF(CL68="sp槽",$FA$69)+IF(CL68="",1))*(IF(CK68="sp获得",$FA$30,1))*(IF(CI68="曲开始",CJ68,0)+IF(CI68="切队",IF(CO68&lt;&gt;"",MIN(CO68,CJ68*$FA$71),CJ68*$FA$71))+IF(CI68="SP发动",IF(CO68&lt;&gt;"",MIN(CO68,CJ68*$FA$68),CJ68*$FA$68))+IF(CI68="ap时",IF(CO68&lt;&gt;"",MIN(CO68,CJ68*$FA$62/3),CJ68*$FA$62/3),0)+IF(CI68="伤害时",IF(CO68&lt;&gt;"",MIN(CO68,CJ68*$FA$62*(1-$FA$67)),CJ68*$FA$62*(1-$FA$67)),0)+IF(CI68="ct时",IF(CO68&lt;&gt;"",MIN(CO68,CJ68*$FA$62/3*$BD68),CJ68*$FA$62/3*$BD68),0)+IF(OR(CI68="AC时",CI68="AC成功"),IF(CO68&lt;&gt;"",MIN(CO68,CJ68*$FA$65),CJ68*$FA$65))),0)/$FA$62+IF(CN68="infty",IF(OR(CI68="曲开始",AND(CJ68=1,CO68=1)),CM68*CJ68,IF(CI68="SP发动",IF(CO68=1,CM68*(1-(1-(1-CJ68)^($FA$68+1))/(($FA$68+1)*CJ68)))+IF(CO68="",CJ68*CM68*$FA$68/2),0)+IF(CI68="AC时",IF(CO68=1,CM68*(1-(1-(1-CJ68)^($FA$65+1))/(($FA$65+1)*CJ68)))+IF(CO68="",CJ68*CM68*$FA$65/2),0)+IF(CI68="AC成功",IF(CO68=1,CM68*(1-(1-(1-CJ68)^($FA$65+1))/(($FA$65+1)*CJ68)))+IF(CO68="",CJ68*CM68*$FA$65/2),0)),0)*(IF(CL68="全员",1,0)+IF(CL68="同属性",$FA$37/3,0)+IF(CL68="同年级",$FA$40/3,0)+IF(CL68="同作战",1,0)+IF(CL68="自身",1/3,0)+IF(CL68="同type",INDEX($FB$49:$FB$52,MATCH($O68,$FA$49:$FA$52,))/3))+IF(AND(CN68&lt;&gt;0,CN68&lt;&gt;"infty"),IF(CN68="AC内",$FA$66,CN68)*CM68*(IF(CI68="曲开始",CJ68,0)+IF(CI68="切队",IF(CO68&lt;&gt;"",MIN(CO68,CJ68*$FA$71),CJ68*$FA$71))+IF(CI68="SP发动",IF(CO68&lt;&gt;"",MIN(CO68,CJ68*$FA$68),CJ68*$FA$68))+IF(CI68="ap时",IF(CO68&lt;&gt;"",MIN(CO68,CJ68*$FA$62/3),CJ68*$FA$62/3),0)+IF(CI68="伤害时",IF(CO68&lt;&gt;"",MIN(CO68,CJ68*$FA$62*(1-$FA$67)),CJ68*$FA$62*(1-$FA$67)),0)+IF(CI68="ct时",IF(CO68&lt;&gt;"",MIN(CO68,CJ68*$FA$62/3*$BD68),CJ68*$FA$62/3*$BD68),0)+IF(OR(CI68="AC时",CI68="AC成功"),IF(CO68&lt;&gt;"",MIN(CO68,CJ68*$FA$65),CJ68*$FA$65))),0)/$FA$62*(IF(CL68="全员",1,0)+IF(CL68="同属性",$FA$37/3,0)+IF(CL68="同年级",$FA$40/3,0)+IF(CL68="同学校",$FA$43/3,0)+IF(CL68="同作战",1,0)+IF(CL68="自身",1/3,0)+IF(CL68="同type",INDEX($FB$49:$FB$52,MATCH($O68,$FA$49:$FA$52,))/3)-IF(AND(CK68="ct+",CL68&lt;&gt;"仲间"),MAX(CM68+$BD68-1,0)/3/CM68)))))</f>
        <v>0</v>
      </c>
      <c r="CR68" s="1117">
        <f t="shared" ref="CR68:CR131" si="135">IF(OR(CK68="无",CI68="大量伤害",CI68="AC失败",CI68="低血量",CK68="复活",CK68="驱散",CK68="Gd切队效果up"),0,IF(AND(CK68="sp获得",CI68="AC成功"),0,IF(CK68="其他",0,IF(CN68=0,CM68*(IF(CL68="ap",AQ68*IF(CK68="vo获得",AP68,1))+IF(CL68="st",AR68)+IF(CL68="te",AS68)+IF(CL68="sp槽",$EW$77)+IF(CL68="",1))*(IF(CI68="曲开始",CJ68,0)+IF(CI68="切队",IF(CO68&lt;&gt;"",MIN(CO68,CJ68*$EW$79),CJ68*$EW$79))+IF(CI68="SP发动",IF(CO68&lt;&gt;"",MIN(CO68,CJ68*$EW$76),CJ68*$EW$76))+IF(CI68="ap时",0)+IF(CI68="伤害时",IF(CO68&lt;&gt;"",MIN(CO68,CJ68*$EW$65*(1-$EW$75)),CJ68*$EW$65*(1-$EW$75)),0)+IF(CI68="ct时",0)+IF(OR(CI68="AC时",CI68="AC成功"),IF(CO68&lt;&gt;"",MIN(CO68,CJ68*$EW$73),CJ68*$EW$73))),0)/$EW$65+IF(CN68="infty",IF(OR(CI68="曲开始",AND(CJ68=1,CO68=1)),CM68*CJ68,IF(CI68="SP发动",IF(CO68=1,CM68*(1-(1-(1-CJ68)^($EW$76+1))/(($EW$76+1)*CJ68)))+IF(CO68="",CJ68*CM68*$EW$76/2),0)+IF(CI68="AC时",IF(CO68=1,CM68*(1-(1-(1-CJ68)^($EW$73+1))/(($EW$73+1)*CJ68)))+IF(CO68="",CJ68*CM68*$EW$73/2),0)+IF(CI68="AC成功",IF(CO68=1,CM68*(1-(1-(1-CJ68)^($EW$73+1))/(($EW$73+1)*CJ68)))+IF(CO68="",CJ68*CM68*$EW$73/2),0)),0)*(IF(CL68="全员",1,0)+IF(CL68="同属性",$EW$38/3,0)+IF(CL68="同年级",$EW$41/3,0)+IF(CL68="同作战",0,0)+IF(CL68="自身",0,0)+IF(CL68="同type",INDEX($EX$53:$EX$56,MATCH($O68,$EW$53:$EW$56,))/3))+IF(AND(CN68&lt;&gt;0,CN68&lt;&gt;"infty"),IF(CN68="AC内",$EW$74,CN68)*(IF(CI68="曲开始",CM68*CJ68,0)+IF(CI68="切队",CM68*IF(CO68&lt;&gt;"",MIN(CO68,CJ68*$EW$79),CJ68*$EW$79))+IF(CI68="SP发动",CM68*IF(CO68&lt;&gt;"",MIN(CO68,CJ68*$EW$76),CJ68*$EW$76))+IF(CI68="ap时",0,0)+IF(CI68="伤害时",CM68*IF(CO68&lt;&gt;"",MIN(CO68,CJ68*$EW$65*(1-$EW$75)),CJ68*$EW$65*(1-$EW$75)),0)+IF(CI68="ct时",0,0)+IF(OR(CI68="AC时",CI68="AC成功"),CM68*IF(CO68&lt;&gt;"",MIN(CO68,CJ68*$EW$73),CJ68*$EW$73))),0)/$EW$65*(IF(CL68="全员",1,0)+IF(CL68="同属性",$EW$38/3,0)+IF(CL68="同年级",$EW$41/3,0)+IF(CL68="同学校",$EW$44/3,0)+IF(CL68="同作战",0,0)+IF(CL68="自身",0,0)+IF(CL68="同type",INDEX($EX$53:$EX$56,MATCH($O68,$EW$53:$EW$56,))/3)))))</f>
        <v>0</v>
      </c>
      <c r="CS68" s="1118">
        <f t="shared" ref="CS68:CS131" si="136">IF(CK68="技能+",IF(CN68="infty",(IF(CI68="曲开始",CM68*CJ68)+IF(OR(CI68="AC时",CI68="AC成功"),(1-(1-(1-CJ68)^($FM$20+1))/(($FM$20+1)*CJ68))*CM68))*(IF(CL68="全员",1)))+IF(CN68&lt;&gt;"infty",CM68*(IF(CI68="曲开始",CJ68*CN68/$FM$19)+IF(OR(CI68="AC时",CI68="AC成功"),CN68*IF(CO68&lt;&gt;"",MIN(CO68,CJ68*$FM$20),CJ68*$FM$20)/$FM$19)+IF(CI68="切队",CN68*IF(CO68&lt;&gt;"",MIN(CJ68*$FM$11,CO68/$FM$19),CJ68*$FM$11))+IF(CI68="ap时",IF(CO68&lt;&gt;"",MIN(CO68/$FM83,IF($O68="sk",$FM$10,$FM$9)*CJ68),IF($O68="sk",$FM$10,$FM$9)*CJ68)*CN68)+IF(CI68="ct时",IF(CO68&lt;&gt;"",MIN(CO68/$FM83,$AU68*IF($O68="sk",$FM$10,$FM$9)*CJ68),$AU68*IF($O68="sk",$FM$10,$FM$9)*CJ68)*CN68))*(IF(CL68="全员",1)+IF(CL68="同作战",IF($O68="sk",$FM$10*3,$FM$9*3))+IF(CL68="同属性",$FM$23/6)+IF(CL68="同年级",$FM$24/6)+IF(CL68="自身",IF($O68="sk",$FM$10,$FM$9)))),0)*$FM$16</f>
        <v>0</v>
      </c>
      <c r="CT68" s="1109">
        <f t="shared" ref="CT68:CT131" si="137">IF(CK68="sp+",IF(CN68="infty",(IF(CI68="曲开始",CM68*CJ68*$FM$28)+IF(OR(CI68="AC时",CI68="AC成功"),(1-(1-(1-CJ68)^($FM$20+1))/(($FM$20+1)*CJ68))*CM68*$FM$28))*(IF(CL68="全员",1)))+IF(CN68&lt;&gt;"infty",CM68*$FM$28*(IF(CI68="曲开始",CJ68*CN68/$FM$19)+IF(OR(CI68="AC时",CI68="AC成功"),CN68*IF(CO68&lt;&gt;"",MIN(CO68,CJ68*$FM$20),CJ68*$FM$20)/$FM$19)+IF(CI68="切队",CN68*IF(CO68&lt;&gt;"",MIN(CJ68*$FM$11,CO68/$FM$19),CJ68*$FM$11))+IF(CI68="ap时",IF(CO68&lt;&gt;"",MIN(CO68/$FM83,IF($O68="sk",$FM$10,$FM$9)*CJ68),IF($O68="sk",$FM$10,$FM$9)*CJ68)*CN68)+IF(CI68="ct时",IF(CO68&lt;&gt;"",MIN(CO68/$FM83,$AU68*IF($O68="sk",$FM$10,$FM$9)*CJ68),$AU68*IF($O68="sk",$FM$10,$FM$9)*CJ68)*CN68))*(IF(CL68="全员",1)+IF(CL68="同作战",IF($O68="sk",$FM$10*3,$FM$9*3))+IF(CL68="同属性",$FM$23/6)+IF(CL68="同年级",$FM$24/6)+IF(CL68="同type",IF(O68="sp",$FN$6*$FM$9)))),0)+IF(CK68="sp获得",IF(CI68="AC成功",0,CM68*(IF(CL68="ap",AQ68)+IF(CL68="st",AR68)+IF(CL68="te",AS68)+IF(CL68="sp槽",$EW$77)+IF(CL68="",1))*IF($O68="sk",1,1+(1+$FM$10/$FM$9)*($FM$27-1))*(IF(CI68="曲开始",CJ68/$FM$19)+IF(CI68="SP发动",IF(CO68&lt;&gt;"",MIN(CO68/$FM$19,CJ68*$FM$30/$FM$19),CJ68*$FM$30/$FM$19))+IF(CI68="切队",IF(CO68&lt;&gt;"",MIN(CO68/$FM$19,CJ68*$FM$11),CJ68*$FM$11))+IF(OR(CI68="AC时",CI68="AC成功"),IF(CO68&lt;&gt;"",MIN(CO68/$FM$19,CJ68*$FM$20/$FM$19),CJ68*$FM$20/$FM$19))+IF(CI68="ap时",IF(CO68&lt;&gt;"",MIN(CO68/$FM$19,CJ68*IF($O68="sk",$FM$10,$FM$9)),CJ68*IF($O68="sk",$FM$10,$FM$9)))+IF(CI68="ct时",IF(CO68&lt;&gt;"",MIN(CO68/$FM$19,CJ68*IF($O68="sk",$FM$10,$FM$9)*$AU68),CJ68*IF($O68="sk",$FM$10,$FM$9)*$AU68)))))</f>
        <v>0</v>
      </c>
      <c r="CU68" s="1101">
        <f t="shared" ref="CU68:CU131" si="138">IF(AND(CK68="技能+",CL68="自身",$DR68=0.11),0,IF(CK68="sp+",CP68*$EW$30*$EW$32*(1-$EW$33),0)+IF(CK68="ap+",CP68*$EW$26/(1+$EW$15),0)+IF(CK68="ap+元气",CP68*$EW$26/(1+$EW$15)*$EW$67,0)+IF(CK68="技能+",$EW$28*CP68/$EW$27,0)+IF(CK68="vo+",$EW$26*CP68,0)+IF(CK68="sp获得",CP68*(1-$EW$33)*$EW$30/$EW$77)+IF(CK68="vo获得",CP68*$EW$24)+IF(CK68="ct+",$EW$26/(1+($EW$22-1)*$EW$19)*($EW$22-1)*CP68)+IF(CK68="核弹",$EW$24*CP68*(1+$EW$23))+IF(CK68="ct值+",$EW$26/(1+($EW$22-1)*$EW$19)*$EW$19*CP68))</f>
        <v>0</v>
      </c>
      <c r="CV68" s="1108">
        <f t="shared" ref="CV68:CV131" si="139">IF(AND(CK68="技能+",CL68="自身",$DR68=0.11),0,IF(CK68="sp+",CQ68*$FA$27*$FA$32*(1-$FA$33),0)+IF(CK68="ap+",CQ68*$FA$24/(1+$FA$15)*(1-$FI$26),0)+IF(CK68="ap+元气",CQ68*$FA$24/(1+$FA$15)*(1-$FI$26)*$FA$64,0)+IF(CK68="技能+",$FA$26*CQ68/$FA$25,0)+IF(CK68="vo+",$FA$24*CQ68*(1-$FI$26),0)+IF(CK68="sp获得",CQ68*(1-$FA$33)*$FA$27/$FA$69)+IF(CK68="vo获得",CQ68*$FA$22)+IF(CK68="ct+",$FA$24/(1+($FA$20-1)*$FA$19)*($FA$20-1)*CQ68*(1-$FI$27))+IF(CK68="核弹",CQ68*(1+$FA$21)*(1-$FI$29))+IF(CK68="ct值+",$FA$24/(1+($FA$20-1)*$FA$19)*$FA$19*CQ68*(1-$FI$28))+IF(CK68="自身ct时上限突破",CQ68*$FI$24*$FI$26*BD68,0))</f>
        <v>0</v>
      </c>
      <c r="CW68" s="1097">
        <f t="shared" ref="CW68:CW131" si="140">IF(CK68="sp+",CR68*$EW$30*$EW$32*(1-$EW$33),0)+IF(CK68="ap+",CR68*$EW$26/(1+$EW$15),0)+IF(CK68="ap+元气",CR68*$EW$26/(1+$EW$15)*$EW$67,0)+IF(CK68="技能+",$EW$28*CR68/$EW$27,0)+IF(CK68="vo+",$EW$26*CR68,0)+IF(CK68="sp获得",CR68*(1-$EW$33)*$EW$30/$EW$77)+IF(CK68="vo获得",CR68*$EW$24)+IF(CK68="ct+",$EW$26/(1+($EW$22-1)*$EW$19)*($EW$22-1)*CR68)+IF(CK68="核弹",CR68*(1+$EW$23)*$EW$24)+IF(CK68="ct值+",$EW$26/(1+($EW$22-1)*$EW$19)*$EW$19*CR68)</f>
        <v>0</v>
      </c>
      <c r="CX68" s="1097">
        <f t="shared" ref="CX68:CX131" si="141">CU68+IF(OR(CK68="加盾",AND(CK68="回血",OR(CI68&lt;&gt;"切队",CO68=""))),MIN($EW$26/$EW$66*(1-$EW$66)-$EE68+$EC68-$ET68+$ER68, $EW$26*(HP($EW$62,$EW$65,$EW$64-CP68)/$EW$66-1)))+IF(CK68="减伤",MIN($EW$26/$EW$66*(1-$EW$66)-$EE68+$EC68-$ET68+$ER68, $EW$26*(HP($EW$62,$EW$65,$EW$64*(1-CP68))/$EW$66-1)))</f>
        <v>0</v>
      </c>
      <c r="CY68" s="1110">
        <f t="shared" ref="CY68:CY131" si="142">CW68+(IF(OR(CK68="加盾",AND(CK68="回血",OR(CI68&lt;&gt;"切队",CO68=""))),$EW$26*(HP($EW$62,$EW$65,$EW$64-CP68)/$EW$66-1))+IF(CK68="减伤",$EW$26*(HP($EW$62,$EW$65,$EW$64*(1-CP68))/$EW$66-1)))*IF(OR(CL68="自身",CL68="同作战"),0,1)*IF(OR(CI68="ap时",CI68="ct时"),0,1)</f>
        <v>0</v>
      </c>
      <c r="CZ68" s="437"/>
      <c r="DA68" s="438"/>
      <c r="DB68" s="439" t="s">
        <v>569</v>
      </c>
      <c r="DC68" s="439"/>
      <c r="DD68" s="443"/>
      <c r="DE68" s="411"/>
      <c r="DF68" s="411"/>
      <c r="DG68" s="1116">
        <f t="shared" ref="DG68:DG131" si="143">IF(OR(DB68="无",CZ68="大量伤害",CZ68="AC失败",CZ68="低血量",DB68="复活",DB68="驱散",DB68="Gd切队效果up"),0,IF(AND(DB68="sp获得",CZ68="AC成功"),0,IF(DB68="其他",0,IF(DE68=0,DD68*(IF(DC68="ap",BH68*IF(DB68="vo获得",BG68,1))+IF(DC68="st",BI68)+IF(DC68="te",BJ68)+IF(DC68="sp槽",$EW$77)+IF(DC68="",1))*(IF(CZ68="曲开始",DA68,0)+IF(CZ68="切队",IF(DF68&lt;&gt;"",MIN(DF68,DA68*$EW$79),DA68*$EW$79))+IF(CZ68="SP发动",IF(DF68&lt;&gt;"",MIN(DF68,DA68*$EW$76),DA68*$EW$76))+IF(CZ68="ap时",IF(DF68&lt;&gt;"",MIN(DF68,DA68*$EW$65/3),DA68*$EW$65/3),0)+IF(CZ68="伤害时",IF(DF68&lt;&gt;"",MIN(DF68,DA68*$EW$65*(1-$EW$75)),DA68*$EW$65*(1-$EW$75)),0)+IF(CZ68="ct时",IF(DF68&lt;&gt;"",MIN(DF68,DA68*$EW$65/3*$AU68),DA68*$EW$65/3*$AU68),0)+IF(OR(CZ68="AC时",CZ68="AC成功"),IF(DF68&lt;&gt;"",MIN(DF68,DA68*$EW$73),DA68*$EW$73))),0)/$EW$65+IF(DE68="infty",IF(OR(CZ68="曲开始",AND(DA68=1,DF68=1)),DD68*DA68,IF(CZ68="SP发动",IF(DF68=1,DD68*(1-(1-(1-DA68)^($EW$76+1))/(($EW$76+1)*DA68)))+IF(DF68="",DA68*DD68*$EW$76/2),0)+IF(CZ68="AC时",IF(DF68=1,DD68*(1-(1-(1-DA68)^($EW$73+1))/(($EW$73+1)*DA68)))+IF(DF68="",DA68*DD68*$EW$73/2),0)+IF(CZ68="AC成功",IF(DF68=1,DD68*(1-(1-(1-DA68)^($EW$73+1))/(($EW$73+1)*DA68)))+IF(DF68="",DA68*DD68*$EW$73/2),0)),0)*(IF(DC68="全员",1,0)+IF(DC68="同属性",$EW$37/3,0)+IF(DC68="同年级",$EW$40/3,0)+IF(DC68="同作战",1,0)+IF(DC68="自身",1/3,0)+IF(DC68="同type",INDEX($EX$49:$EX$52,MATCH($O68,$EW$49:$EW$52,))/3))+IF(AND(DE68&lt;&gt;0,DE68&lt;&gt;"infty"),IF(DE68="AC内",$EW$74,DE68)*DD68*(IF(CZ68="曲开始",DA68,0)+IF(CZ68="切队",IF(DF68&lt;&gt;"",MIN(DF68,DA68*$EW$79),DA68*$EW$79))+IF(CZ68="SP发动",IF(DF68&lt;&gt;"",MIN(DF68,DA68*$EW$76),DA68*$EW$76))+IF(CZ68="ap时",IF(DF68&lt;&gt;"",MIN(DF68,DA68*$EW$65/3),DA68*$EW$65/3),0)+IF(CZ68="伤害时",IF(DF68&lt;&gt;"",MIN(DF68,DA68*$EW$65*(1-$EW$75)),DA68*$EW$65*(1-$EW$75)),0)+IF(CZ68="ct时",IF(DF68&lt;&gt;"",MIN(DF68,DA68*$EW$65/3*$AU68),DA68*$EW$65/3*$AU68),0)+IF(OR(CZ68="AC时",CZ68="AC成功"),IF(DF68&lt;&gt;"",MIN(DF68,DA68*$EW$73),DA68*$EW$73))),0)/$EW$65*(IF(DC68="全员",1,0)+IF(DC68="同属性",$EW$37/3,0)+IF(DC68="同年级",$EW$40/3,0)+IF(DC68="同学校",$EW$43/3,0)+IF(DC68="同作战",1,0)+IF(DC68="自身",1/3,0)+IF(DC68="同type",INDEX($EX$49:$EX$52,MATCH($O68,$EW$49:$EW$52,))/3)-IF(AND(DB68="ct+",DC68&lt;&gt;"仲间"),MAX(DD68+$AU68-1,0)/DD68/3)))))</f>
        <v>0</v>
      </c>
      <c r="DH68" s="1116">
        <f t="shared" ref="DH68:DH131" si="144">IF(OR(DB68="无",CZ68="大量伤害",CZ68="AC失败",CZ68="低血量",DB68="复活",DB68="驱散",DB68="Gd切队效果up"),0,IF(AND(DB68="sp获得",CZ68="AC成功"),0,IF(DB68="其他",0,IF(DE68=0,DD68*(IF(DC68="ap",BR68*IF(DB68="vo获得",BG68,1))+IF(DC68="st",BS68)+IF(DC68="te",BT68)+IF(DC68="sp槽",$FA$69)+IF(DC68="",1))*(IF(DB68="sp获得",$FA$30,1))*(IF(CZ68="曲开始",DA68,0)+IF(CZ68="切队",IF(DF68&lt;&gt;"",MIN(DF68,DA68*$FA$71),DA68*$FA$71))+IF(CZ68="SP发动",IF(DF68&lt;&gt;"",MIN(DF68,DA68*$FA$68),DA68*$FA$68))+IF(CZ68="ap时",IF(DF68&lt;&gt;"",MIN(DF68,DA68*$FA$62/3),DA68*$FA$62/3),0)+IF(CZ68="伤害时",IF(DF68&lt;&gt;"",MIN(DF68,DA68*$FA$62*(1-$FA$67)),DA68*$FA$62*(1-$FA$67)),0)+IF(CZ68="ct时",IF(DF68&lt;&gt;"",MIN(DF68,DA68*$FA$62/3*$BD68),DA68*$FA$62/3*$BD68),0)+IF(OR(CZ68="AC时",CZ68="AC成功"),IF(DF68&lt;&gt;"",MIN(DF68,DA68*$FA$65),DA68*$FA$65))),0)/$FA$62+IF(DE68="infty",IF(OR(CZ68="曲开始",AND(DA68=1,DF68=1)),DD68*DA68,IF(CZ68="SP发动",IF(DF68=1,DD68*(1-(1-(1-DA68)^($FA$68+1))/(($FA$68+1)*DA68)))+IF(DF68="",DA68*DD68*$FA$68/2),0)+IF(CZ68="AC时",IF(DF68=1,DD68*(1-(1-(1-DA68)^($FA$65+1))/(($FA$65+1)*DA68)))+IF(DF68="",DA68*DD68*$FA$65/2),0)+IF(CZ68="AC成功",IF(DF68=1,DD68*(1-(1-(1-DA68)^($FA$65+1))/(($FA$65+1)*DA68)))+IF(DF68="",DA68*DD68*$FA$65/2),0)),0)*(IF(DC68="全员",1,0)+IF(DC68="同属性",$FA$37/3,0)+IF(DC68="同年级",$FA$40/3,0)+IF(DC68="同作战",1,0)+IF(DC68="自身",1/3,0)+IF(DC68="同type",INDEX($FB$49:$FB$52,MATCH($O68,$FA$49:$FA$52,))/3))+IF(AND(DE68&lt;&gt;0,DE68&lt;&gt;"infty"),IF(DE68="AC内",$FA$66,DE68)*DD68*(IF(CZ68="曲开始",DA68,0)+IF(CZ68="切队",IF(DF68&lt;&gt;"",MIN(DF68,DA68*$FA$71),DA68*$FA$71))+IF(CZ68="SP发动",IF(DF68&lt;&gt;"",MIN(DF68,DA68*$FA$68),DA68*$FA$68))+IF(CZ68="ap时",IF(DF68&lt;&gt;"",MIN(DF68,DA68*$FA$62/3),DA68*$FA$62/3),0)+IF(CZ68="伤害时",IF(DF68&lt;&gt;"",MIN(DF68,DA68*$FA$62*(1-$FA$67)),DA68*$FA$62*(1-$FA$67)),0)+IF(CZ68="ct时",IF(DF68&lt;&gt;"",MIN(DF68,DA68*$FA$62/3*$BD68),DA68*$FA$62/3*$BD68),0)+IF(OR(CZ68="AC时",CZ68="AC成功"),IF(DF68&lt;&gt;"",MIN(DF68,DA68*$FA$65),DA68*$FA$65))),0)/$FA$62*(IF(DC68="全员",1,0)+IF(DC68="同属性",$FA$37/3,0)+IF(DC68="同年级",$FA$40/3,0)+IF(DC68="同学校",$FA$43/3,0)+IF(DC68="同作战",1,0)+IF(DC68="自身",1/3,0)+IF(DC68="同type",INDEX($FB$49:$FB$52,MATCH($O68,$FA$49:$FA$52,))/3)-IF(AND(DB68="ct+",DC68&lt;&gt;"仲间"),MAX(DD68+$BD68-1,0)/3/DD68)))))</f>
        <v>0</v>
      </c>
      <c r="DI68" s="1116">
        <f t="shared" ref="DI68:DI131" si="145">IF(OR(DB68="无",CZ68="大量伤害",CZ68="AC失败",CZ68="低血量",DB68="复活",DB68="驱散",DB68="Gd切队效果up"),0,IF(AND(DB68="sp获得",CZ68="AC成功"),0,IF(DB68="其他",0,IF(DE68=0,DD68*(IF(DC68="ap",BH68*IF(DB68="vo获得",BG68,1))+IF(DC68="st",BI68)+IF(DC68="te",BJ68)+IF(DC68="sp槽",$EW$77)+IF(DC68="",1))*(IF(CZ68="曲开始",DA68,0)+IF(CZ68="切队",IF(DF68&lt;&gt;"",MIN(DF68,DA68*$EW$79),DA68*$EW$79))+IF(CZ68="SP发动",IF(DF68&lt;&gt;"",MIN(DF68,DA68*$EW$76),DA68*$EW$76))+IF(CZ68="ap时",0)+IF(CZ68="伤害时",IF(DF68&lt;&gt;"",MIN(DF68,DA68*$EW$65*(1-$EW$75)),DA68*$EW$65*(1-$EW$75)),0)+IF(CZ68="ct时",0)+IF(OR(CZ68="AC时",CZ68="AC成功"),IF(DF68&lt;&gt;"",MIN(DF68,DA68*$EW$73),DA68*$EW$73))),0)/$EW$65+IF(DE68="infty",IF(OR(CZ68="曲开始",AND(DA68=1,DF68=1)),DD68*DA68,IF(CZ68="SP发动",IF(DF68=1,DD68*(1-(1-(1-DA68)^($EW$76+1))/(($EW$76+1)*DA68)))+IF(DF68="",DA68*DD68*$EW$76/2),0)+IF(CZ68="AC时",IF(DF68=1,DD68*(1-(1-(1-DA68)^($EW$73+1))/(($EW$73+1)*DA68)))+IF(DF68="",DA68*DD68*$EW$73/2),0)+IF(CZ68="AC成功",IF(DF68=1,DD68*(1-(1-(1-DA68)^($EW$73+1))/(($EW$73+1)*DA68)))+IF(DF68="",DA68*DD68*$EW$73/2),0)),0)*(IF(DC68="全员",1,0)+IF(DC68="同属性",$EW$38/3,0)+IF(DC68="同年级",$EW$41/3,0)+IF(DC68="同作战",0,0)+IF(DC68="自身",0,0)+IF(DC68="同type",INDEX($EX$53:$EX$56,MATCH($O68,$EW$53:$EW$56,))/3))+IF(AND(DE68&lt;&gt;0,DE68&lt;&gt;"infty"),IF(DE68="AC内",$EW$74,DE68)*(IF(CZ68="曲开始",DD68*DA68,0)+IF(CZ68="切队",DD68*IF(DF68&lt;&gt;"",MIN(DF68,DA68*$EW$79),DA68*$EW$79))+IF(CZ68="SP发动",DD68*IF(DF68&lt;&gt;"",MIN(DF68,DA68*$EW$76),DA68*$EW$76))+IF(CZ68="ap时",0,0)+IF(CZ68="伤害时",DD68*IF(DF68&lt;&gt;"",MIN(DF68,DA68*$EW$65*(1-$EW$75)),DA68*$EW$65*(1-$EW$75)),0)+IF(CZ68="ct时",0,0)+IF(OR(CZ68="AC时",CZ68="AC成功"),DD68*IF(DF68&lt;&gt;"",MIN(DF68,DA68*$EW$73),DA68*$EW$73))),0)/$EW$65*(IF(DC68="全员",1,0)+IF(DC68="同属性",$EW$38/3,0)+IF(DC68="同年级",$EW$41/3,0)+IF(DC68="同学校",$EW$44/3,0)+IF(DC68="同作战",0,0)+IF(DC68="自身",0,0)+IF(DC68="同type",INDEX($EX$53:$EX$56,MATCH($O68,$EW$53:$EW$56,))/3)))))</f>
        <v>0</v>
      </c>
      <c r="DJ68" s="442">
        <f t="shared" ref="DJ68:DJ131" si="146">IF(DB68="技能+",IF(DE68="infty",(IF(CZ68="曲开始",DD68*DA68)+IF(OR(CZ68="AC时",CZ68="AC成功"),(1-(1-(1-DA68)^($FM$20+1))/(($FM$20+1)*DA68))*DD68))*(IF(DC68="全员",1)))+IF(DE68&lt;&gt;"infty",DD68*(IF(CZ68="曲开始",DA68*DE68/$FM$19)+IF(OR(CZ68="AC时",CZ68="AC成功"),DE68*IF(DF68&lt;&gt;"",MIN(DF68,DA68*$FM$20),DA68*$FM$20)/$FM$19)+IF(CZ68="切队",DE68*IF(DF68&lt;&gt;"",MIN(DA68*$FM$11,DF68/$FM$19),DA68*$FM$11))+IF(CZ68="ap时",IF(DF68&lt;&gt;"",MIN(DF68/$FM83,IF($O68="sk",$FM$10,$FM$9)*DA68),IF($O68="sk",$FM$10,$FM$9)*DA68)*DE68)+IF(CZ68="ct时",IF(DF68&lt;&gt;"",MIN(DF68/$FM83,$AU68*IF($O68="sk",$FM$10,$FM$9)*DA68),$AU68*IF($O68="sk",$FM$10,$FM$9)*DA68)*DE68))*(IF(DC68="全员",1)+IF(DC68="同作战",IF($O68="sk",$FM$10*3,$FM$9*3))+IF(DC68="同属性",$FM$23/6)+IF(DC68="同年级",$FM$24/6)+IF(DC68="自身",IF($O68="sk",$FM$10,$FM$9)))),0)*$FM$16</f>
        <v>0</v>
      </c>
      <c r="DK68" s="1109">
        <f t="shared" ref="DK68:DK131" si="147">IF(DB68="sp+",IF(DE68="infty",(IF(CZ68="曲开始",DD68*DA68*$FM$28)+IF(OR(CZ68="AC时",CZ68="AC成功"),(1-(1-(1-DA68)^($FM$20+1))/(($FM$20+1)*DA68))*DD68*$FM$28))*(IF(DC68="全员",1)))+IF(DE68&lt;&gt;"infty",DD68*$FM$28*(IF(CZ68="曲开始",DA68*DE68/$FM$19)+IF(OR(CZ68="AC时",CZ68="AC成功"),DE68*IF(DF68&lt;&gt;"",MIN(DF68,DA68*$FM$20),DA68*$FM$20)/$FM$19)+IF(CZ68="切队",DE68*IF(DF68&lt;&gt;"",MIN(DA68*$FM$11,DF68/$FM$19),DA68*$FM$11))+IF(CZ68="ap时",IF(DF68&lt;&gt;"",MIN(DF68/$FM83,IF($O68="sk",$FM$10,$FM$9)*DA68),IF($O68="sk",$FM$10,$FM$9)*DA68)*DE68)+IF(CZ68="ct时",IF(DF68&lt;&gt;"",MIN(DF68/$FM83,$AU68*IF($O68="sk",$FM$10,$FM$9)*DA68),$AU68*IF($O68="sk",$FM$10,$FM$9)*DA68)*DE68))*(IF(DC68="全员",1)+IF(DC68="同作战",IF($O68="sk",$FM$10*3,$FM$9*3))+IF(DC68="同属性",$FM$23/6)+IF(DC68="同年级",$FM$24/6)+IF(DC68="同type",IF(AF68="sp",$FN$6*$FM$9)))),0)+IF(DB68="sp获得",IF(CZ68="AC成功",0,DD68*(IF(DC68="ap",BI68)+IF(DC68="st",BJ68)+IF(DC68="te",BK68)+IF(DC68="sp槽",$EW$77)+IF(DC68="",1))*IF($O68="sk",1,1+(1+$FM$10/$FM$9)*($FM$27-1))*(IF(CZ68="曲开始",DA68/$FM$19)+IF(CZ68="SP发动",IF(DF68&lt;&gt;"",MIN(DF68/$FM$19,DA68*$FM$30/$FM$19),DA68*$FM$30/$FM$19))+IF(CZ68="切队",IF(DF68&lt;&gt;"",MIN(DF68/$FM$19,DA68*$FM$11),DA68*$FM$11))+IF(OR(CZ68="AC时",CZ68="AC成功"),IF(DF68&lt;&gt;"",MIN(DF68/$FM$19,DA68*$FM$20/$FM$19),DA68*$FM$20/$FM$19))+IF(CZ68="ap时",IF(DF68&lt;&gt;"",MIN(DF68/$FM$19,DA68*IF($O68="sk",$FM$10,$FM$9)),DA68*IF($O68="sk",$FM$10,$FM$9)))+IF(CZ68="ct时",IF(DF68&lt;&gt;"",MIN(DF68/$FM$19,DA68*IF($O68="sk",$FM$10,$FM$9)*$AU68),DA68*IF($O68="sk",$FM$10,$FM$9)*$AU68)))))</f>
        <v>0</v>
      </c>
      <c r="DL68" s="1101">
        <f t="shared" ref="DL68:DL131" si="148">IF(DB68="sp+",DG68*$EW$30*$EW$32*(1-$EW$33),0)+IF(DB68="ap+",DG68*$EW$26/(1+$EW$15),0)+IF(DB68="ap+元气",DG68*$EW$26/(1+$EW$15)*$EW$67,0)+IF(DB68="技能+",$EW$28*DG68/$EW$27,0)+IF(DB68="vo+",$EW$26*DG68,0)+IF(DB68="sp获得",DG68*(1-$EW$33)*$EW$30/$EW$77)+IF(DB68="vo获得",DG68*$EW$24)+IF(DB68="ct+",$EW$26/(1+($EW$22-1)*$EW$19)*($EW$22-1)*DG68)+IF(DB68="核弹",DG68*(1+$EW$23))+IF(DB68="ct值+",$EW$26/(1+($EW$22-1)*$EW$19)*$EW$19*DG68)</f>
        <v>0</v>
      </c>
      <c r="DM68" s="1097">
        <f t="shared" ref="DM68:DM131" si="149">IF(DB68="sp+",DH68*$FA$27*$FA$32*(1-$FA$33),0)+IF(DB68="ap+",DH68*$FA$24/(1+$FA$15)*(1-$FI$26),0)+IF(DB68="ap+元气",DH68*$FA$24/(1+$FA$15)*(1-$FI$26)*$FA$64,0)+IF(DB68="技能+",$FA$26*DH68/$FA$25,0)+IF(DB68="vo+",$FA$24*DH68*(1-$FI$26),0)+IF(DB68="sp获得",DH68*(1-$FA$33)*$FA$27/$FA$69)+IF(DB68="vo获得",DH68*$FA$22)+IF(DB68="ct+",$FA$24/(1+($FA$20-1)*$FA$19)*($FA$20-1)*DH68*(1-$FI$27))+IF(DB68="核弹",DH68*(1+$FA$21)*(1-$FI$29))+IF(DB68="ct值+",$FA$24/(1+($FA$20-1)*$FA$19)*$FA$19*DH68*(1-$FI$28))</f>
        <v>0</v>
      </c>
      <c r="DN68" s="1097">
        <f t="shared" ref="DN68:DN131" si="150">IF(DB68="sp+",DI68*$EW$30*$EW$32*(1-$EW$33),0)+IF(DB68="ap+",DI68*$EW$26/(1+$EW$15),0)+IF(DB68="ap+元气",DI68*$EW$26/(1+$EW$15)*$EW$67,0)+IF(DB68="技能+",$EW$28*DI68/$EW$27,0)+IF(DB68="vo+",$EW$26*DI68,0)+IF(DB68="sp获得",DI68*(1-$EW$33)*$EW$30/$EW$77)+IF(DB68="vo获得",DI68*$EW$24)+IF(DB68="ct+",$EW$26/(1+($EW$22-1)*$EW$19)*($EW$22-1)*DI68)+IF(DB68="核弹",DI68*(1+$EW$23))+IF(DB68="ct值+",$EW$26/(1+($EW$22-1)*$EW$19)*$EW$19*DI68)</f>
        <v>0</v>
      </c>
      <c r="DO68" s="1097">
        <f t="shared" ref="DO68:DO131" si="151">DL68+IF(OR(DB68="加盾",AND(DB68="回血",OR(CZ68&lt;&gt;"切队",DF68=""))),MIN($EW$26/$EW$66*(1-$EW$66)-$EE68+$EC68-$ET68+$ER68, $EW$26*(HP($EW$62,$EW$65,$EW$64-DG68)/$EW$66-1)))+IF(DB68="减伤",MIN($EW$26/$EW$66*(1-$EW$66)-$EE68+$EC68-$ET68+$ER68, $EW$26*(HP($EW$62,$EW$65,$EW$64*(1-DG68))/$EW$66-1)))</f>
        <v>0</v>
      </c>
      <c r="DP68" s="1110">
        <f t="shared" ref="DP68:DP131" si="152">DN68+(IF(OR(DB68="加盾",AND(DB68="回血",OR(CZ68&lt;&gt;"切队",DF68=""))),$EW$26*(HP($EW$62,$EW$65,$EW$64-DG68)/$EW$66-1))+IF(DB68="减伤",$EW$26*(HP($EW$62,$EW$65,$EW$64*(1-DG68))/$EW$66-1)))*IF(OR(DC68="自身",DC68="同作战"),0,1)*IF(OR(CZ68="ap时",CZ68="ct时"),0,1)</f>
        <v>0</v>
      </c>
      <c r="DQ68" s="1113" t="s">
        <v>545</v>
      </c>
      <c r="DR68" s="1120">
        <f t="shared" ref="DR68:DR131" si="153">IF(F68="UR",0.33,0.3)</f>
        <v>0.3</v>
      </c>
      <c r="DS68" s="1124"/>
      <c r="DT68" s="1093" t="s">
        <v>546</v>
      </c>
      <c r="DU68" s="1093"/>
      <c r="DV68" s="1097">
        <f>IF($P68="","N/A",IF(P68=-1,INDEX('卡片raw data'!AN:AN,MATCH(D68,'卡片raw data'!$F:$F,)),0)+IF(AND(L68&lt;&gt;"party卡",P68&lt;=2,P68&gt;=0),INDEX('卡片raw data'!AP:AP,MATCH(D68,'卡片raw data'!$F:$F,)),0)+IF(OR(AND(L68="party卡",P68&lt;=1),AND(P68&lt;=4,L68&lt;&gt;"party卡",P68&gt;=3)),INDEX('卡片raw data'!AQ:AQ,MATCH(D68,'卡片raw data'!$F:$F,)),0)+IF(OR(P68=5,AND(L68="party卡",P68&gt;=2)),INDEX('卡片raw data'!AR:AR,MATCH(D68,'卡片raw data'!$F:$F,)),0))</f>
        <v>300</v>
      </c>
      <c r="DW68" s="1098">
        <f t="shared" ref="DW68:DW131" si="154">DR68+IF(AND($CK68="技能+",$CL68="自身",DR68=0.11),$CP68*3)</f>
        <v>0.3</v>
      </c>
      <c r="DX68" s="1098">
        <f t="shared" ref="DX68:DX131" si="155">DR68+IF(AND($CK68="技能+",$CL68="自身",DR68=0.11),$CQ68*3)</f>
        <v>0.3</v>
      </c>
      <c r="DY68" s="1125">
        <f t="shared" ref="DY68:DY131" si="156">IF(DS68=0,IF(DT68="ap",DV68*$AQ68*DW68/3*IF(DQ68="vo获得",$AP68,1))+IF(DT68="st",DV68*$AR68*DW68/3)+IF(DT68="te",DV68*$AS68*DW68/3)+IF(DT68="sp槽",DV68*DW68/3)+IF(DT68="固定值",IF(DQ68="sp获得",DV68/3*DW68/$EW$77,DV68*DW68/3)),IF(DU68="百分比",IF(DT68="全员",DV68*DW68/3*DS68)+IF(DT68="仲间",DV68*DW68/3*DS68*2/3)+IF(DT68="同作战",DV68*DW68/3*DS68)+IF(DT68="同年级",DV68*DW68/3*DS68*$EW$40/3)+IF(DT68="同学校",DV68*DW68/3*DS68*$EW$43/3)+IF(DT68="同属性",DV68*DW68/3*DS68*$EW$37/3)+IF(DT68="同type",DV68*DW68/3*DS68*INDEX($EX$49:$EX$52,MATCH(O68,$EW$49:$EW$52,))/3),(IF(DQ68="ap+",DV68/$EX$16*DS68*DW68/3)+IF(DQ68="vo+",DV68*(1+$EW$23)/$EW$26*DS68*DW68/3))*(IF(DT68="全员",1)+IF(DT68="同作战",1)))-IF(AND(DQ68="ct+",DT68&lt;&gt;"仲间"),MAX(DV68+$AU68-1,0)*DW68/3*_xlfn.FLOOR.MATH(DS68/3)))</f>
        <v>30</v>
      </c>
      <c r="DZ68" s="1125">
        <f t="shared" ref="DZ68:DZ131" si="157">IF(DS68=0,IF(DT68="ap",IF(DQ68="vo获得",MIN(DV68*$BA68*$AP68,$FI$25)*$FA$22*DX68/3,DV68*$BA68*DX68/3))+IF(DT68="st",DV68*$BB68*DX68/3)+IF(DT68="te",DV68*$BC68*DX68/3)+IF(DT68="sp槽",DV68*DX68/3*$FA$30)+IF(DT68="固定值",IF(DQ68="sp获得",DV68/3*DX68/$FA$69*$FA$30,DV68*DX68/3)),IF(DU68="百分比",IF(DT68="全员",DV68*DX68/3*DS68)+IF(DT68="仲间",DV68*DX68/3*DS68*2/3)+IF(DT68="同作战",DV68*DX68/3*DS68)+IF(DT68="同年级",DV68*DX68/3*DS68*$FA$40/3)+IF(DT68="同学校",DV68*DX68/3*DS68*$FA$43/3)+IF(DT68="同属性",DV68*DX68/3*DS68*$FA$37/3)+IF(DT68="同type",DV68*DX68/3*DS68*INDEX($FB$49:$FB$52,MATCH(O68,$FA$49:$FA$52,))/3),(IF(DQ68="ap+",DV68/$FB$16*DS68*DX68/3)+IF(DQ68="vo+",DV68*(1+$FA$21)/$FA$24*DS68*DX68/3))*(IF(DT68="全员",1)+IF(DT68="同作战",1)))-IF(AND(DQ68="ct+",DT68&lt;&gt;"仲间"),MAX(DV68+$BD68-1,0)*DX68/3*_xlfn.FLOOR.MATH(DS68/3)))*$FA$57</f>
        <v>25.95</v>
      </c>
      <c r="EA68" s="1098">
        <f t="shared" ref="EA68:EA131" si="158">IF(DQ68="技能+",IF(O68="sk",FM$10,FM$9)*(1+0.1*$FM$31/$FM$19)*IF(O68="sk",$FM$18,$FM$17)*DR68/$FM$14*(IF(DT68="全员",DS68*DV68)+IF(DT68="同属性",DS68*DV68*$FM$23/6)+IF(DT68="同作战",DV68*IF(O68="sk",IF(AND(DS68&gt;1,DS68&lt;6),2),$FM$9*DS68*3))),0)*$FM$16</f>
        <v>0</v>
      </c>
      <c r="EB68" s="1121">
        <f t="shared" ref="EB68:EB131" si="159">IF(DQ68="sp+",1/6*(1+0.1*$FM$31/$FM$19)*IF(O68="sk",$FM$18,$FM$17)*DR68/$FM$14*$FM$28*(IF(DT68="全员",DS68*DV68)+IF(DT68="同属性",DS68*DV68*$FM$23/6)+IF(DT68="同年级",DS68*DV68*$FM$24/6)),0)+IF(DQ68="sp获得",1/6*(1+0.1*$FM$31/$FM$19)*IF(O68="sk",$FM$18,$FM$17)*DR68/$FM$14*IF(O68="sk",1,1+(1+$FM$10/$FM$9)*($FM$27-1))*IF(DT68="固定值",DV68,DV68*$FM$25))</f>
        <v>0</v>
      </c>
      <c r="EC68" s="1101">
        <f t="shared" ref="EC68:EC131" si="160">IF(DQ68="ap+",$EW$26/(1+$EW$15)*DY68)+IF(DQ68="vo+",$EW$26*DY68)+IF(DQ68="vo获得",DY68*$EW$24)+IF(DQ68="sp+",DY68*$EW$30*$EW$32*(1-$EW$33))+IF(DQ68="sp获得",DY68*$EW$30*(1-$EW$33))+IF(DQ68="技能+",DY68*$EW$28/$EW$27)+IF(DQ68="ct+",DY68*$EW$26/(1+($EW$22-1)*$EW$19)*($EW$22-1))+IF(DQ68="核弹",DY68*(1+$EW$23)*$EW$24)+IF(DQ68="ct值+",$EW$26/(1+($EW$22-1)*$EW$19)*$EW$19*DY68)</f>
        <v>33</v>
      </c>
      <c r="ED68" s="1097">
        <f t="shared" ref="ED68:ED131" si="161">IF(DQ68="ap+",$FA$24/(1+$FA$15)*DZ68*(1-$FI$26))+IF(DQ68="vo+",$FA$24*DZ68*(1-$FI$26))+IF(DQ68="vo获得",DZ68)+IF(DQ68="sp+",DZ68*$FA$27*$FA$32*(1-$FA$33))+IF(DQ68="sp获得",DZ68*$FA$27*(1-$FA$33))+IF(DQ68="技能+",DZ68*$FA$26/$FA$25)+IF(DQ68="ct+",DZ68*$FA$24/(1+($FA$20-1)*$FA$19)*($FA$20-1)*(1-$FI$27))+IF(DQ68="核弹",DZ68*(1+$FA$21)*(1-$FI$29))+IF(DQ68="ct值+",$FA$24/(1+($FA$20-1)*$FA$19)*$FA$19*DZ68*(1-$FI$28))</f>
        <v>25.95</v>
      </c>
      <c r="EE68" s="1110">
        <f t="shared" ref="EE68:EE131" si="162">EC68+IF(OR(DQ68="回血",DQ68="加盾"),$EW$26*(HP($EW$62,$EW$65,$EW$64-DY68)/$EW$66-1))+IF(DQ68="减伤",$EW$26*(HP($EW$62,$EW$65,$EW$64*(1-DY68))/$EW$66-1))</f>
        <v>33</v>
      </c>
      <c r="EF68" s="1092" t="s">
        <v>711</v>
      </c>
      <c r="EG68" s="1120">
        <f t="shared" ref="EG68:EG131" si="163">IF(F68="UR",0.33,0.3)</f>
        <v>0.3</v>
      </c>
      <c r="EH68" s="1124"/>
      <c r="EI68" s="1093"/>
      <c r="EJ68" s="1093"/>
      <c r="EK68" s="1097">
        <f>IF($P68="","N/A",IF(P68=-1,INDEX('卡片raw data'!AS:AS,MATCH(D68,'卡片raw data'!$F:$F,)),0)+IF(AND(L68&lt;&gt;"party卡",P68&lt;=2,P68&gt;=0),INDEX('卡片raw data'!AU:AU,MATCH(D68,'卡片raw data'!$F:$F,)),0)+IF(OR(AND(L68="party卡",P68&lt;=1),AND(P68&lt;=4,L68&lt;&gt;"party卡",P68&gt;=3)),INDEX('卡片raw data'!AV:AV,MATCH(D68,'卡片raw data'!$F:$F,)),0)+IF(OR(P68=5,AND(L68="party卡",P68&gt;=2)),INDEX('卡片raw data'!AW:AW,MATCH(D68,'卡片raw data'!$F:$F,)),0))</f>
        <v>0</v>
      </c>
      <c r="EL68" s="1098">
        <f t="shared" ref="EL68:EL131" si="164">EG68+IF(AND($CK68="技能+",$CL68="自身",EG68=0.11),$CP68*3)</f>
        <v>0.3</v>
      </c>
      <c r="EM68" s="1098">
        <f t="shared" ref="EM68:EM131" si="165">EG68+IF(AND($CK68="技能+",$CL68="自身",EG68=0.11),$CQ68*3)</f>
        <v>0.3</v>
      </c>
      <c r="EN68" s="1125">
        <f t="shared" ref="EN68:EN131" si="166">IF(EH68=0,IF(EI68="ap",EK68*$AQ68*EL68/3*IF(EF68="vo获得",$AP68,1))+IF(EI68="st",EK68*$AR68*EL68/3)+IF(EI68="te",EK68*$AS68*EL68/3)+IF(EI68="sp槽",EK68*EL68/3)+IF(EI68="固定值",IF(EF68="sp获得",EK68/3*EL68/$EW$77,EK68*EL68/3)),IF(EJ68="百分比",IF(EI68="全员",EK68*EL68/3*EH68)+IF(EI68="仲间",EK68*EL68/3*EH68*2/3)+IF(EI68="同作战",EK68*EL68/3*EH68)+IF(EI68="同年级",EK68*EL68/3*EH68*$EW$40/3)+IF(EI68="同学校",EK68*EL68/3*EH68*$EW$43/3)+IF(EI68="同属性",EK68*EL68/3*EH68*$EW$37/3)+IF(EI68="同type",EK68*EL68/3*EH68*INDEX($EX$49:$EX$52,MATCH(AD68,$EW$49:$EW$52,))/3),(IF(EF68="ap+",EK68/$EX$16*EH68*EL68/3)+IF(EF68="vo+",EK68*(1+$EW$23)/$EW$26*EH68*EL68/3))*(IF(EI68="全员",1)+IF(EI68="同作战",1)))-IF(AND(EF68="ct+",EI68&lt;&gt;"仲间"),MAX(EK68+$AU68-1,0)*EL68/3*_xlfn.FLOOR.MATH(EH68/3)))</f>
        <v>0</v>
      </c>
      <c r="EO68" s="1125">
        <f t="shared" ref="EO68:EO131" si="167">IF(EH68=0,IF(EI68="ap",IF(EF68="vo获得",MIN(EK68*$BA68*$AP68,$FI$25)*$FA$22*EM68/3,EK68*$BA68*EM68/3))+IF(EI68="st",EK68*$BB68*EM68/3)+IF(EI68="te",EK68*$BC68*EM68/3)+IF(EI68="sp槽",EK68*EM68/3*$FA$30)+IF(EI68="固定值",IF(EF68="sp获得",EK68/3*EM68/$FA$69*$FA$30,EK68*EM68/3)),IF(EJ68="百分比",IF(EI68="全员",EK68*EM68/3*EH68)+IF(EI68="仲间",EK68*EM68/3*EH68*2/3)+IF(EI68="同作战",EK68*EM68/3*EH68)+IF(EI68="同年级",EK68*EM68/3*EH68*$FA$40/3)+IF(EI68="同学校",EK68*EM68/3*EH68*$FA$43/3)+IF(EI68="同属性",EK68*EM68/3*EH68*$FA$37/3)+IF(EI68="同type",EK68*EM68/3*EH68*INDEX($FB$49:$FB$52,MATCH(AD68,$FA$49:$FA$52,))/3),(IF(EF68="ap+",EK68/$FB$16*EH68*EM68/3)+IF(EF68="vo+",EK68*(1+$FA$21)/$FA$24*EH68*EM68/3))*(IF(EI68="全员",1)+IF(EI68="同作战",1)))-IF(AND(EF68="ct+",EI68&lt;&gt;"仲间"),MAX(EK68+$BD68-1,0)*EM68/3*_xlfn.FLOOR.MATH(EH68/3)))*$FA$57</f>
        <v>0</v>
      </c>
      <c r="EP68" s="1098">
        <f t="shared" ref="EP68:EP131" si="168">IF(EF68="技能+",IF(AB68="sk",FZ$10,FZ$9)*(1+0.1*$FM$31/$FM$19)*IF(AB68="sk",$FM$18,$FM$17)*EG68/$FM$14*(IF(EI68="全员",EH68*EK68)+IF(EI68="同属性",EH68*EK68*$FM$23/6)+IF(EI68="同作战",EK68*IF(AB68="sk",IF(AND(EH68&gt;1,EH68&lt;6),2),$FM$9*EH68*3))),0)*$FM$16</f>
        <v>0</v>
      </c>
      <c r="EQ68" s="1121">
        <f t="shared" ref="EQ68:EQ131" si="169">IF(EF68="sp+",1/6*(1+0.1*$FM$31/$FM$19)*IF(AB68="sk",$FM$18,$FM$17)*EG68/$FM$14*$FM$28*(IF(EI68="全员",EH68*EK68)+IF(EI68="同属性",EH68*EK68*$FM$23/6)+IF(EI68="同年级",EH68*EK68*$FM$24/6)),0)+IF(EF68="sp获得",1/6*(1+0.1*$FM$31/$FM$19)*IF(AB68="sk",$FM$18,$FM$17)*EG68/$FM$14*IF(AB68="sk",1,1+(1+$FM$10/$FM$9)*($FM$27-1))*IF(EI68="固定值",EK68,EK68*$FM$25))</f>
        <v>0</v>
      </c>
      <c r="ER68" s="1101">
        <f t="shared" ref="ER68:ER131" si="170">IF(EF68="ap+",$EW$26/(1+$EW$15)*EN68)+IF(EF68="vo+",$EW$26*EN68)+IF(EF68="vo获得",EN68*$EW$24)+IF(EF68="sp+",EN68*$EW$30*$EW$32*(1-$EW$33))+IF(EF68="sp获得",EN68*$EW$30*(1-$EW$33))+IF(EF68="技能+",EN68*$EW$28/$EW$27)+IF(EF68="ct+",EN68*$EW$26/(1+($EW$22-1)*$EW$19)*($EW$22-1))+IF(EF68="核弹",EN68*(1+$EW$23)*$EW$24)+IF(EF68="ct值+",$EW$26/(1+($EW$22-1)*$EW$19)*$EW$19*EN68)</f>
        <v>0</v>
      </c>
      <c r="ES68" s="1097">
        <f t="shared" ref="ES68:ES131" si="171">IF(EF68="ap+",$FA$24/(1+$FA$15)*EO68*(1-$FI$26))+IF(EF68="vo+",$FA$24*EO68*(1-$FI$26))+IF(EF68="vo获得",EO68)+IF(EF68="sp+",EO68*$FA$27*$FA$32*(1-$FA$33))+IF(EF68="sp获得",EO68*$FA$27*(1-$FA$33))+IF(EF68="技能+",EO68*$FA$26/$FA$25)+IF(EF68="ct+",EO68*$FA$24/(1+($FA$20-1)*$FA$19)*($FA$20-1)*(1-$FI$27))+IF(EF68="核弹",EO68*(1+$FA$21)*(1-$FI$29))+IF(EF68="ct值+",$FA$24/(1+($FA$20-1)*$FA$19)*$FA$19*EO68*(1-$FI$28))</f>
        <v>0</v>
      </c>
      <c r="ET68" s="1122">
        <f t="shared" ref="ET68:ET131" si="172">ER68+IF(OR(EF68="回血",EF68="加盾"),$EW$26*(HP($EW$62,$EW$65,$EW$64-EN68)/$EW$66-1))+IF(EF68="减伤",$EW$26*(HP($EW$62,$EW$65,$EW$64*(1-EN68))/$EW$66-1))</f>
        <v>0</v>
      </c>
      <c r="EV68" s="1221" t="s">
        <v>1922</v>
      </c>
      <c r="EW68" s="1327">
        <v>0.65</v>
      </c>
      <c r="EX68" s="1327"/>
      <c r="EY68" s="1232"/>
      <c r="EZ68" s="1221" t="s">
        <v>252</v>
      </c>
      <c r="FA68" s="1327">
        <v>20</v>
      </c>
      <c r="FB68" s="1327"/>
    </row>
    <row r="69" spans="2:158" ht="16.5" customHeight="1">
      <c r="B69" s="1123" t="str">
        <f>INDEX('卡片raw data'!B:B,MATCH($D69,'卡片raw data'!$F:$F,))</f>
        <v>练习鞠</v>
      </c>
      <c r="C69" s="449" t="s">
        <v>123</v>
      </c>
      <c r="D69" s="408">
        <v>66</v>
      </c>
      <c r="E69" s="1090">
        <v>101081002</v>
      </c>
      <c r="F69" s="1090" t="str">
        <f>INDEX('卡片raw data'!C:C,MATCH($D69,'卡片raw data'!$F:$F,))</f>
        <v>R</v>
      </c>
      <c r="G69" s="1094" t="s">
        <v>40</v>
      </c>
      <c r="H69" s="411">
        <f>IFERROR(INDEX(绊状态确认!C:C,MATCH($G69,绊状态确认!$B:$B,)),"")</f>
        <v>108</v>
      </c>
      <c r="I69" s="450" t="str">
        <f>IFERROR(INDEX(绊状态确认!D:D,MATCH($G69,绊状态确认!$B:$B,)),"")</f>
        <v>水</v>
      </c>
      <c r="J69" s="450" t="str">
        <f>IFERROR(INDEX(绊状态确认!E:E,MATCH($G69,绊状态确认!$B:$B,)),"")</f>
        <v>3年级</v>
      </c>
      <c r="K69" s="451" t="str">
        <f>IFERROR(INDEX(绊状态确认!F:F,MATCH($G69,绊状态确认!$B:$B,)),"")</f>
        <v>Guilty Kiss</v>
      </c>
      <c r="L69" s="1094" t="str">
        <f>INDEX('卡片raw data'!E:E,MATCH($D69,'卡片raw data'!$F:$F,))</f>
        <v>卡池卡</v>
      </c>
      <c r="M69" s="415">
        <v>43735</v>
      </c>
      <c r="N69" s="416">
        <v>0</v>
      </c>
      <c r="O69" s="1091" t="str">
        <f>INDEX('卡片raw data'!D:D,MATCH($D69,'卡片raw data'!$F:$F,))</f>
        <v>gd</v>
      </c>
      <c r="P69" s="417">
        <v>5</v>
      </c>
      <c r="Q69" s="1095">
        <f t="shared" si="88"/>
        <v>12706.734103536701</v>
      </c>
      <c r="R69" s="1096">
        <f t="shared" si="89"/>
        <v>0.14699999999999999</v>
      </c>
      <c r="S69" s="1097">
        <f t="shared" si="90"/>
        <v>6959.135743283925</v>
      </c>
      <c r="T69" s="1098">
        <f t="shared" si="91"/>
        <v>0.34699999999999998</v>
      </c>
      <c r="U69" s="1099">
        <f t="shared" si="92"/>
        <v>75.936164302142856</v>
      </c>
      <c r="V69" s="1100">
        <f t="shared" si="93"/>
        <v>18557.125421386834</v>
      </c>
      <c r="W69" s="1101">
        <f t="shared" si="94"/>
        <v>3641.8612264717735</v>
      </c>
      <c r="X69" s="1096">
        <f t="shared" si="95"/>
        <v>4.2000000000000003E-2</v>
      </c>
      <c r="Y69" s="1097">
        <f t="shared" si="96"/>
        <v>870.54027486502719</v>
      </c>
      <c r="Z69" s="1102">
        <f t="shared" si="97"/>
        <v>10.936164302142856</v>
      </c>
      <c r="AA69" s="1103">
        <f t="shared" si="98"/>
        <v>4512.4015013368007</v>
      </c>
      <c r="AB69" s="1101">
        <f t="shared" si="99"/>
        <v>4066.3369387302896</v>
      </c>
      <c r="AC69" s="1104">
        <f t="shared" si="100"/>
        <v>4.7E-2</v>
      </c>
      <c r="AD69" s="1105">
        <f t="shared" si="101"/>
        <v>-3.8207812500000026E-3</v>
      </c>
      <c r="AE69" s="1128">
        <f t="shared" si="102"/>
        <v>-28.942028985507246</v>
      </c>
      <c r="AF69" s="1130">
        <f t="shared" si="103"/>
        <v>1070.3543341</v>
      </c>
      <c r="AG69" s="420">
        <f t="shared" si="104"/>
        <v>106225.38831800001</v>
      </c>
      <c r="AH69" s="420">
        <f t="shared" si="105"/>
        <v>99.243199129304131</v>
      </c>
      <c r="AI69" s="1097">
        <f t="shared" si="106"/>
        <v>-82863.178255106788</v>
      </c>
      <c r="AJ69" s="420">
        <f t="shared" si="107"/>
        <v>18557.125421386834</v>
      </c>
      <c r="AK69" s="518">
        <f t="shared" si="108"/>
        <v>-101420.30367649363</v>
      </c>
      <c r="AL69" s="1106">
        <f>IF($P69="","N/A",(IF($P69=-1,INDEX('卡片raw data'!S:S,MATCH($D69,'卡片raw data'!$F:$F,)),0)+IF($P69=0,INDEX('卡片raw data'!V:V,MATCH($D69,'卡片raw data'!$F:$F,)),0)+IF($P69=1,INDEX('卡片raw data'!Y:Y,MATCH($D69,'卡片raw data'!$F:$F,)),0)+IF($P69=2,INDEX('卡片raw data'!AB:AB,MATCH($D69,'卡片raw data'!$F:$F,)),0)+IF($P69=3,INDEX('卡片raw data'!AE:AE,MATCH($D69,'卡片raw data'!$F:$F,)),0)+IF($P69=4,INDEX('卡片raw data'!AH:AH,MATCH($D69,'卡片raw data'!$F:$F,)),0)+IF($P69=5,INDEX('卡片raw data'!AK:AK,MATCH($D69,'卡片raw data'!$F:$F,)),0)+INDEX('卡片raw data'!S:S,MATCH($D69,'卡片raw data'!$F:$F,))*(IF($F69="UR",0.04,0.033))*(IF($F69="UR",INDEX(绊状态确认!$S:$S,MATCH($G69,绊状态确认!$B:$B,))/2-40)+IF($F69="SR",INDEX(绊状态确认!$R:$R,MATCH($G69,绊状态确认!$B:$B,))/4-15))+IF($F69="R",INDEX(绊状态确认!$Q:$Q,MATCH($G69,绊状态确认!$B:$B,))/6-40/6)))*(INDEX(绊状态确认!$H:$H,MATCH($G69,绊状态确认!$B:$B,))+INDEX(绊状态确认!J:J,MATCH($G69,绊状态确认!$B:$B,)))</f>
        <v>4122.8591999999999</v>
      </c>
      <c r="AM69" s="1106">
        <f>IF($P69="","N/A",(IF($P69=-1,INDEX('卡片raw data'!T:T,MATCH($D69,'卡片raw data'!$F:$F,)),0)+IF($P69=0,INDEX('卡片raw data'!W:W,MATCH($D69,'卡片raw data'!$F:$F,)),0)+IF($P69=1,INDEX('卡片raw data'!Z:Z,MATCH($D69,'卡片raw data'!$F:$F,)),0)+IF($P69=2,INDEX('卡片raw data'!AC:AC,MATCH($D69,'卡片raw data'!$F:$F,)),0)+IF($P69=3,INDEX('卡片raw data'!AF:AF,MATCH($D69,'卡片raw data'!$F:$F,)),0)+IF($P69=4,INDEX('卡片raw data'!AI:AI,MATCH($D69,'卡片raw data'!$F:$F,)),0)+IF($P69=5,INDEX('卡片raw data'!AL:AL,MATCH($D69,'卡片raw data'!$F:$F,)),0)+INDEX('卡片raw data'!T:T,MATCH($D69,'卡片raw data'!$F:$F,))*(IF($F69="UR",0.04,0.033))*(IF($F69="UR",INDEX(绊状态确认!$S:$S,MATCH($G69,绊状态确认!$B:$B,))/2-40)+IF($F69="SR",INDEX(绊状态确认!$R:$R,MATCH($G69,绊状态确认!$B:$B,))/4-15))+IF($F69="R",INDEX(绊状态确认!$Q:$Q,MATCH($G69,绊状态确认!$B:$B,))/6-40/6)))*(INDEX(绊状态确认!$H:$H,MATCH($G69,绊状态确认!$B:$B,))+INDEX(绊状态确认!K:K,MATCH($G69,绊状态确认!$B:$B,)))</f>
        <v>5496.7667999999994</v>
      </c>
      <c r="AN69" s="1106">
        <f>IF($P69="","N/A",(IF($P69=-1,INDEX('卡片raw data'!U:U,MATCH($D69,'卡片raw data'!$F:$F,)),0)+IF($P69=0,INDEX('卡片raw data'!X:X,MATCH($D69,'卡片raw data'!$F:$F,)),0)+IF($P69=1,INDEX('卡片raw data'!AA:AA,MATCH($D69,'卡片raw data'!$F:$F,)),0)+IF($P69=2,INDEX('卡片raw data'!AD:AD,MATCH($D69,'卡片raw data'!$F:$F,)),0)+IF($P69=3,INDEX('卡片raw data'!AG:AG,MATCH($D69,'卡片raw data'!$F:$F,)),0)+IF($P69=4,INDEX('卡片raw data'!AJ:AJ,MATCH($D69,'卡片raw data'!$F:$F,)),0)+IF($P69=5,INDEX('卡片raw data'!AM:AM,MATCH($D69,'卡片raw data'!$F:$F,)),0)+INDEX('卡片raw data'!U:U,MATCH($D69,'卡片raw data'!$F:$F,))*(IF($F69="UR",0.04,0.033))*(IF($F69="UR",INDEX(绊状态确认!$S:$S,MATCH($G69,绊状态确认!$B:$B,))/2-40)+IF($F69="SR",INDEX(绊状态确认!$R:$R,MATCH($G69,绊状态确认!$B:$B,))/4-15))+IF($F69="R",INDEX(绊状态确认!$Q:$Q,MATCH($G69,绊状态确认!$B:$B,))/6-40/6)))*(INDEX(绊状态确认!$H:$H,MATCH($G69,绊状态确认!$B:$B,))+INDEX(绊状态确认!L:L,MATCH($G69,绊状态确认!$B:$B,)))</f>
        <v>4122.8591999999999</v>
      </c>
      <c r="AO69" s="1107">
        <f t="shared" si="109"/>
        <v>1</v>
      </c>
      <c r="AP69" s="1131">
        <f>1+(INDEX(绊状态确认!$T:$T,MATCH($G69,绊状态确认!$B:$B,))+0.2)*$AO69</f>
        <v>1.3</v>
      </c>
      <c r="AQ69" s="1108">
        <f t="shared" si="110"/>
        <v>14072.5054</v>
      </c>
      <c r="AR69" s="1097">
        <f>(AM69*(1+$EX$9)+$EX$35)*(1+(INDEX(绊状态确认!$T:$T,MATCH($G69,绊状态确认!$B:$B,))+0.2)*AO69)*IF(J69=$FF$17,1+$FE$17,1)*IF(I69=$FF$14,1+$FE$14,1)</f>
        <v>10207.086681999999</v>
      </c>
      <c r="AS69" s="1097">
        <f>(AN69*(1+$EX$10)+$EX$36)*(1+(INDEX(绊状态确认!$T:$T,MATCH($G69,绊状态确认!$B:$B,))+0.2)*AO69)*IF(J69=$FF$17,1+$FE$17,1)*IF(I69=$FF$14,1+$FE$14,1)</f>
        <v>10219.674503999999</v>
      </c>
      <c r="AT69" s="1093">
        <f>IF(AND(INDEX('卡片raw data'!AK:AK,MATCH($D69,'卡片raw data'!$F:$F,))&lt;INDEX('卡片raw data'!AM:AM,MATCH($D69,'卡片raw data'!$F:$F,)),INDEX('卡片raw data'!AL:AL,MATCH($D69,'卡片raw data'!$F:$F,))&lt;INDEX('卡片raw data'!AM:AM,MATCH($D69,'卡片raw data'!$F:$F,))),1,0)</f>
        <v>0</v>
      </c>
      <c r="AU69" s="1098">
        <f>MIN(AT69*0.15+AS69*0.00003+INDEX(绊状态确认!M:M,MATCH($G69,绊状态确认!$B:$B,)),1)</f>
        <v>0.33659023511999997</v>
      </c>
      <c r="AV69" s="1109">
        <f>(INDEX(绊状态确认!$N:$N,MATCH($G69,绊状态确认!$B:$B,))+1.5)*$EW$21</f>
        <v>2.6599999999999997</v>
      </c>
      <c r="AW69" s="1101">
        <f t="shared" si="111"/>
        <v>11392.063831473077</v>
      </c>
      <c r="AX69" s="1097">
        <f t="shared" si="112"/>
        <v>870.54027486502696</v>
      </c>
      <c r="AY69" s="1110">
        <f t="shared" si="113"/>
        <v>12262.604106338104</v>
      </c>
      <c r="AZ69" s="429">
        <f t="shared" si="114"/>
        <v>10639.575440000001</v>
      </c>
      <c r="BA69" s="431">
        <f t="shared" si="115"/>
        <v>12767.490528</v>
      </c>
      <c r="BB69" s="1097">
        <f>(AM69*(1+$FB$9)+$FB$35)*(1+(INDEX(绊状态确认!$T:$T,MATCH($G69,绊状态确认!$B:$B,))+0.2)*AO69)*IF(J69=$FF$17,1+$FE$17,1)*IF(I69=$FF$14,1+$FE$14,1)*(1+$FE$15)</f>
        <v>10207.086681999999</v>
      </c>
      <c r="BC69" s="1097">
        <f>(AN69*(1+$FB$10)+$FB$36)*(1+(INDEX(绊状态确认!$T:$T,MATCH($G69,绊状态确认!$B:$B,))+0.2)*AO69)*IF(J69=$FF$17,1+$FE$17,1)*IF(I69=$FF$14,1+$FE$14,1)*(1+$FE$15)</f>
        <v>10219.674503999999</v>
      </c>
      <c r="BD69" s="1104">
        <f>MIN(AT69*0.15+BC69*0.00003+INDEX(绊状态确认!M:M,MATCH($G69,绊状态确认!$B:$B,)),1)</f>
        <v>0.33659023511999997</v>
      </c>
      <c r="BE69" s="432">
        <f>(INDEX(绊状态确认!$N:$N,MATCH($G69,绊状态确认!$B:$B,))+1.5)</f>
        <v>1.9</v>
      </c>
      <c r="BF69" s="1139">
        <f t="array" ref="BF69">SUMPRODUCT(IF(AZ69*AP69*$FI$16:$FI$23*$FA$22&gt;=$FI$24,$FI$24,AZ69*AP69*$FI$16:$FI$23*$FA$22),$FJ$16:$FJ$23)</f>
        <v>21162.115550160001</v>
      </c>
      <c r="BG69" s="1125">
        <f t="array" ref="BG69">SUMPRODUCT(IF(BE69*AZ69*AP69*$FI$16:$FI$23*$FA$22&gt;=$FI$24,$FI$24,BE69*AZ69*AP69*$FI$16:$FI$23*$FA$22),$FJ$16:$FJ$23)</f>
        <v>40208.019545304</v>
      </c>
      <c r="BH69" s="1110">
        <f t="shared" si="116"/>
        <v>9190.9269513194886</v>
      </c>
      <c r="BI69" s="1111">
        <f>IF(O69="vo",$EW$26/$EW$24*0.05,0)+IF(O69="sk",-$EW$26/$EW$24*(0.05-INDEX(绊状态确认!W:W,MATCH($G69,绊状态确认!$B:$B,)))+0.05*$EW$28,0)+IF(O69="sp",0.05*$EW$32*$EW$30*(1-$EW$33)-(0.05-INDEX(绊状态确认!V:V,MATCH($G69,绊状态确认!$B:$B,)))*$EW$28,0)+IF(O69="gd",-(0.05-INDEX(绊状态确认!X:X,MATCH($G69,绊状态确认!$B:$B,)))*$EW$32*$EW$30*(1-$EW$33),0)</f>
        <v>-585.00000000000011</v>
      </c>
      <c r="BJ69" s="1097">
        <f>IF(O69="vo",0.05*(1-$FI$26)*$FA$24,0)+IF(O69="sk",-(0.05-INDEX(绊状态确认!W:W,MATCH($G69,绊状态确认!$B:$B,)))*(1-$FI$26)*$FA$24+0.05*$FA$26,0)+IF(O69="sp",0.05*$FA$32*$FA$27*(1-$FA$33)/$FA$30+0.05*$FA$29/$FA$69*$FA$27*(1-$FA$33)-(0.05-INDEX(绊状态确认!V:V,MATCH($G69,绊状态确认!$B:$B,)))*$FA$26,0)+IF(O69="gd",-(0.05-INDEX(绊状态确认!X:X,MATCH($G69,绊状态确认!$B:$B,)))*$FA$32*$FA$27*(1-$FA$33)/$FA$30-(0.05-INDEX(绊状态确认!X:X,MATCH($G69,绊状态确认!$B:$B,)))*$FA$29/$FA$69*$FA$27*(1-$FA$33),0)</f>
        <v>-795.00000000000011</v>
      </c>
      <c r="BK69" s="1110">
        <f>IF(O69="vo",$EW$26/$EW$24*0.05+$EW$26*(-HP($EW$62,$EW$65,$EW$64)+HP($EW$62,$EW$65,(1.05-INDEX(绊状态确认!U:U,MATCH($G69,绊状态确认!$B:$B,)))*$EW$64)),0)+IF(O69="sk",-$EW$26/$EW$24*(0.05-INDEX(绊状态确认!W:W,MATCH($G69,绊状态确认!$B:$B,)))+0.05*$EW$29,0)+IF(O69="sp",0.05*$EW$32*$EW$30*(1-$EW$33)-(0.05-INDEX(绊状态确认!V:V,MATCH($G69,绊状态确认!$B:$B,)))*$EW$29,0)+IF(O69="gd",-(0.05-INDEX(绊状态确认!X:X,MATCH($G69,绊状态确认!$B:$B,)))*$EW$32*$EW$30*(1-$EW$33)+$EW$26*(-HP($EW$62,$EW$65,$EW$64)+HP($EW$62,$EW$65,0.95*$EW$64)),0)</f>
        <v>1009.5947725176144</v>
      </c>
      <c r="BL69" s="1111">
        <f t="shared" si="117"/>
        <v>-2166.6666666666665</v>
      </c>
      <c r="BM69" s="1110">
        <f t="shared" si="118"/>
        <v>-1661.1111111111109</v>
      </c>
      <c r="BN69" s="1113">
        <f t="shared" si="119"/>
        <v>2</v>
      </c>
      <c r="BO69" s="1097">
        <f t="shared" si="120"/>
        <v>3005.1476580839999</v>
      </c>
      <c r="BP69" s="1100">
        <f t="shared" si="121"/>
        <v>147.56068806020068</v>
      </c>
      <c r="BQ69" s="1113" t="s">
        <v>616</v>
      </c>
      <c r="BR69" s="1124" t="s">
        <v>617</v>
      </c>
      <c r="BS69" s="1098">
        <f>IF($P69="","N/A",IF($P69=-1,INDEX('卡片raw data'!AX:AX,MATCH($D69,'卡片raw data'!$F:$F,)),0)+IF($L69="party卡",IF($P69=5,INDEX('卡片raw data'!BD:BD,MATCH($D69,'卡片raw data'!$F:$F,)),IF($P69&gt;=3,INDEX('卡片raw data'!BC:BC,MATCH($D69,'卡片raw data'!$F:$F,)),INDEX('卡片raw data'!BB:BB,MATCH($D69,'卡片raw data'!$F:$F,)))),IF(OR(AND($F69="UR",$P69=0),AND($F69="SR",$P69&gt;=0,$P69&lt;=2),AND($F69="R",$P69&gt;=0,$P69&lt;4)),INDEX('卡片raw data'!AZ:AZ,MATCH($D69,'卡片raw data'!$F:$F,)),0)+IF(OR(AND($F69="UR",$P69&gt;=1,$P69&lt;=4),AND($F69="SR",$P69&lt;=4,$P69&gt;=3),AND($F69="R",$P69=4)),INDEX('卡片raw data'!BA:BA,MATCH($D69,'卡片raw data'!$F:$F,)),0)+IF($P69=5,INDEX('卡片raw data'!BB:BB,MATCH($D69,'卡片raw data'!$F:$F,)),0)))</f>
        <v>2.7E-2</v>
      </c>
      <c r="BT69" s="1101">
        <f t="shared" si="122"/>
        <v>1061.1892806462897</v>
      </c>
      <c r="BU69" s="1097">
        <f t="shared" si="123"/>
        <v>76.759215015347351</v>
      </c>
      <c r="BV69" s="1097">
        <f t="shared" si="124"/>
        <v>636.71356838777365</v>
      </c>
      <c r="BW69" s="1112">
        <f t="shared" si="125"/>
        <v>0</v>
      </c>
      <c r="BX69" s="1100">
        <f t="shared" si="126"/>
        <v>1061.1892806462897</v>
      </c>
      <c r="BY69" s="1110">
        <f t="shared" si="127"/>
        <v>636.71356838777365</v>
      </c>
      <c r="BZ69" s="1107" t="s">
        <v>569</v>
      </c>
      <c r="CA69" s="1124"/>
      <c r="CB69" s="1098">
        <f>IF($P69="","N/A",IF($P69=-1,INDEX('卡片raw data'!BE:BE,MATCH($D69,'卡片raw data'!$F:$F,)),0)+IF($L69="party卡",IF($P69=5,INDEX('卡片raw data'!BK:BK,MATCH($D69,'卡片raw data'!$F:$F,)),IF($P69&gt;=3,INDEX('卡片raw data'!BJ:BJ,MATCH($D69,'卡片raw data'!$F:$F,)),INDEX('卡片raw data'!BI:BI,MATCH($D69,'卡片raw data'!$F:$F,)))),IF(OR(AND($F69="UR",$P69=0),AND($F69="SR",$P69&gt;=0,$P69&lt;=2),AND($F69="R",$P69&gt;=0,$P69&lt;4)),INDEX('卡片raw data'!BG:BG,MATCH($D69,'卡片raw data'!$F:$F,)),0)+IF(OR(AND($F69="UR",$P69&gt;=1,$P69&lt;=4),AND($F69="SR",$P69&lt;=4,$P69&gt;=3),AND($F69="R",$P69=4)),INDEX('卡片raw data'!BH:BH,MATCH($D69,'卡片raw data'!$F:$F,)),0)+IF($P69=5,INDEX('卡片raw data'!BI:BI,MATCH($D69,'卡片raw data'!$F:$F,)),0)))</f>
        <v>0</v>
      </c>
      <c r="CC69" s="1101">
        <f t="shared" si="128"/>
        <v>0</v>
      </c>
      <c r="CD69" s="1097">
        <f>IF(BZ69="ap",CB69*(1-$FI$26)*$FB$5/$FB$11*(+IF(CA69="全员",$FA$24,0)+IF(CA69="同作战",$FA$24,0)+IF(CA69="仲间",$FA$24*2/3,0)+IF(CA69="同属性",$FA$24*$FA$37/3,0)+IF(CA69="同年级",$FA$24*$FA$40/3,0)+IF(CA69="同学校",$FA$24*$FA$43/3,0)+IF(CA69="同小队",$FA$24*$FA$46/3,0)+IF(CA69="同type",$FA$24*INDEX($FB$49:$FB$52,MATCH(X69,$FA$49:$FA$52,))/3,0)+IF(CA69="自身",#REF!/3,0)),0)+IF(BZ69="te",CB69*(1-$FI$27)*($FA$20-1)*$FB$7/$FB$13*(+IF(CA69="全员",$FA$19*$FA$24/(1+($FA$20-1)*$FA$19),0)+IF(CA69="同作战",$FA$19*$FA$24/(1+($FA$20-1)*$FA$19),0)+IF(CA69="仲间",$FA$19*$FA$24*2/3/(1+($FA$20-1)*$FA$19),0)+IF(CA69="同属性",$FA$19*$FA$24*$FA$37/3/(1+($FA$20-1)*$FA$19),0)+IF(CA69="同年级",$FA$19*$FA$24*$FA$40/3/(1+($FA$20-1)*$FA$19),0)+IF(CA69="同学校",$FA$19*$FA$24*$FA$43/3/(1+($FA$20-1)*$FA$19),0)+IF(CA69="同小队",$FA$19*$FA$24*$FA$46/3/(1+($FA$20-1)*$FA$19),0)+IF(CA69="同type",$FA$19*$FA$24*INDEX($FB$49:$FB$52,MATCH(X69,$FA$49:$FA$52,))/3/(1+($FA$20-1)*$FA$19),0)+IF(CA69="自身",$FA$19*#REF!/3/(1+(BH69-1)*$BD69),0)),0)</f>
        <v>0</v>
      </c>
      <c r="CE69" s="1097">
        <f t="shared" si="129"/>
        <v>0</v>
      </c>
      <c r="CF69" s="1112">
        <f t="shared" si="130"/>
        <v>0</v>
      </c>
      <c r="CG69" s="1100">
        <f t="shared" si="131"/>
        <v>0</v>
      </c>
      <c r="CH69" s="1110">
        <f t="shared" si="132"/>
        <v>0</v>
      </c>
      <c r="CI69" s="1113"/>
      <c r="CJ69" s="1114"/>
      <c r="CK69" s="1115" t="s">
        <v>569</v>
      </c>
      <c r="CL69" s="1115"/>
      <c r="CM69" s="1119"/>
      <c r="CN69" s="1115"/>
      <c r="CO69" s="1092"/>
      <c r="CP69" s="1117">
        <f t="shared" si="133"/>
        <v>0</v>
      </c>
      <c r="CQ69" s="1117">
        <f t="shared" si="134"/>
        <v>0</v>
      </c>
      <c r="CR69" s="1117">
        <f t="shared" si="135"/>
        <v>0</v>
      </c>
      <c r="CS69" s="1118">
        <f t="shared" si="136"/>
        <v>0</v>
      </c>
      <c r="CT69" s="1109">
        <f t="shared" si="137"/>
        <v>0</v>
      </c>
      <c r="CU69" s="1101">
        <f t="shared" si="138"/>
        <v>0</v>
      </c>
      <c r="CV69" s="1108">
        <f t="shared" si="139"/>
        <v>0</v>
      </c>
      <c r="CW69" s="1097">
        <f t="shared" si="140"/>
        <v>0</v>
      </c>
      <c r="CX69" s="1097">
        <f t="shared" si="141"/>
        <v>0</v>
      </c>
      <c r="CY69" s="1110">
        <f t="shared" si="142"/>
        <v>0</v>
      </c>
      <c r="CZ69" s="437"/>
      <c r="DA69" s="438"/>
      <c r="DB69" s="439" t="s">
        <v>569</v>
      </c>
      <c r="DC69" s="439"/>
      <c r="DD69" s="443"/>
      <c r="DE69" s="411"/>
      <c r="DF69" s="411"/>
      <c r="DG69" s="1116">
        <f t="shared" si="143"/>
        <v>0</v>
      </c>
      <c r="DH69" s="1116">
        <f t="shared" si="144"/>
        <v>0</v>
      </c>
      <c r="DI69" s="1116">
        <f t="shared" si="145"/>
        <v>0</v>
      </c>
      <c r="DJ69" s="442">
        <f t="shared" si="146"/>
        <v>0</v>
      </c>
      <c r="DK69" s="1109">
        <f t="shared" si="147"/>
        <v>0</v>
      </c>
      <c r="DL69" s="1101">
        <f t="shared" si="148"/>
        <v>0</v>
      </c>
      <c r="DM69" s="1097">
        <f t="shared" si="149"/>
        <v>0</v>
      </c>
      <c r="DN69" s="1097">
        <f t="shared" si="150"/>
        <v>0</v>
      </c>
      <c r="DO69" s="1097">
        <f t="shared" si="151"/>
        <v>0</v>
      </c>
      <c r="DP69" s="1110">
        <f t="shared" si="152"/>
        <v>0</v>
      </c>
      <c r="DQ69" s="1113" t="s">
        <v>635</v>
      </c>
      <c r="DR69" s="1120">
        <f t="shared" si="153"/>
        <v>0.3</v>
      </c>
      <c r="DS69" s="1124"/>
      <c r="DT69" s="1093" t="s">
        <v>546</v>
      </c>
      <c r="DU69" s="1093"/>
      <c r="DV69" s="1097">
        <f>IF($P69="","N/A",IF(P69=-1,INDEX('卡片raw data'!AN:AN,MATCH(D69,'卡片raw data'!$F:$F,)),0)+IF(AND(L69&lt;&gt;"party卡",P69&lt;=2,P69&gt;=0),INDEX('卡片raw data'!AP:AP,MATCH(D69,'卡片raw data'!$F:$F,)),0)+IF(OR(AND(L69="party卡",P69&lt;=1),AND(P69&lt;=4,L69&lt;&gt;"party卡",P69&gt;=3)),INDEX('卡片raw data'!AQ:AQ,MATCH(D69,'卡片raw data'!$F:$F,)),0)+IF(OR(P69=5,AND(L69="party卡",P69&gt;=2)),INDEX('卡片raw data'!AR:AR,MATCH(D69,'卡片raw data'!$F:$F,)),0))</f>
        <v>400</v>
      </c>
      <c r="DW69" s="1098">
        <f t="shared" si="154"/>
        <v>0.3</v>
      </c>
      <c r="DX69" s="1098">
        <f t="shared" si="155"/>
        <v>0.3</v>
      </c>
      <c r="DY69" s="1125">
        <f t="shared" si="156"/>
        <v>40</v>
      </c>
      <c r="DZ69" s="1125">
        <f t="shared" si="157"/>
        <v>34.6</v>
      </c>
      <c r="EA69" s="1098">
        <f t="shared" si="158"/>
        <v>0</v>
      </c>
      <c r="EB69" s="1121">
        <f t="shared" si="159"/>
        <v>0</v>
      </c>
      <c r="EC69" s="1101">
        <f t="shared" si="160"/>
        <v>0</v>
      </c>
      <c r="ED69" s="1097">
        <f t="shared" si="161"/>
        <v>0</v>
      </c>
      <c r="EE69" s="1110">
        <f t="shared" si="162"/>
        <v>3385.2562704674956</v>
      </c>
      <c r="EF69" s="1092" t="s">
        <v>711</v>
      </c>
      <c r="EG69" s="1120">
        <f t="shared" si="163"/>
        <v>0.3</v>
      </c>
      <c r="EH69" s="1124"/>
      <c r="EI69" s="1093"/>
      <c r="EJ69" s="1093"/>
      <c r="EK69" s="1097">
        <f>IF($P69="","N/A",IF(P69=-1,INDEX('卡片raw data'!AS:AS,MATCH(D69,'卡片raw data'!$F:$F,)),0)+IF(AND(L69&lt;&gt;"party卡",P69&lt;=2,P69&gt;=0),INDEX('卡片raw data'!AU:AU,MATCH(D69,'卡片raw data'!$F:$F,)),0)+IF(OR(AND(L69="party卡",P69&lt;=1),AND(P69&lt;=4,L69&lt;&gt;"party卡",P69&gt;=3)),INDEX('卡片raw data'!AV:AV,MATCH(D69,'卡片raw data'!$F:$F,)),0)+IF(OR(P69=5,AND(L69="party卡",P69&gt;=2)),INDEX('卡片raw data'!AW:AW,MATCH(D69,'卡片raw data'!$F:$F,)),0))</f>
        <v>0</v>
      </c>
      <c r="EL69" s="1098">
        <f t="shared" si="164"/>
        <v>0.3</v>
      </c>
      <c r="EM69" s="1098">
        <f t="shared" si="165"/>
        <v>0.3</v>
      </c>
      <c r="EN69" s="1125">
        <f t="shared" si="166"/>
        <v>0</v>
      </c>
      <c r="EO69" s="1125">
        <f t="shared" si="167"/>
        <v>0</v>
      </c>
      <c r="EP69" s="1098">
        <f t="shared" si="168"/>
        <v>0</v>
      </c>
      <c r="EQ69" s="1121">
        <f t="shared" si="169"/>
        <v>0</v>
      </c>
      <c r="ER69" s="1101">
        <f t="shared" si="170"/>
        <v>0</v>
      </c>
      <c r="ES69" s="1097">
        <f t="shared" si="171"/>
        <v>0</v>
      </c>
      <c r="ET69" s="1122">
        <f t="shared" si="172"/>
        <v>0</v>
      </c>
      <c r="EV69" s="1223" t="s">
        <v>1923</v>
      </c>
      <c r="EW69" s="1330">
        <v>0.8</v>
      </c>
      <c r="EX69" s="1330"/>
      <c r="EY69" s="1232"/>
      <c r="EZ69" s="1222" t="s">
        <v>253</v>
      </c>
      <c r="FA69" s="1325">
        <v>6000</v>
      </c>
      <c r="FB69" s="1325"/>
    </row>
    <row r="70" spans="2:158" ht="16.5" customHeight="1">
      <c r="B70" s="1123" t="str">
        <f>INDEX('卡片raw data'!B:B,MATCH($D70,'卡片raw data'!$F:$F,))</f>
        <v>啦啦鞠</v>
      </c>
      <c r="C70" s="449" t="s">
        <v>67</v>
      </c>
      <c r="D70" s="408">
        <v>67</v>
      </c>
      <c r="E70" s="1090">
        <v>101082001</v>
      </c>
      <c r="F70" s="1090" t="str">
        <f>INDEX('卡片raw data'!C:C,MATCH($D70,'卡片raw data'!$F:$F,))</f>
        <v>SR</v>
      </c>
      <c r="G70" s="1094" t="s">
        <v>345</v>
      </c>
      <c r="H70" s="411">
        <f>IFERROR(INDEX(绊状态确认!C:C,MATCH($G70,绊状态确认!$B:$B,)),"")</f>
        <v>108</v>
      </c>
      <c r="I70" s="450" t="str">
        <f>IFERROR(INDEX(绊状态确认!D:D,MATCH($G70,绊状态确认!$B:$B,)),"")</f>
        <v>水</v>
      </c>
      <c r="J70" s="450" t="str">
        <f>IFERROR(INDEX(绊状态确认!E:E,MATCH($G70,绊状态确认!$B:$B,)),"")</f>
        <v>3年级</v>
      </c>
      <c r="K70" s="451" t="str">
        <f>IFERROR(INDEX(绊状态确认!F:F,MATCH($G70,绊状态确认!$B:$B,)),"")</f>
        <v>Guilty Kiss</v>
      </c>
      <c r="L70" s="1094" t="str">
        <f>INDEX('卡片raw data'!E:E,MATCH($D70,'卡片raw data'!$F:$F,))</f>
        <v>卡池卡</v>
      </c>
      <c r="M70" s="415">
        <v>43735</v>
      </c>
      <c r="N70" s="416">
        <v>0</v>
      </c>
      <c r="O70" s="1091" t="str">
        <f>INDEX('卡片raw data'!D:D,MATCH($D70,'卡片raw data'!$F:$F,))</f>
        <v>sk</v>
      </c>
      <c r="P70" s="417">
        <v>5</v>
      </c>
      <c r="Q70" s="1095">
        <f t="shared" si="88"/>
        <v>26337.449719286717</v>
      </c>
      <c r="R70" s="1096">
        <f t="shared" si="89"/>
        <v>0.30599999999999999</v>
      </c>
      <c r="S70" s="1097">
        <f t="shared" si="90"/>
        <v>16286.849792206602</v>
      </c>
      <c r="T70" s="1098">
        <f t="shared" si="91"/>
        <v>0.81399999999999995</v>
      </c>
      <c r="U70" s="1099">
        <f t="shared" si="92"/>
        <v>7.5969971113028576</v>
      </c>
      <c r="V70" s="1100">
        <f t="shared" si="93"/>
        <v>28938.084752997318</v>
      </c>
      <c r="W70" s="1101">
        <f t="shared" si="94"/>
        <v>5047.0565276649368</v>
      </c>
      <c r="X70" s="1096">
        <f t="shared" si="95"/>
        <v>5.8000000000000003E-2</v>
      </c>
      <c r="Y70" s="1097">
        <f t="shared" si="96"/>
        <v>600.63503371060142</v>
      </c>
      <c r="Z70" s="1102">
        <f t="shared" si="97"/>
        <v>7.5969971113028576</v>
      </c>
      <c r="AA70" s="1103">
        <f t="shared" si="98"/>
        <v>5647.6915613755382</v>
      </c>
      <c r="AB70" s="1101">
        <f t="shared" si="99"/>
        <v>8584.3541298192358</v>
      </c>
      <c r="AC70" s="1104">
        <f t="shared" si="100"/>
        <v>9.9000000000000005E-2</v>
      </c>
      <c r="AD70" s="1105">
        <f t="shared" si="101"/>
        <v>2.6496477035984848E-2</v>
      </c>
      <c r="AE70" s="1128">
        <f t="shared" si="102"/>
        <v>8.0033789168670602</v>
      </c>
      <c r="AF70" s="1130">
        <f t="shared" si="103"/>
        <v>0</v>
      </c>
      <c r="AG70" s="420">
        <f t="shared" si="104"/>
        <v>0</v>
      </c>
      <c r="AH70" s="420">
        <f t="shared" si="105"/>
        <v>0</v>
      </c>
      <c r="AI70" s="1097">
        <f t="shared" si="106"/>
        <v>0</v>
      </c>
      <c r="AJ70" s="420">
        <f t="shared" si="107"/>
        <v>0</v>
      </c>
      <c r="AK70" s="518">
        <f t="shared" si="108"/>
        <v>0</v>
      </c>
      <c r="AL70" s="1106">
        <f>IF($P70="","N/A",(IF($P70=-1,INDEX('卡片raw data'!S:S,MATCH($D70,'卡片raw data'!$F:$F,)),0)+IF($P70=0,INDEX('卡片raw data'!V:V,MATCH($D70,'卡片raw data'!$F:$F,)),0)+IF($P70=1,INDEX('卡片raw data'!Y:Y,MATCH($D70,'卡片raw data'!$F:$F,)),0)+IF($P70=2,INDEX('卡片raw data'!AB:AB,MATCH($D70,'卡片raw data'!$F:$F,)),0)+IF($P70=3,INDEX('卡片raw data'!AE:AE,MATCH($D70,'卡片raw data'!$F:$F,)),0)+IF($P70=4,INDEX('卡片raw data'!AH:AH,MATCH($D70,'卡片raw data'!$F:$F,)),0)+IF($P70=5,INDEX('卡片raw data'!AK:AK,MATCH($D70,'卡片raw data'!$F:$F,)),0)+INDEX('卡片raw data'!S:S,MATCH($D70,'卡片raw data'!$F:$F,))*(IF($F70="UR",0.04,0.033))*(IF($F70="UR",INDEX(绊状态确认!$S:$S,MATCH($G70,绊状态确认!$B:$B,))/2-40)+IF($F70="SR",INDEX(绊状态确认!$R:$R,MATCH($G70,绊状态确认!$B:$B,))/4-15))+IF($F70="R",INDEX(绊状态确认!$Q:$Q,MATCH($G70,绊状态确认!$B:$B,))/6-40/6)))*(INDEX(绊状态确认!$H:$H,MATCH($G70,绊状态确认!$B:$B,))+INDEX(绊状态确认!J:J,MATCH($G70,绊状态确认!$B:$B,)))</f>
        <v>9074.2267295999991</v>
      </c>
      <c r="AM70" s="1106">
        <f>IF($P70="","N/A",(IF($P70=-1,INDEX('卡片raw data'!T:T,MATCH($D70,'卡片raw data'!$F:$F,)),0)+IF($P70=0,INDEX('卡片raw data'!W:W,MATCH($D70,'卡片raw data'!$F:$F,)),0)+IF($P70=1,INDEX('卡片raw data'!Z:Z,MATCH($D70,'卡片raw data'!$F:$F,)),0)+IF($P70=2,INDEX('卡片raw data'!AC:AC,MATCH($D70,'卡片raw data'!$F:$F,)),0)+IF($P70=3,INDEX('卡片raw data'!AF:AF,MATCH($D70,'卡片raw data'!$F:$F,)),0)+IF($P70=4,INDEX('卡片raw data'!AI:AI,MATCH($D70,'卡片raw data'!$F:$F,)),0)+IF($P70=5,INDEX('卡片raw data'!AL:AL,MATCH($D70,'卡片raw data'!$F:$F,)),0)+INDEX('卡片raw data'!T:T,MATCH($D70,'卡片raw data'!$F:$F,))*(IF($F70="UR",0.04,0.033))*(IF($F70="UR",INDEX(绊状态确认!$S:$S,MATCH($G70,绊状态确认!$B:$B,))/2-40)+IF($F70="SR",INDEX(绊状态确认!$R:$R,MATCH($G70,绊状态确认!$B:$B,))/4-15))+IF($F70="R",INDEX(绊状态确认!$Q:$Q,MATCH($G70,绊状态确认!$B:$B,))/6-40/6)))*(INDEX(绊状态确认!$H:$H,MATCH($G70,绊状态确认!$B:$B,))+INDEX(绊状态确认!K:K,MATCH($G70,绊状态确认!$B:$B,)))</f>
        <v>3213.5755583999999</v>
      </c>
      <c r="AN70" s="1106">
        <f>IF($P70="","N/A",(IF($P70=-1,INDEX('卡片raw data'!U:U,MATCH($D70,'卡片raw data'!$F:$F,)),0)+IF($P70=0,INDEX('卡片raw data'!X:X,MATCH($D70,'卡片raw data'!$F:$F,)),0)+IF($P70=1,INDEX('卡片raw data'!AA:AA,MATCH($D70,'卡片raw data'!$F:$F,)),0)+IF($P70=2,INDEX('卡片raw data'!AD:AD,MATCH($D70,'卡片raw data'!$F:$F,)),0)+IF($P70=3,INDEX('卡片raw data'!AG:AG,MATCH($D70,'卡片raw data'!$F:$F,)),0)+IF($P70=4,INDEX('卡片raw data'!AJ:AJ,MATCH($D70,'卡片raw data'!$F:$F,)),0)+IF($P70=5,INDEX('卡片raw data'!AM:AM,MATCH($D70,'卡片raw data'!$F:$F,)),0)+INDEX('卡片raw data'!U:U,MATCH($D70,'卡片raw data'!$F:$F,))*(IF($F70="UR",0.04,0.033))*(IF($F70="UR",INDEX(绊状态确认!$S:$S,MATCH($G70,绊状态确认!$B:$B,))/2-40)+IF($F70="SR",INDEX(绊状态确认!$R:$R,MATCH($G70,绊状态确认!$B:$B,))/4-15))+IF($F70="R",INDEX(绊状态确认!$Q:$Q,MATCH($G70,绊状态确认!$B:$B,))/6-40/6)))*(INDEX(绊状态确认!$H:$H,MATCH($G70,绊状态确认!$B:$B,))+INDEX(绊状态确认!L:L,MATCH($G70,绊状态确认!$B:$B,)))</f>
        <v>6617.1208319999996</v>
      </c>
      <c r="AO70" s="1107">
        <f t="shared" si="109"/>
        <v>1</v>
      </c>
      <c r="AP70" s="1131">
        <f>1+(INDEX(绊状态确认!$T:$T,MATCH($G70,绊状态确认!$B:$B,))+0.2)*$AO70</f>
        <v>1.3</v>
      </c>
      <c r="AQ70" s="1108">
        <f t="shared" si="110"/>
        <v>27069.8451652</v>
      </c>
      <c r="AR70" s="1097">
        <f>(AM70*(1+$EX$9)+$EX$35)*(1+(INDEX(绊状态确认!$T:$T,MATCH($G70,绊状态确认!$B:$B,))+0.2)*AO70)*IF(J70=$FF$17,1+$FE$17,1)*IF(I70=$FF$14,1+$FE$14,1)</f>
        <v>7090.5306372160003</v>
      </c>
      <c r="AS70" s="1097">
        <f>(AN70*(1+$EX$10)+$EX$36)*(1+(INDEX(绊状态确认!$T:$T,MATCH($G70,绊状态确认!$B:$B,))+0.2)*AO70)*IF(J70=$FF$17,1+$FE$17,1)*IF(I70=$FF$14,1+$FE$14,1)</f>
        <v>13948.595643839999</v>
      </c>
      <c r="AT70" s="1093">
        <f>IF(AND(INDEX('卡片raw data'!AK:AK,MATCH($D70,'卡片raw data'!$F:$F,))&lt;INDEX('卡片raw data'!AM:AM,MATCH($D70,'卡片raw data'!$F:$F,)),INDEX('卡片raw data'!AL:AL,MATCH($D70,'卡片raw data'!$F:$F,))&lt;INDEX('卡片raw data'!AM:AM,MATCH($D70,'卡片raw data'!$F:$F,))),1,0)</f>
        <v>0</v>
      </c>
      <c r="AU70" s="1098">
        <f>MIN(AT70*0.15+AS70*0.00003+INDEX(绊状态确认!M:M,MATCH($G70,绊状态确认!$B:$B,)),1)</f>
        <v>0.44845786931519999</v>
      </c>
      <c r="AV70" s="1109">
        <f>(INDEX(绊状态确认!$N:$N,MATCH($G70,绊状态确认!$B:$B,))+1.5)*$EW$21</f>
        <v>2.6599999999999997</v>
      </c>
      <c r="AW70" s="1101">
        <f t="shared" si="111"/>
        <v>24524.444992114182</v>
      </c>
      <c r="AX70" s="1097">
        <f t="shared" si="112"/>
        <v>600.63503371060142</v>
      </c>
      <c r="AY70" s="1110">
        <f t="shared" si="113"/>
        <v>25125.080025824784</v>
      </c>
      <c r="AZ70" s="429">
        <f t="shared" si="114"/>
        <v>20294.742122719999</v>
      </c>
      <c r="BA70" s="431">
        <f t="shared" si="115"/>
        <v>24353.690547263999</v>
      </c>
      <c r="BB70" s="1097">
        <f>(AM70*(1+$FB$9)+$FB$35)*(1+(INDEX(绊状态确认!$T:$T,MATCH($G70,绊状态确认!$B:$B,))+0.2)*AO70)*IF(J70=$FF$17,1+$FE$17,1)*IF(I70=$FF$14,1+$FE$14,1)*(1+$FE$15)</f>
        <v>7090.5306372160003</v>
      </c>
      <c r="BC70" s="1097">
        <f>(AN70*(1+$FB$10)+$FB$36)*(1+(INDEX(绊状态确认!$T:$T,MATCH($G70,绊状态确认!$B:$B,))+0.2)*AO70)*IF(J70=$FF$17,1+$FE$17,1)*IF(I70=$FF$14,1+$FE$14,1)*(1+$FE$15)</f>
        <v>13948.595643839999</v>
      </c>
      <c r="BD70" s="1104">
        <f>MIN(AT70*0.15+BC70*0.00003+INDEX(绊状态确认!M:M,MATCH($G70,绊状态确认!$B:$B,)),1)</f>
        <v>0.44845786931519999</v>
      </c>
      <c r="BE70" s="432">
        <f>(INDEX(绊状态确认!$N:$N,MATCH($G70,绊状态确认!$B:$B,))+1.5)</f>
        <v>1.9</v>
      </c>
      <c r="BF70" s="1139">
        <f t="array" ref="BF70">SUMPRODUCT(IF(AZ70*AP70*$FI$16:$FI$23*$FA$22&gt;=$FI$24,$FI$24,AZ70*AP70*$FI$16:$FI$23*$FA$22),$FJ$16:$FJ$23)</f>
        <v>40366.242082090088</v>
      </c>
      <c r="BG70" s="1125">
        <f t="array" ref="BG70">SUMPRODUCT(IF(BE70*AZ70*AP70*$FI$16:$FI$23*$FA$22&gt;=$FI$24,$FI$24,BE70*AZ70*AP70*$FI$16:$FI$23*$FA$22),$FJ$16:$FJ$23)</f>
        <v>60000</v>
      </c>
      <c r="BH70" s="1110">
        <f t="shared" si="116"/>
        <v>16390.385108202136</v>
      </c>
      <c r="BI70" s="1111">
        <f>IF(O70="vo",$EW$26/$EW$24*0.05,0)+IF(O70="sk",-$EW$26/$EW$24*(0.05-INDEX(绊状态确认!W:W,MATCH($G70,绊状态确认!$B:$B,)))+0.05*$EW$28,0)+IF(O70="sp",0.05*$EW$32*$EW$30*(1-$EW$33)-(0.05-INDEX(绊状态确认!V:V,MATCH($G70,绊状态确认!$B:$B,)))*$EW$28,0)+IF(O70="gd",-(0.05-INDEX(绊状态确认!X:X,MATCH($G70,绊状态确认!$B:$B,)))*$EW$32*$EW$30*(1-$EW$33),0)</f>
        <v>-6253.6726349699375</v>
      </c>
      <c r="BJ70" s="1097">
        <f>IF(O70="vo",0.05*(1-$FI$26)*$FA$24,0)+IF(O70="sk",-(0.05-INDEX(绊状态确认!W:W,MATCH($G70,绊状态确认!$B:$B,)))*(1-$FI$26)*$FA$24+0.05*$FA$26,0)+IF(O70="sp",0.05*$FA$32*$FA$27*(1-$FA$33)/$FA$30+0.05*$FA$29/$FA$69*$FA$27*(1-$FA$33)-(0.05-INDEX(绊状态确认!V:V,MATCH($G70,绊状态确认!$B:$B,)))*$FA$26,0)+IF(O70="gd",-(0.05-INDEX(绊状态确认!X:X,MATCH($G70,绊状态确认!$B:$B,)))*$FA$32*$FA$27*(1-$FA$33)/$FA$30-(0.05-INDEX(绊状态确认!X:X,MATCH($G70,绊状态确认!$B:$B,)))*$FA$29/$FA$69*$FA$27*(1-$FA$33),0)</f>
        <v>20.459096812499922</v>
      </c>
      <c r="BK70" s="1110">
        <f>IF(O70="vo",$EW$26/$EW$24*0.05+$EW$26*(-HP($EW$62,$EW$65,$EW$64)+HP($EW$62,$EW$65,(1.05-INDEX(绊状态确认!U:U,MATCH($G70,绊状态确认!$B:$B,)))*$EW$64)),0)+IF(O70="sk",-$EW$26/$EW$24*(0.05-INDEX(绊状态确认!W:W,MATCH($G70,绊状态确认!$B:$B,)))+0.05*$EW$29,0)+IF(O70="sp",0.05*$EW$32*$EW$30*(1-$EW$33)-(0.05-INDEX(绊状态确认!V:V,MATCH($G70,绊状态确认!$B:$B,)))*$EW$29,0)+IF(O70="gd",-(0.05-INDEX(绊状态确认!X:X,MATCH($G70,绊状态确认!$B:$B,)))*$EW$32*$EW$30*(1-$EW$33)+$EW$26*(-HP($EW$62,$EW$65,$EW$64)+HP($EW$62,$EW$65,0.95*$EW$64)),0)</f>
        <v>-4253.6726349699375</v>
      </c>
      <c r="BL70" s="1111">
        <f t="shared" si="117"/>
        <v>-1083.3333333333333</v>
      </c>
      <c r="BM70" s="1110">
        <f t="shared" si="118"/>
        <v>-830.55555555555543</v>
      </c>
      <c r="BN70" s="1113">
        <f t="shared" si="119"/>
        <v>3</v>
      </c>
      <c r="BO70" s="1097">
        <f t="shared" si="120"/>
        <v>4507.7214871259994</v>
      </c>
      <c r="BP70" s="1100">
        <f t="shared" si="121"/>
        <v>221.34103209030098</v>
      </c>
      <c r="BQ70" s="1113" t="s">
        <v>616</v>
      </c>
      <c r="BR70" s="1124" t="s">
        <v>168</v>
      </c>
      <c r="BS70" s="1098">
        <f>IF($P70="","N/A",IF($P70=-1,INDEX('卡片raw data'!AX:AX,MATCH($D70,'卡片raw data'!$F:$F,)),0)+IF($L70="party卡",IF($P70=5,INDEX('卡片raw data'!BD:BD,MATCH($D70,'卡片raw data'!$F:$F,)),IF($P70&gt;=3,INDEX('卡片raw data'!BC:BC,MATCH($D70,'卡片raw data'!$F:$F,)),INDEX('卡片raw data'!BB:BB,MATCH($D70,'卡片raw data'!$F:$F,)))),IF(OR(AND($F70="UR",$P70=0),AND($F70="SR",$P70&gt;=0,$P70&lt;=2),AND($F70="R",$P70&gt;=0,$P70&lt;4)),INDEX('卡片raw data'!AZ:AZ,MATCH($D70,'卡片raw data'!$F:$F,)),0)+IF(OR(AND($F70="UR",$P70&gt;=1,$P70&lt;=4),AND($F70="SR",$P70&lt;=4,$P70&gt;=3),AND($F70="R",$P70=4)),INDEX('卡片raw data'!BA:BA,MATCH($D70,'卡片raw data'!$F:$F,)),0)+IF($P70=5,INDEX('卡片raw data'!BB:BB,MATCH($D70,'卡片raw data'!$F:$F,)),0)))</f>
        <v>0.05</v>
      </c>
      <c r="BT70" s="1101">
        <f t="shared" si="122"/>
        <v>3537.2976021542986</v>
      </c>
      <c r="BU70" s="1097">
        <f t="shared" si="123"/>
        <v>255.86405005115788</v>
      </c>
      <c r="BV70" s="1097">
        <f t="shared" si="124"/>
        <v>0</v>
      </c>
      <c r="BW70" s="1112">
        <f t="shared" si="125"/>
        <v>0</v>
      </c>
      <c r="BX70" s="1100">
        <f t="shared" si="126"/>
        <v>3537.2976021542986</v>
      </c>
      <c r="BY70" s="1110">
        <f t="shared" si="127"/>
        <v>0</v>
      </c>
      <c r="BZ70" s="1107" t="s">
        <v>569</v>
      </c>
      <c r="CA70" s="1124"/>
      <c r="CB70" s="1098">
        <f>IF($P70="","N/A",IF($P70=-1,INDEX('卡片raw data'!BE:BE,MATCH($D70,'卡片raw data'!$F:$F,)),0)+IF($L70="party卡",IF($P70=5,INDEX('卡片raw data'!BK:BK,MATCH($D70,'卡片raw data'!$F:$F,)),IF($P70&gt;=3,INDEX('卡片raw data'!BJ:BJ,MATCH($D70,'卡片raw data'!$F:$F,)),INDEX('卡片raw data'!BI:BI,MATCH($D70,'卡片raw data'!$F:$F,)))),IF(OR(AND($F70="UR",$P70=0),AND($F70="SR",$P70&gt;=0,$P70&lt;=2),AND($F70="R",$P70&gt;=0,$P70&lt;4)),INDEX('卡片raw data'!BG:BG,MATCH($D70,'卡片raw data'!$F:$F,)),0)+IF(OR(AND($F70="UR",$P70&gt;=1,$P70&lt;=4),AND($F70="SR",$P70&lt;=4,$P70&gt;=3),AND($F70="R",$P70=4)),INDEX('卡片raw data'!BH:BH,MATCH($D70,'卡片raw data'!$F:$F,)),0)+IF($P70=5,INDEX('卡片raw data'!BI:BI,MATCH($D70,'卡片raw data'!$F:$F,)),0)))</f>
        <v>0</v>
      </c>
      <c r="CC70" s="1101">
        <f t="shared" si="128"/>
        <v>0</v>
      </c>
      <c r="CD70" s="1097">
        <f>IF(BZ70="ap",CB70*(1-$FI$26)*$FB$5/$FB$11*(+IF(CA70="全员",$FA$24,0)+IF(CA70="同作战",$FA$24,0)+IF(CA70="仲间",$FA$24*2/3,0)+IF(CA70="同属性",$FA$24*$FA$37/3,0)+IF(CA70="同年级",$FA$24*$FA$40/3,0)+IF(CA70="同学校",$FA$24*$FA$43/3,0)+IF(CA70="同小队",$FA$24*$FA$46/3,0)+IF(CA70="同type",$FA$24*INDEX($FB$49:$FB$52,MATCH(X70,$FA$49:$FA$52,))/3,0)+IF(CA70="自身",#REF!/3,0)),0)+IF(BZ70="te",CB70*(1-$FI$27)*($FA$20-1)*$FB$7/$FB$13*(+IF(CA70="全员",$FA$19*$FA$24/(1+($FA$20-1)*$FA$19),0)+IF(CA70="同作战",$FA$19*$FA$24/(1+($FA$20-1)*$FA$19),0)+IF(CA70="仲间",$FA$19*$FA$24*2/3/(1+($FA$20-1)*$FA$19),0)+IF(CA70="同属性",$FA$19*$FA$24*$FA$37/3/(1+($FA$20-1)*$FA$19),0)+IF(CA70="同年级",$FA$19*$FA$24*$FA$40/3/(1+($FA$20-1)*$FA$19),0)+IF(CA70="同学校",$FA$19*$FA$24*$FA$43/3/(1+($FA$20-1)*$FA$19),0)+IF(CA70="同小队",$FA$19*$FA$24*$FA$46/3/(1+($FA$20-1)*$FA$19),0)+IF(CA70="同type",$FA$19*$FA$24*INDEX($FB$49:$FB$52,MATCH(X70,$FA$49:$FA$52,))/3/(1+($FA$20-1)*$FA$19),0)+IF(CA70="自身",$FA$19*#REF!/3/(1+(BH70-1)*$BD70),0)),0)</f>
        <v>0</v>
      </c>
      <c r="CE70" s="1097">
        <f t="shared" si="129"/>
        <v>0</v>
      </c>
      <c r="CF70" s="1112">
        <f t="shared" si="130"/>
        <v>0</v>
      </c>
      <c r="CG70" s="1100">
        <f t="shared" si="131"/>
        <v>0</v>
      </c>
      <c r="CH70" s="1110">
        <f t="shared" si="132"/>
        <v>0</v>
      </c>
      <c r="CI70" s="1113" t="s">
        <v>165</v>
      </c>
      <c r="CJ70" s="1114">
        <v>0.3</v>
      </c>
      <c r="CK70" s="1115" t="s">
        <v>551</v>
      </c>
      <c r="CL70" s="1115" t="s">
        <v>161</v>
      </c>
      <c r="CM70" s="1119">
        <v>0.03</v>
      </c>
      <c r="CN70" s="1115" t="s">
        <v>572</v>
      </c>
      <c r="CO70" s="1092"/>
      <c r="CP70" s="1118">
        <f t="shared" si="133"/>
        <v>8.9999999999999993E-3</v>
      </c>
      <c r="CQ70" s="1118">
        <f t="shared" si="134"/>
        <v>8.9999999999999993E-3</v>
      </c>
      <c r="CR70" s="1118">
        <f t="shared" si="135"/>
        <v>8.9999999999999993E-3</v>
      </c>
      <c r="CS70" s="1118">
        <f t="shared" si="136"/>
        <v>0</v>
      </c>
      <c r="CT70" s="1109">
        <f t="shared" si="137"/>
        <v>0</v>
      </c>
      <c r="CU70" s="1101">
        <f t="shared" si="138"/>
        <v>539.33504053893762</v>
      </c>
      <c r="CV70" s="1108">
        <f t="shared" si="139"/>
        <v>0</v>
      </c>
      <c r="CW70" s="1097">
        <f t="shared" si="140"/>
        <v>539.33504053893762</v>
      </c>
      <c r="CX70" s="1097">
        <f t="shared" si="141"/>
        <v>539.33504053893762</v>
      </c>
      <c r="CY70" s="1110">
        <f t="shared" si="142"/>
        <v>539.33504053893762</v>
      </c>
      <c r="CZ70" s="437"/>
      <c r="DA70" s="438"/>
      <c r="DB70" s="439" t="s">
        <v>569</v>
      </c>
      <c r="DC70" s="439"/>
      <c r="DD70" s="443"/>
      <c r="DE70" s="411"/>
      <c r="DF70" s="411"/>
      <c r="DG70" s="1116">
        <f t="shared" si="143"/>
        <v>0</v>
      </c>
      <c r="DH70" s="1116">
        <f t="shared" si="144"/>
        <v>0</v>
      </c>
      <c r="DI70" s="1116">
        <f t="shared" si="145"/>
        <v>0</v>
      </c>
      <c r="DJ70" s="442">
        <f t="shared" si="146"/>
        <v>0</v>
      </c>
      <c r="DK70" s="1109">
        <f t="shared" si="147"/>
        <v>0</v>
      </c>
      <c r="DL70" s="1101">
        <f t="shared" si="148"/>
        <v>0</v>
      </c>
      <c r="DM70" s="1097">
        <f t="shared" si="149"/>
        <v>0</v>
      </c>
      <c r="DN70" s="1097">
        <f t="shared" si="150"/>
        <v>0</v>
      </c>
      <c r="DO70" s="1097">
        <f t="shared" si="151"/>
        <v>0</v>
      </c>
      <c r="DP70" s="1110">
        <f t="shared" si="152"/>
        <v>0</v>
      </c>
      <c r="DQ70" s="1113" t="s">
        <v>553</v>
      </c>
      <c r="DR70" s="1120">
        <f t="shared" si="153"/>
        <v>0.3</v>
      </c>
      <c r="DS70" s="1124">
        <v>5</v>
      </c>
      <c r="DT70" s="1093" t="s">
        <v>171</v>
      </c>
      <c r="DU70" s="1093" t="s">
        <v>544</v>
      </c>
      <c r="DV70" s="1098">
        <f>IF($P70="","N/A",IF(P70=-1,INDEX('卡片raw data'!AN:AN,MATCH(D70,'卡片raw data'!$F:$F,)),0)+IF(AND(L70&lt;&gt;"party卡",P70&lt;=2,P70&gt;=0),INDEX('卡片raw data'!AP:AP,MATCH(D70,'卡片raw data'!$F:$F,)),0)+IF(OR(AND(L70="party卡",P70&lt;=1),AND(P70&lt;=4,L70&lt;&gt;"party卡",P70&gt;=3)),INDEX('卡片raw data'!AQ:AQ,MATCH(D70,'卡片raw data'!$F:$F,)),0)+IF(OR(P70=5,AND(L70="party卡",P70&gt;=2)),INDEX('卡片raw data'!AR:AR,MATCH(D70,'卡片raw data'!$F:$F,)),0))</f>
        <v>0.04</v>
      </c>
      <c r="DW70" s="1098">
        <f t="shared" si="154"/>
        <v>0.3</v>
      </c>
      <c r="DX70" s="1098">
        <f t="shared" si="155"/>
        <v>0.3</v>
      </c>
      <c r="DY70" s="1098">
        <f t="shared" si="156"/>
        <v>1.3333333333333334E-2</v>
      </c>
      <c r="DZ70" s="1098">
        <f t="shared" si="157"/>
        <v>1.0091666666666667E-2</v>
      </c>
      <c r="EA70" s="1098">
        <f t="shared" si="158"/>
        <v>7.5022526041666647E-3</v>
      </c>
      <c r="EB70" s="1121">
        <f t="shared" si="159"/>
        <v>0</v>
      </c>
      <c r="EC70" s="1101">
        <f t="shared" si="160"/>
        <v>565.6565656565657</v>
      </c>
      <c r="ED70" s="1097">
        <f t="shared" si="161"/>
        <v>229.35606060606059</v>
      </c>
      <c r="EE70" s="1110">
        <f t="shared" si="162"/>
        <v>565.6565656565657</v>
      </c>
      <c r="EF70" s="1092" t="s">
        <v>711</v>
      </c>
      <c r="EG70" s="1120">
        <f t="shared" si="163"/>
        <v>0.3</v>
      </c>
      <c r="EH70" s="1124"/>
      <c r="EI70" s="1093"/>
      <c r="EJ70" s="1093"/>
      <c r="EK70" s="1097">
        <f>IF($P70="","N/A",IF(P70=-1,INDEX('卡片raw data'!AS:AS,MATCH(D70,'卡片raw data'!$F:$F,)),0)+IF(AND(L70&lt;&gt;"party卡",P70&lt;=2,P70&gt;=0),INDEX('卡片raw data'!AU:AU,MATCH(D70,'卡片raw data'!$F:$F,)),0)+IF(OR(AND(L70="party卡",P70&lt;=1),AND(P70&lt;=4,L70&lt;&gt;"party卡",P70&gt;=3)),INDEX('卡片raw data'!AV:AV,MATCH(D70,'卡片raw data'!$F:$F,)),0)+IF(OR(P70=5,AND(L70="party卡",P70&gt;=2)),INDEX('卡片raw data'!AW:AW,MATCH(D70,'卡片raw data'!$F:$F,)),0))</f>
        <v>0</v>
      </c>
      <c r="EL70" s="1098">
        <f t="shared" si="164"/>
        <v>0.3</v>
      </c>
      <c r="EM70" s="1098">
        <f t="shared" si="165"/>
        <v>0.3</v>
      </c>
      <c r="EN70" s="1125">
        <f t="shared" si="166"/>
        <v>0</v>
      </c>
      <c r="EO70" s="1125">
        <f t="shared" si="167"/>
        <v>0</v>
      </c>
      <c r="EP70" s="1098">
        <f t="shared" si="168"/>
        <v>0</v>
      </c>
      <c r="EQ70" s="1121">
        <f t="shared" si="169"/>
        <v>0</v>
      </c>
      <c r="ER70" s="1101">
        <f t="shared" si="170"/>
        <v>0</v>
      </c>
      <c r="ES70" s="1097">
        <f t="shared" si="171"/>
        <v>0</v>
      </c>
      <c r="ET70" s="1122">
        <f t="shared" si="172"/>
        <v>0</v>
      </c>
      <c r="EV70" s="1223" t="s">
        <v>1924</v>
      </c>
      <c r="EW70" s="1323">
        <v>0.7</v>
      </c>
      <c r="EX70" s="1324"/>
      <c r="EY70" s="1232"/>
      <c r="EZ70" s="1239" t="s">
        <v>676</v>
      </c>
      <c r="FA70" s="1387">
        <v>0.3</v>
      </c>
      <c r="FB70" s="1388"/>
    </row>
    <row r="71" spans="2:158" ht="16.5" customHeight="1" thickBot="1">
      <c r="B71" s="1123" t="str">
        <f>INDEX('卡片raw data'!B:B,MATCH($D71,'卡片raw data'!$F:$F,))</f>
        <v>初始鞠</v>
      </c>
      <c r="C71" s="449" t="s">
        <v>69</v>
      </c>
      <c r="D71" s="408">
        <v>68</v>
      </c>
      <c r="E71" s="1090">
        <v>101083001</v>
      </c>
      <c r="F71" s="1090" t="str">
        <f>INDEX('卡片raw data'!C:C,MATCH($D71,'卡片raw data'!$F:$F,))</f>
        <v>UR</v>
      </c>
      <c r="G71" s="1094" t="s">
        <v>40</v>
      </c>
      <c r="H71" s="411">
        <f>IFERROR(INDEX(绊状态确认!C:C,MATCH($G71,绊状态确认!$B:$B,)),"")</f>
        <v>108</v>
      </c>
      <c r="I71" s="450" t="str">
        <f>IFERROR(INDEX(绊状态确认!D:D,MATCH($G71,绊状态确认!$B:$B,)),"")</f>
        <v>水</v>
      </c>
      <c r="J71" s="450" t="str">
        <f>IFERROR(INDEX(绊状态确认!E:E,MATCH($G71,绊状态确认!$B:$B,)),"")</f>
        <v>3年级</v>
      </c>
      <c r="K71" s="451" t="str">
        <f>IFERROR(INDEX(绊状态确认!F:F,MATCH($G71,绊状态确认!$B:$B,)),"")</f>
        <v>Guilty Kiss</v>
      </c>
      <c r="L71" s="1094" t="str">
        <f>INDEX('卡片raw data'!E:E,MATCH($D71,'卡片raw data'!$F:$F,))</f>
        <v>卡池卡</v>
      </c>
      <c r="M71" s="415">
        <v>43735</v>
      </c>
      <c r="N71" s="416">
        <v>0</v>
      </c>
      <c r="O71" s="1091" t="str">
        <f>INDEX('卡片raw data'!D:D,MATCH($D71,'卡片raw data'!$F:$F,))</f>
        <v>vo</v>
      </c>
      <c r="P71" s="417">
        <v>5</v>
      </c>
      <c r="Q71" s="1095">
        <f t="shared" si="88"/>
        <v>52374.2033126717</v>
      </c>
      <c r="R71" s="1096">
        <f t="shared" si="89"/>
        <v>0.60799999999999998</v>
      </c>
      <c r="S71" s="1097">
        <f t="shared" si="90"/>
        <v>21147.323656657485</v>
      </c>
      <c r="T71" s="1098">
        <f t="shared" si="91"/>
        <v>1.0569999999999999</v>
      </c>
      <c r="U71" s="1099">
        <f t="shared" si="92"/>
        <v>-7.2736297818571458</v>
      </c>
      <c r="V71" s="1100">
        <f t="shared" si="93"/>
        <v>52500.45597364338</v>
      </c>
      <c r="W71" s="1101">
        <f t="shared" si="94"/>
        <v>6264.4975935078537</v>
      </c>
      <c r="X71" s="1096">
        <f t="shared" si="95"/>
        <v>7.1999999999999995E-2</v>
      </c>
      <c r="Y71" s="1097">
        <f t="shared" si="96"/>
        <v>1430.9211112133762</v>
      </c>
      <c r="Z71" s="1102">
        <f t="shared" si="97"/>
        <v>17.726370218142854</v>
      </c>
      <c r="AA71" s="1103">
        <f t="shared" si="98"/>
        <v>7695.4187047212299</v>
      </c>
      <c r="AB71" s="1101">
        <f t="shared" si="99"/>
        <v>7566.728245344254</v>
      </c>
      <c r="AC71" s="1104">
        <f t="shared" si="100"/>
        <v>8.6999999999999994E-2</v>
      </c>
      <c r="AD71" s="1105">
        <f t="shared" si="101"/>
        <v>1.4236111111111111E-2</v>
      </c>
      <c r="AE71" s="1128">
        <f t="shared" si="102"/>
        <v>6.9254417080504043</v>
      </c>
      <c r="AF71" s="1130">
        <f t="shared" si="103"/>
        <v>0</v>
      </c>
      <c r="AG71" s="420">
        <f t="shared" si="104"/>
        <v>0</v>
      </c>
      <c r="AH71" s="420">
        <f t="shared" si="105"/>
        <v>0</v>
      </c>
      <c r="AI71" s="1097">
        <f t="shared" si="106"/>
        <v>0</v>
      </c>
      <c r="AJ71" s="420">
        <f t="shared" si="107"/>
        <v>0</v>
      </c>
      <c r="AK71" s="518">
        <f t="shared" si="108"/>
        <v>0</v>
      </c>
      <c r="AL71" s="1106">
        <f>IF($P71="","N/A",(IF($P71=-1,INDEX('卡片raw data'!S:S,MATCH($D71,'卡片raw data'!$F:$F,)),0)+IF($P71=0,INDEX('卡片raw data'!V:V,MATCH($D71,'卡片raw data'!$F:$F,)),0)+IF($P71=1,INDEX('卡片raw data'!Y:Y,MATCH($D71,'卡片raw data'!$F:$F,)),0)+IF($P71=2,INDEX('卡片raw data'!AB:AB,MATCH($D71,'卡片raw data'!$F:$F,)),0)+IF($P71=3,INDEX('卡片raw data'!AE:AE,MATCH($D71,'卡片raw data'!$F:$F,)),0)+IF($P71=4,INDEX('卡片raw data'!AH:AH,MATCH($D71,'卡片raw data'!$F:$F,)),0)+IF($P71=5,INDEX('卡片raw data'!AK:AK,MATCH($D71,'卡片raw data'!$F:$F,)),0)+INDEX('卡片raw data'!S:S,MATCH($D71,'卡片raw data'!$F:$F,))*(IF($F71="UR",0.04,0.033))*(IF($F71="UR",INDEX(绊状态确认!$S:$S,MATCH($G71,绊状态确认!$B:$B,))/2-40)+IF($F71="SR",INDEX(绊状态确认!$R:$R,MATCH($G71,绊状态确认!$B:$B,))/4-15))+IF($F71="R",INDEX(绊状态确认!$Q:$Q,MATCH($G71,绊状态确认!$B:$B,))/6-40/6)))*(INDEX(绊状态确认!$H:$H,MATCH($G71,绊状态确认!$B:$B,))+INDEX(绊状态确认!J:J,MATCH($G71,绊状态确认!$B:$B,)))</f>
        <v>10139.642639999998</v>
      </c>
      <c r="AM71" s="1106">
        <f>IF($P71="","N/A",(IF($P71=-1,INDEX('卡片raw data'!T:T,MATCH($D71,'卡片raw data'!$F:$F,)),0)+IF($P71=0,INDEX('卡片raw data'!W:W,MATCH($D71,'卡片raw data'!$F:$F,)),0)+IF($P71=1,INDEX('卡片raw data'!Z:Z,MATCH($D71,'卡片raw data'!$F:$F,)),0)+IF($P71=2,INDEX('卡片raw data'!AC:AC,MATCH($D71,'卡片raw data'!$F:$F,)),0)+IF($P71=3,INDEX('卡片raw data'!AF:AF,MATCH($D71,'卡片raw data'!$F:$F,)),0)+IF($P71=4,INDEX('卡片raw data'!AI:AI,MATCH($D71,'卡片raw data'!$F:$F,)),0)+IF($P71=5,INDEX('卡片raw data'!AL:AL,MATCH($D71,'卡片raw data'!$F:$F,)),0)+INDEX('卡片raw data'!T:T,MATCH($D71,'卡片raw data'!$F:$F,))*(IF($F71="UR",0.04,0.033))*(IF($F71="UR",INDEX(绊状态确认!$S:$S,MATCH($G71,绊状态确认!$B:$B,))/2-40)+IF($F71="SR",INDEX(绊状态确认!$R:$R,MATCH($G71,绊状态确认!$B:$B,))/4-15))+IF($F71="R",INDEX(绊状态确认!$Q:$Q,MATCH($G71,绊状态确认!$B:$B,))/6-40/6)))*(INDEX(绊状态确认!$H:$H,MATCH($G71,绊状态确认!$B:$B,))+INDEX(绊状态确认!K:K,MATCH($G71,绊状态确认!$B:$B,)))</f>
        <v>10139.642639999998</v>
      </c>
      <c r="AN71" s="1106">
        <f>IF($P71="","N/A",(IF($P71=-1,INDEX('卡片raw data'!U:U,MATCH($D71,'卡片raw data'!$F:$F,)),0)+IF($P71=0,INDEX('卡片raw data'!X:X,MATCH($D71,'卡片raw data'!$F:$F,)),0)+IF($P71=1,INDEX('卡片raw data'!AA:AA,MATCH($D71,'卡片raw data'!$F:$F,)),0)+IF($P71=2,INDEX('卡片raw data'!AD:AD,MATCH($D71,'卡片raw data'!$F:$F,)),0)+IF($P71=3,INDEX('卡片raw data'!AG:AG,MATCH($D71,'卡片raw data'!$F:$F,)),0)+IF($P71=4,INDEX('卡片raw data'!AJ:AJ,MATCH($D71,'卡片raw data'!$F:$F,)),0)+IF($P71=5,INDEX('卡片raw data'!AM:AM,MATCH($D71,'卡片raw data'!$F:$F,)),0)+INDEX('卡片raw data'!U:U,MATCH($D71,'卡片raw data'!$F:$F,))*(IF($F71="UR",0.04,0.033))*(IF($F71="UR",INDEX(绊状态确认!$S:$S,MATCH($G71,绊状态确认!$B:$B,))/2-40)+IF($F71="SR",INDEX(绊状态确认!$R:$R,MATCH($G71,绊状态确认!$B:$B,))/4-15))+IF($F71="R",INDEX(绊状态确认!$Q:$Q,MATCH($G71,绊状态确认!$B:$B,))/6-40/6)))*(INDEX(绊状态确认!$H:$H,MATCH($G71,绊状态确认!$B:$B,))+INDEX(绊状态确认!L:L,MATCH($G71,绊状态确认!$B:$B,)))</f>
        <v>10446.697919999999</v>
      </c>
      <c r="AO71" s="1107">
        <f t="shared" si="109"/>
        <v>1</v>
      </c>
      <c r="AP71" s="1131">
        <f>1+(INDEX(绊状态确认!$T:$T,MATCH($G71,绊状态确认!$B:$B,))+0.2)*$AO71</f>
        <v>1.3</v>
      </c>
      <c r="AQ71" s="1108">
        <f t="shared" si="110"/>
        <v>29866.561929999996</v>
      </c>
      <c r="AR71" s="1097">
        <f>(AM71*(1+$EX$9)+$EX$35)*(1+(INDEX(绊状态确认!$T:$T,MATCH($G71,绊状态确认!$B:$B,))+0.2)*AO71)*IF(J71=$FF$17,1+$FE$17,1)*IF(I71=$FF$14,1+$FE$14,1)*(1+$FE$15)</f>
        <v>16544.612203599998</v>
      </c>
      <c r="AS71" s="1097">
        <f>(AN71*(1+$EX$10)+$EX$36)*(1+(INDEX(绊状态确认!$T:$T,MATCH($G71,绊状态确认!$B:$B,))+0.2)*AO71)*IF(J71=$FF$17,1+$FE$17,1)*IF(I71=$FF$14,1+$FE$14,1)*(1+$FE$15)</f>
        <v>19673.813390399999</v>
      </c>
      <c r="AT71" s="1093">
        <f>IF(AND(INDEX('卡片raw data'!AK:AK,MATCH($D71,'卡片raw data'!$F:$F,))&lt;INDEX('卡片raw data'!AM:AM,MATCH($D71,'卡片raw data'!$F:$F,)),INDEX('卡片raw data'!AL:AL,MATCH($D71,'卡片raw data'!$F:$F,))&lt;INDEX('卡片raw data'!AM:AM,MATCH($D71,'卡片raw data'!$F:$F,))),1,0)</f>
        <v>1</v>
      </c>
      <c r="AU71" s="1098">
        <f>MIN(AT71*0.15+AS71*0.00003+INDEX(绊状态确认!M:M,MATCH($G71,绊状态确认!$B:$B,)),1)</f>
        <v>0.77021440171200006</v>
      </c>
      <c r="AV71" s="1109">
        <f>(INDEX(绊状态确认!$N:$N,MATCH($G71,绊状态确认!$B:$B,))+1.5)*$EW$21</f>
        <v>2.6599999999999997</v>
      </c>
      <c r="AW71" s="1101">
        <f t="shared" si="111"/>
        <v>35342.908368695149</v>
      </c>
      <c r="AX71" s="1097">
        <f t="shared" si="112"/>
        <v>1430.921111213376</v>
      </c>
      <c r="AY71" s="1110">
        <f t="shared" si="113"/>
        <v>36773.829479908527</v>
      </c>
      <c r="AZ71" s="429">
        <f t="shared" si="114"/>
        <v>22372.303147999995</v>
      </c>
      <c r="BA71" s="431">
        <f t="shared" si="115"/>
        <v>26846.763777599994</v>
      </c>
      <c r="BB71" s="1097">
        <f>(AM71*(1+$FB$9)+$FB$35)*(1+(INDEX(绊状态确认!$T:$T,MATCH($G71,绊状态确认!$B:$B,))+0.2)*AO71)*IF(J71=$FF$17,1+$FE$17,1)*IF(I71=$FF$14,1+$FE$14,1)*(1+$FE$15)</f>
        <v>16544.612203599998</v>
      </c>
      <c r="BC71" s="1097">
        <f>(AN71*(1+$FB$10)+$FB$36)*(1+(INDEX(绊状态确认!$T:$T,MATCH($G71,绊状态确认!$B:$B,))+0.2)*AO71)*IF(J71=$FF$17,1+$FE$17,1)*IF(I71=$FF$14,1+$FE$14,1)*(1+$FE$15)</f>
        <v>19673.813390399999</v>
      </c>
      <c r="BD71" s="1104">
        <f>MIN(AT71*0.15+BC71*0.00003+INDEX(绊状态确认!M:M,MATCH($G71,绊状态确认!$B:$B,)),1)</f>
        <v>0.77021440171200006</v>
      </c>
      <c r="BE71" s="432">
        <f>(INDEX(绊状态确认!$N:$N,MATCH($G71,绊状态确认!$B:$B,))+1.5)</f>
        <v>1.9</v>
      </c>
      <c r="BF71" s="1139">
        <f t="array" ref="BF71">SUMPRODUCT(IF(AZ71*AP71*$FI$16:$FI$23*$FA$22&gt;=$FI$24,$FI$24,AZ71*AP71*$FI$16:$FI$23*$FA$22),$FJ$16:$FJ$23)</f>
        <v>44498.510961371998</v>
      </c>
      <c r="BG71" s="1125">
        <f t="array" ref="BG71">SUMPRODUCT(IF(BE71*AZ71*AP71*$FI$16:$FI$23*$FA$22&gt;=$FI$24,$FI$24,BE71*AZ71*AP71*$FI$16:$FI$23*$FA$22),$FJ$16:$FJ$23)</f>
        <v>60000</v>
      </c>
      <c r="BH71" s="1110">
        <f t="shared" si="116"/>
        <v>18812.660355634664</v>
      </c>
      <c r="BI71" s="1111">
        <f>IF(O71="vo",$EW$26/$EW$24*0.05,0)+IF(O71="sk",-$EW$26/$EW$24*(0.05-INDEX(绊状态确认!W:W,MATCH($G71,绊状态确认!$B:$B,)))+0.05*$EW$28,0)+IF(O71="sp",0.05*$EW$32*$EW$30*(1-$EW$33)-(0.05-INDEX(绊状态确认!V:V,MATCH($G71,绊状态确认!$B:$B,)))*$EW$28,0)+IF(O71="gd",-(0.05-INDEX(绊状态确认!X:X,MATCH($G71,绊状态确认!$B:$B,)))*$EW$32*$EW$30*(1-$EW$33),0)</f>
        <v>7726.3029277443748</v>
      </c>
      <c r="BJ71" s="1097">
        <f>IF(O71="vo",0.05*(1-$FI$26)*$FA$24,0)+IF(O71="sk",-(0.05-INDEX(绊状态确认!W:W,MATCH($G71,绊状态确认!$B:$B,)))*(1-$FI$26)*$FA$24+0.05*$FA$26,0)+IF(O71="sp",0.05*$FA$32*$FA$27*(1-$FA$33)/$FA$30+0.05*$FA$29/$FA$69*$FA$27*(1-$FA$33)-(0.05-INDEX(绊状态确认!V:V,MATCH($G71,绊状态确认!$B:$B,)))*$FA$26,0)+IF(O71="gd",-(0.05-INDEX(绊状态确认!X:X,MATCH($G71,绊状态确认!$B:$B,)))*$FA$32*$FA$27*(1-$FA$33)/$FA$30-(0.05-INDEX(绊状态确认!X:X,MATCH($G71,绊状态确认!$B:$B,)))*$FA$29/$FA$69*$FA$27*(1-$FA$33),0)</f>
        <v>393.93433687500004</v>
      </c>
      <c r="BK71" s="1110">
        <f>IF(O71="vo",$EW$26/$EW$24*0.05+$EW$26*(-HP($EW$62,$EW$65,$EW$64)+HP($EW$62,$EW$65,(1.05-INDEX(绊状态确认!U:U,MATCH($G71,绊状态确认!$B:$B,)))*$EW$64)),0)+IF(O71="sk",-$EW$26/$EW$24*(0.05-INDEX(绊状态确认!W:W,MATCH($G71,绊状态确认!$B:$B,)))+0.05*$EW$29,0)+IF(O71="sp",0.05*$EW$32*$EW$30*(1-$EW$33)-(0.05-INDEX(绊状态确认!V:V,MATCH($G71,绊状态确认!$B:$B,)))*$EW$29,0)+IF(O71="gd",-(0.05-INDEX(绊状态确认!X:X,MATCH($G71,绊状态确认!$B:$B,)))*$EW$32*$EW$30*(1-$EW$33)+$EW$26*(-HP($EW$62,$EW$65,$EW$64)+HP($EW$62,$EW$65,0.95*$EW$64)),0)</f>
        <v>6421.6344775026746</v>
      </c>
      <c r="BL71" s="1111">
        <f t="shared" si="117"/>
        <v>0</v>
      </c>
      <c r="BM71" s="1110">
        <f t="shared" si="118"/>
        <v>0</v>
      </c>
      <c r="BN71" s="1113">
        <f t="shared" si="119"/>
        <v>3</v>
      </c>
      <c r="BO71" s="1097">
        <f t="shared" si="120"/>
        <v>4507.7214871259994</v>
      </c>
      <c r="BP71" s="1100">
        <f t="shared" si="121"/>
        <v>221.34103209030098</v>
      </c>
      <c r="BQ71" s="1113" t="s">
        <v>143</v>
      </c>
      <c r="BR71" s="1124" t="s">
        <v>148</v>
      </c>
      <c r="BS71" s="1098">
        <f>IF($P71="","N/A",IF($P71=-1,INDEX('卡片raw data'!AX:AX,MATCH($D71,'卡片raw data'!$F:$F,)),0)+IF($L71="party卡",IF($P71=5,INDEX('卡片raw data'!BD:BD,MATCH($D71,'卡片raw data'!$F:$F,)),IF($P71&gt;=3,INDEX('卡片raw data'!BC:BC,MATCH($D71,'卡片raw data'!$F:$F,)),INDEX('卡片raw data'!BB:BB,MATCH($D71,'卡片raw data'!$F:$F,)))),IF(OR(AND($F71="UR",$P71=0),AND($F71="SR",$P71&gt;=0,$P71&lt;=2),AND($F71="R",$P71&gt;=0,$P71&lt;4)),INDEX('卡片raw data'!AZ:AZ,MATCH($D71,'卡片raw data'!$F:$F,)),0)+IF(OR(AND($F71="UR",$P71&gt;=1,$P71&lt;=4),AND($F71="SR",$P71&lt;=4,$P71&gt;=3),AND($F71="R",$P71=4)),INDEX('卡片raw data'!BA:BA,MATCH($D71,'卡片raw data'!$F:$F,)),0)+IF($P71=5,INDEX('卡片raw data'!BB:BB,MATCH($D71,'卡片raw data'!$F:$F,)),0)))</f>
        <v>5.1999999999999998E-2</v>
      </c>
      <c r="BT71" s="1101">
        <f t="shared" si="122"/>
        <v>2604.4613036728001</v>
      </c>
      <c r="BU71" s="1097">
        <f t="shared" si="123"/>
        <v>111.90018844565216</v>
      </c>
      <c r="BV71" s="1097">
        <f t="shared" si="124"/>
        <v>1302.2306518363998</v>
      </c>
      <c r="BW71" s="1112">
        <f t="shared" si="125"/>
        <v>0</v>
      </c>
      <c r="BX71" s="1100">
        <f t="shared" si="126"/>
        <v>2604.4613036728001</v>
      </c>
      <c r="BY71" s="1110">
        <f t="shared" si="127"/>
        <v>1302.2306518363998</v>
      </c>
      <c r="BZ71" s="1107" t="s">
        <v>569</v>
      </c>
      <c r="CA71" s="1124"/>
      <c r="CB71" s="1098">
        <f>IF($P71="","N/A",IF($P71=-1,INDEX('卡片raw data'!BE:BE,MATCH($D71,'卡片raw data'!$F:$F,)),0)+IF($L71="party卡",IF($P71=5,INDEX('卡片raw data'!BK:BK,MATCH($D71,'卡片raw data'!$F:$F,)),IF($P71&gt;=3,INDEX('卡片raw data'!BJ:BJ,MATCH($D71,'卡片raw data'!$F:$F,)),INDEX('卡片raw data'!BI:BI,MATCH($D71,'卡片raw data'!$F:$F,)))),IF(OR(AND($F71="UR",$P71=0),AND($F71="SR",$P71&gt;=0,$P71&lt;=2),AND($F71="R",$P71&gt;=0,$P71&lt;4)),INDEX('卡片raw data'!BG:BG,MATCH($D71,'卡片raw data'!$F:$F,)),0)+IF(OR(AND($F71="UR",$P71&gt;=1,$P71&lt;=4),AND($F71="SR",$P71&lt;=4,$P71&gt;=3),AND($F71="R",$P71=4)),INDEX('卡片raw data'!BH:BH,MATCH($D71,'卡片raw data'!$F:$F,)),0)+IF($P71=5,INDEX('卡片raw data'!BI:BI,MATCH($D71,'卡片raw data'!$F:$F,)),0)))</f>
        <v>0</v>
      </c>
      <c r="CC71" s="1101">
        <f t="shared" si="128"/>
        <v>0</v>
      </c>
      <c r="CD71" s="1097">
        <f>IF(BZ71="ap",CB71*(1-$FI$26)*$FB$5/$FB$11*(+IF(CA71="全员",$FA$24,0)+IF(CA71="同作战",$FA$24,0)+IF(CA71="仲间",$FA$24*2/3,0)+IF(CA71="同属性",$FA$24*$FA$37/3,0)+IF(CA71="同年级",$FA$24*$FA$40/3,0)+IF(CA71="同学校",$FA$24*$FA$43/3,0)+IF(CA71="同小队",$FA$24*$FA$46/3,0)+IF(CA71="同type",$FA$24*INDEX($FB$49:$FB$52,MATCH(X71,$FA$49:$FA$52,))/3,0)+IF(CA71="自身",#REF!/3,0)),0)+IF(BZ71="te",CB71*(1-$FI$27)*($FA$20-1)*$FB$7/$FB$13*(+IF(CA71="全员",$FA$19*$FA$24/(1+($FA$20-1)*$FA$19),0)+IF(CA71="同作战",$FA$19*$FA$24/(1+($FA$20-1)*$FA$19),0)+IF(CA71="仲间",$FA$19*$FA$24*2/3/(1+($FA$20-1)*$FA$19),0)+IF(CA71="同属性",$FA$19*$FA$24*$FA$37/3/(1+($FA$20-1)*$FA$19),0)+IF(CA71="同年级",$FA$19*$FA$24*$FA$40/3/(1+($FA$20-1)*$FA$19),0)+IF(CA71="同学校",$FA$19*$FA$24*$FA$43/3/(1+($FA$20-1)*$FA$19),0)+IF(CA71="同小队",$FA$19*$FA$24*$FA$46/3/(1+($FA$20-1)*$FA$19),0)+IF(CA71="同type",$FA$19*$FA$24*INDEX($FB$49:$FB$52,MATCH(X71,$FA$49:$FA$52,))/3/(1+($FA$20-1)*$FA$19),0)+IF(CA71="自身",$FA$19*#REF!/3/(1+(BH71-1)*$BD71),0)),0)</f>
        <v>0</v>
      </c>
      <c r="CE71" s="1097">
        <f t="shared" si="129"/>
        <v>0</v>
      </c>
      <c r="CF71" s="1112">
        <f t="shared" si="130"/>
        <v>0</v>
      </c>
      <c r="CG71" s="1100">
        <f t="shared" si="131"/>
        <v>0</v>
      </c>
      <c r="CH71" s="1110">
        <f t="shared" si="132"/>
        <v>0</v>
      </c>
      <c r="CI71" s="1113" t="s">
        <v>164</v>
      </c>
      <c r="CJ71" s="1114">
        <v>0.5</v>
      </c>
      <c r="CK71" s="1115" t="s">
        <v>154</v>
      </c>
      <c r="CL71" s="1115" t="s">
        <v>161</v>
      </c>
      <c r="CM71" s="1119">
        <v>0.1</v>
      </c>
      <c r="CN71" s="1115">
        <v>10</v>
      </c>
      <c r="CO71" s="1092"/>
      <c r="CP71" s="1118">
        <f t="shared" si="133"/>
        <v>1.0714285714285714E-2</v>
      </c>
      <c r="CQ71" s="1118">
        <f t="shared" si="134"/>
        <v>1.6666666666666666E-2</v>
      </c>
      <c r="CR71" s="1118">
        <f t="shared" si="135"/>
        <v>1.0714285714285716E-2</v>
      </c>
      <c r="CS71" s="1118">
        <f t="shared" si="136"/>
        <v>1.4236111111111111E-2</v>
      </c>
      <c r="CT71" s="1109">
        <f t="shared" si="137"/>
        <v>0</v>
      </c>
      <c r="CU71" s="1101">
        <f t="shared" si="138"/>
        <v>454.5454545454545</v>
      </c>
      <c r="CV71" s="1108">
        <f t="shared" si="139"/>
        <v>378.78787878787875</v>
      </c>
      <c r="CW71" s="1097">
        <f t="shared" si="140"/>
        <v>454.54545454545462</v>
      </c>
      <c r="CX71" s="1097">
        <f t="shared" si="141"/>
        <v>454.5454545454545</v>
      </c>
      <c r="CY71" s="1110">
        <f t="shared" si="142"/>
        <v>454.54545454545462</v>
      </c>
      <c r="CZ71" s="437"/>
      <c r="DA71" s="438"/>
      <c r="DB71" s="439" t="s">
        <v>569</v>
      </c>
      <c r="DC71" s="439"/>
      <c r="DD71" s="443"/>
      <c r="DE71" s="411"/>
      <c r="DF71" s="411"/>
      <c r="DG71" s="1116">
        <f t="shared" si="143"/>
        <v>0</v>
      </c>
      <c r="DH71" s="1116">
        <f t="shared" si="144"/>
        <v>0</v>
      </c>
      <c r="DI71" s="1116">
        <f t="shared" si="145"/>
        <v>0</v>
      </c>
      <c r="DJ71" s="442">
        <f t="shared" si="146"/>
        <v>0</v>
      </c>
      <c r="DK71" s="1109">
        <f t="shared" si="147"/>
        <v>0</v>
      </c>
      <c r="DL71" s="1101">
        <f t="shared" si="148"/>
        <v>0</v>
      </c>
      <c r="DM71" s="1097">
        <f t="shared" si="149"/>
        <v>0</v>
      </c>
      <c r="DN71" s="1097">
        <f t="shared" si="150"/>
        <v>0</v>
      </c>
      <c r="DO71" s="1097">
        <f t="shared" si="151"/>
        <v>0</v>
      </c>
      <c r="DP71" s="1110">
        <f t="shared" si="152"/>
        <v>0</v>
      </c>
      <c r="DQ71" s="1113" t="s">
        <v>152</v>
      </c>
      <c r="DR71" s="1120">
        <f t="shared" si="153"/>
        <v>0.33</v>
      </c>
      <c r="DS71" s="1124"/>
      <c r="DT71" s="1093" t="s">
        <v>132</v>
      </c>
      <c r="DU71" s="1093"/>
      <c r="DV71" s="1098">
        <f>IF($P71="","N/A",IF(P71=-1,INDEX('卡片raw data'!AN:AN,MATCH(D71,'卡片raw data'!$F:$F,)),0)+IF(AND(L71&lt;&gt;"party卡",P71&lt;=2,P71&gt;=0),INDEX('卡片raw data'!AP:AP,MATCH(D71,'卡片raw data'!$F:$F,)),0)+IF(OR(AND(L71="party卡",P71&lt;=1),AND(P71&lt;=4,L71&lt;&gt;"party卡",P71&gt;=3)),INDEX('卡片raw data'!AQ:AQ,MATCH(D71,'卡片raw data'!$F:$F,)),0)+IF(OR(P71=5,AND(L71="party卡",P71&gt;=2)),INDEX('卡片raw data'!AR:AR,MATCH(D71,'卡片raw data'!$F:$F,)),0))</f>
        <v>0.37</v>
      </c>
      <c r="DW71" s="1098">
        <f t="shared" si="154"/>
        <v>0.33</v>
      </c>
      <c r="DX71" s="1098">
        <f t="shared" si="155"/>
        <v>0.33</v>
      </c>
      <c r="DY71" s="1125">
        <f t="shared" si="156"/>
        <v>1580.2397917162998</v>
      </c>
      <c r="DZ71" s="1125">
        <f t="shared" si="157"/>
        <v>1228.6998648239855</v>
      </c>
      <c r="EA71" s="1098">
        <f t="shared" si="158"/>
        <v>0</v>
      </c>
      <c r="EB71" s="1121">
        <f t="shared" si="159"/>
        <v>0</v>
      </c>
      <c r="EC71" s="1101">
        <f t="shared" si="160"/>
        <v>1738.2637708879299</v>
      </c>
      <c r="ED71" s="1097">
        <f t="shared" si="161"/>
        <v>1228.6998648239855</v>
      </c>
      <c r="EE71" s="1110">
        <f t="shared" si="162"/>
        <v>1738.2637708879299</v>
      </c>
      <c r="EF71" s="1092" t="s">
        <v>711</v>
      </c>
      <c r="EG71" s="1120">
        <f t="shared" si="163"/>
        <v>0.33</v>
      </c>
      <c r="EH71" s="1124"/>
      <c r="EI71" s="1093"/>
      <c r="EJ71" s="1093"/>
      <c r="EK71" s="1097">
        <f>IF($P71="","N/A",IF(P71=-1,INDEX('卡片raw data'!AS:AS,MATCH(D71,'卡片raw data'!$F:$F,)),0)+IF(AND(L71&lt;&gt;"party卡",P71&lt;=2,P71&gt;=0),INDEX('卡片raw data'!AU:AU,MATCH(D71,'卡片raw data'!$F:$F,)),0)+IF(OR(AND(L71="party卡",P71&lt;=1),AND(P71&lt;=4,L71&lt;&gt;"party卡",P71&gt;=3)),INDEX('卡片raw data'!AV:AV,MATCH(D71,'卡片raw data'!$F:$F,)),0)+IF(OR(P71=5,AND(L71="party卡",P71&gt;=2)),INDEX('卡片raw data'!AW:AW,MATCH(D71,'卡片raw data'!$F:$F,)),0))</f>
        <v>0</v>
      </c>
      <c r="EL71" s="1098">
        <f t="shared" si="164"/>
        <v>0.33</v>
      </c>
      <c r="EM71" s="1098">
        <f t="shared" si="165"/>
        <v>0.33</v>
      </c>
      <c r="EN71" s="1125">
        <f t="shared" si="166"/>
        <v>0</v>
      </c>
      <c r="EO71" s="1125">
        <f t="shared" si="167"/>
        <v>0</v>
      </c>
      <c r="EP71" s="1098">
        <f t="shared" si="168"/>
        <v>0</v>
      </c>
      <c r="EQ71" s="1121">
        <f t="shared" si="169"/>
        <v>0</v>
      </c>
      <c r="ER71" s="1101">
        <f t="shared" si="170"/>
        <v>0</v>
      </c>
      <c r="ES71" s="1097">
        <f t="shared" si="171"/>
        <v>0</v>
      </c>
      <c r="ET71" s="1122">
        <f t="shared" si="172"/>
        <v>0</v>
      </c>
      <c r="EV71" s="1223" t="s">
        <v>4825</v>
      </c>
      <c r="EW71" s="1323">
        <v>0.4</v>
      </c>
      <c r="EX71" s="1324"/>
      <c r="EY71" s="1232"/>
      <c r="EZ71" s="1241" t="s">
        <v>8</v>
      </c>
      <c r="FA71" s="1397">
        <v>1</v>
      </c>
      <c r="FB71" s="1398"/>
    </row>
    <row r="72" spans="2:158" ht="16.5" customHeight="1" thickTop="1">
      <c r="B72" s="1123" t="str">
        <f>INDEX('卡片raw data'!B:B,MATCH($D72,'卡片raw data'!$F:$F,))</f>
        <v>校服露</v>
      </c>
      <c r="C72" s="449" t="s">
        <v>123</v>
      </c>
      <c r="D72" s="408">
        <v>69</v>
      </c>
      <c r="E72" s="1090">
        <v>101091001</v>
      </c>
      <c r="F72" s="1090" t="str">
        <f>INDEX('卡片raw data'!C:C,MATCH($D72,'卡片raw data'!$F:$F,))</f>
        <v>R</v>
      </c>
      <c r="G72" s="1094" t="s">
        <v>346</v>
      </c>
      <c r="H72" s="411">
        <f>IFERROR(INDEX(绊状态确认!C:C,MATCH($G72,绊状态确认!$B:$B,)),"")</f>
        <v>109</v>
      </c>
      <c r="I72" s="450" t="str">
        <f>IFERROR(INDEX(绊状态确认!D:D,MATCH($G72,绊状态确认!$B:$B,)),"")</f>
        <v>水</v>
      </c>
      <c r="J72" s="450" t="str">
        <f>IFERROR(INDEX(绊状态确认!E:E,MATCH($G72,绊状态确认!$B:$B,)),"")</f>
        <v>1年级</v>
      </c>
      <c r="K72" s="451" t="str">
        <f>IFERROR(INDEX(绊状态确认!F:F,MATCH($G72,绊状态确认!$B:$B,)),"")</f>
        <v>CYaRon!</v>
      </c>
      <c r="L72" s="1094" t="str">
        <f>INDEX('卡片raw data'!E:E,MATCH($D72,'卡片raw data'!$F:$F,))</f>
        <v>卡池卡</v>
      </c>
      <c r="M72" s="415">
        <v>43735</v>
      </c>
      <c r="N72" s="416">
        <v>0</v>
      </c>
      <c r="O72" s="1091" t="str">
        <f>INDEX('卡片raw data'!D:D,MATCH($D72,'卡片raw data'!$F:$F,))</f>
        <v>gd</v>
      </c>
      <c r="P72" s="417">
        <v>5</v>
      </c>
      <c r="Q72" s="1095">
        <f t="shared" si="88"/>
        <v>10575.081523717088</v>
      </c>
      <c r="R72" s="1096">
        <f t="shared" si="89"/>
        <v>0.122</v>
      </c>
      <c r="S72" s="1097">
        <f t="shared" si="90"/>
        <v>6023.6309117404726</v>
      </c>
      <c r="T72" s="1098">
        <f t="shared" si="91"/>
        <v>0.30099999999999999</v>
      </c>
      <c r="U72" s="1099">
        <f t="shared" si="92"/>
        <v>70.069910845714276</v>
      </c>
      <c r="V72" s="1100">
        <f t="shared" si="93"/>
        <v>15897.102524498847</v>
      </c>
      <c r="W72" s="1101">
        <f t="shared" si="94"/>
        <v>3005.1476580839999</v>
      </c>
      <c r="X72" s="1096">
        <f t="shared" si="95"/>
        <v>3.4000000000000002E-2</v>
      </c>
      <c r="Y72" s="1097">
        <f t="shared" si="96"/>
        <v>797.17752103152452</v>
      </c>
      <c r="Z72" s="1102">
        <f t="shared" si="97"/>
        <v>10.069910845714286</v>
      </c>
      <c r="AA72" s="1103">
        <f t="shared" si="98"/>
        <v>3802.3251791155244</v>
      </c>
      <c r="AB72" s="1101">
        <f t="shared" si="99"/>
        <v>3005.1476580839999</v>
      </c>
      <c r="AC72" s="1104">
        <f t="shared" si="100"/>
        <v>3.4000000000000002E-2</v>
      </c>
      <c r="AD72" s="1105">
        <f t="shared" si="101"/>
        <v>-3.8207812500000026E-3</v>
      </c>
      <c r="AE72" s="1128">
        <f t="shared" si="102"/>
        <v>-28.942028985507246</v>
      </c>
      <c r="AF72" s="1130">
        <f t="shared" si="103"/>
        <v>911.85917280000001</v>
      </c>
      <c r="AG72" s="420">
        <f t="shared" si="104"/>
        <v>107033.89154400001</v>
      </c>
      <c r="AH72" s="420">
        <f t="shared" si="105"/>
        <v>117.37984848618284</v>
      </c>
      <c r="AI72" s="1097">
        <f t="shared" si="106"/>
        <v>-127084.85352935712</v>
      </c>
      <c r="AJ72" s="420">
        <f t="shared" si="107"/>
        <v>15897.102524498847</v>
      </c>
      <c r="AK72" s="518">
        <f t="shared" si="108"/>
        <v>-142981.95605385597</v>
      </c>
      <c r="AL72" s="1106">
        <f>IF($P72="","N/A",(IF($P72=-1,INDEX('卡片raw data'!S:S,MATCH($D72,'卡片raw data'!$F:$F,)),0)+IF($P72=0,INDEX('卡片raw data'!V:V,MATCH($D72,'卡片raw data'!$F:$F,)),0)+IF($P72=1,INDEX('卡片raw data'!Y:Y,MATCH($D72,'卡片raw data'!$F:$F,)),0)+IF($P72=2,INDEX('卡片raw data'!AB:AB,MATCH($D72,'卡片raw data'!$F:$F,)),0)+IF($P72=3,INDEX('卡片raw data'!AE:AE,MATCH($D72,'卡片raw data'!$F:$F,)),0)+IF($P72=4,INDEX('卡片raw data'!AH:AH,MATCH($D72,'卡片raw data'!$F:$F,)),0)+IF($P72=5,INDEX('卡片raw data'!AK:AK,MATCH($D72,'卡片raw data'!$F:$F,)),0)+INDEX('卡片raw data'!S:S,MATCH($D72,'卡片raw data'!$F:$F,))*(IF($F72="UR",0.04,0.033))*(IF($F72="UR",INDEX(绊状态确认!$S:$S,MATCH($G72,绊状态确认!$B:$B,))/2-40)+IF($F72="SR",INDEX(绊状态确认!$R:$R,MATCH($G72,绊状态确认!$B:$B,))/4-15))+IF($F72="R",INDEX(绊状态确认!$Q:$Q,MATCH($G72,绊状态确认!$B:$B,))/6-40/6)))*(INDEX(绊状态确认!$H:$H,MATCH($G72,绊状态确认!$B:$B,))+INDEX(绊状态确认!J:J,MATCH($G72,绊状态确认!$B:$B,)))</f>
        <v>3601.2515999999996</v>
      </c>
      <c r="AM72" s="1106">
        <f>IF($P72="","N/A",(IF($P72=-1,INDEX('卡片raw data'!T:T,MATCH($D72,'卡片raw data'!$F:$F,)),0)+IF($P72=0,INDEX('卡片raw data'!W:W,MATCH($D72,'卡片raw data'!$F:$F,)),0)+IF($P72=1,INDEX('卡片raw data'!Z:Z,MATCH($D72,'卡片raw data'!$F:$F,)),0)+IF($P72=2,INDEX('卡片raw data'!AC:AC,MATCH($D72,'卡片raw data'!$F:$F,)),0)+IF($P72=3,INDEX('卡片raw data'!AF:AF,MATCH($D72,'卡片raw data'!$F:$F,)),0)+IF($P72=4,INDEX('卡片raw data'!AI:AI,MATCH($D72,'卡片raw data'!$F:$F,)),0)+IF($P72=5,INDEX('卡片raw data'!AL:AL,MATCH($D72,'卡片raw data'!$F:$F,)),0)+INDEX('卡片raw data'!T:T,MATCH($D72,'卡片raw data'!$F:$F,))*(IF($F72="UR",0.04,0.033))*(IF($F72="UR",INDEX(绊状态确认!$S:$S,MATCH($G72,绊状态确认!$B:$B,))/2-40)+IF($F72="SR",INDEX(绊状态确认!$R:$R,MATCH($G72,绊状态确认!$B:$B,))/4-15))+IF($F72="R",INDEX(绊状态确认!$Q:$Q,MATCH($G72,绊状态确认!$B:$B,))/6-40/6)))*(INDEX(绊状态确认!$H:$H,MATCH($G72,绊状态确认!$B:$B,))+INDEX(绊状态确认!K:K,MATCH($G72,绊状态确认!$B:$B,)))</f>
        <v>4200.1343999999999</v>
      </c>
      <c r="AN72" s="1106">
        <f>IF($P72="","N/A",(IF($P72=-1,INDEX('卡片raw data'!U:U,MATCH($D72,'卡片raw data'!$F:$F,)),0)+IF($P72=0,INDEX('卡片raw data'!X:X,MATCH($D72,'卡片raw data'!$F:$F,)),0)+IF($P72=1,INDEX('卡片raw data'!AA:AA,MATCH($D72,'卡片raw data'!$F:$F,)),0)+IF($P72=2,INDEX('卡片raw data'!AD:AD,MATCH($D72,'卡片raw data'!$F:$F,)),0)+IF($P72=3,INDEX('卡片raw data'!AG:AG,MATCH($D72,'卡片raw data'!$F:$F,)),0)+IF($P72=4,INDEX('卡片raw data'!AJ:AJ,MATCH($D72,'卡片raw data'!$F:$F,)),0)+IF($P72=5,INDEX('卡片raw data'!AM:AM,MATCH($D72,'卡片raw data'!$F:$F,)),0)+INDEX('卡片raw data'!U:U,MATCH($D72,'卡片raw data'!$F:$F,))*(IF($F72="UR",0.04,0.033))*(IF($F72="UR",INDEX(绊状态确认!$S:$S,MATCH($G72,绊状态确认!$B:$B,))/2-40)+IF($F72="SR",INDEX(绊状态确认!$R:$R,MATCH($G72,绊状态确认!$B:$B,))/4-15))+IF($F72="R",INDEX(绊状态确认!$Q:$Q,MATCH($G72,绊状态确认!$B:$B,))/6-40/6)))*(INDEX(绊状态确认!$H:$H,MATCH($G72,绊状态确认!$B:$B,))+INDEX(绊状态确认!L:L,MATCH($G72,绊状态确认!$B:$B,)))</f>
        <v>4200.1343999999999</v>
      </c>
      <c r="AO72" s="1107">
        <f t="shared" si="109"/>
        <v>1</v>
      </c>
      <c r="AP72" s="1131">
        <f>1+(INDEX(绊状态确认!$T:$T,MATCH($G72,绊状态确认!$B:$B,))+0.2)*$AO72</f>
        <v>1.3</v>
      </c>
      <c r="AQ72" s="1108">
        <f t="shared" si="110"/>
        <v>12703.285449999999</v>
      </c>
      <c r="AR72" s="1097">
        <f>(AM72*(1+$EX$9)+$EX$35)*(1+(INDEX(绊状态确认!$T:$T,MATCH($G72,绊状态确认!$B:$B,))+0.2)*AO72)*IF(J72=$FF$17,1+$FE$17,1)*IF(I72=$FF$14,1+$FE$14,1)</f>
        <v>8437.1834560000007</v>
      </c>
      <c r="AS72" s="1097">
        <f>(AN72*(1+$EX$10)+$EX$36)*(1+(INDEX(绊状态确认!$T:$T,MATCH($G72,绊状态确认!$B:$B,))+0.2)*AO72)*IF(J72=$FF$17,1+$FE$17,1)*IF(I72=$FF$14,1+$FE$14,1)</f>
        <v>10335.200928</v>
      </c>
      <c r="AT72" s="1093">
        <f>IF(AND(INDEX('卡片raw data'!AK:AK,MATCH($D72,'卡片raw data'!$F:$F,))&lt;INDEX('卡片raw data'!AM:AM,MATCH($D72,'卡片raw data'!$F:$F,)),INDEX('卡片raw data'!AL:AL,MATCH($D72,'卡片raw data'!$F:$F,))&lt;INDEX('卡片raw data'!AM:AM,MATCH($D72,'卡片raw data'!$F:$F,))),1,0)</f>
        <v>0</v>
      </c>
      <c r="AU72" s="1098">
        <f>MIN(AT72*0.15+AS72*0.00003+INDEX(绊状态确认!M:M,MATCH($G72,绊状态确认!$B:$B,)),1)</f>
        <v>0.34005602784000005</v>
      </c>
      <c r="AV72" s="1109">
        <f>(INDEX(绊状态确认!$N:$N,MATCH($G72,绊状态确认!$B:$B,))+1.5)*$EW$21</f>
        <v>2.6599999999999997</v>
      </c>
      <c r="AW72" s="1101">
        <f t="shared" si="111"/>
        <v>10321.600532299753</v>
      </c>
      <c r="AX72" s="1097">
        <f t="shared" si="112"/>
        <v>716.8096692358688</v>
      </c>
      <c r="AY72" s="1110">
        <f t="shared" si="113"/>
        <v>11038.410201535622</v>
      </c>
      <c r="AZ72" s="429">
        <f t="shared" si="114"/>
        <v>9622.4406199999994</v>
      </c>
      <c r="BA72" s="431">
        <f t="shared" si="115"/>
        <v>11546.928743999999</v>
      </c>
      <c r="BB72" s="1097">
        <f>(AM72*(1+$FB$9)+$FB$35)*(1+(INDEX(绊状态确认!$T:$T,MATCH($G72,绊状态确认!$B:$B,))+0.2)*AO72)*IF(J72=$FF$17,1+$FE$17,1)*IF(I72=$FF$14,1+$FE$14,1)*(1+$FE$15)</f>
        <v>8437.1834560000007</v>
      </c>
      <c r="BC72" s="1097">
        <f>(AN72*(1+$FB$10)+$FB$36)*(1+(INDEX(绊状态确认!$T:$T,MATCH($G72,绊状态确认!$B:$B,))+0.2)*AO72)*IF(J72=$FF$17,1+$FE$17,1)*IF(I72=$FF$14,1+$FE$14,1)*(1+$FE$15)</f>
        <v>10335.200928</v>
      </c>
      <c r="BD72" s="1104">
        <f>MIN(AT72*0.15+BC72*0.00003+INDEX(绊状态确认!M:M,MATCH($G72,绊状态确认!$B:$B,)),1)</f>
        <v>0.34005602784000005</v>
      </c>
      <c r="BE72" s="432">
        <f>(INDEX(绊状态确认!$N:$N,MATCH($G72,绊状态确认!$B:$B,))+1.5)</f>
        <v>1.9</v>
      </c>
      <c r="BF72" s="1139">
        <f t="array" ref="BF72">SUMPRODUCT(IF(AZ72*AP72*$FI$16:$FI$23*$FA$22&gt;=$FI$24,$FI$24,AZ72*AP72*$FI$16:$FI$23*$FA$22),$FJ$16:$FJ$23)</f>
        <v>19139.034393180002</v>
      </c>
      <c r="BG72" s="1125">
        <f t="array" ref="BG72">SUMPRODUCT(IF(BE72*AZ72*AP72*$FI$16:$FI$23*$FA$22&gt;=$FI$24,$FI$24,BE72*AZ72*AP72*$FI$16:$FI$23*$FA$22),$FJ$16:$FJ$23)</f>
        <v>36364.165347041999</v>
      </c>
      <c r="BH72" s="1110">
        <f t="shared" si="116"/>
        <v>8332.1813347913831</v>
      </c>
      <c r="BI72" s="1111">
        <f>IF(O72="vo",$EW$26/$EW$24*0.05,0)+IF(O72="sk",-$EW$26/$EW$24*(0.05-INDEX(绊状态确认!W:W,MATCH($G72,绊状态确认!$B:$B,)))+0.05*$EW$28,0)+IF(O72="sp",0.05*$EW$32*$EW$30*(1-$EW$33)-(0.05-INDEX(绊状态确认!V:V,MATCH($G72,绊状态确认!$B:$B,)))*$EW$28,0)+IF(O72="gd",-(0.05-INDEX(绊状态确认!X:X,MATCH($G72,绊状态确认!$B:$B,)))*$EW$32*$EW$30*(1-$EW$33),0)</f>
        <v>-585.00000000000011</v>
      </c>
      <c r="BJ72" s="1097">
        <f>IF(O72="vo",0.05*(1-$FI$26)*$FA$24,0)+IF(O72="sk",-(0.05-INDEX(绊状态确认!W:W,MATCH($G72,绊状态确认!$B:$B,)))*(1-$FI$26)*$FA$24+0.05*$FA$26,0)+IF(O72="sp",0.05*$FA$32*$FA$27*(1-$FA$33)/$FA$30+0.05*$FA$29/$FA$69*$FA$27*(1-$FA$33)-(0.05-INDEX(绊状态确认!V:V,MATCH($G72,绊状态确认!$B:$B,)))*$FA$26,0)+IF(O72="gd",-(0.05-INDEX(绊状态确认!X:X,MATCH($G72,绊状态确认!$B:$B,)))*$FA$32*$FA$27*(1-$FA$33)/$FA$30-(0.05-INDEX(绊状态确认!X:X,MATCH($G72,绊状态确认!$B:$B,)))*$FA$29/$FA$69*$FA$27*(1-$FA$33),0)</f>
        <v>-795.00000000000011</v>
      </c>
      <c r="BK72" s="1110">
        <f>IF(O72="vo",$EW$26/$EW$24*0.05+$EW$26*(-HP($EW$62,$EW$65,$EW$64)+HP($EW$62,$EW$65,(1.05-INDEX(绊状态确认!U:U,MATCH($G72,绊状态确认!$B:$B,)))*$EW$64)),0)+IF(O72="sk",-$EW$26/$EW$24*(0.05-INDEX(绊状态确认!W:W,MATCH($G72,绊状态确认!$B:$B,)))+0.05*$EW$29,0)+IF(O72="sp",0.05*$EW$32*$EW$30*(1-$EW$33)-(0.05-INDEX(绊状态确认!V:V,MATCH($G72,绊状态确认!$B:$B,)))*$EW$29,0)+IF(O72="gd",-(0.05-INDEX(绊状态确认!X:X,MATCH($G72,绊状态确认!$B:$B,)))*$EW$32*$EW$30*(1-$EW$33)+$EW$26*(-HP($EW$62,$EW$65,$EW$64)+HP($EW$62,$EW$65,0.95*$EW$64)),0)</f>
        <v>1009.5947725176144</v>
      </c>
      <c r="BL72" s="1111">
        <f t="shared" si="117"/>
        <v>-2166.6666666666665</v>
      </c>
      <c r="BM72" s="1110">
        <f t="shared" si="118"/>
        <v>-1661.1111111111109</v>
      </c>
      <c r="BN72" s="1113">
        <f t="shared" si="119"/>
        <v>2</v>
      </c>
      <c r="BO72" s="1097">
        <f t="shared" si="120"/>
        <v>3005.1476580839999</v>
      </c>
      <c r="BP72" s="1100">
        <f t="shared" si="121"/>
        <v>147.56068806020068</v>
      </c>
      <c r="BQ72" s="1113" t="s">
        <v>618</v>
      </c>
      <c r="BR72" s="1124" t="s">
        <v>171</v>
      </c>
      <c r="BS72" s="1098">
        <f>IF($P72="","N/A",IF($P72=-1,INDEX('卡片raw data'!AX:AX,MATCH($D72,'卡片raw data'!$F:$F,)),0)+IF($L72="party卡",IF($P72=5,INDEX('卡片raw data'!BD:BD,MATCH($D72,'卡片raw data'!$F:$F,)),IF($P72&gt;=3,INDEX('卡片raw data'!BC:BC,MATCH($D72,'卡片raw data'!$F:$F,)),INDEX('卡片raw data'!BB:BB,MATCH($D72,'卡片raw data'!$F:$F,)))),IF(OR(AND($F72="UR",$P72=0),AND($F72="SR",$P72&gt;=0,$P72&lt;=2),AND($F72="R",$P72&gt;=0,$P72&lt;4)),INDEX('卡片raw data'!AZ:AZ,MATCH($D72,'卡片raw data'!$F:$F,)),0)+IF(OR(AND($F72="UR",$P72&gt;=1,$P72&lt;=4),AND($F72="SR",$P72&lt;=4,$P72&gt;=3),AND($F72="R",$P72=4)),INDEX('卡片raw data'!BA:BA,MATCH($D72,'卡片raw data'!$F:$F,)),0)+IF($P72=5,INDEX('卡片raw data'!BB:BB,MATCH($D72,'卡片raw data'!$F:$F,)),0)))</f>
        <v>2.1999999999999999E-2</v>
      </c>
      <c r="BT72" s="1101">
        <f t="shared" si="122"/>
        <v>0</v>
      </c>
      <c r="BU72" s="1097">
        <f t="shared" si="123"/>
        <v>0</v>
      </c>
      <c r="BV72" s="1097">
        <f t="shared" si="124"/>
        <v>0</v>
      </c>
      <c r="BW72" s="1112">
        <f t="shared" si="125"/>
        <v>1.0300714285714283</v>
      </c>
      <c r="BX72" s="1100">
        <f t="shared" si="126"/>
        <v>80.367851795655781</v>
      </c>
      <c r="BY72" s="1110">
        <f t="shared" si="127"/>
        <v>80.367851795655781</v>
      </c>
      <c r="BZ72" s="1107" t="s">
        <v>569</v>
      </c>
      <c r="CA72" s="1124"/>
      <c r="CB72" s="1098">
        <f>IF($P72="","N/A",IF($P72=-1,INDEX('卡片raw data'!BE:BE,MATCH($D72,'卡片raw data'!$F:$F,)),0)+IF($L72="party卡",IF($P72=5,INDEX('卡片raw data'!BK:BK,MATCH($D72,'卡片raw data'!$F:$F,)),IF($P72&gt;=3,INDEX('卡片raw data'!BJ:BJ,MATCH($D72,'卡片raw data'!$F:$F,)),INDEX('卡片raw data'!BI:BI,MATCH($D72,'卡片raw data'!$F:$F,)))),IF(OR(AND($F72="UR",$P72=0),AND($F72="SR",$P72&gt;=0,$P72&lt;=2),AND($F72="R",$P72&gt;=0,$P72&lt;4)),INDEX('卡片raw data'!BG:BG,MATCH($D72,'卡片raw data'!$F:$F,)),0)+IF(OR(AND($F72="UR",$P72&gt;=1,$P72&lt;=4),AND($F72="SR",$P72&lt;=4,$P72&gt;=3),AND($F72="R",$P72=4)),INDEX('卡片raw data'!BH:BH,MATCH($D72,'卡片raw data'!$F:$F,)),0)+IF($P72=5,INDEX('卡片raw data'!BI:BI,MATCH($D72,'卡片raw data'!$F:$F,)),0)))</f>
        <v>0</v>
      </c>
      <c r="CC72" s="1101">
        <f t="shared" si="128"/>
        <v>0</v>
      </c>
      <c r="CD72" s="1097">
        <f>IF(BZ72="ap",CB72*(1-$FI$26)*$FB$5/$FB$11*(+IF(CA72="全员",$FA$24,0)+IF(CA72="同作战",$FA$24,0)+IF(CA72="仲间",$FA$24*2/3,0)+IF(CA72="同属性",$FA$24*$FA$37/3,0)+IF(CA72="同年级",$FA$24*$FA$40/3,0)+IF(CA72="同学校",$FA$24*$FA$43/3,0)+IF(CA72="同小队",$FA$24*$FA$46/3,0)+IF(CA72="同type",$FA$24*INDEX($FB$49:$FB$52,MATCH(X72,$FA$49:$FA$52,))/3,0)+IF(CA72="自身",#REF!/3,0)),0)+IF(BZ72="te",CB72*(1-$FI$27)*($FA$20-1)*$FB$7/$FB$13*(+IF(CA72="全员",$FA$19*$FA$24/(1+($FA$20-1)*$FA$19),0)+IF(CA72="同作战",$FA$19*$FA$24/(1+($FA$20-1)*$FA$19),0)+IF(CA72="仲间",$FA$19*$FA$24*2/3/(1+($FA$20-1)*$FA$19),0)+IF(CA72="同属性",$FA$19*$FA$24*$FA$37/3/(1+($FA$20-1)*$FA$19),0)+IF(CA72="同年级",$FA$19*$FA$24*$FA$40/3/(1+($FA$20-1)*$FA$19),0)+IF(CA72="同学校",$FA$19*$FA$24*$FA$43/3/(1+($FA$20-1)*$FA$19),0)+IF(CA72="同小队",$FA$19*$FA$24*$FA$46/3/(1+($FA$20-1)*$FA$19),0)+IF(CA72="同type",$FA$19*$FA$24*INDEX($FB$49:$FB$52,MATCH(X72,$FA$49:$FA$52,))/3/(1+($FA$20-1)*$FA$19),0)+IF(CA72="自身",$FA$19*#REF!/3/(1+(BH72-1)*$BD72),0)),0)</f>
        <v>0</v>
      </c>
      <c r="CE72" s="1097">
        <f t="shared" si="129"/>
        <v>0</v>
      </c>
      <c r="CF72" s="1112">
        <f t="shared" si="130"/>
        <v>0</v>
      </c>
      <c r="CG72" s="1100">
        <f t="shared" si="131"/>
        <v>0</v>
      </c>
      <c r="CH72" s="1110">
        <f t="shared" si="132"/>
        <v>0</v>
      </c>
      <c r="CI72" s="1113"/>
      <c r="CJ72" s="1114"/>
      <c r="CK72" s="1115" t="s">
        <v>569</v>
      </c>
      <c r="CL72" s="1115"/>
      <c r="CM72" s="1119"/>
      <c r="CN72" s="1115"/>
      <c r="CO72" s="1092"/>
      <c r="CP72" s="1117">
        <f t="shared" si="133"/>
        <v>0</v>
      </c>
      <c r="CQ72" s="1117">
        <f t="shared" si="134"/>
        <v>0</v>
      </c>
      <c r="CR72" s="1117">
        <f t="shared" si="135"/>
        <v>0</v>
      </c>
      <c r="CS72" s="1118">
        <f t="shared" si="136"/>
        <v>0</v>
      </c>
      <c r="CT72" s="1109">
        <f t="shared" si="137"/>
        <v>0</v>
      </c>
      <c r="CU72" s="1101">
        <f t="shared" si="138"/>
        <v>0</v>
      </c>
      <c r="CV72" s="1108">
        <f t="shared" si="139"/>
        <v>0</v>
      </c>
      <c r="CW72" s="1097">
        <f t="shared" si="140"/>
        <v>0</v>
      </c>
      <c r="CX72" s="1097">
        <f t="shared" si="141"/>
        <v>0</v>
      </c>
      <c r="CY72" s="1110">
        <f t="shared" si="142"/>
        <v>0</v>
      </c>
      <c r="CZ72" s="437"/>
      <c r="DA72" s="438"/>
      <c r="DB72" s="439" t="s">
        <v>569</v>
      </c>
      <c r="DC72" s="439"/>
      <c r="DD72" s="443"/>
      <c r="DE72" s="411"/>
      <c r="DF72" s="411"/>
      <c r="DG72" s="1116">
        <f t="shared" si="143"/>
        <v>0</v>
      </c>
      <c r="DH72" s="1116">
        <f t="shared" si="144"/>
        <v>0</v>
      </c>
      <c r="DI72" s="1116">
        <f t="shared" si="145"/>
        <v>0</v>
      </c>
      <c r="DJ72" s="442">
        <f t="shared" si="146"/>
        <v>0</v>
      </c>
      <c r="DK72" s="1109">
        <f t="shared" si="147"/>
        <v>0</v>
      </c>
      <c r="DL72" s="1101">
        <f t="shared" si="148"/>
        <v>0</v>
      </c>
      <c r="DM72" s="1097">
        <f t="shared" si="149"/>
        <v>0</v>
      </c>
      <c r="DN72" s="1097">
        <f t="shared" si="150"/>
        <v>0</v>
      </c>
      <c r="DO72" s="1097">
        <f t="shared" si="151"/>
        <v>0</v>
      </c>
      <c r="DP72" s="1110">
        <f t="shared" si="152"/>
        <v>0</v>
      </c>
      <c r="DQ72" s="1113" t="s">
        <v>635</v>
      </c>
      <c r="DR72" s="1120">
        <f t="shared" si="153"/>
        <v>0.3</v>
      </c>
      <c r="DS72" s="1124"/>
      <c r="DT72" s="1093" t="s">
        <v>546</v>
      </c>
      <c r="DU72" s="1093"/>
      <c r="DV72" s="1097">
        <f>IF($P72="","N/A",IF(P72=-1,INDEX('卡片raw data'!AN:AN,MATCH(D72,'卡片raw data'!$F:$F,)),0)+IF(AND(L72&lt;&gt;"party卡",P72&lt;=2,P72&gt;=0),INDEX('卡片raw data'!AP:AP,MATCH(D72,'卡片raw data'!$F:$F,)),0)+IF(OR(AND(L72="party卡",P72&lt;=1),AND(P72&lt;=4,L72&lt;&gt;"party卡",P72&gt;=3)),INDEX('卡片raw data'!AQ:AQ,MATCH(D72,'卡片raw data'!$F:$F,)),0)+IF(OR(P72=5,AND(L72="party卡",P72&gt;=2)),INDEX('卡片raw data'!AR:AR,MATCH(D72,'卡片raw data'!$F:$F,)),0))</f>
        <v>350</v>
      </c>
      <c r="DW72" s="1098">
        <f t="shared" si="154"/>
        <v>0.3</v>
      </c>
      <c r="DX72" s="1098">
        <f t="shared" si="155"/>
        <v>0.3</v>
      </c>
      <c r="DY72" s="1125">
        <f t="shared" si="156"/>
        <v>35</v>
      </c>
      <c r="DZ72" s="1125">
        <f t="shared" si="157"/>
        <v>30.274999999999999</v>
      </c>
      <c r="EA72" s="1098">
        <f t="shared" si="158"/>
        <v>0</v>
      </c>
      <c r="EB72" s="1121">
        <f t="shared" si="159"/>
        <v>0</v>
      </c>
      <c r="EC72" s="1101">
        <f t="shared" si="160"/>
        <v>0</v>
      </c>
      <c r="ED72" s="1097">
        <f t="shared" si="161"/>
        <v>0</v>
      </c>
      <c r="EE72" s="1110">
        <f t="shared" si="162"/>
        <v>2930.2487072326198</v>
      </c>
      <c r="EF72" s="1092" t="s">
        <v>711</v>
      </c>
      <c r="EG72" s="1120">
        <f t="shared" si="163"/>
        <v>0.3</v>
      </c>
      <c r="EH72" s="1124"/>
      <c r="EI72" s="1093"/>
      <c r="EJ72" s="1093"/>
      <c r="EK72" s="1097">
        <f>IF($P72="","N/A",IF(P72=-1,INDEX('卡片raw data'!AS:AS,MATCH(D72,'卡片raw data'!$F:$F,)),0)+IF(AND(L72&lt;&gt;"party卡",P72&lt;=2,P72&gt;=0),INDEX('卡片raw data'!AU:AU,MATCH(D72,'卡片raw data'!$F:$F,)),0)+IF(OR(AND(L72="party卡",P72&lt;=1),AND(P72&lt;=4,L72&lt;&gt;"party卡",P72&gt;=3)),INDEX('卡片raw data'!AV:AV,MATCH(D72,'卡片raw data'!$F:$F,)),0)+IF(OR(P72=5,AND(L72="party卡",P72&gt;=2)),INDEX('卡片raw data'!AW:AW,MATCH(D72,'卡片raw data'!$F:$F,)),0))</f>
        <v>0</v>
      </c>
      <c r="EL72" s="1098">
        <f t="shared" si="164"/>
        <v>0.3</v>
      </c>
      <c r="EM72" s="1098">
        <f t="shared" si="165"/>
        <v>0.3</v>
      </c>
      <c r="EN72" s="1125">
        <f t="shared" si="166"/>
        <v>0</v>
      </c>
      <c r="EO72" s="1125">
        <f t="shared" si="167"/>
        <v>0</v>
      </c>
      <c r="EP72" s="1098">
        <f t="shared" si="168"/>
        <v>0</v>
      </c>
      <c r="EQ72" s="1121">
        <f t="shared" si="169"/>
        <v>0</v>
      </c>
      <c r="ER72" s="1101">
        <f t="shared" si="170"/>
        <v>0</v>
      </c>
      <c r="ES72" s="1097">
        <f t="shared" si="171"/>
        <v>0</v>
      </c>
      <c r="ET72" s="1122">
        <f t="shared" si="172"/>
        <v>0</v>
      </c>
      <c r="EV72" s="1240" t="s">
        <v>1925</v>
      </c>
      <c r="EW72" s="1325">
        <v>11000</v>
      </c>
      <c r="EX72" s="1325"/>
      <c r="EY72" s="1232"/>
      <c r="EZ72" s="1232"/>
      <c r="FA72" s="1232"/>
      <c r="FB72" s="1232"/>
    </row>
    <row r="73" spans="2:158" ht="16.5" customHeight="1">
      <c r="B73" s="1123" t="str">
        <f>INDEX('卡片raw data'!B:B,MATCH($D73,'卡片raw data'!$F:$F,))</f>
        <v>练习露</v>
      </c>
      <c r="C73" s="449" t="s">
        <v>124</v>
      </c>
      <c r="D73" s="408">
        <v>70</v>
      </c>
      <c r="E73" s="1090">
        <v>101091002</v>
      </c>
      <c r="F73" s="1090" t="str">
        <f>INDEX('卡片raw data'!C:C,MATCH($D73,'卡片raw data'!$F:$F,))</f>
        <v>R</v>
      </c>
      <c r="G73" s="1094" t="s">
        <v>41</v>
      </c>
      <c r="H73" s="411">
        <f>IFERROR(INDEX(绊状态确认!C:C,MATCH($G73,绊状态确认!$B:$B,)),"")</f>
        <v>109</v>
      </c>
      <c r="I73" s="450" t="str">
        <f>IFERROR(INDEX(绊状态确认!D:D,MATCH($G73,绊状态确认!$B:$B,)),"")</f>
        <v>水</v>
      </c>
      <c r="J73" s="450" t="str">
        <f>IFERROR(INDEX(绊状态确认!E:E,MATCH($G73,绊状态确认!$B:$B,)),"")</f>
        <v>1年级</v>
      </c>
      <c r="K73" s="451" t="str">
        <f>IFERROR(INDEX(绊状态确认!F:F,MATCH($G73,绊状态确认!$B:$B,)),"")</f>
        <v>CYaRon!</v>
      </c>
      <c r="L73" s="1094" t="str">
        <f>INDEX('卡片raw data'!E:E,MATCH($D73,'卡片raw data'!$F:$F,))</f>
        <v>卡池卡</v>
      </c>
      <c r="M73" s="415">
        <v>43735</v>
      </c>
      <c r="N73" s="416">
        <v>0</v>
      </c>
      <c r="O73" s="1091" t="str">
        <f>INDEX('卡片raw data'!D:D,MATCH($D73,'卡片raw data'!$F:$F,))</f>
        <v>sp</v>
      </c>
      <c r="P73" s="417">
        <v>5</v>
      </c>
      <c r="Q73" s="1095">
        <f t="shared" si="88"/>
        <v>15191.557609420457</v>
      </c>
      <c r="R73" s="1096">
        <f t="shared" si="89"/>
        <v>0.17599999999999999</v>
      </c>
      <c r="S73" s="1097">
        <f t="shared" si="90"/>
        <v>10509.448607691716</v>
      </c>
      <c r="T73" s="1098">
        <f t="shared" si="91"/>
        <v>0.52500000000000002</v>
      </c>
      <c r="U73" s="1099">
        <f t="shared" si="92"/>
        <v>10.191003008571428</v>
      </c>
      <c r="V73" s="1100">
        <f t="shared" si="93"/>
        <v>14197.922478697879</v>
      </c>
      <c r="W73" s="1101">
        <f t="shared" si="94"/>
        <v>3005.1476580839999</v>
      </c>
      <c r="X73" s="1096">
        <f t="shared" si="95"/>
        <v>3.4000000000000002E-2</v>
      </c>
      <c r="Y73" s="1097">
        <f t="shared" si="96"/>
        <v>806.36486927742135</v>
      </c>
      <c r="Z73" s="1102">
        <f t="shared" si="97"/>
        <v>10.191003008571428</v>
      </c>
      <c r="AA73" s="1103">
        <f t="shared" si="98"/>
        <v>3811.5125273614212</v>
      </c>
      <c r="AB73" s="1101">
        <f t="shared" si="99"/>
        <v>3005.1476580839999</v>
      </c>
      <c r="AC73" s="1104">
        <f t="shared" si="100"/>
        <v>3.4000000000000002E-2</v>
      </c>
      <c r="AD73" s="1105">
        <f t="shared" si="101"/>
        <v>-1.9908281250000003E-2</v>
      </c>
      <c r="AE73" s="1128">
        <f t="shared" si="102"/>
        <v>-11.768115942028986</v>
      </c>
      <c r="AF73" s="1130">
        <f t="shared" si="103"/>
        <v>0</v>
      </c>
      <c r="AG73" s="420">
        <f t="shared" si="104"/>
        <v>0</v>
      </c>
      <c r="AH73" s="420">
        <f t="shared" si="105"/>
        <v>0</v>
      </c>
      <c r="AI73" s="1097">
        <f t="shared" si="106"/>
        <v>0</v>
      </c>
      <c r="AJ73" s="420">
        <f t="shared" si="107"/>
        <v>0</v>
      </c>
      <c r="AK73" s="518">
        <f t="shared" si="108"/>
        <v>0</v>
      </c>
      <c r="AL73" s="1106">
        <f>IF($P73="","N/A",(IF($P73=-1,INDEX('卡片raw data'!S:S,MATCH($D73,'卡片raw data'!$F:$F,)),0)+IF($P73=0,INDEX('卡片raw data'!V:V,MATCH($D73,'卡片raw data'!$F:$F,)),0)+IF($P73=1,INDEX('卡片raw data'!Y:Y,MATCH($D73,'卡片raw data'!$F:$F,)),0)+IF($P73=2,INDEX('卡片raw data'!AB:AB,MATCH($D73,'卡片raw data'!$F:$F,)),0)+IF($P73=3,INDEX('卡片raw data'!AE:AE,MATCH($D73,'卡片raw data'!$F:$F,)),0)+IF($P73=4,INDEX('卡片raw data'!AH:AH,MATCH($D73,'卡片raw data'!$F:$F,)),0)+IF($P73=5,INDEX('卡片raw data'!AK:AK,MATCH($D73,'卡片raw data'!$F:$F,)),0)+INDEX('卡片raw data'!S:S,MATCH($D73,'卡片raw data'!$F:$F,))*(IF($F73="UR",0.04,0.033))*(IF($F73="UR",INDEX(绊状态确认!$S:$S,MATCH($G73,绊状态确认!$B:$B,))/2-40)+IF($F73="SR",INDEX(绊状态确认!$R:$R,MATCH($G73,绊状态确认!$B:$B,))/4-15))+IF($F73="R",INDEX(绊状态确认!$Q:$Q,MATCH($G73,绊状态确认!$B:$B,))/6-40/6)))*(INDEX(绊状态确认!$H:$H,MATCH($G73,绊状态确认!$B:$B,))+INDEX(绊状态确认!J:J,MATCH($G73,绊状态确认!$B:$B,)))</f>
        <v>5496.7667999999994</v>
      </c>
      <c r="AM73" s="1106">
        <f>IF($P73="","N/A",(IF($P73=-1,INDEX('卡片raw data'!T:T,MATCH($D73,'卡片raw data'!$F:$F,)),0)+IF($P73=0,INDEX('卡片raw data'!W:W,MATCH($D73,'卡片raw data'!$F:$F,)),0)+IF($P73=1,INDEX('卡片raw data'!Z:Z,MATCH($D73,'卡片raw data'!$F:$F,)),0)+IF($P73=2,INDEX('卡片raw data'!AC:AC,MATCH($D73,'卡片raw data'!$F:$F,)),0)+IF($P73=3,INDEX('卡片raw data'!AF:AF,MATCH($D73,'卡片raw data'!$F:$F,)),0)+IF($P73=4,INDEX('卡片raw data'!AI:AI,MATCH($D73,'卡片raw data'!$F:$F,)),0)+IF($P73=5,INDEX('卡片raw data'!AL:AL,MATCH($D73,'卡片raw data'!$F:$F,)),0)+INDEX('卡片raw data'!T:T,MATCH($D73,'卡片raw data'!$F:$F,))*(IF($F73="UR",0.04,0.033))*(IF($F73="UR",INDEX(绊状态确认!$S:$S,MATCH($G73,绊状态确认!$B:$B,))/2-40)+IF($F73="SR",INDEX(绊状态确认!$R:$R,MATCH($G73,绊状态确认!$B:$B,))/4-15))+IF($F73="R",INDEX(绊状态确认!$Q:$Q,MATCH($G73,绊状态确认!$B:$B,))/6-40/6)))*(INDEX(绊状态确认!$H:$H,MATCH($G73,绊状态确认!$B:$B,))+INDEX(绊状态确认!K:K,MATCH($G73,绊状态确认!$B:$B,)))</f>
        <v>4122.8591999999999</v>
      </c>
      <c r="AN73" s="1106">
        <f>IF($P73="","N/A",(IF($P73=-1,INDEX('卡片raw data'!U:U,MATCH($D73,'卡片raw data'!$F:$F,)),0)+IF($P73=0,INDEX('卡片raw data'!X:X,MATCH($D73,'卡片raw data'!$F:$F,)),0)+IF($P73=1,INDEX('卡片raw data'!AA:AA,MATCH($D73,'卡片raw data'!$F:$F,)),0)+IF($P73=2,INDEX('卡片raw data'!AD:AD,MATCH($D73,'卡片raw data'!$F:$F,)),0)+IF($P73=3,INDEX('卡片raw data'!AG:AG,MATCH($D73,'卡片raw data'!$F:$F,)),0)+IF($P73=4,INDEX('卡片raw data'!AJ:AJ,MATCH($D73,'卡片raw data'!$F:$F,)),0)+IF($P73=5,INDEX('卡片raw data'!AM:AM,MATCH($D73,'卡片raw data'!$F:$F,)),0)+INDEX('卡片raw data'!U:U,MATCH($D73,'卡片raw data'!$F:$F,))*(IF($F73="UR",0.04,0.033))*(IF($F73="UR",INDEX(绊状态确认!$S:$S,MATCH($G73,绊状态确认!$B:$B,))/2-40)+IF($F73="SR",INDEX(绊状态确认!$R:$R,MATCH($G73,绊状态确认!$B:$B,))/4-15))+IF($F73="R",INDEX(绊状态确认!$Q:$Q,MATCH($G73,绊状态确认!$B:$B,))/6-40/6)))*(INDEX(绊状态确认!$H:$H,MATCH($G73,绊状态确认!$B:$B,))+INDEX(绊状态确认!L:L,MATCH($G73,绊状态确认!$B:$B,)))</f>
        <v>4122.8591999999999</v>
      </c>
      <c r="AO73" s="1107">
        <f t="shared" si="109"/>
        <v>1</v>
      </c>
      <c r="AP73" s="1131">
        <f>1+(INDEX(绊状态确认!$T:$T,MATCH($G73,绊状态确认!$B:$B,))+0.2)*$AO73</f>
        <v>1.3</v>
      </c>
      <c r="AQ73" s="1108">
        <f t="shared" si="110"/>
        <v>17679.012849999999</v>
      </c>
      <c r="AR73" s="1097">
        <f>(AM73*(1+$EX$9)+$EX$35)*(1+(INDEX(绊状态确认!$T:$T,MATCH($G73,绊状态确认!$B:$B,))+0.2)*AO73)*IF(J73=$FF$17,1+$FE$17,1)*IF(I73=$FF$14,1+$FE$14,1)</f>
        <v>8331.702808</v>
      </c>
      <c r="AS73" s="1097">
        <f>(AN73*(1+$EX$10)+$EX$36)*(1+(INDEX(绊状态确认!$T:$T,MATCH($G73,绊状态确认!$B:$B,))+0.2)*AO73)*IF(J73=$FF$17,1+$FE$17,1)*IF(I73=$FF$14,1+$FE$14,1)</f>
        <v>10219.674503999999</v>
      </c>
      <c r="AT73" s="1093">
        <f>IF(AND(INDEX('卡片raw data'!AK:AK,MATCH($D73,'卡片raw data'!$F:$F,))&lt;INDEX('卡片raw data'!AM:AM,MATCH($D73,'卡片raw data'!$F:$F,)),INDEX('卡片raw data'!AL:AL,MATCH($D73,'卡片raw data'!$F:$F,))&lt;INDEX('卡片raw data'!AM:AM,MATCH($D73,'卡片raw data'!$F:$F,))),1,0)</f>
        <v>0</v>
      </c>
      <c r="AU73" s="1098">
        <f>MIN(AT73*0.15+AS73*0.00003+INDEX(绊状态确认!M:M,MATCH($G73,绊状态确认!$B:$B,)),1)</f>
        <v>0.33659023511999997</v>
      </c>
      <c r="AV73" s="1109">
        <f>(INDEX(绊状态确认!$N:$N,MATCH($G73,绊状态确认!$B:$B,))+1.5)*$EW$21</f>
        <v>2.6599999999999997</v>
      </c>
      <c r="AW73" s="1101">
        <f t="shared" si="111"/>
        <v>14311.626618003123</v>
      </c>
      <c r="AX73" s="1097">
        <f t="shared" si="112"/>
        <v>707.68529805252854</v>
      </c>
      <c r="AY73" s="1110">
        <f t="shared" si="113"/>
        <v>15019.311916055653</v>
      </c>
      <c r="AZ73" s="429">
        <f t="shared" si="114"/>
        <v>13318.695259999999</v>
      </c>
      <c r="BA73" s="431">
        <f t="shared" si="115"/>
        <v>15982.434311999998</v>
      </c>
      <c r="BB73" s="1097">
        <f>(AM73*(1+$FB$9)+$FB$35)*(1+(INDEX(绊状态确认!$T:$T,MATCH($G73,绊状态确认!$B:$B,))+0.2)*AO73)*IF(J73=$FF$17,1+$FE$17,1)*IF(I73=$FF$14,1+$FE$14,1)*(1+$FE$15)</f>
        <v>8331.702808</v>
      </c>
      <c r="BC73" s="1097">
        <f>(AN73*(1+$FB$10)+$FB$36)*(1+(INDEX(绊状态确认!$T:$T,MATCH($G73,绊状态确认!$B:$B,))+0.2)*AO73)*IF(J73=$FF$17,1+$FE$17,1)*IF(I73=$FF$14,1+$FE$14,1)*(1+$FE$15)</f>
        <v>10219.674503999999</v>
      </c>
      <c r="BD73" s="1104">
        <f>MIN(AT73*0.15+BC73*0.00003+INDEX(绊状态确认!M:M,MATCH($G73,绊状态确认!$B:$B,)),1)</f>
        <v>0.33659023511999997</v>
      </c>
      <c r="BE73" s="432">
        <f>(INDEX(绊状态确认!$N:$N,MATCH($G73,绊状态确认!$B:$B,))+1.5)</f>
        <v>1.9</v>
      </c>
      <c r="BF73" s="1139">
        <f t="array" ref="BF73">SUMPRODUCT(IF(AZ73*AP73*$FI$16:$FI$23*$FA$22&gt;=$FI$24,$FI$24,AZ73*AP73*$FI$16:$FI$23*$FA$22),$FJ$16:$FJ$23)</f>
        <v>26490.884872139999</v>
      </c>
      <c r="BG73" s="1125">
        <f t="array" ref="BG73">SUMPRODUCT(IF(BE73*AZ73*AP73*$FI$16:$FI$23*$FA$22&gt;=$FI$24,$FI$24,BE73*AZ73*AP73*$FI$16:$FI$23*$FA$22),$FJ$16:$FJ$23)</f>
        <v>50082.21757154799</v>
      </c>
      <c r="BH73" s="1110">
        <f t="shared" si="116"/>
        <v>11477.165697409293</v>
      </c>
      <c r="BI73" s="1111">
        <f>IF(O73="vo",$EW$26/$EW$24*0.05,0)+IF(O73="sk",-$EW$26/$EW$24*(0.05-INDEX(绊状态确认!W:W,MATCH($G73,绊状态确认!$B:$B,)))+0.05*$EW$28,0)+IF(O73="sp",0.05*$EW$32*$EW$30*(1-$EW$33)-(0.05-INDEX(绊状态确认!V:V,MATCH($G73,绊状态确认!$B:$B,)))*$EW$28,0)+IF(O73="gd",-(0.05-INDEX(绊状态确认!X:X,MATCH($G73,绊状态确认!$B:$B,)))*$EW$32*$EW$30*(1-$EW$33),0)</f>
        <v>19.999999999999886</v>
      </c>
      <c r="BJ73" s="1097">
        <f>IF(O73="vo",0.05*(1-$FI$26)*$FA$24,0)+IF(O73="sk",-(0.05-INDEX(绊状态确认!W:W,MATCH($G73,绊状态确认!$B:$B,)))*(1-$FI$26)*$FA$24+0.05*$FA$26,0)+IF(O73="sp",0.05*$FA$32*$FA$27*(1-$FA$33)/$FA$30+0.05*$FA$29/$FA$69*$FA$27*(1-$FA$33)-(0.05-INDEX(绊状态确认!V:V,MATCH($G73,绊状态确认!$B:$B,)))*$FA$26,0)+IF(O73="gd",-(0.05-INDEX(绊状态确认!X:X,MATCH($G73,绊状态确认!$B:$B,)))*$FA$32*$FA$27*(1-$FA$33)/$FA$30-(0.05-INDEX(绊状态确认!X:X,MATCH($G73,绊状态确认!$B:$B,)))*$FA$29/$FA$69*$FA$27*(1-$FA$33),0)</f>
        <v>545.83333333333326</v>
      </c>
      <c r="BK73" s="1110">
        <f>IF(O73="vo",$EW$26/$EW$24*0.05+$EW$26*(-HP($EW$62,$EW$65,$EW$64)+HP($EW$62,$EW$65,(1.05-INDEX(绊状态确认!U:U,MATCH($G73,绊状态确认!$B:$B,)))*$EW$64)),0)+IF(O73="sk",-$EW$26/$EW$24*(0.05-INDEX(绊状态确认!W:W,MATCH($G73,绊状态确认!$B:$B,)))+0.05*$EW$29,0)+IF(O73="sp",0.05*$EW$32*$EW$30*(1-$EW$33)-(0.05-INDEX(绊状态确认!V:V,MATCH($G73,绊状态确认!$B:$B,)))*$EW$29,0)+IF(O73="gd",-(0.05-INDEX(绊状态确认!X:X,MATCH($G73,绊状态确认!$B:$B,)))*$EW$32*$EW$30*(1-$EW$33)+$EW$26*(-HP($EW$62,$EW$65,$EW$64)+HP($EW$62,$EW$65,0.95*$EW$64)),0)</f>
        <v>-1780.0000000000005</v>
      </c>
      <c r="BL73" s="1111">
        <f t="shared" si="117"/>
        <v>-2166.6666666666665</v>
      </c>
      <c r="BM73" s="1110">
        <f t="shared" si="118"/>
        <v>-1661.1111111111109</v>
      </c>
      <c r="BN73" s="1113">
        <f t="shared" si="119"/>
        <v>2</v>
      </c>
      <c r="BO73" s="1097">
        <f t="shared" si="120"/>
        <v>3005.1476580839999</v>
      </c>
      <c r="BP73" s="1100">
        <f t="shared" si="121"/>
        <v>147.56068806020068</v>
      </c>
      <c r="BQ73" s="1113" t="s">
        <v>618</v>
      </c>
      <c r="BR73" s="1124" t="s">
        <v>617</v>
      </c>
      <c r="BS73" s="1098">
        <f>IF($P73="","N/A",IF($P73=-1,INDEX('卡片raw data'!AX:AX,MATCH($D73,'卡片raw data'!$F:$F,)),0)+IF($L73="party卡",IF($P73=5,INDEX('卡片raw data'!BD:BD,MATCH($D73,'卡片raw data'!$F:$F,)),IF($P73&gt;=3,INDEX('卡片raw data'!BC:BC,MATCH($D73,'卡片raw data'!$F:$F,)),INDEX('卡片raw data'!BB:BB,MATCH($D73,'卡片raw data'!$F:$F,)))),IF(OR(AND($F73="UR",$P73=0),AND($F73="SR",$P73&gt;=0,$P73&lt;=2),AND($F73="R",$P73&gt;=0,$P73&lt;4)),INDEX('卡片raw data'!AZ:AZ,MATCH($D73,'卡片raw data'!$F:$F,)),0)+IF(OR(AND($F73="UR",$P73&gt;=1,$P73&lt;=4),AND($F73="SR",$P73&lt;=4,$P73&gt;=3),AND($F73="R",$P73=4)),INDEX('卡片raw data'!BA:BA,MATCH($D73,'卡片raw data'!$F:$F,)),0)+IF($P73=5,INDEX('卡片raw data'!BB:BB,MATCH($D73,'卡片raw data'!$F:$F,)),0)))</f>
        <v>2.7E-2</v>
      </c>
      <c r="BT73" s="1101">
        <f t="shared" si="122"/>
        <v>0</v>
      </c>
      <c r="BU73" s="1097">
        <f t="shared" si="123"/>
        <v>0</v>
      </c>
      <c r="BV73" s="1097">
        <f t="shared" si="124"/>
        <v>0</v>
      </c>
      <c r="BW73" s="1112">
        <f t="shared" si="125"/>
        <v>1.2641785714285714</v>
      </c>
      <c r="BX73" s="1100">
        <f t="shared" si="126"/>
        <v>98.679571224892797</v>
      </c>
      <c r="BY73" s="1110">
        <f t="shared" si="127"/>
        <v>98.679571224892797</v>
      </c>
      <c r="BZ73" s="1107" t="s">
        <v>569</v>
      </c>
      <c r="CA73" s="1124"/>
      <c r="CB73" s="1098">
        <f>IF($P73="","N/A",IF($P73=-1,INDEX('卡片raw data'!BE:BE,MATCH($D73,'卡片raw data'!$F:$F,)),0)+IF($L73="party卡",IF($P73=5,INDEX('卡片raw data'!BK:BK,MATCH($D73,'卡片raw data'!$F:$F,)),IF($P73&gt;=3,INDEX('卡片raw data'!BJ:BJ,MATCH($D73,'卡片raw data'!$F:$F,)),INDEX('卡片raw data'!BI:BI,MATCH($D73,'卡片raw data'!$F:$F,)))),IF(OR(AND($F73="UR",$P73=0),AND($F73="SR",$P73&gt;=0,$P73&lt;=2),AND($F73="R",$P73&gt;=0,$P73&lt;4)),INDEX('卡片raw data'!BG:BG,MATCH($D73,'卡片raw data'!$F:$F,)),0)+IF(OR(AND($F73="UR",$P73&gt;=1,$P73&lt;=4),AND($F73="SR",$P73&lt;=4,$P73&gt;=3),AND($F73="R",$P73=4)),INDEX('卡片raw data'!BH:BH,MATCH($D73,'卡片raw data'!$F:$F,)),0)+IF($P73=5,INDEX('卡片raw data'!BI:BI,MATCH($D73,'卡片raw data'!$F:$F,)),0)))</f>
        <v>0</v>
      </c>
      <c r="CC73" s="1101">
        <f t="shared" si="128"/>
        <v>0</v>
      </c>
      <c r="CD73" s="1097">
        <f>IF(BZ73="ap",CB73*(1-$FI$26)*$FB$5/$FB$11*(+IF(CA73="全员",$FA$24,0)+IF(CA73="同作战",$FA$24,0)+IF(CA73="仲间",$FA$24*2/3,0)+IF(CA73="同属性",$FA$24*$FA$37/3,0)+IF(CA73="同年级",$FA$24*$FA$40/3,0)+IF(CA73="同学校",$FA$24*$FA$43/3,0)+IF(CA73="同小队",$FA$24*$FA$46/3,0)+IF(CA73="同type",$FA$24*INDEX($FB$49:$FB$52,MATCH(X73,$FA$49:$FA$52,))/3,0)+IF(CA73="自身",#REF!/3,0)),0)+IF(BZ73="te",CB73*(1-$FI$27)*($FA$20-1)*$FB$7/$FB$13*(+IF(CA73="全员",$FA$19*$FA$24/(1+($FA$20-1)*$FA$19),0)+IF(CA73="同作战",$FA$19*$FA$24/(1+($FA$20-1)*$FA$19),0)+IF(CA73="仲间",$FA$19*$FA$24*2/3/(1+($FA$20-1)*$FA$19),0)+IF(CA73="同属性",$FA$19*$FA$24*$FA$37/3/(1+($FA$20-1)*$FA$19),0)+IF(CA73="同年级",$FA$19*$FA$24*$FA$40/3/(1+($FA$20-1)*$FA$19),0)+IF(CA73="同学校",$FA$19*$FA$24*$FA$43/3/(1+($FA$20-1)*$FA$19),0)+IF(CA73="同小队",$FA$19*$FA$24*$FA$46/3/(1+($FA$20-1)*$FA$19),0)+IF(CA73="同type",$FA$19*$FA$24*INDEX($FB$49:$FB$52,MATCH(X73,$FA$49:$FA$52,))/3/(1+($FA$20-1)*$FA$19),0)+IF(CA73="自身",$FA$19*#REF!/3/(1+(BH73-1)*$BD73),0)),0)</f>
        <v>0</v>
      </c>
      <c r="CE73" s="1097">
        <f t="shared" si="129"/>
        <v>0</v>
      </c>
      <c r="CF73" s="1112">
        <f t="shared" si="130"/>
        <v>0</v>
      </c>
      <c r="CG73" s="1100">
        <f t="shared" si="131"/>
        <v>0</v>
      </c>
      <c r="CH73" s="1110">
        <f t="shared" si="132"/>
        <v>0</v>
      </c>
      <c r="CI73" s="1113"/>
      <c r="CJ73" s="1114"/>
      <c r="CK73" s="1115" t="s">
        <v>569</v>
      </c>
      <c r="CL73" s="1115"/>
      <c r="CM73" s="1119"/>
      <c r="CN73" s="1115"/>
      <c r="CO73" s="1092"/>
      <c r="CP73" s="1117">
        <f t="shared" si="133"/>
        <v>0</v>
      </c>
      <c r="CQ73" s="1117">
        <f t="shared" si="134"/>
        <v>0</v>
      </c>
      <c r="CR73" s="1117">
        <f t="shared" si="135"/>
        <v>0</v>
      </c>
      <c r="CS73" s="1118">
        <f t="shared" si="136"/>
        <v>0</v>
      </c>
      <c r="CT73" s="1109">
        <f t="shared" si="137"/>
        <v>0</v>
      </c>
      <c r="CU73" s="1101">
        <f t="shared" si="138"/>
        <v>0</v>
      </c>
      <c r="CV73" s="1108">
        <f t="shared" si="139"/>
        <v>0</v>
      </c>
      <c r="CW73" s="1097">
        <f t="shared" si="140"/>
        <v>0</v>
      </c>
      <c r="CX73" s="1097">
        <f t="shared" si="141"/>
        <v>0</v>
      </c>
      <c r="CY73" s="1110">
        <f t="shared" si="142"/>
        <v>0</v>
      </c>
      <c r="CZ73" s="437"/>
      <c r="DA73" s="438"/>
      <c r="DB73" s="439" t="s">
        <v>569</v>
      </c>
      <c r="DC73" s="439"/>
      <c r="DD73" s="443"/>
      <c r="DE73" s="411"/>
      <c r="DF73" s="411"/>
      <c r="DG73" s="1116">
        <f t="shared" si="143"/>
        <v>0</v>
      </c>
      <c r="DH73" s="1116">
        <f t="shared" si="144"/>
        <v>0</v>
      </c>
      <c r="DI73" s="1116">
        <f t="shared" si="145"/>
        <v>0</v>
      </c>
      <c r="DJ73" s="442">
        <f t="shared" si="146"/>
        <v>0</v>
      </c>
      <c r="DK73" s="1109">
        <f t="shared" si="147"/>
        <v>0</v>
      </c>
      <c r="DL73" s="1101">
        <f t="shared" si="148"/>
        <v>0</v>
      </c>
      <c r="DM73" s="1097">
        <f t="shared" si="149"/>
        <v>0</v>
      </c>
      <c r="DN73" s="1097">
        <f t="shared" si="150"/>
        <v>0</v>
      </c>
      <c r="DO73" s="1097">
        <f t="shared" si="151"/>
        <v>0</v>
      </c>
      <c r="DP73" s="1110">
        <f t="shared" si="152"/>
        <v>0</v>
      </c>
      <c r="DQ73" s="1113" t="s">
        <v>256</v>
      </c>
      <c r="DR73" s="1120">
        <f t="shared" si="153"/>
        <v>0.3</v>
      </c>
      <c r="DS73" s="1124"/>
      <c r="DT73" s="1093" t="s">
        <v>546</v>
      </c>
      <c r="DU73" s="1093"/>
      <c r="DV73" s="1097">
        <f>IF($P73="","N/A",IF(P73=-1,INDEX('卡片raw data'!AN:AN,MATCH(D73,'卡片raw data'!$F:$F,)),0)+IF(AND(L73&lt;&gt;"party卡",P73&lt;=2,P73&gt;=0),INDEX('卡片raw data'!AP:AP,MATCH(D73,'卡片raw data'!$F:$F,)),0)+IF(OR(AND(L73="party卡",P73&lt;=1),AND(P73&lt;=4,L73&lt;&gt;"party卡",P73&gt;=3)),INDEX('卡片raw data'!AQ:AQ,MATCH(D73,'卡片raw data'!$F:$F,)),0)+IF(OR(P73=5,AND(L73="party卡",P73&gt;=2)),INDEX('卡片raw data'!AR:AR,MATCH(D73,'卡片raw data'!$F:$F,)),0))</f>
        <v>150</v>
      </c>
      <c r="DW73" s="1098">
        <f t="shared" si="154"/>
        <v>0.3</v>
      </c>
      <c r="DX73" s="1098">
        <f t="shared" si="155"/>
        <v>0.3</v>
      </c>
      <c r="DY73" s="1125">
        <f t="shared" si="156"/>
        <v>15</v>
      </c>
      <c r="DZ73" s="1125">
        <f t="shared" si="157"/>
        <v>12.975</v>
      </c>
      <c r="EA73" s="1098">
        <f t="shared" si="158"/>
        <v>0</v>
      </c>
      <c r="EB73" s="1121">
        <f t="shared" si="159"/>
        <v>0</v>
      </c>
      <c r="EC73" s="1101">
        <f t="shared" si="160"/>
        <v>21.450000000000003</v>
      </c>
      <c r="ED73" s="1097">
        <f t="shared" si="161"/>
        <v>0</v>
      </c>
      <c r="EE73" s="1110">
        <f t="shared" si="162"/>
        <v>21.450000000000003</v>
      </c>
      <c r="EF73" s="1092" t="s">
        <v>711</v>
      </c>
      <c r="EG73" s="1120">
        <f t="shared" si="163"/>
        <v>0.3</v>
      </c>
      <c r="EH73" s="1124"/>
      <c r="EI73" s="1093"/>
      <c r="EJ73" s="1093"/>
      <c r="EK73" s="1097">
        <f>IF($P73="","N/A",IF(P73=-1,INDEX('卡片raw data'!AS:AS,MATCH(D73,'卡片raw data'!$F:$F,)),0)+IF(AND(L73&lt;&gt;"party卡",P73&lt;=2,P73&gt;=0),INDEX('卡片raw data'!AU:AU,MATCH(D73,'卡片raw data'!$F:$F,)),0)+IF(OR(AND(L73="party卡",P73&lt;=1),AND(P73&lt;=4,L73&lt;&gt;"party卡",P73&gt;=3)),INDEX('卡片raw data'!AV:AV,MATCH(D73,'卡片raw data'!$F:$F,)),0)+IF(OR(P73=5,AND(L73="party卡",P73&gt;=2)),INDEX('卡片raw data'!AW:AW,MATCH(D73,'卡片raw data'!$F:$F,)),0))</f>
        <v>0</v>
      </c>
      <c r="EL73" s="1098">
        <f t="shared" si="164"/>
        <v>0.3</v>
      </c>
      <c r="EM73" s="1098">
        <f t="shared" si="165"/>
        <v>0.3</v>
      </c>
      <c r="EN73" s="1125">
        <f t="shared" si="166"/>
        <v>0</v>
      </c>
      <c r="EO73" s="1125">
        <f t="shared" si="167"/>
        <v>0</v>
      </c>
      <c r="EP73" s="1098">
        <f t="shared" si="168"/>
        <v>0</v>
      </c>
      <c r="EQ73" s="1121">
        <f t="shared" si="169"/>
        <v>0</v>
      </c>
      <c r="ER73" s="1101">
        <f t="shared" si="170"/>
        <v>0</v>
      </c>
      <c r="ES73" s="1097">
        <f t="shared" si="171"/>
        <v>0</v>
      </c>
      <c r="ET73" s="1122">
        <f t="shared" si="172"/>
        <v>0</v>
      </c>
      <c r="EV73" s="1248" t="s">
        <v>250</v>
      </c>
      <c r="EW73" s="1321">
        <v>6</v>
      </c>
      <c r="EX73" s="1322"/>
      <c r="EY73" s="1232"/>
      <c r="EZ73" s="1212"/>
      <c r="FA73" s="1212"/>
      <c r="FB73" s="2"/>
    </row>
    <row r="74" spans="2:158" ht="16.5" customHeight="1">
      <c r="B74" s="1123" t="str">
        <f>INDEX('卡片raw data'!B:B,MATCH($D74,'卡片raw data'!$F:$F,))</f>
        <v>啦啦露</v>
      </c>
      <c r="C74" s="449" t="s">
        <v>66</v>
      </c>
      <c r="D74" s="408">
        <v>71</v>
      </c>
      <c r="E74" s="1090">
        <v>101092001</v>
      </c>
      <c r="F74" s="1090" t="str">
        <f>INDEX('卡片raw data'!C:C,MATCH($D74,'卡片raw data'!$F:$F,))</f>
        <v>SR</v>
      </c>
      <c r="G74" s="1094" t="s">
        <v>346</v>
      </c>
      <c r="H74" s="411">
        <f>IFERROR(INDEX(绊状态确认!C:C,MATCH($G74,绊状态确认!$B:$B,)),"")</f>
        <v>109</v>
      </c>
      <c r="I74" s="1124" t="str">
        <f>IFERROR(INDEX(绊状态确认!D:D,MATCH($G74,绊状态确认!$B:$B,)),"")</f>
        <v>水</v>
      </c>
      <c r="J74" s="1124" t="str">
        <f>IFERROR(INDEX(绊状态确认!E:E,MATCH($G74,绊状态确认!$B:$B,)),"")</f>
        <v>1年级</v>
      </c>
      <c r="K74" s="451" t="str">
        <f>IFERROR(INDEX(绊状态确认!F:F,MATCH($G74,绊状态确认!$B:$B,)),"")</f>
        <v>CYaRon!</v>
      </c>
      <c r="L74" s="1094" t="str">
        <f>INDEX('卡片raw data'!E:E,MATCH($D74,'卡片raw data'!$F:$F,))</f>
        <v>卡池卡</v>
      </c>
      <c r="M74" s="415">
        <v>43735</v>
      </c>
      <c r="N74" s="416">
        <v>0</v>
      </c>
      <c r="O74" s="1091" t="str">
        <f>INDEX('卡片raw data'!D:D,MATCH($D74,'卡片raw data'!$F:$F,))</f>
        <v>vo</v>
      </c>
      <c r="P74" s="417">
        <v>5</v>
      </c>
      <c r="Q74" s="1095">
        <f t="shared" si="88"/>
        <v>33034.486996077248</v>
      </c>
      <c r="R74" s="1096">
        <f t="shared" si="89"/>
        <v>0.38400000000000001</v>
      </c>
      <c r="S74" s="1097">
        <f t="shared" si="90"/>
        <v>14698.143783985448</v>
      </c>
      <c r="T74" s="1098">
        <f t="shared" si="91"/>
        <v>0.73399999999999999</v>
      </c>
      <c r="U74" s="1099">
        <f t="shared" si="92"/>
        <v>-13.807823528457142</v>
      </c>
      <c r="V74" s="1100">
        <f t="shared" si="93"/>
        <v>32621.204512267457</v>
      </c>
      <c r="W74" s="1101">
        <f t="shared" si="94"/>
        <v>5341.6499622443098</v>
      </c>
      <c r="X74" s="1096">
        <f t="shared" si="95"/>
        <v>6.2E-2</v>
      </c>
      <c r="Y74" s="1097">
        <f t="shared" si="96"/>
        <v>891.38596643190976</v>
      </c>
      <c r="Z74" s="1102">
        <f t="shared" si="97"/>
        <v>11.192176471542858</v>
      </c>
      <c r="AA74" s="1103">
        <f t="shared" si="98"/>
        <v>6233.0359286762196</v>
      </c>
      <c r="AB74" s="1101">
        <f t="shared" si="99"/>
        <v>5990.2609984474393</v>
      </c>
      <c r="AC74" s="1104">
        <f t="shared" si="100"/>
        <v>6.9000000000000006E-2</v>
      </c>
      <c r="AD74" s="1105">
        <f t="shared" si="101"/>
        <v>-3.8207812500000026E-3</v>
      </c>
      <c r="AE74" s="1128">
        <f t="shared" si="102"/>
        <v>-12.27536231884058</v>
      </c>
      <c r="AF74" s="1130">
        <f t="shared" si="103"/>
        <v>0</v>
      </c>
      <c r="AG74" s="420">
        <f t="shared" si="104"/>
        <v>0</v>
      </c>
      <c r="AH74" s="420">
        <f t="shared" si="105"/>
        <v>0</v>
      </c>
      <c r="AI74" s="1097">
        <f t="shared" si="106"/>
        <v>0</v>
      </c>
      <c r="AJ74" s="420">
        <f t="shared" si="107"/>
        <v>0</v>
      </c>
      <c r="AK74" s="518">
        <f t="shared" si="108"/>
        <v>0</v>
      </c>
      <c r="AL74" s="1106">
        <f>IF($P74="","N/A",(IF($P74=-1,INDEX('卡片raw data'!S:S,MATCH($D74,'卡片raw data'!$F:$F,)),0)+IF($P74=0,INDEX('卡片raw data'!V:V,MATCH($D74,'卡片raw data'!$F:$F,)),0)+IF($P74=1,INDEX('卡片raw data'!Y:Y,MATCH($D74,'卡片raw data'!$F:$F,)),0)+IF($P74=2,INDEX('卡片raw data'!AB:AB,MATCH($D74,'卡片raw data'!$F:$F,)),0)+IF($P74=3,INDEX('卡片raw data'!AE:AE,MATCH($D74,'卡片raw data'!$F:$F,)),0)+IF($P74=4,INDEX('卡片raw data'!AH:AH,MATCH($D74,'卡片raw data'!$F:$F,)),0)+IF($P74=5,INDEX('卡片raw data'!AK:AK,MATCH($D74,'卡片raw data'!$F:$F,)),0)+INDEX('卡片raw data'!S:S,MATCH($D74,'卡片raw data'!$F:$F,))*(IF($F74="UR",0.04,0.033))*(IF($F74="UR",INDEX(绊状态确认!$S:$S,MATCH($G74,绊状态确认!$B:$B,))/2-40)+IF($F74="SR",INDEX(绊状态确认!$R:$R,MATCH($G74,绊状态确认!$B:$B,))/4-15))+IF($F74="R",INDEX(绊状态确认!$Q:$Q,MATCH($G74,绊状态确认!$B:$B,))/6-40/6)))*(INDEX(绊状态确认!$H:$H,MATCH($G74,绊状态确认!$B:$B,))+INDEX(绊状态确认!J:J,MATCH($G74,绊状态确认!$B:$B,)))</f>
        <v>5671.8178559999997</v>
      </c>
      <c r="AM74" s="1106">
        <f>IF($P74="","N/A",(IF($P74=-1,INDEX('卡片raw data'!T:T,MATCH($D74,'卡片raw data'!$F:$F,)),0)+IF($P74=0,INDEX('卡片raw data'!W:W,MATCH($D74,'卡片raw data'!$F:$F,)),0)+IF($P74=1,INDEX('卡片raw data'!Z:Z,MATCH($D74,'卡片raw data'!$F:$F,)),0)+IF($P74=2,INDEX('卡片raw data'!AC:AC,MATCH($D74,'卡片raw data'!$F:$F,)),0)+IF($P74=3,INDEX('卡片raw data'!AF:AF,MATCH($D74,'卡片raw data'!$F:$F,)),0)+IF($P74=4,INDEX('卡片raw data'!AI:AI,MATCH($D74,'卡片raw data'!$F:$F,)),0)+IF($P74=5,INDEX('卡片raw data'!AL:AL,MATCH($D74,'卡片raw data'!$F:$F,)),0)+INDEX('卡片raw data'!T:T,MATCH($D74,'卡片raw data'!$F:$F,))*(IF($F74="UR",0.04,0.033))*(IF($F74="UR",INDEX(绊状态确认!$S:$S,MATCH($G74,绊状态确认!$B:$B,))/2-40)+IF($F74="SR",INDEX(绊状态确认!$R:$R,MATCH($G74,绊状态确认!$B:$B,))/4-15))+IF($F74="R",INDEX(绊状态确认!$Q:$Q,MATCH($G74,绊状态确认!$B:$B,))/6-40/6)))*(INDEX(绊状态确认!$H:$H,MATCH($G74,绊状态确认!$B:$B,))+INDEX(绊状态确认!K:K,MATCH($G74,绊状态确认!$B:$B,)))</f>
        <v>5671.8178559999997</v>
      </c>
      <c r="AN74" s="1106">
        <f>IF($P74="","N/A",(IF($P74=-1,INDEX('卡片raw data'!U:U,MATCH($D74,'卡片raw data'!$F:$F,)),0)+IF($P74=0,INDEX('卡片raw data'!X:X,MATCH($D74,'卡片raw data'!$F:$F,)),0)+IF($P74=1,INDEX('卡片raw data'!AA:AA,MATCH($D74,'卡片raw data'!$F:$F,)),0)+IF($P74=2,INDEX('卡片raw data'!AD:AD,MATCH($D74,'卡片raw data'!$F:$F,)),0)+IF($P74=3,INDEX('卡片raw data'!AG:AG,MATCH($D74,'卡片raw data'!$F:$F,)),0)+IF($P74=4,INDEX('卡片raw data'!AJ:AJ,MATCH($D74,'卡片raw data'!$F:$F,)),0)+IF($P74=5,INDEX('卡片raw data'!AM:AM,MATCH($D74,'卡片raw data'!$F:$F,)),0)+INDEX('卡片raw data'!U:U,MATCH($D74,'卡片raw data'!$F:$F,))*(IF($F74="UR",0.04,0.033))*(IF($F74="UR",INDEX(绊状态确认!$S:$S,MATCH($G74,绊状态确认!$B:$B,))/2-40)+IF($F74="SR",INDEX(绊状态确认!$R:$R,MATCH($G74,绊状态确认!$B:$B,))/4-15))+IF($F74="R",INDEX(绊状态确认!$Q:$Q,MATCH($G74,绊状态确认!$B:$B,))/6-40/6)))*(INDEX(绊状态确认!$H:$H,MATCH($G74,绊状态确认!$B:$B,))+INDEX(绊状态确认!L:L,MATCH($G74,绊状态确认!$B:$B,)))</f>
        <v>7562.4238079999996</v>
      </c>
      <c r="AO74" s="1107">
        <f t="shared" si="109"/>
        <v>1</v>
      </c>
      <c r="AP74" s="1131">
        <f>1+(INDEX(绊状态确认!$T:$T,MATCH($G74,绊状态确认!$B:$B,))+0.2)*$AO74</f>
        <v>1.3</v>
      </c>
      <c r="AQ74" s="1108">
        <f t="shared" si="110"/>
        <v>18138.521871999998</v>
      </c>
      <c r="AR74" s="1097">
        <f>(AM74*(1+$EX$9)+$EX$35)*(1+(INDEX(绊状态确认!$T:$T,MATCH($G74,绊状态确认!$B:$B,))+0.2)*AO74)*IF(J74=$FF$17,1+$FE$17,1)*IF(I74=$FF$14,1+$FE$14,1)</f>
        <v>10446.031373440001</v>
      </c>
      <c r="AS74" s="1097">
        <f>(AN74*(1+$EX$10)+$EX$36)*(1+(INDEX(绊状态确认!$T:$T,MATCH($G74,绊状态确认!$B:$B,))+0.2)*AO74)*IF(J74=$FF$17,1+$FE$17,1)*IF(I74=$FF$14,1+$FE$14,1)</f>
        <v>15361.82359296</v>
      </c>
      <c r="AT74" s="1093">
        <f>IF(AND(INDEX('卡片raw data'!AK:AK,MATCH($D74,'卡片raw data'!$F:$F,))&lt;INDEX('卡片raw data'!AM:AM,MATCH($D74,'卡片raw data'!$F:$F,)),INDEX('卡片raw data'!AL:AL,MATCH($D74,'卡片raw data'!$F:$F,))&lt;INDEX('卡片raw data'!AM:AM,MATCH($D74,'卡片raw data'!$F:$F,))),1,0)</f>
        <v>1</v>
      </c>
      <c r="AU74" s="1098">
        <f>MIN(AT74*0.15+AS74*0.00003+INDEX(绊状态确认!M:M,MATCH($G74,绊状态确认!$B:$B,)),1)</f>
        <v>0.64085470778880005</v>
      </c>
      <c r="AV74" s="1109">
        <f>(INDEX(绊状态确认!$N:$N,MATCH($G74,绊状态确认!$B:$B,))+1.5)*$EW$21</f>
        <v>2.6599999999999997</v>
      </c>
      <c r="AW74" s="1101">
        <f t="shared" si="111"/>
        <v>19441.547210971246</v>
      </c>
      <c r="AX74" s="1097">
        <f t="shared" si="112"/>
        <v>891.38596643190999</v>
      </c>
      <c r="AY74" s="1110">
        <f t="shared" si="113"/>
        <v>20332.933177403156</v>
      </c>
      <c r="AZ74" s="429">
        <f t="shared" si="114"/>
        <v>13660.044819199999</v>
      </c>
      <c r="BA74" s="431">
        <f t="shared" si="115"/>
        <v>16392.053783039999</v>
      </c>
      <c r="BB74" s="1097">
        <f>(AM74*(1+$FB$9)+$FB$35)*(1+(INDEX(绊状态确认!$T:$T,MATCH($G74,绊状态确认!$B:$B,))+0.2)*AO74)*IF(J74=$FF$17,1+$FE$17,1)*IF(I74=$FF$14,1+$FE$14,1)*(1+$FE$15)</f>
        <v>10446.031373440001</v>
      </c>
      <c r="BC74" s="1097">
        <f>(AN74*(1+$FB$10)+$FB$36)*(1+(INDEX(绊状态确认!$T:$T,MATCH($G74,绊状态确认!$B:$B,))+0.2)*AO74)*IF(J74=$FF$17,1+$FE$17,1)*IF(I74=$FF$14,1+$FE$14,1)*(1+$FE$15)</f>
        <v>15361.82359296</v>
      </c>
      <c r="BD74" s="1104">
        <f>MIN(AT74*0.15+BC74*0.00003+INDEX(绊状态确认!M:M,MATCH($G74,绊状态确认!$B:$B,)),1)</f>
        <v>0.64085470778880005</v>
      </c>
      <c r="BE74" s="432">
        <f>(INDEX(绊状态确认!$N:$N,MATCH($G74,绊状态确认!$B:$B,))+1.5)</f>
        <v>1.9</v>
      </c>
      <c r="BF74" s="1139">
        <f t="array" ref="BF74">SUMPRODUCT(IF(AZ74*AP74*$FI$16:$FI$23*$FA$22&gt;=$FI$24,$FI$24,AZ74*AP74*$FI$16:$FI$23*$FA$22),$FJ$16:$FJ$23)</f>
        <v>27169.829145388805</v>
      </c>
      <c r="BG74" s="1125">
        <f t="array" ref="BG74">SUMPRODUCT(IF(BE74*AZ74*AP74*$FI$16:$FI$23*$FA$22&gt;=$FI$24,$FI$24,BE74*AZ74*AP74*$FI$16:$FI$23*$FA$22),$FJ$16:$FJ$23)</f>
        <v>51138.760415971832</v>
      </c>
      <c r="BH74" s="1110">
        <f t="shared" si="116"/>
        <v>14176.810530269375</v>
      </c>
      <c r="BI74" s="1111">
        <f>IF(O74="vo",$EW$26/$EW$24*0.05,0)+IF(O74="sk",-$EW$26/$EW$24*(0.05-INDEX(绊状态确认!W:W,MATCH($G74,绊状态确认!$B:$B,)))+0.05*$EW$28,0)+IF(O74="sp",0.05*$EW$32*$EW$30*(1-$EW$33)-(0.05-INDEX(绊状态确认!V:V,MATCH($G74,绊状态确认!$B:$B,)))*$EW$28,0)+IF(O74="gd",-(0.05-INDEX(绊状态确认!X:X,MATCH($G74,绊状态确认!$B:$B,)))*$EW$32*$EW$30*(1-$EW$33),0)</f>
        <v>7726.3029277443748</v>
      </c>
      <c r="BJ74" s="1097">
        <f>IF(O74="vo",0.05*(1-$FI$26)*$FA$24,0)+IF(O74="sk",-(0.05-INDEX(绊状态确认!W:W,MATCH($G74,绊状态确认!$B:$B,)))*(1-$FI$26)*$FA$24+0.05*$FA$26,0)+IF(O74="sp",0.05*$FA$32*$FA$27*(1-$FA$33)/$FA$30+0.05*$FA$29/$FA$69*$FA$27*(1-$FA$33)-(0.05-INDEX(绊状态确认!V:V,MATCH($G74,绊状态确认!$B:$B,)))*$FA$26,0)+IF(O74="gd",-(0.05-INDEX(绊状态确认!X:X,MATCH($G74,绊状态确认!$B:$B,)))*$FA$32*$FA$27*(1-$FA$33)/$FA$30-(0.05-INDEX(绊状态确认!X:X,MATCH($G74,绊状态确认!$B:$B,)))*$FA$29/$FA$69*$FA$27*(1-$FA$33),0)</f>
        <v>393.93433687500004</v>
      </c>
      <c r="BK74" s="1110">
        <f>IF(O74="vo",$EW$26/$EW$24*0.05+$EW$26*(-HP($EW$62,$EW$65,$EW$64)+HP($EW$62,$EW$65,(1.05-INDEX(绊状态确认!U:U,MATCH($G74,绊状态确认!$B:$B,)))*$EW$64)),0)+IF(O74="sk",-$EW$26/$EW$24*(0.05-INDEX(绊状态确认!W:W,MATCH($G74,绊状态确认!$B:$B,)))+0.05*$EW$29,0)+IF(O74="sp",0.05*$EW$32*$EW$30*(1-$EW$33)-(0.05-INDEX(绊状态确认!V:V,MATCH($G74,绊状态确认!$B:$B,)))*$EW$29,0)+IF(O74="gd",-(0.05-INDEX(绊状态确认!X:X,MATCH($G74,绊状态确认!$B:$B,)))*$EW$32*$EW$30*(1-$EW$33)+$EW$26*(-HP($EW$62,$EW$65,$EW$64)+HP($EW$62,$EW$65,0.95*$EW$64)),0)</f>
        <v>6421.6344775026746</v>
      </c>
      <c r="BL74" s="1111">
        <f t="shared" si="117"/>
        <v>-1083.3333333333333</v>
      </c>
      <c r="BM74" s="1110">
        <f t="shared" si="118"/>
        <v>-830.55555555555543</v>
      </c>
      <c r="BN74" s="1113">
        <f t="shared" si="119"/>
        <v>3</v>
      </c>
      <c r="BO74" s="1097">
        <f t="shared" si="120"/>
        <v>4507.7214871259994</v>
      </c>
      <c r="BP74" s="1100">
        <f t="shared" si="121"/>
        <v>221.34103209030098</v>
      </c>
      <c r="BQ74" s="1113" t="s">
        <v>619</v>
      </c>
      <c r="BR74" s="1124" t="s">
        <v>620</v>
      </c>
      <c r="BS74" s="1098">
        <f>IF($P74="","N/A",IF($P74=-1,INDEX('卡片raw data'!AX:AX,MATCH($D74,'卡片raw data'!$F:$F,)),0)+IF($L74="party卡",IF($P74=5,INDEX('卡片raw data'!BD:BD,MATCH($D74,'卡片raw data'!$F:$F,)),IF($P74&gt;=3,INDEX('卡片raw data'!BC:BC,MATCH($D74,'卡片raw data'!$F:$F,)),INDEX('卡片raw data'!BB:BB,MATCH($D74,'卡片raw data'!$F:$F,)))),IF(OR(AND($F74="UR",$P74=0),AND($F74="SR",$P74&gt;=0,$P74&lt;=2),AND($F74="R",$P74&gt;=0,$P74&lt;4)),INDEX('卡片raw data'!AZ:AZ,MATCH($D74,'卡片raw data'!$F:$F,)),0)+IF(OR(AND($F74="UR",$P74&gt;=1,$P74&lt;=4),AND($F74="SR",$P74&lt;=4,$P74&gt;=3),AND($F74="R",$P74=4)),INDEX('卡片raw data'!BA:BA,MATCH($D74,'卡片raw data'!$F:$F,)),0)+IF($P74=5,INDEX('卡片raw data'!BB:BB,MATCH($D74,'卡片raw data'!$F:$F,)),0)))</f>
        <v>3.6999999999999998E-2</v>
      </c>
      <c r="BT74" s="1101">
        <f t="shared" si="122"/>
        <v>1482.5395113214399</v>
      </c>
      <c r="BU74" s="1097">
        <f t="shared" si="123"/>
        <v>54.597454582274246</v>
      </c>
      <c r="BV74" s="1097">
        <f t="shared" si="124"/>
        <v>833.92847511830996</v>
      </c>
      <c r="BW74" s="1112">
        <f t="shared" si="125"/>
        <v>0</v>
      </c>
      <c r="BX74" s="1100">
        <f t="shared" si="126"/>
        <v>1482.5395113214399</v>
      </c>
      <c r="BY74" s="1110">
        <f t="shared" si="127"/>
        <v>833.92847511830996</v>
      </c>
      <c r="BZ74" s="1107" t="s">
        <v>569</v>
      </c>
      <c r="CA74" s="1124"/>
      <c r="CB74" s="1098">
        <f>IF($P74="","N/A",IF($P74=-1,INDEX('卡片raw data'!BE:BE,MATCH($D74,'卡片raw data'!$F:$F,)),0)+IF($L74="party卡",IF($P74=5,INDEX('卡片raw data'!BK:BK,MATCH($D74,'卡片raw data'!$F:$F,)),IF($P74&gt;=3,INDEX('卡片raw data'!BJ:BJ,MATCH($D74,'卡片raw data'!$F:$F,)),INDEX('卡片raw data'!BI:BI,MATCH($D74,'卡片raw data'!$F:$F,)))),IF(OR(AND($F74="UR",$P74=0),AND($F74="SR",$P74&gt;=0,$P74&lt;=2),AND($F74="R",$P74&gt;=0,$P74&lt;4)),INDEX('卡片raw data'!BG:BG,MATCH($D74,'卡片raw data'!$F:$F,)),0)+IF(OR(AND($F74="UR",$P74&gt;=1,$P74&lt;=4),AND($F74="SR",$P74&lt;=4,$P74&gt;=3),AND($F74="R",$P74=4)),INDEX('卡片raw data'!BH:BH,MATCH($D74,'卡片raw data'!$F:$F,)),0)+IF($P74=5,INDEX('卡片raw data'!BI:BI,MATCH($D74,'卡片raw data'!$F:$F,)),0)))</f>
        <v>0</v>
      </c>
      <c r="CC74" s="1101">
        <f t="shared" si="128"/>
        <v>0</v>
      </c>
      <c r="CD74" s="1097">
        <f>IF(BZ74="ap",CB74*(1-$FI$26)*$FB$5/$FB$11*(+IF(CA74="全员",$FA$24,0)+IF(CA74="同作战",$FA$24,0)+IF(CA74="仲间",$FA$24*2/3,0)+IF(CA74="同属性",$FA$24*$FA$37/3,0)+IF(CA74="同年级",$FA$24*$FA$40/3,0)+IF(CA74="同学校",$FA$24*$FA$43/3,0)+IF(CA74="同小队",$FA$24*$FA$46/3,0)+IF(CA74="同type",$FA$24*INDEX($FB$49:$FB$52,MATCH(X74,$FA$49:$FA$52,))/3,0)+IF(CA74="自身",#REF!/3,0)),0)+IF(BZ74="te",CB74*(1-$FI$27)*($FA$20-1)*$FB$7/$FB$13*(+IF(CA74="全员",$FA$19*$FA$24/(1+($FA$20-1)*$FA$19),0)+IF(CA74="同作战",$FA$19*$FA$24/(1+($FA$20-1)*$FA$19),0)+IF(CA74="仲间",$FA$19*$FA$24*2/3/(1+($FA$20-1)*$FA$19),0)+IF(CA74="同属性",$FA$19*$FA$24*$FA$37/3/(1+($FA$20-1)*$FA$19),0)+IF(CA74="同年级",$FA$19*$FA$24*$FA$40/3/(1+($FA$20-1)*$FA$19),0)+IF(CA74="同学校",$FA$19*$FA$24*$FA$43/3/(1+($FA$20-1)*$FA$19),0)+IF(CA74="同小队",$FA$19*$FA$24*$FA$46/3/(1+($FA$20-1)*$FA$19),0)+IF(CA74="同type",$FA$19*$FA$24*INDEX($FB$49:$FB$52,MATCH(X74,$FA$49:$FA$52,))/3/(1+($FA$20-1)*$FA$19),0)+IF(CA74="自身",$FA$19*#REF!/3/(1+(BH74-1)*$BD74),0)),0)</f>
        <v>0</v>
      </c>
      <c r="CE74" s="1097">
        <f t="shared" si="129"/>
        <v>0</v>
      </c>
      <c r="CF74" s="1112">
        <f t="shared" si="130"/>
        <v>0</v>
      </c>
      <c r="CG74" s="1100">
        <f t="shared" si="131"/>
        <v>0</v>
      </c>
      <c r="CH74" s="1110">
        <f t="shared" si="132"/>
        <v>0</v>
      </c>
      <c r="CI74" s="1113" t="s">
        <v>571</v>
      </c>
      <c r="CJ74" s="1114">
        <v>0.8</v>
      </c>
      <c r="CK74" s="1115" t="s">
        <v>561</v>
      </c>
      <c r="CL74" s="1115" t="s">
        <v>178</v>
      </c>
      <c r="CM74" s="1119">
        <v>0.08</v>
      </c>
      <c r="CN74" s="1115">
        <v>10</v>
      </c>
      <c r="CO74" s="1092"/>
      <c r="CP74" s="1117">
        <f t="shared" si="133"/>
        <v>0</v>
      </c>
      <c r="CQ74" s="1117">
        <f t="shared" si="134"/>
        <v>0</v>
      </c>
      <c r="CR74" s="1117">
        <f t="shared" si="135"/>
        <v>0</v>
      </c>
      <c r="CS74" s="1118">
        <f t="shared" si="136"/>
        <v>0</v>
      </c>
      <c r="CT74" s="1109">
        <f t="shared" si="137"/>
        <v>0</v>
      </c>
      <c r="CU74" s="1101">
        <f t="shared" si="138"/>
        <v>0</v>
      </c>
      <c r="CV74" s="1108">
        <f t="shared" si="139"/>
        <v>0</v>
      </c>
      <c r="CW74" s="1097">
        <f t="shared" si="140"/>
        <v>0</v>
      </c>
      <c r="CX74" s="1097">
        <f t="shared" si="141"/>
        <v>0</v>
      </c>
      <c r="CY74" s="1110">
        <f t="shared" si="142"/>
        <v>0</v>
      </c>
      <c r="CZ74" s="437"/>
      <c r="DA74" s="438"/>
      <c r="DB74" s="439" t="s">
        <v>569</v>
      </c>
      <c r="DC74" s="439"/>
      <c r="DD74" s="443"/>
      <c r="DE74" s="411"/>
      <c r="DF74" s="411"/>
      <c r="DG74" s="1116">
        <f t="shared" si="143"/>
        <v>0</v>
      </c>
      <c r="DH74" s="1116">
        <f t="shared" si="144"/>
        <v>0</v>
      </c>
      <c r="DI74" s="1116">
        <f t="shared" si="145"/>
        <v>0</v>
      </c>
      <c r="DJ74" s="442">
        <f t="shared" si="146"/>
        <v>0</v>
      </c>
      <c r="DK74" s="1109">
        <f t="shared" si="147"/>
        <v>0</v>
      </c>
      <c r="DL74" s="1101">
        <f t="shared" si="148"/>
        <v>0</v>
      </c>
      <c r="DM74" s="1097">
        <f t="shared" si="149"/>
        <v>0</v>
      </c>
      <c r="DN74" s="1097">
        <f t="shared" si="150"/>
        <v>0</v>
      </c>
      <c r="DO74" s="1097">
        <f t="shared" si="151"/>
        <v>0</v>
      </c>
      <c r="DP74" s="1110">
        <f t="shared" si="152"/>
        <v>0</v>
      </c>
      <c r="DQ74" s="1113" t="s">
        <v>545</v>
      </c>
      <c r="DR74" s="1120">
        <f t="shared" si="153"/>
        <v>0.3</v>
      </c>
      <c r="DS74" s="1124"/>
      <c r="DT74" s="1093" t="s">
        <v>548</v>
      </c>
      <c r="DU74" s="1093"/>
      <c r="DV74" s="1098">
        <f>IF($P74="","N/A",IF(P74=-1,INDEX('卡片raw data'!AN:AN,MATCH(D74,'卡片raw data'!$F:$F,)),0)+IF(AND(L74&lt;&gt;"party卡",P74&lt;=2,P74&gt;=0),INDEX('卡片raw data'!AP:AP,MATCH(D74,'卡片raw data'!$F:$F,)),0)+IF(OR(AND(L74="party卡",P74&lt;=1),AND(P74&lt;=4,L74&lt;&gt;"party卡",P74&gt;=3)),INDEX('卡片raw data'!AQ:AQ,MATCH(D74,'卡片raw data'!$F:$F,)),0)+IF(OR(P74=5,AND(L74="party卡",P74&gt;=2)),INDEX('卡片raw data'!AR:AR,MATCH(D74,'卡片raw data'!$F:$F,)),0))</f>
        <v>0.37</v>
      </c>
      <c r="DW74" s="1098">
        <f t="shared" si="154"/>
        <v>0.3</v>
      </c>
      <c r="DX74" s="1098">
        <f t="shared" si="155"/>
        <v>0.3</v>
      </c>
      <c r="DY74" s="1125">
        <f t="shared" si="156"/>
        <v>872.46290204319985</v>
      </c>
      <c r="DZ74" s="1125">
        <f t="shared" si="157"/>
        <v>682.01598572405373</v>
      </c>
      <c r="EA74" s="1098">
        <f t="shared" si="158"/>
        <v>0</v>
      </c>
      <c r="EB74" s="1121">
        <f t="shared" si="159"/>
        <v>0</v>
      </c>
      <c r="EC74" s="1101">
        <f t="shared" si="160"/>
        <v>959.70919224751992</v>
      </c>
      <c r="ED74" s="1097">
        <f t="shared" si="161"/>
        <v>682.01598572405373</v>
      </c>
      <c r="EE74" s="1110">
        <f t="shared" si="162"/>
        <v>959.70919224751992</v>
      </c>
      <c r="EF74" s="1092" t="s">
        <v>711</v>
      </c>
      <c r="EG74" s="1120">
        <f t="shared" si="163"/>
        <v>0.3</v>
      </c>
      <c r="EH74" s="1124"/>
      <c r="EI74" s="1093"/>
      <c r="EJ74" s="1093"/>
      <c r="EK74" s="1097">
        <f>IF($P74="","N/A",IF(P74=-1,INDEX('卡片raw data'!AS:AS,MATCH(D74,'卡片raw data'!$F:$F,)),0)+IF(AND(L74&lt;&gt;"party卡",P74&lt;=2,P74&gt;=0),INDEX('卡片raw data'!AU:AU,MATCH(D74,'卡片raw data'!$F:$F,)),0)+IF(OR(AND(L74="party卡",P74&lt;=1),AND(P74&lt;=4,L74&lt;&gt;"party卡",P74&gt;=3)),INDEX('卡片raw data'!AV:AV,MATCH(D74,'卡片raw data'!$F:$F,)),0)+IF(OR(P74=5,AND(L74="party卡",P74&gt;=2)),INDEX('卡片raw data'!AW:AW,MATCH(D74,'卡片raw data'!$F:$F,)),0))</f>
        <v>0</v>
      </c>
      <c r="EL74" s="1098">
        <f t="shared" si="164"/>
        <v>0.3</v>
      </c>
      <c r="EM74" s="1098">
        <f t="shared" si="165"/>
        <v>0.3</v>
      </c>
      <c r="EN74" s="1125">
        <f t="shared" si="166"/>
        <v>0</v>
      </c>
      <c r="EO74" s="1125">
        <f t="shared" si="167"/>
        <v>0</v>
      </c>
      <c r="EP74" s="1098">
        <f t="shared" si="168"/>
        <v>0</v>
      </c>
      <c r="EQ74" s="1121">
        <f t="shared" si="169"/>
        <v>0</v>
      </c>
      <c r="ER74" s="1101">
        <f t="shared" si="170"/>
        <v>0</v>
      </c>
      <c r="ES74" s="1097">
        <f t="shared" si="171"/>
        <v>0</v>
      </c>
      <c r="ET74" s="1122">
        <f t="shared" si="172"/>
        <v>0</v>
      </c>
      <c r="EV74" s="1224" t="s">
        <v>251</v>
      </c>
      <c r="EW74" s="1323">
        <v>25</v>
      </c>
      <c r="EX74" s="1324"/>
      <c r="EY74" s="1232"/>
      <c r="EZ74" s="1212"/>
      <c r="FA74" s="1212"/>
      <c r="FB74" s="2"/>
    </row>
    <row r="75" spans="2:158" ht="16.5" customHeight="1">
      <c r="B75" s="1123" t="str">
        <f>INDEX('卡片raw data'!B:B,MATCH($D75,'卡片raw data'!$F:$F,))</f>
        <v>初始露</v>
      </c>
      <c r="C75" s="449" t="s">
        <v>67</v>
      </c>
      <c r="D75" s="408">
        <v>72</v>
      </c>
      <c r="E75" s="1090">
        <v>101093001</v>
      </c>
      <c r="F75" s="1090" t="str">
        <f>INDEX('卡片raw data'!C:C,MATCH($D75,'卡片raw data'!$F:$F,))</f>
        <v>UR</v>
      </c>
      <c r="G75" s="1094" t="s">
        <v>41</v>
      </c>
      <c r="H75" s="411">
        <f>IFERROR(INDEX(绊状态确认!C:C,MATCH($G75,绊状态确认!$B:$B,)),"")</f>
        <v>109</v>
      </c>
      <c r="I75" s="450" t="str">
        <f>IFERROR(INDEX(绊状态确认!D:D,MATCH($G75,绊状态确认!$B:$B,)),"")</f>
        <v>水</v>
      </c>
      <c r="J75" s="450" t="str">
        <f>IFERROR(INDEX(绊状态确认!E:E,MATCH($G75,绊状态确认!$B:$B,)),"")</f>
        <v>1年级</v>
      </c>
      <c r="K75" s="451" t="str">
        <f>IFERROR(INDEX(绊状态确认!F:F,MATCH($G75,绊状态确认!$B:$B,)),"")</f>
        <v>CYaRon!</v>
      </c>
      <c r="L75" s="1094" t="str">
        <f>INDEX('卡片raw data'!E:E,MATCH($D75,'卡片raw data'!$F:$F,))</f>
        <v>卡池卡</v>
      </c>
      <c r="M75" s="415">
        <v>43735</v>
      </c>
      <c r="N75" s="416">
        <v>0</v>
      </c>
      <c r="O75" s="1091" t="str">
        <f>INDEX('卡片raw data'!D:D,MATCH($D75,'卡片raw data'!$F:$F,))</f>
        <v>sk</v>
      </c>
      <c r="P75" s="417">
        <v>5</v>
      </c>
      <c r="Q75" s="1095">
        <f t="shared" si="88"/>
        <v>31550.543256377354</v>
      </c>
      <c r="R75" s="1096">
        <f t="shared" si="89"/>
        <v>0.36599999999999999</v>
      </c>
      <c r="S75" s="1097">
        <f t="shared" si="90"/>
        <v>17395.43882054546</v>
      </c>
      <c r="T75" s="1098">
        <f t="shared" si="91"/>
        <v>0.86899999999999999</v>
      </c>
      <c r="U75" s="1099">
        <f t="shared" si="92"/>
        <v>820.67377926322308</v>
      </c>
      <c r="V75" s="1100">
        <f t="shared" si="93"/>
        <v>83873.007526047004</v>
      </c>
      <c r="W75" s="1101">
        <f t="shared" si="94"/>
        <v>6547.4654600505146</v>
      </c>
      <c r="X75" s="1096">
        <f t="shared" si="95"/>
        <v>7.5999999999999998E-2</v>
      </c>
      <c r="Y75" s="1097">
        <f t="shared" si="96"/>
        <v>1887.4331800458986</v>
      </c>
      <c r="Z75" s="1102">
        <f t="shared" si="97"/>
        <v>23.120176337142862</v>
      </c>
      <c r="AA75" s="1103">
        <f t="shared" si="98"/>
        <v>8434.8986400964131</v>
      </c>
      <c r="AB75" s="1101">
        <f t="shared" si="99"/>
        <v>11806.473861697516</v>
      </c>
      <c r="AC75" s="1104">
        <f t="shared" si="100"/>
        <v>0.13700000000000001</v>
      </c>
      <c r="AD75" s="1105">
        <f t="shared" si="101"/>
        <v>2.1769318181818181E-2</v>
      </c>
      <c r="AE75" s="1128">
        <f t="shared" si="102"/>
        <v>11.953757704745847</v>
      </c>
      <c r="AF75" s="1130">
        <f t="shared" si="103"/>
        <v>9667.3163991040001</v>
      </c>
      <c r="AG75" s="420">
        <f t="shared" si="104"/>
        <v>94853.643752000004</v>
      </c>
      <c r="AH75" s="420">
        <f t="shared" si="105"/>
        <v>9.8117864189064257</v>
      </c>
      <c r="AI75" s="1097">
        <f t="shared" si="106"/>
        <v>112746.9200067713</v>
      </c>
      <c r="AJ75" s="420">
        <f t="shared" si="107"/>
        <v>83873.007526047004</v>
      </c>
      <c r="AK75" s="518">
        <f t="shared" si="108"/>
        <v>28873.912480724292</v>
      </c>
      <c r="AL75" s="1106">
        <f>IF($P75="","N/A",(IF($P75=-1,INDEX('卡片raw data'!S:S,MATCH($D75,'卡片raw data'!$F:$F,)),0)+IF($P75=0,INDEX('卡片raw data'!V:V,MATCH($D75,'卡片raw data'!$F:$F,)),0)+IF($P75=1,INDEX('卡片raw data'!Y:Y,MATCH($D75,'卡片raw data'!$F:$F,)),0)+IF($P75=2,INDEX('卡片raw data'!AB:AB,MATCH($D75,'卡片raw data'!$F:$F,)),0)+IF($P75=3,INDEX('卡片raw data'!AE:AE,MATCH($D75,'卡片raw data'!$F:$F,)),0)+IF($P75=4,INDEX('卡片raw data'!AH:AH,MATCH($D75,'卡片raw data'!$F:$F,)),0)+IF($P75=5,INDEX('卡片raw data'!AK:AK,MATCH($D75,'卡片raw data'!$F:$F,)),0)+INDEX('卡片raw data'!S:S,MATCH($D75,'卡片raw data'!$F:$F,))*(IF($F75="UR",0.04,0.033))*(IF($F75="UR",INDEX(绊状态确认!$S:$S,MATCH($G75,绊状态确认!$B:$B,))/2-40)+IF($F75="SR",INDEX(绊状态确认!$R:$R,MATCH($G75,绊状态确认!$B:$B,))/4-15))+IF($F75="R",INDEX(绊状态确认!$Q:$Q,MATCH($G75,绊状态确认!$B:$B,))/6-40/6)))*(INDEX(绊状态确认!$H:$H,MATCH($G75,绊状态确认!$B:$B,))+INDEX(绊状态确认!J:J,MATCH($G75,绊状态确认!$B:$B,)))</f>
        <v>9218.4767999999985</v>
      </c>
      <c r="AM75" s="1106">
        <f>IF($P75="","N/A",(IF($P75=-1,INDEX('卡片raw data'!T:T,MATCH($D75,'卡片raw data'!$F:$F,)),0)+IF($P75=0,INDEX('卡片raw data'!W:W,MATCH($D75,'卡片raw data'!$F:$F,)),0)+IF($P75=1,INDEX('卡片raw data'!Z:Z,MATCH($D75,'卡片raw data'!$F:$F,)),0)+IF($P75=2,INDEX('卡片raw data'!AC:AC,MATCH($D75,'卡片raw data'!$F:$F,)),0)+IF($P75=3,INDEX('卡片raw data'!AF:AF,MATCH($D75,'卡片raw data'!$F:$F,)),0)+IF($P75=4,INDEX('卡片raw data'!AI:AI,MATCH($D75,'卡片raw data'!$F:$F,)),0)+IF($P75=5,INDEX('卡片raw data'!AL:AL,MATCH($D75,'卡片raw data'!$F:$F,)),0)+INDEX('卡片raw data'!T:T,MATCH($D75,'卡片raw data'!$F:$F,))*(IF($F75="UR",0.04,0.033))*(IF($F75="UR",INDEX(绊状态确认!$S:$S,MATCH($G75,绊状态确认!$B:$B,))/2-40)+IF($F75="SR",INDEX(绊状态确认!$R:$R,MATCH($G75,绊状态确认!$B:$B,))/4-15))+IF($F75="R",INDEX(绊状态确认!$Q:$Q,MATCH($G75,绊状态确认!$B:$B,))/6-40/6)))*(INDEX(绊状态确认!$H:$H,MATCH($G75,绊状态确认!$B:$B,))+INDEX(绊状态确认!K:K,MATCH($G75,绊状态确认!$B:$B,)))</f>
        <v>13827.715199999999</v>
      </c>
      <c r="AN75" s="1106">
        <f>IF($P75="","N/A",(IF($P75=-1,INDEX('卡片raw data'!U:U,MATCH($D75,'卡片raw data'!$F:$F,)),0)+IF($P75=0,INDEX('卡片raw data'!X:X,MATCH($D75,'卡片raw data'!$F:$F,)),0)+IF($P75=1,INDEX('卡片raw data'!AA:AA,MATCH($D75,'卡片raw data'!$F:$F,)),0)+IF($P75=2,INDEX('卡片raw data'!AD:AD,MATCH($D75,'卡片raw data'!$F:$F,)),0)+IF($P75=3,INDEX('卡片raw data'!AG:AG,MATCH($D75,'卡片raw data'!$F:$F,)),0)+IF($P75=4,INDEX('卡片raw data'!AJ:AJ,MATCH($D75,'卡片raw data'!$F:$F,)),0)+IF($P75=5,INDEX('卡片raw data'!AM:AM,MATCH($D75,'卡片raw data'!$F:$F,)),0)+INDEX('卡片raw data'!U:U,MATCH($D75,'卡片raw data'!$F:$F,))*(IF($F75="UR",0.04,0.033))*(IF($F75="UR",INDEX(绊状态确认!$S:$S,MATCH($G75,绊状态确认!$B:$B,))/2-40)+IF($F75="SR",INDEX(绊状态确认!$R:$R,MATCH($G75,绊状态确认!$B:$B,))/4-15))+IF($F75="R",INDEX(绊状态确认!$Q:$Q,MATCH($G75,绊状态确认!$B:$B,))/6-40/6)))*(INDEX(绊状态确认!$H:$H,MATCH($G75,绊状态确认!$B:$B,))+INDEX(绊状态确认!L:L,MATCH($G75,绊状态确认!$B:$B,)))</f>
        <v>7682.0639999999994</v>
      </c>
      <c r="AO75" s="1107">
        <f t="shared" si="109"/>
        <v>1</v>
      </c>
      <c r="AP75" s="1131">
        <f>1+(INDEX(绊状态确认!$T:$T,MATCH($G75,绊状态确认!$B:$B,))+0.2)*$AO75</f>
        <v>1.3</v>
      </c>
      <c r="AQ75" s="1108">
        <f t="shared" si="110"/>
        <v>27448.501599999996</v>
      </c>
      <c r="AR75" s="1097">
        <f>(AM75*(1+$EX$9)+$EX$35)*(1+(INDEX(绊状态确认!$T:$T,MATCH($G75,绊状态确认!$B:$B,))+0.2)*AO75)*IF(J75=$FF$17,1+$FE$17,1)*IF(I75=$FF$14,1+$FE$14,1)*(1+$FE$15)</f>
        <v>21578.831248000002</v>
      </c>
      <c r="AS75" s="1097">
        <f>(AN75*(1+$EX$10)+$EX$36)*(1+(INDEX(绊状态确认!$T:$T,MATCH($G75,绊状态确认!$B:$B,))+0.2)*AO75)*IF(J75=$FF$17,1+$FE$17,1)*IF(I75=$FF$14,1+$FE$14,1)*(1+$FE$15)</f>
        <v>15540.685679999999</v>
      </c>
      <c r="AT75" s="1093">
        <f>IF(AND(INDEX('卡片raw data'!AK:AK,MATCH($D75,'卡片raw data'!$F:$F,))&lt;INDEX('卡片raw data'!AM:AM,MATCH($D75,'卡片raw data'!$F:$F,)),INDEX('卡片raw data'!AL:AL,MATCH($D75,'卡片raw data'!$F:$F,))&lt;INDEX('卡片raw data'!AM:AM,MATCH($D75,'卡片raw data'!$F:$F,))),1,0)</f>
        <v>0</v>
      </c>
      <c r="AU75" s="1098">
        <f>MIN(AT75*0.15+AS75*0.00003+INDEX(绊状态确认!M:M,MATCH($G75,绊状态确认!$B:$B,)),1)</f>
        <v>0.49622057040000001</v>
      </c>
      <c r="AV75" s="1109">
        <f>(INDEX(绊状态确认!$N:$N,MATCH($G75,绊状态确认!$B:$B,))+1.5)*$EW$21</f>
        <v>2.6599999999999997</v>
      </c>
      <c r="AW75" s="1101">
        <f t="shared" si="111"/>
        <v>25997.742029649777</v>
      </c>
      <c r="AX75" s="1097">
        <f t="shared" si="112"/>
        <v>1887.4331800458986</v>
      </c>
      <c r="AY75" s="1110">
        <f t="shared" si="113"/>
        <v>27885.175209695677</v>
      </c>
      <c r="AZ75" s="429">
        <f t="shared" si="114"/>
        <v>20576.029759999998</v>
      </c>
      <c r="BA75" s="431">
        <f t="shared" si="115"/>
        <v>24691.235711999998</v>
      </c>
      <c r="BB75" s="1097">
        <f>(AM75*(1+$FB$9)+$FB$35)*(1+(INDEX(绊状态确认!$T:$T,MATCH($G75,绊状态确认!$B:$B,))+0.2)*AO75)*IF(J75=$FF$17,1+$FE$17,1)*IF(I75=$FF$14,1+$FE$14,1)*(1+$FE$15)</f>
        <v>21578.831248000002</v>
      </c>
      <c r="BC75" s="1097">
        <f>(AN75*(1+$FB$10)+$FB$36)*(1+(INDEX(绊状态确认!$T:$T,MATCH($G75,绊状态确认!$B:$B,))+0.2)*AO75)*IF(J75=$FF$17,1+$FE$17,1)*IF(I75=$FF$14,1+$FE$14,1)*(1+$FE$15)</f>
        <v>15540.685679999999</v>
      </c>
      <c r="BD75" s="1104">
        <f>MIN(AT75*0.15+BC75*0.00003+INDEX(绊状态确认!M:M,MATCH($G75,绊状态确认!$B:$B,)),1)</f>
        <v>0.49622057040000001</v>
      </c>
      <c r="BE75" s="432">
        <f>(INDEX(绊状态确认!$N:$N,MATCH($G75,绊状态确认!$B:$B,))+1.5)</f>
        <v>1.9</v>
      </c>
      <c r="BF75" s="1139">
        <f t="array" ref="BF75">SUMPRODUCT(IF(AZ75*AP75*$FI$16:$FI$23*$FA$22&gt;=$FI$24,$FI$24,AZ75*AP75*$FI$16:$FI$23*$FA$22),$FJ$16:$FJ$23)</f>
        <v>40925.723192639991</v>
      </c>
      <c r="BG75" s="1125">
        <f t="array" ref="BG75">SUMPRODUCT(IF(BE75*AZ75*AP75*$FI$16:$FI$23*$FA$22&gt;=$FI$24,$FI$24,BE75*AZ75*AP75*$FI$16:$FI$23*$FA$22),$FJ$16:$FJ$23)</f>
        <v>60000</v>
      </c>
      <c r="BH75" s="1110">
        <f t="shared" si="116"/>
        <v>16796.923903318555</v>
      </c>
      <c r="BI75" s="1111">
        <f>IF(O75="vo",$EW$26/$EW$24*0.05,0)+IF(O75="sk",-$EW$26/$EW$24*(0.05-INDEX(绊状态确认!W:W,MATCH($G75,绊状态确认!$B:$B,)))+0.05*$EW$28,0)+IF(O75="sp",0.05*$EW$32*$EW$30*(1-$EW$33)-(0.05-INDEX(绊状态确认!V:V,MATCH($G75,绊状态确认!$B:$B,)))*$EW$28,0)+IF(O75="gd",-(0.05-INDEX(绊状态确认!X:X,MATCH($G75,绊状态确认!$B:$B,)))*$EW$32*$EW$30*(1-$EW$33),0)</f>
        <v>-6253.6726349699375</v>
      </c>
      <c r="BJ75" s="1097">
        <f>IF(O75="vo",0.05*(1-$FI$26)*$FA$24,0)+IF(O75="sk",-(0.05-INDEX(绊状态确认!W:W,MATCH($G75,绊状态确认!$B:$B,)))*(1-$FI$26)*$FA$24+0.05*$FA$26,0)+IF(O75="sp",0.05*$FA$32*$FA$27*(1-$FA$33)/$FA$30+0.05*$FA$29/$FA$69*$FA$27*(1-$FA$33)-(0.05-INDEX(绊状态确认!V:V,MATCH($G75,绊状态确认!$B:$B,)))*$FA$26,0)+IF(O75="gd",-(0.05-INDEX(绊状态确认!X:X,MATCH($G75,绊状态确认!$B:$B,)))*$FA$32*$FA$27*(1-$FA$33)/$FA$30-(0.05-INDEX(绊状态确认!X:X,MATCH($G75,绊状态确认!$B:$B,)))*$FA$29/$FA$69*$FA$27*(1-$FA$33),0)</f>
        <v>20.459096812499922</v>
      </c>
      <c r="BK75" s="1110">
        <f>IF(O75="vo",$EW$26/$EW$24*0.05+$EW$26*(-HP($EW$62,$EW$65,$EW$64)+HP($EW$62,$EW$65,(1.05-INDEX(绊状态确认!U:U,MATCH($G75,绊状态确认!$B:$B,)))*$EW$64)),0)+IF(O75="sk",-$EW$26/$EW$24*(0.05-INDEX(绊状态确认!W:W,MATCH($G75,绊状态确认!$B:$B,)))+0.05*$EW$29,0)+IF(O75="sp",0.05*$EW$32*$EW$30*(1-$EW$33)-(0.05-INDEX(绊状态确认!V:V,MATCH($G75,绊状态确认!$B:$B,)))*$EW$29,0)+IF(O75="gd",-(0.05-INDEX(绊状态确认!X:X,MATCH($G75,绊状态确认!$B:$B,)))*$EW$32*$EW$30*(1-$EW$33)+$EW$26*(-HP($EW$62,$EW$65,$EW$64)+HP($EW$62,$EW$65,0.95*$EW$64)),0)</f>
        <v>-4253.6726349699375</v>
      </c>
      <c r="BL75" s="1111">
        <f t="shared" si="117"/>
        <v>0</v>
      </c>
      <c r="BM75" s="1110">
        <f t="shared" si="118"/>
        <v>0</v>
      </c>
      <c r="BN75" s="1113">
        <f t="shared" si="119"/>
        <v>3</v>
      </c>
      <c r="BO75" s="1097">
        <f t="shared" si="120"/>
        <v>4507.7214871259994</v>
      </c>
      <c r="BP75" s="1100">
        <f t="shared" si="121"/>
        <v>221.34103209030098</v>
      </c>
      <c r="BQ75" s="1113" t="s">
        <v>143</v>
      </c>
      <c r="BR75" s="1124" t="s">
        <v>146</v>
      </c>
      <c r="BS75" s="1098">
        <f>IF($P75="","N/A",IF($P75=-1,INDEX('卡片raw data'!AX:AX,MATCH($D75,'卡片raw data'!$F:$F,)),0)+IF($L75="party卡",IF($P75=5,INDEX('卡片raw data'!BD:BD,MATCH($D75,'卡片raw data'!$F:$F,)),IF($P75&gt;=3,INDEX('卡片raw data'!BC:BC,MATCH($D75,'卡片raw data'!$F:$F,)),INDEX('卡片raw data'!BB:BB,MATCH($D75,'卡片raw data'!$F:$F,)))),IF(OR(AND($F75="UR",$P75=0),AND($F75="SR",$P75&gt;=0,$P75&lt;=2),AND($F75="R",$P75&gt;=0,$P75&lt;4)),INDEX('卡片raw data'!AZ:AZ,MATCH($D75,'卡片raw data'!$F:$F,)),0)+IF(OR(AND($F75="UR",$P75&gt;=1,$P75&lt;=4),AND($F75="SR",$P75&lt;=4,$P75&gt;=3),AND($F75="R",$P75=4)),INDEX('卡片raw data'!BA:BA,MATCH($D75,'卡片raw data'!$F:$F,)),0)+IF($P75=5,INDEX('卡片raw data'!BB:BB,MATCH($D75,'卡片raw data'!$F:$F,)),0)))</f>
        <v>7.0000000000000007E-2</v>
      </c>
      <c r="BT75" s="1101">
        <f t="shared" si="122"/>
        <v>5259.008401647</v>
      </c>
      <c r="BU75" s="1097">
        <f t="shared" si="123"/>
        <v>258.2312041053512</v>
      </c>
      <c r="BV75" s="1097">
        <f t="shared" si="124"/>
        <v>0</v>
      </c>
      <c r="BW75" s="1112">
        <f t="shared" si="125"/>
        <v>0</v>
      </c>
      <c r="BX75" s="1100">
        <f t="shared" si="126"/>
        <v>5259.008401647</v>
      </c>
      <c r="BY75" s="1110">
        <f t="shared" si="127"/>
        <v>0</v>
      </c>
      <c r="BZ75" s="1107" t="s">
        <v>569</v>
      </c>
      <c r="CA75" s="1124"/>
      <c r="CB75" s="1098">
        <f>IF($P75="","N/A",IF($P75=-1,INDEX('卡片raw data'!BE:BE,MATCH($D75,'卡片raw data'!$F:$F,)),0)+IF($L75="party卡",IF($P75=5,INDEX('卡片raw data'!BK:BK,MATCH($D75,'卡片raw data'!$F:$F,)),IF($P75&gt;=3,INDEX('卡片raw data'!BJ:BJ,MATCH($D75,'卡片raw data'!$F:$F,)),INDEX('卡片raw data'!BI:BI,MATCH($D75,'卡片raw data'!$F:$F,)))),IF(OR(AND($F75="UR",$P75=0),AND($F75="SR",$P75&gt;=0,$P75&lt;=2),AND($F75="R",$P75&gt;=0,$P75&lt;4)),INDEX('卡片raw data'!BG:BG,MATCH($D75,'卡片raw data'!$F:$F,)),0)+IF(OR(AND($F75="UR",$P75&gt;=1,$P75&lt;=4),AND($F75="SR",$P75&lt;=4,$P75&gt;=3),AND($F75="R",$P75=4)),INDEX('卡片raw data'!BH:BH,MATCH($D75,'卡片raw data'!$F:$F,)),0)+IF($P75=5,INDEX('卡片raw data'!BI:BI,MATCH($D75,'卡片raw data'!$F:$F,)),0)))</f>
        <v>0</v>
      </c>
      <c r="CC75" s="1101">
        <f t="shared" si="128"/>
        <v>0</v>
      </c>
      <c r="CD75" s="1097">
        <f>IF(BZ75="ap",CB75*(1-$FI$26)*$FB$5/$FB$11*(+IF(CA75="全员",$FA$24,0)+IF(CA75="同作战",$FA$24,0)+IF(CA75="仲间",$FA$24*2/3,0)+IF(CA75="同属性",$FA$24*$FA$37/3,0)+IF(CA75="同年级",$FA$24*$FA$40/3,0)+IF(CA75="同学校",$FA$24*$FA$43/3,0)+IF(CA75="同小队",$FA$24*$FA$46/3,0)+IF(CA75="同type",$FA$24*INDEX($FB$49:$FB$52,MATCH(X75,$FA$49:$FA$52,))/3,0)+IF(CA75="自身",#REF!/3,0)),0)+IF(BZ75="te",CB75*(1-$FI$27)*($FA$20-1)*$FB$7/$FB$13*(+IF(CA75="全员",$FA$19*$FA$24/(1+($FA$20-1)*$FA$19),0)+IF(CA75="同作战",$FA$19*$FA$24/(1+($FA$20-1)*$FA$19),0)+IF(CA75="仲间",$FA$19*$FA$24*2/3/(1+($FA$20-1)*$FA$19),0)+IF(CA75="同属性",$FA$19*$FA$24*$FA$37/3/(1+($FA$20-1)*$FA$19),0)+IF(CA75="同年级",$FA$19*$FA$24*$FA$40/3/(1+($FA$20-1)*$FA$19),0)+IF(CA75="同学校",$FA$19*$FA$24*$FA$43/3/(1+($FA$20-1)*$FA$19),0)+IF(CA75="同小队",$FA$19*$FA$24*$FA$46/3/(1+($FA$20-1)*$FA$19),0)+IF(CA75="同type",$FA$19*$FA$24*INDEX($FB$49:$FB$52,MATCH(X75,$FA$49:$FA$52,))/3/(1+($FA$20-1)*$FA$19),0)+IF(CA75="自身",$FA$19*#REF!/3/(1+(BH75-1)*$BD75),0)),0)</f>
        <v>0</v>
      </c>
      <c r="CE75" s="1097">
        <f t="shared" si="129"/>
        <v>0</v>
      </c>
      <c r="CF75" s="1112">
        <f t="shared" si="130"/>
        <v>0</v>
      </c>
      <c r="CG75" s="1100">
        <f t="shared" si="131"/>
        <v>0</v>
      </c>
      <c r="CH75" s="1110">
        <f t="shared" si="132"/>
        <v>0</v>
      </c>
      <c r="CI75" s="1113" t="s">
        <v>165</v>
      </c>
      <c r="CJ75" s="1114">
        <v>0.3</v>
      </c>
      <c r="CK75" s="1115" t="s">
        <v>167</v>
      </c>
      <c r="CL75" s="1115" t="s">
        <v>161</v>
      </c>
      <c r="CM75" s="1119">
        <v>0.05</v>
      </c>
      <c r="CN75" s="1115" t="s">
        <v>163</v>
      </c>
      <c r="CO75" s="1092"/>
      <c r="CP75" s="1118">
        <f t="shared" si="133"/>
        <v>1.4999999999999999E-2</v>
      </c>
      <c r="CQ75" s="1118">
        <f t="shared" si="134"/>
        <v>1.4999999999999999E-2</v>
      </c>
      <c r="CR75" s="1118">
        <f t="shared" si="135"/>
        <v>1.4999999999999999E-2</v>
      </c>
      <c r="CS75" s="1118">
        <f t="shared" si="136"/>
        <v>0</v>
      </c>
      <c r="CT75" s="1109">
        <f t="shared" si="137"/>
        <v>0</v>
      </c>
      <c r="CU75" s="1101">
        <f t="shared" si="138"/>
        <v>2039.743972924515</v>
      </c>
      <c r="CV75" s="1108">
        <f t="shared" si="139"/>
        <v>98.483584218750011</v>
      </c>
      <c r="CW75" s="1097">
        <f t="shared" si="140"/>
        <v>2039.743972924515</v>
      </c>
      <c r="CX75" s="1097">
        <f t="shared" si="141"/>
        <v>2039.743972924515</v>
      </c>
      <c r="CY75" s="1110">
        <f t="shared" si="142"/>
        <v>2039.743972924515</v>
      </c>
      <c r="CZ75" s="437"/>
      <c r="DA75" s="438"/>
      <c r="DB75" s="439" t="s">
        <v>569</v>
      </c>
      <c r="DC75" s="439"/>
      <c r="DD75" s="443"/>
      <c r="DE75" s="411"/>
      <c r="DF75" s="411"/>
      <c r="DG75" s="1116">
        <f t="shared" si="143"/>
        <v>0</v>
      </c>
      <c r="DH75" s="1116">
        <f t="shared" si="144"/>
        <v>0</v>
      </c>
      <c r="DI75" s="1116">
        <f t="shared" si="145"/>
        <v>0</v>
      </c>
      <c r="DJ75" s="442">
        <f t="shared" si="146"/>
        <v>0</v>
      </c>
      <c r="DK75" s="1109">
        <f t="shared" si="147"/>
        <v>0</v>
      </c>
      <c r="DL75" s="1101">
        <f t="shared" si="148"/>
        <v>0</v>
      </c>
      <c r="DM75" s="1097">
        <f t="shared" si="149"/>
        <v>0</v>
      </c>
      <c r="DN75" s="1097">
        <f t="shared" si="150"/>
        <v>0</v>
      </c>
      <c r="DO75" s="1097">
        <f t="shared" si="151"/>
        <v>0</v>
      </c>
      <c r="DP75" s="1110">
        <f t="shared" si="152"/>
        <v>0</v>
      </c>
      <c r="DQ75" s="1113" t="s">
        <v>636</v>
      </c>
      <c r="DR75" s="1120">
        <f t="shared" si="153"/>
        <v>0.33</v>
      </c>
      <c r="DS75" s="1124"/>
      <c r="DT75" s="1093" t="s">
        <v>133</v>
      </c>
      <c r="DU75" s="1093"/>
      <c r="DV75" s="1098">
        <f>IF($P75="","N/A",IF(P75=-1,INDEX('卡片raw data'!AN:AN,MATCH(D75,'卡片raw data'!$F:$F,)),0)+IF(AND(L75&lt;&gt;"party卡",P75&lt;=2,P75&gt;=0),INDEX('卡片raw data'!AP:AP,MATCH(D75,'卡片raw data'!$F:$F,)),0)+IF(OR(AND(L75="party卡",P75&lt;=1),AND(P75&lt;=4,L75&lt;&gt;"party卡",P75&gt;=3)),INDEX('卡片raw data'!AQ:AQ,MATCH(D75,'卡片raw data'!$F:$F,)),0)+IF(OR(P75=5,AND(L75="party卡",P75&gt;=2)),INDEX('卡片raw data'!AR:AR,MATCH(D75,'卡片raw data'!$F:$F,)),0))</f>
        <v>0.32</v>
      </c>
      <c r="DW75" s="1098">
        <f t="shared" si="154"/>
        <v>0.33</v>
      </c>
      <c r="DX75" s="1098">
        <f t="shared" si="155"/>
        <v>0.33</v>
      </c>
      <c r="DY75" s="1125">
        <f t="shared" si="156"/>
        <v>759.57485992960017</v>
      </c>
      <c r="DZ75" s="1125">
        <f t="shared" si="157"/>
        <v>657.0322538391041</v>
      </c>
      <c r="EA75" s="1098">
        <f t="shared" si="158"/>
        <v>0</v>
      </c>
      <c r="EB75" s="1121">
        <f t="shared" si="159"/>
        <v>0</v>
      </c>
      <c r="EC75" s="1101">
        <f t="shared" si="160"/>
        <v>0</v>
      </c>
      <c r="ED75" s="1097">
        <f t="shared" si="161"/>
        <v>0</v>
      </c>
      <c r="EE75" s="1110">
        <f t="shared" si="162"/>
        <v>48435.03108962375</v>
      </c>
      <c r="EF75" s="1092" t="s">
        <v>711</v>
      </c>
      <c r="EG75" s="1120">
        <f t="shared" si="163"/>
        <v>0.33</v>
      </c>
      <c r="EH75" s="1124"/>
      <c r="EI75" s="1093"/>
      <c r="EJ75" s="1093"/>
      <c r="EK75" s="1097">
        <f>IF($P75="","N/A",IF(P75=-1,INDEX('卡片raw data'!AS:AS,MATCH(D75,'卡片raw data'!$F:$F,)),0)+IF(AND(L75&lt;&gt;"party卡",P75&lt;=2,P75&gt;=0),INDEX('卡片raw data'!AU:AU,MATCH(D75,'卡片raw data'!$F:$F,)),0)+IF(OR(AND(L75="party卡",P75&lt;=1),AND(P75&lt;=4,L75&lt;&gt;"party卡",P75&gt;=3)),INDEX('卡片raw data'!AV:AV,MATCH(D75,'卡片raw data'!$F:$F,)),0)+IF(OR(P75=5,AND(L75="party卡",P75&gt;=2)),INDEX('卡片raw data'!AW:AW,MATCH(D75,'卡片raw data'!$F:$F,)),0))</f>
        <v>0</v>
      </c>
      <c r="EL75" s="1098">
        <f t="shared" si="164"/>
        <v>0.33</v>
      </c>
      <c r="EM75" s="1098">
        <f t="shared" si="165"/>
        <v>0.33</v>
      </c>
      <c r="EN75" s="1125">
        <f t="shared" si="166"/>
        <v>0</v>
      </c>
      <c r="EO75" s="1125">
        <f t="shared" si="167"/>
        <v>0</v>
      </c>
      <c r="EP75" s="1098">
        <f t="shared" si="168"/>
        <v>0</v>
      </c>
      <c r="EQ75" s="1121">
        <f t="shared" si="169"/>
        <v>0</v>
      </c>
      <c r="ER75" s="1101">
        <f t="shared" si="170"/>
        <v>0</v>
      </c>
      <c r="ES75" s="1097">
        <f t="shared" si="171"/>
        <v>0</v>
      </c>
      <c r="ET75" s="1122">
        <f t="shared" si="172"/>
        <v>0</v>
      </c>
      <c r="EV75" s="1222" t="s">
        <v>675</v>
      </c>
      <c r="EW75" s="1328">
        <v>0.35</v>
      </c>
      <c r="EX75" s="1329"/>
      <c r="EY75" s="1232"/>
      <c r="EZ75" s="1212"/>
      <c r="FA75" s="1212"/>
      <c r="FB75" s="2"/>
    </row>
    <row r="76" spans="2:158" ht="16.5" customHeight="1">
      <c r="B76" s="1123" t="str">
        <f>INDEX('卡片raw data'!B:B,MATCH($D76,'卡片raw data'!$F:$F,))</f>
        <v>校服步</v>
      </c>
      <c r="C76" s="449" t="s">
        <v>124</v>
      </c>
      <c r="D76" s="408">
        <v>73</v>
      </c>
      <c r="E76" s="1090">
        <v>102011001</v>
      </c>
      <c r="F76" s="1090" t="str">
        <f>INDEX('卡片raw data'!C:C,MATCH($D76,'卡片raw data'!$F:$F,))</f>
        <v>R</v>
      </c>
      <c r="G76" s="1094" t="s">
        <v>350</v>
      </c>
      <c r="H76" s="411">
        <f>IFERROR(INDEX(绊状态确认!C:C,MATCH($G76,绊状态确认!$B:$B,)),"")</f>
        <v>201</v>
      </c>
      <c r="I76" s="450" t="str">
        <f>IFERROR(INDEX(绊状态确认!D:D,MATCH($G76,绊状态确认!$B:$B,)),"")</f>
        <v>虹</v>
      </c>
      <c r="J76" s="450" t="str">
        <f>IFERROR(INDEX(绊状态确认!E:E,MATCH($G76,绊状态确认!$B:$B,)),"")</f>
        <v>2年级</v>
      </c>
      <c r="K76" s="451" t="str">
        <f>IFERROR(INDEX(绊状态确认!F:F,MATCH($G76,绊状态确认!$B:$B,)),"")</f>
        <v>A·ZU·NA</v>
      </c>
      <c r="L76" s="1094" t="str">
        <f>INDEX('卡片raw data'!E:E,MATCH($D76,'卡片raw data'!$F:$F,))</f>
        <v>卡池卡</v>
      </c>
      <c r="M76" s="415">
        <v>43735</v>
      </c>
      <c r="N76" s="416">
        <v>0</v>
      </c>
      <c r="O76" s="1091" t="str">
        <f>INDEX('卡片raw data'!D:D,MATCH($D76,'卡片raw data'!$F:$F,))</f>
        <v>sp</v>
      </c>
      <c r="P76" s="417">
        <v>5</v>
      </c>
      <c r="Q76" s="1095">
        <f t="shared" si="88"/>
        <v>16563.8378249983</v>
      </c>
      <c r="R76" s="1096">
        <f t="shared" si="89"/>
        <v>0.192</v>
      </c>
      <c r="S76" s="1097">
        <f t="shared" si="90"/>
        <v>9931.4242942877081</v>
      </c>
      <c r="T76" s="1098">
        <f t="shared" si="91"/>
        <v>0.496</v>
      </c>
      <c r="U76" s="1099">
        <f t="shared" si="92"/>
        <v>8.1639733221428568</v>
      </c>
      <c r="V76" s="1100">
        <f t="shared" si="93"/>
        <v>15410.043296718204</v>
      </c>
      <c r="W76" s="1101">
        <f t="shared" si="94"/>
        <v>3005.1476580839999</v>
      </c>
      <c r="X76" s="1096">
        <f t="shared" si="95"/>
        <v>3.4000000000000002E-2</v>
      </c>
      <c r="Y76" s="1097">
        <f t="shared" si="96"/>
        <v>646.20547171990029</v>
      </c>
      <c r="Z76" s="1102">
        <f t="shared" si="97"/>
        <v>8.1639733221428568</v>
      </c>
      <c r="AA76" s="1103">
        <f t="shared" si="98"/>
        <v>3651.3531298039002</v>
      </c>
      <c r="AB76" s="1101">
        <f t="shared" si="99"/>
        <v>5259.008401647</v>
      </c>
      <c r="AC76" s="1104">
        <f t="shared" si="100"/>
        <v>6.0999999999999999E-2</v>
      </c>
      <c r="AD76" s="1105">
        <f t="shared" si="101"/>
        <v>-1.9908281250000003E-2</v>
      </c>
      <c r="AE76" s="1128">
        <f t="shared" si="102"/>
        <v>3.4686965579710112</v>
      </c>
      <c r="AF76" s="1130">
        <f t="shared" si="103"/>
        <v>0</v>
      </c>
      <c r="AG76" s="420">
        <f t="shared" si="104"/>
        <v>0</v>
      </c>
      <c r="AH76" s="420">
        <f t="shared" si="105"/>
        <v>0</v>
      </c>
      <c r="AI76" s="1097">
        <f t="shared" si="106"/>
        <v>0</v>
      </c>
      <c r="AJ76" s="420">
        <f t="shared" si="107"/>
        <v>0</v>
      </c>
      <c r="AK76" s="518">
        <f t="shared" si="108"/>
        <v>0</v>
      </c>
      <c r="AL76" s="1106">
        <f>IF($P76="","N/A",(IF($P76=-1,INDEX('卡片raw data'!S:S,MATCH($D76,'卡片raw data'!$F:$F,)),0)+IF($P76=0,INDEX('卡片raw data'!V:V,MATCH($D76,'卡片raw data'!$F:$F,)),0)+IF($P76=1,INDEX('卡片raw data'!Y:Y,MATCH($D76,'卡片raw data'!$F:$F,)),0)+IF($P76=2,INDEX('卡片raw data'!AB:AB,MATCH($D76,'卡片raw data'!$F:$F,)),0)+IF($P76=3,INDEX('卡片raw data'!AE:AE,MATCH($D76,'卡片raw data'!$F:$F,)),0)+IF($P76=4,INDEX('卡片raw data'!AH:AH,MATCH($D76,'卡片raw data'!$F:$F,)),0)+IF($P76=5,INDEX('卡片raw data'!AK:AK,MATCH($D76,'卡片raw data'!$F:$F,)),0)+INDEX('卡片raw data'!S:S,MATCH($D76,'卡片raw data'!$F:$F,))*(IF($F76="UR",0.04,0.033))*(IF($F76="UR",INDEX(绊状态确认!$S:$S,MATCH($G76,绊状态确认!$B:$B,))/2-40)+IF($F76="SR",INDEX(绊状态确认!$R:$R,MATCH($G76,绊状态确认!$B:$B,))/4-15))+IF($F76="R",INDEX(绊状态确认!$Q:$Q,MATCH($G76,绊状态确认!$B:$B,))/6-40/6)))*(INDEX(绊状态确认!$H:$H,MATCH($G76,绊状态确认!$B:$B,))+INDEX(绊状态确认!J:J,MATCH($G76,绊状态确认!$B:$B,)))</f>
        <v>4801.2899999999991</v>
      </c>
      <c r="AM76" s="1106">
        <f>IF($P76="","N/A",(IF($P76=-1,INDEX('卡片raw data'!T:T,MATCH($D76,'卡片raw data'!$F:$F,)),0)+IF($P76=0,INDEX('卡片raw data'!W:W,MATCH($D76,'卡片raw data'!$F:$F,)),0)+IF($P76=1,INDEX('卡片raw data'!Z:Z,MATCH($D76,'卡片raw data'!$F:$F,)),0)+IF($P76=2,INDEX('卡片raw data'!AC:AC,MATCH($D76,'卡片raw data'!$F:$F,)),0)+IF($P76=3,INDEX('卡片raw data'!AF:AF,MATCH($D76,'卡片raw data'!$F:$F,)),0)+IF($P76=4,INDEX('卡片raw data'!AI:AI,MATCH($D76,'卡片raw data'!$F:$F,)),0)+IF($P76=5,INDEX('卡片raw data'!AL:AL,MATCH($D76,'卡片raw data'!$F:$F,)),0)+INDEX('卡片raw data'!T:T,MATCH($D76,'卡片raw data'!$F:$F,))*(IF($F76="UR",0.04,0.033))*(IF($F76="UR",INDEX(绊状态确认!$S:$S,MATCH($G76,绊状态确认!$B:$B,))/2-40)+IF($F76="SR",INDEX(绊状态确认!$R:$R,MATCH($G76,绊状态确认!$B:$B,))/4-15))+IF($F76="R",INDEX(绊状态确认!$Q:$Q,MATCH($G76,绊状态确认!$B:$B,))/6-40/6)))*(INDEX(绊状态确认!$H:$H,MATCH($G76,绊状态确认!$B:$B,))+INDEX(绊状态确认!K:K,MATCH($G76,绊状态确认!$B:$B,)))</f>
        <v>3601.2515999999996</v>
      </c>
      <c r="AN76" s="1106">
        <f>IF($P76="","N/A",(IF($P76=-1,INDEX('卡片raw data'!U:U,MATCH($D76,'卡片raw data'!$F:$F,)),0)+IF($P76=0,INDEX('卡片raw data'!X:X,MATCH($D76,'卡片raw data'!$F:$F,)),0)+IF($P76=1,INDEX('卡片raw data'!AA:AA,MATCH($D76,'卡片raw data'!$F:$F,)),0)+IF($P76=2,INDEX('卡片raw data'!AD:AD,MATCH($D76,'卡片raw data'!$F:$F,)),0)+IF($P76=3,INDEX('卡片raw data'!AG:AG,MATCH($D76,'卡片raw data'!$F:$F,)),0)+IF($P76=4,INDEX('卡片raw data'!AJ:AJ,MATCH($D76,'卡片raw data'!$F:$F,)),0)+IF($P76=5,INDEX('卡片raw data'!AM:AM,MATCH($D76,'卡片raw data'!$F:$F,)),0)+INDEX('卡片raw data'!U:U,MATCH($D76,'卡片raw data'!$F:$F,))*(IF($F76="UR",0.04,0.033))*(IF($F76="UR",INDEX(绊状态确认!$S:$S,MATCH($G76,绊状态确认!$B:$B,))/2-40)+IF($F76="SR",INDEX(绊状态确认!$R:$R,MATCH($G76,绊状态确认!$B:$B,))/4-15))+IF($F76="R",INDEX(绊状态确认!$Q:$Q,MATCH($G76,绊状态确认!$B:$B,))/6-40/6)))*(INDEX(绊状态确认!$H:$H,MATCH($G76,绊状态确认!$B:$B,))+INDEX(绊状态确认!L:L,MATCH($G76,绊状态确认!$B:$B,)))</f>
        <v>3601.2515999999996</v>
      </c>
      <c r="AO76" s="1107">
        <f t="shared" si="109"/>
        <v>1</v>
      </c>
      <c r="AP76" s="1131">
        <f>1+(INDEX(绊状态确认!$T:$T,MATCH($G76,绊状态确认!$B:$B,))+0.2)*$AO76</f>
        <v>1.3</v>
      </c>
      <c r="AQ76" s="1108">
        <f t="shared" si="110"/>
        <v>15853.38625</v>
      </c>
      <c r="AR76" s="1097">
        <f>(AM76*(1+$EX$9)+$EX$35)*(1+(INDEX(绊状态确认!$T:$T,MATCH($G76,绊状态确认!$B:$B,))+0.2)*AO76)*IF(J76=$FF$17,1+$FE$17,1)*IF(I76=$FF$14,1+$FE$14,1)</f>
        <v>7619.7084339999992</v>
      </c>
      <c r="AS76" s="1097">
        <f>(AN76*(1+$EX$10)+$EX$36)*(1+(INDEX(绊状态确认!$T:$T,MATCH($G76,绊状态确认!$B:$B,))+0.2)*AO76)*IF(J76=$FF$17,1+$FE$17,1)*IF(I76=$FF$14,1+$FE$14,1)</f>
        <v>9439.8711419999981</v>
      </c>
      <c r="AT76" s="1093">
        <f>IF(AND(INDEX('卡片raw data'!AK:AK,MATCH($D76,'卡片raw data'!$F:$F,))&lt;INDEX('卡片raw data'!AM:AM,MATCH($D76,'卡片raw data'!$F:$F,)),INDEX('卡片raw data'!AL:AL,MATCH($D76,'卡片raw data'!$F:$F,))&lt;INDEX('卡片raw data'!AM:AM,MATCH($D76,'卡片raw data'!$F:$F,))),1,0)</f>
        <v>0</v>
      </c>
      <c r="AU76" s="1098">
        <f>MIN(AT76*0.15+AS76*0.00003+INDEX(绊状态确认!M:M,MATCH($G76,绊状态确认!$B:$B,)),1)</f>
        <v>0.31319613425999998</v>
      </c>
      <c r="AV76" s="1109">
        <f>(INDEX(绊状态确认!$N:$N,MATCH($G76,绊状态确认!$B:$B,))+1.5)*$EW$21</f>
        <v>2.6599999999999997</v>
      </c>
      <c r="AW76" s="1101">
        <f t="shared" si="111"/>
        <v>12513.996090017969</v>
      </c>
      <c r="AX76" s="1097">
        <f t="shared" si="112"/>
        <v>646.2054717199004</v>
      </c>
      <c r="AY76" s="1110">
        <f t="shared" si="113"/>
        <v>13160.201561737869</v>
      </c>
      <c r="AZ76" s="429">
        <f t="shared" si="114"/>
        <v>11962.515499999998</v>
      </c>
      <c r="BA76" s="431">
        <f t="shared" si="115"/>
        <v>14355.018599999998</v>
      </c>
      <c r="BB76" s="1097">
        <f>(AM76*(1+$FB$9)+$FB$35)*(1+(INDEX(绊状态确认!$T:$T,MATCH($G76,绊状态确认!$B:$B,))+0.2)*AO76)*IF(J76=$FF$17,1+$FE$17,1)*IF(I76=$FF$14,1+$FE$14,1)*(1+$FE$15)</f>
        <v>7619.7084339999992</v>
      </c>
      <c r="BC76" s="1097">
        <f>(AN76*(1+$FB$10)+$FB$36)*(1+(INDEX(绊状态确认!$T:$T,MATCH($G76,绊状态确认!$B:$B,))+0.2)*AO76)*IF(J76=$FF$17,1+$FE$17,1)*IF(I76=$FF$14,1+$FE$14,1)*(1+$FE$15)</f>
        <v>9439.8711419999981</v>
      </c>
      <c r="BD76" s="1104">
        <f>MIN(AT76*0.15+BC76*0.00003+INDEX(绊状态确认!M:M,MATCH($G76,绊状态确认!$B:$B,)),1)</f>
        <v>0.31319613425999998</v>
      </c>
      <c r="BE76" s="432">
        <f>(INDEX(绊状态确认!$N:$N,MATCH($G76,绊状态确认!$B:$B,))+1.5)</f>
        <v>1.9</v>
      </c>
      <c r="BF76" s="1139">
        <f t="array" ref="BF76">SUMPRODUCT(IF(AZ76*AP76*$FI$16:$FI$23*$FA$22&gt;=$FI$24,$FI$24,AZ76*AP76*$FI$16:$FI$23*$FA$22),$FJ$16:$FJ$23)</f>
        <v>23793.443329499998</v>
      </c>
      <c r="BG76" s="1125">
        <f t="array" ref="BG76">SUMPRODUCT(IF(BE76*AZ76*AP76*$FI$16:$FI$23*$FA$22&gt;=$FI$24,$FI$24,BE76*AZ76*AP76*$FI$16:$FI$23*$FA$22),$FJ$16:$FJ$23)</f>
        <v>45207.542326049988</v>
      </c>
      <c r="BH76" s="1110">
        <f t="shared" si="116"/>
        <v>10166.752117960134</v>
      </c>
      <c r="BI76" s="1111">
        <f>IF(O76="vo",$EW$26/$EW$24*0.05,0)+IF(O76="sk",-$EW$26/$EW$24*(0.05-INDEX(绊状态确认!W:W,MATCH($G76,绊状态确认!$B:$B,)))+0.05*$EW$28,0)+IF(O76="sp",0.05*$EW$32*$EW$30*(1-$EW$33)-(0.05-INDEX(绊状态确认!V:V,MATCH($G76,绊状态确认!$B:$B,)))*$EW$28,0)+IF(O76="gd",-(0.05-INDEX(绊状态确认!X:X,MATCH($G76,绊状态确认!$B:$B,)))*$EW$32*$EW$30*(1-$EW$33),0)</f>
        <v>19.999999999999886</v>
      </c>
      <c r="BJ76" s="1097">
        <f>IF(O76="vo",0.05*(1-$FI$26)*$FA$24,0)+IF(O76="sk",-(0.05-INDEX(绊状态确认!W:W,MATCH($G76,绊状态确认!$B:$B,)))*(1-$FI$26)*$FA$24+0.05*$FA$26,0)+IF(O76="sp",0.05*$FA$32*$FA$27*(1-$FA$33)/$FA$30+0.05*$FA$29/$FA$69*$FA$27*(1-$FA$33)-(0.05-INDEX(绊状态确认!V:V,MATCH($G76,绊状态确认!$B:$B,)))*$FA$26,0)+IF(O76="gd",-(0.05-INDEX(绊状态确认!X:X,MATCH($G76,绊状态确认!$B:$B,)))*$FA$32*$FA$27*(1-$FA$33)/$FA$30-(0.05-INDEX(绊状态确认!X:X,MATCH($G76,绊状态确认!$B:$B,)))*$FA$29/$FA$69*$FA$27*(1-$FA$33),0)</f>
        <v>545.83333333333326</v>
      </c>
      <c r="BK76" s="1110">
        <f>IF(O76="vo",$EW$26/$EW$24*0.05+$EW$26*(-HP($EW$62,$EW$65,$EW$64)+HP($EW$62,$EW$65,(1.05-INDEX(绊状态确认!U:U,MATCH($G76,绊状态确认!$B:$B,)))*$EW$64)),0)+IF(O76="sk",-$EW$26/$EW$24*(0.05-INDEX(绊状态确认!W:W,MATCH($G76,绊状态确认!$B:$B,)))+0.05*$EW$29,0)+IF(O76="sp",0.05*$EW$32*$EW$30*(1-$EW$33)-(0.05-INDEX(绊状态确认!V:V,MATCH($G76,绊状态确认!$B:$B,)))*$EW$29,0)+IF(O76="gd",-(0.05-INDEX(绊状态确认!X:X,MATCH($G76,绊状态确认!$B:$B,)))*$EW$32*$EW$30*(1-$EW$33)+$EW$26*(-HP($EW$62,$EW$65,$EW$64)+HP($EW$62,$EW$65,0.95*$EW$64)),0)</f>
        <v>-1780.0000000000005</v>
      </c>
      <c r="BL76" s="1111">
        <f t="shared" si="117"/>
        <v>-2166.6666666666665</v>
      </c>
      <c r="BM76" s="1110">
        <f t="shared" si="118"/>
        <v>-1661.1111111111109</v>
      </c>
      <c r="BN76" s="1113">
        <f t="shared" si="119"/>
        <v>2</v>
      </c>
      <c r="BO76" s="1097">
        <f t="shared" si="120"/>
        <v>3005.1476580839999</v>
      </c>
      <c r="BP76" s="1100">
        <f t="shared" si="121"/>
        <v>147.56068806020068</v>
      </c>
      <c r="BQ76" s="1113" t="s">
        <v>623</v>
      </c>
      <c r="BR76" s="1124" t="s">
        <v>168</v>
      </c>
      <c r="BS76" s="1098">
        <f>IF($P76="","N/A",IF($P76=-1,INDEX('卡片raw data'!AX:AX,MATCH($D76,'卡片raw data'!$F:$F,)),0)+IF($L76="party卡",IF($P76=5,INDEX('卡片raw data'!BD:BD,MATCH($D76,'卡片raw data'!$F:$F,)),IF($P76&gt;=3,INDEX('卡片raw data'!BC:BC,MATCH($D76,'卡片raw data'!$F:$F,)),INDEX('卡片raw data'!BB:BB,MATCH($D76,'卡片raw data'!$F:$F,)))),IF(OR(AND($F76="UR",$P76=0),AND($F76="SR",$P76&gt;=0,$P76&lt;=2),AND($F76="R",$P76&gt;=0,$P76&lt;4)),INDEX('卡片raw data'!AZ:AZ,MATCH($D76,'卡片raw data'!$F:$F,)),0)+IF(OR(AND($F76="UR",$P76&gt;=1,$P76&lt;=4),AND($F76="SR",$P76&lt;=4,$P76&gt;=3),AND($F76="R",$P76=4)),INDEX('卡片raw data'!BA:BA,MATCH($D76,'卡片raw data'!$F:$F,)),0)+IF($P76=5,INDEX('卡片raw data'!BB:BB,MATCH($D76,'卡片raw data'!$F:$F,)),0)))</f>
        <v>0.03</v>
      </c>
      <c r="BT76" s="1101">
        <f t="shared" si="122"/>
        <v>2253.8607435630001</v>
      </c>
      <c r="BU76" s="1097">
        <f t="shared" si="123"/>
        <v>110.67051604515049</v>
      </c>
      <c r="BV76" s="1097">
        <f t="shared" si="124"/>
        <v>0</v>
      </c>
      <c r="BW76" s="1112">
        <f t="shared" si="125"/>
        <v>0</v>
      </c>
      <c r="BX76" s="1100">
        <f t="shared" si="126"/>
        <v>2253.8607435630001</v>
      </c>
      <c r="BY76" s="1110">
        <f t="shared" si="127"/>
        <v>0</v>
      </c>
      <c r="BZ76" s="1107" t="s">
        <v>569</v>
      </c>
      <c r="CA76" s="1124"/>
      <c r="CB76" s="1098">
        <f>IF($P76="","N/A",IF($P76=-1,INDEX('卡片raw data'!BE:BE,MATCH($D76,'卡片raw data'!$F:$F,)),0)+IF($L76="party卡",IF($P76=5,INDEX('卡片raw data'!BK:BK,MATCH($D76,'卡片raw data'!$F:$F,)),IF($P76&gt;=3,INDEX('卡片raw data'!BJ:BJ,MATCH($D76,'卡片raw data'!$F:$F,)),INDEX('卡片raw data'!BI:BI,MATCH($D76,'卡片raw data'!$F:$F,)))),IF(OR(AND($F76="UR",$P76=0),AND($F76="SR",$P76&gt;=0,$P76&lt;=2),AND($F76="R",$P76&gt;=0,$P76&lt;4)),INDEX('卡片raw data'!BG:BG,MATCH($D76,'卡片raw data'!$F:$F,)),0)+IF(OR(AND($F76="UR",$P76&gt;=1,$P76&lt;=4),AND($F76="SR",$P76&lt;=4,$P76&gt;=3),AND($F76="R",$P76=4)),INDEX('卡片raw data'!BH:BH,MATCH($D76,'卡片raw data'!$F:$F,)),0)+IF($P76=5,INDEX('卡片raw data'!BI:BI,MATCH($D76,'卡片raw data'!$F:$F,)),0)))</f>
        <v>0</v>
      </c>
      <c r="CC76" s="1101">
        <f t="shared" si="128"/>
        <v>0</v>
      </c>
      <c r="CD76" s="1097">
        <f>IF(BZ76="ap",CB76*(1-$FI$26)*$FB$5/$FB$11*(+IF(CA76="全员",$FA$24,0)+IF(CA76="同作战",$FA$24,0)+IF(CA76="仲间",$FA$24*2/3,0)+IF(CA76="同属性",$FA$24*$FA$37/3,0)+IF(CA76="同年级",$FA$24*$FA$40/3,0)+IF(CA76="同学校",$FA$24*$FA$43/3,0)+IF(CA76="同小队",$FA$24*$FA$46/3,0)+IF(CA76="同type",$FA$24*INDEX($FB$49:$FB$52,MATCH(X76,$FA$49:$FA$52,))/3,0)+IF(CA76="自身",#REF!/3,0)),0)+IF(BZ76="te",CB76*(1-$FI$27)*($FA$20-1)*$FB$7/$FB$13*(+IF(CA76="全员",$FA$19*$FA$24/(1+($FA$20-1)*$FA$19),0)+IF(CA76="同作战",$FA$19*$FA$24/(1+($FA$20-1)*$FA$19),0)+IF(CA76="仲间",$FA$19*$FA$24*2/3/(1+($FA$20-1)*$FA$19),0)+IF(CA76="同属性",$FA$19*$FA$24*$FA$37/3/(1+($FA$20-1)*$FA$19),0)+IF(CA76="同年级",$FA$19*$FA$24*$FA$40/3/(1+($FA$20-1)*$FA$19),0)+IF(CA76="同学校",$FA$19*$FA$24*$FA$43/3/(1+($FA$20-1)*$FA$19),0)+IF(CA76="同小队",$FA$19*$FA$24*$FA$46/3/(1+($FA$20-1)*$FA$19),0)+IF(CA76="同type",$FA$19*$FA$24*INDEX($FB$49:$FB$52,MATCH(X76,$FA$49:$FA$52,))/3/(1+($FA$20-1)*$FA$19),0)+IF(CA76="自身",$FA$19*#REF!/3/(1+(BH76-1)*$BD76),0)),0)</f>
        <v>0</v>
      </c>
      <c r="CE76" s="1097">
        <f t="shared" si="129"/>
        <v>0</v>
      </c>
      <c r="CF76" s="1112">
        <f t="shared" si="130"/>
        <v>0</v>
      </c>
      <c r="CG76" s="1100">
        <f t="shared" si="131"/>
        <v>0</v>
      </c>
      <c r="CH76" s="1110">
        <f t="shared" si="132"/>
        <v>0</v>
      </c>
      <c r="CI76" s="1113"/>
      <c r="CJ76" s="1114"/>
      <c r="CK76" s="1115" t="s">
        <v>569</v>
      </c>
      <c r="CL76" s="1115"/>
      <c r="CM76" s="1119"/>
      <c r="CN76" s="1115"/>
      <c r="CO76" s="1092"/>
      <c r="CP76" s="1117">
        <f t="shared" si="133"/>
        <v>0</v>
      </c>
      <c r="CQ76" s="1117">
        <f t="shared" si="134"/>
        <v>0</v>
      </c>
      <c r="CR76" s="1117">
        <f t="shared" si="135"/>
        <v>0</v>
      </c>
      <c r="CS76" s="1118">
        <f t="shared" si="136"/>
        <v>0</v>
      </c>
      <c r="CT76" s="1109">
        <f t="shared" si="137"/>
        <v>0</v>
      </c>
      <c r="CU76" s="1101">
        <f t="shared" si="138"/>
        <v>0</v>
      </c>
      <c r="CV76" s="1108">
        <f t="shared" si="139"/>
        <v>0</v>
      </c>
      <c r="CW76" s="1097">
        <f t="shared" si="140"/>
        <v>0</v>
      </c>
      <c r="CX76" s="1097">
        <f t="shared" si="141"/>
        <v>0</v>
      </c>
      <c r="CY76" s="1110">
        <f t="shared" si="142"/>
        <v>0</v>
      </c>
      <c r="CZ76" s="437"/>
      <c r="DA76" s="438"/>
      <c r="DB76" s="439" t="s">
        <v>569</v>
      </c>
      <c r="DC76" s="439"/>
      <c r="DD76" s="443"/>
      <c r="DE76" s="411"/>
      <c r="DF76" s="411"/>
      <c r="DG76" s="1116">
        <f t="shared" si="143"/>
        <v>0</v>
      </c>
      <c r="DH76" s="1116">
        <f t="shared" si="144"/>
        <v>0</v>
      </c>
      <c r="DI76" s="1116">
        <f t="shared" si="145"/>
        <v>0</v>
      </c>
      <c r="DJ76" s="442">
        <f t="shared" si="146"/>
        <v>0</v>
      </c>
      <c r="DK76" s="1109">
        <f t="shared" si="147"/>
        <v>0</v>
      </c>
      <c r="DL76" s="1101">
        <f t="shared" si="148"/>
        <v>0</v>
      </c>
      <c r="DM76" s="1097">
        <f t="shared" si="149"/>
        <v>0</v>
      </c>
      <c r="DN76" s="1097">
        <f t="shared" si="150"/>
        <v>0</v>
      </c>
      <c r="DO76" s="1097">
        <f t="shared" si="151"/>
        <v>0</v>
      </c>
      <c r="DP76" s="1110">
        <f t="shared" si="152"/>
        <v>0</v>
      </c>
      <c r="DQ76" s="1113" t="s">
        <v>549</v>
      </c>
      <c r="DR76" s="1120">
        <f t="shared" si="153"/>
        <v>0.3</v>
      </c>
      <c r="DS76" s="1124"/>
      <c r="DT76" s="1093" t="s">
        <v>546</v>
      </c>
      <c r="DU76" s="1093"/>
      <c r="DV76" s="1097">
        <f>IF($P76="","N/A",IF(P76=-1,INDEX('卡片raw data'!AN:AN,MATCH(D76,'卡片raw data'!$F:$F,)),0)+IF(AND(L76&lt;&gt;"party卡",P76&lt;=2,P76&gt;=0),INDEX('卡片raw data'!AP:AP,MATCH(D76,'卡片raw data'!$F:$F,)),0)+IF(OR(AND(L76="party卡",P76&lt;=1),AND(P76&lt;=4,L76&lt;&gt;"party卡",P76&gt;=3)),INDEX('卡片raw data'!AQ:AQ,MATCH(D76,'卡片raw data'!$F:$F,)),0)+IF(OR(P76=5,AND(L76="party卡",P76&gt;=2)),INDEX('卡片raw data'!AR:AR,MATCH(D76,'卡片raw data'!$F:$F,)),0))</f>
        <v>150</v>
      </c>
      <c r="DW76" s="1098">
        <f t="shared" si="154"/>
        <v>0.3</v>
      </c>
      <c r="DX76" s="1098">
        <f t="shared" si="155"/>
        <v>0.3</v>
      </c>
      <c r="DY76" s="1098">
        <f t="shared" si="156"/>
        <v>2.0833333333333333E-3</v>
      </c>
      <c r="DZ76" s="1098">
        <f t="shared" si="157"/>
        <v>2.4868749999999999E-3</v>
      </c>
      <c r="EA76" s="1098">
        <f t="shared" si="158"/>
        <v>0</v>
      </c>
      <c r="EB76" s="1121">
        <f t="shared" si="159"/>
        <v>15.236812499999997</v>
      </c>
      <c r="EC76" s="1101">
        <f t="shared" si="160"/>
        <v>937.5</v>
      </c>
      <c r="ED76" s="1097">
        <f t="shared" si="161"/>
        <v>621.71875</v>
      </c>
      <c r="EE76" s="1110">
        <f t="shared" si="162"/>
        <v>937.5</v>
      </c>
      <c r="EF76" s="1092" t="s">
        <v>711</v>
      </c>
      <c r="EG76" s="1120">
        <f t="shared" si="163"/>
        <v>0.3</v>
      </c>
      <c r="EH76" s="1124"/>
      <c r="EI76" s="1093"/>
      <c r="EJ76" s="1093"/>
      <c r="EK76" s="1097">
        <f>IF($P76="","N/A",IF(P76=-1,INDEX('卡片raw data'!AS:AS,MATCH(D76,'卡片raw data'!$F:$F,)),0)+IF(AND(L76&lt;&gt;"party卡",P76&lt;=2,P76&gt;=0),INDEX('卡片raw data'!AU:AU,MATCH(D76,'卡片raw data'!$F:$F,)),0)+IF(OR(AND(L76="party卡",P76&lt;=1),AND(P76&lt;=4,L76&lt;&gt;"party卡",P76&gt;=3)),INDEX('卡片raw data'!AV:AV,MATCH(D76,'卡片raw data'!$F:$F,)),0)+IF(OR(P76=5,AND(L76="party卡",P76&gt;=2)),INDEX('卡片raw data'!AW:AW,MATCH(D76,'卡片raw data'!$F:$F,)),0))</f>
        <v>0</v>
      </c>
      <c r="EL76" s="1098">
        <f t="shared" si="164"/>
        <v>0.3</v>
      </c>
      <c r="EM76" s="1098">
        <f t="shared" si="165"/>
        <v>0.3</v>
      </c>
      <c r="EN76" s="1125">
        <f t="shared" si="166"/>
        <v>0</v>
      </c>
      <c r="EO76" s="1125">
        <f t="shared" si="167"/>
        <v>0</v>
      </c>
      <c r="EP76" s="1098">
        <f t="shared" si="168"/>
        <v>0</v>
      </c>
      <c r="EQ76" s="1121">
        <f t="shared" si="169"/>
        <v>0</v>
      </c>
      <c r="ER76" s="1101">
        <f t="shared" si="170"/>
        <v>0</v>
      </c>
      <c r="ES76" s="1097">
        <f t="shared" si="171"/>
        <v>0</v>
      </c>
      <c r="ET76" s="1122">
        <f t="shared" si="172"/>
        <v>0</v>
      </c>
      <c r="EV76" s="1248" t="s">
        <v>252</v>
      </c>
      <c r="EW76" s="1321">
        <v>15</v>
      </c>
      <c r="EX76" s="1322"/>
      <c r="EY76" s="1232"/>
      <c r="EZ76" s="1232"/>
      <c r="FA76" s="1232"/>
      <c r="FB76" s="1232"/>
    </row>
    <row r="77" spans="2:158" ht="16.5" customHeight="1">
      <c r="B77" s="1123" t="str">
        <f>INDEX('卡片raw data'!B:B,MATCH($D77,'卡片raw data'!$F:$F,))</f>
        <v>练习步</v>
      </c>
      <c r="C77" s="449" t="s">
        <v>22</v>
      </c>
      <c r="D77" s="408">
        <v>74</v>
      </c>
      <c r="E77" s="1090">
        <v>102011002</v>
      </c>
      <c r="F77" s="1090" t="str">
        <f>INDEX('卡片raw data'!C:C,MATCH($D77,'卡片raw data'!$F:$F,))</f>
        <v>R</v>
      </c>
      <c r="G77" s="1094" t="s">
        <v>350</v>
      </c>
      <c r="H77" s="411">
        <f>IFERROR(INDEX(绊状态确认!C:C,MATCH($G77,绊状态确认!$B:$B,)),"")</f>
        <v>201</v>
      </c>
      <c r="I77" s="450" t="str">
        <f>IFERROR(INDEX(绊状态确认!D:D,MATCH($G77,绊状态确认!$B:$B,)),"")</f>
        <v>虹</v>
      </c>
      <c r="J77" s="450" t="str">
        <f>IFERROR(INDEX(绊状态确认!E:E,MATCH($G77,绊状态确认!$B:$B,)),"")</f>
        <v>2年级</v>
      </c>
      <c r="K77" s="451" t="str">
        <f>IFERROR(INDEX(绊状态确认!F:F,MATCH($G77,绊状态确认!$B:$B,)),"")</f>
        <v>A·ZU·NA</v>
      </c>
      <c r="L77" s="1094" t="str">
        <f>INDEX('卡片raw data'!E:E,MATCH($D77,'卡片raw data'!$F:$F,))</f>
        <v>卡池卡</v>
      </c>
      <c r="M77" s="415">
        <v>43735</v>
      </c>
      <c r="N77" s="416">
        <v>0</v>
      </c>
      <c r="O77" s="1091" t="str">
        <f>INDEX('卡片raw data'!D:D,MATCH($D77,'卡片raw data'!$F:$F,))</f>
        <v>sk</v>
      </c>
      <c r="P77" s="417">
        <v>5</v>
      </c>
      <c r="Q77" s="1095">
        <f t="shared" si="88"/>
        <v>10685.4636598086</v>
      </c>
      <c r="R77" s="1096">
        <f t="shared" si="89"/>
        <v>0.124</v>
      </c>
      <c r="S77" s="1097">
        <f t="shared" si="90"/>
        <v>9836.6854575712241</v>
      </c>
      <c r="T77" s="1098">
        <f t="shared" si="91"/>
        <v>0.49099999999999999</v>
      </c>
      <c r="U77" s="1099">
        <f t="shared" si="92"/>
        <v>9.5301249921428557</v>
      </c>
      <c r="V77" s="1100">
        <f t="shared" si="93"/>
        <v>13441.905687886159</v>
      </c>
      <c r="W77" s="1101">
        <f t="shared" si="94"/>
        <v>3681.3058811528999</v>
      </c>
      <c r="X77" s="1096">
        <f t="shared" si="95"/>
        <v>4.2000000000000003E-2</v>
      </c>
      <c r="Y77" s="1097">
        <f t="shared" si="96"/>
        <v>756.44202807755937</v>
      </c>
      <c r="Z77" s="1102">
        <f t="shared" si="97"/>
        <v>9.5301249921428557</v>
      </c>
      <c r="AA77" s="1103">
        <f t="shared" si="98"/>
        <v>4437.7479092304593</v>
      </c>
      <c r="AB77" s="1101">
        <f t="shared" si="99"/>
        <v>4132.0780298655</v>
      </c>
      <c r="AC77" s="1104">
        <f t="shared" si="100"/>
        <v>4.8000000000000001E-2</v>
      </c>
      <c r="AD77" s="1105">
        <f t="shared" si="101"/>
        <v>2.7996927556818183E-2</v>
      </c>
      <c r="AE77" s="1128">
        <f t="shared" si="102"/>
        <v>2.4833031592913049</v>
      </c>
      <c r="AF77" s="1130">
        <f t="shared" si="103"/>
        <v>0</v>
      </c>
      <c r="AG77" s="420">
        <f t="shared" si="104"/>
        <v>0</v>
      </c>
      <c r="AH77" s="420">
        <f t="shared" si="105"/>
        <v>0</v>
      </c>
      <c r="AI77" s="1097">
        <f t="shared" si="106"/>
        <v>0</v>
      </c>
      <c r="AJ77" s="420">
        <f t="shared" si="107"/>
        <v>0</v>
      </c>
      <c r="AK77" s="518">
        <f t="shared" si="108"/>
        <v>0</v>
      </c>
      <c r="AL77" s="1106">
        <f>IF($P77="","N/A",(IF($P77=-1,INDEX('卡片raw data'!S:S,MATCH($D77,'卡片raw data'!$F:$F,)),0)+IF($P77=0,INDEX('卡片raw data'!V:V,MATCH($D77,'卡片raw data'!$F:$F,)),0)+IF($P77=1,INDEX('卡片raw data'!Y:Y,MATCH($D77,'卡片raw data'!$F:$F,)),0)+IF($P77=2,INDEX('卡片raw data'!AB:AB,MATCH($D77,'卡片raw data'!$F:$F,)),0)+IF($P77=3,INDEX('卡片raw data'!AE:AE,MATCH($D77,'卡片raw data'!$F:$F,)),0)+IF($P77=4,INDEX('卡片raw data'!AH:AH,MATCH($D77,'卡片raw data'!$F:$F,)),0)+IF($P77=5,INDEX('卡片raw data'!AK:AK,MATCH($D77,'卡片raw data'!$F:$F,)),0)+INDEX('卡片raw data'!S:S,MATCH($D77,'卡片raw data'!$F:$F,))*(IF($F77="UR",0.04,0.033))*(IF($F77="UR",INDEX(绊状态确认!$S:$S,MATCH($G77,绊状态确认!$B:$B,))/2-40)+IF($F77="SR",INDEX(绊状态确认!$R:$R,MATCH($G77,绊状态确认!$B:$B,))/4-15))+IF($F77="R",INDEX(绊状态确认!$Q:$Q,MATCH($G77,绊状态确认!$B:$B,))/6-40/6)))*(INDEX(绊状态确认!$H:$H,MATCH($G77,绊状态确认!$B:$B,))+INDEX(绊状态确认!J:J,MATCH($G77,绊状态确认!$B:$B,)))</f>
        <v>4535.3723999999993</v>
      </c>
      <c r="AM77" s="1106">
        <f>IF($P77="","N/A",(IF($P77=-1,INDEX('卡片raw data'!T:T,MATCH($D77,'卡片raw data'!$F:$F,)),0)+IF($P77=0,INDEX('卡片raw data'!W:W,MATCH($D77,'卡片raw data'!$F:$F,)),0)+IF($P77=1,INDEX('卡片raw data'!Z:Z,MATCH($D77,'卡片raw data'!$F:$F,)),0)+IF($P77=2,INDEX('卡片raw data'!AC:AC,MATCH($D77,'卡片raw data'!$F:$F,)),0)+IF($P77=3,INDEX('卡片raw data'!AF:AF,MATCH($D77,'卡片raw data'!$F:$F,)),0)+IF($P77=4,INDEX('卡片raw data'!AI:AI,MATCH($D77,'卡片raw data'!$F:$F,)),0)+IF($P77=5,INDEX('卡片raw data'!AL:AL,MATCH($D77,'卡片raw data'!$F:$F,)),0)+INDEX('卡片raw data'!T:T,MATCH($D77,'卡片raw data'!$F:$F,))*(IF($F77="UR",0.04,0.033))*(IF($F77="UR",INDEX(绊状态确认!$S:$S,MATCH($G77,绊状态确认!$B:$B,))/2-40)+IF($F77="SR",INDEX(绊状态确认!$R:$R,MATCH($G77,绊状态确认!$B:$B,))/4-15))+IF($F77="R",INDEX(绊状态确认!$Q:$Q,MATCH($G77,绊状态确认!$B:$B,))/6-40/6)))*(INDEX(绊状态确认!$H:$H,MATCH($G77,绊状态确认!$B:$B,))+INDEX(绊状态确认!K:K,MATCH($G77,绊状态确认!$B:$B,)))</f>
        <v>4535.3723999999993</v>
      </c>
      <c r="AN77" s="1106">
        <f>IF($P77="","N/A",(IF($P77=-1,INDEX('卡片raw data'!U:U,MATCH($D77,'卡片raw data'!$F:$F,)),0)+IF($P77=0,INDEX('卡片raw data'!X:X,MATCH($D77,'卡片raw data'!$F:$F,)),0)+IF($P77=1,INDEX('卡片raw data'!AA:AA,MATCH($D77,'卡片raw data'!$F:$F,)),0)+IF($P77=2,INDEX('卡片raw data'!AD:AD,MATCH($D77,'卡片raw data'!$F:$F,)),0)+IF($P77=3,INDEX('卡片raw data'!AG:AG,MATCH($D77,'卡片raw data'!$F:$F,)),0)+IF($P77=4,INDEX('卡片raw data'!AJ:AJ,MATCH($D77,'卡片raw data'!$F:$F,)),0)+IF($P77=5,INDEX('卡片raw data'!AM:AM,MATCH($D77,'卡片raw data'!$F:$F,)),0)+INDEX('卡片raw data'!U:U,MATCH($D77,'卡片raw data'!$F:$F,))*(IF($F77="UR",0.04,0.033))*(IF($F77="UR",INDEX(绊状态确认!$S:$S,MATCH($G77,绊状态确认!$B:$B,))/2-40)+IF($F77="SR",INDEX(绊状态确认!$R:$R,MATCH($G77,绊状态确认!$B:$B,))/4-15))+IF($F77="R",INDEX(绊状态确认!$Q:$Q,MATCH($G77,绊状态确认!$B:$B,))/6-40/6)))*(INDEX(绊状态确认!$H:$H,MATCH($G77,绊状态确认!$B:$B,))+INDEX(绊状态确认!L:L,MATCH($G77,绊状态确认!$B:$B,)))</f>
        <v>4670.6039999999994</v>
      </c>
      <c r="AO77" s="1107">
        <f t="shared" si="109"/>
        <v>1</v>
      </c>
      <c r="AP77" s="1131">
        <f>1+(INDEX(绊状态确认!$T:$T,MATCH($G77,绊状态确认!$B:$B,))+0.2)*$AO77</f>
        <v>1.3</v>
      </c>
      <c r="AQ77" s="1108">
        <f t="shared" si="110"/>
        <v>15155.352549999998</v>
      </c>
      <c r="AR77" s="1097">
        <f>(AM77*(1+$EX$9)+$EX$35)*(1+(INDEX(绊状态确认!$T:$T,MATCH($G77,绊状态确认!$B:$B,))+0.2)*AO77)*IF(J77=$FF$17,1+$FE$17,1)*IF(I77=$FF$14,1+$FE$14,1)</f>
        <v>8894.7833259999989</v>
      </c>
      <c r="AS77" s="1097">
        <f>(AN77*(1+$EX$10)+$EX$36)*(1+(INDEX(绊状态确认!$T:$T,MATCH($G77,绊状态确认!$B:$B,))+0.2)*AO77)*IF(J77=$FF$17,1+$FE$17,1)*IF(I77=$FF$14,1+$FE$14,1)</f>
        <v>11038.552979999999</v>
      </c>
      <c r="AT77" s="1093">
        <f>IF(AND(INDEX('卡片raw data'!AK:AK,MATCH($D77,'卡片raw data'!$F:$F,))&lt;INDEX('卡片raw data'!AM:AM,MATCH($D77,'卡片raw data'!$F:$F,)),INDEX('卡片raw data'!AL:AL,MATCH($D77,'卡片raw data'!$F:$F,))&lt;INDEX('卡片raw data'!AM:AM,MATCH($D77,'卡片raw data'!$F:$F,))),1,0)</f>
        <v>1</v>
      </c>
      <c r="AU77" s="1098">
        <f>MIN(AT77*0.15+AS77*0.00003+INDEX(绊状态确认!M:M,MATCH($G77,绊状态确认!$B:$B,)),1)</f>
        <v>0.51115658939999997</v>
      </c>
      <c r="AV77" s="1109">
        <f>(INDEX(绊状态确认!$N:$N,MATCH($G77,绊状态确认!$B:$B,))+1.5)*$EW$21</f>
        <v>2.6599999999999997</v>
      </c>
      <c r="AW77" s="1101">
        <f t="shared" si="111"/>
        <v>14549.482507337281</v>
      </c>
      <c r="AX77" s="1097">
        <f t="shared" si="112"/>
        <v>756.44202807755914</v>
      </c>
      <c r="AY77" s="1110">
        <f t="shared" si="113"/>
        <v>15305.924535414841</v>
      </c>
      <c r="AZ77" s="429">
        <f t="shared" si="114"/>
        <v>11443.976179999998</v>
      </c>
      <c r="BA77" s="431">
        <f t="shared" si="115"/>
        <v>13732.771415999998</v>
      </c>
      <c r="BB77" s="1097">
        <f>(AM77*(1+$FB$9)+$FB$35)*(1+(INDEX(绊状态确认!$T:$T,MATCH($G77,绊状态确认!$B:$B,))+0.2)*AO77)*IF(J77=$FF$17,1+$FE$17,1)*IF(I77=$FF$14,1+$FE$14,1)*(1+$FE$15)</f>
        <v>8894.7833259999989</v>
      </c>
      <c r="BC77" s="1097">
        <f>(AN77*(1+$FB$10)+$FB$36)*(1+(INDEX(绊状态确认!$T:$T,MATCH($G77,绊状态确认!$B:$B,))+0.2)*AO77)*IF(J77=$FF$17,1+$FE$17,1)*IF(I77=$FF$14,1+$FE$14,1)*(1+$FE$15)</f>
        <v>11038.552979999999</v>
      </c>
      <c r="BD77" s="1104">
        <f>MIN(AT77*0.15+BC77*0.00003+INDEX(绊状态确认!M:M,MATCH($G77,绊状态确认!$B:$B,)),1)</f>
        <v>0.51115658939999997</v>
      </c>
      <c r="BE77" s="432">
        <f>(INDEX(绊状态确认!$N:$N,MATCH($G77,绊状态确认!$B:$B,))+1.5)</f>
        <v>1.9</v>
      </c>
      <c r="BF77" s="1139">
        <f t="array" ref="BF77">SUMPRODUCT(IF(AZ77*AP77*$FI$16:$FI$23*$FA$22&gt;=$FI$24,$FI$24,AZ77*AP77*$FI$16:$FI$23*$FA$22),$FJ$16:$FJ$23)</f>
        <v>22762.068622019997</v>
      </c>
      <c r="BG77" s="1125">
        <f t="array" ref="BG77">SUMPRODUCT(IF(BE77*AZ77*AP77*$FI$16:$FI$23*$FA$22&gt;=$FI$24,$FI$24,BE77*AZ77*AP77*$FI$16:$FI$23*$FA$22),$FJ$16:$FJ$23)</f>
        <v>43247.930381837999</v>
      </c>
      <c r="BH77" s="1110">
        <f t="shared" si="116"/>
        <v>11077.850616696151</v>
      </c>
      <c r="BI77" s="1111">
        <f>IF(O77="vo",$EW$26/$EW$24*0.05,0)+IF(O77="sk",-$EW$26/$EW$24*(0.05-INDEX(绊状态确认!W:W,MATCH($G77,绊状态确认!$B:$B,)))+0.05*$EW$28,0)+IF(O77="sp",0.05*$EW$32*$EW$30*(1-$EW$33)-(0.05-INDEX(绊状态确认!V:V,MATCH($G77,绊状态确认!$B:$B,)))*$EW$28,0)+IF(O77="gd",-(0.05-INDEX(绊状态确认!X:X,MATCH($G77,绊状态确认!$B:$B,)))*$EW$32*$EW$30*(1-$EW$33),0)</f>
        <v>-6253.6726349699375</v>
      </c>
      <c r="BJ77" s="1097">
        <f>IF(O77="vo",0.05*(1-$FI$26)*$FA$24,0)+IF(O77="sk",-(0.05-INDEX(绊状态确认!W:W,MATCH($G77,绊状态确认!$B:$B,)))*(1-$FI$26)*$FA$24+0.05*$FA$26,0)+IF(O77="sp",0.05*$FA$32*$FA$27*(1-$FA$33)/$FA$30+0.05*$FA$29/$FA$69*$FA$27*(1-$FA$33)-(0.05-INDEX(绊状态确认!V:V,MATCH($G77,绊状态确认!$B:$B,)))*$FA$26,0)+IF(O77="gd",-(0.05-INDEX(绊状态确认!X:X,MATCH($G77,绊状态确认!$B:$B,)))*$FA$32*$FA$27*(1-$FA$33)/$FA$30-(0.05-INDEX(绊状态确认!X:X,MATCH($G77,绊状态确认!$B:$B,)))*$FA$29/$FA$69*$FA$27*(1-$FA$33),0)</f>
        <v>20.459096812499922</v>
      </c>
      <c r="BK77" s="1110">
        <f>IF(O77="vo",$EW$26/$EW$24*0.05+$EW$26*(-HP($EW$62,$EW$65,$EW$64)+HP($EW$62,$EW$65,(1.05-INDEX(绊状态确认!U:U,MATCH($G77,绊状态确认!$B:$B,)))*$EW$64)),0)+IF(O77="sk",-$EW$26/$EW$24*(0.05-INDEX(绊状态确认!W:W,MATCH($G77,绊状态确认!$B:$B,)))+0.05*$EW$29,0)+IF(O77="sp",0.05*$EW$32*$EW$30*(1-$EW$33)-(0.05-INDEX(绊状态确认!V:V,MATCH($G77,绊状态确认!$B:$B,)))*$EW$29,0)+IF(O77="gd",-(0.05-INDEX(绊状态确认!X:X,MATCH($G77,绊状态确认!$B:$B,)))*$EW$32*$EW$30*(1-$EW$33)+$EW$26*(-HP($EW$62,$EW$65,$EW$64)+HP($EW$62,$EW$65,0.95*$EW$64)),0)</f>
        <v>-4253.6726349699375</v>
      </c>
      <c r="BL77" s="1111">
        <f t="shared" si="117"/>
        <v>-2166.6666666666665</v>
      </c>
      <c r="BM77" s="1110">
        <f t="shared" si="118"/>
        <v>-1661.1111111111109</v>
      </c>
      <c r="BN77" s="1113">
        <f t="shared" si="119"/>
        <v>2</v>
      </c>
      <c r="BO77" s="1097">
        <f t="shared" si="120"/>
        <v>3005.1476580839999</v>
      </c>
      <c r="BP77" s="1100">
        <f t="shared" si="121"/>
        <v>147.56068806020068</v>
      </c>
      <c r="BQ77" s="1113" t="s">
        <v>623</v>
      </c>
      <c r="BR77" s="1124" t="s">
        <v>617</v>
      </c>
      <c r="BS77" s="1098">
        <f>IF($P77="","N/A",IF($P77=-1,INDEX('卡片raw data'!AX:AX,MATCH($D77,'卡片raw data'!$F:$F,)),0)+IF($L77="party卡",IF($P77=5,INDEX('卡片raw data'!BD:BD,MATCH($D77,'卡片raw data'!$F:$F,)),IF($P77&gt;=3,INDEX('卡片raw data'!BC:BC,MATCH($D77,'卡片raw data'!$F:$F,)),INDEX('卡片raw data'!BB:BB,MATCH($D77,'卡片raw data'!$F:$F,)))),IF(OR(AND($F77="UR",$P77=0),AND($F77="SR",$P77&gt;=0,$P77&lt;=2),AND($F77="R",$P77&gt;=0,$P77&lt;4)),INDEX('卡片raw data'!AZ:AZ,MATCH($D77,'卡片raw data'!$F:$F,)),0)+IF(OR(AND($F77="UR",$P77&gt;=1,$P77&lt;=4),AND($F77="SR",$P77&lt;=4,$P77&gt;=3),AND($F77="R",$P77=4)),INDEX('卡片raw data'!BA:BA,MATCH($D77,'卡片raw data'!$F:$F,)),0)+IF($P77=5,INDEX('卡片raw data'!BB:BB,MATCH($D77,'卡片raw data'!$F:$F,)),0)))</f>
        <v>2.7E-2</v>
      </c>
      <c r="BT77" s="1101">
        <f t="shared" si="122"/>
        <v>1126.9303717815001</v>
      </c>
      <c r="BU77" s="1097">
        <f t="shared" si="123"/>
        <v>55.335258022575253</v>
      </c>
      <c r="BV77" s="1097">
        <f t="shared" si="124"/>
        <v>676.15822306889982</v>
      </c>
      <c r="BW77" s="1112">
        <f t="shared" si="125"/>
        <v>0</v>
      </c>
      <c r="BX77" s="1100">
        <f t="shared" si="126"/>
        <v>1126.9303717815001</v>
      </c>
      <c r="BY77" s="1110">
        <f t="shared" si="127"/>
        <v>676.15822306889982</v>
      </c>
      <c r="BZ77" s="1107" t="s">
        <v>569</v>
      </c>
      <c r="CA77" s="1124"/>
      <c r="CB77" s="1098">
        <f>IF($P77="","N/A",IF($P77=-1,INDEX('卡片raw data'!BE:BE,MATCH($D77,'卡片raw data'!$F:$F,)),0)+IF($L77="party卡",IF($P77=5,INDEX('卡片raw data'!BK:BK,MATCH($D77,'卡片raw data'!$F:$F,)),IF($P77&gt;=3,INDEX('卡片raw data'!BJ:BJ,MATCH($D77,'卡片raw data'!$F:$F,)),INDEX('卡片raw data'!BI:BI,MATCH($D77,'卡片raw data'!$F:$F,)))),IF(OR(AND($F77="UR",$P77=0),AND($F77="SR",$P77&gt;=0,$P77&lt;=2),AND($F77="R",$P77&gt;=0,$P77&lt;4)),INDEX('卡片raw data'!BG:BG,MATCH($D77,'卡片raw data'!$F:$F,)),0)+IF(OR(AND($F77="UR",$P77&gt;=1,$P77&lt;=4),AND($F77="SR",$P77&lt;=4,$P77&gt;=3),AND($F77="R",$P77=4)),INDEX('卡片raw data'!BH:BH,MATCH($D77,'卡片raw data'!$F:$F,)),0)+IF($P77=5,INDEX('卡片raw data'!BI:BI,MATCH($D77,'卡片raw data'!$F:$F,)),0)))</f>
        <v>0</v>
      </c>
      <c r="CC77" s="1101">
        <f t="shared" si="128"/>
        <v>0</v>
      </c>
      <c r="CD77" s="1097">
        <f>IF(BZ77="ap",CB77*(1-$FI$26)*$FB$5/$FB$11*(+IF(CA77="全员",$FA$24,0)+IF(CA77="同作战",$FA$24,0)+IF(CA77="仲间",$FA$24*2/3,0)+IF(CA77="同属性",$FA$24*$FA$37/3,0)+IF(CA77="同年级",$FA$24*$FA$40/3,0)+IF(CA77="同学校",$FA$24*$FA$43/3,0)+IF(CA77="同小队",$FA$24*$FA$46/3,0)+IF(CA77="同type",$FA$24*INDEX($FB$49:$FB$52,MATCH(X77,$FA$49:$FA$52,))/3,0)+IF(CA77="自身",#REF!/3,0)),0)+IF(BZ77="te",CB77*(1-$FI$27)*($FA$20-1)*$FB$7/$FB$13*(+IF(CA77="全员",$FA$19*$FA$24/(1+($FA$20-1)*$FA$19),0)+IF(CA77="同作战",$FA$19*$FA$24/(1+($FA$20-1)*$FA$19),0)+IF(CA77="仲间",$FA$19*$FA$24*2/3/(1+($FA$20-1)*$FA$19),0)+IF(CA77="同属性",$FA$19*$FA$24*$FA$37/3/(1+($FA$20-1)*$FA$19),0)+IF(CA77="同年级",$FA$19*$FA$24*$FA$40/3/(1+($FA$20-1)*$FA$19),0)+IF(CA77="同学校",$FA$19*$FA$24*$FA$43/3/(1+($FA$20-1)*$FA$19),0)+IF(CA77="同小队",$FA$19*$FA$24*$FA$46/3/(1+($FA$20-1)*$FA$19),0)+IF(CA77="同type",$FA$19*$FA$24*INDEX($FB$49:$FB$52,MATCH(X77,$FA$49:$FA$52,))/3/(1+($FA$20-1)*$FA$19),0)+IF(CA77="自身",$FA$19*#REF!/3/(1+(BH77-1)*$BD77),0)),0)</f>
        <v>0</v>
      </c>
      <c r="CE77" s="1097">
        <f t="shared" si="129"/>
        <v>0</v>
      </c>
      <c r="CF77" s="1112">
        <f t="shared" si="130"/>
        <v>0</v>
      </c>
      <c r="CG77" s="1100">
        <f t="shared" si="131"/>
        <v>0</v>
      </c>
      <c r="CH77" s="1110">
        <f t="shared" si="132"/>
        <v>0</v>
      </c>
      <c r="CI77" s="1113"/>
      <c r="CJ77" s="1114"/>
      <c r="CK77" s="1115" t="s">
        <v>569</v>
      </c>
      <c r="CL77" s="1115"/>
      <c r="CM77" s="1119"/>
      <c r="CN77" s="1115"/>
      <c r="CO77" s="1092"/>
      <c r="CP77" s="1117">
        <f t="shared" si="133"/>
        <v>0</v>
      </c>
      <c r="CQ77" s="1117">
        <f t="shared" si="134"/>
        <v>0</v>
      </c>
      <c r="CR77" s="1117">
        <f t="shared" si="135"/>
        <v>0</v>
      </c>
      <c r="CS77" s="1118">
        <f t="shared" si="136"/>
        <v>0</v>
      </c>
      <c r="CT77" s="1109">
        <f t="shared" si="137"/>
        <v>0</v>
      </c>
      <c r="CU77" s="1101">
        <f t="shared" si="138"/>
        <v>0</v>
      </c>
      <c r="CV77" s="1108">
        <f t="shared" si="139"/>
        <v>0</v>
      </c>
      <c r="CW77" s="1097">
        <f t="shared" si="140"/>
        <v>0</v>
      </c>
      <c r="CX77" s="1097">
        <f t="shared" si="141"/>
        <v>0</v>
      </c>
      <c r="CY77" s="1110">
        <f t="shared" si="142"/>
        <v>0</v>
      </c>
      <c r="CZ77" s="437"/>
      <c r="DA77" s="438"/>
      <c r="DB77" s="439" t="s">
        <v>569</v>
      </c>
      <c r="DC77" s="439"/>
      <c r="DD77" s="443"/>
      <c r="DE77" s="411"/>
      <c r="DF77" s="411"/>
      <c r="DG77" s="1116">
        <f t="shared" si="143"/>
        <v>0</v>
      </c>
      <c r="DH77" s="1116">
        <f t="shared" si="144"/>
        <v>0</v>
      </c>
      <c r="DI77" s="1116">
        <f t="shared" si="145"/>
        <v>0</v>
      </c>
      <c r="DJ77" s="442">
        <f t="shared" si="146"/>
        <v>0</v>
      </c>
      <c r="DK77" s="1109">
        <f t="shared" si="147"/>
        <v>0</v>
      </c>
      <c r="DL77" s="1101">
        <f t="shared" si="148"/>
        <v>0</v>
      </c>
      <c r="DM77" s="1097">
        <f t="shared" si="149"/>
        <v>0</v>
      </c>
      <c r="DN77" s="1097">
        <f t="shared" si="150"/>
        <v>0</v>
      </c>
      <c r="DO77" s="1097">
        <f t="shared" si="151"/>
        <v>0</v>
      </c>
      <c r="DP77" s="1110">
        <f t="shared" si="152"/>
        <v>0</v>
      </c>
      <c r="DQ77" s="1113" t="s">
        <v>553</v>
      </c>
      <c r="DR77" s="1120">
        <f t="shared" si="153"/>
        <v>0.3</v>
      </c>
      <c r="DS77" s="1124">
        <v>5</v>
      </c>
      <c r="DT77" s="1093" t="s">
        <v>161</v>
      </c>
      <c r="DU77" s="1093" t="s">
        <v>544</v>
      </c>
      <c r="DV77" s="1098">
        <f>IF($P77="","N/A",IF(P77=-1,INDEX('卡片raw data'!AN:AN,MATCH(D77,'卡片raw data'!$F:$F,)),0)+IF(AND(L77&lt;&gt;"party卡",P77&lt;=2,P77&gt;=0),INDEX('卡片raw data'!AP:AP,MATCH(D77,'卡片raw data'!$F:$F,)),0)+IF(OR(AND(L77="party卡",P77&lt;=1),AND(P77&lt;=4,L77&lt;&gt;"party卡",P77&gt;=3)),INDEX('卡片raw data'!AQ:AQ,MATCH(D77,'卡片raw data'!$F:$F,)),0)+IF(OR(P77=5,AND(L77="party卡",P77&gt;=2)),INDEX('卡片raw data'!AR:AR,MATCH(D77,'卡片raw data'!$F:$F,)),0))</f>
        <v>0.02</v>
      </c>
      <c r="DW77" s="1098">
        <f t="shared" si="154"/>
        <v>0.3</v>
      </c>
      <c r="DX77" s="1098">
        <f t="shared" si="155"/>
        <v>0.3</v>
      </c>
      <c r="DY77" s="1098">
        <f t="shared" si="156"/>
        <v>0.01</v>
      </c>
      <c r="DZ77" s="1098">
        <f t="shared" si="157"/>
        <v>8.6499999999999997E-3</v>
      </c>
      <c r="EA77" s="1098">
        <f t="shared" si="158"/>
        <v>9.002703124999999E-3</v>
      </c>
      <c r="EB77" s="1121">
        <f t="shared" si="159"/>
        <v>0</v>
      </c>
      <c r="EC77" s="1101">
        <f t="shared" si="160"/>
        <v>424.24242424242425</v>
      </c>
      <c r="ED77" s="1097">
        <f t="shared" si="161"/>
        <v>196.59090909090909</v>
      </c>
      <c r="EE77" s="1110">
        <f t="shared" si="162"/>
        <v>424.24242424242425</v>
      </c>
      <c r="EF77" s="1092" t="s">
        <v>711</v>
      </c>
      <c r="EG77" s="1120">
        <f t="shared" si="163"/>
        <v>0.3</v>
      </c>
      <c r="EH77" s="1124"/>
      <c r="EI77" s="1093"/>
      <c r="EJ77" s="1093"/>
      <c r="EK77" s="1097">
        <f>IF($P77="","N/A",IF(P77=-1,INDEX('卡片raw data'!AS:AS,MATCH(D77,'卡片raw data'!$F:$F,)),0)+IF(AND(L77&lt;&gt;"party卡",P77&lt;=2,P77&gt;=0),INDEX('卡片raw data'!AU:AU,MATCH(D77,'卡片raw data'!$F:$F,)),0)+IF(OR(AND(L77="party卡",P77&lt;=1),AND(P77&lt;=4,L77&lt;&gt;"party卡",P77&gt;=3)),INDEX('卡片raw data'!AV:AV,MATCH(D77,'卡片raw data'!$F:$F,)),0)+IF(OR(P77=5,AND(L77="party卡",P77&gt;=2)),INDEX('卡片raw data'!AW:AW,MATCH(D77,'卡片raw data'!$F:$F,)),0))</f>
        <v>0</v>
      </c>
      <c r="EL77" s="1098">
        <f t="shared" si="164"/>
        <v>0.3</v>
      </c>
      <c r="EM77" s="1098">
        <f t="shared" si="165"/>
        <v>0.3</v>
      </c>
      <c r="EN77" s="1125">
        <f t="shared" si="166"/>
        <v>0</v>
      </c>
      <c r="EO77" s="1125">
        <f t="shared" si="167"/>
        <v>0</v>
      </c>
      <c r="EP77" s="1098">
        <f t="shared" si="168"/>
        <v>0</v>
      </c>
      <c r="EQ77" s="1121">
        <f t="shared" si="169"/>
        <v>0</v>
      </c>
      <c r="ER77" s="1101">
        <f t="shared" si="170"/>
        <v>0</v>
      </c>
      <c r="ES77" s="1097">
        <f t="shared" si="171"/>
        <v>0</v>
      </c>
      <c r="ET77" s="1122">
        <f t="shared" si="172"/>
        <v>0</v>
      </c>
      <c r="EV77" s="1222" t="s">
        <v>253</v>
      </c>
      <c r="EW77" s="1328">
        <v>7200</v>
      </c>
      <c r="EX77" s="1329"/>
      <c r="EY77" s="1232"/>
      <c r="EZ77" s="1232"/>
      <c r="FA77" s="1232"/>
      <c r="FB77" s="1232"/>
    </row>
    <row r="78" spans="2:158" ht="16.5" customHeight="1">
      <c r="B78" s="1123" t="str">
        <f>INDEX('卡片raw data'!B:B,MATCH($D78,'卡片raw data'!$F:$F,))</f>
        <v>一专步</v>
      </c>
      <c r="C78" s="449" t="s">
        <v>67</v>
      </c>
      <c r="D78" s="408">
        <v>75</v>
      </c>
      <c r="E78" s="1090">
        <v>102012001</v>
      </c>
      <c r="F78" s="1090" t="str">
        <f>INDEX('卡片raw data'!C:C,MATCH($D78,'卡片raw data'!$F:$F,))</f>
        <v>SR</v>
      </c>
      <c r="G78" s="1094" t="s">
        <v>350</v>
      </c>
      <c r="H78" s="411">
        <f>IFERROR(INDEX(绊状态确认!C:C,MATCH($G78,绊状态确认!$B:$B,)),"")</f>
        <v>201</v>
      </c>
      <c r="I78" s="450" t="str">
        <f>IFERROR(INDEX(绊状态确认!D:D,MATCH($G78,绊状态确认!$B:$B,)),"")</f>
        <v>虹</v>
      </c>
      <c r="J78" s="450" t="str">
        <f>IFERROR(INDEX(绊状态确认!E:E,MATCH($G78,绊状态确认!$B:$B,)),"")</f>
        <v>2年级</v>
      </c>
      <c r="K78" s="451" t="str">
        <f>IFERROR(INDEX(绊状态确认!F:F,MATCH($G78,绊状态确认!$B:$B,)),"")</f>
        <v>A·ZU·NA</v>
      </c>
      <c r="L78" s="1094" t="str">
        <f>INDEX('卡片raw data'!E:E,MATCH($D78,'卡片raw data'!$F:$F,))</f>
        <v>卡池卡</v>
      </c>
      <c r="M78" s="415">
        <v>43735</v>
      </c>
      <c r="N78" s="416">
        <v>0</v>
      </c>
      <c r="O78" s="1091" t="str">
        <f>INDEX('卡片raw data'!D:D,MATCH($D78,'卡片raw data'!$F:$F,))</f>
        <v>gd</v>
      </c>
      <c r="P78" s="417">
        <v>5</v>
      </c>
      <c r="Q78" s="1095">
        <f t="shared" si="88"/>
        <v>14486.967133328761</v>
      </c>
      <c r="R78" s="1096">
        <f t="shared" si="89"/>
        <v>0.16800000000000001</v>
      </c>
      <c r="S78" s="1097">
        <f t="shared" si="90"/>
        <v>7725.4393579640409</v>
      </c>
      <c r="T78" s="1098">
        <f t="shared" si="91"/>
        <v>0.38600000000000001</v>
      </c>
      <c r="U78" s="1099">
        <f t="shared" si="92"/>
        <v>525.8142265695393</v>
      </c>
      <c r="V78" s="1100">
        <f t="shared" si="93"/>
        <v>65954.721310761612</v>
      </c>
      <c r="W78" s="1101">
        <f t="shared" si="94"/>
        <v>4507.7214871259994</v>
      </c>
      <c r="X78" s="1096">
        <f t="shared" si="95"/>
        <v>5.1999999999999998E-2</v>
      </c>
      <c r="Y78" s="1097">
        <f t="shared" si="96"/>
        <v>1438.1283152914884</v>
      </c>
      <c r="Z78" s="1102">
        <f t="shared" si="97"/>
        <v>17.924003020611426</v>
      </c>
      <c r="AA78" s="1103">
        <f t="shared" si="98"/>
        <v>5945.8498024174878</v>
      </c>
      <c r="AB78" s="1101">
        <f t="shared" si="99"/>
        <v>4507.7214871259994</v>
      </c>
      <c r="AC78" s="1104">
        <f t="shared" si="100"/>
        <v>5.1999999999999998E-2</v>
      </c>
      <c r="AD78" s="1105">
        <f t="shared" si="101"/>
        <v>-3.8207812500000026E-3</v>
      </c>
      <c r="AE78" s="1128">
        <f t="shared" si="102"/>
        <v>-18.525362318840578</v>
      </c>
      <c r="AF78" s="1130">
        <f t="shared" si="103"/>
        <v>7514.9791039801894</v>
      </c>
      <c r="AG78" s="420">
        <f t="shared" si="104"/>
        <v>99703.405514096012</v>
      </c>
      <c r="AH78" s="420">
        <f t="shared" si="105"/>
        <v>13.267289786779273</v>
      </c>
      <c r="AI78" s="1097">
        <f t="shared" si="106"/>
        <v>99007.824585716124</v>
      </c>
      <c r="AJ78" s="420">
        <f t="shared" si="107"/>
        <v>65954.721310761612</v>
      </c>
      <c r="AK78" s="518">
        <f t="shared" si="108"/>
        <v>33053.103274954512</v>
      </c>
      <c r="AL78" s="1106">
        <f>IF($P78="","N/A",(IF($P78=-1,INDEX('卡片raw data'!S:S,MATCH($D78,'卡片raw data'!$F:$F,)),0)+IF($P78=0,INDEX('卡片raw data'!V:V,MATCH($D78,'卡片raw data'!$F:$F,)),0)+IF($P78=1,INDEX('卡片raw data'!Y:Y,MATCH($D78,'卡片raw data'!$F:$F,)),0)+IF($P78=2,INDEX('卡片raw data'!AB:AB,MATCH($D78,'卡片raw data'!$F:$F,)),0)+IF($P78=3,INDEX('卡片raw data'!AE:AE,MATCH($D78,'卡片raw data'!$F:$F,)),0)+IF($P78=4,INDEX('卡片raw data'!AH:AH,MATCH($D78,'卡片raw data'!$F:$F,)),0)+IF($P78=5,INDEX('卡片raw data'!AK:AK,MATCH($D78,'卡片raw data'!$F:$F,)),0)+INDEX('卡片raw data'!S:S,MATCH($D78,'卡片raw data'!$F:$F,))*(IF($F78="UR",0.04,0.033))*(IF($F78="UR",INDEX(绊状态确认!$S:$S,MATCH($G78,绊状态确认!$B:$B,))/2-40)+IF($F78="SR",INDEX(绊状态确认!$R:$R,MATCH($G78,绊状态确认!$B:$B,))/4-15))+IF($F78="R",INDEX(绊状态确认!$Q:$Q,MATCH($G78,绊状态确认!$B:$B,))/6-40/6)))*(INDEX(绊状态确认!$H:$H,MATCH($G78,绊状态确认!$B:$B,))+INDEX(绊状态确认!J:J,MATCH($G78,绊状态确认!$B:$B,)))</f>
        <v>3781.2119039999998</v>
      </c>
      <c r="AM78" s="1106">
        <f>IF($P78="","N/A",(IF($P78=-1,INDEX('卡片raw data'!T:T,MATCH($D78,'卡片raw data'!$F:$F,)),0)+IF($P78=0,INDEX('卡片raw data'!W:W,MATCH($D78,'卡片raw data'!$F:$F,)),0)+IF($P78=1,INDEX('卡片raw data'!Z:Z,MATCH($D78,'卡片raw data'!$F:$F,)),0)+IF($P78=2,INDEX('卡片raw data'!AC:AC,MATCH($D78,'卡片raw data'!$F:$F,)),0)+IF($P78=3,INDEX('卡片raw data'!AF:AF,MATCH($D78,'卡片raw data'!$F:$F,)),0)+IF($P78=4,INDEX('卡片raw data'!AI:AI,MATCH($D78,'卡片raw data'!$F:$F,)),0)+IF($P78=5,INDEX('卡片raw data'!AL:AL,MATCH($D78,'卡片raw data'!$F:$F,)),0)+INDEX('卡片raw data'!T:T,MATCH($D78,'卡片raw data'!$F:$F,))*(IF($F78="UR",0.04,0.033))*(IF($F78="UR",INDEX(绊状态确认!$S:$S,MATCH($G78,绊状态确认!$B:$B,))/2-40)+IF($F78="SR",INDEX(绊状态确认!$R:$R,MATCH($G78,绊状态确认!$B:$B,))/4-15))+IF($F78="R",INDEX(绊状态确认!$Q:$Q,MATCH($G78,绊状态确认!$B:$B,))/6-40/6)))*(INDEX(绊状态确认!$H:$H,MATCH($G78,绊状态确认!$B:$B,))+INDEX(绊状态确认!K:K,MATCH($G78,绊状态确认!$B:$B,)))</f>
        <v>9074.2267295999991</v>
      </c>
      <c r="AN78" s="1106">
        <f>IF($P78="","N/A",(IF($P78=-1,INDEX('卡片raw data'!U:U,MATCH($D78,'卡片raw data'!$F:$F,)),0)+IF($P78=0,INDEX('卡片raw data'!X:X,MATCH($D78,'卡片raw data'!$F:$F,)),0)+IF($P78=1,INDEX('卡片raw data'!AA:AA,MATCH($D78,'卡片raw data'!$F:$F,)),0)+IF($P78=2,INDEX('卡片raw data'!AD:AD,MATCH($D78,'卡片raw data'!$F:$F,)),0)+IF($P78=3,INDEX('卡片raw data'!AG:AG,MATCH($D78,'卡片raw data'!$F:$F,)),0)+IF($P78=4,INDEX('卡片raw data'!AJ:AJ,MATCH($D78,'卡片raw data'!$F:$F,)),0)+IF($P78=5,INDEX('卡片raw data'!AM:AM,MATCH($D78,'卡片raw data'!$F:$F,)),0)+INDEX('卡片raw data'!U:U,MATCH($D78,'卡片raw data'!$F:$F,))*(IF($F78="UR",0.04,0.033))*(IF($F78="UR",INDEX(绊状态确认!$S:$S,MATCH($G78,绊状态确认!$B:$B,))/2-40)+IF($F78="SR",INDEX(绊状态确认!$R:$R,MATCH($G78,绊状态确认!$B:$B,))/4-15))+IF($F78="R",INDEX(绊状态确认!$Q:$Q,MATCH($G78,绊状态确认!$B:$B,))/6-40/6)))*(INDEX(绊状态确认!$H:$H,MATCH($G78,绊状态确认!$B:$B,))+INDEX(绊状态确认!L:L,MATCH($G78,绊状态确认!$B:$B,)))</f>
        <v>6049.4844863999997</v>
      </c>
      <c r="AO78" s="1107">
        <f t="shared" si="109"/>
        <v>1</v>
      </c>
      <c r="AP78" s="1131">
        <f>1+(INDEX(绊状态确认!$T:$T,MATCH($G78,绊状态确认!$B:$B,))+0.2)*$AO78</f>
        <v>1.3</v>
      </c>
      <c r="AQ78" s="1108">
        <f t="shared" si="110"/>
        <v>13175.681248000001</v>
      </c>
      <c r="AR78" s="1097">
        <f>(AM78*(1+$EX$9)+$EX$35)*(1+(INDEX(绊状态确认!$T:$T,MATCH($G78,绊状态确认!$B:$B,))+0.2)*AO78)*IF(J78=$FF$17,1+$FE$17,1)*IF(I78=$FF$14,1+$FE$14,1)</f>
        <v>15090.319485904</v>
      </c>
      <c r="AS78" s="1097">
        <f>(AN78*(1+$EX$10)+$EX$36)*(1+(INDEX(绊状态确认!$T:$T,MATCH($G78,绊状态确认!$B:$B,))+0.2)*AO78)*IF(J78=$FF$17,1+$FE$17,1)*IF(I78=$FF$14,1+$FE$14,1)</f>
        <v>13099.979307167998</v>
      </c>
      <c r="AT78" s="1093">
        <f>IF(AND(INDEX('卡片raw data'!AK:AK,MATCH($D78,'卡片raw data'!$F:$F,))&lt;INDEX('卡片raw data'!AM:AM,MATCH($D78,'卡片raw data'!$F:$F,)),INDEX('卡片raw data'!AL:AL,MATCH($D78,'卡片raw data'!$F:$F,))&lt;INDEX('卡片raw data'!AM:AM,MATCH($D78,'卡片raw data'!$F:$F,))),1,0)</f>
        <v>0</v>
      </c>
      <c r="AU78" s="1098">
        <f>MIN(AT78*0.15+AS78*0.00003+INDEX(绊状态确认!M:M,MATCH($G78,绊状态确认!$B:$B,)),1)</f>
        <v>0.42299937921503999</v>
      </c>
      <c r="AV78" s="1109">
        <f>(INDEX(绊状态确认!$N:$N,MATCH($G78,绊状态确认!$B:$B,))+1.5)*$EW$21</f>
        <v>2.6599999999999997</v>
      </c>
      <c r="AW78" s="1101">
        <f t="shared" si="111"/>
        <v>11647.578979536094</v>
      </c>
      <c r="AX78" s="1097">
        <f t="shared" si="112"/>
        <v>1300.9381210781469</v>
      </c>
      <c r="AY78" s="1110">
        <f t="shared" si="113"/>
        <v>12948.517100614241</v>
      </c>
      <c r="AZ78" s="429">
        <f t="shared" si="114"/>
        <v>9973.363212799999</v>
      </c>
      <c r="BA78" s="431">
        <f t="shared" si="115"/>
        <v>11968.035855359998</v>
      </c>
      <c r="BB78" s="1097">
        <f>(AM78*(1+$FB$9)+$FB$35)*(1+(INDEX(绊状态确认!$T:$T,MATCH($G78,绊状态确认!$B:$B,))+0.2)*AO78)*IF(J78=$FF$17,1+$FE$17,1)*IF(I78=$FF$14,1+$FE$14,1)*(1+$FE$15)</f>
        <v>15090.319485904</v>
      </c>
      <c r="BC78" s="1097">
        <f>(AN78*(1+$FB$10)+$FB$36)*(1+(INDEX(绊状态确认!$T:$T,MATCH($G78,绊状态确认!$B:$B,))+0.2)*AO78)*IF(J78=$FF$17,1+$FE$17,1)*IF(I78=$FF$14,1+$FE$14,1)*(1+$FE$15)</f>
        <v>13099.979307167998</v>
      </c>
      <c r="BD78" s="1104">
        <f>MIN(AT78*0.15+BC78*0.00003+INDEX(绊状态确认!M:M,MATCH($G78,绊状态确认!$B:$B,)),1)</f>
        <v>0.42299937921503999</v>
      </c>
      <c r="BE78" s="432">
        <f>(INDEX(绊状态确认!$N:$N,MATCH($G78,绊状态确认!$B:$B,))+1.5)</f>
        <v>1.9</v>
      </c>
      <c r="BF78" s="1139">
        <f t="array" ref="BF78">SUMPRODUCT(IF(AZ78*AP78*$FI$16:$FI$23*$FA$22&gt;=$FI$24,$FI$24,AZ78*AP78*$FI$16:$FI$23*$FA$22),$FJ$16:$FJ$23)</f>
        <v>19837.019430259199</v>
      </c>
      <c r="BG78" s="1125">
        <f t="array" ref="BG78">SUMPRODUCT(IF(BE78*AZ78*AP78*$FI$16:$FI$23*$FA$22&gt;=$FI$24,$FI$24,BE78*AZ78*AP78*$FI$16:$FI$23*$FA$22),$FJ$16:$FJ$23)</f>
        <v>37690.336917492474</v>
      </c>
      <c r="BH78" s="1110">
        <f t="shared" si="116"/>
        <v>9129.6538814292962</v>
      </c>
      <c r="BI78" s="1111">
        <f>IF(O78="vo",$EW$26/$EW$24*0.05,0)+IF(O78="sk",-$EW$26/$EW$24*(0.05-INDEX(绊状态确认!W:W,MATCH($G78,绊状态确认!$B:$B,)))+0.05*$EW$28,0)+IF(O78="sp",0.05*$EW$32*$EW$30*(1-$EW$33)-(0.05-INDEX(绊状态确认!V:V,MATCH($G78,绊状态确认!$B:$B,)))*$EW$28,0)+IF(O78="gd",-(0.05-INDEX(绊状态确认!X:X,MATCH($G78,绊状态确认!$B:$B,)))*$EW$32*$EW$30*(1-$EW$33),0)</f>
        <v>-585.00000000000011</v>
      </c>
      <c r="BJ78" s="1097">
        <f>IF(O78="vo",0.05*(1-$FI$26)*$FA$24,0)+IF(O78="sk",-(0.05-INDEX(绊状态确认!W:W,MATCH($G78,绊状态确认!$B:$B,)))*(1-$FI$26)*$FA$24+0.05*$FA$26,0)+IF(O78="sp",0.05*$FA$32*$FA$27*(1-$FA$33)/$FA$30+0.05*$FA$29/$FA$69*$FA$27*(1-$FA$33)-(0.05-INDEX(绊状态确认!V:V,MATCH($G78,绊状态确认!$B:$B,)))*$FA$26,0)+IF(O78="gd",-(0.05-INDEX(绊状态确认!X:X,MATCH($G78,绊状态确认!$B:$B,)))*$FA$32*$FA$27*(1-$FA$33)/$FA$30-(0.05-INDEX(绊状态确认!X:X,MATCH($G78,绊状态确认!$B:$B,)))*$FA$29/$FA$69*$FA$27*(1-$FA$33),0)</f>
        <v>-795.00000000000011</v>
      </c>
      <c r="BK78" s="1110">
        <f>IF(O78="vo",$EW$26/$EW$24*0.05+$EW$26*(-HP($EW$62,$EW$65,$EW$64)+HP($EW$62,$EW$65,(1.05-INDEX(绊状态确认!U:U,MATCH($G78,绊状态确认!$B:$B,)))*$EW$64)),0)+IF(O78="sk",-$EW$26/$EW$24*(0.05-INDEX(绊状态确认!W:W,MATCH($G78,绊状态确认!$B:$B,)))+0.05*$EW$29,0)+IF(O78="sp",0.05*$EW$32*$EW$30*(1-$EW$33)-(0.05-INDEX(绊状态确认!V:V,MATCH($G78,绊状态确认!$B:$B,)))*$EW$29,0)+IF(O78="gd",-(0.05-INDEX(绊状态确认!X:X,MATCH($G78,绊状态确认!$B:$B,)))*$EW$32*$EW$30*(1-$EW$33)+$EW$26*(-HP($EW$62,$EW$65,$EW$64)+HP($EW$62,$EW$65,0.95*$EW$64)),0)</f>
        <v>1009.5947725176144</v>
      </c>
      <c r="BL78" s="1111">
        <f t="shared" si="117"/>
        <v>-1083.3333333333333</v>
      </c>
      <c r="BM78" s="1110">
        <f t="shared" si="118"/>
        <v>-830.55555555555543</v>
      </c>
      <c r="BN78" s="1113">
        <f t="shared" si="119"/>
        <v>3</v>
      </c>
      <c r="BO78" s="1097">
        <f t="shared" si="120"/>
        <v>4507.7214871259994</v>
      </c>
      <c r="BP78" s="1100">
        <f t="shared" si="121"/>
        <v>221.34103209030098</v>
      </c>
      <c r="BQ78" s="1113" t="s">
        <v>624</v>
      </c>
      <c r="BR78" s="1124" t="s">
        <v>168</v>
      </c>
      <c r="BS78" s="1098">
        <f>IF($P78="","N/A",IF($P78=-1,INDEX('卡片raw data'!AX:AX,MATCH($D78,'卡片raw data'!$F:$F,)),0)+IF($L78="party卡",IF($P78=5,INDEX('卡片raw data'!BD:BD,MATCH($D78,'卡片raw data'!$F:$F,)),IF($P78&gt;=3,INDEX('卡片raw data'!BC:BC,MATCH($D78,'卡片raw data'!$F:$F,)),INDEX('卡片raw data'!BB:BB,MATCH($D78,'卡片raw data'!$F:$F,)))),IF(OR(AND($F78="UR",$P78=0),AND($F78="SR",$P78&gt;=0,$P78&lt;=2),AND($F78="R",$P78&gt;=0,$P78&lt;4)),INDEX('卡片raw data'!AZ:AZ,MATCH($D78,'卡片raw data'!$F:$F,)),0)+IF(OR(AND($F78="UR",$P78&gt;=1,$P78&lt;=4),AND($F78="SR",$P78&lt;=4,$P78&gt;=3),AND($F78="R",$P78=4)),INDEX('卡片raw data'!BA:BA,MATCH($D78,'卡片raw data'!$F:$F,)),0)+IF($P78=5,INDEX('卡片raw data'!BB:BB,MATCH($D78,'卡片raw data'!$F:$F,)),0)))</f>
        <v>0.05</v>
      </c>
      <c r="BT78" s="1101">
        <f t="shared" si="122"/>
        <v>0</v>
      </c>
      <c r="BU78" s="1097">
        <f t="shared" si="123"/>
        <v>0</v>
      </c>
      <c r="BV78" s="1097">
        <f t="shared" si="124"/>
        <v>0</v>
      </c>
      <c r="BW78" s="1112">
        <f t="shared" si="125"/>
        <v>1.7558035714285711</v>
      </c>
      <c r="BX78" s="1100">
        <f t="shared" si="126"/>
        <v>137.19019421334193</v>
      </c>
      <c r="BY78" s="1110">
        <f t="shared" si="127"/>
        <v>137.19019421334193</v>
      </c>
      <c r="BZ78" s="1107" t="s">
        <v>569</v>
      </c>
      <c r="CA78" s="1124"/>
      <c r="CB78" s="1098">
        <f>IF($P78="","N/A",IF($P78=-1,INDEX('卡片raw data'!BE:BE,MATCH($D78,'卡片raw data'!$F:$F,)),0)+IF($L78="party卡",IF($P78=5,INDEX('卡片raw data'!BK:BK,MATCH($D78,'卡片raw data'!$F:$F,)),IF($P78&gt;=3,INDEX('卡片raw data'!BJ:BJ,MATCH($D78,'卡片raw data'!$F:$F,)),INDEX('卡片raw data'!BI:BI,MATCH($D78,'卡片raw data'!$F:$F,)))),IF(OR(AND($F78="UR",$P78=0),AND($F78="SR",$P78&gt;=0,$P78&lt;=2),AND($F78="R",$P78&gt;=0,$P78&lt;4)),INDEX('卡片raw data'!BG:BG,MATCH($D78,'卡片raw data'!$F:$F,)),0)+IF(OR(AND($F78="UR",$P78&gt;=1,$P78&lt;=4),AND($F78="SR",$P78&lt;=4,$P78&gt;=3),AND($F78="R",$P78=4)),INDEX('卡片raw data'!BH:BH,MATCH($D78,'卡片raw data'!$F:$F,)),0)+IF($P78=5,INDEX('卡片raw data'!BI:BI,MATCH($D78,'卡片raw data'!$F:$F,)),0)))</f>
        <v>0</v>
      </c>
      <c r="CC78" s="1101">
        <f t="shared" si="128"/>
        <v>0</v>
      </c>
      <c r="CD78" s="1097">
        <f>IF(BZ78="ap",CB78*(1-$FI$26)*$FB$5/$FB$11*(+IF(CA78="全员",$FA$24,0)+IF(CA78="同作战",$FA$24,0)+IF(CA78="仲间",$FA$24*2/3,0)+IF(CA78="同属性",$FA$24*$FA$37/3,0)+IF(CA78="同年级",$FA$24*$FA$40/3,0)+IF(CA78="同学校",$FA$24*$FA$43/3,0)+IF(CA78="同小队",$FA$24*$FA$46/3,0)+IF(CA78="同type",$FA$24*INDEX($FB$49:$FB$52,MATCH(X78,$FA$49:$FA$52,))/3,0)+IF(CA78="自身",#REF!/3,0)),0)+IF(BZ78="te",CB78*(1-$FI$27)*($FA$20-1)*$FB$7/$FB$13*(+IF(CA78="全员",$FA$19*$FA$24/(1+($FA$20-1)*$FA$19),0)+IF(CA78="同作战",$FA$19*$FA$24/(1+($FA$20-1)*$FA$19),0)+IF(CA78="仲间",$FA$19*$FA$24*2/3/(1+($FA$20-1)*$FA$19),0)+IF(CA78="同属性",$FA$19*$FA$24*$FA$37/3/(1+($FA$20-1)*$FA$19),0)+IF(CA78="同年级",$FA$19*$FA$24*$FA$40/3/(1+($FA$20-1)*$FA$19),0)+IF(CA78="同学校",$FA$19*$FA$24*$FA$43/3/(1+($FA$20-1)*$FA$19),0)+IF(CA78="同小队",$FA$19*$FA$24*$FA$46/3/(1+($FA$20-1)*$FA$19),0)+IF(CA78="同type",$FA$19*$FA$24*INDEX($FB$49:$FB$52,MATCH(X78,$FA$49:$FA$52,))/3/(1+($FA$20-1)*$FA$19),0)+IF(CA78="自身",$FA$19*#REF!/3/(1+(BH78-1)*$BD78),0)),0)</f>
        <v>0</v>
      </c>
      <c r="CE78" s="1097">
        <f t="shared" si="129"/>
        <v>0</v>
      </c>
      <c r="CF78" s="1112">
        <f t="shared" si="130"/>
        <v>0</v>
      </c>
      <c r="CG78" s="1100">
        <f t="shared" si="131"/>
        <v>0</v>
      </c>
      <c r="CH78" s="1110">
        <f t="shared" si="132"/>
        <v>0</v>
      </c>
      <c r="CI78" s="1113" t="s">
        <v>165</v>
      </c>
      <c r="CJ78" s="1114">
        <v>0.3</v>
      </c>
      <c r="CK78" s="1115" t="s">
        <v>312</v>
      </c>
      <c r="CL78" s="1115" t="s">
        <v>1946</v>
      </c>
      <c r="CM78" s="1119">
        <v>0.1</v>
      </c>
      <c r="CN78" s="1115"/>
      <c r="CO78" s="1092"/>
      <c r="CP78" s="1117">
        <f t="shared" si="133"/>
        <v>0</v>
      </c>
      <c r="CQ78" s="1117">
        <f t="shared" si="134"/>
        <v>0</v>
      </c>
      <c r="CR78" s="1117">
        <f t="shared" si="135"/>
        <v>0</v>
      </c>
      <c r="CS78" s="1118">
        <f t="shared" si="136"/>
        <v>0</v>
      </c>
      <c r="CT78" s="1109">
        <f t="shared" si="137"/>
        <v>0</v>
      </c>
      <c r="CU78" s="1101">
        <f t="shared" si="138"/>
        <v>0</v>
      </c>
      <c r="CV78" s="1108">
        <f t="shared" si="139"/>
        <v>0</v>
      </c>
      <c r="CW78" s="1097">
        <f t="shared" si="140"/>
        <v>0</v>
      </c>
      <c r="CX78" s="1097">
        <f t="shared" si="141"/>
        <v>0</v>
      </c>
      <c r="CY78" s="1110">
        <f t="shared" si="142"/>
        <v>0</v>
      </c>
      <c r="CZ78" s="437"/>
      <c r="DA78" s="438"/>
      <c r="DB78" s="439" t="s">
        <v>569</v>
      </c>
      <c r="DC78" s="439"/>
      <c r="DD78" s="443"/>
      <c r="DE78" s="411"/>
      <c r="DF78" s="411"/>
      <c r="DG78" s="1116">
        <f t="shared" si="143"/>
        <v>0</v>
      </c>
      <c r="DH78" s="1116">
        <f t="shared" si="144"/>
        <v>0</v>
      </c>
      <c r="DI78" s="1116">
        <f t="shared" si="145"/>
        <v>0</v>
      </c>
      <c r="DJ78" s="442">
        <f t="shared" si="146"/>
        <v>0</v>
      </c>
      <c r="DK78" s="1109">
        <f t="shared" si="147"/>
        <v>0</v>
      </c>
      <c r="DL78" s="1101">
        <f t="shared" si="148"/>
        <v>0</v>
      </c>
      <c r="DM78" s="1097">
        <f t="shared" si="149"/>
        <v>0</v>
      </c>
      <c r="DN78" s="1097">
        <f t="shared" si="150"/>
        <v>0</v>
      </c>
      <c r="DO78" s="1097">
        <f t="shared" si="151"/>
        <v>0</v>
      </c>
      <c r="DP78" s="1110">
        <f t="shared" si="152"/>
        <v>0</v>
      </c>
      <c r="DQ78" s="1113" t="s">
        <v>635</v>
      </c>
      <c r="DR78" s="1120">
        <f t="shared" si="153"/>
        <v>0.3</v>
      </c>
      <c r="DS78" s="1124"/>
      <c r="DT78" s="1093" t="s">
        <v>552</v>
      </c>
      <c r="DU78" s="1093"/>
      <c r="DV78" s="1098">
        <f>IF($P78="","N/A",IF(P78=-1,INDEX('卡片raw data'!AN:AN,MATCH(D78,'卡片raw data'!$F:$F,)),0)+IF(AND(L78&lt;&gt;"party卡",P78&lt;=2,P78&gt;=0),INDEX('卡片raw data'!AP:AP,MATCH(D78,'卡片raw data'!$F:$F,)),0)+IF(OR(AND(L78="party卡",P78&lt;=1),AND(P78&lt;=4,L78&lt;&gt;"party卡",P78&gt;=3)),INDEX('卡片raw data'!AQ:AQ,MATCH(D78,'卡片raw data'!$F:$F,)),0)+IF(OR(P78=5,AND(L78="party卡",P78&gt;=2)),INDEX('卡片raw data'!AR:AR,MATCH(D78,'卡片raw data'!$F:$F,)),0))</f>
        <v>0.32</v>
      </c>
      <c r="DW78" s="1098">
        <f t="shared" si="154"/>
        <v>0.3</v>
      </c>
      <c r="DX78" s="1098">
        <f t="shared" si="155"/>
        <v>0.3</v>
      </c>
      <c r="DY78" s="1125">
        <f t="shared" si="156"/>
        <v>482.89022354892791</v>
      </c>
      <c r="DZ78" s="1125">
        <f t="shared" si="157"/>
        <v>417.70004336982265</v>
      </c>
      <c r="EA78" s="1098">
        <f t="shared" si="158"/>
        <v>0</v>
      </c>
      <c r="EB78" s="1121">
        <f t="shared" si="159"/>
        <v>0</v>
      </c>
      <c r="EC78" s="1101">
        <f t="shared" si="160"/>
        <v>0</v>
      </c>
      <c r="ED78" s="1097">
        <f t="shared" si="161"/>
        <v>0</v>
      </c>
      <c r="EE78" s="1110">
        <f t="shared" si="162"/>
        <v>48435.03108962375</v>
      </c>
      <c r="EF78" s="1092" t="s">
        <v>711</v>
      </c>
      <c r="EG78" s="1120">
        <f t="shared" si="163"/>
        <v>0.3</v>
      </c>
      <c r="EH78" s="1124"/>
      <c r="EI78" s="1093"/>
      <c r="EJ78" s="1093"/>
      <c r="EK78" s="1097">
        <f>IF($P78="","N/A",IF(P78=-1,INDEX('卡片raw data'!AS:AS,MATCH(D78,'卡片raw data'!$F:$F,)),0)+IF(AND(L78&lt;&gt;"party卡",P78&lt;=2,P78&gt;=0),INDEX('卡片raw data'!AU:AU,MATCH(D78,'卡片raw data'!$F:$F,)),0)+IF(OR(AND(L78="party卡",P78&lt;=1),AND(P78&lt;=4,L78&lt;&gt;"party卡",P78&gt;=3)),INDEX('卡片raw data'!AV:AV,MATCH(D78,'卡片raw data'!$F:$F,)),0)+IF(OR(P78=5,AND(L78="party卡",P78&gt;=2)),INDEX('卡片raw data'!AW:AW,MATCH(D78,'卡片raw data'!$F:$F,)),0))</f>
        <v>0</v>
      </c>
      <c r="EL78" s="1098">
        <f t="shared" si="164"/>
        <v>0.3</v>
      </c>
      <c r="EM78" s="1098">
        <f t="shared" si="165"/>
        <v>0.3</v>
      </c>
      <c r="EN78" s="1125">
        <f t="shared" si="166"/>
        <v>0</v>
      </c>
      <c r="EO78" s="1125">
        <f t="shared" si="167"/>
        <v>0</v>
      </c>
      <c r="EP78" s="1098">
        <f t="shared" si="168"/>
        <v>0</v>
      </c>
      <c r="EQ78" s="1121">
        <f t="shared" si="169"/>
        <v>0</v>
      </c>
      <c r="ER78" s="1101">
        <f t="shared" si="170"/>
        <v>0</v>
      </c>
      <c r="ES78" s="1097">
        <f t="shared" si="171"/>
        <v>0</v>
      </c>
      <c r="ET78" s="1122">
        <f t="shared" si="172"/>
        <v>0</v>
      </c>
      <c r="EV78" s="1247" t="s">
        <v>676</v>
      </c>
      <c r="EW78" s="1387">
        <v>0.3</v>
      </c>
      <c r="EX78" s="1388"/>
      <c r="EY78" s="1232"/>
      <c r="EZ78" s="1232"/>
      <c r="FA78" s="1232"/>
      <c r="FB78" s="1232"/>
    </row>
    <row r="79" spans="2:158" ht="16.5" customHeight="1">
      <c r="B79" s="1123" t="str">
        <f>INDEX('卡片raw data'!B:B,MATCH($D79,'卡片raw data'!$F:$F,))</f>
        <v>校服霞</v>
      </c>
      <c r="C79" s="449" t="s">
        <v>22</v>
      </c>
      <c r="D79" s="408">
        <v>76</v>
      </c>
      <c r="E79" s="1090">
        <v>102021001</v>
      </c>
      <c r="F79" s="1090" t="str">
        <f>INDEX('卡片raw data'!C:C,MATCH($D79,'卡片raw data'!$F:$F,))</f>
        <v>R</v>
      </c>
      <c r="G79" s="1094" t="s">
        <v>352</v>
      </c>
      <c r="H79" s="411">
        <f>IFERROR(INDEX(绊状态确认!C:C,MATCH($G79,绊状态确认!$B:$B,)),"")</f>
        <v>202</v>
      </c>
      <c r="I79" s="450" t="str">
        <f>IFERROR(INDEX(绊状态确认!D:D,MATCH($G79,绊状态确认!$B:$B,)),"")</f>
        <v>虹</v>
      </c>
      <c r="J79" s="450" t="str">
        <f>IFERROR(INDEX(绊状态确认!E:E,MATCH($G79,绊状态确认!$B:$B,)),"")</f>
        <v>1年级</v>
      </c>
      <c r="K79" s="451" t="str">
        <f>IFERROR(INDEX(绊状态确认!F:F,MATCH($G79,绊状态确认!$B:$B,)),"")</f>
        <v>QU4RTZ</v>
      </c>
      <c r="L79" s="1094" t="str">
        <f>INDEX('卡片raw data'!E:E,MATCH($D79,'卡片raw data'!$F:$F,))</f>
        <v>卡池卡</v>
      </c>
      <c r="M79" s="415">
        <v>43735</v>
      </c>
      <c r="N79" s="416">
        <v>0</v>
      </c>
      <c r="O79" s="1091" t="str">
        <f>INDEX('卡片raw data'!D:D,MATCH($D79,'卡片raw data'!$F:$F,))</f>
        <v>vo</v>
      </c>
      <c r="P79" s="417">
        <v>5</v>
      </c>
      <c r="Q79" s="1095">
        <f t="shared" si="88"/>
        <v>20148.546467856744</v>
      </c>
      <c r="R79" s="1096">
        <f t="shared" si="89"/>
        <v>0.23400000000000001</v>
      </c>
      <c r="S79" s="1097">
        <f t="shared" si="90"/>
        <v>7261.9036578420291</v>
      </c>
      <c r="T79" s="1098">
        <f t="shared" si="91"/>
        <v>0.36299999999999999</v>
      </c>
      <c r="U79" s="1099">
        <f t="shared" si="92"/>
        <v>-15.960160582857142</v>
      </c>
      <c r="V79" s="1100">
        <f t="shared" si="93"/>
        <v>19560.68768685091</v>
      </c>
      <c r="W79" s="1101">
        <f t="shared" si="94"/>
        <v>3613.6900588460098</v>
      </c>
      <c r="X79" s="1096">
        <f t="shared" si="95"/>
        <v>4.2000000000000003E-2</v>
      </c>
      <c r="Y79" s="1097">
        <f t="shared" si="96"/>
        <v>716.80966923586902</v>
      </c>
      <c r="Z79" s="1102">
        <f t="shared" si="97"/>
        <v>9.0398394171428578</v>
      </c>
      <c r="AA79" s="1103">
        <f t="shared" si="98"/>
        <v>4330.4997280818789</v>
      </c>
      <c r="AB79" s="1101">
        <f t="shared" si="99"/>
        <v>4087.0008149942396</v>
      </c>
      <c r="AC79" s="1104">
        <f t="shared" si="100"/>
        <v>4.7E-2</v>
      </c>
      <c r="AD79" s="1105">
        <f t="shared" si="101"/>
        <v>-3.8207812500000026E-3</v>
      </c>
      <c r="AE79" s="1128">
        <f t="shared" si="102"/>
        <v>-22.692028985507246</v>
      </c>
      <c r="AF79" s="1130">
        <f t="shared" si="103"/>
        <v>0</v>
      </c>
      <c r="AG79" s="420">
        <f t="shared" si="104"/>
        <v>0</v>
      </c>
      <c r="AH79" s="420">
        <f t="shared" si="105"/>
        <v>0</v>
      </c>
      <c r="AI79" s="1097">
        <f t="shared" si="106"/>
        <v>0</v>
      </c>
      <c r="AJ79" s="420">
        <f t="shared" si="107"/>
        <v>0</v>
      </c>
      <c r="AK79" s="518">
        <f t="shared" si="108"/>
        <v>0</v>
      </c>
      <c r="AL79" s="1106">
        <f>IF($P79="","N/A",(IF($P79=-1,INDEX('卡片raw data'!S:S,MATCH($D79,'卡片raw data'!$F:$F,)),0)+IF($P79=0,INDEX('卡片raw data'!V:V,MATCH($D79,'卡片raw data'!$F:$F,)),0)+IF($P79=1,INDEX('卡片raw data'!Y:Y,MATCH($D79,'卡片raw data'!$F:$F,)),0)+IF($P79=2,INDEX('卡片raw data'!AB:AB,MATCH($D79,'卡片raw data'!$F:$F,)),0)+IF($P79=3,INDEX('卡片raw data'!AE:AE,MATCH($D79,'卡片raw data'!$F:$F,)),0)+IF($P79=4,INDEX('卡片raw data'!AH:AH,MATCH($D79,'卡片raw data'!$F:$F,)),0)+IF($P79=5,INDEX('卡片raw data'!AK:AK,MATCH($D79,'卡片raw data'!$F:$F,)),0)+INDEX('卡片raw data'!S:S,MATCH($D79,'卡片raw data'!$F:$F,))*(IF($F79="UR",0.04,0.033))*(IF($F79="UR",INDEX(绊状态确认!$S:$S,MATCH($G79,绊状态确认!$B:$B,))/2-40)+IF($F79="SR",INDEX(绊状态确认!$R:$R,MATCH($G79,绊状态确认!$B:$B,))/4-15))+IF($F79="R",INDEX(绊状态确认!$Q:$Q,MATCH($G79,绊状态确认!$B:$B,))/6-40/6)))*(INDEX(绊状态确认!$H:$H,MATCH($G79,绊状态确认!$B:$B,))+INDEX(绊状态确认!J:J,MATCH($G79,绊状态确认!$B:$B,)))</f>
        <v>3601.2515999999996</v>
      </c>
      <c r="AM79" s="1106">
        <f>IF($P79="","N/A",(IF($P79=-1,INDEX('卡片raw data'!T:T,MATCH($D79,'卡片raw data'!$F:$F,)),0)+IF($P79=0,INDEX('卡片raw data'!W:W,MATCH($D79,'卡片raw data'!$F:$F,)),0)+IF($P79=1,INDEX('卡片raw data'!Z:Z,MATCH($D79,'卡片raw data'!$F:$F,)),0)+IF($P79=2,INDEX('卡片raw data'!AC:AC,MATCH($D79,'卡片raw data'!$F:$F,)),0)+IF($P79=3,INDEX('卡片raw data'!AF:AF,MATCH($D79,'卡片raw data'!$F:$F,)),0)+IF($P79=4,INDEX('卡片raw data'!AI:AI,MATCH($D79,'卡片raw data'!$F:$F,)),0)+IF($P79=5,INDEX('卡片raw data'!AL:AL,MATCH($D79,'卡片raw data'!$F:$F,)),0)+INDEX('卡片raw data'!T:T,MATCH($D79,'卡片raw data'!$F:$F,))*(IF($F79="UR",0.04,0.033))*(IF($F79="UR",INDEX(绊状态确认!$S:$S,MATCH($G79,绊状态确认!$B:$B,))/2-40)+IF($F79="SR",INDEX(绊状态确认!$R:$R,MATCH($G79,绊状态确认!$B:$B,))/4-15))+IF($F79="R",INDEX(绊状态确认!$Q:$Q,MATCH($G79,绊状态确认!$B:$B,))/6-40/6)))*(INDEX(绊状态确认!$H:$H,MATCH($G79,绊状态确认!$B:$B,))+INDEX(绊状态确认!K:K,MATCH($G79,绊状态确认!$B:$B,)))</f>
        <v>4200.1343999999999</v>
      </c>
      <c r="AN79" s="1106">
        <f>IF($P79="","N/A",(IF($P79=-1,INDEX('卡片raw data'!U:U,MATCH($D79,'卡片raw data'!$F:$F,)),0)+IF($P79=0,INDEX('卡片raw data'!X:X,MATCH($D79,'卡片raw data'!$F:$F,)),0)+IF($P79=1,INDEX('卡片raw data'!AA:AA,MATCH($D79,'卡片raw data'!$F:$F,)),0)+IF($P79=2,INDEX('卡片raw data'!AD:AD,MATCH($D79,'卡片raw data'!$F:$F,)),0)+IF($P79=3,INDEX('卡片raw data'!AG:AG,MATCH($D79,'卡片raw data'!$F:$F,)),0)+IF($P79=4,INDEX('卡片raw data'!AJ:AJ,MATCH($D79,'卡片raw data'!$F:$F,)),0)+IF($P79=5,INDEX('卡片raw data'!AM:AM,MATCH($D79,'卡片raw data'!$F:$F,)),0)+INDEX('卡片raw data'!U:U,MATCH($D79,'卡片raw data'!$F:$F,))*(IF($F79="UR",0.04,0.033))*(IF($F79="UR",INDEX(绊状态确认!$S:$S,MATCH($G79,绊状态确认!$B:$B,))/2-40)+IF($F79="SR",INDEX(绊状态确认!$R:$R,MATCH($G79,绊状态确认!$B:$B,))/4-15))+IF($F79="R",INDEX(绊状态确认!$Q:$Q,MATCH($G79,绊状态确认!$B:$B,))/6-40/6)))*(INDEX(绊状态确认!$H:$H,MATCH($G79,绊状态确认!$B:$B,))+INDEX(绊状态确认!L:L,MATCH($G79,绊状态确认!$B:$B,)))</f>
        <v>4200.1343999999999</v>
      </c>
      <c r="AO79" s="1107">
        <f t="shared" si="109"/>
        <v>1</v>
      </c>
      <c r="AP79" s="1131">
        <f>1+(INDEX(绊状态确认!$T:$T,MATCH($G79,绊状态确认!$B:$B,))+0.2)*$AO79</f>
        <v>1.3</v>
      </c>
      <c r="AQ79" s="1108">
        <f t="shared" si="110"/>
        <v>12703.285449999999</v>
      </c>
      <c r="AR79" s="1097">
        <f>(AM79*(1+$EX$9)+$EX$35)*(1+(INDEX(绊状态确认!$T:$T,MATCH($G79,绊状态确认!$B:$B,))+0.2)*AO79)*IF(J79=$FF$17,1+$FE$17,1)*IF(I79=$FF$14,1+$FE$14,1)</f>
        <v>8437.1834560000007</v>
      </c>
      <c r="AS79" s="1097">
        <f>(AN79*(1+$EX$10)+$EX$36)*(1+(INDEX(绊状态确认!$T:$T,MATCH($G79,绊状态确认!$B:$B,))+0.2)*AO79)*IF(J79=$FF$17,1+$FE$17,1)*IF(I79=$FF$14,1+$FE$14,1)</f>
        <v>10335.200928</v>
      </c>
      <c r="AT79" s="1093">
        <f>IF(AND(INDEX('卡片raw data'!AK:AK,MATCH($D79,'卡片raw data'!$F:$F,))&lt;INDEX('卡片raw data'!AM:AM,MATCH($D79,'卡片raw data'!$F:$F,)),INDEX('卡片raw data'!AL:AL,MATCH($D79,'卡片raw data'!$F:$F,))&lt;INDEX('卡片raw data'!AM:AM,MATCH($D79,'卡片raw data'!$F:$F,))),1,0)</f>
        <v>0</v>
      </c>
      <c r="AU79" s="1098">
        <f>MIN(AT79*0.15+AS79*0.00003+INDEX(绊状态确认!M:M,MATCH($G79,绊状态确认!$B:$B,)),1)</f>
        <v>0.34005602784000005</v>
      </c>
      <c r="AV79" s="1109">
        <f>(INDEX(绊状态确认!$N:$N,MATCH($G79,绊状态确认!$B:$B,))+1.5)*$EW$21</f>
        <v>2.6599999999999997</v>
      </c>
      <c r="AW79" s="1101">
        <f t="shared" si="111"/>
        <v>10321.600532299753</v>
      </c>
      <c r="AX79" s="1097">
        <f t="shared" si="112"/>
        <v>716.8096692358688</v>
      </c>
      <c r="AY79" s="1110">
        <f t="shared" si="113"/>
        <v>11038.410201535622</v>
      </c>
      <c r="AZ79" s="429">
        <f t="shared" si="114"/>
        <v>9622.4406199999994</v>
      </c>
      <c r="BA79" s="431">
        <f t="shared" si="115"/>
        <v>11546.928743999999</v>
      </c>
      <c r="BB79" s="1097">
        <f>(AM79*(1+$FB$9)+$FB$35)*(1+(INDEX(绊状态确认!$T:$T,MATCH($G79,绊状态确认!$B:$B,))+0.2)*AO79)*IF(J79=$FF$17,1+$FE$17,1)*IF(I79=$FF$14,1+$FE$14,1)*(1+$FE$15)</f>
        <v>8437.1834560000007</v>
      </c>
      <c r="BC79" s="1097">
        <f>(AN79*(1+$FB$10)+$FB$36)*(1+(INDEX(绊状态确认!$T:$T,MATCH($G79,绊状态确认!$B:$B,))+0.2)*AO79)*IF(J79=$FF$17,1+$FE$17,1)*IF(I79=$FF$14,1+$FE$14,1)*(1+$FE$15)</f>
        <v>10335.200928</v>
      </c>
      <c r="BD79" s="1104">
        <f>MIN(AT79*0.15+BC79*0.00003+INDEX(绊状态确认!M:M,MATCH($G79,绊状态确认!$B:$B,)),1)</f>
        <v>0.34005602784000005</v>
      </c>
      <c r="BE79" s="432">
        <f>(INDEX(绊状态确认!$N:$N,MATCH($G79,绊状态确认!$B:$B,))+1.5)</f>
        <v>1.9</v>
      </c>
      <c r="BF79" s="1139">
        <f t="array" ref="BF79">SUMPRODUCT(IF(AZ79*AP79*$FI$16:$FI$23*$FA$22&gt;=$FI$24,$FI$24,AZ79*AP79*$FI$16:$FI$23*$FA$22),$FJ$16:$FJ$23)</f>
        <v>19139.034393180002</v>
      </c>
      <c r="BG79" s="1125">
        <f t="array" ref="BG79">SUMPRODUCT(IF(BE79*AZ79*AP79*$FI$16:$FI$23*$FA$22&gt;=$FI$24,$FI$24,BE79*AZ79*AP79*$FI$16:$FI$23*$FA$22),$FJ$16:$FJ$23)</f>
        <v>36364.165347041999</v>
      </c>
      <c r="BH79" s="1110">
        <f t="shared" si="116"/>
        <v>8332.1813347913831</v>
      </c>
      <c r="BI79" s="1111">
        <f>IF(O79="vo",$EW$26/$EW$24*0.05,0)+IF(O79="sk",-$EW$26/$EW$24*(0.05-INDEX(绊状态确认!W:W,MATCH($G79,绊状态确认!$B:$B,)))+0.05*$EW$28,0)+IF(O79="sp",0.05*$EW$32*$EW$30*(1-$EW$33)-(0.05-INDEX(绊状态确认!V:V,MATCH($G79,绊状态确认!$B:$B,)))*$EW$28,0)+IF(O79="gd",-(0.05-INDEX(绊状态确认!X:X,MATCH($G79,绊状态确认!$B:$B,)))*$EW$32*$EW$30*(1-$EW$33),0)</f>
        <v>7726.3029277443748</v>
      </c>
      <c r="BJ79" s="1097">
        <f>IF(O79="vo",0.05*(1-$FI$26)*$FA$24,0)+IF(O79="sk",-(0.05-INDEX(绊状态确认!W:W,MATCH($G79,绊状态确认!$B:$B,)))*(1-$FI$26)*$FA$24+0.05*$FA$26,0)+IF(O79="sp",0.05*$FA$32*$FA$27*(1-$FA$33)/$FA$30+0.05*$FA$29/$FA$69*$FA$27*(1-$FA$33)-(0.05-INDEX(绊状态确认!V:V,MATCH($G79,绊状态确认!$B:$B,)))*$FA$26,0)+IF(O79="gd",-(0.05-INDEX(绊状态确认!X:X,MATCH($G79,绊状态确认!$B:$B,)))*$FA$32*$FA$27*(1-$FA$33)/$FA$30-(0.05-INDEX(绊状态确认!X:X,MATCH($G79,绊状态确认!$B:$B,)))*$FA$29/$FA$69*$FA$27*(1-$FA$33),0)</f>
        <v>393.93433687500004</v>
      </c>
      <c r="BK79" s="1110">
        <f>IF(O79="vo",$EW$26/$EW$24*0.05+$EW$26*(-HP($EW$62,$EW$65,$EW$64)+HP($EW$62,$EW$65,(1.05-INDEX(绊状态确认!U:U,MATCH($G79,绊状态确认!$B:$B,)))*$EW$64)),0)+IF(O79="sk",-$EW$26/$EW$24*(0.05-INDEX(绊状态确认!W:W,MATCH($G79,绊状态确认!$B:$B,)))+0.05*$EW$29,0)+IF(O79="sp",0.05*$EW$32*$EW$30*(1-$EW$33)-(0.05-INDEX(绊状态确认!V:V,MATCH($G79,绊状态确认!$B:$B,)))*$EW$29,0)+IF(O79="gd",-(0.05-INDEX(绊状态确认!X:X,MATCH($G79,绊状态确认!$B:$B,)))*$EW$32*$EW$30*(1-$EW$33)+$EW$26*(-HP($EW$62,$EW$65,$EW$64)+HP($EW$62,$EW$65,0.95*$EW$64)),0)</f>
        <v>6421.6344775026746</v>
      </c>
      <c r="BL79" s="1111">
        <f t="shared" si="117"/>
        <v>-2166.6666666666665</v>
      </c>
      <c r="BM79" s="1110">
        <f t="shared" si="118"/>
        <v>-1661.1111111111109</v>
      </c>
      <c r="BN79" s="1113">
        <f t="shared" si="119"/>
        <v>2</v>
      </c>
      <c r="BO79" s="1097">
        <f t="shared" si="120"/>
        <v>3005.1476580839999</v>
      </c>
      <c r="BP79" s="1100">
        <f t="shared" si="121"/>
        <v>147.56068806020068</v>
      </c>
      <c r="BQ79" s="1113" t="s">
        <v>623</v>
      </c>
      <c r="BR79" s="1124" t="s">
        <v>557</v>
      </c>
      <c r="BS79" s="1098">
        <f>IF($P79="","N/A",IF($P79=-1,INDEX('卡片raw data'!AX:AX,MATCH($D79,'卡片raw data'!$F:$F,)),0)+IF($L79="party卡",IF($P79=5,INDEX('卡片raw data'!BD:BD,MATCH($D79,'卡片raw data'!$F:$F,)),IF($P79&gt;=3,INDEX('卡片raw data'!BC:BC,MATCH($D79,'卡片raw data'!$F:$F,)),INDEX('卡片raw data'!BB:BB,MATCH($D79,'卡片raw data'!$F:$F,)))),IF(OR(AND($F79="UR",$P79=0),AND($F79="SR",$P79&gt;=0,$P79&lt;=2),AND($F79="R",$P79&gt;=0,$P79&lt;4)),INDEX('卡片raw data'!AZ:AZ,MATCH($D79,'卡片raw data'!$F:$F,)),0)+IF(OR(AND($F79="UR",$P79&gt;=1,$P79&lt;=4),AND($F79="SR",$P79&lt;=4,$P79&gt;=3),AND($F79="R",$P79=4)),INDEX('卡片raw data'!BA:BA,MATCH($D79,'卡片raw data'!$F:$F,)),0)+IF($P79=5,INDEX('卡片raw data'!BB:BB,MATCH($D79,'卡片raw data'!$F:$F,)),0)))</f>
        <v>2.7E-2</v>
      </c>
      <c r="BT79" s="1101">
        <f t="shared" si="122"/>
        <v>1081.8531569102399</v>
      </c>
      <c r="BU79" s="1097">
        <f t="shared" si="123"/>
        <v>39.841385776254178</v>
      </c>
      <c r="BV79" s="1097">
        <f t="shared" si="124"/>
        <v>608.54240076200983</v>
      </c>
      <c r="BW79" s="1112">
        <f t="shared" si="125"/>
        <v>0</v>
      </c>
      <c r="BX79" s="1100">
        <f t="shared" si="126"/>
        <v>1081.8531569102399</v>
      </c>
      <c r="BY79" s="1110">
        <f t="shared" si="127"/>
        <v>608.54240076200983</v>
      </c>
      <c r="BZ79" s="1107" t="s">
        <v>569</v>
      </c>
      <c r="CA79" s="1124"/>
      <c r="CB79" s="1098">
        <f>IF($P79="","N/A",IF($P79=-1,INDEX('卡片raw data'!BE:BE,MATCH($D79,'卡片raw data'!$F:$F,)),0)+IF($L79="party卡",IF($P79=5,INDEX('卡片raw data'!BK:BK,MATCH($D79,'卡片raw data'!$F:$F,)),IF($P79&gt;=3,INDEX('卡片raw data'!BJ:BJ,MATCH($D79,'卡片raw data'!$F:$F,)),INDEX('卡片raw data'!BI:BI,MATCH($D79,'卡片raw data'!$F:$F,)))),IF(OR(AND($F79="UR",$P79=0),AND($F79="SR",$P79&gt;=0,$P79&lt;=2),AND($F79="R",$P79&gt;=0,$P79&lt;4)),INDEX('卡片raw data'!BG:BG,MATCH($D79,'卡片raw data'!$F:$F,)),0)+IF(OR(AND($F79="UR",$P79&gt;=1,$P79&lt;=4),AND($F79="SR",$P79&lt;=4,$P79&gt;=3),AND($F79="R",$P79=4)),INDEX('卡片raw data'!BH:BH,MATCH($D79,'卡片raw data'!$F:$F,)),0)+IF($P79=5,INDEX('卡片raw data'!BI:BI,MATCH($D79,'卡片raw data'!$F:$F,)),0)))</f>
        <v>0</v>
      </c>
      <c r="CC79" s="1101">
        <f t="shared" si="128"/>
        <v>0</v>
      </c>
      <c r="CD79" s="1097">
        <f>IF(BZ79="ap",CB79*(1-$FI$26)*$FB$5/$FB$11*(+IF(CA79="全员",$FA$24,0)+IF(CA79="同作战",$FA$24,0)+IF(CA79="仲间",$FA$24*2/3,0)+IF(CA79="同属性",$FA$24*$FA$37/3,0)+IF(CA79="同年级",$FA$24*$FA$40/3,0)+IF(CA79="同学校",$FA$24*$FA$43/3,0)+IF(CA79="同小队",$FA$24*$FA$46/3,0)+IF(CA79="同type",$FA$24*INDEX($FB$49:$FB$52,MATCH(X79,$FA$49:$FA$52,))/3,0)+IF(CA79="自身",#REF!/3,0)),0)+IF(BZ79="te",CB79*(1-$FI$27)*($FA$20-1)*$FB$7/$FB$13*(+IF(CA79="全员",$FA$19*$FA$24/(1+($FA$20-1)*$FA$19),0)+IF(CA79="同作战",$FA$19*$FA$24/(1+($FA$20-1)*$FA$19),0)+IF(CA79="仲间",$FA$19*$FA$24*2/3/(1+($FA$20-1)*$FA$19),0)+IF(CA79="同属性",$FA$19*$FA$24*$FA$37/3/(1+($FA$20-1)*$FA$19),0)+IF(CA79="同年级",$FA$19*$FA$24*$FA$40/3/(1+($FA$20-1)*$FA$19),0)+IF(CA79="同学校",$FA$19*$FA$24*$FA$43/3/(1+($FA$20-1)*$FA$19),0)+IF(CA79="同小队",$FA$19*$FA$24*$FA$46/3/(1+($FA$20-1)*$FA$19),0)+IF(CA79="同type",$FA$19*$FA$24*INDEX($FB$49:$FB$52,MATCH(X79,$FA$49:$FA$52,))/3/(1+($FA$20-1)*$FA$19),0)+IF(CA79="自身",$FA$19*#REF!/3/(1+(BH79-1)*$BD79),0)),0)</f>
        <v>0</v>
      </c>
      <c r="CE79" s="1097">
        <f t="shared" si="129"/>
        <v>0</v>
      </c>
      <c r="CF79" s="1112">
        <f t="shared" si="130"/>
        <v>0</v>
      </c>
      <c r="CG79" s="1100">
        <f t="shared" si="131"/>
        <v>0</v>
      </c>
      <c r="CH79" s="1110">
        <f t="shared" si="132"/>
        <v>0</v>
      </c>
      <c r="CI79" s="1113"/>
      <c r="CJ79" s="1114"/>
      <c r="CK79" s="1115" t="s">
        <v>569</v>
      </c>
      <c r="CL79" s="1115"/>
      <c r="CM79" s="1119"/>
      <c r="CN79" s="1115"/>
      <c r="CO79" s="1092"/>
      <c r="CP79" s="1117">
        <f t="shared" si="133"/>
        <v>0</v>
      </c>
      <c r="CQ79" s="1117">
        <f t="shared" si="134"/>
        <v>0</v>
      </c>
      <c r="CR79" s="1117">
        <f t="shared" si="135"/>
        <v>0</v>
      </c>
      <c r="CS79" s="1118">
        <f t="shared" si="136"/>
        <v>0</v>
      </c>
      <c r="CT79" s="1109">
        <f t="shared" si="137"/>
        <v>0</v>
      </c>
      <c r="CU79" s="1101">
        <f t="shared" si="138"/>
        <v>0</v>
      </c>
      <c r="CV79" s="1108">
        <f t="shared" si="139"/>
        <v>0</v>
      </c>
      <c r="CW79" s="1097">
        <f t="shared" si="140"/>
        <v>0</v>
      </c>
      <c r="CX79" s="1097">
        <f t="shared" si="141"/>
        <v>0</v>
      </c>
      <c r="CY79" s="1110">
        <f t="shared" si="142"/>
        <v>0</v>
      </c>
      <c r="CZ79" s="437"/>
      <c r="DA79" s="438"/>
      <c r="DB79" s="439" t="s">
        <v>569</v>
      </c>
      <c r="DC79" s="439"/>
      <c r="DD79" s="443"/>
      <c r="DE79" s="411"/>
      <c r="DF79" s="411"/>
      <c r="DG79" s="1116">
        <f t="shared" si="143"/>
        <v>0</v>
      </c>
      <c r="DH79" s="1116">
        <f t="shared" si="144"/>
        <v>0</v>
      </c>
      <c r="DI79" s="1116">
        <f t="shared" si="145"/>
        <v>0</v>
      </c>
      <c r="DJ79" s="442">
        <f t="shared" si="146"/>
        <v>0</v>
      </c>
      <c r="DK79" s="1109">
        <f t="shared" si="147"/>
        <v>0</v>
      </c>
      <c r="DL79" s="1101">
        <f t="shared" si="148"/>
        <v>0</v>
      </c>
      <c r="DM79" s="1097">
        <f t="shared" si="149"/>
        <v>0</v>
      </c>
      <c r="DN79" s="1097">
        <f t="shared" si="150"/>
        <v>0</v>
      </c>
      <c r="DO79" s="1097">
        <f t="shared" si="151"/>
        <v>0</v>
      </c>
      <c r="DP79" s="1110">
        <f t="shared" si="152"/>
        <v>0</v>
      </c>
      <c r="DQ79" s="1113" t="s">
        <v>555</v>
      </c>
      <c r="DR79" s="1120">
        <f t="shared" si="153"/>
        <v>0.3</v>
      </c>
      <c r="DS79" s="1124">
        <v>5</v>
      </c>
      <c r="DT79" s="1093" t="s">
        <v>168</v>
      </c>
      <c r="DU79" s="1093" t="s">
        <v>546</v>
      </c>
      <c r="DV79" s="1097">
        <f>IF($P79="","N/A",IF(P79=-1,INDEX('卡片raw data'!AN:AN,MATCH(D79,'卡片raw data'!$F:$F,)),0)+IF(AND(L79&lt;&gt;"party卡",P79&lt;=2,P79&gt;=0),INDEX('卡片raw data'!AP:AP,MATCH(D79,'卡片raw data'!$F:$F,)),0)+IF(OR(AND(L79="party卡",P79&lt;=1),AND(P79&lt;=4,L79&lt;&gt;"party卡",P79&gt;=3)),INDEX('卡片raw data'!AQ:AQ,MATCH(D79,'卡片raw data'!$F:$F,)),0)+IF(OR(P79=5,AND(L79="party卡",P79&gt;=2)),INDEX('卡片raw data'!AR:AR,MATCH(D79,'卡片raw data'!$F:$F,)),0))</f>
        <v>120</v>
      </c>
      <c r="DW79" s="1098">
        <f t="shared" si="154"/>
        <v>0.3</v>
      </c>
      <c r="DX79" s="1098">
        <f t="shared" si="155"/>
        <v>0.3</v>
      </c>
      <c r="DY79" s="1098">
        <f t="shared" si="156"/>
        <v>1.3259668508287291E-3</v>
      </c>
      <c r="DZ79" s="1098">
        <f t="shared" si="157"/>
        <v>1.4464882943143811E-3</v>
      </c>
      <c r="EA79" s="1098">
        <f t="shared" si="158"/>
        <v>0</v>
      </c>
      <c r="EB79" s="1121">
        <f t="shared" si="159"/>
        <v>0</v>
      </c>
      <c r="EC79" s="1101">
        <f t="shared" si="160"/>
        <v>180.30885948503999</v>
      </c>
      <c r="ED79" s="1097">
        <f t="shared" si="161"/>
        <v>9.497023450303093</v>
      </c>
      <c r="EE79" s="1110">
        <f t="shared" si="162"/>
        <v>180.30885948503999</v>
      </c>
      <c r="EF79" s="1092" t="s">
        <v>711</v>
      </c>
      <c r="EG79" s="1120">
        <f t="shared" si="163"/>
        <v>0.3</v>
      </c>
      <c r="EH79" s="1124"/>
      <c r="EI79" s="1093"/>
      <c r="EJ79" s="1093"/>
      <c r="EK79" s="1097">
        <f>IF($P79="","N/A",IF(P79=-1,INDEX('卡片raw data'!AS:AS,MATCH(D79,'卡片raw data'!$F:$F,)),0)+IF(AND(L79&lt;&gt;"party卡",P79&lt;=2,P79&gt;=0),INDEX('卡片raw data'!AU:AU,MATCH(D79,'卡片raw data'!$F:$F,)),0)+IF(OR(AND(L79="party卡",P79&lt;=1),AND(P79&lt;=4,L79&lt;&gt;"party卡",P79&gt;=3)),INDEX('卡片raw data'!AV:AV,MATCH(D79,'卡片raw data'!$F:$F,)),0)+IF(OR(P79=5,AND(L79="party卡",P79&gt;=2)),INDEX('卡片raw data'!AW:AW,MATCH(D79,'卡片raw data'!$F:$F,)),0))</f>
        <v>0</v>
      </c>
      <c r="EL79" s="1098">
        <f t="shared" si="164"/>
        <v>0.3</v>
      </c>
      <c r="EM79" s="1098">
        <f t="shared" si="165"/>
        <v>0.3</v>
      </c>
      <c r="EN79" s="1125">
        <f t="shared" si="166"/>
        <v>0</v>
      </c>
      <c r="EO79" s="1125">
        <f t="shared" si="167"/>
        <v>0</v>
      </c>
      <c r="EP79" s="1098">
        <f t="shared" si="168"/>
        <v>0</v>
      </c>
      <c r="EQ79" s="1121">
        <f t="shared" si="169"/>
        <v>0</v>
      </c>
      <c r="ER79" s="1101">
        <f t="shared" si="170"/>
        <v>0</v>
      </c>
      <c r="ES79" s="1097">
        <f t="shared" si="171"/>
        <v>0</v>
      </c>
      <c r="ET79" s="1122">
        <f t="shared" si="172"/>
        <v>0</v>
      </c>
      <c r="EV79" s="1247" t="s">
        <v>8</v>
      </c>
      <c r="EW79" s="1387">
        <v>1</v>
      </c>
      <c r="EX79" s="1388"/>
      <c r="EY79" s="1232"/>
      <c r="EZ79" s="1232"/>
      <c r="FA79" s="1232"/>
      <c r="FB79" s="1232"/>
    </row>
    <row r="80" spans="2:158" ht="16.5" customHeight="1">
      <c r="B80" s="1123" t="str">
        <f>INDEX('卡片raw data'!B:B,MATCH($D80,'卡片raw data'!$F:$F,))</f>
        <v>练习霞</v>
      </c>
      <c r="C80" s="449" t="s">
        <v>124</v>
      </c>
      <c r="D80" s="408">
        <v>77</v>
      </c>
      <c r="E80" s="1090">
        <v>102021002</v>
      </c>
      <c r="F80" s="1090" t="str">
        <f>INDEX('卡片raw data'!C:C,MATCH($D80,'卡片raw data'!$F:$F,))</f>
        <v>R</v>
      </c>
      <c r="G80" s="1094" t="s">
        <v>352</v>
      </c>
      <c r="H80" s="411">
        <f>IFERROR(INDEX(绊状态确认!C:C,MATCH($G80,绊状态确认!$B:$B,)),"")</f>
        <v>202</v>
      </c>
      <c r="I80" s="450" t="str">
        <f>IFERROR(INDEX(绊状态确认!D:D,MATCH($G80,绊状态确认!$B:$B,)),"")</f>
        <v>虹</v>
      </c>
      <c r="J80" s="450" t="str">
        <f>IFERROR(INDEX(绊状态确认!E:E,MATCH($G80,绊状态确认!$B:$B,)),"")</f>
        <v>1年级</v>
      </c>
      <c r="K80" s="451" t="str">
        <f>IFERROR(INDEX(绊状态确认!F:F,MATCH($G80,绊状态确认!$B:$B,)),"")</f>
        <v>QU4RTZ</v>
      </c>
      <c r="L80" s="1094" t="str">
        <f>INDEX('卡片raw data'!E:E,MATCH($D80,'卡片raw data'!$F:$F,))</f>
        <v>卡池卡</v>
      </c>
      <c r="M80" s="415">
        <v>43735</v>
      </c>
      <c r="N80" s="416">
        <v>0</v>
      </c>
      <c r="O80" s="1091" t="str">
        <f>INDEX('卡片raw data'!D:D,MATCH($D80,'卡片raw data'!$F:$F,))</f>
        <v>gd</v>
      </c>
      <c r="P80" s="417">
        <v>5</v>
      </c>
      <c r="Q80" s="1095">
        <f t="shared" si="88"/>
        <v>11645.544822890412</v>
      </c>
      <c r="R80" s="1096">
        <f t="shared" si="89"/>
        <v>0.13500000000000001</v>
      </c>
      <c r="S80" s="1097">
        <f t="shared" si="90"/>
        <v>6882.3765282685781</v>
      </c>
      <c r="T80" s="1098">
        <f t="shared" si="91"/>
        <v>0.34399999999999997</v>
      </c>
      <c r="U80" s="1099">
        <f t="shared" si="92"/>
        <v>82.200342873571429</v>
      </c>
      <c r="V80" s="1100">
        <f t="shared" si="93"/>
        <v>18059.623441425258</v>
      </c>
      <c r="W80" s="1101">
        <f t="shared" si="94"/>
        <v>3005.1476580839999</v>
      </c>
      <c r="X80" s="1096">
        <f t="shared" si="95"/>
        <v>3.4000000000000002E-2</v>
      </c>
      <c r="Y80" s="1097">
        <f t="shared" si="96"/>
        <v>969.21984608991988</v>
      </c>
      <c r="Z80" s="1102">
        <f t="shared" si="97"/>
        <v>12.200342873571428</v>
      </c>
      <c r="AA80" s="1103">
        <f t="shared" si="98"/>
        <v>3974.3675041739198</v>
      </c>
      <c r="AB80" s="1101">
        <f t="shared" si="99"/>
        <v>3005.1476580839999</v>
      </c>
      <c r="AC80" s="1104">
        <f t="shared" si="100"/>
        <v>3.4000000000000002E-2</v>
      </c>
      <c r="AD80" s="1105">
        <f t="shared" si="101"/>
        <v>-3.8207812500000026E-3</v>
      </c>
      <c r="AE80" s="1128">
        <f t="shared" si="102"/>
        <v>-28.942028985507246</v>
      </c>
      <c r="AF80" s="1130">
        <f t="shared" si="103"/>
        <v>1140.3543341</v>
      </c>
      <c r="AG80" s="420">
        <f t="shared" si="104"/>
        <v>105045.48831800002</v>
      </c>
      <c r="AH80" s="420">
        <f t="shared" si="105"/>
        <v>92.116533586821419</v>
      </c>
      <c r="AI80" s="1097">
        <f t="shared" si="106"/>
        <v>-70692.516681382986</v>
      </c>
      <c r="AJ80" s="420">
        <f t="shared" si="107"/>
        <v>18059.623441425258</v>
      </c>
      <c r="AK80" s="518">
        <f t="shared" si="108"/>
        <v>-88752.14012280824</v>
      </c>
      <c r="AL80" s="1106">
        <f>IF($P80="","N/A",(IF($P80=-1,INDEX('卡片raw data'!S:S,MATCH($D80,'卡片raw data'!$F:$F,)),0)+IF($P80=0,INDEX('卡片raw data'!V:V,MATCH($D80,'卡片raw data'!$F:$F,)),0)+IF($P80=1,INDEX('卡片raw data'!Y:Y,MATCH($D80,'卡片raw data'!$F:$F,)),0)+IF($P80=2,INDEX('卡片raw data'!AB:AB,MATCH($D80,'卡片raw data'!$F:$F,)),0)+IF($P80=3,INDEX('卡片raw data'!AE:AE,MATCH($D80,'卡片raw data'!$F:$F,)),0)+IF($P80=4,INDEX('卡片raw data'!AH:AH,MATCH($D80,'卡片raw data'!$F:$F,)),0)+IF($P80=5,INDEX('卡片raw data'!AK:AK,MATCH($D80,'卡片raw data'!$F:$F,)),0)+INDEX('卡片raw data'!S:S,MATCH($D80,'卡片raw data'!$F:$F,))*(IF($F80="UR",0.04,0.033))*(IF($F80="UR",INDEX(绊状态确认!$S:$S,MATCH($G80,绊状态确认!$B:$B,))/2-40)+IF($F80="SR",INDEX(绊状态确认!$R:$R,MATCH($G80,绊状态确认!$B:$B,))/4-15))+IF($F80="R",INDEX(绊状态确认!$Q:$Q,MATCH($G80,绊状态确认!$B:$B,))/6-40/6)))*(INDEX(绊状态确认!$H:$H,MATCH($G80,绊状态确认!$B:$B,))+INDEX(绊状态确认!J:J,MATCH($G80,绊状态确认!$B:$B,)))</f>
        <v>4122.8591999999999</v>
      </c>
      <c r="AM80" s="1106">
        <f>IF($P80="","N/A",(IF($P80=-1,INDEX('卡片raw data'!T:T,MATCH($D80,'卡片raw data'!$F:$F,)),0)+IF($P80=0,INDEX('卡片raw data'!W:W,MATCH($D80,'卡片raw data'!$F:$F,)),0)+IF($P80=1,INDEX('卡片raw data'!Z:Z,MATCH($D80,'卡片raw data'!$F:$F,)),0)+IF($P80=2,INDEX('卡片raw data'!AC:AC,MATCH($D80,'卡片raw data'!$F:$F,)),0)+IF($P80=3,INDEX('卡片raw data'!AF:AF,MATCH($D80,'卡片raw data'!$F:$F,)),0)+IF($P80=4,INDEX('卡片raw data'!AI:AI,MATCH($D80,'卡片raw data'!$F:$F,)),0)+IF($P80=5,INDEX('卡片raw data'!AL:AL,MATCH($D80,'卡片raw data'!$F:$F,)),0)+INDEX('卡片raw data'!T:T,MATCH($D80,'卡片raw data'!$F:$F,))*(IF($F80="UR",0.04,0.033))*(IF($F80="UR",INDEX(绊状态确认!$S:$S,MATCH($G80,绊状态确认!$B:$B,))/2-40)+IF($F80="SR",INDEX(绊状态确认!$R:$R,MATCH($G80,绊状态确认!$B:$B,))/4-15))+IF($F80="R",INDEX(绊状态确认!$Q:$Q,MATCH($G80,绊状态确认!$B:$B,))/6-40/6)))*(INDEX(绊状态确认!$H:$H,MATCH($G80,绊状态确认!$B:$B,))+INDEX(绊状态确认!K:K,MATCH($G80,绊状态确认!$B:$B,)))</f>
        <v>5496.7667999999994</v>
      </c>
      <c r="AN80" s="1106">
        <f>IF($P80="","N/A",(IF($P80=-1,INDEX('卡片raw data'!U:U,MATCH($D80,'卡片raw data'!$F:$F,)),0)+IF($P80=0,INDEX('卡片raw data'!X:X,MATCH($D80,'卡片raw data'!$F:$F,)),0)+IF($P80=1,INDEX('卡片raw data'!AA:AA,MATCH($D80,'卡片raw data'!$F:$F,)),0)+IF($P80=2,INDEX('卡片raw data'!AD:AD,MATCH($D80,'卡片raw data'!$F:$F,)),0)+IF($P80=3,INDEX('卡片raw data'!AG:AG,MATCH($D80,'卡片raw data'!$F:$F,)),0)+IF($P80=4,INDEX('卡片raw data'!AJ:AJ,MATCH($D80,'卡片raw data'!$F:$F,)),0)+IF($P80=5,INDEX('卡片raw data'!AM:AM,MATCH($D80,'卡片raw data'!$F:$F,)),0)+INDEX('卡片raw data'!U:U,MATCH($D80,'卡片raw data'!$F:$F,))*(IF($F80="UR",0.04,0.033))*(IF($F80="UR",INDEX(绊状态确认!$S:$S,MATCH($G80,绊状态确认!$B:$B,))/2-40)+IF($F80="SR",INDEX(绊状态确认!$R:$R,MATCH($G80,绊状态确认!$B:$B,))/4-15))+IF($F80="R",INDEX(绊状态确认!$Q:$Q,MATCH($G80,绊状态确认!$B:$B,))/6-40/6)))*(INDEX(绊状态确认!$H:$H,MATCH($G80,绊状态确认!$B:$B,))+INDEX(绊状态确认!L:L,MATCH($G80,绊状态确认!$B:$B,)))</f>
        <v>4122.8591999999999</v>
      </c>
      <c r="AO80" s="1107">
        <f t="shared" si="109"/>
        <v>1</v>
      </c>
      <c r="AP80" s="1131">
        <f>1+(INDEX(绊状态确认!$T:$T,MATCH($G80,绊状态确认!$B:$B,))+0.2)*$AO80</f>
        <v>1.3</v>
      </c>
      <c r="AQ80" s="1108">
        <f t="shared" si="110"/>
        <v>14072.5054</v>
      </c>
      <c r="AR80" s="1097">
        <f>(AM80*(1+$EX$9)+$EX$35)*(1+(INDEX(绊状态确认!$T:$T,MATCH($G80,绊状态确认!$B:$B,))+0.2)*AO80)*IF(J80=$FF$17,1+$FE$17,1)*IF(I80=$FF$14,1+$FE$14,1)</f>
        <v>10207.086681999999</v>
      </c>
      <c r="AS80" s="1097">
        <f>(AN80*(1+$EX$10)+$EX$36)*(1+(INDEX(绊状态确认!$T:$T,MATCH($G80,绊状态确认!$B:$B,))+0.2)*AO80)*IF(J80=$FF$17,1+$FE$17,1)*IF(I80=$FF$14,1+$FE$14,1)</f>
        <v>10219.674503999999</v>
      </c>
      <c r="AT80" s="1093">
        <f>IF(AND(INDEX('卡片raw data'!AK:AK,MATCH($D80,'卡片raw data'!$F:$F,))&lt;INDEX('卡片raw data'!AM:AM,MATCH($D80,'卡片raw data'!$F:$F,)),INDEX('卡片raw data'!AL:AL,MATCH($D80,'卡片raw data'!$F:$F,))&lt;INDEX('卡片raw data'!AM:AM,MATCH($D80,'卡片raw data'!$F:$F,))),1,0)</f>
        <v>0</v>
      </c>
      <c r="AU80" s="1098">
        <f>MIN(AT80*0.15+AS80*0.00003+INDEX(绊状态确认!M:M,MATCH($G80,绊状态确认!$B:$B,)),1)</f>
        <v>0.33659023511999997</v>
      </c>
      <c r="AV80" s="1109">
        <f>(INDEX(绊状态确认!$N:$N,MATCH($G80,绊状态确认!$B:$B,))+1.5)*$EW$21</f>
        <v>2.6599999999999997</v>
      </c>
      <c r="AW80" s="1101">
        <f t="shared" si="111"/>
        <v>11392.063831473077</v>
      </c>
      <c r="AX80" s="1097">
        <f t="shared" si="112"/>
        <v>870.54027486502696</v>
      </c>
      <c r="AY80" s="1110">
        <f t="shared" si="113"/>
        <v>12262.604106338104</v>
      </c>
      <c r="AZ80" s="429">
        <f t="shared" si="114"/>
        <v>10639.575440000001</v>
      </c>
      <c r="BA80" s="431">
        <f t="shared" si="115"/>
        <v>12767.490528</v>
      </c>
      <c r="BB80" s="1097">
        <f>(AM80*(1+$FB$9)+$FB$35)*(1+(INDEX(绊状态确认!$T:$T,MATCH($G80,绊状态确认!$B:$B,))+0.2)*AO80)*IF(J80=$FF$17,1+$FE$17,1)*IF(I80=$FF$14,1+$FE$14,1)*(1+$FE$15)</f>
        <v>10207.086681999999</v>
      </c>
      <c r="BC80" s="1097">
        <f>(AN80*(1+$FB$10)+$FB$36)*(1+(INDEX(绊状态确认!$T:$T,MATCH($G80,绊状态确认!$B:$B,))+0.2)*AO80)*IF(J80=$FF$17,1+$FE$17,1)*IF(I80=$FF$14,1+$FE$14,1)*(1+$FE$15)</f>
        <v>10219.674503999999</v>
      </c>
      <c r="BD80" s="1104">
        <f>MIN(AT80*0.15+BC80*0.00003+INDEX(绊状态确认!M:M,MATCH($G80,绊状态确认!$B:$B,)),1)</f>
        <v>0.33659023511999997</v>
      </c>
      <c r="BE80" s="432">
        <f>(INDEX(绊状态确认!$N:$N,MATCH($G80,绊状态确认!$B:$B,))+1.5)</f>
        <v>1.9</v>
      </c>
      <c r="BF80" s="1139">
        <f t="array" ref="BF80">SUMPRODUCT(IF(AZ80*AP80*$FI$16:$FI$23*$FA$22&gt;=$FI$24,$FI$24,AZ80*AP80*$FI$16:$FI$23*$FA$22),$FJ$16:$FJ$23)</f>
        <v>21162.115550160001</v>
      </c>
      <c r="BG80" s="1125">
        <f t="array" ref="BG80">SUMPRODUCT(IF(BE80*AZ80*AP80*$FI$16:$FI$23*$FA$22&gt;=$FI$24,$FI$24,BE80*AZ80*AP80*$FI$16:$FI$23*$FA$22),$FJ$16:$FJ$23)</f>
        <v>40208.019545304</v>
      </c>
      <c r="BH80" s="1110">
        <f t="shared" si="116"/>
        <v>9190.9269513194886</v>
      </c>
      <c r="BI80" s="1111">
        <f>IF(O80="vo",$EW$26/$EW$24*0.05,0)+IF(O80="sk",-$EW$26/$EW$24*(0.05-INDEX(绊状态确认!W:W,MATCH($G80,绊状态确认!$B:$B,)))+0.05*$EW$28,0)+IF(O80="sp",0.05*$EW$32*$EW$30*(1-$EW$33)-(0.05-INDEX(绊状态确认!V:V,MATCH($G80,绊状态确认!$B:$B,)))*$EW$28,0)+IF(O80="gd",-(0.05-INDEX(绊状态确认!X:X,MATCH($G80,绊状态确认!$B:$B,)))*$EW$32*$EW$30*(1-$EW$33),0)</f>
        <v>-585.00000000000011</v>
      </c>
      <c r="BJ80" s="1097">
        <f>IF(O80="vo",0.05*(1-$FI$26)*$FA$24,0)+IF(O80="sk",-(0.05-INDEX(绊状态确认!W:W,MATCH($G80,绊状态确认!$B:$B,)))*(1-$FI$26)*$FA$24+0.05*$FA$26,0)+IF(O80="sp",0.05*$FA$32*$FA$27*(1-$FA$33)/$FA$30+0.05*$FA$29/$FA$69*$FA$27*(1-$FA$33)-(0.05-INDEX(绊状态确认!V:V,MATCH($G80,绊状态确认!$B:$B,)))*$FA$26,0)+IF(O80="gd",-(0.05-INDEX(绊状态确认!X:X,MATCH($G80,绊状态确认!$B:$B,)))*$FA$32*$FA$27*(1-$FA$33)/$FA$30-(0.05-INDEX(绊状态确认!X:X,MATCH($G80,绊状态确认!$B:$B,)))*$FA$29/$FA$69*$FA$27*(1-$FA$33),0)</f>
        <v>-795.00000000000011</v>
      </c>
      <c r="BK80" s="1110">
        <f>IF(O80="vo",$EW$26/$EW$24*0.05+$EW$26*(-HP($EW$62,$EW$65,$EW$64)+HP($EW$62,$EW$65,(1.05-INDEX(绊状态确认!U:U,MATCH($G80,绊状态确认!$B:$B,)))*$EW$64)),0)+IF(O80="sk",-$EW$26/$EW$24*(0.05-INDEX(绊状态确认!W:W,MATCH($G80,绊状态确认!$B:$B,)))+0.05*$EW$29,0)+IF(O80="sp",0.05*$EW$32*$EW$30*(1-$EW$33)-(0.05-INDEX(绊状态确认!V:V,MATCH($G80,绊状态确认!$B:$B,)))*$EW$29,0)+IF(O80="gd",-(0.05-INDEX(绊状态确认!X:X,MATCH($G80,绊状态确认!$B:$B,)))*$EW$32*$EW$30*(1-$EW$33)+$EW$26*(-HP($EW$62,$EW$65,$EW$64)+HP($EW$62,$EW$65,0.95*$EW$64)),0)</f>
        <v>1009.5947725176144</v>
      </c>
      <c r="BL80" s="1111">
        <f t="shared" si="117"/>
        <v>-2166.6666666666665</v>
      </c>
      <c r="BM80" s="1110">
        <f t="shared" si="118"/>
        <v>-1661.1111111111109</v>
      </c>
      <c r="BN80" s="1113">
        <f t="shared" si="119"/>
        <v>2</v>
      </c>
      <c r="BO80" s="1097">
        <f t="shared" si="120"/>
        <v>3005.1476580839999</v>
      </c>
      <c r="BP80" s="1100">
        <f t="shared" si="121"/>
        <v>147.56068806020068</v>
      </c>
      <c r="BQ80" s="1113" t="s">
        <v>624</v>
      </c>
      <c r="BR80" s="1124" t="s">
        <v>617</v>
      </c>
      <c r="BS80" s="1098">
        <f>IF($P80="","N/A",IF($P80=-1,INDEX('卡片raw data'!AX:AX,MATCH($D80,'卡片raw data'!$F:$F,)),0)+IF($L80="party卡",IF($P80=5,INDEX('卡片raw data'!BD:BD,MATCH($D80,'卡片raw data'!$F:$F,)),IF($P80&gt;=3,INDEX('卡片raw data'!BC:BC,MATCH($D80,'卡片raw data'!$F:$F,)),INDEX('卡片raw data'!BB:BB,MATCH($D80,'卡片raw data'!$F:$F,)))),IF(OR(AND($F80="UR",$P80=0),AND($F80="SR",$P80&gt;=0,$P80&lt;=2),AND($F80="R",$P80&gt;=0,$P80&lt;4)),INDEX('卡片raw data'!AZ:AZ,MATCH($D80,'卡片raw data'!$F:$F,)),0)+IF(OR(AND($F80="UR",$P80&gt;=1,$P80&lt;=4),AND($F80="SR",$P80&lt;=4,$P80&gt;=3),AND($F80="R",$P80=4)),INDEX('卡片raw data'!BA:BA,MATCH($D80,'卡片raw data'!$F:$F,)),0)+IF($P80=5,INDEX('卡片raw data'!BB:BB,MATCH($D80,'卡片raw data'!$F:$F,)),0)))</f>
        <v>2.7E-2</v>
      </c>
      <c r="BT80" s="1101">
        <f t="shared" si="122"/>
        <v>0</v>
      </c>
      <c r="BU80" s="1097">
        <f t="shared" si="123"/>
        <v>0</v>
      </c>
      <c r="BV80" s="1097">
        <f t="shared" si="124"/>
        <v>0</v>
      </c>
      <c r="BW80" s="1112">
        <f t="shared" si="125"/>
        <v>1.2641785714285714</v>
      </c>
      <c r="BX80" s="1100">
        <f t="shared" si="126"/>
        <v>98.679571224892797</v>
      </c>
      <c r="BY80" s="1110">
        <f t="shared" si="127"/>
        <v>98.679571224892797</v>
      </c>
      <c r="BZ80" s="1107" t="s">
        <v>569</v>
      </c>
      <c r="CA80" s="1124"/>
      <c r="CB80" s="1098">
        <f>IF($P80="","N/A",IF($P80=-1,INDEX('卡片raw data'!BE:BE,MATCH($D80,'卡片raw data'!$F:$F,)),0)+IF($L80="party卡",IF($P80=5,INDEX('卡片raw data'!BK:BK,MATCH($D80,'卡片raw data'!$F:$F,)),IF($P80&gt;=3,INDEX('卡片raw data'!BJ:BJ,MATCH($D80,'卡片raw data'!$F:$F,)),INDEX('卡片raw data'!BI:BI,MATCH($D80,'卡片raw data'!$F:$F,)))),IF(OR(AND($F80="UR",$P80=0),AND($F80="SR",$P80&gt;=0,$P80&lt;=2),AND($F80="R",$P80&gt;=0,$P80&lt;4)),INDEX('卡片raw data'!BG:BG,MATCH($D80,'卡片raw data'!$F:$F,)),0)+IF(OR(AND($F80="UR",$P80&gt;=1,$P80&lt;=4),AND($F80="SR",$P80&lt;=4,$P80&gt;=3),AND($F80="R",$P80=4)),INDEX('卡片raw data'!BH:BH,MATCH($D80,'卡片raw data'!$F:$F,)),0)+IF($P80=5,INDEX('卡片raw data'!BI:BI,MATCH($D80,'卡片raw data'!$F:$F,)),0)))</f>
        <v>0</v>
      </c>
      <c r="CC80" s="1101">
        <f t="shared" si="128"/>
        <v>0</v>
      </c>
      <c r="CD80" s="1097">
        <f>IF(BZ80="ap",CB80*(1-$FI$26)*$FB$5/$FB$11*(+IF(CA80="全员",$FA$24,0)+IF(CA80="同作战",$FA$24,0)+IF(CA80="仲间",$FA$24*2/3,0)+IF(CA80="同属性",$FA$24*$FA$37/3,0)+IF(CA80="同年级",$FA$24*$FA$40/3,0)+IF(CA80="同学校",$FA$24*$FA$43/3,0)+IF(CA80="同小队",$FA$24*$FA$46/3,0)+IF(CA80="同type",$FA$24*INDEX($FB$49:$FB$52,MATCH(X80,$FA$49:$FA$52,))/3,0)+IF(CA80="自身",#REF!/3,0)),0)+IF(BZ80="te",CB80*(1-$FI$27)*($FA$20-1)*$FB$7/$FB$13*(+IF(CA80="全员",$FA$19*$FA$24/(1+($FA$20-1)*$FA$19),0)+IF(CA80="同作战",$FA$19*$FA$24/(1+($FA$20-1)*$FA$19),0)+IF(CA80="仲间",$FA$19*$FA$24*2/3/(1+($FA$20-1)*$FA$19),0)+IF(CA80="同属性",$FA$19*$FA$24*$FA$37/3/(1+($FA$20-1)*$FA$19),0)+IF(CA80="同年级",$FA$19*$FA$24*$FA$40/3/(1+($FA$20-1)*$FA$19),0)+IF(CA80="同学校",$FA$19*$FA$24*$FA$43/3/(1+($FA$20-1)*$FA$19),0)+IF(CA80="同小队",$FA$19*$FA$24*$FA$46/3/(1+($FA$20-1)*$FA$19),0)+IF(CA80="同type",$FA$19*$FA$24*INDEX($FB$49:$FB$52,MATCH(X80,$FA$49:$FA$52,))/3/(1+($FA$20-1)*$FA$19),0)+IF(CA80="自身",$FA$19*#REF!/3/(1+(BH80-1)*$BD80),0)),0)</f>
        <v>0</v>
      </c>
      <c r="CE80" s="1097">
        <f t="shared" si="129"/>
        <v>0</v>
      </c>
      <c r="CF80" s="1112">
        <f t="shared" si="130"/>
        <v>0</v>
      </c>
      <c r="CG80" s="1100">
        <f t="shared" si="131"/>
        <v>0</v>
      </c>
      <c r="CH80" s="1110">
        <f t="shared" si="132"/>
        <v>0</v>
      </c>
      <c r="CI80" s="1113"/>
      <c r="CJ80" s="1114"/>
      <c r="CK80" s="1115" t="s">
        <v>569</v>
      </c>
      <c r="CL80" s="1115"/>
      <c r="CM80" s="1119"/>
      <c r="CN80" s="1115"/>
      <c r="CO80" s="1092"/>
      <c r="CP80" s="1117">
        <f t="shared" si="133"/>
        <v>0</v>
      </c>
      <c r="CQ80" s="1117">
        <f t="shared" si="134"/>
        <v>0</v>
      </c>
      <c r="CR80" s="1117">
        <f t="shared" si="135"/>
        <v>0</v>
      </c>
      <c r="CS80" s="1118">
        <f t="shared" si="136"/>
        <v>0</v>
      </c>
      <c r="CT80" s="1109">
        <f t="shared" si="137"/>
        <v>0</v>
      </c>
      <c r="CU80" s="1101">
        <f t="shared" si="138"/>
        <v>0</v>
      </c>
      <c r="CV80" s="1108">
        <f t="shared" si="139"/>
        <v>0</v>
      </c>
      <c r="CW80" s="1097">
        <f t="shared" si="140"/>
        <v>0</v>
      </c>
      <c r="CX80" s="1097">
        <f t="shared" si="141"/>
        <v>0</v>
      </c>
      <c r="CY80" s="1110">
        <f t="shared" si="142"/>
        <v>0</v>
      </c>
      <c r="CZ80" s="437"/>
      <c r="DA80" s="438"/>
      <c r="DB80" s="439" t="s">
        <v>569</v>
      </c>
      <c r="DC80" s="439"/>
      <c r="DD80" s="443"/>
      <c r="DE80" s="411"/>
      <c r="DF80" s="411"/>
      <c r="DG80" s="1116">
        <f t="shared" si="143"/>
        <v>0</v>
      </c>
      <c r="DH80" s="1116">
        <f t="shared" si="144"/>
        <v>0</v>
      </c>
      <c r="DI80" s="1116">
        <f t="shared" si="145"/>
        <v>0</v>
      </c>
      <c r="DJ80" s="442">
        <f t="shared" si="146"/>
        <v>0</v>
      </c>
      <c r="DK80" s="1109">
        <f t="shared" si="147"/>
        <v>0</v>
      </c>
      <c r="DL80" s="1101">
        <f t="shared" si="148"/>
        <v>0</v>
      </c>
      <c r="DM80" s="1097">
        <f t="shared" si="149"/>
        <v>0</v>
      </c>
      <c r="DN80" s="1097">
        <f t="shared" si="150"/>
        <v>0</v>
      </c>
      <c r="DO80" s="1097">
        <f t="shared" si="151"/>
        <v>0</v>
      </c>
      <c r="DP80" s="1110">
        <f t="shared" si="152"/>
        <v>0</v>
      </c>
      <c r="DQ80" s="1113" t="s">
        <v>636</v>
      </c>
      <c r="DR80" s="1120">
        <f t="shared" si="153"/>
        <v>0.3</v>
      </c>
      <c r="DS80" s="1124"/>
      <c r="DT80" s="1093" t="s">
        <v>546</v>
      </c>
      <c r="DU80" s="1093"/>
      <c r="DV80" s="1097">
        <f>IF($P80="","N/A",IF(P80=-1,INDEX('卡片raw data'!AN:AN,MATCH(D80,'卡片raw data'!$F:$F,)),0)+IF(AND(L80&lt;&gt;"party卡",P80&lt;=2,P80&gt;=0),INDEX('卡片raw data'!AP:AP,MATCH(D80,'卡片raw data'!$F:$F,)),0)+IF(OR(AND(L80="party卡",P80&lt;=1),AND(P80&lt;=4,L80&lt;&gt;"party卡",P80&gt;=3)),INDEX('卡片raw data'!AQ:AQ,MATCH(D80,'卡片raw data'!$F:$F,)),0)+IF(OR(P80=5,AND(L80="party卡",P80&gt;=2)),INDEX('卡片raw data'!AR:AR,MATCH(D80,'卡片raw data'!$F:$F,)),0))</f>
        <v>450</v>
      </c>
      <c r="DW80" s="1098">
        <f t="shared" si="154"/>
        <v>0.3</v>
      </c>
      <c r="DX80" s="1098">
        <f t="shared" si="155"/>
        <v>0.3</v>
      </c>
      <c r="DY80" s="1125">
        <f t="shared" si="156"/>
        <v>45</v>
      </c>
      <c r="DZ80" s="1125">
        <f t="shared" si="157"/>
        <v>38.924999999999997</v>
      </c>
      <c r="EA80" s="1098">
        <f t="shared" si="158"/>
        <v>0</v>
      </c>
      <c r="EB80" s="1121">
        <f t="shared" si="159"/>
        <v>0</v>
      </c>
      <c r="EC80" s="1101">
        <f t="shared" si="160"/>
        <v>0</v>
      </c>
      <c r="ED80" s="1097">
        <f t="shared" si="161"/>
        <v>0</v>
      </c>
      <c r="EE80" s="1110">
        <f t="shared" si="162"/>
        <v>3850.2639999273156</v>
      </c>
      <c r="EF80" s="1092" t="s">
        <v>711</v>
      </c>
      <c r="EG80" s="1120">
        <f t="shared" si="163"/>
        <v>0.3</v>
      </c>
      <c r="EH80" s="1124"/>
      <c r="EI80" s="1093"/>
      <c r="EJ80" s="1093"/>
      <c r="EK80" s="1097">
        <f>IF($P80="","N/A",IF(P80=-1,INDEX('卡片raw data'!AS:AS,MATCH(D80,'卡片raw data'!$F:$F,)),0)+IF(AND(L80&lt;&gt;"party卡",P80&lt;=2,P80&gt;=0),INDEX('卡片raw data'!AU:AU,MATCH(D80,'卡片raw data'!$F:$F,)),0)+IF(OR(AND(L80="party卡",P80&lt;=1),AND(P80&lt;=4,L80&lt;&gt;"party卡",P80&gt;=3)),INDEX('卡片raw data'!AV:AV,MATCH(D80,'卡片raw data'!$F:$F,)),0)+IF(OR(P80=5,AND(L80="party卡",P80&gt;=2)),INDEX('卡片raw data'!AW:AW,MATCH(D80,'卡片raw data'!$F:$F,)),0))</f>
        <v>0</v>
      </c>
      <c r="EL80" s="1098">
        <f t="shared" si="164"/>
        <v>0.3</v>
      </c>
      <c r="EM80" s="1098">
        <f t="shared" si="165"/>
        <v>0.3</v>
      </c>
      <c r="EN80" s="1125">
        <f t="shared" si="166"/>
        <v>0</v>
      </c>
      <c r="EO80" s="1125">
        <f t="shared" si="167"/>
        <v>0</v>
      </c>
      <c r="EP80" s="1098">
        <f t="shared" si="168"/>
        <v>0</v>
      </c>
      <c r="EQ80" s="1121">
        <f t="shared" si="169"/>
        <v>0</v>
      </c>
      <c r="ER80" s="1101">
        <f t="shared" si="170"/>
        <v>0</v>
      </c>
      <c r="ES80" s="1097">
        <f t="shared" si="171"/>
        <v>0</v>
      </c>
      <c r="ET80" s="1122">
        <f t="shared" si="172"/>
        <v>0</v>
      </c>
      <c r="EV80" s="1223" t="s">
        <v>2340</v>
      </c>
      <c r="EW80" s="1321" t="s">
        <v>4775</v>
      </c>
      <c r="EX80" s="1322"/>
      <c r="EY80" s="1232"/>
      <c r="EZ80" s="1232"/>
      <c r="FA80" s="1232"/>
      <c r="FB80" s="1232"/>
    </row>
    <row r="81" spans="2:154" ht="16.5" customHeight="1" thickBot="1">
      <c r="B81" s="1123" t="str">
        <f>INDEX('卡片raw data'!B:B,MATCH($D81,'卡片raw data'!$F:$F,))</f>
        <v>一专霞</v>
      </c>
      <c r="C81" s="449" t="s">
        <v>67</v>
      </c>
      <c r="D81" s="408">
        <v>78</v>
      </c>
      <c r="E81" s="1090">
        <v>102022001</v>
      </c>
      <c r="F81" s="1090" t="str">
        <f>INDEX('卡片raw data'!C:C,MATCH($D81,'卡片raw data'!$F:$F,))</f>
        <v>SR</v>
      </c>
      <c r="G81" s="1094" t="s">
        <v>352</v>
      </c>
      <c r="H81" s="411">
        <f>IFERROR(INDEX(绊状态确认!C:C,MATCH($G81,绊状态确认!$B:$B,)),"")</f>
        <v>202</v>
      </c>
      <c r="I81" s="450" t="str">
        <f>IFERROR(INDEX(绊状态确认!D:D,MATCH($G81,绊状态确认!$B:$B,)),"")</f>
        <v>虹</v>
      </c>
      <c r="J81" s="450" t="str">
        <f>IFERROR(INDEX(绊状态确认!E:E,MATCH($G81,绊状态确认!$B:$B,)),"")</f>
        <v>1年级</v>
      </c>
      <c r="K81" s="451" t="str">
        <f>IFERROR(INDEX(绊状态确认!F:F,MATCH($G81,绊状态确认!$B:$B,)),"")</f>
        <v>QU4RTZ</v>
      </c>
      <c r="L81" s="1094" t="str">
        <f>INDEX('卡片raw data'!E:E,MATCH($D81,'卡片raw data'!$F:$F,))</f>
        <v>卡池卡</v>
      </c>
      <c r="M81" s="415">
        <v>43735</v>
      </c>
      <c r="N81" s="416">
        <v>0</v>
      </c>
      <c r="O81" s="1091" t="str">
        <f>INDEX('卡片raw data'!D:D,MATCH($D81,'卡片raw data'!$F:$F,))</f>
        <v>sk</v>
      </c>
      <c r="P81" s="417">
        <v>5</v>
      </c>
      <c r="Q81" s="1095">
        <f t="shared" si="88"/>
        <v>15776.715694248547</v>
      </c>
      <c r="R81" s="1096">
        <f t="shared" si="89"/>
        <v>0.183</v>
      </c>
      <c r="S81" s="1097">
        <f t="shared" si="90"/>
        <v>13607.173745360175</v>
      </c>
      <c r="T81" s="1098">
        <f t="shared" si="91"/>
        <v>0.68</v>
      </c>
      <c r="U81" s="1099">
        <f t="shared" si="92"/>
        <v>13.268349728789145</v>
      </c>
      <c r="V81" s="1100">
        <f t="shared" si="93"/>
        <v>18835.134673046232</v>
      </c>
      <c r="W81" s="1101">
        <f t="shared" si="94"/>
        <v>4725.9033053078174</v>
      </c>
      <c r="X81" s="1096">
        <f t="shared" si="95"/>
        <v>5.3999999999999999E-2</v>
      </c>
      <c r="Y81" s="1097">
        <f t="shared" si="96"/>
        <v>1058.4189787976784</v>
      </c>
      <c r="Z81" s="1102">
        <f t="shared" si="97"/>
        <v>13.268349728789145</v>
      </c>
      <c r="AA81" s="1103">
        <f t="shared" si="98"/>
        <v>5784.3222841054958</v>
      </c>
      <c r="AB81" s="1101">
        <f t="shared" si="99"/>
        <v>4725.9033053078174</v>
      </c>
      <c r="AC81" s="1104">
        <f t="shared" si="100"/>
        <v>5.3999999999999999E-2</v>
      </c>
      <c r="AD81" s="1105">
        <f t="shared" si="101"/>
        <v>2.5827557765151516E-2</v>
      </c>
      <c r="AE81" s="1128">
        <f t="shared" si="102"/>
        <v>7.6779697246100422</v>
      </c>
      <c r="AF81" s="1130">
        <f t="shared" si="103"/>
        <v>0</v>
      </c>
      <c r="AG81" s="420">
        <f t="shared" si="104"/>
        <v>0</v>
      </c>
      <c r="AH81" s="420">
        <f t="shared" si="105"/>
        <v>0</v>
      </c>
      <c r="AI81" s="1097">
        <f t="shared" si="106"/>
        <v>0</v>
      </c>
      <c r="AJ81" s="420">
        <f t="shared" si="107"/>
        <v>0</v>
      </c>
      <c r="AK81" s="518">
        <f t="shared" si="108"/>
        <v>0</v>
      </c>
      <c r="AL81" s="1106">
        <f>IF($P81="","N/A",(IF($P81=-1,INDEX('卡片raw data'!S:S,MATCH($D81,'卡片raw data'!$F:$F,)),0)+IF($P81=0,INDEX('卡片raw data'!V:V,MATCH($D81,'卡片raw data'!$F:$F,)),0)+IF($P81=1,INDEX('卡片raw data'!Y:Y,MATCH($D81,'卡片raw data'!$F:$F,)),0)+IF($P81=2,INDEX('卡片raw data'!AB:AB,MATCH($D81,'卡片raw data'!$F:$F,)),0)+IF($P81=3,INDEX('卡片raw data'!AE:AE,MATCH($D81,'卡片raw data'!$F:$F,)),0)+IF($P81=4,INDEX('卡片raw data'!AH:AH,MATCH($D81,'卡片raw data'!$F:$F,)),0)+IF($P81=5,INDEX('卡片raw data'!AK:AK,MATCH($D81,'卡片raw data'!$F:$F,)),0)+INDEX('卡片raw data'!S:S,MATCH($D81,'卡片raw data'!$F:$F,))*(IF($F81="UR",0.04,0.033))*(IF($F81="UR",INDEX(绊状态确认!$S:$S,MATCH($G81,绊状态确认!$B:$B,))/2-40)+IF($F81="SR",INDEX(绊状态确认!$R:$R,MATCH($G81,绊状态确认!$B:$B,))/4-15))+IF($F81="R",INDEX(绊状态确认!$Q:$Q,MATCH($G81,绊状态确认!$B:$B,))/6-40/6)))*(INDEX(绊状态确认!$H:$H,MATCH($G81,绊状态确认!$B:$B,))+INDEX(绊状态确认!J:J,MATCH($G81,绊状态确认!$B:$B,)))</f>
        <v>6238.3178015999993</v>
      </c>
      <c r="AM81" s="1106">
        <f>IF($P81="","N/A",(IF($P81=-1,INDEX('卡片raw data'!T:T,MATCH($D81,'卡片raw data'!$F:$F,)),0)+IF($P81=0,INDEX('卡片raw data'!W:W,MATCH($D81,'卡片raw data'!$F:$F,)),0)+IF($P81=1,INDEX('卡片raw data'!Z:Z,MATCH($D81,'卡片raw data'!$F:$F,)),0)+IF($P81=2,INDEX('卡片raw data'!AC:AC,MATCH($D81,'卡片raw data'!$F:$F,)),0)+IF($P81=3,INDEX('卡片raw data'!AF:AF,MATCH($D81,'卡片raw data'!$F:$F,)),0)+IF($P81=4,INDEX('卡片raw data'!AI:AI,MATCH($D81,'卡片raw data'!$F:$F,)),0)+IF($P81=5,INDEX('卡片raw data'!AL:AL,MATCH($D81,'卡片raw data'!$F:$F,)),0)+INDEX('卡片raw data'!T:T,MATCH($D81,'卡片raw data'!$F:$F,))*(IF($F81="UR",0.04,0.033))*(IF($F81="UR",INDEX(绊状态确认!$S:$S,MATCH($G81,绊状态确认!$B:$B,))/2-40)+IF($F81="SR",INDEX(绊状态确认!$R:$R,MATCH($G81,绊状态确认!$B:$B,))/4-15))+IF($F81="R",INDEX(绊状态确认!$Q:$Q,MATCH($G81,绊状态确认!$B:$B,))/6-40/6)))*(INDEX(绊状态确认!$H:$H,MATCH($G81,绊状态确认!$B:$B,))+INDEX(绊状态确认!K:K,MATCH($G81,绊状态确认!$B:$B,)))</f>
        <v>6617.1208319999996</v>
      </c>
      <c r="AN81" s="1106">
        <f>IF($P81="","N/A",(IF($P81=-1,INDEX('卡片raw data'!U:U,MATCH($D81,'卡片raw data'!$F:$F,)),0)+IF($P81=0,INDEX('卡片raw data'!X:X,MATCH($D81,'卡片raw data'!$F:$F,)),0)+IF($P81=1,INDEX('卡片raw data'!AA:AA,MATCH($D81,'卡片raw data'!$F:$F,)),0)+IF($P81=2,INDEX('卡片raw data'!AD:AD,MATCH($D81,'卡片raw data'!$F:$F,)),0)+IF($P81=3,INDEX('卡片raw data'!AG:AG,MATCH($D81,'卡片raw data'!$F:$F,)),0)+IF($P81=4,INDEX('卡片raw data'!AJ:AJ,MATCH($D81,'卡片raw data'!$F:$F,)),0)+IF($P81=5,INDEX('卡片raw data'!AM:AM,MATCH($D81,'卡片raw data'!$F:$F,)),0)+INDEX('卡片raw data'!U:U,MATCH($D81,'卡片raw data'!$F:$F,))*(IF($F81="UR",0.04,0.033))*(IF($F81="UR",INDEX(绊状态确认!$S:$S,MATCH($G81,绊状态确认!$B:$B,))/2-40)+IF($F81="SR",INDEX(绊状态确认!$R:$R,MATCH($G81,绊状态确认!$B:$B,))/4-15))+IF($F81="R",INDEX(绊状态确认!$Q:$Q,MATCH($G81,绊状态确认!$B:$B,))/6-40/6)))*(INDEX(绊状态确认!$H:$H,MATCH($G81,绊状态确认!$B:$B,))+INDEX(绊状态确认!L:L,MATCH($G81,绊状态确认!$B:$B,)))</f>
        <v>6049.4844863999997</v>
      </c>
      <c r="AO81" s="1107">
        <f t="shared" si="109"/>
        <v>1</v>
      </c>
      <c r="AP81" s="1131">
        <f>1+(INDEX(绊状态确认!$T:$T,MATCH($G81,绊状态确认!$B:$B,))+0.2)*$AO81</f>
        <v>1.3</v>
      </c>
      <c r="AQ81" s="1108">
        <f t="shared" si="110"/>
        <v>19625.584229199998</v>
      </c>
      <c r="AR81" s="1097">
        <f>(AM81*(1+$EX$9)+$EX$35)*(1+(INDEX(绊状态确认!$T:$T,MATCH($G81,绊状态确认!$B:$B,))+0.2)*AO81)*IF(J81=$FF$17,1+$FE$17,1)*IF(I81=$FF$14,1+$FE$14,1)</f>
        <v>11736.369935680001</v>
      </c>
      <c r="AS81" s="1097">
        <f>(AN81*(1+$EX$10)+$EX$36)*(1+(INDEX(绊状态确认!$T:$T,MATCH($G81,绊状态确认!$B:$B,))+0.2)*AO81)*IF(J81=$FF$17,1+$FE$17,1)*IF(I81=$FF$14,1+$FE$14,1)</f>
        <v>13099.979307167998</v>
      </c>
      <c r="AT81" s="1093">
        <f>IF(AND(INDEX('卡片raw data'!AK:AK,MATCH($D81,'卡片raw data'!$F:$F,))&lt;INDEX('卡片raw data'!AM:AM,MATCH($D81,'卡片raw data'!$F:$F,)),INDEX('卡片raw data'!AL:AL,MATCH($D81,'卡片raw data'!$F:$F,))&lt;INDEX('卡片raw data'!AM:AM,MATCH($D81,'卡片raw data'!$F:$F,))),1,0)</f>
        <v>0</v>
      </c>
      <c r="AU81" s="1098">
        <f>MIN(AT81*0.15+AS81*0.00003+INDEX(绊状态确认!M:M,MATCH($G81,绊状态确认!$B:$B,)),1)</f>
        <v>0.42299937921503999</v>
      </c>
      <c r="AV81" s="1109">
        <f>(INDEX(绊状态确认!$N:$N,MATCH($G81,绊状态确认!$B:$B,))+1.5)*$EW$21</f>
        <v>2.6599999999999997</v>
      </c>
      <c r="AW81" s="1101">
        <f t="shared" si="111"/>
        <v>17349.42869567703</v>
      </c>
      <c r="AX81" s="1097">
        <f t="shared" si="112"/>
        <v>1004.3343613999118</v>
      </c>
      <c r="AY81" s="1110">
        <f t="shared" si="113"/>
        <v>18353.763057076943</v>
      </c>
      <c r="AZ81" s="429">
        <f t="shared" si="114"/>
        <v>14764.719713119999</v>
      </c>
      <c r="BA81" s="431">
        <f t="shared" si="115"/>
        <v>17717.663655744</v>
      </c>
      <c r="BB81" s="1097">
        <f>(AM81*(1+$FB$9)+$FB$35)*(1+(INDEX(绊状态确认!$T:$T,MATCH($G81,绊状态确认!$B:$B,))+0.2)*AO81)*IF(J81=$FF$17,1+$FE$17,1)*IF(I81=$FF$14,1+$FE$14,1)*(1+$FE$15)</f>
        <v>11736.369935680001</v>
      </c>
      <c r="BC81" s="1097">
        <f>(AN81*(1+$FB$10)+$FB$36)*(1+(INDEX(绊状态确认!$T:$T,MATCH($G81,绊状态确认!$B:$B,))+0.2)*AO81)*IF(J81=$FF$17,1+$FE$17,1)*IF(I81=$FF$14,1+$FE$14,1)*(1+$FE$15)</f>
        <v>13099.979307167998</v>
      </c>
      <c r="BD81" s="1104">
        <f>MIN(AT81*0.15+BC81*0.00003+INDEX(绊状态确认!M:M,MATCH($G81,绊状态确认!$B:$B,)),1)</f>
        <v>0.42299937921503999</v>
      </c>
      <c r="BE81" s="432">
        <f>(INDEX(绊状态确认!$N:$N,MATCH($G81,绊状态确认!$B:$B,))+1.5)</f>
        <v>1.9</v>
      </c>
      <c r="BF81" s="1139">
        <f t="array" ref="BF81">SUMPRODUCT(IF(AZ81*AP81*$FI$16:$FI$23*$FA$22&gt;=$FI$24,$FI$24,AZ81*AP81*$FI$16:$FI$23*$FA$22),$FJ$16:$FJ$23)</f>
        <v>29367.027509395681</v>
      </c>
      <c r="BG81" s="1125">
        <f t="array" ref="BG81">SUMPRODUCT(IF(BE81*AZ81*AP81*$FI$16:$FI$23*$FA$22&gt;=$FI$24,$FI$24,BE81*AZ81*AP81*$FI$16:$FI$23*$FA$22),$FJ$16:$FJ$23)</f>
        <v>54104.169114492332</v>
      </c>
      <c r="BH81" s="1110">
        <f t="shared" si="116"/>
        <v>13276.941017302035</v>
      </c>
      <c r="BI81" s="1111">
        <f>IF(O81="vo",$EW$26/$EW$24*0.05,0)+IF(O81="sk",-$EW$26/$EW$24*(0.05-INDEX(绊状态确认!W:W,MATCH($G81,绊状态确认!$B:$B,)))+0.05*$EW$28,0)+IF(O81="sp",0.05*$EW$32*$EW$30*(1-$EW$33)-(0.05-INDEX(绊状态确认!V:V,MATCH($G81,绊状态确认!$B:$B,)))*$EW$28,0)+IF(O81="gd",-(0.05-INDEX(绊状态确认!X:X,MATCH($G81,绊状态确认!$B:$B,)))*$EW$32*$EW$30*(1-$EW$33),0)</f>
        <v>-6253.6726349699375</v>
      </c>
      <c r="BJ81" s="1097">
        <f>IF(O81="vo",0.05*(1-$FI$26)*$FA$24,0)+IF(O81="sk",-(0.05-INDEX(绊状态确认!W:W,MATCH($G81,绊状态确认!$B:$B,)))*(1-$FI$26)*$FA$24+0.05*$FA$26,0)+IF(O81="sp",0.05*$FA$32*$FA$27*(1-$FA$33)/$FA$30+0.05*$FA$29/$FA$69*$FA$27*(1-$FA$33)-(0.05-INDEX(绊状态确认!V:V,MATCH($G81,绊状态确认!$B:$B,)))*$FA$26,0)+IF(O81="gd",-(0.05-INDEX(绊状态确认!X:X,MATCH($G81,绊状态确认!$B:$B,)))*$FA$32*$FA$27*(1-$FA$33)/$FA$30-(0.05-INDEX(绊状态确认!X:X,MATCH($G81,绊状态确认!$B:$B,)))*$FA$29/$FA$69*$FA$27*(1-$FA$33),0)</f>
        <v>20.459096812499922</v>
      </c>
      <c r="BK81" s="1110">
        <f>IF(O81="vo",$EW$26/$EW$24*0.05+$EW$26*(-HP($EW$62,$EW$65,$EW$64)+HP($EW$62,$EW$65,(1.05-INDEX(绊状态确认!U:U,MATCH($G81,绊状态确认!$B:$B,)))*$EW$64)),0)+IF(O81="sk",-$EW$26/$EW$24*(0.05-INDEX(绊状态确认!W:W,MATCH($G81,绊状态确认!$B:$B,)))+0.05*$EW$29,0)+IF(O81="sp",0.05*$EW$32*$EW$30*(1-$EW$33)-(0.05-INDEX(绊状态确认!V:V,MATCH($G81,绊状态确认!$B:$B,)))*$EW$29,0)+IF(O81="gd",-(0.05-INDEX(绊状态确认!X:X,MATCH($G81,绊状态确认!$B:$B,)))*$EW$32*$EW$30*(1-$EW$33)+$EW$26*(-HP($EW$62,$EW$65,$EW$64)+HP($EW$62,$EW$65,0.95*$EW$64)),0)</f>
        <v>-4253.6726349699375</v>
      </c>
      <c r="BL81" s="1111">
        <f t="shared" si="117"/>
        <v>-1083.3333333333333</v>
      </c>
      <c r="BM81" s="1110">
        <f t="shared" si="118"/>
        <v>-830.55555555555543</v>
      </c>
      <c r="BN81" s="1113">
        <f t="shared" si="119"/>
        <v>3</v>
      </c>
      <c r="BO81" s="1097">
        <f t="shared" si="120"/>
        <v>4507.7214871259994</v>
      </c>
      <c r="BP81" s="1100">
        <f t="shared" si="121"/>
        <v>221.34103209030098</v>
      </c>
      <c r="BQ81" s="1113" t="s">
        <v>624</v>
      </c>
      <c r="BR81" s="1124" t="s">
        <v>625</v>
      </c>
      <c r="BS81" s="1098">
        <f>IF($P81="","N/A",IF($P81=-1,INDEX('卡片raw data'!AX:AX,MATCH($D81,'卡片raw data'!$F:$F,)),0)+IF($L81="party卡",IF($P81=5,INDEX('卡片raw data'!BD:BD,MATCH($D81,'卡片raw data'!$F:$F,)),IF($P81&gt;=3,INDEX('卡片raw data'!BC:BC,MATCH($D81,'卡片raw data'!$F:$F,)),INDEX('卡片raw data'!BB:BB,MATCH($D81,'卡片raw data'!$F:$F,)))),IF(OR(AND($F81="UR",$P81=0),AND($F81="SR",$P81&gt;=0,$P81&lt;=2),AND($F81="R",$P81&gt;=0,$P81&lt;4)),INDEX('卡片raw data'!AZ:AZ,MATCH($D81,'卡片raw data'!$F:$F,)),0)+IF(OR(AND($F81="UR",$P81&gt;=1,$P81&lt;=4),AND($F81="SR",$P81&lt;=4,$P81&gt;=3),AND($F81="R",$P81=4)),INDEX('卡片raw data'!BA:BA,MATCH($D81,'卡片raw data'!$F:$F,)),0)+IF($P81=5,INDEX('卡片raw data'!BB:BB,MATCH($D81,'卡片raw data'!$F:$F,)),0)))</f>
        <v>7.0000000000000007E-2</v>
      </c>
      <c r="BT81" s="1101">
        <f t="shared" si="122"/>
        <v>0</v>
      </c>
      <c r="BU81" s="1097">
        <f t="shared" si="123"/>
        <v>0</v>
      </c>
      <c r="BV81" s="1097">
        <f t="shared" si="124"/>
        <v>0</v>
      </c>
      <c r="BW81" s="1112">
        <f t="shared" si="125"/>
        <v>0.69366765484628801</v>
      </c>
      <c r="BX81" s="1100">
        <f t="shared" si="126"/>
        <v>54.084617397765967</v>
      </c>
      <c r="BY81" s="1110">
        <f t="shared" si="127"/>
        <v>54.084617397765967</v>
      </c>
      <c r="BZ81" s="1107" t="s">
        <v>569</v>
      </c>
      <c r="CA81" s="1124"/>
      <c r="CB81" s="1098">
        <f>IF($P81="","N/A",IF($P81=-1,INDEX('卡片raw data'!BE:BE,MATCH($D81,'卡片raw data'!$F:$F,)),0)+IF($L81="party卡",IF($P81=5,INDEX('卡片raw data'!BK:BK,MATCH($D81,'卡片raw data'!$F:$F,)),IF($P81&gt;=3,INDEX('卡片raw data'!BJ:BJ,MATCH($D81,'卡片raw data'!$F:$F,)),INDEX('卡片raw data'!BI:BI,MATCH($D81,'卡片raw data'!$F:$F,)))),IF(OR(AND($F81="UR",$P81=0),AND($F81="SR",$P81&gt;=0,$P81&lt;=2),AND($F81="R",$P81&gt;=0,$P81&lt;4)),INDEX('卡片raw data'!BG:BG,MATCH($D81,'卡片raw data'!$F:$F,)),0)+IF(OR(AND($F81="UR",$P81&gt;=1,$P81&lt;=4),AND($F81="SR",$P81&lt;=4,$P81&gt;=3),AND($F81="R",$P81=4)),INDEX('卡片raw data'!BH:BH,MATCH($D81,'卡片raw data'!$F:$F,)),0)+IF($P81=5,INDEX('卡片raw data'!BI:BI,MATCH($D81,'卡片raw data'!$F:$F,)),0)))</f>
        <v>0</v>
      </c>
      <c r="CC81" s="1101">
        <f t="shared" si="128"/>
        <v>0</v>
      </c>
      <c r="CD81" s="1097">
        <f>IF(BZ81="ap",CB81*(1-$FI$26)*$FB$5/$FB$11*(+IF(CA81="全员",$FA$24,0)+IF(CA81="同作战",$FA$24,0)+IF(CA81="仲间",$FA$24*2/3,0)+IF(CA81="同属性",$FA$24*$FA$37/3,0)+IF(CA81="同年级",$FA$24*$FA$40/3,0)+IF(CA81="同学校",$FA$24*$FA$43/3,0)+IF(CA81="同小队",$FA$24*$FA$46/3,0)+IF(CA81="同type",$FA$24*INDEX($FB$49:$FB$52,MATCH(X81,$FA$49:$FA$52,))/3,0)+IF(CA81="自身",#REF!/3,0)),0)+IF(BZ81="te",CB81*(1-$FI$27)*($FA$20-1)*$FB$7/$FB$13*(+IF(CA81="全员",$FA$19*$FA$24/(1+($FA$20-1)*$FA$19),0)+IF(CA81="同作战",$FA$19*$FA$24/(1+($FA$20-1)*$FA$19),0)+IF(CA81="仲间",$FA$19*$FA$24*2/3/(1+($FA$20-1)*$FA$19),0)+IF(CA81="同属性",$FA$19*$FA$24*$FA$37/3/(1+($FA$20-1)*$FA$19),0)+IF(CA81="同年级",$FA$19*$FA$24*$FA$40/3/(1+($FA$20-1)*$FA$19),0)+IF(CA81="同学校",$FA$19*$FA$24*$FA$43/3/(1+($FA$20-1)*$FA$19),0)+IF(CA81="同小队",$FA$19*$FA$24*$FA$46/3/(1+($FA$20-1)*$FA$19),0)+IF(CA81="同type",$FA$19*$FA$24*INDEX($FB$49:$FB$52,MATCH(X81,$FA$49:$FA$52,))/3/(1+($FA$20-1)*$FA$19),0)+IF(CA81="自身",$FA$19*#REF!/3/(1+(BH81-1)*$BD81),0)),0)</f>
        <v>0</v>
      </c>
      <c r="CE81" s="1097">
        <f t="shared" si="129"/>
        <v>0</v>
      </c>
      <c r="CF81" s="1112">
        <f t="shared" si="130"/>
        <v>0</v>
      </c>
      <c r="CG81" s="1100">
        <f t="shared" si="131"/>
        <v>0</v>
      </c>
      <c r="CH81" s="1110">
        <f t="shared" si="132"/>
        <v>0</v>
      </c>
      <c r="CI81" s="1113" t="s">
        <v>162</v>
      </c>
      <c r="CJ81" s="1114">
        <v>0.3</v>
      </c>
      <c r="CK81" s="1115" t="s">
        <v>561</v>
      </c>
      <c r="CL81" s="1115" t="s">
        <v>161</v>
      </c>
      <c r="CM81" s="1119">
        <v>0.08</v>
      </c>
      <c r="CN81" s="1115">
        <v>10</v>
      </c>
      <c r="CO81" s="1092"/>
      <c r="CP81" s="1118">
        <f t="shared" si="133"/>
        <v>5.1428571428571426E-3</v>
      </c>
      <c r="CQ81" s="1118">
        <f t="shared" si="134"/>
        <v>8.0000000000000002E-3</v>
      </c>
      <c r="CR81" s="1118">
        <f t="shared" si="135"/>
        <v>5.1428571428571426E-3</v>
      </c>
      <c r="CS81" s="1118">
        <f t="shared" si="136"/>
        <v>6.8333333333333319E-3</v>
      </c>
      <c r="CT81" s="1109">
        <f t="shared" si="137"/>
        <v>0</v>
      </c>
      <c r="CU81" s="1101">
        <f t="shared" si="138"/>
        <v>218.18181818181816</v>
      </c>
      <c r="CV81" s="1108">
        <f t="shared" si="139"/>
        <v>181.81818181818181</v>
      </c>
      <c r="CW81" s="1097">
        <f t="shared" si="140"/>
        <v>218.18181818181816</v>
      </c>
      <c r="CX81" s="1097">
        <f t="shared" si="141"/>
        <v>218.18181818181816</v>
      </c>
      <c r="CY81" s="1110">
        <f t="shared" si="142"/>
        <v>218.18181818181816</v>
      </c>
      <c r="CZ81" s="437"/>
      <c r="DA81" s="438"/>
      <c r="DB81" s="439" t="s">
        <v>569</v>
      </c>
      <c r="DC81" s="439"/>
      <c r="DD81" s="443"/>
      <c r="DE81" s="411"/>
      <c r="DF81" s="411"/>
      <c r="DG81" s="1116">
        <f t="shared" si="143"/>
        <v>0</v>
      </c>
      <c r="DH81" s="1116">
        <f t="shared" si="144"/>
        <v>0</v>
      </c>
      <c r="DI81" s="1116">
        <f t="shared" si="145"/>
        <v>0</v>
      </c>
      <c r="DJ81" s="442">
        <f t="shared" si="146"/>
        <v>0</v>
      </c>
      <c r="DK81" s="1109">
        <f t="shared" si="147"/>
        <v>0</v>
      </c>
      <c r="DL81" s="1101">
        <f t="shared" si="148"/>
        <v>0</v>
      </c>
      <c r="DM81" s="1097">
        <f t="shared" si="149"/>
        <v>0</v>
      </c>
      <c r="DN81" s="1097">
        <f t="shared" si="150"/>
        <v>0</v>
      </c>
      <c r="DO81" s="1097">
        <f t="shared" si="151"/>
        <v>0</v>
      </c>
      <c r="DP81" s="1110">
        <f t="shared" si="152"/>
        <v>0</v>
      </c>
      <c r="DQ81" s="1113" t="s">
        <v>545</v>
      </c>
      <c r="DR81" s="1120">
        <f t="shared" si="153"/>
        <v>0.3</v>
      </c>
      <c r="DS81" s="1124"/>
      <c r="DT81" s="1093" t="s">
        <v>548</v>
      </c>
      <c r="DU81" s="1093"/>
      <c r="DV81" s="1098">
        <f>IF($P81="","N/A",IF(P81=-1,INDEX('卡片raw data'!AN:AN,MATCH(D81,'卡片raw data'!$F:$F,)),0)+IF(AND(L81&lt;&gt;"party卡",P81&lt;=2,P81&gt;=0),INDEX('卡片raw data'!AP:AP,MATCH(D81,'卡片raw data'!$F:$F,)),0)+IF(OR(AND(L81="party卡",P81&lt;=1),AND(P81&lt;=4,L81&lt;&gt;"party卡",P81&gt;=3)),INDEX('卡片raw data'!AQ:AQ,MATCH(D81,'卡片raw data'!$F:$F,)),0)+IF(OR(P81=5,AND(L81="party卡",P81&gt;=2)),INDEX('卡片raw data'!AR:AR,MATCH(D81,'卡片raw data'!$F:$F,)),0))</f>
        <v>0.37</v>
      </c>
      <c r="DW81" s="1098">
        <f t="shared" si="154"/>
        <v>0.3</v>
      </c>
      <c r="DX81" s="1098">
        <f t="shared" si="155"/>
        <v>0.3</v>
      </c>
      <c r="DY81" s="1125">
        <f t="shared" si="156"/>
        <v>943.99060142452004</v>
      </c>
      <c r="DZ81" s="1125">
        <f t="shared" si="157"/>
        <v>737.16997289271274</v>
      </c>
      <c r="EA81" s="1098">
        <f t="shared" si="158"/>
        <v>0</v>
      </c>
      <c r="EB81" s="1121">
        <f t="shared" si="159"/>
        <v>0</v>
      </c>
      <c r="EC81" s="1101">
        <f t="shared" si="160"/>
        <v>1038.3896615669721</v>
      </c>
      <c r="ED81" s="1097">
        <f t="shared" si="161"/>
        <v>737.16997289271274</v>
      </c>
      <c r="EE81" s="1110">
        <f t="shared" si="162"/>
        <v>1038.3896615669721</v>
      </c>
      <c r="EF81" s="1092" t="s">
        <v>711</v>
      </c>
      <c r="EG81" s="1120">
        <f t="shared" si="163"/>
        <v>0.3</v>
      </c>
      <c r="EH81" s="1124"/>
      <c r="EI81" s="1093"/>
      <c r="EJ81" s="1093"/>
      <c r="EK81" s="1097">
        <f>IF($P81="","N/A",IF(P81=-1,INDEX('卡片raw data'!AS:AS,MATCH(D81,'卡片raw data'!$F:$F,)),0)+IF(AND(L81&lt;&gt;"party卡",P81&lt;=2,P81&gt;=0),INDEX('卡片raw data'!AU:AU,MATCH(D81,'卡片raw data'!$F:$F,)),0)+IF(OR(AND(L81="party卡",P81&lt;=1),AND(P81&lt;=4,L81&lt;&gt;"party卡",P81&gt;=3)),INDEX('卡片raw data'!AV:AV,MATCH(D81,'卡片raw data'!$F:$F,)),0)+IF(OR(P81=5,AND(L81="party卡",P81&gt;=2)),INDEX('卡片raw data'!AW:AW,MATCH(D81,'卡片raw data'!$F:$F,)),0))</f>
        <v>0</v>
      </c>
      <c r="EL81" s="1098">
        <f t="shared" si="164"/>
        <v>0.3</v>
      </c>
      <c r="EM81" s="1098">
        <f t="shared" si="165"/>
        <v>0.3</v>
      </c>
      <c r="EN81" s="1125">
        <f t="shared" si="166"/>
        <v>0</v>
      </c>
      <c r="EO81" s="1125">
        <f t="shared" si="167"/>
        <v>0</v>
      </c>
      <c r="EP81" s="1098">
        <f t="shared" si="168"/>
        <v>0</v>
      </c>
      <c r="EQ81" s="1121">
        <f t="shared" si="169"/>
        <v>0</v>
      </c>
      <c r="ER81" s="1101">
        <f t="shared" si="170"/>
        <v>0</v>
      </c>
      <c r="ES81" s="1097">
        <f t="shared" si="171"/>
        <v>0</v>
      </c>
      <c r="ET81" s="1122">
        <f t="shared" si="172"/>
        <v>0</v>
      </c>
      <c r="EV81" s="1242" t="s">
        <v>2341</v>
      </c>
      <c r="EW81" s="1308">
        <f>INDEX(Q:Q,MATCH(EW80,B:B,))</f>
        <v>86013.548316392567</v>
      </c>
      <c r="EX81" s="1309"/>
    </row>
    <row r="82" spans="2:154" ht="16.5" customHeight="1" thickTop="1">
      <c r="B82" s="1123" t="str">
        <f>INDEX('卡片raw data'!B:B,MATCH($D82,'卡片raw data'!$F:$F,))</f>
        <v>校服雫</v>
      </c>
      <c r="C82" s="449" t="s">
        <v>22</v>
      </c>
      <c r="D82" s="408">
        <v>79</v>
      </c>
      <c r="E82" s="1090">
        <v>102031001</v>
      </c>
      <c r="F82" s="1090" t="str">
        <f>INDEX('卡片raw data'!C:C,MATCH($D82,'卡片raw data'!$F:$F,))</f>
        <v>R</v>
      </c>
      <c r="G82" s="1094" t="s">
        <v>349</v>
      </c>
      <c r="H82" s="411">
        <f>IFERROR(INDEX(绊状态确认!C:C,MATCH($G82,绊状态确认!$B:$B,)),"")</f>
        <v>203</v>
      </c>
      <c r="I82" s="450" t="str">
        <f>IFERROR(INDEX(绊状态确认!D:D,MATCH($G82,绊状态确认!$B:$B,)),"")</f>
        <v>虹</v>
      </c>
      <c r="J82" s="450" t="str">
        <f>IFERROR(INDEX(绊状态确认!E:E,MATCH($G82,绊状态确认!$B:$B,)),"")</f>
        <v>1年级</v>
      </c>
      <c r="K82" s="451" t="str">
        <f>IFERROR(INDEX(绊状态确认!F:F,MATCH($G82,绊状态确认!$B:$B,)),"")</f>
        <v>A·ZU·NA</v>
      </c>
      <c r="L82" s="1094" t="str">
        <f>INDEX('卡片raw data'!E:E,MATCH($D82,'卡片raw data'!$F:$F,))</f>
        <v>卡池卡</v>
      </c>
      <c r="M82" s="415">
        <v>43735</v>
      </c>
      <c r="N82" s="416">
        <v>0</v>
      </c>
      <c r="O82" s="1091" t="str">
        <f>INDEX('卡片raw data'!D:D,MATCH($D82,'卡片raw data'!$F:$F,))</f>
        <v>sk</v>
      </c>
      <c r="P82" s="417">
        <v>5</v>
      </c>
      <c r="Q82" s="1095">
        <f t="shared" si="88"/>
        <v>10132.159984437994</v>
      </c>
      <c r="R82" s="1096">
        <f t="shared" si="89"/>
        <v>0.11700000000000001</v>
      </c>
      <c r="S82" s="1097">
        <f t="shared" si="90"/>
        <v>8784.5040705605043</v>
      </c>
      <c r="T82" s="1098">
        <f t="shared" si="91"/>
        <v>0.439</v>
      </c>
      <c r="U82" s="1099">
        <f t="shared" si="92"/>
        <v>8.6891605821428559</v>
      </c>
      <c r="V82" s="1100">
        <f t="shared" si="93"/>
        <v>12820.670962289556</v>
      </c>
      <c r="W82" s="1101">
        <f t="shared" si="94"/>
        <v>3005.1476580839999</v>
      </c>
      <c r="X82" s="1096">
        <f t="shared" si="95"/>
        <v>3.4000000000000002E-2</v>
      </c>
      <c r="Y82" s="1097">
        <f t="shared" si="96"/>
        <v>688.51097785156207</v>
      </c>
      <c r="Z82" s="1102">
        <f t="shared" si="97"/>
        <v>8.6891605821428559</v>
      </c>
      <c r="AA82" s="1103">
        <f t="shared" si="98"/>
        <v>3693.658635935562</v>
      </c>
      <c r="AB82" s="1101">
        <f t="shared" si="99"/>
        <v>5127.5262193765793</v>
      </c>
      <c r="AC82" s="1104">
        <f t="shared" si="100"/>
        <v>5.8999999999999997E-2</v>
      </c>
      <c r="AD82" s="1105">
        <f t="shared" si="101"/>
        <v>2.4395846306818177E-2</v>
      </c>
      <c r="AE82" s="1128">
        <f t="shared" si="102"/>
        <v>0.73148497747311758</v>
      </c>
      <c r="AF82" s="1130">
        <f t="shared" si="103"/>
        <v>0</v>
      </c>
      <c r="AG82" s="420">
        <f t="shared" si="104"/>
        <v>0</v>
      </c>
      <c r="AH82" s="420">
        <f t="shared" si="105"/>
        <v>0</v>
      </c>
      <c r="AI82" s="1097">
        <f t="shared" si="106"/>
        <v>0</v>
      </c>
      <c r="AJ82" s="420">
        <f t="shared" si="107"/>
        <v>0</v>
      </c>
      <c r="AK82" s="518">
        <f t="shared" si="108"/>
        <v>0</v>
      </c>
      <c r="AL82" s="1106">
        <f>IF($P82="","N/A",(IF($P82=-1,INDEX('卡片raw data'!S:S,MATCH($D82,'卡片raw data'!$F:$F,)),0)+IF($P82=0,INDEX('卡片raw data'!V:V,MATCH($D82,'卡片raw data'!$F:$F,)),0)+IF($P82=1,INDEX('卡片raw data'!Y:Y,MATCH($D82,'卡片raw data'!$F:$F,)),0)+IF($P82=2,INDEX('卡片raw data'!AB:AB,MATCH($D82,'卡片raw data'!$F:$F,)),0)+IF($P82=3,INDEX('卡片raw data'!AE:AE,MATCH($D82,'卡片raw data'!$F:$F,)),0)+IF($P82=4,INDEX('卡片raw data'!AH:AH,MATCH($D82,'卡片raw data'!$F:$F,)),0)+IF($P82=5,INDEX('卡片raw data'!AK:AK,MATCH($D82,'卡片raw data'!$F:$F,)),0)+INDEX('卡片raw data'!S:S,MATCH($D82,'卡片raw data'!$F:$F,))*(IF($F82="UR",0.04,0.033))*(IF($F82="UR",INDEX(绊状态确认!$S:$S,MATCH($G82,绊状态确认!$B:$B,))/2-40)+IF($F82="SR",INDEX(绊状态确认!$R:$R,MATCH($G82,绊状态确认!$B:$B,))/4-15))+IF($F82="R",INDEX(绊状态确认!$Q:$Q,MATCH($G82,绊状态确认!$B:$B,))/6-40/6)))*(INDEX(绊状态确认!$H:$H,MATCH($G82,绊状态确认!$B:$B,))+INDEX(绊状态确认!J:J,MATCH($G82,绊状态确认!$B:$B,)))</f>
        <v>3960.3539999999994</v>
      </c>
      <c r="AM82" s="1106">
        <f>IF($P82="","N/A",(IF($P82=-1,INDEX('卡片raw data'!T:T,MATCH($D82,'卡片raw data'!$F:$F,)),0)+IF($P82=0,INDEX('卡片raw data'!W:W,MATCH($D82,'卡片raw data'!$F:$F,)),0)+IF($P82=1,INDEX('卡片raw data'!Z:Z,MATCH($D82,'卡片raw data'!$F:$F,)),0)+IF($P82=2,INDEX('卡片raw data'!AC:AC,MATCH($D82,'卡片raw data'!$F:$F,)),0)+IF($P82=3,INDEX('卡片raw data'!AF:AF,MATCH($D82,'卡片raw data'!$F:$F,)),0)+IF($P82=4,INDEX('卡片raw data'!AI:AI,MATCH($D82,'卡片raw data'!$F:$F,)),0)+IF($P82=5,INDEX('卡片raw data'!AL:AL,MATCH($D82,'卡片raw data'!$F:$F,)),0)+INDEX('卡片raw data'!T:T,MATCH($D82,'卡片raw data'!$F:$F,))*(IF($F82="UR",0.04,0.033))*(IF($F82="UR",INDEX(绊状态确认!$S:$S,MATCH($G82,绊状态确认!$B:$B,))/2-40)+IF($F82="SR",INDEX(绊状态确认!$R:$R,MATCH($G82,绊状态确认!$B:$B,))/4-15))+IF($F82="R",INDEX(绊状态确认!$Q:$Q,MATCH($G82,绊状态确认!$B:$B,))/6-40/6)))*(INDEX(绊状态确认!$H:$H,MATCH($G82,绊状态确认!$B:$B,))+INDEX(绊状态确认!K:K,MATCH($G82,绊状态确认!$B:$B,)))</f>
        <v>3960.3539999999994</v>
      </c>
      <c r="AN82" s="1106">
        <f>IF($P82="","N/A",(IF($P82=-1,INDEX('卡片raw data'!U:U,MATCH($D82,'卡片raw data'!$F:$F,)),0)+IF($P82=0,INDEX('卡片raw data'!X:X,MATCH($D82,'卡片raw data'!$F:$F,)),0)+IF($P82=1,INDEX('卡片raw data'!AA:AA,MATCH($D82,'卡片raw data'!$F:$F,)),0)+IF($P82=2,INDEX('卡片raw data'!AD:AD,MATCH($D82,'卡片raw data'!$F:$F,)),0)+IF($P82=3,INDEX('卡片raw data'!AG:AG,MATCH($D82,'卡片raw data'!$F:$F,)),0)+IF($P82=4,INDEX('卡片raw data'!AJ:AJ,MATCH($D82,'卡片raw data'!$F:$F,)),0)+IF($P82=5,INDEX('卡片raw data'!AM:AM,MATCH($D82,'卡片raw data'!$F:$F,)),0)+INDEX('卡片raw data'!U:U,MATCH($D82,'卡片raw data'!$F:$F,))*(IF($F82="UR",0.04,0.033))*(IF($F82="UR",INDEX(绊状态确认!$S:$S,MATCH($G82,绊状态确认!$B:$B,))/2-40)+IF($F82="SR",INDEX(绊状态确认!$R:$R,MATCH($G82,绊状态确认!$B:$B,))/4-15))+IF($F82="R",INDEX(绊状态确认!$Q:$Q,MATCH($G82,绊状态确认!$B:$B,))/6-40/6)))*(INDEX(绊状态确认!$H:$H,MATCH($G82,绊状态确认!$B:$B,))+INDEX(绊状态确认!L:L,MATCH($G82,绊状态确认!$B:$B,)))</f>
        <v>4079.6759999999995</v>
      </c>
      <c r="AO82" s="1107">
        <f t="shared" si="109"/>
        <v>1</v>
      </c>
      <c r="AP82" s="1131">
        <f>1+(INDEX(绊状态确认!$T:$T,MATCH($G82,绊状态确认!$B:$B,))+0.2)*$AO82</f>
        <v>1.3</v>
      </c>
      <c r="AQ82" s="1108">
        <f t="shared" si="110"/>
        <v>13645.929249999999</v>
      </c>
      <c r="AR82" s="1097">
        <f>(AM82*(1+$EX$9)+$EX$35)*(1+(INDEX(绊状态确认!$T:$T,MATCH($G82,绊状态确认!$B:$B,))+0.2)*AO82)*IF(J82=$FF$17,1+$FE$17,1)*IF(I82=$FF$14,1+$FE$14,1)</f>
        <v>8109.88321</v>
      </c>
      <c r="AS82" s="1097">
        <f>(AN82*(1+$EX$10)+$EX$36)*(1+(INDEX(绊状态确认!$T:$T,MATCH($G82,绊状态确认!$B:$B,))+0.2)*AO82)*IF(J82=$FF$17,1+$FE$17,1)*IF(I82=$FF$14,1+$FE$14,1)</f>
        <v>10155.115619999999</v>
      </c>
      <c r="AT82" s="1093">
        <f>IF(AND(INDEX('卡片raw data'!AK:AK,MATCH($D82,'卡片raw data'!$F:$F,))&lt;INDEX('卡片raw data'!AM:AM,MATCH($D82,'卡片raw data'!$F:$F,)),INDEX('卡片raw data'!AL:AL,MATCH($D82,'卡片raw data'!$F:$F,))&lt;INDEX('卡片raw data'!AM:AM,MATCH($D82,'卡片raw data'!$F:$F,))),1,0)</f>
        <v>1</v>
      </c>
      <c r="AU82" s="1098">
        <f>MIN(AT82*0.15+AS82*0.00003+INDEX(绊状态确认!M:M,MATCH($G82,绊状态确认!$B:$B,)),1)</f>
        <v>0.48465346860000003</v>
      </c>
      <c r="AV82" s="1109">
        <f>(INDEX(绊状态确认!$N:$N,MATCH($G82,绊状态确认!$B:$B,))+1.5)*$EW$21</f>
        <v>2.6599999999999997</v>
      </c>
      <c r="AW82" s="1101">
        <f t="shared" si="111"/>
        <v>12788.609430334383</v>
      </c>
      <c r="AX82" s="1097">
        <f t="shared" si="112"/>
        <v>688.51097785156219</v>
      </c>
      <c r="AY82" s="1110">
        <f t="shared" si="113"/>
        <v>13477.120408185945</v>
      </c>
      <c r="AZ82" s="429">
        <f t="shared" si="114"/>
        <v>10322.690299999998</v>
      </c>
      <c r="BA82" s="431">
        <f t="shared" si="115"/>
        <v>12387.228359999997</v>
      </c>
      <c r="BB82" s="1097">
        <f>(AM82*(1+$FB$9)+$FB$35)*(1+(INDEX(绊状态确认!$T:$T,MATCH($G82,绊状态确认!$B:$B,))+0.2)*AO82)*IF(J82=$FF$17,1+$FE$17,1)*IF(I82=$FF$14,1+$FE$14,1)*(1+$FE$15)</f>
        <v>8109.88321</v>
      </c>
      <c r="BC82" s="1097">
        <f>(AN82*(1+$FB$10)+$FB$36)*(1+(INDEX(绊状态确认!$T:$T,MATCH($G82,绊状态确认!$B:$B,))+0.2)*AO82)*IF(J82=$FF$17,1+$FE$17,1)*IF(I82=$FF$14,1+$FE$14,1)*(1+$FE$15)</f>
        <v>10155.115619999999</v>
      </c>
      <c r="BD82" s="1104">
        <f>MIN(AT82*0.15+BC82*0.00003+INDEX(绊状态确认!M:M,MATCH($G82,绊状态确认!$B:$B,)),1)</f>
        <v>0.48465346860000003</v>
      </c>
      <c r="BE82" s="432">
        <f>(INDEX(绊状态确认!$N:$N,MATCH($G82,绊状态确认!$B:$B,))+1.5)</f>
        <v>1.9</v>
      </c>
      <c r="BF82" s="1139">
        <f t="array" ref="BF82">SUMPRODUCT(IF(AZ82*AP82*$FI$16:$FI$23*$FA$22&gt;=$FI$24,$FI$24,AZ82*AP82*$FI$16:$FI$23*$FA$22),$FJ$16:$FJ$23)</f>
        <v>20531.831006699998</v>
      </c>
      <c r="BG82" s="1125">
        <f t="array" ref="BG82">SUMPRODUCT(IF(BE82*AZ82*AP82*$FI$16:$FI$23*$FA$22&gt;=$FI$24,$FI$24,BE82*AZ82*AP82*$FI$16:$FI$23*$FA$22),$FJ$16:$FJ$23)</f>
        <v>39010.478912730003</v>
      </c>
      <c r="BH82" s="1110">
        <f t="shared" si="116"/>
        <v>9829.1906031318558</v>
      </c>
      <c r="BI82" s="1111">
        <f>IF(O82="vo",$EW$26/$EW$24*0.05,0)+IF(O82="sk",-$EW$26/$EW$24*(0.05-INDEX(绊状态确认!W:W,MATCH($G82,绊状态确认!$B:$B,)))+0.05*$EW$28,0)+IF(O82="sp",0.05*$EW$32*$EW$30*(1-$EW$33)-(0.05-INDEX(绊状态确认!V:V,MATCH($G82,绊状态确认!$B:$B,)))*$EW$28,0)+IF(O82="gd",-(0.05-INDEX(绊状态确认!X:X,MATCH($G82,绊状态确认!$B:$B,)))*$EW$32*$EW$30*(1-$EW$33),0)</f>
        <v>-6253.6726349699375</v>
      </c>
      <c r="BJ82" s="1097">
        <f>IF(O82="vo",0.05*(1-$FI$26)*$FA$24,0)+IF(O82="sk",-(0.05-INDEX(绊状态确认!W:W,MATCH($G82,绊状态确认!$B:$B,)))*(1-$FI$26)*$FA$24+0.05*$FA$26,0)+IF(O82="sp",0.05*$FA$32*$FA$27*(1-$FA$33)/$FA$30+0.05*$FA$29/$FA$69*$FA$27*(1-$FA$33)-(0.05-INDEX(绊状态确认!V:V,MATCH($G82,绊状态确认!$B:$B,)))*$FA$26,0)+IF(O82="gd",-(0.05-INDEX(绊状态确认!X:X,MATCH($G82,绊状态确认!$B:$B,)))*$FA$32*$FA$27*(1-$FA$33)/$FA$30-(0.05-INDEX(绊状态确认!X:X,MATCH($G82,绊状态确认!$B:$B,)))*$FA$29/$FA$69*$FA$27*(1-$FA$33),0)</f>
        <v>20.459096812499922</v>
      </c>
      <c r="BK82" s="1110">
        <f>IF(O82="vo",$EW$26/$EW$24*0.05+$EW$26*(-HP($EW$62,$EW$65,$EW$64)+HP($EW$62,$EW$65,(1.05-INDEX(绊状态确认!U:U,MATCH($G82,绊状态确认!$B:$B,)))*$EW$64)),0)+IF(O82="sk",-$EW$26/$EW$24*(0.05-INDEX(绊状态确认!W:W,MATCH($G82,绊状态确认!$B:$B,)))+0.05*$EW$29,0)+IF(O82="sp",0.05*$EW$32*$EW$30*(1-$EW$33)-(0.05-INDEX(绊状态确认!V:V,MATCH($G82,绊状态确认!$B:$B,)))*$EW$29,0)+IF(O82="gd",-(0.05-INDEX(绊状态确认!X:X,MATCH($G82,绊状态确认!$B:$B,)))*$EW$32*$EW$30*(1-$EW$33)+$EW$26*(-HP($EW$62,$EW$65,$EW$64)+HP($EW$62,$EW$65,0.95*$EW$64)),0)</f>
        <v>-4253.6726349699375</v>
      </c>
      <c r="BL82" s="1111">
        <f t="shared" si="117"/>
        <v>-2166.6666666666665</v>
      </c>
      <c r="BM82" s="1110">
        <f t="shared" si="118"/>
        <v>-1661.1111111111109</v>
      </c>
      <c r="BN82" s="1113">
        <f t="shared" si="119"/>
        <v>2</v>
      </c>
      <c r="BO82" s="1097">
        <f t="shared" si="120"/>
        <v>3005.1476580839999</v>
      </c>
      <c r="BP82" s="1100">
        <f t="shared" si="121"/>
        <v>147.56068806020068</v>
      </c>
      <c r="BQ82" s="1113" t="s">
        <v>626</v>
      </c>
      <c r="BR82" s="1124" t="s">
        <v>168</v>
      </c>
      <c r="BS82" s="1098">
        <f>IF($P82="","N/A",IF($P82=-1,INDEX('卡片raw data'!AX:AX,MATCH($D82,'卡片raw data'!$F:$F,)),0)+IF($L82="party卡",IF($P82=5,INDEX('卡片raw data'!BD:BD,MATCH($D82,'卡片raw data'!$F:$F,)),IF($P82&gt;=3,INDEX('卡片raw data'!BC:BC,MATCH($D82,'卡片raw data'!$F:$F,)),INDEX('卡片raw data'!BB:BB,MATCH($D82,'卡片raw data'!$F:$F,)))),IF(OR(AND($F82="UR",$P82=0),AND($F82="SR",$P82&gt;=0,$P82&lt;=2),AND($F82="R",$P82&gt;=0,$P82&lt;4)),INDEX('卡片raw data'!AZ:AZ,MATCH($D82,'卡片raw data'!$F:$F,)),0)+IF(OR(AND($F82="UR",$P82&gt;=1,$P82&lt;=4),AND($F82="SR",$P82&lt;=4,$P82&gt;=3),AND($F82="R",$P82=4)),INDEX('卡片raw data'!BA:BA,MATCH($D82,'卡片raw data'!$F:$F,)),0)+IF($P82=5,INDEX('卡片raw data'!BB:BB,MATCH($D82,'卡片raw data'!$F:$F,)),0)))</f>
        <v>0.03</v>
      </c>
      <c r="BT82" s="1101">
        <f t="shared" si="122"/>
        <v>2122.378561292579</v>
      </c>
      <c r="BU82" s="1097">
        <f t="shared" si="123"/>
        <v>153.51843003069473</v>
      </c>
      <c r="BV82" s="1097">
        <f t="shared" si="124"/>
        <v>0</v>
      </c>
      <c r="BW82" s="1112">
        <f t="shared" si="125"/>
        <v>0</v>
      </c>
      <c r="BX82" s="1100">
        <f t="shared" si="126"/>
        <v>2122.378561292579</v>
      </c>
      <c r="BY82" s="1110">
        <f t="shared" si="127"/>
        <v>0</v>
      </c>
      <c r="BZ82" s="1107" t="s">
        <v>569</v>
      </c>
      <c r="CA82" s="1124"/>
      <c r="CB82" s="1098">
        <f>IF($P82="","N/A",IF($P82=-1,INDEX('卡片raw data'!BE:BE,MATCH($D82,'卡片raw data'!$F:$F,)),0)+IF($L82="party卡",IF($P82=5,INDEX('卡片raw data'!BK:BK,MATCH($D82,'卡片raw data'!$F:$F,)),IF($P82&gt;=3,INDEX('卡片raw data'!BJ:BJ,MATCH($D82,'卡片raw data'!$F:$F,)),INDEX('卡片raw data'!BI:BI,MATCH($D82,'卡片raw data'!$F:$F,)))),IF(OR(AND($F82="UR",$P82=0),AND($F82="SR",$P82&gt;=0,$P82&lt;=2),AND($F82="R",$P82&gt;=0,$P82&lt;4)),INDEX('卡片raw data'!BG:BG,MATCH($D82,'卡片raw data'!$F:$F,)),0)+IF(OR(AND($F82="UR",$P82&gt;=1,$P82&lt;=4),AND($F82="SR",$P82&lt;=4,$P82&gt;=3),AND($F82="R",$P82=4)),INDEX('卡片raw data'!BH:BH,MATCH($D82,'卡片raw data'!$F:$F,)),0)+IF($P82=5,INDEX('卡片raw data'!BI:BI,MATCH($D82,'卡片raw data'!$F:$F,)),0)))</f>
        <v>0</v>
      </c>
      <c r="CC82" s="1101">
        <f t="shared" si="128"/>
        <v>0</v>
      </c>
      <c r="CD82" s="1097">
        <f>IF(BZ82="ap",CB82*(1-$FI$26)*$FB$5/$FB$11*(+IF(CA82="全员",$FA$24,0)+IF(CA82="同作战",$FA$24,0)+IF(CA82="仲间",$FA$24*2/3,0)+IF(CA82="同属性",$FA$24*$FA$37/3,0)+IF(CA82="同年级",$FA$24*$FA$40/3,0)+IF(CA82="同学校",$FA$24*$FA$43/3,0)+IF(CA82="同小队",$FA$24*$FA$46/3,0)+IF(CA82="同type",$FA$24*INDEX($FB$49:$FB$52,MATCH(X82,$FA$49:$FA$52,))/3,0)+IF(CA82="自身",#REF!/3,0)),0)+IF(BZ82="te",CB82*(1-$FI$27)*($FA$20-1)*$FB$7/$FB$13*(+IF(CA82="全员",$FA$19*$FA$24/(1+($FA$20-1)*$FA$19),0)+IF(CA82="同作战",$FA$19*$FA$24/(1+($FA$20-1)*$FA$19),0)+IF(CA82="仲间",$FA$19*$FA$24*2/3/(1+($FA$20-1)*$FA$19),0)+IF(CA82="同属性",$FA$19*$FA$24*$FA$37/3/(1+($FA$20-1)*$FA$19),0)+IF(CA82="同年级",$FA$19*$FA$24*$FA$40/3/(1+($FA$20-1)*$FA$19),0)+IF(CA82="同学校",$FA$19*$FA$24*$FA$43/3/(1+($FA$20-1)*$FA$19),0)+IF(CA82="同小队",$FA$19*$FA$24*$FA$46/3/(1+($FA$20-1)*$FA$19),0)+IF(CA82="同type",$FA$19*$FA$24*INDEX($FB$49:$FB$52,MATCH(X82,$FA$49:$FA$52,))/3/(1+($FA$20-1)*$FA$19),0)+IF(CA82="自身",$FA$19*#REF!/3/(1+(BH82-1)*$BD82),0)),0)</f>
        <v>0</v>
      </c>
      <c r="CE82" s="1097">
        <f t="shared" si="129"/>
        <v>0</v>
      </c>
      <c r="CF82" s="1112">
        <f t="shared" si="130"/>
        <v>0</v>
      </c>
      <c r="CG82" s="1100">
        <f t="shared" si="131"/>
        <v>0</v>
      </c>
      <c r="CH82" s="1110">
        <f t="shared" si="132"/>
        <v>0</v>
      </c>
      <c r="CI82" s="1113"/>
      <c r="CJ82" s="1114"/>
      <c r="CK82" s="1115" t="s">
        <v>569</v>
      </c>
      <c r="CL82" s="1115"/>
      <c r="CM82" s="1119"/>
      <c r="CN82" s="1115"/>
      <c r="CO82" s="1092"/>
      <c r="CP82" s="1117">
        <f t="shared" si="133"/>
        <v>0</v>
      </c>
      <c r="CQ82" s="1117">
        <f t="shared" si="134"/>
        <v>0</v>
      </c>
      <c r="CR82" s="1117">
        <f t="shared" si="135"/>
        <v>0</v>
      </c>
      <c r="CS82" s="1118">
        <f t="shared" si="136"/>
        <v>0</v>
      </c>
      <c r="CT82" s="1109">
        <f t="shared" si="137"/>
        <v>0</v>
      </c>
      <c r="CU82" s="1101">
        <f t="shared" si="138"/>
        <v>0</v>
      </c>
      <c r="CV82" s="1108">
        <f t="shared" si="139"/>
        <v>0</v>
      </c>
      <c r="CW82" s="1097">
        <f t="shared" si="140"/>
        <v>0</v>
      </c>
      <c r="CX82" s="1097">
        <f t="shared" si="141"/>
        <v>0</v>
      </c>
      <c r="CY82" s="1110">
        <f t="shared" si="142"/>
        <v>0</v>
      </c>
      <c r="CZ82" s="437"/>
      <c r="DA82" s="438"/>
      <c r="DB82" s="439" t="s">
        <v>569</v>
      </c>
      <c r="DC82" s="439"/>
      <c r="DD82" s="443"/>
      <c r="DE82" s="411"/>
      <c r="DF82" s="411"/>
      <c r="DG82" s="1116">
        <f t="shared" si="143"/>
        <v>0</v>
      </c>
      <c r="DH82" s="1116">
        <f t="shared" si="144"/>
        <v>0</v>
      </c>
      <c r="DI82" s="1116">
        <f t="shared" si="145"/>
        <v>0</v>
      </c>
      <c r="DJ82" s="442">
        <f t="shared" si="146"/>
        <v>0</v>
      </c>
      <c r="DK82" s="1109">
        <f t="shared" si="147"/>
        <v>0</v>
      </c>
      <c r="DL82" s="1101">
        <f t="shared" si="148"/>
        <v>0</v>
      </c>
      <c r="DM82" s="1097">
        <f t="shared" si="149"/>
        <v>0</v>
      </c>
      <c r="DN82" s="1097">
        <f t="shared" si="150"/>
        <v>0</v>
      </c>
      <c r="DO82" s="1097">
        <f t="shared" si="151"/>
        <v>0</v>
      </c>
      <c r="DP82" s="1110">
        <f t="shared" si="152"/>
        <v>0</v>
      </c>
      <c r="DQ82" s="1113" t="s">
        <v>553</v>
      </c>
      <c r="DR82" s="1120">
        <f t="shared" si="153"/>
        <v>0.3</v>
      </c>
      <c r="DS82" s="1124">
        <v>5</v>
      </c>
      <c r="DT82" s="1093" t="s">
        <v>168</v>
      </c>
      <c r="DU82" s="1093" t="s">
        <v>544</v>
      </c>
      <c r="DV82" s="1098">
        <f>IF($P82="","N/A",IF(P82=-1,INDEX('卡片raw data'!AN:AN,MATCH(D82,'卡片raw data'!$F:$F,)),0)+IF(AND(L82&lt;&gt;"party卡",P82&lt;=2,P82&gt;=0),INDEX('卡片raw data'!AP:AP,MATCH(D82,'卡片raw data'!$F:$F,)),0)+IF(OR(AND(L82="party卡",P82&lt;=1),AND(P82&lt;=4,L82&lt;&gt;"party卡",P82&gt;=3)),INDEX('卡片raw data'!AQ:AQ,MATCH(D82,'卡片raw data'!$F:$F,)),0)+IF(OR(P82=5,AND(L82="party卡",P82&gt;=2)),INDEX('卡片raw data'!AR:AR,MATCH(D82,'卡片raw data'!$F:$F,)),0))</f>
        <v>0.03</v>
      </c>
      <c r="DW82" s="1098">
        <f t="shared" si="154"/>
        <v>0.3</v>
      </c>
      <c r="DX82" s="1098">
        <f t="shared" si="155"/>
        <v>0.3</v>
      </c>
      <c r="DY82" s="1098">
        <f t="shared" si="156"/>
        <v>1.4999999999999998E-2</v>
      </c>
      <c r="DZ82" s="1098">
        <f t="shared" si="157"/>
        <v>1.2974999999999999E-2</v>
      </c>
      <c r="EA82" s="1098">
        <f t="shared" si="158"/>
        <v>5.4016218749999984E-3</v>
      </c>
      <c r="EB82" s="1121">
        <f t="shared" si="159"/>
        <v>0</v>
      </c>
      <c r="EC82" s="1101">
        <f t="shared" si="160"/>
        <v>636.36363636363626</v>
      </c>
      <c r="ED82" s="1097">
        <f t="shared" si="161"/>
        <v>294.88636363636357</v>
      </c>
      <c r="EE82" s="1110">
        <f t="shared" si="162"/>
        <v>636.36363636363626</v>
      </c>
      <c r="EF82" s="1092" t="s">
        <v>711</v>
      </c>
      <c r="EG82" s="1120">
        <f t="shared" si="163"/>
        <v>0.3</v>
      </c>
      <c r="EH82" s="1124"/>
      <c r="EI82" s="1093"/>
      <c r="EJ82" s="1093"/>
      <c r="EK82" s="1097">
        <f>IF($P82="","N/A",IF(P82=-1,INDEX('卡片raw data'!AS:AS,MATCH(D82,'卡片raw data'!$F:$F,)),0)+IF(AND(L82&lt;&gt;"party卡",P82&lt;=2,P82&gt;=0),INDEX('卡片raw data'!AU:AU,MATCH(D82,'卡片raw data'!$F:$F,)),0)+IF(OR(AND(L82="party卡",P82&lt;=1),AND(P82&lt;=4,L82&lt;&gt;"party卡",P82&gt;=3)),INDEX('卡片raw data'!AV:AV,MATCH(D82,'卡片raw data'!$F:$F,)),0)+IF(OR(P82=5,AND(L82="party卡",P82&gt;=2)),INDEX('卡片raw data'!AW:AW,MATCH(D82,'卡片raw data'!$F:$F,)),0))</f>
        <v>0</v>
      </c>
      <c r="EL82" s="1098">
        <f t="shared" si="164"/>
        <v>0.3</v>
      </c>
      <c r="EM82" s="1098">
        <f t="shared" si="165"/>
        <v>0.3</v>
      </c>
      <c r="EN82" s="1125">
        <f t="shared" si="166"/>
        <v>0</v>
      </c>
      <c r="EO82" s="1125">
        <f t="shared" si="167"/>
        <v>0</v>
      </c>
      <c r="EP82" s="1098">
        <f t="shared" si="168"/>
        <v>0</v>
      </c>
      <c r="EQ82" s="1121">
        <f t="shared" si="169"/>
        <v>0</v>
      </c>
      <c r="ER82" s="1101">
        <f t="shared" si="170"/>
        <v>0</v>
      </c>
      <c r="ES82" s="1097">
        <f t="shared" si="171"/>
        <v>0</v>
      </c>
      <c r="ET82" s="1122">
        <f t="shared" si="172"/>
        <v>0</v>
      </c>
      <c r="EV82" s="447"/>
      <c r="EW82" s="447"/>
      <c r="EX82" s="406"/>
    </row>
    <row r="83" spans="2:154" ht="16.5" customHeight="1">
      <c r="B83" s="1123" t="str">
        <f>INDEX('卡片raw data'!B:B,MATCH($D83,'卡片raw data'!$F:$F,))</f>
        <v>练习雫</v>
      </c>
      <c r="C83" s="449" t="s">
        <v>66</v>
      </c>
      <c r="D83" s="408">
        <v>80</v>
      </c>
      <c r="E83" s="1090">
        <v>102031002</v>
      </c>
      <c r="F83" s="1090" t="str">
        <f>INDEX('卡片raw data'!C:C,MATCH($D83,'卡片raw data'!$F:$F,))</f>
        <v>R</v>
      </c>
      <c r="G83" s="1094" t="s">
        <v>349</v>
      </c>
      <c r="H83" s="411">
        <f>IFERROR(INDEX(绊状态确认!C:C,MATCH($G83,绊状态确认!$B:$B,)),"")</f>
        <v>203</v>
      </c>
      <c r="I83" s="450" t="str">
        <f>IFERROR(INDEX(绊状态确认!D:D,MATCH($G83,绊状态确认!$B:$B,)),"")</f>
        <v>虹</v>
      </c>
      <c r="J83" s="450" t="str">
        <f>IFERROR(INDEX(绊状态确认!E:E,MATCH($G83,绊状态确认!$B:$B,)),"")</f>
        <v>1年级</v>
      </c>
      <c r="K83" s="451" t="str">
        <f>IFERROR(INDEX(绊状态确认!F:F,MATCH($G83,绊状态确认!$B:$B,)),"")</f>
        <v>A·ZU·NA</v>
      </c>
      <c r="L83" s="1094" t="str">
        <f>INDEX('卡片raw data'!E:E,MATCH($D83,'卡片raw data'!$F:$F,))</f>
        <v>卡池卡</v>
      </c>
      <c r="M83" s="415">
        <v>43735</v>
      </c>
      <c r="N83" s="416">
        <v>0</v>
      </c>
      <c r="O83" s="1091" t="str">
        <f>INDEX('卡片raw data'!D:D,MATCH($D83,'卡片raw data'!$F:$F,))</f>
        <v>vo</v>
      </c>
      <c r="P83" s="417">
        <v>5</v>
      </c>
      <c r="Q83" s="1095">
        <f t="shared" si="88"/>
        <v>24100.840908946328</v>
      </c>
      <c r="R83" s="1096">
        <f t="shared" si="89"/>
        <v>0.28000000000000003</v>
      </c>
      <c r="S83" s="1097">
        <f t="shared" si="90"/>
        <v>10422.299853630957</v>
      </c>
      <c r="T83" s="1098">
        <f t="shared" si="91"/>
        <v>0.52100000000000002</v>
      </c>
      <c r="U83" s="1099">
        <f t="shared" si="92"/>
        <v>-16.073175562857145</v>
      </c>
      <c r="V83" s="1100">
        <f t="shared" si="93"/>
        <v>23503.857756757159</v>
      </c>
      <c r="W83" s="1101">
        <f t="shared" si="94"/>
        <v>3681.3058811528999</v>
      </c>
      <c r="X83" s="1096">
        <f t="shared" si="95"/>
        <v>4.2000000000000003E-2</v>
      </c>
      <c r="Y83" s="1097">
        <f t="shared" si="96"/>
        <v>707.6852980525282</v>
      </c>
      <c r="Z83" s="1102">
        <f t="shared" si="97"/>
        <v>8.9268244371428569</v>
      </c>
      <c r="AA83" s="1103">
        <f t="shared" si="98"/>
        <v>4388.9911792054281</v>
      </c>
      <c r="AB83" s="1101">
        <f t="shared" si="99"/>
        <v>4132.0780298655</v>
      </c>
      <c r="AC83" s="1104">
        <f t="shared" si="100"/>
        <v>4.8000000000000001E-2</v>
      </c>
      <c r="AD83" s="1105">
        <f t="shared" si="101"/>
        <v>-3.8207812500000026E-3</v>
      </c>
      <c r="AE83" s="1128">
        <f t="shared" si="102"/>
        <v>-22.692028985507246</v>
      </c>
      <c r="AF83" s="1130">
        <f t="shared" si="103"/>
        <v>0</v>
      </c>
      <c r="AG83" s="420">
        <f t="shared" si="104"/>
        <v>0</v>
      </c>
      <c r="AH83" s="420">
        <f t="shared" si="105"/>
        <v>0</v>
      </c>
      <c r="AI83" s="1097">
        <f t="shared" si="106"/>
        <v>0</v>
      </c>
      <c r="AJ83" s="420">
        <f t="shared" si="107"/>
        <v>0</v>
      </c>
      <c r="AK83" s="518">
        <f t="shared" si="108"/>
        <v>0</v>
      </c>
      <c r="AL83" s="1106">
        <f>IF($P83="","N/A",(IF($P83=-1,INDEX('卡片raw data'!S:S,MATCH($D83,'卡片raw data'!$F:$F,)),0)+IF($P83=0,INDEX('卡片raw data'!V:V,MATCH($D83,'卡片raw data'!$F:$F,)),0)+IF($P83=1,INDEX('卡片raw data'!Y:Y,MATCH($D83,'卡片raw data'!$F:$F,)),0)+IF($P83=2,INDEX('卡片raw data'!AB:AB,MATCH($D83,'卡片raw data'!$F:$F,)),0)+IF($P83=3,INDEX('卡片raw data'!AE:AE,MATCH($D83,'卡片raw data'!$F:$F,)),0)+IF($P83=4,INDEX('卡片raw data'!AH:AH,MATCH($D83,'卡片raw data'!$F:$F,)),0)+IF($P83=5,INDEX('卡片raw data'!AK:AK,MATCH($D83,'卡片raw data'!$F:$F,)),0)+INDEX('卡片raw data'!S:S,MATCH($D83,'卡片raw data'!$F:$F,))*(IF($F83="UR",0.04,0.033))*(IF($F83="UR",INDEX(绊状态确认!$S:$S,MATCH($G83,绊状态确认!$B:$B,))/2-40)+IF($F83="SR",INDEX(绊状态确认!$R:$R,MATCH($G83,绊状态确认!$B:$B,))/4-15))+IF($F83="R",INDEX(绊状态确认!$Q:$Q,MATCH($G83,绊状态确认!$B:$B,))/6-40/6)))*(INDEX(绊状态确认!$H:$H,MATCH($G83,绊状态确认!$B:$B,))+INDEX(绊状态确认!J:J,MATCH($G83,绊状态确认!$B:$B,)))</f>
        <v>5496.7667999999994</v>
      </c>
      <c r="AM83" s="1106">
        <f>IF($P83="","N/A",(IF($P83=-1,INDEX('卡片raw data'!T:T,MATCH($D83,'卡片raw data'!$F:$F,)),0)+IF($P83=0,INDEX('卡片raw data'!W:W,MATCH($D83,'卡片raw data'!$F:$F,)),0)+IF($P83=1,INDEX('卡片raw data'!Z:Z,MATCH($D83,'卡片raw data'!$F:$F,)),0)+IF($P83=2,INDEX('卡片raw data'!AC:AC,MATCH($D83,'卡片raw data'!$F:$F,)),0)+IF($P83=3,INDEX('卡片raw data'!AF:AF,MATCH($D83,'卡片raw data'!$F:$F,)),0)+IF($P83=4,INDEX('卡片raw data'!AI:AI,MATCH($D83,'卡片raw data'!$F:$F,)),0)+IF($P83=5,INDEX('卡片raw data'!AL:AL,MATCH($D83,'卡片raw data'!$F:$F,)),0)+INDEX('卡片raw data'!T:T,MATCH($D83,'卡片raw data'!$F:$F,))*(IF($F83="UR",0.04,0.033))*(IF($F83="UR",INDEX(绊状态确认!$S:$S,MATCH($G83,绊状态确认!$B:$B,))/2-40)+IF($F83="SR",INDEX(绊状态确认!$R:$R,MATCH($G83,绊状态确认!$B:$B,))/4-15))+IF($F83="R",INDEX(绊状态确认!$Q:$Q,MATCH($G83,绊状态确认!$B:$B,))/6-40/6)))*(INDEX(绊状态确认!$H:$H,MATCH($G83,绊状态确认!$B:$B,))+INDEX(绊状态确认!K:K,MATCH($G83,绊状态确认!$B:$B,)))</f>
        <v>4122.8591999999999</v>
      </c>
      <c r="AN83" s="1106">
        <f>IF($P83="","N/A",(IF($P83=-1,INDEX('卡片raw data'!U:U,MATCH($D83,'卡片raw data'!$F:$F,)),0)+IF($P83=0,INDEX('卡片raw data'!X:X,MATCH($D83,'卡片raw data'!$F:$F,)),0)+IF($P83=1,INDEX('卡片raw data'!AA:AA,MATCH($D83,'卡片raw data'!$F:$F,)),0)+IF($P83=2,INDEX('卡片raw data'!AD:AD,MATCH($D83,'卡片raw data'!$F:$F,)),0)+IF($P83=3,INDEX('卡片raw data'!AG:AG,MATCH($D83,'卡片raw data'!$F:$F,)),0)+IF($P83=4,INDEX('卡片raw data'!AJ:AJ,MATCH($D83,'卡片raw data'!$F:$F,)),0)+IF($P83=5,INDEX('卡片raw data'!AM:AM,MATCH($D83,'卡片raw data'!$F:$F,)),0)+INDEX('卡片raw data'!U:U,MATCH($D83,'卡片raw data'!$F:$F,))*(IF($F83="UR",0.04,0.033))*(IF($F83="UR",INDEX(绊状态确认!$S:$S,MATCH($G83,绊状态确认!$B:$B,))/2-40)+IF($F83="SR",INDEX(绊状态确认!$R:$R,MATCH($G83,绊状态确认!$B:$B,))/4-15))+IF($F83="R",INDEX(绊状态确认!$Q:$Q,MATCH($G83,绊状态确认!$B:$B,))/6-40/6)))*(INDEX(绊状态确认!$H:$H,MATCH($G83,绊状态确认!$B:$B,))+INDEX(绊状态确认!L:L,MATCH($G83,绊状态确认!$B:$B,)))</f>
        <v>4122.8591999999999</v>
      </c>
      <c r="AO83" s="1107">
        <f t="shared" si="109"/>
        <v>1</v>
      </c>
      <c r="AP83" s="1131">
        <f>1+(INDEX(绊状态确认!$T:$T,MATCH($G83,绊状态确认!$B:$B,))+0.2)*$AO83</f>
        <v>1.3</v>
      </c>
      <c r="AQ83" s="1108">
        <f t="shared" si="110"/>
        <v>17679.012849999999</v>
      </c>
      <c r="AR83" s="1097">
        <f>(AM83*(1+$EX$9)+$EX$35)*(1+(INDEX(绊状态确认!$T:$T,MATCH($G83,绊状态确认!$B:$B,))+0.2)*AO83)*IF(J83=$FF$17,1+$FE$17,1)*IF(I83=$FF$14,1+$FE$14,1)</f>
        <v>8331.702808</v>
      </c>
      <c r="AS83" s="1097">
        <f>(AN83*(1+$EX$10)+$EX$36)*(1+(INDEX(绊状态确认!$T:$T,MATCH($G83,绊状态确认!$B:$B,))+0.2)*AO83)*IF(J83=$FF$17,1+$FE$17,1)*IF(I83=$FF$14,1+$FE$14,1)</f>
        <v>10219.674503999999</v>
      </c>
      <c r="AT83" s="1093">
        <f>IF(AND(INDEX('卡片raw data'!AK:AK,MATCH($D83,'卡片raw data'!$F:$F,))&lt;INDEX('卡片raw data'!AM:AM,MATCH($D83,'卡片raw data'!$F:$F,)),INDEX('卡片raw data'!AL:AL,MATCH($D83,'卡片raw data'!$F:$F,))&lt;INDEX('卡片raw data'!AM:AM,MATCH($D83,'卡片raw data'!$F:$F,))),1,0)</f>
        <v>0</v>
      </c>
      <c r="AU83" s="1098">
        <f>MIN(AT83*0.15+AS83*0.00003+INDEX(绊状态确认!M:M,MATCH($G83,绊状态确认!$B:$B,)),1)</f>
        <v>0.33659023511999997</v>
      </c>
      <c r="AV83" s="1109">
        <f>(INDEX(绊状态确认!$N:$N,MATCH($G83,绊状态确认!$B:$B,))+1.5)*$EW$21</f>
        <v>2.6599999999999997</v>
      </c>
      <c r="AW83" s="1101">
        <f t="shared" si="111"/>
        <v>14311.626618003123</v>
      </c>
      <c r="AX83" s="1097">
        <f t="shared" si="112"/>
        <v>707.68529805252854</v>
      </c>
      <c r="AY83" s="1110">
        <f t="shared" si="113"/>
        <v>15019.311916055653</v>
      </c>
      <c r="AZ83" s="429">
        <f t="shared" si="114"/>
        <v>13318.695259999999</v>
      </c>
      <c r="BA83" s="431">
        <f t="shared" si="115"/>
        <v>15982.434311999998</v>
      </c>
      <c r="BB83" s="1097">
        <f>(AM83*(1+$FB$9)+$FB$35)*(1+(INDEX(绊状态确认!$T:$T,MATCH($G83,绊状态确认!$B:$B,))+0.2)*AO83)*IF(J83=$FF$17,1+$FE$17,1)*IF(I83=$FF$14,1+$FE$14,1)*(1+$FE$15)</f>
        <v>8331.702808</v>
      </c>
      <c r="BC83" s="1097">
        <f>(AN83*(1+$FB$10)+$FB$36)*(1+(INDEX(绊状态确认!$T:$T,MATCH($G83,绊状态确认!$B:$B,))+0.2)*AO83)*IF(J83=$FF$17,1+$FE$17,1)*IF(I83=$FF$14,1+$FE$14,1)*(1+$FE$15)</f>
        <v>10219.674503999999</v>
      </c>
      <c r="BD83" s="1104">
        <f>MIN(AT83*0.15+BC83*0.00003+INDEX(绊状态确认!M:M,MATCH($G83,绊状态确认!$B:$B,)),1)</f>
        <v>0.33659023511999997</v>
      </c>
      <c r="BE83" s="432">
        <f>(INDEX(绊状态确认!$N:$N,MATCH($G83,绊状态确认!$B:$B,))+1.5)</f>
        <v>1.9</v>
      </c>
      <c r="BF83" s="1139">
        <f t="array" ref="BF83">SUMPRODUCT(IF(AZ83*AP83*$FI$16:$FI$23*$FA$22&gt;=$FI$24,$FI$24,AZ83*AP83*$FI$16:$FI$23*$FA$22),$FJ$16:$FJ$23)</f>
        <v>26490.884872139999</v>
      </c>
      <c r="BG83" s="1125">
        <f t="array" ref="BG83">SUMPRODUCT(IF(BE83*AZ83*AP83*$FI$16:$FI$23*$FA$22&gt;=$FI$24,$FI$24,BE83*AZ83*AP83*$FI$16:$FI$23*$FA$22),$FJ$16:$FJ$23)</f>
        <v>50082.21757154799</v>
      </c>
      <c r="BH83" s="1110">
        <f t="shared" si="116"/>
        <v>11477.165697409293</v>
      </c>
      <c r="BI83" s="1111">
        <f>IF(O83="vo",$EW$26/$EW$24*0.05,0)+IF(O83="sk",-$EW$26/$EW$24*(0.05-INDEX(绊状态确认!W:W,MATCH($G83,绊状态确认!$B:$B,)))+0.05*$EW$28,0)+IF(O83="sp",0.05*$EW$32*$EW$30*(1-$EW$33)-(0.05-INDEX(绊状态确认!V:V,MATCH($G83,绊状态确认!$B:$B,)))*$EW$28,0)+IF(O83="gd",-(0.05-INDEX(绊状态确认!X:X,MATCH($G83,绊状态确认!$B:$B,)))*$EW$32*$EW$30*(1-$EW$33),0)</f>
        <v>7726.3029277443748</v>
      </c>
      <c r="BJ83" s="1097">
        <f>IF(O83="vo",0.05*(1-$FI$26)*$FA$24,0)+IF(O83="sk",-(0.05-INDEX(绊状态确认!W:W,MATCH($G83,绊状态确认!$B:$B,)))*(1-$FI$26)*$FA$24+0.05*$FA$26,0)+IF(O83="sp",0.05*$FA$32*$FA$27*(1-$FA$33)/$FA$30+0.05*$FA$29/$FA$69*$FA$27*(1-$FA$33)-(0.05-INDEX(绊状态确认!V:V,MATCH($G83,绊状态确认!$B:$B,)))*$FA$26,0)+IF(O83="gd",-(0.05-INDEX(绊状态确认!X:X,MATCH($G83,绊状态确认!$B:$B,)))*$FA$32*$FA$27*(1-$FA$33)/$FA$30-(0.05-INDEX(绊状态确认!X:X,MATCH($G83,绊状态确认!$B:$B,)))*$FA$29/$FA$69*$FA$27*(1-$FA$33),0)</f>
        <v>393.93433687500004</v>
      </c>
      <c r="BK83" s="1110">
        <f>IF(O83="vo",$EW$26/$EW$24*0.05+$EW$26*(-HP($EW$62,$EW$65,$EW$64)+HP($EW$62,$EW$65,(1.05-INDEX(绊状态确认!U:U,MATCH($G83,绊状态确认!$B:$B,)))*$EW$64)),0)+IF(O83="sk",-$EW$26/$EW$24*(0.05-INDEX(绊状态确认!W:W,MATCH($G83,绊状态确认!$B:$B,)))+0.05*$EW$29,0)+IF(O83="sp",0.05*$EW$32*$EW$30*(1-$EW$33)-(0.05-INDEX(绊状态确认!V:V,MATCH($G83,绊状态确认!$B:$B,)))*$EW$29,0)+IF(O83="gd",-(0.05-INDEX(绊状态确认!X:X,MATCH($G83,绊状态确认!$B:$B,)))*$EW$32*$EW$30*(1-$EW$33)+$EW$26*(-HP($EW$62,$EW$65,$EW$64)+HP($EW$62,$EW$65,0.95*$EW$64)),0)</f>
        <v>6421.6344775026746</v>
      </c>
      <c r="BL83" s="1111">
        <f t="shared" si="117"/>
        <v>-2166.6666666666665</v>
      </c>
      <c r="BM83" s="1110">
        <f t="shared" si="118"/>
        <v>-1661.1111111111109</v>
      </c>
      <c r="BN83" s="1113">
        <f t="shared" si="119"/>
        <v>2</v>
      </c>
      <c r="BO83" s="1097">
        <f t="shared" si="120"/>
        <v>3005.1476580839999</v>
      </c>
      <c r="BP83" s="1100">
        <f t="shared" si="121"/>
        <v>147.56068806020068</v>
      </c>
      <c r="BQ83" s="1113" t="s">
        <v>623</v>
      </c>
      <c r="BR83" s="1124" t="s">
        <v>617</v>
      </c>
      <c r="BS83" s="1098">
        <f>IF($P83="","N/A",IF($P83=-1,INDEX('卡片raw data'!AX:AX,MATCH($D83,'卡片raw data'!$F:$F,)),0)+IF($L83="party卡",IF($P83=5,INDEX('卡片raw data'!BD:BD,MATCH($D83,'卡片raw data'!$F:$F,)),IF($P83&gt;=3,INDEX('卡片raw data'!BC:BC,MATCH($D83,'卡片raw data'!$F:$F,)),INDEX('卡片raw data'!BB:BB,MATCH($D83,'卡片raw data'!$F:$F,)))),IF(OR(AND($F83="UR",$P83=0),AND($F83="SR",$P83&gt;=0,$P83&lt;=2),AND($F83="R",$P83&gt;=0,$P83&lt;4)),INDEX('卡片raw data'!AZ:AZ,MATCH($D83,'卡片raw data'!$F:$F,)),0)+IF(OR(AND($F83="UR",$P83&gt;=1,$P83&lt;=4),AND($F83="SR",$P83&lt;=4,$P83&gt;=3),AND($F83="R",$P83=4)),INDEX('卡片raw data'!BA:BA,MATCH($D83,'卡片raw data'!$F:$F,)),0)+IF($P83=5,INDEX('卡片raw data'!BB:BB,MATCH($D83,'卡片raw data'!$F:$F,)),0)))</f>
        <v>2.7E-2</v>
      </c>
      <c r="BT83" s="1101">
        <f t="shared" si="122"/>
        <v>1126.9303717815001</v>
      </c>
      <c r="BU83" s="1097">
        <f t="shared" si="123"/>
        <v>55.335258022575253</v>
      </c>
      <c r="BV83" s="1097">
        <f t="shared" si="124"/>
        <v>676.15822306889982</v>
      </c>
      <c r="BW83" s="1112">
        <f t="shared" si="125"/>
        <v>0</v>
      </c>
      <c r="BX83" s="1100">
        <f t="shared" si="126"/>
        <v>1126.9303717815001</v>
      </c>
      <c r="BY83" s="1110">
        <f t="shared" si="127"/>
        <v>676.15822306889982</v>
      </c>
      <c r="BZ83" s="1107" t="s">
        <v>569</v>
      </c>
      <c r="CA83" s="1124"/>
      <c r="CB83" s="1098">
        <f>IF($P83="","N/A",IF($P83=-1,INDEX('卡片raw data'!BE:BE,MATCH($D83,'卡片raw data'!$F:$F,)),0)+IF($L83="party卡",IF($P83=5,INDEX('卡片raw data'!BK:BK,MATCH($D83,'卡片raw data'!$F:$F,)),IF($P83&gt;=3,INDEX('卡片raw data'!BJ:BJ,MATCH($D83,'卡片raw data'!$F:$F,)),INDEX('卡片raw data'!BI:BI,MATCH($D83,'卡片raw data'!$F:$F,)))),IF(OR(AND($F83="UR",$P83=0),AND($F83="SR",$P83&gt;=0,$P83&lt;=2),AND($F83="R",$P83&gt;=0,$P83&lt;4)),INDEX('卡片raw data'!BG:BG,MATCH($D83,'卡片raw data'!$F:$F,)),0)+IF(OR(AND($F83="UR",$P83&gt;=1,$P83&lt;=4),AND($F83="SR",$P83&lt;=4,$P83&gt;=3),AND($F83="R",$P83=4)),INDEX('卡片raw data'!BH:BH,MATCH($D83,'卡片raw data'!$F:$F,)),0)+IF($P83=5,INDEX('卡片raw data'!BI:BI,MATCH($D83,'卡片raw data'!$F:$F,)),0)))</f>
        <v>0</v>
      </c>
      <c r="CC83" s="1101">
        <f t="shared" si="128"/>
        <v>0</v>
      </c>
      <c r="CD83" s="1097">
        <f>IF(BZ83="ap",CB83*(1-$FI$26)*$FB$5/$FB$11*(+IF(CA83="全员",$FA$24,0)+IF(CA83="同作战",$FA$24,0)+IF(CA83="仲间",$FA$24*2/3,0)+IF(CA83="同属性",$FA$24*$FA$37/3,0)+IF(CA83="同年级",$FA$24*$FA$40/3,0)+IF(CA83="同学校",$FA$24*$FA$43/3,0)+IF(CA83="同小队",$FA$24*$FA$46/3,0)+IF(CA83="同type",$FA$24*INDEX($FB$49:$FB$52,MATCH(X83,$FA$49:$FA$52,))/3,0)+IF(CA83="自身",#REF!/3,0)),0)+IF(BZ83="te",CB83*(1-$FI$27)*($FA$20-1)*$FB$7/$FB$13*(+IF(CA83="全员",$FA$19*$FA$24/(1+($FA$20-1)*$FA$19),0)+IF(CA83="同作战",$FA$19*$FA$24/(1+($FA$20-1)*$FA$19),0)+IF(CA83="仲间",$FA$19*$FA$24*2/3/(1+($FA$20-1)*$FA$19),0)+IF(CA83="同属性",$FA$19*$FA$24*$FA$37/3/(1+($FA$20-1)*$FA$19),0)+IF(CA83="同年级",$FA$19*$FA$24*$FA$40/3/(1+($FA$20-1)*$FA$19),0)+IF(CA83="同学校",$FA$19*$FA$24*$FA$43/3/(1+($FA$20-1)*$FA$19),0)+IF(CA83="同小队",$FA$19*$FA$24*$FA$46/3/(1+($FA$20-1)*$FA$19),0)+IF(CA83="同type",$FA$19*$FA$24*INDEX($FB$49:$FB$52,MATCH(X83,$FA$49:$FA$52,))/3/(1+($FA$20-1)*$FA$19),0)+IF(CA83="自身",$FA$19*#REF!/3/(1+(BH83-1)*$BD83),0)),0)</f>
        <v>0</v>
      </c>
      <c r="CE83" s="1097">
        <f t="shared" si="129"/>
        <v>0</v>
      </c>
      <c r="CF83" s="1112">
        <f t="shared" si="130"/>
        <v>0</v>
      </c>
      <c r="CG83" s="1100">
        <f t="shared" si="131"/>
        <v>0</v>
      </c>
      <c r="CH83" s="1110">
        <f t="shared" si="132"/>
        <v>0</v>
      </c>
      <c r="CI83" s="1113"/>
      <c r="CJ83" s="1114"/>
      <c r="CK83" s="1115" t="s">
        <v>569</v>
      </c>
      <c r="CL83" s="1115"/>
      <c r="CM83" s="1119"/>
      <c r="CN83" s="1115"/>
      <c r="CO83" s="1092"/>
      <c r="CP83" s="1117">
        <f t="shared" si="133"/>
        <v>0</v>
      </c>
      <c r="CQ83" s="1117">
        <f t="shared" si="134"/>
        <v>0</v>
      </c>
      <c r="CR83" s="1117">
        <f t="shared" si="135"/>
        <v>0</v>
      </c>
      <c r="CS83" s="1118">
        <f t="shared" si="136"/>
        <v>0</v>
      </c>
      <c r="CT83" s="1109">
        <f t="shared" si="137"/>
        <v>0</v>
      </c>
      <c r="CU83" s="1101">
        <f t="shared" si="138"/>
        <v>0</v>
      </c>
      <c r="CV83" s="1108">
        <f t="shared" si="139"/>
        <v>0</v>
      </c>
      <c r="CW83" s="1097">
        <f t="shared" si="140"/>
        <v>0</v>
      </c>
      <c r="CX83" s="1097">
        <f t="shared" si="141"/>
        <v>0</v>
      </c>
      <c r="CY83" s="1110">
        <f t="shared" si="142"/>
        <v>0</v>
      </c>
      <c r="CZ83" s="437"/>
      <c r="DA83" s="438"/>
      <c r="DB83" s="439" t="s">
        <v>569</v>
      </c>
      <c r="DC83" s="439"/>
      <c r="DD83" s="443"/>
      <c r="DE83" s="411"/>
      <c r="DF83" s="411"/>
      <c r="DG83" s="1116">
        <f t="shared" si="143"/>
        <v>0</v>
      </c>
      <c r="DH83" s="1116">
        <f t="shared" si="144"/>
        <v>0</v>
      </c>
      <c r="DI83" s="1116">
        <f t="shared" si="145"/>
        <v>0</v>
      </c>
      <c r="DJ83" s="442">
        <f t="shared" si="146"/>
        <v>0</v>
      </c>
      <c r="DK83" s="1109">
        <f t="shared" si="147"/>
        <v>0</v>
      </c>
      <c r="DL83" s="1101">
        <f t="shared" si="148"/>
        <v>0</v>
      </c>
      <c r="DM83" s="1097">
        <f t="shared" si="149"/>
        <v>0</v>
      </c>
      <c r="DN83" s="1097">
        <f t="shared" si="150"/>
        <v>0</v>
      </c>
      <c r="DO83" s="1097">
        <f t="shared" si="151"/>
        <v>0</v>
      </c>
      <c r="DP83" s="1110">
        <f t="shared" si="152"/>
        <v>0</v>
      </c>
      <c r="DQ83" s="1113" t="s">
        <v>554</v>
      </c>
      <c r="DR83" s="1120">
        <f t="shared" si="153"/>
        <v>0.3</v>
      </c>
      <c r="DS83" s="1124">
        <v>5</v>
      </c>
      <c r="DT83" s="1093" t="s">
        <v>161</v>
      </c>
      <c r="DU83" s="1093" t="s">
        <v>546</v>
      </c>
      <c r="DV83" s="1097">
        <f>IF($P83="","N/A",IF(P83=-1,INDEX('卡片raw data'!AN:AN,MATCH(D83,'卡片raw data'!$F:$F,)),0)+IF(AND(L83&lt;&gt;"party卡",P83&lt;=2,P83&gt;=0),INDEX('卡片raw data'!AP:AP,MATCH(D83,'卡片raw data'!$F:$F,)),0)+IF(OR(AND(L83="party卡",P83&lt;=1),AND(P83&lt;=4,L83&lt;&gt;"party卡",P83&gt;=3)),INDEX('卡片raw data'!AQ:AQ,MATCH(D83,'卡片raw data'!$F:$F,)),0)+IF(OR(P83=5,AND(L83="party卡",P83&gt;=2)),INDEX('卡片raw data'!AR:AR,MATCH(D83,'卡片raw data'!$F:$F,)),0))</f>
        <v>150</v>
      </c>
      <c r="DW83" s="1098">
        <f t="shared" si="154"/>
        <v>0.3</v>
      </c>
      <c r="DX83" s="1098">
        <f t="shared" si="155"/>
        <v>0.3</v>
      </c>
      <c r="DY83" s="1098">
        <f t="shared" si="156"/>
        <v>5.7360140072996221E-4</v>
      </c>
      <c r="DZ83" s="1098">
        <f t="shared" si="157"/>
        <v>1.1949941263926284E-3</v>
      </c>
      <c r="EA83" s="1098">
        <f t="shared" si="158"/>
        <v>0</v>
      </c>
      <c r="EB83" s="1121">
        <f t="shared" si="159"/>
        <v>0</v>
      </c>
      <c r="EC83" s="1101">
        <f t="shared" si="160"/>
        <v>97.5</v>
      </c>
      <c r="ED83" s="1097">
        <f t="shared" si="161"/>
        <v>9.4149843749999995</v>
      </c>
      <c r="EE83" s="1110">
        <f t="shared" si="162"/>
        <v>97.5</v>
      </c>
      <c r="EF83" s="1092" t="s">
        <v>711</v>
      </c>
      <c r="EG83" s="1120">
        <f t="shared" si="163"/>
        <v>0.3</v>
      </c>
      <c r="EH83" s="1124"/>
      <c r="EI83" s="1093"/>
      <c r="EJ83" s="1093"/>
      <c r="EK83" s="1097">
        <f>IF($P83="","N/A",IF(P83=-1,INDEX('卡片raw data'!AS:AS,MATCH(D83,'卡片raw data'!$F:$F,)),0)+IF(AND(L83&lt;&gt;"party卡",P83&lt;=2,P83&gt;=0),INDEX('卡片raw data'!AU:AU,MATCH(D83,'卡片raw data'!$F:$F,)),0)+IF(OR(AND(L83="party卡",P83&lt;=1),AND(P83&lt;=4,L83&lt;&gt;"party卡",P83&gt;=3)),INDEX('卡片raw data'!AV:AV,MATCH(D83,'卡片raw data'!$F:$F,)),0)+IF(OR(P83=5,AND(L83="party卡",P83&gt;=2)),INDEX('卡片raw data'!AW:AW,MATCH(D83,'卡片raw data'!$F:$F,)),0))</f>
        <v>0</v>
      </c>
      <c r="EL83" s="1098">
        <f t="shared" si="164"/>
        <v>0.3</v>
      </c>
      <c r="EM83" s="1098">
        <f t="shared" si="165"/>
        <v>0.3</v>
      </c>
      <c r="EN83" s="1125">
        <f t="shared" si="166"/>
        <v>0</v>
      </c>
      <c r="EO83" s="1125">
        <f t="shared" si="167"/>
        <v>0</v>
      </c>
      <c r="EP83" s="1098">
        <f t="shared" si="168"/>
        <v>0</v>
      </c>
      <c r="EQ83" s="1121">
        <f t="shared" si="169"/>
        <v>0</v>
      </c>
      <c r="ER83" s="1101">
        <f t="shared" si="170"/>
        <v>0</v>
      </c>
      <c r="ES83" s="1097">
        <f t="shared" si="171"/>
        <v>0</v>
      </c>
      <c r="ET83" s="1122">
        <f t="shared" si="172"/>
        <v>0</v>
      </c>
    </row>
    <row r="84" spans="2:154" ht="16.5" customHeight="1">
      <c r="B84" s="1123" t="str">
        <f>INDEX('卡片raw data'!B:B,MATCH($D84,'卡片raw data'!$F:$F,))</f>
        <v>一专雫</v>
      </c>
      <c r="C84" s="449" t="s">
        <v>123</v>
      </c>
      <c r="D84" s="408">
        <v>81</v>
      </c>
      <c r="E84" s="1090">
        <v>102032001</v>
      </c>
      <c r="F84" s="1090" t="str">
        <f>INDEX('卡片raw data'!C:C,MATCH($D84,'卡片raw data'!$F:$F,))</f>
        <v>SR</v>
      </c>
      <c r="G84" s="1094" t="s">
        <v>349</v>
      </c>
      <c r="H84" s="411">
        <f>IFERROR(INDEX(绊状态确认!C:C,MATCH($G84,绊状态确认!$B:$B,)),"")</f>
        <v>203</v>
      </c>
      <c r="I84" s="450" t="str">
        <f>IFERROR(INDEX(绊状态确认!D:D,MATCH($G84,绊状态确认!$B:$B,)),"")</f>
        <v>虹</v>
      </c>
      <c r="J84" s="450" t="str">
        <f>IFERROR(INDEX(绊状态确认!E:E,MATCH($G84,绊状态确认!$B:$B,)),"")</f>
        <v>1年级</v>
      </c>
      <c r="K84" s="451" t="str">
        <f>IFERROR(INDEX(绊状态确认!F:F,MATCH($G84,绊状态确认!$B:$B,)),"")</f>
        <v>A·ZU·NA</v>
      </c>
      <c r="L84" s="1094" t="str">
        <f>INDEX('卡片raw data'!E:E,MATCH($D84,'卡片raw data'!$F:$F,))</f>
        <v>卡池卡</v>
      </c>
      <c r="M84" s="415">
        <v>43735</v>
      </c>
      <c r="N84" s="416">
        <v>0</v>
      </c>
      <c r="O84" s="1091" t="str">
        <f>INDEX('卡片raw data'!D:D,MATCH($D84,'卡片raw data'!$F:$F,))</f>
        <v>sp</v>
      </c>
      <c r="P84" s="417">
        <v>5</v>
      </c>
      <c r="Q84" s="1095">
        <f t="shared" si="88"/>
        <v>28840.9964185104</v>
      </c>
      <c r="R84" s="1096">
        <f t="shared" si="89"/>
        <v>0.33500000000000002</v>
      </c>
      <c r="S84" s="1097">
        <f t="shared" si="90"/>
        <v>16261.83913038679</v>
      </c>
      <c r="T84" s="1098">
        <f t="shared" si="91"/>
        <v>0.81299999999999994</v>
      </c>
      <c r="U84" s="1099">
        <f t="shared" si="92"/>
        <v>9.809670869142856</v>
      </c>
      <c r="V84" s="1100">
        <f t="shared" si="93"/>
        <v>27820.071096745043</v>
      </c>
      <c r="W84" s="1101">
        <f t="shared" si="94"/>
        <v>5848.4292364873372</v>
      </c>
      <c r="X84" s="1096">
        <f t="shared" si="95"/>
        <v>6.7000000000000004E-2</v>
      </c>
      <c r="Y84" s="1097">
        <f t="shared" si="96"/>
        <v>779.07467823464503</v>
      </c>
      <c r="Z84" s="1102">
        <f t="shared" si="97"/>
        <v>9.809670869142856</v>
      </c>
      <c r="AA84" s="1103">
        <f t="shared" si="98"/>
        <v>6627.5039147219823</v>
      </c>
      <c r="AB84" s="1101">
        <f t="shared" si="99"/>
        <v>6649.8019453097368</v>
      </c>
      <c r="AC84" s="1104">
        <f t="shared" si="100"/>
        <v>7.6999999999999999E-2</v>
      </c>
      <c r="AD84" s="1105">
        <f t="shared" si="101"/>
        <v>-1.9908281250000003E-2</v>
      </c>
      <c r="AE84" s="1128">
        <f t="shared" si="102"/>
        <v>41.311625724637679</v>
      </c>
      <c r="AF84" s="1130">
        <f t="shared" si="103"/>
        <v>0</v>
      </c>
      <c r="AG84" s="420">
        <f t="shared" si="104"/>
        <v>0</v>
      </c>
      <c r="AH84" s="420">
        <f t="shared" si="105"/>
        <v>0</v>
      </c>
      <c r="AI84" s="1097">
        <f t="shared" si="106"/>
        <v>0</v>
      </c>
      <c r="AJ84" s="420">
        <f t="shared" si="107"/>
        <v>0</v>
      </c>
      <c r="AK84" s="518">
        <f t="shared" si="108"/>
        <v>0</v>
      </c>
      <c r="AL84" s="1106">
        <f>IF($P84="","N/A",(IF($P84=-1,INDEX('卡片raw data'!S:S,MATCH($D84,'卡片raw data'!$F:$F,)),0)+IF($P84=0,INDEX('卡片raw data'!V:V,MATCH($D84,'卡片raw data'!$F:$F,)),0)+IF($P84=1,INDEX('卡片raw data'!Y:Y,MATCH($D84,'卡片raw data'!$F:$F,)),0)+IF($P84=2,INDEX('卡片raw data'!AB:AB,MATCH($D84,'卡片raw data'!$F:$F,)),0)+IF($P84=3,INDEX('卡片raw data'!AE:AE,MATCH($D84,'卡片raw data'!$F:$F,)),0)+IF($P84=4,INDEX('卡片raw data'!AH:AH,MATCH($D84,'卡片raw data'!$F:$F,)),0)+IF($P84=5,INDEX('卡片raw data'!AK:AK,MATCH($D84,'卡片raw data'!$F:$F,)),0)+INDEX('卡片raw data'!S:S,MATCH($D84,'卡片raw data'!$F:$F,))*(IF($F84="UR",0.04,0.033))*(IF($F84="UR",INDEX(绊状态确认!$S:$S,MATCH($G84,绊状态确认!$B:$B,))/2-40)+IF($F84="SR",INDEX(绊状态确认!$R:$R,MATCH($G84,绊状态确认!$B:$B,))/4-15))+IF($F84="R",INDEX(绊状态确认!$Q:$Q,MATCH($G84,绊状态确认!$B:$B,))/6-40/6)))*(INDEX(绊状态确认!$H:$H,MATCH($G84,绊状态确认!$B:$B,))+INDEX(绊状态确认!J:J,MATCH($G84,绊状态确认!$B:$B,)))</f>
        <v>5671.8178559999997</v>
      </c>
      <c r="AM84" s="1106">
        <f>IF($P84="","N/A",(IF($P84=-1,INDEX('卡片raw data'!T:T,MATCH($D84,'卡片raw data'!$F:$F,)),0)+IF($P84=0,INDEX('卡片raw data'!W:W,MATCH($D84,'卡片raw data'!$F:$F,)),0)+IF($P84=1,INDEX('卡片raw data'!Z:Z,MATCH($D84,'卡片raw data'!$F:$F,)),0)+IF($P84=2,INDEX('卡片raw data'!AC:AC,MATCH($D84,'卡片raw data'!$F:$F,)),0)+IF($P84=3,INDEX('卡片raw data'!AF:AF,MATCH($D84,'卡片raw data'!$F:$F,)),0)+IF($P84=4,INDEX('卡片raw data'!AI:AI,MATCH($D84,'卡片raw data'!$F:$F,)),0)+IF($P84=5,INDEX('卡片raw data'!AL:AL,MATCH($D84,'卡片raw data'!$F:$F,)),0)+INDEX('卡片raw data'!T:T,MATCH($D84,'卡片raw data'!$F:$F,))*(IF($F84="UR",0.04,0.033))*(IF($F84="UR",INDEX(绊状态确认!$S:$S,MATCH($G84,绊状态确认!$B:$B,))/2-40)+IF($F84="SR",INDEX(绊状态确认!$R:$R,MATCH($G84,绊状态确认!$B:$B,))/4-15))+IF($F84="R",INDEX(绊状态确认!$Q:$Q,MATCH($G84,绊状态确认!$B:$B,))/6-40/6)))*(INDEX(绊状态确认!$H:$H,MATCH($G84,绊状态确认!$B:$B,))+INDEX(绊状态确认!K:K,MATCH($G84,绊状态确认!$B:$B,)))</f>
        <v>4726.5148799999988</v>
      </c>
      <c r="AN84" s="1106">
        <f>IF($P84="","N/A",(IF($P84=-1,INDEX('卡片raw data'!U:U,MATCH($D84,'卡片raw data'!$F:$F,)),0)+IF($P84=0,INDEX('卡片raw data'!X:X,MATCH($D84,'卡片raw data'!$F:$F,)),0)+IF($P84=1,INDEX('卡片raw data'!AA:AA,MATCH($D84,'卡片raw data'!$F:$F,)),0)+IF($P84=2,INDEX('卡片raw data'!AD:AD,MATCH($D84,'卡片raw data'!$F:$F,)),0)+IF($P84=3,INDEX('卡片raw data'!AG:AG,MATCH($D84,'卡片raw data'!$F:$F,)),0)+IF($P84=4,INDEX('卡片raw data'!AJ:AJ,MATCH($D84,'卡片raw data'!$F:$F,)),0)+IF($P84=5,INDEX('卡片raw data'!AM:AM,MATCH($D84,'卡片raw data'!$F:$F,)),0)+INDEX('卡片raw data'!U:U,MATCH($D84,'卡片raw data'!$F:$F,))*(IF($F84="UR",0.04,0.033))*(IF($F84="UR",INDEX(绊状态确认!$S:$S,MATCH($G84,绊状态确认!$B:$B,))/2-40)+IF($F84="SR",INDEX(绊状态确认!$R:$R,MATCH($G84,绊状态确认!$B:$B,))/4-15))+IF($F84="R",INDEX(绊状态确认!$Q:$Q,MATCH($G84,绊状态确认!$B:$B,))/6-40/6)))*(INDEX(绊状态确认!$H:$H,MATCH($G84,绊状态确认!$B:$B,))+INDEX(绊状态确认!L:L,MATCH($G84,绊状态确认!$B:$B,)))</f>
        <v>8507.7267839999986</v>
      </c>
      <c r="AO84" s="1107">
        <f t="shared" si="109"/>
        <v>1</v>
      </c>
      <c r="AP84" s="1131">
        <f>1+(INDEX(绊状态确认!$T:$T,MATCH($G84,绊状态确认!$B:$B,))+0.2)*$AO84</f>
        <v>1.3</v>
      </c>
      <c r="AQ84" s="1108">
        <f t="shared" si="110"/>
        <v>18138.521871999998</v>
      </c>
      <c r="AR84" s="1097">
        <f>(AM84*(1+$EX$9)+$EX$35)*(1+(INDEX(绊状态确认!$T:$T,MATCH($G84,绊状态确认!$B:$B,))+0.2)*AO84)*IF(J84=$FF$17,1+$FE$17,1)*IF(I84=$FF$14,1+$FE$14,1)</f>
        <v>9155.6928111999987</v>
      </c>
      <c r="AS84" s="1097">
        <f>(AN84*(1+$EX$10)+$EX$36)*(1+(INDEX(绊状态确认!$T:$T,MATCH($G84,绊状态确认!$B:$B,))+0.2)*AO84)*IF(J84=$FF$17,1+$FE$17,1)*IF(I84=$FF$14,1+$FE$14,1)</f>
        <v>16775.051542079997</v>
      </c>
      <c r="AT84" s="1093">
        <f>IF(AND(INDEX('卡片raw data'!AK:AK,MATCH($D84,'卡片raw data'!$F:$F,))&lt;INDEX('卡片raw data'!AM:AM,MATCH($D84,'卡片raw data'!$F:$F,)),INDEX('卡片raw data'!AL:AL,MATCH($D84,'卡片raw data'!$F:$F,))&lt;INDEX('卡片raw data'!AM:AM,MATCH($D84,'卡片raw data'!$F:$F,))),1,0)</f>
        <v>1</v>
      </c>
      <c r="AU84" s="1098">
        <f>MIN(AT84*0.15+AS84*0.00003+INDEX(绊状态确认!M:M,MATCH($G84,绊状态确认!$B:$B,)),1)</f>
        <v>0.68325154626239992</v>
      </c>
      <c r="AV84" s="1109">
        <f>(INDEX(绊状态确认!$N:$N,MATCH($G84,绊状态确认!$B:$B,))+1.5)*$EW$21</f>
        <v>2.6599999999999997</v>
      </c>
      <c r="AW84" s="1101">
        <f t="shared" si="111"/>
        <v>20104.527806533992</v>
      </c>
      <c r="AX84" s="1097">
        <f t="shared" si="112"/>
        <v>779.07467823464469</v>
      </c>
      <c r="AY84" s="1110">
        <f t="shared" si="113"/>
        <v>20883.602484768635</v>
      </c>
      <c r="AZ84" s="429">
        <f t="shared" si="114"/>
        <v>13660.044819199999</v>
      </c>
      <c r="BA84" s="431">
        <f t="shared" si="115"/>
        <v>16392.053783039999</v>
      </c>
      <c r="BB84" s="1097">
        <f>(AM84*(1+$FB$9)+$FB$35)*(1+(INDEX(绊状态确认!$T:$T,MATCH($G84,绊状态确认!$B:$B,))+0.2)*AO84)*IF(J84=$FF$17,1+$FE$17,1)*IF(I84=$FF$14,1+$FE$14,1)*(1+$FE$15)</f>
        <v>9155.6928111999987</v>
      </c>
      <c r="BC84" s="1097">
        <f>(AN84*(1+$FB$10)+$FB$36)*(1+(INDEX(绊状态确认!$T:$T,MATCH($G84,绊状态确认!$B:$B,))+0.2)*AO84)*IF(J84=$FF$17,1+$FE$17,1)*IF(I84=$FF$14,1+$FE$14,1)*(1+$FE$15)</f>
        <v>16775.051542079997</v>
      </c>
      <c r="BD84" s="1104">
        <f>MIN(AT84*0.15+BC84*0.00003+INDEX(绊状态确认!M:M,MATCH($G84,绊状态确认!$B:$B,)),1)</f>
        <v>0.68325154626239992</v>
      </c>
      <c r="BE84" s="432">
        <f>(INDEX(绊状态确认!$N:$N,MATCH($G84,绊状态确认!$B:$B,))+1.5)</f>
        <v>1.9</v>
      </c>
      <c r="BF84" s="1139">
        <f t="array" ref="BF84">SUMPRODUCT(IF(AZ84*AP84*$FI$16:$FI$23*$FA$22&gt;=$FI$24,$FI$24,AZ84*AP84*$FI$16:$FI$23*$FA$22),$FJ$16:$FJ$23)</f>
        <v>27169.829145388805</v>
      </c>
      <c r="BG84" s="1125">
        <f t="array" ref="BG84">SUMPRODUCT(IF(BE84*AZ84*AP84*$FI$16:$FI$23*$FA$22&gt;=$FI$24,$FI$24,BE84*AZ84*AP84*$FI$16:$FI$23*$FA$22),$FJ$16:$FJ$23)</f>
        <v>51138.760415971832</v>
      </c>
      <c r="BH84" s="1110">
        <f t="shared" si="116"/>
        <v>14515.546166090615</v>
      </c>
      <c r="BI84" s="1111">
        <f>IF(O84="vo",$EW$26/$EW$24*0.05,0)+IF(O84="sk",-$EW$26/$EW$24*(0.05-INDEX(绊状态确认!W:W,MATCH($G84,绊状态确认!$B:$B,)))+0.05*$EW$28,0)+IF(O84="sp",0.05*$EW$32*$EW$30*(1-$EW$33)-(0.05-INDEX(绊状态确认!V:V,MATCH($G84,绊状态确认!$B:$B,)))*$EW$28,0)+IF(O84="gd",-(0.05-INDEX(绊状态确认!X:X,MATCH($G84,绊状态确认!$B:$B,)))*$EW$32*$EW$30*(1-$EW$33),0)</f>
        <v>19.999999999999886</v>
      </c>
      <c r="BJ84" s="1097">
        <f>IF(O84="vo",0.05*(1-$FI$26)*$FA$24,0)+IF(O84="sk",-(0.05-INDEX(绊状态确认!W:W,MATCH($G84,绊状态确认!$B:$B,)))*(1-$FI$26)*$FA$24+0.05*$FA$26,0)+IF(O84="sp",0.05*$FA$32*$FA$27*(1-$FA$33)/$FA$30+0.05*$FA$29/$FA$69*$FA$27*(1-$FA$33)-(0.05-INDEX(绊状态确认!V:V,MATCH($G84,绊状态确认!$B:$B,)))*$FA$26,0)+IF(O84="gd",-(0.05-INDEX(绊状态确认!X:X,MATCH($G84,绊状态确认!$B:$B,)))*$FA$32*$FA$27*(1-$FA$33)/$FA$30-(0.05-INDEX(绊状态确认!X:X,MATCH($G84,绊状态确认!$B:$B,)))*$FA$29/$FA$69*$FA$27*(1-$FA$33),0)</f>
        <v>545.83333333333326</v>
      </c>
      <c r="BK84" s="1110">
        <f>IF(O84="vo",$EW$26/$EW$24*0.05+$EW$26*(-HP($EW$62,$EW$65,$EW$64)+HP($EW$62,$EW$65,(1.05-INDEX(绊状态确认!U:U,MATCH($G84,绊状态确认!$B:$B,)))*$EW$64)),0)+IF(O84="sk",-$EW$26/$EW$24*(0.05-INDEX(绊状态确认!W:W,MATCH($G84,绊状态确认!$B:$B,)))+0.05*$EW$29,0)+IF(O84="sp",0.05*$EW$32*$EW$30*(1-$EW$33)-(0.05-INDEX(绊状态确认!V:V,MATCH($G84,绊状态确认!$B:$B,)))*$EW$29,0)+IF(O84="gd",-(0.05-INDEX(绊状态确认!X:X,MATCH($G84,绊状态确认!$B:$B,)))*$EW$32*$EW$30*(1-$EW$33)+$EW$26*(-HP($EW$62,$EW$65,$EW$64)+HP($EW$62,$EW$65,0.95*$EW$64)),0)</f>
        <v>-1780.0000000000005</v>
      </c>
      <c r="BL84" s="1111">
        <f t="shared" si="117"/>
        <v>-1083.3333333333333</v>
      </c>
      <c r="BM84" s="1110">
        <f t="shared" si="118"/>
        <v>-830.55555555555543</v>
      </c>
      <c r="BN84" s="1113">
        <f t="shared" si="119"/>
        <v>3</v>
      </c>
      <c r="BO84" s="1097">
        <f t="shared" si="120"/>
        <v>4507.7214871259994</v>
      </c>
      <c r="BP84" s="1100">
        <f t="shared" si="121"/>
        <v>221.34103209030098</v>
      </c>
      <c r="BQ84" s="1113" t="s">
        <v>623</v>
      </c>
      <c r="BR84" s="1124" t="s">
        <v>171</v>
      </c>
      <c r="BS84" s="1098">
        <f>IF($P84="","N/A",IF($P84=-1,INDEX('卡片raw data'!AX:AX,MATCH($D84,'卡片raw data'!$F:$F,)),0)+IF($L84="party卡",IF($P84=5,INDEX('卡片raw data'!BD:BD,MATCH($D84,'卡片raw data'!$F:$F,)),IF($P84&gt;=3,INDEX('卡片raw data'!BC:BC,MATCH($D84,'卡片raw data'!$F:$F,)),INDEX('卡片raw data'!BB:BB,MATCH($D84,'卡片raw data'!$F:$F,)))),IF(OR(AND($F84="UR",$P84=0),AND($F84="SR",$P84&gt;=0,$P84&lt;=2),AND($F84="R",$P84&gt;=0,$P84&lt;4)),INDEX('卡片raw data'!AZ:AZ,MATCH($D84,'卡片raw data'!$F:$F,)),0)+IF(OR(AND($F84="UR",$P84&gt;=1,$P84&lt;=4),AND($F84="SR",$P84&lt;=4,$P84&gt;=3),AND($F84="R",$P84=4)),INDEX('卡片raw data'!BA:BA,MATCH($D84,'卡片raw data'!$F:$F,)),0)+IF($P84=5,INDEX('卡片raw data'!BB:BB,MATCH($D84,'卡片raw data'!$F:$F,)),0)))</f>
        <v>3.2000000000000001E-2</v>
      </c>
      <c r="BT84" s="1101">
        <f t="shared" si="122"/>
        <v>1602.7454176448</v>
      </c>
      <c r="BU84" s="1097">
        <f t="shared" si="123"/>
        <v>68.861654428093644</v>
      </c>
      <c r="BV84" s="1097">
        <f t="shared" si="124"/>
        <v>801.37270882240011</v>
      </c>
      <c r="BW84" s="1112">
        <f t="shared" si="125"/>
        <v>0</v>
      </c>
      <c r="BX84" s="1100">
        <f t="shared" si="126"/>
        <v>1602.7454176448</v>
      </c>
      <c r="BY84" s="1110">
        <f t="shared" si="127"/>
        <v>801.37270882240011</v>
      </c>
      <c r="BZ84" s="1107" t="s">
        <v>569</v>
      </c>
      <c r="CA84" s="1124"/>
      <c r="CB84" s="1098">
        <f>IF($P84="","N/A",IF($P84=-1,INDEX('卡片raw data'!BE:BE,MATCH($D84,'卡片raw data'!$F:$F,)),0)+IF($L84="party卡",IF($P84=5,INDEX('卡片raw data'!BK:BK,MATCH($D84,'卡片raw data'!$F:$F,)),IF($P84&gt;=3,INDEX('卡片raw data'!BJ:BJ,MATCH($D84,'卡片raw data'!$F:$F,)),INDEX('卡片raw data'!BI:BI,MATCH($D84,'卡片raw data'!$F:$F,)))),IF(OR(AND($F84="UR",$P84=0),AND($F84="SR",$P84&gt;=0,$P84&lt;=2),AND($F84="R",$P84&gt;=0,$P84&lt;4)),INDEX('卡片raw data'!BG:BG,MATCH($D84,'卡片raw data'!$F:$F,)),0)+IF(OR(AND($F84="UR",$P84&gt;=1,$P84&lt;=4),AND($F84="SR",$P84&lt;=4,$P84&gt;=3),AND($F84="R",$P84=4)),INDEX('卡片raw data'!BH:BH,MATCH($D84,'卡片raw data'!$F:$F,)),0)+IF($P84=5,INDEX('卡片raw data'!BI:BI,MATCH($D84,'卡片raw data'!$F:$F,)),0)))</f>
        <v>0</v>
      </c>
      <c r="CC84" s="1101">
        <f t="shared" si="128"/>
        <v>0</v>
      </c>
      <c r="CD84" s="1097">
        <f>IF(BZ84="ap",CB84*(1-$FI$26)*$FB$5/$FB$11*(+IF(CA84="全员",$FA$24,0)+IF(CA84="同作战",$FA$24,0)+IF(CA84="仲间",$FA$24*2/3,0)+IF(CA84="同属性",$FA$24*$FA$37/3,0)+IF(CA84="同年级",$FA$24*$FA$40/3,0)+IF(CA84="同学校",$FA$24*$FA$43/3,0)+IF(CA84="同小队",$FA$24*$FA$46/3,0)+IF(CA84="同type",$FA$24*INDEX($FB$49:$FB$52,MATCH(X84,$FA$49:$FA$52,))/3,0)+IF(CA84="自身",#REF!/3,0)),0)+IF(BZ84="te",CB84*(1-$FI$27)*($FA$20-1)*$FB$7/$FB$13*(+IF(CA84="全员",$FA$19*$FA$24/(1+($FA$20-1)*$FA$19),0)+IF(CA84="同作战",$FA$19*$FA$24/(1+($FA$20-1)*$FA$19),0)+IF(CA84="仲间",$FA$19*$FA$24*2/3/(1+($FA$20-1)*$FA$19),0)+IF(CA84="同属性",$FA$19*$FA$24*$FA$37/3/(1+($FA$20-1)*$FA$19),0)+IF(CA84="同年级",$FA$19*$FA$24*$FA$40/3/(1+($FA$20-1)*$FA$19),0)+IF(CA84="同学校",$FA$19*$FA$24*$FA$43/3/(1+($FA$20-1)*$FA$19),0)+IF(CA84="同小队",$FA$19*$FA$24*$FA$46/3/(1+($FA$20-1)*$FA$19),0)+IF(CA84="同type",$FA$19*$FA$24*INDEX($FB$49:$FB$52,MATCH(X84,$FA$49:$FA$52,))/3/(1+($FA$20-1)*$FA$19),0)+IF(CA84="自身",$FA$19*#REF!/3/(1+(BH84-1)*$BD84),0)),0)</f>
        <v>0</v>
      </c>
      <c r="CE84" s="1097">
        <f t="shared" si="129"/>
        <v>0</v>
      </c>
      <c r="CF84" s="1112">
        <f t="shared" si="130"/>
        <v>0</v>
      </c>
      <c r="CG84" s="1100">
        <f t="shared" si="131"/>
        <v>0</v>
      </c>
      <c r="CH84" s="1110">
        <f t="shared" si="132"/>
        <v>0</v>
      </c>
      <c r="CI84" s="1113" t="s">
        <v>165</v>
      </c>
      <c r="CJ84" s="1114">
        <v>0.3</v>
      </c>
      <c r="CK84" s="1115" t="s">
        <v>551</v>
      </c>
      <c r="CL84" s="1115" t="s">
        <v>161</v>
      </c>
      <c r="CM84" s="1119">
        <v>0.03</v>
      </c>
      <c r="CN84" s="1115" t="s">
        <v>163</v>
      </c>
      <c r="CO84" s="1092"/>
      <c r="CP84" s="1118">
        <f t="shared" si="133"/>
        <v>8.9999999999999993E-3</v>
      </c>
      <c r="CQ84" s="1118">
        <f t="shared" si="134"/>
        <v>8.9999999999999993E-3</v>
      </c>
      <c r="CR84" s="1118">
        <f t="shared" si="135"/>
        <v>8.9999999999999993E-3</v>
      </c>
      <c r="CS84" s="1118">
        <f t="shared" si="136"/>
        <v>0</v>
      </c>
      <c r="CT84" s="1109">
        <f t="shared" si="137"/>
        <v>0</v>
      </c>
      <c r="CU84" s="1101">
        <f t="shared" si="138"/>
        <v>539.33504053893762</v>
      </c>
      <c r="CV84" s="1108">
        <f t="shared" si="139"/>
        <v>0</v>
      </c>
      <c r="CW84" s="1097">
        <f t="shared" si="140"/>
        <v>539.33504053893762</v>
      </c>
      <c r="CX84" s="1097">
        <f t="shared" si="141"/>
        <v>539.33504053893762</v>
      </c>
      <c r="CY84" s="1110">
        <f t="shared" si="142"/>
        <v>539.33504053893762</v>
      </c>
      <c r="CZ84" s="437"/>
      <c r="DA84" s="438"/>
      <c r="DB84" s="439" t="s">
        <v>569</v>
      </c>
      <c r="DC84" s="439"/>
      <c r="DD84" s="443"/>
      <c r="DE84" s="411"/>
      <c r="DF84" s="411"/>
      <c r="DG84" s="1116">
        <f t="shared" si="143"/>
        <v>0</v>
      </c>
      <c r="DH84" s="1116">
        <f t="shared" si="144"/>
        <v>0</v>
      </c>
      <c r="DI84" s="1116">
        <f t="shared" si="145"/>
        <v>0</v>
      </c>
      <c r="DJ84" s="442">
        <f t="shared" si="146"/>
        <v>0</v>
      </c>
      <c r="DK84" s="1109">
        <f t="shared" si="147"/>
        <v>0</v>
      </c>
      <c r="DL84" s="1101">
        <f t="shared" si="148"/>
        <v>0</v>
      </c>
      <c r="DM84" s="1097">
        <f t="shared" si="149"/>
        <v>0</v>
      </c>
      <c r="DN84" s="1097">
        <f t="shared" si="150"/>
        <v>0</v>
      </c>
      <c r="DO84" s="1097">
        <f t="shared" si="151"/>
        <v>0</v>
      </c>
      <c r="DP84" s="1110">
        <f t="shared" si="152"/>
        <v>0</v>
      </c>
      <c r="DQ84" s="1113" t="s">
        <v>549</v>
      </c>
      <c r="DR84" s="1120">
        <f t="shared" si="153"/>
        <v>0.3</v>
      </c>
      <c r="DS84" s="1124"/>
      <c r="DT84" s="1093" t="s">
        <v>179</v>
      </c>
      <c r="DU84" s="1093"/>
      <c r="DV84" s="1098">
        <f>IF($P84="","N/A",IF(P84=-1,INDEX('卡片raw data'!AN:AN,MATCH(D84,'卡片raw data'!$F:$F,)),0)+IF(AND(L84&lt;&gt;"party卡",P84&lt;=2,P84&gt;=0),INDEX('卡片raw data'!AP:AP,MATCH(D84,'卡片raw data'!$F:$F,)),0)+IF(OR(AND(L84="party卡",P84&lt;=1),AND(P84&lt;=4,L84&lt;&gt;"party卡",P84&gt;=3)),INDEX('卡片raw data'!AQ:AQ,MATCH(D84,'卡片raw data'!$F:$F,)),0)+IF(OR(P84=5,AND(L84="party卡",P84&gt;=2)),INDEX('卡片raw data'!AR:AR,MATCH(D84,'卡片raw data'!$F:$F,)),0))</f>
        <v>7.0000000000000007E-2</v>
      </c>
      <c r="DW84" s="1098">
        <f t="shared" si="154"/>
        <v>0.3</v>
      </c>
      <c r="DX84" s="1098">
        <f t="shared" si="155"/>
        <v>0.3</v>
      </c>
      <c r="DY84" s="1098">
        <f t="shared" si="156"/>
        <v>7.0000000000000001E-3</v>
      </c>
      <c r="DZ84" s="1098">
        <f t="shared" si="157"/>
        <v>6.9632499999999998E-3</v>
      </c>
      <c r="EA84" s="1098">
        <f t="shared" si="158"/>
        <v>0</v>
      </c>
      <c r="EB84" s="1121">
        <f t="shared" si="159"/>
        <v>42.663074999999999</v>
      </c>
      <c r="EC84" s="1101">
        <f t="shared" si="160"/>
        <v>3150</v>
      </c>
      <c r="ED84" s="1097">
        <f t="shared" si="161"/>
        <v>1740.8125</v>
      </c>
      <c r="EE84" s="1110">
        <f t="shared" si="162"/>
        <v>3150</v>
      </c>
      <c r="EF84" s="1092" t="s">
        <v>711</v>
      </c>
      <c r="EG84" s="1120">
        <f t="shared" si="163"/>
        <v>0.3</v>
      </c>
      <c r="EH84" s="1124"/>
      <c r="EI84" s="1093"/>
      <c r="EJ84" s="1093"/>
      <c r="EK84" s="1097">
        <f>IF($P84="","N/A",IF(P84=-1,INDEX('卡片raw data'!AS:AS,MATCH(D84,'卡片raw data'!$F:$F,)),0)+IF(AND(L84&lt;&gt;"party卡",P84&lt;=2,P84&gt;=0),INDEX('卡片raw data'!AU:AU,MATCH(D84,'卡片raw data'!$F:$F,)),0)+IF(OR(AND(L84="party卡",P84&lt;=1),AND(P84&lt;=4,L84&lt;&gt;"party卡",P84&gt;=3)),INDEX('卡片raw data'!AV:AV,MATCH(D84,'卡片raw data'!$F:$F,)),0)+IF(OR(P84=5,AND(L84="party卡",P84&gt;=2)),INDEX('卡片raw data'!AW:AW,MATCH(D84,'卡片raw data'!$F:$F,)),0))</f>
        <v>0</v>
      </c>
      <c r="EL84" s="1098">
        <f t="shared" si="164"/>
        <v>0.3</v>
      </c>
      <c r="EM84" s="1098">
        <f t="shared" si="165"/>
        <v>0.3</v>
      </c>
      <c r="EN84" s="1125">
        <f t="shared" si="166"/>
        <v>0</v>
      </c>
      <c r="EO84" s="1125">
        <f t="shared" si="167"/>
        <v>0</v>
      </c>
      <c r="EP84" s="1098">
        <f t="shared" si="168"/>
        <v>0</v>
      </c>
      <c r="EQ84" s="1121">
        <f t="shared" si="169"/>
        <v>0</v>
      </c>
      <c r="ER84" s="1101">
        <f t="shared" si="170"/>
        <v>0</v>
      </c>
      <c r="ES84" s="1097">
        <f t="shared" si="171"/>
        <v>0</v>
      </c>
      <c r="ET84" s="1122">
        <f t="shared" si="172"/>
        <v>0</v>
      </c>
    </row>
    <row r="85" spans="2:154" ht="16.5" customHeight="1">
      <c r="B85" s="1123" t="str">
        <f>INDEX('卡片raw data'!B:B,MATCH($D85,'卡片raw data'!$F:$F,))</f>
        <v>校服林</v>
      </c>
      <c r="C85" s="449" t="s">
        <v>66</v>
      </c>
      <c r="D85" s="408">
        <v>82</v>
      </c>
      <c r="E85" s="1090">
        <v>102041001</v>
      </c>
      <c r="F85" s="1090" t="str">
        <f>INDEX('卡片raw data'!C:C,MATCH($D85,'卡片raw data'!$F:$F,))</f>
        <v>R</v>
      </c>
      <c r="G85" s="1094" t="s">
        <v>347</v>
      </c>
      <c r="H85" s="411">
        <f>IFERROR(INDEX(绊状态确认!C:C,MATCH($G85,绊状态确认!$B:$B,)),"")</f>
        <v>204</v>
      </c>
      <c r="I85" s="450" t="str">
        <f>IFERROR(INDEX(绊状态确认!D:D,MATCH($G85,绊状态确认!$B:$B,)),"")</f>
        <v>虹</v>
      </c>
      <c r="J85" s="450" t="str">
        <f>IFERROR(INDEX(绊状态确认!E:E,MATCH($G85,绊状态确认!$B:$B,)),"")</f>
        <v>3年级</v>
      </c>
      <c r="K85" s="451" t="str">
        <f>IFERROR(INDEX(绊状态确认!F:F,MATCH($G85,绊状态确认!$B:$B,)),"")</f>
        <v>Diver Diva</v>
      </c>
      <c r="L85" s="1094" t="str">
        <f>INDEX('卡片raw data'!E:E,MATCH($D85,'卡片raw data'!$F:$F,))</f>
        <v>卡池卡</v>
      </c>
      <c r="M85" s="415">
        <v>43735</v>
      </c>
      <c r="N85" s="416">
        <v>0</v>
      </c>
      <c r="O85" s="1091" t="str">
        <f>INDEX('卡片raw data'!D:D,MATCH($D85,'卡片raw data'!$F:$F,))</f>
        <v>vo</v>
      </c>
      <c r="P85" s="417">
        <v>5</v>
      </c>
      <c r="Q85" s="1095">
        <f t="shared" si="88"/>
        <v>22044.646815033248</v>
      </c>
      <c r="R85" s="1096">
        <f t="shared" si="89"/>
        <v>0.25600000000000001</v>
      </c>
      <c r="S85" s="1097">
        <f t="shared" si="90"/>
        <v>8450.206526447575</v>
      </c>
      <c r="T85" s="1098">
        <f t="shared" si="91"/>
        <v>0.42199999999999999</v>
      </c>
      <c r="U85" s="1099">
        <f t="shared" si="92"/>
        <v>-17.713554757857143</v>
      </c>
      <c r="V85" s="1100">
        <f t="shared" si="93"/>
        <v>21315.697397447937</v>
      </c>
      <c r="W85" s="1101">
        <f t="shared" si="94"/>
        <v>3500.9970216678598</v>
      </c>
      <c r="X85" s="1096">
        <f t="shared" si="95"/>
        <v>0.04</v>
      </c>
      <c r="Y85" s="1097">
        <f t="shared" si="96"/>
        <v>575.71903265639276</v>
      </c>
      <c r="Z85" s="1102">
        <f t="shared" si="97"/>
        <v>7.2864452421428565</v>
      </c>
      <c r="AA85" s="1103">
        <f t="shared" si="98"/>
        <v>4076.7160543242526</v>
      </c>
      <c r="AB85" s="1101">
        <f t="shared" si="99"/>
        <v>3886.6576377886399</v>
      </c>
      <c r="AC85" s="1104">
        <f t="shared" si="100"/>
        <v>4.4999999999999998E-2</v>
      </c>
      <c r="AD85" s="1105">
        <f t="shared" si="101"/>
        <v>-3.8207812500000026E-3</v>
      </c>
      <c r="AE85" s="1128">
        <f t="shared" si="102"/>
        <v>-22.692028985507246</v>
      </c>
      <c r="AF85" s="1130">
        <f t="shared" si="103"/>
        <v>0</v>
      </c>
      <c r="AG85" s="420">
        <f t="shared" si="104"/>
        <v>0</v>
      </c>
      <c r="AH85" s="420">
        <f t="shared" si="105"/>
        <v>0</v>
      </c>
      <c r="AI85" s="1097">
        <f t="shared" si="106"/>
        <v>0</v>
      </c>
      <c r="AJ85" s="420">
        <f t="shared" si="107"/>
        <v>0</v>
      </c>
      <c r="AK85" s="518">
        <f t="shared" si="108"/>
        <v>0</v>
      </c>
      <c r="AL85" s="1106">
        <f>IF($P85="","N/A",(IF($P85=-1,INDEX('卡片raw data'!S:S,MATCH($D85,'卡片raw data'!$F:$F,)),0)+IF($P85=0,INDEX('卡片raw data'!V:V,MATCH($D85,'卡片raw data'!$F:$F,)),0)+IF($P85=1,INDEX('卡片raw data'!Y:Y,MATCH($D85,'卡片raw data'!$F:$F,)),0)+IF($P85=2,INDEX('卡片raw data'!AB:AB,MATCH($D85,'卡片raw data'!$F:$F,)),0)+IF($P85=3,INDEX('卡片raw data'!AE:AE,MATCH($D85,'卡片raw data'!$F:$F,)),0)+IF($P85=4,INDEX('卡片raw data'!AH:AH,MATCH($D85,'卡片raw data'!$F:$F,)),0)+IF($P85=5,INDEX('卡片raw data'!AK:AK,MATCH($D85,'卡片raw data'!$F:$F,)),0)+INDEX('卡片raw data'!S:S,MATCH($D85,'卡片raw data'!$F:$F,))*(IF($F85="UR",0.04,0.033))*(IF($F85="UR",INDEX(绊状态确认!$S:$S,MATCH($G85,绊状态确认!$B:$B,))/2-40)+IF($F85="SR",INDEX(绊状态确认!$R:$R,MATCH($G85,绊状态确认!$B:$B,))/4-15))+IF($F85="R",INDEX(绊状态确认!$Q:$Q,MATCH($G85,绊状态确认!$B:$B,))/6-40/6)))*(INDEX(绊状态确认!$H:$H,MATCH($G85,绊状态确认!$B:$B,))+INDEX(绊状态确认!J:J,MATCH($G85,绊状态确认!$B:$B,)))</f>
        <v>3601.2515999999996</v>
      </c>
      <c r="AM85" s="1106">
        <f>IF($P85="","N/A",(IF($P85=-1,INDEX('卡片raw data'!T:T,MATCH($D85,'卡片raw data'!$F:$F,)),0)+IF($P85=0,INDEX('卡片raw data'!W:W,MATCH($D85,'卡片raw data'!$F:$F,)),0)+IF($P85=1,INDEX('卡片raw data'!Z:Z,MATCH($D85,'卡片raw data'!$F:$F,)),0)+IF($P85=2,INDEX('卡片raw data'!AC:AC,MATCH($D85,'卡片raw data'!$F:$F,)),0)+IF($P85=3,INDEX('卡片raw data'!AF:AF,MATCH($D85,'卡片raw data'!$F:$F,)),0)+IF($P85=4,INDEX('卡片raw data'!AI:AI,MATCH($D85,'卡片raw data'!$F:$F,)),0)+IF($P85=5,INDEX('卡片raw data'!AL:AL,MATCH($D85,'卡片raw data'!$F:$F,)),0)+INDEX('卡片raw data'!T:T,MATCH($D85,'卡片raw data'!$F:$F,))*(IF($F85="UR",0.04,0.033))*(IF($F85="UR",INDEX(绊状态确认!$S:$S,MATCH($G85,绊状态确认!$B:$B,))/2-40)+IF($F85="SR",INDEX(绊状态确认!$R:$R,MATCH($G85,绊状态确认!$B:$B,))/4-15))+IF($F85="R",INDEX(绊状态确认!$Q:$Q,MATCH($G85,绊状态确认!$B:$B,))/6-40/6)))*(INDEX(绊状态确认!$H:$H,MATCH($G85,绊状态确认!$B:$B,))+INDEX(绊状态确认!K:K,MATCH($G85,绊状态确认!$B:$B,)))</f>
        <v>3001.2323999999994</v>
      </c>
      <c r="AN85" s="1106">
        <f>IF($P85="","N/A",(IF($P85=-1,INDEX('卡片raw data'!U:U,MATCH($D85,'卡片raw data'!$F:$F,)),0)+IF($P85=0,INDEX('卡片raw data'!X:X,MATCH($D85,'卡片raw data'!$F:$F,)),0)+IF($P85=1,INDEX('卡片raw data'!AA:AA,MATCH($D85,'卡片raw data'!$F:$F,)),0)+IF($P85=2,INDEX('卡片raw data'!AD:AD,MATCH($D85,'卡片raw data'!$F:$F,)),0)+IF($P85=3,INDEX('卡片raw data'!AG:AG,MATCH($D85,'卡片raw data'!$F:$F,)),0)+IF($P85=4,INDEX('卡片raw data'!AJ:AJ,MATCH($D85,'卡片raw data'!$F:$F,)),0)+IF($P85=5,INDEX('卡片raw data'!AM:AM,MATCH($D85,'卡片raw data'!$F:$F,)),0)+INDEX('卡片raw data'!U:U,MATCH($D85,'卡片raw data'!$F:$F,))*(IF($F85="UR",0.04,0.033))*(IF($F85="UR",INDEX(绊状态确认!$S:$S,MATCH($G85,绊状态确认!$B:$B,))/2-40)+IF($F85="SR",INDEX(绊状态确认!$R:$R,MATCH($G85,绊状态确认!$B:$B,))/4-15))+IF($F85="R",INDEX(绊状态确认!$Q:$Q,MATCH($G85,绊状态确认!$B:$B,))/6-40/6)))*(INDEX(绊状态确认!$H:$H,MATCH($G85,绊状态确认!$B:$B,))+INDEX(绊状态确认!L:L,MATCH($G85,绊状态确认!$B:$B,)))</f>
        <v>5401.3091999999997</v>
      </c>
      <c r="AO85" s="1107">
        <f t="shared" si="109"/>
        <v>1</v>
      </c>
      <c r="AP85" s="1131">
        <f>1+(INDEX(绊状态确认!$T:$T,MATCH($G85,绊状态确认!$B:$B,))+0.2)*$AO85</f>
        <v>1.3</v>
      </c>
      <c r="AQ85" s="1108">
        <f t="shared" si="110"/>
        <v>12703.285449999999</v>
      </c>
      <c r="AR85" s="1097">
        <f>(AM85*(1+$EX$9)+$EX$35)*(1+(INDEX(绊状态确认!$T:$T,MATCH($G85,绊状态确认!$B:$B,))+0.2)*AO85)*IF(J85=$FF$17,1+$FE$17,1)*IF(I85=$FF$14,1+$FE$14,1)</f>
        <v>6800.682225999999</v>
      </c>
      <c r="AS85" s="1097">
        <f>(AN85*(1+$EX$10)+$EX$36)*(1+(INDEX(绊状态确认!$T:$T,MATCH($G85,绊状态确认!$B:$B,))+0.2)*AO85)*IF(J85=$FF$17,1+$FE$17,1)*IF(I85=$FF$14,1+$FE$14,1)</f>
        <v>12130.957253999999</v>
      </c>
      <c r="AT85" s="1093">
        <f>IF(AND(INDEX('卡片raw data'!AK:AK,MATCH($D85,'卡片raw data'!$F:$F,))&lt;INDEX('卡片raw data'!AM:AM,MATCH($D85,'卡片raw data'!$F:$F,)),INDEX('卡片raw data'!AL:AL,MATCH($D85,'卡片raw data'!$F:$F,))&lt;INDEX('卡片raw data'!AM:AM,MATCH($D85,'卡片raw data'!$F:$F,))),1,0)</f>
        <v>1</v>
      </c>
      <c r="AU85" s="1098">
        <f>MIN(AT85*0.15+AS85*0.00003+INDEX(绊状态确认!M:M,MATCH($G85,绊状态确认!$B:$B,)),1)</f>
        <v>0.54392871761999995</v>
      </c>
      <c r="AV85" s="1109">
        <f>(INDEX(绊状态确认!$N:$N,MATCH($G85,绊状态确认!$B:$B,))+1.5)*$EW$21</f>
        <v>2.6599999999999997</v>
      </c>
      <c r="AW85" s="1101">
        <f t="shared" si="111"/>
        <v>12554.352916166901</v>
      </c>
      <c r="AX85" s="1097">
        <f t="shared" si="112"/>
        <v>575.71903265639287</v>
      </c>
      <c r="AY85" s="1110">
        <f t="shared" si="113"/>
        <v>13130.071948823293</v>
      </c>
      <c r="AZ85" s="429">
        <f t="shared" si="114"/>
        <v>9622.4406199999994</v>
      </c>
      <c r="BA85" s="431">
        <f t="shared" si="115"/>
        <v>11546.928743999999</v>
      </c>
      <c r="BB85" s="1097">
        <f>(AM85*(1+$FB$9)+$FB$35)*(1+(INDEX(绊状态确认!$T:$T,MATCH($G85,绊状态确认!$B:$B,))+0.2)*AO85)*IF(J85=$FF$17,1+$FE$17,1)*IF(I85=$FF$14,1+$FE$14,1)*(1+$FE$15)</f>
        <v>6800.682225999999</v>
      </c>
      <c r="BC85" s="1097">
        <f>(AN85*(1+$FB$10)+$FB$36)*(1+(INDEX(绊状态确认!$T:$T,MATCH($G85,绊状态确认!$B:$B,))+0.2)*AO85)*IF(J85=$FF$17,1+$FE$17,1)*IF(I85=$FF$14,1+$FE$14,1)*(1+$FE$15)</f>
        <v>12130.957253999999</v>
      </c>
      <c r="BD85" s="1104">
        <f>MIN(AT85*0.15+BC85*0.00003+INDEX(绊状态确认!M:M,MATCH($G85,绊状态确认!$B:$B,)),1)</f>
        <v>0.54392871761999995</v>
      </c>
      <c r="BE85" s="432">
        <f>(INDEX(绊状态确认!$N:$N,MATCH($G85,绊状态确认!$B:$B,))+1.5)</f>
        <v>1.9</v>
      </c>
      <c r="BF85" s="1139">
        <f t="array" ref="BF85">SUMPRODUCT(IF(AZ85*AP85*$FI$16:$FI$23*$FA$22&gt;=$FI$24,$FI$24,AZ85*AP85*$FI$16:$FI$23*$FA$22),$FJ$16:$FJ$23)</f>
        <v>19139.034393180002</v>
      </c>
      <c r="BG85" s="1125">
        <f t="array" ref="BG85">SUMPRODUCT(IF(BE85*AZ85*AP85*$FI$16:$FI$23*$FA$22&gt;=$FI$24,$FI$24,BE85*AZ85*AP85*$FI$16:$FI$23*$FA$22),$FJ$16:$FJ$23)</f>
        <v>36364.165347041999</v>
      </c>
      <c r="BH85" s="1110">
        <f t="shared" si="116"/>
        <v>9502.7592612502413</v>
      </c>
      <c r="BI85" s="1111">
        <f>IF(O85="vo",$EW$26/$EW$24*0.05,0)+IF(O85="sk",-$EW$26/$EW$24*(0.05-INDEX(绊状态确认!W:W,MATCH($G85,绊状态确认!$B:$B,)))+0.05*$EW$28,0)+IF(O85="sp",0.05*$EW$32*$EW$30*(1-$EW$33)-(0.05-INDEX(绊状态确认!V:V,MATCH($G85,绊状态确认!$B:$B,)))*$EW$28,0)+IF(O85="gd",-(0.05-INDEX(绊状态确认!X:X,MATCH($G85,绊状态确认!$B:$B,)))*$EW$32*$EW$30*(1-$EW$33),0)</f>
        <v>7726.3029277443748</v>
      </c>
      <c r="BJ85" s="1097">
        <f>IF(O85="vo",0.05*(1-$FI$26)*$FA$24,0)+IF(O85="sk",-(0.05-INDEX(绊状态确认!W:W,MATCH($G85,绊状态确认!$B:$B,)))*(1-$FI$26)*$FA$24+0.05*$FA$26,0)+IF(O85="sp",0.05*$FA$32*$FA$27*(1-$FA$33)/$FA$30+0.05*$FA$29/$FA$69*$FA$27*(1-$FA$33)-(0.05-INDEX(绊状态确认!V:V,MATCH($G85,绊状态确认!$B:$B,)))*$FA$26,0)+IF(O85="gd",-(0.05-INDEX(绊状态确认!X:X,MATCH($G85,绊状态确认!$B:$B,)))*$FA$32*$FA$27*(1-$FA$33)/$FA$30-(0.05-INDEX(绊状态确认!X:X,MATCH($G85,绊状态确认!$B:$B,)))*$FA$29/$FA$69*$FA$27*(1-$FA$33),0)</f>
        <v>393.93433687500004</v>
      </c>
      <c r="BK85" s="1110">
        <f>IF(O85="vo",$EW$26/$EW$24*0.05+$EW$26*(-HP($EW$62,$EW$65,$EW$64)+HP($EW$62,$EW$65,(1.05-INDEX(绊状态确认!U:U,MATCH($G85,绊状态确认!$B:$B,)))*$EW$64)),0)+IF(O85="sk",-$EW$26/$EW$24*(0.05-INDEX(绊状态确认!W:W,MATCH($G85,绊状态确认!$B:$B,)))+0.05*$EW$29,0)+IF(O85="sp",0.05*$EW$32*$EW$30*(1-$EW$33)-(0.05-INDEX(绊状态确认!V:V,MATCH($G85,绊状态确认!$B:$B,)))*$EW$29,0)+IF(O85="gd",-(0.05-INDEX(绊状态确认!X:X,MATCH($G85,绊状态确认!$B:$B,)))*$EW$32*$EW$30*(1-$EW$33)+$EW$26*(-HP($EW$62,$EW$65,$EW$64)+HP($EW$62,$EW$65,0.95*$EW$64)),0)</f>
        <v>6421.6344775026746</v>
      </c>
      <c r="BL85" s="1111">
        <f t="shared" si="117"/>
        <v>-2166.6666666666665</v>
      </c>
      <c r="BM85" s="1110">
        <f t="shared" si="118"/>
        <v>-1661.1111111111109</v>
      </c>
      <c r="BN85" s="1113">
        <f t="shared" si="119"/>
        <v>2</v>
      </c>
      <c r="BO85" s="1097">
        <f t="shared" si="120"/>
        <v>3005.1476580839999</v>
      </c>
      <c r="BP85" s="1100">
        <f t="shared" si="121"/>
        <v>147.56068806020068</v>
      </c>
      <c r="BQ85" s="1113" t="s">
        <v>623</v>
      </c>
      <c r="BR85" s="1124" t="s">
        <v>557</v>
      </c>
      <c r="BS85" s="1098">
        <f>IF($P85="","N/A",IF($P85=-1,INDEX('卡片raw data'!AX:AX,MATCH($D85,'卡片raw data'!$F:$F,)),0)+IF($L85="party卡",IF($P85=5,INDEX('卡片raw data'!BD:BD,MATCH($D85,'卡片raw data'!$F:$F,)),IF($P85&gt;=3,INDEX('卡片raw data'!BC:BC,MATCH($D85,'卡片raw data'!$F:$F,)),INDEX('卡片raw data'!BB:BB,MATCH($D85,'卡片raw data'!$F:$F,)))),IF(OR(AND($F85="UR",$P85=0),AND($F85="SR",$P85&gt;=0,$P85&lt;=2),AND($F85="R",$P85&gt;=0,$P85&lt;4)),INDEX('卡片raw data'!AZ:AZ,MATCH($D85,'卡片raw data'!$F:$F,)),0)+IF(OR(AND($F85="UR",$P85&gt;=1,$P85&lt;=4),AND($F85="SR",$P85&lt;=4,$P85&gt;=3),AND($F85="R",$P85=4)),INDEX('卡片raw data'!BA:BA,MATCH($D85,'卡片raw data'!$F:$F,)),0)+IF($P85=5,INDEX('卡片raw data'!BB:BB,MATCH($D85,'卡片raw data'!$F:$F,)),0)))</f>
        <v>2.1999999999999999E-2</v>
      </c>
      <c r="BT85" s="1101">
        <f t="shared" si="122"/>
        <v>881.50997970464005</v>
      </c>
      <c r="BU85" s="1097">
        <f t="shared" si="123"/>
        <v>32.463351373244144</v>
      </c>
      <c r="BV85" s="1097">
        <f t="shared" si="124"/>
        <v>495.84936358386</v>
      </c>
      <c r="BW85" s="1112">
        <f t="shared" si="125"/>
        <v>0</v>
      </c>
      <c r="BX85" s="1100">
        <f t="shared" si="126"/>
        <v>881.50997970464005</v>
      </c>
      <c r="BY85" s="1110">
        <f t="shared" si="127"/>
        <v>495.84936358386</v>
      </c>
      <c r="BZ85" s="1107" t="s">
        <v>569</v>
      </c>
      <c r="CA85" s="1124"/>
      <c r="CB85" s="1098">
        <f>IF($P85="","N/A",IF($P85=-1,INDEX('卡片raw data'!BE:BE,MATCH($D85,'卡片raw data'!$F:$F,)),0)+IF($L85="party卡",IF($P85=5,INDEX('卡片raw data'!BK:BK,MATCH($D85,'卡片raw data'!$F:$F,)),IF($P85&gt;=3,INDEX('卡片raw data'!BJ:BJ,MATCH($D85,'卡片raw data'!$F:$F,)),INDEX('卡片raw data'!BI:BI,MATCH($D85,'卡片raw data'!$F:$F,)))),IF(OR(AND($F85="UR",$P85=0),AND($F85="SR",$P85&gt;=0,$P85&lt;=2),AND($F85="R",$P85&gt;=0,$P85&lt;4)),INDEX('卡片raw data'!BG:BG,MATCH($D85,'卡片raw data'!$F:$F,)),0)+IF(OR(AND($F85="UR",$P85&gt;=1,$P85&lt;=4),AND($F85="SR",$P85&lt;=4,$P85&gt;=3),AND($F85="R",$P85=4)),INDEX('卡片raw data'!BH:BH,MATCH($D85,'卡片raw data'!$F:$F,)),0)+IF($P85=5,INDEX('卡片raw data'!BI:BI,MATCH($D85,'卡片raw data'!$F:$F,)),0)))</f>
        <v>0</v>
      </c>
      <c r="CC85" s="1101">
        <f t="shared" si="128"/>
        <v>0</v>
      </c>
      <c r="CD85" s="1097">
        <f>IF(BZ85="ap",CB85*(1-$FI$26)*$FB$5/$FB$11*(+IF(CA85="全员",$FA$24,0)+IF(CA85="同作战",$FA$24,0)+IF(CA85="仲间",$FA$24*2/3,0)+IF(CA85="同属性",$FA$24*$FA$37/3,0)+IF(CA85="同年级",$FA$24*$FA$40/3,0)+IF(CA85="同学校",$FA$24*$FA$43/3,0)+IF(CA85="同小队",$FA$24*$FA$46/3,0)+IF(CA85="同type",$FA$24*INDEX($FB$49:$FB$52,MATCH(X85,$FA$49:$FA$52,))/3,0)+IF(CA85="自身",#REF!/3,0)),0)+IF(BZ85="te",CB85*(1-$FI$27)*($FA$20-1)*$FB$7/$FB$13*(+IF(CA85="全员",$FA$19*$FA$24/(1+($FA$20-1)*$FA$19),0)+IF(CA85="同作战",$FA$19*$FA$24/(1+($FA$20-1)*$FA$19),0)+IF(CA85="仲间",$FA$19*$FA$24*2/3/(1+($FA$20-1)*$FA$19),0)+IF(CA85="同属性",$FA$19*$FA$24*$FA$37/3/(1+($FA$20-1)*$FA$19),0)+IF(CA85="同年级",$FA$19*$FA$24*$FA$40/3/(1+($FA$20-1)*$FA$19),0)+IF(CA85="同学校",$FA$19*$FA$24*$FA$43/3/(1+($FA$20-1)*$FA$19),0)+IF(CA85="同小队",$FA$19*$FA$24*$FA$46/3/(1+($FA$20-1)*$FA$19),0)+IF(CA85="同type",$FA$19*$FA$24*INDEX($FB$49:$FB$52,MATCH(X85,$FA$49:$FA$52,))/3/(1+($FA$20-1)*$FA$19),0)+IF(CA85="自身",$FA$19*#REF!/3/(1+(BH85-1)*$BD85),0)),0)</f>
        <v>0</v>
      </c>
      <c r="CE85" s="1097">
        <f t="shared" si="129"/>
        <v>0</v>
      </c>
      <c r="CF85" s="1112">
        <f t="shared" si="130"/>
        <v>0</v>
      </c>
      <c r="CG85" s="1100">
        <f t="shared" si="131"/>
        <v>0</v>
      </c>
      <c r="CH85" s="1110">
        <f t="shared" si="132"/>
        <v>0</v>
      </c>
      <c r="CI85" s="1113"/>
      <c r="CJ85" s="1114"/>
      <c r="CK85" s="1115" t="s">
        <v>569</v>
      </c>
      <c r="CL85" s="1115"/>
      <c r="CM85" s="1119"/>
      <c r="CN85" s="1115"/>
      <c r="CO85" s="1092"/>
      <c r="CP85" s="1117">
        <f t="shared" si="133"/>
        <v>0</v>
      </c>
      <c r="CQ85" s="1117">
        <f t="shared" si="134"/>
        <v>0</v>
      </c>
      <c r="CR85" s="1117">
        <f t="shared" si="135"/>
        <v>0</v>
      </c>
      <c r="CS85" s="1118">
        <f t="shared" si="136"/>
        <v>0</v>
      </c>
      <c r="CT85" s="1109">
        <f t="shared" si="137"/>
        <v>0</v>
      </c>
      <c r="CU85" s="1101">
        <f t="shared" si="138"/>
        <v>0</v>
      </c>
      <c r="CV85" s="1108">
        <f t="shared" si="139"/>
        <v>0</v>
      </c>
      <c r="CW85" s="1097">
        <f t="shared" si="140"/>
        <v>0</v>
      </c>
      <c r="CX85" s="1097">
        <f t="shared" si="141"/>
        <v>0</v>
      </c>
      <c r="CY85" s="1110">
        <f t="shared" si="142"/>
        <v>0</v>
      </c>
      <c r="CZ85" s="437"/>
      <c r="DA85" s="438"/>
      <c r="DB85" s="439" t="s">
        <v>569</v>
      </c>
      <c r="DC85" s="439"/>
      <c r="DD85" s="443"/>
      <c r="DE85" s="411"/>
      <c r="DF85" s="411"/>
      <c r="DG85" s="1116">
        <f t="shared" si="143"/>
        <v>0</v>
      </c>
      <c r="DH85" s="1116">
        <f t="shared" si="144"/>
        <v>0</v>
      </c>
      <c r="DI85" s="1116">
        <f t="shared" si="145"/>
        <v>0</v>
      </c>
      <c r="DJ85" s="442">
        <f t="shared" si="146"/>
        <v>0</v>
      </c>
      <c r="DK85" s="1109">
        <f t="shared" si="147"/>
        <v>0</v>
      </c>
      <c r="DL85" s="1101">
        <f t="shared" si="148"/>
        <v>0</v>
      </c>
      <c r="DM85" s="1097">
        <f t="shared" si="149"/>
        <v>0</v>
      </c>
      <c r="DN85" s="1097">
        <f t="shared" si="150"/>
        <v>0</v>
      </c>
      <c r="DO85" s="1097">
        <f t="shared" si="151"/>
        <v>0</v>
      </c>
      <c r="DP85" s="1110">
        <f t="shared" si="152"/>
        <v>0</v>
      </c>
      <c r="DQ85" s="1113" t="s">
        <v>545</v>
      </c>
      <c r="DR85" s="1120">
        <f t="shared" si="153"/>
        <v>0.3</v>
      </c>
      <c r="DS85" s="1124"/>
      <c r="DT85" s="1093" t="s">
        <v>546</v>
      </c>
      <c r="DU85" s="1093"/>
      <c r="DV85" s="1097">
        <f>IF($P85="","N/A",IF(P85=-1,INDEX('卡片raw data'!AN:AN,MATCH(D85,'卡片raw data'!$F:$F,)),0)+IF(AND(L85&lt;&gt;"party卡",P85&lt;=2,P85&gt;=0),INDEX('卡片raw data'!AP:AP,MATCH(D85,'卡片raw data'!$F:$F,)),0)+IF(OR(AND(L85="party卡",P85&lt;=1),AND(P85&lt;=4,L85&lt;&gt;"party卡",P85&gt;=3)),INDEX('卡片raw data'!AQ:AQ,MATCH(D85,'卡片raw data'!$F:$F,)),0)+IF(OR(P85=5,AND(L85="party卡",P85&gt;=2)),INDEX('卡片raw data'!AR:AR,MATCH(D85,'卡片raw data'!$F:$F,)),0))</f>
        <v>400</v>
      </c>
      <c r="DW85" s="1098">
        <f t="shared" si="154"/>
        <v>0.3</v>
      </c>
      <c r="DX85" s="1098">
        <f t="shared" si="155"/>
        <v>0.3</v>
      </c>
      <c r="DY85" s="1125">
        <f t="shared" si="156"/>
        <v>40</v>
      </c>
      <c r="DZ85" s="1125">
        <f t="shared" si="157"/>
        <v>34.6</v>
      </c>
      <c r="EA85" s="1098">
        <f t="shared" si="158"/>
        <v>0</v>
      </c>
      <c r="EB85" s="1121">
        <f t="shared" si="159"/>
        <v>0</v>
      </c>
      <c r="EC85" s="1101">
        <f t="shared" si="160"/>
        <v>44</v>
      </c>
      <c r="ED85" s="1097">
        <f t="shared" si="161"/>
        <v>34.6</v>
      </c>
      <c r="EE85" s="1110">
        <f t="shared" si="162"/>
        <v>44</v>
      </c>
      <c r="EF85" s="1092" t="s">
        <v>711</v>
      </c>
      <c r="EG85" s="1120">
        <f t="shared" si="163"/>
        <v>0.3</v>
      </c>
      <c r="EH85" s="1124"/>
      <c r="EI85" s="1093"/>
      <c r="EJ85" s="1093"/>
      <c r="EK85" s="1097">
        <f>IF($P85="","N/A",IF(P85=-1,INDEX('卡片raw data'!AS:AS,MATCH(D85,'卡片raw data'!$F:$F,)),0)+IF(AND(L85&lt;&gt;"party卡",P85&lt;=2,P85&gt;=0),INDEX('卡片raw data'!AU:AU,MATCH(D85,'卡片raw data'!$F:$F,)),0)+IF(OR(AND(L85="party卡",P85&lt;=1),AND(P85&lt;=4,L85&lt;&gt;"party卡",P85&gt;=3)),INDEX('卡片raw data'!AV:AV,MATCH(D85,'卡片raw data'!$F:$F,)),0)+IF(OR(P85=5,AND(L85="party卡",P85&gt;=2)),INDEX('卡片raw data'!AW:AW,MATCH(D85,'卡片raw data'!$F:$F,)),0))</f>
        <v>0</v>
      </c>
      <c r="EL85" s="1098">
        <f t="shared" si="164"/>
        <v>0.3</v>
      </c>
      <c r="EM85" s="1098">
        <f t="shared" si="165"/>
        <v>0.3</v>
      </c>
      <c r="EN85" s="1125">
        <f t="shared" si="166"/>
        <v>0</v>
      </c>
      <c r="EO85" s="1125">
        <f t="shared" si="167"/>
        <v>0</v>
      </c>
      <c r="EP85" s="1098">
        <f t="shared" si="168"/>
        <v>0</v>
      </c>
      <c r="EQ85" s="1121">
        <f t="shared" si="169"/>
        <v>0</v>
      </c>
      <c r="ER85" s="1101">
        <f t="shared" si="170"/>
        <v>0</v>
      </c>
      <c r="ES85" s="1097">
        <f t="shared" si="171"/>
        <v>0</v>
      </c>
      <c r="ET85" s="1122">
        <f t="shared" si="172"/>
        <v>0</v>
      </c>
    </row>
    <row r="86" spans="2:154" ht="16.5" customHeight="1">
      <c r="B86" s="1123" t="str">
        <f>INDEX('卡片raw data'!B:B,MATCH($D86,'卡片raw data'!$F:$F,))</f>
        <v>练习林</v>
      </c>
      <c r="C86" s="449" t="s">
        <v>22</v>
      </c>
      <c r="D86" s="408">
        <v>83</v>
      </c>
      <c r="E86" s="1090">
        <v>102041002</v>
      </c>
      <c r="F86" s="1090" t="str">
        <f>INDEX('卡片raw data'!C:C,MATCH($D86,'卡片raw data'!$F:$F,))</f>
        <v>R</v>
      </c>
      <c r="G86" s="1094" t="s">
        <v>347</v>
      </c>
      <c r="H86" s="411">
        <f>IFERROR(INDEX(绊状态确认!C:C,MATCH($G86,绊状态确认!$B:$B,)),"")</f>
        <v>204</v>
      </c>
      <c r="I86" s="450" t="str">
        <f>IFERROR(INDEX(绊状态确认!D:D,MATCH($G86,绊状态确认!$B:$B,)),"")</f>
        <v>虹</v>
      </c>
      <c r="J86" s="450" t="str">
        <f>IFERROR(INDEX(绊状态确认!E:E,MATCH($G86,绊状态确认!$B:$B,)),"")</f>
        <v>3年级</v>
      </c>
      <c r="K86" s="451" t="str">
        <f>IFERROR(INDEX(绊状态确认!F:F,MATCH($G86,绊状态确认!$B:$B,)),"")</f>
        <v>Diver Diva</v>
      </c>
      <c r="L86" s="1094" t="str">
        <f>INDEX('卡片raw data'!E:E,MATCH($D86,'卡片raw data'!$F:$F,))</f>
        <v>卡池卡</v>
      </c>
      <c r="M86" s="415">
        <v>43735</v>
      </c>
      <c r="N86" s="416">
        <v>0</v>
      </c>
      <c r="O86" s="1091" t="str">
        <f>INDEX('卡片raw data'!D:D,MATCH($D86,'卡片raw data'!$F:$F,))</f>
        <v>sp</v>
      </c>
      <c r="P86" s="417">
        <v>5</v>
      </c>
      <c r="Q86" s="1095">
        <f t="shared" si="88"/>
        <v>14561.734103536701</v>
      </c>
      <c r="R86" s="1096">
        <f t="shared" si="89"/>
        <v>0.16900000000000001</v>
      </c>
      <c r="S86" s="1097">
        <f t="shared" si="90"/>
        <v>9128.9274099505928</v>
      </c>
      <c r="T86" s="1098">
        <f t="shared" si="91"/>
        <v>0.45600000000000002</v>
      </c>
      <c r="U86" s="1099">
        <f t="shared" si="92"/>
        <v>10.936164302142856</v>
      </c>
      <c r="V86" s="1100">
        <f t="shared" si="93"/>
        <v>13632.274378401728</v>
      </c>
      <c r="W86" s="1101">
        <f t="shared" si="94"/>
        <v>3641.8612264717735</v>
      </c>
      <c r="X86" s="1096">
        <f t="shared" si="95"/>
        <v>4.2000000000000003E-2</v>
      </c>
      <c r="Y86" s="1097">
        <f t="shared" si="96"/>
        <v>870.54027486502719</v>
      </c>
      <c r="Z86" s="1102">
        <f t="shared" si="97"/>
        <v>10.936164302142856</v>
      </c>
      <c r="AA86" s="1103">
        <f t="shared" si="98"/>
        <v>4512.4015013368007</v>
      </c>
      <c r="AB86" s="1101">
        <f t="shared" si="99"/>
        <v>4066.3369387302896</v>
      </c>
      <c r="AC86" s="1104">
        <f t="shared" si="100"/>
        <v>4.7E-2</v>
      </c>
      <c r="AD86" s="1105">
        <f t="shared" si="101"/>
        <v>-1.9908281250000003E-2</v>
      </c>
      <c r="AE86" s="1128">
        <f t="shared" si="102"/>
        <v>8.5476340579710133</v>
      </c>
      <c r="AF86" s="1130">
        <f t="shared" si="103"/>
        <v>0</v>
      </c>
      <c r="AG86" s="420">
        <f t="shared" si="104"/>
        <v>0</v>
      </c>
      <c r="AH86" s="420">
        <f t="shared" si="105"/>
        <v>0</v>
      </c>
      <c r="AI86" s="1097">
        <f t="shared" si="106"/>
        <v>0</v>
      </c>
      <c r="AJ86" s="420">
        <f t="shared" si="107"/>
        <v>0</v>
      </c>
      <c r="AK86" s="518">
        <f t="shared" si="108"/>
        <v>0</v>
      </c>
      <c r="AL86" s="1106">
        <f>IF($P86="","N/A",(IF($P86=-1,INDEX('卡片raw data'!S:S,MATCH($D86,'卡片raw data'!$F:$F,)),0)+IF($P86=0,INDEX('卡片raw data'!V:V,MATCH($D86,'卡片raw data'!$F:$F,)),0)+IF($P86=1,INDEX('卡片raw data'!Y:Y,MATCH($D86,'卡片raw data'!$F:$F,)),0)+IF($P86=2,INDEX('卡片raw data'!AB:AB,MATCH($D86,'卡片raw data'!$F:$F,)),0)+IF($P86=3,INDEX('卡片raw data'!AE:AE,MATCH($D86,'卡片raw data'!$F:$F,)),0)+IF($P86=4,INDEX('卡片raw data'!AH:AH,MATCH($D86,'卡片raw data'!$F:$F,)),0)+IF($P86=5,INDEX('卡片raw data'!AK:AK,MATCH($D86,'卡片raw data'!$F:$F,)),0)+INDEX('卡片raw data'!S:S,MATCH($D86,'卡片raw data'!$F:$F,))*(IF($F86="UR",0.04,0.033))*(IF($F86="UR",INDEX(绊状态确认!$S:$S,MATCH($G86,绊状态确认!$B:$B,))/2-40)+IF($F86="SR",INDEX(绊状态确认!$R:$R,MATCH($G86,绊状态确认!$B:$B,))/4-15))+IF($F86="R",INDEX(绊状态确认!$Q:$Q,MATCH($G86,绊状态确认!$B:$B,))/6-40/6)))*(INDEX(绊状态确认!$H:$H,MATCH($G86,绊状态确认!$B:$B,))+INDEX(绊状态确认!J:J,MATCH($G86,绊状态确认!$B:$B,)))</f>
        <v>4122.8591999999999</v>
      </c>
      <c r="AM86" s="1106">
        <f>IF($P86="","N/A",(IF($P86=-1,INDEX('卡片raw data'!T:T,MATCH($D86,'卡片raw data'!$F:$F,)),0)+IF($P86=0,INDEX('卡片raw data'!W:W,MATCH($D86,'卡片raw data'!$F:$F,)),0)+IF($P86=1,INDEX('卡片raw data'!Z:Z,MATCH($D86,'卡片raw data'!$F:$F,)),0)+IF($P86=2,INDEX('卡片raw data'!AC:AC,MATCH($D86,'卡片raw data'!$F:$F,)),0)+IF($P86=3,INDEX('卡片raw data'!AF:AF,MATCH($D86,'卡片raw data'!$F:$F,)),0)+IF($P86=4,INDEX('卡片raw data'!AI:AI,MATCH($D86,'卡片raw data'!$F:$F,)),0)+IF($P86=5,INDEX('卡片raw data'!AL:AL,MATCH($D86,'卡片raw data'!$F:$F,)),0)+INDEX('卡片raw data'!T:T,MATCH($D86,'卡片raw data'!$F:$F,))*(IF($F86="UR",0.04,0.033))*(IF($F86="UR",INDEX(绊状态确认!$S:$S,MATCH($G86,绊状态确认!$B:$B,))/2-40)+IF($F86="SR",INDEX(绊状态确认!$R:$R,MATCH($G86,绊状态确认!$B:$B,))/4-15))+IF($F86="R",INDEX(绊状态确认!$Q:$Q,MATCH($G86,绊状态确认!$B:$B,))/6-40/6)))*(INDEX(绊状态确认!$H:$H,MATCH($G86,绊状态确认!$B:$B,))+INDEX(绊状态确认!K:K,MATCH($G86,绊状态确认!$B:$B,)))</f>
        <v>5496.7667999999994</v>
      </c>
      <c r="AN86" s="1106">
        <f>IF($P86="","N/A",(IF($P86=-1,INDEX('卡片raw data'!U:U,MATCH($D86,'卡片raw data'!$F:$F,)),0)+IF($P86=0,INDEX('卡片raw data'!X:X,MATCH($D86,'卡片raw data'!$F:$F,)),0)+IF($P86=1,INDEX('卡片raw data'!AA:AA,MATCH($D86,'卡片raw data'!$F:$F,)),0)+IF($P86=2,INDEX('卡片raw data'!AD:AD,MATCH($D86,'卡片raw data'!$F:$F,)),0)+IF($P86=3,INDEX('卡片raw data'!AG:AG,MATCH($D86,'卡片raw data'!$F:$F,)),0)+IF($P86=4,INDEX('卡片raw data'!AJ:AJ,MATCH($D86,'卡片raw data'!$F:$F,)),0)+IF($P86=5,INDEX('卡片raw data'!AM:AM,MATCH($D86,'卡片raw data'!$F:$F,)),0)+INDEX('卡片raw data'!U:U,MATCH($D86,'卡片raw data'!$F:$F,))*(IF($F86="UR",0.04,0.033))*(IF($F86="UR",INDEX(绊状态确认!$S:$S,MATCH($G86,绊状态确认!$B:$B,))/2-40)+IF($F86="SR",INDEX(绊状态确认!$R:$R,MATCH($G86,绊状态确认!$B:$B,))/4-15))+IF($F86="R",INDEX(绊状态确认!$Q:$Q,MATCH($G86,绊状态确认!$B:$B,))/6-40/6)))*(INDEX(绊状态确认!$H:$H,MATCH($G86,绊状态确认!$B:$B,))+INDEX(绊状态确认!L:L,MATCH($G86,绊状态确认!$B:$B,)))</f>
        <v>4122.8591999999999</v>
      </c>
      <c r="AO86" s="1107">
        <f t="shared" si="109"/>
        <v>1</v>
      </c>
      <c r="AP86" s="1131">
        <f>1+(INDEX(绊状态确认!$T:$T,MATCH($G86,绊状态确认!$B:$B,))+0.2)*$AO86</f>
        <v>1.3</v>
      </c>
      <c r="AQ86" s="1108">
        <f t="shared" si="110"/>
        <v>14072.5054</v>
      </c>
      <c r="AR86" s="1097">
        <f>(AM86*(1+$EX$9)+$EX$35)*(1+(INDEX(绊状态确认!$T:$T,MATCH($G86,绊状态确认!$B:$B,))+0.2)*AO86)*IF(J86=$FF$17,1+$FE$17,1)*IF(I86=$FF$14,1+$FE$14,1)</f>
        <v>10207.086681999999</v>
      </c>
      <c r="AS86" s="1097">
        <f>(AN86*(1+$EX$10)+$EX$36)*(1+(INDEX(绊状态确认!$T:$T,MATCH($G86,绊状态确认!$B:$B,))+0.2)*AO86)*IF(J86=$FF$17,1+$FE$17,1)*IF(I86=$FF$14,1+$FE$14,1)</f>
        <v>10219.674503999999</v>
      </c>
      <c r="AT86" s="1093">
        <f>IF(AND(INDEX('卡片raw data'!AK:AK,MATCH($D86,'卡片raw data'!$F:$F,))&lt;INDEX('卡片raw data'!AM:AM,MATCH($D86,'卡片raw data'!$F:$F,)),INDEX('卡片raw data'!AL:AL,MATCH($D86,'卡片raw data'!$F:$F,))&lt;INDEX('卡片raw data'!AM:AM,MATCH($D86,'卡片raw data'!$F:$F,))),1,0)</f>
        <v>0</v>
      </c>
      <c r="AU86" s="1098">
        <f>MIN(AT86*0.15+AS86*0.00003+INDEX(绊状态确认!M:M,MATCH($G86,绊状态确认!$B:$B,)),1)</f>
        <v>0.33659023511999997</v>
      </c>
      <c r="AV86" s="1109">
        <f>(INDEX(绊状态确认!$N:$N,MATCH($G86,绊状态确认!$B:$B,))+1.5)*$EW$21</f>
        <v>2.6599999999999997</v>
      </c>
      <c r="AW86" s="1101">
        <f t="shared" si="111"/>
        <v>11392.063831473077</v>
      </c>
      <c r="AX86" s="1097">
        <f t="shared" si="112"/>
        <v>870.54027486502696</v>
      </c>
      <c r="AY86" s="1110">
        <f t="shared" si="113"/>
        <v>12262.604106338104</v>
      </c>
      <c r="AZ86" s="429">
        <f t="shared" si="114"/>
        <v>10639.575440000001</v>
      </c>
      <c r="BA86" s="431">
        <f t="shared" si="115"/>
        <v>12767.490528</v>
      </c>
      <c r="BB86" s="1097">
        <f>(AM86*(1+$FB$9)+$FB$35)*(1+(INDEX(绊状态确认!$T:$T,MATCH($G86,绊状态确认!$B:$B,))+0.2)*AO86)*IF(J86=$FF$17,1+$FE$17,1)*IF(I86=$FF$14,1+$FE$14,1)*(1+$FE$15)</f>
        <v>10207.086681999999</v>
      </c>
      <c r="BC86" s="1097">
        <f>(AN86*(1+$FB$10)+$FB$36)*(1+(INDEX(绊状态确认!$T:$T,MATCH($G86,绊状态确认!$B:$B,))+0.2)*AO86)*IF(J86=$FF$17,1+$FE$17,1)*IF(I86=$FF$14,1+$FE$14,1)*(1+$FE$15)</f>
        <v>10219.674503999999</v>
      </c>
      <c r="BD86" s="1104">
        <f>MIN(AT86*0.15+BC86*0.00003+INDEX(绊状态确认!M:M,MATCH($G86,绊状态确认!$B:$B,)),1)</f>
        <v>0.33659023511999997</v>
      </c>
      <c r="BE86" s="432">
        <f>(INDEX(绊状态确认!$N:$N,MATCH($G86,绊状态确认!$B:$B,))+1.5)</f>
        <v>1.9</v>
      </c>
      <c r="BF86" s="1139">
        <f t="array" ref="BF86">SUMPRODUCT(IF(AZ86*AP86*$FI$16:$FI$23*$FA$22&gt;=$FI$24,$FI$24,AZ86*AP86*$FI$16:$FI$23*$FA$22),$FJ$16:$FJ$23)</f>
        <v>21162.115550160001</v>
      </c>
      <c r="BG86" s="1125">
        <f t="array" ref="BG86">SUMPRODUCT(IF(BE86*AZ86*AP86*$FI$16:$FI$23*$FA$22&gt;=$FI$24,$FI$24,BE86*AZ86*AP86*$FI$16:$FI$23*$FA$22),$FJ$16:$FJ$23)</f>
        <v>40208.019545304</v>
      </c>
      <c r="BH86" s="1110">
        <f t="shared" si="116"/>
        <v>9190.9269513194886</v>
      </c>
      <c r="BI86" s="1111">
        <f>IF(O86="vo",$EW$26/$EW$24*0.05,0)+IF(O86="sk",-$EW$26/$EW$24*(0.05-INDEX(绊状态确认!W:W,MATCH($G86,绊状态确认!$B:$B,)))+0.05*$EW$28,0)+IF(O86="sp",0.05*$EW$32*$EW$30*(1-$EW$33)-(0.05-INDEX(绊状态确认!V:V,MATCH($G86,绊状态确认!$B:$B,)))*$EW$28,0)+IF(O86="gd",-(0.05-INDEX(绊状态确认!X:X,MATCH($G86,绊状态确认!$B:$B,)))*$EW$32*$EW$30*(1-$EW$33),0)</f>
        <v>19.999999999999886</v>
      </c>
      <c r="BJ86" s="1097">
        <f>IF(O86="vo",0.05*(1-$FI$26)*$FA$24,0)+IF(O86="sk",-(0.05-INDEX(绊状态确认!W:W,MATCH($G86,绊状态确认!$B:$B,)))*(1-$FI$26)*$FA$24+0.05*$FA$26,0)+IF(O86="sp",0.05*$FA$32*$FA$27*(1-$FA$33)/$FA$30+0.05*$FA$29/$FA$69*$FA$27*(1-$FA$33)-(0.05-INDEX(绊状态确认!V:V,MATCH($G86,绊状态确认!$B:$B,)))*$FA$26,0)+IF(O86="gd",-(0.05-INDEX(绊状态确认!X:X,MATCH($G86,绊状态确认!$B:$B,)))*$FA$32*$FA$27*(1-$FA$33)/$FA$30-(0.05-INDEX(绊状态确认!X:X,MATCH($G86,绊状态确认!$B:$B,)))*$FA$29/$FA$69*$FA$27*(1-$FA$33),0)</f>
        <v>545.83333333333326</v>
      </c>
      <c r="BK86" s="1110">
        <f>IF(O86="vo",$EW$26/$EW$24*0.05+$EW$26*(-HP($EW$62,$EW$65,$EW$64)+HP($EW$62,$EW$65,(1.05-INDEX(绊状态确认!U:U,MATCH($G86,绊状态确认!$B:$B,)))*$EW$64)),0)+IF(O86="sk",-$EW$26/$EW$24*(0.05-INDEX(绊状态确认!W:W,MATCH($G86,绊状态确认!$B:$B,)))+0.05*$EW$29,0)+IF(O86="sp",0.05*$EW$32*$EW$30*(1-$EW$33)-(0.05-INDEX(绊状态确认!V:V,MATCH($G86,绊状态确认!$B:$B,)))*$EW$29,0)+IF(O86="gd",-(0.05-INDEX(绊状态确认!X:X,MATCH($G86,绊状态确认!$B:$B,)))*$EW$32*$EW$30*(1-$EW$33)+$EW$26*(-HP($EW$62,$EW$65,$EW$64)+HP($EW$62,$EW$65,0.95*$EW$64)),0)</f>
        <v>-1780.0000000000005</v>
      </c>
      <c r="BL86" s="1111">
        <f t="shared" si="117"/>
        <v>-2166.6666666666665</v>
      </c>
      <c r="BM86" s="1110">
        <f t="shared" si="118"/>
        <v>-1661.1111111111109</v>
      </c>
      <c r="BN86" s="1113">
        <f t="shared" si="119"/>
        <v>2</v>
      </c>
      <c r="BO86" s="1097">
        <f t="shared" si="120"/>
        <v>3005.1476580839999</v>
      </c>
      <c r="BP86" s="1100">
        <f t="shared" si="121"/>
        <v>147.56068806020068</v>
      </c>
      <c r="BQ86" s="1113" t="s">
        <v>626</v>
      </c>
      <c r="BR86" s="1124" t="s">
        <v>617</v>
      </c>
      <c r="BS86" s="1098">
        <f>IF($P86="","N/A",IF($P86=-1,INDEX('卡片raw data'!AX:AX,MATCH($D86,'卡片raw data'!$F:$F,)),0)+IF($L86="party卡",IF($P86=5,INDEX('卡片raw data'!BD:BD,MATCH($D86,'卡片raw data'!$F:$F,)),IF($P86&gt;=3,INDEX('卡片raw data'!BC:BC,MATCH($D86,'卡片raw data'!$F:$F,)),INDEX('卡片raw data'!BB:BB,MATCH($D86,'卡片raw data'!$F:$F,)))),IF(OR(AND($F86="UR",$P86=0),AND($F86="SR",$P86&gt;=0,$P86&lt;=2),AND($F86="R",$P86&gt;=0,$P86&lt;4)),INDEX('卡片raw data'!AZ:AZ,MATCH($D86,'卡片raw data'!$F:$F,)),0)+IF(OR(AND($F86="UR",$P86&gt;=1,$P86&lt;=4),AND($F86="SR",$P86&lt;=4,$P86&gt;=3),AND($F86="R",$P86=4)),INDEX('卡片raw data'!BA:BA,MATCH($D86,'卡片raw data'!$F:$F,)),0)+IF($P86=5,INDEX('卡片raw data'!BB:BB,MATCH($D86,'卡片raw data'!$F:$F,)),0)))</f>
        <v>2.7E-2</v>
      </c>
      <c r="BT86" s="1101">
        <f t="shared" si="122"/>
        <v>1061.1892806462897</v>
      </c>
      <c r="BU86" s="1097">
        <f t="shared" si="123"/>
        <v>76.759215015347351</v>
      </c>
      <c r="BV86" s="1097">
        <f t="shared" si="124"/>
        <v>636.71356838777365</v>
      </c>
      <c r="BW86" s="1112">
        <f t="shared" si="125"/>
        <v>0</v>
      </c>
      <c r="BX86" s="1100">
        <f t="shared" si="126"/>
        <v>1061.1892806462897</v>
      </c>
      <c r="BY86" s="1110">
        <f t="shared" si="127"/>
        <v>636.71356838777365</v>
      </c>
      <c r="BZ86" s="1107" t="s">
        <v>569</v>
      </c>
      <c r="CA86" s="1124"/>
      <c r="CB86" s="1098">
        <f>IF($P86="","N/A",IF($P86=-1,INDEX('卡片raw data'!BE:BE,MATCH($D86,'卡片raw data'!$F:$F,)),0)+IF($L86="party卡",IF($P86=5,INDEX('卡片raw data'!BK:BK,MATCH($D86,'卡片raw data'!$F:$F,)),IF($P86&gt;=3,INDEX('卡片raw data'!BJ:BJ,MATCH($D86,'卡片raw data'!$F:$F,)),INDEX('卡片raw data'!BI:BI,MATCH($D86,'卡片raw data'!$F:$F,)))),IF(OR(AND($F86="UR",$P86=0),AND($F86="SR",$P86&gt;=0,$P86&lt;=2),AND($F86="R",$P86&gt;=0,$P86&lt;4)),INDEX('卡片raw data'!BG:BG,MATCH($D86,'卡片raw data'!$F:$F,)),0)+IF(OR(AND($F86="UR",$P86&gt;=1,$P86&lt;=4),AND($F86="SR",$P86&lt;=4,$P86&gt;=3),AND($F86="R",$P86=4)),INDEX('卡片raw data'!BH:BH,MATCH($D86,'卡片raw data'!$F:$F,)),0)+IF($P86=5,INDEX('卡片raw data'!BI:BI,MATCH($D86,'卡片raw data'!$F:$F,)),0)))</f>
        <v>0</v>
      </c>
      <c r="CC86" s="1101">
        <f t="shared" si="128"/>
        <v>0</v>
      </c>
      <c r="CD86" s="1097">
        <f>IF(BZ86="ap",CB86*(1-$FI$26)*$FB$5/$FB$11*(+IF(CA86="全员",$FA$24,0)+IF(CA86="同作战",$FA$24,0)+IF(CA86="仲间",$FA$24*2/3,0)+IF(CA86="同属性",$FA$24*$FA$37/3,0)+IF(CA86="同年级",$FA$24*$FA$40/3,0)+IF(CA86="同学校",$FA$24*$FA$43/3,0)+IF(CA86="同小队",$FA$24*$FA$46/3,0)+IF(CA86="同type",$FA$24*INDEX($FB$49:$FB$52,MATCH(X86,$FA$49:$FA$52,))/3,0)+IF(CA86="自身",#REF!/3,0)),0)+IF(BZ86="te",CB86*(1-$FI$27)*($FA$20-1)*$FB$7/$FB$13*(+IF(CA86="全员",$FA$19*$FA$24/(1+($FA$20-1)*$FA$19),0)+IF(CA86="同作战",$FA$19*$FA$24/(1+($FA$20-1)*$FA$19),0)+IF(CA86="仲间",$FA$19*$FA$24*2/3/(1+($FA$20-1)*$FA$19),0)+IF(CA86="同属性",$FA$19*$FA$24*$FA$37/3/(1+($FA$20-1)*$FA$19),0)+IF(CA86="同年级",$FA$19*$FA$24*$FA$40/3/(1+($FA$20-1)*$FA$19),0)+IF(CA86="同学校",$FA$19*$FA$24*$FA$43/3/(1+($FA$20-1)*$FA$19),0)+IF(CA86="同小队",$FA$19*$FA$24*$FA$46/3/(1+($FA$20-1)*$FA$19),0)+IF(CA86="同type",$FA$19*$FA$24*INDEX($FB$49:$FB$52,MATCH(X86,$FA$49:$FA$52,))/3/(1+($FA$20-1)*$FA$19),0)+IF(CA86="自身",$FA$19*#REF!/3/(1+(BH86-1)*$BD86),0)),0)</f>
        <v>0</v>
      </c>
      <c r="CE86" s="1097">
        <f t="shared" si="129"/>
        <v>0</v>
      </c>
      <c r="CF86" s="1112">
        <f t="shared" si="130"/>
        <v>0</v>
      </c>
      <c r="CG86" s="1100">
        <f t="shared" si="131"/>
        <v>0</v>
      </c>
      <c r="CH86" s="1110">
        <f t="shared" si="132"/>
        <v>0</v>
      </c>
      <c r="CI86" s="1113"/>
      <c r="CJ86" s="1114"/>
      <c r="CK86" s="1115" t="s">
        <v>569</v>
      </c>
      <c r="CL86" s="1115"/>
      <c r="CM86" s="1119"/>
      <c r="CN86" s="1115"/>
      <c r="CO86" s="1092"/>
      <c r="CP86" s="1117">
        <f t="shared" si="133"/>
        <v>0</v>
      </c>
      <c r="CQ86" s="1117">
        <f t="shared" si="134"/>
        <v>0</v>
      </c>
      <c r="CR86" s="1117">
        <f t="shared" si="135"/>
        <v>0</v>
      </c>
      <c r="CS86" s="1118">
        <f t="shared" si="136"/>
        <v>0</v>
      </c>
      <c r="CT86" s="1109">
        <f t="shared" si="137"/>
        <v>0</v>
      </c>
      <c r="CU86" s="1101">
        <f t="shared" si="138"/>
        <v>0</v>
      </c>
      <c r="CV86" s="1108">
        <f t="shared" si="139"/>
        <v>0</v>
      </c>
      <c r="CW86" s="1097">
        <f t="shared" si="140"/>
        <v>0</v>
      </c>
      <c r="CX86" s="1097">
        <f t="shared" si="141"/>
        <v>0</v>
      </c>
      <c r="CY86" s="1110">
        <f t="shared" si="142"/>
        <v>0</v>
      </c>
      <c r="CZ86" s="437"/>
      <c r="DA86" s="438"/>
      <c r="DB86" s="439" t="s">
        <v>569</v>
      </c>
      <c r="DC86" s="439"/>
      <c r="DD86" s="443"/>
      <c r="DE86" s="411"/>
      <c r="DF86" s="411"/>
      <c r="DG86" s="1116">
        <f t="shared" si="143"/>
        <v>0</v>
      </c>
      <c r="DH86" s="1116">
        <f t="shared" si="144"/>
        <v>0</v>
      </c>
      <c r="DI86" s="1116">
        <f t="shared" si="145"/>
        <v>0</v>
      </c>
      <c r="DJ86" s="442">
        <f t="shared" si="146"/>
        <v>0</v>
      </c>
      <c r="DK86" s="1109">
        <f t="shared" si="147"/>
        <v>0</v>
      </c>
      <c r="DL86" s="1101">
        <f t="shared" si="148"/>
        <v>0</v>
      </c>
      <c r="DM86" s="1097">
        <f t="shared" si="149"/>
        <v>0</v>
      </c>
      <c r="DN86" s="1097">
        <f t="shared" si="150"/>
        <v>0</v>
      </c>
      <c r="DO86" s="1097">
        <f t="shared" si="151"/>
        <v>0</v>
      </c>
      <c r="DP86" s="1110">
        <f t="shared" si="152"/>
        <v>0</v>
      </c>
      <c r="DQ86" s="1113" t="s">
        <v>549</v>
      </c>
      <c r="DR86" s="1120">
        <f t="shared" si="153"/>
        <v>0.3</v>
      </c>
      <c r="DS86" s="1124"/>
      <c r="DT86" s="1093" t="s">
        <v>546</v>
      </c>
      <c r="DU86" s="1093"/>
      <c r="DV86" s="1097">
        <f>IF($P86="","N/A",IF(P86=-1,INDEX('卡片raw data'!AN:AN,MATCH(D86,'卡片raw data'!$F:$F,)),0)+IF(AND(L86&lt;&gt;"party卡",P86&lt;=2,P86&gt;=0),INDEX('卡片raw data'!AP:AP,MATCH(D86,'卡片raw data'!$F:$F,)),0)+IF(OR(AND(L86="party卡",P86&lt;=1),AND(P86&lt;=4,L86&lt;&gt;"party卡",P86&gt;=3)),INDEX('卡片raw data'!AQ:AQ,MATCH(D86,'卡片raw data'!$F:$F,)),0)+IF(OR(P86=5,AND(L86="party卡",P86&gt;=2)),INDEX('卡片raw data'!AR:AR,MATCH(D86,'卡片raw data'!$F:$F,)),0))</f>
        <v>200</v>
      </c>
      <c r="DW86" s="1098">
        <f t="shared" si="154"/>
        <v>0.3</v>
      </c>
      <c r="DX86" s="1098">
        <f t="shared" si="155"/>
        <v>0.3</v>
      </c>
      <c r="DY86" s="1098">
        <f t="shared" si="156"/>
        <v>2.7777777777777779E-3</v>
      </c>
      <c r="DZ86" s="1098">
        <f t="shared" si="157"/>
        <v>3.315833333333333E-3</v>
      </c>
      <c r="EA86" s="1098">
        <f t="shared" si="158"/>
        <v>0</v>
      </c>
      <c r="EB86" s="1121">
        <f t="shared" si="159"/>
        <v>20.315749999999998</v>
      </c>
      <c r="EC86" s="1101">
        <f t="shared" si="160"/>
        <v>1250</v>
      </c>
      <c r="ED86" s="1097">
        <f t="shared" si="161"/>
        <v>828.95833333333326</v>
      </c>
      <c r="EE86" s="1110">
        <f t="shared" si="162"/>
        <v>1250</v>
      </c>
      <c r="EF86" s="1092" t="s">
        <v>711</v>
      </c>
      <c r="EG86" s="1120">
        <f t="shared" si="163"/>
        <v>0.3</v>
      </c>
      <c r="EH86" s="1124"/>
      <c r="EI86" s="1093"/>
      <c r="EJ86" s="1093"/>
      <c r="EK86" s="1097">
        <f>IF($P86="","N/A",IF(P86=-1,INDEX('卡片raw data'!AS:AS,MATCH(D86,'卡片raw data'!$F:$F,)),0)+IF(AND(L86&lt;&gt;"party卡",P86&lt;=2,P86&gt;=0),INDEX('卡片raw data'!AU:AU,MATCH(D86,'卡片raw data'!$F:$F,)),0)+IF(OR(AND(L86="party卡",P86&lt;=1),AND(P86&lt;=4,L86&lt;&gt;"party卡",P86&gt;=3)),INDEX('卡片raw data'!AV:AV,MATCH(D86,'卡片raw data'!$F:$F,)),0)+IF(OR(P86=5,AND(L86="party卡",P86&gt;=2)),INDEX('卡片raw data'!AW:AW,MATCH(D86,'卡片raw data'!$F:$F,)),0))</f>
        <v>0</v>
      </c>
      <c r="EL86" s="1098">
        <f t="shared" si="164"/>
        <v>0.3</v>
      </c>
      <c r="EM86" s="1098">
        <f t="shared" si="165"/>
        <v>0.3</v>
      </c>
      <c r="EN86" s="1125">
        <f t="shared" si="166"/>
        <v>0</v>
      </c>
      <c r="EO86" s="1125">
        <f t="shared" si="167"/>
        <v>0</v>
      </c>
      <c r="EP86" s="1098">
        <f t="shared" si="168"/>
        <v>0</v>
      </c>
      <c r="EQ86" s="1121">
        <f t="shared" si="169"/>
        <v>0</v>
      </c>
      <c r="ER86" s="1101">
        <f t="shared" si="170"/>
        <v>0</v>
      </c>
      <c r="ES86" s="1097">
        <f t="shared" si="171"/>
        <v>0</v>
      </c>
      <c r="ET86" s="1122">
        <f t="shared" si="172"/>
        <v>0</v>
      </c>
    </row>
    <row r="87" spans="2:154" ht="16.5" customHeight="1">
      <c r="B87" s="1123" t="str">
        <f>INDEX('卡片raw data'!B:B,MATCH($D87,'卡片raw data'!$F:$F,))</f>
        <v>一专林</v>
      </c>
      <c r="C87" s="449" t="s">
        <v>124</v>
      </c>
      <c r="D87" s="408">
        <v>84</v>
      </c>
      <c r="E87" s="1090">
        <v>102042001</v>
      </c>
      <c r="F87" s="1090" t="str">
        <f>INDEX('卡片raw data'!C:C,MATCH($D87,'卡片raw data'!$F:$F,))</f>
        <v>SR</v>
      </c>
      <c r="G87" s="1094" t="s">
        <v>347</v>
      </c>
      <c r="H87" s="411">
        <f>IFERROR(INDEX(绊状态确认!C:C,MATCH($G87,绊状态确认!$B:$B,)),"")</f>
        <v>204</v>
      </c>
      <c r="I87" s="450" t="str">
        <f>IFERROR(INDEX(绊状态确认!D:D,MATCH($G87,绊状态确认!$B:$B,)),"")</f>
        <v>虹</v>
      </c>
      <c r="J87" s="450" t="str">
        <f>IFERROR(INDEX(绊状态确认!E:E,MATCH($G87,绊状态确认!$B:$B,)),"")</f>
        <v>3年级</v>
      </c>
      <c r="K87" s="451" t="str">
        <f>IFERROR(INDEX(绊状态确认!F:F,MATCH($G87,绊状态确认!$B:$B,)),"")</f>
        <v>Diver Diva</v>
      </c>
      <c r="L87" s="1094" t="str">
        <f>INDEX('卡片raw data'!E:E,MATCH($D87,'卡片raw data'!$F:$F,))</f>
        <v>卡池卡</v>
      </c>
      <c r="M87" s="415">
        <v>43735</v>
      </c>
      <c r="N87" s="416">
        <v>0</v>
      </c>
      <c r="O87" s="1091" t="str">
        <f>INDEX('卡片raw data'!D:D,MATCH($D87,'卡片raw data'!$F:$F,))</f>
        <v>sk</v>
      </c>
      <c r="P87" s="417">
        <v>5</v>
      </c>
      <c r="Q87" s="1095">
        <f t="shared" si="88"/>
        <v>21425.271654055705</v>
      </c>
      <c r="R87" s="1096">
        <f t="shared" si="89"/>
        <v>0.249</v>
      </c>
      <c r="S87" s="1097">
        <f t="shared" si="90"/>
        <v>14753.443422732826</v>
      </c>
      <c r="T87" s="1098">
        <f t="shared" si="91"/>
        <v>0.73699999999999999</v>
      </c>
      <c r="U87" s="1099">
        <f t="shared" si="92"/>
        <v>11.192176471542858</v>
      </c>
      <c r="V87" s="1100">
        <f t="shared" si="93"/>
        <v>24316.657620487615</v>
      </c>
      <c r="W87" s="1101">
        <f t="shared" si="94"/>
        <v>4574.5786299831425</v>
      </c>
      <c r="X87" s="1096">
        <f t="shared" si="95"/>
        <v>5.2999999999999999E-2</v>
      </c>
      <c r="Y87" s="1097">
        <f t="shared" si="96"/>
        <v>891.38596643190976</v>
      </c>
      <c r="Z87" s="1102">
        <f t="shared" si="97"/>
        <v>11.192176471542858</v>
      </c>
      <c r="AA87" s="1103">
        <f t="shared" si="98"/>
        <v>5465.9645964150523</v>
      </c>
      <c r="AB87" s="1101">
        <f t="shared" si="99"/>
        <v>8111.8762321374406</v>
      </c>
      <c r="AC87" s="1104">
        <f t="shared" si="100"/>
        <v>9.4E-2</v>
      </c>
      <c r="AD87" s="1105">
        <f t="shared" si="101"/>
        <v>2.6496477035984848E-2</v>
      </c>
      <c r="AE87" s="1128">
        <f t="shared" si="102"/>
        <v>9.3783789168670602</v>
      </c>
      <c r="AF87" s="1130">
        <f t="shared" si="103"/>
        <v>0</v>
      </c>
      <c r="AG87" s="420">
        <f t="shared" si="104"/>
        <v>0</v>
      </c>
      <c r="AH87" s="420">
        <f t="shared" si="105"/>
        <v>0</v>
      </c>
      <c r="AI87" s="1097">
        <f t="shared" si="106"/>
        <v>0</v>
      </c>
      <c r="AJ87" s="420">
        <f t="shared" si="107"/>
        <v>0</v>
      </c>
      <c r="AK87" s="518">
        <f t="shared" si="108"/>
        <v>0</v>
      </c>
      <c r="AL87" s="1106">
        <f>IF($P87="","N/A",(IF($P87=-1,INDEX('卡片raw data'!S:S,MATCH($D87,'卡片raw data'!$F:$F,)),0)+IF($P87=0,INDEX('卡片raw data'!V:V,MATCH($D87,'卡片raw data'!$F:$F,)),0)+IF($P87=1,INDEX('卡片raw data'!Y:Y,MATCH($D87,'卡片raw data'!$F:$F,)),0)+IF($P87=2,INDEX('卡片raw data'!AB:AB,MATCH($D87,'卡片raw data'!$F:$F,)),0)+IF($P87=3,INDEX('卡片raw data'!AE:AE,MATCH($D87,'卡片raw data'!$F:$F,)),0)+IF($P87=4,INDEX('卡片raw data'!AH:AH,MATCH($D87,'卡片raw data'!$F:$F,)),0)+IF($P87=5,INDEX('卡片raw data'!AK:AK,MATCH($D87,'卡片raw data'!$F:$F,)),0)+INDEX('卡片raw data'!S:S,MATCH($D87,'卡片raw data'!$F:$F,))*(IF($F87="UR",0.04,0.033))*(IF($F87="UR",INDEX(绊状态确认!$S:$S,MATCH($G87,绊状态确认!$B:$B,))/2-40)+IF($F87="SR",INDEX(绊状态确认!$R:$R,MATCH($G87,绊状态确认!$B:$B,))/4-15))+IF($F87="R",INDEX(绊状态确认!$Q:$Q,MATCH($G87,绊状态确认!$B:$B,))/6-40/6)))*(INDEX(绊状态确认!$H:$H,MATCH($G87,绊状态确认!$B:$B,))+INDEX(绊状态确认!J:J,MATCH($G87,绊状态确认!$B:$B,)))</f>
        <v>7562.4238079999996</v>
      </c>
      <c r="AM87" s="1106">
        <f>IF($P87="","N/A",(IF($P87=-1,INDEX('卡片raw data'!T:T,MATCH($D87,'卡片raw data'!$F:$F,)),0)+IF($P87=0,INDEX('卡片raw data'!W:W,MATCH($D87,'卡片raw data'!$F:$F,)),0)+IF($P87=1,INDEX('卡片raw data'!Z:Z,MATCH($D87,'卡片raw data'!$F:$F,)),0)+IF($P87=2,INDEX('卡片raw data'!AC:AC,MATCH($D87,'卡片raw data'!$F:$F,)),0)+IF($P87=3,INDEX('卡片raw data'!AF:AF,MATCH($D87,'卡片raw data'!$F:$F,)),0)+IF($P87=4,INDEX('卡片raw data'!AI:AI,MATCH($D87,'卡片raw data'!$F:$F,)),0)+IF($P87=5,INDEX('卡片raw data'!AL:AL,MATCH($D87,'卡片raw data'!$F:$F,)),0)+INDEX('卡片raw data'!T:T,MATCH($D87,'卡片raw data'!$F:$F,))*(IF($F87="UR",0.04,0.033))*(IF($F87="UR",INDEX(绊状态确认!$S:$S,MATCH($G87,绊状态确认!$B:$B,))/2-40)+IF($F87="SR",INDEX(绊状态确认!$R:$R,MATCH($G87,绊状态确认!$B:$B,))/4-15))+IF($F87="R",INDEX(绊状态确认!$Q:$Q,MATCH($G87,绊状态确认!$B:$B,))/6-40/6)))*(INDEX(绊状态确认!$H:$H,MATCH($G87,绊状态确认!$B:$B,))+INDEX(绊状态确认!K:K,MATCH($G87,绊状态确认!$B:$B,)))</f>
        <v>5671.8178559999997</v>
      </c>
      <c r="AN87" s="1106">
        <f>IF($P87="","N/A",(IF($P87=-1,INDEX('卡片raw data'!U:U,MATCH($D87,'卡片raw data'!$F:$F,)),0)+IF($P87=0,INDEX('卡片raw data'!X:X,MATCH($D87,'卡片raw data'!$F:$F,)),0)+IF($P87=1,INDEX('卡片raw data'!AA:AA,MATCH($D87,'卡片raw data'!$F:$F,)),0)+IF($P87=2,INDEX('卡片raw data'!AD:AD,MATCH($D87,'卡片raw data'!$F:$F,)),0)+IF($P87=3,INDEX('卡片raw data'!AG:AG,MATCH($D87,'卡片raw data'!$F:$F,)),0)+IF($P87=4,INDEX('卡片raw data'!AJ:AJ,MATCH($D87,'卡片raw data'!$F:$F,)),0)+IF($P87=5,INDEX('卡片raw data'!AM:AM,MATCH($D87,'卡片raw data'!$F:$F,)),0)+INDEX('卡片raw data'!U:U,MATCH($D87,'卡片raw data'!$F:$F,))*(IF($F87="UR",0.04,0.033))*(IF($F87="UR",INDEX(绊状态确认!$S:$S,MATCH($G87,绊状态确认!$B:$B,))/2-40)+IF($F87="SR",INDEX(绊状态确认!$R:$R,MATCH($G87,绊状态确认!$B:$B,))/4-15))+IF($F87="R",INDEX(绊状态确认!$Q:$Q,MATCH($G87,绊状态确认!$B:$B,))/6-40/6)))*(INDEX(绊状态确认!$H:$H,MATCH($G87,绊状态确认!$B:$B,))+INDEX(绊状态确认!L:L,MATCH($G87,绊状态确认!$B:$B,)))</f>
        <v>5671.8178559999997</v>
      </c>
      <c r="AO87" s="1107">
        <f t="shared" si="109"/>
        <v>1</v>
      </c>
      <c r="AP87" s="1131">
        <f>1+(INDEX(绊状态确认!$T:$T,MATCH($G87,绊状态确认!$B:$B,))+0.2)*$AO87</f>
        <v>1.3</v>
      </c>
      <c r="AQ87" s="1108">
        <f t="shared" si="110"/>
        <v>23101.362496000002</v>
      </c>
      <c r="AR87" s="1097">
        <f>(AM87*(1+$EX$9)+$EX$35)*(1+(INDEX(绊状态确认!$T:$T,MATCH($G87,绊状态确认!$B:$B,))+0.2)*AO87)*IF(J87=$FF$17,1+$FE$17,1)*IF(I87=$FF$14,1+$FE$14,1)</f>
        <v>10446.031373440001</v>
      </c>
      <c r="AS87" s="1097">
        <f>(AN87*(1+$EX$10)+$EX$36)*(1+(INDEX(绊状态确认!$T:$T,MATCH($G87,绊状态确认!$B:$B,))+0.2)*AO87)*IF(J87=$FF$17,1+$FE$17,1)*IF(I87=$FF$14,1+$FE$14,1)</f>
        <v>12535.367694719998</v>
      </c>
      <c r="AT87" s="1093">
        <f>IF(AND(INDEX('卡片raw data'!AK:AK,MATCH($D87,'卡片raw data'!$F:$F,))&lt;INDEX('卡片raw data'!AM:AM,MATCH($D87,'卡片raw data'!$F:$F,)),INDEX('卡片raw data'!AL:AL,MATCH($D87,'卡片raw data'!$F:$F,))&lt;INDEX('卡片raw data'!AM:AM,MATCH($D87,'卡片raw data'!$F:$F,))),1,0)</f>
        <v>0</v>
      </c>
      <c r="AU87" s="1098">
        <f>MIN(AT87*0.15+AS87*0.00003+INDEX(绊状态确认!M:M,MATCH($G87,绊状态确认!$B:$B,)),1)</f>
        <v>0.4060610308416</v>
      </c>
      <c r="AV87" s="1109">
        <f>(INDEX(绊状态确认!$N:$N,MATCH($G87,绊状态确认!$B:$B,))+1.5)*$EW$21</f>
        <v>2.6599999999999997</v>
      </c>
      <c r="AW87" s="1101">
        <f t="shared" si="111"/>
        <v>20084.744824564968</v>
      </c>
      <c r="AX87" s="1097">
        <f t="shared" si="112"/>
        <v>891.38596643190999</v>
      </c>
      <c r="AY87" s="1110">
        <f t="shared" si="113"/>
        <v>20976.130790996878</v>
      </c>
      <c r="AZ87" s="429">
        <f t="shared" si="114"/>
        <v>17346.726425599998</v>
      </c>
      <c r="BA87" s="431">
        <f t="shared" si="115"/>
        <v>20816.071710719996</v>
      </c>
      <c r="BB87" s="1097">
        <f>(AM87*(1+$FB$9)+$FB$35)*(1+(INDEX(绊状态确认!$T:$T,MATCH($G87,绊状态确认!$B:$B,))+0.2)*AO87)*IF(J87=$FF$17,1+$FE$17,1)*IF(I87=$FF$14,1+$FE$14,1)*(1+$FE$15)</f>
        <v>10446.031373440001</v>
      </c>
      <c r="BC87" s="1097">
        <f>(AN87*(1+$FB$10)+$FB$36)*(1+(INDEX(绊状态确认!$T:$T,MATCH($G87,绊状态确认!$B:$B,))+0.2)*AO87)*IF(J87=$FF$17,1+$FE$17,1)*IF(I87=$FF$14,1+$FE$14,1)*(1+$FE$15)</f>
        <v>12535.367694719998</v>
      </c>
      <c r="BD87" s="1104">
        <f>MIN(AT87*0.15+BC87*0.00003+INDEX(绊状态确认!M:M,MATCH($G87,绊状态确认!$B:$B,)),1)</f>
        <v>0.4060610308416</v>
      </c>
      <c r="BE87" s="432">
        <f>(INDEX(绊状态确认!$N:$N,MATCH($G87,绊状态确认!$B:$B,))+1.5)</f>
        <v>1.9</v>
      </c>
      <c r="BF87" s="1139">
        <f t="array" ref="BF87">SUMPRODUCT(IF(AZ87*AP87*$FI$16:$FI$23*$FA$22&gt;=$FI$24,$FI$24,AZ87*AP87*$FI$16:$FI$23*$FA$22),$FJ$16:$FJ$23)</f>
        <v>34502.638860518404</v>
      </c>
      <c r="BG87" s="1125">
        <f t="array" ref="BG87">SUMPRODUCT(IF(BE87*AZ87*AP87*$FI$16:$FI$23*$FA$22&gt;=$FI$24,$FI$24,BE87*AZ87*AP87*$FI$16:$FI$23*$FA$22),$FJ$16:$FJ$23)</f>
        <v>58708.599563752956</v>
      </c>
      <c r="BH87" s="1110">
        <f t="shared" si="116"/>
        <v>14777.24540539503</v>
      </c>
      <c r="BI87" s="1111">
        <f>IF(O87="vo",$EW$26/$EW$24*0.05,0)+IF(O87="sk",-$EW$26/$EW$24*(0.05-INDEX(绊状态确认!W:W,MATCH($G87,绊状态确认!$B:$B,)))+0.05*$EW$28,0)+IF(O87="sp",0.05*$EW$32*$EW$30*(1-$EW$33)-(0.05-INDEX(绊状态确认!V:V,MATCH($G87,绊状态确认!$B:$B,)))*$EW$28,0)+IF(O87="gd",-(0.05-INDEX(绊状态确认!X:X,MATCH($G87,绊状态确认!$B:$B,)))*$EW$32*$EW$30*(1-$EW$33),0)</f>
        <v>-6253.6726349699375</v>
      </c>
      <c r="BJ87" s="1097">
        <f>IF(O87="vo",0.05*(1-$FI$26)*$FA$24,0)+IF(O87="sk",-(0.05-INDEX(绊状态确认!W:W,MATCH($G87,绊状态确认!$B:$B,)))*(1-$FI$26)*$FA$24+0.05*$FA$26,0)+IF(O87="sp",0.05*$FA$32*$FA$27*(1-$FA$33)/$FA$30+0.05*$FA$29/$FA$69*$FA$27*(1-$FA$33)-(0.05-INDEX(绊状态确认!V:V,MATCH($G87,绊状态确认!$B:$B,)))*$FA$26,0)+IF(O87="gd",-(0.05-INDEX(绊状态确认!X:X,MATCH($G87,绊状态确认!$B:$B,)))*$FA$32*$FA$27*(1-$FA$33)/$FA$30-(0.05-INDEX(绊状态确认!X:X,MATCH($G87,绊状态确认!$B:$B,)))*$FA$29/$FA$69*$FA$27*(1-$FA$33),0)</f>
        <v>20.459096812499922</v>
      </c>
      <c r="BK87" s="1110">
        <f>IF(O87="vo",$EW$26/$EW$24*0.05+$EW$26*(-HP($EW$62,$EW$65,$EW$64)+HP($EW$62,$EW$65,(1.05-INDEX(绊状态确认!U:U,MATCH($G87,绊状态确认!$B:$B,)))*$EW$64)),0)+IF(O87="sk",-$EW$26/$EW$24*(0.05-INDEX(绊状态确认!W:W,MATCH($G87,绊状态确认!$B:$B,)))+0.05*$EW$29,0)+IF(O87="sp",0.05*$EW$32*$EW$30*(1-$EW$33)-(0.05-INDEX(绊状态确认!V:V,MATCH($G87,绊状态确认!$B:$B,)))*$EW$29,0)+IF(O87="gd",-(0.05-INDEX(绊状态确认!X:X,MATCH($G87,绊状态确认!$B:$B,)))*$EW$32*$EW$30*(1-$EW$33)+$EW$26*(-HP($EW$62,$EW$65,$EW$64)+HP($EW$62,$EW$65,0.95*$EW$64)),0)</f>
        <v>-4253.6726349699375</v>
      </c>
      <c r="BL87" s="1111">
        <f t="shared" si="117"/>
        <v>-1083.3333333333333</v>
      </c>
      <c r="BM87" s="1110">
        <f t="shared" si="118"/>
        <v>-830.55555555555543</v>
      </c>
      <c r="BN87" s="1113">
        <f t="shared" si="119"/>
        <v>3</v>
      </c>
      <c r="BO87" s="1097">
        <f t="shared" si="120"/>
        <v>4507.7214871259994</v>
      </c>
      <c r="BP87" s="1100">
        <f t="shared" si="121"/>
        <v>221.34103209030098</v>
      </c>
      <c r="BQ87" s="1113" t="s">
        <v>626</v>
      </c>
      <c r="BR87" s="1124" t="s">
        <v>168</v>
      </c>
      <c r="BS87" s="1098">
        <f>IF($P87="","N/A",IF($P87=-1,INDEX('卡片raw data'!AX:AX,MATCH($D87,'卡片raw data'!$F:$F,)),0)+IF($L87="party卡",IF($P87=5,INDEX('卡片raw data'!BD:BD,MATCH($D87,'卡片raw data'!$F:$F,)),IF($P87&gt;=3,INDEX('卡片raw data'!BC:BC,MATCH($D87,'卡片raw data'!$F:$F,)),INDEX('卡片raw data'!BB:BB,MATCH($D87,'卡片raw data'!$F:$F,)))),IF(OR(AND($F87="UR",$P87=0),AND($F87="SR",$P87&gt;=0,$P87&lt;=2),AND($F87="R",$P87&gt;=0,$P87&lt;4)),INDEX('卡片raw data'!AZ:AZ,MATCH($D87,'卡片raw data'!$F:$F,)),0)+IF(OR(AND($F87="UR",$P87&gt;=1,$P87&lt;=4),AND($F87="SR",$P87&lt;=4,$P87&gt;=3),AND($F87="R",$P87=4)),INDEX('卡片raw data'!BA:BA,MATCH($D87,'卡片raw data'!$F:$F,)),0)+IF($P87=5,INDEX('卡片raw data'!BB:BB,MATCH($D87,'卡片raw data'!$F:$F,)),0)))</f>
        <v>0.05</v>
      </c>
      <c r="BT87" s="1101">
        <f t="shared" si="122"/>
        <v>3537.2976021542986</v>
      </c>
      <c r="BU87" s="1097">
        <f t="shared" si="123"/>
        <v>255.86405005115788</v>
      </c>
      <c r="BV87" s="1097">
        <f t="shared" si="124"/>
        <v>0</v>
      </c>
      <c r="BW87" s="1112">
        <f t="shared" si="125"/>
        <v>0</v>
      </c>
      <c r="BX87" s="1100">
        <f t="shared" si="126"/>
        <v>3537.2976021542986</v>
      </c>
      <c r="BY87" s="1110">
        <f t="shared" si="127"/>
        <v>0</v>
      </c>
      <c r="BZ87" s="1107" t="s">
        <v>569</v>
      </c>
      <c r="CA87" s="1124"/>
      <c r="CB87" s="1098">
        <f>IF($P87="","N/A",IF($P87=-1,INDEX('卡片raw data'!BE:BE,MATCH($D87,'卡片raw data'!$F:$F,)),0)+IF($L87="party卡",IF($P87=5,INDEX('卡片raw data'!BK:BK,MATCH($D87,'卡片raw data'!$F:$F,)),IF($P87&gt;=3,INDEX('卡片raw data'!BJ:BJ,MATCH($D87,'卡片raw data'!$F:$F,)),INDEX('卡片raw data'!BI:BI,MATCH($D87,'卡片raw data'!$F:$F,)))),IF(OR(AND($F87="UR",$P87=0),AND($F87="SR",$P87&gt;=0,$P87&lt;=2),AND($F87="R",$P87&gt;=0,$P87&lt;4)),INDEX('卡片raw data'!BG:BG,MATCH($D87,'卡片raw data'!$F:$F,)),0)+IF(OR(AND($F87="UR",$P87&gt;=1,$P87&lt;=4),AND($F87="SR",$P87&lt;=4,$P87&gt;=3),AND($F87="R",$P87=4)),INDEX('卡片raw data'!BH:BH,MATCH($D87,'卡片raw data'!$F:$F,)),0)+IF($P87=5,INDEX('卡片raw data'!BI:BI,MATCH($D87,'卡片raw data'!$F:$F,)),0)))</f>
        <v>0</v>
      </c>
      <c r="CC87" s="1101">
        <f t="shared" si="128"/>
        <v>0</v>
      </c>
      <c r="CD87" s="1097">
        <f>IF(BZ87="ap",CB87*(1-$FI$26)*$FB$5/$FB$11*(+IF(CA87="全员",$FA$24,0)+IF(CA87="同作战",$FA$24,0)+IF(CA87="仲间",$FA$24*2/3,0)+IF(CA87="同属性",$FA$24*$FA$37/3,0)+IF(CA87="同年级",$FA$24*$FA$40/3,0)+IF(CA87="同学校",$FA$24*$FA$43/3,0)+IF(CA87="同小队",$FA$24*$FA$46/3,0)+IF(CA87="同type",$FA$24*INDEX($FB$49:$FB$52,MATCH(X87,$FA$49:$FA$52,))/3,0)+IF(CA87="自身",#REF!/3,0)),0)+IF(BZ87="te",CB87*(1-$FI$27)*($FA$20-1)*$FB$7/$FB$13*(+IF(CA87="全员",$FA$19*$FA$24/(1+($FA$20-1)*$FA$19),0)+IF(CA87="同作战",$FA$19*$FA$24/(1+($FA$20-1)*$FA$19),0)+IF(CA87="仲间",$FA$19*$FA$24*2/3/(1+($FA$20-1)*$FA$19),0)+IF(CA87="同属性",$FA$19*$FA$24*$FA$37/3/(1+($FA$20-1)*$FA$19),0)+IF(CA87="同年级",$FA$19*$FA$24*$FA$40/3/(1+($FA$20-1)*$FA$19),0)+IF(CA87="同学校",$FA$19*$FA$24*$FA$43/3/(1+($FA$20-1)*$FA$19),0)+IF(CA87="同小队",$FA$19*$FA$24*$FA$46/3/(1+($FA$20-1)*$FA$19),0)+IF(CA87="同type",$FA$19*$FA$24*INDEX($FB$49:$FB$52,MATCH(X87,$FA$49:$FA$52,))/3/(1+($FA$20-1)*$FA$19),0)+IF(CA87="自身",$FA$19*#REF!/3/(1+(BH87-1)*$BD87),0)),0)</f>
        <v>0</v>
      </c>
      <c r="CE87" s="1097">
        <f t="shared" si="129"/>
        <v>0</v>
      </c>
      <c r="CF87" s="1112">
        <f t="shared" si="130"/>
        <v>0</v>
      </c>
      <c r="CG87" s="1100">
        <f t="shared" si="131"/>
        <v>0</v>
      </c>
      <c r="CH87" s="1110">
        <f t="shared" si="132"/>
        <v>0</v>
      </c>
      <c r="CI87" s="1113" t="s">
        <v>162</v>
      </c>
      <c r="CJ87" s="1114">
        <v>0.3</v>
      </c>
      <c r="CK87" s="1115" t="s">
        <v>565</v>
      </c>
      <c r="CL87" s="1115" t="s">
        <v>161</v>
      </c>
      <c r="CM87" s="1119">
        <v>0.08</v>
      </c>
      <c r="CN87" s="1115">
        <v>10</v>
      </c>
      <c r="CO87" s="1092"/>
      <c r="CP87" s="1118">
        <f t="shared" si="133"/>
        <v>5.1428571428571426E-3</v>
      </c>
      <c r="CQ87" s="1118">
        <f t="shared" si="134"/>
        <v>8.0000000000000002E-3</v>
      </c>
      <c r="CR87" s="1118">
        <f t="shared" si="135"/>
        <v>5.1428571428571426E-3</v>
      </c>
      <c r="CS87" s="1118">
        <f t="shared" si="136"/>
        <v>0</v>
      </c>
      <c r="CT87" s="1109">
        <f t="shared" si="137"/>
        <v>1.375</v>
      </c>
      <c r="CU87" s="1101">
        <f t="shared" si="138"/>
        <v>66.857142857142847</v>
      </c>
      <c r="CV87" s="1108">
        <f t="shared" si="139"/>
        <v>79.73333333333332</v>
      </c>
      <c r="CW87" s="1097">
        <f t="shared" si="140"/>
        <v>66.857142857142847</v>
      </c>
      <c r="CX87" s="1097">
        <f t="shared" si="141"/>
        <v>66.857142857142847</v>
      </c>
      <c r="CY87" s="1110">
        <f t="shared" si="142"/>
        <v>66.857142857142847</v>
      </c>
      <c r="CZ87" s="437"/>
      <c r="DA87" s="438"/>
      <c r="DB87" s="439" t="s">
        <v>569</v>
      </c>
      <c r="DC87" s="439"/>
      <c r="DD87" s="443"/>
      <c r="DE87" s="411"/>
      <c r="DF87" s="411"/>
      <c r="DG87" s="1116">
        <f t="shared" si="143"/>
        <v>0</v>
      </c>
      <c r="DH87" s="1116">
        <f t="shared" si="144"/>
        <v>0</v>
      </c>
      <c r="DI87" s="1116">
        <f t="shared" si="145"/>
        <v>0</v>
      </c>
      <c r="DJ87" s="442">
        <f t="shared" si="146"/>
        <v>0</v>
      </c>
      <c r="DK87" s="1109">
        <f t="shared" si="147"/>
        <v>0</v>
      </c>
      <c r="DL87" s="1101">
        <f t="shared" si="148"/>
        <v>0</v>
      </c>
      <c r="DM87" s="1097">
        <f t="shared" si="149"/>
        <v>0</v>
      </c>
      <c r="DN87" s="1097">
        <f t="shared" si="150"/>
        <v>0</v>
      </c>
      <c r="DO87" s="1097">
        <f t="shared" si="151"/>
        <v>0</v>
      </c>
      <c r="DP87" s="1110">
        <f t="shared" si="152"/>
        <v>0</v>
      </c>
      <c r="DQ87" s="1113" t="s">
        <v>553</v>
      </c>
      <c r="DR87" s="1120">
        <f t="shared" si="153"/>
        <v>0.3</v>
      </c>
      <c r="DS87" s="1124">
        <v>5</v>
      </c>
      <c r="DT87" s="1093" t="s">
        <v>171</v>
      </c>
      <c r="DU87" s="1093" t="s">
        <v>544</v>
      </c>
      <c r="DV87" s="1098">
        <f>IF($P87="","N/A",IF(P87=-1,INDEX('卡片raw data'!AN:AN,MATCH(D87,'卡片raw data'!$F:$F,)),0)+IF(AND(L87&lt;&gt;"party卡",P87&lt;=2,P87&gt;=0),INDEX('卡片raw data'!AP:AP,MATCH(D87,'卡片raw data'!$F:$F,)),0)+IF(OR(AND(L87="party卡",P87&lt;=1),AND(P87&lt;=4,L87&lt;&gt;"party卡",P87&gt;=3)),INDEX('卡片raw data'!AQ:AQ,MATCH(D87,'卡片raw data'!$F:$F,)),0)+IF(OR(P87=5,AND(L87="party卡",P87&gt;=2)),INDEX('卡片raw data'!AR:AR,MATCH(D87,'卡片raw data'!$F:$F,)),0))</f>
        <v>0.04</v>
      </c>
      <c r="DW87" s="1098">
        <f t="shared" si="154"/>
        <v>0.3</v>
      </c>
      <c r="DX87" s="1098">
        <f t="shared" si="155"/>
        <v>0.3</v>
      </c>
      <c r="DY87" s="1098">
        <f t="shared" si="156"/>
        <v>1.3333333333333334E-2</v>
      </c>
      <c r="DZ87" s="1098">
        <f t="shared" si="157"/>
        <v>1.0091666666666667E-2</v>
      </c>
      <c r="EA87" s="1098">
        <f t="shared" si="158"/>
        <v>7.5022526041666647E-3</v>
      </c>
      <c r="EB87" s="1121">
        <f t="shared" si="159"/>
        <v>0</v>
      </c>
      <c r="EC87" s="1101">
        <f t="shared" si="160"/>
        <v>565.6565656565657</v>
      </c>
      <c r="ED87" s="1097">
        <f t="shared" si="161"/>
        <v>229.35606060606059</v>
      </c>
      <c r="EE87" s="1110">
        <f t="shared" si="162"/>
        <v>565.6565656565657</v>
      </c>
      <c r="EF87" s="1092" t="s">
        <v>711</v>
      </c>
      <c r="EG87" s="1120">
        <f t="shared" si="163"/>
        <v>0.3</v>
      </c>
      <c r="EH87" s="1124"/>
      <c r="EI87" s="1093"/>
      <c r="EJ87" s="1093"/>
      <c r="EK87" s="1097">
        <f>IF($P87="","N/A",IF(P87=-1,INDEX('卡片raw data'!AS:AS,MATCH(D87,'卡片raw data'!$F:$F,)),0)+IF(AND(L87&lt;&gt;"party卡",P87&lt;=2,P87&gt;=0),INDEX('卡片raw data'!AU:AU,MATCH(D87,'卡片raw data'!$F:$F,)),0)+IF(OR(AND(L87="party卡",P87&lt;=1),AND(P87&lt;=4,L87&lt;&gt;"party卡",P87&gt;=3)),INDEX('卡片raw data'!AV:AV,MATCH(D87,'卡片raw data'!$F:$F,)),0)+IF(OR(P87=5,AND(L87="party卡",P87&gt;=2)),INDEX('卡片raw data'!AW:AW,MATCH(D87,'卡片raw data'!$F:$F,)),0))</f>
        <v>0</v>
      </c>
      <c r="EL87" s="1098">
        <f t="shared" si="164"/>
        <v>0.3</v>
      </c>
      <c r="EM87" s="1098">
        <f t="shared" si="165"/>
        <v>0.3</v>
      </c>
      <c r="EN87" s="1125">
        <f t="shared" si="166"/>
        <v>0</v>
      </c>
      <c r="EO87" s="1125">
        <f t="shared" si="167"/>
        <v>0</v>
      </c>
      <c r="EP87" s="1098">
        <f t="shared" si="168"/>
        <v>0</v>
      </c>
      <c r="EQ87" s="1121">
        <f t="shared" si="169"/>
        <v>0</v>
      </c>
      <c r="ER87" s="1101">
        <f t="shared" si="170"/>
        <v>0</v>
      </c>
      <c r="ES87" s="1097">
        <f t="shared" si="171"/>
        <v>0</v>
      </c>
      <c r="ET87" s="1122">
        <f t="shared" si="172"/>
        <v>0</v>
      </c>
    </row>
    <row r="88" spans="2:154" ht="16.5" customHeight="1">
      <c r="B88" s="1123" t="str">
        <f>INDEX('卡片raw data'!B:B,MATCH($D88,'卡片raw data'!$F:$F,))</f>
        <v>校服爱</v>
      </c>
      <c r="C88" s="449" t="s">
        <v>67</v>
      </c>
      <c r="D88" s="408">
        <v>85</v>
      </c>
      <c r="E88" s="1090">
        <v>102051001</v>
      </c>
      <c r="F88" s="1090" t="str">
        <f>INDEX('卡片raw data'!C:C,MATCH($D88,'卡片raw data'!$F:$F,))</f>
        <v>R</v>
      </c>
      <c r="G88" s="1094" t="s">
        <v>354</v>
      </c>
      <c r="H88" s="411">
        <f>IFERROR(INDEX(绊状态确认!C:C,MATCH($G88,绊状态确认!$B:$B,)),"")</f>
        <v>205</v>
      </c>
      <c r="I88" s="450" t="str">
        <f>IFERROR(INDEX(绊状态确认!D:D,MATCH($G88,绊状态确认!$B:$B,)),"")</f>
        <v>虹</v>
      </c>
      <c r="J88" s="450" t="str">
        <f>IFERROR(INDEX(绊状态确认!E:E,MATCH($G88,绊状态确认!$B:$B,)),"")</f>
        <v>2年级</v>
      </c>
      <c r="K88" s="451" t="str">
        <f>IFERROR(INDEX(绊状态确认!F:F,MATCH($G88,绊状态确认!$B:$B,)),"")</f>
        <v>Diver Diva</v>
      </c>
      <c r="L88" s="1094" t="str">
        <f>INDEX('卡片raw data'!E:E,MATCH($D88,'卡片raw data'!$F:$F,))</f>
        <v>卡池卡</v>
      </c>
      <c r="M88" s="415">
        <v>43735</v>
      </c>
      <c r="N88" s="416">
        <v>0</v>
      </c>
      <c r="O88" s="1091" t="str">
        <f>INDEX('卡片raw data'!D:D,MATCH($D88,'卡片raw data'!$F:$F,))</f>
        <v>vo</v>
      </c>
      <c r="P88" s="417">
        <v>5</v>
      </c>
      <c r="Q88" s="1095">
        <f t="shared" si="88"/>
        <v>23651.254093059088</v>
      </c>
      <c r="R88" s="1096">
        <f t="shared" si="89"/>
        <v>0.27400000000000002</v>
      </c>
      <c r="S88" s="1097">
        <f t="shared" si="90"/>
        <v>8854.8450330010965</v>
      </c>
      <c r="T88" s="1098">
        <f t="shared" si="91"/>
        <v>0.442</v>
      </c>
      <c r="U88" s="1099">
        <f t="shared" si="92"/>
        <v>-16.310839417857146</v>
      </c>
      <c r="V88" s="1100">
        <f t="shared" si="93"/>
        <v>23035.096620668952</v>
      </c>
      <c r="W88" s="1101">
        <f t="shared" si="94"/>
        <v>3005.1476580839999</v>
      </c>
      <c r="X88" s="1096">
        <f t="shared" si="95"/>
        <v>3.4000000000000002E-2</v>
      </c>
      <c r="Y88" s="1097">
        <f t="shared" si="96"/>
        <v>688.51097785156207</v>
      </c>
      <c r="Z88" s="1102">
        <f t="shared" si="97"/>
        <v>8.6891605821428559</v>
      </c>
      <c r="AA88" s="1103">
        <f t="shared" si="98"/>
        <v>3693.658635935562</v>
      </c>
      <c r="AB88" s="1101">
        <f t="shared" si="99"/>
        <v>5259.008401647</v>
      </c>
      <c r="AC88" s="1104">
        <f t="shared" si="100"/>
        <v>6.0999999999999999E-2</v>
      </c>
      <c r="AD88" s="1105">
        <f t="shared" si="101"/>
        <v>-3.8207812500000026E-3</v>
      </c>
      <c r="AE88" s="1128">
        <f t="shared" si="102"/>
        <v>-22.692028985507246</v>
      </c>
      <c r="AF88" s="1130">
        <f t="shared" si="103"/>
        <v>0</v>
      </c>
      <c r="AG88" s="420">
        <f t="shared" si="104"/>
        <v>0</v>
      </c>
      <c r="AH88" s="420">
        <f t="shared" si="105"/>
        <v>0</v>
      </c>
      <c r="AI88" s="1097">
        <f t="shared" si="106"/>
        <v>0</v>
      </c>
      <c r="AJ88" s="420">
        <f t="shared" si="107"/>
        <v>0</v>
      </c>
      <c r="AK88" s="518">
        <f t="shared" si="108"/>
        <v>0</v>
      </c>
      <c r="AL88" s="1106">
        <f>IF($P88="","N/A",(IF($P88=-1,INDEX('卡片raw data'!S:S,MATCH($D88,'卡片raw data'!$F:$F,)),0)+IF($P88=0,INDEX('卡片raw data'!V:V,MATCH($D88,'卡片raw data'!$F:$F,)),0)+IF($P88=1,INDEX('卡片raw data'!Y:Y,MATCH($D88,'卡片raw data'!$F:$F,)),0)+IF($P88=2,INDEX('卡片raw data'!AB:AB,MATCH($D88,'卡片raw data'!$F:$F,)),0)+IF($P88=3,INDEX('卡片raw data'!AE:AE,MATCH($D88,'卡片raw data'!$F:$F,)),0)+IF($P88=4,INDEX('卡片raw data'!AH:AH,MATCH($D88,'卡片raw data'!$F:$F,)),0)+IF($P88=5,INDEX('卡片raw data'!AK:AK,MATCH($D88,'卡片raw data'!$F:$F,)),0)+INDEX('卡片raw data'!S:S,MATCH($D88,'卡片raw data'!$F:$F,))*(IF($F88="UR",0.04,0.033))*(IF($F88="UR",INDEX(绊状态确认!$S:$S,MATCH($G88,绊状态确认!$B:$B,))/2-40)+IF($F88="SR",INDEX(绊状态确认!$R:$R,MATCH($G88,绊状态确认!$B:$B,))/4-15))+IF($F88="R",INDEX(绊状态确认!$Q:$Q,MATCH($G88,绊状态确认!$B:$B,))/6-40/6)))*(INDEX(绊状态确认!$H:$H,MATCH($G88,绊状态确认!$B:$B,))+INDEX(绊状态确认!J:J,MATCH($G88,绊状态确认!$B:$B,)))</f>
        <v>3960.3539999999994</v>
      </c>
      <c r="AM88" s="1106">
        <f>IF($P88="","N/A",(IF($P88=-1,INDEX('卡片raw data'!T:T,MATCH($D88,'卡片raw data'!$F:$F,)),0)+IF($P88=0,INDEX('卡片raw data'!W:W,MATCH($D88,'卡片raw data'!$F:$F,)),0)+IF($P88=1,INDEX('卡片raw data'!Z:Z,MATCH($D88,'卡片raw data'!$F:$F,)),0)+IF($P88=2,INDEX('卡片raw data'!AC:AC,MATCH($D88,'卡片raw data'!$F:$F,)),0)+IF($P88=3,INDEX('卡片raw data'!AF:AF,MATCH($D88,'卡片raw data'!$F:$F,)),0)+IF($P88=4,INDEX('卡片raw data'!AI:AI,MATCH($D88,'卡片raw data'!$F:$F,)),0)+IF($P88=5,INDEX('卡片raw data'!AL:AL,MATCH($D88,'卡片raw data'!$F:$F,)),0)+INDEX('卡片raw data'!T:T,MATCH($D88,'卡片raw data'!$F:$F,))*(IF($F88="UR",0.04,0.033))*(IF($F88="UR",INDEX(绊状态确认!$S:$S,MATCH($G88,绊状态确认!$B:$B,))/2-40)+IF($F88="SR",INDEX(绊状态确认!$R:$R,MATCH($G88,绊状态确认!$B:$B,))/4-15))+IF($F88="R",INDEX(绊状态确认!$Q:$Q,MATCH($G88,绊状态确认!$B:$B,))/6-40/6)))*(INDEX(绊状态确认!$H:$H,MATCH($G88,绊状态确认!$B:$B,))+INDEX(绊状态确认!K:K,MATCH($G88,绊状态确认!$B:$B,)))</f>
        <v>3960.3539999999994</v>
      </c>
      <c r="AN88" s="1106">
        <f>IF($P88="","N/A",(IF($P88=-1,INDEX('卡片raw data'!U:U,MATCH($D88,'卡片raw data'!$F:$F,)),0)+IF($P88=0,INDEX('卡片raw data'!X:X,MATCH($D88,'卡片raw data'!$F:$F,)),0)+IF($P88=1,INDEX('卡片raw data'!AA:AA,MATCH($D88,'卡片raw data'!$F:$F,)),0)+IF($P88=2,INDEX('卡片raw data'!AD:AD,MATCH($D88,'卡片raw data'!$F:$F,)),0)+IF($P88=3,INDEX('卡片raw data'!AG:AG,MATCH($D88,'卡片raw data'!$F:$F,)),0)+IF($P88=4,INDEX('卡片raw data'!AJ:AJ,MATCH($D88,'卡片raw data'!$F:$F,)),0)+IF($P88=5,INDEX('卡片raw data'!AM:AM,MATCH($D88,'卡片raw data'!$F:$F,)),0)+INDEX('卡片raw data'!U:U,MATCH($D88,'卡片raw data'!$F:$F,))*(IF($F88="UR",0.04,0.033))*(IF($F88="UR",INDEX(绊状态确认!$S:$S,MATCH($G88,绊状态确认!$B:$B,))/2-40)+IF($F88="SR",INDEX(绊状态确认!$R:$R,MATCH($G88,绊状态确认!$B:$B,))/4-15))+IF($F88="R",INDEX(绊状态确认!$Q:$Q,MATCH($G88,绊状态确认!$B:$B,))/6-40/6)))*(INDEX(绊状态确认!$H:$H,MATCH($G88,绊状态确认!$B:$B,))+INDEX(绊状态确认!L:L,MATCH($G88,绊状态确认!$B:$B,)))</f>
        <v>4079.6759999999995</v>
      </c>
      <c r="AO88" s="1107">
        <f t="shared" si="109"/>
        <v>1</v>
      </c>
      <c r="AP88" s="1131">
        <f>1+(INDEX(绊状态确认!$T:$T,MATCH($G88,绊状态确认!$B:$B,))+0.2)*$AO88</f>
        <v>1.3</v>
      </c>
      <c r="AQ88" s="1108">
        <f t="shared" si="110"/>
        <v>13645.929249999999</v>
      </c>
      <c r="AR88" s="1097">
        <f>(AM88*(1+$EX$9)+$EX$35)*(1+(INDEX(绊状态确认!$T:$T,MATCH($G88,绊状态确认!$B:$B,))+0.2)*AO88)*IF(J88=$FF$17,1+$FE$17,1)*IF(I88=$FF$14,1+$FE$14,1)</f>
        <v>8109.88321</v>
      </c>
      <c r="AS88" s="1097">
        <f>(AN88*(1+$EX$10)+$EX$36)*(1+(INDEX(绊状态确认!$T:$T,MATCH($G88,绊状态确认!$B:$B,))+0.2)*AO88)*IF(J88=$FF$17,1+$FE$17,1)*IF(I88=$FF$14,1+$FE$14,1)</f>
        <v>10155.115619999999</v>
      </c>
      <c r="AT88" s="1093">
        <f>IF(AND(INDEX('卡片raw data'!AK:AK,MATCH($D88,'卡片raw data'!$F:$F,))&lt;INDEX('卡片raw data'!AM:AM,MATCH($D88,'卡片raw data'!$F:$F,)),INDEX('卡片raw data'!AL:AL,MATCH($D88,'卡片raw data'!$F:$F,))&lt;INDEX('卡片raw data'!AM:AM,MATCH($D88,'卡片raw data'!$F:$F,))),1,0)</f>
        <v>1</v>
      </c>
      <c r="AU88" s="1098">
        <f>MIN(AT88*0.15+AS88*0.00003+INDEX(绊状态确认!M:M,MATCH($G88,绊状态确认!$B:$B,)),1)</f>
        <v>0.48465346860000003</v>
      </c>
      <c r="AV88" s="1109">
        <f>(INDEX(绊状态确认!$N:$N,MATCH($G88,绊状态确认!$B:$B,))+1.5)*$EW$21</f>
        <v>2.6599999999999997</v>
      </c>
      <c r="AW88" s="1101">
        <f t="shared" si="111"/>
        <v>12788.609430334383</v>
      </c>
      <c r="AX88" s="1097">
        <f t="shared" si="112"/>
        <v>688.51097785156219</v>
      </c>
      <c r="AY88" s="1110">
        <f t="shared" si="113"/>
        <v>13477.120408185945</v>
      </c>
      <c r="AZ88" s="429">
        <f t="shared" si="114"/>
        <v>10322.690299999998</v>
      </c>
      <c r="BA88" s="431">
        <f t="shared" si="115"/>
        <v>12387.228359999997</v>
      </c>
      <c r="BB88" s="1097">
        <f>(AM88*(1+$FB$9)+$FB$35)*(1+(INDEX(绊状态确认!$T:$T,MATCH($G88,绊状态确认!$B:$B,))+0.2)*AO88)*IF(J88=$FF$17,1+$FE$17,1)*IF(I88=$FF$14,1+$FE$14,1)*(1+$FE$15)</f>
        <v>8109.88321</v>
      </c>
      <c r="BC88" s="1097">
        <f>(AN88*(1+$FB$10)+$FB$36)*(1+(INDEX(绊状态确认!$T:$T,MATCH($G88,绊状态确认!$B:$B,))+0.2)*AO88)*IF(J88=$FF$17,1+$FE$17,1)*IF(I88=$FF$14,1+$FE$14,1)*(1+$FE$15)</f>
        <v>10155.115619999999</v>
      </c>
      <c r="BD88" s="1104">
        <f>MIN(AT88*0.15+BC88*0.00003+INDEX(绊状态确认!M:M,MATCH($G88,绊状态确认!$B:$B,)),1)</f>
        <v>0.48465346860000003</v>
      </c>
      <c r="BE88" s="432">
        <f>(INDEX(绊状态确认!$N:$N,MATCH($G88,绊状态确认!$B:$B,))+1.5)</f>
        <v>1.9</v>
      </c>
      <c r="BF88" s="1139">
        <f t="array" ref="BF88">SUMPRODUCT(IF(AZ88*AP88*$FI$16:$FI$23*$FA$22&gt;=$FI$24,$FI$24,AZ88*AP88*$FI$16:$FI$23*$FA$22),$FJ$16:$FJ$23)</f>
        <v>20531.831006699998</v>
      </c>
      <c r="BG88" s="1125">
        <f t="array" ref="BG88">SUMPRODUCT(IF(BE88*AZ88*AP88*$FI$16:$FI$23*$FA$22&gt;=$FI$24,$FI$24,BE88*AZ88*AP88*$FI$16:$FI$23*$FA$22),$FJ$16:$FJ$23)</f>
        <v>39010.478912730003</v>
      </c>
      <c r="BH88" s="1110">
        <f t="shared" si="116"/>
        <v>9829.1906031318558</v>
      </c>
      <c r="BI88" s="1111">
        <f>IF(O88="vo",$EW$26/$EW$24*0.05,0)+IF(O88="sk",-$EW$26/$EW$24*(0.05-INDEX(绊状态确认!W:W,MATCH($G88,绊状态确认!$B:$B,)))+0.05*$EW$28,0)+IF(O88="sp",0.05*$EW$32*$EW$30*(1-$EW$33)-(0.05-INDEX(绊状态确认!V:V,MATCH($G88,绊状态确认!$B:$B,)))*$EW$28,0)+IF(O88="gd",-(0.05-INDEX(绊状态确认!X:X,MATCH($G88,绊状态确认!$B:$B,)))*$EW$32*$EW$30*(1-$EW$33),0)</f>
        <v>7726.3029277443748</v>
      </c>
      <c r="BJ88" s="1097">
        <f>IF(O88="vo",0.05*(1-$FI$26)*$FA$24,0)+IF(O88="sk",-(0.05-INDEX(绊状态确认!W:W,MATCH($G88,绊状态确认!$B:$B,)))*(1-$FI$26)*$FA$24+0.05*$FA$26,0)+IF(O88="sp",0.05*$FA$32*$FA$27*(1-$FA$33)/$FA$30+0.05*$FA$29/$FA$69*$FA$27*(1-$FA$33)-(0.05-INDEX(绊状态确认!V:V,MATCH($G88,绊状态确认!$B:$B,)))*$FA$26,0)+IF(O88="gd",-(0.05-INDEX(绊状态确认!X:X,MATCH($G88,绊状态确认!$B:$B,)))*$FA$32*$FA$27*(1-$FA$33)/$FA$30-(0.05-INDEX(绊状态确认!X:X,MATCH($G88,绊状态确认!$B:$B,)))*$FA$29/$FA$69*$FA$27*(1-$FA$33),0)</f>
        <v>393.93433687500004</v>
      </c>
      <c r="BK88" s="1110">
        <f>IF(O88="vo",$EW$26/$EW$24*0.05+$EW$26*(-HP($EW$62,$EW$65,$EW$64)+HP($EW$62,$EW$65,(1.05-INDEX(绊状态确认!U:U,MATCH($G88,绊状态确认!$B:$B,)))*$EW$64)),0)+IF(O88="sk",-$EW$26/$EW$24*(0.05-INDEX(绊状态确认!W:W,MATCH($G88,绊状态确认!$B:$B,)))+0.05*$EW$29,0)+IF(O88="sp",0.05*$EW$32*$EW$30*(1-$EW$33)-(0.05-INDEX(绊状态确认!V:V,MATCH($G88,绊状态确认!$B:$B,)))*$EW$29,0)+IF(O88="gd",-(0.05-INDEX(绊状态确认!X:X,MATCH($G88,绊状态确认!$B:$B,)))*$EW$32*$EW$30*(1-$EW$33)+$EW$26*(-HP($EW$62,$EW$65,$EW$64)+HP($EW$62,$EW$65,0.95*$EW$64)),0)</f>
        <v>6421.6344775026746</v>
      </c>
      <c r="BL88" s="1111">
        <f t="shared" si="117"/>
        <v>-2166.6666666666665</v>
      </c>
      <c r="BM88" s="1110">
        <f t="shared" si="118"/>
        <v>-1661.1111111111109</v>
      </c>
      <c r="BN88" s="1113">
        <f t="shared" si="119"/>
        <v>2</v>
      </c>
      <c r="BO88" s="1097">
        <f t="shared" si="120"/>
        <v>3005.1476580839999</v>
      </c>
      <c r="BP88" s="1100">
        <f t="shared" si="121"/>
        <v>147.56068806020068</v>
      </c>
      <c r="BQ88" s="1113" t="s">
        <v>623</v>
      </c>
      <c r="BR88" s="1124" t="s">
        <v>168</v>
      </c>
      <c r="BS88" s="1098">
        <f>IF($P88="","N/A",IF($P88=-1,INDEX('卡片raw data'!AX:AX,MATCH($D88,'卡片raw data'!$F:$F,)),0)+IF($L88="party卡",IF($P88=5,INDEX('卡片raw data'!BD:BD,MATCH($D88,'卡片raw data'!$F:$F,)),IF($P88&gt;=3,INDEX('卡片raw data'!BC:BC,MATCH($D88,'卡片raw data'!$F:$F,)),INDEX('卡片raw data'!BB:BB,MATCH($D88,'卡片raw data'!$F:$F,)))),IF(OR(AND($F88="UR",$P88=0),AND($F88="SR",$P88&gt;=0,$P88&lt;=2),AND($F88="R",$P88&gt;=0,$P88&lt;4)),INDEX('卡片raw data'!AZ:AZ,MATCH($D88,'卡片raw data'!$F:$F,)),0)+IF(OR(AND($F88="UR",$P88&gt;=1,$P88&lt;=4),AND($F88="SR",$P88&lt;=4,$P88&gt;=3),AND($F88="R",$P88=4)),INDEX('卡片raw data'!BA:BA,MATCH($D88,'卡片raw data'!$F:$F,)),0)+IF($P88=5,INDEX('卡片raw data'!BB:BB,MATCH($D88,'卡片raw data'!$F:$F,)),0)))</f>
        <v>0.03</v>
      </c>
      <c r="BT88" s="1101">
        <f t="shared" si="122"/>
        <v>2253.8607435630001</v>
      </c>
      <c r="BU88" s="1097">
        <f t="shared" si="123"/>
        <v>110.67051604515049</v>
      </c>
      <c r="BV88" s="1097">
        <f t="shared" si="124"/>
        <v>0</v>
      </c>
      <c r="BW88" s="1112">
        <f t="shared" si="125"/>
        <v>0</v>
      </c>
      <c r="BX88" s="1100">
        <f t="shared" si="126"/>
        <v>2253.8607435630001</v>
      </c>
      <c r="BY88" s="1110">
        <f t="shared" si="127"/>
        <v>0</v>
      </c>
      <c r="BZ88" s="1107" t="s">
        <v>569</v>
      </c>
      <c r="CA88" s="1124"/>
      <c r="CB88" s="1098">
        <f>IF($P88="","N/A",IF($P88=-1,INDEX('卡片raw data'!BE:BE,MATCH($D88,'卡片raw data'!$F:$F,)),0)+IF($L88="party卡",IF($P88=5,INDEX('卡片raw data'!BK:BK,MATCH($D88,'卡片raw data'!$F:$F,)),IF($P88&gt;=3,INDEX('卡片raw data'!BJ:BJ,MATCH($D88,'卡片raw data'!$F:$F,)),INDEX('卡片raw data'!BI:BI,MATCH($D88,'卡片raw data'!$F:$F,)))),IF(OR(AND($F88="UR",$P88=0),AND($F88="SR",$P88&gt;=0,$P88&lt;=2),AND($F88="R",$P88&gt;=0,$P88&lt;4)),INDEX('卡片raw data'!BG:BG,MATCH($D88,'卡片raw data'!$F:$F,)),0)+IF(OR(AND($F88="UR",$P88&gt;=1,$P88&lt;=4),AND($F88="SR",$P88&lt;=4,$P88&gt;=3),AND($F88="R",$P88=4)),INDEX('卡片raw data'!BH:BH,MATCH($D88,'卡片raw data'!$F:$F,)),0)+IF($P88=5,INDEX('卡片raw data'!BI:BI,MATCH($D88,'卡片raw data'!$F:$F,)),0)))</f>
        <v>0</v>
      </c>
      <c r="CC88" s="1101">
        <f t="shared" si="128"/>
        <v>0</v>
      </c>
      <c r="CD88" s="1097">
        <f>IF(BZ88="ap",CB88*(1-$FI$26)*$FB$5/$FB$11*(+IF(CA88="全员",$FA$24,0)+IF(CA88="同作战",$FA$24,0)+IF(CA88="仲间",$FA$24*2/3,0)+IF(CA88="同属性",$FA$24*$FA$37/3,0)+IF(CA88="同年级",$FA$24*$FA$40/3,0)+IF(CA88="同学校",$FA$24*$FA$43/3,0)+IF(CA88="同小队",$FA$24*$FA$46/3,0)+IF(CA88="同type",$FA$24*INDEX($FB$49:$FB$52,MATCH(X88,$FA$49:$FA$52,))/3,0)+IF(CA88="自身",#REF!/3,0)),0)+IF(BZ88="te",CB88*(1-$FI$27)*($FA$20-1)*$FB$7/$FB$13*(+IF(CA88="全员",$FA$19*$FA$24/(1+($FA$20-1)*$FA$19),0)+IF(CA88="同作战",$FA$19*$FA$24/(1+($FA$20-1)*$FA$19),0)+IF(CA88="仲间",$FA$19*$FA$24*2/3/(1+($FA$20-1)*$FA$19),0)+IF(CA88="同属性",$FA$19*$FA$24*$FA$37/3/(1+($FA$20-1)*$FA$19),0)+IF(CA88="同年级",$FA$19*$FA$24*$FA$40/3/(1+($FA$20-1)*$FA$19),0)+IF(CA88="同学校",$FA$19*$FA$24*$FA$43/3/(1+($FA$20-1)*$FA$19),0)+IF(CA88="同小队",$FA$19*$FA$24*$FA$46/3/(1+($FA$20-1)*$FA$19),0)+IF(CA88="同type",$FA$19*$FA$24*INDEX($FB$49:$FB$52,MATCH(X88,$FA$49:$FA$52,))/3/(1+($FA$20-1)*$FA$19),0)+IF(CA88="自身",$FA$19*#REF!/3/(1+(BH88-1)*$BD88),0)),0)</f>
        <v>0</v>
      </c>
      <c r="CE88" s="1097">
        <f t="shared" si="129"/>
        <v>0</v>
      </c>
      <c r="CF88" s="1112">
        <f t="shared" si="130"/>
        <v>0</v>
      </c>
      <c r="CG88" s="1100">
        <f t="shared" si="131"/>
        <v>0</v>
      </c>
      <c r="CH88" s="1110">
        <f t="shared" si="132"/>
        <v>0</v>
      </c>
      <c r="CI88" s="1113"/>
      <c r="CJ88" s="1114"/>
      <c r="CK88" s="1115" t="s">
        <v>569</v>
      </c>
      <c r="CL88" s="1115"/>
      <c r="CM88" s="1119"/>
      <c r="CN88" s="1115"/>
      <c r="CO88" s="1092"/>
      <c r="CP88" s="1117">
        <f t="shared" si="133"/>
        <v>0</v>
      </c>
      <c r="CQ88" s="1117">
        <f t="shared" si="134"/>
        <v>0</v>
      </c>
      <c r="CR88" s="1117">
        <f t="shared" si="135"/>
        <v>0</v>
      </c>
      <c r="CS88" s="1118">
        <f t="shared" si="136"/>
        <v>0</v>
      </c>
      <c r="CT88" s="1109">
        <f t="shared" si="137"/>
        <v>0</v>
      </c>
      <c r="CU88" s="1101">
        <f t="shared" si="138"/>
        <v>0</v>
      </c>
      <c r="CV88" s="1108">
        <f t="shared" si="139"/>
        <v>0</v>
      </c>
      <c r="CW88" s="1097">
        <f t="shared" si="140"/>
        <v>0</v>
      </c>
      <c r="CX88" s="1097">
        <f t="shared" si="141"/>
        <v>0</v>
      </c>
      <c r="CY88" s="1110">
        <f t="shared" si="142"/>
        <v>0</v>
      </c>
      <c r="CZ88" s="437"/>
      <c r="DA88" s="438"/>
      <c r="DB88" s="439" t="s">
        <v>569</v>
      </c>
      <c r="DC88" s="439"/>
      <c r="DD88" s="443"/>
      <c r="DE88" s="411"/>
      <c r="DF88" s="411"/>
      <c r="DG88" s="1116">
        <f t="shared" si="143"/>
        <v>0</v>
      </c>
      <c r="DH88" s="1116">
        <f t="shared" si="144"/>
        <v>0</v>
      </c>
      <c r="DI88" s="1116">
        <f t="shared" si="145"/>
        <v>0</v>
      </c>
      <c r="DJ88" s="442">
        <f t="shared" si="146"/>
        <v>0</v>
      </c>
      <c r="DK88" s="1109">
        <f t="shared" si="147"/>
        <v>0</v>
      </c>
      <c r="DL88" s="1101">
        <f t="shared" si="148"/>
        <v>0</v>
      </c>
      <c r="DM88" s="1097">
        <f t="shared" si="149"/>
        <v>0</v>
      </c>
      <c r="DN88" s="1097">
        <f t="shared" si="150"/>
        <v>0</v>
      </c>
      <c r="DO88" s="1097">
        <f t="shared" si="151"/>
        <v>0</v>
      </c>
      <c r="DP88" s="1110">
        <f t="shared" si="152"/>
        <v>0</v>
      </c>
      <c r="DQ88" s="1113" t="s">
        <v>545</v>
      </c>
      <c r="DR88" s="1120">
        <f t="shared" si="153"/>
        <v>0.3</v>
      </c>
      <c r="DS88" s="1124"/>
      <c r="DT88" s="1093" t="s">
        <v>546</v>
      </c>
      <c r="DU88" s="1093"/>
      <c r="DV88" s="1097">
        <f>IF($P88="","N/A",IF(P88=-1,INDEX('卡片raw data'!AN:AN,MATCH(D88,'卡片raw data'!$F:$F,)),0)+IF(AND(L88&lt;&gt;"party卡",P88&lt;=2,P88&gt;=0),INDEX('卡片raw data'!AP:AP,MATCH(D88,'卡片raw data'!$F:$F,)),0)+IF(OR(AND(L88="party卡",P88&lt;=1),AND(P88&lt;=4,L88&lt;&gt;"party卡",P88&gt;=3)),INDEX('卡片raw data'!AQ:AQ,MATCH(D88,'卡片raw data'!$F:$F,)),0)+IF(OR(P88=5,AND(L88="party卡",P88&gt;=2)),INDEX('卡片raw data'!AR:AR,MATCH(D88,'卡片raw data'!$F:$F,)),0))</f>
        <v>400</v>
      </c>
      <c r="DW88" s="1098">
        <f t="shared" si="154"/>
        <v>0.3</v>
      </c>
      <c r="DX88" s="1098">
        <f t="shared" si="155"/>
        <v>0.3</v>
      </c>
      <c r="DY88" s="1125">
        <f t="shared" si="156"/>
        <v>40</v>
      </c>
      <c r="DZ88" s="1125">
        <f t="shared" si="157"/>
        <v>34.6</v>
      </c>
      <c r="EA88" s="1098">
        <f t="shared" si="158"/>
        <v>0</v>
      </c>
      <c r="EB88" s="1121">
        <f t="shared" si="159"/>
        <v>0</v>
      </c>
      <c r="EC88" s="1101">
        <f t="shared" si="160"/>
        <v>44</v>
      </c>
      <c r="ED88" s="1097">
        <f t="shared" si="161"/>
        <v>34.6</v>
      </c>
      <c r="EE88" s="1110">
        <f t="shared" si="162"/>
        <v>44</v>
      </c>
      <c r="EF88" s="1092" t="s">
        <v>711</v>
      </c>
      <c r="EG88" s="1120">
        <f t="shared" si="163"/>
        <v>0.3</v>
      </c>
      <c r="EH88" s="1124"/>
      <c r="EI88" s="1093"/>
      <c r="EJ88" s="1093"/>
      <c r="EK88" s="1097">
        <f>IF($P88="","N/A",IF(P88=-1,INDEX('卡片raw data'!AS:AS,MATCH(D88,'卡片raw data'!$F:$F,)),0)+IF(AND(L88&lt;&gt;"party卡",P88&lt;=2,P88&gt;=0),INDEX('卡片raw data'!AU:AU,MATCH(D88,'卡片raw data'!$F:$F,)),0)+IF(OR(AND(L88="party卡",P88&lt;=1),AND(P88&lt;=4,L88&lt;&gt;"party卡",P88&gt;=3)),INDEX('卡片raw data'!AV:AV,MATCH(D88,'卡片raw data'!$F:$F,)),0)+IF(OR(P88=5,AND(L88="party卡",P88&gt;=2)),INDEX('卡片raw data'!AW:AW,MATCH(D88,'卡片raw data'!$F:$F,)),0))</f>
        <v>0</v>
      </c>
      <c r="EL88" s="1098">
        <f t="shared" si="164"/>
        <v>0.3</v>
      </c>
      <c r="EM88" s="1098">
        <f t="shared" si="165"/>
        <v>0.3</v>
      </c>
      <c r="EN88" s="1125">
        <f t="shared" si="166"/>
        <v>0</v>
      </c>
      <c r="EO88" s="1125">
        <f t="shared" si="167"/>
        <v>0</v>
      </c>
      <c r="EP88" s="1098">
        <f t="shared" si="168"/>
        <v>0</v>
      </c>
      <c r="EQ88" s="1121">
        <f t="shared" si="169"/>
        <v>0</v>
      </c>
      <c r="ER88" s="1101">
        <f t="shared" si="170"/>
        <v>0</v>
      </c>
      <c r="ES88" s="1097">
        <f t="shared" si="171"/>
        <v>0</v>
      </c>
      <c r="ET88" s="1122">
        <f t="shared" si="172"/>
        <v>0</v>
      </c>
    </row>
    <row r="89" spans="2:154" ht="16.5" customHeight="1">
      <c r="B89" s="1123" t="str">
        <f>INDEX('卡片raw data'!B:B,MATCH($D89,'卡片raw data'!$F:$F,))</f>
        <v>练习爱</v>
      </c>
      <c r="C89" s="449" t="s">
        <v>66</v>
      </c>
      <c r="D89" s="408">
        <v>86</v>
      </c>
      <c r="E89" s="1090">
        <v>102051002</v>
      </c>
      <c r="F89" s="1090" t="str">
        <f>INDEX('卡片raw data'!C:C,MATCH($D89,'卡片raw data'!$F:$F,))</f>
        <v>R</v>
      </c>
      <c r="G89" s="1094" t="s">
        <v>354</v>
      </c>
      <c r="H89" s="411">
        <f>IFERROR(INDEX(绊状态确认!C:C,MATCH($G89,绊状态确认!$B:$B,)),"")</f>
        <v>205</v>
      </c>
      <c r="I89" s="450" t="str">
        <f>IFERROR(INDEX(绊状态确认!D:D,MATCH($G89,绊状态确认!$B:$B,)),"")</f>
        <v>虹</v>
      </c>
      <c r="J89" s="450" t="str">
        <f>IFERROR(INDEX(绊状态确认!E:E,MATCH($G89,绊状态确认!$B:$B,)),"")</f>
        <v>2年级</v>
      </c>
      <c r="K89" s="451" t="str">
        <f>IFERROR(INDEX(绊状态确认!F:F,MATCH($G89,绊状态确认!$B:$B,)),"")</f>
        <v>Diver Diva</v>
      </c>
      <c r="L89" s="1094" t="str">
        <f>INDEX('卡片raw data'!E:E,MATCH($D89,'卡片raw data'!$F:$F,))</f>
        <v>卡池卡</v>
      </c>
      <c r="M89" s="415">
        <v>43735</v>
      </c>
      <c r="N89" s="416">
        <v>0</v>
      </c>
      <c r="O89" s="1091" t="str">
        <f>INDEX('卡片raw data'!D:D,MATCH($D89,'卡片raw data'!$F:$F,))</f>
        <v>sk</v>
      </c>
      <c r="P89" s="417">
        <v>5</v>
      </c>
      <c r="Q89" s="1095">
        <f t="shared" si="88"/>
        <v>14872.975761812459</v>
      </c>
      <c r="R89" s="1096">
        <f t="shared" si="89"/>
        <v>0.17199999999999999</v>
      </c>
      <c r="S89" s="1097">
        <f t="shared" si="90"/>
        <v>10355.010117058988</v>
      </c>
      <c r="T89" s="1098">
        <f t="shared" si="91"/>
        <v>0.51700000000000002</v>
      </c>
      <c r="U89" s="1099">
        <f t="shared" si="92"/>
        <v>8.9268244371428569</v>
      </c>
      <c r="V89" s="1100">
        <f t="shared" si="93"/>
        <v>17580.661059864982</v>
      </c>
      <c r="W89" s="1101">
        <f t="shared" si="94"/>
        <v>3641.8612264717735</v>
      </c>
      <c r="X89" s="1096">
        <f t="shared" si="95"/>
        <v>4.2000000000000003E-2</v>
      </c>
      <c r="Y89" s="1097">
        <f t="shared" si="96"/>
        <v>707.68529805252865</v>
      </c>
      <c r="Z89" s="1102">
        <f t="shared" si="97"/>
        <v>8.9268244371428569</v>
      </c>
      <c r="AA89" s="1103">
        <f t="shared" si="98"/>
        <v>4349.5465245243022</v>
      </c>
      <c r="AB89" s="1101">
        <f t="shared" si="99"/>
        <v>4066.3369387302896</v>
      </c>
      <c r="AC89" s="1104">
        <f t="shared" si="100"/>
        <v>4.7E-2</v>
      </c>
      <c r="AD89" s="1105">
        <f t="shared" si="101"/>
        <v>1.8994224431818179E-2</v>
      </c>
      <c r="AE89" s="1128">
        <f t="shared" si="102"/>
        <v>-1.8962422952541544</v>
      </c>
      <c r="AF89" s="1130">
        <f t="shared" si="103"/>
        <v>0</v>
      </c>
      <c r="AG89" s="420">
        <f t="shared" si="104"/>
        <v>0</v>
      </c>
      <c r="AH89" s="420">
        <f t="shared" si="105"/>
        <v>0</v>
      </c>
      <c r="AI89" s="1097">
        <f t="shared" si="106"/>
        <v>0</v>
      </c>
      <c r="AJ89" s="420">
        <f t="shared" si="107"/>
        <v>0</v>
      </c>
      <c r="AK89" s="518">
        <f t="shared" si="108"/>
        <v>0</v>
      </c>
      <c r="AL89" s="1106">
        <f>IF($P89="","N/A",(IF($P89=-1,INDEX('卡片raw data'!S:S,MATCH($D89,'卡片raw data'!$F:$F,)),0)+IF($P89=0,INDEX('卡片raw data'!V:V,MATCH($D89,'卡片raw data'!$F:$F,)),0)+IF($P89=1,INDEX('卡片raw data'!Y:Y,MATCH($D89,'卡片raw data'!$F:$F,)),0)+IF($P89=2,INDEX('卡片raw data'!AB:AB,MATCH($D89,'卡片raw data'!$F:$F,)),0)+IF($P89=3,INDEX('卡片raw data'!AE:AE,MATCH($D89,'卡片raw data'!$F:$F,)),0)+IF($P89=4,INDEX('卡片raw data'!AH:AH,MATCH($D89,'卡片raw data'!$F:$F,)),0)+IF($P89=5,INDEX('卡片raw data'!AK:AK,MATCH($D89,'卡片raw data'!$F:$F,)),0)+INDEX('卡片raw data'!S:S,MATCH($D89,'卡片raw data'!$F:$F,))*(IF($F89="UR",0.04,0.033))*(IF($F89="UR",INDEX(绊状态确认!$S:$S,MATCH($G89,绊状态确认!$B:$B,))/2-40)+IF($F89="SR",INDEX(绊状态确认!$R:$R,MATCH($G89,绊状态确认!$B:$B,))/4-15))+IF($F89="R",INDEX(绊状态确认!$Q:$Q,MATCH($G89,绊状态确认!$B:$B,))/6-40/6)))*(INDEX(绊状态确认!$H:$H,MATCH($G89,绊状态确认!$B:$B,))+INDEX(绊状态确认!J:J,MATCH($G89,绊状态确认!$B:$B,)))</f>
        <v>5496.7667999999994</v>
      </c>
      <c r="AM89" s="1106">
        <f>IF($P89="","N/A",(IF($P89=-1,INDEX('卡片raw data'!T:T,MATCH($D89,'卡片raw data'!$F:$F,)),0)+IF($P89=0,INDEX('卡片raw data'!W:W,MATCH($D89,'卡片raw data'!$F:$F,)),0)+IF($P89=1,INDEX('卡片raw data'!Z:Z,MATCH($D89,'卡片raw data'!$F:$F,)),0)+IF($P89=2,INDEX('卡片raw data'!AC:AC,MATCH($D89,'卡片raw data'!$F:$F,)),0)+IF($P89=3,INDEX('卡片raw data'!AF:AF,MATCH($D89,'卡片raw data'!$F:$F,)),0)+IF($P89=4,INDEX('卡片raw data'!AI:AI,MATCH($D89,'卡片raw data'!$F:$F,)),0)+IF($P89=5,INDEX('卡片raw data'!AL:AL,MATCH($D89,'卡片raw data'!$F:$F,)),0)+INDEX('卡片raw data'!T:T,MATCH($D89,'卡片raw data'!$F:$F,))*(IF($F89="UR",0.04,0.033))*(IF($F89="UR",INDEX(绊状态确认!$S:$S,MATCH($G89,绊状态确认!$B:$B,))/2-40)+IF($F89="SR",INDEX(绊状态确认!$R:$R,MATCH($G89,绊状态确认!$B:$B,))/4-15))+IF($F89="R",INDEX(绊状态确认!$Q:$Q,MATCH($G89,绊状态确认!$B:$B,))/6-40/6)))*(INDEX(绊状态确认!$H:$H,MATCH($G89,绊状态确认!$B:$B,))+INDEX(绊状态确认!K:K,MATCH($G89,绊状态确认!$B:$B,)))</f>
        <v>4122.8591999999999</v>
      </c>
      <c r="AN89" s="1106">
        <f>IF($P89="","N/A",(IF($P89=-1,INDEX('卡片raw data'!U:U,MATCH($D89,'卡片raw data'!$F:$F,)),0)+IF($P89=0,INDEX('卡片raw data'!X:X,MATCH($D89,'卡片raw data'!$F:$F,)),0)+IF($P89=1,INDEX('卡片raw data'!AA:AA,MATCH($D89,'卡片raw data'!$F:$F,)),0)+IF($P89=2,INDEX('卡片raw data'!AD:AD,MATCH($D89,'卡片raw data'!$F:$F,)),0)+IF($P89=3,INDEX('卡片raw data'!AG:AG,MATCH($D89,'卡片raw data'!$F:$F,)),0)+IF($P89=4,INDEX('卡片raw data'!AJ:AJ,MATCH($D89,'卡片raw data'!$F:$F,)),0)+IF($P89=5,INDEX('卡片raw data'!AM:AM,MATCH($D89,'卡片raw data'!$F:$F,)),0)+INDEX('卡片raw data'!U:U,MATCH($D89,'卡片raw data'!$F:$F,))*(IF($F89="UR",0.04,0.033))*(IF($F89="UR",INDEX(绊状态确认!$S:$S,MATCH($G89,绊状态确认!$B:$B,))/2-40)+IF($F89="SR",INDEX(绊状态确认!$R:$R,MATCH($G89,绊状态确认!$B:$B,))/4-15))+IF($F89="R",INDEX(绊状态确认!$Q:$Q,MATCH($G89,绊状态确认!$B:$B,))/6-40/6)))*(INDEX(绊状态确认!$H:$H,MATCH($G89,绊状态确认!$B:$B,))+INDEX(绊状态确认!L:L,MATCH($G89,绊状态确认!$B:$B,)))</f>
        <v>4122.8591999999999</v>
      </c>
      <c r="AO89" s="1107">
        <f t="shared" si="109"/>
        <v>1</v>
      </c>
      <c r="AP89" s="1131">
        <f>1+(INDEX(绊状态确认!$T:$T,MATCH($G89,绊状态确认!$B:$B,))+0.2)*$AO89</f>
        <v>1.3</v>
      </c>
      <c r="AQ89" s="1108">
        <f t="shared" si="110"/>
        <v>17679.012849999999</v>
      </c>
      <c r="AR89" s="1097">
        <f>(AM89*(1+$EX$9)+$EX$35)*(1+(INDEX(绊状态确认!$T:$T,MATCH($G89,绊状态确认!$B:$B,))+0.2)*AO89)*IF(J89=$FF$17,1+$FE$17,1)*IF(I89=$FF$14,1+$FE$14,1)</f>
        <v>8331.702808</v>
      </c>
      <c r="AS89" s="1097">
        <f>(AN89*(1+$EX$10)+$EX$36)*(1+(INDEX(绊状态确认!$T:$T,MATCH($G89,绊状态确认!$B:$B,))+0.2)*AO89)*IF(J89=$FF$17,1+$FE$17,1)*IF(I89=$FF$14,1+$FE$14,1)</f>
        <v>10219.674503999999</v>
      </c>
      <c r="AT89" s="1093">
        <f>IF(AND(INDEX('卡片raw data'!AK:AK,MATCH($D89,'卡片raw data'!$F:$F,))&lt;INDEX('卡片raw data'!AM:AM,MATCH($D89,'卡片raw data'!$F:$F,)),INDEX('卡片raw data'!AL:AL,MATCH($D89,'卡片raw data'!$F:$F,))&lt;INDEX('卡片raw data'!AM:AM,MATCH($D89,'卡片raw data'!$F:$F,))),1,0)</f>
        <v>0</v>
      </c>
      <c r="AU89" s="1098">
        <f>MIN(AT89*0.15+AS89*0.00003+INDEX(绊状态确认!M:M,MATCH($G89,绊状态确认!$B:$B,)),1)</f>
        <v>0.33659023511999997</v>
      </c>
      <c r="AV89" s="1109">
        <f>(INDEX(绊状态确认!$N:$N,MATCH($G89,绊状态确认!$B:$B,))+1.5)*$EW$21</f>
        <v>2.6599999999999997</v>
      </c>
      <c r="AW89" s="1101">
        <f t="shared" si="111"/>
        <v>14311.626618003123</v>
      </c>
      <c r="AX89" s="1097">
        <f t="shared" si="112"/>
        <v>707.68529805252854</v>
      </c>
      <c r="AY89" s="1110">
        <f t="shared" si="113"/>
        <v>15019.311916055653</v>
      </c>
      <c r="AZ89" s="429">
        <f t="shared" si="114"/>
        <v>13318.695259999999</v>
      </c>
      <c r="BA89" s="431">
        <f t="shared" si="115"/>
        <v>15982.434311999998</v>
      </c>
      <c r="BB89" s="1097">
        <f>(AM89*(1+$FB$9)+$FB$35)*(1+(INDEX(绊状态确认!$T:$T,MATCH($G89,绊状态确认!$B:$B,))+0.2)*AO89)*IF(J89=$FF$17,1+$FE$17,1)*IF(I89=$FF$14,1+$FE$14,1)*(1+$FE$15)</f>
        <v>8331.702808</v>
      </c>
      <c r="BC89" s="1097">
        <f>(AN89*(1+$FB$10)+$FB$36)*(1+(INDEX(绊状态确认!$T:$T,MATCH($G89,绊状态确认!$B:$B,))+0.2)*AO89)*IF(J89=$FF$17,1+$FE$17,1)*IF(I89=$FF$14,1+$FE$14,1)*(1+$FE$15)</f>
        <v>10219.674503999999</v>
      </c>
      <c r="BD89" s="1104">
        <f>MIN(AT89*0.15+BC89*0.00003+INDEX(绊状态确认!M:M,MATCH($G89,绊状态确认!$B:$B,)),1)</f>
        <v>0.33659023511999997</v>
      </c>
      <c r="BE89" s="432">
        <f>(INDEX(绊状态确认!$N:$N,MATCH($G89,绊状态确认!$B:$B,))+1.5)</f>
        <v>1.9</v>
      </c>
      <c r="BF89" s="1139">
        <f t="array" ref="BF89">SUMPRODUCT(IF(AZ89*AP89*$FI$16:$FI$23*$FA$22&gt;=$FI$24,$FI$24,AZ89*AP89*$FI$16:$FI$23*$FA$22),$FJ$16:$FJ$23)</f>
        <v>26490.884872139999</v>
      </c>
      <c r="BG89" s="1125">
        <f t="array" ref="BG89">SUMPRODUCT(IF(BE89*AZ89*AP89*$FI$16:$FI$23*$FA$22&gt;=$FI$24,$FI$24,BE89*AZ89*AP89*$FI$16:$FI$23*$FA$22),$FJ$16:$FJ$23)</f>
        <v>50082.21757154799</v>
      </c>
      <c r="BH89" s="1110">
        <f t="shared" si="116"/>
        <v>11477.165697409293</v>
      </c>
      <c r="BI89" s="1111">
        <f>IF(O89="vo",$EW$26/$EW$24*0.05,0)+IF(O89="sk",-$EW$26/$EW$24*(0.05-INDEX(绊状态确认!W:W,MATCH($G89,绊状态确认!$B:$B,)))+0.05*$EW$28,0)+IF(O89="sp",0.05*$EW$32*$EW$30*(1-$EW$33)-(0.05-INDEX(绊状态确认!V:V,MATCH($G89,绊状态确认!$B:$B,)))*$EW$28,0)+IF(O89="gd",-(0.05-INDEX(绊状态确认!X:X,MATCH($G89,绊状态确认!$B:$B,)))*$EW$32*$EW$30*(1-$EW$33),0)</f>
        <v>-6253.6726349699375</v>
      </c>
      <c r="BJ89" s="1097">
        <f>IF(O89="vo",0.05*(1-$FI$26)*$FA$24,0)+IF(O89="sk",-(0.05-INDEX(绊状态确认!W:W,MATCH($G89,绊状态确认!$B:$B,)))*(1-$FI$26)*$FA$24+0.05*$FA$26,0)+IF(O89="sp",0.05*$FA$32*$FA$27*(1-$FA$33)/$FA$30+0.05*$FA$29/$FA$69*$FA$27*(1-$FA$33)-(0.05-INDEX(绊状态确认!V:V,MATCH($G89,绊状态确认!$B:$B,)))*$FA$26,0)+IF(O89="gd",-(0.05-INDEX(绊状态确认!X:X,MATCH($G89,绊状态确认!$B:$B,)))*$FA$32*$FA$27*(1-$FA$33)/$FA$30-(0.05-INDEX(绊状态确认!X:X,MATCH($G89,绊状态确认!$B:$B,)))*$FA$29/$FA$69*$FA$27*(1-$FA$33),0)</f>
        <v>20.459096812499922</v>
      </c>
      <c r="BK89" s="1110">
        <f>IF(O89="vo",$EW$26/$EW$24*0.05+$EW$26*(-HP($EW$62,$EW$65,$EW$64)+HP($EW$62,$EW$65,(1.05-INDEX(绊状态确认!U:U,MATCH($G89,绊状态确认!$B:$B,)))*$EW$64)),0)+IF(O89="sk",-$EW$26/$EW$24*(0.05-INDEX(绊状态确认!W:W,MATCH($G89,绊状态确认!$B:$B,)))+0.05*$EW$29,0)+IF(O89="sp",0.05*$EW$32*$EW$30*(1-$EW$33)-(0.05-INDEX(绊状态确认!V:V,MATCH($G89,绊状态确认!$B:$B,)))*$EW$29,0)+IF(O89="gd",-(0.05-INDEX(绊状态确认!X:X,MATCH($G89,绊状态确认!$B:$B,)))*$EW$32*$EW$30*(1-$EW$33)+$EW$26*(-HP($EW$62,$EW$65,$EW$64)+HP($EW$62,$EW$65,0.95*$EW$64)),0)</f>
        <v>-4253.6726349699375</v>
      </c>
      <c r="BL89" s="1111">
        <f t="shared" si="117"/>
        <v>-2166.6666666666665</v>
      </c>
      <c r="BM89" s="1110">
        <f t="shared" si="118"/>
        <v>-1661.1111111111109</v>
      </c>
      <c r="BN89" s="1113">
        <f t="shared" si="119"/>
        <v>2</v>
      </c>
      <c r="BO89" s="1097">
        <f t="shared" si="120"/>
        <v>3005.1476580839999</v>
      </c>
      <c r="BP89" s="1100">
        <f t="shared" si="121"/>
        <v>147.56068806020068</v>
      </c>
      <c r="BQ89" s="1113" t="s">
        <v>626</v>
      </c>
      <c r="BR89" s="1124" t="s">
        <v>617</v>
      </c>
      <c r="BS89" s="1098">
        <f>IF($P89="","N/A",IF($P89=-1,INDEX('卡片raw data'!AX:AX,MATCH($D89,'卡片raw data'!$F:$F,)),0)+IF($L89="party卡",IF($P89=5,INDEX('卡片raw data'!BD:BD,MATCH($D89,'卡片raw data'!$F:$F,)),IF($P89&gt;=3,INDEX('卡片raw data'!BC:BC,MATCH($D89,'卡片raw data'!$F:$F,)),INDEX('卡片raw data'!BB:BB,MATCH($D89,'卡片raw data'!$F:$F,)))),IF(OR(AND($F89="UR",$P89=0),AND($F89="SR",$P89&gt;=0,$P89&lt;=2),AND($F89="R",$P89&gt;=0,$P89&lt;4)),INDEX('卡片raw data'!AZ:AZ,MATCH($D89,'卡片raw data'!$F:$F,)),0)+IF(OR(AND($F89="UR",$P89&gt;=1,$P89&lt;=4),AND($F89="SR",$P89&lt;=4,$P89&gt;=3),AND($F89="R",$P89=4)),INDEX('卡片raw data'!BA:BA,MATCH($D89,'卡片raw data'!$F:$F,)),0)+IF($P89=5,INDEX('卡片raw data'!BB:BB,MATCH($D89,'卡片raw data'!$F:$F,)),0)))</f>
        <v>2.7E-2</v>
      </c>
      <c r="BT89" s="1101">
        <f t="shared" si="122"/>
        <v>1061.1892806462897</v>
      </c>
      <c r="BU89" s="1097">
        <f t="shared" si="123"/>
        <v>76.759215015347351</v>
      </c>
      <c r="BV89" s="1097">
        <f t="shared" si="124"/>
        <v>636.71356838777365</v>
      </c>
      <c r="BW89" s="1112">
        <f t="shared" si="125"/>
        <v>0</v>
      </c>
      <c r="BX89" s="1100">
        <f t="shared" si="126"/>
        <v>1061.1892806462897</v>
      </c>
      <c r="BY89" s="1110">
        <f t="shared" si="127"/>
        <v>636.71356838777365</v>
      </c>
      <c r="BZ89" s="1107" t="s">
        <v>569</v>
      </c>
      <c r="CA89" s="1124"/>
      <c r="CB89" s="1098">
        <f>IF($P89="","N/A",IF($P89=-1,INDEX('卡片raw data'!BE:BE,MATCH($D89,'卡片raw data'!$F:$F,)),0)+IF($L89="party卡",IF($P89=5,INDEX('卡片raw data'!BK:BK,MATCH($D89,'卡片raw data'!$F:$F,)),IF($P89&gt;=3,INDEX('卡片raw data'!BJ:BJ,MATCH($D89,'卡片raw data'!$F:$F,)),INDEX('卡片raw data'!BI:BI,MATCH($D89,'卡片raw data'!$F:$F,)))),IF(OR(AND($F89="UR",$P89=0),AND($F89="SR",$P89&gt;=0,$P89&lt;=2),AND($F89="R",$P89&gt;=0,$P89&lt;4)),INDEX('卡片raw data'!BG:BG,MATCH($D89,'卡片raw data'!$F:$F,)),0)+IF(OR(AND($F89="UR",$P89&gt;=1,$P89&lt;=4),AND($F89="SR",$P89&lt;=4,$P89&gt;=3),AND($F89="R",$P89=4)),INDEX('卡片raw data'!BH:BH,MATCH($D89,'卡片raw data'!$F:$F,)),0)+IF($P89=5,INDEX('卡片raw data'!BI:BI,MATCH($D89,'卡片raw data'!$F:$F,)),0)))</f>
        <v>0</v>
      </c>
      <c r="CC89" s="1101">
        <f t="shared" si="128"/>
        <v>0</v>
      </c>
      <c r="CD89" s="1097">
        <f>IF(BZ89="ap",CB89*(1-$FI$26)*$FB$5/$FB$11*(+IF(CA89="全员",$FA$24,0)+IF(CA89="同作战",$FA$24,0)+IF(CA89="仲间",$FA$24*2/3,0)+IF(CA89="同属性",$FA$24*$FA$37/3,0)+IF(CA89="同年级",$FA$24*$FA$40/3,0)+IF(CA89="同学校",$FA$24*$FA$43/3,0)+IF(CA89="同小队",$FA$24*$FA$46/3,0)+IF(CA89="同type",$FA$24*INDEX($FB$49:$FB$52,MATCH(X89,$FA$49:$FA$52,))/3,0)+IF(CA89="自身",#REF!/3,0)),0)+IF(BZ89="te",CB89*(1-$FI$27)*($FA$20-1)*$FB$7/$FB$13*(+IF(CA89="全员",$FA$19*$FA$24/(1+($FA$20-1)*$FA$19),0)+IF(CA89="同作战",$FA$19*$FA$24/(1+($FA$20-1)*$FA$19),0)+IF(CA89="仲间",$FA$19*$FA$24*2/3/(1+($FA$20-1)*$FA$19),0)+IF(CA89="同属性",$FA$19*$FA$24*$FA$37/3/(1+($FA$20-1)*$FA$19),0)+IF(CA89="同年级",$FA$19*$FA$24*$FA$40/3/(1+($FA$20-1)*$FA$19),0)+IF(CA89="同学校",$FA$19*$FA$24*$FA$43/3/(1+($FA$20-1)*$FA$19),0)+IF(CA89="同小队",$FA$19*$FA$24*$FA$46/3/(1+($FA$20-1)*$FA$19),0)+IF(CA89="同type",$FA$19*$FA$24*INDEX($FB$49:$FB$52,MATCH(X89,$FA$49:$FA$52,))/3/(1+($FA$20-1)*$FA$19),0)+IF(CA89="自身",$FA$19*#REF!/3/(1+(BH89-1)*$BD89),0)),0)</f>
        <v>0</v>
      </c>
      <c r="CE89" s="1097">
        <f t="shared" si="129"/>
        <v>0</v>
      </c>
      <c r="CF89" s="1112">
        <f t="shared" si="130"/>
        <v>0</v>
      </c>
      <c r="CG89" s="1100">
        <f t="shared" si="131"/>
        <v>0</v>
      </c>
      <c r="CH89" s="1110">
        <f t="shared" si="132"/>
        <v>0</v>
      </c>
      <c r="CI89" s="1113"/>
      <c r="CJ89" s="1114"/>
      <c r="CK89" s="1115" t="s">
        <v>569</v>
      </c>
      <c r="CL89" s="1115"/>
      <c r="CM89" s="1119"/>
      <c r="CN89" s="1115"/>
      <c r="CO89" s="1092"/>
      <c r="CP89" s="1117">
        <f t="shared" si="133"/>
        <v>0</v>
      </c>
      <c r="CQ89" s="1117">
        <f t="shared" si="134"/>
        <v>0</v>
      </c>
      <c r="CR89" s="1117">
        <f t="shared" si="135"/>
        <v>0</v>
      </c>
      <c r="CS89" s="1118">
        <f t="shared" si="136"/>
        <v>0</v>
      </c>
      <c r="CT89" s="1109">
        <f t="shared" si="137"/>
        <v>0</v>
      </c>
      <c r="CU89" s="1101">
        <f t="shared" si="138"/>
        <v>0</v>
      </c>
      <c r="CV89" s="1108">
        <f t="shared" si="139"/>
        <v>0</v>
      </c>
      <c r="CW89" s="1097">
        <f t="shared" si="140"/>
        <v>0</v>
      </c>
      <c r="CX89" s="1097">
        <f t="shared" si="141"/>
        <v>0</v>
      </c>
      <c r="CY89" s="1110">
        <f t="shared" si="142"/>
        <v>0</v>
      </c>
      <c r="CZ89" s="437"/>
      <c r="DA89" s="438"/>
      <c r="DB89" s="439" t="s">
        <v>569</v>
      </c>
      <c r="DC89" s="439"/>
      <c r="DD89" s="443"/>
      <c r="DE89" s="411"/>
      <c r="DF89" s="411"/>
      <c r="DG89" s="1116">
        <f t="shared" si="143"/>
        <v>0</v>
      </c>
      <c r="DH89" s="1116">
        <f t="shared" si="144"/>
        <v>0</v>
      </c>
      <c r="DI89" s="1116">
        <f t="shared" si="145"/>
        <v>0</v>
      </c>
      <c r="DJ89" s="442">
        <f t="shared" si="146"/>
        <v>0</v>
      </c>
      <c r="DK89" s="1109">
        <f t="shared" si="147"/>
        <v>0</v>
      </c>
      <c r="DL89" s="1101">
        <f t="shared" si="148"/>
        <v>0</v>
      </c>
      <c r="DM89" s="1097">
        <f t="shared" si="149"/>
        <v>0</v>
      </c>
      <c r="DN89" s="1097">
        <f t="shared" si="150"/>
        <v>0</v>
      </c>
      <c r="DO89" s="1097">
        <f t="shared" si="151"/>
        <v>0</v>
      </c>
      <c r="DP89" s="1110">
        <f t="shared" si="152"/>
        <v>0</v>
      </c>
      <c r="DQ89" s="1113" t="s">
        <v>550</v>
      </c>
      <c r="DR89" s="1120">
        <f t="shared" si="153"/>
        <v>0.3</v>
      </c>
      <c r="DS89" s="1124">
        <v>10</v>
      </c>
      <c r="DT89" s="1093" t="s">
        <v>161</v>
      </c>
      <c r="DU89" s="1093" t="s">
        <v>544</v>
      </c>
      <c r="DV89" s="1098">
        <f>IF($P89="","N/A",IF(P89=-1,INDEX('卡片raw data'!AN:AN,MATCH(D89,'卡片raw data'!$F:$F,)),0)+IF(AND(L89&lt;&gt;"party卡",P89&lt;=2,P89&gt;=0),INDEX('卡片raw data'!AP:AP,MATCH(D89,'卡片raw data'!$F:$F,)),0)+IF(OR(AND(L89="party卡",P89&lt;=1),AND(P89&lt;=4,L89&lt;&gt;"party卡",P89&gt;=3)),INDEX('卡片raw data'!AQ:AQ,MATCH(D89,'卡片raw data'!$F:$F,)),0)+IF(OR(P89=5,AND(L89="party卡",P89&gt;=2)),INDEX('卡片raw data'!AR:AR,MATCH(D89,'卡片raw data'!$F:$F,)),0))</f>
        <v>4.2000000000000003E-2</v>
      </c>
      <c r="DW89" s="1098">
        <f t="shared" si="154"/>
        <v>0.3</v>
      </c>
      <c r="DX89" s="1098">
        <f t="shared" si="155"/>
        <v>0.3</v>
      </c>
      <c r="DY89" s="1098">
        <f t="shared" si="156"/>
        <v>4.1999999999999996E-2</v>
      </c>
      <c r="DZ89" s="1098">
        <f t="shared" si="157"/>
        <v>3.6329999999999994E-2</v>
      </c>
      <c r="EA89" s="1098">
        <f t="shared" si="158"/>
        <v>0</v>
      </c>
      <c r="EB89" s="1121">
        <f t="shared" si="159"/>
        <v>0</v>
      </c>
      <c r="EC89" s="1101">
        <f t="shared" si="160"/>
        <v>4915.3515067156495</v>
      </c>
      <c r="ED89" s="1097">
        <f t="shared" si="161"/>
        <v>294.17653087275926</v>
      </c>
      <c r="EE89" s="1110">
        <f t="shared" si="162"/>
        <v>4915.3515067156495</v>
      </c>
      <c r="EF89" s="1092" t="s">
        <v>711</v>
      </c>
      <c r="EG89" s="1120">
        <f t="shared" si="163"/>
        <v>0.3</v>
      </c>
      <c r="EH89" s="1124"/>
      <c r="EI89" s="1093"/>
      <c r="EJ89" s="1093"/>
      <c r="EK89" s="1097">
        <f>IF($P89="","N/A",IF(P89=-1,INDEX('卡片raw data'!AS:AS,MATCH(D89,'卡片raw data'!$F:$F,)),0)+IF(AND(L89&lt;&gt;"party卡",P89&lt;=2,P89&gt;=0),INDEX('卡片raw data'!AU:AU,MATCH(D89,'卡片raw data'!$F:$F,)),0)+IF(OR(AND(L89="party卡",P89&lt;=1),AND(P89&lt;=4,L89&lt;&gt;"party卡",P89&gt;=3)),INDEX('卡片raw data'!AV:AV,MATCH(D89,'卡片raw data'!$F:$F,)),0)+IF(OR(P89=5,AND(L89="party卡",P89&gt;=2)),INDEX('卡片raw data'!AW:AW,MATCH(D89,'卡片raw data'!$F:$F,)),0))</f>
        <v>0</v>
      </c>
      <c r="EL89" s="1098">
        <f t="shared" si="164"/>
        <v>0.3</v>
      </c>
      <c r="EM89" s="1098">
        <f t="shared" si="165"/>
        <v>0.3</v>
      </c>
      <c r="EN89" s="1125">
        <f t="shared" si="166"/>
        <v>0</v>
      </c>
      <c r="EO89" s="1125">
        <f t="shared" si="167"/>
        <v>0</v>
      </c>
      <c r="EP89" s="1098">
        <f t="shared" si="168"/>
        <v>0</v>
      </c>
      <c r="EQ89" s="1121">
        <f t="shared" si="169"/>
        <v>0</v>
      </c>
      <c r="ER89" s="1101">
        <f t="shared" si="170"/>
        <v>0</v>
      </c>
      <c r="ES89" s="1097">
        <f t="shared" si="171"/>
        <v>0</v>
      </c>
      <c r="ET89" s="1122">
        <f t="shared" si="172"/>
        <v>0</v>
      </c>
    </row>
    <row r="90" spans="2:154" ht="16.5" customHeight="1">
      <c r="B90" s="1123" t="str">
        <f>INDEX('卡片raw data'!B:B,MATCH($D90,'卡片raw data'!$F:$F,))</f>
        <v>一专爱</v>
      </c>
      <c r="C90" s="449" t="s">
        <v>69</v>
      </c>
      <c r="D90" s="408">
        <v>87</v>
      </c>
      <c r="E90" s="1090">
        <v>102052001</v>
      </c>
      <c r="F90" s="1090" t="str">
        <f>INDEX('卡片raw data'!C:C,MATCH($D90,'卡片raw data'!$F:$F,))</f>
        <v>SR</v>
      </c>
      <c r="G90" s="1094" t="s">
        <v>354</v>
      </c>
      <c r="H90" s="411">
        <f>IFERROR(INDEX(绊状态确认!C:C,MATCH($G90,绊状态确认!$B:$B,)),"")</f>
        <v>205</v>
      </c>
      <c r="I90" s="450" t="str">
        <f>IFERROR(INDEX(绊状态确认!D:D,MATCH($G90,绊状态确认!$B:$B,)),"")</f>
        <v>虹</v>
      </c>
      <c r="J90" s="450" t="str">
        <f>IFERROR(INDEX(绊状态确认!E:E,MATCH($G90,绊状态确认!$B:$B,)),"")</f>
        <v>2年级</v>
      </c>
      <c r="K90" s="451" t="str">
        <f>IFERROR(INDEX(绊状态确认!F:F,MATCH($G90,绊状态确认!$B:$B,)),"")</f>
        <v>Diver Diva</v>
      </c>
      <c r="L90" s="1094" t="str">
        <f>INDEX('卡片raw data'!E:E,MATCH($D90,'卡片raw data'!$F:$F,))</f>
        <v>卡池卡</v>
      </c>
      <c r="M90" s="415">
        <v>43735</v>
      </c>
      <c r="N90" s="416">
        <v>0</v>
      </c>
      <c r="O90" s="1091" t="str">
        <f>INDEX('卡片raw data'!D:D,MATCH($D90,'卡片raw data'!$F:$F,))</f>
        <v>gd</v>
      </c>
      <c r="P90" s="417">
        <v>5</v>
      </c>
      <c r="Q90" s="1095">
        <f t="shared" si="88"/>
        <v>22654.254926002755</v>
      </c>
      <c r="R90" s="1096">
        <f t="shared" si="89"/>
        <v>0.26300000000000001</v>
      </c>
      <c r="S90" s="1097">
        <f t="shared" si="90"/>
        <v>12797.40148844326</v>
      </c>
      <c r="T90" s="1098">
        <f t="shared" si="91"/>
        <v>0.63900000000000001</v>
      </c>
      <c r="U90" s="1099">
        <f t="shared" si="92"/>
        <v>73.112176471542867</v>
      </c>
      <c r="V90" s="1100">
        <f t="shared" si="93"/>
        <v>30092.519930586444</v>
      </c>
      <c r="W90" s="1101">
        <f t="shared" si="94"/>
        <v>4507.7214871259994</v>
      </c>
      <c r="X90" s="1096">
        <f t="shared" si="95"/>
        <v>5.1999999999999998E-2</v>
      </c>
      <c r="Y90" s="1097">
        <f t="shared" si="96"/>
        <v>1032.0419375251904</v>
      </c>
      <c r="Z90" s="1102">
        <f t="shared" si="97"/>
        <v>12.362176471542858</v>
      </c>
      <c r="AA90" s="1103">
        <f t="shared" si="98"/>
        <v>5539.7634246511898</v>
      </c>
      <c r="AB90" s="1101">
        <f t="shared" si="99"/>
        <v>4881.0410483648411</v>
      </c>
      <c r="AC90" s="1104">
        <f t="shared" si="100"/>
        <v>5.6000000000000001E-2</v>
      </c>
      <c r="AD90" s="1105">
        <f t="shared" si="101"/>
        <v>-3.8207812500000026E-3</v>
      </c>
      <c r="AE90" s="1128">
        <f t="shared" si="102"/>
        <v>-18.525362318840578</v>
      </c>
      <c r="AF90" s="1130">
        <f t="shared" si="103"/>
        <v>0</v>
      </c>
      <c r="AG90" s="420">
        <f t="shared" si="104"/>
        <v>0</v>
      </c>
      <c r="AH90" s="420">
        <f t="shared" si="105"/>
        <v>0</v>
      </c>
      <c r="AI90" s="1097">
        <f t="shared" si="106"/>
        <v>0</v>
      </c>
      <c r="AJ90" s="420">
        <f t="shared" si="107"/>
        <v>0</v>
      </c>
      <c r="AK90" s="518">
        <f t="shared" si="108"/>
        <v>0</v>
      </c>
      <c r="AL90" s="1106">
        <f>IF($P90="","N/A",(IF($P90=-1,INDEX('卡片raw data'!S:S,MATCH($D90,'卡片raw data'!$F:$F,)),0)+IF($P90=0,INDEX('卡片raw data'!V:V,MATCH($D90,'卡片raw data'!$F:$F,)),0)+IF($P90=1,INDEX('卡片raw data'!Y:Y,MATCH($D90,'卡片raw data'!$F:$F,)),0)+IF($P90=2,INDEX('卡片raw data'!AB:AB,MATCH($D90,'卡片raw data'!$F:$F,)),0)+IF($P90=3,INDEX('卡片raw data'!AE:AE,MATCH($D90,'卡片raw data'!$F:$F,)),0)+IF($P90=4,INDEX('卡片raw data'!AH:AH,MATCH($D90,'卡片raw data'!$F:$F,)),0)+IF($P90=5,INDEX('卡片raw data'!AK:AK,MATCH($D90,'卡片raw data'!$F:$F,)),0)+INDEX('卡片raw data'!S:S,MATCH($D90,'卡片raw data'!$F:$F,))*(IF($F90="UR",0.04,0.033))*(IF($F90="UR",INDEX(绊状态确认!$S:$S,MATCH($G90,绊状态确认!$B:$B,))/2-40)+IF($F90="SR",INDEX(绊状态确认!$R:$R,MATCH($G90,绊状态确认!$B:$B,))/4-15))+IF($F90="R",INDEX(绊状态确认!$Q:$Q,MATCH($G90,绊状态确认!$B:$B,))/6-40/6)))*(INDEX(绊状态确认!$H:$H,MATCH($G90,绊状态确认!$B:$B,))+INDEX(绊状态确认!J:J,MATCH($G90,绊状态确认!$B:$B,)))</f>
        <v>5671.8178559999997</v>
      </c>
      <c r="AM90" s="1106">
        <f>IF($P90="","N/A",(IF($P90=-1,INDEX('卡片raw data'!T:T,MATCH($D90,'卡片raw data'!$F:$F,)),0)+IF($P90=0,INDEX('卡片raw data'!W:W,MATCH($D90,'卡片raw data'!$F:$F,)),0)+IF($P90=1,INDEX('卡片raw data'!Z:Z,MATCH($D90,'卡片raw data'!$F:$F,)),0)+IF($P90=2,INDEX('卡片raw data'!AC:AC,MATCH($D90,'卡片raw data'!$F:$F,)),0)+IF($P90=3,INDEX('卡片raw data'!AF:AF,MATCH($D90,'卡片raw data'!$F:$F,)),0)+IF($P90=4,INDEX('卡片raw data'!AI:AI,MATCH($D90,'卡片raw data'!$F:$F,)),0)+IF($P90=5,INDEX('卡片raw data'!AL:AL,MATCH($D90,'卡片raw data'!$F:$F,)),0)+INDEX('卡片raw data'!T:T,MATCH($D90,'卡片raw data'!$F:$F,))*(IF($F90="UR",0.04,0.033))*(IF($F90="UR",INDEX(绊状态确认!$S:$S,MATCH($G90,绊状态确认!$B:$B,))/2-40)+IF($F90="SR",INDEX(绊状态确认!$R:$R,MATCH($G90,绊状态确认!$B:$B,))/4-15))+IF($F90="R",INDEX(绊状态确认!$Q:$Q,MATCH($G90,绊状态确认!$B:$B,))/6-40/6)))*(INDEX(绊状态确认!$H:$H,MATCH($G90,绊状态确认!$B:$B,))+INDEX(绊状态确认!K:K,MATCH($G90,绊状态确认!$B:$B,)))</f>
        <v>5671.8178559999997</v>
      </c>
      <c r="AN90" s="1106">
        <f>IF($P90="","N/A",(IF($P90=-1,INDEX('卡片raw data'!U:U,MATCH($D90,'卡片raw data'!$F:$F,)),0)+IF($P90=0,INDEX('卡片raw data'!X:X,MATCH($D90,'卡片raw data'!$F:$F,)),0)+IF($P90=1,INDEX('卡片raw data'!AA:AA,MATCH($D90,'卡片raw data'!$F:$F,)),0)+IF($P90=2,INDEX('卡片raw data'!AD:AD,MATCH($D90,'卡片raw data'!$F:$F,)),0)+IF($P90=3,INDEX('卡片raw data'!AG:AG,MATCH($D90,'卡片raw data'!$F:$F,)),0)+IF($P90=4,INDEX('卡片raw data'!AJ:AJ,MATCH($D90,'卡片raw data'!$F:$F,)),0)+IF($P90=5,INDEX('卡片raw data'!AM:AM,MATCH($D90,'卡片raw data'!$F:$F,)),0)+INDEX('卡片raw data'!U:U,MATCH($D90,'卡片raw data'!$F:$F,))*(IF($F90="UR",0.04,0.033))*(IF($F90="UR",INDEX(绊状态确认!$S:$S,MATCH($G90,绊状态确认!$B:$B,))/2-40)+IF($F90="SR",INDEX(绊状态确认!$R:$R,MATCH($G90,绊状态确认!$B:$B,))/4-15))+IF($F90="R",INDEX(绊状态确认!$Q:$Q,MATCH($G90,绊状态确认!$B:$B,))/6-40/6)))*(INDEX(绊状态确认!$H:$H,MATCH($G90,绊状态确认!$B:$B,))+INDEX(绊状态确认!L:L,MATCH($G90,绊状态确认!$B:$B,)))</f>
        <v>7562.4238079999996</v>
      </c>
      <c r="AO90" s="1107">
        <f t="shared" si="109"/>
        <v>1</v>
      </c>
      <c r="AP90" s="1131">
        <f>1+(INDEX(绊状态确认!$T:$T,MATCH($G90,绊状态确认!$B:$B,))+0.2)*$AO90</f>
        <v>1.3</v>
      </c>
      <c r="AQ90" s="1108">
        <f t="shared" si="110"/>
        <v>18138.521871999998</v>
      </c>
      <c r="AR90" s="1097">
        <f>(AM90*(1+$EX$9)+$EX$35)*(1+(INDEX(绊状态确认!$T:$T,MATCH($G90,绊状态确认!$B:$B,))+0.2)*AO90)*IF(J90=$FF$17,1+$FE$17,1)*IF(I90=$FF$14,1+$FE$14,1)</f>
        <v>10446.031373440001</v>
      </c>
      <c r="AS90" s="1097">
        <f>(AN90*(1+$EX$10)+$EX$36)*(1+(INDEX(绊状态确认!$T:$T,MATCH($G90,绊状态确认!$B:$B,))+0.2)*AO90)*IF(J90=$FF$17,1+$FE$17,1)*IF(I90=$FF$14,1+$FE$14,1)</f>
        <v>15361.82359296</v>
      </c>
      <c r="AT90" s="1093">
        <f>IF(AND(INDEX('卡片raw data'!AK:AK,MATCH($D90,'卡片raw data'!$F:$F,))&lt;INDEX('卡片raw data'!AM:AM,MATCH($D90,'卡片raw data'!$F:$F,)),INDEX('卡片raw data'!AL:AL,MATCH($D90,'卡片raw data'!$F:$F,))&lt;INDEX('卡片raw data'!AM:AM,MATCH($D90,'卡片raw data'!$F:$F,))),1,0)</f>
        <v>1</v>
      </c>
      <c r="AU90" s="1098">
        <f>MIN(AT90*0.15+AS90*0.00003+INDEX(绊状态确认!M:M,MATCH($G90,绊状态确认!$B:$B,)),1)</f>
        <v>0.64085470778880005</v>
      </c>
      <c r="AV90" s="1109">
        <f>(INDEX(绊状态确认!$N:$N,MATCH($G90,绊状态确认!$B:$B,))+1.5)*$EW$21</f>
        <v>2.6599999999999997</v>
      </c>
      <c r="AW90" s="1101">
        <f t="shared" si="111"/>
        <v>19441.547210971246</v>
      </c>
      <c r="AX90" s="1097">
        <f t="shared" si="112"/>
        <v>891.38596643190999</v>
      </c>
      <c r="AY90" s="1110">
        <f t="shared" si="113"/>
        <v>20332.933177403156</v>
      </c>
      <c r="AZ90" s="429">
        <f t="shared" si="114"/>
        <v>13660.044819199999</v>
      </c>
      <c r="BA90" s="431">
        <f t="shared" si="115"/>
        <v>16392.053783039999</v>
      </c>
      <c r="BB90" s="1097">
        <f>(AM90*(1+$FB$9)+$FB$35)*(1+(INDEX(绊状态确认!$T:$T,MATCH($G90,绊状态确认!$B:$B,))+0.2)*AO90)*IF(J90=$FF$17,1+$FE$17,1)*IF(I90=$FF$14,1+$FE$14,1)*(1+$FE$15)</f>
        <v>10446.031373440001</v>
      </c>
      <c r="BC90" s="1097">
        <f>(AN90*(1+$FB$10)+$FB$36)*(1+(INDEX(绊状态确认!$T:$T,MATCH($G90,绊状态确认!$B:$B,))+0.2)*AO90)*IF(J90=$FF$17,1+$FE$17,1)*IF(I90=$FF$14,1+$FE$14,1)*(1+$FE$15)</f>
        <v>15361.82359296</v>
      </c>
      <c r="BD90" s="1104">
        <f>MIN(AT90*0.15+BC90*0.00003+INDEX(绊状态确认!M:M,MATCH($G90,绊状态确认!$B:$B,)),1)</f>
        <v>0.64085470778880005</v>
      </c>
      <c r="BE90" s="432">
        <f>(INDEX(绊状态确认!$N:$N,MATCH($G90,绊状态确认!$B:$B,))+1.5)</f>
        <v>1.9</v>
      </c>
      <c r="BF90" s="1139">
        <f t="array" ref="BF90">SUMPRODUCT(IF(AZ90*AP90*$FI$16:$FI$23*$FA$22&gt;=$FI$24,$FI$24,AZ90*AP90*$FI$16:$FI$23*$FA$22),$FJ$16:$FJ$23)</f>
        <v>27169.829145388805</v>
      </c>
      <c r="BG90" s="1125">
        <f t="array" ref="BG90">SUMPRODUCT(IF(BE90*AZ90*AP90*$FI$16:$FI$23*$FA$22&gt;=$FI$24,$FI$24,BE90*AZ90*AP90*$FI$16:$FI$23*$FA$22),$FJ$16:$FJ$23)</f>
        <v>51138.760415971832</v>
      </c>
      <c r="BH90" s="1110">
        <f t="shared" si="116"/>
        <v>14176.810530269375</v>
      </c>
      <c r="BI90" s="1111">
        <f>IF(O90="vo",$EW$26/$EW$24*0.05,0)+IF(O90="sk",-$EW$26/$EW$24*(0.05-INDEX(绊状态确认!W:W,MATCH($G90,绊状态确认!$B:$B,)))+0.05*$EW$28,0)+IF(O90="sp",0.05*$EW$32*$EW$30*(1-$EW$33)-(0.05-INDEX(绊状态确认!V:V,MATCH($G90,绊状态确认!$B:$B,)))*$EW$28,0)+IF(O90="gd",-(0.05-INDEX(绊状态确认!X:X,MATCH($G90,绊状态确认!$B:$B,)))*$EW$32*$EW$30*(1-$EW$33),0)</f>
        <v>-585.00000000000011</v>
      </c>
      <c r="BJ90" s="1097">
        <f>IF(O90="vo",0.05*(1-$FI$26)*$FA$24,0)+IF(O90="sk",-(0.05-INDEX(绊状态确认!W:W,MATCH($G90,绊状态确认!$B:$B,)))*(1-$FI$26)*$FA$24+0.05*$FA$26,0)+IF(O90="sp",0.05*$FA$32*$FA$27*(1-$FA$33)/$FA$30+0.05*$FA$29/$FA$69*$FA$27*(1-$FA$33)-(0.05-INDEX(绊状态确认!V:V,MATCH($G90,绊状态确认!$B:$B,)))*$FA$26,0)+IF(O90="gd",-(0.05-INDEX(绊状态确认!X:X,MATCH($G90,绊状态确认!$B:$B,)))*$FA$32*$FA$27*(1-$FA$33)/$FA$30-(0.05-INDEX(绊状态确认!X:X,MATCH($G90,绊状态确认!$B:$B,)))*$FA$29/$FA$69*$FA$27*(1-$FA$33),0)</f>
        <v>-795.00000000000011</v>
      </c>
      <c r="BK90" s="1110">
        <f>IF(O90="vo",$EW$26/$EW$24*0.05+$EW$26*(-HP($EW$62,$EW$65,$EW$64)+HP($EW$62,$EW$65,(1.05-INDEX(绊状态确认!U:U,MATCH($G90,绊状态确认!$B:$B,)))*$EW$64)),0)+IF(O90="sk",-$EW$26/$EW$24*(0.05-INDEX(绊状态确认!W:W,MATCH($G90,绊状态确认!$B:$B,)))+0.05*$EW$29,0)+IF(O90="sp",0.05*$EW$32*$EW$30*(1-$EW$33)-(0.05-INDEX(绊状态确认!V:V,MATCH($G90,绊状态确认!$B:$B,)))*$EW$29,0)+IF(O90="gd",-(0.05-INDEX(绊状态确认!X:X,MATCH($G90,绊状态确认!$B:$B,)))*$EW$32*$EW$30*(1-$EW$33)+$EW$26*(-HP($EW$62,$EW$65,$EW$64)+HP($EW$62,$EW$65,0.95*$EW$64)),0)</f>
        <v>1009.5947725176144</v>
      </c>
      <c r="BL90" s="1111">
        <f t="shared" si="117"/>
        <v>-1083.3333333333333</v>
      </c>
      <c r="BM90" s="1110">
        <f t="shared" si="118"/>
        <v>-830.55555555555543</v>
      </c>
      <c r="BN90" s="1113">
        <f t="shared" si="119"/>
        <v>3</v>
      </c>
      <c r="BO90" s="1097">
        <f t="shared" si="120"/>
        <v>4507.7214871259994</v>
      </c>
      <c r="BP90" s="1100">
        <f t="shared" si="121"/>
        <v>221.34103209030098</v>
      </c>
      <c r="BQ90" s="1113" t="s">
        <v>626</v>
      </c>
      <c r="BR90" s="1124" t="s">
        <v>625</v>
      </c>
      <c r="BS90" s="1098">
        <f>IF($P90="","N/A",IF($P90=-1,INDEX('卡片raw data'!AX:AX,MATCH($D90,'卡片raw data'!$F:$F,)),0)+IF($L90="party卡",IF($P90=5,INDEX('卡片raw data'!BD:BD,MATCH($D90,'卡片raw data'!$F:$F,)),IF($P90&gt;=3,INDEX('卡片raw data'!BC:BC,MATCH($D90,'卡片raw data'!$F:$F,)),INDEX('卡片raw data'!BB:BB,MATCH($D90,'卡片raw data'!$F:$F,)))),IF(OR(AND($F90="UR",$P90=0),AND($F90="SR",$P90&gt;=0,$P90&lt;=2),AND($F90="R",$P90&gt;=0,$P90&lt;4)),INDEX('卡片raw data'!AZ:AZ,MATCH($D90,'卡片raw data'!$F:$F,)),0)+IF(OR(AND($F90="UR",$P90&gt;=1,$P90&lt;=4),AND($F90="SR",$P90&lt;=4,$P90&gt;=3),AND($F90="R",$P90=4)),INDEX('卡片raw data'!BA:BA,MATCH($D90,'卡片raw data'!$F:$F,)),0)+IF($P90=5,INDEX('卡片raw data'!BB:BB,MATCH($D90,'卡片raw data'!$F:$F,)),0)))</f>
        <v>7.0000000000000007E-2</v>
      </c>
      <c r="BT90" s="1101">
        <f t="shared" si="122"/>
        <v>373.31956123884135</v>
      </c>
      <c r="BU90" s="1097">
        <f t="shared" si="123"/>
        <v>24.805481639139987</v>
      </c>
      <c r="BV90" s="1097">
        <f t="shared" si="124"/>
        <v>0</v>
      </c>
      <c r="BW90" s="1112">
        <f t="shared" si="125"/>
        <v>0</v>
      </c>
      <c r="BX90" s="1100">
        <f t="shared" si="126"/>
        <v>373.31956123884135</v>
      </c>
      <c r="BY90" s="1110">
        <f t="shared" si="127"/>
        <v>0</v>
      </c>
      <c r="BZ90" s="1107" t="s">
        <v>569</v>
      </c>
      <c r="CA90" s="1124"/>
      <c r="CB90" s="1098">
        <f>IF($P90="","N/A",IF($P90=-1,INDEX('卡片raw data'!BE:BE,MATCH($D90,'卡片raw data'!$F:$F,)),0)+IF($L90="party卡",IF($P90=5,INDEX('卡片raw data'!BK:BK,MATCH($D90,'卡片raw data'!$F:$F,)),IF($P90&gt;=3,INDEX('卡片raw data'!BJ:BJ,MATCH($D90,'卡片raw data'!$F:$F,)),INDEX('卡片raw data'!BI:BI,MATCH($D90,'卡片raw data'!$F:$F,)))),IF(OR(AND($F90="UR",$P90=0),AND($F90="SR",$P90&gt;=0,$P90&lt;=2),AND($F90="R",$P90&gt;=0,$P90&lt;4)),INDEX('卡片raw data'!BG:BG,MATCH($D90,'卡片raw data'!$F:$F,)),0)+IF(OR(AND($F90="UR",$P90&gt;=1,$P90&lt;=4),AND($F90="SR",$P90&lt;=4,$P90&gt;=3),AND($F90="R",$P90=4)),INDEX('卡片raw data'!BH:BH,MATCH($D90,'卡片raw data'!$F:$F,)),0)+IF($P90=5,INDEX('卡片raw data'!BI:BI,MATCH($D90,'卡片raw data'!$F:$F,)),0)))</f>
        <v>0</v>
      </c>
      <c r="CC90" s="1101">
        <f t="shared" si="128"/>
        <v>0</v>
      </c>
      <c r="CD90" s="1097">
        <f>IF(BZ90="ap",CB90*(1-$FI$26)*$FB$5/$FB$11*(+IF(CA90="全员",$FA$24,0)+IF(CA90="同作战",$FA$24,0)+IF(CA90="仲间",$FA$24*2/3,0)+IF(CA90="同属性",$FA$24*$FA$37/3,0)+IF(CA90="同年级",$FA$24*$FA$40/3,0)+IF(CA90="同学校",$FA$24*$FA$43/3,0)+IF(CA90="同小队",$FA$24*$FA$46/3,0)+IF(CA90="同type",$FA$24*INDEX($FB$49:$FB$52,MATCH(X90,$FA$49:$FA$52,))/3,0)+IF(CA90="自身",#REF!/3,0)),0)+IF(BZ90="te",CB90*(1-$FI$27)*($FA$20-1)*$FB$7/$FB$13*(+IF(CA90="全员",$FA$19*$FA$24/(1+($FA$20-1)*$FA$19),0)+IF(CA90="同作战",$FA$19*$FA$24/(1+($FA$20-1)*$FA$19),0)+IF(CA90="仲间",$FA$19*$FA$24*2/3/(1+($FA$20-1)*$FA$19),0)+IF(CA90="同属性",$FA$19*$FA$24*$FA$37/3/(1+($FA$20-1)*$FA$19),0)+IF(CA90="同年级",$FA$19*$FA$24*$FA$40/3/(1+($FA$20-1)*$FA$19),0)+IF(CA90="同学校",$FA$19*$FA$24*$FA$43/3/(1+($FA$20-1)*$FA$19),0)+IF(CA90="同小队",$FA$19*$FA$24*$FA$46/3/(1+($FA$20-1)*$FA$19),0)+IF(CA90="同type",$FA$19*$FA$24*INDEX($FB$49:$FB$52,MATCH(X90,$FA$49:$FA$52,))/3/(1+($FA$20-1)*$FA$19),0)+IF(CA90="自身",$FA$19*#REF!/3/(1+(BH90-1)*$BD90),0)),0)</f>
        <v>0</v>
      </c>
      <c r="CE90" s="1097">
        <f t="shared" si="129"/>
        <v>0</v>
      </c>
      <c r="CF90" s="1112">
        <f t="shared" si="130"/>
        <v>0</v>
      </c>
      <c r="CG90" s="1100">
        <f t="shared" si="131"/>
        <v>0</v>
      </c>
      <c r="CH90" s="1110">
        <f t="shared" si="132"/>
        <v>0</v>
      </c>
      <c r="CI90" s="1113" t="s">
        <v>165</v>
      </c>
      <c r="CJ90" s="1114">
        <v>0.3</v>
      </c>
      <c r="CK90" s="1115" t="s">
        <v>556</v>
      </c>
      <c r="CL90" s="1115" t="s">
        <v>161</v>
      </c>
      <c r="CM90" s="1119">
        <v>1.2E-2</v>
      </c>
      <c r="CN90" s="1115" t="s">
        <v>572</v>
      </c>
      <c r="CO90" s="1092"/>
      <c r="CP90" s="1118">
        <f t="shared" si="133"/>
        <v>3.5999999999999999E-3</v>
      </c>
      <c r="CQ90" s="1118">
        <f t="shared" si="134"/>
        <v>3.5999999999999999E-3</v>
      </c>
      <c r="CR90" s="1118">
        <f t="shared" si="135"/>
        <v>3.5999999999999999E-3</v>
      </c>
      <c r="CS90" s="1118">
        <f t="shared" si="136"/>
        <v>0</v>
      </c>
      <c r="CT90" s="1109">
        <f t="shared" si="137"/>
        <v>0</v>
      </c>
      <c r="CU90" s="1101">
        <f t="shared" si="138"/>
        <v>0</v>
      </c>
      <c r="CV90" s="1108">
        <f t="shared" si="139"/>
        <v>0</v>
      </c>
      <c r="CW90" s="1097">
        <f t="shared" si="140"/>
        <v>0</v>
      </c>
      <c r="CX90" s="1097">
        <f t="shared" si="141"/>
        <v>140.6559710932811</v>
      </c>
      <c r="CY90" s="1110">
        <f t="shared" si="142"/>
        <v>140.6559710932811</v>
      </c>
      <c r="CZ90" s="437"/>
      <c r="DA90" s="438"/>
      <c r="DB90" s="439" t="s">
        <v>569</v>
      </c>
      <c r="DC90" s="439"/>
      <c r="DD90" s="443"/>
      <c r="DE90" s="411"/>
      <c r="DF90" s="411"/>
      <c r="DG90" s="1116">
        <f t="shared" si="143"/>
        <v>0</v>
      </c>
      <c r="DH90" s="1116">
        <f t="shared" si="144"/>
        <v>0</v>
      </c>
      <c r="DI90" s="1116">
        <f t="shared" si="145"/>
        <v>0</v>
      </c>
      <c r="DJ90" s="442">
        <f t="shared" si="146"/>
        <v>0</v>
      </c>
      <c r="DK90" s="1109">
        <f t="shared" si="147"/>
        <v>0</v>
      </c>
      <c r="DL90" s="1101">
        <f t="shared" si="148"/>
        <v>0</v>
      </c>
      <c r="DM90" s="1097">
        <f t="shared" si="149"/>
        <v>0</v>
      </c>
      <c r="DN90" s="1097">
        <f t="shared" si="150"/>
        <v>0</v>
      </c>
      <c r="DO90" s="1097">
        <f t="shared" si="151"/>
        <v>0</v>
      </c>
      <c r="DP90" s="1110">
        <f t="shared" si="152"/>
        <v>0</v>
      </c>
      <c r="DQ90" s="1113" t="s">
        <v>556</v>
      </c>
      <c r="DR90" s="1120">
        <f t="shared" si="153"/>
        <v>0.3</v>
      </c>
      <c r="DS90" s="1124">
        <v>10</v>
      </c>
      <c r="DT90" s="1093" t="s">
        <v>161</v>
      </c>
      <c r="DU90" s="1093" t="s">
        <v>544</v>
      </c>
      <c r="DV90" s="1098">
        <f>IF($P90="","N/A",IF(P90=-1,INDEX('卡片raw data'!AN:AN,MATCH(D90,'卡片raw data'!$F:$F,)),0)+IF(AND(L90&lt;&gt;"party卡",P90&lt;=2,P90&gt;=0),INDEX('卡片raw data'!AP:AP,MATCH(D90,'卡片raw data'!$F:$F,)),0)+IF(OR(AND(L90="party卡",P90&lt;=1),AND(P90&lt;=4,L90&lt;&gt;"party卡",P90&gt;=3)),INDEX('卡片raw data'!AQ:AQ,MATCH(D90,'卡片raw data'!$F:$F,)),0)+IF(OR(P90=5,AND(L90="party卡",P90&gt;=2)),INDEX('卡片raw data'!AR:AR,MATCH(D90,'卡片raw data'!$F:$F,)),0))</f>
        <v>0.11</v>
      </c>
      <c r="DW90" s="1098">
        <f t="shared" si="154"/>
        <v>0.3</v>
      </c>
      <c r="DX90" s="1098">
        <f t="shared" si="155"/>
        <v>0.3</v>
      </c>
      <c r="DY90" s="1098">
        <f t="shared" si="156"/>
        <v>0.11000000000000001</v>
      </c>
      <c r="DZ90" s="1098">
        <f t="shared" si="157"/>
        <v>9.5150000000000012E-2</v>
      </c>
      <c r="EA90" s="1098">
        <f t="shared" si="158"/>
        <v>0</v>
      </c>
      <c r="EB90" s="1121">
        <f t="shared" si="159"/>
        <v>0</v>
      </c>
      <c r="EC90" s="1101">
        <f t="shared" si="160"/>
        <v>0</v>
      </c>
      <c r="ED90" s="1097">
        <f t="shared" si="161"/>
        <v>0</v>
      </c>
      <c r="EE90" s="1110">
        <f t="shared" si="162"/>
        <v>4811.6282945408811</v>
      </c>
      <c r="EF90" s="1092" t="s">
        <v>711</v>
      </c>
      <c r="EG90" s="1120">
        <f t="shared" si="163"/>
        <v>0.3</v>
      </c>
      <c r="EH90" s="1124"/>
      <c r="EI90" s="1093"/>
      <c r="EJ90" s="1093"/>
      <c r="EK90" s="1097">
        <f>IF($P90="","N/A",IF(P90=-1,INDEX('卡片raw data'!AS:AS,MATCH(D90,'卡片raw data'!$F:$F,)),0)+IF(AND(L90&lt;&gt;"party卡",P90&lt;=2,P90&gt;=0),INDEX('卡片raw data'!AU:AU,MATCH(D90,'卡片raw data'!$F:$F,)),0)+IF(OR(AND(L90="party卡",P90&lt;=1),AND(P90&lt;=4,L90&lt;&gt;"party卡",P90&gt;=3)),INDEX('卡片raw data'!AV:AV,MATCH(D90,'卡片raw data'!$F:$F,)),0)+IF(OR(P90=5,AND(L90="party卡",P90&gt;=2)),INDEX('卡片raw data'!AW:AW,MATCH(D90,'卡片raw data'!$F:$F,)),0))</f>
        <v>0</v>
      </c>
      <c r="EL90" s="1098">
        <f t="shared" si="164"/>
        <v>0.3</v>
      </c>
      <c r="EM90" s="1098">
        <f t="shared" si="165"/>
        <v>0.3</v>
      </c>
      <c r="EN90" s="1125">
        <f t="shared" si="166"/>
        <v>0</v>
      </c>
      <c r="EO90" s="1125">
        <f t="shared" si="167"/>
        <v>0</v>
      </c>
      <c r="EP90" s="1098">
        <f t="shared" si="168"/>
        <v>0</v>
      </c>
      <c r="EQ90" s="1121">
        <f t="shared" si="169"/>
        <v>0</v>
      </c>
      <c r="ER90" s="1101">
        <f t="shared" si="170"/>
        <v>0</v>
      </c>
      <c r="ES90" s="1097">
        <f t="shared" si="171"/>
        <v>0</v>
      </c>
      <c r="ET90" s="1122">
        <f t="shared" si="172"/>
        <v>0</v>
      </c>
    </row>
    <row r="91" spans="2:154" ht="16.5" customHeight="1">
      <c r="B91" s="1123" t="str">
        <f>INDEX('卡片raw data'!B:B,MATCH($D91,'卡片raw data'!$F:$F,))</f>
        <v>校服彼</v>
      </c>
      <c r="C91" s="449" t="s">
        <v>123</v>
      </c>
      <c r="D91" s="408">
        <v>88</v>
      </c>
      <c r="E91" s="1090">
        <v>102061001</v>
      </c>
      <c r="F91" s="1090" t="str">
        <f>INDEX('卡片raw data'!C:C,MATCH($D91,'卡片raw data'!$F:$F,))</f>
        <v>R</v>
      </c>
      <c r="G91" s="1094" t="s">
        <v>355</v>
      </c>
      <c r="H91" s="411">
        <f>IFERROR(INDEX(绊状态确认!C:C,MATCH($G91,绊状态确认!$B:$B,)),"")</f>
        <v>206</v>
      </c>
      <c r="I91" s="450" t="str">
        <f>IFERROR(INDEX(绊状态确认!D:D,MATCH($G91,绊状态确认!$B:$B,)),"")</f>
        <v>虹</v>
      </c>
      <c r="J91" s="450" t="str">
        <f>IFERROR(INDEX(绊状态确认!E:E,MATCH($G91,绊状态确认!$B:$B,)),"")</f>
        <v>3年级</v>
      </c>
      <c r="K91" s="451" t="str">
        <f>IFERROR(INDEX(绊状态确认!F:F,MATCH($G91,绊状态确认!$B:$B,)),"")</f>
        <v>QU4RTZ</v>
      </c>
      <c r="L91" s="1094" t="str">
        <f>INDEX('卡片raw data'!E:E,MATCH($D91,'卡片raw data'!$F:$F,))</f>
        <v>卡池卡</v>
      </c>
      <c r="M91" s="415">
        <v>43735</v>
      </c>
      <c r="N91" s="416">
        <v>0</v>
      </c>
      <c r="O91" s="1091" t="str">
        <f>INDEX('卡片raw data'!D:D,MATCH($D91,'卡片raw data'!$F:$F,))</f>
        <v>sk</v>
      </c>
      <c r="P91" s="417">
        <v>5</v>
      </c>
      <c r="Q91" s="1095">
        <f t="shared" si="88"/>
        <v>5630.9891217781842</v>
      </c>
      <c r="R91" s="1096">
        <f t="shared" si="89"/>
        <v>6.5000000000000002E-2</v>
      </c>
      <c r="S91" s="1097">
        <f t="shared" si="90"/>
        <v>6740.134915256589</v>
      </c>
      <c r="T91" s="1098">
        <f t="shared" si="91"/>
        <v>0.33700000000000002</v>
      </c>
      <c r="U91" s="1099">
        <f t="shared" si="92"/>
        <v>21.862779482142855</v>
      </c>
      <c r="V91" s="1100">
        <f t="shared" si="93"/>
        <v>9830.9098686761281</v>
      </c>
      <c r="W91" s="1101">
        <f t="shared" si="94"/>
        <v>3578.1898696329963</v>
      </c>
      <c r="X91" s="1096">
        <f t="shared" si="95"/>
        <v>4.1000000000000002E-2</v>
      </c>
      <c r="Y91" s="1097">
        <f t="shared" si="96"/>
        <v>787.93561854235759</v>
      </c>
      <c r="Z91" s="1102">
        <f t="shared" si="97"/>
        <v>9.9190294821428555</v>
      </c>
      <c r="AA91" s="1103">
        <f t="shared" si="98"/>
        <v>4366.1254881753539</v>
      </c>
      <c r="AB91" s="1101">
        <f t="shared" si="99"/>
        <v>4023.8893675044378</v>
      </c>
      <c r="AC91" s="1104">
        <f t="shared" si="100"/>
        <v>4.5999999999999999E-2</v>
      </c>
      <c r="AD91" s="1105">
        <f t="shared" si="101"/>
        <v>1.8994224431818179E-2</v>
      </c>
      <c r="AE91" s="1128">
        <f t="shared" si="102"/>
        <v>-1.8962422952541544</v>
      </c>
      <c r="AF91" s="1130">
        <f t="shared" si="103"/>
        <v>0</v>
      </c>
      <c r="AG91" s="420">
        <f t="shared" si="104"/>
        <v>0</v>
      </c>
      <c r="AH91" s="420">
        <f t="shared" si="105"/>
        <v>0</v>
      </c>
      <c r="AI91" s="1097">
        <f t="shared" si="106"/>
        <v>0</v>
      </c>
      <c r="AJ91" s="420">
        <f t="shared" si="107"/>
        <v>0</v>
      </c>
      <c r="AK91" s="518">
        <f t="shared" si="108"/>
        <v>0</v>
      </c>
      <c r="AL91" s="1106">
        <f>IF($P91="","N/A",(IF($P91=-1,INDEX('卡片raw data'!S:S,MATCH($D91,'卡片raw data'!$F:$F,)),0)+IF($P91=0,INDEX('卡片raw data'!V:V,MATCH($D91,'卡片raw data'!$F:$F,)),0)+IF($P91=1,INDEX('卡片raw data'!Y:Y,MATCH($D91,'卡片raw data'!$F:$F,)),0)+IF($P91=2,INDEX('卡片raw data'!AB:AB,MATCH($D91,'卡片raw data'!$F:$F,)),0)+IF($P91=3,INDEX('卡片raw data'!AE:AE,MATCH($D91,'卡片raw data'!$F:$F,)),0)+IF($P91=4,INDEX('卡片raw data'!AH:AH,MATCH($D91,'卡片raw data'!$F:$F,)),0)+IF($P91=5,INDEX('卡片raw data'!AK:AK,MATCH($D91,'卡片raw data'!$F:$F,)),0)+INDEX('卡片raw data'!S:S,MATCH($D91,'卡片raw data'!$F:$F,))*(IF($F91="UR",0.04,0.033))*(IF($F91="UR",INDEX(绊状态确认!$S:$S,MATCH($G91,绊状态确认!$B:$B,))/2-40)+IF($F91="SR",INDEX(绊状态确认!$R:$R,MATCH($G91,绊状态确认!$B:$B,))/4-15))+IF($F91="R",INDEX(绊状态确认!$Q:$Q,MATCH($G91,绊状态确认!$B:$B,))/6-40/6)))*(INDEX(绊状态确认!$H:$H,MATCH($G91,绊状态确认!$B:$B,))+INDEX(绊状态确认!J:J,MATCH($G91,绊状态确认!$B:$B,)))</f>
        <v>3601.2515999999996</v>
      </c>
      <c r="AM91" s="1106">
        <f>IF($P91="","N/A",(IF($P91=-1,INDEX('卡片raw data'!T:T,MATCH($D91,'卡片raw data'!$F:$F,)),0)+IF($P91=0,INDEX('卡片raw data'!W:W,MATCH($D91,'卡片raw data'!$F:$F,)),0)+IF($P91=1,INDEX('卡片raw data'!Z:Z,MATCH($D91,'卡片raw data'!$F:$F,)),0)+IF($P91=2,INDEX('卡片raw data'!AC:AC,MATCH($D91,'卡片raw data'!$F:$F,)),0)+IF($P91=3,INDEX('卡片raw data'!AF:AF,MATCH($D91,'卡片raw data'!$F:$F,)),0)+IF($P91=4,INDEX('卡片raw data'!AI:AI,MATCH($D91,'卡片raw data'!$F:$F,)),0)+IF($P91=5,INDEX('卡片raw data'!AL:AL,MATCH($D91,'卡片raw data'!$F:$F,)),0)+INDEX('卡片raw data'!T:T,MATCH($D91,'卡片raw data'!$F:$F,))*(IF($F91="UR",0.04,0.033))*(IF($F91="UR",INDEX(绊状态确认!$S:$S,MATCH($G91,绊状态确认!$B:$B,))/2-40)+IF($F91="SR",INDEX(绊状态确认!$R:$R,MATCH($G91,绊状态确认!$B:$B,))/4-15))+IF($F91="R",INDEX(绊状态确认!$Q:$Q,MATCH($G91,绊状态确认!$B:$B,))/6-40/6)))*(INDEX(绊状态确认!$H:$H,MATCH($G91,绊状态确认!$B:$B,))+INDEX(绊状态确认!K:K,MATCH($G91,绊状态确认!$B:$B,)))</f>
        <v>4801.2899999999991</v>
      </c>
      <c r="AN91" s="1106">
        <f>IF($P91="","N/A",(IF($P91=-1,INDEX('卡片raw data'!U:U,MATCH($D91,'卡片raw data'!$F:$F,)),0)+IF($P91=0,INDEX('卡片raw data'!X:X,MATCH($D91,'卡片raw data'!$F:$F,)),0)+IF($P91=1,INDEX('卡片raw data'!AA:AA,MATCH($D91,'卡片raw data'!$F:$F,)),0)+IF($P91=2,INDEX('卡片raw data'!AD:AD,MATCH($D91,'卡片raw data'!$F:$F,)),0)+IF($P91=3,INDEX('卡片raw data'!AG:AG,MATCH($D91,'卡片raw data'!$F:$F,)),0)+IF($P91=4,INDEX('卡片raw data'!AJ:AJ,MATCH($D91,'卡片raw data'!$F:$F,)),0)+IF($P91=5,INDEX('卡片raw data'!AM:AM,MATCH($D91,'卡片raw data'!$F:$F,)),0)+INDEX('卡片raw data'!U:U,MATCH($D91,'卡片raw data'!$F:$F,))*(IF($F91="UR",0.04,0.033))*(IF($F91="UR",INDEX(绊状态确认!$S:$S,MATCH($G91,绊状态确认!$B:$B,))/2-40)+IF($F91="SR",INDEX(绊状态确认!$R:$R,MATCH($G91,绊状态确认!$B:$B,))/4-15))+IF($F91="R",INDEX(绊状态确认!$Q:$Q,MATCH($G91,绊状态确认!$B:$B,))/6-40/6)))*(INDEX(绊状态确认!$H:$H,MATCH($G91,绊状态确认!$B:$B,))+INDEX(绊状态确认!L:L,MATCH($G91,绊状态确认!$B:$B,)))</f>
        <v>3601.2515999999996</v>
      </c>
      <c r="AO91" s="1107">
        <f t="shared" si="109"/>
        <v>1</v>
      </c>
      <c r="AP91" s="1131">
        <f>1+(INDEX(绊状态确认!$T:$T,MATCH($G91,绊状态确认!$B:$B,))+0.2)*$AO91</f>
        <v>1.3</v>
      </c>
      <c r="AQ91" s="1108">
        <f t="shared" si="110"/>
        <v>12703.285449999999</v>
      </c>
      <c r="AR91" s="1097">
        <f>(AM91*(1+$EX$9)+$EX$35)*(1+(INDEX(绊状态确认!$T:$T,MATCH($G91,绊状态确认!$B:$B,))+0.2)*AO91)*IF(J91=$FF$17,1+$FE$17,1)*IF(I91=$FF$14,1+$FE$14,1)</f>
        <v>9257.7608499999988</v>
      </c>
      <c r="AS91" s="1097">
        <f>(AN91*(1+$EX$10)+$EX$36)*(1+(INDEX(绊状态确认!$T:$T,MATCH($G91,绊状态确认!$B:$B,))+0.2)*AO91)*IF(J91=$FF$17,1+$FE$17,1)*IF(I91=$FF$14,1+$FE$14,1)</f>
        <v>9439.8711419999981</v>
      </c>
      <c r="AT91" s="1093">
        <f>IF(AND(INDEX('卡片raw data'!AK:AK,MATCH($D91,'卡片raw data'!$F:$F,))&lt;INDEX('卡片raw data'!AM:AM,MATCH($D91,'卡片raw data'!$F:$F,)),INDEX('卡片raw data'!AL:AL,MATCH($D91,'卡片raw data'!$F:$F,))&lt;INDEX('卡片raw data'!AM:AM,MATCH($D91,'卡片raw data'!$F:$F,))),1,0)</f>
        <v>0</v>
      </c>
      <c r="AU91" s="1098">
        <f>MIN(AT91*0.15+AS91*0.00003+INDEX(绊状态确认!M:M,MATCH($G91,绊状态确认!$B:$B,)),1)</f>
        <v>0.31319613425999998</v>
      </c>
      <c r="AV91" s="1109">
        <f>(INDEX(绊状态确认!$N:$N,MATCH($G91,绊状态确认!$B:$B,))+1.5)*$EW$21</f>
        <v>2.6599999999999997</v>
      </c>
      <c r="AW91" s="1101">
        <f t="shared" si="111"/>
        <v>10027.43905591035</v>
      </c>
      <c r="AX91" s="1097">
        <f t="shared" si="112"/>
        <v>787.93561854235759</v>
      </c>
      <c r="AY91" s="1110">
        <f t="shared" si="113"/>
        <v>10815.374674452709</v>
      </c>
      <c r="AZ91" s="429">
        <f t="shared" si="114"/>
        <v>9622.4406199999994</v>
      </c>
      <c r="BA91" s="431">
        <f t="shared" si="115"/>
        <v>11546.928743999999</v>
      </c>
      <c r="BB91" s="1097">
        <f>(AM91*(1+$FB$9)+$FB$35)*(1+(INDEX(绊状态确认!$T:$T,MATCH($G91,绊状态确认!$B:$B,))+0.2)*AO91)*IF(J91=$FF$17,1+$FE$17,1)*IF(I91=$FF$14,1+$FE$14,1)*(1+$FE$15)</f>
        <v>9257.7608499999988</v>
      </c>
      <c r="BC91" s="1097">
        <f>(AN91*(1+$FB$10)+$FB$36)*(1+(INDEX(绊状态确认!$T:$T,MATCH($G91,绊状态确认!$B:$B,))+0.2)*AO91)*IF(J91=$FF$17,1+$FE$17,1)*IF(I91=$FF$14,1+$FE$14,1)*(1+$FE$15)</f>
        <v>9439.8711419999981</v>
      </c>
      <c r="BD91" s="1104">
        <f>MIN(AT91*0.15+BC91*0.00003+INDEX(绊状态确认!M:M,MATCH($G91,绊状态确认!$B:$B,)),1)</f>
        <v>0.31319613425999998</v>
      </c>
      <c r="BE91" s="432">
        <f>(INDEX(绊状态确认!$N:$N,MATCH($G91,绊状态确认!$B:$B,))+1.5)</f>
        <v>1.9</v>
      </c>
      <c r="BF91" s="1139">
        <f t="array" ref="BF91">SUMPRODUCT(IF(AZ91*AP91*$FI$16:$FI$23*$FA$22&gt;=$FI$24,$FI$24,AZ91*AP91*$FI$16:$FI$23*$FA$22),$FJ$16:$FJ$23)</f>
        <v>19139.034393180002</v>
      </c>
      <c r="BG91" s="1125">
        <f t="array" ref="BG91">SUMPRODUCT(IF(BE91*AZ91*AP91*$FI$16:$FI$23*$FA$22&gt;=$FI$24,$FI$24,BE91*AZ91*AP91*$FI$16:$FI$23*$FA$22),$FJ$16:$FJ$23)</f>
        <v>36364.165347041999</v>
      </c>
      <c r="BH91" s="1110">
        <f t="shared" si="116"/>
        <v>8177.9596066839486</v>
      </c>
      <c r="BI91" s="1111">
        <f>IF(O91="vo",$EW$26/$EW$24*0.05,0)+IF(O91="sk",-$EW$26/$EW$24*(0.05-INDEX(绊状态确认!W:W,MATCH($G91,绊状态确认!$B:$B,)))+0.05*$EW$28,0)+IF(O91="sp",0.05*$EW$32*$EW$30*(1-$EW$33)-(0.05-INDEX(绊状态确认!V:V,MATCH($G91,绊状态确认!$B:$B,)))*$EW$28,0)+IF(O91="gd",-(0.05-INDEX(绊状态确认!X:X,MATCH($G91,绊状态确认!$B:$B,)))*$EW$32*$EW$30*(1-$EW$33),0)</f>
        <v>-6253.6726349699375</v>
      </c>
      <c r="BJ91" s="1097">
        <f>IF(O91="vo",0.05*(1-$FI$26)*$FA$24,0)+IF(O91="sk",-(0.05-INDEX(绊状态确认!W:W,MATCH($G91,绊状态确认!$B:$B,)))*(1-$FI$26)*$FA$24+0.05*$FA$26,0)+IF(O91="sp",0.05*$FA$32*$FA$27*(1-$FA$33)/$FA$30+0.05*$FA$29/$FA$69*$FA$27*(1-$FA$33)-(0.05-INDEX(绊状态确认!V:V,MATCH($G91,绊状态确认!$B:$B,)))*$FA$26,0)+IF(O91="gd",-(0.05-INDEX(绊状态确认!X:X,MATCH($G91,绊状态确认!$B:$B,)))*$FA$32*$FA$27*(1-$FA$33)/$FA$30-(0.05-INDEX(绊状态确认!X:X,MATCH($G91,绊状态确认!$B:$B,)))*$FA$29/$FA$69*$FA$27*(1-$FA$33),0)</f>
        <v>20.459096812499922</v>
      </c>
      <c r="BK91" s="1110">
        <f>IF(O91="vo",$EW$26/$EW$24*0.05+$EW$26*(-HP($EW$62,$EW$65,$EW$64)+HP($EW$62,$EW$65,(1.05-INDEX(绊状态确认!U:U,MATCH($G91,绊状态确认!$B:$B,)))*$EW$64)),0)+IF(O91="sk",-$EW$26/$EW$24*(0.05-INDEX(绊状态确认!W:W,MATCH($G91,绊状态确认!$B:$B,)))+0.05*$EW$29,0)+IF(O91="sp",0.05*$EW$32*$EW$30*(1-$EW$33)-(0.05-INDEX(绊状态确认!V:V,MATCH($G91,绊状态确认!$B:$B,)))*$EW$29,0)+IF(O91="gd",-(0.05-INDEX(绊状态确认!X:X,MATCH($G91,绊状态确认!$B:$B,)))*$EW$32*$EW$30*(1-$EW$33)+$EW$26*(-HP($EW$62,$EW$65,$EW$64)+HP($EW$62,$EW$65,0.95*$EW$64)),0)</f>
        <v>-4253.6726349699375</v>
      </c>
      <c r="BL91" s="1111">
        <f t="shared" si="117"/>
        <v>-2166.6666666666665</v>
      </c>
      <c r="BM91" s="1110">
        <f t="shared" si="118"/>
        <v>-1661.1111111111109</v>
      </c>
      <c r="BN91" s="1113">
        <f t="shared" si="119"/>
        <v>2</v>
      </c>
      <c r="BO91" s="1097">
        <f t="shared" si="120"/>
        <v>3005.1476580839999</v>
      </c>
      <c r="BP91" s="1100">
        <f t="shared" si="121"/>
        <v>147.56068806020068</v>
      </c>
      <c r="BQ91" s="1113" t="s">
        <v>626</v>
      </c>
      <c r="BR91" s="1124" t="s">
        <v>557</v>
      </c>
      <c r="BS91" s="1098">
        <f>IF($P91="","N/A",IF($P91=-1,INDEX('卡片raw data'!AX:AX,MATCH($D91,'卡片raw data'!$F:$F,)),0)+IF($L91="party卡",IF($P91=5,INDEX('卡片raw data'!BD:BD,MATCH($D91,'卡片raw data'!$F:$F,)),IF($P91&gt;=3,INDEX('卡片raw data'!BC:BC,MATCH($D91,'卡片raw data'!$F:$F,)),INDEX('卡片raw data'!BB:BB,MATCH($D91,'卡片raw data'!$F:$F,)))),IF(OR(AND($F91="UR",$P91=0),AND($F91="SR",$P91&gt;=0,$P91&lt;=2),AND($F91="R",$P91&gt;=0,$P91&lt;4)),INDEX('卡片raw data'!AZ:AZ,MATCH($D91,'卡片raw data'!$F:$F,)),0)+IF(OR(AND($F91="UR",$P91&gt;=1,$P91&lt;=4),AND($F91="SR",$P91&lt;=4,$P91&gt;=3),AND($F91="R",$P91=4)),INDEX('卡片raw data'!BA:BA,MATCH($D91,'卡片raw data'!$F:$F,)),0)+IF($P91=5,INDEX('卡片raw data'!BB:BB,MATCH($D91,'卡片raw data'!$F:$F,)),0)))</f>
        <v>2.7E-2</v>
      </c>
      <c r="BT91" s="1101">
        <f t="shared" si="122"/>
        <v>1018.741709420438</v>
      </c>
      <c r="BU91" s="1097">
        <f t="shared" si="123"/>
        <v>55.266634811050096</v>
      </c>
      <c r="BV91" s="1097">
        <f t="shared" si="124"/>
        <v>573.04221154899631</v>
      </c>
      <c r="BW91" s="1112">
        <f t="shared" si="125"/>
        <v>0</v>
      </c>
      <c r="BX91" s="1100">
        <f t="shared" si="126"/>
        <v>1018.741709420438</v>
      </c>
      <c r="BY91" s="1110">
        <f t="shared" si="127"/>
        <v>573.04221154899631</v>
      </c>
      <c r="BZ91" s="1107" t="s">
        <v>569</v>
      </c>
      <c r="CA91" s="1124"/>
      <c r="CB91" s="1098">
        <f>IF($P91="","N/A",IF($P91=-1,INDEX('卡片raw data'!BE:BE,MATCH($D91,'卡片raw data'!$F:$F,)),0)+IF($L91="party卡",IF($P91=5,INDEX('卡片raw data'!BK:BK,MATCH($D91,'卡片raw data'!$F:$F,)),IF($P91&gt;=3,INDEX('卡片raw data'!BJ:BJ,MATCH($D91,'卡片raw data'!$F:$F,)),INDEX('卡片raw data'!BI:BI,MATCH($D91,'卡片raw data'!$F:$F,)))),IF(OR(AND($F91="UR",$P91=0),AND($F91="SR",$P91&gt;=0,$P91&lt;=2),AND($F91="R",$P91&gt;=0,$P91&lt;4)),INDEX('卡片raw data'!BG:BG,MATCH($D91,'卡片raw data'!$F:$F,)),0)+IF(OR(AND($F91="UR",$P91&gt;=1,$P91&lt;=4),AND($F91="SR",$P91&lt;=4,$P91&gt;=3),AND($F91="R",$P91=4)),INDEX('卡片raw data'!BH:BH,MATCH($D91,'卡片raw data'!$F:$F,)),0)+IF($P91=5,INDEX('卡片raw data'!BI:BI,MATCH($D91,'卡片raw data'!$F:$F,)),0)))</f>
        <v>0</v>
      </c>
      <c r="CC91" s="1101">
        <f t="shared" si="128"/>
        <v>0</v>
      </c>
      <c r="CD91" s="1097">
        <f>IF(BZ91="ap",CB91*(1-$FI$26)*$FB$5/$FB$11*(+IF(CA91="全员",$FA$24,0)+IF(CA91="同作战",$FA$24,0)+IF(CA91="仲间",$FA$24*2/3,0)+IF(CA91="同属性",$FA$24*$FA$37/3,0)+IF(CA91="同年级",$FA$24*$FA$40/3,0)+IF(CA91="同学校",$FA$24*$FA$43/3,0)+IF(CA91="同小队",$FA$24*$FA$46/3,0)+IF(CA91="同type",$FA$24*INDEX($FB$49:$FB$52,MATCH(X91,$FA$49:$FA$52,))/3,0)+IF(CA91="自身",#REF!/3,0)),0)+IF(BZ91="te",CB91*(1-$FI$27)*($FA$20-1)*$FB$7/$FB$13*(+IF(CA91="全员",$FA$19*$FA$24/(1+($FA$20-1)*$FA$19),0)+IF(CA91="同作战",$FA$19*$FA$24/(1+($FA$20-1)*$FA$19),0)+IF(CA91="仲间",$FA$19*$FA$24*2/3/(1+($FA$20-1)*$FA$19),0)+IF(CA91="同属性",$FA$19*$FA$24*$FA$37/3/(1+($FA$20-1)*$FA$19),0)+IF(CA91="同年级",$FA$19*$FA$24*$FA$40/3/(1+($FA$20-1)*$FA$19),0)+IF(CA91="同学校",$FA$19*$FA$24*$FA$43/3/(1+($FA$20-1)*$FA$19),0)+IF(CA91="同小队",$FA$19*$FA$24*$FA$46/3/(1+($FA$20-1)*$FA$19),0)+IF(CA91="同type",$FA$19*$FA$24*INDEX($FB$49:$FB$52,MATCH(X91,$FA$49:$FA$52,))/3/(1+($FA$20-1)*$FA$19),0)+IF(CA91="自身",$FA$19*#REF!/3/(1+(BH91-1)*$BD91),0)),0)</f>
        <v>0</v>
      </c>
      <c r="CE91" s="1097">
        <f t="shared" si="129"/>
        <v>0</v>
      </c>
      <c r="CF91" s="1112">
        <f t="shared" si="130"/>
        <v>0</v>
      </c>
      <c r="CG91" s="1100">
        <f t="shared" si="131"/>
        <v>0</v>
      </c>
      <c r="CH91" s="1110">
        <f t="shared" si="132"/>
        <v>0</v>
      </c>
      <c r="CI91" s="1113"/>
      <c r="CJ91" s="1114"/>
      <c r="CK91" s="1115" t="s">
        <v>569</v>
      </c>
      <c r="CL91" s="1115"/>
      <c r="CM91" s="1119"/>
      <c r="CN91" s="1115"/>
      <c r="CO91" s="1092"/>
      <c r="CP91" s="1117">
        <f t="shared" si="133"/>
        <v>0</v>
      </c>
      <c r="CQ91" s="1117">
        <f t="shared" si="134"/>
        <v>0</v>
      </c>
      <c r="CR91" s="1117">
        <f t="shared" si="135"/>
        <v>0</v>
      </c>
      <c r="CS91" s="1118">
        <f t="shared" si="136"/>
        <v>0</v>
      </c>
      <c r="CT91" s="1109">
        <f t="shared" si="137"/>
        <v>0</v>
      </c>
      <c r="CU91" s="1101">
        <f t="shared" si="138"/>
        <v>0</v>
      </c>
      <c r="CV91" s="1108">
        <f t="shared" si="139"/>
        <v>0</v>
      </c>
      <c r="CW91" s="1097">
        <f t="shared" si="140"/>
        <v>0</v>
      </c>
      <c r="CX91" s="1097">
        <f t="shared" si="141"/>
        <v>0</v>
      </c>
      <c r="CY91" s="1110">
        <f t="shared" si="142"/>
        <v>0</v>
      </c>
      <c r="CZ91" s="437"/>
      <c r="DA91" s="438"/>
      <c r="DB91" s="439" t="s">
        <v>569</v>
      </c>
      <c r="DC91" s="439"/>
      <c r="DD91" s="443"/>
      <c r="DE91" s="411"/>
      <c r="DF91" s="411"/>
      <c r="DG91" s="1116">
        <f t="shared" si="143"/>
        <v>0</v>
      </c>
      <c r="DH91" s="1116">
        <f t="shared" si="144"/>
        <v>0</v>
      </c>
      <c r="DI91" s="1116">
        <f t="shared" si="145"/>
        <v>0</v>
      </c>
      <c r="DJ91" s="442">
        <f t="shared" si="146"/>
        <v>0</v>
      </c>
      <c r="DK91" s="1109">
        <f t="shared" si="147"/>
        <v>0</v>
      </c>
      <c r="DL91" s="1101">
        <f t="shared" si="148"/>
        <v>0</v>
      </c>
      <c r="DM91" s="1097">
        <f t="shared" si="149"/>
        <v>0</v>
      </c>
      <c r="DN91" s="1097">
        <f t="shared" si="150"/>
        <v>0</v>
      </c>
      <c r="DO91" s="1097">
        <f t="shared" si="151"/>
        <v>0</v>
      </c>
      <c r="DP91" s="1110">
        <f t="shared" si="152"/>
        <v>0</v>
      </c>
      <c r="DQ91" s="1113" t="s">
        <v>556</v>
      </c>
      <c r="DR91" s="1120">
        <f t="shared" si="153"/>
        <v>0.3</v>
      </c>
      <c r="DS91" s="1124">
        <v>5</v>
      </c>
      <c r="DT91" s="1093" t="s">
        <v>161</v>
      </c>
      <c r="DU91" s="1093" t="s">
        <v>544</v>
      </c>
      <c r="DV91" s="1098">
        <f>IF($P91="","N/A",IF(P91=-1,INDEX('卡片raw data'!AN:AN,MATCH(D91,'卡片raw data'!$F:$F,)),0)+IF(AND(L91&lt;&gt;"party卡",P91&lt;=2,P91&gt;=0),INDEX('卡片raw data'!AP:AP,MATCH(D91,'卡片raw data'!$F:$F,)),0)+IF(OR(AND(L91="party卡",P91&lt;=1),AND(P91&lt;=4,L91&lt;&gt;"party卡",P91&gt;=3)),INDEX('卡片raw data'!AQ:AQ,MATCH(D91,'卡片raw data'!$F:$F,)),0)+IF(OR(P91=5,AND(L91="party卡",P91&gt;=2)),INDEX('卡片raw data'!AR:AR,MATCH(D91,'卡片raw data'!$F:$F,)),0))</f>
        <v>7.0000000000000007E-2</v>
      </c>
      <c r="DW91" s="1098">
        <f t="shared" si="154"/>
        <v>0.3</v>
      </c>
      <c r="DX91" s="1098">
        <f t="shared" si="155"/>
        <v>0.3</v>
      </c>
      <c r="DY91" s="1098">
        <f t="shared" si="156"/>
        <v>3.5000000000000003E-2</v>
      </c>
      <c r="DZ91" s="1098">
        <f t="shared" si="157"/>
        <v>3.0275000000000003E-2</v>
      </c>
      <c r="EA91" s="1098">
        <f t="shared" si="158"/>
        <v>0</v>
      </c>
      <c r="EB91" s="1121">
        <f t="shared" si="159"/>
        <v>0</v>
      </c>
      <c r="EC91" s="1101">
        <f t="shared" si="160"/>
        <v>0</v>
      </c>
      <c r="ED91" s="1097">
        <f t="shared" si="161"/>
        <v>0</v>
      </c>
      <c r="EE91" s="1110">
        <f t="shared" si="162"/>
        <v>1411.9851283555852</v>
      </c>
      <c r="EF91" s="1092" t="s">
        <v>711</v>
      </c>
      <c r="EG91" s="1120">
        <f t="shared" si="163"/>
        <v>0.3</v>
      </c>
      <c r="EH91" s="1124"/>
      <c r="EI91" s="1093"/>
      <c r="EJ91" s="1093"/>
      <c r="EK91" s="1097">
        <f>IF($P91="","N/A",IF(P91=-1,INDEX('卡片raw data'!AS:AS,MATCH(D91,'卡片raw data'!$F:$F,)),0)+IF(AND(L91&lt;&gt;"party卡",P91&lt;=2,P91&gt;=0),INDEX('卡片raw data'!AU:AU,MATCH(D91,'卡片raw data'!$F:$F,)),0)+IF(OR(AND(L91="party卡",P91&lt;=1),AND(P91&lt;=4,L91&lt;&gt;"party卡",P91&gt;=3)),INDEX('卡片raw data'!AV:AV,MATCH(D91,'卡片raw data'!$F:$F,)),0)+IF(OR(P91=5,AND(L91="party卡",P91&gt;=2)),INDEX('卡片raw data'!AW:AW,MATCH(D91,'卡片raw data'!$F:$F,)),0))</f>
        <v>0</v>
      </c>
      <c r="EL91" s="1098">
        <f t="shared" si="164"/>
        <v>0.3</v>
      </c>
      <c r="EM91" s="1098">
        <f t="shared" si="165"/>
        <v>0.3</v>
      </c>
      <c r="EN91" s="1125">
        <f t="shared" si="166"/>
        <v>0</v>
      </c>
      <c r="EO91" s="1125">
        <f t="shared" si="167"/>
        <v>0</v>
      </c>
      <c r="EP91" s="1098">
        <f t="shared" si="168"/>
        <v>0</v>
      </c>
      <c r="EQ91" s="1121">
        <f t="shared" si="169"/>
        <v>0</v>
      </c>
      <c r="ER91" s="1101">
        <f t="shared" si="170"/>
        <v>0</v>
      </c>
      <c r="ES91" s="1097">
        <f t="shared" si="171"/>
        <v>0</v>
      </c>
      <c r="ET91" s="1122">
        <f t="shared" si="172"/>
        <v>0</v>
      </c>
    </row>
    <row r="92" spans="2:154" ht="16.5" customHeight="1">
      <c r="B92" s="1123" t="str">
        <f>INDEX('卡片raw data'!B:B,MATCH($D92,'卡片raw data'!$F:$F,))</f>
        <v>练习彼</v>
      </c>
      <c r="C92" s="449" t="s">
        <v>124</v>
      </c>
      <c r="D92" s="408">
        <v>89</v>
      </c>
      <c r="E92" s="1090">
        <v>102061002</v>
      </c>
      <c r="F92" s="1090" t="str">
        <f>INDEX('卡片raw data'!C:C,MATCH($D92,'卡片raw data'!$F:$F,))</f>
        <v>R</v>
      </c>
      <c r="G92" s="1094" t="s">
        <v>355</v>
      </c>
      <c r="H92" s="411">
        <f>IFERROR(INDEX(绊状态确认!C:C,MATCH($G92,绊状态确认!$B:$B,)),"")</f>
        <v>206</v>
      </c>
      <c r="I92" s="450" t="str">
        <f>IFERROR(INDEX(绊状态确认!D:D,MATCH($G92,绊状态确认!$B:$B,)),"")</f>
        <v>虹</v>
      </c>
      <c r="J92" s="450" t="str">
        <f>IFERROR(INDEX(绊状态确认!E:E,MATCH($G92,绊状态确认!$B:$B,)),"")</f>
        <v>3年级</v>
      </c>
      <c r="K92" s="451" t="str">
        <f>IFERROR(INDEX(绊状态确认!F:F,MATCH($G92,绊状态确认!$B:$B,)),"")</f>
        <v>QU4RTZ</v>
      </c>
      <c r="L92" s="1094" t="str">
        <f>INDEX('卡片raw data'!E:E,MATCH($D92,'卡片raw data'!$F:$F,))</f>
        <v>卡池卡</v>
      </c>
      <c r="M92" s="415">
        <v>43735</v>
      </c>
      <c r="N92" s="416">
        <v>0</v>
      </c>
      <c r="O92" s="1091" t="str">
        <f>INDEX('卡片raw data'!D:D,MATCH($D92,'卡片raw data'!$F:$F,))</f>
        <v>gd</v>
      </c>
      <c r="P92" s="417">
        <v>5</v>
      </c>
      <c r="Q92" s="1095">
        <f t="shared" si="88"/>
        <v>12019.024940530575</v>
      </c>
      <c r="R92" s="1096">
        <f t="shared" si="89"/>
        <v>0.13900000000000001</v>
      </c>
      <c r="S92" s="1097">
        <f t="shared" si="90"/>
        <v>7077.8154001752555</v>
      </c>
      <c r="T92" s="1098">
        <f t="shared" si="91"/>
        <v>0.35299999999999998</v>
      </c>
      <c r="U92" s="1099">
        <f t="shared" si="92"/>
        <v>76.194841948571423</v>
      </c>
      <c r="V92" s="1100">
        <f t="shared" si="93"/>
        <v>17886.434059237446</v>
      </c>
      <c r="W92" s="1101">
        <f t="shared" si="94"/>
        <v>3005.1476580839999</v>
      </c>
      <c r="X92" s="1096">
        <f t="shared" si="95"/>
        <v>3.4000000000000002E-2</v>
      </c>
      <c r="Y92" s="1097">
        <f t="shared" si="96"/>
        <v>887.55807572176218</v>
      </c>
      <c r="Z92" s="1102">
        <f t="shared" si="97"/>
        <v>11.194841948571428</v>
      </c>
      <c r="AA92" s="1103">
        <f t="shared" si="98"/>
        <v>3892.7057338057621</v>
      </c>
      <c r="AB92" s="1101">
        <f t="shared" si="99"/>
        <v>3005.1476580839999</v>
      </c>
      <c r="AC92" s="1104">
        <f t="shared" si="100"/>
        <v>3.4000000000000002E-2</v>
      </c>
      <c r="AD92" s="1105">
        <f t="shared" si="101"/>
        <v>-3.8207812500000026E-3</v>
      </c>
      <c r="AE92" s="1128">
        <f t="shared" si="102"/>
        <v>-28.942028985507246</v>
      </c>
      <c r="AF92" s="1130">
        <f t="shared" si="103"/>
        <v>1023.4309576000001</v>
      </c>
      <c r="AG92" s="420">
        <f t="shared" si="104"/>
        <v>105983.95584800001</v>
      </c>
      <c r="AH92" s="420">
        <f t="shared" si="105"/>
        <v>103.5575043543123</v>
      </c>
      <c r="AI92" s="1097">
        <f t="shared" si="106"/>
        <v>-94125.44909150232</v>
      </c>
      <c r="AJ92" s="420">
        <f t="shared" si="107"/>
        <v>17886.434059237446</v>
      </c>
      <c r="AK92" s="518">
        <f t="shared" si="108"/>
        <v>-112011.88315073977</v>
      </c>
      <c r="AL92" s="1106">
        <f>IF($P92="","N/A",(IF($P92=-1,INDEX('卡片raw data'!S:S,MATCH($D92,'卡片raw data'!$F:$F,)),0)+IF($P92=0,INDEX('卡片raw data'!V:V,MATCH($D92,'卡片raw data'!$F:$F,)),0)+IF($P92=1,INDEX('卡片raw data'!Y:Y,MATCH($D92,'卡片raw data'!$F:$F,)),0)+IF($P92=2,INDEX('卡片raw data'!AB:AB,MATCH($D92,'卡片raw data'!$F:$F,)),0)+IF($P92=3,INDEX('卡片raw data'!AE:AE,MATCH($D92,'卡片raw data'!$F:$F,)),0)+IF($P92=4,INDEX('卡片raw data'!AH:AH,MATCH($D92,'卡片raw data'!$F:$F,)),0)+IF($P92=5,INDEX('卡片raw data'!AK:AK,MATCH($D92,'卡片raw data'!$F:$F,)),0)+INDEX('卡片raw data'!S:S,MATCH($D92,'卡片raw data'!$F:$F,))*(IF($F92="UR",0.04,0.033))*(IF($F92="UR",INDEX(绊状态确认!$S:$S,MATCH($G92,绊状态确认!$B:$B,))/2-40)+IF($F92="SR",INDEX(绊状态确认!$R:$R,MATCH($G92,绊状态确认!$B:$B,))/4-15))+IF($F92="R",INDEX(绊状态确认!$Q:$Q,MATCH($G92,绊状态确认!$B:$B,))/6-40/6)))*(INDEX(绊状态确认!$H:$H,MATCH($G92,绊状态确认!$B:$B,))+INDEX(绊状态确认!J:J,MATCH($G92,绊状态确认!$B:$B,)))</f>
        <v>4122.8591999999999</v>
      </c>
      <c r="AM92" s="1106">
        <f>IF($P92="","N/A",(IF($P92=-1,INDEX('卡片raw data'!T:T,MATCH($D92,'卡片raw data'!$F:$F,)),0)+IF($P92=0,INDEX('卡片raw data'!W:W,MATCH($D92,'卡片raw data'!$F:$F,)),0)+IF($P92=1,INDEX('卡片raw data'!Z:Z,MATCH($D92,'卡片raw data'!$F:$F,)),0)+IF($P92=2,INDEX('卡片raw data'!AC:AC,MATCH($D92,'卡片raw data'!$F:$F,)),0)+IF($P92=3,INDEX('卡片raw data'!AF:AF,MATCH($D92,'卡片raw data'!$F:$F,)),0)+IF($P92=4,INDEX('卡片raw data'!AI:AI,MATCH($D92,'卡片raw data'!$F:$F,)),0)+IF($P92=5,INDEX('卡片raw data'!AL:AL,MATCH($D92,'卡片raw data'!$F:$F,)),0)+INDEX('卡片raw data'!T:T,MATCH($D92,'卡片raw data'!$F:$F,))*(IF($F92="UR",0.04,0.033))*(IF($F92="UR",INDEX(绊状态确认!$S:$S,MATCH($G92,绊状态确认!$B:$B,))/2-40)+IF($F92="SR",INDEX(绊状态确认!$R:$R,MATCH($G92,绊状态确认!$B:$B,))/4-15))+IF($F92="R",INDEX(绊状态确认!$Q:$Q,MATCH($G92,绊状态确认!$B:$B,))/6-40/6)))*(INDEX(绊状态确认!$H:$H,MATCH($G92,绊状态确认!$B:$B,))+INDEX(绊状态确认!K:K,MATCH($G92,绊状态确认!$B:$B,)))</f>
        <v>4809.2447999999995</v>
      </c>
      <c r="AN92" s="1106">
        <f>IF($P92="","N/A",(IF($P92=-1,INDEX('卡片raw data'!U:U,MATCH($D92,'卡片raw data'!$F:$F,)),0)+IF($P92=0,INDEX('卡片raw data'!X:X,MATCH($D92,'卡片raw data'!$F:$F,)),0)+IF($P92=1,INDEX('卡片raw data'!AA:AA,MATCH($D92,'卡片raw data'!$F:$F,)),0)+IF($P92=2,INDEX('卡片raw data'!AD:AD,MATCH($D92,'卡片raw data'!$F:$F,)),0)+IF($P92=3,INDEX('卡片raw data'!AG:AG,MATCH($D92,'卡片raw data'!$F:$F,)),0)+IF($P92=4,INDEX('卡片raw data'!AJ:AJ,MATCH($D92,'卡片raw data'!$F:$F,)),0)+IF($P92=5,INDEX('卡片raw data'!AM:AM,MATCH($D92,'卡片raw data'!$F:$F,)),0)+INDEX('卡片raw data'!U:U,MATCH($D92,'卡片raw data'!$F:$F,))*(IF($F92="UR",0.04,0.033))*(IF($F92="UR",INDEX(绊状态确认!$S:$S,MATCH($G92,绊状态确认!$B:$B,))/2-40)+IF($F92="SR",INDEX(绊状态确认!$R:$R,MATCH($G92,绊状态确认!$B:$B,))/4-15))+IF($F92="R",INDEX(绊状态确认!$Q:$Q,MATCH($G92,绊状态确认!$B:$B,))/6-40/6)))*(INDEX(绊状态确认!$H:$H,MATCH($G92,绊状态确认!$B:$B,))+INDEX(绊状态确认!L:L,MATCH($G92,绊状态确认!$B:$B,)))</f>
        <v>4809.2447999999995</v>
      </c>
      <c r="AO92" s="1107">
        <f t="shared" si="109"/>
        <v>1</v>
      </c>
      <c r="AP92" s="1131">
        <f>1+(INDEX(绊状态确认!$T:$T,MATCH($G92,绊状态确认!$B:$B,))+0.2)*$AO92</f>
        <v>1.3</v>
      </c>
      <c r="AQ92" s="1108">
        <f t="shared" si="110"/>
        <v>14072.5054</v>
      </c>
      <c r="AR92" s="1097">
        <f>(AM92*(1+$EX$9)+$EX$35)*(1+(INDEX(绊状态确认!$T:$T,MATCH($G92,绊状态确认!$B:$B,))+0.2)*AO92)*IF(J92=$FF$17,1+$FE$17,1)*IF(I92=$FF$14,1+$FE$14,1)</f>
        <v>9268.6191519999993</v>
      </c>
      <c r="AS92" s="1097">
        <f>(AN92*(1+$EX$10)+$EX$36)*(1+(INDEX(绊状态确认!$T:$T,MATCH($G92,绊状态确认!$B:$B,))+0.2)*AO92)*IF(J92=$FF$17,1+$FE$17,1)*IF(I92=$FF$14,1+$FE$14,1)</f>
        <v>11245.820975999999</v>
      </c>
      <c r="AT92" s="1093">
        <f>IF(AND(INDEX('卡片raw data'!AK:AK,MATCH($D92,'卡片raw data'!$F:$F,))&lt;INDEX('卡片raw data'!AM:AM,MATCH($D92,'卡片raw data'!$F:$F,)),INDEX('卡片raw data'!AL:AL,MATCH($D92,'卡片raw data'!$F:$F,))&lt;INDEX('卡片raw data'!AM:AM,MATCH($D92,'卡片raw data'!$F:$F,))),1,0)</f>
        <v>0</v>
      </c>
      <c r="AU92" s="1098">
        <f>MIN(AT92*0.15+AS92*0.00003+INDEX(绊状态确认!M:M,MATCH($G92,绊状态确认!$B:$B,)),1)</f>
        <v>0.36737462928000003</v>
      </c>
      <c r="AV92" s="1109">
        <f>(INDEX(绊状态确认!$N:$N,MATCH($G92,绊状态确认!$B:$B,))+1.5)*$EW$21</f>
        <v>2.6599999999999997</v>
      </c>
      <c r="AW92" s="1101">
        <f t="shared" si="111"/>
        <v>11765.54394911324</v>
      </c>
      <c r="AX92" s="1097">
        <f t="shared" si="112"/>
        <v>788.87850449686971</v>
      </c>
      <c r="AY92" s="1110">
        <f t="shared" si="113"/>
        <v>12554.42245361011</v>
      </c>
      <c r="AZ92" s="429">
        <f t="shared" si="114"/>
        <v>10639.575440000001</v>
      </c>
      <c r="BA92" s="431">
        <f t="shared" si="115"/>
        <v>12767.490528</v>
      </c>
      <c r="BB92" s="1097">
        <f>(AM92*(1+$FB$9)+$FB$35)*(1+(INDEX(绊状态确认!$T:$T,MATCH($G92,绊状态确认!$B:$B,))+0.2)*AO92)*IF(J92=$FF$17,1+$FE$17,1)*IF(I92=$FF$14,1+$FE$14,1)*(1+$FE$15)</f>
        <v>9268.6191519999993</v>
      </c>
      <c r="BC92" s="1097">
        <f>(AN92*(1+$FB$10)+$FB$36)*(1+(INDEX(绊状态确认!$T:$T,MATCH($G92,绊状态确认!$B:$B,))+0.2)*AO92)*IF(J92=$FF$17,1+$FE$17,1)*IF(I92=$FF$14,1+$FE$14,1)*(1+$FE$15)</f>
        <v>11245.820975999999</v>
      </c>
      <c r="BD92" s="1104">
        <f>MIN(AT92*0.15+BC92*0.00003+INDEX(绊状态确认!M:M,MATCH($G92,绊状态确认!$B:$B,)),1)</f>
        <v>0.36737462928000003</v>
      </c>
      <c r="BE92" s="432">
        <f>(INDEX(绊状态确认!$N:$N,MATCH($G92,绊状态确认!$B:$B,))+1.5)</f>
        <v>1.9</v>
      </c>
      <c r="BF92" s="1139">
        <f t="array" ref="BF92">SUMPRODUCT(IF(AZ92*AP92*$FI$16:$FI$23*$FA$22&gt;=$FI$24,$FI$24,AZ92*AP92*$FI$16:$FI$23*$FA$22),$FJ$16:$FJ$23)</f>
        <v>21162.115550160001</v>
      </c>
      <c r="BG92" s="1125">
        <f t="array" ref="BG92">SUMPRODUCT(IF(BE92*AZ92*AP92*$FI$16:$FI$23*$FA$22&gt;=$FI$24,$FI$24,BE92*AZ92*AP92*$FI$16:$FI$23*$FA$22),$FJ$16:$FJ$23)</f>
        <v>40208.019545304</v>
      </c>
      <c r="BH92" s="1110">
        <f t="shared" si="116"/>
        <v>9386.365823226166</v>
      </c>
      <c r="BI92" s="1111">
        <f>IF(O92="vo",$EW$26/$EW$24*0.05,0)+IF(O92="sk",-$EW$26/$EW$24*(0.05-INDEX(绊状态确认!W:W,MATCH($G92,绊状态确认!$B:$B,)))+0.05*$EW$28,0)+IF(O92="sp",0.05*$EW$32*$EW$30*(1-$EW$33)-(0.05-INDEX(绊状态确认!V:V,MATCH($G92,绊状态确认!$B:$B,)))*$EW$28,0)+IF(O92="gd",-(0.05-INDEX(绊状态确认!X:X,MATCH($G92,绊状态确认!$B:$B,)))*$EW$32*$EW$30*(1-$EW$33),0)</f>
        <v>-585.00000000000011</v>
      </c>
      <c r="BJ92" s="1097">
        <f>IF(O92="vo",0.05*(1-$FI$26)*$FA$24,0)+IF(O92="sk",-(0.05-INDEX(绊状态确认!W:W,MATCH($G92,绊状态确认!$B:$B,)))*(1-$FI$26)*$FA$24+0.05*$FA$26,0)+IF(O92="sp",0.05*$FA$32*$FA$27*(1-$FA$33)/$FA$30+0.05*$FA$29/$FA$69*$FA$27*(1-$FA$33)-(0.05-INDEX(绊状态确认!V:V,MATCH($G92,绊状态确认!$B:$B,)))*$FA$26,0)+IF(O92="gd",-(0.05-INDEX(绊状态确认!X:X,MATCH($G92,绊状态确认!$B:$B,)))*$FA$32*$FA$27*(1-$FA$33)/$FA$30-(0.05-INDEX(绊状态确认!X:X,MATCH($G92,绊状态确认!$B:$B,)))*$FA$29/$FA$69*$FA$27*(1-$FA$33),0)</f>
        <v>-795.00000000000011</v>
      </c>
      <c r="BK92" s="1110">
        <f>IF(O92="vo",$EW$26/$EW$24*0.05+$EW$26*(-HP($EW$62,$EW$65,$EW$64)+HP($EW$62,$EW$65,(1.05-INDEX(绊状态确认!U:U,MATCH($G92,绊状态确认!$B:$B,)))*$EW$64)),0)+IF(O92="sk",-$EW$26/$EW$24*(0.05-INDEX(绊状态确认!W:W,MATCH($G92,绊状态确认!$B:$B,)))+0.05*$EW$29,0)+IF(O92="sp",0.05*$EW$32*$EW$30*(1-$EW$33)-(0.05-INDEX(绊状态确认!V:V,MATCH($G92,绊状态确认!$B:$B,)))*$EW$29,0)+IF(O92="gd",-(0.05-INDEX(绊状态确认!X:X,MATCH($G92,绊状态确认!$B:$B,)))*$EW$32*$EW$30*(1-$EW$33)+$EW$26*(-HP($EW$62,$EW$65,$EW$64)+HP($EW$62,$EW$65,0.95*$EW$64)),0)</f>
        <v>1009.5947725176144</v>
      </c>
      <c r="BL92" s="1111">
        <f t="shared" si="117"/>
        <v>-2166.6666666666665</v>
      </c>
      <c r="BM92" s="1110">
        <f t="shared" si="118"/>
        <v>-1661.1111111111109</v>
      </c>
      <c r="BN92" s="1113">
        <f t="shared" si="119"/>
        <v>2</v>
      </c>
      <c r="BO92" s="1097">
        <f t="shared" si="120"/>
        <v>3005.1476580839999</v>
      </c>
      <c r="BP92" s="1100">
        <f t="shared" si="121"/>
        <v>147.56068806020068</v>
      </c>
      <c r="BQ92" s="1113" t="s">
        <v>624</v>
      </c>
      <c r="BR92" s="1124" t="s">
        <v>617</v>
      </c>
      <c r="BS92" s="1098">
        <f>IF($P92="","N/A",IF($P92=-1,INDEX('卡片raw data'!AX:AX,MATCH($D92,'卡片raw data'!$F:$F,)),0)+IF($L92="party卡",IF($P92=5,INDEX('卡片raw data'!BD:BD,MATCH($D92,'卡片raw data'!$F:$F,)),IF($P92&gt;=3,INDEX('卡片raw data'!BC:BC,MATCH($D92,'卡片raw data'!$F:$F,)),INDEX('卡片raw data'!BB:BB,MATCH($D92,'卡片raw data'!$F:$F,)))),IF(OR(AND($F92="UR",$P92=0),AND($F92="SR",$P92&gt;=0,$P92&lt;=2),AND($F92="R",$P92&gt;=0,$P92&lt;4)),INDEX('卡片raw data'!AZ:AZ,MATCH($D92,'卡片raw data'!$F:$F,)),0)+IF(OR(AND($F92="UR",$P92&gt;=1,$P92&lt;=4),AND($F92="SR",$P92&lt;=4,$P92&gt;=3),AND($F92="R",$P92=4)),INDEX('卡片raw data'!BA:BA,MATCH($D92,'卡片raw data'!$F:$F,)),0)+IF($P92=5,INDEX('卡片raw data'!BB:BB,MATCH($D92,'卡片raw data'!$F:$F,)),0)))</f>
        <v>2.7E-2</v>
      </c>
      <c r="BT92" s="1101">
        <f t="shared" si="122"/>
        <v>0</v>
      </c>
      <c r="BU92" s="1097">
        <f t="shared" si="123"/>
        <v>0</v>
      </c>
      <c r="BV92" s="1097">
        <f t="shared" si="124"/>
        <v>0</v>
      </c>
      <c r="BW92" s="1112">
        <f t="shared" si="125"/>
        <v>1.2641785714285714</v>
      </c>
      <c r="BX92" s="1100">
        <f t="shared" si="126"/>
        <v>98.679571224892797</v>
      </c>
      <c r="BY92" s="1110">
        <f t="shared" si="127"/>
        <v>98.679571224892797</v>
      </c>
      <c r="BZ92" s="1107" t="s">
        <v>569</v>
      </c>
      <c r="CA92" s="1124"/>
      <c r="CB92" s="1098">
        <f>IF($P92="","N/A",IF($P92=-1,INDEX('卡片raw data'!BE:BE,MATCH($D92,'卡片raw data'!$F:$F,)),0)+IF($L92="party卡",IF($P92=5,INDEX('卡片raw data'!BK:BK,MATCH($D92,'卡片raw data'!$F:$F,)),IF($P92&gt;=3,INDEX('卡片raw data'!BJ:BJ,MATCH($D92,'卡片raw data'!$F:$F,)),INDEX('卡片raw data'!BI:BI,MATCH($D92,'卡片raw data'!$F:$F,)))),IF(OR(AND($F92="UR",$P92=0),AND($F92="SR",$P92&gt;=0,$P92&lt;=2),AND($F92="R",$P92&gt;=0,$P92&lt;4)),INDEX('卡片raw data'!BG:BG,MATCH($D92,'卡片raw data'!$F:$F,)),0)+IF(OR(AND($F92="UR",$P92&gt;=1,$P92&lt;=4),AND($F92="SR",$P92&lt;=4,$P92&gt;=3),AND($F92="R",$P92=4)),INDEX('卡片raw data'!BH:BH,MATCH($D92,'卡片raw data'!$F:$F,)),0)+IF($P92=5,INDEX('卡片raw data'!BI:BI,MATCH($D92,'卡片raw data'!$F:$F,)),0)))</f>
        <v>0</v>
      </c>
      <c r="CC92" s="1101">
        <f t="shared" si="128"/>
        <v>0</v>
      </c>
      <c r="CD92" s="1097">
        <f>IF(BZ92="ap",CB92*(1-$FI$26)*$FB$5/$FB$11*(+IF(CA92="全员",$FA$24,0)+IF(CA92="同作战",$FA$24,0)+IF(CA92="仲间",$FA$24*2/3,0)+IF(CA92="同属性",$FA$24*$FA$37/3,0)+IF(CA92="同年级",$FA$24*$FA$40/3,0)+IF(CA92="同学校",$FA$24*$FA$43/3,0)+IF(CA92="同小队",$FA$24*$FA$46/3,0)+IF(CA92="同type",$FA$24*INDEX($FB$49:$FB$52,MATCH(X92,$FA$49:$FA$52,))/3,0)+IF(CA92="自身",#REF!/3,0)),0)+IF(BZ92="te",CB92*(1-$FI$27)*($FA$20-1)*$FB$7/$FB$13*(+IF(CA92="全员",$FA$19*$FA$24/(1+($FA$20-1)*$FA$19),0)+IF(CA92="同作战",$FA$19*$FA$24/(1+($FA$20-1)*$FA$19),0)+IF(CA92="仲间",$FA$19*$FA$24*2/3/(1+($FA$20-1)*$FA$19),0)+IF(CA92="同属性",$FA$19*$FA$24*$FA$37/3/(1+($FA$20-1)*$FA$19),0)+IF(CA92="同年级",$FA$19*$FA$24*$FA$40/3/(1+($FA$20-1)*$FA$19),0)+IF(CA92="同学校",$FA$19*$FA$24*$FA$43/3/(1+($FA$20-1)*$FA$19),0)+IF(CA92="同小队",$FA$19*$FA$24*$FA$46/3/(1+($FA$20-1)*$FA$19),0)+IF(CA92="同type",$FA$19*$FA$24*INDEX($FB$49:$FB$52,MATCH(X92,$FA$49:$FA$52,))/3/(1+($FA$20-1)*$FA$19),0)+IF(CA92="自身",$FA$19*#REF!/3/(1+(BH92-1)*$BD92),0)),0)</f>
        <v>0</v>
      </c>
      <c r="CE92" s="1097">
        <f t="shared" si="129"/>
        <v>0</v>
      </c>
      <c r="CF92" s="1112">
        <f t="shared" si="130"/>
        <v>0</v>
      </c>
      <c r="CG92" s="1100">
        <f t="shared" si="131"/>
        <v>0</v>
      </c>
      <c r="CH92" s="1110">
        <f t="shared" si="132"/>
        <v>0</v>
      </c>
      <c r="CI92" s="1113"/>
      <c r="CJ92" s="1114"/>
      <c r="CK92" s="1115" t="s">
        <v>569</v>
      </c>
      <c r="CL92" s="1115"/>
      <c r="CM92" s="1119"/>
      <c r="CN92" s="1115"/>
      <c r="CO92" s="1115"/>
      <c r="CP92" s="1290">
        <f t="shared" si="133"/>
        <v>0</v>
      </c>
      <c r="CQ92" s="1290">
        <f t="shared" si="134"/>
        <v>0</v>
      </c>
      <c r="CR92" s="1290">
        <f t="shared" si="135"/>
        <v>0</v>
      </c>
      <c r="CS92" s="1118">
        <f t="shared" si="136"/>
        <v>0</v>
      </c>
      <c r="CT92" s="1109">
        <f t="shared" si="137"/>
        <v>0</v>
      </c>
      <c r="CU92" s="1101">
        <f t="shared" si="138"/>
        <v>0</v>
      </c>
      <c r="CV92" s="1108">
        <f t="shared" si="139"/>
        <v>0</v>
      </c>
      <c r="CW92" s="1097">
        <f t="shared" si="140"/>
        <v>0</v>
      </c>
      <c r="CX92" s="1097">
        <f t="shared" si="141"/>
        <v>0</v>
      </c>
      <c r="CY92" s="1110">
        <f t="shared" si="142"/>
        <v>0</v>
      </c>
      <c r="CZ92" s="437"/>
      <c r="DA92" s="438"/>
      <c r="DB92" s="439" t="s">
        <v>569</v>
      </c>
      <c r="DC92" s="439"/>
      <c r="DD92" s="443"/>
      <c r="DE92" s="411"/>
      <c r="DF92" s="411"/>
      <c r="DG92" s="1116">
        <f t="shared" si="143"/>
        <v>0</v>
      </c>
      <c r="DH92" s="1116">
        <f t="shared" si="144"/>
        <v>0</v>
      </c>
      <c r="DI92" s="1116">
        <f t="shared" si="145"/>
        <v>0</v>
      </c>
      <c r="DJ92" s="442">
        <f t="shared" si="146"/>
        <v>0</v>
      </c>
      <c r="DK92" s="1109">
        <f t="shared" si="147"/>
        <v>0</v>
      </c>
      <c r="DL92" s="1101">
        <f t="shared" si="148"/>
        <v>0</v>
      </c>
      <c r="DM92" s="1097">
        <f t="shared" si="149"/>
        <v>0</v>
      </c>
      <c r="DN92" s="1097">
        <f t="shared" si="150"/>
        <v>0</v>
      </c>
      <c r="DO92" s="1097">
        <f t="shared" si="151"/>
        <v>0</v>
      </c>
      <c r="DP92" s="1110">
        <f t="shared" si="152"/>
        <v>0</v>
      </c>
      <c r="DQ92" s="1113" t="s">
        <v>635</v>
      </c>
      <c r="DR92" s="1120">
        <f t="shared" si="153"/>
        <v>0.3</v>
      </c>
      <c r="DS92" s="1124"/>
      <c r="DT92" s="1124" t="s">
        <v>546</v>
      </c>
      <c r="DU92" s="1093"/>
      <c r="DV92" s="1097">
        <f>IF($P92="","N/A",IF(P92=-1,INDEX('卡片raw data'!AN:AN,MATCH(D92,'卡片raw data'!$F:$F,)),0)+IF(AND(L92&lt;&gt;"party卡",P92&lt;=2,P92&gt;=0),INDEX('卡片raw data'!AP:AP,MATCH(D92,'卡片raw data'!$F:$F,)),0)+IF(OR(AND(L92="party卡",P92&lt;=1),AND(P92&lt;=4,L92&lt;&gt;"party卡",P92&gt;=3)),INDEX('卡片raw data'!AQ:AQ,MATCH(D92,'卡片raw data'!$F:$F,)),0)+IF(OR(P92=5,AND(L92="party卡",P92&gt;=2)),INDEX('卡片raw data'!AR:AR,MATCH(D92,'卡片raw data'!$F:$F,)),0))</f>
        <v>400</v>
      </c>
      <c r="DW92" s="1098">
        <f t="shared" si="154"/>
        <v>0.3</v>
      </c>
      <c r="DX92" s="1098">
        <f t="shared" si="155"/>
        <v>0.3</v>
      </c>
      <c r="DY92" s="1125">
        <f t="shared" si="156"/>
        <v>40</v>
      </c>
      <c r="DZ92" s="1125">
        <f t="shared" si="157"/>
        <v>34.6</v>
      </c>
      <c r="EA92" s="1098">
        <f t="shared" si="158"/>
        <v>0</v>
      </c>
      <c r="EB92" s="1121">
        <f t="shared" si="159"/>
        <v>0</v>
      </c>
      <c r="EC92" s="1101">
        <f t="shared" si="160"/>
        <v>0</v>
      </c>
      <c r="ED92" s="1097">
        <f t="shared" si="161"/>
        <v>0</v>
      </c>
      <c r="EE92" s="1110">
        <f t="shared" si="162"/>
        <v>3385.2562704674956</v>
      </c>
      <c r="EF92" s="1092" t="s">
        <v>711</v>
      </c>
      <c r="EG92" s="1120">
        <f t="shared" si="163"/>
        <v>0.3</v>
      </c>
      <c r="EH92" s="1124"/>
      <c r="EI92" s="1124"/>
      <c r="EJ92" s="1093"/>
      <c r="EK92" s="1097">
        <f>IF($P92="","N/A",IF(P92=-1,INDEX('卡片raw data'!AS:AS,MATCH(D92,'卡片raw data'!$F:$F,)),0)+IF(AND(L92&lt;&gt;"party卡",P92&lt;=2,P92&gt;=0),INDEX('卡片raw data'!AU:AU,MATCH(D92,'卡片raw data'!$F:$F,)),0)+IF(OR(AND(L92="party卡",P92&lt;=1),AND(P92&lt;=4,L92&lt;&gt;"party卡",P92&gt;=3)),INDEX('卡片raw data'!AV:AV,MATCH(D92,'卡片raw data'!$F:$F,)),0)+IF(OR(P92=5,AND(L92="party卡",P92&gt;=2)),INDEX('卡片raw data'!AW:AW,MATCH(D92,'卡片raw data'!$F:$F,)),0))</f>
        <v>0</v>
      </c>
      <c r="EL92" s="1098">
        <f t="shared" si="164"/>
        <v>0.3</v>
      </c>
      <c r="EM92" s="1098">
        <f t="shared" si="165"/>
        <v>0.3</v>
      </c>
      <c r="EN92" s="1125">
        <f t="shared" si="166"/>
        <v>0</v>
      </c>
      <c r="EO92" s="1125">
        <f t="shared" si="167"/>
        <v>0</v>
      </c>
      <c r="EP92" s="1098">
        <f t="shared" si="168"/>
        <v>0</v>
      </c>
      <c r="EQ92" s="1121">
        <f t="shared" si="169"/>
        <v>0</v>
      </c>
      <c r="ER92" s="1101">
        <f t="shared" si="170"/>
        <v>0</v>
      </c>
      <c r="ES92" s="1097">
        <f t="shared" si="171"/>
        <v>0</v>
      </c>
      <c r="ET92" s="1122">
        <f t="shared" si="172"/>
        <v>0</v>
      </c>
    </row>
    <row r="93" spans="2:154" ht="16.5" customHeight="1">
      <c r="B93" s="1123" t="str">
        <f>INDEX('卡片raw data'!B:B,MATCH($D93,'卡片raw data'!$F:$F,))</f>
        <v>一专彼</v>
      </c>
      <c r="C93" s="449" t="s">
        <v>69</v>
      </c>
      <c r="D93" s="408">
        <v>90</v>
      </c>
      <c r="E93" s="1090">
        <v>102062001</v>
      </c>
      <c r="F93" s="1090" t="str">
        <f>INDEX('卡片raw data'!C:C,MATCH($D93,'卡片raw data'!$F:$F,))</f>
        <v>SR</v>
      </c>
      <c r="G93" s="1094" t="s">
        <v>355</v>
      </c>
      <c r="H93" s="411">
        <f>IFERROR(INDEX(绊状态确认!C:C,MATCH($G93,绊状态确认!$B:$B,)),"")</f>
        <v>206</v>
      </c>
      <c r="I93" s="450" t="str">
        <f>IFERROR(INDEX(绊状态确认!D:D,MATCH($G93,绊状态确认!$B:$B,)),"")</f>
        <v>虹</v>
      </c>
      <c r="J93" s="450" t="str">
        <f>IFERROR(INDEX(绊状态确认!E:E,MATCH($G93,绊状态确认!$B:$B,)),"")</f>
        <v>3年级</v>
      </c>
      <c r="K93" s="451" t="str">
        <f>IFERROR(INDEX(绊状态确认!F:F,MATCH($G93,绊状态确认!$B:$B,)),"")</f>
        <v>QU4RTZ</v>
      </c>
      <c r="L93" s="1094" t="str">
        <f>INDEX('卡片raw data'!E:E,MATCH($D93,'卡片raw data'!$F:$F,))</f>
        <v>卡池卡</v>
      </c>
      <c r="M93" s="415">
        <v>43735</v>
      </c>
      <c r="N93" s="416">
        <v>0</v>
      </c>
      <c r="O93" s="1091" t="str">
        <f>INDEX('卡片raw data'!D:D,MATCH($D93,'卡片raw data'!$F:$F,))</f>
        <v>sp</v>
      </c>
      <c r="P93" s="417">
        <v>5</v>
      </c>
      <c r="Q93" s="1095">
        <f t="shared" si="88"/>
        <v>27307.668664768291</v>
      </c>
      <c r="R93" s="1096">
        <f t="shared" si="89"/>
        <v>0.317</v>
      </c>
      <c r="S93" s="1097">
        <f t="shared" si="90"/>
        <v>16330.898181515025</v>
      </c>
      <c r="T93" s="1098">
        <f t="shared" si="91"/>
        <v>0.81599999999999995</v>
      </c>
      <c r="U93" s="1099">
        <f t="shared" si="92"/>
        <v>13.518968356268571</v>
      </c>
      <c r="V93" s="1100">
        <f t="shared" si="93"/>
        <v>26583.673843942008</v>
      </c>
      <c r="W93" s="1101">
        <f t="shared" si="94"/>
        <v>5047.0565276649368</v>
      </c>
      <c r="X93" s="1096">
        <f t="shared" si="95"/>
        <v>5.8000000000000003E-2</v>
      </c>
      <c r="Y93" s="1097">
        <f t="shared" si="96"/>
        <v>1076.0051791737187</v>
      </c>
      <c r="Z93" s="1102">
        <f t="shared" si="97"/>
        <v>13.518968356268571</v>
      </c>
      <c r="AA93" s="1103">
        <f t="shared" si="98"/>
        <v>6123.0617068386555</v>
      </c>
      <c r="AB93" s="1101">
        <f t="shared" si="99"/>
        <v>5047.0565276649368</v>
      </c>
      <c r="AC93" s="1104">
        <f t="shared" si="100"/>
        <v>5.8000000000000003E-2</v>
      </c>
      <c r="AD93" s="1105">
        <f t="shared" si="101"/>
        <v>-1.9908281250000003E-2</v>
      </c>
      <c r="AE93" s="1128">
        <f t="shared" si="102"/>
        <v>41.311625724637679</v>
      </c>
      <c r="AF93" s="1130">
        <f t="shared" si="103"/>
        <v>0</v>
      </c>
      <c r="AG93" s="420">
        <f t="shared" si="104"/>
        <v>0</v>
      </c>
      <c r="AH93" s="420">
        <f t="shared" si="105"/>
        <v>0</v>
      </c>
      <c r="AI93" s="1097">
        <f t="shared" si="106"/>
        <v>0</v>
      </c>
      <c r="AJ93" s="420">
        <f t="shared" si="107"/>
        <v>0</v>
      </c>
      <c r="AK93" s="518">
        <f t="shared" si="108"/>
        <v>0</v>
      </c>
      <c r="AL93" s="1106">
        <f>IF($P93="","N/A",(IF($P93=-1,INDEX('卡片raw data'!S:S,MATCH($D93,'卡片raw data'!$F:$F,)),0)+IF($P93=0,INDEX('卡片raw data'!V:V,MATCH($D93,'卡片raw data'!$F:$F,)),0)+IF($P93=1,INDEX('卡片raw data'!Y:Y,MATCH($D93,'卡片raw data'!$F:$F,)),0)+IF($P93=2,INDEX('卡片raw data'!AB:AB,MATCH($D93,'卡片raw data'!$F:$F,)),0)+IF($P93=3,INDEX('卡片raw data'!AE:AE,MATCH($D93,'卡片raw data'!$F:$F,)),0)+IF($P93=4,INDEX('卡片raw data'!AH:AH,MATCH($D93,'卡片raw data'!$F:$F,)),0)+IF($P93=5,INDEX('卡片raw data'!AK:AK,MATCH($D93,'卡片raw data'!$F:$F,)),0)+INDEX('卡片raw data'!S:S,MATCH($D93,'卡片raw data'!$F:$F,))*(IF($F93="UR",0.04,0.033))*(IF($F93="UR",INDEX(绊状态确认!$S:$S,MATCH($G93,绊状态确认!$B:$B,))/2-40)+IF($F93="SR",INDEX(绊状态确认!$R:$R,MATCH($G93,绊状态确认!$B:$B,))/4-15))+IF($F93="R",INDEX(绊状态确认!$Q:$Q,MATCH($G93,绊状态确认!$B:$B,))/6-40/6)))*(INDEX(绊状态确认!$H:$H,MATCH($G93,绊状态确认!$B:$B,))+INDEX(绊状态确认!J:J,MATCH($G93,绊状态确认!$B:$B,)))</f>
        <v>6238.3178015999993</v>
      </c>
      <c r="AM93" s="1106">
        <f>IF($P93="","N/A",(IF($P93=-1,INDEX('卡片raw data'!T:T,MATCH($D93,'卡片raw data'!$F:$F,)),0)+IF($P93=0,INDEX('卡片raw data'!W:W,MATCH($D93,'卡片raw data'!$F:$F,)),0)+IF($P93=1,INDEX('卡片raw data'!Z:Z,MATCH($D93,'卡片raw data'!$F:$F,)),0)+IF($P93=2,INDEX('卡片raw data'!AC:AC,MATCH($D93,'卡片raw data'!$F:$F,)),0)+IF($P93=3,INDEX('卡片raw data'!AF:AF,MATCH($D93,'卡片raw data'!$F:$F,)),0)+IF($P93=4,INDEX('卡片raw data'!AI:AI,MATCH($D93,'卡片raw data'!$F:$F,)),0)+IF($P93=5,INDEX('卡片raw data'!AL:AL,MATCH($D93,'卡片raw data'!$F:$F,)),0)+INDEX('卡片raw data'!T:T,MATCH($D93,'卡片raw data'!$F:$F,))*(IF($F93="UR",0.04,0.033))*(IF($F93="UR",INDEX(绊状态确认!$S:$S,MATCH($G93,绊状态确认!$B:$B,))/2-40)+IF($F93="SR",INDEX(绊状态确认!$R:$R,MATCH($G93,绊状态确认!$B:$B,))/4-15))+IF($F93="R",INDEX(绊状态确认!$Q:$Q,MATCH($G93,绊状态确认!$B:$B,))/6-40/6)))*(INDEX(绊状态确认!$H:$H,MATCH($G93,绊状态确认!$B:$B,))+INDEX(绊状态确认!K:K,MATCH($G93,绊状态确认!$B:$B,)))</f>
        <v>6238.3178015999993</v>
      </c>
      <c r="AN93" s="1106">
        <f>IF($P93="","N/A",(IF($P93=-1,INDEX('卡片raw data'!U:U,MATCH($D93,'卡片raw data'!$F:$F,)),0)+IF($P93=0,INDEX('卡片raw data'!X:X,MATCH($D93,'卡片raw data'!$F:$F,)),0)+IF($P93=1,INDEX('卡片raw data'!AA:AA,MATCH($D93,'卡片raw data'!$F:$F,)),0)+IF($P93=2,INDEX('卡片raw data'!AD:AD,MATCH($D93,'卡片raw data'!$F:$F,)),0)+IF($P93=3,INDEX('卡片raw data'!AG:AG,MATCH($D93,'卡片raw data'!$F:$F,)),0)+IF($P93=4,INDEX('卡片raw data'!AJ:AJ,MATCH($D93,'卡片raw data'!$F:$F,)),0)+IF($P93=5,INDEX('卡片raw data'!AM:AM,MATCH($D93,'卡片raw data'!$F:$F,)),0)+INDEX('卡片raw data'!U:U,MATCH($D93,'卡片raw data'!$F:$F,))*(IF($F93="UR",0.04,0.033))*(IF($F93="UR",INDEX(绊状态确认!$S:$S,MATCH($G93,绊状态确认!$B:$B,))/2-40)+IF($F93="SR",INDEX(绊状态确认!$R:$R,MATCH($G93,绊状态确认!$B:$B,))/4-15))+IF($F93="R",INDEX(绊状态确认!$Q:$Q,MATCH($G93,绊状态确认!$B:$B,))/6-40/6)))*(INDEX(绊状态确认!$H:$H,MATCH($G93,绊状态确认!$B:$B,))+INDEX(绊状态确认!L:L,MATCH($G93,绊状态确认!$B:$B,)))</f>
        <v>6427.1511167999997</v>
      </c>
      <c r="AO93" s="1107">
        <f t="shared" si="109"/>
        <v>1</v>
      </c>
      <c r="AP93" s="1131">
        <f>1+(INDEX(绊状态确认!$T:$T,MATCH($G93,绊状态确认!$B:$B,))+0.2)*$AO93</f>
        <v>1.3</v>
      </c>
      <c r="AQ93" s="1108">
        <f t="shared" si="110"/>
        <v>19625.584229199998</v>
      </c>
      <c r="AR93" s="1097">
        <f>(AM93*(1+$EX$9)+$EX$35)*(1+(INDEX(绊状态确认!$T:$T,MATCH($G93,绊状态确认!$B:$B,))+0.2)*AO93)*IF(J93=$FF$17,1+$FE$17,1)*IF(I93=$FF$14,1+$FE$14,1)</f>
        <v>11219.303799183999</v>
      </c>
      <c r="AS93" s="1097">
        <f>(AN93*(1+$EX$10)+$EX$36)*(1+(INDEX(绊状态确认!$T:$T,MATCH($G93,绊状态确认!$B:$B,))+0.2)*AO93)*IF(J93=$FF$17,1+$FE$17,1)*IF(I93=$FF$14,1+$FE$14,1)</f>
        <v>13664.590919615997</v>
      </c>
      <c r="AT93" s="1093">
        <f>IF(AND(INDEX('卡片raw data'!AK:AK,MATCH($D93,'卡片raw data'!$F:$F,))&lt;INDEX('卡片raw data'!AM:AM,MATCH($D93,'卡片raw data'!$F:$F,)),INDEX('卡片raw data'!AL:AL,MATCH($D93,'卡片raw data'!$F:$F,))&lt;INDEX('卡片raw data'!AM:AM,MATCH($D93,'卡片raw data'!$F:$F,))),1,0)</f>
        <v>1</v>
      </c>
      <c r="AU93" s="1098">
        <f>MIN(AT93*0.15+AS93*0.00003+INDEX(绊状态确认!M:M,MATCH($G93,绊状态确认!$B:$B,)),1)</f>
        <v>0.58993772758847995</v>
      </c>
      <c r="AV93" s="1109">
        <f>(INDEX(绊状态确认!$N:$N,MATCH($G93,绊状态确认!$B:$B,))+1.5)*$EW$21</f>
        <v>2.6599999999999997</v>
      </c>
      <c r="AW93" s="1101">
        <f t="shared" si="111"/>
        <v>20173.945470436684</v>
      </c>
      <c r="AX93" s="1097">
        <f t="shared" si="112"/>
        <v>958.9966893637876</v>
      </c>
      <c r="AY93" s="1110">
        <f t="shared" si="113"/>
        <v>21132.94215980047</v>
      </c>
      <c r="AZ93" s="429">
        <f t="shared" si="114"/>
        <v>14764.719713119999</v>
      </c>
      <c r="BA93" s="431">
        <f t="shared" si="115"/>
        <v>17717.663655744</v>
      </c>
      <c r="BB93" s="1097">
        <f>(AM93*(1+$FB$9)+$FB$35)*(1+(INDEX(绊状态确认!$T:$T,MATCH($G93,绊状态确认!$B:$B,))+0.2)*AO93)*IF(J93=$FF$17,1+$FE$17,1)*IF(I93=$FF$14,1+$FE$14,1)*(1+$FE$15)</f>
        <v>11219.303799183999</v>
      </c>
      <c r="BC93" s="1097">
        <f>(AN93*(1+$FB$10)+$FB$36)*(1+(INDEX(绊状态确认!$T:$T,MATCH($G93,绊状态确认!$B:$B,))+0.2)*AO93)*IF(J93=$FF$17,1+$FE$17,1)*IF(I93=$FF$14,1+$FE$14,1)*(1+$FE$15)</f>
        <v>13664.590919615997</v>
      </c>
      <c r="BD93" s="1104">
        <f>MIN(AT93*0.15+BC93*0.00003+INDEX(绊状态确认!M:M,MATCH($G93,绊状态确认!$B:$B,)),1)</f>
        <v>0.58993772758847995</v>
      </c>
      <c r="BE93" s="432">
        <f>(INDEX(绊状态确认!$N:$N,MATCH($G93,绊状态确认!$B:$B,))+1.5)</f>
        <v>1.9</v>
      </c>
      <c r="BF93" s="1139">
        <f t="array" ref="BF93">SUMPRODUCT(IF(AZ93*AP93*$FI$16:$FI$23*$FA$22&gt;=$FI$24,$FI$24,AZ93*AP93*$FI$16:$FI$23*$FA$22),$FJ$16:$FJ$23)</f>
        <v>29367.027509395681</v>
      </c>
      <c r="BG93" s="1125">
        <f t="array" ref="BG93">SUMPRODUCT(IF(BE93*AZ93*AP93*$FI$16:$FI$23*$FA$22&gt;=$FI$24,$FI$24,BE93*AZ93*AP93*$FI$16:$FI$23*$FA$22),$FJ$16:$FJ$23)</f>
        <v>54104.169114492332</v>
      </c>
      <c r="BH93" s="1110">
        <f t="shared" si="116"/>
        <v>14653.466871646948</v>
      </c>
      <c r="BI93" s="1111">
        <f>IF(O93="vo",$EW$26/$EW$24*0.05,0)+IF(O93="sk",-$EW$26/$EW$24*(0.05-INDEX(绊状态确认!W:W,MATCH($G93,绊状态确认!$B:$B,)))+0.05*$EW$28,0)+IF(O93="sp",0.05*$EW$32*$EW$30*(1-$EW$33)-(0.05-INDEX(绊状态确认!V:V,MATCH($G93,绊状态确认!$B:$B,)))*$EW$28,0)+IF(O93="gd",-(0.05-INDEX(绊状态确认!X:X,MATCH($G93,绊状态确认!$B:$B,)))*$EW$32*$EW$30*(1-$EW$33),0)</f>
        <v>19.999999999999886</v>
      </c>
      <c r="BJ93" s="1097">
        <f>IF(O93="vo",0.05*(1-$FI$26)*$FA$24,0)+IF(O93="sk",-(0.05-INDEX(绊状态确认!W:W,MATCH($G93,绊状态确认!$B:$B,)))*(1-$FI$26)*$FA$24+0.05*$FA$26,0)+IF(O93="sp",0.05*$FA$32*$FA$27*(1-$FA$33)/$FA$30+0.05*$FA$29/$FA$69*$FA$27*(1-$FA$33)-(0.05-INDEX(绊状态确认!V:V,MATCH($G93,绊状态确认!$B:$B,)))*$FA$26,0)+IF(O93="gd",-(0.05-INDEX(绊状态确认!X:X,MATCH($G93,绊状态确认!$B:$B,)))*$FA$32*$FA$27*(1-$FA$33)/$FA$30-(0.05-INDEX(绊状态确认!X:X,MATCH($G93,绊状态确认!$B:$B,)))*$FA$29/$FA$69*$FA$27*(1-$FA$33),0)</f>
        <v>545.83333333333326</v>
      </c>
      <c r="BK93" s="1110">
        <f>IF(O93="vo",$EW$26/$EW$24*0.05+$EW$26*(-HP($EW$62,$EW$65,$EW$64)+HP($EW$62,$EW$65,(1.05-INDEX(绊状态确认!U:U,MATCH($G93,绊状态确认!$B:$B,)))*$EW$64)),0)+IF(O93="sk",-$EW$26/$EW$24*(0.05-INDEX(绊状态确认!W:W,MATCH($G93,绊状态确认!$B:$B,)))+0.05*$EW$29,0)+IF(O93="sp",0.05*$EW$32*$EW$30*(1-$EW$33)-(0.05-INDEX(绊状态确认!V:V,MATCH($G93,绊状态确认!$B:$B,)))*$EW$29,0)+IF(O93="gd",-(0.05-INDEX(绊状态确认!X:X,MATCH($G93,绊状态确认!$B:$B,)))*$EW$32*$EW$30*(1-$EW$33)+$EW$26*(-HP($EW$62,$EW$65,$EW$64)+HP($EW$62,$EW$65,0.95*$EW$64)),0)</f>
        <v>-1780.0000000000005</v>
      </c>
      <c r="BL93" s="1111">
        <f t="shared" si="117"/>
        <v>-1083.3333333333333</v>
      </c>
      <c r="BM93" s="1110">
        <f t="shared" si="118"/>
        <v>-830.55555555555543</v>
      </c>
      <c r="BN93" s="1113">
        <f t="shared" si="119"/>
        <v>3</v>
      </c>
      <c r="BO93" s="1097">
        <f t="shared" si="120"/>
        <v>4507.7214871259994</v>
      </c>
      <c r="BP93" s="1100">
        <f t="shared" si="121"/>
        <v>221.34103209030098</v>
      </c>
      <c r="BQ93" s="1113" t="s">
        <v>624</v>
      </c>
      <c r="BR93" s="1124" t="s">
        <v>171</v>
      </c>
      <c r="BS93" s="1098">
        <f>IF($P93="","N/A",IF($P93=-1,INDEX('卡片raw data'!AX:AX,MATCH($D93,'卡片raw data'!$F:$F,)),0)+IF($L93="party卡",IF($P93=5,INDEX('卡片raw data'!BD:BD,MATCH($D93,'卡片raw data'!$F:$F,)),IF($P93&gt;=3,INDEX('卡片raw data'!BC:BC,MATCH($D93,'卡片raw data'!$F:$F,)),INDEX('卡片raw data'!BB:BB,MATCH($D93,'卡片raw data'!$F:$F,)))),IF(OR(AND($F93="UR",$P93=0),AND($F93="SR",$P93&gt;=0,$P93&lt;=2),AND($F93="R",$P93&gt;=0,$P93&lt;4)),INDEX('卡片raw data'!AZ:AZ,MATCH($D93,'卡片raw data'!$F:$F,)),0)+IF(OR(AND($F93="UR",$P93&gt;=1,$P93&lt;=4),AND($F93="SR",$P93&lt;=4,$P93&gt;=3),AND($F93="R",$P93=4)),INDEX('卡片raw data'!BA:BA,MATCH($D93,'卡片raw data'!$F:$F,)),0)+IF($P93=5,INDEX('卡片raw data'!BB:BB,MATCH($D93,'卡片raw data'!$F:$F,)),0)))</f>
        <v>3.2000000000000001E-2</v>
      </c>
      <c r="BT93" s="1101">
        <f t="shared" si="122"/>
        <v>0</v>
      </c>
      <c r="BU93" s="1097">
        <f t="shared" si="123"/>
        <v>0</v>
      </c>
      <c r="BV93" s="1097">
        <f t="shared" si="124"/>
        <v>0</v>
      </c>
      <c r="BW93" s="1112">
        <f t="shared" si="125"/>
        <v>1.498285714285714</v>
      </c>
      <c r="BX93" s="1100">
        <f t="shared" si="126"/>
        <v>117.00848980993118</v>
      </c>
      <c r="BY93" s="1110">
        <f t="shared" si="127"/>
        <v>117.00848980993118</v>
      </c>
      <c r="BZ93" s="1107" t="s">
        <v>569</v>
      </c>
      <c r="CA93" s="1124"/>
      <c r="CB93" s="1098">
        <f>IF($P93="","N/A",IF($P93=-1,INDEX('卡片raw data'!BE:BE,MATCH($D93,'卡片raw data'!$F:$F,)),0)+IF($L93="party卡",IF($P93=5,INDEX('卡片raw data'!BK:BK,MATCH($D93,'卡片raw data'!$F:$F,)),IF($P93&gt;=3,INDEX('卡片raw data'!BJ:BJ,MATCH($D93,'卡片raw data'!$F:$F,)),INDEX('卡片raw data'!BI:BI,MATCH($D93,'卡片raw data'!$F:$F,)))),IF(OR(AND($F93="UR",$P93=0),AND($F93="SR",$P93&gt;=0,$P93&lt;=2),AND($F93="R",$P93&gt;=0,$P93&lt;4)),INDEX('卡片raw data'!BG:BG,MATCH($D93,'卡片raw data'!$F:$F,)),0)+IF(OR(AND($F93="UR",$P93&gt;=1,$P93&lt;=4),AND($F93="SR",$P93&lt;=4,$P93&gt;=3),AND($F93="R",$P93=4)),INDEX('卡片raw data'!BH:BH,MATCH($D93,'卡片raw data'!$F:$F,)),0)+IF($P93=5,INDEX('卡片raw data'!BI:BI,MATCH($D93,'卡片raw data'!$F:$F,)),0)))</f>
        <v>0</v>
      </c>
      <c r="CC93" s="1101">
        <f t="shared" si="128"/>
        <v>0</v>
      </c>
      <c r="CD93" s="1097">
        <f>IF(BZ93="ap",CB93*(1-$FI$26)*$FB$5/$FB$11*(+IF(CA93="全员",$FA$24,0)+IF(CA93="同作战",$FA$24,0)+IF(CA93="仲间",$FA$24*2/3,0)+IF(CA93="同属性",$FA$24*$FA$37/3,0)+IF(CA93="同年级",$FA$24*$FA$40/3,0)+IF(CA93="同学校",$FA$24*$FA$43/3,0)+IF(CA93="同小队",$FA$24*$FA$46/3,0)+IF(CA93="同type",$FA$24*INDEX($FB$49:$FB$52,MATCH(X93,$FA$49:$FA$52,))/3,0)+IF(CA93="自身",#REF!/3,0)),0)+IF(BZ93="te",CB93*(1-$FI$27)*($FA$20-1)*$FB$7/$FB$13*(+IF(CA93="全员",$FA$19*$FA$24/(1+($FA$20-1)*$FA$19),0)+IF(CA93="同作战",$FA$19*$FA$24/(1+($FA$20-1)*$FA$19),0)+IF(CA93="仲间",$FA$19*$FA$24*2/3/(1+($FA$20-1)*$FA$19),0)+IF(CA93="同属性",$FA$19*$FA$24*$FA$37/3/(1+($FA$20-1)*$FA$19),0)+IF(CA93="同年级",$FA$19*$FA$24*$FA$40/3/(1+($FA$20-1)*$FA$19),0)+IF(CA93="同学校",$FA$19*$FA$24*$FA$43/3/(1+($FA$20-1)*$FA$19),0)+IF(CA93="同小队",$FA$19*$FA$24*$FA$46/3/(1+($FA$20-1)*$FA$19),0)+IF(CA93="同type",$FA$19*$FA$24*INDEX($FB$49:$FB$52,MATCH(X93,$FA$49:$FA$52,))/3/(1+($FA$20-1)*$FA$19),0)+IF(CA93="自身",$FA$19*#REF!/3/(1+(BH93-1)*$BD93),0)),0)</f>
        <v>0</v>
      </c>
      <c r="CE93" s="1097">
        <f t="shared" si="129"/>
        <v>0</v>
      </c>
      <c r="CF93" s="1112">
        <f t="shared" si="130"/>
        <v>0</v>
      </c>
      <c r="CG93" s="1100">
        <f t="shared" si="131"/>
        <v>0</v>
      </c>
      <c r="CH93" s="1110">
        <f t="shared" si="132"/>
        <v>0</v>
      </c>
      <c r="CI93" s="1113" t="s">
        <v>165</v>
      </c>
      <c r="CJ93" s="1114">
        <v>0.3</v>
      </c>
      <c r="CK93" s="1115" t="s">
        <v>551</v>
      </c>
      <c r="CL93" s="1115" t="s">
        <v>161</v>
      </c>
      <c r="CM93" s="1119">
        <v>0.03</v>
      </c>
      <c r="CN93" s="1115" t="s">
        <v>163</v>
      </c>
      <c r="CO93" s="1092"/>
      <c r="CP93" s="1118">
        <f t="shared" si="133"/>
        <v>8.9999999999999993E-3</v>
      </c>
      <c r="CQ93" s="1118">
        <f t="shared" si="134"/>
        <v>8.9999999999999993E-3</v>
      </c>
      <c r="CR93" s="1118">
        <f t="shared" si="135"/>
        <v>8.9999999999999993E-3</v>
      </c>
      <c r="CS93" s="1118">
        <f t="shared" si="136"/>
        <v>0</v>
      </c>
      <c r="CT93" s="1109">
        <f t="shared" si="137"/>
        <v>0</v>
      </c>
      <c r="CU93" s="1101">
        <f t="shared" si="138"/>
        <v>539.33504053893762</v>
      </c>
      <c r="CV93" s="1108">
        <f t="shared" si="139"/>
        <v>0</v>
      </c>
      <c r="CW93" s="1097">
        <f t="shared" si="140"/>
        <v>539.33504053893762</v>
      </c>
      <c r="CX93" s="1097">
        <f t="shared" si="141"/>
        <v>539.33504053893762</v>
      </c>
      <c r="CY93" s="1110">
        <f t="shared" si="142"/>
        <v>539.33504053893762</v>
      </c>
      <c r="CZ93" s="437"/>
      <c r="DA93" s="438"/>
      <c r="DB93" s="439" t="s">
        <v>569</v>
      </c>
      <c r="DC93" s="439"/>
      <c r="DD93" s="443"/>
      <c r="DE93" s="411"/>
      <c r="DF93" s="411"/>
      <c r="DG93" s="1116">
        <f t="shared" si="143"/>
        <v>0</v>
      </c>
      <c r="DH93" s="1116">
        <f t="shared" si="144"/>
        <v>0</v>
      </c>
      <c r="DI93" s="1116">
        <f t="shared" si="145"/>
        <v>0</v>
      </c>
      <c r="DJ93" s="442">
        <f t="shared" si="146"/>
        <v>0</v>
      </c>
      <c r="DK93" s="1109">
        <f t="shared" si="147"/>
        <v>0</v>
      </c>
      <c r="DL93" s="1101">
        <f t="shared" si="148"/>
        <v>0</v>
      </c>
      <c r="DM93" s="1097">
        <f t="shared" si="149"/>
        <v>0</v>
      </c>
      <c r="DN93" s="1097">
        <f t="shared" si="150"/>
        <v>0</v>
      </c>
      <c r="DO93" s="1097">
        <f t="shared" si="151"/>
        <v>0</v>
      </c>
      <c r="DP93" s="1110">
        <f t="shared" si="152"/>
        <v>0</v>
      </c>
      <c r="DQ93" s="1113" t="s">
        <v>549</v>
      </c>
      <c r="DR93" s="1120">
        <f t="shared" si="153"/>
        <v>0.3</v>
      </c>
      <c r="DS93" s="1124"/>
      <c r="DT93" s="1124" t="s">
        <v>179</v>
      </c>
      <c r="DU93" s="1093"/>
      <c r="DV93" s="1098">
        <f>IF($P93="","N/A",IF(P93=-1,INDEX('卡片raw data'!AN:AN,MATCH(D93,'卡片raw data'!$F:$F,)),0)+IF(AND(L93&lt;&gt;"party卡",P93&lt;=2,P93&gt;=0),INDEX('卡片raw data'!AP:AP,MATCH(D93,'卡片raw data'!$F:$F,)),0)+IF(OR(AND(L93="party卡",P93&lt;=1),AND(P93&lt;=4,L93&lt;&gt;"party卡",P93&gt;=3)),INDEX('卡片raw data'!AQ:AQ,MATCH(D93,'卡片raw data'!$F:$F,)),0)+IF(OR(P93=5,AND(L93="party卡",P93&gt;=2)),INDEX('卡片raw data'!AR:AR,MATCH(D93,'卡片raw data'!$F:$F,)),0))</f>
        <v>7.0000000000000007E-2</v>
      </c>
      <c r="DW93" s="1098">
        <f t="shared" si="154"/>
        <v>0.3</v>
      </c>
      <c r="DX93" s="1098">
        <f t="shared" si="155"/>
        <v>0.3</v>
      </c>
      <c r="DY93" s="1098">
        <f t="shared" si="156"/>
        <v>7.0000000000000001E-3</v>
      </c>
      <c r="DZ93" s="1098">
        <f t="shared" si="157"/>
        <v>6.9632499999999998E-3</v>
      </c>
      <c r="EA93" s="1098">
        <f t="shared" si="158"/>
        <v>0</v>
      </c>
      <c r="EB93" s="1121">
        <f t="shared" si="159"/>
        <v>42.663074999999999</v>
      </c>
      <c r="EC93" s="1101">
        <f t="shared" si="160"/>
        <v>3150</v>
      </c>
      <c r="ED93" s="1097">
        <f t="shared" si="161"/>
        <v>1740.8125</v>
      </c>
      <c r="EE93" s="1110">
        <f t="shared" si="162"/>
        <v>3150</v>
      </c>
      <c r="EF93" s="1092" t="s">
        <v>711</v>
      </c>
      <c r="EG93" s="1120">
        <f t="shared" si="163"/>
        <v>0.3</v>
      </c>
      <c r="EH93" s="1124"/>
      <c r="EI93" s="1124"/>
      <c r="EJ93" s="1093"/>
      <c r="EK93" s="1097">
        <f>IF($P93="","N/A",IF(P93=-1,INDEX('卡片raw data'!AS:AS,MATCH(D93,'卡片raw data'!$F:$F,)),0)+IF(AND(L93&lt;&gt;"party卡",P93&lt;=2,P93&gt;=0),INDEX('卡片raw data'!AU:AU,MATCH(D93,'卡片raw data'!$F:$F,)),0)+IF(OR(AND(L93="party卡",P93&lt;=1),AND(P93&lt;=4,L93&lt;&gt;"party卡",P93&gt;=3)),INDEX('卡片raw data'!AV:AV,MATCH(D93,'卡片raw data'!$F:$F,)),0)+IF(OR(P93=5,AND(L93="party卡",P93&gt;=2)),INDEX('卡片raw data'!AW:AW,MATCH(D93,'卡片raw data'!$F:$F,)),0))</f>
        <v>0</v>
      </c>
      <c r="EL93" s="1098">
        <f t="shared" si="164"/>
        <v>0.3</v>
      </c>
      <c r="EM93" s="1098">
        <f t="shared" si="165"/>
        <v>0.3</v>
      </c>
      <c r="EN93" s="1125">
        <f t="shared" si="166"/>
        <v>0</v>
      </c>
      <c r="EO93" s="1125">
        <f t="shared" si="167"/>
        <v>0</v>
      </c>
      <c r="EP93" s="1098">
        <f t="shared" si="168"/>
        <v>0</v>
      </c>
      <c r="EQ93" s="1121">
        <f t="shared" si="169"/>
        <v>0</v>
      </c>
      <c r="ER93" s="1101">
        <f t="shared" si="170"/>
        <v>0</v>
      </c>
      <c r="ES93" s="1097">
        <f t="shared" si="171"/>
        <v>0</v>
      </c>
      <c r="ET93" s="1122">
        <f t="shared" si="172"/>
        <v>0</v>
      </c>
    </row>
    <row r="94" spans="2:154" ht="16.5" customHeight="1">
      <c r="B94" s="1123" t="str">
        <f>INDEX('卡片raw data'!B:B,MATCH($D94,'卡片raw data'!$F:$F,))</f>
        <v>校服菜</v>
      </c>
      <c r="C94" s="449" t="s">
        <v>67</v>
      </c>
      <c r="D94" s="408">
        <v>91</v>
      </c>
      <c r="E94" s="1090">
        <v>102071001</v>
      </c>
      <c r="F94" s="1090" t="str">
        <f>INDEX('卡片raw data'!C:C,MATCH($D94,'卡片raw data'!$F:$F,))</f>
        <v>R</v>
      </c>
      <c r="G94" s="1094" t="s">
        <v>348</v>
      </c>
      <c r="H94" s="411">
        <f>IFERROR(INDEX(绊状态确认!C:C,MATCH($G94,绊状态确认!$B:$B,)),"")</f>
        <v>207</v>
      </c>
      <c r="I94" s="450" t="str">
        <f>IFERROR(INDEX(绊状态确认!D:D,MATCH($G94,绊状态确认!$B:$B,)),"")</f>
        <v>虹</v>
      </c>
      <c r="J94" s="450" t="str">
        <f>IFERROR(INDEX(绊状态确认!E:E,MATCH($G94,绊状态确认!$B:$B,)),"")</f>
        <v>2年级</v>
      </c>
      <c r="K94" s="451" t="str">
        <f>IFERROR(INDEX(绊状态确认!F:F,MATCH($G94,绊状态确认!$B:$B,)),"")</f>
        <v>A·ZU·NA</v>
      </c>
      <c r="L94" s="1094" t="str">
        <f>INDEX('卡片raw data'!E:E,MATCH($D94,'卡片raw data'!$F:$F,))</f>
        <v>卡池卡</v>
      </c>
      <c r="M94" s="415">
        <v>43735</v>
      </c>
      <c r="N94" s="416">
        <v>0</v>
      </c>
      <c r="O94" s="1091" t="str">
        <f>INDEX('卡片raw data'!D:D,MATCH($D94,'卡片raw data'!$F:$F,))</f>
        <v>sp</v>
      </c>
      <c r="P94" s="417">
        <v>5</v>
      </c>
      <c r="Q94" s="1095">
        <f t="shared" si="88"/>
        <v>15552.055642727881</v>
      </c>
      <c r="R94" s="1096">
        <f t="shared" si="89"/>
        <v>0.18</v>
      </c>
      <c r="S94" s="1097">
        <f t="shared" si="90"/>
        <v>9352.5534582732525</v>
      </c>
      <c r="T94" s="1098">
        <f t="shared" si="91"/>
        <v>0.46700000000000003</v>
      </c>
      <c r="U94" s="1099">
        <f t="shared" si="92"/>
        <v>8.1639733221428568</v>
      </c>
      <c r="V94" s="1100">
        <f t="shared" si="93"/>
        <v>14398.261114447783</v>
      </c>
      <c r="W94" s="1101">
        <f t="shared" si="94"/>
        <v>3005.1476580839999</v>
      </c>
      <c r="X94" s="1096">
        <f t="shared" si="95"/>
        <v>3.4000000000000002E-2</v>
      </c>
      <c r="Y94" s="1097">
        <f t="shared" si="96"/>
        <v>646.20547171990029</v>
      </c>
      <c r="Z94" s="1102">
        <f t="shared" si="97"/>
        <v>8.1639733221428568</v>
      </c>
      <c r="AA94" s="1103">
        <f t="shared" si="98"/>
        <v>3651.3531298039002</v>
      </c>
      <c r="AB94" s="1101">
        <f t="shared" si="99"/>
        <v>5127.5262193765793</v>
      </c>
      <c r="AC94" s="1104">
        <f t="shared" si="100"/>
        <v>5.8999999999999997E-2</v>
      </c>
      <c r="AD94" s="1105">
        <f t="shared" si="101"/>
        <v>-1.9908281250000003E-2</v>
      </c>
      <c r="AE94" s="1128">
        <f t="shared" si="102"/>
        <v>-11.768115942028986</v>
      </c>
      <c r="AF94" s="1130">
        <f t="shared" si="103"/>
        <v>0</v>
      </c>
      <c r="AG94" s="420">
        <f t="shared" si="104"/>
        <v>0</v>
      </c>
      <c r="AH94" s="420">
        <f t="shared" si="105"/>
        <v>0</v>
      </c>
      <c r="AI94" s="1097">
        <f t="shared" si="106"/>
        <v>0</v>
      </c>
      <c r="AJ94" s="420">
        <f t="shared" si="107"/>
        <v>0</v>
      </c>
      <c r="AK94" s="518">
        <f t="shared" si="108"/>
        <v>0</v>
      </c>
      <c r="AL94" s="1106">
        <f>IF($P94="","N/A",(IF($P94=-1,INDEX('卡片raw data'!S:S,MATCH($D94,'卡片raw data'!$F:$F,)),0)+IF($P94=0,INDEX('卡片raw data'!V:V,MATCH($D94,'卡片raw data'!$F:$F,)),0)+IF($P94=1,INDEX('卡片raw data'!Y:Y,MATCH($D94,'卡片raw data'!$F:$F,)),0)+IF($P94=2,INDEX('卡片raw data'!AB:AB,MATCH($D94,'卡片raw data'!$F:$F,)),0)+IF($P94=3,INDEX('卡片raw data'!AE:AE,MATCH($D94,'卡片raw data'!$F:$F,)),0)+IF($P94=4,INDEX('卡片raw data'!AH:AH,MATCH($D94,'卡片raw data'!$F:$F,)),0)+IF($P94=5,INDEX('卡片raw data'!AK:AK,MATCH($D94,'卡片raw data'!$F:$F,)),0)+INDEX('卡片raw data'!S:S,MATCH($D94,'卡片raw data'!$F:$F,))*(IF($F94="UR",0.04,0.033))*(IF($F94="UR",INDEX(绊状态确认!$S:$S,MATCH($G94,绊状态确认!$B:$B,))/2-40)+IF($F94="SR",INDEX(绊状态确认!$R:$R,MATCH($G94,绊状态确认!$B:$B,))/4-15))+IF($F94="R",INDEX(绊状态确认!$Q:$Q,MATCH($G94,绊状态确认!$B:$B,))/6-40/6)))*(INDEX(绊状态确认!$H:$H,MATCH($G94,绊状态确认!$B:$B,))+INDEX(绊状态确认!J:J,MATCH($G94,绊状态确认!$B:$B,)))</f>
        <v>4801.2899999999991</v>
      </c>
      <c r="AM94" s="1106">
        <f>IF($P94="","N/A",(IF($P94=-1,INDEX('卡片raw data'!T:T,MATCH($D94,'卡片raw data'!$F:$F,)),0)+IF($P94=0,INDEX('卡片raw data'!W:W,MATCH($D94,'卡片raw data'!$F:$F,)),0)+IF($P94=1,INDEX('卡片raw data'!Z:Z,MATCH($D94,'卡片raw data'!$F:$F,)),0)+IF($P94=2,INDEX('卡片raw data'!AC:AC,MATCH($D94,'卡片raw data'!$F:$F,)),0)+IF($P94=3,INDEX('卡片raw data'!AF:AF,MATCH($D94,'卡片raw data'!$F:$F,)),0)+IF($P94=4,INDEX('卡片raw data'!AI:AI,MATCH($D94,'卡片raw data'!$F:$F,)),0)+IF($P94=5,INDEX('卡片raw data'!AL:AL,MATCH($D94,'卡片raw data'!$F:$F,)),0)+INDEX('卡片raw data'!T:T,MATCH($D94,'卡片raw data'!$F:$F,))*(IF($F94="UR",0.04,0.033))*(IF($F94="UR",INDEX(绊状态确认!$S:$S,MATCH($G94,绊状态确认!$B:$B,))/2-40)+IF($F94="SR",INDEX(绊状态确认!$R:$R,MATCH($G94,绊状态确认!$B:$B,))/4-15))+IF($F94="R",INDEX(绊状态确认!$Q:$Q,MATCH($G94,绊状态确认!$B:$B,))/6-40/6)))*(INDEX(绊状态确认!$H:$H,MATCH($G94,绊状态确认!$B:$B,))+INDEX(绊状态确认!K:K,MATCH($G94,绊状态确认!$B:$B,)))</f>
        <v>3601.2515999999996</v>
      </c>
      <c r="AN94" s="1106">
        <f>IF($P94="","N/A",(IF($P94=-1,INDEX('卡片raw data'!U:U,MATCH($D94,'卡片raw data'!$F:$F,)),0)+IF($P94=0,INDEX('卡片raw data'!X:X,MATCH($D94,'卡片raw data'!$F:$F,)),0)+IF($P94=1,INDEX('卡片raw data'!AA:AA,MATCH($D94,'卡片raw data'!$F:$F,)),0)+IF($P94=2,INDEX('卡片raw data'!AD:AD,MATCH($D94,'卡片raw data'!$F:$F,)),0)+IF($P94=3,INDEX('卡片raw data'!AG:AG,MATCH($D94,'卡片raw data'!$F:$F,)),0)+IF($P94=4,INDEX('卡片raw data'!AJ:AJ,MATCH($D94,'卡片raw data'!$F:$F,)),0)+IF($P94=5,INDEX('卡片raw data'!AM:AM,MATCH($D94,'卡片raw data'!$F:$F,)),0)+INDEX('卡片raw data'!U:U,MATCH($D94,'卡片raw data'!$F:$F,))*(IF($F94="UR",0.04,0.033))*(IF($F94="UR",INDEX(绊状态确认!$S:$S,MATCH($G94,绊状态确认!$B:$B,))/2-40)+IF($F94="SR",INDEX(绊状态确认!$R:$R,MATCH($G94,绊状态确认!$B:$B,))/4-15))+IF($F94="R",INDEX(绊状态确认!$Q:$Q,MATCH($G94,绊状态确认!$B:$B,))/6-40/6)))*(INDEX(绊状态确认!$H:$H,MATCH($G94,绊状态确认!$B:$B,))+INDEX(绊状态确认!L:L,MATCH($G94,绊状态确认!$B:$B,)))</f>
        <v>3601.2515999999996</v>
      </c>
      <c r="AO94" s="1107">
        <f t="shared" si="109"/>
        <v>1</v>
      </c>
      <c r="AP94" s="1131">
        <f>1+(INDEX(绊状态确认!$T:$T,MATCH($G94,绊状态确认!$B:$B,))+0.2)*$AO94</f>
        <v>1.3</v>
      </c>
      <c r="AQ94" s="1108">
        <f t="shared" si="110"/>
        <v>15853.38625</v>
      </c>
      <c r="AR94" s="1097">
        <f>(AM94*(1+$EX$9)+$EX$35)*(1+(INDEX(绊状态确认!$T:$T,MATCH($G94,绊状态确认!$B:$B,))+0.2)*AO94)*IF(J94=$FF$17,1+$FE$17,1)*IF(I94=$FF$14,1+$FE$14,1)</f>
        <v>7619.7084339999992</v>
      </c>
      <c r="AS94" s="1097">
        <f>(AN94*(1+$EX$10)+$EX$36)*(1+(INDEX(绊状态确认!$T:$T,MATCH($G94,绊状态确认!$B:$B,))+0.2)*AO94)*IF(J94=$FF$17,1+$FE$17,1)*IF(I94=$FF$14,1+$FE$14,1)</f>
        <v>9439.8711419999981</v>
      </c>
      <c r="AT94" s="1093">
        <f>IF(AND(INDEX('卡片raw data'!AK:AK,MATCH($D94,'卡片raw data'!$F:$F,))&lt;INDEX('卡片raw data'!AM:AM,MATCH($D94,'卡片raw data'!$F:$F,)),INDEX('卡片raw data'!AL:AL,MATCH($D94,'卡片raw data'!$F:$F,))&lt;INDEX('卡片raw data'!AM:AM,MATCH($D94,'卡片raw data'!$F:$F,))),1,0)</f>
        <v>0</v>
      </c>
      <c r="AU94" s="1098">
        <f>MIN(AT94*0.15+AS94*0.00003+INDEX(绊状态确认!M:M,MATCH($G94,绊状态确认!$B:$B,)),1)</f>
        <v>0.31319613425999998</v>
      </c>
      <c r="AV94" s="1109">
        <f>(INDEX(绊状态确认!$N:$N,MATCH($G94,绊状态确认!$B:$B,))+1.5)*$EW$21</f>
        <v>2.6599999999999997</v>
      </c>
      <c r="AW94" s="1101">
        <f t="shared" si="111"/>
        <v>12513.996090017969</v>
      </c>
      <c r="AX94" s="1097">
        <f t="shared" si="112"/>
        <v>646.2054717199004</v>
      </c>
      <c r="AY94" s="1110">
        <f t="shared" si="113"/>
        <v>13160.201561737869</v>
      </c>
      <c r="AZ94" s="429">
        <f t="shared" si="114"/>
        <v>11962.515499999998</v>
      </c>
      <c r="BA94" s="431">
        <f t="shared" si="115"/>
        <v>14355.018599999998</v>
      </c>
      <c r="BB94" s="1097">
        <f>(AM94*(1+$FB$9)+$FB$35)*(1+(INDEX(绊状态确认!$T:$T,MATCH($G94,绊状态确认!$B:$B,))+0.2)*AO94)*IF(J94=$FF$17,1+$FE$17,1)*IF(I94=$FF$14,1+$FE$14,1)*(1+$FE$15)</f>
        <v>7619.7084339999992</v>
      </c>
      <c r="BC94" s="1097">
        <f>(AN94*(1+$FB$10)+$FB$36)*(1+(INDEX(绊状态确认!$T:$T,MATCH($G94,绊状态确认!$B:$B,))+0.2)*AO94)*IF(J94=$FF$17,1+$FE$17,1)*IF(I94=$FF$14,1+$FE$14,1)*(1+$FE$15)</f>
        <v>9439.8711419999981</v>
      </c>
      <c r="BD94" s="1104">
        <f>MIN(AT94*0.15+BC94*0.00003+INDEX(绊状态确认!M:M,MATCH($G94,绊状态确认!$B:$B,)),1)</f>
        <v>0.31319613425999998</v>
      </c>
      <c r="BE94" s="432">
        <f>(INDEX(绊状态确认!$N:$N,MATCH($G94,绊状态确认!$B:$B,))+1.5)</f>
        <v>1.9</v>
      </c>
      <c r="BF94" s="1139">
        <f t="array" ref="BF94">SUMPRODUCT(IF(AZ94*AP94*$FI$16:$FI$23*$FA$22&gt;=$FI$24,$FI$24,AZ94*AP94*$FI$16:$FI$23*$FA$22),$FJ$16:$FJ$23)</f>
        <v>23793.443329499998</v>
      </c>
      <c r="BG94" s="1125">
        <f t="array" ref="BG94">SUMPRODUCT(IF(BE94*AZ94*AP94*$FI$16:$FI$23*$FA$22&gt;=$FI$24,$FI$24,BE94*AZ94*AP94*$FI$16:$FI$23*$FA$22),$FJ$16:$FJ$23)</f>
        <v>45207.542326049988</v>
      </c>
      <c r="BH94" s="1110">
        <f t="shared" si="116"/>
        <v>10166.752117960134</v>
      </c>
      <c r="BI94" s="1111">
        <f>IF(O94="vo",$EW$26/$EW$24*0.05,0)+IF(O94="sk",-$EW$26/$EW$24*(0.05-INDEX(绊状态确认!W:W,MATCH($G94,绊状态确认!$B:$B,)))+0.05*$EW$28,0)+IF(O94="sp",0.05*$EW$32*$EW$30*(1-$EW$33)-(0.05-INDEX(绊状态确认!V:V,MATCH($G94,绊状态确认!$B:$B,)))*$EW$28,0)+IF(O94="gd",-(0.05-INDEX(绊状态确认!X:X,MATCH($G94,绊状态确认!$B:$B,)))*$EW$32*$EW$30*(1-$EW$33),0)</f>
        <v>19.999999999999886</v>
      </c>
      <c r="BJ94" s="1097">
        <f>IF(O94="vo",0.05*(1-$FI$26)*$FA$24,0)+IF(O94="sk",-(0.05-INDEX(绊状态确认!W:W,MATCH($G94,绊状态确认!$B:$B,)))*(1-$FI$26)*$FA$24+0.05*$FA$26,0)+IF(O94="sp",0.05*$FA$32*$FA$27*(1-$FA$33)/$FA$30+0.05*$FA$29/$FA$69*$FA$27*(1-$FA$33)-(0.05-INDEX(绊状态确认!V:V,MATCH($G94,绊状态确认!$B:$B,)))*$FA$26,0)+IF(O94="gd",-(0.05-INDEX(绊状态确认!X:X,MATCH($G94,绊状态确认!$B:$B,)))*$FA$32*$FA$27*(1-$FA$33)/$FA$30-(0.05-INDEX(绊状态确认!X:X,MATCH($G94,绊状态确认!$B:$B,)))*$FA$29/$FA$69*$FA$27*(1-$FA$33),0)</f>
        <v>545.83333333333326</v>
      </c>
      <c r="BK94" s="1110">
        <f>IF(O94="vo",$EW$26/$EW$24*0.05+$EW$26*(-HP($EW$62,$EW$65,$EW$64)+HP($EW$62,$EW$65,(1.05-INDEX(绊状态确认!U:U,MATCH($G94,绊状态确认!$B:$B,)))*$EW$64)),0)+IF(O94="sk",-$EW$26/$EW$24*(0.05-INDEX(绊状态确认!W:W,MATCH($G94,绊状态确认!$B:$B,)))+0.05*$EW$29,0)+IF(O94="sp",0.05*$EW$32*$EW$30*(1-$EW$33)-(0.05-INDEX(绊状态确认!V:V,MATCH($G94,绊状态确认!$B:$B,)))*$EW$29,0)+IF(O94="gd",-(0.05-INDEX(绊状态确认!X:X,MATCH($G94,绊状态确认!$B:$B,)))*$EW$32*$EW$30*(1-$EW$33)+$EW$26*(-HP($EW$62,$EW$65,$EW$64)+HP($EW$62,$EW$65,0.95*$EW$64)),0)</f>
        <v>-1780.0000000000005</v>
      </c>
      <c r="BL94" s="1111">
        <f t="shared" si="117"/>
        <v>-2166.6666666666665</v>
      </c>
      <c r="BM94" s="1110">
        <f t="shared" si="118"/>
        <v>-1661.1111111111109</v>
      </c>
      <c r="BN94" s="1113">
        <f t="shared" si="119"/>
        <v>2</v>
      </c>
      <c r="BO94" s="1097">
        <f t="shared" si="120"/>
        <v>3005.1476580839999</v>
      </c>
      <c r="BP94" s="1100">
        <f t="shared" si="121"/>
        <v>147.56068806020068</v>
      </c>
      <c r="BQ94" s="1113" t="s">
        <v>626</v>
      </c>
      <c r="BR94" s="1124" t="s">
        <v>168</v>
      </c>
      <c r="BS94" s="1098">
        <f>IF($P94="","N/A",IF($P94=-1,INDEX('卡片raw data'!AX:AX,MATCH($D94,'卡片raw data'!$F:$F,)),0)+IF($L94="party卡",IF($P94=5,INDEX('卡片raw data'!BD:BD,MATCH($D94,'卡片raw data'!$F:$F,)),IF($P94&gt;=3,INDEX('卡片raw data'!BC:BC,MATCH($D94,'卡片raw data'!$F:$F,)),INDEX('卡片raw data'!BB:BB,MATCH($D94,'卡片raw data'!$F:$F,)))),IF(OR(AND($F94="UR",$P94=0),AND($F94="SR",$P94&gt;=0,$P94&lt;=2),AND($F94="R",$P94&gt;=0,$P94&lt;4)),INDEX('卡片raw data'!AZ:AZ,MATCH($D94,'卡片raw data'!$F:$F,)),0)+IF(OR(AND($F94="UR",$P94&gt;=1,$P94&lt;=4),AND($F94="SR",$P94&lt;=4,$P94&gt;=3),AND($F94="R",$P94=4)),INDEX('卡片raw data'!BA:BA,MATCH($D94,'卡片raw data'!$F:$F,)),0)+IF($P94=5,INDEX('卡片raw data'!BB:BB,MATCH($D94,'卡片raw data'!$F:$F,)),0)))</f>
        <v>0.03</v>
      </c>
      <c r="BT94" s="1101">
        <f t="shared" si="122"/>
        <v>2122.378561292579</v>
      </c>
      <c r="BU94" s="1097">
        <f t="shared" si="123"/>
        <v>153.51843003069473</v>
      </c>
      <c r="BV94" s="1097">
        <f t="shared" si="124"/>
        <v>0</v>
      </c>
      <c r="BW94" s="1112">
        <f t="shared" si="125"/>
        <v>0</v>
      </c>
      <c r="BX94" s="1100">
        <f t="shared" si="126"/>
        <v>2122.378561292579</v>
      </c>
      <c r="BY94" s="1110">
        <f t="shared" si="127"/>
        <v>0</v>
      </c>
      <c r="BZ94" s="1107" t="s">
        <v>569</v>
      </c>
      <c r="CA94" s="1124"/>
      <c r="CB94" s="1098">
        <f>IF($P94="","N/A",IF($P94=-1,INDEX('卡片raw data'!BE:BE,MATCH($D94,'卡片raw data'!$F:$F,)),0)+IF($L94="party卡",IF($P94=5,INDEX('卡片raw data'!BK:BK,MATCH($D94,'卡片raw data'!$F:$F,)),IF($P94&gt;=3,INDEX('卡片raw data'!BJ:BJ,MATCH($D94,'卡片raw data'!$F:$F,)),INDEX('卡片raw data'!BI:BI,MATCH($D94,'卡片raw data'!$F:$F,)))),IF(OR(AND($F94="UR",$P94=0),AND($F94="SR",$P94&gt;=0,$P94&lt;=2),AND($F94="R",$P94&gt;=0,$P94&lt;4)),INDEX('卡片raw data'!BG:BG,MATCH($D94,'卡片raw data'!$F:$F,)),0)+IF(OR(AND($F94="UR",$P94&gt;=1,$P94&lt;=4),AND($F94="SR",$P94&lt;=4,$P94&gt;=3),AND($F94="R",$P94=4)),INDEX('卡片raw data'!BH:BH,MATCH($D94,'卡片raw data'!$F:$F,)),0)+IF($P94=5,INDEX('卡片raw data'!BI:BI,MATCH($D94,'卡片raw data'!$F:$F,)),0)))</f>
        <v>0</v>
      </c>
      <c r="CC94" s="1101">
        <f t="shared" si="128"/>
        <v>0</v>
      </c>
      <c r="CD94" s="1097">
        <f>IF(BZ94="ap",CB94*(1-$FI$26)*$FB$5/$FB$11*(+IF(CA94="全员",$FA$24,0)+IF(CA94="同作战",$FA$24,0)+IF(CA94="仲间",$FA$24*2/3,0)+IF(CA94="同属性",$FA$24*$FA$37/3,0)+IF(CA94="同年级",$FA$24*$FA$40/3,0)+IF(CA94="同学校",$FA$24*$FA$43/3,0)+IF(CA94="同小队",$FA$24*$FA$46/3,0)+IF(CA94="同type",$FA$24*INDEX($FB$49:$FB$52,MATCH(X94,$FA$49:$FA$52,))/3,0)+IF(CA94="自身",#REF!/3,0)),0)+IF(BZ94="te",CB94*(1-$FI$27)*($FA$20-1)*$FB$7/$FB$13*(+IF(CA94="全员",$FA$19*$FA$24/(1+($FA$20-1)*$FA$19),0)+IF(CA94="同作战",$FA$19*$FA$24/(1+($FA$20-1)*$FA$19),0)+IF(CA94="仲间",$FA$19*$FA$24*2/3/(1+($FA$20-1)*$FA$19),0)+IF(CA94="同属性",$FA$19*$FA$24*$FA$37/3/(1+($FA$20-1)*$FA$19),0)+IF(CA94="同年级",$FA$19*$FA$24*$FA$40/3/(1+($FA$20-1)*$FA$19),0)+IF(CA94="同学校",$FA$19*$FA$24*$FA$43/3/(1+($FA$20-1)*$FA$19),0)+IF(CA94="同小队",$FA$19*$FA$24*$FA$46/3/(1+($FA$20-1)*$FA$19),0)+IF(CA94="同type",$FA$19*$FA$24*INDEX($FB$49:$FB$52,MATCH(X94,$FA$49:$FA$52,))/3/(1+($FA$20-1)*$FA$19),0)+IF(CA94="自身",$FA$19*#REF!/3/(1+(BH94-1)*$BD94),0)),0)</f>
        <v>0</v>
      </c>
      <c r="CE94" s="1097">
        <f t="shared" si="129"/>
        <v>0</v>
      </c>
      <c r="CF94" s="1112">
        <f t="shared" si="130"/>
        <v>0</v>
      </c>
      <c r="CG94" s="1100">
        <f t="shared" si="131"/>
        <v>0</v>
      </c>
      <c r="CH94" s="1110">
        <f t="shared" si="132"/>
        <v>0</v>
      </c>
      <c r="CI94" s="1113"/>
      <c r="CJ94" s="1114"/>
      <c r="CK94" s="1115" t="s">
        <v>569</v>
      </c>
      <c r="CL94" s="1115"/>
      <c r="CM94" s="1119"/>
      <c r="CN94" s="1115"/>
      <c r="CO94" s="1092"/>
      <c r="CP94" s="1117">
        <f t="shared" si="133"/>
        <v>0</v>
      </c>
      <c r="CQ94" s="1117">
        <f t="shared" si="134"/>
        <v>0</v>
      </c>
      <c r="CR94" s="1117">
        <f t="shared" si="135"/>
        <v>0</v>
      </c>
      <c r="CS94" s="1118">
        <f t="shared" si="136"/>
        <v>0</v>
      </c>
      <c r="CT94" s="1109">
        <f t="shared" si="137"/>
        <v>0</v>
      </c>
      <c r="CU94" s="1101">
        <f t="shared" si="138"/>
        <v>0</v>
      </c>
      <c r="CV94" s="1108">
        <f t="shared" si="139"/>
        <v>0</v>
      </c>
      <c r="CW94" s="1097">
        <f t="shared" si="140"/>
        <v>0</v>
      </c>
      <c r="CX94" s="1097">
        <f t="shared" si="141"/>
        <v>0</v>
      </c>
      <c r="CY94" s="1110">
        <f t="shared" si="142"/>
        <v>0</v>
      </c>
      <c r="CZ94" s="437"/>
      <c r="DA94" s="438"/>
      <c r="DB94" s="439" t="s">
        <v>569</v>
      </c>
      <c r="DC94" s="439"/>
      <c r="DD94" s="443"/>
      <c r="DE94" s="411"/>
      <c r="DF94" s="411"/>
      <c r="DG94" s="1116">
        <f t="shared" si="143"/>
        <v>0</v>
      </c>
      <c r="DH94" s="1116">
        <f t="shared" si="144"/>
        <v>0</v>
      </c>
      <c r="DI94" s="1116">
        <f t="shared" si="145"/>
        <v>0</v>
      </c>
      <c r="DJ94" s="442">
        <f t="shared" si="146"/>
        <v>0</v>
      </c>
      <c r="DK94" s="1109">
        <f t="shared" si="147"/>
        <v>0</v>
      </c>
      <c r="DL94" s="1101">
        <f t="shared" si="148"/>
        <v>0</v>
      </c>
      <c r="DM94" s="1097">
        <f t="shared" si="149"/>
        <v>0</v>
      </c>
      <c r="DN94" s="1097">
        <f t="shared" si="150"/>
        <v>0</v>
      </c>
      <c r="DO94" s="1097">
        <f t="shared" si="151"/>
        <v>0</v>
      </c>
      <c r="DP94" s="1110">
        <f t="shared" si="152"/>
        <v>0</v>
      </c>
      <c r="DQ94" s="1113" t="s">
        <v>256</v>
      </c>
      <c r="DR94" s="1120">
        <f t="shared" si="153"/>
        <v>0.3</v>
      </c>
      <c r="DS94" s="1124"/>
      <c r="DT94" s="1093" t="s">
        <v>546</v>
      </c>
      <c r="DU94" s="1093"/>
      <c r="DV94" s="1097">
        <f>IF($P94="","N/A",IF(P94=-1,INDEX('卡片raw data'!AN:AN,MATCH(D94,'卡片raw data'!$F:$F,)),0)+IF(AND(L94&lt;&gt;"party卡",P94&lt;=2,P94&gt;=0),INDEX('卡片raw data'!AP:AP,MATCH(D94,'卡片raw data'!$F:$F,)),0)+IF(OR(AND(L94="party卡",P94&lt;=1),AND(P94&lt;=4,L94&lt;&gt;"party卡",P94&gt;=3)),INDEX('卡片raw data'!AQ:AQ,MATCH(D94,'卡片raw data'!$F:$F,)),0)+IF(OR(P94=5,AND(L94="party卡",P94&gt;=2)),INDEX('卡片raw data'!AR:AR,MATCH(D94,'卡片raw data'!$F:$F,)),0))</f>
        <v>400</v>
      </c>
      <c r="DW94" s="1098">
        <f t="shared" si="154"/>
        <v>0.3</v>
      </c>
      <c r="DX94" s="1098">
        <f t="shared" si="155"/>
        <v>0.3</v>
      </c>
      <c r="DY94" s="1125">
        <f t="shared" si="156"/>
        <v>40</v>
      </c>
      <c r="DZ94" s="1125">
        <f t="shared" si="157"/>
        <v>34.6</v>
      </c>
      <c r="EA94" s="1098">
        <f t="shared" si="158"/>
        <v>0</v>
      </c>
      <c r="EB94" s="1121">
        <f t="shared" si="159"/>
        <v>0</v>
      </c>
      <c r="EC94" s="1101">
        <f t="shared" si="160"/>
        <v>57.2</v>
      </c>
      <c r="ED94" s="1097">
        <f t="shared" si="161"/>
        <v>0</v>
      </c>
      <c r="EE94" s="1110">
        <f t="shared" si="162"/>
        <v>57.2</v>
      </c>
      <c r="EF94" s="1092" t="s">
        <v>711</v>
      </c>
      <c r="EG94" s="1120">
        <f t="shared" si="163"/>
        <v>0.3</v>
      </c>
      <c r="EH94" s="1124"/>
      <c r="EI94" s="1093"/>
      <c r="EJ94" s="1093"/>
      <c r="EK94" s="1097">
        <f>IF($P94="","N/A",IF(P94=-1,INDEX('卡片raw data'!AS:AS,MATCH(D94,'卡片raw data'!$F:$F,)),0)+IF(AND(L94&lt;&gt;"party卡",P94&lt;=2,P94&gt;=0),INDEX('卡片raw data'!AU:AU,MATCH(D94,'卡片raw data'!$F:$F,)),0)+IF(OR(AND(L94="party卡",P94&lt;=1),AND(P94&lt;=4,L94&lt;&gt;"party卡",P94&gt;=3)),INDEX('卡片raw data'!AV:AV,MATCH(D94,'卡片raw data'!$F:$F,)),0)+IF(OR(P94=5,AND(L94="party卡",P94&gt;=2)),INDEX('卡片raw data'!AW:AW,MATCH(D94,'卡片raw data'!$F:$F,)),0))</f>
        <v>0</v>
      </c>
      <c r="EL94" s="1098">
        <f t="shared" si="164"/>
        <v>0.3</v>
      </c>
      <c r="EM94" s="1098">
        <f t="shared" si="165"/>
        <v>0.3</v>
      </c>
      <c r="EN94" s="1125">
        <f t="shared" si="166"/>
        <v>0</v>
      </c>
      <c r="EO94" s="1125">
        <f t="shared" si="167"/>
        <v>0</v>
      </c>
      <c r="EP94" s="1098">
        <f t="shared" si="168"/>
        <v>0</v>
      </c>
      <c r="EQ94" s="1121">
        <f t="shared" si="169"/>
        <v>0</v>
      </c>
      <c r="ER94" s="1101">
        <f t="shared" si="170"/>
        <v>0</v>
      </c>
      <c r="ES94" s="1097">
        <f t="shared" si="171"/>
        <v>0</v>
      </c>
      <c r="ET94" s="1122">
        <f t="shared" si="172"/>
        <v>0</v>
      </c>
    </row>
    <row r="95" spans="2:154" ht="16.5" customHeight="1">
      <c r="B95" s="1123" t="str">
        <f>INDEX('卡片raw data'!B:B,MATCH($D95,'卡片raw data'!$F:$F,))</f>
        <v>练习菜</v>
      </c>
      <c r="C95" s="449" t="s">
        <v>69</v>
      </c>
      <c r="D95" s="408">
        <v>92</v>
      </c>
      <c r="E95" s="1090">
        <v>102071002</v>
      </c>
      <c r="F95" s="1090" t="str">
        <f>INDEX('卡片raw data'!C:C,MATCH($D95,'卡片raw data'!$F:$F,))</f>
        <v>R</v>
      </c>
      <c r="G95" s="1094" t="s">
        <v>348</v>
      </c>
      <c r="H95" s="411">
        <f>IFERROR(INDEX(绊状态确认!C:C,MATCH($G95,绊状态确认!$B:$B,)),"")</f>
        <v>207</v>
      </c>
      <c r="I95" s="1124" t="str">
        <f>IFERROR(INDEX(绊状态确认!D:D,MATCH($G95,绊状态确认!$B:$B,)),"")</f>
        <v>虹</v>
      </c>
      <c r="J95" s="1124" t="str">
        <f>IFERROR(INDEX(绊状态确认!E:E,MATCH($G95,绊状态确认!$B:$B,)),"")</f>
        <v>2年级</v>
      </c>
      <c r="K95" s="451" t="str">
        <f>IFERROR(INDEX(绊状态确认!F:F,MATCH($G95,绊状态确认!$B:$B,)),"")</f>
        <v>A·ZU·NA</v>
      </c>
      <c r="L95" s="1094" t="str">
        <f>INDEX('卡片raw data'!E:E,MATCH($D95,'卡片raw data'!$F:$F,))</f>
        <v>卡池卡</v>
      </c>
      <c r="M95" s="415">
        <v>43735</v>
      </c>
      <c r="N95" s="416">
        <v>0</v>
      </c>
      <c r="O95" s="1091" t="str">
        <f>INDEX('卡片raw data'!D:D,MATCH($D95,'卡片raw data'!$F:$F,))</f>
        <v>vo</v>
      </c>
      <c r="P95" s="417">
        <v>5</v>
      </c>
      <c r="Q95" s="1095">
        <f t="shared" si="88"/>
        <v>21607.515622960647</v>
      </c>
      <c r="R95" s="1096">
        <f t="shared" si="89"/>
        <v>0.251</v>
      </c>
      <c r="S95" s="1097">
        <f t="shared" si="90"/>
        <v>8329.9991812814151</v>
      </c>
      <c r="T95" s="1098">
        <f t="shared" si="91"/>
        <v>0.41599999999999998</v>
      </c>
      <c r="U95" s="1099">
        <f t="shared" si="92"/>
        <v>-15.069336622857143</v>
      </c>
      <c r="V95" s="1100">
        <f t="shared" si="93"/>
        <v>21091.725677215818</v>
      </c>
      <c r="W95" s="1101">
        <f t="shared" si="94"/>
        <v>3681.3058811528999</v>
      </c>
      <c r="X95" s="1096">
        <f t="shared" si="95"/>
        <v>4.2000000000000003E-2</v>
      </c>
      <c r="Y95" s="1097">
        <f t="shared" si="96"/>
        <v>788.87850449686994</v>
      </c>
      <c r="Z95" s="1102">
        <f t="shared" si="97"/>
        <v>9.9306633771428565</v>
      </c>
      <c r="AA95" s="1103">
        <f t="shared" si="98"/>
        <v>4470.1843856497699</v>
      </c>
      <c r="AB95" s="1101">
        <f t="shared" si="99"/>
        <v>4132.0780298655</v>
      </c>
      <c r="AC95" s="1104">
        <f t="shared" si="100"/>
        <v>4.8000000000000001E-2</v>
      </c>
      <c r="AD95" s="1105">
        <f t="shared" si="101"/>
        <v>-3.8207812500000026E-3</v>
      </c>
      <c r="AE95" s="1128">
        <f t="shared" si="102"/>
        <v>-22.692028985507246</v>
      </c>
      <c r="AF95" s="1130">
        <f t="shared" si="103"/>
        <v>0</v>
      </c>
      <c r="AG95" s="420">
        <f t="shared" si="104"/>
        <v>0</v>
      </c>
      <c r="AH95" s="420">
        <f t="shared" si="105"/>
        <v>0</v>
      </c>
      <c r="AI95" s="1097">
        <f t="shared" si="106"/>
        <v>0</v>
      </c>
      <c r="AJ95" s="420">
        <f t="shared" si="107"/>
        <v>0</v>
      </c>
      <c r="AK95" s="518">
        <f t="shared" si="108"/>
        <v>0</v>
      </c>
      <c r="AL95" s="1106">
        <f>IF($P95="","N/A",(IF($P95=-1,INDEX('卡片raw data'!S:S,MATCH($D95,'卡片raw data'!$F:$F,)),0)+IF($P95=0,INDEX('卡片raw data'!V:V,MATCH($D95,'卡片raw data'!$F:$F,)),0)+IF($P95=1,INDEX('卡片raw data'!Y:Y,MATCH($D95,'卡片raw data'!$F:$F,)),0)+IF($P95=2,INDEX('卡片raw data'!AB:AB,MATCH($D95,'卡片raw data'!$F:$F,)),0)+IF($P95=3,INDEX('卡片raw data'!AE:AE,MATCH($D95,'卡片raw data'!$F:$F,)),0)+IF($P95=4,INDEX('卡片raw data'!AH:AH,MATCH($D95,'卡片raw data'!$F:$F,)),0)+IF($P95=5,INDEX('卡片raw data'!AK:AK,MATCH($D95,'卡片raw data'!$F:$F,)),0)+INDEX('卡片raw data'!S:S,MATCH($D95,'卡片raw data'!$F:$F,))*(IF($F95="UR",0.04,0.033))*(IF($F95="UR",INDEX(绊状态确认!$S:$S,MATCH($G95,绊状态确认!$B:$B,))/2-40)+IF($F95="SR",INDEX(绊状态确认!$R:$R,MATCH($G95,绊状态确认!$B:$B,))/4-15))+IF($F95="R",INDEX(绊状态确认!$Q:$Q,MATCH($G95,绊状态确认!$B:$B,))/6-40/6)))*(INDEX(绊状态确认!$H:$H,MATCH($G95,绊状态确认!$B:$B,))+INDEX(绊状态确认!J:J,MATCH($G95,绊状态确认!$B:$B,)))</f>
        <v>4122.8591999999999</v>
      </c>
      <c r="AM95" s="1106">
        <f>IF($P95="","N/A",(IF($P95=-1,INDEX('卡片raw data'!T:T,MATCH($D95,'卡片raw data'!$F:$F,)),0)+IF($P95=0,INDEX('卡片raw data'!W:W,MATCH($D95,'卡片raw data'!$F:$F,)),0)+IF($P95=1,INDEX('卡片raw data'!Z:Z,MATCH($D95,'卡片raw data'!$F:$F,)),0)+IF($P95=2,INDEX('卡片raw data'!AC:AC,MATCH($D95,'卡片raw data'!$F:$F,)),0)+IF($P95=3,INDEX('卡片raw data'!AF:AF,MATCH($D95,'卡片raw data'!$F:$F,)),0)+IF($P95=4,INDEX('卡片raw data'!AI:AI,MATCH($D95,'卡片raw data'!$F:$F,)),0)+IF($P95=5,INDEX('卡片raw data'!AL:AL,MATCH($D95,'卡片raw data'!$F:$F,)),0)+INDEX('卡片raw data'!T:T,MATCH($D95,'卡片raw data'!$F:$F,))*(IF($F95="UR",0.04,0.033))*(IF($F95="UR",INDEX(绊状态确认!$S:$S,MATCH($G95,绊状态确认!$B:$B,))/2-40)+IF($F95="SR",INDEX(绊状态确认!$R:$R,MATCH($G95,绊状态确认!$B:$B,))/4-15))+IF($F95="R",INDEX(绊状态确认!$Q:$Q,MATCH($G95,绊状态确认!$B:$B,))/6-40/6)))*(INDEX(绊状态确认!$H:$H,MATCH($G95,绊状态确认!$B:$B,))+INDEX(绊状态确认!K:K,MATCH($G95,绊状态确认!$B:$B,)))</f>
        <v>4809.2447999999995</v>
      </c>
      <c r="AN95" s="1106">
        <f>IF($P95="","N/A",(IF($P95=-1,INDEX('卡片raw data'!U:U,MATCH($D95,'卡片raw data'!$F:$F,)),0)+IF($P95=0,INDEX('卡片raw data'!X:X,MATCH($D95,'卡片raw data'!$F:$F,)),0)+IF($P95=1,INDEX('卡片raw data'!AA:AA,MATCH($D95,'卡片raw data'!$F:$F,)),0)+IF($P95=2,INDEX('卡片raw data'!AD:AD,MATCH($D95,'卡片raw data'!$F:$F,)),0)+IF($P95=3,INDEX('卡片raw data'!AG:AG,MATCH($D95,'卡片raw data'!$F:$F,)),0)+IF($P95=4,INDEX('卡片raw data'!AJ:AJ,MATCH($D95,'卡片raw data'!$F:$F,)),0)+IF($P95=5,INDEX('卡片raw data'!AM:AM,MATCH($D95,'卡片raw data'!$F:$F,)),0)+INDEX('卡片raw data'!U:U,MATCH($D95,'卡片raw data'!$F:$F,))*(IF($F95="UR",0.04,0.033))*(IF($F95="UR",INDEX(绊状态确认!$S:$S,MATCH($G95,绊状态确认!$B:$B,))/2-40)+IF($F95="SR",INDEX(绊状态确认!$R:$R,MATCH($G95,绊状态确认!$B:$B,))/4-15))+IF($F95="R",INDEX(绊状态确认!$Q:$Q,MATCH($G95,绊状态确认!$B:$B,))/6-40/6)))*(INDEX(绊状态确认!$H:$H,MATCH($G95,绊状态确认!$B:$B,))+INDEX(绊状态确认!L:L,MATCH($G95,绊状态确认!$B:$B,)))</f>
        <v>4809.2447999999995</v>
      </c>
      <c r="AO95" s="1107">
        <f t="shared" si="109"/>
        <v>1</v>
      </c>
      <c r="AP95" s="1131">
        <f>1+(INDEX(绊状态确认!$T:$T,MATCH($G95,绊状态确认!$B:$B,))+0.2)*$AO95</f>
        <v>1.3</v>
      </c>
      <c r="AQ95" s="1108">
        <f t="shared" si="110"/>
        <v>14072.5054</v>
      </c>
      <c r="AR95" s="1097">
        <f>(AM95*(1+$EX$9)+$EX$35)*(1+(INDEX(绊状态确认!$T:$T,MATCH($G95,绊状态确认!$B:$B,))+0.2)*AO95)*IF(J95=$FF$17,1+$FE$17,1)*IF(I95=$FF$14,1+$FE$14,1)</f>
        <v>9268.6191519999993</v>
      </c>
      <c r="AS95" s="1097">
        <f>(AN95*(1+$EX$10)+$EX$36)*(1+(INDEX(绊状态确认!$T:$T,MATCH($G95,绊状态确认!$B:$B,))+0.2)*AO95)*IF(J95=$FF$17,1+$FE$17,1)*IF(I95=$FF$14,1+$FE$14,1)</f>
        <v>11245.820975999999</v>
      </c>
      <c r="AT95" s="1093">
        <f>IF(AND(INDEX('卡片raw data'!AK:AK,MATCH($D95,'卡片raw data'!$F:$F,))&lt;INDEX('卡片raw data'!AM:AM,MATCH($D95,'卡片raw data'!$F:$F,)),INDEX('卡片raw data'!AL:AL,MATCH($D95,'卡片raw data'!$F:$F,))&lt;INDEX('卡片raw data'!AM:AM,MATCH($D95,'卡片raw data'!$F:$F,))),1,0)</f>
        <v>0</v>
      </c>
      <c r="AU95" s="1098">
        <f>MIN(AT95*0.15+AS95*0.00003+INDEX(绊状态确认!M:M,MATCH($G95,绊状态确认!$B:$B,)),1)</f>
        <v>0.36737462928000003</v>
      </c>
      <c r="AV95" s="1109">
        <f>(INDEX(绊状态确认!$N:$N,MATCH($G95,绊状态确认!$B:$B,))+1.5)*$EW$21</f>
        <v>2.6599999999999997</v>
      </c>
      <c r="AW95" s="1101">
        <f t="shared" si="111"/>
        <v>11765.54394911324</v>
      </c>
      <c r="AX95" s="1097">
        <f t="shared" si="112"/>
        <v>788.87850449686971</v>
      </c>
      <c r="AY95" s="1110">
        <f t="shared" si="113"/>
        <v>12554.42245361011</v>
      </c>
      <c r="AZ95" s="429">
        <f t="shared" si="114"/>
        <v>10639.575440000001</v>
      </c>
      <c r="BA95" s="431">
        <f t="shared" si="115"/>
        <v>12767.490528</v>
      </c>
      <c r="BB95" s="1097">
        <f>(AM95*(1+$FB$9)+$FB$35)*(1+(INDEX(绊状态确认!$T:$T,MATCH($G95,绊状态确认!$B:$B,))+0.2)*AO95)*IF(J95=$FF$17,1+$FE$17,1)*IF(I95=$FF$14,1+$FE$14,1)*(1+$FE$15)</f>
        <v>9268.6191519999993</v>
      </c>
      <c r="BC95" s="1097">
        <f>(AN95*(1+$FB$10)+$FB$36)*(1+(INDEX(绊状态确认!$T:$T,MATCH($G95,绊状态确认!$B:$B,))+0.2)*AO95)*IF(J95=$FF$17,1+$FE$17,1)*IF(I95=$FF$14,1+$FE$14,1)*(1+$FE$15)</f>
        <v>11245.820975999999</v>
      </c>
      <c r="BD95" s="1104">
        <f>MIN(AT95*0.15+BC95*0.00003+INDEX(绊状态确认!M:M,MATCH($G95,绊状态确认!$B:$B,)),1)</f>
        <v>0.36737462928000003</v>
      </c>
      <c r="BE95" s="432">
        <f>(INDEX(绊状态确认!$N:$N,MATCH($G95,绊状态确认!$B:$B,))+1.5)</f>
        <v>1.9</v>
      </c>
      <c r="BF95" s="1139">
        <f t="array" ref="BF95">SUMPRODUCT(IF(AZ95*AP95*$FI$16:$FI$23*$FA$22&gt;=$FI$24,$FI$24,AZ95*AP95*$FI$16:$FI$23*$FA$22),$FJ$16:$FJ$23)</f>
        <v>21162.115550160001</v>
      </c>
      <c r="BG95" s="1125">
        <f t="array" ref="BG95">SUMPRODUCT(IF(BE95*AZ95*AP95*$FI$16:$FI$23*$FA$22&gt;=$FI$24,$FI$24,BE95*AZ95*AP95*$FI$16:$FI$23*$FA$22),$FJ$16:$FJ$23)</f>
        <v>40208.019545304</v>
      </c>
      <c r="BH95" s="1110">
        <f t="shared" si="116"/>
        <v>9386.365823226166</v>
      </c>
      <c r="BI95" s="1111">
        <f>IF(O95="vo",$EW$26/$EW$24*0.05,0)+IF(O95="sk",-$EW$26/$EW$24*(0.05-INDEX(绊状态确认!W:W,MATCH($G95,绊状态确认!$B:$B,)))+0.05*$EW$28,0)+IF(O95="sp",0.05*$EW$32*$EW$30*(1-$EW$33)-(0.05-INDEX(绊状态确认!V:V,MATCH($G95,绊状态确认!$B:$B,)))*$EW$28,0)+IF(O95="gd",-(0.05-INDEX(绊状态确认!X:X,MATCH($G95,绊状态确认!$B:$B,)))*$EW$32*$EW$30*(1-$EW$33),0)</f>
        <v>7726.3029277443748</v>
      </c>
      <c r="BJ95" s="1097">
        <f>IF(O95="vo",0.05*(1-$FI$26)*$FA$24,0)+IF(O95="sk",-(0.05-INDEX(绊状态确认!W:W,MATCH($G95,绊状态确认!$B:$B,)))*(1-$FI$26)*$FA$24+0.05*$FA$26,0)+IF(O95="sp",0.05*$FA$32*$FA$27*(1-$FA$33)/$FA$30+0.05*$FA$29/$FA$69*$FA$27*(1-$FA$33)-(0.05-INDEX(绊状态确认!V:V,MATCH($G95,绊状态确认!$B:$B,)))*$FA$26,0)+IF(O95="gd",-(0.05-INDEX(绊状态确认!X:X,MATCH($G95,绊状态确认!$B:$B,)))*$FA$32*$FA$27*(1-$FA$33)/$FA$30-(0.05-INDEX(绊状态确认!X:X,MATCH($G95,绊状态确认!$B:$B,)))*$FA$29/$FA$69*$FA$27*(1-$FA$33),0)</f>
        <v>393.93433687500004</v>
      </c>
      <c r="BK95" s="1110">
        <f>IF(O95="vo",$EW$26/$EW$24*0.05+$EW$26*(-HP($EW$62,$EW$65,$EW$64)+HP($EW$62,$EW$65,(1.05-INDEX(绊状态确认!U:U,MATCH($G95,绊状态确认!$B:$B,)))*$EW$64)),0)+IF(O95="sk",-$EW$26/$EW$24*(0.05-INDEX(绊状态确认!W:W,MATCH($G95,绊状态确认!$B:$B,)))+0.05*$EW$29,0)+IF(O95="sp",0.05*$EW$32*$EW$30*(1-$EW$33)-(0.05-INDEX(绊状态确认!V:V,MATCH($G95,绊状态确认!$B:$B,)))*$EW$29,0)+IF(O95="gd",-(0.05-INDEX(绊状态确认!X:X,MATCH($G95,绊状态确认!$B:$B,)))*$EW$32*$EW$30*(1-$EW$33)+$EW$26*(-HP($EW$62,$EW$65,$EW$64)+HP($EW$62,$EW$65,0.95*$EW$64)),0)</f>
        <v>6421.6344775026746</v>
      </c>
      <c r="BL95" s="1111">
        <f t="shared" si="117"/>
        <v>-2166.6666666666665</v>
      </c>
      <c r="BM95" s="1110">
        <f t="shared" si="118"/>
        <v>-1661.1111111111109</v>
      </c>
      <c r="BN95" s="1113">
        <f t="shared" si="119"/>
        <v>2</v>
      </c>
      <c r="BO95" s="1097">
        <f t="shared" si="120"/>
        <v>3005.1476580839999</v>
      </c>
      <c r="BP95" s="1100">
        <f t="shared" si="121"/>
        <v>147.56068806020068</v>
      </c>
      <c r="BQ95" s="1113" t="s">
        <v>623</v>
      </c>
      <c r="BR95" s="1124" t="s">
        <v>617</v>
      </c>
      <c r="BS95" s="1098">
        <f>IF($P95="","N/A",IF($P95=-1,INDEX('卡片raw data'!AX:AX,MATCH($D95,'卡片raw data'!$F:$F,)),0)+IF($L95="party卡",IF($P95=5,INDEX('卡片raw data'!BD:BD,MATCH($D95,'卡片raw data'!$F:$F,)),IF($P95&gt;=3,INDEX('卡片raw data'!BC:BC,MATCH($D95,'卡片raw data'!$F:$F,)),INDEX('卡片raw data'!BB:BB,MATCH($D95,'卡片raw data'!$F:$F,)))),IF(OR(AND($F95="UR",$P95=0),AND($F95="SR",$P95&gt;=0,$P95&lt;=2),AND($F95="R",$P95&gt;=0,$P95&lt;4)),INDEX('卡片raw data'!AZ:AZ,MATCH($D95,'卡片raw data'!$F:$F,)),0)+IF(OR(AND($F95="UR",$P95&gt;=1,$P95&lt;=4),AND($F95="SR",$P95&lt;=4,$P95&gt;=3),AND($F95="R",$P95=4)),INDEX('卡片raw data'!BA:BA,MATCH($D95,'卡片raw data'!$F:$F,)),0)+IF($P95=5,INDEX('卡片raw data'!BB:BB,MATCH($D95,'卡片raw data'!$F:$F,)),0)))</f>
        <v>2.7E-2</v>
      </c>
      <c r="BT95" s="1101">
        <f t="shared" si="122"/>
        <v>1126.9303717815001</v>
      </c>
      <c r="BU95" s="1097">
        <f t="shared" si="123"/>
        <v>55.335258022575253</v>
      </c>
      <c r="BV95" s="1097">
        <f t="shared" si="124"/>
        <v>676.15822306889982</v>
      </c>
      <c r="BW95" s="1112">
        <f t="shared" si="125"/>
        <v>0</v>
      </c>
      <c r="BX95" s="1100">
        <f t="shared" si="126"/>
        <v>1126.9303717815001</v>
      </c>
      <c r="BY95" s="1110">
        <f t="shared" si="127"/>
        <v>676.15822306889982</v>
      </c>
      <c r="BZ95" s="1107" t="s">
        <v>569</v>
      </c>
      <c r="CA95" s="1124"/>
      <c r="CB95" s="1098">
        <f>IF($P95="","N/A",IF($P95=-1,INDEX('卡片raw data'!BE:BE,MATCH($D95,'卡片raw data'!$F:$F,)),0)+IF($L95="party卡",IF($P95=5,INDEX('卡片raw data'!BK:BK,MATCH($D95,'卡片raw data'!$F:$F,)),IF($P95&gt;=3,INDEX('卡片raw data'!BJ:BJ,MATCH($D95,'卡片raw data'!$F:$F,)),INDEX('卡片raw data'!BI:BI,MATCH($D95,'卡片raw data'!$F:$F,)))),IF(OR(AND($F95="UR",$P95=0),AND($F95="SR",$P95&gt;=0,$P95&lt;=2),AND($F95="R",$P95&gt;=0,$P95&lt;4)),INDEX('卡片raw data'!BG:BG,MATCH($D95,'卡片raw data'!$F:$F,)),0)+IF(OR(AND($F95="UR",$P95&gt;=1,$P95&lt;=4),AND($F95="SR",$P95&lt;=4,$P95&gt;=3),AND($F95="R",$P95=4)),INDEX('卡片raw data'!BH:BH,MATCH($D95,'卡片raw data'!$F:$F,)),0)+IF($P95=5,INDEX('卡片raw data'!BI:BI,MATCH($D95,'卡片raw data'!$F:$F,)),0)))</f>
        <v>0</v>
      </c>
      <c r="CC95" s="1101">
        <f t="shared" si="128"/>
        <v>0</v>
      </c>
      <c r="CD95" s="1097">
        <f>IF(BZ95="ap",CB95*(1-$FI$26)*$FB$5/$FB$11*(+IF(CA95="全员",$FA$24,0)+IF(CA95="同作战",$FA$24,0)+IF(CA95="仲间",$FA$24*2/3,0)+IF(CA95="同属性",$FA$24*$FA$37/3,0)+IF(CA95="同年级",$FA$24*$FA$40/3,0)+IF(CA95="同学校",$FA$24*$FA$43/3,0)+IF(CA95="同小队",$FA$24*$FA$46/3,0)+IF(CA95="同type",$FA$24*INDEX($FB$49:$FB$52,MATCH(X95,$FA$49:$FA$52,))/3,0)+IF(CA95="自身",#REF!/3,0)),0)+IF(BZ95="te",CB95*(1-$FI$27)*($FA$20-1)*$FB$7/$FB$13*(+IF(CA95="全员",$FA$19*$FA$24/(1+($FA$20-1)*$FA$19),0)+IF(CA95="同作战",$FA$19*$FA$24/(1+($FA$20-1)*$FA$19),0)+IF(CA95="仲间",$FA$19*$FA$24*2/3/(1+($FA$20-1)*$FA$19),0)+IF(CA95="同属性",$FA$19*$FA$24*$FA$37/3/(1+($FA$20-1)*$FA$19),0)+IF(CA95="同年级",$FA$19*$FA$24*$FA$40/3/(1+($FA$20-1)*$FA$19),0)+IF(CA95="同学校",$FA$19*$FA$24*$FA$43/3/(1+($FA$20-1)*$FA$19),0)+IF(CA95="同小队",$FA$19*$FA$24*$FA$46/3/(1+($FA$20-1)*$FA$19),0)+IF(CA95="同type",$FA$19*$FA$24*INDEX($FB$49:$FB$52,MATCH(X95,$FA$49:$FA$52,))/3/(1+($FA$20-1)*$FA$19),0)+IF(CA95="自身",$FA$19*#REF!/3/(1+(BH95-1)*$BD95),0)),0)</f>
        <v>0</v>
      </c>
      <c r="CE95" s="1097">
        <f t="shared" si="129"/>
        <v>0</v>
      </c>
      <c r="CF95" s="1112">
        <f t="shared" si="130"/>
        <v>0</v>
      </c>
      <c r="CG95" s="1100">
        <f t="shared" si="131"/>
        <v>0</v>
      </c>
      <c r="CH95" s="1110">
        <f t="shared" si="132"/>
        <v>0</v>
      </c>
      <c r="CI95" s="1113"/>
      <c r="CJ95" s="1114"/>
      <c r="CK95" s="1115" t="s">
        <v>569</v>
      </c>
      <c r="CL95" s="1115"/>
      <c r="CM95" s="1119"/>
      <c r="CN95" s="1115"/>
      <c r="CO95" s="1092"/>
      <c r="CP95" s="1117">
        <f t="shared" si="133"/>
        <v>0</v>
      </c>
      <c r="CQ95" s="1117">
        <f t="shared" si="134"/>
        <v>0</v>
      </c>
      <c r="CR95" s="1117">
        <f t="shared" si="135"/>
        <v>0</v>
      </c>
      <c r="CS95" s="1118">
        <f t="shared" si="136"/>
        <v>0</v>
      </c>
      <c r="CT95" s="1109">
        <f t="shared" si="137"/>
        <v>0</v>
      </c>
      <c r="CU95" s="1101">
        <f t="shared" si="138"/>
        <v>0</v>
      </c>
      <c r="CV95" s="1108">
        <f t="shared" si="139"/>
        <v>0</v>
      </c>
      <c r="CW95" s="1097">
        <f t="shared" si="140"/>
        <v>0</v>
      </c>
      <c r="CX95" s="1097">
        <f t="shared" si="141"/>
        <v>0</v>
      </c>
      <c r="CY95" s="1110">
        <f t="shared" si="142"/>
        <v>0</v>
      </c>
      <c r="CZ95" s="437"/>
      <c r="DA95" s="438"/>
      <c r="DB95" s="439" t="s">
        <v>569</v>
      </c>
      <c r="DC95" s="439"/>
      <c r="DD95" s="443"/>
      <c r="DE95" s="411"/>
      <c r="DF95" s="411"/>
      <c r="DG95" s="1116">
        <f t="shared" si="143"/>
        <v>0</v>
      </c>
      <c r="DH95" s="1116">
        <f t="shared" si="144"/>
        <v>0</v>
      </c>
      <c r="DI95" s="1116">
        <f t="shared" si="145"/>
        <v>0</v>
      </c>
      <c r="DJ95" s="442">
        <f t="shared" si="146"/>
        <v>0</v>
      </c>
      <c r="DK95" s="1109">
        <f t="shared" si="147"/>
        <v>0</v>
      </c>
      <c r="DL95" s="1101">
        <f t="shared" si="148"/>
        <v>0</v>
      </c>
      <c r="DM95" s="1097">
        <f t="shared" si="149"/>
        <v>0</v>
      </c>
      <c r="DN95" s="1097">
        <f t="shared" si="150"/>
        <v>0</v>
      </c>
      <c r="DO95" s="1097">
        <f t="shared" si="151"/>
        <v>0</v>
      </c>
      <c r="DP95" s="1110">
        <f t="shared" si="152"/>
        <v>0</v>
      </c>
      <c r="DQ95" s="1113" t="s">
        <v>555</v>
      </c>
      <c r="DR95" s="1120">
        <f t="shared" si="153"/>
        <v>0.3</v>
      </c>
      <c r="DS95" s="1124">
        <v>5</v>
      </c>
      <c r="DT95" s="1093" t="s">
        <v>161</v>
      </c>
      <c r="DU95" s="1093" t="s">
        <v>546</v>
      </c>
      <c r="DV95" s="1097">
        <f>IF($P95="","N/A",IF(P95=-1,INDEX('卡片raw data'!AN:AN,MATCH(D95,'卡片raw data'!$F:$F,)),0)+IF(AND(L95&lt;&gt;"party卡",P95&lt;=2,P95&gt;=0),INDEX('卡片raw data'!AP:AP,MATCH(D95,'卡片raw data'!$F:$F,)),0)+IF(OR(AND(L95="party卡",P95&lt;=1),AND(P95&lt;=4,L95&lt;&gt;"party卡",P95&gt;=3)),INDEX('卡片raw data'!AQ:AQ,MATCH(D95,'卡片raw data'!$F:$F,)),0)+IF(OR(P95=5,AND(L95="party卡",P95&gt;=2)),INDEX('卡片raw data'!AR:AR,MATCH(D95,'卡片raw data'!$F:$F,)),0))</f>
        <v>100</v>
      </c>
      <c r="DW95" s="1098">
        <f t="shared" si="154"/>
        <v>0.3</v>
      </c>
      <c r="DX95" s="1098">
        <f t="shared" si="155"/>
        <v>0.3</v>
      </c>
      <c r="DY95" s="1098">
        <f t="shared" si="156"/>
        <v>1.1049723756906078E-3</v>
      </c>
      <c r="DZ95" s="1098">
        <f t="shared" si="157"/>
        <v>1.2054069119286509E-3</v>
      </c>
      <c r="EA95" s="1098">
        <f t="shared" si="158"/>
        <v>0</v>
      </c>
      <c r="EB95" s="1121">
        <f t="shared" si="159"/>
        <v>0</v>
      </c>
      <c r="EC95" s="1101">
        <f t="shared" si="160"/>
        <v>150.25738290420003</v>
      </c>
      <c r="ED95" s="1097">
        <f t="shared" si="161"/>
        <v>7.9141862085859112</v>
      </c>
      <c r="EE95" s="1110">
        <f t="shared" si="162"/>
        <v>150.25738290420003</v>
      </c>
      <c r="EF95" s="1092" t="s">
        <v>711</v>
      </c>
      <c r="EG95" s="1120">
        <f t="shared" si="163"/>
        <v>0.3</v>
      </c>
      <c r="EH95" s="1124"/>
      <c r="EI95" s="1093"/>
      <c r="EJ95" s="1093"/>
      <c r="EK95" s="1097">
        <f>IF($P95="","N/A",IF(P95=-1,INDEX('卡片raw data'!AS:AS,MATCH(D95,'卡片raw data'!$F:$F,)),0)+IF(AND(L95&lt;&gt;"party卡",P95&lt;=2,P95&gt;=0),INDEX('卡片raw data'!AU:AU,MATCH(D95,'卡片raw data'!$F:$F,)),0)+IF(OR(AND(L95="party卡",P95&lt;=1),AND(P95&lt;=4,L95&lt;&gt;"party卡",P95&gt;=3)),INDEX('卡片raw data'!AV:AV,MATCH(D95,'卡片raw data'!$F:$F,)),0)+IF(OR(P95=5,AND(L95="party卡",P95&gt;=2)),INDEX('卡片raw data'!AW:AW,MATCH(D95,'卡片raw data'!$F:$F,)),0))</f>
        <v>0</v>
      </c>
      <c r="EL95" s="1098">
        <f t="shared" si="164"/>
        <v>0.3</v>
      </c>
      <c r="EM95" s="1098">
        <f t="shared" si="165"/>
        <v>0.3</v>
      </c>
      <c r="EN95" s="1125">
        <f t="shared" si="166"/>
        <v>0</v>
      </c>
      <c r="EO95" s="1125">
        <f t="shared" si="167"/>
        <v>0</v>
      </c>
      <c r="EP95" s="1098">
        <f t="shared" si="168"/>
        <v>0</v>
      </c>
      <c r="EQ95" s="1121">
        <f t="shared" si="169"/>
        <v>0</v>
      </c>
      <c r="ER95" s="1101">
        <f t="shared" si="170"/>
        <v>0</v>
      </c>
      <c r="ES95" s="1097">
        <f t="shared" si="171"/>
        <v>0</v>
      </c>
      <c r="ET95" s="1122">
        <f t="shared" si="172"/>
        <v>0</v>
      </c>
    </row>
    <row r="96" spans="2:154" ht="16.5" customHeight="1">
      <c r="B96" s="1123" t="str">
        <f>INDEX('卡片raw data'!B:B,MATCH($D96,'卡片raw data'!$F:$F,))</f>
        <v>一专菜</v>
      </c>
      <c r="C96" s="449" t="s">
        <v>22</v>
      </c>
      <c r="D96" s="408">
        <v>93</v>
      </c>
      <c r="E96" s="1090">
        <v>102072001</v>
      </c>
      <c r="F96" s="1090" t="str">
        <f>INDEX('卡片raw data'!C:C,MATCH($D96,'卡片raw data'!$F:$F,))</f>
        <v>SR</v>
      </c>
      <c r="G96" s="1094" t="s">
        <v>348</v>
      </c>
      <c r="H96" s="411">
        <f>IFERROR(INDEX(绊状态确认!C:C,MATCH($G96,绊状态确认!$B:$B,)),"")</f>
        <v>207</v>
      </c>
      <c r="I96" s="450" t="str">
        <f>IFERROR(INDEX(绊状态确认!D:D,MATCH($G96,绊状态确认!$B:$B,)),"")</f>
        <v>虹</v>
      </c>
      <c r="J96" s="450" t="str">
        <f>IFERROR(INDEX(绊状态确认!E:E,MATCH($G96,绊状态确认!$B:$B,)),"")</f>
        <v>2年级</v>
      </c>
      <c r="K96" s="451" t="str">
        <f>IFERROR(INDEX(绊状态确认!F:F,MATCH($G96,绊状态确认!$B:$B,)),"")</f>
        <v>A·ZU·NA</v>
      </c>
      <c r="L96" s="1094" t="str">
        <f>INDEX('卡片raw data'!E:E,MATCH($D96,'卡片raw data'!$F:$F,))</f>
        <v>卡池卡</v>
      </c>
      <c r="M96" s="415">
        <v>43735</v>
      </c>
      <c r="N96" s="416">
        <v>0</v>
      </c>
      <c r="O96" s="1091" t="str">
        <f>INDEX('卡片raw data'!D:D,MATCH($D96,'卡片raw data'!$F:$F,))</f>
        <v>gd</v>
      </c>
      <c r="P96" s="417">
        <v>5</v>
      </c>
      <c r="Q96" s="1095">
        <f t="shared" si="88"/>
        <v>23002.147262556293</v>
      </c>
      <c r="R96" s="1096">
        <f t="shared" si="89"/>
        <v>0.26700000000000002</v>
      </c>
      <c r="S96" s="1097">
        <f t="shared" si="90"/>
        <v>11376.015395344099</v>
      </c>
      <c r="T96" s="1098">
        <f t="shared" si="91"/>
        <v>0.56799999999999995</v>
      </c>
      <c r="U96" s="1099">
        <f t="shared" si="92"/>
        <v>38.957187676342855</v>
      </c>
      <c r="V96" s="1100">
        <f t="shared" si="93"/>
        <v>25714.667334793463</v>
      </c>
      <c r="W96" s="1101">
        <f t="shared" si="94"/>
        <v>4507.7214871259994</v>
      </c>
      <c r="X96" s="1096">
        <f t="shared" si="95"/>
        <v>5.1999999999999998E-2</v>
      </c>
      <c r="Y96" s="1097">
        <f t="shared" si="96"/>
        <v>1117.9252997195526</v>
      </c>
      <c r="Z96" s="1102">
        <f t="shared" si="97"/>
        <v>13.957187676342858</v>
      </c>
      <c r="AA96" s="1103">
        <f t="shared" si="98"/>
        <v>5625.646786845552</v>
      </c>
      <c r="AB96" s="1101">
        <f t="shared" si="99"/>
        <v>8264.1560597309999</v>
      </c>
      <c r="AC96" s="1104">
        <f t="shared" si="100"/>
        <v>9.6000000000000002E-2</v>
      </c>
      <c r="AD96" s="1105">
        <f t="shared" si="101"/>
        <v>1.4771757812499991E-2</v>
      </c>
      <c r="AE96" s="1128">
        <f t="shared" si="102"/>
        <v>-9.4806488801054059</v>
      </c>
      <c r="AF96" s="1130">
        <f t="shared" si="103"/>
        <v>0</v>
      </c>
      <c r="AG96" s="420">
        <f t="shared" si="104"/>
        <v>0</v>
      </c>
      <c r="AH96" s="420">
        <f t="shared" si="105"/>
        <v>0</v>
      </c>
      <c r="AI96" s="1097">
        <f t="shared" si="106"/>
        <v>0</v>
      </c>
      <c r="AJ96" s="420">
        <f t="shared" si="107"/>
        <v>0</v>
      </c>
      <c r="AK96" s="518">
        <f t="shared" si="108"/>
        <v>0</v>
      </c>
      <c r="AL96" s="1106">
        <f>IF($P96="","N/A",(IF($P96=-1,INDEX('卡片raw data'!S:S,MATCH($D96,'卡片raw data'!$F:$F,)),0)+IF($P96=0,INDEX('卡片raw data'!V:V,MATCH($D96,'卡片raw data'!$F:$F,)),0)+IF($P96=1,INDEX('卡片raw data'!Y:Y,MATCH($D96,'卡片raw data'!$F:$F,)),0)+IF($P96=2,INDEX('卡片raw data'!AB:AB,MATCH($D96,'卡片raw data'!$F:$F,)),0)+IF($P96=3,INDEX('卡片raw data'!AE:AE,MATCH($D96,'卡片raw data'!$F:$F,)),0)+IF($P96=4,INDEX('卡片raw data'!AH:AH,MATCH($D96,'卡片raw data'!$F:$F,)),0)+IF($P96=5,INDEX('卡片raw data'!AK:AK,MATCH($D96,'卡片raw data'!$F:$F,)),0)+INDEX('卡片raw data'!S:S,MATCH($D96,'卡片raw data'!$F:$F,))*(IF($F96="UR",0.04,0.033))*(IF($F96="UR",INDEX(绊状态确认!$S:$S,MATCH($G96,绊状态确认!$B:$B,))/2-40)+IF($F96="SR",INDEX(绊状态确认!$R:$R,MATCH($G96,绊状态确认!$B:$B,))/4-15))+IF($F96="R",INDEX(绊状态确认!$Q:$Q,MATCH($G96,绊状态确认!$B:$B,))/6-40/6)))*(INDEX(绊状态确认!$H:$H,MATCH($G96,绊状态确认!$B:$B,))+INDEX(绊状态确认!J:J,MATCH($G96,绊状态确认!$B:$B,)))</f>
        <v>5671.8178559999997</v>
      </c>
      <c r="AM96" s="1106">
        <f>IF($P96="","N/A",(IF($P96=-1,INDEX('卡片raw data'!T:T,MATCH($D96,'卡片raw data'!$F:$F,)),0)+IF($P96=0,INDEX('卡片raw data'!W:W,MATCH($D96,'卡片raw data'!$F:$F,)),0)+IF($P96=1,INDEX('卡片raw data'!Z:Z,MATCH($D96,'卡片raw data'!$F:$F,)),0)+IF($P96=2,INDEX('卡片raw data'!AC:AC,MATCH($D96,'卡片raw data'!$F:$F,)),0)+IF($P96=3,INDEX('卡片raw data'!AF:AF,MATCH($D96,'卡片raw data'!$F:$F,)),0)+IF($P96=4,INDEX('卡片raw data'!AI:AI,MATCH($D96,'卡片raw data'!$F:$F,)),0)+IF($P96=5,INDEX('卡片raw data'!AL:AL,MATCH($D96,'卡片raw data'!$F:$F,)),0)+INDEX('卡片raw data'!T:T,MATCH($D96,'卡片raw data'!$F:$F,))*(IF($F96="UR",0.04,0.033))*(IF($F96="UR",INDEX(绊状态确认!$S:$S,MATCH($G96,绊状态确认!$B:$B,))/2-40)+IF($F96="SR",INDEX(绊状态确认!$R:$R,MATCH($G96,绊状态确认!$B:$B,))/4-15))+IF($F96="R",INDEX(绊状态确认!$Q:$Q,MATCH($G96,绊状态确认!$B:$B,))/6-40/6)))*(INDEX(绊状态确认!$H:$H,MATCH($G96,绊状态确认!$B:$B,))+INDEX(绊状态确认!K:K,MATCH($G96,绊状态确认!$B:$B,)))</f>
        <v>7562.4238079999996</v>
      </c>
      <c r="AN96" s="1106">
        <f>IF($P96="","N/A",(IF($P96=-1,INDEX('卡片raw data'!U:U,MATCH($D96,'卡片raw data'!$F:$F,)),0)+IF($P96=0,INDEX('卡片raw data'!X:X,MATCH($D96,'卡片raw data'!$F:$F,)),0)+IF($P96=1,INDEX('卡片raw data'!AA:AA,MATCH($D96,'卡片raw data'!$F:$F,)),0)+IF($P96=2,INDEX('卡片raw data'!AD:AD,MATCH($D96,'卡片raw data'!$F:$F,)),0)+IF($P96=3,INDEX('卡片raw data'!AG:AG,MATCH($D96,'卡片raw data'!$F:$F,)),0)+IF($P96=4,INDEX('卡片raw data'!AJ:AJ,MATCH($D96,'卡片raw data'!$F:$F,)),0)+IF($P96=5,INDEX('卡片raw data'!AM:AM,MATCH($D96,'卡片raw data'!$F:$F,)),0)+INDEX('卡片raw data'!U:U,MATCH($D96,'卡片raw data'!$F:$F,))*(IF($F96="UR",0.04,0.033))*(IF($F96="UR",INDEX(绊状态确认!$S:$S,MATCH($G96,绊状态确认!$B:$B,))/2-40)+IF($F96="SR",INDEX(绊状态确认!$R:$R,MATCH($G96,绊状态确认!$B:$B,))/4-15))+IF($F96="R",INDEX(绊状态确认!$Q:$Q,MATCH($G96,绊状态确认!$B:$B,))/6-40/6)))*(INDEX(绊状态确认!$H:$H,MATCH($G96,绊状态确认!$B:$B,))+INDEX(绊状态确认!L:L,MATCH($G96,绊状态确认!$B:$B,)))</f>
        <v>5671.8178559999997</v>
      </c>
      <c r="AO96" s="1107">
        <f t="shared" si="109"/>
        <v>1</v>
      </c>
      <c r="AP96" s="1131">
        <f>1+(INDEX(绊状态确认!$T:$T,MATCH($G96,绊状态确认!$B:$B,))+0.2)*$AO96</f>
        <v>1.3</v>
      </c>
      <c r="AQ96" s="1108">
        <f t="shared" si="110"/>
        <v>18138.521871999998</v>
      </c>
      <c r="AR96" s="1097">
        <f>(AM96*(1+$EX$9)+$EX$35)*(1+(INDEX(绊状态确认!$T:$T,MATCH($G96,绊状态确认!$B:$B,))+0.2)*AO96)*IF(J96=$FF$17,1+$FE$17,1)*IF(I96=$FF$14,1+$FE$14,1)</f>
        <v>13026.708497920001</v>
      </c>
      <c r="AS96" s="1097">
        <f>(AN96*(1+$EX$10)+$EX$36)*(1+(INDEX(绊状态确认!$T:$T,MATCH($G96,绊状态确认!$B:$B,))+0.2)*AO96)*IF(J96=$FF$17,1+$FE$17,1)*IF(I96=$FF$14,1+$FE$14,1)</f>
        <v>12535.367694719998</v>
      </c>
      <c r="AT96" s="1093">
        <f>IF(AND(INDEX('卡片raw data'!AK:AK,MATCH($D96,'卡片raw data'!$F:$F,))&lt;INDEX('卡片raw data'!AM:AM,MATCH($D96,'卡片raw data'!$F:$F,)),INDEX('卡片raw data'!AL:AL,MATCH($D96,'卡片raw data'!$F:$F,))&lt;INDEX('卡片raw data'!AM:AM,MATCH($D96,'卡片raw data'!$F:$F,))),1,0)</f>
        <v>0</v>
      </c>
      <c r="AU96" s="1098">
        <f>MIN(AT96*0.15+AS96*0.00003+INDEX(绊状态确认!M:M,MATCH($G96,绊状态确认!$B:$B,)),1)</f>
        <v>0.4060610308416</v>
      </c>
      <c r="AV96" s="1109">
        <f>(INDEX(绊状态确认!$N:$N,MATCH($G96,绊状态确认!$B:$B,))+1.5)*$EW$21</f>
        <v>2.6599999999999997</v>
      </c>
      <c r="AW96" s="1101">
        <f t="shared" si="111"/>
        <v>15769.960899794989</v>
      </c>
      <c r="AX96" s="1097">
        <f t="shared" si="112"/>
        <v>1117.9252997195524</v>
      </c>
      <c r="AY96" s="1110">
        <f t="shared" si="113"/>
        <v>16887.886199514542</v>
      </c>
      <c r="AZ96" s="429">
        <f t="shared" si="114"/>
        <v>13660.044819199999</v>
      </c>
      <c r="BA96" s="431">
        <f t="shared" si="115"/>
        <v>16392.053783039999</v>
      </c>
      <c r="BB96" s="1097">
        <f>(AM96*(1+$FB$9)+$FB$35)*(1+(INDEX(绊状态确认!$T:$T,MATCH($G96,绊状态确认!$B:$B,))+0.2)*AO96)*IF(J96=$FF$17,1+$FE$17,1)*IF(I96=$FF$14,1+$FE$14,1)*(1+$FE$15)</f>
        <v>13026.708497920001</v>
      </c>
      <c r="BC96" s="1097">
        <f>(AN96*(1+$FB$10)+$FB$36)*(1+(INDEX(绊状态确认!$T:$T,MATCH($G96,绊状态确认!$B:$B,))+0.2)*AO96)*IF(J96=$FF$17,1+$FE$17,1)*IF(I96=$FF$14,1+$FE$14,1)*(1+$FE$15)</f>
        <v>12535.367694719998</v>
      </c>
      <c r="BD96" s="1104">
        <f>MIN(AT96*0.15+BC96*0.00003+INDEX(绊状态确认!M:M,MATCH($G96,绊状态确认!$B:$B,)),1)</f>
        <v>0.4060610308416</v>
      </c>
      <c r="BE96" s="432">
        <f>(INDEX(绊状态确认!$N:$N,MATCH($G96,绊状态确认!$B:$B,))+1.5)</f>
        <v>1.9</v>
      </c>
      <c r="BF96" s="1139">
        <f t="array" ref="BF96">SUMPRODUCT(IF(AZ96*AP96*$FI$16:$FI$23*$FA$22&gt;=$FI$24,$FI$24,AZ96*AP96*$FI$16:$FI$23*$FA$22),$FJ$16:$FJ$23)</f>
        <v>27169.829145388805</v>
      </c>
      <c r="BG96" s="1125">
        <f t="array" ref="BG96">SUMPRODUCT(IF(BE96*AZ96*AP96*$FI$16:$FI$23*$FA$22&gt;=$FI$24,$FI$24,BE96*AZ96*AP96*$FI$16:$FI$23*$FA$22),$FJ$16:$FJ$23)</f>
        <v>51138.760415971832</v>
      </c>
      <c r="BH96" s="1110">
        <f t="shared" si="116"/>
        <v>12300.892695097738</v>
      </c>
      <c r="BI96" s="1111">
        <f>IF(O96="vo",$EW$26/$EW$24*0.05,0)+IF(O96="sk",-$EW$26/$EW$24*(0.05-INDEX(绊状态确认!W:W,MATCH($G96,绊状态确认!$B:$B,)))+0.05*$EW$28,0)+IF(O96="sp",0.05*$EW$32*$EW$30*(1-$EW$33)-(0.05-INDEX(绊状态确认!V:V,MATCH($G96,绊状态确认!$B:$B,)))*$EW$28,0)+IF(O96="gd",-(0.05-INDEX(绊状态确认!X:X,MATCH($G96,绊状态确认!$B:$B,)))*$EW$32*$EW$30*(1-$EW$33),0)</f>
        <v>-585.00000000000011</v>
      </c>
      <c r="BJ96" s="1097">
        <f>IF(O96="vo",0.05*(1-$FI$26)*$FA$24,0)+IF(O96="sk",-(0.05-INDEX(绊状态确认!W:W,MATCH($G96,绊状态确认!$B:$B,)))*(1-$FI$26)*$FA$24+0.05*$FA$26,0)+IF(O96="sp",0.05*$FA$32*$FA$27*(1-$FA$33)/$FA$30+0.05*$FA$29/$FA$69*$FA$27*(1-$FA$33)-(0.05-INDEX(绊状态确认!V:V,MATCH($G96,绊状态确认!$B:$B,)))*$FA$26,0)+IF(O96="gd",-(0.05-INDEX(绊状态确认!X:X,MATCH($G96,绊状态确认!$B:$B,)))*$FA$32*$FA$27*(1-$FA$33)/$FA$30-(0.05-INDEX(绊状态确认!X:X,MATCH($G96,绊状态确认!$B:$B,)))*$FA$29/$FA$69*$FA$27*(1-$FA$33),0)</f>
        <v>-795.00000000000011</v>
      </c>
      <c r="BK96" s="1110">
        <f>IF(O96="vo",$EW$26/$EW$24*0.05+$EW$26*(-HP($EW$62,$EW$65,$EW$64)+HP($EW$62,$EW$65,(1.05-INDEX(绊状态确认!U:U,MATCH($G96,绊状态确认!$B:$B,)))*$EW$64)),0)+IF(O96="sk",-$EW$26/$EW$24*(0.05-INDEX(绊状态确认!W:W,MATCH($G96,绊状态确认!$B:$B,)))+0.05*$EW$29,0)+IF(O96="sp",0.05*$EW$32*$EW$30*(1-$EW$33)-(0.05-INDEX(绊状态确认!V:V,MATCH($G96,绊状态确认!$B:$B,)))*$EW$29,0)+IF(O96="gd",-(0.05-INDEX(绊状态确认!X:X,MATCH($G96,绊状态确认!$B:$B,)))*$EW$32*$EW$30*(1-$EW$33)+$EW$26*(-HP($EW$62,$EW$65,$EW$64)+HP($EW$62,$EW$65,0.95*$EW$64)),0)</f>
        <v>1009.5947725176144</v>
      </c>
      <c r="BL96" s="1111">
        <f t="shared" si="117"/>
        <v>-1083.3333333333333</v>
      </c>
      <c r="BM96" s="1110">
        <f t="shared" si="118"/>
        <v>-830.55555555555543</v>
      </c>
      <c r="BN96" s="1113">
        <f t="shared" si="119"/>
        <v>3</v>
      </c>
      <c r="BO96" s="1097">
        <f t="shared" si="120"/>
        <v>4507.7214871259994</v>
      </c>
      <c r="BP96" s="1100">
        <f t="shared" si="121"/>
        <v>221.34103209030098</v>
      </c>
      <c r="BQ96" s="1113" t="s">
        <v>623</v>
      </c>
      <c r="BR96" s="1124" t="s">
        <v>168</v>
      </c>
      <c r="BS96" s="1098">
        <f>IF($P96="","N/A",IF($P96=-1,INDEX('卡片raw data'!AX:AX,MATCH($D96,'卡片raw data'!$F:$F,)),0)+IF($L96="party卡",IF($P96=5,INDEX('卡片raw data'!BD:BD,MATCH($D96,'卡片raw data'!$F:$F,)),IF($P96&gt;=3,INDEX('卡片raw data'!BC:BC,MATCH($D96,'卡片raw data'!$F:$F,)),INDEX('卡片raw data'!BB:BB,MATCH($D96,'卡片raw data'!$F:$F,)))),IF(OR(AND($F96="UR",$P96=0),AND($F96="SR",$P96&gt;=0,$P96&lt;=2),AND($F96="R",$P96&gt;=0,$P96&lt;4)),INDEX('卡片raw data'!AZ:AZ,MATCH($D96,'卡片raw data'!$F:$F,)),0)+IF(OR(AND($F96="UR",$P96&gt;=1,$P96&lt;=4),AND($F96="SR",$P96&lt;=4,$P96&gt;=3),AND($F96="R",$P96=4)),INDEX('卡片raw data'!BA:BA,MATCH($D96,'卡片raw data'!$F:$F,)),0)+IF($P96=5,INDEX('卡片raw data'!BB:BB,MATCH($D96,'卡片raw data'!$F:$F,)),0)))</f>
        <v>0.05</v>
      </c>
      <c r="BT96" s="1101">
        <f t="shared" si="122"/>
        <v>3756.4345726050001</v>
      </c>
      <c r="BU96" s="1097">
        <f t="shared" si="123"/>
        <v>184.45086007525089</v>
      </c>
      <c r="BV96" s="1097">
        <f t="shared" si="124"/>
        <v>0</v>
      </c>
      <c r="BW96" s="1112">
        <f t="shared" si="125"/>
        <v>0</v>
      </c>
      <c r="BX96" s="1100">
        <f t="shared" si="126"/>
        <v>3756.4345726050001</v>
      </c>
      <c r="BY96" s="1110">
        <f t="shared" si="127"/>
        <v>0</v>
      </c>
      <c r="BZ96" s="1107" t="s">
        <v>569</v>
      </c>
      <c r="CA96" s="1124"/>
      <c r="CB96" s="1098">
        <f>IF($P96="","N/A",IF($P96=-1,INDEX('卡片raw data'!BE:BE,MATCH($D96,'卡片raw data'!$F:$F,)),0)+IF($L96="party卡",IF($P96=5,INDEX('卡片raw data'!BK:BK,MATCH($D96,'卡片raw data'!$F:$F,)),IF($P96&gt;=3,INDEX('卡片raw data'!BJ:BJ,MATCH($D96,'卡片raw data'!$F:$F,)),INDEX('卡片raw data'!BI:BI,MATCH($D96,'卡片raw data'!$F:$F,)))),IF(OR(AND($F96="UR",$P96=0),AND($F96="SR",$P96&gt;=0,$P96&lt;=2),AND($F96="R",$P96&gt;=0,$P96&lt;4)),INDEX('卡片raw data'!BG:BG,MATCH($D96,'卡片raw data'!$F:$F,)),0)+IF(OR(AND($F96="UR",$P96&gt;=1,$P96&lt;=4),AND($F96="SR",$P96&lt;=4,$P96&gt;=3),AND($F96="R",$P96=4)),INDEX('卡片raw data'!BH:BH,MATCH($D96,'卡片raw data'!$F:$F,)),0)+IF($P96=5,INDEX('卡片raw data'!BI:BI,MATCH($D96,'卡片raw data'!$F:$F,)),0)))</f>
        <v>0</v>
      </c>
      <c r="CC96" s="1101">
        <f t="shared" si="128"/>
        <v>0</v>
      </c>
      <c r="CD96" s="1097">
        <f>IF(BZ96="ap",CB96*(1-$FI$26)*$FB$5/$FB$11*(+IF(CA96="全员",$FA$24,0)+IF(CA96="同作战",$FA$24,0)+IF(CA96="仲间",$FA$24*2/3,0)+IF(CA96="同属性",$FA$24*$FA$37/3,0)+IF(CA96="同年级",$FA$24*$FA$40/3,0)+IF(CA96="同学校",$FA$24*$FA$43/3,0)+IF(CA96="同小队",$FA$24*$FA$46/3,0)+IF(CA96="同type",$FA$24*INDEX($FB$49:$FB$52,MATCH(X96,$FA$49:$FA$52,))/3,0)+IF(CA96="自身",#REF!/3,0)),0)+IF(BZ96="te",CB96*(1-$FI$27)*($FA$20-1)*$FB$7/$FB$13*(+IF(CA96="全员",$FA$19*$FA$24/(1+($FA$20-1)*$FA$19),0)+IF(CA96="同作战",$FA$19*$FA$24/(1+($FA$20-1)*$FA$19),0)+IF(CA96="仲间",$FA$19*$FA$24*2/3/(1+($FA$20-1)*$FA$19),0)+IF(CA96="同属性",$FA$19*$FA$24*$FA$37/3/(1+($FA$20-1)*$FA$19),0)+IF(CA96="同年级",$FA$19*$FA$24*$FA$40/3/(1+($FA$20-1)*$FA$19),0)+IF(CA96="同学校",$FA$19*$FA$24*$FA$43/3/(1+($FA$20-1)*$FA$19),0)+IF(CA96="同小队",$FA$19*$FA$24*$FA$46/3/(1+($FA$20-1)*$FA$19),0)+IF(CA96="同type",$FA$19*$FA$24*INDEX($FB$49:$FB$52,MATCH(X96,$FA$49:$FA$52,))/3/(1+($FA$20-1)*$FA$19),0)+IF(CA96="自身",$FA$19*#REF!/3/(1+(BH96-1)*$BD96),0)),0)</f>
        <v>0</v>
      </c>
      <c r="CE96" s="1097">
        <f t="shared" si="129"/>
        <v>0</v>
      </c>
      <c r="CF96" s="1112">
        <f t="shared" si="130"/>
        <v>0</v>
      </c>
      <c r="CG96" s="1100">
        <f t="shared" si="131"/>
        <v>0</v>
      </c>
      <c r="CH96" s="1110">
        <f t="shared" si="132"/>
        <v>0</v>
      </c>
      <c r="CI96" s="1113" t="s">
        <v>571</v>
      </c>
      <c r="CJ96" s="1114">
        <v>0.5</v>
      </c>
      <c r="CK96" s="1115" t="s">
        <v>635</v>
      </c>
      <c r="CL96" s="1115" t="s">
        <v>1944</v>
      </c>
      <c r="CM96" s="1119">
        <v>0.2</v>
      </c>
      <c r="CN96" s="1115"/>
      <c r="CO96" s="1092"/>
      <c r="CP96" s="1117">
        <f t="shared" si="133"/>
        <v>0</v>
      </c>
      <c r="CQ96" s="1117">
        <f t="shared" si="134"/>
        <v>0</v>
      </c>
      <c r="CR96" s="1117">
        <f t="shared" si="135"/>
        <v>0</v>
      </c>
      <c r="CS96" s="1118">
        <f t="shared" si="136"/>
        <v>0</v>
      </c>
      <c r="CT96" s="1109">
        <f t="shared" si="137"/>
        <v>0</v>
      </c>
      <c r="CU96" s="1101">
        <f t="shared" si="138"/>
        <v>0</v>
      </c>
      <c r="CV96" s="1108">
        <f t="shared" si="139"/>
        <v>0</v>
      </c>
      <c r="CW96" s="1097">
        <f t="shared" si="140"/>
        <v>0</v>
      </c>
      <c r="CX96" s="1097">
        <f t="shared" si="141"/>
        <v>0</v>
      </c>
      <c r="CY96" s="1110">
        <f t="shared" si="142"/>
        <v>0</v>
      </c>
      <c r="CZ96" s="437"/>
      <c r="DA96" s="438"/>
      <c r="DB96" s="439" t="s">
        <v>569</v>
      </c>
      <c r="DC96" s="439"/>
      <c r="DD96" s="443"/>
      <c r="DE96" s="411"/>
      <c r="DF96" s="411"/>
      <c r="DG96" s="1116">
        <f t="shared" si="143"/>
        <v>0</v>
      </c>
      <c r="DH96" s="1116">
        <f t="shared" si="144"/>
        <v>0</v>
      </c>
      <c r="DI96" s="1116">
        <f t="shared" si="145"/>
        <v>0</v>
      </c>
      <c r="DJ96" s="442">
        <f t="shared" si="146"/>
        <v>0</v>
      </c>
      <c r="DK96" s="1109">
        <f t="shared" si="147"/>
        <v>0</v>
      </c>
      <c r="DL96" s="1101">
        <f t="shared" si="148"/>
        <v>0</v>
      </c>
      <c r="DM96" s="1097">
        <f t="shared" si="149"/>
        <v>0</v>
      </c>
      <c r="DN96" s="1097">
        <f t="shared" si="150"/>
        <v>0</v>
      </c>
      <c r="DO96" s="1097">
        <f t="shared" si="151"/>
        <v>0</v>
      </c>
      <c r="DP96" s="1110">
        <f t="shared" si="152"/>
        <v>0</v>
      </c>
      <c r="DQ96" s="1113" t="s">
        <v>553</v>
      </c>
      <c r="DR96" s="1120">
        <f t="shared" si="153"/>
        <v>0.3</v>
      </c>
      <c r="DS96" s="1124">
        <v>5</v>
      </c>
      <c r="DT96" s="1093" t="s">
        <v>161</v>
      </c>
      <c r="DU96" s="1093" t="s">
        <v>544</v>
      </c>
      <c r="DV96" s="1098">
        <f>IF($P96="","N/A",IF(P96=-1,INDEX('卡片raw data'!AN:AN,MATCH(D96,'卡片raw data'!$F:$F,)),0)+IF(AND(L96&lt;&gt;"party卡",P96&lt;=2,P96&gt;=0),INDEX('卡片raw data'!AP:AP,MATCH(D96,'卡片raw data'!$F:$F,)),0)+IF(OR(AND(L96="party卡",P96&lt;=1),AND(P96&lt;=4,L96&lt;&gt;"party卡",P96&gt;=3)),INDEX('卡片raw data'!AQ:AQ,MATCH(D96,'卡片raw data'!$F:$F,)),0)+IF(OR(P96=5,AND(L96="party卡",P96&gt;=2)),INDEX('卡片raw data'!AR:AR,MATCH(D96,'卡片raw data'!$F:$F,)),0))</f>
        <v>0.03</v>
      </c>
      <c r="DW96" s="1098">
        <f t="shared" si="154"/>
        <v>0.3</v>
      </c>
      <c r="DX96" s="1098">
        <f t="shared" si="155"/>
        <v>0.3</v>
      </c>
      <c r="DY96" s="1098">
        <f t="shared" si="156"/>
        <v>1.4999999999999998E-2</v>
      </c>
      <c r="DZ96" s="1098">
        <f t="shared" si="157"/>
        <v>1.2974999999999999E-2</v>
      </c>
      <c r="EA96" s="1098">
        <f t="shared" si="158"/>
        <v>1.8592539062499993E-2</v>
      </c>
      <c r="EB96" s="1121">
        <f t="shared" si="159"/>
        <v>0</v>
      </c>
      <c r="EC96" s="1101">
        <f t="shared" si="160"/>
        <v>636.36363636363626</v>
      </c>
      <c r="ED96" s="1097">
        <f t="shared" si="161"/>
        <v>294.88636363636357</v>
      </c>
      <c r="EE96" s="1110">
        <f t="shared" si="162"/>
        <v>636.36363636363626</v>
      </c>
      <c r="EF96" s="1092" t="s">
        <v>711</v>
      </c>
      <c r="EG96" s="1120">
        <f t="shared" si="163"/>
        <v>0.3</v>
      </c>
      <c r="EH96" s="1124"/>
      <c r="EI96" s="1093"/>
      <c r="EJ96" s="1093"/>
      <c r="EK96" s="1097">
        <f>IF($P96="","N/A",IF(P96=-1,INDEX('卡片raw data'!AS:AS,MATCH(D96,'卡片raw data'!$F:$F,)),0)+IF(AND(L96&lt;&gt;"party卡",P96&lt;=2,P96&gt;=0),INDEX('卡片raw data'!AU:AU,MATCH(D96,'卡片raw data'!$F:$F,)),0)+IF(OR(AND(L96="party卡",P96&lt;=1),AND(P96&lt;=4,L96&lt;&gt;"party卡",P96&gt;=3)),INDEX('卡片raw data'!AV:AV,MATCH(D96,'卡片raw data'!$F:$F,)),0)+IF(OR(P96=5,AND(L96="party卡",P96&gt;=2)),INDEX('卡片raw data'!AW:AW,MATCH(D96,'卡片raw data'!$F:$F,)),0))</f>
        <v>0</v>
      </c>
      <c r="EL96" s="1098">
        <f t="shared" si="164"/>
        <v>0.3</v>
      </c>
      <c r="EM96" s="1098">
        <f t="shared" si="165"/>
        <v>0.3</v>
      </c>
      <c r="EN96" s="1125">
        <f t="shared" si="166"/>
        <v>0</v>
      </c>
      <c r="EO96" s="1125">
        <f t="shared" si="167"/>
        <v>0</v>
      </c>
      <c r="EP96" s="1098">
        <f t="shared" si="168"/>
        <v>0</v>
      </c>
      <c r="EQ96" s="1121">
        <f t="shared" si="169"/>
        <v>0</v>
      </c>
      <c r="ER96" s="1101">
        <f t="shared" si="170"/>
        <v>0</v>
      </c>
      <c r="ES96" s="1097">
        <f t="shared" si="171"/>
        <v>0</v>
      </c>
      <c r="ET96" s="1122">
        <f t="shared" si="172"/>
        <v>0</v>
      </c>
    </row>
    <row r="97" spans="2:150" ht="16.5" customHeight="1">
      <c r="B97" s="1123" t="str">
        <f>INDEX('卡片raw data'!B:B,MATCH($D97,'卡片raw data'!$F:$F,))</f>
        <v>校服艾</v>
      </c>
      <c r="C97" s="449" t="s">
        <v>69</v>
      </c>
      <c r="D97" s="408">
        <v>94</v>
      </c>
      <c r="E97" s="1090">
        <v>102081001</v>
      </c>
      <c r="F97" s="1090" t="str">
        <f>INDEX('卡片raw data'!C:C,MATCH($D97,'卡片raw data'!$F:$F,))</f>
        <v>R</v>
      </c>
      <c r="G97" s="1094" t="s">
        <v>351</v>
      </c>
      <c r="H97" s="411">
        <f>IFERROR(INDEX(绊状态确认!C:C,MATCH($G97,绊状态确认!$B:$B,)),"")</f>
        <v>208</v>
      </c>
      <c r="I97" s="450" t="str">
        <f>IFERROR(INDEX(绊状态确认!D:D,MATCH($G97,绊状态确认!$B:$B,)),"")</f>
        <v>虹</v>
      </c>
      <c r="J97" s="450" t="str">
        <f>IFERROR(INDEX(绊状态确认!E:E,MATCH($G97,绊状态确认!$B:$B,)),"")</f>
        <v>3年级</v>
      </c>
      <c r="K97" s="451" t="str">
        <f>IFERROR(INDEX(绊状态确认!F:F,MATCH($G97,绊状态确认!$B:$B,)),"")</f>
        <v>QU4RTZ</v>
      </c>
      <c r="L97" s="1094" t="str">
        <f>INDEX('卡片raw data'!E:E,MATCH($D97,'卡片raw data'!$F:$F,))</f>
        <v>卡池卡</v>
      </c>
      <c r="M97" s="415">
        <v>43735</v>
      </c>
      <c r="N97" s="416">
        <v>0</v>
      </c>
      <c r="O97" s="1091" t="str">
        <f>INDEX('卡片raw data'!D:D,MATCH($D97,'卡片raw data'!$F:$F,))</f>
        <v>gd</v>
      </c>
      <c r="P97" s="417">
        <v>5</v>
      </c>
      <c r="Q97" s="1095">
        <f t="shared" si="88"/>
        <v>10280.920047327685</v>
      </c>
      <c r="R97" s="1096">
        <f t="shared" si="89"/>
        <v>0.11899999999999999</v>
      </c>
      <c r="S97" s="1097">
        <f t="shared" si="90"/>
        <v>5869.409183633039</v>
      </c>
      <c r="T97" s="1098">
        <f t="shared" si="91"/>
        <v>0.29299999999999998</v>
      </c>
      <c r="U97" s="1099">
        <f t="shared" si="92"/>
        <v>76.323672339285707</v>
      </c>
      <c r="V97" s="1100">
        <f t="shared" si="93"/>
        <v>16158.381565781869</v>
      </c>
      <c r="W97" s="1101">
        <f t="shared" si="94"/>
        <v>3005.1476580839999</v>
      </c>
      <c r="X97" s="1096">
        <f t="shared" si="95"/>
        <v>3.4000000000000002E-2</v>
      </c>
      <c r="Y97" s="1097">
        <f t="shared" si="96"/>
        <v>897.6104754690723</v>
      </c>
      <c r="Z97" s="1102">
        <f t="shared" si="97"/>
        <v>11.323672339285713</v>
      </c>
      <c r="AA97" s="1103">
        <f t="shared" si="98"/>
        <v>3902.7581335530722</v>
      </c>
      <c r="AB97" s="1101">
        <f t="shared" si="99"/>
        <v>3005.1476580839999</v>
      </c>
      <c r="AC97" s="1104">
        <f t="shared" si="100"/>
        <v>3.4000000000000002E-2</v>
      </c>
      <c r="AD97" s="1105">
        <f t="shared" si="101"/>
        <v>-3.8207812500000026E-3</v>
      </c>
      <c r="AE97" s="1128">
        <f t="shared" si="102"/>
        <v>-28.942028985507246</v>
      </c>
      <c r="AF97" s="1130">
        <f t="shared" si="103"/>
        <v>1022.8880425</v>
      </c>
      <c r="AG97" s="420">
        <f t="shared" si="104"/>
        <v>105863.71415000001</v>
      </c>
      <c r="AH97" s="420">
        <f t="shared" si="105"/>
        <v>103.49491806675412</v>
      </c>
      <c r="AI97" s="1097">
        <f t="shared" si="106"/>
        <v>-97955.565608737641</v>
      </c>
      <c r="AJ97" s="420">
        <f t="shared" si="107"/>
        <v>16158.381565781869</v>
      </c>
      <c r="AK97" s="518">
        <f t="shared" si="108"/>
        <v>-114113.9471745195</v>
      </c>
      <c r="AL97" s="1106">
        <f>IF($P97="","N/A",(IF($P97=-1,INDEX('卡片raw data'!S:S,MATCH($D97,'卡片raw data'!$F:$F,)),0)+IF($P97=0,INDEX('卡片raw data'!V:V,MATCH($D97,'卡片raw data'!$F:$F,)),0)+IF($P97=1,INDEX('卡片raw data'!Y:Y,MATCH($D97,'卡片raw data'!$F:$F,)),0)+IF($P97=2,INDEX('卡片raw data'!AB:AB,MATCH($D97,'卡片raw data'!$F:$F,)),0)+IF($P97=3,INDEX('卡片raw data'!AE:AE,MATCH($D97,'卡片raw data'!$F:$F,)),0)+IF($P97=4,INDEX('卡片raw data'!AH:AH,MATCH($D97,'卡片raw data'!$F:$F,)),0)+IF($P97=5,INDEX('卡片raw data'!AK:AK,MATCH($D97,'卡片raw data'!$F:$F,)),0)+INDEX('卡片raw data'!S:S,MATCH($D97,'卡片raw data'!$F:$F,))*(IF($F97="UR",0.04,0.033))*(IF($F97="UR",INDEX(绊状态确认!$S:$S,MATCH($G97,绊状态确认!$B:$B,))/2-40)+IF($F97="SR",INDEX(绊状态确认!$R:$R,MATCH($G97,绊状态确认!$B:$B,))/4-15))+IF($F97="R",INDEX(绊状态确认!$Q:$Q,MATCH($G97,绊状态确认!$B:$B,))/6-40/6)))*(INDEX(绊状态确认!$H:$H,MATCH($G97,绊状态确认!$B:$B,))+INDEX(绊状态确认!J:J,MATCH($G97,绊状态确认!$B:$B,)))</f>
        <v>3601.2515999999996</v>
      </c>
      <c r="AM97" s="1106">
        <f>IF($P97="","N/A",(IF($P97=-1,INDEX('卡片raw data'!T:T,MATCH($D97,'卡片raw data'!$F:$F,)),0)+IF($P97=0,INDEX('卡片raw data'!W:W,MATCH($D97,'卡片raw data'!$F:$F,)),0)+IF($P97=1,INDEX('卡片raw data'!Z:Z,MATCH($D97,'卡片raw data'!$F:$F,)),0)+IF($P97=2,INDEX('卡片raw data'!AC:AC,MATCH($D97,'卡片raw data'!$F:$F,)),0)+IF($P97=3,INDEX('卡片raw data'!AF:AF,MATCH($D97,'卡片raw data'!$F:$F,)),0)+IF($P97=4,INDEX('卡片raw data'!AI:AI,MATCH($D97,'卡片raw data'!$F:$F,)),0)+IF($P97=5,INDEX('卡片raw data'!AL:AL,MATCH($D97,'卡片raw data'!$F:$F,)),0)+INDEX('卡片raw data'!T:T,MATCH($D97,'卡片raw data'!$F:$F,))*(IF($F97="UR",0.04,0.033))*(IF($F97="UR",INDEX(绊状态确认!$S:$S,MATCH($G97,绊状态确认!$B:$B,))/2-40)+IF($F97="SR",INDEX(绊状态确认!$R:$R,MATCH($G97,绊状态确认!$B:$B,))/4-15))+IF($F97="R",INDEX(绊状态确认!$Q:$Q,MATCH($G97,绊状态确认!$B:$B,))/6-40/6)))*(INDEX(绊状态确认!$H:$H,MATCH($G97,绊状态确认!$B:$B,))+INDEX(绊状态确认!K:K,MATCH($G97,绊状态确认!$B:$B,)))</f>
        <v>4801.2899999999991</v>
      </c>
      <c r="AN97" s="1106">
        <f>IF($P97="","N/A",(IF($P97=-1,INDEX('卡片raw data'!U:U,MATCH($D97,'卡片raw data'!$F:$F,)),0)+IF($P97=0,INDEX('卡片raw data'!X:X,MATCH($D97,'卡片raw data'!$F:$F,)),0)+IF($P97=1,INDEX('卡片raw data'!AA:AA,MATCH($D97,'卡片raw data'!$F:$F,)),0)+IF($P97=2,INDEX('卡片raw data'!AD:AD,MATCH($D97,'卡片raw data'!$F:$F,)),0)+IF($P97=3,INDEX('卡片raw data'!AG:AG,MATCH($D97,'卡片raw data'!$F:$F,)),0)+IF($P97=4,INDEX('卡片raw data'!AJ:AJ,MATCH($D97,'卡片raw data'!$F:$F,)),0)+IF($P97=5,INDEX('卡片raw data'!AM:AM,MATCH($D97,'卡片raw data'!$F:$F,)),0)+INDEX('卡片raw data'!U:U,MATCH($D97,'卡片raw data'!$F:$F,))*(IF($F97="UR",0.04,0.033))*(IF($F97="UR",INDEX(绊状态确认!$S:$S,MATCH($G97,绊状态确认!$B:$B,))/2-40)+IF($F97="SR",INDEX(绊状态确认!$R:$R,MATCH($G97,绊状态确认!$B:$B,))/4-15))+IF($F97="R",INDEX(绊状态确认!$Q:$Q,MATCH($G97,绊状态确认!$B:$B,))/6-40/6)))*(INDEX(绊状态确认!$H:$H,MATCH($G97,绊状态确认!$B:$B,))+INDEX(绊状态确认!L:L,MATCH($G97,绊状态确认!$B:$B,)))</f>
        <v>3601.2515999999996</v>
      </c>
      <c r="AO97" s="1107">
        <f t="shared" si="109"/>
        <v>1</v>
      </c>
      <c r="AP97" s="1131">
        <f>1+(INDEX(绊状态确认!$T:$T,MATCH($G97,绊状态确认!$B:$B,))+0.2)*$AO97</f>
        <v>1.3</v>
      </c>
      <c r="AQ97" s="1108">
        <f t="shared" si="110"/>
        <v>12703.285449999999</v>
      </c>
      <c r="AR97" s="1097">
        <f>(AM97*(1+$EX$9)+$EX$35)*(1+(INDEX(绊状态确认!$T:$T,MATCH($G97,绊状态确认!$B:$B,))+0.2)*AO97)*IF(J97=$FF$17,1+$FE$17,1)*IF(I97=$FF$14,1+$FE$14,1)</f>
        <v>9257.7608499999988</v>
      </c>
      <c r="AS97" s="1097">
        <f>(AN97*(1+$EX$10)+$EX$36)*(1+(INDEX(绊状态确认!$T:$T,MATCH($G97,绊状态确认!$B:$B,))+0.2)*AO97)*IF(J97=$FF$17,1+$FE$17,1)*IF(I97=$FF$14,1+$FE$14,1)</f>
        <v>9439.8711419999981</v>
      </c>
      <c r="AT97" s="1093">
        <f>IF(AND(INDEX('卡片raw data'!AK:AK,MATCH($D97,'卡片raw data'!$F:$F,))&lt;INDEX('卡片raw data'!AM:AM,MATCH($D97,'卡片raw data'!$F:$F,)),INDEX('卡片raw data'!AL:AL,MATCH($D97,'卡片raw data'!$F:$F,))&lt;INDEX('卡片raw data'!AM:AM,MATCH($D97,'卡片raw data'!$F:$F,))),1,0)</f>
        <v>0</v>
      </c>
      <c r="AU97" s="1098">
        <f>MIN(AT97*0.15+AS97*0.00003+INDEX(绊状态确认!M:M,MATCH($G97,绊状态确认!$B:$B,)),1)</f>
        <v>0.31319613425999998</v>
      </c>
      <c r="AV97" s="1109">
        <f>(INDEX(绊状态确认!$N:$N,MATCH($G97,绊状态确认!$B:$B,))+1.5)*$EW$21</f>
        <v>2.6599999999999997</v>
      </c>
      <c r="AW97" s="1101">
        <f t="shared" si="111"/>
        <v>10027.43905591035</v>
      </c>
      <c r="AX97" s="1097">
        <f t="shared" si="112"/>
        <v>787.93561854235759</v>
      </c>
      <c r="AY97" s="1110">
        <f t="shared" si="113"/>
        <v>10815.374674452709</v>
      </c>
      <c r="AZ97" s="429">
        <f t="shared" si="114"/>
        <v>9622.4406199999994</v>
      </c>
      <c r="BA97" s="431">
        <f t="shared" si="115"/>
        <v>11546.928743999999</v>
      </c>
      <c r="BB97" s="1097">
        <f>(AM97*(1+$FB$9)+$FB$35)*(1+(INDEX(绊状态确认!$T:$T,MATCH($G97,绊状态确认!$B:$B,))+0.2)*AO97)*IF(J97=$FF$17,1+$FE$17,1)*IF(I97=$FF$14,1+$FE$14,1)*(1+$FE$15)</f>
        <v>9257.7608499999988</v>
      </c>
      <c r="BC97" s="1097">
        <f>(AN97*(1+$FB$10)+$FB$36)*(1+(INDEX(绊状态确认!$T:$T,MATCH($G97,绊状态确认!$B:$B,))+0.2)*AO97)*IF(J97=$FF$17,1+$FE$17,1)*IF(I97=$FF$14,1+$FE$14,1)*(1+$FE$15)</f>
        <v>9439.8711419999981</v>
      </c>
      <c r="BD97" s="1104">
        <f>MIN(AT97*0.15+BC97*0.00003+INDEX(绊状态确认!M:M,MATCH($G97,绊状态确认!$B:$B,)),1)</f>
        <v>0.31319613425999998</v>
      </c>
      <c r="BE97" s="432">
        <f>(INDEX(绊状态确认!$N:$N,MATCH($G97,绊状态确认!$B:$B,))+1.5)</f>
        <v>1.9</v>
      </c>
      <c r="BF97" s="1139">
        <f t="array" ref="BF97">SUMPRODUCT(IF(AZ97*AP97*$FI$16:$FI$23*$FA$22&gt;=$FI$24,$FI$24,AZ97*AP97*$FI$16:$FI$23*$FA$22),$FJ$16:$FJ$23)</f>
        <v>19139.034393180002</v>
      </c>
      <c r="BG97" s="1125">
        <f t="array" ref="BG97">SUMPRODUCT(IF(BE97*AZ97*AP97*$FI$16:$FI$23*$FA$22&gt;=$FI$24,$FI$24,BE97*AZ97*AP97*$FI$16:$FI$23*$FA$22),$FJ$16:$FJ$23)</f>
        <v>36364.165347041999</v>
      </c>
      <c r="BH97" s="1110">
        <f t="shared" si="116"/>
        <v>8177.9596066839486</v>
      </c>
      <c r="BI97" s="1111">
        <f>IF(O97="vo",$EW$26/$EW$24*0.05,0)+IF(O97="sk",-$EW$26/$EW$24*(0.05-INDEX(绊状态确认!W:W,MATCH($G97,绊状态确认!$B:$B,)))+0.05*$EW$28,0)+IF(O97="sp",0.05*$EW$32*$EW$30*(1-$EW$33)-(0.05-INDEX(绊状态确认!V:V,MATCH($G97,绊状态确认!$B:$B,)))*$EW$28,0)+IF(O97="gd",-(0.05-INDEX(绊状态确认!X:X,MATCH($G97,绊状态确认!$B:$B,)))*$EW$32*$EW$30*(1-$EW$33),0)</f>
        <v>-585.00000000000011</v>
      </c>
      <c r="BJ97" s="1097">
        <f>IF(O97="vo",0.05*(1-$FI$26)*$FA$24,0)+IF(O97="sk",-(0.05-INDEX(绊状态确认!W:W,MATCH($G97,绊状态确认!$B:$B,)))*(1-$FI$26)*$FA$24+0.05*$FA$26,0)+IF(O97="sp",0.05*$FA$32*$FA$27*(1-$FA$33)/$FA$30+0.05*$FA$29/$FA$69*$FA$27*(1-$FA$33)-(0.05-INDEX(绊状态确认!V:V,MATCH($G97,绊状态确认!$B:$B,)))*$FA$26,0)+IF(O97="gd",-(0.05-INDEX(绊状态确认!X:X,MATCH($G97,绊状态确认!$B:$B,)))*$FA$32*$FA$27*(1-$FA$33)/$FA$30-(0.05-INDEX(绊状态确认!X:X,MATCH($G97,绊状态确认!$B:$B,)))*$FA$29/$FA$69*$FA$27*(1-$FA$33),0)</f>
        <v>-795.00000000000011</v>
      </c>
      <c r="BK97" s="1110">
        <f>IF(O97="vo",$EW$26/$EW$24*0.05+$EW$26*(-HP($EW$62,$EW$65,$EW$64)+HP($EW$62,$EW$65,(1.05-INDEX(绊状态确认!U:U,MATCH($G97,绊状态确认!$B:$B,)))*$EW$64)),0)+IF(O97="sk",-$EW$26/$EW$24*(0.05-INDEX(绊状态确认!W:W,MATCH($G97,绊状态确认!$B:$B,)))+0.05*$EW$29,0)+IF(O97="sp",0.05*$EW$32*$EW$30*(1-$EW$33)-(0.05-INDEX(绊状态确认!V:V,MATCH($G97,绊状态确认!$B:$B,)))*$EW$29,0)+IF(O97="gd",-(0.05-INDEX(绊状态确认!X:X,MATCH($G97,绊状态确认!$B:$B,)))*$EW$32*$EW$30*(1-$EW$33)+$EW$26*(-HP($EW$62,$EW$65,$EW$64)+HP($EW$62,$EW$65,0.95*$EW$64)),0)</f>
        <v>1009.5947725176144</v>
      </c>
      <c r="BL97" s="1111">
        <f t="shared" si="117"/>
        <v>-2166.6666666666665</v>
      </c>
      <c r="BM97" s="1110">
        <f t="shared" si="118"/>
        <v>-1661.1111111111109</v>
      </c>
      <c r="BN97" s="1113">
        <f t="shared" si="119"/>
        <v>2</v>
      </c>
      <c r="BO97" s="1097">
        <f t="shared" si="120"/>
        <v>3005.1476580839999</v>
      </c>
      <c r="BP97" s="1100">
        <f t="shared" si="121"/>
        <v>147.56068806020068</v>
      </c>
      <c r="BQ97" s="1113" t="s">
        <v>624</v>
      </c>
      <c r="BR97" s="1124" t="s">
        <v>168</v>
      </c>
      <c r="BS97" s="1098">
        <f>IF($P97="","N/A",IF($P97=-1,INDEX('卡片raw data'!AX:AX,MATCH($D97,'卡片raw data'!$F:$F,)),0)+IF($L97="party卡",IF($P97=5,INDEX('卡片raw data'!BD:BD,MATCH($D97,'卡片raw data'!$F:$F,)),IF($P97&gt;=3,INDEX('卡片raw data'!BC:BC,MATCH($D97,'卡片raw data'!$F:$F,)),INDEX('卡片raw data'!BB:BB,MATCH($D97,'卡片raw data'!$F:$F,)))),IF(OR(AND($F97="UR",$P97=0),AND($F97="SR",$P97&gt;=0,$P97&lt;=2),AND($F97="R",$P97&gt;=0,$P97&lt;4)),INDEX('卡片raw data'!AZ:AZ,MATCH($D97,'卡片raw data'!$F:$F,)),0)+IF(OR(AND($F97="UR",$P97&gt;=1,$P97&lt;=4),AND($F97="SR",$P97&lt;=4,$P97&gt;=3),AND($F97="R",$P97=4)),INDEX('卡片raw data'!BA:BA,MATCH($D97,'卡片raw data'!$F:$F,)),0)+IF($P97=5,INDEX('卡片raw data'!BB:BB,MATCH($D97,'卡片raw data'!$F:$F,)),0)))</f>
        <v>0.04</v>
      </c>
      <c r="BT97" s="1101">
        <f t="shared" si="122"/>
        <v>0</v>
      </c>
      <c r="BU97" s="1097">
        <f t="shared" si="123"/>
        <v>0</v>
      </c>
      <c r="BV97" s="1097">
        <f t="shared" si="124"/>
        <v>0</v>
      </c>
      <c r="BW97" s="1112">
        <f t="shared" si="125"/>
        <v>1.4046428571428564</v>
      </c>
      <c r="BX97" s="1100">
        <f t="shared" si="126"/>
        <v>109.67485692671488</v>
      </c>
      <c r="BY97" s="1110">
        <f t="shared" si="127"/>
        <v>109.67485692671488</v>
      </c>
      <c r="BZ97" s="1107" t="s">
        <v>569</v>
      </c>
      <c r="CA97" s="1124"/>
      <c r="CB97" s="1098">
        <f>IF($P97="","N/A",IF($P97=-1,INDEX('卡片raw data'!BE:BE,MATCH($D97,'卡片raw data'!$F:$F,)),0)+IF($L97="party卡",IF($P97=5,INDEX('卡片raw data'!BK:BK,MATCH($D97,'卡片raw data'!$F:$F,)),IF($P97&gt;=3,INDEX('卡片raw data'!BJ:BJ,MATCH($D97,'卡片raw data'!$F:$F,)),INDEX('卡片raw data'!BI:BI,MATCH($D97,'卡片raw data'!$F:$F,)))),IF(OR(AND($F97="UR",$P97=0),AND($F97="SR",$P97&gt;=0,$P97&lt;=2),AND($F97="R",$P97&gt;=0,$P97&lt;4)),INDEX('卡片raw data'!BG:BG,MATCH($D97,'卡片raw data'!$F:$F,)),0)+IF(OR(AND($F97="UR",$P97&gt;=1,$P97&lt;=4),AND($F97="SR",$P97&lt;=4,$P97&gt;=3),AND($F97="R",$P97=4)),INDEX('卡片raw data'!BH:BH,MATCH($D97,'卡片raw data'!$F:$F,)),0)+IF($P97=5,INDEX('卡片raw data'!BI:BI,MATCH($D97,'卡片raw data'!$F:$F,)),0)))</f>
        <v>0</v>
      </c>
      <c r="CC97" s="1101">
        <f t="shared" si="128"/>
        <v>0</v>
      </c>
      <c r="CD97" s="1097">
        <f>IF(BZ97="ap",CB97*(1-$FI$26)*$FB$5/$FB$11*(+IF(CA97="全员",$FA$24,0)+IF(CA97="同作战",$FA$24,0)+IF(CA97="仲间",$FA$24*2/3,0)+IF(CA97="同属性",$FA$24*$FA$37/3,0)+IF(CA97="同年级",$FA$24*$FA$40/3,0)+IF(CA97="同学校",$FA$24*$FA$43/3,0)+IF(CA97="同小队",$FA$24*$FA$46/3,0)+IF(CA97="同type",$FA$24*INDEX($FB$49:$FB$52,MATCH(X97,$FA$49:$FA$52,))/3,0)+IF(CA97="自身",#REF!/3,0)),0)+IF(BZ97="te",CB97*(1-$FI$27)*($FA$20-1)*$FB$7/$FB$13*(+IF(CA97="全员",$FA$19*$FA$24/(1+($FA$20-1)*$FA$19),0)+IF(CA97="同作战",$FA$19*$FA$24/(1+($FA$20-1)*$FA$19),0)+IF(CA97="仲间",$FA$19*$FA$24*2/3/(1+($FA$20-1)*$FA$19),0)+IF(CA97="同属性",$FA$19*$FA$24*$FA$37/3/(1+($FA$20-1)*$FA$19),0)+IF(CA97="同年级",$FA$19*$FA$24*$FA$40/3/(1+($FA$20-1)*$FA$19),0)+IF(CA97="同学校",$FA$19*$FA$24*$FA$43/3/(1+($FA$20-1)*$FA$19),0)+IF(CA97="同小队",$FA$19*$FA$24*$FA$46/3/(1+($FA$20-1)*$FA$19),0)+IF(CA97="同type",$FA$19*$FA$24*INDEX($FB$49:$FB$52,MATCH(X97,$FA$49:$FA$52,))/3/(1+($FA$20-1)*$FA$19),0)+IF(CA97="自身",$FA$19*#REF!/3/(1+(BH97-1)*$BD97),0)),0)</f>
        <v>0</v>
      </c>
      <c r="CE97" s="1097">
        <f t="shared" si="129"/>
        <v>0</v>
      </c>
      <c r="CF97" s="1112">
        <f t="shared" si="130"/>
        <v>0</v>
      </c>
      <c r="CG97" s="1100">
        <f t="shared" si="131"/>
        <v>0</v>
      </c>
      <c r="CH97" s="1110">
        <f t="shared" si="132"/>
        <v>0</v>
      </c>
      <c r="CI97" s="1113"/>
      <c r="CJ97" s="1114"/>
      <c r="CK97" s="1115" t="s">
        <v>569</v>
      </c>
      <c r="CL97" s="1115"/>
      <c r="CM97" s="1119"/>
      <c r="CN97" s="1115"/>
      <c r="CO97" s="1092"/>
      <c r="CP97" s="1117">
        <f t="shared" si="133"/>
        <v>0</v>
      </c>
      <c r="CQ97" s="1117">
        <f t="shared" si="134"/>
        <v>0</v>
      </c>
      <c r="CR97" s="1117">
        <f t="shared" si="135"/>
        <v>0</v>
      </c>
      <c r="CS97" s="1118">
        <f t="shared" si="136"/>
        <v>0</v>
      </c>
      <c r="CT97" s="1109">
        <f t="shared" si="137"/>
        <v>0</v>
      </c>
      <c r="CU97" s="1101">
        <f t="shared" si="138"/>
        <v>0</v>
      </c>
      <c r="CV97" s="1108">
        <f t="shared" si="139"/>
        <v>0</v>
      </c>
      <c r="CW97" s="1097">
        <f t="shared" si="140"/>
        <v>0</v>
      </c>
      <c r="CX97" s="1097">
        <f t="shared" si="141"/>
        <v>0</v>
      </c>
      <c r="CY97" s="1110">
        <f t="shared" si="142"/>
        <v>0</v>
      </c>
      <c r="CZ97" s="437"/>
      <c r="DA97" s="438"/>
      <c r="DB97" s="439" t="s">
        <v>569</v>
      </c>
      <c r="DC97" s="439"/>
      <c r="DD97" s="443"/>
      <c r="DE97" s="411"/>
      <c r="DF97" s="411"/>
      <c r="DG97" s="1116">
        <f t="shared" si="143"/>
        <v>0</v>
      </c>
      <c r="DH97" s="1116">
        <f t="shared" si="144"/>
        <v>0</v>
      </c>
      <c r="DI97" s="1116">
        <f t="shared" si="145"/>
        <v>0</v>
      </c>
      <c r="DJ97" s="442">
        <f t="shared" si="146"/>
        <v>0</v>
      </c>
      <c r="DK97" s="1109">
        <f t="shared" si="147"/>
        <v>0</v>
      </c>
      <c r="DL97" s="1101">
        <f t="shared" si="148"/>
        <v>0</v>
      </c>
      <c r="DM97" s="1097">
        <f t="shared" si="149"/>
        <v>0</v>
      </c>
      <c r="DN97" s="1097">
        <f t="shared" si="150"/>
        <v>0</v>
      </c>
      <c r="DO97" s="1097">
        <f t="shared" si="151"/>
        <v>0</v>
      </c>
      <c r="DP97" s="1110">
        <f t="shared" si="152"/>
        <v>0</v>
      </c>
      <c r="DQ97" s="1113" t="s">
        <v>636</v>
      </c>
      <c r="DR97" s="1120">
        <f t="shared" si="153"/>
        <v>0.3</v>
      </c>
      <c r="DS97" s="1124"/>
      <c r="DT97" s="1093" t="s">
        <v>546</v>
      </c>
      <c r="DU97" s="1093"/>
      <c r="DV97" s="1097">
        <f>IF($P97="","N/A",IF(P97=-1,INDEX('卡片raw data'!AN:AN,MATCH(D97,'卡片raw data'!$F:$F,)),0)+IF(AND(L97&lt;&gt;"party卡",P97&lt;=2,P97&gt;=0),INDEX('卡片raw data'!AP:AP,MATCH(D97,'卡片raw data'!$F:$F,)),0)+IF(OR(AND(L97="party卡",P97&lt;=1),AND(P97&lt;=4,L97&lt;&gt;"party卡",P97&gt;=3)),INDEX('卡片raw data'!AQ:AQ,MATCH(D97,'卡片raw data'!$F:$F,)),0)+IF(OR(P97=5,AND(L97="party卡",P97&gt;=2)),INDEX('卡片raw data'!AR:AR,MATCH(D97,'卡片raw data'!$F:$F,)),0))</f>
        <v>400</v>
      </c>
      <c r="DW97" s="1098">
        <f t="shared" si="154"/>
        <v>0.3</v>
      </c>
      <c r="DX97" s="1098">
        <f t="shared" si="155"/>
        <v>0.3</v>
      </c>
      <c r="DY97" s="1125">
        <f t="shared" si="156"/>
        <v>40</v>
      </c>
      <c r="DZ97" s="1125">
        <f t="shared" si="157"/>
        <v>34.6</v>
      </c>
      <c r="EA97" s="1098">
        <f t="shared" si="158"/>
        <v>0</v>
      </c>
      <c r="EB97" s="1121">
        <f t="shared" si="159"/>
        <v>0</v>
      </c>
      <c r="EC97" s="1101">
        <f t="shared" si="160"/>
        <v>0</v>
      </c>
      <c r="ED97" s="1097">
        <f t="shared" si="161"/>
        <v>0</v>
      </c>
      <c r="EE97" s="1110">
        <f t="shared" si="162"/>
        <v>3385.2562704674956</v>
      </c>
      <c r="EF97" s="1092" t="s">
        <v>711</v>
      </c>
      <c r="EG97" s="1120">
        <f t="shared" si="163"/>
        <v>0.3</v>
      </c>
      <c r="EH97" s="1124"/>
      <c r="EI97" s="1093"/>
      <c r="EJ97" s="1093"/>
      <c r="EK97" s="1097">
        <f>IF($P97="","N/A",IF(P97=-1,INDEX('卡片raw data'!AS:AS,MATCH(D97,'卡片raw data'!$F:$F,)),0)+IF(AND(L97&lt;&gt;"party卡",P97&lt;=2,P97&gt;=0),INDEX('卡片raw data'!AU:AU,MATCH(D97,'卡片raw data'!$F:$F,)),0)+IF(OR(AND(L97="party卡",P97&lt;=1),AND(P97&lt;=4,L97&lt;&gt;"party卡",P97&gt;=3)),INDEX('卡片raw data'!AV:AV,MATCH(D97,'卡片raw data'!$F:$F,)),0)+IF(OR(P97=5,AND(L97="party卡",P97&gt;=2)),INDEX('卡片raw data'!AW:AW,MATCH(D97,'卡片raw data'!$F:$F,)),0))</f>
        <v>0</v>
      </c>
      <c r="EL97" s="1098">
        <f t="shared" si="164"/>
        <v>0.3</v>
      </c>
      <c r="EM97" s="1098">
        <f t="shared" si="165"/>
        <v>0.3</v>
      </c>
      <c r="EN97" s="1125">
        <f t="shared" si="166"/>
        <v>0</v>
      </c>
      <c r="EO97" s="1125">
        <f t="shared" si="167"/>
        <v>0</v>
      </c>
      <c r="EP97" s="1098">
        <f t="shared" si="168"/>
        <v>0</v>
      </c>
      <c r="EQ97" s="1121">
        <f t="shared" si="169"/>
        <v>0</v>
      </c>
      <c r="ER97" s="1101">
        <f t="shared" si="170"/>
        <v>0</v>
      </c>
      <c r="ES97" s="1097">
        <f t="shared" si="171"/>
        <v>0</v>
      </c>
      <c r="ET97" s="1122">
        <f t="shared" si="172"/>
        <v>0</v>
      </c>
    </row>
    <row r="98" spans="2:150" ht="16.5" customHeight="1">
      <c r="B98" s="1123" t="str">
        <f>INDEX('卡片raw data'!B:B,MATCH($D98,'卡片raw data'!$F:$F,))</f>
        <v>练习艾</v>
      </c>
      <c r="C98" s="449" t="s">
        <v>123</v>
      </c>
      <c r="D98" s="408">
        <v>95</v>
      </c>
      <c r="E98" s="1090">
        <v>102081002</v>
      </c>
      <c r="F98" s="1090" t="str">
        <f>INDEX('卡片raw data'!C:C,MATCH($D98,'卡片raw data'!$F:$F,))</f>
        <v>R</v>
      </c>
      <c r="G98" s="1094" t="s">
        <v>351</v>
      </c>
      <c r="H98" s="411">
        <f>IFERROR(INDEX(绊状态确认!C:C,MATCH($G98,绊状态确认!$B:$B,)),"")</f>
        <v>208</v>
      </c>
      <c r="I98" s="450" t="str">
        <f>IFERROR(INDEX(绊状态确认!D:D,MATCH($G98,绊状态确认!$B:$B,)),"")</f>
        <v>虹</v>
      </c>
      <c r="J98" s="450" t="str">
        <f>IFERROR(INDEX(绊状态确认!E:E,MATCH($G98,绊状态确认!$B:$B,)),"")</f>
        <v>3年级</v>
      </c>
      <c r="K98" s="451" t="str">
        <f>IFERROR(INDEX(绊状态确认!F:F,MATCH($G98,绊状态确认!$B:$B,)),"")</f>
        <v>QU4RTZ</v>
      </c>
      <c r="L98" s="1094" t="str">
        <f>INDEX('卡片raw data'!E:E,MATCH($D98,'卡片raw data'!$F:$F,))</f>
        <v>卡池卡</v>
      </c>
      <c r="M98" s="415">
        <v>43735</v>
      </c>
      <c r="N98" s="416">
        <v>0</v>
      </c>
      <c r="O98" s="1091" t="str">
        <f>INDEX('卡片raw data'!D:D,MATCH($D98,'卡片raw data'!$F:$F,))</f>
        <v>sk</v>
      </c>
      <c r="P98" s="417">
        <v>5</v>
      </c>
      <c r="Q98" s="1095">
        <f t="shared" si="88"/>
        <v>12495.217425590148</v>
      </c>
      <c r="R98" s="1096">
        <f t="shared" si="89"/>
        <v>0.14499999999999999</v>
      </c>
      <c r="S98" s="1097">
        <f t="shared" si="90"/>
        <v>9313.2066555736565</v>
      </c>
      <c r="T98" s="1098">
        <f t="shared" si="91"/>
        <v>0.46500000000000002</v>
      </c>
      <c r="U98" s="1099">
        <f t="shared" si="92"/>
        <v>7.921323512142858</v>
      </c>
      <c r="V98" s="1100">
        <f t="shared" si="93"/>
        <v>15121.907182266235</v>
      </c>
      <c r="W98" s="1101">
        <f t="shared" si="94"/>
        <v>3641.8612264717735</v>
      </c>
      <c r="X98" s="1096">
        <f t="shared" si="95"/>
        <v>4.2000000000000003E-2</v>
      </c>
      <c r="Y98" s="1097">
        <f t="shared" si="96"/>
        <v>626.68975667608674</v>
      </c>
      <c r="Z98" s="1102">
        <f t="shared" si="97"/>
        <v>7.921323512142858</v>
      </c>
      <c r="AA98" s="1103">
        <f t="shared" si="98"/>
        <v>4268.5509831478603</v>
      </c>
      <c r="AB98" s="1101">
        <f t="shared" si="99"/>
        <v>4066.3369387302896</v>
      </c>
      <c r="AC98" s="1104">
        <f t="shared" si="100"/>
        <v>4.7E-2</v>
      </c>
      <c r="AD98" s="1105">
        <f t="shared" si="101"/>
        <v>1.8994224431818179E-2</v>
      </c>
      <c r="AE98" s="1128">
        <f t="shared" si="102"/>
        <v>-1.8962422952541544</v>
      </c>
      <c r="AF98" s="1130">
        <f t="shared" si="103"/>
        <v>0</v>
      </c>
      <c r="AG98" s="420">
        <f t="shared" si="104"/>
        <v>0</v>
      </c>
      <c r="AH98" s="420">
        <f t="shared" si="105"/>
        <v>0</v>
      </c>
      <c r="AI98" s="1097">
        <f t="shared" si="106"/>
        <v>0</v>
      </c>
      <c r="AJ98" s="420">
        <f t="shared" si="107"/>
        <v>0</v>
      </c>
      <c r="AK98" s="518">
        <f t="shared" si="108"/>
        <v>0</v>
      </c>
      <c r="AL98" s="1106">
        <f>IF($P98="","N/A",(IF($P98=-1,INDEX('卡片raw data'!S:S,MATCH($D98,'卡片raw data'!$F:$F,)),0)+IF($P98=0,INDEX('卡片raw data'!V:V,MATCH($D98,'卡片raw data'!$F:$F,)),0)+IF($P98=1,INDEX('卡片raw data'!Y:Y,MATCH($D98,'卡片raw data'!$F:$F,)),0)+IF($P98=2,INDEX('卡片raw data'!AB:AB,MATCH($D98,'卡片raw data'!$F:$F,)),0)+IF($P98=3,INDEX('卡片raw data'!AE:AE,MATCH($D98,'卡片raw data'!$F:$F,)),0)+IF($P98=4,INDEX('卡片raw data'!AH:AH,MATCH($D98,'卡片raw data'!$F:$F,)),0)+IF($P98=5,INDEX('卡片raw data'!AK:AK,MATCH($D98,'卡片raw data'!$F:$F,)),0)+INDEX('卡片raw data'!S:S,MATCH($D98,'卡片raw data'!$F:$F,))*(IF($F98="UR",0.04,0.033))*(IF($F98="UR",INDEX(绊状态确认!$S:$S,MATCH($G98,绊状态确认!$B:$B,))/2-40)+IF($F98="SR",INDEX(绊状态确认!$R:$R,MATCH($G98,绊状态确认!$B:$B,))/4-15))+IF($F98="R",INDEX(绊状态确认!$Q:$Q,MATCH($G98,绊状态确认!$B:$B,))/6-40/6)))*(INDEX(绊状态确认!$H:$H,MATCH($G98,绊状态确认!$B:$B,))+INDEX(绊状态确认!J:J,MATCH($G98,绊状态确认!$B:$B,)))</f>
        <v>4122.8591999999999</v>
      </c>
      <c r="AM98" s="1106">
        <f>IF($P98="","N/A",(IF($P98=-1,INDEX('卡片raw data'!T:T,MATCH($D98,'卡片raw data'!$F:$F,)),0)+IF($P98=0,INDEX('卡片raw data'!W:W,MATCH($D98,'卡片raw data'!$F:$F,)),0)+IF($P98=1,INDEX('卡片raw data'!Z:Z,MATCH($D98,'卡片raw data'!$F:$F,)),0)+IF($P98=2,INDEX('卡片raw data'!AC:AC,MATCH($D98,'卡片raw data'!$F:$F,)),0)+IF($P98=3,INDEX('卡片raw data'!AF:AF,MATCH($D98,'卡片raw data'!$F:$F,)),0)+IF($P98=4,INDEX('卡片raw data'!AI:AI,MATCH($D98,'卡片raw data'!$F:$F,)),0)+IF($P98=5,INDEX('卡片raw data'!AL:AL,MATCH($D98,'卡片raw data'!$F:$F,)),0)+INDEX('卡片raw data'!T:T,MATCH($D98,'卡片raw data'!$F:$F,))*(IF($F98="UR",0.04,0.033))*(IF($F98="UR",INDEX(绊状态确认!$S:$S,MATCH($G98,绊状态确认!$B:$B,))/2-40)+IF($F98="SR",INDEX(绊状态确认!$R:$R,MATCH($G98,绊状态确认!$B:$B,))/4-15))+IF($F98="R",INDEX(绊状态确认!$Q:$Q,MATCH($G98,绊状态确认!$B:$B,))/6-40/6)))*(INDEX(绊状态确认!$H:$H,MATCH($G98,绊状态确认!$B:$B,))+INDEX(绊状态确认!K:K,MATCH($G98,绊状态确认!$B:$B,)))</f>
        <v>3435.3371999999995</v>
      </c>
      <c r="AN98" s="1106">
        <f>IF($P98="","N/A",(IF($P98=-1,INDEX('卡片raw data'!U:U,MATCH($D98,'卡片raw data'!$F:$F,)),0)+IF($P98=0,INDEX('卡片raw data'!X:X,MATCH($D98,'卡片raw data'!$F:$F,)),0)+IF($P98=1,INDEX('卡片raw data'!AA:AA,MATCH($D98,'卡片raw data'!$F:$F,)),0)+IF($P98=2,INDEX('卡片raw data'!AD:AD,MATCH($D98,'卡片raw data'!$F:$F,)),0)+IF($P98=3,INDEX('卡片raw data'!AG:AG,MATCH($D98,'卡片raw data'!$F:$F,)),0)+IF($P98=4,INDEX('卡片raw data'!AJ:AJ,MATCH($D98,'卡片raw data'!$F:$F,)),0)+IF($P98=5,INDEX('卡片raw data'!AM:AM,MATCH($D98,'卡片raw data'!$F:$F,)),0)+INDEX('卡片raw data'!U:U,MATCH($D98,'卡片raw data'!$F:$F,))*(IF($F98="UR",0.04,0.033))*(IF($F98="UR",INDEX(绊状态确认!$S:$S,MATCH($G98,绊状态确认!$B:$B,))/2-40)+IF($F98="SR",INDEX(绊状态确认!$R:$R,MATCH($G98,绊状态确认!$B:$B,))/4-15))+IF($F98="R",INDEX(绊状态确认!$Q:$Q,MATCH($G98,绊状态确认!$B:$B,))/6-40/6)))*(INDEX(绊状态确认!$H:$H,MATCH($G98,绊状态确认!$B:$B,))+INDEX(绊状态确认!L:L,MATCH($G98,绊状态确认!$B:$B,)))</f>
        <v>6182.0159999999996</v>
      </c>
      <c r="AO98" s="1107">
        <f t="shared" si="109"/>
        <v>1</v>
      </c>
      <c r="AP98" s="1131">
        <f>1+(INDEX(绊状态确认!$T:$T,MATCH($G98,绊状态确认!$B:$B,))+0.2)*$AO98</f>
        <v>1.3</v>
      </c>
      <c r="AQ98" s="1108">
        <f t="shared" si="110"/>
        <v>14072.5054</v>
      </c>
      <c r="AR98" s="1097">
        <f>(AM98*(1+$EX$9)+$EX$35)*(1+(INDEX(绊状态确认!$T:$T,MATCH($G98,绊状态确认!$B:$B,))+0.2)*AO98)*IF(J98=$FF$17,1+$FE$17,1)*IF(I98=$FF$14,1+$FE$14,1)</f>
        <v>7393.2352780000001</v>
      </c>
      <c r="AS98" s="1097">
        <f>(AN98*(1+$EX$10)+$EX$36)*(1+(INDEX(绊状态确认!$T:$T,MATCH($G98,绊状态确认!$B:$B,))+0.2)*AO98)*IF(J98=$FF$17,1+$FE$17,1)*IF(I98=$FF$14,1+$FE$14,1)</f>
        <v>13298.11392</v>
      </c>
      <c r="AT98" s="1093">
        <f>IF(AND(INDEX('卡片raw data'!AK:AK,MATCH($D98,'卡片raw data'!$F:$F,))&lt;INDEX('卡片raw data'!AM:AM,MATCH($D98,'卡片raw data'!$F:$F,)),INDEX('卡片raw data'!AL:AL,MATCH($D98,'卡片raw data'!$F:$F,))&lt;INDEX('卡片raw data'!AM:AM,MATCH($D98,'卡片raw data'!$F:$F,))),1,0)</f>
        <v>1</v>
      </c>
      <c r="AU98" s="1098">
        <f>MIN(AT98*0.15+AS98*0.00003+INDEX(绊状态确认!M:M,MATCH($G98,绊状态确认!$B:$B,)),1)</f>
        <v>0.57894341760000001</v>
      </c>
      <c r="AV98" s="1109">
        <f>(INDEX(绊状态确认!$N:$N,MATCH($G98,绊状态确认!$B:$B,))+1.5)*$EW$21</f>
        <v>2.6599999999999997</v>
      </c>
      <c r="AW98" s="1101">
        <f t="shared" si="111"/>
        <v>14332.322932648087</v>
      </c>
      <c r="AX98" s="1097">
        <f t="shared" si="112"/>
        <v>626.68975667608686</v>
      </c>
      <c r="AY98" s="1110">
        <f t="shared" si="113"/>
        <v>14959.012689324174</v>
      </c>
      <c r="AZ98" s="429">
        <f t="shared" si="114"/>
        <v>10639.575440000001</v>
      </c>
      <c r="BA98" s="431">
        <f t="shared" si="115"/>
        <v>12767.490528</v>
      </c>
      <c r="BB98" s="1097">
        <f>(AM98*(1+$FB$9)+$FB$35)*(1+(INDEX(绊状态确认!$T:$T,MATCH($G98,绊状态确认!$B:$B,))+0.2)*AO98)*IF(J98=$FF$17,1+$FE$17,1)*IF(I98=$FF$14,1+$FE$14,1)*(1+$FE$15)</f>
        <v>7393.2352780000001</v>
      </c>
      <c r="BC98" s="1097">
        <f>(AN98*(1+$FB$10)+$FB$36)*(1+(INDEX(绊状态确认!$T:$T,MATCH($G98,绊状态确认!$B:$B,))+0.2)*AO98)*IF(J98=$FF$17,1+$FE$17,1)*IF(I98=$FF$14,1+$FE$14,1)*(1+$FE$15)</f>
        <v>13298.11392</v>
      </c>
      <c r="BD98" s="1104">
        <f>MIN(AT98*0.15+BC98*0.00003+INDEX(绊状态确认!M:M,MATCH($G98,绊状态确认!$B:$B,)),1)</f>
        <v>0.57894341760000001</v>
      </c>
      <c r="BE98" s="432">
        <f>(INDEX(绊状态确认!$N:$N,MATCH($G98,绊状态确认!$B:$B,))+1.5)</f>
        <v>1.9</v>
      </c>
      <c r="BF98" s="1139">
        <f t="array" ref="BF98">SUMPRODUCT(IF(AZ98*AP98*$FI$16:$FI$23*$FA$22&gt;=$FI$24,$FI$24,AZ98*AP98*$FI$16:$FI$23*$FA$22),$FJ$16:$FJ$23)</f>
        <v>21162.115550160001</v>
      </c>
      <c r="BG98" s="1125">
        <f t="array" ref="BG98">SUMPRODUCT(IF(BE98*AZ98*AP98*$FI$16:$FI$23*$FA$22&gt;=$FI$24,$FI$24,BE98*AZ98*AP98*$FI$16:$FI$23*$FA$22),$FJ$16:$FJ$23)</f>
        <v>40208.019545304</v>
      </c>
      <c r="BH98" s="1110">
        <f t="shared" si="116"/>
        <v>10729.538766796721</v>
      </c>
      <c r="BI98" s="1111">
        <f>IF(O98="vo",$EW$26/$EW$24*0.05,0)+IF(O98="sk",-$EW$26/$EW$24*(0.05-INDEX(绊状态确认!W:W,MATCH($G98,绊状态确认!$B:$B,)))+0.05*$EW$28,0)+IF(O98="sp",0.05*$EW$32*$EW$30*(1-$EW$33)-(0.05-INDEX(绊状态确认!V:V,MATCH($G98,绊状态确认!$B:$B,)))*$EW$28,0)+IF(O98="gd",-(0.05-INDEX(绊状态确认!X:X,MATCH($G98,绊状态确认!$B:$B,)))*$EW$32*$EW$30*(1-$EW$33),0)</f>
        <v>-6253.6726349699375</v>
      </c>
      <c r="BJ98" s="1097">
        <f>IF(O98="vo",0.05*(1-$FI$26)*$FA$24,0)+IF(O98="sk",-(0.05-INDEX(绊状态确认!W:W,MATCH($G98,绊状态确认!$B:$B,)))*(1-$FI$26)*$FA$24+0.05*$FA$26,0)+IF(O98="sp",0.05*$FA$32*$FA$27*(1-$FA$33)/$FA$30+0.05*$FA$29/$FA$69*$FA$27*(1-$FA$33)-(0.05-INDEX(绊状态确认!V:V,MATCH($G98,绊状态确认!$B:$B,)))*$FA$26,0)+IF(O98="gd",-(0.05-INDEX(绊状态确认!X:X,MATCH($G98,绊状态确认!$B:$B,)))*$FA$32*$FA$27*(1-$FA$33)/$FA$30-(0.05-INDEX(绊状态确认!X:X,MATCH($G98,绊状态确认!$B:$B,)))*$FA$29/$FA$69*$FA$27*(1-$FA$33),0)</f>
        <v>20.459096812499922</v>
      </c>
      <c r="BK98" s="1110">
        <f>IF(O98="vo",$EW$26/$EW$24*0.05+$EW$26*(-HP($EW$62,$EW$65,$EW$64)+HP($EW$62,$EW$65,(1.05-INDEX(绊状态确认!U:U,MATCH($G98,绊状态确认!$B:$B,)))*$EW$64)),0)+IF(O98="sk",-$EW$26/$EW$24*(0.05-INDEX(绊状态确认!W:W,MATCH($G98,绊状态确认!$B:$B,)))+0.05*$EW$29,0)+IF(O98="sp",0.05*$EW$32*$EW$30*(1-$EW$33)-(0.05-INDEX(绊状态确认!V:V,MATCH($G98,绊状态确认!$B:$B,)))*$EW$29,0)+IF(O98="gd",-(0.05-INDEX(绊状态确认!X:X,MATCH($G98,绊状态确认!$B:$B,)))*$EW$32*$EW$30*(1-$EW$33)+$EW$26*(-HP($EW$62,$EW$65,$EW$64)+HP($EW$62,$EW$65,0.95*$EW$64)),0)</f>
        <v>-4253.6726349699375</v>
      </c>
      <c r="BL98" s="1111">
        <f t="shared" si="117"/>
        <v>-2166.6666666666665</v>
      </c>
      <c r="BM98" s="1110">
        <f t="shared" si="118"/>
        <v>-1661.1111111111109</v>
      </c>
      <c r="BN98" s="1113">
        <f t="shared" si="119"/>
        <v>2</v>
      </c>
      <c r="BO98" s="1097">
        <f t="shared" si="120"/>
        <v>3005.1476580839999</v>
      </c>
      <c r="BP98" s="1100">
        <f t="shared" si="121"/>
        <v>147.56068806020068</v>
      </c>
      <c r="BQ98" s="1113" t="s">
        <v>626</v>
      </c>
      <c r="BR98" s="1124" t="s">
        <v>617</v>
      </c>
      <c r="BS98" s="1098">
        <f>IF($P98="","N/A",IF($P98=-1,INDEX('卡片raw data'!AX:AX,MATCH($D98,'卡片raw data'!$F:$F,)),0)+IF($L98="party卡",IF($P98=5,INDEX('卡片raw data'!BD:BD,MATCH($D98,'卡片raw data'!$F:$F,)),IF($P98&gt;=3,INDEX('卡片raw data'!BC:BC,MATCH($D98,'卡片raw data'!$F:$F,)),INDEX('卡片raw data'!BB:BB,MATCH($D98,'卡片raw data'!$F:$F,)))),IF(OR(AND($F98="UR",$P98=0),AND($F98="SR",$P98&gt;=0,$P98&lt;=2),AND($F98="R",$P98&gt;=0,$P98&lt;4)),INDEX('卡片raw data'!AZ:AZ,MATCH($D98,'卡片raw data'!$F:$F,)),0)+IF(OR(AND($F98="UR",$P98&gt;=1,$P98&lt;=4),AND($F98="SR",$P98&lt;=4,$P98&gt;=3),AND($F98="R",$P98=4)),INDEX('卡片raw data'!BA:BA,MATCH($D98,'卡片raw data'!$F:$F,)),0)+IF($P98=5,INDEX('卡片raw data'!BB:BB,MATCH($D98,'卡片raw data'!$F:$F,)),0)))</f>
        <v>2.7E-2</v>
      </c>
      <c r="BT98" s="1101">
        <f t="shared" si="122"/>
        <v>1061.1892806462897</v>
      </c>
      <c r="BU98" s="1097">
        <f t="shared" si="123"/>
        <v>76.759215015347351</v>
      </c>
      <c r="BV98" s="1097">
        <f t="shared" si="124"/>
        <v>636.71356838777365</v>
      </c>
      <c r="BW98" s="1112">
        <f t="shared" si="125"/>
        <v>0</v>
      </c>
      <c r="BX98" s="1100">
        <f t="shared" si="126"/>
        <v>1061.1892806462897</v>
      </c>
      <c r="BY98" s="1110">
        <f t="shared" si="127"/>
        <v>636.71356838777365</v>
      </c>
      <c r="BZ98" s="1107" t="s">
        <v>569</v>
      </c>
      <c r="CA98" s="1124"/>
      <c r="CB98" s="1098">
        <f>IF($P98="","N/A",IF($P98=-1,INDEX('卡片raw data'!BE:BE,MATCH($D98,'卡片raw data'!$F:$F,)),0)+IF($L98="party卡",IF($P98=5,INDEX('卡片raw data'!BK:BK,MATCH($D98,'卡片raw data'!$F:$F,)),IF($P98&gt;=3,INDEX('卡片raw data'!BJ:BJ,MATCH($D98,'卡片raw data'!$F:$F,)),INDEX('卡片raw data'!BI:BI,MATCH($D98,'卡片raw data'!$F:$F,)))),IF(OR(AND($F98="UR",$P98=0),AND($F98="SR",$P98&gt;=0,$P98&lt;=2),AND($F98="R",$P98&gt;=0,$P98&lt;4)),INDEX('卡片raw data'!BG:BG,MATCH($D98,'卡片raw data'!$F:$F,)),0)+IF(OR(AND($F98="UR",$P98&gt;=1,$P98&lt;=4),AND($F98="SR",$P98&lt;=4,$P98&gt;=3),AND($F98="R",$P98=4)),INDEX('卡片raw data'!BH:BH,MATCH($D98,'卡片raw data'!$F:$F,)),0)+IF($P98=5,INDEX('卡片raw data'!BI:BI,MATCH($D98,'卡片raw data'!$F:$F,)),0)))</f>
        <v>0</v>
      </c>
      <c r="CC98" s="1101">
        <f t="shared" si="128"/>
        <v>0</v>
      </c>
      <c r="CD98" s="1097">
        <f>IF(BZ98="ap",CB98*(1-$FI$26)*$FB$5/$FB$11*(+IF(CA98="全员",$FA$24,0)+IF(CA98="同作战",$FA$24,0)+IF(CA98="仲间",$FA$24*2/3,0)+IF(CA98="同属性",$FA$24*$FA$37/3,0)+IF(CA98="同年级",$FA$24*$FA$40/3,0)+IF(CA98="同学校",$FA$24*$FA$43/3,0)+IF(CA98="同小队",$FA$24*$FA$46/3,0)+IF(CA98="同type",$FA$24*INDEX($FB$49:$FB$52,MATCH(X98,$FA$49:$FA$52,))/3,0)+IF(CA98="自身",#REF!/3,0)),0)+IF(BZ98="te",CB98*(1-$FI$27)*($FA$20-1)*$FB$7/$FB$13*(+IF(CA98="全员",$FA$19*$FA$24/(1+($FA$20-1)*$FA$19),0)+IF(CA98="同作战",$FA$19*$FA$24/(1+($FA$20-1)*$FA$19),0)+IF(CA98="仲间",$FA$19*$FA$24*2/3/(1+($FA$20-1)*$FA$19),0)+IF(CA98="同属性",$FA$19*$FA$24*$FA$37/3/(1+($FA$20-1)*$FA$19),0)+IF(CA98="同年级",$FA$19*$FA$24*$FA$40/3/(1+($FA$20-1)*$FA$19),0)+IF(CA98="同学校",$FA$19*$FA$24*$FA$43/3/(1+($FA$20-1)*$FA$19),0)+IF(CA98="同小队",$FA$19*$FA$24*$FA$46/3/(1+($FA$20-1)*$FA$19),0)+IF(CA98="同type",$FA$19*$FA$24*INDEX($FB$49:$FB$52,MATCH(X98,$FA$49:$FA$52,))/3/(1+($FA$20-1)*$FA$19),0)+IF(CA98="自身",$FA$19*#REF!/3/(1+(BH98-1)*$BD98),0)),0)</f>
        <v>0</v>
      </c>
      <c r="CE98" s="1097">
        <f t="shared" si="129"/>
        <v>0</v>
      </c>
      <c r="CF98" s="1112">
        <f t="shared" si="130"/>
        <v>0</v>
      </c>
      <c r="CG98" s="1100">
        <f t="shared" si="131"/>
        <v>0</v>
      </c>
      <c r="CH98" s="1110">
        <f t="shared" si="132"/>
        <v>0</v>
      </c>
      <c r="CI98" s="1113"/>
      <c r="CJ98" s="1114"/>
      <c r="CK98" s="1115" t="s">
        <v>569</v>
      </c>
      <c r="CL98" s="1115"/>
      <c r="CM98" s="1119"/>
      <c r="CN98" s="1115"/>
      <c r="CO98" s="1092"/>
      <c r="CP98" s="1117">
        <f t="shared" si="133"/>
        <v>0</v>
      </c>
      <c r="CQ98" s="1117">
        <f t="shared" si="134"/>
        <v>0</v>
      </c>
      <c r="CR98" s="1117">
        <f t="shared" si="135"/>
        <v>0</v>
      </c>
      <c r="CS98" s="1118">
        <f t="shared" si="136"/>
        <v>0</v>
      </c>
      <c r="CT98" s="1109">
        <f t="shared" si="137"/>
        <v>0</v>
      </c>
      <c r="CU98" s="1101">
        <f t="shared" si="138"/>
        <v>0</v>
      </c>
      <c r="CV98" s="1108">
        <f t="shared" si="139"/>
        <v>0</v>
      </c>
      <c r="CW98" s="1097">
        <f t="shared" si="140"/>
        <v>0</v>
      </c>
      <c r="CX98" s="1097">
        <f t="shared" si="141"/>
        <v>0</v>
      </c>
      <c r="CY98" s="1110">
        <f t="shared" si="142"/>
        <v>0</v>
      </c>
      <c r="CZ98" s="437"/>
      <c r="DA98" s="438"/>
      <c r="DB98" s="439" t="s">
        <v>569</v>
      </c>
      <c r="DC98" s="439"/>
      <c r="DD98" s="443"/>
      <c r="DE98" s="411"/>
      <c r="DF98" s="411"/>
      <c r="DG98" s="1116">
        <f t="shared" si="143"/>
        <v>0</v>
      </c>
      <c r="DH98" s="1116">
        <f t="shared" si="144"/>
        <v>0</v>
      </c>
      <c r="DI98" s="1116">
        <f t="shared" si="145"/>
        <v>0</v>
      </c>
      <c r="DJ98" s="442">
        <f t="shared" si="146"/>
        <v>0</v>
      </c>
      <c r="DK98" s="1109">
        <f t="shared" si="147"/>
        <v>0</v>
      </c>
      <c r="DL98" s="1101">
        <f t="shared" si="148"/>
        <v>0</v>
      </c>
      <c r="DM98" s="1097">
        <f t="shared" si="149"/>
        <v>0</v>
      </c>
      <c r="DN98" s="1097">
        <f t="shared" si="150"/>
        <v>0</v>
      </c>
      <c r="DO98" s="1097">
        <f t="shared" si="151"/>
        <v>0</v>
      </c>
      <c r="DP98" s="1110">
        <f t="shared" si="152"/>
        <v>0</v>
      </c>
      <c r="DQ98" s="1113" t="s">
        <v>551</v>
      </c>
      <c r="DR98" s="1120">
        <f t="shared" si="153"/>
        <v>0.3</v>
      </c>
      <c r="DS98" s="1124">
        <v>10</v>
      </c>
      <c r="DT98" s="1093" t="s">
        <v>161</v>
      </c>
      <c r="DU98" s="1093" t="s">
        <v>544</v>
      </c>
      <c r="DV98" s="1098">
        <f>IF($P98="","N/A",IF(P98=-1,INDEX('卡片raw data'!AN:AN,MATCH(D98,'卡片raw data'!$F:$F,)),0)+IF(AND(L98&lt;&gt;"party卡",P98&lt;=2,P98&gt;=0),INDEX('卡片raw data'!AP:AP,MATCH(D98,'卡片raw data'!$F:$F,)),0)+IF(OR(AND(L98="party卡",P98&lt;=1),AND(P98&lt;=4,L98&lt;&gt;"party卡",P98&gt;=3)),INDEX('卡片raw data'!AQ:AQ,MATCH(D98,'卡片raw data'!$F:$F,)),0)+IF(OR(P98=5,AND(L98="party卡",P98&gt;=2)),INDEX('卡片raw data'!AR:AR,MATCH(D98,'卡片raw data'!$F:$F,)),0))</f>
        <v>4.2000000000000003E-2</v>
      </c>
      <c r="DW98" s="1098">
        <f t="shared" si="154"/>
        <v>0.3</v>
      </c>
      <c r="DX98" s="1098">
        <f t="shared" si="155"/>
        <v>0.3</v>
      </c>
      <c r="DY98" s="1098">
        <f t="shared" si="156"/>
        <v>4.1999999999999996E-2</v>
      </c>
      <c r="DZ98" s="1098">
        <f t="shared" si="157"/>
        <v>3.6329999999999994E-2</v>
      </c>
      <c r="EA98" s="1098">
        <f t="shared" si="158"/>
        <v>0</v>
      </c>
      <c r="EB98" s="1121">
        <f t="shared" si="159"/>
        <v>0</v>
      </c>
      <c r="EC98" s="1101">
        <f t="shared" si="160"/>
        <v>2516.8968558483753</v>
      </c>
      <c r="ED98" s="1097">
        <f t="shared" si="161"/>
        <v>0</v>
      </c>
      <c r="EE98" s="1110">
        <f t="shared" si="162"/>
        <v>2516.8968558483753</v>
      </c>
      <c r="EF98" s="1092" t="s">
        <v>711</v>
      </c>
      <c r="EG98" s="1120">
        <f t="shared" si="163"/>
        <v>0.3</v>
      </c>
      <c r="EH98" s="1124"/>
      <c r="EI98" s="1093"/>
      <c r="EJ98" s="1093"/>
      <c r="EK98" s="1097">
        <f>IF($P98="","N/A",IF(P98=-1,INDEX('卡片raw data'!AS:AS,MATCH(D98,'卡片raw data'!$F:$F,)),0)+IF(AND(L98&lt;&gt;"party卡",P98&lt;=2,P98&gt;=0),INDEX('卡片raw data'!AU:AU,MATCH(D98,'卡片raw data'!$F:$F,)),0)+IF(OR(AND(L98="party卡",P98&lt;=1),AND(P98&lt;=4,L98&lt;&gt;"party卡",P98&gt;=3)),INDEX('卡片raw data'!AV:AV,MATCH(D98,'卡片raw data'!$F:$F,)),0)+IF(OR(P98=5,AND(L98="party卡",P98&gt;=2)),INDEX('卡片raw data'!AW:AW,MATCH(D98,'卡片raw data'!$F:$F,)),0))</f>
        <v>0</v>
      </c>
      <c r="EL98" s="1098">
        <f t="shared" si="164"/>
        <v>0.3</v>
      </c>
      <c r="EM98" s="1098">
        <f t="shared" si="165"/>
        <v>0.3</v>
      </c>
      <c r="EN98" s="1125">
        <f t="shared" si="166"/>
        <v>0</v>
      </c>
      <c r="EO98" s="1125">
        <f t="shared" si="167"/>
        <v>0</v>
      </c>
      <c r="EP98" s="1098">
        <f t="shared" si="168"/>
        <v>0</v>
      </c>
      <c r="EQ98" s="1121">
        <f t="shared" si="169"/>
        <v>0</v>
      </c>
      <c r="ER98" s="1101">
        <f t="shared" si="170"/>
        <v>0</v>
      </c>
      <c r="ES98" s="1097">
        <f t="shared" si="171"/>
        <v>0</v>
      </c>
      <c r="ET98" s="1122">
        <f t="shared" si="172"/>
        <v>0</v>
      </c>
    </row>
    <row r="99" spans="2:150" ht="16.5" customHeight="1">
      <c r="B99" s="1123" t="str">
        <f>INDEX('卡片raw data'!B:B,MATCH($D99,'卡片raw data'!$F:$F,))</f>
        <v>一专艾</v>
      </c>
      <c r="C99" s="449" t="s">
        <v>22</v>
      </c>
      <c r="D99" s="408">
        <v>96</v>
      </c>
      <c r="E99" s="1090">
        <v>102082001</v>
      </c>
      <c r="F99" s="1090" t="str">
        <f>INDEX('卡片raw data'!C:C,MATCH($D99,'卡片raw data'!$F:$F,))</f>
        <v>SR</v>
      </c>
      <c r="G99" s="1094" t="s">
        <v>351</v>
      </c>
      <c r="H99" s="411">
        <f>IFERROR(INDEX(绊状态确认!C:C,MATCH($G99,绊状态确认!$B:$B,)),"")</f>
        <v>208</v>
      </c>
      <c r="I99" s="450" t="str">
        <f>IFERROR(INDEX(绊状态确认!D:D,MATCH($G99,绊状态确认!$B:$B,)),"")</f>
        <v>虹</v>
      </c>
      <c r="J99" s="450" t="str">
        <f>IFERROR(INDEX(绊状态确认!E:E,MATCH($G99,绊状态确认!$B:$B,)),"")</f>
        <v>3年级</v>
      </c>
      <c r="K99" s="451" t="str">
        <f>IFERROR(INDEX(绊状态确认!F:F,MATCH($G99,绊状态确认!$B:$B,)),"")</f>
        <v>QU4RTZ</v>
      </c>
      <c r="L99" s="1094" t="str">
        <f>INDEX('卡片raw data'!E:E,MATCH($D99,'卡片raw data'!$F:$F,))</f>
        <v>卡池卡</v>
      </c>
      <c r="M99" s="415">
        <v>43735</v>
      </c>
      <c r="N99" s="416">
        <v>0</v>
      </c>
      <c r="O99" s="1091" t="str">
        <f>INDEX('卡片raw data'!D:D,MATCH($D99,'卡片raw data'!$F:$F,))</f>
        <v>vo</v>
      </c>
      <c r="P99" s="417">
        <v>5</v>
      </c>
      <c r="Q99" s="1095">
        <f t="shared" si="88"/>
        <v>34678.021381742517</v>
      </c>
      <c r="R99" s="1096">
        <f t="shared" si="89"/>
        <v>0.40300000000000002</v>
      </c>
      <c r="S99" s="1097">
        <f t="shared" si="90"/>
        <v>12574.329307872735</v>
      </c>
      <c r="T99" s="1098">
        <f t="shared" si="91"/>
        <v>0.628</v>
      </c>
      <c r="U99" s="1099">
        <f t="shared" si="92"/>
        <v>-11.596811755617145</v>
      </c>
      <c r="V99" s="1100">
        <f t="shared" si="93"/>
        <v>34445.682421650476</v>
      </c>
      <c r="W99" s="1101">
        <f t="shared" si="94"/>
        <v>6486.1913593402915</v>
      </c>
      <c r="X99" s="1096">
        <f t="shared" si="95"/>
        <v>7.4999999999999997E-2</v>
      </c>
      <c r="Y99" s="1097">
        <f t="shared" si="96"/>
        <v>1072.3294901496602</v>
      </c>
      <c r="Z99" s="1102">
        <f t="shared" si="97"/>
        <v>13.403188244382855</v>
      </c>
      <c r="AA99" s="1103">
        <f t="shared" si="98"/>
        <v>7558.5208494899516</v>
      </c>
      <c r="AB99" s="1101">
        <f t="shared" si="99"/>
        <v>7240.8148477998757</v>
      </c>
      <c r="AC99" s="1104">
        <f t="shared" si="100"/>
        <v>8.4000000000000005E-2</v>
      </c>
      <c r="AD99" s="1105">
        <f t="shared" si="101"/>
        <v>-3.8207812500000026E-3</v>
      </c>
      <c r="AE99" s="1128">
        <f t="shared" si="102"/>
        <v>-12.27536231884058</v>
      </c>
      <c r="AF99" s="1130">
        <f t="shared" si="103"/>
        <v>0</v>
      </c>
      <c r="AG99" s="420">
        <f t="shared" si="104"/>
        <v>0</v>
      </c>
      <c r="AH99" s="420">
        <f t="shared" si="105"/>
        <v>0</v>
      </c>
      <c r="AI99" s="1097">
        <f t="shared" si="106"/>
        <v>0</v>
      </c>
      <c r="AJ99" s="420">
        <f t="shared" si="107"/>
        <v>0</v>
      </c>
      <c r="AK99" s="518">
        <f t="shared" si="108"/>
        <v>0</v>
      </c>
      <c r="AL99" s="1106">
        <f>IF($P99="","N/A",(IF($P99=-1,INDEX('卡片raw data'!S:S,MATCH($D99,'卡片raw data'!$F:$F,)),0)+IF($P99=0,INDEX('卡片raw data'!V:V,MATCH($D99,'卡片raw data'!$F:$F,)),0)+IF($P99=1,INDEX('卡片raw data'!Y:Y,MATCH($D99,'卡片raw data'!$F:$F,)),0)+IF($P99=2,INDEX('卡片raw data'!AB:AB,MATCH($D99,'卡片raw data'!$F:$F,)),0)+IF($P99=3,INDEX('卡片raw data'!AE:AE,MATCH($D99,'卡片raw data'!$F:$F,)),0)+IF($P99=4,INDEX('卡片raw data'!AH:AH,MATCH($D99,'卡片raw data'!$F:$F,)),0)+IF($P99=5,INDEX('卡片raw data'!AK:AK,MATCH($D99,'卡片raw data'!$F:$F,)),0)+INDEX('卡片raw data'!S:S,MATCH($D99,'卡片raw data'!$F:$F,))*(IF($F99="UR",0.04,0.033))*(IF($F99="UR",INDEX(绊状态确认!$S:$S,MATCH($G99,绊状态确认!$B:$B,))/2-40)+IF($F99="SR",INDEX(绊状态确认!$R:$R,MATCH($G99,绊状态确认!$B:$B,))/4-15))+IF($F99="R",INDEX(绊状态确认!$Q:$Q,MATCH($G99,绊状态确认!$B:$B,))/6-40/6)))*(INDEX(绊状态确认!$H:$H,MATCH($G99,绊状态确认!$B:$B,))+INDEX(绊状态确认!J:J,MATCH($G99,绊状态确认!$B:$B,)))</f>
        <v>5671.8178559999997</v>
      </c>
      <c r="AM99" s="1106">
        <f>IF($P99="","N/A",(IF($P99=-1,INDEX('卡片raw data'!T:T,MATCH($D99,'卡片raw data'!$F:$F,)),0)+IF($P99=0,INDEX('卡片raw data'!W:W,MATCH($D99,'卡片raw data'!$F:$F,)),0)+IF($P99=1,INDEX('卡片raw data'!Z:Z,MATCH($D99,'卡片raw data'!$F:$F,)),0)+IF($P99=2,INDEX('卡片raw data'!AC:AC,MATCH($D99,'卡片raw data'!$F:$F,)),0)+IF($P99=3,INDEX('卡片raw data'!AF:AF,MATCH($D99,'卡片raw data'!$F:$F,)),0)+IF($P99=4,INDEX('卡片raw data'!AI:AI,MATCH($D99,'卡片raw data'!$F:$F,)),0)+IF($P99=5,INDEX('卡片raw data'!AL:AL,MATCH($D99,'卡片raw data'!$F:$F,)),0)+INDEX('卡片raw data'!T:T,MATCH($D99,'卡片raw data'!$F:$F,))*(IF($F99="UR",0.04,0.033))*(IF($F99="UR",INDEX(绊状态确认!$S:$S,MATCH($G99,绊状态确认!$B:$B,))/2-40)+IF($F99="SR",INDEX(绊状态确认!$R:$R,MATCH($G99,绊状态确认!$B:$B,))/4-15))+IF($F99="R",INDEX(绊状态确认!$Q:$Q,MATCH($G99,绊状态确认!$B:$B,))/6-40/6)))*(INDEX(绊状态确认!$H:$H,MATCH($G99,绊状态确认!$B:$B,))+INDEX(绊状态确认!K:K,MATCH($G99,绊状态确认!$B:$B,)))</f>
        <v>7183.6207775999992</v>
      </c>
      <c r="AN99" s="1106">
        <f>IF($P99="","N/A",(IF($P99=-1,INDEX('卡片raw data'!U:U,MATCH($D99,'卡片raw data'!$F:$F,)),0)+IF($P99=0,INDEX('卡片raw data'!X:X,MATCH($D99,'卡片raw data'!$F:$F,)),0)+IF($P99=1,INDEX('卡片raw data'!AA:AA,MATCH($D99,'卡片raw data'!$F:$F,)),0)+IF($P99=2,INDEX('卡片raw data'!AD:AD,MATCH($D99,'卡片raw data'!$F:$F,)),0)+IF($P99=3,INDEX('卡片raw data'!AG:AG,MATCH($D99,'卡片raw data'!$F:$F,)),0)+IF($P99=4,INDEX('卡片raw data'!AJ:AJ,MATCH($D99,'卡片raw data'!$F:$F,)),0)+IF($P99=5,INDEX('卡片raw data'!AM:AM,MATCH($D99,'卡片raw data'!$F:$F,)),0)+INDEX('卡片raw data'!U:U,MATCH($D99,'卡片raw data'!$F:$F,))*(IF($F99="UR",0.04,0.033))*(IF($F99="UR",INDEX(绊状态确认!$S:$S,MATCH($G99,绊状态确认!$B:$B,))/2-40)+IF($F99="SR",INDEX(绊状态确认!$R:$R,MATCH($G99,绊状态确认!$B:$B,))/4-15))+IF($F99="R",INDEX(绊状态确认!$Q:$Q,MATCH($G99,绊状态确认!$B:$B,))/6-40/6)))*(INDEX(绊状态确认!$H:$H,MATCH($G99,绊状态确认!$B:$B,))+INDEX(绊状态确认!L:L,MATCH($G99,绊状态确认!$B:$B,)))</f>
        <v>6049.4844863999997</v>
      </c>
      <c r="AO99" s="1107">
        <f t="shared" si="109"/>
        <v>1</v>
      </c>
      <c r="AP99" s="1131">
        <f>1+(INDEX(绊状态确认!$T:$T,MATCH($G99,绊状态确认!$B:$B,))+0.2)*$AO99</f>
        <v>1.3</v>
      </c>
      <c r="AQ99" s="1108">
        <f t="shared" si="110"/>
        <v>18138.521871999998</v>
      </c>
      <c r="AR99" s="1097">
        <f>(AM99*(1+$EX$9)+$EX$35)*(1+(INDEX(绊状态确认!$T:$T,MATCH($G99,绊状态确认!$B:$B,))+0.2)*AO99)*IF(J99=$FF$17,1+$FE$17,1)*IF(I99=$FF$14,1+$FE$14,1)</f>
        <v>12509.642361423999</v>
      </c>
      <c r="AS99" s="1097">
        <f>(AN99*(1+$EX$10)+$EX$36)*(1+(INDEX(绊状态确认!$T:$T,MATCH($G99,绊状态确认!$B:$B,))+0.2)*AO99)*IF(J99=$FF$17,1+$FE$17,1)*IF(I99=$FF$14,1+$FE$14,1)</f>
        <v>13099.979307167998</v>
      </c>
      <c r="AT99" s="1093">
        <f>IF(AND(INDEX('卡片raw data'!AK:AK,MATCH($D99,'卡片raw data'!$F:$F,))&lt;INDEX('卡片raw data'!AM:AM,MATCH($D99,'卡片raw data'!$F:$F,)),INDEX('卡片raw data'!AL:AL,MATCH($D99,'卡片raw data'!$F:$F,))&lt;INDEX('卡片raw data'!AM:AM,MATCH($D99,'卡片raw data'!$F:$F,))),1,0)</f>
        <v>0</v>
      </c>
      <c r="AU99" s="1098">
        <f>MIN(AT99*0.15+AS99*0.00003+INDEX(绊状态确认!M:M,MATCH($G99,绊状态确认!$B:$B,)),1)</f>
        <v>0.42299937921503999</v>
      </c>
      <c r="AV99" s="1109">
        <f>(INDEX(绊状态确认!$N:$N,MATCH($G99,绊状态确认!$B:$B,))+1.5)*$EW$21</f>
        <v>2.6599999999999997</v>
      </c>
      <c r="AW99" s="1101">
        <f t="shared" si="111"/>
        <v>16034.834336041069</v>
      </c>
      <c r="AX99" s="1097">
        <f t="shared" si="112"/>
        <v>1072.3294901496602</v>
      </c>
      <c r="AY99" s="1110">
        <f t="shared" si="113"/>
        <v>17107.163826190728</v>
      </c>
      <c r="AZ99" s="429">
        <f t="shared" si="114"/>
        <v>13660.044819199999</v>
      </c>
      <c r="BA99" s="431">
        <f t="shared" si="115"/>
        <v>16392.053783039999</v>
      </c>
      <c r="BB99" s="1097">
        <f>(AM99*(1+$FB$9)+$FB$35)*(1+(INDEX(绊状态确认!$T:$T,MATCH($G99,绊状态确认!$B:$B,))+0.2)*AO99)*IF(J99=$FF$17,1+$FE$17,1)*IF(I99=$FF$14,1+$FE$14,1)*(1+$FE$15)</f>
        <v>12509.642361423999</v>
      </c>
      <c r="BC99" s="1097">
        <f>(AN99*(1+$FB$10)+$FB$36)*(1+(INDEX(绊状态确认!$T:$T,MATCH($G99,绊状态确认!$B:$B,))+0.2)*AO99)*IF(J99=$FF$17,1+$FE$17,1)*IF(I99=$FF$14,1+$FE$14,1)*(1+$FE$15)</f>
        <v>13099.979307167998</v>
      </c>
      <c r="BD99" s="1104">
        <f>MIN(AT99*0.15+BC99*0.00003+INDEX(绊状态确认!M:M,MATCH($G99,绊状态确认!$B:$B,)),1)</f>
        <v>0.42299937921503999</v>
      </c>
      <c r="BE99" s="432">
        <f>(INDEX(绊状态确认!$N:$N,MATCH($G99,绊状态确认!$B:$B,))+1.5)</f>
        <v>1.9</v>
      </c>
      <c r="BF99" s="1139">
        <f t="array" ref="BF99">SUMPRODUCT(IF(AZ99*AP99*$FI$16:$FI$23*$FA$22&gt;=$FI$24,$FI$24,AZ99*AP99*$FI$16:$FI$23*$FA$22),$FJ$16:$FJ$23)</f>
        <v>27169.829145388805</v>
      </c>
      <c r="BG99" s="1125">
        <f t="array" ref="BG99">SUMPRODUCT(IF(BE99*AZ99*AP99*$FI$16:$FI$23*$FA$22&gt;=$FI$24,$FI$24,BE99*AZ99*AP99*$FI$16:$FI$23*$FA$22),$FJ$16:$FJ$23)</f>
        <v>51138.760415971832</v>
      </c>
      <c r="BH99" s="1110">
        <f t="shared" si="116"/>
        <v>12436.22406443113</v>
      </c>
      <c r="BI99" s="1111">
        <f>IF(O99="vo",$EW$26/$EW$24*0.05,0)+IF(O99="sk",-$EW$26/$EW$24*(0.05-INDEX(绊状态确认!W:W,MATCH($G99,绊状态确认!$B:$B,)))+0.05*$EW$28,0)+IF(O99="sp",0.05*$EW$32*$EW$30*(1-$EW$33)-(0.05-INDEX(绊状态确认!V:V,MATCH($G99,绊状态确认!$B:$B,)))*$EW$28,0)+IF(O99="gd",-(0.05-INDEX(绊状态确认!X:X,MATCH($G99,绊状态确认!$B:$B,)))*$EW$32*$EW$30*(1-$EW$33),0)</f>
        <v>7726.3029277443748</v>
      </c>
      <c r="BJ99" s="1097">
        <f>IF(O99="vo",0.05*(1-$FI$26)*$FA$24,0)+IF(O99="sk",-(0.05-INDEX(绊状态确认!W:W,MATCH($G99,绊状态确认!$B:$B,)))*(1-$FI$26)*$FA$24+0.05*$FA$26,0)+IF(O99="sp",0.05*$FA$32*$FA$27*(1-$FA$33)/$FA$30+0.05*$FA$29/$FA$69*$FA$27*(1-$FA$33)-(0.05-INDEX(绊状态确认!V:V,MATCH($G99,绊状态确认!$B:$B,)))*$FA$26,0)+IF(O99="gd",-(0.05-INDEX(绊状态确认!X:X,MATCH($G99,绊状态确认!$B:$B,)))*$FA$32*$FA$27*(1-$FA$33)/$FA$30-(0.05-INDEX(绊状态确认!X:X,MATCH($G99,绊状态确认!$B:$B,)))*$FA$29/$FA$69*$FA$27*(1-$FA$33),0)</f>
        <v>393.93433687500004</v>
      </c>
      <c r="BK99" s="1110">
        <f>IF(O99="vo",$EW$26/$EW$24*0.05+$EW$26*(-HP($EW$62,$EW$65,$EW$64)+HP($EW$62,$EW$65,(1.05-INDEX(绊状态确认!U:U,MATCH($G99,绊状态确认!$B:$B,)))*$EW$64)),0)+IF(O99="sk",-$EW$26/$EW$24*(0.05-INDEX(绊状态确认!W:W,MATCH($G99,绊状态确认!$B:$B,)))+0.05*$EW$29,0)+IF(O99="sp",0.05*$EW$32*$EW$30*(1-$EW$33)-(0.05-INDEX(绊状态确认!V:V,MATCH($G99,绊状态确认!$B:$B,)))*$EW$29,0)+IF(O99="gd",-(0.05-INDEX(绊状态确认!X:X,MATCH($G99,绊状态确认!$B:$B,)))*$EW$32*$EW$30*(1-$EW$33)+$EW$26*(-HP($EW$62,$EW$65,$EW$64)+HP($EW$62,$EW$65,0.95*$EW$64)),0)</f>
        <v>6421.6344775026746</v>
      </c>
      <c r="BL99" s="1111">
        <f t="shared" si="117"/>
        <v>-1083.3333333333333</v>
      </c>
      <c r="BM99" s="1110">
        <f t="shared" si="118"/>
        <v>-830.55555555555543</v>
      </c>
      <c r="BN99" s="1113">
        <f t="shared" si="119"/>
        <v>3</v>
      </c>
      <c r="BO99" s="1097">
        <f t="shared" si="120"/>
        <v>4507.7214871259994</v>
      </c>
      <c r="BP99" s="1100">
        <f t="shared" si="121"/>
        <v>221.34103209030098</v>
      </c>
      <c r="BQ99" s="1113" t="s">
        <v>626</v>
      </c>
      <c r="BR99" s="1124" t="s">
        <v>171</v>
      </c>
      <c r="BS99" s="1098">
        <f>IF($P99="","N/A",IF($P99=-1,INDEX('卡片raw data'!AX:AX,MATCH($D99,'卡片raw data'!$F:$F,)),0)+IF($L99="party卡",IF($P99=5,INDEX('卡片raw data'!BD:BD,MATCH($D99,'卡片raw data'!$F:$F,)),IF($P99&gt;=3,INDEX('卡片raw data'!BC:BC,MATCH($D99,'卡片raw data'!$F:$F,)),INDEX('卡片raw data'!BB:BB,MATCH($D99,'卡片raw data'!$F:$F,)))),IF(OR(AND($F99="UR",$P99=0),AND($F99="SR",$P99&gt;=0,$P99&lt;=2),AND($F99="R",$P99&gt;=0,$P99&lt;4)),INDEX('卡片raw data'!AZ:AZ,MATCH($D99,'卡片raw data'!$F:$F,)),0)+IF(OR(AND($F99="UR",$P99&gt;=1,$P99&lt;=4),AND($F99="SR",$P99&lt;=4,$P99&gt;=3),AND($F99="R",$P99=4)),INDEX('卡片raw data'!BA:BA,MATCH($D99,'卡片raw data'!$F:$F,)),0)+IF($P99=5,INDEX('卡片raw data'!BB:BB,MATCH($D99,'卡片raw data'!$F:$F,)),0)))</f>
        <v>3.2000000000000001E-2</v>
      </c>
      <c r="BT99" s="1101">
        <f t="shared" si="122"/>
        <v>1509.2469769191675</v>
      </c>
      <c r="BU99" s="1097">
        <f t="shared" si="123"/>
        <v>95.522578685765595</v>
      </c>
      <c r="BV99" s="1097">
        <f t="shared" si="124"/>
        <v>754.62348845958354</v>
      </c>
      <c r="BW99" s="1112">
        <f t="shared" si="125"/>
        <v>0</v>
      </c>
      <c r="BX99" s="1100">
        <f t="shared" si="126"/>
        <v>1509.2469769191675</v>
      </c>
      <c r="BY99" s="1110">
        <f t="shared" si="127"/>
        <v>754.62348845958354</v>
      </c>
      <c r="BZ99" s="1107" t="s">
        <v>569</v>
      </c>
      <c r="CA99" s="1124"/>
      <c r="CB99" s="1098">
        <f>IF($P99="","N/A",IF($P99=-1,INDEX('卡片raw data'!BE:BE,MATCH($D99,'卡片raw data'!$F:$F,)),0)+IF($L99="party卡",IF($P99=5,INDEX('卡片raw data'!BK:BK,MATCH($D99,'卡片raw data'!$F:$F,)),IF($P99&gt;=3,INDEX('卡片raw data'!BJ:BJ,MATCH($D99,'卡片raw data'!$F:$F,)),INDEX('卡片raw data'!BI:BI,MATCH($D99,'卡片raw data'!$F:$F,)))),IF(OR(AND($F99="UR",$P99=0),AND($F99="SR",$P99&gt;=0,$P99&lt;=2),AND($F99="R",$P99&gt;=0,$P99&lt;4)),INDEX('卡片raw data'!BG:BG,MATCH($D99,'卡片raw data'!$F:$F,)),0)+IF(OR(AND($F99="UR",$P99&gt;=1,$P99&lt;=4),AND($F99="SR",$P99&lt;=4,$P99&gt;=3),AND($F99="R",$P99=4)),INDEX('卡片raw data'!BH:BH,MATCH($D99,'卡片raw data'!$F:$F,)),0)+IF($P99=5,INDEX('卡片raw data'!BI:BI,MATCH($D99,'卡片raw data'!$F:$F,)),0)))</f>
        <v>0</v>
      </c>
      <c r="CC99" s="1101">
        <f t="shared" si="128"/>
        <v>0</v>
      </c>
      <c r="CD99" s="1097">
        <f>IF(BZ99="ap",CB99*(1-$FI$26)*$FB$5/$FB$11*(+IF(CA99="全员",$FA$24,0)+IF(CA99="同作战",$FA$24,0)+IF(CA99="仲间",$FA$24*2/3,0)+IF(CA99="同属性",$FA$24*$FA$37/3,0)+IF(CA99="同年级",$FA$24*$FA$40/3,0)+IF(CA99="同学校",$FA$24*$FA$43/3,0)+IF(CA99="同小队",$FA$24*$FA$46/3,0)+IF(CA99="同type",$FA$24*INDEX($FB$49:$FB$52,MATCH(X99,$FA$49:$FA$52,))/3,0)+IF(CA99="自身",#REF!/3,0)),0)+IF(BZ99="te",CB99*(1-$FI$27)*($FA$20-1)*$FB$7/$FB$13*(+IF(CA99="全员",$FA$19*$FA$24/(1+($FA$20-1)*$FA$19),0)+IF(CA99="同作战",$FA$19*$FA$24/(1+($FA$20-1)*$FA$19),0)+IF(CA99="仲间",$FA$19*$FA$24*2/3/(1+($FA$20-1)*$FA$19),0)+IF(CA99="同属性",$FA$19*$FA$24*$FA$37/3/(1+($FA$20-1)*$FA$19),0)+IF(CA99="同年级",$FA$19*$FA$24*$FA$40/3/(1+($FA$20-1)*$FA$19),0)+IF(CA99="同学校",$FA$19*$FA$24*$FA$43/3/(1+($FA$20-1)*$FA$19),0)+IF(CA99="同小队",$FA$19*$FA$24*$FA$46/3/(1+($FA$20-1)*$FA$19),0)+IF(CA99="同type",$FA$19*$FA$24*INDEX($FB$49:$FB$52,MATCH(X99,$FA$49:$FA$52,))/3/(1+($FA$20-1)*$FA$19),0)+IF(CA99="自身",$FA$19*#REF!/3/(1+(BH99-1)*$BD99),0)),0)</f>
        <v>0</v>
      </c>
      <c r="CE99" s="1097">
        <f t="shared" si="129"/>
        <v>0</v>
      </c>
      <c r="CF99" s="1112">
        <f t="shared" si="130"/>
        <v>0</v>
      </c>
      <c r="CG99" s="1100">
        <f t="shared" si="131"/>
        <v>0</v>
      </c>
      <c r="CH99" s="1110">
        <f t="shared" si="132"/>
        <v>0</v>
      </c>
      <c r="CI99" s="1113" t="s">
        <v>165</v>
      </c>
      <c r="CJ99" s="1114">
        <v>0.3</v>
      </c>
      <c r="CK99" s="1115" t="s">
        <v>566</v>
      </c>
      <c r="CL99" s="1115" t="s">
        <v>161</v>
      </c>
      <c r="CM99" s="1119">
        <v>0.03</v>
      </c>
      <c r="CN99" s="1115" t="s">
        <v>163</v>
      </c>
      <c r="CO99" s="1092"/>
      <c r="CP99" s="1118">
        <f t="shared" si="133"/>
        <v>8.9999999999999993E-3</v>
      </c>
      <c r="CQ99" s="1118">
        <f t="shared" si="134"/>
        <v>8.9999999999999993E-3</v>
      </c>
      <c r="CR99" s="1118">
        <f t="shared" si="135"/>
        <v>8.9999999999999993E-3</v>
      </c>
      <c r="CS99" s="1118">
        <f t="shared" si="136"/>
        <v>0</v>
      </c>
      <c r="CT99" s="1109">
        <f t="shared" si="137"/>
        <v>0</v>
      </c>
      <c r="CU99" s="1101">
        <f t="shared" si="138"/>
        <v>1223.846383754709</v>
      </c>
      <c r="CV99" s="1108">
        <f t="shared" si="139"/>
        <v>59.090150531250003</v>
      </c>
      <c r="CW99" s="1097">
        <f t="shared" si="140"/>
        <v>1223.846383754709</v>
      </c>
      <c r="CX99" s="1097">
        <f t="shared" si="141"/>
        <v>1223.846383754709</v>
      </c>
      <c r="CY99" s="1110">
        <f t="shared" si="142"/>
        <v>1223.846383754709</v>
      </c>
      <c r="CZ99" s="437"/>
      <c r="DA99" s="438"/>
      <c r="DB99" s="439" t="s">
        <v>569</v>
      </c>
      <c r="DC99" s="439"/>
      <c r="DD99" s="443"/>
      <c r="DE99" s="411"/>
      <c r="DF99" s="411"/>
      <c r="DG99" s="1116">
        <f t="shared" si="143"/>
        <v>0</v>
      </c>
      <c r="DH99" s="1116">
        <f t="shared" si="144"/>
        <v>0</v>
      </c>
      <c r="DI99" s="1116">
        <f t="shared" si="145"/>
        <v>0</v>
      </c>
      <c r="DJ99" s="442">
        <f t="shared" si="146"/>
        <v>0</v>
      </c>
      <c r="DK99" s="1109">
        <f t="shared" si="147"/>
        <v>0</v>
      </c>
      <c r="DL99" s="1101">
        <f t="shared" si="148"/>
        <v>0</v>
      </c>
      <c r="DM99" s="1097">
        <f t="shared" si="149"/>
        <v>0</v>
      </c>
      <c r="DN99" s="1097">
        <f t="shared" si="150"/>
        <v>0</v>
      </c>
      <c r="DO99" s="1097">
        <f t="shared" si="151"/>
        <v>0</v>
      </c>
      <c r="DP99" s="1110">
        <f t="shared" si="152"/>
        <v>0</v>
      </c>
      <c r="DQ99" s="1113" t="s">
        <v>555</v>
      </c>
      <c r="DR99" s="1120">
        <f t="shared" si="153"/>
        <v>0.3</v>
      </c>
      <c r="DS99" s="1124">
        <v>5</v>
      </c>
      <c r="DT99" s="1093" t="s">
        <v>168</v>
      </c>
      <c r="DU99" s="1093" t="s">
        <v>544</v>
      </c>
      <c r="DV99" s="1098">
        <f>IF($P99="","N/A",IF(P99=-1,INDEX('卡片raw data'!AN:AN,MATCH(D99,'卡片raw data'!$F:$F,)),0)+IF(AND(L99&lt;&gt;"party卡",P99&lt;=2,P99&gt;=0),INDEX('卡片raw data'!AP:AP,MATCH(D99,'卡片raw data'!$F:$F,)),0)+IF(OR(AND(L99="party卡",P99&lt;=1),AND(P99&lt;=4,L99&lt;&gt;"party卡",P99&gt;=3)),INDEX('卡片raw data'!AQ:AQ,MATCH(D99,'卡片raw data'!$F:$F,)),0)+IF(OR(P99=5,AND(L99="party卡",P99&gt;=2)),INDEX('卡片raw data'!AR:AR,MATCH(D99,'卡片raw data'!$F:$F,)),0))</f>
        <v>7.0000000000000007E-2</v>
      </c>
      <c r="DW99" s="1098">
        <f t="shared" si="154"/>
        <v>0.3</v>
      </c>
      <c r="DX99" s="1098">
        <f t="shared" si="155"/>
        <v>0.3</v>
      </c>
      <c r="DY99" s="1098">
        <f t="shared" si="156"/>
        <v>3.5000000000000003E-2</v>
      </c>
      <c r="DZ99" s="1098">
        <f t="shared" si="157"/>
        <v>3.0275000000000003E-2</v>
      </c>
      <c r="EA99" s="1098">
        <f t="shared" si="158"/>
        <v>0</v>
      </c>
      <c r="EB99" s="1121">
        <f t="shared" si="159"/>
        <v>0</v>
      </c>
      <c r="EC99" s="1101">
        <f t="shared" si="160"/>
        <v>4759.4026034905355</v>
      </c>
      <c r="ED99" s="1097">
        <f t="shared" si="161"/>
        <v>198.7727008148438</v>
      </c>
      <c r="EE99" s="1110">
        <f t="shared" si="162"/>
        <v>4759.4026034905355</v>
      </c>
      <c r="EF99" s="1092" t="s">
        <v>711</v>
      </c>
      <c r="EG99" s="1120">
        <f t="shared" si="163"/>
        <v>0.3</v>
      </c>
      <c r="EH99" s="1124"/>
      <c r="EI99" s="1093"/>
      <c r="EJ99" s="1093"/>
      <c r="EK99" s="1097">
        <f>IF($P99="","N/A",IF(P99=-1,INDEX('卡片raw data'!AS:AS,MATCH(D99,'卡片raw data'!$F:$F,)),0)+IF(AND(L99&lt;&gt;"party卡",P99&lt;=2,P99&gt;=0),INDEX('卡片raw data'!AU:AU,MATCH(D99,'卡片raw data'!$F:$F,)),0)+IF(OR(AND(L99="party卡",P99&lt;=1),AND(P99&lt;=4,L99&lt;&gt;"party卡",P99&gt;=3)),INDEX('卡片raw data'!AV:AV,MATCH(D99,'卡片raw data'!$F:$F,)),0)+IF(OR(P99=5,AND(L99="party卡",P99&gt;=2)),INDEX('卡片raw data'!AW:AW,MATCH(D99,'卡片raw data'!$F:$F,)),0))</f>
        <v>0</v>
      </c>
      <c r="EL99" s="1098">
        <f t="shared" si="164"/>
        <v>0.3</v>
      </c>
      <c r="EM99" s="1098">
        <f t="shared" si="165"/>
        <v>0.3</v>
      </c>
      <c r="EN99" s="1125">
        <f t="shared" si="166"/>
        <v>0</v>
      </c>
      <c r="EO99" s="1125">
        <f t="shared" si="167"/>
        <v>0</v>
      </c>
      <c r="EP99" s="1098">
        <f t="shared" si="168"/>
        <v>0</v>
      </c>
      <c r="EQ99" s="1121">
        <f t="shared" si="169"/>
        <v>0</v>
      </c>
      <c r="ER99" s="1101">
        <f t="shared" si="170"/>
        <v>0</v>
      </c>
      <c r="ES99" s="1097">
        <f t="shared" si="171"/>
        <v>0</v>
      </c>
      <c r="ET99" s="1122">
        <f t="shared" si="172"/>
        <v>0</v>
      </c>
    </row>
    <row r="100" spans="2:150" ht="16.5" customHeight="1">
      <c r="B100" s="1123" t="str">
        <f>INDEX('卡片raw data'!B:B,MATCH($D100,'卡片raw data'!$F:$F,))</f>
        <v>校服璃</v>
      </c>
      <c r="C100" s="449" t="s">
        <v>69</v>
      </c>
      <c r="D100" s="408">
        <v>97</v>
      </c>
      <c r="E100" s="1090">
        <v>102091001</v>
      </c>
      <c r="F100" s="1090" t="str">
        <f>INDEX('卡片raw data'!C:C,MATCH($D100,'卡片raw data'!$F:$F,))</f>
        <v>R</v>
      </c>
      <c r="G100" s="1094" t="s">
        <v>353</v>
      </c>
      <c r="H100" s="411">
        <f>IFERROR(INDEX(绊状态确认!C:C,MATCH($G100,绊状态确认!$B:$B,)),"")</f>
        <v>209</v>
      </c>
      <c r="I100" s="450" t="str">
        <f>IFERROR(INDEX(绊状态确认!D:D,MATCH($G100,绊状态确认!$B:$B,)),"")</f>
        <v>虹</v>
      </c>
      <c r="J100" s="450" t="str">
        <f>IFERROR(INDEX(绊状态确认!E:E,MATCH($G100,绊状态确认!$B:$B,)),"")</f>
        <v>1年级</v>
      </c>
      <c r="K100" s="451" t="str">
        <f>IFERROR(INDEX(绊状态确认!F:F,MATCH($G100,绊状态确认!$B:$B,)),"")</f>
        <v>QU4RTZ</v>
      </c>
      <c r="L100" s="1094" t="str">
        <f>INDEX('卡片raw data'!E:E,MATCH($D100,'卡片raw data'!$F:$F,))</f>
        <v>卡池卡</v>
      </c>
      <c r="M100" s="415">
        <v>43735</v>
      </c>
      <c r="N100" s="416">
        <v>0</v>
      </c>
      <c r="O100" s="1091" t="str">
        <f>INDEX('卡片raw data'!D:D,MATCH($D100,'卡片raw data'!$F:$F,))</f>
        <v>gd</v>
      </c>
      <c r="P100" s="417">
        <v>5</v>
      </c>
      <c r="Q100" s="1095">
        <f t="shared" si="88"/>
        <v>10575.081523717088</v>
      </c>
      <c r="R100" s="1096">
        <f t="shared" si="89"/>
        <v>0.122</v>
      </c>
      <c r="S100" s="1097">
        <f t="shared" si="90"/>
        <v>6023.6309117404726</v>
      </c>
      <c r="T100" s="1098">
        <f t="shared" si="91"/>
        <v>0.30099999999999999</v>
      </c>
      <c r="U100" s="1099">
        <f t="shared" si="92"/>
        <v>69.426116202857145</v>
      </c>
      <c r="V100" s="1100">
        <f t="shared" si="93"/>
        <v>15846.833781829844</v>
      </c>
      <c r="W100" s="1101">
        <f t="shared" si="94"/>
        <v>3005.1476580839999</v>
      </c>
      <c r="X100" s="1096">
        <f t="shared" si="95"/>
        <v>3.4000000000000002E-2</v>
      </c>
      <c r="Y100" s="1097">
        <f t="shared" si="96"/>
        <v>746.90877836252366</v>
      </c>
      <c r="Z100" s="1102">
        <f t="shared" si="97"/>
        <v>9.426116202857143</v>
      </c>
      <c r="AA100" s="1103">
        <f t="shared" si="98"/>
        <v>3752.0564364465235</v>
      </c>
      <c r="AB100" s="1101">
        <f t="shared" si="99"/>
        <v>3005.1476580839999</v>
      </c>
      <c r="AC100" s="1104">
        <f t="shared" si="100"/>
        <v>3.4000000000000002E-2</v>
      </c>
      <c r="AD100" s="1105">
        <f t="shared" si="101"/>
        <v>-3.8207812500000026E-3</v>
      </c>
      <c r="AE100" s="1128">
        <f t="shared" si="102"/>
        <v>-28.942028985507246</v>
      </c>
      <c r="AF100" s="1130">
        <f t="shared" si="103"/>
        <v>911.85917280000001</v>
      </c>
      <c r="AG100" s="420">
        <f t="shared" si="104"/>
        <v>107634.76654400001</v>
      </c>
      <c r="AH100" s="420">
        <f t="shared" si="105"/>
        <v>118.0388044060481</v>
      </c>
      <c r="AI100" s="1097">
        <f t="shared" si="106"/>
        <v>-128499.10783748527</v>
      </c>
      <c r="AJ100" s="420">
        <f t="shared" si="107"/>
        <v>15846.833781829844</v>
      </c>
      <c r="AK100" s="518">
        <f t="shared" si="108"/>
        <v>-144345.9416193151</v>
      </c>
      <c r="AL100" s="1106">
        <f>IF($P100="","N/A",(IF($P100=-1,INDEX('卡片raw data'!S:S,MATCH($D100,'卡片raw data'!$F:$F,)),0)+IF($P100=0,INDEX('卡片raw data'!V:V,MATCH($D100,'卡片raw data'!$F:$F,)),0)+IF($P100=1,INDEX('卡片raw data'!Y:Y,MATCH($D100,'卡片raw data'!$F:$F,)),0)+IF($P100=2,INDEX('卡片raw data'!AB:AB,MATCH($D100,'卡片raw data'!$F:$F,)),0)+IF($P100=3,INDEX('卡片raw data'!AE:AE,MATCH($D100,'卡片raw data'!$F:$F,)),0)+IF($P100=4,INDEX('卡片raw data'!AH:AH,MATCH($D100,'卡片raw data'!$F:$F,)),0)+IF($P100=5,INDEX('卡片raw data'!AK:AK,MATCH($D100,'卡片raw data'!$F:$F,)),0)+INDEX('卡片raw data'!S:S,MATCH($D100,'卡片raw data'!$F:$F,))*(IF($F100="UR",0.04,0.033))*(IF($F100="UR",INDEX(绊状态确认!$S:$S,MATCH($G100,绊状态确认!$B:$B,))/2-40)+IF($F100="SR",INDEX(绊状态确认!$R:$R,MATCH($G100,绊状态确认!$B:$B,))/4-15))+IF($F100="R",INDEX(绊状态确认!$Q:$Q,MATCH($G100,绊状态确认!$B:$B,))/6-40/6)))*(INDEX(绊状态确认!$H:$H,MATCH($G100,绊状态确认!$B:$B,))+INDEX(绊状态确认!J:J,MATCH($G100,绊状态确认!$B:$B,)))</f>
        <v>3601.2515999999996</v>
      </c>
      <c r="AM100" s="1106">
        <f>IF($P100="","N/A",(IF($P100=-1,INDEX('卡片raw data'!T:T,MATCH($D100,'卡片raw data'!$F:$F,)),0)+IF($P100=0,INDEX('卡片raw data'!W:W,MATCH($D100,'卡片raw data'!$F:$F,)),0)+IF($P100=1,INDEX('卡片raw data'!Z:Z,MATCH($D100,'卡片raw data'!$F:$F,)),0)+IF($P100=2,INDEX('卡片raw data'!AC:AC,MATCH($D100,'卡片raw data'!$F:$F,)),0)+IF($P100=3,INDEX('卡片raw data'!AF:AF,MATCH($D100,'卡片raw data'!$F:$F,)),0)+IF($P100=4,INDEX('卡片raw data'!AI:AI,MATCH($D100,'卡片raw data'!$F:$F,)),0)+IF($P100=5,INDEX('卡片raw data'!AL:AL,MATCH($D100,'卡片raw data'!$F:$F,)),0)+INDEX('卡片raw data'!T:T,MATCH($D100,'卡片raw data'!$F:$F,))*(IF($F100="UR",0.04,0.033))*(IF($F100="UR",INDEX(绊状态确认!$S:$S,MATCH($G100,绊状态确认!$B:$B,))/2-40)+IF($F100="SR",INDEX(绊状态确认!$R:$R,MATCH($G100,绊状态确认!$B:$B,))/4-15))+IF($F100="R",INDEX(绊状态确认!$Q:$Q,MATCH($G100,绊状态确认!$B:$B,))/6-40/6)))*(INDEX(绊状态确认!$H:$H,MATCH($G100,绊状态确认!$B:$B,))+INDEX(绊状态确认!K:K,MATCH($G100,绊状态确认!$B:$B,)))</f>
        <v>4200.1343999999999</v>
      </c>
      <c r="AN100" s="1106">
        <f>IF($P100="","N/A",(IF($P100=-1,INDEX('卡片raw data'!U:U,MATCH($D100,'卡片raw data'!$F:$F,)),0)+IF($P100=0,INDEX('卡片raw data'!X:X,MATCH($D100,'卡片raw data'!$F:$F,)),0)+IF($P100=1,INDEX('卡片raw data'!AA:AA,MATCH($D100,'卡片raw data'!$F:$F,)),0)+IF($P100=2,INDEX('卡片raw data'!AD:AD,MATCH($D100,'卡片raw data'!$F:$F,)),0)+IF($P100=3,INDEX('卡片raw data'!AG:AG,MATCH($D100,'卡片raw data'!$F:$F,)),0)+IF($P100=4,INDEX('卡片raw data'!AJ:AJ,MATCH($D100,'卡片raw data'!$F:$F,)),0)+IF($P100=5,INDEX('卡片raw data'!AM:AM,MATCH($D100,'卡片raw data'!$F:$F,)),0)+INDEX('卡片raw data'!U:U,MATCH($D100,'卡片raw data'!$F:$F,))*(IF($F100="UR",0.04,0.033))*(IF($F100="UR",INDEX(绊状态确认!$S:$S,MATCH($G100,绊状态确认!$B:$B,))/2-40)+IF($F100="SR",INDEX(绊状态确认!$R:$R,MATCH($G100,绊状态确认!$B:$B,))/4-15))+IF($F100="R",INDEX(绊状态确认!$Q:$Q,MATCH($G100,绊状态确认!$B:$B,))/6-40/6)))*(INDEX(绊状态确认!$H:$H,MATCH($G100,绊状态确认!$B:$B,))+INDEX(绊状态确认!L:L,MATCH($G100,绊状态确认!$B:$B,)))</f>
        <v>4200.1343999999999</v>
      </c>
      <c r="AO100" s="1107">
        <f t="shared" si="109"/>
        <v>1</v>
      </c>
      <c r="AP100" s="1131">
        <f>1+(INDEX(绊状态确认!$T:$T,MATCH($G100,绊状态确认!$B:$B,))+0.2)*$AO100</f>
        <v>1.3</v>
      </c>
      <c r="AQ100" s="1108">
        <f t="shared" si="110"/>
        <v>12703.285449999999</v>
      </c>
      <c r="AR100" s="1097">
        <f>(AM100*(1+$EX$9)+$EX$35)*(1+(INDEX(绊状态确认!$T:$T,MATCH($G100,绊状态确认!$B:$B,))+0.2)*AO100)*IF(J100=$FF$17,1+$FE$17,1)*IF(I100=$FF$14,1+$FE$14,1)</f>
        <v>8437.1834560000007</v>
      </c>
      <c r="AS100" s="1097">
        <f>(AN100*(1+$EX$10)+$EX$36)*(1+(INDEX(绊状态确认!$T:$T,MATCH($G100,绊状态确认!$B:$B,))+0.2)*AO100)*IF(J100=$FF$17,1+$FE$17,1)*IF(I100=$FF$14,1+$FE$14,1)</f>
        <v>10335.200928</v>
      </c>
      <c r="AT100" s="1093">
        <f>IF(AND(INDEX('卡片raw data'!AK:AK,MATCH($D100,'卡片raw data'!$F:$F,))&lt;INDEX('卡片raw data'!AM:AM,MATCH($D100,'卡片raw data'!$F:$F,)),INDEX('卡片raw data'!AL:AL,MATCH($D100,'卡片raw data'!$F:$F,))&lt;INDEX('卡片raw data'!AM:AM,MATCH($D100,'卡片raw data'!$F:$F,))),1,0)</f>
        <v>0</v>
      </c>
      <c r="AU100" s="1098">
        <f>MIN(AT100*0.15+AS100*0.00003+INDEX(绊状态确认!M:M,MATCH($G100,绊状态确认!$B:$B,)),1)</f>
        <v>0.34005602784000005</v>
      </c>
      <c r="AV100" s="1109">
        <f>(INDEX(绊状态确认!$N:$N,MATCH($G100,绊状态确认!$B:$B,))+1.5)*$EW$21</f>
        <v>2.6599999999999997</v>
      </c>
      <c r="AW100" s="1101">
        <f t="shared" si="111"/>
        <v>10321.600532299753</v>
      </c>
      <c r="AX100" s="1097">
        <f t="shared" si="112"/>
        <v>716.8096692358688</v>
      </c>
      <c r="AY100" s="1110">
        <f t="shared" si="113"/>
        <v>11038.410201535622</v>
      </c>
      <c r="AZ100" s="429">
        <f t="shared" si="114"/>
        <v>9622.4406199999994</v>
      </c>
      <c r="BA100" s="431">
        <f t="shared" si="115"/>
        <v>11546.928743999999</v>
      </c>
      <c r="BB100" s="1097">
        <f>(AM100*(1+$FB$9)+$FB$35)*(1+(INDEX(绊状态确认!$T:$T,MATCH($G100,绊状态确认!$B:$B,))+0.2)*AO100)*IF(J100=$FF$17,1+$FE$17,1)*IF(I100=$FF$14,1+$FE$14,1)*(1+$FE$15)</f>
        <v>8437.1834560000007</v>
      </c>
      <c r="BC100" s="1097">
        <f>(AN100*(1+$FB$10)+$FB$36)*(1+(INDEX(绊状态确认!$T:$T,MATCH($G100,绊状态确认!$B:$B,))+0.2)*AO100)*IF(J100=$FF$17,1+$FE$17,1)*IF(I100=$FF$14,1+$FE$14,1)*(1+$FE$15)</f>
        <v>10335.200928</v>
      </c>
      <c r="BD100" s="1104">
        <f>MIN(AT100*0.15+BC100*0.00003+INDEX(绊状态确认!M:M,MATCH($G100,绊状态确认!$B:$B,)),1)</f>
        <v>0.34005602784000005</v>
      </c>
      <c r="BE100" s="432">
        <f>(INDEX(绊状态确认!$N:$N,MATCH($G100,绊状态确认!$B:$B,))+1.5)</f>
        <v>1.9</v>
      </c>
      <c r="BF100" s="1139">
        <f t="array" ref="BF100">SUMPRODUCT(IF(AZ100*AP100*$FI$16:$FI$23*$FA$22&gt;=$FI$24,$FI$24,AZ100*AP100*$FI$16:$FI$23*$FA$22),$FJ$16:$FJ$23)</f>
        <v>19139.034393180002</v>
      </c>
      <c r="BG100" s="1125">
        <f t="array" ref="BG100">SUMPRODUCT(IF(BE100*AZ100*AP100*$FI$16:$FI$23*$FA$22&gt;=$FI$24,$FI$24,BE100*AZ100*AP100*$FI$16:$FI$23*$FA$22),$FJ$16:$FJ$23)</f>
        <v>36364.165347041999</v>
      </c>
      <c r="BH100" s="1110">
        <f t="shared" si="116"/>
        <v>8332.1813347913831</v>
      </c>
      <c r="BI100" s="1111">
        <f>IF(O100="vo",$EW$26/$EW$24*0.05,0)+IF(O100="sk",-$EW$26/$EW$24*(0.05-INDEX(绊状态确认!W:W,MATCH($G100,绊状态确认!$B:$B,)))+0.05*$EW$28,0)+IF(O100="sp",0.05*$EW$32*$EW$30*(1-$EW$33)-(0.05-INDEX(绊状态确认!V:V,MATCH($G100,绊状态确认!$B:$B,)))*$EW$28,0)+IF(O100="gd",-(0.05-INDEX(绊状态确认!X:X,MATCH($G100,绊状态确认!$B:$B,)))*$EW$32*$EW$30*(1-$EW$33),0)</f>
        <v>-585.00000000000011</v>
      </c>
      <c r="BJ100" s="1097">
        <f>IF(O100="vo",0.05*(1-$FI$26)*$FA$24,0)+IF(O100="sk",-(0.05-INDEX(绊状态确认!W:W,MATCH($G100,绊状态确认!$B:$B,)))*(1-$FI$26)*$FA$24+0.05*$FA$26,0)+IF(O100="sp",0.05*$FA$32*$FA$27*(1-$FA$33)/$FA$30+0.05*$FA$29/$FA$69*$FA$27*(1-$FA$33)-(0.05-INDEX(绊状态确认!V:V,MATCH($G100,绊状态确认!$B:$B,)))*$FA$26,0)+IF(O100="gd",-(0.05-INDEX(绊状态确认!X:X,MATCH($G100,绊状态确认!$B:$B,)))*$FA$32*$FA$27*(1-$FA$33)/$FA$30-(0.05-INDEX(绊状态确认!X:X,MATCH($G100,绊状态确认!$B:$B,)))*$FA$29/$FA$69*$FA$27*(1-$FA$33),0)</f>
        <v>-795.00000000000011</v>
      </c>
      <c r="BK100" s="1110">
        <f>IF(O100="vo",$EW$26/$EW$24*0.05+$EW$26*(-HP($EW$62,$EW$65,$EW$64)+HP($EW$62,$EW$65,(1.05-INDEX(绊状态确认!U:U,MATCH($G100,绊状态确认!$B:$B,)))*$EW$64)),0)+IF(O100="sk",-$EW$26/$EW$24*(0.05-INDEX(绊状态确认!W:W,MATCH($G100,绊状态确认!$B:$B,)))+0.05*$EW$29,0)+IF(O100="sp",0.05*$EW$32*$EW$30*(1-$EW$33)-(0.05-INDEX(绊状态确认!V:V,MATCH($G100,绊状态确认!$B:$B,)))*$EW$29,0)+IF(O100="gd",-(0.05-INDEX(绊状态确认!X:X,MATCH($G100,绊状态确认!$B:$B,)))*$EW$32*$EW$30*(1-$EW$33)+$EW$26*(-HP($EW$62,$EW$65,$EW$64)+HP($EW$62,$EW$65,0.95*$EW$64)),0)</f>
        <v>1009.5947725176144</v>
      </c>
      <c r="BL100" s="1111">
        <f t="shared" si="117"/>
        <v>-2166.6666666666665</v>
      </c>
      <c r="BM100" s="1110">
        <f t="shared" si="118"/>
        <v>-1661.1111111111109</v>
      </c>
      <c r="BN100" s="1113">
        <f t="shared" si="119"/>
        <v>2</v>
      </c>
      <c r="BO100" s="1097">
        <f t="shared" si="120"/>
        <v>3005.1476580839999</v>
      </c>
      <c r="BP100" s="1100">
        <f t="shared" si="121"/>
        <v>147.56068806020068</v>
      </c>
      <c r="BQ100" s="1113" t="s">
        <v>624</v>
      </c>
      <c r="BR100" s="1124" t="s">
        <v>557</v>
      </c>
      <c r="BS100" s="1098">
        <f>IF($P100="","N/A",IF($P100=-1,INDEX('卡片raw data'!AX:AX,MATCH($D100,'卡片raw data'!$F:$F,)),0)+IF($L100="party卡",IF($P100=5,INDEX('卡片raw data'!BD:BD,MATCH($D100,'卡片raw data'!$F:$F,)),IF($P100&gt;=3,INDEX('卡片raw data'!BC:BC,MATCH($D100,'卡片raw data'!$F:$F,)),INDEX('卡片raw data'!BB:BB,MATCH($D100,'卡片raw data'!$F:$F,)))),IF(OR(AND($F100="UR",$P100=0),AND($F100="SR",$P100&gt;=0,$P100&lt;=2),AND($F100="R",$P100&gt;=0,$P100&lt;4)),INDEX('卡片raw data'!AZ:AZ,MATCH($D100,'卡片raw data'!$F:$F,)),0)+IF(OR(AND($F100="UR",$P100&gt;=1,$P100&lt;=4),AND($F100="SR",$P100&lt;=4,$P100&gt;=3),AND($F100="R",$P100=4)),INDEX('卡片raw data'!BA:BA,MATCH($D100,'卡片raw data'!$F:$F,)),0)+IF($P100=5,INDEX('卡片raw data'!BB:BB,MATCH($D100,'卡片raw data'!$F:$F,)),0)))</f>
        <v>2.1999999999999999E-2</v>
      </c>
      <c r="BT100" s="1101">
        <f t="shared" si="122"/>
        <v>0</v>
      </c>
      <c r="BU100" s="1097">
        <f t="shared" si="123"/>
        <v>0</v>
      </c>
      <c r="BV100" s="1097">
        <f t="shared" si="124"/>
        <v>0</v>
      </c>
      <c r="BW100" s="1112">
        <f t="shared" si="125"/>
        <v>0.38627678571428564</v>
      </c>
      <c r="BX100" s="1100">
        <f t="shared" si="126"/>
        <v>30.099109126654884</v>
      </c>
      <c r="BY100" s="1110">
        <f t="shared" si="127"/>
        <v>30.099109126654884</v>
      </c>
      <c r="BZ100" s="1107" t="s">
        <v>569</v>
      </c>
      <c r="CA100" s="1124"/>
      <c r="CB100" s="1098">
        <f>IF($P100="","N/A",IF($P100=-1,INDEX('卡片raw data'!BE:BE,MATCH($D100,'卡片raw data'!$F:$F,)),0)+IF($L100="party卡",IF($P100=5,INDEX('卡片raw data'!BK:BK,MATCH($D100,'卡片raw data'!$F:$F,)),IF($P100&gt;=3,INDEX('卡片raw data'!BJ:BJ,MATCH($D100,'卡片raw data'!$F:$F,)),INDEX('卡片raw data'!BI:BI,MATCH($D100,'卡片raw data'!$F:$F,)))),IF(OR(AND($F100="UR",$P100=0),AND($F100="SR",$P100&gt;=0,$P100&lt;=2),AND($F100="R",$P100&gt;=0,$P100&lt;4)),INDEX('卡片raw data'!BG:BG,MATCH($D100,'卡片raw data'!$F:$F,)),0)+IF(OR(AND($F100="UR",$P100&gt;=1,$P100&lt;=4),AND($F100="SR",$P100&lt;=4,$P100&gt;=3),AND($F100="R",$P100=4)),INDEX('卡片raw data'!BH:BH,MATCH($D100,'卡片raw data'!$F:$F,)),0)+IF($P100=5,INDEX('卡片raw data'!BI:BI,MATCH($D100,'卡片raw data'!$F:$F,)),0)))</f>
        <v>0</v>
      </c>
      <c r="CC100" s="1101">
        <f t="shared" si="128"/>
        <v>0</v>
      </c>
      <c r="CD100" s="1097">
        <f>IF(BZ100="ap",CB100*(1-$FI$26)*$FB$5/$FB$11*(+IF(CA100="全员",$FA$24,0)+IF(CA100="同作战",$FA$24,0)+IF(CA100="仲间",$FA$24*2/3,0)+IF(CA100="同属性",$FA$24*$FA$37/3,0)+IF(CA100="同年级",$FA$24*$FA$40/3,0)+IF(CA100="同学校",$FA$24*$FA$43/3,0)+IF(CA100="同小队",$FA$24*$FA$46/3,0)+IF(CA100="同type",$FA$24*INDEX($FB$49:$FB$52,MATCH(X100,$FA$49:$FA$52,))/3,0)+IF(CA100="自身",#REF!/3,0)),0)+IF(BZ100="te",CB100*(1-$FI$27)*($FA$20-1)*$FB$7/$FB$13*(+IF(CA100="全员",$FA$19*$FA$24/(1+($FA$20-1)*$FA$19),0)+IF(CA100="同作战",$FA$19*$FA$24/(1+($FA$20-1)*$FA$19),0)+IF(CA100="仲间",$FA$19*$FA$24*2/3/(1+($FA$20-1)*$FA$19),0)+IF(CA100="同属性",$FA$19*$FA$24*$FA$37/3/(1+($FA$20-1)*$FA$19),0)+IF(CA100="同年级",$FA$19*$FA$24*$FA$40/3/(1+($FA$20-1)*$FA$19),0)+IF(CA100="同学校",$FA$19*$FA$24*$FA$43/3/(1+($FA$20-1)*$FA$19),0)+IF(CA100="同小队",$FA$19*$FA$24*$FA$46/3/(1+($FA$20-1)*$FA$19),0)+IF(CA100="同type",$FA$19*$FA$24*INDEX($FB$49:$FB$52,MATCH(X100,$FA$49:$FA$52,))/3/(1+($FA$20-1)*$FA$19),0)+IF(CA100="自身",$FA$19*#REF!/3/(1+(BH100-1)*$BD100),0)),0)</f>
        <v>0</v>
      </c>
      <c r="CE100" s="1097">
        <f t="shared" si="129"/>
        <v>0</v>
      </c>
      <c r="CF100" s="1112">
        <f t="shared" si="130"/>
        <v>0</v>
      </c>
      <c r="CG100" s="1100">
        <f t="shared" si="131"/>
        <v>0</v>
      </c>
      <c r="CH100" s="1110">
        <f t="shared" si="132"/>
        <v>0</v>
      </c>
      <c r="CI100" s="1113"/>
      <c r="CJ100" s="1114"/>
      <c r="CK100" s="1115" t="s">
        <v>569</v>
      </c>
      <c r="CL100" s="1115"/>
      <c r="CM100" s="1119"/>
      <c r="CN100" s="1115"/>
      <c r="CO100" s="1092"/>
      <c r="CP100" s="1117">
        <f t="shared" si="133"/>
        <v>0</v>
      </c>
      <c r="CQ100" s="1117">
        <f t="shared" si="134"/>
        <v>0</v>
      </c>
      <c r="CR100" s="1117">
        <f t="shared" si="135"/>
        <v>0</v>
      </c>
      <c r="CS100" s="1118">
        <f t="shared" si="136"/>
        <v>0</v>
      </c>
      <c r="CT100" s="1109">
        <f t="shared" si="137"/>
        <v>0</v>
      </c>
      <c r="CU100" s="1101">
        <f t="shared" si="138"/>
        <v>0</v>
      </c>
      <c r="CV100" s="1108">
        <f t="shared" si="139"/>
        <v>0</v>
      </c>
      <c r="CW100" s="1097">
        <f t="shared" si="140"/>
        <v>0</v>
      </c>
      <c r="CX100" s="1097">
        <f t="shared" si="141"/>
        <v>0</v>
      </c>
      <c r="CY100" s="1110">
        <f t="shared" si="142"/>
        <v>0</v>
      </c>
      <c r="CZ100" s="437"/>
      <c r="DA100" s="438"/>
      <c r="DB100" s="439" t="s">
        <v>569</v>
      </c>
      <c r="DC100" s="439"/>
      <c r="DD100" s="443"/>
      <c r="DE100" s="411"/>
      <c r="DF100" s="411"/>
      <c r="DG100" s="1116">
        <f t="shared" si="143"/>
        <v>0</v>
      </c>
      <c r="DH100" s="1116">
        <f t="shared" si="144"/>
        <v>0</v>
      </c>
      <c r="DI100" s="1116">
        <f t="shared" si="145"/>
        <v>0</v>
      </c>
      <c r="DJ100" s="442">
        <f t="shared" si="146"/>
        <v>0</v>
      </c>
      <c r="DK100" s="1109">
        <f t="shared" si="147"/>
        <v>0</v>
      </c>
      <c r="DL100" s="1101">
        <f t="shared" si="148"/>
        <v>0</v>
      </c>
      <c r="DM100" s="1097">
        <f t="shared" si="149"/>
        <v>0</v>
      </c>
      <c r="DN100" s="1097">
        <f t="shared" si="150"/>
        <v>0</v>
      </c>
      <c r="DO100" s="1097">
        <f t="shared" si="151"/>
        <v>0</v>
      </c>
      <c r="DP100" s="1110">
        <f t="shared" si="152"/>
        <v>0</v>
      </c>
      <c r="DQ100" s="1113" t="s">
        <v>635</v>
      </c>
      <c r="DR100" s="1120">
        <f t="shared" si="153"/>
        <v>0.3</v>
      </c>
      <c r="DS100" s="1124"/>
      <c r="DT100" s="1093" t="s">
        <v>546</v>
      </c>
      <c r="DU100" s="1093"/>
      <c r="DV100" s="1097">
        <f>IF($P100="","N/A",IF(P100=-1,INDEX('卡片raw data'!AN:AN,MATCH(D100,'卡片raw data'!$F:$F,)),0)+IF(AND(L100&lt;&gt;"party卡",P100&lt;=2,P100&gt;=0),INDEX('卡片raw data'!AP:AP,MATCH(D100,'卡片raw data'!$F:$F,)),0)+IF(OR(AND(L100="party卡",P100&lt;=1),AND(P100&lt;=4,L100&lt;&gt;"party卡",P100&gt;=3)),INDEX('卡片raw data'!AQ:AQ,MATCH(D100,'卡片raw data'!$F:$F,)),0)+IF(OR(P100=5,AND(L100="party卡",P100&gt;=2)),INDEX('卡片raw data'!AR:AR,MATCH(D100,'卡片raw data'!$F:$F,)),0))</f>
        <v>350</v>
      </c>
      <c r="DW100" s="1098">
        <f t="shared" si="154"/>
        <v>0.3</v>
      </c>
      <c r="DX100" s="1098">
        <f t="shared" si="155"/>
        <v>0.3</v>
      </c>
      <c r="DY100" s="1125">
        <f t="shared" si="156"/>
        <v>35</v>
      </c>
      <c r="DZ100" s="1125">
        <f t="shared" si="157"/>
        <v>30.274999999999999</v>
      </c>
      <c r="EA100" s="1098">
        <f t="shared" si="158"/>
        <v>0</v>
      </c>
      <c r="EB100" s="1121">
        <f t="shared" si="159"/>
        <v>0</v>
      </c>
      <c r="EC100" s="1101">
        <f t="shared" si="160"/>
        <v>0</v>
      </c>
      <c r="ED100" s="1097">
        <f t="shared" si="161"/>
        <v>0</v>
      </c>
      <c r="EE100" s="1110">
        <f t="shared" si="162"/>
        <v>2930.2487072326198</v>
      </c>
      <c r="EF100" s="1092" t="s">
        <v>711</v>
      </c>
      <c r="EG100" s="1120">
        <f t="shared" si="163"/>
        <v>0.3</v>
      </c>
      <c r="EH100" s="1124"/>
      <c r="EI100" s="1093"/>
      <c r="EJ100" s="1093"/>
      <c r="EK100" s="1097">
        <f>IF($P100="","N/A",IF(P100=-1,INDEX('卡片raw data'!AS:AS,MATCH(D100,'卡片raw data'!$F:$F,)),0)+IF(AND(L100&lt;&gt;"party卡",P100&lt;=2,P100&gt;=0),INDEX('卡片raw data'!AU:AU,MATCH(D100,'卡片raw data'!$F:$F,)),0)+IF(OR(AND(L100="party卡",P100&lt;=1),AND(P100&lt;=4,L100&lt;&gt;"party卡",P100&gt;=3)),INDEX('卡片raw data'!AV:AV,MATCH(D100,'卡片raw data'!$F:$F,)),0)+IF(OR(P100=5,AND(L100="party卡",P100&gt;=2)),INDEX('卡片raw data'!AW:AW,MATCH(D100,'卡片raw data'!$F:$F,)),0))</f>
        <v>0</v>
      </c>
      <c r="EL100" s="1098">
        <f t="shared" si="164"/>
        <v>0.3</v>
      </c>
      <c r="EM100" s="1098">
        <f t="shared" si="165"/>
        <v>0.3</v>
      </c>
      <c r="EN100" s="1125">
        <f t="shared" si="166"/>
        <v>0</v>
      </c>
      <c r="EO100" s="1125">
        <f t="shared" si="167"/>
        <v>0</v>
      </c>
      <c r="EP100" s="1098">
        <f t="shared" si="168"/>
        <v>0</v>
      </c>
      <c r="EQ100" s="1121">
        <f t="shared" si="169"/>
        <v>0</v>
      </c>
      <c r="ER100" s="1101">
        <f t="shared" si="170"/>
        <v>0</v>
      </c>
      <c r="ES100" s="1097">
        <f t="shared" si="171"/>
        <v>0</v>
      </c>
      <c r="ET100" s="1122">
        <f t="shared" si="172"/>
        <v>0</v>
      </c>
    </row>
    <row r="101" spans="2:150" ht="16.5" customHeight="1">
      <c r="B101" s="1123" t="str">
        <f>INDEX('卡片raw data'!B:B,MATCH($D101,'卡片raw data'!$F:$F,))</f>
        <v>练习璃</v>
      </c>
      <c r="C101" s="449" t="s">
        <v>67</v>
      </c>
      <c r="D101" s="408">
        <v>98</v>
      </c>
      <c r="E101" s="1090">
        <v>102091002</v>
      </c>
      <c r="F101" s="1090" t="str">
        <f>INDEX('卡片raw data'!C:C,MATCH($D101,'卡片raw data'!$F:$F,))</f>
        <v>R</v>
      </c>
      <c r="G101" s="1094" t="s">
        <v>353</v>
      </c>
      <c r="H101" s="411">
        <f>IFERROR(INDEX(绊状态确认!C:C,MATCH($G101,绊状态确认!$B:$B,)),"")</f>
        <v>209</v>
      </c>
      <c r="I101" s="450" t="str">
        <f>IFERROR(INDEX(绊状态确认!D:D,MATCH($G101,绊状态确认!$B:$B,)),"")</f>
        <v>虹</v>
      </c>
      <c r="J101" s="450" t="str">
        <f>IFERROR(INDEX(绊状态确认!E:E,MATCH($G101,绊状态确认!$B:$B,)),"")</f>
        <v>1年级</v>
      </c>
      <c r="K101" s="451" t="str">
        <f>IFERROR(INDEX(绊状态确认!F:F,MATCH($G101,绊状态确认!$B:$B,)),"")</f>
        <v>QU4RTZ</v>
      </c>
      <c r="L101" s="1094" t="str">
        <f>INDEX('卡片raw data'!E:E,MATCH($D101,'卡片raw data'!$F:$F,))</f>
        <v>卡池卡</v>
      </c>
      <c r="M101" s="415">
        <v>43735</v>
      </c>
      <c r="N101" s="416">
        <v>0</v>
      </c>
      <c r="O101" s="1091" t="str">
        <f>INDEX('卡片raw data'!D:D,MATCH($D101,'卡片raw data'!$F:$F,))</f>
        <v>sp</v>
      </c>
      <c r="P101" s="417">
        <v>5</v>
      </c>
      <c r="Q101" s="1095">
        <f t="shared" si="88"/>
        <v>16733.73429584692</v>
      </c>
      <c r="R101" s="1096">
        <f t="shared" si="89"/>
        <v>0.19400000000000001</v>
      </c>
      <c r="S101" s="1097">
        <f t="shared" si="90"/>
        <v>10093.034268435053</v>
      </c>
      <c r="T101" s="1098">
        <f t="shared" si="91"/>
        <v>0.504</v>
      </c>
      <c r="U101" s="1099">
        <f t="shared" si="92"/>
        <v>7.921323512142858</v>
      </c>
      <c r="V101" s="1100">
        <f t="shared" si="93"/>
        <v>15560.424052523011</v>
      </c>
      <c r="W101" s="1101">
        <f t="shared" si="94"/>
        <v>3681.3058811528999</v>
      </c>
      <c r="X101" s="1096">
        <f t="shared" si="95"/>
        <v>4.2000000000000003E-2</v>
      </c>
      <c r="Y101" s="1097">
        <f t="shared" si="96"/>
        <v>626.6897566760872</v>
      </c>
      <c r="Z101" s="1102">
        <f t="shared" si="97"/>
        <v>7.921323512142858</v>
      </c>
      <c r="AA101" s="1103">
        <f t="shared" si="98"/>
        <v>4307.9956378289871</v>
      </c>
      <c r="AB101" s="1101">
        <f t="shared" si="99"/>
        <v>4132.0780298655</v>
      </c>
      <c r="AC101" s="1104">
        <f t="shared" si="100"/>
        <v>4.8000000000000001E-2</v>
      </c>
      <c r="AD101" s="1105">
        <f t="shared" si="101"/>
        <v>-1.9908281250000003E-2</v>
      </c>
      <c r="AE101" s="1128">
        <f t="shared" si="102"/>
        <v>-5.3831659420289881</v>
      </c>
      <c r="AF101" s="1130">
        <f t="shared" si="103"/>
        <v>0</v>
      </c>
      <c r="AG101" s="420">
        <f t="shared" si="104"/>
        <v>0</v>
      </c>
      <c r="AH101" s="420">
        <f t="shared" si="105"/>
        <v>0</v>
      </c>
      <c r="AI101" s="1097">
        <f t="shared" si="106"/>
        <v>0</v>
      </c>
      <c r="AJ101" s="420">
        <f t="shared" si="107"/>
        <v>0</v>
      </c>
      <c r="AK101" s="518">
        <f t="shared" si="108"/>
        <v>0</v>
      </c>
      <c r="AL101" s="1106">
        <f>IF($P101="","N/A",(IF($P101=-1,INDEX('卡片raw data'!S:S,MATCH($D101,'卡片raw data'!$F:$F,)),0)+IF($P101=0,INDEX('卡片raw data'!V:V,MATCH($D101,'卡片raw data'!$F:$F,)),0)+IF($P101=1,INDEX('卡片raw data'!Y:Y,MATCH($D101,'卡片raw data'!$F:$F,)),0)+IF($P101=2,INDEX('卡片raw data'!AB:AB,MATCH($D101,'卡片raw data'!$F:$F,)),0)+IF($P101=3,INDEX('卡片raw data'!AE:AE,MATCH($D101,'卡片raw data'!$F:$F,)),0)+IF($P101=4,INDEX('卡片raw data'!AH:AH,MATCH($D101,'卡片raw data'!$F:$F,)),0)+IF($P101=5,INDEX('卡片raw data'!AK:AK,MATCH($D101,'卡片raw data'!$F:$F,)),0)+INDEX('卡片raw data'!S:S,MATCH($D101,'卡片raw data'!$F:$F,))*(IF($F101="UR",0.04,0.033))*(IF($F101="UR",INDEX(绊状态确认!$S:$S,MATCH($G101,绊状态确认!$B:$B,))/2-40)+IF($F101="SR",INDEX(绊状态确认!$R:$R,MATCH($G101,绊状态确认!$B:$B,))/4-15))+IF($F101="R",INDEX(绊状态确认!$Q:$Q,MATCH($G101,绊状态确认!$B:$B,))/6-40/6)))*(INDEX(绊状态确认!$H:$H,MATCH($G101,绊状态确认!$B:$B,))+INDEX(绊状态确认!J:J,MATCH($G101,绊状态确认!$B:$B,)))</f>
        <v>4122.8591999999999</v>
      </c>
      <c r="AM101" s="1106">
        <f>IF($P101="","N/A",(IF($P101=-1,INDEX('卡片raw data'!T:T,MATCH($D101,'卡片raw data'!$F:$F,)),0)+IF($P101=0,INDEX('卡片raw data'!W:W,MATCH($D101,'卡片raw data'!$F:$F,)),0)+IF($P101=1,INDEX('卡片raw data'!Z:Z,MATCH($D101,'卡片raw data'!$F:$F,)),0)+IF($P101=2,INDEX('卡片raw data'!AC:AC,MATCH($D101,'卡片raw data'!$F:$F,)),0)+IF($P101=3,INDEX('卡片raw data'!AF:AF,MATCH($D101,'卡片raw data'!$F:$F,)),0)+IF($P101=4,INDEX('卡片raw data'!AI:AI,MATCH($D101,'卡片raw data'!$F:$F,)),0)+IF($P101=5,INDEX('卡片raw data'!AL:AL,MATCH($D101,'卡片raw data'!$F:$F,)),0)+INDEX('卡片raw data'!T:T,MATCH($D101,'卡片raw data'!$F:$F,))*(IF($F101="UR",0.04,0.033))*(IF($F101="UR",INDEX(绊状态确认!$S:$S,MATCH($G101,绊状态确认!$B:$B,))/2-40)+IF($F101="SR",INDEX(绊状态确认!$R:$R,MATCH($G101,绊状态确认!$B:$B,))/4-15))+IF($F101="R",INDEX(绊状态确认!$Q:$Q,MATCH($G101,绊状态确认!$B:$B,))/6-40/6)))*(INDEX(绊状态确认!$H:$H,MATCH($G101,绊状态确认!$B:$B,))+INDEX(绊状态确认!K:K,MATCH($G101,绊状态确认!$B:$B,)))</f>
        <v>3435.3371999999995</v>
      </c>
      <c r="AN101" s="1106">
        <f>IF($P101="","N/A",(IF($P101=-1,INDEX('卡片raw data'!U:U,MATCH($D101,'卡片raw data'!$F:$F,)),0)+IF($P101=0,INDEX('卡片raw data'!X:X,MATCH($D101,'卡片raw data'!$F:$F,)),0)+IF($P101=1,INDEX('卡片raw data'!AA:AA,MATCH($D101,'卡片raw data'!$F:$F,)),0)+IF($P101=2,INDEX('卡片raw data'!AD:AD,MATCH($D101,'卡片raw data'!$F:$F,)),0)+IF($P101=3,INDEX('卡片raw data'!AG:AG,MATCH($D101,'卡片raw data'!$F:$F,)),0)+IF($P101=4,INDEX('卡片raw data'!AJ:AJ,MATCH($D101,'卡片raw data'!$F:$F,)),0)+IF($P101=5,INDEX('卡片raw data'!AM:AM,MATCH($D101,'卡片raw data'!$F:$F,)),0)+INDEX('卡片raw data'!U:U,MATCH($D101,'卡片raw data'!$F:$F,))*(IF($F101="UR",0.04,0.033))*(IF($F101="UR",INDEX(绊状态确认!$S:$S,MATCH($G101,绊状态确认!$B:$B,))/2-40)+IF($F101="SR",INDEX(绊状态确认!$R:$R,MATCH($G101,绊状态确认!$B:$B,))/4-15))+IF($F101="R",INDEX(绊状态确认!$Q:$Q,MATCH($G101,绊状态确认!$B:$B,))/6-40/6)))*(INDEX(绊状态确认!$H:$H,MATCH($G101,绊状态确认!$B:$B,))+INDEX(绊状态确认!L:L,MATCH($G101,绊状态确认!$B:$B,)))</f>
        <v>6182.0159999999996</v>
      </c>
      <c r="AO101" s="1107">
        <f t="shared" si="109"/>
        <v>1</v>
      </c>
      <c r="AP101" s="1131">
        <f>1+(INDEX(绊状态确认!$T:$T,MATCH($G101,绊状态确认!$B:$B,))+0.2)*$AO101</f>
        <v>1.3</v>
      </c>
      <c r="AQ101" s="1108">
        <f t="shared" si="110"/>
        <v>14072.5054</v>
      </c>
      <c r="AR101" s="1097">
        <f>(AM101*(1+$EX$9)+$EX$35)*(1+(INDEX(绊状态确认!$T:$T,MATCH($G101,绊状态确认!$B:$B,))+0.2)*AO101)*IF(J101=$FF$17,1+$FE$17,1)*IF(I101=$FF$14,1+$FE$14,1)</f>
        <v>7393.2352780000001</v>
      </c>
      <c r="AS101" s="1097">
        <f>(AN101*(1+$EX$10)+$EX$36)*(1+(INDEX(绊状态确认!$T:$T,MATCH($G101,绊状态确认!$B:$B,))+0.2)*AO101)*IF(J101=$FF$17,1+$FE$17,1)*IF(I101=$FF$14,1+$FE$14,1)</f>
        <v>13298.11392</v>
      </c>
      <c r="AT101" s="1093">
        <f>IF(AND(INDEX('卡片raw data'!AK:AK,MATCH($D101,'卡片raw data'!$F:$F,))&lt;INDEX('卡片raw data'!AM:AM,MATCH($D101,'卡片raw data'!$F:$F,)),INDEX('卡片raw data'!AL:AL,MATCH($D101,'卡片raw data'!$F:$F,))&lt;INDEX('卡片raw data'!AM:AM,MATCH($D101,'卡片raw data'!$F:$F,))),1,0)</f>
        <v>1</v>
      </c>
      <c r="AU101" s="1098">
        <f>MIN(AT101*0.15+AS101*0.00003+INDEX(绊状态确认!M:M,MATCH($G101,绊状态确认!$B:$B,)),1)</f>
        <v>0.57894341760000001</v>
      </c>
      <c r="AV101" s="1109">
        <f>(INDEX(绊状态确认!$N:$N,MATCH($G101,绊状态确认!$B:$B,))+1.5)*$EW$21</f>
        <v>2.6599999999999997</v>
      </c>
      <c r="AW101" s="1101">
        <f t="shared" si="111"/>
        <v>14332.322932648087</v>
      </c>
      <c r="AX101" s="1097">
        <f t="shared" si="112"/>
        <v>626.68975667608686</v>
      </c>
      <c r="AY101" s="1110">
        <f t="shared" si="113"/>
        <v>14959.012689324174</v>
      </c>
      <c r="AZ101" s="429">
        <f t="shared" si="114"/>
        <v>10639.575440000001</v>
      </c>
      <c r="BA101" s="431">
        <f t="shared" si="115"/>
        <v>12767.490528</v>
      </c>
      <c r="BB101" s="1097">
        <f>(AM101*(1+$FB$9)+$FB$35)*(1+(INDEX(绊状态确认!$T:$T,MATCH($G101,绊状态确认!$B:$B,))+0.2)*AO101)*IF(J101=$FF$17,1+$FE$17,1)*IF(I101=$FF$14,1+$FE$14,1)*(1+$FE$15)</f>
        <v>7393.2352780000001</v>
      </c>
      <c r="BC101" s="1097">
        <f>(AN101*(1+$FB$10)+$FB$36)*(1+(INDEX(绊状态确认!$T:$T,MATCH($G101,绊状态确认!$B:$B,))+0.2)*AO101)*IF(J101=$FF$17,1+$FE$17,1)*IF(I101=$FF$14,1+$FE$14,1)*(1+$FE$15)</f>
        <v>13298.11392</v>
      </c>
      <c r="BD101" s="1104">
        <f>MIN(AT101*0.15+BC101*0.00003+INDEX(绊状态确认!M:M,MATCH($G101,绊状态确认!$B:$B,)),1)</f>
        <v>0.57894341760000001</v>
      </c>
      <c r="BE101" s="432">
        <f>(INDEX(绊状态确认!$N:$N,MATCH($G101,绊状态确认!$B:$B,))+1.5)</f>
        <v>1.9</v>
      </c>
      <c r="BF101" s="1139">
        <f t="array" ref="BF101">SUMPRODUCT(IF(AZ101*AP101*$FI$16:$FI$23*$FA$22&gt;=$FI$24,$FI$24,AZ101*AP101*$FI$16:$FI$23*$FA$22),$FJ$16:$FJ$23)</f>
        <v>21162.115550160001</v>
      </c>
      <c r="BG101" s="1125">
        <f t="array" ref="BG101">SUMPRODUCT(IF(BE101*AZ101*AP101*$FI$16:$FI$23*$FA$22&gt;=$FI$24,$FI$24,BE101*AZ101*AP101*$FI$16:$FI$23*$FA$22),$FJ$16:$FJ$23)</f>
        <v>40208.019545304</v>
      </c>
      <c r="BH101" s="1110">
        <f t="shared" si="116"/>
        <v>10729.538766796721</v>
      </c>
      <c r="BI101" s="1111">
        <f>IF(O101="vo",$EW$26/$EW$24*0.05,0)+IF(O101="sk",-$EW$26/$EW$24*(0.05-INDEX(绊状态确认!W:W,MATCH($G101,绊状态确认!$B:$B,)))+0.05*$EW$28,0)+IF(O101="sp",0.05*$EW$32*$EW$30*(1-$EW$33)-(0.05-INDEX(绊状态确认!V:V,MATCH($G101,绊状态确认!$B:$B,)))*$EW$28,0)+IF(O101="gd",-(0.05-INDEX(绊状态确认!X:X,MATCH($G101,绊状态确认!$B:$B,)))*$EW$32*$EW$30*(1-$EW$33),0)</f>
        <v>19.999999999999886</v>
      </c>
      <c r="BJ101" s="1097">
        <f>IF(O101="vo",0.05*(1-$FI$26)*$FA$24,0)+IF(O101="sk",-(0.05-INDEX(绊状态确认!W:W,MATCH($G101,绊状态确认!$B:$B,)))*(1-$FI$26)*$FA$24+0.05*$FA$26,0)+IF(O101="sp",0.05*$FA$32*$FA$27*(1-$FA$33)/$FA$30+0.05*$FA$29/$FA$69*$FA$27*(1-$FA$33)-(0.05-INDEX(绊状态确认!V:V,MATCH($G101,绊状态确认!$B:$B,)))*$FA$26,0)+IF(O101="gd",-(0.05-INDEX(绊状态确认!X:X,MATCH($G101,绊状态确认!$B:$B,)))*$FA$32*$FA$27*(1-$FA$33)/$FA$30-(0.05-INDEX(绊状态确认!X:X,MATCH($G101,绊状态确认!$B:$B,)))*$FA$29/$FA$69*$FA$27*(1-$FA$33),0)</f>
        <v>545.83333333333326</v>
      </c>
      <c r="BK101" s="1110">
        <f>IF(O101="vo",$EW$26/$EW$24*0.05+$EW$26*(-HP($EW$62,$EW$65,$EW$64)+HP($EW$62,$EW$65,(1.05-INDEX(绊状态确认!U:U,MATCH($G101,绊状态确认!$B:$B,)))*$EW$64)),0)+IF(O101="sk",-$EW$26/$EW$24*(0.05-INDEX(绊状态确认!W:W,MATCH($G101,绊状态确认!$B:$B,)))+0.05*$EW$29,0)+IF(O101="sp",0.05*$EW$32*$EW$30*(1-$EW$33)-(0.05-INDEX(绊状态确认!V:V,MATCH($G101,绊状态确认!$B:$B,)))*$EW$29,0)+IF(O101="gd",-(0.05-INDEX(绊状态确认!X:X,MATCH($G101,绊状态确认!$B:$B,)))*$EW$32*$EW$30*(1-$EW$33)+$EW$26*(-HP($EW$62,$EW$65,$EW$64)+HP($EW$62,$EW$65,0.95*$EW$64)),0)</f>
        <v>-1780.0000000000005</v>
      </c>
      <c r="BL101" s="1111">
        <f t="shared" si="117"/>
        <v>-2166.6666666666665</v>
      </c>
      <c r="BM101" s="1110">
        <f t="shared" si="118"/>
        <v>-1661.1111111111109</v>
      </c>
      <c r="BN101" s="1113">
        <f t="shared" si="119"/>
        <v>2</v>
      </c>
      <c r="BO101" s="1097">
        <f t="shared" si="120"/>
        <v>3005.1476580839999</v>
      </c>
      <c r="BP101" s="1100">
        <f t="shared" si="121"/>
        <v>147.56068806020068</v>
      </c>
      <c r="BQ101" s="1113" t="s">
        <v>623</v>
      </c>
      <c r="BR101" s="1124" t="s">
        <v>617</v>
      </c>
      <c r="BS101" s="1098">
        <f>IF($P101="","N/A",IF($P101=-1,INDEX('卡片raw data'!AX:AX,MATCH($D101,'卡片raw data'!$F:$F,)),0)+IF($L101="party卡",IF($P101=5,INDEX('卡片raw data'!BD:BD,MATCH($D101,'卡片raw data'!$F:$F,)),IF($P101&gt;=3,INDEX('卡片raw data'!BC:BC,MATCH($D101,'卡片raw data'!$F:$F,)),INDEX('卡片raw data'!BB:BB,MATCH($D101,'卡片raw data'!$F:$F,)))),IF(OR(AND($F101="UR",$P101=0),AND($F101="SR",$P101&gt;=0,$P101&lt;=2),AND($F101="R",$P101&gt;=0,$P101&lt;4)),INDEX('卡片raw data'!AZ:AZ,MATCH($D101,'卡片raw data'!$F:$F,)),0)+IF(OR(AND($F101="UR",$P101&gt;=1,$P101&lt;=4),AND($F101="SR",$P101&lt;=4,$P101&gt;=3),AND($F101="R",$P101=4)),INDEX('卡片raw data'!BA:BA,MATCH($D101,'卡片raw data'!$F:$F,)),0)+IF($P101=5,INDEX('卡片raw data'!BB:BB,MATCH($D101,'卡片raw data'!$F:$F,)),0)))</f>
        <v>2.7E-2</v>
      </c>
      <c r="BT101" s="1101">
        <f t="shared" si="122"/>
        <v>1126.9303717815001</v>
      </c>
      <c r="BU101" s="1097">
        <f t="shared" si="123"/>
        <v>55.335258022575253</v>
      </c>
      <c r="BV101" s="1097">
        <f t="shared" si="124"/>
        <v>676.15822306889982</v>
      </c>
      <c r="BW101" s="1112">
        <f t="shared" si="125"/>
        <v>0</v>
      </c>
      <c r="BX101" s="1100">
        <f t="shared" si="126"/>
        <v>1126.9303717815001</v>
      </c>
      <c r="BY101" s="1110">
        <f t="shared" si="127"/>
        <v>676.15822306889982</v>
      </c>
      <c r="BZ101" s="1107" t="s">
        <v>569</v>
      </c>
      <c r="CA101" s="1124"/>
      <c r="CB101" s="1098">
        <f>IF($P101="","N/A",IF($P101=-1,INDEX('卡片raw data'!BE:BE,MATCH($D101,'卡片raw data'!$F:$F,)),0)+IF($L101="party卡",IF($P101=5,INDEX('卡片raw data'!BK:BK,MATCH($D101,'卡片raw data'!$F:$F,)),IF($P101&gt;=3,INDEX('卡片raw data'!BJ:BJ,MATCH($D101,'卡片raw data'!$F:$F,)),INDEX('卡片raw data'!BI:BI,MATCH($D101,'卡片raw data'!$F:$F,)))),IF(OR(AND($F101="UR",$P101=0),AND($F101="SR",$P101&gt;=0,$P101&lt;=2),AND($F101="R",$P101&gt;=0,$P101&lt;4)),INDEX('卡片raw data'!BG:BG,MATCH($D101,'卡片raw data'!$F:$F,)),0)+IF(OR(AND($F101="UR",$P101&gt;=1,$P101&lt;=4),AND($F101="SR",$P101&lt;=4,$P101&gt;=3),AND($F101="R",$P101=4)),INDEX('卡片raw data'!BH:BH,MATCH($D101,'卡片raw data'!$F:$F,)),0)+IF($P101=5,INDEX('卡片raw data'!BI:BI,MATCH($D101,'卡片raw data'!$F:$F,)),0)))</f>
        <v>0</v>
      </c>
      <c r="CC101" s="1101">
        <f t="shared" si="128"/>
        <v>0</v>
      </c>
      <c r="CD101" s="1097">
        <f>IF(BZ101="ap",CB101*(1-$FI$26)*$FB$5/$FB$11*(+IF(CA101="全员",$FA$24,0)+IF(CA101="同作战",$FA$24,0)+IF(CA101="仲间",$FA$24*2/3,0)+IF(CA101="同属性",$FA$24*$FA$37/3,0)+IF(CA101="同年级",$FA$24*$FA$40/3,0)+IF(CA101="同学校",$FA$24*$FA$43/3,0)+IF(CA101="同小队",$FA$24*$FA$46/3,0)+IF(CA101="同type",$FA$24*INDEX($FB$49:$FB$52,MATCH(X101,$FA$49:$FA$52,))/3,0)+IF(CA101="自身",#REF!/3,0)),0)+IF(BZ101="te",CB101*(1-$FI$27)*($FA$20-1)*$FB$7/$FB$13*(+IF(CA101="全员",$FA$19*$FA$24/(1+($FA$20-1)*$FA$19),0)+IF(CA101="同作战",$FA$19*$FA$24/(1+($FA$20-1)*$FA$19),0)+IF(CA101="仲间",$FA$19*$FA$24*2/3/(1+($FA$20-1)*$FA$19),0)+IF(CA101="同属性",$FA$19*$FA$24*$FA$37/3/(1+($FA$20-1)*$FA$19),0)+IF(CA101="同年级",$FA$19*$FA$24*$FA$40/3/(1+($FA$20-1)*$FA$19),0)+IF(CA101="同学校",$FA$19*$FA$24*$FA$43/3/(1+($FA$20-1)*$FA$19),0)+IF(CA101="同小队",$FA$19*$FA$24*$FA$46/3/(1+($FA$20-1)*$FA$19),0)+IF(CA101="同type",$FA$19*$FA$24*INDEX($FB$49:$FB$52,MATCH(X101,$FA$49:$FA$52,))/3/(1+($FA$20-1)*$FA$19),0)+IF(CA101="自身",$FA$19*#REF!/3/(1+(BH101-1)*$BD101),0)),0)</f>
        <v>0</v>
      </c>
      <c r="CE101" s="1097">
        <f t="shared" si="129"/>
        <v>0</v>
      </c>
      <c r="CF101" s="1112">
        <f t="shared" si="130"/>
        <v>0</v>
      </c>
      <c r="CG101" s="1100">
        <f t="shared" si="131"/>
        <v>0</v>
      </c>
      <c r="CH101" s="1110">
        <f t="shared" si="132"/>
        <v>0</v>
      </c>
      <c r="CI101" s="1113"/>
      <c r="CJ101" s="1114"/>
      <c r="CK101" s="1115" t="s">
        <v>569</v>
      </c>
      <c r="CL101" s="1115"/>
      <c r="CM101" s="1119"/>
      <c r="CN101" s="1115"/>
      <c r="CO101" s="1092"/>
      <c r="CP101" s="1117">
        <f t="shared" si="133"/>
        <v>0</v>
      </c>
      <c r="CQ101" s="1117">
        <f t="shared" si="134"/>
        <v>0</v>
      </c>
      <c r="CR101" s="1117">
        <f t="shared" si="135"/>
        <v>0</v>
      </c>
      <c r="CS101" s="1118">
        <f t="shared" si="136"/>
        <v>0</v>
      </c>
      <c r="CT101" s="1109">
        <f t="shared" si="137"/>
        <v>0</v>
      </c>
      <c r="CU101" s="1101">
        <f t="shared" si="138"/>
        <v>0</v>
      </c>
      <c r="CV101" s="1108">
        <f t="shared" si="139"/>
        <v>0</v>
      </c>
      <c r="CW101" s="1097">
        <f t="shared" si="140"/>
        <v>0</v>
      </c>
      <c r="CX101" s="1097">
        <f t="shared" si="141"/>
        <v>0</v>
      </c>
      <c r="CY101" s="1110">
        <f t="shared" si="142"/>
        <v>0</v>
      </c>
      <c r="CZ101" s="437"/>
      <c r="DA101" s="438"/>
      <c r="DB101" s="439" t="s">
        <v>569</v>
      </c>
      <c r="DC101" s="439"/>
      <c r="DD101" s="443"/>
      <c r="DE101" s="411"/>
      <c r="DF101" s="411"/>
      <c r="DG101" s="1116">
        <f t="shared" si="143"/>
        <v>0</v>
      </c>
      <c r="DH101" s="1116">
        <f t="shared" si="144"/>
        <v>0</v>
      </c>
      <c r="DI101" s="1116">
        <f t="shared" si="145"/>
        <v>0</v>
      </c>
      <c r="DJ101" s="442">
        <f t="shared" si="146"/>
        <v>0</v>
      </c>
      <c r="DK101" s="1109">
        <f t="shared" si="147"/>
        <v>0</v>
      </c>
      <c r="DL101" s="1101">
        <f t="shared" si="148"/>
        <v>0</v>
      </c>
      <c r="DM101" s="1097">
        <f t="shared" si="149"/>
        <v>0</v>
      </c>
      <c r="DN101" s="1097">
        <f t="shared" si="150"/>
        <v>0</v>
      </c>
      <c r="DO101" s="1097">
        <f t="shared" si="151"/>
        <v>0</v>
      </c>
      <c r="DP101" s="1110">
        <f t="shared" si="152"/>
        <v>0</v>
      </c>
      <c r="DQ101" s="1113" t="s">
        <v>547</v>
      </c>
      <c r="DR101" s="1120">
        <f t="shared" si="153"/>
        <v>0.3</v>
      </c>
      <c r="DS101" s="1124">
        <v>10</v>
      </c>
      <c r="DT101" s="1093" t="s">
        <v>161</v>
      </c>
      <c r="DU101" s="1093" t="s">
        <v>544</v>
      </c>
      <c r="DV101" s="1098">
        <f>IF($P101="","N/A",IF(P101=-1,INDEX('卡片raw data'!AN:AN,MATCH(D101,'卡片raw data'!$F:$F,)),0)+IF(AND(L101&lt;&gt;"party卡",P101&lt;=2,P101&gt;=0),INDEX('卡片raw data'!AP:AP,MATCH(D101,'卡片raw data'!$F:$F,)),0)+IF(OR(AND(L101="party卡",P101&lt;=1),AND(P101&lt;=4,L101&lt;&gt;"party卡",P101&gt;=3)),INDEX('卡片raw data'!AQ:AQ,MATCH(D101,'卡片raw data'!$F:$F,)),0)+IF(OR(P101=5,AND(L101="party卡",P101&gt;=2)),INDEX('卡片raw data'!AR:AR,MATCH(D101,'卡片raw data'!$F:$F,)),0))</f>
        <v>3.2000000000000001E-2</v>
      </c>
      <c r="DW101" s="1098">
        <f t="shared" si="154"/>
        <v>0.3</v>
      </c>
      <c r="DX101" s="1098">
        <f t="shared" si="155"/>
        <v>0.3</v>
      </c>
      <c r="DY101" s="1098">
        <f t="shared" si="156"/>
        <v>3.2000000000000001E-2</v>
      </c>
      <c r="DZ101" s="1098">
        <f t="shared" si="157"/>
        <v>2.768E-2</v>
      </c>
      <c r="EA101" s="1098">
        <f t="shared" si="158"/>
        <v>0</v>
      </c>
      <c r="EB101" s="1121">
        <f t="shared" si="159"/>
        <v>6.384949999999999</v>
      </c>
      <c r="EC101" s="1101">
        <f t="shared" si="160"/>
        <v>416</v>
      </c>
      <c r="ED101" s="1097">
        <f t="shared" si="161"/>
        <v>275.8773333333333</v>
      </c>
      <c r="EE101" s="1110">
        <f t="shared" si="162"/>
        <v>416</v>
      </c>
      <c r="EF101" s="1092" t="s">
        <v>711</v>
      </c>
      <c r="EG101" s="1120">
        <f t="shared" si="163"/>
        <v>0.3</v>
      </c>
      <c r="EH101" s="1124"/>
      <c r="EI101" s="1093"/>
      <c r="EJ101" s="1093"/>
      <c r="EK101" s="1097">
        <f>IF($P101="","N/A",IF(P101=-1,INDEX('卡片raw data'!AS:AS,MATCH(D101,'卡片raw data'!$F:$F,)),0)+IF(AND(L101&lt;&gt;"party卡",P101&lt;=2,P101&gt;=0),INDEX('卡片raw data'!AU:AU,MATCH(D101,'卡片raw data'!$F:$F,)),0)+IF(OR(AND(L101="party卡",P101&lt;=1),AND(P101&lt;=4,L101&lt;&gt;"party卡",P101&gt;=3)),INDEX('卡片raw data'!AV:AV,MATCH(D101,'卡片raw data'!$F:$F,)),0)+IF(OR(P101=5,AND(L101="party卡",P101&gt;=2)),INDEX('卡片raw data'!AW:AW,MATCH(D101,'卡片raw data'!$F:$F,)),0))</f>
        <v>0</v>
      </c>
      <c r="EL101" s="1098">
        <f t="shared" si="164"/>
        <v>0.3</v>
      </c>
      <c r="EM101" s="1098">
        <f t="shared" si="165"/>
        <v>0.3</v>
      </c>
      <c r="EN101" s="1125">
        <f t="shared" si="166"/>
        <v>0</v>
      </c>
      <c r="EO101" s="1125">
        <f t="shared" si="167"/>
        <v>0</v>
      </c>
      <c r="EP101" s="1098">
        <f t="shared" si="168"/>
        <v>0</v>
      </c>
      <c r="EQ101" s="1121">
        <f t="shared" si="169"/>
        <v>0</v>
      </c>
      <c r="ER101" s="1101">
        <f t="shared" si="170"/>
        <v>0</v>
      </c>
      <c r="ES101" s="1097">
        <f t="shared" si="171"/>
        <v>0</v>
      </c>
      <c r="ET101" s="1122">
        <f t="shared" si="172"/>
        <v>0</v>
      </c>
    </row>
    <row r="102" spans="2:150" ht="16.5" customHeight="1">
      <c r="B102" s="1123" t="str">
        <f>INDEX('卡片raw data'!B:B,MATCH($D102,'卡片raw data'!$F:$F,))</f>
        <v>一专璃</v>
      </c>
      <c r="C102" s="449" t="s">
        <v>123</v>
      </c>
      <c r="D102" s="408">
        <v>99</v>
      </c>
      <c r="E102" s="1090">
        <v>102092001</v>
      </c>
      <c r="F102" s="1090" t="str">
        <f>INDEX('卡片raw data'!C:C,MATCH($D102,'卡片raw data'!$F:$F,))</f>
        <v>SR</v>
      </c>
      <c r="G102" s="1094" t="s">
        <v>353</v>
      </c>
      <c r="H102" s="411">
        <f>IFERROR(INDEX(绊状态确认!C:C,MATCH($G102,绊状态确认!$B:$B,)),"")</f>
        <v>209</v>
      </c>
      <c r="I102" s="450" t="str">
        <f>IFERROR(INDEX(绊状态确认!D:D,MATCH($G102,绊状态确认!$B:$B,)),"")</f>
        <v>虹</v>
      </c>
      <c r="J102" s="450" t="str">
        <f>IFERROR(INDEX(绊状态确认!E:E,MATCH($G102,绊状态确认!$B:$B,)),"")</f>
        <v>1年级</v>
      </c>
      <c r="K102" s="451" t="str">
        <f>IFERROR(INDEX(绊状态确认!F:F,MATCH($G102,绊状态确认!$B:$B,)),"")</f>
        <v>QU4RTZ</v>
      </c>
      <c r="L102" s="1094" t="str">
        <f>INDEX('卡片raw data'!E:E,MATCH($D102,'卡片raw data'!$F:$F,))</f>
        <v>卡池卡</v>
      </c>
      <c r="M102" s="415">
        <v>43735</v>
      </c>
      <c r="N102" s="416">
        <v>0</v>
      </c>
      <c r="O102" s="1091" t="str">
        <f>INDEX('卡片raw data'!D:D,MATCH($D102,'卡片raw data'!$F:$F,))</f>
        <v>vo</v>
      </c>
      <c r="P102" s="417">
        <v>5</v>
      </c>
      <c r="Q102" s="1095">
        <f t="shared" si="88"/>
        <v>33778.47625619264</v>
      </c>
      <c r="R102" s="1096">
        <f t="shared" si="89"/>
        <v>0.39200000000000002</v>
      </c>
      <c r="S102" s="1097">
        <f t="shared" si="90"/>
        <v>15502.36888610417</v>
      </c>
      <c r="T102" s="1098">
        <f t="shared" si="91"/>
        <v>0.77500000000000002</v>
      </c>
      <c r="U102" s="1099">
        <f t="shared" si="92"/>
        <v>-13.807823528457142</v>
      </c>
      <c r="V102" s="1100">
        <f t="shared" si="93"/>
        <v>33365.193772382852</v>
      </c>
      <c r="W102" s="1101">
        <f t="shared" si="94"/>
        <v>5207.0622778429761</v>
      </c>
      <c r="X102" s="1096">
        <f t="shared" si="95"/>
        <v>0.06</v>
      </c>
      <c r="Y102" s="1097">
        <f t="shared" si="96"/>
        <v>891.38596643190976</v>
      </c>
      <c r="Z102" s="1102">
        <f t="shared" si="97"/>
        <v>11.192176471542858</v>
      </c>
      <c r="AA102" s="1103">
        <f t="shared" si="98"/>
        <v>6098.4482442748858</v>
      </c>
      <c r="AB102" s="1101">
        <f t="shared" si="99"/>
        <v>5828.4687475532737</v>
      </c>
      <c r="AC102" s="1104">
        <f t="shared" si="100"/>
        <v>6.7000000000000004E-2</v>
      </c>
      <c r="AD102" s="1105">
        <f t="shared" si="101"/>
        <v>-3.8207812500000026E-3</v>
      </c>
      <c r="AE102" s="1128">
        <f t="shared" si="102"/>
        <v>-12.27536231884058</v>
      </c>
      <c r="AF102" s="1130">
        <f t="shared" si="103"/>
        <v>0</v>
      </c>
      <c r="AG102" s="420">
        <f t="shared" si="104"/>
        <v>0</v>
      </c>
      <c r="AH102" s="420">
        <f t="shared" si="105"/>
        <v>0</v>
      </c>
      <c r="AI102" s="1097">
        <f t="shared" si="106"/>
        <v>0</v>
      </c>
      <c r="AJ102" s="420">
        <f t="shared" si="107"/>
        <v>0</v>
      </c>
      <c r="AK102" s="518">
        <f t="shared" si="108"/>
        <v>0</v>
      </c>
      <c r="AL102" s="1106">
        <f>IF($P102="","N/A",(IF($P102=-1,INDEX('卡片raw data'!S:S,MATCH($D102,'卡片raw data'!$F:$F,)),0)+IF($P102=0,INDEX('卡片raw data'!V:V,MATCH($D102,'卡片raw data'!$F:$F,)),0)+IF($P102=1,INDEX('卡片raw data'!Y:Y,MATCH($D102,'卡片raw data'!$F:$F,)),0)+IF($P102=2,INDEX('卡片raw data'!AB:AB,MATCH($D102,'卡片raw data'!$F:$F,)),0)+IF($P102=3,INDEX('卡片raw data'!AE:AE,MATCH($D102,'卡片raw data'!$F:$F,)),0)+IF($P102=4,INDEX('卡片raw data'!AH:AH,MATCH($D102,'卡片raw data'!$F:$F,)),0)+IF($P102=5,INDEX('卡片raw data'!AK:AK,MATCH($D102,'卡片raw data'!$F:$F,)),0)+INDEX('卡片raw data'!S:S,MATCH($D102,'卡片raw data'!$F:$F,))*(IF($F102="UR",0.04,0.033))*(IF($F102="UR",INDEX(绊状态确认!$S:$S,MATCH($G102,绊状态确认!$B:$B,))/2-40)+IF($F102="SR",INDEX(绊状态确认!$R:$R,MATCH($G102,绊状态确认!$B:$B,))/4-15))+IF($F102="R",INDEX(绊状态确认!$Q:$Q,MATCH($G102,绊状态确认!$B:$B,))/6-40/6)))*(INDEX(绊状态确认!$H:$H,MATCH($G102,绊状态确认!$B:$B,))+INDEX(绊状态确认!J:J,MATCH($G102,绊状态确认!$B:$B,)))</f>
        <v>7562.4238079999996</v>
      </c>
      <c r="AM102" s="1106">
        <f>IF($P102="","N/A",(IF($P102=-1,INDEX('卡片raw data'!T:T,MATCH($D102,'卡片raw data'!$F:$F,)),0)+IF($P102=0,INDEX('卡片raw data'!W:W,MATCH($D102,'卡片raw data'!$F:$F,)),0)+IF($P102=1,INDEX('卡片raw data'!Z:Z,MATCH($D102,'卡片raw data'!$F:$F,)),0)+IF($P102=2,INDEX('卡片raw data'!AC:AC,MATCH($D102,'卡片raw data'!$F:$F,)),0)+IF($P102=3,INDEX('卡片raw data'!AF:AF,MATCH($D102,'卡片raw data'!$F:$F,)),0)+IF($P102=4,INDEX('卡片raw data'!AI:AI,MATCH($D102,'卡片raw data'!$F:$F,)),0)+IF($P102=5,INDEX('卡片raw data'!AL:AL,MATCH($D102,'卡片raw data'!$F:$F,)),0)+INDEX('卡片raw data'!T:T,MATCH($D102,'卡片raw data'!$F:$F,))*(IF($F102="UR",0.04,0.033))*(IF($F102="UR",INDEX(绊状态确认!$S:$S,MATCH($G102,绊状态确认!$B:$B,))/2-40)+IF($F102="SR",INDEX(绊状态确认!$R:$R,MATCH($G102,绊状态确认!$B:$B,))/4-15))+IF($F102="R",INDEX(绊状态确认!$Q:$Q,MATCH($G102,绊状态确认!$B:$B,))/6-40/6)))*(INDEX(绊状态确认!$H:$H,MATCH($G102,绊状态确认!$B:$B,))+INDEX(绊状态确认!K:K,MATCH($G102,绊状态确认!$B:$B,)))</f>
        <v>5671.8178559999997</v>
      </c>
      <c r="AN102" s="1106">
        <f>IF($P102="","N/A",(IF($P102=-1,INDEX('卡片raw data'!U:U,MATCH($D102,'卡片raw data'!$F:$F,)),0)+IF($P102=0,INDEX('卡片raw data'!X:X,MATCH($D102,'卡片raw data'!$F:$F,)),0)+IF($P102=1,INDEX('卡片raw data'!AA:AA,MATCH($D102,'卡片raw data'!$F:$F,)),0)+IF($P102=2,INDEX('卡片raw data'!AD:AD,MATCH($D102,'卡片raw data'!$F:$F,)),0)+IF($P102=3,INDEX('卡片raw data'!AG:AG,MATCH($D102,'卡片raw data'!$F:$F,)),0)+IF($P102=4,INDEX('卡片raw data'!AJ:AJ,MATCH($D102,'卡片raw data'!$F:$F,)),0)+IF($P102=5,INDEX('卡片raw data'!AM:AM,MATCH($D102,'卡片raw data'!$F:$F,)),0)+INDEX('卡片raw data'!U:U,MATCH($D102,'卡片raw data'!$F:$F,))*(IF($F102="UR",0.04,0.033))*(IF($F102="UR",INDEX(绊状态确认!$S:$S,MATCH($G102,绊状态确认!$B:$B,))/2-40)+IF($F102="SR",INDEX(绊状态确认!$R:$R,MATCH($G102,绊状态确认!$B:$B,))/4-15))+IF($F102="R",INDEX(绊状态确认!$Q:$Q,MATCH($G102,绊状态确认!$B:$B,))/6-40/6)))*(INDEX(绊状态确认!$H:$H,MATCH($G102,绊状态确认!$B:$B,))+INDEX(绊状态确认!L:L,MATCH($G102,绊状态确认!$B:$B,)))</f>
        <v>5671.8178559999997</v>
      </c>
      <c r="AO102" s="1107">
        <f t="shared" si="109"/>
        <v>1</v>
      </c>
      <c r="AP102" s="1131">
        <f>1+(INDEX(绊状态确认!$T:$T,MATCH($G102,绊状态确认!$B:$B,))+0.2)*$AO102</f>
        <v>1.3</v>
      </c>
      <c r="AQ102" s="1108">
        <f t="shared" si="110"/>
        <v>23101.362496000002</v>
      </c>
      <c r="AR102" s="1097">
        <f>(AM102*(1+$EX$9)+$EX$35)*(1+(INDEX(绊状态确认!$T:$T,MATCH($G102,绊状态确认!$B:$B,))+0.2)*AO102)*IF(J102=$FF$17,1+$FE$17,1)*IF(I102=$FF$14,1+$FE$14,1)</f>
        <v>10446.031373440001</v>
      </c>
      <c r="AS102" s="1097">
        <f>(AN102*(1+$EX$10)+$EX$36)*(1+(INDEX(绊状态确认!$T:$T,MATCH($G102,绊状态确认!$B:$B,))+0.2)*AO102)*IF(J102=$FF$17,1+$FE$17,1)*IF(I102=$FF$14,1+$FE$14,1)</f>
        <v>12535.367694719998</v>
      </c>
      <c r="AT102" s="1093">
        <f>IF(AND(INDEX('卡片raw data'!AK:AK,MATCH($D102,'卡片raw data'!$F:$F,))&lt;INDEX('卡片raw data'!AM:AM,MATCH($D102,'卡片raw data'!$F:$F,)),INDEX('卡片raw data'!AL:AL,MATCH($D102,'卡片raw data'!$F:$F,))&lt;INDEX('卡片raw data'!AM:AM,MATCH($D102,'卡片raw data'!$F:$F,))),1,0)</f>
        <v>0</v>
      </c>
      <c r="AU102" s="1098">
        <f>MIN(AT102*0.15+AS102*0.00003+INDEX(绊状态确认!M:M,MATCH($G102,绊状态确认!$B:$B,)),1)</f>
        <v>0.4060610308416</v>
      </c>
      <c r="AV102" s="1109">
        <f>(INDEX(绊状态确认!$N:$N,MATCH($G102,绊状态确认!$B:$B,))+1.5)*$EW$21</f>
        <v>2.6599999999999997</v>
      </c>
      <c r="AW102" s="1101">
        <f t="shared" si="111"/>
        <v>20084.744824564968</v>
      </c>
      <c r="AX102" s="1097">
        <f t="shared" si="112"/>
        <v>891.38596643190999</v>
      </c>
      <c r="AY102" s="1110">
        <f t="shared" si="113"/>
        <v>20976.130790996878</v>
      </c>
      <c r="AZ102" s="429">
        <f t="shared" si="114"/>
        <v>17346.726425599998</v>
      </c>
      <c r="BA102" s="431">
        <f t="shared" si="115"/>
        <v>20816.071710719996</v>
      </c>
      <c r="BB102" s="1097">
        <f>(AM102*(1+$FB$9)+$FB$35)*(1+(INDEX(绊状态确认!$T:$T,MATCH($G102,绊状态确认!$B:$B,))+0.2)*AO102)*IF(J102=$FF$17,1+$FE$17,1)*IF(I102=$FF$14,1+$FE$14,1)*(1+$FE$15)</f>
        <v>10446.031373440001</v>
      </c>
      <c r="BC102" s="1097">
        <f>(AN102*(1+$FB$10)+$FB$36)*(1+(INDEX(绊状态确认!$T:$T,MATCH($G102,绊状态确认!$B:$B,))+0.2)*AO102)*IF(J102=$FF$17,1+$FE$17,1)*IF(I102=$FF$14,1+$FE$14,1)*(1+$FE$15)</f>
        <v>12535.367694719998</v>
      </c>
      <c r="BD102" s="1104">
        <f>MIN(AT102*0.15+BC102*0.00003+INDEX(绊状态确认!M:M,MATCH($G102,绊状态确认!$B:$B,)),1)</f>
        <v>0.4060610308416</v>
      </c>
      <c r="BE102" s="432">
        <f>(INDEX(绊状态确认!$N:$N,MATCH($G102,绊状态确认!$B:$B,))+1.5)</f>
        <v>1.9</v>
      </c>
      <c r="BF102" s="1139">
        <f t="array" ref="BF102">SUMPRODUCT(IF(AZ102*AP102*$FI$16:$FI$23*$FA$22&gt;=$FI$24,$FI$24,AZ102*AP102*$FI$16:$FI$23*$FA$22),$FJ$16:$FJ$23)</f>
        <v>34502.638860518404</v>
      </c>
      <c r="BG102" s="1125">
        <f t="array" ref="BG102">SUMPRODUCT(IF(BE102*AZ102*AP102*$FI$16:$FI$23*$FA$22&gt;=$FI$24,$FI$24,BE102*AZ102*AP102*$FI$16:$FI$23*$FA$22),$FJ$16:$FJ$23)</f>
        <v>58708.599563752956</v>
      </c>
      <c r="BH102" s="1110">
        <f t="shared" si="116"/>
        <v>14777.24540539503</v>
      </c>
      <c r="BI102" s="1111">
        <f>IF(O102="vo",$EW$26/$EW$24*0.05,0)+IF(O102="sk",-$EW$26/$EW$24*(0.05-INDEX(绊状态确认!W:W,MATCH($G102,绊状态确认!$B:$B,)))+0.05*$EW$28,0)+IF(O102="sp",0.05*$EW$32*$EW$30*(1-$EW$33)-(0.05-INDEX(绊状态确认!V:V,MATCH($G102,绊状态确认!$B:$B,)))*$EW$28,0)+IF(O102="gd",-(0.05-INDEX(绊状态确认!X:X,MATCH($G102,绊状态确认!$B:$B,)))*$EW$32*$EW$30*(1-$EW$33),0)</f>
        <v>7726.3029277443748</v>
      </c>
      <c r="BJ102" s="1097">
        <f>IF(O102="vo",0.05*(1-$FI$26)*$FA$24,0)+IF(O102="sk",-(0.05-INDEX(绊状态确认!W:W,MATCH($G102,绊状态确认!$B:$B,)))*(1-$FI$26)*$FA$24+0.05*$FA$26,0)+IF(O102="sp",0.05*$FA$32*$FA$27*(1-$FA$33)/$FA$30+0.05*$FA$29/$FA$69*$FA$27*(1-$FA$33)-(0.05-INDEX(绊状态确认!V:V,MATCH($G102,绊状态确认!$B:$B,)))*$FA$26,0)+IF(O102="gd",-(0.05-INDEX(绊状态确认!X:X,MATCH($G102,绊状态确认!$B:$B,)))*$FA$32*$FA$27*(1-$FA$33)/$FA$30-(0.05-INDEX(绊状态确认!X:X,MATCH($G102,绊状态确认!$B:$B,)))*$FA$29/$FA$69*$FA$27*(1-$FA$33),0)</f>
        <v>393.93433687500004</v>
      </c>
      <c r="BK102" s="1110">
        <f>IF(O102="vo",$EW$26/$EW$24*0.05+$EW$26*(-HP($EW$62,$EW$65,$EW$64)+HP($EW$62,$EW$65,(1.05-INDEX(绊状态确认!U:U,MATCH($G102,绊状态确认!$B:$B,)))*$EW$64)),0)+IF(O102="sk",-$EW$26/$EW$24*(0.05-INDEX(绊状态确认!W:W,MATCH($G102,绊状态确认!$B:$B,)))+0.05*$EW$29,0)+IF(O102="sp",0.05*$EW$32*$EW$30*(1-$EW$33)-(0.05-INDEX(绊状态确认!V:V,MATCH($G102,绊状态确认!$B:$B,)))*$EW$29,0)+IF(O102="gd",-(0.05-INDEX(绊状态确认!X:X,MATCH($G102,绊状态确认!$B:$B,)))*$EW$32*$EW$30*(1-$EW$33)+$EW$26*(-HP($EW$62,$EW$65,$EW$64)+HP($EW$62,$EW$65,0.95*$EW$64)),0)</f>
        <v>6421.6344775026746</v>
      </c>
      <c r="BL102" s="1111">
        <f t="shared" si="117"/>
        <v>-1083.3333333333333</v>
      </c>
      <c r="BM102" s="1110">
        <f t="shared" si="118"/>
        <v>-830.55555555555543</v>
      </c>
      <c r="BN102" s="1113">
        <f t="shared" si="119"/>
        <v>3</v>
      </c>
      <c r="BO102" s="1097">
        <f t="shared" si="120"/>
        <v>4507.7214871259994</v>
      </c>
      <c r="BP102" s="1100">
        <f t="shared" si="121"/>
        <v>221.34103209030098</v>
      </c>
      <c r="BQ102" s="1113" t="s">
        <v>623</v>
      </c>
      <c r="BR102" s="1124" t="s">
        <v>625</v>
      </c>
      <c r="BS102" s="1098">
        <f>IF($P102="","N/A",IF($P102=-1,INDEX('卡片raw data'!AX:AX,MATCH($D102,'卡片raw data'!$F:$F,)),0)+IF($L102="party卡",IF($P102=5,INDEX('卡片raw data'!BD:BD,MATCH($D102,'卡片raw data'!$F:$F,)),IF($P102&gt;=3,INDEX('卡片raw data'!BC:BC,MATCH($D102,'卡片raw data'!$F:$F,)),INDEX('卡片raw data'!BB:BB,MATCH($D102,'卡片raw data'!$F:$F,)))),IF(OR(AND($F102="UR",$P102=0),AND($F102="SR",$P102&gt;=0,$P102&lt;=2),AND($F102="R",$P102&gt;=0,$P102&lt;4)),INDEX('卡片raw data'!AZ:AZ,MATCH($D102,'卡片raw data'!$F:$F,)),0)+IF(OR(AND($F102="UR",$P102&gt;=1,$P102&lt;=4),AND($F102="SR",$P102&lt;=4,$P102&gt;=3),AND($F102="R",$P102=4)),INDEX('卡片raw data'!BA:BA,MATCH($D102,'卡片raw data'!$F:$F,)),0)+IF($P102=5,INDEX('卡片raw data'!BB:BB,MATCH($D102,'卡片raw data'!$F:$F,)),0)))</f>
        <v>7.0000000000000007E-2</v>
      </c>
      <c r="BT102" s="1101">
        <f t="shared" si="122"/>
        <v>621.40646971029742</v>
      </c>
      <c r="BU102" s="1097">
        <f t="shared" si="123"/>
        <v>21.795201417321767</v>
      </c>
      <c r="BV102" s="1097">
        <f t="shared" si="124"/>
        <v>0</v>
      </c>
      <c r="BW102" s="1112">
        <f t="shared" si="125"/>
        <v>0</v>
      </c>
      <c r="BX102" s="1100">
        <f t="shared" si="126"/>
        <v>621.40646971029742</v>
      </c>
      <c r="BY102" s="1110">
        <f t="shared" si="127"/>
        <v>0</v>
      </c>
      <c r="BZ102" s="1107" t="s">
        <v>569</v>
      </c>
      <c r="CA102" s="1124"/>
      <c r="CB102" s="1098">
        <f>IF($P102="","N/A",IF($P102=-1,INDEX('卡片raw data'!BE:BE,MATCH($D102,'卡片raw data'!$F:$F,)),0)+IF($L102="party卡",IF($P102=5,INDEX('卡片raw data'!BK:BK,MATCH($D102,'卡片raw data'!$F:$F,)),IF($P102&gt;=3,INDEX('卡片raw data'!BJ:BJ,MATCH($D102,'卡片raw data'!$F:$F,)),INDEX('卡片raw data'!BI:BI,MATCH($D102,'卡片raw data'!$F:$F,)))),IF(OR(AND($F102="UR",$P102=0),AND($F102="SR",$P102&gt;=0,$P102&lt;=2),AND($F102="R",$P102&gt;=0,$P102&lt;4)),INDEX('卡片raw data'!BG:BG,MATCH($D102,'卡片raw data'!$F:$F,)),0)+IF(OR(AND($F102="UR",$P102&gt;=1,$P102&lt;=4),AND($F102="SR",$P102&lt;=4,$P102&gt;=3),AND($F102="R",$P102=4)),INDEX('卡片raw data'!BH:BH,MATCH($D102,'卡片raw data'!$F:$F,)),0)+IF($P102=5,INDEX('卡片raw data'!BI:BI,MATCH($D102,'卡片raw data'!$F:$F,)),0)))</f>
        <v>0</v>
      </c>
      <c r="CC102" s="1101">
        <f t="shared" si="128"/>
        <v>0</v>
      </c>
      <c r="CD102" s="1097">
        <f>IF(BZ102="ap",CB102*(1-$FI$26)*$FB$5/$FB$11*(+IF(CA102="全员",$FA$24,0)+IF(CA102="同作战",$FA$24,0)+IF(CA102="仲间",$FA$24*2/3,0)+IF(CA102="同属性",$FA$24*$FA$37/3,0)+IF(CA102="同年级",$FA$24*$FA$40/3,0)+IF(CA102="同学校",$FA$24*$FA$43/3,0)+IF(CA102="同小队",$FA$24*$FA$46/3,0)+IF(CA102="同type",$FA$24*INDEX($FB$49:$FB$52,MATCH(X102,$FA$49:$FA$52,))/3,0)+IF(CA102="自身",#REF!/3,0)),0)+IF(BZ102="te",CB102*(1-$FI$27)*($FA$20-1)*$FB$7/$FB$13*(+IF(CA102="全员",$FA$19*$FA$24/(1+($FA$20-1)*$FA$19),0)+IF(CA102="同作战",$FA$19*$FA$24/(1+($FA$20-1)*$FA$19),0)+IF(CA102="仲间",$FA$19*$FA$24*2/3/(1+($FA$20-1)*$FA$19),0)+IF(CA102="同属性",$FA$19*$FA$24*$FA$37/3/(1+($FA$20-1)*$FA$19),0)+IF(CA102="同年级",$FA$19*$FA$24*$FA$40/3/(1+($FA$20-1)*$FA$19),0)+IF(CA102="同学校",$FA$19*$FA$24*$FA$43/3/(1+($FA$20-1)*$FA$19),0)+IF(CA102="同小队",$FA$19*$FA$24*$FA$46/3/(1+($FA$20-1)*$FA$19),0)+IF(CA102="同type",$FA$19*$FA$24*INDEX($FB$49:$FB$52,MATCH(X102,$FA$49:$FA$52,))/3/(1+($FA$20-1)*$FA$19),0)+IF(CA102="自身",$FA$19*#REF!/3/(1+(BH102-1)*$BD102),0)),0)</f>
        <v>0</v>
      </c>
      <c r="CE102" s="1097">
        <f t="shared" si="129"/>
        <v>0</v>
      </c>
      <c r="CF102" s="1112">
        <f t="shared" si="130"/>
        <v>0</v>
      </c>
      <c r="CG102" s="1100">
        <f t="shared" si="131"/>
        <v>0</v>
      </c>
      <c r="CH102" s="1110">
        <f t="shared" si="132"/>
        <v>0</v>
      </c>
      <c r="CI102" s="1113" t="s">
        <v>162</v>
      </c>
      <c r="CJ102" s="1114">
        <v>0.3</v>
      </c>
      <c r="CK102" s="1115" t="s">
        <v>566</v>
      </c>
      <c r="CL102" s="1115" t="s">
        <v>161</v>
      </c>
      <c r="CM102" s="1119">
        <v>0.08</v>
      </c>
      <c r="CN102" s="1115">
        <v>10</v>
      </c>
      <c r="CO102" s="1092"/>
      <c r="CP102" s="1118">
        <f t="shared" si="133"/>
        <v>5.1428571428571426E-3</v>
      </c>
      <c r="CQ102" s="1118">
        <f t="shared" si="134"/>
        <v>8.0000000000000002E-3</v>
      </c>
      <c r="CR102" s="1118">
        <f t="shared" si="135"/>
        <v>5.1428571428571426E-3</v>
      </c>
      <c r="CS102" s="1118">
        <f t="shared" si="136"/>
        <v>0</v>
      </c>
      <c r="CT102" s="1109">
        <f t="shared" si="137"/>
        <v>0</v>
      </c>
      <c r="CU102" s="1101">
        <f t="shared" si="138"/>
        <v>699.34079071697647</v>
      </c>
      <c r="CV102" s="1108">
        <f t="shared" si="139"/>
        <v>52.524578250000012</v>
      </c>
      <c r="CW102" s="1097">
        <f t="shared" si="140"/>
        <v>699.34079071697647</v>
      </c>
      <c r="CX102" s="1097">
        <f t="shared" si="141"/>
        <v>699.34079071697647</v>
      </c>
      <c r="CY102" s="1110">
        <f t="shared" si="142"/>
        <v>699.34079071697647</v>
      </c>
      <c r="CZ102" s="437"/>
      <c r="DA102" s="438"/>
      <c r="DB102" s="439" t="s">
        <v>569</v>
      </c>
      <c r="DC102" s="439"/>
      <c r="DD102" s="443"/>
      <c r="DE102" s="411"/>
      <c r="DF102" s="411"/>
      <c r="DG102" s="1116">
        <f t="shared" si="143"/>
        <v>0</v>
      </c>
      <c r="DH102" s="1116">
        <f t="shared" si="144"/>
        <v>0</v>
      </c>
      <c r="DI102" s="1116">
        <f t="shared" si="145"/>
        <v>0</v>
      </c>
      <c r="DJ102" s="442">
        <f t="shared" si="146"/>
        <v>0</v>
      </c>
      <c r="DK102" s="1109">
        <f t="shared" si="147"/>
        <v>0</v>
      </c>
      <c r="DL102" s="1101">
        <f t="shared" si="148"/>
        <v>0</v>
      </c>
      <c r="DM102" s="1097">
        <f t="shared" si="149"/>
        <v>0</v>
      </c>
      <c r="DN102" s="1097">
        <f t="shared" si="150"/>
        <v>0</v>
      </c>
      <c r="DO102" s="1097">
        <f t="shared" si="151"/>
        <v>0</v>
      </c>
      <c r="DP102" s="1110">
        <f t="shared" si="152"/>
        <v>0</v>
      </c>
      <c r="DQ102" s="1113" t="s">
        <v>545</v>
      </c>
      <c r="DR102" s="1120">
        <f t="shared" si="153"/>
        <v>0.3</v>
      </c>
      <c r="DS102" s="1124"/>
      <c r="DT102" s="1093" t="s">
        <v>548</v>
      </c>
      <c r="DU102" s="1093"/>
      <c r="DV102" s="1098">
        <f>IF($P102="","N/A",IF(P102=-1,INDEX('卡片raw data'!AN:AN,MATCH(D102,'卡片raw data'!$F:$F,)),0)+IF(AND(L102&lt;&gt;"party卡",P102&lt;=2,P102&gt;=0),INDEX('卡片raw data'!AP:AP,MATCH(D102,'卡片raw data'!$F:$F,)),0)+IF(OR(AND(L102="party卡",P102&lt;=1),AND(P102&lt;=4,L102&lt;&gt;"party卡",P102&gt;=3)),INDEX('卡片raw data'!AQ:AQ,MATCH(D102,'卡片raw data'!$F:$F,)),0)+IF(OR(P102=5,AND(L102="party卡",P102&gt;=2)),INDEX('卡片raw data'!AR:AR,MATCH(D102,'卡片raw data'!$F:$F,)),0))</f>
        <v>0.37</v>
      </c>
      <c r="DW102" s="1098">
        <f t="shared" si="154"/>
        <v>0.3</v>
      </c>
      <c r="DX102" s="1098">
        <f t="shared" si="155"/>
        <v>0.3</v>
      </c>
      <c r="DY102" s="1125">
        <f t="shared" si="156"/>
        <v>1111.1755360576003</v>
      </c>
      <c r="DZ102" s="1125">
        <f t="shared" si="157"/>
        <v>866.08388763207142</v>
      </c>
      <c r="EA102" s="1098">
        <f t="shared" si="158"/>
        <v>0</v>
      </c>
      <c r="EB102" s="1121">
        <f t="shared" si="159"/>
        <v>0</v>
      </c>
      <c r="EC102" s="1101">
        <f t="shared" si="160"/>
        <v>1222.2930896633604</v>
      </c>
      <c r="ED102" s="1097">
        <f t="shared" si="161"/>
        <v>866.08388763207142</v>
      </c>
      <c r="EE102" s="1110">
        <f t="shared" si="162"/>
        <v>1222.2930896633604</v>
      </c>
      <c r="EF102" s="1092" t="s">
        <v>711</v>
      </c>
      <c r="EG102" s="1120">
        <f t="shared" si="163"/>
        <v>0.3</v>
      </c>
      <c r="EH102" s="1124"/>
      <c r="EI102" s="1093"/>
      <c r="EJ102" s="1093"/>
      <c r="EK102" s="1097">
        <f>IF($P102="","N/A",IF(P102=-1,INDEX('卡片raw data'!AS:AS,MATCH(D102,'卡片raw data'!$F:$F,)),0)+IF(AND(L102&lt;&gt;"party卡",P102&lt;=2,P102&gt;=0),INDEX('卡片raw data'!AU:AU,MATCH(D102,'卡片raw data'!$F:$F,)),0)+IF(OR(AND(L102="party卡",P102&lt;=1),AND(P102&lt;=4,L102&lt;&gt;"party卡",P102&gt;=3)),INDEX('卡片raw data'!AV:AV,MATCH(D102,'卡片raw data'!$F:$F,)),0)+IF(OR(P102=5,AND(L102="party卡",P102&gt;=2)),INDEX('卡片raw data'!AW:AW,MATCH(D102,'卡片raw data'!$F:$F,)),0))</f>
        <v>0</v>
      </c>
      <c r="EL102" s="1098">
        <f t="shared" si="164"/>
        <v>0.3</v>
      </c>
      <c r="EM102" s="1098">
        <f t="shared" si="165"/>
        <v>0.3</v>
      </c>
      <c r="EN102" s="1125">
        <f t="shared" si="166"/>
        <v>0</v>
      </c>
      <c r="EO102" s="1125">
        <f t="shared" si="167"/>
        <v>0</v>
      </c>
      <c r="EP102" s="1098">
        <f t="shared" si="168"/>
        <v>0</v>
      </c>
      <c r="EQ102" s="1121">
        <f t="shared" si="169"/>
        <v>0</v>
      </c>
      <c r="ER102" s="1101">
        <f t="shared" si="170"/>
        <v>0</v>
      </c>
      <c r="ES102" s="1097">
        <f t="shared" si="171"/>
        <v>0</v>
      </c>
      <c r="ET102" s="1122">
        <f t="shared" si="172"/>
        <v>0</v>
      </c>
    </row>
    <row r="103" spans="2:150" ht="16.5" customHeight="1">
      <c r="B103" s="1123" t="str">
        <f>INDEX('卡片raw data'!B:B,MATCH($D103,'卡片raw data'!$F:$F,))</f>
        <v>聚会鸟</v>
      </c>
      <c r="C103" s="449" t="s">
        <v>69</v>
      </c>
      <c r="D103" s="408">
        <v>100</v>
      </c>
      <c r="E103" s="1090">
        <v>300033001</v>
      </c>
      <c r="F103" s="1090" t="str">
        <f>INDEX('卡片raw data'!C:C,MATCH($D103,'卡片raw data'!$F:$F,))</f>
        <v>UR</v>
      </c>
      <c r="G103" s="1094" t="s">
        <v>26</v>
      </c>
      <c r="H103" s="411">
        <f>IFERROR(INDEX(绊状态确认!C:C,MATCH($G103,绊状态确认!$B:$B,)),"")</f>
        <v>3</v>
      </c>
      <c r="I103" s="1124" t="str">
        <f>IFERROR(INDEX(绊状态确认!D:D,MATCH($G103,绊状态确认!$B:$B,)),"")</f>
        <v>缪</v>
      </c>
      <c r="J103" s="1124" t="str">
        <f>IFERROR(INDEX(绊状态确认!E:E,MATCH($G103,绊状态确认!$B:$B,)),"")</f>
        <v>2年级</v>
      </c>
      <c r="K103" s="451" t="str">
        <f>IFERROR(INDEX(绊状态确认!F:F,MATCH($G103,绊状态确认!$B:$B,)),"")</f>
        <v>Printemps</v>
      </c>
      <c r="L103" s="1094" t="str">
        <f>INDEX('卡片raw data'!E:E,MATCH($D103,'卡片raw data'!$F:$F,))</f>
        <v>卡池卡</v>
      </c>
      <c r="M103" s="415">
        <v>43741</v>
      </c>
      <c r="N103" s="416">
        <v>1</v>
      </c>
      <c r="O103" s="1091" t="str">
        <f>INDEX('卡片raw data'!D:D,MATCH($D103,'卡片raw data'!$F:$F,))</f>
        <v>sk</v>
      </c>
      <c r="P103" s="417">
        <v>5</v>
      </c>
      <c r="Q103" s="1095">
        <f t="shared" si="88"/>
        <v>40577.148038683197</v>
      </c>
      <c r="R103" s="1096">
        <f t="shared" si="89"/>
        <v>0.47099999999999997</v>
      </c>
      <c r="S103" s="1097">
        <f t="shared" si="90"/>
        <v>20317.977577325666</v>
      </c>
      <c r="T103" s="1098">
        <f t="shared" si="91"/>
        <v>1.0149999999999999</v>
      </c>
      <c r="U103" s="1099">
        <f t="shared" si="92"/>
        <v>15.721683911142856</v>
      </c>
      <c r="V103" s="1100">
        <f t="shared" si="93"/>
        <v>43840.991914518621</v>
      </c>
      <c r="W103" s="1101">
        <f t="shared" si="94"/>
        <v>6082.6794116896717</v>
      </c>
      <c r="X103" s="1096">
        <f t="shared" si="95"/>
        <v>7.0000000000000007E-2</v>
      </c>
      <c r="Y103" s="1097">
        <f t="shared" si="96"/>
        <v>1263.8438758354214</v>
      </c>
      <c r="Z103" s="1102">
        <f t="shared" si="97"/>
        <v>15.721683911142856</v>
      </c>
      <c r="AA103" s="1103">
        <f t="shared" si="98"/>
        <v>7346.5232875250931</v>
      </c>
      <c r="AB103" s="1101">
        <f t="shared" si="99"/>
        <v>7384.910063526072</v>
      </c>
      <c r="AC103" s="1104">
        <f t="shared" si="100"/>
        <v>8.5000000000000006E-2</v>
      </c>
      <c r="AD103" s="1105">
        <f t="shared" si="101"/>
        <v>4.0213958285984848E-2</v>
      </c>
      <c r="AE103" s="1128">
        <f t="shared" si="102"/>
        <v>20.926522729576092</v>
      </c>
      <c r="AF103" s="1130">
        <f t="shared" si="103"/>
        <v>0</v>
      </c>
      <c r="AG103" s="420">
        <f t="shared" si="104"/>
        <v>0</v>
      </c>
      <c r="AH103" s="420">
        <f t="shared" si="105"/>
        <v>0</v>
      </c>
      <c r="AI103" s="1097">
        <f t="shared" si="106"/>
        <v>0</v>
      </c>
      <c r="AJ103" s="420">
        <f t="shared" si="107"/>
        <v>0</v>
      </c>
      <c r="AK103" s="518">
        <f t="shared" si="108"/>
        <v>0</v>
      </c>
      <c r="AL103" s="1106">
        <f>IF($P103="","N/A",(IF($P103=-1,INDEX('卡片raw data'!S:S,MATCH($D103,'卡片raw data'!$F:$F,)),0)+IF($P103=0,INDEX('卡片raw data'!V:V,MATCH($D103,'卡片raw data'!$F:$F,)),0)+IF($P103=1,INDEX('卡片raw data'!Y:Y,MATCH($D103,'卡片raw data'!$F:$F,)),0)+IF($P103=2,INDEX('卡片raw data'!AB:AB,MATCH($D103,'卡片raw data'!$F:$F,)),0)+IF($P103=3,INDEX('卡片raw data'!AE:AE,MATCH($D103,'卡片raw data'!$F:$F,)),0)+IF($P103=4,INDEX('卡片raw data'!AH:AH,MATCH($D103,'卡片raw data'!$F:$F,)),0)+IF($P103=5,INDEX('卡片raw data'!AK:AK,MATCH($D103,'卡片raw data'!$F:$F,)),0)+INDEX('卡片raw data'!S:S,MATCH($D103,'卡片raw data'!$F:$F,))*(IF($F103="UR",0.04,0.033))*(IF($F103="UR",INDEX(绊状态确认!$S:$S,MATCH($G103,绊状态确认!$B:$B,))/2-40)+IF($F103="SR",INDEX(绊状态确认!$R:$R,MATCH($G103,绊状态确认!$B:$B,))/4-15))+IF($F103="R",INDEX(绊状态确认!$Q:$Q,MATCH($G103,绊状态确认!$B:$B,))/6-40/6)))*(INDEX(绊状态确认!$H:$H,MATCH($G103,绊状态确认!$B:$B,))+INDEX(绊状态确认!J:J,MATCH($G103,绊状态确认!$B:$B,)))</f>
        <v>13152.193583999997</v>
      </c>
      <c r="AM103" s="1106">
        <f>IF($P103="","N/A",(IF($P103=-1,INDEX('卡片raw data'!T:T,MATCH($D103,'卡片raw data'!$F:$F,)),0)+IF($P103=0,INDEX('卡片raw data'!W:W,MATCH($D103,'卡片raw data'!$F:$F,)),0)+IF($P103=1,INDEX('卡片raw data'!Z:Z,MATCH($D103,'卡片raw data'!$F:$F,)),0)+IF($P103=2,INDEX('卡片raw data'!AC:AC,MATCH($D103,'卡片raw data'!$F:$F,)),0)+IF($P103=3,INDEX('卡片raw data'!AF:AF,MATCH($D103,'卡片raw data'!$F:$F,)),0)+IF($P103=4,INDEX('卡片raw data'!AI:AI,MATCH($D103,'卡片raw data'!$F:$F,)),0)+IF($P103=5,INDEX('卡片raw data'!AL:AL,MATCH($D103,'卡片raw data'!$F:$F,)),0)+INDEX('卡片raw data'!T:T,MATCH($D103,'卡片raw data'!$F:$F,))*(IF($F103="UR",0.04,0.033))*(IF($F103="UR",INDEX(绊状态确认!$S:$S,MATCH($G103,绊状态确认!$B:$B,))/2-40)+IF($F103="SR",INDEX(绊状态确认!$R:$R,MATCH($G103,绊状态确认!$B:$B,))/4-15))+IF($F103="R",INDEX(绊状态确认!$Q:$Q,MATCH($G103,绊状态确认!$B:$B,))/6-40/6)))*(INDEX(绊状态确认!$H:$H,MATCH($G103,绊状态确认!$B:$B,))+INDEX(绊状态确认!K:K,MATCH($G103,绊状态确认!$B:$B,)))</f>
        <v>8768.9169599999987</v>
      </c>
      <c r="AN103" s="1106">
        <f>IF($P103="","N/A",(IF($P103=-1,INDEX('卡片raw data'!U:U,MATCH($D103,'卡片raw data'!$F:$F,)),0)+IF($P103=0,INDEX('卡片raw data'!X:X,MATCH($D103,'卡片raw data'!$F:$F,)),0)+IF($P103=1,INDEX('卡片raw data'!AA:AA,MATCH($D103,'卡片raw data'!$F:$F,)),0)+IF($P103=2,INDEX('卡片raw data'!AD:AD,MATCH($D103,'卡片raw data'!$F:$F,)),0)+IF($P103=3,INDEX('卡片raw data'!AG:AG,MATCH($D103,'卡片raw data'!$F:$F,)),0)+IF($P103=4,INDEX('卡片raw data'!AJ:AJ,MATCH($D103,'卡片raw data'!$F:$F,)),0)+IF($P103=5,INDEX('卡片raw data'!AM:AM,MATCH($D103,'卡片raw data'!$F:$F,)),0)+INDEX('卡片raw data'!U:U,MATCH($D103,'卡片raw data'!$F:$F,))*(IF($F103="UR",0.04,0.033))*(IF($F103="UR",INDEX(绊状态确认!$S:$S,MATCH($G103,绊状态确认!$B:$B,))/2-40)+IF($F103="SR",INDEX(绊状态确认!$R:$R,MATCH($G103,绊状态确认!$B:$B,))/4-15))+IF($F103="R",INDEX(绊状态确认!$Q:$Q,MATCH($G103,绊状态确认!$B:$B,))/6-40/6)))*(INDEX(绊状态确认!$H:$H,MATCH($G103,绊状态确认!$B:$B,))+INDEX(绊状态确认!L:L,MATCH($G103,绊状态确认!$B:$B,)))</f>
        <v>9394.5733439999985</v>
      </c>
      <c r="AO103" s="1107">
        <f t="shared" si="109"/>
        <v>1</v>
      </c>
      <c r="AP103" s="1131">
        <f>1+(INDEX(绊状态确认!$T:$T,MATCH($G103,绊状态确认!$B:$B,))+0.2)*$AO103</f>
        <v>1.3</v>
      </c>
      <c r="AQ103" s="1108">
        <f t="shared" si="110"/>
        <v>37774.508157999997</v>
      </c>
      <c r="AR103" s="1097">
        <f>(AM103*(1+$EX$9)+$EX$35)*(1+(INDEX(绊状态确认!$T:$T,MATCH($G103,绊状态确认!$B:$B,))+0.2)*AO103)*IF(J103=$FF$17,1+$FE$17,1)*IF(I103=$FF$14,1+$FE$14,1)*(1+$FE$15)</f>
        <v>14673.571650400001</v>
      </c>
      <c r="AS103" s="1097">
        <f>(AN103*(1+$EX$10)+$EX$36)*(1+(INDEX(绊状态确认!$T:$T,MATCH($G103,绊状态确认!$B:$B,))+0.2)*AO103)*IF(J103=$FF$17,1+$FE$17,1)*IF(I103=$FF$14,1+$FE$14,1)*(1+$FE$15)</f>
        <v>18100.887149279999</v>
      </c>
      <c r="AT103" s="1093">
        <f>IF(AND(INDEX('卡片raw data'!AK:AK,MATCH($D103,'卡片raw data'!$F:$F,))&lt;INDEX('卡片raw data'!AM:AM,MATCH($D103,'卡片raw data'!$F:$F,)),INDEX('卡片raw data'!AL:AL,MATCH($D103,'卡片raw data'!$F:$F,))&lt;INDEX('卡片raw data'!AM:AM,MATCH($D103,'卡片raw data'!$F:$F,))),1,0)</f>
        <v>0</v>
      </c>
      <c r="AU103" s="1098">
        <f>MIN(AT103*0.15+AS103*0.00003+INDEX(绊状态确认!M:M,MATCH($G103,绊状态确认!$B:$B,)),1)</f>
        <v>0.57302661447839998</v>
      </c>
      <c r="AV103" s="1109">
        <f>(INDEX(绊状态确认!$N:$N,MATCH($G103,绊状态确认!$B:$B,))+1.5)*$EW$21</f>
        <v>2.6599999999999997</v>
      </c>
      <c r="AW103" s="1101">
        <f t="shared" si="111"/>
        <v>38279.243943460402</v>
      </c>
      <c r="AX103" s="1097">
        <f t="shared" si="112"/>
        <v>1263.8438758354209</v>
      </c>
      <c r="AY103" s="1110">
        <f t="shared" si="113"/>
        <v>39543.087819295826</v>
      </c>
      <c r="AZ103" s="429">
        <f t="shared" si="114"/>
        <v>28246.777488799995</v>
      </c>
      <c r="BA103" s="431">
        <f t="shared" si="115"/>
        <v>33896.132986559991</v>
      </c>
      <c r="BB103" s="1097">
        <f>(AM103*(1+$FB$9)+$FB$35)*(1+(INDEX(绊状态确认!$T:$T,MATCH($G103,绊状态确认!$B:$B,))+0.2)*AO103)*IF(J103=$FF$17,1+$FE$17,1)*IF(I103=$FF$14,1+$FE$14,1)*(1+$FE$15)</f>
        <v>14673.571650400001</v>
      </c>
      <c r="BC103" s="1097">
        <f>(AN103*(1+$FB$10)+$FB$36)*(1+(INDEX(绊状态确认!$T:$T,MATCH($G103,绊状态确认!$B:$B,))+0.2)*AO103)*IF(J103=$FF$17,1+$FE$17,1)*IF(I103=$FF$14,1+$FE$14,1)*(1+$FE$15)</f>
        <v>18100.887149279999</v>
      </c>
      <c r="BD103" s="1104">
        <f>MIN(AT103*0.15+BC103*0.00003+INDEX(绊状态确认!M:M,MATCH($G103,绊状态确认!$B:$B,)),1)</f>
        <v>0.57302661447839998</v>
      </c>
      <c r="BE103" s="432">
        <f>(INDEX(绊状态确认!$N:$N,MATCH($G103,绊状态确认!$B:$B,))+1.5)</f>
        <v>1.9</v>
      </c>
      <c r="BF103" s="1139">
        <f t="array" ref="BF103">SUMPRODUCT(IF(AZ103*AP103*$FI$16:$FI$23*$FA$22&gt;=$FI$24,$FI$24,AZ103*AP103*$FI$16:$FI$23*$FA$22),$FJ$16:$FJ$23)</f>
        <v>54353.602628085602</v>
      </c>
      <c r="BG103" s="1125">
        <f t="array" ref="BG103">SUMPRODUCT(IF(BE103*AZ103*AP103*$FI$16:$FI$23*$FA$22&gt;=$FI$24,$FI$24,BE103*AZ103*AP103*$FI$16:$FI$23*$FA$22),$FJ$16:$FJ$23)</f>
        <v>60000</v>
      </c>
      <c r="BH103" s="1110">
        <f t="shared" si="116"/>
        <v>19196.379532704483</v>
      </c>
      <c r="BI103" s="1111">
        <f>IF(O103="vo",$EW$26/$EW$24*0.05,0)+IF(O103="sk",-$EW$26/$EW$24*(0.05-INDEX(绊状态确认!W:W,MATCH($G103,绊状态确认!$B:$B,)))+0.05*$EW$28,0)+IF(O103="sp",0.05*$EW$32*$EW$30*(1-$EW$33)-(0.05-INDEX(绊状态确认!V:V,MATCH($G103,绊状态确认!$B:$B,)))*$EW$28,0)+IF(O103="gd",-(0.05-INDEX(绊状态确认!X:X,MATCH($G103,绊状态确认!$B:$B,)))*$EW$32*$EW$30*(1-$EW$33),0)</f>
        <v>-6253.6726349699375</v>
      </c>
      <c r="BJ103" s="1097">
        <f>IF(O103="vo",0.05*(1-$FI$26)*$FA$24,0)+IF(O103="sk",-(0.05-INDEX(绊状态确认!W:W,MATCH($G103,绊状态确认!$B:$B,)))*(1-$FI$26)*$FA$24+0.05*$FA$26,0)+IF(O103="sp",0.05*$FA$32*$FA$27*(1-$FA$33)/$FA$30+0.05*$FA$29/$FA$69*$FA$27*(1-$FA$33)-(0.05-INDEX(绊状态确认!V:V,MATCH($G103,绊状态确认!$B:$B,)))*$FA$26,0)+IF(O103="gd",-(0.05-INDEX(绊状态确认!X:X,MATCH($G103,绊状态确认!$B:$B,)))*$FA$32*$FA$27*(1-$FA$33)/$FA$30-(0.05-INDEX(绊状态确认!X:X,MATCH($G103,绊状态确认!$B:$B,)))*$FA$29/$FA$69*$FA$27*(1-$FA$33),0)</f>
        <v>20.459096812499922</v>
      </c>
      <c r="BK103" s="1110">
        <f>IF(O103="vo",$EW$26/$EW$24*0.05+$EW$26*(-HP($EW$62,$EW$65,$EW$64)+HP($EW$62,$EW$65,(1.05-INDEX(绊状态确认!U:U,MATCH($G103,绊状态确认!$B:$B,)))*$EW$64)),0)+IF(O103="sk",-$EW$26/$EW$24*(0.05-INDEX(绊状态确认!W:W,MATCH($G103,绊状态确认!$B:$B,)))+0.05*$EW$29,0)+IF(O103="sp",0.05*$EW$32*$EW$30*(1-$EW$33)-(0.05-INDEX(绊状态确认!V:V,MATCH($G103,绊状态确认!$B:$B,)))*$EW$29,0)+IF(O103="gd",-(0.05-INDEX(绊状态确认!X:X,MATCH($G103,绊状态确认!$B:$B,)))*$EW$32*$EW$30*(1-$EW$33)+$EW$26*(-HP($EW$62,$EW$65,$EW$64)+HP($EW$62,$EW$65,0.95*$EW$64)),0)</f>
        <v>-4253.6726349699375</v>
      </c>
      <c r="BL103" s="1111">
        <f t="shared" si="117"/>
        <v>0</v>
      </c>
      <c r="BM103" s="1110">
        <f t="shared" si="118"/>
        <v>0</v>
      </c>
      <c r="BN103" s="1113">
        <f t="shared" si="119"/>
        <v>3</v>
      </c>
      <c r="BO103" s="1097">
        <f t="shared" si="120"/>
        <v>4507.7214871259994</v>
      </c>
      <c r="BP103" s="1100">
        <f t="shared" si="121"/>
        <v>221.34103209030098</v>
      </c>
      <c r="BQ103" s="1113" t="s">
        <v>143</v>
      </c>
      <c r="BR103" s="1124" t="s">
        <v>148</v>
      </c>
      <c r="BS103" s="1098">
        <f>IF($P103="","N/A",IF($P103=-1,INDEX('卡片raw data'!AX:AX,MATCH($D103,'卡片raw data'!$F:$F,)),0)+IF($L103="party卡",IF($P103=5,INDEX('卡片raw data'!BD:BD,MATCH($D103,'卡片raw data'!$F:$F,)),IF($P103&gt;=3,INDEX('卡片raw data'!BC:BC,MATCH($D103,'卡片raw data'!$F:$F,)),INDEX('卡片raw data'!BB:BB,MATCH($D103,'卡片raw data'!$F:$F,)))),IF(OR(AND($F103="UR",$P103=0),AND($F103="SR",$P103&gt;=0,$P103&lt;=2),AND($F103="R",$P103&gt;=0,$P103&lt;4)),INDEX('卡片raw data'!AZ:AZ,MATCH($D103,'卡片raw data'!$F:$F,)),0)+IF(OR(AND($F103="UR",$P103&gt;=1,$P103&lt;=4),AND($F103="SR",$P103&lt;=4,$P103&gt;=3),AND($F103="R",$P103=4)),INDEX('卡片raw data'!BA:BA,MATCH($D103,'卡片raw data'!$F:$F,)),0)+IF($P103=5,INDEX('卡片raw data'!BB:BB,MATCH($D103,'卡片raw data'!$F:$F,)),0)))</f>
        <v>5.1999999999999998E-2</v>
      </c>
      <c r="BT103" s="1101">
        <f t="shared" si="122"/>
        <v>2604.4613036728001</v>
      </c>
      <c r="BU103" s="1097">
        <f t="shared" si="123"/>
        <v>111.90018844565216</v>
      </c>
      <c r="BV103" s="1097">
        <f t="shared" si="124"/>
        <v>1302.2306518363998</v>
      </c>
      <c r="BW103" s="1112">
        <f t="shared" si="125"/>
        <v>0</v>
      </c>
      <c r="BX103" s="1100">
        <f t="shared" si="126"/>
        <v>2604.4613036728001</v>
      </c>
      <c r="BY103" s="1110">
        <f t="shared" si="127"/>
        <v>1302.2306518363998</v>
      </c>
      <c r="BZ103" s="1107" t="s">
        <v>569</v>
      </c>
      <c r="CA103" s="1124"/>
      <c r="CB103" s="1098">
        <f>IF($P103="","N/A",IF($P103=-1,INDEX('卡片raw data'!BE:BE,MATCH($D103,'卡片raw data'!$F:$F,)),0)+IF($L103="party卡",IF($P103=5,INDEX('卡片raw data'!BK:BK,MATCH($D103,'卡片raw data'!$F:$F,)),IF($P103&gt;=3,INDEX('卡片raw data'!BJ:BJ,MATCH($D103,'卡片raw data'!$F:$F,)),INDEX('卡片raw data'!BI:BI,MATCH($D103,'卡片raw data'!$F:$F,)))),IF(OR(AND($F103="UR",$P103=0),AND($F103="SR",$P103&gt;=0,$P103&lt;=2),AND($F103="R",$P103&gt;=0,$P103&lt;4)),INDEX('卡片raw data'!BG:BG,MATCH($D103,'卡片raw data'!$F:$F,)),0)+IF(OR(AND($F103="UR",$P103&gt;=1,$P103&lt;=4),AND($F103="SR",$P103&lt;=4,$P103&gt;=3),AND($F103="R",$P103=4)),INDEX('卡片raw data'!BH:BH,MATCH($D103,'卡片raw data'!$F:$F,)),0)+IF($P103=5,INDEX('卡片raw data'!BI:BI,MATCH($D103,'卡片raw data'!$F:$F,)),0)))</f>
        <v>0</v>
      </c>
      <c r="CC103" s="1101">
        <f t="shared" si="128"/>
        <v>0</v>
      </c>
      <c r="CD103" s="1097">
        <f>IF(BZ103="ap",CB103*(1-$FI$26)*$FB$5/$FB$11*(+IF(CA103="全员",$FA$24,0)+IF(CA103="同作战",$FA$24,0)+IF(CA103="仲间",$FA$24*2/3,0)+IF(CA103="同属性",$FA$24*$FA$37/3,0)+IF(CA103="同年级",$FA$24*$FA$40/3,0)+IF(CA103="同学校",$FA$24*$FA$43/3,0)+IF(CA103="同小队",$FA$24*$FA$46/3,0)+IF(CA103="同type",$FA$24*INDEX($FB$49:$FB$52,MATCH(X103,$FA$49:$FA$52,))/3,0)+IF(CA103="自身",#REF!/3,0)),0)+IF(BZ103="te",CB103*(1-$FI$27)*($FA$20-1)*$FB$7/$FB$13*(+IF(CA103="全员",$FA$19*$FA$24/(1+($FA$20-1)*$FA$19),0)+IF(CA103="同作战",$FA$19*$FA$24/(1+($FA$20-1)*$FA$19),0)+IF(CA103="仲间",$FA$19*$FA$24*2/3/(1+($FA$20-1)*$FA$19),0)+IF(CA103="同属性",$FA$19*$FA$24*$FA$37/3/(1+($FA$20-1)*$FA$19),0)+IF(CA103="同年级",$FA$19*$FA$24*$FA$40/3/(1+($FA$20-1)*$FA$19),0)+IF(CA103="同学校",$FA$19*$FA$24*$FA$43/3/(1+($FA$20-1)*$FA$19),0)+IF(CA103="同小队",$FA$19*$FA$24*$FA$46/3/(1+($FA$20-1)*$FA$19),0)+IF(CA103="同type",$FA$19*$FA$24*INDEX($FB$49:$FB$52,MATCH(X103,$FA$49:$FA$52,))/3/(1+($FA$20-1)*$FA$19),0)+IF(CA103="自身",$FA$19*#REF!/3/(1+(BH103-1)*$BD103),0)),0)</f>
        <v>0</v>
      </c>
      <c r="CE103" s="1097">
        <f t="shared" si="129"/>
        <v>0</v>
      </c>
      <c r="CF103" s="1112">
        <f t="shared" si="130"/>
        <v>0</v>
      </c>
      <c r="CG103" s="1100">
        <f t="shared" si="131"/>
        <v>0</v>
      </c>
      <c r="CH103" s="1110">
        <f t="shared" si="132"/>
        <v>0</v>
      </c>
      <c r="CI103" s="1113" t="s">
        <v>162</v>
      </c>
      <c r="CJ103" s="1114">
        <v>0.3</v>
      </c>
      <c r="CK103" s="1115" t="s">
        <v>154</v>
      </c>
      <c r="CL103" s="1115" t="s">
        <v>161</v>
      </c>
      <c r="CM103" s="1119">
        <v>0.1</v>
      </c>
      <c r="CN103" s="1115">
        <v>10</v>
      </c>
      <c r="CO103" s="1092"/>
      <c r="CP103" s="1118">
        <f t="shared" si="133"/>
        <v>6.4285714285714276E-3</v>
      </c>
      <c r="CQ103" s="1118">
        <f t="shared" si="134"/>
        <v>9.9999999999999985E-3</v>
      </c>
      <c r="CR103" s="1118">
        <f t="shared" si="135"/>
        <v>6.4285714285714276E-3</v>
      </c>
      <c r="CS103" s="1118">
        <f t="shared" si="136"/>
        <v>8.5416666666666662E-3</v>
      </c>
      <c r="CT103" s="1109">
        <f t="shared" si="137"/>
        <v>0</v>
      </c>
      <c r="CU103" s="1101">
        <f t="shared" si="138"/>
        <v>272.72727272727269</v>
      </c>
      <c r="CV103" s="1108">
        <f t="shared" si="139"/>
        <v>227.27272727272722</v>
      </c>
      <c r="CW103" s="1097">
        <f t="shared" si="140"/>
        <v>272.72727272727269</v>
      </c>
      <c r="CX103" s="1097">
        <f t="shared" si="141"/>
        <v>272.72727272727269</v>
      </c>
      <c r="CY103" s="1110">
        <f t="shared" si="142"/>
        <v>272.72727272727269</v>
      </c>
      <c r="CZ103" s="437"/>
      <c r="DA103" s="438"/>
      <c r="DB103" s="439" t="s">
        <v>569</v>
      </c>
      <c r="DC103" s="439"/>
      <c r="DD103" s="443"/>
      <c r="DE103" s="411"/>
      <c r="DF103" s="411"/>
      <c r="DG103" s="1116">
        <f t="shared" si="143"/>
        <v>0</v>
      </c>
      <c r="DH103" s="1116">
        <f t="shared" si="144"/>
        <v>0</v>
      </c>
      <c r="DI103" s="1116">
        <f t="shared" si="145"/>
        <v>0</v>
      </c>
      <c r="DJ103" s="442">
        <f t="shared" si="146"/>
        <v>0</v>
      </c>
      <c r="DK103" s="1109">
        <f t="shared" si="147"/>
        <v>0</v>
      </c>
      <c r="DL103" s="1101">
        <f t="shared" si="148"/>
        <v>0</v>
      </c>
      <c r="DM103" s="1097">
        <f t="shared" si="149"/>
        <v>0</v>
      </c>
      <c r="DN103" s="1097">
        <f t="shared" si="150"/>
        <v>0</v>
      </c>
      <c r="DO103" s="1097">
        <f t="shared" si="151"/>
        <v>0</v>
      </c>
      <c r="DP103" s="1110">
        <f t="shared" si="152"/>
        <v>0</v>
      </c>
      <c r="DQ103" s="1113" t="s">
        <v>154</v>
      </c>
      <c r="DR103" s="1120">
        <f t="shared" si="153"/>
        <v>0.33</v>
      </c>
      <c r="DS103" s="1124">
        <v>5</v>
      </c>
      <c r="DT103" s="1093" t="s">
        <v>168</v>
      </c>
      <c r="DU103" s="1093" t="s">
        <v>544</v>
      </c>
      <c r="DV103" s="1098">
        <f>IF($P103="","N/A",IF(P103=-1,INDEX('卡片raw data'!AN:AN,MATCH(D103,'卡片raw data'!$F:$F,)),0)+IF(AND(L103&lt;&gt;"party卡",P103&lt;=2,P103&gt;=0),INDEX('卡片raw data'!AP:AP,MATCH(D103,'卡片raw data'!$F:$F,)),0)+IF(OR(AND(L103="party卡",P103&lt;=1),AND(P103&lt;=4,L103&lt;&gt;"party卡",P103&gt;=3)),INDEX('卡片raw data'!AQ:AQ,MATCH(D103,'卡片raw data'!$F:$F,)),0)+IF(OR(P103=5,AND(L103="party卡",P103&gt;=2)),INDEX('卡片raw data'!AR:AR,MATCH(D103,'卡片raw data'!$F:$F,)),0))</f>
        <v>0.05</v>
      </c>
      <c r="DW103" s="1098">
        <f t="shared" si="154"/>
        <v>0.33</v>
      </c>
      <c r="DX103" s="1098">
        <f t="shared" si="155"/>
        <v>0.33</v>
      </c>
      <c r="DY103" s="1098">
        <f t="shared" si="156"/>
        <v>2.7500000000000004E-2</v>
      </c>
      <c r="DZ103" s="1098">
        <f t="shared" si="157"/>
        <v>2.3787500000000003E-2</v>
      </c>
      <c r="EA103" s="1098">
        <f t="shared" si="158"/>
        <v>9.9029734375000004E-3</v>
      </c>
      <c r="EB103" s="1121">
        <f t="shared" si="159"/>
        <v>0</v>
      </c>
      <c r="EC103" s="1101">
        <f t="shared" si="160"/>
        <v>1166.6666666666667</v>
      </c>
      <c r="ED103" s="1097">
        <f t="shared" si="161"/>
        <v>540.62500000000011</v>
      </c>
      <c r="EE103" s="1110">
        <f t="shared" si="162"/>
        <v>1166.6666666666667</v>
      </c>
      <c r="EF103" s="1092" t="s">
        <v>711</v>
      </c>
      <c r="EG103" s="1120">
        <f t="shared" si="163"/>
        <v>0.33</v>
      </c>
      <c r="EH103" s="1124"/>
      <c r="EI103" s="1093"/>
      <c r="EJ103" s="1093"/>
      <c r="EK103" s="1097">
        <f>IF($P103="","N/A",IF(P103=-1,INDEX('卡片raw data'!AS:AS,MATCH(D103,'卡片raw data'!$F:$F,)),0)+IF(AND(L103&lt;&gt;"party卡",P103&lt;=2,P103&gt;=0),INDEX('卡片raw data'!AU:AU,MATCH(D103,'卡片raw data'!$F:$F,)),0)+IF(OR(AND(L103="party卡",P103&lt;=1),AND(P103&lt;=4,L103&lt;&gt;"party卡",P103&gt;=3)),INDEX('卡片raw data'!AV:AV,MATCH(D103,'卡片raw data'!$F:$F,)),0)+IF(OR(P103=5,AND(L103="party卡",P103&gt;=2)),INDEX('卡片raw data'!AW:AW,MATCH(D103,'卡片raw data'!$F:$F,)),0))</f>
        <v>0</v>
      </c>
      <c r="EL103" s="1098">
        <f t="shared" si="164"/>
        <v>0.33</v>
      </c>
      <c r="EM103" s="1098">
        <f t="shared" si="165"/>
        <v>0.33</v>
      </c>
      <c r="EN103" s="1125">
        <f t="shared" si="166"/>
        <v>0</v>
      </c>
      <c r="EO103" s="1125">
        <f t="shared" si="167"/>
        <v>0</v>
      </c>
      <c r="EP103" s="1098">
        <f t="shared" si="168"/>
        <v>0</v>
      </c>
      <c r="EQ103" s="1121">
        <f t="shared" si="169"/>
        <v>0</v>
      </c>
      <c r="ER103" s="1101">
        <f t="shared" si="170"/>
        <v>0</v>
      </c>
      <c r="ES103" s="1097">
        <f t="shared" si="171"/>
        <v>0</v>
      </c>
      <c r="ET103" s="1122">
        <f t="shared" si="172"/>
        <v>0</v>
      </c>
    </row>
    <row r="104" spans="2:150" ht="16.5" customHeight="1">
      <c r="B104" s="1123" t="str">
        <f>INDEX('卡片raw data'!B:B,MATCH($D104,'卡片raw data'!$F:$F,))</f>
        <v>一单曜</v>
      </c>
      <c r="C104" s="449" t="s">
        <v>69</v>
      </c>
      <c r="D104" s="408">
        <v>101</v>
      </c>
      <c r="E104" s="1090">
        <v>301052001</v>
      </c>
      <c r="F104" s="1090" t="str">
        <f>INDEX('卡片raw data'!C:C,MATCH($D104,'卡片raw data'!$F:$F,))</f>
        <v>SR</v>
      </c>
      <c r="G104" s="1094" t="s">
        <v>342</v>
      </c>
      <c r="H104" s="411">
        <f>IFERROR(INDEX(绊状态确认!C:C,MATCH($G104,绊状态确认!$B:$B,)),"")</f>
        <v>105</v>
      </c>
      <c r="I104" s="450" t="str">
        <f>IFERROR(INDEX(绊状态确认!D:D,MATCH($G104,绊状态确认!$B:$B,)),"")</f>
        <v>水</v>
      </c>
      <c r="J104" s="450" t="str">
        <f>IFERROR(INDEX(绊状态确认!E:E,MATCH($G104,绊状态确认!$B:$B,)),"")</f>
        <v>2年级</v>
      </c>
      <c r="K104" s="451" t="str">
        <f>IFERROR(INDEX(绊状态确认!F:F,MATCH($G104,绊状态确认!$B:$B,)),"")</f>
        <v>CYaRon!</v>
      </c>
      <c r="L104" s="1094" t="str">
        <f>INDEX('卡片raw data'!E:E,MATCH($D104,'卡片raw data'!$F:$F,))</f>
        <v>卡池卡</v>
      </c>
      <c r="M104" s="415">
        <v>43741</v>
      </c>
      <c r="N104" s="416">
        <v>1</v>
      </c>
      <c r="O104" s="1091" t="str">
        <f>INDEX('卡片raw data'!D:D,MATCH($D104,'卡片raw data'!$F:$F,))</f>
        <v>vo</v>
      </c>
      <c r="P104" s="417">
        <v>5</v>
      </c>
      <c r="Q104" s="1095">
        <f t="shared" si="88"/>
        <v>38287.127766385369</v>
      </c>
      <c r="R104" s="1096">
        <f t="shared" si="89"/>
        <v>0.44500000000000001</v>
      </c>
      <c r="S104" s="1097">
        <f t="shared" si="90"/>
        <v>15058.2473848154</v>
      </c>
      <c r="T104" s="1098">
        <f t="shared" si="91"/>
        <v>0.752</v>
      </c>
      <c r="U104" s="1099">
        <f t="shared" si="92"/>
        <v>-13.653621236187146</v>
      </c>
      <c r="V104" s="1100">
        <f t="shared" si="93"/>
        <v>37886.411684779472</v>
      </c>
      <c r="W104" s="1101">
        <f t="shared" si="94"/>
        <v>6037.5294668193856</v>
      </c>
      <c r="X104" s="1096">
        <f t="shared" si="95"/>
        <v>7.0000000000000007E-2</v>
      </c>
      <c r="Y104" s="1097">
        <f t="shared" si="96"/>
        <v>903.95236863579885</v>
      </c>
      <c r="Z104" s="1102">
        <f t="shared" si="97"/>
        <v>11.346378763812854</v>
      </c>
      <c r="AA104" s="1103">
        <f t="shared" si="98"/>
        <v>6941.4818354551844</v>
      </c>
      <c r="AB104" s="1101">
        <f t="shared" si="99"/>
        <v>6434.8521804215088</v>
      </c>
      <c r="AC104" s="1104">
        <f t="shared" si="100"/>
        <v>7.3999999999999996E-2</v>
      </c>
      <c r="AD104" s="1105">
        <f t="shared" si="101"/>
        <v>-3.8207812500000026E-3</v>
      </c>
      <c r="AE104" s="1128">
        <f t="shared" si="102"/>
        <v>-12.27536231884058</v>
      </c>
      <c r="AF104" s="1130">
        <f t="shared" si="103"/>
        <v>0</v>
      </c>
      <c r="AG104" s="420">
        <f t="shared" si="104"/>
        <v>0</v>
      </c>
      <c r="AH104" s="420">
        <f t="shared" si="105"/>
        <v>0</v>
      </c>
      <c r="AI104" s="1097">
        <f t="shared" si="106"/>
        <v>0</v>
      </c>
      <c r="AJ104" s="420">
        <f t="shared" si="107"/>
        <v>0</v>
      </c>
      <c r="AK104" s="518">
        <f t="shared" si="108"/>
        <v>0</v>
      </c>
      <c r="AL104" s="1106">
        <f>IF($P104="","N/A",(IF($P104=-1,INDEX('卡片raw data'!S:S,MATCH($D104,'卡片raw data'!$F:$F,)),0)+IF($P104=0,INDEX('卡片raw data'!V:V,MATCH($D104,'卡片raw data'!$F:$F,)),0)+IF($P104=1,INDEX('卡片raw data'!Y:Y,MATCH($D104,'卡片raw data'!$F:$F,)),0)+IF($P104=2,INDEX('卡片raw data'!AB:AB,MATCH($D104,'卡片raw data'!$F:$F,)),0)+IF($P104=3,INDEX('卡片raw data'!AE:AE,MATCH($D104,'卡片raw data'!$F:$F,)),0)+IF($P104=4,INDEX('卡片raw data'!AH:AH,MATCH($D104,'卡片raw data'!$F:$F,)),0)+IF($P104=5,INDEX('卡片raw data'!AK:AK,MATCH($D104,'卡片raw data'!$F:$F,)),0)+INDEX('卡片raw data'!S:S,MATCH($D104,'卡片raw data'!$F:$F,))*(IF($F104="UR",0.04,0.033))*(IF($F104="UR",INDEX(绊状态确认!$S:$S,MATCH($G104,绊状态确认!$B:$B,))/2-40)+IF($F104="SR",INDEX(绊状态确认!$R:$R,MATCH($G104,绊状态确认!$B:$B,))/4-15))+IF($F104="R",INDEX(绊状态确认!$Q:$Q,MATCH($G104,绊状态确认!$B:$B,))/6-40/6)))*(INDEX(绊状态确认!$H:$H,MATCH($G104,绊状态确认!$B:$B,))+INDEX(绊状态确认!J:J,MATCH($G104,绊状态确认!$B:$B,)))</f>
        <v>8086.0519271999983</v>
      </c>
      <c r="AM104" s="1106">
        <f>IF($P104="","N/A",(IF($P104=-1,INDEX('卡片raw data'!T:T,MATCH($D104,'卡片raw data'!$F:$F,)),0)+IF($P104=0,INDEX('卡片raw data'!W:W,MATCH($D104,'卡片raw data'!$F:$F,)),0)+IF($P104=1,INDEX('卡片raw data'!Z:Z,MATCH($D104,'卡片raw data'!$F:$F,)),0)+IF($P104=2,INDEX('卡片raw data'!AC:AC,MATCH($D104,'卡片raw data'!$F:$F,)),0)+IF($P104=3,INDEX('卡片raw data'!AF:AF,MATCH($D104,'卡片raw data'!$F:$F,)),0)+IF($P104=4,INDEX('卡片raw data'!AI:AI,MATCH($D104,'卡片raw data'!$F:$F,)),0)+IF($P104=5,INDEX('卡片raw data'!AL:AL,MATCH($D104,'卡片raw data'!$F:$F,)),0)+INDEX('卡片raw data'!T:T,MATCH($D104,'卡片raw data'!$F:$F,))*(IF($F104="UR",0.04,0.033))*(IF($F104="UR",INDEX(绊状态确认!$S:$S,MATCH($G104,绊状态确认!$B:$B,))/2-40)+IF($F104="SR",INDEX(绊状态确认!$R:$R,MATCH($G104,绊状态确认!$B:$B,))/4-15))+IF($F104="R",INDEX(绊状态确认!$Q:$Q,MATCH($G104,绊状态确认!$B:$B,))/6-40/6)))*(INDEX(绊状态确认!$H:$H,MATCH($G104,绊状态确认!$B:$B,))+INDEX(绊状态确认!K:K,MATCH($G104,绊状态确认!$B:$B,)))</f>
        <v>5777.255320799999</v>
      </c>
      <c r="AN104" s="1106">
        <f>IF($P104="","N/A",(IF($P104=-1,INDEX('卡片raw data'!U:U,MATCH($D104,'卡片raw data'!$F:$F,)),0)+IF($P104=0,INDEX('卡片raw data'!X:X,MATCH($D104,'卡片raw data'!$F:$F,)),0)+IF($P104=1,INDEX('卡片raw data'!AA:AA,MATCH($D104,'卡片raw data'!$F:$F,)),0)+IF($P104=2,INDEX('卡片raw data'!AD:AD,MATCH($D104,'卡片raw data'!$F:$F,)),0)+IF($P104=3,INDEX('卡片raw data'!AG:AG,MATCH($D104,'卡片raw data'!$F:$F,)),0)+IF($P104=4,INDEX('卡片raw data'!AJ:AJ,MATCH($D104,'卡片raw data'!$F:$F,)),0)+IF($P104=5,INDEX('卡片raw data'!AM:AM,MATCH($D104,'卡片raw data'!$F:$F,)),0)+INDEX('卡片raw data'!U:U,MATCH($D104,'卡片raw data'!$F:$F,))*(IF($F104="UR",0.04,0.033))*(IF($F104="UR",INDEX(绊状态确认!$S:$S,MATCH($G104,绊状态确认!$B:$B,))/2-40)+IF($F104="SR",INDEX(绊状态确认!$R:$R,MATCH($G104,绊状态确认!$B:$B,))/4-15))+IF($F104="R",INDEX(绊状态确认!$Q:$Q,MATCH($G104,绊状态确认!$B:$B,))/6-40/6)))*(INDEX(绊状态确认!$H:$H,MATCH($G104,绊状态确认!$B:$B,))+INDEX(绊状态确认!L:L,MATCH($G104,绊状态确认!$B:$B,)))</f>
        <v>5391.4838855999997</v>
      </c>
      <c r="AO104" s="1107">
        <f t="shared" si="109"/>
        <v>1</v>
      </c>
      <c r="AP104" s="1131">
        <f>1+(INDEX(绊状态确认!$T:$T,MATCH($G104,绊状态确认!$B:$B,))+0.2)*$AO104</f>
        <v>1.3</v>
      </c>
      <c r="AQ104" s="1108">
        <f t="shared" si="110"/>
        <v>24475.886308899993</v>
      </c>
      <c r="AR104" s="1097">
        <f>(AM104*(1+$EX$9)+$EX$35)*(1+(INDEX(绊状态确认!$T:$T,MATCH($G104,绊状态确认!$B:$B,))+0.2)*AO104)*IF(J104=$FF$17,1+$FE$17,1)*IF(I104=$FF$14,1+$FE$14,1)</f>
        <v>10589.953512891998</v>
      </c>
      <c r="AS104" s="1097">
        <f>(AN104*(1+$EX$10)+$EX$36)*(1+(INDEX(绊状态确认!$T:$T,MATCH($G104,绊状态确认!$B:$B,))+0.2)*AO104)*IF(J104=$FF$17,1+$FE$17,1)*IF(I104=$FF$14,1+$FE$14,1)</f>
        <v>12116.268408971999</v>
      </c>
      <c r="AT104" s="1093">
        <f>IF(AND(INDEX('卡片raw data'!AK:AK,MATCH($D104,'卡片raw data'!$F:$F,))&lt;INDEX('卡片raw data'!AM:AM,MATCH($D104,'卡片raw data'!$F:$F,)),INDEX('卡片raw data'!AL:AL,MATCH($D104,'卡片raw data'!$F:$F,))&lt;INDEX('卡片raw data'!AM:AM,MATCH($D104,'卡片raw data'!$F:$F,))),1,0)</f>
        <v>0</v>
      </c>
      <c r="AU104" s="1098">
        <f>MIN(AT104*0.15+AS104*0.00003+INDEX(绊状态确认!M:M,MATCH($G104,绊状态确认!$B:$B,)),1)</f>
        <v>0.39348805226916</v>
      </c>
      <c r="AV104" s="1109">
        <f>(INDEX(绊状态确认!$N:$N,MATCH($G104,绊状态确认!$B:$B,))+1.5)*$EW$21</f>
        <v>2.6599999999999997</v>
      </c>
      <c r="AW104" s="1101">
        <f t="shared" si="111"/>
        <v>21014.477898472192</v>
      </c>
      <c r="AX104" s="1097">
        <f t="shared" si="112"/>
        <v>903.95236863579885</v>
      </c>
      <c r="AY104" s="1110">
        <f t="shared" si="113"/>
        <v>21918.430267107993</v>
      </c>
      <c r="AZ104" s="429">
        <f t="shared" si="114"/>
        <v>18367.801258039995</v>
      </c>
      <c r="BA104" s="431">
        <f t="shared" si="115"/>
        <v>22041.361509647995</v>
      </c>
      <c r="BB104" s="1097">
        <f>(AM104*(1+$FB$9)+$FB$35)*(1+(INDEX(绊状态确认!$T:$T,MATCH($G104,绊状态确认!$B:$B,))+0.2)*AO104)*IF(J104=$FF$17,1+$FE$17,1)*IF(I104=$FF$14,1+$FE$14,1)*(1+$FE$15)</f>
        <v>10589.953512891998</v>
      </c>
      <c r="BC104" s="1097">
        <f>(AN104*(1+$FB$10)+$FB$36)*(1+(INDEX(绊状态确认!$T:$T,MATCH($G104,绊状态确认!$B:$B,))+0.2)*AO104)*IF(J104=$FF$17,1+$FE$17,1)*IF(I104=$FF$14,1+$FE$14,1)*(1+$FE$15)</f>
        <v>12116.268408971999</v>
      </c>
      <c r="BD104" s="1104">
        <f>MIN(AT104*0.15+BC104*0.00003+INDEX(绊状态确认!M:M,MATCH($G104,绊状态确认!$B:$B,)),1)</f>
        <v>0.39348805226916</v>
      </c>
      <c r="BE104" s="432">
        <f>(INDEX(绊状态确认!$N:$N,MATCH($G104,绊状态确认!$B:$B,))+1.5)</f>
        <v>1.9</v>
      </c>
      <c r="BF104" s="1139">
        <f t="array" ref="BF104">SUMPRODUCT(IF(AZ104*AP104*$FI$16:$FI$23*$FA$22&gt;=$FI$24,$FI$24,AZ104*AP104*$FI$16:$FI$23*$FA$22),$FJ$16:$FJ$23)</f>
        <v>36533.556702241549</v>
      </c>
      <c r="BG104" s="1125">
        <f t="array" ref="BG104">SUMPRODUCT(IF(BE104*AZ104*AP104*$FI$16:$FI$23*$FA$22&gt;=$FI$24,$FI$24,BE104*AZ104*AP104*$FI$16:$FI$23*$FA$22),$FJ$16:$FJ$23)</f>
        <v>59342.117276839694</v>
      </c>
      <c r="BH104" s="1110">
        <f t="shared" si="116"/>
        <v>15169.484259267776</v>
      </c>
      <c r="BI104" s="1111">
        <f>IF(O104="vo",$EW$26/$EW$24*0.05,0)+IF(O104="sk",-$EW$26/$EW$24*(0.05-INDEX(绊状态确认!W:W,MATCH($G104,绊状态确认!$B:$B,)))+0.05*$EW$28,0)+IF(O104="sp",0.05*$EW$32*$EW$30*(1-$EW$33)-(0.05-INDEX(绊状态确认!V:V,MATCH($G104,绊状态确认!$B:$B,)))*$EW$28,0)+IF(O104="gd",-(0.05-INDEX(绊状态确认!X:X,MATCH($G104,绊状态确认!$B:$B,)))*$EW$32*$EW$30*(1-$EW$33),0)</f>
        <v>7726.3029277443748</v>
      </c>
      <c r="BJ104" s="1097">
        <f>IF(O104="vo",0.05*(1-$FI$26)*$FA$24,0)+IF(O104="sk",-(0.05-INDEX(绊状态确认!W:W,MATCH($G104,绊状态确认!$B:$B,)))*(1-$FI$26)*$FA$24+0.05*$FA$26,0)+IF(O104="sp",0.05*$FA$32*$FA$27*(1-$FA$33)/$FA$30+0.05*$FA$29/$FA$69*$FA$27*(1-$FA$33)-(0.05-INDEX(绊状态确认!V:V,MATCH($G104,绊状态确认!$B:$B,)))*$FA$26,0)+IF(O104="gd",-(0.05-INDEX(绊状态确认!X:X,MATCH($G104,绊状态确认!$B:$B,)))*$FA$32*$FA$27*(1-$FA$33)/$FA$30-(0.05-INDEX(绊状态确认!X:X,MATCH($G104,绊状态确认!$B:$B,)))*$FA$29/$FA$69*$FA$27*(1-$FA$33),0)</f>
        <v>393.93433687500004</v>
      </c>
      <c r="BK104" s="1110">
        <f>IF(O104="vo",$EW$26/$EW$24*0.05+$EW$26*(-HP($EW$62,$EW$65,$EW$64)+HP($EW$62,$EW$65,(1.05-INDEX(绊状态确认!U:U,MATCH($G104,绊状态确认!$B:$B,)))*$EW$64)),0)+IF(O104="sk",-$EW$26/$EW$24*(0.05-INDEX(绊状态确认!W:W,MATCH($G104,绊状态确认!$B:$B,)))+0.05*$EW$29,0)+IF(O104="sp",0.05*$EW$32*$EW$30*(1-$EW$33)-(0.05-INDEX(绊状态确认!V:V,MATCH($G104,绊状态确认!$B:$B,)))*$EW$29,0)+IF(O104="gd",-(0.05-INDEX(绊状态确认!X:X,MATCH($G104,绊状态确认!$B:$B,)))*$EW$32*$EW$30*(1-$EW$33)+$EW$26*(-HP($EW$62,$EW$65,$EW$64)+HP($EW$62,$EW$65,0.95*$EW$64)),0)</f>
        <v>6421.6344775026746</v>
      </c>
      <c r="BL104" s="1111">
        <f t="shared" si="117"/>
        <v>-1083.3333333333333</v>
      </c>
      <c r="BM104" s="1110">
        <f t="shared" si="118"/>
        <v>-830.55555555555543</v>
      </c>
      <c r="BN104" s="1113">
        <f t="shared" si="119"/>
        <v>3</v>
      </c>
      <c r="BO104" s="1097">
        <f t="shared" si="120"/>
        <v>4507.7214871259994</v>
      </c>
      <c r="BP104" s="1100">
        <f t="shared" si="121"/>
        <v>221.34103209030098</v>
      </c>
      <c r="BQ104" s="1113" t="s">
        <v>626</v>
      </c>
      <c r="BR104" s="1124" t="s">
        <v>625</v>
      </c>
      <c r="BS104" s="1098">
        <f>IF($P104="","N/A",IF($P104=-1,INDEX('卡片raw data'!AX:AX,MATCH($D104,'卡片raw data'!$F:$F,)),0)+IF($L104="party卡",IF($P104=5,INDEX('卡片raw data'!BD:BD,MATCH($D104,'卡片raw data'!$F:$F,)),IF($P104&gt;=3,INDEX('卡片raw data'!BC:BC,MATCH($D104,'卡片raw data'!$F:$F,)),INDEX('卡片raw data'!BB:BB,MATCH($D104,'卡片raw data'!$F:$F,)))),IF(OR(AND($F104="UR",$P104=0),AND($F104="SR",$P104&gt;=0,$P104&lt;=2),AND($F104="R",$P104&gt;=0,$P104&lt;4)),INDEX('卡片raw data'!AZ:AZ,MATCH($D104,'卡片raw data'!$F:$F,)),0)+IF(OR(AND($F104="UR",$P104&gt;=1,$P104&lt;=4),AND($F104="SR",$P104&lt;=4,$P104&gt;=3),AND($F104="R",$P104=4)),INDEX('卡片raw data'!BA:BA,MATCH($D104,'卡片raw data'!$F:$F,)),0)+IF($P104=5,INDEX('卡片raw data'!BB:BB,MATCH($D104,'卡片raw data'!$F:$F,)),0)))</f>
        <v>7.0000000000000007E-2</v>
      </c>
      <c r="BT104" s="1101">
        <f t="shared" si="122"/>
        <v>397.32271360212275</v>
      </c>
      <c r="BU104" s="1097">
        <f t="shared" si="123"/>
        <v>33.135131500379693</v>
      </c>
      <c r="BV104" s="1097">
        <f t="shared" si="124"/>
        <v>0</v>
      </c>
      <c r="BW104" s="1112">
        <f t="shared" si="125"/>
        <v>0</v>
      </c>
      <c r="BX104" s="1100">
        <f t="shared" si="126"/>
        <v>397.32271360212275</v>
      </c>
      <c r="BY104" s="1110">
        <f t="shared" si="127"/>
        <v>0</v>
      </c>
      <c r="BZ104" s="1107" t="s">
        <v>569</v>
      </c>
      <c r="CA104" s="1124"/>
      <c r="CB104" s="1098">
        <f>IF($P104="","N/A",IF($P104=-1,INDEX('卡片raw data'!BE:BE,MATCH($D104,'卡片raw data'!$F:$F,)),0)+IF($L104="party卡",IF($P104=5,INDEX('卡片raw data'!BK:BK,MATCH($D104,'卡片raw data'!$F:$F,)),IF($P104&gt;=3,INDEX('卡片raw data'!BJ:BJ,MATCH($D104,'卡片raw data'!$F:$F,)),INDEX('卡片raw data'!BI:BI,MATCH($D104,'卡片raw data'!$F:$F,)))),IF(OR(AND($F104="UR",$P104=0),AND($F104="SR",$P104&gt;=0,$P104&lt;=2),AND($F104="R",$P104&gt;=0,$P104&lt;4)),INDEX('卡片raw data'!BG:BG,MATCH($D104,'卡片raw data'!$F:$F,)),0)+IF(OR(AND($F104="UR",$P104&gt;=1,$P104&lt;=4),AND($F104="SR",$P104&lt;=4,$P104&gt;=3),AND($F104="R",$P104=4)),INDEX('卡片raw data'!BH:BH,MATCH($D104,'卡片raw data'!$F:$F,)),0)+IF($P104=5,INDEX('卡片raw data'!BI:BI,MATCH($D104,'卡片raw data'!$F:$F,)),0)))</f>
        <v>0</v>
      </c>
      <c r="CC104" s="1101">
        <f t="shared" si="128"/>
        <v>0</v>
      </c>
      <c r="CD104" s="1097">
        <f>IF(BZ104="ap",CB104*(1-$FI$26)*$FB$5/$FB$11*(+IF(CA104="全员",$FA$24,0)+IF(CA104="同作战",$FA$24,0)+IF(CA104="仲间",$FA$24*2/3,0)+IF(CA104="同属性",$FA$24*$FA$37/3,0)+IF(CA104="同年级",$FA$24*$FA$40/3,0)+IF(CA104="同学校",$FA$24*$FA$43/3,0)+IF(CA104="同小队",$FA$24*$FA$46/3,0)+IF(CA104="同type",$FA$24*INDEX($FB$49:$FB$52,MATCH(X104,$FA$49:$FA$52,))/3,0)+IF(CA104="自身",#REF!/3,0)),0)+IF(BZ104="te",CB104*(1-$FI$27)*($FA$20-1)*$FB$7/$FB$13*(+IF(CA104="全员",$FA$19*$FA$24/(1+($FA$20-1)*$FA$19),0)+IF(CA104="同作战",$FA$19*$FA$24/(1+($FA$20-1)*$FA$19),0)+IF(CA104="仲间",$FA$19*$FA$24*2/3/(1+($FA$20-1)*$FA$19),0)+IF(CA104="同属性",$FA$19*$FA$24*$FA$37/3/(1+($FA$20-1)*$FA$19),0)+IF(CA104="同年级",$FA$19*$FA$24*$FA$40/3/(1+($FA$20-1)*$FA$19),0)+IF(CA104="同学校",$FA$19*$FA$24*$FA$43/3/(1+($FA$20-1)*$FA$19),0)+IF(CA104="同小队",$FA$19*$FA$24*$FA$46/3/(1+($FA$20-1)*$FA$19),0)+IF(CA104="同type",$FA$19*$FA$24*INDEX($FB$49:$FB$52,MATCH(X104,$FA$49:$FA$52,))/3/(1+($FA$20-1)*$FA$19),0)+IF(CA104="自身",$FA$19*#REF!/3/(1+(BH104-1)*$BD104),0)),0)</f>
        <v>0</v>
      </c>
      <c r="CE104" s="1097">
        <f t="shared" si="129"/>
        <v>0</v>
      </c>
      <c r="CF104" s="1112">
        <f t="shared" si="130"/>
        <v>0</v>
      </c>
      <c r="CG104" s="1100">
        <f t="shared" si="131"/>
        <v>0</v>
      </c>
      <c r="CH104" s="1110">
        <f t="shared" si="132"/>
        <v>0</v>
      </c>
      <c r="CI104" s="1113" t="s">
        <v>165</v>
      </c>
      <c r="CJ104" s="1114">
        <v>0.3</v>
      </c>
      <c r="CK104" s="1115" t="s">
        <v>562</v>
      </c>
      <c r="CL104" s="1115" t="s">
        <v>161</v>
      </c>
      <c r="CM104" s="1119">
        <v>0.03</v>
      </c>
      <c r="CN104" s="1115" t="s">
        <v>572</v>
      </c>
      <c r="CO104" s="1092"/>
      <c r="CP104" s="1118">
        <f t="shared" si="133"/>
        <v>8.9999999999999993E-3</v>
      </c>
      <c r="CQ104" s="1118">
        <f t="shared" si="134"/>
        <v>8.9999999999999993E-3</v>
      </c>
      <c r="CR104" s="1118">
        <f t="shared" si="135"/>
        <v>8.9999999999999993E-3</v>
      </c>
      <c r="CS104" s="1118">
        <f t="shared" si="136"/>
        <v>0</v>
      </c>
      <c r="CT104" s="1109">
        <f t="shared" si="137"/>
        <v>0</v>
      </c>
      <c r="CU104" s="1101">
        <f t="shared" si="138"/>
        <v>1529.8079796933862</v>
      </c>
      <c r="CV104" s="1108">
        <f t="shared" si="139"/>
        <v>70.90818063750001</v>
      </c>
      <c r="CW104" s="1097">
        <f t="shared" si="140"/>
        <v>1529.8079796933862</v>
      </c>
      <c r="CX104" s="1097">
        <f t="shared" si="141"/>
        <v>1529.8079796933862</v>
      </c>
      <c r="CY104" s="1110">
        <f t="shared" si="142"/>
        <v>1529.8079796933862</v>
      </c>
      <c r="CZ104" s="437"/>
      <c r="DA104" s="438"/>
      <c r="DB104" s="439" t="s">
        <v>569</v>
      </c>
      <c r="DC104" s="439"/>
      <c r="DD104" s="443"/>
      <c r="DE104" s="411"/>
      <c r="DF104" s="411"/>
      <c r="DG104" s="1116">
        <f t="shared" si="143"/>
        <v>0</v>
      </c>
      <c r="DH104" s="1116">
        <f t="shared" si="144"/>
        <v>0</v>
      </c>
      <c r="DI104" s="1116">
        <f t="shared" si="145"/>
        <v>0</v>
      </c>
      <c r="DJ104" s="442">
        <f t="shared" si="146"/>
        <v>0</v>
      </c>
      <c r="DK104" s="1109">
        <f t="shared" si="147"/>
        <v>0</v>
      </c>
      <c r="DL104" s="1101">
        <f t="shared" si="148"/>
        <v>0</v>
      </c>
      <c r="DM104" s="1097">
        <f t="shared" si="149"/>
        <v>0</v>
      </c>
      <c r="DN104" s="1097">
        <f t="shared" si="150"/>
        <v>0</v>
      </c>
      <c r="DO104" s="1097">
        <f t="shared" si="151"/>
        <v>0</v>
      </c>
      <c r="DP104" s="1110">
        <f t="shared" si="152"/>
        <v>0</v>
      </c>
      <c r="DQ104" s="1113" t="s">
        <v>551</v>
      </c>
      <c r="DR104" s="1120">
        <f t="shared" si="153"/>
        <v>0.3</v>
      </c>
      <c r="DS104" s="1124">
        <v>10</v>
      </c>
      <c r="DT104" s="1093" t="s">
        <v>168</v>
      </c>
      <c r="DU104" s="1093" t="s">
        <v>544</v>
      </c>
      <c r="DV104" s="1098">
        <f>IF($P104="","N/A",IF(P104=-1,INDEX('卡片raw data'!AN:AN,MATCH(D104,'卡片raw data'!$F:$F,)),0)+IF(AND(L104&lt;&gt;"party卡",P104&lt;=2,P104&gt;=0),INDEX('卡片raw data'!AP:AP,MATCH(D104,'卡片raw data'!$F:$F,)),0)+IF(OR(AND(L104="party卡",P104&lt;=1),AND(P104&lt;=4,L104&lt;&gt;"party卡",P104&gt;=3)),INDEX('卡片raw data'!AQ:AQ,MATCH(D104,'卡片raw data'!$F:$F,)),0)+IF(OR(P104=5,AND(L104="party卡",P104&gt;=2)),INDEX('卡片raw data'!AR:AR,MATCH(D104,'卡片raw data'!$F:$F,)),0))</f>
        <v>7.0000000000000007E-2</v>
      </c>
      <c r="DW104" s="1098">
        <f t="shared" si="154"/>
        <v>0.3</v>
      </c>
      <c r="DX104" s="1098">
        <f t="shared" si="155"/>
        <v>0.3</v>
      </c>
      <c r="DY104" s="1098">
        <f t="shared" si="156"/>
        <v>7.0000000000000007E-2</v>
      </c>
      <c r="DZ104" s="1098">
        <f t="shared" si="157"/>
        <v>6.0550000000000007E-2</v>
      </c>
      <c r="EA104" s="1098">
        <f t="shared" si="158"/>
        <v>0</v>
      </c>
      <c r="EB104" s="1121">
        <f t="shared" si="159"/>
        <v>0</v>
      </c>
      <c r="EC104" s="1101">
        <f t="shared" si="160"/>
        <v>4194.8280930806259</v>
      </c>
      <c r="ED104" s="1097">
        <f t="shared" si="161"/>
        <v>0</v>
      </c>
      <c r="EE104" s="1110">
        <f t="shared" si="162"/>
        <v>4194.8280930806259</v>
      </c>
      <c r="EF104" s="1092" t="s">
        <v>711</v>
      </c>
      <c r="EG104" s="1120">
        <f t="shared" si="163"/>
        <v>0.3</v>
      </c>
      <c r="EH104" s="1124"/>
      <c r="EI104" s="1093"/>
      <c r="EJ104" s="1093"/>
      <c r="EK104" s="1097">
        <f>IF($P104="","N/A",IF(P104=-1,INDEX('卡片raw data'!AS:AS,MATCH(D104,'卡片raw data'!$F:$F,)),0)+IF(AND(L104&lt;&gt;"party卡",P104&lt;=2,P104&gt;=0),INDEX('卡片raw data'!AU:AU,MATCH(D104,'卡片raw data'!$F:$F,)),0)+IF(OR(AND(L104="party卡",P104&lt;=1),AND(P104&lt;=4,L104&lt;&gt;"party卡",P104&gt;=3)),INDEX('卡片raw data'!AV:AV,MATCH(D104,'卡片raw data'!$F:$F,)),0)+IF(OR(P104=5,AND(L104="party卡",P104&gt;=2)),INDEX('卡片raw data'!AW:AW,MATCH(D104,'卡片raw data'!$F:$F,)),0))</f>
        <v>0</v>
      </c>
      <c r="EL104" s="1098">
        <f t="shared" si="164"/>
        <v>0.3</v>
      </c>
      <c r="EM104" s="1098">
        <f t="shared" si="165"/>
        <v>0.3</v>
      </c>
      <c r="EN104" s="1125">
        <f t="shared" si="166"/>
        <v>0</v>
      </c>
      <c r="EO104" s="1125">
        <f t="shared" si="167"/>
        <v>0</v>
      </c>
      <c r="EP104" s="1098">
        <f t="shared" si="168"/>
        <v>0</v>
      </c>
      <c r="EQ104" s="1121">
        <f t="shared" si="169"/>
        <v>0</v>
      </c>
      <c r="ER104" s="1101">
        <f t="shared" si="170"/>
        <v>0</v>
      </c>
      <c r="ES104" s="1097">
        <f t="shared" si="171"/>
        <v>0</v>
      </c>
      <c r="ET104" s="1122">
        <f t="shared" si="172"/>
        <v>0</v>
      </c>
    </row>
    <row r="105" spans="2:150" ht="16.5" customHeight="1">
      <c r="B105" s="1123" t="str">
        <f>INDEX('卡片raw data'!B:B,MATCH($D105,'卡片raw data'!$F:$F,))</f>
        <v>聚会果</v>
      </c>
      <c r="C105" s="449" t="s">
        <v>124</v>
      </c>
      <c r="D105" s="408">
        <v>102</v>
      </c>
      <c r="E105" s="1090">
        <v>400013001</v>
      </c>
      <c r="F105" s="1090" t="str">
        <f>INDEX('卡片raw data'!C:C,MATCH($D105,'卡片raw data'!$F:$F,))</f>
        <v>UR</v>
      </c>
      <c r="G105" s="1094" t="s">
        <v>24</v>
      </c>
      <c r="H105" s="411">
        <f>IFERROR(INDEX(绊状态确认!C:C,MATCH($G105,绊状态确认!$B:$B,)),"")</f>
        <v>1</v>
      </c>
      <c r="I105" s="450" t="str">
        <f>IFERROR(INDEX(绊状态确认!D:D,MATCH($G105,绊状态确认!$B:$B,)),"")</f>
        <v>缪</v>
      </c>
      <c r="J105" s="450" t="str">
        <f>IFERROR(INDEX(绊状态确认!E:E,MATCH($G105,绊状态确认!$B:$B,)),"")</f>
        <v>2年级</v>
      </c>
      <c r="K105" s="451" t="str">
        <f>IFERROR(INDEX(绊状态确认!F:F,MATCH($G105,绊状态确认!$B:$B,)),"")</f>
        <v>Printemps</v>
      </c>
      <c r="L105" s="1094" t="str">
        <f>INDEX('卡片raw data'!E:E,MATCH($D105,'卡片raw data'!$F:$F,))</f>
        <v>活动卡</v>
      </c>
      <c r="M105" s="415">
        <v>43741</v>
      </c>
      <c r="N105" s="416">
        <v>1</v>
      </c>
      <c r="O105" s="1091" t="str">
        <f>INDEX('卡片raw data'!D:D,MATCH($D105,'卡片raw data'!$F:$F,))</f>
        <v>sp</v>
      </c>
      <c r="P105" s="417">
        <v>5</v>
      </c>
      <c r="Q105" s="1095">
        <f t="shared" si="88"/>
        <v>38246.728223524136</v>
      </c>
      <c r="R105" s="1096">
        <f t="shared" si="89"/>
        <v>0.44400000000000001</v>
      </c>
      <c r="S105" s="1097">
        <f t="shared" si="90"/>
        <v>18646.32635336931</v>
      </c>
      <c r="T105" s="1098">
        <f t="shared" si="91"/>
        <v>0.93200000000000005</v>
      </c>
      <c r="U105" s="1099">
        <f t="shared" si="92"/>
        <v>15.155678299542855</v>
      </c>
      <c r="V105" s="1100">
        <f t="shared" si="93"/>
        <v>37663.649420812566</v>
      </c>
      <c r="W105" s="1101">
        <f t="shared" si="94"/>
        <v>7479.0514729356091</v>
      </c>
      <c r="X105" s="1096">
        <f t="shared" si="95"/>
        <v>8.5999999999999993E-2</v>
      </c>
      <c r="Y105" s="1097">
        <f t="shared" si="96"/>
        <v>1216.9211972884241</v>
      </c>
      <c r="Z105" s="1102">
        <f t="shared" si="97"/>
        <v>15.155678299542855</v>
      </c>
      <c r="AA105" s="1103">
        <f t="shared" si="98"/>
        <v>8695.9726702240332</v>
      </c>
      <c r="AB105" s="1101">
        <f t="shared" si="99"/>
        <v>8838.8807882186193</v>
      </c>
      <c r="AC105" s="1104">
        <f t="shared" si="100"/>
        <v>0.10199999999999999</v>
      </c>
      <c r="AD105" s="1105">
        <f t="shared" si="101"/>
        <v>-1.6087500000000001E-2</v>
      </c>
      <c r="AE105" s="1128">
        <f t="shared" si="102"/>
        <v>10.92391304347826</v>
      </c>
      <c r="AF105" s="1130">
        <f t="shared" si="103"/>
        <v>0</v>
      </c>
      <c r="AG105" s="420">
        <f t="shared" si="104"/>
        <v>0</v>
      </c>
      <c r="AH105" s="420">
        <f t="shared" si="105"/>
        <v>0</v>
      </c>
      <c r="AI105" s="1097">
        <f t="shared" si="106"/>
        <v>0</v>
      </c>
      <c r="AJ105" s="420">
        <f t="shared" si="107"/>
        <v>0</v>
      </c>
      <c r="AK105" s="518">
        <f t="shared" si="108"/>
        <v>0</v>
      </c>
      <c r="AL105" s="1106">
        <f>IF($P105="","N/A",(IF($P105=-1,INDEX('卡片raw data'!S:S,MATCH($D105,'卡片raw data'!$F:$F,)),0)+IF($P105=0,INDEX('卡片raw data'!V:V,MATCH($D105,'卡片raw data'!$F:$F,)),0)+IF($P105=1,INDEX('卡片raw data'!Y:Y,MATCH($D105,'卡片raw data'!$F:$F,)),0)+IF($P105=2,INDEX('卡片raw data'!AB:AB,MATCH($D105,'卡片raw data'!$F:$F,)),0)+IF($P105=3,INDEX('卡片raw data'!AE:AE,MATCH($D105,'卡片raw data'!$F:$F,)),0)+IF($P105=4,INDEX('卡片raw data'!AH:AH,MATCH($D105,'卡片raw data'!$F:$F,)),0)+IF($P105=5,INDEX('卡片raw data'!AK:AK,MATCH($D105,'卡片raw data'!$F:$F,)),0)+INDEX('卡片raw data'!S:S,MATCH($D105,'卡片raw data'!$F:$F,))*(IF($F105="UR",0.04,0.033))*(IF($F105="UR",INDEX(绊状态确认!$S:$S,MATCH($G105,绊状态确认!$B:$B,))/2-40)+IF($F105="SR",INDEX(绊状态确认!$R:$R,MATCH($G105,绊状态确认!$B:$B,))/4-15))+IF($F105="R",INDEX(绊状态确认!$Q:$Q,MATCH($G105,绊状态确认!$B:$B,))/6-40/6)))*(INDEX(绊状态确认!$H:$H,MATCH($G105,绊状态确认!$B:$B,))+INDEX(绊状态确认!J:J,MATCH($G105,绊状态确认!$B:$B,)))</f>
        <v>8381.904575999999</v>
      </c>
      <c r="AM105" s="1106">
        <f>IF($P105="","N/A",(IF($P105=-1,INDEX('卡片raw data'!T:T,MATCH($D105,'卡片raw data'!$F:$F,)),0)+IF($P105=0,INDEX('卡片raw data'!W:W,MATCH($D105,'卡片raw data'!$F:$F,)),0)+IF($P105=1,INDEX('卡片raw data'!Z:Z,MATCH($D105,'卡片raw data'!$F:$F,)),0)+IF($P105=2,INDEX('卡片raw data'!AC:AC,MATCH($D105,'卡片raw data'!$F:$F,)),0)+IF($P105=3,INDEX('卡片raw data'!AF:AF,MATCH($D105,'卡片raw data'!$F:$F,)),0)+IF($P105=4,INDEX('卡片raw data'!AI:AI,MATCH($D105,'卡片raw data'!$F:$F,)),0)+IF($P105=5,INDEX('卡片raw data'!AL:AL,MATCH($D105,'卡片raw data'!$F:$F,)),0)+INDEX('卡片raw data'!T:T,MATCH($D105,'卡片raw data'!$F:$F,))*(IF($F105="UR",0.04,0.033))*(IF($F105="UR",INDEX(绊状态确认!$S:$S,MATCH($G105,绊状态确认!$B:$B,))/2-40)+IF($F105="SR",INDEX(绊状态确认!$R:$R,MATCH($G105,绊状态确认!$B:$B,))/4-15))+IF($F105="R",INDEX(绊状态确认!$Q:$Q,MATCH($G105,绊状态确认!$B:$B,))/6-40/6)))*(INDEX(绊状态确认!$H:$H,MATCH($G105,绊状态确认!$B:$B,))+INDEX(绊状态确认!K:K,MATCH($G105,绊状态确认!$B:$B,)))</f>
        <v>8381.904575999999</v>
      </c>
      <c r="AN105" s="1106">
        <f>IF($P105="","N/A",(IF($P105=-1,INDEX('卡片raw data'!U:U,MATCH($D105,'卡片raw data'!$F:$F,)),0)+IF($P105=0,INDEX('卡片raw data'!X:X,MATCH($D105,'卡片raw data'!$F:$F,)),0)+IF($P105=1,INDEX('卡片raw data'!AA:AA,MATCH($D105,'卡片raw data'!$F:$F,)),0)+IF($P105=2,INDEX('卡片raw data'!AD:AD,MATCH($D105,'卡片raw data'!$F:$F,)),0)+IF($P105=3,INDEX('卡片raw data'!AG:AG,MATCH($D105,'卡片raw data'!$F:$F,)),0)+IF($P105=4,INDEX('卡片raw data'!AJ:AJ,MATCH($D105,'卡片raw data'!$F:$F,)),0)+IF($P105=5,INDEX('卡片raw data'!AM:AM,MATCH($D105,'卡片raw data'!$F:$F,)),0)+INDEX('卡片raw data'!U:U,MATCH($D105,'卡片raw data'!$F:$F,))*(IF($F105="UR",0.04,0.033))*(IF($F105="UR",INDEX(绊状态确认!$S:$S,MATCH($G105,绊状态确认!$B:$B,))/2-40)+IF($F105="SR",INDEX(绊状态确认!$R:$R,MATCH($G105,绊状态确认!$B:$B,))/4-15))+IF($F105="R",INDEX(绊状态确认!$Q:$Q,MATCH($G105,绊状态确认!$B:$B,))/6-40/6)))*(INDEX(绊状态确认!$H:$H,MATCH($G105,绊状态确认!$B:$B,))+INDEX(绊状态确认!L:L,MATCH($G105,绊状态确认!$B:$B,)))</f>
        <v>8637.9582239999982</v>
      </c>
      <c r="AO105" s="1107">
        <f t="shared" si="109"/>
        <v>1</v>
      </c>
      <c r="AP105" s="1131">
        <f>1+(INDEX(绊状态确认!$T:$T,MATCH($G105,绊状态确认!$B:$B,))+0.2)*$AO105</f>
        <v>1.3</v>
      </c>
      <c r="AQ105" s="1108">
        <f t="shared" si="110"/>
        <v>25252.499511999999</v>
      </c>
      <c r="AR105" s="1097">
        <f>(AM105*(1+$EX$9)+$EX$35)*(1+(INDEX(绊状态确认!$T:$T,MATCH($G105,绊状态确认!$B:$B,))+0.2)*AO105)*IF(J105=$FF$17,1+$FE$17,1)*IF(I105=$FF$14,1+$FE$14,1)*(1+$FE$15)</f>
        <v>14145.29974624</v>
      </c>
      <c r="AS105" s="1097">
        <f>(AN105*(1+$EX$10)+$EX$36)*(1+(INDEX(绊状态确认!$T:$T,MATCH($G105,绊状态确认!$B:$B,))+0.2)*AO105)*IF(J105=$FF$17,1+$FE$17,1)*IF(I105=$FF$14,1+$FE$14,1)*(1+$FE$15)</f>
        <v>16969.747544879996</v>
      </c>
      <c r="AT105" s="1093">
        <f>IF(AND(INDEX('卡片raw data'!AK:AK,MATCH($D105,'卡片raw data'!$F:$F,))&lt;INDEX('卡片raw data'!AM:AM,MATCH($D105,'卡片raw data'!$F:$F,)),INDEX('卡片raw data'!AL:AL,MATCH($D105,'卡片raw data'!$F:$F,))&lt;INDEX('卡片raw data'!AM:AM,MATCH($D105,'卡片raw data'!$F:$F,))),1,0)</f>
        <v>1</v>
      </c>
      <c r="AU105" s="1098">
        <f>MIN(AT105*0.15+AS105*0.00003+INDEX(绊状态确认!M:M,MATCH($G105,绊状态确认!$B:$B,)),1)</f>
        <v>0.68909242634639989</v>
      </c>
      <c r="AV105" s="1109">
        <f>(INDEX(绊状态确认!$N:$N,MATCH($G105,绊状态确认!$B:$B,))+1.5)*$EW$21</f>
        <v>2.6599999999999997</v>
      </c>
      <c r="AW105" s="1101">
        <f t="shared" si="111"/>
        <v>28116.737619869491</v>
      </c>
      <c r="AX105" s="1097">
        <f t="shared" si="112"/>
        <v>1216.9211972884245</v>
      </c>
      <c r="AY105" s="1110">
        <f t="shared" si="113"/>
        <v>29333.658817157917</v>
      </c>
      <c r="AZ105" s="429">
        <f t="shared" si="114"/>
        <v>18944.713923199997</v>
      </c>
      <c r="BA105" s="431">
        <f t="shared" si="115"/>
        <v>22733.656707839997</v>
      </c>
      <c r="BB105" s="1097">
        <f>(AM105*(1+$FB$9)+$FB$35)*(1+(INDEX(绊状态确认!$T:$T,MATCH($G105,绊状态确认!$B:$B,))+0.2)*AO105)*IF(J105=$FF$17,1+$FE$17,1)*IF(I105=$FF$14,1+$FE$14,1)*(1+$FE$15)</f>
        <v>14145.29974624</v>
      </c>
      <c r="BC105" s="1097">
        <f>(AN105*(1+$FB$10)+$FB$36)*(1+(INDEX(绊状态确认!$T:$T,MATCH($G105,绊状态确认!$B:$B,))+0.2)*AO105)*IF(J105=$FF$17,1+$FE$17,1)*IF(I105=$FF$14,1+$FE$14,1)*(1+$FE$15)</f>
        <v>16969.747544879996</v>
      </c>
      <c r="BD105" s="1104">
        <f>MIN(AT105*0.15+BC105*0.00003+INDEX(绊状态确认!M:M,MATCH($G105,绊状态确认!$B:$B,)),1)</f>
        <v>0.68909242634639989</v>
      </c>
      <c r="BE105" s="432">
        <f>(INDEX(绊状态确认!$N:$N,MATCH($G105,绊状态确认!$B:$B,))+1.5)</f>
        <v>1.9</v>
      </c>
      <c r="BF105" s="1139">
        <f t="array" ref="BF105">SUMPRODUCT(IF(AZ105*AP105*$FI$16:$FI$23*$FA$22&gt;=$FI$24,$FI$24,AZ105*AP105*$FI$16:$FI$23*$FA$22),$FJ$16:$FJ$23)</f>
        <v>37681.035993244797</v>
      </c>
      <c r="BG105" s="1125">
        <f t="array" ref="BG105">SUMPRODUCT(IF(BE105*AZ105*AP105*$FI$16:$FI$23*$FA$22&gt;=$FI$24,$FI$24,BE105*AZ105*AP105*$FI$16:$FI$23*$FA$22),$FJ$16:$FJ$23)</f>
        <v>59615.213206836481</v>
      </c>
      <c r="BH105" s="1110">
        <f t="shared" si="116"/>
        <v>17598.570463090204</v>
      </c>
      <c r="BI105" s="1111">
        <f>IF(O105="vo",$EW$26/$EW$24*0.05,0)+IF(O105="sk",-$EW$26/$EW$24*(0.05-INDEX(绊状态确认!W:W,MATCH($G105,绊状态确认!$B:$B,)))+0.05*$EW$28,0)+IF(O105="sp",0.05*$EW$32*$EW$30*(1-$EW$33)-(0.05-INDEX(绊状态确认!V:V,MATCH($G105,绊状态确认!$B:$B,)))*$EW$28,0)+IF(O105="gd",-(0.05-INDEX(绊状态确认!X:X,MATCH($G105,绊状态确认!$B:$B,)))*$EW$32*$EW$30*(1-$EW$33),0)</f>
        <v>19.999999999999886</v>
      </c>
      <c r="BJ105" s="1097">
        <f>IF(O105="vo",0.05*(1-$FI$26)*$FA$24,0)+IF(O105="sk",-(0.05-INDEX(绊状态确认!W:W,MATCH($G105,绊状态确认!$B:$B,)))*(1-$FI$26)*$FA$24+0.05*$FA$26,0)+IF(O105="sp",0.05*$FA$32*$FA$27*(1-$FA$33)/$FA$30+0.05*$FA$29/$FA$69*$FA$27*(1-$FA$33)-(0.05-INDEX(绊状态确认!V:V,MATCH($G105,绊状态确认!$B:$B,)))*$FA$26,0)+IF(O105="gd",-(0.05-INDEX(绊状态确认!X:X,MATCH($G105,绊状态确认!$B:$B,)))*$FA$32*$FA$27*(1-$FA$33)/$FA$30-(0.05-INDEX(绊状态确认!X:X,MATCH($G105,绊状态确认!$B:$B,)))*$FA$29/$FA$69*$FA$27*(1-$FA$33),0)</f>
        <v>545.83333333333326</v>
      </c>
      <c r="BK105" s="1110">
        <f>IF(O105="vo",$EW$26/$EW$24*0.05+$EW$26*(-HP($EW$62,$EW$65,$EW$64)+HP($EW$62,$EW$65,(1.05-INDEX(绊状态确认!U:U,MATCH($G105,绊状态确认!$B:$B,)))*$EW$64)),0)+IF(O105="sk",-$EW$26/$EW$24*(0.05-INDEX(绊状态确认!W:W,MATCH($G105,绊状态确认!$B:$B,)))+0.05*$EW$29,0)+IF(O105="sp",0.05*$EW$32*$EW$30*(1-$EW$33)-(0.05-INDEX(绊状态确认!V:V,MATCH($G105,绊状态确认!$B:$B,)))*$EW$29,0)+IF(O105="gd",-(0.05-INDEX(绊状态确认!X:X,MATCH($G105,绊状态确认!$B:$B,)))*$EW$32*$EW$30*(1-$EW$33)+$EW$26*(-HP($EW$62,$EW$65,$EW$64)+HP($EW$62,$EW$65,0.95*$EW$64)),0)</f>
        <v>-1780.0000000000005</v>
      </c>
      <c r="BL105" s="1111">
        <f t="shared" si="117"/>
        <v>0</v>
      </c>
      <c r="BM105" s="1110">
        <f t="shared" si="118"/>
        <v>0</v>
      </c>
      <c r="BN105" s="1113">
        <f t="shared" si="119"/>
        <v>3</v>
      </c>
      <c r="BO105" s="1097">
        <f t="shared" si="120"/>
        <v>4507.7214871259994</v>
      </c>
      <c r="BP105" s="1100">
        <f t="shared" si="121"/>
        <v>221.34103209030098</v>
      </c>
      <c r="BQ105" s="1113" t="s">
        <v>145</v>
      </c>
      <c r="BR105" s="1124" t="s">
        <v>147</v>
      </c>
      <c r="BS105" s="1098">
        <f>IF($P105="","N/A",IF($P105=-1,INDEX('卡片raw data'!AX:AX,MATCH($D105,'卡片raw data'!$F:$F,)),0)+IF($L105="party卡",IF($P105=5,INDEX('卡片raw data'!BD:BD,MATCH($D105,'卡片raw data'!$F:$F,)),IF($P105&gt;=3,INDEX('卡片raw data'!BC:BC,MATCH($D105,'卡片raw data'!$F:$F,)),INDEX('卡片raw data'!BB:BB,MATCH($D105,'卡片raw data'!$F:$F,)))),IF(OR(AND($F105="UR",$P105=0),AND($F105="SR",$P105&gt;=0,$P105&lt;=2),AND($F105="R",$P105&gt;=0,$P105&lt;4)),INDEX('卡片raw data'!AZ:AZ,MATCH($D105,'卡片raw data'!$F:$F,)),0)+IF(OR(AND($F105="UR",$P105&gt;=1,$P105&lt;=4),AND($F105="SR",$P105&lt;=4,$P105&gt;=3),AND($F105="R",$P105=4)),INDEX('卡片raw data'!BA:BA,MATCH($D105,'卡片raw data'!$F:$F,)),0)+IF($P105=5,INDEX('卡片raw data'!BB:BB,MATCH($D105,'卡片raw data'!$F:$F,)),0)))</f>
        <v>4.2000000000000003E-2</v>
      </c>
      <c r="BT105" s="1101">
        <f t="shared" si="122"/>
        <v>2971.3299858096102</v>
      </c>
      <c r="BU105" s="1097">
        <f t="shared" si="123"/>
        <v>214.92580204297263</v>
      </c>
      <c r="BV105" s="1097">
        <f t="shared" si="124"/>
        <v>2971.3299858096102</v>
      </c>
      <c r="BW105" s="1112">
        <f t="shared" si="125"/>
        <v>0</v>
      </c>
      <c r="BX105" s="1100">
        <f t="shared" si="126"/>
        <v>2971.3299858096102</v>
      </c>
      <c r="BY105" s="1110">
        <f t="shared" si="127"/>
        <v>2971.3299858096102</v>
      </c>
      <c r="BZ105" s="1107" t="s">
        <v>569</v>
      </c>
      <c r="CA105" s="1124"/>
      <c r="CB105" s="1098">
        <f>IF($P105="","N/A",IF($P105=-1,INDEX('卡片raw data'!BE:BE,MATCH($D105,'卡片raw data'!$F:$F,)),0)+IF($L105="party卡",IF($P105=5,INDEX('卡片raw data'!BK:BK,MATCH($D105,'卡片raw data'!$F:$F,)),IF($P105&gt;=3,INDEX('卡片raw data'!BJ:BJ,MATCH($D105,'卡片raw data'!$F:$F,)),INDEX('卡片raw data'!BI:BI,MATCH($D105,'卡片raw data'!$F:$F,)))),IF(OR(AND($F105="UR",$P105=0),AND($F105="SR",$P105&gt;=0,$P105&lt;=2),AND($F105="R",$P105&gt;=0,$P105&lt;4)),INDEX('卡片raw data'!BG:BG,MATCH($D105,'卡片raw data'!$F:$F,)),0)+IF(OR(AND($F105="UR",$P105&gt;=1,$P105&lt;=4),AND($F105="SR",$P105&lt;=4,$P105&gt;=3),AND($F105="R",$P105=4)),INDEX('卡片raw data'!BH:BH,MATCH($D105,'卡片raw data'!$F:$F,)),0)+IF($P105=5,INDEX('卡片raw data'!BI:BI,MATCH($D105,'卡片raw data'!$F:$F,)),0)))</f>
        <v>0</v>
      </c>
      <c r="CC105" s="1101">
        <f t="shared" si="128"/>
        <v>0</v>
      </c>
      <c r="CD105" s="1097">
        <f>IF(BZ105="ap",CB105*(1-$FI$26)*$FB$5/$FB$11*(+IF(CA105="全员",$FA$24,0)+IF(CA105="同作战",$FA$24,0)+IF(CA105="仲间",$FA$24*2/3,0)+IF(CA105="同属性",$FA$24*$FA$37/3,0)+IF(CA105="同年级",$FA$24*$FA$40/3,0)+IF(CA105="同学校",$FA$24*$FA$43/3,0)+IF(CA105="同小队",$FA$24*$FA$46/3,0)+IF(CA105="同type",$FA$24*INDEX($FB$49:$FB$52,MATCH(X105,$FA$49:$FA$52,))/3,0)+IF(CA105="自身",#REF!/3,0)),0)+IF(BZ105="te",CB105*(1-$FI$27)*($FA$20-1)*$FB$7/$FB$13*(+IF(CA105="全员",$FA$19*$FA$24/(1+($FA$20-1)*$FA$19),0)+IF(CA105="同作战",$FA$19*$FA$24/(1+($FA$20-1)*$FA$19),0)+IF(CA105="仲间",$FA$19*$FA$24*2/3/(1+($FA$20-1)*$FA$19),0)+IF(CA105="同属性",$FA$19*$FA$24*$FA$37/3/(1+($FA$20-1)*$FA$19),0)+IF(CA105="同年级",$FA$19*$FA$24*$FA$40/3/(1+($FA$20-1)*$FA$19),0)+IF(CA105="同学校",$FA$19*$FA$24*$FA$43/3/(1+($FA$20-1)*$FA$19),0)+IF(CA105="同小队",$FA$19*$FA$24*$FA$46/3/(1+($FA$20-1)*$FA$19),0)+IF(CA105="同type",$FA$19*$FA$24*INDEX($FB$49:$FB$52,MATCH(X105,$FA$49:$FA$52,))/3/(1+($FA$20-1)*$FA$19),0)+IF(CA105="自身",$FA$19*#REF!/3/(1+(BH105-1)*$BD105),0)),0)</f>
        <v>0</v>
      </c>
      <c r="CE105" s="1097">
        <f t="shared" si="129"/>
        <v>0</v>
      </c>
      <c r="CF105" s="1112">
        <f t="shared" si="130"/>
        <v>0</v>
      </c>
      <c r="CG105" s="1100">
        <f t="shared" si="131"/>
        <v>0</v>
      </c>
      <c r="CH105" s="1110">
        <f t="shared" si="132"/>
        <v>0</v>
      </c>
      <c r="CI105" s="1113" t="s">
        <v>165</v>
      </c>
      <c r="CJ105" s="1114">
        <v>0.5</v>
      </c>
      <c r="CK105" s="1115" t="s">
        <v>153</v>
      </c>
      <c r="CL105" s="1115" t="s">
        <v>166</v>
      </c>
      <c r="CM105" s="1119">
        <v>0.06</v>
      </c>
      <c r="CN105" s="1115" t="s">
        <v>163</v>
      </c>
      <c r="CO105" s="1092"/>
      <c r="CP105" s="1118">
        <f t="shared" si="133"/>
        <v>9.9999999999999985E-3</v>
      </c>
      <c r="CQ105" s="1118">
        <f t="shared" si="134"/>
        <v>9.9999999999999985E-3</v>
      </c>
      <c r="CR105" s="1118">
        <f t="shared" si="135"/>
        <v>0</v>
      </c>
      <c r="CS105" s="1118">
        <f t="shared" si="136"/>
        <v>0</v>
      </c>
      <c r="CT105" s="1109">
        <f t="shared" si="137"/>
        <v>0</v>
      </c>
      <c r="CU105" s="1101">
        <f t="shared" si="138"/>
        <v>1359.8293152830097</v>
      </c>
      <c r="CV105" s="1108">
        <f t="shared" si="139"/>
        <v>65.655722812500002</v>
      </c>
      <c r="CW105" s="1097">
        <f t="shared" si="140"/>
        <v>0</v>
      </c>
      <c r="CX105" s="1097">
        <f t="shared" si="141"/>
        <v>1359.8293152830097</v>
      </c>
      <c r="CY105" s="1110">
        <f t="shared" si="142"/>
        <v>0</v>
      </c>
      <c r="CZ105" s="437"/>
      <c r="DA105" s="438"/>
      <c r="DB105" s="439" t="s">
        <v>569</v>
      </c>
      <c r="DC105" s="439"/>
      <c r="DD105" s="443"/>
      <c r="DE105" s="411"/>
      <c r="DF105" s="411"/>
      <c r="DG105" s="1116">
        <f t="shared" si="143"/>
        <v>0</v>
      </c>
      <c r="DH105" s="1116">
        <f t="shared" si="144"/>
        <v>0</v>
      </c>
      <c r="DI105" s="1116">
        <f t="shared" si="145"/>
        <v>0</v>
      </c>
      <c r="DJ105" s="442">
        <f t="shared" si="146"/>
        <v>0</v>
      </c>
      <c r="DK105" s="1109">
        <f t="shared" si="147"/>
        <v>0</v>
      </c>
      <c r="DL105" s="1101">
        <f t="shared" si="148"/>
        <v>0</v>
      </c>
      <c r="DM105" s="1097">
        <f t="shared" si="149"/>
        <v>0</v>
      </c>
      <c r="DN105" s="1097">
        <f t="shared" si="150"/>
        <v>0</v>
      </c>
      <c r="DO105" s="1097">
        <f t="shared" si="151"/>
        <v>0</v>
      </c>
      <c r="DP105" s="1110">
        <f t="shared" si="152"/>
        <v>0</v>
      </c>
      <c r="DQ105" s="1113" t="s">
        <v>256</v>
      </c>
      <c r="DR105" s="1120">
        <f t="shared" si="153"/>
        <v>0.33</v>
      </c>
      <c r="DS105" s="1124"/>
      <c r="DT105" s="1093" t="s">
        <v>132</v>
      </c>
      <c r="DU105" s="1093"/>
      <c r="DV105" s="1098">
        <f>IF($P105="","N/A",IF(P105=-1,INDEX('卡片raw data'!AN:AN,MATCH(D105,'卡片raw data'!$F:$F,)),0)+IF(AND(L105&lt;&gt;"party卡",P105&lt;=2,P105&gt;=0),INDEX('卡片raw data'!AP:AP,MATCH(D105,'卡片raw data'!$F:$F,)),0)+IF(OR(AND(L105="party卡",P105&lt;=1),AND(P105&lt;=4,L105&lt;&gt;"party卡",P105&gt;=3)),INDEX('卡片raw data'!AQ:AQ,MATCH(D105,'卡片raw data'!$F:$F,)),0)+IF(OR(P105=5,AND(L105="party卡",P105&gt;=2)),INDEX('卡片raw data'!AR:AR,MATCH(D105,'卡片raw data'!$F:$F,)),0))</f>
        <v>0.32</v>
      </c>
      <c r="DW105" s="1098">
        <f t="shared" si="154"/>
        <v>0.33</v>
      </c>
      <c r="DX105" s="1098">
        <f t="shared" si="155"/>
        <v>0.33</v>
      </c>
      <c r="DY105" s="1125">
        <f t="shared" si="156"/>
        <v>888.88798282239998</v>
      </c>
      <c r="DZ105" s="1125">
        <f t="shared" si="157"/>
        <v>692.19437944031233</v>
      </c>
      <c r="EA105" s="1098">
        <f t="shared" si="158"/>
        <v>0</v>
      </c>
      <c r="EB105" s="1121">
        <f t="shared" si="159"/>
        <v>0</v>
      </c>
      <c r="EC105" s="1101">
        <f t="shared" si="160"/>
        <v>1271.109815436032</v>
      </c>
      <c r="ED105" s="1097">
        <f t="shared" si="161"/>
        <v>0</v>
      </c>
      <c r="EE105" s="1110">
        <f t="shared" si="162"/>
        <v>1271.109815436032</v>
      </c>
      <c r="EF105" s="1092" t="s">
        <v>711</v>
      </c>
      <c r="EG105" s="1120">
        <f t="shared" si="163"/>
        <v>0.33</v>
      </c>
      <c r="EH105" s="1124"/>
      <c r="EI105" s="1093"/>
      <c r="EJ105" s="1093"/>
      <c r="EK105" s="1097">
        <f>IF($P105="","N/A",IF(P105=-1,INDEX('卡片raw data'!AS:AS,MATCH(D105,'卡片raw data'!$F:$F,)),0)+IF(AND(L105&lt;&gt;"party卡",P105&lt;=2,P105&gt;=0),INDEX('卡片raw data'!AU:AU,MATCH(D105,'卡片raw data'!$F:$F,)),0)+IF(OR(AND(L105="party卡",P105&lt;=1),AND(P105&lt;=4,L105&lt;&gt;"party卡",P105&gt;=3)),INDEX('卡片raw data'!AV:AV,MATCH(D105,'卡片raw data'!$F:$F,)),0)+IF(OR(P105=5,AND(L105="party卡",P105&gt;=2)),INDEX('卡片raw data'!AW:AW,MATCH(D105,'卡片raw data'!$F:$F,)),0))</f>
        <v>0</v>
      </c>
      <c r="EL105" s="1098">
        <f t="shared" si="164"/>
        <v>0.33</v>
      </c>
      <c r="EM105" s="1098">
        <f t="shared" si="165"/>
        <v>0.33</v>
      </c>
      <c r="EN105" s="1125">
        <f t="shared" si="166"/>
        <v>0</v>
      </c>
      <c r="EO105" s="1125">
        <f t="shared" si="167"/>
        <v>0</v>
      </c>
      <c r="EP105" s="1098">
        <f t="shared" si="168"/>
        <v>0</v>
      </c>
      <c r="EQ105" s="1121">
        <f t="shared" si="169"/>
        <v>0</v>
      </c>
      <c r="ER105" s="1101">
        <f t="shared" si="170"/>
        <v>0</v>
      </c>
      <c r="ES105" s="1097">
        <f t="shared" si="171"/>
        <v>0</v>
      </c>
      <c r="ET105" s="1122">
        <f t="shared" si="172"/>
        <v>0</v>
      </c>
    </row>
    <row r="106" spans="2:150" ht="16.5" customHeight="1">
      <c r="B106" s="1123" t="str">
        <f>INDEX('卡片raw data'!B:B,MATCH($D106,'卡片raw data'!$F:$F,))</f>
        <v>一单千</v>
      </c>
      <c r="C106" s="449" t="s">
        <v>124</v>
      </c>
      <c r="D106" s="408">
        <v>103</v>
      </c>
      <c r="E106" s="1090">
        <v>401012001</v>
      </c>
      <c r="F106" s="1090" t="str">
        <f>INDEX('卡片raw data'!C:C,MATCH($D106,'卡片raw data'!$F:$F,))</f>
        <v>SR</v>
      </c>
      <c r="G106" s="1094" t="s">
        <v>339</v>
      </c>
      <c r="H106" s="411">
        <f>IFERROR(INDEX(绊状态确认!C:C,MATCH($G106,绊状态确认!$B:$B,)),"")</f>
        <v>101</v>
      </c>
      <c r="I106" s="1124" t="str">
        <f>IFERROR(INDEX(绊状态确认!D:D,MATCH($G106,绊状态确认!$B:$B,)),"")</f>
        <v>水</v>
      </c>
      <c r="J106" s="1124" t="str">
        <f>IFERROR(INDEX(绊状态确认!E:E,MATCH($G106,绊状态确认!$B:$B,)),"")</f>
        <v>2年级</v>
      </c>
      <c r="K106" s="451" t="str">
        <f>IFERROR(INDEX(绊状态确认!F:F,MATCH($G106,绊状态确认!$B:$B,)),"")</f>
        <v>CYaRon!</v>
      </c>
      <c r="L106" s="1094" t="str">
        <f>INDEX('卡片raw data'!E:E,MATCH($D106,'卡片raw data'!$F:$F,))</f>
        <v>活动卡</v>
      </c>
      <c r="M106" s="415">
        <v>43741</v>
      </c>
      <c r="N106" s="416">
        <v>1</v>
      </c>
      <c r="O106" s="1091" t="str">
        <f>INDEX('卡片raw data'!D:D,MATCH($D106,'卡片raw data'!$F:$F,))</f>
        <v>gd</v>
      </c>
      <c r="P106" s="417">
        <v>5</v>
      </c>
      <c r="Q106" s="1095">
        <f t="shared" si="88"/>
        <v>15844.166091045847</v>
      </c>
      <c r="R106" s="1096">
        <f t="shared" si="89"/>
        <v>0.184</v>
      </c>
      <c r="S106" s="1097">
        <f t="shared" si="90"/>
        <v>8968.6138091095854</v>
      </c>
      <c r="T106" s="1098">
        <f t="shared" si="91"/>
        <v>0.44800000000000001</v>
      </c>
      <c r="U106" s="1099">
        <f t="shared" si="92"/>
        <v>398.84926965764959</v>
      </c>
      <c r="V106" s="1100">
        <f t="shared" si="93"/>
        <v>65246.881955125682</v>
      </c>
      <c r="W106" s="1101">
        <f t="shared" si="94"/>
        <v>4507.7214871259994</v>
      </c>
      <c r="X106" s="1096">
        <f t="shared" si="95"/>
        <v>5.1999999999999998E-2</v>
      </c>
      <c r="Y106" s="1097">
        <f t="shared" si="96"/>
        <v>1016.6730395623727</v>
      </c>
      <c r="Z106" s="1102">
        <f t="shared" si="97"/>
        <v>12.757078793777548</v>
      </c>
      <c r="AA106" s="1103">
        <f t="shared" si="98"/>
        <v>5524.394526688372</v>
      </c>
      <c r="AB106" s="1101">
        <f t="shared" si="99"/>
        <v>4507.7214871259994</v>
      </c>
      <c r="AC106" s="1104">
        <f t="shared" si="100"/>
        <v>5.1999999999999998E-2</v>
      </c>
      <c r="AD106" s="1105">
        <f t="shared" si="101"/>
        <v>-3.8207812500000026E-3</v>
      </c>
      <c r="AE106" s="1128">
        <f t="shared" si="102"/>
        <v>-18.525362318840578</v>
      </c>
      <c r="AF106" s="1130">
        <f t="shared" si="103"/>
        <v>5619.4972203190082</v>
      </c>
      <c r="AG106" s="420">
        <f t="shared" si="104"/>
        <v>104525.86812580762</v>
      </c>
      <c r="AH106" s="420">
        <f t="shared" si="105"/>
        <v>18.60057297436903</v>
      </c>
      <c r="AI106" s="1097">
        <f t="shared" si="106"/>
        <v>88577.156234485679</v>
      </c>
      <c r="AJ106" s="420">
        <f t="shared" si="107"/>
        <v>65246.881955125682</v>
      </c>
      <c r="AK106" s="518">
        <f t="shared" si="108"/>
        <v>23330.274279359997</v>
      </c>
      <c r="AL106" s="1106">
        <f>IF($P106="","N/A",(IF($P106=-1,INDEX('卡片raw data'!S:S,MATCH($D106,'卡片raw data'!$F:$F,)),0)+IF($P106=0,INDEX('卡片raw data'!V:V,MATCH($D106,'卡片raw data'!$F:$F,)),0)+IF($P106=1,INDEX('卡片raw data'!Y:Y,MATCH($D106,'卡片raw data'!$F:$F,)),0)+IF($P106=2,INDEX('卡片raw data'!AB:AB,MATCH($D106,'卡片raw data'!$F:$F,)),0)+IF($P106=3,INDEX('卡片raw data'!AE:AE,MATCH($D106,'卡片raw data'!$F:$F,)),0)+IF($P106=4,INDEX('卡片raw data'!AH:AH,MATCH($D106,'卡片raw data'!$F:$F,)),0)+IF($P106=5,INDEX('卡片raw data'!AK:AK,MATCH($D106,'卡片raw data'!$F:$F,)),0)+INDEX('卡片raw data'!S:S,MATCH($D106,'卡片raw data'!$F:$F,))*(IF($F106="UR",0.04,0.033))*(IF($F106="UR",INDEX(绊状态确认!$S:$S,MATCH($G106,绊状态确认!$B:$B,))/2-40)+IF($F106="SR",INDEX(绊状态确认!$R:$R,MATCH($G106,绊状态确认!$B:$B,))/4-15))+IF($F106="R",INDEX(绊状态确认!$Q:$Q,MATCH($G106,绊状态确认!$B:$B,))/6-40/6)))*(INDEX(绊状态确认!$H:$H,MATCH($G106,绊状态确认!$B:$B,))+INDEX(绊状态确认!J:J,MATCH($G106,绊状态确认!$B:$B,)))</f>
        <v>4713.7894728000001</v>
      </c>
      <c r="AM106" s="1106">
        <f>IF($P106="","N/A",(IF($P106=-1,INDEX('卡片raw data'!T:T,MATCH($D106,'卡片raw data'!$F:$F,)),0)+IF($P106=0,INDEX('卡片raw data'!W:W,MATCH($D106,'卡片raw data'!$F:$F,)),0)+IF($P106=1,INDEX('卡片raw data'!Z:Z,MATCH($D106,'卡片raw data'!$F:$F,)),0)+IF($P106=2,INDEX('卡片raw data'!AC:AC,MATCH($D106,'卡片raw data'!$F:$F,)),0)+IF($P106=3,INDEX('卡片raw data'!AF:AF,MATCH($D106,'卡片raw data'!$F:$F,)),0)+IF($P106=4,INDEX('卡片raw data'!AI:AI,MATCH($D106,'卡片raw data'!$F:$F,)),0)+IF($P106=5,INDEX('卡片raw data'!AL:AL,MATCH($D106,'卡片raw data'!$F:$F,)),0)+INDEX('卡片raw data'!T:T,MATCH($D106,'卡片raw data'!$F:$F,))*(IF($F106="UR",0.04,0.033))*(IF($F106="UR",INDEX(绊状态确认!$S:$S,MATCH($G106,绊状态确认!$B:$B,))/2-40)+IF($F106="SR",INDEX(绊状态确认!$R:$R,MATCH($G106,绊状态确认!$B:$B,))/4-15))+IF($F106="R",INDEX(绊状态确认!$Q:$Q,MATCH($G106,绊状态确认!$B:$B,))/6-40/6)))*(INDEX(绊状态确认!$H:$H,MATCH($G106,绊状态确认!$B:$B,))+INDEX(绊状态确认!K:K,MATCH($G106,绊状态确认!$B:$B,)))</f>
        <v>6285.8102303999995</v>
      </c>
      <c r="AN106" s="1106">
        <f>IF($P106="","N/A",(IF($P106=-1,INDEX('卡片raw data'!U:U,MATCH($D106,'卡片raw data'!$F:$F,)),0)+IF($P106=0,INDEX('卡片raw data'!X:X,MATCH($D106,'卡片raw data'!$F:$F,)),0)+IF($P106=1,INDEX('卡片raw data'!AA:AA,MATCH($D106,'卡片raw data'!$F:$F,)),0)+IF($P106=2,INDEX('卡片raw data'!AD:AD,MATCH($D106,'卡片raw data'!$F:$F,)),0)+IF($P106=3,INDEX('卡片raw data'!AG:AG,MATCH($D106,'卡片raw data'!$F:$F,)),0)+IF($P106=4,INDEX('卡片raw data'!AJ:AJ,MATCH($D106,'卡片raw data'!$F:$F,)),0)+IF($P106=5,INDEX('卡片raw data'!AM:AM,MATCH($D106,'卡片raw data'!$F:$F,)),0)+INDEX('卡片raw data'!U:U,MATCH($D106,'卡片raw data'!$F:$F,))*(IF($F106="UR",0.04,0.033))*(IF($F106="UR",INDEX(绊状态确认!$S:$S,MATCH($G106,绊状态确认!$B:$B,))/2-40)+IF($F106="SR",INDEX(绊状态确认!$R:$R,MATCH($G106,绊状态确认!$B:$B,))/4-15))+IF($F106="R",INDEX(绊状态确认!$Q:$Q,MATCH($G106,绊状态确认!$B:$B,))/6-40/6)))*(INDEX(绊状态确认!$H:$H,MATCH($G106,绊状态确认!$B:$B,))+INDEX(绊状态确认!L:L,MATCH($G106,绊状态确认!$B:$B,)))</f>
        <v>4713.7894728000001</v>
      </c>
      <c r="AO106" s="1107">
        <f t="shared" si="109"/>
        <v>1</v>
      </c>
      <c r="AP106" s="1131">
        <f>1+(INDEX(绊状态确认!$T:$T,MATCH($G106,绊状态确认!$B:$B,))+0.2)*$AO106</f>
        <v>1.3</v>
      </c>
      <c r="AQ106" s="1108">
        <f t="shared" si="110"/>
        <v>15623.697366100001</v>
      </c>
      <c r="AR106" s="1097">
        <f>(AM106*(1+$EX$9)+$EX$35)*(1+(INDEX(绊状态确认!$T:$T,MATCH($G106,绊状态确认!$B:$B,))+0.2)*AO106)*IF(J106=$FF$17,1+$FE$17,1)*IF(I106=$FF$14,1+$FE$14,1)</f>
        <v>11284.130964496</v>
      </c>
      <c r="AS106" s="1097">
        <f>(AN106*(1+$EX$10)+$EX$36)*(1+(INDEX(绊状态确认!$T:$T,MATCH($G106,绊状态确认!$B:$B,))+0.2)*AO106)*IF(J106=$FF$17,1+$FE$17,1)*IF(I106=$FF$14,1+$FE$14,1)</f>
        <v>11103.115261836001</v>
      </c>
      <c r="AT106" s="1093">
        <f>IF(AND(INDEX('卡片raw data'!AK:AK,MATCH($D106,'卡片raw data'!$F:$F,))&lt;INDEX('卡片raw data'!AM:AM,MATCH($D106,'卡片raw data'!$F:$F,)),INDEX('卡片raw data'!AL:AL,MATCH($D106,'卡片raw data'!$F:$F,))&lt;INDEX('卡片raw data'!AM:AM,MATCH($D106,'卡片raw data'!$F:$F,))),1,0)</f>
        <v>0</v>
      </c>
      <c r="AU106" s="1098">
        <f>MIN(AT106*0.15+AS106*0.00003+INDEX(绊状态确认!M:M,MATCH($G106,绊状态确认!$B:$B,)),1)</f>
        <v>0.36309345785508007</v>
      </c>
      <c r="AV106" s="1109">
        <f>(INDEX(绊状态确认!$N:$N,MATCH($G106,绊状态确认!$B:$B,))+1.5)*$EW$21</f>
        <v>2.6599999999999997</v>
      </c>
      <c r="AW106" s="1101">
        <f t="shared" si="111"/>
        <v>13004.777937253182</v>
      </c>
      <c r="AX106" s="1097">
        <f t="shared" si="112"/>
        <v>964.67525488759782</v>
      </c>
      <c r="AY106" s="1110">
        <f t="shared" si="113"/>
        <v>13969.45319214078</v>
      </c>
      <c r="AZ106" s="429">
        <f t="shared" si="114"/>
        <v>11791.889471959999</v>
      </c>
      <c r="BA106" s="431">
        <f t="shared" si="115"/>
        <v>14150.267366351998</v>
      </c>
      <c r="BB106" s="1097">
        <f>(AM106*(1+$FB$9)+$FB$35)*(1+(INDEX(绊状态确认!$T:$T,MATCH($G106,绊状态确认!$B:$B,))+0.2)*AO106)*IF(J106=$FF$17,1+$FE$17,1)*IF(I106=$FF$14,1+$FE$14,1)*(1+$FE$15)</f>
        <v>11284.130964496</v>
      </c>
      <c r="BC106" s="1097">
        <f>(AN106*(1+$FB$10)+$FB$36)*(1+(INDEX(绊状态确认!$T:$T,MATCH($G106,绊状态确认!$B:$B,))+0.2)*AO106)*IF(J106=$FF$17,1+$FE$17,1)*IF(I106=$FF$14,1+$FE$14,1)*(1+$FE$15)</f>
        <v>11103.115261836001</v>
      </c>
      <c r="BD106" s="1104">
        <f>MIN(AT106*0.15+BC106*0.00003+INDEX(绊状态确认!M:M,MATCH($G106,绊状态确认!$B:$B,)),1)</f>
        <v>0.36309345785508007</v>
      </c>
      <c r="BE106" s="432">
        <f>(INDEX(绊状态确认!$N:$N,MATCH($G106,绊状态确认!$B:$B,))+1.5)</f>
        <v>1.9</v>
      </c>
      <c r="BF106" s="1139">
        <f t="array" ref="BF106">SUMPRODUCT(IF(AZ106*AP106*$FI$16:$FI$23*$FA$22&gt;=$FI$24,$FI$24,AZ106*AP106*$FI$16:$FI$23*$FA$22),$FJ$16:$FJ$23)</f>
        <v>23454.068159728442</v>
      </c>
      <c r="BG106" s="1125">
        <f t="array" ref="BG106">SUMPRODUCT(IF(BE106*AZ106*AP106*$FI$16:$FI$23*$FA$22&gt;=$FI$24,$FI$24,BE106*AZ106*AP106*$FI$16:$FI$23*$FA$22),$FJ$16:$FJ$23)</f>
        <v>44562.729503484035</v>
      </c>
      <c r="BH106" s="1110">
        <f t="shared" si="116"/>
        <v>10372.82833257484</v>
      </c>
      <c r="BI106" s="1111">
        <f>IF(O106="vo",$EW$26/$EW$24*0.05,0)+IF(O106="sk",-$EW$26/$EW$24*(0.05-INDEX(绊状态确认!W:W,MATCH($G106,绊状态确认!$B:$B,)))+0.05*$EW$28,0)+IF(O106="sp",0.05*$EW$32*$EW$30*(1-$EW$33)-(0.05-INDEX(绊状态确认!V:V,MATCH($G106,绊状态确认!$B:$B,)))*$EW$28,0)+IF(O106="gd",-(0.05-INDEX(绊状态确认!X:X,MATCH($G106,绊状态确认!$B:$B,)))*$EW$32*$EW$30*(1-$EW$33),0)</f>
        <v>-585.00000000000011</v>
      </c>
      <c r="BJ106" s="1097">
        <f>IF(O106="vo",0.05*(1-$FI$26)*$FA$24,0)+IF(O106="sk",-(0.05-INDEX(绊状态确认!W:W,MATCH($G106,绊状态确认!$B:$B,)))*(1-$FI$26)*$FA$24+0.05*$FA$26,0)+IF(O106="sp",0.05*$FA$32*$FA$27*(1-$FA$33)/$FA$30+0.05*$FA$29/$FA$69*$FA$27*(1-$FA$33)-(0.05-INDEX(绊状态确认!V:V,MATCH($G106,绊状态确认!$B:$B,)))*$FA$26,0)+IF(O106="gd",-(0.05-INDEX(绊状态确认!X:X,MATCH($G106,绊状态确认!$B:$B,)))*$FA$32*$FA$27*(1-$FA$33)/$FA$30-(0.05-INDEX(绊状态确认!X:X,MATCH($G106,绊状态确认!$B:$B,)))*$FA$29/$FA$69*$FA$27*(1-$FA$33),0)</f>
        <v>-795.00000000000011</v>
      </c>
      <c r="BK106" s="1110">
        <f>IF(O106="vo",$EW$26/$EW$24*0.05+$EW$26*(-HP($EW$62,$EW$65,$EW$64)+HP($EW$62,$EW$65,(1.05-INDEX(绊状态确认!U:U,MATCH($G106,绊状态确认!$B:$B,)))*$EW$64)),0)+IF(O106="sk",-$EW$26/$EW$24*(0.05-INDEX(绊状态确认!W:W,MATCH($G106,绊状态确认!$B:$B,)))+0.05*$EW$29,0)+IF(O106="sp",0.05*$EW$32*$EW$30*(1-$EW$33)-(0.05-INDEX(绊状态确认!V:V,MATCH($G106,绊状态确认!$B:$B,)))*$EW$29,0)+IF(O106="gd",-(0.05-INDEX(绊状态确认!X:X,MATCH($G106,绊状态确认!$B:$B,)))*$EW$32*$EW$30*(1-$EW$33)+$EW$26*(-HP($EW$62,$EW$65,$EW$64)+HP($EW$62,$EW$65,0.95*$EW$64)),0)</f>
        <v>1009.5947725176144</v>
      </c>
      <c r="BL106" s="1111">
        <f t="shared" si="117"/>
        <v>-1083.3333333333333</v>
      </c>
      <c r="BM106" s="1110">
        <f t="shared" si="118"/>
        <v>-830.55555555555543</v>
      </c>
      <c r="BN106" s="1113">
        <f t="shared" si="119"/>
        <v>3</v>
      </c>
      <c r="BO106" s="1097">
        <f t="shared" si="120"/>
        <v>4507.7214871259994</v>
      </c>
      <c r="BP106" s="1100">
        <f t="shared" si="121"/>
        <v>221.34103209030098</v>
      </c>
      <c r="BQ106" s="1113" t="s">
        <v>624</v>
      </c>
      <c r="BR106" s="1124" t="s">
        <v>625</v>
      </c>
      <c r="BS106" s="1098">
        <f>IF($P106="","N/A",IF($P106=-1,INDEX('卡片raw data'!AX:AX,MATCH($D106,'卡片raw data'!$F:$F,)),0)+IF($L106="party卡",IF($P106=5,INDEX('卡片raw data'!BD:BD,MATCH($D106,'卡片raw data'!$F:$F,)),IF($P106&gt;=3,INDEX('卡片raw data'!BC:BC,MATCH($D106,'卡片raw data'!$F:$F,)),INDEX('卡片raw data'!BB:BB,MATCH($D106,'卡片raw data'!$F:$F,)))),IF(OR(AND($F106="UR",$P106=0),AND($F106="SR",$P106&gt;=0,$P106&lt;=2),AND($F106="R",$P106&gt;=0,$P106&lt;4)),INDEX('卡片raw data'!AZ:AZ,MATCH($D106,'卡片raw data'!$F:$F,)),0)+IF(OR(AND($F106="UR",$P106&gt;=1,$P106&lt;=4),AND($F106="SR",$P106&lt;=4,$P106&gt;=3),AND($F106="R",$P106=4)),INDEX('卡片raw data'!BA:BA,MATCH($D106,'卡片raw data'!$F:$F,)),0)+IF($P106=5,INDEX('卡片raw data'!BB:BB,MATCH($D106,'卡片raw data'!$F:$F,)),0)))</f>
        <v>7.0000000000000007E-2</v>
      </c>
      <c r="BT106" s="1101">
        <f t="shared" si="122"/>
        <v>0</v>
      </c>
      <c r="BU106" s="1097">
        <f t="shared" si="123"/>
        <v>0</v>
      </c>
      <c r="BV106" s="1097">
        <f t="shared" si="124"/>
        <v>0</v>
      </c>
      <c r="BW106" s="1112">
        <f t="shared" si="125"/>
        <v>0.66693847467469103</v>
      </c>
      <c r="BX106" s="1100">
        <f t="shared" si="126"/>
        <v>51.997784674774735</v>
      </c>
      <c r="BY106" s="1110">
        <f t="shared" si="127"/>
        <v>51.997784674774735</v>
      </c>
      <c r="BZ106" s="1107" t="s">
        <v>569</v>
      </c>
      <c r="CA106" s="1124"/>
      <c r="CB106" s="1098">
        <f>IF($P106="","N/A",IF($P106=-1,INDEX('卡片raw data'!BE:BE,MATCH($D106,'卡片raw data'!$F:$F,)),0)+IF($L106="party卡",IF($P106=5,INDEX('卡片raw data'!BK:BK,MATCH($D106,'卡片raw data'!$F:$F,)),IF($P106&gt;=3,INDEX('卡片raw data'!BJ:BJ,MATCH($D106,'卡片raw data'!$F:$F,)),INDEX('卡片raw data'!BI:BI,MATCH($D106,'卡片raw data'!$F:$F,)))),IF(OR(AND($F106="UR",$P106=0),AND($F106="SR",$P106&gt;=0,$P106&lt;=2),AND($F106="R",$P106&gt;=0,$P106&lt;4)),INDEX('卡片raw data'!BG:BG,MATCH($D106,'卡片raw data'!$F:$F,)),0)+IF(OR(AND($F106="UR",$P106&gt;=1,$P106&lt;=4),AND($F106="SR",$P106&lt;=4,$P106&gt;=3),AND($F106="R",$P106=4)),INDEX('卡片raw data'!BH:BH,MATCH($D106,'卡片raw data'!$F:$F,)),0)+IF($P106=5,INDEX('卡片raw data'!BI:BI,MATCH($D106,'卡片raw data'!$F:$F,)),0)))</f>
        <v>0</v>
      </c>
      <c r="CC106" s="1101">
        <f t="shared" si="128"/>
        <v>0</v>
      </c>
      <c r="CD106" s="1097">
        <f>IF(BZ106="ap",CB106*(1-$FI$26)*$FB$5/$FB$11*(+IF(CA106="全员",$FA$24,0)+IF(CA106="同作战",$FA$24,0)+IF(CA106="仲间",$FA$24*2/3,0)+IF(CA106="同属性",$FA$24*$FA$37/3,0)+IF(CA106="同年级",$FA$24*$FA$40/3,0)+IF(CA106="同学校",$FA$24*$FA$43/3,0)+IF(CA106="同小队",$FA$24*$FA$46/3,0)+IF(CA106="同type",$FA$24*INDEX($FB$49:$FB$52,MATCH(X106,$FA$49:$FA$52,))/3,0)+IF(CA106="自身",#REF!/3,0)),0)+IF(BZ106="te",CB106*(1-$FI$27)*($FA$20-1)*$FB$7/$FB$13*(+IF(CA106="全员",$FA$19*$FA$24/(1+($FA$20-1)*$FA$19),0)+IF(CA106="同作战",$FA$19*$FA$24/(1+($FA$20-1)*$FA$19),0)+IF(CA106="仲间",$FA$19*$FA$24*2/3/(1+($FA$20-1)*$FA$19),0)+IF(CA106="同属性",$FA$19*$FA$24*$FA$37/3/(1+($FA$20-1)*$FA$19),0)+IF(CA106="同年级",$FA$19*$FA$24*$FA$40/3/(1+($FA$20-1)*$FA$19),0)+IF(CA106="同学校",$FA$19*$FA$24*$FA$43/3/(1+($FA$20-1)*$FA$19),0)+IF(CA106="同小队",$FA$19*$FA$24*$FA$46/3/(1+($FA$20-1)*$FA$19),0)+IF(CA106="同type",$FA$19*$FA$24*INDEX($FB$49:$FB$52,MATCH(X106,$FA$49:$FA$52,))/3/(1+($FA$20-1)*$FA$19),0)+IF(CA106="自身",$FA$19*#REF!/3/(1+(BH106-1)*$BD106),0)),0)</f>
        <v>0</v>
      </c>
      <c r="CE106" s="1097">
        <f t="shared" si="129"/>
        <v>0</v>
      </c>
      <c r="CF106" s="1112">
        <f t="shared" si="130"/>
        <v>0</v>
      </c>
      <c r="CG106" s="1100">
        <f t="shared" si="131"/>
        <v>0</v>
      </c>
      <c r="CH106" s="1110">
        <f t="shared" si="132"/>
        <v>0</v>
      </c>
      <c r="CI106" s="1113" t="s">
        <v>571</v>
      </c>
      <c r="CJ106" s="1114">
        <v>0.5</v>
      </c>
      <c r="CK106" s="1115" t="s">
        <v>635</v>
      </c>
      <c r="CL106" s="1115" t="s">
        <v>1944</v>
      </c>
      <c r="CM106" s="1119">
        <v>0.2</v>
      </c>
      <c r="CN106" s="1115"/>
      <c r="CO106" s="1092"/>
      <c r="CP106" s="1117">
        <f t="shared" si="133"/>
        <v>0</v>
      </c>
      <c r="CQ106" s="1117">
        <f t="shared" si="134"/>
        <v>0</v>
      </c>
      <c r="CR106" s="1117">
        <f t="shared" si="135"/>
        <v>0</v>
      </c>
      <c r="CS106" s="1118">
        <f t="shared" si="136"/>
        <v>0</v>
      </c>
      <c r="CT106" s="1109">
        <f t="shared" si="137"/>
        <v>0</v>
      </c>
      <c r="CU106" s="1101">
        <f t="shared" si="138"/>
        <v>0</v>
      </c>
      <c r="CV106" s="1108">
        <f t="shared" si="139"/>
        <v>0</v>
      </c>
      <c r="CW106" s="1097">
        <f t="shared" si="140"/>
        <v>0</v>
      </c>
      <c r="CX106" s="1097">
        <f t="shared" si="141"/>
        <v>0</v>
      </c>
      <c r="CY106" s="1110">
        <f t="shared" si="142"/>
        <v>0</v>
      </c>
      <c r="CZ106" s="437"/>
      <c r="DA106" s="438"/>
      <c r="DB106" s="439" t="s">
        <v>569</v>
      </c>
      <c r="DC106" s="439"/>
      <c r="DD106" s="443"/>
      <c r="DE106" s="411"/>
      <c r="DF106" s="411"/>
      <c r="DG106" s="1116">
        <f t="shared" si="143"/>
        <v>0</v>
      </c>
      <c r="DH106" s="1116">
        <f t="shared" si="144"/>
        <v>0</v>
      </c>
      <c r="DI106" s="1116">
        <f t="shared" si="145"/>
        <v>0</v>
      </c>
      <c r="DJ106" s="442">
        <f t="shared" si="146"/>
        <v>0</v>
      </c>
      <c r="DK106" s="1109">
        <f t="shared" si="147"/>
        <v>0</v>
      </c>
      <c r="DL106" s="1101">
        <f t="shared" si="148"/>
        <v>0</v>
      </c>
      <c r="DM106" s="1097">
        <f t="shared" si="149"/>
        <v>0</v>
      </c>
      <c r="DN106" s="1097">
        <f t="shared" si="150"/>
        <v>0</v>
      </c>
      <c r="DO106" s="1097">
        <f t="shared" si="151"/>
        <v>0</v>
      </c>
      <c r="DP106" s="1110">
        <f t="shared" si="152"/>
        <v>0</v>
      </c>
      <c r="DQ106" s="1113" t="s">
        <v>635</v>
      </c>
      <c r="DR106" s="1120">
        <f t="shared" si="153"/>
        <v>0.3</v>
      </c>
      <c r="DS106" s="1124"/>
      <c r="DT106" s="1093" t="s">
        <v>552</v>
      </c>
      <c r="DU106" s="1093"/>
      <c r="DV106" s="1098">
        <f>IF($P106="","N/A",IF(P106=-1,INDEX('卡片raw data'!AN:AN,MATCH(D106,'卡片raw data'!$F:$F,)),0)+IF(AND(L106&lt;&gt;"party卡",P106&lt;=2,P106&gt;=0),INDEX('卡片raw data'!AP:AP,MATCH(D106,'卡片raw data'!$F:$F,)),0)+IF(OR(AND(L106="party卡",P106&lt;=1),AND(P106&lt;=4,L106&lt;&gt;"party卡",P106&gt;=3)),INDEX('卡片raw data'!AQ:AQ,MATCH(D106,'卡片raw data'!$F:$F,)),0)+IF(OR(P106=5,AND(L106="party卡",P106&gt;=2)),INDEX('卡片raw data'!AR:AR,MATCH(D106,'卡片raw data'!$F:$F,)),0))</f>
        <v>0.32</v>
      </c>
      <c r="DW106" s="1098">
        <f t="shared" si="154"/>
        <v>0.3</v>
      </c>
      <c r="DX106" s="1098">
        <f t="shared" si="155"/>
        <v>0.3</v>
      </c>
      <c r="DY106" s="1125">
        <f t="shared" si="156"/>
        <v>361.09219086387202</v>
      </c>
      <c r="DZ106" s="1125">
        <f t="shared" si="157"/>
        <v>312.3447450972493</v>
      </c>
      <c r="EA106" s="1098">
        <f t="shared" si="158"/>
        <v>0</v>
      </c>
      <c r="EB106" s="1121">
        <f t="shared" si="159"/>
        <v>0</v>
      </c>
      <c r="EC106" s="1101">
        <f t="shared" si="160"/>
        <v>0</v>
      </c>
      <c r="ED106" s="1097">
        <f t="shared" si="161"/>
        <v>0</v>
      </c>
      <c r="EE106" s="1110">
        <f t="shared" si="162"/>
        <v>46791.448051999854</v>
      </c>
      <c r="EF106" s="1092" t="s">
        <v>711</v>
      </c>
      <c r="EG106" s="1120">
        <f t="shared" si="163"/>
        <v>0.3</v>
      </c>
      <c r="EH106" s="1124"/>
      <c r="EI106" s="1093"/>
      <c r="EJ106" s="1093"/>
      <c r="EK106" s="1097">
        <f>IF($P106="","N/A",IF(P106=-1,INDEX('卡片raw data'!AS:AS,MATCH(D106,'卡片raw data'!$F:$F,)),0)+IF(AND(L106&lt;&gt;"party卡",P106&lt;=2,P106&gt;=0),INDEX('卡片raw data'!AU:AU,MATCH(D106,'卡片raw data'!$F:$F,)),0)+IF(OR(AND(L106="party卡",P106&lt;=1),AND(P106&lt;=4,L106&lt;&gt;"party卡",P106&gt;=3)),INDEX('卡片raw data'!AV:AV,MATCH(D106,'卡片raw data'!$F:$F,)),0)+IF(OR(P106=5,AND(L106="party卡",P106&gt;=2)),INDEX('卡片raw data'!AW:AW,MATCH(D106,'卡片raw data'!$F:$F,)),0))</f>
        <v>0</v>
      </c>
      <c r="EL106" s="1098">
        <f t="shared" si="164"/>
        <v>0.3</v>
      </c>
      <c r="EM106" s="1098">
        <f t="shared" si="165"/>
        <v>0.3</v>
      </c>
      <c r="EN106" s="1125">
        <f t="shared" si="166"/>
        <v>0</v>
      </c>
      <c r="EO106" s="1125">
        <f t="shared" si="167"/>
        <v>0</v>
      </c>
      <c r="EP106" s="1098">
        <f t="shared" si="168"/>
        <v>0</v>
      </c>
      <c r="EQ106" s="1121">
        <f t="shared" si="169"/>
        <v>0</v>
      </c>
      <c r="ER106" s="1101">
        <f t="shared" si="170"/>
        <v>0</v>
      </c>
      <c r="ES106" s="1097">
        <f t="shared" si="171"/>
        <v>0</v>
      </c>
      <c r="ET106" s="1122">
        <f t="shared" si="172"/>
        <v>0</v>
      </c>
    </row>
    <row r="107" spans="2:150" ht="16.5" customHeight="1">
      <c r="B107" s="1123" t="str">
        <f>INDEX('卡片raw data'!B:B,MATCH($D107,'卡片raw data'!$F:$F,))</f>
        <v>动物步</v>
      </c>
      <c r="C107" s="449" t="s">
        <v>123</v>
      </c>
      <c r="D107" s="408">
        <v>104</v>
      </c>
      <c r="E107" s="1090">
        <v>402012001</v>
      </c>
      <c r="F107" s="1090" t="str">
        <f>INDEX('卡片raw data'!C:C,MATCH($D107,'卡片raw data'!$F:$F,))</f>
        <v>SR</v>
      </c>
      <c r="G107" s="1094" t="s">
        <v>350</v>
      </c>
      <c r="H107" s="411">
        <f>IFERROR(INDEX(绊状态确认!C:C,MATCH($G107,绊状态确认!$B:$B,)),"")</f>
        <v>201</v>
      </c>
      <c r="I107" s="450" t="str">
        <f>IFERROR(INDEX(绊状态确认!D:D,MATCH($G107,绊状态确认!$B:$B,)),"")</f>
        <v>虹</v>
      </c>
      <c r="J107" s="450" t="str">
        <f>IFERROR(INDEX(绊状态确认!E:E,MATCH($G107,绊状态确认!$B:$B,)),"")</f>
        <v>2年级</v>
      </c>
      <c r="K107" s="451" t="str">
        <f>IFERROR(INDEX(绊状态确认!F:F,MATCH($G107,绊状态确认!$B:$B,)),"")</f>
        <v>A·ZU·NA</v>
      </c>
      <c r="L107" s="1094" t="str">
        <f>INDEX('卡片raw data'!E:E,MATCH($D107,'卡片raw data'!$F:$F,))</f>
        <v>活动卡</v>
      </c>
      <c r="M107" s="415">
        <v>43741</v>
      </c>
      <c r="N107" s="416">
        <v>1</v>
      </c>
      <c r="O107" s="1091" t="str">
        <f>INDEX('卡片raw data'!D:D,MATCH($D107,'卡片raw data'!$F:$F,))</f>
        <v>sp</v>
      </c>
      <c r="P107" s="417">
        <v>5</v>
      </c>
      <c r="Q107" s="1095">
        <f t="shared" si="88"/>
        <v>18011.633248971673</v>
      </c>
      <c r="R107" s="1096">
        <f t="shared" si="89"/>
        <v>0.20899999999999999</v>
      </c>
      <c r="S107" s="1097">
        <f t="shared" si="90"/>
        <v>9877.4168125073666</v>
      </c>
      <c r="T107" s="1098">
        <f t="shared" si="91"/>
        <v>0.49299999999999999</v>
      </c>
      <c r="U107" s="1099">
        <f t="shared" si="92"/>
        <v>284.28825469649723</v>
      </c>
      <c r="V107" s="1100">
        <f t="shared" si="93"/>
        <v>49320.435902088509</v>
      </c>
      <c r="W107" s="1101">
        <f t="shared" si="94"/>
        <v>5408.5071051014529</v>
      </c>
      <c r="X107" s="1096">
        <f t="shared" si="95"/>
        <v>6.2E-2</v>
      </c>
      <c r="Y107" s="1097">
        <f t="shared" si="96"/>
        <v>908.23327310600871</v>
      </c>
      <c r="Z107" s="1102">
        <f t="shared" si="97"/>
        <v>11.398887517902857</v>
      </c>
      <c r="AA107" s="1103">
        <f t="shared" si="98"/>
        <v>6316.7403782074616</v>
      </c>
      <c r="AB107" s="1101">
        <f t="shared" si="99"/>
        <v>6057.1181413045824</v>
      </c>
      <c r="AC107" s="1104">
        <f t="shared" si="100"/>
        <v>7.0000000000000007E-2</v>
      </c>
      <c r="AD107" s="1105">
        <f t="shared" si="101"/>
        <v>-1.9908281250000003E-2</v>
      </c>
      <c r="AE107" s="1128">
        <f t="shared" si="102"/>
        <v>2.3550724637679821E-2</v>
      </c>
      <c r="AF107" s="1130">
        <f t="shared" si="103"/>
        <v>4021.5275163161277</v>
      </c>
      <c r="AG107" s="420">
        <f t="shared" si="104"/>
        <v>105793.51331662401</v>
      </c>
      <c r="AH107" s="420">
        <f t="shared" si="105"/>
        <v>26.306798321632495</v>
      </c>
      <c r="AI107" s="1097">
        <f t="shared" si="106"/>
        <v>75089.231588311231</v>
      </c>
      <c r="AJ107" s="420">
        <f t="shared" si="107"/>
        <v>49320.435902088509</v>
      </c>
      <c r="AK107" s="518">
        <f t="shared" si="108"/>
        <v>25768.795686222722</v>
      </c>
      <c r="AL107" s="1106">
        <f>IF($P107="","N/A",(IF($P107=-1,INDEX('卡片raw data'!S:S,MATCH($D107,'卡片raw data'!$F:$F,)),0)+IF($P107=0,INDEX('卡片raw data'!V:V,MATCH($D107,'卡片raw data'!$F:$F,)),0)+IF($P107=1,INDEX('卡片raw data'!Y:Y,MATCH($D107,'卡片raw data'!$F:$F,)),0)+IF($P107=2,INDEX('卡片raw data'!AB:AB,MATCH($D107,'卡片raw data'!$F:$F,)),0)+IF($P107=3,INDEX('卡片raw data'!AE:AE,MATCH($D107,'卡片raw data'!$F:$F,)),0)+IF($P107=4,INDEX('卡片raw data'!AH:AH,MATCH($D107,'卡片raw data'!$F:$F,)),0)+IF($P107=5,INDEX('卡片raw data'!AK:AK,MATCH($D107,'卡片raw data'!$F:$F,)),0)+INDEX('卡片raw data'!S:S,MATCH($D107,'卡片raw data'!$F:$F,))*(IF($F107="UR",0.04,0.033))*(IF($F107="UR",INDEX(绊状态确认!$S:$S,MATCH($G107,绊状态确认!$B:$B,))/2-40)+IF($F107="SR",INDEX(绊状态确认!$R:$R,MATCH($G107,绊状态确认!$B:$B,))/4-15))+IF($F107="R",INDEX(绊状态确认!$Q:$Q,MATCH($G107,绊状态确认!$B:$B,))/6-40/6)))*(INDEX(绊状态确认!$H:$H,MATCH($G107,绊状态确认!$B:$B,))+INDEX(绊状态确认!J:J,MATCH($G107,绊状态确认!$B:$B,)))</f>
        <v>3612.0724007999993</v>
      </c>
      <c r="AM107" s="1106">
        <f>IF($P107="","N/A",(IF($P107=-1,INDEX('卡片raw data'!T:T,MATCH($D107,'卡片raw data'!$F:$F,)),0)+IF($P107=0,INDEX('卡片raw data'!W:W,MATCH($D107,'卡片raw data'!$F:$F,)),0)+IF($P107=1,INDEX('卡片raw data'!Z:Z,MATCH($D107,'卡片raw data'!$F:$F,)),0)+IF($P107=2,INDEX('卡片raw data'!AC:AC,MATCH($D107,'卡片raw data'!$F:$F,)),0)+IF($P107=3,INDEX('卡片raw data'!AF:AF,MATCH($D107,'卡片raw data'!$F:$F,)),0)+IF($P107=4,INDEX('卡片raw data'!AI:AI,MATCH($D107,'卡片raw data'!$F:$F,)),0)+IF($P107=5,INDEX('卡片raw data'!AL:AL,MATCH($D107,'卡片raw data'!$F:$F,)),0)+INDEX('卡片raw data'!T:T,MATCH($D107,'卡片raw data'!$F:$F,))*(IF($F107="UR",0.04,0.033))*(IF($F107="UR",INDEX(绊状态确认!$S:$S,MATCH($G107,绊状态确认!$B:$B,))/2-40)+IF($F107="SR",INDEX(绊状态确认!$R:$R,MATCH($G107,绊状态确认!$B:$B,))/4-15))+IF($F107="R",INDEX(绊状态确认!$Q:$Q,MATCH($G107,绊状态确认!$B:$B,))/6-40/6)))*(INDEX(绊状态确认!$H:$H,MATCH($G107,绊状态确认!$B:$B,))+INDEX(绊状态确认!K:K,MATCH($G107,绊状态确认!$B:$B,)))</f>
        <v>5813.158742399999</v>
      </c>
      <c r="AN107" s="1106">
        <f>IF($P107="","N/A",(IF($P107=-1,INDEX('卡片raw data'!U:U,MATCH($D107,'卡片raw data'!$F:$F,)),0)+IF($P107=0,INDEX('卡片raw data'!X:X,MATCH($D107,'卡片raw data'!$F:$F,)),0)+IF($P107=1,INDEX('卡片raw data'!AA:AA,MATCH($D107,'卡片raw data'!$F:$F,)),0)+IF($P107=2,INDEX('卡片raw data'!AD:AD,MATCH($D107,'卡片raw data'!$F:$F,)),0)+IF($P107=3,INDEX('卡片raw data'!AG:AG,MATCH($D107,'卡片raw data'!$F:$F,)),0)+IF($P107=4,INDEX('卡片raw data'!AJ:AJ,MATCH($D107,'卡片raw data'!$F:$F,)),0)+IF($P107=5,INDEX('卡片raw data'!AM:AM,MATCH($D107,'卡片raw data'!$F:$F,)),0)+INDEX('卡片raw data'!U:U,MATCH($D107,'卡片raw data'!$F:$F,))*(IF($F107="UR",0.04,0.033))*(IF($F107="UR",INDEX(绊状态确认!$S:$S,MATCH($G107,绊状态确认!$B:$B,))/2-40)+IF($F107="SR",INDEX(绊状态确认!$R:$R,MATCH($G107,绊状态确认!$B:$B,))/4-15))+IF($F107="R",INDEX(绊状态确认!$Q:$Q,MATCH($G107,绊状态确认!$B:$B,))/6-40/6)))*(INDEX(绊状态确认!$H:$H,MATCH($G107,绊状态确认!$B:$B,))+INDEX(绊状态确认!L:L,MATCH($G107,绊状态确认!$B:$B,)))</f>
        <v>6285.8102303999995</v>
      </c>
      <c r="AO107" s="1107">
        <f t="shared" si="109"/>
        <v>1</v>
      </c>
      <c r="AP107" s="1131">
        <f>1+(INDEX(绊状态确认!$T:$T,MATCH($G107,绊状态确认!$B:$B,))+0.2)*$AO107</f>
        <v>1.3</v>
      </c>
      <c r="AQ107" s="1108">
        <f t="shared" si="110"/>
        <v>12731.690052099999</v>
      </c>
      <c r="AR107" s="1097">
        <f>(AM107*(1+$EX$9)+$EX$35)*(1+(INDEX(绊状态确认!$T:$T,MATCH($G107,绊状态确认!$B:$B,))+0.2)*AO107)*IF(J107=$FF$17,1+$FE$17,1)*IF(I107=$FF$14,1+$FE$14,1)</f>
        <v>10638.961683375999</v>
      </c>
      <c r="AS107" s="1097">
        <f>(AN107*(1+$EX$10)+$EX$36)*(1+(INDEX(绊状态确认!$T:$T,MATCH($G107,绊状态确认!$B:$B,))+0.2)*AO107)*IF(J107=$FF$17,1+$FE$17,1)*IF(I107=$FF$14,1+$FE$14,1)</f>
        <v>13453.286294447998</v>
      </c>
      <c r="AT107" s="1093">
        <f>IF(AND(INDEX('卡片raw data'!AK:AK,MATCH($D107,'卡片raw data'!$F:$F,))&lt;INDEX('卡片raw data'!AM:AM,MATCH($D107,'卡片raw data'!$F:$F,)),INDEX('卡片raw data'!AL:AL,MATCH($D107,'卡片raw data'!$F:$F,))&lt;INDEX('卡片raw data'!AM:AM,MATCH($D107,'卡片raw data'!$F:$F,))),1,0)</f>
        <v>1</v>
      </c>
      <c r="AU107" s="1098">
        <f>MIN(AT107*0.15+AS107*0.00003+INDEX(绊状态确认!M:M,MATCH($G107,绊状态确认!$B:$B,)),1)</f>
        <v>0.58359858883343996</v>
      </c>
      <c r="AV107" s="1109">
        <f>(INDEX(绊状态确认!$N:$N,MATCH($G107,绊状态确认!$B:$B,))+1.5)*$EW$21</f>
        <v>2.6599999999999997</v>
      </c>
      <c r="AW107" s="1101">
        <f t="shared" si="111"/>
        <v>13017.848441000426</v>
      </c>
      <c r="AX107" s="1097">
        <f t="shared" si="112"/>
        <v>908.23327310600916</v>
      </c>
      <c r="AY107" s="1110">
        <f t="shared" si="113"/>
        <v>13926.081714106434</v>
      </c>
      <c r="AZ107" s="429">
        <f t="shared" si="114"/>
        <v>9643.5411815599982</v>
      </c>
      <c r="BA107" s="431">
        <f t="shared" si="115"/>
        <v>11572.249417871997</v>
      </c>
      <c r="BB107" s="1097">
        <f>(AM107*(1+$FB$9)+$FB$35)*(1+(INDEX(绊状态确认!$T:$T,MATCH($G107,绊状态确认!$B:$B,))+0.2)*AO107)*IF(J107=$FF$17,1+$FE$17,1)*IF(I107=$FF$14,1+$FE$14,1)*(1+$FE$15)</f>
        <v>10638.961683375999</v>
      </c>
      <c r="BC107" s="1097">
        <f>(AN107*(1+$FB$10)+$FB$36)*(1+(INDEX(绊状态确认!$T:$T,MATCH($G107,绊状态确认!$B:$B,))+0.2)*AO107)*IF(J107=$FF$17,1+$FE$17,1)*IF(I107=$FF$14,1+$FE$14,1)*(1+$FE$15)</f>
        <v>13453.286294447998</v>
      </c>
      <c r="BD107" s="1104">
        <f>MIN(AT107*0.15+BC107*0.00003+INDEX(绊状态确认!M:M,MATCH($G107,绊状态确认!$B:$B,)),1)</f>
        <v>0.58359858883343996</v>
      </c>
      <c r="BE107" s="432">
        <f>(INDEX(绊状态确认!$N:$N,MATCH($G107,绊状态确认!$B:$B,))+1.5)</f>
        <v>1.9</v>
      </c>
      <c r="BF107" s="1139">
        <f t="array" ref="BF107">SUMPRODUCT(IF(AZ107*AP107*$FI$16:$FI$23*$FA$22&gt;=$FI$24,$FI$24,AZ107*AP107*$FI$16:$FI$23*$FA$22),$FJ$16:$FJ$23)</f>
        <v>19181.003410122838</v>
      </c>
      <c r="BG107" s="1125">
        <f t="array" ref="BG107">SUMPRODUCT(IF(BE107*AZ107*AP107*$FI$16:$FI$23*$FA$22&gt;=$FI$24,$FI$24,BE107*AZ107*AP107*$FI$16:$FI$23*$FA$22),$FJ$16:$FJ$23)</f>
        <v>36443.906479233388</v>
      </c>
      <c r="BH107" s="1110">
        <f t="shared" si="116"/>
        <v>9751.8697601414042</v>
      </c>
      <c r="BI107" s="1111">
        <f>IF(O107="vo",$EW$26/$EW$24*0.05,0)+IF(O107="sk",-$EW$26/$EW$24*(0.05-INDEX(绊状态确认!W:W,MATCH($G107,绊状态确认!$B:$B,)))+0.05*$EW$28,0)+IF(O107="sp",0.05*$EW$32*$EW$30*(1-$EW$33)-(0.05-INDEX(绊状态确认!V:V,MATCH($G107,绊状态确认!$B:$B,)))*$EW$28,0)+IF(O107="gd",-(0.05-INDEX(绊状态确认!X:X,MATCH($G107,绊状态确认!$B:$B,)))*$EW$32*$EW$30*(1-$EW$33),0)</f>
        <v>19.999999999999886</v>
      </c>
      <c r="BJ107" s="1097">
        <f>IF(O107="vo",0.05*(1-$FI$26)*$FA$24,0)+IF(O107="sk",-(0.05-INDEX(绊状态确认!W:W,MATCH($G107,绊状态确认!$B:$B,)))*(1-$FI$26)*$FA$24+0.05*$FA$26,0)+IF(O107="sp",0.05*$FA$32*$FA$27*(1-$FA$33)/$FA$30+0.05*$FA$29/$FA$69*$FA$27*(1-$FA$33)-(0.05-INDEX(绊状态确认!V:V,MATCH($G107,绊状态确认!$B:$B,)))*$FA$26,0)+IF(O107="gd",-(0.05-INDEX(绊状态确认!X:X,MATCH($G107,绊状态确认!$B:$B,)))*$FA$32*$FA$27*(1-$FA$33)/$FA$30-(0.05-INDEX(绊状态确认!X:X,MATCH($G107,绊状态确认!$B:$B,)))*$FA$29/$FA$69*$FA$27*(1-$FA$33),0)</f>
        <v>545.83333333333326</v>
      </c>
      <c r="BK107" s="1110">
        <f>IF(O107="vo",$EW$26/$EW$24*0.05+$EW$26*(-HP($EW$62,$EW$65,$EW$64)+HP($EW$62,$EW$65,(1.05-INDEX(绊状态确认!U:U,MATCH($G107,绊状态确认!$B:$B,)))*$EW$64)),0)+IF(O107="sk",-$EW$26/$EW$24*(0.05-INDEX(绊状态确认!W:W,MATCH($G107,绊状态确认!$B:$B,)))+0.05*$EW$29,0)+IF(O107="sp",0.05*$EW$32*$EW$30*(1-$EW$33)-(0.05-INDEX(绊状态确认!V:V,MATCH($G107,绊状态确认!$B:$B,)))*$EW$29,0)+IF(O107="gd",-(0.05-INDEX(绊状态确认!X:X,MATCH($G107,绊状态确认!$B:$B,)))*$EW$32*$EW$30*(1-$EW$33)+$EW$26*(-HP($EW$62,$EW$65,$EW$64)+HP($EW$62,$EW$65,0.95*$EW$64)),0)</f>
        <v>-1780.0000000000005</v>
      </c>
      <c r="BL107" s="1111">
        <f t="shared" si="117"/>
        <v>-1083.3333333333333</v>
      </c>
      <c r="BM107" s="1110">
        <f t="shared" si="118"/>
        <v>-830.55555555555543</v>
      </c>
      <c r="BN107" s="1113">
        <f t="shared" si="119"/>
        <v>3</v>
      </c>
      <c r="BO107" s="1097">
        <f t="shared" si="120"/>
        <v>4507.7214871259994</v>
      </c>
      <c r="BP107" s="1100">
        <f t="shared" si="121"/>
        <v>221.34103209030098</v>
      </c>
      <c r="BQ107" s="1113" t="s">
        <v>623</v>
      </c>
      <c r="BR107" s="1124" t="s">
        <v>557</v>
      </c>
      <c r="BS107" s="1098">
        <f>IF($P107="","N/A",IF($P107=-1,INDEX('卡片raw data'!AX:AX,MATCH($D107,'卡片raw data'!$F:$F,)),0)+IF($L107="party卡",IF($P107=5,INDEX('卡片raw data'!BD:BD,MATCH($D107,'卡片raw data'!$F:$F,)),IF($P107&gt;=3,INDEX('卡片raw data'!BC:BC,MATCH($D107,'卡片raw data'!$F:$F,)),INDEX('卡片raw data'!BB:BB,MATCH($D107,'卡片raw data'!$F:$F,)))),IF(OR(AND($F107="UR",$P107=0),AND($F107="SR",$P107&gt;=0,$P107&lt;=2),AND($F107="R",$P107&gt;=0,$P107&lt;4)),INDEX('卡片raw data'!AZ:AZ,MATCH($D107,'卡片raw data'!$F:$F,)),0)+IF(OR(AND($F107="UR",$P107&gt;=1,$P107&lt;=4),AND($F107="SR",$P107&lt;=4,$P107&gt;=3),AND($F107="R",$P107=4)),INDEX('卡片raw data'!BA:BA,MATCH($D107,'卡片raw data'!$F:$F,)),0)+IF($P107=5,INDEX('卡片raw data'!BB:BB,MATCH($D107,'卡片raw data'!$F:$F,)),0)))</f>
        <v>3.6999999999999998E-2</v>
      </c>
      <c r="BT107" s="1101">
        <f t="shared" si="122"/>
        <v>1482.5395113214399</v>
      </c>
      <c r="BU107" s="1097">
        <f t="shared" si="123"/>
        <v>109.19490916454849</v>
      </c>
      <c r="BV107" s="1097">
        <f t="shared" si="124"/>
        <v>833.92847511830996</v>
      </c>
      <c r="BW107" s="1112">
        <f t="shared" si="125"/>
        <v>0</v>
      </c>
      <c r="BX107" s="1100">
        <f t="shared" si="126"/>
        <v>1482.5395113214399</v>
      </c>
      <c r="BY107" s="1110">
        <f t="shared" si="127"/>
        <v>833.92847511830996</v>
      </c>
      <c r="BZ107" s="1107" t="s">
        <v>569</v>
      </c>
      <c r="CA107" s="1124"/>
      <c r="CB107" s="1098">
        <f>IF($P107="","N/A",IF($P107=-1,INDEX('卡片raw data'!BE:BE,MATCH($D107,'卡片raw data'!$F:$F,)),0)+IF($L107="party卡",IF($P107=5,INDEX('卡片raw data'!BK:BK,MATCH($D107,'卡片raw data'!$F:$F,)),IF($P107&gt;=3,INDEX('卡片raw data'!BJ:BJ,MATCH($D107,'卡片raw data'!$F:$F,)),INDEX('卡片raw data'!BI:BI,MATCH($D107,'卡片raw data'!$F:$F,)))),IF(OR(AND($F107="UR",$P107=0),AND($F107="SR",$P107&gt;=0,$P107&lt;=2),AND($F107="R",$P107&gt;=0,$P107&lt;4)),INDEX('卡片raw data'!BG:BG,MATCH($D107,'卡片raw data'!$F:$F,)),0)+IF(OR(AND($F107="UR",$P107&gt;=1,$P107&lt;=4),AND($F107="SR",$P107&lt;=4,$P107&gt;=3),AND($F107="R",$P107=4)),INDEX('卡片raw data'!BH:BH,MATCH($D107,'卡片raw data'!$F:$F,)),0)+IF($P107=5,INDEX('卡片raw data'!BI:BI,MATCH($D107,'卡片raw data'!$F:$F,)),0)))</f>
        <v>0</v>
      </c>
      <c r="CC107" s="1101">
        <f t="shared" si="128"/>
        <v>0</v>
      </c>
      <c r="CD107" s="1097">
        <f>IF(BZ107="ap",CB107*(1-$FI$26)*$FB$5/$FB$11*(+IF(CA107="全员",$FA$24,0)+IF(CA107="同作战",$FA$24,0)+IF(CA107="仲间",$FA$24*2/3,0)+IF(CA107="同属性",$FA$24*$FA$37/3,0)+IF(CA107="同年级",$FA$24*$FA$40/3,0)+IF(CA107="同学校",$FA$24*$FA$43/3,0)+IF(CA107="同小队",$FA$24*$FA$46/3,0)+IF(CA107="同type",$FA$24*INDEX($FB$49:$FB$52,MATCH(X107,$FA$49:$FA$52,))/3,0)+IF(CA107="自身",#REF!/3,0)),0)+IF(BZ107="te",CB107*(1-$FI$27)*($FA$20-1)*$FB$7/$FB$13*(+IF(CA107="全员",$FA$19*$FA$24/(1+($FA$20-1)*$FA$19),0)+IF(CA107="同作战",$FA$19*$FA$24/(1+($FA$20-1)*$FA$19),0)+IF(CA107="仲间",$FA$19*$FA$24*2/3/(1+($FA$20-1)*$FA$19),0)+IF(CA107="同属性",$FA$19*$FA$24*$FA$37/3/(1+($FA$20-1)*$FA$19),0)+IF(CA107="同年级",$FA$19*$FA$24*$FA$40/3/(1+($FA$20-1)*$FA$19),0)+IF(CA107="同学校",$FA$19*$FA$24*$FA$43/3/(1+($FA$20-1)*$FA$19),0)+IF(CA107="同小队",$FA$19*$FA$24*$FA$46/3/(1+($FA$20-1)*$FA$19),0)+IF(CA107="同type",$FA$19*$FA$24*INDEX($FB$49:$FB$52,MATCH(X107,$FA$49:$FA$52,))/3/(1+($FA$20-1)*$FA$19),0)+IF(CA107="自身",$FA$19*#REF!/3/(1+(BH107-1)*$BD107),0)),0)</f>
        <v>0</v>
      </c>
      <c r="CE107" s="1097">
        <f t="shared" si="129"/>
        <v>0</v>
      </c>
      <c r="CF107" s="1112">
        <f t="shared" si="130"/>
        <v>0</v>
      </c>
      <c r="CG107" s="1100">
        <f t="shared" si="131"/>
        <v>0</v>
      </c>
      <c r="CH107" s="1110">
        <f t="shared" si="132"/>
        <v>0</v>
      </c>
      <c r="CI107" s="1113" t="s">
        <v>164</v>
      </c>
      <c r="CJ107" s="1114">
        <v>0.3</v>
      </c>
      <c r="CK107" s="1115" t="s">
        <v>565</v>
      </c>
      <c r="CL107" s="1115" t="s">
        <v>161</v>
      </c>
      <c r="CM107" s="1119">
        <v>0.08</v>
      </c>
      <c r="CN107" s="1115">
        <v>10</v>
      </c>
      <c r="CO107" s="1092"/>
      <c r="CP107" s="1118">
        <f t="shared" si="133"/>
        <v>5.1428571428571426E-3</v>
      </c>
      <c r="CQ107" s="1118">
        <f t="shared" si="134"/>
        <v>8.0000000000000002E-3</v>
      </c>
      <c r="CR107" s="1118">
        <f t="shared" si="135"/>
        <v>5.1428571428571426E-3</v>
      </c>
      <c r="CS107" s="1118">
        <f t="shared" si="136"/>
        <v>0</v>
      </c>
      <c r="CT107" s="1109">
        <f t="shared" si="137"/>
        <v>1.375</v>
      </c>
      <c r="CU107" s="1101">
        <f t="shared" si="138"/>
        <v>66.857142857142847</v>
      </c>
      <c r="CV107" s="1108">
        <f t="shared" si="139"/>
        <v>79.73333333333332</v>
      </c>
      <c r="CW107" s="1097">
        <f t="shared" si="140"/>
        <v>66.857142857142847</v>
      </c>
      <c r="CX107" s="1097">
        <f t="shared" si="141"/>
        <v>66.857142857142847</v>
      </c>
      <c r="CY107" s="1110">
        <f t="shared" si="142"/>
        <v>66.857142857142847</v>
      </c>
      <c r="CZ107" s="437"/>
      <c r="DA107" s="438"/>
      <c r="DB107" s="439" t="s">
        <v>569</v>
      </c>
      <c r="DC107" s="439"/>
      <c r="DD107" s="443"/>
      <c r="DE107" s="411"/>
      <c r="DF107" s="411"/>
      <c r="DG107" s="1116">
        <f t="shared" si="143"/>
        <v>0</v>
      </c>
      <c r="DH107" s="1116">
        <f t="shared" si="144"/>
        <v>0</v>
      </c>
      <c r="DI107" s="1116">
        <f t="shared" si="145"/>
        <v>0</v>
      </c>
      <c r="DJ107" s="442">
        <f t="shared" si="146"/>
        <v>0</v>
      </c>
      <c r="DK107" s="1109">
        <f t="shared" si="147"/>
        <v>0</v>
      </c>
      <c r="DL107" s="1101">
        <f t="shared" si="148"/>
        <v>0</v>
      </c>
      <c r="DM107" s="1097">
        <f t="shared" si="149"/>
        <v>0</v>
      </c>
      <c r="DN107" s="1097">
        <f t="shared" si="150"/>
        <v>0</v>
      </c>
      <c r="DO107" s="1097">
        <f t="shared" si="151"/>
        <v>0</v>
      </c>
      <c r="DP107" s="1110">
        <f t="shared" si="152"/>
        <v>0</v>
      </c>
      <c r="DQ107" s="1113" t="s">
        <v>636</v>
      </c>
      <c r="DR107" s="1120">
        <f t="shared" si="153"/>
        <v>0.3</v>
      </c>
      <c r="DS107" s="1124"/>
      <c r="DT107" s="1093" t="s">
        <v>552</v>
      </c>
      <c r="DU107" s="1093"/>
      <c r="DV107" s="1098">
        <f>IF($P107="","N/A",IF(P107=-1,INDEX('卡片raw data'!AN:AN,MATCH(D107,'卡片raw data'!$F:$F,)),0)+IF(AND(L107&lt;&gt;"party卡",P107&lt;=2,P107&gt;=0),INDEX('卡片raw data'!AP:AP,MATCH(D107,'卡片raw data'!$F:$F,)),0)+IF(OR(AND(L107="party卡",P107&lt;=1),AND(P107&lt;=4,L107&lt;&gt;"party卡",P107&gt;=3)),INDEX('卡片raw data'!AQ:AQ,MATCH(D107,'卡片raw data'!$F:$F,)),0)+IF(OR(P107=5,AND(L107="party卡",P107&gt;=2)),INDEX('卡片raw data'!AR:AR,MATCH(D107,'卡片raw data'!$F:$F,)),0))</f>
        <v>0.27</v>
      </c>
      <c r="DW107" s="1098">
        <f t="shared" si="154"/>
        <v>0.3</v>
      </c>
      <c r="DX107" s="1098">
        <f t="shared" si="155"/>
        <v>0.3</v>
      </c>
      <c r="DY107" s="1125">
        <f t="shared" si="156"/>
        <v>287.25196545115199</v>
      </c>
      <c r="DZ107" s="1125">
        <f t="shared" si="157"/>
        <v>248.47295011524648</v>
      </c>
      <c r="EA107" s="1098">
        <f t="shared" si="158"/>
        <v>0</v>
      </c>
      <c r="EB107" s="1121">
        <f t="shared" si="159"/>
        <v>0</v>
      </c>
      <c r="EC107" s="1101">
        <f t="shared" si="160"/>
        <v>0</v>
      </c>
      <c r="ED107" s="1097">
        <f t="shared" si="161"/>
        <v>0</v>
      </c>
      <c r="EE107" s="1110">
        <f t="shared" si="162"/>
        <v>32200.569380010827</v>
      </c>
      <c r="EF107" s="1092" t="s">
        <v>711</v>
      </c>
      <c r="EG107" s="1120">
        <f t="shared" si="163"/>
        <v>0.3</v>
      </c>
      <c r="EH107" s="1124"/>
      <c r="EI107" s="1093"/>
      <c r="EJ107" s="1093"/>
      <c r="EK107" s="1097">
        <f>IF($P107="","N/A",IF(P107=-1,INDEX('卡片raw data'!AS:AS,MATCH(D107,'卡片raw data'!$F:$F,)),0)+IF(AND(L107&lt;&gt;"party卡",P107&lt;=2,P107&gt;=0),INDEX('卡片raw data'!AU:AU,MATCH(D107,'卡片raw data'!$F:$F,)),0)+IF(OR(AND(L107="party卡",P107&lt;=1),AND(P107&lt;=4,L107&lt;&gt;"party卡",P107&gt;=3)),INDEX('卡片raw data'!AV:AV,MATCH(D107,'卡片raw data'!$F:$F,)),0)+IF(OR(P107=5,AND(L107="party卡",P107&gt;=2)),INDEX('卡片raw data'!AW:AW,MATCH(D107,'卡片raw data'!$F:$F,)),0))</f>
        <v>0</v>
      </c>
      <c r="EL107" s="1098">
        <f t="shared" si="164"/>
        <v>0.3</v>
      </c>
      <c r="EM107" s="1098">
        <f t="shared" si="165"/>
        <v>0.3</v>
      </c>
      <c r="EN107" s="1125">
        <f t="shared" si="166"/>
        <v>0</v>
      </c>
      <c r="EO107" s="1125">
        <f t="shared" si="167"/>
        <v>0</v>
      </c>
      <c r="EP107" s="1098">
        <f t="shared" si="168"/>
        <v>0</v>
      </c>
      <c r="EQ107" s="1121">
        <f t="shared" si="169"/>
        <v>0</v>
      </c>
      <c r="ER107" s="1101">
        <f t="shared" si="170"/>
        <v>0</v>
      </c>
      <c r="ES107" s="1097">
        <f t="shared" si="171"/>
        <v>0</v>
      </c>
      <c r="ET107" s="1122">
        <f t="shared" si="172"/>
        <v>0</v>
      </c>
    </row>
    <row r="108" spans="2:150" ht="16.5" customHeight="1">
      <c r="B108" s="1123" t="str">
        <f>INDEX('卡片raw data'!B:B,MATCH($D108,'卡片raw data'!$F:$F,))</f>
        <v>恶魔善</v>
      </c>
      <c r="C108" s="449" t="s">
        <v>66</v>
      </c>
      <c r="D108" s="408">
        <v>105</v>
      </c>
      <c r="E108" s="1090">
        <v>301063001</v>
      </c>
      <c r="F108" s="1090" t="str">
        <f>INDEX('卡片raw data'!C:C,MATCH($D108,'卡片raw data'!$F:$F,))</f>
        <v>UR</v>
      </c>
      <c r="G108" s="1094" t="s">
        <v>38</v>
      </c>
      <c r="H108" s="411">
        <f>IFERROR(INDEX(绊状态确认!C:C,MATCH($G108,绊状态确认!$B:$B,)),"")</f>
        <v>106</v>
      </c>
      <c r="I108" s="1124" t="str">
        <f>IFERROR(INDEX(绊状态确认!D:D,MATCH($G108,绊状态确认!$B:$B,)),"")</f>
        <v>水</v>
      </c>
      <c r="J108" s="1124" t="str">
        <f>IFERROR(INDEX(绊状态确认!E:E,MATCH($G108,绊状态确认!$B:$B,)),"")</f>
        <v>1年级</v>
      </c>
      <c r="K108" s="451" t="str">
        <f>IFERROR(INDEX(绊状态确认!F:F,MATCH($G108,绊状态确认!$B:$B,)),"")</f>
        <v>Guilty Kiss</v>
      </c>
      <c r="L108" s="1094" t="str">
        <f>INDEX('卡片raw data'!E:E,MATCH($D108,'卡片raw data'!$F:$F,))</f>
        <v>卡池卡</v>
      </c>
      <c r="M108" s="415">
        <v>43753</v>
      </c>
      <c r="N108" s="416">
        <v>1.5</v>
      </c>
      <c r="O108" s="1091" t="str">
        <f>INDEX('卡片raw data'!D:D,MATCH($D108,'卡片raw data'!$F:$F,))</f>
        <v>gd</v>
      </c>
      <c r="P108" s="417">
        <v>5</v>
      </c>
      <c r="Q108" s="1095">
        <f t="shared" si="88"/>
        <v>32206.414709395169</v>
      </c>
      <c r="R108" s="1096">
        <f t="shared" si="89"/>
        <v>0.374</v>
      </c>
      <c r="S108" s="1097">
        <f t="shared" si="90"/>
        <v>16808.812351283232</v>
      </c>
      <c r="T108" s="1098">
        <f t="shared" si="91"/>
        <v>0.84</v>
      </c>
      <c r="U108" s="1099">
        <f t="shared" si="92"/>
        <v>773.66139379794299</v>
      </c>
      <c r="V108" s="1100">
        <f t="shared" si="93"/>
        <v>84344.24664725372</v>
      </c>
      <c r="W108" s="1101">
        <f t="shared" si="94"/>
        <v>4507.7214871259994</v>
      </c>
      <c r="X108" s="1096">
        <f t="shared" si="95"/>
        <v>5.1999999999999998E-2</v>
      </c>
      <c r="Y108" s="1097">
        <f t="shared" si="96"/>
        <v>4197.1288577775804</v>
      </c>
      <c r="Z108" s="1102">
        <f t="shared" si="97"/>
        <v>51.550932665142852</v>
      </c>
      <c r="AA108" s="1103">
        <f t="shared" si="98"/>
        <v>8704.8503449035798</v>
      </c>
      <c r="AB108" s="1101">
        <f t="shared" si="99"/>
        <v>4507.7214871259994</v>
      </c>
      <c r="AC108" s="1104">
        <f t="shared" si="100"/>
        <v>5.1999999999999998E-2</v>
      </c>
      <c r="AD108" s="1105">
        <f t="shared" si="101"/>
        <v>0</v>
      </c>
      <c r="AE108" s="1128">
        <f t="shared" si="102"/>
        <v>-6.25</v>
      </c>
      <c r="AF108" s="1130">
        <f t="shared" si="103"/>
        <v>9862.5286830719997</v>
      </c>
      <c r="AG108" s="420">
        <f t="shared" si="104"/>
        <v>84953.861728960008</v>
      </c>
      <c r="AH108" s="420">
        <f t="shared" si="105"/>
        <v>8.6138012328191689</v>
      </c>
      <c r="AI108" s="1097">
        <f t="shared" si="106"/>
        <v>111956.29745603391</v>
      </c>
      <c r="AJ108" s="420">
        <f t="shared" si="107"/>
        <v>84344.24664725372</v>
      </c>
      <c r="AK108" s="518">
        <f t="shared" si="108"/>
        <v>27612.050808780186</v>
      </c>
      <c r="AL108" s="1106">
        <f>IF($P108="","N/A",(IF($P108=-1,INDEX('卡片raw data'!S:S,MATCH($D108,'卡片raw data'!$F:$F,)),0)+IF($P108=0,INDEX('卡片raw data'!V:V,MATCH($D108,'卡片raw data'!$F:$F,)),0)+IF($P108=1,INDEX('卡片raw data'!Y:Y,MATCH($D108,'卡片raw data'!$F:$F,)),0)+IF($P108=2,INDEX('卡片raw data'!AB:AB,MATCH($D108,'卡片raw data'!$F:$F,)),0)+IF($P108=3,INDEX('卡片raw data'!AE:AE,MATCH($D108,'卡片raw data'!$F:$F,)),0)+IF($P108=4,INDEX('卡片raw data'!AH:AH,MATCH($D108,'卡片raw data'!$F:$F,)),0)+IF($P108=5,INDEX('卡片raw data'!AK:AK,MATCH($D108,'卡片raw data'!$F:$F,)),0)+INDEX('卡片raw data'!S:S,MATCH($D108,'卡片raw data'!$F:$F,))*(IF($F108="UR",0.04,0.033))*(IF($F108="UR",INDEX(绊状态确认!$S:$S,MATCH($G108,绊状态确认!$B:$B,))/2-40)+IF($F108="SR",INDEX(绊状态确认!$R:$R,MATCH($G108,绊状态确认!$B:$B,))/4-15))+IF($F108="R",INDEX(绊状态确认!$Q:$Q,MATCH($G108,绊状态确认!$B:$B,))/6-40/6)))*(INDEX(绊状态确认!$H:$H,MATCH($G108,绊状态确认!$B:$B,))+INDEX(绊状态确认!J:J,MATCH($G108,绊状态确认!$B:$B,)))</f>
        <v>9394.5733439999985</v>
      </c>
      <c r="AM108" s="1106">
        <f>IF($P108="","N/A",(IF($P108=-1,INDEX('卡片raw data'!T:T,MATCH($D108,'卡片raw data'!$F:$F,)),0)+IF($P108=0,INDEX('卡片raw data'!W:W,MATCH($D108,'卡片raw data'!$F:$F,)),0)+IF($P108=1,INDEX('卡片raw data'!Z:Z,MATCH($D108,'卡片raw data'!$F:$F,)),0)+IF($P108=2,INDEX('卡片raw data'!AC:AC,MATCH($D108,'卡片raw data'!$F:$F,)),0)+IF($P108=3,INDEX('卡片raw data'!AF:AF,MATCH($D108,'卡片raw data'!$F:$F,)),0)+IF($P108=4,INDEX('卡片raw data'!AI:AI,MATCH($D108,'卡片raw data'!$F:$F,)),0)+IF($P108=5,INDEX('卡片raw data'!AL:AL,MATCH($D108,'卡片raw data'!$F:$F,)),0)+INDEX('卡片raw data'!T:T,MATCH($D108,'卡片raw data'!$F:$F,))*(IF($F108="UR",0.04,0.033))*(IF($F108="UR",INDEX(绊状态确认!$S:$S,MATCH($G108,绊状态确认!$B:$B,))/2-40)+IF($F108="SR",INDEX(绊状态确认!$R:$R,MATCH($G108,绊状态确认!$B:$B,))/4-15))+IF($F108="R",INDEX(绊状态确认!$Q:$Q,MATCH($G108,绊状态确认!$B:$B,))/6-40/6)))*(INDEX(绊状态确认!$H:$H,MATCH($G108,绊状态确认!$B:$B,))+INDEX(绊状态确认!K:K,MATCH($G108,绊状态确认!$B:$B,)))</f>
        <v>12527.673599999998</v>
      </c>
      <c r="AN108" s="1106">
        <f>IF($P108="","N/A",(IF($P108=-1,INDEX('卡片raw data'!U:U,MATCH($D108,'卡片raw data'!$F:$F,)),0)+IF($P108=0,INDEX('卡片raw data'!X:X,MATCH($D108,'卡片raw data'!$F:$F,)),0)+IF($P108=1,INDEX('卡片raw data'!AA:AA,MATCH($D108,'卡片raw data'!$F:$F,)),0)+IF($P108=2,INDEX('卡片raw data'!AD:AD,MATCH($D108,'卡片raw data'!$F:$F,)),0)+IF($P108=3,INDEX('卡片raw data'!AG:AG,MATCH($D108,'卡片raw data'!$F:$F,)),0)+IF($P108=4,INDEX('卡片raw data'!AJ:AJ,MATCH($D108,'卡片raw data'!$F:$F,)),0)+IF($P108=5,INDEX('卡片raw data'!AM:AM,MATCH($D108,'卡片raw data'!$F:$F,)),0)+INDEX('卡片raw data'!U:U,MATCH($D108,'卡片raw data'!$F:$F,))*(IF($F108="UR",0.04,0.033))*(IF($F108="UR",INDEX(绊状态确认!$S:$S,MATCH($G108,绊状态确认!$B:$B,))/2-40)+IF($F108="SR",INDEX(绊状态确认!$R:$R,MATCH($G108,绊状态确认!$B:$B,))/4-15))+IF($F108="R",INDEX(绊状态确认!$Q:$Q,MATCH($G108,绊状态确认!$B:$B,))/6-40/6)))*(INDEX(绊状态确认!$H:$H,MATCH($G108,绊状态确认!$B:$B,))+INDEX(绊状态确认!L:L,MATCH($G108,绊状态确认!$B:$B,)))</f>
        <v>9394.5733439999985</v>
      </c>
      <c r="AO108" s="1107">
        <f t="shared" si="109"/>
        <v>1</v>
      </c>
      <c r="AP108" s="1131">
        <f>1+(INDEX(绊状态确认!$T:$T,MATCH($G108,绊状态确认!$B:$B,))+0.2)*$AO108</f>
        <v>1.3</v>
      </c>
      <c r="AQ108" s="1108">
        <f t="shared" si="110"/>
        <v>27910.755028</v>
      </c>
      <c r="AR108" s="1097">
        <f>(AM108*(1+$EX$9)+$EX$35)*(1+(INDEX(绊状态确认!$T:$T,MATCH($G108,绊状态确认!$B:$B,))+0.2)*AO108)*IF(J108=$FF$17,1+$FE$17,1)*IF(I108=$FF$14,1+$FE$14,1)*(1+$FE$15)</f>
        <v>19804.274463999998</v>
      </c>
      <c r="AS108" s="1097">
        <f>(AN108*(1+$EX$10)+$EX$36)*(1+(INDEX(绊状态确认!$T:$T,MATCH($G108,绊状态确认!$B:$B,))+0.2)*AO108)*IF(J108=$FF$17,1+$FE$17,1)*IF(I108=$FF$14,1+$FE$14,1)*(1+$FE$15)</f>
        <v>18100.887149279999</v>
      </c>
      <c r="AT108" s="1093">
        <f>IF(AND(INDEX('卡片raw data'!AK:AK,MATCH($D108,'卡片raw data'!$F:$F,))&lt;INDEX('卡片raw data'!AM:AM,MATCH($D108,'卡片raw data'!$F:$F,)),INDEX('卡片raw data'!AL:AL,MATCH($D108,'卡片raw data'!$F:$F,))&lt;INDEX('卡片raw data'!AM:AM,MATCH($D108,'卡片raw data'!$F:$F,))),1,0)</f>
        <v>0</v>
      </c>
      <c r="AU108" s="1098">
        <f>MIN(AT108*0.15+AS108*0.00003+INDEX(绊状态确认!M:M,MATCH($G108,绊状态确认!$B:$B,)),1)</f>
        <v>0.57302661447839998</v>
      </c>
      <c r="AV108" s="1109">
        <f>(INDEX(绊状态确认!$N:$N,MATCH($G108,绊状态确认!$B:$B,))+1.5)*$EW$21</f>
        <v>2.6599999999999997</v>
      </c>
      <c r="AW108" s="1101">
        <f t="shared" si="111"/>
        <v>28283.693222269168</v>
      </c>
      <c r="AX108" s="1097">
        <f t="shared" si="112"/>
        <v>1725.3393282432658</v>
      </c>
      <c r="AY108" s="1110">
        <f t="shared" si="113"/>
        <v>30009.032550512435</v>
      </c>
      <c r="AZ108" s="429">
        <f t="shared" si="114"/>
        <v>20919.418020799996</v>
      </c>
      <c r="BA108" s="431">
        <f t="shared" si="115"/>
        <v>25103.301624959993</v>
      </c>
      <c r="BB108" s="1097">
        <f>(AM108*(1+$FB$9)+$FB$35)*(1+(INDEX(绊状态确认!$T:$T,MATCH($G108,绊状态确认!$B:$B,))+0.2)*AO108)*IF(J108=$FF$17,1+$FE$17,1)*IF(I108=$FF$14,1+$FE$14,1)*(1+$FE$15)</f>
        <v>19804.274463999998</v>
      </c>
      <c r="BC108" s="1097">
        <f>(AN108*(1+$FB$10)+$FB$36)*(1+(INDEX(绊状态确认!$T:$T,MATCH($G108,绊状态确认!$B:$B,))+0.2)*AO108)*IF(J108=$FF$17,1+$FE$17,1)*IF(I108=$FF$14,1+$FE$14,1)*(1+$FE$15)</f>
        <v>18100.887149279999</v>
      </c>
      <c r="BD108" s="1104">
        <f>MIN(AT108*0.15+BC108*0.00003+INDEX(绊状态确认!M:M,MATCH($G108,绊状态确认!$B:$B,)),1)</f>
        <v>0.57302661447839998</v>
      </c>
      <c r="BE108" s="432">
        <f>(INDEX(绊状态确认!$N:$N,MATCH($G108,绊状态确认!$B:$B,))+1.5)</f>
        <v>1.9</v>
      </c>
      <c r="BF108" s="1139">
        <f t="array" ref="BF108">SUMPRODUCT(IF(AZ108*AP108*$FI$16:$FI$23*$FA$22&gt;=$FI$24,$FI$24,AZ108*AP108*$FI$16:$FI$23*$FA$22),$FJ$16:$FJ$23)</f>
        <v>41608.722443371196</v>
      </c>
      <c r="BG108" s="1125">
        <f t="array" ref="BG108">SUMPRODUCT(IF(BE108*AZ108*AP108*$FI$16:$FI$23*$FA$22&gt;=$FI$24,$FI$24,BE108*AZ108*AP108*$FI$16:$FI$23*$FA$22),$FJ$16:$FJ$23)</f>
        <v>60000</v>
      </c>
      <c r="BH108" s="1110">
        <f t="shared" si="116"/>
        <v>17382.47131919293</v>
      </c>
      <c r="BI108" s="1111">
        <f>IF(O108="vo",$EW$26/$EW$24*0.05,0)+IF(O108="sk",-$EW$26/$EW$24*(0.05-INDEX(绊状态确认!W:W,MATCH($G108,绊状态确认!$B:$B,)))+0.05*$EW$28,0)+IF(O108="sp",0.05*$EW$32*$EW$30*(1-$EW$33)-(0.05-INDEX(绊状态确认!V:V,MATCH($G108,绊状态确认!$B:$B,)))*$EW$28,0)+IF(O108="gd",-(0.05-INDEX(绊状态确认!X:X,MATCH($G108,绊状态确认!$B:$B,)))*$EW$32*$EW$30*(1-$EW$33),0)</f>
        <v>-585.00000000000011</v>
      </c>
      <c r="BJ108" s="1097">
        <f>IF(O108="vo",0.05*(1-$FI$26)*$FA$24,0)+IF(O108="sk",-(0.05-INDEX(绊状态确认!W:W,MATCH($G108,绊状态确认!$B:$B,)))*(1-$FI$26)*$FA$24+0.05*$FA$26,0)+IF(O108="sp",0.05*$FA$32*$FA$27*(1-$FA$33)/$FA$30+0.05*$FA$29/$FA$69*$FA$27*(1-$FA$33)-(0.05-INDEX(绊状态确认!V:V,MATCH($G108,绊状态确认!$B:$B,)))*$FA$26,0)+IF(O108="gd",-(0.05-INDEX(绊状态确认!X:X,MATCH($G108,绊状态确认!$B:$B,)))*$FA$32*$FA$27*(1-$FA$33)/$FA$30-(0.05-INDEX(绊状态确认!X:X,MATCH($G108,绊状态确认!$B:$B,)))*$FA$29/$FA$69*$FA$27*(1-$FA$33),0)</f>
        <v>-795.00000000000011</v>
      </c>
      <c r="BK108" s="1110">
        <f>IF(O108="vo",$EW$26/$EW$24*0.05+$EW$26*(-HP($EW$62,$EW$65,$EW$64)+HP($EW$62,$EW$65,(1.05-INDEX(绊状态确认!U:U,MATCH($G108,绊状态确认!$B:$B,)))*$EW$64)),0)+IF(O108="sk",-$EW$26/$EW$24*(0.05-INDEX(绊状态确认!W:W,MATCH($G108,绊状态确认!$B:$B,)))+0.05*$EW$29,0)+IF(O108="sp",0.05*$EW$32*$EW$30*(1-$EW$33)-(0.05-INDEX(绊状态确认!V:V,MATCH($G108,绊状态确认!$B:$B,)))*$EW$29,0)+IF(O108="gd",-(0.05-INDEX(绊状态确认!X:X,MATCH($G108,绊状态确认!$B:$B,)))*$EW$32*$EW$30*(1-$EW$33)+$EW$26*(-HP($EW$62,$EW$65,$EW$64)+HP($EW$62,$EW$65,0.95*$EW$64)),0)</f>
        <v>1009.5947725176144</v>
      </c>
      <c r="BL108" s="1111">
        <f t="shared" si="117"/>
        <v>0</v>
      </c>
      <c r="BM108" s="1110">
        <f t="shared" si="118"/>
        <v>0</v>
      </c>
      <c r="BN108" s="1113">
        <f t="shared" si="119"/>
        <v>3</v>
      </c>
      <c r="BO108" s="1097">
        <f t="shared" si="120"/>
        <v>4507.7214871259994</v>
      </c>
      <c r="BP108" s="1100">
        <f t="shared" si="121"/>
        <v>221.34103209030098</v>
      </c>
      <c r="BQ108" s="1113" t="s">
        <v>144</v>
      </c>
      <c r="BR108" s="1124" t="s">
        <v>149</v>
      </c>
      <c r="BS108" s="1098">
        <f>IF($P108="","N/A",IF($P108=-1,INDEX('卡片raw data'!AX:AX,MATCH($D108,'卡片raw data'!$F:$F,)),0)+IF($L108="party卡",IF($P108=5,INDEX('卡片raw data'!BD:BD,MATCH($D108,'卡片raw data'!$F:$F,)),IF($P108&gt;=3,INDEX('卡片raw data'!BC:BC,MATCH($D108,'卡片raw data'!$F:$F,)),INDEX('卡片raw data'!BB:BB,MATCH($D108,'卡片raw data'!$F:$F,)))),IF(OR(AND($F108="UR",$P108=0),AND($F108="SR",$P108&gt;=0,$P108&lt;=2),AND($F108="R",$P108&gt;=0,$P108&lt;4)),INDEX('卡片raw data'!AZ:AZ,MATCH($D108,'卡片raw data'!$F:$F,)),0)+IF(OR(AND($F108="UR",$P108&gt;=1,$P108&lt;=4),AND($F108="SR",$P108&lt;=4,$P108&gt;=3),AND($F108="R",$P108=4)),INDEX('卡片raw data'!BA:BA,MATCH($D108,'卡片raw data'!$F:$F,)),0)+IF($P108=5,INDEX('卡片raw data'!BB:BB,MATCH($D108,'卡片raw data'!$F:$F,)),0)))</f>
        <v>5.1999999999999998E-2</v>
      </c>
      <c r="BT108" s="1101">
        <f t="shared" si="122"/>
        <v>0</v>
      </c>
      <c r="BU108" s="1097">
        <f t="shared" si="123"/>
        <v>0</v>
      </c>
      <c r="BV108" s="1097">
        <f t="shared" si="124"/>
        <v>0</v>
      </c>
      <c r="BW108" s="1112">
        <f t="shared" si="125"/>
        <v>4.8694285714285721</v>
      </c>
      <c r="BX108" s="1100">
        <f t="shared" si="126"/>
        <v>382.86674747391328</v>
      </c>
      <c r="BY108" s="1110">
        <f t="shared" si="127"/>
        <v>382.86674747391328</v>
      </c>
      <c r="BZ108" s="1107" t="s">
        <v>569</v>
      </c>
      <c r="CA108" s="1124"/>
      <c r="CB108" s="1098">
        <f>IF($P108="","N/A",IF($P108=-1,INDEX('卡片raw data'!BE:BE,MATCH($D108,'卡片raw data'!$F:$F,)),0)+IF($L108="party卡",IF($P108=5,INDEX('卡片raw data'!BK:BK,MATCH($D108,'卡片raw data'!$F:$F,)),IF($P108&gt;=3,INDEX('卡片raw data'!BJ:BJ,MATCH($D108,'卡片raw data'!$F:$F,)),INDEX('卡片raw data'!BI:BI,MATCH($D108,'卡片raw data'!$F:$F,)))),IF(OR(AND($F108="UR",$P108=0),AND($F108="SR",$P108&gt;=0,$P108&lt;=2),AND($F108="R",$P108&gt;=0,$P108&lt;4)),INDEX('卡片raw data'!BG:BG,MATCH($D108,'卡片raw data'!$F:$F,)),0)+IF(OR(AND($F108="UR",$P108&gt;=1,$P108&lt;=4),AND($F108="SR",$P108&lt;=4,$P108&gt;=3),AND($F108="R",$P108=4)),INDEX('卡片raw data'!BH:BH,MATCH($D108,'卡片raw data'!$F:$F,)),0)+IF($P108=5,INDEX('卡片raw data'!BI:BI,MATCH($D108,'卡片raw data'!$F:$F,)),0)))</f>
        <v>0</v>
      </c>
      <c r="CC108" s="1101">
        <f t="shared" si="128"/>
        <v>0</v>
      </c>
      <c r="CD108" s="1097">
        <f>IF(BZ108="ap",CB108*(1-$FI$26)*$FB$5/$FB$11*(+IF(CA108="全员",$FA$24,0)+IF(CA108="同作战",$FA$24,0)+IF(CA108="仲间",$FA$24*2/3,0)+IF(CA108="同属性",$FA$24*$FA$37/3,0)+IF(CA108="同年级",$FA$24*$FA$40/3,0)+IF(CA108="同学校",$FA$24*$FA$43/3,0)+IF(CA108="同小队",$FA$24*$FA$46/3,0)+IF(CA108="同type",$FA$24*INDEX($FB$49:$FB$52,MATCH(X108,$FA$49:$FA$52,))/3,0)+IF(CA108="自身",#REF!/3,0)),0)+IF(BZ108="te",CB108*(1-$FI$27)*($FA$20-1)*$FB$7/$FB$13*(+IF(CA108="全员",$FA$19*$FA$24/(1+($FA$20-1)*$FA$19),0)+IF(CA108="同作战",$FA$19*$FA$24/(1+($FA$20-1)*$FA$19),0)+IF(CA108="仲间",$FA$19*$FA$24*2/3/(1+($FA$20-1)*$FA$19),0)+IF(CA108="同属性",$FA$19*$FA$24*$FA$37/3/(1+($FA$20-1)*$FA$19),0)+IF(CA108="同年级",$FA$19*$FA$24*$FA$40/3/(1+($FA$20-1)*$FA$19),0)+IF(CA108="同学校",$FA$19*$FA$24*$FA$43/3/(1+($FA$20-1)*$FA$19),0)+IF(CA108="同小队",$FA$19*$FA$24*$FA$46/3/(1+($FA$20-1)*$FA$19),0)+IF(CA108="同type",$FA$19*$FA$24*INDEX($FB$49:$FB$52,MATCH(X108,$FA$49:$FA$52,))/3/(1+($FA$20-1)*$FA$19),0)+IF(CA108="自身",$FA$19*#REF!/3/(1+(BH108-1)*$BD108),0)),0)</f>
        <v>0</v>
      </c>
      <c r="CE108" s="1097">
        <f t="shared" si="129"/>
        <v>0</v>
      </c>
      <c r="CF108" s="1112">
        <f t="shared" si="130"/>
        <v>0</v>
      </c>
      <c r="CG108" s="1100">
        <f t="shared" si="131"/>
        <v>0</v>
      </c>
      <c r="CH108" s="1110">
        <f t="shared" si="132"/>
        <v>0</v>
      </c>
      <c r="CI108" s="1113" t="s">
        <v>162</v>
      </c>
      <c r="CJ108" s="1114">
        <v>0.3</v>
      </c>
      <c r="CK108" s="1115" t="s">
        <v>635</v>
      </c>
      <c r="CL108" s="1115" t="s">
        <v>1944</v>
      </c>
      <c r="CM108" s="1119">
        <v>0.2</v>
      </c>
      <c r="CN108" s="1115"/>
      <c r="CO108" s="1092"/>
      <c r="CP108" s="1116">
        <f t="shared" si="133"/>
        <v>25.462638596571427</v>
      </c>
      <c r="CQ108" s="1116">
        <f t="shared" si="134"/>
        <v>39.608548927999998</v>
      </c>
      <c r="CR108" s="1116">
        <f t="shared" si="135"/>
        <v>25.462638596571427</v>
      </c>
      <c r="CS108" s="1118">
        <f t="shared" si="136"/>
        <v>0</v>
      </c>
      <c r="CT108" s="1109">
        <f t="shared" si="137"/>
        <v>0</v>
      </c>
      <c r="CU108" s="1101">
        <f t="shared" si="138"/>
        <v>0</v>
      </c>
      <c r="CV108" s="1108">
        <f t="shared" si="139"/>
        <v>0</v>
      </c>
      <c r="CW108" s="1097">
        <f t="shared" si="140"/>
        <v>0</v>
      </c>
      <c r="CX108" s="1097">
        <f t="shared" si="141"/>
        <v>0</v>
      </c>
      <c r="CY108" s="1110">
        <f t="shared" si="142"/>
        <v>2088.9227820604006</v>
      </c>
      <c r="CZ108" s="437"/>
      <c r="DA108" s="438"/>
      <c r="DB108" s="439" t="s">
        <v>569</v>
      </c>
      <c r="DC108" s="439"/>
      <c r="DD108" s="443"/>
      <c r="DE108" s="411"/>
      <c r="DF108" s="411"/>
      <c r="DG108" s="1116">
        <f t="shared" si="143"/>
        <v>0</v>
      </c>
      <c r="DH108" s="1116">
        <f t="shared" si="144"/>
        <v>0</v>
      </c>
      <c r="DI108" s="1116">
        <f t="shared" si="145"/>
        <v>0</v>
      </c>
      <c r="DJ108" s="442">
        <f t="shared" si="146"/>
        <v>0</v>
      </c>
      <c r="DK108" s="1109">
        <f t="shared" si="147"/>
        <v>0</v>
      </c>
      <c r="DL108" s="1101">
        <f t="shared" si="148"/>
        <v>0</v>
      </c>
      <c r="DM108" s="1097">
        <f t="shared" si="149"/>
        <v>0</v>
      </c>
      <c r="DN108" s="1097">
        <f t="shared" si="150"/>
        <v>0</v>
      </c>
      <c r="DO108" s="1097">
        <f t="shared" si="151"/>
        <v>0</v>
      </c>
      <c r="DP108" s="1110">
        <f t="shared" si="152"/>
        <v>0</v>
      </c>
      <c r="DQ108" s="1113" t="s">
        <v>635</v>
      </c>
      <c r="DR108" s="1120">
        <f t="shared" si="153"/>
        <v>0.33</v>
      </c>
      <c r="DS108" s="1124"/>
      <c r="DT108" s="1093" t="s">
        <v>133</v>
      </c>
      <c r="DU108" s="1093"/>
      <c r="DV108" s="1098">
        <f>IF($P108="","N/A",IF(P108=-1,INDEX('卡片raw data'!AN:AN,MATCH(D108,'卡片raw data'!$F:$F,)),0)+IF(AND(L108&lt;&gt;"party卡",P108&lt;=2,P108&gt;=0),INDEX('卡片raw data'!AP:AP,MATCH(D108,'卡片raw data'!$F:$F,)),0)+IF(OR(AND(L108="party卡",P108&lt;=1),AND(P108&lt;=4,L108&lt;&gt;"party卡",P108&gt;=3)),INDEX('卡片raw data'!AQ:AQ,MATCH(D108,'卡片raw data'!$F:$F,)),0)+IF(OR(P108=5,AND(L108="party卡",P108&gt;=2)),INDEX('卡片raw data'!AR:AR,MATCH(D108,'卡片raw data'!$F:$F,)),0))</f>
        <v>0.32</v>
      </c>
      <c r="DW108" s="1098">
        <f t="shared" si="154"/>
        <v>0.33</v>
      </c>
      <c r="DX108" s="1098">
        <f t="shared" si="155"/>
        <v>0.33</v>
      </c>
      <c r="DY108" s="1125">
        <f t="shared" si="156"/>
        <v>697.11046113280008</v>
      </c>
      <c r="DZ108" s="1125">
        <f t="shared" si="157"/>
        <v>603.0005488798721</v>
      </c>
      <c r="EA108" s="1098">
        <f t="shared" si="158"/>
        <v>0</v>
      </c>
      <c r="EB108" s="1121">
        <f t="shared" si="159"/>
        <v>0</v>
      </c>
      <c r="EC108" s="1101">
        <f t="shared" si="160"/>
        <v>0</v>
      </c>
      <c r="ED108" s="1097">
        <f t="shared" si="161"/>
        <v>0</v>
      </c>
      <c r="EE108" s="1110">
        <f t="shared" si="162"/>
        <v>48435.03108962375</v>
      </c>
      <c r="EF108" s="1092" t="s">
        <v>711</v>
      </c>
      <c r="EG108" s="1120">
        <f t="shared" si="163"/>
        <v>0.33</v>
      </c>
      <c r="EH108" s="1124"/>
      <c r="EI108" s="1093"/>
      <c r="EJ108" s="1093"/>
      <c r="EK108" s="1097">
        <f>IF($P108="","N/A",IF(P108=-1,INDEX('卡片raw data'!AS:AS,MATCH(D108,'卡片raw data'!$F:$F,)),0)+IF(AND(L108&lt;&gt;"party卡",P108&lt;=2,P108&gt;=0),INDEX('卡片raw data'!AU:AU,MATCH(D108,'卡片raw data'!$F:$F,)),0)+IF(OR(AND(L108="party卡",P108&lt;=1),AND(P108&lt;=4,L108&lt;&gt;"party卡",P108&gt;=3)),INDEX('卡片raw data'!AV:AV,MATCH(D108,'卡片raw data'!$F:$F,)),0)+IF(OR(P108=5,AND(L108="party卡",P108&gt;=2)),INDEX('卡片raw data'!AW:AW,MATCH(D108,'卡片raw data'!$F:$F,)),0))</f>
        <v>0</v>
      </c>
      <c r="EL108" s="1098">
        <f t="shared" si="164"/>
        <v>0.33</v>
      </c>
      <c r="EM108" s="1098">
        <f t="shared" si="165"/>
        <v>0.33</v>
      </c>
      <c r="EN108" s="1125">
        <f t="shared" si="166"/>
        <v>0</v>
      </c>
      <c r="EO108" s="1125">
        <f t="shared" si="167"/>
        <v>0</v>
      </c>
      <c r="EP108" s="1098">
        <f t="shared" si="168"/>
        <v>0</v>
      </c>
      <c r="EQ108" s="1121">
        <f t="shared" si="169"/>
        <v>0</v>
      </c>
      <c r="ER108" s="1101">
        <f t="shared" si="170"/>
        <v>0</v>
      </c>
      <c r="ES108" s="1097">
        <f t="shared" si="171"/>
        <v>0</v>
      </c>
      <c r="ET108" s="1122">
        <f t="shared" si="172"/>
        <v>0</v>
      </c>
    </row>
    <row r="109" spans="2:150" ht="16.5" customHeight="1">
      <c r="B109" s="1123" t="str">
        <f>INDEX('卡片raw data'!B:B,MATCH($D109,'卡片raw data'!$F:$F,))</f>
        <v>sh绘</v>
      </c>
      <c r="C109" s="449" t="s">
        <v>67</v>
      </c>
      <c r="D109" s="408">
        <v>106</v>
      </c>
      <c r="E109" s="1090">
        <v>300022001</v>
      </c>
      <c r="F109" s="1090" t="str">
        <f>INDEX('卡片raw data'!C:C,MATCH($D109,'卡片raw data'!$F:$F,))</f>
        <v>SR</v>
      </c>
      <c r="G109" s="1094" t="s">
        <v>332</v>
      </c>
      <c r="H109" s="411">
        <f>IFERROR(INDEX(绊状态确认!C:C,MATCH($G109,绊状态确认!$B:$B,)),"")</f>
        <v>2</v>
      </c>
      <c r="I109" s="1124" t="str">
        <f>IFERROR(INDEX(绊状态确认!D:D,MATCH($G109,绊状态确认!$B:$B,)),"")</f>
        <v>缪</v>
      </c>
      <c r="J109" s="1124" t="str">
        <f>IFERROR(INDEX(绊状态确认!E:E,MATCH($G109,绊状态确认!$B:$B,)),"")</f>
        <v>3年级</v>
      </c>
      <c r="K109" s="451" t="str">
        <f>IFERROR(INDEX(绊状态确认!F:F,MATCH($G109,绊状态确认!$B:$B,)),"")</f>
        <v>BiBi</v>
      </c>
      <c r="L109" s="1094" t="str">
        <f>INDEX('卡片raw data'!E:E,MATCH($D109,'卡片raw data'!$F:$F,))</f>
        <v>卡池卡</v>
      </c>
      <c r="M109" s="415">
        <v>43753</v>
      </c>
      <c r="N109" s="416">
        <v>1.5</v>
      </c>
      <c r="O109" s="1091" t="str">
        <f>INDEX('卡片raw data'!D:D,MATCH($D109,'卡片raw data'!$F:$F,))</f>
        <v>sk</v>
      </c>
      <c r="P109" s="417">
        <v>5</v>
      </c>
      <c r="Q109" s="1095">
        <f t="shared" si="88"/>
        <v>18030.15270686664</v>
      </c>
      <c r="R109" s="1096">
        <f t="shared" si="89"/>
        <v>0.20899999999999999</v>
      </c>
      <c r="S109" s="1097">
        <f t="shared" si="90"/>
        <v>14133.840388588424</v>
      </c>
      <c r="T109" s="1098">
        <f t="shared" si="91"/>
        <v>0.70599999999999996</v>
      </c>
      <c r="U109" s="1099">
        <f t="shared" si="92"/>
        <v>11.346378763812854</v>
      </c>
      <c r="V109" s="1100">
        <f t="shared" si="93"/>
        <v>20934.105075502437</v>
      </c>
      <c r="W109" s="1101">
        <f t="shared" si="94"/>
        <v>4507.7214871259994</v>
      </c>
      <c r="X109" s="1096">
        <f t="shared" si="95"/>
        <v>5.1999999999999998E-2</v>
      </c>
      <c r="Y109" s="1097">
        <f t="shared" si="96"/>
        <v>903.95236863579885</v>
      </c>
      <c r="Z109" s="1102">
        <f t="shared" si="97"/>
        <v>11.346378763812854</v>
      </c>
      <c r="AA109" s="1103">
        <f t="shared" si="98"/>
        <v>5411.6738557617982</v>
      </c>
      <c r="AB109" s="1101">
        <f t="shared" si="99"/>
        <v>4891.950915640683</v>
      </c>
      <c r="AC109" s="1104">
        <f t="shared" si="100"/>
        <v>5.6000000000000001E-2</v>
      </c>
      <c r="AD109" s="1105">
        <f t="shared" si="101"/>
        <v>3.2498279119318171E-2</v>
      </c>
      <c r="AE109" s="1128">
        <f t="shared" si="102"/>
        <v>10.923075886564025</v>
      </c>
      <c r="AF109" s="1130">
        <f t="shared" si="103"/>
        <v>0</v>
      </c>
      <c r="AG109" s="420">
        <f t="shared" si="104"/>
        <v>0</v>
      </c>
      <c r="AH109" s="420">
        <f t="shared" si="105"/>
        <v>0</v>
      </c>
      <c r="AI109" s="1097">
        <f t="shared" si="106"/>
        <v>0</v>
      </c>
      <c r="AJ109" s="420">
        <f t="shared" si="107"/>
        <v>0</v>
      </c>
      <c r="AK109" s="518">
        <f t="shared" si="108"/>
        <v>0</v>
      </c>
      <c r="AL109" s="1106">
        <f>IF($P109="","N/A",(IF($P109=-1,INDEX('卡片raw data'!S:S,MATCH($D109,'卡片raw data'!$F:$F,)),0)+IF($P109=0,INDEX('卡片raw data'!V:V,MATCH($D109,'卡片raw data'!$F:$F,)),0)+IF($P109=1,INDEX('卡片raw data'!Y:Y,MATCH($D109,'卡片raw data'!$F:$F,)),0)+IF($P109=2,INDEX('卡片raw data'!AB:AB,MATCH($D109,'卡片raw data'!$F:$F,)),0)+IF($P109=3,INDEX('卡片raw data'!AE:AE,MATCH($D109,'卡片raw data'!$F:$F,)),0)+IF($P109=4,INDEX('卡片raw data'!AH:AH,MATCH($D109,'卡片raw data'!$F:$F,)),0)+IF($P109=5,INDEX('卡片raw data'!AK:AK,MATCH($D109,'卡片raw data'!$F:$F,)),0)+INDEX('卡片raw data'!S:S,MATCH($D109,'卡片raw data'!$F:$F,))*(IF($F109="UR",0.04,0.033))*(IF($F109="UR",INDEX(绊状态确认!$S:$S,MATCH($G109,绊状态确认!$B:$B,))/2-40)+IF($F109="SR",INDEX(绊状态确认!$R:$R,MATCH($G109,绊状态确认!$B:$B,))/4-15))+IF($F109="R",INDEX(绊状态确认!$Q:$Q,MATCH($G109,绊状态确认!$B:$B,))/6-40/6)))*(INDEX(绊状态确认!$H:$H,MATCH($G109,绊状态确认!$B:$B,))+INDEX(绊状态确认!J:J,MATCH($G109,绊状态确认!$B:$B,)))</f>
        <v>5777.255320799999</v>
      </c>
      <c r="AM109" s="1106">
        <f>IF($P109="","N/A",(IF($P109=-1,INDEX('卡片raw data'!T:T,MATCH($D109,'卡片raw data'!$F:$F,)),0)+IF($P109=0,INDEX('卡片raw data'!W:W,MATCH($D109,'卡片raw data'!$F:$F,)),0)+IF($P109=1,INDEX('卡片raw data'!Z:Z,MATCH($D109,'卡片raw data'!$F:$F,)),0)+IF($P109=2,INDEX('卡片raw data'!AC:AC,MATCH($D109,'卡片raw data'!$F:$F,)),0)+IF($P109=3,INDEX('卡片raw data'!AF:AF,MATCH($D109,'卡片raw data'!$F:$F,)),0)+IF($P109=4,INDEX('卡片raw data'!AI:AI,MATCH($D109,'卡片raw data'!$F:$F,)),0)+IF($P109=5,INDEX('卡片raw data'!AL:AL,MATCH($D109,'卡片raw data'!$F:$F,)),0)+INDEX('卡片raw data'!T:T,MATCH($D109,'卡片raw data'!$F:$F,))*(IF($F109="UR",0.04,0.033))*(IF($F109="UR",INDEX(绊状态确认!$S:$S,MATCH($G109,绊状态确认!$B:$B,))/2-40)+IF($F109="SR",INDEX(绊状态确认!$R:$R,MATCH($G109,绊状态确认!$B:$B,))/4-15))+IF($F109="R",INDEX(绊状态确认!$Q:$Q,MATCH($G109,绊状态确认!$B:$B,))/6-40/6)))*(INDEX(绊状态确认!$H:$H,MATCH($G109,绊状态确认!$B:$B,))+INDEX(绊状态确认!K:K,MATCH($G109,绊状态确认!$B:$B,)))</f>
        <v>5777.255320799999</v>
      </c>
      <c r="AN109" s="1106">
        <f>IF($P109="","N/A",(IF($P109=-1,INDEX('卡片raw data'!U:U,MATCH($D109,'卡片raw data'!$F:$F,)),0)+IF($P109=0,INDEX('卡片raw data'!X:X,MATCH($D109,'卡片raw data'!$F:$F,)),0)+IF($P109=1,INDEX('卡片raw data'!AA:AA,MATCH($D109,'卡片raw data'!$F:$F,)),0)+IF($P109=2,INDEX('卡片raw data'!AD:AD,MATCH($D109,'卡片raw data'!$F:$F,)),0)+IF($P109=3,INDEX('卡片raw data'!AG:AG,MATCH($D109,'卡片raw data'!$F:$F,)),0)+IF($P109=4,INDEX('卡片raw data'!AJ:AJ,MATCH($D109,'卡片raw data'!$F:$F,)),0)+IF($P109=5,INDEX('卡片raw data'!AM:AM,MATCH($D109,'卡片raw data'!$F:$F,)),0)+INDEX('卡片raw data'!U:U,MATCH($D109,'卡片raw data'!$F:$F,))*(IF($F109="UR",0.04,0.033))*(IF($F109="UR",INDEX(绊状态确认!$S:$S,MATCH($G109,绊状态确认!$B:$B,))/2-40)+IF($F109="SR",INDEX(绊状态确认!$R:$R,MATCH($G109,绊状态确认!$B:$B,))/4-15))+IF($F109="R",INDEX(绊状态确认!$Q:$Q,MATCH($G109,绊状态确认!$B:$B,))/6-40/6)))*(INDEX(绊状态确认!$H:$H,MATCH($G109,绊状态确认!$B:$B,))+INDEX(绊状态确认!L:L,MATCH($G109,绊状态确认!$B:$B,)))</f>
        <v>7703.7646943999989</v>
      </c>
      <c r="AO109" s="1107">
        <f t="shared" si="109"/>
        <v>1</v>
      </c>
      <c r="AP109" s="1131">
        <f>1+(INDEX(绊状态确认!$T:$T,MATCH($G109,绊状态确认!$B:$B,))+0.2)*$AO109</f>
        <v>1.3</v>
      </c>
      <c r="AQ109" s="1108">
        <f t="shared" si="110"/>
        <v>18415.295217099996</v>
      </c>
      <c r="AR109" s="1097">
        <f>(AM109*(1+$EX$9)+$EX$35)*(1+(INDEX(绊状态确认!$T:$T,MATCH($G109,绊状态确认!$B:$B,))+0.2)*AO109)*IF(J109=$FF$17,1+$FE$17,1)*IF(I109=$FF$14,1+$FE$14,1)</f>
        <v>10589.953512891998</v>
      </c>
      <c r="AS109" s="1097">
        <f>(AN109*(1+$EX$10)+$EX$36)*(1+(INDEX(绊状态确认!$T:$T,MATCH($G109,绊状态确认!$B:$B,))+0.2)*AO109)*IF(J109=$FF$17,1+$FE$17,1)*IF(I109=$FF$14,1+$FE$14,1)</f>
        <v>15573.128218127997</v>
      </c>
      <c r="AT109" s="1093">
        <f>IF(AND(INDEX('卡片raw data'!AK:AK,MATCH($D109,'卡片raw data'!$F:$F,))&lt;INDEX('卡片raw data'!AM:AM,MATCH($D109,'卡片raw data'!$F:$F,)),INDEX('卡片raw data'!AL:AL,MATCH($D109,'卡片raw data'!$F:$F,))&lt;INDEX('卡片raw data'!AM:AM,MATCH($D109,'卡片raw data'!$F:$F,))),1,0)</f>
        <v>1</v>
      </c>
      <c r="AU109" s="1098">
        <f>MIN(AT109*0.15+AS109*0.00003+INDEX(绊状态确认!M:M,MATCH($G109,绊状态确认!$B:$B,)),1)</f>
        <v>0.64719384654383993</v>
      </c>
      <c r="AV109" s="1109">
        <f>(INDEX(绊状态确认!$N:$N,MATCH($G109,绊状态确认!$B:$B,))+1.5)*$EW$21</f>
        <v>2.6599999999999997</v>
      </c>
      <c r="AW109" s="1101">
        <f t="shared" si="111"/>
        <v>19838.844123165592</v>
      </c>
      <c r="AX109" s="1097">
        <f t="shared" si="112"/>
        <v>903.95236863579885</v>
      </c>
      <c r="AY109" s="1110">
        <f t="shared" si="113"/>
        <v>20742.796491801389</v>
      </c>
      <c r="AZ109" s="429">
        <f t="shared" si="114"/>
        <v>13865.647875559998</v>
      </c>
      <c r="BA109" s="431">
        <f t="shared" si="115"/>
        <v>16638.777450671998</v>
      </c>
      <c r="BB109" s="1097">
        <f>(AM109*(1+$FB$9)+$FB$35)*(1+(INDEX(绊状态确认!$T:$T,MATCH($G109,绊状态确认!$B:$B,))+0.2)*AO109)*IF(J109=$FF$17,1+$FE$17,1)*IF(I109=$FF$14,1+$FE$14,1)*(1+$FE$15)</f>
        <v>10589.953512891998</v>
      </c>
      <c r="BC109" s="1097">
        <f>(AN109*(1+$FB$10)+$FB$36)*(1+(INDEX(绊状态确认!$T:$T,MATCH($G109,绊状态确认!$B:$B,))+0.2)*AO109)*IF(J109=$FF$17,1+$FE$17,1)*IF(I109=$FF$14,1+$FE$14,1)*(1+$FE$15)</f>
        <v>15573.128218127997</v>
      </c>
      <c r="BD109" s="1104">
        <f>MIN(AT109*0.15+BC109*0.00003+INDEX(绊状态确认!M:M,MATCH($G109,绊状态确认!$B:$B,)),1)</f>
        <v>0.64719384654383993</v>
      </c>
      <c r="BE109" s="432">
        <f>(INDEX(绊状态确认!$N:$N,MATCH($G109,绊状态确认!$B:$B,))+1.5)</f>
        <v>1.9</v>
      </c>
      <c r="BF109" s="1139">
        <f t="array" ref="BF109">SUMPRODUCT(IF(AZ109*AP109*$FI$16:$FI$23*$FA$22&gt;=$FI$24,$FI$24,AZ109*AP109*$FI$16:$FI$23*$FA$22),$FJ$16:$FJ$23)</f>
        <v>27578.77362448884</v>
      </c>
      <c r="BG109" s="1125">
        <f t="array" ref="BG109">SUMPRODUCT(IF(BE109*AZ109*AP109*$FI$16:$FI$23*$FA$22&gt;=$FI$24,$FI$24,BE109*AZ109*AP109*$FI$16:$FI$23*$FA$22),$FJ$16:$FJ$23)</f>
        <v>51727.854293054508</v>
      </c>
      <c r="BH109" s="1110">
        <f t="shared" si="116"/>
        <v>14402.636677625114</v>
      </c>
      <c r="BI109" s="1111">
        <f>IF(O109="vo",$EW$26/$EW$24*0.05,0)+IF(O109="sk",-$EW$26/$EW$24*(0.05-INDEX(绊状态确认!W:W,MATCH($G109,绊状态确认!$B:$B,)))+0.05*$EW$28,0)+IF(O109="sp",0.05*$EW$32*$EW$30*(1-$EW$33)-(0.05-INDEX(绊状态确认!V:V,MATCH($G109,绊状态确认!$B:$B,)))*$EW$28,0)+IF(O109="gd",-(0.05-INDEX(绊状态确认!X:X,MATCH($G109,绊状态确认!$B:$B,)))*$EW$32*$EW$30*(1-$EW$33),0)</f>
        <v>-6253.6726349699375</v>
      </c>
      <c r="BJ109" s="1097">
        <f>IF(O109="vo",0.05*(1-$FI$26)*$FA$24,0)+IF(O109="sk",-(0.05-INDEX(绊状态确认!W:W,MATCH($G109,绊状态确认!$B:$B,)))*(1-$FI$26)*$FA$24+0.05*$FA$26,0)+IF(O109="sp",0.05*$FA$32*$FA$27*(1-$FA$33)/$FA$30+0.05*$FA$29/$FA$69*$FA$27*(1-$FA$33)-(0.05-INDEX(绊状态确认!V:V,MATCH($G109,绊状态确认!$B:$B,)))*$FA$26,0)+IF(O109="gd",-(0.05-INDEX(绊状态确认!X:X,MATCH($G109,绊状态确认!$B:$B,)))*$FA$32*$FA$27*(1-$FA$33)/$FA$30-(0.05-INDEX(绊状态确认!X:X,MATCH($G109,绊状态确认!$B:$B,)))*$FA$29/$FA$69*$FA$27*(1-$FA$33),0)</f>
        <v>20.459096812499922</v>
      </c>
      <c r="BK109" s="1110">
        <f>IF(O109="vo",$EW$26/$EW$24*0.05+$EW$26*(-HP($EW$62,$EW$65,$EW$64)+HP($EW$62,$EW$65,(1.05-INDEX(绊状态确认!U:U,MATCH($G109,绊状态确认!$B:$B,)))*$EW$64)),0)+IF(O109="sk",-$EW$26/$EW$24*(0.05-INDEX(绊状态确认!W:W,MATCH($G109,绊状态确认!$B:$B,)))+0.05*$EW$29,0)+IF(O109="sp",0.05*$EW$32*$EW$30*(1-$EW$33)-(0.05-INDEX(绊状态确认!V:V,MATCH($G109,绊状态确认!$B:$B,)))*$EW$29,0)+IF(O109="gd",-(0.05-INDEX(绊状态确认!X:X,MATCH($G109,绊状态确认!$B:$B,)))*$EW$32*$EW$30*(1-$EW$33)+$EW$26*(-HP($EW$62,$EW$65,$EW$64)+HP($EW$62,$EW$65,0.95*$EW$64)),0)</f>
        <v>-4253.6726349699375</v>
      </c>
      <c r="BL109" s="1111">
        <f t="shared" si="117"/>
        <v>-1083.3333333333333</v>
      </c>
      <c r="BM109" s="1110">
        <f t="shared" si="118"/>
        <v>-830.55555555555543</v>
      </c>
      <c r="BN109" s="1113">
        <f t="shared" si="119"/>
        <v>3</v>
      </c>
      <c r="BO109" s="1097">
        <f t="shared" si="120"/>
        <v>4507.7214871259994</v>
      </c>
      <c r="BP109" s="1100">
        <f t="shared" si="121"/>
        <v>221.34103209030098</v>
      </c>
      <c r="BQ109" s="1113" t="s">
        <v>626</v>
      </c>
      <c r="BR109" s="1124" t="s">
        <v>625</v>
      </c>
      <c r="BS109" s="1098">
        <f>IF($P109="","N/A",IF($P109=-1,INDEX('卡片raw data'!AX:AX,MATCH($D109,'卡片raw data'!$F:$F,)),0)+IF($L109="party卡",IF($P109=5,INDEX('卡片raw data'!BD:BD,MATCH($D109,'卡片raw data'!$F:$F,)),IF($P109&gt;=3,INDEX('卡片raw data'!BC:BC,MATCH($D109,'卡片raw data'!$F:$F,)),INDEX('卡片raw data'!BB:BB,MATCH($D109,'卡片raw data'!$F:$F,)))),IF(OR(AND($F109="UR",$P109=0),AND($F109="SR",$P109&gt;=0,$P109&lt;=2),AND($F109="R",$P109&gt;=0,$P109&lt;4)),INDEX('卡片raw data'!AZ:AZ,MATCH($D109,'卡片raw data'!$F:$F,)),0)+IF(OR(AND($F109="UR",$P109&gt;=1,$P109&lt;=4),AND($F109="SR",$P109&lt;=4,$P109&gt;=3),AND($F109="R",$P109=4)),INDEX('卡片raw data'!BA:BA,MATCH($D109,'卡片raw data'!$F:$F,)),0)+IF($P109=5,INDEX('卡片raw data'!BB:BB,MATCH($D109,'卡片raw data'!$F:$F,)),0)))</f>
        <v>7.0000000000000007E-2</v>
      </c>
      <c r="BT109" s="1101">
        <f t="shared" si="122"/>
        <v>384.22942851468355</v>
      </c>
      <c r="BU109" s="1097">
        <f t="shared" si="123"/>
        <v>25.072773979700521</v>
      </c>
      <c r="BV109" s="1097">
        <f t="shared" si="124"/>
        <v>0</v>
      </c>
      <c r="BW109" s="1112">
        <f t="shared" si="125"/>
        <v>0</v>
      </c>
      <c r="BX109" s="1100">
        <f t="shared" si="126"/>
        <v>384.22942851468355</v>
      </c>
      <c r="BY109" s="1110">
        <f t="shared" si="127"/>
        <v>0</v>
      </c>
      <c r="BZ109" s="1107" t="s">
        <v>569</v>
      </c>
      <c r="CA109" s="1124"/>
      <c r="CB109" s="1098">
        <f>IF($P109="","N/A",IF($P109=-1,INDEX('卡片raw data'!BE:BE,MATCH($D109,'卡片raw data'!$F:$F,)),0)+IF($L109="party卡",IF($P109=5,INDEX('卡片raw data'!BK:BK,MATCH($D109,'卡片raw data'!$F:$F,)),IF($P109&gt;=3,INDEX('卡片raw data'!BJ:BJ,MATCH($D109,'卡片raw data'!$F:$F,)),INDEX('卡片raw data'!BI:BI,MATCH($D109,'卡片raw data'!$F:$F,)))),IF(OR(AND($F109="UR",$P109=0),AND($F109="SR",$P109&gt;=0,$P109&lt;=2),AND($F109="R",$P109&gt;=0,$P109&lt;4)),INDEX('卡片raw data'!BG:BG,MATCH($D109,'卡片raw data'!$F:$F,)),0)+IF(OR(AND($F109="UR",$P109&gt;=1,$P109&lt;=4),AND($F109="SR",$P109&lt;=4,$P109&gt;=3),AND($F109="R",$P109=4)),INDEX('卡片raw data'!BH:BH,MATCH($D109,'卡片raw data'!$F:$F,)),0)+IF($P109=5,INDEX('卡片raw data'!BI:BI,MATCH($D109,'卡片raw data'!$F:$F,)),0)))</f>
        <v>0</v>
      </c>
      <c r="CC109" s="1101">
        <f t="shared" si="128"/>
        <v>0</v>
      </c>
      <c r="CD109" s="1097">
        <f>IF(BZ109="ap",CB109*(1-$FI$26)*$FB$5/$FB$11*(+IF(CA109="全员",$FA$24,0)+IF(CA109="同作战",$FA$24,0)+IF(CA109="仲间",$FA$24*2/3,0)+IF(CA109="同属性",$FA$24*$FA$37/3,0)+IF(CA109="同年级",$FA$24*$FA$40/3,0)+IF(CA109="同学校",$FA$24*$FA$43/3,0)+IF(CA109="同小队",$FA$24*$FA$46/3,0)+IF(CA109="同type",$FA$24*INDEX($FB$49:$FB$52,MATCH(X109,$FA$49:$FA$52,))/3,0)+IF(CA109="自身",#REF!/3,0)),0)+IF(BZ109="te",CB109*(1-$FI$27)*($FA$20-1)*$FB$7/$FB$13*(+IF(CA109="全员",$FA$19*$FA$24/(1+($FA$20-1)*$FA$19),0)+IF(CA109="同作战",$FA$19*$FA$24/(1+($FA$20-1)*$FA$19),0)+IF(CA109="仲间",$FA$19*$FA$24*2/3/(1+($FA$20-1)*$FA$19),0)+IF(CA109="同属性",$FA$19*$FA$24*$FA$37/3/(1+($FA$20-1)*$FA$19),0)+IF(CA109="同年级",$FA$19*$FA$24*$FA$40/3/(1+($FA$20-1)*$FA$19),0)+IF(CA109="同学校",$FA$19*$FA$24*$FA$43/3/(1+($FA$20-1)*$FA$19),0)+IF(CA109="同小队",$FA$19*$FA$24*$FA$46/3/(1+($FA$20-1)*$FA$19),0)+IF(CA109="同type",$FA$19*$FA$24*INDEX($FB$49:$FB$52,MATCH(X109,$FA$49:$FA$52,))/3/(1+($FA$20-1)*$FA$19),0)+IF(CA109="自身",$FA$19*#REF!/3/(1+(BH109-1)*$BD109),0)),0)</f>
        <v>0</v>
      </c>
      <c r="CE109" s="1097">
        <f t="shared" si="129"/>
        <v>0</v>
      </c>
      <c r="CF109" s="1112">
        <f t="shared" si="130"/>
        <v>0</v>
      </c>
      <c r="CG109" s="1100">
        <f t="shared" si="131"/>
        <v>0</v>
      </c>
      <c r="CH109" s="1110">
        <f t="shared" si="132"/>
        <v>0</v>
      </c>
      <c r="CI109" s="1113" t="s">
        <v>571</v>
      </c>
      <c r="CJ109" s="1114">
        <v>0.8</v>
      </c>
      <c r="CK109" s="1115" t="s">
        <v>561</v>
      </c>
      <c r="CL109" s="1115" t="s">
        <v>178</v>
      </c>
      <c r="CM109" s="1119">
        <v>0.08</v>
      </c>
      <c r="CN109" s="1115">
        <v>10</v>
      </c>
      <c r="CO109" s="1092"/>
      <c r="CP109" s="1117">
        <f t="shared" si="133"/>
        <v>0</v>
      </c>
      <c r="CQ109" s="1117">
        <f t="shared" si="134"/>
        <v>0</v>
      </c>
      <c r="CR109" s="1117">
        <f t="shared" si="135"/>
        <v>0</v>
      </c>
      <c r="CS109" s="1118">
        <f t="shared" si="136"/>
        <v>0</v>
      </c>
      <c r="CT109" s="1109">
        <f t="shared" si="137"/>
        <v>0</v>
      </c>
      <c r="CU109" s="1101">
        <f t="shared" si="138"/>
        <v>0</v>
      </c>
      <c r="CV109" s="1108">
        <f t="shared" si="139"/>
        <v>0</v>
      </c>
      <c r="CW109" s="1097">
        <f t="shared" si="140"/>
        <v>0</v>
      </c>
      <c r="CX109" s="1097">
        <f t="shared" si="141"/>
        <v>0</v>
      </c>
      <c r="CY109" s="1110">
        <f t="shared" si="142"/>
        <v>0</v>
      </c>
      <c r="CZ109" s="437"/>
      <c r="DA109" s="438"/>
      <c r="DB109" s="439" t="s">
        <v>569</v>
      </c>
      <c r="DC109" s="439"/>
      <c r="DD109" s="443"/>
      <c r="DE109" s="411"/>
      <c r="DF109" s="411"/>
      <c r="DG109" s="1116">
        <f t="shared" si="143"/>
        <v>0</v>
      </c>
      <c r="DH109" s="1116">
        <f t="shared" si="144"/>
        <v>0</v>
      </c>
      <c r="DI109" s="1116">
        <f t="shared" si="145"/>
        <v>0</v>
      </c>
      <c r="DJ109" s="442">
        <f t="shared" si="146"/>
        <v>0</v>
      </c>
      <c r="DK109" s="1109">
        <f t="shared" si="147"/>
        <v>0</v>
      </c>
      <c r="DL109" s="1101">
        <f t="shared" si="148"/>
        <v>0</v>
      </c>
      <c r="DM109" s="1097">
        <f t="shared" si="149"/>
        <v>0</v>
      </c>
      <c r="DN109" s="1097">
        <f t="shared" si="150"/>
        <v>0</v>
      </c>
      <c r="DO109" s="1097">
        <f t="shared" si="151"/>
        <v>0</v>
      </c>
      <c r="DP109" s="1110">
        <f t="shared" si="152"/>
        <v>0</v>
      </c>
      <c r="DQ109" s="1113" t="s">
        <v>553</v>
      </c>
      <c r="DR109" s="1120">
        <f t="shared" si="153"/>
        <v>0.3</v>
      </c>
      <c r="DS109" s="1124">
        <v>5</v>
      </c>
      <c r="DT109" s="1093" t="s">
        <v>161</v>
      </c>
      <c r="DU109" s="1093" t="s">
        <v>544</v>
      </c>
      <c r="DV109" s="1098">
        <f>IF($P109="","N/A",IF(P109=-1,INDEX('卡片raw data'!AN:AN,MATCH(D109,'卡片raw data'!$F:$F,)),0)+IF(AND(L109&lt;&gt;"party卡",P109&lt;=2,P109&gt;=0),INDEX('卡片raw data'!AP:AP,MATCH(D109,'卡片raw data'!$F:$F,)),0)+IF(OR(AND(L109="party卡",P109&lt;=1),AND(P109&lt;=4,L109&lt;&gt;"party卡",P109&gt;=3)),INDEX('卡片raw data'!AQ:AQ,MATCH(D109,'卡片raw data'!$F:$F,)),0)+IF(OR(P109=5,AND(L109="party卡",P109&gt;=2)),INDEX('卡片raw data'!AR:AR,MATCH(D109,'卡片raw data'!$F:$F,)),0))</f>
        <v>0.03</v>
      </c>
      <c r="DW109" s="1098">
        <f t="shared" si="154"/>
        <v>0.3</v>
      </c>
      <c r="DX109" s="1098">
        <f t="shared" si="155"/>
        <v>0.3</v>
      </c>
      <c r="DY109" s="1098">
        <f t="shared" si="156"/>
        <v>1.4999999999999998E-2</v>
      </c>
      <c r="DZ109" s="1098">
        <f t="shared" si="157"/>
        <v>1.2974999999999999E-2</v>
      </c>
      <c r="EA109" s="1098">
        <f t="shared" si="158"/>
        <v>1.3504054687499996E-2</v>
      </c>
      <c r="EB109" s="1121">
        <f t="shared" si="159"/>
        <v>0</v>
      </c>
      <c r="EC109" s="1101">
        <f t="shared" si="160"/>
        <v>636.36363636363626</v>
      </c>
      <c r="ED109" s="1097">
        <f t="shared" si="161"/>
        <v>294.88636363636357</v>
      </c>
      <c r="EE109" s="1110">
        <f t="shared" si="162"/>
        <v>636.36363636363626</v>
      </c>
      <c r="EF109" s="1092" t="s">
        <v>711</v>
      </c>
      <c r="EG109" s="1120">
        <f t="shared" si="163"/>
        <v>0.3</v>
      </c>
      <c r="EH109" s="1124"/>
      <c r="EI109" s="1093"/>
      <c r="EJ109" s="1093"/>
      <c r="EK109" s="1097">
        <f>IF($P109="","N/A",IF(P109=-1,INDEX('卡片raw data'!AS:AS,MATCH(D109,'卡片raw data'!$F:$F,)),0)+IF(AND(L109&lt;&gt;"party卡",P109&lt;=2,P109&gt;=0),INDEX('卡片raw data'!AU:AU,MATCH(D109,'卡片raw data'!$F:$F,)),0)+IF(OR(AND(L109="party卡",P109&lt;=1),AND(P109&lt;=4,L109&lt;&gt;"party卡",P109&gt;=3)),INDEX('卡片raw data'!AV:AV,MATCH(D109,'卡片raw data'!$F:$F,)),0)+IF(OR(P109=5,AND(L109="party卡",P109&gt;=2)),INDEX('卡片raw data'!AW:AW,MATCH(D109,'卡片raw data'!$F:$F,)),0))</f>
        <v>0</v>
      </c>
      <c r="EL109" s="1098">
        <f t="shared" si="164"/>
        <v>0.3</v>
      </c>
      <c r="EM109" s="1098">
        <f t="shared" si="165"/>
        <v>0.3</v>
      </c>
      <c r="EN109" s="1125">
        <f t="shared" si="166"/>
        <v>0</v>
      </c>
      <c r="EO109" s="1125">
        <f t="shared" si="167"/>
        <v>0</v>
      </c>
      <c r="EP109" s="1098">
        <f t="shared" si="168"/>
        <v>0</v>
      </c>
      <c r="EQ109" s="1121">
        <f t="shared" si="169"/>
        <v>0</v>
      </c>
      <c r="ER109" s="1101">
        <f t="shared" si="170"/>
        <v>0</v>
      </c>
      <c r="ES109" s="1097">
        <f t="shared" si="171"/>
        <v>0</v>
      </c>
      <c r="ET109" s="1122">
        <f t="shared" si="172"/>
        <v>0</v>
      </c>
    </row>
    <row r="110" spans="2:150" ht="16.5" customHeight="1">
      <c r="B110" s="1123" t="str">
        <f>INDEX('卡片raw data'!B:B,MATCH($D110,'卡片raw data'!$F:$F,))</f>
        <v>和服黛</v>
      </c>
      <c r="C110" s="449" t="s">
        <v>66</v>
      </c>
      <c r="D110" s="408">
        <v>107</v>
      </c>
      <c r="E110" s="1090">
        <v>301043001</v>
      </c>
      <c r="F110" s="1090" t="str">
        <f>INDEX('卡片raw data'!C:C,MATCH($D110,'卡片raw data'!$F:$F,))</f>
        <v>UR</v>
      </c>
      <c r="G110" s="1094" t="s">
        <v>36</v>
      </c>
      <c r="H110" s="411">
        <f>IFERROR(INDEX(绊状态确认!C:C,MATCH($G110,绊状态确认!$B:$B,)),"")</f>
        <v>104</v>
      </c>
      <c r="I110" s="1124" t="str">
        <f>IFERROR(INDEX(绊状态确认!D:D,MATCH($G110,绊状态确认!$B:$B,)),"")</f>
        <v>水</v>
      </c>
      <c r="J110" s="1124" t="str">
        <f>IFERROR(INDEX(绊状态确认!E:E,MATCH($G110,绊状态确认!$B:$B,)),"")</f>
        <v>3年级</v>
      </c>
      <c r="K110" s="451" t="str">
        <f>IFERROR(INDEX(绊状态确认!F:F,MATCH($G110,绊状态确认!$B:$B,)),"")</f>
        <v>AZALEA</v>
      </c>
      <c r="L110" s="1094" t="str">
        <f>INDEX('卡片raw data'!E:E,MATCH($D110,'卡片raw data'!$F:$F,))</f>
        <v>卡池卡</v>
      </c>
      <c r="M110" s="415">
        <v>43759</v>
      </c>
      <c r="N110" s="416">
        <v>2</v>
      </c>
      <c r="O110" s="1091" t="str">
        <f>INDEX('卡片raw data'!D:D,MATCH($D110,'卡片raw data'!$F:$F,))</f>
        <v>sp</v>
      </c>
      <c r="P110" s="417">
        <v>5</v>
      </c>
      <c r="Q110" s="1095">
        <f t="shared" si="88"/>
        <v>39479.964610260315</v>
      </c>
      <c r="R110" s="1096">
        <f t="shared" si="89"/>
        <v>0.45800000000000002</v>
      </c>
      <c r="S110" s="1097">
        <f t="shared" si="90"/>
        <v>18937.940281375293</v>
      </c>
      <c r="T110" s="1098">
        <f t="shared" si="91"/>
        <v>0.94599999999999995</v>
      </c>
      <c r="U110" s="1099">
        <f t="shared" si="92"/>
        <v>535.73701993206134</v>
      </c>
      <c r="V110" s="1100">
        <f t="shared" si="93"/>
        <v>87646.428952021961</v>
      </c>
      <c r="W110" s="1101">
        <f t="shared" si="94"/>
        <v>4535.9452413353847</v>
      </c>
      <c r="X110" s="1096">
        <f t="shared" si="95"/>
        <v>5.1999999999999998E-2</v>
      </c>
      <c r="Y110" s="1097">
        <f t="shared" si="96"/>
        <v>1531.4332521378929</v>
      </c>
      <c r="Z110" s="1102">
        <f t="shared" si="97"/>
        <v>18.924395485542856</v>
      </c>
      <c r="AA110" s="1103">
        <f t="shared" si="98"/>
        <v>6067.3784934732776</v>
      </c>
      <c r="AB110" s="1101">
        <f t="shared" si="99"/>
        <v>9488.1618843514043</v>
      </c>
      <c r="AC110" s="1104">
        <f t="shared" si="100"/>
        <v>0.11</v>
      </c>
      <c r="AD110" s="1105">
        <f t="shared" si="101"/>
        <v>-1.6087500000000001E-2</v>
      </c>
      <c r="AE110" s="1128">
        <f t="shared" si="102"/>
        <v>10.92391304347826</v>
      </c>
      <c r="AF110" s="1130">
        <f t="shared" si="103"/>
        <v>6923.8054949772804</v>
      </c>
      <c r="AG110" s="420">
        <f t="shared" si="104"/>
        <v>98769.705880160007</v>
      </c>
      <c r="AH110" s="420">
        <f t="shared" si="105"/>
        <v>14.265234046769551</v>
      </c>
      <c r="AI110" s="1097">
        <f t="shared" si="106"/>
        <v>104833.796346503</v>
      </c>
      <c r="AJ110" s="420">
        <f t="shared" si="107"/>
        <v>87646.428952021961</v>
      </c>
      <c r="AK110" s="518">
        <f t="shared" si="108"/>
        <v>17187.367394481043</v>
      </c>
      <c r="AL110" s="1106">
        <f>IF($P110="","N/A",(IF($P110=-1,INDEX('卡片raw data'!S:S,MATCH($D110,'卡片raw data'!$F:$F,)),0)+IF($P110=0,INDEX('卡片raw data'!V:V,MATCH($D110,'卡片raw data'!$F:$F,)),0)+IF($P110=1,INDEX('卡片raw data'!Y:Y,MATCH($D110,'卡片raw data'!$F:$F,)),0)+IF($P110=2,INDEX('卡片raw data'!AB:AB,MATCH($D110,'卡片raw data'!$F:$F,)),0)+IF($P110=3,INDEX('卡片raw data'!AE:AE,MATCH($D110,'卡片raw data'!$F:$F,)),0)+IF($P110=4,INDEX('卡片raw data'!AH:AH,MATCH($D110,'卡片raw data'!$F:$F,)),0)+IF($P110=5,INDEX('卡片raw data'!AK:AK,MATCH($D110,'卡片raw data'!$F:$F,)),0)+INDEX('卡片raw data'!S:S,MATCH($D110,'卡片raw data'!$F:$F,))*(IF($F110="UR",0.04,0.033))*(IF($F110="UR",INDEX(绊状态确认!$S:$S,MATCH($G110,绊状态确认!$B:$B,))/2-40)+IF($F110="SR",INDEX(绊状态确认!$R:$R,MATCH($G110,绊状态确认!$B:$B,))/4-15))+IF($F110="R",INDEX(绊状态确认!$Q:$Q,MATCH($G110,绊状态确认!$B:$B,))/6-40/6)))*(INDEX(绊状态确认!$H:$H,MATCH($G110,绊状态确认!$B:$B,))+INDEX(绊状态确认!J:J,MATCH($G110,绊状态确认!$B:$B,)))</f>
        <v>9394.5733439999985</v>
      </c>
      <c r="AM110" s="1106">
        <f>IF($P110="","N/A",(IF($P110=-1,INDEX('卡片raw data'!T:T,MATCH($D110,'卡片raw data'!$F:$F,)),0)+IF($P110=0,INDEX('卡片raw data'!W:W,MATCH($D110,'卡片raw data'!$F:$F,)),0)+IF($P110=1,INDEX('卡片raw data'!Z:Z,MATCH($D110,'卡片raw data'!$F:$F,)),0)+IF($P110=2,INDEX('卡片raw data'!AC:AC,MATCH($D110,'卡片raw data'!$F:$F,)),0)+IF($P110=3,INDEX('卡片raw data'!AF:AF,MATCH($D110,'卡片raw data'!$F:$F,)),0)+IF($P110=4,INDEX('卡片raw data'!AI:AI,MATCH($D110,'卡片raw data'!$F:$F,)),0)+IF($P110=5,INDEX('卡片raw data'!AL:AL,MATCH($D110,'卡片raw data'!$F:$F,)),0)+INDEX('卡片raw data'!T:T,MATCH($D110,'卡片raw data'!$F:$F,))*(IF($F110="UR",0.04,0.033))*(IF($F110="UR",INDEX(绊状态确认!$S:$S,MATCH($G110,绊状态确认!$B:$B,))/2-40)+IF($F110="SR",INDEX(绊状态确认!$R:$R,MATCH($G110,绊状态确认!$B:$B,))/4-15))+IF($F110="R",INDEX(绊状态确认!$Q:$Q,MATCH($G110,绊状态确认!$B:$B,))/6-40/6)))*(INDEX(绊状态确认!$H:$H,MATCH($G110,绊状态确认!$B:$B,))+INDEX(绊状态确认!K:K,MATCH($G110,绊状态确认!$B:$B,)))</f>
        <v>10958.805215999999</v>
      </c>
      <c r="AN110" s="1106">
        <f>IF($P110="","N/A",(IF($P110=-1,INDEX('卡片raw data'!U:U,MATCH($D110,'卡片raw data'!$F:$F,)),0)+IF($P110=0,INDEX('卡片raw data'!X:X,MATCH($D110,'卡片raw data'!$F:$F,)),0)+IF($P110=1,INDEX('卡片raw data'!AA:AA,MATCH($D110,'卡片raw data'!$F:$F,)),0)+IF($P110=2,INDEX('卡片raw data'!AD:AD,MATCH($D110,'卡片raw data'!$F:$F,)),0)+IF($P110=3,INDEX('卡片raw data'!AG:AG,MATCH($D110,'卡片raw data'!$F:$F,)),0)+IF($P110=4,INDEX('卡片raw data'!AJ:AJ,MATCH($D110,'卡片raw data'!$F:$F,)),0)+IF($P110=5,INDEX('卡片raw data'!AM:AM,MATCH($D110,'卡片raw data'!$F:$F,)),0)+INDEX('卡片raw data'!U:U,MATCH($D110,'卡片raw data'!$F:$F,))*(IF($F110="UR",0.04,0.033))*(IF($F110="UR",INDEX(绊状态确认!$S:$S,MATCH($G110,绊状态确认!$B:$B,))/2-40)+IF($F110="SR",INDEX(绊状态确认!$R:$R,MATCH($G110,绊状态确认!$B:$B,))/4-15))+IF($F110="R",INDEX(绊状态确认!$Q:$Q,MATCH($G110,绊状态确认!$B:$B,))/6-40/6)))*(INDEX(绊状态确认!$H:$H,MATCH($G110,绊状态确认!$B:$B,))+INDEX(绊状态确认!L:L,MATCH($G110,绊状态确认!$B:$B,)))</f>
        <v>10958.805215999999</v>
      </c>
      <c r="AO110" s="1107">
        <f t="shared" si="109"/>
        <v>1</v>
      </c>
      <c r="AP110" s="1131">
        <f>1+(INDEX(绊状态确认!$T:$T,MATCH($G110,绊状态确认!$B:$B,))+0.2)*$AO110</f>
        <v>1.3</v>
      </c>
      <c r="AQ110" s="1108">
        <f t="shared" si="110"/>
        <v>27910.755028</v>
      </c>
      <c r="AR110" s="1097">
        <f>(AM110*(1+$EX$9)+$EX$35)*(1+(INDEX(绊状态确认!$T:$T,MATCH($G110,绊状态确认!$B:$B,))+0.2)*AO110)*IF(J110=$FF$17,1+$FE$17,1)*IF(I110=$FF$14,1+$FE$14,1)*(1+$FE$15)</f>
        <v>17662.769119839999</v>
      </c>
      <c r="AS110" s="1097">
        <f>(AN110*(1+$EX$10)+$EX$36)*(1+(INDEX(绊状态确认!$T:$T,MATCH($G110,绊状态确认!$B:$B,))+0.2)*AO110)*IF(J110=$FF$17,1+$FE$17,1)*IF(I110=$FF$14,1+$FE$14,1)*(1+$FE$15)</f>
        <v>20439.413797919999</v>
      </c>
      <c r="AT110" s="1093">
        <f>IF(AND(INDEX('卡片raw data'!AK:AK,MATCH($D110,'卡片raw data'!$F:$F,))&lt;INDEX('卡片raw data'!AM:AM,MATCH($D110,'卡片raw data'!$F:$F,)),INDEX('卡片raw data'!AL:AL,MATCH($D110,'卡片raw data'!$F:$F,))&lt;INDEX('卡片raw data'!AM:AM,MATCH($D110,'卡片raw data'!$F:$F,))),1,0)</f>
        <v>0</v>
      </c>
      <c r="AU110" s="1098">
        <f>MIN(AT110*0.15+AS110*0.00003+INDEX(绊状态确认!M:M,MATCH($G110,绊状态确认!$B:$B,)),1)</f>
        <v>0.64318241393760001</v>
      </c>
      <c r="AV110" s="1109">
        <f>(INDEX(绊状态确认!$N:$N,MATCH($G110,绊状态确认!$B:$B,))+1.5)*$EW$21</f>
        <v>2.6599999999999997</v>
      </c>
      <c r="AW110" s="1101">
        <f t="shared" si="111"/>
        <v>29971.802725908907</v>
      </c>
      <c r="AX110" s="1097">
        <f t="shared" si="112"/>
        <v>1531.4332521378924</v>
      </c>
      <c r="AY110" s="1110">
        <f t="shared" si="113"/>
        <v>31503.2359780468</v>
      </c>
      <c r="AZ110" s="429">
        <f t="shared" si="114"/>
        <v>20919.418020799996</v>
      </c>
      <c r="BA110" s="431">
        <f t="shared" si="115"/>
        <v>25103.301624959993</v>
      </c>
      <c r="BB110" s="1097">
        <f>(AM110*(1+$FB$9)+$FB$35)*(1+(INDEX(绊状态确认!$T:$T,MATCH($G110,绊状态确认!$B:$B,))+0.2)*AO110)*IF(J110=$FF$17,1+$FE$17,1)*IF(I110=$FF$14,1+$FE$14,1)*(1+$FE$15)</f>
        <v>17662.769119839999</v>
      </c>
      <c r="BC110" s="1097">
        <f>(AN110*(1+$FB$10)+$FB$36)*(1+(INDEX(绊状态确认!$T:$T,MATCH($G110,绊状态确认!$B:$B,))+0.2)*AO110)*IF(J110=$FF$17,1+$FE$17,1)*IF(I110=$FF$14,1+$FE$14,1)*(1+$FE$15)</f>
        <v>20439.413797919999</v>
      </c>
      <c r="BD110" s="1104">
        <f>MIN(AT110*0.15+BC110*0.00003+INDEX(绊状态确认!M:M,MATCH($G110,绊状态确认!$B:$B,)),1)</f>
        <v>0.64318241393760001</v>
      </c>
      <c r="BE110" s="432">
        <f>(INDEX(绊状态确认!$N:$N,MATCH($G110,绊状态确认!$B:$B,))+1.5)</f>
        <v>1.9</v>
      </c>
      <c r="BF110" s="1139">
        <f t="array" ref="BF110">SUMPRODUCT(IF(AZ110*AP110*$FI$16:$FI$23*$FA$22&gt;=$FI$24,$FI$24,AZ110*AP110*$FI$16:$FI$23*$FA$22),$FJ$16:$FJ$23)</f>
        <v>41608.722443371196</v>
      </c>
      <c r="BG110" s="1125">
        <f t="array" ref="BG110">SUMPRODUCT(IF(BE110*AZ110*AP110*$FI$16:$FI$23*$FA$22&gt;=$FI$24,$FI$24,BE110*AZ110*AP110*$FI$16:$FI$23*$FA$22),$FJ$16:$FJ$23)</f>
        <v>60000</v>
      </c>
      <c r="BH110" s="1110">
        <f t="shared" si="116"/>
        <v>17812.556245880038</v>
      </c>
      <c r="BI110" s="1111">
        <f>IF(O110="vo",$EW$26/$EW$24*0.05,0)+IF(O110="sk",-$EW$26/$EW$24*(0.05-INDEX(绊状态确认!W:W,MATCH($G110,绊状态确认!$B:$B,)))+0.05*$EW$28,0)+IF(O110="sp",0.05*$EW$32*$EW$30*(1-$EW$33)-(0.05-INDEX(绊状态确认!V:V,MATCH($G110,绊状态确认!$B:$B,)))*$EW$28,0)+IF(O110="gd",-(0.05-INDEX(绊状态确认!X:X,MATCH($G110,绊状态确认!$B:$B,)))*$EW$32*$EW$30*(1-$EW$33),0)</f>
        <v>19.999999999999886</v>
      </c>
      <c r="BJ110" s="1097">
        <f>IF(O110="vo",0.05*(1-$FI$26)*$FA$24,0)+IF(O110="sk",-(0.05-INDEX(绊状态确认!W:W,MATCH($G110,绊状态确认!$B:$B,)))*(1-$FI$26)*$FA$24+0.05*$FA$26,0)+IF(O110="sp",0.05*$FA$32*$FA$27*(1-$FA$33)/$FA$30+0.05*$FA$29/$FA$69*$FA$27*(1-$FA$33)-(0.05-INDEX(绊状态确认!V:V,MATCH($G110,绊状态确认!$B:$B,)))*$FA$26,0)+IF(O110="gd",-(0.05-INDEX(绊状态确认!X:X,MATCH($G110,绊状态确认!$B:$B,)))*$FA$32*$FA$27*(1-$FA$33)/$FA$30-(0.05-INDEX(绊状态确认!X:X,MATCH($G110,绊状态确认!$B:$B,)))*$FA$29/$FA$69*$FA$27*(1-$FA$33),0)</f>
        <v>545.83333333333326</v>
      </c>
      <c r="BK110" s="1110">
        <f>IF(O110="vo",$EW$26/$EW$24*0.05+$EW$26*(-HP($EW$62,$EW$65,$EW$64)+HP($EW$62,$EW$65,(1.05-INDEX(绊状态确认!U:U,MATCH($G110,绊状态确认!$B:$B,)))*$EW$64)),0)+IF(O110="sk",-$EW$26/$EW$24*(0.05-INDEX(绊状态确认!W:W,MATCH($G110,绊状态确认!$B:$B,)))+0.05*$EW$29,0)+IF(O110="sp",0.05*$EW$32*$EW$30*(1-$EW$33)-(0.05-INDEX(绊状态确认!V:V,MATCH($G110,绊状态确认!$B:$B,)))*$EW$29,0)+IF(O110="gd",-(0.05-INDEX(绊状态确认!X:X,MATCH($G110,绊状态确认!$B:$B,)))*$EW$32*$EW$30*(1-$EW$33)+$EW$26*(-HP($EW$62,$EW$65,$EW$64)+HP($EW$62,$EW$65,0.95*$EW$64)),0)</f>
        <v>-1780.0000000000005</v>
      </c>
      <c r="BL110" s="1111">
        <f t="shared" si="117"/>
        <v>0</v>
      </c>
      <c r="BM110" s="1110">
        <f t="shared" si="118"/>
        <v>0</v>
      </c>
      <c r="BN110" s="1113">
        <f t="shared" si="119"/>
        <v>3</v>
      </c>
      <c r="BO110" s="1097">
        <f t="shared" si="120"/>
        <v>4507.7214871259994</v>
      </c>
      <c r="BP110" s="1100">
        <f t="shared" si="121"/>
        <v>221.34103209030098</v>
      </c>
      <c r="BQ110" s="1113" t="s">
        <v>145</v>
      </c>
      <c r="BR110" s="1124" t="s">
        <v>146</v>
      </c>
      <c r="BS110" s="1098">
        <f>IF($P110="","N/A",IF($P110=-1,INDEX('卡片raw data'!AX:AX,MATCH($D110,'卡片raw data'!$F:$F,)),0)+IF($L110="party卡",IF($P110=5,INDEX('卡片raw data'!BD:BD,MATCH($D110,'卡片raw data'!$F:$F,)),IF($P110&gt;=3,INDEX('卡片raw data'!BC:BC,MATCH($D110,'卡片raw data'!$F:$F,)),INDEX('卡片raw data'!BB:BB,MATCH($D110,'卡片raw data'!$F:$F,)))),IF(OR(AND($F110="UR",$P110=0),AND($F110="SR",$P110&gt;=0,$P110&lt;=2),AND($F110="R",$P110&gt;=0,$P110&lt;4)),INDEX('卡片raw data'!AZ:AZ,MATCH($D110,'卡片raw data'!$F:$F,)),0)+IF(OR(AND($F110="UR",$P110&gt;=1,$P110&lt;=4),AND($F110="SR",$P110&lt;=4,$P110&gt;=3),AND($F110="R",$P110=4)),INDEX('卡片raw data'!BA:BA,MATCH($D110,'卡片raw data'!$F:$F,)),0)+IF($P110=5,INDEX('卡片raw data'!BB:BB,MATCH($D110,'卡片raw data'!$F:$F,)),0)))</f>
        <v>7.0000000000000007E-2</v>
      </c>
      <c r="BT110" s="1101">
        <f t="shared" si="122"/>
        <v>4952.2166430160187</v>
      </c>
      <c r="BU110" s="1097">
        <f t="shared" si="123"/>
        <v>358.20967007162113</v>
      </c>
      <c r="BV110" s="1097">
        <f t="shared" si="124"/>
        <v>0</v>
      </c>
      <c r="BW110" s="1112">
        <f t="shared" si="125"/>
        <v>0</v>
      </c>
      <c r="BX110" s="1100">
        <f t="shared" si="126"/>
        <v>4952.2166430160187</v>
      </c>
      <c r="BY110" s="1110">
        <f t="shared" si="127"/>
        <v>0</v>
      </c>
      <c r="BZ110" s="1107" t="s">
        <v>569</v>
      </c>
      <c r="CA110" s="1124"/>
      <c r="CB110" s="1098">
        <f>IF($P110="","N/A",IF($P110=-1,INDEX('卡片raw data'!BE:BE,MATCH($D110,'卡片raw data'!$F:$F,)),0)+IF($L110="party卡",IF($P110=5,INDEX('卡片raw data'!BK:BK,MATCH($D110,'卡片raw data'!$F:$F,)),IF($P110&gt;=3,INDEX('卡片raw data'!BJ:BJ,MATCH($D110,'卡片raw data'!$F:$F,)),INDEX('卡片raw data'!BI:BI,MATCH($D110,'卡片raw data'!$F:$F,)))),IF(OR(AND($F110="UR",$P110=0),AND($F110="SR",$P110&gt;=0,$P110&lt;=2),AND($F110="R",$P110&gt;=0,$P110&lt;4)),INDEX('卡片raw data'!BG:BG,MATCH($D110,'卡片raw data'!$F:$F,)),0)+IF(OR(AND($F110="UR",$P110&gt;=1,$P110&lt;=4),AND($F110="SR",$P110&lt;=4,$P110&gt;=3),AND($F110="R",$P110=4)),INDEX('卡片raw data'!BH:BH,MATCH($D110,'卡片raw data'!$F:$F,)),0)+IF($P110=5,INDEX('卡片raw data'!BI:BI,MATCH($D110,'卡片raw data'!$F:$F,)),0)))</f>
        <v>0</v>
      </c>
      <c r="CC110" s="1101">
        <f t="shared" si="128"/>
        <v>0</v>
      </c>
      <c r="CD110" s="1097">
        <f>IF(BZ110="ap",CB110*(1-$FI$26)*$FB$5/$FB$11*(+IF(CA110="全员",$FA$24,0)+IF(CA110="同作战",$FA$24,0)+IF(CA110="仲间",$FA$24*2/3,0)+IF(CA110="同属性",$FA$24*$FA$37/3,0)+IF(CA110="同年级",$FA$24*$FA$40/3,0)+IF(CA110="同学校",$FA$24*$FA$43/3,0)+IF(CA110="同小队",$FA$24*$FA$46/3,0)+IF(CA110="同type",$FA$24*INDEX($FB$49:$FB$52,MATCH(X110,$FA$49:$FA$52,))/3,0)+IF(CA110="自身",#REF!/3,0)),0)+IF(BZ110="te",CB110*(1-$FI$27)*($FA$20-1)*$FB$7/$FB$13*(+IF(CA110="全员",$FA$19*$FA$24/(1+($FA$20-1)*$FA$19),0)+IF(CA110="同作战",$FA$19*$FA$24/(1+($FA$20-1)*$FA$19),0)+IF(CA110="仲间",$FA$19*$FA$24*2/3/(1+($FA$20-1)*$FA$19),0)+IF(CA110="同属性",$FA$19*$FA$24*$FA$37/3/(1+($FA$20-1)*$FA$19),0)+IF(CA110="同年级",$FA$19*$FA$24*$FA$40/3/(1+($FA$20-1)*$FA$19),0)+IF(CA110="同学校",$FA$19*$FA$24*$FA$43/3/(1+($FA$20-1)*$FA$19),0)+IF(CA110="同小队",$FA$19*$FA$24*$FA$46/3/(1+($FA$20-1)*$FA$19),0)+IF(CA110="同type",$FA$19*$FA$24*INDEX($FB$49:$FB$52,MATCH(X110,$FA$49:$FA$52,))/3/(1+($FA$20-1)*$FA$19),0)+IF(CA110="自身",$FA$19*#REF!/3/(1+(BH110-1)*$BD110),0)),0)</f>
        <v>0</v>
      </c>
      <c r="CE110" s="1097">
        <f t="shared" si="129"/>
        <v>0</v>
      </c>
      <c r="CF110" s="1112">
        <f t="shared" si="130"/>
        <v>0</v>
      </c>
      <c r="CG110" s="1100">
        <f t="shared" si="131"/>
        <v>0</v>
      </c>
      <c r="CH110" s="1110">
        <f t="shared" si="132"/>
        <v>0</v>
      </c>
      <c r="CI110" s="1113" t="s">
        <v>162</v>
      </c>
      <c r="CJ110" s="1114">
        <v>0.3</v>
      </c>
      <c r="CK110" s="1115" t="s">
        <v>256</v>
      </c>
      <c r="CL110" s="1115" t="s">
        <v>1940</v>
      </c>
      <c r="CM110" s="1119">
        <v>0.11</v>
      </c>
      <c r="CN110" s="1115"/>
      <c r="CO110" s="1092"/>
      <c r="CP110" s="1116">
        <f t="shared" si="133"/>
        <v>19.736891055514281</v>
      </c>
      <c r="CQ110" s="1116">
        <f t="shared" si="134"/>
        <v>27.61363178745599</v>
      </c>
      <c r="CR110" s="1116">
        <f t="shared" si="135"/>
        <v>19.736891055514281</v>
      </c>
      <c r="CS110" s="1118">
        <f t="shared" si="136"/>
        <v>0</v>
      </c>
      <c r="CT110" s="1109">
        <f t="shared" si="137"/>
        <v>0</v>
      </c>
      <c r="CU110" s="1101">
        <f t="shared" si="138"/>
        <v>28.223754209385426</v>
      </c>
      <c r="CV110" s="1108">
        <f t="shared" si="139"/>
        <v>0</v>
      </c>
      <c r="CW110" s="1097">
        <f t="shared" si="140"/>
        <v>28.223754209385422</v>
      </c>
      <c r="CX110" s="1097">
        <f t="shared" si="141"/>
        <v>28.223754209385426</v>
      </c>
      <c r="CY110" s="1110">
        <f t="shared" si="142"/>
        <v>28.223754209385422</v>
      </c>
      <c r="CZ110" s="437"/>
      <c r="DA110" s="438"/>
      <c r="DB110" s="439" t="s">
        <v>569</v>
      </c>
      <c r="DC110" s="439"/>
      <c r="DD110" s="443"/>
      <c r="DE110" s="411"/>
      <c r="DF110" s="411"/>
      <c r="DG110" s="1116">
        <f t="shared" si="143"/>
        <v>0</v>
      </c>
      <c r="DH110" s="1116">
        <f t="shared" si="144"/>
        <v>0</v>
      </c>
      <c r="DI110" s="1116">
        <f t="shared" si="145"/>
        <v>0</v>
      </c>
      <c r="DJ110" s="442">
        <f t="shared" si="146"/>
        <v>0</v>
      </c>
      <c r="DK110" s="1109">
        <f t="shared" si="147"/>
        <v>0</v>
      </c>
      <c r="DL110" s="1101">
        <f t="shared" si="148"/>
        <v>0</v>
      </c>
      <c r="DM110" s="1097">
        <f t="shared" si="149"/>
        <v>0</v>
      </c>
      <c r="DN110" s="1097">
        <f t="shared" si="150"/>
        <v>0</v>
      </c>
      <c r="DO110" s="1097">
        <f t="shared" si="151"/>
        <v>0</v>
      </c>
      <c r="DP110" s="1110">
        <f t="shared" si="152"/>
        <v>0</v>
      </c>
      <c r="DQ110" s="1113" t="s">
        <v>636</v>
      </c>
      <c r="DR110" s="1120">
        <f t="shared" si="153"/>
        <v>0.33</v>
      </c>
      <c r="DS110" s="1124"/>
      <c r="DT110" s="1093" t="s">
        <v>133</v>
      </c>
      <c r="DU110" s="1093"/>
      <c r="DV110" s="1098">
        <f>IF($P110="","N/A",IF(P110=-1,INDEX('卡片raw data'!AN:AN,MATCH(D110,'卡片raw data'!$F:$F,)),0)+IF(AND(L110&lt;&gt;"party卡",P110&lt;=2,P110&gt;=0),INDEX('卡片raw data'!AP:AP,MATCH(D110,'卡片raw data'!$F:$F,)),0)+IF(OR(AND(L110="party卡",P110&lt;=1),AND(P110&lt;=4,L110&lt;&gt;"party卡",P110&gt;=3)),INDEX('卡片raw data'!AQ:AQ,MATCH(D110,'卡片raw data'!$F:$F,)),0)+IF(OR(P110=5,AND(L110="party卡",P110&gt;=2)),INDEX('卡片raw data'!AR:AR,MATCH(D110,'卡片raw data'!$F:$F,)),0))</f>
        <v>0.28000000000000003</v>
      </c>
      <c r="DW110" s="1098">
        <f t="shared" si="154"/>
        <v>0.33</v>
      </c>
      <c r="DX110" s="1098">
        <f t="shared" si="155"/>
        <v>0.33</v>
      </c>
      <c r="DY110" s="1125">
        <f t="shared" si="156"/>
        <v>544.01328889107208</v>
      </c>
      <c r="DZ110" s="1125">
        <f t="shared" si="157"/>
        <v>470.57149489077733</v>
      </c>
      <c r="EA110" s="1098">
        <f t="shared" si="158"/>
        <v>0</v>
      </c>
      <c r="EB110" s="1121">
        <f t="shared" si="159"/>
        <v>0</v>
      </c>
      <c r="EC110" s="1101">
        <f t="shared" si="160"/>
        <v>0</v>
      </c>
      <c r="ED110" s="1097">
        <f t="shared" si="161"/>
        <v>0</v>
      </c>
      <c r="EE110" s="1110">
        <f t="shared" si="162"/>
        <v>48435.03108962375</v>
      </c>
      <c r="EF110" s="1092" t="s">
        <v>711</v>
      </c>
      <c r="EG110" s="1120">
        <f t="shared" si="163"/>
        <v>0.33</v>
      </c>
      <c r="EH110" s="1124"/>
      <c r="EI110" s="1093"/>
      <c r="EJ110" s="1093"/>
      <c r="EK110" s="1097">
        <f>IF($P110="","N/A",IF(P110=-1,INDEX('卡片raw data'!AS:AS,MATCH(D110,'卡片raw data'!$F:$F,)),0)+IF(AND(L110&lt;&gt;"party卡",P110&lt;=2,P110&gt;=0),INDEX('卡片raw data'!AU:AU,MATCH(D110,'卡片raw data'!$F:$F,)),0)+IF(OR(AND(L110="party卡",P110&lt;=1),AND(P110&lt;=4,L110&lt;&gt;"party卡",P110&gt;=3)),INDEX('卡片raw data'!AV:AV,MATCH(D110,'卡片raw data'!$F:$F,)),0)+IF(OR(P110=5,AND(L110="party卡",P110&gt;=2)),INDEX('卡片raw data'!AW:AW,MATCH(D110,'卡片raw data'!$F:$F,)),0))</f>
        <v>0</v>
      </c>
      <c r="EL110" s="1098">
        <f t="shared" si="164"/>
        <v>0.33</v>
      </c>
      <c r="EM110" s="1098">
        <f t="shared" si="165"/>
        <v>0.33</v>
      </c>
      <c r="EN110" s="1125">
        <f t="shared" si="166"/>
        <v>0</v>
      </c>
      <c r="EO110" s="1125">
        <f t="shared" si="167"/>
        <v>0</v>
      </c>
      <c r="EP110" s="1098">
        <f t="shared" si="168"/>
        <v>0</v>
      </c>
      <c r="EQ110" s="1121">
        <f t="shared" si="169"/>
        <v>0</v>
      </c>
      <c r="ER110" s="1101">
        <f t="shared" si="170"/>
        <v>0</v>
      </c>
      <c r="ES110" s="1097">
        <f t="shared" si="171"/>
        <v>0</v>
      </c>
      <c r="ET110" s="1122">
        <f t="shared" si="172"/>
        <v>0</v>
      </c>
    </row>
    <row r="111" spans="2:150" ht="16.5" customHeight="1">
      <c r="B111" s="1123" t="str">
        <f>INDEX('卡片raw data'!B:B,MATCH($D111,'卡片raw data'!$F:$F,))</f>
        <v>sh姬</v>
      </c>
      <c r="C111" s="449" t="s">
        <v>22</v>
      </c>
      <c r="D111" s="408">
        <v>108</v>
      </c>
      <c r="E111" s="1090">
        <v>300062001</v>
      </c>
      <c r="F111" s="1090" t="str">
        <f>INDEX('卡片raw data'!C:C,MATCH($D111,'卡片raw data'!$F:$F,))</f>
        <v>SR</v>
      </c>
      <c r="G111" s="1094" t="s">
        <v>336</v>
      </c>
      <c r="H111" s="411">
        <f>IFERROR(INDEX(绊状态确认!C:C,MATCH($G111,绊状态确认!$B:$B,)),"")</f>
        <v>6</v>
      </c>
      <c r="I111" s="1124" t="str">
        <f>IFERROR(INDEX(绊状态确认!D:D,MATCH($G111,绊状态确认!$B:$B,)),"")</f>
        <v>缪</v>
      </c>
      <c r="J111" s="1124" t="str">
        <f>IFERROR(INDEX(绊状态确认!E:E,MATCH($G111,绊状态确认!$B:$B,)),"")</f>
        <v>1年级</v>
      </c>
      <c r="K111" s="451" t="str">
        <f>IFERROR(INDEX(绊状态确认!F:F,MATCH($G111,绊状态确认!$B:$B,)),"")</f>
        <v>BiBi</v>
      </c>
      <c r="L111" s="1094" t="str">
        <f>INDEX('卡片raw data'!E:E,MATCH($D111,'卡片raw data'!$F:$F,))</f>
        <v>卡池卡</v>
      </c>
      <c r="M111" s="415">
        <v>43759</v>
      </c>
      <c r="N111" s="416">
        <v>2</v>
      </c>
      <c r="O111" s="1091" t="str">
        <f>INDEX('卡片raw data'!D:D,MATCH($D111,'卡片raw data'!$F:$F,))</f>
        <v>sk</v>
      </c>
      <c r="P111" s="417">
        <v>5</v>
      </c>
      <c r="Q111" s="1095">
        <f t="shared" si="88"/>
        <v>17788.49355538113</v>
      </c>
      <c r="R111" s="1096">
        <f t="shared" si="89"/>
        <v>0.20599999999999999</v>
      </c>
      <c r="S111" s="1097">
        <f t="shared" si="90"/>
        <v>12725.657481065711</v>
      </c>
      <c r="T111" s="1098">
        <f t="shared" si="91"/>
        <v>0.63600000000000001</v>
      </c>
      <c r="U111" s="1099">
        <f t="shared" si="92"/>
        <v>12.754252905252855</v>
      </c>
      <c r="V111" s="1100">
        <f t="shared" si="93"/>
        <v>20807.545586355085</v>
      </c>
      <c r="W111" s="1101">
        <f t="shared" si="94"/>
        <v>4544.0851234896354</v>
      </c>
      <c r="X111" s="1096">
        <f t="shared" si="95"/>
        <v>5.1999999999999998E-2</v>
      </c>
      <c r="Y111" s="1097">
        <f t="shared" si="96"/>
        <v>1019.0520309739532</v>
      </c>
      <c r="Z111" s="1102">
        <f t="shared" si="97"/>
        <v>12.754252905252855</v>
      </c>
      <c r="AA111" s="1103">
        <f t="shared" si="98"/>
        <v>5563.1371544635886</v>
      </c>
      <c r="AB111" s="1101">
        <f t="shared" si="99"/>
        <v>8081.3827256439345</v>
      </c>
      <c r="AC111" s="1104">
        <f t="shared" si="100"/>
        <v>9.2999999999999999E-2</v>
      </c>
      <c r="AD111" s="1105">
        <f t="shared" si="101"/>
        <v>8.0494224431818168E-2</v>
      </c>
      <c r="AE111" s="1128">
        <f t="shared" si="102"/>
        <v>39.343920571023588</v>
      </c>
      <c r="AF111" s="1130">
        <f t="shared" si="103"/>
        <v>0</v>
      </c>
      <c r="AG111" s="420">
        <f t="shared" si="104"/>
        <v>0</v>
      </c>
      <c r="AH111" s="420">
        <f t="shared" si="105"/>
        <v>0</v>
      </c>
      <c r="AI111" s="1097">
        <f t="shared" si="106"/>
        <v>0</v>
      </c>
      <c r="AJ111" s="420">
        <f t="shared" si="107"/>
        <v>0</v>
      </c>
      <c r="AK111" s="518">
        <f t="shared" si="108"/>
        <v>0</v>
      </c>
      <c r="AL111" s="1106">
        <f>IF($P111="","N/A",(IF($P111=-1,INDEX('卡片raw data'!S:S,MATCH($D111,'卡片raw data'!$F:$F,)),0)+IF($P111=0,INDEX('卡片raw data'!V:V,MATCH($D111,'卡片raw data'!$F:$F,)),0)+IF($P111=1,INDEX('卡片raw data'!Y:Y,MATCH($D111,'卡片raw data'!$F:$F,)),0)+IF($P111=2,INDEX('卡片raw data'!AB:AB,MATCH($D111,'卡片raw data'!$F:$F,)),0)+IF($P111=3,INDEX('卡片raw data'!AE:AE,MATCH($D111,'卡片raw data'!$F:$F,)),0)+IF($P111=4,INDEX('卡片raw data'!AH:AH,MATCH($D111,'卡片raw data'!$F:$F,)),0)+IF($P111=5,INDEX('卡片raw data'!AK:AK,MATCH($D111,'卡片raw data'!$F:$F,)),0)+INDEX('卡片raw data'!S:S,MATCH($D111,'卡片raw data'!$F:$F,))*(IF($F111="UR",0.04,0.033))*(IF($F111="UR",INDEX(绊状态确认!$S:$S,MATCH($G111,绊状态确认!$B:$B,))/2-40)+IF($F111="SR",INDEX(绊状态确认!$R:$R,MATCH($G111,绊状态确认!$B:$B,))/4-15))+IF($F111="R",INDEX(绊状态确认!$Q:$Q,MATCH($G111,绊状态确认!$B:$B,))/6-40/6)))*(INDEX(绊状态确认!$H:$H,MATCH($G111,绊状态确认!$B:$B,))+INDEX(绊状态确认!J:J,MATCH($G111,绊状态确认!$B:$B,)))</f>
        <v>5777.255320799999</v>
      </c>
      <c r="AM111" s="1106">
        <f>IF($P111="","N/A",(IF($P111=-1,INDEX('卡片raw data'!T:T,MATCH($D111,'卡片raw data'!$F:$F,)),0)+IF($P111=0,INDEX('卡片raw data'!W:W,MATCH($D111,'卡片raw data'!$F:$F,)),0)+IF($P111=1,INDEX('卡片raw data'!Z:Z,MATCH($D111,'卡片raw data'!$F:$F,)),0)+IF($P111=2,INDEX('卡片raw data'!AC:AC,MATCH($D111,'卡片raw data'!$F:$F,)),0)+IF($P111=3,INDEX('卡片raw data'!AF:AF,MATCH($D111,'卡片raw data'!$F:$F,)),0)+IF($P111=4,INDEX('卡片raw data'!AI:AI,MATCH($D111,'卡片raw data'!$F:$F,)),0)+IF($P111=5,INDEX('卡片raw data'!AL:AL,MATCH($D111,'卡片raw data'!$F:$F,)),0)+INDEX('卡片raw data'!T:T,MATCH($D111,'卡片raw data'!$F:$F,))*(IF($F111="UR",0.04,0.033))*(IF($F111="UR",INDEX(绊状态确认!$S:$S,MATCH($G111,绊状态确认!$B:$B,))/2-40)+IF($F111="SR",INDEX(绊状态确认!$R:$R,MATCH($G111,绊状态确认!$B:$B,))/4-15))+IF($F111="R",INDEX(绊状态确认!$Q:$Q,MATCH($G111,绊状态确认!$B:$B,))/6-40/6)))*(INDEX(绊状态确认!$H:$H,MATCH($G111,绊状态确认!$B:$B,))+INDEX(绊状态确认!K:K,MATCH($G111,绊状态确认!$B:$B,)))</f>
        <v>6739.9043063999998</v>
      </c>
      <c r="AN111" s="1106">
        <f>IF($P111="","N/A",(IF($P111=-1,INDEX('卡片raw data'!U:U,MATCH($D111,'卡片raw data'!$F:$F,)),0)+IF($P111=0,INDEX('卡片raw data'!X:X,MATCH($D111,'卡片raw data'!$F:$F,)),0)+IF($P111=1,INDEX('卡片raw data'!AA:AA,MATCH($D111,'卡片raw data'!$F:$F,)),0)+IF($P111=2,INDEX('卡片raw data'!AD:AD,MATCH($D111,'卡片raw data'!$F:$F,)),0)+IF($P111=3,INDEX('卡片raw data'!AG:AG,MATCH($D111,'卡片raw data'!$F:$F,)),0)+IF($P111=4,INDEX('卡片raw data'!AJ:AJ,MATCH($D111,'卡片raw data'!$F:$F,)),0)+IF($P111=5,INDEX('卡片raw data'!AM:AM,MATCH($D111,'卡片raw data'!$F:$F,)),0)+INDEX('卡片raw data'!U:U,MATCH($D111,'卡片raw data'!$F:$F,))*(IF($F111="UR",0.04,0.033))*(IF($F111="UR",INDEX(绊状态确认!$S:$S,MATCH($G111,绊状态确认!$B:$B,))/2-40)+IF($F111="SR",INDEX(绊状态确认!$R:$R,MATCH($G111,绊状态确认!$B:$B,))/4-15))+IF($F111="R",INDEX(绊状态确认!$Q:$Q,MATCH($G111,绊状态确认!$B:$B,))/6-40/6)))*(INDEX(绊状态确认!$H:$H,MATCH($G111,绊状态确认!$B:$B,))+INDEX(绊状态确认!L:L,MATCH($G111,绊状态确认!$B:$B,)))</f>
        <v>6739.9043063999998</v>
      </c>
      <c r="AO111" s="1107">
        <f t="shared" si="109"/>
        <v>1</v>
      </c>
      <c r="AP111" s="1131">
        <f>1+(INDEX(绊状态确认!$T:$T,MATCH($G111,绊状态确认!$B:$B,))+0.2)*$AO111</f>
        <v>1.3</v>
      </c>
      <c r="AQ111" s="1108">
        <f t="shared" si="110"/>
        <v>18415.295217099996</v>
      </c>
      <c r="AR111" s="1097">
        <f>(AM111*(1+$EX$9)+$EX$35)*(1+(INDEX(绊状态确认!$T:$T,MATCH($G111,绊状态确认!$B:$B,))+0.2)*AO111)*IF(J111=$FF$17,1+$FE$17,1)*IF(I111=$FF$14,1+$FE$14,1)</f>
        <v>11903.969378235999</v>
      </c>
      <c r="AS111" s="1097">
        <f>(AN111*(1+$EX$10)+$EX$36)*(1+(INDEX(绊状态确认!$T:$T,MATCH($G111,绊状态确认!$B:$B,))+0.2)*AO111)*IF(J111=$FF$17,1+$FE$17,1)*IF(I111=$FF$14,1+$FE$14,1)</f>
        <v>14132.156938067999</v>
      </c>
      <c r="AT111" s="1093">
        <f>IF(AND(INDEX('卡片raw data'!AK:AK,MATCH($D111,'卡片raw data'!$F:$F,))&lt;INDEX('卡片raw data'!AM:AM,MATCH($D111,'卡片raw data'!$F:$F,)),INDEX('卡片raw data'!AL:AL,MATCH($D111,'卡片raw data'!$F:$F,))&lt;INDEX('卡片raw data'!AM:AM,MATCH($D111,'卡片raw data'!$F:$F,))),1,0)</f>
        <v>0</v>
      </c>
      <c r="AU111" s="1098">
        <f>MIN(AT111*0.15+AS111*0.00003+INDEX(绊状态确认!M:M,MATCH($G111,绊状态确认!$B:$B,)),1)</f>
        <v>0.45396470814204004</v>
      </c>
      <c r="AV111" s="1109">
        <f>(INDEX(绊状态确认!$N:$N,MATCH($G111,绊状态确认!$B:$B,))+1.5)*$EW$21</f>
        <v>2.6599999999999997</v>
      </c>
      <c r="AW111" s="1101">
        <f t="shared" si="111"/>
        <v>16771.116798040464</v>
      </c>
      <c r="AX111" s="1097">
        <f t="shared" si="112"/>
        <v>1019.0520309739535</v>
      </c>
      <c r="AY111" s="1110">
        <f t="shared" si="113"/>
        <v>17790.168829014419</v>
      </c>
      <c r="AZ111" s="429">
        <f t="shared" si="114"/>
        <v>13865.647875559998</v>
      </c>
      <c r="BA111" s="431">
        <f t="shared" si="115"/>
        <v>16638.777450671998</v>
      </c>
      <c r="BB111" s="1097">
        <f>(AM111*(1+$FB$9)+$FB$35)*(1+(INDEX(绊状态确认!$T:$T,MATCH($G111,绊状态确认!$B:$B,))+0.2)*AO111)*IF(J111=$FF$17,1+$FE$17,1)*IF(I111=$FF$14,1+$FE$14,1)*(1+$FE$15)</f>
        <v>11903.969378235999</v>
      </c>
      <c r="BC111" s="1097">
        <f>(AN111*(1+$FB$10)+$FB$36)*(1+(INDEX(绊状态确认!$T:$T,MATCH($G111,绊状态确认!$B:$B,))+0.2)*AO111)*IF(J111=$FF$17,1+$FE$17,1)*IF(I111=$FF$14,1+$FE$14,1)*(1+$FE$15)</f>
        <v>14132.156938067999</v>
      </c>
      <c r="BD111" s="1104">
        <f>MIN(AT111*0.15+BC111*0.00003+INDEX(绊状态确认!M:M,MATCH($G111,绊状态确认!$B:$B,)),1)</f>
        <v>0.45396470814204004</v>
      </c>
      <c r="BE111" s="432">
        <f>(INDEX(绊状态确认!$N:$N,MATCH($G111,绊状态确认!$B:$B,))+1.5)</f>
        <v>1.9</v>
      </c>
      <c r="BF111" s="1139">
        <f t="array" ref="BF111">SUMPRODUCT(IF(AZ111*AP111*$FI$16:$FI$23*$FA$22&gt;=$FI$24,$FI$24,AZ111*AP111*$FI$16:$FI$23*$FA$22),$FJ$16:$FJ$23)</f>
        <v>27578.77362448884</v>
      </c>
      <c r="BG111" s="1125">
        <f t="array" ref="BG111">SUMPRODUCT(IF(BE111*AZ111*AP111*$FI$16:$FI$23*$FA$22&gt;=$FI$24,$FI$24,BE111*AZ111*AP111*$FI$16:$FI$23*$FA$22),$FJ$16:$FJ$23)</f>
        <v>51727.854293054508</v>
      </c>
      <c r="BH111" s="1110">
        <f t="shared" si="116"/>
        <v>12847.201327364279</v>
      </c>
      <c r="BI111" s="1111">
        <f>IF(O111="vo",$EW$26/$EW$24*0.05,0)+IF(O111="sk",-$EW$26/$EW$24*(0.05-INDEX(绊状态确认!W:W,MATCH($G111,绊状态确认!$B:$B,)))+0.05*$EW$28,0)+IF(O111="sp",0.05*$EW$32*$EW$30*(1-$EW$33)-(0.05-INDEX(绊状态确认!V:V,MATCH($G111,绊状态确认!$B:$B,)))*$EW$28,0)+IF(O111="gd",-(0.05-INDEX(绊状态确认!X:X,MATCH($G111,绊状态确认!$B:$B,)))*$EW$32*$EW$30*(1-$EW$33),0)</f>
        <v>-6253.6726349699375</v>
      </c>
      <c r="BJ111" s="1097">
        <f>IF(O111="vo",0.05*(1-$FI$26)*$FA$24,0)+IF(O111="sk",-(0.05-INDEX(绊状态确认!W:W,MATCH($G111,绊状态确认!$B:$B,)))*(1-$FI$26)*$FA$24+0.05*$FA$26,0)+IF(O111="sp",0.05*$FA$32*$FA$27*(1-$FA$33)/$FA$30+0.05*$FA$29/$FA$69*$FA$27*(1-$FA$33)-(0.05-INDEX(绊状态确认!V:V,MATCH($G111,绊状态确认!$B:$B,)))*$FA$26,0)+IF(O111="gd",-(0.05-INDEX(绊状态确认!X:X,MATCH($G111,绊状态确认!$B:$B,)))*$FA$32*$FA$27*(1-$FA$33)/$FA$30-(0.05-INDEX(绊状态确认!X:X,MATCH($G111,绊状态确认!$B:$B,)))*$FA$29/$FA$69*$FA$27*(1-$FA$33),0)</f>
        <v>20.459096812499922</v>
      </c>
      <c r="BK111" s="1110">
        <f>IF(O111="vo",$EW$26/$EW$24*0.05+$EW$26*(-HP($EW$62,$EW$65,$EW$64)+HP($EW$62,$EW$65,(1.05-INDEX(绊状态确认!U:U,MATCH($G111,绊状态确认!$B:$B,)))*$EW$64)),0)+IF(O111="sk",-$EW$26/$EW$24*(0.05-INDEX(绊状态确认!W:W,MATCH($G111,绊状态确认!$B:$B,)))+0.05*$EW$29,0)+IF(O111="sp",0.05*$EW$32*$EW$30*(1-$EW$33)-(0.05-INDEX(绊状态确认!V:V,MATCH($G111,绊状态确认!$B:$B,)))*$EW$29,0)+IF(O111="gd",-(0.05-INDEX(绊状态确认!X:X,MATCH($G111,绊状态确认!$B:$B,)))*$EW$32*$EW$30*(1-$EW$33)+$EW$26*(-HP($EW$62,$EW$65,$EW$64)+HP($EW$62,$EW$65,0.95*$EW$64)),0)</f>
        <v>-4253.6726349699375</v>
      </c>
      <c r="BL111" s="1111">
        <f t="shared" si="117"/>
        <v>-1083.3333333333333</v>
      </c>
      <c r="BM111" s="1110">
        <f t="shared" si="118"/>
        <v>-830.55555555555543</v>
      </c>
      <c r="BN111" s="1113">
        <f t="shared" si="119"/>
        <v>3</v>
      </c>
      <c r="BO111" s="1097">
        <f t="shared" si="120"/>
        <v>4507.7214871259994</v>
      </c>
      <c r="BP111" s="1100">
        <f t="shared" si="121"/>
        <v>221.34103209030098</v>
      </c>
      <c r="BQ111" s="1113" t="s">
        <v>626</v>
      </c>
      <c r="BR111" s="1124" t="s">
        <v>168</v>
      </c>
      <c r="BS111" s="1098">
        <f>IF($P111="","N/A",IF($P111=-1,INDEX('卡片raw data'!AX:AX,MATCH($D111,'卡片raw data'!$F:$F,)),0)+IF($L111="party卡",IF($P111=5,INDEX('卡片raw data'!BD:BD,MATCH($D111,'卡片raw data'!$F:$F,)),IF($P111&gt;=3,INDEX('卡片raw data'!BC:BC,MATCH($D111,'卡片raw data'!$F:$F,)),INDEX('卡片raw data'!BB:BB,MATCH($D111,'卡片raw data'!$F:$F,)))),IF(OR(AND($F111="UR",$P111=0),AND($F111="SR",$P111&gt;=0,$P111&lt;=2),AND($F111="R",$P111&gt;=0,$P111&lt;4)),INDEX('卡片raw data'!AZ:AZ,MATCH($D111,'卡片raw data'!$F:$F,)),0)+IF(OR(AND($F111="UR",$P111&gt;=1,$P111&lt;=4),AND($F111="SR",$P111&lt;=4,$P111&gt;=3),AND($F111="R",$P111=4)),INDEX('卡片raw data'!BA:BA,MATCH($D111,'卡片raw data'!$F:$F,)),0)+IF($P111=5,INDEX('卡片raw data'!BB:BB,MATCH($D111,'卡片raw data'!$F:$F,)),0)))</f>
        <v>0.05</v>
      </c>
      <c r="BT111" s="1101">
        <f t="shared" si="122"/>
        <v>3537.2976021542986</v>
      </c>
      <c r="BU111" s="1097">
        <f t="shared" si="123"/>
        <v>255.86405005115788</v>
      </c>
      <c r="BV111" s="1097">
        <f t="shared" si="124"/>
        <v>0</v>
      </c>
      <c r="BW111" s="1112">
        <f t="shared" si="125"/>
        <v>0</v>
      </c>
      <c r="BX111" s="1100">
        <f t="shared" si="126"/>
        <v>3537.2976021542986</v>
      </c>
      <c r="BY111" s="1110">
        <f t="shared" si="127"/>
        <v>0</v>
      </c>
      <c r="BZ111" s="1107" t="s">
        <v>569</v>
      </c>
      <c r="CA111" s="1124"/>
      <c r="CB111" s="1098">
        <f>IF($P111="","N/A",IF($P111=-1,INDEX('卡片raw data'!BE:BE,MATCH($D111,'卡片raw data'!$F:$F,)),0)+IF($L111="party卡",IF($P111=5,INDEX('卡片raw data'!BK:BK,MATCH($D111,'卡片raw data'!$F:$F,)),IF($P111&gt;=3,INDEX('卡片raw data'!BJ:BJ,MATCH($D111,'卡片raw data'!$F:$F,)),INDEX('卡片raw data'!BI:BI,MATCH($D111,'卡片raw data'!$F:$F,)))),IF(OR(AND($F111="UR",$P111=0),AND($F111="SR",$P111&gt;=0,$P111&lt;=2),AND($F111="R",$P111&gt;=0,$P111&lt;4)),INDEX('卡片raw data'!BG:BG,MATCH($D111,'卡片raw data'!$F:$F,)),0)+IF(OR(AND($F111="UR",$P111&gt;=1,$P111&lt;=4),AND($F111="SR",$P111&lt;=4,$P111&gt;=3),AND($F111="R",$P111=4)),INDEX('卡片raw data'!BH:BH,MATCH($D111,'卡片raw data'!$F:$F,)),0)+IF($P111=5,INDEX('卡片raw data'!BI:BI,MATCH($D111,'卡片raw data'!$F:$F,)),0)))</f>
        <v>0</v>
      </c>
      <c r="CC111" s="1101">
        <f t="shared" si="128"/>
        <v>0</v>
      </c>
      <c r="CD111" s="1097">
        <f>IF(BZ111="ap",CB111*(1-$FI$26)*$FB$5/$FB$11*(+IF(CA111="全员",$FA$24,0)+IF(CA111="同作战",$FA$24,0)+IF(CA111="仲间",$FA$24*2/3,0)+IF(CA111="同属性",$FA$24*$FA$37/3,0)+IF(CA111="同年级",$FA$24*$FA$40/3,0)+IF(CA111="同学校",$FA$24*$FA$43/3,0)+IF(CA111="同小队",$FA$24*$FA$46/3,0)+IF(CA111="同type",$FA$24*INDEX($FB$49:$FB$52,MATCH(X111,$FA$49:$FA$52,))/3,0)+IF(CA111="自身",#REF!/3,0)),0)+IF(BZ111="te",CB111*(1-$FI$27)*($FA$20-1)*$FB$7/$FB$13*(+IF(CA111="全员",$FA$19*$FA$24/(1+($FA$20-1)*$FA$19),0)+IF(CA111="同作战",$FA$19*$FA$24/(1+($FA$20-1)*$FA$19),0)+IF(CA111="仲间",$FA$19*$FA$24*2/3/(1+($FA$20-1)*$FA$19),0)+IF(CA111="同属性",$FA$19*$FA$24*$FA$37/3/(1+($FA$20-1)*$FA$19),0)+IF(CA111="同年级",$FA$19*$FA$24*$FA$40/3/(1+($FA$20-1)*$FA$19),0)+IF(CA111="同学校",$FA$19*$FA$24*$FA$43/3/(1+($FA$20-1)*$FA$19),0)+IF(CA111="同小队",$FA$19*$FA$24*$FA$46/3/(1+($FA$20-1)*$FA$19),0)+IF(CA111="同type",$FA$19*$FA$24*INDEX($FB$49:$FB$52,MATCH(X111,$FA$49:$FA$52,))/3/(1+($FA$20-1)*$FA$19),0)+IF(CA111="自身",$FA$19*#REF!/3/(1+(BH111-1)*$BD111),0)),0)</f>
        <v>0</v>
      </c>
      <c r="CE111" s="1097">
        <f t="shared" si="129"/>
        <v>0</v>
      </c>
      <c r="CF111" s="1112">
        <f t="shared" si="130"/>
        <v>0</v>
      </c>
      <c r="CG111" s="1100">
        <f t="shared" si="131"/>
        <v>0</v>
      </c>
      <c r="CH111" s="1110">
        <f t="shared" si="132"/>
        <v>0</v>
      </c>
      <c r="CI111" s="1113" t="s">
        <v>170</v>
      </c>
      <c r="CJ111" s="1114">
        <v>0.3</v>
      </c>
      <c r="CK111" s="1115" t="s">
        <v>561</v>
      </c>
      <c r="CL111" s="1115" t="s">
        <v>161</v>
      </c>
      <c r="CM111" s="1119">
        <v>0.08</v>
      </c>
      <c r="CN111" s="1115">
        <v>10</v>
      </c>
      <c r="CO111" s="1092"/>
      <c r="CP111" s="1118">
        <f t="shared" si="133"/>
        <v>8.571428571428571E-4</v>
      </c>
      <c r="CQ111" s="1118">
        <f t="shared" si="134"/>
        <v>1.3333333333333333E-3</v>
      </c>
      <c r="CR111" s="1118">
        <f t="shared" si="135"/>
        <v>8.571428571428571E-4</v>
      </c>
      <c r="CS111" s="1118">
        <f t="shared" si="136"/>
        <v>6.1499999999999992E-2</v>
      </c>
      <c r="CT111" s="1109">
        <f t="shared" si="137"/>
        <v>0</v>
      </c>
      <c r="CU111" s="1101">
        <f t="shared" si="138"/>
        <v>36.36363636363636</v>
      </c>
      <c r="CV111" s="1108">
        <f t="shared" si="139"/>
        <v>30.303030303030301</v>
      </c>
      <c r="CW111" s="1097">
        <f t="shared" si="140"/>
        <v>36.36363636363636</v>
      </c>
      <c r="CX111" s="1097">
        <f t="shared" si="141"/>
        <v>36.36363636363636</v>
      </c>
      <c r="CY111" s="1110">
        <f t="shared" si="142"/>
        <v>36.36363636363636</v>
      </c>
      <c r="CZ111" s="437"/>
      <c r="DA111" s="438"/>
      <c r="DB111" s="439" t="s">
        <v>569</v>
      </c>
      <c r="DC111" s="439"/>
      <c r="DD111" s="443"/>
      <c r="DE111" s="411"/>
      <c r="DF111" s="411"/>
      <c r="DG111" s="1116">
        <f t="shared" si="143"/>
        <v>0</v>
      </c>
      <c r="DH111" s="1116">
        <f t="shared" si="144"/>
        <v>0</v>
      </c>
      <c r="DI111" s="1116">
        <f t="shared" si="145"/>
        <v>0</v>
      </c>
      <c r="DJ111" s="442">
        <f t="shared" si="146"/>
        <v>0</v>
      </c>
      <c r="DK111" s="1109">
        <f t="shared" si="147"/>
        <v>0</v>
      </c>
      <c r="DL111" s="1101">
        <f t="shared" si="148"/>
        <v>0</v>
      </c>
      <c r="DM111" s="1097">
        <f t="shared" si="149"/>
        <v>0</v>
      </c>
      <c r="DN111" s="1097">
        <f t="shared" si="150"/>
        <v>0</v>
      </c>
      <c r="DO111" s="1097">
        <f t="shared" si="151"/>
        <v>0</v>
      </c>
      <c r="DP111" s="1110">
        <f t="shared" si="152"/>
        <v>0</v>
      </c>
      <c r="DQ111" s="1113" t="s">
        <v>547</v>
      </c>
      <c r="DR111" s="1120">
        <f t="shared" si="153"/>
        <v>0.3</v>
      </c>
      <c r="DS111" s="1124">
        <v>5</v>
      </c>
      <c r="DT111" s="1093" t="s">
        <v>161</v>
      </c>
      <c r="DU111" s="1093" t="s">
        <v>544</v>
      </c>
      <c r="DV111" s="1098">
        <f>IF($P111="","N/A",IF(P111=-1,INDEX('卡片raw data'!AN:AN,MATCH(D111,'卡片raw data'!$F:$F,)),0)+IF(AND(L111&lt;&gt;"party卡",P111&lt;=2,P111&gt;=0),INDEX('卡片raw data'!AP:AP,MATCH(D111,'卡片raw data'!$F:$F,)),0)+IF(OR(AND(L111="party卡",P111&lt;=1),AND(P111&lt;=4,L111&lt;&gt;"party卡",P111&gt;=3)),INDEX('卡片raw data'!AQ:AQ,MATCH(D111,'卡片raw data'!$F:$F,)),0)+IF(OR(P111=5,AND(L111="party卡",P111&gt;=2)),INDEX('卡片raw data'!AR:AR,MATCH(D111,'卡片raw data'!$F:$F,)),0))</f>
        <v>4.2000000000000003E-2</v>
      </c>
      <c r="DW111" s="1098">
        <f t="shared" si="154"/>
        <v>0.3</v>
      </c>
      <c r="DX111" s="1098">
        <f t="shared" si="155"/>
        <v>0.3</v>
      </c>
      <c r="DY111" s="1098">
        <f t="shared" si="156"/>
        <v>2.0999999999999998E-2</v>
      </c>
      <c r="DZ111" s="1098">
        <f t="shared" si="157"/>
        <v>1.8164999999999997E-2</v>
      </c>
      <c r="EA111" s="1098">
        <f t="shared" si="158"/>
        <v>0</v>
      </c>
      <c r="EB111" s="1121">
        <f t="shared" si="159"/>
        <v>5.0722546874999992</v>
      </c>
      <c r="EC111" s="1101">
        <f t="shared" si="160"/>
        <v>272.99999999999994</v>
      </c>
      <c r="ED111" s="1097">
        <f t="shared" si="161"/>
        <v>181.04449999999994</v>
      </c>
      <c r="EE111" s="1110">
        <f t="shared" si="162"/>
        <v>272.99999999999994</v>
      </c>
      <c r="EF111" s="1092" t="s">
        <v>711</v>
      </c>
      <c r="EG111" s="1120">
        <f t="shared" si="163"/>
        <v>0.3</v>
      </c>
      <c r="EH111" s="1124"/>
      <c r="EI111" s="1093"/>
      <c r="EJ111" s="1093"/>
      <c r="EK111" s="1097">
        <f>IF($P111="","N/A",IF(P111=-1,INDEX('卡片raw data'!AS:AS,MATCH(D111,'卡片raw data'!$F:$F,)),0)+IF(AND(L111&lt;&gt;"party卡",P111&lt;=2,P111&gt;=0),INDEX('卡片raw data'!AU:AU,MATCH(D111,'卡片raw data'!$F:$F,)),0)+IF(OR(AND(L111="party卡",P111&lt;=1),AND(P111&lt;=4,L111&lt;&gt;"party卡",P111&gt;=3)),INDEX('卡片raw data'!AV:AV,MATCH(D111,'卡片raw data'!$F:$F,)),0)+IF(OR(P111=5,AND(L111="party卡",P111&gt;=2)),INDEX('卡片raw data'!AW:AW,MATCH(D111,'卡片raw data'!$F:$F,)),0))</f>
        <v>0</v>
      </c>
      <c r="EL111" s="1098">
        <f t="shared" si="164"/>
        <v>0.3</v>
      </c>
      <c r="EM111" s="1098">
        <f t="shared" si="165"/>
        <v>0.3</v>
      </c>
      <c r="EN111" s="1125">
        <f t="shared" si="166"/>
        <v>0</v>
      </c>
      <c r="EO111" s="1125">
        <f t="shared" si="167"/>
        <v>0</v>
      </c>
      <c r="EP111" s="1098">
        <f t="shared" si="168"/>
        <v>0</v>
      </c>
      <c r="EQ111" s="1121">
        <f t="shared" si="169"/>
        <v>0</v>
      </c>
      <c r="ER111" s="1101">
        <f t="shared" si="170"/>
        <v>0</v>
      </c>
      <c r="ES111" s="1097">
        <f t="shared" si="171"/>
        <v>0</v>
      </c>
      <c r="ET111" s="1122">
        <f t="shared" si="172"/>
        <v>0</v>
      </c>
    </row>
    <row r="112" spans="2:150" ht="16.5" customHeight="1">
      <c r="B112" s="1123" t="str">
        <f>INDEX('卡片raw data'!B:B,MATCH($D112,'卡片raw data'!$F:$F,))</f>
        <v>和服露</v>
      </c>
      <c r="C112" s="449" t="s">
        <v>124</v>
      </c>
      <c r="D112" s="408">
        <v>109</v>
      </c>
      <c r="E112" s="1090">
        <v>401093001</v>
      </c>
      <c r="F112" s="1090" t="str">
        <f>INDEX('卡片raw data'!C:C,MATCH($D112,'卡片raw data'!$F:$F,))</f>
        <v>UR</v>
      </c>
      <c r="G112" s="1094" t="s">
        <v>41</v>
      </c>
      <c r="H112" s="411">
        <f>IFERROR(INDEX(绊状态确认!C:C,MATCH($G112,绊状态确认!$B:$B,)),"")</f>
        <v>109</v>
      </c>
      <c r="I112" s="1124" t="str">
        <f>IFERROR(INDEX(绊状态确认!D:D,MATCH($G112,绊状态确认!$B:$B,)),"")</f>
        <v>水</v>
      </c>
      <c r="J112" s="1124" t="str">
        <f>IFERROR(INDEX(绊状态确认!E:E,MATCH($G112,绊状态确认!$B:$B,)),"")</f>
        <v>1年级</v>
      </c>
      <c r="K112" s="451" t="str">
        <f>IFERROR(INDEX(绊状态确认!F:F,MATCH($G112,绊状态确认!$B:$B,)),"")</f>
        <v>CYaRon!</v>
      </c>
      <c r="L112" s="1094" t="str">
        <f>INDEX('卡片raw data'!E:E,MATCH($D112,'卡片raw data'!$F:$F,))</f>
        <v>活动卡</v>
      </c>
      <c r="M112" s="415">
        <v>43759</v>
      </c>
      <c r="N112" s="416">
        <v>2</v>
      </c>
      <c r="O112" s="1091" t="str">
        <f>INDEX('卡片raw data'!D:D,MATCH($D112,'卡片raw data'!$F:$F,))</f>
        <v>vo</v>
      </c>
      <c r="P112" s="417">
        <v>5</v>
      </c>
      <c r="Q112" s="1095">
        <f t="shared" si="88"/>
        <v>49383.689449301761</v>
      </c>
      <c r="R112" s="1096">
        <f t="shared" si="89"/>
        <v>0.57399999999999995</v>
      </c>
      <c r="S112" s="1097">
        <f t="shared" si="90"/>
        <v>18704.616375892059</v>
      </c>
      <c r="T112" s="1098">
        <f t="shared" si="91"/>
        <v>0.93500000000000005</v>
      </c>
      <c r="U112" s="1099">
        <f t="shared" si="92"/>
        <v>-9.8443217004571455</v>
      </c>
      <c r="V112" s="1100">
        <f t="shared" si="93"/>
        <v>49295.942196348486</v>
      </c>
      <c r="W112" s="1101">
        <f t="shared" si="94"/>
        <v>7744.3764452940595</v>
      </c>
      <c r="X112" s="1096">
        <f t="shared" si="95"/>
        <v>0.09</v>
      </c>
      <c r="Y112" s="1097">
        <f t="shared" si="96"/>
        <v>1216.9211972884241</v>
      </c>
      <c r="Z112" s="1102">
        <f t="shared" si="97"/>
        <v>15.155678299542855</v>
      </c>
      <c r="AA112" s="1103">
        <f t="shared" si="98"/>
        <v>8961.2976425824836</v>
      </c>
      <c r="AB112" s="1101">
        <f t="shared" si="99"/>
        <v>7744.3764452940595</v>
      </c>
      <c r="AC112" s="1104">
        <f t="shared" si="100"/>
        <v>0.09</v>
      </c>
      <c r="AD112" s="1105">
        <f t="shared" si="101"/>
        <v>0</v>
      </c>
      <c r="AE112" s="1128">
        <f t="shared" si="102"/>
        <v>0</v>
      </c>
      <c r="AF112" s="1130">
        <f t="shared" si="103"/>
        <v>0</v>
      </c>
      <c r="AG112" s="420">
        <f t="shared" si="104"/>
        <v>0</v>
      </c>
      <c r="AH112" s="420">
        <f t="shared" si="105"/>
        <v>0</v>
      </c>
      <c r="AI112" s="1097">
        <f t="shared" si="106"/>
        <v>0</v>
      </c>
      <c r="AJ112" s="420">
        <f t="shared" si="107"/>
        <v>0</v>
      </c>
      <c r="AK112" s="518">
        <f t="shared" si="108"/>
        <v>0</v>
      </c>
      <c r="AL112" s="1106">
        <f>IF($P112="","N/A",(IF($P112=-1,INDEX('卡片raw data'!S:S,MATCH($D112,'卡片raw data'!$F:$F,)),0)+IF($P112=0,INDEX('卡片raw data'!V:V,MATCH($D112,'卡片raw data'!$F:$F,)),0)+IF($P112=1,INDEX('卡片raw data'!Y:Y,MATCH($D112,'卡片raw data'!$F:$F,)),0)+IF($P112=2,INDEX('卡片raw data'!AB:AB,MATCH($D112,'卡片raw data'!$F:$F,)),0)+IF($P112=3,INDEX('卡片raw data'!AE:AE,MATCH($D112,'卡片raw data'!$F:$F,)),0)+IF($P112=4,INDEX('卡片raw data'!AH:AH,MATCH($D112,'卡片raw data'!$F:$F,)),0)+IF($P112=5,INDEX('卡片raw data'!AK:AK,MATCH($D112,'卡片raw data'!$F:$F,)),0)+INDEX('卡片raw data'!S:S,MATCH($D112,'卡片raw data'!$F:$F,))*(IF($F112="UR",0.04,0.033))*(IF($F112="UR",INDEX(绊状态确认!$S:$S,MATCH($G112,绊状态确认!$B:$B,))/2-40)+IF($F112="SR",INDEX(绊状态确认!$R:$R,MATCH($G112,绊状态确认!$B:$B,))/4-15))+IF($F112="R",INDEX(绊状态确认!$Q:$Q,MATCH($G112,绊状态确认!$B:$B,))/6-40/6)))*(INDEX(绊状态确认!$H:$H,MATCH($G112,绊状态确认!$B:$B,))+INDEX(绊状态确认!J:J,MATCH($G112,绊状态确认!$B:$B,)))</f>
        <v>8381.904575999999</v>
      </c>
      <c r="AM112" s="1106">
        <f>IF($P112="","N/A",(IF($P112=-1,INDEX('卡片raw data'!T:T,MATCH($D112,'卡片raw data'!$F:$F,)),0)+IF($P112=0,INDEX('卡片raw data'!W:W,MATCH($D112,'卡片raw data'!$F:$F,)),0)+IF($P112=1,INDEX('卡片raw data'!Z:Z,MATCH($D112,'卡片raw data'!$F:$F,)),0)+IF($P112=2,INDEX('卡片raw data'!AC:AC,MATCH($D112,'卡片raw data'!$F:$F,)),0)+IF($P112=3,INDEX('卡片raw data'!AF:AF,MATCH($D112,'卡片raw data'!$F:$F,)),0)+IF($P112=4,INDEX('卡片raw data'!AI:AI,MATCH($D112,'卡片raw data'!$F:$F,)),0)+IF($P112=5,INDEX('卡片raw data'!AL:AL,MATCH($D112,'卡片raw data'!$F:$F,)),0)+INDEX('卡片raw data'!T:T,MATCH($D112,'卡片raw data'!$F:$F,))*(IF($F112="UR",0.04,0.033))*(IF($F112="UR",INDEX(绊状态确认!$S:$S,MATCH($G112,绊状态确认!$B:$B,))/2-40)+IF($F112="SR",INDEX(绊状态确认!$R:$R,MATCH($G112,绊状态确认!$B:$B,))/4-15))+IF($F112="R",INDEX(绊状态确认!$Q:$Q,MATCH($G112,绊状态确认!$B:$B,))/6-40/6)))*(INDEX(绊状态确认!$H:$H,MATCH($G112,绊状态确认!$B:$B,))+INDEX(绊状态确认!K:K,MATCH($G112,绊状态确认!$B:$B,)))</f>
        <v>8381.904575999999</v>
      </c>
      <c r="AN112" s="1106">
        <f>IF($P112="","N/A",(IF($P112=-1,INDEX('卡片raw data'!U:U,MATCH($D112,'卡片raw data'!$F:$F,)),0)+IF($P112=0,INDEX('卡片raw data'!X:X,MATCH($D112,'卡片raw data'!$F:$F,)),0)+IF($P112=1,INDEX('卡片raw data'!AA:AA,MATCH($D112,'卡片raw data'!$F:$F,)),0)+IF($P112=2,INDEX('卡片raw data'!AD:AD,MATCH($D112,'卡片raw data'!$F:$F,)),0)+IF($P112=3,INDEX('卡片raw data'!AG:AG,MATCH($D112,'卡片raw data'!$F:$F,)),0)+IF($P112=4,INDEX('卡片raw data'!AJ:AJ,MATCH($D112,'卡片raw data'!$F:$F,)),0)+IF($P112=5,INDEX('卡片raw data'!AM:AM,MATCH($D112,'卡片raw data'!$F:$F,)),0)+INDEX('卡片raw data'!U:U,MATCH($D112,'卡片raw data'!$F:$F,))*(IF($F112="UR",0.04,0.033))*(IF($F112="UR",INDEX(绊状态确认!$S:$S,MATCH($G112,绊状态确认!$B:$B,))/2-40)+IF($F112="SR",INDEX(绊状态确认!$R:$R,MATCH($G112,绊状态确认!$B:$B,))/4-15))+IF($F112="R",INDEX(绊状态确认!$Q:$Q,MATCH($G112,绊状态确认!$B:$B,))/6-40/6)))*(INDEX(绊状态确认!$H:$H,MATCH($G112,绊状态确认!$B:$B,))+INDEX(绊状态确认!L:L,MATCH($G112,绊状态确认!$B:$B,)))</f>
        <v>8637.9582239999982</v>
      </c>
      <c r="AO112" s="1107">
        <f t="shared" si="109"/>
        <v>1</v>
      </c>
      <c r="AP112" s="1131">
        <f>1+(INDEX(绊状态确认!$T:$T,MATCH($G112,绊状态确认!$B:$B,))+0.2)*$AO112</f>
        <v>1.3</v>
      </c>
      <c r="AQ112" s="1108">
        <f t="shared" si="110"/>
        <v>25252.499511999999</v>
      </c>
      <c r="AR112" s="1097">
        <f>(AM112*(1+$EX$9)+$EX$35)*(1+(INDEX(绊状态确认!$T:$T,MATCH($G112,绊状态确认!$B:$B,))+0.2)*AO112)*IF(J112=$FF$17,1+$FE$17,1)*IF(I112=$FF$14,1+$FE$14,1)*(1+$FE$15)</f>
        <v>14145.29974624</v>
      </c>
      <c r="AS112" s="1097">
        <f>(AN112*(1+$EX$10)+$EX$36)*(1+(INDEX(绊状态确认!$T:$T,MATCH($G112,绊状态确认!$B:$B,))+0.2)*AO112)*IF(J112=$FF$17,1+$FE$17,1)*IF(I112=$FF$14,1+$FE$14,1)*(1+$FE$15)</f>
        <v>16969.747544879996</v>
      </c>
      <c r="AT112" s="1093">
        <f>IF(AND(INDEX('卡片raw data'!AK:AK,MATCH($D112,'卡片raw data'!$F:$F,))&lt;INDEX('卡片raw data'!AM:AM,MATCH($D112,'卡片raw data'!$F:$F,)),INDEX('卡片raw data'!AL:AL,MATCH($D112,'卡片raw data'!$F:$F,))&lt;INDEX('卡片raw data'!AM:AM,MATCH($D112,'卡片raw data'!$F:$F,))),1,0)</f>
        <v>1</v>
      </c>
      <c r="AU112" s="1098">
        <f>MIN(AT112*0.15+AS112*0.00003+INDEX(绊状态确认!M:M,MATCH($G112,绊状态确认!$B:$B,)),1)</f>
        <v>0.68909242634639989</v>
      </c>
      <c r="AV112" s="1109">
        <f>(INDEX(绊状态确认!$N:$N,MATCH($G112,绊状态确认!$B:$B,))+1.5)*$EW$21</f>
        <v>2.6599999999999997</v>
      </c>
      <c r="AW112" s="1101">
        <f t="shared" si="111"/>
        <v>28116.737619869491</v>
      </c>
      <c r="AX112" s="1097">
        <f t="shared" si="112"/>
        <v>1216.9211972884245</v>
      </c>
      <c r="AY112" s="1110">
        <f t="shared" si="113"/>
        <v>29333.658817157917</v>
      </c>
      <c r="AZ112" s="429">
        <f t="shared" si="114"/>
        <v>18944.713923199997</v>
      </c>
      <c r="BA112" s="431">
        <f t="shared" si="115"/>
        <v>22733.656707839997</v>
      </c>
      <c r="BB112" s="1097">
        <f>(AM112*(1+$FB$9)+$FB$35)*(1+(INDEX(绊状态确认!$T:$T,MATCH($G112,绊状态确认!$B:$B,))+0.2)*AO112)*IF(J112=$FF$17,1+$FE$17,1)*IF(I112=$FF$14,1+$FE$14,1)*(1+$FE$15)</f>
        <v>14145.29974624</v>
      </c>
      <c r="BC112" s="1097">
        <f>(AN112*(1+$FB$10)+$FB$36)*(1+(INDEX(绊状态确认!$T:$T,MATCH($G112,绊状态确认!$B:$B,))+0.2)*AO112)*IF(J112=$FF$17,1+$FE$17,1)*IF(I112=$FF$14,1+$FE$14,1)*(1+$FE$15)</f>
        <v>16969.747544879996</v>
      </c>
      <c r="BD112" s="1104">
        <f>MIN(AT112*0.15+BC112*0.00003+INDEX(绊状态确认!M:M,MATCH($G112,绊状态确认!$B:$B,)),1)</f>
        <v>0.68909242634639989</v>
      </c>
      <c r="BE112" s="432">
        <f>(INDEX(绊状态确认!$N:$N,MATCH($G112,绊状态确认!$B:$B,))+1.5)</f>
        <v>1.9</v>
      </c>
      <c r="BF112" s="1139">
        <f t="array" ref="BF112">SUMPRODUCT(IF(AZ112*AP112*$FI$16:$FI$23*$FA$22&gt;=$FI$24,$FI$24,AZ112*AP112*$FI$16:$FI$23*$FA$22),$FJ$16:$FJ$23)</f>
        <v>37681.035993244797</v>
      </c>
      <c r="BG112" s="1125">
        <f t="array" ref="BG112">SUMPRODUCT(IF(BE112*AZ112*AP112*$FI$16:$FI$23*$FA$22&gt;=$FI$24,$FI$24,BE112*AZ112*AP112*$FI$16:$FI$23*$FA$22),$FJ$16:$FJ$23)</f>
        <v>59615.213206836481</v>
      </c>
      <c r="BH112" s="1110">
        <f t="shared" si="116"/>
        <v>17598.570463090204</v>
      </c>
      <c r="BI112" s="1111">
        <f>IF(O112="vo",$EW$26/$EW$24*0.05,0)+IF(O112="sk",-$EW$26/$EW$24*(0.05-INDEX(绊状态确认!W:W,MATCH($G112,绊状态确认!$B:$B,)))+0.05*$EW$28,0)+IF(O112="sp",0.05*$EW$32*$EW$30*(1-$EW$33)-(0.05-INDEX(绊状态确认!V:V,MATCH($G112,绊状态确认!$B:$B,)))*$EW$28,0)+IF(O112="gd",-(0.05-INDEX(绊状态确认!X:X,MATCH($G112,绊状态确认!$B:$B,)))*$EW$32*$EW$30*(1-$EW$33),0)</f>
        <v>7726.3029277443748</v>
      </c>
      <c r="BJ112" s="1097">
        <f>IF(O112="vo",0.05*(1-$FI$26)*$FA$24,0)+IF(O112="sk",-(0.05-INDEX(绊状态确认!W:W,MATCH($G112,绊状态确认!$B:$B,)))*(1-$FI$26)*$FA$24+0.05*$FA$26,0)+IF(O112="sp",0.05*$FA$32*$FA$27*(1-$FA$33)/$FA$30+0.05*$FA$29/$FA$69*$FA$27*(1-$FA$33)-(0.05-INDEX(绊状态确认!V:V,MATCH($G112,绊状态确认!$B:$B,)))*$FA$26,0)+IF(O112="gd",-(0.05-INDEX(绊状态确认!X:X,MATCH($G112,绊状态确认!$B:$B,)))*$FA$32*$FA$27*(1-$FA$33)/$FA$30-(0.05-INDEX(绊状态确认!X:X,MATCH($G112,绊状态确认!$B:$B,)))*$FA$29/$FA$69*$FA$27*(1-$FA$33),0)</f>
        <v>393.93433687500004</v>
      </c>
      <c r="BK112" s="1110">
        <f>IF(O112="vo",$EW$26/$EW$24*0.05+$EW$26*(-HP($EW$62,$EW$65,$EW$64)+HP($EW$62,$EW$65,(1.05-INDEX(绊状态确认!U:U,MATCH($G112,绊状态确认!$B:$B,)))*$EW$64)),0)+IF(O112="sk",-$EW$26/$EW$24*(0.05-INDEX(绊状态确认!W:W,MATCH($G112,绊状态确认!$B:$B,)))+0.05*$EW$29,0)+IF(O112="sp",0.05*$EW$32*$EW$30*(1-$EW$33)-(0.05-INDEX(绊状态确认!V:V,MATCH($G112,绊状态确认!$B:$B,)))*$EW$29,0)+IF(O112="gd",-(0.05-INDEX(绊状态确认!X:X,MATCH($G112,绊状态确认!$B:$B,)))*$EW$32*$EW$30*(1-$EW$33)+$EW$26*(-HP($EW$62,$EW$65,$EW$64)+HP($EW$62,$EW$65,0.95*$EW$64)),0)</f>
        <v>6421.6344775026746</v>
      </c>
      <c r="BL112" s="1111">
        <f t="shared" si="117"/>
        <v>0</v>
      </c>
      <c r="BM112" s="1110">
        <f t="shared" si="118"/>
        <v>0</v>
      </c>
      <c r="BN112" s="1113">
        <f t="shared" si="119"/>
        <v>3</v>
      </c>
      <c r="BO112" s="1097">
        <f t="shared" si="120"/>
        <v>4507.7214871259994</v>
      </c>
      <c r="BP112" s="1100">
        <f t="shared" si="121"/>
        <v>221.34103209030098</v>
      </c>
      <c r="BQ112" s="1113" t="s">
        <v>143</v>
      </c>
      <c r="BR112" s="1124" t="s">
        <v>147</v>
      </c>
      <c r="BS112" s="1098">
        <f>IF($P112="","N/A",IF($P112=-1,INDEX('卡片raw data'!AX:AX,MATCH($D112,'卡片raw data'!$F:$F,)),0)+IF($L112="party卡",IF($P112=5,INDEX('卡片raw data'!BD:BD,MATCH($D112,'卡片raw data'!$F:$F,)),IF($P112&gt;=3,INDEX('卡片raw data'!BC:BC,MATCH($D112,'卡片raw data'!$F:$F,)),INDEX('卡片raw data'!BB:BB,MATCH($D112,'卡片raw data'!$F:$F,)))),IF(OR(AND($F112="UR",$P112=0),AND($F112="SR",$P112&gt;=0,$P112&lt;=2),AND($F112="R",$P112&gt;=0,$P112&lt;4)),INDEX('卡片raw data'!AZ:AZ,MATCH($D112,'卡片raw data'!$F:$F,)),0)+IF(OR(AND($F112="UR",$P112&gt;=1,$P112&lt;=4),AND($F112="SR",$P112&lt;=4,$P112&gt;=3),AND($F112="R",$P112=4)),INDEX('卡片raw data'!BA:BA,MATCH($D112,'卡片raw data'!$F:$F,)),0)+IF($P112=5,INDEX('卡片raw data'!BB:BB,MATCH($D112,'卡片raw data'!$F:$F,)),0)))</f>
        <v>4.2000000000000003E-2</v>
      </c>
      <c r="BT112" s="1101">
        <f t="shared" si="122"/>
        <v>3155.4050409881997</v>
      </c>
      <c r="BU112" s="1097">
        <f t="shared" si="123"/>
        <v>154.93872246321072</v>
      </c>
      <c r="BV112" s="1097">
        <f t="shared" si="124"/>
        <v>3155.4050409882002</v>
      </c>
      <c r="BW112" s="1112">
        <f t="shared" si="125"/>
        <v>0</v>
      </c>
      <c r="BX112" s="1100">
        <f t="shared" si="126"/>
        <v>3155.4050409881997</v>
      </c>
      <c r="BY112" s="1110">
        <f t="shared" si="127"/>
        <v>3155.4050409882002</v>
      </c>
      <c r="BZ112" s="1107" t="s">
        <v>569</v>
      </c>
      <c r="CA112" s="1124"/>
      <c r="CB112" s="1098">
        <f>IF($P112="","N/A",IF($P112=-1,INDEX('卡片raw data'!BE:BE,MATCH($D112,'卡片raw data'!$F:$F,)),0)+IF($L112="party卡",IF($P112=5,INDEX('卡片raw data'!BK:BK,MATCH($D112,'卡片raw data'!$F:$F,)),IF($P112&gt;=3,INDEX('卡片raw data'!BJ:BJ,MATCH($D112,'卡片raw data'!$F:$F,)),INDEX('卡片raw data'!BI:BI,MATCH($D112,'卡片raw data'!$F:$F,)))),IF(OR(AND($F112="UR",$P112=0),AND($F112="SR",$P112&gt;=0,$P112&lt;=2),AND($F112="R",$P112&gt;=0,$P112&lt;4)),INDEX('卡片raw data'!BG:BG,MATCH($D112,'卡片raw data'!$F:$F,)),0)+IF(OR(AND($F112="UR",$P112&gt;=1,$P112&lt;=4),AND($F112="SR",$P112&lt;=4,$P112&gt;=3),AND($F112="R",$P112=4)),INDEX('卡片raw data'!BH:BH,MATCH($D112,'卡片raw data'!$F:$F,)),0)+IF($P112=5,INDEX('卡片raw data'!BI:BI,MATCH($D112,'卡片raw data'!$F:$F,)),0)))</f>
        <v>0</v>
      </c>
      <c r="CC112" s="1101">
        <f t="shared" si="128"/>
        <v>0</v>
      </c>
      <c r="CD112" s="1097">
        <f>IF(BZ112="ap",CB112*(1-$FI$26)*$FB$5/$FB$11*(+IF(CA112="全员",$FA$24,0)+IF(CA112="同作战",$FA$24,0)+IF(CA112="仲间",$FA$24*2/3,0)+IF(CA112="同属性",$FA$24*$FA$37/3,0)+IF(CA112="同年级",$FA$24*$FA$40/3,0)+IF(CA112="同学校",$FA$24*$FA$43/3,0)+IF(CA112="同小队",$FA$24*$FA$46/3,0)+IF(CA112="同type",$FA$24*INDEX($FB$49:$FB$52,MATCH(X112,$FA$49:$FA$52,))/3,0)+IF(CA112="自身",#REF!/3,0)),0)+IF(BZ112="te",CB112*(1-$FI$27)*($FA$20-1)*$FB$7/$FB$13*(+IF(CA112="全员",$FA$19*$FA$24/(1+($FA$20-1)*$FA$19),0)+IF(CA112="同作战",$FA$19*$FA$24/(1+($FA$20-1)*$FA$19),0)+IF(CA112="仲间",$FA$19*$FA$24*2/3/(1+($FA$20-1)*$FA$19),0)+IF(CA112="同属性",$FA$19*$FA$24*$FA$37/3/(1+($FA$20-1)*$FA$19),0)+IF(CA112="同年级",$FA$19*$FA$24*$FA$40/3/(1+($FA$20-1)*$FA$19),0)+IF(CA112="同学校",$FA$19*$FA$24*$FA$43/3/(1+($FA$20-1)*$FA$19),0)+IF(CA112="同小队",$FA$19*$FA$24*$FA$46/3/(1+($FA$20-1)*$FA$19),0)+IF(CA112="同type",$FA$19*$FA$24*INDEX($FB$49:$FB$52,MATCH(X112,$FA$49:$FA$52,))/3/(1+($FA$20-1)*$FA$19),0)+IF(CA112="自身",$FA$19*#REF!/3/(1+(BH112-1)*$BD112),0)),0)</f>
        <v>0</v>
      </c>
      <c r="CE112" s="1097">
        <f t="shared" si="129"/>
        <v>0</v>
      </c>
      <c r="CF112" s="1112">
        <f t="shared" si="130"/>
        <v>0</v>
      </c>
      <c r="CG112" s="1100">
        <f t="shared" si="131"/>
        <v>0</v>
      </c>
      <c r="CH112" s="1110">
        <f t="shared" si="132"/>
        <v>0</v>
      </c>
      <c r="CI112" s="1113" t="s">
        <v>164</v>
      </c>
      <c r="CJ112" s="1114">
        <v>0.3</v>
      </c>
      <c r="CK112" s="1115" t="s">
        <v>152</v>
      </c>
      <c r="CL112" s="1115" t="s">
        <v>1940</v>
      </c>
      <c r="CM112" s="1119">
        <v>0.35</v>
      </c>
      <c r="CN112" s="1115"/>
      <c r="CO112" s="1092"/>
      <c r="CP112" s="1116">
        <f t="shared" si="133"/>
        <v>73.863561072599992</v>
      </c>
      <c r="CQ112" s="1116">
        <f t="shared" si="134"/>
        <v>103.43813802067196</v>
      </c>
      <c r="CR112" s="1116">
        <f t="shared" si="135"/>
        <v>73.863561072599992</v>
      </c>
      <c r="CS112" s="1118">
        <f t="shared" si="136"/>
        <v>0</v>
      </c>
      <c r="CT112" s="1109">
        <f t="shared" si="137"/>
        <v>0</v>
      </c>
      <c r="CU112" s="1101">
        <f t="shared" si="138"/>
        <v>81.249917179859992</v>
      </c>
      <c r="CV112" s="1108">
        <f t="shared" si="139"/>
        <v>103.43813802067196</v>
      </c>
      <c r="CW112" s="1097">
        <f t="shared" si="140"/>
        <v>81.249917179859992</v>
      </c>
      <c r="CX112" s="1097">
        <f t="shared" si="141"/>
        <v>81.249917179859992</v>
      </c>
      <c r="CY112" s="1110">
        <f t="shared" si="142"/>
        <v>81.249917179859992</v>
      </c>
      <c r="CZ112" s="437"/>
      <c r="DA112" s="438"/>
      <c r="DB112" s="439" t="s">
        <v>569</v>
      </c>
      <c r="DC112" s="439"/>
      <c r="DD112" s="443"/>
      <c r="DE112" s="411"/>
      <c r="DF112" s="411"/>
      <c r="DG112" s="1116">
        <f t="shared" si="143"/>
        <v>0</v>
      </c>
      <c r="DH112" s="1116">
        <f t="shared" si="144"/>
        <v>0</v>
      </c>
      <c r="DI112" s="1116">
        <f t="shared" si="145"/>
        <v>0</v>
      </c>
      <c r="DJ112" s="442">
        <f t="shared" si="146"/>
        <v>0</v>
      </c>
      <c r="DK112" s="1109">
        <f t="shared" si="147"/>
        <v>0</v>
      </c>
      <c r="DL112" s="1101">
        <f t="shared" si="148"/>
        <v>0</v>
      </c>
      <c r="DM112" s="1097">
        <f t="shared" si="149"/>
        <v>0</v>
      </c>
      <c r="DN112" s="1097">
        <f t="shared" si="150"/>
        <v>0</v>
      </c>
      <c r="DO112" s="1097">
        <f t="shared" si="151"/>
        <v>0</v>
      </c>
      <c r="DP112" s="1110">
        <f t="shared" si="152"/>
        <v>0</v>
      </c>
      <c r="DQ112" s="1113" t="s">
        <v>159</v>
      </c>
      <c r="DR112" s="1120">
        <f t="shared" si="153"/>
        <v>0.33</v>
      </c>
      <c r="DS112" s="1124">
        <v>5</v>
      </c>
      <c r="DT112" s="1093" t="s">
        <v>161</v>
      </c>
      <c r="DU112" s="1093" t="s">
        <v>544</v>
      </c>
      <c r="DV112" s="1098">
        <f>IF($P112="","N/A",IF(P112=-1,INDEX('卡片raw data'!AN:AN,MATCH(D112,'卡片raw data'!$F:$F,)),0)+IF(AND(L112&lt;&gt;"party卡",P112&lt;=2,P112&gt;=0),INDEX('卡片raw data'!AP:AP,MATCH(D112,'卡片raw data'!$F:$F,)),0)+IF(OR(AND(L112="party卡",P112&lt;=1),AND(P112&lt;=4,L112&lt;&gt;"party卡",P112&gt;=3)),INDEX('卡片raw data'!AQ:AQ,MATCH(D112,'卡片raw data'!$F:$F,)),0)+IF(OR(P112=5,AND(L112="party卡",P112&gt;=2)),INDEX('卡片raw data'!AR:AR,MATCH(D112,'卡片raw data'!$F:$F,)),0))</f>
        <v>6.2E-2</v>
      </c>
      <c r="DW112" s="1098">
        <f t="shared" si="154"/>
        <v>0.33</v>
      </c>
      <c r="DX112" s="1098">
        <f t="shared" si="155"/>
        <v>0.33</v>
      </c>
      <c r="DY112" s="1098">
        <f t="shared" si="156"/>
        <v>3.4100000000000005E-2</v>
      </c>
      <c r="DZ112" s="1098">
        <f t="shared" si="157"/>
        <v>2.9496500000000005E-2</v>
      </c>
      <c r="EA112" s="1098">
        <f t="shared" si="158"/>
        <v>0</v>
      </c>
      <c r="EB112" s="1121">
        <f t="shared" si="159"/>
        <v>0</v>
      </c>
      <c r="EC112" s="1101">
        <f t="shared" si="160"/>
        <v>5796.2724563938309</v>
      </c>
      <c r="ED112" s="1097">
        <f t="shared" si="161"/>
        <v>232.39368335266883</v>
      </c>
      <c r="EE112" s="1110">
        <f t="shared" si="162"/>
        <v>5796.2724563938309</v>
      </c>
      <c r="EF112" s="1092" t="s">
        <v>711</v>
      </c>
      <c r="EG112" s="1120">
        <f t="shared" si="163"/>
        <v>0.33</v>
      </c>
      <c r="EH112" s="1124"/>
      <c r="EI112" s="1093"/>
      <c r="EJ112" s="1093"/>
      <c r="EK112" s="1097">
        <f>IF($P112="","N/A",IF(P112=-1,INDEX('卡片raw data'!AS:AS,MATCH(D112,'卡片raw data'!$F:$F,)),0)+IF(AND(L112&lt;&gt;"party卡",P112&lt;=2,P112&gt;=0),INDEX('卡片raw data'!AU:AU,MATCH(D112,'卡片raw data'!$F:$F,)),0)+IF(OR(AND(L112="party卡",P112&lt;=1),AND(P112&lt;=4,L112&lt;&gt;"party卡",P112&gt;=3)),INDEX('卡片raw data'!AV:AV,MATCH(D112,'卡片raw data'!$F:$F,)),0)+IF(OR(P112=5,AND(L112="party卡",P112&gt;=2)),INDEX('卡片raw data'!AW:AW,MATCH(D112,'卡片raw data'!$F:$F,)),0))</f>
        <v>0</v>
      </c>
      <c r="EL112" s="1098">
        <f t="shared" si="164"/>
        <v>0.33</v>
      </c>
      <c r="EM112" s="1098">
        <f t="shared" si="165"/>
        <v>0.33</v>
      </c>
      <c r="EN112" s="1125">
        <f t="shared" si="166"/>
        <v>0</v>
      </c>
      <c r="EO112" s="1125">
        <f t="shared" si="167"/>
        <v>0</v>
      </c>
      <c r="EP112" s="1098">
        <f t="shared" si="168"/>
        <v>0</v>
      </c>
      <c r="EQ112" s="1121">
        <f t="shared" si="169"/>
        <v>0</v>
      </c>
      <c r="ER112" s="1101">
        <f t="shared" si="170"/>
        <v>0</v>
      </c>
      <c r="ES112" s="1097">
        <f t="shared" si="171"/>
        <v>0</v>
      </c>
      <c r="ET112" s="1122">
        <f t="shared" si="172"/>
        <v>0</v>
      </c>
    </row>
    <row r="113" spans="2:150" ht="16.5" customHeight="1">
      <c r="B113" s="1123" t="str">
        <f>INDEX('卡片raw data'!B:B,MATCH($D113,'卡片raw data'!$F:$F,))</f>
        <v>sh妮</v>
      </c>
      <c r="C113" s="449" t="s">
        <v>123</v>
      </c>
      <c r="D113" s="408">
        <v>110</v>
      </c>
      <c r="E113" s="1090">
        <v>400092001</v>
      </c>
      <c r="F113" s="1090" t="str">
        <f>INDEX('卡片raw data'!C:C,MATCH($D113,'卡片raw data'!$F:$F,))</f>
        <v>SR</v>
      </c>
      <c r="G113" s="1094" t="s">
        <v>338</v>
      </c>
      <c r="H113" s="411">
        <f>IFERROR(INDEX(绊状态确认!C:C,MATCH($G113,绊状态确认!$B:$B,)),"")</f>
        <v>9</v>
      </c>
      <c r="I113" s="450" t="str">
        <f>IFERROR(INDEX(绊状态确认!D:D,MATCH($G113,绊状态确认!$B:$B,)),"")</f>
        <v>缪</v>
      </c>
      <c r="J113" s="450" t="str">
        <f>IFERROR(INDEX(绊状态确认!E:E,MATCH($G113,绊状态确认!$B:$B,)),"")</f>
        <v>3年级</v>
      </c>
      <c r="K113" s="451" t="str">
        <f>IFERROR(INDEX(绊状态确认!F:F,MATCH($G113,绊状态确认!$B:$B,)),"")</f>
        <v>BiBi</v>
      </c>
      <c r="L113" s="1094" t="str">
        <f>INDEX('卡片raw data'!E:E,MATCH($D113,'卡片raw data'!$F:$F,))</f>
        <v>活动卡</v>
      </c>
      <c r="M113" s="415">
        <v>43759</v>
      </c>
      <c r="N113" s="416">
        <v>2</v>
      </c>
      <c r="O113" s="1091" t="str">
        <f>INDEX('卡片raw data'!D:D,MATCH($D113,'卡片raw data'!$F:$F,))</f>
        <v>vo</v>
      </c>
      <c r="P113" s="417">
        <v>5</v>
      </c>
      <c r="Q113" s="1095">
        <f t="shared" si="88"/>
        <v>33140.651826387992</v>
      </c>
      <c r="R113" s="1096">
        <f t="shared" si="89"/>
        <v>0.38500000000000001</v>
      </c>
      <c r="S113" s="1097">
        <f t="shared" si="90"/>
        <v>12560.549422483557</v>
      </c>
      <c r="T113" s="1098">
        <f t="shared" si="91"/>
        <v>0.628</v>
      </c>
      <c r="U113" s="1099">
        <f t="shared" si="92"/>
        <v>-14.522782883697145</v>
      </c>
      <c r="V113" s="1100">
        <f t="shared" si="93"/>
        <v>32669.208633625411</v>
      </c>
      <c r="W113" s="1101">
        <f t="shared" si="94"/>
        <v>6458.5695393325477</v>
      </c>
      <c r="X113" s="1096">
        <f t="shared" si="95"/>
        <v>7.4999999999999997E-2</v>
      </c>
      <c r="Y113" s="1097">
        <f t="shared" si="96"/>
        <v>833.22525747911914</v>
      </c>
      <c r="Z113" s="1102">
        <f t="shared" si="97"/>
        <v>10.477217116302855</v>
      </c>
      <c r="AA113" s="1103">
        <f t="shared" si="98"/>
        <v>7291.7947968116669</v>
      </c>
      <c r="AB113" s="1101">
        <f t="shared" si="99"/>
        <v>7069.3429253045233</v>
      </c>
      <c r="AC113" s="1104">
        <f t="shared" si="100"/>
        <v>8.2000000000000003E-2</v>
      </c>
      <c r="AD113" s="1105">
        <f t="shared" si="101"/>
        <v>-3.8207812500000026E-3</v>
      </c>
      <c r="AE113" s="1128">
        <f t="shared" si="102"/>
        <v>-12.27536231884058</v>
      </c>
      <c r="AF113" s="1130">
        <f t="shared" si="103"/>
        <v>0</v>
      </c>
      <c r="AG113" s="420">
        <f t="shared" si="104"/>
        <v>0</v>
      </c>
      <c r="AH113" s="420">
        <f t="shared" si="105"/>
        <v>0</v>
      </c>
      <c r="AI113" s="1097">
        <f t="shared" si="106"/>
        <v>0</v>
      </c>
      <c r="AJ113" s="420">
        <f t="shared" si="107"/>
        <v>0</v>
      </c>
      <c r="AK113" s="518">
        <f t="shared" si="108"/>
        <v>0</v>
      </c>
      <c r="AL113" s="1106">
        <f>IF($P113="","N/A",(IF($P113=-1,INDEX('卡片raw data'!S:S,MATCH($D113,'卡片raw data'!$F:$F,)),0)+IF($P113=0,INDEX('卡片raw data'!V:V,MATCH($D113,'卡片raw data'!$F:$F,)),0)+IF($P113=1,INDEX('卡片raw data'!Y:Y,MATCH($D113,'卡片raw data'!$F:$F,)),0)+IF($P113=2,INDEX('卡片raw data'!AB:AB,MATCH($D113,'卡片raw data'!$F:$F,)),0)+IF($P113=3,INDEX('卡片raw data'!AE:AE,MATCH($D113,'卡片raw data'!$F:$F,)),0)+IF($P113=4,INDEX('卡片raw data'!AH:AH,MATCH($D113,'卡片raw data'!$F:$F,)),0)+IF($P113=5,INDEX('卡片raw data'!AK:AK,MATCH($D113,'卡片raw data'!$F:$F,)),0)+INDEX('卡片raw data'!S:S,MATCH($D113,'卡片raw data'!$F:$F,))*(IF($F113="UR",0.04,0.033))*(IF($F113="UR",INDEX(绊状态确认!$S:$S,MATCH($G113,绊状态确认!$B:$B,))/2-40)+IF($F113="SR",INDEX(绊状态确认!$R:$R,MATCH($G113,绊状态确认!$B:$B,))/4-15))+IF($F113="R",INDEX(绊状态确认!$Q:$Q,MATCH($G113,绊状态确认!$B:$B,))/6-40/6)))*(INDEX(绊状态确认!$H:$H,MATCH($G113,绊状态确认!$B:$B,))+INDEX(绊状态确认!J:J,MATCH($G113,绊状态确认!$B:$B,)))</f>
        <v>5182.9567583999988</v>
      </c>
      <c r="AM113" s="1106">
        <f>IF($P113="","N/A",(IF($P113=-1,INDEX('卡片raw data'!T:T,MATCH($D113,'卡片raw data'!$F:$F,)),0)+IF($P113=0,INDEX('卡片raw data'!W:W,MATCH($D113,'卡片raw data'!$F:$F,)),0)+IF($P113=1,INDEX('卡片raw data'!Z:Z,MATCH($D113,'卡片raw data'!$F:$F,)),0)+IF($P113=2,INDEX('卡片raw data'!AC:AC,MATCH($D113,'卡片raw data'!$F:$F,)),0)+IF($P113=3,INDEX('卡片raw data'!AF:AF,MATCH($D113,'卡片raw data'!$F:$F,)),0)+IF($P113=4,INDEX('卡片raw data'!AI:AI,MATCH($D113,'卡片raw data'!$F:$F,)),0)+IF($P113=5,INDEX('卡片raw data'!AL:AL,MATCH($D113,'卡片raw data'!$F:$F,)),0)+INDEX('卡片raw data'!T:T,MATCH($D113,'卡片raw data'!$F:$F,))*(IF($F113="UR",0.04,0.033))*(IF($F113="UR",INDEX(绊状态确认!$S:$S,MATCH($G113,绊状态确认!$B:$B,))/2-40)+IF($F113="SR",INDEX(绊状态确认!$R:$R,MATCH($G113,绊状态确认!$B:$B,))/4-15))+IF($F113="R",INDEX(绊状态确认!$Q:$Q,MATCH($G113,绊状态确认!$B:$B,))/6-40/6)))*(INDEX(绊状态确认!$H:$H,MATCH($G113,绊状态确认!$B:$B,))+INDEX(绊状态确认!K:K,MATCH($G113,绊状态确认!$B:$B,)))</f>
        <v>5182.9567583999988</v>
      </c>
      <c r="AN113" s="1106">
        <f>IF($P113="","N/A",(IF($P113=-1,INDEX('卡片raw data'!U:U,MATCH($D113,'卡片raw data'!$F:$F,)),0)+IF($P113=0,INDEX('卡片raw data'!X:X,MATCH($D113,'卡片raw data'!$F:$F,)),0)+IF($P113=1,INDEX('卡片raw data'!AA:AA,MATCH($D113,'卡片raw data'!$F:$F,)),0)+IF($P113=2,INDEX('卡片raw data'!AD:AD,MATCH($D113,'卡片raw data'!$F:$F,)),0)+IF($P113=3,INDEX('卡片raw data'!AG:AG,MATCH($D113,'卡片raw data'!$F:$F,)),0)+IF($P113=4,INDEX('卡片raw data'!AJ:AJ,MATCH($D113,'卡片raw data'!$F:$F,)),0)+IF($P113=5,INDEX('卡片raw data'!AM:AM,MATCH($D113,'卡片raw data'!$F:$F,)),0)+INDEX('卡片raw data'!U:U,MATCH($D113,'卡片raw data'!$F:$F,))*(IF($F113="UR",0.04,0.033))*(IF($F113="UR",INDEX(绊状态确认!$S:$S,MATCH($G113,绊状态确认!$B:$B,))/2-40)+IF($F113="SR",INDEX(绊状态确认!$R:$R,MATCH($G113,绊状态确认!$B:$B,))/4-15))+IF($F113="R",INDEX(绊状态确认!$Q:$Q,MATCH($G113,绊状态确认!$B:$B,))/6-40/6)))*(INDEX(绊状态确认!$H:$H,MATCH($G113,绊状态确认!$B:$B,))+INDEX(绊状态确认!L:L,MATCH($G113,绊状态确认!$B:$B,)))</f>
        <v>5340.5072543999995</v>
      </c>
      <c r="AO113" s="1107">
        <f t="shared" si="109"/>
        <v>1</v>
      </c>
      <c r="AP113" s="1131">
        <f>1+(INDEX(绊状态确认!$T:$T,MATCH($G113,绊状态确认!$B:$B,))+0.2)*$AO113</f>
        <v>1.3</v>
      </c>
      <c r="AQ113" s="1108">
        <f t="shared" si="110"/>
        <v>16855.261490799996</v>
      </c>
      <c r="AR113" s="1097">
        <f>(AM113*(1+$EX$9)+$EX$35)*(1+(INDEX(绊状态确认!$T:$T,MATCH($G113,绊状态确认!$B:$B,))+0.2)*AO113)*IF(J113=$FF$17,1+$FE$17,1)*IF(I113=$FF$14,1+$FE$14,1)</f>
        <v>9778.7359752159991</v>
      </c>
      <c r="AS113" s="1097">
        <f>(AN113*(1+$EX$10)+$EX$36)*(1+(INDEX(绊状态确认!$T:$T,MATCH($G113,绊状态确认!$B:$B,))+0.2)*AO113)*IF(J113=$FF$17,1+$FE$17,1)*IF(I113=$FF$14,1+$FE$14,1)</f>
        <v>12040.058345328</v>
      </c>
      <c r="AT113" s="1093">
        <f>IF(AND(INDEX('卡片raw data'!AK:AK,MATCH($D113,'卡片raw data'!$F:$F,))&lt;INDEX('卡片raw data'!AM:AM,MATCH($D113,'卡片raw data'!$F:$F,)),INDEX('卡片raw data'!AL:AL,MATCH($D113,'卡片raw data'!$F:$F,))&lt;INDEX('卡片raw data'!AM:AM,MATCH($D113,'卡片raw data'!$F:$F,))),1,0)</f>
        <v>1</v>
      </c>
      <c r="AU113" s="1098">
        <f>MIN(AT113*0.15+AS113*0.00003+INDEX(绊状态确认!M:M,MATCH($G113,绊状态确认!$B:$B,)),1)</f>
        <v>0.54120175035983997</v>
      </c>
      <c r="AV113" s="1109">
        <f>(INDEX(绊状态确认!$N:$N,MATCH($G113,绊状态确认!$B:$B,))+1.5)*$EW$21</f>
        <v>2.6599999999999997</v>
      </c>
      <c r="AW113" s="1101">
        <f t="shared" si="111"/>
        <v>16618.025388420872</v>
      </c>
      <c r="AX113" s="1097">
        <f t="shared" si="112"/>
        <v>833.22525747911948</v>
      </c>
      <c r="AY113" s="1110">
        <f t="shared" si="113"/>
        <v>17451.250645899992</v>
      </c>
      <c r="AZ113" s="429">
        <f t="shared" si="114"/>
        <v>12706.765678879998</v>
      </c>
      <c r="BA113" s="431">
        <f t="shared" si="115"/>
        <v>15248.118814655996</v>
      </c>
      <c r="BB113" s="1097">
        <f>(AM113*(1+$FB$9)+$FB$35)*(1+(INDEX(绊状态确认!$T:$T,MATCH($G113,绊状态确认!$B:$B,))+0.2)*AO113)*IF(J113=$FF$17,1+$FE$17,1)*IF(I113=$FF$14,1+$FE$14,1)*(1+$FE$15)</f>
        <v>9778.7359752159991</v>
      </c>
      <c r="BC113" s="1097">
        <f>(AN113*(1+$FB$10)+$FB$36)*(1+(INDEX(绊状态确认!$T:$T,MATCH($G113,绊状态确认!$B:$B,))+0.2)*AO113)*IF(J113=$FF$17,1+$FE$17,1)*IF(I113=$FF$14,1+$FE$14,1)*(1+$FE$15)</f>
        <v>12040.058345328</v>
      </c>
      <c r="BD113" s="1104">
        <f>MIN(AT113*0.15+BC113*0.00003+INDEX(绊状态确认!M:M,MATCH($G113,绊状态确认!$B:$B,)),1)</f>
        <v>0.54120175035983997</v>
      </c>
      <c r="BE113" s="432">
        <f>(INDEX(绊状态确认!$N:$N,MATCH($G113,绊状态确认!$B:$B,))+1.5)</f>
        <v>1.9</v>
      </c>
      <c r="BF113" s="1139">
        <f t="array" ref="BF113">SUMPRODUCT(IF(AZ113*AP113*$FI$16:$FI$23*$FA$22&gt;=$FI$24,$FI$24,AZ113*AP113*$FI$16:$FI$23*$FA$22),$FJ$16:$FJ$23)</f>
        <v>25273.756935292316</v>
      </c>
      <c r="BG113" s="1125">
        <f t="array" ref="BG113">SUMPRODUCT(IF(BE113*AZ113*AP113*$FI$16:$FI$23*$FA$22&gt;=$FI$24,$FI$24,BE113*AZ113*AP113*$FI$16:$FI$23*$FA$22),$FJ$16:$FJ$23)</f>
        <v>48020.138177055407</v>
      </c>
      <c r="BH113" s="1110">
        <f t="shared" si="116"/>
        <v>12528.046092562245</v>
      </c>
      <c r="BI113" s="1111">
        <f>IF(O113="vo",$EW$26/$EW$24*0.05,0)+IF(O113="sk",-$EW$26/$EW$24*(0.05-INDEX(绊状态确认!W:W,MATCH($G113,绊状态确认!$B:$B,)))+0.05*$EW$28,0)+IF(O113="sp",0.05*$EW$32*$EW$30*(1-$EW$33)-(0.05-INDEX(绊状态确认!V:V,MATCH($G113,绊状态确认!$B:$B,)))*$EW$28,0)+IF(O113="gd",-(0.05-INDEX(绊状态确认!X:X,MATCH($G113,绊状态确认!$B:$B,)))*$EW$32*$EW$30*(1-$EW$33),0)</f>
        <v>7726.3029277443748</v>
      </c>
      <c r="BJ113" s="1097">
        <f>IF(O113="vo",0.05*(1-$FI$26)*$FA$24,0)+IF(O113="sk",-(0.05-INDEX(绊状态确认!W:W,MATCH($G113,绊状态确认!$B:$B,)))*(1-$FI$26)*$FA$24+0.05*$FA$26,0)+IF(O113="sp",0.05*$FA$32*$FA$27*(1-$FA$33)/$FA$30+0.05*$FA$29/$FA$69*$FA$27*(1-$FA$33)-(0.05-INDEX(绊状态确认!V:V,MATCH($G113,绊状态确认!$B:$B,)))*$FA$26,0)+IF(O113="gd",-(0.05-INDEX(绊状态确认!X:X,MATCH($G113,绊状态确认!$B:$B,)))*$FA$32*$FA$27*(1-$FA$33)/$FA$30-(0.05-INDEX(绊状态确认!X:X,MATCH($G113,绊状态确认!$B:$B,)))*$FA$29/$FA$69*$FA$27*(1-$FA$33),0)</f>
        <v>393.93433687500004</v>
      </c>
      <c r="BK113" s="1110">
        <f>IF(O113="vo",$EW$26/$EW$24*0.05+$EW$26*(-HP($EW$62,$EW$65,$EW$64)+HP($EW$62,$EW$65,(1.05-INDEX(绊状态确认!U:U,MATCH($G113,绊状态确认!$B:$B,)))*$EW$64)),0)+IF(O113="sk",-$EW$26/$EW$24*(0.05-INDEX(绊状态确认!W:W,MATCH($G113,绊状态确认!$B:$B,)))+0.05*$EW$29,0)+IF(O113="sp",0.05*$EW$32*$EW$30*(1-$EW$33)-(0.05-INDEX(绊状态确认!V:V,MATCH($G113,绊状态确认!$B:$B,)))*$EW$29,0)+IF(O113="gd",-(0.05-INDEX(绊状态确认!X:X,MATCH($G113,绊状态确认!$B:$B,)))*$EW$32*$EW$30*(1-$EW$33)+$EW$26*(-HP($EW$62,$EW$65,$EW$64)+HP($EW$62,$EW$65,0.95*$EW$64)),0)</f>
        <v>6421.6344775026746</v>
      </c>
      <c r="BL113" s="1111">
        <f t="shared" si="117"/>
        <v>-1083.3333333333333</v>
      </c>
      <c r="BM113" s="1110">
        <f t="shared" si="118"/>
        <v>-830.55555555555543</v>
      </c>
      <c r="BN113" s="1113">
        <f t="shared" si="119"/>
        <v>3</v>
      </c>
      <c r="BO113" s="1097">
        <f t="shared" si="120"/>
        <v>4507.7214871259994</v>
      </c>
      <c r="BP113" s="1100">
        <f t="shared" si="121"/>
        <v>221.34103209030098</v>
      </c>
      <c r="BQ113" s="1113" t="s">
        <v>626</v>
      </c>
      <c r="BR113" s="1124" t="s">
        <v>557</v>
      </c>
      <c r="BS113" s="1098">
        <f>IF($P113="","N/A",IF($P113=-1,INDEX('卡片raw data'!AX:AX,MATCH($D113,'卡片raw data'!$F:$F,)),0)+IF($L113="party卡",IF($P113=5,INDEX('卡片raw data'!BD:BD,MATCH($D113,'卡片raw data'!$F:$F,)),IF($P113&gt;=3,INDEX('卡片raw data'!BC:BC,MATCH($D113,'卡片raw data'!$F:$F,)),INDEX('卡片raw data'!BB:BB,MATCH($D113,'卡片raw data'!$F:$F,)))),IF(OR(AND($F113="UR",$P113=0),AND($F113="SR",$P113&gt;=0,$P113&lt;=2),AND($F113="R",$P113&gt;=0,$P113&lt;4)),INDEX('卡片raw data'!AZ:AZ,MATCH($D113,'卡片raw data'!$F:$F,)),0)+IF(OR(AND($F113="UR",$P113&gt;=1,$P113&lt;=4),AND($F113="SR",$P113&lt;=4,$P113&gt;=3),AND($F113="R",$P113=4)),INDEX('卡片raw data'!BA:BA,MATCH($D113,'卡片raw data'!$F:$F,)),0)+IF($P113=5,INDEX('卡片raw data'!BB:BB,MATCH($D113,'卡片raw data'!$F:$F,)),0)))</f>
        <v>3.6999999999999998E-2</v>
      </c>
      <c r="BT113" s="1101">
        <f t="shared" si="122"/>
        <v>1396.05345365023</v>
      </c>
      <c r="BU113" s="1097">
        <f t="shared" si="123"/>
        <v>75.735758815142717</v>
      </c>
      <c r="BV113" s="1097">
        <f t="shared" si="124"/>
        <v>785.28006767825423</v>
      </c>
      <c r="BW113" s="1112">
        <f t="shared" si="125"/>
        <v>0</v>
      </c>
      <c r="BX113" s="1100">
        <f t="shared" si="126"/>
        <v>1396.05345365023</v>
      </c>
      <c r="BY113" s="1110">
        <f t="shared" si="127"/>
        <v>785.28006767825423</v>
      </c>
      <c r="BZ113" s="1107" t="s">
        <v>569</v>
      </c>
      <c r="CA113" s="1124"/>
      <c r="CB113" s="1098">
        <f>IF($P113="","N/A",IF($P113=-1,INDEX('卡片raw data'!BE:BE,MATCH($D113,'卡片raw data'!$F:$F,)),0)+IF($L113="party卡",IF($P113=5,INDEX('卡片raw data'!BK:BK,MATCH($D113,'卡片raw data'!$F:$F,)),IF($P113&gt;=3,INDEX('卡片raw data'!BJ:BJ,MATCH($D113,'卡片raw data'!$F:$F,)),INDEX('卡片raw data'!BI:BI,MATCH($D113,'卡片raw data'!$F:$F,)))),IF(OR(AND($F113="UR",$P113=0),AND($F113="SR",$P113&gt;=0,$P113&lt;=2),AND($F113="R",$P113&gt;=0,$P113&lt;4)),INDEX('卡片raw data'!BG:BG,MATCH($D113,'卡片raw data'!$F:$F,)),0)+IF(OR(AND($F113="UR",$P113&gt;=1,$P113&lt;=4),AND($F113="SR",$P113&lt;=4,$P113&gt;=3),AND($F113="R",$P113=4)),INDEX('卡片raw data'!BH:BH,MATCH($D113,'卡片raw data'!$F:$F,)),0)+IF($P113=5,INDEX('卡片raw data'!BI:BI,MATCH($D113,'卡片raw data'!$F:$F,)),0)))</f>
        <v>0</v>
      </c>
      <c r="CC113" s="1101">
        <f t="shared" si="128"/>
        <v>0</v>
      </c>
      <c r="CD113" s="1097">
        <f>IF(BZ113="ap",CB113*(1-$FI$26)*$FB$5/$FB$11*(+IF(CA113="全员",$FA$24,0)+IF(CA113="同作战",$FA$24,0)+IF(CA113="仲间",$FA$24*2/3,0)+IF(CA113="同属性",$FA$24*$FA$37/3,0)+IF(CA113="同年级",$FA$24*$FA$40/3,0)+IF(CA113="同学校",$FA$24*$FA$43/3,0)+IF(CA113="同小队",$FA$24*$FA$46/3,0)+IF(CA113="同type",$FA$24*INDEX($FB$49:$FB$52,MATCH(X113,$FA$49:$FA$52,))/3,0)+IF(CA113="自身",#REF!/3,0)),0)+IF(BZ113="te",CB113*(1-$FI$27)*($FA$20-1)*$FB$7/$FB$13*(+IF(CA113="全员",$FA$19*$FA$24/(1+($FA$20-1)*$FA$19),0)+IF(CA113="同作战",$FA$19*$FA$24/(1+($FA$20-1)*$FA$19),0)+IF(CA113="仲间",$FA$19*$FA$24*2/3/(1+($FA$20-1)*$FA$19),0)+IF(CA113="同属性",$FA$19*$FA$24*$FA$37/3/(1+($FA$20-1)*$FA$19),0)+IF(CA113="同年级",$FA$19*$FA$24*$FA$40/3/(1+($FA$20-1)*$FA$19),0)+IF(CA113="同学校",$FA$19*$FA$24*$FA$43/3/(1+($FA$20-1)*$FA$19),0)+IF(CA113="同小队",$FA$19*$FA$24*$FA$46/3/(1+($FA$20-1)*$FA$19),0)+IF(CA113="同type",$FA$19*$FA$24*INDEX($FB$49:$FB$52,MATCH(X113,$FA$49:$FA$52,))/3/(1+($FA$20-1)*$FA$19),0)+IF(CA113="自身",$FA$19*#REF!/3/(1+(BH113-1)*$BD113),0)),0)</f>
        <v>0</v>
      </c>
      <c r="CE113" s="1097">
        <f t="shared" si="129"/>
        <v>0</v>
      </c>
      <c r="CF113" s="1112">
        <f t="shared" si="130"/>
        <v>0</v>
      </c>
      <c r="CG113" s="1100">
        <f t="shared" si="131"/>
        <v>0</v>
      </c>
      <c r="CH113" s="1110">
        <f t="shared" si="132"/>
        <v>0</v>
      </c>
      <c r="CI113" s="1113" t="s">
        <v>164</v>
      </c>
      <c r="CJ113" s="1114">
        <v>0.5</v>
      </c>
      <c r="CK113" s="1115" t="s">
        <v>566</v>
      </c>
      <c r="CL113" s="1115" t="s">
        <v>161</v>
      </c>
      <c r="CM113" s="1119">
        <v>0.08</v>
      </c>
      <c r="CN113" s="1115">
        <v>10</v>
      </c>
      <c r="CO113" s="1092"/>
      <c r="CP113" s="1118">
        <f t="shared" si="133"/>
        <v>8.5714285714285719E-3</v>
      </c>
      <c r="CQ113" s="1118">
        <f t="shared" si="134"/>
        <v>1.3333333333333336E-2</v>
      </c>
      <c r="CR113" s="1118">
        <f t="shared" si="135"/>
        <v>8.5714285714285719E-3</v>
      </c>
      <c r="CS113" s="1118">
        <f t="shared" si="136"/>
        <v>0</v>
      </c>
      <c r="CT113" s="1109">
        <f t="shared" si="137"/>
        <v>0</v>
      </c>
      <c r="CU113" s="1101">
        <f t="shared" si="138"/>
        <v>1165.5679845282943</v>
      </c>
      <c r="CV113" s="1108">
        <f t="shared" si="139"/>
        <v>87.540963750000031</v>
      </c>
      <c r="CW113" s="1097">
        <f t="shared" si="140"/>
        <v>1165.5679845282943</v>
      </c>
      <c r="CX113" s="1097">
        <f t="shared" si="141"/>
        <v>1165.5679845282943</v>
      </c>
      <c r="CY113" s="1110">
        <f t="shared" si="142"/>
        <v>1165.5679845282943</v>
      </c>
      <c r="CZ113" s="437"/>
      <c r="DA113" s="438"/>
      <c r="DB113" s="439" t="s">
        <v>569</v>
      </c>
      <c r="DC113" s="439"/>
      <c r="DD113" s="443"/>
      <c r="DE113" s="411"/>
      <c r="DF113" s="411"/>
      <c r="DG113" s="1116">
        <f t="shared" si="143"/>
        <v>0</v>
      </c>
      <c r="DH113" s="1116">
        <f t="shared" si="144"/>
        <v>0</v>
      </c>
      <c r="DI113" s="1116">
        <f t="shared" si="145"/>
        <v>0</v>
      </c>
      <c r="DJ113" s="442">
        <f t="shared" si="146"/>
        <v>0</v>
      </c>
      <c r="DK113" s="1109">
        <f t="shared" si="147"/>
        <v>0</v>
      </c>
      <c r="DL113" s="1101">
        <f t="shared" si="148"/>
        <v>0</v>
      </c>
      <c r="DM113" s="1097">
        <f t="shared" si="149"/>
        <v>0</v>
      </c>
      <c r="DN113" s="1097">
        <f t="shared" si="150"/>
        <v>0</v>
      </c>
      <c r="DO113" s="1097">
        <f t="shared" si="151"/>
        <v>0</v>
      </c>
      <c r="DP113" s="1110">
        <f t="shared" si="152"/>
        <v>0</v>
      </c>
      <c r="DQ113" s="1113" t="s">
        <v>554</v>
      </c>
      <c r="DR113" s="1120">
        <f t="shared" si="153"/>
        <v>0.3</v>
      </c>
      <c r="DS113" s="1124">
        <v>5</v>
      </c>
      <c r="DT113" s="1093" t="s">
        <v>557</v>
      </c>
      <c r="DU113" s="1093" t="s">
        <v>544</v>
      </c>
      <c r="DV113" s="1098">
        <f>IF($P113="","N/A",IF(P113=-1,INDEX('卡片raw data'!AN:AN,MATCH(D113,'卡片raw data'!$F:$F,)),0)+IF(AND(L113&lt;&gt;"party卡",P113&lt;=2,P113&gt;=0),INDEX('卡片raw data'!AP:AP,MATCH(D113,'卡片raw data'!$F:$F,)),0)+IF(OR(AND(L113="party卡",P113&lt;=1),AND(P113&lt;=4,L113&lt;&gt;"party卡",P113&gt;=3)),INDEX('卡片raw data'!AQ:AQ,MATCH(D113,'卡片raw data'!$F:$F,)),0)+IF(OR(P113=5,AND(L113="party卡",P113&gt;=2)),INDEX('卡片raw data'!AR:AR,MATCH(D113,'卡片raw data'!$F:$F,)),0))</f>
        <v>6.2E-2</v>
      </c>
      <c r="DW113" s="1098">
        <f t="shared" si="154"/>
        <v>0.3</v>
      </c>
      <c r="DX113" s="1098">
        <f t="shared" si="155"/>
        <v>0.3</v>
      </c>
      <c r="DY113" s="1098">
        <f t="shared" si="156"/>
        <v>1.6533333333333334E-2</v>
      </c>
      <c r="DZ113" s="1098">
        <f t="shared" si="157"/>
        <v>1.0725999999999999E-2</v>
      </c>
      <c r="EA113" s="1098">
        <f t="shared" si="158"/>
        <v>0</v>
      </c>
      <c r="EB113" s="1121">
        <f t="shared" si="159"/>
        <v>0</v>
      </c>
      <c r="EC113" s="1101">
        <f t="shared" si="160"/>
        <v>2810.3139182515542</v>
      </c>
      <c r="ED113" s="1097">
        <f t="shared" si="161"/>
        <v>84.506793946425006</v>
      </c>
      <c r="EE113" s="1110">
        <f t="shared" si="162"/>
        <v>2810.3139182515542</v>
      </c>
      <c r="EF113" s="1092" t="s">
        <v>711</v>
      </c>
      <c r="EG113" s="1120">
        <f t="shared" si="163"/>
        <v>0.3</v>
      </c>
      <c r="EH113" s="1124"/>
      <c r="EI113" s="1093"/>
      <c r="EJ113" s="1093"/>
      <c r="EK113" s="1097">
        <f>IF($P113="","N/A",IF(P113=-1,INDEX('卡片raw data'!AS:AS,MATCH(D113,'卡片raw data'!$F:$F,)),0)+IF(AND(L113&lt;&gt;"party卡",P113&lt;=2,P113&gt;=0),INDEX('卡片raw data'!AU:AU,MATCH(D113,'卡片raw data'!$F:$F,)),0)+IF(OR(AND(L113="party卡",P113&lt;=1),AND(P113&lt;=4,L113&lt;&gt;"party卡",P113&gt;=3)),INDEX('卡片raw data'!AV:AV,MATCH(D113,'卡片raw data'!$F:$F,)),0)+IF(OR(P113=5,AND(L113="party卡",P113&gt;=2)),INDEX('卡片raw data'!AW:AW,MATCH(D113,'卡片raw data'!$F:$F,)),0))</f>
        <v>0</v>
      </c>
      <c r="EL113" s="1098">
        <f t="shared" si="164"/>
        <v>0.3</v>
      </c>
      <c r="EM113" s="1098">
        <f t="shared" si="165"/>
        <v>0.3</v>
      </c>
      <c r="EN113" s="1125">
        <f t="shared" si="166"/>
        <v>0</v>
      </c>
      <c r="EO113" s="1125">
        <f t="shared" si="167"/>
        <v>0</v>
      </c>
      <c r="EP113" s="1098">
        <f t="shared" si="168"/>
        <v>0</v>
      </c>
      <c r="EQ113" s="1121">
        <f t="shared" si="169"/>
        <v>0</v>
      </c>
      <c r="ER113" s="1101">
        <f t="shared" si="170"/>
        <v>0</v>
      </c>
      <c r="ES113" s="1097">
        <f t="shared" si="171"/>
        <v>0</v>
      </c>
      <c r="ET113" s="1122">
        <f t="shared" si="172"/>
        <v>0</v>
      </c>
    </row>
    <row r="114" spans="2:150" ht="16.5" customHeight="1">
      <c r="B114" s="1123" t="str">
        <f>INDEX('卡片raw data'!B:B,MATCH($D114,'卡片raw data'!$F:$F,))</f>
        <v>动物霞</v>
      </c>
      <c r="C114" s="449" t="s">
        <v>69</v>
      </c>
      <c r="D114" s="408">
        <v>111</v>
      </c>
      <c r="E114" s="1090">
        <v>402022001</v>
      </c>
      <c r="F114" s="1090" t="str">
        <f>INDEX('卡片raw data'!C:C,MATCH($D114,'卡片raw data'!$F:$F,))</f>
        <v>SR</v>
      </c>
      <c r="G114" s="1094" t="s">
        <v>352</v>
      </c>
      <c r="H114" s="411">
        <f>IFERROR(INDEX(绊状态确认!C:C,MATCH($G114,绊状态确认!$B:$B,)),"")</f>
        <v>202</v>
      </c>
      <c r="I114" s="450" t="str">
        <f>IFERROR(INDEX(绊状态确认!D:D,MATCH($G114,绊状态确认!$B:$B,)),"")</f>
        <v>虹</v>
      </c>
      <c r="J114" s="450" t="str">
        <f>IFERROR(INDEX(绊状态确认!E:E,MATCH($G114,绊状态确认!$B:$B,)),"")</f>
        <v>1年级</v>
      </c>
      <c r="K114" s="451" t="str">
        <f>IFERROR(INDEX(绊状态确认!F:F,MATCH($G114,绊状态确认!$B:$B,)),"")</f>
        <v>QU4RTZ</v>
      </c>
      <c r="L114" s="1094" t="str">
        <f>INDEX('卡片raw data'!E:E,MATCH($D114,'卡片raw data'!$F:$F,))</f>
        <v>活动卡</v>
      </c>
      <c r="M114" s="415">
        <v>43759</v>
      </c>
      <c r="N114" s="416">
        <v>2</v>
      </c>
      <c r="O114" s="1091" t="str">
        <f>INDEX('卡片raw data'!D:D,MATCH($D114,'卡片raw data'!$F:$F,))</f>
        <v>vo</v>
      </c>
      <c r="P114" s="417">
        <v>5</v>
      </c>
      <c r="Q114" s="1095">
        <f t="shared" si="88"/>
        <v>31008.37600467417</v>
      </c>
      <c r="R114" s="1096">
        <f t="shared" si="89"/>
        <v>0.36</v>
      </c>
      <c r="S114" s="1097">
        <f t="shared" si="90"/>
        <v>11344.346785875439</v>
      </c>
      <c r="T114" s="1098">
        <f t="shared" si="91"/>
        <v>0.56699999999999995</v>
      </c>
      <c r="U114" s="1099">
        <f t="shared" si="92"/>
        <v>-14.060285697897143</v>
      </c>
      <c r="V114" s="1100">
        <f t="shared" si="93"/>
        <v>30574.536737450024</v>
      </c>
      <c r="W114" s="1101">
        <f t="shared" si="94"/>
        <v>6474.6621804766946</v>
      </c>
      <c r="X114" s="1096">
        <f t="shared" si="95"/>
        <v>7.4999999999999997E-2</v>
      </c>
      <c r="Y114" s="1097">
        <f t="shared" si="96"/>
        <v>870.82918301756126</v>
      </c>
      <c r="Z114" s="1102">
        <f t="shared" si="97"/>
        <v>10.939714302102857</v>
      </c>
      <c r="AA114" s="1103">
        <f t="shared" si="98"/>
        <v>7345.4913634942559</v>
      </c>
      <c r="AB114" s="1101">
        <f t="shared" si="99"/>
        <v>7276.0348892990933</v>
      </c>
      <c r="AC114" s="1104">
        <f t="shared" si="100"/>
        <v>8.4000000000000005E-2</v>
      </c>
      <c r="AD114" s="1105">
        <f t="shared" si="101"/>
        <v>-3.8207812500000026E-3</v>
      </c>
      <c r="AE114" s="1128">
        <f t="shared" si="102"/>
        <v>-12.27536231884058</v>
      </c>
      <c r="AF114" s="1130">
        <f t="shared" si="103"/>
        <v>0</v>
      </c>
      <c r="AG114" s="420">
        <f t="shared" si="104"/>
        <v>0</v>
      </c>
      <c r="AH114" s="420">
        <f t="shared" si="105"/>
        <v>0</v>
      </c>
      <c r="AI114" s="1097">
        <f t="shared" si="106"/>
        <v>0</v>
      </c>
      <c r="AJ114" s="420">
        <f t="shared" si="107"/>
        <v>0</v>
      </c>
      <c r="AK114" s="518">
        <f t="shared" si="108"/>
        <v>0</v>
      </c>
      <c r="AL114" s="1106">
        <f>IF($P114="","N/A",(IF($P114=-1,INDEX('卡片raw data'!S:S,MATCH($D114,'卡片raw data'!$F:$F,)),0)+IF($P114=0,INDEX('卡片raw data'!V:V,MATCH($D114,'卡片raw data'!$F:$F,)),0)+IF($P114=1,INDEX('卡片raw data'!Y:Y,MATCH($D114,'卡片raw data'!$F:$F,)),0)+IF($P114=2,INDEX('卡片raw data'!AB:AB,MATCH($D114,'卡片raw data'!$F:$F,)),0)+IF($P114=3,INDEX('卡片raw data'!AE:AE,MATCH($D114,'卡片raw data'!$F:$F,)),0)+IF($P114=4,INDEX('卡片raw data'!AH:AH,MATCH($D114,'卡片raw data'!$F:$F,)),0)+IF($P114=5,INDEX('卡片raw data'!AK:AK,MATCH($D114,'卡片raw data'!$F:$F,)),0)+INDEX('卡片raw data'!S:S,MATCH($D114,'卡片raw data'!$F:$F,))*(IF($F114="UR",0.04,0.033))*(IF($F114="UR",INDEX(绊状态确认!$S:$S,MATCH($G114,绊状态确认!$B:$B,))/2-40)+IF($F114="SR",INDEX(绊状态确认!$R:$R,MATCH($G114,绊状态确认!$B:$B,))/4-15))+IF($F114="R",INDEX(绊状态确认!$Q:$Q,MATCH($G114,绊状态确认!$B:$B,))/6-40/6)))*(INDEX(绊状态确认!$H:$H,MATCH($G114,绊状态确认!$B:$B,))+INDEX(绊状态确认!J:J,MATCH($G114,绊状态确认!$B:$B,)))</f>
        <v>5182.9567583999988</v>
      </c>
      <c r="AM114" s="1106">
        <f>IF($P114="","N/A",(IF($P114=-1,INDEX('卡片raw data'!T:T,MATCH($D114,'卡片raw data'!$F:$F,)),0)+IF($P114=0,INDEX('卡片raw data'!W:W,MATCH($D114,'卡片raw data'!$F:$F,)),0)+IF($P114=1,INDEX('卡片raw data'!Z:Z,MATCH($D114,'卡片raw data'!$F:$F,)),0)+IF($P114=2,INDEX('卡片raw data'!AC:AC,MATCH($D114,'卡片raw data'!$F:$F,)),0)+IF($P114=3,INDEX('卡片raw data'!AF:AF,MATCH($D114,'卡片raw data'!$F:$F,)),0)+IF($P114=4,INDEX('卡片raw data'!AI:AI,MATCH($D114,'卡片raw data'!$F:$F,)),0)+IF($P114=5,INDEX('卡片raw data'!AL:AL,MATCH($D114,'卡片raw data'!$F:$F,)),0)+INDEX('卡片raw data'!T:T,MATCH($D114,'卡片raw data'!$F:$F,))*(IF($F114="UR",0.04,0.033))*(IF($F114="UR",INDEX(绊状态确认!$S:$S,MATCH($G114,绊状态确认!$B:$B,))/2-40)+IF($F114="SR",INDEX(绊状态确认!$R:$R,MATCH($G114,绊状态确认!$B:$B,))/4-15))+IF($F114="R",INDEX(绊状态确认!$Q:$Q,MATCH($G114,绊状态确认!$B:$B,))/6-40/6)))*(INDEX(绊状态确认!$H:$H,MATCH($G114,绊状态确认!$B:$B,))+INDEX(绊状态确认!K:K,MATCH($G114,绊状态确认!$B:$B,)))</f>
        <v>5499.1941503999997</v>
      </c>
      <c r="AN114" s="1106">
        <f>IF($P114="","N/A",(IF($P114=-1,INDEX('卡片raw data'!U:U,MATCH($D114,'卡片raw data'!$F:$F,)),0)+IF($P114=0,INDEX('卡片raw data'!X:X,MATCH($D114,'卡片raw data'!$F:$F,)),0)+IF($P114=1,INDEX('卡片raw data'!AA:AA,MATCH($D114,'卡片raw data'!$F:$F,)),0)+IF($P114=2,INDEX('卡片raw data'!AD:AD,MATCH($D114,'卡片raw data'!$F:$F,)),0)+IF($P114=3,INDEX('卡片raw data'!AG:AG,MATCH($D114,'卡片raw data'!$F:$F,)),0)+IF($P114=4,INDEX('卡片raw data'!AJ:AJ,MATCH($D114,'卡片raw data'!$F:$F,)),0)+IF($P114=5,INDEX('卡片raw data'!AM:AM,MATCH($D114,'卡片raw data'!$F:$F,)),0)+INDEX('卡片raw data'!U:U,MATCH($D114,'卡片raw data'!$F:$F,))*(IF($F114="UR",0.04,0.033))*(IF($F114="UR",INDEX(绊状态确认!$S:$S,MATCH($G114,绊状态确认!$B:$B,))/2-40)+IF($F114="SR",INDEX(绊状态确认!$R:$R,MATCH($G114,绊状态确认!$B:$B,))/4-15))+IF($F114="R",INDEX(绊状态确认!$Q:$Q,MATCH($G114,绊状态确认!$B:$B,))/6-40/6)))*(INDEX(绊状态确认!$H:$H,MATCH($G114,绊状态确认!$B:$B,))+INDEX(绊状态确认!L:L,MATCH($G114,绊状态确认!$B:$B,)))</f>
        <v>5026.5426624000002</v>
      </c>
      <c r="AO114" s="1107">
        <f t="shared" si="109"/>
        <v>1</v>
      </c>
      <c r="AP114" s="1131">
        <f>1+(INDEX(绊状态确认!$T:$T,MATCH($G114,绊状态确认!$B:$B,))+0.2)*$AO114</f>
        <v>1.3</v>
      </c>
      <c r="AQ114" s="1108">
        <f t="shared" si="110"/>
        <v>16855.261490799996</v>
      </c>
      <c r="AR114" s="1097">
        <f>(AM114*(1+$EX$9)+$EX$35)*(1+(INDEX(绊状态确认!$T:$T,MATCH($G114,绊状态确认!$B:$B,))+0.2)*AO114)*IF(J114=$FF$17,1+$FE$17,1)*IF(I114=$FF$14,1+$FE$14,1)</f>
        <v>10210.400015296</v>
      </c>
      <c r="AS114" s="1097">
        <f>(AN114*(1+$EX$10)+$EX$36)*(1+(INDEX(绊状态确认!$T:$T,MATCH($G114,绊状态确认!$B:$B,))+0.2)*AO114)*IF(J114=$FF$17,1+$FE$17,1)*IF(I114=$FF$14,1+$FE$14,1)</f>
        <v>11570.681280287999</v>
      </c>
      <c r="AT114" s="1093">
        <f>IF(AND(INDEX('卡片raw data'!AK:AK,MATCH($D114,'卡片raw data'!$F:$F,))&lt;INDEX('卡片raw data'!AM:AM,MATCH($D114,'卡片raw data'!$F:$F,)),INDEX('卡片raw data'!AL:AL,MATCH($D114,'卡片raw data'!$F:$F,))&lt;INDEX('卡片raw data'!AM:AM,MATCH($D114,'卡片raw data'!$F:$F,))),1,0)</f>
        <v>0</v>
      </c>
      <c r="AU114" s="1098">
        <f>MIN(AT114*0.15+AS114*0.00003+INDEX(绊状态确认!M:M,MATCH($G114,绊状态确认!$B:$B,)),1)</f>
        <v>0.37712043840864001</v>
      </c>
      <c r="AV114" s="1109">
        <f>(INDEX(绊状态确认!$N:$N,MATCH($G114,绊状态确认!$B:$B,))+1.5)*$EW$21</f>
        <v>2.6599999999999997</v>
      </c>
      <c r="AW114" s="1101">
        <f t="shared" si="111"/>
        <v>14233.729958869708</v>
      </c>
      <c r="AX114" s="1097">
        <f t="shared" si="112"/>
        <v>870.82918301756092</v>
      </c>
      <c r="AY114" s="1110">
        <f t="shared" si="113"/>
        <v>15104.559141887268</v>
      </c>
      <c r="AZ114" s="429">
        <f t="shared" si="114"/>
        <v>12706.765678879998</v>
      </c>
      <c r="BA114" s="431">
        <f t="shared" si="115"/>
        <v>15248.118814655996</v>
      </c>
      <c r="BB114" s="1097">
        <f>(AM114*(1+$FB$9)+$FB$35)*(1+(INDEX(绊状态确认!$T:$T,MATCH($G114,绊状态确认!$B:$B,))+0.2)*AO114)*IF(J114=$FF$17,1+$FE$17,1)*IF(I114=$FF$14,1+$FE$14,1)*(1+$FE$15)</f>
        <v>10210.400015296</v>
      </c>
      <c r="BC114" s="1097">
        <f>(AN114*(1+$FB$10)+$FB$36)*(1+(INDEX(绊状态确认!$T:$T,MATCH($G114,绊状态确认!$B:$B,))+0.2)*AO114)*IF(J114=$FF$17,1+$FE$17,1)*IF(I114=$FF$14,1+$FE$14,1)*(1+$FE$15)</f>
        <v>11570.681280287999</v>
      </c>
      <c r="BD114" s="1104">
        <f>MIN(AT114*0.15+BC114*0.00003+INDEX(绊状态确认!M:M,MATCH($G114,绊状态确认!$B:$B,)),1)</f>
        <v>0.37712043840864001</v>
      </c>
      <c r="BE114" s="432">
        <f>(INDEX(绊状态确认!$N:$N,MATCH($G114,绊状态确认!$B:$B,))+1.5)</f>
        <v>1.9</v>
      </c>
      <c r="BF114" s="1139">
        <f t="array" ref="BF114">SUMPRODUCT(IF(AZ114*AP114*$FI$16:$FI$23*$FA$22&gt;=$FI$24,$FI$24,AZ114*AP114*$FI$16:$FI$23*$FA$22),$FJ$16:$FJ$23)</f>
        <v>25273.756935292316</v>
      </c>
      <c r="BG114" s="1125">
        <f t="array" ref="BG114">SUMPRODUCT(IF(BE114*AZ114*AP114*$FI$16:$FI$23*$FA$22&gt;=$FI$24,$FI$24,BE114*AZ114*AP114*$FI$16:$FI$23*$FA$22),$FJ$16:$FJ$23)</f>
        <v>48020.138177055407</v>
      </c>
      <c r="BH114" s="1110">
        <f t="shared" si="116"/>
        <v>11283.960733798694</v>
      </c>
      <c r="BI114" s="1111">
        <f>IF(O114="vo",$EW$26/$EW$24*0.05,0)+IF(O114="sk",-$EW$26/$EW$24*(0.05-INDEX(绊状态确认!W:W,MATCH($G114,绊状态确认!$B:$B,)))+0.05*$EW$28,0)+IF(O114="sp",0.05*$EW$32*$EW$30*(1-$EW$33)-(0.05-INDEX(绊状态确认!V:V,MATCH($G114,绊状态确认!$B:$B,)))*$EW$28,0)+IF(O114="gd",-(0.05-INDEX(绊状态确认!X:X,MATCH($G114,绊状态确认!$B:$B,)))*$EW$32*$EW$30*(1-$EW$33),0)</f>
        <v>7726.3029277443748</v>
      </c>
      <c r="BJ114" s="1097">
        <f>IF(O114="vo",0.05*(1-$FI$26)*$FA$24,0)+IF(O114="sk",-(0.05-INDEX(绊状态确认!W:W,MATCH($G114,绊状态确认!$B:$B,)))*(1-$FI$26)*$FA$24+0.05*$FA$26,0)+IF(O114="sp",0.05*$FA$32*$FA$27*(1-$FA$33)/$FA$30+0.05*$FA$29/$FA$69*$FA$27*(1-$FA$33)-(0.05-INDEX(绊状态确认!V:V,MATCH($G114,绊状态确认!$B:$B,)))*$FA$26,0)+IF(O114="gd",-(0.05-INDEX(绊状态确认!X:X,MATCH($G114,绊状态确认!$B:$B,)))*$FA$32*$FA$27*(1-$FA$33)/$FA$30-(0.05-INDEX(绊状态确认!X:X,MATCH($G114,绊状态确认!$B:$B,)))*$FA$29/$FA$69*$FA$27*(1-$FA$33),0)</f>
        <v>393.93433687500004</v>
      </c>
      <c r="BK114" s="1110">
        <f>IF(O114="vo",$EW$26/$EW$24*0.05+$EW$26*(-HP($EW$62,$EW$65,$EW$64)+HP($EW$62,$EW$65,(1.05-INDEX(绊状态确认!U:U,MATCH($G114,绊状态确认!$B:$B,)))*$EW$64)),0)+IF(O114="sk",-$EW$26/$EW$24*(0.05-INDEX(绊状态确认!W:W,MATCH($G114,绊状态确认!$B:$B,)))+0.05*$EW$29,0)+IF(O114="sp",0.05*$EW$32*$EW$30*(1-$EW$33)-(0.05-INDEX(绊状态确认!V:V,MATCH($G114,绊状态确认!$B:$B,)))*$EW$29,0)+IF(O114="gd",-(0.05-INDEX(绊状态确认!X:X,MATCH($G114,绊状态确认!$B:$B,)))*$EW$32*$EW$30*(1-$EW$33)+$EW$26*(-HP($EW$62,$EW$65,$EW$64)+HP($EW$62,$EW$65,0.95*$EW$64)),0)</f>
        <v>6421.6344775026746</v>
      </c>
      <c r="BL114" s="1111">
        <f t="shared" si="117"/>
        <v>-1083.3333333333333</v>
      </c>
      <c r="BM114" s="1110">
        <f t="shared" si="118"/>
        <v>-830.55555555555543</v>
      </c>
      <c r="BN114" s="1113">
        <f t="shared" si="119"/>
        <v>3</v>
      </c>
      <c r="BO114" s="1097">
        <f t="shared" si="120"/>
        <v>4507.7214871259994</v>
      </c>
      <c r="BP114" s="1100">
        <f t="shared" si="121"/>
        <v>221.34103209030098</v>
      </c>
      <c r="BQ114" s="1113" t="s">
        <v>623</v>
      </c>
      <c r="BR114" s="1124" t="s">
        <v>171</v>
      </c>
      <c r="BS114" s="1098">
        <f>IF($P114="","N/A",IF($P114=-1,INDEX('卡片raw data'!AX:AX,MATCH($D114,'卡片raw data'!$F:$F,)),0)+IF($L114="party卡",IF($P114=5,INDEX('卡片raw data'!BD:BD,MATCH($D114,'卡片raw data'!$F:$F,)),IF($P114&gt;=3,INDEX('卡片raw data'!BC:BC,MATCH($D114,'卡片raw data'!$F:$F,)),INDEX('卡片raw data'!BB:BB,MATCH($D114,'卡片raw data'!$F:$F,)))),IF(OR(AND($F114="UR",$P114=0),AND($F114="SR",$P114&gt;=0,$P114&lt;=2),AND($F114="R",$P114&gt;=0,$P114&lt;4)),INDEX('卡片raw data'!AZ:AZ,MATCH($D114,'卡片raw data'!$F:$F,)),0)+IF(OR(AND($F114="UR",$P114&gt;=1,$P114&lt;=4),AND($F114="SR",$P114&lt;=4,$P114&gt;=3),AND($F114="R",$P114=4)),INDEX('卡片raw data'!BA:BA,MATCH($D114,'卡片raw data'!$F:$F,)),0)+IF($P114=5,INDEX('卡片raw data'!BB:BB,MATCH($D114,'卡片raw data'!$F:$F,)),0)))</f>
        <v>3.2000000000000001E-2</v>
      </c>
      <c r="BT114" s="1101">
        <f t="shared" si="122"/>
        <v>1602.7454176448</v>
      </c>
      <c r="BU114" s="1097">
        <f t="shared" si="123"/>
        <v>68.861654428093644</v>
      </c>
      <c r="BV114" s="1097">
        <f t="shared" si="124"/>
        <v>801.37270882240011</v>
      </c>
      <c r="BW114" s="1112">
        <f t="shared" si="125"/>
        <v>0</v>
      </c>
      <c r="BX114" s="1100">
        <f t="shared" si="126"/>
        <v>1602.7454176448</v>
      </c>
      <c r="BY114" s="1110">
        <f t="shared" si="127"/>
        <v>801.37270882240011</v>
      </c>
      <c r="BZ114" s="1107" t="s">
        <v>569</v>
      </c>
      <c r="CA114" s="1124"/>
      <c r="CB114" s="1098">
        <f>IF($P114="","N/A",IF($P114=-1,INDEX('卡片raw data'!BE:BE,MATCH($D114,'卡片raw data'!$F:$F,)),0)+IF($L114="party卡",IF($P114=5,INDEX('卡片raw data'!BK:BK,MATCH($D114,'卡片raw data'!$F:$F,)),IF($P114&gt;=3,INDEX('卡片raw data'!BJ:BJ,MATCH($D114,'卡片raw data'!$F:$F,)),INDEX('卡片raw data'!BI:BI,MATCH($D114,'卡片raw data'!$F:$F,)))),IF(OR(AND($F114="UR",$P114=0),AND($F114="SR",$P114&gt;=0,$P114&lt;=2),AND($F114="R",$P114&gt;=0,$P114&lt;4)),INDEX('卡片raw data'!BG:BG,MATCH($D114,'卡片raw data'!$F:$F,)),0)+IF(OR(AND($F114="UR",$P114&gt;=1,$P114&lt;=4),AND($F114="SR",$P114&lt;=4,$P114&gt;=3),AND($F114="R",$P114=4)),INDEX('卡片raw data'!BH:BH,MATCH($D114,'卡片raw data'!$F:$F,)),0)+IF($P114=5,INDEX('卡片raw data'!BI:BI,MATCH($D114,'卡片raw data'!$F:$F,)),0)))</f>
        <v>0</v>
      </c>
      <c r="CC114" s="1101">
        <f t="shared" si="128"/>
        <v>0</v>
      </c>
      <c r="CD114" s="1097">
        <f>IF(BZ114="ap",CB114*(1-$FI$26)*$FB$5/$FB$11*(+IF(CA114="全员",$FA$24,0)+IF(CA114="同作战",$FA$24,0)+IF(CA114="仲间",$FA$24*2/3,0)+IF(CA114="同属性",$FA$24*$FA$37/3,0)+IF(CA114="同年级",$FA$24*$FA$40/3,0)+IF(CA114="同学校",$FA$24*$FA$43/3,0)+IF(CA114="同小队",$FA$24*$FA$46/3,0)+IF(CA114="同type",$FA$24*INDEX($FB$49:$FB$52,MATCH(X114,$FA$49:$FA$52,))/3,0)+IF(CA114="自身",#REF!/3,0)),0)+IF(BZ114="te",CB114*(1-$FI$27)*($FA$20-1)*$FB$7/$FB$13*(+IF(CA114="全员",$FA$19*$FA$24/(1+($FA$20-1)*$FA$19),0)+IF(CA114="同作战",$FA$19*$FA$24/(1+($FA$20-1)*$FA$19),0)+IF(CA114="仲间",$FA$19*$FA$24*2/3/(1+($FA$20-1)*$FA$19),0)+IF(CA114="同属性",$FA$19*$FA$24*$FA$37/3/(1+($FA$20-1)*$FA$19),0)+IF(CA114="同年级",$FA$19*$FA$24*$FA$40/3/(1+($FA$20-1)*$FA$19),0)+IF(CA114="同学校",$FA$19*$FA$24*$FA$43/3/(1+($FA$20-1)*$FA$19),0)+IF(CA114="同小队",$FA$19*$FA$24*$FA$46/3/(1+($FA$20-1)*$FA$19),0)+IF(CA114="同type",$FA$19*$FA$24*INDEX($FB$49:$FB$52,MATCH(X114,$FA$49:$FA$52,))/3/(1+($FA$20-1)*$FA$19),0)+IF(CA114="自身",$FA$19*#REF!/3/(1+(BH114-1)*$BD114),0)),0)</f>
        <v>0</v>
      </c>
      <c r="CE114" s="1097">
        <f t="shared" si="129"/>
        <v>0</v>
      </c>
      <c r="CF114" s="1112">
        <f t="shared" si="130"/>
        <v>0</v>
      </c>
      <c r="CG114" s="1100">
        <f t="shared" si="131"/>
        <v>0</v>
      </c>
      <c r="CH114" s="1110">
        <f t="shared" si="132"/>
        <v>0</v>
      </c>
      <c r="CI114" s="1113" t="s">
        <v>164</v>
      </c>
      <c r="CJ114" s="1114">
        <v>0.5</v>
      </c>
      <c r="CK114" s="1115" t="s">
        <v>566</v>
      </c>
      <c r="CL114" s="1115" t="s">
        <v>161</v>
      </c>
      <c r="CM114" s="1119">
        <v>0.08</v>
      </c>
      <c r="CN114" s="1115">
        <v>10</v>
      </c>
      <c r="CO114" s="1092"/>
      <c r="CP114" s="1118">
        <f t="shared" si="133"/>
        <v>8.5714285714285719E-3</v>
      </c>
      <c r="CQ114" s="1118">
        <f t="shared" si="134"/>
        <v>1.3333333333333336E-2</v>
      </c>
      <c r="CR114" s="1118">
        <f t="shared" si="135"/>
        <v>8.5714285714285719E-3</v>
      </c>
      <c r="CS114" s="1118">
        <f t="shared" si="136"/>
        <v>0</v>
      </c>
      <c r="CT114" s="1109">
        <f t="shared" si="137"/>
        <v>0</v>
      </c>
      <c r="CU114" s="1101">
        <f t="shared" si="138"/>
        <v>1165.5679845282943</v>
      </c>
      <c r="CV114" s="1108">
        <f t="shared" si="139"/>
        <v>87.540963750000031</v>
      </c>
      <c r="CW114" s="1097">
        <f t="shared" si="140"/>
        <v>1165.5679845282943</v>
      </c>
      <c r="CX114" s="1097">
        <f t="shared" si="141"/>
        <v>1165.5679845282943</v>
      </c>
      <c r="CY114" s="1110">
        <f t="shared" si="142"/>
        <v>1165.5679845282943</v>
      </c>
      <c r="CZ114" s="437"/>
      <c r="DA114" s="438"/>
      <c r="DB114" s="439" t="s">
        <v>569</v>
      </c>
      <c r="DC114" s="439"/>
      <c r="DD114" s="443"/>
      <c r="DE114" s="411"/>
      <c r="DF114" s="411"/>
      <c r="DG114" s="1116">
        <f t="shared" si="143"/>
        <v>0</v>
      </c>
      <c r="DH114" s="1116">
        <f t="shared" si="144"/>
        <v>0</v>
      </c>
      <c r="DI114" s="1116">
        <f t="shared" si="145"/>
        <v>0</v>
      </c>
      <c r="DJ114" s="442">
        <f t="shared" si="146"/>
        <v>0</v>
      </c>
      <c r="DK114" s="1109">
        <f t="shared" si="147"/>
        <v>0</v>
      </c>
      <c r="DL114" s="1101">
        <f t="shared" si="148"/>
        <v>0</v>
      </c>
      <c r="DM114" s="1097">
        <f t="shared" si="149"/>
        <v>0</v>
      </c>
      <c r="DN114" s="1097">
        <f t="shared" si="150"/>
        <v>0</v>
      </c>
      <c r="DO114" s="1097">
        <f t="shared" si="151"/>
        <v>0</v>
      </c>
      <c r="DP114" s="1110">
        <f t="shared" si="152"/>
        <v>0</v>
      </c>
      <c r="DQ114" s="1113" t="s">
        <v>555</v>
      </c>
      <c r="DR114" s="1120">
        <f t="shared" si="153"/>
        <v>0.3</v>
      </c>
      <c r="DS114" s="1124">
        <v>5</v>
      </c>
      <c r="DT114" s="1093" t="s">
        <v>161</v>
      </c>
      <c r="DU114" s="1093" t="s">
        <v>544</v>
      </c>
      <c r="DV114" s="1098">
        <f>IF($P114="","N/A",IF(P114=-1,INDEX('卡片raw data'!AN:AN,MATCH(D114,'卡片raw data'!$F:$F,)),0)+IF(AND(L114&lt;&gt;"party卡",P114&lt;=2,P114&gt;=0),INDEX('卡片raw data'!AP:AP,MATCH(D114,'卡片raw data'!$F:$F,)),0)+IF(OR(AND(L114="party卡",P114&lt;=1),AND(P114&lt;=4,L114&lt;&gt;"party卡",P114&gt;=3)),INDEX('卡片raw data'!AQ:AQ,MATCH(D114,'卡片raw data'!$F:$F,)),0)+IF(OR(P114=5,AND(L114="party卡",P114&gt;=2)),INDEX('卡片raw data'!AR:AR,MATCH(D114,'卡片raw data'!$F:$F,)),0))</f>
        <v>4.2000000000000003E-2</v>
      </c>
      <c r="DW114" s="1098">
        <f t="shared" si="154"/>
        <v>0.3</v>
      </c>
      <c r="DX114" s="1098">
        <f t="shared" si="155"/>
        <v>0.3</v>
      </c>
      <c r="DY114" s="1098">
        <f t="shared" si="156"/>
        <v>2.0999999999999998E-2</v>
      </c>
      <c r="DZ114" s="1098">
        <f t="shared" si="157"/>
        <v>1.8164999999999997E-2</v>
      </c>
      <c r="EA114" s="1098">
        <f t="shared" si="158"/>
        <v>0</v>
      </c>
      <c r="EB114" s="1121">
        <f t="shared" si="159"/>
        <v>0</v>
      </c>
      <c r="EC114" s="1101">
        <f t="shared" si="160"/>
        <v>2855.6415620943208</v>
      </c>
      <c r="ED114" s="1097">
        <f t="shared" si="161"/>
        <v>119.26362048890624</v>
      </c>
      <c r="EE114" s="1110">
        <f t="shared" si="162"/>
        <v>2855.6415620943208</v>
      </c>
      <c r="EF114" s="1092" t="s">
        <v>711</v>
      </c>
      <c r="EG114" s="1120">
        <f t="shared" si="163"/>
        <v>0.3</v>
      </c>
      <c r="EH114" s="1124"/>
      <c r="EI114" s="1093"/>
      <c r="EJ114" s="1093"/>
      <c r="EK114" s="1097">
        <f>IF($P114="","N/A",IF(P114=-1,INDEX('卡片raw data'!AS:AS,MATCH(D114,'卡片raw data'!$F:$F,)),0)+IF(AND(L114&lt;&gt;"party卡",P114&lt;=2,P114&gt;=0),INDEX('卡片raw data'!AU:AU,MATCH(D114,'卡片raw data'!$F:$F,)),0)+IF(OR(AND(L114="party卡",P114&lt;=1),AND(P114&lt;=4,L114&lt;&gt;"party卡",P114&gt;=3)),INDEX('卡片raw data'!AV:AV,MATCH(D114,'卡片raw data'!$F:$F,)),0)+IF(OR(P114=5,AND(L114="party卡",P114&gt;=2)),INDEX('卡片raw data'!AW:AW,MATCH(D114,'卡片raw data'!$F:$F,)),0))</f>
        <v>0</v>
      </c>
      <c r="EL114" s="1098">
        <f t="shared" si="164"/>
        <v>0.3</v>
      </c>
      <c r="EM114" s="1098">
        <f t="shared" si="165"/>
        <v>0.3</v>
      </c>
      <c r="EN114" s="1125">
        <f t="shared" si="166"/>
        <v>0</v>
      </c>
      <c r="EO114" s="1125">
        <f t="shared" si="167"/>
        <v>0</v>
      </c>
      <c r="EP114" s="1098">
        <f t="shared" si="168"/>
        <v>0</v>
      </c>
      <c r="EQ114" s="1121">
        <f t="shared" si="169"/>
        <v>0</v>
      </c>
      <c r="ER114" s="1101">
        <f t="shared" si="170"/>
        <v>0</v>
      </c>
      <c r="ES114" s="1097">
        <f t="shared" si="171"/>
        <v>0</v>
      </c>
      <c r="ET114" s="1122">
        <f t="shared" si="172"/>
        <v>0</v>
      </c>
    </row>
    <row r="115" spans="2:150" ht="16.5" customHeight="1">
      <c r="B115" s="1123" t="str">
        <f>INDEX('卡片raw data'!B:B,MATCH($D115,'卡片raw data'!$F:$F,))</f>
        <v>弓道海</v>
      </c>
      <c r="C115" s="449" t="s">
        <v>67</v>
      </c>
      <c r="D115" s="408">
        <v>112</v>
      </c>
      <c r="E115" s="1090">
        <v>300043001</v>
      </c>
      <c r="F115" s="1090" t="str">
        <f>INDEX('卡片raw data'!C:C,MATCH($D115,'卡片raw data'!$F:$F,))</f>
        <v>UR</v>
      </c>
      <c r="G115" s="1094" t="s">
        <v>27</v>
      </c>
      <c r="H115" s="411">
        <f>IFERROR(INDEX(绊状态确认!C:C,MATCH($G115,绊状态确认!$B:$B,)),"")</f>
        <v>4</v>
      </c>
      <c r="I115" s="450" t="str">
        <f>IFERROR(INDEX(绊状态确认!D:D,MATCH($G115,绊状态确认!$B:$B,)),"")</f>
        <v>缪</v>
      </c>
      <c r="J115" s="450" t="str">
        <f>IFERROR(INDEX(绊状态确认!E:E,MATCH($G115,绊状态确认!$B:$B,)),"")</f>
        <v>2年级</v>
      </c>
      <c r="K115" s="451" t="str">
        <f>IFERROR(INDEX(绊状态确认!F:F,MATCH($G115,绊状态确认!$B:$B,)),"")</f>
        <v>lilywhite</v>
      </c>
      <c r="L115" s="1094" t="str">
        <f>INDEX('卡片raw data'!E:E,MATCH($D115,'卡片raw data'!$F:$F,))</f>
        <v>卡池卡</v>
      </c>
      <c r="M115" s="415">
        <v>43769</v>
      </c>
      <c r="N115" s="416">
        <v>2.5</v>
      </c>
      <c r="O115" s="1091" t="str">
        <f>INDEX('卡片raw data'!D:D,MATCH($D115,'卡片raw data'!$F:$F,))</f>
        <v>vo</v>
      </c>
      <c r="P115" s="417">
        <v>5</v>
      </c>
      <c r="Q115" s="1095">
        <f t="shared" si="88"/>
        <v>61947.023348874573</v>
      </c>
      <c r="R115" s="1096">
        <f t="shared" si="89"/>
        <v>0.72</v>
      </c>
      <c r="S115" s="1097">
        <f t="shared" si="90"/>
        <v>20173.908764430314</v>
      </c>
      <c r="T115" s="1098">
        <f t="shared" si="91"/>
        <v>1.008</v>
      </c>
      <c r="U115" s="1099">
        <f t="shared" si="92"/>
        <v>-8.3632936272571428</v>
      </c>
      <c r="V115" s="1100">
        <f t="shared" si="93"/>
        <v>61982.287876734372</v>
      </c>
      <c r="W115" s="1101">
        <f t="shared" si="94"/>
        <v>6547.4654600505146</v>
      </c>
      <c r="X115" s="1096">
        <f t="shared" si="95"/>
        <v>7.5999999999999998E-2</v>
      </c>
      <c r="Y115" s="1097">
        <f t="shared" si="96"/>
        <v>1339.932978101494</v>
      </c>
      <c r="Z115" s="1102">
        <f t="shared" si="97"/>
        <v>16.636706372742857</v>
      </c>
      <c r="AA115" s="1103">
        <f t="shared" si="98"/>
        <v>7887.3984381520086</v>
      </c>
      <c r="AB115" s="1101">
        <f t="shared" si="99"/>
        <v>11806.473861697516</v>
      </c>
      <c r="AC115" s="1104">
        <f t="shared" si="100"/>
        <v>0.13700000000000001</v>
      </c>
      <c r="AD115" s="1105">
        <f t="shared" si="101"/>
        <v>0</v>
      </c>
      <c r="AE115" s="1128">
        <f t="shared" si="102"/>
        <v>0</v>
      </c>
      <c r="AF115" s="1130">
        <f t="shared" si="103"/>
        <v>0</v>
      </c>
      <c r="AG115" s="420">
        <f t="shared" si="104"/>
        <v>0</v>
      </c>
      <c r="AH115" s="420">
        <f t="shared" si="105"/>
        <v>0</v>
      </c>
      <c r="AI115" s="1097">
        <f t="shared" si="106"/>
        <v>0</v>
      </c>
      <c r="AJ115" s="420">
        <f t="shared" si="107"/>
        <v>0</v>
      </c>
      <c r="AK115" s="518">
        <f t="shared" si="108"/>
        <v>0</v>
      </c>
      <c r="AL115" s="1106">
        <f>IF($P115="","N/A",(IF($P115=-1,INDEX('卡片raw data'!S:S,MATCH($D115,'卡片raw data'!$F:$F,)),0)+IF($P115=0,INDEX('卡片raw data'!V:V,MATCH($D115,'卡片raw data'!$F:$F,)),0)+IF($P115=1,INDEX('卡片raw data'!Y:Y,MATCH($D115,'卡片raw data'!$F:$F,)),0)+IF($P115=2,INDEX('卡片raw data'!AB:AB,MATCH($D115,'卡片raw data'!$F:$F,)),0)+IF($P115=3,INDEX('卡片raw data'!AE:AE,MATCH($D115,'卡片raw data'!$F:$F,)),0)+IF($P115=4,INDEX('卡片raw data'!AH:AH,MATCH($D115,'卡片raw data'!$F:$F,)),0)+IF($P115=5,INDEX('卡片raw data'!AK:AK,MATCH($D115,'卡片raw data'!$F:$F,)),0)+INDEX('卡片raw data'!S:S,MATCH($D115,'卡片raw data'!$F:$F,))*(IF($F115="UR",0.04,0.033))*(IF($F115="UR",INDEX(绊状态确认!$S:$S,MATCH($G115,绊状态确认!$B:$B,))/2-40)+IF($F115="SR",INDEX(绊状态确认!$R:$R,MATCH($G115,绊状态确认!$B:$B,))/4-15))+IF($F115="R",INDEX(绊状态确认!$Q:$Q,MATCH($G115,绊状态确认!$B:$B,))/6-40/6)))*(INDEX(绊状态确认!$H:$H,MATCH($G115,绊状态确认!$B:$B,))+INDEX(绊状态确认!J:J,MATCH($G115,绊状态确认!$B:$B,)))</f>
        <v>12527.673599999998</v>
      </c>
      <c r="AM115" s="1106">
        <f>IF($P115="","N/A",(IF($P115=-1,INDEX('卡片raw data'!T:T,MATCH($D115,'卡片raw data'!$F:$F,)),0)+IF($P115=0,INDEX('卡片raw data'!W:W,MATCH($D115,'卡片raw data'!$F:$F,)),0)+IF($P115=1,INDEX('卡片raw data'!Z:Z,MATCH($D115,'卡片raw data'!$F:$F,)),0)+IF($P115=2,INDEX('卡片raw data'!AC:AC,MATCH($D115,'卡片raw data'!$F:$F,)),0)+IF($P115=3,INDEX('卡片raw data'!AF:AF,MATCH($D115,'卡片raw data'!$F:$F,)),0)+IF($P115=4,INDEX('卡片raw data'!AI:AI,MATCH($D115,'卡片raw data'!$F:$F,)),0)+IF($P115=5,INDEX('卡片raw data'!AL:AL,MATCH($D115,'卡片raw data'!$F:$F,)),0)+INDEX('卡片raw data'!T:T,MATCH($D115,'卡片raw data'!$F:$F,))*(IF($F115="UR",0.04,0.033))*(IF($F115="UR",INDEX(绊状态确认!$S:$S,MATCH($G115,绊状态确认!$B:$B,))/2-40)+IF($F115="SR",INDEX(绊状态确认!$R:$R,MATCH($G115,绊状态确认!$B:$B,))/4-15))+IF($F115="R",INDEX(绊状态确认!$Q:$Q,MATCH($G115,绊状态确认!$B:$B,))/6-40/6)))*(INDEX(绊状态确认!$H:$H,MATCH($G115,绊状态确认!$B:$B,))+INDEX(绊状态确认!K:K,MATCH($G115,绊状态确认!$B:$B,)))</f>
        <v>9394.5733439999985</v>
      </c>
      <c r="AN115" s="1106">
        <f>IF($P115="","N/A",(IF($P115=-1,INDEX('卡片raw data'!U:U,MATCH($D115,'卡片raw data'!$F:$F,)),0)+IF($P115=0,INDEX('卡片raw data'!X:X,MATCH($D115,'卡片raw data'!$F:$F,)),0)+IF($P115=1,INDEX('卡片raw data'!AA:AA,MATCH($D115,'卡片raw data'!$F:$F,)),0)+IF($P115=2,INDEX('卡片raw data'!AD:AD,MATCH($D115,'卡片raw data'!$F:$F,)),0)+IF($P115=3,INDEX('卡片raw data'!AG:AG,MATCH($D115,'卡片raw data'!$F:$F,)),0)+IF($P115=4,INDEX('卡片raw data'!AJ:AJ,MATCH($D115,'卡片raw data'!$F:$F,)),0)+IF($P115=5,INDEX('卡片raw data'!AM:AM,MATCH($D115,'卡片raw data'!$F:$F,)),0)+INDEX('卡片raw data'!U:U,MATCH($D115,'卡片raw data'!$F:$F,))*(IF($F115="UR",0.04,0.033))*(IF($F115="UR",INDEX(绊状态确认!$S:$S,MATCH($G115,绊状态确认!$B:$B,))/2-40)+IF($F115="SR",INDEX(绊状态确认!$R:$R,MATCH($G115,绊状态确认!$B:$B,))/4-15))+IF($F115="R",INDEX(绊状态确认!$Q:$Q,MATCH($G115,绊状态确认!$B:$B,))/6-40/6)))*(INDEX(绊状态确认!$H:$H,MATCH($G115,绊状态确认!$B:$B,))+INDEX(绊状态确认!L:L,MATCH($G115,绊状态确认!$B:$B,)))</f>
        <v>9394.5733439999985</v>
      </c>
      <c r="AO115" s="1107">
        <f t="shared" si="109"/>
        <v>1</v>
      </c>
      <c r="AP115" s="1131">
        <f>1+(INDEX(绊状态确认!$T:$T,MATCH($G115,绊状态确认!$B:$B,))+0.2)*$AO115</f>
        <v>1.3</v>
      </c>
      <c r="AQ115" s="1108">
        <f t="shared" si="110"/>
        <v>36135.143199999999</v>
      </c>
      <c r="AR115" s="1097">
        <f>(AM115*(1+$EX$9)+$EX$35)*(1+(INDEX(绊状态确认!$T:$T,MATCH($G115,绊状态确认!$B:$B,))+0.2)*AO115)*IF(J115=$FF$17,1+$FE$17,1)*IF(I115=$FF$14,1+$FE$14,1)*(1+$FE$15)</f>
        <v>15527.592614560001</v>
      </c>
      <c r="AS115" s="1097">
        <f>(AN115*(1+$EX$10)+$EX$36)*(1+(INDEX(绊状态确认!$T:$T,MATCH($G115,绊状态确认!$B:$B,))+0.2)*AO115)*IF(J115=$FF$17,1+$FE$17,1)*IF(I115=$FF$14,1+$FE$14,1)*(1+$FE$15)</f>
        <v>18100.887149279999</v>
      </c>
      <c r="AT115" s="1093">
        <f>IF(AND(INDEX('卡片raw data'!AK:AK,MATCH($D115,'卡片raw data'!$F:$F,))&lt;INDEX('卡片raw data'!AM:AM,MATCH($D115,'卡片raw data'!$F:$F,)),INDEX('卡片raw data'!AL:AL,MATCH($D115,'卡片raw data'!$F:$F,))&lt;INDEX('卡片raw data'!AM:AM,MATCH($D115,'卡片raw data'!$F:$F,))),1,0)</f>
        <v>0</v>
      </c>
      <c r="AU115" s="1098">
        <f>MIN(AT115*0.15+AS115*0.00003+INDEX(绊状态确认!M:M,MATCH($G115,绊状态确认!$B:$B,)),1)</f>
        <v>0.57302661447839998</v>
      </c>
      <c r="AV115" s="1109">
        <f>(INDEX(绊状态确认!$N:$N,MATCH($G115,绊状态确认!$B:$B,))+1.5)*$EW$21</f>
        <v>2.6599999999999997</v>
      </c>
      <c r="AW115" s="1101">
        <f t="shared" si="111"/>
        <v>36617.974103038854</v>
      </c>
      <c r="AX115" s="1097">
        <f t="shared" si="112"/>
        <v>1339.9329781014937</v>
      </c>
      <c r="AY115" s="1110">
        <f t="shared" si="113"/>
        <v>37957.907081140351</v>
      </c>
      <c r="AZ115" s="429">
        <f t="shared" si="114"/>
        <v>27028.963519999998</v>
      </c>
      <c r="BA115" s="431">
        <f t="shared" si="115"/>
        <v>32434.756223999997</v>
      </c>
      <c r="BB115" s="1097">
        <f>(AM115*(1+$FB$9)+$FB$35)*(1+(INDEX(绊状态确认!$T:$T,MATCH($G115,绊状态确认!$B:$B,))+0.2)*AO115)*IF(J115=$FF$17,1+$FE$17,1)*IF(I115=$FF$14,1+$FE$14,1)*(1+$FE$15)</f>
        <v>15527.592614560001</v>
      </c>
      <c r="BC115" s="1097">
        <f>(AN115*(1+$FB$10)+$FB$36)*(1+(INDEX(绊状态确认!$T:$T,MATCH($G115,绊状态确认!$B:$B,))+0.2)*AO115)*IF(J115=$FF$17,1+$FE$17,1)*IF(I115=$FF$14,1+$FE$14,1)*(1+$FE$15)</f>
        <v>18100.887149279999</v>
      </c>
      <c r="BD115" s="1104">
        <f>MIN(AT115*0.15+BC115*0.00003+INDEX(绊状态确认!M:M,MATCH($G115,绊状态确认!$B:$B,)),1)</f>
        <v>0.57302661447839998</v>
      </c>
      <c r="BE115" s="432">
        <f>(INDEX(绊状态确认!$N:$N,MATCH($G115,绊状态确认!$B:$B,))+1.5)</f>
        <v>1.9</v>
      </c>
      <c r="BF115" s="1139">
        <f t="array" ref="BF115">SUMPRODUCT(IF(AZ115*AP115*$FI$16:$FI$23*$FA$22&gt;=$FI$24,$FI$24,AZ115*AP115*$FI$16:$FI$23*$FA$22),$FJ$16:$FJ$23)</f>
        <v>52759.676988160005</v>
      </c>
      <c r="BG115" s="1125">
        <f t="array" ref="BG115">SUMPRODUCT(IF(BE115*AZ115*AP115*$FI$16:$FI$23*$FA$22&gt;=$FI$24,$FI$24,BE115*AZ115*AP115*$FI$16:$FI$23*$FA$22),$FJ$16:$FJ$23)</f>
        <v>60000</v>
      </c>
      <c r="BH115" s="1110">
        <f t="shared" si="116"/>
        <v>18969.524923788242</v>
      </c>
      <c r="BI115" s="1111">
        <f>IF(O115="vo",$EW$26/$EW$24*0.05,0)+IF(O115="sk",-$EW$26/$EW$24*(0.05-INDEX(绊状态确认!W:W,MATCH($G115,绊状态确认!$B:$B,)))+0.05*$EW$28,0)+IF(O115="sp",0.05*$EW$32*$EW$30*(1-$EW$33)-(0.05-INDEX(绊状态确认!V:V,MATCH($G115,绊状态确认!$B:$B,)))*$EW$28,0)+IF(O115="gd",-(0.05-INDEX(绊状态确认!X:X,MATCH($G115,绊状态确认!$B:$B,)))*$EW$32*$EW$30*(1-$EW$33),0)</f>
        <v>7726.3029277443748</v>
      </c>
      <c r="BJ115" s="1097">
        <f>IF(O115="vo",0.05*(1-$FI$26)*$FA$24,0)+IF(O115="sk",-(0.05-INDEX(绊状态确认!W:W,MATCH($G115,绊状态确认!$B:$B,)))*(1-$FI$26)*$FA$24+0.05*$FA$26,0)+IF(O115="sp",0.05*$FA$32*$FA$27*(1-$FA$33)/$FA$30+0.05*$FA$29/$FA$69*$FA$27*(1-$FA$33)-(0.05-INDEX(绊状态确认!V:V,MATCH($G115,绊状态确认!$B:$B,)))*$FA$26,0)+IF(O115="gd",-(0.05-INDEX(绊状态确认!X:X,MATCH($G115,绊状态确认!$B:$B,)))*$FA$32*$FA$27*(1-$FA$33)/$FA$30-(0.05-INDEX(绊状态确认!X:X,MATCH($G115,绊状态确认!$B:$B,)))*$FA$29/$FA$69*$FA$27*(1-$FA$33),0)</f>
        <v>393.93433687500004</v>
      </c>
      <c r="BK115" s="1110">
        <f>IF(O115="vo",$EW$26/$EW$24*0.05+$EW$26*(-HP($EW$62,$EW$65,$EW$64)+HP($EW$62,$EW$65,(1.05-INDEX(绊状态确认!U:U,MATCH($G115,绊状态确认!$B:$B,)))*$EW$64)),0)+IF(O115="sk",-$EW$26/$EW$24*(0.05-INDEX(绊状态确认!W:W,MATCH($G115,绊状态确认!$B:$B,)))+0.05*$EW$29,0)+IF(O115="sp",0.05*$EW$32*$EW$30*(1-$EW$33)-(0.05-INDEX(绊状态确认!V:V,MATCH($G115,绊状态确认!$B:$B,)))*$EW$29,0)+IF(O115="gd",-(0.05-INDEX(绊状态确认!X:X,MATCH($G115,绊状态确认!$B:$B,)))*$EW$32*$EW$30*(1-$EW$33)+$EW$26*(-HP($EW$62,$EW$65,$EW$64)+HP($EW$62,$EW$65,0.95*$EW$64)),0)</f>
        <v>6421.6344775026746</v>
      </c>
      <c r="BL115" s="1111">
        <f t="shared" si="117"/>
        <v>0</v>
      </c>
      <c r="BM115" s="1110">
        <f t="shared" si="118"/>
        <v>0</v>
      </c>
      <c r="BN115" s="1113">
        <f t="shared" si="119"/>
        <v>3</v>
      </c>
      <c r="BO115" s="1097">
        <f t="shared" si="120"/>
        <v>4507.7214871259994</v>
      </c>
      <c r="BP115" s="1100">
        <f t="shared" si="121"/>
        <v>221.34103209030098</v>
      </c>
      <c r="BQ115" s="1113" t="s">
        <v>143</v>
      </c>
      <c r="BR115" s="1124" t="s">
        <v>146</v>
      </c>
      <c r="BS115" s="1098">
        <f>IF($P115="","N/A",IF($P115=-1,INDEX('卡片raw data'!AX:AX,MATCH($D115,'卡片raw data'!$F:$F,)),0)+IF($L115="party卡",IF($P115=5,INDEX('卡片raw data'!BD:BD,MATCH($D115,'卡片raw data'!$F:$F,)),IF($P115&gt;=3,INDEX('卡片raw data'!BC:BC,MATCH($D115,'卡片raw data'!$F:$F,)),INDEX('卡片raw data'!BB:BB,MATCH($D115,'卡片raw data'!$F:$F,)))),IF(OR(AND($F115="UR",$P115=0),AND($F115="SR",$P115&gt;=0,$P115&lt;=2),AND($F115="R",$P115&gt;=0,$P115&lt;4)),INDEX('卡片raw data'!AZ:AZ,MATCH($D115,'卡片raw data'!$F:$F,)),0)+IF(OR(AND($F115="UR",$P115&gt;=1,$P115&lt;=4),AND($F115="SR",$P115&lt;=4,$P115&gt;=3),AND($F115="R",$P115=4)),INDEX('卡片raw data'!BA:BA,MATCH($D115,'卡片raw data'!$F:$F,)),0)+IF($P115=5,INDEX('卡片raw data'!BB:BB,MATCH($D115,'卡片raw data'!$F:$F,)),0)))</f>
        <v>7.0000000000000007E-2</v>
      </c>
      <c r="BT115" s="1101">
        <f t="shared" si="122"/>
        <v>5259.008401647</v>
      </c>
      <c r="BU115" s="1097">
        <f t="shared" si="123"/>
        <v>258.2312041053512</v>
      </c>
      <c r="BV115" s="1097">
        <f t="shared" si="124"/>
        <v>0</v>
      </c>
      <c r="BW115" s="1112">
        <f t="shared" si="125"/>
        <v>0</v>
      </c>
      <c r="BX115" s="1100">
        <f t="shared" si="126"/>
        <v>5259.008401647</v>
      </c>
      <c r="BY115" s="1110">
        <f t="shared" si="127"/>
        <v>0</v>
      </c>
      <c r="BZ115" s="1107" t="s">
        <v>569</v>
      </c>
      <c r="CA115" s="1124"/>
      <c r="CB115" s="1098">
        <f>IF($P115="","N/A",IF($P115=-1,INDEX('卡片raw data'!BE:BE,MATCH($D115,'卡片raw data'!$F:$F,)),0)+IF($L115="party卡",IF($P115=5,INDEX('卡片raw data'!BK:BK,MATCH($D115,'卡片raw data'!$F:$F,)),IF($P115&gt;=3,INDEX('卡片raw data'!BJ:BJ,MATCH($D115,'卡片raw data'!$F:$F,)),INDEX('卡片raw data'!BI:BI,MATCH($D115,'卡片raw data'!$F:$F,)))),IF(OR(AND($F115="UR",$P115=0),AND($F115="SR",$P115&gt;=0,$P115&lt;=2),AND($F115="R",$P115&gt;=0,$P115&lt;4)),INDEX('卡片raw data'!BG:BG,MATCH($D115,'卡片raw data'!$F:$F,)),0)+IF(OR(AND($F115="UR",$P115&gt;=1,$P115&lt;=4),AND($F115="SR",$P115&lt;=4,$P115&gt;=3),AND($F115="R",$P115=4)),INDEX('卡片raw data'!BH:BH,MATCH($D115,'卡片raw data'!$F:$F,)),0)+IF($P115=5,INDEX('卡片raw data'!BI:BI,MATCH($D115,'卡片raw data'!$F:$F,)),0)))</f>
        <v>0</v>
      </c>
      <c r="CC115" s="1101">
        <f t="shared" si="128"/>
        <v>0</v>
      </c>
      <c r="CD115" s="1097">
        <f>IF(BZ115="ap",CB115*(1-$FI$26)*$FB$5/$FB$11*(+IF(CA115="全员",$FA$24,0)+IF(CA115="同作战",$FA$24,0)+IF(CA115="仲间",$FA$24*2/3,0)+IF(CA115="同属性",$FA$24*$FA$37/3,0)+IF(CA115="同年级",$FA$24*$FA$40/3,0)+IF(CA115="同学校",$FA$24*$FA$43/3,0)+IF(CA115="同小队",$FA$24*$FA$46/3,0)+IF(CA115="同type",$FA$24*INDEX($FB$49:$FB$52,MATCH(X115,$FA$49:$FA$52,))/3,0)+IF(CA115="自身",#REF!/3,0)),0)+IF(BZ115="te",CB115*(1-$FI$27)*($FA$20-1)*$FB$7/$FB$13*(+IF(CA115="全员",$FA$19*$FA$24/(1+($FA$20-1)*$FA$19),0)+IF(CA115="同作战",$FA$19*$FA$24/(1+($FA$20-1)*$FA$19),0)+IF(CA115="仲间",$FA$19*$FA$24*2/3/(1+($FA$20-1)*$FA$19),0)+IF(CA115="同属性",$FA$19*$FA$24*$FA$37/3/(1+($FA$20-1)*$FA$19),0)+IF(CA115="同年级",$FA$19*$FA$24*$FA$40/3/(1+($FA$20-1)*$FA$19),0)+IF(CA115="同学校",$FA$19*$FA$24*$FA$43/3/(1+($FA$20-1)*$FA$19),0)+IF(CA115="同小队",$FA$19*$FA$24*$FA$46/3/(1+($FA$20-1)*$FA$19),0)+IF(CA115="同type",$FA$19*$FA$24*INDEX($FB$49:$FB$52,MATCH(X115,$FA$49:$FA$52,))/3/(1+($FA$20-1)*$FA$19),0)+IF(CA115="自身",$FA$19*#REF!/3/(1+(BH115-1)*$BD115),0)),0)</f>
        <v>0</v>
      </c>
      <c r="CE115" s="1097">
        <f t="shared" si="129"/>
        <v>0</v>
      </c>
      <c r="CF115" s="1112">
        <f t="shared" si="130"/>
        <v>0</v>
      </c>
      <c r="CG115" s="1100">
        <f t="shared" si="131"/>
        <v>0</v>
      </c>
      <c r="CH115" s="1110">
        <f t="shared" si="132"/>
        <v>0</v>
      </c>
      <c r="CI115" s="1113" t="s">
        <v>165</v>
      </c>
      <c r="CJ115" s="1114">
        <v>0.3</v>
      </c>
      <c r="CK115" s="1115" t="s">
        <v>167</v>
      </c>
      <c r="CL115" s="1115" t="s">
        <v>161</v>
      </c>
      <c r="CM115" s="1119">
        <v>0.05</v>
      </c>
      <c r="CN115" s="1115" t="s">
        <v>163</v>
      </c>
      <c r="CO115" s="1092"/>
      <c r="CP115" s="1118">
        <f t="shared" si="133"/>
        <v>1.4999999999999999E-2</v>
      </c>
      <c r="CQ115" s="1118">
        <f t="shared" si="134"/>
        <v>1.4999999999999999E-2</v>
      </c>
      <c r="CR115" s="1118">
        <f t="shared" si="135"/>
        <v>1.4999999999999999E-2</v>
      </c>
      <c r="CS115" s="1118">
        <f t="shared" si="136"/>
        <v>0</v>
      </c>
      <c r="CT115" s="1109">
        <f t="shared" si="137"/>
        <v>0</v>
      </c>
      <c r="CU115" s="1101">
        <f t="shared" si="138"/>
        <v>2039.743972924515</v>
      </c>
      <c r="CV115" s="1108">
        <f t="shared" si="139"/>
        <v>98.483584218750011</v>
      </c>
      <c r="CW115" s="1097">
        <f t="shared" si="140"/>
        <v>2039.743972924515</v>
      </c>
      <c r="CX115" s="1097">
        <f t="shared" si="141"/>
        <v>2039.743972924515</v>
      </c>
      <c r="CY115" s="1110">
        <f t="shared" si="142"/>
        <v>2039.743972924515</v>
      </c>
      <c r="CZ115" s="437"/>
      <c r="DA115" s="438"/>
      <c r="DB115" s="439" t="s">
        <v>569</v>
      </c>
      <c r="DC115" s="439"/>
      <c r="DD115" s="443"/>
      <c r="DE115" s="411"/>
      <c r="DF115" s="411"/>
      <c r="DG115" s="1116">
        <f t="shared" si="143"/>
        <v>0</v>
      </c>
      <c r="DH115" s="1116">
        <f t="shared" si="144"/>
        <v>0</v>
      </c>
      <c r="DI115" s="1116">
        <f t="shared" si="145"/>
        <v>0</v>
      </c>
      <c r="DJ115" s="442">
        <f t="shared" si="146"/>
        <v>0</v>
      </c>
      <c r="DK115" s="1109">
        <f t="shared" si="147"/>
        <v>0</v>
      </c>
      <c r="DL115" s="1101">
        <f t="shared" si="148"/>
        <v>0</v>
      </c>
      <c r="DM115" s="1097">
        <f t="shared" si="149"/>
        <v>0</v>
      </c>
      <c r="DN115" s="1097">
        <f t="shared" si="150"/>
        <v>0</v>
      </c>
      <c r="DO115" s="1097">
        <f t="shared" si="151"/>
        <v>0</v>
      </c>
      <c r="DP115" s="1110">
        <f t="shared" si="152"/>
        <v>0</v>
      </c>
      <c r="DQ115" s="1113" t="s">
        <v>159</v>
      </c>
      <c r="DR115" s="1120">
        <f t="shared" si="153"/>
        <v>0.33</v>
      </c>
      <c r="DS115" s="1124">
        <v>5</v>
      </c>
      <c r="DT115" s="1093" t="s">
        <v>161</v>
      </c>
      <c r="DU115" s="1093" t="s">
        <v>544</v>
      </c>
      <c r="DV115" s="1098">
        <f>IF($P115="","N/A",IF(P115=-1,INDEX('卡片raw data'!AN:AN,MATCH(D115,'卡片raw data'!$F:$F,)),0)+IF(AND(L115&lt;&gt;"party卡",P115&lt;=2,P115&gt;=0),INDEX('卡片raw data'!AP:AP,MATCH(D115,'卡片raw data'!$F:$F,)),0)+IF(OR(AND(L115="party卡",P115&lt;=1),AND(P115&lt;=4,L115&lt;&gt;"party卡",P115&gt;=3)),INDEX('卡片raw data'!AQ:AQ,MATCH(D115,'卡片raw data'!$F:$F,)),0)+IF(OR(P115=5,AND(L115="party卡",P115&gt;=2)),INDEX('卡片raw data'!AR:AR,MATCH(D115,'卡片raw data'!$F:$F,)),0))</f>
        <v>6.2E-2</v>
      </c>
      <c r="DW115" s="1098">
        <f t="shared" si="154"/>
        <v>0.33</v>
      </c>
      <c r="DX115" s="1098">
        <f t="shared" si="155"/>
        <v>0.33</v>
      </c>
      <c r="DY115" s="1098">
        <f t="shared" si="156"/>
        <v>3.4100000000000005E-2</v>
      </c>
      <c r="DZ115" s="1098">
        <f t="shared" si="157"/>
        <v>2.9496500000000005E-2</v>
      </c>
      <c r="EA115" s="1098">
        <f t="shared" si="158"/>
        <v>0</v>
      </c>
      <c r="EB115" s="1121">
        <f t="shared" si="159"/>
        <v>0</v>
      </c>
      <c r="EC115" s="1101">
        <f t="shared" si="160"/>
        <v>5796.2724563938309</v>
      </c>
      <c r="ED115" s="1097">
        <f t="shared" si="161"/>
        <v>232.39368335266883</v>
      </c>
      <c r="EE115" s="1110">
        <f t="shared" si="162"/>
        <v>5796.2724563938309</v>
      </c>
      <c r="EF115" s="1092" t="s">
        <v>711</v>
      </c>
      <c r="EG115" s="1120">
        <f t="shared" si="163"/>
        <v>0.33</v>
      </c>
      <c r="EH115" s="1124"/>
      <c r="EI115" s="1093"/>
      <c r="EJ115" s="1093"/>
      <c r="EK115" s="1097">
        <f>IF($P115="","N/A",IF(P115=-1,INDEX('卡片raw data'!AS:AS,MATCH(D115,'卡片raw data'!$F:$F,)),0)+IF(AND(L115&lt;&gt;"party卡",P115&lt;=2,P115&gt;=0),INDEX('卡片raw data'!AU:AU,MATCH(D115,'卡片raw data'!$F:$F,)),0)+IF(OR(AND(L115="party卡",P115&lt;=1),AND(P115&lt;=4,L115&lt;&gt;"party卡",P115&gt;=3)),INDEX('卡片raw data'!AV:AV,MATCH(D115,'卡片raw data'!$F:$F,)),0)+IF(OR(P115=5,AND(L115="party卡",P115&gt;=2)),INDEX('卡片raw data'!AW:AW,MATCH(D115,'卡片raw data'!$F:$F,)),0))</f>
        <v>0</v>
      </c>
      <c r="EL115" s="1098">
        <f t="shared" si="164"/>
        <v>0.33</v>
      </c>
      <c r="EM115" s="1098">
        <f t="shared" si="165"/>
        <v>0.33</v>
      </c>
      <c r="EN115" s="1125">
        <f t="shared" si="166"/>
        <v>0</v>
      </c>
      <c r="EO115" s="1125">
        <f t="shared" si="167"/>
        <v>0</v>
      </c>
      <c r="EP115" s="1098">
        <f t="shared" si="168"/>
        <v>0</v>
      </c>
      <c r="EQ115" s="1121">
        <f t="shared" si="169"/>
        <v>0</v>
      </c>
      <c r="ER115" s="1101">
        <f t="shared" si="170"/>
        <v>0</v>
      </c>
      <c r="ES115" s="1097">
        <f t="shared" si="171"/>
        <v>0</v>
      </c>
      <c r="ET115" s="1122">
        <f t="shared" si="172"/>
        <v>0</v>
      </c>
    </row>
    <row r="116" spans="2:150" ht="16.5" customHeight="1">
      <c r="B116" s="1123" t="str">
        <f>INDEX('卡片raw data'!B:B,MATCH($D116,'卡片raw data'!$F:$F,))</f>
        <v>一单丸</v>
      </c>
      <c r="C116" s="449" t="s">
        <v>66</v>
      </c>
      <c r="D116" s="408">
        <v>113</v>
      </c>
      <c r="E116" s="1090">
        <v>301072001</v>
      </c>
      <c r="F116" s="1090" t="str">
        <f>INDEX('卡片raw data'!C:C,MATCH($D116,'卡片raw data'!$F:$F,))</f>
        <v>SR</v>
      </c>
      <c r="G116" s="1094" t="s">
        <v>344</v>
      </c>
      <c r="H116" s="411">
        <f>IFERROR(INDEX(绊状态确认!C:C,MATCH($G116,绊状态确认!$B:$B,)),"")</f>
        <v>107</v>
      </c>
      <c r="I116" s="1124" t="str">
        <f>IFERROR(INDEX(绊状态确认!D:D,MATCH($G116,绊状态确认!$B:$B,)),"")</f>
        <v>水</v>
      </c>
      <c r="J116" s="1124" t="str">
        <f>IFERROR(INDEX(绊状态确认!E:E,MATCH($G116,绊状态确认!$B:$B,)),"")</f>
        <v>1年级</v>
      </c>
      <c r="K116" s="451" t="str">
        <f>IFERROR(INDEX(绊状态确认!F:F,MATCH($G116,绊状态确认!$B:$B,)),"")</f>
        <v>AZALEA</v>
      </c>
      <c r="L116" s="1094" t="str">
        <f>INDEX('卡片raw data'!E:E,MATCH($D116,'卡片raw data'!$F:$F,))</f>
        <v>卡池卡</v>
      </c>
      <c r="M116" s="415">
        <v>43769</v>
      </c>
      <c r="N116" s="416">
        <v>2.5</v>
      </c>
      <c r="O116" s="1091" t="str">
        <f>INDEX('卡片raw data'!D:D,MATCH($D116,'卡片raw data'!$F:$F,))</f>
        <v>gd</v>
      </c>
      <c r="P116" s="417">
        <v>5</v>
      </c>
      <c r="Q116" s="1095">
        <f t="shared" si="88"/>
        <v>18925.056906578939</v>
      </c>
      <c r="R116" s="1096">
        <f t="shared" si="89"/>
        <v>0.22</v>
      </c>
      <c r="S116" s="1097">
        <f t="shared" si="90"/>
        <v>11095.442838167954</v>
      </c>
      <c r="T116" s="1098">
        <f t="shared" si="91"/>
        <v>0.55400000000000005</v>
      </c>
      <c r="U116" s="1099">
        <f t="shared" si="92"/>
        <v>76.412184436988582</v>
      </c>
      <c r="V116" s="1100">
        <f t="shared" si="93"/>
        <v>26583.253338744227</v>
      </c>
      <c r="W116" s="1101">
        <f t="shared" si="94"/>
        <v>4507.7214871259994</v>
      </c>
      <c r="X116" s="1096">
        <f t="shared" si="95"/>
        <v>5.1999999999999998E-2</v>
      </c>
      <c r="Y116" s="1097">
        <f t="shared" si="96"/>
        <v>1251.9733651067891</v>
      </c>
      <c r="Z116" s="1102">
        <f t="shared" si="97"/>
        <v>15.662184436988568</v>
      </c>
      <c r="AA116" s="1103">
        <f t="shared" si="98"/>
        <v>5759.6948522327884</v>
      </c>
      <c r="AB116" s="1101">
        <f t="shared" si="99"/>
        <v>4507.7214871259994</v>
      </c>
      <c r="AC116" s="1104">
        <f t="shared" si="100"/>
        <v>5.1999999999999998E-2</v>
      </c>
      <c r="AD116" s="1105">
        <f t="shared" si="101"/>
        <v>-3.8207812500000026E-3</v>
      </c>
      <c r="AE116" s="1128">
        <f t="shared" si="102"/>
        <v>-18.525362318840578</v>
      </c>
      <c r="AF116" s="1130">
        <f t="shared" si="103"/>
        <v>0</v>
      </c>
      <c r="AG116" s="420">
        <f t="shared" si="104"/>
        <v>0</v>
      </c>
      <c r="AH116" s="420">
        <f t="shared" si="105"/>
        <v>0</v>
      </c>
      <c r="AI116" s="1097">
        <f t="shared" si="106"/>
        <v>0</v>
      </c>
      <c r="AJ116" s="420">
        <f t="shared" si="107"/>
        <v>0</v>
      </c>
      <c r="AK116" s="518">
        <f t="shared" si="108"/>
        <v>0</v>
      </c>
      <c r="AL116" s="1106">
        <f>IF($P116="","N/A",(IF($P116=-1,INDEX('卡片raw data'!S:S,MATCH($D116,'卡片raw data'!$F:$F,)),0)+IF($P116=0,INDEX('卡片raw data'!V:V,MATCH($D116,'卡片raw data'!$F:$F,)),0)+IF($P116=1,INDEX('卡片raw data'!Y:Y,MATCH($D116,'卡片raw data'!$F:$F,)),0)+IF($P116=2,INDEX('卡片raw data'!AB:AB,MATCH($D116,'卡片raw data'!$F:$F,)),0)+IF($P116=3,INDEX('卡片raw data'!AE:AE,MATCH($D116,'卡片raw data'!$F:$F,)),0)+IF($P116=4,INDEX('卡片raw data'!AH:AH,MATCH($D116,'卡片raw data'!$F:$F,)),0)+IF($P116=5,INDEX('卡片raw data'!AK:AK,MATCH($D116,'卡片raw data'!$F:$F,)),0)+INDEX('卡片raw data'!S:S,MATCH($D116,'卡片raw data'!$F:$F,))*(IF($F116="UR",0.04,0.033))*(IF($F116="UR",INDEX(绊状态确认!$S:$S,MATCH($G116,绊状态确认!$B:$B,))/2-40)+IF($F116="SR",INDEX(绊状态确认!$R:$R,MATCH($G116,绊状态确认!$B:$B,))/4-15))+IF($F116="R",INDEX(绊状态确认!$Q:$Q,MATCH($G116,绊状态确认!$B:$B,))/6-40/6)))*(INDEX(绊状态确认!$H:$H,MATCH($G116,绊状态确认!$B:$B,))+INDEX(绊状态确认!J:J,MATCH($G116,绊状态确认!$B:$B,)))</f>
        <v>5777.255320799999</v>
      </c>
      <c r="AM116" s="1106">
        <f>IF($P116="","N/A",(IF($P116=-1,INDEX('卡片raw data'!T:T,MATCH($D116,'卡片raw data'!$F:$F,)),0)+IF($P116=0,INDEX('卡片raw data'!W:W,MATCH($D116,'卡片raw data'!$F:$F,)),0)+IF($P116=1,INDEX('卡片raw data'!Z:Z,MATCH($D116,'卡片raw data'!$F:$F,)),0)+IF($P116=2,INDEX('卡片raw data'!AC:AC,MATCH($D116,'卡片raw data'!$F:$F,)),0)+IF($P116=3,INDEX('卡片raw data'!AF:AF,MATCH($D116,'卡片raw data'!$F:$F,)),0)+IF($P116=4,INDEX('卡片raw data'!AI:AI,MATCH($D116,'卡片raw data'!$F:$F,)),0)+IF($P116=5,INDEX('卡片raw data'!AL:AL,MATCH($D116,'卡片raw data'!$F:$F,)),0)+INDEX('卡片raw data'!T:T,MATCH($D116,'卡片raw data'!$F:$F,))*(IF($F116="UR",0.04,0.033))*(IF($F116="UR",INDEX(绊状态确认!$S:$S,MATCH($G116,绊状态确认!$B:$B,))/2-40)+IF($F116="SR",INDEX(绊状态确认!$R:$R,MATCH($G116,绊状态确认!$B:$B,))/4-15))+IF($F116="R",INDEX(绊状态确认!$Q:$Q,MATCH($G116,绊状态确认!$B:$B,))/6-40/6)))*(INDEX(绊状态确认!$H:$H,MATCH($G116,绊状态确认!$B:$B,))+INDEX(绊状态确认!K:K,MATCH($G116,绊状态确认!$B:$B,)))</f>
        <v>7703.7646943999989</v>
      </c>
      <c r="AN116" s="1106">
        <f>IF($P116="","N/A",(IF($P116=-1,INDEX('卡片raw data'!U:U,MATCH($D116,'卡片raw data'!$F:$F,)),0)+IF($P116=0,INDEX('卡片raw data'!X:X,MATCH($D116,'卡片raw data'!$F:$F,)),0)+IF($P116=1,INDEX('卡片raw data'!AA:AA,MATCH($D116,'卡片raw data'!$F:$F,)),0)+IF($P116=2,INDEX('卡片raw data'!AD:AD,MATCH($D116,'卡片raw data'!$F:$F,)),0)+IF($P116=3,INDEX('卡片raw data'!AG:AG,MATCH($D116,'卡片raw data'!$F:$F,)),0)+IF($P116=4,INDEX('卡片raw data'!AJ:AJ,MATCH($D116,'卡片raw data'!$F:$F,)),0)+IF($P116=5,INDEX('卡片raw data'!AM:AM,MATCH($D116,'卡片raw data'!$F:$F,)),0)+INDEX('卡片raw data'!U:U,MATCH($D116,'卡片raw data'!$F:$F,))*(IF($F116="UR",0.04,0.033))*(IF($F116="UR",INDEX(绊状态确认!$S:$S,MATCH($G116,绊状态确认!$B:$B,))/2-40)+IF($F116="SR",INDEX(绊状态确认!$R:$R,MATCH($G116,绊状态确认!$B:$B,))/4-15))+IF($F116="R",INDEX(绊状态确认!$Q:$Q,MATCH($G116,绊状态确认!$B:$B,))/6-40/6)))*(INDEX(绊状态确认!$H:$H,MATCH($G116,绊状态确认!$B:$B,))+INDEX(绊状态确认!L:L,MATCH($G116,绊状态确认!$B:$B,)))</f>
        <v>5777.255320799999</v>
      </c>
      <c r="AO116" s="1107">
        <f t="shared" si="109"/>
        <v>1</v>
      </c>
      <c r="AP116" s="1131">
        <f>1+(INDEX(绊状态确认!$T:$T,MATCH($G116,绊状态确认!$B:$B,))+0.2)*$AO116</f>
        <v>1.3</v>
      </c>
      <c r="AQ116" s="1108">
        <f t="shared" si="110"/>
        <v>18415.295217099996</v>
      </c>
      <c r="AR116" s="1097">
        <f>(AM116*(1+$EX$9)+$EX$35)*(1+(INDEX(绊状态确认!$T:$T,MATCH($G116,绊状态确认!$B:$B,))+0.2)*AO116)*IF(J116=$FF$17,1+$FE$17,1)*IF(I116=$FF$14,1+$FE$14,1)</f>
        <v>13219.638807855998</v>
      </c>
      <c r="AS116" s="1097">
        <f>(AN116*(1+$EX$10)+$EX$36)*(1+(INDEX(绊状态确认!$T:$T,MATCH($G116,绊状态确认!$B:$B,))+0.2)*AO116)*IF(J116=$FF$17,1+$FE$17,1)*IF(I116=$FF$14,1+$FE$14,1)</f>
        <v>12692.996704595998</v>
      </c>
      <c r="AT116" s="1093">
        <f>IF(AND(INDEX('卡片raw data'!AK:AK,MATCH($D116,'卡片raw data'!$F:$F,))&lt;INDEX('卡片raw data'!AM:AM,MATCH($D116,'卡片raw data'!$F:$F,)),INDEX('卡片raw data'!AL:AL,MATCH($D116,'卡片raw data'!$F:$F,))&lt;INDEX('卡片raw data'!AM:AM,MATCH($D116,'卡片raw data'!$F:$F,))),1,0)</f>
        <v>0</v>
      </c>
      <c r="AU116" s="1098">
        <f>MIN(AT116*0.15+AS116*0.00003+INDEX(绊状态确认!M:M,MATCH($G116,绊状态确认!$B:$B,)),1)</f>
        <v>0.41078990113788</v>
      </c>
      <c r="AV116" s="1109">
        <f>(INDEX(绊状态确认!$N:$N,MATCH($G116,绊状态确认!$B:$B,))+1.5)*$EW$21</f>
        <v>2.6599999999999997</v>
      </c>
      <c r="AW116" s="1101">
        <f t="shared" si="111"/>
        <v>16085.668752786272</v>
      </c>
      <c r="AX116" s="1097">
        <f t="shared" si="112"/>
        <v>1134.9648752968578</v>
      </c>
      <c r="AY116" s="1110">
        <f t="shared" si="113"/>
        <v>17220.633628083131</v>
      </c>
      <c r="AZ116" s="429">
        <f t="shared" si="114"/>
        <v>13865.647875559998</v>
      </c>
      <c r="BA116" s="431">
        <f t="shared" si="115"/>
        <v>16638.777450671998</v>
      </c>
      <c r="BB116" s="1097">
        <f>(AM116*(1+$FB$9)+$FB$35)*(1+(INDEX(绊状态确认!$T:$T,MATCH($G116,绊状态确认!$B:$B,))+0.2)*AO116)*IF(J116=$FF$17,1+$FE$17,1)*IF(I116=$FF$14,1+$FE$14,1)*(1+$FE$15)</f>
        <v>13219.638807855998</v>
      </c>
      <c r="BC116" s="1097">
        <f>(AN116*(1+$FB$10)+$FB$36)*(1+(INDEX(绊状态确认!$T:$T,MATCH($G116,绊状态确认!$B:$B,))+0.2)*AO116)*IF(J116=$FF$17,1+$FE$17,1)*IF(I116=$FF$14,1+$FE$14,1)*(1+$FE$15)</f>
        <v>12692.996704595998</v>
      </c>
      <c r="BD116" s="1104">
        <f>MIN(AT116*0.15+BC116*0.00003+INDEX(绊状态确认!M:M,MATCH($G116,绊状态确认!$B:$B,)),1)</f>
        <v>0.41078990113788</v>
      </c>
      <c r="BE116" s="432">
        <f>(INDEX(绊状态确认!$N:$N,MATCH($G116,绊状态确认!$B:$B,))+1.5)</f>
        <v>1.9</v>
      </c>
      <c r="BF116" s="1139">
        <f t="array" ref="BF116">SUMPRODUCT(IF(AZ116*AP116*$FI$16:$FI$23*$FA$22&gt;=$FI$24,$FI$24,AZ116*AP116*$FI$16:$FI$23*$FA$22),$FJ$16:$FJ$23)</f>
        <v>27578.77362448884</v>
      </c>
      <c r="BG116" s="1125">
        <f t="array" ref="BG116">SUMPRODUCT(IF(BE116*AZ116*AP116*$FI$16:$FI$23*$FA$22&gt;=$FI$24,$FI$24,BE116*AZ116*AP116*$FI$16:$FI$23*$FA$22),$FJ$16:$FJ$23)</f>
        <v>51727.854293054508</v>
      </c>
      <c r="BH116" s="1110">
        <f t="shared" si="116"/>
        <v>12499.657361633208</v>
      </c>
      <c r="BI116" s="1111">
        <f>IF(O116="vo",$EW$26/$EW$24*0.05,0)+IF(O116="sk",-$EW$26/$EW$24*(0.05-INDEX(绊状态确认!W:W,MATCH($G116,绊状态确认!$B:$B,)))+0.05*$EW$28,0)+IF(O116="sp",0.05*$EW$32*$EW$30*(1-$EW$33)-(0.05-INDEX(绊状态确认!V:V,MATCH($G116,绊状态确认!$B:$B,)))*$EW$28,0)+IF(O116="gd",-(0.05-INDEX(绊状态确认!X:X,MATCH($G116,绊状态确认!$B:$B,)))*$EW$32*$EW$30*(1-$EW$33),0)</f>
        <v>-585.00000000000011</v>
      </c>
      <c r="BJ116" s="1097">
        <f>IF(O116="vo",0.05*(1-$FI$26)*$FA$24,0)+IF(O116="sk",-(0.05-INDEX(绊状态确认!W:W,MATCH($G116,绊状态确认!$B:$B,)))*(1-$FI$26)*$FA$24+0.05*$FA$26,0)+IF(O116="sp",0.05*$FA$32*$FA$27*(1-$FA$33)/$FA$30+0.05*$FA$29/$FA$69*$FA$27*(1-$FA$33)-(0.05-INDEX(绊状态确认!V:V,MATCH($G116,绊状态确认!$B:$B,)))*$FA$26,0)+IF(O116="gd",-(0.05-INDEX(绊状态确认!X:X,MATCH($G116,绊状态确认!$B:$B,)))*$FA$32*$FA$27*(1-$FA$33)/$FA$30-(0.05-INDEX(绊状态确认!X:X,MATCH($G116,绊状态确认!$B:$B,)))*$FA$29/$FA$69*$FA$27*(1-$FA$33),0)</f>
        <v>-795.00000000000011</v>
      </c>
      <c r="BK116" s="1110">
        <f>IF(O116="vo",$EW$26/$EW$24*0.05+$EW$26*(-HP($EW$62,$EW$65,$EW$64)+HP($EW$62,$EW$65,(1.05-INDEX(绊状态确认!U:U,MATCH($G116,绊状态确认!$B:$B,)))*$EW$64)),0)+IF(O116="sk",-$EW$26/$EW$24*(0.05-INDEX(绊状态确认!W:W,MATCH($G116,绊状态确认!$B:$B,)))+0.05*$EW$29,0)+IF(O116="sp",0.05*$EW$32*$EW$30*(1-$EW$33)-(0.05-INDEX(绊状态确认!V:V,MATCH($G116,绊状态确认!$B:$B,)))*$EW$29,0)+IF(O116="gd",-(0.05-INDEX(绊状态确认!X:X,MATCH($G116,绊状态确认!$B:$B,)))*$EW$32*$EW$30*(1-$EW$33)+$EW$26*(-HP($EW$62,$EW$65,$EW$64)+HP($EW$62,$EW$65,0.95*$EW$64)),0)</f>
        <v>1009.5947725176144</v>
      </c>
      <c r="BL116" s="1111">
        <f t="shared" si="117"/>
        <v>-1083.3333333333333</v>
      </c>
      <c r="BM116" s="1110">
        <f t="shared" si="118"/>
        <v>-830.55555555555543</v>
      </c>
      <c r="BN116" s="1113">
        <f t="shared" si="119"/>
        <v>3</v>
      </c>
      <c r="BO116" s="1097">
        <f t="shared" si="120"/>
        <v>4507.7214871259994</v>
      </c>
      <c r="BP116" s="1100">
        <f t="shared" si="121"/>
        <v>221.34103209030098</v>
      </c>
      <c r="BQ116" s="1113" t="s">
        <v>624</v>
      </c>
      <c r="BR116" s="1124" t="s">
        <v>171</v>
      </c>
      <c r="BS116" s="1098">
        <f>IF($P116="","N/A",IF($P116=-1,INDEX('卡片raw data'!AX:AX,MATCH($D116,'卡片raw data'!$F:$F,)),0)+IF($L116="party卡",IF($P116=5,INDEX('卡片raw data'!BD:BD,MATCH($D116,'卡片raw data'!$F:$F,)),IF($P116&gt;=3,INDEX('卡片raw data'!BC:BC,MATCH($D116,'卡片raw data'!$F:$F,)),INDEX('卡片raw data'!BB:BB,MATCH($D116,'卡片raw data'!$F:$F,)))),IF(OR(AND($F116="UR",$P116=0),AND($F116="SR",$P116&gt;=0,$P116&lt;=2),AND($F116="R",$P116&gt;=0,$P116&lt;4)),INDEX('卡片raw data'!AZ:AZ,MATCH($D116,'卡片raw data'!$F:$F,)),0)+IF(OR(AND($F116="UR",$P116&gt;=1,$P116&lt;=4),AND($F116="SR",$P116&lt;=4,$P116&gt;=3),AND($F116="R",$P116=4)),INDEX('卡片raw data'!BA:BA,MATCH($D116,'卡片raw data'!$F:$F,)),0)+IF($P116=5,INDEX('卡片raw data'!BB:BB,MATCH($D116,'卡片raw data'!$F:$F,)),0)))</f>
        <v>3.2000000000000001E-2</v>
      </c>
      <c r="BT116" s="1101">
        <f t="shared" si="122"/>
        <v>0</v>
      </c>
      <c r="BU116" s="1097">
        <f t="shared" si="123"/>
        <v>0</v>
      </c>
      <c r="BV116" s="1097">
        <f t="shared" si="124"/>
        <v>0</v>
      </c>
      <c r="BW116" s="1112">
        <f t="shared" si="125"/>
        <v>1.498285714285714</v>
      </c>
      <c r="BX116" s="1100">
        <f t="shared" si="126"/>
        <v>117.00848980993118</v>
      </c>
      <c r="BY116" s="1110">
        <f t="shared" si="127"/>
        <v>117.00848980993118</v>
      </c>
      <c r="BZ116" s="1107" t="s">
        <v>569</v>
      </c>
      <c r="CA116" s="1124"/>
      <c r="CB116" s="1098">
        <f>IF($P116="","N/A",IF($P116=-1,INDEX('卡片raw data'!BE:BE,MATCH($D116,'卡片raw data'!$F:$F,)),0)+IF($L116="party卡",IF($P116=5,INDEX('卡片raw data'!BK:BK,MATCH($D116,'卡片raw data'!$F:$F,)),IF($P116&gt;=3,INDEX('卡片raw data'!BJ:BJ,MATCH($D116,'卡片raw data'!$F:$F,)),INDEX('卡片raw data'!BI:BI,MATCH($D116,'卡片raw data'!$F:$F,)))),IF(OR(AND($F116="UR",$P116=0),AND($F116="SR",$P116&gt;=0,$P116&lt;=2),AND($F116="R",$P116&gt;=0,$P116&lt;4)),INDEX('卡片raw data'!BG:BG,MATCH($D116,'卡片raw data'!$F:$F,)),0)+IF(OR(AND($F116="UR",$P116&gt;=1,$P116&lt;=4),AND($F116="SR",$P116&lt;=4,$P116&gt;=3),AND($F116="R",$P116=4)),INDEX('卡片raw data'!BH:BH,MATCH($D116,'卡片raw data'!$F:$F,)),0)+IF($P116=5,INDEX('卡片raw data'!BI:BI,MATCH($D116,'卡片raw data'!$F:$F,)),0)))</f>
        <v>0</v>
      </c>
      <c r="CC116" s="1101">
        <f t="shared" si="128"/>
        <v>0</v>
      </c>
      <c r="CD116" s="1097">
        <f>IF(BZ116="ap",CB116*(1-$FI$26)*$FB$5/$FB$11*(+IF(CA116="全员",$FA$24,0)+IF(CA116="同作战",$FA$24,0)+IF(CA116="仲间",$FA$24*2/3,0)+IF(CA116="同属性",$FA$24*$FA$37/3,0)+IF(CA116="同年级",$FA$24*$FA$40/3,0)+IF(CA116="同学校",$FA$24*$FA$43/3,0)+IF(CA116="同小队",$FA$24*$FA$46/3,0)+IF(CA116="同type",$FA$24*INDEX($FB$49:$FB$52,MATCH(X116,$FA$49:$FA$52,))/3,0)+IF(CA116="自身",#REF!/3,0)),0)+IF(BZ116="te",CB116*(1-$FI$27)*($FA$20-1)*$FB$7/$FB$13*(+IF(CA116="全员",$FA$19*$FA$24/(1+($FA$20-1)*$FA$19),0)+IF(CA116="同作战",$FA$19*$FA$24/(1+($FA$20-1)*$FA$19),0)+IF(CA116="仲间",$FA$19*$FA$24*2/3/(1+($FA$20-1)*$FA$19),0)+IF(CA116="同属性",$FA$19*$FA$24*$FA$37/3/(1+($FA$20-1)*$FA$19),0)+IF(CA116="同年级",$FA$19*$FA$24*$FA$40/3/(1+($FA$20-1)*$FA$19),0)+IF(CA116="同学校",$FA$19*$FA$24*$FA$43/3/(1+($FA$20-1)*$FA$19),0)+IF(CA116="同小队",$FA$19*$FA$24*$FA$46/3/(1+($FA$20-1)*$FA$19),0)+IF(CA116="同type",$FA$19*$FA$24*INDEX($FB$49:$FB$52,MATCH(X116,$FA$49:$FA$52,))/3/(1+($FA$20-1)*$FA$19),0)+IF(CA116="自身",$FA$19*#REF!/3/(1+(BH116-1)*$BD116),0)),0)</f>
        <v>0</v>
      </c>
      <c r="CE116" s="1097">
        <f t="shared" si="129"/>
        <v>0</v>
      </c>
      <c r="CF116" s="1112">
        <f t="shared" si="130"/>
        <v>0</v>
      </c>
      <c r="CG116" s="1100">
        <f t="shared" si="131"/>
        <v>0</v>
      </c>
      <c r="CH116" s="1110">
        <f t="shared" si="132"/>
        <v>0</v>
      </c>
      <c r="CI116" s="1113" t="s">
        <v>571</v>
      </c>
      <c r="CJ116" s="1114">
        <v>0.5</v>
      </c>
      <c r="CK116" s="1115" t="s">
        <v>635</v>
      </c>
      <c r="CL116" s="1115" t="s">
        <v>1944</v>
      </c>
      <c r="CM116" s="1119">
        <v>0.2</v>
      </c>
      <c r="CN116" s="1115"/>
      <c r="CO116" s="1092"/>
      <c r="CP116" s="1117">
        <f t="shared" si="133"/>
        <v>0</v>
      </c>
      <c r="CQ116" s="1117">
        <f t="shared" si="134"/>
        <v>0</v>
      </c>
      <c r="CR116" s="1117">
        <f t="shared" si="135"/>
        <v>0</v>
      </c>
      <c r="CS116" s="1118">
        <f t="shared" si="136"/>
        <v>0</v>
      </c>
      <c r="CT116" s="1109">
        <f t="shared" si="137"/>
        <v>0</v>
      </c>
      <c r="CU116" s="1101">
        <f t="shared" si="138"/>
        <v>0</v>
      </c>
      <c r="CV116" s="1108">
        <f t="shared" si="139"/>
        <v>0</v>
      </c>
      <c r="CW116" s="1097">
        <f t="shared" si="140"/>
        <v>0</v>
      </c>
      <c r="CX116" s="1097">
        <f t="shared" si="141"/>
        <v>0</v>
      </c>
      <c r="CY116" s="1110">
        <f t="shared" si="142"/>
        <v>0</v>
      </c>
      <c r="CZ116" s="437"/>
      <c r="DA116" s="438"/>
      <c r="DB116" s="439" t="s">
        <v>569</v>
      </c>
      <c r="DC116" s="439"/>
      <c r="DD116" s="443"/>
      <c r="DE116" s="411"/>
      <c r="DF116" s="411"/>
      <c r="DG116" s="1116">
        <f t="shared" si="143"/>
        <v>0</v>
      </c>
      <c r="DH116" s="1116">
        <f t="shared" si="144"/>
        <v>0</v>
      </c>
      <c r="DI116" s="1116">
        <f t="shared" si="145"/>
        <v>0</v>
      </c>
      <c r="DJ116" s="442">
        <f t="shared" si="146"/>
        <v>0</v>
      </c>
      <c r="DK116" s="1109">
        <f t="shared" si="147"/>
        <v>0</v>
      </c>
      <c r="DL116" s="1101">
        <f t="shared" si="148"/>
        <v>0</v>
      </c>
      <c r="DM116" s="1097">
        <f t="shared" si="149"/>
        <v>0</v>
      </c>
      <c r="DN116" s="1097">
        <f t="shared" si="150"/>
        <v>0</v>
      </c>
      <c r="DO116" s="1097">
        <f t="shared" si="151"/>
        <v>0</v>
      </c>
      <c r="DP116" s="1110">
        <f t="shared" si="152"/>
        <v>0</v>
      </c>
      <c r="DQ116" s="1113" t="s">
        <v>556</v>
      </c>
      <c r="DR116" s="1120">
        <f t="shared" si="153"/>
        <v>0.3</v>
      </c>
      <c r="DS116" s="1124">
        <v>10</v>
      </c>
      <c r="DT116" s="1093" t="s">
        <v>161</v>
      </c>
      <c r="DU116" s="1093" t="s">
        <v>544</v>
      </c>
      <c r="DV116" s="1098">
        <f>IF($P116="","N/A",IF(P116=-1,INDEX('卡片raw data'!AN:AN,MATCH(D116,'卡片raw data'!$F:$F,)),0)+IF(AND(L116&lt;&gt;"party卡",P116&lt;=2,P116&gt;=0),INDEX('卡片raw data'!AP:AP,MATCH(D116,'卡片raw data'!$F:$F,)),0)+IF(OR(AND(L116="party卡",P116&lt;=1),AND(P116&lt;=4,L116&lt;&gt;"party卡",P116&gt;=3)),INDEX('卡片raw data'!AQ:AQ,MATCH(D116,'卡片raw data'!$F:$F,)),0)+IF(OR(P116=5,AND(L116="party卡",P116&gt;=2)),INDEX('卡片raw data'!AR:AR,MATCH(D116,'卡片raw data'!$F:$F,)),0))</f>
        <v>0.11</v>
      </c>
      <c r="DW116" s="1098">
        <f t="shared" si="154"/>
        <v>0.3</v>
      </c>
      <c r="DX116" s="1098">
        <f t="shared" si="155"/>
        <v>0.3</v>
      </c>
      <c r="DY116" s="1098">
        <f t="shared" si="156"/>
        <v>0.11000000000000001</v>
      </c>
      <c r="DZ116" s="1098">
        <f t="shared" si="157"/>
        <v>9.5150000000000012E-2</v>
      </c>
      <c r="EA116" s="1098">
        <f t="shared" si="158"/>
        <v>0</v>
      </c>
      <c r="EB116" s="1121">
        <f t="shared" si="159"/>
        <v>0</v>
      </c>
      <c r="EC116" s="1101">
        <f t="shared" si="160"/>
        <v>0</v>
      </c>
      <c r="ED116" s="1097">
        <f t="shared" si="161"/>
        <v>0</v>
      </c>
      <c r="EE116" s="1110">
        <f t="shared" si="162"/>
        <v>4811.6282945408811</v>
      </c>
      <c r="EF116" s="1092" t="s">
        <v>711</v>
      </c>
      <c r="EG116" s="1120">
        <f t="shared" si="163"/>
        <v>0.3</v>
      </c>
      <c r="EH116" s="1124"/>
      <c r="EI116" s="1093"/>
      <c r="EJ116" s="1093"/>
      <c r="EK116" s="1097">
        <f>IF($P116="","N/A",IF(P116=-1,INDEX('卡片raw data'!AS:AS,MATCH(D116,'卡片raw data'!$F:$F,)),0)+IF(AND(L116&lt;&gt;"party卡",P116&lt;=2,P116&gt;=0),INDEX('卡片raw data'!AU:AU,MATCH(D116,'卡片raw data'!$F:$F,)),0)+IF(OR(AND(L116="party卡",P116&lt;=1),AND(P116&lt;=4,L116&lt;&gt;"party卡",P116&gt;=3)),INDEX('卡片raw data'!AV:AV,MATCH(D116,'卡片raw data'!$F:$F,)),0)+IF(OR(P116=5,AND(L116="party卡",P116&gt;=2)),INDEX('卡片raw data'!AW:AW,MATCH(D116,'卡片raw data'!$F:$F,)),0))</f>
        <v>0</v>
      </c>
      <c r="EL116" s="1098">
        <f t="shared" si="164"/>
        <v>0.3</v>
      </c>
      <c r="EM116" s="1098">
        <f t="shared" si="165"/>
        <v>0.3</v>
      </c>
      <c r="EN116" s="1125">
        <f t="shared" si="166"/>
        <v>0</v>
      </c>
      <c r="EO116" s="1125">
        <f t="shared" si="167"/>
        <v>0</v>
      </c>
      <c r="EP116" s="1098">
        <f t="shared" si="168"/>
        <v>0</v>
      </c>
      <c r="EQ116" s="1121">
        <f t="shared" si="169"/>
        <v>0</v>
      </c>
      <c r="ER116" s="1101">
        <f t="shared" si="170"/>
        <v>0</v>
      </c>
      <c r="ES116" s="1097">
        <f t="shared" si="171"/>
        <v>0</v>
      </c>
      <c r="ET116" s="1122">
        <f t="shared" si="172"/>
        <v>0</v>
      </c>
    </row>
    <row r="117" spans="2:150" ht="16.5" customHeight="1">
      <c r="B117" s="1123" t="str">
        <f>INDEX('卡片raw data'!B:B,MATCH($D117,'卡片raw data'!$F:$F,))</f>
        <v>动物雫</v>
      </c>
      <c r="C117" s="449" t="s">
        <v>66</v>
      </c>
      <c r="D117" s="408">
        <v>114</v>
      </c>
      <c r="E117" s="1090">
        <v>302032001</v>
      </c>
      <c r="F117" s="1090" t="str">
        <f>INDEX('卡片raw data'!C:C,MATCH($D117,'卡片raw data'!$F:$F,))</f>
        <v>SR</v>
      </c>
      <c r="G117" s="1094" t="s">
        <v>349</v>
      </c>
      <c r="H117" s="411">
        <f>IFERROR(INDEX(绊状态确认!C:C,MATCH($G117,绊状态确认!$B:$B,)),"")</f>
        <v>203</v>
      </c>
      <c r="I117" s="1124" t="str">
        <f>IFERROR(INDEX(绊状态确认!D:D,MATCH($G117,绊状态确认!$B:$B,)),"")</f>
        <v>虹</v>
      </c>
      <c r="J117" s="1124" t="str">
        <f>IFERROR(INDEX(绊状态确认!E:E,MATCH($G117,绊状态确认!$B:$B,)),"")</f>
        <v>1年级</v>
      </c>
      <c r="K117" s="451" t="str">
        <f>IFERROR(INDEX(绊状态确认!F:F,MATCH($G117,绊状态确认!$B:$B,)),"")</f>
        <v>A·ZU·NA</v>
      </c>
      <c r="L117" s="1094" t="str">
        <f>INDEX('卡片raw data'!E:E,MATCH($D117,'卡片raw data'!$F:$F,))</f>
        <v>卡池卡</v>
      </c>
      <c r="M117" s="415">
        <v>43769</v>
      </c>
      <c r="N117" s="416">
        <v>2.5</v>
      </c>
      <c r="O117" s="1091" t="str">
        <f>INDEX('卡片raw data'!D:D,MATCH($D117,'卡片raw data'!$F:$F,))</f>
        <v>vo</v>
      </c>
      <c r="P117" s="417">
        <v>5</v>
      </c>
      <c r="Q117" s="1095">
        <f t="shared" si="88"/>
        <v>34753.817639042762</v>
      </c>
      <c r="R117" s="1096">
        <f t="shared" si="89"/>
        <v>0.40400000000000003</v>
      </c>
      <c r="S117" s="1097">
        <f t="shared" si="90"/>
        <v>15692.484576587038</v>
      </c>
      <c r="T117" s="1098">
        <f t="shared" si="91"/>
        <v>0.78400000000000003</v>
      </c>
      <c r="U117" s="1099">
        <f t="shared" si="92"/>
        <v>-13.653621236187146</v>
      </c>
      <c r="V117" s="1100">
        <f t="shared" si="93"/>
        <v>34353.101557436858</v>
      </c>
      <c r="W117" s="1101">
        <f t="shared" si="94"/>
        <v>5731.5678708807081</v>
      </c>
      <c r="X117" s="1096">
        <f t="shared" si="95"/>
        <v>6.6000000000000003E-2</v>
      </c>
      <c r="Y117" s="1097">
        <f t="shared" si="96"/>
        <v>903.95236863579885</v>
      </c>
      <c r="Z117" s="1102">
        <f t="shared" si="97"/>
        <v>11.346378763812854</v>
      </c>
      <c r="AA117" s="1103">
        <f t="shared" si="98"/>
        <v>6635.520239516507</v>
      </c>
      <c r="AB117" s="1101">
        <f t="shared" si="99"/>
        <v>6365.9151162198796</v>
      </c>
      <c r="AC117" s="1104">
        <f t="shared" si="100"/>
        <v>7.3999999999999996E-2</v>
      </c>
      <c r="AD117" s="1105">
        <f t="shared" si="101"/>
        <v>-3.8207812500000026E-3</v>
      </c>
      <c r="AE117" s="1128">
        <f t="shared" si="102"/>
        <v>-12.27536231884058</v>
      </c>
      <c r="AF117" s="1130">
        <f t="shared" si="103"/>
        <v>0</v>
      </c>
      <c r="AG117" s="420">
        <f t="shared" si="104"/>
        <v>0</v>
      </c>
      <c r="AH117" s="420">
        <f t="shared" si="105"/>
        <v>0</v>
      </c>
      <c r="AI117" s="1097">
        <f t="shared" si="106"/>
        <v>0</v>
      </c>
      <c r="AJ117" s="420">
        <f t="shared" si="107"/>
        <v>0</v>
      </c>
      <c r="AK117" s="518">
        <f t="shared" si="108"/>
        <v>0</v>
      </c>
      <c r="AL117" s="1106">
        <f>IF($P117="","N/A",(IF($P117=-1,INDEX('卡片raw data'!S:S,MATCH($D117,'卡片raw data'!$F:$F,)),0)+IF($P117=0,INDEX('卡片raw data'!V:V,MATCH($D117,'卡片raw data'!$F:$F,)),0)+IF($P117=1,INDEX('卡片raw data'!Y:Y,MATCH($D117,'卡片raw data'!$F:$F,)),0)+IF($P117=2,INDEX('卡片raw data'!AB:AB,MATCH($D117,'卡片raw data'!$F:$F,)),0)+IF($P117=3,INDEX('卡片raw data'!AE:AE,MATCH($D117,'卡片raw data'!$F:$F,)),0)+IF($P117=4,INDEX('卡片raw data'!AH:AH,MATCH($D117,'卡片raw data'!$F:$F,)),0)+IF($P117=5,INDEX('卡片raw data'!AK:AK,MATCH($D117,'卡片raw data'!$F:$F,)),0)+INDEX('卡片raw data'!S:S,MATCH($D117,'卡片raw data'!$F:$F,))*(IF($F117="UR",0.04,0.033))*(IF($F117="UR",INDEX(绊状态确认!$S:$S,MATCH($G117,绊状态确认!$B:$B,))/2-40)+IF($F117="SR",INDEX(绊状态确认!$R:$R,MATCH($G117,绊状态确认!$B:$B,))/4-15))+IF($F117="R",INDEX(绊状态确认!$Q:$Q,MATCH($G117,绊状态确认!$B:$B,))/6-40/6)))*(INDEX(绊状态确认!$H:$H,MATCH($G117,绊状态确认!$B:$B,))+INDEX(绊状态确认!J:J,MATCH($G117,绊状态确认!$B:$B,)))</f>
        <v>7703.7646943999989</v>
      </c>
      <c r="AM117" s="1106">
        <f>IF($P117="","N/A",(IF($P117=-1,INDEX('卡片raw data'!T:T,MATCH($D117,'卡片raw data'!$F:$F,)),0)+IF($P117=0,INDEX('卡片raw data'!W:W,MATCH($D117,'卡片raw data'!$F:$F,)),0)+IF($P117=1,INDEX('卡片raw data'!Z:Z,MATCH($D117,'卡片raw data'!$F:$F,)),0)+IF($P117=2,INDEX('卡片raw data'!AC:AC,MATCH($D117,'卡片raw data'!$F:$F,)),0)+IF($P117=3,INDEX('卡片raw data'!AF:AF,MATCH($D117,'卡片raw data'!$F:$F,)),0)+IF($P117=4,INDEX('卡片raw data'!AI:AI,MATCH($D117,'卡片raw data'!$F:$F,)),0)+IF($P117=5,INDEX('卡片raw data'!AL:AL,MATCH($D117,'卡片raw data'!$F:$F,)),0)+INDEX('卡片raw data'!T:T,MATCH($D117,'卡片raw data'!$F:$F,))*(IF($F117="UR",0.04,0.033))*(IF($F117="UR",INDEX(绊状态确认!$S:$S,MATCH($G117,绊状态确认!$B:$B,))/2-40)+IF($F117="SR",INDEX(绊状态确认!$R:$R,MATCH($G117,绊状态确认!$B:$B,))/4-15))+IF($F117="R",INDEX(绊状态确认!$Q:$Q,MATCH($G117,绊状态确认!$B:$B,))/6-40/6)))*(INDEX(绊状态确认!$H:$H,MATCH($G117,绊状态确认!$B:$B,))+INDEX(绊状态确认!K:K,MATCH($G117,绊状态确认!$B:$B,)))</f>
        <v>5777.255320799999</v>
      </c>
      <c r="AN117" s="1106">
        <f>IF($P117="","N/A",(IF($P117=-1,INDEX('卡片raw data'!U:U,MATCH($D117,'卡片raw data'!$F:$F,)),0)+IF($P117=0,INDEX('卡片raw data'!X:X,MATCH($D117,'卡片raw data'!$F:$F,)),0)+IF($P117=1,INDEX('卡片raw data'!AA:AA,MATCH($D117,'卡片raw data'!$F:$F,)),0)+IF($P117=2,INDEX('卡片raw data'!AD:AD,MATCH($D117,'卡片raw data'!$F:$F,)),0)+IF($P117=3,INDEX('卡片raw data'!AG:AG,MATCH($D117,'卡片raw data'!$F:$F,)),0)+IF($P117=4,INDEX('卡片raw data'!AJ:AJ,MATCH($D117,'卡片raw data'!$F:$F,)),0)+IF($P117=5,INDEX('卡片raw data'!AM:AM,MATCH($D117,'卡片raw data'!$F:$F,)),0)+INDEX('卡片raw data'!U:U,MATCH($D117,'卡片raw data'!$F:$F,))*(IF($F117="UR",0.04,0.033))*(IF($F117="UR",INDEX(绊状态确认!$S:$S,MATCH($G117,绊状态确认!$B:$B,))/2-40)+IF($F117="SR",INDEX(绊状态确认!$R:$R,MATCH($G117,绊状态确认!$B:$B,))/4-15))+IF($F117="R",INDEX(绊状态确认!$Q:$Q,MATCH($G117,绊状态确认!$B:$B,))/6-40/6)))*(INDEX(绊状态确认!$H:$H,MATCH($G117,绊状态确认!$B:$B,))+INDEX(绊状态确认!L:L,MATCH($G117,绊状态确认!$B:$B,)))</f>
        <v>5777.255320799999</v>
      </c>
      <c r="AO117" s="1107">
        <f t="shared" si="109"/>
        <v>1</v>
      </c>
      <c r="AP117" s="1131">
        <f>1+(INDEX(绊状态确认!$T:$T,MATCH($G117,绊状态确认!$B:$B,))+0.2)*$AO117</f>
        <v>1.3</v>
      </c>
      <c r="AQ117" s="1108">
        <f t="shared" si="110"/>
        <v>23472.382322799996</v>
      </c>
      <c r="AR117" s="1097">
        <f>(AM117*(1+$EX$9)+$EX$35)*(1+(INDEX(绊状态确认!$T:$T,MATCH($G117,绊状态确认!$B:$B,))+0.2)*AO117)*IF(J117=$FF$17,1+$FE$17,1)*IF(I117=$FF$14,1+$FE$14,1)</f>
        <v>10589.953512891998</v>
      </c>
      <c r="AS117" s="1097">
        <f>(AN117*(1+$EX$10)+$EX$36)*(1+(INDEX(绊状态确认!$T:$T,MATCH($G117,绊状态确认!$B:$B,))+0.2)*AO117)*IF(J117=$FF$17,1+$FE$17,1)*IF(I117=$FF$14,1+$FE$14,1)</f>
        <v>12692.996704595998</v>
      </c>
      <c r="AT117" s="1093">
        <f>IF(AND(INDEX('卡片raw data'!AK:AK,MATCH($D117,'卡片raw data'!$F:$F,))&lt;INDEX('卡片raw data'!AM:AM,MATCH($D117,'卡片raw data'!$F:$F,)),INDEX('卡片raw data'!AL:AL,MATCH($D117,'卡片raw data'!$F:$F,))&lt;INDEX('卡片raw data'!AM:AM,MATCH($D117,'卡片raw data'!$F:$F,))),1,0)</f>
        <v>0</v>
      </c>
      <c r="AU117" s="1098">
        <f>MIN(AT117*0.15+AS117*0.00003+INDEX(绊状态确认!M:M,MATCH($G117,绊状态确认!$B:$B,)),1)</f>
        <v>0.41078990113788</v>
      </c>
      <c r="AV117" s="1109">
        <f>(INDEX(绊状态确认!$N:$N,MATCH($G117,绊状态确认!$B:$B,))+1.5)*$EW$21</f>
        <v>2.6599999999999997</v>
      </c>
      <c r="AW117" s="1101">
        <f t="shared" si="111"/>
        <v>20503.009179712491</v>
      </c>
      <c r="AX117" s="1097">
        <f t="shared" si="112"/>
        <v>903.95236863579885</v>
      </c>
      <c r="AY117" s="1110">
        <f t="shared" si="113"/>
        <v>21406.961548348292</v>
      </c>
      <c r="AZ117" s="429">
        <f t="shared" si="114"/>
        <v>17622.341154079997</v>
      </c>
      <c r="BA117" s="431">
        <f t="shared" si="115"/>
        <v>21146.809384895994</v>
      </c>
      <c r="BB117" s="1097">
        <f>(AM117*(1+$FB$9)+$FB$35)*(1+(INDEX(绊状态确认!$T:$T,MATCH($G117,绊状态确认!$B:$B,))+0.2)*AO117)*IF(J117=$FF$17,1+$FE$17,1)*IF(I117=$FF$14,1+$FE$14,1)*(1+$FE$15)</f>
        <v>10589.953512891998</v>
      </c>
      <c r="BC117" s="1097">
        <f>(AN117*(1+$FB$10)+$FB$36)*(1+(INDEX(绊状态确认!$T:$T,MATCH($G117,绊状态确认!$B:$B,))+0.2)*AO117)*IF(J117=$FF$17,1+$FE$17,1)*IF(I117=$FF$14,1+$FE$14,1)*(1+$FE$15)</f>
        <v>12692.996704595998</v>
      </c>
      <c r="BD117" s="1104">
        <f>MIN(AT117*0.15+BC117*0.00003+INDEX(绊状态确认!M:M,MATCH($G117,绊状态确认!$B:$B,)),1)</f>
        <v>0.41078990113788</v>
      </c>
      <c r="BE117" s="432">
        <f>(INDEX(绊状态确认!$N:$N,MATCH($G117,绊状态确认!$B:$B,))+1.5)</f>
        <v>1.9</v>
      </c>
      <c r="BF117" s="1139">
        <f t="array" ref="BF117">SUMPRODUCT(IF(AZ117*AP117*$FI$16:$FI$23*$FA$22&gt;=$FI$24,$FI$24,AZ117*AP117*$FI$16:$FI$23*$FA$22),$FJ$16:$FJ$23)</f>
        <v>35050.836555465117</v>
      </c>
      <c r="BG117" s="1125">
        <f t="array" ref="BG117">SUMPRODUCT(IF(BE117*AZ117*AP117*$FI$16:$FI$23*$FA$22&gt;=$FI$24,$FI$24,BE117*AZ117*AP117*$FI$16:$FI$23*$FA$22),$FJ$16:$FJ$23)</f>
        <v>58881.795662644399</v>
      </c>
      <c r="BH117" s="1110">
        <f t="shared" si="116"/>
        <v>14946.784630374721</v>
      </c>
      <c r="BI117" s="1111">
        <f>IF(O117="vo",$EW$26/$EW$24*0.05,0)+IF(O117="sk",-$EW$26/$EW$24*(0.05-INDEX(绊状态确认!W:W,MATCH($G117,绊状态确认!$B:$B,)))+0.05*$EW$28,0)+IF(O117="sp",0.05*$EW$32*$EW$30*(1-$EW$33)-(0.05-INDEX(绊状态确认!V:V,MATCH($G117,绊状态确认!$B:$B,)))*$EW$28,0)+IF(O117="gd",-(0.05-INDEX(绊状态确认!X:X,MATCH($G117,绊状态确认!$B:$B,)))*$EW$32*$EW$30*(1-$EW$33),0)</f>
        <v>7726.3029277443748</v>
      </c>
      <c r="BJ117" s="1097">
        <f>IF(O117="vo",0.05*(1-$FI$26)*$FA$24,0)+IF(O117="sk",-(0.05-INDEX(绊状态确认!W:W,MATCH($G117,绊状态确认!$B:$B,)))*(1-$FI$26)*$FA$24+0.05*$FA$26,0)+IF(O117="sp",0.05*$FA$32*$FA$27*(1-$FA$33)/$FA$30+0.05*$FA$29/$FA$69*$FA$27*(1-$FA$33)-(0.05-INDEX(绊状态确认!V:V,MATCH($G117,绊状态确认!$B:$B,)))*$FA$26,0)+IF(O117="gd",-(0.05-INDEX(绊状态确认!X:X,MATCH($G117,绊状态确认!$B:$B,)))*$FA$32*$FA$27*(1-$FA$33)/$FA$30-(0.05-INDEX(绊状态确认!X:X,MATCH($G117,绊状态确认!$B:$B,)))*$FA$29/$FA$69*$FA$27*(1-$FA$33),0)</f>
        <v>393.93433687500004</v>
      </c>
      <c r="BK117" s="1110">
        <f>IF(O117="vo",$EW$26/$EW$24*0.05+$EW$26*(-HP($EW$62,$EW$65,$EW$64)+HP($EW$62,$EW$65,(1.05-INDEX(绊状态确认!U:U,MATCH($G117,绊状态确认!$B:$B,)))*$EW$64)),0)+IF(O117="sk",-$EW$26/$EW$24*(0.05-INDEX(绊状态确认!W:W,MATCH($G117,绊状态确认!$B:$B,)))+0.05*$EW$29,0)+IF(O117="sp",0.05*$EW$32*$EW$30*(1-$EW$33)-(0.05-INDEX(绊状态确认!V:V,MATCH($G117,绊状态确认!$B:$B,)))*$EW$29,0)+IF(O117="gd",-(0.05-INDEX(绊状态确认!X:X,MATCH($G117,绊状态确认!$B:$B,)))*$EW$32*$EW$30*(1-$EW$33)+$EW$26*(-HP($EW$62,$EW$65,$EW$64)+HP($EW$62,$EW$65,0.95*$EW$64)),0)</f>
        <v>6421.6344775026746</v>
      </c>
      <c r="BL117" s="1111">
        <f t="shared" si="117"/>
        <v>-1083.3333333333333</v>
      </c>
      <c r="BM117" s="1110">
        <f t="shared" si="118"/>
        <v>-830.55555555555543</v>
      </c>
      <c r="BN117" s="1113">
        <f t="shared" si="119"/>
        <v>3</v>
      </c>
      <c r="BO117" s="1097">
        <f t="shared" si="120"/>
        <v>4507.7214871259994</v>
      </c>
      <c r="BP117" s="1100">
        <f t="shared" si="121"/>
        <v>221.34103209030098</v>
      </c>
      <c r="BQ117" s="1113" t="s">
        <v>623</v>
      </c>
      <c r="BR117" s="1124" t="s">
        <v>625</v>
      </c>
      <c r="BS117" s="1098">
        <f>IF($P117="","N/A",IF($P117=-1,INDEX('卡片raw data'!AX:AX,MATCH($D117,'卡片raw data'!$F:$F,)),0)+IF($L117="party卡",IF($P117=5,INDEX('卡片raw data'!BD:BD,MATCH($D117,'卡片raw data'!$F:$F,)),IF($P117&gt;=3,INDEX('卡片raw data'!BC:BC,MATCH($D117,'卡片raw data'!$F:$F,)),INDEX('卡片raw data'!BB:BB,MATCH($D117,'卡片raw data'!$F:$F,)))),IF(OR(AND($F117="UR",$P117=0),AND($F117="SR",$P117&gt;=0,$P117&lt;=2),AND($F117="R",$P117&gt;=0,$P117&lt;4)),INDEX('卡片raw data'!AZ:AZ,MATCH($D117,'卡片raw data'!$F:$F,)),0)+IF(OR(AND($F117="UR",$P117&gt;=1,$P117&lt;=4),AND($F117="SR",$P117&lt;=4,$P117&gt;=3),AND($F117="R",$P117=4)),INDEX('卡片raw data'!BA:BA,MATCH($D117,'卡片raw data'!$F:$F,)),0)+IF($P117=5,INDEX('卡片raw data'!BB:BB,MATCH($D117,'卡片raw data'!$F:$F,)),0)))</f>
        <v>7.0000000000000007E-2</v>
      </c>
      <c r="BT117" s="1101">
        <f t="shared" si="122"/>
        <v>634.34724533917108</v>
      </c>
      <c r="BU117" s="1097">
        <f t="shared" si="123"/>
        <v>22.045257598646327</v>
      </c>
      <c r="BV117" s="1097">
        <f t="shared" si="124"/>
        <v>0</v>
      </c>
      <c r="BW117" s="1112">
        <f t="shared" si="125"/>
        <v>0</v>
      </c>
      <c r="BX117" s="1100">
        <f t="shared" si="126"/>
        <v>634.34724533917108</v>
      </c>
      <c r="BY117" s="1110">
        <f t="shared" si="127"/>
        <v>0</v>
      </c>
      <c r="BZ117" s="1107" t="s">
        <v>569</v>
      </c>
      <c r="CA117" s="1124"/>
      <c r="CB117" s="1098">
        <f>IF($P117="","N/A",IF($P117=-1,INDEX('卡片raw data'!BE:BE,MATCH($D117,'卡片raw data'!$F:$F,)),0)+IF($L117="party卡",IF($P117=5,INDEX('卡片raw data'!BK:BK,MATCH($D117,'卡片raw data'!$F:$F,)),IF($P117&gt;=3,INDEX('卡片raw data'!BJ:BJ,MATCH($D117,'卡片raw data'!$F:$F,)),INDEX('卡片raw data'!BI:BI,MATCH($D117,'卡片raw data'!$F:$F,)))),IF(OR(AND($F117="UR",$P117=0),AND($F117="SR",$P117&gt;=0,$P117&lt;=2),AND($F117="R",$P117&gt;=0,$P117&lt;4)),INDEX('卡片raw data'!BG:BG,MATCH($D117,'卡片raw data'!$F:$F,)),0)+IF(OR(AND($F117="UR",$P117&gt;=1,$P117&lt;=4),AND($F117="SR",$P117&lt;=4,$P117&gt;=3),AND($F117="R",$P117=4)),INDEX('卡片raw data'!BH:BH,MATCH($D117,'卡片raw data'!$F:$F,)),0)+IF($P117=5,INDEX('卡片raw data'!BI:BI,MATCH($D117,'卡片raw data'!$F:$F,)),0)))</f>
        <v>0</v>
      </c>
      <c r="CC117" s="1101">
        <f t="shared" si="128"/>
        <v>0</v>
      </c>
      <c r="CD117" s="1097">
        <f>IF(BZ117="ap",CB117*(1-$FI$26)*$FB$5/$FB$11*(+IF(CA117="全员",$FA$24,0)+IF(CA117="同作战",$FA$24,0)+IF(CA117="仲间",$FA$24*2/3,0)+IF(CA117="同属性",$FA$24*$FA$37/3,0)+IF(CA117="同年级",$FA$24*$FA$40/3,0)+IF(CA117="同学校",$FA$24*$FA$43/3,0)+IF(CA117="同小队",$FA$24*$FA$46/3,0)+IF(CA117="同type",$FA$24*INDEX($FB$49:$FB$52,MATCH(X117,$FA$49:$FA$52,))/3,0)+IF(CA117="自身",#REF!/3,0)),0)+IF(BZ117="te",CB117*(1-$FI$27)*($FA$20-1)*$FB$7/$FB$13*(+IF(CA117="全员",$FA$19*$FA$24/(1+($FA$20-1)*$FA$19),0)+IF(CA117="同作战",$FA$19*$FA$24/(1+($FA$20-1)*$FA$19),0)+IF(CA117="仲间",$FA$19*$FA$24*2/3/(1+($FA$20-1)*$FA$19),0)+IF(CA117="同属性",$FA$19*$FA$24*$FA$37/3/(1+($FA$20-1)*$FA$19),0)+IF(CA117="同年级",$FA$19*$FA$24*$FA$40/3/(1+($FA$20-1)*$FA$19),0)+IF(CA117="同学校",$FA$19*$FA$24*$FA$43/3/(1+($FA$20-1)*$FA$19),0)+IF(CA117="同小队",$FA$19*$FA$24*$FA$46/3/(1+($FA$20-1)*$FA$19),0)+IF(CA117="同type",$FA$19*$FA$24*INDEX($FB$49:$FB$52,MATCH(X117,$FA$49:$FA$52,))/3/(1+($FA$20-1)*$FA$19),0)+IF(CA117="自身",$FA$19*#REF!/3/(1+(BH117-1)*$BD117),0)),0)</f>
        <v>0</v>
      </c>
      <c r="CE117" s="1097">
        <f t="shared" si="129"/>
        <v>0</v>
      </c>
      <c r="CF117" s="1112">
        <f t="shared" si="130"/>
        <v>0</v>
      </c>
      <c r="CG117" s="1100">
        <f t="shared" si="131"/>
        <v>0</v>
      </c>
      <c r="CH117" s="1110">
        <f t="shared" si="132"/>
        <v>0</v>
      </c>
      <c r="CI117" s="1113" t="s">
        <v>165</v>
      </c>
      <c r="CJ117" s="1114">
        <v>0.3</v>
      </c>
      <c r="CK117" s="1115" t="s">
        <v>167</v>
      </c>
      <c r="CL117" s="1115" t="s">
        <v>161</v>
      </c>
      <c r="CM117" s="1119">
        <v>0.03</v>
      </c>
      <c r="CN117" s="1115" t="s">
        <v>163</v>
      </c>
      <c r="CO117" s="1092"/>
      <c r="CP117" s="1118">
        <f t="shared" si="133"/>
        <v>8.9999999999999993E-3</v>
      </c>
      <c r="CQ117" s="1118">
        <f t="shared" si="134"/>
        <v>8.9999999999999993E-3</v>
      </c>
      <c r="CR117" s="1118">
        <f t="shared" si="135"/>
        <v>8.9999999999999993E-3</v>
      </c>
      <c r="CS117" s="1118">
        <f t="shared" si="136"/>
        <v>0</v>
      </c>
      <c r="CT117" s="1109">
        <f t="shared" si="137"/>
        <v>0</v>
      </c>
      <c r="CU117" s="1101">
        <f t="shared" si="138"/>
        <v>1223.846383754709</v>
      </c>
      <c r="CV117" s="1108">
        <f t="shared" si="139"/>
        <v>59.090150531250003</v>
      </c>
      <c r="CW117" s="1097">
        <f t="shared" si="140"/>
        <v>1223.846383754709</v>
      </c>
      <c r="CX117" s="1097">
        <f t="shared" si="141"/>
        <v>1223.846383754709</v>
      </c>
      <c r="CY117" s="1110">
        <f t="shared" si="142"/>
        <v>1223.846383754709</v>
      </c>
      <c r="CZ117" s="437"/>
      <c r="DA117" s="438"/>
      <c r="DB117" s="439" t="s">
        <v>569</v>
      </c>
      <c r="DC117" s="439"/>
      <c r="DD117" s="443"/>
      <c r="DE117" s="411"/>
      <c r="DF117" s="411"/>
      <c r="DG117" s="1116">
        <f t="shared" si="143"/>
        <v>0</v>
      </c>
      <c r="DH117" s="1116">
        <f t="shared" si="144"/>
        <v>0</v>
      </c>
      <c r="DI117" s="1116">
        <f t="shared" si="145"/>
        <v>0</v>
      </c>
      <c r="DJ117" s="442">
        <f t="shared" si="146"/>
        <v>0</v>
      </c>
      <c r="DK117" s="1109">
        <f t="shared" si="147"/>
        <v>0</v>
      </c>
      <c r="DL117" s="1101">
        <f t="shared" si="148"/>
        <v>0</v>
      </c>
      <c r="DM117" s="1097">
        <f t="shared" si="149"/>
        <v>0</v>
      </c>
      <c r="DN117" s="1097">
        <f t="shared" si="150"/>
        <v>0</v>
      </c>
      <c r="DO117" s="1097">
        <f t="shared" si="151"/>
        <v>0</v>
      </c>
      <c r="DP117" s="1110">
        <f t="shared" si="152"/>
        <v>0</v>
      </c>
      <c r="DQ117" s="1113" t="s">
        <v>545</v>
      </c>
      <c r="DR117" s="1120">
        <f t="shared" si="153"/>
        <v>0.3</v>
      </c>
      <c r="DS117" s="1124"/>
      <c r="DT117" s="1093" t="s">
        <v>548</v>
      </c>
      <c r="DU117" s="1093"/>
      <c r="DV117" s="1098">
        <f>IF($P117="","N/A",IF(P117=-1,INDEX('卡片raw data'!AN:AN,MATCH(D117,'卡片raw data'!$F:$F,)),0)+IF(AND(L117&lt;&gt;"party卡",P117&lt;=2,P117&gt;=0),INDEX('卡片raw data'!AP:AP,MATCH(D117,'卡片raw data'!$F:$F,)),0)+IF(OR(AND(L117="party卡",P117&lt;=1),AND(P117&lt;=4,L117&lt;&gt;"party卡",P117&gt;=3)),INDEX('卡片raw data'!AQ:AQ,MATCH(D117,'卡片raw data'!$F:$F,)),0)+IF(OR(P117=5,AND(L117="party卡",P117&gt;=2)),INDEX('卡片raw data'!AR:AR,MATCH(D117,'卡片raw data'!$F:$F,)),0))</f>
        <v>0.37</v>
      </c>
      <c r="DW117" s="1098">
        <f t="shared" si="154"/>
        <v>0.3</v>
      </c>
      <c r="DX117" s="1098">
        <f t="shared" si="155"/>
        <v>0.3</v>
      </c>
      <c r="DY117" s="1125">
        <f t="shared" si="156"/>
        <v>1129.0215897266798</v>
      </c>
      <c r="DZ117" s="1125">
        <f t="shared" si="157"/>
        <v>879.84472467267517</v>
      </c>
      <c r="EA117" s="1098">
        <f t="shared" si="158"/>
        <v>0</v>
      </c>
      <c r="EB117" s="1121">
        <f t="shared" si="159"/>
        <v>0</v>
      </c>
      <c r="EC117" s="1101">
        <f t="shared" si="160"/>
        <v>1241.9237486993479</v>
      </c>
      <c r="ED117" s="1097">
        <f t="shared" si="161"/>
        <v>879.84472467267517</v>
      </c>
      <c r="EE117" s="1110">
        <f t="shared" si="162"/>
        <v>1241.9237486993479</v>
      </c>
      <c r="EF117" s="1092" t="s">
        <v>711</v>
      </c>
      <c r="EG117" s="1120">
        <f t="shared" si="163"/>
        <v>0.3</v>
      </c>
      <c r="EH117" s="1124"/>
      <c r="EI117" s="1093"/>
      <c r="EJ117" s="1093"/>
      <c r="EK117" s="1097">
        <f>IF($P117="","N/A",IF(P117=-1,INDEX('卡片raw data'!AS:AS,MATCH(D117,'卡片raw data'!$F:$F,)),0)+IF(AND(L117&lt;&gt;"party卡",P117&lt;=2,P117&gt;=0),INDEX('卡片raw data'!AU:AU,MATCH(D117,'卡片raw data'!$F:$F,)),0)+IF(OR(AND(L117="party卡",P117&lt;=1),AND(P117&lt;=4,L117&lt;&gt;"party卡",P117&gt;=3)),INDEX('卡片raw data'!AV:AV,MATCH(D117,'卡片raw data'!$F:$F,)),0)+IF(OR(P117=5,AND(L117="party卡",P117&gt;=2)),INDEX('卡片raw data'!AW:AW,MATCH(D117,'卡片raw data'!$F:$F,)),0))</f>
        <v>0</v>
      </c>
      <c r="EL117" s="1098">
        <f t="shared" si="164"/>
        <v>0.3</v>
      </c>
      <c r="EM117" s="1098">
        <f t="shared" si="165"/>
        <v>0.3</v>
      </c>
      <c r="EN117" s="1125">
        <f t="shared" si="166"/>
        <v>0</v>
      </c>
      <c r="EO117" s="1125">
        <f t="shared" si="167"/>
        <v>0</v>
      </c>
      <c r="EP117" s="1098">
        <f t="shared" si="168"/>
        <v>0</v>
      </c>
      <c r="EQ117" s="1121">
        <f t="shared" si="169"/>
        <v>0</v>
      </c>
      <c r="ER117" s="1101">
        <f t="shared" si="170"/>
        <v>0</v>
      </c>
      <c r="ES117" s="1097">
        <f t="shared" si="171"/>
        <v>0</v>
      </c>
      <c r="ET117" s="1122">
        <f t="shared" si="172"/>
        <v>0</v>
      </c>
    </row>
    <row r="118" spans="2:150" ht="16.5" customHeight="1">
      <c r="B118" s="1123" t="str">
        <f>INDEX('卡片raw data'!B:B,MATCH($D118,'卡片raw data'!$F:$F,))</f>
        <v>睡衣南</v>
      </c>
      <c r="C118" s="449" t="s">
        <v>22</v>
      </c>
      <c r="D118" s="408">
        <v>115</v>
      </c>
      <c r="E118" s="1090">
        <v>301033001</v>
      </c>
      <c r="F118" s="1090" t="str">
        <f>INDEX('卡片raw data'!C:C,MATCH($D118,'卡片raw data'!$F:$F,))</f>
        <v>UR</v>
      </c>
      <c r="G118" s="1094" t="s">
        <v>35</v>
      </c>
      <c r="H118" s="411">
        <f>IFERROR(INDEX(绊状态确认!C:C,MATCH($G118,绊状态确认!$B:$B,)),"")</f>
        <v>103</v>
      </c>
      <c r="I118" s="1124" t="str">
        <f>IFERROR(INDEX(绊状态确认!D:D,MATCH($G118,绊状态确认!$B:$B,)),"")</f>
        <v>水</v>
      </c>
      <c r="J118" s="1124" t="str">
        <f>IFERROR(INDEX(绊状态确认!E:E,MATCH($G118,绊状态确认!$B:$B,)),"")</f>
        <v>3年级</v>
      </c>
      <c r="K118" s="451" t="str">
        <f>IFERROR(INDEX(绊状态确认!F:F,MATCH($G118,绊状态确认!$B:$B,)),"")</f>
        <v>AZALEA</v>
      </c>
      <c r="L118" s="1094" t="str">
        <f>INDEX('卡片raw data'!E:E,MATCH($D118,'卡片raw data'!$F:$F,))</f>
        <v>卡池卡</v>
      </c>
      <c r="M118" s="415">
        <v>43775</v>
      </c>
      <c r="N118" s="416">
        <v>3</v>
      </c>
      <c r="O118" s="1091" t="str">
        <f>INDEX('卡片raw data'!D:D,MATCH($D118,'卡片raw data'!$F:$F,))</f>
        <v>sp</v>
      </c>
      <c r="P118" s="417">
        <v>5</v>
      </c>
      <c r="Q118" s="1095">
        <f t="shared" si="88"/>
        <v>43276.537213125885</v>
      </c>
      <c r="R118" s="1096">
        <f t="shared" si="89"/>
        <v>0.503</v>
      </c>
      <c r="S118" s="1097">
        <f t="shared" si="90"/>
        <v>20284.802709599269</v>
      </c>
      <c r="T118" s="1098">
        <f t="shared" si="91"/>
        <v>1.014</v>
      </c>
      <c r="U118" s="1099">
        <f t="shared" si="92"/>
        <v>17.092555618542853</v>
      </c>
      <c r="V118" s="1100">
        <f t="shared" si="93"/>
        <v>42854.484147328083</v>
      </c>
      <c r="W118" s="1101">
        <f t="shared" si="94"/>
        <v>7660.4349415115021</v>
      </c>
      <c r="X118" s="1096">
        <f t="shared" si="95"/>
        <v>8.8999999999999996E-2</v>
      </c>
      <c r="Y118" s="1097">
        <f t="shared" si="96"/>
        <v>1377.9469342021994</v>
      </c>
      <c r="Z118" s="1102">
        <f t="shared" si="97"/>
        <v>17.092555618542853</v>
      </c>
      <c r="AA118" s="1103">
        <f t="shared" si="98"/>
        <v>9038.3818757137014</v>
      </c>
      <c r="AB118" s="1101">
        <f t="shared" si="99"/>
        <v>7660.434941511503</v>
      </c>
      <c r="AC118" s="1104">
        <f t="shared" si="100"/>
        <v>8.8999999999999996E-2</v>
      </c>
      <c r="AD118" s="1105">
        <f t="shared" si="101"/>
        <v>-1.6087500000000001E-2</v>
      </c>
      <c r="AE118" s="1128">
        <f t="shared" si="102"/>
        <v>15.66406768892826</v>
      </c>
      <c r="AF118" s="1130">
        <f t="shared" si="103"/>
        <v>0</v>
      </c>
      <c r="AG118" s="420">
        <f t="shared" si="104"/>
        <v>0</v>
      </c>
      <c r="AH118" s="420">
        <f t="shared" si="105"/>
        <v>0</v>
      </c>
      <c r="AI118" s="1097">
        <f t="shared" si="106"/>
        <v>0</v>
      </c>
      <c r="AJ118" s="420">
        <f t="shared" si="107"/>
        <v>0</v>
      </c>
      <c r="AK118" s="518">
        <f t="shared" si="108"/>
        <v>0</v>
      </c>
      <c r="AL118" s="1106">
        <f>IF($P118="","N/A",(IF($P118=-1,INDEX('卡片raw data'!S:S,MATCH($D118,'卡片raw data'!$F:$F,)),0)+IF($P118=0,INDEX('卡片raw data'!V:V,MATCH($D118,'卡片raw data'!$F:$F,)),0)+IF($P118=1,INDEX('卡片raw data'!Y:Y,MATCH($D118,'卡片raw data'!$F:$F,)),0)+IF($P118=2,INDEX('卡片raw data'!AB:AB,MATCH($D118,'卡片raw data'!$F:$F,)),0)+IF($P118=3,INDEX('卡片raw data'!AE:AE,MATCH($D118,'卡片raw data'!$F:$F,)),0)+IF($P118=4,INDEX('卡片raw data'!AH:AH,MATCH($D118,'卡片raw data'!$F:$F,)),0)+IF($P118=5,INDEX('卡片raw data'!AK:AK,MATCH($D118,'卡片raw data'!$F:$F,)),0)+INDEX('卡片raw data'!S:S,MATCH($D118,'卡片raw data'!$F:$F,))*(IF($F118="UR",0.04,0.033))*(IF($F118="UR",INDEX(绊状态确认!$S:$S,MATCH($G118,绊状态确认!$B:$B,))/2-40)+IF($F118="SR",INDEX(绊状态确认!$R:$R,MATCH($G118,绊状态确认!$B:$B,))/4-15))+IF($F118="R",INDEX(绊状态确认!$Q:$Q,MATCH($G118,绊状态确认!$B:$B,))/6-40/6)))*(INDEX(绊状态确认!$H:$H,MATCH($G118,绊状态确认!$B:$B,))+INDEX(绊状态确认!J:J,MATCH($G118,绊状态确认!$B:$B,)))</f>
        <v>9080.6087519999983</v>
      </c>
      <c r="AM118" s="1106">
        <f>IF($P118="","N/A",(IF($P118=-1,INDEX('卡片raw data'!T:T,MATCH($D118,'卡片raw data'!$F:$F,)),0)+IF($P118=0,INDEX('卡片raw data'!W:W,MATCH($D118,'卡片raw data'!$F:$F,)),0)+IF($P118=1,INDEX('卡片raw data'!Z:Z,MATCH($D118,'卡片raw data'!$F:$F,)),0)+IF($P118=2,INDEX('卡片raw data'!AC:AC,MATCH($D118,'卡片raw data'!$F:$F,)),0)+IF($P118=3,INDEX('卡片raw data'!AF:AF,MATCH($D118,'卡片raw data'!$F:$F,)),0)+IF($P118=4,INDEX('卡片raw data'!AI:AI,MATCH($D118,'卡片raw data'!$F:$F,)),0)+IF($P118=5,INDEX('卡片raw data'!AL:AL,MATCH($D118,'卡片raw data'!$F:$F,)),0)+INDEX('卡片raw data'!T:T,MATCH($D118,'卡片raw data'!$F:$F,))*(IF($F118="UR",0.04,0.033))*(IF($F118="UR",INDEX(绊状态确认!$S:$S,MATCH($G118,绊状态确认!$B:$B,))/2-40)+IF($F118="SR",INDEX(绊状态确认!$R:$R,MATCH($G118,绊状态确认!$B:$B,))/4-15))+IF($F118="R",INDEX(绊状态确认!$Q:$Q,MATCH($G118,绊状态确认!$B:$B,))/6-40/6)))*(INDEX(绊状态确认!$H:$H,MATCH($G118,绊状态确认!$B:$B,))+INDEX(绊状态确认!K:K,MATCH($G118,绊状态确认!$B:$B,)))</f>
        <v>9706.2651359999982</v>
      </c>
      <c r="AN118" s="1106">
        <f>IF($P118="","N/A",(IF($P118=-1,INDEX('卡片raw data'!U:U,MATCH($D118,'卡片raw data'!$F:$F,)),0)+IF($P118=0,INDEX('卡片raw data'!X:X,MATCH($D118,'卡片raw data'!$F:$F,)),0)+IF($P118=1,INDEX('卡片raw data'!AA:AA,MATCH($D118,'卡片raw data'!$F:$F,)),0)+IF($P118=2,INDEX('卡片raw data'!AD:AD,MATCH($D118,'卡片raw data'!$F:$F,)),0)+IF($P118=3,INDEX('卡片raw data'!AG:AG,MATCH($D118,'卡片raw data'!$F:$F,)),0)+IF($P118=4,INDEX('卡片raw data'!AJ:AJ,MATCH($D118,'卡片raw data'!$F:$F,)),0)+IF($P118=5,INDEX('卡片raw data'!AM:AM,MATCH($D118,'卡片raw data'!$F:$F,)),0)+INDEX('卡片raw data'!U:U,MATCH($D118,'卡片raw data'!$F:$F,))*(IF($F118="UR",0.04,0.033))*(IF($F118="UR",INDEX(绊状态确认!$S:$S,MATCH($G118,绊状态确认!$B:$B,))/2-40)+IF($F118="SR",INDEX(绊状态确认!$R:$R,MATCH($G118,绊状态确认!$B:$B,))/4-15))+IF($F118="R",INDEX(绊状态确认!$Q:$Q,MATCH($G118,绊状态确认!$B:$B,))/6-40/6)))*(INDEX(绊状态确认!$H:$H,MATCH($G118,绊状态确认!$B:$B,))+INDEX(绊状态确认!L:L,MATCH($G118,绊状态确认!$B:$B,)))</f>
        <v>12527.673599999998</v>
      </c>
      <c r="AO118" s="1107">
        <f t="shared" si="109"/>
        <v>1</v>
      </c>
      <c r="AP118" s="1131">
        <f>1+(INDEX(绊状态确认!$T:$T,MATCH($G118,绊状态确认!$B:$B,))+0.2)*$AO118</f>
        <v>1.3</v>
      </c>
      <c r="AQ118" s="1108">
        <f t="shared" si="110"/>
        <v>27086.597973999997</v>
      </c>
      <c r="AR118" s="1097">
        <f>(AM118*(1+$EX$9)+$EX$35)*(1+(INDEX(绊状态确认!$T:$T,MATCH($G118,绊状态确认!$B:$B,))+0.2)*AO118)*IF(J118=$FF$17,1+$FE$17,1)*IF(I118=$FF$14,1+$FE$14,1)*(1+$FE$15)</f>
        <v>15953.051910639999</v>
      </c>
      <c r="AS118" s="1097">
        <f>(AN118*(1+$EX$10)+$EX$36)*(1+(INDEX(绊状态确认!$T:$T,MATCH($G118,绊状态确认!$B:$B,))+0.2)*AO118)*IF(J118=$FF$17,1+$FE$17,1)*IF(I118=$FF$14,1+$FE$14,1)*(1+$FE$15)</f>
        <v>22784.872031999999</v>
      </c>
      <c r="AT118" s="1093">
        <f>IF(AND(INDEX('卡片raw data'!AK:AK,MATCH($D118,'卡片raw data'!$F:$F,))&lt;INDEX('卡片raw data'!AM:AM,MATCH($D118,'卡片raw data'!$F:$F,)),INDEX('卡片raw data'!AL:AL,MATCH($D118,'卡片raw data'!$F:$F,))&lt;INDEX('卡片raw data'!AM:AM,MATCH($D118,'卡片raw data'!$F:$F,))),1,0)</f>
        <v>1</v>
      </c>
      <c r="AU118" s="1098">
        <f>MIN(AT118*0.15+AS118*0.00003+INDEX(绊状态确认!M:M,MATCH($G118,绊状态确认!$B:$B,)),1)</f>
        <v>0.86354616096000003</v>
      </c>
      <c r="AV118" s="1109">
        <f>(INDEX(绊状态确认!$N:$N,MATCH($G118,绊状态确认!$B:$B,))+1.5)*$EW$21</f>
        <v>2.6599999999999997</v>
      </c>
      <c r="AW118" s="1101">
        <f t="shared" si="111"/>
        <v>34232.671275995119</v>
      </c>
      <c r="AX118" s="1097">
        <f t="shared" si="112"/>
        <v>1377.9469342021994</v>
      </c>
      <c r="AY118" s="1110">
        <f t="shared" si="113"/>
        <v>35610.618210197317</v>
      </c>
      <c r="AZ118" s="429">
        <f t="shared" si="114"/>
        <v>20307.187066399998</v>
      </c>
      <c r="BA118" s="431">
        <f t="shared" si="115"/>
        <v>24368.624479679998</v>
      </c>
      <c r="BB118" s="1097">
        <f>(AM118*(1+$FB$9)+$FB$35)*(1+(INDEX(绊状态确认!$T:$T,MATCH($G118,绊状态确认!$B:$B,))+0.2)*AO118)*IF(J118=$FF$17,1+$FE$17,1)*IF(I118=$FF$14,1+$FE$14,1)*(1+$FE$15)</f>
        <v>15953.051910639999</v>
      </c>
      <c r="BC118" s="1097">
        <f>(AN118*(1+$FB$10)+$FB$36)*(1+(INDEX(绊状态确认!$T:$T,MATCH($G118,绊状态确认!$B:$B,))+0.2)*AO118)*IF(J118=$FF$17,1+$FE$17,1)*IF(I118=$FF$14,1+$FE$14,1)*(1+$FE$15)</f>
        <v>22784.872031999999</v>
      </c>
      <c r="BD118" s="1104">
        <f>MIN(AT118*0.15+BC118*0.00003+INDEX(绊状态确认!M:M,MATCH($G118,绊状态确认!$B:$B,)),1)</f>
        <v>0.86354616096000003</v>
      </c>
      <c r="BE118" s="432">
        <f>(INDEX(绊状态确认!$N:$N,MATCH($G118,绊状态确认!$B:$B,))+1.5)</f>
        <v>1.9</v>
      </c>
      <c r="BF118" s="1139">
        <f t="array" ref="BF118">SUMPRODUCT(IF(AZ118*AP118*$FI$16:$FI$23*$FA$22&gt;=$FI$24,$FI$24,AZ118*AP118*$FI$16:$FI$23*$FA$22),$FJ$16:$FJ$23)</f>
        <v>40390.995075069601</v>
      </c>
      <c r="BG118" s="1125">
        <f t="array" ref="BG118">SUMPRODUCT(IF(BE118*AZ118*AP118*$FI$16:$FI$23*$FA$22&gt;=$FI$24,$FI$24,BE118*AZ118*AP118*$FI$16:$FI$23*$FA$22),$FJ$16:$FJ$23)</f>
        <v>60000</v>
      </c>
      <c r="BH118" s="1110">
        <f t="shared" si="116"/>
        <v>19108.091999412994</v>
      </c>
      <c r="BI118" s="1111">
        <f>IF(O118="vo",$EW$26/$EW$24*0.05,0)+IF(O118="sk",-$EW$26/$EW$24*(0.05-INDEX(绊状态确认!W:W,MATCH($G118,绊状态确认!$B:$B,)))+0.05*$EW$28,0)+IF(O118="sp",0.05*$EW$32*$EW$30*(1-$EW$33)-(0.05-INDEX(绊状态确认!V:V,MATCH($G118,绊状态确认!$B:$B,)))*$EW$28,0)+IF(O118="gd",-(0.05-INDEX(绊状态确认!X:X,MATCH($G118,绊状态确认!$B:$B,)))*$EW$32*$EW$30*(1-$EW$33),0)</f>
        <v>19.999999999999886</v>
      </c>
      <c r="BJ118" s="1097">
        <f>IF(O118="vo",0.05*(1-$FI$26)*$FA$24,0)+IF(O118="sk",-(0.05-INDEX(绊状态确认!W:W,MATCH($G118,绊状态确认!$B:$B,)))*(1-$FI$26)*$FA$24+0.05*$FA$26,0)+IF(O118="sp",0.05*$FA$32*$FA$27*(1-$FA$33)/$FA$30+0.05*$FA$29/$FA$69*$FA$27*(1-$FA$33)-(0.05-INDEX(绊状态确认!V:V,MATCH($G118,绊状态确认!$B:$B,)))*$FA$26,0)+IF(O118="gd",-(0.05-INDEX(绊状态确认!X:X,MATCH($G118,绊状态确认!$B:$B,)))*$FA$32*$FA$27*(1-$FA$33)/$FA$30-(0.05-INDEX(绊状态确认!X:X,MATCH($G118,绊状态确认!$B:$B,)))*$FA$29/$FA$69*$FA$27*(1-$FA$33),0)</f>
        <v>545.83333333333326</v>
      </c>
      <c r="BK118" s="1110">
        <f>IF(O118="vo",$EW$26/$EW$24*0.05+$EW$26*(-HP($EW$62,$EW$65,$EW$64)+HP($EW$62,$EW$65,(1.05-INDEX(绊状态确认!U:U,MATCH($G118,绊状态确认!$B:$B,)))*$EW$64)),0)+IF(O118="sk",-$EW$26/$EW$24*(0.05-INDEX(绊状态确认!W:W,MATCH($G118,绊状态确认!$B:$B,)))+0.05*$EW$29,0)+IF(O118="sp",0.05*$EW$32*$EW$30*(1-$EW$33)-(0.05-INDEX(绊状态确认!V:V,MATCH($G118,绊状态确认!$B:$B,)))*$EW$29,0)+IF(O118="gd",-(0.05-INDEX(绊状态确认!X:X,MATCH($G118,绊状态确认!$B:$B,)))*$EW$32*$EW$30*(1-$EW$33)+$EW$26*(-HP($EW$62,$EW$65,$EW$64)+HP($EW$62,$EW$65,0.95*$EW$64)),0)</f>
        <v>-1780.0000000000005</v>
      </c>
      <c r="BL118" s="1111">
        <f t="shared" si="117"/>
        <v>0</v>
      </c>
      <c r="BM118" s="1110">
        <f t="shared" si="118"/>
        <v>0</v>
      </c>
      <c r="BN118" s="1113">
        <f t="shared" si="119"/>
        <v>3</v>
      </c>
      <c r="BO118" s="1097">
        <f t="shared" si="120"/>
        <v>4507.7214871259994</v>
      </c>
      <c r="BP118" s="1100">
        <f t="shared" si="121"/>
        <v>221.34103209030098</v>
      </c>
      <c r="BQ118" s="1113" t="s">
        <v>145</v>
      </c>
      <c r="BR118" s="1124" t="s">
        <v>147</v>
      </c>
      <c r="BS118" s="1098">
        <f>IF($P118="","N/A",IF($P118=-1,INDEX('卡片raw data'!AX:AX,MATCH($D118,'卡片raw data'!$F:$F,)),0)+IF($L118="party卡",IF($P118=5,INDEX('卡片raw data'!BD:BD,MATCH($D118,'卡片raw data'!$F:$F,)),IF($P118&gt;=3,INDEX('卡片raw data'!BC:BC,MATCH($D118,'卡片raw data'!$F:$F,)),INDEX('卡片raw data'!BB:BB,MATCH($D118,'卡片raw data'!$F:$F,)))),IF(OR(AND($F118="UR",$P118=0),AND($F118="SR",$P118&gt;=0,$P118&lt;=2),AND($F118="R",$P118&gt;=0,$P118&lt;4)),INDEX('卡片raw data'!AZ:AZ,MATCH($D118,'卡片raw data'!$F:$F,)),0)+IF(OR(AND($F118="UR",$P118&gt;=1,$P118&lt;=4),AND($F118="SR",$P118&lt;=4,$P118&gt;=3),AND($F118="R",$P118=4)),INDEX('卡片raw data'!BA:BA,MATCH($D118,'卡片raw data'!$F:$F,)),0)+IF($P118=5,INDEX('卡片raw data'!BB:BB,MATCH($D118,'卡片raw data'!$F:$F,)),0)))</f>
        <v>4.2000000000000003E-2</v>
      </c>
      <c r="BT118" s="1101">
        <f t="shared" si="122"/>
        <v>2971.3299858096102</v>
      </c>
      <c r="BU118" s="1097">
        <f t="shared" si="123"/>
        <v>214.92580204297263</v>
      </c>
      <c r="BV118" s="1097">
        <f t="shared" si="124"/>
        <v>2971.3299858096102</v>
      </c>
      <c r="BW118" s="1112">
        <f t="shared" si="125"/>
        <v>0</v>
      </c>
      <c r="BX118" s="1100">
        <f t="shared" si="126"/>
        <v>2971.3299858096102</v>
      </c>
      <c r="BY118" s="1110">
        <f t="shared" si="127"/>
        <v>2971.3299858096102</v>
      </c>
      <c r="BZ118" s="1107" t="s">
        <v>569</v>
      </c>
      <c r="CA118" s="1124"/>
      <c r="CB118" s="1098">
        <f>IF($P118="","N/A",IF($P118=-1,INDEX('卡片raw data'!BE:BE,MATCH($D118,'卡片raw data'!$F:$F,)),0)+IF($L118="party卡",IF($P118=5,INDEX('卡片raw data'!BK:BK,MATCH($D118,'卡片raw data'!$F:$F,)),IF($P118&gt;=3,INDEX('卡片raw data'!BJ:BJ,MATCH($D118,'卡片raw data'!$F:$F,)),INDEX('卡片raw data'!BI:BI,MATCH($D118,'卡片raw data'!$F:$F,)))),IF(OR(AND($F118="UR",$P118=0),AND($F118="SR",$P118&gt;=0,$P118&lt;=2),AND($F118="R",$P118&gt;=0,$P118&lt;4)),INDEX('卡片raw data'!BG:BG,MATCH($D118,'卡片raw data'!$F:$F,)),0)+IF(OR(AND($F118="UR",$P118&gt;=1,$P118&lt;=4),AND($F118="SR",$P118&lt;=4,$P118&gt;=3),AND($F118="R",$P118=4)),INDEX('卡片raw data'!BH:BH,MATCH($D118,'卡片raw data'!$F:$F,)),0)+IF($P118=5,INDEX('卡片raw data'!BI:BI,MATCH($D118,'卡片raw data'!$F:$F,)),0)))</f>
        <v>0</v>
      </c>
      <c r="CC118" s="1101">
        <f t="shared" si="128"/>
        <v>0</v>
      </c>
      <c r="CD118" s="1097">
        <f>IF(BZ118="ap",CB118*(1-$FI$26)*$FB$5/$FB$11*(+IF(CA118="全员",$FA$24,0)+IF(CA118="同作战",$FA$24,0)+IF(CA118="仲间",$FA$24*2/3,0)+IF(CA118="同属性",$FA$24*$FA$37/3,0)+IF(CA118="同年级",$FA$24*$FA$40/3,0)+IF(CA118="同学校",$FA$24*$FA$43/3,0)+IF(CA118="同小队",$FA$24*$FA$46/3,0)+IF(CA118="同type",$FA$24*INDEX($FB$49:$FB$52,MATCH(X118,$FA$49:$FA$52,))/3,0)+IF(CA118="自身",#REF!/3,0)),0)+IF(BZ118="te",CB118*(1-$FI$27)*($FA$20-1)*$FB$7/$FB$13*(+IF(CA118="全员",$FA$19*$FA$24/(1+($FA$20-1)*$FA$19),0)+IF(CA118="同作战",$FA$19*$FA$24/(1+($FA$20-1)*$FA$19),0)+IF(CA118="仲间",$FA$19*$FA$24*2/3/(1+($FA$20-1)*$FA$19),0)+IF(CA118="同属性",$FA$19*$FA$24*$FA$37/3/(1+($FA$20-1)*$FA$19),0)+IF(CA118="同年级",$FA$19*$FA$24*$FA$40/3/(1+($FA$20-1)*$FA$19),0)+IF(CA118="同学校",$FA$19*$FA$24*$FA$43/3/(1+($FA$20-1)*$FA$19),0)+IF(CA118="同小队",$FA$19*$FA$24*$FA$46/3/(1+($FA$20-1)*$FA$19),0)+IF(CA118="同type",$FA$19*$FA$24*INDEX($FB$49:$FB$52,MATCH(X118,$FA$49:$FA$52,))/3/(1+($FA$20-1)*$FA$19),0)+IF(CA118="自身",$FA$19*#REF!/3/(1+(BH118-1)*$BD118),0)),0)</f>
        <v>0</v>
      </c>
      <c r="CE118" s="1097">
        <f t="shared" si="129"/>
        <v>0</v>
      </c>
      <c r="CF118" s="1112">
        <f t="shared" si="130"/>
        <v>0</v>
      </c>
      <c r="CG118" s="1100">
        <f t="shared" si="131"/>
        <v>0</v>
      </c>
      <c r="CH118" s="1110">
        <f t="shared" si="132"/>
        <v>0</v>
      </c>
      <c r="CI118" s="1113" t="s">
        <v>165</v>
      </c>
      <c r="CJ118" s="1114">
        <v>0.3</v>
      </c>
      <c r="CK118" s="1115" t="s">
        <v>156</v>
      </c>
      <c r="CL118" s="1115" t="s">
        <v>1940</v>
      </c>
      <c r="CM118" s="1119">
        <v>0.1</v>
      </c>
      <c r="CN118" s="1115"/>
      <c r="CO118" s="1092"/>
      <c r="CP118" s="1116">
        <f t="shared" si="133"/>
        <v>2.9021354972142852</v>
      </c>
      <c r="CQ118" s="1116">
        <f t="shared" si="134"/>
        <v>4.6706530252719993</v>
      </c>
      <c r="CR118" s="1116">
        <f t="shared" si="135"/>
        <v>2.9021354972142852</v>
      </c>
      <c r="CS118" s="1118">
        <f t="shared" si="136"/>
        <v>0</v>
      </c>
      <c r="CT118" s="1109">
        <f t="shared" si="137"/>
        <v>4.7401546454499996</v>
      </c>
      <c r="CU118" s="1101">
        <f t="shared" si="138"/>
        <v>181.38346857589281</v>
      </c>
      <c r="CV118" s="1108">
        <f t="shared" si="139"/>
        <v>194.61054271966665</v>
      </c>
      <c r="CW118" s="1097">
        <f t="shared" si="140"/>
        <v>181.38346857589281</v>
      </c>
      <c r="CX118" s="1097">
        <f t="shared" si="141"/>
        <v>181.38346857589281</v>
      </c>
      <c r="CY118" s="1110">
        <f t="shared" si="142"/>
        <v>181.38346857589281</v>
      </c>
      <c r="CZ118" s="437"/>
      <c r="DA118" s="438"/>
      <c r="DB118" s="439" t="s">
        <v>569</v>
      </c>
      <c r="DC118" s="439"/>
      <c r="DD118" s="443"/>
      <c r="DE118" s="411"/>
      <c r="DF118" s="411"/>
      <c r="DG118" s="1116">
        <f t="shared" si="143"/>
        <v>0</v>
      </c>
      <c r="DH118" s="1116">
        <f t="shared" si="144"/>
        <v>0</v>
      </c>
      <c r="DI118" s="1116">
        <f t="shared" si="145"/>
        <v>0</v>
      </c>
      <c r="DJ118" s="442">
        <f t="shared" si="146"/>
        <v>0</v>
      </c>
      <c r="DK118" s="1109">
        <f t="shared" si="147"/>
        <v>0</v>
      </c>
      <c r="DL118" s="1101">
        <f t="shared" si="148"/>
        <v>0</v>
      </c>
      <c r="DM118" s="1097">
        <f t="shared" si="149"/>
        <v>0</v>
      </c>
      <c r="DN118" s="1097">
        <f t="shared" si="150"/>
        <v>0</v>
      </c>
      <c r="DO118" s="1097">
        <f t="shared" si="151"/>
        <v>0</v>
      </c>
      <c r="DP118" s="1110">
        <f t="shared" si="152"/>
        <v>0</v>
      </c>
      <c r="DQ118" s="1113" t="s">
        <v>256</v>
      </c>
      <c r="DR118" s="1120">
        <f t="shared" si="153"/>
        <v>0.33</v>
      </c>
      <c r="DS118" s="1124"/>
      <c r="DT118" s="1093" t="s">
        <v>132</v>
      </c>
      <c r="DU118" s="1093"/>
      <c r="DV118" s="1098">
        <f>IF($P118="","N/A",IF(P118=-1,INDEX('卡片raw data'!AN:AN,MATCH(D118,'卡片raw data'!$F:$F,)),0)+IF(AND(L118&lt;&gt;"party卡",P118&lt;=2,P118&gt;=0),INDEX('卡片raw data'!AP:AP,MATCH(D118,'卡片raw data'!$F:$F,)),0)+IF(OR(AND(L118="party卡",P118&lt;=1),AND(P118&lt;=4,L118&lt;&gt;"party卡",P118&gt;=3)),INDEX('卡片raw data'!AQ:AQ,MATCH(D118,'卡片raw data'!$F:$F,)),0)+IF(OR(P118=5,AND(L118="party卡",P118&gt;=2)),INDEX('卡片raw data'!AR:AR,MATCH(D118,'卡片raw data'!$F:$F,)),0))</f>
        <v>0.32</v>
      </c>
      <c r="DW118" s="1098">
        <f t="shared" si="154"/>
        <v>0.33</v>
      </c>
      <c r="DX118" s="1098">
        <f t="shared" si="155"/>
        <v>0.33</v>
      </c>
      <c r="DY118" s="1125">
        <f t="shared" si="156"/>
        <v>953.44824868479975</v>
      </c>
      <c r="DZ118" s="1125">
        <f t="shared" si="157"/>
        <v>741.97587815729662</v>
      </c>
      <c r="EA118" s="1098">
        <f t="shared" si="158"/>
        <v>0</v>
      </c>
      <c r="EB118" s="1121">
        <f t="shared" si="159"/>
        <v>0</v>
      </c>
      <c r="EC118" s="1101">
        <f t="shared" si="160"/>
        <v>1363.4309956192637</v>
      </c>
      <c r="ED118" s="1097">
        <f t="shared" si="161"/>
        <v>0</v>
      </c>
      <c r="EE118" s="1110">
        <f t="shared" si="162"/>
        <v>1363.4309956192637</v>
      </c>
      <c r="EF118" s="1092" t="s">
        <v>711</v>
      </c>
      <c r="EG118" s="1120">
        <f t="shared" si="163"/>
        <v>0.33</v>
      </c>
      <c r="EH118" s="1124"/>
      <c r="EI118" s="1093"/>
      <c r="EJ118" s="1093"/>
      <c r="EK118" s="1097">
        <f>IF($P118="","N/A",IF(P118=-1,INDEX('卡片raw data'!AS:AS,MATCH(D118,'卡片raw data'!$F:$F,)),0)+IF(AND(L118&lt;&gt;"party卡",P118&lt;=2,P118&gt;=0),INDEX('卡片raw data'!AU:AU,MATCH(D118,'卡片raw data'!$F:$F,)),0)+IF(OR(AND(L118="party卡",P118&lt;=1),AND(P118&lt;=4,L118&lt;&gt;"party卡",P118&gt;=3)),INDEX('卡片raw data'!AV:AV,MATCH(D118,'卡片raw data'!$F:$F,)),0)+IF(OR(P118=5,AND(L118="party卡",P118&gt;=2)),INDEX('卡片raw data'!AW:AW,MATCH(D118,'卡片raw data'!$F:$F,)),0))</f>
        <v>0</v>
      </c>
      <c r="EL118" s="1098">
        <f t="shared" si="164"/>
        <v>0.33</v>
      </c>
      <c r="EM118" s="1098">
        <f t="shared" si="165"/>
        <v>0.33</v>
      </c>
      <c r="EN118" s="1125">
        <f t="shared" si="166"/>
        <v>0</v>
      </c>
      <c r="EO118" s="1125">
        <f t="shared" si="167"/>
        <v>0</v>
      </c>
      <c r="EP118" s="1098">
        <f t="shared" si="168"/>
        <v>0</v>
      </c>
      <c r="EQ118" s="1121">
        <f t="shared" si="169"/>
        <v>0</v>
      </c>
      <c r="ER118" s="1101">
        <f t="shared" si="170"/>
        <v>0</v>
      </c>
      <c r="ES118" s="1097">
        <f t="shared" si="171"/>
        <v>0</v>
      </c>
      <c r="ET118" s="1122">
        <f t="shared" si="172"/>
        <v>0</v>
      </c>
    </row>
    <row r="119" spans="2:150" ht="16.5" customHeight="1">
      <c r="B119" s="1123" t="str">
        <f>INDEX('卡片raw data'!B:B,MATCH($D119,'卡片raw data'!$F:$F,))</f>
        <v>sh凛</v>
      </c>
      <c r="C119" s="449" t="s">
        <v>66</v>
      </c>
      <c r="D119" s="408">
        <v>116</v>
      </c>
      <c r="E119" s="1090">
        <v>300052001</v>
      </c>
      <c r="F119" s="1090" t="str">
        <f>INDEX('卡片raw data'!C:C,MATCH($D119,'卡片raw data'!$F:$F,))</f>
        <v>SR</v>
      </c>
      <c r="G119" s="1094" t="s">
        <v>335</v>
      </c>
      <c r="H119" s="411">
        <f>IFERROR(INDEX(绊状态确认!C:C,MATCH($G119,绊状态确认!$B:$B,)),"")</f>
        <v>5</v>
      </c>
      <c r="I119" s="1124" t="str">
        <f>IFERROR(INDEX(绊状态确认!D:D,MATCH($G119,绊状态确认!$B:$B,)),"")</f>
        <v>缪</v>
      </c>
      <c r="J119" s="1124" t="str">
        <f>IFERROR(INDEX(绊状态确认!E:E,MATCH($G119,绊状态确认!$B:$B,)),"")</f>
        <v>1年级</v>
      </c>
      <c r="K119" s="451" t="str">
        <f>IFERROR(INDEX(绊状态确认!F:F,MATCH($G119,绊状态确认!$B:$B,)),"")</f>
        <v>lilywhite</v>
      </c>
      <c r="L119" s="1094" t="str">
        <f>INDEX('卡片raw data'!E:E,MATCH($D119,'卡片raw data'!$F:$F,))</f>
        <v>卡池卡</v>
      </c>
      <c r="M119" s="415">
        <v>43775</v>
      </c>
      <c r="N119" s="416">
        <v>3</v>
      </c>
      <c r="O119" s="1091" t="str">
        <f>INDEX('卡片raw data'!D:D,MATCH($D119,'卡片raw data'!$F:$F,))</f>
        <v>sk</v>
      </c>
      <c r="P119" s="417">
        <v>5</v>
      </c>
      <c r="Q119" s="1095">
        <f t="shared" si="88"/>
        <v>24719.074754181984</v>
      </c>
      <c r="R119" s="1096">
        <f t="shared" si="89"/>
        <v>0.28699999999999998</v>
      </c>
      <c r="S119" s="1097">
        <f t="shared" si="90"/>
        <v>16427.147723224574</v>
      </c>
      <c r="T119" s="1098">
        <f t="shared" si="91"/>
        <v>0.82099999999999995</v>
      </c>
      <c r="U119" s="1099">
        <f t="shared" si="92"/>
        <v>12.188400196272857</v>
      </c>
      <c r="V119" s="1100">
        <f t="shared" si="93"/>
        <v>27691.786082473511</v>
      </c>
      <c r="W119" s="1101">
        <f t="shared" si="94"/>
        <v>4794.3528325805446</v>
      </c>
      <c r="X119" s="1096">
        <f t="shared" si="95"/>
        <v>5.5E-2</v>
      </c>
      <c r="Y119" s="1097">
        <f t="shared" si="96"/>
        <v>972.71132829152793</v>
      </c>
      <c r="Z119" s="1102">
        <f t="shared" si="97"/>
        <v>12.188400196272857</v>
      </c>
      <c r="AA119" s="1103">
        <f t="shared" si="98"/>
        <v>5767.0641608720725</v>
      </c>
      <c r="AB119" s="1101">
        <f t="shared" si="99"/>
        <v>8331.6504347348437</v>
      </c>
      <c r="AC119" s="1104">
        <f t="shared" si="100"/>
        <v>9.6000000000000002E-2</v>
      </c>
      <c r="AD119" s="1105">
        <f t="shared" si="101"/>
        <v>2.5264825931818179E-2</v>
      </c>
      <c r="AE119" s="1128">
        <f t="shared" si="102"/>
        <v>56.589717540562198</v>
      </c>
      <c r="AF119" s="1130">
        <f t="shared" si="103"/>
        <v>0</v>
      </c>
      <c r="AG119" s="420">
        <f t="shared" si="104"/>
        <v>0</v>
      </c>
      <c r="AH119" s="420">
        <f t="shared" si="105"/>
        <v>0</v>
      </c>
      <c r="AI119" s="1097">
        <f t="shared" si="106"/>
        <v>0</v>
      </c>
      <c r="AJ119" s="420">
        <f t="shared" si="107"/>
        <v>0</v>
      </c>
      <c r="AK119" s="518">
        <f t="shared" si="108"/>
        <v>0</v>
      </c>
      <c r="AL119" s="1106">
        <f>IF($P119="","N/A",(IF($P119=-1,INDEX('卡片raw data'!S:S,MATCH($D119,'卡片raw data'!$F:$F,)),0)+IF($P119=0,INDEX('卡片raw data'!V:V,MATCH($D119,'卡片raw data'!$F:$F,)),0)+IF($P119=1,INDEX('卡片raw data'!Y:Y,MATCH($D119,'卡片raw data'!$F:$F,)),0)+IF($P119=2,INDEX('卡片raw data'!AB:AB,MATCH($D119,'卡片raw data'!$F:$F,)),0)+IF($P119=3,INDEX('卡片raw data'!AE:AE,MATCH($D119,'卡片raw data'!$F:$F,)),0)+IF($P119=4,INDEX('卡片raw data'!AH:AH,MATCH($D119,'卡片raw data'!$F:$F,)),0)+IF($P119=5,INDEX('卡片raw data'!AK:AK,MATCH($D119,'卡片raw data'!$F:$F,)),0)+INDEX('卡片raw data'!S:S,MATCH($D119,'卡片raw data'!$F:$F,))*(IF($F119="UR",0.04,0.033))*(IF($F119="UR",INDEX(绊状态确认!$S:$S,MATCH($G119,绊状态确认!$B:$B,))/2-40)+IF($F119="SR",INDEX(绊状态确认!$R:$R,MATCH($G119,绊状态确认!$B:$B,))/4-15))+IF($F119="R",INDEX(绊状态确认!$Q:$Q,MATCH($G119,绊状态确认!$B:$B,))/6-40/6)))*(INDEX(绊状态确认!$H:$H,MATCH($G119,绊状态确认!$B:$B,))+INDEX(绊状态确认!J:J,MATCH($G119,绊状态确认!$B:$B,)))</f>
        <v>6352.9964711999992</v>
      </c>
      <c r="AM119" s="1106">
        <f>IF($P119="","N/A",(IF($P119=-1,INDEX('卡片raw data'!T:T,MATCH($D119,'卡片raw data'!$F:$F,)),0)+IF($P119=0,INDEX('卡片raw data'!W:W,MATCH($D119,'卡片raw data'!$F:$F,)),0)+IF($P119=1,INDEX('卡片raw data'!Z:Z,MATCH($D119,'卡片raw data'!$F:$F,)),0)+IF($P119=2,INDEX('卡片raw data'!AC:AC,MATCH($D119,'卡片raw data'!$F:$F,)),0)+IF($P119=3,INDEX('卡片raw data'!AF:AF,MATCH($D119,'卡片raw data'!$F:$F,)),0)+IF($P119=4,INDEX('卡片raw data'!AI:AI,MATCH($D119,'卡片raw data'!$F:$F,)),0)+IF($P119=5,INDEX('卡片raw data'!AL:AL,MATCH($D119,'卡片raw data'!$F:$F,)),0)+INDEX('卡片raw data'!T:T,MATCH($D119,'卡片raw data'!$F:$F,))*(IF($F119="UR",0.04,0.033))*(IF($F119="UR",INDEX(绊状态确认!$S:$S,MATCH($G119,绊状态确认!$B:$B,))/2-40)+IF($F119="SR",INDEX(绊状态确认!$R:$R,MATCH($G119,绊状态确认!$B:$B,))/4-15))+IF($F119="R",INDEX(绊状态确认!$Q:$Q,MATCH($G119,绊状态确认!$B:$B,))/6-40/6)))*(INDEX(绊状态确认!$H:$H,MATCH($G119,绊状态确认!$B:$B,))+INDEX(绊状态确认!K:K,MATCH($G119,绊状态确认!$B:$B,)))</f>
        <v>6352.9964711999992</v>
      </c>
      <c r="AN119" s="1106">
        <f>IF($P119="","N/A",(IF($P119=-1,INDEX('卡片raw data'!U:U,MATCH($D119,'卡片raw data'!$F:$F,)),0)+IF($P119=0,INDEX('卡片raw data'!X:X,MATCH($D119,'卡片raw data'!$F:$F,)),0)+IF($P119=1,INDEX('卡片raw data'!AA:AA,MATCH($D119,'卡片raw data'!$F:$F,)),0)+IF($P119=2,INDEX('卡片raw data'!AD:AD,MATCH($D119,'卡片raw data'!$F:$F,)),0)+IF($P119=3,INDEX('卡片raw data'!AG:AG,MATCH($D119,'卡片raw data'!$F:$F,)),0)+IF($P119=4,INDEX('卡片raw data'!AJ:AJ,MATCH($D119,'卡片raw data'!$F:$F,)),0)+IF($P119=5,INDEX('卡片raw data'!AM:AM,MATCH($D119,'卡片raw data'!$F:$F,)),0)+INDEX('卡片raw data'!U:U,MATCH($D119,'卡片raw data'!$F:$F,))*(IF($F119="UR",0.04,0.033))*(IF($F119="UR",INDEX(绊状态确认!$S:$S,MATCH($G119,绊状态确认!$B:$B,))/2-40)+IF($F119="SR",INDEX(绊状态确认!$R:$R,MATCH($G119,绊状态确认!$B:$B,))/4-15))+IF($F119="R",INDEX(绊状态确认!$Q:$Q,MATCH($G119,绊状态确认!$B:$B,))/6-40/6)))*(INDEX(绊状态确认!$H:$H,MATCH($G119,绊状态确认!$B:$B,))+INDEX(绊状态确认!L:L,MATCH($G119,绊状态确认!$B:$B,)))</f>
        <v>6545.3139887999996</v>
      </c>
      <c r="AO119" s="1107">
        <f t="shared" si="109"/>
        <v>1</v>
      </c>
      <c r="AP119" s="1131">
        <f>1+(INDEX(绊状态确认!$T:$T,MATCH($G119,绊状态确认!$B:$B,))+0.2)*$AO119</f>
        <v>1.3</v>
      </c>
      <c r="AQ119" s="1108">
        <f t="shared" si="110"/>
        <v>19926.615736899999</v>
      </c>
      <c r="AR119" s="1097">
        <f>(AM119*(1+$EX$9)+$EX$35)*(1+(INDEX(绊状态确认!$T:$T,MATCH($G119,绊状态确认!$B:$B,))+0.2)*AO119)*IF(J119=$FF$17,1+$FE$17,1)*IF(I119=$FF$14,1+$FE$14,1)</f>
        <v>11375.840183188</v>
      </c>
      <c r="AS119" s="1097">
        <f>(AN119*(1+$EX$10)+$EX$36)*(1+(INDEX(绊状态确认!$T:$T,MATCH($G119,绊状态确认!$B:$B,))+0.2)*AO119)*IF(J119=$FF$17,1+$FE$17,1)*IF(I119=$FF$14,1+$FE$14,1)</f>
        <v>13841.244413255999</v>
      </c>
      <c r="AT119" s="1093">
        <f>IF(AND(INDEX('卡片raw data'!AK:AK,MATCH($D119,'卡片raw data'!$F:$F,))&lt;INDEX('卡片raw data'!AM:AM,MATCH($D119,'卡片raw data'!$F:$F,)),INDEX('卡片raw data'!AL:AL,MATCH($D119,'卡片raw data'!$F:$F,))&lt;INDEX('卡片raw data'!AM:AM,MATCH($D119,'卡片raw data'!$F:$F,))),1,0)</f>
        <v>1</v>
      </c>
      <c r="AU119" s="1098">
        <f>MIN(AT119*0.15+AS119*0.00003+INDEX(绊状态确认!M:M,MATCH($G119,绊状态确认!$B:$B,)),1)</f>
        <v>0.59523733239768006</v>
      </c>
      <c r="AV119" s="1109">
        <f>(INDEX(绊状态确认!$N:$N,MATCH($G119,绊状态确认!$B:$B,))+1.5)*$EW$21</f>
        <v>2.6599999999999997</v>
      </c>
      <c r="AW119" s="1101">
        <f t="shared" si="111"/>
        <v>20574.430287750409</v>
      </c>
      <c r="AX119" s="1097">
        <f t="shared" si="112"/>
        <v>972.71132829152839</v>
      </c>
      <c r="AY119" s="1110">
        <f t="shared" si="113"/>
        <v>21547.141616041936</v>
      </c>
      <c r="AZ119" s="429">
        <f t="shared" si="114"/>
        <v>14988.343118839997</v>
      </c>
      <c r="BA119" s="431">
        <f t="shared" si="115"/>
        <v>17986.011742607996</v>
      </c>
      <c r="BB119" s="1097">
        <f>(AM119*(1+$FB$9)+$FB$35)*(1+(INDEX(绊状态确认!$T:$T,MATCH($G119,绊状态确认!$B:$B,))+0.2)*AO119)*IF(J119=$FF$17,1+$FE$17,1)*IF(I119=$FF$14,1+$FE$14,1)*(1+$FE$15)</f>
        <v>11375.840183188</v>
      </c>
      <c r="BC119" s="1097">
        <f>(AN119*(1+$FB$10)+$FB$36)*(1+(INDEX(绊状态确认!$T:$T,MATCH($G119,绊状态确认!$B:$B,))+0.2)*AO119)*IF(J119=$FF$17,1+$FE$17,1)*IF(I119=$FF$14,1+$FE$14,1)*(1+$FE$15)</f>
        <v>13841.244413255999</v>
      </c>
      <c r="BD119" s="1104">
        <f>MIN(AT119*0.15+BC119*0.00003+INDEX(绊状态确认!M:M,MATCH($G119,绊状态确认!$B:$B,)),1)</f>
        <v>0.59523733239768006</v>
      </c>
      <c r="BE119" s="432">
        <f>(INDEX(绊状态确认!$N:$N,MATCH($G119,绊状态确认!$B:$B,))+1.5)</f>
        <v>1.9</v>
      </c>
      <c r="BF119" s="1139">
        <f t="array" ref="BF119">SUMPRODUCT(IF(AZ119*AP119*$FI$16:$FI$23*$FA$22&gt;=$FI$24,$FI$24,AZ119*AP119*$FI$16:$FI$23*$FA$22),$FJ$16:$FJ$23)</f>
        <v>29811.814463372757</v>
      </c>
      <c r="BG119" s="1125">
        <f t="array" ref="BG119">SUMPRODUCT(IF(BE119*AZ119*AP119*$FI$16:$FI$23*$FA$22&gt;=$FI$24,$FI$24,BE119*AZ119*AP119*$FI$16:$FI$23*$FA$22),$FJ$16:$FJ$23)</f>
        <v>54650.995428499446</v>
      </c>
      <c r="BH119" s="1110">
        <f t="shared" si="116"/>
        <v>14865.674093332666</v>
      </c>
      <c r="BI119" s="1111">
        <f>IF(O119="vo",$EW$26/$EW$24*0.05,0)+IF(O119="sk",-$EW$26/$EW$24*(0.05-INDEX(绊状态确认!W:W,MATCH($G119,绊状态确认!$B:$B,)))+0.05*$EW$28,0)+IF(O119="sp",0.05*$EW$32*$EW$30*(1-$EW$33)-(0.05-INDEX(绊状态确认!V:V,MATCH($G119,绊状态确认!$B:$B,)))*$EW$28,0)+IF(O119="gd",-(0.05-INDEX(绊状态确认!X:X,MATCH($G119,绊状态确认!$B:$B,)))*$EW$32*$EW$30*(1-$EW$33),0)</f>
        <v>-6253.6726349699375</v>
      </c>
      <c r="BJ119" s="1097">
        <f>IF(O119="vo",0.05*(1-$FI$26)*$FA$24,0)+IF(O119="sk",-(0.05-INDEX(绊状态确认!W:W,MATCH($G119,绊状态确认!$B:$B,)))*(1-$FI$26)*$FA$24+0.05*$FA$26,0)+IF(O119="sp",0.05*$FA$32*$FA$27*(1-$FA$33)/$FA$30+0.05*$FA$29/$FA$69*$FA$27*(1-$FA$33)-(0.05-INDEX(绊状态确认!V:V,MATCH($G119,绊状态确认!$B:$B,)))*$FA$26,0)+IF(O119="gd",-(0.05-INDEX(绊状态确认!X:X,MATCH($G119,绊状态确认!$B:$B,)))*$FA$32*$FA$27*(1-$FA$33)/$FA$30-(0.05-INDEX(绊状态确认!X:X,MATCH($G119,绊状态确认!$B:$B,)))*$FA$29/$FA$69*$FA$27*(1-$FA$33),0)</f>
        <v>20.459096812499922</v>
      </c>
      <c r="BK119" s="1110">
        <f>IF(O119="vo",$EW$26/$EW$24*0.05+$EW$26*(-HP($EW$62,$EW$65,$EW$64)+HP($EW$62,$EW$65,(1.05-INDEX(绊状态确认!U:U,MATCH($G119,绊状态确认!$B:$B,)))*$EW$64)),0)+IF(O119="sk",-$EW$26/$EW$24*(0.05-INDEX(绊状态确认!W:W,MATCH($G119,绊状态确认!$B:$B,)))+0.05*$EW$29,0)+IF(O119="sp",0.05*$EW$32*$EW$30*(1-$EW$33)-(0.05-INDEX(绊状态确认!V:V,MATCH($G119,绊状态确认!$B:$B,)))*$EW$29,0)+IF(O119="gd",-(0.05-INDEX(绊状态确认!X:X,MATCH($G119,绊状态确认!$B:$B,)))*$EW$32*$EW$30*(1-$EW$33)+$EW$26*(-HP($EW$62,$EW$65,$EW$64)+HP($EW$62,$EW$65,0.95*$EW$64)),0)</f>
        <v>-4253.6726349699375</v>
      </c>
      <c r="BL119" s="1111">
        <f t="shared" si="117"/>
        <v>-1083.3333333333333</v>
      </c>
      <c r="BM119" s="1110">
        <f t="shared" si="118"/>
        <v>-830.55555555555543</v>
      </c>
      <c r="BN119" s="1113">
        <f t="shared" si="119"/>
        <v>3</v>
      </c>
      <c r="BO119" s="1097">
        <f t="shared" si="120"/>
        <v>4507.7214871259994</v>
      </c>
      <c r="BP119" s="1100">
        <f t="shared" si="121"/>
        <v>221.34103209030098</v>
      </c>
      <c r="BQ119" s="1113" t="s">
        <v>626</v>
      </c>
      <c r="BR119" s="1124" t="s">
        <v>168</v>
      </c>
      <c r="BS119" s="1098">
        <f>IF($P119="","N/A",IF($P119=-1,INDEX('卡片raw data'!AX:AX,MATCH($D119,'卡片raw data'!$F:$F,)),0)+IF($L119="party卡",IF($P119=5,INDEX('卡片raw data'!BD:BD,MATCH($D119,'卡片raw data'!$F:$F,)),IF($P119&gt;=3,INDEX('卡片raw data'!BC:BC,MATCH($D119,'卡片raw data'!$F:$F,)),INDEX('卡片raw data'!BB:BB,MATCH($D119,'卡片raw data'!$F:$F,)))),IF(OR(AND($F119="UR",$P119=0),AND($F119="SR",$P119&gt;=0,$P119&lt;=2),AND($F119="R",$P119&gt;=0,$P119&lt;4)),INDEX('卡片raw data'!AZ:AZ,MATCH($D119,'卡片raw data'!$F:$F,)),0)+IF(OR(AND($F119="UR",$P119&gt;=1,$P119&lt;=4),AND($F119="SR",$P119&lt;=4,$P119&gt;=3),AND($F119="R",$P119=4)),INDEX('卡片raw data'!BA:BA,MATCH($D119,'卡片raw data'!$F:$F,)),0)+IF($P119=5,INDEX('卡片raw data'!BB:BB,MATCH($D119,'卡片raw data'!$F:$F,)),0)))</f>
        <v>0.05</v>
      </c>
      <c r="BT119" s="1101">
        <f t="shared" si="122"/>
        <v>3537.2976021542986</v>
      </c>
      <c r="BU119" s="1097">
        <f t="shared" si="123"/>
        <v>255.86405005115788</v>
      </c>
      <c r="BV119" s="1097">
        <f t="shared" si="124"/>
        <v>0</v>
      </c>
      <c r="BW119" s="1112">
        <f t="shared" si="125"/>
        <v>0</v>
      </c>
      <c r="BX119" s="1100">
        <f t="shared" si="126"/>
        <v>3537.2976021542986</v>
      </c>
      <c r="BY119" s="1110">
        <f t="shared" si="127"/>
        <v>0</v>
      </c>
      <c r="BZ119" s="1107" t="s">
        <v>569</v>
      </c>
      <c r="CA119" s="1124"/>
      <c r="CB119" s="1098">
        <f>IF($P119="","N/A",IF($P119=-1,INDEX('卡片raw data'!BE:BE,MATCH($D119,'卡片raw data'!$F:$F,)),0)+IF($L119="party卡",IF($P119=5,INDEX('卡片raw data'!BK:BK,MATCH($D119,'卡片raw data'!$F:$F,)),IF($P119&gt;=3,INDEX('卡片raw data'!BJ:BJ,MATCH($D119,'卡片raw data'!$F:$F,)),INDEX('卡片raw data'!BI:BI,MATCH($D119,'卡片raw data'!$F:$F,)))),IF(OR(AND($F119="UR",$P119=0),AND($F119="SR",$P119&gt;=0,$P119&lt;=2),AND($F119="R",$P119&gt;=0,$P119&lt;4)),INDEX('卡片raw data'!BG:BG,MATCH($D119,'卡片raw data'!$F:$F,)),0)+IF(OR(AND($F119="UR",$P119&gt;=1,$P119&lt;=4),AND($F119="SR",$P119&lt;=4,$P119&gt;=3),AND($F119="R",$P119=4)),INDEX('卡片raw data'!BH:BH,MATCH($D119,'卡片raw data'!$F:$F,)),0)+IF($P119=5,INDEX('卡片raw data'!BI:BI,MATCH($D119,'卡片raw data'!$F:$F,)),0)))</f>
        <v>0</v>
      </c>
      <c r="CC119" s="1101">
        <f t="shared" si="128"/>
        <v>0</v>
      </c>
      <c r="CD119" s="1097">
        <f>IF(BZ119="ap",CB119*(1-$FI$26)*$FB$5/$FB$11*(+IF(CA119="全员",$FA$24,0)+IF(CA119="同作战",$FA$24,0)+IF(CA119="仲间",$FA$24*2/3,0)+IF(CA119="同属性",$FA$24*$FA$37/3,0)+IF(CA119="同年级",$FA$24*$FA$40/3,0)+IF(CA119="同学校",$FA$24*$FA$43/3,0)+IF(CA119="同小队",$FA$24*$FA$46/3,0)+IF(CA119="同type",$FA$24*INDEX($FB$49:$FB$52,MATCH(X119,$FA$49:$FA$52,))/3,0)+IF(CA119="自身",#REF!/3,0)),0)+IF(BZ119="te",CB119*(1-$FI$27)*($FA$20-1)*$FB$7/$FB$13*(+IF(CA119="全员",$FA$19*$FA$24/(1+($FA$20-1)*$FA$19),0)+IF(CA119="同作战",$FA$19*$FA$24/(1+($FA$20-1)*$FA$19),0)+IF(CA119="仲间",$FA$19*$FA$24*2/3/(1+($FA$20-1)*$FA$19),0)+IF(CA119="同属性",$FA$19*$FA$24*$FA$37/3/(1+($FA$20-1)*$FA$19),0)+IF(CA119="同年级",$FA$19*$FA$24*$FA$40/3/(1+($FA$20-1)*$FA$19),0)+IF(CA119="同学校",$FA$19*$FA$24*$FA$43/3/(1+($FA$20-1)*$FA$19),0)+IF(CA119="同小队",$FA$19*$FA$24*$FA$46/3/(1+($FA$20-1)*$FA$19),0)+IF(CA119="同type",$FA$19*$FA$24*INDEX($FB$49:$FB$52,MATCH(X119,$FA$49:$FA$52,))/3/(1+($FA$20-1)*$FA$19),0)+IF(CA119="自身",$FA$19*#REF!/3/(1+(BH119-1)*$BD119),0)),0)</f>
        <v>0</v>
      </c>
      <c r="CE119" s="1097">
        <f t="shared" si="129"/>
        <v>0</v>
      </c>
      <c r="CF119" s="1112">
        <f t="shared" si="130"/>
        <v>0</v>
      </c>
      <c r="CG119" s="1100">
        <f t="shared" si="131"/>
        <v>0</v>
      </c>
      <c r="CH119" s="1110">
        <f t="shared" si="132"/>
        <v>0</v>
      </c>
      <c r="CI119" s="1113" t="s">
        <v>162</v>
      </c>
      <c r="CJ119" s="1114">
        <v>0.3</v>
      </c>
      <c r="CK119" s="1115" t="s">
        <v>561</v>
      </c>
      <c r="CL119" s="1115" t="s">
        <v>161</v>
      </c>
      <c r="CM119" s="1119">
        <v>1.2E-2</v>
      </c>
      <c r="CN119" s="1115" t="s">
        <v>572</v>
      </c>
      <c r="CO119" s="1092">
        <v>1</v>
      </c>
      <c r="CP119" s="1118">
        <f t="shared" si="133"/>
        <v>6.7563102857142853E-3</v>
      </c>
      <c r="CQ119" s="1118">
        <f t="shared" si="134"/>
        <v>6.7563102857142853E-3</v>
      </c>
      <c r="CR119" s="1118">
        <f t="shared" si="135"/>
        <v>6.7563102857142853E-3</v>
      </c>
      <c r="CS119" s="1118">
        <f t="shared" si="136"/>
        <v>6.2706014999999969E-3</v>
      </c>
      <c r="CT119" s="1109">
        <f t="shared" si="137"/>
        <v>0</v>
      </c>
      <c r="CU119" s="1101">
        <f t="shared" si="138"/>
        <v>286.6313454545454</v>
      </c>
      <c r="CV119" s="1108">
        <f t="shared" si="139"/>
        <v>153.55250649350648</v>
      </c>
      <c r="CW119" s="1097">
        <f t="shared" si="140"/>
        <v>286.6313454545454</v>
      </c>
      <c r="CX119" s="1097">
        <f t="shared" si="141"/>
        <v>286.6313454545454</v>
      </c>
      <c r="CY119" s="1110">
        <f t="shared" si="142"/>
        <v>286.6313454545454</v>
      </c>
      <c r="CZ119" s="437"/>
      <c r="DA119" s="438"/>
      <c r="DB119" s="439" t="s">
        <v>569</v>
      </c>
      <c r="DC119" s="439"/>
      <c r="DD119" s="443"/>
      <c r="DE119" s="411"/>
      <c r="DF119" s="411"/>
      <c r="DG119" s="1116">
        <f t="shared" si="143"/>
        <v>0</v>
      </c>
      <c r="DH119" s="1116">
        <f t="shared" si="144"/>
        <v>0</v>
      </c>
      <c r="DI119" s="1116">
        <f t="shared" si="145"/>
        <v>0</v>
      </c>
      <c r="DJ119" s="442">
        <f t="shared" si="146"/>
        <v>0</v>
      </c>
      <c r="DK119" s="1109">
        <f t="shared" si="147"/>
        <v>0</v>
      </c>
      <c r="DL119" s="1101">
        <f t="shared" si="148"/>
        <v>0</v>
      </c>
      <c r="DM119" s="1097">
        <f t="shared" si="149"/>
        <v>0</v>
      </c>
      <c r="DN119" s="1097">
        <f t="shared" si="150"/>
        <v>0</v>
      </c>
      <c r="DO119" s="1097">
        <f t="shared" si="151"/>
        <v>0</v>
      </c>
      <c r="DP119" s="1110">
        <f t="shared" si="152"/>
        <v>0</v>
      </c>
      <c r="DQ119" s="1113" t="s">
        <v>549</v>
      </c>
      <c r="DR119" s="1120">
        <f t="shared" si="153"/>
        <v>0.3</v>
      </c>
      <c r="DS119" s="1124"/>
      <c r="DT119" s="1093" t="s">
        <v>179</v>
      </c>
      <c r="DU119" s="1093"/>
      <c r="DV119" s="1098">
        <f>IF($P119="","N/A",IF(P119=-1,INDEX('卡片raw data'!AN:AN,MATCH(D119,'卡片raw data'!$F:$F,)),0)+IF(AND(L119&lt;&gt;"party卡",P119&lt;=2,P119&gt;=0),INDEX('卡片raw data'!AP:AP,MATCH(D119,'卡片raw data'!$F:$F,)),0)+IF(OR(AND(L119="party卡",P119&lt;=1),AND(P119&lt;=4,L119&lt;&gt;"party卡",P119&gt;=3)),INDEX('卡片raw data'!AQ:AQ,MATCH(D119,'卡片raw data'!$F:$F,)),0)+IF(OR(P119=5,AND(L119="party卡",P119&gt;=2)),INDEX('卡片raw data'!AR:AR,MATCH(D119,'卡片raw data'!$F:$F,)),0))</f>
        <v>7.0000000000000007E-2</v>
      </c>
      <c r="DW119" s="1098">
        <f t="shared" si="154"/>
        <v>0.3</v>
      </c>
      <c r="DX119" s="1098">
        <f t="shared" si="155"/>
        <v>0.3</v>
      </c>
      <c r="DY119" s="1098">
        <f t="shared" si="156"/>
        <v>7.0000000000000001E-3</v>
      </c>
      <c r="DZ119" s="1098">
        <f t="shared" si="157"/>
        <v>6.9632499999999998E-3</v>
      </c>
      <c r="EA119" s="1098">
        <f t="shared" si="158"/>
        <v>0</v>
      </c>
      <c r="EB119" s="1121">
        <f t="shared" si="159"/>
        <v>49.18549999999999</v>
      </c>
      <c r="EC119" s="1101">
        <f t="shared" si="160"/>
        <v>3150</v>
      </c>
      <c r="ED119" s="1097">
        <f t="shared" si="161"/>
        <v>1740.8125</v>
      </c>
      <c r="EE119" s="1110">
        <f t="shared" si="162"/>
        <v>3150</v>
      </c>
      <c r="EF119" s="1092" t="s">
        <v>711</v>
      </c>
      <c r="EG119" s="1120">
        <f t="shared" si="163"/>
        <v>0.3</v>
      </c>
      <c r="EH119" s="1124"/>
      <c r="EI119" s="1093"/>
      <c r="EJ119" s="1093"/>
      <c r="EK119" s="1097">
        <f>IF($P119="","N/A",IF(P119=-1,INDEX('卡片raw data'!AS:AS,MATCH(D119,'卡片raw data'!$F:$F,)),0)+IF(AND(L119&lt;&gt;"party卡",P119&lt;=2,P119&gt;=0),INDEX('卡片raw data'!AU:AU,MATCH(D119,'卡片raw data'!$F:$F,)),0)+IF(OR(AND(L119="party卡",P119&lt;=1),AND(P119&lt;=4,L119&lt;&gt;"party卡",P119&gt;=3)),INDEX('卡片raw data'!AV:AV,MATCH(D119,'卡片raw data'!$F:$F,)),0)+IF(OR(P119=5,AND(L119="party卡",P119&gt;=2)),INDEX('卡片raw data'!AW:AW,MATCH(D119,'卡片raw data'!$F:$F,)),0))</f>
        <v>0</v>
      </c>
      <c r="EL119" s="1098">
        <f t="shared" si="164"/>
        <v>0.3</v>
      </c>
      <c r="EM119" s="1098">
        <f t="shared" si="165"/>
        <v>0.3</v>
      </c>
      <c r="EN119" s="1125">
        <f t="shared" si="166"/>
        <v>0</v>
      </c>
      <c r="EO119" s="1125">
        <f t="shared" si="167"/>
        <v>0</v>
      </c>
      <c r="EP119" s="1098">
        <f t="shared" si="168"/>
        <v>0</v>
      </c>
      <c r="EQ119" s="1121">
        <f t="shared" si="169"/>
        <v>0</v>
      </c>
      <c r="ER119" s="1101">
        <f t="shared" si="170"/>
        <v>0</v>
      </c>
      <c r="ES119" s="1097">
        <f t="shared" si="171"/>
        <v>0</v>
      </c>
      <c r="ET119" s="1122">
        <f t="shared" si="172"/>
        <v>0</v>
      </c>
    </row>
    <row r="120" spans="2:150" ht="16.5" customHeight="1">
      <c r="B120" s="1123" t="str">
        <f>INDEX('卡片raw data'!B:B,MATCH($D120,'卡片raw data'!$F:$F,))</f>
        <v>睡衣花</v>
      </c>
      <c r="C120" s="449" t="s">
        <v>123</v>
      </c>
      <c r="D120" s="408">
        <v>117</v>
      </c>
      <c r="E120" s="1090">
        <v>400083001</v>
      </c>
      <c r="F120" s="1090" t="str">
        <f>INDEX('卡片raw data'!C:C,MATCH($D120,'卡片raw data'!$F:$F,))</f>
        <v>UR</v>
      </c>
      <c r="G120" s="1094" t="s">
        <v>31</v>
      </c>
      <c r="H120" s="411">
        <f>IFERROR(INDEX(绊状态确认!C:C,MATCH($G120,绊状态确认!$B:$B,)),"")</f>
        <v>8</v>
      </c>
      <c r="I120" s="1124" t="str">
        <f>IFERROR(INDEX(绊状态确认!D:D,MATCH($G120,绊状态确认!$B:$B,)),"")</f>
        <v>缪</v>
      </c>
      <c r="J120" s="1124" t="str">
        <f>IFERROR(INDEX(绊状态确认!E:E,MATCH($G120,绊状态确认!$B:$B,)),"")</f>
        <v>1年级</v>
      </c>
      <c r="K120" s="451" t="str">
        <f>IFERROR(INDEX(绊状态确认!F:F,MATCH($G120,绊状态确认!$B:$B,)),"")</f>
        <v>Printemps</v>
      </c>
      <c r="L120" s="1094" t="str">
        <f>INDEX('卡片raw data'!E:E,MATCH($D120,'卡片raw data'!$F:$F,))</f>
        <v>活动卡</v>
      </c>
      <c r="M120" s="415">
        <v>43775</v>
      </c>
      <c r="N120" s="416">
        <v>3</v>
      </c>
      <c r="O120" s="1091" t="str">
        <f>INDEX('卡片raw data'!D:D,MATCH($D120,'卡片raw data'!$F:$F,))</f>
        <v>sk</v>
      </c>
      <c r="P120" s="417">
        <v>5</v>
      </c>
      <c r="Q120" s="1095">
        <f t="shared" si="88"/>
        <v>28322.806258804678</v>
      </c>
      <c r="R120" s="1096">
        <f t="shared" si="89"/>
        <v>0.32900000000000001</v>
      </c>
      <c r="S120" s="1097">
        <f t="shared" si="90"/>
        <v>18887.546235038775</v>
      </c>
      <c r="T120" s="1098">
        <f t="shared" si="91"/>
        <v>0.94399999999999995</v>
      </c>
      <c r="U120" s="1099">
        <f t="shared" si="92"/>
        <v>15.901311249942855</v>
      </c>
      <c r="V120" s="1100">
        <f t="shared" si="93"/>
        <v>31601.56443557212</v>
      </c>
      <c r="W120" s="1101">
        <f t="shared" si="94"/>
        <v>5779.4392013273673</v>
      </c>
      <c r="X120" s="1096">
        <f t="shared" si="95"/>
        <v>6.7000000000000004E-2</v>
      </c>
      <c r="Y120" s="1097">
        <f t="shared" si="96"/>
        <v>1278.7581767674428</v>
      </c>
      <c r="Z120" s="1102">
        <f t="shared" si="97"/>
        <v>15.901311249942855</v>
      </c>
      <c r="AA120" s="1103">
        <f t="shared" si="98"/>
        <v>7058.1973780948101</v>
      </c>
      <c r="AB120" s="1101">
        <f t="shared" si="99"/>
        <v>7005.702370074192</v>
      </c>
      <c r="AC120" s="1104">
        <f t="shared" si="100"/>
        <v>8.1000000000000003E-2</v>
      </c>
      <c r="AD120" s="1105">
        <f t="shared" si="101"/>
        <v>2.3477651515151514E-2</v>
      </c>
      <c r="AE120" s="1128">
        <f t="shared" si="102"/>
        <v>82.347160709711886</v>
      </c>
      <c r="AF120" s="1130">
        <f t="shared" si="103"/>
        <v>0</v>
      </c>
      <c r="AG120" s="420">
        <f t="shared" si="104"/>
        <v>0</v>
      </c>
      <c r="AH120" s="420">
        <f t="shared" si="105"/>
        <v>0</v>
      </c>
      <c r="AI120" s="1097">
        <f t="shared" si="106"/>
        <v>0</v>
      </c>
      <c r="AJ120" s="420">
        <f t="shared" si="107"/>
        <v>0</v>
      </c>
      <c r="AK120" s="518">
        <f t="shared" si="108"/>
        <v>0</v>
      </c>
      <c r="AL120" s="1106">
        <f>IF($P120="","N/A",(IF($P120=-1,INDEX('卡片raw data'!S:S,MATCH($D120,'卡片raw data'!$F:$F,)),0)+IF($P120=0,INDEX('卡片raw data'!V:V,MATCH($D120,'卡片raw data'!$F:$F,)),0)+IF($P120=1,INDEX('卡片raw data'!Y:Y,MATCH($D120,'卡片raw data'!$F:$F,)),0)+IF($P120=2,INDEX('卡片raw data'!AB:AB,MATCH($D120,'卡片raw data'!$F:$F,)),0)+IF($P120=3,INDEX('卡片raw data'!AE:AE,MATCH($D120,'卡片raw data'!$F:$F,)),0)+IF($P120=4,INDEX('卡片raw data'!AH:AH,MATCH($D120,'卡片raw data'!$F:$F,)),0)+IF($P120=5,INDEX('卡片raw data'!AK:AK,MATCH($D120,'卡片raw data'!$F:$F,)),0)+INDEX('卡片raw data'!S:S,MATCH($D120,'卡片raw data'!$F:$F,))*(IF($F120="UR",0.04,0.033))*(IF($F120="UR",INDEX(绊状态确认!$S:$S,MATCH($G120,绊状态确认!$B:$B,))/2-40)+IF($F120="SR",INDEX(绊状态确认!$R:$R,MATCH($G120,绊状态确认!$B:$B,))/4-15))+IF($F120="R",INDEX(绊状态确认!$Q:$Q,MATCH($G120,绊状态确认!$B:$B,))/6-40/6)))*(INDEX(绊状态确认!$H:$H,MATCH($G120,绊状态确认!$B:$B,))+INDEX(绊状态确认!J:J,MATCH($G120,绊状态确认!$B:$B,)))</f>
        <v>7621.7893439999989</v>
      </c>
      <c r="AM120" s="1106">
        <f>IF($P120="","N/A",(IF($P120=-1,INDEX('卡片raw data'!T:T,MATCH($D120,'卡片raw data'!$F:$F,)),0)+IF($P120=0,INDEX('卡片raw data'!W:W,MATCH($D120,'卡片raw data'!$F:$F,)),0)+IF($P120=1,INDEX('卡片raw data'!Z:Z,MATCH($D120,'卡片raw data'!$F:$F,)),0)+IF($P120=2,INDEX('卡片raw data'!AC:AC,MATCH($D120,'卡片raw data'!$F:$F,)),0)+IF($P120=3,INDEX('卡片raw data'!AF:AF,MATCH($D120,'卡片raw data'!$F:$F,)),0)+IF($P120=4,INDEX('卡片raw data'!AI:AI,MATCH($D120,'卡片raw data'!$F:$F,)),0)+IF($P120=5,INDEX('卡片raw data'!AL:AL,MATCH($D120,'卡片raw data'!$F:$F,)),0)+INDEX('卡片raw data'!T:T,MATCH($D120,'卡片raw data'!$F:$F,))*(IF($F120="UR",0.04,0.033))*(IF($F120="UR",INDEX(绊状态确认!$S:$S,MATCH($G120,绊状态确认!$B:$B,))/2-40)+IF($F120="SR",INDEX(绊状态确认!$R:$R,MATCH($G120,绊状态确认!$B:$B,))/4-15))+IF($F120="R",INDEX(绊状态确认!$Q:$Q,MATCH($G120,绊状态确认!$B:$B,))/6-40/6)))*(INDEX(绊状态确认!$H:$H,MATCH($G120,绊状态确认!$B:$B,))+INDEX(绊状态确认!K:K,MATCH($G120,绊状态确认!$B:$B,)))</f>
        <v>8891.7390719999985</v>
      </c>
      <c r="AN120" s="1106">
        <f>IF($P120="","N/A",(IF($P120=-1,INDEX('卡片raw data'!U:U,MATCH($D120,'卡片raw data'!$F:$F,)),0)+IF($P120=0,INDEX('卡片raw data'!X:X,MATCH($D120,'卡片raw data'!$F:$F,)),0)+IF($P120=1,INDEX('卡片raw data'!AA:AA,MATCH($D120,'卡片raw data'!$F:$F,)),0)+IF($P120=2,INDEX('卡片raw data'!AD:AD,MATCH($D120,'卡片raw data'!$F:$F,)),0)+IF($P120=3,INDEX('卡片raw data'!AG:AG,MATCH($D120,'卡片raw data'!$F:$F,)),0)+IF($P120=4,INDEX('卡片raw data'!AJ:AJ,MATCH($D120,'卡片raw data'!$F:$F,)),0)+IF($P120=5,INDEX('卡片raw data'!AM:AM,MATCH($D120,'卡片raw data'!$F:$F,)),0)+INDEX('卡片raw data'!U:U,MATCH($D120,'卡片raw data'!$F:$F,))*(IF($F120="UR",0.04,0.033))*(IF($F120="UR",INDEX(绊状态确认!$S:$S,MATCH($G120,绊状态确认!$B:$B,))/2-40)+IF($F120="SR",INDEX(绊状态确认!$R:$R,MATCH($G120,绊状态确认!$B:$B,))/4-15))+IF($F120="R",INDEX(绊状态确认!$Q:$Q,MATCH($G120,绊状态确认!$B:$B,))/6-40/6)))*(INDEX(绊状态确认!$H:$H,MATCH($G120,绊状态确认!$B:$B,))+INDEX(绊状态确认!L:L,MATCH($G120,绊状态确认!$B:$B,)))</f>
        <v>8891.7390719999985</v>
      </c>
      <c r="AO120" s="1107">
        <f t="shared" si="109"/>
        <v>1</v>
      </c>
      <c r="AP120" s="1131">
        <f>1+(INDEX(绊状态确认!$T:$T,MATCH($G120,绊状态确认!$B:$B,))+0.2)*$AO120</f>
        <v>1.3</v>
      </c>
      <c r="AQ120" s="1108">
        <f t="shared" si="110"/>
        <v>23257.197028000002</v>
      </c>
      <c r="AR120" s="1097">
        <f>(AM120*(1+$EX$9)+$EX$35)*(1+(INDEX(绊状态确认!$T:$T,MATCH($G120,绊状态确认!$B:$B,))+0.2)*AO120)*IF(J120=$FF$17,1+$FE$17,1)*IF(I120=$FF$14,1+$FE$14,1)*(1+$FE$15)</f>
        <v>14841.223833279999</v>
      </c>
      <c r="AS120" s="1097">
        <f>(AN120*(1+$EX$10)+$EX$36)*(1+(INDEX(绊状态确认!$T:$T,MATCH($G120,绊状态确认!$B:$B,))+0.2)*AO120)*IF(J120=$FF$17,1+$FE$17,1)*IF(I120=$FF$14,1+$FE$14,1)*(1+$FE$15)</f>
        <v>17349.149912639998</v>
      </c>
      <c r="AT120" s="1093">
        <f>IF(AND(INDEX('卡片raw data'!AK:AK,MATCH($D120,'卡片raw data'!$F:$F,))&lt;INDEX('卡片raw data'!AM:AM,MATCH($D120,'卡片raw data'!$F:$F,)),INDEX('卡片raw data'!AL:AL,MATCH($D120,'卡片raw data'!$F:$F,))&lt;INDEX('卡片raw data'!AM:AM,MATCH($D120,'卡片raw data'!$F:$F,))),1,0)</f>
        <v>0</v>
      </c>
      <c r="AU120" s="1098">
        <f>MIN(AT120*0.15+AS120*0.00003+INDEX(绊状态确认!M:M,MATCH($G120,绊状态确认!$B:$B,)),1)</f>
        <v>0.55047449737919996</v>
      </c>
      <c r="AV120" s="1109">
        <f>(INDEX(绊状态确认!$N:$N,MATCH($G120,绊状态确认!$B:$B,))+1.5)*$EW$21</f>
        <v>2.6599999999999997</v>
      </c>
      <c r="AW120" s="1101">
        <f t="shared" si="111"/>
        <v>23115.776523700424</v>
      </c>
      <c r="AX120" s="1097">
        <f t="shared" si="112"/>
        <v>1278.758176767443</v>
      </c>
      <c r="AY120" s="1110">
        <f t="shared" si="113"/>
        <v>24394.534700467866</v>
      </c>
      <c r="AZ120" s="429">
        <f t="shared" si="114"/>
        <v>17462.489220799998</v>
      </c>
      <c r="BA120" s="431">
        <f t="shared" si="115"/>
        <v>20954.987064959998</v>
      </c>
      <c r="BB120" s="1097">
        <f>(AM120*(1+$FB$9)+$FB$35)*(1+(INDEX(绊状态确认!$T:$T,MATCH($G120,绊状态确认!$B:$B,))+0.2)*AO120)*IF(J120=$FF$17,1+$FE$17,1)*IF(I120=$FF$14,1+$FE$14,1)*(1+$FE$15)</f>
        <v>14841.223833279999</v>
      </c>
      <c r="BC120" s="1097">
        <f>(AN120*(1+$FB$10)+$FB$36)*(1+(INDEX(绊状态确认!$T:$T,MATCH($G120,绊状态确认!$B:$B,))+0.2)*AO120)*IF(J120=$FF$17,1+$FE$17,1)*IF(I120=$FF$14,1+$FE$14,1)*(1+$FE$15)</f>
        <v>17349.149912639998</v>
      </c>
      <c r="BD120" s="1104">
        <f>MIN(AT120*0.15+BC120*0.00003+INDEX(绊状态确认!M:M,MATCH($G120,绊状态确认!$B:$B,)),1)</f>
        <v>0.55047449737919996</v>
      </c>
      <c r="BE120" s="432">
        <f>(INDEX(绊状态确认!$N:$N,MATCH($G120,绊状态确认!$B:$B,))+1.5)</f>
        <v>1.9</v>
      </c>
      <c r="BF120" s="1139">
        <f t="array" ref="BF120">SUMPRODUCT(IF(AZ120*AP120*$FI$16:$FI$23*$FA$22&gt;=$FI$24,$FI$24,AZ120*AP120*$FI$16:$FI$23*$FA$22),$FJ$16:$FJ$23)</f>
        <v>34732.891060171205</v>
      </c>
      <c r="BG120" s="1125">
        <f t="array" ref="BG120">SUMPRODUCT(IF(BE120*AZ120*AP120*$FI$16:$FI$23*$FA$22&gt;=$FI$24,$FI$24,BE120*AZ120*AP120*$FI$16:$FI$23*$FA$22),$FJ$16:$FJ$23)</f>
        <v>58783.087093843998</v>
      </c>
      <c r="BH120" s="1110">
        <f t="shared" si="116"/>
        <v>15990.636877892821</v>
      </c>
      <c r="BI120" s="1111">
        <f>IF(O120="vo",$EW$26/$EW$24*0.05,0)+IF(O120="sk",-$EW$26/$EW$24*(0.05-INDEX(绊状态确认!W:W,MATCH($G120,绊状态确认!$B:$B,)))+0.05*$EW$28,0)+IF(O120="sp",0.05*$EW$32*$EW$30*(1-$EW$33)-(0.05-INDEX(绊状态确认!V:V,MATCH($G120,绊状态确认!$B:$B,)))*$EW$28,0)+IF(O120="gd",-(0.05-INDEX(绊状态确认!X:X,MATCH($G120,绊状态确认!$B:$B,)))*$EW$32*$EW$30*(1-$EW$33),0)</f>
        <v>-6253.6726349699375</v>
      </c>
      <c r="BJ120" s="1097">
        <f>IF(O120="vo",0.05*(1-$FI$26)*$FA$24,0)+IF(O120="sk",-(0.05-INDEX(绊状态确认!W:W,MATCH($G120,绊状态确认!$B:$B,)))*(1-$FI$26)*$FA$24+0.05*$FA$26,0)+IF(O120="sp",0.05*$FA$32*$FA$27*(1-$FA$33)/$FA$30+0.05*$FA$29/$FA$69*$FA$27*(1-$FA$33)-(0.05-INDEX(绊状态确认!V:V,MATCH($G120,绊状态确认!$B:$B,)))*$FA$26,0)+IF(O120="gd",-(0.05-INDEX(绊状态确认!X:X,MATCH($G120,绊状态确认!$B:$B,)))*$FA$32*$FA$27*(1-$FA$33)/$FA$30-(0.05-INDEX(绊状态确认!X:X,MATCH($G120,绊状态确认!$B:$B,)))*$FA$29/$FA$69*$FA$27*(1-$FA$33),0)</f>
        <v>20.459096812499922</v>
      </c>
      <c r="BK120" s="1110">
        <f>IF(O120="vo",$EW$26/$EW$24*0.05+$EW$26*(-HP($EW$62,$EW$65,$EW$64)+HP($EW$62,$EW$65,(1.05-INDEX(绊状态确认!U:U,MATCH($G120,绊状态确认!$B:$B,)))*$EW$64)),0)+IF(O120="sk",-$EW$26/$EW$24*(0.05-INDEX(绊状态确认!W:W,MATCH($G120,绊状态确认!$B:$B,)))+0.05*$EW$29,0)+IF(O120="sp",0.05*$EW$32*$EW$30*(1-$EW$33)-(0.05-INDEX(绊状态确认!V:V,MATCH($G120,绊状态确认!$B:$B,)))*$EW$29,0)+IF(O120="gd",-(0.05-INDEX(绊状态确认!X:X,MATCH($G120,绊状态确认!$B:$B,)))*$EW$32*$EW$30*(1-$EW$33)+$EW$26*(-HP($EW$62,$EW$65,$EW$64)+HP($EW$62,$EW$65,0.95*$EW$64)),0)</f>
        <v>-4253.6726349699375</v>
      </c>
      <c r="BL120" s="1111">
        <f t="shared" si="117"/>
        <v>0</v>
      </c>
      <c r="BM120" s="1110">
        <f t="shared" si="118"/>
        <v>0</v>
      </c>
      <c r="BN120" s="1113">
        <f t="shared" si="119"/>
        <v>3</v>
      </c>
      <c r="BO120" s="1097">
        <f t="shared" si="120"/>
        <v>4507.7214871259994</v>
      </c>
      <c r="BP120" s="1100">
        <f t="shared" si="121"/>
        <v>221.34103209030098</v>
      </c>
      <c r="BQ120" s="1113" t="s">
        <v>145</v>
      </c>
      <c r="BR120" s="1124" t="s">
        <v>148</v>
      </c>
      <c r="BS120" s="1098">
        <f>IF($P120="","N/A",IF($P120=-1,INDEX('卡片raw data'!AX:AX,MATCH($D120,'卡片raw data'!$F:$F,)),0)+IF($L120="party卡",IF($P120=5,INDEX('卡片raw data'!BD:BD,MATCH($D120,'卡片raw data'!$F:$F,)),IF($P120&gt;=3,INDEX('卡片raw data'!BC:BC,MATCH($D120,'卡片raw data'!$F:$F,)),INDEX('卡片raw data'!BB:BB,MATCH($D120,'卡片raw data'!$F:$F,)))),IF(OR(AND($F120="UR",$P120=0),AND($F120="SR",$P120&gt;=0,$P120&lt;=2),AND($F120="R",$P120&gt;=0,$P120&lt;4)),INDEX('卡片raw data'!AZ:AZ,MATCH($D120,'卡片raw data'!$F:$F,)),0)+IF(OR(AND($F120="UR",$P120&gt;=1,$P120&lt;=4),AND($F120="SR",$P120&lt;=4,$P120&gt;=3),AND($F120="R",$P120=4)),INDEX('卡片raw data'!BA:BA,MATCH($D120,'卡片raw data'!$F:$F,)),0)+IF($P120=5,INDEX('卡片raw data'!BB:BB,MATCH($D120,'卡片raw data'!$F:$F,)),0)))</f>
        <v>5.1999999999999998E-2</v>
      </c>
      <c r="BT120" s="1101">
        <f t="shared" si="122"/>
        <v>2452.5263374936467</v>
      </c>
      <c r="BU120" s="1097">
        <f t="shared" si="123"/>
        <v>155.22419036436909</v>
      </c>
      <c r="BV120" s="1097">
        <f t="shared" si="124"/>
        <v>1226.2631687468233</v>
      </c>
      <c r="BW120" s="1112">
        <f t="shared" si="125"/>
        <v>0</v>
      </c>
      <c r="BX120" s="1100">
        <f t="shared" si="126"/>
        <v>2452.5263374936467</v>
      </c>
      <c r="BY120" s="1110">
        <f t="shared" si="127"/>
        <v>1226.2631687468233</v>
      </c>
      <c r="BZ120" s="1107" t="s">
        <v>569</v>
      </c>
      <c r="CA120" s="1124"/>
      <c r="CB120" s="1098">
        <f>IF($P120="","N/A",IF($P120=-1,INDEX('卡片raw data'!BE:BE,MATCH($D120,'卡片raw data'!$F:$F,)),0)+IF($L120="party卡",IF($P120=5,INDEX('卡片raw data'!BK:BK,MATCH($D120,'卡片raw data'!$F:$F,)),IF($P120&gt;=3,INDEX('卡片raw data'!BJ:BJ,MATCH($D120,'卡片raw data'!$F:$F,)),INDEX('卡片raw data'!BI:BI,MATCH($D120,'卡片raw data'!$F:$F,)))),IF(OR(AND($F120="UR",$P120=0),AND($F120="SR",$P120&gt;=0,$P120&lt;=2),AND($F120="R",$P120&gt;=0,$P120&lt;4)),INDEX('卡片raw data'!BG:BG,MATCH($D120,'卡片raw data'!$F:$F,)),0)+IF(OR(AND($F120="UR",$P120&gt;=1,$P120&lt;=4),AND($F120="SR",$P120&lt;=4,$P120&gt;=3),AND($F120="R",$P120=4)),INDEX('卡片raw data'!BH:BH,MATCH($D120,'卡片raw data'!$F:$F,)),0)+IF($P120=5,INDEX('卡片raw data'!BI:BI,MATCH($D120,'卡片raw data'!$F:$F,)),0)))</f>
        <v>0</v>
      </c>
      <c r="CC120" s="1101">
        <f t="shared" si="128"/>
        <v>0</v>
      </c>
      <c r="CD120" s="1097">
        <f>IF(BZ120="ap",CB120*(1-$FI$26)*$FB$5/$FB$11*(+IF(CA120="全员",$FA$24,0)+IF(CA120="同作战",$FA$24,0)+IF(CA120="仲间",$FA$24*2/3,0)+IF(CA120="同属性",$FA$24*$FA$37/3,0)+IF(CA120="同年级",$FA$24*$FA$40/3,0)+IF(CA120="同学校",$FA$24*$FA$43/3,0)+IF(CA120="同小队",$FA$24*$FA$46/3,0)+IF(CA120="同type",$FA$24*INDEX($FB$49:$FB$52,MATCH(X120,$FA$49:$FA$52,))/3,0)+IF(CA120="自身",#REF!/3,0)),0)+IF(BZ120="te",CB120*(1-$FI$27)*($FA$20-1)*$FB$7/$FB$13*(+IF(CA120="全员",$FA$19*$FA$24/(1+($FA$20-1)*$FA$19),0)+IF(CA120="同作战",$FA$19*$FA$24/(1+($FA$20-1)*$FA$19),0)+IF(CA120="仲间",$FA$19*$FA$24*2/3/(1+($FA$20-1)*$FA$19),0)+IF(CA120="同属性",$FA$19*$FA$24*$FA$37/3/(1+($FA$20-1)*$FA$19),0)+IF(CA120="同年级",$FA$19*$FA$24*$FA$40/3/(1+($FA$20-1)*$FA$19),0)+IF(CA120="同学校",$FA$19*$FA$24*$FA$43/3/(1+($FA$20-1)*$FA$19),0)+IF(CA120="同小队",$FA$19*$FA$24*$FA$46/3/(1+($FA$20-1)*$FA$19),0)+IF(CA120="同type",$FA$19*$FA$24*INDEX($FB$49:$FB$52,MATCH(X120,$FA$49:$FA$52,))/3/(1+($FA$20-1)*$FA$19),0)+IF(CA120="自身",$FA$19*#REF!/3/(1+(BH120-1)*$BD120),0)),0)</f>
        <v>0</v>
      </c>
      <c r="CE120" s="1097">
        <f t="shared" si="129"/>
        <v>0</v>
      </c>
      <c r="CF120" s="1112">
        <f t="shared" si="130"/>
        <v>0</v>
      </c>
      <c r="CG120" s="1100">
        <f t="shared" si="131"/>
        <v>0</v>
      </c>
      <c r="CH120" s="1110">
        <f t="shared" si="132"/>
        <v>0</v>
      </c>
      <c r="CI120" s="1113" t="s">
        <v>165</v>
      </c>
      <c r="CJ120" s="1114">
        <v>0.3</v>
      </c>
      <c r="CK120" s="1115" t="s">
        <v>154</v>
      </c>
      <c r="CL120" s="1115" t="s">
        <v>161</v>
      </c>
      <c r="CM120" s="1119">
        <v>0.1</v>
      </c>
      <c r="CN120" s="1115">
        <v>10</v>
      </c>
      <c r="CO120" s="1092"/>
      <c r="CP120" s="1118">
        <f t="shared" si="133"/>
        <v>1.0714285714285715E-3</v>
      </c>
      <c r="CQ120" s="1118">
        <f t="shared" si="134"/>
        <v>1.6666666666666666E-3</v>
      </c>
      <c r="CR120" s="1118">
        <f t="shared" si="135"/>
        <v>1.0714285714285715E-3</v>
      </c>
      <c r="CS120" s="1118">
        <f t="shared" si="136"/>
        <v>1.7083333333333332E-3</v>
      </c>
      <c r="CT120" s="1109">
        <f t="shared" si="137"/>
        <v>0</v>
      </c>
      <c r="CU120" s="1101">
        <f t="shared" si="138"/>
        <v>45.454545454545453</v>
      </c>
      <c r="CV120" s="1108">
        <f t="shared" si="139"/>
        <v>37.878787878787875</v>
      </c>
      <c r="CW120" s="1097">
        <f t="shared" si="140"/>
        <v>45.454545454545453</v>
      </c>
      <c r="CX120" s="1097">
        <f t="shared" si="141"/>
        <v>45.454545454545453</v>
      </c>
      <c r="CY120" s="1110">
        <f t="shared" si="142"/>
        <v>45.454545454545453</v>
      </c>
      <c r="CZ120" s="437"/>
      <c r="DA120" s="438"/>
      <c r="DB120" s="439" t="s">
        <v>569</v>
      </c>
      <c r="DC120" s="439"/>
      <c r="DD120" s="443"/>
      <c r="DE120" s="411"/>
      <c r="DF120" s="411"/>
      <c r="DG120" s="1116">
        <f t="shared" si="143"/>
        <v>0</v>
      </c>
      <c r="DH120" s="1116">
        <f t="shared" si="144"/>
        <v>0</v>
      </c>
      <c r="DI120" s="1116">
        <f t="shared" si="145"/>
        <v>0</v>
      </c>
      <c r="DJ120" s="442">
        <f t="shared" si="146"/>
        <v>0</v>
      </c>
      <c r="DK120" s="1109">
        <f t="shared" si="147"/>
        <v>0</v>
      </c>
      <c r="DL120" s="1101">
        <f t="shared" si="148"/>
        <v>0</v>
      </c>
      <c r="DM120" s="1097">
        <f t="shared" si="149"/>
        <v>0</v>
      </c>
      <c r="DN120" s="1097">
        <f t="shared" si="150"/>
        <v>0</v>
      </c>
      <c r="DO120" s="1097">
        <f t="shared" si="151"/>
        <v>0</v>
      </c>
      <c r="DP120" s="1110">
        <f t="shared" si="152"/>
        <v>0</v>
      </c>
      <c r="DQ120" s="1113" t="s">
        <v>156</v>
      </c>
      <c r="DR120" s="1120">
        <f t="shared" si="153"/>
        <v>0.33</v>
      </c>
      <c r="DS120" s="1124"/>
      <c r="DT120" s="1093" t="s">
        <v>179</v>
      </c>
      <c r="DU120" s="1093"/>
      <c r="DV120" s="1098">
        <f>IF($P120="","N/A",IF(P120=-1,INDEX('卡片raw data'!AN:AN,MATCH(D120,'卡片raw data'!$F:$F,)),0)+IF(AND(L120&lt;&gt;"party卡",P120&lt;=2,P120&gt;=0),INDEX('卡片raw data'!AP:AP,MATCH(D120,'卡片raw data'!$F:$F,)),0)+IF(OR(AND(L120="party卡",P120&lt;=1),AND(P120&lt;=4,L120&lt;&gt;"party卡",P120&gt;=3)),INDEX('卡片raw data'!AQ:AQ,MATCH(D120,'卡片raw data'!$F:$F,)),0)+IF(OR(P120=5,AND(L120="party卡",P120&gt;=2)),INDEX('卡片raw data'!AR:AR,MATCH(D120,'卡片raw data'!$F:$F,)),0))</f>
        <v>0.09</v>
      </c>
      <c r="DW120" s="1098">
        <f t="shared" si="154"/>
        <v>0.33</v>
      </c>
      <c r="DX120" s="1098">
        <f t="shared" si="155"/>
        <v>0.33</v>
      </c>
      <c r="DY120" s="1098">
        <f t="shared" si="156"/>
        <v>9.9000000000000008E-3</v>
      </c>
      <c r="DZ120" s="1098">
        <f t="shared" si="157"/>
        <v>9.8480249999999998E-3</v>
      </c>
      <c r="EA120" s="1098">
        <f t="shared" si="158"/>
        <v>0</v>
      </c>
      <c r="EB120" s="1121">
        <f t="shared" si="159"/>
        <v>69.562349999999995</v>
      </c>
      <c r="EC120" s="1101">
        <f t="shared" si="160"/>
        <v>4455</v>
      </c>
      <c r="ED120" s="1097">
        <f t="shared" si="161"/>
        <v>2462.0062499999999</v>
      </c>
      <c r="EE120" s="1110">
        <f t="shared" si="162"/>
        <v>4455</v>
      </c>
      <c r="EF120" s="1092" t="s">
        <v>711</v>
      </c>
      <c r="EG120" s="1120">
        <f t="shared" si="163"/>
        <v>0.33</v>
      </c>
      <c r="EH120" s="1124"/>
      <c r="EI120" s="1093"/>
      <c r="EJ120" s="1093"/>
      <c r="EK120" s="1097">
        <f>IF($P120="","N/A",IF(P120=-1,INDEX('卡片raw data'!AS:AS,MATCH(D120,'卡片raw data'!$F:$F,)),0)+IF(AND(L120&lt;&gt;"party卡",P120&lt;=2,P120&gt;=0),INDEX('卡片raw data'!AU:AU,MATCH(D120,'卡片raw data'!$F:$F,)),0)+IF(OR(AND(L120="party卡",P120&lt;=1),AND(P120&lt;=4,L120&lt;&gt;"party卡",P120&gt;=3)),INDEX('卡片raw data'!AV:AV,MATCH(D120,'卡片raw data'!$F:$F,)),0)+IF(OR(P120=5,AND(L120="party卡",P120&gt;=2)),INDEX('卡片raw data'!AW:AW,MATCH(D120,'卡片raw data'!$F:$F,)),0))</f>
        <v>0</v>
      </c>
      <c r="EL120" s="1098">
        <f t="shared" si="164"/>
        <v>0.33</v>
      </c>
      <c r="EM120" s="1098">
        <f t="shared" si="165"/>
        <v>0.33</v>
      </c>
      <c r="EN120" s="1125">
        <f t="shared" si="166"/>
        <v>0</v>
      </c>
      <c r="EO120" s="1125">
        <f t="shared" si="167"/>
        <v>0</v>
      </c>
      <c r="EP120" s="1098">
        <f t="shared" si="168"/>
        <v>0</v>
      </c>
      <c r="EQ120" s="1121">
        <f t="shared" si="169"/>
        <v>0</v>
      </c>
      <c r="ER120" s="1101">
        <f t="shared" si="170"/>
        <v>0</v>
      </c>
      <c r="ES120" s="1097">
        <f t="shared" si="171"/>
        <v>0</v>
      </c>
      <c r="ET120" s="1122">
        <f t="shared" si="172"/>
        <v>0</v>
      </c>
    </row>
    <row r="121" spans="2:150" ht="16.5" customHeight="1">
      <c r="B121" s="1123" t="str">
        <f>INDEX('卡片raw data'!B:B,MATCH($D121,'卡片raw data'!$F:$F,))</f>
        <v>一单鞠</v>
      </c>
      <c r="C121" s="449" t="s">
        <v>123</v>
      </c>
      <c r="D121" s="408">
        <v>118</v>
      </c>
      <c r="E121" s="1090">
        <v>401082001</v>
      </c>
      <c r="F121" s="1090" t="str">
        <f>INDEX('卡片raw data'!C:C,MATCH($D121,'卡片raw data'!$F:$F,))</f>
        <v>SR</v>
      </c>
      <c r="G121" s="1094" t="s">
        <v>345</v>
      </c>
      <c r="H121" s="411">
        <f>IFERROR(INDEX(绊状态确认!C:C,MATCH($G121,绊状态确认!$B:$B,)),"")</f>
        <v>108</v>
      </c>
      <c r="I121" s="1124" t="str">
        <f>IFERROR(INDEX(绊状态确认!D:D,MATCH($G121,绊状态确认!$B:$B,)),"")</f>
        <v>水</v>
      </c>
      <c r="J121" s="1124" t="str">
        <f>IFERROR(INDEX(绊状态确认!E:E,MATCH($G121,绊状态确认!$B:$B,)),"")</f>
        <v>3年级</v>
      </c>
      <c r="K121" s="451" t="str">
        <f>IFERROR(INDEX(绊状态确认!F:F,MATCH($G121,绊状态确认!$B:$B,)),"")</f>
        <v>Guilty Kiss</v>
      </c>
      <c r="L121" s="1094" t="str">
        <f>INDEX('卡片raw data'!E:E,MATCH($D121,'卡片raw data'!$F:$F,))</f>
        <v>活动卡</v>
      </c>
      <c r="M121" s="415">
        <v>43775</v>
      </c>
      <c r="N121" s="416">
        <v>3</v>
      </c>
      <c r="O121" s="1091" t="str">
        <f>INDEX('卡片raw data'!D:D,MATCH($D121,'卡片raw data'!$F:$F,))</f>
        <v>gd</v>
      </c>
      <c r="P121" s="417">
        <v>5</v>
      </c>
      <c r="Q121" s="1095">
        <f t="shared" si="88"/>
        <v>19457.41354221354</v>
      </c>
      <c r="R121" s="1096">
        <f t="shared" si="89"/>
        <v>0.22600000000000001</v>
      </c>
      <c r="S121" s="1097">
        <f t="shared" si="90"/>
        <v>11123.83156909699</v>
      </c>
      <c r="T121" s="1098">
        <f t="shared" si="91"/>
        <v>0.55600000000000005</v>
      </c>
      <c r="U121" s="1099">
        <f t="shared" si="92"/>
        <v>301.00137416142059</v>
      </c>
      <c r="V121" s="1100">
        <f t="shared" si="93"/>
        <v>51501.175132554206</v>
      </c>
      <c r="W121" s="1101">
        <f t="shared" si="94"/>
        <v>4507.7214871259994</v>
      </c>
      <c r="X121" s="1096">
        <f t="shared" si="95"/>
        <v>5.1999999999999998E-2</v>
      </c>
      <c r="Y121" s="1097">
        <f t="shared" si="96"/>
        <v>950.23374728905037</v>
      </c>
      <c r="Z121" s="1102">
        <f t="shared" si="97"/>
        <v>11.975502830588569</v>
      </c>
      <c r="AA121" s="1103">
        <f t="shared" si="98"/>
        <v>5457.9552344150497</v>
      </c>
      <c r="AB121" s="1101">
        <f t="shared" si="99"/>
        <v>4507.7214871259994</v>
      </c>
      <c r="AC121" s="1104">
        <f t="shared" si="100"/>
        <v>5.1999999999999998E-2</v>
      </c>
      <c r="AD121" s="1105">
        <f t="shared" si="101"/>
        <v>-3.8207812500000026E-3</v>
      </c>
      <c r="AE121" s="1128">
        <f t="shared" si="102"/>
        <v>-18.525362318840578</v>
      </c>
      <c r="AF121" s="1130">
        <f t="shared" si="103"/>
        <v>4185.2989973924477</v>
      </c>
      <c r="AG121" s="420">
        <f t="shared" si="104"/>
        <v>105255.33902478401</v>
      </c>
      <c r="AH121" s="420">
        <f t="shared" si="105"/>
        <v>25.148821885929987</v>
      </c>
      <c r="AI121" s="1097">
        <f t="shared" si="106"/>
        <v>77284.931429475866</v>
      </c>
      <c r="AJ121" s="420">
        <f t="shared" si="107"/>
        <v>51501.175132554206</v>
      </c>
      <c r="AK121" s="518">
        <f t="shared" si="108"/>
        <v>25783.75629692166</v>
      </c>
      <c r="AL121" s="1106">
        <f>IF($P121="","N/A",(IF($P121=-1,INDEX('卡片raw data'!S:S,MATCH($D121,'卡片raw data'!$F:$F,)),0)+IF($P121=0,INDEX('卡片raw data'!V:V,MATCH($D121,'卡片raw data'!$F:$F,)),0)+IF($P121=1,INDEX('卡片raw data'!Y:Y,MATCH($D121,'卡片raw data'!$F:$F,)),0)+IF($P121=2,INDEX('卡片raw data'!AB:AB,MATCH($D121,'卡片raw data'!$F:$F,)),0)+IF($P121=3,INDEX('卡片raw data'!AE:AE,MATCH($D121,'卡片raw data'!$F:$F,)),0)+IF($P121=4,INDEX('卡片raw data'!AH:AH,MATCH($D121,'卡片raw data'!$F:$F,)),0)+IF($P121=5,INDEX('卡片raw data'!AK:AK,MATCH($D121,'卡片raw data'!$F:$F,)),0)+INDEX('卡片raw data'!S:S,MATCH($D121,'卡片raw data'!$F:$F,))*(IF($F121="UR",0.04,0.033))*(IF($F121="UR",INDEX(绊状态确认!$S:$S,MATCH($G121,绊状态确认!$B:$B,))/2-40)+IF($F121="SR",INDEX(绊状态确认!$R:$R,MATCH($G121,绊状态确认!$B:$B,))/4-15))+IF($F121="R",INDEX(绊状态确认!$Q:$Q,MATCH($G121,绊状态确认!$B:$B,))/6-40/6)))*(INDEX(绊状态确认!$H:$H,MATCH($G121,绊状态确认!$B:$B,))+INDEX(绊状态确认!J:J,MATCH($G121,绊状态确认!$B:$B,)))</f>
        <v>5182.9567583999988</v>
      </c>
      <c r="AM121" s="1106">
        <f>IF($P121="","N/A",(IF($P121=-1,INDEX('卡片raw data'!T:T,MATCH($D121,'卡片raw data'!$F:$F,)),0)+IF($P121=0,INDEX('卡片raw data'!W:W,MATCH($D121,'卡片raw data'!$F:$F,)),0)+IF($P121=1,INDEX('卡片raw data'!Z:Z,MATCH($D121,'卡片raw data'!$F:$F,)),0)+IF($P121=2,INDEX('卡片raw data'!AC:AC,MATCH($D121,'卡片raw data'!$F:$F,)),0)+IF($P121=3,INDEX('卡片raw data'!AF:AF,MATCH($D121,'卡片raw data'!$F:$F,)),0)+IF($P121=4,INDEX('卡片raw data'!AI:AI,MATCH($D121,'卡片raw data'!$F:$F,)),0)+IF($P121=5,INDEX('卡片raw data'!AL:AL,MATCH($D121,'卡片raw data'!$F:$F,)),0)+INDEX('卡片raw data'!T:T,MATCH($D121,'卡片raw data'!$F:$F,))*(IF($F121="UR",0.04,0.033))*(IF($F121="UR",INDEX(绊状态确认!$S:$S,MATCH($G121,绊状态确认!$B:$B,))/2-40)+IF($F121="SR",INDEX(绊状态确认!$R:$R,MATCH($G121,绊状态确认!$B:$B,))/4-15))+IF($F121="R",INDEX(绊状态确认!$Q:$Q,MATCH($G121,绊状态确认!$B:$B,))/6-40/6)))*(INDEX(绊状态确认!$H:$H,MATCH($G121,绊状态确认!$B:$B,))+INDEX(绊状态确认!K:K,MATCH($G121,绊状态确认!$B:$B,)))</f>
        <v>5182.9567583999988</v>
      </c>
      <c r="AN121" s="1106">
        <f>IF($P121="","N/A",(IF($P121=-1,INDEX('卡片raw data'!U:U,MATCH($D121,'卡片raw data'!$F:$F,)),0)+IF($P121=0,INDEX('卡片raw data'!X:X,MATCH($D121,'卡片raw data'!$F:$F,)),0)+IF($P121=1,INDEX('卡片raw data'!AA:AA,MATCH($D121,'卡片raw data'!$F:$F,)),0)+IF($P121=2,INDEX('卡片raw data'!AD:AD,MATCH($D121,'卡片raw data'!$F:$F,)),0)+IF($P121=3,INDEX('卡片raw data'!AG:AG,MATCH($D121,'卡片raw data'!$F:$F,)),0)+IF($P121=4,INDEX('卡片raw data'!AJ:AJ,MATCH($D121,'卡片raw data'!$F:$F,)),0)+IF($P121=5,INDEX('卡片raw data'!AM:AM,MATCH($D121,'卡片raw data'!$F:$F,)),0)+INDEX('卡片raw data'!U:U,MATCH($D121,'卡片raw data'!$F:$F,))*(IF($F121="UR",0.04,0.033))*(IF($F121="UR",INDEX(绊状态确认!$S:$S,MATCH($G121,绊状态确认!$B:$B,))/2-40)+IF($F121="SR",INDEX(绊状态确认!$R:$R,MATCH($G121,绊状态确认!$B:$B,))/4-15))+IF($F121="R",INDEX(绊状态确认!$Q:$Q,MATCH($G121,绊状态确认!$B:$B,))/6-40/6)))*(INDEX(绊状态确认!$H:$H,MATCH($G121,绊状态确认!$B:$B,))+INDEX(绊状态确认!L:L,MATCH($G121,绊状态确认!$B:$B,)))</f>
        <v>5340.5072543999995</v>
      </c>
      <c r="AO121" s="1107">
        <f t="shared" si="109"/>
        <v>1</v>
      </c>
      <c r="AP121" s="1131">
        <f>1+(INDEX(绊状态确认!$T:$T,MATCH($G121,绊状态确认!$B:$B,))+0.2)*$AO121</f>
        <v>1.3</v>
      </c>
      <c r="AQ121" s="1108">
        <f t="shared" si="110"/>
        <v>16855.261490799996</v>
      </c>
      <c r="AR121" s="1097">
        <f>(AM121*(1+$EX$9)+$EX$35)*(1+(INDEX(绊状态确认!$T:$T,MATCH($G121,绊状态确认!$B:$B,))+0.2)*AO121)*IF(J121=$FF$17,1+$FE$17,1)*IF(I121=$FF$14,1+$FE$14,1)</f>
        <v>9778.7359752159991</v>
      </c>
      <c r="AS121" s="1097">
        <f>(AN121*(1+$EX$10)+$EX$36)*(1+(INDEX(绊状态确认!$T:$T,MATCH($G121,绊状态确认!$B:$B,))+0.2)*AO121)*IF(J121=$FF$17,1+$FE$17,1)*IF(I121=$FF$14,1+$FE$14,1)</f>
        <v>12040.058345328</v>
      </c>
      <c r="AT121" s="1093">
        <f>IF(AND(INDEX('卡片raw data'!AK:AK,MATCH($D121,'卡片raw data'!$F:$F,))&lt;INDEX('卡片raw data'!AM:AM,MATCH($D121,'卡片raw data'!$F:$F,)),INDEX('卡片raw data'!AL:AL,MATCH($D121,'卡片raw data'!$F:$F,))&lt;INDEX('卡片raw data'!AM:AM,MATCH($D121,'卡片raw data'!$F:$F,))),1,0)</f>
        <v>1</v>
      </c>
      <c r="AU121" s="1098">
        <f>MIN(AT121*0.15+AS121*0.00003+INDEX(绊状态确认!M:M,MATCH($G121,绊状态确认!$B:$B,)),1)</f>
        <v>0.54120175035983997</v>
      </c>
      <c r="AV121" s="1109">
        <f>(INDEX(绊状态确认!$N:$N,MATCH($G121,绊状态确认!$B:$B,))+1.5)*$EW$21</f>
        <v>2.6599999999999997</v>
      </c>
      <c r="AW121" s="1101">
        <f t="shared" si="111"/>
        <v>16618.025388420872</v>
      </c>
      <c r="AX121" s="1097">
        <f t="shared" si="112"/>
        <v>833.22525747911948</v>
      </c>
      <c r="AY121" s="1110">
        <f t="shared" si="113"/>
        <v>17451.250645899992</v>
      </c>
      <c r="AZ121" s="429">
        <f t="shared" si="114"/>
        <v>12706.765678879998</v>
      </c>
      <c r="BA121" s="431">
        <f t="shared" si="115"/>
        <v>15248.118814655996</v>
      </c>
      <c r="BB121" s="1097">
        <f>(AM121*(1+$FB$9)+$FB$35)*(1+(INDEX(绊状态确认!$T:$T,MATCH($G121,绊状态确认!$B:$B,))+0.2)*AO121)*IF(J121=$FF$17,1+$FE$17,1)*IF(I121=$FF$14,1+$FE$14,1)*(1+$FE$15)</f>
        <v>9778.7359752159991</v>
      </c>
      <c r="BC121" s="1097">
        <f>(AN121*(1+$FB$10)+$FB$36)*(1+(INDEX(绊状态确认!$T:$T,MATCH($G121,绊状态确认!$B:$B,))+0.2)*AO121)*IF(J121=$FF$17,1+$FE$17,1)*IF(I121=$FF$14,1+$FE$14,1)*(1+$FE$15)</f>
        <v>12040.058345328</v>
      </c>
      <c r="BD121" s="1104">
        <f>MIN(AT121*0.15+BC121*0.00003+INDEX(绊状态确认!M:M,MATCH($G121,绊状态确认!$B:$B,)),1)</f>
        <v>0.54120175035983997</v>
      </c>
      <c r="BE121" s="432">
        <f>(INDEX(绊状态确认!$N:$N,MATCH($G121,绊状态确认!$B:$B,))+1.5)</f>
        <v>1.9</v>
      </c>
      <c r="BF121" s="1139">
        <f t="array" ref="BF121">SUMPRODUCT(IF(AZ121*AP121*$FI$16:$FI$23*$FA$22&gt;=$FI$24,$FI$24,AZ121*AP121*$FI$16:$FI$23*$FA$22),$FJ$16:$FJ$23)</f>
        <v>25273.756935292316</v>
      </c>
      <c r="BG121" s="1125">
        <f t="array" ref="BG121">SUMPRODUCT(IF(BE121*AZ121*AP121*$FI$16:$FI$23*$FA$22&gt;=$FI$24,$FI$24,BE121*AZ121*AP121*$FI$16:$FI$23*$FA$22),$FJ$16:$FJ$23)</f>
        <v>48020.138177055407</v>
      </c>
      <c r="BH121" s="1110">
        <f t="shared" si="116"/>
        <v>12528.046092562245</v>
      </c>
      <c r="BI121" s="1111">
        <f>IF(O121="vo",$EW$26/$EW$24*0.05,0)+IF(O121="sk",-$EW$26/$EW$24*(0.05-INDEX(绊状态确认!W:W,MATCH($G121,绊状态确认!$B:$B,)))+0.05*$EW$28,0)+IF(O121="sp",0.05*$EW$32*$EW$30*(1-$EW$33)-(0.05-INDEX(绊状态确认!V:V,MATCH($G121,绊状态确认!$B:$B,)))*$EW$28,0)+IF(O121="gd",-(0.05-INDEX(绊状态确认!X:X,MATCH($G121,绊状态确认!$B:$B,)))*$EW$32*$EW$30*(1-$EW$33),0)</f>
        <v>-585.00000000000011</v>
      </c>
      <c r="BJ121" s="1097">
        <f>IF(O121="vo",0.05*(1-$FI$26)*$FA$24,0)+IF(O121="sk",-(0.05-INDEX(绊状态确认!W:W,MATCH($G121,绊状态确认!$B:$B,)))*(1-$FI$26)*$FA$24+0.05*$FA$26,0)+IF(O121="sp",0.05*$FA$32*$FA$27*(1-$FA$33)/$FA$30+0.05*$FA$29/$FA$69*$FA$27*(1-$FA$33)-(0.05-INDEX(绊状态确认!V:V,MATCH($G121,绊状态确认!$B:$B,)))*$FA$26,0)+IF(O121="gd",-(0.05-INDEX(绊状态确认!X:X,MATCH($G121,绊状态确认!$B:$B,)))*$FA$32*$FA$27*(1-$FA$33)/$FA$30-(0.05-INDEX(绊状态确认!X:X,MATCH($G121,绊状态确认!$B:$B,)))*$FA$29/$FA$69*$FA$27*(1-$FA$33),0)</f>
        <v>-795.00000000000011</v>
      </c>
      <c r="BK121" s="1110">
        <f>IF(O121="vo",$EW$26/$EW$24*0.05+$EW$26*(-HP($EW$62,$EW$65,$EW$64)+HP($EW$62,$EW$65,(1.05-INDEX(绊状态确认!U:U,MATCH($G121,绊状态确认!$B:$B,)))*$EW$64)),0)+IF(O121="sk",-$EW$26/$EW$24*(0.05-INDEX(绊状态确认!W:W,MATCH($G121,绊状态确认!$B:$B,)))+0.05*$EW$29,0)+IF(O121="sp",0.05*$EW$32*$EW$30*(1-$EW$33)-(0.05-INDEX(绊状态确认!V:V,MATCH($G121,绊状态确认!$B:$B,)))*$EW$29,0)+IF(O121="gd",-(0.05-INDEX(绊状态确认!X:X,MATCH($G121,绊状态确认!$B:$B,)))*$EW$32*$EW$30*(1-$EW$33)+$EW$26*(-HP($EW$62,$EW$65,$EW$64)+HP($EW$62,$EW$65,0.95*$EW$64)),0)</f>
        <v>1009.5947725176144</v>
      </c>
      <c r="BL121" s="1111">
        <f t="shared" si="117"/>
        <v>-1083.3333333333333</v>
      </c>
      <c r="BM121" s="1110">
        <f t="shared" si="118"/>
        <v>-830.55555555555543</v>
      </c>
      <c r="BN121" s="1113">
        <f t="shared" si="119"/>
        <v>3</v>
      </c>
      <c r="BO121" s="1097">
        <f t="shared" si="120"/>
        <v>4507.7214871259994</v>
      </c>
      <c r="BP121" s="1100">
        <f t="shared" si="121"/>
        <v>221.34103209030098</v>
      </c>
      <c r="BQ121" s="1113" t="s">
        <v>624</v>
      </c>
      <c r="BR121" s="1124" t="s">
        <v>171</v>
      </c>
      <c r="BS121" s="1098">
        <f>IF($P121="","N/A",IF($P121=-1,INDEX('卡片raw data'!AX:AX,MATCH($D121,'卡片raw data'!$F:$F,)),0)+IF($L121="party卡",IF($P121=5,INDEX('卡片raw data'!BD:BD,MATCH($D121,'卡片raw data'!$F:$F,)),IF($P121&gt;=3,INDEX('卡片raw data'!BC:BC,MATCH($D121,'卡片raw data'!$F:$F,)),INDEX('卡片raw data'!BB:BB,MATCH($D121,'卡片raw data'!$F:$F,)))),IF(OR(AND($F121="UR",$P121=0),AND($F121="SR",$P121&gt;=0,$P121&lt;=2),AND($F121="R",$P121&gt;=0,$P121&lt;4)),INDEX('卡片raw data'!AZ:AZ,MATCH($D121,'卡片raw data'!$F:$F,)),0)+IF(OR(AND($F121="UR",$P121&gt;=1,$P121&lt;=4),AND($F121="SR",$P121&lt;=4,$P121&gt;=3),AND($F121="R",$P121=4)),INDEX('卡片raw data'!BA:BA,MATCH($D121,'卡片raw data'!$F:$F,)),0)+IF($P121=5,INDEX('卡片raw data'!BB:BB,MATCH($D121,'卡片raw data'!$F:$F,)),0)))</f>
        <v>3.2000000000000001E-2</v>
      </c>
      <c r="BT121" s="1101">
        <f t="shared" si="122"/>
        <v>0</v>
      </c>
      <c r="BU121" s="1097">
        <f t="shared" si="123"/>
        <v>0</v>
      </c>
      <c r="BV121" s="1097">
        <f t="shared" si="124"/>
        <v>0</v>
      </c>
      <c r="BW121" s="1112">
        <f t="shared" si="125"/>
        <v>1.498285714285714</v>
      </c>
      <c r="BX121" s="1100">
        <f t="shared" si="126"/>
        <v>117.00848980993118</v>
      </c>
      <c r="BY121" s="1110">
        <f t="shared" si="127"/>
        <v>117.00848980993118</v>
      </c>
      <c r="BZ121" s="1107" t="s">
        <v>569</v>
      </c>
      <c r="CA121" s="1124"/>
      <c r="CB121" s="1098">
        <f>IF($P121="","N/A",IF($P121=-1,INDEX('卡片raw data'!BE:BE,MATCH($D121,'卡片raw data'!$F:$F,)),0)+IF($L121="party卡",IF($P121=5,INDEX('卡片raw data'!BK:BK,MATCH($D121,'卡片raw data'!$F:$F,)),IF($P121&gt;=3,INDEX('卡片raw data'!BJ:BJ,MATCH($D121,'卡片raw data'!$F:$F,)),INDEX('卡片raw data'!BI:BI,MATCH($D121,'卡片raw data'!$F:$F,)))),IF(OR(AND($F121="UR",$P121=0),AND($F121="SR",$P121&gt;=0,$P121&lt;=2),AND($F121="R",$P121&gt;=0,$P121&lt;4)),INDEX('卡片raw data'!BG:BG,MATCH($D121,'卡片raw data'!$F:$F,)),0)+IF(OR(AND($F121="UR",$P121&gt;=1,$P121&lt;=4),AND($F121="SR",$P121&lt;=4,$P121&gt;=3),AND($F121="R",$P121=4)),INDEX('卡片raw data'!BH:BH,MATCH($D121,'卡片raw data'!$F:$F,)),0)+IF($P121=5,INDEX('卡片raw data'!BI:BI,MATCH($D121,'卡片raw data'!$F:$F,)),0)))</f>
        <v>0</v>
      </c>
      <c r="CC121" s="1101">
        <f t="shared" si="128"/>
        <v>0</v>
      </c>
      <c r="CD121" s="1097">
        <f>IF(BZ121="ap",CB121*(1-$FI$26)*$FB$5/$FB$11*(+IF(CA121="全员",$FA$24,0)+IF(CA121="同作战",$FA$24,0)+IF(CA121="仲间",$FA$24*2/3,0)+IF(CA121="同属性",$FA$24*$FA$37/3,0)+IF(CA121="同年级",$FA$24*$FA$40/3,0)+IF(CA121="同学校",$FA$24*$FA$43/3,0)+IF(CA121="同小队",$FA$24*$FA$46/3,0)+IF(CA121="同type",$FA$24*INDEX($FB$49:$FB$52,MATCH(X121,$FA$49:$FA$52,))/3,0)+IF(CA121="自身",#REF!/3,0)),0)+IF(BZ121="te",CB121*(1-$FI$27)*($FA$20-1)*$FB$7/$FB$13*(+IF(CA121="全员",$FA$19*$FA$24/(1+($FA$20-1)*$FA$19),0)+IF(CA121="同作战",$FA$19*$FA$24/(1+($FA$20-1)*$FA$19),0)+IF(CA121="仲间",$FA$19*$FA$24*2/3/(1+($FA$20-1)*$FA$19),0)+IF(CA121="同属性",$FA$19*$FA$24*$FA$37/3/(1+($FA$20-1)*$FA$19),0)+IF(CA121="同年级",$FA$19*$FA$24*$FA$40/3/(1+($FA$20-1)*$FA$19),0)+IF(CA121="同学校",$FA$19*$FA$24*$FA$43/3/(1+($FA$20-1)*$FA$19),0)+IF(CA121="同小队",$FA$19*$FA$24*$FA$46/3/(1+($FA$20-1)*$FA$19),0)+IF(CA121="同type",$FA$19*$FA$24*INDEX($FB$49:$FB$52,MATCH(X121,$FA$49:$FA$52,))/3/(1+($FA$20-1)*$FA$19),0)+IF(CA121="自身",$FA$19*#REF!/3/(1+(BH121-1)*$BD121),0)),0)</f>
        <v>0</v>
      </c>
      <c r="CE121" s="1097">
        <f t="shared" si="129"/>
        <v>0</v>
      </c>
      <c r="CF121" s="1112">
        <f t="shared" si="130"/>
        <v>0</v>
      </c>
      <c r="CG121" s="1100">
        <f t="shared" si="131"/>
        <v>0</v>
      </c>
      <c r="CH121" s="1110">
        <f t="shared" si="132"/>
        <v>0</v>
      </c>
      <c r="CI121" s="1113" t="s">
        <v>570</v>
      </c>
      <c r="CJ121" s="1114">
        <v>0.4</v>
      </c>
      <c r="CK121" s="1115" t="s">
        <v>635</v>
      </c>
      <c r="CL121" s="1115" t="s">
        <v>1944</v>
      </c>
      <c r="CM121" s="1119">
        <v>0.25</v>
      </c>
      <c r="CN121" s="1115"/>
      <c r="CO121" s="1092"/>
      <c r="CP121" s="1117">
        <f t="shared" si="133"/>
        <v>0</v>
      </c>
      <c r="CQ121" s="1117">
        <f t="shared" si="134"/>
        <v>0</v>
      </c>
      <c r="CR121" s="1117">
        <f t="shared" si="135"/>
        <v>0</v>
      </c>
      <c r="CS121" s="1118">
        <f t="shared" si="136"/>
        <v>0</v>
      </c>
      <c r="CT121" s="1109">
        <f t="shared" si="137"/>
        <v>0</v>
      </c>
      <c r="CU121" s="1101">
        <f t="shared" si="138"/>
        <v>0</v>
      </c>
      <c r="CV121" s="1108">
        <f t="shared" si="139"/>
        <v>0</v>
      </c>
      <c r="CW121" s="1097">
        <f t="shared" si="140"/>
        <v>0</v>
      </c>
      <c r="CX121" s="1097">
        <f t="shared" si="141"/>
        <v>0</v>
      </c>
      <c r="CY121" s="1110">
        <f t="shared" si="142"/>
        <v>0</v>
      </c>
      <c r="CZ121" s="437"/>
      <c r="DA121" s="438"/>
      <c r="DB121" s="439" t="s">
        <v>569</v>
      </c>
      <c r="DC121" s="439"/>
      <c r="DD121" s="443"/>
      <c r="DE121" s="411"/>
      <c r="DF121" s="411"/>
      <c r="DG121" s="1116">
        <f t="shared" si="143"/>
        <v>0</v>
      </c>
      <c r="DH121" s="1116">
        <f t="shared" si="144"/>
        <v>0</v>
      </c>
      <c r="DI121" s="1116">
        <f t="shared" si="145"/>
        <v>0</v>
      </c>
      <c r="DJ121" s="442">
        <f t="shared" si="146"/>
        <v>0</v>
      </c>
      <c r="DK121" s="1109">
        <f t="shared" si="147"/>
        <v>0</v>
      </c>
      <c r="DL121" s="1101">
        <f t="shared" si="148"/>
        <v>0</v>
      </c>
      <c r="DM121" s="1097">
        <f t="shared" si="149"/>
        <v>0</v>
      </c>
      <c r="DN121" s="1097">
        <f t="shared" si="150"/>
        <v>0</v>
      </c>
      <c r="DO121" s="1097">
        <f t="shared" si="151"/>
        <v>0</v>
      </c>
      <c r="DP121" s="1110">
        <f t="shared" si="152"/>
        <v>0</v>
      </c>
      <c r="DQ121" s="1113" t="s">
        <v>636</v>
      </c>
      <c r="DR121" s="1120">
        <f t="shared" si="153"/>
        <v>0.3</v>
      </c>
      <c r="DS121" s="1124"/>
      <c r="DT121" s="1093" t="s">
        <v>552</v>
      </c>
      <c r="DU121" s="1093"/>
      <c r="DV121" s="1098">
        <f>IF($P121="","N/A",IF(P121=-1,INDEX('卡片raw data'!AN:AN,MATCH(D121,'卡片raw data'!$F:$F,)),0)+IF(AND(L121&lt;&gt;"party卡",P121&lt;=2,P121&gt;=0),INDEX('卡片raw data'!AP:AP,MATCH(D121,'卡片raw data'!$F:$F,)),0)+IF(OR(AND(L121="party卡",P121&lt;=1),AND(P121&lt;=4,L121&lt;&gt;"party卡",P121&gt;=3)),INDEX('卡片raw data'!AQ:AQ,MATCH(D121,'卡片raw data'!$F:$F,)),0)+IF(OR(P121=5,AND(L121="party卡",P121&gt;=2)),INDEX('卡片raw data'!AR:AR,MATCH(D121,'卡片raw data'!$F:$F,)),0))</f>
        <v>0.27</v>
      </c>
      <c r="DW121" s="1098">
        <f t="shared" si="154"/>
        <v>0.3</v>
      </c>
      <c r="DX121" s="1098">
        <f t="shared" si="155"/>
        <v>0.3</v>
      </c>
      <c r="DY121" s="1125">
        <f t="shared" si="156"/>
        <v>264.02587133083199</v>
      </c>
      <c r="DZ121" s="1125">
        <f t="shared" si="157"/>
        <v>228.38237870116967</v>
      </c>
      <c r="EA121" s="1098">
        <f t="shared" si="158"/>
        <v>0</v>
      </c>
      <c r="EB121" s="1121">
        <f t="shared" si="159"/>
        <v>0</v>
      </c>
      <c r="EC121" s="1101">
        <f t="shared" si="160"/>
        <v>0</v>
      </c>
      <c r="ED121" s="1097">
        <f t="shared" si="161"/>
        <v>0</v>
      </c>
      <c r="EE121" s="1110">
        <f t="shared" si="162"/>
        <v>29498.933070534</v>
      </c>
      <c r="EF121" s="1092" t="s">
        <v>711</v>
      </c>
      <c r="EG121" s="1120">
        <f t="shared" si="163"/>
        <v>0.3</v>
      </c>
      <c r="EH121" s="1124"/>
      <c r="EI121" s="1093"/>
      <c r="EJ121" s="1093"/>
      <c r="EK121" s="1097">
        <f>IF($P121="","N/A",IF(P121=-1,INDEX('卡片raw data'!AS:AS,MATCH(D121,'卡片raw data'!$F:$F,)),0)+IF(AND(L121&lt;&gt;"party卡",P121&lt;=2,P121&gt;=0),INDEX('卡片raw data'!AU:AU,MATCH(D121,'卡片raw data'!$F:$F,)),0)+IF(OR(AND(L121="party卡",P121&lt;=1),AND(P121&lt;=4,L121&lt;&gt;"party卡",P121&gt;=3)),INDEX('卡片raw data'!AV:AV,MATCH(D121,'卡片raw data'!$F:$F,)),0)+IF(OR(P121=5,AND(L121="party卡",P121&gt;=2)),INDEX('卡片raw data'!AW:AW,MATCH(D121,'卡片raw data'!$F:$F,)),0))</f>
        <v>0</v>
      </c>
      <c r="EL121" s="1098">
        <f t="shared" si="164"/>
        <v>0.3</v>
      </c>
      <c r="EM121" s="1098">
        <f t="shared" si="165"/>
        <v>0.3</v>
      </c>
      <c r="EN121" s="1125">
        <f t="shared" si="166"/>
        <v>0</v>
      </c>
      <c r="EO121" s="1125">
        <f t="shared" si="167"/>
        <v>0</v>
      </c>
      <c r="EP121" s="1098">
        <f t="shared" si="168"/>
        <v>0</v>
      </c>
      <c r="EQ121" s="1121">
        <f t="shared" si="169"/>
        <v>0</v>
      </c>
      <c r="ER121" s="1101">
        <f t="shared" si="170"/>
        <v>0</v>
      </c>
      <c r="ES121" s="1097">
        <f t="shared" si="171"/>
        <v>0</v>
      </c>
      <c r="ET121" s="1122">
        <f t="shared" si="172"/>
        <v>0</v>
      </c>
    </row>
    <row r="122" spans="2:150" ht="16.5" customHeight="1">
      <c r="B122" s="1123" t="str">
        <f>INDEX('卡片raw data'!B:B,MATCH($D122,'卡片raw data'!$F:$F,))</f>
        <v>动物爱</v>
      </c>
      <c r="C122" s="449" t="s">
        <v>67</v>
      </c>
      <c r="D122" s="408">
        <v>119</v>
      </c>
      <c r="E122" s="1090">
        <v>402052001</v>
      </c>
      <c r="F122" s="1090" t="str">
        <f>INDEX('卡片raw data'!C:C,MATCH($D122,'卡片raw data'!$F:$F,))</f>
        <v>SR</v>
      </c>
      <c r="G122" s="1094" t="s">
        <v>354</v>
      </c>
      <c r="H122" s="411">
        <f>IFERROR(INDEX(绊状态确认!C:C,MATCH($G122,绊状态确认!$B:$B,)),"")</f>
        <v>205</v>
      </c>
      <c r="I122" s="450" t="str">
        <f>IFERROR(INDEX(绊状态确认!D:D,MATCH($G122,绊状态确认!$B:$B,)),"")</f>
        <v>虹</v>
      </c>
      <c r="J122" s="450" t="str">
        <f>IFERROR(INDEX(绊状态确认!E:E,MATCH($G122,绊状态确认!$B:$B,)),"")</f>
        <v>2年级</v>
      </c>
      <c r="K122" s="451" t="str">
        <f>IFERROR(INDEX(绊状态确认!F:F,MATCH($G122,绊状态确认!$B:$B,)),"")</f>
        <v>Diver Diva</v>
      </c>
      <c r="L122" s="1094" t="str">
        <f>INDEX('卡片raw data'!E:E,MATCH($D122,'卡片raw data'!$F:$F,))</f>
        <v>活动卡</v>
      </c>
      <c r="M122" s="415">
        <v>43775</v>
      </c>
      <c r="N122" s="416">
        <v>3</v>
      </c>
      <c r="O122" s="1091" t="str">
        <f>INDEX('卡片raw data'!D:D,MATCH($D122,'卡片raw data'!$F:$F,))</f>
        <v>sp</v>
      </c>
      <c r="P122" s="417">
        <v>5</v>
      </c>
      <c r="Q122" s="1095">
        <f t="shared" si="88"/>
        <v>24808.265725121524</v>
      </c>
      <c r="R122" s="1096">
        <f t="shared" si="89"/>
        <v>0.28799999999999998</v>
      </c>
      <c r="S122" s="1097">
        <f t="shared" si="90"/>
        <v>14390.70693295359</v>
      </c>
      <c r="T122" s="1098">
        <f t="shared" si="91"/>
        <v>0.71899999999999997</v>
      </c>
      <c r="U122" s="1099">
        <f t="shared" si="92"/>
        <v>10.477217116302855</v>
      </c>
      <c r="V122" s="1100">
        <f t="shared" si="93"/>
        <v>23841.490982600644</v>
      </c>
      <c r="W122" s="1101">
        <f t="shared" si="94"/>
        <v>5410.2633400117393</v>
      </c>
      <c r="X122" s="1096">
        <f t="shared" si="95"/>
        <v>6.2E-2</v>
      </c>
      <c r="Y122" s="1097">
        <f t="shared" si="96"/>
        <v>833.22525747911914</v>
      </c>
      <c r="Z122" s="1102">
        <f t="shared" si="97"/>
        <v>10.477217116302855</v>
      </c>
      <c r="AA122" s="1103">
        <f t="shared" si="98"/>
        <v>6243.4885974908584</v>
      </c>
      <c r="AB122" s="1101">
        <f t="shared" si="99"/>
        <v>6103.5736700339821</v>
      </c>
      <c r="AC122" s="1104">
        <f t="shared" si="100"/>
        <v>7.0000000000000007E-2</v>
      </c>
      <c r="AD122" s="1105">
        <f t="shared" si="101"/>
        <v>-1.9908281250000003E-2</v>
      </c>
      <c r="AE122" s="1128">
        <f t="shared" si="102"/>
        <v>41.586625724637678</v>
      </c>
      <c r="AF122" s="1130">
        <f t="shared" si="103"/>
        <v>0</v>
      </c>
      <c r="AG122" s="420">
        <f t="shared" si="104"/>
        <v>0</v>
      </c>
      <c r="AH122" s="420">
        <f t="shared" si="105"/>
        <v>0</v>
      </c>
      <c r="AI122" s="1097">
        <f t="shared" si="106"/>
        <v>0</v>
      </c>
      <c r="AJ122" s="420">
        <f t="shared" si="107"/>
        <v>0</v>
      </c>
      <c r="AK122" s="518">
        <f t="shared" si="108"/>
        <v>0</v>
      </c>
      <c r="AL122" s="1106">
        <f>IF($P122="","N/A",(IF($P122=-1,INDEX('卡片raw data'!S:S,MATCH($D122,'卡片raw data'!$F:$F,)),0)+IF($P122=0,INDEX('卡片raw data'!V:V,MATCH($D122,'卡片raw data'!$F:$F,)),0)+IF($P122=1,INDEX('卡片raw data'!Y:Y,MATCH($D122,'卡片raw data'!$F:$F,)),0)+IF($P122=2,INDEX('卡片raw data'!AB:AB,MATCH($D122,'卡片raw data'!$F:$F,)),0)+IF($P122=3,INDEX('卡片raw data'!AE:AE,MATCH($D122,'卡片raw data'!$F:$F,)),0)+IF($P122=4,INDEX('卡片raw data'!AH:AH,MATCH($D122,'卡片raw data'!$F:$F,)),0)+IF($P122=5,INDEX('卡片raw data'!AK:AK,MATCH($D122,'卡片raw data'!$F:$F,)),0)+INDEX('卡片raw data'!S:S,MATCH($D122,'卡片raw data'!$F:$F,))*(IF($F122="UR",0.04,0.033))*(IF($F122="UR",INDEX(绊状态确认!$S:$S,MATCH($G122,绊状态确认!$B:$B,))/2-40)+IF($F122="SR",INDEX(绊状态确认!$R:$R,MATCH($G122,绊状态确认!$B:$B,))/4-15))+IF($F122="R",INDEX(绊状态确认!$Q:$Q,MATCH($G122,绊状态确认!$B:$B,))/6-40/6)))*(INDEX(绊状态确认!$H:$H,MATCH($G122,绊状态确认!$B:$B,))+INDEX(绊状态确认!J:J,MATCH($G122,绊状态确认!$B:$B,)))</f>
        <v>5182.9567583999988</v>
      </c>
      <c r="AM122" s="1106">
        <f>IF($P122="","N/A",(IF($P122=-1,INDEX('卡片raw data'!T:T,MATCH($D122,'卡片raw data'!$F:$F,)),0)+IF($P122=0,INDEX('卡片raw data'!W:W,MATCH($D122,'卡片raw data'!$F:$F,)),0)+IF($P122=1,INDEX('卡片raw data'!Z:Z,MATCH($D122,'卡片raw data'!$F:$F,)),0)+IF($P122=2,INDEX('卡片raw data'!AC:AC,MATCH($D122,'卡片raw data'!$F:$F,)),0)+IF($P122=3,INDEX('卡片raw data'!AF:AF,MATCH($D122,'卡片raw data'!$F:$F,)),0)+IF($P122=4,INDEX('卡片raw data'!AI:AI,MATCH($D122,'卡片raw data'!$F:$F,)),0)+IF($P122=5,INDEX('卡片raw data'!AL:AL,MATCH($D122,'卡片raw data'!$F:$F,)),0)+INDEX('卡片raw data'!T:T,MATCH($D122,'卡片raw data'!$F:$F,))*(IF($F122="UR",0.04,0.033))*(IF($F122="UR",INDEX(绊状态确认!$S:$S,MATCH($G122,绊状态确认!$B:$B,))/2-40)+IF($F122="SR",INDEX(绊状态确认!$R:$R,MATCH($G122,绊状态确认!$B:$B,))/4-15))+IF($F122="R",INDEX(绊状态确认!$Q:$Q,MATCH($G122,绊状态确认!$B:$B,))/6-40/6)))*(INDEX(绊状态确认!$H:$H,MATCH($G122,绊状态确认!$B:$B,))+INDEX(绊状态确认!K:K,MATCH($G122,绊状态确认!$B:$B,)))</f>
        <v>5182.9567583999988</v>
      </c>
      <c r="AN122" s="1106">
        <f>IF($P122="","N/A",(IF($P122=-1,INDEX('卡片raw data'!U:U,MATCH($D122,'卡片raw data'!$F:$F,)),0)+IF($P122=0,INDEX('卡片raw data'!X:X,MATCH($D122,'卡片raw data'!$F:$F,)),0)+IF($P122=1,INDEX('卡片raw data'!AA:AA,MATCH($D122,'卡片raw data'!$F:$F,)),0)+IF($P122=2,INDEX('卡片raw data'!AD:AD,MATCH($D122,'卡片raw data'!$F:$F,)),0)+IF($P122=3,INDEX('卡片raw data'!AG:AG,MATCH($D122,'卡片raw data'!$F:$F,)),0)+IF($P122=4,INDEX('卡片raw data'!AJ:AJ,MATCH($D122,'卡片raw data'!$F:$F,)),0)+IF($P122=5,INDEX('卡片raw data'!AM:AM,MATCH($D122,'卡片raw data'!$F:$F,)),0)+INDEX('卡片raw data'!U:U,MATCH($D122,'卡片raw data'!$F:$F,))*(IF($F122="UR",0.04,0.033))*(IF($F122="UR",INDEX(绊状态确认!$S:$S,MATCH($G122,绊状态确认!$B:$B,))/2-40)+IF($F122="SR",INDEX(绊状态确认!$R:$R,MATCH($G122,绊状态确认!$B:$B,))/4-15))+IF($F122="R",INDEX(绊状态确认!$Q:$Q,MATCH($G122,绊状态确认!$B:$B,))/6-40/6)))*(INDEX(绊状态确认!$H:$H,MATCH($G122,绊状态确认!$B:$B,))+INDEX(绊状态确认!L:L,MATCH($G122,绊状态确认!$B:$B,)))</f>
        <v>5340.5072543999995</v>
      </c>
      <c r="AO122" s="1107">
        <f t="shared" si="109"/>
        <v>1</v>
      </c>
      <c r="AP122" s="1131">
        <f>1+(INDEX(绊状态确认!$T:$T,MATCH($G122,绊状态确认!$B:$B,))+0.2)*$AO122</f>
        <v>1.3</v>
      </c>
      <c r="AQ122" s="1108">
        <f t="shared" si="110"/>
        <v>16855.261490799996</v>
      </c>
      <c r="AR122" s="1097">
        <f>(AM122*(1+$EX$9)+$EX$35)*(1+(INDEX(绊状态确认!$T:$T,MATCH($G122,绊状态确认!$B:$B,))+0.2)*AO122)*IF(J122=$FF$17,1+$FE$17,1)*IF(I122=$FF$14,1+$FE$14,1)</f>
        <v>9778.7359752159991</v>
      </c>
      <c r="AS122" s="1097">
        <f>(AN122*(1+$EX$10)+$EX$36)*(1+(INDEX(绊状态确认!$T:$T,MATCH($G122,绊状态确认!$B:$B,))+0.2)*AO122)*IF(J122=$FF$17,1+$FE$17,1)*IF(I122=$FF$14,1+$FE$14,1)</f>
        <v>12040.058345328</v>
      </c>
      <c r="AT122" s="1093">
        <f>IF(AND(INDEX('卡片raw data'!AK:AK,MATCH($D122,'卡片raw data'!$F:$F,))&lt;INDEX('卡片raw data'!AM:AM,MATCH($D122,'卡片raw data'!$F:$F,)),INDEX('卡片raw data'!AL:AL,MATCH($D122,'卡片raw data'!$F:$F,))&lt;INDEX('卡片raw data'!AM:AM,MATCH($D122,'卡片raw data'!$F:$F,))),1,0)</f>
        <v>1</v>
      </c>
      <c r="AU122" s="1098">
        <f>MIN(AT122*0.15+AS122*0.00003+INDEX(绊状态确认!M:M,MATCH($G122,绊状态确认!$B:$B,)),1)</f>
        <v>0.54120175035983997</v>
      </c>
      <c r="AV122" s="1109">
        <f>(INDEX(绊状态确认!$N:$N,MATCH($G122,绊状态确认!$B:$B,))+1.5)*$EW$21</f>
        <v>2.6599999999999997</v>
      </c>
      <c r="AW122" s="1101">
        <f t="shared" si="111"/>
        <v>16618.025388420872</v>
      </c>
      <c r="AX122" s="1097">
        <f t="shared" si="112"/>
        <v>833.22525747911948</v>
      </c>
      <c r="AY122" s="1110">
        <f t="shared" si="113"/>
        <v>17451.250645899992</v>
      </c>
      <c r="AZ122" s="429">
        <f t="shared" si="114"/>
        <v>12706.765678879998</v>
      </c>
      <c r="BA122" s="431">
        <f t="shared" si="115"/>
        <v>15248.118814655996</v>
      </c>
      <c r="BB122" s="1097">
        <f>(AM122*(1+$FB$9)+$FB$35)*(1+(INDEX(绊状态确认!$T:$T,MATCH($G122,绊状态确认!$B:$B,))+0.2)*AO122)*IF(J122=$FF$17,1+$FE$17,1)*IF(I122=$FF$14,1+$FE$14,1)*(1+$FE$15)</f>
        <v>9778.7359752159991</v>
      </c>
      <c r="BC122" s="1097">
        <f>(AN122*(1+$FB$10)+$FB$36)*(1+(INDEX(绊状态确认!$T:$T,MATCH($G122,绊状态确认!$B:$B,))+0.2)*AO122)*IF(J122=$FF$17,1+$FE$17,1)*IF(I122=$FF$14,1+$FE$14,1)*(1+$FE$15)</f>
        <v>12040.058345328</v>
      </c>
      <c r="BD122" s="1104">
        <f>MIN(AT122*0.15+BC122*0.00003+INDEX(绊状态确认!M:M,MATCH($G122,绊状态确认!$B:$B,)),1)</f>
        <v>0.54120175035983997</v>
      </c>
      <c r="BE122" s="432">
        <f>(INDEX(绊状态确认!$N:$N,MATCH($G122,绊状态确认!$B:$B,))+1.5)</f>
        <v>1.9</v>
      </c>
      <c r="BF122" s="1139">
        <f t="array" ref="BF122">SUMPRODUCT(IF(AZ122*AP122*$FI$16:$FI$23*$FA$22&gt;=$FI$24,$FI$24,AZ122*AP122*$FI$16:$FI$23*$FA$22),$FJ$16:$FJ$23)</f>
        <v>25273.756935292316</v>
      </c>
      <c r="BG122" s="1125">
        <f t="array" ref="BG122">SUMPRODUCT(IF(BE122*AZ122*AP122*$FI$16:$FI$23*$FA$22&gt;=$FI$24,$FI$24,BE122*AZ122*AP122*$FI$16:$FI$23*$FA$22),$FJ$16:$FJ$23)</f>
        <v>48020.138177055407</v>
      </c>
      <c r="BH122" s="1110">
        <f t="shared" si="116"/>
        <v>12528.046092562245</v>
      </c>
      <c r="BI122" s="1111">
        <f>IF(O122="vo",$EW$26/$EW$24*0.05,0)+IF(O122="sk",-$EW$26/$EW$24*(0.05-INDEX(绊状态确认!W:W,MATCH($G122,绊状态确认!$B:$B,)))+0.05*$EW$28,0)+IF(O122="sp",0.05*$EW$32*$EW$30*(1-$EW$33)-(0.05-INDEX(绊状态确认!V:V,MATCH($G122,绊状态确认!$B:$B,)))*$EW$28,0)+IF(O122="gd",-(0.05-INDEX(绊状态确认!X:X,MATCH($G122,绊状态确认!$B:$B,)))*$EW$32*$EW$30*(1-$EW$33),0)</f>
        <v>19.999999999999886</v>
      </c>
      <c r="BJ122" s="1097">
        <f>IF(O122="vo",0.05*(1-$FI$26)*$FA$24,0)+IF(O122="sk",-(0.05-INDEX(绊状态确认!W:W,MATCH($G122,绊状态确认!$B:$B,)))*(1-$FI$26)*$FA$24+0.05*$FA$26,0)+IF(O122="sp",0.05*$FA$32*$FA$27*(1-$FA$33)/$FA$30+0.05*$FA$29/$FA$69*$FA$27*(1-$FA$33)-(0.05-INDEX(绊状态确认!V:V,MATCH($G122,绊状态确认!$B:$B,)))*$FA$26,0)+IF(O122="gd",-(0.05-INDEX(绊状态确认!X:X,MATCH($G122,绊状态确认!$B:$B,)))*$FA$32*$FA$27*(1-$FA$33)/$FA$30-(0.05-INDEX(绊状态确认!X:X,MATCH($G122,绊状态确认!$B:$B,)))*$FA$29/$FA$69*$FA$27*(1-$FA$33),0)</f>
        <v>545.83333333333326</v>
      </c>
      <c r="BK122" s="1110">
        <f>IF(O122="vo",$EW$26/$EW$24*0.05+$EW$26*(-HP($EW$62,$EW$65,$EW$64)+HP($EW$62,$EW$65,(1.05-INDEX(绊状态确认!U:U,MATCH($G122,绊状态确认!$B:$B,)))*$EW$64)),0)+IF(O122="sk",-$EW$26/$EW$24*(0.05-INDEX(绊状态确认!W:W,MATCH($G122,绊状态确认!$B:$B,)))+0.05*$EW$29,0)+IF(O122="sp",0.05*$EW$32*$EW$30*(1-$EW$33)-(0.05-INDEX(绊状态确认!V:V,MATCH($G122,绊状态确认!$B:$B,)))*$EW$29,0)+IF(O122="gd",-(0.05-INDEX(绊状态确认!X:X,MATCH($G122,绊状态确认!$B:$B,)))*$EW$32*$EW$30*(1-$EW$33)+$EW$26*(-HP($EW$62,$EW$65,$EW$64)+HP($EW$62,$EW$65,0.95*$EW$64)),0)</f>
        <v>-1780.0000000000005</v>
      </c>
      <c r="BL122" s="1111">
        <f t="shared" si="117"/>
        <v>-1083.3333333333333</v>
      </c>
      <c r="BM122" s="1110">
        <f t="shared" si="118"/>
        <v>-830.55555555555543</v>
      </c>
      <c r="BN122" s="1113">
        <f t="shared" si="119"/>
        <v>3</v>
      </c>
      <c r="BO122" s="1097">
        <f t="shared" si="120"/>
        <v>4507.7214871259994</v>
      </c>
      <c r="BP122" s="1100">
        <f t="shared" si="121"/>
        <v>221.34103209030098</v>
      </c>
      <c r="BQ122" s="1113" t="s">
        <v>626</v>
      </c>
      <c r="BR122" s="1124" t="s">
        <v>557</v>
      </c>
      <c r="BS122" s="1098">
        <f>IF($P122="","N/A",IF($P122=-1,INDEX('卡片raw data'!AX:AX,MATCH($D122,'卡片raw data'!$F:$F,)),0)+IF($L122="party卡",IF($P122=5,INDEX('卡片raw data'!BD:BD,MATCH($D122,'卡片raw data'!$F:$F,)),IF($P122&gt;=3,INDEX('卡片raw data'!BC:BC,MATCH($D122,'卡片raw data'!$F:$F,)),INDEX('卡片raw data'!BB:BB,MATCH($D122,'卡片raw data'!$F:$F,)))),IF(OR(AND($F122="UR",$P122=0),AND($F122="SR",$P122&gt;=0,$P122&lt;=2),AND($F122="R",$P122&gt;=0,$P122&lt;4)),INDEX('卡片raw data'!AZ:AZ,MATCH($D122,'卡片raw data'!$F:$F,)),0)+IF(OR(AND($F122="UR",$P122&gt;=1,$P122&lt;=4),AND($F122="SR",$P122&lt;=4,$P122&gt;=3),AND($F122="R",$P122=4)),INDEX('卡片raw data'!BA:BA,MATCH($D122,'卡片raw data'!$F:$F,)),0)+IF($P122=5,INDEX('卡片raw data'!BB:BB,MATCH($D122,'卡片raw data'!$F:$F,)),0)))</f>
        <v>4.2000000000000003E-2</v>
      </c>
      <c r="BT122" s="1101">
        <f t="shared" si="122"/>
        <v>1584.7093257651256</v>
      </c>
      <c r="BU122" s="1097">
        <f t="shared" si="123"/>
        <v>171.9406416343781</v>
      </c>
      <c r="BV122" s="1097">
        <f t="shared" si="124"/>
        <v>891.39899574288302</v>
      </c>
      <c r="BW122" s="1112">
        <f t="shared" si="125"/>
        <v>0</v>
      </c>
      <c r="BX122" s="1100">
        <f t="shared" si="126"/>
        <v>1584.7093257651256</v>
      </c>
      <c r="BY122" s="1110">
        <f t="shared" si="127"/>
        <v>891.39899574288302</v>
      </c>
      <c r="BZ122" s="1107" t="s">
        <v>569</v>
      </c>
      <c r="CA122" s="1124"/>
      <c r="CB122" s="1098">
        <f>IF($P122="","N/A",IF($P122=-1,INDEX('卡片raw data'!BE:BE,MATCH($D122,'卡片raw data'!$F:$F,)),0)+IF($L122="party卡",IF($P122=5,INDEX('卡片raw data'!BK:BK,MATCH($D122,'卡片raw data'!$F:$F,)),IF($P122&gt;=3,INDEX('卡片raw data'!BJ:BJ,MATCH($D122,'卡片raw data'!$F:$F,)),INDEX('卡片raw data'!BI:BI,MATCH($D122,'卡片raw data'!$F:$F,)))),IF(OR(AND($F122="UR",$P122=0),AND($F122="SR",$P122&gt;=0,$P122&lt;=2),AND($F122="R",$P122&gt;=0,$P122&lt;4)),INDEX('卡片raw data'!BG:BG,MATCH($D122,'卡片raw data'!$F:$F,)),0)+IF(OR(AND($F122="UR",$P122&gt;=1,$P122&lt;=4),AND($F122="SR",$P122&lt;=4,$P122&gt;=3),AND($F122="R",$P122=4)),INDEX('卡片raw data'!BH:BH,MATCH($D122,'卡片raw data'!$F:$F,)),0)+IF($P122=5,INDEX('卡片raw data'!BI:BI,MATCH($D122,'卡片raw data'!$F:$F,)),0)))</f>
        <v>0</v>
      </c>
      <c r="CC122" s="1101">
        <f t="shared" si="128"/>
        <v>0</v>
      </c>
      <c r="CD122" s="1097">
        <f>IF(BZ122="ap",CB122*(1-$FI$26)*$FB$5/$FB$11*(+IF(CA122="全员",$FA$24,0)+IF(CA122="同作战",$FA$24,0)+IF(CA122="仲间",$FA$24*2/3,0)+IF(CA122="同属性",$FA$24*$FA$37/3,0)+IF(CA122="同年级",$FA$24*$FA$40/3,0)+IF(CA122="同学校",$FA$24*$FA$43/3,0)+IF(CA122="同小队",$FA$24*$FA$46/3,0)+IF(CA122="同type",$FA$24*INDEX($FB$49:$FB$52,MATCH(X122,$FA$49:$FA$52,))/3,0)+IF(CA122="自身",#REF!/3,0)),0)+IF(BZ122="te",CB122*(1-$FI$27)*($FA$20-1)*$FB$7/$FB$13*(+IF(CA122="全员",$FA$19*$FA$24/(1+($FA$20-1)*$FA$19),0)+IF(CA122="同作战",$FA$19*$FA$24/(1+($FA$20-1)*$FA$19),0)+IF(CA122="仲间",$FA$19*$FA$24*2/3/(1+($FA$20-1)*$FA$19),0)+IF(CA122="同属性",$FA$19*$FA$24*$FA$37/3/(1+($FA$20-1)*$FA$19),0)+IF(CA122="同年级",$FA$19*$FA$24*$FA$40/3/(1+($FA$20-1)*$FA$19),0)+IF(CA122="同学校",$FA$19*$FA$24*$FA$43/3/(1+($FA$20-1)*$FA$19),0)+IF(CA122="同小队",$FA$19*$FA$24*$FA$46/3/(1+($FA$20-1)*$FA$19),0)+IF(CA122="同type",$FA$19*$FA$24*INDEX($FB$49:$FB$52,MATCH(X122,$FA$49:$FA$52,))/3/(1+($FA$20-1)*$FA$19),0)+IF(CA122="自身",$FA$19*#REF!/3/(1+(BH122-1)*$BD122),0)),0)</f>
        <v>0</v>
      </c>
      <c r="CE122" s="1097">
        <f t="shared" si="129"/>
        <v>0</v>
      </c>
      <c r="CF122" s="1112">
        <f t="shared" si="130"/>
        <v>0</v>
      </c>
      <c r="CG122" s="1100">
        <f t="shared" si="131"/>
        <v>0</v>
      </c>
      <c r="CH122" s="1110">
        <f t="shared" si="132"/>
        <v>0</v>
      </c>
      <c r="CI122" s="1113" t="s">
        <v>165</v>
      </c>
      <c r="CJ122" s="1114">
        <v>0.3</v>
      </c>
      <c r="CK122" s="1115" t="s">
        <v>565</v>
      </c>
      <c r="CL122" s="1115" t="s">
        <v>161</v>
      </c>
      <c r="CM122" s="1119">
        <v>0.08</v>
      </c>
      <c r="CN122" s="1115">
        <v>10</v>
      </c>
      <c r="CO122" s="1092"/>
      <c r="CP122" s="1118">
        <f t="shared" si="133"/>
        <v>8.571428571428571E-4</v>
      </c>
      <c r="CQ122" s="1118">
        <f t="shared" si="134"/>
        <v>1.3333333333333333E-3</v>
      </c>
      <c r="CR122" s="1118">
        <f t="shared" si="135"/>
        <v>8.571428571428571E-4</v>
      </c>
      <c r="CS122" s="1118">
        <f t="shared" si="136"/>
        <v>0</v>
      </c>
      <c r="CT122" s="1109">
        <f t="shared" si="137"/>
        <v>0.27500000000000002</v>
      </c>
      <c r="CU122" s="1101">
        <f t="shared" si="138"/>
        <v>11.142857142857142</v>
      </c>
      <c r="CV122" s="1108">
        <f t="shared" si="139"/>
        <v>13.288888888888886</v>
      </c>
      <c r="CW122" s="1097">
        <f t="shared" si="140"/>
        <v>11.142857142857142</v>
      </c>
      <c r="CX122" s="1097">
        <f t="shared" si="141"/>
        <v>11.142857142857142</v>
      </c>
      <c r="CY122" s="1110">
        <f t="shared" si="142"/>
        <v>11.142857142857142</v>
      </c>
      <c r="CZ122" s="437"/>
      <c r="DA122" s="438"/>
      <c r="DB122" s="439" t="s">
        <v>569</v>
      </c>
      <c r="DC122" s="439"/>
      <c r="DD122" s="443"/>
      <c r="DE122" s="411"/>
      <c r="DF122" s="411"/>
      <c r="DG122" s="1116">
        <f t="shared" si="143"/>
        <v>0</v>
      </c>
      <c r="DH122" s="1116">
        <f t="shared" si="144"/>
        <v>0</v>
      </c>
      <c r="DI122" s="1116">
        <f t="shared" si="145"/>
        <v>0</v>
      </c>
      <c r="DJ122" s="442">
        <f t="shared" si="146"/>
        <v>0</v>
      </c>
      <c r="DK122" s="1109">
        <f t="shared" si="147"/>
        <v>0</v>
      </c>
      <c r="DL122" s="1101">
        <f t="shared" si="148"/>
        <v>0</v>
      </c>
      <c r="DM122" s="1097">
        <f t="shared" si="149"/>
        <v>0</v>
      </c>
      <c r="DN122" s="1097">
        <f t="shared" si="150"/>
        <v>0</v>
      </c>
      <c r="DO122" s="1097">
        <f t="shared" si="151"/>
        <v>0</v>
      </c>
      <c r="DP122" s="1110">
        <f t="shared" si="152"/>
        <v>0</v>
      </c>
      <c r="DQ122" s="1113" t="s">
        <v>549</v>
      </c>
      <c r="DR122" s="1120">
        <f t="shared" si="153"/>
        <v>0.3</v>
      </c>
      <c r="DS122" s="1124"/>
      <c r="DT122" s="1093" t="s">
        <v>179</v>
      </c>
      <c r="DU122" s="1093"/>
      <c r="DV122" s="1098">
        <f>IF($P122="","N/A",IF(P122=-1,INDEX('卡片raw data'!AN:AN,MATCH(D122,'卡片raw data'!$F:$F,)),0)+IF(AND(L122&lt;&gt;"party卡",P122&lt;=2,P122&gt;=0),INDEX('卡片raw data'!AP:AP,MATCH(D122,'卡片raw data'!$F:$F,)),0)+IF(OR(AND(L122="party卡",P122&lt;=1),AND(P122&lt;=4,L122&lt;&gt;"party卡",P122&gt;=3)),INDEX('卡片raw data'!AQ:AQ,MATCH(D122,'卡片raw data'!$F:$F,)),0)+IF(OR(P122=5,AND(L122="party卡",P122&gt;=2)),INDEX('卡片raw data'!AR:AR,MATCH(D122,'卡片raw data'!$F:$F,)),0))</f>
        <v>7.0000000000000007E-2</v>
      </c>
      <c r="DW122" s="1098">
        <f t="shared" si="154"/>
        <v>0.3</v>
      </c>
      <c r="DX122" s="1098">
        <f t="shared" si="155"/>
        <v>0.3</v>
      </c>
      <c r="DY122" s="1098">
        <f t="shared" si="156"/>
        <v>7.0000000000000001E-3</v>
      </c>
      <c r="DZ122" s="1098">
        <f t="shared" si="157"/>
        <v>6.9632499999999998E-3</v>
      </c>
      <c r="EA122" s="1098">
        <f t="shared" si="158"/>
        <v>0</v>
      </c>
      <c r="EB122" s="1121">
        <f t="shared" si="159"/>
        <v>42.663074999999999</v>
      </c>
      <c r="EC122" s="1101">
        <f t="shared" si="160"/>
        <v>3150</v>
      </c>
      <c r="ED122" s="1097">
        <f t="shared" si="161"/>
        <v>1740.8125</v>
      </c>
      <c r="EE122" s="1110">
        <f t="shared" si="162"/>
        <v>3150</v>
      </c>
      <c r="EF122" s="1092" t="s">
        <v>711</v>
      </c>
      <c r="EG122" s="1120">
        <f t="shared" si="163"/>
        <v>0.3</v>
      </c>
      <c r="EH122" s="1124"/>
      <c r="EI122" s="1093"/>
      <c r="EJ122" s="1093"/>
      <c r="EK122" s="1097">
        <f>IF($P122="","N/A",IF(P122=-1,INDEX('卡片raw data'!AS:AS,MATCH(D122,'卡片raw data'!$F:$F,)),0)+IF(AND(L122&lt;&gt;"party卡",P122&lt;=2,P122&gt;=0),INDEX('卡片raw data'!AU:AU,MATCH(D122,'卡片raw data'!$F:$F,)),0)+IF(OR(AND(L122="party卡",P122&lt;=1),AND(P122&lt;=4,L122&lt;&gt;"party卡",P122&gt;=3)),INDEX('卡片raw data'!AV:AV,MATCH(D122,'卡片raw data'!$F:$F,)),0)+IF(OR(P122=5,AND(L122="party卡",P122&gt;=2)),INDEX('卡片raw data'!AW:AW,MATCH(D122,'卡片raw data'!$F:$F,)),0))</f>
        <v>0</v>
      </c>
      <c r="EL122" s="1098">
        <f t="shared" si="164"/>
        <v>0.3</v>
      </c>
      <c r="EM122" s="1098">
        <f t="shared" si="165"/>
        <v>0.3</v>
      </c>
      <c r="EN122" s="1125">
        <f t="shared" si="166"/>
        <v>0</v>
      </c>
      <c r="EO122" s="1125">
        <f t="shared" si="167"/>
        <v>0</v>
      </c>
      <c r="EP122" s="1098">
        <f t="shared" si="168"/>
        <v>0</v>
      </c>
      <c r="EQ122" s="1121">
        <f t="shared" si="169"/>
        <v>0</v>
      </c>
      <c r="ER122" s="1101">
        <f t="shared" si="170"/>
        <v>0</v>
      </c>
      <c r="ES122" s="1097">
        <f t="shared" si="171"/>
        <v>0</v>
      </c>
      <c r="ET122" s="1122">
        <f t="shared" si="172"/>
        <v>0</v>
      </c>
    </row>
    <row r="123" spans="2:150" ht="16.5" customHeight="1">
      <c r="B123" s="1123" t="str">
        <f>INDEX('卡片raw data'!B:B,MATCH($D123,'卡片raw data'!$F:$F,))</f>
        <v>钢琴梨</v>
      </c>
      <c r="C123" s="449" t="s">
        <v>124</v>
      </c>
      <c r="D123" s="408">
        <v>120</v>
      </c>
      <c r="E123" s="1090">
        <v>301023001</v>
      </c>
      <c r="F123" s="1090" t="str">
        <f>INDEX('卡片raw data'!C:C,MATCH($D123,'卡片raw data'!$F:$F,))</f>
        <v>UR</v>
      </c>
      <c r="G123" s="1094" t="s">
        <v>34</v>
      </c>
      <c r="H123" s="411">
        <f>IFERROR(INDEX(绊状态确认!C:C,MATCH($G123,绊状态确认!$B:$B,)),"")</f>
        <v>102</v>
      </c>
      <c r="I123" s="450" t="str">
        <f>IFERROR(INDEX(绊状态确认!D:D,MATCH($G123,绊状态确认!$B:$B,)),"")</f>
        <v>水</v>
      </c>
      <c r="J123" s="450" t="str">
        <f>IFERROR(INDEX(绊状态确认!E:E,MATCH($G123,绊状态确认!$B:$B,)),"")</f>
        <v>2年级</v>
      </c>
      <c r="K123" s="451" t="str">
        <f>IFERROR(INDEX(绊状态确认!F:F,MATCH($G123,绊状态确认!$B:$B,)),"")</f>
        <v>Guilty Kiss</v>
      </c>
      <c r="L123" s="1094" t="str">
        <f>INDEX('卡片raw data'!E:E,MATCH($D123,'卡片raw data'!$F:$F,))</f>
        <v>卡池卡</v>
      </c>
      <c r="M123" s="415">
        <v>43784</v>
      </c>
      <c r="N123" s="416">
        <v>3.5</v>
      </c>
      <c r="O123" s="1091" t="str">
        <f>INDEX('卡片raw data'!D:D,MATCH($D123,'卡片raw data'!$F:$F,))</f>
        <v>sk</v>
      </c>
      <c r="P123" s="417">
        <v>5</v>
      </c>
      <c r="Q123" s="1095">
        <f t="shared" si="88"/>
        <v>26992.287528970686</v>
      </c>
      <c r="R123" s="1096">
        <f t="shared" si="89"/>
        <v>0.313</v>
      </c>
      <c r="S123" s="1097">
        <f t="shared" si="90"/>
        <v>18003.059326883613</v>
      </c>
      <c r="T123" s="1098">
        <f t="shared" si="91"/>
        <v>0.9</v>
      </c>
      <c r="U123" s="1099">
        <f t="shared" si="92"/>
        <v>758.05427825801144</v>
      </c>
      <c r="V123" s="1100">
        <f t="shared" si="93"/>
        <v>79535.524694311607</v>
      </c>
      <c r="W123" s="1101">
        <f t="shared" si="94"/>
        <v>4962.2669416714543</v>
      </c>
      <c r="X123" s="1096">
        <f t="shared" si="95"/>
        <v>5.7000000000000002E-2</v>
      </c>
      <c r="Y123" s="1097">
        <f t="shared" si="96"/>
        <v>2108.2060757171785</v>
      </c>
      <c r="Z123" s="1102">
        <f t="shared" si="97"/>
        <v>26.088294068571425</v>
      </c>
      <c r="AA123" s="1103">
        <f t="shared" si="98"/>
        <v>7070.4730173886328</v>
      </c>
      <c r="AB123" s="1101">
        <f t="shared" si="99"/>
        <v>4962.2669416714543</v>
      </c>
      <c r="AC123" s="1104">
        <f t="shared" si="100"/>
        <v>5.7000000000000002E-2</v>
      </c>
      <c r="AD123" s="1105">
        <f t="shared" si="101"/>
        <v>3.6005429292929297E-2</v>
      </c>
      <c r="AE123" s="1128">
        <f t="shared" si="102"/>
        <v>18.879199412796254</v>
      </c>
      <c r="AF123" s="1130">
        <f t="shared" si="103"/>
        <v>8872.3149598719992</v>
      </c>
      <c r="AG123" s="420">
        <f t="shared" si="104"/>
        <v>92083.400536000001</v>
      </c>
      <c r="AH123" s="420">
        <f t="shared" si="105"/>
        <v>10.378734406124879</v>
      </c>
      <c r="AI123" s="1097">
        <f t="shared" si="106"/>
        <v>109216.37792354067</v>
      </c>
      <c r="AJ123" s="420">
        <f t="shared" si="107"/>
        <v>79535.524694311607</v>
      </c>
      <c r="AK123" s="518">
        <f t="shared" si="108"/>
        <v>29680.853229229062</v>
      </c>
      <c r="AL123" s="1106">
        <f>IF($P123="","N/A",(IF($P123=-1,INDEX('卡片raw data'!S:S,MATCH($D123,'卡片raw data'!$F:$F,)),0)+IF($P123=0,INDEX('卡片raw data'!V:V,MATCH($D123,'卡片raw data'!$F:$F,)),0)+IF($P123=1,INDEX('卡片raw data'!Y:Y,MATCH($D123,'卡片raw data'!$F:$F,)),0)+IF($P123=2,INDEX('卡片raw data'!AB:AB,MATCH($D123,'卡片raw data'!$F:$F,)),0)+IF($P123=3,INDEX('卡片raw data'!AE:AE,MATCH($D123,'卡片raw data'!$F:$F,)),0)+IF($P123=4,INDEX('卡片raw data'!AH:AH,MATCH($D123,'卡片raw data'!$F:$F,)),0)+IF($P123=5,INDEX('卡片raw data'!AK:AK,MATCH($D123,'卡片raw data'!$F:$F,)),0)+INDEX('卡片raw data'!S:S,MATCH($D123,'卡片raw data'!$F:$F,))*(IF($F123="UR",0.04,0.033))*(IF($F123="UR",INDEX(绊状态确认!$S:$S,MATCH($G123,绊状态确认!$B:$B,))/2-40)+IF($F123="SR",INDEX(绊状态确认!$R:$R,MATCH($G123,绊状态确认!$B:$B,))/4-15))+IF($F123="R",INDEX(绊状态确认!$Q:$Q,MATCH($G123,绊状态确认!$B:$B,))/6-40/6)))*(INDEX(绊状态确认!$H:$H,MATCH($G123,绊状态确认!$B:$B,))+INDEX(绊状态确认!J:J,MATCH($G123,绊状态确认!$B:$B,)))</f>
        <v>9394.5733439999985</v>
      </c>
      <c r="AM123" s="1106">
        <f>IF($P123="","N/A",(IF($P123=-1,INDEX('卡片raw data'!T:T,MATCH($D123,'卡片raw data'!$F:$F,)),0)+IF($P123=0,INDEX('卡片raw data'!W:W,MATCH($D123,'卡片raw data'!$F:$F,)),0)+IF($P123=1,INDEX('卡片raw data'!Z:Z,MATCH($D123,'卡片raw data'!$F:$F,)),0)+IF($P123=2,INDEX('卡片raw data'!AC:AC,MATCH($D123,'卡片raw data'!$F:$F,)),0)+IF($P123=3,INDEX('卡片raw data'!AF:AF,MATCH($D123,'卡片raw data'!$F:$F,)),0)+IF($P123=4,INDEX('卡片raw data'!AI:AI,MATCH($D123,'卡片raw data'!$F:$F,)),0)+IF($P123=5,INDEX('卡片raw data'!AL:AL,MATCH($D123,'卡片raw data'!$F:$F,)),0)+INDEX('卡片raw data'!T:T,MATCH($D123,'卡片raw data'!$F:$F,))*(IF($F123="UR",0.04,0.033))*(IF($F123="UR",INDEX(绊状态确认!$S:$S,MATCH($G123,绊状态确认!$B:$B,))/2-40)+IF($F123="SR",INDEX(绊状态确认!$R:$R,MATCH($G123,绊状态确认!$B:$B,))/4-15))+IF($F123="R",INDEX(绊状态确认!$Q:$Q,MATCH($G123,绊状态确认!$B:$B,))/6-40/6)))*(INDEX(绊状态确认!$H:$H,MATCH($G123,绊状态确认!$B:$B,))+INDEX(绊状态确认!K:K,MATCH($G123,绊状态确认!$B:$B,)))</f>
        <v>12527.673599999998</v>
      </c>
      <c r="AN123" s="1106">
        <f>IF($P123="","N/A",(IF($P123=-1,INDEX('卡片raw data'!U:U,MATCH($D123,'卡片raw data'!$F:$F,)),0)+IF($P123=0,INDEX('卡片raw data'!X:X,MATCH($D123,'卡片raw data'!$F:$F,)),0)+IF($P123=1,INDEX('卡片raw data'!AA:AA,MATCH($D123,'卡片raw data'!$F:$F,)),0)+IF($P123=2,INDEX('卡片raw data'!AD:AD,MATCH($D123,'卡片raw data'!$F:$F,)),0)+IF($P123=3,INDEX('卡片raw data'!AG:AG,MATCH($D123,'卡片raw data'!$F:$F,)),0)+IF($P123=4,INDEX('卡片raw data'!AJ:AJ,MATCH($D123,'卡片raw data'!$F:$F,)),0)+IF($P123=5,INDEX('卡片raw data'!AM:AM,MATCH($D123,'卡片raw data'!$F:$F,)),0)+INDEX('卡片raw data'!U:U,MATCH($D123,'卡片raw data'!$F:$F,))*(IF($F123="UR",0.04,0.033))*(IF($F123="UR",INDEX(绊状态确认!$S:$S,MATCH($G123,绊状态确认!$B:$B,))/2-40)+IF($F123="SR",INDEX(绊状态确认!$R:$R,MATCH($G123,绊状态确认!$B:$B,))/4-15))+IF($F123="R",INDEX(绊状态确认!$Q:$Q,MATCH($G123,绊状态确认!$B:$B,))/6-40/6)))*(INDEX(绊状态确认!$H:$H,MATCH($G123,绊状态确认!$B:$B,))+INDEX(绊状态确认!L:L,MATCH($G123,绊状态确认!$B:$B,)))</f>
        <v>9394.5733439999985</v>
      </c>
      <c r="AO123" s="1107">
        <f t="shared" si="109"/>
        <v>1</v>
      </c>
      <c r="AP123" s="1131">
        <f>1+(INDEX(绊状态确认!$T:$T,MATCH($G123,绊状态确认!$B:$B,))+0.2)*$AO123</f>
        <v>1.3</v>
      </c>
      <c r="AQ123" s="1108">
        <f t="shared" si="110"/>
        <v>27910.755028</v>
      </c>
      <c r="AR123" s="1097">
        <f>(AM123*(1+$EX$9)+$EX$35)*(1+(INDEX(绊状态确认!$T:$T,MATCH($G123,绊状态确认!$B:$B,))+0.2)*AO123)*IF(J123=$FF$17,1+$FE$17,1)*IF(I123=$FF$14,1+$FE$14,1)*(1+$FE$15)</f>
        <v>19804.274463999998</v>
      </c>
      <c r="AS123" s="1097">
        <f>(AN123*(1+$EX$10)+$EX$36)*(1+(INDEX(绊状态确认!$T:$T,MATCH($G123,绊状态确认!$B:$B,))+0.2)*AO123)*IF(J123=$FF$17,1+$FE$17,1)*IF(I123=$FF$14,1+$FE$14,1)*(1+$FE$15)</f>
        <v>18100.887149279999</v>
      </c>
      <c r="AT123" s="1093">
        <f>IF(AND(INDEX('卡片raw data'!AK:AK,MATCH($D123,'卡片raw data'!$F:$F,))&lt;INDEX('卡片raw data'!AM:AM,MATCH($D123,'卡片raw data'!$F:$F,)),INDEX('卡片raw data'!AL:AL,MATCH($D123,'卡片raw data'!$F:$F,))&lt;INDEX('卡片raw data'!AM:AM,MATCH($D123,'卡片raw data'!$F:$F,))),1,0)</f>
        <v>0</v>
      </c>
      <c r="AU123" s="1098">
        <f>MIN(AT123*0.15+AS123*0.00003+INDEX(绊状态确认!M:M,MATCH($G123,绊状态确认!$B:$B,)),1)</f>
        <v>0.57302661447839998</v>
      </c>
      <c r="AV123" s="1109">
        <f>(INDEX(绊状态确认!$N:$N,MATCH($G123,绊状态确认!$B:$B,))+1.5)*$EW$21</f>
        <v>2.6599999999999997</v>
      </c>
      <c r="AW123" s="1101">
        <f t="shared" si="111"/>
        <v>28283.693222269168</v>
      </c>
      <c r="AX123" s="1097">
        <f t="shared" si="112"/>
        <v>1725.3393282432658</v>
      </c>
      <c r="AY123" s="1110">
        <f t="shared" si="113"/>
        <v>30009.032550512435</v>
      </c>
      <c r="AZ123" s="429">
        <f t="shared" si="114"/>
        <v>20919.418020799996</v>
      </c>
      <c r="BA123" s="431">
        <f t="shared" si="115"/>
        <v>25103.301624959993</v>
      </c>
      <c r="BB123" s="1097">
        <f>(AM123*(1+$FB$9)+$FB$35)*(1+(INDEX(绊状态确认!$T:$T,MATCH($G123,绊状态确认!$B:$B,))+0.2)*AO123)*IF(J123=$FF$17,1+$FE$17,1)*IF(I123=$FF$14,1+$FE$14,1)*(1+$FE$15)</f>
        <v>19804.274463999998</v>
      </c>
      <c r="BC123" s="1097">
        <f>(AN123*(1+$FB$10)+$FB$36)*(1+(INDEX(绊状态确认!$T:$T,MATCH($G123,绊状态确认!$B:$B,))+0.2)*AO123)*IF(J123=$FF$17,1+$FE$17,1)*IF(I123=$FF$14,1+$FE$14,1)*(1+$FE$15)</f>
        <v>18100.887149279999</v>
      </c>
      <c r="BD123" s="1104">
        <f>MIN(AT123*0.15+BC123*0.00003+INDEX(绊状态确认!M:M,MATCH($G123,绊状态确认!$B:$B,)),1)</f>
        <v>0.57302661447839998</v>
      </c>
      <c r="BE123" s="432">
        <f>(INDEX(绊状态确认!$N:$N,MATCH($G123,绊状态确认!$B:$B,))+1.5)</f>
        <v>1.9</v>
      </c>
      <c r="BF123" s="1139">
        <f t="array" ref="BF123">SUMPRODUCT(IF(AZ123*AP123*$FI$16:$FI$23*$FA$22&gt;=$FI$24,$FI$24,AZ123*AP123*$FI$16:$FI$23*$FA$22),$FJ$16:$FJ$23)</f>
        <v>41608.722443371196</v>
      </c>
      <c r="BG123" s="1125">
        <f t="array" ref="BG123">SUMPRODUCT(IF(BE123*AZ123*AP123*$FI$16:$FI$23*$FA$22&gt;=$FI$24,$FI$24,BE123*AZ123*AP123*$FI$16:$FI$23*$FA$22),$FJ$16:$FJ$23)</f>
        <v>60000</v>
      </c>
      <c r="BH123" s="1110">
        <f t="shared" si="116"/>
        <v>17382.47131919293</v>
      </c>
      <c r="BI123" s="1111">
        <f>IF(O123="vo",$EW$26/$EW$24*0.05,0)+IF(O123="sk",-$EW$26/$EW$24*(0.05-INDEX(绊状态确认!W:W,MATCH($G123,绊状态确认!$B:$B,)))+0.05*$EW$28,0)+IF(O123="sp",0.05*$EW$32*$EW$30*(1-$EW$33)-(0.05-INDEX(绊状态确认!V:V,MATCH($G123,绊状态确认!$B:$B,)))*$EW$28,0)+IF(O123="gd",-(0.05-INDEX(绊状态确认!X:X,MATCH($G123,绊状态确认!$B:$B,)))*$EW$32*$EW$30*(1-$EW$33),0)</f>
        <v>-6253.6726349699375</v>
      </c>
      <c r="BJ123" s="1097">
        <f>IF(O123="vo",0.05*(1-$FI$26)*$FA$24,0)+IF(O123="sk",-(0.05-INDEX(绊状态确认!W:W,MATCH($G123,绊状态确认!$B:$B,)))*(1-$FI$26)*$FA$24+0.05*$FA$26,0)+IF(O123="sp",0.05*$FA$32*$FA$27*(1-$FA$33)/$FA$30+0.05*$FA$29/$FA$69*$FA$27*(1-$FA$33)-(0.05-INDEX(绊状态确认!V:V,MATCH($G123,绊状态确认!$B:$B,)))*$FA$26,0)+IF(O123="gd",-(0.05-INDEX(绊状态确认!X:X,MATCH($G123,绊状态确认!$B:$B,)))*$FA$32*$FA$27*(1-$FA$33)/$FA$30-(0.05-INDEX(绊状态确认!X:X,MATCH($G123,绊状态确认!$B:$B,)))*$FA$29/$FA$69*$FA$27*(1-$FA$33),0)</f>
        <v>20.459096812499922</v>
      </c>
      <c r="BK123" s="1110">
        <f>IF(O123="vo",$EW$26/$EW$24*0.05+$EW$26*(-HP($EW$62,$EW$65,$EW$64)+HP($EW$62,$EW$65,(1.05-INDEX(绊状态确认!U:U,MATCH($G123,绊状态确认!$B:$B,)))*$EW$64)),0)+IF(O123="sk",-$EW$26/$EW$24*(0.05-INDEX(绊状态确认!W:W,MATCH($G123,绊状态确认!$B:$B,)))+0.05*$EW$29,0)+IF(O123="sp",0.05*$EW$32*$EW$30*(1-$EW$33)-(0.05-INDEX(绊状态确认!V:V,MATCH($G123,绊状态确认!$B:$B,)))*$EW$29,0)+IF(O123="gd",-(0.05-INDEX(绊状态确认!X:X,MATCH($G123,绊状态确认!$B:$B,)))*$EW$32*$EW$30*(1-$EW$33)+$EW$26*(-HP($EW$62,$EW$65,$EW$64)+HP($EW$62,$EW$65,0.95*$EW$64)),0)</f>
        <v>-4253.6726349699375</v>
      </c>
      <c r="BL123" s="1111">
        <f t="shared" si="117"/>
        <v>0</v>
      </c>
      <c r="BM123" s="1110">
        <f t="shared" si="118"/>
        <v>0</v>
      </c>
      <c r="BN123" s="1113">
        <f t="shared" si="119"/>
        <v>3</v>
      </c>
      <c r="BO123" s="1097">
        <f t="shared" si="120"/>
        <v>4507.7214871259994</v>
      </c>
      <c r="BP123" s="1100">
        <f t="shared" si="121"/>
        <v>221.34103209030098</v>
      </c>
      <c r="BQ123" s="1113" t="s">
        <v>144</v>
      </c>
      <c r="BR123" s="1124" t="s">
        <v>149</v>
      </c>
      <c r="BS123" s="1098">
        <f>IF($P123="","N/A",IF($P123=-1,INDEX('卡片raw data'!AX:AX,MATCH($D123,'卡片raw data'!$F:$F,)),0)+IF($L123="party卡",IF($P123=5,INDEX('卡片raw data'!BD:BD,MATCH($D123,'卡片raw data'!$F:$F,)),IF($P123&gt;=3,INDEX('卡片raw data'!BC:BC,MATCH($D123,'卡片raw data'!$F:$F,)),INDEX('卡片raw data'!BB:BB,MATCH($D123,'卡片raw data'!$F:$F,)))),IF(OR(AND($F123="UR",$P123=0),AND($F123="SR",$P123&gt;=0,$P123&lt;=2),AND($F123="R",$P123&gt;=0,$P123&lt;4)),INDEX('卡片raw data'!AZ:AZ,MATCH($D123,'卡片raw data'!$F:$F,)),0)+IF(OR(AND($F123="UR",$P123&gt;=1,$P123&lt;=4),AND($F123="SR",$P123&lt;=4,$P123&gt;=3),AND($F123="R",$P123=4)),INDEX('卡片raw data'!BA:BA,MATCH($D123,'卡片raw data'!$F:$F,)),0)+IF($P123=5,INDEX('卡片raw data'!BB:BB,MATCH($D123,'卡片raw data'!$F:$F,)),0)))</f>
        <v>5.1999999999999998E-2</v>
      </c>
      <c r="BT123" s="1101">
        <f t="shared" si="122"/>
        <v>0</v>
      </c>
      <c r="BU123" s="1097">
        <f t="shared" si="123"/>
        <v>0</v>
      </c>
      <c r="BV123" s="1097">
        <f t="shared" si="124"/>
        <v>0</v>
      </c>
      <c r="BW123" s="1112">
        <f t="shared" si="125"/>
        <v>4.8694285714285721</v>
      </c>
      <c r="BX123" s="1100">
        <f t="shared" si="126"/>
        <v>382.86674747391328</v>
      </c>
      <c r="BY123" s="1110">
        <f t="shared" si="127"/>
        <v>382.86674747391328</v>
      </c>
      <c r="BZ123" s="1107" t="s">
        <v>569</v>
      </c>
      <c r="CA123" s="1124"/>
      <c r="CB123" s="1098">
        <f>IF($P123="","N/A",IF($P123=-1,INDEX('卡片raw data'!BE:BE,MATCH($D123,'卡片raw data'!$F:$F,)),0)+IF($L123="party卡",IF($P123=5,INDEX('卡片raw data'!BK:BK,MATCH($D123,'卡片raw data'!$F:$F,)),IF($P123&gt;=3,INDEX('卡片raw data'!BJ:BJ,MATCH($D123,'卡片raw data'!$F:$F,)),INDEX('卡片raw data'!BI:BI,MATCH($D123,'卡片raw data'!$F:$F,)))),IF(OR(AND($F123="UR",$P123=0),AND($F123="SR",$P123&gt;=0,$P123&lt;=2),AND($F123="R",$P123&gt;=0,$P123&lt;4)),INDEX('卡片raw data'!BG:BG,MATCH($D123,'卡片raw data'!$F:$F,)),0)+IF(OR(AND($F123="UR",$P123&gt;=1,$P123&lt;=4),AND($F123="SR",$P123&lt;=4,$P123&gt;=3),AND($F123="R",$P123=4)),INDEX('卡片raw data'!BH:BH,MATCH($D123,'卡片raw data'!$F:$F,)),0)+IF($P123=5,INDEX('卡片raw data'!BI:BI,MATCH($D123,'卡片raw data'!$F:$F,)),0)))</f>
        <v>0</v>
      </c>
      <c r="CC123" s="1101">
        <f t="shared" si="128"/>
        <v>0</v>
      </c>
      <c r="CD123" s="1097">
        <f>IF(BZ123="ap",CB123*(1-$FI$26)*$FB$5/$FB$11*(+IF(CA123="全员",$FA$24,0)+IF(CA123="同作战",$FA$24,0)+IF(CA123="仲间",$FA$24*2/3,0)+IF(CA123="同属性",$FA$24*$FA$37/3,0)+IF(CA123="同年级",$FA$24*$FA$40/3,0)+IF(CA123="同学校",$FA$24*$FA$43/3,0)+IF(CA123="同小队",$FA$24*$FA$46/3,0)+IF(CA123="同type",$FA$24*INDEX($FB$49:$FB$52,MATCH(X123,$FA$49:$FA$52,))/3,0)+IF(CA123="自身",#REF!/3,0)),0)+IF(BZ123="te",CB123*(1-$FI$27)*($FA$20-1)*$FB$7/$FB$13*(+IF(CA123="全员",$FA$19*$FA$24/(1+($FA$20-1)*$FA$19),0)+IF(CA123="同作战",$FA$19*$FA$24/(1+($FA$20-1)*$FA$19),0)+IF(CA123="仲间",$FA$19*$FA$24*2/3/(1+($FA$20-1)*$FA$19),0)+IF(CA123="同属性",$FA$19*$FA$24*$FA$37/3/(1+($FA$20-1)*$FA$19),0)+IF(CA123="同年级",$FA$19*$FA$24*$FA$40/3/(1+($FA$20-1)*$FA$19),0)+IF(CA123="同学校",$FA$19*$FA$24*$FA$43/3/(1+($FA$20-1)*$FA$19),0)+IF(CA123="同小队",$FA$19*$FA$24*$FA$46/3/(1+($FA$20-1)*$FA$19),0)+IF(CA123="同type",$FA$19*$FA$24*INDEX($FB$49:$FB$52,MATCH(X123,$FA$49:$FA$52,))/3/(1+($FA$20-1)*$FA$19),0)+IF(CA123="自身",$FA$19*#REF!/3/(1+(BH123-1)*$BD123),0)),0)</f>
        <v>0</v>
      </c>
      <c r="CE123" s="1097">
        <f t="shared" si="129"/>
        <v>0</v>
      </c>
      <c r="CF123" s="1112">
        <f t="shared" si="130"/>
        <v>0</v>
      </c>
      <c r="CG123" s="1100">
        <f t="shared" si="131"/>
        <v>0</v>
      </c>
      <c r="CH123" s="1110">
        <f t="shared" si="132"/>
        <v>0</v>
      </c>
      <c r="CI123" s="1113" t="s">
        <v>164</v>
      </c>
      <c r="CJ123" s="1114">
        <v>0.5</v>
      </c>
      <c r="CK123" s="1115" t="s">
        <v>154</v>
      </c>
      <c r="CL123" s="1115" t="s">
        <v>161</v>
      </c>
      <c r="CM123" s="1119">
        <v>0.1</v>
      </c>
      <c r="CN123" s="1115">
        <v>10</v>
      </c>
      <c r="CO123" s="1092"/>
      <c r="CP123" s="1118">
        <f t="shared" si="133"/>
        <v>1.0714285714285714E-2</v>
      </c>
      <c r="CQ123" s="1118">
        <f t="shared" si="134"/>
        <v>1.6666666666666666E-2</v>
      </c>
      <c r="CR123" s="1118">
        <f t="shared" si="135"/>
        <v>1.0714285714285716E-2</v>
      </c>
      <c r="CS123" s="1118">
        <f t="shared" si="136"/>
        <v>1.4236111111111111E-2</v>
      </c>
      <c r="CT123" s="1109">
        <f t="shared" si="137"/>
        <v>0</v>
      </c>
      <c r="CU123" s="1101">
        <f t="shared" si="138"/>
        <v>454.5454545454545</v>
      </c>
      <c r="CV123" s="1108">
        <f t="shared" si="139"/>
        <v>378.78787878787875</v>
      </c>
      <c r="CW123" s="1097">
        <f t="shared" si="140"/>
        <v>454.54545454545462</v>
      </c>
      <c r="CX123" s="1097">
        <f t="shared" si="141"/>
        <v>454.5454545454545</v>
      </c>
      <c r="CY123" s="1110">
        <f t="shared" si="142"/>
        <v>454.54545454545462</v>
      </c>
      <c r="CZ123" s="437"/>
      <c r="DA123" s="438"/>
      <c r="DB123" s="439" t="s">
        <v>569</v>
      </c>
      <c r="DC123" s="439"/>
      <c r="DD123" s="443"/>
      <c r="DE123" s="411"/>
      <c r="DF123" s="411"/>
      <c r="DG123" s="1116">
        <f t="shared" si="143"/>
        <v>0</v>
      </c>
      <c r="DH123" s="1116">
        <f t="shared" si="144"/>
        <v>0</v>
      </c>
      <c r="DI123" s="1116">
        <f t="shared" si="145"/>
        <v>0</v>
      </c>
      <c r="DJ123" s="442">
        <f t="shared" si="146"/>
        <v>0</v>
      </c>
      <c r="DK123" s="1109">
        <f t="shared" si="147"/>
        <v>0</v>
      </c>
      <c r="DL123" s="1101">
        <f t="shared" si="148"/>
        <v>0</v>
      </c>
      <c r="DM123" s="1097">
        <f t="shared" si="149"/>
        <v>0</v>
      </c>
      <c r="DN123" s="1097">
        <f t="shared" si="150"/>
        <v>0</v>
      </c>
      <c r="DO123" s="1097">
        <f t="shared" si="151"/>
        <v>0</v>
      </c>
      <c r="DP123" s="1110">
        <f t="shared" si="152"/>
        <v>0</v>
      </c>
      <c r="DQ123" s="1113" t="s">
        <v>636</v>
      </c>
      <c r="DR123" s="1120">
        <f t="shared" si="153"/>
        <v>0.33</v>
      </c>
      <c r="DS123" s="1124"/>
      <c r="DT123" s="1093" t="s">
        <v>133</v>
      </c>
      <c r="DU123" s="1093"/>
      <c r="DV123" s="1098">
        <f>IF($P123="","N/A",IF(P123=-1,INDEX('卡片raw data'!AN:AN,MATCH(D123,'卡片raw data'!$F:$F,)),0)+IF(AND(L123&lt;&gt;"party卡",P123&lt;=2,P123&gt;=0),INDEX('卡片raw data'!AP:AP,MATCH(D123,'卡片raw data'!$F:$F,)),0)+IF(OR(AND(L123="party卡",P123&lt;=1),AND(P123&lt;=4,L123&lt;&gt;"party卡",P123&gt;=3)),INDEX('卡片raw data'!AQ:AQ,MATCH(D123,'卡片raw data'!$F:$F,)),0)+IF(OR(P123=5,AND(L123="party卡",P123&gt;=2)),INDEX('卡片raw data'!AR:AR,MATCH(D123,'卡片raw data'!$F:$F,)),0))</f>
        <v>0.32</v>
      </c>
      <c r="DW123" s="1098">
        <f t="shared" si="154"/>
        <v>0.33</v>
      </c>
      <c r="DX123" s="1098">
        <f t="shared" si="155"/>
        <v>0.33</v>
      </c>
      <c r="DY123" s="1125">
        <f t="shared" si="156"/>
        <v>697.11046113280008</v>
      </c>
      <c r="DZ123" s="1125">
        <f t="shared" si="157"/>
        <v>603.0005488798721</v>
      </c>
      <c r="EA123" s="1098">
        <f t="shared" si="158"/>
        <v>0</v>
      </c>
      <c r="EB123" s="1121">
        <f t="shared" si="159"/>
        <v>0</v>
      </c>
      <c r="EC123" s="1101">
        <f t="shared" si="160"/>
        <v>0</v>
      </c>
      <c r="ED123" s="1097">
        <f t="shared" si="161"/>
        <v>0</v>
      </c>
      <c r="EE123" s="1110">
        <f t="shared" si="162"/>
        <v>48435.03108962375</v>
      </c>
      <c r="EF123" s="1092" t="s">
        <v>711</v>
      </c>
      <c r="EG123" s="1120">
        <f t="shared" si="163"/>
        <v>0.33</v>
      </c>
      <c r="EH123" s="1124"/>
      <c r="EI123" s="1093"/>
      <c r="EJ123" s="1093"/>
      <c r="EK123" s="1097">
        <f>IF($P123="","N/A",IF(P123=-1,INDEX('卡片raw data'!AS:AS,MATCH(D123,'卡片raw data'!$F:$F,)),0)+IF(AND(L123&lt;&gt;"party卡",P123&lt;=2,P123&gt;=0),INDEX('卡片raw data'!AU:AU,MATCH(D123,'卡片raw data'!$F:$F,)),0)+IF(OR(AND(L123="party卡",P123&lt;=1),AND(P123&lt;=4,L123&lt;&gt;"party卡",P123&gt;=3)),INDEX('卡片raw data'!AV:AV,MATCH(D123,'卡片raw data'!$F:$F,)),0)+IF(OR(P123=5,AND(L123="party卡",P123&gt;=2)),INDEX('卡片raw data'!AW:AW,MATCH(D123,'卡片raw data'!$F:$F,)),0))</f>
        <v>0</v>
      </c>
      <c r="EL123" s="1098">
        <f t="shared" si="164"/>
        <v>0.33</v>
      </c>
      <c r="EM123" s="1098">
        <f t="shared" si="165"/>
        <v>0.33</v>
      </c>
      <c r="EN123" s="1125">
        <f t="shared" si="166"/>
        <v>0</v>
      </c>
      <c r="EO123" s="1125">
        <f t="shared" si="167"/>
        <v>0</v>
      </c>
      <c r="EP123" s="1098">
        <f t="shared" si="168"/>
        <v>0</v>
      </c>
      <c r="EQ123" s="1121">
        <f t="shared" si="169"/>
        <v>0</v>
      </c>
      <c r="ER123" s="1101">
        <f t="shared" si="170"/>
        <v>0</v>
      </c>
      <c r="ES123" s="1097">
        <f t="shared" si="171"/>
        <v>0</v>
      </c>
      <c r="ET123" s="1122">
        <f t="shared" si="172"/>
        <v>0</v>
      </c>
    </row>
    <row r="124" spans="2:150" ht="16.5" customHeight="1">
      <c r="B124" s="1123" t="str">
        <f>INDEX('卡片raw data'!B:B,MATCH($D124,'卡片raw data'!$F:$F,))</f>
        <v>sh希</v>
      </c>
      <c r="C124" s="449" t="s">
        <v>22</v>
      </c>
      <c r="D124" s="408">
        <v>121</v>
      </c>
      <c r="E124" s="1090">
        <v>300072001</v>
      </c>
      <c r="F124" s="1090" t="str">
        <f>INDEX('卡片raw data'!C:C,MATCH($D124,'卡片raw data'!$F:$F,))</f>
        <v>SR</v>
      </c>
      <c r="G124" s="1094" t="s">
        <v>140</v>
      </c>
      <c r="H124" s="411">
        <f>IFERROR(INDEX(绊状态确认!C:C,MATCH($G124,绊状态确认!$B:$B,)),"")</f>
        <v>7</v>
      </c>
      <c r="I124" s="1124" t="str">
        <f>IFERROR(INDEX(绊状态确认!D:D,MATCH($G124,绊状态确认!$B:$B,)),"")</f>
        <v>缪</v>
      </c>
      <c r="J124" s="1124" t="str">
        <f>IFERROR(INDEX(绊状态确认!E:E,MATCH($G124,绊状态确认!$B:$B,)),"")</f>
        <v>3年级</v>
      </c>
      <c r="K124" s="451" t="str">
        <f>IFERROR(INDEX(绊状态确认!F:F,MATCH($G124,绊状态确认!$B:$B,)),"")</f>
        <v>lilywhite</v>
      </c>
      <c r="L124" s="1094" t="str">
        <f>INDEX('卡片raw data'!E:E,MATCH($D124,'卡片raw data'!$F:$F,))</f>
        <v>卡池卡</v>
      </c>
      <c r="M124" s="415">
        <v>43784</v>
      </c>
      <c r="N124" s="416">
        <v>3.5</v>
      </c>
      <c r="O124" s="1091" t="str">
        <f>INDEX('卡片raw data'!D:D,MATCH($D124,'卡片raw data'!$F:$F,))</f>
        <v>sp</v>
      </c>
      <c r="P124" s="417">
        <v>5</v>
      </c>
      <c r="Q124" s="1095">
        <f t="shared" si="88"/>
        <v>31436.615898374308</v>
      </c>
      <c r="R124" s="1096">
        <f t="shared" si="89"/>
        <v>0.36499999999999999</v>
      </c>
      <c r="S124" s="1097">
        <f t="shared" si="90"/>
        <v>16852.437282193052</v>
      </c>
      <c r="T124" s="1098">
        <f t="shared" si="91"/>
        <v>0.84199999999999997</v>
      </c>
      <c r="U124" s="1099">
        <f t="shared" si="92"/>
        <v>11.346378763812854</v>
      </c>
      <c r="V124" s="1100">
        <f t="shared" si="93"/>
        <v>30540.568267010109</v>
      </c>
      <c r="W124" s="1101">
        <f t="shared" si="94"/>
        <v>5090.5054793901463</v>
      </c>
      <c r="X124" s="1096">
        <f t="shared" si="95"/>
        <v>5.8999999999999997E-2</v>
      </c>
      <c r="Y124" s="1097">
        <f t="shared" si="96"/>
        <v>903.95236863579885</v>
      </c>
      <c r="Z124" s="1102">
        <f t="shared" si="97"/>
        <v>11.346378763812854</v>
      </c>
      <c r="AA124" s="1103">
        <f t="shared" si="98"/>
        <v>5994.4578480259452</v>
      </c>
      <c r="AB124" s="1101">
        <f t="shared" si="99"/>
        <v>8846.9400519951469</v>
      </c>
      <c r="AC124" s="1104">
        <f t="shared" si="100"/>
        <v>0.10199999999999999</v>
      </c>
      <c r="AD124" s="1105">
        <f t="shared" si="101"/>
        <v>-1.9908281250000003E-2</v>
      </c>
      <c r="AE124" s="1128">
        <f t="shared" si="102"/>
        <v>41.311625724637679</v>
      </c>
      <c r="AF124" s="1130">
        <f t="shared" si="103"/>
        <v>0</v>
      </c>
      <c r="AG124" s="420">
        <f t="shared" si="104"/>
        <v>0</v>
      </c>
      <c r="AH124" s="420">
        <f t="shared" si="105"/>
        <v>0</v>
      </c>
      <c r="AI124" s="1097">
        <f t="shared" si="106"/>
        <v>0</v>
      </c>
      <c r="AJ124" s="420">
        <f t="shared" si="107"/>
        <v>0</v>
      </c>
      <c r="AK124" s="518">
        <f t="shared" si="108"/>
        <v>0</v>
      </c>
      <c r="AL124" s="1106">
        <f>IF($P124="","N/A",(IF($P124=-1,INDEX('卡片raw data'!S:S,MATCH($D124,'卡片raw data'!$F:$F,)),0)+IF($P124=0,INDEX('卡片raw data'!V:V,MATCH($D124,'卡片raw data'!$F:$F,)),0)+IF($P124=1,INDEX('卡片raw data'!Y:Y,MATCH($D124,'卡片raw data'!$F:$F,)),0)+IF($P124=2,INDEX('卡片raw data'!AB:AB,MATCH($D124,'卡片raw data'!$F:$F,)),0)+IF($P124=3,INDEX('卡片raw data'!AE:AE,MATCH($D124,'卡片raw data'!$F:$F,)),0)+IF($P124=4,INDEX('卡片raw data'!AH:AH,MATCH($D124,'卡片raw data'!$F:$F,)),0)+IF($P124=5,INDEX('卡片raw data'!AK:AK,MATCH($D124,'卡片raw data'!$F:$F,)),0)+INDEX('卡片raw data'!S:S,MATCH($D124,'卡片raw data'!$F:$F,))*(IF($F124="UR",0.04,0.033))*(IF($F124="UR",INDEX(绊状态确认!$S:$S,MATCH($G124,绊状态确认!$B:$B,))/2-40)+IF($F124="SR",INDEX(绊状态确认!$R:$R,MATCH($G124,绊状态确认!$B:$B,))/4-15))+IF($F124="R",INDEX(绊状态确认!$Q:$Q,MATCH($G124,绊状态确认!$B:$B,))/6-40/6)))*(INDEX(绊状态确认!$H:$H,MATCH($G124,绊状态确认!$B:$B,))+INDEX(绊状态确认!J:J,MATCH($G124,绊状态确认!$B:$B,)))</f>
        <v>7703.7646943999989</v>
      </c>
      <c r="AM124" s="1106">
        <f>IF($P124="","N/A",(IF($P124=-1,INDEX('卡片raw data'!T:T,MATCH($D124,'卡片raw data'!$F:$F,)),0)+IF($P124=0,INDEX('卡片raw data'!W:W,MATCH($D124,'卡片raw data'!$F:$F,)),0)+IF($P124=1,INDEX('卡片raw data'!Z:Z,MATCH($D124,'卡片raw data'!$F:$F,)),0)+IF($P124=2,INDEX('卡片raw data'!AC:AC,MATCH($D124,'卡片raw data'!$F:$F,)),0)+IF($P124=3,INDEX('卡片raw data'!AF:AF,MATCH($D124,'卡片raw data'!$F:$F,)),0)+IF($P124=4,INDEX('卡片raw data'!AI:AI,MATCH($D124,'卡片raw data'!$F:$F,)),0)+IF($P124=5,INDEX('卡片raw data'!AL:AL,MATCH($D124,'卡片raw data'!$F:$F,)),0)+INDEX('卡片raw data'!T:T,MATCH($D124,'卡片raw data'!$F:$F,))*(IF($F124="UR",0.04,0.033))*(IF($F124="UR",INDEX(绊状态确认!$S:$S,MATCH($G124,绊状态确认!$B:$B,))/2-40)+IF($F124="SR",INDEX(绊状态确认!$R:$R,MATCH($G124,绊状态确认!$B:$B,))/4-15))+IF($F124="R",INDEX(绊状态确认!$Q:$Q,MATCH($G124,绊状态确认!$B:$B,))/6-40/6)))*(INDEX(绊状态确认!$H:$H,MATCH($G124,绊状态确认!$B:$B,))+INDEX(绊状态确认!K:K,MATCH($G124,绊状态确认!$B:$B,)))</f>
        <v>5777.255320799999</v>
      </c>
      <c r="AN124" s="1106">
        <f>IF($P124="","N/A",(IF($P124=-1,INDEX('卡片raw data'!U:U,MATCH($D124,'卡片raw data'!$F:$F,)),0)+IF($P124=0,INDEX('卡片raw data'!X:X,MATCH($D124,'卡片raw data'!$F:$F,)),0)+IF($P124=1,INDEX('卡片raw data'!AA:AA,MATCH($D124,'卡片raw data'!$F:$F,)),0)+IF($P124=2,INDEX('卡片raw data'!AD:AD,MATCH($D124,'卡片raw data'!$F:$F,)),0)+IF($P124=3,INDEX('卡片raw data'!AG:AG,MATCH($D124,'卡片raw data'!$F:$F,)),0)+IF($P124=4,INDEX('卡片raw data'!AJ:AJ,MATCH($D124,'卡片raw data'!$F:$F,)),0)+IF($P124=5,INDEX('卡片raw data'!AM:AM,MATCH($D124,'卡片raw data'!$F:$F,)),0)+INDEX('卡片raw data'!U:U,MATCH($D124,'卡片raw data'!$F:$F,))*(IF($F124="UR",0.04,0.033))*(IF($F124="UR",INDEX(绊状态确认!$S:$S,MATCH($G124,绊状态确认!$B:$B,))/2-40)+IF($F124="SR",INDEX(绊状态确认!$R:$R,MATCH($G124,绊状态确认!$B:$B,))/4-15))+IF($F124="R",INDEX(绊状态确认!$Q:$Q,MATCH($G124,绊状态确认!$B:$B,))/6-40/6)))*(INDEX(绊状态确认!$H:$H,MATCH($G124,绊状态确认!$B:$B,))+INDEX(绊状态确认!L:L,MATCH($G124,绊状态确认!$B:$B,)))</f>
        <v>5777.255320799999</v>
      </c>
      <c r="AO124" s="1107">
        <f t="shared" si="109"/>
        <v>1</v>
      </c>
      <c r="AP124" s="1131">
        <f>1+(INDEX(绊状态确认!$T:$T,MATCH($G124,绊状态确认!$B:$B,))+0.2)*$AO124</f>
        <v>1.3</v>
      </c>
      <c r="AQ124" s="1108">
        <f t="shared" si="110"/>
        <v>23472.382322799996</v>
      </c>
      <c r="AR124" s="1097">
        <f>(AM124*(1+$EX$9)+$EX$35)*(1+(INDEX(绊状态确认!$T:$T,MATCH($G124,绊状态确认!$B:$B,))+0.2)*AO124)*IF(J124=$FF$17,1+$FE$17,1)*IF(I124=$FF$14,1+$FE$14,1)</f>
        <v>10589.953512891998</v>
      </c>
      <c r="AS124" s="1097">
        <f>(AN124*(1+$EX$10)+$EX$36)*(1+(INDEX(绊状态确认!$T:$T,MATCH($G124,绊状态确认!$B:$B,))+0.2)*AO124)*IF(J124=$FF$17,1+$FE$17,1)*IF(I124=$FF$14,1+$FE$14,1)</f>
        <v>12692.996704595998</v>
      </c>
      <c r="AT124" s="1093">
        <f>IF(AND(INDEX('卡片raw data'!AK:AK,MATCH($D124,'卡片raw data'!$F:$F,))&lt;INDEX('卡片raw data'!AM:AM,MATCH($D124,'卡片raw data'!$F:$F,)),INDEX('卡片raw data'!AL:AL,MATCH($D124,'卡片raw data'!$F:$F,))&lt;INDEX('卡片raw data'!AM:AM,MATCH($D124,'卡片raw data'!$F:$F,))),1,0)</f>
        <v>0</v>
      </c>
      <c r="AU124" s="1098">
        <f>MIN(AT124*0.15+AS124*0.00003+INDEX(绊状态确认!M:M,MATCH($G124,绊状态确认!$B:$B,)),1)</f>
        <v>0.41078990113788</v>
      </c>
      <c r="AV124" s="1109">
        <f>(INDEX(绊状态确认!$N:$N,MATCH($G124,绊状态确认!$B:$B,))+1.5)*$EW$21</f>
        <v>2.6599999999999997</v>
      </c>
      <c r="AW124" s="1101">
        <f t="shared" si="111"/>
        <v>20503.009179712491</v>
      </c>
      <c r="AX124" s="1097">
        <f t="shared" si="112"/>
        <v>903.95236863579885</v>
      </c>
      <c r="AY124" s="1110">
        <f t="shared" si="113"/>
        <v>21406.961548348292</v>
      </c>
      <c r="AZ124" s="429">
        <f t="shared" si="114"/>
        <v>17622.341154079997</v>
      </c>
      <c r="BA124" s="431">
        <f t="shared" si="115"/>
        <v>21146.809384895994</v>
      </c>
      <c r="BB124" s="1097">
        <f>(AM124*(1+$FB$9)+$FB$35)*(1+(INDEX(绊状态确认!$T:$T,MATCH($G124,绊状态确认!$B:$B,))+0.2)*AO124)*IF(J124=$FF$17,1+$FE$17,1)*IF(I124=$FF$14,1+$FE$14,1)*(1+$FE$15)</f>
        <v>10589.953512891998</v>
      </c>
      <c r="BC124" s="1097">
        <f>(AN124*(1+$FB$10)+$FB$36)*(1+(INDEX(绊状态确认!$T:$T,MATCH($G124,绊状态确认!$B:$B,))+0.2)*AO124)*IF(J124=$FF$17,1+$FE$17,1)*IF(I124=$FF$14,1+$FE$14,1)*(1+$FE$15)</f>
        <v>12692.996704595998</v>
      </c>
      <c r="BD124" s="1104">
        <f>MIN(AT124*0.15+BC124*0.00003+INDEX(绊状态确认!M:M,MATCH($G124,绊状态确认!$B:$B,)),1)</f>
        <v>0.41078990113788</v>
      </c>
      <c r="BE124" s="432">
        <f>(INDEX(绊状态确认!$N:$N,MATCH($G124,绊状态确认!$B:$B,))+1.5)</f>
        <v>1.9</v>
      </c>
      <c r="BF124" s="1139">
        <f t="array" ref="BF124">SUMPRODUCT(IF(AZ124*AP124*$FI$16:$FI$23*$FA$22&gt;=$FI$24,$FI$24,AZ124*AP124*$FI$16:$FI$23*$FA$22),$FJ$16:$FJ$23)</f>
        <v>35050.836555465117</v>
      </c>
      <c r="BG124" s="1125">
        <f t="array" ref="BG124">SUMPRODUCT(IF(BE124*AZ124*AP124*$FI$16:$FI$23*$FA$22&gt;=$FI$24,$FI$24,BE124*AZ124*AP124*$FI$16:$FI$23*$FA$22),$FJ$16:$FJ$23)</f>
        <v>58881.795662644399</v>
      </c>
      <c r="BH124" s="1110">
        <f t="shared" si="116"/>
        <v>14946.784630374721</v>
      </c>
      <c r="BI124" s="1111">
        <f>IF(O124="vo",$EW$26/$EW$24*0.05,0)+IF(O124="sk",-$EW$26/$EW$24*(0.05-INDEX(绊状态确认!W:W,MATCH($G124,绊状态确认!$B:$B,)))+0.05*$EW$28,0)+IF(O124="sp",0.05*$EW$32*$EW$30*(1-$EW$33)-(0.05-INDEX(绊状态确认!V:V,MATCH($G124,绊状态确认!$B:$B,)))*$EW$28,0)+IF(O124="gd",-(0.05-INDEX(绊状态确认!X:X,MATCH($G124,绊状态确认!$B:$B,)))*$EW$32*$EW$30*(1-$EW$33),0)</f>
        <v>19.999999999999886</v>
      </c>
      <c r="BJ124" s="1097">
        <f>IF(O124="vo",0.05*(1-$FI$26)*$FA$24,0)+IF(O124="sk",-(0.05-INDEX(绊状态确认!W:W,MATCH($G124,绊状态确认!$B:$B,)))*(1-$FI$26)*$FA$24+0.05*$FA$26,0)+IF(O124="sp",0.05*$FA$32*$FA$27*(1-$FA$33)/$FA$30+0.05*$FA$29/$FA$69*$FA$27*(1-$FA$33)-(0.05-INDEX(绊状态确认!V:V,MATCH($G124,绊状态确认!$B:$B,)))*$FA$26,0)+IF(O124="gd",-(0.05-INDEX(绊状态确认!X:X,MATCH($G124,绊状态确认!$B:$B,)))*$FA$32*$FA$27*(1-$FA$33)/$FA$30-(0.05-INDEX(绊状态确认!X:X,MATCH($G124,绊状态确认!$B:$B,)))*$FA$29/$FA$69*$FA$27*(1-$FA$33),0)</f>
        <v>545.83333333333326</v>
      </c>
      <c r="BK124" s="1110">
        <f>IF(O124="vo",$EW$26/$EW$24*0.05+$EW$26*(-HP($EW$62,$EW$65,$EW$64)+HP($EW$62,$EW$65,(1.05-INDEX(绊状态确认!U:U,MATCH($G124,绊状态确认!$B:$B,)))*$EW$64)),0)+IF(O124="sk",-$EW$26/$EW$24*(0.05-INDEX(绊状态确认!W:W,MATCH($G124,绊状态确认!$B:$B,)))+0.05*$EW$29,0)+IF(O124="sp",0.05*$EW$32*$EW$30*(1-$EW$33)-(0.05-INDEX(绊状态确认!V:V,MATCH($G124,绊状态确认!$B:$B,)))*$EW$29,0)+IF(O124="gd",-(0.05-INDEX(绊状态确认!X:X,MATCH($G124,绊状态确认!$B:$B,)))*$EW$32*$EW$30*(1-$EW$33)+$EW$26*(-HP($EW$62,$EW$65,$EW$64)+HP($EW$62,$EW$65,0.95*$EW$64)),0)</f>
        <v>-1780.0000000000005</v>
      </c>
      <c r="BL124" s="1111">
        <f t="shared" si="117"/>
        <v>-1083.3333333333333</v>
      </c>
      <c r="BM124" s="1110">
        <f t="shared" si="118"/>
        <v>-830.55555555555543</v>
      </c>
      <c r="BN124" s="1113">
        <f t="shared" si="119"/>
        <v>3</v>
      </c>
      <c r="BO124" s="1097">
        <f t="shared" si="120"/>
        <v>4507.7214871259994</v>
      </c>
      <c r="BP124" s="1100">
        <f t="shared" si="121"/>
        <v>221.34103209030098</v>
      </c>
      <c r="BQ124" s="1113" t="s">
        <v>623</v>
      </c>
      <c r="BR124" s="1124" t="s">
        <v>168</v>
      </c>
      <c r="BS124" s="1098">
        <f>IF($P124="","N/A",IF($P124=-1,INDEX('卡片raw data'!AX:AX,MATCH($D124,'卡片raw data'!$F:$F,)),0)+IF($L124="party卡",IF($P124=5,INDEX('卡片raw data'!BD:BD,MATCH($D124,'卡片raw data'!$F:$F,)),IF($P124&gt;=3,INDEX('卡片raw data'!BC:BC,MATCH($D124,'卡片raw data'!$F:$F,)),INDEX('卡片raw data'!BB:BB,MATCH($D124,'卡片raw data'!$F:$F,)))),IF(OR(AND($F124="UR",$P124=0),AND($F124="SR",$P124&gt;=0,$P124&lt;=2),AND($F124="R",$P124&gt;=0,$P124&lt;4)),INDEX('卡片raw data'!AZ:AZ,MATCH($D124,'卡片raw data'!$F:$F,)),0)+IF(OR(AND($F124="UR",$P124&gt;=1,$P124&lt;=4),AND($F124="SR",$P124&lt;=4,$P124&gt;=3),AND($F124="R",$P124=4)),INDEX('卡片raw data'!BA:BA,MATCH($D124,'卡片raw data'!$F:$F,)),0)+IF($P124=5,INDEX('卡片raw data'!BB:BB,MATCH($D124,'卡片raw data'!$F:$F,)),0)))</f>
        <v>0.05</v>
      </c>
      <c r="BT124" s="1101">
        <f t="shared" si="122"/>
        <v>3756.4345726050001</v>
      </c>
      <c r="BU124" s="1097">
        <f t="shared" si="123"/>
        <v>184.45086007525089</v>
      </c>
      <c r="BV124" s="1097">
        <f t="shared" si="124"/>
        <v>0</v>
      </c>
      <c r="BW124" s="1112">
        <f t="shared" si="125"/>
        <v>0</v>
      </c>
      <c r="BX124" s="1100">
        <f t="shared" si="126"/>
        <v>3756.4345726050001</v>
      </c>
      <c r="BY124" s="1110">
        <f t="shared" si="127"/>
        <v>0</v>
      </c>
      <c r="BZ124" s="1107" t="s">
        <v>569</v>
      </c>
      <c r="CA124" s="1124"/>
      <c r="CB124" s="1098">
        <f>IF($P124="","N/A",IF($P124=-1,INDEX('卡片raw data'!BE:BE,MATCH($D124,'卡片raw data'!$F:$F,)),0)+IF($L124="party卡",IF($P124=5,INDEX('卡片raw data'!BK:BK,MATCH($D124,'卡片raw data'!$F:$F,)),IF($P124&gt;=3,INDEX('卡片raw data'!BJ:BJ,MATCH($D124,'卡片raw data'!$F:$F,)),INDEX('卡片raw data'!BI:BI,MATCH($D124,'卡片raw data'!$F:$F,)))),IF(OR(AND($F124="UR",$P124=0),AND($F124="SR",$P124&gt;=0,$P124&lt;=2),AND($F124="R",$P124&gt;=0,$P124&lt;4)),INDEX('卡片raw data'!BG:BG,MATCH($D124,'卡片raw data'!$F:$F,)),0)+IF(OR(AND($F124="UR",$P124&gt;=1,$P124&lt;=4),AND($F124="SR",$P124&lt;=4,$P124&gt;=3),AND($F124="R",$P124=4)),INDEX('卡片raw data'!BH:BH,MATCH($D124,'卡片raw data'!$F:$F,)),0)+IF($P124=5,INDEX('卡片raw data'!BI:BI,MATCH($D124,'卡片raw data'!$F:$F,)),0)))</f>
        <v>0</v>
      </c>
      <c r="CC124" s="1101">
        <f t="shared" si="128"/>
        <v>0</v>
      </c>
      <c r="CD124" s="1097">
        <f>IF(BZ124="ap",CB124*(1-$FI$26)*$FB$5/$FB$11*(+IF(CA124="全员",$FA$24,0)+IF(CA124="同作战",$FA$24,0)+IF(CA124="仲间",$FA$24*2/3,0)+IF(CA124="同属性",$FA$24*$FA$37/3,0)+IF(CA124="同年级",$FA$24*$FA$40/3,0)+IF(CA124="同学校",$FA$24*$FA$43/3,0)+IF(CA124="同小队",$FA$24*$FA$46/3,0)+IF(CA124="同type",$FA$24*INDEX($FB$49:$FB$52,MATCH(X124,$FA$49:$FA$52,))/3,0)+IF(CA124="自身",#REF!/3,0)),0)+IF(BZ124="te",CB124*(1-$FI$27)*($FA$20-1)*$FB$7/$FB$13*(+IF(CA124="全员",$FA$19*$FA$24/(1+($FA$20-1)*$FA$19),0)+IF(CA124="同作战",$FA$19*$FA$24/(1+($FA$20-1)*$FA$19),0)+IF(CA124="仲间",$FA$19*$FA$24*2/3/(1+($FA$20-1)*$FA$19),0)+IF(CA124="同属性",$FA$19*$FA$24*$FA$37/3/(1+($FA$20-1)*$FA$19),0)+IF(CA124="同年级",$FA$19*$FA$24*$FA$40/3/(1+($FA$20-1)*$FA$19),0)+IF(CA124="同学校",$FA$19*$FA$24*$FA$43/3/(1+($FA$20-1)*$FA$19),0)+IF(CA124="同小队",$FA$19*$FA$24*$FA$46/3/(1+($FA$20-1)*$FA$19),0)+IF(CA124="同type",$FA$19*$FA$24*INDEX($FB$49:$FB$52,MATCH(X124,$FA$49:$FA$52,))/3/(1+($FA$20-1)*$FA$19),0)+IF(CA124="自身",$FA$19*#REF!/3/(1+(BH124-1)*$BD124),0)),0)</f>
        <v>0</v>
      </c>
      <c r="CE124" s="1097">
        <f t="shared" si="129"/>
        <v>0</v>
      </c>
      <c r="CF124" s="1112">
        <f t="shared" si="130"/>
        <v>0</v>
      </c>
      <c r="CG124" s="1100">
        <f t="shared" si="131"/>
        <v>0</v>
      </c>
      <c r="CH124" s="1110">
        <f t="shared" si="132"/>
        <v>0</v>
      </c>
      <c r="CI124" s="1113" t="s">
        <v>164</v>
      </c>
      <c r="CJ124" s="1114">
        <v>0.5</v>
      </c>
      <c r="CK124" s="1115" t="s">
        <v>566</v>
      </c>
      <c r="CL124" s="1115" t="s">
        <v>161</v>
      </c>
      <c r="CM124" s="1119">
        <v>0.04</v>
      </c>
      <c r="CN124" s="1115">
        <v>10</v>
      </c>
      <c r="CO124" s="1092"/>
      <c r="CP124" s="1118">
        <f t="shared" si="133"/>
        <v>4.2857142857142859E-3</v>
      </c>
      <c r="CQ124" s="1118">
        <f t="shared" si="134"/>
        <v>6.666666666666668E-3</v>
      </c>
      <c r="CR124" s="1118">
        <f t="shared" si="135"/>
        <v>4.2857142857142859E-3</v>
      </c>
      <c r="CS124" s="1118">
        <f t="shared" si="136"/>
        <v>0</v>
      </c>
      <c r="CT124" s="1109">
        <f t="shared" si="137"/>
        <v>0</v>
      </c>
      <c r="CU124" s="1101">
        <f t="shared" si="138"/>
        <v>582.78399226414717</v>
      </c>
      <c r="CV124" s="1108">
        <f t="shared" si="139"/>
        <v>43.770481875000016</v>
      </c>
      <c r="CW124" s="1097">
        <f t="shared" si="140"/>
        <v>582.78399226414717</v>
      </c>
      <c r="CX124" s="1097">
        <f t="shared" si="141"/>
        <v>582.78399226414717</v>
      </c>
      <c r="CY124" s="1110">
        <f t="shared" si="142"/>
        <v>582.78399226414717</v>
      </c>
      <c r="CZ124" s="437"/>
      <c r="DA124" s="438"/>
      <c r="DB124" s="439" t="s">
        <v>569</v>
      </c>
      <c r="DC124" s="439"/>
      <c r="DD124" s="443"/>
      <c r="DE124" s="411"/>
      <c r="DF124" s="411"/>
      <c r="DG124" s="1116">
        <f t="shared" si="143"/>
        <v>0</v>
      </c>
      <c r="DH124" s="1116">
        <f t="shared" si="144"/>
        <v>0</v>
      </c>
      <c r="DI124" s="1116">
        <f t="shared" si="145"/>
        <v>0</v>
      </c>
      <c r="DJ124" s="442">
        <f t="shared" si="146"/>
        <v>0</v>
      </c>
      <c r="DK124" s="1109">
        <f t="shared" si="147"/>
        <v>0</v>
      </c>
      <c r="DL124" s="1101">
        <f t="shared" si="148"/>
        <v>0</v>
      </c>
      <c r="DM124" s="1097">
        <f t="shared" si="149"/>
        <v>0</v>
      </c>
      <c r="DN124" s="1097">
        <f t="shared" si="150"/>
        <v>0</v>
      </c>
      <c r="DO124" s="1097">
        <f t="shared" si="151"/>
        <v>0</v>
      </c>
      <c r="DP124" s="1110">
        <f t="shared" si="152"/>
        <v>0</v>
      </c>
      <c r="DQ124" s="1113" t="s">
        <v>549</v>
      </c>
      <c r="DR124" s="1120">
        <f t="shared" si="153"/>
        <v>0.3</v>
      </c>
      <c r="DS124" s="1124"/>
      <c r="DT124" s="1093" t="s">
        <v>179</v>
      </c>
      <c r="DU124" s="1093"/>
      <c r="DV124" s="1098">
        <f>IF($P124="","N/A",IF(P124=-1,INDEX('卡片raw data'!AN:AN,MATCH(D124,'卡片raw data'!$F:$F,)),0)+IF(AND(L124&lt;&gt;"party卡",P124&lt;=2,P124&gt;=0),INDEX('卡片raw data'!AP:AP,MATCH(D124,'卡片raw data'!$F:$F,)),0)+IF(OR(AND(L124="party卡",P124&lt;=1),AND(P124&lt;=4,L124&lt;&gt;"party卡",P124&gt;=3)),INDEX('卡片raw data'!AQ:AQ,MATCH(D124,'卡片raw data'!$F:$F,)),0)+IF(OR(P124=5,AND(L124="party卡",P124&gt;=2)),INDEX('卡片raw data'!AR:AR,MATCH(D124,'卡片raw data'!$F:$F,)),0))</f>
        <v>7.0000000000000007E-2</v>
      </c>
      <c r="DW124" s="1098">
        <f t="shared" si="154"/>
        <v>0.3</v>
      </c>
      <c r="DX124" s="1098">
        <f t="shared" si="155"/>
        <v>0.3</v>
      </c>
      <c r="DY124" s="1098">
        <f t="shared" si="156"/>
        <v>7.0000000000000001E-3</v>
      </c>
      <c r="DZ124" s="1098">
        <f t="shared" si="157"/>
        <v>6.9632499999999998E-3</v>
      </c>
      <c r="EA124" s="1098">
        <f t="shared" si="158"/>
        <v>0</v>
      </c>
      <c r="EB124" s="1121">
        <f t="shared" si="159"/>
        <v>42.663074999999999</v>
      </c>
      <c r="EC124" s="1101">
        <f t="shared" si="160"/>
        <v>3150</v>
      </c>
      <c r="ED124" s="1097">
        <f t="shared" si="161"/>
        <v>1740.8125</v>
      </c>
      <c r="EE124" s="1110">
        <f t="shared" si="162"/>
        <v>3150</v>
      </c>
      <c r="EF124" s="1092" t="s">
        <v>711</v>
      </c>
      <c r="EG124" s="1120">
        <f t="shared" si="163"/>
        <v>0.3</v>
      </c>
      <c r="EH124" s="1124"/>
      <c r="EI124" s="1093"/>
      <c r="EJ124" s="1093"/>
      <c r="EK124" s="1097">
        <f>IF($P124="","N/A",IF(P124=-1,INDEX('卡片raw data'!AS:AS,MATCH(D124,'卡片raw data'!$F:$F,)),0)+IF(AND(L124&lt;&gt;"party卡",P124&lt;=2,P124&gt;=0),INDEX('卡片raw data'!AU:AU,MATCH(D124,'卡片raw data'!$F:$F,)),0)+IF(OR(AND(L124="party卡",P124&lt;=1),AND(P124&lt;=4,L124&lt;&gt;"party卡",P124&gt;=3)),INDEX('卡片raw data'!AV:AV,MATCH(D124,'卡片raw data'!$F:$F,)),0)+IF(OR(P124=5,AND(L124="party卡",P124&gt;=2)),INDEX('卡片raw data'!AW:AW,MATCH(D124,'卡片raw data'!$F:$F,)),0))</f>
        <v>0</v>
      </c>
      <c r="EL124" s="1098">
        <f t="shared" si="164"/>
        <v>0.3</v>
      </c>
      <c r="EM124" s="1098">
        <f t="shared" si="165"/>
        <v>0.3</v>
      </c>
      <c r="EN124" s="1125">
        <f t="shared" si="166"/>
        <v>0</v>
      </c>
      <c r="EO124" s="1125">
        <f t="shared" si="167"/>
        <v>0</v>
      </c>
      <c r="EP124" s="1098">
        <f t="shared" si="168"/>
        <v>0</v>
      </c>
      <c r="EQ124" s="1121">
        <f t="shared" si="169"/>
        <v>0</v>
      </c>
      <c r="ER124" s="1101">
        <f t="shared" si="170"/>
        <v>0</v>
      </c>
      <c r="ES124" s="1097">
        <f t="shared" si="171"/>
        <v>0</v>
      </c>
      <c r="ET124" s="1122">
        <f t="shared" si="172"/>
        <v>0</v>
      </c>
    </row>
    <row r="125" spans="2:150" ht="16.5" customHeight="1">
      <c r="B125" s="1123" t="str">
        <f>INDEX('卡片raw data'!B:B,MATCH($D125,'卡片raw data'!$F:$F,))</f>
        <v>登山绘</v>
      </c>
      <c r="C125" s="449" t="s">
        <v>69</v>
      </c>
      <c r="D125" s="408">
        <v>122</v>
      </c>
      <c r="E125" s="1090">
        <v>300023001</v>
      </c>
      <c r="F125" s="1090" t="str">
        <f>INDEX('卡片raw data'!C:C,MATCH($D125,'卡片raw data'!$F:$F,))</f>
        <v>UR</v>
      </c>
      <c r="G125" s="1094" t="s">
        <v>25</v>
      </c>
      <c r="H125" s="411">
        <f>IFERROR(INDEX(绊状态确认!C:C,MATCH($G125,绊状态确认!$B:$B,)),"")</f>
        <v>2</v>
      </c>
      <c r="I125" s="450" t="str">
        <f>IFERROR(INDEX(绊状态确认!D:D,MATCH($G125,绊状态确认!$B:$B,)),"")</f>
        <v>缪</v>
      </c>
      <c r="J125" s="450" t="str">
        <f>IFERROR(INDEX(绊状态确认!E:E,MATCH($G125,绊状态确认!$B:$B,)),"")</f>
        <v>3年级</v>
      </c>
      <c r="K125" s="451" t="str">
        <f>IFERROR(INDEX(绊状态确认!F:F,MATCH($G125,绊状态确认!$B:$B,)),"")</f>
        <v>BiBi</v>
      </c>
      <c r="L125" s="1094" t="str">
        <f>INDEX('卡片raw data'!E:E,MATCH($D125,'卡片raw data'!$F:$F,))</f>
        <v>卡池卡</v>
      </c>
      <c r="M125" s="415">
        <v>43790</v>
      </c>
      <c r="N125" s="416">
        <v>4</v>
      </c>
      <c r="O125" s="1091" t="str">
        <f>INDEX('卡片raw data'!D:D,MATCH($D125,'卡片raw data'!$F:$F,))</f>
        <v>vo</v>
      </c>
      <c r="P125" s="417">
        <v>5</v>
      </c>
      <c r="Q125" s="1095">
        <f t="shared" si="88"/>
        <v>56760.686347258481</v>
      </c>
      <c r="R125" s="1096">
        <f t="shared" si="89"/>
        <v>0.65900000000000003</v>
      </c>
      <c r="S125" s="1097">
        <f t="shared" si="90"/>
        <v>20080.978558829851</v>
      </c>
      <c r="T125" s="1098">
        <f t="shared" si="91"/>
        <v>1.004</v>
      </c>
      <c r="U125" s="1099">
        <f t="shared" si="92"/>
        <v>-8.3632936272571428</v>
      </c>
      <c r="V125" s="1100">
        <f t="shared" si="93"/>
        <v>56795.950875118288</v>
      </c>
      <c r="W125" s="1101">
        <f t="shared" si="94"/>
        <v>7779.3913513601992</v>
      </c>
      <c r="X125" s="1096">
        <f t="shared" si="95"/>
        <v>0.09</v>
      </c>
      <c r="Y125" s="1097">
        <f t="shared" si="96"/>
        <v>1339.932978101494</v>
      </c>
      <c r="Z125" s="1102">
        <f t="shared" si="97"/>
        <v>16.636706372742857</v>
      </c>
      <c r="AA125" s="1103">
        <f t="shared" si="98"/>
        <v>9119.3243294616932</v>
      </c>
      <c r="AB125" s="1101">
        <f t="shared" si="99"/>
        <v>7779.3913513601992</v>
      </c>
      <c r="AC125" s="1104">
        <f t="shared" si="100"/>
        <v>0.09</v>
      </c>
      <c r="AD125" s="1105">
        <f t="shared" si="101"/>
        <v>0</v>
      </c>
      <c r="AE125" s="1128">
        <f t="shared" si="102"/>
        <v>0</v>
      </c>
      <c r="AF125" s="1130">
        <f t="shared" si="103"/>
        <v>0</v>
      </c>
      <c r="AG125" s="420">
        <f t="shared" si="104"/>
        <v>0</v>
      </c>
      <c r="AH125" s="420">
        <f t="shared" si="105"/>
        <v>0</v>
      </c>
      <c r="AI125" s="1097">
        <f t="shared" si="106"/>
        <v>0</v>
      </c>
      <c r="AJ125" s="420">
        <f t="shared" si="107"/>
        <v>0</v>
      </c>
      <c r="AK125" s="518">
        <f t="shared" si="108"/>
        <v>0</v>
      </c>
      <c r="AL125" s="1106">
        <f>IF($P125="","N/A",(IF($P125=-1,INDEX('卡片raw data'!S:S,MATCH($D125,'卡片raw data'!$F:$F,)),0)+IF($P125=0,INDEX('卡片raw data'!V:V,MATCH($D125,'卡片raw data'!$F:$F,)),0)+IF($P125=1,INDEX('卡片raw data'!Y:Y,MATCH($D125,'卡片raw data'!$F:$F,)),0)+IF($P125=2,INDEX('卡片raw data'!AB:AB,MATCH($D125,'卡片raw data'!$F:$F,)),0)+IF($P125=3,INDEX('卡片raw data'!AE:AE,MATCH($D125,'卡片raw data'!$F:$F,)),0)+IF($P125=4,INDEX('卡片raw data'!AH:AH,MATCH($D125,'卡片raw data'!$F:$F,)),0)+IF($P125=5,INDEX('卡片raw data'!AK:AK,MATCH($D125,'卡片raw data'!$F:$F,)),0)+INDEX('卡片raw data'!S:S,MATCH($D125,'卡片raw data'!$F:$F,))*(IF($F125="UR",0.04,0.033))*(IF($F125="UR",INDEX(绊状态确认!$S:$S,MATCH($G125,绊状态确认!$B:$B,))/2-40)+IF($F125="SR",INDEX(绊状态确认!$R:$R,MATCH($G125,绊状态确认!$B:$B,))/4-15))+IF($F125="R",INDEX(绊状态确认!$Q:$Q,MATCH($G125,绊状态确认!$B:$B,))/6-40/6)))*(INDEX(绊状态确认!$H:$H,MATCH($G125,绊状态确认!$B:$B,))+INDEX(绊状态确认!J:J,MATCH($G125,绊状态确认!$B:$B,)))</f>
        <v>12527.673599999998</v>
      </c>
      <c r="AM125" s="1106">
        <f>IF($P125="","N/A",(IF($P125=-1,INDEX('卡片raw data'!T:T,MATCH($D125,'卡片raw data'!$F:$F,)),0)+IF($P125=0,INDEX('卡片raw data'!W:W,MATCH($D125,'卡片raw data'!$F:$F,)),0)+IF($P125=1,INDEX('卡片raw data'!Z:Z,MATCH($D125,'卡片raw data'!$F:$F,)),0)+IF($P125=2,INDEX('卡片raw data'!AC:AC,MATCH($D125,'卡片raw data'!$F:$F,)),0)+IF($P125=3,INDEX('卡片raw data'!AF:AF,MATCH($D125,'卡片raw data'!$F:$F,)),0)+IF($P125=4,INDEX('卡片raw data'!AI:AI,MATCH($D125,'卡片raw data'!$F:$F,)),0)+IF($P125=5,INDEX('卡片raw data'!AL:AL,MATCH($D125,'卡片raw data'!$F:$F,)),0)+INDEX('卡片raw data'!T:T,MATCH($D125,'卡片raw data'!$F:$F,))*(IF($F125="UR",0.04,0.033))*(IF($F125="UR",INDEX(绊状态确认!$S:$S,MATCH($G125,绊状态确认!$B:$B,))/2-40)+IF($F125="SR",INDEX(绊状态确认!$R:$R,MATCH($G125,绊状态确认!$B:$B,))/4-15))+IF($F125="R",INDEX(绊状态确认!$Q:$Q,MATCH($G125,绊状态确认!$B:$B,))/6-40/6)))*(INDEX(绊状态确认!$H:$H,MATCH($G125,绊状态确认!$B:$B,))+INDEX(绊状态确认!K:K,MATCH($G125,绊状态确认!$B:$B,)))</f>
        <v>9394.5733439999985</v>
      </c>
      <c r="AN125" s="1106">
        <f>IF($P125="","N/A",(IF($P125=-1,INDEX('卡片raw data'!U:U,MATCH($D125,'卡片raw data'!$F:$F,)),0)+IF($P125=0,INDEX('卡片raw data'!X:X,MATCH($D125,'卡片raw data'!$F:$F,)),0)+IF($P125=1,INDEX('卡片raw data'!AA:AA,MATCH($D125,'卡片raw data'!$F:$F,)),0)+IF($P125=2,INDEX('卡片raw data'!AD:AD,MATCH($D125,'卡片raw data'!$F:$F,)),0)+IF($P125=3,INDEX('卡片raw data'!AG:AG,MATCH($D125,'卡片raw data'!$F:$F,)),0)+IF($P125=4,INDEX('卡片raw data'!AJ:AJ,MATCH($D125,'卡片raw data'!$F:$F,)),0)+IF($P125=5,INDEX('卡片raw data'!AM:AM,MATCH($D125,'卡片raw data'!$F:$F,)),0)+INDEX('卡片raw data'!U:U,MATCH($D125,'卡片raw data'!$F:$F,))*(IF($F125="UR",0.04,0.033))*(IF($F125="UR",INDEX(绊状态确认!$S:$S,MATCH($G125,绊状态确认!$B:$B,))/2-40)+IF($F125="SR",INDEX(绊状态确认!$R:$R,MATCH($G125,绊状态确认!$B:$B,))/4-15))+IF($F125="R",INDEX(绊状态确认!$Q:$Q,MATCH($G125,绊状态确认!$B:$B,))/6-40/6)))*(INDEX(绊状态确认!$H:$H,MATCH($G125,绊状态确认!$B:$B,))+INDEX(绊状态确认!L:L,MATCH($G125,绊状态确认!$B:$B,)))</f>
        <v>9394.5733439999985</v>
      </c>
      <c r="AO125" s="1107">
        <f t="shared" si="109"/>
        <v>1</v>
      </c>
      <c r="AP125" s="1131">
        <f>1+(INDEX(绊状态确认!$T:$T,MATCH($G125,绊状态确认!$B:$B,))+0.2)*$AO125</f>
        <v>1.3</v>
      </c>
      <c r="AQ125" s="1108">
        <f t="shared" si="110"/>
        <v>36135.143199999999</v>
      </c>
      <c r="AR125" s="1097">
        <f>(AM125*(1+$EX$9)+$EX$35)*(1+(INDEX(绊状态确认!$T:$T,MATCH($G125,绊状态确认!$B:$B,))+0.2)*AO125)*IF(J125=$FF$17,1+$FE$17,1)*IF(I125=$FF$14,1+$FE$14,1)*(1+$FE$15)</f>
        <v>15527.592614560001</v>
      </c>
      <c r="AS125" s="1097">
        <f>(AN125*(1+$EX$10)+$EX$36)*(1+(INDEX(绊状态确认!$T:$T,MATCH($G125,绊状态确认!$B:$B,))+0.2)*AO125)*IF(J125=$FF$17,1+$FE$17,1)*IF(I125=$FF$14,1+$FE$14,1)*(1+$FE$15)</f>
        <v>18100.887149279999</v>
      </c>
      <c r="AT125" s="1093">
        <f>IF(AND(INDEX('卡片raw data'!AK:AK,MATCH($D125,'卡片raw data'!$F:$F,))&lt;INDEX('卡片raw data'!AM:AM,MATCH($D125,'卡片raw data'!$F:$F,)),INDEX('卡片raw data'!AL:AL,MATCH($D125,'卡片raw data'!$F:$F,))&lt;INDEX('卡片raw data'!AM:AM,MATCH($D125,'卡片raw data'!$F:$F,))),1,0)</f>
        <v>0</v>
      </c>
      <c r="AU125" s="1098">
        <f>MIN(AT125*0.15+AS125*0.00003+INDEX(绊状态确认!M:M,MATCH($G125,绊状态确认!$B:$B,)),1)</f>
        <v>0.57302661447839998</v>
      </c>
      <c r="AV125" s="1109">
        <f>(INDEX(绊状态确认!$N:$N,MATCH($G125,绊状态确认!$B:$B,))+1.5)*$EW$21</f>
        <v>2.6599999999999997</v>
      </c>
      <c r="AW125" s="1101">
        <f t="shared" si="111"/>
        <v>36617.974103038854</v>
      </c>
      <c r="AX125" s="1097">
        <f t="shared" si="112"/>
        <v>1339.9329781014937</v>
      </c>
      <c r="AY125" s="1110">
        <f t="shared" si="113"/>
        <v>37957.907081140351</v>
      </c>
      <c r="AZ125" s="429">
        <f t="shared" si="114"/>
        <v>27028.963519999998</v>
      </c>
      <c r="BA125" s="431">
        <f t="shared" si="115"/>
        <v>32434.756223999997</v>
      </c>
      <c r="BB125" s="1097">
        <f>(AM125*(1+$FB$9)+$FB$35)*(1+(INDEX(绊状态确认!$T:$T,MATCH($G125,绊状态确认!$B:$B,))+0.2)*AO125)*IF(J125=$FF$17,1+$FE$17,1)*IF(I125=$FF$14,1+$FE$14,1)*(1+$FE$15)</f>
        <v>15527.592614560001</v>
      </c>
      <c r="BC125" s="1097">
        <f>(AN125*(1+$FB$10)+$FB$36)*(1+(INDEX(绊状态确认!$T:$T,MATCH($G125,绊状态确认!$B:$B,))+0.2)*AO125)*IF(J125=$FF$17,1+$FE$17,1)*IF(I125=$FF$14,1+$FE$14,1)*(1+$FE$15)</f>
        <v>18100.887149279999</v>
      </c>
      <c r="BD125" s="1104">
        <f>MIN(AT125*0.15+BC125*0.00003+INDEX(绊状态确认!M:M,MATCH($G125,绊状态确认!$B:$B,)),1)</f>
        <v>0.57302661447839998</v>
      </c>
      <c r="BE125" s="432">
        <f>(INDEX(绊状态确认!$N:$N,MATCH($G125,绊状态确认!$B:$B,))+1.5)</f>
        <v>1.9</v>
      </c>
      <c r="BF125" s="1139">
        <f t="array" ref="BF125">SUMPRODUCT(IF(AZ125*AP125*$FI$16:$FI$23*$FA$22&gt;=$FI$24,$FI$24,AZ125*AP125*$FI$16:$FI$23*$FA$22),$FJ$16:$FJ$23)</f>
        <v>52759.676988160005</v>
      </c>
      <c r="BG125" s="1125">
        <f t="array" ref="BG125">SUMPRODUCT(IF(BE125*AZ125*AP125*$FI$16:$FI$23*$FA$22&gt;=$FI$24,$FI$24,BE125*AZ125*AP125*$FI$16:$FI$23*$FA$22),$FJ$16:$FJ$23)</f>
        <v>60000</v>
      </c>
      <c r="BH125" s="1110">
        <f t="shared" si="116"/>
        <v>18969.524923788242</v>
      </c>
      <c r="BI125" s="1111">
        <f>IF(O125="vo",$EW$26/$EW$24*0.05,0)+IF(O125="sk",-$EW$26/$EW$24*(0.05-INDEX(绊状态确认!W:W,MATCH($G125,绊状态确认!$B:$B,)))+0.05*$EW$28,0)+IF(O125="sp",0.05*$EW$32*$EW$30*(1-$EW$33)-(0.05-INDEX(绊状态确认!V:V,MATCH($G125,绊状态确认!$B:$B,)))*$EW$28,0)+IF(O125="gd",-(0.05-INDEX(绊状态确认!X:X,MATCH($G125,绊状态确认!$B:$B,)))*$EW$32*$EW$30*(1-$EW$33),0)</f>
        <v>7726.3029277443748</v>
      </c>
      <c r="BJ125" s="1097">
        <f>IF(O125="vo",0.05*(1-$FI$26)*$FA$24,0)+IF(O125="sk",-(0.05-INDEX(绊状态确认!W:W,MATCH($G125,绊状态确认!$B:$B,)))*(1-$FI$26)*$FA$24+0.05*$FA$26,0)+IF(O125="sp",0.05*$FA$32*$FA$27*(1-$FA$33)/$FA$30+0.05*$FA$29/$FA$69*$FA$27*(1-$FA$33)-(0.05-INDEX(绊状态确认!V:V,MATCH($G125,绊状态确认!$B:$B,)))*$FA$26,0)+IF(O125="gd",-(0.05-INDEX(绊状态确认!X:X,MATCH($G125,绊状态确认!$B:$B,)))*$FA$32*$FA$27*(1-$FA$33)/$FA$30-(0.05-INDEX(绊状态确认!X:X,MATCH($G125,绊状态确认!$B:$B,)))*$FA$29/$FA$69*$FA$27*(1-$FA$33),0)</f>
        <v>393.93433687500004</v>
      </c>
      <c r="BK125" s="1110">
        <f>IF(O125="vo",$EW$26/$EW$24*0.05+$EW$26*(-HP($EW$62,$EW$65,$EW$64)+HP($EW$62,$EW$65,(1.05-INDEX(绊状态确认!U:U,MATCH($G125,绊状态确认!$B:$B,)))*$EW$64)),0)+IF(O125="sk",-$EW$26/$EW$24*(0.05-INDEX(绊状态确认!W:W,MATCH($G125,绊状态确认!$B:$B,)))+0.05*$EW$29,0)+IF(O125="sp",0.05*$EW$32*$EW$30*(1-$EW$33)-(0.05-INDEX(绊状态确认!V:V,MATCH($G125,绊状态确认!$B:$B,)))*$EW$29,0)+IF(O125="gd",-(0.05-INDEX(绊状态确认!X:X,MATCH($G125,绊状态确认!$B:$B,)))*$EW$32*$EW$30*(1-$EW$33)+$EW$26*(-HP($EW$62,$EW$65,$EW$64)+HP($EW$62,$EW$65,0.95*$EW$64)),0)</f>
        <v>6421.6344775026746</v>
      </c>
      <c r="BL125" s="1111">
        <f t="shared" si="117"/>
        <v>0</v>
      </c>
      <c r="BM125" s="1110">
        <f t="shared" si="118"/>
        <v>0</v>
      </c>
      <c r="BN125" s="1113">
        <f t="shared" si="119"/>
        <v>3</v>
      </c>
      <c r="BO125" s="1097">
        <f t="shared" si="120"/>
        <v>4507.7214871259994</v>
      </c>
      <c r="BP125" s="1100">
        <f t="shared" si="121"/>
        <v>221.34103209030098</v>
      </c>
      <c r="BQ125" s="1113" t="s">
        <v>143</v>
      </c>
      <c r="BR125" s="1124" t="s">
        <v>147</v>
      </c>
      <c r="BS125" s="1098">
        <f>IF($P125="","N/A",IF($P125=-1,INDEX('卡片raw data'!AX:AX,MATCH($D125,'卡片raw data'!$F:$F,)),0)+IF($L125="party卡",IF($P125=5,INDEX('卡片raw data'!BD:BD,MATCH($D125,'卡片raw data'!$F:$F,)),IF($P125&gt;=3,INDEX('卡片raw data'!BC:BC,MATCH($D125,'卡片raw data'!$F:$F,)),INDEX('卡片raw data'!BB:BB,MATCH($D125,'卡片raw data'!$F:$F,)))),IF(OR(AND($F125="UR",$P125=0),AND($F125="SR",$P125&gt;=0,$P125&lt;=2),AND($F125="R",$P125&gt;=0,$P125&lt;4)),INDEX('卡片raw data'!AZ:AZ,MATCH($D125,'卡片raw data'!$F:$F,)),0)+IF(OR(AND($F125="UR",$P125&gt;=1,$P125&lt;=4),AND($F125="SR",$P125&lt;=4,$P125&gt;=3),AND($F125="R",$P125=4)),INDEX('卡片raw data'!BA:BA,MATCH($D125,'卡片raw data'!$F:$F,)),0)+IF($P125=5,INDEX('卡片raw data'!BB:BB,MATCH($D125,'卡片raw data'!$F:$F,)),0)))</f>
        <v>4.2000000000000003E-2</v>
      </c>
      <c r="BT125" s="1101">
        <f t="shared" si="122"/>
        <v>3155.4050409881997</v>
      </c>
      <c r="BU125" s="1097">
        <f t="shared" si="123"/>
        <v>154.93872246321072</v>
      </c>
      <c r="BV125" s="1097">
        <f t="shared" si="124"/>
        <v>3155.4050409882002</v>
      </c>
      <c r="BW125" s="1112">
        <f t="shared" si="125"/>
        <v>0</v>
      </c>
      <c r="BX125" s="1100">
        <f t="shared" si="126"/>
        <v>3155.4050409881997</v>
      </c>
      <c r="BY125" s="1110">
        <f t="shared" si="127"/>
        <v>3155.4050409882002</v>
      </c>
      <c r="BZ125" s="1107" t="s">
        <v>569</v>
      </c>
      <c r="CA125" s="1124"/>
      <c r="CB125" s="1098">
        <f>IF($P125="","N/A",IF($P125=-1,INDEX('卡片raw data'!BE:BE,MATCH($D125,'卡片raw data'!$F:$F,)),0)+IF($L125="party卡",IF($P125=5,INDEX('卡片raw data'!BK:BK,MATCH($D125,'卡片raw data'!$F:$F,)),IF($P125&gt;=3,INDEX('卡片raw data'!BJ:BJ,MATCH($D125,'卡片raw data'!$F:$F,)),INDEX('卡片raw data'!BI:BI,MATCH($D125,'卡片raw data'!$F:$F,)))),IF(OR(AND($F125="UR",$P125=0),AND($F125="SR",$P125&gt;=0,$P125&lt;=2),AND($F125="R",$P125&gt;=0,$P125&lt;4)),INDEX('卡片raw data'!BG:BG,MATCH($D125,'卡片raw data'!$F:$F,)),0)+IF(OR(AND($F125="UR",$P125&gt;=1,$P125&lt;=4),AND($F125="SR",$P125&lt;=4,$P125&gt;=3),AND($F125="R",$P125=4)),INDEX('卡片raw data'!BH:BH,MATCH($D125,'卡片raw data'!$F:$F,)),0)+IF($P125=5,INDEX('卡片raw data'!BI:BI,MATCH($D125,'卡片raw data'!$F:$F,)),0)))</f>
        <v>0</v>
      </c>
      <c r="CC125" s="1101">
        <f t="shared" si="128"/>
        <v>0</v>
      </c>
      <c r="CD125" s="1097">
        <f>IF(BZ125="ap",CB125*(1-$FI$26)*$FB$5/$FB$11*(+IF(CA125="全员",$FA$24,0)+IF(CA125="同作战",$FA$24,0)+IF(CA125="仲间",$FA$24*2/3,0)+IF(CA125="同属性",$FA$24*$FA$37/3,0)+IF(CA125="同年级",$FA$24*$FA$40/3,0)+IF(CA125="同学校",$FA$24*$FA$43/3,0)+IF(CA125="同小队",$FA$24*$FA$46/3,0)+IF(CA125="同type",$FA$24*INDEX($FB$49:$FB$52,MATCH(X125,$FA$49:$FA$52,))/3,0)+IF(CA125="自身",#REF!/3,0)),0)+IF(BZ125="te",CB125*(1-$FI$27)*($FA$20-1)*$FB$7/$FB$13*(+IF(CA125="全员",$FA$19*$FA$24/(1+($FA$20-1)*$FA$19),0)+IF(CA125="同作战",$FA$19*$FA$24/(1+($FA$20-1)*$FA$19),0)+IF(CA125="仲间",$FA$19*$FA$24*2/3/(1+($FA$20-1)*$FA$19),0)+IF(CA125="同属性",$FA$19*$FA$24*$FA$37/3/(1+($FA$20-1)*$FA$19),0)+IF(CA125="同年级",$FA$19*$FA$24*$FA$40/3/(1+($FA$20-1)*$FA$19),0)+IF(CA125="同学校",$FA$19*$FA$24*$FA$43/3/(1+($FA$20-1)*$FA$19),0)+IF(CA125="同小队",$FA$19*$FA$24*$FA$46/3/(1+($FA$20-1)*$FA$19),0)+IF(CA125="同type",$FA$19*$FA$24*INDEX($FB$49:$FB$52,MATCH(X125,$FA$49:$FA$52,))/3/(1+($FA$20-1)*$FA$19),0)+IF(CA125="自身",$FA$19*#REF!/3/(1+(BH125-1)*$BD125),0)),0)</f>
        <v>0</v>
      </c>
      <c r="CE125" s="1097">
        <f t="shared" si="129"/>
        <v>0</v>
      </c>
      <c r="CF125" s="1112">
        <f t="shared" si="130"/>
        <v>0</v>
      </c>
      <c r="CG125" s="1100">
        <f t="shared" si="131"/>
        <v>0</v>
      </c>
      <c r="CH125" s="1110">
        <f t="shared" si="132"/>
        <v>0</v>
      </c>
      <c r="CI125" s="1113" t="s">
        <v>164</v>
      </c>
      <c r="CJ125" s="1114">
        <v>0.3</v>
      </c>
      <c r="CK125" s="1115" t="s">
        <v>152</v>
      </c>
      <c r="CL125" s="1115" t="s">
        <v>1940</v>
      </c>
      <c r="CM125" s="1119">
        <v>0.35</v>
      </c>
      <c r="CN125" s="1115"/>
      <c r="CO125" s="1092"/>
      <c r="CP125" s="1116">
        <f t="shared" si="133"/>
        <v>105.69529385999999</v>
      </c>
      <c r="CQ125" s="1116">
        <f t="shared" si="134"/>
        <v>147.5781408192</v>
      </c>
      <c r="CR125" s="1116">
        <f t="shared" si="135"/>
        <v>105.69529385999999</v>
      </c>
      <c r="CS125" s="1118">
        <f t="shared" si="136"/>
        <v>0</v>
      </c>
      <c r="CT125" s="1109">
        <f t="shared" si="137"/>
        <v>0</v>
      </c>
      <c r="CU125" s="1101">
        <f t="shared" si="138"/>
        <v>116.26482324600001</v>
      </c>
      <c r="CV125" s="1108">
        <f t="shared" si="139"/>
        <v>147.5781408192</v>
      </c>
      <c r="CW125" s="1097">
        <f t="shared" si="140"/>
        <v>116.26482324600001</v>
      </c>
      <c r="CX125" s="1097">
        <f t="shared" si="141"/>
        <v>116.26482324600001</v>
      </c>
      <c r="CY125" s="1110">
        <f t="shared" si="142"/>
        <v>116.26482324600001</v>
      </c>
      <c r="CZ125" s="437"/>
      <c r="DA125" s="438"/>
      <c r="DB125" s="439" t="s">
        <v>569</v>
      </c>
      <c r="DC125" s="439"/>
      <c r="DD125" s="443"/>
      <c r="DE125" s="411"/>
      <c r="DF125" s="411"/>
      <c r="DG125" s="1116">
        <f t="shared" si="143"/>
        <v>0</v>
      </c>
      <c r="DH125" s="1116">
        <f t="shared" si="144"/>
        <v>0</v>
      </c>
      <c r="DI125" s="1116">
        <f t="shared" si="145"/>
        <v>0</v>
      </c>
      <c r="DJ125" s="442">
        <f t="shared" si="146"/>
        <v>0</v>
      </c>
      <c r="DK125" s="1109">
        <f t="shared" si="147"/>
        <v>0</v>
      </c>
      <c r="DL125" s="1101">
        <f t="shared" si="148"/>
        <v>0</v>
      </c>
      <c r="DM125" s="1097">
        <f t="shared" si="149"/>
        <v>0</v>
      </c>
      <c r="DN125" s="1097">
        <f t="shared" si="150"/>
        <v>0</v>
      </c>
      <c r="DO125" s="1097">
        <f t="shared" si="151"/>
        <v>0</v>
      </c>
      <c r="DP125" s="1110">
        <f t="shared" si="152"/>
        <v>0</v>
      </c>
      <c r="DQ125" s="1113" t="s">
        <v>153</v>
      </c>
      <c r="DR125" s="1120">
        <f t="shared" si="153"/>
        <v>0.33</v>
      </c>
      <c r="DS125" s="1124">
        <v>5</v>
      </c>
      <c r="DT125" s="1093" t="s">
        <v>161</v>
      </c>
      <c r="DU125" s="1093" t="s">
        <v>544</v>
      </c>
      <c r="DV125" s="1098">
        <f>IF($P125="","N/A",IF(P125=-1,INDEX('卡片raw data'!AN:AN,MATCH(D125,'卡片raw data'!$F:$F,)),0)+IF(AND(L125&lt;&gt;"party卡",P125&lt;=2,P125&gt;=0),INDEX('卡片raw data'!AP:AP,MATCH(D125,'卡片raw data'!$F:$F,)),0)+IF(OR(AND(L125="party卡",P125&lt;=1),AND(P125&lt;=4,L125&lt;&gt;"party卡",P125&gt;=3)),INDEX('卡片raw data'!AQ:AQ,MATCH(D125,'卡片raw data'!$F:$F,)),0)+IF(OR(P125=5,AND(L125="party卡",P125&gt;=2)),INDEX('卡片raw data'!AR:AR,MATCH(D125,'卡片raw data'!$F:$F,)),0))</f>
        <v>6.2E-2</v>
      </c>
      <c r="DW125" s="1098">
        <f t="shared" si="154"/>
        <v>0.33</v>
      </c>
      <c r="DX125" s="1098">
        <f t="shared" si="155"/>
        <v>0.33</v>
      </c>
      <c r="DY125" s="1098">
        <f t="shared" si="156"/>
        <v>3.4100000000000005E-2</v>
      </c>
      <c r="DZ125" s="1098">
        <f t="shared" si="157"/>
        <v>2.9496500000000005E-2</v>
      </c>
      <c r="EA125" s="1098">
        <f t="shared" si="158"/>
        <v>0</v>
      </c>
      <c r="EB125" s="1121">
        <f t="shared" si="159"/>
        <v>0</v>
      </c>
      <c r="EC125" s="1101">
        <f t="shared" si="160"/>
        <v>4637.0179651150647</v>
      </c>
      <c r="ED125" s="1097">
        <f t="shared" si="161"/>
        <v>193.66140279389066</v>
      </c>
      <c r="EE125" s="1110">
        <f t="shared" si="162"/>
        <v>4637.0179651150647</v>
      </c>
      <c r="EF125" s="1092" t="s">
        <v>711</v>
      </c>
      <c r="EG125" s="1120">
        <f t="shared" si="163"/>
        <v>0.33</v>
      </c>
      <c r="EH125" s="1124"/>
      <c r="EI125" s="1093"/>
      <c r="EJ125" s="1093"/>
      <c r="EK125" s="1097">
        <f>IF($P125="","N/A",IF(P125=-1,INDEX('卡片raw data'!AS:AS,MATCH(D125,'卡片raw data'!$F:$F,)),0)+IF(AND(L125&lt;&gt;"party卡",P125&lt;=2,P125&gt;=0),INDEX('卡片raw data'!AU:AU,MATCH(D125,'卡片raw data'!$F:$F,)),0)+IF(OR(AND(L125="party卡",P125&lt;=1),AND(P125&lt;=4,L125&lt;&gt;"party卡",P125&gt;=3)),INDEX('卡片raw data'!AV:AV,MATCH(D125,'卡片raw data'!$F:$F,)),0)+IF(OR(P125=5,AND(L125="party卡",P125&gt;=2)),INDEX('卡片raw data'!AW:AW,MATCH(D125,'卡片raw data'!$F:$F,)),0))</f>
        <v>0</v>
      </c>
      <c r="EL125" s="1098">
        <f t="shared" si="164"/>
        <v>0.33</v>
      </c>
      <c r="EM125" s="1098">
        <f t="shared" si="165"/>
        <v>0.33</v>
      </c>
      <c r="EN125" s="1125">
        <f t="shared" si="166"/>
        <v>0</v>
      </c>
      <c r="EO125" s="1125">
        <f t="shared" si="167"/>
        <v>0</v>
      </c>
      <c r="EP125" s="1098">
        <f t="shared" si="168"/>
        <v>0</v>
      </c>
      <c r="EQ125" s="1121">
        <f t="shared" si="169"/>
        <v>0</v>
      </c>
      <c r="ER125" s="1101">
        <f t="shared" si="170"/>
        <v>0</v>
      </c>
      <c r="ES125" s="1097">
        <f t="shared" si="171"/>
        <v>0</v>
      </c>
      <c r="ET125" s="1122">
        <f t="shared" si="172"/>
        <v>0</v>
      </c>
    </row>
    <row r="126" spans="2:150" ht="16.5" customHeight="1">
      <c r="B126" s="1123" t="str">
        <f>INDEX('卡片raw data'!B:B,MATCH($D126,'卡片raw data'!$F:$F,))</f>
        <v>一单善</v>
      </c>
      <c r="C126" s="449" t="s">
        <v>22</v>
      </c>
      <c r="D126" s="408">
        <v>123</v>
      </c>
      <c r="E126" s="1090">
        <v>301062001</v>
      </c>
      <c r="F126" s="1090" t="str">
        <f>INDEX('卡片raw data'!C:C,MATCH($D126,'卡片raw data'!$F:$F,))</f>
        <v>SR</v>
      </c>
      <c r="G126" s="1094" t="s">
        <v>343</v>
      </c>
      <c r="H126" s="411">
        <f>IFERROR(INDEX(绊状态确认!C:C,MATCH($G126,绊状态确认!$B:$B,)),"")</f>
        <v>106</v>
      </c>
      <c r="I126" s="450" t="str">
        <f>IFERROR(INDEX(绊状态确认!D:D,MATCH($G126,绊状态确认!$B:$B,)),"")</f>
        <v>水</v>
      </c>
      <c r="J126" s="450" t="str">
        <f>IFERROR(INDEX(绊状态确认!E:E,MATCH($G126,绊状态确认!$B:$B,)),"")</f>
        <v>1年级</v>
      </c>
      <c r="K126" s="451" t="str">
        <f>IFERROR(INDEX(绊状态确认!F:F,MATCH($G126,绊状态确认!$B:$B,)),"")</f>
        <v>Guilty Kiss</v>
      </c>
      <c r="L126" s="1094" t="str">
        <f>INDEX('卡片raw data'!E:E,MATCH($D126,'卡片raw data'!$F:$F,))</f>
        <v>卡池卡</v>
      </c>
      <c r="M126" s="415">
        <v>43790</v>
      </c>
      <c r="N126" s="416">
        <v>4</v>
      </c>
      <c r="O126" s="1091" t="str">
        <f>INDEX('卡片raw data'!D:D,MATCH($D126,'卡片raw data'!$F:$F,))</f>
        <v>gd</v>
      </c>
      <c r="P126" s="417">
        <v>5</v>
      </c>
      <c r="Q126" s="1095">
        <f t="shared" si="88"/>
        <v>18925.056906578939</v>
      </c>
      <c r="R126" s="1096">
        <f t="shared" si="89"/>
        <v>0.22</v>
      </c>
      <c r="S126" s="1097">
        <f t="shared" si="90"/>
        <v>11095.442838167954</v>
      </c>
      <c r="T126" s="1098">
        <f t="shared" si="91"/>
        <v>0.55400000000000005</v>
      </c>
      <c r="U126" s="1099">
        <f t="shared" si="92"/>
        <v>76.66970229413144</v>
      </c>
      <c r="V126" s="1100">
        <f t="shared" si="93"/>
        <v>26603.435043147638</v>
      </c>
      <c r="W126" s="1101">
        <f t="shared" si="94"/>
        <v>4507.7214871259994</v>
      </c>
      <c r="X126" s="1096">
        <f t="shared" si="95"/>
        <v>5.1999999999999998E-2</v>
      </c>
      <c r="Y126" s="1097">
        <f t="shared" si="96"/>
        <v>1272.1550695101996</v>
      </c>
      <c r="Z126" s="1102">
        <f t="shared" si="97"/>
        <v>15.919702294131424</v>
      </c>
      <c r="AA126" s="1103">
        <f t="shared" si="98"/>
        <v>5779.876556636199</v>
      </c>
      <c r="AB126" s="1101">
        <f t="shared" si="99"/>
        <v>4507.7214871259994</v>
      </c>
      <c r="AC126" s="1104">
        <f t="shared" si="100"/>
        <v>5.1999999999999998E-2</v>
      </c>
      <c r="AD126" s="1105">
        <f t="shared" si="101"/>
        <v>-3.8207812500000026E-3</v>
      </c>
      <c r="AE126" s="1128">
        <f t="shared" si="102"/>
        <v>-18.525362318840578</v>
      </c>
      <c r="AF126" s="1130">
        <f t="shared" si="103"/>
        <v>0</v>
      </c>
      <c r="AG126" s="420">
        <f t="shared" si="104"/>
        <v>0</v>
      </c>
      <c r="AH126" s="420">
        <f t="shared" si="105"/>
        <v>0</v>
      </c>
      <c r="AI126" s="1097">
        <f t="shared" si="106"/>
        <v>0</v>
      </c>
      <c r="AJ126" s="420">
        <f t="shared" si="107"/>
        <v>0</v>
      </c>
      <c r="AK126" s="518">
        <f t="shared" si="108"/>
        <v>0</v>
      </c>
      <c r="AL126" s="1106">
        <f>IF($P126="","N/A",(IF($P126=-1,INDEX('卡片raw data'!S:S,MATCH($D126,'卡片raw data'!$F:$F,)),0)+IF($P126=0,INDEX('卡片raw data'!V:V,MATCH($D126,'卡片raw data'!$F:$F,)),0)+IF($P126=1,INDEX('卡片raw data'!Y:Y,MATCH($D126,'卡片raw data'!$F:$F,)),0)+IF($P126=2,INDEX('卡片raw data'!AB:AB,MATCH($D126,'卡片raw data'!$F:$F,)),0)+IF($P126=3,INDEX('卡片raw data'!AE:AE,MATCH($D126,'卡片raw data'!$F:$F,)),0)+IF($P126=4,INDEX('卡片raw data'!AH:AH,MATCH($D126,'卡片raw data'!$F:$F,)),0)+IF($P126=5,INDEX('卡片raw data'!AK:AK,MATCH($D126,'卡片raw data'!$F:$F,)),0)+INDEX('卡片raw data'!S:S,MATCH($D126,'卡片raw data'!$F:$F,))*(IF($F126="UR",0.04,0.033))*(IF($F126="UR",INDEX(绊状态确认!$S:$S,MATCH($G126,绊状态确认!$B:$B,))/2-40)+IF($F126="SR",INDEX(绊状态确认!$R:$R,MATCH($G126,绊状态确认!$B:$B,))/4-15))+IF($F126="R",INDEX(绊状态确认!$Q:$Q,MATCH($G126,绊状态确认!$B:$B,))/6-40/6)))*(INDEX(绊状态确认!$H:$H,MATCH($G126,绊状态确认!$B:$B,))+INDEX(绊状态确认!J:J,MATCH($G126,绊状态确认!$B:$B,)))</f>
        <v>5777.255320799999</v>
      </c>
      <c r="AM126" s="1106">
        <f>IF($P126="","N/A",(IF($P126=-1,INDEX('卡片raw data'!T:T,MATCH($D126,'卡片raw data'!$F:$F,)),0)+IF($P126=0,INDEX('卡片raw data'!W:W,MATCH($D126,'卡片raw data'!$F:$F,)),0)+IF($P126=1,INDEX('卡片raw data'!Z:Z,MATCH($D126,'卡片raw data'!$F:$F,)),0)+IF($P126=2,INDEX('卡片raw data'!AC:AC,MATCH($D126,'卡片raw data'!$F:$F,)),0)+IF($P126=3,INDEX('卡片raw data'!AF:AF,MATCH($D126,'卡片raw data'!$F:$F,)),0)+IF($P126=4,INDEX('卡片raw data'!AI:AI,MATCH($D126,'卡片raw data'!$F:$F,)),0)+IF($P126=5,INDEX('卡片raw data'!AL:AL,MATCH($D126,'卡片raw data'!$F:$F,)),0)+INDEX('卡片raw data'!T:T,MATCH($D126,'卡片raw data'!$F:$F,))*(IF($F126="UR",0.04,0.033))*(IF($F126="UR",INDEX(绊状态确认!$S:$S,MATCH($G126,绊状态确认!$B:$B,))/2-40)+IF($F126="SR",INDEX(绊状态确认!$R:$R,MATCH($G126,绊状态确认!$B:$B,))/4-15))+IF($F126="R",INDEX(绊状态确认!$Q:$Q,MATCH($G126,绊状态确认!$B:$B,))/6-40/6)))*(INDEX(绊状态确认!$H:$H,MATCH($G126,绊状态确认!$B:$B,))+INDEX(绊状态确认!K:K,MATCH($G126,绊状态确认!$B:$B,)))</f>
        <v>7703.7646943999989</v>
      </c>
      <c r="AN126" s="1106">
        <f>IF($P126="","N/A",(IF($P126=-1,INDEX('卡片raw data'!U:U,MATCH($D126,'卡片raw data'!$F:$F,)),0)+IF($P126=0,INDEX('卡片raw data'!X:X,MATCH($D126,'卡片raw data'!$F:$F,)),0)+IF($P126=1,INDEX('卡片raw data'!AA:AA,MATCH($D126,'卡片raw data'!$F:$F,)),0)+IF($P126=2,INDEX('卡片raw data'!AD:AD,MATCH($D126,'卡片raw data'!$F:$F,)),0)+IF($P126=3,INDEX('卡片raw data'!AG:AG,MATCH($D126,'卡片raw data'!$F:$F,)),0)+IF($P126=4,INDEX('卡片raw data'!AJ:AJ,MATCH($D126,'卡片raw data'!$F:$F,)),0)+IF($P126=5,INDEX('卡片raw data'!AM:AM,MATCH($D126,'卡片raw data'!$F:$F,)),0)+INDEX('卡片raw data'!U:U,MATCH($D126,'卡片raw data'!$F:$F,))*(IF($F126="UR",0.04,0.033))*(IF($F126="UR",INDEX(绊状态确认!$S:$S,MATCH($G126,绊状态确认!$B:$B,))/2-40)+IF($F126="SR",INDEX(绊状态确认!$R:$R,MATCH($G126,绊状态确认!$B:$B,))/4-15))+IF($F126="R",INDEX(绊状态确认!$Q:$Q,MATCH($G126,绊状态确认!$B:$B,))/6-40/6)))*(INDEX(绊状态确认!$H:$H,MATCH($G126,绊状态确认!$B:$B,))+INDEX(绊状态确认!L:L,MATCH($G126,绊状态确认!$B:$B,)))</f>
        <v>5777.255320799999</v>
      </c>
      <c r="AO126" s="1107">
        <f t="shared" si="109"/>
        <v>1</v>
      </c>
      <c r="AP126" s="1131">
        <f>1+(INDEX(绊状态确认!$T:$T,MATCH($G126,绊状态确认!$B:$B,))+0.2)*$AO126</f>
        <v>1.3</v>
      </c>
      <c r="AQ126" s="1108">
        <f t="shared" si="110"/>
        <v>18415.295217099996</v>
      </c>
      <c r="AR126" s="1097">
        <f>(AM126*(1+$EX$9)+$EX$35)*(1+(INDEX(绊状态确认!$T:$T,MATCH($G126,绊状态确认!$B:$B,))+0.2)*AO126)*IF(J126=$FF$17,1+$FE$17,1)*IF(I126=$FF$14,1+$FE$14,1)</f>
        <v>13219.638807855998</v>
      </c>
      <c r="AS126" s="1097">
        <f>(AN126*(1+$EX$10)+$EX$36)*(1+(INDEX(绊状态确认!$T:$T,MATCH($G126,绊状态确认!$B:$B,))+0.2)*AO126)*IF(J126=$FF$17,1+$FE$17,1)*IF(I126=$FF$14,1+$FE$14,1)</f>
        <v>12692.996704595998</v>
      </c>
      <c r="AT126" s="1093">
        <f>IF(AND(INDEX('卡片raw data'!AK:AK,MATCH($D126,'卡片raw data'!$F:$F,))&lt;INDEX('卡片raw data'!AM:AM,MATCH($D126,'卡片raw data'!$F:$F,)),INDEX('卡片raw data'!AL:AL,MATCH($D126,'卡片raw data'!$F:$F,))&lt;INDEX('卡片raw data'!AM:AM,MATCH($D126,'卡片raw data'!$F:$F,))),1,0)</f>
        <v>0</v>
      </c>
      <c r="AU126" s="1098">
        <f>MIN(AT126*0.15+AS126*0.00003+INDEX(绊状态确认!M:M,MATCH($G126,绊状态确认!$B:$B,)),1)</f>
        <v>0.41078990113788</v>
      </c>
      <c r="AV126" s="1109">
        <f>(INDEX(绊状态确认!$N:$N,MATCH($G126,绊状态确认!$B:$B,))+1.5)*$EW$21</f>
        <v>2.6599999999999997</v>
      </c>
      <c r="AW126" s="1101">
        <f t="shared" si="111"/>
        <v>16085.668752786272</v>
      </c>
      <c r="AX126" s="1097">
        <f t="shared" si="112"/>
        <v>1134.9648752968578</v>
      </c>
      <c r="AY126" s="1110">
        <f t="shared" si="113"/>
        <v>17220.633628083131</v>
      </c>
      <c r="AZ126" s="429">
        <f t="shared" si="114"/>
        <v>13865.647875559998</v>
      </c>
      <c r="BA126" s="431">
        <f t="shared" si="115"/>
        <v>16638.777450671998</v>
      </c>
      <c r="BB126" s="1097">
        <f>(AM126*(1+$FB$9)+$FB$35)*(1+(INDEX(绊状态确认!$T:$T,MATCH($G126,绊状态确认!$B:$B,))+0.2)*AO126)*IF(J126=$FF$17,1+$FE$17,1)*IF(I126=$FF$14,1+$FE$14,1)*(1+$FE$15)</f>
        <v>13219.638807855998</v>
      </c>
      <c r="BC126" s="1097">
        <f>(AN126*(1+$FB$10)+$FB$36)*(1+(INDEX(绊状态确认!$T:$T,MATCH($G126,绊状态确认!$B:$B,))+0.2)*AO126)*IF(J126=$FF$17,1+$FE$17,1)*IF(I126=$FF$14,1+$FE$14,1)*(1+$FE$15)</f>
        <v>12692.996704595998</v>
      </c>
      <c r="BD126" s="1104">
        <f>MIN(AT126*0.15+BC126*0.00003+INDEX(绊状态确认!M:M,MATCH($G126,绊状态确认!$B:$B,)),1)</f>
        <v>0.41078990113788</v>
      </c>
      <c r="BE126" s="432">
        <f>(INDEX(绊状态确认!$N:$N,MATCH($G126,绊状态确认!$B:$B,))+1.5)</f>
        <v>1.9</v>
      </c>
      <c r="BF126" s="1139">
        <f t="array" ref="BF126">SUMPRODUCT(IF(AZ126*AP126*$FI$16:$FI$23*$FA$22&gt;=$FI$24,$FI$24,AZ126*AP126*$FI$16:$FI$23*$FA$22),$FJ$16:$FJ$23)</f>
        <v>27578.77362448884</v>
      </c>
      <c r="BG126" s="1125">
        <f t="array" ref="BG126">SUMPRODUCT(IF(BE126*AZ126*AP126*$FI$16:$FI$23*$FA$22&gt;=$FI$24,$FI$24,BE126*AZ126*AP126*$FI$16:$FI$23*$FA$22),$FJ$16:$FJ$23)</f>
        <v>51727.854293054508</v>
      </c>
      <c r="BH126" s="1110">
        <f t="shared" si="116"/>
        <v>12499.657361633208</v>
      </c>
      <c r="BI126" s="1111">
        <f>IF(O126="vo",$EW$26/$EW$24*0.05,0)+IF(O126="sk",-$EW$26/$EW$24*(0.05-INDEX(绊状态确认!W:W,MATCH($G126,绊状态确认!$B:$B,)))+0.05*$EW$28,0)+IF(O126="sp",0.05*$EW$32*$EW$30*(1-$EW$33)-(0.05-INDEX(绊状态确认!V:V,MATCH($G126,绊状态确认!$B:$B,)))*$EW$28,0)+IF(O126="gd",-(0.05-INDEX(绊状态确认!X:X,MATCH($G126,绊状态确认!$B:$B,)))*$EW$32*$EW$30*(1-$EW$33),0)</f>
        <v>-585.00000000000011</v>
      </c>
      <c r="BJ126" s="1097">
        <f>IF(O126="vo",0.05*(1-$FI$26)*$FA$24,0)+IF(O126="sk",-(0.05-INDEX(绊状态确认!W:W,MATCH($G126,绊状态确认!$B:$B,)))*(1-$FI$26)*$FA$24+0.05*$FA$26,0)+IF(O126="sp",0.05*$FA$32*$FA$27*(1-$FA$33)/$FA$30+0.05*$FA$29/$FA$69*$FA$27*(1-$FA$33)-(0.05-INDEX(绊状态确认!V:V,MATCH($G126,绊状态确认!$B:$B,)))*$FA$26,0)+IF(O126="gd",-(0.05-INDEX(绊状态确认!X:X,MATCH($G126,绊状态确认!$B:$B,)))*$FA$32*$FA$27*(1-$FA$33)/$FA$30-(0.05-INDEX(绊状态确认!X:X,MATCH($G126,绊状态确认!$B:$B,)))*$FA$29/$FA$69*$FA$27*(1-$FA$33),0)</f>
        <v>-795.00000000000011</v>
      </c>
      <c r="BK126" s="1110">
        <f>IF(O126="vo",$EW$26/$EW$24*0.05+$EW$26*(-HP($EW$62,$EW$65,$EW$64)+HP($EW$62,$EW$65,(1.05-INDEX(绊状态确认!U:U,MATCH($G126,绊状态确认!$B:$B,)))*$EW$64)),0)+IF(O126="sk",-$EW$26/$EW$24*(0.05-INDEX(绊状态确认!W:W,MATCH($G126,绊状态确认!$B:$B,)))+0.05*$EW$29,0)+IF(O126="sp",0.05*$EW$32*$EW$30*(1-$EW$33)-(0.05-INDEX(绊状态确认!V:V,MATCH($G126,绊状态确认!$B:$B,)))*$EW$29,0)+IF(O126="gd",-(0.05-INDEX(绊状态确认!X:X,MATCH($G126,绊状态确认!$B:$B,)))*$EW$32*$EW$30*(1-$EW$33)+$EW$26*(-HP($EW$62,$EW$65,$EW$64)+HP($EW$62,$EW$65,0.95*$EW$64)),0)</f>
        <v>1009.5947725176144</v>
      </c>
      <c r="BL126" s="1111">
        <f t="shared" si="117"/>
        <v>-1083.3333333333333</v>
      </c>
      <c r="BM126" s="1110">
        <f t="shared" si="118"/>
        <v>-830.55555555555543</v>
      </c>
      <c r="BN126" s="1113">
        <f t="shared" si="119"/>
        <v>3</v>
      </c>
      <c r="BO126" s="1097">
        <f t="shared" si="120"/>
        <v>4507.7214871259994</v>
      </c>
      <c r="BP126" s="1100">
        <f t="shared" si="121"/>
        <v>221.34103209030098</v>
      </c>
      <c r="BQ126" s="1113" t="s">
        <v>624</v>
      </c>
      <c r="BR126" s="1124" t="s">
        <v>168</v>
      </c>
      <c r="BS126" s="1098">
        <f>IF($P126="","N/A",IF($P126=-1,INDEX('卡片raw data'!AX:AX,MATCH($D126,'卡片raw data'!$F:$F,)),0)+IF($L126="party卡",IF($P126=5,INDEX('卡片raw data'!BD:BD,MATCH($D126,'卡片raw data'!$F:$F,)),IF($P126&gt;=3,INDEX('卡片raw data'!BC:BC,MATCH($D126,'卡片raw data'!$F:$F,)),INDEX('卡片raw data'!BB:BB,MATCH($D126,'卡片raw data'!$F:$F,)))),IF(OR(AND($F126="UR",$P126=0),AND($F126="SR",$P126&gt;=0,$P126&lt;=2),AND($F126="R",$P126&gt;=0,$P126&lt;4)),INDEX('卡片raw data'!AZ:AZ,MATCH($D126,'卡片raw data'!$F:$F,)),0)+IF(OR(AND($F126="UR",$P126&gt;=1,$P126&lt;=4),AND($F126="SR",$P126&lt;=4,$P126&gt;=3),AND($F126="R",$P126=4)),INDEX('卡片raw data'!BA:BA,MATCH($D126,'卡片raw data'!$F:$F,)),0)+IF($P126=5,INDEX('卡片raw data'!BB:BB,MATCH($D126,'卡片raw data'!$F:$F,)),0)))</f>
        <v>0.05</v>
      </c>
      <c r="BT126" s="1101">
        <f t="shared" si="122"/>
        <v>0</v>
      </c>
      <c r="BU126" s="1097">
        <f t="shared" si="123"/>
        <v>0</v>
      </c>
      <c r="BV126" s="1097">
        <f t="shared" si="124"/>
        <v>0</v>
      </c>
      <c r="BW126" s="1112">
        <f t="shared" si="125"/>
        <v>1.7558035714285711</v>
      </c>
      <c r="BX126" s="1100">
        <f t="shared" si="126"/>
        <v>137.19019421334193</v>
      </c>
      <c r="BY126" s="1110">
        <f t="shared" si="127"/>
        <v>137.19019421334193</v>
      </c>
      <c r="BZ126" s="1107" t="s">
        <v>569</v>
      </c>
      <c r="CA126" s="1124"/>
      <c r="CB126" s="1098">
        <f>IF($P126="","N/A",IF($P126=-1,INDEX('卡片raw data'!BE:BE,MATCH($D126,'卡片raw data'!$F:$F,)),0)+IF($L126="party卡",IF($P126=5,INDEX('卡片raw data'!BK:BK,MATCH($D126,'卡片raw data'!$F:$F,)),IF($P126&gt;=3,INDEX('卡片raw data'!BJ:BJ,MATCH($D126,'卡片raw data'!$F:$F,)),INDEX('卡片raw data'!BI:BI,MATCH($D126,'卡片raw data'!$F:$F,)))),IF(OR(AND($F126="UR",$P126=0),AND($F126="SR",$P126&gt;=0,$P126&lt;=2),AND($F126="R",$P126&gt;=0,$P126&lt;4)),INDEX('卡片raw data'!BG:BG,MATCH($D126,'卡片raw data'!$F:$F,)),0)+IF(OR(AND($F126="UR",$P126&gt;=1,$P126&lt;=4),AND($F126="SR",$P126&lt;=4,$P126&gt;=3),AND($F126="R",$P126=4)),INDEX('卡片raw data'!BH:BH,MATCH($D126,'卡片raw data'!$F:$F,)),0)+IF($P126=5,INDEX('卡片raw data'!BI:BI,MATCH($D126,'卡片raw data'!$F:$F,)),0)))</f>
        <v>0</v>
      </c>
      <c r="CC126" s="1101">
        <f t="shared" si="128"/>
        <v>0</v>
      </c>
      <c r="CD126" s="1097">
        <f>IF(BZ126="ap",CB126*(1-$FI$26)*$FB$5/$FB$11*(+IF(CA126="全员",$FA$24,0)+IF(CA126="同作战",$FA$24,0)+IF(CA126="仲间",$FA$24*2/3,0)+IF(CA126="同属性",$FA$24*$FA$37/3,0)+IF(CA126="同年级",$FA$24*$FA$40/3,0)+IF(CA126="同学校",$FA$24*$FA$43/3,0)+IF(CA126="同小队",$FA$24*$FA$46/3,0)+IF(CA126="同type",$FA$24*INDEX($FB$49:$FB$52,MATCH(X126,$FA$49:$FA$52,))/3,0)+IF(CA126="自身",#REF!/3,0)),0)+IF(BZ126="te",CB126*(1-$FI$27)*($FA$20-1)*$FB$7/$FB$13*(+IF(CA126="全员",$FA$19*$FA$24/(1+($FA$20-1)*$FA$19),0)+IF(CA126="同作战",$FA$19*$FA$24/(1+($FA$20-1)*$FA$19),0)+IF(CA126="仲间",$FA$19*$FA$24*2/3/(1+($FA$20-1)*$FA$19),0)+IF(CA126="同属性",$FA$19*$FA$24*$FA$37/3/(1+($FA$20-1)*$FA$19),0)+IF(CA126="同年级",$FA$19*$FA$24*$FA$40/3/(1+($FA$20-1)*$FA$19),0)+IF(CA126="同学校",$FA$19*$FA$24*$FA$43/3/(1+($FA$20-1)*$FA$19),0)+IF(CA126="同小队",$FA$19*$FA$24*$FA$46/3/(1+($FA$20-1)*$FA$19),0)+IF(CA126="同type",$FA$19*$FA$24*INDEX($FB$49:$FB$52,MATCH(X126,$FA$49:$FA$52,))/3/(1+($FA$20-1)*$FA$19),0)+IF(CA126="自身",$FA$19*#REF!/3/(1+(BH126-1)*$BD126),0)),0)</f>
        <v>0</v>
      </c>
      <c r="CE126" s="1097">
        <f t="shared" si="129"/>
        <v>0</v>
      </c>
      <c r="CF126" s="1112">
        <f t="shared" si="130"/>
        <v>0</v>
      </c>
      <c r="CG126" s="1100">
        <f t="shared" si="131"/>
        <v>0</v>
      </c>
      <c r="CH126" s="1110">
        <f t="shared" si="132"/>
        <v>0</v>
      </c>
      <c r="CI126" s="1113" t="s">
        <v>165</v>
      </c>
      <c r="CJ126" s="1114">
        <v>0.3</v>
      </c>
      <c r="CK126" s="1115" t="s">
        <v>312</v>
      </c>
      <c r="CL126" s="1115" t="s">
        <v>1946</v>
      </c>
      <c r="CM126" s="1119">
        <v>0.1</v>
      </c>
      <c r="CN126" s="1115"/>
      <c r="CO126" s="1092"/>
      <c r="CP126" s="1117">
        <f t="shared" si="133"/>
        <v>0</v>
      </c>
      <c r="CQ126" s="1117">
        <f t="shared" si="134"/>
        <v>0</v>
      </c>
      <c r="CR126" s="1117">
        <f t="shared" si="135"/>
        <v>0</v>
      </c>
      <c r="CS126" s="1118">
        <f t="shared" si="136"/>
        <v>0</v>
      </c>
      <c r="CT126" s="1109">
        <f t="shared" si="137"/>
        <v>0</v>
      </c>
      <c r="CU126" s="1101">
        <f t="shared" si="138"/>
        <v>0</v>
      </c>
      <c r="CV126" s="1108">
        <f t="shared" si="139"/>
        <v>0</v>
      </c>
      <c r="CW126" s="1097">
        <f t="shared" si="140"/>
        <v>0</v>
      </c>
      <c r="CX126" s="1097">
        <f t="shared" si="141"/>
        <v>0</v>
      </c>
      <c r="CY126" s="1110">
        <f t="shared" si="142"/>
        <v>0</v>
      </c>
      <c r="CZ126" s="437"/>
      <c r="DA126" s="438"/>
      <c r="DB126" s="439" t="s">
        <v>569</v>
      </c>
      <c r="DC126" s="439"/>
      <c r="DD126" s="443"/>
      <c r="DE126" s="411"/>
      <c r="DF126" s="411"/>
      <c r="DG126" s="1116">
        <f t="shared" si="143"/>
        <v>0</v>
      </c>
      <c r="DH126" s="1116">
        <f t="shared" si="144"/>
        <v>0</v>
      </c>
      <c r="DI126" s="1116">
        <f t="shared" si="145"/>
        <v>0</v>
      </c>
      <c r="DJ126" s="442">
        <f t="shared" si="146"/>
        <v>0</v>
      </c>
      <c r="DK126" s="1109">
        <f t="shared" si="147"/>
        <v>0</v>
      </c>
      <c r="DL126" s="1101">
        <f t="shared" si="148"/>
        <v>0</v>
      </c>
      <c r="DM126" s="1097">
        <f t="shared" si="149"/>
        <v>0</v>
      </c>
      <c r="DN126" s="1097">
        <f t="shared" si="150"/>
        <v>0</v>
      </c>
      <c r="DO126" s="1097">
        <f t="shared" si="151"/>
        <v>0</v>
      </c>
      <c r="DP126" s="1110">
        <f t="shared" si="152"/>
        <v>0</v>
      </c>
      <c r="DQ126" s="1113" t="s">
        <v>556</v>
      </c>
      <c r="DR126" s="1120">
        <f t="shared" si="153"/>
        <v>0.3</v>
      </c>
      <c r="DS126" s="1124">
        <v>10</v>
      </c>
      <c r="DT126" s="1093" t="s">
        <v>161</v>
      </c>
      <c r="DU126" s="1093" t="s">
        <v>544</v>
      </c>
      <c r="DV126" s="1098">
        <f>IF($P126="","N/A",IF(P126=-1,INDEX('卡片raw data'!AN:AN,MATCH(D126,'卡片raw data'!$F:$F,)),0)+IF(AND(L126&lt;&gt;"party卡",P126&lt;=2,P126&gt;=0),INDEX('卡片raw data'!AP:AP,MATCH(D126,'卡片raw data'!$F:$F,)),0)+IF(OR(AND(L126="party卡",P126&lt;=1),AND(P126&lt;=4,L126&lt;&gt;"party卡",P126&gt;=3)),INDEX('卡片raw data'!AQ:AQ,MATCH(D126,'卡片raw data'!$F:$F,)),0)+IF(OR(P126=5,AND(L126="party卡",P126&gt;=2)),INDEX('卡片raw data'!AR:AR,MATCH(D126,'卡片raw data'!$F:$F,)),0))</f>
        <v>0.11</v>
      </c>
      <c r="DW126" s="1098">
        <f t="shared" si="154"/>
        <v>0.3</v>
      </c>
      <c r="DX126" s="1098">
        <f t="shared" si="155"/>
        <v>0.3</v>
      </c>
      <c r="DY126" s="1098">
        <f t="shared" si="156"/>
        <v>0.11000000000000001</v>
      </c>
      <c r="DZ126" s="1098">
        <f t="shared" si="157"/>
        <v>9.5150000000000012E-2</v>
      </c>
      <c r="EA126" s="1098">
        <f t="shared" si="158"/>
        <v>0</v>
      </c>
      <c r="EB126" s="1121">
        <f t="shared" si="159"/>
        <v>0</v>
      </c>
      <c r="EC126" s="1101">
        <f t="shared" si="160"/>
        <v>0</v>
      </c>
      <c r="ED126" s="1097">
        <f t="shared" si="161"/>
        <v>0</v>
      </c>
      <c r="EE126" s="1110">
        <f t="shared" si="162"/>
        <v>4811.6282945408811</v>
      </c>
      <c r="EF126" s="1092" t="s">
        <v>711</v>
      </c>
      <c r="EG126" s="1120">
        <f t="shared" si="163"/>
        <v>0.3</v>
      </c>
      <c r="EH126" s="1124"/>
      <c r="EI126" s="1093"/>
      <c r="EJ126" s="1093"/>
      <c r="EK126" s="1097">
        <f>IF($P126="","N/A",IF(P126=-1,INDEX('卡片raw data'!AS:AS,MATCH(D126,'卡片raw data'!$F:$F,)),0)+IF(AND(L126&lt;&gt;"party卡",P126&lt;=2,P126&gt;=0),INDEX('卡片raw data'!AU:AU,MATCH(D126,'卡片raw data'!$F:$F,)),0)+IF(OR(AND(L126="party卡",P126&lt;=1),AND(P126&lt;=4,L126&lt;&gt;"party卡",P126&gt;=3)),INDEX('卡片raw data'!AV:AV,MATCH(D126,'卡片raw data'!$F:$F,)),0)+IF(OR(P126=5,AND(L126="party卡",P126&gt;=2)),INDEX('卡片raw data'!AW:AW,MATCH(D126,'卡片raw data'!$F:$F,)),0))</f>
        <v>0</v>
      </c>
      <c r="EL126" s="1098">
        <f t="shared" si="164"/>
        <v>0.3</v>
      </c>
      <c r="EM126" s="1098">
        <f t="shared" si="165"/>
        <v>0.3</v>
      </c>
      <c r="EN126" s="1125">
        <f t="shared" si="166"/>
        <v>0</v>
      </c>
      <c r="EO126" s="1125">
        <f t="shared" si="167"/>
        <v>0</v>
      </c>
      <c r="EP126" s="1098">
        <f t="shared" si="168"/>
        <v>0</v>
      </c>
      <c r="EQ126" s="1121">
        <f t="shared" si="169"/>
        <v>0</v>
      </c>
      <c r="ER126" s="1101">
        <f t="shared" si="170"/>
        <v>0</v>
      </c>
      <c r="ES126" s="1097">
        <f t="shared" si="171"/>
        <v>0</v>
      </c>
      <c r="ET126" s="1122">
        <f t="shared" si="172"/>
        <v>0</v>
      </c>
    </row>
    <row r="127" spans="2:150" ht="16.5" customHeight="1">
      <c r="B127" s="1123" t="str">
        <f>INDEX('卡片raw data'!B:B,MATCH($D127,'卡片raw data'!$F:$F,))</f>
        <v>登山丸</v>
      </c>
      <c r="C127" s="449" t="s">
        <v>67</v>
      </c>
      <c r="D127" s="408">
        <v>124</v>
      </c>
      <c r="E127" s="1090">
        <v>401073001</v>
      </c>
      <c r="F127" s="1090" t="str">
        <f>INDEX('卡片raw data'!C:C,MATCH($D127,'卡片raw data'!$F:$F,))</f>
        <v>UR</v>
      </c>
      <c r="G127" s="1094" t="s">
        <v>39</v>
      </c>
      <c r="H127" s="411">
        <f>IFERROR(INDEX(绊状态确认!C:C,MATCH($G127,绊状态确认!$B:$B,)),"")</f>
        <v>107</v>
      </c>
      <c r="I127" s="450" t="str">
        <f>IFERROR(INDEX(绊状态确认!D:D,MATCH($G127,绊状态确认!$B:$B,)),"")</f>
        <v>水</v>
      </c>
      <c r="J127" s="450" t="str">
        <f>IFERROR(INDEX(绊状态确认!E:E,MATCH($G127,绊状态确认!$B:$B,)),"")</f>
        <v>1年级</v>
      </c>
      <c r="K127" s="451" t="str">
        <f>IFERROR(INDEX(绊状态确认!F:F,MATCH($G127,绊状态确认!$B:$B,)),"")</f>
        <v>AZALEA</v>
      </c>
      <c r="L127" s="1094" t="str">
        <f>INDEX('卡片raw data'!E:E,MATCH($D127,'卡片raw data'!$F:$F,))</f>
        <v>活动卡</v>
      </c>
      <c r="M127" s="415">
        <v>43790</v>
      </c>
      <c r="N127" s="416">
        <v>4</v>
      </c>
      <c r="O127" s="1091" t="str">
        <f>INDEX('卡片raw data'!D:D,MATCH($D127,'卡片raw data'!$F:$F,))</f>
        <v>vo</v>
      </c>
      <c r="P127" s="417">
        <v>5</v>
      </c>
      <c r="Q127" s="1095">
        <f t="shared" si="88"/>
        <v>48253.039391536586</v>
      </c>
      <c r="R127" s="1096">
        <f t="shared" si="89"/>
        <v>0.56000000000000005</v>
      </c>
      <c r="S127" s="1097">
        <f t="shared" si="90"/>
        <v>19551.030045161588</v>
      </c>
      <c r="T127" s="1098">
        <f t="shared" si="91"/>
        <v>0.97699999999999998</v>
      </c>
      <c r="U127" s="1099">
        <f t="shared" si="92"/>
        <v>-9.8443217004571455</v>
      </c>
      <c r="V127" s="1100">
        <f t="shared" si="93"/>
        <v>48165.292138583311</v>
      </c>
      <c r="W127" s="1101">
        <f t="shared" si="94"/>
        <v>9638.0474679884046</v>
      </c>
      <c r="X127" s="1096">
        <f t="shared" si="95"/>
        <v>0.112</v>
      </c>
      <c r="Y127" s="1097">
        <f t="shared" si="96"/>
        <v>1216.9211972884241</v>
      </c>
      <c r="Z127" s="1102">
        <f t="shared" si="97"/>
        <v>15.155678299542855</v>
      </c>
      <c r="AA127" s="1103">
        <f t="shared" si="98"/>
        <v>10854.968665276829</v>
      </c>
      <c r="AB127" s="1101">
        <f t="shared" si="99"/>
        <v>10940.278119824805</v>
      </c>
      <c r="AC127" s="1104">
        <f t="shared" si="100"/>
        <v>0.127</v>
      </c>
      <c r="AD127" s="1105">
        <f t="shared" si="101"/>
        <v>0</v>
      </c>
      <c r="AE127" s="1128">
        <f t="shared" si="102"/>
        <v>0</v>
      </c>
      <c r="AF127" s="1130">
        <f t="shared" si="103"/>
        <v>0</v>
      </c>
      <c r="AG127" s="420">
        <f t="shared" si="104"/>
        <v>0</v>
      </c>
      <c r="AH127" s="420">
        <f t="shared" si="105"/>
        <v>0</v>
      </c>
      <c r="AI127" s="1097">
        <f t="shared" si="106"/>
        <v>0</v>
      </c>
      <c r="AJ127" s="420">
        <f t="shared" si="107"/>
        <v>0</v>
      </c>
      <c r="AK127" s="518">
        <f t="shared" si="108"/>
        <v>0</v>
      </c>
      <c r="AL127" s="1106">
        <f>IF($P127="","N/A",(IF($P127=-1,INDEX('卡片raw data'!S:S,MATCH($D127,'卡片raw data'!$F:$F,)),0)+IF($P127=0,INDEX('卡片raw data'!V:V,MATCH($D127,'卡片raw data'!$F:$F,)),0)+IF($P127=1,INDEX('卡片raw data'!Y:Y,MATCH($D127,'卡片raw data'!$F:$F,)),0)+IF($P127=2,INDEX('卡片raw data'!AB:AB,MATCH($D127,'卡片raw data'!$F:$F,)),0)+IF($P127=3,INDEX('卡片raw data'!AE:AE,MATCH($D127,'卡片raw data'!$F:$F,)),0)+IF($P127=4,INDEX('卡片raw data'!AH:AH,MATCH($D127,'卡片raw data'!$F:$F,)),0)+IF($P127=5,INDEX('卡片raw data'!AK:AK,MATCH($D127,'卡片raw data'!$F:$F,)),0)+INDEX('卡片raw data'!S:S,MATCH($D127,'卡片raw data'!$F:$F,))*(IF($F127="UR",0.04,0.033))*(IF($F127="UR",INDEX(绊状态确认!$S:$S,MATCH($G127,绊状态确认!$B:$B,))/2-40)+IF($F127="SR",INDEX(绊状态确认!$R:$R,MATCH($G127,绊状态确认!$B:$B,))/4-15))+IF($F127="R",INDEX(绊状态确认!$Q:$Q,MATCH($G127,绊状态确认!$B:$B,))/6-40/6)))*(INDEX(绊状态确认!$H:$H,MATCH($G127,绊状态确认!$B:$B,))+INDEX(绊状态确认!J:J,MATCH($G127,绊状态确认!$B:$B,)))</f>
        <v>8381.904575999999</v>
      </c>
      <c r="AM127" s="1106">
        <f>IF($P127="","N/A",(IF($P127=-1,INDEX('卡片raw data'!T:T,MATCH($D127,'卡片raw data'!$F:$F,)),0)+IF($P127=0,INDEX('卡片raw data'!W:W,MATCH($D127,'卡片raw data'!$F:$F,)),0)+IF($P127=1,INDEX('卡片raw data'!Z:Z,MATCH($D127,'卡片raw data'!$F:$F,)),0)+IF($P127=2,INDEX('卡片raw data'!AC:AC,MATCH($D127,'卡片raw data'!$F:$F,)),0)+IF($P127=3,INDEX('卡片raw data'!AF:AF,MATCH($D127,'卡片raw data'!$F:$F,)),0)+IF($P127=4,INDEX('卡片raw data'!AI:AI,MATCH($D127,'卡片raw data'!$F:$F,)),0)+IF($P127=5,INDEX('卡片raw data'!AL:AL,MATCH($D127,'卡片raw data'!$F:$F,)),0)+INDEX('卡片raw data'!T:T,MATCH($D127,'卡片raw data'!$F:$F,))*(IF($F127="UR",0.04,0.033))*(IF($F127="UR",INDEX(绊状态确认!$S:$S,MATCH($G127,绊状态确认!$B:$B,))/2-40)+IF($F127="SR",INDEX(绊状态确认!$R:$R,MATCH($G127,绊状态确认!$B:$B,))/4-15))+IF($F127="R",INDEX(绊状态确认!$Q:$Q,MATCH($G127,绊状态确认!$B:$B,))/6-40/6)))*(INDEX(绊状态确认!$H:$H,MATCH($G127,绊状态确认!$B:$B,))+INDEX(绊状态确认!K:K,MATCH($G127,绊状态确认!$B:$B,)))</f>
        <v>8381.904575999999</v>
      </c>
      <c r="AN127" s="1106">
        <f>IF($P127="","N/A",(IF($P127=-1,INDEX('卡片raw data'!U:U,MATCH($D127,'卡片raw data'!$F:$F,)),0)+IF($P127=0,INDEX('卡片raw data'!X:X,MATCH($D127,'卡片raw data'!$F:$F,)),0)+IF($P127=1,INDEX('卡片raw data'!AA:AA,MATCH($D127,'卡片raw data'!$F:$F,)),0)+IF($P127=2,INDEX('卡片raw data'!AD:AD,MATCH($D127,'卡片raw data'!$F:$F,)),0)+IF($P127=3,INDEX('卡片raw data'!AG:AG,MATCH($D127,'卡片raw data'!$F:$F,)),0)+IF($P127=4,INDEX('卡片raw data'!AJ:AJ,MATCH($D127,'卡片raw data'!$F:$F,)),0)+IF($P127=5,INDEX('卡片raw data'!AM:AM,MATCH($D127,'卡片raw data'!$F:$F,)),0)+INDEX('卡片raw data'!U:U,MATCH($D127,'卡片raw data'!$F:$F,))*(IF($F127="UR",0.04,0.033))*(IF($F127="UR",INDEX(绊状态确认!$S:$S,MATCH($G127,绊状态确认!$B:$B,))/2-40)+IF($F127="SR",INDEX(绊状态确认!$R:$R,MATCH($G127,绊状态确认!$B:$B,))/4-15))+IF($F127="R",INDEX(绊状态确认!$Q:$Q,MATCH($G127,绊状态确认!$B:$B,))/6-40/6)))*(INDEX(绊状态确认!$H:$H,MATCH($G127,绊状态确认!$B:$B,))+INDEX(绊状态确认!L:L,MATCH($G127,绊状态确认!$B:$B,)))</f>
        <v>8637.9582239999982</v>
      </c>
      <c r="AO127" s="1107">
        <f t="shared" si="109"/>
        <v>1</v>
      </c>
      <c r="AP127" s="1131">
        <f>1+(INDEX(绊状态确认!$T:$T,MATCH($G127,绊状态确认!$B:$B,))+0.2)*$AO127</f>
        <v>1.3</v>
      </c>
      <c r="AQ127" s="1108">
        <f t="shared" si="110"/>
        <v>25252.499511999999</v>
      </c>
      <c r="AR127" s="1097">
        <f>(AM127*(1+$EX$9)+$EX$35)*(1+(INDEX(绊状态确认!$T:$T,MATCH($G127,绊状态确认!$B:$B,))+0.2)*AO127)*IF(J127=$FF$17,1+$FE$17,1)*IF(I127=$FF$14,1+$FE$14,1)*(1+$FE$15)</f>
        <v>14145.29974624</v>
      </c>
      <c r="AS127" s="1097">
        <f>(AN127*(1+$EX$10)+$EX$36)*(1+(INDEX(绊状态确认!$T:$T,MATCH($G127,绊状态确认!$B:$B,))+0.2)*AO127)*IF(J127=$FF$17,1+$FE$17,1)*IF(I127=$FF$14,1+$FE$14,1)*(1+$FE$15)</f>
        <v>16969.747544879996</v>
      </c>
      <c r="AT127" s="1093">
        <f>IF(AND(INDEX('卡片raw data'!AK:AK,MATCH($D127,'卡片raw data'!$F:$F,))&lt;INDEX('卡片raw data'!AM:AM,MATCH($D127,'卡片raw data'!$F:$F,)),INDEX('卡片raw data'!AL:AL,MATCH($D127,'卡片raw data'!$F:$F,))&lt;INDEX('卡片raw data'!AM:AM,MATCH($D127,'卡片raw data'!$F:$F,))),1,0)</f>
        <v>1</v>
      </c>
      <c r="AU127" s="1098">
        <f>MIN(AT127*0.15+AS127*0.00003+INDEX(绊状态确认!M:M,MATCH($G127,绊状态确认!$B:$B,)),1)</f>
        <v>0.68909242634639989</v>
      </c>
      <c r="AV127" s="1109">
        <f>(INDEX(绊状态确认!$N:$N,MATCH($G127,绊状态确认!$B:$B,))+1.5)*$EW$21</f>
        <v>2.6599999999999997</v>
      </c>
      <c r="AW127" s="1101">
        <f t="shared" si="111"/>
        <v>28116.737619869491</v>
      </c>
      <c r="AX127" s="1097">
        <f t="shared" si="112"/>
        <v>1216.9211972884245</v>
      </c>
      <c r="AY127" s="1110">
        <f t="shared" si="113"/>
        <v>29333.658817157917</v>
      </c>
      <c r="AZ127" s="429">
        <f t="shared" si="114"/>
        <v>18944.713923199997</v>
      </c>
      <c r="BA127" s="431">
        <f t="shared" si="115"/>
        <v>22733.656707839997</v>
      </c>
      <c r="BB127" s="1097">
        <f>(AM127*(1+$FB$9)+$FB$35)*(1+(INDEX(绊状态确认!$T:$T,MATCH($G127,绊状态确认!$B:$B,))+0.2)*AO127)*IF(J127=$FF$17,1+$FE$17,1)*IF(I127=$FF$14,1+$FE$14,1)*(1+$FE$15)</f>
        <v>14145.29974624</v>
      </c>
      <c r="BC127" s="1097">
        <f>(AN127*(1+$FB$10)+$FB$36)*(1+(INDEX(绊状态确认!$T:$T,MATCH($G127,绊状态确认!$B:$B,))+0.2)*AO127)*IF(J127=$FF$17,1+$FE$17,1)*IF(I127=$FF$14,1+$FE$14,1)*(1+$FE$15)</f>
        <v>16969.747544879996</v>
      </c>
      <c r="BD127" s="1104">
        <f>MIN(AT127*0.15+BC127*0.00003+INDEX(绊状态确认!M:M,MATCH($G127,绊状态确认!$B:$B,)),1)</f>
        <v>0.68909242634639989</v>
      </c>
      <c r="BE127" s="432">
        <f>(INDEX(绊状态确认!$N:$N,MATCH($G127,绊状态确认!$B:$B,))+1.5)</f>
        <v>1.9</v>
      </c>
      <c r="BF127" s="1139">
        <f t="array" ref="BF127">SUMPRODUCT(IF(AZ127*AP127*$FI$16:$FI$23*$FA$22&gt;=$FI$24,$FI$24,AZ127*AP127*$FI$16:$FI$23*$FA$22),$FJ$16:$FJ$23)</f>
        <v>37681.035993244797</v>
      </c>
      <c r="BG127" s="1125">
        <f t="array" ref="BG127">SUMPRODUCT(IF(BE127*AZ127*AP127*$FI$16:$FI$23*$FA$22&gt;=$FI$24,$FI$24,BE127*AZ127*AP127*$FI$16:$FI$23*$FA$22),$FJ$16:$FJ$23)</f>
        <v>59615.213206836481</v>
      </c>
      <c r="BH127" s="1110">
        <f t="shared" si="116"/>
        <v>17598.570463090204</v>
      </c>
      <c r="BI127" s="1111">
        <f>IF(O127="vo",$EW$26/$EW$24*0.05,0)+IF(O127="sk",-$EW$26/$EW$24*(0.05-INDEX(绊状态确认!W:W,MATCH($G127,绊状态确认!$B:$B,)))+0.05*$EW$28,0)+IF(O127="sp",0.05*$EW$32*$EW$30*(1-$EW$33)-(0.05-INDEX(绊状态确认!V:V,MATCH($G127,绊状态确认!$B:$B,)))*$EW$28,0)+IF(O127="gd",-(0.05-INDEX(绊状态确认!X:X,MATCH($G127,绊状态确认!$B:$B,)))*$EW$32*$EW$30*(1-$EW$33),0)</f>
        <v>7726.3029277443748</v>
      </c>
      <c r="BJ127" s="1097">
        <f>IF(O127="vo",0.05*(1-$FI$26)*$FA$24,0)+IF(O127="sk",-(0.05-INDEX(绊状态确认!W:W,MATCH($G127,绊状态确认!$B:$B,)))*(1-$FI$26)*$FA$24+0.05*$FA$26,0)+IF(O127="sp",0.05*$FA$32*$FA$27*(1-$FA$33)/$FA$30+0.05*$FA$29/$FA$69*$FA$27*(1-$FA$33)-(0.05-INDEX(绊状态确认!V:V,MATCH($G127,绊状态确认!$B:$B,)))*$FA$26,0)+IF(O127="gd",-(0.05-INDEX(绊状态确认!X:X,MATCH($G127,绊状态确认!$B:$B,)))*$FA$32*$FA$27*(1-$FA$33)/$FA$30-(0.05-INDEX(绊状态确认!X:X,MATCH($G127,绊状态确认!$B:$B,)))*$FA$29/$FA$69*$FA$27*(1-$FA$33),0)</f>
        <v>393.93433687500004</v>
      </c>
      <c r="BK127" s="1110">
        <f>IF(O127="vo",$EW$26/$EW$24*0.05+$EW$26*(-HP($EW$62,$EW$65,$EW$64)+HP($EW$62,$EW$65,(1.05-INDEX(绊状态确认!U:U,MATCH($G127,绊状态确认!$B:$B,)))*$EW$64)),0)+IF(O127="sk",-$EW$26/$EW$24*(0.05-INDEX(绊状态确认!W:W,MATCH($G127,绊状态确认!$B:$B,)))+0.05*$EW$29,0)+IF(O127="sp",0.05*$EW$32*$EW$30*(1-$EW$33)-(0.05-INDEX(绊状态确认!V:V,MATCH($G127,绊状态确认!$B:$B,)))*$EW$29,0)+IF(O127="gd",-(0.05-INDEX(绊状态确认!X:X,MATCH($G127,绊状态确认!$B:$B,)))*$EW$32*$EW$30*(1-$EW$33)+$EW$26*(-HP($EW$62,$EW$65,$EW$64)+HP($EW$62,$EW$65,0.95*$EW$64)),0)</f>
        <v>6421.6344775026746</v>
      </c>
      <c r="BL127" s="1111">
        <f t="shared" si="117"/>
        <v>0</v>
      </c>
      <c r="BM127" s="1110">
        <f t="shared" si="118"/>
        <v>0</v>
      </c>
      <c r="BN127" s="1113">
        <f t="shared" si="119"/>
        <v>3</v>
      </c>
      <c r="BO127" s="1097">
        <f t="shared" si="120"/>
        <v>4507.7214871259994</v>
      </c>
      <c r="BP127" s="1100">
        <f t="shared" si="121"/>
        <v>221.34103209030098</v>
      </c>
      <c r="BQ127" s="1113" t="s">
        <v>143</v>
      </c>
      <c r="BR127" s="1124" t="s">
        <v>148</v>
      </c>
      <c r="BS127" s="1098">
        <f>IF($P127="","N/A",IF($P127=-1,INDEX('卡片raw data'!AX:AX,MATCH($D127,'卡片raw data'!$F:$F,)),0)+IF($L127="party卡",IF($P127=5,INDEX('卡片raw data'!BD:BD,MATCH($D127,'卡片raw data'!$F:$F,)),IF($P127&gt;=3,INDEX('卡片raw data'!BC:BC,MATCH($D127,'卡片raw data'!$F:$F,)),INDEX('卡片raw data'!BB:BB,MATCH($D127,'卡片raw data'!$F:$F,)))),IF(OR(AND($F127="UR",$P127=0),AND($F127="SR",$P127&gt;=0,$P127&lt;=2),AND($F127="R",$P127&gt;=0,$P127&lt;4)),INDEX('卡片raw data'!AZ:AZ,MATCH($D127,'卡片raw data'!$F:$F,)),0)+IF(OR(AND($F127="UR",$P127&gt;=1,$P127&lt;=4),AND($F127="SR",$P127&lt;=4,$P127&gt;=3),AND($F127="R",$P127=4)),INDEX('卡片raw data'!BA:BA,MATCH($D127,'卡片raw data'!$F:$F,)),0)+IF($P127=5,INDEX('卡片raw data'!BB:BB,MATCH($D127,'卡片raw data'!$F:$F,)),0)))</f>
        <v>5.1999999999999998E-2</v>
      </c>
      <c r="BT127" s="1101">
        <f t="shared" si="122"/>
        <v>2604.4613036728001</v>
      </c>
      <c r="BU127" s="1097">
        <f t="shared" si="123"/>
        <v>111.90018844565216</v>
      </c>
      <c r="BV127" s="1097">
        <f t="shared" si="124"/>
        <v>1302.2306518363998</v>
      </c>
      <c r="BW127" s="1112">
        <f t="shared" si="125"/>
        <v>0</v>
      </c>
      <c r="BX127" s="1100">
        <f t="shared" si="126"/>
        <v>2604.4613036728001</v>
      </c>
      <c r="BY127" s="1110">
        <f t="shared" si="127"/>
        <v>1302.2306518363998</v>
      </c>
      <c r="BZ127" s="1107" t="s">
        <v>569</v>
      </c>
      <c r="CA127" s="1124"/>
      <c r="CB127" s="1098">
        <f>IF($P127="","N/A",IF($P127=-1,INDEX('卡片raw data'!BE:BE,MATCH($D127,'卡片raw data'!$F:$F,)),0)+IF($L127="party卡",IF($P127=5,INDEX('卡片raw data'!BK:BK,MATCH($D127,'卡片raw data'!$F:$F,)),IF($P127&gt;=3,INDEX('卡片raw data'!BJ:BJ,MATCH($D127,'卡片raw data'!$F:$F,)),INDEX('卡片raw data'!BI:BI,MATCH($D127,'卡片raw data'!$F:$F,)))),IF(OR(AND($F127="UR",$P127=0),AND($F127="SR",$P127&gt;=0,$P127&lt;=2),AND($F127="R",$P127&gt;=0,$P127&lt;4)),INDEX('卡片raw data'!BG:BG,MATCH($D127,'卡片raw data'!$F:$F,)),0)+IF(OR(AND($F127="UR",$P127&gt;=1,$P127&lt;=4),AND($F127="SR",$P127&lt;=4,$P127&gt;=3),AND($F127="R",$P127=4)),INDEX('卡片raw data'!BH:BH,MATCH($D127,'卡片raw data'!$F:$F,)),0)+IF($P127=5,INDEX('卡片raw data'!BI:BI,MATCH($D127,'卡片raw data'!$F:$F,)),0)))</f>
        <v>0</v>
      </c>
      <c r="CC127" s="1101">
        <f t="shared" si="128"/>
        <v>0</v>
      </c>
      <c r="CD127" s="1097">
        <f>IF(BZ127="ap",CB127*(1-$FI$26)*$FB$5/$FB$11*(+IF(CA127="全员",$FA$24,0)+IF(CA127="同作战",$FA$24,0)+IF(CA127="仲间",$FA$24*2/3,0)+IF(CA127="同属性",$FA$24*$FA$37/3,0)+IF(CA127="同年级",$FA$24*$FA$40/3,0)+IF(CA127="同学校",$FA$24*$FA$43/3,0)+IF(CA127="同小队",$FA$24*$FA$46/3,0)+IF(CA127="同type",$FA$24*INDEX($FB$49:$FB$52,MATCH(X127,$FA$49:$FA$52,))/3,0)+IF(CA127="自身",#REF!/3,0)),0)+IF(BZ127="te",CB127*(1-$FI$27)*($FA$20-1)*$FB$7/$FB$13*(+IF(CA127="全员",$FA$19*$FA$24/(1+($FA$20-1)*$FA$19),0)+IF(CA127="同作战",$FA$19*$FA$24/(1+($FA$20-1)*$FA$19),0)+IF(CA127="仲间",$FA$19*$FA$24*2/3/(1+($FA$20-1)*$FA$19),0)+IF(CA127="同属性",$FA$19*$FA$24*$FA$37/3/(1+($FA$20-1)*$FA$19),0)+IF(CA127="同年级",$FA$19*$FA$24*$FA$40/3/(1+($FA$20-1)*$FA$19),0)+IF(CA127="同学校",$FA$19*$FA$24*$FA$43/3/(1+($FA$20-1)*$FA$19),0)+IF(CA127="同小队",$FA$19*$FA$24*$FA$46/3/(1+($FA$20-1)*$FA$19),0)+IF(CA127="同type",$FA$19*$FA$24*INDEX($FB$49:$FB$52,MATCH(X127,$FA$49:$FA$52,))/3/(1+($FA$20-1)*$FA$19),0)+IF(CA127="自身",$FA$19*#REF!/3/(1+(BH127-1)*$BD127),0)),0)</f>
        <v>0</v>
      </c>
      <c r="CE127" s="1097">
        <f t="shared" si="129"/>
        <v>0</v>
      </c>
      <c r="CF127" s="1112">
        <f t="shared" si="130"/>
        <v>0</v>
      </c>
      <c r="CG127" s="1100">
        <f t="shared" si="131"/>
        <v>0</v>
      </c>
      <c r="CH127" s="1110">
        <f t="shared" si="132"/>
        <v>0</v>
      </c>
      <c r="CI127" s="1113" t="s">
        <v>162</v>
      </c>
      <c r="CJ127" s="1114">
        <v>0.3</v>
      </c>
      <c r="CK127" s="1115" t="s">
        <v>153</v>
      </c>
      <c r="CL127" s="1115" t="s">
        <v>161</v>
      </c>
      <c r="CM127" s="1119">
        <v>0.05</v>
      </c>
      <c r="CN127" s="1115" t="s">
        <v>163</v>
      </c>
      <c r="CO127" s="1092">
        <v>1</v>
      </c>
      <c r="CP127" s="1118">
        <f t="shared" si="133"/>
        <v>2.8151292857142858E-2</v>
      </c>
      <c r="CQ127" s="1118">
        <f t="shared" si="134"/>
        <v>2.8151292857142858E-2</v>
      </c>
      <c r="CR127" s="1118">
        <f t="shared" si="135"/>
        <v>2.8151292857142858E-2</v>
      </c>
      <c r="CS127" s="1118">
        <f t="shared" si="136"/>
        <v>0</v>
      </c>
      <c r="CT127" s="1109">
        <f t="shared" si="137"/>
        <v>0</v>
      </c>
      <c r="CU127" s="1101">
        <f t="shared" si="138"/>
        <v>3828.0953290260063</v>
      </c>
      <c r="CV127" s="1108">
        <f t="shared" si="139"/>
        <v>184.82934806420829</v>
      </c>
      <c r="CW127" s="1097">
        <f t="shared" si="140"/>
        <v>3828.0953290260063</v>
      </c>
      <c r="CX127" s="1097">
        <f t="shared" si="141"/>
        <v>3828.0953290260063</v>
      </c>
      <c r="CY127" s="1110">
        <f t="shared" si="142"/>
        <v>3828.0953290260063</v>
      </c>
      <c r="CZ127" s="437"/>
      <c r="DA127" s="438"/>
      <c r="DB127" s="439" t="s">
        <v>569</v>
      </c>
      <c r="DC127" s="439"/>
      <c r="DD127" s="443"/>
      <c r="DE127" s="411"/>
      <c r="DF127" s="411"/>
      <c r="DG127" s="1116">
        <f t="shared" si="143"/>
        <v>0</v>
      </c>
      <c r="DH127" s="1116">
        <f t="shared" si="144"/>
        <v>0</v>
      </c>
      <c r="DI127" s="1116">
        <f t="shared" si="145"/>
        <v>0</v>
      </c>
      <c r="DJ127" s="442">
        <f t="shared" si="146"/>
        <v>0</v>
      </c>
      <c r="DK127" s="1109">
        <f t="shared" si="147"/>
        <v>0</v>
      </c>
      <c r="DL127" s="1101">
        <f t="shared" si="148"/>
        <v>0</v>
      </c>
      <c r="DM127" s="1097">
        <f t="shared" si="149"/>
        <v>0</v>
      </c>
      <c r="DN127" s="1097">
        <f t="shared" si="150"/>
        <v>0</v>
      </c>
      <c r="DO127" s="1097">
        <f t="shared" si="151"/>
        <v>0</v>
      </c>
      <c r="DP127" s="1110">
        <f t="shared" si="152"/>
        <v>0</v>
      </c>
      <c r="DQ127" s="1113" t="s">
        <v>152</v>
      </c>
      <c r="DR127" s="1120">
        <f t="shared" si="153"/>
        <v>0.33</v>
      </c>
      <c r="DS127" s="1124"/>
      <c r="DT127" s="1093" t="s">
        <v>132</v>
      </c>
      <c r="DU127" s="1093"/>
      <c r="DV127" s="1098">
        <f>IF($P127="","N/A",IF(P127=-1,INDEX('卡片raw data'!AN:AN,MATCH(D127,'卡片raw data'!$F:$F,)),0)+IF(AND(L127&lt;&gt;"party卡",P127&lt;=2,P127&gt;=0),INDEX('卡片raw data'!AP:AP,MATCH(D127,'卡片raw data'!$F:$F,)),0)+IF(OR(AND(L127="party卡",P127&lt;=1),AND(P127&lt;=4,L127&lt;&gt;"party卡",P127&gt;=3)),INDEX('卡片raw data'!AQ:AQ,MATCH(D127,'卡片raw data'!$F:$F,)),0)+IF(OR(P127=5,AND(L127="party卡",P127&gt;=2)),INDEX('卡片raw data'!AR:AR,MATCH(D127,'卡片raw data'!$F:$F,)),0))</f>
        <v>0.37</v>
      </c>
      <c r="DW127" s="1098">
        <f t="shared" si="154"/>
        <v>0.33</v>
      </c>
      <c r="DX127" s="1098">
        <f t="shared" si="155"/>
        <v>0.33</v>
      </c>
      <c r="DY127" s="1125">
        <f t="shared" si="156"/>
        <v>1336.1097491799198</v>
      </c>
      <c r="DZ127" s="1125">
        <f t="shared" si="157"/>
        <v>1040.4546765962193</v>
      </c>
      <c r="EA127" s="1098">
        <f t="shared" si="158"/>
        <v>0</v>
      </c>
      <c r="EB127" s="1121">
        <f t="shared" si="159"/>
        <v>0</v>
      </c>
      <c r="EC127" s="1101">
        <f t="shared" si="160"/>
        <v>1469.7207240979119</v>
      </c>
      <c r="ED127" s="1097">
        <f t="shared" si="161"/>
        <v>1040.4546765962193</v>
      </c>
      <c r="EE127" s="1110">
        <f t="shared" si="162"/>
        <v>1469.7207240979119</v>
      </c>
      <c r="EF127" s="1092" t="s">
        <v>711</v>
      </c>
      <c r="EG127" s="1120">
        <f t="shared" si="163"/>
        <v>0.33</v>
      </c>
      <c r="EH127" s="1124"/>
      <c r="EI127" s="1093"/>
      <c r="EJ127" s="1093"/>
      <c r="EK127" s="1097">
        <f>IF($P127="","N/A",IF(P127=-1,INDEX('卡片raw data'!AS:AS,MATCH(D127,'卡片raw data'!$F:$F,)),0)+IF(AND(L127&lt;&gt;"party卡",P127&lt;=2,P127&gt;=0),INDEX('卡片raw data'!AU:AU,MATCH(D127,'卡片raw data'!$F:$F,)),0)+IF(OR(AND(L127="party卡",P127&lt;=1),AND(P127&lt;=4,L127&lt;&gt;"party卡",P127&gt;=3)),INDEX('卡片raw data'!AV:AV,MATCH(D127,'卡片raw data'!$F:$F,)),0)+IF(OR(P127=5,AND(L127="party卡",P127&gt;=2)),INDEX('卡片raw data'!AW:AW,MATCH(D127,'卡片raw data'!$F:$F,)),0))</f>
        <v>0</v>
      </c>
      <c r="EL127" s="1098">
        <f t="shared" si="164"/>
        <v>0.33</v>
      </c>
      <c r="EM127" s="1098">
        <f t="shared" si="165"/>
        <v>0.33</v>
      </c>
      <c r="EN127" s="1125">
        <f t="shared" si="166"/>
        <v>0</v>
      </c>
      <c r="EO127" s="1125">
        <f t="shared" si="167"/>
        <v>0</v>
      </c>
      <c r="EP127" s="1098">
        <f t="shared" si="168"/>
        <v>0</v>
      </c>
      <c r="EQ127" s="1121">
        <f t="shared" si="169"/>
        <v>0</v>
      </c>
      <c r="ER127" s="1101">
        <f t="shared" si="170"/>
        <v>0</v>
      </c>
      <c r="ES127" s="1097">
        <f t="shared" si="171"/>
        <v>0</v>
      </c>
      <c r="ET127" s="1122">
        <f t="shared" si="172"/>
        <v>0</v>
      </c>
    </row>
    <row r="128" spans="2:150" ht="16.5" customHeight="1">
      <c r="B128" s="1123" t="str">
        <f>INDEX('卡片raw data'!B:B,MATCH($D128,'卡片raw data'!$F:$F,))</f>
        <v>sh海</v>
      </c>
      <c r="C128" s="449" t="s">
        <v>67</v>
      </c>
      <c r="D128" s="408">
        <v>125</v>
      </c>
      <c r="E128" s="1090">
        <v>400042001</v>
      </c>
      <c r="F128" s="1090" t="str">
        <f>INDEX('卡片raw data'!C:C,MATCH($D128,'卡片raw data'!$F:$F,))</f>
        <v>SR</v>
      </c>
      <c r="G128" s="1094" t="s">
        <v>334</v>
      </c>
      <c r="H128" s="411">
        <f>IFERROR(INDEX(绊状态确认!C:C,MATCH($G128,绊状态确认!$B:$B,)),"")</f>
        <v>4</v>
      </c>
      <c r="I128" s="450" t="str">
        <f>IFERROR(INDEX(绊状态确认!D:D,MATCH($G128,绊状态确认!$B:$B,)),"")</f>
        <v>缪</v>
      </c>
      <c r="J128" s="450" t="str">
        <f>IFERROR(INDEX(绊状态确认!E:E,MATCH($G128,绊状态确认!$B:$B,)),"")</f>
        <v>2年级</v>
      </c>
      <c r="K128" s="451" t="str">
        <f>IFERROR(INDEX(绊状态确认!F:F,MATCH($G128,绊状态确认!$B:$B,)),"")</f>
        <v>lilywhite</v>
      </c>
      <c r="L128" s="1094" t="str">
        <f>INDEX('卡片raw data'!E:E,MATCH($D128,'卡片raw data'!$F:$F,))</f>
        <v>活动卡</v>
      </c>
      <c r="M128" s="415">
        <v>43790</v>
      </c>
      <c r="N128" s="416">
        <v>4</v>
      </c>
      <c r="O128" s="1091" t="str">
        <f>INDEX('卡片raw data'!D:D,MATCH($D128,'卡片raw data'!$F:$F,))</f>
        <v>sp</v>
      </c>
      <c r="P128" s="417">
        <v>5</v>
      </c>
      <c r="Q128" s="1095">
        <f t="shared" si="88"/>
        <v>22202.434540757476</v>
      </c>
      <c r="R128" s="1096">
        <f t="shared" si="89"/>
        <v>0.25800000000000001</v>
      </c>
      <c r="S128" s="1097">
        <f t="shared" si="90"/>
        <v>12173.337652846154</v>
      </c>
      <c r="T128" s="1098">
        <f t="shared" si="91"/>
        <v>0.60799999999999998</v>
      </c>
      <c r="U128" s="1099">
        <f t="shared" si="92"/>
        <v>10.477217116302855</v>
      </c>
      <c r="V128" s="1100">
        <f t="shared" si="93"/>
        <v>21235.659798236597</v>
      </c>
      <c r="W128" s="1101">
        <f t="shared" si="94"/>
        <v>4520.7278242904895</v>
      </c>
      <c r="X128" s="1096">
        <f t="shared" si="95"/>
        <v>5.1999999999999998E-2</v>
      </c>
      <c r="Y128" s="1097">
        <f t="shared" si="96"/>
        <v>833.22525747911914</v>
      </c>
      <c r="Z128" s="1102">
        <f t="shared" si="97"/>
        <v>10.477217116302855</v>
      </c>
      <c r="AA128" s="1103">
        <f t="shared" si="98"/>
        <v>5353.9530817696086</v>
      </c>
      <c r="AB128" s="1101">
        <f t="shared" si="99"/>
        <v>8058.0254264447885</v>
      </c>
      <c r="AC128" s="1104">
        <f t="shared" si="100"/>
        <v>9.2999999999999999E-2</v>
      </c>
      <c r="AD128" s="1105">
        <f t="shared" si="101"/>
        <v>-1.9908281250000003E-2</v>
      </c>
      <c r="AE128" s="1128">
        <f t="shared" si="102"/>
        <v>2.8386741621376803</v>
      </c>
      <c r="AF128" s="1130">
        <f t="shared" si="103"/>
        <v>0</v>
      </c>
      <c r="AG128" s="420">
        <f t="shared" si="104"/>
        <v>0</v>
      </c>
      <c r="AH128" s="420">
        <f t="shared" si="105"/>
        <v>0</v>
      </c>
      <c r="AI128" s="1097">
        <f t="shared" si="106"/>
        <v>0</v>
      </c>
      <c r="AJ128" s="420">
        <f t="shared" si="107"/>
        <v>0</v>
      </c>
      <c r="AK128" s="518">
        <f t="shared" si="108"/>
        <v>0</v>
      </c>
      <c r="AL128" s="1106">
        <f>IF($P128="","N/A",(IF($P128=-1,INDEX('卡片raw data'!S:S,MATCH($D128,'卡片raw data'!$F:$F,)),0)+IF($P128=0,INDEX('卡片raw data'!V:V,MATCH($D128,'卡片raw data'!$F:$F,)),0)+IF($P128=1,INDEX('卡片raw data'!Y:Y,MATCH($D128,'卡片raw data'!$F:$F,)),0)+IF($P128=2,INDEX('卡片raw data'!AB:AB,MATCH($D128,'卡片raw data'!$F:$F,)),0)+IF($P128=3,INDEX('卡片raw data'!AE:AE,MATCH($D128,'卡片raw data'!$F:$F,)),0)+IF($P128=4,INDEX('卡片raw data'!AH:AH,MATCH($D128,'卡片raw data'!$F:$F,)),0)+IF($P128=5,INDEX('卡片raw data'!AK:AK,MATCH($D128,'卡片raw data'!$F:$F,)),0)+INDEX('卡片raw data'!S:S,MATCH($D128,'卡片raw data'!$F:$F,))*(IF($F128="UR",0.04,0.033))*(IF($F128="UR",INDEX(绊状态确认!$S:$S,MATCH($G128,绊状态确认!$B:$B,))/2-40)+IF($F128="SR",INDEX(绊状态确认!$R:$R,MATCH($G128,绊状态确认!$B:$B,))/4-15))+IF($F128="R",INDEX(绊状态确认!$Q:$Q,MATCH($G128,绊状态确认!$B:$B,))/6-40/6)))*(INDEX(绊状态确认!$H:$H,MATCH($G128,绊状态确认!$B:$B,))+INDEX(绊状态确认!J:J,MATCH($G128,绊状态确认!$B:$B,)))</f>
        <v>5499.1941503999997</v>
      </c>
      <c r="AM128" s="1106">
        <f>IF($P128="","N/A",(IF($P128=-1,INDEX('卡片raw data'!T:T,MATCH($D128,'卡片raw data'!$F:$F,)),0)+IF($P128=0,INDEX('卡片raw data'!W:W,MATCH($D128,'卡片raw data'!$F:$F,)),0)+IF($P128=1,INDEX('卡片raw data'!Z:Z,MATCH($D128,'卡片raw data'!$F:$F,)),0)+IF($P128=2,INDEX('卡片raw data'!AC:AC,MATCH($D128,'卡片raw data'!$F:$F,)),0)+IF($P128=3,INDEX('卡片raw data'!AF:AF,MATCH($D128,'卡片raw data'!$F:$F,)),0)+IF($P128=4,INDEX('卡片raw data'!AI:AI,MATCH($D128,'卡片raw data'!$F:$F,)),0)+IF($P128=5,INDEX('卡片raw data'!AL:AL,MATCH($D128,'卡片raw data'!$F:$F,)),0)+INDEX('卡片raw data'!T:T,MATCH($D128,'卡片raw data'!$F:$F,))*(IF($F128="UR",0.04,0.033))*(IF($F128="UR",INDEX(绊状态确认!$S:$S,MATCH($G128,绊状态确认!$B:$B,))/2-40)+IF($F128="SR",INDEX(绊状态确认!$R:$R,MATCH($G128,绊状态确认!$B:$B,))/4-15))+IF($F128="R",INDEX(绊状态确认!$Q:$Q,MATCH($G128,绊状态确认!$B:$B,))/6-40/6)))*(INDEX(绊状态确认!$H:$H,MATCH($G128,绊状态确认!$B:$B,))+INDEX(绊状态确认!K:K,MATCH($G128,绊状态确认!$B:$B,)))</f>
        <v>5182.9567583999988</v>
      </c>
      <c r="AN128" s="1106">
        <f>IF($P128="","N/A",(IF($P128=-1,INDEX('卡片raw data'!U:U,MATCH($D128,'卡片raw data'!$F:$F,)),0)+IF($P128=0,INDEX('卡片raw data'!X:X,MATCH($D128,'卡片raw data'!$F:$F,)),0)+IF($P128=1,INDEX('卡片raw data'!AA:AA,MATCH($D128,'卡片raw data'!$F:$F,)),0)+IF($P128=2,INDEX('卡片raw data'!AD:AD,MATCH($D128,'卡片raw data'!$F:$F,)),0)+IF($P128=3,INDEX('卡片raw data'!AG:AG,MATCH($D128,'卡片raw data'!$F:$F,)),0)+IF($P128=4,INDEX('卡片raw data'!AJ:AJ,MATCH($D128,'卡片raw data'!$F:$F,)),0)+IF($P128=5,INDEX('卡片raw data'!AM:AM,MATCH($D128,'卡片raw data'!$F:$F,)),0)+INDEX('卡片raw data'!U:U,MATCH($D128,'卡片raw data'!$F:$F,))*(IF($F128="UR",0.04,0.033))*(IF($F128="UR",INDEX(绊状态确认!$S:$S,MATCH($G128,绊状态确认!$B:$B,))/2-40)+IF($F128="SR",INDEX(绊状态确认!$R:$R,MATCH($G128,绊状态确认!$B:$B,))/4-15))+IF($F128="R",INDEX(绊状态确认!$Q:$Q,MATCH($G128,绊状态确认!$B:$B,))/6-40/6)))*(INDEX(绊状态确认!$H:$H,MATCH($G128,绊状态确认!$B:$B,))+INDEX(绊状态确认!L:L,MATCH($G128,绊状态确认!$B:$B,)))</f>
        <v>5026.5426624000002</v>
      </c>
      <c r="AO128" s="1107">
        <f t="shared" si="109"/>
        <v>1</v>
      </c>
      <c r="AP128" s="1131">
        <f>1+(INDEX(绊状态确认!$T:$T,MATCH($G128,绊状态确认!$B:$B,))+0.2)*$AO128</f>
        <v>1.3</v>
      </c>
      <c r="AQ128" s="1108">
        <f t="shared" si="110"/>
        <v>17685.3846448</v>
      </c>
      <c r="AR128" s="1097">
        <f>(AM128*(1+$EX$9)+$EX$35)*(1+(INDEX(绊状态确认!$T:$T,MATCH($G128,绊状态确认!$B:$B,))+0.2)*AO128)*IF(J128=$FF$17,1+$FE$17,1)*IF(I128=$FF$14,1+$FE$14,1)</f>
        <v>9778.7359752159991</v>
      </c>
      <c r="AS128" s="1097">
        <f>(AN128*(1+$EX$10)+$EX$36)*(1+(INDEX(绊状态确认!$T:$T,MATCH($G128,绊状态确认!$B:$B,))+0.2)*AO128)*IF(J128=$FF$17,1+$FE$17,1)*IF(I128=$FF$14,1+$FE$14,1)</f>
        <v>11570.681280287999</v>
      </c>
      <c r="AT128" s="1093">
        <f>IF(AND(INDEX('卡片raw data'!AK:AK,MATCH($D128,'卡片raw data'!$F:$F,))&lt;INDEX('卡片raw data'!AM:AM,MATCH($D128,'卡片raw data'!$F:$F,)),INDEX('卡片raw data'!AL:AL,MATCH($D128,'卡片raw data'!$F:$F,))&lt;INDEX('卡片raw data'!AM:AM,MATCH($D128,'卡片raw data'!$F:$F,))),1,0)</f>
        <v>0</v>
      </c>
      <c r="AU128" s="1098">
        <f>MIN(AT128*0.15+AS128*0.00003+INDEX(绊状态确认!M:M,MATCH($G128,绊状态确认!$B:$B,)),1)</f>
        <v>0.37712043840864001</v>
      </c>
      <c r="AV128" s="1109">
        <f>(INDEX(绊状态确认!$N:$N,MATCH($G128,绊状态确认!$B:$B,))+1.5)*$EW$21</f>
        <v>2.6599999999999997</v>
      </c>
      <c r="AW128" s="1101">
        <f t="shared" si="111"/>
        <v>14934.74244764602</v>
      </c>
      <c r="AX128" s="1097">
        <f t="shared" si="112"/>
        <v>833.22525747911948</v>
      </c>
      <c r="AY128" s="1110">
        <f t="shared" si="113"/>
        <v>15767.96770512514</v>
      </c>
      <c r="AZ128" s="429">
        <f t="shared" si="114"/>
        <v>13323.428593279999</v>
      </c>
      <c r="BA128" s="431">
        <f t="shared" si="115"/>
        <v>15988.114311935999</v>
      </c>
      <c r="BB128" s="1097">
        <f>(AM128*(1+$FB$9)+$FB$35)*(1+(INDEX(绊状态确认!$T:$T,MATCH($G128,绊状态确认!$B:$B,))+0.2)*AO128)*IF(J128=$FF$17,1+$FE$17,1)*IF(I128=$FF$14,1+$FE$14,1)*(1+$FE$15)</f>
        <v>9778.7359752159991</v>
      </c>
      <c r="BC128" s="1097">
        <f>(AN128*(1+$FB$10)+$FB$36)*(1+(INDEX(绊状态确认!$T:$T,MATCH($G128,绊状态确认!$B:$B,))+0.2)*AO128)*IF(J128=$FF$17,1+$FE$17,1)*IF(I128=$FF$14,1+$FE$14,1)*(1+$FE$15)</f>
        <v>11570.681280287999</v>
      </c>
      <c r="BD128" s="1104">
        <f>MIN(AT128*0.15+BC128*0.00003+INDEX(绊状态确认!M:M,MATCH($G128,绊状态确认!$B:$B,)),1)</f>
        <v>0.37712043840864001</v>
      </c>
      <c r="BE128" s="432">
        <f>(INDEX(绊状态确认!$N:$N,MATCH($G128,绊状态确认!$B:$B,))+1.5)</f>
        <v>1.9</v>
      </c>
      <c r="BF128" s="1139">
        <f t="array" ref="BF128">SUMPRODUCT(IF(AZ128*AP128*$FI$16:$FI$23*$FA$22&gt;=$FI$24,$FI$24,AZ128*AP128*$FI$16:$FI$23*$FA$22),$FJ$16:$FJ$23)</f>
        <v>26500.299472033919</v>
      </c>
      <c r="BG128" s="1125">
        <f t="array" ref="BG128">SUMPRODUCT(IF(BE128*AZ128*AP128*$FI$16:$FI$23*$FA$22&gt;=$FI$24,$FI$24,BE128*AZ128*AP128*$FI$16:$FI$23*$FA$22),$FJ$16:$FJ$23)</f>
        <v>50097.883958038146</v>
      </c>
      <c r="BH128" s="1110">
        <f t="shared" si="116"/>
        <v>11799.810292926917</v>
      </c>
      <c r="BI128" s="1111">
        <f>IF(O128="vo",$EW$26/$EW$24*0.05,0)+IF(O128="sk",-$EW$26/$EW$24*(0.05-INDEX(绊状态确认!W:W,MATCH($G128,绊状态确认!$B:$B,)))+0.05*$EW$28,0)+IF(O128="sp",0.05*$EW$32*$EW$30*(1-$EW$33)-(0.05-INDEX(绊状态确认!V:V,MATCH($G128,绊状态确认!$B:$B,)))*$EW$28,0)+IF(O128="gd",-(0.05-INDEX(绊状态确认!X:X,MATCH($G128,绊状态确认!$B:$B,)))*$EW$32*$EW$30*(1-$EW$33),0)</f>
        <v>19.999999999999886</v>
      </c>
      <c r="BJ128" s="1097">
        <f>IF(O128="vo",0.05*(1-$FI$26)*$FA$24,0)+IF(O128="sk",-(0.05-INDEX(绊状态确认!W:W,MATCH($G128,绊状态确认!$B:$B,)))*(1-$FI$26)*$FA$24+0.05*$FA$26,0)+IF(O128="sp",0.05*$FA$32*$FA$27*(1-$FA$33)/$FA$30+0.05*$FA$29/$FA$69*$FA$27*(1-$FA$33)-(0.05-INDEX(绊状态确认!V:V,MATCH($G128,绊状态确认!$B:$B,)))*$FA$26,0)+IF(O128="gd",-(0.05-INDEX(绊状态确认!X:X,MATCH($G128,绊状态确认!$B:$B,)))*$FA$32*$FA$27*(1-$FA$33)/$FA$30-(0.05-INDEX(绊状态确认!X:X,MATCH($G128,绊状态确认!$B:$B,)))*$FA$29/$FA$69*$FA$27*(1-$FA$33),0)</f>
        <v>545.83333333333326</v>
      </c>
      <c r="BK128" s="1110">
        <f>IF(O128="vo",$EW$26/$EW$24*0.05+$EW$26*(-HP($EW$62,$EW$65,$EW$64)+HP($EW$62,$EW$65,(1.05-INDEX(绊状态确认!U:U,MATCH($G128,绊状态确认!$B:$B,)))*$EW$64)),0)+IF(O128="sk",-$EW$26/$EW$24*(0.05-INDEX(绊状态确认!W:W,MATCH($G128,绊状态确认!$B:$B,)))+0.05*$EW$29,0)+IF(O128="sp",0.05*$EW$32*$EW$30*(1-$EW$33)-(0.05-INDEX(绊状态确认!V:V,MATCH($G128,绊状态确认!$B:$B,)))*$EW$29,0)+IF(O128="gd",-(0.05-INDEX(绊状态确认!X:X,MATCH($G128,绊状态确认!$B:$B,)))*$EW$32*$EW$30*(1-$EW$33)+$EW$26*(-HP($EW$62,$EW$65,$EW$64)+HP($EW$62,$EW$65,0.95*$EW$64)),0)</f>
        <v>-1780.0000000000005</v>
      </c>
      <c r="BL128" s="1111">
        <f t="shared" si="117"/>
        <v>-1083.3333333333333</v>
      </c>
      <c r="BM128" s="1110">
        <f t="shared" si="118"/>
        <v>-830.55555555555543</v>
      </c>
      <c r="BN128" s="1113">
        <f t="shared" si="119"/>
        <v>3</v>
      </c>
      <c r="BO128" s="1097">
        <f t="shared" si="120"/>
        <v>4507.7214871259994</v>
      </c>
      <c r="BP128" s="1100">
        <f t="shared" si="121"/>
        <v>221.34103209030098</v>
      </c>
      <c r="BQ128" s="1113" t="s">
        <v>626</v>
      </c>
      <c r="BR128" s="1124" t="s">
        <v>168</v>
      </c>
      <c r="BS128" s="1098">
        <f>IF($P128="","N/A",IF($P128=-1,INDEX('卡片raw data'!AX:AX,MATCH($D128,'卡片raw data'!$F:$F,)),0)+IF($L128="party卡",IF($P128=5,INDEX('卡片raw data'!BD:BD,MATCH($D128,'卡片raw data'!$F:$F,)),IF($P128&gt;=3,INDEX('卡片raw data'!BC:BC,MATCH($D128,'卡片raw data'!$F:$F,)),INDEX('卡片raw data'!BB:BB,MATCH($D128,'卡片raw data'!$F:$F,)))),IF(OR(AND($F128="UR",$P128=0),AND($F128="SR",$P128&gt;=0,$P128&lt;=2),AND($F128="R",$P128&gt;=0,$P128&lt;4)),INDEX('卡片raw data'!AZ:AZ,MATCH($D128,'卡片raw data'!$F:$F,)),0)+IF(OR(AND($F128="UR",$P128&gt;=1,$P128&lt;=4),AND($F128="SR",$P128&lt;=4,$P128&gt;=3),AND($F128="R",$P128=4)),INDEX('卡片raw data'!BA:BA,MATCH($D128,'卡片raw data'!$F:$F,)),0)+IF($P128=5,INDEX('卡片raw data'!BB:BB,MATCH($D128,'卡片raw data'!$F:$F,)),0)))</f>
        <v>0.05</v>
      </c>
      <c r="BT128" s="1101">
        <f t="shared" si="122"/>
        <v>3537.2976021542986</v>
      </c>
      <c r="BU128" s="1097">
        <f t="shared" si="123"/>
        <v>255.86405005115788</v>
      </c>
      <c r="BV128" s="1097">
        <f t="shared" si="124"/>
        <v>0</v>
      </c>
      <c r="BW128" s="1112">
        <f t="shared" si="125"/>
        <v>0</v>
      </c>
      <c r="BX128" s="1100">
        <f t="shared" si="126"/>
        <v>3537.2976021542986</v>
      </c>
      <c r="BY128" s="1110">
        <f t="shared" si="127"/>
        <v>0</v>
      </c>
      <c r="BZ128" s="1107" t="s">
        <v>569</v>
      </c>
      <c r="CA128" s="1124"/>
      <c r="CB128" s="1098">
        <f>IF($P128="","N/A",IF($P128=-1,INDEX('卡片raw data'!BE:BE,MATCH($D128,'卡片raw data'!$F:$F,)),0)+IF($L128="party卡",IF($P128=5,INDEX('卡片raw data'!BK:BK,MATCH($D128,'卡片raw data'!$F:$F,)),IF($P128&gt;=3,INDEX('卡片raw data'!BJ:BJ,MATCH($D128,'卡片raw data'!$F:$F,)),INDEX('卡片raw data'!BI:BI,MATCH($D128,'卡片raw data'!$F:$F,)))),IF(OR(AND($F128="UR",$P128=0),AND($F128="SR",$P128&gt;=0,$P128&lt;=2),AND($F128="R",$P128&gt;=0,$P128&lt;4)),INDEX('卡片raw data'!BG:BG,MATCH($D128,'卡片raw data'!$F:$F,)),0)+IF(OR(AND($F128="UR",$P128&gt;=1,$P128&lt;=4),AND($F128="SR",$P128&lt;=4,$P128&gt;=3),AND($F128="R",$P128=4)),INDEX('卡片raw data'!BH:BH,MATCH($D128,'卡片raw data'!$F:$F,)),0)+IF($P128=5,INDEX('卡片raw data'!BI:BI,MATCH($D128,'卡片raw data'!$F:$F,)),0)))</f>
        <v>0</v>
      </c>
      <c r="CC128" s="1101">
        <f t="shared" si="128"/>
        <v>0</v>
      </c>
      <c r="CD128" s="1097">
        <f>IF(BZ128="ap",CB128*(1-$FI$26)*$FB$5/$FB$11*(+IF(CA128="全员",$FA$24,0)+IF(CA128="同作战",$FA$24,0)+IF(CA128="仲间",$FA$24*2/3,0)+IF(CA128="同属性",$FA$24*$FA$37/3,0)+IF(CA128="同年级",$FA$24*$FA$40/3,0)+IF(CA128="同学校",$FA$24*$FA$43/3,0)+IF(CA128="同小队",$FA$24*$FA$46/3,0)+IF(CA128="同type",$FA$24*INDEX($FB$49:$FB$52,MATCH(X128,$FA$49:$FA$52,))/3,0)+IF(CA128="自身",#REF!/3,0)),0)+IF(BZ128="te",CB128*(1-$FI$27)*($FA$20-1)*$FB$7/$FB$13*(+IF(CA128="全员",$FA$19*$FA$24/(1+($FA$20-1)*$FA$19),0)+IF(CA128="同作战",$FA$19*$FA$24/(1+($FA$20-1)*$FA$19),0)+IF(CA128="仲间",$FA$19*$FA$24*2/3/(1+($FA$20-1)*$FA$19),0)+IF(CA128="同属性",$FA$19*$FA$24*$FA$37/3/(1+($FA$20-1)*$FA$19),0)+IF(CA128="同年级",$FA$19*$FA$24*$FA$40/3/(1+($FA$20-1)*$FA$19),0)+IF(CA128="同学校",$FA$19*$FA$24*$FA$43/3/(1+($FA$20-1)*$FA$19),0)+IF(CA128="同小队",$FA$19*$FA$24*$FA$46/3/(1+($FA$20-1)*$FA$19),0)+IF(CA128="同type",$FA$19*$FA$24*INDEX($FB$49:$FB$52,MATCH(X128,$FA$49:$FA$52,))/3/(1+($FA$20-1)*$FA$19),0)+IF(CA128="自身",$FA$19*#REF!/3/(1+(BH128-1)*$BD128),0)),0)</f>
        <v>0</v>
      </c>
      <c r="CE128" s="1097">
        <f t="shared" si="129"/>
        <v>0</v>
      </c>
      <c r="CF128" s="1112">
        <f t="shared" si="130"/>
        <v>0</v>
      </c>
      <c r="CG128" s="1100">
        <f t="shared" si="131"/>
        <v>0</v>
      </c>
      <c r="CH128" s="1110">
        <f t="shared" si="132"/>
        <v>0</v>
      </c>
      <c r="CI128" s="1113" t="s">
        <v>162</v>
      </c>
      <c r="CJ128" s="1114">
        <v>0.3</v>
      </c>
      <c r="CK128" s="1115" t="s">
        <v>256</v>
      </c>
      <c r="CL128" s="1115" t="s">
        <v>1940</v>
      </c>
      <c r="CM128" s="1119">
        <v>0.08</v>
      </c>
      <c r="CN128" s="1115"/>
      <c r="CO128" s="1092"/>
      <c r="CP128" s="1116">
        <f t="shared" si="133"/>
        <v>9.0953406744685701</v>
      </c>
      <c r="CQ128" s="1116">
        <f t="shared" si="134"/>
        <v>12.790491449548798</v>
      </c>
      <c r="CR128" s="1116">
        <f t="shared" si="135"/>
        <v>9.0953406744685701</v>
      </c>
      <c r="CS128" s="1118">
        <f t="shared" si="136"/>
        <v>0</v>
      </c>
      <c r="CT128" s="1109">
        <f t="shared" si="137"/>
        <v>0</v>
      </c>
      <c r="CU128" s="1101">
        <f t="shared" si="138"/>
        <v>13.006337164490057</v>
      </c>
      <c r="CV128" s="1108">
        <f t="shared" si="139"/>
        <v>0</v>
      </c>
      <c r="CW128" s="1097">
        <f t="shared" si="140"/>
        <v>13.006337164490057</v>
      </c>
      <c r="CX128" s="1097">
        <f t="shared" si="141"/>
        <v>13.006337164490057</v>
      </c>
      <c r="CY128" s="1110">
        <f t="shared" si="142"/>
        <v>13.006337164490057</v>
      </c>
      <c r="CZ128" s="437"/>
      <c r="DA128" s="438"/>
      <c r="DB128" s="439" t="s">
        <v>569</v>
      </c>
      <c r="DC128" s="439"/>
      <c r="DD128" s="443"/>
      <c r="DE128" s="411"/>
      <c r="DF128" s="411"/>
      <c r="DG128" s="1116">
        <f t="shared" si="143"/>
        <v>0</v>
      </c>
      <c r="DH128" s="1116">
        <f t="shared" si="144"/>
        <v>0</v>
      </c>
      <c r="DI128" s="1116">
        <f t="shared" si="145"/>
        <v>0</v>
      </c>
      <c r="DJ128" s="442">
        <f t="shared" si="146"/>
        <v>0</v>
      </c>
      <c r="DK128" s="1109">
        <f t="shared" si="147"/>
        <v>0</v>
      </c>
      <c r="DL128" s="1101">
        <f t="shared" si="148"/>
        <v>0</v>
      </c>
      <c r="DM128" s="1097">
        <f t="shared" si="149"/>
        <v>0</v>
      </c>
      <c r="DN128" s="1097">
        <f t="shared" si="150"/>
        <v>0</v>
      </c>
      <c r="DO128" s="1097">
        <f t="shared" si="151"/>
        <v>0</v>
      </c>
      <c r="DP128" s="1110">
        <f t="shared" si="152"/>
        <v>0</v>
      </c>
      <c r="DQ128" s="1113" t="s">
        <v>547</v>
      </c>
      <c r="DR128" s="1120">
        <f t="shared" si="153"/>
        <v>0.3</v>
      </c>
      <c r="DS128" s="1124">
        <v>5</v>
      </c>
      <c r="DT128" s="1093" t="s">
        <v>161</v>
      </c>
      <c r="DU128" s="1093" t="s">
        <v>544</v>
      </c>
      <c r="DV128" s="1098">
        <f>IF($P128="","N/A",IF(P128=-1,INDEX('卡片raw data'!AN:AN,MATCH(D128,'卡片raw data'!$F:$F,)),0)+IF(AND(L128&lt;&gt;"party卡",P128&lt;=2,P128&gt;=0),INDEX('卡片raw data'!AP:AP,MATCH(D128,'卡片raw data'!$F:$F,)),0)+IF(OR(AND(L128="party卡",P128&lt;=1),AND(P128&lt;=4,L128&lt;&gt;"party卡",P128&gt;=3)),INDEX('卡片raw data'!AQ:AQ,MATCH(D128,'卡片raw data'!$F:$F,)),0)+IF(OR(P128=5,AND(L128="party卡",P128&gt;=2)),INDEX('卡片raw data'!AR:AR,MATCH(D128,'卡片raw data'!$F:$F,)),0))</f>
        <v>4.2000000000000003E-2</v>
      </c>
      <c r="DW128" s="1098">
        <f t="shared" si="154"/>
        <v>0.3</v>
      </c>
      <c r="DX128" s="1098">
        <f t="shared" si="155"/>
        <v>0.3</v>
      </c>
      <c r="DY128" s="1098">
        <f t="shared" si="156"/>
        <v>2.0999999999999998E-2</v>
      </c>
      <c r="DZ128" s="1098">
        <f t="shared" si="157"/>
        <v>1.8164999999999997E-2</v>
      </c>
      <c r="EA128" s="1098">
        <f t="shared" si="158"/>
        <v>0</v>
      </c>
      <c r="EB128" s="1121">
        <f t="shared" si="159"/>
        <v>4.1901234374999996</v>
      </c>
      <c r="EC128" s="1101">
        <f t="shared" si="160"/>
        <v>272.99999999999994</v>
      </c>
      <c r="ED128" s="1097">
        <f t="shared" si="161"/>
        <v>181.04449999999994</v>
      </c>
      <c r="EE128" s="1110">
        <f t="shared" si="162"/>
        <v>272.99999999999994</v>
      </c>
      <c r="EF128" s="1092" t="s">
        <v>711</v>
      </c>
      <c r="EG128" s="1120">
        <f t="shared" si="163"/>
        <v>0.3</v>
      </c>
      <c r="EH128" s="1124"/>
      <c r="EI128" s="1093"/>
      <c r="EJ128" s="1093"/>
      <c r="EK128" s="1097">
        <f>IF($P128="","N/A",IF(P128=-1,INDEX('卡片raw data'!AS:AS,MATCH(D128,'卡片raw data'!$F:$F,)),0)+IF(AND(L128&lt;&gt;"party卡",P128&lt;=2,P128&gt;=0),INDEX('卡片raw data'!AU:AU,MATCH(D128,'卡片raw data'!$F:$F,)),0)+IF(OR(AND(L128="party卡",P128&lt;=1),AND(P128&lt;=4,L128&lt;&gt;"party卡",P128&gt;=3)),INDEX('卡片raw data'!AV:AV,MATCH(D128,'卡片raw data'!$F:$F,)),0)+IF(OR(P128=5,AND(L128="party卡",P128&gt;=2)),INDEX('卡片raw data'!AW:AW,MATCH(D128,'卡片raw data'!$F:$F,)),0))</f>
        <v>0</v>
      </c>
      <c r="EL128" s="1098">
        <f t="shared" si="164"/>
        <v>0.3</v>
      </c>
      <c r="EM128" s="1098">
        <f t="shared" si="165"/>
        <v>0.3</v>
      </c>
      <c r="EN128" s="1125">
        <f t="shared" si="166"/>
        <v>0</v>
      </c>
      <c r="EO128" s="1125">
        <f t="shared" si="167"/>
        <v>0</v>
      </c>
      <c r="EP128" s="1098">
        <f t="shared" si="168"/>
        <v>0</v>
      </c>
      <c r="EQ128" s="1121">
        <f t="shared" si="169"/>
        <v>0</v>
      </c>
      <c r="ER128" s="1101">
        <f t="shared" si="170"/>
        <v>0</v>
      </c>
      <c r="ES128" s="1097">
        <f t="shared" si="171"/>
        <v>0</v>
      </c>
      <c r="ET128" s="1122">
        <f t="shared" si="172"/>
        <v>0</v>
      </c>
    </row>
    <row r="129" spans="2:150" ht="16.5" customHeight="1">
      <c r="B129" s="1123" t="str">
        <f>INDEX('卡片raw data'!B:B,MATCH($D129,'卡片raw data'!$F:$F,))</f>
        <v>动物彼</v>
      </c>
      <c r="C129" s="449" t="s">
        <v>66</v>
      </c>
      <c r="D129" s="408">
        <v>126</v>
      </c>
      <c r="E129" s="1090">
        <v>402062001</v>
      </c>
      <c r="F129" s="1090" t="str">
        <f>INDEX('卡片raw data'!C:C,MATCH($D129,'卡片raw data'!$F:$F,))</f>
        <v>SR</v>
      </c>
      <c r="G129" s="1094" t="s">
        <v>355</v>
      </c>
      <c r="H129" s="411">
        <f>IFERROR(INDEX(绊状态确认!C:C,MATCH($G129,绊状态确认!$B:$B,)),"")</f>
        <v>206</v>
      </c>
      <c r="I129" s="450" t="str">
        <f>IFERROR(INDEX(绊状态确认!D:D,MATCH($G129,绊状态确认!$B:$B,)),"")</f>
        <v>虹</v>
      </c>
      <c r="J129" s="450" t="str">
        <f>IFERROR(INDEX(绊状态确认!E:E,MATCH($G129,绊状态确认!$B:$B,)),"")</f>
        <v>3年级</v>
      </c>
      <c r="K129" s="451" t="str">
        <f>IFERROR(INDEX(绊状态确认!F:F,MATCH($G129,绊状态确认!$B:$B,)),"")</f>
        <v>QU4RTZ</v>
      </c>
      <c r="L129" s="1094" t="str">
        <f>INDEX('卡片raw data'!E:E,MATCH($D129,'卡片raw data'!$F:$F,))</f>
        <v>活动卡</v>
      </c>
      <c r="M129" s="415">
        <v>43790</v>
      </c>
      <c r="N129" s="416">
        <v>4</v>
      </c>
      <c r="O129" s="1091" t="str">
        <f>INDEX('卡片raw data'!D:D,MATCH($D129,'卡片raw data'!$F:$F,))</f>
        <v>vo</v>
      </c>
      <c r="P129" s="417">
        <v>5</v>
      </c>
      <c r="Q129" s="1095">
        <f t="shared" si="88"/>
        <v>29174.677207232591</v>
      </c>
      <c r="R129" s="1096">
        <f t="shared" si="89"/>
        <v>0.33900000000000002</v>
      </c>
      <c r="S129" s="1097">
        <f t="shared" si="90"/>
        <v>12965.664581925012</v>
      </c>
      <c r="T129" s="1098">
        <f t="shared" si="91"/>
        <v>0.64800000000000002</v>
      </c>
      <c r="U129" s="1099">
        <f t="shared" si="92"/>
        <v>-14.522782883697145</v>
      </c>
      <c r="V129" s="1100">
        <f t="shared" si="93"/>
        <v>28703.23401447001</v>
      </c>
      <c r="W129" s="1101">
        <f t="shared" si="94"/>
        <v>4507.7214871259994</v>
      </c>
      <c r="X129" s="1096">
        <f t="shared" si="95"/>
        <v>5.1999999999999998E-2</v>
      </c>
      <c r="Y129" s="1097">
        <f t="shared" si="96"/>
        <v>833.22525747911914</v>
      </c>
      <c r="Z129" s="1102">
        <f t="shared" si="97"/>
        <v>10.477217116302855</v>
      </c>
      <c r="AA129" s="1103">
        <f t="shared" si="98"/>
        <v>5340.9467446051185</v>
      </c>
      <c r="AB129" s="1101">
        <f t="shared" si="99"/>
        <v>5021.8703389224465</v>
      </c>
      <c r="AC129" s="1104">
        <f t="shared" si="100"/>
        <v>5.8000000000000003E-2</v>
      </c>
      <c r="AD129" s="1105">
        <f t="shared" si="101"/>
        <v>-3.8207812500000026E-3</v>
      </c>
      <c r="AE129" s="1128">
        <f t="shared" si="102"/>
        <v>-12.27536231884058</v>
      </c>
      <c r="AF129" s="1130">
        <f t="shared" si="103"/>
        <v>0</v>
      </c>
      <c r="AG129" s="420">
        <f t="shared" si="104"/>
        <v>0</v>
      </c>
      <c r="AH129" s="420">
        <f t="shared" si="105"/>
        <v>0</v>
      </c>
      <c r="AI129" s="1097">
        <f t="shared" si="106"/>
        <v>0</v>
      </c>
      <c r="AJ129" s="420">
        <f t="shared" si="107"/>
        <v>0</v>
      </c>
      <c r="AK129" s="518">
        <f t="shared" si="108"/>
        <v>0</v>
      </c>
      <c r="AL129" s="1106">
        <f>IF($P129="","N/A",(IF($P129=-1,INDEX('卡片raw data'!S:S,MATCH($D129,'卡片raw data'!$F:$F,)),0)+IF($P129=0,INDEX('卡片raw data'!V:V,MATCH($D129,'卡片raw data'!$F:$F,)),0)+IF($P129=1,INDEX('卡片raw data'!Y:Y,MATCH($D129,'卡片raw data'!$F:$F,)),0)+IF($P129=2,INDEX('卡片raw data'!AB:AB,MATCH($D129,'卡片raw data'!$F:$F,)),0)+IF($P129=3,INDEX('卡片raw data'!AE:AE,MATCH($D129,'卡片raw data'!$F:$F,)),0)+IF($P129=4,INDEX('卡片raw data'!AH:AH,MATCH($D129,'卡片raw data'!$F:$F,)),0)+IF($P129=5,INDEX('卡片raw data'!AK:AK,MATCH($D129,'卡片raw data'!$F:$F,)),0)+INDEX('卡片raw data'!S:S,MATCH($D129,'卡片raw data'!$F:$F,))*(IF($F129="UR",0.04,0.033))*(IF($F129="UR",INDEX(绊状态确认!$S:$S,MATCH($G129,绊状态确认!$B:$B,))/2-40)+IF($F129="SR",INDEX(绊状态确认!$R:$R,MATCH($G129,绊状态确认!$B:$B,))/4-15))+IF($F129="R",INDEX(绊状态确认!$Q:$Q,MATCH($G129,绊状态确认!$B:$B,))/6-40/6)))*(INDEX(绊状态确认!$H:$H,MATCH($G129,绊状态确认!$B:$B,))+INDEX(绊状态确认!J:J,MATCH($G129,绊状态确认!$B:$B,)))</f>
        <v>5182.9567583999988</v>
      </c>
      <c r="AM129" s="1106">
        <f>IF($P129="","N/A",(IF($P129=-1,INDEX('卡片raw data'!T:T,MATCH($D129,'卡片raw data'!$F:$F,)),0)+IF($P129=0,INDEX('卡片raw data'!W:W,MATCH($D129,'卡片raw data'!$F:$F,)),0)+IF($P129=1,INDEX('卡片raw data'!Z:Z,MATCH($D129,'卡片raw data'!$F:$F,)),0)+IF($P129=2,INDEX('卡片raw data'!AC:AC,MATCH($D129,'卡片raw data'!$F:$F,)),0)+IF($P129=3,INDEX('卡片raw data'!AF:AF,MATCH($D129,'卡片raw data'!$F:$F,)),0)+IF($P129=4,INDEX('卡片raw data'!AI:AI,MATCH($D129,'卡片raw data'!$F:$F,)),0)+IF($P129=5,INDEX('卡片raw data'!AL:AL,MATCH($D129,'卡片raw data'!$F:$F,)),0)+INDEX('卡片raw data'!T:T,MATCH($D129,'卡片raw data'!$F:$F,))*(IF($F129="UR",0.04,0.033))*(IF($F129="UR",INDEX(绊状态确认!$S:$S,MATCH($G129,绊状态确认!$B:$B,))/2-40)+IF($F129="SR",INDEX(绊状态确认!$R:$R,MATCH($G129,绊状态确认!$B:$B,))/4-15))+IF($F129="R",INDEX(绊状态确认!$Q:$Q,MATCH($G129,绊状态确认!$B:$B,))/6-40/6)))*(INDEX(绊状态确认!$H:$H,MATCH($G129,绊状态确认!$B:$B,))+INDEX(绊状态确认!K:K,MATCH($G129,绊状态确认!$B:$B,)))</f>
        <v>5182.9567583999988</v>
      </c>
      <c r="AN129" s="1106">
        <f>IF($P129="","N/A",(IF($P129=-1,INDEX('卡片raw data'!U:U,MATCH($D129,'卡片raw data'!$F:$F,)),0)+IF($P129=0,INDEX('卡片raw data'!X:X,MATCH($D129,'卡片raw data'!$F:$F,)),0)+IF($P129=1,INDEX('卡片raw data'!AA:AA,MATCH($D129,'卡片raw data'!$F:$F,)),0)+IF($P129=2,INDEX('卡片raw data'!AD:AD,MATCH($D129,'卡片raw data'!$F:$F,)),0)+IF($P129=3,INDEX('卡片raw data'!AG:AG,MATCH($D129,'卡片raw data'!$F:$F,)),0)+IF($P129=4,INDEX('卡片raw data'!AJ:AJ,MATCH($D129,'卡片raw data'!$F:$F,)),0)+IF($P129=5,INDEX('卡片raw data'!AM:AM,MATCH($D129,'卡片raw data'!$F:$F,)),0)+INDEX('卡片raw data'!U:U,MATCH($D129,'卡片raw data'!$F:$F,))*(IF($F129="UR",0.04,0.033))*(IF($F129="UR",INDEX(绊状态确认!$S:$S,MATCH($G129,绊状态确认!$B:$B,))/2-40)+IF($F129="SR",INDEX(绊状态确认!$R:$R,MATCH($G129,绊状态确认!$B:$B,))/4-15))+IF($F129="R",INDEX(绊状态确认!$Q:$Q,MATCH($G129,绊状态确认!$B:$B,))/6-40/6)))*(INDEX(绊状态确认!$H:$H,MATCH($G129,绊状态确认!$B:$B,))+INDEX(绊状态确认!L:L,MATCH($G129,绊状态确认!$B:$B,)))</f>
        <v>5340.5072543999995</v>
      </c>
      <c r="AO129" s="1107">
        <f t="shared" si="109"/>
        <v>1</v>
      </c>
      <c r="AP129" s="1131">
        <f>1+(INDEX(绊状态确认!$T:$T,MATCH($G129,绊状态确认!$B:$B,))+0.2)*$AO129</f>
        <v>1.3</v>
      </c>
      <c r="AQ129" s="1108">
        <f t="shared" si="110"/>
        <v>16855.261490799996</v>
      </c>
      <c r="AR129" s="1097">
        <f>(AM129*(1+$EX$9)+$EX$35)*(1+(INDEX(绊状态确认!$T:$T,MATCH($G129,绊状态确认!$B:$B,))+0.2)*AO129)*IF(J129=$FF$17,1+$FE$17,1)*IF(I129=$FF$14,1+$FE$14,1)</f>
        <v>9778.7359752159991</v>
      </c>
      <c r="AS129" s="1097">
        <f>(AN129*(1+$EX$10)+$EX$36)*(1+(INDEX(绊状态确认!$T:$T,MATCH($G129,绊状态确认!$B:$B,))+0.2)*AO129)*IF(J129=$FF$17,1+$FE$17,1)*IF(I129=$FF$14,1+$FE$14,1)</f>
        <v>12040.058345328</v>
      </c>
      <c r="AT129" s="1093">
        <f>IF(AND(INDEX('卡片raw data'!AK:AK,MATCH($D129,'卡片raw data'!$F:$F,))&lt;INDEX('卡片raw data'!AM:AM,MATCH($D129,'卡片raw data'!$F:$F,)),INDEX('卡片raw data'!AL:AL,MATCH($D129,'卡片raw data'!$F:$F,))&lt;INDEX('卡片raw data'!AM:AM,MATCH($D129,'卡片raw data'!$F:$F,))),1,0)</f>
        <v>1</v>
      </c>
      <c r="AU129" s="1098">
        <f>MIN(AT129*0.15+AS129*0.00003+INDEX(绊状态确认!M:M,MATCH($G129,绊状态确认!$B:$B,)),1)</f>
        <v>0.54120175035983997</v>
      </c>
      <c r="AV129" s="1109">
        <f>(INDEX(绊状态确认!$N:$N,MATCH($G129,绊状态确认!$B:$B,))+1.5)*$EW$21</f>
        <v>2.6599999999999997</v>
      </c>
      <c r="AW129" s="1101">
        <f t="shared" si="111"/>
        <v>16618.025388420872</v>
      </c>
      <c r="AX129" s="1097">
        <f t="shared" si="112"/>
        <v>833.22525747911948</v>
      </c>
      <c r="AY129" s="1110">
        <f t="shared" si="113"/>
        <v>17451.250645899992</v>
      </c>
      <c r="AZ129" s="429">
        <f t="shared" si="114"/>
        <v>12706.765678879998</v>
      </c>
      <c r="BA129" s="431">
        <f t="shared" si="115"/>
        <v>15248.118814655996</v>
      </c>
      <c r="BB129" s="1097">
        <f>(AM129*(1+$FB$9)+$FB$35)*(1+(INDEX(绊状态确认!$T:$T,MATCH($G129,绊状态确认!$B:$B,))+0.2)*AO129)*IF(J129=$FF$17,1+$FE$17,1)*IF(I129=$FF$14,1+$FE$14,1)*(1+$FE$15)</f>
        <v>9778.7359752159991</v>
      </c>
      <c r="BC129" s="1097">
        <f>(AN129*(1+$FB$10)+$FB$36)*(1+(INDEX(绊状态确认!$T:$T,MATCH($G129,绊状态确认!$B:$B,))+0.2)*AO129)*IF(J129=$FF$17,1+$FE$17,1)*IF(I129=$FF$14,1+$FE$14,1)*(1+$FE$15)</f>
        <v>12040.058345328</v>
      </c>
      <c r="BD129" s="1104">
        <f>MIN(AT129*0.15+BC129*0.00003+INDEX(绊状态确认!M:M,MATCH($G129,绊状态确认!$B:$B,)),1)</f>
        <v>0.54120175035983997</v>
      </c>
      <c r="BE129" s="432">
        <f>(INDEX(绊状态确认!$N:$N,MATCH($G129,绊状态确认!$B:$B,))+1.5)</f>
        <v>1.9</v>
      </c>
      <c r="BF129" s="1139">
        <f t="array" ref="BF129">SUMPRODUCT(IF(AZ129*AP129*$FI$16:$FI$23*$FA$22&gt;=$FI$24,$FI$24,AZ129*AP129*$FI$16:$FI$23*$FA$22),$FJ$16:$FJ$23)</f>
        <v>25273.756935292316</v>
      </c>
      <c r="BG129" s="1125">
        <f t="array" ref="BG129">SUMPRODUCT(IF(BE129*AZ129*AP129*$FI$16:$FI$23*$FA$22&gt;=$FI$24,$FI$24,BE129*AZ129*AP129*$FI$16:$FI$23*$FA$22),$FJ$16:$FJ$23)</f>
        <v>48020.138177055407</v>
      </c>
      <c r="BH129" s="1110">
        <f t="shared" si="116"/>
        <v>12528.046092562245</v>
      </c>
      <c r="BI129" s="1111">
        <f>IF(O129="vo",$EW$26/$EW$24*0.05,0)+IF(O129="sk",-$EW$26/$EW$24*(0.05-INDEX(绊状态确认!W:W,MATCH($G129,绊状态确认!$B:$B,)))+0.05*$EW$28,0)+IF(O129="sp",0.05*$EW$32*$EW$30*(1-$EW$33)-(0.05-INDEX(绊状态确认!V:V,MATCH($G129,绊状态确认!$B:$B,)))*$EW$28,0)+IF(O129="gd",-(0.05-INDEX(绊状态确认!X:X,MATCH($G129,绊状态确认!$B:$B,)))*$EW$32*$EW$30*(1-$EW$33),0)</f>
        <v>7726.3029277443748</v>
      </c>
      <c r="BJ129" s="1097">
        <f>IF(O129="vo",0.05*(1-$FI$26)*$FA$24,0)+IF(O129="sk",-(0.05-INDEX(绊状态确认!W:W,MATCH($G129,绊状态确认!$B:$B,)))*(1-$FI$26)*$FA$24+0.05*$FA$26,0)+IF(O129="sp",0.05*$FA$32*$FA$27*(1-$FA$33)/$FA$30+0.05*$FA$29/$FA$69*$FA$27*(1-$FA$33)-(0.05-INDEX(绊状态确认!V:V,MATCH($G129,绊状态确认!$B:$B,)))*$FA$26,0)+IF(O129="gd",-(0.05-INDEX(绊状态确认!X:X,MATCH($G129,绊状态确认!$B:$B,)))*$FA$32*$FA$27*(1-$FA$33)/$FA$30-(0.05-INDEX(绊状态确认!X:X,MATCH($G129,绊状态确认!$B:$B,)))*$FA$29/$FA$69*$FA$27*(1-$FA$33),0)</f>
        <v>393.93433687500004</v>
      </c>
      <c r="BK129" s="1110">
        <f>IF(O129="vo",$EW$26/$EW$24*0.05+$EW$26*(-HP($EW$62,$EW$65,$EW$64)+HP($EW$62,$EW$65,(1.05-INDEX(绊状态确认!U:U,MATCH($G129,绊状态确认!$B:$B,)))*$EW$64)),0)+IF(O129="sk",-$EW$26/$EW$24*(0.05-INDEX(绊状态确认!W:W,MATCH($G129,绊状态确认!$B:$B,)))+0.05*$EW$29,0)+IF(O129="sp",0.05*$EW$32*$EW$30*(1-$EW$33)-(0.05-INDEX(绊状态确认!V:V,MATCH($G129,绊状态确认!$B:$B,)))*$EW$29,0)+IF(O129="gd",-(0.05-INDEX(绊状态确认!X:X,MATCH($G129,绊状态确认!$B:$B,)))*$EW$32*$EW$30*(1-$EW$33)+$EW$26*(-HP($EW$62,$EW$65,$EW$64)+HP($EW$62,$EW$65,0.95*$EW$64)),0)</f>
        <v>6421.6344775026746</v>
      </c>
      <c r="BL129" s="1111">
        <f t="shared" si="117"/>
        <v>-1083.3333333333333</v>
      </c>
      <c r="BM129" s="1110">
        <f t="shared" si="118"/>
        <v>-830.55555555555543</v>
      </c>
      <c r="BN129" s="1113">
        <f t="shared" si="119"/>
        <v>3</v>
      </c>
      <c r="BO129" s="1097">
        <f t="shared" si="120"/>
        <v>4507.7214871259994</v>
      </c>
      <c r="BP129" s="1100">
        <f t="shared" si="121"/>
        <v>221.34103209030098</v>
      </c>
      <c r="BQ129" s="1113" t="s">
        <v>623</v>
      </c>
      <c r="BR129" s="1124" t="s">
        <v>625</v>
      </c>
      <c r="BS129" s="1098">
        <f>IF($P129="","N/A",IF($P129=-1,INDEX('卡片raw data'!AX:AX,MATCH($D129,'卡片raw data'!$F:$F,)),0)+IF($L129="party卡",IF($P129=5,INDEX('卡片raw data'!BD:BD,MATCH($D129,'卡片raw data'!$F:$F,)),IF($P129&gt;=3,INDEX('卡片raw data'!BC:BC,MATCH($D129,'卡片raw data'!$F:$F,)),INDEX('卡片raw data'!BB:BB,MATCH($D129,'卡片raw data'!$F:$F,)))),IF(OR(AND($F129="UR",$P129=0),AND($F129="SR",$P129&gt;=0,$P129&lt;=2),AND($F129="R",$P129&gt;=0,$P129&lt;4)),INDEX('卡片raw data'!AZ:AZ,MATCH($D129,'卡片raw data'!$F:$F,)),0)+IF(OR(AND($F129="UR",$P129&gt;=1,$P129&lt;=4),AND($F129="SR",$P129&lt;=4,$P129&gt;=3),AND($F129="R",$P129=4)),INDEX('卡片raw data'!BA:BA,MATCH($D129,'卡片raw data'!$F:$F,)),0)+IF($P129=5,INDEX('卡片raw data'!BB:BB,MATCH($D129,'卡片raw data'!$F:$F,)),0)))</f>
        <v>7.0000000000000007E-2</v>
      </c>
      <c r="BT129" s="1101">
        <f t="shared" si="122"/>
        <v>514.14885179644693</v>
      </c>
      <c r="BU129" s="1097">
        <f t="shared" si="123"/>
        <v>18.477820491036621</v>
      </c>
      <c r="BV129" s="1097">
        <f t="shared" si="124"/>
        <v>0</v>
      </c>
      <c r="BW129" s="1112">
        <f t="shared" si="125"/>
        <v>0</v>
      </c>
      <c r="BX129" s="1100">
        <f t="shared" si="126"/>
        <v>514.14885179644693</v>
      </c>
      <c r="BY129" s="1110">
        <f t="shared" si="127"/>
        <v>0</v>
      </c>
      <c r="BZ129" s="1107" t="s">
        <v>569</v>
      </c>
      <c r="CA129" s="1124"/>
      <c r="CB129" s="1098">
        <f>IF($P129="","N/A",IF($P129=-1,INDEX('卡片raw data'!BE:BE,MATCH($D129,'卡片raw data'!$F:$F,)),0)+IF($L129="party卡",IF($P129=5,INDEX('卡片raw data'!BK:BK,MATCH($D129,'卡片raw data'!$F:$F,)),IF($P129&gt;=3,INDEX('卡片raw data'!BJ:BJ,MATCH($D129,'卡片raw data'!$F:$F,)),INDEX('卡片raw data'!BI:BI,MATCH($D129,'卡片raw data'!$F:$F,)))),IF(OR(AND($F129="UR",$P129=0),AND($F129="SR",$P129&gt;=0,$P129&lt;=2),AND($F129="R",$P129&gt;=0,$P129&lt;4)),INDEX('卡片raw data'!BG:BG,MATCH($D129,'卡片raw data'!$F:$F,)),0)+IF(OR(AND($F129="UR",$P129&gt;=1,$P129&lt;=4),AND($F129="SR",$P129&lt;=4,$P129&gt;=3),AND($F129="R",$P129=4)),INDEX('卡片raw data'!BH:BH,MATCH($D129,'卡片raw data'!$F:$F,)),0)+IF($P129=5,INDEX('卡片raw data'!BI:BI,MATCH($D129,'卡片raw data'!$F:$F,)),0)))</f>
        <v>0</v>
      </c>
      <c r="CC129" s="1101">
        <f t="shared" si="128"/>
        <v>0</v>
      </c>
      <c r="CD129" s="1097">
        <f>IF(BZ129="ap",CB129*(1-$FI$26)*$FB$5/$FB$11*(+IF(CA129="全员",$FA$24,0)+IF(CA129="同作战",$FA$24,0)+IF(CA129="仲间",$FA$24*2/3,0)+IF(CA129="同属性",$FA$24*$FA$37/3,0)+IF(CA129="同年级",$FA$24*$FA$40/3,0)+IF(CA129="同学校",$FA$24*$FA$43/3,0)+IF(CA129="同小队",$FA$24*$FA$46/3,0)+IF(CA129="同type",$FA$24*INDEX($FB$49:$FB$52,MATCH(X129,$FA$49:$FA$52,))/3,0)+IF(CA129="自身",#REF!/3,0)),0)+IF(BZ129="te",CB129*(1-$FI$27)*($FA$20-1)*$FB$7/$FB$13*(+IF(CA129="全员",$FA$19*$FA$24/(1+($FA$20-1)*$FA$19),0)+IF(CA129="同作战",$FA$19*$FA$24/(1+($FA$20-1)*$FA$19),0)+IF(CA129="仲间",$FA$19*$FA$24*2/3/(1+($FA$20-1)*$FA$19),0)+IF(CA129="同属性",$FA$19*$FA$24*$FA$37/3/(1+($FA$20-1)*$FA$19),0)+IF(CA129="同年级",$FA$19*$FA$24*$FA$40/3/(1+($FA$20-1)*$FA$19),0)+IF(CA129="同学校",$FA$19*$FA$24*$FA$43/3/(1+($FA$20-1)*$FA$19),0)+IF(CA129="同小队",$FA$19*$FA$24*$FA$46/3/(1+($FA$20-1)*$FA$19),0)+IF(CA129="同type",$FA$19*$FA$24*INDEX($FB$49:$FB$52,MATCH(X129,$FA$49:$FA$52,))/3/(1+($FA$20-1)*$FA$19),0)+IF(CA129="自身",$FA$19*#REF!/3/(1+(BH129-1)*$BD129),0)),0)</f>
        <v>0</v>
      </c>
      <c r="CE129" s="1097">
        <f t="shared" si="129"/>
        <v>0</v>
      </c>
      <c r="CF129" s="1112">
        <f t="shared" si="130"/>
        <v>0</v>
      </c>
      <c r="CG129" s="1100">
        <f t="shared" si="131"/>
        <v>0</v>
      </c>
      <c r="CH129" s="1110">
        <f t="shared" si="132"/>
        <v>0</v>
      </c>
      <c r="CI129" s="1113" t="s">
        <v>571</v>
      </c>
      <c r="CJ129" s="1114">
        <v>0.3</v>
      </c>
      <c r="CK129" s="1115" t="s">
        <v>566</v>
      </c>
      <c r="CL129" s="1115" t="s">
        <v>178</v>
      </c>
      <c r="CM129" s="1119">
        <v>0.1</v>
      </c>
      <c r="CN129" s="1115">
        <v>10</v>
      </c>
      <c r="CO129" s="1092"/>
      <c r="CP129" s="1117">
        <f t="shared" si="133"/>
        <v>0</v>
      </c>
      <c r="CQ129" s="1117">
        <f t="shared" si="134"/>
        <v>0</v>
      </c>
      <c r="CR129" s="1117">
        <f t="shared" si="135"/>
        <v>0</v>
      </c>
      <c r="CS129" s="1118">
        <f t="shared" si="136"/>
        <v>0</v>
      </c>
      <c r="CT129" s="1109">
        <f t="shared" si="137"/>
        <v>0</v>
      </c>
      <c r="CU129" s="1101">
        <f t="shared" si="138"/>
        <v>0</v>
      </c>
      <c r="CV129" s="1108">
        <f t="shared" si="139"/>
        <v>0</v>
      </c>
      <c r="CW129" s="1097">
        <f t="shared" si="140"/>
        <v>0</v>
      </c>
      <c r="CX129" s="1097">
        <f t="shared" si="141"/>
        <v>0</v>
      </c>
      <c r="CY129" s="1110">
        <f t="shared" si="142"/>
        <v>0</v>
      </c>
      <c r="CZ129" s="437"/>
      <c r="DA129" s="438"/>
      <c r="DB129" s="439" t="s">
        <v>569</v>
      </c>
      <c r="DC129" s="439"/>
      <c r="DD129" s="443"/>
      <c r="DE129" s="411"/>
      <c r="DF129" s="411"/>
      <c r="DG129" s="1116">
        <f t="shared" si="143"/>
        <v>0</v>
      </c>
      <c r="DH129" s="1116">
        <f t="shared" si="144"/>
        <v>0</v>
      </c>
      <c r="DI129" s="1116">
        <f t="shared" si="145"/>
        <v>0</v>
      </c>
      <c r="DJ129" s="442">
        <f t="shared" si="146"/>
        <v>0</v>
      </c>
      <c r="DK129" s="1109">
        <f t="shared" si="147"/>
        <v>0</v>
      </c>
      <c r="DL129" s="1101">
        <f t="shared" si="148"/>
        <v>0</v>
      </c>
      <c r="DM129" s="1097">
        <f t="shared" si="149"/>
        <v>0</v>
      </c>
      <c r="DN129" s="1097">
        <f t="shared" si="150"/>
        <v>0</v>
      </c>
      <c r="DO129" s="1097">
        <f t="shared" si="151"/>
        <v>0</v>
      </c>
      <c r="DP129" s="1110">
        <f t="shared" si="152"/>
        <v>0</v>
      </c>
      <c r="DQ129" s="1113" t="s">
        <v>545</v>
      </c>
      <c r="DR129" s="1120">
        <f t="shared" si="153"/>
        <v>0.3</v>
      </c>
      <c r="DS129" s="1124"/>
      <c r="DT129" s="1093" t="s">
        <v>548</v>
      </c>
      <c r="DU129" s="1093"/>
      <c r="DV129" s="1098">
        <f>IF($P129="","N/A",IF(P129=-1,INDEX('卡片raw data'!AN:AN,MATCH(D129,'卡片raw data'!$F:$F,)),0)+IF(AND(L129&lt;&gt;"party卡",P129&lt;=2,P129&gt;=0),INDEX('卡片raw data'!AP:AP,MATCH(D129,'卡片raw data'!$F:$F,)),0)+IF(OR(AND(L129="party卡",P129&lt;=1),AND(P129&lt;=4,L129&lt;&gt;"party卡",P129&gt;=3)),INDEX('卡片raw data'!AQ:AQ,MATCH(D129,'卡片raw data'!$F:$F,)),0)+IF(OR(P129=5,AND(L129="party卡",P129&gt;=2)),INDEX('卡片raw data'!AR:AR,MATCH(D129,'卡片raw data'!$F:$F,)),0))</f>
        <v>0.37</v>
      </c>
      <c r="DW129" s="1098">
        <f t="shared" si="154"/>
        <v>0.3</v>
      </c>
      <c r="DX129" s="1098">
        <f t="shared" si="155"/>
        <v>0.3</v>
      </c>
      <c r="DY129" s="1125">
        <f t="shared" si="156"/>
        <v>810.73807770747987</v>
      </c>
      <c r="DZ129" s="1125">
        <f t="shared" si="157"/>
        <v>634.42085546198462</v>
      </c>
      <c r="EA129" s="1098">
        <f t="shared" si="158"/>
        <v>0</v>
      </c>
      <c r="EB129" s="1121">
        <f t="shared" si="159"/>
        <v>0</v>
      </c>
      <c r="EC129" s="1101">
        <f t="shared" si="160"/>
        <v>891.81188547822796</v>
      </c>
      <c r="ED129" s="1097">
        <f t="shared" si="161"/>
        <v>634.42085546198462</v>
      </c>
      <c r="EE129" s="1110">
        <f t="shared" si="162"/>
        <v>891.81188547822796</v>
      </c>
      <c r="EF129" s="1092" t="s">
        <v>711</v>
      </c>
      <c r="EG129" s="1120">
        <f t="shared" si="163"/>
        <v>0.3</v>
      </c>
      <c r="EH129" s="1124"/>
      <c r="EI129" s="1093"/>
      <c r="EJ129" s="1093"/>
      <c r="EK129" s="1097">
        <f>IF($P129="","N/A",IF(P129=-1,INDEX('卡片raw data'!AS:AS,MATCH(D129,'卡片raw data'!$F:$F,)),0)+IF(AND(L129&lt;&gt;"party卡",P129&lt;=2,P129&gt;=0),INDEX('卡片raw data'!AU:AU,MATCH(D129,'卡片raw data'!$F:$F,)),0)+IF(OR(AND(L129="party卡",P129&lt;=1),AND(P129&lt;=4,L129&lt;&gt;"party卡",P129&gt;=3)),INDEX('卡片raw data'!AV:AV,MATCH(D129,'卡片raw data'!$F:$F,)),0)+IF(OR(P129=5,AND(L129="party卡",P129&gt;=2)),INDEX('卡片raw data'!AW:AW,MATCH(D129,'卡片raw data'!$F:$F,)),0))</f>
        <v>0</v>
      </c>
      <c r="EL129" s="1098">
        <f t="shared" si="164"/>
        <v>0.3</v>
      </c>
      <c r="EM129" s="1098">
        <f t="shared" si="165"/>
        <v>0.3</v>
      </c>
      <c r="EN129" s="1125">
        <f t="shared" si="166"/>
        <v>0</v>
      </c>
      <c r="EO129" s="1125">
        <f t="shared" si="167"/>
        <v>0</v>
      </c>
      <c r="EP129" s="1098">
        <f t="shared" si="168"/>
        <v>0</v>
      </c>
      <c r="EQ129" s="1121">
        <f t="shared" si="169"/>
        <v>0</v>
      </c>
      <c r="ER129" s="1101">
        <f t="shared" si="170"/>
        <v>0</v>
      </c>
      <c r="ES129" s="1097">
        <f t="shared" si="171"/>
        <v>0</v>
      </c>
      <c r="ET129" s="1122">
        <f t="shared" si="172"/>
        <v>0</v>
      </c>
    </row>
    <row r="130" spans="2:150" ht="16.5" customHeight="1">
      <c r="B130" s="1123" t="str">
        <f>INDEX('卡片raw data'!B:B,MATCH($D130,'卡片raw data'!$F:$F,))</f>
        <v>fes1姬</v>
      </c>
      <c r="C130" s="449" t="s">
        <v>22</v>
      </c>
      <c r="D130" s="408">
        <v>127</v>
      </c>
      <c r="E130" s="1090">
        <v>200063001</v>
      </c>
      <c r="F130" s="1090" t="str">
        <f>INDEX('卡片raw data'!C:C,MATCH($D130,'卡片raw data'!$F:$F,))</f>
        <v>UR</v>
      </c>
      <c r="G130" s="1094" t="s">
        <v>29</v>
      </c>
      <c r="H130" s="411">
        <f>IFERROR(INDEX(绊状态确认!C:C,MATCH($G130,绊状态确认!$B:$B,)),"")</f>
        <v>6</v>
      </c>
      <c r="I130" s="450" t="str">
        <f>IFERROR(INDEX(绊状态确认!D:D,MATCH($G130,绊状态确认!$B:$B,)),"")</f>
        <v>缪</v>
      </c>
      <c r="J130" s="450" t="str">
        <f>IFERROR(INDEX(绊状态确认!E:E,MATCH($G130,绊状态确认!$B:$B,)),"")</f>
        <v>1年级</v>
      </c>
      <c r="K130" s="451" t="str">
        <f>IFERROR(INDEX(绊状态确认!F:F,MATCH($G130,绊状态确认!$B:$B,)),"")</f>
        <v>BiBi</v>
      </c>
      <c r="L130" s="1094" t="str">
        <f>INDEX('卡片raw data'!E:E,MATCH($D130,'卡片raw data'!$F:$F,))</f>
        <v>fes卡</v>
      </c>
      <c r="M130" s="415">
        <v>43799</v>
      </c>
      <c r="N130" s="416">
        <v>4.5</v>
      </c>
      <c r="O130" s="1091" t="str">
        <f>INDEX('卡片raw data'!D:D,MATCH($D130,'卡片raw data'!$F:$F,))</f>
        <v>gd</v>
      </c>
      <c r="P130" s="417">
        <v>5</v>
      </c>
      <c r="Q130" s="1095">
        <f t="shared" si="88"/>
        <v>27681.968743672769</v>
      </c>
      <c r="R130" s="1096">
        <f t="shared" si="89"/>
        <v>0.32100000000000001</v>
      </c>
      <c r="S130" s="1097">
        <f t="shared" si="90"/>
        <v>15188.066244294128</v>
      </c>
      <c r="T130" s="1098">
        <f t="shared" si="91"/>
        <v>0.75900000000000001</v>
      </c>
      <c r="U130" s="1099">
        <f t="shared" si="92"/>
        <v>131.41090298285712</v>
      </c>
      <c r="V130" s="1100">
        <f t="shared" si="93"/>
        <v>41290.81630467053</v>
      </c>
      <c r="W130" s="1101">
        <f t="shared" si="94"/>
        <v>6010.2953161679998</v>
      </c>
      <c r="X130" s="1096">
        <f t="shared" si="95"/>
        <v>6.9000000000000006E-2</v>
      </c>
      <c r="Y130" s="1097">
        <f t="shared" si="96"/>
        <v>4321.4099463099828</v>
      </c>
      <c r="Z130" s="1102">
        <f t="shared" si="97"/>
        <v>52.785902982857145</v>
      </c>
      <c r="AA130" s="1103">
        <f t="shared" si="98"/>
        <v>10331.705262477983</v>
      </c>
      <c r="AB130" s="1101">
        <f t="shared" si="99"/>
        <v>6010.2953161679998</v>
      </c>
      <c r="AC130" s="1104">
        <f t="shared" si="100"/>
        <v>6.9000000000000006E-2</v>
      </c>
      <c r="AD130" s="1105">
        <f t="shared" si="101"/>
        <v>0</v>
      </c>
      <c r="AE130" s="1128">
        <f t="shared" si="102"/>
        <v>-6.25</v>
      </c>
      <c r="AF130" s="1130">
        <f t="shared" si="103"/>
        <v>0</v>
      </c>
      <c r="AG130" s="420">
        <f t="shared" si="104"/>
        <v>0</v>
      </c>
      <c r="AH130" s="420">
        <f t="shared" si="105"/>
        <v>0</v>
      </c>
      <c r="AI130" s="1097">
        <f t="shared" si="106"/>
        <v>0</v>
      </c>
      <c r="AJ130" s="420">
        <f t="shared" si="107"/>
        <v>0</v>
      </c>
      <c r="AK130" s="518">
        <f t="shared" si="108"/>
        <v>0</v>
      </c>
      <c r="AL130" s="1106">
        <f>IF($P130="","N/A",(IF($P130=-1,INDEX('卡片raw data'!S:S,MATCH($D130,'卡片raw data'!$F:$F,)),0)+IF($P130=0,INDEX('卡片raw data'!V:V,MATCH($D130,'卡片raw data'!$F:$F,)),0)+IF($P130=1,INDEX('卡片raw data'!Y:Y,MATCH($D130,'卡片raw data'!$F:$F,)),0)+IF($P130=2,INDEX('卡片raw data'!AB:AB,MATCH($D130,'卡片raw data'!$F:$F,)),0)+IF($P130=3,INDEX('卡片raw data'!AE:AE,MATCH($D130,'卡片raw data'!$F:$F,)),0)+IF($P130=4,INDEX('卡片raw data'!AH:AH,MATCH($D130,'卡片raw data'!$F:$F,)),0)+IF($P130=5,INDEX('卡片raw data'!AK:AK,MATCH($D130,'卡片raw data'!$F:$F,)),0)+INDEX('卡片raw data'!S:S,MATCH($D130,'卡片raw data'!$F:$F,))*(IF($F130="UR",0.04,0.033))*(IF($F130="UR",INDEX(绊状态确认!$S:$S,MATCH($G130,绊状态确认!$B:$B,))/2-40)+IF($F130="SR",INDEX(绊状态确认!$R:$R,MATCH($G130,绊状态确认!$B:$B,))/4-15))+IF($F130="R",INDEX(绊状态确认!$Q:$Q,MATCH($G130,绊状态确认!$B:$B,))/6-40/6)))*(INDEX(绊状态确认!$H:$H,MATCH($G130,绊状态确认!$B:$B,))+INDEX(绊状态确认!J:J,MATCH($G130,绊状态确认!$B:$B,)))</f>
        <v>6854.764799999999</v>
      </c>
      <c r="AM130" s="1106">
        <f>IF($P130="","N/A",(IF($P130=-1,INDEX('卡片raw data'!T:T,MATCH($D130,'卡片raw data'!$F:$F,)),0)+IF($P130=0,INDEX('卡片raw data'!W:W,MATCH($D130,'卡片raw data'!$F:$F,)),0)+IF($P130=1,INDEX('卡片raw data'!Z:Z,MATCH($D130,'卡片raw data'!$F:$F,)),0)+IF($P130=2,INDEX('卡片raw data'!AC:AC,MATCH($D130,'卡片raw data'!$F:$F,)),0)+IF($P130=3,INDEX('卡片raw data'!AF:AF,MATCH($D130,'卡片raw data'!$F:$F,)),0)+IF($P130=4,INDEX('卡片raw data'!AI:AI,MATCH($D130,'卡片raw data'!$F:$F,)),0)+IF($P130=5,INDEX('卡片raw data'!AL:AL,MATCH($D130,'卡片raw data'!$F:$F,)),0)+INDEX('卡片raw data'!T:T,MATCH($D130,'卡片raw data'!$F:$F,))*(IF($F130="UR",0.04,0.033))*(IF($F130="UR",INDEX(绊状态确认!$S:$S,MATCH($G130,绊状态确认!$B:$B,))/2-40)+IF($F130="SR",INDEX(绊状态确认!$R:$R,MATCH($G130,绊状态确认!$B:$B,))/4-15))+IF($F130="R",INDEX(绊状态确认!$Q:$Q,MATCH($G130,绊状态确认!$B:$B,))/6-40/6)))*(INDEX(绊状态确认!$H:$H,MATCH($G130,绊状态确认!$B:$B,))+INDEX(绊状态确认!K:K,MATCH($G130,绊状态确认!$B:$B,)))</f>
        <v>17136.911999999997</v>
      </c>
      <c r="AN130" s="1106">
        <f>IF($P130="","N/A",(IF($P130=-1,INDEX('卡片raw data'!U:U,MATCH($D130,'卡片raw data'!$F:$F,)),0)+IF($P130=0,INDEX('卡片raw data'!X:X,MATCH($D130,'卡片raw data'!$F:$F,)),0)+IF($P130=1,INDEX('卡片raw data'!AA:AA,MATCH($D130,'卡片raw data'!$F:$F,)),0)+IF($P130=2,INDEX('卡片raw data'!AD:AD,MATCH($D130,'卡片raw data'!$F:$F,)),0)+IF($P130=3,INDEX('卡片raw data'!AG:AG,MATCH($D130,'卡片raw data'!$F:$F,)),0)+IF($P130=4,INDEX('卡片raw data'!AJ:AJ,MATCH($D130,'卡片raw data'!$F:$F,)),0)+IF($P130=5,INDEX('卡片raw data'!AM:AM,MATCH($D130,'卡片raw data'!$F:$F,)),0)+INDEX('卡片raw data'!U:U,MATCH($D130,'卡片raw data'!$F:$F,))*(IF($F130="UR",0.04,0.033))*(IF($F130="UR",INDEX(绊状态确认!$S:$S,MATCH($G130,绊状态确认!$B:$B,))/2-40)+IF($F130="SR",INDEX(绊状态确认!$R:$R,MATCH($G130,绊状态确认!$B:$B,))/4-15))+IF($F130="R",INDEX(绊状态确认!$Q:$Q,MATCH($G130,绊状态确认!$B:$B,))/6-40/6)))*(INDEX(绊状态确认!$H:$H,MATCH($G130,绊状态确认!$B:$B,))+INDEX(绊状态确认!L:L,MATCH($G130,绊状态确认!$B:$B,)))</f>
        <v>10282.147199999999</v>
      </c>
      <c r="AO130" s="1107">
        <f t="shared" si="109"/>
        <v>1</v>
      </c>
      <c r="AP130" s="1131">
        <f>1+(INDEX(绊状态确认!$T:$T,MATCH($G130,绊状态确认!$B:$B,))+0.2)*$AO130</f>
        <v>1.3</v>
      </c>
      <c r="AQ130" s="1108">
        <f t="shared" si="110"/>
        <v>21243.757599999997</v>
      </c>
      <c r="AR130" s="1097">
        <f>(AM130*(1+$EX$9)+$EX$35)*(1+(INDEX(绊状态确认!$T:$T,MATCH($G130,绊状态确认!$B:$B,))+0.2)*AO130)*IF(J130=$FF$17,1+$FE$17,1)*IF(I130=$FF$14,1+$FE$14,1)*(1+$FE$15)</f>
        <v>26095.884879999998</v>
      </c>
      <c r="AS130" s="1097">
        <f>(AN130*(1+$EX$10)+$EX$36)*(1+(INDEX(绊状态确认!$T:$T,MATCH($G130,绊状态确认!$B:$B,))+0.2)*AO130)*IF(J130=$FF$17,1+$FE$17,1)*IF(I130=$FF$14,1+$FE$14,1)*(1+$FE$15)</f>
        <v>19427.810063999998</v>
      </c>
      <c r="AT130" s="1093">
        <f>IF(AND(INDEX('卡片raw data'!AK:AK,MATCH($D130,'卡片raw data'!$F:$F,))&lt;INDEX('卡片raw data'!AM:AM,MATCH($D130,'卡片raw data'!$F:$F,)),INDEX('卡片raw data'!AL:AL,MATCH($D130,'卡片raw data'!$F:$F,))&lt;INDEX('卡片raw data'!AM:AM,MATCH($D130,'卡片raw data'!$F:$F,))),1,0)</f>
        <v>0</v>
      </c>
      <c r="AU130" s="1098">
        <f>MIN(AT130*0.15+AS130*0.00003+INDEX(绊状态确认!M:M,MATCH($G130,绊状态确认!$B:$B,)),1)</f>
        <v>0.61283430191999999</v>
      </c>
      <c r="AV130" s="1109">
        <f>(INDEX(绊状态确认!$N:$N,MATCH($G130,绊状态确认!$B:$B,))+1.5)*$EW$21</f>
        <v>2.6599999999999997</v>
      </c>
      <c r="AW130" s="1101">
        <f t="shared" si="111"/>
        <v>22256.673427504771</v>
      </c>
      <c r="AX130" s="1097">
        <f t="shared" si="112"/>
        <v>2305.9279192310087</v>
      </c>
      <c r="AY130" s="1110">
        <f t="shared" si="113"/>
        <v>24562.601346735781</v>
      </c>
      <c r="AZ130" s="429">
        <f t="shared" si="114"/>
        <v>15966.791359999997</v>
      </c>
      <c r="BA130" s="431">
        <f t="shared" si="115"/>
        <v>19160.149631999997</v>
      </c>
      <c r="BB130" s="1097">
        <f>(AM130*(1+$FB$9)+$FB$35)*(1+(INDEX(绊状态确认!$T:$T,MATCH($G130,绊状态确认!$B:$B,))+0.2)*AO130)*IF(J130=$FF$17,1+$FE$17,1)*IF(I130=$FF$14,1+$FE$14,1)*(1+$FE$15)</f>
        <v>26095.884879999998</v>
      </c>
      <c r="BC130" s="1097">
        <f>(AN130*(1+$FB$10)+$FB$36)*(1+(INDEX(绊状态确认!$T:$T,MATCH($G130,绊状态确认!$B:$B,))+0.2)*AO130)*IF(J130=$FF$17,1+$FE$17,1)*IF(I130=$FF$14,1+$FE$14,1)*(1+$FE$15)</f>
        <v>19427.810063999998</v>
      </c>
      <c r="BD130" s="1104">
        <f>MIN(AT130*0.15+BC130*0.00003+INDEX(绊状态确认!M:M,MATCH($G130,绊状态确认!$B:$B,)),1)</f>
        <v>0.61283430191999999</v>
      </c>
      <c r="BE130" s="432">
        <f>(INDEX(绊状态确认!$N:$N,MATCH($G130,绊状态确认!$B:$B,))+1.5)</f>
        <v>1.9</v>
      </c>
      <c r="BF130" s="1139">
        <f t="array" ref="BF130">SUMPRODUCT(IF(AZ130*AP130*$FI$16:$FI$23*$FA$22&gt;=$FI$24,$FI$24,AZ130*AP130*$FI$16:$FI$23*$FA$22),$FJ$16:$FJ$23)</f>
        <v>31757.948015039998</v>
      </c>
      <c r="BG130" s="1125">
        <f t="array" ref="BG130">SUMPRODUCT(IF(BE130*AZ130*AP130*$FI$16:$FI$23*$FA$22&gt;=$FI$24,$FI$24,BE130*AZ130*AP130*$FI$16:$FI$23*$FA$22),$FJ$16:$FJ$23)</f>
        <v>56733.518967135999</v>
      </c>
      <c r="BH130" s="1110">
        <f t="shared" si="116"/>
        <v>15687.944868173727</v>
      </c>
      <c r="BI130" s="1111">
        <f>IF(O130="vo",$EW$26/$EW$24*0.05,0)+IF(O130="sk",-$EW$26/$EW$24*(0.05-INDEX(绊状态确认!W:W,MATCH($G130,绊状态确认!$B:$B,)))+0.05*$EW$28,0)+IF(O130="sp",0.05*$EW$32*$EW$30*(1-$EW$33)-(0.05-INDEX(绊状态确认!V:V,MATCH($G130,绊状态确认!$B:$B,)))*$EW$28,0)+IF(O130="gd",-(0.05-INDEX(绊状态确认!X:X,MATCH($G130,绊状态确认!$B:$B,)))*$EW$32*$EW$30*(1-$EW$33),0)</f>
        <v>-585.00000000000011</v>
      </c>
      <c r="BJ130" s="1097">
        <f>IF(O130="vo",0.05*(1-$FI$26)*$FA$24,0)+IF(O130="sk",-(0.05-INDEX(绊状态确认!W:W,MATCH($G130,绊状态确认!$B:$B,)))*(1-$FI$26)*$FA$24+0.05*$FA$26,0)+IF(O130="sp",0.05*$FA$32*$FA$27*(1-$FA$33)/$FA$30+0.05*$FA$29/$FA$69*$FA$27*(1-$FA$33)-(0.05-INDEX(绊状态确认!V:V,MATCH($G130,绊状态确认!$B:$B,)))*$FA$26,0)+IF(O130="gd",-(0.05-INDEX(绊状态确认!X:X,MATCH($G130,绊状态确认!$B:$B,)))*$FA$32*$FA$27*(1-$FA$33)/$FA$30-(0.05-INDEX(绊状态确认!X:X,MATCH($G130,绊状态确认!$B:$B,)))*$FA$29/$FA$69*$FA$27*(1-$FA$33),0)</f>
        <v>-795.00000000000011</v>
      </c>
      <c r="BK130" s="1110">
        <f>IF(O130="vo",$EW$26/$EW$24*0.05+$EW$26*(-HP($EW$62,$EW$65,$EW$64)+HP($EW$62,$EW$65,(1.05-INDEX(绊状态确认!U:U,MATCH($G130,绊状态确认!$B:$B,)))*$EW$64)),0)+IF(O130="sk",-$EW$26/$EW$24*(0.05-INDEX(绊状态确认!W:W,MATCH($G130,绊状态确认!$B:$B,)))+0.05*$EW$29,0)+IF(O130="sp",0.05*$EW$32*$EW$30*(1-$EW$33)-(0.05-INDEX(绊状态确认!V:V,MATCH($G130,绊状态确认!$B:$B,)))*$EW$29,0)+IF(O130="gd",-(0.05-INDEX(绊状态确认!X:X,MATCH($G130,绊状态确认!$B:$B,)))*$EW$32*$EW$30*(1-$EW$33)+$EW$26*(-HP($EW$62,$EW$65,$EW$64)+HP($EW$62,$EW$65,0.95*$EW$64)),0)</f>
        <v>1009.5947725176144</v>
      </c>
      <c r="BL130" s="1111">
        <f t="shared" si="117"/>
        <v>0</v>
      </c>
      <c r="BM130" s="1110">
        <f t="shared" si="118"/>
        <v>0</v>
      </c>
      <c r="BN130" s="1113">
        <f t="shared" si="119"/>
        <v>4</v>
      </c>
      <c r="BO130" s="1097">
        <f t="shared" si="120"/>
        <v>6010.2953161679998</v>
      </c>
      <c r="BP130" s="1100">
        <f t="shared" si="121"/>
        <v>295.12137612040135</v>
      </c>
      <c r="BQ130" s="1113" t="s">
        <v>144</v>
      </c>
      <c r="BR130" s="1124" t="s">
        <v>146</v>
      </c>
      <c r="BS130" s="1098">
        <f>IF($P130="","N/A",IF($P130=-1,INDEX('卡片raw data'!AX:AX,MATCH($D130,'卡片raw data'!$F:$F,)),0)+IF($L130="party卡",IF($P130=5,INDEX('卡片raw data'!BD:BD,MATCH($D130,'卡片raw data'!$F:$F,)),IF($P130&gt;=3,INDEX('卡片raw data'!BC:BC,MATCH($D130,'卡片raw data'!$F:$F,)),INDEX('卡片raw data'!BB:BB,MATCH($D130,'卡片raw data'!$F:$F,)))),IF(OR(AND($F130="UR",$P130=0),AND($F130="SR",$P130&gt;=0,$P130&lt;=2),AND($F130="R",$P130&gt;=0,$P130&lt;4)),INDEX('卡片raw data'!AZ:AZ,MATCH($D130,'卡片raw data'!$F:$F,)),0)+IF(OR(AND($F130="UR",$P130&gt;=1,$P130&lt;=4),AND($F130="SR",$P130&lt;=4,$P130&gt;=3),AND($F130="R",$P130=4)),INDEX('卡片raw data'!BA:BA,MATCH($D130,'卡片raw data'!$F:$F,)),0)+IF($P130=5,INDEX('卡片raw data'!BB:BB,MATCH($D130,'卡片raw data'!$F:$F,)),0)))</f>
        <v>7.0000000000000007E-2</v>
      </c>
      <c r="BT130" s="1101">
        <f t="shared" si="122"/>
        <v>0</v>
      </c>
      <c r="BU130" s="1097">
        <f t="shared" si="123"/>
        <v>0</v>
      </c>
      <c r="BV130" s="1097">
        <f t="shared" si="124"/>
        <v>0</v>
      </c>
      <c r="BW130" s="1112">
        <f t="shared" si="125"/>
        <v>2.4581249999999999</v>
      </c>
      <c r="BX130" s="1100">
        <f t="shared" si="126"/>
        <v>192.3373892964872</v>
      </c>
      <c r="BY130" s="1110">
        <f t="shared" si="127"/>
        <v>192.3373892964872</v>
      </c>
      <c r="BZ130" s="1107" t="s">
        <v>569</v>
      </c>
      <c r="CA130" s="1124"/>
      <c r="CB130" s="1098">
        <f>IF($P130="","N/A",IF($P130=-1,INDEX('卡片raw data'!BE:BE,MATCH($D130,'卡片raw data'!$F:$F,)),0)+IF($L130="party卡",IF($P130=5,INDEX('卡片raw data'!BK:BK,MATCH($D130,'卡片raw data'!$F:$F,)),IF($P130&gt;=3,INDEX('卡片raw data'!BJ:BJ,MATCH($D130,'卡片raw data'!$F:$F,)),INDEX('卡片raw data'!BI:BI,MATCH($D130,'卡片raw data'!$F:$F,)))),IF(OR(AND($F130="UR",$P130=0),AND($F130="SR",$P130&gt;=0,$P130&lt;=2),AND($F130="R",$P130&gt;=0,$P130&lt;4)),INDEX('卡片raw data'!BG:BG,MATCH($D130,'卡片raw data'!$F:$F,)),0)+IF(OR(AND($F130="UR",$P130&gt;=1,$P130&lt;=4),AND($F130="SR",$P130&lt;=4,$P130&gt;=3),AND($F130="R",$P130=4)),INDEX('卡片raw data'!BH:BH,MATCH($D130,'卡片raw data'!$F:$F,)),0)+IF($P130=5,INDEX('卡片raw data'!BI:BI,MATCH($D130,'卡片raw data'!$F:$F,)),0)))</f>
        <v>0</v>
      </c>
      <c r="CC130" s="1101">
        <f t="shared" si="128"/>
        <v>0</v>
      </c>
      <c r="CD130" s="1097">
        <f>IF(BZ130="ap",CB130*(1-$FI$26)*$FB$5/$FB$11*(+IF(CA130="全员",$FA$24,0)+IF(CA130="同作战",$FA$24,0)+IF(CA130="仲间",$FA$24*2/3,0)+IF(CA130="同属性",$FA$24*$FA$37/3,0)+IF(CA130="同年级",$FA$24*$FA$40/3,0)+IF(CA130="同学校",$FA$24*$FA$43/3,0)+IF(CA130="同小队",$FA$24*$FA$46/3,0)+IF(CA130="同type",$FA$24*INDEX($FB$49:$FB$52,MATCH(X130,$FA$49:$FA$52,))/3,0)+IF(CA130="自身",#REF!/3,0)),0)+IF(BZ130="te",CB130*(1-$FI$27)*($FA$20-1)*$FB$7/$FB$13*(+IF(CA130="全员",$FA$19*$FA$24/(1+($FA$20-1)*$FA$19),0)+IF(CA130="同作战",$FA$19*$FA$24/(1+($FA$20-1)*$FA$19),0)+IF(CA130="仲间",$FA$19*$FA$24*2/3/(1+($FA$20-1)*$FA$19),0)+IF(CA130="同属性",$FA$19*$FA$24*$FA$37/3/(1+($FA$20-1)*$FA$19),0)+IF(CA130="同年级",$FA$19*$FA$24*$FA$40/3/(1+($FA$20-1)*$FA$19),0)+IF(CA130="同学校",$FA$19*$FA$24*$FA$43/3/(1+($FA$20-1)*$FA$19),0)+IF(CA130="同小队",$FA$19*$FA$24*$FA$46/3/(1+($FA$20-1)*$FA$19),0)+IF(CA130="同type",$FA$19*$FA$24*INDEX($FB$49:$FB$52,MATCH(X130,$FA$49:$FA$52,))/3/(1+($FA$20-1)*$FA$19),0)+IF(CA130="自身",$FA$19*#REF!/3/(1+(BH130-1)*$BD130),0)),0)</f>
        <v>0</v>
      </c>
      <c r="CE130" s="1097">
        <f t="shared" si="129"/>
        <v>0</v>
      </c>
      <c r="CF130" s="1112">
        <f t="shared" si="130"/>
        <v>0</v>
      </c>
      <c r="CG130" s="1100">
        <f t="shared" si="131"/>
        <v>0</v>
      </c>
      <c r="CH130" s="1110">
        <f t="shared" si="132"/>
        <v>0</v>
      </c>
      <c r="CI130" s="1113" t="s">
        <v>162</v>
      </c>
      <c r="CJ130" s="1114">
        <v>0.4</v>
      </c>
      <c r="CK130" s="1115" t="s">
        <v>637</v>
      </c>
      <c r="CL130" s="1115" t="s">
        <v>1944</v>
      </c>
      <c r="CM130" s="1119">
        <v>0.1</v>
      </c>
      <c r="CN130" s="1115"/>
      <c r="CO130" s="1092"/>
      <c r="CP130" s="1116">
        <f t="shared" si="133"/>
        <v>22.367901325714286</v>
      </c>
      <c r="CQ130" s="1116">
        <f t="shared" si="134"/>
        <v>34.794513173333335</v>
      </c>
      <c r="CR130" s="1116">
        <f t="shared" si="135"/>
        <v>22.367901325714286</v>
      </c>
      <c r="CS130" s="1118">
        <f t="shared" si="136"/>
        <v>0</v>
      </c>
      <c r="CT130" s="1109">
        <f t="shared" si="137"/>
        <v>0</v>
      </c>
      <c r="CU130" s="1101">
        <f t="shared" si="138"/>
        <v>0</v>
      </c>
      <c r="CV130" s="1108">
        <f t="shared" si="139"/>
        <v>0</v>
      </c>
      <c r="CW130" s="1097">
        <f t="shared" si="140"/>
        <v>0</v>
      </c>
      <c r="CX130" s="1097">
        <f t="shared" si="141"/>
        <v>1823.1446377824877</v>
      </c>
      <c r="CY130" s="1110">
        <f t="shared" si="142"/>
        <v>1823.1446377824877</v>
      </c>
      <c r="CZ130" s="437"/>
      <c r="DA130" s="438"/>
      <c r="DB130" s="439" t="s">
        <v>569</v>
      </c>
      <c r="DC130" s="439"/>
      <c r="DD130" s="443"/>
      <c r="DE130" s="411"/>
      <c r="DF130" s="411"/>
      <c r="DG130" s="1116">
        <f t="shared" si="143"/>
        <v>0</v>
      </c>
      <c r="DH130" s="1116">
        <f t="shared" si="144"/>
        <v>0</v>
      </c>
      <c r="DI130" s="1116">
        <f t="shared" si="145"/>
        <v>0</v>
      </c>
      <c r="DJ130" s="442">
        <f t="shared" si="146"/>
        <v>0</v>
      </c>
      <c r="DK130" s="1109">
        <f t="shared" si="147"/>
        <v>0</v>
      </c>
      <c r="DL130" s="1101">
        <f t="shared" si="148"/>
        <v>0</v>
      </c>
      <c r="DM130" s="1097">
        <f t="shared" si="149"/>
        <v>0</v>
      </c>
      <c r="DN130" s="1097">
        <f t="shared" si="150"/>
        <v>0</v>
      </c>
      <c r="DO130" s="1097">
        <f t="shared" si="151"/>
        <v>0</v>
      </c>
      <c r="DP130" s="1110">
        <f t="shared" si="152"/>
        <v>0</v>
      </c>
      <c r="DQ130" s="1113" t="s">
        <v>158</v>
      </c>
      <c r="DR130" s="1120">
        <f t="shared" si="153"/>
        <v>0.33</v>
      </c>
      <c r="DS130" s="1124">
        <v>10</v>
      </c>
      <c r="DT130" s="1093" t="s">
        <v>161</v>
      </c>
      <c r="DU130" s="1093" t="s">
        <v>544</v>
      </c>
      <c r="DV130" s="1098">
        <f>IF($P130="","N/A",IF(P130=-1,INDEX('卡片raw data'!AN:AN,MATCH(D130,'卡片raw data'!$F:$F,)),0)+IF(AND(L130&lt;&gt;"party卡",P130&lt;=2,P130&gt;=0),INDEX('卡片raw data'!AP:AP,MATCH(D130,'卡片raw data'!$F:$F,)),0)+IF(OR(AND(L130="party卡",P130&lt;=1),AND(P130&lt;=4,L130&lt;&gt;"party卡",P130&gt;=3)),INDEX('卡片raw data'!AQ:AQ,MATCH(D130,'卡片raw data'!$F:$F,)),0)+IF(OR(P130=5,AND(L130="party卡",P130&gt;=2)),INDEX('卡片raw data'!AR:AR,MATCH(D130,'卡片raw data'!$F:$F,)),0))</f>
        <v>0.15</v>
      </c>
      <c r="DW130" s="1098">
        <f t="shared" si="154"/>
        <v>0.33</v>
      </c>
      <c r="DX130" s="1098">
        <f t="shared" si="155"/>
        <v>0.33</v>
      </c>
      <c r="DY130" s="1098">
        <f t="shared" si="156"/>
        <v>0.16500000000000001</v>
      </c>
      <c r="DZ130" s="1098">
        <f t="shared" si="157"/>
        <v>0.14272500000000002</v>
      </c>
      <c r="EA130" s="1098">
        <f t="shared" si="158"/>
        <v>0</v>
      </c>
      <c r="EB130" s="1121">
        <f t="shared" si="159"/>
        <v>0</v>
      </c>
      <c r="EC130" s="1101">
        <f t="shared" si="160"/>
        <v>0</v>
      </c>
      <c r="ED130" s="1097">
        <f t="shared" si="161"/>
        <v>0</v>
      </c>
      <c r="EE130" s="1110">
        <f t="shared" si="162"/>
        <v>7692.8428421701528</v>
      </c>
      <c r="EF130" s="1092" t="s">
        <v>711</v>
      </c>
      <c r="EG130" s="1120">
        <f t="shared" si="163"/>
        <v>0.33</v>
      </c>
      <c r="EH130" s="1124"/>
      <c r="EI130" s="1093"/>
      <c r="EJ130" s="1093"/>
      <c r="EK130" s="1097">
        <f>IF($P130="","N/A",IF(P130=-1,INDEX('卡片raw data'!AS:AS,MATCH(D130,'卡片raw data'!$F:$F,)),0)+IF(AND(L130&lt;&gt;"party卡",P130&lt;=2,P130&gt;=0),INDEX('卡片raw data'!AU:AU,MATCH(D130,'卡片raw data'!$F:$F,)),0)+IF(OR(AND(L130="party卡",P130&lt;=1),AND(P130&lt;=4,L130&lt;&gt;"party卡",P130&gt;=3)),INDEX('卡片raw data'!AV:AV,MATCH(D130,'卡片raw data'!$F:$F,)),0)+IF(OR(P130=5,AND(L130="party卡",P130&gt;=2)),INDEX('卡片raw data'!AW:AW,MATCH(D130,'卡片raw data'!$F:$F,)),0))</f>
        <v>0</v>
      </c>
      <c r="EL130" s="1098">
        <f t="shared" si="164"/>
        <v>0.33</v>
      </c>
      <c r="EM130" s="1098">
        <f t="shared" si="165"/>
        <v>0.33</v>
      </c>
      <c r="EN130" s="1125">
        <f t="shared" si="166"/>
        <v>0</v>
      </c>
      <c r="EO130" s="1125">
        <f t="shared" si="167"/>
        <v>0</v>
      </c>
      <c r="EP130" s="1098">
        <f t="shared" si="168"/>
        <v>0</v>
      </c>
      <c r="EQ130" s="1121">
        <f t="shared" si="169"/>
        <v>0</v>
      </c>
      <c r="ER130" s="1101">
        <f t="shared" si="170"/>
        <v>0</v>
      </c>
      <c r="ES130" s="1097">
        <f t="shared" si="171"/>
        <v>0</v>
      </c>
      <c r="ET130" s="1122">
        <f t="shared" si="172"/>
        <v>0</v>
      </c>
    </row>
    <row r="131" spans="2:150" ht="16.5" customHeight="1">
      <c r="B131" s="1123" t="str">
        <f>INDEX('卡片raw data'!B:B,MATCH($D131,'卡片raw data'!$F:$F,))</f>
        <v>fes1曜</v>
      </c>
      <c r="C131" s="449" t="s">
        <v>123</v>
      </c>
      <c r="D131" s="408">
        <v>128</v>
      </c>
      <c r="E131" s="1090">
        <v>201053001</v>
      </c>
      <c r="F131" s="1090" t="str">
        <f>INDEX('卡片raw data'!C:C,MATCH($D131,'卡片raw data'!$F:$F,))</f>
        <v>UR</v>
      </c>
      <c r="G131" s="1094" t="s">
        <v>37</v>
      </c>
      <c r="H131" s="411">
        <f>IFERROR(INDEX(绊状态确认!C:C,MATCH($G131,绊状态确认!$B:$B,)),"")</f>
        <v>105</v>
      </c>
      <c r="I131" s="450" t="str">
        <f>IFERROR(INDEX(绊状态确认!D:D,MATCH($G131,绊状态确认!$B:$B,)),"")</f>
        <v>水</v>
      </c>
      <c r="J131" s="450" t="str">
        <f>IFERROR(INDEX(绊状态确认!E:E,MATCH($G131,绊状态确认!$B:$B,)),"")</f>
        <v>2年级</v>
      </c>
      <c r="K131" s="451" t="str">
        <f>IFERROR(INDEX(绊状态确认!F:F,MATCH($G131,绊状态确认!$B:$B,)),"")</f>
        <v>CYaRon!</v>
      </c>
      <c r="L131" s="1094" t="str">
        <f>INDEX('卡片raw data'!E:E,MATCH($D131,'卡片raw data'!$F:$F,))</f>
        <v>fes卡</v>
      </c>
      <c r="M131" s="415">
        <v>43799</v>
      </c>
      <c r="N131" s="416">
        <v>4.5</v>
      </c>
      <c r="O131" s="1091" t="str">
        <f>INDEX('卡片raw data'!D:D,MATCH($D131,'卡片raw data'!$F:$F,))</f>
        <v>vo</v>
      </c>
      <c r="P131" s="417">
        <v>5</v>
      </c>
      <c r="Q131" s="1095">
        <f t="shared" si="88"/>
        <v>59765.358044543813</v>
      </c>
      <c r="R131" s="1096">
        <f t="shared" si="89"/>
        <v>0.69399999999999995</v>
      </c>
      <c r="S131" s="1097">
        <f t="shared" si="90"/>
        <v>20476.556063763121</v>
      </c>
      <c r="T131" s="1098">
        <f t="shared" si="91"/>
        <v>1.0229999999999999</v>
      </c>
      <c r="U131" s="1099">
        <f t="shared" si="92"/>
        <v>-3.6437660088571491</v>
      </c>
      <c r="V131" s="1100">
        <f t="shared" si="93"/>
        <v>60172.787843993443</v>
      </c>
      <c r="W131" s="1101">
        <f t="shared" si="94"/>
        <v>6055.7498616225448</v>
      </c>
      <c r="X131" s="1096">
        <f t="shared" si="95"/>
        <v>7.0000000000000007E-2</v>
      </c>
      <c r="Y131" s="1097">
        <f t="shared" si="96"/>
        <v>1712.0982496913366</v>
      </c>
      <c r="Z131" s="1102">
        <f t="shared" si="97"/>
        <v>21.356233991142851</v>
      </c>
      <c r="AA131" s="1103">
        <f t="shared" si="98"/>
        <v>7767.8481113138814</v>
      </c>
      <c r="AB131" s="1101">
        <f t="shared" si="99"/>
        <v>6055.7498616225448</v>
      </c>
      <c r="AC131" s="1104">
        <f t="shared" si="100"/>
        <v>7.0000000000000007E-2</v>
      </c>
      <c r="AD131" s="1105">
        <f t="shared" si="101"/>
        <v>7.6874999999999999E-2</v>
      </c>
      <c r="AE131" s="1128">
        <f t="shared" si="102"/>
        <v>37.397385223472185</v>
      </c>
      <c r="AF131" s="1130">
        <f t="shared" si="103"/>
        <v>0</v>
      </c>
      <c r="AG131" s="420">
        <f t="shared" si="104"/>
        <v>0</v>
      </c>
      <c r="AH131" s="420">
        <f t="shared" si="105"/>
        <v>0</v>
      </c>
      <c r="AI131" s="1097">
        <f t="shared" si="106"/>
        <v>0</v>
      </c>
      <c r="AJ131" s="420">
        <f t="shared" si="107"/>
        <v>0</v>
      </c>
      <c r="AK131" s="518">
        <f t="shared" si="108"/>
        <v>0</v>
      </c>
      <c r="AL131" s="1106">
        <f>IF($P131="","N/A",(IF($P131=-1,INDEX('卡片raw data'!S:S,MATCH($D131,'卡片raw data'!$F:$F,)),0)+IF($P131=0,INDEX('卡片raw data'!V:V,MATCH($D131,'卡片raw data'!$F:$F,)),0)+IF($P131=1,INDEX('卡片raw data'!Y:Y,MATCH($D131,'卡片raw data'!$F:$F,)),0)+IF($P131=2,INDEX('卡片raw data'!AB:AB,MATCH($D131,'卡片raw data'!$F:$F,)),0)+IF($P131=3,INDEX('卡片raw data'!AE:AE,MATCH($D131,'卡片raw data'!$F:$F,)),0)+IF($P131=4,INDEX('卡片raw data'!AH:AH,MATCH($D131,'卡片raw data'!$F:$F,)),0)+IF($P131=5,INDEX('卡片raw data'!AK:AK,MATCH($D131,'卡片raw data'!$F:$F,)),0)+INDEX('卡片raw data'!S:S,MATCH($D131,'卡片raw data'!$F:$F,))*(IF($F131="UR",0.04,0.033))*(IF($F131="UR",INDEX(绊状态确认!$S:$S,MATCH($G131,绊状态确认!$B:$B,))/2-40)+IF($F131="SR",INDEX(绊状态确认!$R:$R,MATCH($G131,绊状态确认!$B:$B,))/4-15))+IF($F131="R",INDEX(绊状态确认!$Q:$Q,MATCH($G131,绊状态确认!$B:$B,))/6-40/6)))*(INDEX(绊状态确认!$H:$H,MATCH($G131,绊状态确认!$B:$B,))+INDEX(绊状态确认!J:J,MATCH($G131,绊状态确认!$B:$B,)))</f>
        <v>14394.324239999998</v>
      </c>
      <c r="AM131" s="1106">
        <f>IF($P131="","N/A",(IF($P131=-1,INDEX('卡片raw data'!T:T,MATCH($D131,'卡片raw data'!$F:$F,)),0)+IF($P131=0,INDEX('卡片raw data'!W:W,MATCH($D131,'卡片raw data'!$F:$F,)),0)+IF($P131=1,INDEX('卡片raw data'!Z:Z,MATCH($D131,'卡片raw data'!$F:$F,)),0)+IF($P131=2,INDEX('卡片raw data'!AC:AC,MATCH($D131,'卡片raw data'!$F:$F,)),0)+IF($P131=3,INDEX('卡片raw data'!AF:AF,MATCH($D131,'卡片raw data'!$F:$F,)),0)+IF($P131=4,INDEX('卡片raw data'!AI:AI,MATCH($D131,'卡片raw data'!$F:$F,)),0)+IF($P131=5,INDEX('卡片raw data'!AL:AL,MATCH($D131,'卡片raw data'!$F:$F,)),0)+INDEX('卡片raw data'!T:T,MATCH($D131,'卡片raw data'!$F:$F,))*(IF($F131="UR",0.04,0.033))*(IF($F131="UR",INDEX(绊状态确认!$S:$S,MATCH($G131,绊状态确认!$B:$B,))/2-40)+IF($F131="SR",INDEX(绊状态确认!$R:$R,MATCH($G131,绊状态确认!$B:$B,))/4-15))+IF($F131="R",INDEX(绊状态确认!$Q:$Q,MATCH($G131,绊状态确认!$B:$B,))/6-40/6)))*(INDEX(绊状态确认!$H:$H,MATCH($G131,绊状态确认!$B:$B,))+INDEX(绊状态确认!K:K,MATCH($G131,绊状态确认!$B:$B,)))</f>
        <v>9596.2161599999981</v>
      </c>
      <c r="AN131" s="1106">
        <f>IF($P131="","N/A",(IF($P131=-1,INDEX('卡片raw data'!U:U,MATCH($D131,'卡片raw data'!$F:$F,)),0)+IF($P131=0,INDEX('卡片raw data'!X:X,MATCH($D131,'卡片raw data'!$F:$F,)),0)+IF($P131=1,INDEX('卡片raw data'!AA:AA,MATCH($D131,'卡片raw data'!$F:$F,)),0)+IF($P131=2,INDEX('卡片raw data'!AD:AD,MATCH($D131,'卡片raw data'!$F:$F,)),0)+IF($P131=3,INDEX('卡片raw data'!AG:AG,MATCH($D131,'卡片raw data'!$F:$F,)),0)+IF($P131=4,INDEX('卡片raw data'!AJ:AJ,MATCH($D131,'卡片raw data'!$F:$F,)),0)+IF($P131=5,INDEX('卡片raw data'!AM:AM,MATCH($D131,'卡片raw data'!$F:$F,)),0)+INDEX('卡片raw data'!U:U,MATCH($D131,'卡片raw data'!$F:$F,))*(IF($F131="UR",0.04,0.033))*(IF($F131="UR",INDEX(绊状态确认!$S:$S,MATCH($G131,绊状态确认!$B:$B,))/2-40)+IF($F131="SR",INDEX(绊状态确认!$R:$R,MATCH($G131,绊状态确认!$B:$B,))/4-15))+IF($F131="R",INDEX(绊状态确认!$Q:$Q,MATCH($G131,绊状态确认!$B:$B,))/6-40/6)))*(INDEX(绊状态确认!$H:$H,MATCH($G131,绊状态确认!$B:$B,))+INDEX(绊状态确认!L:L,MATCH($G131,绊状态确认!$B:$B,)))</f>
        <v>10282.147199999999</v>
      </c>
      <c r="AO131" s="1107">
        <f t="shared" si="109"/>
        <v>1</v>
      </c>
      <c r="AP131" s="1131">
        <f>1+(INDEX(绊状态确认!$T:$T,MATCH($G131,绊状态确认!$B:$B,))+0.2)*$AO131</f>
        <v>1.3</v>
      </c>
      <c r="AQ131" s="1108">
        <f t="shared" si="110"/>
        <v>41035.101130000003</v>
      </c>
      <c r="AR131" s="1097">
        <f>(AM131*(1+$EX$9)+$EX$35)*(1+(INDEX(绊状态确认!$T:$T,MATCH($G131,绊状态确认!$B:$B,))+0.2)*AO131)*IF(J131=$FF$17,1+$FE$17,1)*IF(I131=$FF$14,1+$FE$14,1)*(1+$FE$15)</f>
        <v>15802.835058399998</v>
      </c>
      <c r="AS131" s="1097">
        <f>(AN131*(1+$EX$10)+$EX$36)*(1+(INDEX(绊状态确认!$T:$T,MATCH($G131,绊状态确认!$B:$B,))+0.2)*AO131)*IF(J131=$FF$17,1+$FE$17,1)*IF(I131=$FF$14,1+$FE$14,1)*(1+$FE$15)</f>
        <v>19427.810063999998</v>
      </c>
      <c r="AT131" s="1093">
        <f>IF(AND(INDEX('卡片raw data'!AK:AK,MATCH($D131,'卡片raw data'!$F:$F,))&lt;INDEX('卡片raw data'!AM:AM,MATCH($D131,'卡片raw data'!$F:$F,)),INDEX('卡片raw data'!AL:AL,MATCH($D131,'卡片raw data'!$F:$F,))&lt;INDEX('卡片raw data'!AM:AM,MATCH($D131,'卡片raw data'!$F:$F,))),1,0)</f>
        <v>0</v>
      </c>
      <c r="AU131" s="1098">
        <f>MIN(AT131*0.15+AS131*0.00003+INDEX(绊状态确认!M:M,MATCH($G131,绊状态确认!$B:$B,)),1)</f>
        <v>0.61283430191999999</v>
      </c>
      <c r="AV131" s="1109">
        <f>(INDEX(绊状态确认!$N:$N,MATCH($G131,绊状态确认!$B:$B,))+1.5)*$EW$21</f>
        <v>2.6599999999999997</v>
      </c>
      <c r="AW131" s="1101">
        <f t="shared" si="111"/>
        <v>42991.680761554271</v>
      </c>
      <c r="AX131" s="1097">
        <f t="shared" si="112"/>
        <v>1364.5171586297436</v>
      </c>
      <c r="AY131" s="1110">
        <f t="shared" si="113"/>
        <v>44356.197920184015</v>
      </c>
      <c r="AZ131" s="429">
        <f t="shared" si="114"/>
        <v>30668.932267999997</v>
      </c>
      <c r="BA131" s="431">
        <f t="shared" si="115"/>
        <v>36802.718721599995</v>
      </c>
      <c r="BB131" s="1097">
        <f>(AM131*(1+$FB$9)+$FB$35)*(1+(INDEX(绊状态确认!$T:$T,MATCH($G131,绊状态确认!$B:$B,))+0.2)*AO131)*IF(J131=$FF$17,1+$FE$17,1)*IF(I131=$FF$14,1+$FE$14,1)*(1+$FE$15)</f>
        <v>15802.835058399998</v>
      </c>
      <c r="BC131" s="1097">
        <f>(AN131*(1+$FB$10)+$FB$36)*(1+(INDEX(绊状态确认!$T:$T,MATCH($G131,绊状态确认!$B:$B,))+0.2)*AO131)*IF(J131=$FF$17,1+$FE$17,1)*IF(I131=$FF$14,1+$FE$14,1)*(1+$FE$15)</f>
        <v>19427.810063999998</v>
      </c>
      <c r="BD131" s="1104">
        <f>MIN(AT131*0.15+BC131*0.00003+INDEX(绊状态确认!M:M,MATCH($G131,绊状态确认!$B:$B,)),1)</f>
        <v>0.61283430191999999</v>
      </c>
      <c r="BE131" s="432">
        <f>(INDEX(绊状态确认!$N:$N,MATCH($G131,绊状态确认!$B:$B,))+1.5)</f>
        <v>1.9</v>
      </c>
      <c r="BF131" s="1139">
        <f t="array" ref="BF131">SUMPRODUCT(IF(AZ131*AP131*$FI$16:$FI$23*$FA$22&gt;=$FI$24,$FI$24,AZ131*AP131*$FI$16:$FI$23*$FA$22),$FJ$16:$FJ$23)</f>
        <v>57091.777917171996</v>
      </c>
      <c r="BG131" s="1125">
        <f t="array" ref="BG131">SUMPRODUCT(IF(BE131*AZ131*AP131*$FI$16:$FI$23*$FA$22&gt;=$FI$24,$FI$24,BE131*AZ131*AP131*$FI$16:$FI$23*$FA$22),$FJ$16:$FJ$23)</f>
        <v>60000</v>
      </c>
      <c r="BH131" s="1110">
        <f t="shared" si="116"/>
        <v>19624.678722376742</v>
      </c>
      <c r="BI131" s="1111">
        <f>IF(O131="vo",$EW$26/$EW$24*0.05,0)+IF(O131="sk",-$EW$26/$EW$24*(0.05-INDEX(绊状态确认!W:W,MATCH($G131,绊状态确认!$B:$B,)))+0.05*$EW$28,0)+IF(O131="sp",0.05*$EW$32*$EW$30*(1-$EW$33)-(0.05-INDEX(绊状态确认!V:V,MATCH($G131,绊状态确认!$B:$B,)))*$EW$28,0)+IF(O131="gd",-(0.05-INDEX(绊状态确认!X:X,MATCH($G131,绊状态确认!$B:$B,)))*$EW$32*$EW$30*(1-$EW$33),0)</f>
        <v>7726.3029277443748</v>
      </c>
      <c r="BJ131" s="1097">
        <f>IF(O131="vo",0.05*(1-$FI$26)*$FA$24,0)+IF(O131="sk",-(0.05-INDEX(绊状态确认!W:W,MATCH($G131,绊状态确认!$B:$B,)))*(1-$FI$26)*$FA$24+0.05*$FA$26,0)+IF(O131="sp",0.05*$FA$32*$FA$27*(1-$FA$33)/$FA$30+0.05*$FA$29/$FA$69*$FA$27*(1-$FA$33)-(0.05-INDEX(绊状态确认!V:V,MATCH($G131,绊状态确认!$B:$B,)))*$FA$26,0)+IF(O131="gd",-(0.05-INDEX(绊状态确认!X:X,MATCH($G131,绊状态确认!$B:$B,)))*$FA$32*$FA$27*(1-$FA$33)/$FA$30-(0.05-INDEX(绊状态确认!X:X,MATCH($G131,绊状态确认!$B:$B,)))*$FA$29/$FA$69*$FA$27*(1-$FA$33),0)</f>
        <v>393.93433687500004</v>
      </c>
      <c r="BK131" s="1110">
        <f>IF(O131="vo",$EW$26/$EW$24*0.05+$EW$26*(-HP($EW$62,$EW$65,$EW$64)+HP($EW$62,$EW$65,(1.05-INDEX(绊状态确认!U:U,MATCH($G131,绊状态确认!$B:$B,)))*$EW$64)),0)+IF(O131="sk",-$EW$26/$EW$24*(0.05-INDEX(绊状态确认!W:W,MATCH($G131,绊状态确认!$B:$B,)))+0.05*$EW$29,0)+IF(O131="sp",0.05*$EW$32*$EW$30*(1-$EW$33)-(0.05-INDEX(绊状态确认!V:V,MATCH($G131,绊状态确认!$B:$B,)))*$EW$29,0)+IF(O131="gd",-(0.05-INDEX(绊状态确认!X:X,MATCH($G131,绊状态确认!$B:$B,)))*$EW$32*$EW$30*(1-$EW$33)+$EW$26*(-HP($EW$62,$EW$65,$EW$64)+HP($EW$62,$EW$65,0.95*$EW$64)),0)</f>
        <v>6421.6344775026746</v>
      </c>
      <c r="BL131" s="1111">
        <f t="shared" si="117"/>
        <v>0</v>
      </c>
      <c r="BM131" s="1110">
        <f t="shared" si="118"/>
        <v>0</v>
      </c>
      <c r="BN131" s="1113">
        <f t="shared" si="119"/>
        <v>4</v>
      </c>
      <c r="BO131" s="1097">
        <f t="shared" si="120"/>
        <v>6010.2953161679998</v>
      </c>
      <c r="BP131" s="1100">
        <f t="shared" si="121"/>
        <v>295.12137612040135</v>
      </c>
      <c r="BQ131" s="1113" t="s">
        <v>144</v>
      </c>
      <c r="BR131" s="1124" t="s">
        <v>147</v>
      </c>
      <c r="BS131" s="1098">
        <f>IF($P131="","N/A",IF($P131=-1,INDEX('卡片raw data'!AX:AX,MATCH($D131,'卡片raw data'!$F:$F,)),0)+IF($L131="party卡",IF($P131=5,INDEX('卡片raw data'!BD:BD,MATCH($D131,'卡片raw data'!$F:$F,)),IF($P131&gt;=3,INDEX('卡片raw data'!BC:BC,MATCH($D131,'卡片raw data'!$F:$F,)),INDEX('卡片raw data'!BB:BB,MATCH($D131,'卡片raw data'!$F:$F,)))),IF(OR(AND($F131="UR",$P131=0),AND($F131="SR",$P131&gt;=0,$P131&lt;=2),AND($F131="R",$P131&gt;=0,$P131&lt;4)),INDEX('卡片raw data'!AZ:AZ,MATCH($D131,'卡片raw data'!$F:$F,)),0)+IF(OR(AND($F131="UR",$P131&gt;=1,$P131&lt;=4),AND($F131="SR",$P131&lt;=4,$P131&gt;=3),AND($F131="R",$P131=4)),INDEX('卡片raw data'!BA:BA,MATCH($D131,'卡片raw data'!$F:$F,)),0)+IF($P131=5,INDEX('卡片raw data'!BB:BB,MATCH($D131,'卡片raw data'!$F:$F,)),0)))</f>
        <v>4.2000000000000003E-2</v>
      </c>
      <c r="BT131" s="1101">
        <f t="shared" si="122"/>
        <v>0</v>
      </c>
      <c r="BU131" s="1097">
        <f t="shared" si="123"/>
        <v>0</v>
      </c>
      <c r="BV131" s="1097">
        <f t="shared" si="124"/>
        <v>0</v>
      </c>
      <c r="BW131" s="1112">
        <f t="shared" si="125"/>
        <v>4.4246249999999989</v>
      </c>
      <c r="BX131" s="1100">
        <f t="shared" si="126"/>
        <v>347.58109106159276</v>
      </c>
      <c r="BY131" s="1110">
        <f t="shared" si="127"/>
        <v>347.58109106159276</v>
      </c>
      <c r="BZ131" s="1107" t="s">
        <v>569</v>
      </c>
      <c r="CA131" s="1124"/>
      <c r="CB131" s="1098">
        <f>IF($P131="","N/A",IF($P131=-1,INDEX('卡片raw data'!BE:BE,MATCH($D131,'卡片raw data'!$F:$F,)),0)+IF($L131="party卡",IF($P131=5,INDEX('卡片raw data'!BK:BK,MATCH($D131,'卡片raw data'!$F:$F,)),IF($P131&gt;=3,INDEX('卡片raw data'!BJ:BJ,MATCH($D131,'卡片raw data'!$F:$F,)),INDEX('卡片raw data'!BI:BI,MATCH($D131,'卡片raw data'!$F:$F,)))),IF(OR(AND($F131="UR",$P131=0),AND($F131="SR",$P131&gt;=0,$P131&lt;=2),AND($F131="R",$P131&gt;=0,$P131&lt;4)),INDEX('卡片raw data'!BG:BG,MATCH($D131,'卡片raw data'!$F:$F,)),0)+IF(OR(AND($F131="UR",$P131&gt;=1,$P131&lt;=4),AND($F131="SR",$P131&lt;=4,$P131&gt;=3),AND($F131="R",$P131=4)),INDEX('卡片raw data'!BH:BH,MATCH($D131,'卡片raw data'!$F:$F,)),0)+IF($P131=5,INDEX('卡片raw data'!BI:BI,MATCH($D131,'卡片raw data'!$F:$F,)),0)))</f>
        <v>0</v>
      </c>
      <c r="CC131" s="1101">
        <f t="shared" si="128"/>
        <v>0</v>
      </c>
      <c r="CD131" s="1097">
        <f>IF(BZ131="ap",CB131*(1-$FI$26)*$FB$5/$FB$11*(+IF(CA131="全员",$FA$24,0)+IF(CA131="同作战",$FA$24,0)+IF(CA131="仲间",$FA$24*2/3,0)+IF(CA131="同属性",$FA$24*$FA$37/3,0)+IF(CA131="同年级",$FA$24*$FA$40/3,0)+IF(CA131="同学校",$FA$24*$FA$43/3,0)+IF(CA131="同小队",$FA$24*$FA$46/3,0)+IF(CA131="同type",$FA$24*INDEX($FB$49:$FB$52,MATCH(X131,$FA$49:$FA$52,))/3,0)+IF(CA131="自身",#REF!/3,0)),0)+IF(BZ131="te",CB131*(1-$FI$27)*($FA$20-1)*$FB$7/$FB$13*(+IF(CA131="全员",$FA$19*$FA$24/(1+($FA$20-1)*$FA$19),0)+IF(CA131="同作战",$FA$19*$FA$24/(1+($FA$20-1)*$FA$19),0)+IF(CA131="仲间",$FA$19*$FA$24*2/3/(1+($FA$20-1)*$FA$19),0)+IF(CA131="同属性",$FA$19*$FA$24*$FA$37/3/(1+($FA$20-1)*$FA$19),0)+IF(CA131="同年级",$FA$19*$FA$24*$FA$40/3/(1+($FA$20-1)*$FA$19),0)+IF(CA131="同学校",$FA$19*$FA$24*$FA$43/3/(1+($FA$20-1)*$FA$19),0)+IF(CA131="同小队",$FA$19*$FA$24*$FA$46/3/(1+($FA$20-1)*$FA$19),0)+IF(CA131="同type",$FA$19*$FA$24*INDEX($FB$49:$FB$52,MATCH(X131,$FA$49:$FA$52,))/3/(1+($FA$20-1)*$FA$19),0)+IF(CA131="自身",$FA$19*#REF!/3/(1+(BH131-1)*$BD131),0)),0)</f>
        <v>0</v>
      </c>
      <c r="CE131" s="1097">
        <f t="shared" si="129"/>
        <v>0</v>
      </c>
      <c r="CF131" s="1112">
        <f t="shared" si="130"/>
        <v>0</v>
      </c>
      <c r="CG131" s="1100">
        <f t="shared" si="131"/>
        <v>0</v>
      </c>
      <c r="CH131" s="1110">
        <f t="shared" si="132"/>
        <v>0</v>
      </c>
      <c r="CI131" s="1113" t="s">
        <v>170</v>
      </c>
      <c r="CJ131" s="1114">
        <v>0.3</v>
      </c>
      <c r="CK131" s="1115" t="s">
        <v>154</v>
      </c>
      <c r="CL131" s="1115" t="s">
        <v>161</v>
      </c>
      <c r="CM131" s="1119">
        <v>0.1</v>
      </c>
      <c r="CN131" s="1115">
        <v>10</v>
      </c>
      <c r="CO131" s="1092"/>
      <c r="CP131" s="1118">
        <f t="shared" si="133"/>
        <v>1.0714285714285715E-3</v>
      </c>
      <c r="CQ131" s="1118">
        <f t="shared" si="134"/>
        <v>1.6666666666666666E-3</v>
      </c>
      <c r="CR131" s="1118">
        <f t="shared" si="135"/>
        <v>1.0714285714285715E-3</v>
      </c>
      <c r="CS131" s="1118">
        <f t="shared" si="136"/>
        <v>7.6874999999999999E-2</v>
      </c>
      <c r="CT131" s="1109">
        <f t="shared" si="137"/>
        <v>0</v>
      </c>
      <c r="CU131" s="1101">
        <f t="shared" si="138"/>
        <v>45.454545454545453</v>
      </c>
      <c r="CV131" s="1108">
        <f t="shared" si="139"/>
        <v>37.878787878787875</v>
      </c>
      <c r="CW131" s="1097">
        <f t="shared" si="140"/>
        <v>45.454545454545453</v>
      </c>
      <c r="CX131" s="1097">
        <f t="shared" si="141"/>
        <v>45.454545454545453</v>
      </c>
      <c r="CY131" s="1110">
        <f t="shared" si="142"/>
        <v>45.454545454545453</v>
      </c>
      <c r="CZ131" s="437"/>
      <c r="DA131" s="438"/>
      <c r="DB131" s="439" t="s">
        <v>569</v>
      </c>
      <c r="DC131" s="439"/>
      <c r="DD131" s="443"/>
      <c r="DE131" s="411"/>
      <c r="DF131" s="411"/>
      <c r="DG131" s="1116">
        <f t="shared" si="143"/>
        <v>0</v>
      </c>
      <c r="DH131" s="1116">
        <f t="shared" si="144"/>
        <v>0</v>
      </c>
      <c r="DI131" s="1116">
        <f t="shared" si="145"/>
        <v>0</v>
      </c>
      <c r="DJ131" s="442">
        <f t="shared" si="146"/>
        <v>0</v>
      </c>
      <c r="DK131" s="1109">
        <f t="shared" si="147"/>
        <v>0</v>
      </c>
      <c r="DL131" s="1101">
        <f t="shared" si="148"/>
        <v>0</v>
      </c>
      <c r="DM131" s="1097">
        <f t="shared" si="149"/>
        <v>0</v>
      </c>
      <c r="DN131" s="1097">
        <f t="shared" si="150"/>
        <v>0</v>
      </c>
      <c r="DO131" s="1097">
        <f t="shared" si="151"/>
        <v>0</v>
      </c>
      <c r="DP131" s="1110">
        <f t="shared" si="152"/>
        <v>0</v>
      </c>
      <c r="DQ131" s="1113" t="s">
        <v>153</v>
      </c>
      <c r="DR131" s="1120">
        <f t="shared" si="153"/>
        <v>0.33</v>
      </c>
      <c r="DS131" s="1124">
        <v>5</v>
      </c>
      <c r="DT131" s="1093" t="s">
        <v>169</v>
      </c>
      <c r="DU131" s="1093" t="s">
        <v>544</v>
      </c>
      <c r="DV131" s="1098">
        <f>IF($P131="","N/A",IF(P131=-1,INDEX('卡片raw data'!AN:AN,MATCH(D131,'卡片raw data'!$F:$F,)),0)+IF(AND(L131&lt;&gt;"party卡",P131&lt;=2,P131&gt;=0),INDEX('卡片raw data'!AP:AP,MATCH(D131,'卡片raw data'!$F:$F,)),0)+IF(OR(AND(L131="party卡",P131&lt;=1),AND(P131&lt;=4,L131&lt;&gt;"party卡",P131&gt;=3)),INDEX('卡片raw data'!AQ:AQ,MATCH(D131,'卡片raw data'!$F:$F,)),0)+IF(OR(P131=5,AND(L131="party卡",P131&gt;=2)),INDEX('卡片raw data'!AR:AR,MATCH(D131,'卡片raw data'!$F:$F,)),0))</f>
        <v>7.1999999999999995E-2</v>
      </c>
      <c r="DW131" s="1098">
        <f t="shared" si="154"/>
        <v>0.33</v>
      </c>
      <c r="DX131" s="1098">
        <f t="shared" si="155"/>
        <v>0.33</v>
      </c>
      <c r="DY131" s="1098">
        <f t="shared" si="156"/>
        <v>2.2000000000000002E-2</v>
      </c>
      <c r="DZ131" s="1098">
        <f t="shared" si="157"/>
        <v>1.9030000000000002E-2</v>
      </c>
      <c r="EA131" s="1098">
        <f t="shared" si="158"/>
        <v>0</v>
      </c>
      <c r="EB131" s="1121">
        <f t="shared" si="159"/>
        <v>0</v>
      </c>
      <c r="EC131" s="1101">
        <f t="shared" si="160"/>
        <v>2991.6244936226226</v>
      </c>
      <c r="ED131" s="1097">
        <f t="shared" si="161"/>
        <v>124.94284051218752</v>
      </c>
      <c r="EE131" s="1110">
        <f t="shared" si="162"/>
        <v>2991.6244936226226</v>
      </c>
      <c r="EF131" s="1092" t="s">
        <v>711</v>
      </c>
      <c r="EG131" s="1120">
        <f t="shared" si="163"/>
        <v>0.33</v>
      </c>
      <c r="EH131" s="1124"/>
      <c r="EI131" s="1093"/>
      <c r="EJ131" s="1093"/>
      <c r="EK131" s="1097">
        <f>IF($P131="","N/A",IF(P131=-1,INDEX('卡片raw data'!AS:AS,MATCH(D131,'卡片raw data'!$F:$F,)),0)+IF(AND(L131&lt;&gt;"party卡",P131&lt;=2,P131&gt;=0),INDEX('卡片raw data'!AU:AU,MATCH(D131,'卡片raw data'!$F:$F,)),0)+IF(OR(AND(L131="party卡",P131&lt;=1),AND(P131&lt;=4,L131&lt;&gt;"party卡",P131&gt;=3)),INDEX('卡片raw data'!AV:AV,MATCH(D131,'卡片raw data'!$F:$F,)),0)+IF(OR(P131=5,AND(L131="party卡",P131&gt;=2)),INDEX('卡片raw data'!AW:AW,MATCH(D131,'卡片raw data'!$F:$F,)),0))</f>
        <v>0</v>
      </c>
      <c r="EL131" s="1098">
        <f t="shared" si="164"/>
        <v>0.33</v>
      </c>
      <c r="EM131" s="1098">
        <f t="shared" si="165"/>
        <v>0.33</v>
      </c>
      <c r="EN131" s="1125">
        <f t="shared" si="166"/>
        <v>0</v>
      </c>
      <c r="EO131" s="1125">
        <f t="shared" si="167"/>
        <v>0</v>
      </c>
      <c r="EP131" s="1098">
        <f t="shared" si="168"/>
        <v>0</v>
      </c>
      <c r="EQ131" s="1121">
        <f t="shared" si="169"/>
        <v>0</v>
      </c>
      <c r="ER131" s="1101">
        <f t="shared" si="170"/>
        <v>0</v>
      </c>
      <c r="ES131" s="1097">
        <f t="shared" si="171"/>
        <v>0</v>
      </c>
      <c r="ET131" s="1122">
        <f t="shared" si="172"/>
        <v>0</v>
      </c>
    </row>
    <row r="132" spans="2:150" ht="16.5" customHeight="1">
      <c r="B132" s="1123" t="str">
        <f>INDEX('卡片raw data'!B:B,MATCH($D132,'卡片raw data'!$F:$F,))</f>
        <v>fes1林</v>
      </c>
      <c r="C132" s="449" t="s">
        <v>66</v>
      </c>
      <c r="D132" s="408">
        <v>129</v>
      </c>
      <c r="E132" s="1090">
        <v>202043001</v>
      </c>
      <c r="F132" s="1090" t="str">
        <f>INDEX('卡片raw data'!C:C,MATCH($D132,'卡片raw data'!$F:$F,))</f>
        <v>UR</v>
      </c>
      <c r="G132" s="1094" t="s">
        <v>46</v>
      </c>
      <c r="H132" s="411">
        <f>IFERROR(INDEX(绊状态确认!C:C,MATCH($G132,绊状态确认!$B:$B,)),"")</f>
        <v>204</v>
      </c>
      <c r="I132" s="450" t="str">
        <f>IFERROR(INDEX(绊状态确认!D:D,MATCH($G132,绊状态确认!$B:$B,)),"")</f>
        <v>虹</v>
      </c>
      <c r="J132" s="450" t="str">
        <f>IFERROR(INDEX(绊状态确认!E:E,MATCH($G132,绊状态确认!$B:$B,)),"")</f>
        <v>3年级</v>
      </c>
      <c r="K132" s="451" t="str">
        <f>IFERROR(INDEX(绊状态确认!F:F,MATCH($G132,绊状态确认!$B:$B,)),"")</f>
        <v>Diver Diva</v>
      </c>
      <c r="L132" s="1094" t="str">
        <f>INDEX('卡片raw data'!E:E,MATCH($D132,'卡片raw data'!$F:$F,))</f>
        <v>fes卡</v>
      </c>
      <c r="M132" s="415">
        <v>43799</v>
      </c>
      <c r="N132" s="416">
        <v>4.5</v>
      </c>
      <c r="O132" s="1091" t="str">
        <f>INDEX('卡片raw data'!D:D,MATCH($D132,'卡片raw data'!$F:$F,))</f>
        <v>sp</v>
      </c>
      <c r="P132" s="417">
        <v>5</v>
      </c>
      <c r="Q132" s="1095">
        <f t="shared" ref="Q132:Q195" si="173">IF($P132="",0,AW132+BI132+BO132+BT132+CU132+EC132+ER132+CC132+DL132+BL132)</f>
        <v>61897.711737486236</v>
      </c>
      <c r="R132" s="1096">
        <f t="shared" ref="R132:R195" si="174">_xlfn.FLOOR.MATH(IF($P132="","N/A",Q132/$EW$81)*1000)/1000</f>
        <v>0.71899999999999997</v>
      </c>
      <c r="S132" s="1097">
        <f t="shared" ref="S132:S195" si="175">IF($P132="",0,BH132+BJ132+BP132+BU132+CV132+ED132+ES132+CD132+DM132+BM132)</f>
        <v>21045.192929893361</v>
      </c>
      <c r="T132" s="1098">
        <f t="shared" ref="T132:T195" si="176">_xlfn.FLOOR.MATH(IF($P132="","N/A",S132/($FI$24/3))*1000)/1000</f>
        <v>1.052</v>
      </c>
      <c r="U132" s="1099">
        <f t="shared" ref="U132:U195" si="177">$EW$64*(IF(O132="vo",-0.05)+IF(O132="gd",0.05))+CP132*(IF(CK132="减伤",$EW$64*(1-$EW$75))+IF(OR(CK132="加盾",AND(CK132="回血",OR(CI132&lt;&gt;"切队",CO132=""))),1))+DG132*(IF(DB132="减伤",$EW$64*(1-$EW$75))+IF(OR(DB132="加盾",AND(DB132="回血",OR(CZ132&lt;&gt;"切队",DF132=""))),1))+AR132*$EW$78/$EW$65+BW132+CF132+DY132*(1+IF(O132="sk",0.05)+IF(O132="sp",-0.05))*(IF(DQ132="减伤",$EW$64*(1-$EW$75))+IF(OR(DQ132="回血",DQ132="加盾"),1))+EN132*(1+IF(O132="sk",0.05)+IF(O132="sp",-0.05))*(IF(EF132="减伤",$EW$64*(1-$EW$75))+IF(OR(EF132="回血",EF132="加盾"),1))</f>
        <v>12.922236377142855</v>
      </c>
      <c r="V132" s="1100">
        <f t="shared" ref="V132:V195" si="178">IF($P132="",0,AY132+BK132+BO132+BX132+CX132+EE132+ET132+CG132+DO132+BL132)</f>
        <v>61130.541559333054</v>
      </c>
      <c r="W132" s="1101">
        <f t="shared" ref="W132:W195" si="179">IF($P132="",0,BO132+BV132+CW132+CE132+DN132)</f>
        <v>6010.2953161679998</v>
      </c>
      <c r="X132" s="1096">
        <f t="shared" ref="X132:X195" si="180">_xlfn.FLOOR.MATH(IF($P132="","N/A",W132/$EW$81)*1000)/1000</f>
        <v>6.9000000000000006E-2</v>
      </c>
      <c r="Y132" s="1097">
        <f t="shared" ref="Y132:Y195" si="181">IF($P132="",0,AA132-W132)</f>
        <v>1032.829821846819</v>
      </c>
      <c r="Z132" s="1102">
        <f t="shared" ref="Z132:Z195" si="182">CP132*IF(OR(CI132="ap时",CI132="ct时"),0,1)*(IF(CK132="减伤",$EW$64*(1-$EW$75))+IF(OR(CK132="加盾",AND(CK132="回血",OR(CI132&lt;&gt;"切队",CO132=""))),1))+DG132*IF(OR(CZ132="ap时",CZ132="ct时"),0,1)*(IF(DB132="减伤",$EW$64*(1-$EW$75))+IF(OR(DB132="加盾",AND(DB132="回血",OR(CZ132&lt;&gt;"切队",DF132=""))),1))+AR132*$EW$78/$EW$65+BW132+CF132</f>
        <v>12.922236377142855</v>
      </c>
      <c r="AA132" s="1103">
        <f t="shared" ref="AA132:AA195" si="183">IF($P132="",0,BO132+BY132+CY132+AX132+CH132+DP132)</f>
        <v>7043.1251380148187</v>
      </c>
      <c r="AB132" s="1101">
        <f t="shared" ref="AB132:AB195" si="184">IF($P132="",0,BT132+CU132+BO132+CC132+DL132)</f>
        <v>10962.511959184019</v>
      </c>
      <c r="AC132" s="1104">
        <f t="shared" ref="AC132:AC195" si="185">_xlfn.FLOOR.MATH(IF($P132="","N/A",AB132/$EW$81)*1000)/1000</f>
        <v>0.127</v>
      </c>
      <c r="AD132" s="1105">
        <f t="shared" ref="AD132:AD195" si="186">CS132+DJ132+EA132+EP132+IF(O132="sp",-0.05*FM$14*FM$15/2)+IF(O132="sk",0.05*FM$14*FM$15/2)+IF(O132="sk",FM$11^2/(3-FM$11)*FM$12)-IF(O132="sk",FM$10,FM$9)*IF(O132="sk",FM$18,FM$17)*($FM$14-DR132)</f>
        <v>-1.6087500000000001E-2</v>
      </c>
      <c r="AE132" s="1128">
        <f t="shared" ref="AE132:AE195" si="187">AD132/FM$18*FM$29+CT132+DK132+EB132+EQ132+IF(O132="sp",0.05*$FM$9*3*FM$26)-IF(O132="gd",0.05*$FM$9*3*FM$26)+IF(O132="sp",300*1/3*$FM$11/2)+IF(O132="sk",FM$11^2/(3-FM$11)*FM$13)+IF(F132="R",-100*IF(O132="sk",FM$10,FM$9))+IF(F132="SR",-50*IF(O132="sk",FM$10,FM$9))</f>
        <v>10.92391304347826</v>
      </c>
      <c r="AF132" s="1130">
        <f t="shared" ref="AF132:AF195" si="188">IF(OR(DQ132="回血",DQ132="加盾"),EN132/EL132*3*2*IF(EG132=0.11,$EW$71,$EW$70)+DY132/DW132*3*2*IF(DR132=0.11,$EW$71,$EW$70)+IF(O132="gd",AR132*0.05)+IF(OR(CK132="回血",CK132="加盾"),-(CR132-CP132)*6)+IF(AND(CI132="切队",CO132=""),CP132/$EW$79*$EW$65*2),0)</f>
        <v>0</v>
      </c>
      <c r="AG132" s="420">
        <f t="shared" ref="AG132:AG195" si="189">IF(OR(DQ132="回血",DQ132="加盾"),MAX($EW$64*$EW$65*IF(CK132="减伤",(1-IF(CI132="切队",IF(CO132&lt;&gt;"",MAX(CO132/$EW$79,1),0),1)*CR132),1)-$EW$62*0.3+$EX$17-AR132-(BW132+CF132)/$EW$78*$EW$65-IF(OR(CK132="回血",CK132="加盾"),IF(CI132="切队",IF(CO132&lt;&gt;"",MAX(CO132/$EW$79,1),0),1)*CR132*$EW$65),0),0)</f>
        <v>0</v>
      </c>
      <c r="AH132" s="420">
        <f t="shared" ref="AH132:AH195" si="190">IFERROR(AG132/AF132,0)</f>
        <v>0</v>
      </c>
      <c r="AI132" s="1097">
        <f t="shared" ref="AI132:AI195" si="191">IF(OR(DQ132="回血",DQ132="加盾"),$EW$26*(1-$EW$66)/$EW$66-AH132*(($EW$26*IF(O132="sk",14/3-8/3*$EW$68,5-3*$EW$68)-2*3*Q132*$EW$69)/$EW$66)/$EW$65+($EW$26/3+$EW$26/$EW$24*0.05+$EW$61*4*$EW$26*$EX$5/$EX$11+$EW$28)-($EW$72-W132),0)</f>
        <v>0</v>
      </c>
      <c r="AJ132" s="420">
        <f t="shared" ref="AJ132:AJ195" si="192">IF(OR(DQ132="回血",DQ132="加盾"),V132,0)</f>
        <v>0</v>
      </c>
      <c r="AK132" s="518">
        <f t="shared" ref="AK132:AK195" si="193">IFERROR(AI132-AJ132,"")</f>
        <v>0</v>
      </c>
      <c r="AL132" s="1106">
        <f>IF($P132="","N/A",(IF($P132=-1,INDEX('卡片raw data'!S:S,MATCH($D132,'卡片raw data'!$F:$F,)),0)+IF($P132=0,INDEX('卡片raw data'!V:V,MATCH($D132,'卡片raw data'!$F:$F,)),0)+IF($P132=1,INDEX('卡片raw data'!Y:Y,MATCH($D132,'卡片raw data'!$F:$F,)),0)+IF($P132=2,INDEX('卡片raw data'!AB:AB,MATCH($D132,'卡片raw data'!$F:$F,)),0)+IF($P132=3,INDEX('卡片raw data'!AE:AE,MATCH($D132,'卡片raw data'!$F:$F,)),0)+IF($P132=4,INDEX('卡片raw data'!AH:AH,MATCH($D132,'卡片raw data'!$F:$F,)),0)+IF($P132=5,INDEX('卡片raw data'!AK:AK,MATCH($D132,'卡片raw data'!$F:$F,)),0)+INDEX('卡片raw data'!S:S,MATCH($D132,'卡片raw data'!$F:$F,))*(IF($F132="UR",0.04,0.033))*(IF($F132="UR",INDEX(绊状态确认!$S:$S,MATCH($G132,绊状态确认!$B:$B,))/2-40)+IF($F132="SR",INDEX(绊状态确认!$R:$R,MATCH($G132,绊状态确认!$B:$B,))/4-15))+IF($F132="R",INDEX(绊状态确认!$Q:$Q,MATCH($G132,绊状态确认!$B:$B,))/6-40/6)))*(INDEX(绊状态确认!$H:$H,MATCH($G132,绊状态确认!$B:$B,))+INDEX(绊状态确认!J:J,MATCH($G132,绊状态确认!$B:$B,)))</f>
        <v>15422.038943999996</v>
      </c>
      <c r="AM132" s="1106">
        <f>IF($P132="","N/A",(IF($P132=-1,INDEX('卡片raw data'!T:T,MATCH($D132,'卡片raw data'!$F:$F,)),0)+IF($P132=0,INDEX('卡片raw data'!W:W,MATCH($D132,'卡片raw data'!$F:$F,)),0)+IF($P132=1,INDEX('卡片raw data'!Z:Z,MATCH($D132,'卡片raw data'!$F:$F,)),0)+IF($P132=2,INDEX('卡片raw data'!AC:AC,MATCH($D132,'卡片raw data'!$F:$F,)),0)+IF($P132=3,INDEX('卡片raw data'!AF:AF,MATCH($D132,'卡片raw data'!$F:$F,)),0)+IF($P132=4,INDEX('卡片raw data'!AI:AI,MATCH($D132,'卡片raw data'!$F:$F,)),0)+IF($P132=5,INDEX('卡片raw data'!AL:AL,MATCH($D132,'卡片raw data'!$F:$F,)),0)+INDEX('卡片raw data'!T:T,MATCH($D132,'卡片raw data'!$F:$F,))*(IF($F132="UR",0.04,0.033))*(IF($F132="UR",INDEX(绊状态确认!$S:$S,MATCH($G132,绊状态确认!$B:$B,))/2-40)+IF($F132="SR",INDEX(绊状态确认!$R:$R,MATCH($G132,绊状态确认!$B:$B,))/4-15))+IF($F132="R",INDEX(绊状态确认!$Q:$Q,MATCH($G132,绊状态确认!$B:$B,))/6-40/6)))*(INDEX(绊状态确认!$H:$H,MATCH($G132,绊状态确认!$B:$B,))+INDEX(绊状态确认!K:K,MATCH($G132,绊状态确认!$B:$B,)))</f>
        <v>6854.764799999999</v>
      </c>
      <c r="AN132" s="1106">
        <f>IF($P132="","N/A",(IF($P132=-1,INDEX('卡片raw data'!U:U,MATCH($D132,'卡片raw data'!$F:$F,)),0)+IF($P132=0,INDEX('卡片raw data'!X:X,MATCH($D132,'卡片raw data'!$F:$F,)),0)+IF($P132=1,INDEX('卡片raw data'!AA:AA,MATCH($D132,'卡片raw data'!$F:$F,)),0)+IF($P132=2,INDEX('卡片raw data'!AD:AD,MATCH($D132,'卡片raw data'!$F:$F,)),0)+IF($P132=3,INDEX('卡片raw data'!AG:AG,MATCH($D132,'卡片raw data'!$F:$F,)),0)+IF($P132=4,INDEX('卡片raw data'!AJ:AJ,MATCH($D132,'卡片raw data'!$F:$F,)),0)+IF($P132=5,INDEX('卡片raw data'!AM:AM,MATCH($D132,'卡片raw data'!$F:$F,)),0)+INDEX('卡片raw data'!U:U,MATCH($D132,'卡片raw data'!$F:$F,))*(IF($F132="UR",0.04,0.033))*(IF($F132="UR",INDEX(绊状态确认!$S:$S,MATCH($G132,绊状态确认!$B:$B,))/2-40)+IF($F132="SR",INDEX(绊状态确认!$R:$R,MATCH($G132,绊状态确认!$B:$B,))/4-15))+IF($F132="R",INDEX(绊状态确认!$Q:$Q,MATCH($G132,绊状态确认!$B:$B,))/6-40/6)))*(INDEX(绊状态确认!$H:$H,MATCH($G132,绊状态确认!$B:$B,))+INDEX(绊状态确认!L:L,MATCH($G132,绊状态确认!$B:$B,)))</f>
        <v>11994.656543999998</v>
      </c>
      <c r="AO132" s="1107">
        <f t="shared" ref="AO132:AO195" si="194">IF(OR($FE$5=C132,$FE$5="全"),1,0)</f>
        <v>1</v>
      </c>
      <c r="AP132" s="1131">
        <f>1+(INDEX(绊状态确认!$T:$T,MATCH($G132,绊状态确认!$B:$B,))+0.2)*$AO132</f>
        <v>1.3</v>
      </c>
      <c r="AQ132" s="1108">
        <f t="shared" ref="AQ132:AQ195" si="195">(AL132*(1+$EX$8)+$EX$34)*(1+$EW$15)*IF(AO132=0,1-$FE$6,1)*IF(AO132=1,1+$FE$7,1)*IF(O132="vo",1+$FE$8,1)*IF(O132="gd",1+$FE$9,1)*IF(O132="sp",1+$FE$10,1)*IF(O132="sk",1+$FE$11,1)*IF(I132=$FF$12,1+$FE$12,1)*IF(I132=$FF$13,1,1-$FE$13)*IF(I132=$FF$14,1+$FE$14,1)*IF(J132=$FF$16,1+$FE$16,1)*IF(J132=$FF$17,1+$FE$17,1)*IF(K132=$FF$18,1+$FE$18,1)*(1+$FE$15)</f>
        <v>43732.852227999989</v>
      </c>
      <c r="AR132" s="1097">
        <f>(AM132*(1+$EX$9)+$EX$35)*(1+(INDEX(绊状态确认!$T:$T,MATCH($G132,绊状态确认!$B:$B,))+0.2)*AO132)*IF(J132=$FF$17,1+$FE$17,1)*IF(I132=$FF$14,1+$FE$14,1)*(1+$FE$15)</f>
        <v>12060.753951999999</v>
      </c>
      <c r="AS132" s="1097">
        <f>(AN132*(1+$EX$10)+$EX$36)*(1+(INDEX(绊状态确认!$T:$T,MATCH($G132,绊状态确认!$B:$B,))+0.2)*AO132)*IF(J132=$FF$17,1+$FE$17,1)*IF(I132=$FF$14,1+$FE$14,1)*(1+$FE$15)</f>
        <v>21988.011533279994</v>
      </c>
      <c r="AT132" s="1093">
        <f>IF(AND(INDEX('卡片raw data'!AK:AK,MATCH($D132,'卡片raw data'!$F:$F,))&lt;INDEX('卡片raw data'!AM:AM,MATCH($D132,'卡片raw data'!$F:$F,)),INDEX('卡片raw data'!AL:AL,MATCH($D132,'卡片raw data'!$F:$F,))&lt;INDEX('卡片raw data'!AM:AM,MATCH($D132,'卡片raw data'!$F:$F,))),1,0)</f>
        <v>0</v>
      </c>
      <c r="AU132" s="1098">
        <f>MIN(AT132*0.15+AS132*0.00003+INDEX(绊状态确认!M:M,MATCH($G132,绊状态确认!$B:$B,)),1)</f>
        <v>0.68964034599839985</v>
      </c>
      <c r="AV132" s="1109">
        <f>(INDEX(绊状态确认!$N:$N,MATCH($G132,绊状态确认!$B:$B,))+1.5)*$EW$21</f>
        <v>2.6599999999999997</v>
      </c>
      <c r="AW132" s="1101">
        <f t="shared" ref="AW132:AW195" si="196">AQ132*(1+(AV132-1)*AU132)*(AP132)*(1+EW$25)*EW$66/3*$EW$24</f>
        <v>48713.862928553608</v>
      </c>
      <c r="AX132" s="1097">
        <f t="shared" ref="AX132:AX195" si="197">$EW$26*(HP($EW$62,$EW$65,$EW$64-AR132*$EW$78/$EW$65)/$EW$66-1)</f>
        <v>1032.8298218468194</v>
      </c>
      <c r="AY132" s="1110">
        <f t="shared" ref="AY132:AY195" si="198">AW132+AX132</f>
        <v>49746.692750400427</v>
      </c>
      <c r="AZ132" s="429">
        <f t="shared" ref="AZ132:AZ195" si="199">(AL132*(1+$FB$8)+$FB$34)*IF(AO132=0,1-$FE$6,1)*IF(AO132=1,1+$FE$7,1)*IF(O132="vo",1+$FE$8,1)*IF(O132="gd",1+$FE$9,1)*IF(O132="sp",1+$FE$10,1)*IF(O132="sk",1+$FE$11,1)*IF(I132=$FF$12,1+$FE$12,1)*IF(I132=$FF$13,1,1-$FE$13)*IF(I132=$FF$14,1+$FE$14,1)*IF(J132=$FF$16,1+$FE$16,1)*IF(J132=$FF$17,1+$FE$17,1)*IF(K132=$FF$18,1+$FE$18,1)*(1+$FE$15)</f>
        <v>32672.975940799992</v>
      </c>
      <c r="BA132" s="431">
        <f t="shared" ref="BA132:BA195" si="200">AZ132*(1+$FA$15)</f>
        <v>39207.571128959986</v>
      </c>
      <c r="BB132" s="1097">
        <f>(AM132*(1+$FB$9)+$FB$35)*(1+(INDEX(绊状态确认!$T:$T,MATCH($G132,绊状态确认!$B:$B,))+0.2)*AO132)*IF(J132=$FF$17,1+$FE$17,1)*IF(I132=$FF$14,1+$FE$14,1)*(1+$FE$15)</f>
        <v>12060.753951999999</v>
      </c>
      <c r="BC132" s="1097">
        <f>(AN132*(1+$FB$10)+$FB$36)*(1+(INDEX(绊状态确认!$T:$T,MATCH($G132,绊状态确认!$B:$B,))+0.2)*AO132)*IF(J132=$FF$17,1+$FE$17,1)*IF(I132=$FF$14,1+$FE$14,1)*(1+$FE$15)</f>
        <v>21988.011533279994</v>
      </c>
      <c r="BD132" s="1104">
        <f>MIN(AT132*0.15+BC132*0.00003+INDEX(绊状态确认!M:M,MATCH($G132,绊状态确认!$B:$B,)),1)</f>
        <v>0.68964034599839985</v>
      </c>
      <c r="BE132" s="432">
        <f>(INDEX(绊状态确认!$N:$N,MATCH($G132,绊状态确认!$B:$B,))+1.5)</f>
        <v>1.9</v>
      </c>
      <c r="BF132" s="1139">
        <f t="array" ref="BF132">SUMPRODUCT(IF(AZ132*AP132*$FI$16:$FI$23*$FA$22&gt;=$FI$24,$FI$24,AZ132*AP132*$FI$16:$FI$23*$FA$22),$FJ$16:$FJ$23)</f>
        <v>58511.680423211197</v>
      </c>
      <c r="BG132" s="1125">
        <f t="array" ref="BG132">SUMPRODUCT(IF(BE132*AZ132*AP132*$FI$16:$FI$23*$FA$22&gt;=$FI$24,$FI$24,BE132*AZ132*AP132*$FI$16:$FI$23*$FA$22),$FJ$16:$FJ$23)</f>
        <v>60000</v>
      </c>
      <c r="BH132" s="1110">
        <f t="shared" ref="BH132:BH195" si="201">((1-$BD132)*BF132+$BD132*BG132)/3</f>
        <v>19846.028550368006</v>
      </c>
      <c r="BI132" s="1111">
        <f>IF(O132="vo",$EW$26/$EW$24*0.05,0)+IF(O132="sk",-$EW$26/$EW$24*(0.05-INDEX(绊状态确认!W:W,MATCH($G132,绊状态确认!$B:$B,)))+0.05*$EW$28,0)+IF(O132="sp",0.05*$EW$32*$EW$30*(1-$EW$33)-(0.05-INDEX(绊状态确认!V:V,MATCH($G132,绊状态确认!$B:$B,)))*$EW$28,0)+IF(O132="gd",-(0.05-INDEX(绊状态确认!X:X,MATCH($G132,绊状态确认!$B:$B,)))*$EW$32*$EW$30*(1-$EW$33),0)</f>
        <v>19.999999999999886</v>
      </c>
      <c r="BJ132" s="1097">
        <f>IF(O132="vo",0.05*(1-$FI$26)*$FA$24,0)+IF(O132="sk",-(0.05-INDEX(绊状态确认!W:W,MATCH($G132,绊状态确认!$B:$B,)))*(1-$FI$26)*$FA$24+0.05*$FA$26,0)+IF(O132="sp",0.05*$FA$32*$FA$27*(1-$FA$33)/$FA$30+0.05*$FA$29/$FA$69*$FA$27*(1-$FA$33)-(0.05-INDEX(绊状态确认!V:V,MATCH($G132,绊状态确认!$B:$B,)))*$FA$26,0)+IF(O132="gd",-(0.05-INDEX(绊状态确认!X:X,MATCH($G132,绊状态确认!$B:$B,)))*$FA$32*$FA$27*(1-$FA$33)/$FA$30-(0.05-INDEX(绊状态确认!X:X,MATCH($G132,绊状态确认!$B:$B,)))*$FA$29/$FA$69*$FA$27*(1-$FA$33),0)</f>
        <v>545.83333333333326</v>
      </c>
      <c r="BK132" s="1110">
        <f>IF(O132="vo",$EW$26/$EW$24*0.05+$EW$26*(-HP($EW$62,$EW$65,$EW$64)+HP($EW$62,$EW$65,(1.05-INDEX(绊状态确认!U:U,MATCH($G132,绊状态确认!$B:$B,)))*$EW$64)),0)+IF(O132="sk",-$EW$26/$EW$24*(0.05-INDEX(绊状态确认!W:W,MATCH($G132,绊状态确认!$B:$B,)))+0.05*$EW$29,0)+IF(O132="sp",0.05*$EW$32*$EW$30*(1-$EW$33)-(0.05-INDEX(绊状态确认!V:V,MATCH($G132,绊状态确认!$B:$B,)))*$EW$29,0)+IF(O132="gd",-(0.05-INDEX(绊状态确认!X:X,MATCH($G132,绊状态确认!$B:$B,)))*$EW$32*$EW$30*(1-$EW$33)+$EW$26*(-HP($EW$62,$EW$65,$EW$64)+HP($EW$62,$EW$65,0.95*$EW$64)),0)</f>
        <v>-1780.0000000000005</v>
      </c>
      <c r="BL132" s="1111">
        <f t="shared" ref="BL132:BL195" si="202">(IF(F132="UR",0)+IF(F132="SR",-1/4)+IF(F132="R",-1/2))*1/3*$EW$31/$EW$77*$EW$30</f>
        <v>0</v>
      </c>
      <c r="BM132" s="1110">
        <f t="shared" ref="BM132:BM195" si="203">(IF(F132="UR",0)+IF(F132="SR",-1/4)+IF(F132="R",-1/2))*1/3*$FA$31/$FA$69*$FA$27</f>
        <v>0</v>
      </c>
      <c r="BN132" s="1113">
        <f t="shared" ref="BN132:BN195" si="204">IF($P132="","N/A",IF(P132=-1,IF(OR(L132="fes卡",L132="party卡"),2,1),IF(F132="UR",IF(L132="party卡",4-IF(P132=0,1),IF(L132="fes卡",4,3)-IF(P132&gt;=4,0,1)))+IF(F132="SR",IF(P132&gt;=4,3,2))+IF(F132="R",2)))</f>
        <v>4</v>
      </c>
      <c r="BO132" s="1097">
        <f t="shared" ref="BO132:BO195" si="205">$EW$61*$BN132*$EW$26*$EX$5/$EX$11</f>
        <v>6010.2953161679998</v>
      </c>
      <c r="BP132" s="1100">
        <f t="shared" ref="BP132:BP195" si="206">BN132*$FA$58*(1-$FI$26)*$FA$24*$FB$5/$FB$11</f>
        <v>295.12137612040135</v>
      </c>
      <c r="BQ132" s="1113" t="s">
        <v>145</v>
      </c>
      <c r="BR132" s="1124" t="s">
        <v>146</v>
      </c>
      <c r="BS132" s="1098">
        <f>IF($P132="","N/A",IF($P132=-1,INDEX('卡片raw data'!AX:AX,MATCH($D132,'卡片raw data'!$F:$F,)),0)+IF($L132="party卡",IF($P132=5,INDEX('卡片raw data'!BD:BD,MATCH($D132,'卡片raw data'!$F:$F,)),IF($P132&gt;=3,INDEX('卡片raw data'!BC:BC,MATCH($D132,'卡片raw data'!$F:$F,)),INDEX('卡片raw data'!BB:BB,MATCH($D132,'卡片raw data'!$F:$F,)))),IF(OR(AND($F132="UR",$P132=0),AND($F132="SR",$P132&gt;=0,$P132&lt;=2),AND($F132="R",$P132&gt;=0,$P132&lt;4)),INDEX('卡片raw data'!AZ:AZ,MATCH($D132,'卡片raw data'!$F:$F,)),0)+IF(OR(AND($F132="UR",$P132&gt;=1,$P132&lt;=4),AND($F132="SR",$P132&lt;=4,$P132&gt;=3),AND($F132="R",$P132=4)),INDEX('卡片raw data'!BA:BA,MATCH($D132,'卡片raw data'!$F:$F,)),0)+IF($P132=5,INDEX('卡片raw data'!BB:BB,MATCH($D132,'卡片raw data'!$F:$F,)),0)))</f>
        <v>7.0000000000000007E-2</v>
      </c>
      <c r="BT132" s="1101">
        <f t="shared" ref="BT132:BT195" si="207">IF(BQ132="ap",BS132*$EX$5/$EX$11*(+IF(BR132="全员",$EW$26,0)+IF(BR132="同作战",$EW$26,0)+IF(BR132="仲间",$EW$26*2/3,0)+IF(BR132="同属性",$EW$26*$EW$37/3,0)+IF(BR132="同年级",$EW$26*$EW$40/3,0)+IF(BR132="同学校",$EW$26*$EW$43/3,0)+IF(BR132="同小队",$EW$26*$EW$46/3,0)+IF(BR132="同type",$EW$26*INDEX($EX$49:$EX$52,MATCH(O132,$EW$49:$EW$52,))/3,0)+IF(BR132="自身",$AW132,0)),0)+IF(BQ132="te",BS132*($EW$22-1)*0.00003*$EX$7/$EX$13*(+IF(BR132="全员",$EX$18*$EW$26/(1+($EW$22-1)*$EW$19),0)+IF(BR132="同作战",$EX$18*$EW$26/(1+($EW$22-1)*$EW$19),0)+IF(BR132="仲间",$EX$18*$EW$26/(1+($EW$22-1)*$EW$19)*2/3,0)+IF(BR132="同属性",$EX$18*$EW$26/(1+($EW$22-1)*$EW$19)*$EW$37/3,0)+IF(BR132="同年级",$EX$18*$EW$26/(1+($EW$22-1)*$EW$19)*$EW$40/3,0)+IF(BR132="同学校",$EX$18*$EW$26/(1+($EW$22-1)*$EW$19)*$EW$43/3,0)+IF(BR132="同小队",$EX$18*$EW$26/(1+($EW$22-1)*$EW$19)*$EW$46/3,0)+IF(BR132="同type",$EX$18*$EW$26/(1+($EW$22-1)*$EW$19)*INDEX($EX$49:$EX$52,MATCH(O132,$EW$49:$EW$52,))/3,0)+IF(BR132="自身",$AS132*$AW132/(1+(AV132-1)*$AU132),0)),0)</f>
        <v>4952.2166430160187</v>
      </c>
      <c r="BU132" s="1097">
        <f t="shared" ref="BU132:BU195" si="208">IF(BQ132="ap",BS132*(1-$FI$26)*$FB$5/$FB$11*(+IF(BR132="全员",$FA$24,0)+IF(BR132="同作战",$FA$24,0)+IF(BR132="仲间",$FA$24*2/3,0)+IF(BR132="同属性",$FA$24*$FA$37/3,0)+IF(BR132="同年级",$FA$24*$FA$40/3,0)+IF(BR132="同学校",$FA$24*$FA$43/3,0)+IF(BR132="同小队",$FA$24*$FA$46/3,0)+IF(BR132="同type",$FA$24*INDEX($FB$49:$FB$52,MATCH(O132,$FA$49:$FA$52,))/3,0)+IF(BR132="自身",BH132/3,0)),0)+IF(BQ132="te",BS132*(1-$FI$27)*($FA$20-1)*$FB$7/$FB$13*(+IF(BR132="全员",$FA$19*$FA$24/(1+($FA$20-1)*$FA$19),0)+IF(BR132="同作战",$FA$19*$FA$24/(1+($FA$20-1)*$FA$19),0)+IF(BR132="仲间",$FA$19*$FA$24*2/3/(1+($FA$20-1)*$FA$19),0)+IF(BR132="同属性",$FA$19*$FA$24*$FA$37/3/(1+($FA$20-1)*$FA$19),0)+IF(BR132="同年级",$FA$19*$FA$24*$FA$40/3/(1+($FA$20-1)*$FA$19),0)+IF(BR132="同学校",$FA$19*$FA$24*$FA$43/3/(1+($FA$20-1)*$FA$19),0)+IF(BR132="同小队",$FA$19*$FA$24*$FA$46/3/(1+($FA$20-1)*$FA$19),0)+IF(BR132="同type",$FA$19*$FA$24*INDEX($FB$49:$FB$52,MATCH(O132,$FA$49:$FA$52,))/3/(1+($FA$20-1)*$FA$19),0)+IF(BR132="自身",$FA$19*BH132/3/(1+(AV132-1)*$BD132),0)),0)</f>
        <v>358.20967007162113</v>
      </c>
      <c r="BV132" s="1097">
        <f t="shared" ref="BV132:BV195" si="209">IF(BQ132="ap",BS132*$EW$26*$EX$5/$EX$11*(+IF(BR132="全员",1,0)+IF(BR132="仲间",1,0)+IF(BR132="同属性",$EW$38/3,0)+IF(BR132="同年级",$EW$41/3,0)+IF(BR132="同学校",$EW$44/3,0)+IF(BR132="同小队",$EW$47/3,0)+IF(BR132="同type",INDEX($EX$53:$EX$56,MATCH(O132,$EW$53:$EW$56,))/3,0)),0)+IF(BQ132="te",BS132*($EW$22-1)*0.00003*$EX$18*$EW$26/(1+($EW$22-1)*$EW$19)*$EX$7/$EX$13*(+IF(BR132="全员",1,0)+IF(BR132="仲间",1,0)+IF(BR132="同属性",$EW$38/3,0)+IF(BR132="同年级",$EW$41/3,0)+IF(BR132="同学校",$EW$44/3,0)+IF(BR132="同小队",$EW$47/3,0)+IF(BR132="同type",INDEX($EX$53:$EX$56,MATCH(O132,$EW$53:$EW$56,))/3,0)),0)</f>
        <v>0</v>
      </c>
      <c r="BW132" s="1112">
        <f t="shared" ref="BW132:BW195" si="210">IF(BQ132="st",BS132*$EX$6/$EX$12*(+IF(BR132="全员",$EX$17*9,0)+IF(BR132="仲间",$EX$17*8,0)+IF(BR132="同作战",$EX$17*3,0)+IF(BR132="同属性",$EX$17*$EW$39,0)+IF(BR132="同年级",$EX$17*$EW$42,0)+IF(BR132="同学校",$EX$17*$EW$45,0)+IF(BR132="同小队",$EX$17*$EW$48,0)+IF(BR132="同type",$EX$17*INDEX($EX$57:$EX$60,MATCH(O132,$EW$57:$EW$60,)),0)+IF(BR132="自身",$AR132)),0)/$EW$65*$EW$78</f>
        <v>0</v>
      </c>
      <c r="BX132" s="1100">
        <f t="shared" ref="BX132:BX195" si="211">IF(BQ132="st",$EW$26*(HP($EW$62,$EW$65,$EW$64-BW132)/$EW$66-1),BT132)</f>
        <v>4952.2166430160187</v>
      </c>
      <c r="BY132" s="1110">
        <f t="shared" ref="BY132:BY195" si="212">IF(BQ132="st",$EW$26*(HP($EW$62,$EW$65,$EW$64-BW132)/$EW$66-1),BV132)</f>
        <v>0</v>
      </c>
      <c r="BZ132" s="1107" t="s">
        <v>569</v>
      </c>
      <c r="CA132" s="1124"/>
      <c r="CB132" s="1098">
        <f>IF($P132="","N/A",IF($P132=-1,INDEX('卡片raw data'!BE:BE,MATCH($D132,'卡片raw data'!$F:$F,)),0)+IF($L132="party卡",IF($P132=5,INDEX('卡片raw data'!BK:BK,MATCH($D132,'卡片raw data'!$F:$F,)),IF($P132&gt;=3,INDEX('卡片raw data'!BJ:BJ,MATCH($D132,'卡片raw data'!$F:$F,)),INDEX('卡片raw data'!BI:BI,MATCH($D132,'卡片raw data'!$F:$F,)))),IF(OR(AND($F132="UR",$P132=0),AND($F132="SR",$P132&gt;=0,$P132&lt;=2),AND($F132="R",$P132&gt;=0,$P132&lt;4)),INDEX('卡片raw data'!BG:BG,MATCH($D132,'卡片raw data'!$F:$F,)),0)+IF(OR(AND($F132="UR",$P132&gt;=1,$P132&lt;=4),AND($F132="SR",$P132&lt;=4,$P132&gt;=3),AND($F132="R",$P132=4)),INDEX('卡片raw data'!BH:BH,MATCH($D132,'卡片raw data'!$F:$F,)),0)+IF($P132=5,INDEX('卡片raw data'!BI:BI,MATCH($D132,'卡片raw data'!$F:$F,)),0)))</f>
        <v>0</v>
      </c>
      <c r="CC132" s="1101">
        <f t="shared" ref="CC132:CC195" si="213">IF(BZ132="ap",CB132*$EX$5/$EX$11*(+IF(CA132="全员",$EW$26,0)+IF(CA132="同作战",$EW$26,0)+IF(CA132="仲间",$EW$26*2/3,0)+IF(CA132="同属性",$EW$26*$EW$37/3,0)+IF(CA132="同年级",$EW$26*$EW$40/3,0)+IF(CA132="同学校",$EW$26*$EW$43/3,0)+IF(CA132="同小队",$EW$26*$EW$46/3,0)+IF(CA132="同type",$EW$26*INDEX($EX$49:$EX$52,MATCH(O132,$EW$49:$EW$52,))/3,0)+IF(CA132="自身",$AW132,0)),0)+IF(BZ132="te",CB132*($EW$22-1)*0.00003*$EX$7/$EX$13*(+IF(CA132="全员",$EX$18*$EW$26/(1+($EW$22-1)*$EW$19),0)+IF(CA132="同作战",$EX$18*$EW$26/(1+($EW$22-1)*$EW$19),0)+IF(CA132="仲间",$EX$18*$EW$26/(1+($EW$22-1)*$EW$19)*2/3,0)+IF(CA132="同属性",$EX$18*$EW$26/(1+($EW$22-1)*$EW$19)*$EW$37/3,0)+IF(CA132="同年级",$EX$18*$EW$26/(1+($EW$22-1)*$EW$19)*$EW$40/3,0)+IF(CA132="同学校",$EX$18*$EW$26/(1+($EW$22-1)*$EW$19)*$EW$43/3,0)+IF(CA132="同小队",$EX$18*$EW$26/(1+($EW$22-1)*$EW$19)*$EW$46/3,0)+IF(CA132="同type",$EX$18*$EW$26/(1+($EW$22-1)*$EW$19)*INDEX($EX$49:$EX$52,MATCH(O132,$EW$49:$EW$52,))/3,0)+IF(CA132="自身",$AS132*$AW132/(1+(AV132-1)*$AU132),0)),0)</f>
        <v>0</v>
      </c>
      <c r="CD132" s="1097">
        <f>IF(BZ132="ap",CB132*(1-$FI$26)*$FB$5/$FB$11*(+IF(CA132="全员",$FA$24,0)+IF(CA132="同作战",$FA$24,0)+IF(CA132="仲间",$FA$24*2/3,0)+IF(CA132="同属性",$FA$24*$FA$37/3,0)+IF(CA132="同年级",$FA$24*$FA$40/3,0)+IF(CA132="同学校",$FA$24*$FA$43/3,0)+IF(CA132="同小队",$FA$24*$FA$46/3,0)+IF(CA132="同type",$FA$24*INDEX($FB$49:$FB$52,MATCH(X132,$FA$49:$FA$52,))/3,0)+IF(CA132="自身",#REF!/3,0)),0)+IF(BZ132="te",CB132*(1-$FI$27)*($FA$20-1)*$FB$7/$FB$13*(+IF(CA132="全员",$FA$19*$FA$24/(1+($FA$20-1)*$FA$19),0)+IF(CA132="同作战",$FA$19*$FA$24/(1+($FA$20-1)*$FA$19),0)+IF(CA132="仲间",$FA$19*$FA$24*2/3/(1+($FA$20-1)*$FA$19),0)+IF(CA132="同属性",$FA$19*$FA$24*$FA$37/3/(1+($FA$20-1)*$FA$19),0)+IF(CA132="同年级",$FA$19*$FA$24*$FA$40/3/(1+($FA$20-1)*$FA$19),0)+IF(CA132="同学校",$FA$19*$FA$24*$FA$43/3/(1+($FA$20-1)*$FA$19),0)+IF(CA132="同小队",$FA$19*$FA$24*$FA$46/3/(1+($FA$20-1)*$FA$19),0)+IF(CA132="同type",$FA$19*$FA$24*INDEX($FB$49:$FB$52,MATCH(X132,$FA$49:$FA$52,))/3/(1+($FA$20-1)*$FA$19),0)+IF(CA132="自身",$FA$19*#REF!/3/(1+(BH132-1)*$BD132),0)),0)</f>
        <v>0</v>
      </c>
      <c r="CE132" s="1097">
        <f t="shared" ref="CE132:CE195" si="214">IF(BZ132="ap",CB132*$EW$26*$EX$5/$EX$11*(+IF(CA132="全员",1,0)+IF(CA132="仲间",1,0)+IF(CA132="同属性",$EW$38/3,0)+IF(CA132="同年级",$EW$41/3,0)+IF(CA132="同学校",$EW$44/3,0)+IF(CA132="同小队",$EW$47/3,0)+IF(CA132="同type",INDEX($EX$53:$EX$56,MATCH(X132,$EW$53:$EW$56,))/3,0)),0)+IF(BZ132="te",CB132*($EW$22-1)*0.00003*$EX$18*$EW$26/(1+($EW$22-1)*$EW$19)*$EX$7/$EX$13*(+IF(CA132="全员",1,0)+IF(CA132="仲间",1,0)+IF(CA132="同属性",$EW$38/3,0)+IF(CA132="同年级",$EW$41/3,0)+IF(CA132="同学校",$EW$44/3,0)+IF(CA132="同小队",$EW$47/3,0)+IF(CA132="同type",INDEX($EX$53:$EX$56,MATCH(X132,$EW$53:$EW$56,))/3,0)),0)</f>
        <v>0</v>
      </c>
      <c r="CF132" s="1112">
        <f t="shared" ref="CF132:CF195" si="215">IF(BZ132="st",CB132*$EX$6/$EX$12*(+IF(CA132="全员",$EX$17*9,0)+IF(CA132="仲间",$EX$17*8,0)+IF(CA132="同作战",$EX$17*3,0)+IF(CA132="同属性",$EX$17*$EW$39,0)+IF(CA132="同年级",$EX$17*$EW$42,0)+IF(CA132="同学校",$EX$17*$EW$45,0)+IF(CA132="同小队",$EX$17*$EW$48,0)+IF(CA132="同type",$EX$17*INDEX($EX$57:$EX$60,MATCH(O132,$EW$57:$EW$60,)),0)+IF(CA132="自身",$AR132)),0)/$EW$65*$EW$78</f>
        <v>0</v>
      </c>
      <c r="CG132" s="1100">
        <f t="shared" ref="CG132:CG195" si="216">IF(BZ132="st",$EW$26*(HP($EW$62,$EW$65,$EW$64-CF132)/$EW$66-1),CC132)</f>
        <v>0</v>
      </c>
      <c r="CH132" s="1110">
        <f t="shared" ref="CH132:CH195" si="217">IF(BZ132="st",$EW$26*(HP($EW$62,$EW$65,$EW$64-CF132)/$EW$66-1),CE132)</f>
        <v>0</v>
      </c>
      <c r="CI132" s="1113" t="s">
        <v>164</v>
      </c>
      <c r="CJ132" s="1114">
        <v>0.3</v>
      </c>
      <c r="CK132" s="1115" t="s">
        <v>156</v>
      </c>
      <c r="CL132" s="1115" t="s">
        <v>1940</v>
      </c>
      <c r="CM132" s="1119">
        <v>0.1</v>
      </c>
      <c r="CN132" s="1115"/>
      <c r="CO132" s="1092"/>
      <c r="CP132" s="1117">
        <f t="shared" ref="CP132:CP195" si="218">IF(OR(CK132="无",CI132="大量伤害",CI132="AC失败",CI132="低血量",CK132="复活",CK132="驱散",CK132="Gd切队效果up"),0,IF(AND(CK132="sp获得",CI132="AC成功"),0,IF(CK132="其他",0,IF(CN132=0,CM132*(IF(CL132="ap",AQ132*IF(CK132="vo获得",AP132,1))+IF(CL132="st",AR132)+IF(CL132="te",AS132)+IF(CL132="sp槽",$EW$77)+IF(CL132="",1))*(IF(CI132="曲开始",CJ132,0)+IF(CI132="切队",IF(CO132&lt;&gt;"",MIN(CO132,CJ132*$EW$79),CJ132*$EW$79))+IF(CI132="SP发动",IF(CO132&lt;&gt;"",MIN(CO132,CJ132*$EW$76),CJ132*$EW$76))+IF(CI132="ap时",IF(CO132&lt;&gt;"",MIN(CO132,CJ132*$EW$65/3),CJ132*$EW$65/3),0)+IF(CI132="伤害时",IF(CO132&lt;&gt;"",MIN(CO132,CJ132*$EW$65*(1-$EW$75)),CJ132*$EW$65*(1-$EW$75)),0)+IF(CI132="ct时",IF(CO132&lt;&gt;"",MIN(CO132,CJ132*$EW$65/3*$AU132),CJ132*$EW$65/3*$AU132),0)+IF(OR(CI132="AC时",CI132="AC成功"),IF(CO132&lt;&gt;"",MIN(CO132,CJ132*$EW$73),CJ132*$EW$73))),0)/$EW$65+IF(CN132="infty",IF(OR(CI132="曲开始",AND(CJ132=1,CO132=1)),CM132*CJ132,IF(CI132="SP发动",IF(CO132=1,CM132*(1-(1-(1-CJ132)^($EW$76+1))/(($EW$76+1)*CJ132)))+IF(CO132="",CJ132*CM132*$EW$76/2),0)+IF(CI132="AC时",IF(CO132=1,CM132*(1-(1-(1-CJ132)^($EW$73+1))/(($EW$73+1)*CJ132)))+IF(CO132="",CJ132*CM132*$EW$73/2),0)+IF(CI132="AC成功",IF(CO132=1,CM132*(1-(1-(1-CJ132)^($EW$73+1))/(($EW$73+1)*CJ132)))+IF(CO132="",CJ132*CM132*$EW$73/2),0)),0)*(IF(CL132="全员",1,0)+IF(CL132="同属性",$EW$37/3,0)+IF(CL132="同年级",$EW$40/3,0)+IF(CL132="同作战",1,0)+IF(CL132="自身",1/3,0)+IF(CL132="同type",INDEX($EX$49:$EX$52,MATCH($O132,$EW$49:$EW$52,))/3))+IF(AND(CN132&lt;&gt;0,CN132&lt;&gt;"infty"),IF(CN132="AC内",$EW$74,CN132)*CM132*(IF(CI132="曲开始",CJ132,0)+IF(CI132="切队",IF(CO132&lt;&gt;"",MIN(CO132,CJ132*$EW$79),CJ132*$EW$79))+IF(CI132="SP发动",IF(CO132&lt;&gt;"",MIN(CO132,CJ132*$EW$76),CJ132*$EW$76))+IF(CI132="ap时",IF(CO132&lt;&gt;"",MIN(CO132,CJ132*$EW$65/3),CJ132*$EW$65/3),0)+IF(CI132="伤害时",IF(CO132&lt;&gt;"",MIN(CO132,CJ132*$EW$65*(1-$EW$75)),CJ132*$EW$65*(1-$EW$75)),0)+IF(CI132="ct时",IF(CO132&lt;&gt;"",MIN(CO132,CJ132*$EW$65/3*$AU132),CJ132*$EW$65/3*$AU132),0)+IF(OR(CI132="AC时",CI132="AC成功"),IF(CO132&lt;&gt;"",MIN(CO132,CJ132*$EW$73),CJ132*$EW$73))),0)/$EW$65*(IF(CL132="全员",1,0)+IF(CL132="同属性",$EW$37/3,0)+IF(CL132="同年级",$EW$40/3,0)+IF(CL132="同学校",$EW$43/3,0)+IF(CL132="同作战",1,0)+IF(CL132="自身",1/3,0)+IF(CL132="同type",INDEX($EX$49:$EX$52,MATCH($O132,$EW$49:$EW$52,))/3)-IF(AND(CK132="ct+",CL132&lt;&gt;"仲间"),MAX(CM132+$AU132-1,0)/CM132/3)))))</f>
        <v>0</v>
      </c>
      <c r="CQ132" s="1117">
        <f t="shared" ref="CQ132:CQ195" si="219">IF(OR(CK132="无",CI132="大量伤害",CI132="AC失败",CI132="低血量",CK132="复活",CK132="驱散",CK132="Gd切队效果up"),0,IF(AND(CK132="sp获得",CI132="AC成功"),0,IF(CK132="其他",0,IF(CN132=0,CM132*(IF(CL132="ap",BA132*IF(CK132="vo获得",AP132,1))+IF(CL132="st",BB132)+IF(CL132="te",BC132)+IF(CL132="sp槽",$FA$69)+IF(CL132="",1))*(IF(CK132="sp获得",$FA$30,1))*(IF(CI132="曲开始",CJ132,0)+IF(CI132="切队",IF(CO132&lt;&gt;"",MIN(CO132,CJ132*$FA$71),CJ132*$FA$71))+IF(CI132="SP发动",IF(CO132&lt;&gt;"",MIN(CO132,CJ132*$FA$68),CJ132*$FA$68))+IF(CI132="ap时",IF(CO132&lt;&gt;"",MIN(CO132,CJ132*$FA$62/3),CJ132*$FA$62/3),0)+IF(CI132="伤害时",IF(CO132&lt;&gt;"",MIN(CO132,CJ132*$FA$62*(1-$FA$67)),CJ132*$FA$62*(1-$FA$67)),0)+IF(CI132="ct时",IF(CO132&lt;&gt;"",MIN(CO132,CJ132*$FA$62/3*$BD132),CJ132*$FA$62/3*$BD132),0)+IF(OR(CI132="AC时",CI132="AC成功"),IF(CO132&lt;&gt;"",MIN(CO132,CJ132*$FA$65),CJ132*$FA$65))),0)/$FA$62+IF(CN132="infty",IF(OR(CI132="曲开始",AND(CJ132=1,CO132=1)),CM132*CJ132,IF(CI132="SP发动",IF(CO132=1,CM132*(1-(1-(1-CJ132)^($FA$68+1))/(($FA$68+1)*CJ132)))+IF(CO132="",CJ132*CM132*$FA$68/2),0)+IF(CI132="AC时",IF(CO132=1,CM132*(1-(1-(1-CJ132)^($FA$65+1))/(($FA$65+1)*CJ132)))+IF(CO132="",CJ132*CM132*$FA$65/2),0)+IF(CI132="AC成功",IF(CO132=1,CM132*(1-(1-(1-CJ132)^($FA$65+1))/(($FA$65+1)*CJ132)))+IF(CO132="",CJ132*CM132*$FA$65/2),0)),0)*(IF(CL132="全员",1,0)+IF(CL132="同属性",$FA$37/3,0)+IF(CL132="同年级",$FA$40/3,0)+IF(CL132="同作战",1,0)+IF(CL132="自身",1/3,0)+IF(CL132="同type",INDEX($FB$49:$FB$52,MATCH($O132,$FA$49:$FA$52,))/3))+IF(AND(CN132&lt;&gt;0,CN132&lt;&gt;"infty"),IF(CN132="AC内",$FA$66,CN132)*CM132*(IF(CI132="曲开始",CJ132,0)+IF(CI132="切队",IF(CO132&lt;&gt;"",MIN(CO132,CJ132*$FA$71),CJ132*$FA$71))+IF(CI132="SP发动",IF(CO132&lt;&gt;"",MIN(CO132,CJ132*$FA$68),CJ132*$FA$68))+IF(CI132="ap时",IF(CO132&lt;&gt;"",MIN(CO132,CJ132*$FA$62/3),CJ132*$FA$62/3),0)+IF(CI132="伤害时",IF(CO132&lt;&gt;"",MIN(CO132,CJ132*$FA$62*(1-$FA$67)),CJ132*$FA$62*(1-$FA$67)),0)+IF(CI132="ct时",IF(CO132&lt;&gt;"",MIN(CO132,CJ132*$FA$62/3*$BD132),CJ132*$FA$62/3*$BD132),0)+IF(OR(CI132="AC时",CI132="AC成功"),IF(CO132&lt;&gt;"",MIN(CO132,CJ132*$FA$65),CJ132*$FA$65))),0)/$FA$62*(IF(CL132="全员",1,0)+IF(CL132="同属性",$FA$37/3,0)+IF(CL132="同年级",$FA$40/3,0)+IF(CL132="同学校",$FA$43/3,0)+IF(CL132="同作战",1,0)+IF(CL132="自身",1/3,0)+IF(CL132="同type",INDEX($FB$49:$FB$52,MATCH($O132,$FA$49:$FA$52,))/3)-IF(AND(CK132="ct+",CL132&lt;&gt;"仲间"),MAX(CM132+$BD132-1,0)/3/CM132)))))</f>
        <v>0</v>
      </c>
      <c r="CR132" s="1117">
        <f t="shared" ref="CR132:CR195" si="220">IF(OR(CK132="无",CI132="大量伤害",CI132="AC失败",CI132="低血量",CK132="复活",CK132="驱散",CK132="Gd切队效果up"),0,IF(AND(CK132="sp获得",CI132="AC成功"),0,IF(CK132="其他",0,IF(CN132=0,CM132*(IF(CL132="ap",AQ132*IF(CK132="vo获得",AP132,1))+IF(CL132="st",AR132)+IF(CL132="te",AS132)+IF(CL132="sp槽",$EW$77)+IF(CL132="",1))*(IF(CI132="曲开始",CJ132,0)+IF(CI132="切队",IF(CO132&lt;&gt;"",MIN(CO132,CJ132*$EW$79),CJ132*$EW$79))+IF(CI132="SP发动",IF(CO132&lt;&gt;"",MIN(CO132,CJ132*$EW$76),CJ132*$EW$76))+IF(CI132="ap时",0)+IF(CI132="伤害时",IF(CO132&lt;&gt;"",MIN(CO132,CJ132*$EW$65*(1-$EW$75)),CJ132*$EW$65*(1-$EW$75)),0)+IF(CI132="ct时",0)+IF(OR(CI132="AC时",CI132="AC成功"),IF(CO132&lt;&gt;"",MIN(CO132,CJ132*$EW$73),CJ132*$EW$73))),0)/$EW$65+IF(CN132="infty",IF(OR(CI132="曲开始",AND(CJ132=1,CO132=1)),CM132*CJ132,IF(CI132="SP发动",IF(CO132=1,CM132*(1-(1-(1-CJ132)^($EW$76+1))/(($EW$76+1)*CJ132)))+IF(CO132="",CJ132*CM132*$EW$76/2),0)+IF(CI132="AC时",IF(CO132=1,CM132*(1-(1-(1-CJ132)^($EW$73+1))/(($EW$73+1)*CJ132)))+IF(CO132="",CJ132*CM132*$EW$73/2),0)+IF(CI132="AC成功",IF(CO132=1,CM132*(1-(1-(1-CJ132)^($EW$73+1))/(($EW$73+1)*CJ132)))+IF(CO132="",CJ132*CM132*$EW$73/2),0)),0)*(IF(CL132="全员",1,0)+IF(CL132="同属性",$EW$38/3,0)+IF(CL132="同年级",$EW$41/3,0)+IF(CL132="同作战",0,0)+IF(CL132="自身",0,0)+IF(CL132="同type",INDEX($EX$53:$EX$56,MATCH($O132,$EW$53:$EW$56,))/3))+IF(AND(CN132&lt;&gt;0,CN132&lt;&gt;"infty"),IF(CN132="AC内",$EW$74,CN132)*(IF(CI132="曲开始",CM132*CJ132,0)+IF(CI132="切队",CM132*IF(CO132&lt;&gt;"",MIN(CO132,CJ132*$EW$79),CJ132*$EW$79))+IF(CI132="SP发动",CM132*IF(CO132&lt;&gt;"",MIN(CO132,CJ132*$EW$76),CJ132*$EW$76))+IF(CI132="ap时",0,0)+IF(CI132="伤害时",CM132*IF(CO132&lt;&gt;"",MIN(CO132,CJ132*$EW$65*(1-$EW$75)),CJ132*$EW$65*(1-$EW$75)),0)+IF(CI132="ct时",0,0)+IF(OR(CI132="AC时",CI132="AC成功"),CM132*IF(CO132&lt;&gt;"",MIN(CO132,CJ132*$EW$73),CJ132*$EW$73))),0)/$EW$65*(IF(CL132="全员",1,0)+IF(CL132="同属性",$EW$38/3,0)+IF(CL132="同年级",$EW$41/3,0)+IF(CL132="同学校",$EW$44/3,0)+IF(CL132="同作战",0,0)+IF(CL132="自身",0,0)+IF(CL132="同type",INDEX($EX$53:$EX$56,MATCH($O132,$EW$53:$EW$56,))/3)))))</f>
        <v>0</v>
      </c>
      <c r="CS132" s="1118">
        <f t="shared" ref="CS132:CS195" si="221">IF(CK132="技能+",IF(CN132="infty",(IF(CI132="曲开始",CM132*CJ132)+IF(OR(CI132="AC时",CI132="AC成功"),(1-(1-(1-CJ132)^($FM$20+1))/(($FM$20+1)*CJ132))*CM132))*(IF(CL132="全员",1)))+IF(CN132&lt;&gt;"infty",CM132*(IF(CI132="曲开始",CJ132*CN132/$FM$19)+IF(OR(CI132="AC时",CI132="AC成功"),CN132*IF(CO132&lt;&gt;"",MIN(CO132,CJ132*$FM$20),CJ132*$FM$20)/$FM$19)+IF(CI132="切队",CN132*IF(CO132&lt;&gt;"",MIN(CJ132*$FM$11,CO132/$FM$19),CJ132*$FM$11))+IF(CI132="ap时",IF(CO132&lt;&gt;"",MIN(CO132/$FM147,IF($O132="sk",$FM$10,$FM$9)*CJ132),IF($O132="sk",$FM$10,$FM$9)*CJ132)*CN132)+IF(CI132="ct时",IF(CO132&lt;&gt;"",MIN(CO132/$FM147,$AU132*IF($O132="sk",$FM$10,$FM$9)*CJ132),$AU132*IF($O132="sk",$FM$10,$FM$9)*CJ132)*CN132))*(IF(CL132="全员",1)+IF(CL132="同作战",IF($O132="sk",$FM$10*3,$FM$9*3))+IF(CL132="同属性",$FM$23/6)+IF(CL132="同年级",$FM$24/6)+IF(CL132="自身",IF($O132="sk",$FM$10,$FM$9)))),0)*$FM$16</f>
        <v>0</v>
      </c>
      <c r="CT132" s="1109">
        <f t="shared" ref="CT132:CT195" si="222">IF(CK132="sp+",IF(CN132="infty",(IF(CI132="曲开始",CM132*CJ132*$FM$28)+IF(OR(CI132="AC时",CI132="AC成功"),(1-(1-(1-CJ132)^($FM$20+1))/(($FM$20+1)*CJ132))*CM132*$FM$28))*(IF(CL132="全员",1)))+IF(CN132&lt;&gt;"infty",CM132*$FM$28*(IF(CI132="曲开始",CJ132*CN132/$FM$19)+IF(OR(CI132="AC时",CI132="AC成功"),CN132*IF(CO132&lt;&gt;"",MIN(CO132,CJ132*$FM$20),CJ132*$FM$20)/$FM$19)+IF(CI132="切队",CN132*IF(CO132&lt;&gt;"",MIN(CJ132*$FM$11,CO132/$FM$19),CJ132*$FM$11))+IF(CI132="ap时",IF(CO132&lt;&gt;"",MIN(CO132/$FM147,IF($O132="sk",$FM$10,$FM$9)*CJ132),IF($O132="sk",$FM$10,$FM$9)*CJ132)*CN132)+IF(CI132="ct时",IF(CO132&lt;&gt;"",MIN(CO132/$FM147,$AU132*IF($O132="sk",$FM$10,$FM$9)*CJ132),$AU132*IF($O132="sk",$FM$10,$FM$9)*CJ132)*CN132))*(IF(CL132="全员",1)+IF(CL132="同作战",IF($O132="sk",$FM$10*3,$FM$9*3))+IF(CL132="同属性",$FM$23/6)+IF(CL132="同年级",$FM$24/6)+IF(CL132="同type",IF(O132="sp",$FN$6*$FM$9)))),0)+IF(CK132="sp获得",IF(CI132="AC成功",0,CM132*(IF(CL132="ap",AQ132)+IF(CL132="st",AR132)+IF(CL132="te",AS132)+IF(CL132="sp槽",$EW$77)+IF(CL132="",1))*IF($O132="sk",1,1+(1+$FM$10/$FM$9)*($FM$27-1))*(IF(CI132="曲开始",CJ132/$FM$19)+IF(CI132="SP发动",IF(CO132&lt;&gt;"",MIN(CO132/$FM$19,CJ132*$FM$30/$FM$19),CJ132*$FM$30/$FM$19))+IF(CI132="切队",IF(CO132&lt;&gt;"",MIN(CO132/$FM$19,CJ132*$FM$11),CJ132*$FM$11))+IF(OR(CI132="AC时",CI132="AC成功"),IF(CO132&lt;&gt;"",MIN(CO132/$FM$19,CJ132*$FM$20/$FM$19),CJ132*$FM$20/$FM$19))+IF(CI132="ap时",IF(CO132&lt;&gt;"",MIN(CO132/$FM$19,CJ132*IF($O132="sk",$FM$10,$FM$9)),CJ132*IF($O132="sk",$FM$10,$FM$9)))+IF(CI132="ct时",IF(CO132&lt;&gt;"",MIN(CO132/$FM$19,CJ132*IF($O132="sk",$FM$10,$FM$9)*$AU132),CJ132*IF($O132="sk",$FM$10,$FM$9)*$AU132)))))</f>
        <v>0</v>
      </c>
      <c r="CU132" s="1101">
        <f t="shared" ref="CU132:CU195" si="223">IF(AND(CK132="技能+",CL132="自身",$DR132=0.11),0,IF(CK132="sp+",CP132*$EW$30*$EW$32*(1-$EW$33),0)+IF(CK132="ap+",CP132*$EW$26/(1+$EW$15),0)+IF(CK132="ap+元气",CP132*$EW$26/(1+$EW$15)*$EW$67,0)+IF(CK132="技能+",$EW$28*CP132/$EW$27,0)+IF(CK132="vo+",$EW$26*CP132,0)+IF(CK132="sp获得",CP132*(1-$EW$33)*$EW$30/$EW$77)+IF(CK132="vo获得",CP132*$EW$24)+IF(CK132="ct+",$EW$26/(1+($EW$22-1)*$EW$19)*($EW$22-1)*CP132)+IF(CK132="核弹",$EW$24*CP132*(1+$EW$23))+IF(CK132="ct值+",$EW$26/(1+($EW$22-1)*$EW$19)*$EW$19*CP132))</f>
        <v>0</v>
      </c>
      <c r="CV132" s="1108">
        <f t="shared" ref="CV132:CV195" si="224">IF(AND(CK132="技能+",CL132="自身",$DR132=0.11),0,IF(CK132="sp+",CQ132*$FA$27*$FA$32*(1-$FA$33),0)+IF(CK132="ap+",CQ132*$FA$24/(1+$FA$15)*(1-$FI$26),0)+IF(CK132="ap+元气",CQ132*$FA$24/(1+$FA$15)*(1-$FI$26)*$FA$64,0)+IF(CK132="技能+",$FA$26*CQ132/$FA$25,0)+IF(CK132="vo+",$FA$24*CQ132*(1-$FI$26),0)+IF(CK132="sp获得",CQ132*(1-$FA$33)*$FA$27/$FA$69)+IF(CK132="vo获得",CQ132*$FA$22)+IF(CK132="ct+",$FA$24/(1+($FA$20-1)*$FA$19)*($FA$20-1)*CQ132*(1-$FI$27))+IF(CK132="核弹",CQ132*(1+$FA$21)*(1-$FI$29))+IF(CK132="ct值+",$FA$24/(1+($FA$20-1)*$FA$19)*$FA$19*CQ132*(1-$FI$28))+IF(CK132="自身ct时上限突破",CQ132*$FI$24*$FI$26*BD132,0))</f>
        <v>0</v>
      </c>
      <c r="CW132" s="1097">
        <f t="shared" ref="CW132:CW195" si="225">IF(CK132="sp+",CR132*$EW$30*$EW$32*(1-$EW$33),0)+IF(CK132="ap+",CR132*$EW$26/(1+$EW$15),0)+IF(CK132="ap+元气",CR132*$EW$26/(1+$EW$15)*$EW$67,0)+IF(CK132="技能+",$EW$28*CR132/$EW$27,0)+IF(CK132="vo+",$EW$26*CR132,0)+IF(CK132="sp获得",CR132*(1-$EW$33)*$EW$30/$EW$77)+IF(CK132="vo获得",CR132*$EW$24)+IF(CK132="ct+",$EW$26/(1+($EW$22-1)*$EW$19)*($EW$22-1)*CR132)+IF(CK132="核弹",CR132*(1+$EW$23)*$EW$24)+IF(CK132="ct值+",$EW$26/(1+($EW$22-1)*$EW$19)*$EW$19*CR132)</f>
        <v>0</v>
      </c>
      <c r="CX132" s="1097">
        <f t="shared" ref="CX132:CX195" si="226">CU132+IF(OR(CK132="加盾",AND(CK132="回血",OR(CI132&lt;&gt;"切队",CO132=""))),MIN($EW$26/$EW$66*(1-$EW$66)-$EE132+$EC132-$ET132+$ER132, $EW$26*(HP($EW$62,$EW$65,$EW$64-CP132)/$EW$66-1)))+IF(CK132="减伤",MIN($EW$26/$EW$66*(1-$EW$66)-$EE132+$EC132-$ET132+$ER132, $EW$26*(HP($EW$62,$EW$65,$EW$64*(1-CP132))/$EW$66-1)))</f>
        <v>0</v>
      </c>
      <c r="CY132" s="1110">
        <f t="shared" ref="CY132:CY195" si="227">CW132+(IF(OR(CK132="加盾",AND(CK132="回血",OR(CI132&lt;&gt;"切队",CO132=""))),$EW$26*(HP($EW$62,$EW$65,$EW$64-CP132)/$EW$66-1))+IF(CK132="减伤",$EW$26*(HP($EW$62,$EW$65,$EW$64*(1-CP132))/$EW$66-1)))*IF(OR(CL132="自身",CL132="同作战"),0,1)*IF(OR(CI132="ap时",CI132="ct时"),0,1)</f>
        <v>0</v>
      </c>
      <c r="CZ132" s="437"/>
      <c r="DA132" s="438"/>
      <c r="DB132" s="439" t="s">
        <v>569</v>
      </c>
      <c r="DC132" s="439"/>
      <c r="DD132" s="443"/>
      <c r="DE132" s="411"/>
      <c r="DF132" s="411"/>
      <c r="DG132" s="1116">
        <f t="shared" ref="DG132:DG195" si="228">IF(OR(DB132="无",CZ132="大量伤害",CZ132="AC失败",CZ132="低血量",DB132="复活",DB132="驱散",DB132="Gd切队效果up"),0,IF(AND(DB132="sp获得",CZ132="AC成功"),0,IF(DB132="其他",0,IF(DE132=0,DD132*(IF(DC132="ap",BH132*IF(DB132="vo获得",BG132,1))+IF(DC132="st",BI132)+IF(DC132="te",BJ132)+IF(DC132="sp槽",$EW$77)+IF(DC132="",1))*(IF(CZ132="曲开始",DA132,0)+IF(CZ132="切队",IF(DF132&lt;&gt;"",MIN(DF132,DA132*$EW$79),DA132*$EW$79))+IF(CZ132="SP发动",IF(DF132&lt;&gt;"",MIN(DF132,DA132*$EW$76),DA132*$EW$76))+IF(CZ132="ap时",IF(DF132&lt;&gt;"",MIN(DF132,DA132*$EW$65/3),DA132*$EW$65/3),0)+IF(CZ132="伤害时",IF(DF132&lt;&gt;"",MIN(DF132,DA132*$EW$65*(1-$EW$75)),DA132*$EW$65*(1-$EW$75)),0)+IF(CZ132="ct时",IF(DF132&lt;&gt;"",MIN(DF132,DA132*$EW$65/3*$AU132),DA132*$EW$65/3*$AU132),0)+IF(OR(CZ132="AC时",CZ132="AC成功"),IF(DF132&lt;&gt;"",MIN(DF132,DA132*$EW$73),DA132*$EW$73))),0)/$EW$65+IF(DE132="infty",IF(OR(CZ132="曲开始",AND(DA132=1,DF132=1)),DD132*DA132,IF(CZ132="SP发动",IF(DF132=1,DD132*(1-(1-(1-DA132)^($EW$76+1))/(($EW$76+1)*DA132)))+IF(DF132="",DA132*DD132*$EW$76/2),0)+IF(CZ132="AC时",IF(DF132=1,DD132*(1-(1-(1-DA132)^($EW$73+1))/(($EW$73+1)*DA132)))+IF(DF132="",DA132*DD132*$EW$73/2),0)+IF(CZ132="AC成功",IF(DF132=1,DD132*(1-(1-(1-DA132)^($EW$73+1))/(($EW$73+1)*DA132)))+IF(DF132="",DA132*DD132*$EW$73/2),0)),0)*(IF(DC132="全员",1,0)+IF(DC132="同属性",$EW$37/3,0)+IF(DC132="同年级",$EW$40/3,0)+IF(DC132="同作战",1,0)+IF(DC132="自身",1/3,0)+IF(DC132="同type",INDEX($EX$49:$EX$52,MATCH($O132,$EW$49:$EW$52,))/3))+IF(AND(DE132&lt;&gt;0,DE132&lt;&gt;"infty"),IF(DE132="AC内",$EW$74,DE132)*DD132*(IF(CZ132="曲开始",DA132,0)+IF(CZ132="切队",IF(DF132&lt;&gt;"",MIN(DF132,DA132*$EW$79),DA132*$EW$79))+IF(CZ132="SP发动",IF(DF132&lt;&gt;"",MIN(DF132,DA132*$EW$76),DA132*$EW$76))+IF(CZ132="ap时",IF(DF132&lt;&gt;"",MIN(DF132,DA132*$EW$65/3),DA132*$EW$65/3),0)+IF(CZ132="伤害时",IF(DF132&lt;&gt;"",MIN(DF132,DA132*$EW$65*(1-$EW$75)),DA132*$EW$65*(1-$EW$75)),0)+IF(CZ132="ct时",IF(DF132&lt;&gt;"",MIN(DF132,DA132*$EW$65/3*$AU132),DA132*$EW$65/3*$AU132),0)+IF(OR(CZ132="AC时",CZ132="AC成功"),IF(DF132&lt;&gt;"",MIN(DF132,DA132*$EW$73),DA132*$EW$73))),0)/$EW$65*(IF(DC132="全员",1,0)+IF(DC132="同属性",$EW$37/3,0)+IF(DC132="同年级",$EW$40/3,0)+IF(DC132="同学校",$EW$43/3,0)+IF(DC132="同作战",1,0)+IF(DC132="自身",1/3,0)+IF(DC132="同type",INDEX($EX$49:$EX$52,MATCH($O132,$EW$49:$EW$52,))/3)-IF(AND(DB132="ct+",DC132&lt;&gt;"仲间"),MAX(DD132+$AU132-1,0)/DD132/3)))))</f>
        <v>0</v>
      </c>
      <c r="DH132" s="1116">
        <f t="shared" ref="DH132:DH195" si="229">IF(OR(DB132="无",CZ132="大量伤害",CZ132="AC失败",CZ132="低血量",DB132="复活",DB132="驱散",DB132="Gd切队效果up"),0,IF(AND(DB132="sp获得",CZ132="AC成功"),0,IF(DB132="其他",0,IF(DE132=0,DD132*(IF(DC132="ap",BR132*IF(DB132="vo获得",BG132,1))+IF(DC132="st",BS132)+IF(DC132="te",BT132)+IF(DC132="sp槽",$FA$69)+IF(DC132="",1))*(IF(DB132="sp获得",$FA$30,1))*(IF(CZ132="曲开始",DA132,0)+IF(CZ132="切队",IF(DF132&lt;&gt;"",MIN(DF132,DA132*$FA$71),DA132*$FA$71))+IF(CZ132="SP发动",IF(DF132&lt;&gt;"",MIN(DF132,DA132*$FA$68),DA132*$FA$68))+IF(CZ132="ap时",IF(DF132&lt;&gt;"",MIN(DF132,DA132*$FA$62/3),DA132*$FA$62/3),0)+IF(CZ132="伤害时",IF(DF132&lt;&gt;"",MIN(DF132,DA132*$FA$62*(1-$FA$67)),DA132*$FA$62*(1-$FA$67)),0)+IF(CZ132="ct时",IF(DF132&lt;&gt;"",MIN(DF132,DA132*$FA$62/3*$BD132),DA132*$FA$62/3*$BD132),0)+IF(OR(CZ132="AC时",CZ132="AC成功"),IF(DF132&lt;&gt;"",MIN(DF132,DA132*$FA$65),DA132*$FA$65))),0)/$FA$62+IF(DE132="infty",IF(OR(CZ132="曲开始",AND(DA132=1,DF132=1)),DD132*DA132,IF(CZ132="SP发动",IF(DF132=1,DD132*(1-(1-(1-DA132)^($FA$68+1))/(($FA$68+1)*DA132)))+IF(DF132="",DA132*DD132*$FA$68/2),0)+IF(CZ132="AC时",IF(DF132=1,DD132*(1-(1-(1-DA132)^($FA$65+1))/(($FA$65+1)*DA132)))+IF(DF132="",DA132*DD132*$FA$65/2),0)+IF(CZ132="AC成功",IF(DF132=1,DD132*(1-(1-(1-DA132)^($FA$65+1))/(($FA$65+1)*DA132)))+IF(DF132="",DA132*DD132*$FA$65/2),0)),0)*(IF(DC132="全员",1,0)+IF(DC132="同属性",$FA$37/3,0)+IF(DC132="同年级",$FA$40/3,0)+IF(DC132="同作战",1,0)+IF(DC132="自身",1/3,0)+IF(DC132="同type",INDEX($FB$49:$FB$52,MATCH($O132,$FA$49:$FA$52,))/3))+IF(AND(DE132&lt;&gt;0,DE132&lt;&gt;"infty"),IF(DE132="AC内",$FA$66,DE132)*DD132*(IF(CZ132="曲开始",DA132,0)+IF(CZ132="切队",IF(DF132&lt;&gt;"",MIN(DF132,DA132*$FA$71),DA132*$FA$71))+IF(CZ132="SP发动",IF(DF132&lt;&gt;"",MIN(DF132,DA132*$FA$68),DA132*$FA$68))+IF(CZ132="ap时",IF(DF132&lt;&gt;"",MIN(DF132,DA132*$FA$62/3),DA132*$FA$62/3),0)+IF(CZ132="伤害时",IF(DF132&lt;&gt;"",MIN(DF132,DA132*$FA$62*(1-$FA$67)),DA132*$FA$62*(1-$FA$67)),0)+IF(CZ132="ct时",IF(DF132&lt;&gt;"",MIN(DF132,DA132*$FA$62/3*$BD132),DA132*$FA$62/3*$BD132),0)+IF(OR(CZ132="AC时",CZ132="AC成功"),IF(DF132&lt;&gt;"",MIN(DF132,DA132*$FA$65),DA132*$FA$65))),0)/$FA$62*(IF(DC132="全员",1,0)+IF(DC132="同属性",$FA$37/3,0)+IF(DC132="同年级",$FA$40/3,0)+IF(DC132="同学校",$FA$43/3,0)+IF(DC132="同作战",1,0)+IF(DC132="自身",1/3,0)+IF(DC132="同type",INDEX($FB$49:$FB$52,MATCH($O132,$FA$49:$FA$52,))/3)-IF(AND(DB132="ct+",DC132&lt;&gt;"仲间"),MAX(DD132+$BD132-1,0)/3/DD132)))))</f>
        <v>0</v>
      </c>
      <c r="DI132" s="1116">
        <f t="shared" ref="DI132:DI195" si="230">IF(OR(DB132="无",CZ132="大量伤害",CZ132="AC失败",CZ132="低血量",DB132="复活",DB132="驱散",DB132="Gd切队效果up"),0,IF(AND(DB132="sp获得",CZ132="AC成功"),0,IF(DB132="其他",0,IF(DE132=0,DD132*(IF(DC132="ap",BH132*IF(DB132="vo获得",BG132,1))+IF(DC132="st",BI132)+IF(DC132="te",BJ132)+IF(DC132="sp槽",$EW$77)+IF(DC132="",1))*(IF(CZ132="曲开始",DA132,0)+IF(CZ132="切队",IF(DF132&lt;&gt;"",MIN(DF132,DA132*$EW$79),DA132*$EW$79))+IF(CZ132="SP发动",IF(DF132&lt;&gt;"",MIN(DF132,DA132*$EW$76),DA132*$EW$76))+IF(CZ132="ap时",0)+IF(CZ132="伤害时",IF(DF132&lt;&gt;"",MIN(DF132,DA132*$EW$65*(1-$EW$75)),DA132*$EW$65*(1-$EW$75)),0)+IF(CZ132="ct时",0)+IF(OR(CZ132="AC时",CZ132="AC成功"),IF(DF132&lt;&gt;"",MIN(DF132,DA132*$EW$73),DA132*$EW$73))),0)/$EW$65+IF(DE132="infty",IF(OR(CZ132="曲开始",AND(DA132=1,DF132=1)),DD132*DA132,IF(CZ132="SP发动",IF(DF132=1,DD132*(1-(1-(1-DA132)^($EW$76+1))/(($EW$76+1)*DA132)))+IF(DF132="",DA132*DD132*$EW$76/2),0)+IF(CZ132="AC时",IF(DF132=1,DD132*(1-(1-(1-DA132)^($EW$73+1))/(($EW$73+1)*DA132)))+IF(DF132="",DA132*DD132*$EW$73/2),0)+IF(CZ132="AC成功",IF(DF132=1,DD132*(1-(1-(1-DA132)^($EW$73+1))/(($EW$73+1)*DA132)))+IF(DF132="",DA132*DD132*$EW$73/2),0)),0)*(IF(DC132="全员",1,0)+IF(DC132="同属性",$EW$38/3,0)+IF(DC132="同年级",$EW$41/3,0)+IF(DC132="同作战",0,0)+IF(DC132="自身",0,0)+IF(DC132="同type",INDEX($EX$53:$EX$56,MATCH($O132,$EW$53:$EW$56,))/3))+IF(AND(DE132&lt;&gt;0,DE132&lt;&gt;"infty"),IF(DE132="AC内",$EW$74,DE132)*(IF(CZ132="曲开始",DD132*DA132,0)+IF(CZ132="切队",DD132*IF(DF132&lt;&gt;"",MIN(DF132,DA132*$EW$79),DA132*$EW$79))+IF(CZ132="SP发动",DD132*IF(DF132&lt;&gt;"",MIN(DF132,DA132*$EW$76),DA132*$EW$76))+IF(CZ132="ap时",0,0)+IF(CZ132="伤害时",DD132*IF(DF132&lt;&gt;"",MIN(DF132,DA132*$EW$65*(1-$EW$75)),DA132*$EW$65*(1-$EW$75)),0)+IF(CZ132="ct时",0,0)+IF(OR(CZ132="AC时",CZ132="AC成功"),DD132*IF(DF132&lt;&gt;"",MIN(DF132,DA132*$EW$73),DA132*$EW$73))),0)/$EW$65*(IF(DC132="全员",1,0)+IF(DC132="同属性",$EW$38/3,0)+IF(DC132="同年级",$EW$41/3,0)+IF(DC132="同学校",$EW$44/3,0)+IF(DC132="同作战",0,0)+IF(DC132="自身",0,0)+IF(DC132="同type",INDEX($EX$53:$EX$56,MATCH($O132,$EW$53:$EW$56,))/3)))))</f>
        <v>0</v>
      </c>
      <c r="DJ132" s="442">
        <f t="shared" ref="DJ132:DJ195" si="231">IF(DB132="技能+",IF(DE132="infty",(IF(CZ132="曲开始",DD132*DA132)+IF(OR(CZ132="AC时",CZ132="AC成功"),(1-(1-(1-DA132)^($FM$20+1))/(($FM$20+1)*DA132))*DD132))*(IF(DC132="全员",1)))+IF(DE132&lt;&gt;"infty",DD132*(IF(CZ132="曲开始",DA132*DE132/$FM$19)+IF(OR(CZ132="AC时",CZ132="AC成功"),DE132*IF(DF132&lt;&gt;"",MIN(DF132,DA132*$FM$20),DA132*$FM$20)/$FM$19)+IF(CZ132="切队",DE132*IF(DF132&lt;&gt;"",MIN(DA132*$FM$11,DF132/$FM$19),DA132*$FM$11))+IF(CZ132="ap时",IF(DF132&lt;&gt;"",MIN(DF132/$FM147,IF($O132="sk",$FM$10,$FM$9)*DA132),IF($O132="sk",$FM$10,$FM$9)*DA132)*DE132)+IF(CZ132="ct时",IF(DF132&lt;&gt;"",MIN(DF132/$FM147,$AU132*IF($O132="sk",$FM$10,$FM$9)*DA132),$AU132*IF($O132="sk",$FM$10,$FM$9)*DA132)*DE132))*(IF(DC132="全员",1)+IF(DC132="同作战",IF($O132="sk",$FM$10*3,$FM$9*3))+IF(DC132="同属性",$FM$23/6)+IF(DC132="同年级",$FM$24/6)+IF(DC132="自身",IF($O132="sk",$FM$10,$FM$9)))),0)*$FM$16</f>
        <v>0</v>
      </c>
      <c r="DK132" s="1109">
        <f t="shared" ref="DK132:DK195" si="232">IF(DB132="sp+",IF(DE132="infty",(IF(CZ132="曲开始",DD132*DA132*$FM$28)+IF(OR(CZ132="AC时",CZ132="AC成功"),(1-(1-(1-DA132)^($FM$20+1))/(($FM$20+1)*DA132))*DD132*$FM$28))*(IF(DC132="全员",1)))+IF(DE132&lt;&gt;"infty",DD132*$FM$28*(IF(CZ132="曲开始",DA132*DE132/$FM$19)+IF(OR(CZ132="AC时",CZ132="AC成功"),DE132*IF(DF132&lt;&gt;"",MIN(DF132,DA132*$FM$20),DA132*$FM$20)/$FM$19)+IF(CZ132="切队",DE132*IF(DF132&lt;&gt;"",MIN(DA132*$FM$11,DF132/$FM$19),DA132*$FM$11))+IF(CZ132="ap时",IF(DF132&lt;&gt;"",MIN(DF132/$FM147,IF($O132="sk",$FM$10,$FM$9)*DA132),IF($O132="sk",$FM$10,$FM$9)*DA132)*DE132)+IF(CZ132="ct时",IF(DF132&lt;&gt;"",MIN(DF132/$FM147,$AU132*IF($O132="sk",$FM$10,$FM$9)*DA132),$AU132*IF($O132="sk",$FM$10,$FM$9)*DA132)*DE132))*(IF(DC132="全员",1)+IF(DC132="同作战",IF($O132="sk",$FM$10*3,$FM$9*3))+IF(DC132="同属性",$FM$23/6)+IF(DC132="同年级",$FM$24/6)+IF(DC132="同type",IF(AF132="sp",$FN$6*$FM$9)))),0)+IF(DB132="sp获得",IF(CZ132="AC成功",0,DD132*(IF(DC132="ap",BI132)+IF(DC132="st",BJ132)+IF(DC132="te",BK132)+IF(DC132="sp槽",$EW$77)+IF(DC132="",1))*IF($O132="sk",1,1+(1+$FM$10/$FM$9)*($FM$27-1))*(IF(CZ132="曲开始",DA132/$FM$19)+IF(CZ132="SP发动",IF(DF132&lt;&gt;"",MIN(DF132/$FM$19,DA132*$FM$30/$FM$19),DA132*$FM$30/$FM$19))+IF(CZ132="切队",IF(DF132&lt;&gt;"",MIN(DF132/$FM$19,DA132*$FM$11),DA132*$FM$11))+IF(OR(CZ132="AC时",CZ132="AC成功"),IF(DF132&lt;&gt;"",MIN(DF132/$FM$19,DA132*$FM$20/$FM$19),DA132*$FM$20/$FM$19))+IF(CZ132="ap时",IF(DF132&lt;&gt;"",MIN(DF132/$FM$19,DA132*IF($O132="sk",$FM$10,$FM$9)),DA132*IF($O132="sk",$FM$10,$FM$9)))+IF(CZ132="ct时",IF(DF132&lt;&gt;"",MIN(DF132/$FM$19,DA132*IF($O132="sk",$FM$10,$FM$9)*$AU132),DA132*IF($O132="sk",$FM$10,$FM$9)*$AU132)))))</f>
        <v>0</v>
      </c>
      <c r="DL132" s="1101">
        <f t="shared" ref="DL132:DL195" si="233">IF(DB132="sp+",DG132*$EW$30*$EW$32*(1-$EW$33),0)+IF(DB132="ap+",DG132*$EW$26/(1+$EW$15),0)+IF(DB132="ap+元气",DG132*$EW$26/(1+$EW$15)*$EW$67,0)+IF(DB132="技能+",$EW$28*DG132/$EW$27,0)+IF(DB132="vo+",$EW$26*DG132,0)+IF(DB132="sp获得",DG132*(1-$EW$33)*$EW$30/$EW$77)+IF(DB132="vo获得",DG132*$EW$24)+IF(DB132="ct+",$EW$26/(1+($EW$22-1)*$EW$19)*($EW$22-1)*DG132)+IF(DB132="核弹",DG132*(1+$EW$23))+IF(DB132="ct值+",$EW$26/(1+($EW$22-1)*$EW$19)*$EW$19*DG132)</f>
        <v>0</v>
      </c>
      <c r="DM132" s="1097">
        <f t="shared" ref="DM132:DM195" si="234">IF(DB132="sp+",DH132*$FA$27*$FA$32*(1-$FA$33),0)+IF(DB132="ap+",DH132*$FA$24/(1+$FA$15)*(1-$FI$26),0)+IF(DB132="ap+元气",DH132*$FA$24/(1+$FA$15)*(1-$FI$26)*$FA$64,0)+IF(DB132="技能+",$FA$26*DH132/$FA$25,0)+IF(DB132="vo+",$FA$24*DH132*(1-$FI$26),0)+IF(DB132="sp获得",DH132*(1-$FA$33)*$FA$27/$FA$69)+IF(DB132="vo获得",DH132*$FA$22)+IF(DB132="ct+",$FA$24/(1+($FA$20-1)*$FA$19)*($FA$20-1)*DH132*(1-$FI$27))+IF(DB132="核弹",DH132*(1+$FA$21)*(1-$FI$29))+IF(DB132="ct值+",$FA$24/(1+($FA$20-1)*$FA$19)*$FA$19*DH132*(1-$FI$28))</f>
        <v>0</v>
      </c>
      <c r="DN132" s="1097">
        <f t="shared" ref="DN132:DN195" si="235">IF(DB132="sp+",DI132*$EW$30*$EW$32*(1-$EW$33),0)+IF(DB132="ap+",DI132*$EW$26/(1+$EW$15),0)+IF(DB132="ap+元气",DI132*$EW$26/(1+$EW$15)*$EW$67,0)+IF(DB132="技能+",$EW$28*DI132/$EW$27,0)+IF(DB132="vo+",$EW$26*DI132,0)+IF(DB132="sp获得",DI132*(1-$EW$33)*$EW$30/$EW$77)+IF(DB132="vo获得",DI132*$EW$24)+IF(DB132="ct+",$EW$26/(1+($EW$22-1)*$EW$19)*($EW$22-1)*DI132)+IF(DB132="核弹",DI132*(1+$EW$23))+IF(DB132="ct值+",$EW$26/(1+($EW$22-1)*$EW$19)*$EW$19*DI132)</f>
        <v>0</v>
      </c>
      <c r="DO132" s="1097">
        <f t="shared" ref="DO132:DO195" si="236">DL132+IF(OR(DB132="加盾",AND(DB132="回血",OR(CZ132&lt;&gt;"切队",DF132=""))),MIN($EW$26/$EW$66*(1-$EW$66)-$EE132+$EC132-$ET132+$ER132, $EW$26*(HP($EW$62,$EW$65,$EW$64-DG132)/$EW$66-1)))+IF(DB132="减伤",MIN($EW$26/$EW$66*(1-$EW$66)-$EE132+$EC132-$ET132+$ER132, $EW$26*(HP($EW$62,$EW$65,$EW$64*(1-DG132))/$EW$66-1)))</f>
        <v>0</v>
      </c>
      <c r="DP132" s="1110">
        <f t="shared" ref="DP132:DP195" si="237">DN132+(IF(OR(DB132="加盾",AND(DB132="回血",OR(CZ132&lt;&gt;"切队",DF132=""))),$EW$26*(HP($EW$62,$EW$65,$EW$64-DG132)/$EW$66-1))+IF(DB132="减伤",$EW$26*(HP($EW$62,$EW$65,$EW$64*(1-DG132))/$EW$66-1)))*IF(OR(DC132="自身",DC132="同作战"),0,1)*IF(OR(CZ132="ap时",CZ132="ct时"),0,1)</f>
        <v>0</v>
      </c>
      <c r="DQ132" s="1113" t="s">
        <v>256</v>
      </c>
      <c r="DR132" s="1120">
        <f t="shared" ref="DR132:DR195" si="238">IF(F132="UR",0.33,0.3)</f>
        <v>0.33</v>
      </c>
      <c r="DS132" s="1124"/>
      <c r="DT132" s="1093" t="s">
        <v>132</v>
      </c>
      <c r="DU132" s="1093"/>
      <c r="DV132" s="1098">
        <f>IF($P132="","N/A",IF(P132=-1,INDEX('卡片raw data'!AN:AN,MATCH(D132,'卡片raw data'!$F:$F,)),0)+IF(AND(L132&lt;&gt;"party卡",P132&lt;=2,P132&gt;=0),INDEX('卡片raw data'!AP:AP,MATCH(D132,'卡片raw data'!$F:$F,)),0)+IF(OR(AND(L132="party卡",P132&lt;=1),AND(P132&lt;=4,L132&lt;&gt;"party卡",P132&gt;=3)),INDEX('卡片raw data'!AQ:AQ,MATCH(D132,'卡片raw data'!$F:$F,)),0)+IF(OR(P132=5,AND(L132="party卡",P132&gt;=2)),INDEX('卡片raw data'!AR:AR,MATCH(D132,'卡片raw data'!$F:$F,)),0))</f>
        <v>0.32</v>
      </c>
      <c r="DW132" s="1098">
        <f t="shared" ref="DW132:DW195" si="239">DR132+IF(AND($CK132="技能+",$CL132="自身",DR132=0.11),$CP132*3)</f>
        <v>0.33</v>
      </c>
      <c r="DX132" s="1098">
        <f t="shared" ref="DX132:DX195" si="240">DR132+IF(AND($CK132="技能+",$CL132="自身",DR132=0.11),$CQ132*3)</f>
        <v>0.33</v>
      </c>
      <c r="DY132" s="1125">
        <f t="shared" ref="DY132:DY195" si="241">IF(DS132=0,IF(DT132="ap",DV132*$AQ132*DW132/3*IF(DQ132="vo获得",$AP132,1))+IF(DT132="st",DV132*$AR132*DW132/3)+IF(DT132="te",DV132*$AS132*DW132/3)+IF(DT132="sp槽",DV132*DW132/3)+IF(DT132="固定值",IF(DQ132="sp获得",DV132/3*DW132/$EW$77,DV132*DW132/3)),IF(DU132="百分比",IF(DT132="全员",DV132*DW132/3*DS132)+IF(DT132="仲间",DV132*DW132/3*DS132*2/3)+IF(DT132="同作战",DV132*DW132/3*DS132)+IF(DT132="同年级",DV132*DW132/3*DS132*$EW$40/3)+IF(DT132="同学校",DV132*DW132/3*DS132*$EW$43/3)+IF(DT132="同属性",DV132*DW132/3*DS132*$EW$37/3)+IF(DT132="同type",DV132*DW132/3*DS132*INDEX($EX$49:$EX$52,MATCH(O132,$EW$49:$EW$52,))/3),(IF(DQ132="ap+",DV132/$EX$16*DS132*DW132/3)+IF(DQ132="vo+",DV132*(1+$EW$23)/$EW$26*DS132*DW132/3))*(IF(DT132="全员",1)+IF(DT132="同作战",1)))-IF(AND(DQ132="ct+",DT132&lt;&gt;"仲间"),MAX(DV132+$AU132-1,0)*DW132/3*_xlfn.FLOOR.MATH(DS132/3)))</f>
        <v>1539.3963984255997</v>
      </c>
      <c r="DZ132" s="1125">
        <f t="shared" ref="DZ132:DZ195" si="242">IF(DS132=0,IF(DT132="ap",IF(DQ132="vo获得",MIN(DV132*$BA132*$AP132,$FI$25)*$FA$22*DX132/3,DV132*$BA132*DX132/3))+IF(DT132="st",DV132*$BB132*DX132/3)+IF(DT132="te",DV132*$BC132*DX132/3)+IF(DT132="sp槽",DV132*DX132/3*$FA$30)+IF(DT132="固定值",IF(DQ132="sp获得",DV132/3*DX132/$FA$69*$FA$30,DV132*DX132/3)),IF(DU132="百分比",IF(DT132="全员",DV132*DX132/3*DS132)+IF(DT132="仲间",DV132*DX132/3*DS132*2/3)+IF(DT132="同作战",DV132*DX132/3*DS132)+IF(DT132="同年级",DV132*DX132/3*DS132*$FA$40/3)+IF(DT132="同学校",DV132*DX132/3*DS132*$FA$43/3)+IF(DT132="同属性",DV132*DX132/3*DS132*$FA$37/3)+IF(DT132="同type",DV132*DX132/3*DS132*INDEX($FB$49:$FB$52,MATCH(O132,$FA$49:$FA$52,))/3),(IF(DQ132="ap+",DV132/$FB$16*DS132*DX132/3)+IF(DQ132="vo+",DV132*(1+$FA$21)/$FA$24*DS132*DX132/3))*(IF(DT132="全员",1)+IF(DT132="同作战",1)))-IF(AND(DQ132="ct+",DT132&lt;&gt;"仲间"),MAX(DV132+$BD132-1,0)*DX132/3*_xlfn.FLOOR.MATH(DS132/3)))*$FA$57</f>
        <v>1193.7921257345738</v>
      </c>
      <c r="EA132" s="1098">
        <f t="shared" ref="EA132:EA195" si="243">IF(DQ132="技能+",IF(O132="sk",FM$10,FM$9)*(1+0.1*$FM$31/$FM$19)*IF(O132="sk",$FM$18,$FM$17)*DR132/$FM$14*(IF(DT132="全员",DS132*DV132)+IF(DT132="同属性",DS132*DV132*$FM$23/6)+IF(DT132="同作战",DV132*IF(O132="sk",IF(AND(DS132&gt;1,DS132&lt;6),2),$FM$9*DS132*3))),0)*$FM$16</f>
        <v>0</v>
      </c>
      <c r="EB132" s="1121">
        <f t="shared" ref="EB132:EB195" si="244">IF(DQ132="sp+",1/6*(1+0.1*$FM$31/$FM$19)*IF(O132="sk",$FM$18,$FM$17)*DR132/$FM$14*$FM$28*(IF(DT132="全员",DS132*DV132)+IF(DT132="同属性",DS132*DV132*$FM$23/6)+IF(DT132="同年级",DS132*DV132*$FM$24/6)),0)+IF(DQ132="sp获得",1/6*(1+0.1*$FM$31/$FM$19)*IF(O132="sk",$FM$18,$FM$17)*DR132/$FM$14*IF(O132="sk",1,1+(1+$FM$10/$FM$9)*($FM$27-1))*IF(DT132="固定值",DV132,DV132*$FM$25))</f>
        <v>0</v>
      </c>
      <c r="EC132" s="1101">
        <f t="shared" ref="EC132:EC195" si="245">IF(DQ132="ap+",$EW$26/(1+$EW$15)*DY132)+IF(DQ132="vo+",$EW$26*DY132)+IF(DQ132="vo获得",DY132*$EW$24)+IF(DQ132="sp+",DY132*$EW$30*$EW$32*(1-$EW$33))+IF(DQ132="sp获得",DY132*$EW$30*(1-$EW$33))+IF(DQ132="技能+",DY132*$EW$28/$EW$27)+IF(DQ132="ct+",DY132*$EW$26/(1+($EW$22-1)*$EW$19)*($EW$22-1))+IF(DQ132="核弹",DY132*(1+$EW$23)*$EW$24)+IF(DQ132="ct值+",$EW$26/(1+($EW$22-1)*$EW$19)*$EW$19*DY132)</f>
        <v>2201.3368497486081</v>
      </c>
      <c r="ED132" s="1097">
        <f t="shared" ref="ED132:ED195" si="246">IF(DQ132="ap+",$FA$24/(1+$FA$15)*DZ132*(1-$FI$26))+IF(DQ132="vo+",$FA$24*DZ132*(1-$FI$26))+IF(DQ132="vo获得",DZ132)+IF(DQ132="sp+",DZ132*$FA$27*$FA$32*(1-$FA$33))+IF(DQ132="sp获得",DZ132*$FA$27*(1-$FA$33))+IF(DQ132="技能+",DZ132*$FA$26/$FA$25)+IF(DQ132="ct+",DZ132*$FA$24/(1+($FA$20-1)*$FA$19)*($FA$20-1)*(1-$FI$27))+IF(DQ132="核弹",DZ132*(1+$FA$21)*(1-$FI$29))+IF(DQ132="ct值+",$FA$24/(1+($FA$20-1)*$FA$19)*$FA$19*DZ132*(1-$FI$28))</f>
        <v>0</v>
      </c>
      <c r="EE132" s="1110">
        <f t="shared" ref="EE132:EE195" si="247">EC132+IF(OR(DQ132="回血",DQ132="加盾"),$EW$26*(HP($EW$62,$EW$65,$EW$64-DY132)/$EW$66-1))+IF(DQ132="减伤",$EW$26*(HP($EW$62,$EW$65,$EW$64*(1-DY132))/$EW$66-1))</f>
        <v>2201.3368497486081</v>
      </c>
      <c r="EF132" s="1092" t="s">
        <v>711</v>
      </c>
      <c r="EG132" s="1120">
        <f t="shared" ref="EG132:EG195" si="248">IF(F132="UR",0.33,0.3)</f>
        <v>0.33</v>
      </c>
      <c r="EH132" s="1124"/>
      <c r="EI132" s="1093"/>
      <c r="EJ132" s="1093"/>
      <c r="EK132" s="1097">
        <f>IF($P132="","N/A",IF(P132=-1,INDEX('卡片raw data'!AS:AS,MATCH(D132,'卡片raw data'!$F:$F,)),0)+IF(AND(L132&lt;&gt;"party卡",P132&lt;=2,P132&gt;=0),INDEX('卡片raw data'!AU:AU,MATCH(D132,'卡片raw data'!$F:$F,)),0)+IF(OR(AND(L132="party卡",P132&lt;=1),AND(P132&lt;=4,L132&lt;&gt;"party卡",P132&gt;=3)),INDEX('卡片raw data'!AV:AV,MATCH(D132,'卡片raw data'!$F:$F,)),0)+IF(OR(P132=5,AND(L132="party卡",P132&gt;=2)),INDEX('卡片raw data'!AW:AW,MATCH(D132,'卡片raw data'!$F:$F,)),0))</f>
        <v>0</v>
      </c>
      <c r="EL132" s="1098">
        <f t="shared" ref="EL132:EL195" si="249">EG132+IF(AND($CK132="技能+",$CL132="自身",EG132=0.11),$CP132*3)</f>
        <v>0.33</v>
      </c>
      <c r="EM132" s="1098">
        <f t="shared" ref="EM132:EM195" si="250">EG132+IF(AND($CK132="技能+",$CL132="自身",EG132=0.11),$CQ132*3)</f>
        <v>0.33</v>
      </c>
      <c r="EN132" s="1125">
        <f t="shared" ref="EN132:EN195" si="251">IF(EH132=0,IF(EI132="ap",EK132*$AQ132*EL132/3*IF(EF132="vo获得",$AP132,1))+IF(EI132="st",EK132*$AR132*EL132/3)+IF(EI132="te",EK132*$AS132*EL132/3)+IF(EI132="sp槽",EK132*EL132/3)+IF(EI132="固定值",IF(EF132="sp获得",EK132/3*EL132/$EW$77,EK132*EL132/3)),IF(EJ132="百分比",IF(EI132="全员",EK132*EL132/3*EH132)+IF(EI132="仲间",EK132*EL132/3*EH132*2/3)+IF(EI132="同作战",EK132*EL132/3*EH132)+IF(EI132="同年级",EK132*EL132/3*EH132*$EW$40/3)+IF(EI132="同学校",EK132*EL132/3*EH132*$EW$43/3)+IF(EI132="同属性",EK132*EL132/3*EH132*$EW$37/3)+IF(EI132="同type",EK132*EL132/3*EH132*INDEX($EX$49:$EX$52,MATCH(AD132,$EW$49:$EW$52,))/3),(IF(EF132="ap+",EK132/$EX$16*EH132*EL132/3)+IF(EF132="vo+",EK132*(1+$EW$23)/$EW$26*EH132*EL132/3))*(IF(EI132="全员",1)+IF(EI132="同作战",1)))-IF(AND(EF132="ct+",EI132&lt;&gt;"仲间"),MAX(EK132+$AU132-1,0)*EL132/3*_xlfn.FLOOR.MATH(EH132/3)))</f>
        <v>0</v>
      </c>
      <c r="EO132" s="1125">
        <f t="shared" ref="EO132:EO195" si="252">IF(EH132=0,IF(EI132="ap",IF(EF132="vo获得",MIN(EK132*$BA132*$AP132,$FI$25)*$FA$22*EM132/3,EK132*$BA132*EM132/3))+IF(EI132="st",EK132*$BB132*EM132/3)+IF(EI132="te",EK132*$BC132*EM132/3)+IF(EI132="sp槽",EK132*EM132/3*$FA$30)+IF(EI132="固定值",IF(EF132="sp获得",EK132/3*EM132/$FA$69*$FA$30,EK132*EM132/3)),IF(EJ132="百分比",IF(EI132="全员",EK132*EM132/3*EH132)+IF(EI132="仲间",EK132*EM132/3*EH132*2/3)+IF(EI132="同作战",EK132*EM132/3*EH132)+IF(EI132="同年级",EK132*EM132/3*EH132*$FA$40/3)+IF(EI132="同学校",EK132*EM132/3*EH132*$FA$43/3)+IF(EI132="同属性",EK132*EM132/3*EH132*$FA$37/3)+IF(EI132="同type",EK132*EM132/3*EH132*INDEX($FB$49:$FB$52,MATCH(AD132,$FA$49:$FA$52,))/3),(IF(EF132="ap+",EK132/$FB$16*EH132*EM132/3)+IF(EF132="vo+",EK132*(1+$FA$21)/$FA$24*EH132*EM132/3))*(IF(EI132="全员",1)+IF(EI132="同作战",1)))-IF(AND(EF132="ct+",EI132&lt;&gt;"仲间"),MAX(EK132+$BD132-1,0)*EM132/3*_xlfn.FLOOR.MATH(EH132/3)))*$FA$57</f>
        <v>0</v>
      </c>
      <c r="EP132" s="1098">
        <f t="shared" ref="EP132:EP195" si="253">IF(EF132="技能+",IF(AB132="sk",FZ$10,FZ$9)*(1+0.1*$FM$31/$FM$19)*IF(AB132="sk",$FM$18,$FM$17)*EG132/$FM$14*(IF(EI132="全员",EH132*EK132)+IF(EI132="同属性",EH132*EK132*$FM$23/6)+IF(EI132="同作战",EK132*IF(AB132="sk",IF(AND(EH132&gt;1,EH132&lt;6),2),$FM$9*EH132*3))),0)*$FM$16</f>
        <v>0</v>
      </c>
      <c r="EQ132" s="1121">
        <f t="shared" ref="EQ132:EQ195" si="254">IF(EF132="sp+",1/6*(1+0.1*$FM$31/$FM$19)*IF(AB132="sk",$FM$18,$FM$17)*EG132/$FM$14*$FM$28*(IF(EI132="全员",EH132*EK132)+IF(EI132="同属性",EH132*EK132*$FM$23/6)+IF(EI132="同年级",EH132*EK132*$FM$24/6)),0)+IF(EF132="sp获得",1/6*(1+0.1*$FM$31/$FM$19)*IF(AB132="sk",$FM$18,$FM$17)*EG132/$FM$14*IF(AB132="sk",1,1+(1+$FM$10/$FM$9)*($FM$27-1))*IF(EI132="固定值",EK132,EK132*$FM$25))</f>
        <v>0</v>
      </c>
      <c r="ER132" s="1101">
        <f t="shared" ref="ER132:ER195" si="255">IF(EF132="ap+",$EW$26/(1+$EW$15)*EN132)+IF(EF132="vo+",$EW$26*EN132)+IF(EF132="vo获得",EN132*$EW$24)+IF(EF132="sp+",EN132*$EW$30*$EW$32*(1-$EW$33))+IF(EF132="sp获得",EN132*$EW$30*(1-$EW$33))+IF(EF132="技能+",EN132*$EW$28/$EW$27)+IF(EF132="ct+",EN132*$EW$26/(1+($EW$22-1)*$EW$19)*($EW$22-1))+IF(EF132="核弹",EN132*(1+$EW$23)*$EW$24)+IF(EF132="ct值+",$EW$26/(1+($EW$22-1)*$EW$19)*$EW$19*EN132)</f>
        <v>0</v>
      </c>
      <c r="ES132" s="1097">
        <f t="shared" ref="ES132:ES195" si="256">IF(EF132="ap+",$FA$24/(1+$FA$15)*EO132*(1-$FI$26))+IF(EF132="vo+",$FA$24*EO132*(1-$FI$26))+IF(EF132="vo获得",EO132)+IF(EF132="sp+",EO132*$FA$27*$FA$32*(1-$FA$33))+IF(EF132="sp获得",EO132*$FA$27*(1-$FA$33))+IF(EF132="技能+",EO132*$FA$26/$FA$25)+IF(EF132="ct+",EO132*$FA$24/(1+($FA$20-1)*$FA$19)*($FA$20-1)*(1-$FI$27))+IF(EF132="核弹",EO132*(1+$FA$21)*(1-$FI$29))+IF(EF132="ct值+",$FA$24/(1+($FA$20-1)*$FA$19)*$FA$19*EO132*(1-$FI$28))</f>
        <v>0</v>
      </c>
      <c r="ET132" s="1122">
        <f t="shared" ref="ET132:ET195" si="257">ER132+IF(OR(EF132="回血",EF132="加盾"),$EW$26*(HP($EW$62,$EW$65,$EW$64-EN132)/$EW$66-1))+IF(EF132="减伤",$EW$26*(HP($EW$62,$EW$65,$EW$64*(1-EN132))/$EW$66-1))</f>
        <v>0</v>
      </c>
    </row>
    <row r="133" spans="2:150" ht="16.5" customHeight="1">
      <c r="B133" s="1123" t="str">
        <f>INDEX('卡片raw data'!B:B,MATCH($D133,'卡片raw data'!$F:$F,))</f>
        <v>sh鸟</v>
      </c>
      <c r="C133" s="449" t="s">
        <v>69</v>
      </c>
      <c r="D133" s="408">
        <v>130</v>
      </c>
      <c r="E133" s="1090">
        <v>200032001</v>
      </c>
      <c r="F133" s="1090" t="str">
        <f>INDEX('卡片raw data'!C:C,MATCH($D133,'卡片raw data'!$F:$F,))</f>
        <v>SR</v>
      </c>
      <c r="G133" s="1094" t="s">
        <v>333</v>
      </c>
      <c r="H133" s="411">
        <f>IFERROR(INDEX(绊状态确认!C:C,MATCH($G133,绊状态确认!$B:$B,)),"")</f>
        <v>3</v>
      </c>
      <c r="I133" s="450" t="str">
        <f>IFERROR(INDEX(绊状态确认!D:D,MATCH($G133,绊状态确认!$B:$B,)),"")</f>
        <v>缪</v>
      </c>
      <c r="J133" s="450" t="str">
        <f>IFERROR(INDEX(绊状态确认!E:E,MATCH($G133,绊状态确认!$B:$B,)),"")</f>
        <v>2年级</v>
      </c>
      <c r="K133" s="451" t="str">
        <f>IFERROR(INDEX(绊状态确认!F:F,MATCH($G133,绊状态确认!$B:$B,)),"")</f>
        <v>Printemps</v>
      </c>
      <c r="L133" s="1094" t="str">
        <f>INDEX('卡片raw data'!E:E,MATCH($D133,'卡片raw data'!$F:$F,))</f>
        <v>卡池卡</v>
      </c>
      <c r="M133" s="415">
        <v>43799</v>
      </c>
      <c r="N133" s="416">
        <v>4.5</v>
      </c>
      <c r="O133" s="1091" t="str">
        <f>INDEX('卡片raw data'!D:D,MATCH($D133,'卡片raw data'!$F:$F,))</f>
        <v>vo</v>
      </c>
      <c r="P133" s="417">
        <v>5</v>
      </c>
      <c r="Q133" s="1095">
        <f t="shared" si="173"/>
        <v>39663.363010663998</v>
      </c>
      <c r="R133" s="1096">
        <f t="shared" si="174"/>
        <v>0.46100000000000002</v>
      </c>
      <c r="S133" s="1097">
        <f t="shared" si="175"/>
        <v>17770.30643592279</v>
      </c>
      <c r="T133" s="1098">
        <f t="shared" si="176"/>
        <v>0.88800000000000001</v>
      </c>
      <c r="U133" s="1099">
        <f t="shared" si="177"/>
        <v>-16.754067549567147</v>
      </c>
      <c r="V133" s="1100">
        <f t="shared" si="178"/>
        <v>39011.496150324674</v>
      </c>
      <c r="W133" s="1101">
        <f t="shared" si="179"/>
        <v>5090.5054793901463</v>
      </c>
      <c r="X133" s="1096">
        <f t="shared" si="180"/>
        <v>5.8999999999999997E-2</v>
      </c>
      <c r="Y133" s="1097">
        <f t="shared" si="181"/>
        <v>652.80158990238306</v>
      </c>
      <c r="Z133" s="1102">
        <f t="shared" si="182"/>
        <v>8.2459324504328553</v>
      </c>
      <c r="AA133" s="1103">
        <f t="shared" si="183"/>
        <v>5743.3070692925294</v>
      </c>
      <c r="AB133" s="1101">
        <f t="shared" si="184"/>
        <v>5881.8070364940013</v>
      </c>
      <c r="AC133" s="1104">
        <f t="shared" si="185"/>
        <v>6.8000000000000005E-2</v>
      </c>
      <c r="AD133" s="1105">
        <f t="shared" si="186"/>
        <v>-3.8207812500000026E-3</v>
      </c>
      <c r="AE133" s="1128">
        <f t="shared" si="187"/>
        <v>-12.27536231884058</v>
      </c>
      <c r="AF133" s="1130">
        <f t="shared" si="188"/>
        <v>0</v>
      </c>
      <c r="AG133" s="420">
        <f t="shared" si="189"/>
        <v>0</v>
      </c>
      <c r="AH133" s="420">
        <f t="shared" si="190"/>
        <v>0</v>
      </c>
      <c r="AI133" s="1097">
        <f t="shared" si="191"/>
        <v>0</v>
      </c>
      <c r="AJ133" s="420">
        <f t="shared" si="192"/>
        <v>0</v>
      </c>
      <c r="AK133" s="518">
        <f t="shared" si="193"/>
        <v>0</v>
      </c>
      <c r="AL133" s="1106">
        <f>IF($P133="","N/A",(IF($P133=-1,INDEX('卡片raw data'!S:S,MATCH($D133,'卡片raw data'!$F:$F,)),0)+IF($P133=0,INDEX('卡片raw data'!V:V,MATCH($D133,'卡片raw data'!$F:$F,)),0)+IF($P133=1,INDEX('卡片raw data'!Y:Y,MATCH($D133,'卡片raw data'!$F:$F,)),0)+IF($P133=2,INDEX('卡片raw data'!AB:AB,MATCH($D133,'卡片raw data'!$F:$F,)),0)+IF($P133=3,INDEX('卡片raw data'!AE:AE,MATCH($D133,'卡片raw data'!$F:$F,)),0)+IF($P133=4,INDEX('卡片raw data'!AH:AH,MATCH($D133,'卡片raw data'!$F:$F,)),0)+IF($P133=5,INDEX('卡片raw data'!AK:AK,MATCH($D133,'卡片raw data'!$F:$F,)),0)+INDEX('卡片raw data'!S:S,MATCH($D133,'卡片raw data'!$F:$F,))*(IF($F133="UR",0.04,0.033))*(IF($F133="UR",INDEX(绊状态确认!$S:$S,MATCH($G133,绊状态确认!$B:$B,))/2-40)+IF($F133="SR",INDEX(绊状态确认!$R:$R,MATCH($G133,绊状态确认!$B:$B,))/4-15))+IF($F133="R",INDEX(绊状态确认!$Q:$Q,MATCH($G133,绊状态确认!$B:$B,))/6-40/6)))*(INDEX(绊状态确认!$H:$H,MATCH($G133,绊状态确认!$B:$B,))+INDEX(绊状态确认!J:J,MATCH($G133,绊状态确认!$B:$B,)))</f>
        <v>10012.5613008</v>
      </c>
      <c r="AM133" s="1106">
        <f>IF($P133="","N/A",(IF($P133=-1,INDEX('卡片raw data'!T:T,MATCH($D133,'卡片raw data'!$F:$F,)),0)+IF($P133=0,INDEX('卡片raw data'!W:W,MATCH($D133,'卡片raw data'!$F:$F,)),0)+IF($P133=1,INDEX('卡片raw data'!Z:Z,MATCH($D133,'卡片raw data'!$F:$F,)),0)+IF($P133=2,INDEX('卡片raw data'!AC:AC,MATCH($D133,'卡片raw data'!$F:$F,)),0)+IF($P133=3,INDEX('卡片raw data'!AF:AF,MATCH($D133,'卡片raw data'!$F:$F,)),0)+IF($P133=4,INDEX('卡片raw data'!AI:AI,MATCH($D133,'卡片raw data'!$F:$F,)),0)+IF($P133=5,INDEX('卡片raw data'!AL:AL,MATCH($D133,'卡片raw data'!$F:$F,)),0)+INDEX('卡片raw data'!T:T,MATCH($D133,'卡片raw data'!$F:$F,))*(IF($F133="UR",0.04,0.033))*(IF($F133="UR",INDEX(绊状态确认!$S:$S,MATCH($G133,绊状态确认!$B:$B,))/2-40)+IF($F133="SR",INDEX(绊状态确认!$R:$R,MATCH($G133,绊状态确认!$B:$B,))/4-15))+IF($F133="R",INDEX(绊状态确认!$Q:$Q,MATCH($G133,绊状态确认!$B:$B,))/6-40/6)))*(INDEX(绊状态确认!$H:$H,MATCH($G133,绊状态确认!$B:$B,))+INDEX(绊状态确认!K:K,MATCH($G133,绊状态确认!$B:$B,)))</f>
        <v>3657.2920295999993</v>
      </c>
      <c r="AN133" s="1106">
        <f>IF($P133="","N/A",(IF($P133=-1,INDEX('卡片raw data'!U:U,MATCH($D133,'卡片raw data'!$F:$F,)),0)+IF($P133=0,INDEX('卡片raw data'!X:X,MATCH($D133,'卡片raw data'!$F:$F,)),0)+IF($P133=1,INDEX('卡片raw data'!AA:AA,MATCH($D133,'卡片raw data'!$F:$F,)),0)+IF($P133=2,INDEX('卡片raw data'!AD:AD,MATCH($D133,'卡片raw data'!$F:$F,)),0)+IF($P133=3,INDEX('卡片raw data'!AG:AG,MATCH($D133,'卡片raw data'!$F:$F,)),0)+IF($P133=4,INDEX('卡片raw data'!AJ:AJ,MATCH($D133,'卡片raw data'!$F:$F,)),0)+IF($P133=5,INDEX('卡片raw data'!AM:AM,MATCH($D133,'卡片raw data'!$F:$F,)),0)+INDEX('卡片raw data'!U:U,MATCH($D133,'卡片raw data'!$F:$F,))*(IF($F133="UR",0.04,0.033))*(IF($F133="UR",INDEX(绊状态确认!$S:$S,MATCH($G133,绊状态确认!$B:$B,))/2-40)+IF($F133="SR",INDEX(绊状态确认!$R:$R,MATCH($G133,绊状态确认!$B:$B,))/4-15))+IF($F133="R",INDEX(绊状态确认!$Q:$Q,MATCH($G133,绊状态确认!$B:$B,))/6-40/6)))*(INDEX(绊状态确认!$H:$H,MATCH($G133,绊状态确认!$B:$B,))+INDEX(绊状态确认!L:L,MATCH($G133,绊状态确认!$B:$B,)))</f>
        <v>5583.8014031999992</v>
      </c>
      <c r="AO133" s="1107">
        <f t="shared" si="194"/>
        <v>1</v>
      </c>
      <c r="AP133" s="1131">
        <f>1+(INDEX(绊状态确认!$T:$T,MATCH($G133,绊状态确认!$B:$B,))+0.2)*$AO133</f>
        <v>1.3</v>
      </c>
      <c r="AQ133" s="1108">
        <f t="shared" si="195"/>
        <v>29532.973414600001</v>
      </c>
      <c r="AR133" s="1097">
        <f>(AM133*(1+$EX$9)+$EX$35)*(1+(INDEX(绊状态确认!$T:$T,MATCH($G133,绊状态确认!$B:$B,))+0.2)*AO133)*IF(J133=$FF$17,1+$FE$17,1)*IF(I133=$FF$14,1+$FE$14,1)</f>
        <v>7696.2036204039987</v>
      </c>
      <c r="AS133" s="1097">
        <f>(AN133*(1+$EX$10)+$EX$36)*(1+(INDEX(绊状态确认!$T:$T,MATCH($G133,绊状态确认!$B:$B,))+0.2)*AO133)*IF(J133=$FF$17,1+$FE$17,1)*IF(I133=$FF$14,1+$FE$14,1)</f>
        <v>12403.783097784</v>
      </c>
      <c r="AT133" s="1093">
        <f>IF(AND(INDEX('卡片raw data'!AK:AK,MATCH($D133,'卡片raw data'!$F:$F,))&lt;INDEX('卡片raw data'!AM:AM,MATCH($D133,'卡片raw data'!$F:$F,)),INDEX('卡片raw data'!AL:AL,MATCH($D133,'卡片raw data'!$F:$F,))&lt;INDEX('卡片raw data'!AM:AM,MATCH($D133,'卡片raw data'!$F:$F,))),1,0)</f>
        <v>0</v>
      </c>
      <c r="AU133" s="1098">
        <f>MIN(AT133*0.15+AS133*0.00003+INDEX(绊状态确认!M:M,MATCH($G133,绊状态确认!$B:$B,)),1)</f>
        <v>0.40211349293352006</v>
      </c>
      <c r="AV133" s="1109">
        <f>(INDEX(绊状态确认!$N:$N,MATCH($G133,绊状态确认!$B:$B,))+1.5)*$EW$21</f>
        <v>2.6599999999999997</v>
      </c>
      <c r="AW133" s="1101">
        <f t="shared" si="196"/>
        <v>25575.996756392466</v>
      </c>
      <c r="AX133" s="1097">
        <f t="shared" si="197"/>
        <v>652.80158990238306</v>
      </c>
      <c r="AY133" s="1110">
        <f t="shared" si="198"/>
        <v>26228.798346294847</v>
      </c>
      <c r="AZ133" s="429">
        <f t="shared" si="199"/>
        <v>22124.49453656</v>
      </c>
      <c r="BA133" s="431">
        <f t="shared" si="200"/>
        <v>26549.393443871999</v>
      </c>
      <c r="BB133" s="1097">
        <f>(AM133*(1+$FB$9)+$FB$35)*(1+(INDEX(绊状态确认!$T:$T,MATCH($G133,绊状态确认!$B:$B,))+0.2)*AO133)*IF(J133=$FF$17,1+$FE$17,1)*IF(I133=$FF$14,1+$FE$14,1)*(1+$FE$15)</f>
        <v>7696.2036204039987</v>
      </c>
      <c r="BC133" s="1097">
        <f>(AN133*(1+$FB$10)+$FB$36)*(1+(INDEX(绊状态确认!$T:$T,MATCH($G133,绊状态确认!$B:$B,))+0.2)*AO133)*IF(J133=$FF$17,1+$FE$17,1)*IF(I133=$FF$14,1+$FE$14,1)*(1+$FE$15)</f>
        <v>12403.783097784</v>
      </c>
      <c r="BD133" s="1104">
        <f>MIN(AT133*0.15+BC133*0.00003+INDEX(绊状态确认!M:M,MATCH($G133,绊状态确认!$B:$B,)),1)</f>
        <v>0.40211349293352006</v>
      </c>
      <c r="BE133" s="432">
        <f>(INDEX(绊状态确认!$N:$N,MATCH($G133,绊状态确认!$B:$B,))+1.5)</f>
        <v>1.9</v>
      </c>
      <c r="BF133" s="1139">
        <f t="array" ref="BF133">SUMPRODUCT(IF(AZ133*AP133*$FI$16:$FI$23*$FA$22&gt;=$FI$24,$FI$24,AZ133*AP133*$FI$16:$FI$23*$FA$22),$FJ$16:$FJ$23)</f>
        <v>44005.619633217852</v>
      </c>
      <c r="BG133" s="1125">
        <f t="array" ref="BG133">SUMPRODUCT(IF(BE133*AZ133*AP133*$FI$16:$FI$23*$FA$22&gt;=$FI$24,$FI$24,BE133*AZ133*AP133*$FI$16:$FI$23*$FA$22),$FJ$16:$FJ$23)</f>
        <v>60000</v>
      </c>
      <c r="BH133" s="1110">
        <f t="shared" si="201"/>
        <v>16812.391929937312</v>
      </c>
      <c r="BI133" s="1111">
        <f>IF(O133="vo",$EW$26/$EW$24*0.05,0)+IF(O133="sk",-$EW$26/$EW$24*(0.05-INDEX(绊状态确认!W:W,MATCH($G133,绊状态确认!$B:$B,)))+0.05*$EW$28,0)+IF(O133="sp",0.05*$EW$32*$EW$30*(1-$EW$33)-(0.05-INDEX(绊状态确认!V:V,MATCH($G133,绊状态确认!$B:$B,)))*$EW$28,0)+IF(O133="gd",-(0.05-INDEX(绊状态确认!X:X,MATCH($G133,绊状态确认!$B:$B,)))*$EW$32*$EW$30*(1-$EW$33),0)</f>
        <v>7726.3029277443748</v>
      </c>
      <c r="BJ133" s="1097">
        <f>IF(O133="vo",0.05*(1-$FI$26)*$FA$24,0)+IF(O133="sk",-(0.05-INDEX(绊状态确认!W:W,MATCH($G133,绊状态确认!$B:$B,)))*(1-$FI$26)*$FA$24+0.05*$FA$26,0)+IF(O133="sp",0.05*$FA$32*$FA$27*(1-$FA$33)/$FA$30+0.05*$FA$29/$FA$69*$FA$27*(1-$FA$33)-(0.05-INDEX(绊状态确认!V:V,MATCH($G133,绊状态确认!$B:$B,)))*$FA$26,0)+IF(O133="gd",-(0.05-INDEX(绊状态确认!X:X,MATCH($G133,绊状态确认!$B:$B,)))*$FA$32*$FA$27*(1-$FA$33)/$FA$30-(0.05-INDEX(绊状态确认!X:X,MATCH($G133,绊状态确认!$B:$B,)))*$FA$29/$FA$69*$FA$27*(1-$FA$33),0)</f>
        <v>393.93433687500004</v>
      </c>
      <c r="BK133" s="1110">
        <f>IF(O133="vo",$EW$26/$EW$24*0.05+$EW$26*(-HP($EW$62,$EW$65,$EW$64)+HP($EW$62,$EW$65,(1.05-INDEX(绊状态确认!U:U,MATCH($G133,绊状态确认!$B:$B,)))*$EW$64)),0)+IF(O133="sk",-$EW$26/$EW$24*(0.05-INDEX(绊状态确认!W:W,MATCH($G133,绊状态确认!$B:$B,)))+0.05*$EW$29,0)+IF(O133="sp",0.05*$EW$32*$EW$30*(1-$EW$33)-(0.05-INDEX(绊状态确认!V:V,MATCH($G133,绊状态确认!$B:$B,)))*$EW$29,0)+IF(O133="gd",-(0.05-INDEX(绊状态确认!X:X,MATCH($G133,绊状态确认!$B:$B,)))*$EW$32*$EW$30*(1-$EW$33)+$EW$26*(-HP($EW$62,$EW$65,$EW$64)+HP($EW$62,$EW$65,0.95*$EW$64)),0)</f>
        <v>6421.6344775026746</v>
      </c>
      <c r="BL133" s="1111">
        <f t="shared" si="202"/>
        <v>-1083.3333333333333</v>
      </c>
      <c r="BM133" s="1110">
        <f t="shared" si="203"/>
        <v>-830.55555555555543</v>
      </c>
      <c r="BN133" s="1113">
        <f t="shared" si="204"/>
        <v>3</v>
      </c>
      <c r="BO133" s="1097">
        <f t="shared" si="205"/>
        <v>4507.7214871259994</v>
      </c>
      <c r="BP133" s="1100">
        <f t="shared" si="206"/>
        <v>221.34103209030098</v>
      </c>
      <c r="BQ133" s="1113" t="s">
        <v>623</v>
      </c>
      <c r="BR133" s="1124" t="s">
        <v>625</v>
      </c>
      <c r="BS133" s="1098">
        <f>IF($P133="","N/A",IF($P133=-1,INDEX('卡片raw data'!AX:AX,MATCH($D133,'卡片raw data'!$F:$F,)),0)+IF($L133="party卡",IF($P133=5,INDEX('卡片raw data'!BD:BD,MATCH($D133,'卡片raw data'!$F:$F,)),IF($P133&gt;=3,INDEX('卡片raw data'!BC:BC,MATCH($D133,'卡片raw data'!$F:$F,)),INDEX('卡片raw data'!BB:BB,MATCH($D133,'卡片raw data'!$F:$F,)))),IF(OR(AND($F133="UR",$P133=0),AND($F133="SR",$P133&gt;=0,$P133&lt;=2),AND($F133="R",$P133&gt;=0,$P133&lt;4)),INDEX('卡片raw data'!AZ:AZ,MATCH($D133,'卡片raw data'!$F:$F,)),0)+IF(OR(AND($F133="UR",$P133&gt;=1,$P133&lt;=4),AND($F133="SR",$P133&lt;=4,$P133&gt;=3),AND($F133="R",$P133=4)),INDEX('卡片raw data'!BA:BA,MATCH($D133,'卡片raw data'!$F:$F,)),0)+IF($P133=5,INDEX('卡片raw data'!BB:BB,MATCH($D133,'卡片raw data'!$F:$F,)),0)))</f>
        <v>7.0000000000000007E-2</v>
      </c>
      <c r="BT133" s="1101">
        <f t="shared" si="207"/>
        <v>791.30155710385532</v>
      </c>
      <c r="BU133" s="1097">
        <f t="shared" si="208"/>
        <v>24.796872378268745</v>
      </c>
      <c r="BV133" s="1097">
        <f t="shared" si="209"/>
        <v>0</v>
      </c>
      <c r="BW133" s="1112">
        <f t="shared" si="210"/>
        <v>0</v>
      </c>
      <c r="BX133" s="1100">
        <f t="shared" si="211"/>
        <v>791.30155710385532</v>
      </c>
      <c r="BY133" s="1110">
        <f t="shared" si="212"/>
        <v>0</v>
      </c>
      <c r="BZ133" s="1107" t="s">
        <v>569</v>
      </c>
      <c r="CA133" s="1124"/>
      <c r="CB133" s="1098">
        <f>IF($P133="","N/A",IF($P133=-1,INDEX('卡片raw data'!BE:BE,MATCH($D133,'卡片raw data'!$F:$F,)),0)+IF($L133="party卡",IF($P133=5,INDEX('卡片raw data'!BK:BK,MATCH($D133,'卡片raw data'!$F:$F,)),IF($P133&gt;=3,INDEX('卡片raw data'!BJ:BJ,MATCH($D133,'卡片raw data'!$F:$F,)),INDEX('卡片raw data'!BI:BI,MATCH($D133,'卡片raw data'!$F:$F,)))),IF(OR(AND($F133="UR",$P133=0),AND($F133="SR",$P133&gt;=0,$P133&lt;=2),AND($F133="R",$P133&gt;=0,$P133&lt;4)),INDEX('卡片raw data'!BG:BG,MATCH($D133,'卡片raw data'!$F:$F,)),0)+IF(OR(AND($F133="UR",$P133&gt;=1,$P133&lt;=4),AND($F133="SR",$P133&lt;=4,$P133&gt;=3),AND($F133="R",$P133=4)),INDEX('卡片raw data'!BH:BH,MATCH($D133,'卡片raw data'!$F:$F,)),0)+IF($P133=5,INDEX('卡片raw data'!BI:BI,MATCH($D133,'卡片raw data'!$F:$F,)),0)))</f>
        <v>0</v>
      </c>
      <c r="CC133" s="1101">
        <f t="shared" si="213"/>
        <v>0</v>
      </c>
      <c r="CD133" s="1097">
        <f>IF(BZ133="ap",CB133*(1-$FI$26)*$FB$5/$FB$11*(+IF(CA133="全员",$FA$24,0)+IF(CA133="同作战",$FA$24,0)+IF(CA133="仲间",$FA$24*2/3,0)+IF(CA133="同属性",$FA$24*$FA$37/3,0)+IF(CA133="同年级",$FA$24*$FA$40/3,0)+IF(CA133="同学校",$FA$24*$FA$43/3,0)+IF(CA133="同小队",$FA$24*$FA$46/3,0)+IF(CA133="同type",$FA$24*INDEX($FB$49:$FB$52,MATCH(X133,$FA$49:$FA$52,))/3,0)+IF(CA133="自身",#REF!/3,0)),0)+IF(BZ133="te",CB133*(1-$FI$27)*($FA$20-1)*$FB$7/$FB$13*(+IF(CA133="全员",$FA$19*$FA$24/(1+($FA$20-1)*$FA$19),0)+IF(CA133="同作战",$FA$19*$FA$24/(1+($FA$20-1)*$FA$19),0)+IF(CA133="仲间",$FA$19*$FA$24*2/3/(1+($FA$20-1)*$FA$19),0)+IF(CA133="同属性",$FA$19*$FA$24*$FA$37/3/(1+($FA$20-1)*$FA$19),0)+IF(CA133="同年级",$FA$19*$FA$24*$FA$40/3/(1+($FA$20-1)*$FA$19),0)+IF(CA133="同学校",$FA$19*$FA$24*$FA$43/3/(1+($FA$20-1)*$FA$19),0)+IF(CA133="同小队",$FA$19*$FA$24*$FA$46/3/(1+($FA$20-1)*$FA$19),0)+IF(CA133="同type",$FA$19*$FA$24*INDEX($FB$49:$FB$52,MATCH(X133,$FA$49:$FA$52,))/3/(1+($FA$20-1)*$FA$19),0)+IF(CA133="自身",$FA$19*#REF!/3/(1+(BH133-1)*$BD133),0)),0)</f>
        <v>0</v>
      </c>
      <c r="CE133" s="1097">
        <f t="shared" si="214"/>
        <v>0</v>
      </c>
      <c r="CF133" s="1112">
        <f t="shared" si="215"/>
        <v>0</v>
      </c>
      <c r="CG133" s="1100">
        <f t="shared" si="216"/>
        <v>0</v>
      </c>
      <c r="CH133" s="1110">
        <f t="shared" si="217"/>
        <v>0</v>
      </c>
      <c r="CI133" s="1113" t="s">
        <v>162</v>
      </c>
      <c r="CJ133" s="1114">
        <v>0.5</v>
      </c>
      <c r="CK133" s="1115" t="s">
        <v>566</v>
      </c>
      <c r="CL133" s="1115" t="s">
        <v>161</v>
      </c>
      <c r="CM133" s="1119">
        <v>0.04</v>
      </c>
      <c r="CN133" s="1115">
        <v>10</v>
      </c>
      <c r="CO133" s="1092"/>
      <c r="CP133" s="1118">
        <f t="shared" si="218"/>
        <v>4.2857142857142859E-3</v>
      </c>
      <c r="CQ133" s="1118">
        <f t="shared" si="219"/>
        <v>6.666666666666668E-3</v>
      </c>
      <c r="CR133" s="1118">
        <f t="shared" si="220"/>
        <v>4.2857142857142859E-3</v>
      </c>
      <c r="CS133" s="1118">
        <f t="shared" si="221"/>
        <v>0</v>
      </c>
      <c r="CT133" s="1109">
        <f t="shared" si="222"/>
        <v>0</v>
      </c>
      <c r="CU133" s="1101">
        <f t="shared" si="223"/>
        <v>582.78399226414717</v>
      </c>
      <c r="CV133" s="1108">
        <f t="shared" si="224"/>
        <v>43.770481875000016</v>
      </c>
      <c r="CW133" s="1097">
        <f t="shared" si="225"/>
        <v>582.78399226414717</v>
      </c>
      <c r="CX133" s="1097">
        <f t="shared" si="226"/>
        <v>582.78399226414717</v>
      </c>
      <c r="CY133" s="1110">
        <f t="shared" si="227"/>
        <v>582.78399226414717</v>
      </c>
      <c r="CZ133" s="437"/>
      <c r="DA133" s="438"/>
      <c r="DB133" s="439" t="s">
        <v>569</v>
      </c>
      <c r="DC133" s="439"/>
      <c r="DD133" s="443"/>
      <c r="DE133" s="411"/>
      <c r="DF133" s="411"/>
      <c r="DG133" s="1116">
        <f t="shared" si="228"/>
        <v>0</v>
      </c>
      <c r="DH133" s="1116">
        <f t="shared" si="229"/>
        <v>0</v>
      </c>
      <c r="DI133" s="1116">
        <f t="shared" si="230"/>
        <v>0</v>
      </c>
      <c r="DJ133" s="442">
        <f t="shared" si="231"/>
        <v>0</v>
      </c>
      <c r="DK133" s="1109">
        <f t="shared" si="232"/>
        <v>0</v>
      </c>
      <c r="DL133" s="1101">
        <f t="shared" si="233"/>
        <v>0</v>
      </c>
      <c r="DM133" s="1097">
        <f t="shared" si="234"/>
        <v>0</v>
      </c>
      <c r="DN133" s="1097">
        <f t="shared" si="235"/>
        <v>0</v>
      </c>
      <c r="DO133" s="1097">
        <f t="shared" si="236"/>
        <v>0</v>
      </c>
      <c r="DP133" s="1110">
        <f t="shared" si="237"/>
        <v>0</v>
      </c>
      <c r="DQ133" s="1113" t="s">
        <v>545</v>
      </c>
      <c r="DR133" s="1120">
        <f t="shared" si="238"/>
        <v>0.3</v>
      </c>
      <c r="DS133" s="1124"/>
      <c r="DT133" s="1093" t="s">
        <v>548</v>
      </c>
      <c r="DU133" s="1093"/>
      <c r="DV133" s="1098">
        <f>IF($P133="","N/A",IF(P133=-1,INDEX('卡片raw data'!AN:AN,MATCH(D133,'卡片raw data'!$F:$F,)),0)+IF(AND(L133&lt;&gt;"party卡",P133&lt;=2,P133&gt;=0),INDEX('卡片raw data'!AP:AP,MATCH(D133,'卡片raw data'!$F:$F,)),0)+IF(OR(AND(L133="party卡",P133&lt;=1),AND(P133&lt;=4,L133&lt;&gt;"party卡",P133&gt;=3)),INDEX('卡片raw data'!AQ:AQ,MATCH(D133,'卡片raw data'!$F:$F,)),0)+IF(OR(P133=5,AND(L133="party卡",P133&gt;=2)),INDEX('卡片raw data'!AR:AR,MATCH(D133,'卡片raw data'!$F:$F,)),0))</f>
        <v>0.37</v>
      </c>
      <c r="DW133" s="1098">
        <f t="shared" si="239"/>
        <v>0.3</v>
      </c>
      <c r="DX133" s="1098">
        <f t="shared" si="240"/>
        <v>0.3</v>
      </c>
      <c r="DY133" s="1125">
        <f t="shared" si="241"/>
        <v>1420.5360212422599</v>
      </c>
      <c r="DZ133" s="1125">
        <f t="shared" si="242"/>
        <v>1104.6273383224602</v>
      </c>
      <c r="EA133" s="1098">
        <f t="shared" si="243"/>
        <v>0</v>
      </c>
      <c r="EB133" s="1121">
        <f t="shared" si="244"/>
        <v>0</v>
      </c>
      <c r="EC133" s="1101">
        <f t="shared" si="245"/>
        <v>1562.589623366486</v>
      </c>
      <c r="ED133" s="1097">
        <f t="shared" si="246"/>
        <v>1104.6273383224602</v>
      </c>
      <c r="EE133" s="1110">
        <f t="shared" si="247"/>
        <v>1562.589623366486</v>
      </c>
      <c r="EF133" s="1092" t="s">
        <v>711</v>
      </c>
      <c r="EG133" s="1120">
        <f t="shared" si="248"/>
        <v>0.3</v>
      </c>
      <c r="EH133" s="1124"/>
      <c r="EI133" s="1093"/>
      <c r="EJ133" s="1093"/>
      <c r="EK133" s="1097">
        <f>IF($P133="","N/A",IF(P133=-1,INDEX('卡片raw data'!AS:AS,MATCH(D133,'卡片raw data'!$F:$F,)),0)+IF(AND(L133&lt;&gt;"party卡",P133&lt;=2,P133&gt;=0),INDEX('卡片raw data'!AU:AU,MATCH(D133,'卡片raw data'!$F:$F,)),0)+IF(OR(AND(L133="party卡",P133&lt;=1),AND(P133&lt;=4,L133&lt;&gt;"party卡",P133&gt;=3)),INDEX('卡片raw data'!AV:AV,MATCH(D133,'卡片raw data'!$F:$F,)),0)+IF(OR(P133=5,AND(L133="party卡",P133&gt;=2)),INDEX('卡片raw data'!AW:AW,MATCH(D133,'卡片raw data'!$F:$F,)),0))</f>
        <v>0</v>
      </c>
      <c r="EL133" s="1098">
        <f t="shared" si="249"/>
        <v>0.3</v>
      </c>
      <c r="EM133" s="1098">
        <f t="shared" si="250"/>
        <v>0.3</v>
      </c>
      <c r="EN133" s="1125">
        <f t="shared" si="251"/>
        <v>0</v>
      </c>
      <c r="EO133" s="1125">
        <f t="shared" si="252"/>
        <v>0</v>
      </c>
      <c r="EP133" s="1098">
        <f t="shared" si="253"/>
        <v>0</v>
      </c>
      <c r="EQ133" s="1121">
        <f t="shared" si="254"/>
        <v>0</v>
      </c>
      <c r="ER133" s="1101">
        <f t="shared" si="255"/>
        <v>0</v>
      </c>
      <c r="ES133" s="1097">
        <f t="shared" si="256"/>
        <v>0</v>
      </c>
      <c r="ET133" s="1122">
        <f t="shared" si="257"/>
        <v>0</v>
      </c>
    </row>
    <row r="134" spans="2:150" ht="16.5" customHeight="1">
      <c r="B134" s="1123" t="str">
        <f>INDEX('卡片raw data'!B:B,MATCH($D134,'卡片raw data'!$F:$F,))</f>
        <v>一单露</v>
      </c>
      <c r="C134" s="449" t="s">
        <v>123</v>
      </c>
      <c r="D134" s="408">
        <v>131</v>
      </c>
      <c r="E134" s="1090">
        <v>201092001</v>
      </c>
      <c r="F134" s="1090" t="str">
        <f>INDEX('卡片raw data'!C:C,MATCH($D134,'卡片raw data'!$F:$F,))</f>
        <v>SR</v>
      </c>
      <c r="G134" s="1094" t="s">
        <v>346</v>
      </c>
      <c r="H134" s="411">
        <f>IFERROR(INDEX(绊状态确认!C:C,MATCH($G134,绊状态确认!$B:$B,)),"")</f>
        <v>109</v>
      </c>
      <c r="I134" s="450" t="str">
        <f>IFERROR(INDEX(绊状态确认!D:D,MATCH($G134,绊状态确认!$B:$B,)),"")</f>
        <v>水</v>
      </c>
      <c r="J134" s="450" t="str">
        <f>IFERROR(INDEX(绊状态确认!E:E,MATCH($G134,绊状态确认!$B:$B,)),"")</f>
        <v>1年级</v>
      </c>
      <c r="K134" s="451" t="str">
        <f>IFERROR(INDEX(绊状态确认!F:F,MATCH($G134,绊状态确认!$B:$B,)),"")</f>
        <v>CYaRon!</v>
      </c>
      <c r="L134" s="1094" t="str">
        <f>INDEX('卡片raw data'!E:E,MATCH($D134,'卡片raw data'!$F:$F,))</f>
        <v>卡池卡</v>
      </c>
      <c r="M134" s="415">
        <v>43799</v>
      </c>
      <c r="N134" s="416">
        <v>4.5</v>
      </c>
      <c r="O134" s="1091" t="str">
        <f>INDEX('卡片raw data'!D:D,MATCH($D134,'卡片raw data'!$F:$F,))</f>
        <v>sp</v>
      </c>
      <c r="P134" s="417">
        <v>5</v>
      </c>
      <c r="Q134" s="1095">
        <f t="shared" si="173"/>
        <v>23878.604163536762</v>
      </c>
      <c r="R134" s="1096">
        <f t="shared" si="174"/>
        <v>0.27700000000000002</v>
      </c>
      <c r="S134" s="1097">
        <f t="shared" si="175"/>
        <v>14728.260750323354</v>
      </c>
      <c r="T134" s="1098">
        <f t="shared" si="176"/>
        <v>0.73599999999999999</v>
      </c>
      <c r="U134" s="1099">
        <f t="shared" si="177"/>
        <v>12.754252905252855</v>
      </c>
      <c r="V134" s="1100">
        <f t="shared" si="178"/>
        <v>23097.656194510717</v>
      </c>
      <c r="W134" s="1101">
        <f t="shared" si="179"/>
        <v>4672.1437658501063</v>
      </c>
      <c r="X134" s="1096">
        <f t="shared" si="180"/>
        <v>5.3999999999999999E-2</v>
      </c>
      <c r="Y134" s="1097">
        <f t="shared" si="181"/>
        <v>1019.0520309739532</v>
      </c>
      <c r="Z134" s="1102">
        <f t="shared" si="182"/>
        <v>12.754252905252855</v>
      </c>
      <c r="AA134" s="1103">
        <f t="shared" si="183"/>
        <v>5691.1957968240595</v>
      </c>
      <c r="AB134" s="1101">
        <f t="shared" si="184"/>
        <v>5020.8206988296261</v>
      </c>
      <c r="AC134" s="1104">
        <f t="shared" si="185"/>
        <v>5.8000000000000003E-2</v>
      </c>
      <c r="AD134" s="1105">
        <f t="shared" si="186"/>
        <v>-1.9908281250000003E-2</v>
      </c>
      <c r="AE134" s="1128">
        <f t="shared" si="187"/>
        <v>45.608527941961015</v>
      </c>
      <c r="AF134" s="1130">
        <f t="shared" si="188"/>
        <v>0</v>
      </c>
      <c r="AG134" s="420">
        <f t="shared" si="189"/>
        <v>0</v>
      </c>
      <c r="AH134" s="420">
        <f t="shared" si="190"/>
        <v>0</v>
      </c>
      <c r="AI134" s="1097">
        <f t="shared" si="191"/>
        <v>0</v>
      </c>
      <c r="AJ134" s="420">
        <f t="shared" si="192"/>
        <v>0</v>
      </c>
      <c r="AK134" s="518">
        <f t="shared" si="193"/>
        <v>0</v>
      </c>
      <c r="AL134" s="1106">
        <f>IF($P134="","N/A",(IF($P134=-1,INDEX('卡片raw data'!S:S,MATCH($D134,'卡片raw data'!$F:$F,)),0)+IF($P134=0,INDEX('卡片raw data'!V:V,MATCH($D134,'卡片raw data'!$F:$F,)),0)+IF($P134=1,INDEX('卡片raw data'!Y:Y,MATCH($D134,'卡片raw data'!$F:$F,)),0)+IF($P134=2,INDEX('卡片raw data'!AB:AB,MATCH($D134,'卡片raw data'!$F:$F,)),0)+IF($P134=3,INDEX('卡片raw data'!AE:AE,MATCH($D134,'卡片raw data'!$F:$F,)),0)+IF($P134=4,INDEX('卡片raw data'!AH:AH,MATCH($D134,'卡片raw data'!$F:$F,)),0)+IF($P134=5,INDEX('卡片raw data'!AK:AK,MATCH($D134,'卡片raw data'!$F:$F,)),0)+INDEX('卡片raw data'!S:S,MATCH($D134,'卡片raw data'!$F:$F,))*(IF($F134="UR",0.04,0.033))*(IF($F134="UR",INDEX(绊状态确认!$S:$S,MATCH($G134,绊状态确认!$B:$B,))/2-40)+IF($F134="SR",INDEX(绊状态确认!$R:$R,MATCH($G134,绊状态确认!$B:$B,))/4-15))+IF($F134="R",INDEX(绊状态确认!$Q:$Q,MATCH($G134,绊状态确认!$B:$B,))/6-40/6)))*(INDEX(绊状态确认!$H:$H,MATCH($G134,绊状态确认!$B:$B,))+INDEX(绊状态确认!J:J,MATCH($G134,绊状态确认!$B:$B,)))</f>
        <v>5777.255320799999</v>
      </c>
      <c r="AM134" s="1106">
        <f>IF($P134="","N/A",(IF($P134=-1,INDEX('卡片raw data'!T:T,MATCH($D134,'卡片raw data'!$F:$F,)),0)+IF($P134=0,INDEX('卡片raw data'!W:W,MATCH($D134,'卡片raw data'!$F:$F,)),0)+IF($P134=1,INDEX('卡片raw data'!Z:Z,MATCH($D134,'卡片raw data'!$F:$F,)),0)+IF($P134=2,INDEX('卡片raw data'!AC:AC,MATCH($D134,'卡片raw data'!$F:$F,)),0)+IF($P134=3,INDEX('卡片raw data'!AF:AF,MATCH($D134,'卡片raw data'!$F:$F,)),0)+IF($P134=4,INDEX('卡片raw data'!AI:AI,MATCH($D134,'卡片raw data'!$F:$F,)),0)+IF($P134=5,INDEX('卡片raw data'!AL:AL,MATCH($D134,'卡片raw data'!$F:$F,)),0)+INDEX('卡片raw data'!T:T,MATCH($D134,'卡片raw data'!$F:$F,))*(IF($F134="UR",0.04,0.033))*(IF($F134="UR",INDEX(绊状态确认!$S:$S,MATCH($G134,绊状态确认!$B:$B,))/2-40)+IF($F134="SR",INDEX(绊状态确认!$R:$R,MATCH($G134,绊状态确认!$B:$B,))/4-15))+IF($F134="R",INDEX(绊状态确认!$Q:$Q,MATCH($G134,绊状态确认!$B:$B,))/6-40/6)))*(INDEX(绊状态确认!$H:$H,MATCH($G134,绊状态确认!$B:$B,))+INDEX(绊状态确认!K:K,MATCH($G134,绊状态确认!$B:$B,)))</f>
        <v>6739.9043063999998</v>
      </c>
      <c r="AN134" s="1106">
        <f>IF($P134="","N/A",(IF($P134=-1,INDEX('卡片raw data'!U:U,MATCH($D134,'卡片raw data'!$F:$F,)),0)+IF($P134=0,INDEX('卡片raw data'!X:X,MATCH($D134,'卡片raw data'!$F:$F,)),0)+IF($P134=1,INDEX('卡片raw data'!AA:AA,MATCH($D134,'卡片raw data'!$F:$F,)),0)+IF($P134=2,INDEX('卡片raw data'!AD:AD,MATCH($D134,'卡片raw data'!$F:$F,)),0)+IF($P134=3,INDEX('卡片raw data'!AG:AG,MATCH($D134,'卡片raw data'!$F:$F,)),0)+IF($P134=4,INDEX('卡片raw data'!AJ:AJ,MATCH($D134,'卡片raw data'!$F:$F,)),0)+IF($P134=5,INDEX('卡片raw data'!AM:AM,MATCH($D134,'卡片raw data'!$F:$F,)),0)+INDEX('卡片raw data'!U:U,MATCH($D134,'卡片raw data'!$F:$F,))*(IF($F134="UR",0.04,0.033))*(IF($F134="UR",INDEX(绊状态确认!$S:$S,MATCH($G134,绊状态确认!$B:$B,))/2-40)+IF($F134="SR",INDEX(绊状态确认!$R:$R,MATCH($G134,绊状态确认!$B:$B,))/4-15))+IF($F134="R",INDEX(绊状态确认!$Q:$Q,MATCH($G134,绊状态确认!$B:$B,))/6-40/6)))*(INDEX(绊状态确认!$H:$H,MATCH($G134,绊状态确认!$B:$B,))+INDEX(绊状态确认!L:L,MATCH($G134,绊状态确认!$B:$B,)))</f>
        <v>6739.9043063999998</v>
      </c>
      <c r="AO134" s="1107">
        <f t="shared" si="194"/>
        <v>1</v>
      </c>
      <c r="AP134" s="1131">
        <f>1+(INDEX(绊状态确认!$T:$T,MATCH($G134,绊状态确认!$B:$B,))+0.2)*$AO134</f>
        <v>1.3</v>
      </c>
      <c r="AQ134" s="1108">
        <f t="shared" si="195"/>
        <v>18415.295217099996</v>
      </c>
      <c r="AR134" s="1097">
        <f>(AM134*(1+$EX$9)+$EX$35)*(1+(INDEX(绊状态确认!$T:$T,MATCH($G134,绊状态确认!$B:$B,))+0.2)*AO134)*IF(J134=$FF$17,1+$FE$17,1)*IF(I134=$FF$14,1+$FE$14,1)</f>
        <v>11903.969378235999</v>
      </c>
      <c r="AS134" s="1097">
        <f>(AN134*(1+$EX$10)+$EX$36)*(1+(INDEX(绊状态确认!$T:$T,MATCH($G134,绊状态确认!$B:$B,))+0.2)*AO134)*IF(J134=$FF$17,1+$FE$17,1)*IF(I134=$FF$14,1+$FE$14,1)</f>
        <v>14132.156938067999</v>
      </c>
      <c r="AT134" s="1093">
        <f>IF(AND(INDEX('卡片raw data'!AK:AK,MATCH($D134,'卡片raw data'!$F:$F,))&lt;INDEX('卡片raw data'!AM:AM,MATCH($D134,'卡片raw data'!$F:$F,)),INDEX('卡片raw data'!AL:AL,MATCH($D134,'卡片raw data'!$F:$F,))&lt;INDEX('卡片raw data'!AM:AM,MATCH($D134,'卡片raw data'!$F:$F,))),1,0)</f>
        <v>0</v>
      </c>
      <c r="AU134" s="1098">
        <f>MIN(AT134*0.15+AS134*0.00003+INDEX(绊状态确认!M:M,MATCH($G134,绊状态确认!$B:$B,)),1)</f>
        <v>0.45396470814204004</v>
      </c>
      <c r="AV134" s="1109">
        <f>(INDEX(绊状态确认!$N:$N,MATCH($G134,绊状态确认!$B:$B,))+1.5)*$EW$21</f>
        <v>2.6599999999999997</v>
      </c>
      <c r="AW134" s="1101">
        <f t="shared" si="196"/>
        <v>16771.116798040464</v>
      </c>
      <c r="AX134" s="1097">
        <f t="shared" si="197"/>
        <v>1019.0520309739535</v>
      </c>
      <c r="AY134" s="1110">
        <f t="shared" si="198"/>
        <v>17790.168829014419</v>
      </c>
      <c r="AZ134" s="429">
        <f t="shared" si="199"/>
        <v>13865.647875559998</v>
      </c>
      <c r="BA134" s="431">
        <f t="shared" si="200"/>
        <v>16638.777450671998</v>
      </c>
      <c r="BB134" s="1097">
        <f>(AM134*(1+$FB$9)+$FB$35)*(1+(INDEX(绊状态确认!$T:$T,MATCH($G134,绊状态确认!$B:$B,))+0.2)*AO134)*IF(J134=$FF$17,1+$FE$17,1)*IF(I134=$FF$14,1+$FE$14,1)*(1+$FE$15)</f>
        <v>11903.969378235999</v>
      </c>
      <c r="BC134" s="1097">
        <f>(AN134*(1+$FB$10)+$FB$36)*(1+(INDEX(绊状态确认!$T:$T,MATCH($G134,绊状态确认!$B:$B,))+0.2)*AO134)*IF(J134=$FF$17,1+$FE$17,1)*IF(I134=$FF$14,1+$FE$14,1)*(1+$FE$15)</f>
        <v>14132.156938067999</v>
      </c>
      <c r="BD134" s="1104">
        <f>MIN(AT134*0.15+BC134*0.00003+INDEX(绊状态确认!M:M,MATCH($G134,绊状态确认!$B:$B,)),1)</f>
        <v>0.45396470814204004</v>
      </c>
      <c r="BE134" s="432">
        <f>(INDEX(绊状态确认!$N:$N,MATCH($G134,绊状态确认!$B:$B,))+1.5)</f>
        <v>1.9</v>
      </c>
      <c r="BF134" s="1139">
        <f t="array" ref="BF134">SUMPRODUCT(IF(AZ134*AP134*$FI$16:$FI$23*$FA$22&gt;=$FI$24,$FI$24,AZ134*AP134*$FI$16:$FI$23*$FA$22),$FJ$16:$FJ$23)</f>
        <v>27578.77362448884</v>
      </c>
      <c r="BG134" s="1125">
        <f t="array" ref="BG134">SUMPRODUCT(IF(BE134*AZ134*AP134*$FI$16:$FI$23*$FA$22&gt;=$FI$24,$FI$24,BE134*AZ134*AP134*$FI$16:$FI$23*$FA$22),$FJ$16:$FJ$23)</f>
        <v>51727.854293054508</v>
      </c>
      <c r="BH134" s="1110">
        <f t="shared" si="201"/>
        <v>12847.201327364279</v>
      </c>
      <c r="BI134" s="1111">
        <f>IF(O134="vo",$EW$26/$EW$24*0.05,0)+IF(O134="sk",-$EW$26/$EW$24*(0.05-INDEX(绊状态确认!W:W,MATCH($G134,绊状态确认!$B:$B,)))+0.05*$EW$28,0)+IF(O134="sp",0.05*$EW$32*$EW$30*(1-$EW$33)-(0.05-INDEX(绊状态确认!V:V,MATCH($G134,绊状态确认!$B:$B,)))*$EW$28,0)+IF(O134="gd",-(0.05-INDEX(绊状态确认!X:X,MATCH($G134,绊状态确认!$B:$B,)))*$EW$32*$EW$30*(1-$EW$33),0)</f>
        <v>19.999999999999886</v>
      </c>
      <c r="BJ134" s="1097">
        <f>IF(O134="vo",0.05*(1-$FI$26)*$FA$24,0)+IF(O134="sk",-(0.05-INDEX(绊状态确认!W:W,MATCH($G134,绊状态确认!$B:$B,)))*(1-$FI$26)*$FA$24+0.05*$FA$26,0)+IF(O134="sp",0.05*$FA$32*$FA$27*(1-$FA$33)/$FA$30+0.05*$FA$29/$FA$69*$FA$27*(1-$FA$33)-(0.05-INDEX(绊状态确认!V:V,MATCH($G134,绊状态确认!$B:$B,)))*$FA$26,0)+IF(O134="gd",-(0.05-INDEX(绊状态确认!X:X,MATCH($G134,绊状态确认!$B:$B,)))*$FA$32*$FA$27*(1-$FA$33)/$FA$30-(0.05-INDEX(绊状态确认!X:X,MATCH($G134,绊状态确认!$B:$B,)))*$FA$29/$FA$69*$FA$27*(1-$FA$33),0)</f>
        <v>545.83333333333326</v>
      </c>
      <c r="BK134" s="1110">
        <f>IF(O134="vo",$EW$26/$EW$24*0.05+$EW$26*(-HP($EW$62,$EW$65,$EW$64)+HP($EW$62,$EW$65,(1.05-INDEX(绊状态确认!U:U,MATCH($G134,绊状态确认!$B:$B,)))*$EW$64)),0)+IF(O134="sk",-$EW$26/$EW$24*(0.05-INDEX(绊状态确认!W:W,MATCH($G134,绊状态确认!$B:$B,)))+0.05*$EW$29,0)+IF(O134="sp",0.05*$EW$32*$EW$30*(1-$EW$33)-(0.05-INDEX(绊状态确认!V:V,MATCH($G134,绊状态确认!$B:$B,)))*$EW$29,0)+IF(O134="gd",-(0.05-INDEX(绊状态确认!X:X,MATCH($G134,绊状态确认!$B:$B,)))*$EW$32*$EW$30*(1-$EW$33)+$EW$26*(-HP($EW$62,$EW$65,$EW$64)+HP($EW$62,$EW$65,0.95*$EW$64)),0)</f>
        <v>-1780.0000000000005</v>
      </c>
      <c r="BL134" s="1111">
        <f t="shared" si="202"/>
        <v>-1083.3333333333333</v>
      </c>
      <c r="BM134" s="1110">
        <f t="shared" si="203"/>
        <v>-830.55555555555543</v>
      </c>
      <c r="BN134" s="1113">
        <f t="shared" si="204"/>
        <v>3</v>
      </c>
      <c r="BO134" s="1097">
        <f t="shared" si="205"/>
        <v>4507.7214871259994</v>
      </c>
      <c r="BP134" s="1100">
        <f t="shared" si="206"/>
        <v>221.34103209030098</v>
      </c>
      <c r="BQ134" s="1113" t="s">
        <v>626</v>
      </c>
      <c r="BR134" s="1124" t="s">
        <v>625</v>
      </c>
      <c r="BS134" s="1098">
        <f>IF($P134="","N/A",IF($P134=-1,INDEX('卡片raw data'!AX:AX,MATCH($D134,'卡片raw data'!$F:$F,)),0)+IF($L134="party卡",IF($P134=5,INDEX('卡片raw data'!BD:BD,MATCH($D134,'卡片raw data'!$F:$F,)),IF($P134&gt;=3,INDEX('卡片raw data'!BC:BC,MATCH($D134,'卡片raw data'!$F:$F,)),INDEX('卡片raw data'!BB:BB,MATCH($D134,'卡片raw data'!$F:$F,)))),IF(OR(AND($F134="UR",$P134=0),AND($F134="SR",$P134&gt;=0,$P134&lt;=2),AND($F134="R",$P134&gt;=0,$P134&lt;4)),INDEX('卡片raw data'!AZ:AZ,MATCH($D134,'卡片raw data'!$F:$F,)),0)+IF(OR(AND($F134="UR",$P134&gt;=1,$P134&lt;=4),AND($F134="SR",$P134&lt;=4,$P134&gt;=3),AND($F134="R",$P134=4)),INDEX('卡片raw data'!BA:BA,MATCH($D134,'卡片raw data'!$F:$F,)),0)+IF($P134=5,INDEX('卡片raw data'!BB:BB,MATCH($D134,'卡片raw data'!$F:$F,)),0)))</f>
        <v>7.0000000000000007E-2</v>
      </c>
      <c r="BT134" s="1101">
        <f t="shared" si="207"/>
        <v>348.67693297952007</v>
      </c>
      <c r="BU134" s="1097">
        <f t="shared" si="208"/>
        <v>26.455945792172958</v>
      </c>
      <c r="BV134" s="1097">
        <f t="shared" si="209"/>
        <v>0</v>
      </c>
      <c r="BW134" s="1112">
        <f t="shared" si="210"/>
        <v>0</v>
      </c>
      <c r="BX134" s="1100">
        <f t="shared" si="211"/>
        <v>348.67693297952007</v>
      </c>
      <c r="BY134" s="1110">
        <f t="shared" si="212"/>
        <v>0</v>
      </c>
      <c r="BZ134" s="1107" t="s">
        <v>569</v>
      </c>
      <c r="CA134" s="1124"/>
      <c r="CB134" s="1098">
        <f>IF($P134="","N/A",IF($P134=-1,INDEX('卡片raw data'!BE:BE,MATCH($D134,'卡片raw data'!$F:$F,)),0)+IF($L134="party卡",IF($P134=5,INDEX('卡片raw data'!BK:BK,MATCH($D134,'卡片raw data'!$F:$F,)),IF($P134&gt;=3,INDEX('卡片raw data'!BJ:BJ,MATCH($D134,'卡片raw data'!$F:$F,)),INDEX('卡片raw data'!BI:BI,MATCH($D134,'卡片raw data'!$F:$F,)))),IF(OR(AND($F134="UR",$P134=0),AND($F134="SR",$P134&gt;=0,$P134&lt;=2),AND($F134="R",$P134&gt;=0,$P134&lt;4)),INDEX('卡片raw data'!BG:BG,MATCH($D134,'卡片raw data'!$F:$F,)),0)+IF(OR(AND($F134="UR",$P134&gt;=1,$P134&lt;=4),AND($F134="SR",$P134&lt;=4,$P134&gt;=3),AND($F134="R",$P134=4)),INDEX('卡片raw data'!BH:BH,MATCH($D134,'卡片raw data'!$F:$F,)),0)+IF($P134=5,INDEX('卡片raw data'!BI:BI,MATCH($D134,'卡片raw data'!$F:$F,)),0)))</f>
        <v>0</v>
      </c>
      <c r="CC134" s="1101">
        <f t="shared" si="213"/>
        <v>0</v>
      </c>
      <c r="CD134" s="1097">
        <f>IF(BZ134="ap",CB134*(1-$FI$26)*$FB$5/$FB$11*(+IF(CA134="全员",$FA$24,0)+IF(CA134="同作战",$FA$24,0)+IF(CA134="仲间",$FA$24*2/3,0)+IF(CA134="同属性",$FA$24*$FA$37/3,0)+IF(CA134="同年级",$FA$24*$FA$40/3,0)+IF(CA134="同学校",$FA$24*$FA$43/3,0)+IF(CA134="同小队",$FA$24*$FA$46/3,0)+IF(CA134="同type",$FA$24*INDEX($FB$49:$FB$52,MATCH(X134,$FA$49:$FA$52,))/3,0)+IF(CA134="自身",#REF!/3,0)),0)+IF(BZ134="te",CB134*(1-$FI$27)*($FA$20-1)*$FB$7/$FB$13*(+IF(CA134="全员",$FA$19*$FA$24/(1+($FA$20-1)*$FA$19),0)+IF(CA134="同作战",$FA$19*$FA$24/(1+($FA$20-1)*$FA$19),0)+IF(CA134="仲间",$FA$19*$FA$24*2/3/(1+($FA$20-1)*$FA$19),0)+IF(CA134="同属性",$FA$19*$FA$24*$FA$37/3/(1+($FA$20-1)*$FA$19),0)+IF(CA134="同年级",$FA$19*$FA$24*$FA$40/3/(1+($FA$20-1)*$FA$19),0)+IF(CA134="同学校",$FA$19*$FA$24*$FA$43/3/(1+($FA$20-1)*$FA$19),0)+IF(CA134="同小队",$FA$19*$FA$24*$FA$46/3/(1+($FA$20-1)*$FA$19),0)+IF(CA134="同type",$FA$19*$FA$24*INDEX($FB$49:$FB$52,MATCH(X134,$FA$49:$FA$52,))/3/(1+($FA$20-1)*$FA$19),0)+IF(CA134="自身",$FA$19*#REF!/3/(1+(BH134-1)*$BD134),0)),0)</f>
        <v>0</v>
      </c>
      <c r="CE134" s="1097">
        <f t="shared" si="214"/>
        <v>0</v>
      </c>
      <c r="CF134" s="1112">
        <f t="shared" si="215"/>
        <v>0</v>
      </c>
      <c r="CG134" s="1100">
        <f t="shared" si="216"/>
        <v>0</v>
      </c>
      <c r="CH134" s="1110">
        <f t="shared" si="217"/>
        <v>0</v>
      </c>
      <c r="CI134" s="1113" t="s">
        <v>165</v>
      </c>
      <c r="CJ134" s="1114">
        <v>0.5</v>
      </c>
      <c r="CK134" s="1115" t="s">
        <v>156</v>
      </c>
      <c r="CL134" s="1115" t="s">
        <v>1940</v>
      </c>
      <c r="CM134" s="1119">
        <v>0.08</v>
      </c>
      <c r="CN134" s="1115"/>
      <c r="CO134" s="1092"/>
      <c r="CP134" s="1116">
        <f t="shared" si="218"/>
        <v>2.6307564595857138</v>
      </c>
      <c r="CQ134" s="1116">
        <f t="shared" si="219"/>
        <v>4.2521320151717328</v>
      </c>
      <c r="CR134" s="1116">
        <f t="shared" si="220"/>
        <v>2.6307564595857138</v>
      </c>
      <c r="CS134" s="1118">
        <f t="shared" si="221"/>
        <v>0</v>
      </c>
      <c r="CT134" s="1109">
        <f t="shared" si="222"/>
        <v>4.2969022173233329</v>
      </c>
      <c r="CU134" s="1101">
        <f t="shared" si="223"/>
        <v>164.42227872410712</v>
      </c>
      <c r="CV134" s="1108">
        <f t="shared" si="224"/>
        <v>177.17216729882219</v>
      </c>
      <c r="CW134" s="1097">
        <f t="shared" si="225"/>
        <v>164.42227872410712</v>
      </c>
      <c r="CX134" s="1097">
        <f t="shared" si="226"/>
        <v>164.42227872410712</v>
      </c>
      <c r="CY134" s="1110">
        <f t="shared" si="227"/>
        <v>164.42227872410712</v>
      </c>
      <c r="CZ134" s="437"/>
      <c r="DA134" s="438"/>
      <c r="DB134" s="439" t="s">
        <v>569</v>
      </c>
      <c r="DC134" s="439"/>
      <c r="DD134" s="443"/>
      <c r="DE134" s="411"/>
      <c r="DF134" s="411"/>
      <c r="DG134" s="1116">
        <f t="shared" si="228"/>
        <v>0</v>
      </c>
      <c r="DH134" s="1116">
        <f t="shared" si="229"/>
        <v>0</v>
      </c>
      <c r="DI134" s="1116">
        <f t="shared" si="230"/>
        <v>0</v>
      </c>
      <c r="DJ134" s="442">
        <f t="shared" si="231"/>
        <v>0</v>
      </c>
      <c r="DK134" s="1109">
        <f t="shared" si="232"/>
        <v>0</v>
      </c>
      <c r="DL134" s="1101">
        <f t="shared" si="233"/>
        <v>0</v>
      </c>
      <c r="DM134" s="1097">
        <f t="shared" si="234"/>
        <v>0</v>
      </c>
      <c r="DN134" s="1097">
        <f t="shared" si="235"/>
        <v>0</v>
      </c>
      <c r="DO134" s="1097">
        <f t="shared" si="236"/>
        <v>0</v>
      </c>
      <c r="DP134" s="1110">
        <f t="shared" si="237"/>
        <v>0</v>
      </c>
      <c r="DQ134" s="1113" t="s">
        <v>549</v>
      </c>
      <c r="DR134" s="1120">
        <f t="shared" si="238"/>
        <v>0.3</v>
      </c>
      <c r="DS134" s="1124"/>
      <c r="DT134" s="1093" t="s">
        <v>179</v>
      </c>
      <c r="DU134" s="1093"/>
      <c r="DV134" s="1098">
        <f>IF($P134="","N/A",IF(P134=-1,INDEX('卡片raw data'!AN:AN,MATCH(D134,'卡片raw data'!$F:$F,)),0)+IF(AND(L134&lt;&gt;"party卡",P134&lt;=2,P134&gt;=0),INDEX('卡片raw data'!AP:AP,MATCH(D134,'卡片raw data'!$F:$F,)),0)+IF(OR(AND(L134="party卡",P134&lt;=1),AND(P134&lt;=4,L134&lt;&gt;"party卡",P134&gt;=3)),INDEX('卡片raw data'!AQ:AQ,MATCH(D134,'卡片raw data'!$F:$F,)),0)+IF(OR(P134=5,AND(L134="party卡",P134&gt;=2)),INDEX('卡片raw data'!AR:AR,MATCH(D134,'卡片raw data'!$F:$F,)),0))</f>
        <v>7.0000000000000007E-2</v>
      </c>
      <c r="DW134" s="1098">
        <f t="shared" si="239"/>
        <v>0.3</v>
      </c>
      <c r="DX134" s="1098">
        <f t="shared" si="240"/>
        <v>0.3</v>
      </c>
      <c r="DY134" s="1098">
        <f t="shared" si="241"/>
        <v>7.0000000000000001E-3</v>
      </c>
      <c r="DZ134" s="1098">
        <f t="shared" si="242"/>
        <v>6.9632499999999998E-3</v>
      </c>
      <c r="EA134" s="1098">
        <f t="shared" si="243"/>
        <v>0</v>
      </c>
      <c r="EB134" s="1121">
        <f t="shared" si="244"/>
        <v>42.663074999999999</v>
      </c>
      <c r="EC134" s="1101">
        <f t="shared" si="245"/>
        <v>3150</v>
      </c>
      <c r="ED134" s="1097">
        <f t="shared" si="246"/>
        <v>1740.8125</v>
      </c>
      <c r="EE134" s="1110">
        <f t="shared" si="247"/>
        <v>3150</v>
      </c>
      <c r="EF134" s="1092" t="s">
        <v>711</v>
      </c>
      <c r="EG134" s="1120">
        <f t="shared" si="248"/>
        <v>0.3</v>
      </c>
      <c r="EH134" s="1124"/>
      <c r="EI134" s="1093"/>
      <c r="EJ134" s="1093"/>
      <c r="EK134" s="1097">
        <f>IF($P134="","N/A",IF(P134=-1,INDEX('卡片raw data'!AS:AS,MATCH(D134,'卡片raw data'!$F:$F,)),0)+IF(AND(L134&lt;&gt;"party卡",P134&lt;=2,P134&gt;=0),INDEX('卡片raw data'!AU:AU,MATCH(D134,'卡片raw data'!$F:$F,)),0)+IF(OR(AND(L134="party卡",P134&lt;=1),AND(P134&lt;=4,L134&lt;&gt;"party卡",P134&gt;=3)),INDEX('卡片raw data'!AV:AV,MATCH(D134,'卡片raw data'!$F:$F,)),0)+IF(OR(P134=5,AND(L134="party卡",P134&gt;=2)),INDEX('卡片raw data'!AW:AW,MATCH(D134,'卡片raw data'!$F:$F,)),0))</f>
        <v>0</v>
      </c>
      <c r="EL134" s="1098">
        <f t="shared" si="249"/>
        <v>0.3</v>
      </c>
      <c r="EM134" s="1098">
        <f t="shared" si="250"/>
        <v>0.3</v>
      </c>
      <c r="EN134" s="1125">
        <f t="shared" si="251"/>
        <v>0</v>
      </c>
      <c r="EO134" s="1125">
        <f t="shared" si="252"/>
        <v>0</v>
      </c>
      <c r="EP134" s="1098">
        <f t="shared" si="253"/>
        <v>0</v>
      </c>
      <c r="EQ134" s="1121">
        <f t="shared" si="254"/>
        <v>0</v>
      </c>
      <c r="ER134" s="1101">
        <f t="shared" si="255"/>
        <v>0</v>
      </c>
      <c r="ES134" s="1097">
        <f t="shared" si="256"/>
        <v>0</v>
      </c>
      <c r="ET134" s="1122">
        <f t="shared" si="257"/>
        <v>0</v>
      </c>
    </row>
    <row r="135" spans="2:150" ht="16.5" customHeight="1">
      <c r="B135" s="1123" t="str">
        <f>INDEX('卡片raw data'!B:B,MATCH($D135,'卡片raw data'!$F:$F,))</f>
        <v>观星千</v>
      </c>
      <c r="C135" s="449" t="s">
        <v>124</v>
      </c>
      <c r="D135" s="408">
        <v>132</v>
      </c>
      <c r="E135" s="1090">
        <v>301013001</v>
      </c>
      <c r="F135" s="1090" t="str">
        <f>INDEX('卡片raw data'!C:C,MATCH($D135,'卡片raw data'!$F:$F,))</f>
        <v>UR</v>
      </c>
      <c r="G135" s="1094" t="s">
        <v>33</v>
      </c>
      <c r="H135" s="411">
        <f>IFERROR(INDEX(绊状态确认!C:C,MATCH($G135,绊状态确认!$B:$B,)),"")</f>
        <v>101</v>
      </c>
      <c r="I135" s="450" t="str">
        <f>IFERROR(INDEX(绊状态确认!D:D,MATCH($G135,绊状态确认!$B:$B,)),"")</f>
        <v>水</v>
      </c>
      <c r="J135" s="450" t="str">
        <f>IFERROR(INDEX(绊状态确认!E:E,MATCH($G135,绊状态确认!$B:$B,)),"")</f>
        <v>2年级</v>
      </c>
      <c r="K135" s="451" t="str">
        <f>IFERROR(INDEX(绊状态确认!F:F,MATCH($G135,绊状态确认!$B:$B,)),"")</f>
        <v>CYaRon!</v>
      </c>
      <c r="L135" s="1094" t="str">
        <f>INDEX('卡片raw data'!E:E,MATCH($D135,'卡片raw data'!$F:$F,))</f>
        <v>卡池卡</v>
      </c>
      <c r="M135" s="415">
        <v>43805</v>
      </c>
      <c r="N135" s="416">
        <v>5</v>
      </c>
      <c r="O135" s="1091" t="str">
        <f>INDEX('卡片raw data'!D:D,MATCH($D135,'卡片raw data'!$F:$F,))</f>
        <v>vo</v>
      </c>
      <c r="P135" s="417">
        <v>5</v>
      </c>
      <c r="Q135" s="1095">
        <f t="shared" si="173"/>
        <v>53314.374264031481</v>
      </c>
      <c r="R135" s="1096">
        <f t="shared" si="174"/>
        <v>0.61899999999999999</v>
      </c>
      <c r="S135" s="1097">
        <f t="shared" si="175"/>
        <v>20466.897503839122</v>
      </c>
      <c r="T135" s="1098">
        <f t="shared" si="176"/>
        <v>1.0229999999999999</v>
      </c>
      <c r="U135" s="1099">
        <f t="shared" si="177"/>
        <v>7.8257812976000025</v>
      </c>
      <c r="V135" s="1100">
        <f t="shared" si="178"/>
        <v>54652.312816935635</v>
      </c>
      <c r="W135" s="1101">
        <f t="shared" si="179"/>
        <v>7479.0514729356091</v>
      </c>
      <c r="X135" s="1096">
        <f t="shared" si="180"/>
        <v>8.5999999999999993E-2</v>
      </c>
      <c r="Y135" s="1097">
        <f t="shared" si="181"/>
        <v>2642.6070031458567</v>
      </c>
      <c r="Z135" s="1102">
        <f t="shared" si="182"/>
        <v>32.825781297600003</v>
      </c>
      <c r="AA135" s="1103">
        <f t="shared" si="183"/>
        <v>10121.658476081466</v>
      </c>
      <c r="AB135" s="1101">
        <f t="shared" si="184"/>
        <v>7479.0514729356091</v>
      </c>
      <c r="AC135" s="1104">
        <f t="shared" si="185"/>
        <v>8.5999999999999993E-2</v>
      </c>
      <c r="AD135" s="1105">
        <f t="shared" si="186"/>
        <v>0</v>
      </c>
      <c r="AE135" s="1128">
        <f t="shared" si="187"/>
        <v>11.413098124999998</v>
      </c>
      <c r="AF135" s="1130">
        <f t="shared" si="188"/>
        <v>0</v>
      </c>
      <c r="AG135" s="420">
        <f t="shared" si="189"/>
        <v>0</v>
      </c>
      <c r="AH135" s="420">
        <f t="shared" si="190"/>
        <v>0</v>
      </c>
      <c r="AI135" s="1097">
        <f t="shared" si="191"/>
        <v>0</v>
      </c>
      <c r="AJ135" s="420">
        <f t="shared" si="192"/>
        <v>0</v>
      </c>
      <c r="AK135" s="518">
        <f t="shared" si="193"/>
        <v>0</v>
      </c>
      <c r="AL135" s="1106">
        <f>IF($P135="","N/A",(IF($P135=-1,INDEX('卡片raw data'!S:S,MATCH($D135,'卡片raw data'!$F:$F,)),0)+IF($P135=0,INDEX('卡片raw data'!V:V,MATCH($D135,'卡片raw data'!$F:$F,)),0)+IF($P135=1,INDEX('卡片raw data'!Y:Y,MATCH($D135,'卡片raw data'!$F:$F,)),0)+IF($P135=2,INDEX('卡片raw data'!AB:AB,MATCH($D135,'卡片raw data'!$F:$F,)),0)+IF($P135=3,INDEX('卡片raw data'!AE:AE,MATCH($D135,'卡片raw data'!$F:$F,)),0)+IF($P135=4,INDEX('卡片raw data'!AH:AH,MATCH($D135,'卡片raw data'!$F:$F,)),0)+IF($P135=5,INDEX('卡片raw data'!AK:AK,MATCH($D135,'卡片raw data'!$F:$F,)),0)+INDEX('卡片raw data'!S:S,MATCH($D135,'卡片raw data'!$F:$F,))*(IF($F135="UR",0.04,0.033))*(IF($F135="UR",INDEX(绊状态确认!$S:$S,MATCH($G135,绊状态确认!$B:$B,))/2-40)+IF($F135="SR",INDEX(绊状态确认!$R:$R,MATCH($G135,绊状态确认!$B:$B,))/4-15))+IF($F135="R",INDEX(绊状态确认!$Q:$Q,MATCH($G135,绊状态确认!$B:$B,))/6-40/6)))*(INDEX(绊状态确认!$H:$H,MATCH($G135,绊状态确认!$B:$B,))+INDEX(绊状态确认!J:J,MATCH($G135,绊状态确认!$B:$B,)))</f>
        <v>13152.193583999997</v>
      </c>
      <c r="AM135" s="1106">
        <f>IF($P135="","N/A",(IF($P135=-1,INDEX('卡片raw data'!T:T,MATCH($D135,'卡片raw data'!$F:$F,)),0)+IF($P135=0,INDEX('卡片raw data'!W:W,MATCH($D135,'卡片raw data'!$F:$F,)),0)+IF($P135=1,INDEX('卡片raw data'!Z:Z,MATCH($D135,'卡片raw data'!$F:$F,)),0)+IF($P135=2,INDEX('卡片raw data'!AC:AC,MATCH($D135,'卡片raw data'!$F:$F,)),0)+IF($P135=3,INDEX('卡片raw data'!AF:AF,MATCH($D135,'卡片raw data'!$F:$F,)),0)+IF($P135=4,INDEX('卡片raw data'!AI:AI,MATCH($D135,'卡片raw data'!$F:$F,)),0)+IF($P135=5,INDEX('卡片raw data'!AL:AL,MATCH($D135,'卡片raw data'!$F:$F,)),0)+INDEX('卡片raw data'!T:T,MATCH($D135,'卡片raw data'!$F:$F,))*(IF($F135="UR",0.04,0.033))*(IF($F135="UR",INDEX(绊状态确认!$S:$S,MATCH($G135,绊状态确认!$B:$B,))/2-40)+IF($F135="SR",INDEX(绊状态确认!$R:$R,MATCH($G135,绊状态确认!$B:$B,))/4-15))+IF($F135="R",INDEX(绊状态确认!$Q:$Q,MATCH($G135,绊状态确认!$B:$B,))/6-40/6)))*(INDEX(绊状态确认!$H:$H,MATCH($G135,绊状态确认!$B:$B,))+INDEX(绊状态确认!K:K,MATCH($G135,绊状态确认!$B:$B,)))</f>
        <v>9394.5733439999985</v>
      </c>
      <c r="AN135" s="1106">
        <f>IF($P135="","N/A",(IF($P135=-1,INDEX('卡片raw data'!U:U,MATCH($D135,'卡片raw data'!$F:$F,)),0)+IF($P135=0,INDEX('卡片raw data'!X:X,MATCH($D135,'卡片raw data'!$F:$F,)),0)+IF($P135=1,INDEX('卡片raw data'!AA:AA,MATCH($D135,'卡片raw data'!$F:$F,)),0)+IF($P135=2,INDEX('卡片raw data'!AD:AD,MATCH($D135,'卡片raw data'!$F:$F,)),0)+IF($P135=3,INDEX('卡片raw data'!AG:AG,MATCH($D135,'卡片raw data'!$F:$F,)),0)+IF($P135=4,INDEX('卡片raw data'!AJ:AJ,MATCH($D135,'卡片raw data'!$F:$F,)),0)+IF($P135=5,INDEX('卡片raw data'!AM:AM,MATCH($D135,'卡片raw data'!$F:$F,)),0)+INDEX('卡片raw data'!U:U,MATCH($D135,'卡片raw data'!$F:$F,))*(IF($F135="UR",0.04,0.033))*(IF($F135="UR",INDEX(绊状态确认!$S:$S,MATCH($G135,绊状态确认!$B:$B,))/2-40)+IF($F135="SR",INDEX(绊状态确认!$R:$R,MATCH($G135,绊状态确认!$B:$B,))/4-15))+IF($F135="R",INDEX(绊状态确认!$Q:$Q,MATCH($G135,绊状态确认!$B:$B,))/6-40/6)))*(INDEX(绊状态确认!$H:$H,MATCH($G135,绊状态确认!$B:$B,))+INDEX(绊状态确认!L:L,MATCH($G135,绊状态确认!$B:$B,)))</f>
        <v>8768.9169599999987</v>
      </c>
      <c r="AO135" s="1107">
        <f t="shared" si="194"/>
        <v>1</v>
      </c>
      <c r="AP135" s="1131">
        <f>1+(INDEX(绊状态确认!$T:$T,MATCH($G135,绊状态确认!$B:$B,))+0.2)*$AO135</f>
        <v>1.3</v>
      </c>
      <c r="AQ135" s="1108">
        <f t="shared" si="195"/>
        <v>37774.508157999997</v>
      </c>
      <c r="AR135" s="1097">
        <f>(AM135*(1+$EX$9)+$EX$35)*(1+(INDEX(绊状态确认!$T:$T,MATCH($G135,绊状态确认!$B:$B,))+0.2)*AO135)*IF(J135=$FF$17,1+$FE$17,1)*IF(I135=$FF$14,1+$FE$14,1)*(1+$FE$15)</f>
        <v>15527.592614560001</v>
      </c>
      <c r="AS135" s="1097">
        <f>(AN135*(1+$EX$10)+$EX$36)*(1+(INDEX(绊状态确认!$T:$T,MATCH($G135,绊状态确认!$B:$B,))+0.2)*AO135)*IF(J135=$FF$17,1+$FE$17,1)*IF(I135=$FF$14,1+$FE$14,1)*(1+$FE$15)</f>
        <v>17165.530855199995</v>
      </c>
      <c r="AT135" s="1093">
        <f>IF(AND(INDEX('卡片raw data'!AK:AK,MATCH($D135,'卡片raw data'!$F:$F,))&lt;INDEX('卡片raw data'!AM:AM,MATCH($D135,'卡片raw data'!$F:$F,)),INDEX('卡片raw data'!AL:AL,MATCH($D135,'卡片raw data'!$F:$F,))&lt;INDEX('卡片raw data'!AM:AM,MATCH($D135,'卡片raw data'!$F:$F,))),1,0)</f>
        <v>0</v>
      </c>
      <c r="AU135" s="1098">
        <f>MIN(AT135*0.15+AS135*0.00003+INDEX(绊状态确认!M:M,MATCH($G135,绊状态确认!$B:$B,)),1)</f>
        <v>0.54496592565599988</v>
      </c>
      <c r="AV135" s="1109">
        <f>(INDEX(绊状态确认!$N:$N,MATCH($G135,绊状态确认!$B:$B,))+1.5)*$EW$21</f>
        <v>2.6599999999999997</v>
      </c>
      <c r="AW135" s="1101">
        <f t="shared" si="196"/>
        <v>37365.419863351497</v>
      </c>
      <c r="AX135" s="1097">
        <f t="shared" si="197"/>
        <v>1339.9329781014937</v>
      </c>
      <c r="AY135" s="1110">
        <f t="shared" si="198"/>
        <v>38705.352841452994</v>
      </c>
      <c r="AZ135" s="429">
        <f t="shared" si="199"/>
        <v>28246.777488799995</v>
      </c>
      <c r="BA135" s="431">
        <f t="shared" si="200"/>
        <v>33896.132986559991</v>
      </c>
      <c r="BB135" s="1097">
        <f>(AM135*(1+$FB$9)+$FB$35)*(1+(INDEX(绊状态确认!$T:$T,MATCH($G135,绊状态确认!$B:$B,))+0.2)*AO135)*IF(J135=$FF$17,1+$FE$17,1)*IF(I135=$FF$14,1+$FE$14,1)*(1+$FE$15)</f>
        <v>15527.592614560001</v>
      </c>
      <c r="BC135" s="1097">
        <f>(AN135*(1+$FB$10)+$FB$36)*(1+(INDEX(绊状态确认!$T:$T,MATCH($G135,绊状态确认!$B:$B,))+0.2)*AO135)*IF(J135=$FF$17,1+$FE$17,1)*IF(I135=$FF$14,1+$FE$14,1)*(1+$FE$15)</f>
        <v>17165.530855199995</v>
      </c>
      <c r="BD135" s="1104">
        <f>MIN(AT135*0.15+BC135*0.00003+INDEX(绊状态确认!M:M,MATCH($G135,绊状态确认!$B:$B,)),1)</f>
        <v>0.54496592565599988</v>
      </c>
      <c r="BE135" s="432">
        <f>(INDEX(绊状态确认!$N:$N,MATCH($G135,绊状态确认!$B:$B,))+1.5)</f>
        <v>1.9</v>
      </c>
      <c r="BF135" s="1139">
        <f t="array" ref="BF135">SUMPRODUCT(IF(AZ135*AP135*$FI$16:$FI$23*$FA$22&gt;=$FI$24,$FI$24,AZ135*AP135*$FI$16:$FI$23*$FA$22),$FJ$16:$FJ$23)</f>
        <v>54353.602628085602</v>
      </c>
      <c r="BG135" s="1125">
        <f t="array" ref="BG135">SUMPRODUCT(IF(BE135*AZ135*AP135*$FI$16:$FI$23*$FA$22&gt;=$FI$24,$FI$24,BE135*AZ135*AP135*$FI$16:$FI$23*$FA$22),$FJ$16:$FJ$23)</f>
        <v>60000</v>
      </c>
      <c r="BH135" s="1110">
        <f t="shared" si="201"/>
        <v>19143.565599497513</v>
      </c>
      <c r="BI135" s="1111">
        <f>IF(O135="vo",$EW$26/$EW$24*0.05,0)+IF(O135="sk",-$EW$26/$EW$24*(0.05-INDEX(绊状态确认!W:W,MATCH($G135,绊状态确认!$B:$B,)))+0.05*$EW$28,0)+IF(O135="sp",0.05*$EW$32*$EW$30*(1-$EW$33)-(0.05-INDEX(绊状态确认!V:V,MATCH($G135,绊状态确认!$B:$B,)))*$EW$28,0)+IF(O135="gd",-(0.05-INDEX(绊状态确认!X:X,MATCH($G135,绊状态确认!$B:$B,)))*$EW$32*$EW$30*(1-$EW$33),0)</f>
        <v>7726.3029277443748</v>
      </c>
      <c r="BJ135" s="1097">
        <f>IF(O135="vo",0.05*(1-$FI$26)*$FA$24,0)+IF(O135="sk",-(0.05-INDEX(绊状态确认!W:W,MATCH($G135,绊状态确认!$B:$B,)))*(1-$FI$26)*$FA$24+0.05*$FA$26,0)+IF(O135="sp",0.05*$FA$32*$FA$27*(1-$FA$33)/$FA$30+0.05*$FA$29/$FA$69*$FA$27*(1-$FA$33)-(0.05-INDEX(绊状态确认!V:V,MATCH($G135,绊状态确认!$B:$B,)))*$FA$26,0)+IF(O135="gd",-(0.05-INDEX(绊状态确认!X:X,MATCH($G135,绊状态确认!$B:$B,)))*$FA$32*$FA$27*(1-$FA$33)/$FA$30-(0.05-INDEX(绊状态确认!X:X,MATCH($G135,绊状态确认!$B:$B,)))*$FA$29/$FA$69*$FA$27*(1-$FA$33),0)</f>
        <v>393.93433687500004</v>
      </c>
      <c r="BK135" s="1110">
        <f>IF(O135="vo",$EW$26/$EW$24*0.05+$EW$26*(-HP($EW$62,$EW$65,$EW$64)+HP($EW$62,$EW$65,(1.05-INDEX(绊状态确认!U:U,MATCH($G135,绊状态确认!$B:$B,)))*$EW$64)),0)+IF(O135="sk",-$EW$26/$EW$24*(0.05-INDEX(绊状态确认!W:W,MATCH($G135,绊状态确认!$B:$B,)))+0.05*$EW$29,0)+IF(O135="sp",0.05*$EW$32*$EW$30*(1-$EW$33)-(0.05-INDEX(绊状态确认!V:V,MATCH($G135,绊状态确认!$B:$B,)))*$EW$29,0)+IF(O135="gd",-(0.05-INDEX(绊状态确认!X:X,MATCH($G135,绊状态确认!$B:$B,)))*$EW$32*$EW$30*(1-$EW$33)+$EW$26*(-HP($EW$62,$EW$65,$EW$64)+HP($EW$62,$EW$65,0.95*$EW$64)),0)</f>
        <v>6421.6344775026746</v>
      </c>
      <c r="BL135" s="1111">
        <f t="shared" si="202"/>
        <v>0</v>
      </c>
      <c r="BM135" s="1110">
        <f t="shared" si="203"/>
        <v>0</v>
      </c>
      <c r="BN135" s="1113">
        <f t="shared" si="204"/>
        <v>3</v>
      </c>
      <c r="BO135" s="1097">
        <f t="shared" si="205"/>
        <v>4507.7214871259994</v>
      </c>
      <c r="BP135" s="1100">
        <f t="shared" si="206"/>
        <v>221.34103209030098</v>
      </c>
      <c r="BQ135" s="1113" t="s">
        <v>145</v>
      </c>
      <c r="BR135" s="1124" t="s">
        <v>147</v>
      </c>
      <c r="BS135" s="1098">
        <f>IF($P135="","N/A",IF($P135=-1,INDEX('卡片raw data'!AX:AX,MATCH($D135,'卡片raw data'!$F:$F,)),0)+IF($L135="party卡",IF($P135=5,INDEX('卡片raw data'!BD:BD,MATCH($D135,'卡片raw data'!$F:$F,)),IF($P135&gt;=3,INDEX('卡片raw data'!BC:BC,MATCH($D135,'卡片raw data'!$F:$F,)),INDEX('卡片raw data'!BB:BB,MATCH($D135,'卡片raw data'!$F:$F,)))),IF(OR(AND($F135="UR",$P135=0),AND($F135="SR",$P135&gt;=0,$P135&lt;=2),AND($F135="R",$P135&gt;=0,$P135&lt;4)),INDEX('卡片raw data'!AZ:AZ,MATCH($D135,'卡片raw data'!$F:$F,)),0)+IF(OR(AND($F135="UR",$P135&gt;=1,$P135&lt;=4),AND($F135="SR",$P135&lt;=4,$P135&gt;=3),AND($F135="R",$P135=4)),INDEX('卡片raw data'!BA:BA,MATCH($D135,'卡片raw data'!$F:$F,)),0)+IF($P135=5,INDEX('卡片raw data'!BB:BB,MATCH($D135,'卡片raw data'!$F:$F,)),0)))</f>
        <v>4.2000000000000003E-2</v>
      </c>
      <c r="BT135" s="1101">
        <f t="shared" si="207"/>
        <v>2971.3299858096102</v>
      </c>
      <c r="BU135" s="1097">
        <f t="shared" si="208"/>
        <v>214.92580204297263</v>
      </c>
      <c r="BV135" s="1097">
        <f t="shared" si="209"/>
        <v>2971.3299858096102</v>
      </c>
      <c r="BW135" s="1112">
        <f t="shared" si="210"/>
        <v>0</v>
      </c>
      <c r="BX135" s="1100">
        <f t="shared" si="211"/>
        <v>2971.3299858096102</v>
      </c>
      <c r="BY135" s="1110">
        <f t="shared" si="212"/>
        <v>2971.3299858096102</v>
      </c>
      <c r="BZ135" s="1107" t="s">
        <v>569</v>
      </c>
      <c r="CA135" s="1124"/>
      <c r="CB135" s="1098">
        <f>IF($P135="","N/A",IF($P135=-1,INDEX('卡片raw data'!BE:BE,MATCH($D135,'卡片raw data'!$F:$F,)),0)+IF($L135="party卡",IF($P135=5,INDEX('卡片raw data'!BK:BK,MATCH($D135,'卡片raw data'!$F:$F,)),IF($P135&gt;=3,INDEX('卡片raw data'!BJ:BJ,MATCH($D135,'卡片raw data'!$F:$F,)),INDEX('卡片raw data'!BI:BI,MATCH($D135,'卡片raw data'!$F:$F,)))),IF(OR(AND($F135="UR",$P135=0),AND($F135="SR",$P135&gt;=0,$P135&lt;=2),AND($F135="R",$P135&gt;=0,$P135&lt;4)),INDEX('卡片raw data'!BG:BG,MATCH($D135,'卡片raw data'!$F:$F,)),0)+IF(OR(AND($F135="UR",$P135&gt;=1,$P135&lt;=4),AND($F135="SR",$P135&lt;=4,$P135&gt;=3),AND($F135="R",$P135=4)),INDEX('卡片raw data'!BH:BH,MATCH($D135,'卡片raw data'!$F:$F,)),0)+IF($P135=5,INDEX('卡片raw data'!BI:BI,MATCH($D135,'卡片raw data'!$F:$F,)),0)))</f>
        <v>0</v>
      </c>
      <c r="CC135" s="1101">
        <f t="shared" si="213"/>
        <v>0</v>
      </c>
      <c r="CD135" s="1097">
        <f>IF(BZ135="ap",CB135*(1-$FI$26)*$FB$5/$FB$11*(+IF(CA135="全员",$FA$24,0)+IF(CA135="同作战",$FA$24,0)+IF(CA135="仲间",$FA$24*2/3,0)+IF(CA135="同属性",$FA$24*$FA$37/3,0)+IF(CA135="同年级",$FA$24*$FA$40/3,0)+IF(CA135="同学校",$FA$24*$FA$43/3,0)+IF(CA135="同小队",$FA$24*$FA$46/3,0)+IF(CA135="同type",$FA$24*INDEX($FB$49:$FB$52,MATCH(X135,$FA$49:$FA$52,))/3,0)+IF(CA135="自身",#REF!/3,0)),0)+IF(BZ135="te",CB135*(1-$FI$27)*($FA$20-1)*$FB$7/$FB$13*(+IF(CA135="全员",$FA$19*$FA$24/(1+($FA$20-1)*$FA$19),0)+IF(CA135="同作战",$FA$19*$FA$24/(1+($FA$20-1)*$FA$19),0)+IF(CA135="仲间",$FA$19*$FA$24*2/3/(1+($FA$20-1)*$FA$19),0)+IF(CA135="同属性",$FA$19*$FA$24*$FA$37/3/(1+($FA$20-1)*$FA$19),0)+IF(CA135="同年级",$FA$19*$FA$24*$FA$40/3/(1+($FA$20-1)*$FA$19),0)+IF(CA135="同学校",$FA$19*$FA$24*$FA$43/3/(1+($FA$20-1)*$FA$19),0)+IF(CA135="同小队",$FA$19*$FA$24*$FA$46/3/(1+($FA$20-1)*$FA$19),0)+IF(CA135="同type",$FA$19*$FA$24*INDEX($FB$49:$FB$52,MATCH(X135,$FA$49:$FA$52,))/3/(1+($FA$20-1)*$FA$19),0)+IF(CA135="自身",$FA$19*#REF!/3/(1+(BH135-1)*$BD135),0)),0)</f>
        <v>0</v>
      </c>
      <c r="CE135" s="1097">
        <f t="shared" si="214"/>
        <v>0</v>
      </c>
      <c r="CF135" s="1112">
        <f t="shared" si="215"/>
        <v>0</v>
      </c>
      <c r="CG135" s="1100">
        <f t="shared" si="216"/>
        <v>0</v>
      </c>
      <c r="CH135" s="1110">
        <f t="shared" si="217"/>
        <v>0</v>
      </c>
      <c r="CI135" s="1113" t="s">
        <v>164</v>
      </c>
      <c r="CJ135" s="1114">
        <v>0.2</v>
      </c>
      <c r="CK135" s="1115" t="s">
        <v>636</v>
      </c>
      <c r="CL135" s="1115" t="s">
        <v>1940</v>
      </c>
      <c r="CM135" s="1119">
        <v>0.1</v>
      </c>
      <c r="CN135" s="1115"/>
      <c r="CO135" s="1092"/>
      <c r="CP135" s="1116">
        <f t="shared" si="218"/>
        <v>16.189074924857145</v>
      </c>
      <c r="CQ135" s="1116">
        <f t="shared" si="219"/>
        <v>22.597421991039997</v>
      </c>
      <c r="CR135" s="1116">
        <f t="shared" si="220"/>
        <v>16.189074924857145</v>
      </c>
      <c r="CS135" s="1118">
        <f t="shared" si="221"/>
        <v>0</v>
      </c>
      <c r="CT135" s="1109">
        <f t="shared" si="222"/>
        <v>0</v>
      </c>
      <c r="CU135" s="1101">
        <f t="shared" si="223"/>
        <v>0</v>
      </c>
      <c r="CV135" s="1108">
        <f t="shared" si="224"/>
        <v>0</v>
      </c>
      <c r="CW135" s="1097">
        <f t="shared" si="225"/>
        <v>0</v>
      </c>
      <c r="CX135" s="1097">
        <f t="shared" si="226"/>
        <v>1302.6740250443636</v>
      </c>
      <c r="CY135" s="1110">
        <f t="shared" si="227"/>
        <v>1302.6740250443636</v>
      </c>
      <c r="CZ135" s="437"/>
      <c r="DA135" s="438"/>
      <c r="DB135" s="439" t="s">
        <v>569</v>
      </c>
      <c r="DC135" s="439"/>
      <c r="DD135" s="443"/>
      <c r="DE135" s="411"/>
      <c r="DF135" s="411"/>
      <c r="DG135" s="1116">
        <f t="shared" si="228"/>
        <v>0</v>
      </c>
      <c r="DH135" s="1116">
        <f t="shared" si="229"/>
        <v>0</v>
      </c>
      <c r="DI135" s="1116">
        <f t="shared" si="230"/>
        <v>0</v>
      </c>
      <c r="DJ135" s="442">
        <f t="shared" si="231"/>
        <v>0</v>
      </c>
      <c r="DK135" s="1109">
        <f t="shared" si="232"/>
        <v>0</v>
      </c>
      <c r="DL135" s="1101">
        <f t="shared" si="233"/>
        <v>0</v>
      </c>
      <c r="DM135" s="1097">
        <f t="shared" si="234"/>
        <v>0</v>
      </c>
      <c r="DN135" s="1097">
        <f t="shared" si="235"/>
        <v>0</v>
      </c>
      <c r="DO135" s="1097">
        <f t="shared" si="236"/>
        <v>0</v>
      </c>
      <c r="DP135" s="1110">
        <f t="shared" si="237"/>
        <v>0</v>
      </c>
      <c r="DQ135" s="1113" t="s">
        <v>157</v>
      </c>
      <c r="DR135" s="1120">
        <f t="shared" si="238"/>
        <v>0.33</v>
      </c>
      <c r="DS135" s="1124">
        <v>10</v>
      </c>
      <c r="DT135" s="1093" t="s">
        <v>161</v>
      </c>
      <c r="DU135" s="1093" t="s">
        <v>544</v>
      </c>
      <c r="DV135" s="1098">
        <f>IF($P135="","N/A",IF(P135=-1,INDEX('卡片raw data'!AN:AN,MATCH(D135,'卡片raw data'!$F:$F,)),0)+IF(AND(L135&lt;&gt;"party卡",P135&lt;=2,P135&gt;=0),INDEX('卡片raw data'!AP:AP,MATCH(D135,'卡片raw data'!$F:$F,)),0)+IF(OR(AND(L135="party卡",P135&lt;=1),AND(P135&lt;=4,L135&lt;&gt;"party卡",P135&gt;=3)),INDEX('卡片raw data'!AQ:AQ,MATCH(D135,'卡片raw data'!$F:$F,)),0)+IF(OR(P135=5,AND(L135="party卡",P135&gt;=2)),INDEX('卡片raw data'!AR:AR,MATCH(D135,'卡片raw data'!$F:$F,)),0))</f>
        <v>5.1999999999999998E-2</v>
      </c>
      <c r="DW135" s="1098">
        <f t="shared" si="239"/>
        <v>0.33</v>
      </c>
      <c r="DX135" s="1098">
        <f t="shared" si="240"/>
        <v>0.33</v>
      </c>
      <c r="DY135" s="1098">
        <f t="shared" si="241"/>
        <v>5.7200000000000001E-2</v>
      </c>
      <c r="DZ135" s="1098">
        <f t="shared" si="242"/>
        <v>4.9478000000000001E-2</v>
      </c>
      <c r="EA135" s="1098">
        <f t="shared" si="243"/>
        <v>0</v>
      </c>
      <c r="EB135" s="1121">
        <f t="shared" si="244"/>
        <v>11.413098124999998</v>
      </c>
      <c r="EC135" s="1101">
        <f t="shared" si="245"/>
        <v>743.59999999999991</v>
      </c>
      <c r="ED135" s="1097">
        <f t="shared" si="246"/>
        <v>493.13073333333324</v>
      </c>
      <c r="EE135" s="1110">
        <f t="shared" si="247"/>
        <v>743.59999999999991</v>
      </c>
      <c r="EF135" s="1092" t="s">
        <v>711</v>
      </c>
      <c r="EG135" s="1120">
        <f t="shared" si="248"/>
        <v>0.33</v>
      </c>
      <c r="EH135" s="1124"/>
      <c r="EI135" s="1093"/>
      <c r="EJ135" s="1093"/>
      <c r="EK135" s="1097">
        <f>IF($P135="","N/A",IF(P135=-1,INDEX('卡片raw data'!AS:AS,MATCH(D135,'卡片raw data'!$F:$F,)),0)+IF(AND(L135&lt;&gt;"party卡",P135&lt;=2,P135&gt;=0),INDEX('卡片raw data'!AU:AU,MATCH(D135,'卡片raw data'!$F:$F,)),0)+IF(OR(AND(L135="party卡",P135&lt;=1),AND(P135&lt;=4,L135&lt;&gt;"party卡",P135&gt;=3)),INDEX('卡片raw data'!AV:AV,MATCH(D135,'卡片raw data'!$F:$F,)),0)+IF(OR(P135=5,AND(L135="party卡",P135&gt;=2)),INDEX('卡片raw data'!AW:AW,MATCH(D135,'卡片raw data'!$F:$F,)),0))</f>
        <v>0</v>
      </c>
      <c r="EL135" s="1098">
        <f t="shared" si="249"/>
        <v>0.33</v>
      </c>
      <c r="EM135" s="1098">
        <f t="shared" si="250"/>
        <v>0.33</v>
      </c>
      <c r="EN135" s="1125">
        <f t="shared" si="251"/>
        <v>0</v>
      </c>
      <c r="EO135" s="1125">
        <f t="shared" si="252"/>
        <v>0</v>
      </c>
      <c r="EP135" s="1098">
        <f t="shared" si="253"/>
        <v>0</v>
      </c>
      <c r="EQ135" s="1121">
        <f t="shared" si="254"/>
        <v>0</v>
      </c>
      <c r="ER135" s="1101">
        <f t="shared" si="255"/>
        <v>0</v>
      </c>
      <c r="ES135" s="1097">
        <f t="shared" si="256"/>
        <v>0</v>
      </c>
      <c r="ET135" s="1122">
        <f t="shared" si="257"/>
        <v>0</v>
      </c>
    </row>
    <row r="136" spans="2:150" ht="16.5" customHeight="1">
      <c r="B136" s="1123" t="str">
        <f>INDEX('卡片raw data'!B:B,MATCH($D136,'卡片raw data'!$F:$F,))</f>
        <v>sh花</v>
      </c>
      <c r="C136" s="449" t="s">
        <v>66</v>
      </c>
      <c r="D136" s="408">
        <v>133</v>
      </c>
      <c r="E136" s="1090">
        <v>300082001</v>
      </c>
      <c r="F136" s="1090" t="str">
        <f>INDEX('卡片raw data'!C:C,MATCH($D136,'卡片raw data'!$F:$F,))</f>
        <v>SR</v>
      </c>
      <c r="G136" s="1094" t="s">
        <v>337</v>
      </c>
      <c r="H136" s="411">
        <f>IFERROR(INDEX(绊状态确认!C:C,MATCH($G136,绊状态确认!$B:$B,)),"")</f>
        <v>8</v>
      </c>
      <c r="I136" s="1124" t="str">
        <f>IFERROR(INDEX(绊状态确认!D:D,MATCH($G136,绊状态确认!$B:$B,)),"")</f>
        <v>缪</v>
      </c>
      <c r="J136" s="1124" t="str">
        <f>IFERROR(INDEX(绊状态确认!E:E,MATCH($G136,绊状态确认!$B:$B,)),"")</f>
        <v>1年级</v>
      </c>
      <c r="K136" s="451" t="str">
        <f>IFERROR(INDEX(绊状态确认!F:F,MATCH($G136,绊状态确认!$B:$B,)),"")</f>
        <v>Printemps</v>
      </c>
      <c r="L136" s="1094" t="str">
        <f>INDEX('卡片raw data'!E:E,MATCH($D136,'卡片raw data'!$F:$F,))</f>
        <v>卡池卡</v>
      </c>
      <c r="M136" s="415">
        <v>43805</v>
      </c>
      <c r="N136" s="416">
        <v>5</v>
      </c>
      <c r="O136" s="1091" t="str">
        <f>INDEX('卡片raw data'!D:D,MATCH($D136,'卡片raw data'!$F:$F,))</f>
        <v>sk</v>
      </c>
      <c r="P136" s="417">
        <v>5</v>
      </c>
      <c r="Q136" s="1095">
        <f t="shared" si="173"/>
        <v>24190.504549867383</v>
      </c>
      <c r="R136" s="1096">
        <f t="shared" si="174"/>
        <v>0.28100000000000003</v>
      </c>
      <c r="S136" s="1097">
        <f t="shared" si="175"/>
        <v>11830.628024474703</v>
      </c>
      <c r="T136" s="1098">
        <f t="shared" si="176"/>
        <v>0.59099999999999997</v>
      </c>
      <c r="U136" s="1099">
        <f t="shared" si="177"/>
        <v>13.316781644232858</v>
      </c>
      <c r="V136" s="1100">
        <f t="shared" si="178"/>
        <v>27255.731876243506</v>
      </c>
      <c r="W136" s="1101">
        <f t="shared" si="179"/>
        <v>6622.9668666235912</v>
      </c>
      <c r="X136" s="1096">
        <f t="shared" si="180"/>
        <v>7.5999999999999998E-2</v>
      </c>
      <c r="Y136" s="1097">
        <f t="shared" si="181"/>
        <v>1065.2273263761272</v>
      </c>
      <c r="Z136" s="1102">
        <f t="shared" si="182"/>
        <v>13.316781644232858</v>
      </c>
      <c r="AA136" s="1103">
        <f t="shared" si="183"/>
        <v>7688.1941929997183</v>
      </c>
      <c r="AB136" s="1101">
        <f t="shared" si="184"/>
        <v>7316.277196645834</v>
      </c>
      <c r="AC136" s="1104">
        <f t="shared" si="185"/>
        <v>8.5000000000000006E-2</v>
      </c>
      <c r="AD136" s="1105">
        <f t="shared" si="186"/>
        <v>1.8994224431818179E-2</v>
      </c>
      <c r="AE136" s="1128">
        <f t="shared" si="187"/>
        <v>4.3537577047458456</v>
      </c>
      <c r="AF136" s="1130">
        <f t="shared" si="188"/>
        <v>0</v>
      </c>
      <c r="AG136" s="420">
        <f t="shared" si="189"/>
        <v>0</v>
      </c>
      <c r="AH136" s="420">
        <f t="shared" si="190"/>
        <v>0</v>
      </c>
      <c r="AI136" s="1097">
        <f t="shared" si="191"/>
        <v>0</v>
      </c>
      <c r="AJ136" s="420">
        <f t="shared" si="192"/>
        <v>0</v>
      </c>
      <c r="AK136" s="518">
        <f t="shared" si="193"/>
        <v>0</v>
      </c>
      <c r="AL136" s="1106">
        <f>IF($P136="","N/A",(IF($P136=-1,INDEX('卡片raw data'!S:S,MATCH($D136,'卡片raw data'!$F:$F,)),0)+IF($P136=0,INDEX('卡片raw data'!V:V,MATCH($D136,'卡片raw data'!$F:$F,)),0)+IF($P136=1,INDEX('卡片raw data'!Y:Y,MATCH($D136,'卡片raw data'!$F:$F,)),0)+IF($P136=2,INDEX('卡片raw data'!AB:AB,MATCH($D136,'卡片raw data'!$F:$F,)),0)+IF($P136=3,INDEX('卡片raw data'!AE:AE,MATCH($D136,'卡片raw data'!$F:$F,)),0)+IF($P136=4,INDEX('卡片raw data'!AH:AH,MATCH($D136,'卡片raw data'!$F:$F,)),0)+IF($P136=5,INDEX('卡片raw data'!AK:AK,MATCH($D136,'卡片raw data'!$F:$F,)),0)+INDEX('卡片raw data'!S:S,MATCH($D136,'卡片raw data'!$F:$F,))*(IF($F136="UR",0.04,0.033))*(IF($F136="UR",INDEX(绊状态确认!$S:$S,MATCH($G136,绊状态确认!$B:$B,))/2-40)+IF($F136="SR",INDEX(绊状态确认!$R:$R,MATCH($G136,绊状态确认!$B:$B,))/4-15))+IF($F136="R",INDEX(绊状态确认!$Q:$Q,MATCH($G136,绊状态确认!$B:$B,))/6-40/6)))*(INDEX(绊状态确认!$H:$H,MATCH($G136,绊状态确认!$B:$B,))+INDEX(绊状态确认!J:J,MATCH($G136,绊状态确认!$B:$B,)))</f>
        <v>4426.4870975999993</v>
      </c>
      <c r="AM136" s="1106">
        <f>IF($P136="","N/A",(IF($P136=-1,INDEX('卡片raw data'!T:T,MATCH($D136,'卡片raw data'!$F:$F,)),0)+IF($P136=0,INDEX('卡片raw data'!W:W,MATCH($D136,'卡片raw data'!$F:$F,)),0)+IF($P136=1,INDEX('卡片raw data'!Z:Z,MATCH($D136,'卡片raw data'!$F:$F,)),0)+IF($P136=2,INDEX('卡片raw data'!AC:AC,MATCH($D136,'卡片raw data'!$F:$F,)),0)+IF($P136=3,INDEX('卡片raw data'!AF:AF,MATCH($D136,'卡片raw data'!$F:$F,)),0)+IF($P136=4,INDEX('卡片raw data'!AI:AI,MATCH($D136,'卡片raw data'!$F:$F,)),0)+IF($P136=5,INDEX('卡片raw data'!AL:AL,MATCH($D136,'卡片raw data'!$F:$F,)),0)+INDEX('卡片raw data'!T:T,MATCH($D136,'卡片raw data'!$F:$F,))*(IF($F136="UR",0.04,0.033))*(IF($F136="UR",INDEX(绊状态确认!$S:$S,MATCH($G136,绊状态确认!$B:$B,))/2-40)+IF($F136="SR",INDEX(绊状态确认!$R:$R,MATCH($G136,绊状态确认!$B:$B,))/4-15))+IF($F136="R",INDEX(绊状态确认!$Q:$Q,MATCH($G136,绊状态确认!$B:$B,))/6-40/6)))*(INDEX(绊状态确认!$H:$H,MATCH($G136,绊状态确认!$B:$B,))+INDEX(绊状态确认!K:K,MATCH($G136,绊状态确认!$B:$B,)))</f>
        <v>7124.5393415999997</v>
      </c>
      <c r="AN136" s="1106">
        <f>IF($P136="","N/A",(IF($P136=-1,INDEX('卡片raw data'!U:U,MATCH($D136,'卡片raw data'!$F:$F,)),0)+IF($P136=0,INDEX('卡片raw data'!X:X,MATCH($D136,'卡片raw data'!$F:$F,)),0)+IF($P136=1,INDEX('卡片raw data'!AA:AA,MATCH($D136,'卡片raw data'!$F:$F,)),0)+IF($P136=2,INDEX('卡片raw data'!AD:AD,MATCH($D136,'卡片raw data'!$F:$F,)),0)+IF($P136=3,INDEX('卡片raw data'!AG:AG,MATCH($D136,'卡片raw data'!$F:$F,)),0)+IF($P136=4,INDEX('卡片raw data'!AJ:AJ,MATCH($D136,'卡片raw data'!$F:$F,)),0)+IF($P136=5,INDEX('卡片raw data'!AM:AM,MATCH($D136,'卡片raw data'!$F:$F,)),0)+INDEX('卡片raw data'!U:U,MATCH($D136,'卡片raw data'!$F:$F,))*(IF($F136="UR",0.04,0.033))*(IF($F136="UR",INDEX(绊状态确认!$S:$S,MATCH($G136,绊状态确认!$B:$B,))/2-40)+IF($F136="SR",INDEX(绊状态确认!$R:$R,MATCH($G136,绊状态确认!$B:$B,))/4-15))+IF($F136="R",INDEX(绊状态确认!$Q:$Q,MATCH($G136,绊状态确认!$B:$B,))/6-40/6)))*(INDEX(绊状态确认!$H:$H,MATCH($G136,绊状态确认!$B:$B,))+INDEX(绊状态确认!L:L,MATCH($G136,绊状态确认!$B:$B,)))</f>
        <v>7703.7646943999989</v>
      </c>
      <c r="AO136" s="1107">
        <f t="shared" si="194"/>
        <v>1</v>
      </c>
      <c r="AP136" s="1131">
        <f>1+(INDEX(绊状态确认!$T:$T,MATCH($G136,绊状态确认!$B:$B,))+0.2)*$AO136</f>
        <v>1.3</v>
      </c>
      <c r="AQ136" s="1108">
        <f t="shared" si="195"/>
        <v>14869.528631199999</v>
      </c>
      <c r="AR136" s="1097">
        <f>(AM136*(1+$EX$9)+$EX$35)*(1+(INDEX(绊状态确认!$T:$T,MATCH($G136,绊状态确认!$B:$B,))+0.2)*AO136)*IF(J136=$FF$17,1+$FE$17,1)*IF(I136=$FF$14,1+$FE$14,1)</f>
        <v>12428.996201284001</v>
      </c>
      <c r="AS136" s="1097">
        <f>(AN136*(1+$EX$10)+$EX$36)*(1+(INDEX(绊状态确认!$T:$T,MATCH($G136,绊状态确认!$B:$B,))+0.2)*AO136)*IF(J136=$FF$17,1+$FE$17,1)*IF(I136=$FF$14,1+$FE$14,1)</f>
        <v>15573.128218127997</v>
      </c>
      <c r="AT136" s="1093">
        <f>IF(AND(INDEX('卡片raw data'!AK:AK,MATCH($D136,'卡片raw data'!$F:$F,))&lt;INDEX('卡片raw data'!AM:AM,MATCH($D136,'卡片raw data'!$F:$F,)),INDEX('卡片raw data'!AL:AL,MATCH($D136,'卡片raw data'!$F:$F,))&lt;INDEX('卡片raw data'!AM:AM,MATCH($D136,'卡片raw data'!$F:$F,))),1,0)</f>
        <v>1</v>
      </c>
      <c r="AU136" s="1098">
        <f>MIN(AT136*0.15+AS136*0.00003+INDEX(绊状态确认!M:M,MATCH($G136,绊状态确认!$B:$B,)),1)</f>
        <v>0.64719384654383993</v>
      </c>
      <c r="AV136" s="1109">
        <f>(INDEX(绊状态确认!$N:$N,MATCH($G136,绊状态确认!$B:$B,))+1.5)*$EW$21</f>
        <v>2.6599999999999997</v>
      </c>
      <c r="AW136" s="1101">
        <f t="shared" si="196"/>
        <v>16018.980810332065</v>
      </c>
      <c r="AX136" s="1097">
        <f t="shared" si="197"/>
        <v>1065.2273263761269</v>
      </c>
      <c r="AY136" s="1110">
        <f t="shared" si="198"/>
        <v>17084.208136708192</v>
      </c>
      <c r="AZ136" s="429">
        <f t="shared" si="199"/>
        <v>11231.649840319998</v>
      </c>
      <c r="BA136" s="431">
        <f t="shared" si="200"/>
        <v>13477.979808383998</v>
      </c>
      <c r="BB136" s="1097">
        <f>(AM136*(1+$FB$9)+$FB$35)*(1+(INDEX(绊状态确认!$T:$T,MATCH($G136,绊状态确认!$B:$B,))+0.2)*AO136)*IF(J136=$FF$17,1+$FE$17,1)*IF(I136=$FF$14,1+$FE$14,1)*(1+$FE$15)</f>
        <v>12428.996201284001</v>
      </c>
      <c r="BC136" s="1097">
        <f>(AN136*(1+$FB$10)+$FB$36)*(1+(INDEX(绊状态确认!$T:$T,MATCH($G136,绊状态确认!$B:$B,))+0.2)*AO136)*IF(J136=$FF$17,1+$FE$17,1)*IF(I136=$FF$14,1+$FE$14,1)*(1+$FE$15)</f>
        <v>15573.128218127997</v>
      </c>
      <c r="BD136" s="1104">
        <f>MIN(AT136*0.15+BC136*0.00003+INDEX(绊状态确认!M:M,MATCH($G136,绊状态确认!$B:$B,)),1)</f>
        <v>0.64719384654383993</v>
      </c>
      <c r="BE136" s="432">
        <f>(INDEX(绊状态确认!$N:$N,MATCH($G136,绊状态确认!$B:$B,))+1.5)</f>
        <v>1.9</v>
      </c>
      <c r="BF136" s="1139">
        <f t="array" ref="BF136">SUMPRODUCT(IF(AZ136*AP136*$FI$16:$FI$23*$FA$22&gt;=$FI$24,$FI$24,AZ136*AP136*$FI$16:$FI$23*$FA$22),$FJ$16:$FJ$23)</f>
        <v>22339.751532396476</v>
      </c>
      <c r="BG136" s="1125">
        <f t="array" ref="BG136">SUMPRODUCT(IF(BE136*AZ136*AP136*$FI$16:$FI$23*$FA$22&gt;=$FI$24,$FI$24,BE136*AZ136*AP136*$FI$16:$FI$23*$FA$22),$FJ$16:$FJ$23)</f>
        <v>42445.527911553305</v>
      </c>
      <c r="BH136" s="1110">
        <f t="shared" si="201"/>
        <v>11784.028761657753</v>
      </c>
      <c r="BI136" s="1111">
        <f>IF(O136="vo",$EW$26/$EW$24*0.05,0)+IF(O136="sk",-$EW$26/$EW$24*(0.05-INDEX(绊状态确认!W:W,MATCH($G136,绊状态确认!$B:$B,)))+0.05*$EW$28,0)+IF(O136="sp",0.05*$EW$32*$EW$30*(1-$EW$33)-(0.05-INDEX(绊状态确认!V:V,MATCH($G136,绊状态确认!$B:$B,)))*$EW$28,0)+IF(O136="gd",-(0.05-INDEX(绊状态确认!X:X,MATCH($G136,绊状态确认!$B:$B,)))*$EW$32*$EW$30*(1-$EW$33),0)</f>
        <v>-6253.6726349699375</v>
      </c>
      <c r="BJ136" s="1097">
        <f>IF(O136="vo",0.05*(1-$FI$26)*$FA$24,0)+IF(O136="sk",-(0.05-INDEX(绊状态确认!W:W,MATCH($G136,绊状态确认!$B:$B,)))*(1-$FI$26)*$FA$24+0.05*$FA$26,0)+IF(O136="sp",0.05*$FA$32*$FA$27*(1-$FA$33)/$FA$30+0.05*$FA$29/$FA$69*$FA$27*(1-$FA$33)-(0.05-INDEX(绊状态确认!V:V,MATCH($G136,绊状态确认!$B:$B,)))*$FA$26,0)+IF(O136="gd",-(0.05-INDEX(绊状态确认!X:X,MATCH($G136,绊状态确认!$B:$B,)))*$FA$32*$FA$27*(1-$FA$33)/$FA$30-(0.05-INDEX(绊状态确认!X:X,MATCH($G136,绊状态确认!$B:$B,)))*$FA$29/$FA$69*$FA$27*(1-$FA$33),0)</f>
        <v>20.459096812499922</v>
      </c>
      <c r="BK136" s="1110">
        <f>IF(O136="vo",$EW$26/$EW$24*0.05+$EW$26*(-HP($EW$62,$EW$65,$EW$64)+HP($EW$62,$EW$65,(1.05-INDEX(绊状态确认!U:U,MATCH($G136,绊状态确认!$B:$B,)))*$EW$64)),0)+IF(O136="sk",-$EW$26/$EW$24*(0.05-INDEX(绊状态确认!W:W,MATCH($G136,绊状态确认!$B:$B,)))+0.05*$EW$29,0)+IF(O136="sp",0.05*$EW$32*$EW$30*(1-$EW$33)-(0.05-INDEX(绊状态确认!V:V,MATCH($G136,绊状态确认!$B:$B,)))*$EW$29,0)+IF(O136="gd",-(0.05-INDEX(绊状态确认!X:X,MATCH($G136,绊状态确认!$B:$B,)))*$EW$32*$EW$30*(1-$EW$33)+$EW$26*(-HP($EW$62,$EW$65,$EW$64)+HP($EW$62,$EW$65,0.95*$EW$64)),0)</f>
        <v>-4253.6726349699375</v>
      </c>
      <c r="BL136" s="1111">
        <f t="shared" si="202"/>
        <v>-1083.3333333333333</v>
      </c>
      <c r="BM136" s="1110">
        <f t="shared" si="203"/>
        <v>-830.55555555555543</v>
      </c>
      <c r="BN136" s="1113">
        <f t="shared" si="204"/>
        <v>3</v>
      </c>
      <c r="BO136" s="1097">
        <f t="shared" si="205"/>
        <v>4507.7214871259994</v>
      </c>
      <c r="BP136" s="1100">
        <f t="shared" si="206"/>
        <v>221.34103209030098</v>
      </c>
      <c r="BQ136" s="1113" t="s">
        <v>626</v>
      </c>
      <c r="BR136" s="1124" t="s">
        <v>557</v>
      </c>
      <c r="BS136" s="1098">
        <f>IF($P136="","N/A",IF($P136=-1,INDEX('卡片raw data'!AX:AX,MATCH($D136,'卡片raw data'!$F:$F,)),0)+IF($L136="party卡",IF($P136=5,INDEX('卡片raw data'!BD:BD,MATCH($D136,'卡片raw data'!$F:$F,)),IF($P136&gt;=3,INDEX('卡片raw data'!BC:BC,MATCH($D136,'卡片raw data'!$F:$F,)),INDEX('卡片raw data'!BB:BB,MATCH($D136,'卡片raw data'!$F:$F,)))),IF(OR(AND($F136="UR",$P136=0),AND($F136="SR",$P136&gt;=0,$P136&lt;=2),AND($F136="R",$P136&gt;=0,$P136&lt;4)),INDEX('卡片raw data'!AZ:AZ,MATCH($D136,'卡片raw data'!$F:$F,)),0)+IF(OR(AND($F136="UR",$P136&gt;=1,$P136&lt;=4),AND($F136="SR",$P136&lt;=4,$P136&gt;=3),AND($F136="R",$P136=4)),INDEX('卡片raw data'!BA:BA,MATCH($D136,'卡片raw data'!$F:$F,)),0)+IF($P136=5,INDEX('卡片raw data'!BB:BB,MATCH($D136,'卡片raw data'!$F:$F,)),0)))</f>
        <v>4.2000000000000003E-2</v>
      </c>
      <c r="BT136" s="1101">
        <f t="shared" si="207"/>
        <v>1584.7093257651256</v>
      </c>
      <c r="BU136" s="1097">
        <f t="shared" si="208"/>
        <v>85.970320817189048</v>
      </c>
      <c r="BV136" s="1097">
        <f t="shared" si="209"/>
        <v>891.39899574288302</v>
      </c>
      <c r="BW136" s="1112">
        <f t="shared" si="210"/>
        <v>0</v>
      </c>
      <c r="BX136" s="1100">
        <f t="shared" si="211"/>
        <v>1584.7093257651256</v>
      </c>
      <c r="BY136" s="1110">
        <f t="shared" si="212"/>
        <v>891.39899574288302</v>
      </c>
      <c r="BZ136" s="1107" t="s">
        <v>569</v>
      </c>
      <c r="CA136" s="1124"/>
      <c r="CB136" s="1098">
        <f>IF($P136="","N/A",IF($P136=-1,INDEX('卡片raw data'!BE:BE,MATCH($D136,'卡片raw data'!$F:$F,)),0)+IF($L136="party卡",IF($P136=5,INDEX('卡片raw data'!BK:BK,MATCH($D136,'卡片raw data'!$F:$F,)),IF($P136&gt;=3,INDEX('卡片raw data'!BJ:BJ,MATCH($D136,'卡片raw data'!$F:$F,)),INDEX('卡片raw data'!BI:BI,MATCH($D136,'卡片raw data'!$F:$F,)))),IF(OR(AND($F136="UR",$P136=0),AND($F136="SR",$P136&gt;=0,$P136&lt;=2),AND($F136="R",$P136&gt;=0,$P136&lt;4)),INDEX('卡片raw data'!BG:BG,MATCH($D136,'卡片raw data'!$F:$F,)),0)+IF(OR(AND($F136="UR",$P136&gt;=1,$P136&lt;=4),AND($F136="SR",$P136&lt;=4,$P136&gt;=3),AND($F136="R",$P136=4)),INDEX('卡片raw data'!BH:BH,MATCH($D136,'卡片raw data'!$F:$F,)),0)+IF($P136=5,INDEX('卡片raw data'!BI:BI,MATCH($D136,'卡片raw data'!$F:$F,)),0)))</f>
        <v>0</v>
      </c>
      <c r="CC136" s="1101">
        <f t="shared" si="213"/>
        <v>0</v>
      </c>
      <c r="CD136" s="1097">
        <f>IF(BZ136="ap",CB136*(1-$FI$26)*$FB$5/$FB$11*(+IF(CA136="全员",$FA$24,0)+IF(CA136="同作战",$FA$24,0)+IF(CA136="仲间",$FA$24*2/3,0)+IF(CA136="同属性",$FA$24*$FA$37/3,0)+IF(CA136="同年级",$FA$24*$FA$40/3,0)+IF(CA136="同学校",$FA$24*$FA$43/3,0)+IF(CA136="同小队",$FA$24*$FA$46/3,0)+IF(CA136="同type",$FA$24*INDEX($FB$49:$FB$52,MATCH(X136,$FA$49:$FA$52,))/3,0)+IF(CA136="自身",#REF!/3,0)),0)+IF(BZ136="te",CB136*(1-$FI$27)*($FA$20-1)*$FB$7/$FB$13*(+IF(CA136="全员",$FA$19*$FA$24/(1+($FA$20-1)*$FA$19),0)+IF(CA136="同作战",$FA$19*$FA$24/(1+($FA$20-1)*$FA$19),0)+IF(CA136="仲间",$FA$19*$FA$24*2/3/(1+($FA$20-1)*$FA$19),0)+IF(CA136="同属性",$FA$19*$FA$24*$FA$37/3/(1+($FA$20-1)*$FA$19),0)+IF(CA136="同年级",$FA$19*$FA$24*$FA$40/3/(1+($FA$20-1)*$FA$19),0)+IF(CA136="同学校",$FA$19*$FA$24*$FA$43/3/(1+($FA$20-1)*$FA$19),0)+IF(CA136="同小队",$FA$19*$FA$24*$FA$46/3/(1+($FA$20-1)*$FA$19),0)+IF(CA136="同type",$FA$19*$FA$24*INDEX($FB$49:$FB$52,MATCH(X136,$FA$49:$FA$52,))/3/(1+($FA$20-1)*$FA$19),0)+IF(CA136="自身",$FA$19*#REF!/3/(1+(BH136-1)*$BD136),0)),0)</f>
        <v>0</v>
      </c>
      <c r="CE136" s="1097">
        <f t="shared" si="214"/>
        <v>0</v>
      </c>
      <c r="CF136" s="1112">
        <f t="shared" si="215"/>
        <v>0</v>
      </c>
      <c r="CG136" s="1100">
        <f t="shared" si="216"/>
        <v>0</v>
      </c>
      <c r="CH136" s="1110">
        <f t="shared" si="217"/>
        <v>0</v>
      </c>
      <c r="CI136" s="1113" t="s">
        <v>165</v>
      </c>
      <c r="CJ136" s="1114">
        <v>0.3</v>
      </c>
      <c r="CK136" s="1115" t="s">
        <v>566</v>
      </c>
      <c r="CL136" s="1115" t="s">
        <v>161</v>
      </c>
      <c r="CM136" s="1119">
        <v>0.03</v>
      </c>
      <c r="CN136" s="1115" t="s">
        <v>572</v>
      </c>
      <c r="CO136" s="1092"/>
      <c r="CP136" s="1118">
        <f t="shared" si="218"/>
        <v>8.9999999999999993E-3</v>
      </c>
      <c r="CQ136" s="1118">
        <f t="shared" si="219"/>
        <v>8.9999999999999993E-3</v>
      </c>
      <c r="CR136" s="1118">
        <f t="shared" si="220"/>
        <v>8.9999999999999993E-3</v>
      </c>
      <c r="CS136" s="1118">
        <f t="shared" si="221"/>
        <v>0</v>
      </c>
      <c r="CT136" s="1109">
        <f t="shared" si="222"/>
        <v>0</v>
      </c>
      <c r="CU136" s="1101">
        <f t="shared" si="223"/>
        <v>1223.846383754709</v>
      </c>
      <c r="CV136" s="1108">
        <f t="shared" si="224"/>
        <v>59.090150531250003</v>
      </c>
      <c r="CW136" s="1097">
        <f t="shared" si="225"/>
        <v>1223.846383754709</v>
      </c>
      <c r="CX136" s="1097">
        <f t="shared" si="226"/>
        <v>1223.846383754709</v>
      </c>
      <c r="CY136" s="1110">
        <f t="shared" si="227"/>
        <v>1223.846383754709</v>
      </c>
      <c r="CZ136" s="437"/>
      <c r="DA136" s="438"/>
      <c r="DB136" s="439" t="s">
        <v>569</v>
      </c>
      <c r="DC136" s="439"/>
      <c r="DD136" s="443"/>
      <c r="DE136" s="411"/>
      <c r="DF136" s="411"/>
      <c r="DG136" s="1116">
        <f t="shared" si="228"/>
        <v>0</v>
      </c>
      <c r="DH136" s="1116">
        <f t="shared" si="229"/>
        <v>0</v>
      </c>
      <c r="DI136" s="1116">
        <f t="shared" si="230"/>
        <v>0</v>
      </c>
      <c r="DJ136" s="442">
        <f t="shared" si="231"/>
        <v>0</v>
      </c>
      <c r="DK136" s="1109">
        <f t="shared" si="232"/>
        <v>0</v>
      </c>
      <c r="DL136" s="1101">
        <f t="shared" si="233"/>
        <v>0</v>
      </c>
      <c r="DM136" s="1097">
        <f t="shared" si="234"/>
        <v>0</v>
      </c>
      <c r="DN136" s="1097">
        <f t="shared" si="235"/>
        <v>0</v>
      </c>
      <c r="DO136" s="1097">
        <f t="shared" si="236"/>
        <v>0</v>
      </c>
      <c r="DP136" s="1110">
        <f t="shared" si="237"/>
        <v>0</v>
      </c>
      <c r="DQ136" s="1113" t="s">
        <v>550</v>
      </c>
      <c r="DR136" s="1120">
        <f t="shared" si="238"/>
        <v>0.3</v>
      </c>
      <c r="DS136" s="1124">
        <v>10</v>
      </c>
      <c r="DT136" s="1093" t="s">
        <v>168</v>
      </c>
      <c r="DU136" s="1093" t="s">
        <v>544</v>
      </c>
      <c r="DV136" s="1098">
        <f>IF($P136="","N/A",IF(P136=-1,INDEX('卡片raw data'!AN:AN,MATCH(D136,'卡片raw data'!$F:$F,)),0)+IF(AND(L136&lt;&gt;"party卡",P136&lt;=2,P136&gt;=0),INDEX('卡片raw data'!AP:AP,MATCH(D136,'卡片raw data'!$F:$F,)),0)+IF(OR(AND(L136="party卡",P136&lt;=1),AND(P136&lt;=4,L136&lt;&gt;"party卡",P136&gt;=3)),INDEX('卡片raw data'!AQ:AQ,MATCH(D136,'卡片raw data'!$F:$F,)),0)+IF(OR(P136=5,AND(L136="party卡",P136&gt;=2)),INDEX('卡片raw data'!AR:AR,MATCH(D136,'卡片raw data'!$F:$F,)),0))</f>
        <v>7.0000000000000007E-2</v>
      </c>
      <c r="DW136" s="1098">
        <f t="shared" si="239"/>
        <v>0.3</v>
      </c>
      <c r="DX136" s="1098">
        <f t="shared" si="240"/>
        <v>0.3</v>
      </c>
      <c r="DY136" s="1098">
        <f t="shared" si="241"/>
        <v>7.0000000000000007E-2</v>
      </c>
      <c r="DZ136" s="1098">
        <f t="shared" si="242"/>
        <v>6.0550000000000007E-2</v>
      </c>
      <c r="EA136" s="1098">
        <f t="shared" si="243"/>
        <v>0</v>
      </c>
      <c r="EB136" s="1121">
        <f t="shared" si="244"/>
        <v>0</v>
      </c>
      <c r="EC136" s="1101">
        <f t="shared" si="245"/>
        <v>8192.2525111927516</v>
      </c>
      <c r="ED136" s="1097">
        <f t="shared" si="246"/>
        <v>490.2942181212656</v>
      </c>
      <c r="EE136" s="1110">
        <f t="shared" si="247"/>
        <v>8192.2525111927516</v>
      </c>
      <c r="EF136" s="1092" t="s">
        <v>711</v>
      </c>
      <c r="EG136" s="1120">
        <f t="shared" si="248"/>
        <v>0.3</v>
      </c>
      <c r="EH136" s="1124"/>
      <c r="EI136" s="1093"/>
      <c r="EJ136" s="1093"/>
      <c r="EK136" s="1097">
        <f>IF($P136="","N/A",IF(P136=-1,INDEX('卡片raw data'!AS:AS,MATCH(D136,'卡片raw data'!$F:$F,)),0)+IF(AND(L136&lt;&gt;"party卡",P136&lt;=2,P136&gt;=0),INDEX('卡片raw data'!AU:AU,MATCH(D136,'卡片raw data'!$F:$F,)),0)+IF(OR(AND(L136="party卡",P136&lt;=1),AND(P136&lt;=4,L136&lt;&gt;"party卡",P136&gt;=3)),INDEX('卡片raw data'!AV:AV,MATCH(D136,'卡片raw data'!$F:$F,)),0)+IF(OR(P136=5,AND(L136="party卡",P136&gt;=2)),INDEX('卡片raw data'!AW:AW,MATCH(D136,'卡片raw data'!$F:$F,)),0))</f>
        <v>0</v>
      </c>
      <c r="EL136" s="1098">
        <f t="shared" si="249"/>
        <v>0.3</v>
      </c>
      <c r="EM136" s="1098">
        <f t="shared" si="250"/>
        <v>0.3</v>
      </c>
      <c r="EN136" s="1125">
        <f t="shared" si="251"/>
        <v>0</v>
      </c>
      <c r="EO136" s="1125">
        <f t="shared" si="252"/>
        <v>0</v>
      </c>
      <c r="EP136" s="1098">
        <f t="shared" si="253"/>
        <v>0</v>
      </c>
      <c r="EQ136" s="1121">
        <f t="shared" si="254"/>
        <v>0</v>
      </c>
      <c r="ER136" s="1101">
        <f t="shared" si="255"/>
        <v>0</v>
      </c>
      <c r="ES136" s="1097">
        <f t="shared" si="256"/>
        <v>0</v>
      </c>
      <c r="ET136" s="1122">
        <f t="shared" si="257"/>
        <v>0</v>
      </c>
    </row>
    <row r="137" spans="2:150" ht="16.5" customHeight="1">
      <c r="B137" s="1123" t="str">
        <f>INDEX('卡片raw data'!B:B,MATCH($D137,'卡片raw data'!$F:$F,))</f>
        <v>观星希</v>
      </c>
      <c r="C137" s="449" t="s">
        <v>67</v>
      </c>
      <c r="D137" s="408">
        <v>134</v>
      </c>
      <c r="E137" s="1090">
        <v>400073001</v>
      </c>
      <c r="F137" s="1090" t="str">
        <f>INDEX('卡片raw data'!C:C,MATCH($D137,'卡片raw data'!$F:$F,))</f>
        <v>UR</v>
      </c>
      <c r="G137" s="1094" t="s">
        <v>30</v>
      </c>
      <c r="H137" s="411">
        <f>IFERROR(INDEX(绊状态确认!C:C,MATCH($G137,绊状态确认!$B:$B,)),"")</f>
        <v>7</v>
      </c>
      <c r="I137" s="450" t="str">
        <f>IFERROR(INDEX(绊状态确认!D:D,MATCH($G137,绊状态确认!$B:$B,)),"")</f>
        <v>缪</v>
      </c>
      <c r="J137" s="450" t="str">
        <f>IFERROR(INDEX(绊状态确认!E:E,MATCH($G137,绊状态确认!$B:$B,)),"")</f>
        <v>3年级</v>
      </c>
      <c r="K137" s="451" t="str">
        <f>IFERROR(INDEX(绊状态确认!F:F,MATCH($G137,绊状态确认!$B:$B,)),"")</f>
        <v>lilywhite</v>
      </c>
      <c r="L137" s="1094" t="str">
        <f>INDEX('卡片raw data'!E:E,MATCH($D137,'卡片raw data'!$F:$F,))</f>
        <v>活动卡</v>
      </c>
      <c r="M137" s="415">
        <v>43805</v>
      </c>
      <c r="N137" s="416">
        <v>5</v>
      </c>
      <c r="O137" s="1091" t="str">
        <f>INDEX('卡片raw data'!D:D,MATCH($D137,'卡片raw data'!$F:$F,))</f>
        <v>sp</v>
      </c>
      <c r="P137" s="417">
        <v>5</v>
      </c>
      <c r="Q137" s="1095">
        <f t="shared" si="173"/>
        <v>34163.83926962073</v>
      </c>
      <c r="R137" s="1096">
        <f t="shared" si="174"/>
        <v>0.39700000000000002</v>
      </c>
      <c r="S137" s="1097">
        <f t="shared" si="175"/>
        <v>17242.709081364119</v>
      </c>
      <c r="T137" s="1098">
        <f t="shared" si="176"/>
        <v>0.86199999999999999</v>
      </c>
      <c r="U137" s="1099">
        <f t="shared" si="177"/>
        <v>20.770739821371428</v>
      </c>
      <c r="V137" s="1100">
        <f t="shared" si="178"/>
        <v>34025.464193862077</v>
      </c>
      <c r="W137" s="1101">
        <f t="shared" si="179"/>
        <v>4591.2929156974278</v>
      </c>
      <c r="X137" s="1096">
        <f t="shared" si="180"/>
        <v>5.2999999999999999E-2</v>
      </c>
      <c r="Y137" s="1097">
        <f t="shared" si="181"/>
        <v>1661.624924241356</v>
      </c>
      <c r="Z137" s="1102">
        <f t="shared" si="182"/>
        <v>20.770739821371428</v>
      </c>
      <c r="AA137" s="1103">
        <f t="shared" si="183"/>
        <v>6252.9178399387838</v>
      </c>
      <c r="AB137" s="1101">
        <f t="shared" si="184"/>
        <v>4591.2929156974278</v>
      </c>
      <c r="AC137" s="1104">
        <f t="shared" si="185"/>
        <v>5.2999999999999999E-2</v>
      </c>
      <c r="AD137" s="1105">
        <f t="shared" si="186"/>
        <v>-1.6087500000000001E-2</v>
      </c>
      <c r="AE137" s="1128">
        <f t="shared" si="187"/>
        <v>12.64266304347826</v>
      </c>
      <c r="AF137" s="1130">
        <f t="shared" si="188"/>
        <v>0</v>
      </c>
      <c r="AG137" s="420">
        <f t="shared" si="189"/>
        <v>0</v>
      </c>
      <c r="AH137" s="420">
        <f t="shared" si="190"/>
        <v>0</v>
      </c>
      <c r="AI137" s="1097">
        <f t="shared" si="191"/>
        <v>0</v>
      </c>
      <c r="AJ137" s="420">
        <f t="shared" si="192"/>
        <v>0</v>
      </c>
      <c r="AK137" s="518">
        <f t="shared" si="193"/>
        <v>0</v>
      </c>
      <c r="AL137" s="1106">
        <f>IF($P137="","N/A",(IF($P137=-1,INDEX('卡片raw data'!S:S,MATCH($D137,'卡片raw data'!$F:$F,)),0)+IF($P137=0,INDEX('卡片raw data'!V:V,MATCH($D137,'卡片raw data'!$F:$F,)),0)+IF($P137=1,INDEX('卡片raw data'!Y:Y,MATCH($D137,'卡片raw data'!$F:$F,)),0)+IF($P137=2,INDEX('卡片raw data'!AB:AB,MATCH($D137,'卡片raw data'!$F:$F,)),0)+IF($P137=3,INDEX('卡片raw data'!AE:AE,MATCH($D137,'卡片raw data'!$F:$F,)),0)+IF($P137=4,INDEX('卡片raw data'!AH:AH,MATCH($D137,'卡片raw data'!$F:$F,)),0)+IF($P137=5,INDEX('卡片raw data'!AK:AK,MATCH($D137,'卡片raw data'!$F:$F,)),0)+INDEX('卡片raw data'!S:S,MATCH($D137,'卡片raw data'!$F:$F,))*(IF($F137="UR",0.04,0.033))*(IF($F137="UR",INDEX(绊状态确认!$S:$S,MATCH($G137,绊状态确认!$B:$B,))/2-40)+IF($F137="SR",INDEX(绊状态确认!$R:$R,MATCH($G137,绊状态确认!$B:$B,))/4-15))+IF($F137="R",INDEX(绊状态确认!$Q:$Q,MATCH($G137,绊状态确认!$B:$B,))/6-40/6)))*(INDEX(绊状态确认!$H:$H,MATCH($G137,绊状态确认!$B:$B,))+INDEX(绊状态确认!J:J,MATCH($G137,绊状态确认!$B:$B,)))</f>
        <v>7621.7893439999989</v>
      </c>
      <c r="AM137" s="1106">
        <f>IF($P137="","N/A",(IF($P137=-1,INDEX('卡片raw data'!T:T,MATCH($D137,'卡片raw data'!$F:$F,)),0)+IF($P137=0,INDEX('卡片raw data'!W:W,MATCH($D137,'卡片raw data'!$F:$F,)),0)+IF($P137=1,INDEX('卡片raw data'!Z:Z,MATCH($D137,'卡片raw data'!$F:$F,)),0)+IF($P137=2,INDEX('卡片raw data'!AC:AC,MATCH($D137,'卡片raw data'!$F:$F,)),0)+IF($P137=3,INDEX('卡片raw data'!AF:AF,MATCH($D137,'卡片raw data'!$F:$F,)),0)+IF($P137=4,INDEX('卡片raw data'!AI:AI,MATCH($D137,'卡片raw data'!$F:$F,)),0)+IF($P137=5,INDEX('卡片raw data'!AL:AL,MATCH($D137,'卡片raw data'!$F:$F,)),0)+INDEX('卡片raw data'!T:T,MATCH($D137,'卡片raw data'!$F:$F,))*(IF($F137="UR",0.04,0.033))*(IF($F137="UR",INDEX(绊状态确认!$S:$S,MATCH($G137,绊状态确认!$B:$B,))/2-40)+IF($F137="SR",INDEX(绊状态确认!$R:$R,MATCH($G137,绊状态确认!$B:$B,))/4-15))+IF($F137="R",INDEX(绊状态确认!$Q:$Q,MATCH($G137,绊状态确认!$B:$B,))/6-40/6)))*(INDEX(绊状态确认!$H:$H,MATCH($G137,绊状态确认!$B:$B,))+INDEX(绊状态确认!K:K,MATCH($G137,绊状态确认!$B:$B,)))</f>
        <v>8891.7390719999985</v>
      </c>
      <c r="AN137" s="1106">
        <f>IF($P137="","N/A",(IF($P137=-1,INDEX('卡片raw data'!U:U,MATCH($D137,'卡片raw data'!$F:$F,)),0)+IF($P137=0,INDEX('卡片raw data'!X:X,MATCH($D137,'卡片raw data'!$F:$F,)),0)+IF($P137=1,INDEX('卡片raw data'!AA:AA,MATCH($D137,'卡片raw data'!$F:$F,)),0)+IF($P137=2,INDEX('卡片raw data'!AD:AD,MATCH($D137,'卡片raw data'!$F:$F,)),0)+IF($P137=3,INDEX('卡片raw data'!AG:AG,MATCH($D137,'卡片raw data'!$F:$F,)),0)+IF($P137=4,INDEX('卡片raw data'!AJ:AJ,MATCH($D137,'卡片raw data'!$F:$F,)),0)+IF($P137=5,INDEX('卡片raw data'!AM:AM,MATCH($D137,'卡片raw data'!$F:$F,)),0)+INDEX('卡片raw data'!U:U,MATCH($D137,'卡片raw data'!$F:$F,))*(IF($F137="UR",0.04,0.033))*(IF($F137="UR",INDEX(绊状态确认!$S:$S,MATCH($G137,绊状态确认!$B:$B,))/2-40)+IF($F137="SR",INDEX(绊状态确认!$R:$R,MATCH($G137,绊状态确认!$B:$B,))/4-15))+IF($F137="R",INDEX(绊状态确认!$Q:$Q,MATCH($G137,绊状态确认!$B:$B,))/6-40/6)))*(INDEX(绊状态确认!$H:$H,MATCH($G137,绊状态确认!$B:$B,))+INDEX(绊状态确认!L:L,MATCH($G137,绊状态确认!$B:$B,)))</f>
        <v>8891.7390719999985</v>
      </c>
      <c r="AO137" s="1107">
        <f t="shared" si="194"/>
        <v>1</v>
      </c>
      <c r="AP137" s="1131">
        <f>1+(INDEX(绊状态确认!$T:$T,MATCH($G137,绊状态确认!$B:$B,))+0.2)*$AO137</f>
        <v>1.3</v>
      </c>
      <c r="AQ137" s="1108">
        <f t="shared" si="195"/>
        <v>23257.197028000002</v>
      </c>
      <c r="AR137" s="1097">
        <f>(AM137*(1+$EX$9)+$EX$35)*(1+(INDEX(绊状态确认!$T:$T,MATCH($G137,绊状态确认!$B:$B,))+0.2)*AO137)*IF(J137=$FF$17,1+$FE$17,1)*IF(I137=$FF$14,1+$FE$14,1)*(1+$FE$15)</f>
        <v>14841.223833279999</v>
      </c>
      <c r="AS137" s="1097">
        <f>(AN137*(1+$EX$10)+$EX$36)*(1+(INDEX(绊状态确认!$T:$T,MATCH($G137,绊状态确认!$B:$B,))+0.2)*AO137)*IF(J137=$FF$17,1+$FE$17,1)*IF(I137=$FF$14,1+$FE$14,1)*(1+$FE$15)</f>
        <v>17349.149912639998</v>
      </c>
      <c r="AT137" s="1093">
        <f>IF(AND(INDEX('卡片raw data'!AK:AK,MATCH($D137,'卡片raw data'!$F:$F,))&lt;INDEX('卡片raw data'!AM:AM,MATCH($D137,'卡片raw data'!$F:$F,)),INDEX('卡片raw data'!AL:AL,MATCH($D137,'卡片raw data'!$F:$F,))&lt;INDEX('卡片raw data'!AM:AM,MATCH($D137,'卡片raw data'!$F:$F,))),1,0)</f>
        <v>0</v>
      </c>
      <c r="AU137" s="1098">
        <f>MIN(AT137*0.15+AS137*0.00003+INDEX(绊状态确认!M:M,MATCH($G137,绊状态确认!$B:$B,)),1)</f>
        <v>0.55047449737919996</v>
      </c>
      <c r="AV137" s="1109">
        <f>(INDEX(绊状态确认!$N:$N,MATCH($G137,绊状态确认!$B:$B,))+1.5)*$EW$21</f>
        <v>2.6599999999999997</v>
      </c>
      <c r="AW137" s="1101">
        <f t="shared" si="196"/>
        <v>23115.776523700424</v>
      </c>
      <c r="AX137" s="1097">
        <f t="shared" si="197"/>
        <v>1278.758176767443</v>
      </c>
      <c r="AY137" s="1110">
        <f t="shared" si="198"/>
        <v>24394.534700467866</v>
      </c>
      <c r="AZ137" s="429">
        <f t="shared" si="199"/>
        <v>17462.489220799998</v>
      </c>
      <c r="BA137" s="431">
        <f t="shared" si="200"/>
        <v>20954.987064959998</v>
      </c>
      <c r="BB137" s="1097">
        <f>(AM137*(1+$FB$9)+$FB$35)*(1+(INDEX(绊状态确认!$T:$T,MATCH($G137,绊状态确认!$B:$B,))+0.2)*AO137)*IF(J137=$FF$17,1+$FE$17,1)*IF(I137=$FF$14,1+$FE$14,1)*(1+$FE$15)</f>
        <v>14841.223833279999</v>
      </c>
      <c r="BC137" s="1097">
        <f>(AN137*(1+$FB$10)+$FB$36)*(1+(INDEX(绊状态确认!$T:$T,MATCH($G137,绊状态确认!$B:$B,))+0.2)*AO137)*IF(J137=$FF$17,1+$FE$17,1)*IF(I137=$FF$14,1+$FE$14,1)*(1+$FE$15)</f>
        <v>17349.149912639998</v>
      </c>
      <c r="BD137" s="1104">
        <f>MIN(AT137*0.15+BC137*0.00003+INDEX(绊状态确认!M:M,MATCH($G137,绊状态确认!$B:$B,)),1)</f>
        <v>0.55047449737919996</v>
      </c>
      <c r="BE137" s="432">
        <f>(INDEX(绊状态确认!$N:$N,MATCH($G137,绊状态确认!$B:$B,))+1.5)</f>
        <v>1.9</v>
      </c>
      <c r="BF137" s="1139">
        <f t="array" ref="BF137">SUMPRODUCT(IF(AZ137*AP137*$FI$16:$FI$23*$FA$22&gt;=$FI$24,$FI$24,AZ137*AP137*$FI$16:$FI$23*$FA$22),$FJ$16:$FJ$23)</f>
        <v>34732.891060171205</v>
      </c>
      <c r="BG137" s="1125">
        <f t="array" ref="BG137">SUMPRODUCT(IF(BE137*AZ137*AP137*$FI$16:$FI$23*$FA$22&gt;=$FI$24,$FI$24,BE137*AZ137*AP137*$FI$16:$FI$23*$FA$22),$FJ$16:$FJ$23)</f>
        <v>58783.087093843998</v>
      </c>
      <c r="BH137" s="1110">
        <f t="shared" si="201"/>
        <v>15990.636877892821</v>
      </c>
      <c r="BI137" s="1111">
        <f>IF(O137="vo",$EW$26/$EW$24*0.05,0)+IF(O137="sk",-$EW$26/$EW$24*(0.05-INDEX(绊状态确认!W:W,MATCH($G137,绊状态确认!$B:$B,)))+0.05*$EW$28,0)+IF(O137="sp",0.05*$EW$32*$EW$30*(1-$EW$33)-(0.05-INDEX(绊状态确认!V:V,MATCH($G137,绊状态确认!$B:$B,)))*$EW$28,0)+IF(O137="gd",-(0.05-INDEX(绊状态确认!X:X,MATCH($G137,绊状态确认!$B:$B,)))*$EW$32*$EW$30*(1-$EW$33),0)</f>
        <v>19.999999999999886</v>
      </c>
      <c r="BJ137" s="1097">
        <f>IF(O137="vo",0.05*(1-$FI$26)*$FA$24,0)+IF(O137="sk",-(0.05-INDEX(绊状态确认!W:W,MATCH($G137,绊状态确认!$B:$B,)))*(1-$FI$26)*$FA$24+0.05*$FA$26,0)+IF(O137="sp",0.05*$FA$32*$FA$27*(1-$FA$33)/$FA$30+0.05*$FA$29/$FA$69*$FA$27*(1-$FA$33)-(0.05-INDEX(绊状态确认!V:V,MATCH($G137,绊状态确认!$B:$B,)))*$FA$26,0)+IF(O137="gd",-(0.05-INDEX(绊状态确认!X:X,MATCH($G137,绊状态确认!$B:$B,)))*$FA$32*$FA$27*(1-$FA$33)/$FA$30-(0.05-INDEX(绊状态确认!X:X,MATCH($G137,绊状态确认!$B:$B,)))*$FA$29/$FA$69*$FA$27*(1-$FA$33),0)</f>
        <v>545.83333333333326</v>
      </c>
      <c r="BK137" s="1110">
        <f>IF(O137="vo",$EW$26/$EW$24*0.05+$EW$26*(-HP($EW$62,$EW$65,$EW$64)+HP($EW$62,$EW$65,(1.05-INDEX(绊状态确认!U:U,MATCH($G137,绊状态确认!$B:$B,)))*$EW$64)),0)+IF(O137="sk",-$EW$26/$EW$24*(0.05-INDEX(绊状态确认!W:W,MATCH($G137,绊状态确认!$B:$B,)))+0.05*$EW$29,0)+IF(O137="sp",0.05*$EW$32*$EW$30*(1-$EW$33)-(0.05-INDEX(绊状态确认!V:V,MATCH($G137,绊状态确认!$B:$B,)))*$EW$29,0)+IF(O137="gd",-(0.05-INDEX(绊状态确认!X:X,MATCH($G137,绊状态确认!$B:$B,)))*$EW$32*$EW$30*(1-$EW$33)+$EW$26*(-HP($EW$62,$EW$65,$EW$64)+HP($EW$62,$EW$65,0.95*$EW$64)),0)</f>
        <v>-1780.0000000000005</v>
      </c>
      <c r="BL137" s="1111">
        <f t="shared" si="202"/>
        <v>0</v>
      </c>
      <c r="BM137" s="1110">
        <f t="shared" si="203"/>
        <v>0</v>
      </c>
      <c r="BN137" s="1113">
        <f t="shared" si="204"/>
        <v>3</v>
      </c>
      <c r="BO137" s="1097">
        <f t="shared" si="205"/>
        <v>4507.7214871259994</v>
      </c>
      <c r="BP137" s="1100">
        <f t="shared" si="206"/>
        <v>221.34103209030098</v>
      </c>
      <c r="BQ137" s="1113" t="s">
        <v>144</v>
      </c>
      <c r="BR137" s="1124" t="s">
        <v>149</v>
      </c>
      <c r="BS137" s="1098">
        <f>IF($P137="","N/A",IF($P137=-1,INDEX('卡片raw data'!AX:AX,MATCH($D137,'卡片raw data'!$F:$F,)),0)+IF($L137="party卡",IF($P137=5,INDEX('卡片raw data'!BD:BD,MATCH($D137,'卡片raw data'!$F:$F,)),IF($P137&gt;=3,INDEX('卡片raw data'!BC:BC,MATCH($D137,'卡片raw data'!$F:$F,)),INDEX('卡片raw data'!BB:BB,MATCH($D137,'卡片raw data'!$F:$F,)))),IF(OR(AND($F137="UR",$P137=0),AND($F137="SR",$P137&gt;=0,$P137&lt;=2),AND($F137="R",$P137&gt;=0,$P137&lt;4)),INDEX('卡片raw data'!AZ:AZ,MATCH($D137,'卡片raw data'!$F:$F,)),0)+IF(OR(AND($F137="UR",$P137&gt;=1,$P137&lt;=4),AND($F137="SR",$P137&lt;=4,$P137&gt;=3),AND($F137="R",$P137=4)),INDEX('卡片raw data'!BA:BA,MATCH($D137,'卡片raw data'!$F:$F,)),0)+IF($P137=5,INDEX('卡片raw data'!BB:BB,MATCH($D137,'卡片raw data'!$F:$F,)),0)))</f>
        <v>5.1999999999999998E-2</v>
      </c>
      <c r="BT137" s="1101">
        <f t="shared" si="207"/>
        <v>0</v>
      </c>
      <c r="BU137" s="1097">
        <f t="shared" si="208"/>
        <v>0</v>
      </c>
      <c r="BV137" s="1097">
        <f t="shared" si="209"/>
        <v>0</v>
      </c>
      <c r="BW137" s="1112">
        <f t="shared" si="210"/>
        <v>4.8694285714285721</v>
      </c>
      <c r="BX137" s="1100">
        <f t="shared" si="211"/>
        <v>382.86674747391328</v>
      </c>
      <c r="BY137" s="1110">
        <f t="shared" si="212"/>
        <v>382.86674747391328</v>
      </c>
      <c r="BZ137" s="1107" t="s">
        <v>569</v>
      </c>
      <c r="CA137" s="1124"/>
      <c r="CB137" s="1098">
        <f>IF($P137="","N/A",IF($P137=-1,INDEX('卡片raw data'!BE:BE,MATCH($D137,'卡片raw data'!$F:$F,)),0)+IF($L137="party卡",IF($P137=5,INDEX('卡片raw data'!BK:BK,MATCH($D137,'卡片raw data'!$F:$F,)),IF($P137&gt;=3,INDEX('卡片raw data'!BJ:BJ,MATCH($D137,'卡片raw data'!$F:$F,)),INDEX('卡片raw data'!BI:BI,MATCH($D137,'卡片raw data'!$F:$F,)))),IF(OR(AND($F137="UR",$P137=0),AND($F137="SR",$P137&gt;=0,$P137&lt;=2),AND($F137="R",$P137&gt;=0,$P137&lt;4)),INDEX('卡片raw data'!BG:BG,MATCH($D137,'卡片raw data'!$F:$F,)),0)+IF(OR(AND($F137="UR",$P137&gt;=1,$P137&lt;=4),AND($F137="SR",$P137&lt;=4,$P137&gt;=3),AND($F137="R",$P137=4)),INDEX('卡片raw data'!BH:BH,MATCH($D137,'卡片raw data'!$F:$F,)),0)+IF($P137=5,INDEX('卡片raw data'!BI:BI,MATCH($D137,'卡片raw data'!$F:$F,)),0)))</f>
        <v>0</v>
      </c>
      <c r="CC137" s="1101">
        <f t="shared" si="213"/>
        <v>0</v>
      </c>
      <c r="CD137" s="1097">
        <f>IF(BZ137="ap",CB137*(1-$FI$26)*$FB$5/$FB$11*(+IF(CA137="全员",$FA$24,0)+IF(CA137="同作战",$FA$24,0)+IF(CA137="仲间",$FA$24*2/3,0)+IF(CA137="同属性",$FA$24*$FA$37/3,0)+IF(CA137="同年级",$FA$24*$FA$40/3,0)+IF(CA137="同学校",$FA$24*$FA$43/3,0)+IF(CA137="同小队",$FA$24*$FA$46/3,0)+IF(CA137="同type",$FA$24*INDEX($FB$49:$FB$52,MATCH(X137,$FA$49:$FA$52,))/3,0)+IF(CA137="自身",#REF!/3,0)),0)+IF(BZ137="te",CB137*(1-$FI$27)*($FA$20-1)*$FB$7/$FB$13*(+IF(CA137="全员",$FA$19*$FA$24/(1+($FA$20-1)*$FA$19),0)+IF(CA137="同作战",$FA$19*$FA$24/(1+($FA$20-1)*$FA$19),0)+IF(CA137="仲间",$FA$19*$FA$24*2/3/(1+($FA$20-1)*$FA$19),0)+IF(CA137="同属性",$FA$19*$FA$24*$FA$37/3/(1+($FA$20-1)*$FA$19),0)+IF(CA137="同年级",$FA$19*$FA$24*$FA$40/3/(1+($FA$20-1)*$FA$19),0)+IF(CA137="同学校",$FA$19*$FA$24*$FA$43/3/(1+($FA$20-1)*$FA$19),0)+IF(CA137="同小队",$FA$19*$FA$24*$FA$46/3/(1+($FA$20-1)*$FA$19),0)+IF(CA137="同type",$FA$19*$FA$24*INDEX($FB$49:$FB$52,MATCH(X137,$FA$49:$FA$52,))/3/(1+($FA$20-1)*$FA$19),0)+IF(CA137="自身",$FA$19*#REF!/3/(1+(BH137-1)*$BD137),0)),0)</f>
        <v>0</v>
      </c>
      <c r="CE137" s="1097">
        <f t="shared" si="214"/>
        <v>0</v>
      </c>
      <c r="CF137" s="1112">
        <f t="shared" si="215"/>
        <v>0</v>
      </c>
      <c r="CG137" s="1100">
        <f t="shared" si="216"/>
        <v>0</v>
      </c>
      <c r="CH137" s="1110">
        <f t="shared" si="217"/>
        <v>0</v>
      </c>
      <c r="CI137" s="1113" t="s">
        <v>162</v>
      </c>
      <c r="CJ137" s="1114">
        <v>0.3</v>
      </c>
      <c r="CK137" s="1115" t="s">
        <v>157</v>
      </c>
      <c r="CL137" s="1115" t="s">
        <v>161</v>
      </c>
      <c r="CM137" s="1119">
        <v>0.2</v>
      </c>
      <c r="CN137" s="1115">
        <v>5</v>
      </c>
      <c r="CO137" s="1092"/>
      <c r="CP137" s="1118">
        <f t="shared" si="218"/>
        <v>6.4285714285714276E-3</v>
      </c>
      <c r="CQ137" s="1118">
        <f t="shared" si="219"/>
        <v>9.9999999999999985E-3</v>
      </c>
      <c r="CR137" s="1118">
        <f t="shared" si="220"/>
        <v>6.4285714285714276E-3</v>
      </c>
      <c r="CS137" s="1118">
        <f t="shared" si="221"/>
        <v>0</v>
      </c>
      <c r="CT137" s="1109">
        <f t="shared" si="222"/>
        <v>1.71875</v>
      </c>
      <c r="CU137" s="1101">
        <f t="shared" si="223"/>
        <v>83.571428571428555</v>
      </c>
      <c r="CV137" s="1108">
        <f t="shared" si="224"/>
        <v>99.666666666666629</v>
      </c>
      <c r="CW137" s="1097">
        <f t="shared" si="225"/>
        <v>83.571428571428555</v>
      </c>
      <c r="CX137" s="1097">
        <f t="shared" si="226"/>
        <v>83.571428571428555</v>
      </c>
      <c r="CY137" s="1110">
        <f t="shared" si="227"/>
        <v>83.571428571428555</v>
      </c>
      <c r="CZ137" s="437"/>
      <c r="DA137" s="438"/>
      <c r="DB137" s="439" t="s">
        <v>569</v>
      </c>
      <c r="DC137" s="439"/>
      <c r="DD137" s="443"/>
      <c r="DE137" s="411"/>
      <c r="DF137" s="411"/>
      <c r="DG137" s="1116">
        <f t="shared" si="228"/>
        <v>0</v>
      </c>
      <c r="DH137" s="1116">
        <f t="shared" si="229"/>
        <v>0</v>
      </c>
      <c r="DI137" s="1116">
        <f t="shared" si="230"/>
        <v>0</v>
      </c>
      <c r="DJ137" s="442">
        <f t="shared" si="231"/>
        <v>0</v>
      </c>
      <c r="DK137" s="1109">
        <f t="shared" si="232"/>
        <v>0</v>
      </c>
      <c r="DL137" s="1101">
        <f t="shared" si="233"/>
        <v>0</v>
      </c>
      <c r="DM137" s="1097">
        <f t="shared" si="234"/>
        <v>0</v>
      </c>
      <c r="DN137" s="1097">
        <f t="shared" si="235"/>
        <v>0</v>
      </c>
      <c r="DO137" s="1097">
        <f t="shared" si="236"/>
        <v>0</v>
      </c>
      <c r="DP137" s="1110">
        <f t="shared" si="237"/>
        <v>0</v>
      </c>
      <c r="DQ137" s="1113" t="s">
        <v>155</v>
      </c>
      <c r="DR137" s="1120">
        <f t="shared" si="238"/>
        <v>0.33</v>
      </c>
      <c r="DS137" s="1124">
        <v>15</v>
      </c>
      <c r="DT137" s="1093" t="s">
        <v>178</v>
      </c>
      <c r="DU137" s="1093" t="s">
        <v>544</v>
      </c>
      <c r="DV137" s="1098">
        <f>IF($P137="","N/A",IF(P137=-1,INDEX('卡片raw data'!AN:AN,MATCH(D137,'卡片raw data'!$F:$F,)),0)+IF(AND(L137&lt;&gt;"party卡",P137&lt;=2,P137&gt;=0),INDEX('卡片raw data'!AP:AP,MATCH(D137,'卡片raw data'!$F:$F,)),0)+IF(OR(AND(L137="party卡",P137&lt;=1),AND(P137&lt;=4,L137&lt;&gt;"party卡",P137&gt;=3)),INDEX('卡片raw data'!AQ:AQ,MATCH(D137,'卡片raw data'!$F:$F,)),0)+IF(OR(P137=5,AND(L137="party卡",P137&gt;=2)),INDEX('卡片raw data'!AR:AR,MATCH(D137,'卡片raw data'!$F:$F,)),0))</f>
        <v>0.05</v>
      </c>
      <c r="DW137" s="1098">
        <f t="shared" si="239"/>
        <v>0.33</v>
      </c>
      <c r="DX137" s="1098">
        <f t="shared" si="240"/>
        <v>0.33</v>
      </c>
      <c r="DY137" s="1098">
        <f t="shared" si="241"/>
        <v>5.5E-2</v>
      </c>
      <c r="DZ137" s="1098">
        <f t="shared" si="242"/>
        <v>4.7574999999999999E-2</v>
      </c>
      <c r="EA137" s="1098">
        <f t="shared" si="243"/>
        <v>0</v>
      </c>
      <c r="EB137" s="1121">
        <f t="shared" si="244"/>
        <v>0</v>
      </c>
      <c r="EC137" s="1101">
        <f t="shared" si="245"/>
        <v>6436.7698302228746</v>
      </c>
      <c r="ED137" s="1097">
        <f t="shared" si="246"/>
        <v>385.23117138099434</v>
      </c>
      <c r="EE137" s="1110">
        <f t="shared" si="247"/>
        <v>6436.7698302228746</v>
      </c>
      <c r="EF137" s="1092" t="s">
        <v>711</v>
      </c>
      <c r="EG137" s="1120">
        <f t="shared" si="248"/>
        <v>0.33</v>
      </c>
      <c r="EH137" s="1124"/>
      <c r="EI137" s="1093"/>
      <c r="EJ137" s="1093"/>
      <c r="EK137" s="1097">
        <f>IF($P137="","N/A",IF(P137=-1,INDEX('卡片raw data'!AS:AS,MATCH(D137,'卡片raw data'!$F:$F,)),0)+IF(AND(L137&lt;&gt;"party卡",P137&lt;=2,P137&gt;=0),INDEX('卡片raw data'!AU:AU,MATCH(D137,'卡片raw data'!$F:$F,)),0)+IF(OR(AND(L137="party卡",P137&lt;=1),AND(P137&lt;=4,L137&lt;&gt;"party卡",P137&gt;=3)),INDEX('卡片raw data'!AV:AV,MATCH(D137,'卡片raw data'!$F:$F,)),0)+IF(OR(P137=5,AND(L137="party卡",P137&gt;=2)),INDEX('卡片raw data'!AW:AW,MATCH(D137,'卡片raw data'!$F:$F,)),0))</f>
        <v>0</v>
      </c>
      <c r="EL137" s="1098">
        <f t="shared" si="249"/>
        <v>0.33</v>
      </c>
      <c r="EM137" s="1098">
        <f t="shared" si="250"/>
        <v>0.33</v>
      </c>
      <c r="EN137" s="1125">
        <f t="shared" si="251"/>
        <v>0</v>
      </c>
      <c r="EO137" s="1125">
        <f t="shared" si="252"/>
        <v>0</v>
      </c>
      <c r="EP137" s="1098">
        <f t="shared" si="253"/>
        <v>0</v>
      </c>
      <c r="EQ137" s="1121">
        <f t="shared" si="254"/>
        <v>0</v>
      </c>
      <c r="ER137" s="1101">
        <f t="shared" si="255"/>
        <v>0</v>
      </c>
      <c r="ES137" s="1097">
        <f t="shared" si="256"/>
        <v>0</v>
      </c>
      <c r="ET137" s="1122">
        <f t="shared" si="257"/>
        <v>0</v>
      </c>
    </row>
    <row r="138" spans="2:150" ht="16.5" customHeight="1">
      <c r="B138" s="1123" t="str">
        <f>INDEX('卡片raw data'!B:B,MATCH($D138,'卡片raw data'!$F:$F,))</f>
        <v>一单梨</v>
      </c>
      <c r="C138" s="449" t="s">
        <v>66</v>
      </c>
      <c r="D138" s="408">
        <v>135</v>
      </c>
      <c r="E138" s="1090">
        <v>401022001</v>
      </c>
      <c r="F138" s="1090" t="str">
        <f>INDEX('卡片raw data'!C:C,MATCH($D138,'卡片raw data'!$F:$F,))</f>
        <v>SR</v>
      </c>
      <c r="G138" s="1094" t="s">
        <v>340</v>
      </c>
      <c r="H138" s="411">
        <f>IFERROR(INDEX(绊状态确认!C:C,MATCH($G138,绊状态确认!$B:$B,)),"")</f>
        <v>102</v>
      </c>
      <c r="I138" s="450" t="str">
        <f>IFERROR(INDEX(绊状态确认!D:D,MATCH($G138,绊状态确认!$B:$B,)),"")</f>
        <v>水</v>
      </c>
      <c r="J138" s="450" t="str">
        <f>IFERROR(INDEX(绊状态确认!E:E,MATCH($G138,绊状态确认!$B:$B,)),"")</f>
        <v>2年级</v>
      </c>
      <c r="K138" s="451" t="str">
        <f>IFERROR(INDEX(绊状态确认!F:F,MATCH($G138,绊状态确认!$B:$B,)),"")</f>
        <v>Guilty Kiss</v>
      </c>
      <c r="L138" s="1094" t="str">
        <f>INDEX('卡片raw data'!E:E,MATCH($D138,'卡片raw data'!$F:$F,))</f>
        <v>活动卡</v>
      </c>
      <c r="M138" s="415">
        <v>43805</v>
      </c>
      <c r="N138" s="416">
        <v>5</v>
      </c>
      <c r="O138" s="1091" t="str">
        <f>INDEX('卡片raw data'!D:D,MATCH($D138,'卡片raw data'!$F:$F,))</f>
        <v>gd</v>
      </c>
      <c r="P138" s="417">
        <v>5</v>
      </c>
      <c r="Q138" s="1095">
        <f t="shared" si="173"/>
        <v>22994.71114436784</v>
      </c>
      <c r="R138" s="1096">
        <f t="shared" si="174"/>
        <v>0.26700000000000002</v>
      </c>
      <c r="S138" s="1097">
        <f t="shared" si="175"/>
        <v>11379.695619148148</v>
      </c>
      <c r="T138" s="1098">
        <f t="shared" si="176"/>
        <v>0.56799999999999995</v>
      </c>
      <c r="U138" s="1099">
        <f t="shared" si="177"/>
        <v>349.56676832321483</v>
      </c>
      <c r="V138" s="1100">
        <f t="shared" si="178"/>
        <v>61529.681924465716</v>
      </c>
      <c r="W138" s="1101">
        <f t="shared" si="179"/>
        <v>4507.7214871259994</v>
      </c>
      <c r="X138" s="1096">
        <f t="shared" si="180"/>
        <v>5.1999999999999998E-2</v>
      </c>
      <c r="Y138" s="1097">
        <f t="shared" si="181"/>
        <v>973.88122857239978</v>
      </c>
      <c r="Z138" s="1102">
        <f t="shared" si="182"/>
        <v>11.647217116302855</v>
      </c>
      <c r="AA138" s="1103">
        <f t="shared" si="183"/>
        <v>5481.6027156983992</v>
      </c>
      <c r="AB138" s="1101">
        <f t="shared" si="184"/>
        <v>8045.0190892802984</v>
      </c>
      <c r="AC138" s="1104">
        <f t="shared" si="185"/>
        <v>9.2999999999999999E-2</v>
      </c>
      <c r="AD138" s="1105">
        <f t="shared" si="186"/>
        <v>-3.8207812500000026E-3</v>
      </c>
      <c r="AE138" s="1128">
        <f t="shared" si="187"/>
        <v>-18.525362318840578</v>
      </c>
      <c r="AF138" s="1130">
        <f t="shared" si="188"/>
        <v>4869.8105156575675</v>
      </c>
      <c r="AG138" s="420">
        <f t="shared" si="189"/>
        <v>106149.73902478401</v>
      </c>
      <c r="AH138" s="420">
        <f t="shared" si="190"/>
        <v>21.797509098862889</v>
      </c>
      <c r="AI138" s="1097">
        <f t="shared" si="191"/>
        <v>85520.254495217639</v>
      </c>
      <c r="AJ138" s="420">
        <f t="shared" si="192"/>
        <v>61529.681924465716</v>
      </c>
      <c r="AK138" s="518">
        <f t="shared" si="193"/>
        <v>23990.572570751923</v>
      </c>
      <c r="AL138" s="1106">
        <f>IF($P138="","N/A",(IF($P138=-1,INDEX('卡片raw data'!S:S,MATCH($D138,'卡片raw data'!$F:$F,)),0)+IF($P138=0,INDEX('卡片raw data'!V:V,MATCH($D138,'卡片raw data'!$F:$F,)),0)+IF($P138=1,INDEX('卡片raw data'!Y:Y,MATCH($D138,'卡片raw data'!$F:$F,)),0)+IF($P138=2,INDEX('卡片raw data'!AB:AB,MATCH($D138,'卡片raw data'!$F:$F,)),0)+IF($P138=3,INDEX('卡片raw data'!AE:AE,MATCH($D138,'卡片raw data'!$F:$F,)),0)+IF($P138=4,INDEX('卡片raw data'!AH:AH,MATCH($D138,'卡片raw data'!$F:$F,)),0)+IF($P138=5,INDEX('卡片raw data'!AK:AK,MATCH($D138,'卡片raw data'!$F:$F,)),0)+INDEX('卡片raw data'!S:S,MATCH($D138,'卡片raw data'!$F:$F,))*(IF($F138="UR",0.04,0.033))*(IF($F138="UR",INDEX(绊状态确认!$S:$S,MATCH($G138,绊状态确认!$B:$B,))/2-40)+IF($F138="SR",INDEX(绊状态确认!$R:$R,MATCH($G138,绊状态确认!$B:$B,))/4-15))+IF($F138="R",INDEX(绊状态确认!$Q:$Q,MATCH($G138,绊状态确认!$B:$B,))/6-40/6)))*(INDEX(绊状态确认!$H:$H,MATCH($G138,绊状态确认!$B:$B,))+INDEX(绊状态确认!J:J,MATCH($G138,绊状态确认!$B:$B,)))</f>
        <v>5182.9567583999988</v>
      </c>
      <c r="AM138" s="1106">
        <f>IF($P138="","N/A",(IF($P138=-1,INDEX('卡片raw data'!T:T,MATCH($D138,'卡片raw data'!$F:$F,)),0)+IF($P138=0,INDEX('卡片raw data'!W:W,MATCH($D138,'卡片raw data'!$F:$F,)),0)+IF($P138=1,INDEX('卡片raw data'!Z:Z,MATCH($D138,'卡片raw data'!$F:$F,)),0)+IF($P138=2,INDEX('卡片raw data'!AC:AC,MATCH($D138,'卡片raw data'!$F:$F,)),0)+IF($P138=3,INDEX('卡片raw data'!AF:AF,MATCH($D138,'卡片raw data'!$F:$F,)),0)+IF($P138=4,INDEX('卡片raw data'!AI:AI,MATCH($D138,'卡片raw data'!$F:$F,)),0)+IF($P138=5,INDEX('卡片raw data'!AL:AL,MATCH($D138,'卡片raw data'!$F:$F,)),0)+INDEX('卡片raw data'!T:T,MATCH($D138,'卡片raw data'!$F:$F,))*(IF($F138="UR",0.04,0.033))*(IF($F138="UR",INDEX(绊状态确认!$S:$S,MATCH($G138,绊状态确认!$B:$B,))/2-40)+IF($F138="SR",INDEX(绊状态确认!$R:$R,MATCH($G138,绊状态确认!$B:$B,))/4-15))+IF($F138="R",INDEX(绊状态确认!$Q:$Q,MATCH($G138,绊状态确认!$B:$B,))/6-40/6)))*(INDEX(绊状态确认!$H:$H,MATCH($G138,绊状态确认!$B:$B,))+INDEX(绊状态确认!K:K,MATCH($G138,绊状态确认!$B:$B,)))</f>
        <v>5182.9567583999988</v>
      </c>
      <c r="AN138" s="1106">
        <f>IF($P138="","N/A",(IF($P138=-1,INDEX('卡片raw data'!U:U,MATCH($D138,'卡片raw data'!$F:$F,)),0)+IF($P138=0,INDEX('卡片raw data'!X:X,MATCH($D138,'卡片raw data'!$F:$F,)),0)+IF($P138=1,INDEX('卡片raw data'!AA:AA,MATCH($D138,'卡片raw data'!$F:$F,)),0)+IF($P138=2,INDEX('卡片raw data'!AD:AD,MATCH($D138,'卡片raw data'!$F:$F,)),0)+IF($P138=3,INDEX('卡片raw data'!AG:AG,MATCH($D138,'卡片raw data'!$F:$F,)),0)+IF($P138=4,INDEX('卡片raw data'!AJ:AJ,MATCH($D138,'卡片raw data'!$F:$F,)),0)+IF($P138=5,INDEX('卡片raw data'!AM:AM,MATCH($D138,'卡片raw data'!$F:$F,)),0)+INDEX('卡片raw data'!U:U,MATCH($D138,'卡片raw data'!$F:$F,))*(IF($F138="UR",0.04,0.033))*(IF($F138="UR",INDEX(绊状态确认!$S:$S,MATCH($G138,绊状态确认!$B:$B,))/2-40)+IF($F138="SR",INDEX(绊状态确认!$R:$R,MATCH($G138,绊状态确认!$B:$B,))/4-15))+IF($F138="R",INDEX(绊状态确认!$Q:$Q,MATCH($G138,绊状态确认!$B:$B,))/6-40/6)))*(INDEX(绊状态确认!$H:$H,MATCH($G138,绊状态确认!$B:$B,))+INDEX(绊状态确认!L:L,MATCH($G138,绊状态确认!$B:$B,)))</f>
        <v>5340.5072543999995</v>
      </c>
      <c r="AO138" s="1107">
        <f t="shared" si="194"/>
        <v>1</v>
      </c>
      <c r="AP138" s="1131">
        <f>1+(INDEX(绊状态确认!$T:$T,MATCH($G138,绊状态确认!$B:$B,))+0.2)*$AO138</f>
        <v>1.3</v>
      </c>
      <c r="AQ138" s="1108">
        <f t="shared" si="195"/>
        <v>16855.261490799996</v>
      </c>
      <c r="AR138" s="1097">
        <f>(AM138*(1+$EX$9)+$EX$35)*(1+(INDEX(绊状态确认!$T:$T,MATCH($G138,绊状态确认!$B:$B,))+0.2)*AO138)*IF(J138=$FF$17,1+$FE$17,1)*IF(I138=$FF$14,1+$FE$14,1)</f>
        <v>9778.7359752159991</v>
      </c>
      <c r="AS138" s="1097">
        <f>(AN138*(1+$EX$10)+$EX$36)*(1+(INDEX(绊状态确认!$T:$T,MATCH($G138,绊状态确认!$B:$B,))+0.2)*AO138)*IF(J138=$FF$17,1+$FE$17,1)*IF(I138=$FF$14,1+$FE$14,1)</f>
        <v>12040.058345328</v>
      </c>
      <c r="AT138" s="1093">
        <f>IF(AND(INDEX('卡片raw data'!AK:AK,MATCH($D138,'卡片raw data'!$F:$F,))&lt;INDEX('卡片raw data'!AM:AM,MATCH($D138,'卡片raw data'!$F:$F,)),INDEX('卡片raw data'!AL:AL,MATCH($D138,'卡片raw data'!$F:$F,))&lt;INDEX('卡片raw data'!AM:AM,MATCH($D138,'卡片raw data'!$F:$F,))),1,0)</f>
        <v>1</v>
      </c>
      <c r="AU138" s="1098">
        <f>MIN(AT138*0.15+AS138*0.00003+INDEX(绊状态确认!M:M,MATCH($G138,绊状态确认!$B:$B,)),1)</f>
        <v>0.54120175035983997</v>
      </c>
      <c r="AV138" s="1109">
        <f>(INDEX(绊状态确认!$N:$N,MATCH($G138,绊状态确认!$B:$B,))+1.5)*$EW$21</f>
        <v>2.6599999999999997</v>
      </c>
      <c r="AW138" s="1101">
        <f t="shared" si="196"/>
        <v>16618.025388420872</v>
      </c>
      <c r="AX138" s="1097">
        <f t="shared" si="197"/>
        <v>833.22525747911948</v>
      </c>
      <c r="AY138" s="1110">
        <f t="shared" si="198"/>
        <v>17451.250645899992</v>
      </c>
      <c r="AZ138" s="429">
        <f t="shared" si="199"/>
        <v>12706.765678879998</v>
      </c>
      <c r="BA138" s="431">
        <f t="shared" si="200"/>
        <v>15248.118814655996</v>
      </c>
      <c r="BB138" s="1097">
        <f>(AM138*(1+$FB$9)+$FB$35)*(1+(INDEX(绊状态确认!$T:$T,MATCH($G138,绊状态确认!$B:$B,))+0.2)*AO138)*IF(J138=$FF$17,1+$FE$17,1)*IF(I138=$FF$14,1+$FE$14,1)*(1+$FE$15)</f>
        <v>9778.7359752159991</v>
      </c>
      <c r="BC138" s="1097">
        <f>(AN138*(1+$FB$10)+$FB$36)*(1+(INDEX(绊状态确认!$T:$T,MATCH($G138,绊状态确认!$B:$B,))+0.2)*AO138)*IF(J138=$FF$17,1+$FE$17,1)*IF(I138=$FF$14,1+$FE$14,1)*(1+$FE$15)</f>
        <v>12040.058345328</v>
      </c>
      <c r="BD138" s="1104">
        <f>MIN(AT138*0.15+BC138*0.00003+INDEX(绊状态确认!M:M,MATCH($G138,绊状态确认!$B:$B,)),1)</f>
        <v>0.54120175035983997</v>
      </c>
      <c r="BE138" s="432">
        <f>(INDEX(绊状态确认!$N:$N,MATCH($G138,绊状态确认!$B:$B,))+1.5)</f>
        <v>1.9</v>
      </c>
      <c r="BF138" s="1139">
        <f t="array" ref="BF138">SUMPRODUCT(IF(AZ138*AP138*$FI$16:$FI$23*$FA$22&gt;=$FI$24,$FI$24,AZ138*AP138*$FI$16:$FI$23*$FA$22),$FJ$16:$FJ$23)</f>
        <v>25273.756935292316</v>
      </c>
      <c r="BG138" s="1125">
        <f t="array" ref="BG138">SUMPRODUCT(IF(BE138*AZ138*AP138*$FI$16:$FI$23*$FA$22&gt;=$FI$24,$FI$24,BE138*AZ138*AP138*$FI$16:$FI$23*$FA$22),$FJ$16:$FJ$23)</f>
        <v>48020.138177055407</v>
      </c>
      <c r="BH138" s="1110">
        <f t="shared" si="201"/>
        <v>12528.046092562245</v>
      </c>
      <c r="BI138" s="1111">
        <f>IF(O138="vo",$EW$26/$EW$24*0.05,0)+IF(O138="sk",-$EW$26/$EW$24*(0.05-INDEX(绊状态确认!W:W,MATCH($G138,绊状态确认!$B:$B,)))+0.05*$EW$28,0)+IF(O138="sp",0.05*$EW$32*$EW$30*(1-$EW$33)-(0.05-INDEX(绊状态确认!V:V,MATCH($G138,绊状态确认!$B:$B,)))*$EW$28,0)+IF(O138="gd",-(0.05-INDEX(绊状态确认!X:X,MATCH($G138,绊状态确认!$B:$B,)))*$EW$32*$EW$30*(1-$EW$33),0)</f>
        <v>-585.00000000000011</v>
      </c>
      <c r="BJ138" s="1097">
        <f>IF(O138="vo",0.05*(1-$FI$26)*$FA$24,0)+IF(O138="sk",-(0.05-INDEX(绊状态确认!W:W,MATCH($G138,绊状态确认!$B:$B,)))*(1-$FI$26)*$FA$24+0.05*$FA$26,0)+IF(O138="sp",0.05*$FA$32*$FA$27*(1-$FA$33)/$FA$30+0.05*$FA$29/$FA$69*$FA$27*(1-$FA$33)-(0.05-INDEX(绊状态确认!V:V,MATCH($G138,绊状态确认!$B:$B,)))*$FA$26,0)+IF(O138="gd",-(0.05-INDEX(绊状态确认!X:X,MATCH($G138,绊状态确认!$B:$B,)))*$FA$32*$FA$27*(1-$FA$33)/$FA$30-(0.05-INDEX(绊状态确认!X:X,MATCH($G138,绊状态确认!$B:$B,)))*$FA$29/$FA$69*$FA$27*(1-$FA$33),0)</f>
        <v>-795.00000000000011</v>
      </c>
      <c r="BK138" s="1110">
        <f>IF(O138="vo",$EW$26/$EW$24*0.05+$EW$26*(-HP($EW$62,$EW$65,$EW$64)+HP($EW$62,$EW$65,(1.05-INDEX(绊状态确认!U:U,MATCH($G138,绊状态确认!$B:$B,)))*$EW$64)),0)+IF(O138="sk",-$EW$26/$EW$24*(0.05-INDEX(绊状态确认!W:W,MATCH($G138,绊状态确认!$B:$B,)))+0.05*$EW$29,0)+IF(O138="sp",0.05*$EW$32*$EW$30*(1-$EW$33)-(0.05-INDEX(绊状态确认!V:V,MATCH($G138,绊状态确认!$B:$B,)))*$EW$29,0)+IF(O138="gd",-(0.05-INDEX(绊状态确认!X:X,MATCH($G138,绊状态确认!$B:$B,)))*$EW$32*$EW$30*(1-$EW$33)+$EW$26*(-HP($EW$62,$EW$65,$EW$64)+HP($EW$62,$EW$65,0.95*$EW$64)),0)</f>
        <v>1009.5947725176144</v>
      </c>
      <c r="BL138" s="1111">
        <f t="shared" si="202"/>
        <v>-1083.3333333333333</v>
      </c>
      <c r="BM138" s="1110">
        <f t="shared" si="203"/>
        <v>-830.55555555555543</v>
      </c>
      <c r="BN138" s="1113">
        <f t="shared" si="204"/>
        <v>3</v>
      </c>
      <c r="BO138" s="1097">
        <f t="shared" si="205"/>
        <v>4507.7214871259994</v>
      </c>
      <c r="BP138" s="1100">
        <f t="shared" si="206"/>
        <v>221.34103209030098</v>
      </c>
      <c r="BQ138" s="1113" t="s">
        <v>626</v>
      </c>
      <c r="BR138" s="1124" t="s">
        <v>168</v>
      </c>
      <c r="BS138" s="1098">
        <f>IF($P138="","N/A",IF($P138=-1,INDEX('卡片raw data'!AX:AX,MATCH($D138,'卡片raw data'!$F:$F,)),0)+IF($L138="party卡",IF($P138=5,INDEX('卡片raw data'!BD:BD,MATCH($D138,'卡片raw data'!$F:$F,)),IF($P138&gt;=3,INDEX('卡片raw data'!BC:BC,MATCH($D138,'卡片raw data'!$F:$F,)),INDEX('卡片raw data'!BB:BB,MATCH($D138,'卡片raw data'!$F:$F,)))),IF(OR(AND($F138="UR",$P138=0),AND($F138="SR",$P138&gt;=0,$P138&lt;=2),AND($F138="R",$P138&gt;=0,$P138&lt;4)),INDEX('卡片raw data'!AZ:AZ,MATCH($D138,'卡片raw data'!$F:$F,)),0)+IF(OR(AND($F138="UR",$P138&gt;=1,$P138&lt;=4),AND($F138="SR",$P138&lt;=4,$P138&gt;=3),AND($F138="R",$P138=4)),INDEX('卡片raw data'!BA:BA,MATCH($D138,'卡片raw data'!$F:$F,)),0)+IF($P138=5,INDEX('卡片raw data'!BB:BB,MATCH($D138,'卡片raw data'!$F:$F,)),0)))</f>
        <v>0.05</v>
      </c>
      <c r="BT138" s="1101">
        <f t="shared" si="207"/>
        <v>3537.2976021542986</v>
      </c>
      <c r="BU138" s="1097">
        <f t="shared" si="208"/>
        <v>255.86405005115788</v>
      </c>
      <c r="BV138" s="1097">
        <f t="shared" si="209"/>
        <v>0</v>
      </c>
      <c r="BW138" s="1112">
        <f t="shared" si="210"/>
        <v>0</v>
      </c>
      <c r="BX138" s="1100">
        <f t="shared" si="211"/>
        <v>3537.2976021542986</v>
      </c>
      <c r="BY138" s="1110">
        <f t="shared" si="212"/>
        <v>0</v>
      </c>
      <c r="BZ138" s="1107" t="s">
        <v>569</v>
      </c>
      <c r="CA138" s="1124"/>
      <c r="CB138" s="1098">
        <f>IF($P138="","N/A",IF($P138=-1,INDEX('卡片raw data'!BE:BE,MATCH($D138,'卡片raw data'!$F:$F,)),0)+IF($L138="party卡",IF($P138=5,INDEX('卡片raw data'!BK:BK,MATCH($D138,'卡片raw data'!$F:$F,)),IF($P138&gt;=3,INDEX('卡片raw data'!BJ:BJ,MATCH($D138,'卡片raw data'!$F:$F,)),INDEX('卡片raw data'!BI:BI,MATCH($D138,'卡片raw data'!$F:$F,)))),IF(OR(AND($F138="UR",$P138=0),AND($F138="SR",$P138&gt;=0,$P138&lt;=2),AND($F138="R",$P138&gt;=0,$P138&lt;4)),INDEX('卡片raw data'!BG:BG,MATCH($D138,'卡片raw data'!$F:$F,)),0)+IF(OR(AND($F138="UR",$P138&gt;=1,$P138&lt;=4),AND($F138="SR",$P138&lt;=4,$P138&gt;=3),AND($F138="R",$P138=4)),INDEX('卡片raw data'!BH:BH,MATCH($D138,'卡片raw data'!$F:$F,)),0)+IF($P138=5,INDEX('卡片raw data'!BI:BI,MATCH($D138,'卡片raw data'!$F:$F,)),0)))</f>
        <v>0</v>
      </c>
      <c r="CC138" s="1101">
        <f t="shared" si="213"/>
        <v>0</v>
      </c>
      <c r="CD138" s="1097">
        <f>IF(BZ138="ap",CB138*(1-$FI$26)*$FB$5/$FB$11*(+IF(CA138="全员",$FA$24,0)+IF(CA138="同作战",$FA$24,0)+IF(CA138="仲间",$FA$24*2/3,0)+IF(CA138="同属性",$FA$24*$FA$37/3,0)+IF(CA138="同年级",$FA$24*$FA$40/3,0)+IF(CA138="同学校",$FA$24*$FA$43/3,0)+IF(CA138="同小队",$FA$24*$FA$46/3,0)+IF(CA138="同type",$FA$24*INDEX($FB$49:$FB$52,MATCH(X138,$FA$49:$FA$52,))/3,0)+IF(CA138="自身",#REF!/3,0)),0)+IF(BZ138="te",CB138*(1-$FI$27)*($FA$20-1)*$FB$7/$FB$13*(+IF(CA138="全员",$FA$19*$FA$24/(1+($FA$20-1)*$FA$19),0)+IF(CA138="同作战",$FA$19*$FA$24/(1+($FA$20-1)*$FA$19),0)+IF(CA138="仲间",$FA$19*$FA$24*2/3/(1+($FA$20-1)*$FA$19),0)+IF(CA138="同属性",$FA$19*$FA$24*$FA$37/3/(1+($FA$20-1)*$FA$19),0)+IF(CA138="同年级",$FA$19*$FA$24*$FA$40/3/(1+($FA$20-1)*$FA$19),0)+IF(CA138="同学校",$FA$19*$FA$24*$FA$43/3/(1+($FA$20-1)*$FA$19),0)+IF(CA138="同小队",$FA$19*$FA$24*$FA$46/3/(1+($FA$20-1)*$FA$19),0)+IF(CA138="同type",$FA$19*$FA$24*INDEX($FB$49:$FB$52,MATCH(X138,$FA$49:$FA$52,))/3/(1+($FA$20-1)*$FA$19),0)+IF(CA138="自身",$FA$19*#REF!/3/(1+(BH138-1)*$BD138),0)),0)</f>
        <v>0</v>
      </c>
      <c r="CE138" s="1097">
        <f t="shared" si="214"/>
        <v>0</v>
      </c>
      <c r="CF138" s="1112">
        <f t="shared" si="215"/>
        <v>0</v>
      </c>
      <c r="CG138" s="1100">
        <f t="shared" si="216"/>
        <v>0</v>
      </c>
      <c r="CH138" s="1110">
        <f t="shared" si="217"/>
        <v>0</v>
      </c>
      <c r="CI138" s="1113" t="s">
        <v>165</v>
      </c>
      <c r="CJ138" s="1114">
        <v>0.3</v>
      </c>
      <c r="CK138" s="1115" t="s">
        <v>556</v>
      </c>
      <c r="CL138" s="1115" t="s">
        <v>161</v>
      </c>
      <c r="CM138" s="1119">
        <v>1.2E-2</v>
      </c>
      <c r="CN138" s="1115" t="s">
        <v>572</v>
      </c>
      <c r="CO138" s="1092"/>
      <c r="CP138" s="1118">
        <f t="shared" si="218"/>
        <v>3.5999999999999999E-3</v>
      </c>
      <c r="CQ138" s="1118">
        <f t="shared" si="219"/>
        <v>3.5999999999999999E-3</v>
      </c>
      <c r="CR138" s="1118">
        <f t="shared" si="220"/>
        <v>3.5999999999999999E-3</v>
      </c>
      <c r="CS138" s="1118">
        <f t="shared" si="221"/>
        <v>0</v>
      </c>
      <c r="CT138" s="1109">
        <f t="shared" si="222"/>
        <v>0</v>
      </c>
      <c r="CU138" s="1101">
        <f t="shared" si="223"/>
        <v>0</v>
      </c>
      <c r="CV138" s="1108">
        <f t="shared" si="224"/>
        <v>0</v>
      </c>
      <c r="CW138" s="1097">
        <f t="shared" si="225"/>
        <v>0</v>
      </c>
      <c r="CX138" s="1097">
        <f t="shared" si="226"/>
        <v>140.6559710932811</v>
      </c>
      <c r="CY138" s="1110">
        <f t="shared" si="227"/>
        <v>140.6559710932811</v>
      </c>
      <c r="CZ138" s="437"/>
      <c r="DA138" s="438"/>
      <c r="DB138" s="439" t="s">
        <v>569</v>
      </c>
      <c r="DC138" s="439"/>
      <c r="DD138" s="443"/>
      <c r="DE138" s="411"/>
      <c r="DF138" s="411"/>
      <c r="DG138" s="1116">
        <f t="shared" si="228"/>
        <v>0</v>
      </c>
      <c r="DH138" s="1116">
        <f t="shared" si="229"/>
        <v>0</v>
      </c>
      <c r="DI138" s="1116">
        <f t="shared" si="230"/>
        <v>0</v>
      </c>
      <c r="DJ138" s="442">
        <f t="shared" si="231"/>
        <v>0</v>
      </c>
      <c r="DK138" s="1109">
        <f t="shared" si="232"/>
        <v>0</v>
      </c>
      <c r="DL138" s="1101">
        <f t="shared" si="233"/>
        <v>0</v>
      </c>
      <c r="DM138" s="1097">
        <f t="shared" si="234"/>
        <v>0</v>
      </c>
      <c r="DN138" s="1097">
        <f t="shared" si="235"/>
        <v>0</v>
      </c>
      <c r="DO138" s="1097">
        <f t="shared" si="236"/>
        <v>0</v>
      </c>
      <c r="DP138" s="1110">
        <f t="shared" si="237"/>
        <v>0</v>
      </c>
      <c r="DQ138" s="1113" t="s">
        <v>635</v>
      </c>
      <c r="DR138" s="1120">
        <f t="shared" si="238"/>
        <v>0.3</v>
      </c>
      <c r="DS138" s="1124"/>
      <c r="DT138" s="1093" t="s">
        <v>552</v>
      </c>
      <c r="DU138" s="1093"/>
      <c r="DV138" s="1098">
        <f>IF($P138="","N/A",IF(P138=-1,INDEX('卡片raw data'!AN:AN,MATCH(D138,'卡片raw data'!$F:$F,)),0)+IF(AND(L138&lt;&gt;"party卡",P138&lt;=2,P138&gt;=0),INDEX('卡片raw data'!AP:AP,MATCH(D138,'卡片raw data'!$F:$F,)),0)+IF(OR(AND(L138="party卡",P138&lt;=1),AND(P138&lt;=4,L138&lt;&gt;"party卡",P138&gt;=3)),INDEX('卡片raw data'!AQ:AQ,MATCH(D138,'卡片raw data'!$F:$F,)),0)+IF(OR(P138=5,AND(L138="party卡",P138&gt;=2)),INDEX('卡片raw data'!AR:AR,MATCH(D138,'卡片raw data'!$F:$F,)),0))</f>
        <v>0.32</v>
      </c>
      <c r="DW138" s="1098">
        <f t="shared" si="239"/>
        <v>0.3</v>
      </c>
      <c r="DX138" s="1098">
        <f t="shared" si="240"/>
        <v>0.3</v>
      </c>
      <c r="DY138" s="1125">
        <f t="shared" si="241"/>
        <v>312.91955120691199</v>
      </c>
      <c r="DZ138" s="1125">
        <f t="shared" si="242"/>
        <v>270.67541179397887</v>
      </c>
      <c r="EA138" s="1098">
        <f t="shared" si="243"/>
        <v>0</v>
      </c>
      <c r="EB138" s="1121">
        <f t="shared" si="244"/>
        <v>0</v>
      </c>
      <c r="EC138" s="1101">
        <f t="shared" si="245"/>
        <v>0</v>
      </c>
      <c r="ED138" s="1097">
        <f t="shared" si="246"/>
        <v>0</v>
      </c>
      <c r="EE138" s="1110">
        <f t="shared" si="247"/>
        <v>35966.494779007859</v>
      </c>
      <c r="EF138" s="1092" t="s">
        <v>711</v>
      </c>
      <c r="EG138" s="1120">
        <f t="shared" si="248"/>
        <v>0.3</v>
      </c>
      <c r="EH138" s="1124"/>
      <c r="EI138" s="1093"/>
      <c r="EJ138" s="1093"/>
      <c r="EK138" s="1097">
        <f>IF($P138="","N/A",IF(P138=-1,INDEX('卡片raw data'!AS:AS,MATCH(D138,'卡片raw data'!$F:$F,)),0)+IF(AND(L138&lt;&gt;"party卡",P138&lt;=2,P138&gt;=0),INDEX('卡片raw data'!AU:AU,MATCH(D138,'卡片raw data'!$F:$F,)),0)+IF(OR(AND(L138="party卡",P138&lt;=1),AND(P138&lt;=4,L138&lt;&gt;"party卡",P138&gt;=3)),INDEX('卡片raw data'!AV:AV,MATCH(D138,'卡片raw data'!$F:$F,)),0)+IF(OR(P138=5,AND(L138="party卡",P138&gt;=2)),INDEX('卡片raw data'!AW:AW,MATCH(D138,'卡片raw data'!$F:$F,)),0))</f>
        <v>0</v>
      </c>
      <c r="EL138" s="1098">
        <f t="shared" si="249"/>
        <v>0.3</v>
      </c>
      <c r="EM138" s="1098">
        <f t="shared" si="250"/>
        <v>0.3</v>
      </c>
      <c r="EN138" s="1125">
        <f t="shared" si="251"/>
        <v>0</v>
      </c>
      <c r="EO138" s="1125">
        <f t="shared" si="252"/>
        <v>0</v>
      </c>
      <c r="EP138" s="1098">
        <f t="shared" si="253"/>
        <v>0</v>
      </c>
      <c r="EQ138" s="1121">
        <f t="shared" si="254"/>
        <v>0</v>
      </c>
      <c r="ER138" s="1101">
        <f t="shared" si="255"/>
        <v>0</v>
      </c>
      <c r="ES138" s="1097">
        <f t="shared" si="256"/>
        <v>0</v>
      </c>
      <c r="ET138" s="1122">
        <f t="shared" si="257"/>
        <v>0</v>
      </c>
    </row>
    <row r="139" spans="2:150" ht="16.5" customHeight="1">
      <c r="B139" s="1123" t="str">
        <f>INDEX('卡片raw data'!B:B,MATCH($D139,'卡片raw data'!$F:$F,))</f>
        <v>动物艾</v>
      </c>
      <c r="C139" s="449" t="s">
        <v>124</v>
      </c>
      <c r="D139" s="408">
        <v>136</v>
      </c>
      <c r="E139" s="1090">
        <v>402082001</v>
      </c>
      <c r="F139" s="1090" t="str">
        <f>INDEX('卡片raw data'!C:C,MATCH($D139,'卡片raw data'!$F:$F,))</f>
        <v>SR</v>
      </c>
      <c r="G139" s="1094" t="s">
        <v>351</v>
      </c>
      <c r="H139" s="411">
        <f>IFERROR(INDEX(绊状态确认!C:C,MATCH($G139,绊状态确认!$B:$B,)),"")</f>
        <v>208</v>
      </c>
      <c r="I139" s="450" t="str">
        <f>IFERROR(INDEX(绊状态确认!D:D,MATCH($G139,绊状态确认!$B:$B,)),"")</f>
        <v>虹</v>
      </c>
      <c r="J139" s="450" t="str">
        <f>IFERROR(INDEX(绊状态确认!E:E,MATCH($G139,绊状态确认!$B:$B,)),"")</f>
        <v>3年级</v>
      </c>
      <c r="K139" s="451" t="str">
        <f>IFERROR(INDEX(绊状态确认!F:F,MATCH($G139,绊状态确认!$B:$B,)),"")</f>
        <v>QU4RTZ</v>
      </c>
      <c r="L139" s="1094" t="str">
        <f>INDEX('卡片raw data'!E:E,MATCH($D139,'卡片raw data'!$F:$F,))</f>
        <v>活动卡</v>
      </c>
      <c r="M139" s="415">
        <v>43805</v>
      </c>
      <c r="N139" s="416">
        <v>5</v>
      </c>
      <c r="O139" s="1091" t="str">
        <f>INDEX('卡片raw data'!D:D,MATCH($D139,'卡片raw data'!$F:$F,))</f>
        <v>sk</v>
      </c>
      <c r="P139" s="417">
        <v>5</v>
      </c>
      <c r="Q139" s="1095">
        <f t="shared" si="173"/>
        <v>16646.853466019435</v>
      </c>
      <c r="R139" s="1096">
        <f t="shared" si="174"/>
        <v>0.193</v>
      </c>
      <c r="S139" s="1097">
        <f t="shared" si="175"/>
        <v>11790.870052109647</v>
      </c>
      <c r="T139" s="1098">
        <f t="shared" si="176"/>
        <v>0.58899999999999997</v>
      </c>
      <c r="U139" s="1099">
        <f t="shared" si="177"/>
        <v>10.477217116302855</v>
      </c>
      <c r="V139" s="1100">
        <f t="shared" si="178"/>
        <v>19480.078723498555</v>
      </c>
      <c r="W139" s="1101">
        <f t="shared" si="179"/>
        <v>7589.8587522198577</v>
      </c>
      <c r="X139" s="1096">
        <f t="shared" si="180"/>
        <v>8.7999999999999995E-2</v>
      </c>
      <c r="Y139" s="1097">
        <f t="shared" si="181"/>
        <v>833.22525747912005</v>
      </c>
      <c r="Z139" s="1102">
        <f t="shared" si="182"/>
        <v>10.477217116302855</v>
      </c>
      <c r="AA139" s="1103">
        <f t="shared" si="183"/>
        <v>8423.0840096989778</v>
      </c>
      <c r="AB139" s="1101">
        <f t="shared" si="184"/>
        <v>8200.6321381918333</v>
      </c>
      <c r="AC139" s="1104">
        <f t="shared" si="185"/>
        <v>9.5000000000000001E-2</v>
      </c>
      <c r="AD139" s="1105">
        <f t="shared" si="186"/>
        <v>2.6196386931818177E-2</v>
      </c>
      <c r="AE139" s="1128">
        <f t="shared" si="187"/>
        <v>7.8573940683822077</v>
      </c>
      <c r="AF139" s="1130">
        <f t="shared" si="188"/>
        <v>0</v>
      </c>
      <c r="AG139" s="420">
        <f t="shared" si="189"/>
        <v>0</v>
      </c>
      <c r="AH139" s="420">
        <f t="shared" si="190"/>
        <v>0</v>
      </c>
      <c r="AI139" s="1097">
        <f t="shared" si="191"/>
        <v>0</v>
      </c>
      <c r="AJ139" s="420">
        <f t="shared" si="192"/>
        <v>0</v>
      </c>
      <c r="AK139" s="518">
        <f t="shared" si="193"/>
        <v>0</v>
      </c>
      <c r="AL139" s="1106">
        <f>IF($P139="","N/A",(IF($P139=-1,INDEX('卡片raw data'!S:S,MATCH($D139,'卡片raw data'!$F:$F,)),0)+IF($P139=0,INDEX('卡片raw data'!V:V,MATCH($D139,'卡片raw data'!$F:$F,)),0)+IF($P139=1,INDEX('卡片raw data'!Y:Y,MATCH($D139,'卡片raw data'!$F:$F,)),0)+IF($P139=2,INDEX('卡片raw data'!AB:AB,MATCH($D139,'卡片raw data'!$F:$F,)),0)+IF($P139=3,INDEX('卡片raw data'!AE:AE,MATCH($D139,'卡片raw data'!$F:$F,)),0)+IF($P139=4,INDEX('卡片raw data'!AH:AH,MATCH($D139,'卡片raw data'!$F:$F,)),0)+IF($P139=5,INDEX('卡片raw data'!AK:AK,MATCH($D139,'卡片raw data'!$F:$F,)),0)+INDEX('卡片raw data'!S:S,MATCH($D139,'卡片raw data'!$F:$F,))*(IF($F139="UR",0.04,0.033))*(IF($F139="UR",INDEX(绊状态确认!$S:$S,MATCH($G139,绊状态确认!$B:$B,))/2-40)+IF($F139="SR",INDEX(绊状态确认!$R:$R,MATCH($G139,绊状态确认!$B:$B,))/4-15))+IF($F139="R",INDEX(绊状态确认!$Q:$Q,MATCH($G139,绊状态确认!$B:$B,))/6-40/6)))*(INDEX(绊状态确认!$H:$H,MATCH($G139,绊状态确认!$B:$B,))+INDEX(绊状态确认!J:J,MATCH($G139,绊状态确认!$B:$B,)))</f>
        <v>5499.1941503999997</v>
      </c>
      <c r="AM139" s="1106">
        <f>IF($P139="","N/A",(IF($P139=-1,INDEX('卡片raw data'!T:T,MATCH($D139,'卡片raw data'!$F:$F,)),0)+IF($P139=0,INDEX('卡片raw data'!W:W,MATCH($D139,'卡片raw data'!$F:$F,)),0)+IF($P139=1,INDEX('卡片raw data'!Z:Z,MATCH($D139,'卡片raw data'!$F:$F,)),0)+IF($P139=2,INDEX('卡片raw data'!AC:AC,MATCH($D139,'卡片raw data'!$F:$F,)),0)+IF($P139=3,INDEX('卡片raw data'!AF:AF,MATCH($D139,'卡片raw data'!$F:$F,)),0)+IF($P139=4,INDEX('卡片raw data'!AI:AI,MATCH($D139,'卡片raw data'!$F:$F,)),0)+IF($P139=5,INDEX('卡片raw data'!AL:AL,MATCH($D139,'卡片raw data'!$F:$F,)),0)+INDEX('卡片raw data'!T:T,MATCH($D139,'卡片raw data'!$F:$F,))*(IF($F139="UR",0.04,0.033))*(IF($F139="UR",INDEX(绊状态确认!$S:$S,MATCH($G139,绊状态确认!$B:$B,))/2-40)+IF($F139="SR",INDEX(绊状态确认!$R:$R,MATCH($G139,绊状态确认!$B:$B,))/4-15))+IF($F139="R",INDEX(绊状态确认!$Q:$Q,MATCH($G139,绊状态确认!$B:$B,))/6-40/6)))*(INDEX(绊状态确认!$H:$H,MATCH($G139,绊状态确认!$B:$B,))+INDEX(绊状态确认!K:K,MATCH($G139,绊状态确认!$B:$B,)))</f>
        <v>5182.9567583999988</v>
      </c>
      <c r="AN139" s="1106">
        <f>IF($P139="","N/A",(IF($P139=-1,INDEX('卡片raw data'!U:U,MATCH($D139,'卡片raw data'!$F:$F,)),0)+IF($P139=0,INDEX('卡片raw data'!X:X,MATCH($D139,'卡片raw data'!$F:$F,)),0)+IF($P139=1,INDEX('卡片raw data'!AA:AA,MATCH($D139,'卡片raw data'!$F:$F,)),0)+IF($P139=2,INDEX('卡片raw data'!AD:AD,MATCH($D139,'卡片raw data'!$F:$F,)),0)+IF($P139=3,INDEX('卡片raw data'!AG:AG,MATCH($D139,'卡片raw data'!$F:$F,)),0)+IF($P139=4,INDEX('卡片raw data'!AJ:AJ,MATCH($D139,'卡片raw data'!$F:$F,)),0)+IF($P139=5,INDEX('卡片raw data'!AM:AM,MATCH($D139,'卡片raw data'!$F:$F,)),0)+INDEX('卡片raw data'!U:U,MATCH($D139,'卡片raw data'!$F:$F,))*(IF($F139="UR",0.04,0.033))*(IF($F139="UR",INDEX(绊状态确认!$S:$S,MATCH($G139,绊状态确认!$B:$B,))/2-40)+IF($F139="SR",INDEX(绊状态确认!$R:$R,MATCH($G139,绊状态确认!$B:$B,))/4-15))+IF($F139="R",INDEX(绊状态确认!$Q:$Q,MATCH($G139,绊状态确认!$B:$B,))/6-40/6)))*(INDEX(绊状态确认!$H:$H,MATCH($G139,绊状态确认!$B:$B,))+INDEX(绊状态确认!L:L,MATCH($G139,绊状态确认!$B:$B,)))</f>
        <v>5026.5426624000002</v>
      </c>
      <c r="AO139" s="1107">
        <f t="shared" si="194"/>
        <v>1</v>
      </c>
      <c r="AP139" s="1131">
        <f>1+(INDEX(绊状态确认!$T:$T,MATCH($G139,绊状态确认!$B:$B,))+0.2)*$AO139</f>
        <v>1.3</v>
      </c>
      <c r="AQ139" s="1108">
        <f t="shared" si="195"/>
        <v>17685.3846448</v>
      </c>
      <c r="AR139" s="1097">
        <f>(AM139*(1+$EX$9)+$EX$35)*(1+(INDEX(绊状态确认!$T:$T,MATCH($G139,绊状态确认!$B:$B,))+0.2)*AO139)*IF(J139=$FF$17,1+$FE$17,1)*IF(I139=$FF$14,1+$FE$14,1)</f>
        <v>9778.7359752159991</v>
      </c>
      <c r="AS139" s="1097">
        <f>(AN139*(1+$EX$10)+$EX$36)*(1+(INDEX(绊状态确认!$T:$T,MATCH($G139,绊状态确认!$B:$B,))+0.2)*AO139)*IF(J139=$FF$17,1+$FE$17,1)*IF(I139=$FF$14,1+$FE$14,1)</f>
        <v>11570.681280287999</v>
      </c>
      <c r="AT139" s="1093">
        <f>IF(AND(INDEX('卡片raw data'!AK:AK,MATCH($D139,'卡片raw data'!$F:$F,))&lt;INDEX('卡片raw data'!AM:AM,MATCH($D139,'卡片raw data'!$F:$F,)),INDEX('卡片raw data'!AL:AL,MATCH($D139,'卡片raw data'!$F:$F,))&lt;INDEX('卡片raw data'!AM:AM,MATCH($D139,'卡片raw data'!$F:$F,))),1,0)</f>
        <v>0</v>
      </c>
      <c r="AU139" s="1098">
        <f>MIN(AT139*0.15+AS139*0.00003+INDEX(绊状态确认!M:M,MATCH($G139,绊状态确认!$B:$B,)),1)</f>
        <v>0.37712043840864001</v>
      </c>
      <c r="AV139" s="1109">
        <f>(INDEX(绊状态确认!$N:$N,MATCH($G139,绊状态确认!$B:$B,))+1.5)*$EW$21</f>
        <v>2.6599999999999997</v>
      </c>
      <c r="AW139" s="1101">
        <f t="shared" si="196"/>
        <v>14934.74244764602</v>
      </c>
      <c r="AX139" s="1097">
        <f t="shared" si="197"/>
        <v>833.22525747911948</v>
      </c>
      <c r="AY139" s="1110">
        <f t="shared" si="198"/>
        <v>15767.96770512514</v>
      </c>
      <c r="AZ139" s="429">
        <f t="shared" si="199"/>
        <v>13323.428593279999</v>
      </c>
      <c r="BA139" s="431">
        <f t="shared" si="200"/>
        <v>15988.114311935999</v>
      </c>
      <c r="BB139" s="1097">
        <f>(AM139*(1+$FB$9)+$FB$35)*(1+(INDEX(绊状态确认!$T:$T,MATCH($G139,绊状态确认!$B:$B,))+0.2)*AO139)*IF(J139=$FF$17,1+$FE$17,1)*IF(I139=$FF$14,1+$FE$14,1)*(1+$FE$15)</f>
        <v>9778.7359752159991</v>
      </c>
      <c r="BC139" s="1097">
        <f>(AN139*(1+$FB$10)+$FB$36)*(1+(INDEX(绊状态确认!$T:$T,MATCH($G139,绊状态确认!$B:$B,))+0.2)*AO139)*IF(J139=$FF$17,1+$FE$17,1)*IF(I139=$FF$14,1+$FE$14,1)*(1+$FE$15)</f>
        <v>11570.681280287999</v>
      </c>
      <c r="BD139" s="1104">
        <f>MIN(AT139*0.15+BC139*0.00003+INDEX(绊状态确认!M:M,MATCH($G139,绊状态确认!$B:$B,)),1)</f>
        <v>0.37712043840864001</v>
      </c>
      <c r="BE139" s="432">
        <f>(INDEX(绊状态确认!$N:$N,MATCH($G139,绊状态确认!$B:$B,))+1.5)</f>
        <v>1.9</v>
      </c>
      <c r="BF139" s="1139">
        <f t="array" ref="BF139">SUMPRODUCT(IF(AZ139*AP139*$FI$16:$FI$23*$FA$22&gt;=$FI$24,$FI$24,AZ139*AP139*$FI$16:$FI$23*$FA$22),$FJ$16:$FJ$23)</f>
        <v>26500.299472033919</v>
      </c>
      <c r="BG139" s="1125">
        <f t="array" ref="BG139">SUMPRODUCT(IF(BE139*AZ139*AP139*$FI$16:$FI$23*$FA$22&gt;=$FI$24,$FI$24,BE139*AZ139*AP139*$FI$16:$FI$23*$FA$22),$FJ$16:$FJ$23)</f>
        <v>50097.883958038146</v>
      </c>
      <c r="BH139" s="1110">
        <f t="shared" si="201"/>
        <v>11799.810292926917</v>
      </c>
      <c r="BI139" s="1111">
        <f>IF(O139="vo",$EW$26/$EW$24*0.05,0)+IF(O139="sk",-$EW$26/$EW$24*(0.05-INDEX(绊状态确认!W:W,MATCH($G139,绊状态确认!$B:$B,)))+0.05*$EW$28,0)+IF(O139="sp",0.05*$EW$32*$EW$30*(1-$EW$33)-(0.05-INDEX(绊状态确认!V:V,MATCH($G139,绊状态确认!$B:$B,)))*$EW$28,0)+IF(O139="gd",-(0.05-INDEX(绊状态确认!X:X,MATCH($G139,绊状态确认!$B:$B,)))*$EW$32*$EW$30*(1-$EW$33),0)</f>
        <v>-6253.6726349699375</v>
      </c>
      <c r="BJ139" s="1097">
        <f>IF(O139="vo",0.05*(1-$FI$26)*$FA$24,0)+IF(O139="sk",-(0.05-INDEX(绊状态确认!W:W,MATCH($G139,绊状态确认!$B:$B,)))*(1-$FI$26)*$FA$24+0.05*$FA$26,0)+IF(O139="sp",0.05*$FA$32*$FA$27*(1-$FA$33)/$FA$30+0.05*$FA$29/$FA$69*$FA$27*(1-$FA$33)-(0.05-INDEX(绊状态确认!V:V,MATCH($G139,绊状态确认!$B:$B,)))*$FA$26,0)+IF(O139="gd",-(0.05-INDEX(绊状态确认!X:X,MATCH($G139,绊状态确认!$B:$B,)))*$FA$32*$FA$27*(1-$FA$33)/$FA$30-(0.05-INDEX(绊状态确认!X:X,MATCH($G139,绊状态确认!$B:$B,)))*$FA$29/$FA$69*$FA$27*(1-$FA$33),0)</f>
        <v>20.459096812499922</v>
      </c>
      <c r="BK139" s="1110">
        <f>IF(O139="vo",$EW$26/$EW$24*0.05+$EW$26*(-HP($EW$62,$EW$65,$EW$64)+HP($EW$62,$EW$65,(1.05-INDEX(绊状态确认!U:U,MATCH($G139,绊状态确认!$B:$B,)))*$EW$64)),0)+IF(O139="sk",-$EW$26/$EW$24*(0.05-INDEX(绊状态确认!W:W,MATCH($G139,绊状态确认!$B:$B,)))+0.05*$EW$29,0)+IF(O139="sp",0.05*$EW$32*$EW$30*(1-$EW$33)-(0.05-INDEX(绊状态确认!V:V,MATCH($G139,绊状态确认!$B:$B,)))*$EW$29,0)+IF(O139="gd",-(0.05-INDEX(绊状态确认!X:X,MATCH($G139,绊状态确认!$B:$B,)))*$EW$32*$EW$30*(1-$EW$33)+$EW$26*(-HP($EW$62,$EW$65,$EW$64)+HP($EW$62,$EW$65,0.95*$EW$64)),0)</f>
        <v>-4253.6726349699375</v>
      </c>
      <c r="BL139" s="1111">
        <f t="shared" si="202"/>
        <v>-1083.3333333333333</v>
      </c>
      <c r="BM139" s="1110">
        <f t="shared" si="203"/>
        <v>-830.55555555555543</v>
      </c>
      <c r="BN139" s="1113">
        <f t="shared" si="204"/>
        <v>3</v>
      </c>
      <c r="BO139" s="1097">
        <f t="shared" si="205"/>
        <v>4507.7214871259994</v>
      </c>
      <c r="BP139" s="1100">
        <f t="shared" si="206"/>
        <v>221.34103209030098</v>
      </c>
      <c r="BQ139" s="1113" t="s">
        <v>626</v>
      </c>
      <c r="BR139" s="1124" t="s">
        <v>557</v>
      </c>
      <c r="BS139" s="1098">
        <f>IF($P139="","N/A",IF($P139=-1,INDEX('卡片raw data'!AX:AX,MATCH($D139,'卡片raw data'!$F:$F,)),0)+IF($L139="party卡",IF($P139=5,INDEX('卡片raw data'!BD:BD,MATCH($D139,'卡片raw data'!$F:$F,)),IF($P139&gt;=3,INDEX('卡片raw data'!BC:BC,MATCH($D139,'卡片raw data'!$F:$F,)),INDEX('卡片raw data'!BB:BB,MATCH($D139,'卡片raw data'!$F:$F,)))),IF(OR(AND($F139="UR",$P139=0),AND($F139="SR",$P139&gt;=0,$P139&lt;=2),AND($F139="R",$P139&gt;=0,$P139&lt;4)),INDEX('卡片raw data'!AZ:AZ,MATCH($D139,'卡片raw data'!$F:$F,)),0)+IF(OR(AND($F139="UR",$P139&gt;=1,$P139&lt;=4),AND($F139="SR",$P139&lt;=4,$P139&gt;=3),AND($F139="R",$P139=4)),INDEX('卡片raw data'!BA:BA,MATCH($D139,'卡片raw data'!$F:$F,)),0)+IF($P139=5,INDEX('卡片raw data'!BB:BB,MATCH($D139,'卡片raw data'!$F:$F,)),0)))</f>
        <v>3.6999999999999998E-2</v>
      </c>
      <c r="BT139" s="1101">
        <f t="shared" si="207"/>
        <v>1396.05345365023</v>
      </c>
      <c r="BU139" s="1097">
        <f t="shared" si="208"/>
        <v>75.735758815142717</v>
      </c>
      <c r="BV139" s="1097">
        <f t="shared" si="209"/>
        <v>785.28006767825423</v>
      </c>
      <c r="BW139" s="1112">
        <f t="shared" si="210"/>
        <v>0</v>
      </c>
      <c r="BX139" s="1100">
        <f t="shared" si="211"/>
        <v>1396.05345365023</v>
      </c>
      <c r="BY139" s="1110">
        <f t="shared" si="212"/>
        <v>785.28006767825423</v>
      </c>
      <c r="BZ139" s="1107" t="s">
        <v>569</v>
      </c>
      <c r="CA139" s="1124"/>
      <c r="CB139" s="1098">
        <f>IF($P139="","N/A",IF($P139=-1,INDEX('卡片raw data'!BE:BE,MATCH($D139,'卡片raw data'!$F:$F,)),0)+IF($L139="party卡",IF($P139=5,INDEX('卡片raw data'!BK:BK,MATCH($D139,'卡片raw data'!$F:$F,)),IF($P139&gt;=3,INDEX('卡片raw data'!BJ:BJ,MATCH($D139,'卡片raw data'!$F:$F,)),INDEX('卡片raw data'!BI:BI,MATCH($D139,'卡片raw data'!$F:$F,)))),IF(OR(AND($F139="UR",$P139=0),AND($F139="SR",$P139&gt;=0,$P139&lt;=2),AND($F139="R",$P139&gt;=0,$P139&lt;4)),INDEX('卡片raw data'!BG:BG,MATCH($D139,'卡片raw data'!$F:$F,)),0)+IF(OR(AND($F139="UR",$P139&gt;=1,$P139&lt;=4),AND($F139="SR",$P139&lt;=4,$P139&gt;=3),AND($F139="R",$P139=4)),INDEX('卡片raw data'!BH:BH,MATCH($D139,'卡片raw data'!$F:$F,)),0)+IF($P139=5,INDEX('卡片raw data'!BI:BI,MATCH($D139,'卡片raw data'!$F:$F,)),0)))</f>
        <v>0</v>
      </c>
      <c r="CC139" s="1101">
        <f t="shared" si="213"/>
        <v>0</v>
      </c>
      <c r="CD139" s="1097">
        <f>IF(BZ139="ap",CB139*(1-$FI$26)*$FB$5/$FB$11*(+IF(CA139="全员",$FA$24,0)+IF(CA139="同作战",$FA$24,0)+IF(CA139="仲间",$FA$24*2/3,0)+IF(CA139="同属性",$FA$24*$FA$37/3,0)+IF(CA139="同年级",$FA$24*$FA$40/3,0)+IF(CA139="同学校",$FA$24*$FA$43/3,0)+IF(CA139="同小队",$FA$24*$FA$46/3,0)+IF(CA139="同type",$FA$24*INDEX($FB$49:$FB$52,MATCH(X139,$FA$49:$FA$52,))/3,0)+IF(CA139="自身",#REF!/3,0)),0)+IF(BZ139="te",CB139*(1-$FI$27)*($FA$20-1)*$FB$7/$FB$13*(+IF(CA139="全员",$FA$19*$FA$24/(1+($FA$20-1)*$FA$19),0)+IF(CA139="同作战",$FA$19*$FA$24/(1+($FA$20-1)*$FA$19),0)+IF(CA139="仲间",$FA$19*$FA$24*2/3/(1+($FA$20-1)*$FA$19),0)+IF(CA139="同属性",$FA$19*$FA$24*$FA$37/3/(1+($FA$20-1)*$FA$19),0)+IF(CA139="同年级",$FA$19*$FA$24*$FA$40/3/(1+($FA$20-1)*$FA$19),0)+IF(CA139="同学校",$FA$19*$FA$24*$FA$43/3/(1+($FA$20-1)*$FA$19),0)+IF(CA139="同小队",$FA$19*$FA$24*$FA$46/3/(1+($FA$20-1)*$FA$19),0)+IF(CA139="同type",$FA$19*$FA$24*INDEX($FB$49:$FB$52,MATCH(X139,$FA$49:$FA$52,))/3/(1+($FA$20-1)*$FA$19),0)+IF(CA139="自身",$FA$19*#REF!/3/(1+(BH139-1)*$BD139),0)),0)</f>
        <v>0</v>
      </c>
      <c r="CE139" s="1097">
        <f t="shared" si="214"/>
        <v>0</v>
      </c>
      <c r="CF139" s="1112">
        <f t="shared" si="215"/>
        <v>0</v>
      </c>
      <c r="CG139" s="1100">
        <f t="shared" si="216"/>
        <v>0</v>
      </c>
      <c r="CH139" s="1110">
        <f t="shared" si="217"/>
        <v>0</v>
      </c>
      <c r="CI139" s="1113" t="s">
        <v>164</v>
      </c>
      <c r="CJ139" s="1114">
        <v>0.3</v>
      </c>
      <c r="CK139" s="1115" t="s">
        <v>566</v>
      </c>
      <c r="CL139" s="1115" t="s">
        <v>161</v>
      </c>
      <c r="CM139" s="1119">
        <v>0.03</v>
      </c>
      <c r="CN139" s="1115" t="s">
        <v>572</v>
      </c>
      <c r="CO139" s="1092">
        <v>1</v>
      </c>
      <c r="CP139" s="1118">
        <f t="shared" si="218"/>
        <v>1.6890775714285714E-2</v>
      </c>
      <c r="CQ139" s="1118">
        <f t="shared" si="219"/>
        <v>1.6890775714285714E-2</v>
      </c>
      <c r="CR139" s="1118">
        <f t="shared" si="220"/>
        <v>1.6890775714285714E-2</v>
      </c>
      <c r="CS139" s="1118">
        <f t="shared" si="221"/>
        <v>0</v>
      </c>
      <c r="CT139" s="1109">
        <f t="shared" si="222"/>
        <v>0</v>
      </c>
      <c r="CU139" s="1101">
        <f t="shared" si="223"/>
        <v>2296.8571974156039</v>
      </c>
      <c r="CV139" s="1108">
        <f t="shared" si="224"/>
        <v>110.89760883852497</v>
      </c>
      <c r="CW139" s="1097">
        <f t="shared" si="225"/>
        <v>2296.8571974156039</v>
      </c>
      <c r="CX139" s="1097">
        <f t="shared" si="226"/>
        <v>2296.8571974156039</v>
      </c>
      <c r="CY139" s="1110">
        <f t="shared" si="227"/>
        <v>2296.8571974156039</v>
      </c>
      <c r="CZ139" s="437"/>
      <c r="DA139" s="438"/>
      <c r="DB139" s="439" t="s">
        <v>569</v>
      </c>
      <c r="DC139" s="439"/>
      <c r="DD139" s="443"/>
      <c r="DE139" s="411"/>
      <c r="DF139" s="411"/>
      <c r="DG139" s="1116">
        <f t="shared" si="228"/>
        <v>0</v>
      </c>
      <c r="DH139" s="1116">
        <f t="shared" si="229"/>
        <v>0</v>
      </c>
      <c r="DI139" s="1116">
        <f t="shared" si="230"/>
        <v>0</v>
      </c>
      <c r="DJ139" s="442">
        <f t="shared" si="231"/>
        <v>0</v>
      </c>
      <c r="DK139" s="1109">
        <f t="shared" si="232"/>
        <v>0</v>
      </c>
      <c r="DL139" s="1101">
        <f t="shared" si="233"/>
        <v>0</v>
      </c>
      <c r="DM139" s="1097">
        <f t="shared" si="234"/>
        <v>0</v>
      </c>
      <c r="DN139" s="1097">
        <f t="shared" si="235"/>
        <v>0</v>
      </c>
      <c r="DO139" s="1097">
        <f t="shared" si="236"/>
        <v>0</v>
      </c>
      <c r="DP139" s="1110">
        <f t="shared" si="237"/>
        <v>0</v>
      </c>
      <c r="DQ139" s="1113" t="s">
        <v>553</v>
      </c>
      <c r="DR139" s="1120">
        <f t="shared" si="238"/>
        <v>0.3</v>
      </c>
      <c r="DS139" s="1124">
        <v>5</v>
      </c>
      <c r="DT139" s="1093" t="s">
        <v>168</v>
      </c>
      <c r="DU139" s="1093" t="s">
        <v>544</v>
      </c>
      <c r="DV139" s="1098">
        <f>IF($P139="","N/A",IF(P139=-1,INDEX('卡片raw data'!AN:AN,MATCH(D139,'卡片raw data'!$F:$F,)),0)+IF(AND(L139&lt;&gt;"party卡",P139&lt;=2,P139&gt;=0),INDEX('卡片raw data'!AP:AP,MATCH(D139,'卡片raw data'!$F:$F,)),0)+IF(OR(AND(L139="party卡",P139&lt;=1),AND(P139&lt;=4,L139&lt;&gt;"party卡",P139&gt;=3)),INDEX('卡片raw data'!AQ:AQ,MATCH(D139,'卡片raw data'!$F:$F,)),0)+IF(OR(P139=5,AND(L139="party卡",P139&gt;=2)),INDEX('卡片raw data'!AR:AR,MATCH(D139,'卡片raw data'!$F:$F,)),0))</f>
        <v>0.04</v>
      </c>
      <c r="DW139" s="1098">
        <f t="shared" si="239"/>
        <v>0.3</v>
      </c>
      <c r="DX139" s="1098">
        <f t="shared" si="240"/>
        <v>0.3</v>
      </c>
      <c r="DY139" s="1098">
        <f t="shared" si="241"/>
        <v>0.02</v>
      </c>
      <c r="DZ139" s="1098">
        <f t="shared" si="242"/>
        <v>1.7299999999999999E-2</v>
      </c>
      <c r="EA139" s="1098">
        <f t="shared" si="243"/>
        <v>7.2021624999999987E-3</v>
      </c>
      <c r="EB139" s="1121">
        <f t="shared" si="244"/>
        <v>0</v>
      </c>
      <c r="EC139" s="1101">
        <f t="shared" si="245"/>
        <v>848.4848484848485</v>
      </c>
      <c r="ED139" s="1097">
        <f t="shared" si="246"/>
        <v>393.18181818181819</v>
      </c>
      <c r="EE139" s="1110">
        <f t="shared" si="247"/>
        <v>848.4848484848485</v>
      </c>
      <c r="EF139" s="1092" t="s">
        <v>711</v>
      </c>
      <c r="EG139" s="1120">
        <f t="shared" si="248"/>
        <v>0.3</v>
      </c>
      <c r="EH139" s="1124"/>
      <c r="EI139" s="1093"/>
      <c r="EJ139" s="1093"/>
      <c r="EK139" s="1097">
        <f>IF($P139="","N/A",IF(P139=-1,INDEX('卡片raw data'!AS:AS,MATCH(D139,'卡片raw data'!$F:$F,)),0)+IF(AND(L139&lt;&gt;"party卡",P139&lt;=2,P139&gt;=0),INDEX('卡片raw data'!AU:AU,MATCH(D139,'卡片raw data'!$F:$F,)),0)+IF(OR(AND(L139="party卡",P139&lt;=1),AND(P139&lt;=4,L139&lt;&gt;"party卡",P139&gt;=3)),INDEX('卡片raw data'!AV:AV,MATCH(D139,'卡片raw data'!$F:$F,)),0)+IF(OR(P139=5,AND(L139="party卡",P139&gt;=2)),INDEX('卡片raw data'!AW:AW,MATCH(D139,'卡片raw data'!$F:$F,)),0))</f>
        <v>0</v>
      </c>
      <c r="EL139" s="1098">
        <f t="shared" si="249"/>
        <v>0.3</v>
      </c>
      <c r="EM139" s="1098">
        <f t="shared" si="250"/>
        <v>0.3</v>
      </c>
      <c r="EN139" s="1125">
        <f t="shared" si="251"/>
        <v>0</v>
      </c>
      <c r="EO139" s="1125">
        <f t="shared" si="252"/>
        <v>0</v>
      </c>
      <c r="EP139" s="1098">
        <f t="shared" si="253"/>
        <v>0</v>
      </c>
      <c r="EQ139" s="1121">
        <f t="shared" si="254"/>
        <v>0</v>
      </c>
      <c r="ER139" s="1101">
        <f t="shared" si="255"/>
        <v>0</v>
      </c>
      <c r="ES139" s="1097">
        <f t="shared" si="256"/>
        <v>0</v>
      </c>
      <c r="ET139" s="1122">
        <f t="shared" si="257"/>
        <v>0</v>
      </c>
    </row>
    <row r="140" spans="2:150" ht="16.5" customHeight="1">
      <c r="B140" s="1123" t="str">
        <f>INDEX('卡片raw data'!B:B,MATCH($D140,'卡片raw data'!$F:$F,))</f>
        <v>猫凛</v>
      </c>
      <c r="C140" s="449" t="s">
        <v>124</v>
      </c>
      <c r="D140" s="408">
        <v>137</v>
      </c>
      <c r="E140" s="1090">
        <v>300053001</v>
      </c>
      <c r="F140" s="1090" t="str">
        <f>INDEX('卡片raw data'!C:C,MATCH($D140,'卡片raw data'!$F:$F,))</f>
        <v>UR</v>
      </c>
      <c r="G140" s="1094" t="s">
        <v>28</v>
      </c>
      <c r="H140" s="411">
        <f>IFERROR(INDEX(绊状态确认!C:C,MATCH($G140,绊状态确认!$B:$B,)),"")</f>
        <v>5</v>
      </c>
      <c r="I140" s="450" t="str">
        <f>IFERROR(INDEX(绊状态确认!D:D,MATCH($G140,绊状态确认!$B:$B,)),"")</f>
        <v>缪</v>
      </c>
      <c r="J140" s="450" t="str">
        <f>IFERROR(INDEX(绊状态确认!E:E,MATCH($G140,绊状态确认!$B:$B,)),"")</f>
        <v>1年级</v>
      </c>
      <c r="K140" s="451" t="str">
        <f>IFERROR(INDEX(绊状态确认!F:F,MATCH($G140,绊状态确认!$B:$B,)),"")</f>
        <v>lilywhite</v>
      </c>
      <c r="L140" s="1094" t="str">
        <f>INDEX('卡片raw data'!E:E,MATCH($D140,'卡片raw data'!$F:$F,))</f>
        <v>卡池卡</v>
      </c>
      <c r="M140" s="415">
        <v>43815</v>
      </c>
      <c r="N140" s="416">
        <v>5.5</v>
      </c>
      <c r="O140" s="1091" t="str">
        <f>INDEX('卡片raw data'!D:D,MATCH($D140,'卡片raw data'!$F:$F,))</f>
        <v>vo</v>
      </c>
      <c r="P140" s="417">
        <v>5</v>
      </c>
      <c r="Q140" s="1095">
        <f t="shared" si="173"/>
        <v>61274.272336507493</v>
      </c>
      <c r="R140" s="1096">
        <f t="shared" si="174"/>
        <v>0.71199999999999997</v>
      </c>
      <c r="S140" s="1097">
        <f t="shared" si="175"/>
        <v>20401.945251430745</v>
      </c>
      <c r="T140" s="1098">
        <f t="shared" si="176"/>
        <v>1.02</v>
      </c>
      <c r="U140" s="1099">
        <f t="shared" si="177"/>
        <v>-12.941995822857141</v>
      </c>
      <c r="V140" s="1100">
        <f t="shared" si="178"/>
        <v>60931.651625328166</v>
      </c>
      <c r="W140" s="1101">
        <f t="shared" si="179"/>
        <v>6227.9242058599884</v>
      </c>
      <c r="X140" s="1096">
        <f t="shared" si="180"/>
        <v>7.1999999999999995E-2</v>
      </c>
      <c r="Y140" s="1097">
        <f t="shared" si="181"/>
        <v>962.04773906236733</v>
      </c>
      <c r="Z140" s="1102">
        <f t="shared" si="182"/>
        <v>12.058004177142859</v>
      </c>
      <c r="AA140" s="1103">
        <f t="shared" si="183"/>
        <v>7189.9719449223558</v>
      </c>
      <c r="AB140" s="1101">
        <f t="shared" si="184"/>
        <v>7948.1269245939784</v>
      </c>
      <c r="AC140" s="1104">
        <f t="shared" si="185"/>
        <v>9.1999999999999998E-2</v>
      </c>
      <c r="AD140" s="1105">
        <f t="shared" si="186"/>
        <v>0</v>
      </c>
      <c r="AE140" s="1128">
        <f t="shared" si="187"/>
        <v>0</v>
      </c>
      <c r="AF140" s="1130">
        <f t="shared" si="188"/>
        <v>0</v>
      </c>
      <c r="AG140" s="420">
        <f t="shared" si="189"/>
        <v>0</v>
      </c>
      <c r="AH140" s="420">
        <f t="shared" si="190"/>
        <v>0</v>
      </c>
      <c r="AI140" s="1097">
        <f t="shared" si="191"/>
        <v>0</v>
      </c>
      <c r="AJ140" s="420">
        <f t="shared" si="192"/>
        <v>0</v>
      </c>
      <c r="AK140" s="518">
        <f t="shared" si="193"/>
        <v>0</v>
      </c>
      <c r="AL140" s="1106">
        <f>IF($P140="","N/A",(IF($P140=-1,INDEX('卡片raw data'!S:S,MATCH($D140,'卡片raw data'!$F:$F,)),0)+IF($P140=0,INDEX('卡片raw data'!V:V,MATCH($D140,'卡片raw data'!$F:$F,)),0)+IF($P140=1,INDEX('卡片raw data'!Y:Y,MATCH($D140,'卡片raw data'!$F:$F,)),0)+IF($P140=2,INDEX('卡片raw data'!AB:AB,MATCH($D140,'卡片raw data'!$F:$F,)),0)+IF($P140=3,INDEX('卡片raw data'!AE:AE,MATCH($D140,'卡片raw data'!$F:$F,)),0)+IF($P140=4,INDEX('卡片raw data'!AH:AH,MATCH($D140,'卡片raw data'!$F:$F,)),0)+IF($P140=5,INDEX('卡片raw data'!AK:AK,MATCH($D140,'卡片raw data'!$F:$F,)),0)+INDEX('卡片raw data'!S:S,MATCH($D140,'卡片raw data'!$F:$F,))*(IF($F140="UR",0.04,0.033))*(IF($F140="UR",INDEX(绊状态确认!$S:$S,MATCH($G140,绊状态确认!$B:$B,))/2-40)+IF($F140="SR",INDEX(绊状态确认!$R:$R,MATCH($G140,绊状态确认!$B:$B,))/4-15))+IF($F140="R",INDEX(绊状态确认!$Q:$Q,MATCH($G140,绊状态确认!$B:$B,))/6-40/6)))*(INDEX(绊状态确认!$H:$H,MATCH($G140,绊状态确认!$B:$B,))+INDEX(绊状态确认!J:J,MATCH($G140,绊状态确认!$B:$B,)))</f>
        <v>13463.885375999998</v>
      </c>
      <c r="AM140" s="1106">
        <f>IF($P140="","N/A",(IF($P140=-1,INDEX('卡片raw data'!T:T,MATCH($D140,'卡片raw data'!$F:$F,)),0)+IF($P140=0,INDEX('卡片raw data'!W:W,MATCH($D140,'卡片raw data'!$F:$F,)),0)+IF($P140=1,INDEX('卡片raw data'!Z:Z,MATCH($D140,'卡片raw data'!$F:$F,)),0)+IF($P140=2,INDEX('卡片raw data'!AC:AC,MATCH($D140,'卡片raw data'!$F:$F,)),0)+IF($P140=3,INDEX('卡片raw data'!AF:AF,MATCH($D140,'卡片raw data'!$F:$F,)),0)+IF($P140=4,INDEX('卡片raw data'!AI:AI,MATCH($D140,'卡片raw data'!$F:$F,)),0)+IF($P140=5,INDEX('卡片raw data'!AL:AL,MATCH($D140,'卡片raw data'!$F:$F,)),0)+INDEX('卡片raw data'!T:T,MATCH($D140,'卡片raw data'!$F:$F,))*(IF($F140="UR",0.04,0.033))*(IF($F140="UR",INDEX(绊状态确认!$S:$S,MATCH($G140,绊状态确认!$B:$B,))/2-40)+IF($F140="SR",INDEX(绊状态确认!$R:$R,MATCH($G140,绊状态确认!$B:$B,))/4-15))+IF($F140="R",INDEX(绊状态确认!$Q:$Q,MATCH($G140,绊状态确认!$B:$B,))/6-40/6)))*(INDEX(绊状态确认!$H:$H,MATCH($G140,绊状态确认!$B:$B,))+INDEX(绊状态确认!K:K,MATCH($G140,绊状态确认!$B:$B,)))</f>
        <v>6263.8367999999991</v>
      </c>
      <c r="AN140" s="1106">
        <f>IF($P140="","N/A",(IF($P140=-1,INDEX('卡片raw data'!U:U,MATCH($D140,'卡片raw data'!$F:$F,)),0)+IF($P140=0,INDEX('卡片raw data'!X:X,MATCH($D140,'卡片raw data'!$F:$F,)),0)+IF($P140=1,INDEX('卡片raw data'!AA:AA,MATCH($D140,'卡片raw data'!$F:$F,)),0)+IF($P140=2,INDEX('卡片raw data'!AD:AD,MATCH($D140,'卡片raw data'!$F:$F,)),0)+IF($P140=3,INDEX('卡片raw data'!AG:AG,MATCH($D140,'卡片raw data'!$F:$F,)),0)+IF($P140=4,INDEX('卡片raw data'!AJ:AJ,MATCH($D140,'卡片raw data'!$F:$F,)),0)+IF($P140=5,INDEX('卡片raw data'!AM:AM,MATCH($D140,'卡片raw data'!$F:$F,)),0)+INDEX('卡片raw data'!U:U,MATCH($D140,'卡片raw data'!$F:$F,))*(IF($F140="UR",0.04,0.033))*(IF($F140="UR",INDEX(绊状态确认!$S:$S,MATCH($G140,绊状态确认!$B:$B,))/2-40)+IF($F140="SR",INDEX(绊状态确认!$R:$R,MATCH($G140,绊状态确认!$B:$B,))/4-15))+IF($F140="R",INDEX(绊状态确认!$Q:$Q,MATCH($G140,绊状态确认!$B:$B,))/6-40/6)))*(INDEX(绊状态确认!$H:$H,MATCH($G140,绊状态确认!$B:$B,))+INDEX(绊状态确认!L:L,MATCH($G140,绊状态确认!$B:$B,)))</f>
        <v>11586.825311999999</v>
      </c>
      <c r="AO140" s="1107">
        <f t="shared" si="194"/>
        <v>1</v>
      </c>
      <c r="AP140" s="1131">
        <f>1+(INDEX(绊状态确认!$T:$T,MATCH($G140,绊状态确认!$B:$B,))+0.2)*$AO140</f>
        <v>1.3</v>
      </c>
      <c r="AQ140" s="1108">
        <f t="shared" si="195"/>
        <v>38592.699111999995</v>
      </c>
      <c r="AR140" s="1097">
        <f>(AM140*(1+$EX$9)+$EX$35)*(1+(INDEX(绊状态确认!$T:$T,MATCH($G140,绊状态确认!$B:$B,))+0.2)*AO140)*IF(J140=$FF$17,1+$FE$17,1)*IF(I140=$FF$14,1+$FE$14,1)*(1+$FE$15)</f>
        <v>11254.137232000001</v>
      </c>
      <c r="AS140" s="1097">
        <f>(AN140*(1+$EX$10)+$EX$36)*(1+(INDEX(绊状态确认!$T:$T,MATCH($G140,绊状态确认!$B:$B,))+0.2)*AO140)*IF(J140=$FF$17,1+$FE$17,1)*IF(I140=$FF$14,1+$FE$14,1)*(1+$FE$15)</f>
        <v>21378.303841439996</v>
      </c>
      <c r="AT140" s="1093">
        <f>IF(AND(INDEX('卡片raw data'!AK:AK,MATCH($D140,'卡片raw data'!$F:$F,))&lt;INDEX('卡片raw data'!AM:AM,MATCH($D140,'卡片raw data'!$F:$F,)),INDEX('卡片raw data'!AL:AL,MATCH($D140,'卡片raw data'!$F:$F,))&lt;INDEX('卡片raw data'!AM:AM,MATCH($D140,'卡片raw data'!$F:$F,))),1,0)</f>
        <v>0</v>
      </c>
      <c r="AU140" s="1098">
        <f>MIN(AT140*0.15+AS140*0.00003+INDEX(绊状态确认!M:M,MATCH($G140,绊状态确认!$B:$B,)),1)</f>
        <v>0.67134911524319996</v>
      </c>
      <c r="AV140" s="1109">
        <f>(INDEX(绊状态确认!$N:$N,MATCH($G140,绊状态确认!$B:$B,))+1.5)*$EW$21</f>
        <v>2.6599999999999997</v>
      </c>
      <c r="AW140" s="1101">
        <f t="shared" si="196"/>
        <v>42379.691119505907</v>
      </c>
      <c r="AX140" s="1097">
        <f t="shared" si="197"/>
        <v>962.04773906236778</v>
      </c>
      <c r="AY140" s="1110">
        <f t="shared" si="198"/>
        <v>43341.738858568278</v>
      </c>
      <c r="AZ140" s="429">
        <f t="shared" si="199"/>
        <v>28854.576483199995</v>
      </c>
      <c r="BA140" s="431">
        <f t="shared" si="200"/>
        <v>34625.491779839991</v>
      </c>
      <c r="BB140" s="1097">
        <f>(AM140*(1+$FB$9)+$FB$35)*(1+(INDEX(绊状态确认!$T:$T,MATCH($G140,绊状态确认!$B:$B,))+0.2)*AO140)*IF(J140=$FF$17,1+$FE$17,1)*IF(I140=$FF$14,1+$FE$14,1)*(1+$FE$15)</f>
        <v>11254.137232000001</v>
      </c>
      <c r="BC140" s="1097">
        <f>(AN140*(1+$FB$10)+$FB$36)*(1+(INDEX(绊状态确认!$T:$T,MATCH($G140,绊状态确认!$B:$B,))+0.2)*AO140)*IF(J140=$FF$17,1+$FE$17,1)*IF(I140=$FF$14,1+$FE$14,1)*(1+$FE$15)</f>
        <v>21378.303841439996</v>
      </c>
      <c r="BD140" s="1104">
        <f>MIN(AT140*0.15+BC140*0.00003+INDEX(绊状态确认!M:M,MATCH($G140,绊状态确认!$B:$B,)),1)</f>
        <v>0.67134911524319996</v>
      </c>
      <c r="BE140" s="432">
        <f>(INDEX(绊状态确认!$N:$N,MATCH($G140,绊状态确认!$B:$B,))+1.5)</f>
        <v>1.9</v>
      </c>
      <c r="BF140" s="1139">
        <f t="array" ref="BF140">SUMPRODUCT(IF(AZ140*AP140*$FI$16:$FI$23*$FA$22&gt;=$FI$24,$FI$24,AZ140*AP140*$FI$16:$FI$23*$FA$22),$FJ$16:$FJ$23)</f>
        <v>55134.088025372796</v>
      </c>
      <c r="BG140" s="1125">
        <f t="array" ref="BG140">SUMPRODUCT(IF(BE140*AZ140*AP140*$FI$16:$FI$23*$FA$22&gt;=$FI$24,$FI$24,BE140*AZ140*AP140*$FI$16:$FI$23*$FA$22),$FJ$16:$FJ$23)</f>
        <v>60000</v>
      </c>
      <c r="BH140" s="1110">
        <f t="shared" si="201"/>
        <v>19466.937908130018</v>
      </c>
      <c r="BI140" s="1111">
        <f>IF(O140="vo",$EW$26/$EW$24*0.05,0)+IF(O140="sk",-$EW$26/$EW$24*(0.05-INDEX(绊状态确认!W:W,MATCH($G140,绊状态确认!$B:$B,)))+0.05*$EW$28,0)+IF(O140="sp",0.05*$EW$32*$EW$30*(1-$EW$33)-(0.05-INDEX(绊状态确认!V:V,MATCH($G140,绊状态确认!$B:$B,)))*$EW$28,0)+IF(O140="gd",-(0.05-INDEX(绊状态确认!X:X,MATCH($G140,绊状态确认!$B:$B,)))*$EW$32*$EW$30*(1-$EW$33),0)</f>
        <v>7726.3029277443748</v>
      </c>
      <c r="BJ140" s="1097">
        <f>IF(O140="vo",0.05*(1-$FI$26)*$FA$24,0)+IF(O140="sk",-(0.05-INDEX(绊状态确认!W:W,MATCH($G140,绊状态确认!$B:$B,)))*(1-$FI$26)*$FA$24+0.05*$FA$26,0)+IF(O140="sp",0.05*$FA$32*$FA$27*(1-$FA$33)/$FA$30+0.05*$FA$29/$FA$69*$FA$27*(1-$FA$33)-(0.05-INDEX(绊状态确认!V:V,MATCH($G140,绊状态确认!$B:$B,)))*$FA$26,0)+IF(O140="gd",-(0.05-INDEX(绊状态确认!X:X,MATCH($G140,绊状态确认!$B:$B,)))*$FA$32*$FA$27*(1-$FA$33)/$FA$30-(0.05-INDEX(绊状态确认!X:X,MATCH($G140,绊状态确认!$B:$B,)))*$FA$29/$FA$69*$FA$27*(1-$FA$33),0)</f>
        <v>393.93433687500004</v>
      </c>
      <c r="BK140" s="1110">
        <f>IF(O140="vo",$EW$26/$EW$24*0.05+$EW$26*(-HP($EW$62,$EW$65,$EW$64)+HP($EW$62,$EW$65,(1.05-INDEX(绊状态确认!U:U,MATCH($G140,绊状态确认!$B:$B,)))*$EW$64)),0)+IF(O140="sk",-$EW$26/$EW$24*(0.05-INDEX(绊状态确认!W:W,MATCH($G140,绊状态确认!$B:$B,)))+0.05*$EW$29,0)+IF(O140="sp",0.05*$EW$32*$EW$30*(1-$EW$33)-(0.05-INDEX(绊状态确认!V:V,MATCH($G140,绊状态确认!$B:$B,)))*$EW$29,0)+IF(O140="gd",-(0.05-INDEX(绊状态确认!X:X,MATCH($G140,绊状态确认!$B:$B,)))*$EW$32*$EW$30*(1-$EW$33)+$EW$26*(-HP($EW$62,$EW$65,$EW$64)+HP($EW$62,$EW$65,0.95*$EW$64)),0)</f>
        <v>6421.6344775026746</v>
      </c>
      <c r="BL140" s="1111">
        <f t="shared" si="202"/>
        <v>0</v>
      </c>
      <c r="BM140" s="1110">
        <f t="shared" si="203"/>
        <v>0</v>
      </c>
      <c r="BN140" s="1113">
        <f t="shared" si="204"/>
        <v>3</v>
      </c>
      <c r="BO140" s="1097">
        <f t="shared" si="205"/>
        <v>4507.7214871259994</v>
      </c>
      <c r="BP140" s="1100">
        <f t="shared" si="206"/>
        <v>221.34103209030098</v>
      </c>
      <c r="BQ140" s="1113" t="s">
        <v>143</v>
      </c>
      <c r="BR140" s="1124" t="s">
        <v>148</v>
      </c>
      <c r="BS140" s="1098">
        <f>IF($P140="","N/A",IF($P140=-1,INDEX('卡片raw data'!AX:AX,MATCH($D140,'卡片raw data'!$F:$F,)),0)+IF($L140="party卡",IF($P140=5,INDEX('卡片raw data'!BD:BD,MATCH($D140,'卡片raw data'!$F:$F,)),IF($P140&gt;=3,INDEX('卡片raw data'!BC:BC,MATCH($D140,'卡片raw data'!$F:$F,)),INDEX('卡片raw data'!BB:BB,MATCH($D140,'卡片raw data'!$F:$F,)))),IF(OR(AND($F140="UR",$P140=0),AND($F140="SR",$P140&gt;=0,$P140&lt;=2),AND($F140="R",$P140&gt;=0,$P140&lt;4)),INDEX('卡片raw data'!AZ:AZ,MATCH($D140,'卡片raw data'!$F:$F,)),0)+IF(OR(AND($F140="UR",$P140&gt;=1,$P140&lt;=4),AND($F140="SR",$P140&lt;=4,$P140&gt;=3),AND($F140="R",$P140=4)),INDEX('卡片raw data'!BA:BA,MATCH($D140,'卡片raw data'!$F:$F,)),0)+IF($P140=5,INDEX('卡片raw data'!BB:BB,MATCH($D140,'卡片raw data'!$F:$F,)),0)))</f>
        <v>5.1999999999999998E-2</v>
      </c>
      <c r="BT140" s="1101">
        <f t="shared" si="207"/>
        <v>2604.4613036728001</v>
      </c>
      <c r="BU140" s="1097">
        <f t="shared" si="208"/>
        <v>111.90018844565216</v>
      </c>
      <c r="BV140" s="1097">
        <f t="shared" si="209"/>
        <v>1302.2306518363998</v>
      </c>
      <c r="BW140" s="1112">
        <f t="shared" si="210"/>
        <v>0</v>
      </c>
      <c r="BX140" s="1100">
        <f t="shared" si="211"/>
        <v>2604.4613036728001</v>
      </c>
      <c r="BY140" s="1110">
        <f t="shared" si="212"/>
        <v>1302.2306518363998</v>
      </c>
      <c r="BZ140" s="1107" t="s">
        <v>569</v>
      </c>
      <c r="CA140" s="1124"/>
      <c r="CB140" s="1098">
        <f>IF($P140="","N/A",IF($P140=-1,INDEX('卡片raw data'!BE:BE,MATCH($D140,'卡片raw data'!$F:$F,)),0)+IF($L140="party卡",IF($P140=5,INDEX('卡片raw data'!BK:BK,MATCH($D140,'卡片raw data'!$F:$F,)),IF($P140&gt;=3,INDEX('卡片raw data'!BJ:BJ,MATCH($D140,'卡片raw data'!$F:$F,)),INDEX('卡片raw data'!BI:BI,MATCH($D140,'卡片raw data'!$F:$F,)))),IF(OR(AND($F140="UR",$P140=0),AND($F140="SR",$P140&gt;=0,$P140&lt;=2),AND($F140="R",$P140&gt;=0,$P140&lt;4)),INDEX('卡片raw data'!BG:BG,MATCH($D140,'卡片raw data'!$F:$F,)),0)+IF(OR(AND($F140="UR",$P140&gt;=1,$P140&lt;=4),AND($F140="SR",$P140&lt;=4,$P140&gt;=3),AND($F140="R",$P140=4)),INDEX('卡片raw data'!BH:BH,MATCH($D140,'卡片raw data'!$F:$F,)),0)+IF($P140=5,INDEX('卡片raw data'!BI:BI,MATCH($D140,'卡片raw data'!$F:$F,)),0)))</f>
        <v>0</v>
      </c>
      <c r="CC140" s="1101">
        <f t="shared" si="213"/>
        <v>0</v>
      </c>
      <c r="CD140" s="1097">
        <f>IF(BZ140="ap",CB140*(1-$FI$26)*$FB$5/$FB$11*(+IF(CA140="全员",$FA$24,0)+IF(CA140="同作战",$FA$24,0)+IF(CA140="仲间",$FA$24*2/3,0)+IF(CA140="同属性",$FA$24*$FA$37/3,0)+IF(CA140="同年级",$FA$24*$FA$40/3,0)+IF(CA140="同学校",$FA$24*$FA$43/3,0)+IF(CA140="同小队",$FA$24*$FA$46/3,0)+IF(CA140="同type",$FA$24*INDEX($FB$49:$FB$52,MATCH(X140,$FA$49:$FA$52,))/3,0)+IF(CA140="自身",#REF!/3,0)),0)+IF(BZ140="te",CB140*(1-$FI$27)*($FA$20-1)*$FB$7/$FB$13*(+IF(CA140="全员",$FA$19*$FA$24/(1+($FA$20-1)*$FA$19),0)+IF(CA140="同作战",$FA$19*$FA$24/(1+($FA$20-1)*$FA$19),0)+IF(CA140="仲间",$FA$19*$FA$24*2/3/(1+($FA$20-1)*$FA$19),0)+IF(CA140="同属性",$FA$19*$FA$24*$FA$37/3/(1+($FA$20-1)*$FA$19),0)+IF(CA140="同年级",$FA$19*$FA$24*$FA$40/3/(1+($FA$20-1)*$FA$19),0)+IF(CA140="同学校",$FA$19*$FA$24*$FA$43/3/(1+($FA$20-1)*$FA$19),0)+IF(CA140="同小队",$FA$19*$FA$24*$FA$46/3/(1+($FA$20-1)*$FA$19),0)+IF(CA140="同type",$FA$19*$FA$24*INDEX($FB$49:$FB$52,MATCH(X140,$FA$49:$FA$52,))/3/(1+($FA$20-1)*$FA$19),0)+IF(CA140="自身",$FA$19*#REF!/3/(1+(BH140-1)*$BD140),0)),0)</f>
        <v>0</v>
      </c>
      <c r="CE140" s="1097">
        <f t="shared" si="214"/>
        <v>0</v>
      </c>
      <c r="CF140" s="1112">
        <f t="shared" si="215"/>
        <v>0</v>
      </c>
      <c r="CG140" s="1100">
        <f t="shared" si="216"/>
        <v>0</v>
      </c>
      <c r="CH140" s="1110">
        <f t="shared" si="217"/>
        <v>0</v>
      </c>
      <c r="CI140" s="1113" t="s">
        <v>164</v>
      </c>
      <c r="CJ140" s="1114">
        <v>0.5</v>
      </c>
      <c r="CK140" s="1115" t="s">
        <v>155</v>
      </c>
      <c r="CL140" s="1115" t="s">
        <v>171</v>
      </c>
      <c r="CM140" s="1119">
        <v>0.1</v>
      </c>
      <c r="CN140" s="1115">
        <v>10</v>
      </c>
      <c r="CO140" s="1092"/>
      <c r="CP140" s="1118">
        <f t="shared" si="218"/>
        <v>7.1428571428571426E-3</v>
      </c>
      <c r="CQ140" s="1118">
        <f t="shared" si="219"/>
        <v>9.7222222222222224E-3</v>
      </c>
      <c r="CR140" s="1118">
        <f t="shared" si="220"/>
        <v>3.5714285714285718E-3</v>
      </c>
      <c r="CS140" s="1118">
        <f t="shared" si="221"/>
        <v>0</v>
      </c>
      <c r="CT140" s="1109">
        <f t="shared" si="222"/>
        <v>0</v>
      </c>
      <c r="CU140" s="1101">
        <f t="shared" si="223"/>
        <v>835.94413379517857</v>
      </c>
      <c r="CV140" s="1108">
        <f t="shared" si="224"/>
        <v>78.724184027178168</v>
      </c>
      <c r="CW140" s="1097">
        <f t="shared" si="225"/>
        <v>417.97206689758934</v>
      </c>
      <c r="CX140" s="1097">
        <f t="shared" si="226"/>
        <v>835.94413379517857</v>
      </c>
      <c r="CY140" s="1110">
        <f t="shared" si="227"/>
        <v>417.97206689758934</v>
      </c>
      <c r="CZ140" s="437"/>
      <c r="DA140" s="438"/>
      <c r="DB140" s="439" t="s">
        <v>569</v>
      </c>
      <c r="DC140" s="439"/>
      <c r="DD140" s="443"/>
      <c r="DE140" s="411"/>
      <c r="DF140" s="411"/>
      <c r="DG140" s="1116">
        <f t="shared" si="228"/>
        <v>0</v>
      </c>
      <c r="DH140" s="1116">
        <f t="shared" si="229"/>
        <v>0</v>
      </c>
      <c r="DI140" s="1116">
        <f t="shared" si="230"/>
        <v>0</v>
      </c>
      <c r="DJ140" s="442">
        <f t="shared" si="231"/>
        <v>0</v>
      </c>
      <c r="DK140" s="1109">
        <f t="shared" si="232"/>
        <v>0</v>
      </c>
      <c r="DL140" s="1101">
        <f t="shared" si="233"/>
        <v>0</v>
      </c>
      <c r="DM140" s="1097">
        <f t="shared" si="234"/>
        <v>0</v>
      </c>
      <c r="DN140" s="1097">
        <f t="shared" si="235"/>
        <v>0</v>
      </c>
      <c r="DO140" s="1097">
        <f t="shared" si="236"/>
        <v>0</v>
      </c>
      <c r="DP140" s="1110">
        <f t="shared" si="237"/>
        <v>0</v>
      </c>
      <c r="DQ140" s="1113" t="s">
        <v>159</v>
      </c>
      <c r="DR140" s="1120">
        <f t="shared" si="238"/>
        <v>0.33</v>
      </c>
      <c r="DS140" s="1124">
        <v>5</v>
      </c>
      <c r="DT140" s="1093" t="s">
        <v>169</v>
      </c>
      <c r="DU140" s="1093" t="s">
        <v>544</v>
      </c>
      <c r="DV140" s="1098">
        <f>IF($P140="","N/A",IF(P140=-1,INDEX('卡片raw data'!AN:AN,MATCH(D140,'卡片raw data'!$F:$F,)),0)+IF(AND(L140&lt;&gt;"party卡",P140&lt;=2,P140&gt;=0),INDEX('卡片raw data'!AP:AP,MATCH(D140,'卡片raw data'!$F:$F,)),0)+IF(OR(AND(L140="party卡",P140&lt;=1),AND(P140&lt;=4,L140&lt;&gt;"party卡",P140&gt;=3)),INDEX('卡片raw data'!AQ:AQ,MATCH(D140,'卡片raw data'!$F:$F,)),0)+IF(OR(P140=5,AND(L140="party卡",P140&gt;=2)),INDEX('卡片raw data'!AR:AR,MATCH(D140,'卡片raw data'!$F:$F,)),0))</f>
        <v>6.2E-2</v>
      </c>
      <c r="DW140" s="1098">
        <f t="shared" si="239"/>
        <v>0.33</v>
      </c>
      <c r="DX140" s="1098">
        <f t="shared" si="240"/>
        <v>0.33</v>
      </c>
      <c r="DY140" s="1098">
        <f t="shared" si="241"/>
        <v>1.8944444444444448E-2</v>
      </c>
      <c r="DZ140" s="1098">
        <f t="shared" si="242"/>
        <v>1.6386944444444447E-2</v>
      </c>
      <c r="EA140" s="1098">
        <f t="shared" si="243"/>
        <v>0</v>
      </c>
      <c r="EB140" s="1121">
        <f t="shared" si="244"/>
        <v>0</v>
      </c>
      <c r="EC140" s="1101">
        <f t="shared" si="245"/>
        <v>3220.1513646632397</v>
      </c>
      <c r="ED140" s="1097">
        <f t="shared" si="246"/>
        <v>129.10760186259378</v>
      </c>
      <c r="EE140" s="1110">
        <f t="shared" si="247"/>
        <v>3220.1513646632397</v>
      </c>
      <c r="EF140" s="1092" t="s">
        <v>711</v>
      </c>
      <c r="EG140" s="1120">
        <f t="shared" si="248"/>
        <v>0.33</v>
      </c>
      <c r="EH140" s="1124"/>
      <c r="EI140" s="1093"/>
      <c r="EJ140" s="1093"/>
      <c r="EK140" s="1097">
        <f>IF($P140="","N/A",IF(P140=-1,INDEX('卡片raw data'!AS:AS,MATCH(D140,'卡片raw data'!$F:$F,)),0)+IF(AND(L140&lt;&gt;"party卡",P140&lt;=2,P140&gt;=0),INDEX('卡片raw data'!AU:AU,MATCH(D140,'卡片raw data'!$F:$F,)),0)+IF(OR(AND(L140="party卡",P140&lt;=1),AND(P140&lt;=4,L140&lt;&gt;"party卡",P140&gt;=3)),INDEX('卡片raw data'!AV:AV,MATCH(D140,'卡片raw data'!$F:$F,)),0)+IF(OR(P140=5,AND(L140="party卡",P140&gt;=2)),INDEX('卡片raw data'!AW:AW,MATCH(D140,'卡片raw data'!$F:$F,)),0))</f>
        <v>0</v>
      </c>
      <c r="EL140" s="1098">
        <f t="shared" si="249"/>
        <v>0.33</v>
      </c>
      <c r="EM140" s="1098">
        <f t="shared" si="250"/>
        <v>0.33</v>
      </c>
      <c r="EN140" s="1125">
        <f t="shared" si="251"/>
        <v>0</v>
      </c>
      <c r="EO140" s="1125">
        <f t="shared" si="252"/>
        <v>0</v>
      </c>
      <c r="EP140" s="1098">
        <f t="shared" si="253"/>
        <v>0</v>
      </c>
      <c r="EQ140" s="1121">
        <f t="shared" si="254"/>
        <v>0</v>
      </c>
      <c r="ER140" s="1101">
        <f t="shared" si="255"/>
        <v>0</v>
      </c>
      <c r="ES140" s="1097">
        <f t="shared" si="256"/>
        <v>0</v>
      </c>
      <c r="ET140" s="1122">
        <f t="shared" si="257"/>
        <v>0</v>
      </c>
    </row>
    <row r="141" spans="2:150" ht="16.5" customHeight="1">
      <c r="B141" s="1123" t="str">
        <f>INDEX('卡片raw data'!B:B,MATCH($D141,'卡片raw data'!$F:$F,))</f>
        <v>一单南</v>
      </c>
      <c r="C141" s="449" t="s">
        <v>67</v>
      </c>
      <c r="D141" s="408">
        <v>138</v>
      </c>
      <c r="E141" s="1090">
        <v>301032001</v>
      </c>
      <c r="F141" s="1090" t="str">
        <f>INDEX('卡片raw data'!C:C,MATCH($D141,'卡片raw data'!$F:$F,))</f>
        <v>SR</v>
      </c>
      <c r="G141" s="1094" t="s">
        <v>290</v>
      </c>
      <c r="H141" s="411">
        <f>IFERROR(INDEX(绊状态确认!C:C,MATCH($G141,绊状态确认!$B:$B,)),"")</f>
        <v>103</v>
      </c>
      <c r="I141" s="450" t="str">
        <f>IFERROR(INDEX(绊状态确认!D:D,MATCH($G141,绊状态确认!$B:$B,)),"")</f>
        <v>水</v>
      </c>
      <c r="J141" s="450" t="str">
        <f>IFERROR(INDEX(绊状态确认!E:E,MATCH($G141,绊状态确认!$B:$B,)),"")</f>
        <v>3年级</v>
      </c>
      <c r="K141" s="451" t="str">
        <f>IFERROR(INDEX(绊状态确认!F:F,MATCH($G141,绊状态确认!$B:$B,)),"")</f>
        <v>AZALEA</v>
      </c>
      <c r="L141" s="1094" t="str">
        <f>INDEX('卡片raw data'!E:E,MATCH($D141,'卡片raw data'!$F:$F,))</f>
        <v>卡池卡</v>
      </c>
      <c r="M141" s="415">
        <v>43815</v>
      </c>
      <c r="N141" s="416">
        <v>5.5</v>
      </c>
      <c r="O141" s="1091" t="str">
        <f>INDEX('卡片raw data'!D:D,MATCH($D141,'卡片raw data'!$F:$F,))</f>
        <v>sk</v>
      </c>
      <c r="P141" s="417">
        <v>5</v>
      </c>
      <c r="Q141" s="1095">
        <f t="shared" si="173"/>
        <v>18899.950833142248</v>
      </c>
      <c r="R141" s="1096">
        <f t="shared" si="174"/>
        <v>0.219</v>
      </c>
      <c r="S141" s="1097">
        <f t="shared" si="175"/>
        <v>14738.534544398268</v>
      </c>
      <c r="T141" s="1098">
        <f t="shared" si="176"/>
        <v>0.73599999999999999</v>
      </c>
      <c r="U141" s="1099">
        <f t="shared" si="177"/>
        <v>371.85770711512941</v>
      </c>
      <c r="V141" s="1100">
        <f t="shared" si="178"/>
        <v>63732.520686464239</v>
      </c>
      <c r="W141" s="1101">
        <f t="shared" si="179"/>
        <v>4857.3918824844877</v>
      </c>
      <c r="X141" s="1096">
        <f t="shared" si="180"/>
        <v>5.6000000000000001E-2</v>
      </c>
      <c r="Y141" s="1097">
        <f t="shared" si="181"/>
        <v>953.94504190355929</v>
      </c>
      <c r="Z141" s="1102">
        <f t="shared" si="182"/>
        <v>12.011250539832858</v>
      </c>
      <c r="AA141" s="1103">
        <f t="shared" si="183"/>
        <v>5811.336924388047</v>
      </c>
      <c r="AB141" s="1101">
        <f t="shared" si="184"/>
        <v>4857.3918824844877</v>
      </c>
      <c r="AC141" s="1104">
        <f t="shared" si="185"/>
        <v>5.6000000000000001E-2</v>
      </c>
      <c r="AD141" s="1105">
        <f t="shared" si="186"/>
        <v>1.8994224431818179E-2</v>
      </c>
      <c r="AE141" s="1128">
        <f t="shared" si="187"/>
        <v>4.3537577047458456</v>
      </c>
      <c r="AF141" s="1130">
        <f t="shared" si="188"/>
        <v>4797.9527543372869</v>
      </c>
      <c r="AG141" s="420">
        <f t="shared" si="189"/>
        <v>105221.97449615601</v>
      </c>
      <c r="AH141" s="420">
        <f t="shared" si="190"/>
        <v>21.930598295499411</v>
      </c>
      <c r="AI141" s="1097">
        <f t="shared" si="191"/>
        <v>85638.410582265817</v>
      </c>
      <c r="AJ141" s="420">
        <f t="shared" si="192"/>
        <v>63732.520686464239</v>
      </c>
      <c r="AK141" s="518">
        <f t="shared" si="193"/>
        <v>21905.889895801578</v>
      </c>
      <c r="AL141" s="1106">
        <f>IF($P141="","N/A",(IF($P141=-1,INDEX('卡片raw data'!S:S,MATCH($D141,'卡片raw data'!$F:$F,)),0)+IF($P141=0,INDEX('卡片raw data'!V:V,MATCH($D141,'卡片raw data'!$F:$F,)),0)+IF($P141=1,INDEX('卡片raw data'!Y:Y,MATCH($D141,'卡片raw data'!$F:$F,)),0)+IF($P141=2,INDEX('卡片raw data'!AB:AB,MATCH($D141,'卡片raw data'!$F:$F,)),0)+IF($P141=3,INDEX('卡片raw data'!AE:AE,MATCH($D141,'卡片raw data'!$F:$F,)),0)+IF($P141=4,INDEX('卡片raw data'!AH:AH,MATCH($D141,'卡片raw data'!$F:$F,)),0)+IF($P141=5,INDEX('卡片raw data'!AK:AK,MATCH($D141,'卡片raw data'!$F:$F,)),0)+INDEX('卡片raw data'!S:S,MATCH($D141,'卡片raw data'!$F:$F,))*(IF($F141="UR",0.04,0.033))*(IF($F141="UR",INDEX(绊状态确认!$S:$S,MATCH($G141,绊状态确认!$B:$B,))/2-40)+IF($F141="SR",INDEX(绊状态确认!$R:$R,MATCH($G141,绊状态确认!$B:$B,))/4-15))+IF($F141="R",INDEX(绊状态确认!$Q:$Q,MATCH($G141,绊状态确认!$B:$B,))/6-40/6)))*(INDEX(绊状态确认!$H:$H,MATCH($G141,绊状态确认!$B:$B,))+INDEX(绊状态确认!J:J,MATCH($G141,绊状态确认!$B:$B,)))</f>
        <v>8086.0519271999983</v>
      </c>
      <c r="AM141" s="1106">
        <f>IF($P141="","N/A",(IF($P141=-1,INDEX('卡片raw data'!T:T,MATCH($D141,'卡片raw data'!$F:$F,)),0)+IF($P141=0,INDEX('卡片raw data'!W:W,MATCH($D141,'卡片raw data'!$F:$F,)),0)+IF($P141=1,INDEX('卡片raw data'!Z:Z,MATCH($D141,'卡片raw data'!$F:$F,)),0)+IF($P141=2,INDEX('卡片raw data'!AC:AC,MATCH($D141,'卡片raw data'!$F:$F,)),0)+IF($P141=3,INDEX('卡片raw data'!AF:AF,MATCH($D141,'卡片raw data'!$F:$F,)),0)+IF($P141=4,INDEX('卡片raw data'!AI:AI,MATCH($D141,'卡片raw data'!$F:$F,)),0)+IF($P141=5,INDEX('卡片raw data'!AL:AL,MATCH($D141,'卡片raw data'!$F:$F,)),0)+INDEX('卡片raw data'!T:T,MATCH($D141,'卡片raw data'!$F:$F,))*(IF($F141="UR",0.04,0.033))*(IF($F141="UR",INDEX(绊状态确认!$S:$S,MATCH($G141,绊状态确认!$B:$B,))/2-40)+IF($F141="SR",INDEX(绊状态确认!$R:$R,MATCH($G141,绊状态确认!$B:$B,))/4-15))+IF($F141="R",INDEX(绊状态确认!$Q:$Q,MATCH($G141,绊状态确认!$B:$B,))/6-40/6)))*(INDEX(绊状态确认!$H:$H,MATCH($G141,绊状态确认!$B:$B,))+INDEX(绊状态确认!K:K,MATCH($G141,绊状态确认!$B:$B,)))</f>
        <v>5391.4838855999997</v>
      </c>
      <c r="AN141" s="1106">
        <f>IF($P141="","N/A",(IF($P141=-1,INDEX('卡片raw data'!U:U,MATCH($D141,'卡片raw data'!$F:$F,)),0)+IF($P141=0,INDEX('卡片raw data'!X:X,MATCH($D141,'卡片raw data'!$F:$F,)),0)+IF($P141=1,INDEX('卡片raw data'!AA:AA,MATCH($D141,'卡片raw data'!$F:$F,)),0)+IF($P141=2,INDEX('卡片raw data'!AD:AD,MATCH($D141,'卡片raw data'!$F:$F,)),0)+IF($P141=3,INDEX('卡片raw data'!AG:AG,MATCH($D141,'卡片raw data'!$F:$F,)),0)+IF($P141=4,INDEX('卡片raw data'!AJ:AJ,MATCH($D141,'卡片raw data'!$F:$F,)),0)+IF($P141=5,INDEX('卡片raw data'!AM:AM,MATCH($D141,'卡片raw data'!$F:$F,)),0)+INDEX('卡片raw data'!U:U,MATCH($D141,'卡片raw data'!$F:$F,))*(IF($F141="UR",0.04,0.033))*(IF($F141="UR",INDEX(绊状态确认!$S:$S,MATCH($G141,绊状态确认!$B:$B,))/2-40)+IF($F141="SR",INDEX(绊状态确认!$R:$R,MATCH($G141,绊状态确认!$B:$B,))/4-15))+IF($F141="R",INDEX(绊状态确认!$Q:$Q,MATCH($G141,绊状态确认!$B:$B,))/6-40/6)))*(INDEX(绊状态确认!$H:$H,MATCH($G141,绊状态确认!$B:$B,))+INDEX(绊状态确认!L:L,MATCH($G141,绊状态确认!$B:$B,)))</f>
        <v>5777.255320799999</v>
      </c>
      <c r="AO141" s="1107">
        <f t="shared" si="194"/>
        <v>1</v>
      </c>
      <c r="AP141" s="1131">
        <f>1+(INDEX(绊状态确认!$T:$T,MATCH($G141,绊状态确认!$B:$B,))+0.2)*$AO141</f>
        <v>1.3</v>
      </c>
      <c r="AQ141" s="1108">
        <f t="shared" si="195"/>
        <v>24475.886308899993</v>
      </c>
      <c r="AR141" s="1097">
        <f>(AM141*(1+$EX$9)+$EX$35)*(1+(INDEX(绊状态确认!$T:$T,MATCH($G141,绊状态确认!$B:$B,))+0.2)*AO141)*IF(J141=$FF$17,1+$FE$17,1)*IF(I141=$FF$14,1+$FE$14,1)</f>
        <v>10063.375503844001</v>
      </c>
      <c r="AS141" s="1097">
        <f>(AN141*(1+$EX$10)+$EX$36)*(1+(INDEX(绊状态确认!$T:$T,MATCH($G141,绊状态确认!$B:$B,))+0.2)*AO141)*IF(J141=$FF$17,1+$FE$17,1)*IF(I141=$FF$14,1+$FE$14,1)</f>
        <v>12692.996704595998</v>
      </c>
      <c r="AT141" s="1093">
        <f>IF(AND(INDEX('卡片raw data'!AK:AK,MATCH($D141,'卡片raw data'!$F:$F,))&lt;INDEX('卡片raw data'!AM:AM,MATCH($D141,'卡片raw data'!$F:$F,)),INDEX('卡片raw data'!AL:AL,MATCH($D141,'卡片raw data'!$F:$F,))&lt;INDEX('卡片raw data'!AM:AM,MATCH($D141,'卡片raw data'!$F:$F,))),1,0)</f>
        <v>0</v>
      </c>
      <c r="AU141" s="1098">
        <f>MIN(AT141*0.15+AS141*0.00003+INDEX(绊状态确认!M:M,MATCH($G141,绊状态确认!$B:$B,)),1)</f>
        <v>0.41078990113788</v>
      </c>
      <c r="AV141" s="1109">
        <f>(INDEX(绊状态确认!$N:$N,MATCH($G141,绊状态确认!$B:$B,))+1.5)*$EW$21</f>
        <v>2.6599999999999997</v>
      </c>
      <c r="AW141" s="1101">
        <f t="shared" si="196"/>
        <v>21379.56491896103</v>
      </c>
      <c r="AX141" s="1097">
        <f t="shared" si="197"/>
        <v>858.01332444741945</v>
      </c>
      <c r="AY141" s="1110">
        <f t="shared" si="198"/>
        <v>22237.57824340845</v>
      </c>
      <c r="AZ141" s="429">
        <f t="shared" si="199"/>
        <v>18367.801258039995</v>
      </c>
      <c r="BA141" s="431">
        <f t="shared" si="200"/>
        <v>22041.361509647995</v>
      </c>
      <c r="BB141" s="1097">
        <f>(AM141*(1+$FB$9)+$FB$35)*(1+(INDEX(绊状态确认!$T:$T,MATCH($G141,绊状态确认!$B:$B,))+0.2)*AO141)*IF(J141=$FF$17,1+$FE$17,1)*IF(I141=$FF$14,1+$FE$14,1)*(1+$FE$15)</f>
        <v>10063.375503844001</v>
      </c>
      <c r="BC141" s="1097">
        <f>(AN141*(1+$FB$10)+$FB$36)*(1+(INDEX(绊状态确认!$T:$T,MATCH($G141,绊状态确认!$B:$B,))+0.2)*AO141)*IF(J141=$FF$17,1+$FE$17,1)*IF(I141=$FF$14,1+$FE$14,1)*(1+$FE$15)</f>
        <v>12692.996704595998</v>
      </c>
      <c r="BD141" s="1104">
        <f>MIN(AT141*0.15+BC141*0.00003+INDEX(绊状态确认!M:M,MATCH($G141,绊状态确认!$B:$B,)),1)</f>
        <v>0.41078990113788</v>
      </c>
      <c r="BE141" s="432">
        <f>(INDEX(绊状态确认!$N:$N,MATCH($G141,绊状态确认!$B:$B,))+1.5)</f>
        <v>1.9</v>
      </c>
      <c r="BF141" s="1139">
        <f t="array" ref="BF141">SUMPRODUCT(IF(AZ141*AP141*$FI$16:$FI$23*$FA$22&gt;=$FI$24,$FI$24,AZ141*AP141*$FI$16:$FI$23*$FA$22),$FJ$16:$FJ$23)</f>
        <v>36533.556702241549</v>
      </c>
      <c r="BG141" s="1125">
        <f t="array" ref="BG141">SUMPRODUCT(IF(BE141*AZ141*AP141*$FI$16:$FI$23*$FA$22&gt;=$FI$24,$FI$24,BE141*AZ141*AP141*$FI$16:$FI$23*$FA$22),$FJ$16:$FJ$23)</f>
        <v>59342.117276839694</v>
      </c>
      <c r="BH141" s="1110">
        <f t="shared" si="201"/>
        <v>15301.027681926023</v>
      </c>
      <c r="BI141" s="1111">
        <f>IF(O141="vo",$EW$26/$EW$24*0.05,0)+IF(O141="sk",-$EW$26/$EW$24*(0.05-INDEX(绊状态确认!W:W,MATCH($G141,绊状态确认!$B:$B,)))+0.05*$EW$28,0)+IF(O141="sp",0.05*$EW$32*$EW$30*(1-$EW$33)-(0.05-INDEX(绊状态确认!V:V,MATCH($G141,绊状态确认!$B:$B,)))*$EW$28,0)+IF(O141="gd",-(0.05-INDEX(绊状态确认!X:X,MATCH($G141,绊状态确认!$B:$B,)))*$EW$32*$EW$30*(1-$EW$33),0)</f>
        <v>-6253.6726349699375</v>
      </c>
      <c r="BJ141" s="1097">
        <f>IF(O141="vo",0.05*(1-$FI$26)*$FA$24,0)+IF(O141="sk",-(0.05-INDEX(绊状态确认!W:W,MATCH($G141,绊状态确认!$B:$B,)))*(1-$FI$26)*$FA$24+0.05*$FA$26,0)+IF(O141="sp",0.05*$FA$32*$FA$27*(1-$FA$33)/$FA$30+0.05*$FA$29/$FA$69*$FA$27*(1-$FA$33)-(0.05-INDEX(绊状态确认!V:V,MATCH($G141,绊状态确认!$B:$B,)))*$FA$26,0)+IF(O141="gd",-(0.05-INDEX(绊状态确认!X:X,MATCH($G141,绊状态确认!$B:$B,)))*$FA$32*$FA$27*(1-$FA$33)/$FA$30-(0.05-INDEX(绊状态确认!X:X,MATCH($G141,绊状态确认!$B:$B,)))*$FA$29/$FA$69*$FA$27*(1-$FA$33),0)</f>
        <v>20.459096812499922</v>
      </c>
      <c r="BK141" s="1110">
        <f>IF(O141="vo",$EW$26/$EW$24*0.05+$EW$26*(-HP($EW$62,$EW$65,$EW$64)+HP($EW$62,$EW$65,(1.05-INDEX(绊状态确认!U:U,MATCH($G141,绊状态确认!$B:$B,)))*$EW$64)),0)+IF(O141="sk",-$EW$26/$EW$24*(0.05-INDEX(绊状态确认!W:W,MATCH($G141,绊状态确认!$B:$B,)))+0.05*$EW$29,0)+IF(O141="sp",0.05*$EW$32*$EW$30*(1-$EW$33)-(0.05-INDEX(绊状态确认!V:V,MATCH($G141,绊状态确认!$B:$B,)))*$EW$29,0)+IF(O141="gd",-(0.05-INDEX(绊状态确认!X:X,MATCH($G141,绊状态确认!$B:$B,)))*$EW$32*$EW$30*(1-$EW$33)+$EW$26*(-HP($EW$62,$EW$65,$EW$64)+HP($EW$62,$EW$65,0.95*$EW$64)),0)</f>
        <v>-4253.6726349699375</v>
      </c>
      <c r="BL141" s="1111">
        <f t="shared" si="202"/>
        <v>-1083.3333333333333</v>
      </c>
      <c r="BM141" s="1110">
        <f t="shared" si="203"/>
        <v>-830.55555555555543</v>
      </c>
      <c r="BN141" s="1113">
        <f t="shared" si="204"/>
        <v>3</v>
      </c>
      <c r="BO141" s="1097">
        <f t="shared" si="205"/>
        <v>4507.7214871259994</v>
      </c>
      <c r="BP141" s="1100">
        <f t="shared" si="206"/>
        <v>221.34103209030098</v>
      </c>
      <c r="BQ141" s="1113" t="s">
        <v>624</v>
      </c>
      <c r="BR141" s="1124" t="s">
        <v>557</v>
      </c>
      <c r="BS141" s="1098">
        <f>IF($P141="","N/A",IF($P141=-1,INDEX('卡片raw data'!AX:AX,MATCH($D141,'卡片raw data'!$F:$F,)),0)+IF($L141="party卡",IF($P141=5,INDEX('卡片raw data'!BD:BD,MATCH($D141,'卡片raw data'!$F:$F,)),IF($P141&gt;=3,INDEX('卡片raw data'!BC:BC,MATCH($D141,'卡片raw data'!$F:$F,)),INDEX('卡片raw data'!BB:BB,MATCH($D141,'卡片raw data'!$F:$F,)))),IF(OR(AND($F141="UR",$P141=0),AND($F141="SR",$P141&gt;=0,$P141&lt;=2),AND($F141="R",$P141&gt;=0,$P141&lt;4)),INDEX('卡片raw data'!AZ:AZ,MATCH($D141,'卡片raw data'!$F:$F,)),0)+IF(OR(AND($F141="UR",$P141&gt;=1,$P141&lt;=4),AND($F141="SR",$P141&lt;=4,$P141&gt;=3),AND($F141="R",$P141=4)),INDEX('卡片raw data'!BA:BA,MATCH($D141,'卡片raw data'!$F:$F,)),0)+IF($P141=5,INDEX('卡片raw data'!BB:BB,MATCH($D141,'卡片raw data'!$F:$F,)),0)))</f>
        <v>4.2000000000000003E-2</v>
      </c>
      <c r="BT141" s="1101">
        <f t="shared" si="207"/>
        <v>0</v>
      </c>
      <c r="BU141" s="1097">
        <f t="shared" si="208"/>
        <v>0</v>
      </c>
      <c r="BV141" s="1097">
        <f t="shared" si="209"/>
        <v>0</v>
      </c>
      <c r="BW141" s="1112">
        <f t="shared" si="210"/>
        <v>1.2290624999999993</v>
      </c>
      <c r="BX141" s="1100">
        <f t="shared" si="211"/>
        <v>95.931717456140362</v>
      </c>
      <c r="BY141" s="1110">
        <f t="shared" si="212"/>
        <v>95.931717456140362</v>
      </c>
      <c r="BZ141" s="1107" t="s">
        <v>569</v>
      </c>
      <c r="CA141" s="1124"/>
      <c r="CB141" s="1098">
        <f>IF($P141="","N/A",IF($P141=-1,INDEX('卡片raw data'!BE:BE,MATCH($D141,'卡片raw data'!$F:$F,)),0)+IF($L141="party卡",IF($P141=5,INDEX('卡片raw data'!BK:BK,MATCH($D141,'卡片raw data'!$F:$F,)),IF($P141&gt;=3,INDEX('卡片raw data'!BJ:BJ,MATCH($D141,'卡片raw data'!$F:$F,)),INDEX('卡片raw data'!BI:BI,MATCH($D141,'卡片raw data'!$F:$F,)))),IF(OR(AND($F141="UR",$P141=0),AND($F141="SR",$P141&gt;=0,$P141&lt;=2),AND($F141="R",$P141&gt;=0,$P141&lt;4)),INDEX('卡片raw data'!BG:BG,MATCH($D141,'卡片raw data'!$F:$F,)),0)+IF(OR(AND($F141="UR",$P141&gt;=1,$P141&lt;=4),AND($F141="SR",$P141&lt;=4,$P141&gt;=3),AND($F141="R",$P141=4)),INDEX('卡片raw data'!BH:BH,MATCH($D141,'卡片raw data'!$F:$F,)),0)+IF($P141=5,INDEX('卡片raw data'!BI:BI,MATCH($D141,'卡片raw data'!$F:$F,)),0)))</f>
        <v>0</v>
      </c>
      <c r="CC141" s="1101">
        <f t="shared" si="213"/>
        <v>0</v>
      </c>
      <c r="CD141" s="1097">
        <f>IF(BZ141="ap",CB141*(1-$FI$26)*$FB$5/$FB$11*(+IF(CA141="全员",$FA$24,0)+IF(CA141="同作战",$FA$24,0)+IF(CA141="仲间",$FA$24*2/3,0)+IF(CA141="同属性",$FA$24*$FA$37/3,0)+IF(CA141="同年级",$FA$24*$FA$40/3,0)+IF(CA141="同学校",$FA$24*$FA$43/3,0)+IF(CA141="同小队",$FA$24*$FA$46/3,0)+IF(CA141="同type",$FA$24*INDEX($FB$49:$FB$52,MATCH(X141,$FA$49:$FA$52,))/3,0)+IF(CA141="自身",#REF!/3,0)),0)+IF(BZ141="te",CB141*(1-$FI$27)*($FA$20-1)*$FB$7/$FB$13*(+IF(CA141="全员",$FA$19*$FA$24/(1+($FA$20-1)*$FA$19),0)+IF(CA141="同作战",$FA$19*$FA$24/(1+($FA$20-1)*$FA$19),0)+IF(CA141="仲间",$FA$19*$FA$24*2/3/(1+($FA$20-1)*$FA$19),0)+IF(CA141="同属性",$FA$19*$FA$24*$FA$37/3/(1+($FA$20-1)*$FA$19),0)+IF(CA141="同年级",$FA$19*$FA$24*$FA$40/3/(1+($FA$20-1)*$FA$19),0)+IF(CA141="同学校",$FA$19*$FA$24*$FA$43/3/(1+($FA$20-1)*$FA$19),0)+IF(CA141="同小队",$FA$19*$FA$24*$FA$46/3/(1+($FA$20-1)*$FA$19),0)+IF(CA141="同type",$FA$19*$FA$24*INDEX($FB$49:$FB$52,MATCH(X141,$FA$49:$FA$52,))/3/(1+($FA$20-1)*$FA$19),0)+IF(CA141="自身",$FA$19*#REF!/3/(1+(BH141-1)*$BD141),0)),0)</f>
        <v>0</v>
      </c>
      <c r="CE141" s="1097">
        <f t="shared" si="214"/>
        <v>0</v>
      </c>
      <c r="CF141" s="1112">
        <f t="shared" si="215"/>
        <v>0</v>
      </c>
      <c r="CG141" s="1100">
        <f t="shared" si="216"/>
        <v>0</v>
      </c>
      <c r="CH141" s="1110">
        <f t="shared" si="217"/>
        <v>0</v>
      </c>
      <c r="CI141" s="1113" t="s">
        <v>162</v>
      </c>
      <c r="CJ141" s="1114">
        <v>0.3</v>
      </c>
      <c r="CK141" s="1115" t="s">
        <v>566</v>
      </c>
      <c r="CL141" s="1115" t="s">
        <v>161</v>
      </c>
      <c r="CM141" s="1119">
        <v>0.04</v>
      </c>
      <c r="CN141" s="1115">
        <v>10</v>
      </c>
      <c r="CO141" s="1092"/>
      <c r="CP141" s="1118">
        <f t="shared" si="218"/>
        <v>2.5714285714285713E-3</v>
      </c>
      <c r="CQ141" s="1118">
        <f t="shared" si="219"/>
        <v>4.0000000000000001E-3</v>
      </c>
      <c r="CR141" s="1118">
        <f t="shared" si="220"/>
        <v>2.5714285714285713E-3</v>
      </c>
      <c r="CS141" s="1118">
        <f t="shared" si="221"/>
        <v>0</v>
      </c>
      <c r="CT141" s="1109">
        <f t="shared" si="222"/>
        <v>0</v>
      </c>
      <c r="CU141" s="1101">
        <f t="shared" si="223"/>
        <v>349.67039535848824</v>
      </c>
      <c r="CV141" s="1108">
        <f t="shared" si="224"/>
        <v>26.262289125000006</v>
      </c>
      <c r="CW141" s="1097">
        <f t="shared" si="225"/>
        <v>349.67039535848824</v>
      </c>
      <c r="CX141" s="1097">
        <f t="shared" si="226"/>
        <v>349.67039535848824</v>
      </c>
      <c r="CY141" s="1110">
        <f t="shared" si="227"/>
        <v>349.67039535848824</v>
      </c>
      <c r="CZ141" s="437"/>
      <c r="DA141" s="438"/>
      <c r="DB141" s="439" t="s">
        <v>569</v>
      </c>
      <c r="DC141" s="439"/>
      <c r="DD141" s="443"/>
      <c r="DE141" s="411"/>
      <c r="DF141" s="411"/>
      <c r="DG141" s="1116">
        <f t="shared" si="228"/>
        <v>0</v>
      </c>
      <c r="DH141" s="1116">
        <f t="shared" si="229"/>
        <v>0</v>
      </c>
      <c r="DI141" s="1116">
        <f t="shared" si="230"/>
        <v>0</v>
      </c>
      <c r="DJ141" s="442">
        <f t="shared" si="231"/>
        <v>0</v>
      </c>
      <c r="DK141" s="1109">
        <f t="shared" si="232"/>
        <v>0</v>
      </c>
      <c r="DL141" s="1101">
        <f t="shared" si="233"/>
        <v>0</v>
      </c>
      <c r="DM141" s="1097">
        <f t="shared" si="234"/>
        <v>0</v>
      </c>
      <c r="DN141" s="1097">
        <f t="shared" si="235"/>
        <v>0</v>
      </c>
      <c r="DO141" s="1097">
        <f t="shared" si="236"/>
        <v>0</v>
      </c>
      <c r="DP141" s="1110">
        <f t="shared" si="237"/>
        <v>0</v>
      </c>
      <c r="DQ141" s="1113" t="s">
        <v>636</v>
      </c>
      <c r="DR141" s="1120">
        <f t="shared" si="238"/>
        <v>0.3</v>
      </c>
      <c r="DS141" s="1124"/>
      <c r="DT141" s="1093" t="s">
        <v>558</v>
      </c>
      <c r="DU141" s="1093"/>
      <c r="DV141" s="1098">
        <f>IF($P141="","N/A",IF(P141=-1,INDEX('卡片raw data'!AN:AN,MATCH(D141,'卡片raw data'!$F:$F,)),0)+IF(AND(L141&lt;&gt;"party卡",P141&lt;=2,P141&gt;=0),INDEX('卡片raw data'!AP:AP,MATCH(D141,'卡片raw data'!$F:$F,)),0)+IF(OR(AND(L141="party卡",P141&lt;=1),AND(P141&lt;=4,L141&lt;&gt;"party卡",P141&gt;=3)),INDEX('卡片raw data'!AQ:AQ,MATCH(D141,'卡片raw data'!$F:$F,)),0)+IF(OR(P141=5,AND(L141="party卡",P141&gt;=2)),INDEX('卡片raw data'!AR:AR,MATCH(D141,'卡片raw data'!$F:$F,)),0))</f>
        <v>0.27</v>
      </c>
      <c r="DW141" s="1098">
        <f t="shared" si="239"/>
        <v>0.3</v>
      </c>
      <c r="DX141" s="1098">
        <f t="shared" si="240"/>
        <v>0.3</v>
      </c>
      <c r="DY141" s="1125">
        <f t="shared" si="241"/>
        <v>342.71091102409196</v>
      </c>
      <c r="DZ141" s="1125">
        <f t="shared" si="242"/>
        <v>296.44493803583953</v>
      </c>
      <c r="EA141" s="1098">
        <f t="shared" si="243"/>
        <v>0</v>
      </c>
      <c r="EB141" s="1121">
        <f t="shared" si="244"/>
        <v>0</v>
      </c>
      <c r="EC141" s="1101">
        <f t="shared" si="245"/>
        <v>0</v>
      </c>
      <c r="ED141" s="1097">
        <f t="shared" si="246"/>
        <v>0</v>
      </c>
      <c r="EE141" s="1110">
        <f t="shared" si="247"/>
        <v>41878.624811418435</v>
      </c>
      <c r="EF141" s="1092" t="s">
        <v>711</v>
      </c>
      <c r="EG141" s="1120">
        <f t="shared" si="248"/>
        <v>0.3</v>
      </c>
      <c r="EH141" s="1124"/>
      <c r="EI141" s="1093"/>
      <c r="EJ141" s="1093"/>
      <c r="EK141" s="1097">
        <f>IF($P141="","N/A",IF(P141=-1,INDEX('卡片raw data'!AS:AS,MATCH(D141,'卡片raw data'!$F:$F,)),0)+IF(AND(L141&lt;&gt;"party卡",P141&lt;=2,P141&gt;=0),INDEX('卡片raw data'!AU:AU,MATCH(D141,'卡片raw data'!$F:$F,)),0)+IF(OR(AND(L141="party卡",P141&lt;=1),AND(P141&lt;=4,L141&lt;&gt;"party卡",P141&gt;=3)),INDEX('卡片raw data'!AV:AV,MATCH(D141,'卡片raw data'!$F:$F,)),0)+IF(OR(P141=5,AND(L141="party卡",P141&gt;=2)),INDEX('卡片raw data'!AW:AW,MATCH(D141,'卡片raw data'!$F:$F,)),0))</f>
        <v>0</v>
      </c>
      <c r="EL141" s="1098">
        <f t="shared" si="249"/>
        <v>0.3</v>
      </c>
      <c r="EM141" s="1098">
        <f t="shared" si="250"/>
        <v>0.3</v>
      </c>
      <c r="EN141" s="1125">
        <f t="shared" si="251"/>
        <v>0</v>
      </c>
      <c r="EO141" s="1125">
        <f t="shared" si="252"/>
        <v>0</v>
      </c>
      <c r="EP141" s="1098">
        <f t="shared" si="253"/>
        <v>0</v>
      </c>
      <c r="EQ141" s="1121">
        <f t="shared" si="254"/>
        <v>0</v>
      </c>
      <c r="ER141" s="1101">
        <f t="shared" si="255"/>
        <v>0</v>
      </c>
      <c r="ES141" s="1097">
        <f t="shared" si="256"/>
        <v>0</v>
      </c>
      <c r="ET141" s="1122">
        <f t="shared" si="257"/>
        <v>0</v>
      </c>
    </row>
    <row r="142" spans="2:150" ht="16.5" customHeight="1">
      <c r="B142" s="1123" t="str">
        <f>INDEX('卡片raw data'!B:B,MATCH($D142,'卡片raw data'!$F:$F,))</f>
        <v>火车妮</v>
      </c>
      <c r="C142" s="449" t="s">
        <v>67</v>
      </c>
      <c r="D142" s="408">
        <v>139</v>
      </c>
      <c r="E142" s="1090">
        <v>300093001</v>
      </c>
      <c r="F142" s="1090" t="str">
        <f>INDEX('卡片raw data'!C:C,MATCH($D142,'卡片raw data'!$F:$F,))</f>
        <v>UR</v>
      </c>
      <c r="G142" s="1094" t="s">
        <v>32</v>
      </c>
      <c r="H142" s="411">
        <f>IFERROR(INDEX(绊状态确认!C:C,MATCH($G142,绊状态确认!$B:$B,)),"")</f>
        <v>9</v>
      </c>
      <c r="I142" s="450" t="str">
        <f>IFERROR(INDEX(绊状态确认!D:D,MATCH($G142,绊状态确认!$B:$B,)),"")</f>
        <v>缪</v>
      </c>
      <c r="J142" s="450" t="str">
        <f>IFERROR(INDEX(绊状态确认!E:E,MATCH($G142,绊状态确认!$B:$B,)),"")</f>
        <v>3年级</v>
      </c>
      <c r="K142" s="451" t="str">
        <f>IFERROR(INDEX(绊状态确认!F:F,MATCH($G142,绊状态确认!$B:$B,)),"")</f>
        <v>BiBi</v>
      </c>
      <c r="L142" s="1094" t="str">
        <f>INDEX('卡片raw data'!E:E,MATCH($D142,'卡片raw data'!$F:$F,))</f>
        <v>卡池卡</v>
      </c>
      <c r="M142" s="415">
        <v>43822</v>
      </c>
      <c r="N142" s="416">
        <v>6</v>
      </c>
      <c r="O142" s="1091" t="str">
        <f>INDEX('卡片raw data'!D:D,MATCH($D142,'卡片raw data'!$F:$F,))</f>
        <v>sk</v>
      </c>
      <c r="P142" s="417">
        <v>5</v>
      </c>
      <c r="Q142" s="1095">
        <f t="shared" si="173"/>
        <v>42940.206708118618</v>
      </c>
      <c r="R142" s="1096">
        <f t="shared" si="174"/>
        <v>0.499</v>
      </c>
      <c r="S142" s="1097">
        <f t="shared" si="175"/>
        <v>22288.641338352347</v>
      </c>
      <c r="T142" s="1098">
        <f t="shared" si="176"/>
        <v>1.1140000000000001</v>
      </c>
      <c r="U142" s="1099">
        <f t="shared" si="177"/>
        <v>15.721683911142856</v>
      </c>
      <c r="V142" s="1100">
        <f t="shared" si="178"/>
        <v>46204.050583954042</v>
      </c>
      <c r="W142" s="1101">
        <f t="shared" si="179"/>
        <v>5946.3157753260348</v>
      </c>
      <c r="X142" s="1096">
        <f t="shared" si="180"/>
        <v>6.9000000000000006E-2</v>
      </c>
      <c r="Y142" s="1097">
        <f t="shared" si="181"/>
        <v>1263.8438758354205</v>
      </c>
      <c r="Z142" s="1102">
        <f t="shared" si="182"/>
        <v>15.721683911142856</v>
      </c>
      <c r="AA142" s="1103">
        <f t="shared" si="183"/>
        <v>7210.1596511614553</v>
      </c>
      <c r="AB142" s="1101">
        <f t="shared" si="184"/>
        <v>7384.910063526072</v>
      </c>
      <c r="AC142" s="1104">
        <f t="shared" si="185"/>
        <v>8.5000000000000006E-2</v>
      </c>
      <c r="AD142" s="1105">
        <f t="shared" si="186"/>
        <v>2.710785984848485E-2</v>
      </c>
      <c r="AE142" s="1128">
        <f t="shared" si="187"/>
        <v>84.113148345264747</v>
      </c>
      <c r="AF142" s="1130">
        <f t="shared" si="188"/>
        <v>0</v>
      </c>
      <c r="AG142" s="420">
        <f t="shared" si="189"/>
        <v>0</v>
      </c>
      <c r="AH142" s="420">
        <f t="shared" si="190"/>
        <v>0</v>
      </c>
      <c r="AI142" s="1097">
        <f t="shared" si="191"/>
        <v>0</v>
      </c>
      <c r="AJ142" s="420">
        <f t="shared" si="192"/>
        <v>0</v>
      </c>
      <c r="AK142" s="518">
        <f t="shared" si="193"/>
        <v>0</v>
      </c>
      <c r="AL142" s="1106">
        <f>IF($P142="","N/A",(IF($P142=-1,INDEX('卡片raw data'!S:S,MATCH($D142,'卡片raw data'!$F:$F,)),0)+IF($P142=0,INDEX('卡片raw data'!V:V,MATCH($D142,'卡片raw data'!$F:$F,)),0)+IF($P142=1,INDEX('卡片raw data'!Y:Y,MATCH($D142,'卡片raw data'!$F:$F,)),0)+IF($P142=2,INDEX('卡片raw data'!AB:AB,MATCH($D142,'卡片raw data'!$F:$F,)),0)+IF($P142=3,INDEX('卡片raw data'!AE:AE,MATCH($D142,'卡片raw data'!$F:$F,)),0)+IF($P142=4,INDEX('卡片raw data'!AH:AH,MATCH($D142,'卡片raw data'!$F:$F,)),0)+IF($P142=5,INDEX('卡片raw data'!AK:AK,MATCH($D142,'卡片raw data'!$F:$F,)),0)+INDEX('卡片raw data'!S:S,MATCH($D142,'卡片raw data'!$F:$F,))*(IF($F142="UR",0.04,0.033))*(IF($F142="UR",INDEX(绊状态确认!$S:$S,MATCH($G142,绊状态确认!$B:$B,))/2-40)+IF($F142="SR",INDEX(绊状态确认!$R:$R,MATCH($G142,绊状态确认!$B:$B,))/4-15))+IF($F142="R",INDEX(绊状态确认!$Q:$Q,MATCH($G142,绊状态确认!$B:$B,))/6-40/6)))*(INDEX(绊状态确认!$H:$H,MATCH($G142,绊状态确认!$B:$B,))+INDEX(绊状态确认!J:J,MATCH($G142,绊状态确认!$B:$B,)))</f>
        <v>10021.457039999999</v>
      </c>
      <c r="AM142" s="1106">
        <f>IF($P142="","N/A",(IF($P142=-1,INDEX('卡片raw data'!T:T,MATCH($D142,'卡片raw data'!$F:$F,)),0)+IF($P142=0,INDEX('卡片raw data'!W:W,MATCH($D142,'卡片raw data'!$F:$F,)),0)+IF($P142=1,INDEX('卡片raw data'!Z:Z,MATCH($D142,'卡片raw data'!$F:$F,)),0)+IF($P142=2,INDEX('卡片raw data'!AC:AC,MATCH($D142,'卡片raw data'!$F:$F,)),0)+IF($P142=3,INDEX('卡片raw data'!AF:AF,MATCH($D142,'卡片raw data'!$F:$F,)),0)+IF($P142=4,INDEX('卡片raw data'!AI:AI,MATCH($D142,'卡片raw data'!$F:$F,)),0)+IF($P142=5,INDEX('卡片raw data'!AL:AL,MATCH($D142,'卡片raw data'!$F:$F,)),0)+INDEX('卡片raw data'!T:T,MATCH($D142,'卡片raw data'!$F:$F,))*(IF($F142="UR",0.04,0.033))*(IF($F142="UR",INDEX(绊状态确认!$S:$S,MATCH($G142,绊状态确认!$B:$B,))/2-40)+IF($F142="SR",INDEX(绊状态确认!$R:$R,MATCH($G142,绊状态确认!$B:$B,))/4-15))+IF($F142="R",INDEX(绊状态确认!$Q:$Q,MATCH($G142,绊状态确认!$B:$B,))/6-40/6)))*(INDEX(绊状态确认!$H:$H,MATCH($G142,绊状态确认!$B:$B,))+INDEX(绊状态确认!K:K,MATCH($G142,绊状态确认!$B:$B,)))</f>
        <v>8768.9169599999987</v>
      </c>
      <c r="AN142" s="1106">
        <f>IF($P142="","N/A",(IF($P142=-1,INDEX('卡片raw data'!U:U,MATCH($D142,'卡片raw data'!$F:$F,)),0)+IF($P142=0,INDEX('卡片raw data'!X:X,MATCH($D142,'卡片raw data'!$F:$F,)),0)+IF($P142=1,INDEX('卡片raw data'!AA:AA,MATCH($D142,'卡片raw data'!$F:$F,)),0)+IF($P142=2,INDEX('卡片raw data'!AD:AD,MATCH($D142,'卡片raw data'!$F:$F,)),0)+IF($P142=3,INDEX('卡片raw data'!AG:AG,MATCH($D142,'卡片raw data'!$F:$F,)),0)+IF($P142=4,INDEX('卡片raw data'!AJ:AJ,MATCH($D142,'卡片raw data'!$F:$F,)),0)+IF($P142=5,INDEX('卡片raw data'!AM:AM,MATCH($D142,'卡片raw data'!$F:$F,)),0)+INDEX('卡片raw data'!U:U,MATCH($D142,'卡片raw data'!$F:$F,))*(IF($F142="UR",0.04,0.033))*(IF($F142="UR",INDEX(绊状态确认!$S:$S,MATCH($G142,绊状态确认!$B:$B,))/2-40)+IF($F142="SR",INDEX(绊状态确认!$R:$R,MATCH($G142,绊状态确认!$B:$B,))/4-15))+IF($F142="R",INDEX(绊状态确认!$Q:$Q,MATCH($G142,绊状态确认!$B:$B,))/6-40/6)))*(INDEX(绊状态确认!$H:$H,MATCH($G142,绊状态确认!$B:$B,))+INDEX(绊状态确认!L:L,MATCH($G142,绊状态确认!$B:$B,)))</f>
        <v>12527.673599999998</v>
      </c>
      <c r="AO142" s="1107">
        <f t="shared" si="194"/>
        <v>1</v>
      </c>
      <c r="AP142" s="1131">
        <f>1+(INDEX(绊状态确认!$T:$T,MATCH($G142,绊状态确认!$B:$B,))+0.2)*$AO142</f>
        <v>1.3</v>
      </c>
      <c r="AQ142" s="1108">
        <f t="shared" si="195"/>
        <v>29556.32473</v>
      </c>
      <c r="AR142" s="1097">
        <f>(AM142*(1+$EX$9)+$EX$35)*(1+(INDEX(绊状态确认!$T:$T,MATCH($G142,绊状态确认!$B:$B,))+0.2)*AO142)*IF(J142=$FF$17,1+$FE$17,1)*IF(I142=$FF$14,1+$FE$14,1)*(1+$FE$15)</f>
        <v>14673.571650400001</v>
      </c>
      <c r="AS142" s="1097">
        <f>(AN142*(1+$EX$10)+$EX$36)*(1+(INDEX(绊状态确认!$T:$T,MATCH($G142,绊状态确认!$B:$B,))+0.2)*AO142)*IF(J142=$FF$17,1+$FE$17,1)*IF(I142=$FF$14,1+$FE$14,1)*(1+$FE$15)</f>
        <v>22784.872031999999</v>
      </c>
      <c r="AT142" s="1093">
        <f>IF(AND(INDEX('卡片raw data'!AK:AK,MATCH($D142,'卡片raw data'!$F:$F,))&lt;INDEX('卡片raw data'!AM:AM,MATCH($D142,'卡片raw data'!$F:$F,)),INDEX('卡片raw data'!AL:AL,MATCH($D142,'卡片raw data'!$F:$F,))&lt;INDEX('卡片raw data'!AM:AM,MATCH($D142,'卡片raw data'!$F:$F,))),1,0)</f>
        <v>1</v>
      </c>
      <c r="AU142" s="1098">
        <f>MIN(AT142*0.15+AS142*0.00003+INDEX(绊状态确认!M:M,MATCH($G142,绊状态确认!$B:$B,)),1)</f>
        <v>0.86354616096000003</v>
      </c>
      <c r="AV142" s="1109">
        <f>(INDEX(绊状态确认!$N:$N,MATCH($G142,绊状态确认!$B:$B,))+1.5)*$EW$21</f>
        <v>2.6599999999999997</v>
      </c>
      <c r="AW142" s="1101">
        <f t="shared" si="196"/>
        <v>37353.969279562487</v>
      </c>
      <c r="AX142" s="1097">
        <f t="shared" si="197"/>
        <v>1263.8438758354209</v>
      </c>
      <c r="AY142" s="1110">
        <f t="shared" si="198"/>
        <v>38617.813155397911</v>
      </c>
      <c r="AZ142" s="429">
        <f t="shared" si="199"/>
        <v>22141.841227999997</v>
      </c>
      <c r="BA142" s="431">
        <f t="shared" si="200"/>
        <v>26570.209473599996</v>
      </c>
      <c r="BB142" s="1097">
        <f>(AM142*(1+$FB$9)+$FB$35)*(1+(INDEX(绊状态确认!$T:$T,MATCH($G142,绊状态确认!$B:$B,))+0.2)*AO142)*IF(J142=$FF$17,1+$FE$17,1)*IF(I142=$FF$14,1+$FE$14,1)*(1+$FE$15)</f>
        <v>14673.571650400001</v>
      </c>
      <c r="BC142" s="1097">
        <f>(AN142*(1+$FB$10)+$FB$36)*(1+(INDEX(绊状态确认!$T:$T,MATCH($G142,绊状态确认!$B:$B,))+0.2)*AO142)*IF(J142=$FF$17,1+$FE$17,1)*IF(I142=$FF$14,1+$FE$14,1)*(1+$FE$15)</f>
        <v>22784.872031999999</v>
      </c>
      <c r="BD142" s="1104">
        <f>MIN(AT142*0.15+BC142*0.00003+INDEX(绊状态确认!M:M,MATCH($G142,绊状态确认!$B:$B,)),1)</f>
        <v>0.86354616096000003</v>
      </c>
      <c r="BE142" s="432">
        <f>(INDEX(绊状态确认!$N:$N,MATCH($G142,绊状态确认!$B:$B,))+1.5)</f>
        <v>1.9</v>
      </c>
      <c r="BF142" s="1139">
        <f t="array" ref="BF142">SUMPRODUCT(IF(AZ142*AP142*$FI$16:$FI$23*$FA$22&gt;=$FI$24,$FI$24,AZ142*AP142*$FI$16:$FI$23*$FA$22),$FJ$16:$FJ$23)</f>
        <v>44040.122202491999</v>
      </c>
      <c r="BG142" s="1125">
        <f t="array" ref="BG142">SUMPRODUCT(IF(BE142*AZ142*AP142*$FI$16:$FI$23*$FA$22&gt;=$FI$24,$FI$24,BE142*AZ142*AP142*$FI$16:$FI$23*$FA$22),$FJ$16:$FJ$23)</f>
        <v>60000</v>
      </c>
      <c r="BH142" s="1110">
        <f t="shared" si="201"/>
        <v>19274.071134640257</v>
      </c>
      <c r="BI142" s="1111">
        <f>IF(O142="vo",$EW$26/$EW$24*0.05,0)+IF(O142="sk",-$EW$26/$EW$24*(0.05-INDEX(绊状态确认!W:W,MATCH($G142,绊状态确认!$B:$B,)))+0.05*$EW$28,0)+IF(O142="sp",0.05*$EW$32*$EW$30*(1-$EW$33)-(0.05-INDEX(绊状态确认!V:V,MATCH($G142,绊状态确认!$B:$B,)))*$EW$28,0)+IF(O142="gd",-(0.05-INDEX(绊状态确认!X:X,MATCH($G142,绊状态确认!$B:$B,)))*$EW$32*$EW$30*(1-$EW$33),0)</f>
        <v>-6253.6726349699375</v>
      </c>
      <c r="BJ142" s="1097">
        <f>IF(O142="vo",0.05*(1-$FI$26)*$FA$24,0)+IF(O142="sk",-(0.05-INDEX(绊状态确认!W:W,MATCH($G142,绊状态确认!$B:$B,)))*(1-$FI$26)*$FA$24+0.05*$FA$26,0)+IF(O142="sp",0.05*$FA$32*$FA$27*(1-$FA$33)/$FA$30+0.05*$FA$29/$FA$69*$FA$27*(1-$FA$33)-(0.05-INDEX(绊状态确认!V:V,MATCH($G142,绊状态确认!$B:$B,)))*$FA$26,0)+IF(O142="gd",-(0.05-INDEX(绊状态确认!X:X,MATCH($G142,绊状态确认!$B:$B,)))*$FA$32*$FA$27*(1-$FA$33)/$FA$30-(0.05-INDEX(绊状态确认!X:X,MATCH($G142,绊状态确认!$B:$B,)))*$FA$29/$FA$69*$FA$27*(1-$FA$33),0)</f>
        <v>20.459096812499922</v>
      </c>
      <c r="BK142" s="1110">
        <f>IF(O142="vo",$EW$26/$EW$24*0.05+$EW$26*(-HP($EW$62,$EW$65,$EW$64)+HP($EW$62,$EW$65,(1.05-INDEX(绊状态确认!U:U,MATCH($G142,绊状态确认!$B:$B,)))*$EW$64)),0)+IF(O142="sk",-$EW$26/$EW$24*(0.05-INDEX(绊状态确认!W:W,MATCH($G142,绊状态确认!$B:$B,)))+0.05*$EW$29,0)+IF(O142="sp",0.05*$EW$32*$EW$30*(1-$EW$33)-(0.05-INDEX(绊状态确认!V:V,MATCH($G142,绊状态确认!$B:$B,)))*$EW$29,0)+IF(O142="gd",-(0.05-INDEX(绊状态确认!X:X,MATCH($G142,绊状态确认!$B:$B,)))*$EW$32*$EW$30*(1-$EW$33)+$EW$26*(-HP($EW$62,$EW$65,$EW$64)+HP($EW$62,$EW$65,0.95*$EW$64)),0)</f>
        <v>-4253.6726349699375</v>
      </c>
      <c r="BL142" s="1111">
        <f t="shared" si="202"/>
        <v>0</v>
      </c>
      <c r="BM142" s="1110">
        <f t="shared" si="203"/>
        <v>0</v>
      </c>
      <c r="BN142" s="1113">
        <f t="shared" si="204"/>
        <v>3</v>
      </c>
      <c r="BO142" s="1097">
        <f t="shared" si="205"/>
        <v>4507.7214871259994</v>
      </c>
      <c r="BP142" s="1100">
        <f t="shared" si="206"/>
        <v>221.34103209030098</v>
      </c>
      <c r="BQ142" s="1113" t="s">
        <v>143</v>
      </c>
      <c r="BR142" s="1124" t="s">
        <v>148</v>
      </c>
      <c r="BS142" s="1098">
        <f>IF($P142="","N/A",IF($P142=-1,INDEX('卡片raw data'!AX:AX,MATCH($D142,'卡片raw data'!$F:$F,)),0)+IF($L142="party卡",IF($P142=5,INDEX('卡片raw data'!BD:BD,MATCH($D142,'卡片raw data'!$F:$F,)),IF($P142&gt;=3,INDEX('卡片raw data'!BC:BC,MATCH($D142,'卡片raw data'!$F:$F,)),INDEX('卡片raw data'!BB:BB,MATCH($D142,'卡片raw data'!$F:$F,)))),IF(OR(AND($F142="UR",$P142=0),AND($F142="SR",$P142&gt;=0,$P142&lt;=2),AND($F142="R",$P142&gt;=0,$P142&lt;4)),INDEX('卡片raw data'!AZ:AZ,MATCH($D142,'卡片raw data'!$F:$F,)),0)+IF(OR(AND($F142="UR",$P142&gt;=1,$P142&lt;=4),AND($F142="SR",$P142&lt;=4,$P142&gt;=3),AND($F142="R",$P142=4)),INDEX('卡片raw data'!BA:BA,MATCH($D142,'卡片raw data'!$F:$F,)),0)+IF($P142=5,INDEX('卡片raw data'!BB:BB,MATCH($D142,'卡片raw data'!$F:$F,)),0)))</f>
        <v>5.1999999999999998E-2</v>
      </c>
      <c r="BT142" s="1101">
        <f t="shared" si="207"/>
        <v>2604.4613036728001</v>
      </c>
      <c r="BU142" s="1097">
        <f t="shared" si="208"/>
        <v>111.90018844565216</v>
      </c>
      <c r="BV142" s="1097">
        <f t="shared" si="209"/>
        <v>1302.2306518363998</v>
      </c>
      <c r="BW142" s="1112">
        <f t="shared" si="210"/>
        <v>0</v>
      </c>
      <c r="BX142" s="1100">
        <f t="shared" si="211"/>
        <v>2604.4613036728001</v>
      </c>
      <c r="BY142" s="1110">
        <f t="shared" si="212"/>
        <v>1302.2306518363998</v>
      </c>
      <c r="BZ142" s="1107" t="s">
        <v>569</v>
      </c>
      <c r="CA142" s="1124"/>
      <c r="CB142" s="1098">
        <f>IF($P142="","N/A",IF($P142=-1,INDEX('卡片raw data'!BE:BE,MATCH($D142,'卡片raw data'!$F:$F,)),0)+IF($L142="party卡",IF($P142=5,INDEX('卡片raw data'!BK:BK,MATCH($D142,'卡片raw data'!$F:$F,)),IF($P142&gt;=3,INDEX('卡片raw data'!BJ:BJ,MATCH($D142,'卡片raw data'!$F:$F,)),INDEX('卡片raw data'!BI:BI,MATCH($D142,'卡片raw data'!$F:$F,)))),IF(OR(AND($F142="UR",$P142=0),AND($F142="SR",$P142&gt;=0,$P142&lt;=2),AND($F142="R",$P142&gt;=0,$P142&lt;4)),INDEX('卡片raw data'!BG:BG,MATCH($D142,'卡片raw data'!$F:$F,)),0)+IF(OR(AND($F142="UR",$P142&gt;=1,$P142&lt;=4),AND($F142="SR",$P142&lt;=4,$P142&gt;=3),AND($F142="R",$P142=4)),INDEX('卡片raw data'!BH:BH,MATCH($D142,'卡片raw data'!$F:$F,)),0)+IF($P142=5,INDEX('卡片raw data'!BI:BI,MATCH($D142,'卡片raw data'!$F:$F,)),0)))</f>
        <v>0</v>
      </c>
      <c r="CC142" s="1101">
        <f t="shared" si="213"/>
        <v>0</v>
      </c>
      <c r="CD142" s="1097">
        <f>IF(BZ142="ap",CB142*(1-$FI$26)*$FB$5/$FB$11*(+IF(CA142="全员",$FA$24,0)+IF(CA142="同作战",$FA$24,0)+IF(CA142="仲间",$FA$24*2/3,0)+IF(CA142="同属性",$FA$24*$FA$37/3,0)+IF(CA142="同年级",$FA$24*$FA$40/3,0)+IF(CA142="同学校",$FA$24*$FA$43/3,0)+IF(CA142="同小队",$FA$24*$FA$46/3,0)+IF(CA142="同type",$FA$24*INDEX($FB$49:$FB$52,MATCH(X142,$FA$49:$FA$52,))/3,0)+IF(CA142="自身",#REF!/3,0)),0)+IF(BZ142="te",CB142*(1-$FI$27)*($FA$20-1)*$FB$7/$FB$13*(+IF(CA142="全员",$FA$19*$FA$24/(1+($FA$20-1)*$FA$19),0)+IF(CA142="同作战",$FA$19*$FA$24/(1+($FA$20-1)*$FA$19),0)+IF(CA142="仲间",$FA$19*$FA$24*2/3/(1+($FA$20-1)*$FA$19),0)+IF(CA142="同属性",$FA$19*$FA$24*$FA$37/3/(1+($FA$20-1)*$FA$19),0)+IF(CA142="同年级",$FA$19*$FA$24*$FA$40/3/(1+($FA$20-1)*$FA$19),0)+IF(CA142="同学校",$FA$19*$FA$24*$FA$43/3/(1+($FA$20-1)*$FA$19),0)+IF(CA142="同小队",$FA$19*$FA$24*$FA$46/3/(1+($FA$20-1)*$FA$19),0)+IF(CA142="同type",$FA$19*$FA$24*INDEX($FB$49:$FB$52,MATCH(X142,$FA$49:$FA$52,))/3/(1+($FA$20-1)*$FA$19),0)+IF(CA142="自身",$FA$19*#REF!/3/(1+(BH142-1)*$BD142),0)),0)</f>
        <v>0</v>
      </c>
      <c r="CE142" s="1097">
        <f t="shared" si="214"/>
        <v>0</v>
      </c>
      <c r="CF142" s="1112">
        <f t="shared" si="215"/>
        <v>0</v>
      </c>
      <c r="CG142" s="1100">
        <f t="shared" si="216"/>
        <v>0</v>
      </c>
      <c r="CH142" s="1110">
        <f t="shared" si="217"/>
        <v>0</v>
      </c>
      <c r="CI142" s="1113" t="s">
        <v>162</v>
      </c>
      <c r="CJ142" s="1114">
        <v>0.3</v>
      </c>
      <c r="CK142" s="1115" t="s">
        <v>154</v>
      </c>
      <c r="CL142" s="1115" t="s">
        <v>171</v>
      </c>
      <c r="CM142" s="1119">
        <v>0.15</v>
      </c>
      <c r="CN142" s="1115">
        <v>10</v>
      </c>
      <c r="CO142" s="1092"/>
      <c r="CP142" s="1118">
        <f t="shared" si="218"/>
        <v>6.4285714285714276E-3</v>
      </c>
      <c r="CQ142" s="1118">
        <f t="shared" si="219"/>
        <v>8.7499999999999991E-3</v>
      </c>
      <c r="CR142" s="1118">
        <f t="shared" si="220"/>
        <v>3.2142857142857138E-3</v>
      </c>
      <c r="CS142" s="1118">
        <f t="shared" si="221"/>
        <v>5.3385416666666659E-3</v>
      </c>
      <c r="CT142" s="1109">
        <f t="shared" si="222"/>
        <v>0</v>
      </c>
      <c r="CU142" s="1101">
        <f t="shared" si="223"/>
        <v>272.72727272727269</v>
      </c>
      <c r="CV142" s="1108">
        <f t="shared" si="224"/>
        <v>198.86363636363635</v>
      </c>
      <c r="CW142" s="1097">
        <f t="shared" si="225"/>
        <v>136.36363636363635</v>
      </c>
      <c r="CX142" s="1097">
        <f t="shared" si="226"/>
        <v>272.72727272727269</v>
      </c>
      <c r="CY142" s="1110">
        <f t="shared" si="227"/>
        <v>136.36363636363635</v>
      </c>
      <c r="CZ142" s="437"/>
      <c r="DA142" s="438"/>
      <c r="DB142" s="439" t="s">
        <v>569</v>
      </c>
      <c r="DC142" s="439"/>
      <c r="DD142" s="443"/>
      <c r="DE142" s="411"/>
      <c r="DF142" s="411"/>
      <c r="DG142" s="1116">
        <f t="shared" si="228"/>
        <v>0</v>
      </c>
      <c r="DH142" s="1116">
        <f t="shared" si="229"/>
        <v>0</v>
      </c>
      <c r="DI142" s="1116">
        <f t="shared" si="230"/>
        <v>0</v>
      </c>
      <c r="DJ142" s="442">
        <f t="shared" si="231"/>
        <v>0</v>
      </c>
      <c r="DK142" s="1109">
        <f t="shared" si="232"/>
        <v>0</v>
      </c>
      <c r="DL142" s="1101">
        <f t="shared" si="233"/>
        <v>0</v>
      </c>
      <c r="DM142" s="1097">
        <f t="shared" si="234"/>
        <v>0</v>
      </c>
      <c r="DN142" s="1097">
        <f t="shared" si="235"/>
        <v>0</v>
      </c>
      <c r="DO142" s="1097">
        <f t="shared" si="236"/>
        <v>0</v>
      </c>
      <c r="DP142" s="1110">
        <f t="shared" si="237"/>
        <v>0</v>
      </c>
      <c r="DQ142" s="1113" t="s">
        <v>156</v>
      </c>
      <c r="DR142" s="1120">
        <f t="shared" si="238"/>
        <v>0.33</v>
      </c>
      <c r="DS142" s="1124"/>
      <c r="DT142" s="1093" t="s">
        <v>179</v>
      </c>
      <c r="DU142" s="1093"/>
      <c r="DV142" s="1098">
        <f>IF($P142="","N/A",IF(P142=-1,INDEX('卡片raw data'!AN:AN,MATCH(D142,'卡片raw data'!$F:$F,)),0)+IF(AND(L142&lt;&gt;"party卡",P142&lt;=2,P142&gt;=0),INDEX('卡片raw data'!AP:AP,MATCH(D142,'卡片raw data'!$F:$F,)),0)+IF(OR(AND(L142="party卡",P142&lt;=1),AND(P142&lt;=4,L142&lt;&gt;"party卡",P142&gt;=3)),INDEX('卡片raw data'!AQ:AQ,MATCH(D142,'卡片raw data'!$F:$F,)),0)+IF(OR(P142=5,AND(L142="party卡",P142&gt;=2)),INDEX('卡片raw data'!AR:AR,MATCH(D142,'卡片raw data'!$F:$F,)),0))</f>
        <v>0.09</v>
      </c>
      <c r="DW142" s="1098">
        <f t="shared" si="239"/>
        <v>0.33</v>
      </c>
      <c r="DX142" s="1098">
        <f t="shared" si="240"/>
        <v>0.33</v>
      </c>
      <c r="DY142" s="1098">
        <f t="shared" si="241"/>
        <v>9.9000000000000008E-3</v>
      </c>
      <c r="DZ142" s="1098">
        <f t="shared" si="242"/>
        <v>9.8480249999999998E-3</v>
      </c>
      <c r="EA142" s="1098">
        <f t="shared" si="243"/>
        <v>0</v>
      </c>
      <c r="EB142" s="1121">
        <f t="shared" si="244"/>
        <v>69.562349999999995</v>
      </c>
      <c r="EC142" s="1101">
        <f t="shared" si="245"/>
        <v>4455</v>
      </c>
      <c r="ED142" s="1097">
        <f t="shared" si="246"/>
        <v>2462.0062499999999</v>
      </c>
      <c r="EE142" s="1110">
        <f t="shared" si="247"/>
        <v>4455</v>
      </c>
      <c r="EF142" s="1092" t="s">
        <v>711</v>
      </c>
      <c r="EG142" s="1120">
        <f t="shared" si="248"/>
        <v>0.33</v>
      </c>
      <c r="EH142" s="1124"/>
      <c r="EI142" s="1093"/>
      <c r="EJ142" s="1093"/>
      <c r="EK142" s="1097">
        <f>IF($P142="","N/A",IF(P142=-1,INDEX('卡片raw data'!AS:AS,MATCH(D142,'卡片raw data'!$F:$F,)),0)+IF(AND(L142&lt;&gt;"party卡",P142&lt;=2,P142&gt;=0),INDEX('卡片raw data'!AU:AU,MATCH(D142,'卡片raw data'!$F:$F,)),0)+IF(OR(AND(L142="party卡",P142&lt;=1),AND(P142&lt;=4,L142&lt;&gt;"party卡",P142&gt;=3)),INDEX('卡片raw data'!AV:AV,MATCH(D142,'卡片raw data'!$F:$F,)),0)+IF(OR(P142=5,AND(L142="party卡",P142&gt;=2)),INDEX('卡片raw data'!AW:AW,MATCH(D142,'卡片raw data'!$F:$F,)),0))</f>
        <v>0</v>
      </c>
      <c r="EL142" s="1098">
        <f t="shared" si="249"/>
        <v>0.33</v>
      </c>
      <c r="EM142" s="1098">
        <f t="shared" si="250"/>
        <v>0.33</v>
      </c>
      <c r="EN142" s="1125">
        <f t="shared" si="251"/>
        <v>0</v>
      </c>
      <c r="EO142" s="1125">
        <f t="shared" si="252"/>
        <v>0</v>
      </c>
      <c r="EP142" s="1098">
        <f t="shared" si="253"/>
        <v>0</v>
      </c>
      <c r="EQ142" s="1121">
        <f t="shared" si="254"/>
        <v>0</v>
      </c>
      <c r="ER142" s="1101">
        <f t="shared" si="255"/>
        <v>0</v>
      </c>
      <c r="ES142" s="1097">
        <f t="shared" si="256"/>
        <v>0</v>
      </c>
      <c r="ET142" s="1122">
        <f t="shared" si="257"/>
        <v>0</v>
      </c>
    </row>
    <row r="143" spans="2:150" ht="16.5" customHeight="1">
      <c r="B143" s="1123" t="str">
        <f>INDEX('卡片raw data'!B:B,MATCH($D143,'卡片raw data'!$F:$F,))</f>
        <v>一单黛</v>
      </c>
      <c r="C143" s="449" t="s">
        <v>22</v>
      </c>
      <c r="D143" s="408">
        <v>140</v>
      </c>
      <c r="E143" s="1090">
        <v>301042001</v>
      </c>
      <c r="F143" s="1090" t="str">
        <f>INDEX('卡片raw data'!C:C,MATCH($D143,'卡片raw data'!$F:$F,))</f>
        <v>SR</v>
      </c>
      <c r="G143" s="1094" t="s">
        <v>341</v>
      </c>
      <c r="H143" s="411">
        <f>IFERROR(INDEX(绊状态确认!C:C,MATCH($G143,绊状态确认!$B:$B,)),"")</f>
        <v>104</v>
      </c>
      <c r="I143" s="450" t="str">
        <f>IFERROR(INDEX(绊状态确认!D:D,MATCH($G143,绊状态确认!$B:$B,)),"")</f>
        <v>水</v>
      </c>
      <c r="J143" s="450" t="str">
        <f>IFERROR(INDEX(绊状态确认!E:E,MATCH($G143,绊状态确认!$B:$B,)),"")</f>
        <v>3年级</v>
      </c>
      <c r="K143" s="451" t="str">
        <f>IFERROR(INDEX(绊状态确认!F:F,MATCH($G143,绊状态确认!$B:$B,)),"")</f>
        <v>AZALEA</v>
      </c>
      <c r="L143" s="1094" t="str">
        <f>INDEX('卡片raw data'!E:E,MATCH($D143,'卡片raw data'!$F:$F,))</f>
        <v>卡池卡</v>
      </c>
      <c r="M143" s="415">
        <v>43822</v>
      </c>
      <c r="N143" s="416">
        <v>6</v>
      </c>
      <c r="O143" s="1091" t="str">
        <f>INDEX('卡片raw data'!D:D,MATCH($D143,'卡片raw data'!$F:$F,))</f>
        <v>vo</v>
      </c>
      <c r="P143" s="417">
        <v>5</v>
      </c>
      <c r="Q143" s="1095">
        <f t="shared" si="173"/>
        <v>39815.914942182237</v>
      </c>
      <c r="R143" s="1096">
        <f t="shared" si="174"/>
        <v>0.46200000000000002</v>
      </c>
      <c r="S143" s="1097">
        <f t="shared" si="175"/>
        <v>16280.60128051498</v>
      </c>
      <c r="T143" s="1098">
        <f t="shared" si="176"/>
        <v>0.81399999999999995</v>
      </c>
      <c r="U143" s="1099">
        <f t="shared" si="177"/>
        <v>-16.469479210077147</v>
      </c>
      <c r="V143" s="1100">
        <f t="shared" si="178"/>
        <v>39186.968998595126</v>
      </c>
      <c r="W143" s="1101">
        <f t="shared" si="179"/>
        <v>5270.4391977003625</v>
      </c>
      <c r="X143" s="1096">
        <f t="shared" si="180"/>
        <v>6.0999999999999999E-2</v>
      </c>
      <c r="Y143" s="1097">
        <f t="shared" si="181"/>
        <v>675.72250665458796</v>
      </c>
      <c r="Z143" s="1102">
        <f t="shared" si="182"/>
        <v>8.5305207899228552</v>
      </c>
      <c r="AA143" s="1103">
        <f t="shared" si="183"/>
        <v>5946.1617043549504</v>
      </c>
      <c r="AB143" s="1101">
        <f t="shared" si="184"/>
        <v>6033.1569082747264</v>
      </c>
      <c r="AC143" s="1104">
        <f t="shared" si="185"/>
        <v>7.0000000000000007E-2</v>
      </c>
      <c r="AD143" s="1105">
        <f t="shared" si="186"/>
        <v>-3.8207812500000026E-3</v>
      </c>
      <c r="AE143" s="1128">
        <f t="shared" si="187"/>
        <v>-12.27536231884058</v>
      </c>
      <c r="AF143" s="1130">
        <f t="shared" si="188"/>
        <v>0</v>
      </c>
      <c r="AG143" s="420">
        <f t="shared" si="189"/>
        <v>0</v>
      </c>
      <c r="AH143" s="420">
        <f t="shared" si="190"/>
        <v>0</v>
      </c>
      <c r="AI143" s="1097">
        <f t="shared" si="191"/>
        <v>0</v>
      </c>
      <c r="AJ143" s="420">
        <f t="shared" si="192"/>
        <v>0</v>
      </c>
      <c r="AK143" s="518">
        <f t="shared" si="193"/>
        <v>0</v>
      </c>
      <c r="AL143" s="1106">
        <f>IF($P143="","N/A",(IF($P143=-1,INDEX('卡片raw data'!S:S,MATCH($D143,'卡片raw data'!$F:$F,)),0)+IF($P143=0,INDEX('卡片raw data'!V:V,MATCH($D143,'卡片raw data'!$F:$F,)),0)+IF($P143=1,INDEX('卡片raw data'!Y:Y,MATCH($D143,'卡片raw data'!$F:$F,)),0)+IF($P143=2,INDEX('卡片raw data'!AB:AB,MATCH($D143,'卡片raw data'!$F:$F,)),0)+IF($P143=3,INDEX('卡片raw data'!AE:AE,MATCH($D143,'卡片raw data'!$F:$F,)),0)+IF($P143=4,INDEX('卡片raw data'!AH:AH,MATCH($D143,'卡片raw data'!$F:$F,)),0)+IF($P143=5,INDEX('卡片raw data'!AK:AK,MATCH($D143,'卡片raw data'!$F:$F,)),0)+INDEX('卡片raw data'!S:S,MATCH($D143,'卡片raw data'!$F:$F,))*(IF($F143="UR",0.04,0.033))*(IF($F143="UR",INDEX(绊状态确认!$S:$S,MATCH($G143,绊状态确认!$B:$B,))/2-40)+IF($F143="SR",INDEX(绊状态确认!$R:$R,MATCH($G143,绊状态确认!$B:$B,))/4-15))+IF($F143="R",INDEX(绊状态确认!$Q:$Q,MATCH($G143,绊状态确认!$B:$B,))/6-40/6)))*(INDEX(绊状态确认!$H:$H,MATCH($G143,绊状态确认!$B:$B,))+INDEX(绊状态确认!J:J,MATCH($G143,绊状态确认!$B:$B,)))</f>
        <v>9051.0487151999987</v>
      </c>
      <c r="AM143" s="1106">
        <f>IF($P143="","N/A",(IF($P143=-1,INDEX('卡片raw data'!T:T,MATCH($D143,'卡片raw data'!$F:$F,)),0)+IF($P143=0,INDEX('卡片raw data'!W:W,MATCH($D143,'卡片raw data'!$F:$F,)),0)+IF($P143=1,INDEX('卡片raw data'!Z:Z,MATCH($D143,'卡片raw data'!$F:$F,)),0)+IF($P143=2,INDEX('卡片raw data'!AC:AC,MATCH($D143,'卡片raw data'!$F:$F,)),0)+IF($P143=3,INDEX('卡片raw data'!AF:AF,MATCH($D143,'卡片raw data'!$F:$F,)),0)+IF($P143=4,INDEX('卡片raw data'!AI:AI,MATCH($D143,'卡片raw data'!$F:$F,)),0)+IF($P143=5,INDEX('卡片raw data'!AL:AL,MATCH($D143,'卡片raw data'!$F:$F,)),0)+INDEX('卡片raw data'!T:T,MATCH($D143,'卡片raw data'!$F:$F,))*(IF($F143="UR",0.04,0.033))*(IF($F143="UR",INDEX(绊状态确认!$S:$S,MATCH($G143,绊状态确认!$B:$B,))/2-40)+IF($F143="SR",INDEX(绊状态确认!$R:$R,MATCH($G143,绊状态确认!$B:$B,))/4-15))+IF($F143="R",INDEX(绊状态确认!$Q:$Q,MATCH($G143,绊状态确认!$B:$B,))/6-40/6)))*(INDEX(绊状态确认!$H:$H,MATCH($G143,绊状态确认!$B:$B,))+INDEX(绊状态确认!K:K,MATCH($G143,绊状态确认!$B:$B,)))</f>
        <v>3851.8823471999995</v>
      </c>
      <c r="AN143" s="1106">
        <f>IF($P143="","N/A",(IF($P143=-1,INDEX('卡片raw data'!U:U,MATCH($D143,'卡片raw data'!$F:$F,)),0)+IF($P143=0,INDEX('卡片raw data'!X:X,MATCH($D143,'卡片raw data'!$F:$F,)),0)+IF($P143=1,INDEX('卡片raw data'!AA:AA,MATCH($D143,'卡片raw data'!$F:$F,)),0)+IF($P143=2,INDEX('卡片raw data'!AD:AD,MATCH($D143,'卡片raw data'!$F:$F,)),0)+IF($P143=3,INDEX('卡片raw data'!AG:AG,MATCH($D143,'卡片raw data'!$F:$F,)),0)+IF($P143=4,INDEX('卡片raw data'!AJ:AJ,MATCH($D143,'卡片raw data'!$F:$F,)),0)+IF($P143=5,INDEX('卡片raw data'!AM:AM,MATCH($D143,'卡片raw data'!$F:$F,)),0)+INDEX('卡片raw data'!U:U,MATCH($D143,'卡片raw data'!$F:$F,))*(IF($F143="UR",0.04,0.033))*(IF($F143="UR",INDEX(绊状态确认!$S:$S,MATCH($G143,绊状态确认!$B:$B,))/2-40)+IF($F143="SR",INDEX(绊状态确认!$R:$R,MATCH($G143,绊状态确认!$B:$B,))/4-15))+IF($F143="R",INDEX(绊状态确认!$Q:$Q,MATCH($G143,绊状态确认!$B:$B,))/6-40/6)))*(INDEX(绊状态确认!$H:$H,MATCH($G143,绊状态确认!$B:$B,))+INDEX(绊状态确认!L:L,MATCH($G143,绊状态确认!$B:$B,)))</f>
        <v>6352.9964711999992</v>
      </c>
      <c r="AO143" s="1107">
        <f t="shared" si="194"/>
        <v>1</v>
      </c>
      <c r="AP143" s="1131">
        <f>1+(INDEX(绊状态确认!$T:$T,MATCH($G143,绊状态确认!$B:$B,))+0.2)*$AO143</f>
        <v>1.3</v>
      </c>
      <c r="AQ143" s="1108">
        <f t="shared" si="195"/>
        <v>27009.002877399998</v>
      </c>
      <c r="AR143" s="1097">
        <f>(AM143*(1+$EX$9)+$EX$35)*(1+(INDEX(绊状态确认!$T:$T,MATCH($G143,绊状态确认!$B:$B,))+0.2)*AO143)*IF(J143=$FF$17,1+$FE$17,1)*IF(I143=$FF$14,1+$FE$14,1)</f>
        <v>7961.8194039279988</v>
      </c>
      <c r="AS143" s="1097">
        <f>(AN143*(1+$EX$10)+$EX$36)*(1+(INDEX(绊状态确认!$T:$T,MATCH($G143,绊状态确认!$B:$B,))+0.2)*AO143)*IF(J143=$FF$17,1+$FE$17,1)*IF(I143=$FF$14,1+$FE$14,1)</f>
        <v>13553.729724444</v>
      </c>
      <c r="AT143" s="1093">
        <f>IF(AND(INDEX('卡片raw data'!AK:AK,MATCH($D143,'卡片raw data'!$F:$F,))&lt;INDEX('卡片raw data'!AM:AM,MATCH($D143,'卡片raw data'!$F:$F,)),INDEX('卡片raw data'!AL:AL,MATCH($D143,'卡片raw data'!$F:$F,))&lt;INDEX('卡片raw data'!AM:AM,MATCH($D143,'卡片raw data'!$F:$F,))),1,0)</f>
        <v>0</v>
      </c>
      <c r="AU143" s="1098">
        <f>MIN(AT143*0.15+AS143*0.00003+INDEX(绊状态确认!M:M,MATCH($G143,绊状态确认!$B:$B,)),1)</f>
        <v>0.43661189173332005</v>
      </c>
      <c r="AV143" s="1109">
        <f>(INDEX(绊状态确认!$N:$N,MATCH($G143,绊状态确认!$B:$B,))+1.5)*$EW$21</f>
        <v>2.6599999999999997</v>
      </c>
      <c r="AW143" s="1101">
        <f t="shared" si="196"/>
        <v>24193.491589716614</v>
      </c>
      <c r="AX143" s="1097">
        <f t="shared" si="197"/>
        <v>675.72250665458751</v>
      </c>
      <c r="AY143" s="1110">
        <f t="shared" si="198"/>
        <v>24869.214096371201</v>
      </c>
      <c r="AZ143" s="429">
        <f t="shared" si="199"/>
        <v>20249.544994639997</v>
      </c>
      <c r="BA143" s="431">
        <f t="shared" si="200"/>
        <v>24299.453993567997</v>
      </c>
      <c r="BB143" s="1097">
        <f>(AM143*(1+$FB$9)+$FB$35)*(1+(INDEX(绊状态确认!$T:$T,MATCH($G143,绊状态确认!$B:$B,))+0.2)*AO143)*IF(J143=$FF$17,1+$FE$17,1)*IF(I143=$FF$14,1+$FE$14,1)*(1+$FE$15)</f>
        <v>7961.8194039279988</v>
      </c>
      <c r="BC143" s="1097">
        <f>(AN143*(1+$FB$10)+$FB$36)*(1+(INDEX(绊状态确认!$T:$T,MATCH($G143,绊状态确认!$B:$B,))+0.2)*AO143)*IF(J143=$FF$17,1+$FE$17,1)*IF(I143=$FF$14,1+$FE$14,1)*(1+$FE$15)</f>
        <v>13553.729724444</v>
      </c>
      <c r="BD143" s="1104">
        <f>MIN(AT143*0.15+BC143*0.00003+INDEX(绊状态确认!M:M,MATCH($G143,绊状态确认!$B:$B,)),1)</f>
        <v>0.43661189173332005</v>
      </c>
      <c r="BE143" s="432">
        <f>(INDEX(绊状态确认!$N:$N,MATCH($G143,绊状态确认!$B:$B,))+1.5)</f>
        <v>1.9</v>
      </c>
      <c r="BF143" s="1139">
        <f t="array" ref="BF143">SUMPRODUCT(IF(AZ143*AP143*$FI$16:$FI$23*$FA$22&gt;=$FI$24,$FI$24,AZ143*AP143*$FI$16:$FI$23*$FA$22),$FJ$16:$FJ$23)</f>
        <v>40276.344994338957</v>
      </c>
      <c r="BG143" s="1125">
        <f t="array" ref="BG143">SUMPRODUCT(IF(BE143*AZ143*AP143*$FI$16:$FI$23*$FA$22&gt;=$FI$24,$FI$24,BE143*AZ143*AP143*$FI$16:$FI$23*$FA$22),$FJ$16:$FJ$23)</f>
        <v>60000</v>
      </c>
      <c r="BH143" s="1110">
        <f t="shared" si="201"/>
        <v>16295.975772751997</v>
      </c>
      <c r="BI143" s="1111">
        <f>IF(O143="vo",$EW$26/$EW$24*0.05,0)+IF(O143="sk",-$EW$26/$EW$24*(0.05-INDEX(绊状态确认!W:W,MATCH($G143,绊状态确认!$B:$B,)))+0.05*$EW$28,0)+IF(O143="sp",0.05*$EW$32*$EW$30*(1-$EW$33)-(0.05-INDEX(绊状态确认!V:V,MATCH($G143,绊状态确认!$B:$B,)))*$EW$28,0)+IF(O143="gd",-(0.05-INDEX(绊状态确认!X:X,MATCH($G143,绊状态确认!$B:$B,)))*$EW$32*$EW$30*(1-$EW$33),0)</f>
        <v>7726.3029277443748</v>
      </c>
      <c r="BJ143" s="1097">
        <f>IF(O143="vo",0.05*(1-$FI$26)*$FA$24,0)+IF(O143="sk",-(0.05-INDEX(绊状态确认!W:W,MATCH($G143,绊状态确认!$B:$B,)))*(1-$FI$26)*$FA$24+0.05*$FA$26,0)+IF(O143="sp",0.05*$FA$32*$FA$27*(1-$FA$33)/$FA$30+0.05*$FA$29/$FA$69*$FA$27*(1-$FA$33)-(0.05-INDEX(绊状态确认!V:V,MATCH($G143,绊状态确认!$B:$B,)))*$FA$26,0)+IF(O143="gd",-(0.05-INDEX(绊状态确认!X:X,MATCH($G143,绊状态确认!$B:$B,)))*$FA$32*$FA$27*(1-$FA$33)/$FA$30-(0.05-INDEX(绊状态确认!X:X,MATCH($G143,绊状态确认!$B:$B,)))*$FA$29/$FA$69*$FA$27*(1-$FA$33),0)</f>
        <v>393.93433687500004</v>
      </c>
      <c r="BK143" s="1110">
        <f>IF(O143="vo",$EW$26/$EW$24*0.05+$EW$26*(-HP($EW$62,$EW$65,$EW$64)+HP($EW$62,$EW$65,(1.05-INDEX(绊状态确认!U:U,MATCH($G143,绊状态确认!$B:$B,)))*$EW$64)),0)+IF(O143="sk",-$EW$26/$EW$24*(0.05-INDEX(绊状态确认!W:W,MATCH($G143,绊状态确认!$B:$B,)))+0.05*$EW$29,0)+IF(O143="sp",0.05*$EW$32*$EW$30*(1-$EW$33)-(0.05-INDEX(绊状态确认!V:V,MATCH($G143,绊状态确认!$B:$B,)))*$EW$29,0)+IF(O143="gd",-(0.05-INDEX(绊状态确认!X:X,MATCH($G143,绊状态确认!$B:$B,)))*$EW$32*$EW$30*(1-$EW$33)+$EW$26*(-HP($EW$62,$EW$65,$EW$64)+HP($EW$62,$EW$65,0.95*$EW$64)),0)</f>
        <v>6421.6344775026746</v>
      </c>
      <c r="BL143" s="1111">
        <f t="shared" si="202"/>
        <v>-1083.3333333333333</v>
      </c>
      <c r="BM143" s="1110">
        <f t="shared" si="203"/>
        <v>-830.55555555555543</v>
      </c>
      <c r="BN143" s="1113">
        <f t="shared" si="204"/>
        <v>3</v>
      </c>
      <c r="BO143" s="1097">
        <f t="shared" si="205"/>
        <v>4507.7214871259994</v>
      </c>
      <c r="BP143" s="1100">
        <f t="shared" si="206"/>
        <v>221.34103209030098</v>
      </c>
      <c r="BQ143" s="1113" t="s">
        <v>626</v>
      </c>
      <c r="BR143" s="1124" t="s">
        <v>171</v>
      </c>
      <c r="BS143" s="1098">
        <f>IF($P143="","N/A",IF($P143=-1,INDEX('卡片raw data'!AX:AX,MATCH($D143,'卡片raw data'!$F:$F,)),0)+IF($L143="party卡",IF($P143=5,INDEX('卡片raw data'!BD:BD,MATCH($D143,'卡片raw data'!$F:$F,)),IF($P143&gt;=3,INDEX('卡片raw data'!BC:BC,MATCH($D143,'卡片raw data'!$F:$F,)),INDEX('卡片raw data'!BB:BB,MATCH($D143,'卡片raw data'!$F:$F,)))),IF(OR(AND($F143="UR",$P143=0),AND($F143="SR",$P143&gt;=0,$P143&lt;=2),AND($F143="R",$P143&gt;=0,$P143&lt;4)),INDEX('卡片raw data'!AZ:AZ,MATCH($D143,'卡片raw data'!$F:$F,)),0)+IF(OR(AND($F143="UR",$P143&gt;=1,$P143&lt;=4),AND($F143="SR",$P143&lt;=4,$P143&gt;=3),AND($F143="R",$P143=4)),INDEX('卡片raw data'!BA:BA,MATCH($D143,'卡片raw data'!$F:$F,)),0)+IF($P143=5,INDEX('卡片raw data'!BB:BB,MATCH($D143,'卡片raw data'!$F:$F,)),0)))</f>
        <v>3.2000000000000001E-2</v>
      </c>
      <c r="BT143" s="1101">
        <f t="shared" si="207"/>
        <v>1509.2469769191675</v>
      </c>
      <c r="BU143" s="1097">
        <f t="shared" si="208"/>
        <v>95.522578685765595</v>
      </c>
      <c r="BV143" s="1097">
        <f t="shared" si="209"/>
        <v>754.62348845958354</v>
      </c>
      <c r="BW143" s="1112">
        <f t="shared" si="210"/>
        <v>0</v>
      </c>
      <c r="BX143" s="1100">
        <f t="shared" si="211"/>
        <v>1509.2469769191675</v>
      </c>
      <c r="BY143" s="1110">
        <f t="shared" si="212"/>
        <v>754.62348845958354</v>
      </c>
      <c r="BZ143" s="1107" t="s">
        <v>569</v>
      </c>
      <c r="CA143" s="1124"/>
      <c r="CB143" s="1098">
        <f>IF($P143="","N/A",IF($P143=-1,INDEX('卡片raw data'!BE:BE,MATCH($D143,'卡片raw data'!$F:$F,)),0)+IF($L143="party卡",IF($P143=5,INDEX('卡片raw data'!BK:BK,MATCH($D143,'卡片raw data'!$F:$F,)),IF($P143&gt;=3,INDEX('卡片raw data'!BJ:BJ,MATCH($D143,'卡片raw data'!$F:$F,)),INDEX('卡片raw data'!BI:BI,MATCH($D143,'卡片raw data'!$F:$F,)))),IF(OR(AND($F143="UR",$P143=0),AND($F143="SR",$P143&gt;=0,$P143&lt;=2),AND($F143="R",$P143&gt;=0,$P143&lt;4)),INDEX('卡片raw data'!BG:BG,MATCH($D143,'卡片raw data'!$F:$F,)),0)+IF(OR(AND($F143="UR",$P143&gt;=1,$P143&lt;=4),AND($F143="SR",$P143&lt;=4,$P143&gt;=3),AND($F143="R",$P143=4)),INDEX('卡片raw data'!BH:BH,MATCH($D143,'卡片raw data'!$F:$F,)),0)+IF($P143=5,INDEX('卡片raw data'!BI:BI,MATCH($D143,'卡片raw data'!$F:$F,)),0)))</f>
        <v>0</v>
      </c>
      <c r="CC143" s="1101">
        <f t="shared" si="213"/>
        <v>0</v>
      </c>
      <c r="CD143" s="1097">
        <f>IF(BZ143="ap",CB143*(1-$FI$26)*$FB$5/$FB$11*(+IF(CA143="全员",$FA$24,0)+IF(CA143="同作战",$FA$24,0)+IF(CA143="仲间",$FA$24*2/3,0)+IF(CA143="同属性",$FA$24*$FA$37/3,0)+IF(CA143="同年级",$FA$24*$FA$40/3,0)+IF(CA143="同学校",$FA$24*$FA$43/3,0)+IF(CA143="同小队",$FA$24*$FA$46/3,0)+IF(CA143="同type",$FA$24*INDEX($FB$49:$FB$52,MATCH(X143,$FA$49:$FA$52,))/3,0)+IF(CA143="自身",#REF!/3,0)),0)+IF(BZ143="te",CB143*(1-$FI$27)*($FA$20-1)*$FB$7/$FB$13*(+IF(CA143="全员",$FA$19*$FA$24/(1+($FA$20-1)*$FA$19),0)+IF(CA143="同作战",$FA$19*$FA$24/(1+($FA$20-1)*$FA$19),0)+IF(CA143="仲间",$FA$19*$FA$24*2/3/(1+($FA$20-1)*$FA$19),0)+IF(CA143="同属性",$FA$19*$FA$24*$FA$37/3/(1+($FA$20-1)*$FA$19),0)+IF(CA143="同年级",$FA$19*$FA$24*$FA$40/3/(1+($FA$20-1)*$FA$19),0)+IF(CA143="同学校",$FA$19*$FA$24*$FA$43/3/(1+($FA$20-1)*$FA$19),0)+IF(CA143="同小队",$FA$19*$FA$24*$FA$46/3/(1+($FA$20-1)*$FA$19),0)+IF(CA143="同type",$FA$19*$FA$24*INDEX($FB$49:$FB$52,MATCH(X143,$FA$49:$FA$52,))/3/(1+($FA$20-1)*$FA$19),0)+IF(CA143="自身",$FA$19*#REF!/3/(1+(BH143-1)*$BD143),0)),0)</f>
        <v>0</v>
      </c>
      <c r="CE143" s="1097">
        <f t="shared" si="214"/>
        <v>0</v>
      </c>
      <c r="CF143" s="1112">
        <f t="shared" si="215"/>
        <v>0</v>
      </c>
      <c r="CG143" s="1100">
        <f t="shared" si="216"/>
        <v>0</v>
      </c>
      <c r="CH143" s="1110">
        <f t="shared" si="217"/>
        <v>0</v>
      </c>
      <c r="CI143" s="1113" t="s">
        <v>170</v>
      </c>
      <c r="CJ143" s="1114">
        <v>0.2</v>
      </c>
      <c r="CK143" s="1115" t="s">
        <v>562</v>
      </c>
      <c r="CL143" s="1115" t="s">
        <v>171</v>
      </c>
      <c r="CM143" s="1119">
        <v>0.04</v>
      </c>
      <c r="CN143" s="1115">
        <v>5</v>
      </c>
      <c r="CO143" s="1092"/>
      <c r="CP143" s="1118">
        <f t="shared" si="218"/>
        <v>9.5238095238095254E-5</v>
      </c>
      <c r="CQ143" s="1118">
        <f t="shared" si="219"/>
        <v>1.2962962962962966E-4</v>
      </c>
      <c r="CR143" s="1118">
        <f t="shared" si="220"/>
        <v>4.761904761904762E-5</v>
      </c>
      <c r="CS143" s="1118">
        <f t="shared" si="221"/>
        <v>0</v>
      </c>
      <c r="CT143" s="1109">
        <f t="shared" si="222"/>
        <v>0</v>
      </c>
      <c r="CU143" s="1101">
        <f t="shared" si="223"/>
        <v>16.188444229559646</v>
      </c>
      <c r="CV143" s="1108">
        <f t="shared" si="224"/>
        <v>1.0213112437500005</v>
      </c>
      <c r="CW143" s="1097">
        <f t="shared" si="225"/>
        <v>8.0942221147798215</v>
      </c>
      <c r="CX143" s="1097">
        <f t="shared" si="226"/>
        <v>16.188444229559646</v>
      </c>
      <c r="CY143" s="1110">
        <f t="shared" si="227"/>
        <v>8.0942221147798215</v>
      </c>
      <c r="CZ143" s="437"/>
      <c r="DA143" s="438"/>
      <c r="DB143" s="439" t="s">
        <v>569</v>
      </c>
      <c r="DC143" s="439"/>
      <c r="DD143" s="443"/>
      <c r="DE143" s="411"/>
      <c r="DF143" s="411"/>
      <c r="DG143" s="1116">
        <f t="shared" si="228"/>
        <v>0</v>
      </c>
      <c r="DH143" s="1116">
        <f t="shared" si="229"/>
        <v>0</v>
      </c>
      <c r="DI143" s="1116">
        <f t="shared" si="230"/>
        <v>0</v>
      </c>
      <c r="DJ143" s="442">
        <f t="shared" si="231"/>
        <v>0</v>
      </c>
      <c r="DK143" s="1109">
        <f t="shared" si="232"/>
        <v>0</v>
      </c>
      <c r="DL143" s="1101">
        <f t="shared" si="233"/>
        <v>0</v>
      </c>
      <c r="DM143" s="1097">
        <f t="shared" si="234"/>
        <v>0</v>
      </c>
      <c r="DN143" s="1097">
        <f t="shared" si="235"/>
        <v>0</v>
      </c>
      <c r="DO143" s="1097">
        <f t="shared" si="236"/>
        <v>0</v>
      </c>
      <c r="DP143" s="1110">
        <f t="shared" si="237"/>
        <v>0</v>
      </c>
      <c r="DQ143" s="1113" t="s">
        <v>554</v>
      </c>
      <c r="DR143" s="1120">
        <f t="shared" si="238"/>
        <v>0.3</v>
      </c>
      <c r="DS143" s="1124">
        <v>5</v>
      </c>
      <c r="DT143" s="1093" t="s">
        <v>171</v>
      </c>
      <c r="DU143" s="1093" t="s">
        <v>544</v>
      </c>
      <c r="DV143" s="1098">
        <f>IF($P143="","N/A",IF(P143=-1,INDEX('卡片raw data'!AN:AN,MATCH(D143,'卡片raw data'!$F:$F,)),0)+IF(AND(L143&lt;&gt;"party卡",P143&lt;=2,P143&gt;=0),INDEX('卡片raw data'!AP:AP,MATCH(D143,'卡片raw data'!$F:$F,)),0)+IF(OR(AND(L143="party卡",P143&lt;=1),AND(P143&lt;=4,L143&lt;&gt;"party卡",P143&gt;=3)),INDEX('卡片raw data'!AQ:AQ,MATCH(D143,'卡片raw data'!$F:$F,)),0)+IF(OR(P143=5,AND(L143="party卡",P143&gt;=2)),INDEX('卡片raw data'!AR:AR,MATCH(D143,'卡片raw data'!$F:$F,)),0))</f>
        <v>5.1999999999999998E-2</v>
      </c>
      <c r="DW143" s="1098">
        <f t="shared" si="239"/>
        <v>0.3</v>
      </c>
      <c r="DX143" s="1098">
        <f t="shared" si="240"/>
        <v>0.3</v>
      </c>
      <c r="DY143" s="1098">
        <f t="shared" si="241"/>
        <v>1.7333333333333333E-2</v>
      </c>
      <c r="DZ143" s="1098">
        <f t="shared" si="242"/>
        <v>1.3119166666666666E-2</v>
      </c>
      <c r="EA143" s="1098">
        <f t="shared" si="243"/>
        <v>0</v>
      </c>
      <c r="EB143" s="1121">
        <f t="shared" si="244"/>
        <v>0</v>
      </c>
      <c r="EC143" s="1101">
        <f t="shared" si="245"/>
        <v>2946.2968497798547</v>
      </c>
      <c r="ED143" s="1097">
        <f t="shared" si="246"/>
        <v>103.36180442371877</v>
      </c>
      <c r="EE143" s="1110">
        <f t="shared" si="247"/>
        <v>2946.2968497798547</v>
      </c>
      <c r="EF143" s="1092" t="s">
        <v>711</v>
      </c>
      <c r="EG143" s="1120">
        <f t="shared" si="248"/>
        <v>0.3</v>
      </c>
      <c r="EH143" s="1124"/>
      <c r="EI143" s="1093"/>
      <c r="EJ143" s="1093"/>
      <c r="EK143" s="1097">
        <f>IF($P143="","N/A",IF(P143=-1,INDEX('卡片raw data'!AS:AS,MATCH(D143,'卡片raw data'!$F:$F,)),0)+IF(AND(L143&lt;&gt;"party卡",P143&lt;=2,P143&gt;=0),INDEX('卡片raw data'!AU:AU,MATCH(D143,'卡片raw data'!$F:$F,)),0)+IF(OR(AND(L143="party卡",P143&lt;=1),AND(P143&lt;=4,L143&lt;&gt;"party卡",P143&gt;=3)),INDEX('卡片raw data'!AV:AV,MATCH(D143,'卡片raw data'!$F:$F,)),0)+IF(OR(P143=5,AND(L143="party卡",P143&gt;=2)),INDEX('卡片raw data'!AW:AW,MATCH(D143,'卡片raw data'!$F:$F,)),0))</f>
        <v>0</v>
      </c>
      <c r="EL143" s="1098">
        <f t="shared" si="249"/>
        <v>0.3</v>
      </c>
      <c r="EM143" s="1098">
        <f t="shared" si="250"/>
        <v>0.3</v>
      </c>
      <c r="EN143" s="1125">
        <f t="shared" si="251"/>
        <v>0</v>
      </c>
      <c r="EO143" s="1125">
        <f t="shared" si="252"/>
        <v>0</v>
      </c>
      <c r="EP143" s="1098">
        <f t="shared" si="253"/>
        <v>0</v>
      </c>
      <c r="EQ143" s="1121">
        <f t="shared" si="254"/>
        <v>0</v>
      </c>
      <c r="ER143" s="1101">
        <f t="shared" si="255"/>
        <v>0</v>
      </c>
      <c r="ES143" s="1097">
        <f t="shared" si="256"/>
        <v>0</v>
      </c>
      <c r="ET143" s="1122">
        <f t="shared" si="257"/>
        <v>0</v>
      </c>
    </row>
    <row r="144" spans="2:150" ht="16.5" customHeight="1">
      <c r="B144" s="1123" t="str">
        <f>INDEX('卡片raw data'!B:B,MATCH($D144,'卡片raw data'!$F:$F,))</f>
        <v>火车鞠</v>
      </c>
      <c r="C144" s="449" t="s">
        <v>123</v>
      </c>
      <c r="D144" s="408">
        <v>141</v>
      </c>
      <c r="E144" s="1090">
        <v>401083001</v>
      </c>
      <c r="F144" s="1090" t="str">
        <f>INDEX('卡片raw data'!C:C,MATCH($D144,'卡片raw data'!$F:$F,))</f>
        <v>UR</v>
      </c>
      <c r="G144" s="1094" t="s">
        <v>40</v>
      </c>
      <c r="H144" s="411">
        <f>IFERROR(INDEX(绊状态确认!C:C,MATCH($G144,绊状态确认!$B:$B,)),"")</f>
        <v>108</v>
      </c>
      <c r="I144" s="450" t="str">
        <f>IFERROR(INDEX(绊状态确认!D:D,MATCH($G144,绊状态确认!$B:$B,)),"")</f>
        <v>水</v>
      </c>
      <c r="J144" s="450" t="str">
        <f>IFERROR(INDEX(绊状态确认!E:E,MATCH($G144,绊状态确认!$B:$B,)),"")</f>
        <v>3年级</v>
      </c>
      <c r="K144" s="451" t="str">
        <f>IFERROR(INDEX(绊状态确认!F:F,MATCH($G144,绊状态确认!$B:$B,)),"")</f>
        <v>Guilty Kiss</v>
      </c>
      <c r="L144" s="1094" t="str">
        <f>INDEX('卡片raw data'!E:E,MATCH($D144,'卡片raw data'!$F:$F,))</f>
        <v>活动卡</v>
      </c>
      <c r="M144" s="415">
        <v>43822</v>
      </c>
      <c r="N144" s="416">
        <v>6</v>
      </c>
      <c r="O144" s="1091" t="str">
        <f>INDEX('卡片raw data'!D:D,MATCH($D144,'卡片raw data'!$F:$F,))</f>
        <v>gd</v>
      </c>
      <c r="P144" s="417">
        <v>5</v>
      </c>
      <c r="Q144" s="1095">
        <f t="shared" si="173"/>
        <v>25896.483030532767</v>
      </c>
      <c r="R144" s="1096">
        <f t="shared" si="174"/>
        <v>0.30099999999999999</v>
      </c>
      <c r="S144" s="1097">
        <f t="shared" si="175"/>
        <v>14960.366938309047</v>
      </c>
      <c r="T144" s="1098">
        <f t="shared" si="176"/>
        <v>0.748</v>
      </c>
      <c r="U144" s="1099">
        <f t="shared" si="177"/>
        <v>558.42814242719999</v>
      </c>
      <c r="V144" s="1100">
        <f t="shared" si="178"/>
        <v>77552.344163091839</v>
      </c>
      <c r="W144" s="1101">
        <f t="shared" si="179"/>
        <v>4507.7214871259994</v>
      </c>
      <c r="X144" s="1096">
        <f t="shared" si="180"/>
        <v>5.1999999999999998E-2</v>
      </c>
      <c r="Y144" s="1097">
        <f t="shared" si="181"/>
        <v>1941.6034288275769</v>
      </c>
      <c r="Z144" s="1102">
        <f t="shared" si="182"/>
        <v>22.831668839999999</v>
      </c>
      <c r="AA144" s="1103">
        <f t="shared" si="183"/>
        <v>6449.3249159535762</v>
      </c>
      <c r="AB144" s="1101">
        <f t="shared" si="184"/>
        <v>4507.7214871259994</v>
      </c>
      <c r="AC144" s="1104">
        <f t="shared" si="185"/>
        <v>5.1999999999999998E-2</v>
      </c>
      <c r="AD144" s="1105">
        <f t="shared" si="186"/>
        <v>0</v>
      </c>
      <c r="AE144" s="1128">
        <f t="shared" si="187"/>
        <v>-6.25</v>
      </c>
      <c r="AF144" s="1130">
        <f t="shared" si="188"/>
        <v>7327.3909521279993</v>
      </c>
      <c r="AG144" s="420">
        <f t="shared" si="189"/>
        <v>96435.417416000011</v>
      </c>
      <c r="AH144" s="420">
        <f t="shared" si="190"/>
        <v>13.160948835136676</v>
      </c>
      <c r="AI144" s="1097">
        <f t="shared" si="191"/>
        <v>102534.56755741277</v>
      </c>
      <c r="AJ144" s="420">
        <f t="shared" si="192"/>
        <v>77552.344163091839</v>
      </c>
      <c r="AK144" s="518">
        <f t="shared" si="193"/>
        <v>24982.223394320928</v>
      </c>
      <c r="AL144" s="1106">
        <f>IF($P144="","N/A",(IF($P144=-1,INDEX('卡片raw data'!S:S,MATCH($D144,'卡片raw data'!$F:$F,)),0)+IF($P144=0,INDEX('卡片raw data'!V:V,MATCH($D144,'卡片raw data'!$F:$F,)),0)+IF($P144=1,INDEX('卡片raw data'!Y:Y,MATCH($D144,'卡片raw data'!$F:$F,)),0)+IF($P144=2,INDEX('卡片raw data'!AB:AB,MATCH($D144,'卡片raw data'!$F:$F,)),0)+IF($P144=3,INDEX('卡片raw data'!AE:AE,MATCH($D144,'卡片raw data'!$F:$F,)),0)+IF($P144=4,INDEX('卡片raw data'!AH:AH,MATCH($D144,'卡片raw data'!$F:$F,)),0)+IF($P144=5,INDEX('卡片raw data'!AK:AK,MATCH($D144,'卡片raw data'!$F:$F,)),0)+INDEX('卡片raw data'!S:S,MATCH($D144,'卡片raw data'!$F:$F,))*(IF($F144="UR",0.04,0.033))*(IF($F144="UR",INDEX(绊状态确认!$S:$S,MATCH($G144,绊状态确认!$B:$B,))/2-40)+IF($F144="SR",INDEX(绊状态确认!$R:$R,MATCH($G144,绊状态确认!$B:$B,))/4-15))+IF($F144="R",INDEX(绊状态确认!$Q:$Q,MATCH($G144,绊状态确认!$B:$B,))/6-40/6)))*(INDEX(绊状态确认!$H:$H,MATCH($G144,绊状态确认!$B:$B,))+INDEX(绊状态确认!J:J,MATCH($G144,绊状态确认!$B:$B,)))</f>
        <v>7621.7893439999989</v>
      </c>
      <c r="AM144" s="1106">
        <f>IF($P144="","N/A",(IF($P144=-1,INDEX('卡片raw data'!T:T,MATCH($D144,'卡片raw data'!$F:$F,)),0)+IF($P144=0,INDEX('卡片raw data'!W:W,MATCH($D144,'卡片raw data'!$F:$F,)),0)+IF($P144=1,INDEX('卡片raw data'!Z:Z,MATCH($D144,'卡片raw data'!$F:$F,)),0)+IF($P144=2,INDEX('卡片raw data'!AC:AC,MATCH($D144,'卡片raw data'!$F:$F,)),0)+IF($P144=3,INDEX('卡片raw data'!AF:AF,MATCH($D144,'卡片raw data'!$F:$F,)),0)+IF($P144=4,INDEX('卡片raw data'!AI:AI,MATCH($D144,'卡片raw data'!$F:$F,)),0)+IF($P144=5,INDEX('卡片raw data'!AL:AL,MATCH($D144,'卡片raw data'!$F:$F,)),0)+INDEX('卡片raw data'!T:T,MATCH($D144,'卡片raw data'!$F:$F,))*(IF($F144="UR",0.04,0.033))*(IF($F144="UR",INDEX(绊状态确认!$S:$S,MATCH($G144,绊状态确认!$B:$B,))/2-40)+IF($F144="SR",INDEX(绊状态确认!$R:$R,MATCH($G144,绊状态确认!$B:$B,))/4-15))+IF($F144="R",INDEX(绊状态确认!$Q:$Q,MATCH($G144,绊状态确认!$B:$B,))/6-40/6)))*(INDEX(绊状态确认!$H:$H,MATCH($G144,绊状态确认!$B:$B,))+INDEX(绊状态确认!K:K,MATCH($G144,绊状态确认!$B:$B,)))</f>
        <v>10163.961599999999</v>
      </c>
      <c r="AN144" s="1106">
        <f>IF($P144="","N/A",(IF($P144=-1,INDEX('卡片raw data'!U:U,MATCH($D144,'卡片raw data'!$F:$F,)),0)+IF($P144=0,INDEX('卡片raw data'!X:X,MATCH($D144,'卡片raw data'!$F:$F,)),0)+IF($P144=1,INDEX('卡片raw data'!AA:AA,MATCH($D144,'卡片raw data'!$F:$F,)),0)+IF($P144=2,INDEX('卡片raw data'!AD:AD,MATCH($D144,'卡片raw data'!$F:$F,)),0)+IF($P144=3,INDEX('卡片raw data'!AG:AG,MATCH($D144,'卡片raw data'!$F:$F,)),0)+IF($P144=4,INDEX('卡片raw data'!AJ:AJ,MATCH($D144,'卡片raw data'!$F:$F,)),0)+IF($P144=5,INDEX('卡片raw data'!AM:AM,MATCH($D144,'卡片raw data'!$F:$F,)),0)+INDEX('卡片raw data'!U:U,MATCH($D144,'卡片raw data'!$F:$F,))*(IF($F144="UR",0.04,0.033))*(IF($F144="UR",INDEX(绊状态确认!$S:$S,MATCH($G144,绊状态确认!$B:$B,))/2-40)+IF($F144="SR",INDEX(绊状态确认!$R:$R,MATCH($G144,绊状态确认!$B:$B,))/4-15))+IF($F144="R",INDEX(绊状态确认!$Q:$Q,MATCH($G144,绊状态确认!$B:$B,))/6-40/6)))*(INDEX(绊状态确认!$H:$H,MATCH($G144,绊状态确认!$B:$B,))+INDEX(绊状态确认!L:L,MATCH($G144,绊状态确认!$B:$B,)))</f>
        <v>7621.7893439999989</v>
      </c>
      <c r="AO144" s="1107">
        <f t="shared" si="194"/>
        <v>1</v>
      </c>
      <c r="AP144" s="1131">
        <f>1+(INDEX(绊状态确认!$T:$T,MATCH($G144,绊状态确认!$B:$B,))+0.2)*$AO144</f>
        <v>1.3</v>
      </c>
      <c r="AQ144" s="1108">
        <f t="shared" si="195"/>
        <v>23257.197028000002</v>
      </c>
      <c r="AR144" s="1097">
        <f>(AM144*(1+$EX$9)+$EX$35)*(1+(INDEX(绊状态确认!$T:$T,MATCH($G144,绊状态确认!$B:$B,))+0.2)*AO144)*IF(J144=$FF$17,1+$FE$17,1)*IF(I144=$FF$14,1+$FE$14,1)*(1+$FE$15)</f>
        <v>16577.807583999998</v>
      </c>
      <c r="AS144" s="1097">
        <f>(AN144*(1+$EX$10)+$EX$36)*(1+(INDEX(绊状态确认!$T:$T,MATCH($G144,绊状态确认!$B:$B,))+0.2)*AO144)*IF(J144=$FF$17,1+$FE$17,1)*IF(I144=$FF$14,1+$FE$14,1)*(1+$FE$15)</f>
        <v>15450.575069279997</v>
      </c>
      <c r="AT144" s="1093">
        <f>IF(AND(INDEX('卡片raw data'!AK:AK,MATCH($D144,'卡片raw data'!$F:$F,))&lt;INDEX('卡片raw data'!AM:AM,MATCH($D144,'卡片raw data'!$F:$F,)),INDEX('卡片raw data'!AL:AL,MATCH($D144,'卡片raw data'!$F:$F,))&lt;INDEX('卡片raw data'!AM:AM,MATCH($D144,'卡片raw data'!$F:$F,))),1,0)</f>
        <v>0</v>
      </c>
      <c r="AU144" s="1098">
        <f>MIN(AT144*0.15+AS144*0.00003+INDEX(绊状态确认!M:M,MATCH($G144,绊状态确认!$B:$B,)),1)</f>
        <v>0.49351725207839997</v>
      </c>
      <c r="AV144" s="1109">
        <f>(INDEX(绊状态确认!$N:$N,MATCH($G144,绊状态确认!$B:$B,))+1.5)*$EW$21</f>
        <v>2.6599999999999997</v>
      </c>
      <c r="AW144" s="1101">
        <f t="shared" si="196"/>
        <v>21973.761543406767</v>
      </c>
      <c r="AX144" s="1097">
        <f t="shared" si="197"/>
        <v>1433.897881121213</v>
      </c>
      <c r="AY144" s="1110">
        <f t="shared" si="198"/>
        <v>23407.659424527981</v>
      </c>
      <c r="AZ144" s="429">
        <f t="shared" si="199"/>
        <v>17462.489220799998</v>
      </c>
      <c r="BA144" s="431">
        <f t="shared" si="200"/>
        <v>20954.987064959998</v>
      </c>
      <c r="BB144" s="1097">
        <f>(AM144*(1+$FB$9)+$FB$35)*(1+(INDEX(绊状态确认!$T:$T,MATCH($G144,绊状态确认!$B:$B,))+0.2)*AO144)*IF(J144=$FF$17,1+$FE$17,1)*IF(I144=$FF$14,1+$FE$14,1)*(1+$FE$15)</f>
        <v>16577.807583999998</v>
      </c>
      <c r="BC144" s="1097">
        <f>(AN144*(1+$FB$10)+$FB$36)*(1+(INDEX(绊状态确认!$T:$T,MATCH($G144,绊状态确认!$B:$B,))+0.2)*AO144)*IF(J144=$FF$17,1+$FE$17,1)*IF(I144=$FF$14,1+$FE$14,1)*(1+$FE$15)</f>
        <v>15450.575069279997</v>
      </c>
      <c r="BD144" s="1104">
        <f>MIN(AT144*0.15+BC144*0.00003+INDEX(绊状态确认!M:M,MATCH($G144,绊状态确认!$B:$B,)),1)</f>
        <v>0.49351725207839997</v>
      </c>
      <c r="BE144" s="432">
        <f>(INDEX(绊状态确认!$N:$N,MATCH($G144,绊状态确认!$B:$B,))+1.5)</f>
        <v>1.9</v>
      </c>
      <c r="BF144" s="1139">
        <f t="array" ref="BF144">SUMPRODUCT(IF(AZ144*AP144*$FI$16:$FI$23*$FA$22&gt;=$FI$24,$FI$24,AZ144*AP144*$FI$16:$FI$23*$FA$22),$FJ$16:$FJ$23)</f>
        <v>34732.891060171205</v>
      </c>
      <c r="BG144" s="1125">
        <f t="array" ref="BG144">SUMPRODUCT(IF(BE144*AZ144*AP144*$FI$16:$FI$23*$FA$22&gt;=$FI$24,$FI$24,BE144*AZ144*AP144*$FI$16:$FI$23*$FA$22),$FJ$16:$FJ$23)</f>
        <v>58783.087093843998</v>
      </c>
      <c r="BH144" s="1110">
        <f t="shared" si="201"/>
        <v>15534.025906218747</v>
      </c>
      <c r="BI144" s="1111">
        <f>IF(O144="vo",$EW$26/$EW$24*0.05,0)+IF(O144="sk",-$EW$26/$EW$24*(0.05-INDEX(绊状态确认!W:W,MATCH($G144,绊状态确认!$B:$B,)))+0.05*$EW$28,0)+IF(O144="sp",0.05*$EW$32*$EW$30*(1-$EW$33)-(0.05-INDEX(绊状态确认!V:V,MATCH($G144,绊状态确认!$B:$B,)))*$EW$28,0)+IF(O144="gd",-(0.05-INDEX(绊状态确认!X:X,MATCH($G144,绊状态确认!$B:$B,)))*$EW$32*$EW$30*(1-$EW$33),0)</f>
        <v>-585.00000000000011</v>
      </c>
      <c r="BJ144" s="1097">
        <f>IF(O144="vo",0.05*(1-$FI$26)*$FA$24,0)+IF(O144="sk",-(0.05-INDEX(绊状态确认!W:W,MATCH($G144,绊状态确认!$B:$B,)))*(1-$FI$26)*$FA$24+0.05*$FA$26,0)+IF(O144="sp",0.05*$FA$32*$FA$27*(1-$FA$33)/$FA$30+0.05*$FA$29/$FA$69*$FA$27*(1-$FA$33)-(0.05-INDEX(绊状态确认!V:V,MATCH($G144,绊状态确认!$B:$B,)))*$FA$26,0)+IF(O144="gd",-(0.05-INDEX(绊状态确认!X:X,MATCH($G144,绊状态确认!$B:$B,)))*$FA$32*$FA$27*(1-$FA$33)/$FA$30-(0.05-INDEX(绊状态确认!X:X,MATCH($G144,绊状态确认!$B:$B,)))*$FA$29/$FA$69*$FA$27*(1-$FA$33),0)</f>
        <v>-795.00000000000011</v>
      </c>
      <c r="BK144" s="1110">
        <f>IF(O144="vo",$EW$26/$EW$24*0.05+$EW$26*(-HP($EW$62,$EW$65,$EW$64)+HP($EW$62,$EW$65,(1.05-INDEX(绊状态确认!U:U,MATCH($G144,绊状态确认!$B:$B,)))*$EW$64)),0)+IF(O144="sk",-$EW$26/$EW$24*(0.05-INDEX(绊状态确认!W:W,MATCH($G144,绊状态确认!$B:$B,)))+0.05*$EW$29,0)+IF(O144="sp",0.05*$EW$32*$EW$30*(1-$EW$33)-(0.05-INDEX(绊状态确认!V:V,MATCH($G144,绊状态确认!$B:$B,)))*$EW$29,0)+IF(O144="gd",-(0.05-INDEX(绊状态确认!X:X,MATCH($G144,绊状态确认!$B:$B,)))*$EW$32*$EW$30*(1-$EW$33)+$EW$26*(-HP($EW$62,$EW$65,$EW$64)+HP($EW$62,$EW$65,0.95*$EW$64)),0)</f>
        <v>1009.5947725176144</v>
      </c>
      <c r="BL144" s="1111">
        <f t="shared" si="202"/>
        <v>0</v>
      </c>
      <c r="BM144" s="1110">
        <f t="shared" si="203"/>
        <v>0</v>
      </c>
      <c r="BN144" s="1113">
        <f t="shared" si="204"/>
        <v>3</v>
      </c>
      <c r="BO144" s="1097">
        <f t="shared" si="205"/>
        <v>4507.7214871259994</v>
      </c>
      <c r="BP144" s="1100">
        <f t="shared" si="206"/>
        <v>221.34103209030098</v>
      </c>
      <c r="BQ144" s="1113" t="s">
        <v>144</v>
      </c>
      <c r="BR144" s="1124" t="s">
        <v>146</v>
      </c>
      <c r="BS144" s="1098">
        <f>IF($P144="","N/A",IF($P144=-1,INDEX('卡片raw data'!AX:AX,MATCH($D144,'卡片raw data'!$F:$F,)),0)+IF($L144="party卡",IF($P144=5,INDEX('卡片raw data'!BD:BD,MATCH($D144,'卡片raw data'!$F:$F,)),IF($P144&gt;=3,INDEX('卡片raw data'!BC:BC,MATCH($D144,'卡片raw data'!$F:$F,)),INDEX('卡片raw data'!BB:BB,MATCH($D144,'卡片raw data'!$F:$F,)))),IF(OR(AND($F144="UR",$P144=0),AND($F144="SR",$P144&gt;=0,$P144&lt;=2),AND($F144="R",$P144&gt;=0,$P144&lt;4)),INDEX('卡片raw data'!AZ:AZ,MATCH($D144,'卡片raw data'!$F:$F,)),0)+IF(OR(AND($F144="UR",$P144&gt;=1,$P144&lt;=4),AND($F144="SR",$P144&lt;=4,$P144&gt;=3),AND($F144="R",$P144=4)),INDEX('卡片raw data'!BA:BA,MATCH($D144,'卡片raw data'!$F:$F,)),0)+IF($P144=5,INDEX('卡片raw data'!BB:BB,MATCH($D144,'卡片raw data'!$F:$F,)),0)))</f>
        <v>7.0000000000000007E-2</v>
      </c>
      <c r="BT144" s="1101">
        <f t="shared" si="207"/>
        <v>0</v>
      </c>
      <c r="BU144" s="1097">
        <f t="shared" si="208"/>
        <v>0</v>
      </c>
      <c r="BV144" s="1097">
        <f t="shared" si="209"/>
        <v>0</v>
      </c>
      <c r="BW144" s="1112">
        <f t="shared" si="210"/>
        <v>2.4581249999999999</v>
      </c>
      <c r="BX144" s="1100">
        <f t="shared" si="211"/>
        <v>192.3373892964872</v>
      </c>
      <c r="BY144" s="1110">
        <f t="shared" si="212"/>
        <v>192.3373892964872</v>
      </c>
      <c r="BZ144" s="1107" t="s">
        <v>569</v>
      </c>
      <c r="CA144" s="1124"/>
      <c r="CB144" s="1098">
        <f>IF($P144="","N/A",IF($P144=-1,INDEX('卡片raw data'!BE:BE,MATCH($D144,'卡片raw data'!$F:$F,)),0)+IF($L144="party卡",IF($P144=5,INDEX('卡片raw data'!BK:BK,MATCH($D144,'卡片raw data'!$F:$F,)),IF($P144&gt;=3,INDEX('卡片raw data'!BJ:BJ,MATCH($D144,'卡片raw data'!$F:$F,)),INDEX('卡片raw data'!BI:BI,MATCH($D144,'卡片raw data'!$F:$F,)))),IF(OR(AND($F144="UR",$P144=0),AND($F144="SR",$P144&gt;=0,$P144&lt;=2),AND($F144="R",$P144&gt;=0,$P144&lt;4)),INDEX('卡片raw data'!BG:BG,MATCH($D144,'卡片raw data'!$F:$F,)),0)+IF(OR(AND($F144="UR",$P144&gt;=1,$P144&lt;=4),AND($F144="SR",$P144&lt;=4,$P144&gt;=3),AND($F144="R",$P144=4)),INDEX('卡片raw data'!BH:BH,MATCH($D144,'卡片raw data'!$F:$F,)),0)+IF($P144=5,INDEX('卡片raw data'!BI:BI,MATCH($D144,'卡片raw data'!$F:$F,)),0)))</f>
        <v>0</v>
      </c>
      <c r="CC144" s="1101">
        <f t="shared" si="213"/>
        <v>0</v>
      </c>
      <c r="CD144" s="1097">
        <f>IF(BZ144="ap",CB144*(1-$FI$26)*$FB$5/$FB$11*(+IF(CA144="全员",$FA$24,0)+IF(CA144="同作战",$FA$24,0)+IF(CA144="仲间",$FA$24*2/3,0)+IF(CA144="同属性",$FA$24*$FA$37/3,0)+IF(CA144="同年级",$FA$24*$FA$40/3,0)+IF(CA144="同学校",$FA$24*$FA$43/3,0)+IF(CA144="同小队",$FA$24*$FA$46/3,0)+IF(CA144="同type",$FA$24*INDEX($FB$49:$FB$52,MATCH(X144,$FA$49:$FA$52,))/3,0)+IF(CA144="自身",#REF!/3,0)),0)+IF(BZ144="te",CB144*(1-$FI$27)*($FA$20-1)*$FB$7/$FB$13*(+IF(CA144="全员",$FA$19*$FA$24/(1+($FA$20-1)*$FA$19),0)+IF(CA144="同作战",$FA$19*$FA$24/(1+($FA$20-1)*$FA$19),0)+IF(CA144="仲间",$FA$19*$FA$24*2/3/(1+($FA$20-1)*$FA$19),0)+IF(CA144="同属性",$FA$19*$FA$24*$FA$37/3/(1+($FA$20-1)*$FA$19),0)+IF(CA144="同年级",$FA$19*$FA$24*$FA$40/3/(1+($FA$20-1)*$FA$19),0)+IF(CA144="同学校",$FA$19*$FA$24*$FA$43/3/(1+($FA$20-1)*$FA$19),0)+IF(CA144="同小队",$FA$19*$FA$24*$FA$46/3/(1+($FA$20-1)*$FA$19),0)+IF(CA144="同type",$FA$19*$FA$24*INDEX($FB$49:$FB$52,MATCH(X144,$FA$49:$FA$52,))/3/(1+($FA$20-1)*$FA$19),0)+IF(CA144="自身",$FA$19*#REF!/3/(1+(BH144-1)*$BD144),0)),0)</f>
        <v>0</v>
      </c>
      <c r="CE144" s="1097">
        <f t="shared" si="214"/>
        <v>0</v>
      </c>
      <c r="CF144" s="1112">
        <f t="shared" si="215"/>
        <v>0</v>
      </c>
      <c r="CG144" s="1100">
        <f t="shared" si="216"/>
        <v>0</v>
      </c>
      <c r="CH144" s="1110">
        <f t="shared" si="217"/>
        <v>0</v>
      </c>
      <c r="CI144" s="1113" t="s">
        <v>162</v>
      </c>
      <c r="CJ144" s="1114">
        <v>0.3</v>
      </c>
      <c r="CK144" s="1115" t="s">
        <v>158</v>
      </c>
      <c r="CL144" s="1115" t="s">
        <v>161</v>
      </c>
      <c r="CM144" s="1119">
        <v>0.05</v>
      </c>
      <c r="CN144" s="1115" t="s">
        <v>1948</v>
      </c>
      <c r="CO144" s="1092"/>
      <c r="CP144" s="1118">
        <f t="shared" si="218"/>
        <v>8.0357142857142849E-3</v>
      </c>
      <c r="CQ144" s="1118">
        <f t="shared" si="219"/>
        <v>7.4999999999999989E-3</v>
      </c>
      <c r="CR144" s="1118">
        <f t="shared" si="220"/>
        <v>8.0357142857142849E-3</v>
      </c>
      <c r="CS144" s="1118">
        <f t="shared" si="221"/>
        <v>0</v>
      </c>
      <c r="CT144" s="1109">
        <f t="shared" si="222"/>
        <v>0</v>
      </c>
      <c r="CU144" s="1101">
        <f t="shared" si="223"/>
        <v>0</v>
      </c>
      <c r="CV144" s="1108">
        <f t="shared" si="224"/>
        <v>0</v>
      </c>
      <c r="CW144" s="1097">
        <f t="shared" si="225"/>
        <v>0</v>
      </c>
      <c r="CX144" s="1097">
        <f t="shared" si="226"/>
        <v>0</v>
      </c>
      <c r="CY144" s="1110">
        <f t="shared" si="227"/>
        <v>315.36815840987663</v>
      </c>
      <c r="CZ144" s="437"/>
      <c r="DA144" s="438"/>
      <c r="DB144" s="439" t="s">
        <v>569</v>
      </c>
      <c r="DC144" s="439"/>
      <c r="DD144" s="443"/>
      <c r="DE144" s="411"/>
      <c r="DF144" s="411"/>
      <c r="DG144" s="1116">
        <f t="shared" si="228"/>
        <v>0</v>
      </c>
      <c r="DH144" s="1116">
        <f t="shared" si="229"/>
        <v>0</v>
      </c>
      <c r="DI144" s="1116">
        <f t="shared" si="230"/>
        <v>0</v>
      </c>
      <c r="DJ144" s="442">
        <f t="shared" si="231"/>
        <v>0</v>
      </c>
      <c r="DK144" s="1109">
        <f t="shared" si="232"/>
        <v>0</v>
      </c>
      <c r="DL144" s="1101">
        <f t="shared" si="233"/>
        <v>0</v>
      </c>
      <c r="DM144" s="1097">
        <f t="shared" si="234"/>
        <v>0</v>
      </c>
      <c r="DN144" s="1097">
        <f t="shared" si="235"/>
        <v>0</v>
      </c>
      <c r="DO144" s="1097">
        <f t="shared" si="236"/>
        <v>0</v>
      </c>
      <c r="DP144" s="1110">
        <f t="shared" si="237"/>
        <v>0</v>
      </c>
      <c r="DQ144" s="1113" t="s">
        <v>635</v>
      </c>
      <c r="DR144" s="1120">
        <f t="shared" si="238"/>
        <v>0.33</v>
      </c>
      <c r="DS144" s="1124"/>
      <c r="DT144" s="1093" t="s">
        <v>133</v>
      </c>
      <c r="DU144" s="1093"/>
      <c r="DV144" s="1098">
        <f>IF($P144="","N/A",IF(P144=-1,INDEX('卡片raw data'!AN:AN,MATCH(D144,'卡片raw data'!$F:$F,)),0)+IF(AND(L144&lt;&gt;"party卡",P144&lt;=2,P144&gt;=0),INDEX('卡片raw data'!AP:AP,MATCH(D144,'卡片raw data'!$F:$F,)),0)+IF(OR(AND(L144="party卡",P144&lt;=1),AND(P144&lt;=4,L144&lt;&gt;"party卡",P144&gt;=3)),INDEX('卡片raw data'!AQ:AQ,MATCH(D144,'卡片raw data'!$F:$F,)),0)+IF(OR(P144=5,AND(L144="party卡",P144&gt;=2)),INDEX('卡片raw data'!AR:AR,MATCH(D144,'卡片raw data'!$F:$F,)),0))</f>
        <v>0.28000000000000003</v>
      </c>
      <c r="DW144" s="1098">
        <f t="shared" si="239"/>
        <v>0.33</v>
      </c>
      <c r="DX144" s="1098">
        <f t="shared" si="240"/>
        <v>0.33</v>
      </c>
      <c r="DY144" s="1125">
        <f t="shared" si="241"/>
        <v>510.59647358720002</v>
      </c>
      <c r="DZ144" s="1125">
        <f t="shared" si="242"/>
        <v>441.66594965292802</v>
      </c>
      <c r="EA144" s="1098">
        <f t="shared" si="243"/>
        <v>0</v>
      </c>
      <c r="EB144" s="1121">
        <f t="shared" si="244"/>
        <v>0</v>
      </c>
      <c r="EC144" s="1101">
        <f t="shared" si="245"/>
        <v>0</v>
      </c>
      <c r="ED144" s="1097">
        <f t="shared" si="246"/>
        <v>0</v>
      </c>
      <c r="EE144" s="1110">
        <f t="shared" si="247"/>
        <v>48435.03108962375</v>
      </c>
      <c r="EF144" s="1092" t="s">
        <v>711</v>
      </c>
      <c r="EG144" s="1120">
        <f t="shared" si="248"/>
        <v>0.33</v>
      </c>
      <c r="EH144" s="1124"/>
      <c r="EI144" s="1093"/>
      <c r="EJ144" s="1093"/>
      <c r="EK144" s="1097">
        <f>IF($P144="","N/A",IF(P144=-1,INDEX('卡片raw data'!AS:AS,MATCH(D144,'卡片raw data'!$F:$F,)),0)+IF(AND(L144&lt;&gt;"party卡",P144&lt;=2,P144&gt;=0),INDEX('卡片raw data'!AU:AU,MATCH(D144,'卡片raw data'!$F:$F,)),0)+IF(OR(AND(L144="party卡",P144&lt;=1),AND(P144&lt;=4,L144&lt;&gt;"party卡",P144&gt;=3)),INDEX('卡片raw data'!AV:AV,MATCH(D144,'卡片raw data'!$F:$F,)),0)+IF(OR(P144=5,AND(L144="party卡",P144&gt;=2)),INDEX('卡片raw data'!AW:AW,MATCH(D144,'卡片raw data'!$F:$F,)),0))</f>
        <v>0</v>
      </c>
      <c r="EL144" s="1098">
        <f t="shared" si="249"/>
        <v>0.33</v>
      </c>
      <c r="EM144" s="1098">
        <f t="shared" si="250"/>
        <v>0.33</v>
      </c>
      <c r="EN144" s="1125">
        <f t="shared" si="251"/>
        <v>0</v>
      </c>
      <c r="EO144" s="1125">
        <f t="shared" si="252"/>
        <v>0</v>
      </c>
      <c r="EP144" s="1098">
        <f t="shared" si="253"/>
        <v>0</v>
      </c>
      <c r="EQ144" s="1121">
        <f t="shared" si="254"/>
        <v>0</v>
      </c>
      <c r="ER144" s="1101">
        <f t="shared" si="255"/>
        <v>0</v>
      </c>
      <c r="ES144" s="1097">
        <f t="shared" si="256"/>
        <v>0</v>
      </c>
      <c r="ET144" s="1122">
        <f t="shared" si="257"/>
        <v>0</v>
      </c>
    </row>
    <row r="145" spans="2:150" ht="16.5" customHeight="1">
      <c r="B145" s="1123" t="str">
        <f>INDEX('卡片raw data'!B:B,MATCH($D145,'卡片raw data'!$F:$F,))</f>
        <v>sh果</v>
      </c>
      <c r="C145" s="449" t="s">
        <v>124</v>
      </c>
      <c r="D145" s="408">
        <v>142</v>
      </c>
      <c r="E145" s="1090">
        <v>400012001</v>
      </c>
      <c r="F145" s="1090" t="str">
        <f>INDEX('卡片raw data'!C:C,MATCH($D145,'卡片raw data'!$F:$F,))</f>
        <v>SR</v>
      </c>
      <c r="G145" s="1094" t="s">
        <v>331</v>
      </c>
      <c r="H145" s="411">
        <f>IFERROR(INDEX(绊状态确认!C:C,MATCH($G145,绊状态确认!$B:$B,)),"")</f>
        <v>1</v>
      </c>
      <c r="I145" s="450" t="str">
        <f>IFERROR(INDEX(绊状态确认!D:D,MATCH($G145,绊状态确认!$B:$B,)),"")</f>
        <v>缪</v>
      </c>
      <c r="J145" s="450" t="str">
        <f>IFERROR(INDEX(绊状态确认!E:E,MATCH($G145,绊状态确认!$B:$B,)),"")</f>
        <v>2年级</v>
      </c>
      <c r="K145" s="451" t="str">
        <f>IFERROR(INDEX(绊状态确认!F:F,MATCH($G145,绊状态确认!$B:$B,)),"")</f>
        <v>Printemps</v>
      </c>
      <c r="L145" s="1094" t="str">
        <f>INDEX('卡片raw data'!E:E,MATCH($D145,'卡片raw data'!$F:$F,))</f>
        <v>活动卡</v>
      </c>
      <c r="M145" s="415">
        <v>43822</v>
      </c>
      <c r="N145" s="416">
        <v>6</v>
      </c>
      <c r="O145" s="1091" t="str">
        <f>INDEX('卡片raw data'!D:D,MATCH($D145,'卡片raw data'!$F:$F,))</f>
        <v>vo</v>
      </c>
      <c r="P145" s="417">
        <v>5</v>
      </c>
      <c r="Q145" s="1095">
        <f t="shared" si="173"/>
        <v>29346.311796828402</v>
      </c>
      <c r="R145" s="1096">
        <f t="shared" si="174"/>
        <v>0.34100000000000003</v>
      </c>
      <c r="S145" s="1097">
        <f t="shared" si="175"/>
        <v>12379.731417618555</v>
      </c>
      <c r="T145" s="1098">
        <f t="shared" si="176"/>
        <v>0.61799999999999999</v>
      </c>
      <c r="U145" s="1099">
        <f t="shared" si="177"/>
        <v>-14.522782883697145</v>
      </c>
      <c r="V145" s="1100">
        <f t="shared" si="178"/>
        <v>28874.868604065825</v>
      </c>
      <c r="W145" s="1101">
        <f t="shared" si="179"/>
        <v>5670.2937701704859</v>
      </c>
      <c r="X145" s="1096">
        <f t="shared" si="180"/>
        <v>6.5000000000000002E-2</v>
      </c>
      <c r="Y145" s="1097">
        <f t="shared" si="181"/>
        <v>833.22525747911914</v>
      </c>
      <c r="Z145" s="1102">
        <f t="shared" si="182"/>
        <v>10.477217116302855</v>
      </c>
      <c r="AA145" s="1103">
        <f t="shared" si="183"/>
        <v>6503.5190276496051</v>
      </c>
      <c r="AB145" s="1101">
        <f t="shared" si="184"/>
        <v>6832.8660532149734</v>
      </c>
      <c r="AC145" s="1104">
        <f t="shared" si="185"/>
        <v>7.9000000000000001E-2</v>
      </c>
      <c r="AD145" s="1105">
        <f t="shared" si="186"/>
        <v>-3.8207812500000026E-3</v>
      </c>
      <c r="AE145" s="1128">
        <f t="shared" si="187"/>
        <v>-12.27536231884058</v>
      </c>
      <c r="AF145" s="1130">
        <f t="shared" si="188"/>
        <v>0</v>
      </c>
      <c r="AG145" s="420">
        <f t="shared" si="189"/>
        <v>0</v>
      </c>
      <c r="AH145" s="420">
        <f t="shared" si="190"/>
        <v>0</v>
      </c>
      <c r="AI145" s="1097">
        <f t="shared" si="191"/>
        <v>0</v>
      </c>
      <c r="AJ145" s="420">
        <f t="shared" si="192"/>
        <v>0</v>
      </c>
      <c r="AK145" s="518">
        <f t="shared" si="193"/>
        <v>0</v>
      </c>
      <c r="AL145" s="1106">
        <f>IF($P145="","N/A",(IF($P145=-1,INDEX('卡片raw data'!S:S,MATCH($D145,'卡片raw data'!$F:$F,)),0)+IF($P145=0,INDEX('卡片raw data'!V:V,MATCH($D145,'卡片raw data'!$F:$F,)),0)+IF($P145=1,INDEX('卡片raw data'!Y:Y,MATCH($D145,'卡片raw data'!$F:$F,)),0)+IF($P145=2,INDEX('卡片raw data'!AB:AB,MATCH($D145,'卡片raw data'!$F:$F,)),0)+IF($P145=3,INDEX('卡片raw data'!AE:AE,MATCH($D145,'卡片raw data'!$F:$F,)),0)+IF($P145=4,INDEX('卡片raw data'!AH:AH,MATCH($D145,'卡片raw data'!$F:$F,)),0)+IF($P145=5,INDEX('卡片raw data'!AK:AK,MATCH($D145,'卡片raw data'!$F:$F,)),0)+INDEX('卡片raw data'!S:S,MATCH($D145,'卡片raw data'!$F:$F,))*(IF($F145="UR",0.04,0.033))*(IF($F145="UR",INDEX(绊状态确认!$S:$S,MATCH($G145,绊状态确认!$B:$B,))/2-40)+IF($F145="SR",INDEX(绊状态确认!$R:$R,MATCH($G145,绊状态确认!$B:$B,))/4-15))+IF($F145="R",INDEX(绊状态确认!$Q:$Q,MATCH($G145,绊状态确认!$B:$B,))/6-40/6)))*(INDEX(绊状态确认!$H:$H,MATCH($G145,绊状态确认!$B:$B,))+INDEX(绊状态确认!J:J,MATCH($G145,绊状态确认!$B:$B,)))</f>
        <v>5499.1941503999997</v>
      </c>
      <c r="AM145" s="1106">
        <f>IF($P145="","N/A",(IF($P145=-1,INDEX('卡片raw data'!T:T,MATCH($D145,'卡片raw data'!$F:$F,)),0)+IF($P145=0,INDEX('卡片raw data'!W:W,MATCH($D145,'卡片raw data'!$F:$F,)),0)+IF($P145=1,INDEX('卡片raw data'!Z:Z,MATCH($D145,'卡片raw data'!$F:$F,)),0)+IF($P145=2,INDEX('卡片raw data'!AC:AC,MATCH($D145,'卡片raw data'!$F:$F,)),0)+IF($P145=3,INDEX('卡片raw data'!AF:AF,MATCH($D145,'卡片raw data'!$F:$F,)),0)+IF($P145=4,INDEX('卡片raw data'!AI:AI,MATCH($D145,'卡片raw data'!$F:$F,)),0)+IF($P145=5,INDEX('卡片raw data'!AL:AL,MATCH($D145,'卡片raw data'!$F:$F,)),0)+INDEX('卡片raw data'!T:T,MATCH($D145,'卡片raw data'!$F:$F,))*(IF($F145="UR",0.04,0.033))*(IF($F145="UR",INDEX(绊状态确认!$S:$S,MATCH($G145,绊状态确认!$B:$B,))/2-40)+IF($F145="SR",INDEX(绊状态确认!$R:$R,MATCH($G145,绊状态确认!$B:$B,))/4-15))+IF($F145="R",INDEX(绊状态确认!$Q:$Q,MATCH($G145,绊状态确认!$B:$B,))/6-40/6)))*(INDEX(绊状态确认!$H:$H,MATCH($G145,绊状态确认!$B:$B,))+INDEX(绊状态确认!K:K,MATCH($G145,绊状态确认!$B:$B,)))</f>
        <v>5182.9567583999988</v>
      </c>
      <c r="AN145" s="1106">
        <f>IF($P145="","N/A",(IF($P145=-1,INDEX('卡片raw data'!U:U,MATCH($D145,'卡片raw data'!$F:$F,)),0)+IF($P145=0,INDEX('卡片raw data'!X:X,MATCH($D145,'卡片raw data'!$F:$F,)),0)+IF($P145=1,INDEX('卡片raw data'!AA:AA,MATCH($D145,'卡片raw data'!$F:$F,)),0)+IF($P145=2,INDEX('卡片raw data'!AD:AD,MATCH($D145,'卡片raw data'!$F:$F,)),0)+IF($P145=3,INDEX('卡片raw data'!AG:AG,MATCH($D145,'卡片raw data'!$F:$F,)),0)+IF($P145=4,INDEX('卡片raw data'!AJ:AJ,MATCH($D145,'卡片raw data'!$F:$F,)),0)+IF($P145=5,INDEX('卡片raw data'!AM:AM,MATCH($D145,'卡片raw data'!$F:$F,)),0)+INDEX('卡片raw data'!U:U,MATCH($D145,'卡片raw data'!$F:$F,))*(IF($F145="UR",0.04,0.033))*(IF($F145="UR",INDEX(绊状态确认!$S:$S,MATCH($G145,绊状态确认!$B:$B,))/2-40)+IF($F145="SR",INDEX(绊状态确认!$R:$R,MATCH($G145,绊状态确认!$B:$B,))/4-15))+IF($F145="R",INDEX(绊状态确认!$Q:$Q,MATCH($G145,绊状态确认!$B:$B,))/6-40/6)))*(INDEX(绊状态确认!$H:$H,MATCH($G145,绊状态确认!$B:$B,))+INDEX(绊状态确认!L:L,MATCH($G145,绊状态确认!$B:$B,)))</f>
        <v>5026.5426624000002</v>
      </c>
      <c r="AO145" s="1107">
        <f t="shared" si="194"/>
        <v>1</v>
      </c>
      <c r="AP145" s="1131">
        <f>1+(INDEX(绊状态确认!$T:$T,MATCH($G145,绊状态确认!$B:$B,))+0.2)*$AO145</f>
        <v>1.3</v>
      </c>
      <c r="AQ145" s="1108">
        <f t="shared" si="195"/>
        <v>17685.3846448</v>
      </c>
      <c r="AR145" s="1097">
        <f>(AM145*(1+$EX$9)+$EX$35)*(1+(INDEX(绊状态确认!$T:$T,MATCH($G145,绊状态确认!$B:$B,))+0.2)*AO145)*IF(J145=$FF$17,1+$FE$17,1)*IF(I145=$FF$14,1+$FE$14,1)</f>
        <v>9778.7359752159991</v>
      </c>
      <c r="AS145" s="1097">
        <f>(AN145*(1+$EX$10)+$EX$36)*(1+(INDEX(绊状态确认!$T:$T,MATCH($G145,绊状态确认!$B:$B,))+0.2)*AO145)*IF(J145=$FF$17,1+$FE$17,1)*IF(I145=$FF$14,1+$FE$14,1)</f>
        <v>11570.681280287999</v>
      </c>
      <c r="AT145" s="1093">
        <f>IF(AND(INDEX('卡片raw data'!AK:AK,MATCH($D145,'卡片raw data'!$F:$F,))&lt;INDEX('卡片raw data'!AM:AM,MATCH($D145,'卡片raw data'!$F:$F,)),INDEX('卡片raw data'!AL:AL,MATCH($D145,'卡片raw data'!$F:$F,))&lt;INDEX('卡片raw data'!AM:AM,MATCH($D145,'卡片raw data'!$F:$F,))),1,0)</f>
        <v>0</v>
      </c>
      <c r="AU145" s="1098">
        <f>MIN(AT145*0.15+AS145*0.00003+INDEX(绊状态确认!M:M,MATCH($G145,绊状态确认!$B:$B,)),1)</f>
        <v>0.37712043840864001</v>
      </c>
      <c r="AV145" s="1109">
        <f>(INDEX(绊状态确认!$N:$N,MATCH($G145,绊状态确认!$B:$B,))+1.5)*$EW$21</f>
        <v>2.6599999999999997</v>
      </c>
      <c r="AW145" s="1101">
        <f t="shared" si="196"/>
        <v>14934.74244764602</v>
      </c>
      <c r="AX145" s="1097">
        <f t="shared" si="197"/>
        <v>833.22525747911948</v>
      </c>
      <c r="AY145" s="1110">
        <f t="shared" si="198"/>
        <v>15767.96770512514</v>
      </c>
      <c r="AZ145" s="429">
        <f t="shared" si="199"/>
        <v>13323.428593279999</v>
      </c>
      <c r="BA145" s="431">
        <f t="shared" si="200"/>
        <v>15988.114311935999</v>
      </c>
      <c r="BB145" s="1097">
        <f>(AM145*(1+$FB$9)+$FB$35)*(1+(INDEX(绊状态确认!$T:$T,MATCH($G145,绊状态确认!$B:$B,))+0.2)*AO145)*IF(J145=$FF$17,1+$FE$17,1)*IF(I145=$FF$14,1+$FE$14,1)*(1+$FE$15)</f>
        <v>9778.7359752159991</v>
      </c>
      <c r="BC145" s="1097">
        <f>(AN145*(1+$FB$10)+$FB$36)*(1+(INDEX(绊状态确认!$T:$T,MATCH($G145,绊状态确认!$B:$B,))+0.2)*AO145)*IF(J145=$FF$17,1+$FE$17,1)*IF(I145=$FF$14,1+$FE$14,1)*(1+$FE$15)</f>
        <v>11570.681280287999</v>
      </c>
      <c r="BD145" s="1104">
        <f>MIN(AT145*0.15+BC145*0.00003+INDEX(绊状态确认!M:M,MATCH($G145,绊状态确认!$B:$B,)),1)</f>
        <v>0.37712043840864001</v>
      </c>
      <c r="BE145" s="432">
        <f>(INDEX(绊状态确认!$N:$N,MATCH($G145,绊状态确认!$B:$B,))+1.5)</f>
        <v>1.9</v>
      </c>
      <c r="BF145" s="1139">
        <f t="array" ref="BF145">SUMPRODUCT(IF(AZ145*AP145*$FI$16:$FI$23*$FA$22&gt;=$FI$24,$FI$24,AZ145*AP145*$FI$16:$FI$23*$FA$22),$FJ$16:$FJ$23)</f>
        <v>26500.299472033919</v>
      </c>
      <c r="BG145" s="1125">
        <f t="array" ref="BG145">SUMPRODUCT(IF(BE145*AZ145*AP145*$FI$16:$FI$23*$FA$22&gt;=$FI$24,$FI$24,BE145*AZ145*AP145*$FI$16:$FI$23*$FA$22),$FJ$16:$FJ$23)</f>
        <v>50097.883958038146</v>
      </c>
      <c r="BH145" s="1110">
        <f t="shared" si="201"/>
        <v>11799.810292926917</v>
      </c>
      <c r="BI145" s="1111">
        <f>IF(O145="vo",$EW$26/$EW$24*0.05,0)+IF(O145="sk",-$EW$26/$EW$24*(0.05-INDEX(绊状态确认!W:W,MATCH($G145,绊状态确认!$B:$B,)))+0.05*$EW$28,0)+IF(O145="sp",0.05*$EW$32*$EW$30*(1-$EW$33)-(0.05-INDEX(绊状态确认!V:V,MATCH($G145,绊状态确认!$B:$B,)))*$EW$28,0)+IF(O145="gd",-(0.05-INDEX(绊状态确认!X:X,MATCH($G145,绊状态确认!$B:$B,)))*$EW$32*$EW$30*(1-$EW$33),0)</f>
        <v>7726.3029277443748</v>
      </c>
      <c r="BJ145" s="1097">
        <f>IF(O145="vo",0.05*(1-$FI$26)*$FA$24,0)+IF(O145="sk",-(0.05-INDEX(绊状态确认!W:W,MATCH($G145,绊状态确认!$B:$B,)))*(1-$FI$26)*$FA$24+0.05*$FA$26,0)+IF(O145="sp",0.05*$FA$32*$FA$27*(1-$FA$33)/$FA$30+0.05*$FA$29/$FA$69*$FA$27*(1-$FA$33)-(0.05-INDEX(绊状态确认!V:V,MATCH($G145,绊状态确认!$B:$B,)))*$FA$26,0)+IF(O145="gd",-(0.05-INDEX(绊状态确认!X:X,MATCH($G145,绊状态确认!$B:$B,)))*$FA$32*$FA$27*(1-$FA$33)/$FA$30-(0.05-INDEX(绊状态确认!X:X,MATCH($G145,绊状态确认!$B:$B,)))*$FA$29/$FA$69*$FA$27*(1-$FA$33),0)</f>
        <v>393.93433687500004</v>
      </c>
      <c r="BK145" s="1110">
        <f>IF(O145="vo",$EW$26/$EW$24*0.05+$EW$26*(-HP($EW$62,$EW$65,$EW$64)+HP($EW$62,$EW$65,(1.05-INDEX(绊状态确认!U:U,MATCH($G145,绊状态确认!$B:$B,)))*$EW$64)),0)+IF(O145="sk",-$EW$26/$EW$24*(0.05-INDEX(绊状态确认!W:W,MATCH($G145,绊状态确认!$B:$B,)))+0.05*$EW$29,0)+IF(O145="sp",0.05*$EW$32*$EW$30*(1-$EW$33)-(0.05-INDEX(绊状态确认!V:V,MATCH($G145,绊状态确认!$B:$B,)))*$EW$29,0)+IF(O145="gd",-(0.05-INDEX(绊状态确认!X:X,MATCH($G145,绊状态确认!$B:$B,)))*$EW$32*$EW$30*(1-$EW$33)+$EW$26*(-HP($EW$62,$EW$65,$EW$64)+HP($EW$62,$EW$65,0.95*$EW$64)),0)</f>
        <v>6421.6344775026746</v>
      </c>
      <c r="BL145" s="1111">
        <f t="shared" si="202"/>
        <v>-1083.3333333333333</v>
      </c>
      <c r="BM145" s="1110">
        <f t="shared" si="203"/>
        <v>-830.55555555555543</v>
      </c>
      <c r="BN145" s="1113">
        <f t="shared" si="204"/>
        <v>3</v>
      </c>
      <c r="BO145" s="1097">
        <f t="shared" si="205"/>
        <v>4507.7214871259994</v>
      </c>
      <c r="BP145" s="1100">
        <f t="shared" si="206"/>
        <v>221.34103209030098</v>
      </c>
      <c r="BQ145" s="1113" t="s">
        <v>626</v>
      </c>
      <c r="BR145" s="1124" t="s">
        <v>171</v>
      </c>
      <c r="BS145" s="1098">
        <f>IF($P145="","N/A",IF($P145=-1,INDEX('卡片raw data'!AX:AX,MATCH($D145,'卡片raw data'!$F:$F,)),0)+IF($L145="party卡",IF($P145=5,INDEX('卡片raw data'!BD:BD,MATCH($D145,'卡片raw data'!$F:$F,)),IF($P145&gt;=3,INDEX('卡片raw data'!BC:BC,MATCH($D145,'卡片raw data'!$F:$F,)),INDEX('卡片raw data'!BB:BB,MATCH($D145,'卡片raw data'!$F:$F,)))),IF(OR(AND($F145="UR",$P145=0),AND($F145="SR",$P145&gt;=0,$P145&lt;=2),AND($F145="R",$P145&gt;=0,$P145&lt;4)),INDEX('卡片raw data'!AZ:AZ,MATCH($D145,'卡片raw data'!$F:$F,)),0)+IF(OR(AND($F145="UR",$P145&gt;=1,$P145&lt;=4),AND($F145="SR",$P145&lt;=4,$P145&gt;=3),AND($F145="R",$P145=4)),INDEX('卡片raw data'!BA:BA,MATCH($D145,'卡片raw data'!$F:$F,)),0)+IF($P145=5,INDEX('卡片raw data'!BB:BB,MATCH($D145,'卡片raw data'!$F:$F,)),0)))</f>
        <v>3.2000000000000001E-2</v>
      </c>
      <c r="BT145" s="1101">
        <f t="shared" si="207"/>
        <v>1509.2469769191675</v>
      </c>
      <c r="BU145" s="1097">
        <f t="shared" si="208"/>
        <v>95.522578685765595</v>
      </c>
      <c r="BV145" s="1097">
        <f t="shared" si="209"/>
        <v>754.62348845958354</v>
      </c>
      <c r="BW145" s="1112">
        <f t="shared" si="210"/>
        <v>0</v>
      </c>
      <c r="BX145" s="1100">
        <f t="shared" si="211"/>
        <v>1509.2469769191675</v>
      </c>
      <c r="BY145" s="1110">
        <f t="shared" si="212"/>
        <v>754.62348845958354</v>
      </c>
      <c r="BZ145" s="1107" t="s">
        <v>569</v>
      </c>
      <c r="CA145" s="1124"/>
      <c r="CB145" s="1098">
        <f>IF($P145="","N/A",IF($P145=-1,INDEX('卡片raw data'!BE:BE,MATCH($D145,'卡片raw data'!$F:$F,)),0)+IF($L145="party卡",IF($P145=5,INDEX('卡片raw data'!BK:BK,MATCH($D145,'卡片raw data'!$F:$F,)),IF($P145&gt;=3,INDEX('卡片raw data'!BJ:BJ,MATCH($D145,'卡片raw data'!$F:$F,)),INDEX('卡片raw data'!BI:BI,MATCH($D145,'卡片raw data'!$F:$F,)))),IF(OR(AND($F145="UR",$P145=0),AND($F145="SR",$P145&gt;=0,$P145&lt;=2),AND($F145="R",$P145&gt;=0,$P145&lt;4)),INDEX('卡片raw data'!BG:BG,MATCH($D145,'卡片raw data'!$F:$F,)),0)+IF(OR(AND($F145="UR",$P145&gt;=1,$P145&lt;=4),AND($F145="SR",$P145&lt;=4,$P145&gt;=3),AND($F145="R",$P145=4)),INDEX('卡片raw data'!BH:BH,MATCH($D145,'卡片raw data'!$F:$F,)),0)+IF($P145=5,INDEX('卡片raw data'!BI:BI,MATCH($D145,'卡片raw data'!$F:$F,)),0)))</f>
        <v>0</v>
      </c>
      <c r="CC145" s="1101">
        <f t="shared" si="213"/>
        <v>0</v>
      </c>
      <c r="CD145" s="1097">
        <f>IF(BZ145="ap",CB145*(1-$FI$26)*$FB$5/$FB$11*(+IF(CA145="全员",$FA$24,0)+IF(CA145="同作战",$FA$24,0)+IF(CA145="仲间",$FA$24*2/3,0)+IF(CA145="同属性",$FA$24*$FA$37/3,0)+IF(CA145="同年级",$FA$24*$FA$40/3,0)+IF(CA145="同学校",$FA$24*$FA$43/3,0)+IF(CA145="同小队",$FA$24*$FA$46/3,0)+IF(CA145="同type",$FA$24*INDEX($FB$49:$FB$52,MATCH(X145,$FA$49:$FA$52,))/3,0)+IF(CA145="自身",#REF!/3,0)),0)+IF(BZ145="te",CB145*(1-$FI$27)*($FA$20-1)*$FB$7/$FB$13*(+IF(CA145="全员",$FA$19*$FA$24/(1+($FA$20-1)*$FA$19),0)+IF(CA145="同作战",$FA$19*$FA$24/(1+($FA$20-1)*$FA$19),0)+IF(CA145="仲间",$FA$19*$FA$24*2/3/(1+($FA$20-1)*$FA$19),0)+IF(CA145="同属性",$FA$19*$FA$24*$FA$37/3/(1+($FA$20-1)*$FA$19),0)+IF(CA145="同年级",$FA$19*$FA$24*$FA$40/3/(1+($FA$20-1)*$FA$19),0)+IF(CA145="同学校",$FA$19*$FA$24*$FA$43/3/(1+($FA$20-1)*$FA$19),0)+IF(CA145="同小队",$FA$19*$FA$24*$FA$46/3/(1+($FA$20-1)*$FA$19),0)+IF(CA145="同type",$FA$19*$FA$24*INDEX($FB$49:$FB$52,MATCH(X145,$FA$49:$FA$52,))/3/(1+($FA$20-1)*$FA$19),0)+IF(CA145="自身",$FA$19*#REF!/3/(1+(BH145-1)*$BD145),0)),0)</f>
        <v>0</v>
      </c>
      <c r="CE145" s="1097">
        <f t="shared" si="214"/>
        <v>0</v>
      </c>
      <c r="CF145" s="1112">
        <f t="shared" si="215"/>
        <v>0</v>
      </c>
      <c r="CG145" s="1100">
        <f t="shared" si="216"/>
        <v>0</v>
      </c>
      <c r="CH145" s="1110">
        <f t="shared" si="217"/>
        <v>0</v>
      </c>
      <c r="CI145" s="1113" t="s">
        <v>165</v>
      </c>
      <c r="CJ145" s="1114">
        <v>0.3</v>
      </c>
      <c r="CK145" s="1115" t="s">
        <v>566</v>
      </c>
      <c r="CL145" s="1115" t="s">
        <v>171</v>
      </c>
      <c r="CM145" s="1119">
        <v>0.03</v>
      </c>
      <c r="CN145" s="1115" t="s">
        <v>572</v>
      </c>
      <c r="CO145" s="1092"/>
      <c r="CP145" s="1118">
        <f t="shared" si="218"/>
        <v>5.9999999999999993E-3</v>
      </c>
      <c r="CQ145" s="1118">
        <f t="shared" si="219"/>
        <v>5.2500000000000003E-3</v>
      </c>
      <c r="CR145" s="1118">
        <f t="shared" si="220"/>
        <v>2.9999999999999996E-3</v>
      </c>
      <c r="CS145" s="1118">
        <f t="shared" si="221"/>
        <v>0</v>
      </c>
      <c r="CT145" s="1109">
        <f t="shared" si="222"/>
        <v>0</v>
      </c>
      <c r="CU145" s="1101">
        <f t="shared" si="223"/>
        <v>815.89758916980588</v>
      </c>
      <c r="CV145" s="1108">
        <f t="shared" si="224"/>
        <v>34.469254476562504</v>
      </c>
      <c r="CW145" s="1097">
        <f t="shared" si="225"/>
        <v>407.94879458490294</v>
      </c>
      <c r="CX145" s="1097">
        <f t="shared" si="226"/>
        <v>815.89758916980588</v>
      </c>
      <c r="CY145" s="1110">
        <f t="shared" si="227"/>
        <v>407.94879458490294</v>
      </c>
      <c r="CZ145" s="437"/>
      <c r="DA145" s="438"/>
      <c r="DB145" s="439" t="s">
        <v>569</v>
      </c>
      <c r="DC145" s="439"/>
      <c r="DD145" s="443"/>
      <c r="DE145" s="411"/>
      <c r="DF145" s="411"/>
      <c r="DG145" s="1116">
        <f t="shared" si="228"/>
        <v>0</v>
      </c>
      <c r="DH145" s="1116">
        <f t="shared" si="229"/>
        <v>0</v>
      </c>
      <c r="DI145" s="1116">
        <f t="shared" si="230"/>
        <v>0</v>
      </c>
      <c r="DJ145" s="442">
        <f t="shared" si="231"/>
        <v>0</v>
      </c>
      <c r="DK145" s="1109">
        <f t="shared" si="232"/>
        <v>0</v>
      </c>
      <c r="DL145" s="1101">
        <f t="shared" si="233"/>
        <v>0</v>
      </c>
      <c r="DM145" s="1097">
        <f t="shared" si="234"/>
        <v>0</v>
      </c>
      <c r="DN145" s="1097">
        <f t="shared" si="235"/>
        <v>0</v>
      </c>
      <c r="DO145" s="1097">
        <f t="shared" si="236"/>
        <v>0</v>
      </c>
      <c r="DP145" s="1110">
        <f t="shared" si="237"/>
        <v>0</v>
      </c>
      <c r="DQ145" s="1113" t="s">
        <v>545</v>
      </c>
      <c r="DR145" s="1120">
        <f t="shared" si="238"/>
        <v>0.3</v>
      </c>
      <c r="DS145" s="1124"/>
      <c r="DT145" s="1093" t="s">
        <v>548</v>
      </c>
      <c r="DU145" s="1093"/>
      <c r="DV145" s="1098">
        <f>IF($P145="","N/A",IF(P145=-1,INDEX('卡片raw data'!AN:AN,MATCH(D145,'卡片raw data'!$F:$F,)),0)+IF(AND(L145&lt;&gt;"party卡",P145&lt;=2,P145&gt;=0),INDEX('卡片raw data'!AP:AP,MATCH(D145,'卡片raw data'!$F:$F,)),0)+IF(OR(AND(L145="party卡",P145&lt;=1),AND(P145&lt;=4,L145&lt;&gt;"party卡",P145&gt;=3)),INDEX('卡片raw data'!AQ:AQ,MATCH(D145,'卡片raw data'!$F:$F,)),0)+IF(OR(P145=5,AND(L145="party卡",P145&gt;=2)),INDEX('卡片raw data'!AR:AR,MATCH(D145,'卡片raw data'!$F:$F,)),0))</f>
        <v>0.37</v>
      </c>
      <c r="DW145" s="1098">
        <f t="shared" si="239"/>
        <v>0.3</v>
      </c>
      <c r="DX145" s="1098">
        <f t="shared" si="240"/>
        <v>0.3</v>
      </c>
      <c r="DY145" s="1125">
        <f t="shared" si="241"/>
        <v>850.66700141488002</v>
      </c>
      <c r="DZ145" s="1125">
        <f t="shared" si="242"/>
        <v>665.20947811956501</v>
      </c>
      <c r="EA145" s="1098">
        <f t="shared" si="243"/>
        <v>0</v>
      </c>
      <c r="EB145" s="1121">
        <f t="shared" si="244"/>
        <v>0</v>
      </c>
      <c r="EC145" s="1101">
        <f t="shared" si="245"/>
        <v>935.73370155636815</v>
      </c>
      <c r="ED145" s="1097">
        <f t="shared" si="246"/>
        <v>665.20947811956501</v>
      </c>
      <c r="EE145" s="1110">
        <f t="shared" si="247"/>
        <v>935.73370155636815</v>
      </c>
      <c r="EF145" s="1092" t="s">
        <v>711</v>
      </c>
      <c r="EG145" s="1120">
        <f t="shared" si="248"/>
        <v>0.3</v>
      </c>
      <c r="EH145" s="1124"/>
      <c r="EI145" s="1093"/>
      <c r="EJ145" s="1093"/>
      <c r="EK145" s="1097">
        <f>IF($P145="","N/A",IF(P145=-1,INDEX('卡片raw data'!AS:AS,MATCH(D145,'卡片raw data'!$F:$F,)),0)+IF(AND(L145&lt;&gt;"party卡",P145&lt;=2,P145&gt;=0),INDEX('卡片raw data'!AU:AU,MATCH(D145,'卡片raw data'!$F:$F,)),0)+IF(OR(AND(L145="party卡",P145&lt;=1),AND(P145&lt;=4,L145&lt;&gt;"party卡",P145&gt;=3)),INDEX('卡片raw data'!AV:AV,MATCH(D145,'卡片raw data'!$F:$F,)),0)+IF(OR(P145=5,AND(L145="party卡",P145&gt;=2)),INDEX('卡片raw data'!AW:AW,MATCH(D145,'卡片raw data'!$F:$F,)),0))</f>
        <v>0</v>
      </c>
      <c r="EL145" s="1098">
        <f t="shared" si="249"/>
        <v>0.3</v>
      </c>
      <c r="EM145" s="1098">
        <f t="shared" si="250"/>
        <v>0.3</v>
      </c>
      <c r="EN145" s="1125">
        <f t="shared" si="251"/>
        <v>0</v>
      </c>
      <c r="EO145" s="1125">
        <f t="shared" si="252"/>
        <v>0</v>
      </c>
      <c r="EP145" s="1098">
        <f t="shared" si="253"/>
        <v>0</v>
      </c>
      <c r="EQ145" s="1121">
        <f t="shared" si="254"/>
        <v>0</v>
      </c>
      <c r="ER145" s="1101">
        <f t="shared" si="255"/>
        <v>0</v>
      </c>
      <c r="ES145" s="1097">
        <f t="shared" si="256"/>
        <v>0</v>
      </c>
      <c r="ET145" s="1122">
        <f t="shared" si="257"/>
        <v>0</v>
      </c>
    </row>
    <row r="146" spans="2:150" ht="16.5" customHeight="1">
      <c r="B146" s="1123" t="str">
        <f>INDEX('卡片raw data'!B:B,MATCH($D146,'卡片raw data'!$F:$F,))</f>
        <v>动物璃</v>
      </c>
      <c r="C146" s="449" t="s">
        <v>67</v>
      </c>
      <c r="D146" s="408">
        <v>143</v>
      </c>
      <c r="E146" s="1090">
        <v>402092001</v>
      </c>
      <c r="F146" s="1090" t="str">
        <f>INDEX('卡片raw data'!C:C,MATCH($D146,'卡片raw data'!$F:$F,))</f>
        <v>SR</v>
      </c>
      <c r="G146" s="1094" t="s">
        <v>353</v>
      </c>
      <c r="H146" s="411">
        <f>IFERROR(INDEX(绊状态确认!C:C,MATCH($G146,绊状态确认!$B:$B,)),"")</f>
        <v>209</v>
      </c>
      <c r="I146" s="450" t="str">
        <f>IFERROR(INDEX(绊状态确认!D:D,MATCH($G146,绊状态确认!$B:$B,)),"")</f>
        <v>虹</v>
      </c>
      <c r="J146" s="450" t="str">
        <f>IFERROR(INDEX(绊状态确认!E:E,MATCH($G146,绊状态确认!$B:$B,)),"")</f>
        <v>1年级</v>
      </c>
      <c r="K146" s="451" t="str">
        <f>IFERROR(INDEX(绊状态确认!F:F,MATCH($G146,绊状态确认!$B:$B,)),"")</f>
        <v>QU4RTZ</v>
      </c>
      <c r="L146" s="1094" t="str">
        <f>INDEX('卡片raw data'!E:E,MATCH($D146,'卡片raw data'!$F:$F,))</f>
        <v>活动卡</v>
      </c>
      <c r="M146" s="415">
        <v>43822</v>
      </c>
      <c r="N146" s="416">
        <v>6</v>
      </c>
      <c r="O146" s="1091" t="str">
        <f>INDEX('卡片raw data'!D:D,MATCH($D146,'卡片raw data'!$F:$F,))</f>
        <v>sp</v>
      </c>
      <c r="P146" s="417">
        <v>5</v>
      </c>
      <c r="Q146" s="1095">
        <f t="shared" si="173"/>
        <v>23140.75681778145</v>
      </c>
      <c r="R146" s="1096">
        <f t="shared" si="174"/>
        <v>0.26900000000000002</v>
      </c>
      <c r="S146" s="1097">
        <f t="shared" si="175"/>
        <v>14310.91974983159</v>
      </c>
      <c r="T146" s="1098">
        <f t="shared" si="176"/>
        <v>0.71499999999999997</v>
      </c>
      <c r="U146" s="1099">
        <f t="shared" si="177"/>
        <v>7.907019577015574</v>
      </c>
      <c r="V146" s="1100">
        <f t="shared" si="178"/>
        <v>21965.308619818199</v>
      </c>
      <c r="W146" s="1101">
        <f t="shared" si="179"/>
        <v>4702.4443093001064</v>
      </c>
      <c r="X146" s="1096">
        <f t="shared" si="180"/>
        <v>5.3999999999999999E-2</v>
      </c>
      <c r="Y146" s="1097">
        <f t="shared" si="181"/>
        <v>624.551802036749</v>
      </c>
      <c r="Z146" s="1102">
        <f t="shared" si="182"/>
        <v>7.907019577015574</v>
      </c>
      <c r="AA146" s="1103">
        <f t="shared" si="183"/>
        <v>5326.9961113368554</v>
      </c>
      <c r="AB146" s="1101">
        <f t="shared" si="184"/>
        <v>4702.4443093001064</v>
      </c>
      <c r="AC146" s="1104">
        <f t="shared" si="185"/>
        <v>5.3999999999999999E-2</v>
      </c>
      <c r="AD146" s="1105">
        <f t="shared" si="186"/>
        <v>-1.9908281250000003E-2</v>
      </c>
      <c r="AE146" s="1128">
        <f t="shared" si="187"/>
        <v>3.7373071441210133</v>
      </c>
      <c r="AF146" s="1130">
        <f t="shared" si="188"/>
        <v>0</v>
      </c>
      <c r="AG146" s="420">
        <f t="shared" si="189"/>
        <v>0</v>
      </c>
      <c r="AH146" s="420">
        <f t="shared" si="190"/>
        <v>0</v>
      </c>
      <c r="AI146" s="1097">
        <f t="shared" si="191"/>
        <v>0</v>
      </c>
      <c r="AJ146" s="420">
        <f t="shared" si="192"/>
        <v>0</v>
      </c>
      <c r="AK146" s="518">
        <f t="shared" si="193"/>
        <v>0</v>
      </c>
      <c r="AL146" s="1106">
        <f>IF($P146="","N/A",(IF($P146=-1,INDEX('卡片raw data'!S:S,MATCH($D146,'卡片raw data'!$F:$F,)),0)+IF($P146=0,INDEX('卡片raw data'!V:V,MATCH($D146,'卡片raw data'!$F:$F,)),0)+IF($P146=1,INDEX('卡片raw data'!Y:Y,MATCH($D146,'卡片raw data'!$F:$F,)),0)+IF($P146=2,INDEX('卡片raw data'!AB:AB,MATCH($D146,'卡片raw data'!$F:$F,)),0)+IF($P146=3,INDEX('卡片raw data'!AE:AE,MATCH($D146,'卡片raw data'!$F:$F,)),0)+IF($P146=4,INDEX('卡片raw data'!AH:AH,MATCH($D146,'卡片raw data'!$F:$F,)),0)+IF($P146=5,INDEX('卡片raw data'!AK:AK,MATCH($D146,'卡片raw data'!$F:$F,)),0)+INDEX('卡片raw data'!S:S,MATCH($D146,'卡片raw data'!$F:$F,))*(IF($F146="UR",0.04,0.033))*(IF($F146="UR",INDEX(绊状态确认!$S:$S,MATCH($G146,绊状态确认!$B:$B,))/2-40)+IF($F146="SR",INDEX(绊状态确认!$R:$R,MATCH($G146,绊状态确认!$B:$B,))/4-15))+IF($F146="R",INDEX(绊状态确认!$Q:$Q,MATCH($G146,绊状态确认!$B:$B,))/6-40/6)))*(INDEX(绊状态确认!$H:$H,MATCH($G146,绊状态确认!$B:$B,))+INDEX(绊状态确认!J:J,MATCH($G146,绊状态确认!$B:$B,)))</f>
        <v>7070.0785079999996</v>
      </c>
      <c r="AM146" s="1106">
        <f>IF($P146="","N/A",(IF($P146=-1,INDEX('卡片raw data'!T:T,MATCH($D146,'卡片raw data'!$F:$F,)),0)+IF($P146=0,INDEX('卡片raw data'!W:W,MATCH($D146,'卡片raw data'!$F:$F,)),0)+IF($P146=1,INDEX('卡片raw data'!Z:Z,MATCH($D146,'卡片raw data'!$F:$F,)),0)+IF($P146=2,INDEX('卡片raw data'!AC:AC,MATCH($D146,'卡片raw data'!$F:$F,)),0)+IF($P146=3,INDEX('卡片raw data'!AF:AF,MATCH($D146,'卡片raw data'!$F:$F,)),0)+IF($P146=4,INDEX('卡片raw data'!AI:AI,MATCH($D146,'卡片raw data'!$F:$F,)),0)+IF($P146=5,INDEX('卡片raw data'!AL:AL,MATCH($D146,'卡片raw data'!$F:$F,)),0)+INDEX('卡片raw data'!T:T,MATCH($D146,'卡片raw data'!$F:$F,))*(IF($F146="UR",0.04,0.033))*(IF($F146="UR",INDEX(绊状态确认!$S:$S,MATCH($G146,绊状态确认!$B:$B,))/2-40)+IF($F146="SR",INDEX(绊状态确认!$R:$R,MATCH($G146,绊状态确认!$B:$B,))/4-15))+IF($F146="R",INDEX(绊状态确认!$Q:$Q,MATCH($G146,绊状态确认!$B:$B,))/6-40/6)))*(INDEX(绊状态确认!$H:$H,MATCH($G146,绊状态确认!$B:$B,))+INDEX(绊状态确认!K:K,MATCH($G146,绊状态确认!$B:$B,)))</f>
        <v>3142.9051151999997</v>
      </c>
      <c r="AN146" s="1106">
        <f>IF($P146="","N/A",(IF($P146=-1,INDEX('卡片raw data'!U:U,MATCH($D146,'卡片raw data'!$F:$F,)),0)+IF($P146=0,INDEX('卡片raw data'!X:X,MATCH($D146,'卡片raw data'!$F:$F,)),0)+IF($P146=1,INDEX('卡片raw data'!AA:AA,MATCH($D146,'卡片raw data'!$F:$F,)),0)+IF($P146=2,INDEX('卡片raw data'!AD:AD,MATCH($D146,'卡片raw data'!$F:$F,)),0)+IF($P146=3,INDEX('卡片raw data'!AG:AG,MATCH($D146,'卡片raw data'!$F:$F,)),0)+IF($P146=4,INDEX('卡片raw data'!AJ:AJ,MATCH($D146,'卡片raw data'!$F:$F,)),0)+IF($P146=5,INDEX('卡片raw data'!AM:AM,MATCH($D146,'卡片raw data'!$F:$F,)),0)+INDEX('卡片raw data'!U:U,MATCH($D146,'卡片raw data'!$F:$F,))*(IF($F146="UR",0.04,0.033))*(IF($F146="UR",INDEX(绊状态确认!$S:$S,MATCH($G146,绊状态确认!$B:$B,))/2-40)+IF($F146="SR",INDEX(绊状态确认!$R:$R,MATCH($G146,绊状态确认!$B:$B,))/4-15))+IF($F146="R",INDEX(绊状态确认!$Q:$Q,MATCH($G146,绊状态确认!$B:$B,))/6-40/6)))*(INDEX(绊状态确认!$H:$H,MATCH($G146,绊状态确认!$B:$B,))+INDEX(绊状态确认!L:L,MATCH($G146,绊状态确认!$B:$B,)))</f>
        <v>5499.1941503999997</v>
      </c>
      <c r="AO146" s="1107">
        <f t="shared" si="194"/>
        <v>1</v>
      </c>
      <c r="AP146" s="1131">
        <f>1+(INDEX(绊状态确认!$T:$T,MATCH($G146,绊状态确认!$B:$B,))+0.2)*$AO146</f>
        <v>1.3</v>
      </c>
      <c r="AQ146" s="1108">
        <f t="shared" si="195"/>
        <v>21808.956083499997</v>
      </c>
      <c r="AR146" s="1097">
        <f>(AM146*(1+$EX$9)+$EX$35)*(1+(INDEX(绊状态确认!$T:$T,MATCH($G146,绊状态确认!$B:$B,))+0.2)*AO146)*IF(J146=$FF$17,1+$FE$17,1)*IF(I146=$FF$14,1+$FE$14,1)</f>
        <v>6994.0654822480001</v>
      </c>
      <c r="AS146" s="1097">
        <f>(AN146*(1+$EX$10)+$EX$36)*(1+(INDEX(绊状态确认!$T:$T,MATCH($G146,绊状态确认!$B:$B,))+0.2)*AO146)*IF(J146=$FF$17,1+$FE$17,1)*IF(I146=$FF$14,1+$FE$14,1)</f>
        <v>12277.295254847999</v>
      </c>
      <c r="AT146" s="1093">
        <f>IF(AND(INDEX('卡片raw data'!AK:AK,MATCH($D146,'卡片raw data'!$F:$F,))&lt;INDEX('卡片raw data'!AM:AM,MATCH($D146,'卡片raw data'!$F:$F,)),INDEX('卡片raw data'!AL:AL,MATCH($D146,'卡片raw data'!$F:$F,))&lt;INDEX('卡片raw data'!AM:AM,MATCH($D146,'卡片raw data'!$F:$F,))),1,0)</f>
        <v>0</v>
      </c>
      <c r="AU146" s="1098">
        <f>MIN(AT146*0.15+AS146*0.00003+INDEX(绊状态确认!M:M,MATCH($G146,绊状态确认!$B:$B,)),1)</f>
        <v>0.39831885764544001</v>
      </c>
      <c r="AV146" s="1109">
        <f>(INDEX(绊状态确认!$N:$N,MATCH($G146,绊状态确认!$B:$B,))+1.5)*$EW$21</f>
        <v>2.6599999999999997</v>
      </c>
      <c r="AW146" s="1101">
        <f t="shared" si="196"/>
        <v>18815.536083427767</v>
      </c>
      <c r="AX146" s="1097">
        <f t="shared" si="197"/>
        <v>592.33919020099279</v>
      </c>
      <c r="AY146" s="1110">
        <f t="shared" si="198"/>
        <v>19407.875273628761</v>
      </c>
      <c r="AZ146" s="429">
        <f t="shared" si="199"/>
        <v>16386.653090599997</v>
      </c>
      <c r="BA146" s="431">
        <f t="shared" si="200"/>
        <v>19663.983708719996</v>
      </c>
      <c r="BB146" s="1097">
        <f>(AM146*(1+$FB$9)+$FB$35)*(1+(INDEX(绊状态确认!$T:$T,MATCH($G146,绊状态确认!$B:$B,))+0.2)*AO146)*IF(J146=$FF$17,1+$FE$17,1)*IF(I146=$FF$14,1+$FE$14,1)*(1+$FE$15)</f>
        <v>6994.0654822480001</v>
      </c>
      <c r="BC146" s="1097">
        <f>(AN146*(1+$FB$10)+$FB$36)*(1+(INDEX(绊状态确认!$T:$T,MATCH($G146,绊状态确认!$B:$B,))+0.2)*AO146)*IF(J146=$FF$17,1+$FE$17,1)*IF(I146=$FF$14,1+$FE$14,1)*(1+$FE$15)</f>
        <v>12277.295254847999</v>
      </c>
      <c r="BD146" s="1104">
        <f>MIN(AT146*0.15+BC146*0.00003+INDEX(绊状态确认!M:M,MATCH($G146,绊状态确认!$B:$B,)),1)</f>
        <v>0.39831885764544001</v>
      </c>
      <c r="BE146" s="432">
        <f>(INDEX(绊状态确认!$N:$N,MATCH($G146,绊状态确认!$B:$B,))+1.5)</f>
        <v>1.9</v>
      </c>
      <c r="BF146" s="1139">
        <f t="array" ref="BF146">SUMPRODUCT(IF(AZ146*AP146*$FI$16:$FI$23*$FA$22&gt;=$FI$24,$FI$24,AZ146*AP146*$FI$16:$FI$23*$FA$22),$FJ$16:$FJ$23)</f>
        <v>32593.052997203398</v>
      </c>
      <c r="BG146" s="1125">
        <f t="array" ref="BG146">SUMPRODUCT(IF(BE146*AZ146*AP146*$FI$16:$FI$23*$FA$22&gt;=$FI$24,$FI$24,BE146*AZ146*AP146*$FI$16:$FI$23*$FA$22),$FJ$16:$FJ$23)</f>
        <v>57451.767560904453</v>
      </c>
      <c r="BH146" s="1110">
        <f t="shared" si="201"/>
        <v>14164.915928250288</v>
      </c>
      <c r="BI146" s="1111">
        <f>IF(O146="vo",$EW$26/$EW$24*0.05,0)+IF(O146="sk",-$EW$26/$EW$24*(0.05-INDEX(绊状态确认!W:W,MATCH($G146,绊状态确认!$B:$B,)))+0.05*$EW$28,0)+IF(O146="sp",0.05*$EW$32*$EW$30*(1-$EW$33)-(0.05-INDEX(绊状态确认!V:V,MATCH($G146,绊状态确认!$B:$B,)))*$EW$28,0)+IF(O146="gd",-(0.05-INDEX(绊状态确认!X:X,MATCH($G146,绊状态确认!$B:$B,)))*$EW$32*$EW$30*(1-$EW$33),0)</f>
        <v>19.999999999999886</v>
      </c>
      <c r="BJ146" s="1097">
        <f>IF(O146="vo",0.05*(1-$FI$26)*$FA$24,0)+IF(O146="sk",-(0.05-INDEX(绊状态确认!W:W,MATCH($G146,绊状态确认!$B:$B,)))*(1-$FI$26)*$FA$24+0.05*$FA$26,0)+IF(O146="sp",0.05*$FA$32*$FA$27*(1-$FA$33)/$FA$30+0.05*$FA$29/$FA$69*$FA$27*(1-$FA$33)-(0.05-INDEX(绊状态确认!V:V,MATCH($G146,绊状态确认!$B:$B,)))*$FA$26,0)+IF(O146="gd",-(0.05-INDEX(绊状态确认!X:X,MATCH($G146,绊状态确认!$B:$B,)))*$FA$32*$FA$27*(1-$FA$33)/$FA$30-(0.05-INDEX(绊状态确认!X:X,MATCH($G146,绊状态确认!$B:$B,)))*$FA$29/$FA$69*$FA$27*(1-$FA$33),0)</f>
        <v>545.83333333333326</v>
      </c>
      <c r="BK146" s="1110">
        <f>IF(O146="vo",$EW$26/$EW$24*0.05+$EW$26*(-HP($EW$62,$EW$65,$EW$64)+HP($EW$62,$EW$65,(1.05-INDEX(绊状态确认!U:U,MATCH($G146,绊状态确认!$B:$B,)))*$EW$64)),0)+IF(O146="sk",-$EW$26/$EW$24*(0.05-INDEX(绊状态确认!W:W,MATCH($G146,绊状态确认!$B:$B,)))+0.05*$EW$29,0)+IF(O146="sp",0.05*$EW$32*$EW$30*(1-$EW$33)-(0.05-INDEX(绊状态确认!V:V,MATCH($G146,绊状态确认!$B:$B,)))*$EW$29,0)+IF(O146="gd",-(0.05-INDEX(绊状态确认!X:X,MATCH($G146,绊状态确认!$B:$B,)))*$EW$32*$EW$30*(1-$EW$33)+$EW$26*(-HP($EW$62,$EW$65,$EW$64)+HP($EW$62,$EW$65,0.95*$EW$64)),0)</f>
        <v>-1780.0000000000005</v>
      </c>
      <c r="BL146" s="1111">
        <f t="shared" si="202"/>
        <v>-1083.3333333333333</v>
      </c>
      <c r="BM146" s="1110">
        <f t="shared" si="203"/>
        <v>-830.55555555555543</v>
      </c>
      <c r="BN146" s="1113">
        <f t="shared" si="204"/>
        <v>3</v>
      </c>
      <c r="BO146" s="1097">
        <f t="shared" si="205"/>
        <v>4507.7214871259994</v>
      </c>
      <c r="BP146" s="1100">
        <f t="shared" si="206"/>
        <v>221.34103209030098</v>
      </c>
      <c r="BQ146" s="1113" t="s">
        <v>624</v>
      </c>
      <c r="BR146" s="1124" t="s">
        <v>625</v>
      </c>
      <c r="BS146" s="1098">
        <f>IF($P146="","N/A",IF($P146=-1,INDEX('卡片raw data'!AX:AX,MATCH($D146,'卡片raw data'!$F:$F,)),0)+IF($L146="party卡",IF($P146=5,INDEX('卡片raw data'!BD:BD,MATCH($D146,'卡片raw data'!$F:$F,)),IF($P146&gt;=3,INDEX('卡片raw data'!BC:BC,MATCH($D146,'卡片raw data'!$F:$F,)),INDEX('卡片raw data'!BB:BB,MATCH($D146,'卡片raw data'!$F:$F,)))),IF(OR(AND($F146="UR",$P146=0),AND($F146="SR",$P146&gt;=0,$P146&lt;=2),AND($F146="R",$P146&gt;=0,$P146&lt;4)),INDEX('卡片raw data'!AZ:AZ,MATCH($D146,'卡片raw data'!$F:$F,)),0)+IF(OR(AND($F146="UR",$P146&gt;=1,$P146&lt;=4),AND($F146="SR",$P146&lt;=4,$P146&gt;=3),AND($F146="R",$P146=4)),INDEX('卡片raw data'!BA:BA,MATCH($D146,'卡片raw data'!$F:$F,)),0)+IF($P146=5,INDEX('卡片raw data'!BB:BB,MATCH($D146,'卡片raw data'!$F:$F,)),0)))</f>
        <v>7.0000000000000007E-2</v>
      </c>
      <c r="BT146" s="1101">
        <f t="shared" si="207"/>
        <v>0</v>
      </c>
      <c r="BU146" s="1097">
        <f t="shared" si="208"/>
        <v>0</v>
      </c>
      <c r="BV146" s="1097">
        <f t="shared" si="209"/>
        <v>0</v>
      </c>
      <c r="BW146" s="1112">
        <f t="shared" si="210"/>
        <v>0.41337798889271676</v>
      </c>
      <c r="BX146" s="1100">
        <f t="shared" si="211"/>
        <v>32.212611835756434</v>
      </c>
      <c r="BY146" s="1110">
        <f t="shared" si="212"/>
        <v>32.212611835756434</v>
      </c>
      <c r="BZ146" s="1107" t="s">
        <v>569</v>
      </c>
      <c r="CA146" s="1124"/>
      <c r="CB146" s="1098">
        <f>IF($P146="","N/A",IF($P146=-1,INDEX('卡片raw data'!BE:BE,MATCH($D146,'卡片raw data'!$F:$F,)),0)+IF($L146="party卡",IF($P146=5,INDEX('卡片raw data'!BK:BK,MATCH($D146,'卡片raw data'!$F:$F,)),IF($P146&gt;=3,INDEX('卡片raw data'!BJ:BJ,MATCH($D146,'卡片raw data'!$F:$F,)),INDEX('卡片raw data'!BI:BI,MATCH($D146,'卡片raw data'!$F:$F,)))),IF(OR(AND($F146="UR",$P146=0),AND($F146="SR",$P146&gt;=0,$P146&lt;=2),AND($F146="R",$P146&gt;=0,$P146&lt;4)),INDEX('卡片raw data'!BG:BG,MATCH($D146,'卡片raw data'!$F:$F,)),0)+IF(OR(AND($F146="UR",$P146&gt;=1,$P146&lt;=4),AND($F146="SR",$P146&lt;=4,$P146&gt;=3),AND($F146="R",$P146=4)),INDEX('卡片raw data'!BH:BH,MATCH($D146,'卡片raw data'!$F:$F,)),0)+IF($P146=5,INDEX('卡片raw data'!BI:BI,MATCH($D146,'卡片raw data'!$F:$F,)),0)))</f>
        <v>0</v>
      </c>
      <c r="CC146" s="1101">
        <f t="shared" si="213"/>
        <v>0</v>
      </c>
      <c r="CD146" s="1097">
        <f>IF(BZ146="ap",CB146*(1-$FI$26)*$FB$5/$FB$11*(+IF(CA146="全员",$FA$24,0)+IF(CA146="同作战",$FA$24,0)+IF(CA146="仲间",$FA$24*2/3,0)+IF(CA146="同属性",$FA$24*$FA$37/3,0)+IF(CA146="同年级",$FA$24*$FA$40/3,0)+IF(CA146="同学校",$FA$24*$FA$43/3,0)+IF(CA146="同小队",$FA$24*$FA$46/3,0)+IF(CA146="同type",$FA$24*INDEX($FB$49:$FB$52,MATCH(X146,$FA$49:$FA$52,))/3,0)+IF(CA146="自身",#REF!/3,0)),0)+IF(BZ146="te",CB146*(1-$FI$27)*($FA$20-1)*$FB$7/$FB$13*(+IF(CA146="全员",$FA$19*$FA$24/(1+($FA$20-1)*$FA$19),0)+IF(CA146="同作战",$FA$19*$FA$24/(1+($FA$20-1)*$FA$19),0)+IF(CA146="仲间",$FA$19*$FA$24*2/3/(1+($FA$20-1)*$FA$19),0)+IF(CA146="同属性",$FA$19*$FA$24*$FA$37/3/(1+($FA$20-1)*$FA$19),0)+IF(CA146="同年级",$FA$19*$FA$24*$FA$40/3/(1+($FA$20-1)*$FA$19),0)+IF(CA146="同学校",$FA$19*$FA$24*$FA$43/3/(1+($FA$20-1)*$FA$19),0)+IF(CA146="同小队",$FA$19*$FA$24*$FA$46/3/(1+($FA$20-1)*$FA$19),0)+IF(CA146="同type",$FA$19*$FA$24*INDEX($FB$49:$FB$52,MATCH(X146,$FA$49:$FA$52,))/3/(1+($FA$20-1)*$FA$19),0)+IF(CA146="自身",$FA$19*#REF!/3/(1+(BH146-1)*$BD146),0)),0)</f>
        <v>0</v>
      </c>
      <c r="CE146" s="1097">
        <f t="shared" si="214"/>
        <v>0</v>
      </c>
      <c r="CF146" s="1112">
        <f t="shared" si="215"/>
        <v>0</v>
      </c>
      <c r="CG146" s="1100">
        <f t="shared" si="216"/>
        <v>0</v>
      </c>
      <c r="CH146" s="1110">
        <f t="shared" si="217"/>
        <v>0</v>
      </c>
      <c r="CI146" s="1113" t="s">
        <v>165</v>
      </c>
      <c r="CJ146" s="1114">
        <v>0.5</v>
      </c>
      <c r="CK146" s="1115" t="s">
        <v>156</v>
      </c>
      <c r="CL146" s="1115" t="s">
        <v>1940</v>
      </c>
      <c r="CM146" s="1119">
        <v>0.08</v>
      </c>
      <c r="CN146" s="1115"/>
      <c r="CO146" s="1092"/>
      <c r="CP146" s="1116">
        <f t="shared" si="218"/>
        <v>3.1155651547857142</v>
      </c>
      <c r="CQ146" s="1116">
        <f t="shared" si="219"/>
        <v>5.0252402811173322</v>
      </c>
      <c r="CR146" s="1116">
        <f t="shared" si="220"/>
        <v>3.1155651547857142</v>
      </c>
      <c r="CS146" s="1118">
        <f t="shared" si="221"/>
        <v>0</v>
      </c>
      <c r="CT146" s="1109">
        <f t="shared" si="222"/>
        <v>5.0887564194833335</v>
      </c>
      <c r="CU146" s="1101">
        <f t="shared" si="223"/>
        <v>194.72282217410714</v>
      </c>
      <c r="CV146" s="1108">
        <f t="shared" si="224"/>
        <v>209.38501171322218</v>
      </c>
      <c r="CW146" s="1097">
        <f t="shared" si="225"/>
        <v>194.72282217410714</v>
      </c>
      <c r="CX146" s="1097">
        <f t="shared" si="226"/>
        <v>194.72282217410714</v>
      </c>
      <c r="CY146" s="1110">
        <f t="shared" si="227"/>
        <v>194.72282217410714</v>
      </c>
      <c r="CZ146" s="437"/>
      <c r="DA146" s="438"/>
      <c r="DB146" s="439" t="s">
        <v>569</v>
      </c>
      <c r="DC146" s="439"/>
      <c r="DD146" s="443"/>
      <c r="DE146" s="411"/>
      <c r="DF146" s="411"/>
      <c r="DG146" s="1116">
        <f t="shared" si="228"/>
        <v>0</v>
      </c>
      <c r="DH146" s="1116">
        <f t="shared" si="229"/>
        <v>0</v>
      </c>
      <c r="DI146" s="1116">
        <f t="shared" si="230"/>
        <v>0</v>
      </c>
      <c r="DJ146" s="442">
        <f t="shared" si="231"/>
        <v>0</v>
      </c>
      <c r="DK146" s="1109">
        <f t="shared" si="232"/>
        <v>0</v>
      </c>
      <c r="DL146" s="1101">
        <f t="shared" si="233"/>
        <v>0</v>
      </c>
      <c r="DM146" s="1097">
        <f t="shared" si="234"/>
        <v>0</v>
      </c>
      <c r="DN146" s="1097">
        <f t="shared" si="235"/>
        <v>0</v>
      </c>
      <c r="DO146" s="1097">
        <f t="shared" si="236"/>
        <v>0</v>
      </c>
      <c r="DP146" s="1110">
        <f t="shared" si="237"/>
        <v>0</v>
      </c>
      <c r="DQ146" s="1113" t="s">
        <v>256</v>
      </c>
      <c r="DR146" s="1120">
        <f t="shared" si="238"/>
        <v>0.3</v>
      </c>
      <c r="DS146" s="1124"/>
      <c r="DT146" s="1093" t="s">
        <v>548</v>
      </c>
      <c r="DU146" s="1093"/>
      <c r="DV146" s="1098">
        <f>IF($P146="","N/A",IF(P146=-1,INDEX('卡片raw data'!AN:AN,MATCH(D146,'卡片raw data'!$F:$F,)),0)+IF(AND(L146&lt;&gt;"party卡",P146&lt;=2,P146&gt;=0),INDEX('卡片raw data'!AP:AP,MATCH(D146,'卡片raw data'!$F:$F,)),0)+IF(OR(AND(L146="party卡",P146&lt;=1),AND(P146&lt;=4,L146&lt;&gt;"party卡",P146&gt;=3)),INDEX('卡片raw data'!AQ:AQ,MATCH(D146,'卡片raw data'!$F:$F,)),0)+IF(OR(P146=5,AND(L146="party卡",P146&gt;=2)),INDEX('卡片raw data'!AR:AR,MATCH(D146,'卡片raw data'!$F:$F,)),0))</f>
        <v>0.22</v>
      </c>
      <c r="DW146" s="1098">
        <f t="shared" si="239"/>
        <v>0.3</v>
      </c>
      <c r="DX146" s="1098">
        <f t="shared" si="240"/>
        <v>0.3</v>
      </c>
      <c r="DY146" s="1125">
        <f t="shared" si="241"/>
        <v>479.79703383700001</v>
      </c>
      <c r="DZ146" s="1125">
        <f t="shared" si="242"/>
        <v>374.2056099769415</v>
      </c>
      <c r="EA146" s="1098">
        <f t="shared" si="243"/>
        <v>0</v>
      </c>
      <c r="EB146" s="1121">
        <f t="shared" si="244"/>
        <v>0</v>
      </c>
      <c r="EC146" s="1101">
        <f t="shared" si="245"/>
        <v>686.10975838691013</v>
      </c>
      <c r="ED146" s="1097">
        <f t="shared" si="246"/>
        <v>0</v>
      </c>
      <c r="EE146" s="1110">
        <f t="shared" si="247"/>
        <v>686.10975838691013</v>
      </c>
      <c r="EF146" s="1092" t="s">
        <v>711</v>
      </c>
      <c r="EG146" s="1120">
        <f t="shared" si="248"/>
        <v>0.3</v>
      </c>
      <c r="EH146" s="1124"/>
      <c r="EI146" s="1093"/>
      <c r="EJ146" s="1093"/>
      <c r="EK146" s="1097">
        <f>IF($P146="","N/A",IF(P146=-1,INDEX('卡片raw data'!AS:AS,MATCH(D146,'卡片raw data'!$F:$F,)),0)+IF(AND(L146&lt;&gt;"party卡",P146&lt;=2,P146&gt;=0),INDEX('卡片raw data'!AU:AU,MATCH(D146,'卡片raw data'!$F:$F,)),0)+IF(OR(AND(L146="party卡",P146&lt;=1),AND(P146&lt;=4,L146&lt;&gt;"party卡",P146&gt;=3)),INDEX('卡片raw data'!AV:AV,MATCH(D146,'卡片raw data'!$F:$F,)),0)+IF(OR(P146=5,AND(L146="party卡",P146&gt;=2)),INDEX('卡片raw data'!AW:AW,MATCH(D146,'卡片raw data'!$F:$F,)),0))</f>
        <v>0</v>
      </c>
      <c r="EL146" s="1098">
        <f t="shared" si="249"/>
        <v>0.3</v>
      </c>
      <c r="EM146" s="1098">
        <f t="shared" si="250"/>
        <v>0.3</v>
      </c>
      <c r="EN146" s="1125">
        <f t="shared" si="251"/>
        <v>0</v>
      </c>
      <c r="EO146" s="1125">
        <f t="shared" si="252"/>
        <v>0</v>
      </c>
      <c r="EP146" s="1098">
        <f t="shared" si="253"/>
        <v>0</v>
      </c>
      <c r="EQ146" s="1121">
        <f t="shared" si="254"/>
        <v>0</v>
      </c>
      <c r="ER146" s="1101">
        <f t="shared" si="255"/>
        <v>0</v>
      </c>
      <c r="ES146" s="1097">
        <f t="shared" si="256"/>
        <v>0</v>
      </c>
      <c r="ET146" s="1122">
        <f t="shared" si="257"/>
        <v>0</v>
      </c>
    </row>
    <row r="147" spans="2:150" ht="16.5" customHeight="1">
      <c r="B147" s="1123" t="str">
        <f>INDEX('卡片raw data'!B:B,MATCH($D147,'卡片raw data'!$F:$F,))</f>
        <v>fes1鸟</v>
      </c>
      <c r="C147" s="449" t="s">
        <v>22</v>
      </c>
      <c r="D147" s="408">
        <v>144</v>
      </c>
      <c r="E147" s="1090">
        <v>200033001</v>
      </c>
      <c r="F147" s="1090" t="str">
        <f>INDEX('卡片raw data'!C:C,MATCH($D147,'卡片raw data'!$F:$F,))</f>
        <v>UR</v>
      </c>
      <c r="G147" s="1094" t="s">
        <v>26</v>
      </c>
      <c r="H147" s="411">
        <f>IFERROR(INDEX(绊状态确认!C:C,MATCH($G147,绊状态确认!$B:$B,)),"")</f>
        <v>3</v>
      </c>
      <c r="I147" s="450" t="str">
        <f>IFERROR(INDEX(绊状态确认!D:D,MATCH($G147,绊状态确认!$B:$B,)),"")</f>
        <v>缪</v>
      </c>
      <c r="J147" s="450" t="str">
        <f>IFERROR(INDEX(绊状态确认!E:E,MATCH($G147,绊状态确认!$B:$B,)),"")</f>
        <v>2年级</v>
      </c>
      <c r="K147" s="451" t="str">
        <f>IFERROR(INDEX(绊状态确认!F:F,MATCH($G147,绊状态确认!$B:$B,)),"")</f>
        <v>Printemps</v>
      </c>
      <c r="L147" s="1094" t="str">
        <f>INDEX('卡片raw data'!E:E,MATCH($D147,'卡片raw data'!$F:$F,))</f>
        <v>fes卡</v>
      </c>
      <c r="M147" s="415">
        <v>43830</v>
      </c>
      <c r="N147" s="416">
        <v>6.5</v>
      </c>
      <c r="O147" s="1091" t="str">
        <f>INDEX('卡片raw data'!D:D,MATCH($D147,'卡片raw data'!$F:$F,))</f>
        <v>sp</v>
      </c>
      <c r="P147" s="417">
        <v>5</v>
      </c>
      <c r="Q147" s="1095">
        <f t="shared" si="173"/>
        <v>59330.207795091781</v>
      </c>
      <c r="R147" s="1096">
        <f t="shared" si="174"/>
        <v>0.68899999999999995</v>
      </c>
      <c r="S147" s="1097">
        <f t="shared" si="175"/>
        <v>21949.920918767766</v>
      </c>
      <c r="T147" s="1098">
        <f t="shared" si="176"/>
        <v>1.097</v>
      </c>
      <c r="U147" s="1099">
        <f t="shared" si="177"/>
        <v>14.621915196942856</v>
      </c>
      <c r="V147" s="1100">
        <f t="shared" si="178"/>
        <v>58702.97952510912</v>
      </c>
      <c r="W147" s="1101">
        <f t="shared" si="179"/>
        <v>7247.928624424736</v>
      </c>
      <c r="X147" s="1096">
        <f t="shared" si="180"/>
        <v>8.4000000000000005E-2</v>
      </c>
      <c r="Y147" s="1097">
        <f t="shared" si="181"/>
        <v>1172.771730017339</v>
      </c>
      <c r="Z147" s="1102">
        <f t="shared" si="182"/>
        <v>14.621915196942856</v>
      </c>
      <c r="AA147" s="1103">
        <f t="shared" si="183"/>
        <v>8420.700354442075</v>
      </c>
      <c r="AB147" s="1101">
        <f t="shared" si="184"/>
        <v>8474.1917931715598</v>
      </c>
      <c r="AC147" s="1104">
        <f t="shared" si="185"/>
        <v>9.8000000000000004E-2</v>
      </c>
      <c r="AD147" s="1105">
        <f t="shared" si="186"/>
        <v>-1.6087500000000001E-2</v>
      </c>
      <c r="AE147" s="1128">
        <f t="shared" si="187"/>
        <v>29.214134397644919</v>
      </c>
      <c r="AF147" s="1130">
        <f t="shared" si="188"/>
        <v>0</v>
      </c>
      <c r="AG147" s="420">
        <f t="shared" si="189"/>
        <v>0</v>
      </c>
      <c r="AH147" s="420">
        <f t="shared" si="190"/>
        <v>0</v>
      </c>
      <c r="AI147" s="1097">
        <f t="shared" si="191"/>
        <v>0</v>
      </c>
      <c r="AJ147" s="420">
        <f t="shared" si="192"/>
        <v>0</v>
      </c>
      <c r="AK147" s="518">
        <f t="shared" si="193"/>
        <v>0</v>
      </c>
      <c r="AL147" s="1106">
        <f>IF($P147="","N/A",(IF($P147=-1,INDEX('卡片raw data'!S:S,MATCH($D147,'卡片raw data'!$F:$F,)),0)+IF($P147=0,INDEX('卡片raw data'!V:V,MATCH($D147,'卡片raw data'!$F:$F,)),0)+IF($P147=1,INDEX('卡片raw data'!Y:Y,MATCH($D147,'卡片raw data'!$F:$F,)),0)+IF($P147=2,INDEX('卡片raw data'!AB:AB,MATCH($D147,'卡片raw data'!$F:$F,)),0)+IF($P147=3,INDEX('卡片raw data'!AE:AE,MATCH($D147,'卡片raw data'!$F:$F,)),0)+IF($P147=4,INDEX('卡片raw data'!AH:AH,MATCH($D147,'卡片raw data'!$F:$F,)),0)+IF($P147=5,INDEX('卡片raw data'!AK:AK,MATCH($D147,'卡片raw data'!$F:$F,)),0)+INDEX('卡片raw data'!S:S,MATCH($D147,'卡片raw data'!$F:$F,))*(IF($F147="UR",0.04,0.033))*(IF($F147="UR",INDEX(绊状态确认!$S:$S,MATCH($G147,绊状态确认!$B:$B,))/2-40)+IF($F147="SR",INDEX(绊状态确认!$R:$R,MATCH($G147,绊状态确认!$B:$B,))/4-15))+IF($F147="R",INDEX(绊状态确认!$Q:$Q,MATCH($G147,绊状态确认!$B:$B,))/6-40/6)))*(INDEX(绊状态确认!$H:$H,MATCH($G147,绊状态确认!$B:$B,))+INDEX(绊状态确认!J:J,MATCH($G147,绊状态确认!$B:$B,)))</f>
        <v>12897.276335999999</v>
      </c>
      <c r="AM147" s="1106">
        <f>IF($P147="","N/A",(IF($P147=-1,INDEX('卡片raw data'!T:T,MATCH($D147,'卡片raw data'!$F:$F,)),0)+IF($P147=0,INDEX('卡片raw data'!W:W,MATCH($D147,'卡片raw data'!$F:$F,)),0)+IF($P147=1,INDEX('卡片raw data'!Z:Z,MATCH($D147,'卡片raw data'!$F:$F,)),0)+IF($P147=2,INDEX('卡片raw data'!AC:AC,MATCH($D147,'卡片raw data'!$F:$F,)),0)+IF($P147=3,INDEX('卡片raw data'!AF:AF,MATCH($D147,'卡片raw data'!$F:$F,)),0)+IF($P147=4,INDEX('卡片raw data'!AI:AI,MATCH($D147,'卡片raw data'!$F:$F,)),0)+IF($P147=5,INDEX('卡片raw data'!AL:AL,MATCH($D147,'卡片raw data'!$F:$F,)),0)+INDEX('卡片raw data'!T:T,MATCH($D147,'卡片raw data'!$F:$F,))*(IF($F147="UR",0.04,0.033))*(IF($F147="UR",INDEX(绊状态确认!$S:$S,MATCH($G147,绊状态确认!$B:$B,))/2-40)+IF($F147="SR",INDEX(绊状态确认!$R:$R,MATCH($G147,绊状态确认!$B:$B,))/4-15))+IF($F147="R",INDEX(绊状态确认!$Q:$Q,MATCH($G147,绊状态确认!$B:$B,))/6-40/6)))*(INDEX(绊状态确认!$H:$H,MATCH($G147,绊状态确认!$B:$B,))+INDEX(绊状态确认!K:K,MATCH($G147,绊状态确认!$B:$B,)))</f>
        <v>8016.9383519999992</v>
      </c>
      <c r="AN147" s="1106">
        <f>IF($P147="","N/A",(IF($P147=-1,INDEX('卡片raw data'!U:U,MATCH($D147,'卡片raw data'!$F:$F,)),0)+IF($P147=0,INDEX('卡片raw data'!X:X,MATCH($D147,'卡片raw data'!$F:$F,)),0)+IF($P147=1,INDEX('卡片raw data'!AA:AA,MATCH($D147,'卡片raw data'!$F:$F,)),0)+IF($P147=2,INDEX('卡片raw data'!AD:AD,MATCH($D147,'卡片raw data'!$F:$F,)),0)+IF($P147=3,INDEX('卡片raw data'!AG:AG,MATCH($D147,'卡片raw data'!$F:$F,)),0)+IF($P147=4,INDEX('卡片raw data'!AJ:AJ,MATCH($D147,'卡片raw data'!$F:$F,)),0)+IF($P147=5,INDEX('卡片raw data'!AM:AM,MATCH($D147,'卡片raw data'!$F:$F,)),0)+INDEX('卡片raw data'!U:U,MATCH($D147,'卡片raw data'!$F:$F,))*(IF($F147="UR",0.04,0.033))*(IF($F147="UR",INDEX(绊状态确认!$S:$S,MATCH($G147,绊状态确认!$B:$B,))/2-40)+IF($F147="SR",INDEX(绊状态确认!$R:$R,MATCH($G147,绊状态确认!$B:$B,))/4-15))+IF($F147="R",INDEX(绊状态确认!$Q:$Q,MATCH($G147,绊状态确认!$B:$B,))/6-40/6)))*(INDEX(绊状态确认!$H:$H,MATCH($G147,绊状态确认!$B:$B,))+INDEX(绊状态确认!L:L,MATCH($G147,绊状态确认!$B:$B,)))</f>
        <v>13945.900799999998</v>
      </c>
      <c r="AO147" s="1107">
        <f t="shared" si="194"/>
        <v>1</v>
      </c>
      <c r="AP147" s="1131">
        <f>1+(INDEX(绊状态确认!$T:$T,MATCH($G147,绊状态确认!$B:$B,))+0.2)*$AO147</f>
        <v>1.3</v>
      </c>
      <c r="AQ147" s="1108">
        <f t="shared" si="195"/>
        <v>37105.350381999997</v>
      </c>
      <c r="AR147" s="1097">
        <f>(AM147*(1+$EX$9)+$EX$35)*(1+(INDEX(绊状态确认!$T:$T,MATCH($G147,绊状态确认!$B:$B,))+0.2)*AO147)*IF(J147=$FF$17,1+$FE$17,1)*IF(I147=$FF$14,1+$FE$14,1)*(1+$FE$15)</f>
        <v>13647.12085048</v>
      </c>
      <c r="AS147" s="1097">
        <f>(AN147*(1+$EX$10)+$EX$36)*(1+(INDEX(绊状态确认!$T:$T,MATCH($G147,绊状态确认!$B:$B,))+0.2)*AO147)*IF(J147=$FF$17,1+$FE$17,1)*IF(I147=$FF$14,1+$FE$14,1)*(1+$FE$15)</f>
        <v>24905.121695999995</v>
      </c>
      <c r="AT147" s="1093">
        <f>IF(AND(INDEX('卡片raw data'!AK:AK,MATCH($D147,'卡片raw data'!$F:$F,))&lt;INDEX('卡片raw data'!AM:AM,MATCH($D147,'卡片raw data'!$F:$F,)),INDEX('卡片raw data'!AL:AL,MATCH($D147,'卡片raw data'!$F:$F,))&lt;INDEX('卡片raw data'!AM:AM,MATCH($D147,'卡片raw data'!$F:$F,))),1,0)</f>
        <v>1</v>
      </c>
      <c r="AU147" s="1098">
        <f>MIN(AT147*0.15+AS147*0.00003+INDEX(绊状态确认!M:M,MATCH($G147,绊状态确认!$B:$B,)),1)</f>
        <v>0.9271536508799999</v>
      </c>
      <c r="AV147" s="1109">
        <f>(INDEX(绊状态确认!$N:$N,MATCH($G147,绊状态确认!$B:$B,))+1.5)*$EW$21</f>
        <v>2.6599999999999997</v>
      </c>
      <c r="AW147" s="1101">
        <f t="shared" si="196"/>
        <v>48929.349335253559</v>
      </c>
      <c r="AX147" s="1097">
        <f t="shared" si="197"/>
        <v>1172.7717300173383</v>
      </c>
      <c r="AY147" s="1110">
        <f t="shared" si="198"/>
        <v>50102.121065270898</v>
      </c>
      <c r="AZ147" s="429">
        <f t="shared" si="199"/>
        <v>27749.688855199998</v>
      </c>
      <c r="BA147" s="431">
        <f t="shared" si="200"/>
        <v>33299.626626239995</v>
      </c>
      <c r="BB147" s="1097">
        <f>(AM147*(1+$FB$9)+$FB$35)*(1+(INDEX(绊状态确认!$T:$T,MATCH($G147,绊状态确认!$B:$B,))+0.2)*AO147)*IF(J147=$FF$17,1+$FE$17,1)*IF(I147=$FF$14,1+$FE$14,1)*(1+$FE$15)</f>
        <v>13647.12085048</v>
      </c>
      <c r="BC147" s="1097">
        <f>(AN147*(1+$FB$10)+$FB$36)*(1+(INDEX(绊状态确认!$T:$T,MATCH($G147,绊状态确认!$B:$B,))+0.2)*AO147)*IF(J147=$FF$17,1+$FE$17,1)*IF(I147=$FF$14,1+$FE$14,1)*(1+$FE$15)</f>
        <v>24905.121695999995</v>
      </c>
      <c r="BD147" s="1104">
        <f>MIN(AT147*0.15+BC147*0.00003+INDEX(绊状态确认!M:M,MATCH($G147,绊状态确认!$B:$B,)),1)</f>
        <v>0.9271536508799999</v>
      </c>
      <c r="BE147" s="432">
        <f>(INDEX(绊状态确认!$N:$N,MATCH($G147,绊状态确认!$B:$B,))+1.5)</f>
        <v>1.9</v>
      </c>
      <c r="BF147" s="1139">
        <f t="array" ref="BF147">SUMPRODUCT(IF(AZ147*AP147*$FI$16:$FI$23*$FA$22&gt;=$FI$24,$FI$24,AZ147*AP147*$FI$16:$FI$23*$FA$22),$FJ$16:$FJ$23)</f>
        <v>53713.84955664241</v>
      </c>
      <c r="BG147" s="1125">
        <f t="array" ref="BG147">SUMPRODUCT(IF(BE147*AZ147*AP147*$FI$16:$FI$23*$FA$22&gt;=$FI$24,$FI$24,BE147*AZ147*AP147*$FI$16:$FI$23*$FA$22),$FJ$16:$FJ$23)</f>
        <v>60000</v>
      </c>
      <c r="BH147" s="1110">
        <f t="shared" si="201"/>
        <v>19847.358963394108</v>
      </c>
      <c r="BI147" s="1111">
        <f>IF(O147="vo",$EW$26/$EW$24*0.05,0)+IF(O147="sk",-$EW$26/$EW$24*(0.05-INDEX(绊状态确认!W:W,MATCH($G147,绊状态确认!$B:$B,)))+0.05*$EW$28,0)+IF(O147="sp",0.05*$EW$32*$EW$30*(1-$EW$33)-(0.05-INDEX(绊状态确认!V:V,MATCH($G147,绊状态确认!$B:$B,)))*$EW$28,0)+IF(O147="gd",-(0.05-INDEX(绊状态确认!X:X,MATCH($G147,绊状态确认!$B:$B,)))*$EW$32*$EW$30*(1-$EW$33),0)</f>
        <v>19.999999999999886</v>
      </c>
      <c r="BJ147" s="1097">
        <f>IF(O147="vo",0.05*(1-$FI$26)*$FA$24,0)+IF(O147="sk",-(0.05-INDEX(绊状态确认!W:W,MATCH($G147,绊状态确认!$B:$B,)))*(1-$FI$26)*$FA$24+0.05*$FA$26,0)+IF(O147="sp",0.05*$FA$32*$FA$27*(1-$FA$33)/$FA$30+0.05*$FA$29/$FA$69*$FA$27*(1-$FA$33)-(0.05-INDEX(绊状态确认!V:V,MATCH($G147,绊状态确认!$B:$B,)))*$FA$26,0)+IF(O147="gd",-(0.05-INDEX(绊状态确认!X:X,MATCH($G147,绊状态确认!$B:$B,)))*$FA$32*$FA$27*(1-$FA$33)/$FA$30-(0.05-INDEX(绊状态确认!X:X,MATCH($G147,绊状态确认!$B:$B,)))*$FA$29/$FA$69*$FA$27*(1-$FA$33),0)</f>
        <v>545.83333333333326</v>
      </c>
      <c r="BK147" s="1110">
        <f>IF(O147="vo",$EW$26/$EW$24*0.05+$EW$26*(-HP($EW$62,$EW$65,$EW$64)+HP($EW$62,$EW$65,(1.05-INDEX(绊状态确认!U:U,MATCH($G147,绊状态确认!$B:$B,)))*$EW$64)),0)+IF(O147="sk",-$EW$26/$EW$24*(0.05-INDEX(绊状态确认!W:W,MATCH($G147,绊状态确认!$B:$B,)))+0.05*$EW$29,0)+IF(O147="sp",0.05*$EW$32*$EW$30*(1-$EW$33)-(0.05-INDEX(绊状态确认!V:V,MATCH($G147,绊状态确认!$B:$B,)))*$EW$29,0)+IF(O147="gd",-(0.05-INDEX(绊状态确认!X:X,MATCH($G147,绊状态确认!$B:$B,)))*$EW$32*$EW$30*(1-$EW$33)+$EW$26*(-HP($EW$62,$EW$65,$EW$64)+HP($EW$62,$EW$65,0.95*$EW$64)),0)</f>
        <v>-1780.0000000000005</v>
      </c>
      <c r="BL147" s="1111">
        <f t="shared" si="202"/>
        <v>0</v>
      </c>
      <c r="BM147" s="1110">
        <f t="shared" si="203"/>
        <v>0</v>
      </c>
      <c r="BN147" s="1113">
        <f t="shared" si="204"/>
        <v>4</v>
      </c>
      <c r="BO147" s="1097">
        <f t="shared" si="205"/>
        <v>6010.2953161679998</v>
      </c>
      <c r="BP147" s="1100">
        <f t="shared" si="206"/>
        <v>295.12137612040135</v>
      </c>
      <c r="BQ147" s="1113" t="s">
        <v>145</v>
      </c>
      <c r="BR147" s="1124" t="s">
        <v>148</v>
      </c>
      <c r="BS147" s="1098">
        <f>IF($P147="","N/A",IF($P147=-1,INDEX('卡片raw data'!AX:AX,MATCH($D147,'卡片raw data'!$F:$F,)),0)+IF($L147="party卡",IF($P147=5,INDEX('卡片raw data'!BD:BD,MATCH($D147,'卡片raw data'!$F:$F,)),IF($P147&gt;=3,INDEX('卡片raw data'!BC:BC,MATCH($D147,'卡片raw data'!$F:$F,)),INDEX('卡片raw data'!BB:BB,MATCH($D147,'卡片raw data'!$F:$F,)))),IF(OR(AND($F147="UR",$P147=0),AND($F147="SR",$P147&gt;=0,$P147&lt;=2),AND($F147="R",$P147&gt;=0,$P147&lt;4)),INDEX('卡片raw data'!AZ:AZ,MATCH($D147,'卡片raw data'!$F:$F,)),0)+IF(OR(AND($F147="UR",$P147&gt;=1,$P147&lt;=4),AND($F147="SR",$P147&lt;=4,$P147&gt;=3),AND($F147="R",$P147=4)),INDEX('卡片raw data'!BA:BA,MATCH($D147,'卡片raw data'!$F:$F,)),0)+IF($P147=5,INDEX('卡片raw data'!BB:BB,MATCH($D147,'卡片raw data'!$F:$F,)),0)))</f>
        <v>5.1999999999999998E-2</v>
      </c>
      <c r="BT147" s="1101">
        <f t="shared" si="207"/>
        <v>2452.5263374936467</v>
      </c>
      <c r="BU147" s="1097">
        <f t="shared" si="208"/>
        <v>155.22419036436909</v>
      </c>
      <c r="BV147" s="1097">
        <f t="shared" si="209"/>
        <v>1226.2631687468233</v>
      </c>
      <c r="BW147" s="1112">
        <f t="shared" si="210"/>
        <v>0</v>
      </c>
      <c r="BX147" s="1100">
        <f t="shared" si="211"/>
        <v>2452.5263374936467</v>
      </c>
      <c r="BY147" s="1110">
        <f t="shared" si="212"/>
        <v>1226.2631687468233</v>
      </c>
      <c r="BZ147" s="1107" t="s">
        <v>569</v>
      </c>
      <c r="CA147" s="1124"/>
      <c r="CB147" s="1098">
        <f>IF($P147="","N/A",IF($P147=-1,INDEX('卡片raw data'!BE:BE,MATCH($D147,'卡片raw data'!$F:$F,)),0)+IF($L147="party卡",IF($P147=5,INDEX('卡片raw data'!BK:BK,MATCH($D147,'卡片raw data'!$F:$F,)),IF($P147&gt;=3,INDEX('卡片raw data'!BJ:BJ,MATCH($D147,'卡片raw data'!$F:$F,)),INDEX('卡片raw data'!BI:BI,MATCH($D147,'卡片raw data'!$F:$F,)))),IF(OR(AND($F147="UR",$P147=0),AND($F147="SR",$P147&gt;=0,$P147&lt;=2),AND($F147="R",$P147&gt;=0,$P147&lt;4)),INDEX('卡片raw data'!BG:BG,MATCH($D147,'卡片raw data'!$F:$F,)),0)+IF(OR(AND($F147="UR",$P147&gt;=1,$P147&lt;=4),AND($F147="SR",$P147&lt;=4,$P147&gt;=3),AND($F147="R",$P147=4)),INDEX('卡片raw data'!BH:BH,MATCH($D147,'卡片raw data'!$F:$F,)),0)+IF($P147=5,INDEX('卡片raw data'!BI:BI,MATCH($D147,'卡片raw data'!$F:$F,)),0)))</f>
        <v>0</v>
      </c>
      <c r="CC147" s="1101">
        <f t="shared" si="213"/>
        <v>0</v>
      </c>
      <c r="CD147" s="1097">
        <f>IF(BZ147="ap",CB147*(1-$FI$26)*$FB$5/$FB$11*(+IF(CA147="全员",$FA$24,0)+IF(CA147="同作战",$FA$24,0)+IF(CA147="仲间",$FA$24*2/3,0)+IF(CA147="同属性",$FA$24*$FA$37/3,0)+IF(CA147="同年级",$FA$24*$FA$40/3,0)+IF(CA147="同学校",$FA$24*$FA$43/3,0)+IF(CA147="同小队",$FA$24*$FA$46/3,0)+IF(CA147="同type",$FA$24*INDEX($FB$49:$FB$52,MATCH(X147,$FA$49:$FA$52,))/3,0)+IF(CA147="自身",#REF!/3,0)),0)+IF(BZ147="te",CB147*(1-$FI$27)*($FA$20-1)*$FB$7/$FB$13*(+IF(CA147="全员",$FA$19*$FA$24/(1+($FA$20-1)*$FA$19),0)+IF(CA147="同作战",$FA$19*$FA$24/(1+($FA$20-1)*$FA$19),0)+IF(CA147="仲间",$FA$19*$FA$24*2/3/(1+($FA$20-1)*$FA$19),0)+IF(CA147="同属性",$FA$19*$FA$24*$FA$37/3/(1+($FA$20-1)*$FA$19),0)+IF(CA147="同年级",$FA$19*$FA$24*$FA$40/3/(1+($FA$20-1)*$FA$19),0)+IF(CA147="同学校",$FA$19*$FA$24*$FA$43/3/(1+($FA$20-1)*$FA$19),0)+IF(CA147="同小队",$FA$19*$FA$24*$FA$46/3/(1+($FA$20-1)*$FA$19),0)+IF(CA147="同type",$FA$19*$FA$24*INDEX($FB$49:$FB$52,MATCH(X147,$FA$49:$FA$52,))/3/(1+($FA$20-1)*$FA$19),0)+IF(CA147="自身",$FA$19*#REF!/3/(1+(BH147-1)*$BD147),0)),0)</f>
        <v>0</v>
      </c>
      <c r="CE147" s="1097">
        <f t="shared" si="214"/>
        <v>0</v>
      </c>
      <c r="CF147" s="1112">
        <f t="shared" si="215"/>
        <v>0</v>
      </c>
      <c r="CG147" s="1100">
        <f t="shared" si="216"/>
        <v>0</v>
      </c>
      <c r="CH147" s="1110">
        <f t="shared" si="217"/>
        <v>0</v>
      </c>
      <c r="CI147" s="1113" t="s">
        <v>170</v>
      </c>
      <c r="CJ147" s="1114">
        <v>0.3</v>
      </c>
      <c r="CK147" s="1115" t="s">
        <v>256</v>
      </c>
      <c r="CL147" s="1115" t="s">
        <v>1940</v>
      </c>
      <c r="CM147" s="1119">
        <v>0.2</v>
      </c>
      <c r="CN147" s="1115"/>
      <c r="CO147" s="1092"/>
      <c r="CP147" s="1116">
        <f t="shared" si="218"/>
        <v>7.951146510428571</v>
      </c>
      <c r="CQ147" s="1116">
        <f t="shared" si="219"/>
        <v>11.099875542079998</v>
      </c>
      <c r="CR147" s="1116">
        <f t="shared" si="220"/>
        <v>7.951146510428571</v>
      </c>
      <c r="CS147" s="1118">
        <f t="shared" si="221"/>
        <v>0</v>
      </c>
      <c r="CT147" s="1109">
        <f t="shared" si="222"/>
        <v>0</v>
      </c>
      <c r="CU147" s="1101">
        <f t="shared" si="223"/>
        <v>11.370139509912859</v>
      </c>
      <c r="CV147" s="1108">
        <f t="shared" si="224"/>
        <v>0</v>
      </c>
      <c r="CW147" s="1097">
        <f t="shared" si="225"/>
        <v>11.370139509912857</v>
      </c>
      <c r="CX147" s="1097">
        <f t="shared" si="226"/>
        <v>11.370139509912859</v>
      </c>
      <c r="CY147" s="1110">
        <f t="shared" si="227"/>
        <v>11.370139509912857</v>
      </c>
      <c r="CZ147" s="437"/>
      <c r="DA147" s="438"/>
      <c r="DB147" s="439" t="s">
        <v>569</v>
      </c>
      <c r="DC147" s="439"/>
      <c r="DD147" s="443"/>
      <c r="DE147" s="411"/>
      <c r="DF147" s="411"/>
      <c r="DG147" s="1116">
        <f t="shared" si="228"/>
        <v>0</v>
      </c>
      <c r="DH147" s="1116">
        <f t="shared" si="229"/>
        <v>0</v>
      </c>
      <c r="DI147" s="1116">
        <f t="shared" si="230"/>
        <v>0</v>
      </c>
      <c r="DJ147" s="442">
        <f t="shared" si="231"/>
        <v>0</v>
      </c>
      <c r="DK147" s="1109">
        <f t="shared" si="232"/>
        <v>0</v>
      </c>
      <c r="DL147" s="1101">
        <f t="shared" si="233"/>
        <v>0</v>
      </c>
      <c r="DM147" s="1097">
        <f t="shared" si="234"/>
        <v>0</v>
      </c>
      <c r="DN147" s="1097">
        <f t="shared" si="235"/>
        <v>0</v>
      </c>
      <c r="DO147" s="1097">
        <f t="shared" si="236"/>
        <v>0</v>
      </c>
      <c r="DP147" s="1110">
        <f t="shared" si="237"/>
        <v>0</v>
      </c>
      <c r="DQ147" s="1113" t="s">
        <v>157</v>
      </c>
      <c r="DR147" s="1120">
        <f t="shared" si="238"/>
        <v>0.33</v>
      </c>
      <c r="DS147" s="1124">
        <v>10</v>
      </c>
      <c r="DT147" s="1093" t="s">
        <v>171</v>
      </c>
      <c r="DU147" s="1093" t="s">
        <v>544</v>
      </c>
      <c r="DV147" s="1098">
        <f>IF($P147="","N/A",IF(P147=-1,INDEX('卡片raw data'!AN:AN,MATCH(D147,'卡片raw data'!$F:$F,)),0)+IF(AND(L147&lt;&gt;"party卡",P147&lt;=2,P147&gt;=0),INDEX('卡片raw data'!AP:AP,MATCH(D147,'卡片raw data'!$F:$F,)),0)+IF(OR(AND(L147="party卡",P147&lt;=1),AND(P147&lt;=4,L147&lt;&gt;"party卡",P147&gt;=3)),INDEX('卡片raw data'!AQ:AQ,MATCH(D147,'卡片raw data'!$F:$F,)),0)+IF(OR(P147=5,AND(L147="party卡",P147&gt;=2)),INDEX('卡片raw data'!AR:AR,MATCH(D147,'卡片raw data'!$F:$F,)),0))</f>
        <v>0.2</v>
      </c>
      <c r="DW147" s="1098">
        <f t="shared" si="239"/>
        <v>0.33</v>
      </c>
      <c r="DX147" s="1098">
        <f t="shared" si="240"/>
        <v>0.33</v>
      </c>
      <c r="DY147" s="1098">
        <f t="shared" si="241"/>
        <v>0.1466666666666667</v>
      </c>
      <c r="DZ147" s="1098">
        <f t="shared" si="242"/>
        <v>0.11100833333333335</v>
      </c>
      <c r="EA147" s="1098">
        <f t="shared" si="243"/>
        <v>0</v>
      </c>
      <c r="EB147" s="1121">
        <f t="shared" si="244"/>
        <v>18.290221354166661</v>
      </c>
      <c r="EC147" s="1101">
        <f t="shared" si="245"/>
        <v>1906.666666666667</v>
      </c>
      <c r="ED147" s="1097">
        <f t="shared" si="246"/>
        <v>1106.3830555555555</v>
      </c>
      <c r="EE147" s="1110">
        <f t="shared" si="247"/>
        <v>1906.666666666667</v>
      </c>
      <c r="EF147" s="1092" t="s">
        <v>711</v>
      </c>
      <c r="EG147" s="1120">
        <f t="shared" si="248"/>
        <v>0.33</v>
      </c>
      <c r="EH147" s="1124"/>
      <c r="EI147" s="1093"/>
      <c r="EJ147" s="1093"/>
      <c r="EK147" s="1097">
        <f>IF($P147="","N/A",IF(P147=-1,INDEX('卡片raw data'!AS:AS,MATCH(D147,'卡片raw data'!$F:$F,)),0)+IF(AND(L147&lt;&gt;"party卡",P147&lt;=2,P147&gt;=0),INDEX('卡片raw data'!AU:AU,MATCH(D147,'卡片raw data'!$F:$F,)),0)+IF(OR(AND(L147="party卡",P147&lt;=1),AND(P147&lt;=4,L147&lt;&gt;"party卡",P147&gt;=3)),INDEX('卡片raw data'!AV:AV,MATCH(D147,'卡片raw data'!$F:$F,)),0)+IF(OR(P147=5,AND(L147="party卡",P147&gt;=2)),INDEX('卡片raw data'!AW:AW,MATCH(D147,'卡片raw data'!$F:$F,)),0))</f>
        <v>0</v>
      </c>
      <c r="EL147" s="1098">
        <f t="shared" si="249"/>
        <v>0.33</v>
      </c>
      <c r="EM147" s="1098">
        <f t="shared" si="250"/>
        <v>0.33</v>
      </c>
      <c r="EN147" s="1125">
        <f t="shared" si="251"/>
        <v>0</v>
      </c>
      <c r="EO147" s="1125">
        <f t="shared" si="252"/>
        <v>0</v>
      </c>
      <c r="EP147" s="1098">
        <f t="shared" si="253"/>
        <v>0</v>
      </c>
      <c r="EQ147" s="1121">
        <f t="shared" si="254"/>
        <v>0</v>
      </c>
      <c r="ER147" s="1101">
        <f t="shared" si="255"/>
        <v>0</v>
      </c>
      <c r="ES147" s="1097">
        <f t="shared" si="256"/>
        <v>0</v>
      </c>
      <c r="ET147" s="1122">
        <f t="shared" si="257"/>
        <v>0</v>
      </c>
    </row>
    <row r="148" spans="2:150" ht="16.5" customHeight="1">
      <c r="B148" s="1123" t="str">
        <f>INDEX('卡片raw data'!B:B,MATCH($D148,'卡片raw data'!$F:$F,))</f>
        <v>fes1善</v>
      </c>
      <c r="C148" s="449" t="s">
        <v>69</v>
      </c>
      <c r="D148" s="408">
        <v>145</v>
      </c>
      <c r="E148" s="1090">
        <v>201063001</v>
      </c>
      <c r="F148" s="1090" t="str">
        <f>INDEX('卡片raw data'!C:C,MATCH($D148,'卡片raw data'!$F:$F,))</f>
        <v>UR</v>
      </c>
      <c r="G148" s="1094" t="s">
        <v>38</v>
      </c>
      <c r="H148" s="411">
        <f>IFERROR(INDEX(绊状态确认!C:C,MATCH($G148,绊状态确认!$B:$B,)),"")</f>
        <v>106</v>
      </c>
      <c r="I148" s="450" t="str">
        <f>IFERROR(INDEX(绊状态确认!D:D,MATCH($G148,绊状态确认!$B:$B,)),"")</f>
        <v>水</v>
      </c>
      <c r="J148" s="450" t="str">
        <f>IFERROR(INDEX(绊状态确认!E:E,MATCH($G148,绊状态确认!$B:$B,)),"")</f>
        <v>1年级</v>
      </c>
      <c r="K148" s="451" t="str">
        <f>IFERROR(INDEX(绊状态确认!F:F,MATCH($G148,绊状态确认!$B:$B,)),"")</f>
        <v>Guilty Kiss</v>
      </c>
      <c r="L148" s="1094" t="str">
        <f>INDEX('卡片raw data'!E:E,MATCH($D148,'卡片raw data'!$F:$F,))</f>
        <v>fes卡</v>
      </c>
      <c r="M148" s="415">
        <v>43830</v>
      </c>
      <c r="N148" s="416">
        <v>6.5</v>
      </c>
      <c r="O148" s="1091" t="str">
        <f>INDEX('卡片raw data'!D:D,MATCH($D148,'卡片raw data'!$F:$F,))</f>
        <v>sk</v>
      </c>
      <c r="P148" s="417">
        <v>5</v>
      </c>
      <c r="Q148" s="1095">
        <f t="shared" si="173"/>
        <v>40707.838595583096</v>
      </c>
      <c r="R148" s="1096">
        <f t="shared" si="174"/>
        <v>0.47299999999999998</v>
      </c>
      <c r="S148" s="1097">
        <f t="shared" si="175"/>
        <v>20661.799235582937</v>
      </c>
      <c r="T148" s="1098">
        <f t="shared" si="176"/>
        <v>1.0329999999999999</v>
      </c>
      <c r="U148" s="1099">
        <f t="shared" si="177"/>
        <v>22.17728171254285</v>
      </c>
      <c r="V148" s="1100">
        <f t="shared" si="178"/>
        <v>44498.564923743448</v>
      </c>
      <c r="W148" s="1101">
        <f t="shared" si="179"/>
        <v>6010.2953161679998</v>
      </c>
      <c r="X148" s="1096">
        <f t="shared" si="180"/>
        <v>6.9000000000000006E-2</v>
      </c>
      <c r="Y148" s="1097">
        <f t="shared" si="181"/>
        <v>1790.7263281603482</v>
      </c>
      <c r="Z148" s="1102">
        <f t="shared" si="182"/>
        <v>22.17728171254285</v>
      </c>
      <c r="AA148" s="1103">
        <f t="shared" si="183"/>
        <v>7801.021644328348</v>
      </c>
      <c r="AB148" s="1101">
        <f t="shared" si="184"/>
        <v>6010.2953161679998</v>
      </c>
      <c r="AC148" s="1104">
        <f t="shared" si="185"/>
        <v>6.9000000000000006E-2</v>
      </c>
      <c r="AD148" s="1105">
        <f t="shared" si="186"/>
        <v>8.1187158806818177E-2</v>
      </c>
      <c r="AE148" s="1128">
        <f t="shared" si="187"/>
        <v>40.858757704745855</v>
      </c>
      <c r="AF148" s="1130">
        <f t="shared" si="188"/>
        <v>0</v>
      </c>
      <c r="AG148" s="420">
        <f t="shared" si="189"/>
        <v>0</v>
      </c>
      <c r="AH148" s="420">
        <f t="shared" si="190"/>
        <v>0</v>
      </c>
      <c r="AI148" s="1097">
        <f t="shared" si="191"/>
        <v>0</v>
      </c>
      <c r="AJ148" s="420">
        <f t="shared" si="192"/>
        <v>0</v>
      </c>
      <c r="AK148" s="518">
        <f t="shared" si="193"/>
        <v>0</v>
      </c>
      <c r="AL148" s="1106">
        <f>IF($P148="","N/A",(IF($P148=-1,INDEX('卡片raw data'!S:S,MATCH($D148,'卡片raw data'!$F:$F,)),0)+IF($P148=0,INDEX('卡片raw data'!V:V,MATCH($D148,'卡片raw data'!$F:$F,)),0)+IF($P148=1,INDEX('卡片raw data'!Y:Y,MATCH($D148,'卡片raw data'!$F:$F,)),0)+IF($P148=2,INDEX('卡片raw data'!AB:AB,MATCH($D148,'卡片raw data'!$F:$F,)),0)+IF($P148=3,INDEX('卡片raw data'!AE:AE,MATCH($D148,'卡片raw data'!$F:$F,)),0)+IF($P148=4,INDEX('卡片raw data'!AH:AH,MATCH($D148,'卡片raw data'!$F:$F,)),0)+IF($P148=5,INDEX('卡片raw data'!AK:AK,MATCH($D148,'卡片raw data'!$F:$F,)),0)+INDEX('卡片raw data'!S:S,MATCH($D148,'卡片raw data'!$F:$F,))*(IF($F148="UR",0.04,0.033))*(IF($F148="UR",INDEX(绊状态确认!$S:$S,MATCH($G148,绊状态确认!$B:$B,))/2-40)+IF($F148="SR",INDEX(绊状态确认!$R:$R,MATCH($G148,绊状态确认!$B:$B,))/4-15))+IF($F148="R",INDEX(绊状态确认!$Q:$Q,MATCH($G148,绊状态确认!$B:$B,))/6-40/6)))*(INDEX(绊状态确认!$H:$H,MATCH($G148,绊状态确认!$B:$B,))+INDEX(绊状态确认!J:J,MATCH($G148,绊状态确认!$B:$B,)))</f>
        <v>12200.935871999998</v>
      </c>
      <c r="AM148" s="1106">
        <f>IF($P148="","N/A",(IF($P148=-1,INDEX('卡片raw data'!T:T,MATCH($D148,'卡片raw data'!$F:$F,)),0)+IF($P148=0,INDEX('卡片raw data'!W:W,MATCH($D148,'卡片raw data'!$F:$F,)),0)+IF($P148=1,INDEX('卡片raw data'!Z:Z,MATCH($D148,'卡片raw data'!$F:$F,)),0)+IF($P148=2,INDEX('卡片raw data'!AC:AC,MATCH($D148,'卡片raw data'!$F:$F,)),0)+IF($P148=3,INDEX('卡片raw data'!AF:AF,MATCH($D148,'卡片raw data'!$F:$F,)),0)+IF($P148=4,INDEX('卡片raw data'!AI:AI,MATCH($D148,'卡片raw data'!$F:$F,)),0)+IF($P148=5,INDEX('卡片raw data'!AL:AL,MATCH($D148,'卡片raw data'!$F:$F,)),0)+INDEX('卡片raw data'!T:T,MATCH($D148,'卡片raw data'!$F:$F,))*(IF($F148="UR",0.04,0.033))*(IF($F148="UR",INDEX(绊状态确认!$S:$S,MATCH($G148,绊状态确认!$B:$B,))/2-40)+IF($F148="SR",INDEX(绊状态确认!$R:$R,MATCH($G148,绊状态确认!$B:$B,))/4-15))+IF($F148="R",INDEX(绊状态确认!$Q:$Q,MATCH($G148,绊状态确认!$B:$B,))/6-40/6)))*(INDEX(绊状态确认!$H:$H,MATCH($G148,绊状态确认!$B:$B,))+INDEX(绊状态确认!K:K,MATCH($G148,绊状态确认!$B:$B,)))</f>
        <v>11502.231695999997</v>
      </c>
      <c r="AN148" s="1106">
        <f>IF($P148="","N/A",(IF($P148=-1,INDEX('卡片raw data'!U:U,MATCH($D148,'卡片raw data'!$F:$F,)),0)+IF($P148=0,INDEX('卡片raw data'!X:X,MATCH($D148,'卡片raw data'!$F:$F,)),0)+IF($P148=1,INDEX('卡片raw data'!AA:AA,MATCH($D148,'卡片raw data'!$F:$F,)),0)+IF($P148=2,INDEX('卡片raw data'!AD:AD,MATCH($D148,'卡片raw data'!$F:$F,)),0)+IF($P148=3,INDEX('卡片raw data'!AG:AG,MATCH($D148,'卡片raw data'!$F:$F,)),0)+IF($P148=4,INDEX('卡片raw data'!AJ:AJ,MATCH($D148,'卡片raw data'!$F:$F,)),0)+IF($P148=5,INDEX('卡片raw data'!AM:AM,MATCH($D148,'卡片raw data'!$F:$F,)),0)+INDEX('卡片raw data'!U:U,MATCH($D148,'卡片raw data'!$F:$F,))*(IF($F148="UR",0.04,0.033))*(IF($F148="UR",INDEX(绊状态确认!$S:$S,MATCH($G148,绊状态确认!$B:$B,))/2-40)+IF($F148="SR",INDEX(绊状态确认!$R:$R,MATCH($G148,绊状态确认!$B:$B,))/4-15))+IF($F148="R",INDEX(绊状态确认!$Q:$Q,MATCH($G148,绊状态确认!$B:$B,))/6-40/6)))*(INDEX(绊状态确认!$H:$H,MATCH($G148,绊状态确认!$B:$B,))+INDEX(绊状态确认!L:L,MATCH($G148,绊状态确认!$B:$B,)))</f>
        <v>11155.811519999997</v>
      </c>
      <c r="AO148" s="1107">
        <f t="shared" si="194"/>
        <v>1</v>
      </c>
      <c r="AP148" s="1131">
        <f>1+(INDEX(绊状态确认!$T:$T,MATCH($G148,绊状态确认!$B:$B,))+0.2)*$AO148</f>
        <v>1.3</v>
      </c>
      <c r="AQ148" s="1108">
        <f t="shared" si="195"/>
        <v>35277.456663999998</v>
      </c>
      <c r="AR148" s="1097">
        <f>(AM148*(1+$EX$9)+$EX$35)*(1+(INDEX(绊状态确认!$T:$T,MATCH($G148,绊状态确认!$B:$B,))+0.2)*AO148)*IF(J148=$FF$17,1+$FE$17,1)*IF(I148=$FF$14,1+$FE$14,1)*(1+$FE$15)</f>
        <v>18404.546265039997</v>
      </c>
      <c r="AS148" s="1097">
        <f>(AN148*(1+$EX$10)+$EX$36)*(1+(INDEX(绊状态确认!$T:$T,MATCH($G148,绊状态确认!$B:$B,))+0.2)*AO148)*IF(J148=$FF$17,1+$FE$17,1)*IF(I148=$FF$14,1+$FE$14,1)*(1+$FE$15)</f>
        <v>20733.938222399996</v>
      </c>
      <c r="AT148" s="1093">
        <f>IF(AND(INDEX('卡片raw data'!AK:AK,MATCH($D148,'卡片raw data'!$F:$F,))&lt;INDEX('卡片raw data'!AM:AM,MATCH($D148,'卡片raw data'!$F:$F,)),INDEX('卡片raw data'!AL:AL,MATCH($D148,'卡片raw data'!$F:$F,))&lt;INDEX('卡片raw data'!AM:AM,MATCH($D148,'卡片raw data'!$F:$F,))),1,0)</f>
        <v>0</v>
      </c>
      <c r="AU148" s="1098">
        <f>MIN(AT148*0.15+AS148*0.00003+INDEX(绊状态确认!M:M,MATCH($G148,绊状态确认!$B:$B,)),1)</f>
        <v>0.65201814667199998</v>
      </c>
      <c r="AV148" s="1109">
        <f>(INDEX(绊状态确认!$N:$N,MATCH($G148,绊状态确认!$B:$B,))+1.5)*$EW$21</f>
        <v>2.6599999999999997</v>
      </c>
      <c r="AW148" s="1101">
        <f t="shared" si="196"/>
        <v>38151.215914385037</v>
      </c>
      <c r="AX148" s="1097">
        <f t="shared" si="197"/>
        <v>1598.3889388638613</v>
      </c>
      <c r="AY148" s="1110">
        <f t="shared" si="198"/>
        <v>39749.6048532489</v>
      </c>
      <c r="AZ148" s="429">
        <f t="shared" si="199"/>
        <v>26391.824950399998</v>
      </c>
      <c r="BA148" s="431">
        <f t="shared" si="200"/>
        <v>31670.189940479995</v>
      </c>
      <c r="BB148" s="1097">
        <f>(AM148*(1+$FB$9)+$FB$35)*(1+(INDEX(绊状态确认!$T:$T,MATCH($G148,绊状态确认!$B:$B,))+0.2)*AO148)*IF(J148=$FF$17,1+$FE$17,1)*IF(I148=$FF$14,1+$FE$14,1)*(1+$FE$15)</f>
        <v>18404.546265039997</v>
      </c>
      <c r="BC148" s="1097">
        <f>(AN148*(1+$FB$10)+$FB$36)*(1+(INDEX(绊状态确认!$T:$T,MATCH($G148,绊状态确认!$B:$B,))+0.2)*AO148)*IF(J148=$FF$17,1+$FE$17,1)*IF(I148=$FF$14,1+$FE$14,1)*(1+$FE$15)</f>
        <v>20733.938222399996</v>
      </c>
      <c r="BD148" s="1104">
        <f>MIN(AT148*0.15+BC148*0.00003+INDEX(绊状态确认!M:M,MATCH($G148,绊状态确认!$B:$B,)),1)</f>
        <v>0.65201814667199998</v>
      </c>
      <c r="BE148" s="432">
        <f>(INDEX(绊状态确认!$N:$N,MATCH($G148,绊状态确认!$B:$B,))+1.5)</f>
        <v>1.9</v>
      </c>
      <c r="BF148" s="1139">
        <f t="array" ref="BF148">SUMPRODUCT(IF(AZ148*AP148*$FI$16:$FI$23*$FA$22&gt;=$FI$24,$FI$24,AZ148*AP148*$FI$16:$FI$23*$FA$22),$FJ$16:$FJ$23)</f>
        <v>51798.872025203193</v>
      </c>
      <c r="BG148" s="1125">
        <f t="array" ref="BG148">SUMPRODUCT(IF(BE148*AZ148*AP148*$FI$16:$FI$23*$FA$22&gt;=$FI$24,$FI$24,BE148*AZ148*AP148*$FI$16:$FI$23*$FA$22),$FJ$16:$FJ$23)</f>
        <v>60000</v>
      </c>
      <c r="BH148" s="1110">
        <f t="shared" si="201"/>
        <v>19048.718762650034</v>
      </c>
      <c r="BI148" s="1111">
        <f>IF(O148="vo",$EW$26/$EW$24*0.05,0)+IF(O148="sk",-$EW$26/$EW$24*(0.05-INDEX(绊状态确认!W:W,MATCH($G148,绊状态确认!$B:$B,)))+0.05*$EW$28,0)+IF(O148="sp",0.05*$EW$32*$EW$30*(1-$EW$33)-(0.05-INDEX(绊状态确认!V:V,MATCH($G148,绊状态确认!$B:$B,)))*$EW$28,0)+IF(O148="gd",-(0.05-INDEX(绊状态确认!X:X,MATCH($G148,绊状态确认!$B:$B,)))*$EW$32*$EW$30*(1-$EW$33),0)</f>
        <v>-6253.6726349699375</v>
      </c>
      <c r="BJ148" s="1097">
        <f>IF(O148="vo",0.05*(1-$FI$26)*$FA$24,0)+IF(O148="sk",-(0.05-INDEX(绊状态确认!W:W,MATCH($G148,绊状态确认!$B:$B,)))*(1-$FI$26)*$FA$24+0.05*$FA$26,0)+IF(O148="sp",0.05*$FA$32*$FA$27*(1-$FA$33)/$FA$30+0.05*$FA$29/$FA$69*$FA$27*(1-$FA$33)-(0.05-INDEX(绊状态确认!V:V,MATCH($G148,绊状态确认!$B:$B,)))*$FA$26,0)+IF(O148="gd",-(0.05-INDEX(绊状态确认!X:X,MATCH($G148,绊状态确认!$B:$B,)))*$FA$32*$FA$27*(1-$FA$33)/$FA$30-(0.05-INDEX(绊状态确认!X:X,MATCH($G148,绊状态确认!$B:$B,)))*$FA$29/$FA$69*$FA$27*(1-$FA$33),0)</f>
        <v>20.459096812499922</v>
      </c>
      <c r="BK148" s="1110">
        <f>IF(O148="vo",$EW$26/$EW$24*0.05+$EW$26*(-HP($EW$62,$EW$65,$EW$64)+HP($EW$62,$EW$65,(1.05-INDEX(绊状态确认!U:U,MATCH($G148,绊状态确认!$B:$B,)))*$EW$64)),0)+IF(O148="sk",-$EW$26/$EW$24*(0.05-INDEX(绊状态确认!W:W,MATCH($G148,绊状态确认!$B:$B,)))+0.05*$EW$29,0)+IF(O148="sp",0.05*$EW$32*$EW$30*(1-$EW$33)-(0.05-INDEX(绊状态确认!V:V,MATCH($G148,绊状态确认!$B:$B,)))*$EW$29,0)+IF(O148="gd",-(0.05-INDEX(绊状态确认!X:X,MATCH($G148,绊状态确认!$B:$B,)))*$EW$32*$EW$30*(1-$EW$33)+$EW$26*(-HP($EW$62,$EW$65,$EW$64)+HP($EW$62,$EW$65,0.95*$EW$64)),0)</f>
        <v>-4253.6726349699375</v>
      </c>
      <c r="BL148" s="1111">
        <f t="shared" si="202"/>
        <v>0</v>
      </c>
      <c r="BM148" s="1110">
        <f t="shared" si="203"/>
        <v>0</v>
      </c>
      <c r="BN148" s="1113">
        <f t="shared" si="204"/>
        <v>4</v>
      </c>
      <c r="BO148" s="1097">
        <f t="shared" si="205"/>
        <v>6010.2953161679998</v>
      </c>
      <c r="BP148" s="1100">
        <f t="shared" si="206"/>
        <v>295.12137612040135</v>
      </c>
      <c r="BQ148" s="1113" t="s">
        <v>144</v>
      </c>
      <c r="BR148" s="1124" t="s">
        <v>146</v>
      </c>
      <c r="BS148" s="1098">
        <f>IF($P148="","N/A",IF($P148=-1,INDEX('卡片raw data'!AX:AX,MATCH($D148,'卡片raw data'!$F:$F,)),0)+IF($L148="party卡",IF($P148=5,INDEX('卡片raw data'!BD:BD,MATCH($D148,'卡片raw data'!$F:$F,)),IF($P148&gt;=3,INDEX('卡片raw data'!BC:BC,MATCH($D148,'卡片raw data'!$F:$F,)),INDEX('卡片raw data'!BB:BB,MATCH($D148,'卡片raw data'!$F:$F,)))),IF(OR(AND($F148="UR",$P148=0),AND($F148="SR",$P148&gt;=0,$P148&lt;=2),AND($F148="R",$P148&gt;=0,$P148&lt;4)),INDEX('卡片raw data'!AZ:AZ,MATCH($D148,'卡片raw data'!$F:$F,)),0)+IF(OR(AND($F148="UR",$P148&gt;=1,$P148&lt;=4),AND($F148="SR",$P148&lt;=4,$P148&gt;=3),AND($F148="R",$P148=4)),INDEX('卡片raw data'!BA:BA,MATCH($D148,'卡片raw data'!$F:$F,)),0)+IF($P148=5,INDEX('卡片raw data'!BB:BB,MATCH($D148,'卡片raw data'!$F:$F,)),0)))</f>
        <v>7.0000000000000007E-2</v>
      </c>
      <c r="BT148" s="1101">
        <f t="shared" si="207"/>
        <v>0</v>
      </c>
      <c r="BU148" s="1097">
        <f t="shared" si="208"/>
        <v>0</v>
      </c>
      <c r="BV148" s="1097">
        <f t="shared" si="209"/>
        <v>0</v>
      </c>
      <c r="BW148" s="1112">
        <f t="shared" si="210"/>
        <v>2.4581249999999999</v>
      </c>
      <c r="BX148" s="1100">
        <f t="shared" si="211"/>
        <v>192.3373892964872</v>
      </c>
      <c r="BY148" s="1110">
        <f t="shared" si="212"/>
        <v>192.3373892964872</v>
      </c>
      <c r="BZ148" s="1107" t="s">
        <v>569</v>
      </c>
      <c r="CA148" s="1124"/>
      <c r="CB148" s="1098">
        <f>IF($P148="","N/A",IF($P148=-1,INDEX('卡片raw data'!BE:BE,MATCH($D148,'卡片raw data'!$F:$F,)),0)+IF($L148="party卡",IF($P148=5,INDEX('卡片raw data'!BK:BK,MATCH($D148,'卡片raw data'!$F:$F,)),IF($P148&gt;=3,INDEX('卡片raw data'!BJ:BJ,MATCH($D148,'卡片raw data'!$F:$F,)),INDEX('卡片raw data'!BI:BI,MATCH($D148,'卡片raw data'!$F:$F,)))),IF(OR(AND($F148="UR",$P148=0),AND($F148="SR",$P148&gt;=0,$P148&lt;=2),AND($F148="R",$P148&gt;=0,$P148&lt;4)),INDEX('卡片raw data'!BG:BG,MATCH($D148,'卡片raw data'!$F:$F,)),0)+IF(OR(AND($F148="UR",$P148&gt;=1,$P148&lt;=4),AND($F148="SR",$P148&lt;=4,$P148&gt;=3),AND($F148="R",$P148=4)),INDEX('卡片raw data'!BH:BH,MATCH($D148,'卡片raw data'!$F:$F,)),0)+IF($P148=5,INDEX('卡片raw data'!BI:BI,MATCH($D148,'卡片raw data'!$F:$F,)),0)))</f>
        <v>0</v>
      </c>
      <c r="CC148" s="1101">
        <f t="shared" si="213"/>
        <v>0</v>
      </c>
      <c r="CD148" s="1097">
        <f>IF(BZ148="ap",CB148*(1-$FI$26)*$FB$5/$FB$11*(+IF(CA148="全员",$FA$24,0)+IF(CA148="同作战",$FA$24,0)+IF(CA148="仲间",$FA$24*2/3,0)+IF(CA148="同属性",$FA$24*$FA$37/3,0)+IF(CA148="同年级",$FA$24*$FA$40/3,0)+IF(CA148="同学校",$FA$24*$FA$43/3,0)+IF(CA148="同小队",$FA$24*$FA$46/3,0)+IF(CA148="同type",$FA$24*INDEX($FB$49:$FB$52,MATCH(X148,$FA$49:$FA$52,))/3,0)+IF(CA148="自身",#REF!/3,0)),0)+IF(BZ148="te",CB148*(1-$FI$27)*($FA$20-1)*$FB$7/$FB$13*(+IF(CA148="全员",$FA$19*$FA$24/(1+($FA$20-1)*$FA$19),0)+IF(CA148="同作战",$FA$19*$FA$24/(1+($FA$20-1)*$FA$19),0)+IF(CA148="仲间",$FA$19*$FA$24*2/3/(1+($FA$20-1)*$FA$19),0)+IF(CA148="同属性",$FA$19*$FA$24*$FA$37/3/(1+($FA$20-1)*$FA$19),0)+IF(CA148="同年级",$FA$19*$FA$24*$FA$40/3/(1+($FA$20-1)*$FA$19),0)+IF(CA148="同学校",$FA$19*$FA$24*$FA$43/3/(1+($FA$20-1)*$FA$19),0)+IF(CA148="同小队",$FA$19*$FA$24*$FA$46/3/(1+($FA$20-1)*$FA$19),0)+IF(CA148="同type",$FA$19*$FA$24*INDEX($FB$49:$FB$52,MATCH(X148,$FA$49:$FA$52,))/3/(1+($FA$20-1)*$FA$19),0)+IF(CA148="自身",$FA$19*#REF!/3/(1+(BH148-1)*$BD148),0)),0)</f>
        <v>0</v>
      </c>
      <c r="CE148" s="1097">
        <f t="shared" si="214"/>
        <v>0</v>
      </c>
      <c r="CF148" s="1112">
        <f t="shared" si="215"/>
        <v>0</v>
      </c>
      <c r="CG148" s="1100">
        <f t="shared" si="216"/>
        <v>0</v>
      </c>
      <c r="CH148" s="1110">
        <f t="shared" si="217"/>
        <v>0</v>
      </c>
      <c r="CI148" s="1113" t="s">
        <v>165</v>
      </c>
      <c r="CJ148" s="1114">
        <v>0.2</v>
      </c>
      <c r="CK148" s="1115" t="s">
        <v>2214</v>
      </c>
      <c r="CL148" s="1115" t="s">
        <v>168</v>
      </c>
      <c r="CM148" s="1119">
        <v>2</v>
      </c>
      <c r="CN148" s="1115" t="s">
        <v>946</v>
      </c>
      <c r="CO148" s="1092"/>
      <c r="CP148" s="1117">
        <f t="shared" si="218"/>
        <v>0</v>
      </c>
      <c r="CQ148" s="1117">
        <f t="shared" si="219"/>
        <v>0</v>
      </c>
      <c r="CR148" s="1117">
        <f t="shared" si="220"/>
        <v>0</v>
      </c>
      <c r="CS148" s="1118">
        <f t="shared" si="221"/>
        <v>0</v>
      </c>
      <c r="CT148" s="1109">
        <f t="shared" si="222"/>
        <v>0</v>
      </c>
      <c r="CU148" s="1101">
        <f t="shared" si="223"/>
        <v>0</v>
      </c>
      <c r="CV148" s="1108">
        <f t="shared" si="224"/>
        <v>0</v>
      </c>
      <c r="CW148" s="1097">
        <f t="shared" si="225"/>
        <v>0</v>
      </c>
      <c r="CX148" s="1097">
        <f t="shared" si="226"/>
        <v>0</v>
      </c>
      <c r="CY148" s="1110">
        <f t="shared" si="227"/>
        <v>0</v>
      </c>
      <c r="CZ148" s="437"/>
      <c r="DA148" s="438"/>
      <c r="DB148" s="439" t="s">
        <v>569</v>
      </c>
      <c r="DC148" s="439"/>
      <c r="DD148" s="443"/>
      <c r="DE148" s="411"/>
      <c r="DF148" s="411"/>
      <c r="DG148" s="1116">
        <f t="shared" si="228"/>
        <v>0</v>
      </c>
      <c r="DH148" s="1116">
        <f t="shared" si="229"/>
        <v>0</v>
      </c>
      <c r="DI148" s="1116">
        <f t="shared" si="230"/>
        <v>0</v>
      </c>
      <c r="DJ148" s="442">
        <f t="shared" si="231"/>
        <v>0</v>
      </c>
      <c r="DK148" s="1109">
        <f t="shared" si="232"/>
        <v>0</v>
      </c>
      <c r="DL148" s="1101">
        <f t="shared" si="233"/>
        <v>0</v>
      </c>
      <c r="DM148" s="1097">
        <f t="shared" si="234"/>
        <v>0</v>
      </c>
      <c r="DN148" s="1097">
        <f t="shared" si="235"/>
        <v>0</v>
      </c>
      <c r="DO148" s="1097">
        <f t="shared" si="236"/>
        <v>0</v>
      </c>
      <c r="DP148" s="1110">
        <f t="shared" si="237"/>
        <v>0</v>
      </c>
      <c r="DQ148" s="1113" t="s">
        <v>154</v>
      </c>
      <c r="DR148" s="1120">
        <f t="shared" si="238"/>
        <v>0.33</v>
      </c>
      <c r="DS148" s="1124">
        <v>2</v>
      </c>
      <c r="DT148" s="1093" t="s">
        <v>168</v>
      </c>
      <c r="DU148" s="1093" t="s">
        <v>544</v>
      </c>
      <c r="DV148" s="1098">
        <f>IF($P148="","N/A",IF(P148=-1,INDEX('卡片raw data'!AN:AN,MATCH(D148,'卡片raw data'!$F:$F,)),0)+IF(AND(L148&lt;&gt;"party卡",P148&lt;=2,P148&gt;=0),INDEX('卡片raw data'!AP:AP,MATCH(D148,'卡片raw data'!$F:$F,)),0)+IF(OR(AND(L148="party卡",P148&lt;=1),AND(P148&lt;=4,L148&lt;&gt;"party卡",P148&gt;=3)),INDEX('卡片raw data'!AQ:AQ,MATCH(D148,'卡片raw data'!$F:$F,)),0)+IF(OR(P148=5,AND(L148="party卡",P148&gt;=2)),INDEX('卡片raw data'!AR:AR,MATCH(D148,'卡片raw data'!$F:$F,)),0))</f>
        <v>0.3</v>
      </c>
      <c r="DW148" s="1098">
        <f t="shared" si="239"/>
        <v>0.33</v>
      </c>
      <c r="DX148" s="1098">
        <f t="shared" si="240"/>
        <v>0.33</v>
      </c>
      <c r="DY148" s="1098">
        <f t="shared" si="241"/>
        <v>6.6000000000000003E-2</v>
      </c>
      <c r="DZ148" s="1098">
        <f t="shared" si="242"/>
        <v>5.7090000000000002E-2</v>
      </c>
      <c r="EA148" s="1098">
        <f t="shared" si="243"/>
        <v>5.9417840625000003E-2</v>
      </c>
      <c r="EB148" s="1121">
        <f t="shared" si="244"/>
        <v>0</v>
      </c>
      <c r="EC148" s="1101">
        <f t="shared" si="245"/>
        <v>2800</v>
      </c>
      <c r="ED148" s="1097">
        <f t="shared" si="246"/>
        <v>1297.5</v>
      </c>
      <c r="EE148" s="1110">
        <f t="shared" si="247"/>
        <v>2800</v>
      </c>
      <c r="EF148" s="1092" t="s">
        <v>711</v>
      </c>
      <c r="EG148" s="1120">
        <f t="shared" si="248"/>
        <v>0.33</v>
      </c>
      <c r="EH148" s="1124"/>
      <c r="EI148" s="1093"/>
      <c r="EJ148" s="1093"/>
      <c r="EK148" s="1097">
        <f>IF($P148="","N/A",IF(P148=-1,INDEX('卡片raw data'!AS:AS,MATCH(D148,'卡片raw data'!$F:$F,)),0)+IF(AND(L148&lt;&gt;"party卡",P148&lt;=2,P148&gt;=0),INDEX('卡片raw data'!AU:AU,MATCH(D148,'卡片raw data'!$F:$F,)),0)+IF(OR(AND(L148="party卡",P148&lt;=1),AND(P148&lt;=4,L148&lt;&gt;"party卡",P148&gt;=3)),INDEX('卡片raw data'!AV:AV,MATCH(D148,'卡片raw data'!$F:$F,)),0)+IF(OR(P148=5,AND(L148="party卡",P148&gt;=2)),INDEX('卡片raw data'!AW:AW,MATCH(D148,'卡片raw data'!$F:$F,)),0))</f>
        <v>0</v>
      </c>
      <c r="EL148" s="1098">
        <f t="shared" si="249"/>
        <v>0.33</v>
      </c>
      <c r="EM148" s="1098">
        <f t="shared" si="250"/>
        <v>0.33</v>
      </c>
      <c r="EN148" s="1125">
        <f t="shared" si="251"/>
        <v>0</v>
      </c>
      <c r="EO148" s="1125">
        <f t="shared" si="252"/>
        <v>0</v>
      </c>
      <c r="EP148" s="1098">
        <f t="shared" si="253"/>
        <v>0</v>
      </c>
      <c r="EQ148" s="1121">
        <f t="shared" si="254"/>
        <v>0</v>
      </c>
      <c r="ER148" s="1101">
        <f t="shared" si="255"/>
        <v>0</v>
      </c>
      <c r="ES148" s="1097">
        <f t="shared" si="256"/>
        <v>0</v>
      </c>
      <c r="ET148" s="1122">
        <f t="shared" si="257"/>
        <v>0</v>
      </c>
    </row>
    <row r="149" spans="2:150" ht="16.5" customHeight="1">
      <c r="B149" s="1123" t="str">
        <f>INDEX('卡片raw data'!B:B,MATCH($D149,'卡片raw data'!$F:$F,))</f>
        <v>fes1菜</v>
      </c>
      <c r="C149" s="449" t="s">
        <v>67</v>
      </c>
      <c r="D149" s="408">
        <v>146</v>
      </c>
      <c r="E149" s="1090">
        <v>202073001</v>
      </c>
      <c r="F149" s="1090" t="str">
        <f>INDEX('卡片raw data'!C:C,MATCH($D149,'卡片raw data'!$F:$F,))</f>
        <v>UR</v>
      </c>
      <c r="G149" s="1094" t="s">
        <v>48</v>
      </c>
      <c r="H149" s="411">
        <f>IFERROR(INDEX(绊状态确认!C:C,MATCH($G149,绊状态确认!$B:$B,)),"")</f>
        <v>207</v>
      </c>
      <c r="I149" s="450" t="str">
        <f>IFERROR(INDEX(绊状态确认!D:D,MATCH($G149,绊状态确认!$B:$B,)),"")</f>
        <v>虹</v>
      </c>
      <c r="J149" s="450" t="str">
        <f>IFERROR(INDEX(绊状态确认!E:E,MATCH($G149,绊状态确认!$B:$B,)),"")</f>
        <v>2年级</v>
      </c>
      <c r="K149" s="451" t="str">
        <f>IFERROR(INDEX(绊状态确认!F:F,MATCH($G149,绊状态确认!$B:$B,)),"")</f>
        <v>A·ZU·NA</v>
      </c>
      <c r="L149" s="1094" t="str">
        <f>INDEX('卡片raw data'!E:E,MATCH($D149,'卡片raw data'!$F:$F,))</f>
        <v>fes卡</v>
      </c>
      <c r="M149" s="415">
        <v>43830</v>
      </c>
      <c r="N149" s="416">
        <v>6.5</v>
      </c>
      <c r="O149" s="1091" t="str">
        <f>INDEX('卡片raw data'!D:D,MATCH($D149,'卡片raw data'!$F:$F,))</f>
        <v>vo</v>
      </c>
      <c r="P149" s="417">
        <v>5</v>
      </c>
      <c r="Q149" s="1095">
        <f t="shared" si="173"/>
        <v>71519.219680437076</v>
      </c>
      <c r="R149" s="1096">
        <f t="shared" si="174"/>
        <v>0.83099999999999996</v>
      </c>
      <c r="S149" s="1097">
        <f t="shared" si="175"/>
        <v>22968.570807951171</v>
      </c>
      <c r="T149" s="1098">
        <f t="shared" si="176"/>
        <v>1.1479999999999999</v>
      </c>
      <c r="U149" s="1099">
        <f t="shared" si="177"/>
        <v>-12.077763622857145</v>
      </c>
      <c r="V149" s="1100">
        <f t="shared" si="178"/>
        <v>71247.381052042198</v>
      </c>
      <c r="W149" s="1101">
        <f t="shared" si="179"/>
        <v>6017.2712297286362</v>
      </c>
      <c r="X149" s="1096">
        <f t="shared" si="180"/>
        <v>6.9000000000000006E-2</v>
      </c>
      <c r="Y149" s="1097">
        <f t="shared" si="181"/>
        <v>1032.829821846819</v>
      </c>
      <c r="Z149" s="1102">
        <f t="shared" si="182"/>
        <v>12.922236377142855</v>
      </c>
      <c r="AA149" s="1103">
        <f t="shared" si="183"/>
        <v>7050.1010515754551</v>
      </c>
      <c r="AB149" s="1101">
        <f t="shared" si="184"/>
        <v>11276.279631375637</v>
      </c>
      <c r="AC149" s="1104">
        <f t="shared" si="185"/>
        <v>0.13100000000000001</v>
      </c>
      <c r="AD149" s="1105">
        <f t="shared" si="186"/>
        <v>0</v>
      </c>
      <c r="AE149" s="1128">
        <f t="shared" si="187"/>
        <v>0</v>
      </c>
      <c r="AF149" s="1130">
        <f t="shared" si="188"/>
        <v>0</v>
      </c>
      <c r="AG149" s="420">
        <f t="shared" si="189"/>
        <v>0</v>
      </c>
      <c r="AH149" s="420">
        <f t="shared" si="190"/>
        <v>0</v>
      </c>
      <c r="AI149" s="1097">
        <f t="shared" si="191"/>
        <v>0</v>
      </c>
      <c r="AJ149" s="420">
        <f t="shared" si="192"/>
        <v>0</v>
      </c>
      <c r="AK149" s="518">
        <f t="shared" si="193"/>
        <v>0</v>
      </c>
      <c r="AL149" s="1106">
        <f>IF($P149="","N/A",(IF($P149=-1,INDEX('卡片raw data'!S:S,MATCH($D149,'卡片raw data'!$F:$F,)),0)+IF($P149=0,INDEX('卡片raw data'!V:V,MATCH($D149,'卡片raw data'!$F:$F,)),0)+IF($P149=1,INDEX('卡片raw data'!Y:Y,MATCH($D149,'卡片raw data'!$F:$F,)),0)+IF($P149=2,INDEX('卡片raw data'!AB:AB,MATCH($D149,'卡片raw data'!$F:$F,)),0)+IF($P149=3,INDEX('卡片raw data'!AE:AE,MATCH($D149,'卡片raw data'!$F:$F,)),0)+IF($P149=4,INDEX('卡片raw data'!AH:AH,MATCH($D149,'卡片raw data'!$F:$F,)),0)+IF($P149=5,INDEX('卡片raw data'!AK:AK,MATCH($D149,'卡片raw data'!$F:$F,)),0)+INDEX('卡片raw data'!S:S,MATCH($D149,'卡片raw data'!$F:$F,))*(IF($F149="UR",0.04,0.033))*(IF($F149="UR",INDEX(绊状态确认!$S:$S,MATCH($G149,绊状态确认!$B:$B,))/2-40)+IF($F149="SR",INDEX(绊状态确认!$R:$R,MATCH($G149,绊状态确认!$B:$B,))/4-15))+IF($F149="R",INDEX(绊状态确认!$Q:$Q,MATCH($G149,绊状态确认!$B:$B,))/6-40/6)))*(INDEX(绊状态确认!$H:$H,MATCH($G149,绊状态确认!$B:$B,))+INDEX(绊状态确认!J:J,MATCH($G149,绊状态确认!$B:$B,)))</f>
        <v>16106.833583999998</v>
      </c>
      <c r="AM149" s="1106">
        <f>IF($P149="","N/A",(IF($P149=-1,INDEX('卡片raw data'!T:T,MATCH($D149,'卡片raw data'!$F:$F,)),0)+IF($P149=0,INDEX('卡片raw data'!W:W,MATCH($D149,'卡片raw data'!$F:$F,)),0)+IF($P149=1,INDEX('卡片raw data'!Z:Z,MATCH($D149,'卡片raw data'!$F:$F,)),0)+IF($P149=2,INDEX('卡片raw data'!AC:AC,MATCH($D149,'卡片raw data'!$F:$F,)),0)+IF($P149=3,INDEX('卡片raw data'!AF:AF,MATCH($D149,'卡片raw data'!$F:$F,)),0)+IF($P149=4,INDEX('卡片raw data'!AI:AI,MATCH($D149,'卡片raw data'!$F:$F,)),0)+IF($P149=5,INDEX('卡片raw data'!AL:AL,MATCH($D149,'卡片raw data'!$F:$F,)),0)+INDEX('卡片raw data'!T:T,MATCH($D149,'卡片raw data'!$F:$F,))*(IF($F149="UR",0.04,0.033))*(IF($F149="UR",INDEX(绊状态确认!$S:$S,MATCH($G149,绊状态确认!$B:$B,))/2-40)+IF($F149="SR",INDEX(绊状态确认!$R:$R,MATCH($G149,绊状态确认!$B:$B,))/4-15))+IF($F149="R",INDEX(绊状态确认!$Q:$Q,MATCH($G149,绊状态确认!$B:$B,))/6-40/6)))*(INDEX(绊状态确认!$H:$H,MATCH($G149,绊状态确认!$B:$B,))+INDEX(绊状态确认!K:K,MATCH($G149,绊状态确认!$B:$B,)))</f>
        <v>6854.764799999999</v>
      </c>
      <c r="AN149" s="1106">
        <f>IF($P149="","N/A",(IF($P149=-1,INDEX('卡片raw data'!U:U,MATCH($D149,'卡片raw data'!$F:$F,)),0)+IF($P149=0,INDEX('卡片raw data'!X:X,MATCH($D149,'卡片raw data'!$F:$F,)),0)+IF($P149=1,INDEX('卡片raw data'!AA:AA,MATCH($D149,'卡片raw data'!$F:$F,)),0)+IF($P149=2,INDEX('卡片raw data'!AD:AD,MATCH($D149,'卡片raw data'!$F:$F,)),0)+IF($P149=3,INDEX('卡片raw data'!AG:AG,MATCH($D149,'卡片raw data'!$F:$F,)),0)+IF($P149=4,INDEX('卡片raw data'!AJ:AJ,MATCH($D149,'卡片raw data'!$F:$F,)),0)+IF($P149=5,INDEX('卡片raw data'!AM:AM,MATCH($D149,'卡片raw data'!$F:$F,)),0)+INDEX('卡片raw data'!U:U,MATCH($D149,'卡片raw data'!$F:$F,))*(IF($F149="UR",0.04,0.033))*(IF($F149="UR",INDEX(绊状态确认!$S:$S,MATCH($G149,绊状态确认!$B:$B,))/2-40)+IF($F149="SR",INDEX(绊状态确认!$R:$R,MATCH($G149,绊状态确认!$B:$B,))/4-15))+IF($F149="R",INDEX(绊状态确认!$Q:$Q,MATCH($G149,绊状态确认!$B:$B,))/6-40/6)))*(INDEX(绊状态确认!$H:$H,MATCH($G149,绊状态确认!$B:$B,))+INDEX(绊状态确认!L:L,MATCH($G149,绊状态确认!$B:$B,)))</f>
        <v>11308.725504</v>
      </c>
      <c r="AO149" s="1107">
        <f t="shared" si="194"/>
        <v>1</v>
      </c>
      <c r="AP149" s="1131">
        <f>1+(INDEX(绊状态确认!$T:$T,MATCH($G149,绊状态确认!$B:$B,))+0.2)*$AO149</f>
        <v>1.3</v>
      </c>
      <c r="AQ149" s="1108">
        <f t="shared" si="195"/>
        <v>45530.438157999997</v>
      </c>
      <c r="AR149" s="1097">
        <f>(AM149*(1+$EX$9)+$EX$35)*(1+(INDEX(绊状态确认!$T:$T,MATCH($G149,绊状态确认!$B:$B,))+0.2)*AO149)*IF(J149=$FF$17,1+$FE$17,1)*IF(I149=$FF$14,1+$FE$14,1)*(1+$FE$15)</f>
        <v>12060.753951999999</v>
      </c>
      <c r="AS149" s="1097">
        <f>(AN149*(1+$EX$10)+$EX$36)*(1+(INDEX(绊状态确认!$T:$T,MATCH($G149,绊状态确认!$B:$B,))+0.2)*AO149)*IF(J149=$FF$17,1+$FE$17,1)*IF(I149=$FF$14,1+$FE$14,1)*(1+$FE$15)</f>
        <v>20962.544628479998</v>
      </c>
      <c r="AT149" s="1093">
        <f>IF(AND(INDEX('卡片raw data'!AK:AK,MATCH($D149,'卡片raw data'!$F:$F,))&lt;INDEX('卡片raw data'!AM:AM,MATCH($D149,'卡片raw data'!$F:$F,)),INDEX('卡片raw data'!AL:AL,MATCH($D149,'卡片raw data'!$F:$F,))&lt;INDEX('卡片raw data'!AM:AM,MATCH($D149,'卡片raw data'!$F:$F,))),1,0)</f>
        <v>0</v>
      </c>
      <c r="AU149" s="1098">
        <f>MIN(AT149*0.15+AS149*0.00003+INDEX(绊状态确认!M:M,MATCH($G149,绊状态确认!$B:$B,)),1)</f>
        <v>0.6588763388544</v>
      </c>
      <c r="AV149" s="1109">
        <f>(INDEX(绊状态确认!$N:$N,MATCH($G149,绊状态确认!$B:$B,))+1.5)*$EW$21</f>
        <v>2.6599999999999997</v>
      </c>
      <c r="AW149" s="1101">
        <f t="shared" si="196"/>
        <v>49508.623193970627</v>
      </c>
      <c r="AX149" s="1097">
        <f t="shared" si="197"/>
        <v>1032.8298218468194</v>
      </c>
      <c r="AY149" s="1110">
        <f t="shared" si="198"/>
        <v>50541.453015817446</v>
      </c>
      <c r="AZ149" s="429">
        <f t="shared" si="199"/>
        <v>34008.325488799994</v>
      </c>
      <c r="BA149" s="431">
        <f t="shared" si="200"/>
        <v>40809.990586559994</v>
      </c>
      <c r="BB149" s="1097">
        <f>(AM149*(1+$FB$9)+$FB$35)*(1+(INDEX(绊状态确认!$T:$T,MATCH($G149,绊状态确认!$B:$B,))+0.2)*AO149)*IF(J149=$FF$17,1+$FE$17,1)*IF(I149=$FF$14,1+$FE$14,1)*(1+$FE$15)</f>
        <v>12060.753951999999</v>
      </c>
      <c r="BC149" s="1097">
        <f>(AN149*(1+$FB$10)+$FB$36)*(1+(INDEX(绊状态确认!$T:$T,MATCH($G149,绊状态确认!$B:$B,))+0.2)*AO149)*IF(J149=$FF$17,1+$FE$17,1)*IF(I149=$FF$14,1+$FE$14,1)*(1+$FE$15)</f>
        <v>20962.544628479998</v>
      </c>
      <c r="BD149" s="1104">
        <f>MIN(AT149*0.15+BC149*0.00003+INDEX(绊状态确认!M:M,MATCH($G149,绊状态确认!$B:$B,)),1)</f>
        <v>0.6588763388544</v>
      </c>
      <c r="BE149" s="432">
        <f>(INDEX(绊状态确认!$N:$N,MATCH($G149,绊状态确认!$B:$B,))+1.5)</f>
        <v>1.9</v>
      </c>
      <c r="BF149" s="1139">
        <f t="array" ref="BF149">SUMPRODUCT(IF(AZ149*AP149*$FI$16:$FI$23*$FA$22&gt;=$FI$24,$FI$24,AZ149*AP149*$FI$16:$FI$23*$FA$22),$FJ$16:$FJ$23)</f>
        <v>59052.705783860001</v>
      </c>
      <c r="BG149" s="1125">
        <f t="array" ref="BG149">SUMPRODUCT(IF(BE149*AZ149*AP149*$FI$16:$FI$23*$FA$22&gt;=$FI$24,$FI$24,BE149*AZ149*AP149*$FI$16:$FI$23*$FA$22),$FJ$16:$FJ$23)</f>
        <v>60000</v>
      </c>
      <c r="BH149" s="1110">
        <f t="shared" si="201"/>
        <v>19892.285176269423</v>
      </c>
      <c r="BI149" s="1111">
        <f>IF(O149="vo",$EW$26/$EW$24*0.05,0)+IF(O149="sk",-$EW$26/$EW$24*(0.05-INDEX(绊状态确认!W:W,MATCH($G149,绊状态确认!$B:$B,)))+0.05*$EW$28,0)+IF(O149="sp",0.05*$EW$32*$EW$30*(1-$EW$33)-(0.05-INDEX(绊状态确认!V:V,MATCH($G149,绊状态确认!$B:$B,)))*$EW$28,0)+IF(O149="gd",-(0.05-INDEX(绊状态确认!X:X,MATCH($G149,绊状态确认!$B:$B,)))*$EW$32*$EW$30*(1-$EW$33),0)</f>
        <v>7726.3029277443748</v>
      </c>
      <c r="BJ149" s="1097">
        <f>IF(O149="vo",0.05*(1-$FI$26)*$FA$24,0)+IF(O149="sk",-(0.05-INDEX(绊状态确认!W:W,MATCH($G149,绊状态确认!$B:$B,)))*(1-$FI$26)*$FA$24+0.05*$FA$26,0)+IF(O149="sp",0.05*$FA$32*$FA$27*(1-$FA$33)/$FA$30+0.05*$FA$29/$FA$69*$FA$27*(1-$FA$33)-(0.05-INDEX(绊状态确认!V:V,MATCH($G149,绊状态确认!$B:$B,)))*$FA$26,0)+IF(O149="gd",-(0.05-INDEX(绊状态确认!X:X,MATCH($G149,绊状态确认!$B:$B,)))*$FA$32*$FA$27*(1-$FA$33)/$FA$30-(0.05-INDEX(绊状态确认!X:X,MATCH($G149,绊状态确认!$B:$B,)))*$FA$29/$FA$69*$FA$27*(1-$FA$33),0)</f>
        <v>393.93433687500004</v>
      </c>
      <c r="BK149" s="1110">
        <f>IF(O149="vo",$EW$26/$EW$24*0.05+$EW$26*(-HP($EW$62,$EW$65,$EW$64)+HP($EW$62,$EW$65,(1.05-INDEX(绊状态确认!U:U,MATCH($G149,绊状态确认!$B:$B,)))*$EW$64)),0)+IF(O149="sk",-$EW$26/$EW$24*(0.05-INDEX(绊状态确认!W:W,MATCH($G149,绊状态确认!$B:$B,)))+0.05*$EW$29,0)+IF(O149="sp",0.05*$EW$32*$EW$30*(1-$EW$33)-(0.05-INDEX(绊状态确认!V:V,MATCH($G149,绊状态确认!$B:$B,)))*$EW$29,0)+IF(O149="gd",-(0.05-INDEX(绊状态确认!X:X,MATCH($G149,绊状态确认!$B:$B,)))*$EW$32*$EW$30*(1-$EW$33)+$EW$26*(-HP($EW$62,$EW$65,$EW$64)+HP($EW$62,$EW$65,0.95*$EW$64)),0)</f>
        <v>6421.6344775026746</v>
      </c>
      <c r="BL149" s="1111">
        <f t="shared" si="202"/>
        <v>0</v>
      </c>
      <c r="BM149" s="1110">
        <f t="shared" si="203"/>
        <v>0</v>
      </c>
      <c r="BN149" s="1113">
        <f t="shared" si="204"/>
        <v>4</v>
      </c>
      <c r="BO149" s="1097">
        <f t="shared" si="205"/>
        <v>6010.2953161679998</v>
      </c>
      <c r="BP149" s="1100">
        <f t="shared" si="206"/>
        <v>295.12137612040135</v>
      </c>
      <c r="BQ149" s="1113" t="s">
        <v>143</v>
      </c>
      <c r="BR149" s="1124" t="s">
        <v>146</v>
      </c>
      <c r="BS149" s="1098">
        <f>IF($P149="","N/A",IF($P149=-1,INDEX('卡片raw data'!AX:AX,MATCH($D149,'卡片raw data'!$F:$F,)),0)+IF($L149="party卡",IF($P149=5,INDEX('卡片raw data'!BD:BD,MATCH($D149,'卡片raw data'!$F:$F,)),IF($P149&gt;=3,INDEX('卡片raw data'!BC:BC,MATCH($D149,'卡片raw data'!$F:$F,)),INDEX('卡片raw data'!BB:BB,MATCH($D149,'卡片raw data'!$F:$F,)))),IF(OR(AND($F149="UR",$P149=0),AND($F149="SR",$P149&gt;=0,$P149&lt;=2),AND($F149="R",$P149&gt;=0,$P149&lt;4)),INDEX('卡片raw data'!AZ:AZ,MATCH($D149,'卡片raw data'!$F:$F,)),0)+IF(OR(AND($F149="UR",$P149&gt;=1,$P149&lt;=4),AND($F149="SR",$P149&lt;=4,$P149&gt;=3),AND($F149="R",$P149=4)),INDEX('卡片raw data'!BA:BA,MATCH($D149,'卡片raw data'!$F:$F,)),0)+IF($P149=5,INDEX('卡片raw data'!BB:BB,MATCH($D149,'卡片raw data'!$F:$F,)),0)))</f>
        <v>7.0000000000000007E-2</v>
      </c>
      <c r="BT149" s="1101">
        <f t="shared" si="207"/>
        <v>5259.008401647</v>
      </c>
      <c r="BU149" s="1097">
        <f t="shared" si="208"/>
        <v>258.2312041053512</v>
      </c>
      <c r="BV149" s="1097">
        <f t="shared" si="209"/>
        <v>0</v>
      </c>
      <c r="BW149" s="1112">
        <f t="shared" si="210"/>
        <v>0</v>
      </c>
      <c r="BX149" s="1100">
        <f t="shared" si="211"/>
        <v>5259.008401647</v>
      </c>
      <c r="BY149" s="1110">
        <f t="shared" si="212"/>
        <v>0</v>
      </c>
      <c r="BZ149" s="1107" t="s">
        <v>569</v>
      </c>
      <c r="CA149" s="1124"/>
      <c r="CB149" s="1098">
        <f>IF($P149="","N/A",IF($P149=-1,INDEX('卡片raw data'!BE:BE,MATCH($D149,'卡片raw data'!$F:$F,)),0)+IF($L149="party卡",IF($P149=5,INDEX('卡片raw data'!BK:BK,MATCH($D149,'卡片raw data'!$F:$F,)),IF($P149&gt;=3,INDEX('卡片raw data'!BJ:BJ,MATCH($D149,'卡片raw data'!$F:$F,)),INDEX('卡片raw data'!BI:BI,MATCH($D149,'卡片raw data'!$F:$F,)))),IF(OR(AND($F149="UR",$P149=0),AND($F149="SR",$P149&gt;=0,$P149&lt;=2),AND($F149="R",$P149&gt;=0,$P149&lt;4)),INDEX('卡片raw data'!BG:BG,MATCH($D149,'卡片raw data'!$F:$F,)),0)+IF(OR(AND($F149="UR",$P149&gt;=1,$P149&lt;=4),AND($F149="SR",$P149&lt;=4,$P149&gt;=3),AND($F149="R",$P149=4)),INDEX('卡片raw data'!BH:BH,MATCH($D149,'卡片raw data'!$F:$F,)),0)+IF($P149=5,INDEX('卡片raw data'!BI:BI,MATCH($D149,'卡片raw data'!$F:$F,)),0)))</f>
        <v>0</v>
      </c>
      <c r="CC149" s="1101">
        <f t="shared" si="213"/>
        <v>0</v>
      </c>
      <c r="CD149" s="1097">
        <f>IF(BZ149="ap",CB149*(1-$FI$26)*$FB$5/$FB$11*(+IF(CA149="全员",$FA$24,0)+IF(CA149="同作战",$FA$24,0)+IF(CA149="仲间",$FA$24*2/3,0)+IF(CA149="同属性",$FA$24*$FA$37/3,0)+IF(CA149="同年级",$FA$24*$FA$40/3,0)+IF(CA149="同学校",$FA$24*$FA$43/3,0)+IF(CA149="同小队",$FA$24*$FA$46/3,0)+IF(CA149="同type",$FA$24*INDEX($FB$49:$FB$52,MATCH(X149,$FA$49:$FA$52,))/3,0)+IF(CA149="自身",#REF!/3,0)),0)+IF(BZ149="te",CB149*(1-$FI$27)*($FA$20-1)*$FB$7/$FB$13*(+IF(CA149="全员",$FA$19*$FA$24/(1+($FA$20-1)*$FA$19),0)+IF(CA149="同作战",$FA$19*$FA$24/(1+($FA$20-1)*$FA$19),0)+IF(CA149="仲间",$FA$19*$FA$24*2/3/(1+($FA$20-1)*$FA$19),0)+IF(CA149="同属性",$FA$19*$FA$24*$FA$37/3/(1+($FA$20-1)*$FA$19),0)+IF(CA149="同年级",$FA$19*$FA$24*$FA$40/3/(1+($FA$20-1)*$FA$19),0)+IF(CA149="同学校",$FA$19*$FA$24*$FA$43/3/(1+($FA$20-1)*$FA$19),0)+IF(CA149="同小队",$FA$19*$FA$24*$FA$46/3/(1+($FA$20-1)*$FA$19),0)+IF(CA149="同type",$FA$19*$FA$24*INDEX($FB$49:$FB$52,MATCH(X149,$FA$49:$FA$52,))/3/(1+($FA$20-1)*$FA$19),0)+IF(CA149="自身",$FA$19*#REF!/3/(1+(BH149-1)*$BD149),0)),0)</f>
        <v>0</v>
      </c>
      <c r="CE149" s="1097">
        <f t="shared" si="214"/>
        <v>0</v>
      </c>
      <c r="CF149" s="1112">
        <f t="shared" si="215"/>
        <v>0</v>
      </c>
      <c r="CG149" s="1100">
        <f t="shared" si="216"/>
        <v>0</v>
      </c>
      <c r="CH149" s="1110">
        <f t="shared" si="217"/>
        <v>0</v>
      </c>
      <c r="CI149" s="1113" t="s">
        <v>170</v>
      </c>
      <c r="CJ149" s="1114">
        <v>0.3</v>
      </c>
      <c r="CK149" s="1115" t="s">
        <v>152</v>
      </c>
      <c r="CL149" s="1115" t="s">
        <v>1940</v>
      </c>
      <c r="CM149" s="1119">
        <v>0.1</v>
      </c>
      <c r="CN149" s="1115"/>
      <c r="CO149" s="1092"/>
      <c r="CP149" s="1116">
        <f t="shared" si="218"/>
        <v>6.3417396005785713</v>
      </c>
      <c r="CQ149" s="1116">
        <f t="shared" si="219"/>
        <v>8.8421646270879979</v>
      </c>
      <c r="CR149" s="1116">
        <f t="shared" si="220"/>
        <v>6.3417396005785713</v>
      </c>
      <c r="CS149" s="1118">
        <f t="shared" si="221"/>
        <v>0</v>
      </c>
      <c r="CT149" s="1109">
        <f t="shared" si="222"/>
        <v>0</v>
      </c>
      <c r="CU149" s="1101">
        <f t="shared" si="223"/>
        <v>6.9759135606364291</v>
      </c>
      <c r="CV149" s="1108">
        <f t="shared" si="224"/>
        <v>8.8421646270879979</v>
      </c>
      <c r="CW149" s="1097">
        <f t="shared" si="225"/>
        <v>6.9759135606364291</v>
      </c>
      <c r="CX149" s="1097">
        <f t="shared" si="226"/>
        <v>6.9759135606364291</v>
      </c>
      <c r="CY149" s="1110">
        <f t="shared" si="227"/>
        <v>6.9759135606364291</v>
      </c>
      <c r="CZ149" s="437"/>
      <c r="DA149" s="438"/>
      <c r="DB149" s="439" t="s">
        <v>569</v>
      </c>
      <c r="DC149" s="439"/>
      <c r="DD149" s="443"/>
      <c r="DE149" s="411"/>
      <c r="DF149" s="411"/>
      <c r="DG149" s="1116">
        <f t="shared" si="228"/>
        <v>0</v>
      </c>
      <c r="DH149" s="1116">
        <f t="shared" si="229"/>
        <v>0</v>
      </c>
      <c r="DI149" s="1116">
        <f t="shared" si="230"/>
        <v>0</v>
      </c>
      <c r="DJ149" s="442">
        <f t="shared" si="231"/>
        <v>0</v>
      </c>
      <c r="DK149" s="1109">
        <f t="shared" si="232"/>
        <v>0</v>
      </c>
      <c r="DL149" s="1101">
        <f t="shared" si="233"/>
        <v>0</v>
      </c>
      <c r="DM149" s="1097">
        <f t="shared" si="234"/>
        <v>0</v>
      </c>
      <c r="DN149" s="1097">
        <f t="shared" si="235"/>
        <v>0</v>
      </c>
      <c r="DO149" s="1097">
        <f t="shared" si="236"/>
        <v>0</v>
      </c>
      <c r="DP149" s="1110">
        <f t="shared" si="237"/>
        <v>0</v>
      </c>
      <c r="DQ149" s="1113" t="s">
        <v>152</v>
      </c>
      <c r="DR149" s="1120">
        <f t="shared" si="238"/>
        <v>0.33</v>
      </c>
      <c r="DS149" s="1124"/>
      <c r="DT149" s="1093" t="s">
        <v>132</v>
      </c>
      <c r="DU149" s="1093"/>
      <c r="DV149" s="1098">
        <f>IF($P149="","N/A",IF(P149=-1,INDEX('卡片raw data'!AN:AN,MATCH(D149,'卡片raw data'!$F:$F,)),0)+IF(AND(L149&lt;&gt;"party卡",P149&lt;=2,P149&gt;=0),INDEX('卡片raw data'!AP:AP,MATCH(D149,'卡片raw data'!$F:$F,)),0)+IF(OR(AND(L149="party卡",P149&lt;=1),AND(P149&lt;=4,L149&lt;&gt;"party卡",P149&gt;=3)),INDEX('卡片raw data'!AQ:AQ,MATCH(D149,'卡片raw data'!$F:$F,)),0)+IF(OR(P149=5,AND(L149="party卡",P149&gt;=2)),INDEX('卡片raw data'!AR:AR,MATCH(D149,'卡片raw data'!$F:$F,)),0))</f>
        <v>0.42</v>
      </c>
      <c r="DW149" s="1098">
        <f t="shared" si="239"/>
        <v>0.33</v>
      </c>
      <c r="DX149" s="1098">
        <f t="shared" si="240"/>
        <v>0.33</v>
      </c>
      <c r="DY149" s="1125">
        <f t="shared" si="241"/>
        <v>2734.5581157694796</v>
      </c>
      <c r="DZ149" s="1125">
        <f t="shared" si="242"/>
        <v>2120.1565499539065</v>
      </c>
      <c r="EA149" s="1098">
        <f t="shared" si="243"/>
        <v>0</v>
      </c>
      <c r="EB149" s="1121">
        <f t="shared" si="244"/>
        <v>0</v>
      </c>
      <c r="EC149" s="1101">
        <f t="shared" si="245"/>
        <v>3008.0139273464279</v>
      </c>
      <c r="ED149" s="1097">
        <f t="shared" si="246"/>
        <v>2120.1565499539065</v>
      </c>
      <c r="EE149" s="1110">
        <f t="shared" si="247"/>
        <v>3008.0139273464279</v>
      </c>
      <c r="EF149" s="1092" t="s">
        <v>711</v>
      </c>
      <c r="EG149" s="1120">
        <f t="shared" si="248"/>
        <v>0.33</v>
      </c>
      <c r="EH149" s="1124"/>
      <c r="EI149" s="1093"/>
      <c r="EJ149" s="1093"/>
      <c r="EK149" s="1097">
        <f>IF($P149="","N/A",IF(P149=-1,INDEX('卡片raw data'!AS:AS,MATCH(D149,'卡片raw data'!$F:$F,)),0)+IF(AND(L149&lt;&gt;"party卡",P149&lt;=2,P149&gt;=0),INDEX('卡片raw data'!AU:AU,MATCH(D149,'卡片raw data'!$F:$F,)),0)+IF(OR(AND(L149="party卡",P149&lt;=1),AND(P149&lt;=4,L149&lt;&gt;"party卡",P149&gt;=3)),INDEX('卡片raw data'!AV:AV,MATCH(D149,'卡片raw data'!$F:$F,)),0)+IF(OR(P149=5,AND(L149="party卡",P149&gt;=2)),INDEX('卡片raw data'!AW:AW,MATCH(D149,'卡片raw data'!$F:$F,)),0))</f>
        <v>0</v>
      </c>
      <c r="EL149" s="1098">
        <f t="shared" si="249"/>
        <v>0.33</v>
      </c>
      <c r="EM149" s="1098">
        <f t="shared" si="250"/>
        <v>0.33</v>
      </c>
      <c r="EN149" s="1125">
        <f t="shared" si="251"/>
        <v>0</v>
      </c>
      <c r="EO149" s="1125">
        <f t="shared" si="252"/>
        <v>0</v>
      </c>
      <c r="EP149" s="1098">
        <f t="shared" si="253"/>
        <v>0</v>
      </c>
      <c r="EQ149" s="1121">
        <f t="shared" si="254"/>
        <v>0</v>
      </c>
      <c r="ER149" s="1101">
        <f t="shared" si="255"/>
        <v>0</v>
      </c>
      <c r="ES149" s="1097">
        <f t="shared" si="256"/>
        <v>0</v>
      </c>
      <c r="ET149" s="1122">
        <f t="shared" si="257"/>
        <v>0</v>
      </c>
    </row>
    <row r="150" spans="2:150" ht="16.5" customHeight="1">
      <c r="B150" s="1123" t="str">
        <f>INDEX('卡片raw data'!B:B,MATCH($D150,'卡片raw data'!$F:$F,))</f>
        <v>一单果</v>
      </c>
      <c r="C150" s="449" t="s">
        <v>69</v>
      </c>
      <c r="D150" s="408">
        <v>147</v>
      </c>
      <c r="E150" s="1090">
        <v>200012001</v>
      </c>
      <c r="F150" s="1090" t="str">
        <f>INDEX('卡片raw data'!C:C,MATCH($D150,'卡片raw data'!$F:$F,))</f>
        <v>SR</v>
      </c>
      <c r="G150" s="1094" t="s">
        <v>331</v>
      </c>
      <c r="H150" s="411">
        <f>IFERROR(INDEX(绊状态确认!C:C,MATCH($G150,绊状态确认!$B:$B,)),"")</f>
        <v>1</v>
      </c>
      <c r="I150" s="450" t="str">
        <f>IFERROR(INDEX(绊状态确认!D:D,MATCH($G150,绊状态确认!$B:$B,)),"")</f>
        <v>缪</v>
      </c>
      <c r="J150" s="450" t="str">
        <f>IFERROR(INDEX(绊状态确认!E:E,MATCH($G150,绊状态确认!$B:$B,)),"")</f>
        <v>2年级</v>
      </c>
      <c r="K150" s="451" t="str">
        <f>IFERROR(INDEX(绊状态确认!F:F,MATCH($G150,绊状态确认!$B:$B,)),"")</f>
        <v>Printemps</v>
      </c>
      <c r="L150" s="1094" t="str">
        <f>INDEX('卡片raw data'!E:E,MATCH($D150,'卡片raw data'!$F:$F,))</f>
        <v>卡池卡</v>
      </c>
      <c r="M150" s="415">
        <v>43830</v>
      </c>
      <c r="N150" s="416">
        <v>6.5</v>
      </c>
      <c r="O150" s="1091" t="str">
        <f>INDEX('卡片raw data'!D:D,MATCH($D150,'卡片raw data'!$F:$F,))</f>
        <v>vo</v>
      </c>
      <c r="P150" s="417">
        <v>5</v>
      </c>
      <c r="Q150" s="1095">
        <f t="shared" si="173"/>
        <v>36463.987647935603</v>
      </c>
      <c r="R150" s="1096">
        <f t="shared" si="174"/>
        <v>0.42299999999999999</v>
      </c>
      <c r="S150" s="1097">
        <f t="shared" si="175"/>
        <v>15309.260541323873</v>
      </c>
      <c r="T150" s="1098">
        <f t="shared" si="176"/>
        <v>0.76500000000000001</v>
      </c>
      <c r="U150" s="1099">
        <f t="shared" si="177"/>
        <v>-12.638786603427143</v>
      </c>
      <c r="V150" s="1100">
        <f t="shared" si="178"/>
        <v>36146.171715532524</v>
      </c>
      <c r="W150" s="1101">
        <f t="shared" si="179"/>
        <v>5672.7305595847638</v>
      </c>
      <c r="X150" s="1096">
        <f t="shared" si="180"/>
        <v>6.5000000000000002E-2</v>
      </c>
      <c r="Y150" s="1097">
        <f t="shared" si="181"/>
        <v>986.85251783862077</v>
      </c>
      <c r="Z150" s="1102">
        <f t="shared" si="182"/>
        <v>12.361213396572857</v>
      </c>
      <c r="AA150" s="1103">
        <f t="shared" si="183"/>
        <v>6659.5830774233846</v>
      </c>
      <c r="AB150" s="1101">
        <f t="shared" si="184"/>
        <v>6474.1032684071633</v>
      </c>
      <c r="AC150" s="1104">
        <f t="shared" si="185"/>
        <v>7.4999999999999997E-2</v>
      </c>
      <c r="AD150" s="1105">
        <f t="shared" si="186"/>
        <v>7.5681076388888855E-3</v>
      </c>
      <c r="AE150" s="1128">
        <f t="shared" si="187"/>
        <v>-6.735008952400257</v>
      </c>
      <c r="AF150" s="1130">
        <f t="shared" si="188"/>
        <v>0</v>
      </c>
      <c r="AG150" s="420">
        <f t="shared" si="189"/>
        <v>0</v>
      </c>
      <c r="AH150" s="420">
        <f t="shared" si="190"/>
        <v>0</v>
      </c>
      <c r="AI150" s="1097">
        <f t="shared" si="191"/>
        <v>0</v>
      </c>
      <c r="AJ150" s="420">
        <f t="shared" si="192"/>
        <v>0</v>
      </c>
      <c r="AK150" s="518">
        <f t="shared" si="193"/>
        <v>0</v>
      </c>
      <c r="AL150" s="1106">
        <f>IF($P150="","N/A",(IF($P150=-1,INDEX('卡片raw data'!S:S,MATCH($D150,'卡片raw data'!$F:$F,)),0)+IF($P150=0,INDEX('卡片raw data'!V:V,MATCH($D150,'卡片raw data'!$F:$F,)),0)+IF($P150=1,INDEX('卡片raw data'!Y:Y,MATCH($D150,'卡片raw data'!$F:$F,)),0)+IF($P150=2,INDEX('卡片raw data'!AB:AB,MATCH($D150,'卡片raw data'!$F:$F,)),0)+IF($P150=3,INDEX('卡片raw data'!AE:AE,MATCH($D150,'卡片raw data'!$F:$F,)),0)+IF($P150=4,INDEX('卡片raw data'!AH:AH,MATCH($D150,'卡片raw data'!$F:$F,)),0)+IF($P150=5,INDEX('卡片raw data'!AK:AK,MATCH($D150,'卡片raw data'!$F:$F,)),0)+INDEX('卡片raw data'!S:S,MATCH($D150,'卡片raw data'!$F:$F,))*(IF($F150="UR",0.04,0.033))*(IF($F150="UR",INDEX(绊状态确认!$S:$S,MATCH($G150,绊状态确认!$B:$B,))/2-40)+IF($F150="SR",INDEX(绊状态确认!$R:$R,MATCH($G150,绊状态确认!$B:$B,))/4-15))+IF($F150="R",INDEX(绊状态确认!$Q:$Q,MATCH($G150,绊状态确认!$B:$B,))/6-40/6)))*(INDEX(绊状态确认!$H:$H,MATCH($G150,绊状态确认!$B:$B,))+INDEX(绊状态确认!J:J,MATCH($G150,绊状态确认!$B:$B,)))</f>
        <v>6471.1593431999991</v>
      </c>
      <c r="AM150" s="1106">
        <f>IF($P150="","N/A",(IF($P150=-1,INDEX('卡片raw data'!T:T,MATCH($D150,'卡片raw data'!$F:$F,)),0)+IF($P150=0,INDEX('卡片raw data'!W:W,MATCH($D150,'卡片raw data'!$F:$F,)),0)+IF($P150=1,INDEX('卡片raw data'!Z:Z,MATCH($D150,'卡片raw data'!$F:$F,)),0)+IF($P150=2,INDEX('卡片raw data'!AC:AC,MATCH($D150,'卡片raw data'!$F:$F,)),0)+IF($P150=3,INDEX('卡片raw data'!AF:AF,MATCH($D150,'卡片raw data'!$F:$F,)),0)+IF($P150=4,INDEX('卡片raw data'!AI:AI,MATCH($D150,'卡片raw data'!$F:$F,)),0)+IF($P150=5,INDEX('卡片raw data'!AL:AL,MATCH($D150,'卡片raw data'!$F:$F,)),0)+INDEX('卡片raw data'!T:T,MATCH($D150,'卡片raw data'!$F:$F,))*(IF($F150="UR",0.04,0.033))*(IF($F150="UR",INDEX(绊状态确认!$S:$S,MATCH($G150,绊状态确认!$B:$B,))/2-40)+IF($F150="SR",INDEX(绊状态确认!$R:$R,MATCH($G150,绊状态确认!$B:$B,))/4-15))+IF($F150="R",INDEX(绊状态确认!$Q:$Q,MATCH($G150,绊状态确认!$B:$B,))/6-40/6)))*(INDEX(绊状态确认!$H:$H,MATCH($G150,绊状态确认!$B:$B,))+INDEX(绊状态确认!K:K,MATCH($G150,绊状态确认!$B:$B,)))</f>
        <v>6471.1593431999991</v>
      </c>
      <c r="AN150" s="1106">
        <f>IF($P150="","N/A",(IF($P150=-1,INDEX('卡片raw data'!U:U,MATCH($D150,'卡片raw data'!$F:$F,)),0)+IF($P150=0,INDEX('卡片raw data'!X:X,MATCH($D150,'卡片raw data'!$F:$F,)),0)+IF($P150=1,INDEX('卡片raw data'!AA:AA,MATCH($D150,'卡片raw data'!$F:$F,)),0)+IF($P150=2,INDEX('卡片raw data'!AD:AD,MATCH($D150,'卡片raw data'!$F:$F,)),0)+IF($P150=3,INDEX('卡片raw data'!AG:AG,MATCH($D150,'卡片raw data'!$F:$F,)),0)+IF($P150=4,INDEX('卡片raw data'!AJ:AJ,MATCH($D150,'卡片raw data'!$F:$F,)),0)+IF($P150=5,INDEX('卡片raw data'!AM:AM,MATCH($D150,'卡片raw data'!$F:$F,)),0)+INDEX('卡片raw data'!U:U,MATCH($D150,'卡片raw data'!$F:$F,))*(IF($F150="UR",0.04,0.033))*(IF($F150="UR",INDEX(绊状态确认!$S:$S,MATCH($G150,绊状态确认!$B:$B,))/2-40)+IF($F150="SR",INDEX(绊状态确认!$R:$R,MATCH($G150,绊状态确认!$B:$B,))/4-15))+IF($F150="R",INDEX(绊状态确认!$Q:$Q,MATCH($G150,绊状态确认!$B:$B,))/6-40/6)))*(INDEX(绊状态确认!$H:$H,MATCH($G150,绊状态确认!$B:$B,))+INDEX(绊状态确认!L:L,MATCH($G150,绊状态确认!$B:$B,)))</f>
        <v>6666.9610631999994</v>
      </c>
      <c r="AO150" s="1107">
        <f t="shared" si="194"/>
        <v>1</v>
      </c>
      <c r="AP150" s="1131">
        <f>1+(INDEX(绊状态确认!$T:$T,MATCH($G150,绊状态确认!$B:$B,))+0.2)*$AO150</f>
        <v>1.3</v>
      </c>
      <c r="AQ150" s="1108">
        <f t="shared" si="195"/>
        <v>20236.793275899996</v>
      </c>
      <c r="AR150" s="1097">
        <f>(AM150*(1+$EX$9)+$EX$35)*(1+(INDEX(绊状态确认!$T:$T,MATCH($G150,绊状态确认!$B:$B,))+0.2)*AO150)*IF(J150=$FF$17,1+$FE$17,1)*IF(I150=$FF$14,1+$FE$14,1)</f>
        <v>11537.132503467999</v>
      </c>
      <c r="AS150" s="1097">
        <f>(AN150*(1+$EX$10)+$EX$36)*(1+(INDEX(绊状态确认!$T:$T,MATCH($G150,绊状态确认!$B:$B,))+0.2)*AO150)*IF(J150=$FF$17,1+$FE$17,1)*IF(I150=$FF$14,1+$FE$14,1)</f>
        <v>14023.106789484</v>
      </c>
      <c r="AT150" s="1093">
        <f>IF(AND(INDEX('卡片raw data'!AK:AK,MATCH($D150,'卡片raw data'!$F:$F,))&lt;INDEX('卡片raw data'!AM:AM,MATCH($D150,'卡片raw data'!$F:$F,)),INDEX('卡片raw data'!AL:AL,MATCH($D150,'卡片raw data'!$F:$F,))&lt;INDEX('卡片raw data'!AM:AM,MATCH($D150,'卡片raw data'!$F:$F,))),1,0)</f>
        <v>1</v>
      </c>
      <c r="AU150" s="1098">
        <f>MIN(AT150*0.15+AS150*0.00003+INDEX(绊状态确认!M:M,MATCH($G150,绊状态确认!$B:$B,)),1)</f>
        <v>0.60069320368452006</v>
      </c>
      <c r="AV150" s="1109">
        <f>(INDEX(绊状态确认!$N:$N,MATCH($G150,绊状态确认!$B:$B,))+1.5)*$EW$21</f>
        <v>2.6599999999999997</v>
      </c>
      <c r="AW150" s="1101">
        <f t="shared" si="196"/>
        <v>20989.877305293521</v>
      </c>
      <c r="AX150" s="1097">
        <f t="shared" si="197"/>
        <v>986.85251783862088</v>
      </c>
      <c r="AY150" s="1110">
        <f t="shared" si="198"/>
        <v>21976.729823132144</v>
      </c>
      <c r="AZ150" s="429">
        <f t="shared" si="199"/>
        <v>15218.760719239997</v>
      </c>
      <c r="BA150" s="431">
        <f t="shared" si="200"/>
        <v>18262.512863087995</v>
      </c>
      <c r="BB150" s="1097">
        <f>(AM150*(1+$FB$9)+$FB$35)*(1+(INDEX(绊状态确认!$T:$T,MATCH($G150,绊状态确认!$B:$B,))+0.2)*AO150)*IF(J150=$FF$17,1+$FE$17,1)*IF(I150=$FF$14,1+$FE$14,1)*(1+$FE$15)</f>
        <v>11537.132503467999</v>
      </c>
      <c r="BC150" s="1097">
        <f>(AN150*(1+$FB$10)+$FB$36)*(1+(INDEX(绊状态确认!$T:$T,MATCH($G150,绊状态确认!$B:$B,))+0.2)*AO150)*IF(J150=$FF$17,1+$FE$17,1)*IF(I150=$FF$14,1+$FE$14,1)*(1+$FE$15)</f>
        <v>14023.106789484</v>
      </c>
      <c r="BD150" s="1104">
        <f>MIN(AT150*0.15+BC150*0.00003+INDEX(绊状态确认!M:M,MATCH($G150,绊状态确认!$B:$B,)),1)</f>
        <v>0.60069320368452006</v>
      </c>
      <c r="BE150" s="432">
        <f>(INDEX(绊状态确认!$N:$N,MATCH($G150,绊状态确认!$B:$B,))+1.5)</f>
        <v>1.9</v>
      </c>
      <c r="BF150" s="1139">
        <f t="array" ref="BF150">SUMPRODUCT(IF(AZ150*AP150*$FI$16:$FI$23*$FA$22&gt;=$FI$24,$FI$24,AZ150*AP150*$FI$16:$FI$23*$FA$22),$FJ$16:$FJ$23)</f>
        <v>30270.115070568358</v>
      </c>
      <c r="BG150" s="1125">
        <f t="array" ref="BG150">SUMPRODUCT(IF(BE150*AZ150*AP150*$FI$16:$FI$23*$FA$22&gt;=$FI$24,$FI$24,BE150*AZ150*AP150*$FI$16:$FI$23*$FA$22),$FJ$16:$FJ$23)</f>
        <v>55199.981350513917</v>
      </c>
      <c r="BH150" s="1110">
        <f t="shared" si="201"/>
        <v>15081.77210456518</v>
      </c>
      <c r="BI150" s="1111">
        <f>IF(O150="vo",$EW$26/$EW$24*0.05,0)+IF(O150="sk",-$EW$26/$EW$24*(0.05-INDEX(绊状态确认!W:W,MATCH($G150,绊状态确认!$B:$B,)))+0.05*$EW$28,0)+IF(O150="sp",0.05*$EW$32*$EW$30*(1-$EW$33)-(0.05-INDEX(绊状态确认!V:V,MATCH($G150,绊状态确认!$B:$B,)))*$EW$28,0)+IF(O150="gd",-(0.05-INDEX(绊状态确认!X:X,MATCH($G150,绊状态确认!$B:$B,)))*$EW$32*$EW$30*(1-$EW$33),0)</f>
        <v>7726.3029277443748</v>
      </c>
      <c r="BJ150" s="1097">
        <f>IF(O150="vo",0.05*(1-$FI$26)*$FA$24,0)+IF(O150="sk",-(0.05-INDEX(绊状态确认!W:W,MATCH($G150,绊状态确认!$B:$B,)))*(1-$FI$26)*$FA$24+0.05*$FA$26,0)+IF(O150="sp",0.05*$FA$32*$FA$27*(1-$FA$33)/$FA$30+0.05*$FA$29/$FA$69*$FA$27*(1-$FA$33)-(0.05-INDEX(绊状态确认!V:V,MATCH($G150,绊状态确认!$B:$B,)))*$FA$26,0)+IF(O150="gd",-(0.05-INDEX(绊状态确认!X:X,MATCH($G150,绊状态确认!$B:$B,)))*$FA$32*$FA$27*(1-$FA$33)/$FA$30-(0.05-INDEX(绊状态确认!X:X,MATCH($G150,绊状态确认!$B:$B,)))*$FA$29/$FA$69*$FA$27*(1-$FA$33),0)</f>
        <v>393.93433687500004</v>
      </c>
      <c r="BK150" s="1110">
        <f>IF(O150="vo",$EW$26/$EW$24*0.05+$EW$26*(-HP($EW$62,$EW$65,$EW$64)+HP($EW$62,$EW$65,(1.05-INDEX(绊状态确认!U:U,MATCH($G150,绊状态确认!$B:$B,)))*$EW$64)),0)+IF(O150="sk",-$EW$26/$EW$24*(0.05-INDEX(绊状态确认!W:W,MATCH($G150,绊状态确认!$B:$B,)))+0.05*$EW$29,0)+IF(O150="sp",0.05*$EW$32*$EW$30*(1-$EW$33)-(0.05-INDEX(绊状态确认!V:V,MATCH($G150,绊状态确认!$B:$B,)))*$EW$29,0)+IF(O150="gd",-(0.05-INDEX(绊状态确认!X:X,MATCH($G150,绊状态确认!$B:$B,)))*$EW$32*$EW$30*(1-$EW$33)+$EW$26*(-HP($EW$62,$EW$65,$EW$64)+HP($EW$62,$EW$65,0.95*$EW$64)),0)</f>
        <v>6421.6344775026746</v>
      </c>
      <c r="BL150" s="1111">
        <f t="shared" si="202"/>
        <v>-1083.3333333333333</v>
      </c>
      <c r="BM150" s="1110">
        <f t="shared" si="203"/>
        <v>-830.55555555555543</v>
      </c>
      <c r="BN150" s="1113">
        <f t="shared" si="204"/>
        <v>3</v>
      </c>
      <c r="BO150" s="1097">
        <f t="shared" si="205"/>
        <v>4507.7214871259994</v>
      </c>
      <c r="BP150" s="1100">
        <f t="shared" si="206"/>
        <v>221.34103209030098</v>
      </c>
      <c r="BQ150" s="1113" t="s">
        <v>623</v>
      </c>
      <c r="BR150" s="1124" t="s">
        <v>171</v>
      </c>
      <c r="BS150" s="1098">
        <f>IF($P150="","N/A",IF($P150=-1,INDEX('卡片raw data'!AX:AX,MATCH($D150,'卡片raw data'!$F:$F,)),0)+IF($L150="party卡",IF($P150=5,INDEX('卡片raw data'!BD:BD,MATCH($D150,'卡片raw data'!$F:$F,)),IF($P150&gt;=3,INDEX('卡片raw data'!BC:BC,MATCH($D150,'卡片raw data'!$F:$F,)),INDEX('卡片raw data'!BB:BB,MATCH($D150,'卡片raw data'!$F:$F,)))),IF(OR(AND($F150="UR",$P150=0),AND($F150="SR",$P150&gt;=0,$P150&lt;=2),AND($F150="R",$P150&gt;=0,$P150&lt;4)),INDEX('卡片raw data'!AZ:AZ,MATCH($D150,'卡片raw data'!$F:$F,)),0)+IF(OR(AND($F150="UR",$P150&gt;=1,$P150&lt;=4),AND($F150="SR",$P150&lt;=4,$P150&gt;=3),AND($F150="R",$P150=4)),INDEX('卡片raw data'!BA:BA,MATCH($D150,'卡片raw data'!$F:$F,)),0)+IF($P150=5,INDEX('卡片raw data'!BB:BB,MATCH($D150,'卡片raw data'!$F:$F,)),0)))</f>
        <v>3.2000000000000001E-2</v>
      </c>
      <c r="BT150" s="1101">
        <f t="shared" si="207"/>
        <v>1602.7454176448</v>
      </c>
      <c r="BU150" s="1097">
        <f t="shared" si="208"/>
        <v>68.861654428093644</v>
      </c>
      <c r="BV150" s="1097">
        <f t="shared" si="209"/>
        <v>801.37270882240011</v>
      </c>
      <c r="BW150" s="1112">
        <f t="shared" si="210"/>
        <v>0</v>
      </c>
      <c r="BX150" s="1100">
        <f t="shared" si="211"/>
        <v>1602.7454176448</v>
      </c>
      <c r="BY150" s="1110">
        <f t="shared" si="212"/>
        <v>801.37270882240011</v>
      </c>
      <c r="BZ150" s="1107" t="s">
        <v>569</v>
      </c>
      <c r="CA150" s="1124"/>
      <c r="CB150" s="1098">
        <f>IF($P150="","N/A",IF($P150=-1,INDEX('卡片raw data'!BE:BE,MATCH($D150,'卡片raw data'!$F:$F,)),0)+IF($L150="party卡",IF($P150=5,INDEX('卡片raw data'!BK:BK,MATCH($D150,'卡片raw data'!$F:$F,)),IF($P150&gt;=3,INDEX('卡片raw data'!BJ:BJ,MATCH($D150,'卡片raw data'!$F:$F,)),INDEX('卡片raw data'!BI:BI,MATCH($D150,'卡片raw data'!$F:$F,)))),IF(OR(AND($F150="UR",$P150=0),AND($F150="SR",$P150&gt;=0,$P150&lt;=2),AND($F150="R",$P150&gt;=0,$P150&lt;4)),INDEX('卡片raw data'!BG:BG,MATCH($D150,'卡片raw data'!$F:$F,)),0)+IF(OR(AND($F150="UR",$P150&gt;=1,$P150&lt;=4),AND($F150="SR",$P150&lt;=4,$P150&gt;=3),AND($F150="R",$P150=4)),INDEX('卡片raw data'!BH:BH,MATCH($D150,'卡片raw data'!$F:$F,)),0)+IF($P150=5,INDEX('卡片raw data'!BI:BI,MATCH($D150,'卡片raw data'!$F:$F,)),0)))</f>
        <v>0</v>
      </c>
      <c r="CC150" s="1101">
        <f t="shared" si="213"/>
        <v>0</v>
      </c>
      <c r="CD150" s="1097">
        <f>IF(BZ150="ap",CB150*(1-$FI$26)*$FB$5/$FB$11*(+IF(CA150="全员",$FA$24,0)+IF(CA150="同作战",$FA$24,0)+IF(CA150="仲间",$FA$24*2/3,0)+IF(CA150="同属性",$FA$24*$FA$37/3,0)+IF(CA150="同年级",$FA$24*$FA$40/3,0)+IF(CA150="同学校",$FA$24*$FA$43/3,0)+IF(CA150="同小队",$FA$24*$FA$46/3,0)+IF(CA150="同type",$FA$24*INDEX($FB$49:$FB$52,MATCH(X150,$FA$49:$FA$52,))/3,0)+IF(CA150="自身",#REF!/3,0)),0)+IF(BZ150="te",CB150*(1-$FI$27)*($FA$20-1)*$FB$7/$FB$13*(+IF(CA150="全员",$FA$19*$FA$24/(1+($FA$20-1)*$FA$19),0)+IF(CA150="同作战",$FA$19*$FA$24/(1+($FA$20-1)*$FA$19),0)+IF(CA150="仲间",$FA$19*$FA$24*2/3/(1+($FA$20-1)*$FA$19),0)+IF(CA150="同属性",$FA$19*$FA$24*$FA$37/3/(1+($FA$20-1)*$FA$19),0)+IF(CA150="同年级",$FA$19*$FA$24*$FA$40/3/(1+($FA$20-1)*$FA$19),0)+IF(CA150="同学校",$FA$19*$FA$24*$FA$43/3/(1+($FA$20-1)*$FA$19),0)+IF(CA150="同小队",$FA$19*$FA$24*$FA$46/3/(1+($FA$20-1)*$FA$19),0)+IF(CA150="同type",$FA$19*$FA$24*INDEX($FB$49:$FB$52,MATCH(X150,$FA$49:$FA$52,))/3/(1+($FA$20-1)*$FA$19),0)+IF(CA150="自身",$FA$19*#REF!/3/(1+(BH150-1)*$BD150),0)),0)</f>
        <v>0</v>
      </c>
      <c r="CE150" s="1097">
        <f t="shared" si="214"/>
        <v>0</v>
      </c>
      <c r="CF150" s="1112">
        <f t="shared" si="215"/>
        <v>0</v>
      </c>
      <c r="CG150" s="1100">
        <f t="shared" si="216"/>
        <v>0</v>
      </c>
      <c r="CH150" s="1110">
        <f t="shared" si="217"/>
        <v>0</v>
      </c>
      <c r="CI150" s="1113" t="s">
        <v>164</v>
      </c>
      <c r="CJ150" s="1114">
        <v>0.5</v>
      </c>
      <c r="CK150" s="1115" t="s">
        <v>561</v>
      </c>
      <c r="CL150" s="1115" t="s">
        <v>161</v>
      </c>
      <c r="CM150" s="1119">
        <v>0.08</v>
      </c>
      <c r="CN150" s="1115">
        <v>10</v>
      </c>
      <c r="CO150" s="1092"/>
      <c r="CP150" s="1118">
        <f t="shared" si="218"/>
        <v>8.5714285714285719E-3</v>
      </c>
      <c r="CQ150" s="1118">
        <f t="shared" si="219"/>
        <v>1.3333333333333336E-2</v>
      </c>
      <c r="CR150" s="1118">
        <f t="shared" si="220"/>
        <v>8.5714285714285719E-3</v>
      </c>
      <c r="CS150" s="1118">
        <f t="shared" si="221"/>
        <v>1.1388888888888888E-2</v>
      </c>
      <c r="CT150" s="1109">
        <f t="shared" si="222"/>
        <v>0</v>
      </c>
      <c r="CU150" s="1101">
        <f t="shared" si="223"/>
        <v>363.63636363636363</v>
      </c>
      <c r="CV150" s="1108">
        <f t="shared" si="224"/>
        <v>303.03030303030306</v>
      </c>
      <c r="CW150" s="1097">
        <f t="shared" si="225"/>
        <v>363.63636363636363</v>
      </c>
      <c r="CX150" s="1097">
        <f t="shared" si="226"/>
        <v>363.63636363636363</v>
      </c>
      <c r="CY150" s="1110">
        <f t="shared" si="227"/>
        <v>363.63636363636363</v>
      </c>
      <c r="CZ150" s="437"/>
      <c r="DA150" s="438"/>
      <c r="DB150" s="439" t="s">
        <v>569</v>
      </c>
      <c r="DC150" s="439"/>
      <c r="DD150" s="443"/>
      <c r="DE150" s="411"/>
      <c r="DF150" s="411"/>
      <c r="DG150" s="1116">
        <f t="shared" si="228"/>
        <v>0</v>
      </c>
      <c r="DH150" s="1116">
        <f t="shared" si="229"/>
        <v>0</v>
      </c>
      <c r="DI150" s="1116">
        <f t="shared" si="230"/>
        <v>0</v>
      </c>
      <c r="DJ150" s="442">
        <f t="shared" si="231"/>
        <v>0</v>
      </c>
      <c r="DK150" s="1109">
        <f t="shared" si="232"/>
        <v>0</v>
      </c>
      <c r="DL150" s="1101">
        <f t="shared" si="233"/>
        <v>0</v>
      </c>
      <c r="DM150" s="1097">
        <f t="shared" si="234"/>
        <v>0</v>
      </c>
      <c r="DN150" s="1097">
        <f t="shared" si="235"/>
        <v>0</v>
      </c>
      <c r="DO150" s="1097">
        <f t="shared" si="236"/>
        <v>0</v>
      </c>
      <c r="DP150" s="1110">
        <f t="shared" si="237"/>
        <v>0</v>
      </c>
      <c r="DQ150" s="1113" t="s">
        <v>554</v>
      </c>
      <c r="DR150" s="1120">
        <f t="shared" si="238"/>
        <v>0.3</v>
      </c>
      <c r="DS150" s="1124">
        <v>5</v>
      </c>
      <c r="DT150" s="1093" t="s">
        <v>557</v>
      </c>
      <c r="DU150" s="1093" t="s">
        <v>544</v>
      </c>
      <c r="DV150" s="1098">
        <f>IF($P150="","N/A",IF(P150=-1,INDEX('卡片raw data'!AN:AN,MATCH(D150,'卡片raw data'!$F:$F,)),0)+IF(AND(L150&lt;&gt;"party卡",P150&lt;=2,P150&gt;=0),INDEX('卡片raw data'!AP:AP,MATCH(D150,'卡片raw data'!$F:$F,)),0)+IF(OR(AND(L150="party卡",P150&lt;=1),AND(P150&lt;=4,L150&lt;&gt;"party卡",P150&gt;=3)),INDEX('卡片raw data'!AQ:AQ,MATCH(D150,'卡片raw data'!$F:$F,)),0)+IF(OR(P150=5,AND(L150="party卡",P150&gt;=2)),INDEX('卡片raw data'!AR:AR,MATCH(D150,'卡片raw data'!$F:$F,)),0))</f>
        <v>5.1999999999999998E-2</v>
      </c>
      <c r="DW150" s="1098">
        <f t="shared" si="239"/>
        <v>0.3</v>
      </c>
      <c r="DX150" s="1098">
        <f t="shared" si="240"/>
        <v>0.3</v>
      </c>
      <c r="DY150" s="1098">
        <f t="shared" si="241"/>
        <v>1.3866666666666666E-2</v>
      </c>
      <c r="DZ150" s="1098">
        <f t="shared" si="242"/>
        <v>8.9959999999999988E-3</v>
      </c>
      <c r="EA150" s="1098">
        <f t="shared" si="243"/>
        <v>0</v>
      </c>
      <c r="EB150" s="1121">
        <f t="shared" si="244"/>
        <v>0</v>
      </c>
      <c r="EC150" s="1101">
        <f t="shared" si="245"/>
        <v>2357.037479823884</v>
      </c>
      <c r="ED150" s="1097">
        <f t="shared" si="246"/>
        <v>70.876665890550001</v>
      </c>
      <c r="EE150" s="1110">
        <f t="shared" si="247"/>
        <v>2357.037479823884</v>
      </c>
      <c r="EF150" s="1092" t="s">
        <v>711</v>
      </c>
      <c r="EG150" s="1120">
        <f t="shared" si="248"/>
        <v>0.3</v>
      </c>
      <c r="EH150" s="1124"/>
      <c r="EI150" s="1093"/>
      <c r="EJ150" s="1093"/>
      <c r="EK150" s="1097">
        <f>IF($P150="","N/A",IF(P150=-1,INDEX('卡片raw data'!AS:AS,MATCH(D150,'卡片raw data'!$F:$F,)),0)+IF(AND(L150&lt;&gt;"party卡",P150&lt;=2,P150&gt;=0),INDEX('卡片raw data'!AU:AU,MATCH(D150,'卡片raw data'!$F:$F,)),0)+IF(OR(AND(L150="party卡",P150&lt;=1),AND(P150&lt;=4,L150&lt;&gt;"party卡",P150&gt;=3)),INDEX('卡片raw data'!AV:AV,MATCH(D150,'卡片raw data'!$F:$F,)),0)+IF(OR(P150=5,AND(L150="party卡",P150&gt;=2)),INDEX('卡片raw data'!AW:AW,MATCH(D150,'卡片raw data'!$F:$F,)),0))</f>
        <v>0</v>
      </c>
      <c r="EL150" s="1098">
        <f t="shared" si="249"/>
        <v>0.3</v>
      </c>
      <c r="EM150" s="1098">
        <f t="shared" si="250"/>
        <v>0.3</v>
      </c>
      <c r="EN150" s="1125">
        <f t="shared" si="251"/>
        <v>0</v>
      </c>
      <c r="EO150" s="1125">
        <f t="shared" si="252"/>
        <v>0</v>
      </c>
      <c r="EP150" s="1098">
        <f t="shared" si="253"/>
        <v>0</v>
      </c>
      <c r="EQ150" s="1121">
        <f t="shared" si="254"/>
        <v>0</v>
      </c>
      <c r="ER150" s="1101">
        <f t="shared" si="255"/>
        <v>0</v>
      </c>
      <c r="ES150" s="1097">
        <f t="shared" si="256"/>
        <v>0</v>
      </c>
      <c r="ET150" s="1122">
        <f t="shared" si="257"/>
        <v>0</v>
      </c>
    </row>
    <row r="151" spans="2:150" ht="16.5" customHeight="1">
      <c r="B151" s="1123" t="str">
        <f>INDEX('卡片raw data'!B:B,MATCH($D151,'卡片raw data'!$F:$F,))</f>
        <v>op1千</v>
      </c>
      <c r="C151" s="449" t="s">
        <v>123</v>
      </c>
      <c r="D151" s="408">
        <v>148</v>
      </c>
      <c r="E151" s="1090">
        <v>201012001</v>
      </c>
      <c r="F151" s="1090" t="str">
        <f>INDEX('卡片raw data'!C:C,MATCH($D151,'卡片raw data'!$F:$F,))</f>
        <v>SR</v>
      </c>
      <c r="G151" s="1094" t="s">
        <v>339</v>
      </c>
      <c r="H151" s="411">
        <f>IFERROR(INDEX(绊状态确认!C:C,MATCH($G151,绊状态确认!$B:$B,)),"")</f>
        <v>101</v>
      </c>
      <c r="I151" s="450" t="str">
        <f>IFERROR(INDEX(绊状态确认!D:D,MATCH($G151,绊状态确认!$B:$B,)),"")</f>
        <v>水</v>
      </c>
      <c r="J151" s="450" t="str">
        <f>IFERROR(INDEX(绊状态确认!E:E,MATCH($G151,绊状态确认!$B:$B,)),"")</f>
        <v>2年级</v>
      </c>
      <c r="K151" s="451" t="str">
        <f>IFERROR(INDEX(绊状态确认!F:F,MATCH($G151,绊状态确认!$B:$B,)),"")</f>
        <v>CYaRon!</v>
      </c>
      <c r="L151" s="1094" t="str">
        <f>INDEX('卡片raw data'!E:E,MATCH($D151,'卡片raw data'!$F:$F,))</f>
        <v>卡池卡</v>
      </c>
      <c r="M151" s="415">
        <v>43830</v>
      </c>
      <c r="N151" s="416">
        <v>6.5</v>
      </c>
      <c r="O151" s="1091" t="str">
        <f>INDEX('卡片raw data'!D:D,MATCH($D151,'卡片raw data'!$F:$F,))</f>
        <v>sp</v>
      </c>
      <c r="P151" s="417">
        <v>5</v>
      </c>
      <c r="Q151" s="1095">
        <f t="shared" si="173"/>
        <v>29937.618944893922</v>
      </c>
      <c r="R151" s="1096">
        <f t="shared" si="174"/>
        <v>0.34799999999999998</v>
      </c>
      <c r="S151" s="1097">
        <f t="shared" si="175"/>
        <v>16236.00066348648</v>
      </c>
      <c r="T151" s="1098">
        <f t="shared" si="176"/>
        <v>0.81100000000000005</v>
      </c>
      <c r="U151" s="1099">
        <f t="shared" si="177"/>
        <v>10.638177039582855</v>
      </c>
      <c r="V151" s="1100">
        <f t="shared" si="178"/>
        <v>28983.92319087061</v>
      </c>
      <c r="W151" s="1101">
        <f t="shared" si="179"/>
        <v>4520.7099841446234</v>
      </c>
      <c r="X151" s="1096">
        <f t="shared" si="180"/>
        <v>5.1999999999999998E-2</v>
      </c>
      <c r="Y151" s="1097">
        <f t="shared" si="181"/>
        <v>846.30424597668662</v>
      </c>
      <c r="Z151" s="1102">
        <f t="shared" si="182"/>
        <v>10.638177039582855</v>
      </c>
      <c r="AA151" s="1103">
        <f t="shared" si="183"/>
        <v>5367.01423012131</v>
      </c>
      <c r="AB151" s="1101">
        <f t="shared" si="184"/>
        <v>8058.0075862989215</v>
      </c>
      <c r="AC151" s="1104">
        <f t="shared" si="185"/>
        <v>9.2999999999999999E-2</v>
      </c>
      <c r="AD151" s="1105">
        <f t="shared" si="186"/>
        <v>-1.9908281250000003E-2</v>
      </c>
      <c r="AE151" s="1128">
        <f t="shared" si="187"/>
        <v>41.311625724637679</v>
      </c>
      <c r="AF151" s="1130">
        <f t="shared" si="188"/>
        <v>0</v>
      </c>
      <c r="AG151" s="420">
        <f t="shared" si="189"/>
        <v>0</v>
      </c>
      <c r="AH151" s="420">
        <f t="shared" si="190"/>
        <v>0</v>
      </c>
      <c r="AI151" s="1097">
        <f t="shared" si="191"/>
        <v>0</v>
      </c>
      <c r="AJ151" s="420">
        <f t="shared" si="192"/>
        <v>0</v>
      </c>
      <c r="AK151" s="518">
        <f t="shared" si="193"/>
        <v>0</v>
      </c>
      <c r="AL151" s="1106">
        <f>IF($P151="","N/A",(IF($P151=-1,INDEX('卡片raw data'!S:S,MATCH($D151,'卡片raw data'!$F:$F,)),0)+IF($P151=0,INDEX('卡片raw data'!V:V,MATCH($D151,'卡片raw data'!$F:$F,)),0)+IF($P151=1,INDEX('卡片raw data'!Y:Y,MATCH($D151,'卡片raw data'!$F:$F,)),0)+IF($P151=2,INDEX('卡片raw data'!AB:AB,MATCH($D151,'卡片raw data'!$F:$F,)),0)+IF($P151=3,INDEX('卡片raw data'!AE:AE,MATCH($D151,'卡片raw data'!$F:$F,)),0)+IF($P151=4,INDEX('卡片raw data'!AH:AH,MATCH($D151,'卡片raw data'!$F:$F,)),0)+IF($P151=5,INDEX('卡片raw data'!AK:AK,MATCH($D151,'卡片raw data'!$F:$F,)),0)+INDEX('卡片raw data'!S:S,MATCH($D151,'卡片raw data'!$F:$F,))*(IF($F151="UR",0.04,0.033))*(IF($F151="UR",INDEX(绊状态确认!$S:$S,MATCH($G151,绊状态确认!$B:$B,))/2-40)+IF($F151="SR",INDEX(绊状态确认!$R:$R,MATCH($G151,绊状态确认!$B:$B,))/4-15))+IF($F151="R",INDEX(绊状态确认!$Q:$Q,MATCH($G151,绊状态确认!$B:$B,))/6-40/6)))*(INDEX(绊状态确认!$H:$H,MATCH($G151,绊状态确认!$B:$B,))+INDEX(绊状态确认!J:J,MATCH($G151,绊状态确认!$B:$B,)))</f>
        <v>5489.9529455999991</v>
      </c>
      <c r="AM151" s="1106">
        <f>IF($P151="","N/A",(IF($P151=-1,INDEX('卡片raw data'!T:T,MATCH($D151,'卡片raw data'!$F:$F,)),0)+IF($P151=0,INDEX('卡片raw data'!W:W,MATCH($D151,'卡片raw data'!$F:$F,)),0)+IF($P151=1,INDEX('卡片raw data'!Z:Z,MATCH($D151,'卡片raw data'!$F:$F,)),0)+IF($P151=2,INDEX('卡片raw data'!AC:AC,MATCH($D151,'卡片raw data'!$F:$F,)),0)+IF($P151=3,INDEX('卡片raw data'!AF:AF,MATCH($D151,'卡片raw data'!$F:$F,)),0)+IF($P151=4,INDEX('卡片raw data'!AI:AI,MATCH($D151,'卡片raw data'!$F:$F,)),0)+IF($P151=5,INDEX('卡片raw data'!AL:AL,MATCH($D151,'卡片raw data'!$F:$F,)),0)+INDEX('卡片raw data'!T:T,MATCH($D151,'卡片raw data'!$F:$F,))*(IF($F151="UR",0.04,0.033))*(IF($F151="UR",INDEX(绊状态确认!$S:$S,MATCH($G151,绊状态确认!$B:$B,))/2-40)+IF($F151="SR",INDEX(绊状态确认!$R:$R,MATCH($G151,绊状态确认!$B:$B,))/4-15))+IF($F151="R",INDEX(绊状态确认!$Q:$Q,MATCH($G151,绊状态确认!$B:$B,))/6-40/6)))*(INDEX(绊状态确认!$H:$H,MATCH($G151,绊状态确认!$B:$B,))+INDEX(绊状态确认!K:K,MATCH($G151,绊状态确认!$B:$B,)))</f>
        <v>5293.0148255999993</v>
      </c>
      <c r="AN151" s="1106">
        <f>IF($P151="","N/A",(IF($P151=-1,INDEX('卡片raw data'!U:U,MATCH($D151,'卡片raw data'!$F:$F,)),0)+IF($P151=0,INDEX('卡片raw data'!X:X,MATCH($D151,'卡片raw data'!$F:$F,)),0)+IF($P151=1,INDEX('卡片raw data'!AA:AA,MATCH($D151,'卡片raw data'!$F:$F,)),0)+IF($P151=2,INDEX('卡片raw data'!AD:AD,MATCH($D151,'卡片raw data'!$F:$F,)),0)+IF($P151=3,INDEX('卡片raw data'!AG:AG,MATCH($D151,'卡片raw data'!$F:$F,)),0)+IF($P151=4,INDEX('卡片raw data'!AJ:AJ,MATCH($D151,'卡片raw data'!$F:$F,)),0)+IF($P151=5,INDEX('卡片raw data'!AM:AM,MATCH($D151,'卡片raw data'!$F:$F,)),0)+INDEX('卡片raw data'!U:U,MATCH($D151,'卡片raw data'!$F:$F,))*(IF($F151="UR",0.04,0.033))*(IF($F151="UR",INDEX(绊状态确认!$S:$S,MATCH($G151,绊状态确认!$B:$B,))/2-40)+IF($F151="SR",INDEX(绊状态确认!$R:$R,MATCH($G151,绊状态确认!$B:$B,))/4-15))+IF($F151="R",INDEX(绊状态确认!$Q:$Q,MATCH($G151,绊状态确认!$B:$B,))/6-40/6)))*(INDEX(绊状态确认!$H:$H,MATCH($G151,绊状态确认!$B:$B,))+INDEX(绊状态确认!L:L,MATCH($G151,绊状态确认!$B:$B,)))</f>
        <v>8826.3119783999991</v>
      </c>
      <c r="AO151" s="1107">
        <f t="shared" si="194"/>
        <v>1</v>
      </c>
      <c r="AP151" s="1131">
        <f>1+(INDEX(绊状态确认!$T:$T,MATCH($G151,绊状态确认!$B:$B,))+0.2)*$AO151</f>
        <v>1.3</v>
      </c>
      <c r="AQ151" s="1108">
        <f t="shared" si="195"/>
        <v>17661.126482199998</v>
      </c>
      <c r="AR151" s="1097">
        <f>(AM151*(1+$EX$9)+$EX$35)*(1+(INDEX(绊状态确认!$T:$T,MATCH($G151,绊状态确认!$B:$B,))+0.2)*AO151)*IF(J151=$FF$17,1+$FE$17,1)*IF(I151=$FF$14,1+$FE$14,1)</f>
        <v>9928.9652369439991</v>
      </c>
      <c r="AS151" s="1097">
        <f>(AN151*(1+$EX$10)+$EX$36)*(1+(INDEX(绊状态确认!$T:$T,MATCH($G151,绊状态确认!$B:$B,))+0.2)*AO151)*IF(J151=$FF$17,1+$FE$17,1)*IF(I151=$FF$14,1+$FE$14,1)</f>
        <v>17251.336407708</v>
      </c>
      <c r="AT151" s="1093">
        <f>IF(AND(INDEX('卡片raw data'!AK:AK,MATCH($D151,'卡片raw data'!$F:$F,))&lt;INDEX('卡片raw data'!AM:AM,MATCH($D151,'卡片raw data'!$F:$F,)),INDEX('卡片raw data'!AL:AL,MATCH($D151,'卡片raw data'!$F:$F,))&lt;INDEX('卡片raw data'!AM:AM,MATCH($D151,'卡片raw data'!$F:$F,))),1,0)</f>
        <v>1</v>
      </c>
      <c r="AU151" s="1098">
        <f>MIN(AT151*0.15+AS151*0.00003+INDEX(绊状态确认!M:M,MATCH($G151,绊状态确认!$B:$B,)),1)</f>
        <v>0.69754009223124003</v>
      </c>
      <c r="AV151" s="1109">
        <f>(INDEX(绊状态确认!$N:$N,MATCH($G151,绊状态确认!$B:$B,))+1.5)*$EW$21</f>
        <v>2.6599999999999997</v>
      </c>
      <c r="AW151" s="1101">
        <f t="shared" si="196"/>
        <v>19792.944691928329</v>
      </c>
      <c r="AX151" s="1097">
        <f t="shared" si="197"/>
        <v>846.30424597668684</v>
      </c>
      <c r="AY151" s="1110">
        <f t="shared" si="198"/>
        <v>20639.248937905017</v>
      </c>
      <c r="AZ151" s="429">
        <f t="shared" si="199"/>
        <v>13305.408243919997</v>
      </c>
      <c r="BA151" s="431">
        <f t="shared" si="200"/>
        <v>15966.489892703996</v>
      </c>
      <c r="BB151" s="1097">
        <f>(AM151*(1+$FB$9)+$FB$35)*(1+(INDEX(绊状态确认!$T:$T,MATCH($G151,绊状态确认!$B:$B,))+0.2)*AO151)*IF(J151=$FF$17,1+$FE$17,1)*IF(I151=$FF$14,1+$FE$14,1)*(1+$FE$15)</f>
        <v>9928.9652369439991</v>
      </c>
      <c r="BC151" s="1097">
        <f>(AN151*(1+$FB$10)+$FB$36)*(1+(INDEX(绊状态确认!$T:$T,MATCH($G151,绊状态确认!$B:$B,))+0.2)*AO151)*IF(J151=$FF$17,1+$FE$17,1)*IF(I151=$FF$14,1+$FE$14,1)*(1+$FE$15)</f>
        <v>17251.336407708</v>
      </c>
      <c r="BD151" s="1104">
        <f>MIN(AT151*0.15+BC151*0.00003+INDEX(绊状态确认!M:M,MATCH($G151,绊状态确认!$B:$B,)),1)</f>
        <v>0.69754009223124003</v>
      </c>
      <c r="BE151" s="432">
        <f>(INDEX(绊状态确认!$N:$N,MATCH($G151,绊状态确认!$B:$B,))+1.5)</f>
        <v>1.9</v>
      </c>
      <c r="BF151" s="1139">
        <f t="array" ref="BF151">SUMPRODUCT(IF(AZ151*AP151*$FI$16:$FI$23*$FA$22&gt;=$FI$24,$FI$24,AZ151*AP151*$FI$16:$FI$23*$FA$22),$FJ$16:$FJ$23)</f>
        <v>26464.456997156878</v>
      </c>
      <c r="BG151" s="1125">
        <f t="array" ref="BG151">SUMPRODUCT(IF(BE151*AZ151*AP151*$FI$16:$FI$23*$FA$22&gt;=$FI$24,$FI$24,BE151*AZ151*AP151*$FI$16:$FI$23*$FA$22),$FJ$16:$FJ$23)</f>
        <v>50038.240205726412</v>
      </c>
      <c r="BH151" s="1110">
        <f t="shared" si="201"/>
        <v>14302.705303567243</v>
      </c>
      <c r="BI151" s="1111">
        <f>IF(O151="vo",$EW$26/$EW$24*0.05,0)+IF(O151="sk",-$EW$26/$EW$24*(0.05-INDEX(绊状态确认!W:W,MATCH($G151,绊状态确认!$B:$B,)))+0.05*$EW$28,0)+IF(O151="sp",0.05*$EW$32*$EW$30*(1-$EW$33)-(0.05-INDEX(绊状态确认!V:V,MATCH($G151,绊状态确认!$B:$B,)))*$EW$28,0)+IF(O151="gd",-(0.05-INDEX(绊状态确认!X:X,MATCH($G151,绊状态确认!$B:$B,)))*$EW$32*$EW$30*(1-$EW$33),0)</f>
        <v>19.999999999999886</v>
      </c>
      <c r="BJ151" s="1097">
        <f>IF(O151="vo",0.05*(1-$FI$26)*$FA$24,0)+IF(O151="sk",-(0.05-INDEX(绊状态确认!W:W,MATCH($G151,绊状态确认!$B:$B,)))*(1-$FI$26)*$FA$24+0.05*$FA$26,0)+IF(O151="sp",0.05*$FA$32*$FA$27*(1-$FA$33)/$FA$30+0.05*$FA$29/$FA$69*$FA$27*(1-$FA$33)-(0.05-INDEX(绊状态确认!V:V,MATCH($G151,绊状态确认!$B:$B,)))*$FA$26,0)+IF(O151="gd",-(0.05-INDEX(绊状态确认!X:X,MATCH($G151,绊状态确认!$B:$B,)))*$FA$32*$FA$27*(1-$FA$33)/$FA$30-(0.05-INDEX(绊状态确认!X:X,MATCH($G151,绊状态确认!$B:$B,)))*$FA$29/$FA$69*$FA$27*(1-$FA$33),0)</f>
        <v>545.83333333333326</v>
      </c>
      <c r="BK151" s="1110">
        <f>IF(O151="vo",$EW$26/$EW$24*0.05+$EW$26*(-HP($EW$62,$EW$65,$EW$64)+HP($EW$62,$EW$65,(1.05-INDEX(绊状态确认!U:U,MATCH($G151,绊状态确认!$B:$B,)))*$EW$64)),0)+IF(O151="sk",-$EW$26/$EW$24*(0.05-INDEX(绊状态确认!W:W,MATCH($G151,绊状态确认!$B:$B,)))+0.05*$EW$29,0)+IF(O151="sp",0.05*$EW$32*$EW$30*(1-$EW$33)-(0.05-INDEX(绊状态确认!V:V,MATCH($G151,绊状态确认!$B:$B,)))*$EW$29,0)+IF(O151="gd",-(0.05-INDEX(绊状态确认!X:X,MATCH($G151,绊状态确认!$B:$B,)))*$EW$32*$EW$30*(1-$EW$33)+$EW$26*(-HP($EW$62,$EW$65,$EW$64)+HP($EW$62,$EW$65,0.95*$EW$64)),0)</f>
        <v>-1780.0000000000005</v>
      </c>
      <c r="BL151" s="1111">
        <f t="shared" si="202"/>
        <v>-1083.3333333333333</v>
      </c>
      <c r="BM151" s="1110">
        <f t="shared" si="203"/>
        <v>-830.55555555555543</v>
      </c>
      <c r="BN151" s="1113">
        <f t="shared" si="204"/>
        <v>3</v>
      </c>
      <c r="BO151" s="1097">
        <f t="shared" si="205"/>
        <v>4507.7214871259994</v>
      </c>
      <c r="BP151" s="1100">
        <f t="shared" si="206"/>
        <v>221.34103209030098</v>
      </c>
      <c r="BQ151" s="1113" t="s">
        <v>626</v>
      </c>
      <c r="BR151" s="1124" t="s">
        <v>168</v>
      </c>
      <c r="BS151" s="1098">
        <f>IF($P151="","N/A",IF($P151=-1,INDEX('卡片raw data'!AX:AX,MATCH($D151,'卡片raw data'!$F:$F,)),0)+IF($L151="party卡",IF($P151=5,INDEX('卡片raw data'!BD:BD,MATCH($D151,'卡片raw data'!$F:$F,)),IF($P151&gt;=3,INDEX('卡片raw data'!BC:BC,MATCH($D151,'卡片raw data'!$F:$F,)),INDEX('卡片raw data'!BB:BB,MATCH($D151,'卡片raw data'!$F:$F,)))),IF(OR(AND($F151="UR",$P151=0),AND($F151="SR",$P151&gt;=0,$P151&lt;=2),AND($F151="R",$P151&gt;=0,$P151&lt;4)),INDEX('卡片raw data'!AZ:AZ,MATCH($D151,'卡片raw data'!$F:$F,)),0)+IF(OR(AND($F151="UR",$P151&gt;=1,$P151&lt;=4),AND($F151="SR",$P151&lt;=4,$P151&gt;=3),AND($F151="R",$P151=4)),INDEX('卡片raw data'!BA:BA,MATCH($D151,'卡片raw data'!$F:$F,)),0)+IF($P151=5,INDEX('卡片raw data'!BB:BB,MATCH($D151,'卡片raw data'!$F:$F,)),0)))</f>
        <v>0.05</v>
      </c>
      <c r="BT151" s="1101">
        <f t="shared" si="207"/>
        <v>3537.2976021542986</v>
      </c>
      <c r="BU151" s="1097">
        <f t="shared" si="208"/>
        <v>255.86405005115788</v>
      </c>
      <c r="BV151" s="1097">
        <f t="shared" si="209"/>
        <v>0</v>
      </c>
      <c r="BW151" s="1112">
        <f t="shared" si="210"/>
        <v>0</v>
      </c>
      <c r="BX151" s="1100">
        <f t="shared" si="211"/>
        <v>3537.2976021542986</v>
      </c>
      <c r="BY151" s="1110">
        <f t="shared" si="212"/>
        <v>0</v>
      </c>
      <c r="BZ151" s="1107" t="s">
        <v>569</v>
      </c>
      <c r="CA151" s="1124"/>
      <c r="CB151" s="1098">
        <f>IF($P151="","N/A",IF($P151=-1,INDEX('卡片raw data'!BE:BE,MATCH($D151,'卡片raw data'!$F:$F,)),0)+IF($L151="party卡",IF($P151=5,INDEX('卡片raw data'!BK:BK,MATCH($D151,'卡片raw data'!$F:$F,)),IF($P151&gt;=3,INDEX('卡片raw data'!BJ:BJ,MATCH($D151,'卡片raw data'!$F:$F,)),INDEX('卡片raw data'!BI:BI,MATCH($D151,'卡片raw data'!$F:$F,)))),IF(OR(AND($F151="UR",$P151=0),AND($F151="SR",$P151&gt;=0,$P151&lt;=2),AND($F151="R",$P151&gt;=0,$P151&lt;4)),INDEX('卡片raw data'!BG:BG,MATCH($D151,'卡片raw data'!$F:$F,)),0)+IF(OR(AND($F151="UR",$P151&gt;=1,$P151&lt;=4),AND($F151="SR",$P151&lt;=4,$P151&gt;=3),AND($F151="R",$P151=4)),INDEX('卡片raw data'!BH:BH,MATCH($D151,'卡片raw data'!$F:$F,)),0)+IF($P151=5,INDEX('卡片raw data'!BI:BI,MATCH($D151,'卡片raw data'!$F:$F,)),0)))</f>
        <v>0</v>
      </c>
      <c r="CC151" s="1101">
        <f t="shared" si="213"/>
        <v>0</v>
      </c>
      <c r="CD151" s="1097">
        <f>IF(BZ151="ap",CB151*(1-$FI$26)*$FB$5/$FB$11*(+IF(CA151="全员",$FA$24,0)+IF(CA151="同作战",$FA$24,0)+IF(CA151="仲间",$FA$24*2/3,0)+IF(CA151="同属性",$FA$24*$FA$37/3,0)+IF(CA151="同年级",$FA$24*$FA$40/3,0)+IF(CA151="同学校",$FA$24*$FA$43/3,0)+IF(CA151="同小队",$FA$24*$FA$46/3,0)+IF(CA151="同type",$FA$24*INDEX($FB$49:$FB$52,MATCH(X151,$FA$49:$FA$52,))/3,0)+IF(CA151="自身",#REF!/3,0)),0)+IF(BZ151="te",CB151*(1-$FI$27)*($FA$20-1)*$FB$7/$FB$13*(+IF(CA151="全员",$FA$19*$FA$24/(1+($FA$20-1)*$FA$19),0)+IF(CA151="同作战",$FA$19*$FA$24/(1+($FA$20-1)*$FA$19),0)+IF(CA151="仲间",$FA$19*$FA$24*2/3/(1+($FA$20-1)*$FA$19),0)+IF(CA151="同属性",$FA$19*$FA$24*$FA$37/3/(1+($FA$20-1)*$FA$19),0)+IF(CA151="同年级",$FA$19*$FA$24*$FA$40/3/(1+($FA$20-1)*$FA$19),0)+IF(CA151="同学校",$FA$19*$FA$24*$FA$43/3/(1+($FA$20-1)*$FA$19),0)+IF(CA151="同小队",$FA$19*$FA$24*$FA$46/3/(1+($FA$20-1)*$FA$19),0)+IF(CA151="同type",$FA$19*$FA$24*INDEX($FB$49:$FB$52,MATCH(X151,$FA$49:$FA$52,))/3/(1+($FA$20-1)*$FA$19),0)+IF(CA151="自身",$FA$19*#REF!/3/(1+(BH151-1)*$BD151),0)),0)</f>
        <v>0</v>
      </c>
      <c r="CE151" s="1097">
        <f t="shared" si="214"/>
        <v>0</v>
      </c>
      <c r="CF151" s="1112">
        <f t="shared" si="215"/>
        <v>0</v>
      </c>
      <c r="CG151" s="1100">
        <f t="shared" si="216"/>
        <v>0</v>
      </c>
      <c r="CH151" s="1110">
        <f t="shared" si="217"/>
        <v>0</v>
      </c>
      <c r="CI151" s="1113" t="s">
        <v>162</v>
      </c>
      <c r="CJ151" s="1114">
        <v>0.3</v>
      </c>
      <c r="CK151" s="1115" t="s">
        <v>256</v>
      </c>
      <c r="CL151" s="1115" t="s">
        <v>1940</v>
      </c>
      <c r="CM151" s="1119">
        <v>0.08</v>
      </c>
      <c r="CN151" s="1115"/>
      <c r="CO151" s="1092"/>
      <c r="CP151" s="1116">
        <f t="shared" si="218"/>
        <v>9.0828650479885695</v>
      </c>
      <c r="CQ151" s="1116">
        <f t="shared" si="219"/>
        <v>12.773191914163196</v>
      </c>
      <c r="CR151" s="1116">
        <f t="shared" si="220"/>
        <v>9.0828650479885695</v>
      </c>
      <c r="CS151" s="1118">
        <f t="shared" si="221"/>
        <v>0</v>
      </c>
      <c r="CT151" s="1109">
        <f t="shared" si="222"/>
        <v>0</v>
      </c>
      <c r="CU151" s="1101">
        <f t="shared" si="223"/>
        <v>12.988497018623656</v>
      </c>
      <c r="CV151" s="1108">
        <f t="shared" si="224"/>
        <v>0</v>
      </c>
      <c r="CW151" s="1097">
        <f t="shared" si="225"/>
        <v>12.988497018623656</v>
      </c>
      <c r="CX151" s="1097">
        <f t="shared" si="226"/>
        <v>12.988497018623656</v>
      </c>
      <c r="CY151" s="1110">
        <f t="shared" si="227"/>
        <v>12.988497018623656</v>
      </c>
      <c r="CZ151" s="437"/>
      <c r="DA151" s="438"/>
      <c r="DB151" s="439" t="s">
        <v>569</v>
      </c>
      <c r="DC151" s="439"/>
      <c r="DD151" s="443"/>
      <c r="DE151" s="411"/>
      <c r="DF151" s="411"/>
      <c r="DG151" s="1116">
        <f t="shared" si="228"/>
        <v>0</v>
      </c>
      <c r="DH151" s="1116">
        <f t="shared" si="229"/>
        <v>0</v>
      </c>
      <c r="DI151" s="1116">
        <f t="shared" si="230"/>
        <v>0</v>
      </c>
      <c r="DJ151" s="442">
        <f t="shared" si="231"/>
        <v>0</v>
      </c>
      <c r="DK151" s="1109">
        <f t="shared" si="232"/>
        <v>0</v>
      </c>
      <c r="DL151" s="1101">
        <f t="shared" si="233"/>
        <v>0</v>
      </c>
      <c r="DM151" s="1097">
        <f t="shared" si="234"/>
        <v>0</v>
      </c>
      <c r="DN151" s="1097">
        <f t="shared" si="235"/>
        <v>0</v>
      </c>
      <c r="DO151" s="1097">
        <f t="shared" si="236"/>
        <v>0</v>
      </c>
      <c r="DP151" s="1110">
        <f t="shared" si="237"/>
        <v>0</v>
      </c>
      <c r="DQ151" s="1113" t="s">
        <v>549</v>
      </c>
      <c r="DR151" s="1120">
        <f t="shared" si="238"/>
        <v>0.3</v>
      </c>
      <c r="DS151" s="1124"/>
      <c r="DT151" s="1093" t="s">
        <v>179</v>
      </c>
      <c r="DU151" s="1093"/>
      <c r="DV151" s="1098">
        <f>IF($P151="","N/A",IF(P151=-1,INDEX('卡片raw data'!AN:AN,MATCH(D151,'卡片raw data'!$F:$F,)),0)+IF(AND(L151&lt;&gt;"party卡",P151&lt;=2,P151&gt;=0),INDEX('卡片raw data'!AP:AP,MATCH(D151,'卡片raw data'!$F:$F,)),0)+IF(OR(AND(L151="party卡",P151&lt;=1),AND(P151&lt;=4,L151&lt;&gt;"party卡",P151&gt;=3)),INDEX('卡片raw data'!AQ:AQ,MATCH(D151,'卡片raw data'!$F:$F,)),0)+IF(OR(P151=5,AND(L151="party卡",P151&gt;=2)),INDEX('卡片raw data'!AR:AR,MATCH(D151,'卡片raw data'!$F:$F,)),0))</f>
        <v>7.0000000000000007E-2</v>
      </c>
      <c r="DW151" s="1098">
        <f t="shared" si="239"/>
        <v>0.3</v>
      </c>
      <c r="DX151" s="1098">
        <f t="shared" si="240"/>
        <v>0.3</v>
      </c>
      <c r="DY151" s="1098">
        <f t="shared" si="241"/>
        <v>7.0000000000000001E-3</v>
      </c>
      <c r="DZ151" s="1098">
        <f t="shared" si="242"/>
        <v>6.9632499999999998E-3</v>
      </c>
      <c r="EA151" s="1098">
        <f t="shared" si="243"/>
        <v>0</v>
      </c>
      <c r="EB151" s="1121">
        <f t="shared" si="244"/>
        <v>42.663074999999999</v>
      </c>
      <c r="EC151" s="1101">
        <f t="shared" si="245"/>
        <v>3150</v>
      </c>
      <c r="ED151" s="1097">
        <f t="shared" si="246"/>
        <v>1740.8125</v>
      </c>
      <c r="EE151" s="1110">
        <f t="shared" si="247"/>
        <v>3150</v>
      </c>
      <c r="EF151" s="1092" t="s">
        <v>711</v>
      </c>
      <c r="EG151" s="1120">
        <f t="shared" si="248"/>
        <v>0.3</v>
      </c>
      <c r="EH151" s="1124"/>
      <c r="EI151" s="1093"/>
      <c r="EJ151" s="1093"/>
      <c r="EK151" s="1097">
        <f>IF($P151="","N/A",IF(P151=-1,INDEX('卡片raw data'!AS:AS,MATCH(D151,'卡片raw data'!$F:$F,)),0)+IF(AND(L151&lt;&gt;"party卡",P151&lt;=2,P151&gt;=0),INDEX('卡片raw data'!AU:AU,MATCH(D151,'卡片raw data'!$F:$F,)),0)+IF(OR(AND(L151="party卡",P151&lt;=1),AND(P151&lt;=4,L151&lt;&gt;"party卡",P151&gt;=3)),INDEX('卡片raw data'!AV:AV,MATCH(D151,'卡片raw data'!$F:$F,)),0)+IF(OR(P151=5,AND(L151="party卡",P151&gt;=2)),INDEX('卡片raw data'!AW:AW,MATCH(D151,'卡片raw data'!$F:$F,)),0))</f>
        <v>0</v>
      </c>
      <c r="EL151" s="1098">
        <f t="shared" si="249"/>
        <v>0.3</v>
      </c>
      <c r="EM151" s="1098">
        <f t="shared" si="250"/>
        <v>0.3</v>
      </c>
      <c r="EN151" s="1125">
        <f t="shared" si="251"/>
        <v>0</v>
      </c>
      <c r="EO151" s="1125">
        <f t="shared" si="252"/>
        <v>0</v>
      </c>
      <c r="EP151" s="1098">
        <f t="shared" si="253"/>
        <v>0</v>
      </c>
      <c r="EQ151" s="1121">
        <f t="shared" si="254"/>
        <v>0</v>
      </c>
      <c r="ER151" s="1101">
        <f t="shared" si="255"/>
        <v>0</v>
      </c>
      <c r="ES151" s="1097">
        <f t="shared" si="256"/>
        <v>0</v>
      </c>
      <c r="ET151" s="1122">
        <f t="shared" si="257"/>
        <v>0</v>
      </c>
    </row>
    <row r="152" spans="2:150" ht="16.5" customHeight="1">
      <c r="B152" s="1123" t="str">
        <f>INDEX('卡片raw data'!B:B,MATCH($D152,'卡片raw data'!$F:$F,))</f>
        <v>海战曜</v>
      </c>
      <c r="C152" s="449" t="s">
        <v>124</v>
      </c>
      <c r="D152" s="408">
        <v>149</v>
      </c>
      <c r="E152" s="1090">
        <v>301053001</v>
      </c>
      <c r="F152" s="1090" t="str">
        <f>INDEX('卡片raw data'!C:C,MATCH($D152,'卡片raw data'!$F:$F,))</f>
        <v>UR</v>
      </c>
      <c r="G152" s="1094" t="s">
        <v>37</v>
      </c>
      <c r="H152" s="411">
        <f>IFERROR(INDEX(绊状态确认!C:C,MATCH($G152,绊状态确认!$B:$B,)),"")</f>
        <v>105</v>
      </c>
      <c r="I152" s="450" t="str">
        <f>IFERROR(INDEX(绊状态确认!D:D,MATCH($G152,绊状态确认!$B:$B,)),"")</f>
        <v>水</v>
      </c>
      <c r="J152" s="450" t="str">
        <f>IFERROR(INDEX(绊状态确认!E:E,MATCH($G152,绊状态确认!$B:$B,)),"")</f>
        <v>2年级</v>
      </c>
      <c r="K152" s="451" t="str">
        <f>IFERROR(INDEX(绊状态确认!F:F,MATCH($G152,绊状态确认!$B:$B,)),"")</f>
        <v>CYaRon!</v>
      </c>
      <c r="L152" s="1094" t="str">
        <f>INDEX('卡片raw data'!E:E,MATCH($D152,'卡片raw data'!$F:$F,))</f>
        <v>卡池卡</v>
      </c>
      <c r="M152" s="415">
        <v>43836</v>
      </c>
      <c r="N152" s="416">
        <v>7</v>
      </c>
      <c r="O152" s="1091" t="str">
        <f>INDEX('卡片raw data'!D:D,MATCH($D152,'卡片raw data'!$F:$F,))</f>
        <v>sp</v>
      </c>
      <c r="P152" s="417">
        <v>5</v>
      </c>
      <c r="Q152" s="1095">
        <f t="shared" si="173"/>
        <v>48753.029780506418</v>
      </c>
      <c r="R152" s="1096">
        <f t="shared" si="174"/>
        <v>0.56599999999999995</v>
      </c>
      <c r="S152" s="1097">
        <f t="shared" si="175"/>
        <v>22140.80727043841</v>
      </c>
      <c r="T152" s="1098">
        <f t="shared" si="176"/>
        <v>1.107</v>
      </c>
      <c r="U152" s="1099">
        <f t="shared" si="177"/>
        <v>17.829745685142854</v>
      </c>
      <c r="V152" s="1100">
        <f t="shared" si="178"/>
        <v>48392.604215418905</v>
      </c>
      <c r="W152" s="1101">
        <f t="shared" si="179"/>
        <v>4507.7214871259994</v>
      </c>
      <c r="X152" s="1096">
        <f t="shared" si="180"/>
        <v>5.1999999999999998E-2</v>
      </c>
      <c r="Y152" s="1097">
        <f t="shared" si="181"/>
        <v>1439.5744349124889</v>
      </c>
      <c r="Z152" s="1102">
        <f t="shared" si="182"/>
        <v>17.829745685142854</v>
      </c>
      <c r="AA152" s="1103">
        <f t="shared" si="183"/>
        <v>5947.2959220384882</v>
      </c>
      <c r="AB152" s="1101">
        <f t="shared" si="184"/>
        <v>9850.3013173444269</v>
      </c>
      <c r="AC152" s="1104">
        <f t="shared" si="185"/>
        <v>0.114</v>
      </c>
      <c r="AD152" s="1105">
        <f t="shared" si="186"/>
        <v>-1.6087500000000001E-2</v>
      </c>
      <c r="AE152" s="1128">
        <f t="shared" si="187"/>
        <v>72.335909293478238</v>
      </c>
      <c r="AF152" s="1130">
        <f t="shared" si="188"/>
        <v>0</v>
      </c>
      <c r="AG152" s="420">
        <f t="shared" si="189"/>
        <v>0</v>
      </c>
      <c r="AH152" s="420">
        <f t="shared" si="190"/>
        <v>0</v>
      </c>
      <c r="AI152" s="1097">
        <f t="shared" si="191"/>
        <v>0</v>
      </c>
      <c r="AJ152" s="420">
        <f t="shared" si="192"/>
        <v>0</v>
      </c>
      <c r="AK152" s="518">
        <f t="shared" si="193"/>
        <v>0</v>
      </c>
      <c r="AL152" s="1106">
        <f>IF($P152="","N/A",(IF($P152=-1,INDEX('卡片raw data'!S:S,MATCH($D152,'卡片raw data'!$F:$F,)),0)+IF($P152=0,INDEX('卡片raw data'!V:V,MATCH($D152,'卡片raw data'!$F:$F,)),0)+IF($P152=1,INDEX('卡片raw data'!Y:Y,MATCH($D152,'卡片raw data'!$F:$F,)),0)+IF($P152=2,INDEX('卡片raw data'!AB:AB,MATCH($D152,'卡片raw data'!$F:$F,)),0)+IF($P152=3,INDEX('卡片raw data'!AE:AE,MATCH($D152,'卡片raw data'!$F:$F,)),0)+IF($P152=4,INDEX('卡片raw data'!AH:AH,MATCH($D152,'卡片raw data'!$F:$F,)),0)+IF($P152=5,INDEX('卡片raw data'!AK:AK,MATCH($D152,'卡片raw data'!$F:$F,)),0)+INDEX('卡片raw data'!S:S,MATCH($D152,'卡片raw data'!$F:$F,))*(IF($F152="UR",0.04,0.033))*(IF($F152="UR",INDEX(绊状态确认!$S:$S,MATCH($G152,绊状态确认!$B:$B,))/2-40)+IF($F152="SR",INDEX(绊状态确认!$R:$R,MATCH($G152,绊状态确认!$B:$B,))/4-15))+IF($F152="R",INDEX(绊状态确认!$Q:$Q,MATCH($G152,绊状态确认!$B:$B,))/6-40/6)))*(INDEX(绊状态确认!$H:$H,MATCH($G152,绊状态确认!$B:$B,))+INDEX(绊状态确认!J:J,MATCH($G152,绊状态确认!$B:$B,)))</f>
        <v>11167.357343999998</v>
      </c>
      <c r="AM152" s="1106">
        <f>IF($P152="","N/A",(IF($P152=-1,INDEX('卡片raw data'!T:T,MATCH($D152,'卡片raw data'!$F:$F,)),0)+IF($P152=0,INDEX('卡片raw data'!W:W,MATCH($D152,'卡片raw data'!$F:$F,)),0)+IF($P152=1,INDEX('卡片raw data'!Z:Z,MATCH($D152,'卡片raw data'!$F:$F,)),0)+IF($P152=2,INDEX('卡片raw data'!AC:AC,MATCH($D152,'卡片raw data'!$F:$F,)),0)+IF($P152=3,INDEX('卡片raw data'!AF:AF,MATCH($D152,'卡片raw data'!$F:$F,)),0)+IF($P152=4,INDEX('卡片raw data'!AI:AI,MATCH($D152,'卡片raw data'!$F:$F,)),0)+IF($P152=5,INDEX('卡片raw data'!AL:AL,MATCH($D152,'卡片raw data'!$F:$F,)),0)+INDEX('卡片raw data'!T:T,MATCH($D152,'卡片raw data'!$F:$F,))*(IF($F152="UR",0.04,0.033))*(IF($F152="UR",INDEX(绊状态确认!$S:$S,MATCH($G152,绊状态确认!$B:$B,))/2-40)+IF($F152="SR",INDEX(绊状态确认!$R:$R,MATCH($G152,绊状态确认!$B:$B,))/4-15))+IF($F152="R",INDEX(绊状态确认!$Q:$Q,MATCH($G152,绊状态确认!$B:$B,))/6-40/6)))*(INDEX(绊状态确认!$H:$H,MATCH($G152,绊状态确认!$B:$B,))+INDEX(绊状态确认!K:K,MATCH($G152,绊状态确认!$B:$B,)))</f>
        <v>10210.326719999997</v>
      </c>
      <c r="AN152" s="1106">
        <f>IF($P152="","N/A",(IF($P152=-1,INDEX('卡片raw data'!U:U,MATCH($D152,'卡片raw data'!$F:$F,)),0)+IF($P152=0,INDEX('卡片raw data'!X:X,MATCH($D152,'卡片raw data'!$F:$F,)),0)+IF($P152=1,INDEX('卡片raw data'!AA:AA,MATCH($D152,'卡片raw data'!$F:$F,)),0)+IF($P152=2,INDEX('卡片raw data'!AD:AD,MATCH($D152,'卡片raw data'!$F:$F,)),0)+IF($P152=3,INDEX('卡片raw data'!AG:AG,MATCH($D152,'卡片raw data'!$F:$F,)),0)+IF($P152=4,INDEX('卡片raw data'!AJ:AJ,MATCH($D152,'卡片raw data'!$F:$F,)),0)+IF($P152=5,INDEX('卡片raw data'!AM:AM,MATCH($D152,'卡片raw data'!$F:$F,)),0)+INDEX('卡片raw data'!U:U,MATCH($D152,'卡片raw data'!$F:$F,))*(IF($F152="UR",0.04,0.033))*(IF($F152="UR",INDEX(绊状态确认!$S:$S,MATCH($G152,绊状态确认!$B:$B,))/2-40)+IF($F152="SR",INDEX(绊状态确认!$R:$R,MATCH($G152,绊状态确认!$B:$B,))/4-15))+IF($F152="R",INDEX(绊状态确认!$Q:$Q,MATCH($G152,绊状态确认!$B:$B,))/6-40/6)))*(INDEX(绊状态确认!$H:$H,MATCH($G152,绊状态确认!$B:$B,))+INDEX(绊状态确认!L:L,MATCH($G152,绊状态确认!$B:$B,)))</f>
        <v>10528.927823999999</v>
      </c>
      <c r="AO152" s="1107">
        <f t="shared" si="194"/>
        <v>1</v>
      </c>
      <c r="AP152" s="1131">
        <f>1+(INDEX(绊状态确认!$T:$T,MATCH($G152,绊状态确认!$B:$B,))+0.2)*$AO152</f>
        <v>1.3</v>
      </c>
      <c r="AQ152" s="1108">
        <f t="shared" si="195"/>
        <v>32564.313027999997</v>
      </c>
      <c r="AR152" s="1097">
        <f>(AM152*(1+$EX$9)+$EX$35)*(1+(INDEX(绊状态确认!$T:$T,MATCH($G152,绊状态确认!$B:$B,))+0.2)*AO152)*IF(J152=$FF$17,1+$FE$17,1)*IF(I152=$FF$14,1+$FE$14,1)*(1+$FE$15)</f>
        <v>16641.095972799998</v>
      </c>
      <c r="AS152" s="1097">
        <f>(AN152*(1+$EX$10)+$EX$36)*(1+(INDEX(绊状态确认!$T:$T,MATCH($G152,绊状态确认!$B:$B,))+0.2)*AO152)*IF(J152=$FF$17,1+$FE$17,1)*IF(I152=$FF$14,1+$FE$14,1)*(1+$FE$15)</f>
        <v>19796.747096879997</v>
      </c>
      <c r="AT152" s="1093">
        <f>IF(AND(INDEX('卡片raw data'!AK:AK,MATCH($D152,'卡片raw data'!$F:$F,))&lt;INDEX('卡片raw data'!AM:AM,MATCH($D152,'卡片raw data'!$F:$F,)),INDEX('卡片raw data'!AL:AL,MATCH($D152,'卡片raw data'!$F:$F,))&lt;INDEX('卡片raw data'!AM:AM,MATCH($D152,'卡片raw data'!$F:$F,))),1,0)</f>
        <v>0</v>
      </c>
      <c r="AU152" s="1098">
        <f>MIN(AT152*0.15+AS152*0.00003+INDEX(绊状态确认!M:M,MATCH($G152,绊状态确认!$B:$B,)),1)</f>
        <v>0.62390241290639992</v>
      </c>
      <c r="AV152" s="1109">
        <f>(INDEX(绊状态确认!$N:$N,MATCH($G152,绊状态确认!$B:$B,))+1.5)*$EW$21</f>
        <v>2.6599999999999997</v>
      </c>
      <c r="AW152" s="1101">
        <f t="shared" si="196"/>
        <v>34427.728463161991</v>
      </c>
      <c r="AX152" s="1097">
        <f t="shared" si="197"/>
        <v>1439.5744349124891</v>
      </c>
      <c r="AY152" s="1110">
        <f t="shared" si="198"/>
        <v>35867.302898074478</v>
      </c>
      <c r="AZ152" s="429">
        <f t="shared" si="199"/>
        <v>24376.346820799998</v>
      </c>
      <c r="BA152" s="431">
        <f t="shared" si="200"/>
        <v>29251.616184959996</v>
      </c>
      <c r="BB152" s="1097">
        <f>(AM152*(1+$FB$9)+$FB$35)*(1+(INDEX(绊状态确认!$T:$T,MATCH($G152,绊状态确认!$B:$B,))+0.2)*AO152)*IF(J152=$FF$17,1+$FE$17,1)*IF(I152=$FF$14,1+$FE$14,1)*(1+$FE$15)</f>
        <v>16641.095972799998</v>
      </c>
      <c r="BC152" s="1097">
        <f>(AN152*(1+$FB$10)+$FB$36)*(1+(INDEX(绊状态确认!$T:$T,MATCH($G152,绊状态确认!$B:$B,))+0.2)*AO152)*IF(J152=$FF$17,1+$FE$17,1)*IF(I152=$FF$14,1+$FE$14,1)*(1+$FE$15)</f>
        <v>19796.747096879997</v>
      </c>
      <c r="BD152" s="1104">
        <f>MIN(AT152*0.15+BC152*0.00003+INDEX(绊状态确认!M:M,MATCH($G152,绊状态确认!$B:$B,)),1)</f>
        <v>0.62390241290639992</v>
      </c>
      <c r="BE152" s="432">
        <f>(INDEX(绊状态确认!$N:$N,MATCH($G152,绊状态确认!$B:$B,))+1.5)</f>
        <v>1.9</v>
      </c>
      <c r="BF152" s="1139">
        <f t="array" ref="BF152">SUMPRODUCT(IF(AZ152*AP152*$FI$16:$FI$23*$FA$22&gt;=$FI$24,$FI$24,AZ152*AP152*$FI$16:$FI$23*$FA$22),$FJ$16:$FJ$23)</f>
        <v>48463.596161833593</v>
      </c>
      <c r="BG152" s="1125">
        <f t="array" ref="BG152">SUMPRODUCT(IF(BE152*AZ152*AP152*$FI$16:$FI$23*$FA$22&gt;=$FI$24,$FI$24,BE152*AZ152*AP152*$FI$16:$FI$23*$FA$22),$FJ$16:$FJ$23)</f>
        <v>60000</v>
      </c>
      <c r="BH152" s="1110">
        <f t="shared" si="201"/>
        <v>18553.728784242758</v>
      </c>
      <c r="BI152" s="1111">
        <f>IF(O152="vo",$EW$26/$EW$24*0.05,0)+IF(O152="sk",-$EW$26/$EW$24*(0.05-INDEX(绊状态确认!W:W,MATCH($G152,绊状态确认!$B:$B,)))+0.05*$EW$28,0)+IF(O152="sp",0.05*$EW$32*$EW$30*(1-$EW$33)-(0.05-INDEX(绊状态确认!V:V,MATCH($G152,绊状态确认!$B:$B,)))*$EW$28,0)+IF(O152="gd",-(0.05-INDEX(绊状态确认!X:X,MATCH($G152,绊状态确认!$B:$B,)))*$EW$32*$EW$30*(1-$EW$33),0)</f>
        <v>19.999999999999886</v>
      </c>
      <c r="BJ152" s="1097">
        <f>IF(O152="vo",0.05*(1-$FI$26)*$FA$24,0)+IF(O152="sk",-(0.05-INDEX(绊状态确认!W:W,MATCH($G152,绊状态确认!$B:$B,)))*(1-$FI$26)*$FA$24+0.05*$FA$26,0)+IF(O152="sp",0.05*$FA$32*$FA$27*(1-$FA$33)/$FA$30+0.05*$FA$29/$FA$69*$FA$27*(1-$FA$33)-(0.05-INDEX(绊状态确认!V:V,MATCH($G152,绊状态确认!$B:$B,)))*$FA$26,0)+IF(O152="gd",-(0.05-INDEX(绊状态确认!X:X,MATCH($G152,绊状态确认!$B:$B,)))*$FA$32*$FA$27*(1-$FA$33)/$FA$30-(0.05-INDEX(绊状态确认!X:X,MATCH($G152,绊状态确认!$B:$B,)))*$FA$29/$FA$69*$FA$27*(1-$FA$33),0)</f>
        <v>545.83333333333326</v>
      </c>
      <c r="BK152" s="1110">
        <f>IF(O152="vo",$EW$26/$EW$24*0.05+$EW$26*(-HP($EW$62,$EW$65,$EW$64)+HP($EW$62,$EW$65,(1.05-INDEX(绊状态确认!U:U,MATCH($G152,绊状态确认!$B:$B,)))*$EW$64)),0)+IF(O152="sk",-$EW$26/$EW$24*(0.05-INDEX(绊状态确认!W:W,MATCH($G152,绊状态确认!$B:$B,)))+0.05*$EW$29,0)+IF(O152="sp",0.05*$EW$32*$EW$30*(1-$EW$33)-(0.05-INDEX(绊状态确认!V:V,MATCH($G152,绊状态确认!$B:$B,)))*$EW$29,0)+IF(O152="gd",-(0.05-INDEX(绊状态确认!X:X,MATCH($G152,绊状态确认!$B:$B,)))*$EW$32*$EW$30*(1-$EW$33)+$EW$26*(-HP($EW$62,$EW$65,$EW$64)+HP($EW$62,$EW$65,0.95*$EW$64)),0)</f>
        <v>-1780.0000000000005</v>
      </c>
      <c r="BL152" s="1111">
        <f t="shared" si="202"/>
        <v>0</v>
      </c>
      <c r="BM152" s="1110">
        <f t="shared" si="203"/>
        <v>0</v>
      </c>
      <c r="BN152" s="1113">
        <f t="shared" si="204"/>
        <v>3</v>
      </c>
      <c r="BO152" s="1097">
        <f t="shared" si="205"/>
        <v>4507.7214871259994</v>
      </c>
      <c r="BP152" s="1100">
        <f t="shared" si="206"/>
        <v>221.34103209030098</v>
      </c>
      <c r="BQ152" s="1113" t="s">
        <v>143</v>
      </c>
      <c r="BR152" s="1124" t="s">
        <v>146</v>
      </c>
      <c r="BS152" s="1098">
        <f>IF($P152="","N/A",IF($P152=-1,INDEX('卡片raw data'!AX:AX,MATCH($D152,'卡片raw data'!$F:$F,)),0)+IF($L152="party卡",IF($P152=5,INDEX('卡片raw data'!BD:BD,MATCH($D152,'卡片raw data'!$F:$F,)),IF($P152&gt;=3,INDEX('卡片raw data'!BC:BC,MATCH($D152,'卡片raw data'!$F:$F,)),INDEX('卡片raw data'!BB:BB,MATCH($D152,'卡片raw data'!$F:$F,)))),IF(OR(AND($F152="UR",$P152=0),AND($F152="SR",$P152&gt;=0,$P152&lt;=2),AND($F152="R",$P152&gt;=0,$P152&lt;4)),INDEX('卡片raw data'!AZ:AZ,MATCH($D152,'卡片raw data'!$F:$F,)),0)+IF(OR(AND($F152="UR",$P152&gt;=1,$P152&lt;=4),AND($F152="SR",$P152&lt;=4,$P152&gt;=3),AND($F152="R",$P152=4)),INDEX('卡片raw data'!BA:BA,MATCH($D152,'卡片raw data'!$F:$F,)),0)+IF($P152=5,INDEX('卡片raw data'!BB:BB,MATCH($D152,'卡片raw data'!$F:$F,)),0)))</f>
        <v>7.0000000000000007E-2</v>
      </c>
      <c r="BT152" s="1101">
        <f t="shared" si="207"/>
        <v>5259.008401647</v>
      </c>
      <c r="BU152" s="1097">
        <f t="shared" si="208"/>
        <v>258.2312041053512</v>
      </c>
      <c r="BV152" s="1097">
        <f t="shared" si="209"/>
        <v>0</v>
      </c>
      <c r="BW152" s="1112">
        <f t="shared" si="210"/>
        <v>0</v>
      </c>
      <c r="BX152" s="1100">
        <f t="shared" si="211"/>
        <v>5259.008401647</v>
      </c>
      <c r="BY152" s="1110">
        <f t="shared" si="212"/>
        <v>0</v>
      </c>
      <c r="BZ152" s="1107" t="s">
        <v>569</v>
      </c>
      <c r="CA152" s="1124"/>
      <c r="CB152" s="1098">
        <f>IF($P152="","N/A",IF($P152=-1,INDEX('卡片raw data'!BE:BE,MATCH($D152,'卡片raw data'!$F:$F,)),0)+IF($L152="party卡",IF($P152=5,INDEX('卡片raw data'!BK:BK,MATCH($D152,'卡片raw data'!$F:$F,)),IF($P152&gt;=3,INDEX('卡片raw data'!BJ:BJ,MATCH($D152,'卡片raw data'!$F:$F,)),INDEX('卡片raw data'!BI:BI,MATCH($D152,'卡片raw data'!$F:$F,)))),IF(OR(AND($F152="UR",$P152=0),AND($F152="SR",$P152&gt;=0,$P152&lt;=2),AND($F152="R",$P152&gt;=0,$P152&lt;4)),INDEX('卡片raw data'!BG:BG,MATCH($D152,'卡片raw data'!$F:$F,)),0)+IF(OR(AND($F152="UR",$P152&gt;=1,$P152&lt;=4),AND($F152="SR",$P152&lt;=4,$P152&gt;=3),AND($F152="R",$P152=4)),INDEX('卡片raw data'!BH:BH,MATCH($D152,'卡片raw data'!$F:$F,)),0)+IF($P152=5,INDEX('卡片raw data'!BI:BI,MATCH($D152,'卡片raw data'!$F:$F,)),0)))</f>
        <v>0</v>
      </c>
      <c r="CC152" s="1101">
        <f t="shared" si="213"/>
        <v>0</v>
      </c>
      <c r="CD152" s="1097">
        <f>IF(BZ152="ap",CB152*(1-$FI$26)*$FB$5/$FB$11*(+IF(CA152="全员",$FA$24,0)+IF(CA152="同作战",$FA$24,0)+IF(CA152="仲间",$FA$24*2/3,0)+IF(CA152="同属性",$FA$24*$FA$37/3,0)+IF(CA152="同年级",$FA$24*$FA$40/3,0)+IF(CA152="同学校",$FA$24*$FA$43/3,0)+IF(CA152="同小队",$FA$24*$FA$46/3,0)+IF(CA152="同type",$FA$24*INDEX($FB$49:$FB$52,MATCH(X152,$FA$49:$FA$52,))/3,0)+IF(CA152="自身",#REF!/3,0)),0)+IF(BZ152="te",CB152*(1-$FI$27)*($FA$20-1)*$FB$7/$FB$13*(+IF(CA152="全员",$FA$19*$FA$24/(1+($FA$20-1)*$FA$19),0)+IF(CA152="同作战",$FA$19*$FA$24/(1+($FA$20-1)*$FA$19),0)+IF(CA152="仲间",$FA$19*$FA$24*2/3/(1+($FA$20-1)*$FA$19),0)+IF(CA152="同属性",$FA$19*$FA$24*$FA$37/3/(1+($FA$20-1)*$FA$19),0)+IF(CA152="同年级",$FA$19*$FA$24*$FA$40/3/(1+($FA$20-1)*$FA$19),0)+IF(CA152="同学校",$FA$19*$FA$24*$FA$43/3/(1+($FA$20-1)*$FA$19),0)+IF(CA152="同小队",$FA$19*$FA$24*$FA$46/3/(1+($FA$20-1)*$FA$19),0)+IF(CA152="同type",$FA$19*$FA$24*INDEX($FB$49:$FB$52,MATCH(X152,$FA$49:$FA$52,))/3/(1+($FA$20-1)*$FA$19),0)+IF(CA152="自身",$FA$19*#REF!/3/(1+(BH152-1)*$BD152),0)),0)</f>
        <v>0</v>
      </c>
      <c r="CE152" s="1097">
        <f t="shared" si="214"/>
        <v>0</v>
      </c>
      <c r="CF152" s="1112">
        <f t="shared" si="215"/>
        <v>0</v>
      </c>
      <c r="CG152" s="1100">
        <f t="shared" si="216"/>
        <v>0</v>
      </c>
      <c r="CH152" s="1110">
        <f t="shared" si="217"/>
        <v>0</v>
      </c>
      <c r="CI152" s="1113" t="s">
        <v>162</v>
      </c>
      <c r="CJ152" s="1114">
        <v>0.3</v>
      </c>
      <c r="CK152" s="1115" t="s">
        <v>157</v>
      </c>
      <c r="CL152" s="1115" t="s">
        <v>168</v>
      </c>
      <c r="CM152" s="1119">
        <v>0.1</v>
      </c>
      <c r="CN152" s="1115">
        <v>10</v>
      </c>
      <c r="CO152" s="1092"/>
      <c r="CP152" s="1118">
        <f t="shared" si="218"/>
        <v>6.4285714285714276E-3</v>
      </c>
      <c r="CQ152" s="1118">
        <f t="shared" si="219"/>
        <v>9.9999999999999985E-3</v>
      </c>
      <c r="CR152" s="1118">
        <f t="shared" si="220"/>
        <v>0</v>
      </c>
      <c r="CS152" s="1118">
        <f t="shared" si="221"/>
        <v>0</v>
      </c>
      <c r="CT152" s="1109">
        <f t="shared" si="222"/>
        <v>1.07421875</v>
      </c>
      <c r="CU152" s="1101">
        <f t="shared" si="223"/>
        <v>83.571428571428555</v>
      </c>
      <c r="CV152" s="1108">
        <f t="shared" si="224"/>
        <v>99.666666666666629</v>
      </c>
      <c r="CW152" s="1097">
        <f t="shared" si="225"/>
        <v>0</v>
      </c>
      <c r="CX152" s="1097">
        <f t="shared" si="226"/>
        <v>83.571428571428555</v>
      </c>
      <c r="CY152" s="1110">
        <f t="shared" si="227"/>
        <v>0</v>
      </c>
      <c r="CZ152" s="437"/>
      <c r="DA152" s="438"/>
      <c r="DB152" s="439" t="s">
        <v>569</v>
      </c>
      <c r="DC152" s="439"/>
      <c r="DD152" s="443"/>
      <c r="DE152" s="411"/>
      <c r="DF152" s="411"/>
      <c r="DG152" s="1116">
        <f t="shared" si="228"/>
        <v>0</v>
      </c>
      <c r="DH152" s="1116">
        <f t="shared" si="229"/>
        <v>0</v>
      </c>
      <c r="DI152" s="1116">
        <f t="shared" si="230"/>
        <v>0</v>
      </c>
      <c r="DJ152" s="442">
        <f t="shared" si="231"/>
        <v>0</v>
      </c>
      <c r="DK152" s="1109">
        <f t="shared" si="232"/>
        <v>0</v>
      </c>
      <c r="DL152" s="1101">
        <f t="shared" si="233"/>
        <v>0</v>
      </c>
      <c r="DM152" s="1097">
        <f t="shared" si="234"/>
        <v>0</v>
      </c>
      <c r="DN152" s="1097">
        <f t="shared" si="235"/>
        <v>0</v>
      </c>
      <c r="DO152" s="1097">
        <f t="shared" si="236"/>
        <v>0</v>
      </c>
      <c r="DP152" s="1110">
        <f t="shared" si="237"/>
        <v>0</v>
      </c>
      <c r="DQ152" s="1113" t="s">
        <v>156</v>
      </c>
      <c r="DR152" s="1120">
        <f t="shared" si="238"/>
        <v>0.33</v>
      </c>
      <c r="DS152" s="1124"/>
      <c r="DT152" s="1093" t="s">
        <v>179</v>
      </c>
      <c r="DU152" s="1093"/>
      <c r="DV152" s="1098">
        <f>IF($P152="","N/A",IF(P152=-1,INDEX('卡片raw data'!AN:AN,MATCH(D152,'卡片raw data'!$F:$F,)),0)+IF(AND(L152&lt;&gt;"party卡",P152&lt;=2,P152&gt;=0),INDEX('卡片raw data'!AP:AP,MATCH(D152,'卡片raw data'!$F:$F,)),0)+IF(OR(AND(L152="party卡",P152&lt;=1),AND(P152&lt;=4,L152&lt;&gt;"party卡",P152&gt;=3)),INDEX('卡片raw data'!AQ:AQ,MATCH(D152,'卡片raw data'!$F:$F,)),0)+IF(OR(P152=5,AND(L152="party卡",P152&gt;=2)),INDEX('卡片raw data'!AR:AR,MATCH(D152,'卡片raw data'!$F:$F,)),0))</f>
        <v>0.09</v>
      </c>
      <c r="DW152" s="1098">
        <f t="shared" si="239"/>
        <v>0.33</v>
      </c>
      <c r="DX152" s="1098">
        <f t="shared" si="240"/>
        <v>0.33</v>
      </c>
      <c r="DY152" s="1098">
        <f t="shared" si="241"/>
        <v>9.9000000000000008E-3</v>
      </c>
      <c r="DZ152" s="1098">
        <f t="shared" si="242"/>
        <v>9.8480249999999998E-3</v>
      </c>
      <c r="EA152" s="1098">
        <f t="shared" si="243"/>
        <v>0</v>
      </c>
      <c r="EB152" s="1121">
        <f t="shared" si="244"/>
        <v>60.337777499999987</v>
      </c>
      <c r="EC152" s="1101">
        <f t="shared" si="245"/>
        <v>4455</v>
      </c>
      <c r="ED152" s="1097">
        <f t="shared" si="246"/>
        <v>2462.0062499999999</v>
      </c>
      <c r="EE152" s="1110">
        <f t="shared" si="247"/>
        <v>4455</v>
      </c>
      <c r="EF152" s="1092" t="s">
        <v>711</v>
      </c>
      <c r="EG152" s="1120">
        <f t="shared" si="248"/>
        <v>0.33</v>
      </c>
      <c r="EH152" s="1124"/>
      <c r="EI152" s="1093"/>
      <c r="EJ152" s="1093"/>
      <c r="EK152" s="1097">
        <f>IF($P152="","N/A",IF(P152=-1,INDEX('卡片raw data'!AS:AS,MATCH(D152,'卡片raw data'!$F:$F,)),0)+IF(AND(L152&lt;&gt;"party卡",P152&lt;=2,P152&gt;=0),INDEX('卡片raw data'!AU:AU,MATCH(D152,'卡片raw data'!$F:$F,)),0)+IF(OR(AND(L152="party卡",P152&lt;=1),AND(P152&lt;=4,L152&lt;&gt;"party卡",P152&gt;=3)),INDEX('卡片raw data'!AV:AV,MATCH(D152,'卡片raw data'!$F:$F,)),0)+IF(OR(P152=5,AND(L152="party卡",P152&gt;=2)),INDEX('卡片raw data'!AW:AW,MATCH(D152,'卡片raw data'!$F:$F,)),0))</f>
        <v>0</v>
      </c>
      <c r="EL152" s="1098">
        <f t="shared" si="249"/>
        <v>0.33</v>
      </c>
      <c r="EM152" s="1098">
        <f t="shared" si="250"/>
        <v>0.33</v>
      </c>
      <c r="EN152" s="1125">
        <f t="shared" si="251"/>
        <v>0</v>
      </c>
      <c r="EO152" s="1125">
        <f t="shared" si="252"/>
        <v>0</v>
      </c>
      <c r="EP152" s="1098">
        <f t="shared" si="253"/>
        <v>0</v>
      </c>
      <c r="EQ152" s="1121">
        <f t="shared" si="254"/>
        <v>0</v>
      </c>
      <c r="ER152" s="1101">
        <f t="shared" si="255"/>
        <v>0</v>
      </c>
      <c r="ES152" s="1097">
        <f t="shared" si="256"/>
        <v>0</v>
      </c>
      <c r="ET152" s="1122">
        <f t="shared" si="257"/>
        <v>0</v>
      </c>
    </row>
    <row r="153" spans="2:150" ht="16.5" customHeight="1">
      <c r="B153" s="1123" t="str">
        <f>INDEX('卡片raw data'!B:B,MATCH($D153,'卡片raw data'!$F:$F,))</f>
        <v>动物林</v>
      </c>
      <c r="C153" s="449" t="s">
        <v>69</v>
      </c>
      <c r="D153" s="408">
        <v>150</v>
      </c>
      <c r="E153" s="1090">
        <v>302042001</v>
      </c>
      <c r="F153" s="1090" t="str">
        <f>INDEX('卡片raw data'!C:C,MATCH($D153,'卡片raw data'!$F:$F,))</f>
        <v>SR</v>
      </c>
      <c r="G153" s="1094" t="s">
        <v>347</v>
      </c>
      <c r="H153" s="411">
        <f>IFERROR(INDEX(绊状态确认!C:C,MATCH($G153,绊状态确认!$B:$B,)),"")</f>
        <v>204</v>
      </c>
      <c r="I153" s="450" t="str">
        <f>IFERROR(INDEX(绊状态确认!D:D,MATCH($G153,绊状态确认!$B:$B,)),"")</f>
        <v>虹</v>
      </c>
      <c r="J153" s="450" t="str">
        <f>IFERROR(INDEX(绊状态确认!E:E,MATCH($G153,绊状态确认!$B:$B,)),"")</f>
        <v>3年级</v>
      </c>
      <c r="K153" s="451" t="str">
        <f>IFERROR(INDEX(绊状态确认!F:F,MATCH($G153,绊状态确认!$B:$B,)),"")</f>
        <v>Diver Diva</v>
      </c>
      <c r="L153" s="1094" t="str">
        <f>INDEX('卡片raw data'!E:E,MATCH($D153,'卡片raw data'!$F:$F,))</f>
        <v>卡池卡</v>
      </c>
      <c r="M153" s="415">
        <v>43836</v>
      </c>
      <c r="N153" s="416">
        <v>7</v>
      </c>
      <c r="O153" s="1091" t="str">
        <f>INDEX('卡片raw data'!D:D,MATCH($D153,'卡片raw data'!$F:$F,))</f>
        <v>vo</v>
      </c>
      <c r="P153" s="417">
        <v>5</v>
      </c>
      <c r="Q153" s="1095">
        <f t="shared" si="173"/>
        <v>30498.906567159069</v>
      </c>
      <c r="R153" s="1096">
        <f t="shared" si="174"/>
        <v>0.35399999999999998</v>
      </c>
      <c r="S153" s="1097">
        <f t="shared" si="175"/>
        <v>13393.064089203503</v>
      </c>
      <c r="T153" s="1098">
        <f t="shared" si="176"/>
        <v>0.66900000000000004</v>
      </c>
      <c r="U153" s="1099">
        <f t="shared" si="177"/>
        <v>-11.201104237604287</v>
      </c>
      <c r="V153" s="1100">
        <f t="shared" si="178"/>
        <v>30338.827239970662</v>
      </c>
      <c r="W153" s="1101">
        <f t="shared" si="179"/>
        <v>5309.0941959483998</v>
      </c>
      <c r="X153" s="1096">
        <f t="shared" si="180"/>
        <v>6.0999999999999999E-2</v>
      </c>
      <c r="Y153" s="1097">
        <f t="shared" si="181"/>
        <v>1144.5891230532925</v>
      </c>
      <c r="Z153" s="1102">
        <f t="shared" si="182"/>
        <v>13.798895762395713</v>
      </c>
      <c r="AA153" s="1103">
        <f t="shared" si="183"/>
        <v>6453.6833190016923</v>
      </c>
      <c r="AB153" s="1101">
        <f t="shared" si="184"/>
        <v>6110.4669047707994</v>
      </c>
      <c r="AC153" s="1104">
        <f t="shared" si="185"/>
        <v>7.0999999999999994E-2</v>
      </c>
      <c r="AD153" s="1105">
        <f t="shared" si="186"/>
        <v>-3.8207812500000026E-3</v>
      </c>
      <c r="AE153" s="1128">
        <f t="shared" si="187"/>
        <v>-12.27536231884058</v>
      </c>
      <c r="AF153" s="1130">
        <f t="shared" si="188"/>
        <v>0</v>
      </c>
      <c r="AG153" s="420">
        <f t="shared" si="189"/>
        <v>0</v>
      </c>
      <c r="AH153" s="420">
        <f t="shared" si="190"/>
        <v>0</v>
      </c>
      <c r="AI153" s="1097">
        <f t="shared" si="191"/>
        <v>0</v>
      </c>
      <c r="AJ153" s="420">
        <f t="shared" si="192"/>
        <v>0</v>
      </c>
      <c r="AK153" s="518">
        <f t="shared" si="193"/>
        <v>0</v>
      </c>
      <c r="AL153" s="1106">
        <f>IF($P153="","N/A",(IF($P153=-1,INDEX('卡片raw data'!S:S,MATCH($D153,'卡片raw data'!$F:$F,)),0)+IF($P153=0,INDEX('卡片raw data'!V:V,MATCH($D153,'卡片raw data'!$F:$F,)),0)+IF($P153=1,INDEX('卡片raw data'!Y:Y,MATCH($D153,'卡片raw data'!$F:$F,)),0)+IF($P153=2,INDEX('卡片raw data'!AB:AB,MATCH($D153,'卡片raw data'!$F:$F,)),0)+IF($P153=3,INDEX('卡片raw data'!AE:AE,MATCH($D153,'卡片raw data'!$F:$F,)),0)+IF($P153=4,INDEX('卡片raw data'!AH:AH,MATCH($D153,'卡片raw data'!$F:$F,)),0)+IF($P153=5,INDEX('卡片raw data'!AK:AK,MATCH($D153,'卡片raw data'!$F:$F,)),0)+INDEX('卡片raw data'!S:S,MATCH($D153,'卡片raw data'!$F:$F,))*(IF($F153="UR",0.04,0.033))*(IF($F153="UR",INDEX(绊状态确认!$S:$S,MATCH($G153,绊状态确认!$B:$B,))/2-40)+IF($F153="SR",INDEX(绊状态确认!$R:$R,MATCH($G153,绊状态确认!$B:$B,))/4-15))+IF($F153="R",INDEX(绊状态确认!$Q:$Q,MATCH($G153,绊状态确认!$B:$B,))/6-40/6)))*(INDEX(绊状态确认!$H:$H,MATCH($G153,绊状态确认!$B:$B,))+INDEX(绊状态确认!J:J,MATCH($G153,绊状态确认!$B:$B,)))</f>
        <v>5777.255320799999</v>
      </c>
      <c r="AM153" s="1106">
        <f>IF($P153="","N/A",(IF($P153=-1,INDEX('卡片raw data'!T:T,MATCH($D153,'卡片raw data'!$F:$F,)),0)+IF($P153=0,INDEX('卡片raw data'!W:W,MATCH($D153,'卡片raw data'!$F:$F,)),0)+IF($P153=1,INDEX('卡片raw data'!Z:Z,MATCH($D153,'卡片raw data'!$F:$F,)),0)+IF($P153=2,INDEX('卡片raw data'!AC:AC,MATCH($D153,'卡片raw data'!$F:$F,)),0)+IF($P153=3,INDEX('卡片raw data'!AF:AF,MATCH($D153,'卡片raw data'!$F:$F,)),0)+IF($P153=4,INDEX('卡片raw data'!AI:AI,MATCH($D153,'卡片raw data'!$F:$F,)),0)+IF($P153=5,INDEX('卡片raw data'!AL:AL,MATCH($D153,'卡片raw data'!$F:$F,)),0)+INDEX('卡片raw data'!T:T,MATCH($D153,'卡片raw data'!$F:$F,))*(IF($F153="UR",0.04,0.033))*(IF($F153="UR",INDEX(绊状态确认!$S:$S,MATCH($G153,绊状态确认!$B:$B,))/2-40)+IF($F153="SR",INDEX(绊状态确认!$R:$R,MATCH($G153,绊状态确认!$B:$B,))/4-15))+IF($F153="R",INDEX(绊状态确认!$Q:$Q,MATCH($G153,绊状态确认!$B:$B,))/6-40/6)))*(INDEX(绊状态确认!$H:$H,MATCH($G153,绊状态确认!$B:$B,))+INDEX(绊状态确认!K:K,MATCH($G153,绊状态确认!$B:$B,)))</f>
        <v>6739.9043063999998</v>
      </c>
      <c r="AN153" s="1106">
        <f>IF($P153="","N/A",(IF($P153=-1,INDEX('卡片raw data'!U:U,MATCH($D153,'卡片raw data'!$F:$F,)),0)+IF($P153=0,INDEX('卡片raw data'!X:X,MATCH($D153,'卡片raw data'!$F:$F,)),0)+IF($P153=1,INDEX('卡片raw data'!AA:AA,MATCH($D153,'卡片raw data'!$F:$F,)),0)+IF($P153=2,INDEX('卡片raw data'!AD:AD,MATCH($D153,'卡片raw data'!$F:$F,)),0)+IF($P153=3,INDEX('卡片raw data'!AG:AG,MATCH($D153,'卡片raw data'!$F:$F,)),0)+IF($P153=4,INDEX('卡片raw data'!AJ:AJ,MATCH($D153,'卡片raw data'!$F:$F,)),0)+IF($P153=5,INDEX('卡片raw data'!AM:AM,MATCH($D153,'卡片raw data'!$F:$F,)),0)+INDEX('卡片raw data'!U:U,MATCH($D153,'卡片raw data'!$F:$F,))*(IF($F153="UR",0.04,0.033))*(IF($F153="UR",INDEX(绊状态确认!$S:$S,MATCH($G153,绊状态确认!$B:$B,))/2-40)+IF($F153="SR",INDEX(绊状态确认!$R:$R,MATCH($G153,绊状态确认!$B:$B,))/4-15))+IF($F153="R",INDEX(绊状态确认!$Q:$Q,MATCH($G153,绊状态确认!$B:$B,))/6-40/6)))*(INDEX(绊状态确认!$H:$H,MATCH($G153,绊状态确认!$B:$B,))+INDEX(绊状态确认!L:L,MATCH($G153,绊状态确认!$B:$B,)))</f>
        <v>6739.9043063999998</v>
      </c>
      <c r="AO153" s="1107">
        <f t="shared" si="194"/>
        <v>1</v>
      </c>
      <c r="AP153" s="1131">
        <f>1+(INDEX(绊状态确认!$T:$T,MATCH($G153,绊状态确认!$B:$B,))+0.2)*$AO153</f>
        <v>1.3</v>
      </c>
      <c r="AQ153" s="1108">
        <f t="shared" si="195"/>
        <v>18415.295217099996</v>
      </c>
      <c r="AR153" s="1097">
        <f>(AM153*(1+$EX$9)+$EX$35)*(1+(INDEX(绊状态确认!$T:$T,MATCH($G153,绊状态确认!$B:$B,))+0.2)*AO153)*IF(J153=$FF$17,1+$FE$17,1)*IF(I153=$FF$14,1+$FE$14,1)</f>
        <v>11903.969378235999</v>
      </c>
      <c r="AS153" s="1097">
        <f>(AN153*(1+$EX$10)+$EX$36)*(1+(INDEX(绊状态确认!$T:$T,MATCH($G153,绊状态确认!$B:$B,))+0.2)*AO153)*IF(J153=$FF$17,1+$FE$17,1)*IF(I153=$FF$14,1+$FE$14,1)</f>
        <v>14132.156938067999</v>
      </c>
      <c r="AT153" s="1093">
        <f>IF(AND(INDEX('卡片raw data'!AK:AK,MATCH($D153,'卡片raw data'!$F:$F,))&lt;INDEX('卡片raw data'!AM:AM,MATCH($D153,'卡片raw data'!$F:$F,)),INDEX('卡片raw data'!AL:AL,MATCH($D153,'卡片raw data'!$F:$F,))&lt;INDEX('卡片raw data'!AM:AM,MATCH($D153,'卡片raw data'!$F:$F,))),1,0)</f>
        <v>0</v>
      </c>
      <c r="AU153" s="1098">
        <f>MIN(AT153*0.15+AS153*0.00003+INDEX(绊状态确认!M:M,MATCH($G153,绊状态确认!$B:$B,)),1)</f>
        <v>0.45396470814204004</v>
      </c>
      <c r="AV153" s="1109">
        <f>(INDEX(绊状态确认!$N:$N,MATCH($G153,绊状态确认!$B:$B,))+1.5)*$EW$21</f>
        <v>2.6599999999999997</v>
      </c>
      <c r="AW153" s="1101">
        <f t="shared" si="196"/>
        <v>16771.116798040464</v>
      </c>
      <c r="AX153" s="1097">
        <f t="shared" si="197"/>
        <v>1019.0520309739535</v>
      </c>
      <c r="AY153" s="1110">
        <f t="shared" si="198"/>
        <v>17790.168829014419</v>
      </c>
      <c r="AZ153" s="429">
        <f t="shared" si="199"/>
        <v>13865.647875559998</v>
      </c>
      <c r="BA153" s="431">
        <f t="shared" si="200"/>
        <v>16638.777450671998</v>
      </c>
      <c r="BB153" s="1097">
        <f>(AM153*(1+$FB$9)+$FB$35)*(1+(INDEX(绊状态确认!$T:$T,MATCH($G153,绊状态确认!$B:$B,))+0.2)*AO153)*IF(J153=$FF$17,1+$FE$17,1)*IF(I153=$FF$14,1+$FE$14,1)*(1+$FE$15)</f>
        <v>11903.969378235999</v>
      </c>
      <c r="BC153" s="1097">
        <f>(AN153*(1+$FB$10)+$FB$36)*(1+(INDEX(绊状态确认!$T:$T,MATCH($G153,绊状态确认!$B:$B,))+0.2)*AO153)*IF(J153=$FF$17,1+$FE$17,1)*IF(I153=$FF$14,1+$FE$14,1)*(1+$FE$15)</f>
        <v>14132.156938067999</v>
      </c>
      <c r="BD153" s="1104">
        <f>MIN(AT153*0.15+BC153*0.00003+INDEX(绊状态确认!M:M,MATCH($G153,绊状态确认!$B:$B,)),1)</f>
        <v>0.45396470814204004</v>
      </c>
      <c r="BE153" s="432">
        <f>(INDEX(绊状态确认!$N:$N,MATCH($G153,绊状态确认!$B:$B,))+1.5)</f>
        <v>1.9</v>
      </c>
      <c r="BF153" s="1139">
        <f t="array" ref="BF153">SUMPRODUCT(IF(AZ153*AP153*$FI$16:$FI$23*$FA$22&gt;=$FI$24,$FI$24,AZ153*AP153*$FI$16:$FI$23*$FA$22),$FJ$16:$FJ$23)</f>
        <v>27578.77362448884</v>
      </c>
      <c r="BG153" s="1125">
        <f t="array" ref="BG153">SUMPRODUCT(IF(BE153*AZ153*AP153*$FI$16:$FI$23*$FA$22&gt;=$FI$24,$FI$24,BE153*AZ153*AP153*$FI$16:$FI$23*$FA$22),$FJ$16:$FJ$23)</f>
        <v>51727.854293054508</v>
      </c>
      <c r="BH153" s="1110">
        <f t="shared" si="201"/>
        <v>12847.201327364279</v>
      </c>
      <c r="BI153" s="1111">
        <f>IF(O153="vo",$EW$26/$EW$24*0.05,0)+IF(O153="sk",-$EW$26/$EW$24*(0.05-INDEX(绊状态确认!W:W,MATCH($G153,绊状态确认!$B:$B,)))+0.05*$EW$28,0)+IF(O153="sp",0.05*$EW$32*$EW$30*(1-$EW$33)-(0.05-INDEX(绊状态确认!V:V,MATCH($G153,绊状态确认!$B:$B,)))*$EW$28,0)+IF(O153="gd",-(0.05-INDEX(绊状态确认!X:X,MATCH($G153,绊状态确认!$B:$B,)))*$EW$32*$EW$30*(1-$EW$33),0)</f>
        <v>7726.3029277443748</v>
      </c>
      <c r="BJ153" s="1097">
        <f>IF(O153="vo",0.05*(1-$FI$26)*$FA$24,0)+IF(O153="sk",-(0.05-INDEX(绊状态确认!W:W,MATCH($G153,绊状态确认!$B:$B,)))*(1-$FI$26)*$FA$24+0.05*$FA$26,0)+IF(O153="sp",0.05*$FA$32*$FA$27*(1-$FA$33)/$FA$30+0.05*$FA$29/$FA$69*$FA$27*(1-$FA$33)-(0.05-INDEX(绊状态确认!V:V,MATCH($G153,绊状态确认!$B:$B,)))*$FA$26,0)+IF(O153="gd",-(0.05-INDEX(绊状态确认!X:X,MATCH($G153,绊状态确认!$B:$B,)))*$FA$32*$FA$27*(1-$FA$33)/$FA$30-(0.05-INDEX(绊状态确认!X:X,MATCH($G153,绊状态确认!$B:$B,)))*$FA$29/$FA$69*$FA$27*(1-$FA$33),0)</f>
        <v>393.93433687500004</v>
      </c>
      <c r="BK153" s="1110">
        <f>IF(O153="vo",$EW$26/$EW$24*0.05+$EW$26*(-HP($EW$62,$EW$65,$EW$64)+HP($EW$62,$EW$65,(1.05-INDEX(绊状态确认!U:U,MATCH($G153,绊状态确认!$B:$B,)))*$EW$64)),0)+IF(O153="sk",-$EW$26/$EW$24*(0.05-INDEX(绊状态确认!W:W,MATCH($G153,绊状态确认!$B:$B,)))+0.05*$EW$29,0)+IF(O153="sp",0.05*$EW$32*$EW$30*(1-$EW$33)-(0.05-INDEX(绊状态确认!V:V,MATCH($G153,绊状态确认!$B:$B,)))*$EW$29,0)+IF(O153="gd",-(0.05-INDEX(绊状态确认!X:X,MATCH($G153,绊状态确认!$B:$B,)))*$EW$32*$EW$30*(1-$EW$33)+$EW$26*(-HP($EW$62,$EW$65,$EW$64)+HP($EW$62,$EW$65,0.95*$EW$64)),0)</f>
        <v>6421.6344775026746</v>
      </c>
      <c r="BL153" s="1111">
        <f t="shared" si="202"/>
        <v>-1083.3333333333333</v>
      </c>
      <c r="BM153" s="1110">
        <f t="shared" si="203"/>
        <v>-830.55555555555543</v>
      </c>
      <c r="BN153" s="1113">
        <f t="shared" si="204"/>
        <v>3</v>
      </c>
      <c r="BO153" s="1097">
        <f t="shared" si="205"/>
        <v>4507.7214871259994</v>
      </c>
      <c r="BP153" s="1100">
        <f t="shared" si="206"/>
        <v>221.34103209030098</v>
      </c>
      <c r="BQ153" s="1113" t="s">
        <v>623</v>
      </c>
      <c r="BR153" s="1124" t="s">
        <v>171</v>
      </c>
      <c r="BS153" s="1098">
        <f>IF($P153="","N/A",IF($P153=-1,INDEX('卡片raw data'!AX:AX,MATCH($D153,'卡片raw data'!$F:$F,)),0)+IF($L153="party卡",IF($P153=5,INDEX('卡片raw data'!BD:BD,MATCH($D153,'卡片raw data'!$F:$F,)),IF($P153&gt;=3,INDEX('卡片raw data'!BC:BC,MATCH($D153,'卡片raw data'!$F:$F,)),INDEX('卡片raw data'!BB:BB,MATCH($D153,'卡片raw data'!$F:$F,)))),IF(OR(AND($F153="UR",$P153=0),AND($F153="SR",$P153&gt;=0,$P153&lt;=2),AND($F153="R",$P153&gt;=0,$P153&lt;4)),INDEX('卡片raw data'!AZ:AZ,MATCH($D153,'卡片raw data'!$F:$F,)),0)+IF(OR(AND($F153="UR",$P153&gt;=1,$P153&lt;=4),AND($F153="SR",$P153&lt;=4,$P153&gt;=3),AND($F153="R",$P153=4)),INDEX('卡片raw data'!BA:BA,MATCH($D153,'卡片raw data'!$F:$F,)),0)+IF($P153=5,INDEX('卡片raw data'!BB:BB,MATCH($D153,'卡片raw data'!$F:$F,)),0)))</f>
        <v>3.2000000000000001E-2</v>
      </c>
      <c r="BT153" s="1101">
        <f t="shared" si="207"/>
        <v>1602.7454176448</v>
      </c>
      <c r="BU153" s="1097">
        <f t="shared" si="208"/>
        <v>68.861654428093644</v>
      </c>
      <c r="BV153" s="1097">
        <f t="shared" si="209"/>
        <v>801.37270882240011</v>
      </c>
      <c r="BW153" s="1112">
        <f t="shared" si="210"/>
        <v>0</v>
      </c>
      <c r="BX153" s="1100">
        <f t="shared" si="211"/>
        <v>1602.7454176448</v>
      </c>
      <c r="BY153" s="1110">
        <f t="shared" si="212"/>
        <v>801.37270882240011</v>
      </c>
      <c r="BZ153" s="1107" t="s">
        <v>569</v>
      </c>
      <c r="CA153" s="1124"/>
      <c r="CB153" s="1098">
        <f>IF($P153="","N/A",IF($P153=-1,INDEX('卡片raw data'!BE:BE,MATCH($D153,'卡片raw data'!$F:$F,)),0)+IF($L153="party卡",IF($P153=5,INDEX('卡片raw data'!BK:BK,MATCH($D153,'卡片raw data'!$F:$F,)),IF($P153&gt;=3,INDEX('卡片raw data'!BJ:BJ,MATCH($D153,'卡片raw data'!$F:$F,)),INDEX('卡片raw data'!BI:BI,MATCH($D153,'卡片raw data'!$F:$F,)))),IF(OR(AND($F153="UR",$P153=0),AND($F153="SR",$P153&gt;=0,$P153&lt;=2),AND($F153="R",$P153&gt;=0,$P153&lt;4)),INDEX('卡片raw data'!BG:BG,MATCH($D153,'卡片raw data'!$F:$F,)),0)+IF(OR(AND($F153="UR",$P153&gt;=1,$P153&lt;=4),AND($F153="SR",$P153&lt;=4,$P153&gt;=3),AND($F153="R",$P153=4)),INDEX('卡片raw data'!BH:BH,MATCH($D153,'卡片raw data'!$F:$F,)),0)+IF($P153=5,INDEX('卡片raw data'!BI:BI,MATCH($D153,'卡片raw data'!$F:$F,)),0)))</f>
        <v>0</v>
      </c>
      <c r="CC153" s="1101">
        <f t="shared" si="213"/>
        <v>0</v>
      </c>
      <c r="CD153" s="1097">
        <f>IF(BZ153="ap",CB153*(1-$FI$26)*$FB$5/$FB$11*(+IF(CA153="全员",$FA$24,0)+IF(CA153="同作战",$FA$24,0)+IF(CA153="仲间",$FA$24*2/3,0)+IF(CA153="同属性",$FA$24*$FA$37/3,0)+IF(CA153="同年级",$FA$24*$FA$40/3,0)+IF(CA153="同学校",$FA$24*$FA$43/3,0)+IF(CA153="同小队",$FA$24*$FA$46/3,0)+IF(CA153="同type",$FA$24*INDEX($FB$49:$FB$52,MATCH(X153,$FA$49:$FA$52,))/3,0)+IF(CA153="自身",#REF!/3,0)),0)+IF(BZ153="te",CB153*(1-$FI$27)*($FA$20-1)*$FB$7/$FB$13*(+IF(CA153="全员",$FA$19*$FA$24/(1+($FA$20-1)*$FA$19),0)+IF(CA153="同作战",$FA$19*$FA$24/(1+($FA$20-1)*$FA$19),0)+IF(CA153="仲间",$FA$19*$FA$24*2/3/(1+($FA$20-1)*$FA$19),0)+IF(CA153="同属性",$FA$19*$FA$24*$FA$37/3/(1+($FA$20-1)*$FA$19),0)+IF(CA153="同年级",$FA$19*$FA$24*$FA$40/3/(1+($FA$20-1)*$FA$19),0)+IF(CA153="同学校",$FA$19*$FA$24*$FA$43/3/(1+($FA$20-1)*$FA$19),0)+IF(CA153="同小队",$FA$19*$FA$24*$FA$46/3/(1+($FA$20-1)*$FA$19),0)+IF(CA153="同type",$FA$19*$FA$24*INDEX($FB$49:$FB$52,MATCH(X153,$FA$49:$FA$52,))/3/(1+($FA$20-1)*$FA$19),0)+IF(CA153="自身",$FA$19*#REF!/3/(1+(BH153-1)*$BD153),0)),0)</f>
        <v>0</v>
      </c>
      <c r="CE153" s="1097">
        <f t="shared" si="214"/>
        <v>0</v>
      </c>
      <c r="CF153" s="1112">
        <f t="shared" si="215"/>
        <v>0</v>
      </c>
      <c r="CG153" s="1100">
        <f t="shared" si="216"/>
        <v>0</v>
      </c>
      <c r="CH153" s="1110">
        <f t="shared" si="217"/>
        <v>0</v>
      </c>
      <c r="CI153" s="1113" t="s">
        <v>162</v>
      </c>
      <c r="CJ153" s="1114">
        <v>0.2</v>
      </c>
      <c r="CK153" s="1115" t="s">
        <v>556</v>
      </c>
      <c r="CL153" s="1115" t="s">
        <v>161</v>
      </c>
      <c r="CM153" s="1119">
        <v>0.03</v>
      </c>
      <c r="CN153" s="1115" t="s">
        <v>1948</v>
      </c>
      <c r="CO153" s="1092"/>
      <c r="CP153" s="1118">
        <f t="shared" si="218"/>
        <v>3.2142857142857147E-3</v>
      </c>
      <c r="CQ153" s="1118">
        <f t="shared" si="219"/>
        <v>3.0000000000000001E-3</v>
      </c>
      <c r="CR153" s="1118">
        <f t="shared" si="220"/>
        <v>3.2142857142857147E-3</v>
      </c>
      <c r="CS153" s="1118">
        <f t="shared" si="221"/>
        <v>0</v>
      </c>
      <c r="CT153" s="1109">
        <f t="shared" si="222"/>
        <v>0</v>
      </c>
      <c r="CU153" s="1101">
        <f t="shared" si="223"/>
        <v>0</v>
      </c>
      <c r="CV153" s="1108">
        <f t="shared" si="224"/>
        <v>0</v>
      </c>
      <c r="CW153" s="1097">
        <f t="shared" si="225"/>
        <v>0</v>
      </c>
      <c r="CX153" s="1097">
        <f t="shared" si="226"/>
        <v>125.53709207933967</v>
      </c>
      <c r="CY153" s="1110">
        <f t="shared" si="227"/>
        <v>125.53709207933967</v>
      </c>
      <c r="CZ153" s="437"/>
      <c r="DA153" s="438"/>
      <c r="DB153" s="439" t="s">
        <v>569</v>
      </c>
      <c r="DC153" s="439"/>
      <c r="DD153" s="443"/>
      <c r="DE153" s="411"/>
      <c r="DF153" s="411"/>
      <c r="DG153" s="1116">
        <f t="shared" si="228"/>
        <v>0</v>
      </c>
      <c r="DH153" s="1116">
        <f t="shared" si="229"/>
        <v>0</v>
      </c>
      <c r="DI153" s="1116">
        <f t="shared" si="230"/>
        <v>0</v>
      </c>
      <c r="DJ153" s="442">
        <f t="shared" si="231"/>
        <v>0</v>
      </c>
      <c r="DK153" s="1109">
        <f t="shared" si="232"/>
        <v>0</v>
      </c>
      <c r="DL153" s="1101">
        <f t="shared" si="233"/>
        <v>0</v>
      </c>
      <c r="DM153" s="1097">
        <f t="shared" si="234"/>
        <v>0</v>
      </c>
      <c r="DN153" s="1097">
        <f t="shared" si="235"/>
        <v>0</v>
      </c>
      <c r="DO153" s="1097">
        <f t="shared" si="236"/>
        <v>0</v>
      </c>
      <c r="DP153" s="1110">
        <f t="shared" si="237"/>
        <v>0</v>
      </c>
      <c r="DQ153" s="1113" t="s">
        <v>545</v>
      </c>
      <c r="DR153" s="1120">
        <f t="shared" si="238"/>
        <v>0.3</v>
      </c>
      <c r="DS153" s="1124"/>
      <c r="DT153" s="1093" t="s">
        <v>548</v>
      </c>
      <c r="DU153" s="1093"/>
      <c r="DV153" s="1098">
        <f>IF($P153="","N/A",IF(P153=-1,INDEX('卡片raw data'!AN:AN,MATCH(D153,'卡片raw data'!$F:$F,)),0)+IF(AND(L153&lt;&gt;"party卡",P153&lt;=2,P153&gt;=0),INDEX('卡片raw data'!AP:AP,MATCH(D153,'卡片raw data'!$F:$F,)),0)+IF(OR(AND(L153="party卡",P153&lt;=1),AND(P153&lt;=4,L153&lt;&gt;"party卡",P153&gt;=3)),INDEX('卡片raw data'!AQ:AQ,MATCH(D153,'卡片raw data'!$F:$F,)),0)+IF(OR(P153=5,AND(L153="party卡",P153&gt;=2)),INDEX('卡片raw data'!AR:AR,MATCH(D153,'卡片raw data'!$F:$F,)),0))</f>
        <v>0.37</v>
      </c>
      <c r="DW153" s="1098">
        <f t="shared" si="239"/>
        <v>0.3</v>
      </c>
      <c r="DX153" s="1098">
        <f t="shared" si="240"/>
        <v>0.3</v>
      </c>
      <c r="DY153" s="1125">
        <f t="shared" si="241"/>
        <v>885.77569994250973</v>
      </c>
      <c r="DZ153" s="1125">
        <f t="shared" si="242"/>
        <v>692.28129400138459</v>
      </c>
      <c r="EA153" s="1098">
        <f t="shared" si="243"/>
        <v>0</v>
      </c>
      <c r="EB153" s="1121">
        <f t="shared" si="244"/>
        <v>0</v>
      </c>
      <c r="EC153" s="1101">
        <f t="shared" si="245"/>
        <v>974.35326993676074</v>
      </c>
      <c r="ED153" s="1097">
        <f t="shared" si="246"/>
        <v>692.28129400138459</v>
      </c>
      <c r="EE153" s="1110">
        <f t="shared" si="247"/>
        <v>974.35326993676074</v>
      </c>
      <c r="EF153" s="1092" t="s">
        <v>711</v>
      </c>
      <c r="EG153" s="1120">
        <f t="shared" si="248"/>
        <v>0.3</v>
      </c>
      <c r="EH153" s="1124"/>
      <c r="EI153" s="1093"/>
      <c r="EJ153" s="1093"/>
      <c r="EK153" s="1097">
        <f>IF($P153="","N/A",IF(P153=-1,INDEX('卡片raw data'!AS:AS,MATCH(D153,'卡片raw data'!$F:$F,)),0)+IF(AND(L153&lt;&gt;"party卡",P153&lt;=2,P153&gt;=0),INDEX('卡片raw data'!AU:AU,MATCH(D153,'卡片raw data'!$F:$F,)),0)+IF(OR(AND(L153="party卡",P153&lt;=1),AND(P153&lt;=4,L153&lt;&gt;"party卡",P153&gt;=3)),INDEX('卡片raw data'!AV:AV,MATCH(D153,'卡片raw data'!$F:$F,)),0)+IF(OR(P153=5,AND(L153="party卡",P153&gt;=2)),INDEX('卡片raw data'!AW:AW,MATCH(D153,'卡片raw data'!$F:$F,)),0))</f>
        <v>0</v>
      </c>
      <c r="EL153" s="1098">
        <f t="shared" si="249"/>
        <v>0.3</v>
      </c>
      <c r="EM153" s="1098">
        <f t="shared" si="250"/>
        <v>0.3</v>
      </c>
      <c r="EN153" s="1125">
        <f t="shared" si="251"/>
        <v>0</v>
      </c>
      <c r="EO153" s="1125">
        <f t="shared" si="252"/>
        <v>0</v>
      </c>
      <c r="EP153" s="1098">
        <f t="shared" si="253"/>
        <v>0</v>
      </c>
      <c r="EQ153" s="1121">
        <f t="shared" si="254"/>
        <v>0</v>
      </c>
      <c r="ER153" s="1101">
        <f t="shared" si="255"/>
        <v>0</v>
      </c>
      <c r="ES153" s="1097">
        <f t="shared" si="256"/>
        <v>0</v>
      </c>
      <c r="ET153" s="1122">
        <f t="shared" si="257"/>
        <v>0</v>
      </c>
    </row>
    <row r="154" spans="2:150" ht="16.5" customHeight="1">
      <c r="B154" s="1123" t="str">
        <f>INDEX('卡片raw data'!B:B,MATCH($D154,'卡片raw data'!$F:$F,))</f>
        <v>海战海</v>
      </c>
      <c r="C154" s="449" t="s">
        <v>69</v>
      </c>
      <c r="D154" s="408">
        <v>151</v>
      </c>
      <c r="E154" s="1090">
        <v>400043001</v>
      </c>
      <c r="F154" s="1090" t="str">
        <f>INDEX('卡片raw data'!C:C,MATCH($D154,'卡片raw data'!$F:$F,))</f>
        <v>UR</v>
      </c>
      <c r="G154" s="1094" t="s">
        <v>27</v>
      </c>
      <c r="H154" s="411">
        <f>IFERROR(INDEX(绊状态确认!C:C,MATCH($G154,绊状态确认!$B:$B,)),"")</f>
        <v>4</v>
      </c>
      <c r="I154" s="450" t="str">
        <f>IFERROR(INDEX(绊状态确认!D:D,MATCH($G154,绊状态确认!$B:$B,)),"")</f>
        <v>缪</v>
      </c>
      <c r="J154" s="450" t="str">
        <f>IFERROR(INDEX(绊状态确认!E:E,MATCH($G154,绊状态确认!$B:$B,)),"")</f>
        <v>2年级</v>
      </c>
      <c r="K154" s="451" t="str">
        <f>IFERROR(INDEX(绊状态确认!F:F,MATCH($G154,绊状态确认!$B:$B,)),"")</f>
        <v>lilywhite</v>
      </c>
      <c r="L154" s="1094" t="str">
        <f>INDEX('卡片raw data'!E:E,MATCH($D154,'卡片raw data'!$F:$F,))</f>
        <v>活动卡</v>
      </c>
      <c r="M154" s="415">
        <v>43836</v>
      </c>
      <c r="N154" s="416">
        <v>7</v>
      </c>
      <c r="O154" s="1091" t="str">
        <f>INDEX('卡片raw data'!D:D,MATCH($D154,'卡片raw data'!$F:$F,))</f>
        <v>gd</v>
      </c>
      <c r="P154" s="417">
        <v>5</v>
      </c>
      <c r="Q154" s="1095">
        <f t="shared" si="173"/>
        <v>24079.126213922911</v>
      </c>
      <c r="R154" s="1096">
        <f t="shared" si="174"/>
        <v>0.27900000000000003</v>
      </c>
      <c r="S154" s="1097">
        <f t="shared" si="175"/>
        <v>14193.557033042365</v>
      </c>
      <c r="T154" s="1098">
        <f t="shared" si="176"/>
        <v>0.70899999999999996</v>
      </c>
      <c r="U154" s="1099">
        <f t="shared" si="177"/>
        <v>732.45729888587437</v>
      </c>
      <c r="V154" s="1100">
        <f t="shared" si="178"/>
        <v>75988.190943694965</v>
      </c>
      <c r="W154" s="1101">
        <f t="shared" si="179"/>
        <v>4507.7214871259994</v>
      </c>
      <c r="X154" s="1096">
        <f t="shared" si="180"/>
        <v>5.1999999999999998E-2</v>
      </c>
      <c r="Y154" s="1097">
        <f t="shared" si="181"/>
        <v>2030.1805960087395</v>
      </c>
      <c r="Z154" s="1102">
        <f t="shared" si="182"/>
        <v>25.154831593714281</v>
      </c>
      <c r="AA154" s="1103">
        <f t="shared" si="183"/>
        <v>6537.9020831347389</v>
      </c>
      <c r="AB154" s="1101">
        <f t="shared" si="184"/>
        <v>4507.7214871259994</v>
      </c>
      <c r="AC154" s="1104">
        <f t="shared" si="185"/>
        <v>5.1999999999999998E-2</v>
      </c>
      <c r="AD154" s="1105">
        <f t="shared" si="186"/>
        <v>0</v>
      </c>
      <c r="AE154" s="1128">
        <f t="shared" si="187"/>
        <v>-6.25</v>
      </c>
      <c r="AF154" s="1130">
        <f t="shared" si="188"/>
        <v>9653.0292247584002</v>
      </c>
      <c r="AG154" s="420">
        <f t="shared" si="189"/>
        <v>94214.632179200009</v>
      </c>
      <c r="AH154" s="420">
        <f t="shared" si="190"/>
        <v>9.7601105296102588</v>
      </c>
      <c r="AI154" s="1097">
        <f t="shared" si="191"/>
        <v>108294.97920611135</v>
      </c>
      <c r="AJ154" s="420">
        <f t="shared" si="192"/>
        <v>75988.190943694965</v>
      </c>
      <c r="AK154" s="518">
        <f t="shared" si="193"/>
        <v>32306.78826241639</v>
      </c>
      <c r="AL154" s="1106">
        <f>IF($P154="","N/A",(IF($P154=-1,INDEX('卡片raw data'!S:S,MATCH($D154,'卡片raw data'!$F:$F,)),0)+IF($P154=0,INDEX('卡片raw data'!V:V,MATCH($D154,'卡片raw data'!$F:$F,)),0)+IF($P154=1,INDEX('卡片raw data'!Y:Y,MATCH($D154,'卡片raw data'!$F:$F,)),0)+IF($P154=2,INDEX('卡片raw data'!AB:AB,MATCH($D154,'卡片raw data'!$F:$F,)),0)+IF($P154=3,INDEX('卡片raw data'!AE:AE,MATCH($D154,'卡片raw data'!$F:$F,)),0)+IF($P154=4,INDEX('卡片raw data'!AH:AH,MATCH($D154,'卡片raw data'!$F:$F,)),0)+IF($P154=5,INDEX('卡片raw data'!AK:AK,MATCH($D154,'卡片raw data'!$F:$F,)),0)+INDEX('卡片raw data'!S:S,MATCH($D154,'卡片raw data'!$F:$F,))*(IF($F154="UR",0.04,0.033))*(IF($F154="UR",INDEX(绊状态确认!$S:$S,MATCH($G154,绊状态确认!$B:$B,))/2-40)+IF($F154="SR",INDEX(绊状态确认!$R:$R,MATCH($G154,绊状态确认!$B:$B,))/4-15))+IF($F154="R",INDEX(绊状态确认!$Q:$Q,MATCH($G154,绊状态确认!$B:$B,))/6-40/6)))*(INDEX(绊状态确认!$H:$H,MATCH($G154,绊状态确认!$B:$B,))+INDEX(绊状态确认!J:J,MATCH($G154,绊状态确认!$B:$B,)))</f>
        <v>7280.0056799999993</v>
      </c>
      <c r="AM154" s="1106">
        <f>IF($P154="","N/A",(IF($P154=-1,INDEX('卡片raw data'!T:T,MATCH($D154,'卡片raw data'!$F:$F,)),0)+IF($P154=0,INDEX('卡片raw data'!W:W,MATCH($D154,'卡片raw data'!$F:$F,)),0)+IF($P154=1,INDEX('卡片raw data'!Z:Z,MATCH($D154,'卡片raw data'!$F:$F,)),0)+IF($P154=2,INDEX('卡片raw data'!AC:AC,MATCH($D154,'卡片raw data'!$F:$F,)),0)+IF($P154=3,INDEX('卡片raw data'!AF:AF,MATCH($D154,'卡片raw data'!$F:$F,)),0)+IF($P154=4,INDEX('卡片raw data'!AI:AI,MATCH($D154,'卡片raw data'!$F:$F,)),0)+IF($P154=5,INDEX('卡片raw data'!AL:AL,MATCH($D154,'卡片raw data'!$F:$F,)),0)+INDEX('卡片raw data'!T:T,MATCH($D154,'卡片raw data'!$F:$F,))*(IF($F154="UR",0.04,0.033))*(IF($F154="UR",INDEX(绊状态确认!$S:$S,MATCH($G154,绊状态确认!$B:$B,))/2-40)+IF($F154="SR",INDEX(绊状态确认!$R:$R,MATCH($G154,绊状态确认!$B:$B,))/4-15))+IF($F154="R",INDEX(绊状态确认!$Q:$Q,MATCH($G154,绊状态确认!$B:$B,))/6-40/6)))*(INDEX(绊状态确认!$H:$H,MATCH($G154,绊状态确认!$B:$B,))+INDEX(绊状态确认!K:K,MATCH($G154,绊状态确认!$B:$B,)))</f>
        <v>12219.481919999998</v>
      </c>
      <c r="AN154" s="1106">
        <f>IF($P154="","N/A",(IF($P154=-1,INDEX('卡片raw data'!U:U,MATCH($D154,'卡片raw data'!$F:$F,)),0)+IF($P154=0,INDEX('卡片raw data'!X:X,MATCH($D154,'卡片raw data'!$F:$F,)),0)+IF($P154=1,INDEX('卡片raw data'!AA:AA,MATCH($D154,'卡片raw data'!$F:$F,)),0)+IF($P154=2,INDEX('卡片raw data'!AD:AD,MATCH($D154,'卡片raw data'!$F:$F,)),0)+IF($P154=3,INDEX('卡片raw data'!AG:AG,MATCH($D154,'卡片raw data'!$F:$F,)),0)+IF($P154=4,INDEX('卡片raw data'!AJ:AJ,MATCH($D154,'卡片raw data'!$F:$F,)),0)+IF($P154=5,INDEX('卡片raw data'!AM:AM,MATCH($D154,'卡片raw data'!$F:$F,)),0)+INDEX('卡片raw data'!U:U,MATCH($D154,'卡片raw data'!$F:$F,))*(IF($F154="UR",0.04,0.033))*(IF($F154="UR",INDEX(绊状态确认!$S:$S,MATCH($G154,绊状态确认!$B:$B,))/2-40)+IF($F154="SR",INDEX(绊状态确认!$R:$R,MATCH($G154,绊状态确认!$B:$B,))/4-15))+IF($F154="R",INDEX(绊状态确认!$Q:$Q,MATCH($G154,绊状态确认!$B:$B,))/6-40/6)))*(INDEX(绊状态确认!$H:$H,MATCH($G154,绊状态确认!$B:$B,))+INDEX(绊状态确认!L:L,MATCH($G154,绊状态确认!$B:$B,)))</f>
        <v>6500.2079999999987</v>
      </c>
      <c r="AO154" s="1107">
        <f t="shared" si="194"/>
        <v>1</v>
      </c>
      <c r="AP154" s="1131">
        <f>1+(INDEX(绊状态确认!$T:$T,MATCH($G154,绊状态确认!$B:$B,))+0.2)*$AO154</f>
        <v>1.3</v>
      </c>
      <c r="AQ154" s="1108">
        <f t="shared" si="195"/>
        <v>22360.014909999998</v>
      </c>
      <c r="AR154" s="1097">
        <f>(AM154*(1+$EX$9)+$EX$35)*(1+(INDEX(绊状态确认!$T:$T,MATCH($G154,绊状态确认!$B:$B,))+0.2)*AO154)*IF(J154=$FF$17,1+$FE$17,1)*IF(I154=$FF$14,1+$FE$14,1)*(1+$FE$15)</f>
        <v>19383.592820799997</v>
      </c>
      <c r="AS154" s="1097">
        <f>(AN154*(1+$EX$10)+$EX$36)*(1+(INDEX(绊状态确认!$T:$T,MATCH($G154,绊状态确认!$B:$B,))+0.2)*AO154)*IF(J154=$FF$17,1+$FE$17,1)*IF(I154=$FF$14,1+$FE$14,1)*(1+$FE$15)</f>
        <v>13773.810959999999</v>
      </c>
      <c r="AT154" s="1093">
        <f>IF(AND(INDEX('卡片raw data'!AK:AK,MATCH($D154,'卡片raw data'!$F:$F,))&lt;INDEX('卡片raw data'!AM:AM,MATCH($D154,'卡片raw data'!$F:$F,)),INDEX('卡片raw data'!AL:AL,MATCH($D154,'卡片raw data'!$F:$F,))&lt;INDEX('卡片raw data'!AM:AM,MATCH($D154,'卡片raw data'!$F:$F,))),1,0)</f>
        <v>0</v>
      </c>
      <c r="AU154" s="1098">
        <f>MIN(AT154*0.15+AS154*0.00003+INDEX(绊状态确认!M:M,MATCH($G154,绊状态确认!$B:$B,)),1)</f>
        <v>0.4432143288</v>
      </c>
      <c r="AV154" s="1109">
        <f>(INDEX(绊状态确认!$N:$N,MATCH($G154,绊状态确认!$B:$B,))+1.5)*$EW$21</f>
        <v>2.6599999999999997</v>
      </c>
      <c r="AW154" s="1101">
        <f t="shared" si="196"/>
        <v>20156.404726796911</v>
      </c>
      <c r="AX154" s="1097">
        <f t="shared" si="197"/>
        <v>1687.1014783341925</v>
      </c>
      <c r="AY154" s="1110">
        <f t="shared" si="198"/>
        <v>21843.506205131103</v>
      </c>
      <c r="AZ154" s="429">
        <f t="shared" si="199"/>
        <v>16796.011075999999</v>
      </c>
      <c r="BA154" s="431">
        <f t="shared" si="200"/>
        <v>20155.213291199998</v>
      </c>
      <c r="BB154" s="1097">
        <f>(AM154*(1+$FB$9)+$FB$35)*(1+(INDEX(绊状态确认!$T:$T,MATCH($G154,绊状态确认!$B:$B,))+0.2)*AO154)*IF(J154=$FF$17,1+$FE$17,1)*IF(I154=$FF$14,1+$FE$14,1)*(1+$FE$15)</f>
        <v>19383.592820799997</v>
      </c>
      <c r="BC154" s="1097">
        <f>(AN154*(1+$FB$10)+$FB$36)*(1+(INDEX(绊状态确认!$T:$T,MATCH($G154,绊状态确认!$B:$B,))+0.2)*AO154)*IF(J154=$FF$17,1+$FE$17,1)*IF(I154=$FF$14,1+$FE$14,1)*(1+$FE$15)</f>
        <v>13773.810959999999</v>
      </c>
      <c r="BD154" s="1104">
        <f>MIN(AT154*0.15+BC154*0.00003+INDEX(绊状态确认!M:M,MATCH($G154,绊状态确认!$B:$B,)),1)</f>
        <v>0.4432143288</v>
      </c>
      <c r="BE154" s="432">
        <f>(INDEX(绊状态确认!$N:$N,MATCH($G154,绊状态确认!$B:$B,))+1.5)</f>
        <v>1.9</v>
      </c>
      <c r="BF154" s="1139">
        <f t="array" ref="BF154">SUMPRODUCT(IF(AZ154*AP154*$FI$16:$FI$23*$FA$22&gt;=$FI$24,$FI$24,AZ154*AP154*$FI$16:$FI$23*$FA$22),$FJ$16:$FJ$23)</f>
        <v>33407.266030163999</v>
      </c>
      <c r="BG154" s="1125">
        <f t="array" ref="BG154">SUMPRODUCT(IF(BE154*AZ154*AP154*$FI$16:$FI$23*$FA$22&gt;=$FI$24,$FI$24,BE154*AZ154*AP154*$FI$16:$FI$23*$FA$22),$FJ$16:$FJ$23)</f>
        <v>57987.658099591601</v>
      </c>
      <c r="BH154" s="1110">
        <f t="shared" si="201"/>
        <v>14767.216000952065</v>
      </c>
      <c r="BI154" s="1111">
        <f>IF(O154="vo",$EW$26/$EW$24*0.05,0)+IF(O154="sk",-$EW$26/$EW$24*(0.05-INDEX(绊状态确认!W:W,MATCH($G154,绊状态确认!$B:$B,)))+0.05*$EW$28,0)+IF(O154="sp",0.05*$EW$32*$EW$30*(1-$EW$33)-(0.05-INDEX(绊状态确认!V:V,MATCH($G154,绊状态确认!$B:$B,)))*$EW$28,0)+IF(O154="gd",-(0.05-INDEX(绊状态确认!X:X,MATCH($G154,绊状态确认!$B:$B,)))*$EW$32*$EW$30*(1-$EW$33),0)</f>
        <v>-585.00000000000011</v>
      </c>
      <c r="BJ154" s="1097">
        <f>IF(O154="vo",0.05*(1-$FI$26)*$FA$24,0)+IF(O154="sk",-(0.05-INDEX(绊状态确认!W:W,MATCH($G154,绊状态确认!$B:$B,)))*(1-$FI$26)*$FA$24+0.05*$FA$26,0)+IF(O154="sp",0.05*$FA$32*$FA$27*(1-$FA$33)/$FA$30+0.05*$FA$29/$FA$69*$FA$27*(1-$FA$33)-(0.05-INDEX(绊状态确认!V:V,MATCH($G154,绊状态确认!$B:$B,)))*$FA$26,0)+IF(O154="gd",-(0.05-INDEX(绊状态确认!X:X,MATCH($G154,绊状态确认!$B:$B,)))*$FA$32*$FA$27*(1-$FA$33)/$FA$30-(0.05-INDEX(绊状态确认!X:X,MATCH($G154,绊状态确认!$B:$B,)))*$FA$29/$FA$69*$FA$27*(1-$FA$33),0)</f>
        <v>-795.00000000000011</v>
      </c>
      <c r="BK154" s="1110">
        <f>IF(O154="vo",$EW$26/$EW$24*0.05+$EW$26*(-HP($EW$62,$EW$65,$EW$64)+HP($EW$62,$EW$65,(1.05-INDEX(绊状态确认!U:U,MATCH($G154,绊状态确认!$B:$B,)))*$EW$64)),0)+IF(O154="sk",-$EW$26/$EW$24*(0.05-INDEX(绊状态确认!W:W,MATCH($G154,绊状态确认!$B:$B,)))+0.05*$EW$29,0)+IF(O154="sp",0.05*$EW$32*$EW$30*(1-$EW$33)-(0.05-INDEX(绊状态确认!V:V,MATCH($G154,绊状态确认!$B:$B,)))*$EW$29,0)+IF(O154="gd",-(0.05-INDEX(绊状态确认!X:X,MATCH($G154,绊状态确认!$B:$B,)))*$EW$32*$EW$30*(1-$EW$33)+$EW$26*(-HP($EW$62,$EW$65,$EW$64)+HP($EW$62,$EW$65,0.95*$EW$64)),0)</f>
        <v>1009.5947725176144</v>
      </c>
      <c r="BL154" s="1111">
        <f t="shared" si="202"/>
        <v>0</v>
      </c>
      <c r="BM154" s="1110">
        <f t="shared" si="203"/>
        <v>0</v>
      </c>
      <c r="BN154" s="1113">
        <f t="shared" si="204"/>
        <v>3</v>
      </c>
      <c r="BO154" s="1097">
        <f t="shared" si="205"/>
        <v>4507.7214871259994</v>
      </c>
      <c r="BP154" s="1100">
        <f t="shared" si="206"/>
        <v>221.34103209030098</v>
      </c>
      <c r="BQ154" s="1113" t="s">
        <v>144</v>
      </c>
      <c r="BR154" s="1124" t="s">
        <v>146</v>
      </c>
      <c r="BS154" s="1098">
        <f>IF($P154="","N/A",IF($P154=-1,INDEX('卡片raw data'!AX:AX,MATCH($D154,'卡片raw data'!$F:$F,)),0)+IF($L154="party卡",IF($P154=5,INDEX('卡片raw data'!BD:BD,MATCH($D154,'卡片raw data'!$F:$F,)),IF($P154&gt;=3,INDEX('卡片raw data'!BC:BC,MATCH($D154,'卡片raw data'!$F:$F,)),INDEX('卡片raw data'!BB:BB,MATCH($D154,'卡片raw data'!$F:$F,)))),IF(OR(AND($F154="UR",$P154=0),AND($F154="SR",$P154&gt;=0,$P154&lt;=2),AND($F154="R",$P154&gt;=0,$P154&lt;4)),INDEX('卡片raw data'!AZ:AZ,MATCH($D154,'卡片raw data'!$F:$F,)),0)+IF(OR(AND($F154="UR",$P154&gt;=1,$P154&lt;=4),AND($F154="SR",$P154&lt;=4,$P154&gt;=3),AND($F154="R",$P154=4)),INDEX('卡片raw data'!BA:BA,MATCH($D154,'卡片raw data'!$F:$F,)),0)+IF($P154=5,INDEX('卡片raw data'!BB:BB,MATCH($D154,'卡片raw data'!$F:$F,)),0)))</f>
        <v>7.0000000000000007E-2</v>
      </c>
      <c r="BT154" s="1101">
        <f t="shared" si="207"/>
        <v>0</v>
      </c>
      <c r="BU154" s="1097">
        <f t="shared" si="208"/>
        <v>0</v>
      </c>
      <c r="BV154" s="1097">
        <f t="shared" si="209"/>
        <v>0</v>
      </c>
      <c r="BW154" s="1112">
        <f t="shared" si="210"/>
        <v>2.4581249999999999</v>
      </c>
      <c r="BX154" s="1100">
        <f t="shared" si="211"/>
        <v>192.3373892964872</v>
      </c>
      <c r="BY154" s="1110">
        <f t="shared" si="212"/>
        <v>192.3373892964872</v>
      </c>
      <c r="BZ154" s="1107" t="s">
        <v>569</v>
      </c>
      <c r="CA154" s="1124"/>
      <c r="CB154" s="1098">
        <f>IF($P154="","N/A",IF($P154=-1,INDEX('卡片raw data'!BE:BE,MATCH($D154,'卡片raw data'!$F:$F,)),0)+IF($L154="party卡",IF($P154=5,INDEX('卡片raw data'!BK:BK,MATCH($D154,'卡片raw data'!$F:$F,)),IF($P154&gt;=3,INDEX('卡片raw data'!BJ:BJ,MATCH($D154,'卡片raw data'!$F:$F,)),INDEX('卡片raw data'!BI:BI,MATCH($D154,'卡片raw data'!$F:$F,)))),IF(OR(AND($F154="UR",$P154=0),AND($F154="SR",$P154&gt;=0,$P154&lt;=2),AND($F154="R",$P154&gt;=0,$P154&lt;4)),INDEX('卡片raw data'!BG:BG,MATCH($D154,'卡片raw data'!$F:$F,)),0)+IF(OR(AND($F154="UR",$P154&gt;=1,$P154&lt;=4),AND($F154="SR",$P154&lt;=4,$P154&gt;=3),AND($F154="R",$P154=4)),INDEX('卡片raw data'!BH:BH,MATCH($D154,'卡片raw data'!$F:$F,)),0)+IF($P154=5,INDEX('卡片raw data'!BI:BI,MATCH($D154,'卡片raw data'!$F:$F,)),0)))</f>
        <v>0</v>
      </c>
      <c r="CC154" s="1101">
        <f t="shared" si="213"/>
        <v>0</v>
      </c>
      <c r="CD154" s="1097">
        <f>IF(BZ154="ap",CB154*(1-$FI$26)*$FB$5/$FB$11*(+IF(CA154="全员",$FA$24,0)+IF(CA154="同作战",$FA$24,0)+IF(CA154="仲间",$FA$24*2/3,0)+IF(CA154="同属性",$FA$24*$FA$37/3,0)+IF(CA154="同年级",$FA$24*$FA$40/3,0)+IF(CA154="同学校",$FA$24*$FA$43/3,0)+IF(CA154="同小队",$FA$24*$FA$46/3,0)+IF(CA154="同type",$FA$24*INDEX($FB$49:$FB$52,MATCH(X154,$FA$49:$FA$52,))/3,0)+IF(CA154="自身",#REF!/3,0)),0)+IF(BZ154="te",CB154*(1-$FI$27)*($FA$20-1)*$FB$7/$FB$13*(+IF(CA154="全员",$FA$19*$FA$24/(1+($FA$20-1)*$FA$19),0)+IF(CA154="同作战",$FA$19*$FA$24/(1+($FA$20-1)*$FA$19),0)+IF(CA154="仲间",$FA$19*$FA$24*2/3/(1+($FA$20-1)*$FA$19),0)+IF(CA154="同属性",$FA$19*$FA$24*$FA$37/3/(1+($FA$20-1)*$FA$19),0)+IF(CA154="同年级",$FA$19*$FA$24*$FA$40/3/(1+($FA$20-1)*$FA$19),0)+IF(CA154="同学校",$FA$19*$FA$24*$FA$43/3/(1+($FA$20-1)*$FA$19),0)+IF(CA154="同小队",$FA$19*$FA$24*$FA$46/3/(1+($FA$20-1)*$FA$19),0)+IF(CA154="同type",$FA$19*$FA$24*INDEX($FB$49:$FB$52,MATCH(X154,$FA$49:$FA$52,))/3/(1+($FA$20-1)*$FA$19),0)+IF(CA154="自身",$FA$19*#REF!/3/(1+(BH154-1)*$BD154),0)),0)</f>
        <v>0</v>
      </c>
      <c r="CE154" s="1097">
        <f t="shared" si="214"/>
        <v>0</v>
      </c>
      <c r="CF154" s="1112">
        <f t="shared" si="215"/>
        <v>0</v>
      </c>
      <c r="CG154" s="1100">
        <f t="shared" si="216"/>
        <v>0</v>
      </c>
      <c r="CH154" s="1110">
        <f t="shared" si="217"/>
        <v>0</v>
      </c>
      <c r="CI154" s="1113" t="s">
        <v>164</v>
      </c>
      <c r="CJ154" s="1114">
        <v>0.2</v>
      </c>
      <c r="CK154" s="1115" t="s">
        <v>635</v>
      </c>
      <c r="CL154" s="1115"/>
      <c r="CM154" s="462">
        <f>300*$EX$60</f>
        <v>450</v>
      </c>
      <c r="CN154" s="1115"/>
      <c r="CO154" s="1092"/>
      <c r="CP154" s="1116">
        <f t="shared" si="218"/>
        <v>1.928571428571429</v>
      </c>
      <c r="CQ154" s="1116">
        <f t="shared" si="219"/>
        <v>3.0000000000000004</v>
      </c>
      <c r="CR154" s="1116">
        <f t="shared" si="220"/>
        <v>1.928571428571429</v>
      </c>
      <c r="CS154" s="1118">
        <f t="shared" si="221"/>
        <v>0</v>
      </c>
      <c r="CT154" s="1109">
        <f t="shared" si="222"/>
        <v>0</v>
      </c>
      <c r="CU154" s="1101">
        <f t="shared" si="223"/>
        <v>0</v>
      </c>
      <c r="CV154" s="1108">
        <f t="shared" si="224"/>
        <v>0</v>
      </c>
      <c r="CW154" s="1097">
        <f t="shared" si="225"/>
        <v>0</v>
      </c>
      <c r="CX154" s="1097">
        <f t="shared" si="226"/>
        <v>0</v>
      </c>
      <c r="CY154" s="1110">
        <f t="shared" si="227"/>
        <v>150.74172837805969</v>
      </c>
      <c r="CZ154" s="437"/>
      <c r="DA154" s="438"/>
      <c r="DB154" s="439" t="s">
        <v>569</v>
      </c>
      <c r="DC154" s="439"/>
      <c r="DD154" s="443"/>
      <c r="DE154" s="411"/>
      <c r="DF154" s="411"/>
      <c r="DG154" s="1116">
        <f t="shared" si="228"/>
        <v>0</v>
      </c>
      <c r="DH154" s="1116">
        <f t="shared" si="229"/>
        <v>0</v>
      </c>
      <c r="DI154" s="1116">
        <f t="shared" si="230"/>
        <v>0</v>
      </c>
      <c r="DJ154" s="442">
        <f t="shared" si="231"/>
        <v>0</v>
      </c>
      <c r="DK154" s="1109">
        <f t="shared" si="232"/>
        <v>0</v>
      </c>
      <c r="DL154" s="1101">
        <f t="shared" si="233"/>
        <v>0</v>
      </c>
      <c r="DM154" s="1097">
        <f t="shared" si="234"/>
        <v>0</v>
      </c>
      <c r="DN154" s="1097">
        <f t="shared" si="235"/>
        <v>0</v>
      </c>
      <c r="DO154" s="1097">
        <f t="shared" si="236"/>
        <v>0</v>
      </c>
      <c r="DP154" s="1110">
        <f t="shared" si="237"/>
        <v>0</v>
      </c>
      <c r="DQ154" s="1113" t="s">
        <v>636</v>
      </c>
      <c r="DR154" s="1120">
        <f t="shared" si="238"/>
        <v>0.33</v>
      </c>
      <c r="DS154" s="1124"/>
      <c r="DT154" s="1093" t="s">
        <v>133</v>
      </c>
      <c r="DU154" s="1093"/>
      <c r="DV154" s="1098">
        <f>IF($P154="","N/A",IF(P154=-1,INDEX('卡片raw data'!AN:AN,MATCH(D154,'卡片raw data'!$F:$F,)),0)+IF(AND(L154&lt;&gt;"party卡",P154&lt;=2,P154&gt;=0),INDEX('卡片raw data'!AP:AP,MATCH(D154,'卡片raw data'!$F:$F,)),0)+IF(OR(AND(L154="party卡",P154&lt;=1),AND(P154&lt;=4,L154&lt;&gt;"party卡",P154&gt;=3)),INDEX('卡片raw data'!AQ:AQ,MATCH(D154,'卡片raw data'!$F:$F,)),0)+IF(OR(P154=5,AND(L154="party卡",P154&gt;=2)),INDEX('卡片raw data'!AR:AR,MATCH(D154,'卡片raw data'!$F:$F,)),0))</f>
        <v>0.32</v>
      </c>
      <c r="DW154" s="1098">
        <f t="shared" si="239"/>
        <v>0.33</v>
      </c>
      <c r="DX154" s="1098">
        <f t="shared" si="240"/>
        <v>0.33</v>
      </c>
      <c r="DY154" s="1125">
        <f t="shared" si="241"/>
        <v>682.30246729216003</v>
      </c>
      <c r="DZ154" s="1125">
        <f t="shared" si="242"/>
        <v>590.19163420771838</v>
      </c>
      <c r="EA154" s="1098">
        <f t="shared" si="243"/>
        <v>0</v>
      </c>
      <c r="EB154" s="1121">
        <f t="shared" si="244"/>
        <v>0</v>
      </c>
      <c r="EC154" s="1101">
        <f t="shared" si="245"/>
        <v>0</v>
      </c>
      <c r="ED154" s="1097">
        <f t="shared" si="246"/>
        <v>0</v>
      </c>
      <c r="EE154" s="1110">
        <f t="shared" si="247"/>
        <v>48435.03108962375</v>
      </c>
      <c r="EF154" s="1092" t="s">
        <v>711</v>
      </c>
      <c r="EG154" s="1120">
        <f t="shared" si="248"/>
        <v>0.33</v>
      </c>
      <c r="EH154" s="1124"/>
      <c r="EI154" s="1093"/>
      <c r="EJ154" s="1093"/>
      <c r="EK154" s="1097">
        <f>IF($P154="","N/A",IF(P154=-1,INDEX('卡片raw data'!AS:AS,MATCH(D154,'卡片raw data'!$F:$F,)),0)+IF(AND(L154&lt;&gt;"party卡",P154&lt;=2,P154&gt;=0),INDEX('卡片raw data'!AU:AU,MATCH(D154,'卡片raw data'!$F:$F,)),0)+IF(OR(AND(L154="party卡",P154&lt;=1),AND(P154&lt;=4,L154&lt;&gt;"party卡",P154&gt;=3)),INDEX('卡片raw data'!AV:AV,MATCH(D154,'卡片raw data'!$F:$F,)),0)+IF(OR(P154=5,AND(L154="party卡",P154&gt;=2)),INDEX('卡片raw data'!AW:AW,MATCH(D154,'卡片raw data'!$F:$F,)),0))</f>
        <v>0</v>
      </c>
      <c r="EL154" s="1098">
        <f t="shared" si="249"/>
        <v>0.33</v>
      </c>
      <c r="EM154" s="1098">
        <f t="shared" si="250"/>
        <v>0.33</v>
      </c>
      <c r="EN154" s="1125">
        <f t="shared" si="251"/>
        <v>0</v>
      </c>
      <c r="EO154" s="1125">
        <f t="shared" si="252"/>
        <v>0</v>
      </c>
      <c r="EP154" s="1098">
        <f t="shared" si="253"/>
        <v>0</v>
      </c>
      <c r="EQ154" s="1121">
        <f t="shared" si="254"/>
        <v>0</v>
      </c>
      <c r="ER154" s="1101">
        <f t="shared" si="255"/>
        <v>0</v>
      </c>
      <c r="ES154" s="1097">
        <f t="shared" si="256"/>
        <v>0</v>
      </c>
      <c r="ET154" s="1122">
        <f t="shared" si="257"/>
        <v>0</v>
      </c>
    </row>
    <row r="155" spans="2:150" ht="16.5" customHeight="1">
      <c r="B155" s="1123" t="str">
        <f>INDEX('卡片raw data'!B:B,MATCH($D155,'卡片raw data'!$F:$F,))</f>
        <v>海战雫</v>
      </c>
      <c r="C155" s="449" t="s">
        <v>123</v>
      </c>
      <c r="D155" s="408">
        <v>152</v>
      </c>
      <c r="E155" s="1090">
        <v>402033001</v>
      </c>
      <c r="F155" s="1090" t="str">
        <f>INDEX('卡片raw data'!C:C,MATCH($D155,'卡片raw data'!$F:$F,))</f>
        <v>UR</v>
      </c>
      <c r="G155" s="1094" t="s">
        <v>44</v>
      </c>
      <c r="H155" s="411">
        <f>IFERROR(INDEX(绊状态确认!C:C,MATCH($G155,绊状态确认!$B:$B,)),"")</f>
        <v>203</v>
      </c>
      <c r="I155" s="450" t="str">
        <f>IFERROR(INDEX(绊状态确认!D:D,MATCH($G155,绊状态确认!$B:$B,)),"")</f>
        <v>虹</v>
      </c>
      <c r="J155" s="450" t="str">
        <f>IFERROR(INDEX(绊状态确认!E:E,MATCH($G155,绊状态确认!$B:$B,)),"")</f>
        <v>1年级</v>
      </c>
      <c r="K155" s="451" t="str">
        <f>IFERROR(INDEX(绊状态确认!F:F,MATCH($G155,绊状态确认!$B:$B,)),"")</f>
        <v>A·ZU·NA</v>
      </c>
      <c r="L155" s="1094" t="str">
        <f>INDEX('卡片raw data'!E:E,MATCH($D155,'卡片raw data'!$F:$F,))</f>
        <v>卡池卡</v>
      </c>
      <c r="M155" s="415">
        <v>43836</v>
      </c>
      <c r="N155" s="416">
        <v>7</v>
      </c>
      <c r="O155" s="1091" t="str">
        <f>INDEX('卡片raw data'!D:D,MATCH($D155,'卡片raw data'!$F:$F,))</f>
        <v>sk</v>
      </c>
      <c r="P155" s="417">
        <v>5</v>
      </c>
      <c r="Q155" s="1095">
        <f t="shared" si="173"/>
        <v>58065.414145916744</v>
      </c>
      <c r="R155" s="1096">
        <f t="shared" si="174"/>
        <v>0.67500000000000004</v>
      </c>
      <c r="S155" s="1097">
        <f t="shared" si="175"/>
        <v>20631.012515505878</v>
      </c>
      <c r="T155" s="1098">
        <f t="shared" si="176"/>
        <v>1.0309999999999999</v>
      </c>
      <c r="U155" s="1099">
        <f t="shared" si="177"/>
        <v>15.721683911142856</v>
      </c>
      <c r="V155" s="1100">
        <f t="shared" si="178"/>
        <v>61329.258021752161</v>
      </c>
      <c r="W155" s="1101">
        <f t="shared" si="179"/>
        <v>4507.7214871259994</v>
      </c>
      <c r="X155" s="1096">
        <f t="shared" si="180"/>
        <v>5.1999999999999998E-2</v>
      </c>
      <c r="Y155" s="1097">
        <f t="shared" si="181"/>
        <v>1263.8438758354214</v>
      </c>
      <c r="Z155" s="1102">
        <f t="shared" si="182"/>
        <v>15.721683911142856</v>
      </c>
      <c r="AA155" s="1103">
        <f t="shared" si="183"/>
        <v>5771.5653629614208</v>
      </c>
      <c r="AB155" s="1101">
        <f t="shared" si="184"/>
        <v>13166.303176980524</v>
      </c>
      <c r="AC155" s="1104">
        <f t="shared" si="185"/>
        <v>0.153</v>
      </c>
      <c r="AD155" s="1105">
        <f t="shared" si="186"/>
        <v>2.1769318181818181E-2</v>
      </c>
      <c r="AE155" s="1128">
        <f t="shared" si="187"/>
        <v>11.953757704745847</v>
      </c>
      <c r="AF155" s="1130">
        <f t="shared" si="188"/>
        <v>0</v>
      </c>
      <c r="AG155" s="420">
        <f t="shared" si="189"/>
        <v>0</v>
      </c>
      <c r="AH155" s="420">
        <f t="shared" si="190"/>
        <v>0</v>
      </c>
      <c r="AI155" s="1097">
        <f t="shared" si="191"/>
        <v>0</v>
      </c>
      <c r="AJ155" s="420">
        <f t="shared" si="192"/>
        <v>0</v>
      </c>
      <c r="AK155" s="518">
        <f t="shared" si="193"/>
        <v>0</v>
      </c>
      <c r="AL155" s="1106">
        <f>IF($P155="","N/A",(IF($P155=-1,INDEX('卡片raw data'!S:S,MATCH($D155,'卡片raw data'!$F:$F,)),0)+IF($P155=0,INDEX('卡片raw data'!V:V,MATCH($D155,'卡片raw data'!$F:$F,)),0)+IF($P155=1,INDEX('卡片raw data'!Y:Y,MATCH($D155,'卡片raw data'!$F:$F,)),0)+IF($P155=2,INDEX('卡片raw data'!AB:AB,MATCH($D155,'卡片raw data'!$F:$F,)),0)+IF($P155=3,INDEX('卡片raw data'!AE:AE,MATCH($D155,'卡片raw data'!$F:$F,)),0)+IF($P155=4,INDEX('卡片raw data'!AH:AH,MATCH($D155,'卡片raw data'!$F:$F,)),0)+IF($P155=5,INDEX('卡片raw data'!AK:AK,MATCH($D155,'卡片raw data'!$F:$F,)),0)+INDEX('卡片raw data'!S:S,MATCH($D155,'卡片raw data'!$F:$F,))*(IF($F155="UR",0.04,0.033))*(IF($F155="UR",INDEX(绊状态确认!$S:$S,MATCH($G155,绊状态确认!$B:$B,))/2-40)+IF($F155="SR",INDEX(绊状态确认!$R:$R,MATCH($G155,绊状态确认!$B:$B,))/4-15))+IF($F155="R",INDEX(绊状态确认!$Q:$Q,MATCH($G155,绊状态确认!$B:$B,))/6-40/6)))*(INDEX(绊状态确认!$H:$H,MATCH($G155,绊状态确认!$B:$B,))+INDEX(绊状态确认!J:J,MATCH($G155,绊状态确认!$B:$B,)))</f>
        <v>13152.193583999997</v>
      </c>
      <c r="AM155" s="1106">
        <f>IF($P155="","N/A",(IF($P155=-1,INDEX('卡片raw data'!T:T,MATCH($D155,'卡片raw data'!$F:$F,)),0)+IF($P155=0,INDEX('卡片raw data'!W:W,MATCH($D155,'卡片raw data'!$F:$F,)),0)+IF($P155=1,INDEX('卡片raw data'!Z:Z,MATCH($D155,'卡片raw data'!$F:$F,)),0)+IF($P155=2,INDEX('卡片raw data'!AC:AC,MATCH($D155,'卡片raw data'!$F:$F,)),0)+IF($P155=3,INDEX('卡片raw data'!AF:AF,MATCH($D155,'卡片raw data'!$F:$F,)),0)+IF($P155=4,INDEX('卡片raw data'!AI:AI,MATCH($D155,'卡片raw data'!$F:$F,)),0)+IF($P155=5,INDEX('卡片raw data'!AL:AL,MATCH($D155,'卡片raw data'!$F:$F,)),0)+INDEX('卡片raw data'!T:T,MATCH($D155,'卡片raw data'!$F:$F,))*(IF($F155="UR",0.04,0.033))*(IF($F155="UR",INDEX(绊状态确认!$S:$S,MATCH($G155,绊状态确认!$B:$B,))/2-40)+IF($F155="SR",INDEX(绊状态确认!$R:$R,MATCH($G155,绊状态确认!$B:$B,))/4-15))+IF($F155="R",INDEX(绊状态确认!$Q:$Q,MATCH($G155,绊状态确认!$B:$B,))/6-40/6)))*(INDEX(绊状态确认!$H:$H,MATCH($G155,绊状态确认!$B:$B,))+INDEX(绊状态确认!K:K,MATCH($G155,绊状态确认!$B:$B,)))</f>
        <v>8768.9169599999987</v>
      </c>
      <c r="AN155" s="1106">
        <f>IF($P155="","N/A",(IF($P155=-1,INDEX('卡片raw data'!U:U,MATCH($D155,'卡片raw data'!$F:$F,)),0)+IF($P155=0,INDEX('卡片raw data'!X:X,MATCH($D155,'卡片raw data'!$F:$F,)),0)+IF($P155=1,INDEX('卡片raw data'!AA:AA,MATCH($D155,'卡片raw data'!$F:$F,)),0)+IF($P155=2,INDEX('卡片raw data'!AD:AD,MATCH($D155,'卡片raw data'!$F:$F,)),0)+IF($P155=3,INDEX('卡片raw data'!AG:AG,MATCH($D155,'卡片raw data'!$F:$F,)),0)+IF($P155=4,INDEX('卡片raw data'!AJ:AJ,MATCH($D155,'卡片raw data'!$F:$F,)),0)+IF($P155=5,INDEX('卡片raw data'!AM:AM,MATCH($D155,'卡片raw data'!$F:$F,)),0)+INDEX('卡片raw data'!U:U,MATCH($D155,'卡片raw data'!$F:$F,))*(IF($F155="UR",0.04,0.033))*(IF($F155="UR",INDEX(绊状态确认!$S:$S,MATCH($G155,绊状态确认!$B:$B,))/2-40)+IF($F155="SR",INDEX(绊状态确认!$R:$R,MATCH($G155,绊状态确认!$B:$B,))/4-15))+IF($F155="R",INDEX(绊状态确认!$Q:$Q,MATCH($G155,绊状态确认!$B:$B,))/6-40/6)))*(INDEX(绊状态确认!$H:$H,MATCH($G155,绊状态确认!$B:$B,))+INDEX(绊状态确认!L:L,MATCH($G155,绊状态确认!$B:$B,)))</f>
        <v>9394.5733439999985</v>
      </c>
      <c r="AO155" s="1107">
        <f t="shared" si="194"/>
        <v>1</v>
      </c>
      <c r="AP155" s="1131">
        <f>1+(INDEX(绊状态确认!$T:$T,MATCH($G155,绊状态确认!$B:$B,))+0.2)*$AO155</f>
        <v>1.3</v>
      </c>
      <c r="AQ155" s="1108">
        <f t="shared" si="195"/>
        <v>37774.508157999997</v>
      </c>
      <c r="AR155" s="1097">
        <f>(AM155*(1+$EX$9)+$EX$35)*(1+(INDEX(绊状态确认!$T:$T,MATCH($G155,绊状态确认!$B:$B,))+0.2)*AO155)*IF(J155=$FF$17,1+$FE$17,1)*IF(I155=$FF$14,1+$FE$14,1)*(1+$FE$15)</f>
        <v>14673.571650400001</v>
      </c>
      <c r="AS155" s="1097">
        <f>(AN155*(1+$EX$10)+$EX$36)*(1+(INDEX(绊状态确认!$T:$T,MATCH($G155,绊状态确认!$B:$B,))+0.2)*AO155)*IF(J155=$FF$17,1+$FE$17,1)*IF(I155=$FF$14,1+$FE$14,1)*(1+$FE$15)</f>
        <v>18100.887149279999</v>
      </c>
      <c r="AT155" s="1093">
        <f>IF(AND(INDEX('卡片raw data'!AK:AK,MATCH($D155,'卡片raw data'!$F:$F,))&lt;INDEX('卡片raw data'!AM:AM,MATCH($D155,'卡片raw data'!$F:$F,)),INDEX('卡片raw data'!AL:AL,MATCH($D155,'卡片raw data'!$F:$F,))&lt;INDEX('卡片raw data'!AM:AM,MATCH($D155,'卡片raw data'!$F:$F,))),1,0)</f>
        <v>0</v>
      </c>
      <c r="AU155" s="1098">
        <f>MIN(AT155*0.15+AS155*0.00003+INDEX(绊状态确认!M:M,MATCH($G155,绊状态确认!$B:$B,)),1)</f>
        <v>0.57302661447839998</v>
      </c>
      <c r="AV155" s="1109">
        <f>(INDEX(绊状态确认!$N:$N,MATCH($G155,绊状态确认!$B:$B,))+1.5)*$EW$21</f>
        <v>2.6599999999999997</v>
      </c>
      <c r="AW155" s="1101">
        <f t="shared" si="196"/>
        <v>38279.243943460402</v>
      </c>
      <c r="AX155" s="1097">
        <f t="shared" si="197"/>
        <v>1263.8438758354209</v>
      </c>
      <c r="AY155" s="1110">
        <f t="shared" si="198"/>
        <v>39543.087819295826</v>
      </c>
      <c r="AZ155" s="429">
        <f t="shared" si="199"/>
        <v>28246.777488799995</v>
      </c>
      <c r="BA155" s="431">
        <f t="shared" si="200"/>
        <v>33896.132986559991</v>
      </c>
      <c r="BB155" s="1097">
        <f>(AM155*(1+$FB$9)+$FB$35)*(1+(INDEX(绊状态确认!$T:$T,MATCH($G155,绊状态确认!$B:$B,))+0.2)*AO155)*IF(J155=$FF$17,1+$FE$17,1)*IF(I155=$FF$14,1+$FE$14,1)*(1+$FE$15)</f>
        <v>14673.571650400001</v>
      </c>
      <c r="BC155" s="1097">
        <f>(AN155*(1+$FB$10)+$FB$36)*(1+(INDEX(绊状态确认!$T:$T,MATCH($G155,绊状态确认!$B:$B,))+0.2)*AO155)*IF(J155=$FF$17,1+$FE$17,1)*IF(I155=$FF$14,1+$FE$14,1)*(1+$FE$15)</f>
        <v>18100.887149279999</v>
      </c>
      <c r="BD155" s="1104">
        <f>MIN(AT155*0.15+BC155*0.00003+INDEX(绊状态确认!M:M,MATCH($G155,绊状态确认!$B:$B,)),1)</f>
        <v>0.57302661447839998</v>
      </c>
      <c r="BE155" s="432">
        <f>(INDEX(绊状态确认!$N:$N,MATCH($G155,绊状态确认!$B:$B,))+1.5)</f>
        <v>1.9</v>
      </c>
      <c r="BF155" s="1139">
        <f t="array" ref="BF155">SUMPRODUCT(IF(AZ155*AP155*$FI$16:$FI$23*$FA$22&gt;=$FI$24,$FI$24,AZ155*AP155*$FI$16:$FI$23*$FA$22),$FJ$16:$FJ$23)</f>
        <v>54353.602628085602</v>
      </c>
      <c r="BG155" s="1125">
        <f t="array" ref="BG155">SUMPRODUCT(IF(BE155*AZ155*AP155*$FI$16:$FI$23*$FA$22&gt;=$FI$24,$FI$24,BE155*AZ155*AP155*$FI$16:$FI$23*$FA$22),$FJ$16:$FJ$23)</f>
        <v>60000</v>
      </c>
      <c r="BH155" s="1110">
        <f t="shared" si="201"/>
        <v>19196.379532704483</v>
      </c>
      <c r="BI155" s="1111">
        <f>IF(O155="vo",$EW$26/$EW$24*0.05,0)+IF(O155="sk",-$EW$26/$EW$24*(0.05-INDEX(绊状态确认!W:W,MATCH($G155,绊状态确认!$B:$B,)))+0.05*$EW$28,0)+IF(O155="sp",0.05*$EW$32*$EW$30*(1-$EW$33)-(0.05-INDEX(绊状态确认!V:V,MATCH($G155,绊状态确认!$B:$B,)))*$EW$28,0)+IF(O155="gd",-(0.05-INDEX(绊状态确认!X:X,MATCH($G155,绊状态确认!$B:$B,)))*$EW$32*$EW$30*(1-$EW$33),0)</f>
        <v>-6253.6726349699375</v>
      </c>
      <c r="BJ155" s="1097">
        <f>IF(O155="vo",0.05*(1-$FI$26)*$FA$24,0)+IF(O155="sk",-(0.05-INDEX(绊状态确认!W:W,MATCH($G155,绊状态确认!$B:$B,)))*(1-$FI$26)*$FA$24+0.05*$FA$26,0)+IF(O155="sp",0.05*$FA$32*$FA$27*(1-$FA$33)/$FA$30+0.05*$FA$29/$FA$69*$FA$27*(1-$FA$33)-(0.05-INDEX(绊状态确认!V:V,MATCH($G155,绊状态确认!$B:$B,)))*$FA$26,0)+IF(O155="gd",-(0.05-INDEX(绊状态确认!X:X,MATCH($G155,绊状态确认!$B:$B,)))*$FA$32*$FA$27*(1-$FA$33)/$FA$30-(0.05-INDEX(绊状态确认!X:X,MATCH($G155,绊状态确认!$B:$B,)))*$FA$29/$FA$69*$FA$27*(1-$FA$33),0)</f>
        <v>20.459096812499922</v>
      </c>
      <c r="BK155" s="1110">
        <f>IF(O155="vo",$EW$26/$EW$24*0.05+$EW$26*(-HP($EW$62,$EW$65,$EW$64)+HP($EW$62,$EW$65,(1.05-INDEX(绊状态确认!U:U,MATCH($G155,绊状态确认!$B:$B,)))*$EW$64)),0)+IF(O155="sk",-$EW$26/$EW$24*(0.05-INDEX(绊状态确认!W:W,MATCH($G155,绊状态确认!$B:$B,)))+0.05*$EW$29,0)+IF(O155="sp",0.05*$EW$32*$EW$30*(1-$EW$33)-(0.05-INDEX(绊状态确认!V:V,MATCH($G155,绊状态确认!$B:$B,)))*$EW$29,0)+IF(O155="gd",-(0.05-INDEX(绊状态确认!X:X,MATCH($G155,绊状态确认!$B:$B,)))*$EW$32*$EW$30*(1-$EW$33)+$EW$26*(-HP($EW$62,$EW$65,$EW$64)+HP($EW$62,$EW$65,0.95*$EW$64)),0)</f>
        <v>-4253.6726349699375</v>
      </c>
      <c r="BL155" s="1111">
        <f t="shared" si="202"/>
        <v>0</v>
      </c>
      <c r="BM155" s="1110">
        <f t="shared" si="203"/>
        <v>0</v>
      </c>
      <c r="BN155" s="1113">
        <f t="shared" si="204"/>
        <v>3</v>
      </c>
      <c r="BO155" s="1097">
        <f t="shared" si="205"/>
        <v>4507.7214871259994</v>
      </c>
      <c r="BP155" s="1100">
        <f t="shared" si="206"/>
        <v>221.34103209030098</v>
      </c>
      <c r="BQ155" s="1113" t="s">
        <v>143</v>
      </c>
      <c r="BR155" s="1124" t="s">
        <v>146</v>
      </c>
      <c r="BS155" s="1098">
        <f>IF($P155="","N/A",IF($P155=-1,INDEX('卡片raw data'!AX:AX,MATCH($D155,'卡片raw data'!$F:$F,)),0)+IF($L155="party卡",IF($P155=5,INDEX('卡片raw data'!BD:BD,MATCH($D155,'卡片raw data'!$F:$F,)),IF($P155&gt;=3,INDEX('卡片raw data'!BC:BC,MATCH($D155,'卡片raw data'!$F:$F,)),INDEX('卡片raw data'!BB:BB,MATCH($D155,'卡片raw data'!$F:$F,)))),IF(OR(AND($F155="UR",$P155=0),AND($F155="SR",$P155&gt;=0,$P155&lt;=2),AND($F155="R",$P155&gt;=0,$P155&lt;4)),INDEX('卡片raw data'!AZ:AZ,MATCH($D155,'卡片raw data'!$F:$F,)),0)+IF(OR(AND($F155="UR",$P155&gt;=1,$P155&lt;=4),AND($F155="SR",$P155&lt;=4,$P155&gt;=3),AND($F155="R",$P155=4)),INDEX('卡片raw data'!BA:BA,MATCH($D155,'卡片raw data'!$F:$F,)),0)+IF($P155=5,INDEX('卡片raw data'!BB:BB,MATCH($D155,'卡片raw data'!$F:$F,)),0)))</f>
        <v>7.0000000000000007E-2</v>
      </c>
      <c r="BT155" s="1101">
        <f t="shared" si="207"/>
        <v>5259.008401647</v>
      </c>
      <c r="BU155" s="1097">
        <f t="shared" si="208"/>
        <v>258.2312041053512</v>
      </c>
      <c r="BV155" s="1097">
        <f t="shared" si="209"/>
        <v>0</v>
      </c>
      <c r="BW155" s="1112">
        <f t="shared" si="210"/>
        <v>0</v>
      </c>
      <c r="BX155" s="1100">
        <f t="shared" si="211"/>
        <v>5259.008401647</v>
      </c>
      <c r="BY155" s="1110">
        <f t="shared" si="212"/>
        <v>0</v>
      </c>
      <c r="BZ155" s="1107" t="s">
        <v>569</v>
      </c>
      <c r="CA155" s="1124"/>
      <c r="CB155" s="1098">
        <f>IF($P155="","N/A",IF($P155=-1,INDEX('卡片raw data'!BE:BE,MATCH($D155,'卡片raw data'!$F:$F,)),0)+IF($L155="party卡",IF($P155=5,INDEX('卡片raw data'!BK:BK,MATCH($D155,'卡片raw data'!$F:$F,)),IF($P155&gt;=3,INDEX('卡片raw data'!BJ:BJ,MATCH($D155,'卡片raw data'!$F:$F,)),INDEX('卡片raw data'!BI:BI,MATCH($D155,'卡片raw data'!$F:$F,)))),IF(OR(AND($F155="UR",$P155=0),AND($F155="SR",$P155&gt;=0,$P155&lt;=2),AND($F155="R",$P155&gt;=0,$P155&lt;4)),INDEX('卡片raw data'!BG:BG,MATCH($D155,'卡片raw data'!$F:$F,)),0)+IF(OR(AND($F155="UR",$P155&gt;=1,$P155&lt;=4),AND($F155="SR",$P155&lt;=4,$P155&gt;=3),AND($F155="R",$P155=4)),INDEX('卡片raw data'!BH:BH,MATCH($D155,'卡片raw data'!$F:$F,)),0)+IF($P155=5,INDEX('卡片raw data'!BI:BI,MATCH($D155,'卡片raw data'!$F:$F,)),0)))</f>
        <v>0</v>
      </c>
      <c r="CC155" s="1101">
        <f t="shared" si="213"/>
        <v>0</v>
      </c>
      <c r="CD155" s="1097">
        <f>IF(BZ155="ap",CB155*(1-$FI$26)*$FB$5/$FB$11*(+IF(CA155="全员",$FA$24,0)+IF(CA155="同作战",$FA$24,0)+IF(CA155="仲间",$FA$24*2/3,0)+IF(CA155="同属性",$FA$24*$FA$37/3,0)+IF(CA155="同年级",$FA$24*$FA$40/3,0)+IF(CA155="同学校",$FA$24*$FA$43/3,0)+IF(CA155="同小队",$FA$24*$FA$46/3,0)+IF(CA155="同type",$FA$24*INDEX($FB$49:$FB$52,MATCH(X155,$FA$49:$FA$52,))/3,0)+IF(CA155="自身",#REF!/3,0)),0)+IF(BZ155="te",CB155*(1-$FI$27)*($FA$20-1)*$FB$7/$FB$13*(+IF(CA155="全员",$FA$19*$FA$24/(1+($FA$20-1)*$FA$19),0)+IF(CA155="同作战",$FA$19*$FA$24/(1+($FA$20-1)*$FA$19),0)+IF(CA155="仲间",$FA$19*$FA$24*2/3/(1+($FA$20-1)*$FA$19),0)+IF(CA155="同属性",$FA$19*$FA$24*$FA$37/3/(1+($FA$20-1)*$FA$19),0)+IF(CA155="同年级",$FA$19*$FA$24*$FA$40/3/(1+($FA$20-1)*$FA$19),0)+IF(CA155="同学校",$FA$19*$FA$24*$FA$43/3/(1+($FA$20-1)*$FA$19),0)+IF(CA155="同小队",$FA$19*$FA$24*$FA$46/3/(1+($FA$20-1)*$FA$19),0)+IF(CA155="同type",$FA$19*$FA$24*INDEX($FB$49:$FB$52,MATCH(X155,$FA$49:$FA$52,))/3/(1+($FA$20-1)*$FA$19),0)+IF(CA155="自身",$FA$19*#REF!/3/(1+(BH155-1)*$BD155),0)),0)</f>
        <v>0</v>
      </c>
      <c r="CE155" s="1097">
        <f t="shared" si="214"/>
        <v>0</v>
      </c>
      <c r="CF155" s="1112">
        <f t="shared" si="215"/>
        <v>0</v>
      </c>
      <c r="CG155" s="1100">
        <f t="shared" si="216"/>
        <v>0</v>
      </c>
      <c r="CH155" s="1110">
        <f t="shared" si="217"/>
        <v>0</v>
      </c>
      <c r="CI155" s="1113" t="s">
        <v>165</v>
      </c>
      <c r="CJ155" s="1114">
        <v>0.5</v>
      </c>
      <c r="CK155" s="1115" t="s">
        <v>167</v>
      </c>
      <c r="CL155" s="1115" t="s">
        <v>168</v>
      </c>
      <c r="CM155" s="1119">
        <v>0.05</v>
      </c>
      <c r="CN155" s="1115" t="s">
        <v>163</v>
      </c>
      <c r="CO155" s="1092"/>
      <c r="CP155" s="1118">
        <f t="shared" si="218"/>
        <v>2.5000000000000001E-2</v>
      </c>
      <c r="CQ155" s="1118">
        <f t="shared" si="219"/>
        <v>2.5000000000000001E-2</v>
      </c>
      <c r="CR155" s="1118">
        <f t="shared" si="220"/>
        <v>0</v>
      </c>
      <c r="CS155" s="1118">
        <f t="shared" si="221"/>
        <v>0</v>
      </c>
      <c r="CT155" s="1109">
        <f t="shared" si="222"/>
        <v>0</v>
      </c>
      <c r="CU155" s="1101">
        <f t="shared" si="223"/>
        <v>3399.5732882075254</v>
      </c>
      <c r="CV155" s="1108">
        <f t="shared" si="224"/>
        <v>164.13930703125001</v>
      </c>
      <c r="CW155" s="1097">
        <f t="shared" si="225"/>
        <v>0</v>
      </c>
      <c r="CX155" s="1097">
        <f t="shared" si="226"/>
        <v>3399.5732882075254</v>
      </c>
      <c r="CY155" s="1110">
        <f t="shared" si="227"/>
        <v>0</v>
      </c>
      <c r="CZ155" s="437"/>
      <c r="DA155" s="438"/>
      <c r="DB155" s="439" t="s">
        <v>569</v>
      </c>
      <c r="DC155" s="439"/>
      <c r="DD155" s="443"/>
      <c r="DE155" s="411"/>
      <c r="DF155" s="411"/>
      <c r="DG155" s="1116">
        <f t="shared" si="228"/>
        <v>0</v>
      </c>
      <c r="DH155" s="1116">
        <f t="shared" si="229"/>
        <v>0</v>
      </c>
      <c r="DI155" s="1116">
        <f t="shared" si="230"/>
        <v>0</v>
      </c>
      <c r="DJ155" s="442">
        <f t="shared" si="231"/>
        <v>0</v>
      </c>
      <c r="DK155" s="1109">
        <f t="shared" si="232"/>
        <v>0</v>
      </c>
      <c r="DL155" s="1101">
        <f t="shared" si="233"/>
        <v>0</v>
      </c>
      <c r="DM155" s="1097">
        <f t="shared" si="234"/>
        <v>0</v>
      </c>
      <c r="DN155" s="1097">
        <f t="shared" si="235"/>
        <v>0</v>
      </c>
      <c r="DO155" s="1097">
        <f t="shared" si="236"/>
        <v>0</v>
      </c>
      <c r="DP155" s="1110">
        <f t="shared" si="237"/>
        <v>0</v>
      </c>
      <c r="DQ155" s="1113" t="s">
        <v>155</v>
      </c>
      <c r="DR155" s="1120">
        <f t="shared" si="238"/>
        <v>0.33</v>
      </c>
      <c r="DS155" s="1124">
        <v>10</v>
      </c>
      <c r="DT155" s="1093" t="s">
        <v>168</v>
      </c>
      <c r="DU155" s="1093" t="s">
        <v>544</v>
      </c>
      <c r="DV155" s="1098">
        <f>IF($P155="","N/A",IF(P155=-1,INDEX('卡片raw data'!AN:AN,MATCH(D155,'卡片raw data'!$F:$F,)),0)+IF(AND(L155&lt;&gt;"party卡",P155&lt;=2,P155&gt;=0),INDEX('卡片raw data'!AP:AP,MATCH(D155,'卡片raw data'!$F:$F,)),0)+IF(OR(AND(L155="party卡",P155&lt;=1),AND(P155&lt;=4,L155&lt;&gt;"party卡",P155&gt;=3)),INDEX('卡片raw data'!AQ:AQ,MATCH(D155,'卡片raw data'!$F:$F,)),0)+IF(OR(P155=5,AND(L155="party卡",P155&gt;=2)),INDEX('卡片raw data'!AR:AR,MATCH(D155,'卡片raw data'!$F:$F,)),0))</f>
        <v>0.1</v>
      </c>
      <c r="DW155" s="1098">
        <f t="shared" si="239"/>
        <v>0.33</v>
      </c>
      <c r="DX155" s="1098">
        <f t="shared" si="240"/>
        <v>0.33</v>
      </c>
      <c r="DY155" s="1098">
        <f t="shared" si="241"/>
        <v>0.11000000000000001</v>
      </c>
      <c r="DZ155" s="1098">
        <f t="shared" si="242"/>
        <v>9.5150000000000012E-2</v>
      </c>
      <c r="EA155" s="1098">
        <f t="shared" si="243"/>
        <v>0</v>
      </c>
      <c r="EB155" s="1121">
        <f t="shared" si="244"/>
        <v>0</v>
      </c>
      <c r="EC155" s="1101">
        <f t="shared" si="245"/>
        <v>12873.539660445753</v>
      </c>
      <c r="ED155" s="1097">
        <f t="shared" si="246"/>
        <v>770.46234276198879</v>
      </c>
      <c r="EE155" s="1110">
        <f t="shared" si="247"/>
        <v>12873.539660445753</v>
      </c>
      <c r="EF155" s="1092" t="s">
        <v>711</v>
      </c>
      <c r="EG155" s="1120">
        <f t="shared" si="248"/>
        <v>0.33</v>
      </c>
      <c r="EH155" s="1124"/>
      <c r="EI155" s="1093"/>
      <c r="EJ155" s="1093"/>
      <c r="EK155" s="1097">
        <f>IF($P155="","N/A",IF(P155=-1,INDEX('卡片raw data'!AS:AS,MATCH(D155,'卡片raw data'!$F:$F,)),0)+IF(AND(L155&lt;&gt;"party卡",P155&lt;=2,P155&gt;=0),INDEX('卡片raw data'!AU:AU,MATCH(D155,'卡片raw data'!$F:$F,)),0)+IF(OR(AND(L155="party卡",P155&lt;=1),AND(P155&lt;=4,L155&lt;&gt;"party卡",P155&gt;=3)),INDEX('卡片raw data'!AV:AV,MATCH(D155,'卡片raw data'!$F:$F,)),0)+IF(OR(P155=5,AND(L155="party卡",P155&gt;=2)),INDEX('卡片raw data'!AW:AW,MATCH(D155,'卡片raw data'!$F:$F,)),0))</f>
        <v>0</v>
      </c>
      <c r="EL155" s="1098">
        <f t="shared" si="249"/>
        <v>0.33</v>
      </c>
      <c r="EM155" s="1098">
        <f t="shared" si="250"/>
        <v>0.33</v>
      </c>
      <c r="EN155" s="1125">
        <f t="shared" si="251"/>
        <v>0</v>
      </c>
      <c r="EO155" s="1125">
        <f t="shared" si="252"/>
        <v>0</v>
      </c>
      <c r="EP155" s="1098">
        <f t="shared" si="253"/>
        <v>0</v>
      </c>
      <c r="EQ155" s="1121">
        <f t="shared" si="254"/>
        <v>0</v>
      </c>
      <c r="ER155" s="1101">
        <f t="shared" si="255"/>
        <v>0</v>
      </c>
      <c r="ES155" s="1097">
        <f t="shared" si="256"/>
        <v>0</v>
      </c>
      <c r="ET155" s="1122">
        <f t="shared" si="257"/>
        <v>0</v>
      </c>
    </row>
    <row r="156" spans="2:150" ht="16.5" customHeight="1">
      <c r="B156" s="1123" t="str">
        <f>INDEX('卡片raw data'!B:B,MATCH($D156,'卡片raw data'!$F:$F,))</f>
        <v>一单姬</v>
      </c>
      <c r="C156" s="449" t="s">
        <v>124</v>
      </c>
      <c r="D156" s="408">
        <v>153</v>
      </c>
      <c r="E156" s="1090">
        <v>400062001</v>
      </c>
      <c r="F156" s="1090" t="str">
        <f>INDEX('卡片raw data'!C:C,MATCH($D156,'卡片raw data'!$F:$F,))</f>
        <v>SR</v>
      </c>
      <c r="G156" s="1094" t="s">
        <v>336</v>
      </c>
      <c r="H156" s="411">
        <f>IFERROR(INDEX(绊状态确认!C:C,MATCH($G156,绊状态确认!$B:$B,)),"")</f>
        <v>6</v>
      </c>
      <c r="I156" s="1124" t="str">
        <f>IFERROR(INDEX(绊状态确认!D:D,MATCH($G156,绊状态确认!$B:$B,)),"")</f>
        <v>缪</v>
      </c>
      <c r="J156" s="1124" t="str">
        <f>IFERROR(INDEX(绊状态确认!E:E,MATCH($G156,绊状态确认!$B:$B,)),"")</f>
        <v>1年级</v>
      </c>
      <c r="K156" s="451" t="str">
        <f>IFERROR(INDEX(绊状态确认!F:F,MATCH($G156,绊状态确认!$B:$B,)),"")</f>
        <v>BiBi</v>
      </c>
      <c r="L156" s="1094" t="str">
        <f>INDEX('卡片raw data'!E:E,MATCH($D156,'卡片raw data'!$F:$F,))</f>
        <v>活动卡</v>
      </c>
      <c r="M156" s="415">
        <v>43836</v>
      </c>
      <c r="N156" s="416">
        <v>7</v>
      </c>
      <c r="O156" s="1091" t="str">
        <f>INDEX('卡片raw data'!D:D,MATCH($D156,'卡片raw data'!$F:$F,))</f>
        <v>gd</v>
      </c>
      <c r="P156" s="417">
        <v>5</v>
      </c>
      <c r="Q156" s="1095">
        <f t="shared" si="173"/>
        <v>20749.512757578977</v>
      </c>
      <c r="R156" s="1096">
        <f t="shared" si="174"/>
        <v>0.24099999999999999</v>
      </c>
      <c r="S156" s="1097">
        <f t="shared" si="175"/>
        <v>11445.612684022144</v>
      </c>
      <c r="T156" s="1098">
        <f t="shared" si="176"/>
        <v>0.57199999999999995</v>
      </c>
      <c r="U156" s="1099">
        <f t="shared" si="177"/>
        <v>304.03079429499491</v>
      </c>
      <c r="V156" s="1100">
        <f t="shared" si="178"/>
        <v>53155.593377881814</v>
      </c>
      <c r="W156" s="1101">
        <f t="shared" si="179"/>
        <v>4734.1085336638744</v>
      </c>
      <c r="X156" s="1096">
        <f t="shared" si="180"/>
        <v>5.5E-2</v>
      </c>
      <c r="Y156" s="1097">
        <f t="shared" si="181"/>
        <v>847.26773812338706</v>
      </c>
      <c r="Z156" s="1102">
        <f t="shared" si="182"/>
        <v>10.650030316602857</v>
      </c>
      <c r="AA156" s="1103">
        <f t="shared" si="183"/>
        <v>5581.3762717872614</v>
      </c>
      <c r="AB156" s="1101">
        <f t="shared" si="184"/>
        <v>5413.2696732775003</v>
      </c>
      <c r="AC156" s="1104">
        <f t="shared" si="185"/>
        <v>6.2E-2</v>
      </c>
      <c r="AD156" s="1105">
        <f t="shared" si="186"/>
        <v>-3.8207812500000026E-3</v>
      </c>
      <c r="AE156" s="1128">
        <f t="shared" si="187"/>
        <v>-18.525362318840578</v>
      </c>
      <c r="AF156" s="1130">
        <f t="shared" si="188"/>
        <v>4254.3321104722882</v>
      </c>
      <c r="AG156" s="420">
        <f t="shared" si="189"/>
        <v>106492.44670450401</v>
      </c>
      <c r="AH156" s="420">
        <f t="shared" si="190"/>
        <v>25.031531140309099</v>
      </c>
      <c r="AI156" s="1097">
        <f t="shared" si="191"/>
        <v>78452.545636213006</v>
      </c>
      <c r="AJ156" s="420">
        <f t="shared" si="192"/>
        <v>53155.593377881814</v>
      </c>
      <c r="AK156" s="518">
        <f t="shared" si="193"/>
        <v>25296.952258331192</v>
      </c>
      <c r="AL156" s="1106">
        <f>IF($P156="","N/A",(IF($P156=-1,INDEX('卡片raw data'!S:S,MATCH($D156,'卡片raw data'!$F:$F,)),0)+IF($P156=0,INDEX('卡片raw data'!V:V,MATCH($D156,'卡片raw data'!$F:$F,)),0)+IF($P156=1,INDEX('卡片raw data'!Y:Y,MATCH($D156,'卡片raw data'!$F:$F,)),0)+IF($P156=2,INDEX('卡片raw data'!AB:AB,MATCH($D156,'卡片raw data'!$F:$F,)),0)+IF($P156=3,INDEX('卡片raw data'!AE:AE,MATCH($D156,'卡片raw data'!$F:$F,)),0)+IF($P156=4,INDEX('卡片raw data'!AH:AH,MATCH($D156,'卡片raw data'!$F:$F,)),0)+IF($P156=5,INDEX('卡片raw data'!AK:AK,MATCH($D156,'卡片raw data'!$F:$F,)),0)+INDEX('卡片raw data'!S:S,MATCH($D156,'卡片raw data'!$F:$F,))*(IF($F156="UR",0.04,0.033))*(IF($F156="UR",INDEX(绊状态确认!$S:$S,MATCH($G156,绊状态确认!$B:$B,))/2-40)+IF($F156="SR",INDEX(绊状态确认!$R:$R,MATCH($G156,绊状态确认!$B:$B,))/4-15))+IF($F156="R",INDEX(绊状态确认!$Q:$Q,MATCH($G156,绊状态确认!$B:$B,))/6-40/6)))*(INDEX(绊状态确认!$H:$H,MATCH($G156,绊状态确认!$B:$B,))+INDEX(绊状态确认!J:J,MATCH($G156,绊状态确认!$B:$B,)))</f>
        <v>5301.1196303999996</v>
      </c>
      <c r="AM156" s="1106">
        <f>IF($P156="","N/A",(IF($P156=-1,INDEX('卡片raw data'!T:T,MATCH($D156,'卡片raw data'!$F:$F,)),0)+IF($P156=0,INDEX('卡片raw data'!W:W,MATCH($D156,'卡片raw data'!$F:$F,)),0)+IF($P156=1,INDEX('卡片raw data'!Z:Z,MATCH($D156,'卡片raw data'!$F:$F,)),0)+IF($P156=2,INDEX('卡片raw data'!AC:AC,MATCH($D156,'卡片raw data'!$F:$F,)),0)+IF($P156=3,INDEX('卡片raw data'!AF:AF,MATCH($D156,'卡片raw data'!$F:$F,)),0)+IF($P156=4,INDEX('卡片raw data'!AI:AI,MATCH($D156,'卡片raw data'!$F:$F,)),0)+IF($P156=5,INDEX('卡片raw data'!AL:AL,MATCH($D156,'卡片raw data'!$F:$F,)),0)+INDEX('卡片raw data'!T:T,MATCH($D156,'卡片raw data'!$F:$F,))*(IF($F156="UR",0.04,0.033))*(IF($F156="UR",INDEX(绊状态确认!$S:$S,MATCH($G156,绊状态确认!$B:$B,))/2-40)+IF($F156="SR",INDEX(绊状态确认!$R:$R,MATCH($G156,绊状态确认!$B:$B,))/4-15))+IF($F156="R",INDEX(绊状态确认!$Q:$Q,MATCH($G156,绊状态确认!$B:$B,))/6-40/6)))*(INDEX(绊状态确认!$H:$H,MATCH($G156,绊状态确认!$B:$B,))+INDEX(绊状态确认!K:K,MATCH($G156,绊状态确认!$B:$B,)))</f>
        <v>5301.1196303999996</v>
      </c>
      <c r="AN156" s="1106">
        <f>IF($P156="","N/A",(IF($P156=-1,INDEX('卡片raw data'!U:U,MATCH($D156,'卡片raw data'!$F:$F,)),0)+IF($P156=0,INDEX('卡片raw data'!X:X,MATCH($D156,'卡片raw data'!$F:$F,)),0)+IF($P156=1,INDEX('卡片raw data'!AA:AA,MATCH($D156,'卡片raw data'!$F:$F,)),0)+IF($P156=2,INDEX('卡片raw data'!AD:AD,MATCH($D156,'卡片raw data'!$F:$F,)),0)+IF($P156=3,INDEX('卡片raw data'!AG:AG,MATCH($D156,'卡片raw data'!$F:$F,)),0)+IF($P156=4,INDEX('卡片raw data'!AJ:AJ,MATCH($D156,'卡片raw data'!$F:$F,)),0)+IF($P156=5,INDEX('卡片raw data'!AM:AM,MATCH($D156,'卡片raw data'!$F:$F,)),0)+INDEX('卡片raw data'!U:U,MATCH($D156,'卡片raw data'!$F:$F,))*(IF($F156="UR",0.04,0.033))*(IF($F156="UR",INDEX(绊状态确认!$S:$S,MATCH($G156,绊状态确认!$B:$B,))/2-40)+IF($F156="SR",INDEX(绊状态确认!$R:$R,MATCH($G156,绊状态确认!$B:$B,))/4-15))+IF($F156="R",INDEX(绊状态确认!$Q:$Q,MATCH($G156,绊状态确认!$B:$B,))/6-40/6)))*(INDEX(绊状态确认!$H:$H,MATCH($G156,绊状态确认!$B:$B,))+INDEX(绊状态确认!L:L,MATCH($G156,绊状态确认!$B:$B,)))</f>
        <v>5462.1543287999993</v>
      </c>
      <c r="AO156" s="1107">
        <f t="shared" si="194"/>
        <v>1</v>
      </c>
      <c r="AP156" s="1131">
        <f>1+(INDEX(绊状态确认!$T:$T,MATCH($G156,绊状态确认!$B:$B,))+0.2)*$AO156</f>
        <v>1.3</v>
      </c>
      <c r="AQ156" s="1108">
        <f t="shared" si="195"/>
        <v>17165.4390298</v>
      </c>
      <c r="AR156" s="1097">
        <f>(AM156*(1+$EX$9)+$EX$35)*(1+(INDEX(绊状态确认!$T:$T,MATCH($G156,绊状态确认!$B:$B,))+0.2)*AO156)*IF(J156=$FF$17,1+$FE$17,1)*IF(I156=$FF$14,1+$FE$14,1)</f>
        <v>9940.0282954960003</v>
      </c>
      <c r="AS156" s="1097">
        <f>(AN156*(1+$EX$10)+$EX$36)*(1+(INDEX(绊状态确认!$T:$T,MATCH($G156,绊状态确认!$B:$B,))+0.2)*AO156)*IF(J156=$FF$17,1+$FE$17,1)*IF(I156=$FF$14,1+$FE$14,1)</f>
        <v>12221.920721556</v>
      </c>
      <c r="AT156" s="1093">
        <f>IF(AND(INDEX('卡片raw data'!AK:AK,MATCH($D156,'卡片raw data'!$F:$F,))&lt;INDEX('卡片raw data'!AM:AM,MATCH($D156,'卡片raw data'!$F:$F,)),INDEX('卡片raw data'!AL:AL,MATCH($D156,'卡片raw data'!$F:$F,))&lt;INDEX('卡片raw data'!AM:AM,MATCH($D156,'卡片raw data'!$F:$F,))),1,0)</f>
        <v>1</v>
      </c>
      <c r="AU156" s="1098">
        <f>MIN(AT156*0.15+AS156*0.00003+INDEX(绊状态确认!M:M,MATCH($G156,绊状态确认!$B:$B,)),1)</f>
        <v>0.54665762164668008</v>
      </c>
      <c r="AV156" s="1109">
        <f>(INDEX(绊状态确认!$N:$N,MATCH($G156,绊状态确认!$B:$B,))+1.5)*$EW$21</f>
        <v>2.6599999999999997</v>
      </c>
      <c r="AW156" s="1101">
        <f t="shared" si="196"/>
        <v>17004.576417634809</v>
      </c>
      <c r="AX156" s="1097">
        <f t="shared" si="197"/>
        <v>847.26773812338718</v>
      </c>
      <c r="AY156" s="1110">
        <f t="shared" si="198"/>
        <v>17851.844155758197</v>
      </c>
      <c r="AZ156" s="429">
        <f t="shared" si="199"/>
        <v>12937.18327928</v>
      </c>
      <c r="BA156" s="431">
        <f t="shared" si="200"/>
        <v>15524.619935135999</v>
      </c>
      <c r="BB156" s="1097">
        <f>(AM156*(1+$FB$9)+$FB$35)*(1+(INDEX(绊状态确认!$T:$T,MATCH($G156,绊状态确认!$B:$B,))+0.2)*AO156)*IF(J156=$FF$17,1+$FE$17,1)*IF(I156=$FF$14,1+$FE$14,1)*(1+$FE$15)</f>
        <v>9940.0282954960003</v>
      </c>
      <c r="BC156" s="1097">
        <f>(AN156*(1+$FB$10)+$FB$36)*(1+(INDEX(绊状态确认!$T:$T,MATCH($G156,绊状态确认!$B:$B,))+0.2)*AO156)*IF(J156=$FF$17,1+$FE$17,1)*IF(I156=$FF$14,1+$FE$14,1)*(1+$FE$15)</f>
        <v>12221.920721556</v>
      </c>
      <c r="BD156" s="1104">
        <f>MIN(AT156*0.15+BC156*0.00003+INDEX(绊状态确认!M:M,MATCH($G156,绊状态确认!$B:$B,)),1)</f>
        <v>0.54665762164668008</v>
      </c>
      <c r="BE156" s="432">
        <f>(INDEX(绊状态确认!$N:$N,MATCH($G156,绊状态确认!$B:$B,))+1.5)</f>
        <v>1.9</v>
      </c>
      <c r="BF156" s="1139">
        <f t="array" ref="BF156">SUMPRODUCT(IF(AZ156*AP156*$FI$16:$FI$23*$FA$22&gt;=$FI$24,$FI$24,AZ156*AP156*$FI$16:$FI$23*$FA$22),$FJ$16:$FJ$23)</f>
        <v>25732.057542487921</v>
      </c>
      <c r="BG156" s="1125">
        <f t="array" ref="BG156">SUMPRODUCT(IF(BE156*AZ156*AP156*$FI$16:$FI$23*$FA$22&gt;=$FI$24,$FI$24,BE156*AZ156*AP156*$FI$16:$FI$23*$FA$22),$FJ$16:$FJ$23)</f>
        <v>48819.489217760951</v>
      </c>
      <c r="BH156" s="1110">
        <f t="shared" si="201"/>
        <v>12784.326010674302</v>
      </c>
      <c r="BI156" s="1111">
        <f>IF(O156="vo",$EW$26/$EW$24*0.05,0)+IF(O156="sk",-$EW$26/$EW$24*(0.05-INDEX(绊状态确认!W:W,MATCH($G156,绊状态确认!$B:$B,)))+0.05*$EW$28,0)+IF(O156="sp",0.05*$EW$32*$EW$30*(1-$EW$33)-(0.05-INDEX(绊状态确认!V:V,MATCH($G156,绊状态确认!$B:$B,)))*$EW$28,0)+IF(O156="gd",-(0.05-INDEX(绊状态确认!X:X,MATCH($G156,绊状态确认!$B:$B,)))*$EW$32*$EW$30*(1-$EW$33),0)</f>
        <v>-585.00000000000011</v>
      </c>
      <c r="BJ156" s="1097">
        <f>IF(O156="vo",0.05*(1-$FI$26)*$FA$24,0)+IF(O156="sk",-(0.05-INDEX(绊状态确认!W:W,MATCH($G156,绊状态确认!$B:$B,)))*(1-$FI$26)*$FA$24+0.05*$FA$26,0)+IF(O156="sp",0.05*$FA$32*$FA$27*(1-$FA$33)/$FA$30+0.05*$FA$29/$FA$69*$FA$27*(1-$FA$33)-(0.05-INDEX(绊状态确认!V:V,MATCH($G156,绊状态确认!$B:$B,)))*$FA$26,0)+IF(O156="gd",-(0.05-INDEX(绊状态确认!X:X,MATCH($G156,绊状态确认!$B:$B,)))*$FA$32*$FA$27*(1-$FA$33)/$FA$30-(0.05-INDEX(绊状态确认!X:X,MATCH($G156,绊状态确认!$B:$B,)))*$FA$29/$FA$69*$FA$27*(1-$FA$33),0)</f>
        <v>-795.00000000000011</v>
      </c>
      <c r="BK156" s="1110">
        <f>IF(O156="vo",$EW$26/$EW$24*0.05+$EW$26*(-HP($EW$62,$EW$65,$EW$64)+HP($EW$62,$EW$65,(1.05-INDEX(绊状态确认!U:U,MATCH($G156,绊状态确认!$B:$B,)))*$EW$64)),0)+IF(O156="sk",-$EW$26/$EW$24*(0.05-INDEX(绊状态确认!W:W,MATCH($G156,绊状态确认!$B:$B,)))+0.05*$EW$29,0)+IF(O156="sp",0.05*$EW$32*$EW$30*(1-$EW$33)-(0.05-INDEX(绊状态确认!V:V,MATCH($G156,绊状态确认!$B:$B,)))*$EW$29,0)+IF(O156="gd",-(0.05-INDEX(绊状态确认!X:X,MATCH($G156,绊状态确认!$B:$B,)))*$EW$32*$EW$30*(1-$EW$33)+$EW$26*(-HP($EW$62,$EW$65,$EW$64)+HP($EW$62,$EW$65,0.95*$EW$64)),0)</f>
        <v>1009.5947725176144</v>
      </c>
      <c r="BL156" s="1111">
        <f t="shared" si="202"/>
        <v>-1083.3333333333333</v>
      </c>
      <c r="BM156" s="1110">
        <f t="shared" si="203"/>
        <v>-830.55555555555543</v>
      </c>
      <c r="BN156" s="1113">
        <f t="shared" si="204"/>
        <v>3</v>
      </c>
      <c r="BO156" s="1097">
        <f t="shared" si="205"/>
        <v>4507.7214871259994</v>
      </c>
      <c r="BP156" s="1100">
        <f t="shared" si="206"/>
        <v>221.34103209030098</v>
      </c>
      <c r="BQ156" s="1113" t="s">
        <v>626</v>
      </c>
      <c r="BR156" s="1124" t="s">
        <v>557</v>
      </c>
      <c r="BS156" s="1098">
        <f>IF($P156="","N/A",IF($P156=-1,INDEX('卡片raw data'!AX:AX,MATCH($D156,'卡片raw data'!$F:$F,)),0)+IF($L156="party卡",IF($P156=5,INDEX('卡片raw data'!BD:BD,MATCH($D156,'卡片raw data'!$F:$F,)),IF($P156&gt;=3,INDEX('卡片raw data'!BC:BC,MATCH($D156,'卡片raw data'!$F:$F,)),INDEX('卡片raw data'!BB:BB,MATCH($D156,'卡片raw data'!$F:$F,)))),IF(OR(AND($F156="UR",$P156=0),AND($F156="SR",$P156&gt;=0,$P156&lt;=2),AND($F156="R",$P156&gt;=0,$P156&lt;4)),INDEX('卡片raw data'!AZ:AZ,MATCH($D156,'卡片raw data'!$F:$F,)),0)+IF(OR(AND($F156="UR",$P156&gt;=1,$P156&lt;=4),AND($F156="SR",$P156&lt;=4,$P156&gt;=3),AND($F156="R",$P156=4)),INDEX('卡片raw data'!BA:BA,MATCH($D156,'卡片raw data'!$F:$F,)),0)+IF($P156=5,INDEX('卡片raw data'!BB:BB,MATCH($D156,'卡片raw data'!$F:$F,)),0)))</f>
        <v>3.2000000000000001E-2</v>
      </c>
      <c r="BT156" s="1101">
        <f t="shared" si="207"/>
        <v>905.54818615150043</v>
      </c>
      <c r="BU156" s="1097">
        <f t="shared" si="208"/>
        <v>65.501196813096399</v>
      </c>
      <c r="BV156" s="1097">
        <f t="shared" si="209"/>
        <v>226.38704653787508</v>
      </c>
      <c r="BW156" s="1112">
        <f t="shared" si="210"/>
        <v>0</v>
      </c>
      <c r="BX156" s="1100">
        <f t="shared" si="211"/>
        <v>905.54818615150043</v>
      </c>
      <c r="BY156" s="1110">
        <f t="shared" si="212"/>
        <v>226.38704653787508</v>
      </c>
      <c r="BZ156" s="1107" t="s">
        <v>569</v>
      </c>
      <c r="CA156" s="1124"/>
      <c r="CB156" s="1098">
        <f>IF($P156="","N/A",IF($P156=-1,INDEX('卡片raw data'!BE:BE,MATCH($D156,'卡片raw data'!$F:$F,)),0)+IF($L156="party卡",IF($P156=5,INDEX('卡片raw data'!BK:BK,MATCH($D156,'卡片raw data'!$F:$F,)),IF($P156&gt;=3,INDEX('卡片raw data'!BJ:BJ,MATCH($D156,'卡片raw data'!$F:$F,)),INDEX('卡片raw data'!BI:BI,MATCH($D156,'卡片raw data'!$F:$F,)))),IF(OR(AND($F156="UR",$P156=0),AND($F156="SR",$P156&gt;=0,$P156&lt;=2),AND($F156="R",$P156&gt;=0,$P156&lt;4)),INDEX('卡片raw data'!BG:BG,MATCH($D156,'卡片raw data'!$F:$F,)),0)+IF(OR(AND($F156="UR",$P156&gt;=1,$P156&lt;=4),AND($F156="SR",$P156&lt;=4,$P156&gt;=3),AND($F156="R",$P156=4)),INDEX('卡片raw data'!BH:BH,MATCH($D156,'卡片raw data'!$F:$F,)),0)+IF($P156=5,INDEX('卡片raw data'!BI:BI,MATCH($D156,'卡片raw data'!$F:$F,)),0)))</f>
        <v>0</v>
      </c>
      <c r="CC156" s="1101">
        <f t="shared" si="213"/>
        <v>0</v>
      </c>
      <c r="CD156" s="1097">
        <f>IF(BZ156="ap",CB156*(1-$FI$26)*$FB$5/$FB$11*(+IF(CA156="全员",$FA$24,0)+IF(CA156="同作战",$FA$24,0)+IF(CA156="仲间",$FA$24*2/3,0)+IF(CA156="同属性",$FA$24*$FA$37/3,0)+IF(CA156="同年级",$FA$24*$FA$40/3,0)+IF(CA156="同学校",$FA$24*$FA$43/3,0)+IF(CA156="同小队",$FA$24*$FA$46/3,0)+IF(CA156="同type",$FA$24*INDEX($FB$49:$FB$52,MATCH(X156,$FA$49:$FA$52,))/3,0)+IF(CA156="自身",#REF!/3,0)),0)+IF(BZ156="te",CB156*(1-$FI$27)*($FA$20-1)*$FB$7/$FB$13*(+IF(CA156="全员",$FA$19*$FA$24/(1+($FA$20-1)*$FA$19),0)+IF(CA156="同作战",$FA$19*$FA$24/(1+($FA$20-1)*$FA$19),0)+IF(CA156="仲间",$FA$19*$FA$24*2/3/(1+($FA$20-1)*$FA$19),0)+IF(CA156="同属性",$FA$19*$FA$24*$FA$37/3/(1+($FA$20-1)*$FA$19),0)+IF(CA156="同年级",$FA$19*$FA$24*$FA$40/3/(1+($FA$20-1)*$FA$19),0)+IF(CA156="同学校",$FA$19*$FA$24*$FA$43/3/(1+($FA$20-1)*$FA$19),0)+IF(CA156="同小队",$FA$19*$FA$24*$FA$46/3/(1+($FA$20-1)*$FA$19),0)+IF(CA156="同type",$FA$19*$FA$24*INDEX($FB$49:$FB$52,MATCH(X156,$FA$49:$FA$52,))/3/(1+($FA$20-1)*$FA$19),0)+IF(CA156="自身",$FA$19*#REF!/3/(1+(BH156-1)*$BD156),0)),0)</f>
        <v>0</v>
      </c>
      <c r="CE156" s="1097">
        <f t="shared" si="214"/>
        <v>0</v>
      </c>
      <c r="CF156" s="1112">
        <f t="shared" si="215"/>
        <v>0</v>
      </c>
      <c r="CG156" s="1100">
        <f t="shared" si="216"/>
        <v>0</v>
      </c>
      <c r="CH156" s="1110">
        <f t="shared" si="217"/>
        <v>0</v>
      </c>
      <c r="CI156" s="1113" t="s">
        <v>571</v>
      </c>
      <c r="CJ156" s="1114">
        <v>0.5</v>
      </c>
      <c r="CK156" s="1115" t="s">
        <v>635</v>
      </c>
      <c r="CL156" s="1115" t="s">
        <v>1944</v>
      </c>
      <c r="CM156" s="1119">
        <v>0.2</v>
      </c>
      <c r="CN156" s="1115"/>
      <c r="CO156" s="1092"/>
      <c r="CP156" s="1117">
        <f t="shared" si="218"/>
        <v>0</v>
      </c>
      <c r="CQ156" s="1117">
        <f t="shared" si="219"/>
        <v>0</v>
      </c>
      <c r="CR156" s="1117">
        <f t="shared" si="220"/>
        <v>0</v>
      </c>
      <c r="CS156" s="1118">
        <f t="shared" si="221"/>
        <v>0</v>
      </c>
      <c r="CT156" s="1109">
        <f t="shared" si="222"/>
        <v>0</v>
      </c>
      <c r="CU156" s="1101">
        <f t="shared" si="223"/>
        <v>0</v>
      </c>
      <c r="CV156" s="1108">
        <f t="shared" si="224"/>
        <v>0</v>
      </c>
      <c r="CW156" s="1097">
        <f t="shared" si="225"/>
        <v>0</v>
      </c>
      <c r="CX156" s="1097">
        <f t="shared" si="226"/>
        <v>0</v>
      </c>
      <c r="CY156" s="1110">
        <f t="shared" si="227"/>
        <v>0</v>
      </c>
      <c r="CZ156" s="437"/>
      <c r="DA156" s="438"/>
      <c r="DB156" s="439" t="s">
        <v>569</v>
      </c>
      <c r="DC156" s="439"/>
      <c r="DD156" s="443"/>
      <c r="DE156" s="411"/>
      <c r="DF156" s="411"/>
      <c r="DG156" s="1116">
        <f t="shared" si="228"/>
        <v>0</v>
      </c>
      <c r="DH156" s="1116">
        <f t="shared" si="229"/>
        <v>0</v>
      </c>
      <c r="DI156" s="1116">
        <f t="shared" si="230"/>
        <v>0</v>
      </c>
      <c r="DJ156" s="442">
        <f t="shared" si="231"/>
        <v>0</v>
      </c>
      <c r="DK156" s="1109">
        <f t="shared" si="232"/>
        <v>0</v>
      </c>
      <c r="DL156" s="1101">
        <f t="shared" si="233"/>
        <v>0</v>
      </c>
      <c r="DM156" s="1097">
        <f t="shared" si="234"/>
        <v>0</v>
      </c>
      <c r="DN156" s="1097">
        <f t="shared" si="235"/>
        <v>0</v>
      </c>
      <c r="DO156" s="1097">
        <f t="shared" si="236"/>
        <v>0</v>
      </c>
      <c r="DP156" s="1110">
        <f t="shared" si="237"/>
        <v>0</v>
      </c>
      <c r="DQ156" s="1113" t="s">
        <v>636</v>
      </c>
      <c r="DR156" s="1120">
        <f t="shared" si="238"/>
        <v>0.3</v>
      </c>
      <c r="DS156" s="1124"/>
      <c r="DT156" s="1093" t="s">
        <v>552</v>
      </c>
      <c r="DU156" s="1093"/>
      <c r="DV156" s="1098">
        <f>IF($P156="","N/A",IF(P156=-1,INDEX('卡片raw data'!AN:AN,MATCH(D156,'卡片raw data'!$F:$F,)),0)+IF(AND(L156&lt;&gt;"party卡",P156&lt;=2,P156&gt;=0),INDEX('卡片raw data'!AP:AP,MATCH(D156,'卡片raw data'!$F:$F,)),0)+IF(OR(AND(L156="party卡",P156&lt;=1),AND(P156&lt;=4,L156&lt;&gt;"party卡",P156&gt;=3)),INDEX('卡片raw data'!AQ:AQ,MATCH(D156,'卡片raw data'!$F:$F,)),0)+IF(OR(P156=5,AND(L156="party卡",P156&gt;=2)),INDEX('卡片raw data'!AR:AR,MATCH(D156,'卡片raw data'!$F:$F,)),0))</f>
        <v>0.27</v>
      </c>
      <c r="DW156" s="1098">
        <f t="shared" si="239"/>
        <v>0.3</v>
      </c>
      <c r="DX156" s="1098">
        <f t="shared" si="240"/>
        <v>0.3</v>
      </c>
      <c r="DY156" s="1125">
        <f t="shared" si="241"/>
        <v>268.38076397839205</v>
      </c>
      <c r="DZ156" s="1125">
        <f t="shared" si="242"/>
        <v>232.14936084130912</v>
      </c>
      <c r="EA156" s="1098">
        <f t="shared" si="243"/>
        <v>0</v>
      </c>
      <c r="EB156" s="1121">
        <f t="shared" si="244"/>
        <v>0</v>
      </c>
      <c r="EC156" s="1101">
        <f t="shared" si="245"/>
        <v>0</v>
      </c>
      <c r="ED156" s="1097">
        <f t="shared" si="246"/>
        <v>0</v>
      </c>
      <c r="EE156" s="1110">
        <f t="shared" si="247"/>
        <v>29964.218109661837</v>
      </c>
      <c r="EF156" s="1092" t="s">
        <v>711</v>
      </c>
      <c r="EG156" s="1120">
        <f t="shared" si="248"/>
        <v>0.3</v>
      </c>
      <c r="EH156" s="1124"/>
      <c r="EI156" s="1093"/>
      <c r="EJ156" s="1093"/>
      <c r="EK156" s="1097">
        <f>IF($P156="","N/A",IF(P156=-1,INDEX('卡片raw data'!AS:AS,MATCH(D156,'卡片raw data'!$F:$F,)),0)+IF(AND(L156&lt;&gt;"party卡",P156&lt;=2,P156&gt;=0),INDEX('卡片raw data'!AU:AU,MATCH(D156,'卡片raw data'!$F:$F,)),0)+IF(OR(AND(L156="party卡",P156&lt;=1),AND(P156&lt;=4,L156&lt;&gt;"party卡",P156&gt;=3)),INDEX('卡片raw data'!AV:AV,MATCH(D156,'卡片raw data'!$F:$F,)),0)+IF(OR(P156=5,AND(L156="party卡",P156&gt;=2)),INDEX('卡片raw data'!AW:AW,MATCH(D156,'卡片raw data'!$F:$F,)),0))</f>
        <v>0</v>
      </c>
      <c r="EL156" s="1098">
        <f t="shared" si="249"/>
        <v>0.3</v>
      </c>
      <c r="EM156" s="1098">
        <f t="shared" si="250"/>
        <v>0.3</v>
      </c>
      <c r="EN156" s="1125">
        <f t="shared" si="251"/>
        <v>0</v>
      </c>
      <c r="EO156" s="1125">
        <f t="shared" si="252"/>
        <v>0</v>
      </c>
      <c r="EP156" s="1098">
        <f t="shared" si="253"/>
        <v>0</v>
      </c>
      <c r="EQ156" s="1121">
        <f t="shared" si="254"/>
        <v>0</v>
      </c>
      <c r="ER156" s="1101">
        <f t="shared" si="255"/>
        <v>0</v>
      </c>
      <c r="ES156" s="1097">
        <f t="shared" si="256"/>
        <v>0</v>
      </c>
      <c r="ET156" s="1122">
        <f t="shared" si="257"/>
        <v>0</v>
      </c>
    </row>
    <row r="157" spans="2:150" ht="16.5" customHeight="1">
      <c r="B157" s="1123" t="str">
        <f>INDEX('卡片raw data'!B:B,MATCH($D157,'卡片raw data'!$F:$F,))</f>
        <v>op1丸</v>
      </c>
      <c r="C157" s="449" t="s">
        <v>123</v>
      </c>
      <c r="D157" s="408">
        <v>154</v>
      </c>
      <c r="E157" s="1090">
        <v>401072001</v>
      </c>
      <c r="F157" s="1090" t="str">
        <f>INDEX('卡片raw data'!C:C,MATCH($D157,'卡片raw data'!$F:$F,))</f>
        <v>SR</v>
      </c>
      <c r="G157" s="1094" t="s">
        <v>344</v>
      </c>
      <c r="H157" s="411">
        <f>IFERROR(INDEX(绊状态确认!C:C,MATCH($G157,绊状态确认!$B:$B,)),"")</f>
        <v>107</v>
      </c>
      <c r="I157" s="450" t="str">
        <f>IFERROR(INDEX(绊状态确认!D:D,MATCH($G157,绊状态确认!$B:$B,)),"")</f>
        <v>水</v>
      </c>
      <c r="J157" s="450" t="str">
        <f>IFERROR(INDEX(绊状态确认!E:E,MATCH($G157,绊状态确认!$B:$B,)),"")</f>
        <v>1年级</v>
      </c>
      <c r="K157" s="451" t="str">
        <f>IFERROR(INDEX(绊状态确认!F:F,MATCH($G157,绊状态确认!$B:$B,)),"")</f>
        <v>AZALEA</v>
      </c>
      <c r="L157" s="1094" t="str">
        <f>INDEX('卡片raw data'!E:E,MATCH($D157,'卡片raw data'!$F:$F,))</f>
        <v>活动卡</v>
      </c>
      <c r="M157" s="415">
        <v>43836</v>
      </c>
      <c r="N157" s="416">
        <v>7</v>
      </c>
      <c r="O157" s="1091" t="str">
        <f>INDEX('卡片raw data'!D:D,MATCH($D157,'卡片raw data'!$F:$F,))</f>
        <v>sp</v>
      </c>
      <c r="P157" s="417">
        <v>5</v>
      </c>
      <c r="Q157" s="1095">
        <f t="shared" si="173"/>
        <v>21769.555415287843</v>
      </c>
      <c r="R157" s="1096">
        <f t="shared" si="174"/>
        <v>0.253</v>
      </c>
      <c r="S157" s="1097">
        <f t="shared" si="175"/>
        <v>13400.349277842806</v>
      </c>
      <c r="T157" s="1098">
        <f t="shared" si="176"/>
        <v>0.67</v>
      </c>
      <c r="U157" s="1099">
        <f t="shared" si="177"/>
        <v>9.9469242383828576</v>
      </c>
      <c r="V157" s="1100">
        <f t="shared" si="178"/>
        <v>20759.751879969655</v>
      </c>
      <c r="W157" s="1101">
        <f t="shared" si="179"/>
        <v>5321.6232853217671</v>
      </c>
      <c r="X157" s="1096">
        <f t="shared" si="180"/>
        <v>6.0999999999999999E-2</v>
      </c>
      <c r="Y157" s="1097">
        <f t="shared" si="181"/>
        <v>790.19646468181145</v>
      </c>
      <c r="Z157" s="1102">
        <f t="shared" si="182"/>
        <v>9.9469242383828576</v>
      </c>
      <c r="AA157" s="1103">
        <f t="shared" si="183"/>
        <v>6111.8197500035785</v>
      </c>
      <c r="AB157" s="1101">
        <f t="shared" si="184"/>
        <v>5849.8597272434763</v>
      </c>
      <c r="AC157" s="1104">
        <f t="shared" si="185"/>
        <v>6.8000000000000005E-2</v>
      </c>
      <c r="AD157" s="1105">
        <f t="shared" si="186"/>
        <v>-1.9908281250000003E-2</v>
      </c>
      <c r="AE157" s="1128">
        <f t="shared" si="187"/>
        <v>4.6140119407926807</v>
      </c>
      <c r="AF157" s="1130">
        <f t="shared" si="188"/>
        <v>0</v>
      </c>
      <c r="AG157" s="420">
        <f t="shared" si="189"/>
        <v>0</v>
      </c>
      <c r="AH157" s="420">
        <f t="shared" si="190"/>
        <v>0</v>
      </c>
      <c r="AI157" s="1097">
        <f t="shared" si="191"/>
        <v>0</v>
      </c>
      <c r="AJ157" s="420">
        <f t="shared" si="192"/>
        <v>0</v>
      </c>
      <c r="AK157" s="518">
        <f t="shared" si="193"/>
        <v>0</v>
      </c>
      <c r="AL157" s="1106">
        <f>IF($P157="","N/A",(IF($P157=-1,INDEX('卡片raw data'!S:S,MATCH($D157,'卡片raw data'!$F:$F,)),0)+IF($P157=0,INDEX('卡片raw data'!V:V,MATCH($D157,'卡片raw data'!$F:$F,)),0)+IF($P157=1,INDEX('卡片raw data'!Y:Y,MATCH($D157,'卡片raw data'!$F:$F,)),0)+IF($P157=2,INDEX('卡片raw data'!AB:AB,MATCH($D157,'卡片raw data'!$F:$F,)),0)+IF($P157=3,INDEX('卡片raw data'!AE:AE,MATCH($D157,'卡片raw data'!$F:$F,)),0)+IF($P157=4,INDEX('卡片raw data'!AH:AH,MATCH($D157,'卡片raw data'!$F:$F,)),0)+IF($P157=5,INDEX('卡片raw data'!AK:AK,MATCH($D157,'卡片raw data'!$F:$F,)),0)+INDEX('卡片raw data'!S:S,MATCH($D157,'卡片raw data'!$F:$F,))*(IF($F157="UR",0.04,0.033))*(IF($F157="UR",INDEX(绊状态确认!$S:$S,MATCH($G157,绊状态确认!$B:$B,))/2-40)+IF($F157="SR",INDEX(绊状态确认!$R:$R,MATCH($G157,绊状态确认!$B:$B,))/4-15))+IF($F157="R",INDEX(绊状态确认!$Q:$Q,MATCH($G157,绊状态确认!$B:$B,))/6-40/6)))*(INDEX(绊状态确认!$H:$H,MATCH($G157,绊状态确认!$B:$B,))+INDEX(绊状态确认!J:J,MATCH($G157,绊状态确认!$B:$B,)))</f>
        <v>6427.1511167999997</v>
      </c>
      <c r="AM157" s="1106">
        <f>IF($P157="","N/A",(IF($P157=-1,INDEX('卡片raw data'!T:T,MATCH($D157,'卡片raw data'!$F:$F,)),0)+IF($P157=0,INDEX('卡片raw data'!W:W,MATCH($D157,'卡片raw data'!$F:$F,)),0)+IF($P157=1,INDEX('卡片raw data'!Z:Z,MATCH($D157,'卡片raw data'!$F:$F,)),0)+IF($P157=2,INDEX('卡片raw data'!AC:AC,MATCH($D157,'卡片raw data'!$F:$F,)),0)+IF($P157=3,INDEX('卡片raw data'!AF:AF,MATCH($D157,'卡片raw data'!$F:$F,)),0)+IF($P157=4,INDEX('卡片raw data'!AI:AI,MATCH($D157,'卡片raw data'!$F:$F,)),0)+IF($P157=5,INDEX('卡片raw data'!AL:AL,MATCH($D157,'卡片raw data'!$F:$F,)),0)+INDEX('卡片raw data'!T:T,MATCH($D157,'卡片raw data'!$F:$F,))*(IF($F157="UR",0.04,0.033))*(IF($F157="UR",INDEX(绊状态确认!$S:$S,MATCH($G157,绊状态确认!$B:$B,))/2-40)+IF($F157="SR",INDEX(绊状态确认!$R:$R,MATCH($G157,绊状态确认!$B:$B,))/4-15))+IF($F157="R",INDEX(绊状态确认!$Q:$Q,MATCH($G157,绊状态确认!$B:$B,))/6-40/6)))*(INDEX(绊状态确认!$H:$H,MATCH($G157,绊状态确认!$B:$B,))+INDEX(绊状态确认!K:K,MATCH($G157,绊状态确认!$B:$B,)))</f>
        <v>4820.3633375999989</v>
      </c>
      <c r="AN157" s="1106">
        <f>IF($P157="","N/A",(IF($P157=-1,INDEX('卡片raw data'!U:U,MATCH($D157,'卡片raw data'!$F:$F,)),0)+IF($P157=0,INDEX('卡片raw data'!X:X,MATCH($D157,'卡片raw data'!$F:$F,)),0)+IF($P157=1,INDEX('卡片raw data'!AA:AA,MATCH($D157,'卡片raw data'!$F:$F,)),0)+IF($P157=2,INDEX('卡片raw data'!AD:AD,MATCH($D157,'卡片raw data'!$F:$F,)),0)+IF($P157=3,INDEX('卡片raw data'!AG:AG,MATCH($D157,'卡片raw data'!$F:$F,)),0)+IF($P157=4,INDEX('卡片raw data'!AJ:AJ,MATCH($D157,'卡片raw data'!$F:$F,)),0)+IF($P157=5,INDEX('卡片raw data'!AM:AM,MATCH($D157,'卡片raw data'!$F:$F,)),0)+INDEX('卡片raw data'!U:U,MATCH($D157,'卡片raw data'!$F:$F,))*(IF($F157="UR",0.04,0.033))*(IF($F157="UR",INDEX(绊状态确认!$S:$S,MATCH($G157,绊状态确认!$B:$B,))/2-40)+IF($F157="SR",INDEX(绊状态确认!$R:$R,MATCH($G157,绊状态确认!$B:$B,))/4-15))+IF($F157="R",INDEX(绊状态确认!$Q:$Q,MATCH($G157,绊状态确认!$B:$B,))/6-40/6)))*(INDEX(绊状态确认!$H:$H,MATCH($G157,绊状态确认!$B:$B,))+INDEX(绊状态确认!L:L,MATCH($G157,绊状态确认!$B:$B,)))</f>
        <v>4820.3633375999989</v>
      </c>
      <c r="AO157" s="1107">
        <f t="shared" si="194"/>
        <v>1</v>
      </c>
      <c r="AP157" s="1131">
        <f>1+(INDEX(绊状态确认!$T:$T,MATCH($G157,绊状态确认!$B:$B,))+0.2)*$AO157</f>
        <v>1.3</v>
      </c>
      <c r="AQ157" s="1108">
        <f t="shared" si="195"/>
        <v>20121.271681600003</v>
      </c>
      <c r="AR157" s="1097">
        <f>(AM157*(1+$EX$9)+$EX$35)*(1+(INDEX(绊状态确认!$T:$T,MATCH($G157,绊状态确认!$B:$B,))+0.2)*AO157)*IF(J157=$FF$17,1+$FE$17,1)*IF(I157=$FF$14,1+$FE$14,1)</f>
        <v>9283.795955824</v>
      </c>
      <c r="AS157" s="1097">
        <f>(AN157*(1+$EX$10)+$EX$36)*(1+(INDEX(绊状态确认!$T:$T,MATCH($G157,绊状态确认!$B:$B,))+0.2)*AO157)*IF(J157=$FF$17,1+$FE$17,1)*IF(I157=$FF$14,1+$FE$14,1)</f>
        <v>11262.443189711999</v>
      </c>
      <c r="AT157" s="1093">
        <f>IF(AND(INDEX('卡片raw data'!AK:AK,MATCH($D157,'卡片raw data'!$F:$F,))&lt;INDEX('卡片raw data'!AM:AM,MATCH($D157,'卡片raw data'!$F:$F,)),INDEX('卡片raw data'!AL:AL,MATCH($D157,'卡片raw data'!$F:$F,))&lt;INDEX('卡片raw data'!AM:AM,MATCH($D157,'卡片raw data'!$F:$F,))),1,0)</f>
        <v>0</v>
      </c>
      <c r="AU157" s="1098">
        <f>MIN(AT157*0.15+AS157*0.00003+INDEX(绊状态确认!M:M,MATCH($G157,绊状态确认!$B:$B,)),1)</f>
        <v>0.36787329569136001</v>
      </c>
      <c r="AV157" s="1109">
        <f>(INDEX(绊状态确认!$N:$N,MATCH($G157,绊状态确认!$B:$B,))+1.5)*$EW$21</f>
        <v>2.6599999999999997</v>
      </c>
      <c r="AW157" s="1101">
        <f t="shared" si="196"/>
        <v>16831.362354711029</v>
      </c>
      <c r="AX157" s="1097">
        <f t="shared" si="197"/>
        <v>790.19646468181145</v>
      </c>
      <c r="AY157" s="1110">
        <f t="shared" si="198"/>
        <v>17621.558819392842</v>
      </c>
      <c r="AZ157" s="429">
        <f t="shared" si="199"/>
        <v>15132.944677759999</v>
      </c>
      <c r="BA157" s="431">
        <f t="shared" si="200"/>
        <v>18159.533613311996</v>
      </c>
      <c r="BB157" s="1097">
        <f>(AM157*(1+$FB$9)+$FB$35)*(1+(INDEX(绊状态确认!$T:$T,MATCH($G157,绊状态确认!$B:$B,))+0.2)*AO157)*IF(J157=$FF$17,1+$FE$17,1)*IF(I157=$FF$14,1+$FE$14,1)*(1+$FE$15)</f>
        <v>9283.795955824</v>
      </c>
      <c r="BC157" s="1097">
        <f>(AN157*(1+$FB$10)+$FB$36)*(1+(INDEX(绊状态确认!$T:$T,MATCH($G157,绊状态确认!$B:$B,))+0.2)*AO157)*IF(J157=$FF$17,1+$FE$17,1)*IF(I157=$FF$14,1+$FE$14,1)*(1+$FE$15)</f>
        <v>11262.443189711999</v>
      </c>
      <c r="BD157" s="1104">
        <f>MIN(AT157*0.15+BC157*0.00003+INDEX(绊状态确认!M:M,MATCH($G157,绊状态确认!$B:$B,)),1)</f>
        <v>0.36787329569136001</v>
      </c>
      <c r="BE157" s="432">
        <f>(INDEX(绊状态确认!$N:$N,MATCH($G157,绊状态确认!$B:$B,))+1.5)</f>
        <v>1.9</v>
      </c>
      <c r="BF157" s="1139">
        <f t="array" ref="BF157">SUMPRODUCT(IF(AZ157*AP157*$FI$16:$FI$23*$FA$22&gt;=$FI$24,$FI$24,AZ157*AP157*$FI$16:$FI$23*$FA$22),$FJ$16:$FJ$23)</f>
        <v>30099.426964064638</v>
      </c>
      <c r="BG157" s="1125">
        <f t="array" ref="BG157">SUMPRODUCT(IF(BE157*AZ157*AP157*$FI$16:$FI$23*$FA$22&gt;=$FI$24,$FI$24,BE157*AZ157*AP157*$FI$16:$FI$23*$FA$22),$FJ$16:$FJ$23)</f>
        <v>55004.589620526524</v>
      </c>
      <c r="BH157" s="1110">
        <f t="shared" si="201"/>
        <v>13087.123743408889</v>
      </c>
      <c r="BI157" s="1111">
        <f>IF(O157="vo",$EW$26/$EW$24*0.05,0)+IF(O157="sk",-$EW$26/$EW$24*(0.05-INDEX(绊状态确认!W:W,MATCH($G157,绊状态确认!$B:$B,)))+0.05*$EW$28,0)+IF(O157="sp",0.05*$EW$32*$EW$30*(1-$EW$33)-(0.05-INDEX(绊状态确认!V:V,MATCH($G157,绊状态确认!$B:$B,)))*$EW$28,0)+IF(O157="gd",-(0.05-INDEX(绊状态确认!X:X,MATCH($G157,绊状态确认!$B:$B,)))*$EW$32*$EW$30*(1-$EW$33),0)</f>
        <v>19.999999999999886</v>
      </c>
      <c r="BJ157" s="1097">
        <f>IF(O157="vo",0.05*(1-$FI$26)*$FA$24,0)+IF(O157="sk",-(0.05-INDEX(绊状态确认!W:W,MATCH($G157,绊状态确认!$B:$B,)))*(1-$FI$26)*$FA$24+0.05*$FA$26,0)+IF(O157="sp",0.05*$FA$32*$FA$27*(1-$FA$33)/$FA$30+0.05*$FA$29/$FA$69*$FA$27*(1-$FA$33)-(0.05-INDEX(绊状态确认!V:V,MATCH($G157,绊状态确认!$B:$B,)))*$FA$26,0)+IF(O157="gd",-(0.05-INDEX(绊状态确认!X:X,MATCH($G157,绊状态确认!$B:$B,)))*$FA$32*$FA$27*(1-$FA$33)/$FA$30-(0.05-INDEX(绊状态确认!X:X,MATCH($G157,绊状态确认!$B:$B,)))*$FA$29/$FA$69*$FA$27*(1-$FA$33),0)</f>
        <v>545.83333333333326</v>
      </c>
      <c r="BK157" s="1110">
        <f>IF(O157="vo",$EW$26/$EW$24*0.05+$EW$26*(-HP($EW$62,$EW$65,$EW$64)+HP($EW$62,$EW$65,(1.05-INDEX(绊状态确认!U:U,MATCH($G157,绊状态确认!$B:$B,)))*$EW$64)),0)+IF(O157="sk",-$EW$26/$EW$24*(0.05-INDEX(绊状态确认!W:W,MATCH($G157,绊状态确认!$B:$B,)))+0.05*$EW$29,0)+IF(O157="sp",0.05*$EW$32*$EW$30*(1-$EW$33)-(0.05-INDEX(绊状态确认!V:V,MATCH($G157,绊状态确认!$B:$B,)))*$EW$29,0)+IF(O157="gd",-(0.05-INDEX(绊状态确认!X:X,MATCH($G157,绊状态确认!$B:$B,)))*$EW$32*$EW$30*(1-$EW$33)+$EW$26*(-HP($EW$62,$EW$65,$EW$64)+HP($EW$62,$EW$65,0.95*$EW$64)),0)</f>
        <v>-1780.0000000000005</v>
      </c>
      <c r="BL157" s="1111">
        <f t="shared" si="202"/>
        <v>-1083.3333333333333</v>
      </c>
      <c r="BM157" s="1110">
        <f t="shared" si="203"/>
        <v>-830.55555555555543</v>
      </c>
      <c r="BN157" s="1113">
        <f t="shared" si="204"/>
        <v>3</v>
      </c>
      <c r="BO157" s="1097">
        <f t="shared" si="205"/>
        <v>4507.7214871259994</v>
      </c>
      <c r="BP157" s="1100">
        <f t="shared" si="206"/>
        <v>221.34103209030098</v>
      </c>
      <c r="BQ157" s="1113" t="s">
        <v>626</v>
      </c>
      <c r="BR157" s="1124" t="s">
        <v>557</v>
      </c>
      <c r="BS157" s="1098">
        <f>IF($P157="","N/A",IF($P157=-1,INDEX('卡片raw data'!AX:AX,MATCH($D157,'卡片raw data'!$F:$F,)),0)+IF($L157="party卡",IF($P157=5,INDEX('卡片raw data'!BD:BD,MATCH($D157,'卡片raw data'!$F:$F,)),IF($P157&gt;=3,INDEX('卡片raw data'!BC:BC,MATCH($D157,'卡片raw data'!$F:$F,)),INDEX('卡片raw data'!BB:BB,MATCH($D157,'卡片raw data'!$F:$F,)))),IF(OR(AND($F157="UR",$P157=0),AND($F157="SR",$P157&gt;=0,$P157&lt;=2),AND($F157="R",$P157&gt;=0,$P157&lt;4)),INDEX('卡片raw data'!AZ:AZ,MATCH($D157,'卡片raw data'!$F:$F,)),0)+IF(OR(AND($F157="UR",$P157&gt;=1,$P157&lt;=4),AND($F157="SR",$P157&lt;=4,$P157&gt;=3),AND($F157="R",$P157=4)),INDEX('卡片raw data'!BA:BA,MATCH($D157,'卡片raw data'!$F:$F,)),0)+IF($P157=5,INDEX('卡片raw data'!BB:BB,MATCH($D157,'卡片raw data'!$F:$F,)),0)))</f>
        <v>3.2000000000000001E-2</v>
      </c>
      <c r="BT157" s="1101">
        <f t="shared" si="207"/>
        <v>1207.397581535334</v>
      </c>
      <c r="BU157" s="1097">
        <f t="shared" si="208"/>
        <v>131.0023936261928</v>
      </c>
      <c r="BV157" s="1097">
        <f t="shared" si="209"/>
        <v>679.16113961362521</v>
      </c>
      <c r="BW157" s="1112">
        <f t="shared" si="210"/>
        <v>0</v>
      </c>
      <c r="BX157" s="1100">
        <f t="shared" si="211"/>
        <v>1207.397581535334</v>
      </c>
      <c r="BY157" s="1110">
        <f t="shared" si="212"/>
        <v>679.16113961362521</v>
      </c>
      <c r="BZ157" s="1107" t="s">
        <v>569</v>
      </c>
      <c r="CA157" s="1124"/>
      <c r="CB157" s="1098">
        <f>IF($P157="","N/A",IF($P157=-1,INDEX('卡片raw data'!BE:BE,MATCH($D157,'卡片raw data'!$F:$F,)),0)+IF($L157="party卡",IF($P157=5,INDEX('卡片raw data'!BK:BK,MATCH($D157,'卡片raw data'!$F:$F,)),IF($P157&gt;=3,INDEX('卡片raw data'!BJ:BJ,MATCH($D157,'卡片raw data'!$F:$F,)),INDEX('卡片raw data'!BI:BI,MATCH($D157,'卡片raw data'!$F:$F,)))),IF(OR(AND($F157="UR",$P157=0),AND($F157="SR",$P157&gt;=0,$P157&lt;=2),AND($F157="R",$P157&gt;=0,$P157&lt;4)),INDEX('卡片raw data'!BG:BG,MATCH($D157,'卡片raw data'!$F:$F,)),0)+IF(OR(AND($F157="UR",$P157&gt;=1,$P157&lt;=4),AND($F157="SR",$P157&lt;=4,$P157&gt;=3),AND($F157="R",$P157=4)),INDEX('卡片raw data'!BH:BH,MATCH($D157,'卡片raw data'!$F:$F,)),0)+IF($P157=5,INDEX('卡片raw data'!BI:BI,MATCH($D157,'卡片raw data'!$F:$F,)),0)))</f>
        <v>0</v>
      </c>
      <c r="CC157" s="1101">
        <f t="shared" si="213"/>
        <v>0</v>
      </c>
      <c r="CD157" s="1097">
        <f>IF(BZ157="ap",CB157*(1-$FI$26)*$FB$5/$FB$11*(+IF(CA157="全员",$FA$24,0)+IF(CA157="同作战",$FA$24,0)+IF(CA157="仲间",$FA$24*2/3,0)+IF(CA157="同属性",$FA$24*$FA$37/3,0)+IF(CA157="同年级",$FA$24*$FA$40/3,0)+IF(CA157="同学校",$FA$24*$FA$43/3,0)+IF(CA157="同小队",$FA$24*$FA$46/3,0)+IF(CA157="同type",$FA$24*INDEX($FB$49:$FB$52,MATCH(X157,$FA$49:$FA$52,))/3,0)+IF(CA157="自身",#REF!/3,0)),0)+IF(BZ157="te",CB157*(1-$FI$27)*($FA$20-1)*$FB$7/$FB$13*(+IF(CA157="全员",$FA$19*$FA$24/(1+($FA$20-1)*$FA$19),0)+IF(CA157="同作战",$FA$19*$FA$24/(1+($FA$20-1)*$FA$19),0)+IF(CA157="仲间",$FA$19*$FA$24*2/3/(1+($FA$20-1)*$FA$19),0)+IF(CA157="同属性",$FA$19*$FA$24*$FA$37/3/(1+($FA$20-1)*$FA$19),0)+IF(CA157="同年级",$FA$19*$FA$24*$FA$40/3/(1+($FA$20-1)*$FA$19),0)+IF(CA157="同学校",$FA$19*$FA$24*$FA$43/3/(1+($FA$20-1)*$FA$19),0)+IF(CA157="同小队",$FA$19*$FA$24*$FA$46/3/(1+($FA$20-1)*$FA$19),0)+IF(CA157="同type",$FA$19*$FA$24*INDEX($FB$49:$FB$52,MATCH(X157,$FA$49:$FA$52,))/3/(1+($FA$20-1)*$FA$19),0)+IF(CA157="自身",$FA$19*#REF!/3/(1+(BH157-1)*$BD157),0)),0)</f>
        <v>0</v>
      </c>
      <c r="CE157" s="1097">
        <f t="shared" si="214"/>
        <v>0</v>
      </c>
      <c r="CF157" s="1112">
        <f t="shared" si="215"/>
        <v>0</v>
      </c>
      <c r="CG157" s="1100">
        <f t="shared" si="216"/>
        <v>0</v>
      </c>
      <c r="CH157" s="1110">
        <f t="shared" si="217"/>
        <v>0</v>
      </c>
      <c r="CI157" s="1113" t="s">
        <v>165</v>
      </c>
      <c r="CJ157" s="1114">
        <v>0.3</v>
      </c>
      <c r="CK157" s="1115" t="s">
        <v>549</v>
      </c>
      <c r="CL157" s="1115" t="s">
        <v>1940</v>
      </c>
      <c r="CM157" s="1119">
        <v>0.1</v>
      </c>
      <c r="CN157" s="1115"/>
      <c r="CO157" s="1092"/>
      <c r="CP157" s="1116">
        <f t="shared" si="218"/>
        <v>2.155850537314286</v>
      </c>
      <c r="CQ157" s="1116">
        <f t="shared" si="219"/>
        <v>3.4805772758847984</v>
      </c>
      <c r="CR157" s="1116">
        <f t="shared" si="220"/>
        <v>2.155850537314286</v>
      </c>
      <c r="CS157" s="1118">
        <f t="shared" si="221"/>
        <v>0</v>
      </c>
      <c r="CT157" s="1109">
        <f t="shared" si="222"/>
        <v>3.5212225442800005</v>
      </c>
      <c r="CU157" s="1101">
        <f t="shared" si="223"/>
        <v>134.74065858214286</v>
      </c>
      <c r="CV157" s="1108">
        <f t="shared" si="224"/>
        <v>145.02405316186659</v>
      </c>
      <c r="CW157" s="1097">
        <f t="shared" si="225"/>
        <v>134.74065858214286</v>
      </c>
      <c r="CX157" s="1097">
        <f t="shared" si="226"/>
        <v>134.74065858214286</v>
      </c>
      <c r="CY157" s="1110">
        <f t="shared" si="227"/>
        <v>134.74065858214286</v>
      </c>
      <c r="CZ157" s="437"/>
      <c r="DA157" s="438"/>
      <c r="DB157" s="439" t="s">
        <v>569</v>
      </c>
      <c r="DC157" s="439"/>
      <c r="DD157" s="443"/>
      <c r="DE157" s="411"/>
      <c r="DF157" s="411"/>
      <c r="DG157" s="1116">
        <f t="shared" si="228"/>
        <v>0</v>
      </c>
      <c r="DH157" s="1116">
        <f t="shared" si="229"/>
        <v>0</v>
      </c>
      <c r="DI157" s="1116">
        <f t="shared" si="230"/>
        <v>0</v>
      </c>
      <c r="DJ157" s="442">
        <f t="shared" si="231"/>
        <v>0</v>
      </c>
      <c r="DK157" s="1109">
        <f t="shared" si="232"/>
        <v>0</v>
      </c>
      <c r="DL157" s="1101">
        <f t="shared" si="233"/>
        <v>0</v>
      </c>
      <c r="DM157" s="1097">
        <f t="shared" si="234"/>
        <v>0</v>
      </c>
      <c r="DN157" s="1097">
        <f t="shared" si="235"/>
        <v>0</v>
      </c>
      <c r="DO157" s="1097">
        <f t="shared" si="236"/>
        <v>0</v>
      </c>
      <c r="DP157" s="1110">
        <f t="shared" si="237"/>
        <v>0</v>
      </c>
      <c r="DQ157" s="1113" t="s">
        <v>547</v>
      </c>
      <c r="DR157" s="1120">
        <f t="shared" si="238"/>
        <v>0.3</v>
      </c>
      <c r="DS157" s="1124">
        <v>5</v>
      </c>
      <c r="DT157" s="1093" t="s">
        <v>169</v>
      </c>
      <c r="DU157" s="1093" t="s">
        <v>544</v>
      </c>
      <c r="DV157" s="1098">
        <f>IF($P157="","N/A",IF(P157=-1,INDEX('卡片raw data'!AN:AN,MATCH(D157,'卡片raw data'!$F:$F,)),0)+IF(AND(L157&lt;&gt;"party卡",P157&lt;=2,P157&gt;=0),INDEX('卡片raw data'!AP:AP,MATCH(D157,'卡片raw data'!$F:$F,)),0)+IF(OR(AND(L157="party卡",P157&lt;=1),AND(P157&lt;=4,L157&lt;&gt;"party卡",P157&gt;=3)),INDEX('卡片raw data'!AQ:AQ,MATCH(D157,'卡片raw data'!$F:$F,)),0)+IF(OR(P157=5,AND(L157="party卡",P157&gt;=2)),INDEX('卡片raw data'!AR:AR,MATCH(D157,'卡片raw data'!$F:$F,)),0))</f>
        <v>4.2000000000000003E-2</v>
      </c>
      <c r="DW157" s="1098">
        <f t="shared" si="239"/>
        <v>0.3</v>
      </c>
      <c r="DX157" s="1098">
        <f t="shared" si="240"/>
        <v>0.3</v>
      </c>
      <c r="DY157" s="1098">
        <f t="shared" si="241"/>
        <v>1.1666666666666665E-2</v>
      </c>
      <c r="DZ157" s="1098">
        <f t="shared" si="242"/>
        <v>1.0091666666666665E-2</v>
      </c>
      <c r="EA157" s="1098">
        <f t="shared" si="243"/>
        <v>0</v>
      </c>
      <c r="EB157" s="1121">
        <f t="shared" si="244"/>
        <v>2.444238671875</v>
      </c>
      <c r="EC157" s="1101">
        <f t="shared" si="245"/>
        <v>151.66666666666663</v>
      </c>
      <c r="ED157" s="1097">
        <f t="shared" si="246"/>
        <v>100.58027777777775</v>
      </c>
      <c r="EE157" s="1110">
        <f t="shared" si="247"/>
        <v>151.66666666666663</v>
      </c>
      <c r="EF157" s="1092" t="s">
        <v>711</v>
      </c>
      <c r="EG157" s="1120">
        <f t="shared" si="248"/>
        <v>0.3</v>
      </c>
      <c r="EH157" s="1124"/>
      <c r="EI157" s="1093"/>
      <c r="EJ157" s="1093"/>
      <c r="EK157" s="1097">
        <f>IF($P157="","N/A",IF(P157=-1,INDEX('卡片raw data'!AS:AS,MATCH(D157,'卡片raw data'!$F:$F,)),0)+IF(AND(L157&lt;&gt;"party卡",P157&lt;=2,P157&gt;=0),INDEX('卡片raw data'!AU:AU,MATCH(D157,'卡片raw data'!$F:$F,)),0)+IF(OR(AND(L157="party卡",P157&lt;=1),AND(P157&lt;=4,L157&lt;&gt;"party卡",P157&gt;=3)),INDEX('卡片raw data'!AV:AV,MATCH(D157,'卡片raw data'!$F:$F,)),0)+IF(OR(P157=5,AND(L157="party卡",P157&gt;=2)),INDEX('卡片raw data'!AW:AW,MATCH(D157,'卡片raw data'!$F:$F,)),0))</f>
        <v>0</v>
      </c>
      <c r="EL157" s="1098">
        <f t="shared" si="249"/>
        <v>0.3</v>
      </c>
      <c r="EM157" s="1098">
        <f t="shared" si="250"/>
        <v>0.3</v>
      </c>
      <c r="EN157" s="1125">
        <f t="shared" si="251"/>
        <v>0</v>
      </c>
      <c r="EO157" s="1125">
        <f t="shared" si="252"/>
        <v>0</v>
      </c>
      <c r="EP157" s="1098">
        <f t="shared" si="253"/>
        <v>0</v>
      </c>
      <c r="EQ157" s="1121">
        <f t="shared" si="254"/>
        <v>0</v>
      </c>
      <c r="ER157" s="1101">
        <f t="shared" si="255"/>
        <v>0</v>
      </c>
      <c r="ES157" s="1097">
        <f t="shared" si="256"/>
        <v>0</v>
      </c>
      <c r="ET157" s="1122">
        <f t="shared" si="257"/>
        <v>0</v>
      </c>
    </row>
    <row r="158" spans="2:150" ht="16.5" customHeight="1">
      <c r="B158" s="1123" t="str">
        <f>INDEX('卡片raw data'!B:B,MATCH($D158,'卡片raw data'!$F:$F,))</f>
        <v>羊驼花</v>
      </c>
      <c r="C158" s="449" t="s">
        <v>124</v>
      </c>
      <c r="D158" s="408">
        <v>155</v>
      </c>
      <c r="E158" s="1090">
        <v>300083001</v>
      </c>
      <c r="F158" s="1090" t="str">
        <f>INDEX('卡片raw data'!C:C,MATCH($D158,'卡片raw data'!$F:$F,))</f>
        <v>UR</v>
      </c>
      <c r="G158" s="1094" t="s">
        <v>31</v>
      </c>
      <c r="H158" s="411">
        <f>IFERROR(INDEX(绊状态确认!C:C,MATCH($G158,绊状态确认!$B:$B,)),"")</f>
        <v>8</v>
      </c>
      <c r="I158" s="450" t="str">
        <f>IFERROR(INDEX(绊状态确认!D:D,MATCH($G158,绊状态确认!$B:$B,)),"")</f>
        <v>缪</v>
      </c>
      <c r="J158" s="450" t="str">
        <f>IFERROR(INDEX(绊状态确认!E:E,MATCH($G158,绊状态确认!$B:$B,)),"")</f>
        <v>1年级</v>
      </c>
      <c r="K158" s="451" t="str">
        <f>IFERROR(INDEX(绊状态确认!F:F,MATCH($G158,绊状态确认!$B:$B,)),"")</f>
        <v>Printemps</v>
      </c>
      <c r="L158" s="1094" t="str">
        <f>INDEX('卡片raw data'!E:E,MATCH($D158,'卡片raw data'!$F:$F,))</f>
        <v>卡池卡</v>
      </c>
      <c r="M158" s="415">
        <v>43845</v>
      </c>
      <c r="N158" s="416">
        <v>7.5</v>
      </c>
      <c r="O158" s="1091" t="str">
        <f>INDEX('卡片raw data'!D:D,MATCH($D158,'卡片raw data'!$F:$F,))</f>
        <v>vo</v>
      </c>
      <c r="P158" s="417">
        <v>5</v>
      </c>
      <c r="Q158" s="1095">
        <f t="shared" si="173"/>
        <v>59565.195747668884</v>
      </c>
      <c r="R158" s="1096">
        <f t="shared" si="174"/>
        <v>0.69199999999999995</v>
      </c>
      <c r="S158" s="1097">
        <f t="shared" si="175"/>
        <v>20432.500632159477</v>
      </c>
      <c r="T158" s="1098">
        <f t="shared" si="176"/>
        <v>1.0209999999999999</v>
      </c>
      <c r="U158" s="1099">
        <f t="shared" si="177"/>
        <v>-8.3445243828571449</v>
      </c>
      <c r="V158" s="1100">
        <f t="shared" si="178"/>
        <v>59584.292478171439</v>
      </c>
      <c r="W158" s="1101">
        <f t="shared" si="179"/>
        <v>4553.1760325805444</v>
      </c>
      <c r="X158" s="1096">
        <f t="shared" si="180"/>
        <v>5.1999999999999998E-2</v>
      </c>
      <c r="Y158" s="1097">
        <f t="shared" si="181"/>
        <v>1323.765180744258</v>
      </c>
      <c r="Z158" s="1102">
        <f t="shared" si="182"/>
        <v>16.655475617142855</v>
      </c>
      <c r="AA158" s="1103">
        <f t="shared" si="183"/>
        <v>5876.9412133248024</v>
      </c>
      <c r="AB158" s="1101">
        <f t="shared" si="184"/>
        <v>4553.1760325805444</v>
      </c>
      <c r="AC158" s="1104">
        <f t="shared" si="185"/>
        <v>5.1999999999999998E-2</v>
      </c>
      <c r="AD158" s="1105">
        <f t="shared" si="186"/>
        <v>7.6874999999999999E-2</v>
      </c>
      <c r="AE158" s="1128">
        <f t="shared" si="187"/>
        <v>37.397385223472185</v>
      </c>
      <c r="AF158" s="1130">
        <f t="shared" si="188"/>
        <v>0</v>
      </c>
      <c r="AG158" s="420">
        <f t="shared" si="189"/>
        <v>0</v>
      </c>
      <c r="AH158" s="420">
        <f t="shared" si="190"/>
        <v>0</v>
      </c>
      <c r="AI158" s="1097">
        <f t="shared" si="191"/>
        <v>0</v>
      </c>
      <c r="AJ158" s="420">
        <f t="shared" si="192"/>
        <v>0</v>
      </c>
      <c r="AK158" s="518">
        <f t="shared" si="193"/>
        <v>0</v>
      </c>
      <c r="AL158" s="1106">
        <f>IF($P158="","N/A",(IF($P158=-1,INDEX('卡片raw data'!S:S,MATCH($D158,'卡片raw data'!$F:$F,)),0)+IF($P158=0,INDEX('卡片raw data'!V:V,MATCH($D158,'卡片raw data'!$F:$F,)),0)+IF($P158=1,INDEX('卡片raw data'!Y:Y,MATCH($D158,'卡片raw data'!$F:$F,)),0)+IF($P158=2,INDEX('卡片raw data'!AB:AB,MATCH($D158,'卡片raw data'!$F:$F,)),0)+IF($P158=3,INDEX('卡片raw data'!AE:AE,MATCH($D158,'卡片raw data'!$F:$F,)),0)+IF($P158=4,INDEX('卡片raw data'!AH:AH,MATCH($D158,'卡片raw data'!$F:$F,)),0)+IF($P158=5,INDEX('卡片raw data'!AK:AK,MATCH($D158,'卡片raw data'!$F:$F,)),0)+INDEX('卡片raw data'!S:S,MATCH($D158,'卡片raw data'!$F:$F,))*(IF($F158="UR",0.04,0.033))*(IF($F158="UR",INDEX(绊状态确认!$S:$S,MATCH($G158,绊状态确认!$B:$B,))/2-40)+IF($F158="SR",INDEX(绊状态确认!$R:$R,MATCH($G158,绊状态确认!$B:$B,))/4-15))+IF($F158="R",INDEX(绊状态确认!$Q:$Q,MATCH($G158,绊状态确认!$B:$B,))/6-40/6)))*(INDEX(绊状态确认!$H:$H,MATCH($G158,绊状态确认!$B:$B,))+INDEX(绊状态确认!J:J,MATCH($G158,绊状态确认!$B:$B,)))</f>
        <v>14358.368543999997</v>
      </c>
      <c r="AM158" s="1106">
        <f>IF($P158="","N/A",(IF($P158=-1,INDEX('卡片raw data'!T:T,MATCH($D158,'卡片raw data'!$F:$F,)),0)+IF($P158=0,INDEX('卡片raw data'!W:W,MATCH($D158,'卡片raw data'!$F:$F,)),0)+IF($P158=1,INDEX('卡片raw data'!Z:Z,MATCH($D158,'卡片raw data'!$F:$F,)),0)+IF($P158=2,INDEX('卡片raw data'!AC:AC,MATCH($D158,'卡片raw data'!$F:$F,)),0)+IF($P158=3,INDEX('卡片raw data'!AF:AF,MATCH($D158,'卡片raw data'!$F:$F,)),0)+IF($P158=4,INDEX('卡片raw data'!AI:AI,MATCH($D158,'卡片raw data'!$F:$F,)),0)+IF($P158=5,INDEX('卡片raw data'!AL:AL,MATCH($D158,'卡片raw data'!$F:$F,)),0)+INDEX('卡片raw data'!T:T,MATCH($D158,'卡片raw data'!$F:$F,))*(IF($F158="UR",0.04,0.033))*(IF($F158="UR",INDEX(绊状态确认!$S:$S,MATCH($G158,绊状态确认!$B:$B,))/2-40)+IF($F158="SR",INDEX(绊状态确认!$R:$R,MATCH($G158,绊状态确认!$B:$B,))/4-15))+IF($F158="R",INDEX(绊状态确认!$Q:$Q,MATCH($G158,绊状态确认!$B:$B,))/6-40/6)))*(INDEX(绊状态确认!$H:$H,MATCH($G158,绊状态确认!$B:$B,))+INDEX(绊状态确认!K:K,MATCH($G158,绊状态确认!$B:$B,)))</f>
        <v>6382.0223999999989</v>
      </c>
      <c r="AN158" s="1106">
        <f>IF($P158="","N/A",(IF($P158=-1,INDEX('卡片raw data'!U:U,MATCH($D158,'卡片raw data'!$F:$F,)),0)+IF($P158=0,INDEX('卡片raw data'!X:X,MATCH($D158,'卡片raw data'!$F:$F,)),0)+IF($P158=1,INDEX('卡片raw data'!AA:AA,MATCH($D158,'卡片raw data'!$F:$F,)),0)+IF($P158=2,INDEX('卡片raw data'!AD:AD,MATCH($D158,'卡片raw data'!$F:$F,)),0)+IF($P158=3,INDEX('卡片raw data'!AG:AG,MATCH($D158,'卡片raw data'!$F:$F,)),0)+IF($P158=4,INDEX('卡片raw data'!AJ:AJ,MATCH($D158,'卡片raw data'!$F:$F,)),0)+IF($P158=5,INDEX('卡片raw data'!AM:AM,MATCH($D158,'卡片raw data'!$F:$F,)),0)+INDEX('卡片raw data'!U:U,MATCH($D158,'卡片raw data'!$F:$F,))*(IF($F158="UR",0.04,0.033))*(IF($F158="UR",INDEX(绊状态确认!$S:$S,MATCH($G158,绊状态确认!$B:$B,))/2-40)+IF($F158="SR",INDEX(绊状态确认!$R:$R,MATCH($G158,绊状态确认!$B:$B,))/4-15))+IF($F158="R",INDEX(绊状态确认!$Q:$Q,MATCH($G158,绊状态确认!$B:$B,))/6-40/6)))*(INDEX(绊状态确认!$H:$H,MATCH($G158,绊状态确认!$B:$B,))+INDEX(绊状态确认!L:L,MATCH($G158,绊状态确认!$B:$B,)))</f>
        <v>11167.357343999998</v>
      </c>
      <c r="AO158" s="1107">
        <f t="shared" si="194"/>
        <v>1</v>
      </c>
      <c r="AP158" s="1131">
        <f>1+(INDEX(绊状态确认!$T:$T,MATCH($G158,绊状态确认!$B:$B,))+0.2)*$AO158</f>
        <v>1.3</v>
      </c>
      <c r="AQ158" s="1108">
        <f t="shared" si="195"/>
        <v>40940.717427999996</v>
      </c>
      <c r="AR158" s="1097">
        <f>(AM158*(1+$EX$9)+$EX$35)*(1+(INDEX(绊状态确认!$T:$T,MATCH($G158,绊状态确认!$B:$B,))+0.2)*AO158)*IF(J158=$FF$17,1+$FE$17,1)*IF(I158=$FF$14,1+$FE$14,1)*(1+$FE$15)</f>
        <v>11415.460575999999</v>
      </c>
      <c r="AS158" s="1097">
        <f>(AN158*(1+$EX$10)+$EX$36)*(1+(INDEX(绊状态确认!$T:$T,MATCH($G158,绊状态确认!$B:$B,))+0.2)*AO158)*IF(J158=$FF$17,1+$FE$17,1)*IF(I158=$FF$14,1+$FE$14,1)*(1+$FE$15)</f>
        <v>20751.199229279995</v>
      </c>
      <c r="AT158" s="1093">
        <f>IF(AND(INDEX('卡片raw data'!AK:AK,MATCH($D158,'卡片raw data'!$F:$F,))&lt;INDEX('卡片raw data'!AM:AM,MATCH($D158,'卡片raw data'!$F:$F,)),INDEX('卡片raw data'!AL:AL,MATCH($D158,'卡片raw data'!$F:$F,))&lt;INDEX('卡片raw data'!AM:AM,MATCH($D158,'卡片raw data'!$F:$F,))),1,0)</f>
        <v>0</v>
      </c>
      <c r="AU158" s="1098">
        <f>MIN(AT158*0.15+AS158*0.00003+INDEX(绊状态确认!M:M,MATCH($G158,绊状态确认!$B:$B,)),1)</f>
        <v>0.65253597687839993</v>
      </c>
      <c r="AV158" s="1109">
        <f>(INDEX(绊状态确认!$N:$N,MATCH($G158,绊状态确认!$B:$B,))+1.5)*$EW$21</f>
        <v>2.6599999999999997</v>
      </c>
      <c r="AW158" s="1101">
        <f t="shared" si="196"/>
        <v>44294.09229372134</v>
      </c>
      <c r="AX158" s="1097">
        <f t="shared" si="197"/>
        <v>976.18408968266522</v>
      </c>
      <c r="AY158" s="1110">
        <f t="shared" si="198"/>
        <v>45270.276383404009</v>
      </c>
      <c r="AZ158" s="429">
        <f t="shared" si="199"/>
        <v>30598.818660799992</v>
      </c>
      <c r="BA158" s="431">
        <f t="shared" si="200"/>
        <v>36718.582392959986</v>
      </c>
      <c r="BB158" s="1097">
        <f>(AM158*(1+$FB$9)+$FB$35)*(1+(INDEX(绊状态确认!$T:$T,MATCH($G158,绊状态确认!$B:$B,))+0.2)*AO158)*IF(J158=$FF$17,1+$FE$17,1)*IF(I158=$FF$14,1+$FE$14,1)*(1+$FE$15)</f>
        <v>11415.460575999999</v>
      </c>
      <c r="BC158" s="1097">
        <f>(AN158*(1+$FB$10)+$FB$36)*(1+(INDEX(绊状态确认!$T:$T,MATCH($G158,绊状态确认!$B:$B,))+0.2)*AO158)*IF(J158=$FF$17,1+$FE$17,1)*IF(I158=$FF$14,1+$FE$14,1)*(1+$FE$15)</f>
        <v>20751.199229279995</v>
      </c>
      <c r="BD158" s="1104">
        <f>MIN(AT158*0.15+BC158*0.00003+INDEX(绊状态确认!M:M,MATCH($G158,绊状态确认!$B:$B,)),1)</f>
        <v>0.65253597687839993</v>
      </c>
      <c r="BE158" s="432">
        <f>(INDEX(绊状态确认!$N:$N,MATCH($G158,绊状态确认!$B:$B,))+1.5)</f>
        <v>1.9</v>
      </c>
      <c r="BF158" s="1139">
        <f t="array" ref="BF158">SUMPRODUCT(IF(AZ158*AP158*$FI$16:$FI$23*$FA$22&gt;=$FI$24,$FI$24,AZ158*AP158*$FI$16:$FI$23*$FA$22),$FJ$16:$FJ$23)</f>
        <v>57016.125335003191</v>
      </c>
      <c r="BG158" s="1125">
        <f t="array" ref="BG158">SUMPRODUCT(IF(BE158*AZ158*AP158*$FI$16:$FI$23*$FA$22&gt;=$FI$24,$FI$24,BE158*AZ158*AP158*$FI$16:$FI$23*$FA$22),$FJ$16:$FJ$23)</f>
        <v>60000</v>
      </c>
      <c r="BH158" s="1110">
        <f t="shared" si="201"/>
        <v>19654.403634803199</v>
      </c>
      <c r="BI158" s="1111">
        <f>IF(O158="vo",$EW$26/$EW$24*0.05,0)+IF(O158="sk",-$EW$26/$EW$24*(0.05-INDEX(绊状态确认!W:W,MATCH($G158,绊状态确认!$B:$B,)))+0.05*$EW$28,0)+IF(O158="sp",0.05*$EW$32*$EW$30*(1-$EW$33)-(0.05-INDEX(绊状态确认!V:V,MATCH($G158,绊状态确认!$B:$B,)))*$EW$28,0)+IF(O158="gd",-(0.05-INDEX(绊状态确认!X:X,MATCH($G158,绊状态确认!$B:$B,)))*$EW$32*$EW$30*(1-$EW$33),0)</f>
        <v>7726.3029277443748</v>
      </c>
      <c r="BJ158" s="1097">
        <f>IF(O158="vo",0.05*(1-$FI$26)*$FA$24,0)+IF(O158="sk",-(0.05-INDEX(绊状态确认!W:W,MATCH($G158,绊状态确认!$B:$B,)))*(1-$FI$26)*$FA$24+0.05*$FA$26,0)+IF(O158="sp",0.05*$FA$32*$FA$27*(1-$FA$33)/$FA$30+0.05*$FA$29/$FA$69*$FA$27*(1-$FA$33)-(0.05-INDEX(绊状态确认!V:V,MATCH($G158,绊状态确认!$B:$B,)))*$FA$26,0)+IF(O158="gd",-(0.05-INDEX(绊状态确认!X:X,MATCH($G158,绊状态确认!$B:$B,)))*$FA$32*$FA$27*(1-$FA$33)/$FA$30-(0.05-INDEX(绊状态确认!X:X,MATCH($G158,绊状态确认!$B:$B,)))*$FA$29/$FA$69*$FA$27*(1-$FA$33),0)</f>
        <v>393.93433687500004</v>
      </c>
      <c r="BK158" s="1110">
        <f>IF(O158="vo",$EW$26/$EW$24*0.05+$EW$26*(-HP($EW$62,$EW$65,$EW$64)+HP($EW$62,$EW$65,(1.05-INDEX(绊状态确认!U:U,MATCH($G158,绊状态确认!$B:$B,)))*$EW$64)),0)+IF(O158="sk",-$EW$26/$EW$24*(0.05-INDEX(绊状态确认!W:W,MATCH($G158,绊状态确认!$B:$B,)))+0.05*$EW$29,0)+IF(O158="sp",0.05*$EW$32*$EW$30*(1-$EW$33)-(0.05-INDEX(绊状态确认!V:V,MATCH($G158,绊状态确认!$B:$B,)))*$EW$29,0)+IF(O158="gd",-(0.05-INDEX(绊状态确认!X:X,MATCH($G158,绊状态确认!$B:$B,)))*$EW$32*$EW$30*(1-$EW$33)+$EW$26*(-HP($EW$62,$EW$65,$EW$64)+HP($EW$62,$EW$65,0.95*$EW$64)),0)</f>
        <v>6421.6344775026746</v>
      </c>
      <c r="BL158" s="1111">
        <f t="shared" si="202"/>
        <v>0</v>
      </c>
      <c r="BM158" s="1110">
        <f t="shared" si="203"/>
        <v>0</v>
      </c>
      <c r="BN158" s="1113">
        <f t="shared" si="204"/>
        <v>3</v>
      </c>
      <c r="BO158" s="1097">
        <f t="shared" si="205"/>
        <v>4507.7214871259994</v>
      </c>
      <c r="BP158" s="1100">
        <f t="shared" si="206"/>
        <v>221.34103209030098</v>
      </c>
      <c r="BQ158" s="1113" t="s">
        <v>144</v>
      </c>
      <c r="BR158" s="1124" t="s">
        <v>147</v>
      </c>
      <c r="BS158" s="1098">
        <f>IF($P158="","N/A",IF($P158=-1,INDEX('卡片raw data'!AX:AX,MATCH($D158,'卡片raw data'!$F:$F,)),0)+IF($L158="party卡",IF($P158=5,INDEX('卡片raw data'!BD:BD,MATCH($D158,'卡片raw data'!$F:$F,)),IF($P158&gt;=3,INDEX('卡片raw data'!BC:BC,MATCH($D158,'卡片raw data'!$F:$F,)),INDEX('卡片raw data'!BB:BB,MATCH($D158,'卡片raw data'!$F:$F,)))),IF(OR(AND($F158="UR",$P158=0),AND($F158="SR",$P158&gt;=0,$P158&lt;=2),AND($F158="R",$P158&gt;=0,$P158&lt;4)),INDEX('卡片raw data'!AZ:AZ,MATCH($D158,'卡片raw data'!$F:$F,)),0)+IF(OR(AND($F158="UR",$P158&gt;=1,$P158&lt;=4),AND($F158="SR",$P158&lt;=4,$P158&gt;=3),AND($F158="R",$P158=4)),INDEX('卡片raw data'!BA:BA,MATCH($D158,'卡片raw data'!$F:$F,)),0)+IF($P158=5,INDEX('卡片raw data'!BB:BB,MATCH($D158,'卡片raw data'!$F:$F,)),0)))</f>
        <v>4.2000000000000003E-2</v>
      </c>
      <c r="BT158" s="1101">
        <f t="shared" si="207"/>
        <v>0</v>
      </c>
      <c r="BU158" s="1097">
        <f t="shared" si="208"/>
        <v>0</v>
      </c>
      <c r="BV158" s="1097">
        <f t="shared" si="209"/>
        <v>0</v>
      </c>
      <c r="BW158" s="1112">
        <f t="shared" si="210"/>
        <v>4.4246249999999989</v>
      </c>
      <c r="BX158" s="1100">
        <f t="shared" si="211"/>
        <v>347.58109106159276</v>
      </c>
      <c r="BY158" s="1110">
        <f t="shared" si="212"/>
        <v>347.58109106159276</v>
      </c>
      <c r="BZ158" s="1107" t="s">
        <v>569</v>
      </c>
      <c r="CA158" s="1124"/>
      <c r="CB158" s="1098">
        <f>IF($P158="","N/A",IF($P158=-1,INDEX('卡片raw data'!BE:BE,MATCH($D158,'卡片raw data'!$F:$F,)),0)+IF($L158="party卡",IF($P158=5,INDEX('卡片raw data'!BK:BK,MATCH($D158,'卡片raw data'!$F:$F,)),IF($P158&gt;=3,INDEX('卡片raw data'!BJ:BJ,MATCH($D158,'卡片raw data'!$F:$F,)),INDEX('卡片raw data'!BI:BI,MATCH($D158,'卡片raw data'!$F:$F,)))),IF(OR(AND($F158="UR",$P158=0),AND($F158="SR",$P158&gt;=0,$P158&lt;=2),AND($F158="R",$P158&gt;=0,$P158&lt;4)),INDEX('卡片raw data'!BG:BG,MATCH($D158,'卡片raw data'!$F:$F,)),0)+IF(OR(AND($F158="UR",$P158&gt;=1,$P158&lt;=4),AND($F158="SR",$P158&lt;=4,$P158&gt;=3),AND($F158="R",$P158=4)),INDEX('卡片raw data'!BH:BH,MATCH($D158,'卡片raw data'!$F:$F,)),0)+IF($P158=5,INDEX('卡片raw data'!BI:BI,MATCH($D158,'卡片raw data'!$F:$F,)),0)))</f>
        <v>0</v>
      </c>
      <c r="CC158" s="1101">
        <f t="shared" si="213"/>
        <v>0</v>
      </c>
      <c r="CD158" s="1097">
        <f>IF(BZ158="ap",CB158*(1-$FI$26)*$FB$5/$FB$11*(+IF(CA158="全员",$FA$24,0)+IF(CA158="同作战",$FA$24,0)+IF(CA158="仲间",$FA$24*2/3,0)+IF(CA158="同属性",$FA$24*$FA$37/3,0)+IF(CA158="同年级",$FA$24*$FA$40/3,0)+IF(CA158="同学校",$FA$24*$FA$43/3,0)+IF(CA158="同小队",$FA$24*$FA$46/3,0)+IF(CA158="同type",$FA$24*INDEX($FB$49:$FB$52,MATCH(X158,$FA$49:$FA$52,))/3,0)+IF(CA158="自身",#REF!/3,0)),0)+IF(BZ158="te",CB158*(1-$FI$27)*($FA$20-1)*$FB$7/$FB$13*(+IF(CA158="全员",$FA$19*$FA$24/(1+($FA$20-1)*$FA$19),0)+IF(CA158="同作战",$FA$19*$FA$24/(1+($FA$20-1)*$FA$19),0)+IF(CA158="仲间",$FA$19*$FA$24*2/3/(1+($FA$20-1)*$FA$19),0)+IF(CA158="同属性",$FA$19*$FA$24*$FA$37/3/(1+($FA$20-1)*$FA$19),0)+IF(CA158="同年级",$FA$19*$FA$24*$FA$40/3/(1+($FA$20-1)*$FA$19),0)+IF(CA158="同学校",$FA$19*$FA$24*$FA$43/3/(1+($FA$20-1)*$FA$19),0)+IF(CA158="同小队",$FA$19*$FA$24*$FA$46/3/(1+($FA$20-1)*$FA$19),0)+IF(CA158="同type",$FA$19*$FA$24*INDEX($FB$49:$FB$52,MATCH(X158,$FA$49:$FA$52,))/3/(1+($FA$20-1)*$FA$19),0)+IF(CA158="自身",$FA$19*#REF!/3/(1+(BH158-1)*$BD158),0)),0)</f>
        <v>0</v>
      </c>
      <c r="CE158" s="1097">
        <f t="shared" si="214"/>
        <v>0</v>
      </c>
      <c r="CF158" s="1112">
        <f t="shared" si="215"/>
        <v>0</v>
      </c>
      <c r="CG158" s="1100">
        <f t="shared" si="216"/>
        <v>0</v>
      </c>
      <c r="CH158" s="1110">
        <f t="shared" si="217"/>
        <v>0</v>
      </c>
      <c r="CI158" s="1113" t="s">
        <v>170</v>
      </c>
      <c r="CJ158" s="1114">
        <v>0.3</v>
      </c>
      <c r="CK158" s="1115" t="s">
        <v>154</v>
      </c>
      <c r="CL158" s="1115" t="s">
        <v>161</v>
      </c>
      <c r="CM158" s="1119">
        <v>0.1</v>
      </c>
      <c r="CN158" s="1115">
        <v>10</v>
      </c>
      <c r="CO158" s="1092"/>
      <c r="CP158" s="1118">
        <f t="shared" si="218"/>
        <v>1.0714285714285715E-3</v>
      </c>
      <c r="CQ158" s="1118">
        <f t="shared" si="219"/>
        <v>1.6666666666666666E-3</v>
      </c>
      <c r="CR158" s="1118">
        <f t="shared" si="220"/>
        <v>1.0714285714285715E-3</v>
      </c>
      <c r="CS158" s="1118">
        <f t="shared" si="221"/>
        <v>7.6874999999999999E-2</v>
      </c>
      <c r="CT158" s="1109">
        <f t="shared" si="222"/>
        <v>0</v>
      </c>
      <c r="CU158" s="1101">
        <f t="shared" si="223"/>
        <v>45.454545454545453</v>
      </c>
      <c r="CV158" s="1108">
        <f t="shared" si="224"/>
        <v>37.878787878787875</v>
      </c>
      <c r="CW158" s="1097">
        <f t="shared" si="225"/>
        <v>45.454545454545453</v>
      </c>
      <c r="CX158" s="1097">
        <f t="shared" si="226"/>
        <v>45.454545454545453</v>
      </c>
      <c r="CY158" s="1110">
        <f t="shared" si="227"/>
        <v>45.454545454545453</v>
      </c>
      <c r="CZ158" s="437"/>
      <c r="DA158" s="438"/>
      <c r="DB158" s="439" t="s">
        <v>569</v>
      </c>
      <c r="DC158" s="439"/>
      <c r="DD158" s="443"/>
      <c r="DE158" s="411"/>
      <c r="DF158" s="411"/>
      <c r="DG158" s="1116">
        <f t="shared" si="228"/>
        <v>0</v>
      </c>
      <c r="DH158" s="1116">
        <f t="shared" si="229"/>
        <v>0</v>
      </c>
      <c r="DI158" s="1116">
        <f t="shared" si="230"/>
        <v>0</v>
      </c>
      <c r="DJ158" s="442">
        <f t="shared" si="231"/>
        <v>0</v>
      </c>
      <c r="DK158" s="1109">
        <f t="shared" si="232"/>
        <v>0</v>
      </c>
      <c r="DL158" s="1101">
        <f t="shared" si="233"/>
        <v>0</v>
      </c>
      <c r="DM158" s="1097">
        <f t="shared" si="234"/>
        <v>0</v>
      </c>
      <c r="DN158" s="1097">
        <f t="shared" si="235"/>
        <v>0</v>
      </c>
      <c r="DO158" s="1097">
        <f t="shared" si="236"/>
        <v>0</v>
      </c>
      <c r="DP158" s="1110">
        <f t="shared" si="237"/>
        <v>0</v>
      </c>
      <c r="DQ158" s="1113" t="s">
        <v>153</v>
      </c>
      <c r="DR158" s="1120">
        <f t="shared" si="238"/>
        <v>0.33</v>
      </c>
      <c r="DS158" s="1124">
        <v>5</v>
      </c>
      <c r="DT158" s="1093" t="s">
        <v>169</v>
      </c>
      <c r="DU158" s="1093" t="s">
        <v>544</v>
      </c>
      <c r="DV158" s="1098">
        <f>IF($P158="","N/A",IF(P158=-1,INDEX('卡片raw data'!AN:AN,MATCH(D158,'卡片raw data'!$F:$F,)),0)+IF(AND(L158&lt;&gt;"party卡",P158&lt;=2,P158&gt;=0),INDEX('卡片raw data'!AP:AP,MATCH(D158,'卡片raw data'!$F:$F,)),0)+IF(OR(AND(L158="party卡",P158&lt;=1),AND(P158&lt;=4,L158&lt;&gt;"party卡",P158&gt;=3)),INDEX('卡片raw data'!AQ:AQ,MATCH(D158,'卡片raw data'!$F:$F,)),0)+IF(OR(P158=5,AND(L158="party卡",P158&gt;=2)),INDEX('卡片raw data'!AR:AR,MATCH(D158,'卡片raw data'!$F:$F,)),0))</f>
        <v>7.1999999999999995E-2</v>
      </c>
      <c r="DW158" s="1098">
        <f t="shared" si="239"/>
        <v>0.33</v>
      </c>
      <c r="DX158" s="1098">
        <f t="shared" si="240"/>
        <v>0.33</v>
      </c>
      <c r="DY158" s="1098">
        <f t="shared" si="241"/>
        <v>2.2000000000000002E-2</v>
      </c>
      <c r="DZ158" s="1098">
        <f t="shared" si="242"/>
        <v>1.9030000000000002E-2</v>
      </c>
      <c r="EA158" s="1098">
        <f t="shared" si="243"/>
        <v>0</v>
      </c>
      <c r="EB158" s="1121">
        <f t="shared" si="244"/>
        <v>0</v>
      </c>
      <c r="EC158" s="1101">
        <f t="shared" si="245"/>
        <v>2991.6244936226226</v>
      </c>
      <c r="ED158" s="1097">
        <f t="shared" si="246"/>
        <v>124.94284051218752</v>
      </c>
      <c r="EE158" s="1110">
        <f t="shared" si="247"/>
        <v>2991.6244936226226</v>
      </c>
      <c r="EF158" s="1092" t="s">
        <v>711</v>
      </c>
      <c r="EG158" s="1120">
        <f t="shared" si="248"/>
        <v>0.33</v>
      </c>
      <c r="EH158" s="1124"/>
      <c r="EI158" s="1093"/>
      <c r="EJ158" s="1093"/>
      <c r="EK158" s="1097">
        <f>IF($P158="","N/A",IF(P158=-1,INDEX('卡片raw data'!AS:AS,MATCH(D158,'卡片raw data'!$F:$F,)),0)+IF(AND(L158&lt;&gt;"party卡",P158&lt;=2,P158&gt;=0),INDEX('卡片raw data'!AU:AU,MATCH(D158,'卡片raw data'!$F:$F,)),0)+IF(OR(AND(L158="party卡",P158&lt;=1),AND(P158&lt;=4,L158&lt;&gt;"party卡",P158&gt;=3)),INDEX('卡片raw data'!AV:AV,MATCH(D158,'卡片raw data'!$F:$F,)),0)+IF(OR(P158=5,AND(L158="party卡",P158&gt;=2)),INDEX('卡片raw data'!AW:AW,MATCH(D158,'卡片raw data'!$F:$F,)),0))</f>
        <v>0</v>
      </c>
      <c r="EL158" s="1098">
        <f t="shared" si="249"/>
        <v>0.33</v>
      </c>
      <c r="EM158" s="1098">
        <f t="shared" si="250"/>
        <v>0.33</v>
      </c>
      <c r="EN158" s="1125">
        <f t="shared" si="251"/>
        <v>0</v>
      </c>
      <c r="EO158" s="1125">
        <f t="shared" si="252"/>
        <v>0</v>
      </c>
      <c r="EP158" s="1098">
        <f t="shared" si="253"/>
        <v>0</v>
      </c>
      <c r="EQ158" s="1121">
        <f t="shared" si="254"/>
        <v>0</v>
      </c>
      <c r="ER158" s="1101">
        <f t="shared" si="255"/>
        <v>0</v>
      </c>
      <c r="ES158" s="1097">
        <f t="shared" si="256"/>
        <v>0</v>
      </c>
      <c r="ET158" s="1122">
        <f t="shared" si="257"/>
        <v>0</v>
      </c>
    </row>
    <row r="159" spans="2:150" ht="16.5" customHeight="1">
      <c r="B159" s="1123" t="str">
        <f>INDEX('卡片raw data'!B:B,MATCH($D159,'卡片raw data'!$F:$F,))</f>
        <v>op1黛</v>
      </c>
      <c r="C159" s="449" t="s">
        <v>69</v>
      </c>
      <c r="D159" s="408">
        <v>156</v>
      </c>
      <c r="E159" s="1090">
        <v>301042002</v>
      </c>
      <c r="F159" s="1090" t="str">
        <f>INDEX('卡片raw data'!C:C,MATCH($D159,'卡片raw data'!$F:$F,))</f>
        <v>SR</v>
      </c>
      <c r="G159" s="1094" t="s">
        <v>341</v>
      </c>
      <c r="H159" s="411">
        <f>IFERROR(INDEX(绊状态确认!C:C,MATCH($G159,绊状态确认!$B:$B,)),"")</f>
        <v>104</v>
      </c>
      <c r="I159" s="450" t="str">
        <f>IFERROR(INDEX(绊状态确认!D:D,MATCH($G159,绊状态确认!$B:$B,)),"")</f>
        <v>水</v>
      </c>
      <c r="J159" s="450" t="str">
        <f>IFERROR(INDEX(绊状态确认!E:E,MATCH($G159,绊状态确认!$B:$B,)),"")</f>
        <v>3年级</v>
      </c>
      <c r="K159" s="451" t="str">
        <f>IFERROR(INDEX(绊状态确认!F:F,MATCH($G159,绊状态确认!$B:$B,)),"")</f>
        <v>AZALEA</v>
      </c>
      <c r="L159" s="1094" t="str">
        <f>INDEX('卡片raw data'!E:E,MATCH($D159,'卡片raw data'!$F:$F,))</f>
        <v>卡池卡</v>
      </c>
      <c r="M159" s="415">
        <v>43845</v>
      </c>
      <c r="N159" s="416">
        <v>7.5</v>
      </c>
      <c r="O159" s="1091" t="str">
        <f>INDEX('卡片raw data'!D:D,MATCH($D159,'卡片raw data'!$F:$F,))</f>
        <v>sk</v>
      </c>
      <c r="P159" s="417">
        <v>5</v>
      </c>
      <c r="Q159" s="1095">
        <f t="shared" si="173"/>
        <v>23288.154603100404</v>
      </c>
      <c r="R159" s="1096">
        <f t="shared" si="174"/>
        <v>0.27</v>
      </c>
      <c r="S159" s="1097">
        <f t="shared" si="175"/>
        <v>14848.96356914068</v>
      </c>
      <c r="T159" s="1098">
        <f t="shared" si="176"/>
        <v>0.74199999999999999</v>
      </c>
      <c r="U159" s="1099">
        <f t="shared" si="177"/>
        <v>12.682002611511427</v>
      </c>
      <c r="V159" s="1100">
        <f t="shared" si="178"/>
        <v>26295.074095862354</v>
      </c>
      <c r="W159" s="1101">
        <f t="shared" si="179"/>
        <v>4513.7642066795534</v>
      </c>
      <c r="X159" s="1096">
        <f t="shared" si="180"/>
        <v>5.1999999999999998E-2</v>
      </c>
      <c r="Y159" s="1097">
        <f t="shared" si="181"/>
        <v>1006.9194927619519</v>
      </c>
      <c r="Z159" s="1102">
        <f t="shared" si="182"/>
        <v>12.682002611511427</v>
      </c>
      <c r="AA159" s="1103">
        <f t="shared" si="183"/>
        <v>5520.6836994415053</v>
      </c>
      <c r="AB159" s="1101">
        <f t="shared" si="184"/>
        <v>4513.7642066795534</v>
      </c>
      <c r="AC159" s="1104">
        <f t="shared" si="185"/>
        <v>5.1999999999999998E-2</v>
      </c>
      <c r="AD159" s="1105">
        <f t="shared" si="186"/>
        <v>1.8994224431818179E-2</v>
      </c>
      <c r="AE159" s="1128">
        <f t="shared" si="187"/>
        <v>4.3537577047458456</v>
      </c>
      <c r="AF159" s="1130">
        <f t="shared" si="188"/>
        <v>0</v>
      </c>
      <c r="AG159" s="420">
        <f t="shared" si="189"/>
        <v>0</v>
      </c>
      <c r="AH159" s="420">
        <f t="shared" si="190"/>
        <v>0</v>
      </c>
      <c r="AI159" s="1097">
        <f t="shared" si="191"/>
        <v>0</v>
      </c>
      <c r="AJ159" s="420">
        <f t="shared" si="192"/>
        <v>0</v>
      </c>
      <c r="AK159" s="518">
        <f t="shared" si="193"/>
        <v>0</v>
      </c>
      <c r="AL159" s="1106">
        <f>IF($P159="","N/A",(IF($P159=-1,INDEX('卡片raw data'!S:S,MATCH($D159,'卡片raw data'!$F:$F,)),0)+IF($P159=0,INDEX('卡片raw data'!V:V,MATCH($D159,'卡片raw data'!$F:$F,)),0)+IF($P159=1,INDEX('卡片raw data'!Y:Y,MATCH($D159,'卡片raw data'!$F:$F,)),0)+IF($P159=2,INDEX('卡片raw data'!AB:AB,MATCH($D159,'卡片raw data'!$F:$F,)),0)+IF($P159=3,INDEX('卡片raw data'!AE:AE,MATCH($D159,'卡片raw data'!$F:$F,)),0)+IF($P159=4,INDEX('卡片raw data'!AH:AH,MATCH($D159,'卡片raw data'!$F:$F,)),0)+IF($P159=5,INDEX('卡片raw data'!AK:AK,MATCH($D159,'卡片raw data'!$F:$F,)),0)+INDEX('卡片raw data'!S:S,MATCH($D159,'卡片raw data'!$F:$F,))*(IF($F159="UR",0.04,0.033))*(IF($F159="UR",INDEX(绊状态确认!$S:$S,MATCH($G159,绊状态确认!$B:$B,))/2-40)+IF($F159="SR",INDEX(绊状态确认!$R:$R,MATCH($G159,绊状态确认!$B:$B,))/4-15))+IF($F159="R",INDEX(绊状态确认!$Q:$Q,MATCH($G159,绊状态确认!$B:$B,))/6-40/6)))*(INDEX(绊状态确认!$H:$H,MATCH($G159,绊状态确认!$B:$B,))+INDEX(绊状态确认!J:J,MATCH($G159,绊状态确认!$B:$B,)))</f>
        <v>6274.2212231999993</v>
      </c>
      <c r="AM159" s="1106">
        <f>IF($P159="","N/A",(IF($P159=-1,INDEX('卡片raw data'!T:T,MATCH($D159,'卡片raw data'!$F:$F,)),0)+IF($P159=0,INDEX('卡片raw data'!W:W,MATCH($D159,'卡片raw data'!$F:$F,)),0)+IF($P159=1,INDEX('卡片raw data'!Z:Z,MATCH($D159,'卡片raw data'!$F:$F,)),0)+IF($P159=2,INDEX('卡片raw data'!AC:AC,MATCH($D159,'卡片raw data'!$F:$F,)),0)+IF($P159=3,INDEX('卡片raw data'!AF:AF,MATCH($D159,'卡片raw data'!$F:$F,)),0)+IF($P159=4,INDEX('卡片raw data'!AI:AI,MATCH($D159,'卡片raw data'!$F:$F,)),0)+IF($P159=5,INDEX('卡片raw data'!AL:AL,MATCH($D159,'卡片raw data'!$F:$F,)),0)+INDEX('卡片raw data'!T:T,MATCH($D159,'卡片raw data'!$F:$F,))*(IF($F159="UR",0.04,0.033))*(IF($F159="UR",INDEX(绊状态确认!$S:$S,MATCH($G159,绊状态确认!$B:$B,))/2-40)+IF($F159="SR",INDEX(绊状态确认!$R:$R,MATCH($G159,绊状态确认!$B:$B,))/4-15))+IF($F159="R",INDEX(绊状态确认!$Q:$Q,MATCH($G159,绊状态确认!$B:$B,))/6-40/6)))*(INDEX(绊状态确认!$H:$H,MATCH($G159,绊状态确认!$B:$B,))+INDEX(绊状态确认!K:K,MATCH($G159,绊状态确认!$B:$B,)))</f>
        <v>5489.9529455999991</v>
      </c>
      <c r="AN159" s="1106">
        <f>IF($P159="","N/A",(IF($P159=-1,INDEX('卡片raw data'!U:U,MATCH($D159,'卡片raw data'!$F:$F,)),0)+IF($P159=0,INDEX('卡片raw data'!X:X,MATCH($D159,'卡片raw data'!$F:$F,)),0)+IF($P159=1,INDEX('卡片raw data'!AA:AA,MATCH($D159,'卡片raw data'!$F:$F,)),0)+IF($P159=2,INDEX('卡片raw data'!AD:AD,MATCH($D159,'卡片raw data'!$F:$F,)),0)+IF($P159=3,INDEX('卡片raw data'!AG:AG,MATCH($D159,'卡片raw data'!$F:$F,)),0)+IF($P159=4,INDEX('卡片raw data'!AJ:AJ,MATCH($D159,'卡片raw data'!$F:$F,)),0)+IF($P159=5,INDEX('卡片raw data'!AM:AM,MATCH($D159,'卡片raw data'!$F:$F,)),0)+INDEX('卡片raw data'!U:U,MATCH($D159,'卡片raw data'!$F:$F,))*(IF($F159="UR",0.04,0.033))*(IF($F159="UR",INDEX(绊状态确认!$S:$S,MATCH($G159,绊状态确认!$B:$B,))/2-40)+IF($F159="SR",INDEX(绊状态确认!$R:$R,MATCH($G159,绊状态确认!$B:$B,))/4-15))+IF($F159="R",INDEX(绊状态确认!$Q:$Q,MATCH($G159,绊状态确认!$B:$B,))/6-40/6)))*(INDEX(绊状态确认!$H:$H,MATCH($G159,绊状态确认!$B:$B,))+INDEX(绊状态确认!L:L,MATCH($G159,绊状态确认!$B:$B,)))</f>
        <v>7845.1055807999983</v>
      </c>
      <c r="AO159" s="1107">
        <f t="shared" si="194"/>
        <v>1</v>
      </c>
      <c r="AP159" s="1131">
        <f>1+(INDEX(绊状态确认!$T:$T,MATCH($G159,绊状态确认!$B:$B,))+0.2)*$AO159</f>
        <v>1.3</v>
      </c>
      <c r="AQ159" s="1108">
        <f t="shared" si="195"/>
        <v>19719.830710899998</v>
      </c>
      <c r="AR159" s="1097">
        <f>(AM159*(1+$EX$9)+$EX$35)*(1+(INDEX(绊状态确认!$T:$T,MATCH($G159,绊状态确认!$B:$B,))+0.2)*AO159)*IF(J159=$FF$17,1+$FE$17,1)*IF(I159=$FF$14,1+$FE$14,1)</f>
        <v>10197.785770744</v>
      </c>
      <c r="AS159" s="1097">
        <f>(AN159*(1+$EX$10)+$EX$36)*(1+(INDEX(绊状态确认!$T:$T,MATCH($G159,绊状态确认!$B:$B,))+0.2)*AO159)*IF(J159=$FF$17,1+$FE$17,1)*IF(I159=$FF$14,1+$FE$14,1)</f>
        <v>15784.432843295997</v>
      </c>
      <c r="AT159" s="1093">
        <f>IF(AND(INDEX('卡片raw data'!AK:AK,MATCH($D159,'卡片raw data'!$F:$F,))&lt;INDEX('卡片raw data'!AM:AM,MATCH($D159,'卡片raw data'!$F:$F,)),INDEX('卡片raw data'!AL:AL,MATCH($D159,'卡片raw data'!$F:$F,))&lt;INDEX('卡片raw data'!AM:AM,MATCH($D159,'卡片raw data'!$F:$F,))),1,0)</f>
        <v>1</v>
      </c>
      <c r="AU159" s="1098">
        <f>MIN(AT159*0.15+AS159*0.00003+INDEX(绊状态确认!M:M,MATCH($G159,绊状态确认!$B:$B,)),1)</f>
        <v>0.65353298529887993</v>
      </c>
      <c r="AV159" s="1109">
        <f>(INDEX(绊状态确认!$N:$N,MATCH($G159,绊状态确认!$B:$B,))+1.5)*$EW$21</f>
        <v>2.6599999999999997</v>
      </c>
      <c r="AW159" s="1101">
        <f t="shared" si="196"/>
        <v>21351.993761233582</v>
      </c>
      <c r="AX159" s="1097">
        <f t="shared" si="197"/>
        <v>869.72929854861013</v>
      </c>
      <c r="AY159" s="1110">
        <f t="shared" si="198"/>
        <v>22221.723059782191</v>
      </c>
      <c r="AZ159" s="429">
        <f t="shared" si="199"/>
        <v>14834.731385239998</v>
      </c>
      <c r="BA159" s="431">
        <f t="shared" si="200"/>
        <v>17801.677662287999</v>
      </c>
      <c r="BB159" s="1097">
        <f>(AM159*(1+$FB$9)+$FB$35)*(1+(INDEX(绊状态确认!$T:$T,MATCH($G159,绊状态确认!$B:$B,))+0.2)*AO159)*IF(J159=$FF$17,1+$FE$17,1)*IF(I159=$FF$14,1+$FE$14,1)*(1+$FE$15)</f>
        <v>10197.785770744</v>
      </c>
      <c r="BC159" s="1097">
        <f>(AN159*(1+$FB$10)+$FB$36)*(1+(INDEX(绊状态确认!$T:$T,MATCH($G159,绊状态确认!$B:$B,))+0.2)*AO159)*IF(J159=$FF$17,1+$FE$17,1)*IF(I159=$FF$14,1+$FE$14,1)*(1+$FE$15)</f>
        <v>15784.432843295997</v>
      </c>
      <c r="BD159" s="1104">
        <f>MIN(AT159*0.15+BC159*0.00003+INDEX(绊状态确认!M:M,MATCH($G159,绊状态确认!$B:$B,)),1)</f>
        <v>0.65353298529887993</v>
      </c>
      <c r="BE159" s="432">
        <f>(INDEX(绊状态确认!$N:$N,MATCH($G159,绊状态确认!$B:$B,))+1.5)</f>
        <v>1.9</v>
      </c>
      <c r="BF159" s="1139">
        <f t="array" ref="BF159">SUMPRODUCT(IF(AZ159*AP159*$FI$16:$FI$23*$FA$22&gt;=$FI$24,$FI$24,AZ159*AP159*$FI$16:$FI$23*$FA$22),$FJ$16:$FJ$23)</f>
        <v>29506.280725242366</v>
      </c>
      <c r="BG159" s="1125">
        <f t="array" ref="BG159">SUMPRODUCT(IF(BE159*AZ159*AP159*$FI$16:$FI$23*$FA$22&gt;=$FI$24,$FI$24,BE159*AZ159*AP159*$FI$16:$FI$23*$FA$22),$FJ$16:$FJ$23)</f>
        <v>54275.368656327366</v>
      </c>
      <c r="BH159" s="1110">
        <f t="shared" si="201"/>
        <v>15231.232234658268</v>
      </c>
      <c r="BI159" s="1111">
        <f>IF(O159="vo",$EW$26/$EW$24*0.05,0)+IF(O159="sk",-$EW$26/$EW$24*(0.05-INDEX(绊状态确认!W:W,MATCH($G159,绊状态确认!$B:$B,)))+0.05*$EW$28,0)+IF(O159="sp",0.05*$EW$32*$EW$30*(1-$EW$33)-(0.05-INDEX(绊状态确认!V:V,MATCH($G159,绊状态确认!$B:$B,)))*$EW$28,0)+IF(O159="gd",-(0.05-INDEX(绊状态确认!X:X,MATCH($G159,绊状态确认!$B:$B,)))*$EW$32*$EW$30*(1-$EW$33),0)</f>
        <v>-6253.6726349699375</v>
      </c>
      <c r="BJ159" s="1097">
        <f>IF(O159="vo",0.05*(1-$FI$26)*$FA$24,0)+IF(O159="sk",-(0.05-INDEX(绊状态确认!W:W,MATCH($G159,绊状态确认!$B:$B,)))*(1-$FI$26)*$FA$24+0.05*$FA$26,0)+IF(O159="sp",0.05*$FA$32*$FA$27*(1-$FA$33)/$FA$30+0.05*$FA$29/$FA$69*$FA$27*(1-$FA$33)-(0.05-INDEX(绊状态确认!V:V,MATCH($G159,绊状态确认!$B:$B,)))*$FA$26,0)+IF(O159="gd",-(0.05-INDEX(绊状态确认!X:X,MATCH($G159,绊状态确认!$B:$B,)))*$FA$32*$FA$27*(1-$FA$33)/$FA$30-(0.05-INDEX(绊状态确认!X:X,MATCH($G159,绊状态确认!$B:$B,)))*$FA$29/$FA$69*$FA$27*(1-$FA$33),0)</f>
        <v>20.459096812499922</v>
      </c>
      <c r="BK159" s="1110">
        <f>IF(O159="vo",$EW$26/$EW$24*0.05+$EW$26*(-HP($EW$62,$EW$65,$EW$64)+HP($EW$62,$EW$65,(1.05-INDEX(绊状态确认!U:U,MATCH($G159,绊状态确认!$B:$B,)))*$EW$64)),0)+IF(O159="sk",-$EW$26/$EW$24*(0.05-INDEX(绊状态确认!W:W,MATCH($G159,绊状态确认!$B:$B,)))+0.05*$EW$29,0)+IF(O159="sp",0.05*$EW$32*$EW$30*(1-$EW$33)-(0.05-INDEX(绊状态确认!V:V,MATCH($G159,绊状态确认!$B:$B,)))*$EW$29,0)+IF(O159="gd",-(0.05-INDEX(绊状态确认!X:X,MATCH($G159,绊状态确认!$B:$B,)))*$EW$32*$EW$30*(1-$EW$33)+$EW$26*(-HP($EW$62,$EW$65,$EW$64)+HP($EW$62,$EW$65,0.95*$EW$64)),0)</f>
        <v>-4253.6726349699375</v>
      </c>
      <c r="BL159" s="1111">
        <f t="shared" si="202"/>
        <v>-1083.3333333333333</v>
      </c>
      <c r="BM159" s="1110">
        <f t="shared" si="203"/>
        <v>-830.55555555555543</v>
      </c>
      <c r="BN159" s="1113">
        <f t="shared" si="204"/>
        <v>3</v>
      </c>
      <c r="BO159" s="1097">
        <f t="shared" si="205"/>
        <v>4507.7214871259994</v>
      </c>
      <c r="BP159" s="1100">
        <f t="shared" si="206"/>
        <v>221.34103209030098</v>
      </c>
      <c r="BQ159" s="1113" t="s">
        <v>624</v>
      </c>
      <c r="BR159" s="1124" t="s">
        <v>168</v>
      </c>
      <c r="BS159" s="1098">
        <f>IF($P159="","N/A",IF($P159=-1,INDEX('卡片raw data'!AX:AX,MATCH($D159,'卡片raw data'!$F:$F,)),0)+IF($L159="party卡",IF($P159=5,INDEX('卡片raw data'!BD:BD,MATCH($D159,'卡片raw data'!$F:$F,)),IF($P159&gt;=3,INDEX('卡片raw data'!BC:BC,MATCH($D159,'卡片raw data'!$F:$F,)),INDEX('卡片raw data'!BB:BB,MATCH($D159,'卡片raw data'!$F:$F,)))),IF(OR(AND($F159="UR",$P159=0),AND($F159="SR",$P159&gt;=0,$P159&lt;=2),AND($F159="R",$P159&gt;=0,$P159&lt;4)),INDEX('卡片raw data'!AZ:AZ,MATCH($D159,'卡片raw data'!$F:$F,)),0)+IF(OR(AND($F159="UR",$P159&gt;=1,$P159&lt;=4),AND($F159="SR",$P159&lt;=4,$P159&gt;=3),AND($F159="R",$P159=4)),INDEX('卡片raw data'!BA:BA,MATCH($D159,'卡片raw data'!$F:$F,)),0)+IF($P159=5,INDEX('卡片raw data'!BB:BB,MATCH($D159,'卡片raw data'!$F:$F,)),0)))</f>
        <v>0.05</v>
      </c>
      <c r="BT159" s="1101">
        <f t="shared" si="207"/>
        <v>0</v>
      </c>
      <c r="BU159" s="1097">
        <f t="shared" si="208"/>
        <v>0</v>
      </c>
      <c r="BV159" s="1097">
        <f t="shared" si="209"/>
        <v>0</v>
      </c>
      <c r="BW159" s="1112">
        <f t="shared" si="210"/>
        <v>1.7558035714285711</v>
      </c>
      <c r="BX159" s="1100">
        <f t="shared" si="211"/>
        <v>137.19019421334193</v>
      </c>
      <c r="BY159" s="1110">
        <f t="shared" si="212"/>
        <v>137.19019421334193</v>
      </c>
      <c r="BZ159" s="1107" t="s">
        <v>569</v>
      </c>
      <c r="CA159" s="1124"/>
      <c r="CB159" s="1098">
        <f>IF($P159="","N/A",IF($P159=-1,INDEX('卡片raw data'!BE:BE,MATCH($D159,'卡片raw data'!$F:$F,)),0)+IF($L159="party卡",IF($P159=5,INDEX('卡片raw data'!BK:BK,MATCH($D159,'卡片raw data'!$F:$F,)),IF($P159&gt;=3,INDEX('卡片raw data'!BJ:BJ,MATCH($D159,'卡片raw data'!$F:$F,)),INDEX('卡片raw data'!BI:BI,MATCH($D159,'卡片raw data'!$F:$F,)))),IF(OR(AND($F159="UR",$P159=0),AND($F159="SR",$P159&gt;=0,$P159&lt;=2),AND($F159="R",$P159&gt;=0,$P159&lt;4)),INDEX('卡片raw data'!BG:BG,MATCH($D159,'卡片raw data'!$F:$F,)),0)+IF(OR(AND($F159="UR",$P159&gt;=1,$P159&lt;=4),AND($F159="SR",$P159&lt;=4,$P159&gt;=3),AND($F159="R",$P159=4)),INDEX('卡片raw data'!BH:BH,MATCH($D159,'卡片raw data'!$F:$F,)),0)+IF($P159=5,INDEX('卡片raw data'!BI:BI,MATCH($D159,'卡片raw data'!$F:$F,)),0)))</f>
        <v>0</v>
      </c>
      <c r="CC159" s="1101">
        <f t="shared" si="213"/>
        <v>0</v>
      </c>
      <c r="CD159" s="1097">
        <f>IF(BZ159="ap",CB159*(1-$FI$26)*$FB$5/$FB$11*(+IF(CA159="全员",$FA$24,0)+IF(CA159="同作战",$FA$24,0)+IF(CA159="仲间",$FA$24*2/3,0)+IF(CA159="同属性",$FA$24*$FA$37/3,0)+IF(CA159="同年级",$FA$24*$FA$40/3,0)+IF(CA159="同学校",$FA$24*$FA$43/3,0)+IF(CA159="同小队",$FA$24*$FA$46/3,0)+IF(CA159="同type",$FA$24*INDEX($FB$49:$FB$52,MATCH(X159,$FA$49:$FA$52,))/3,0)+IF(CA159="自身",#REF!/3,0)),0)+IF(BZ159="te",CB159*(1-$FI$27)*($FA$20-1)*$FB$7/$FB$13*(+IF(CA159="全员",$FA$19*$FA$24/(1+($FA$20-1)*$FA$19),0)+IF(CA159="同作战",$FA$19*$FA$24/(1+($FA$20-1)*$FA$19),0)+IF(CA159="仲间",$FA$19*$FA$24*2/3/(1+($FA$20-1)*$FA$19),0)+IF(CA159="同属性",$FA$19*$FA$24*$FA$37/3/(1+($FA$20-1)*$FA$19),0)+IF(CA159="同年级",$FA$19*$FA$24*$FA$40/3/(1+($FA$20-1)*$FA$19),0)+IF(CA159="同学校",$FA$19*$FA$24*$FA$43/3/(1+($FA$20-1)*$FA$19),0)+IF(CA159="同小队",$FA$19*$FA$24*$FA$46/3/(1+($FA$20-1)*$FA$19),0)+IF(CA159="同type",$FA$19*$FA$24*INDEX($FB$49:$FB$52,MATCH(X159,$FA$49:$FA$52,))/3/(1+($FA$20-1)*$FA$19),0)+IF(CA159="自身",$FA$19*#REF!/3/(1+(BH159-1)*$BD159),0)),0)</f>
        <v>0</v>
      </c>
      <c r="CE159" s="1097">
        <f t="shared" si="214"/>
        <v>0</v>
      </c>
      <c r="CF159" s="1112">
        <f t="shared" si="215"/>
        <v>0</v>
      </c>
      <c r="CG159" s="1100">
        <f t="shared" si="216"/>
        <v>0</v>
      </c>
      <c r="CH159" s="1110">
        <f t="shared" si="217"/>
        <v>0</v>
      </c>
      <c r="CI159" s="1113" t="s">
        <v>170</v>
      </c>
      <c r="CJ159" s="1114">
        <v>0.2</v>
      </c>
      <c r="CK159" s="1115" t="s">
        <v>545</v>
      </c>
      <c r="CL159" s="1115" t="s">
        <v>1940</v>
      </c>
      <c r="CM159" s="1119">
        <v>0.3</v>
      </c>
      <c r="CN159" s="1115"/>
      <c r="CO159" s="1092"/>
      <c r="CP159" s="1116">
        <f t="shared" si="218"/>
        <v>5.4933814123221421</v>
      </c>
      <c r="CQ159" s="1116">
        <f t="shared" si="219"/>
        <v>7.7140603203247995</v>
      </c>
      <c r="CR159" s="1116">
        <f t="shared" si="220"/>
        <v>5.4933814123221421</v>
      </c>
      <c r="CS159" s="1118">
        <f t="shared" si="221"/>
        <v>0</v>
      </c>
      <c r="CT159" s="1109">
        <f t="shared" si="222"/>
        <v>0</v>
      </c>
      <c r="CU159" s="1101">
        <f t="shared" si="223"/>
        <v>6.042719553554357</v>
      </c>
      <c r="CV159" s="1108">
        <f t="shared" si="224"/>
        <v>7.7140603203247995</v>
      </c>
      <c r="CW159" s="1097">
        <f t="shared" si="225"/>
        <v>6.042719553554357</v>
      </c>
      <c r="CX159" s="1097">
        <f t="shared" si="226"/>
        <v>6.042719553554357</v>
      </c>
      <c r="CY159" s="1110">
        <f t="shared" si="227"/>
        <v>6.042719553554357</v>
      </c>
      <c r="CZ159" s="437"/>
      <c r="DA159" s="438"/>
      <c r="DB159" s="439" t="s">
        <v>569</v>
      </c>
      <c r="DC159" s="439"/>
      <c r="DD159" s="443"/>
      <c r="DE159" s="411"/>
      <c r="DF159" s="411"/>
      <c r="DG159" s="1116">
        <f t="shared" si="228"/>
        <v>0</v>
      </c>
      <c r="DH159" s="1116">
        <f t="shared" si="229"/>
        <v>0</v>
      </c>
      <c r="DI159" s="1116">
        <f t="shared" si="230"/>
        <v>0</v>
      </c>
      <c r="DJ159" s="442">
        <f t="shared" si="231"/>
        <v>0</v>
      </c>
      <c r="DK159" s="1109">
        <f t="shared" si="232"/>
        <v>0</v>
      </c>
      <c r="DL159" s="1101">
        <f t="shared" si="233"/>
        <v>0</v>
      </c>
      <c r="DM159" s="1097">
        <f t="shared" si="234"/>
        <v>0</v>
      </c>
      <c r="DN159" s="1097">
        <f t="shared" si="235"/>
        <v>0</v>
      </c>
      <c r="DO159" s="1097">
        <f t="shared" si="236"/>
        <v>0</v>
      </c>
      <c r="DP159" s="1110">
        <f t="shared" si="237"/>
        <v>0</v>
      </c>
      <c r="DQ159" s="1113" t="s">
        <v>555</v>
      </c>
      <c r="DR159" s="1120">
        <f t="shared" si="238"/>
        <v>0.3</v>
      </c>
      <c r="DS159" s="1124">
        <v>5</v>
      </c>
      <c r="DT159" s="1093" t="s">
        <v>168</v>
      </c>
      <c r="DU159" s="1093" t="s">
        <v>544</v>
      </c>
      <c r="DV159" s="1098">
        <f>IF($P159="","N/A",IF(P159=-1,INDEX('卡片raw data'!AN:AN,MATCH(D159,'卡片raw data'!$F:$F,)),0)+IF(AND(L159&lt;&gt;"party卡",P159&lt;=2,P159&gt;=0),INDEX('卡片raw data'!AP:AP,MATCH(D159,'卡片raw data'!$F:$F,)),0)+IF(OR(AND(L159="party卡",P159&lt;=1),AND(P159&lt;=4,L159&lt;&gt;"party卡",P159&gt;=3)),INDEX('卡片raw data'!AQ:AQ,MATCH(D159,'卡片raw data'!$F:$F,)),0)+IF(OR(P159=5,AND(L159="party卡",P159&gt;=2)),INDEX('卡片raw data'!AR:AR,MATCH(D159,'卡片raw data'!$F:$F,)),0))</f>
        <v>7.0000000000000007E-2</v>
      </c>
      <c r="DW159" s="1098">
        <f t="shared" si="239"/>
        <v>0.3</v>
      </c>
      <c r="DX159" s="1098">
        <f t="shared" si="240"/>
        <v>0.3</v>
      </c>
      <c r="DY159" s="1098">
        <f t="shared" si="241"/>
        <v>3.5000000000000003E-2</v>
      </c>
      <c r="DZ159" s="1098">
        <f t="shared" si="242"/>
        <v>3.0275000000000003E-2</v>
      </c>
      <c r="EA159" s="1098">
        <f t="shared" si="243"/>
        <v>0</v>
      </c>
      <c r="EB159" s="1121">
        <f t="shared" si="244"/>
        <v>0</v>
      </c>
      <c r="EC159" s="1101">
        <f t="shared" si="245"/>
        <v>4759.4026034905355</v>
      </c>
      <c r="ED159" s="1097">
        <f t="shared" si="246"/>
        <v>198.7727008148438</v>
      </c>
      <c r="EE159" s="1110">
        <f t="shared" si="247"/>
        <v>4759.4026034905355</v>
      </c>
      <c r="EF159" s="1092" t="s">
        <v>711</v>
      </c>
      <c r="EG159" s="1120">
        <f t="shared" si="248"/>
        <v>0.3</v>
      </c>
      <c r="EH159" s="1124"/>
      <c r="EI159" s="1093"/>
      <c r="EJ159" s="1093"/>
      <c r="EK159" s="1097">
        <f>IF($P159="","N/A",IF(P159=-1,INDEX('卡片raw data'!AS:AS,MATCH(D159,'卡片raw data'!$F:$F,)),0)+IF(AND(L159&lt;&gt;"party卡",P159&lt;=2,P159&gt;=0),INDEX('卡片raw data'!AU:AU,MATCH(D159,'卡片raw data'!$F:$F,)),0)+IF(OR(AND(L159="party卡",P159&lt;=1),AND(P159&lt;=4,L159&lt;&gt;"party卡",P159&gt;=3)),INDEX('卡片raw data'!AV:AV,MATCH(D159,'卡片raw data'!$F:$F,)),0)+IF(OR(P159=5,AND(L159="party卡",P159&gt;=2)),INDEX('卡片raw data'!AW:AW,MATCH(D159,'卡片raw data'!$F:$F,)),0))</f>
        <v>0</v>
      </c>
      <c r="EL159" s="1098">
        <f t="shared" si="249"/>
        <v>0.3</v>
      </c>
      <c r="EM159" s="1098">
        <f t="shared" si="250"/>
        <v>0.3</v>
      </c>
      <c r="EN159" s="1125">
        <f t="shared" si="251"/>
        <v>0</v>
      </c>
      <c r="EO159" s="1125">
        <f t="shared" si="252"/>
        <v>0</v>
      </c>
      <c r="EP159" s="1098">
        <f t="shared" si="253"/>
        <v>0</v>
      </c>
      <c r="EQ159" s="1121">
        <f t="shared" si="254"/>
        <v>0</v>
      </c>
      <c r="ER159" s="1101">
        <f t="shared" si="255"/>
        <v>0</v>
      </c>
      <c r="ES159" s="1097">
        <f t="shared" si="256"/>
        <v>0</v>
      </c>
      <c r="ET159" s="1122">
        <f t="shared" si="257"/>
        <v>0</v>
      </c>
    </row>
    <row r="160" spans="2:150" ht="16.5" customHeight="1">
      <c r="B160" s="1123" t="str">
        <f>INDEX('卡片raw data'!B:B,MATCH($D160,'卡片raw data'!$F:$F,))</f>
        <v>甜品露</v>
      </c>
      <c r="C160" s="449" t="s">
        <v>123</v>
      </c>
      <c r="D160" s="408">
        <v>157</v>
      </c>
      <c r="E160" s="1090">
        <v>301093001</v>
      </c>
      <c r="F160" s="1090" t="str">
        <f>INDEX('卡片raw data'!C:C,MATCH($D160,'卡片raw data'!$F:$F,))</f>
        <v>UR</v>
      </c>
      <c r="G160" s="1094" t="s">
        <v>41</v>
      </c>
      <c r="H160" s="411">
        <f>IFERROR(INDEX(绊状态确认!C:C,MATCH($G160,绊状态确认!$B:$B,)),"")</f>
        <v>109</v>
      </c>
      <c r="I160" s="450" t="str">
        <f>IFERROR(INDEX(绊状态确认!D:D,MATCH($G160,绊状态确认!$B:$B,)),"")</f>
        <v>水</v>
      </c>
      <c r="J160" s="450" t="str">
        <f>IFERROR(INDEX(绊状态确认!E:E,MATCH($G160,绊状态确认!$B:$B,)),"")</f>
        <v>1年级</v>
      </c>
      <c r="K160" s="451" t="str">
        <f>IFERROR(INDEX(绊状态确认!F:F,MATCH($G160,绊状态确认!$B:$B,)),"")</f>
        <v>CYaRon!</v>
      </c>
      <c r="L160" s="1094" t="str">
        <f>INDEX('卡片raw data'!E:E,MATCH($D160,'卡片raw data'!$F:$F,))</f>
        <v>卡池卡</v>
      </c>
      <c r="M160" s="415">
        <v>43852</v>
      </c>
      <c r="N160" s="416">
        <v>8</v>
      </c>
      <c r="O160" s="1091" t="str">
        <f>INDEX('卡片raw data'!D:D,MATCH($D160,'卡片raw data'!$F:$F,))</f>
        <v>sp</v>
      </c>
      <c r="P160" s="417">
        <v>5</v>
      </c>
      <c r="Q160" s="1095">
        <f t="shared" si="173"/>
        <v>40866.057858768712</v>
      </c>
      <c r="R160" s="1096">
        <f t="shared" si="174"/>
        <v>0.47499999999999998</v>
      </c>
      <c r="S160" s="1097">
        <f t="shared" si="175"/>
        <v>19714.277608270691</v>
      </c>
      <c r="T160" s="1098">
        <f t="shared" si="176"/>
        <v>0.98499999999999999</v>
      </c>
      <c r="U160" s="1099">
        <f t="shared" si="177"/>
        <v>19.229402972742857</v>
      </c>
      <c r="V160" s="1100">
        <f t="shared" si="178"/>
        <v>40623.160684988405</v>
      </c>
      <c r="W160" s="1101">
        <f t="shared" si="179"/>
        <v>7684.0193852570565</v>
      </c>
      <c r="X160" s="1096">
        <f t="shared" si="180"/>
        <v>8.8999999999999996E-2</v>
      </c>
      <c r="Y160" s="1097">
        <f t="shared" si="181"/>
        <v>1557.1028262196915</v>
      </c>
      <c r="Z160" s="1102">
        <f t="shared" si="182"/>
        <v>19.229402972742857</v>
      </c>
      <c r="AA160" s="1103">
        <f t="shared" si="183"/>
        <v>9241.1222114767479</v>
      </c>
      <c r="AB160" s="1101">
        <f t="shared" si="184"/>
        <v>7684.0193852570565</v>
      </c>
      <c r="AC160" s="1104">
        <f t="shared" si="185"/>
        <v>8.8999999999999996E-2</v>
      </c>
      <c r="AD160" s="1105">
        <f t="shared" si="186"/>
        <v>-1.6087500000000001E-2</v>
      </c>
      <c r="AE160" s="1128">
        <f t="shared" si="187"/>
        <v>47.734962730978253</v>
      </c>
      <c r="AF160" s="1130">
        <f t="shared" si="188"/>
        <v>0</v>
      </c>
      <c r="AG160" s="420">
        <f t="shared" si="189"/>
        <v>0</v>
      </c>
      <c r="AH160" s="420">
        <f t="shared" si="190"/>
        <v>0</v>
      </c>
      <c r="AI160" s="1097">
        <f t="shared" si="191"/>
        <v>0</v>
      </c>
      <c r="AJ160" s="420">
        <f t="shared" si="192"/>
        <v>0</v>
      </c>
      <c r="AK160" s="518">
        <f t="shared" si="193"/>
        <v>0</v>
      </c>
      <c r="AL160" s="1106">
        <f>IF($P160="","N/A",(IF($P160=-1,INDEX('卡片raw data'!S:S,MATCH($D160,'卡片raw data'!$F:$F,)),0)+IF($P160=0,INDEX('卡片raw data'!V:V,MATCH($D160,'卡片raw data'!$F:$F,)),0)+IF($P160=1,INDEX('卡片raw data'!Y:Y,MATCH($D160,'卡片raw data'!$F:$F,)),0)+IF($P160=2,INDEX('卡片raw data'!AB:AB,MATCH($D160,'卡片raw data'!$F:$F,)),0)+IF($P160=3,INDEX('卡片raw data'!AE:AE,MATCH($D160,'卡片raw data'!$F:$F,)),0)+IF($P160=4,INDEX('卡片raw data'!AH:AH,MATCH($D160,'卡片raw data'!$F:$F,)),0)+IF($P160=5,INDEX('卡片raw data'!AK:AK,MATCH($D160,'卡片raw data'!$F:$F,)),0)+INDEX('卡片raw data'!S:S,MATCH($D160,'卡片raw data'!$F:$F,))*(IF($F160="UR",0.04,0.033))*(IF($F160="UR",INDEX(绊状态确认!$S:$S,MATCH($G160,绊状态确认!$B:$B,))/2-40)+IF($F160="SR",INDEX(绊状态确认!$R:$R,MATCH($G160,绊状态确认!$B:$B,))/4-15))+IF($F160="R",INDEX(绊状态确认!$Q:$Q,MATCH($G160,绊状态确认!$B:$B,))/6-40/6)))*(INDEX(绊状态确认!$H:$H,MATCH($G160,绊状态确认!$B:$B,))+INDEX(绊状态确认!J:J,MATCH($G160,绊状态确认!$B:$B,)))</f>
        <v>10528.927823999999</v>
      </c>
      <c r="AM160" s="1106">
        <f>IF($P160="","N/A",(IF($P160=-1,INDEX('卡片raw data'!T:T,MATCH($D160,'卡片raw data'!$F:$F,)),0)+IF($P160=0,INDEX('卡片raw data'!W:W,MATCH($D160,'卡片raw data'!$F:$F,)),0)+IF($P160=1,INDEX('卡片raw data'!Z:Z,MATCH($D160,'卡片raw data'!$F:$F,)),0)+IF($P160=2,INDEX('卡片raw data'!AC:AC,MATCH($D160,'卡片raw data'!$F:$F,)),0)+IF($P160=3,INDEX('卡片raw data'!AF:AF,MATCH($D160,'卡片raw data'!$F:$F,)),0)+IF($P160=4,INDEX('卡片raw data'!AI:AI,MATCH($D160,'卡片raw data'!$F:$F,)),0)+IF($P160=5,INDEX('卡片raw data'!AL:AL,MATCH($D160,'卡片raw data'!$F:$F,)),0)+INDEX('卡片raw data'!T:T,MATCH($D160,'卡片raw data'!$F:$F,))*(IF($F160="UR",0.04,0.033))*(IF($F160="UR",INDEX(绊状态确认!$S:$S,MATCH($G160,绊状态确认!$B:$B,))/2-40)+IF($F160="SR",INDEX(绊状态确认!$R:$R,MATCH($G160,绊状态确认!$B:$B,))/4-15))+IF($F160="R",INDEX(绊状态确认!$Q:$Q,MATCH($G160,绊状态确认!$B:$B,))/6-40/6)))*(INDEX(绊状态确认!$H:$H,MATCH($G160,绊状态确认!$B:$B,))+INDEX(绊状态确认!K:K,MATCH($G160,绊状态确认!$B:$B,)))</f>
        <v>11167.357343999998</v>
      </c>
      <c r="AN160" s="1106">
        <f>IF($P160="","N/A",(IF($P160=-1,INDEX('卡片raw data'!U:U,MATCH($D160,'卡片raw data'!$F:$F,)),0)+IF($P160=0,INDEX('卡片raw data'!X:X,MATCH($D160,'卡片raw data'!$F:$F,)),0)+IF($P160=1,INDEX('卡片raw data'!AA:AA,MATCH($D160,'卡片raw data'!$F:$F,)),0)+IF($P160=2,INDEX('卡片raw data'!AD:AD,MATCH($D160,'卡片raw data'!$F:$F,)),0)+IF($P160=3,INDEX('卡片raw data'!AG:AG,MATCH($D160,'卡片raw data'!$F:$F,)),0)+IF($P160=4,INDEX('卡片raw data'!AJ:AJ,MATCH($D160,'卡片raw data'!$F:$F,)),0)+IF($P160=5,INDEX('卡片raw data'!AM:AM,MATCH($D160,'卡片raw data'!$F:$F,)),0)+INDEX('卡片raw data'!U:U,MATCH($D160,'卡片raw data'!$F:$F,))*(IF($F160="UR",0.04,0.033))*(IF($F160="UR",INDEX(绊状态确认!$S:$S,MATCH($G160,绊状态确认!$B:$B,))/2-40)+IF($F160="SR",INDEX(绊状态确认!$R:$R,MATCH($G160,绊状态确认!$B:$B,))/4-15))+IF($F160="R",INDEX(绊状态确认!$Q:$Q,MATCH($G160,绊状态确认!$B:$B,))/6-40/6)))*(INDEX(绊状态确认!$H:$H,MATCH($G160,绊状态确认!$B:$B,))+INDEX(绊状态确认!L:L,MATCH($G160,绊状态确认!$B:$B,)))</f>
        <v>10210.326719999997</v>
      </c>
      <c r="AO160" s="1107">
        <f t="shared" si="194"/>
        <v>1</v>
      </c>
      <c r="AP160" s="1131">
        <f>1+(INDEX(绊状态确认!$T:$T,MATCH($G160,绊状态确认!$B:$B,))+0.2)*$AO160</f>
        <v>1.3</v>
      </c>
      <c r="AQ160" s="1108">
        <f t="shared" si="195"/>
        <v>30888.435537999998</v>
      </c>
      <c r="AR160" s="1097">
        <f>(AM160*(1+$EX$9)+$EX$35)*(1+(INDEX(绊状态确认!$T:$T,MATCH($G160,绊状态确认!$B:$B,))+0.2)*AO160)*IF(J160=$FF$17,1+$FE$17,1)*IF(I160=$FF$14,1+$FE$14,1)*(1+$FE$15)</f>
        <v>17947.442774560001</v>
      </c>
      <c r="AS160" s="1097">
        <f>(AN160*(1+$EX$10)+$EX$36)*(1+(INDEX(绊状态确认!$T:$T,MATCH($G160,绊状态确认!$B:$B,))+0.2)*AO160)*IF(J160=$FF$17,1+$FE$17,1)*IF(I160=$FF$14,1+$FE$14,1)*(1+$FE$15)</f>
        <v>19320.438446399996</v>
      </c>
      <c r="AT160" s="1093">
        <f>IF(AND(INDEX('卡片raw data'!AK:AK,MATCH($D160,'卡片raw data'!$F:$F,))&lt;INDEX('卡片raw data'!AM:AM,MATCH($D160,'卡片raw data'!$F:$F,)),INDEX('卡片raw data'!AL:AL,MATCH($D160,'卡片raw data'!$F:$F,))&lt;INDEX('卡片raw data'!AM:AM,MATCH($D160,'卡片raw data'!$F:$F,))),1,0)</f>
        <v>0</v>
      </c>
      <c r="AU160" s="1098">
        <f>MIN(AT160*0.15+AS160*0.00003+INDEX(绊状态确认!M:M,MATCH($G160,绊状态确认!$B:$B,)),1)</f>
        <v>0.60961315339199995</v>
      </c>
      <c r="AV160" s="1109">
        <f>(INDEX(绊状态确认!$N:$N,MATCH($G160,绊状态确认!$B:$B,))+1.5)*$EW$21</f>
        <v>2.6599999999999997</v>
      </c>
      <c r="AW160" s="1101">
        <f t="shared" si="196"/>
        <v>32275.438473511666</v>
      </c>
      <c r="AX160" s="1097">
        <f t="shared" si="197"/>
        <v>1557.1028262196908</v>
      </c>
      <c r="AY160" s="1110">
        <f t="shared" si="198"/>
        <v>33832.541299731354</v>
      </c>
      <c r="AZ160" s="429">
        <f t="shared" si="199"/>
        <v>23131.409256799998</v>
      </c>
      <c r="BA160" s="431">
        <f t="shared" si="200"/>
        <v>27757.691108159997</v>
      </c>
      <c r="BB160" s="1097">
        <f>(AM160*(1+$FB$9)+$FB$35)*(1+(INDEX(绊状态确认!$T:$T,MATCH($G160,绊状态确认!$B:$B,))+0.2)*AO160)*IF(J160=$FF$17,1+$FE$17,1)*IF(I160=$FF$14,1+$FE$14,1)*(1+$FE$15)</f>
        <v>17947.442774560001</v>
      </c>
      <c r="BC160" s="1097">
        <f>(AN160*(1+$FB$10)+$FB$36)*(1+(INDEX(绊状态确认!$T:$T,MATCH($G160,绊状态确认!$B:$B,))+0.2)*AO160)*IF(J160=$FF$17,1+$FE$17,1)*IF(I160=$FF$14,1+$FE$14,1)*(1+$FE$15)</f>
        <v>19320.438446399996</v>
      </c>
      <c r="BD160" s="1104">
        <f>MIN(AT160*0.15+BC160*0.00003+INDEX(绊状态确认!M:M,MATCH($G160,绊状态确认!$B:$B,)),1)</f>
        <v>0.60961315339199995</v>
      </c>
      <c r="BE160" s="432">
        <f>(INDEX(绊状态确认!$N:$N,MATCH($G160,绊状态确认!$B:$B,))+1.5)</f>
        <v>1.9</v>
      </c>
      <c r="BF160" s="1139">
        <f t="array" ref="BF160">SUMPRODUCT(IF(AZ160*AP160*$FI$16:$FI$23*$FA$22&gt;=$FI$24,$FI$24,AZ160*AP160*$FI$16:$FI$23*$FA$22),$FJ$16:$FJ$23)</f>
        <v>46008.373011775198</v>
      </c>
      <c r="BG160" s="1125">
        <f t="array" ref="BG160">SUMPRODUCT(IF(BE160*AZ160*AP160*$FI$16:$FI$23*$FA$22&gt;=$FI$24,$FI$24,BE160*AZ160*AP160*$FI$16:$FI$23*$FA$22),$FJ$16:$FJ$23)</f>
        <v>60000</v>
      </c>
      <c r="BH160" s="1110">
        <f t="shared" si="201"/>
        <v>18179.284287050512</v>
      </c>
      <c r="BI160" s="1111">
        <f>IF(O160="vo",$EW$26/$EW$24*0.05,0)+IF(O160="sk",-$EW$26/$EW$24*(0.05-INDEX(绊状态确认!W:W,MATCH($G160,绊状态确认!$B:$B,)))+0.05*$EW$28,0)+IF(O160="sp",0.05*$EW$32*$EW$30*(1-$EW$33)-(0.05-INDEX(绊状态确认!V:V,MATCH($G160,绊状态确认!$B:$B,)))*$EW$28,0)+IF(O160="gd",-(0.05-INDEX(绊状态确认!X:X,MATCH($G160,绊状态确认!$B:$B,)))*$EW$32*$EW$30*(1-$EW$33),0)</f>
        <v>19.999999999999886</v>
      </c>
      <c r="BJ160" s="1097">
        <f>IF(O160="vo",0.05*(1-$FI$26)*$FA$24,0)+IF(O160="sk",-(0.05-INDEX(绊状态确认!W:W,MATCH($G160,绊状态确认!$B:$B,)))*(1-$FI$26)*$FA$24+0.05*$FA$26,0)+IF(O160="sp",0.05*$FA$32*$FA$27*(1-$FA$33)/$FA$30+0.05*$FA$29/$FA$69*$FA$27*(1-$FA$33)-(0.05-INDEX(绊状态确认!V:V,MATCH($G160,绊状态确认!$B:$B,)))*$FA$26,0)+IF(O160="gd",-(0.05-INDEX(绊状态确认!X:X,MATCH($G160,绊状态确认!$B:$B,)))*$FA$32*$FA$27*(1-$FA$33)/$FA$30-(0.05-INDEX(绊状态确认!X:X,MATCH($G160,绊状态确认!$B:$B,)))*$FA$29/$FA$69*$FA$27*(1-$FA$33),0)</f>
        <v>545.83333333333326</v>
      </c>
      <c r="BK160" s="1110">
        <f>IF(O160="vo",$EW$26/$EW$24*0.05+$EW$26*(-HP($EW$62,$EW$65,$EW$64)+HP($EW$62,$EW$65,(1.05-INDEX(绊状态确认!U:U,MATCH($G160,绊状态确认!$B:$B,)))*$EW$64)),0)+IF(O160="sk",-$EW$26/$EW$24*(0.05-INDEX(绊状态确认!W:W,MATCH($G160,绊状态确认!$B:$B,)))+0.05*$EW$29,0)+IF(O160="sp",0.05*$EW$32*$EW$30*(1-$EW$33)-(0.05-INDEX(绊状态确认!V:V,MATCH($G160,绊状态确认!$B:$B,)))*$EW$29,0)+IF(O160="gd",-(0.05-INDEX(绊状态确认!X:X,MATCH($G160,绊状态确认!$B:$B,)))*$EW$32*$EW$30*(1-$EW$33)+$EW$26*(-HP($EW$62,$EW$65,$EW$64)+HP($EW$62,$EW$65,0.95*$EW$64)),0)</f>
        <v>-1780.0000000000005</v>
      </c>
      <c r="BL160" s="1111">
        <f t="shared" si="202"/>
        <v>0</v>
      </c>
      <c r="BM160" s="1110">
        <f t="shared" si="203"/>
        <v>0</v>
      </c>
      <c r="BN160" s="1113">
        <f t="shared" si="204"/>
        <v>3</v>
      </c>
      <c r="BO160" s="1097">
        <f t="shared" si="205"/>
        <v>4507.7214871259994</v>
      </c>
      <c r="BP160" s="1100">
        <f t="shared" si="206"/>
        <v>221.34103209030098</v>
      </c>
      <c r="BQ160" s="1113" t="s">
        <v>143</v>
      </c>
      <c r="BR160" s="1124" t="s">
        <v>147</v>
      </c>
      <c r="BS160" s="1098">
        <f>IF($P160="","N/A",IF($P160=-1,INDEX('卡片raw data'!AX:AX,MATCH($D160,'卡片raw data'!$F:$F,)),0)+IF($L160="party卡",IF($P160=5,INDEX('卡片raw data'!BD:BD,MATCH($D160,'卡片raw data'!$F:$F,)),IF($P160&gt;=3,INDEX('卡片raw data'!BC:BC,MATCH($D160,'卡片raw data'!$F:$F,)),INDEX('卡片raw data'!BB:BB,MATCH($D160,'卡片raw data'!$F:$F,)))),IF(OR(AND($F160="UR",$P160=0),AND($F160="SR",$P160&gt;=0,$P160&lt;=2),AND($F160="R",$P160&gt;=0,$P160&lt;4)),INDEX('卡片raw data'!AZ:AZ,MATCH($D160,'卡片raw data'!$F:$F,)),0)+IF(OR(AND($F160="UR",$P160&gt;=1,$P160&lt;=4),AND($F160="SR",$P160&lt;=4,$P160&gt;=3),AND($F160="R",$P160=4)),INDEX('卡片raw data'!BA:BA,MATCH($D160,'卡片raw data'!$F:$F,)),0)+IF($P160=5,INDEX('卡片raw data'!BB:BB,MATCH($D160,'卡片raw data'!$F:$F,)),0)))</f>
        <v>4.2000000000000003E-2</v>
      </c>
      <c r="BT160" s="1101">
        <f t="shared" si="207"/>
        <v>3155.4050409881997</v>
      </c>
      <c r="BU160" s="1097">
        <f t="shared" si="208"/>
        <v>154.93872246321072</v>
      </c>
      <c r="BV160" s="1097">
        <f t="shared" si="209"/>
        <v>3155.4050409882002</v>
      </c>
      <c r="BW160" s="1112">
        <f t="shared" si="210"/>
        <v>0</v>
      </c>
      <c r="BX160" s="1100">
        <f t="shared" si="211"/>
        <v>3155.4050409881997</v>
      </c>
      <c r="BY160" s="1110">
        <f t="shared" si="212"/>
        <v>3155.4050409882002</v>
      </c>
      <c r="BZ160" s="1107" t="s">
        <v>569</v>
      </c>
      <c r="CA160" s="1124"/>
      <c r="CB160" s="1098">
        <f>IF($P160="","N/A",IF($P160=-1,INDEX('卡片raw data'!BE:BE,MATCH($D160,'卡片raw data'!$F:$F,)),0)+IF($L160="party卡",IF($P160=5,INDEX('卡片raw data'!BK:BK,MATCH($D160,'卡片raw data'!$F:$F,)),IF($P160&gt;=3,INDEX('卡片raw data'!BJ:BJ,MATCH($D160,'卡片raw data'!$F:$F,)),INDEX('卡片raw data'!BI:BI,MATCH($D160,'卡片raw data'!$F:$F,)))),IF(OR(AND($F160="UR",$P160=0),AND($F160="SR",$P160&gt;=0,$P160&lt;=2),AND($F160="R",$P160&gt;=0,$P160&lt;4)),INDEX('卡片raw data'!BG:BG,MATCH($D160,'卡片raw data'!$F:$F,)),0)+IF(OR(AND($F160="UR",$P160&gt;=1,$P160&lt;=4),AND($F160="SR",$P160&lt;=4,$P160&gt;=3),AND($F160="R",$P160=4)),INDEX('卡片raw data'!BH:BH,MATCH($D160,'卡片raw data'!$F:$F,)),0)+IF($P160=5,INDEX('卡片raw data'!BI:BI,MATCH($D160,'卡片raw data'!$F:$F,)),0)))</f>
        <v>0</v>
      </c>
      <c r="CC160" s="1101">
        <f t="shared" si="213"/>
        <v>0</v>
      </c>
      <c r="CD160" s="1097">
        <f>IF(BZ160="ap",CB160*(1-$FI$26)*$FB$5/$FB$11*(+IF(CA160="全员",$FA$24,0)+IF(CA160="同作战",$FA$24,0)+IF(CA160="仲间",$FA$24*2/3,0)+IF(CA160="同属性",$FA$24*$FA$37/3,0)+IF(CA160="同年级",$FA$24*$FA$40/3,0)+IF(CA160="同学校",$FA$24*$FA$43/3,0)+IF(CA160="同小队",$FA$24*$FA$46/3,0)+IF(CA160="同type",$FA$24*INDEX($FB$49:$FB$52,MATCH(X160,$FA$49:$FA$52,))/3,0)+IF(CA160="自身",#REF!/3,0)),0)+IF(BZ160="te",CB160*(1-$FI$27)*($FA$20-1)*$FB$7/$FB$13*(+IF(CA160="全员",$FA$19*$FA$24/(1+($FA$20-1)*$FA$19),0)+IF(CA160="同作战",$FA$19*$FA$24/(1+($FA$20-1)*$FA$19),0)+IF(CA160="仲间",$FA$19*$FA$24*2/3/(1+($FA$20-1)*$FA$19),0)+IF(CA160="同属性",$FA$19*$FA$24*$FA$37/3/(1+($FA$20-1)*$FA$19),0)+IF(CA160="同年级",$FA$19*$FA$24*$FA$40/3/(1+($FA$20-1)*$FA$19),0)+IF(CA160="同学校",$FA$19*$FA$24*$FA$43/3/(1+($FA$20-1)*$FA$19),0)+IF(CA160="同小队",$FA$19*$FA$24*$FA$46/3/(1+($FA$20-1)*$FA$19),0)+IF(CA160="同type",$FA$19*$FA$24*INDEX($FB$49:$FB$52,MATCH(X160,$FA$49:$FA$52,))/3/(1+($FA$20-1)*$FA$19),0)+IF(CA160="自身",$FA$19*#REF!/3/(1+(BH160-1)*$BD160),0)),0)</f>
        <v>0</v>
      </c>
      <c r="CE160" s="1097">
        <f t="shared" si="214"/>
        <v>0</v>
      </c>
      <c r="CF160" s="1112">
        <f t="shared" si="215"/>
        <v>0</v>
      </c>
      <c r="CG160" s="1100">
        <f t="shared" si="216"/>
        <v>0</v>
      </c>
      <c r="CH160" s="1110">
        <f t="shared" si="217"/>
        <v>0</v>
      </c>
      <c r="CI160" s="1113" t="s">
        <v>170</v>
      </c>
      <c r="CJ160" s="1114">
        <v>0.3</v>
      </c>
      <c r="CK160" s="1115" t="s">
        <v>157</v>
      </c>
      <c r="CL160" s="1115" t="s">
        <v>161</v>
      </c>
      <c r="CM160" s="1119">
        <v>0.1</v>
      </c>
      <c r="CN160" s="1115">
        <v>15</v>
      </c>
      <c r="CO160" s="1092"/>
      <c r="CP160" s="1118">
        <f t="shared" si="218"/>
        <v>1.6071428571428569E-3</v>
      </c>
      <c r="CQ160" s="1118">
        <f t="shared" si="219"/>
        <v>2.4999999999999996E-3</v>
      </c>
      <c r="CR160" s="1118">
        <f t="shared" si="220"/>
        <v>1.6071428571428569E-3</v>
      </c>
      <c r="CS160" s="1118">
        <f t="shared" si="221"/>
        <v>0</v>
      </c>
      <c r="CT160" s="1109">
        <f t="shared" si="222"/>
        <v>23.203125</v>
      </c>
      <c r="CU160" s="1101">
        <f t="shared" si="223"/>
        <v>20.892857142857139</v>
      </c>
      <c r="CV160" s="1108">
        <f t="shared" si="224"/>
        <v>24.916666666666657</v>
      </c>
      <c r="CW160" s="1097">
        <f t="shared" si="225"/>
        <v>20.892857142857139</v>
      </c>
      <c r="CX160" s="1097">
        <f t="shared" si="226"/>
        <v>20.892857142857139</v>
      </c>
      <c r="CY160" s="1110">
        <f t="shared" si="227"/>
        <v>20.892857142857139</v>
      </c>
      <c r="CZ160" s="437"/>
      <c r="DA160" s="438"/>
      <c r="DB160" s="439" t="s">
        <v>569</v>
      </c>
      <c r="DC160" s="439"/>
      <c r="DD160" s="443"/>
      <c r="DE160" s="411"/>
      <c r="DF160" s="411"/>
      <c r="DG160" s="1116">
        <f t="shared" si="228"/>
        <v>0</v>
      </c>
      <c r="DH160" s="1116">
        <f t="shared" si="229"/>
        <v>0</v>
      </c>
      <c r="DI160" s="1116">
        <f t="shared" si="230"/>
        <v>0</v>
      </c>
      <c r="DJ160" s="442">
        <f t="shared" si="231"/>
        <v>0</v>
      </c>
      <c r="DK160" s="1109">
        <f t="shared" si="232"/>
        <v>0</v>
      </c>
      <c r="DL160" s="1101">
        <f t="shared" si="233"/>
        <v>0</v>
      </c>
      <c r="DM160" s="1097">
        <f t="shared" si="234"/>
        <v>0</v>
      </c>
      <c r="DN160" s="1097">
        <f t="shared" si="235"/>
        <v>0</v>
      </c>
      <c r="DO160" s="1097">
        <f t="shared" si="236"/>
        <v>0</v>
      </c>
      <c r="DP160" s="1110">
        <f t="shared" si="237"/>
        <v>0</v>
      </c>
      <c r="DQ160" s="1113" t="s">
        <v>157</v>
      </c>
      <c r="DR160" s="1120">
        <f t="shared" si="238"/>
        <v>0.33</v>
      </c>
      <c r="DS160" s="1124">
        <v>10</v>
      </c>
      <c r="DT160" s="1093" t="s">
        <v>161</v>
      </c>
      <c r="DU160" s="1093" t="s">
        <v>544</v>
      </c>
      <c r="DV160" s="1098">
        <f>IF($P160="","N/A",IF(P160=-1,INDEX('卡片raw data'!AN:AN,MATCH(D160,'卡片raw data'!$F:$F,)),0)+IF(AND(L160&lt;&gt;"party卡",P160&lt;=2,P160&gt;=0),INDEX('卡片raw data'!AP:AP,MATCH(D160,'卡片raw data'!$F:$F,)),0)+IF(OR(AND(L160="party卡",P160&lt;=1),AND(P160&lt;=4,L160&lt;&gt;"party卡",P160&gt;=3)),INDEX('卡片raw data'!AQ:AQ,MATCH(D160,'卡片raw data'!$F:$F,)),0)+IF(OR(P160=5,AND(L160="party卡",P160&gt;=2)),INDEX('卡片raw data'!AR:AR,MATCH(D160,'卡片raw data'!$F:$F,)),0))</f>
        <v>6.2E-2</v>
      </c>
      <c r="DW160" s="1098">
        <f t="shared" si="239"/>
        <v>0.33</v>
      </c>
      <c r="DX160" s="1098">
        <f t="shared" si="240"/>
        <v>0.33</v>
      </c>
      <c r="DY160" s="1098">
        <f t="shared" si="241"/>
        <v>6.8200000000000011E-2</v>
      </c>
      <c r="DZ160" s="1098">
        <f t="shared" si="242"/>
        <v>5.8993000000000011E-2</v>
      </c>
      <c r="EA160" s="1098">
        <f t="shared" si="243"/>
        <v>0</v>
      </c>
      <c r="EB160" s="1121">
        <f t="shared" si="244"/>
        <v>13.607924687499997</v>
      </c>
      <c r="EC160" s="1101">
        <f t="shared" si="245"/>
        <v>886.6</v>
      </c>
      <c r="ED160" s="1097">
        <f t="shared" si="246"/>
        <v>587.96356666666668</v>
      </c>
      <c r="EE160" s="1110">
        <f t="shared" si="247"/>
        <v>886.6</v>
      </c>
      <c r="EF160" s="1092" t="s">
        <v>711</v>
      </c>
      <c r="EG160" s="1120">
        <f t="shared" si="248"/>
        <v>0.33</v>
      </c>
      <c r="EH160" s="1124"/>
      <c r="EI160" s="1093"/>
      <c r="EJ160" s="1093"/>
      <c r="EK160" s="1097">
        <f>IF($P160="","N/A",IF(P160=-1,INDEX('卡片raw data'!AS:AS,MATCH(D160,'卡片raw data'!$F:$F,)),0)+IF(AND(L160&lt;&gt;"party卡",P160&lt;=2,P160&gt;=0),INDEX('卡片raw data'!AU:AU,MATCH(D160,'卡片raw data'!$F:$F,)),0)+IF(OR(AND(L160="party卡",P160&lt;=1),AND(P160&lt;=4,L160&lt;&gt;"party卡",P160&gt;=3)),INDEX('卡片raw data'!AV:AV,MATCH(D160,'卡片raw data'!$F:$F,)),0)+IF(OR(P160=5,AND(L160="party卡",P160&gt;=2)),INDEX('卡片raw data'!AW:AW,MATCH(D160,'卡片raw data'!$F:$F,)),0))</f>
        <v>0</v>
      </c>
      <c r="EL160" s="1098">
        <f t="shared" si="249"/>
        <v>0.33</v>
      </c>
      <c r="EM160" s="1098">
        <f t="shared" si="250"/>
        <v>0.33</v>
      </c>
      <c r="EN160" s="1125">
        <f t="shared" si="251"/>
        <v>0</v>
      </c>
      <c r="EO160" s="1125">
        <f t="shared" si="252"/>
        <v>0</v>
      </c>
      <c r="EP160" s="1098">
        <f t="shared" si="253"/>
        <v>0</v>
      </c>
      <c r="EQ160" s="1121">
        <f t="shared" si="254"/>
        <v>0</v>
      </c>
      <c r="ER160" s="1101">
        <f t="shared" si="255"/>
        <v>0</v>
      </c>
      <c r="ES160" s="1097">
        <f t="shared" si="256"/>
        <v>0</v>
      </c>
      <c r="ET160" s="1122">
        <f t="shared" si="257"/>
        <v>0</v>
      </c>
    </row>
    <row r="161" spans="2:150" ht="16.5" customHeight="1">
      <c r="B161" s="1123" t="str">
        <f>INDEX('卡片raw data'!B:B,MATCH($D161,'卡片raw data'!$F:$F,))</f>
        <v>动物菜</v>
      </c>
      <c r="C161" s="449" t="s">
        <v>67</v>
      </c>
      <c r="D161" s="408">
        <v>158</v>
      </c>
      <c r="E161" s="1090">
        <v>302072001</v>
      </c>
      <c r="F161" s="1090" t="str">
        <f>INDEX('卡片raw data'!C:C,MATCH($D161,'卡片raw data'!$F:$F,))</f>
        <v>SR</v>
      </c>
      <c r="G161" s="1094" t="s">
        <v>348</v>
      </c>
      <c r="H161" s="411">
        <f>IFERROR(INDEX(绊状态确认!C:C,MATCH($G161,绊状态确认!$B:$B,)),"")</f>
        <v>207</v>
      </c>
      <c r="I161" s="450" t="str">
        <f>IFERROR(INDEX(绊状态确认!D:D,MATCH($G161,绊状态确认!$B:$B,)),"")</f>
        <v>虹</v>
      </c>
      <c r="J161" s="450" t="str">
        <f>IFERROR(INDEX(绊状态确认!E:E,MATCH($G161,绊状态确认!$B:$B,)),"")</f>
        <v>2年级</v>
      </c>
      <c r="K161" s="451" t="str">
        <f>IFERROR(INDEX(绊状态确认!F:F,MATCH($G161,绊状态确认!$B:$B,)),"")</f>
        <v>A·ZU·NA</v>
      </c>
      <c r="L161" s="1094" t="str">
        <f>INDEX('卡片raw data'!E:E,MATCH($D161,'卡片raw data'!$F:$F,))</f>
        <v>卡池卡</v>
      </c>
      <c r="M161" s="415">
        <v>43852</v>
      </c>
      <c r="N161" s="416">
        <v>8</v>
      </c>
      <c r="O161" s="1091" t="str">
        <f>INDEX('卡片raw data'!D:D,MATCH($D161,'卡片raw data'!$F:$F,))</f>
        <v>sp</v>
      </c>
      <c r="P161" s="417">
        <v>5</v>
      </c>
      <c r="Q161" s="1095">
        <f t="shared" si="173"/>
        <v>28271.923627668253</v>
      </c>
      <c r="R161" s="1096">
        <f t="shared" si="174"/>
        <v>0.32800000000000001</v>
      </c>
      <c r="S161" s="1097">
        <f t="shared" si="175"/>
        <v>16073.296269539143</v>
      </c>
      <c r="T161" s="1098">
        <f t="shared" si="176"/>
        <v>0.80300000000000005</v>
      </c>
      <c r="U161" s="1099">
        <f t="shared" si="177"/>
        <v>9.4669493613514266</v>
      </c>
      <c r="V161" s="1100">
        <f t="shared" si="178"/>
        <v>27220.694108688691</v>
      </c>
      <c r="W161" s="1101">
        <f t="shared" si="179"/>
        <v>4695.8089172299142</v>
      </c>
      <c r="X161" s="1096">
        <f t="shared" si="180"/>
        <v>5.3999999999999999E-2</v>
      </c>
      <c r="Y161" s="1097">
        <f t="shared" si="181"/>
        <v>748.77048102043682</v>
      </c>
      <c r="Z161" s="1102">
        <f t="shared" si="182"/>
        <v>9.4669493613514266</v>
      </c>
      <c r="AA161" s="1103">
        <f t="shared" si="183"/>
        <v>5444.579398250351</v>
      </c>
      <c r="AB161" s="1101">
        <f t="shared" si="184"/>
        <v>4842.0991406440708</v>
      </c>
      <c r="AC161" s="1104">
        <f t="shared" si="185"/>
        <v>5.6000000000000001E-2</v>
      </c>
      <c r="AD161" s="1105">
        <f t="shared" si="186"/>
        <v>-1.9908281250000003E-2</v>
      </c>
      <c r="AE161" s="1128">
        <f t="shared" si="187"/>
        <v>-1.3514492753623202</v>
      </c>
      <c r="AF161" s="1130">
        <f t="shared" si="188"/>
        <v>0</v>
      </c>
      <c r="AG161" s="420">
        <f t="shared" si="189"/>
        <v>0</v>
      </c>
      <c r="AH161" s="420">
        <f t="shared" si="190"/>
        <v>0</v>
      </c>
      <c r="AI161" s="1097">
        <f t="shared" si="191"/>
        <v>0</v>
      </c>
      <c r="AJ161" s="420">
        <f t="shared" si="192"/>
        <v>0</v>
      </c>
      <c r="AK161" s="518">
        <f t="shared" si="193"/>
        <v>0</v>
      </c>
      <c r="AL161" s="1106">
        <f>IF($P161="","N/A",(IF($P161=-1,INDEX('卡片raw data'!S:S,MATCH($D161,'卡片raw data'!$F:$F,)),0)+IF($P161=0,INDEX('卡片raw data'!V:V,MATCH($D161,'卡片raw data'!$F:$F,)),0)+IF($P161=1,INDEX('卡片raw data'!Y:Y,MATCH($D161,'卡片raw data'!$F:$F,)),0)+IF($P161=2,INDEX('卡片raw data'!AB:AB,MATCH($D161,'卡片raw data'!$F:$F,)),0)+IF($P161=3,INDEX('卡片raw data'!AE:AE,MATCH($D161,'卡片raw data'!$F:$F,)),0)+IF($P161=4,INDEX('卡片raw data'!AH:AH,MATCH($D161,'卡片raw data'!$F:$F,)),0)+IF($P161=5,INDEX('卡片raw data'!AK:AK,MATCH($D161,'卡片raw data'!$F:$F,)),0)+INDEX('卡片raw data'!S:S,MATCH($D161,'卡片raw data'!$F:$F,))*(IF($F161="UR",0.04,0.033))*(IF($F161="UR",INDEX(绊状态确认!$S:$S,MATCH($G161,绊状态确认!$B:$B,))/2-40)+IF($F161="SR",INDEX(绊状态确认!$R:$R,MATCH($G161,绊状态确认!$B:$B,))/4-15))+IF($F161="R",INDEX(绊状态确认!$Q:$Q,MATCH($G161,绊状态确认!$B:$B,))/6-40/6)))*(INDEX(绊状态确认!$H:$H,MATCH($G161,绊状态确认!$B:$B,))+INDEX(绊状态确认!J:J,MATCH($G161,绊状态确认!$B:$B,)))</f>
        <v>8665.2772799999984</v>
      </c>
      <c r="AM161" s="1106">
        <f>IF($P161="","N/A",(IF($P161=-1,INDEX('卡片raw data'!T:T,MATCH($D161,'卡片raw data'!$F:$F,)),0)+IF($P161=0,INDEX('卡片raw data'!W:W,MATCH($D161,'卡片raw data'!$F:$F,)),0)+IF($P161=1,INDEX('卡片raw data'!Z:Z,MATCH($D161,'卡片raw data'!$F:$F,)),0)+IF($P161=2,INDEX('卡片raw data'!AC:AC,MATCH($D161,'卡片raw data'!$F:$F,)),0)+IF($P161=3,INDEX('卡片raw data'!AF:AF,MATCH($D161,'卡片raw data'!$F:$F,)),0)+IF($P161=4,INDEX('卡片raw data'!AI:AI,MATCH($D161,'卡片raw data'!$F:$F,)),0)+IF($P161=5,INDEX('卡片raw data'!AL:AL,MATCH($D161,'卡片raw data'!$F:$F,)),0)+INDEX('卡片raw data'!T:T,MATCH($D161,'卡片raw data'!$F:$F,))*(IF($F161="UR",0.04,0.033))*(IF($F161="UR",INDEX(绊状态确认!$S:$S,MATCH($G161,绊状态确认!$B:$B,))/2-40)+IF($F161="SR",INDEX(绊状态确认!$R:$R,MATCH($G161,绊状态确认!$B:$B,))/4-15))+IF($F161="R",INDEX(绊状态确认!$Q:$Q,MATCH($G161,绊状态确认!$B:$B,))/6-40/6)))*(INDEX(绊状态确认!$H:$H,MATCH($G161,绊状态确认!$B:$B,))+INDEX(绊状态确认!K:K,MATCH($G161,绊状态确认!$B:$B,)))</f>
        <v>3851.8823471999995</v>
      </c>
      <c r="AN161" s="1106">
        <f>IF($P161="","N/A",(IF($P161=-1,INDEX('卡片raw data'!U:U,MATCH($D161,'卡片raw data'!$F:$F,)),0)+IF($P161=0,INDEX('卡片raw data'!X:X,MATCH($D161,'卡片raw data'!$F:$F,)),0)+IF($P161=1,INDEX('卡片raw data'!AA:AA,MATCH($D161,'卡片raw data'!$F:$F,)),0)+IF($P161=2,INDEX('卡片raw data'!AD:AD,MATCH($D161,'卡片raw data'!$F:$F,)),0)+IF($P161=3,INDEX('卡片raw data'!AG:AG,MATCH($D161,'卡片raw data'!$F:$F,)),0)+IF($P161=4,INDEX('卡片raw data'!AJ:AJ,MATCH($D161,'卡片raw data'!$F:$F,)),0)+IF($P161=5,INDEX('卡片raw data'!AM:AM,MATCH($D161,'卡片raw data'!$F:$F,)),0)+INDEX('卡片raw data'!U:U,MATCH($D161,'卡片raw data'!$F:$F,))*(IF($F161="UR",0.04,0.033))*(IF($F161="UR",INDEX(绊状态确认!$S:$S,MATCH($G161,绊状态确认!$B:$B,))/2-40)+IF($F161="SR",INDEX(绊状态确认!$R:$R,MATCH($G161,绊状态确认!$B:$B,))/4-15))+IF($F161="R",INDEX(绊状态确认!$Q:$Q,MATCH($G161,绊状态确认!$B:$B,))/6-40/6)))*(INDEX(绊状态确认!$H:$H,MATCH($G161,绊状态确认!$B:$B,))+INDEX(绊状态确认!L:L,MATCH($G161,绊状态确认!$B:$B,)))</f>
        <v>6739.9043063999998</v>
      </c>
      <c r="AO161" s="1107">
        <f t="shared" si="194"/>
        <v>1</v>
      </c>
      <c r="AP161" s="1131">
        <f>1+(INDEX(绊状态确认!$T:$T,MATCH($G161,绊状态确认!$B:$B,))+0.2)*$AO161</f>
        <v>1.3</v>
      </c>
      <c r="AQ161" s="1108">
        <f t="shared" si="195"/>
        <v>25996.352859999999</v>
      </c>
      <c r="AR161" s="1097">
        <f>(AM161*(1+$EX$9)+$EX$35)*(1+(INDEX(绊状态确认!$T:$T,MATCH($G161,绊状态确认!$B:$B,))+0.2)*AO161)*IF(J161=$FF$17,1+$FE$17,1)*IF(I161=$FF$14,1+$FE$14,1)</f>
        <v>7961.8194039279988</v>
      </c>
      <c r="AS161" s="1097">
        <f>(AN161*(1+$EX$10)+$EX$36)*(1+(INDEX(绊状态确认!$T:$T,MATCH($G161,绊状态确认!$B:$B,))+0.2)*AO161)*IF(J161=$FF$17,1+$FE$17,1)*IF(I161=$FF$14,1+$FE$14,1)</f>
        <v>14132.156938067999</v>
      </c>
      <c r="AT161" s="1093">
        <f>IF(AND(INDEX('卡片raw data'!AK:AK,MATCH($D161,'卡片raw data'!$F:$F,))&lt;INDEX('卡片raw data'!AM:AM,MATCH($D161,'卡片raw data'!$F:$F,)),INDEX('卡片raw data'!AL:AL,MATCH($D161,'卡片raw data'!$F:$F,))&lt;INDEX('卡片raw data'!AM:AM,MATCH($D161,'卡片raw data'!$F:$F,))),1,0)</f>
        <v>0</v>
      </c>
      <c r="AU161" s="1098">
        <f>MIN(AT161*0.15+AS161*0.00003+INDEX(绊状态确认!M:M,MATCH($G161,绊状态确认!$B:$B,)),1)</f>
        <v>0.45396470814204004</v>
      </c>
      <c r="AV161" s="1109">
        <f>(INDEX(绊状态确认!$N:$N,MATCH($G161,绊状态确认!$B:$B,))+1.5)*$EW$21</f>
        <v>2.6599999999999997</v>
      </c>
      <c r="AW161" s="1101">
        <f t="shared" si="196"/>
        <v>23675.312559381913</v>
      </c>
      <c r="AX161" s="1097">
        <f t="shared" si="197"/>
        <v>675.72250665458751</v>
      </c>
      <c r="AY161" s="1110">
        <f t="shared" si="198"/>
        <v>24351.0350660365</v>
      </c>
      <c r="AZ161" s="429">
        <f t="shared" si="199"/>
        <v>19497.290695999996</v>
      </c>
      <c r="BA161" s="431">
        <f t="shared" si="200"/>
        <v>23396.748835199996</v>
      </c>
      <c r="BB161" s="1097">
        <f>(AM161*(1+$FB$9)+$FB$35)*(1+(INDEX(绊状态确认!$T:$T,MATCH($G161,绊状态确认!$B:$B,))+0.2)*AO161)*IF(J161=$FF$17,1+$FE$17,1)*IF(I161=$FF$14,1+$FE$14,1)*(1+$FE$15)</f>
        <v>7961.8194039279988</v>
      </c>
      <c r="BC161" s="1097">
        <f>(AN161*(1+$FB$10)+$FB$36)*(1+(INDEX(绊状态确认!$T:$T,MATCH($G161,绊状态确认!$B:$B,))+0.2)*AO161)*IF(J161=$FF$17,1+$FE$17,1)*IF(I161=$FF$14,1+$FE$14,1)*(1+$FE$15)</f>
        <v>14132.156938067999</v>
      </c>
      <c r="BD161" s="1104">
        <f>MIN(AT161*0.15+BC161*0.00003+INDEX(绊状态确认!M:M,MATCH($G161,绊状态确认!$B:$B,)),1)</f>
        <v>0.45396470814204004</v>
      </c>
      <c r="BE161" s="432">
        <f>(INDEX(绊状态确认!$N:$N,MATCH($G161,绊状态确认!$B:$B,))+1.5)</f>
        <v>1.9</v>
      </c>
      <c r="BF161" s="1139">
        <f t="array" ref="BF161">SUMPRODUCT(IF(AZ161*AP161*$FI$16:$FI$23*$FA$22&gt;=$FI$24,$FI$24,AZ161*AP161*$FI$16:$FI$23*$FA$22),$FJ$16:$FJ$23)</f>
        <v>38780.111194343997</v>
      </c>
      <c r="BG161" s="1125">
        <f t="array" ref="BG161">SUMPRODUCT(IF(BE161*AZ161*AP161*$FI$16:$FI$23*$FA$22&gt;=$FI$24,$FI$24,BE161*AZ161*AP161*$FI$16:$FI$23*$FA$22),$FJ$16:$FJ$23)</f>
        <v>59778.996962294397</v>
      </c>
      <c r="BH161" s="1110">
        <f t="shared" si="201"/>
        <v>16104.288081099881</v>
      </c>
      <c r="BI161" s="1111">
        <f>IF(O161="vo",$EW$26/$EW$24*0.05,0)+IF(O161="sk",-$EW$26/$EW$24*(0.05-INDEX(绊状态确认!W:W,MATCH($G161,绊状态确认!$B:$B,)))+0.05*$EW$28,0)+IF(O161="sp",0.05*$EW$32*$EW$30*(1-$EW$33)-(0.05-INDEX(绊状态确认!V:V,MATCH($G161,绊状态确认!$B:$B,)))*$EW$28,0)+IF(O161="gd",-(0.05-INDEX(绊状态确认!X:X,MATCH($G161,绊状态确认!$B:$B,)))*$EW$32*$EW$30*(1-$EW$33),0)</f>
        <v>19.999999999999886</v>
      </c>
      <c r="BJ161" s="1097">
        <f>IF(O161="vo",0.05*(1-$FI$26)*$FA$24,0)+IF(O161="sk",-(0.05-INDEX(绊状态确认!W:W,MATCH($G161,绊状态确认!$B:$B,)))*(1-$FI$26)*$FA$24+0.05*$FA$26,0)+IF(O161="sp",0.05*$FA$32*$FA$27*(1-$FA$33)/$FA$30+0.05*$FA$29/$FA$69*$FA$27*(1-$FA$33)-(0.05-INDEX(绊状态确认!V:V,MATCH($G161,绊状态确认!$B:$B,)))*$FA$26,0)+IF(O161="gd",-(0.05-INDEX(绊状态确认!X:X,MATCH($G161,绊状态确认!$B:$B,)))*$FA$32*$FA$27*(1-$FA$33)/$FA$30-(0.05-INDEX(绊状态确认!X:X,MATCH($G161,绊状态确认!$B:$B,)))*$FA$29/$FA$69*$FA$27*(1-$FA$33),0)</f>
        <v>545.83333333333326</v>
      </c>
      <c r="BK161" s="1110">
        <f>IF(O161="vo",$EW$26/$EW$24*0.05+$EW$26*(-HP($EW$62,$EW$65,$EW$64)+HP($EW$62,$EW$65,(1.05-INDEX(绊状态确认!U:U,MATCH($G161,绊状态确认!$B:$B,)))*$EW$64)),0)+IF(O161="sk",-$EW$26/$EW$24*(0.05-INDEX(绊状态确认!W:W,MATCH($G161,绊状态确认!$B:$B,)))+0.05*$EW$29,0)+IF(O161="sp",0.05*$EW$32*$EW$30*(1-$EW$33)-(0.05-INDEX(绊状态确认!V:V,MATCH($G161,绊状态确认!$B:$B,)))*$EW$29,0)+IF(O161="gd",-(0.05-INDEX(绊状态确认!X:X,MATCH($G161,绊状态确认!$B:$B,)))*$EW$32*$EW$30*(1-$EW$33)+$EW$26*(-HP($EW$62,$EW$65,$EW$64)+HP($EW$62,$EW$65,0.95*$EW$64)),0)</f>
        <v>-1780.0000000000005</v>
      </c>
      <c r="BL161" s="1111">
        <f t="shared" si="202"/>
        <v>-1083.3333333333333</v>
      </c>
      <c r="BM161" s="1110">
        <f t="shared" si="203"/>
        <v>-830.55555555555543</v>
      </c>
      <c r="BN161" s="1113">
        <f t="shared" si="204"/>
        <v>3</v>
      </c>
      <c r="BO161" s="1097">
        <f t="shared" si="205"/>
        <v>4507.7214871259994</v>
      </c>
      <c r="BP161" s="1100">
        <f t="shared" si="206"/>
        <v>221.34103209030098</v>
      </c>
      <c r="BQ161" s="1113" t="s">
        <v>624</v>
      </c>
      <c r="BR161" s="1124" t="s">
        <v>150</v>
      </c>
      <c r="BS161" s="1098">
        <f>IF($P161="","N/A",IF($P161=-1,INDEX('卡片raw data'!AX:AX,MATCH($D161,'卡片raw data'!$F:$F,)),0)+IF($L161="party卡",IF($P161=5,INDEX('卡片raw data'!BD:BD,MATCH($D161,'卡片raw data'!$F:$F,)),IF($P161&gt;=3,INDEX('卡片raw data'!BC:BC,MATCH($D161,'卡片raw data'!$F:$F,)),INDEX('卡片raw data'!BB:BB,MATCH($D161,'卡片raw data'!$F:$F,)))),IF(OR(AND($F161="UR",$P161=0),AND($F161="SR",$P161&gt;=0,$P161&lt;=2),AND($F161="R",$P161&gt;=0,$P161&lt;4)),INDEX('卡片raw data'!AZ:AZ,MATCH($D161,'卡片raw data'!$F:$F,)),0)+IF(OR(AND($F161="UR",$P161&gt;=1,$P161&lt;=4),AND($F161="SR",$P161&lt;=4,$P161&gt;=3),AND($F161="R",$P161=4)),INDEX('卡片raw data'!BA:BA,MATCH($D161,'卡片raw data'!$F:$F,)),0)+IF($P161=5,INDEX('卡片raw data'!BB:BB,MATCH($D161,'卡片raw data'!$F:$F,)),0)))</f>
        <v>3.2000000000000001E-2</v>
      </c>
      <c r="BT161" s="1101">
        <f t="shared" si="207"/>
        <v>0</v>
      </c>
      <c r="BU161" s="1097">
        <f t="shared" si="208"/>
        <v>0</v>
      </c>
      <c r="BV161" s="1097">
        <f t="shared" si="209"/>
        <v>0</v>
      </c>
      <c r="BW161" s="1112">
        <f t="shared" si="210"/>
        <v>0.93642857142857128</v>
      </c>
      <c r="BX161" s="1100">
        <f t="shared" si="211"/>
        <v>73.047974365849768</v>
      </c>
      <c r="BY161" s="1110">
        <f t="shared" si="212"/>
        <v>73.047974365849768</v>
      </c>
      <c r="BZ161" s="1107" t="s">
        <v>569</v>
      </c>
      <c r="CA161" s="1124"/>
      <c r="CB161" s="1098">
        <f>IF($P161="","N/A",IF($P161=-1,INDEX('卡片raw data'!BE:BE,MATCH($D161,'卡片raw data'!$F:$F,)),0)+IF($L161="party卡",IF($P161=5,INDEX('卡片raw data'!BK:BK,MATCH($D161,'卡片raw data'!$F:$F,)),IF($P161&gt;=3,INDEX('卡片raw data'!BJ:BJ,MATCH($D161,'卡片raw data'!$F:$F,)),INDEX('卡片raw data'!BI:BI,MATCH($D161,'卡片raw data'!$F:$F,)))),IF(OR(AND($F161="UR",$P161=0),AND($F161="SR",$P161&gt;=0,$P161&lt;=2),AND($F161="R",$P161&gt;=0,$P161&lt;4)),INDEX('卡片raw data'!BG:BG,MATCH($D161,'卡片raw data'!$F:$F,)),0)+IF(OR(AND($F161="UR",$P161&gt;=1,$P161&lt;=4),AND($F161="SR",$P161&lt;=4,$P161&gt;=3),AND($F161="R",$P161=4)),INDEX('卡片raw data'!BH:BH,MATCH($D161,'卡片raw data'!$F:$F,)),0)+IF($P161=5,INDEX('卡片raw data'!BI:BI,MATCH($D161,'卡片raw data'!$F:$F,)),0)))</f>
        <v>0</v>
      </c>
      <c r="CC161" s="1101">
        <f t="shared" si="213"/>
        <v>0</v>
      </c>
      <c r="CD161" s="1097">
        <f>IF(BZ161="ap",CB161*(1-$FI$26)*$FB$5/$FB$11*(+IF(CA161="全员",$FA$24,0)+IF(CA161="同作战",$FA$24,0)+IF(CA161="仲间",$FA$24*2/3,0)+IF(CA161="同属性",$FA$24*$FA$37/3,0)+IF(CA161="同年级",$FA$24*$FA$40/3,0)+IF(CA161="同学校",$FA$24*$FA$43/3,0)+IF(CA161="同小队",$FA$24*$FA$46/3,0)+IF(CA161="同type",$FA$24*INDEX($FB$49:$FB$52,MATCH(X161,$FA$49:$FA$52,))/3,0)+IF(CA161="自身",#REF!/3,0)),0)+IF(BZ161="te",CB161*(1-$FI$27)*($FA$20-1)*$FB$7/$FB$13*(+IF(CA161="全员",$FA$19*$FA$24/(1+($FA$20-1)*$FA$19),0)+IF(CA161="同作战",$FA$19*$FA$24/(1+($FA$20-1)*$FA$19),0)+IF(CA161="仲间",$FA$19*$FA$24*2/3/(1+($FA$20-1)*$FA$19),0)+IF(CA161="同属性",$FA$19*$FA$24*$FA$37/3/(1+($FA$20-1)*$FA$19),0)+IF(CA161="同年级",$FA$19*$FA$24*$FA$40/3/(1+($FA$20-1)*$FA$19),0)+IF(CA161="同学校",$FA$19*$FA$24*$FA$43/3/(1+($FA$20-1)*$FA$19),0)+IF(CA161="同小队",$FA$19*$FA$24*$FA$46/3/(1+($FA$20-1)*$FA$19),0)+IF(CA161="同type",$FA$19*$FA$24*INDEX($FB$49:$FB$52,MATCH(X161,$FA$49:$FA$52,))/3/(1+($FA$20-1)*$FA$19),0)+IF(CA161="自身",$FA$19*#REF!/3/(1+(BH161-1)*$BD161),0)),0)</f>
        <v>0</v>
      </c>
      <c r="CE161" s="1097">
        <f t="shared" si="214"/>
        <v>0</v>
      </c>
      <c r="CF161" s="1112">
        <f t="shared" si="215"/>
        <v>0</v>
      </c>
      <c r="CG161" s="1100">
        <f t="shared" si="216"/>
        <v>0</v>
      </c>
      <c r="CH161" s="1110">
        <f t="shared" si="217"/>
        <v>0</v>
      </c>
      <c r="CI161" s="1113" t="s">
        <v>162</v>
      </c>
      <c r="CJ161" s="1114">
        <v>0.2</v>
      </c>
      <c r="CK161" s="1115" t="s">
        <v>568</v>
      </c>
      <c r="CL161" s="1115" t="s">
        <v>563</v>
      </c>
      <c r="CM161" s="1119">
        <v>0.05</v>
      </c>
      <c r="CN161" s="1115" t="s">
        <v>1948</v>
      </c>
      <c r="CO161" s="1092"/>
      <c r="CP161" s="1118">
        <f t="shared" si="218"/>
        <v>2.8571428571428576E-3</v>
      </c>
      <c r="CQ161" s="1118">
        <f t="shared" si="219"/>
        <v>4.0000000000000001E-3</v>
      </c>
      <c r="CR161" s="1118">
        <f t="shared" si="220"/>
        <v>1.6071428571428573E-3</v>
      </c>
      <c r="CS161" s="1118">
        <f t="shared" si="221"/>
        <v>0</v>
      </c>
      <c r="CT161" s="1109">
        <f t="shared" si="222"/>
        <v>0</v>
      </c>
      <c r="CU161" s="1101">
        <f t="shared" si="223"/>
        <v>334.3776535180715</v>
      </c>
      <c r="CV161" s="1108">
        <f t="shared" si="224"/>
        <v>32.389378571181872</v>
      </c>
      <c r="CW161" s="1097">
        <f t="shared" si="225"/>
        <v>188.08743010391521</v>
      </c>
      <c r="CX161" s="1097">
        <f t="shared" si="226"/>
        <v>334.3776535180715</v>
      </c>
      <c r="CY161" s="1110">
        <f t="shared" si="227"/>
        <v>188.08743010391521</v>
      </c>
      <c r="CZ161" s="437"/>
      <c r="DA161" s="438"/>
      <c r="DB161" s="439" t="s">
        <v>569</v>
      </c>
      <c r="DC161" s="439"/>
      <c r="DD161" s="443"/>
      <c r="DE161" s="411"/>
      <c r="DF161" s="411"/>
      <c r="DG161" s="1116">
        <f t="shared" si="228"/>
        <v>0</v>
      </c>
      <c r="DH161" s="1116">
        <f t="shared" si="229"/>
        <v>0</v>
      </c>
      <c r="DI161" s="1116">
        <f t="shared" si="230"/>
        <v>0</v>
      </c>
      <c r="DJ161" s="442">
        <f t="shared" si="231"/>
        <v>0</v>
      </c>
      <c r="DK161" s="1109">
        <f t="shared" si="232"/>
        <v>0</v>
      </c>
      <c r="DL161" s="1101">
        <f t="shared" si="233"/>
        <v>0</v>
      </c>
      <c r="DM161" s="1097">
        <f t="shared" si="234"/>
        <v>0</v>
      </c>
      <c r="DN161" s="1097">
        <f t="shared" si="235"/>
        <v>0</v>
      </c>
      <c r="DO161" s="1097">
        <f t="shared" si="236"/>
        <v>0</v>
      </c>
      <c r="DP161" s="1110">
        <f t="shared" si="237"/>
        <v>0</v>
      </c>
      <c r="DQ161" s="1113" t="s">
        <v>256</v>
      </c>
      <c r="DR161" s="1120">
        <f t="shared" si="238"/>
        <v>0.3</v>
      </c>
      <c r="DS161" s="1124"/>
      <c r="DT161" s="1093" t="s">
        <v>548</v>
      </c>
      <c r="DU161" s="1093"/>
      <c r="DV161" s="1098">
        <f>IF($P161="","N/A",IF(P161=-1,INDEX('卡片raw data'!AN:AN,MATCH(D161,'卡片raw data'!$F:$F,)),0)+IF(AND(L161&lt;&gt;"party卡",P161&lt;=2,P161&gt;=0),INDEX('卡片raw data'!AP:AP,MATCH(D161,'卡片raw data'!$F:$F,)),0)+IF(OR(AND(L161="party卡",P161&lt;=1),AND(P161&lt;=4,L161&lt;&gt;"party卡",P161&gt;=3)),INDEX('卡片raw data'!AQ:AQ,MATCH(D161,'卡片raw data'!$F:$F,)),0)+IF(OR(P161=5,AND(L161="party卡",P161&gt;=2)),INDEX('卡片raw data'!AR:AR,MATCH(D161,'卡片raw data'!$F:$F,)),0))</f>
        <v>0.22</v>
      </c>
      <c r="DW161" s="1098">
        <f t="shared" si="239"/>
        <v>0.3</v>
      </c>
      <c r="DX161" s="1098">
        <f t="shared" si="240"/>
        <v>0.3</v>
      </c>
      <c r="DY161" s="1125">
        <f t="shared" si="241"/>
        <v>571.91976291999993</v>
      </c>
      <c r="DZ161" s="1125">
        <f t="shared" si="242"/>
        <v>445.24013033385597</v>
      </c>
      <c r="EA161" s="1098">
        <f t="shared" si="243"/>
        <v>0</v>
      </c>
      <c r="EB161" s="1121">
        <f t="shared" si="244"/>
        <v>0</v>
      </c>
      <c r="EC161" s="1101">
        <f t="shared" si="245"/>
        <v>817.84526097560001</v>
      </c>
      <c r="ED161" s="1097">
        <f t="shared" si="246"/>
        <v>0</v>
      </c>
      <c r="EE161" s="1110">
        <f t="shared" si="247"/>
        <v>817.84526097560001</v>
      </c>
      <c r="EF161" s="1092" t="s">
        <v>711</v>
      </c>
      <c r="EG161" s="1120">
        <f t="shared" si="248"/>
        <v>0.3</v>
      </c>
      <c r="EH161" s="1124"/>
      <c r="EI161" s="1093"/>
      <c r="EJ161" s="1093"/>
      <c r="EK161" s="1097">
        <f>IF($P161="","N/A",IF(P161=-1,INDEX('卡片raw data'!AS:AS,MATCH(D161,'卡片raw data'!$F:$F,)),0)+IF(AND(L161&lt;&gt;"party卡",P161&lt;=2,P161&gt;=0),INDEX('卡片raw data'!AU:AU,MATCH(D161,'卡片raw data'!$F:$F,)),0)+IF(OR(AND(L161="party卡",P161&lt;=1),AND(P161&lt;=4,L161&lt;&gt;"party卡",P161&gt;=3)),INDEX('卡片raw data'!AV:AV,MATCH(D161,'卡片raw data'!$F:$F,)),0)+IF(OR(P161=5,AND(L161="party卡",P161&gt;=2)),INDEX('卡片raw data'!AW:AW,MATCH(D161,'卡片raw data'!$F:$F,)),0))</f>
        <v>0</v>
      </c>
      <c r="EL161" s="1098">
        <f t="shared" si="249"/>
        <v>0.3</v>
      </c>
      <c r="EM161" s="1098">
        <f t="shared" si="250"/>
        <v>0.3</v>
      </c>
      <c r="EN161" s="1125">
        <f t="shared" si="251"/>
        <v>0</v>
      </c>
      <c r="EO161" s="1125">
        <f t="shared" si="252"/>
        <v>0</v>
      </c>
      <c r="EP161" s="1098">
        <f t="shared" si="253"/>
        <v>0</v>
      </c>
      <c r="EQ161" s="1121">
        <f t="shared" si="254"/>
        <v>0</v>
      </c>
      <c r="ER161" s="1101">
        <f t="shared" si="255"/>
        <v>0</v>
      </c>
      <c r="ES161" s="1097">
        <f t="shared" si="256"/>
        <v>0</v>
      </c>
      <c r="ET161" s="1122">
        <f t="shared" si="257"/>
        <v>0</v>
      </c>
    </row>
    <row r="162" spans="2:150" ht="16.5" customHeight="1">
      <c r="B162" s="1123" t="str">
        <f>INDEX('卡片raw data'!B:B,MATCH($D162,'卡片raw data'!$F:$F,))</f>
        <v>甜品绘</v>
      </c>
      <c r="C162" s="449" t="s">
        <v>66</v>
      </c>
      <c r="D162" s="408">
        <v>159</v>
      </c>
      <c r="E162" s="1090">
        <v>400023001</v>
      </c>
      <c r="F162" s="1090" t="str">
        <f>INDEX('卡片raw data'!C:C,MATCH($D162,'卡片raw data'!$F:$F,))</f>
        <v>UR</v>
      </c>
      <c r="G162" s="1094" t="s">
        <v>25</v>
      </c>
      <c r="H162" s="411">
        <f>IFERROR(INDEX(绊状态确认!C:C,MATCH($G162,绊状态确认!$B:$B,)),"")</f>
        <v>2</v>
      </c>
      <c r="I162" s="450" t="str">
        <f>IFERROR(INDEX(绊状态确认!D:D,MATCH($G162,绊状态确认!$B:$B,)),"")</f>
        <v>缪</v>
      </c>
      <c r="J162" s="450" t="str">
        <f>IFERROR(INDEX(绊状态确认!E:E,MATCH($G162,绊状态确认!$B:$B,)),"")</f>
        <v>3年级</v>
      </c>
      <c r="K162" s="451" t="str">
        <f>IFERROR(INDEX(绊状态确认!F:F,MATCH($G162,绊状态确认!$B:$B,)),"")</f>
        <v>BiBi</v>
      </c>
      <c r="L162" s="1094" t="str">
        <f>INDEX('卡片raw data'!E:E,MATCH($D162,'卡片raw data'!$F:$F,))</f>
        <v>活动卡</v>
      </c>
      <c r="M162" s="415">
        <v>43852</v>
      </c>
      <c r="N162" s="416">
        <v>8</v>
      </c>
      <c r="O162" s="1091" t="str">
        <f>INDEX('卡片raw data'!D:D,MATCH($D162,'卡片raw data'!$F:$F,))</f>
        <v>sk</v>
      </c>
      <c r="P162" s="417">
        <v>5</v>
      </c>
      <c r="Q162" s="1095">
        <f t="shared" si="173"/>
        <v>37655.498727194245</v>
      </c>
      <c r="R162" s="1096">
        <f t="shared" si="174"/>
        <v>0.437</v>
      </c>
      <c r="S162" s="1097">
        <f t="shared" si="175"/>
        <v>19092.462974699061</v>
      </c>
      <c r="T162" s="1098">
        <f t="shared" si="176"/>
        <v>0.95399999999999996</v>
      </c>
      <c r="U162" s="1099">
        <f t="shared" si="177"/>
        <v>13.544151164142857</v>
      </c>
      <c r="V162" s="1100">
        <f t="shared" si="178"/>
        <v>40739.420036419819</v>
      </c>
      <c r="W162" s="1101">
        <f t="shared" si="179"/>
        <v>4639.0016045545708</v>
      </c>
      <c r="X162" s="1096">
        <f t="shared" si="180"/>
        <v>5.2999999999999999E-2</v>
      </c>
      <c r="Y162" s="1097">
        <f t="shared" si="181"/>
        <v>1083.9213092255741</v>
      </c>
      <c r="Z162" s="1102">
        <f t="shared" si="182"/>
        <v>13.544151164142857</v>
      </c>
      <c r="AA162" s="1103">
        <f t="shared" si="183"/>
        <v>5722.9229137801449</v>
      </c>
      <c r="AB162" s="1101">
        <f t="shared" si="184"/>
        <v>9591.2182475705886</v>
      </c>
      <c r="AC162" s="1104">
        <f t="shared" si="185"/>
        <v>0.111</v>
      </c>
      <c r="AD162" s="1105">
        <f t="shared" si="186"/>
        <v>2.1769318181818181E-2</v>
      </c>
      <c r="AE162" s="1128">
        <f t="shared" si="187"/>
        <v>15.221173960745848</v>
      </c>
      <c r="AF162" s="1130">
        <f t="shared" si="188"/>
        <v>0</v>
      </c>
      <c r="AG162" s="420">
        <f t="shared" si="189"/>
        <v>0</v>
      </c>
      <c r="AH162" s="420">
        <f t="shared" si="190"/>
        <v>0</v>
      </c>
      <c r="AI162" s="1097">
        <f t="shared" si="191"/>
        <v>0</v>
      </c>
      <c r="AJ162" s="420">
        <f t="shared" si="192"/>
        <v>0</v>
      </c>
      <c r="AK162" s="518">
        <f t="shared" si="193"/>
        <v>0</v>
      </c>
      <c r="AL162" s="1106">
        <f>IF($P162="","N/A",(IF($P162=-1,INDEX('卡片raw data'!S:S,MATCH($D162,'卡片raw data'!$F:$F,)),0)+IF($P162=0,INDEX('卡片raw data'!V:V,MATCH($D162,'卡片raw data'!$F:$F,)),0)+IF($P162=1,INDEX('卡片raw data'!Y:Y,MATCH($D162,'卡片raw data'!$F:$F,)),0)+IF($P162=2,INDEX('卡片raw data'!AB:AB,MATCH($D162,'卡片raw data'!$F:$F,)),0)+IF($P162=3,INDEX('卡片raw data'!AE:AE,MATCH($D162,'卡片raw data'!$F:$F,)),0)+IF($P162=4,INDEX('卡片raw data'!AH:AH,MATCH($D162,'卡片raw data'!$F:$F,)),0)+IF($P162=5,INDEX('卡片raw data'!AK:AK,MATCH($D162,'卡片raw data'!$F:$F,)),0)+INDEX('卡片raw data'!S:S,MATCH($D162,'卡片raw data'!$F:$F,))*(IF($F162="UR",0.04,0.033))*(IF($F162="UR",INDEX(绊状态确认!$S:$S,MATCH($G162,绊状态确认!$B:$B,))/2-40)+IF($F162="SR",INDEX(绊状态确认!$R:$R,MATCH($G162,绊状态确认!$B:$B,))/4-15))+IF($F162="R",INDEX(绊状态确认!$Q:$Q,MATCH($G162,绊状态确认!$B:$B,))/6-40/6)))*(INDEX(绊状态确认!$H:$H,MATCH($G162,绊状态确认!$B:$B,))+INDEX(绊状态确认!J:J,MATCH($G162,绊状态确认!$B:$B,)))</f>
        <v>8319.3571199999988</v>
      </c>
      <c r="AM162" s="1106">
        <f>IF($P162="","N/A",(IF($P162=-1,INDEX('卡片raw data'!T:T,MATCH($D162,'卡片raw data'!$F:$F,)),0)+IF($P162=0,INDEX('卡片raw data'!W:W,MATCH($D162,'卡片raw data'!$F:$F,)),0)+IF($P162=1,INDEX('卡片raw data'!Z:Z,MATCH($D162,'卡片raw data'!$F:$F,)),0)+IF($P162=2,INDEX('卡片raw data'!AC:AC,MATCH($D162,'卡片raw data'!$F:$F,)),0)+IF($P162=3,INDEX('卡片raw data'!AF:AF,MATCH($D162,'卡片raw data'!$F:$F,)),0)+IF($P162=4,INDEX('卡片raw data'!AI:AI,MATCH($D162,'卡片raw data'!$F:$F,)),0)+IF($P162=5,INDEX('卡片raw data'!AL:AL,MATCH($D162,'卡片raw data'!$F:$F,)),0)+INDEX('卡片raw data'!T:T,MATCH($D162,'卡片raw data'!$F:$F,))*(IF($F162="UR",0.04,0.033))*(IF($F162="UR",INDEX(绊状态确认!$S:$S,MATCH($G162,绊状态确认!$B:$B,))/2-40)+IF($F162="SR",INDEX(绊状态确认!$R:$R,MATCH($G162,绊状态确认!$B:$B,))/4-15))+IF($F162="R",INDEX(绊状态确认!$Q:$Q,MATCH($G162,绊状态确认!$B:$B,))/6-40/6)))*(INDEX(绊状态确认!$H:$H,MATCH($G162,绊状态确认!$B:$B,))+INDEX(绊状态确认!K:K,MATCH($G162,绊状态确认!$B:$B,)))</f>
        <v>7280.0056799999993</v>
      </c>
      <c r="AN162" s="1106">
        <f>IF($P162="","N/A",(IF($P162=-1,INDEX('卡片raw data'!U:U,MATCH($D162,'卡片raw data'!$F:$F,)),0)+IF($P162=0,INDEX('卡片raw data'!X:X,MATCH($D162,'卡片raw data'!$F:$F,)),0)+IF($P162=1,INDEX('卡片raw data'!AA:AA,MATCH($D162,'卡片raw data'!$F:$F,)),0)+IF($P162=2,INDEX('卡片raw data'!AD:AD,MATCH($D162,'卡片raw data'!$F:$F,)),0)+IF($P162=3,INDEX('卡片raw data'!AG:AG,MATCH($D162,'卡片raw data'!$F:$F,)),0)+IF($P162=4,INDEX('卡片raw data'!AJ:AJ,MATCH($D162,'卡片raw data'!$F:$F,)),0)+IF($P162=5,INDEX('卡片raw data'!AM:AM,MATCH($D162,'卡片raw data'!$F:$F,)),0)+INDEX('卡片raw data'!U:U,MATCH($D162,'卡片raw data'!$F:$F,))*(IF($F162="UR",0.04,0.033))*(IF($F162="UR",INDEX(绊状态确认!$S:$S,MATCH($G162,绊状态确认!$B:$B,))/2-40)+IF($F162="SR",INDEX(绊状态确认!$R:$R,MATCH($G162,绊状态确认!$B:$B,))/4-15))+IF($F162="R",INDEX(绊状态确认!$Q:$Q,MATCH($G162,绊状态确认!$B:$B,))/6-40/6)))*(INDEX(绊状态确认!$H:$H,MATCH($G162,绊状态确认!$B:$B,))+INDEX(绊状态确认!L:L,MATCH($G162,绊状态确认!$B:$B,)))</f>
        <v>10400.332799999998</v>
      </c>
      <c r="AO162" s="1107">
        <f t="shared" si="194"/>
        <v>1</v>
      </c>
      <c r="AP162" s="1131">
        <f>1+(INDEX(绊状态确认!$T:$T,MATCH($G162,绊状态确认!$B:$B,))+0.2)*$AO162</f>
        <v>1.3</v>
      </c>
      <c r="AQ162" s="1108">
        <f t="shared" si="195"/>
        <v>25088.312440000002</v>
      </c>
      <c r="AR162" s="1097">
        <f>(AM162*(1+$EX$9)+$EX$35)*(1+(INDEX(绊状态确认!$T:$T,MATCH($G162,绊状态确认!$B:$B,))+0.2)*AO162)*IF(J162=$FF$17,1+$FE$17,1)*IF(I162=$FF$14,1+$FE$14,1)*(1+$FE$15)</f>
        <v>12641.2077532</v>
      </c>
      <c r="AS162" s="1097">
        <f>(AN162*(1+$EX$10)+$EX$36)*(1+(INDEX(绊状态确认!$T:$T,MATCH($G162,绊状态确认!$B:$B,))+0.2)*AO162)*IF(J162=$FF$17,1+$FE$17,1)*IF(I162=$FF$14,1+$FE$14,1)*(1+$FE$15)</f>
        <v>19604.497535999999</v>
      </c>
      <c r="AT162" s="1093">
        <f>IF(AND(INDEX('卡片raw data'!AK:AK,MATCH($D162,'卡片raw data'!$F:$F,))&lt;INDEX('卡片raw data'!AM:AM,MATCH($D162,'卡片raw data'!$F:$F,)),INDEX('卡片raw data'!AL:AL,MATCH($D162,'卡片raw data'!$F:$F,))&lt;INDEX('卡片raw data'!AM:AM,MATCH($D162,'卡片raw data'!$F:$F,))),1,0)</f>
        <v>1</v>
      </c>
      <c r="AU162" s="1098">
        <f>MIN(AT162*0.15+AS162*0.00003+INDEX(绊状态确认!M:M,MATCH($G162,绊状态确认!$B:$B,)),1)</f>
        <v>0.76813492608</v>
      </c>
      <c r="AV162" s="1109">
        <f>(INDEX(绊状态确认!$N:$N,MATCH($G162,绊状态确认!$B:$B,))+1.5)*$EW$21</f>
        <v>2.6599999999999997</v>
      </c>
      <c r="AW162" s="1101">
        <f t="shared" si="196"/>
        <v>29643.539843308245</v>
      </c>
      <c r="AX162" s="1097">
        <f t="shared" si="197"/>
        <v>1083.9213092255736</v>
      </c>
      <c r="AY162" s="1110">
        <f t="shared" si="198"/>
        <v>30727.461152533819</v>
      </c>
      <c r="AZ162" s="429">
        <f t="shared" si="199"/>
        <v>18822.746383999998</v>
      </c>
      <c r="BA162" s="431">
        <f t="shared" si="200"/>
        <v>22587.295660799999</v>
      </c>
      <c r="BB162" s="1097">
        <f>(AM162*(1+$FB$9)+$FB$35)*(1+(INDEX(绊状态确认!$T:$T,MATCH($G162,绊状态确认!$B:$B,))+0.2)*AO162)*IF(J162=$FF$17,1+$FE$17,1)*IF(I162=$FF$14,1+$FE$14,1)*(1+$FE$15)</f>
        <v>12641.2077532</v>
      </c>
      <c r="BC162" s="1097">
        <f>(AN162*(1+$FB$10)+$FB$36)*(1+(INDEX(绊状态确认!$T:$T,MATCH($G162,绊状态确认!$B:$B,))+0.2)*AO162)*IF(J162=$FF$17,1+$FE$17,1)*IF(I162=$FF$14,1+$FE$14,1)*(1+$FE$15)</f>
        <v>19604.497535999999</v>
      </c>
      <c r="BD162" s="1104">
        <f>MIN(AT162*0.15+BC162*0.00003+INDEX(绊状态确认!M:M,MATCH($G162,绊状态确认!$B:$B,)),1)</f>
        <v>0.76813492608</v>
      </c>
      <c r="BE162" s="432">
        <f>(INDEX(绊状态确认!$N:$N,MATCH($G162,绊状态确认!$B:$B,))+1.5)</f>
        <v>1.9</v>
      </c>
      <c r="BF162" s="1139">
        <f t="array" ref="BF162">SUMPRODUCT(IF(AZ162*AP162*$FI$16:$FI$23*$FA$22&gt;=$FI$24,$FI$24,AZ162*AP162*$FI$16:$FI$23*$FA$22),$FJ$16:$FJ$23)</f>
        <v>37438.442557775998</v>
      </c>
      <c r="BG162" s="1125">
        <f t="array" ref="BG162">SUMPRODUCT(IF(BE162*AZ162*AP162*$FI$16:$FI$23*$FA$22&gt;=$FI$24,$FI$24,BE162*AZ162*AP162*$FI$16:$FI$23*$FA$22),$FJ$16:$FJ$23)</f>
        <v>59579.062028217602</v>
      </c>
      <c r="BH162" s="1110">
        <f t="shared" si="201"/>
        <v>18148.475219356355</v>
      </c>
      <c r="BI162" s="1111">
        <f>IF(O162="vo",$EW$26/$EW$24*0.05,0)+IF(O162="sk",-$EW$26/$EW$24*(0.05-INDEX(绊状态确认!W:W,MATCH($G162,绊状态确认!$B:$B,)))+0.05*$EW$28,0)+IF(O162="sp",0.05*$EW$32*$EW$30*(1-$EW$33)-(0.05-INDEX(绊状态确认!V:V,MATCH($G162,绊状态确认!$B:$B,)))*$EW$28,0)+IF(O162="gd",-(0.05-INDEX(绊状态确认!X:X,MATCH($G162,绊状态确认!$B:$B,)))*$EW$32*$EW$30*(1-$EW$33),0)</f>
        <v>-6253.6726349699375</v>
      </c>
      <c r="BJ162" s="1097">
        <f>IF(O162="vo",0.05*(1-$FI$26)*$FA$24,0)+IF(O162="sk",-(0.05-INDEX(绊状态确认!W:W,MATCH($G162,绊状态确认!$B:$B,)))*(1-$FI$26)*$FA$24+0.05*$FA$26,0)+IF(O162="sp",0.05*$FA$32*$FA$27*(1-$FA$33)/$FA$30+0.05*$FA$29/$FA$69*$FA$27*(1-$FA$33)-(0.05-INDEX(绊状态确认!V:V,MATCH($G162,绊状态确认!$B:$B,)))*$FA$26,0)+IF(O162="gd",-(0.05-INDEX(绊状态确认!X:X,MATCH($G162,绊状态确认!$B:$B,)))*$FA$32*$FA$27*(1-$FA$33)/$FA$30-(0.05-INDEX(绊状态确认!X:X,MATCH($G162,绊状态确认!$B:$B,)))*$FA$29/$FA$69*$FA$27*(1-$FA$33),0)</f>
        <v>20.459096812499922</v>
      </c>
      <c r="BK162" s="1110">
        <f>IF(O162="vo",$EW$26/$EW$24*0.05+$EW$26*(-HP($EW$62,$EW$65,$EW$64)+HP($EW$62,$EW$65,(1.05-INDEX(绊状态确认!U:U,MATCH($G162,绊状态确认!$B:$B,)))*$EW$64)),0)+IF(O162="sk",-$EW$26/$EW$24*(0.05-INDEX(绊状态确认!W:W,MATCH($G162,绊状态确认!$B:$B,)))+0.05*$EW$29,0)+IF(O162="sp",0.05*$EW$32*$EW$30*(1-$EW$33)-(0.05-INDEX(绊状态确认!V:V,MATCH($G162,绊状态确认!$B:$B,)))*$EW$29,0)+IF(O162="gd",-(0.05-INDEX(绊状态确认!X:X,MATCH($G162,绊状态确认!$B:$B,)))*$EW$32*$EW$30*(1-$EW$33)+$EW$26*(-HP($EW$62,$EW$65,$EW$64)+HP($EW$62,$EW$65,0.95*$EW$64)),0)</f>
        <v>-4253.6726349699375</v>
      </c>
      <c r="BL162" s="1111">
        <f t="shared" si="202"/>
        <v>0</v>
      </c>
      <c r="BM162" s="1110">
        <f t="shared" si="203"/>
        <v>0</v>
      </c>
      <c r="BN162" s="1113">
        <f t="shared" si="204"/>
        <v>3</v>
      </c>
      <c r="BO162" s="1097">
        <f t="shared" si="205"/>
        <v>4507.7214871259994</v>
      </c>
      <c r="BP162" s="1100">
        <f t="shared" si="206"/>
        <v>221.34103209030098</v>
      </c>
      <c r="BQ162" s="1113" t="s">
        <v>145</v>
      </c>
      <c r="BR162" s="1124" t="s">
        <v>146</v>
      </c>
      <c r="BS162" s="1098">
        <f>IF($P162="","N/A",IF($P162=-1,INDEX('卡片raw data'!AX:AX,MATCH($D162,'卡片raw data'!$F:$F,)),0)+IF($L162="party卡",IF($P162=5,INDEX('卡片raw data'!BD:BD,MATCH($D162,'卡片raw data'!$F:$F,)),IF($P162&gt;=3,INDEX('卡片raw data'!BC:BC,MATCH($D162,'卡片raw data'!$F:$F,)),INDEX('卡片raw data'!BB:BB,MATCH($D162,'卡片raw data'!$F:$F,)))),IF(OR(AND($F162="UR",$P162=0),AND($F162="SR",$P162&gt;=0,$P162&lt;=2),AND($F162="R",$P162&gt;=0,$P162&lt;4)),INDEX('卡片raw data'!AZ:AZ,MATCH($D162,'卡片raw data'!$F:$F,)),0)+IF(OR(AND($F162="UR",$P162&gt;=1,$P162&lt;=4),AND($F162="SR",$P162&lt;=4,$P162&gt;=3),AND($F162="R",$P162=4)),INDEX('卡片raw data'!BA:BA,MATCH($D162,'卡片raw data'!$F:$F,)),0)+IF($P162=5,INDEX('卡片raw data'!BB:BB,MATCH($D162,'卡片raw data'!$F:$F,)),0)))</f>
        <v>7.0000000000000007E-2</v>
      </c>
      <c r="BT162" s="1101">
        <f t="shared" si="207"/>
        <v>4952.2166430160187</v>
      </c>
      <c r="BU162" s="1097">
        <f t="shared" si="208"/>
        <v>358.20967007162113</v>
      </c>
      <c r="BV162" s="1097">
        <f t="shared" si="209"/>
        <v>0</v>
      </c>
      <c r="BW162" s="1112">
        <f t="shared" si="210"/>
        <v>0</v>
      </c>
      <c r="BX162" s="1100">
        <f t="shared" si="211"/>
        <v>4952.2166430160187</v>
      </c>
      <c r="BY162" s="1110">
        <f t="shared" si="212"/>
        <v>0</v>
      </c>
      <c r="BZ162" s="1107" t="s">
        <v>569</v>
      </c>
      <c r="CA162" s="1124"/>
      <c r="CB162" s="1098">
        <f>IF($P162="","N/A",IF($P162=-1,INDEX('卡片raw data'!BE:BE,MATCH($D162,'卡片raw data'!$F:$F,)),0)+IF($L162="party卡",IF($P162=5,INDEX('卡片raw data'!BK:BK,MATCH($D162,'卡片raw data'!$F:$F,)),IF($P162&gt;=3,INDEX('卡片raw data'!BJ:BJ,MATCH($D162,'卡片raw data'!$F:$F,)),INDEX('卡片raw data'!BI:BI,MATCH($D162,'卡片raw data'!$F:$F,)))),IF(OR(AND($F162="UR",$P162=0),AND($F162="SR",$P162&gt;=0,$P162&lt;=2),AND($F162="R",$P162&gt;=0,$P162&lt;4)),INDEX('卡片raw data'!BG:BG,MATCH($D162,'卡片raw data'!$F:$F,)),0)+IF(OR(AND($F162="UR",$P162&gt;=1,$P162&lt;=4),AND($F162="SR",$P162&lt;=4,$P162&gt;=3),AND($F162="R",$P162=4)),INDEX('卡片raw data'!BH:BH,MATCH($D162,'卡片raw data'!$F:$F,)),0)+IF($P162=5,INDEX('卡片raw data'!BI:BI,MATCH($D162,'卡片raw data'!$F:$F,)),0)))</f>
        <v>0</v>
      </c>
      <c r="CC162" s="1101">
        <f t="shared" si="213"/>
        <v>0</v>
      </c>
      <c r="CD162" s="1097">
        <f>IF(BZ162="ap",CB162*(1-$FI$26)*$FB$5/$FB$11*(+IF(CA162="全员",$FA$24,0)+IF(CA162="同作战",$FA$24,0)+IF(CA162="仲间",$FA$24*2/3,0)+IF(CA162="同属性",$FA$24*$FA$37/3,0)+IF(CA162="同年级",$FA$24*$FA$40/3,0)+IF(CA162="同学校",$FA$24*$FA$43/3,0)+IF(CA162="同小队",$FA$24*$FA$46/3,0)+IF(CA162="同type",$FA$24*INDEX($FB$49:$FB$52,MATCH(X162,$FA$49:$FA$52,))/3,0)+IF(CA162="自身",#REF!/3,0)),0)+IF(BZ162="te",CB162*(1-$FI$27)*($FA$20-1)*$FB$7/$FB$13*(+IF(CA162="全员",$FA$19*$FA$24/(1+($FA$20-1)*$FA$19),0)+IF(CA162="同作战",$FA$19*$FA$24/(1+($FA$20-1)*$FA$19),0)+IF(CA162="仲间",$FA$19*$FA$24*2/3/(1+($FA$20-1)*$FA$19),0)+IF(CA162="同属性",$FA$19*$FA$24*$FA$37/3/(1+($FA$20-1)*$FA$19),0)+IF(CA162="同年级",$FA$19*$FA$24*$FA$40/3/(1+($FA$20-1)*$FA$19),0)+IF(CA162="同学校",$FA$19*$FA$24*$FA$43/3/(1+($FA$20-1)*$FA$19),0)+IF(CA162="同小队",$FA$19*$FA$24*$FA$46/3/(1+($FA$20-1)*$FA$19),0)+IF(CA162="同type",$FA$19*$FA$24*INDEX($FB$49:$FB$52,MATCH(X162,$FA$49:$FA$52,))/3/(1+($FA$20-1)*$FA$19),0)+IF(CA162="自身",$FA$19*#REF!/3/(1+(BH162-1)*$BD162),0)),0)</f>
        <v>0</v>
      </c>
      <c r="CE162" s="1097">
        <f t="shared" si="214"/>
        <v>0</v>
      </c>
      <c r="CF162" s="1112">
        <f t="shared" si="215"/>
        <v>0</v>
      </c>
      <c r="CG162" s="1100">
        <f t="shared" si="216"/>
        <v>0</v>
      </c>
      <c r="CH162" s="1110">
        <f t="shared" si="217"/>
        <v>0</v>
      </c>
      <c r="CI162" s="1113" t="s">
        <v>165</v>
      </c>
      <c r="CJ162" s="1114">
        <v>0.3</v>
      </c>
      <c r="CK162" s="1115" t="s">
        <v>156</v>
      </c>
      <c r="CL162" s="1115" t="s">
        <v>1945</v>
      </c>
      <c r="CM162" s="1119">
        <v>0.1</v>
      </c>
      <c r="CN162" s="1115"/>
      <c r="CO162" s="1092"/>
      <c r="CP162" s="1116">
        <f t="shared" si="218"/>
        <v>2.1004818788571424</v>
      </c>
      <c r="CQ162" s="1116">
        <f t="shared" si="219"/>
        <v>3.7575286943999995</v>
      </c>
      <c r="CR162" s="1116">
        <f t="shared" si="220"/>
        <v>2.1004818788571424</v>
      </c>
      <c r="CS162" s="1118">
        <f t="shared" si="221"/>
        <v>0</v>
      </c>
      <c r="CT162" s="1109">
        <f t="shared" si="222"/>
        <v>3.2674162559999997</v>
      </c>
      <c r="CU162" s="1101">
        <f t="shared" si="223"/>
        <v>131.2801174285714</v>
      </c>
      <c r="CV162" s="1108">
        <f t="shared" si="224"/>
        <v>156.56369559999999</v>
      </c>
      <c r="CW162" s="1097">
        <f t="shared" si="225"/>
        <v>131.2801174285714</v>
      </c>
      <c r="CX162" s="1097">
        <f t="shared" si="226"/>
        <v>131.2801174285714</v>
      </c>
      <c r="CY162" s="1110">
        <f t="shared" si="227"/>
        <v>131.2801174285714</v>
      </c>
      <c r="CZ162" s="437"/>
      <c r="DA162" s="438"/>
      <c r="DB162" s="439" t="s">
        <v>569</v>
      </c>
      <c r="DC162" s="439"/>
      <c r="DD162" s="443"/>
      <c r="DE162" s="411"/>
      <c r="DF162" s="411"/>
      <c r="DG162" s="1116">
        <f t="shared" si="228"/>
        <v>0</v>
      </c>
      <c r="DH162" s="1116">
        <f t="shared" si="229"/>
        <v>0</v>
      </c>
      <c r="DI162" s="1116">
        <f t="shared" si="230"/>
        <v>0</v>
      </c>
      <c r="DJ162" s="442">
        <f t="shared" si="231"/>
        <v>0</v>
      </c>
      <c r="DK162" s="1109">
        <f t="shared" si="232"/>
        <v>0</v>
      </c>
      <c r="DL162" s="1101">
        <f t="shared" si="233"/>
        <v>0</v>
      </c>
      <c r="DM162" s="1097">
        <f t="shared" si="234"/>
        <v>0</v>
      </c>
      <c r="DN162" s="1097">
        <f t="shared" si="235"/>
        <v>0</v>
      </c>
      <c r="DO162" s="1097">
        <f t="shared" si="236"/>
        <v>0</v>
      </c>
      <c r="DP162" s="1110">
        <f t="shared" si="237"/>
        <v>0</v>
      </c>
      <c r="DQ162" s="1113" t="s">
        <v>159</v>
      </c>
      <c r="DR162" s="1120">
        <f t="shared" si="238"/>
        <v>0.33</v>
      </c>
      <c r="DS162" s="1124">
        <v>5</v>
      </c>
      <c r="DT162" s="1093" t="s">
        <v>168</v>
      </c>
      <c r="DU162" s="1093" t="s">
        <v>544</v>
      </c>
      <c r="DV162" s="1098">
        <f>IF($P162="","N/A",IF(P162=-1,INDEX('卡片raw data'!AN:AN,MATCH(D162,'卡片raw data'!$F:$F,)),0)+IF(AND(L162&lt;&gt;"party卡",P162&lt;=2,P162&gt;=0),INDEX('卡片raw data'!AP:AP,MATCH(D162,'卡片raw data'!$F:$F,)),0)+IF(OR(AND(L162="party卡",P162&lt;=1),AND(P162&lt;=4,L162&lt;&gt;"party卡",P162&gt;=3)),INDEX('卡片raw data'!AQ:AQ,MATCH(D162,'卡片raw data'!$F:$F,)),0)+IF(OR(P162=5,AND(L162="party卡",P162&gt;=2)),INDEX('卡片raw data'!AR:AR,MATCH(D162,'卡片raw data'!$F:$F,)),0))</f>
        <v>0.05</v>
      </c>
      <c r="DW162" s="1098">
        <f t="shared" si="239"/>
        <v>0.33</v>
      </c>
      <c r="DX162" s="1098">
        <f t="shared" si="240"/>
        <v>0.33</v>
      </c>
      <c r="DY162" s="1098">
        <f t="shared" si="241"/>
        <v>2.7500000000000004E-2</v>
      </c>
      <c r="DZ162" s="1098">
        <f t="shared" si="242"/>
        <v>2.3787500000000003E-2</v>
      </c>
      <c r="EA162" s="1098">
        <f t="shared" si="243"/>
        <v>0</v>
      </c>
      <c r="EB162" s="1121">
        <f t="shared" si="244"/>
        <v>0</v>
      </c>
      <c r="EC162" s="1101">
        <f t="shared" si="245"/>
        <v>4674.4132712853479</v>
      </c>
      <c r="ED162" s="1097">
        <f t="shared" si="246"/>
        <v>187.41426076828131</v>
      </c>
      <c r="EE162" s="1110">
        <f t="shared" si="247"/>
        <v>4674.4132712853479</v>
      </c>
      <c r="EF162" s="1092" t="s">
        <v>711</v>
      </c>
      <c r="EG162" s="1120">
        <f t="shared" si="248"/>
        <v>0.33</v>
      </c>
      <c r="EH162" s="1124"/>
      <c r="EI162" s="1093"/>
      <c r="EJ162" s="1093"/>
      <c r="EK162" s="1097">
        <f>IF($P162="","N/A",IF(P162=-1,INDEX('卡片raw data'!AS:AS,MATCH(D162,'卡片raw data'!$F:$F,)),0)+IF(AND(L162&lt;&gt;"party卡",P162&lt;=2,P162&gt;=0),INDEX('卡片raw data'!AU:AU,MATCH(D162,'卡片raw data'!$F:$F,)),0)+IF(OR(AND(L162="party卡",P162&lt;=1),AND(P162&lt;=4,L162&lt;&gt;"party卡",P162&gt;=3)),INDEX('卡片raw data'!AV:AV,MATCH(D162,'卡片raw data'!$F:$F,)),0)+IF(OR(P162=5,AND(L162="party卡",P162&gt;=2)),INDEX('卡片raw data'!AW:AW,MATCH(D162,'卡片raw data'!$F:$F,)),0))</f>
        <v>0</v>
      </c>
      <c r="EL162" s="1098">
        <f t="shared" si="249"/>
        <v>0.33</v>
      </c>
      <c r="EM162" s="1098">
        <f t="shared" si="250"/>
        <v>0.33</v>
      </c>
      <c r="EN162" s="1125">
        <f t="shared" si="251"/>
        <v>0</v>
      </c>
      <c r="EO162" s="1125">
        <f t="shared" si="252"/>
        <v>0</v>
      </c>
      <c r="EP162" s="1098">
        <f t="shared" si="253"/>
        <v>0</v>
      </c>
      <c r="EQ162" s="1121">
        <f t="shared" si="254"/>
        <v>0</v>
      </c>
      <c r="ER162" s="1101">
        <f t="shared" si="255"/>
        <v>0</v>
      </c>
      <c r="ES162" s="1097">
        <f t="shared" si="256"/>
        <v>0</v>
      </c>
      <c r="ET162" s="1122">
        <f t="shared" si="257"/>
        <v>0</v>
      </c>
    </row>
    <row r="163" spans="2:150" ht="16.5" customHeight="1">
      <c r="B163" s="1123" t="str">
        <f>INDEX('卡片raw data'!B:B,MATCH($D163,'卡片raw data'!$F:$F,))</f>
        <v>甜品步</v>
      </c>
      <c r="C163" s="449" t="s">
        <v>67</v>
      </c>
      <c r="D163" s="408">
        <v>160</v>
      </c>
      <c r="E163" s="1090">
        <v>402013001</v>
      </c>
      <c r="F163" s="1090" t="str">
        <f>INDEX('卡片raw data'!C:C,MATCH($D163,'卡片raw data'!$F:$F,))</f>
        <v>UR</v>
      </c>
      <c r="G163" s="1094" t="s">
        <v>42</v>
      </c>
      <c r="H163" s="411">
        <f>IFERROR(INDEX(绊状态确认!C:C,MATCH($G163,绊状态确认!$B:$B,)),"")</f>
        <v>201</v>
      </c>
      <c r="I163" s="1124" t="str">
        <f>IFERROR(INDEX(绊状态确认!D:D,MATCH($G163,绊状态确认!$B:$B,)),"")</f>
        <v>虹</v>
      </c>
      <c r="J163" s="1124" t="str">
        <f>IFERROR(INDEX(绊状态确认!E:E,MATCH($G163,绊状态确认!$B:$B,)),"")</f>
        <v>2年级</v>
      </c>
      <c r="K163" s="451" t="str">
        <f>IFERROR(INDEX(绊状态确认!F:F,MATCH($G163,绊状态确认!$B:$B,)),"")</f>
        <v>A·ZU·NA</v>
      </c>
      <c r="L163" s="1094" t="str">
        <f>INDEX('卡片raw data'!E:E,MATCH($D163,'卡片raw data'!$F:$F,))</f>
        <v>卡池卡</v>
      </c>
      <c r="M163" s="415">
        <v>43852</v>
      </c>
      <c r="N163" s="416">
        <v>8</v>
      </c>
      <c r="O163" s="1091" t="str">
        <f>INDEX('卡片raw data'!D:D,MATCH($D163,'卡片raw data'!$F:$F,))</f>
        <v>gd</v>
      </c>
      <c r="P163" s="417">
        <v>5</v>
      </c>
      <c r="Q163" s="1095">
        <f t="shared" si="173"/>
        <v>25539.691319654899</v>
      </c>
      <c r="R163" s="1096">
        <f t="shared" si="174"/>
        <v>0.29599999999999999</v>
      </c>
      <c r="S163" s="1097">
        <f t="shared" si="175"/>
        <v>14827.073200773772</v>
      </c>
      <c r="T163" s="1098">
        <f t="shared" si="176"/>
        <v>0.74099999999999999</v>
      </c>
      <c r="U163" s="1099">
        <f t="shared" si="177"/>
        <v>871.47405924036582</v>
      </c>
      <c r="V163" s="1100">
        <f t="shared" si="178"/>
        <v>77800.494864939261</v>
      </c>
      <c r="W163" s="1101">
        <f t="shared" si="179"/>
        <v>4507.7214871259994</v>
      </c>
      <c r="X163" s="1096">
        <f t="shared" si="180"/>
        <v>5.1999999999999998E-2</v>
      </c>
      <c r="Y163" s="1097">
        <f t="shared" si="181"/>
        <v>2360.7660965631076</v>
      </c>
      <c r="Z163" s="1102">
        <f t="shared" si="182"/>
        <v>28.999506579885708</v>
      </c>
      <c r="AA163" s="1103">
        <f t="shared" si="183"/>
        <v>6868.4875836891069</v>
      </c>
      <c r="AB163" s="1101">
        <f t="shared" si="184"/>
        <v>4507.7214871259994</v>
      </c>
      <c r="AC163" s="1104">
        <f t="shared" si="185"/>
        <v>5.1999999999999998E-2</v>
      </c>
      <c r="AD163" s="1105">
        <f t="shared" si="186"/>
        <v>0</v>
      </c>
      <c r="AE163" s="1128">
        <f t="shared" si="187"/>
        <v>-6.25</v>
      </c>
      <c r="AF163" s="1130">
        <f t="shared" si="188"/>
        <v>12494.355378731198</v>
      </c>
      <c r="AG163" s="420">
        <f t="shared" si="189"/>
        <v>90914.516117600011</v>
      </c>
      <c r="AH163" s="420">
        <f t="shared" si="190"/>
        <v>7.2764471124585848</v>
      </c>
      <c r="AI163" s="1097">
        <f t="shared" si="191"/>
        <v>113120.73618619815</v>
      </c>
      <c r="AJ163" s="420">
        <f t="shared" si="192"/>
        <v>77800.494864939261</v>
      </c>
      <c r="AK163" s="518">
        <f t="shared" si="193"/>
        <v>35320.241321258887</v>
      </c>
      <c r="AL163" s="1106">
        <f>IF($P163="","N/A",(IF($P163=-1,INDEX('卡片raw data'!S:S,MATCH($D163,'卡片raw data'!$F:$F,)),0)+IF($P163=0,INDEX('卡片raw data'!V:V,MATCH($D163,'卡片raw data'!$F:$F,)),0)+IF($P163=1,INDEX('卡片raw data'!Y:Y,MATCH($D163,'卡片raw data'!$F:$F,)),0)+IF($P163=2,INDEX('卡片raw data'!AB:AB,MATCH($D163,'卡片raw data'!$F:$F,)),0)+IF($P163=3,INDEX('卡片raw data'!AE:AE,MATCH($D163,'卡片raw data'!$F:$F,)),0)+IF($P163=4,INDEX('卡片raw data'!AH:AH,MATCH($D163,'卡片raw data'!$F:$F,)),0)+IF($P163=5,INDEX('卡片raw data'!AK:AK,MATCH($D163,'卡片raw data'!$F:$F,)),0)+INDEX('卡片raw data'!S:S,MATCH($D163,'卡片raw data'!$F:$F,))*(IF($F163="UR",0.04,0.033))*(IF($F163="UR",INDEX(绊状态确认!$S:$S,MATCH($G163,绊状态确认!$B:$B,))/2-40)+IF($F163="SR",INDEX(绊状态确认!$R:$R,MATCH($G163,绊状态确认!$B:$B,))/4-15))+IF($F163="R",INDEX(绊状态确认!$Q:$Q,MATCH($G163,绊状态确认!$B:$B,))/6-40/6)))*(INDEX(绊状态确认!$H:$H,MATCH($G163,绊状态确认!$B:$B,))+INDEX(绊状态确认!J:J,MATCH($G163,绊状态确认!$B:$B,)))</f>
        <v>6888.3567839999996</v>
      </c>
      <c r="AM163" s="1106">
        <f>IF($P163="","N/A",(IF($P163=-1,INDEX('卡片raw data'!T:T,MATCH($D163,'卡片raw data'!$F:$F,)),0)+IF($P163=0,INDEX('卡片raw data'!W:W,MATCH($D163,'卡片raw data'!$F:$F,)),0)+IF($P163=1,INDEX('卡片raw data'!Z:Z,MATCH($D163,'卡片raw data'!$F:$F,)),0)+IF($P163=2,INDEX('卡片raw data'!AC:AC,MATCH($D163,'卡片raw data'!$F:$F,)),0)+IF($P163=3,INDEX('卡片raw data'!AF:AF,MATCH($D163,'卡片raw data'!$F:$F,)),0)+IF($P163=4,INDEX('卡片raw data'!AI:AI,MATCH($D163,'卡片raw data'!$F:$F,)),0)+IF($P163=5,INDEX('卡片raw data'!AL:AL,MATCH($D163,'卡片raw data'!$F:$F,)),0)+INDEX('卡片raw data'!T:T,MATCH($D163,'卡片raw data'!$F:$F,))*(IF($F163="UR",0.04,0.033))*(IF($F163="UR",INDEX(绊状态确认!$S:$S,MATCH($G163,绊状态确认!$B:$B,))/2-40)+IF($F163="SR",INDEX(绊状态确认!$R:$R,MATCH($G163,绊状态确认!$B:$B,))/4-15))+IF($F163="R",INDEX(绊状态确认!$Q:$Q,MATCH($G163,绊状态确认!$B:$B,))/6-40/6)))*(INDEX(绊状态确认!$H:$H,MATCH($G163,绊状态确认!$B:$B,))+INDEX(绊状态确认!K:K,MATCH($G163,绊状态确认!$B:$B,)))</f>
        <v>15032.753759999998</v>
      </c>
      <c r="AN163" s="1106">
        <f>IF($P163="","N/A",(IF($P163=-1,INDEX('卡片raw data'!U:U,MATCH($D163,'卡片raw data'!$F:$F,)),0)+IF($P163=0,INDEX('卡片raw data'!X:X,MATCH($D163,'卡片raw data'!$F:$F,)),0)+IF($P163=1,INDEX('卡片raw data'!AA:AA,MATCH($D163,'卡片raw data'!$F:$F,)),0)+IF($P163=2,INDEX('卡片raw data'!AD:AD,MATCH($D163,'卡片raw data'!$F:$F,)),0)+IF($P163=3,INDEX('卡片raw data'!AG:AG,MATCH($D163,'卡片raw data'!$F:$F,)),0)+IF($P163=4,INDEX('卡片raw data'!AJ:AJ,MATCH($D163,'卡片raw data'!$F:$F,)),0)+IF($P163=5,INDEX('卡片raw data'!AM:AM,MATCH($D163,'卡片raw data'!$F:$F,)),0)+INDEX('卡片raw data'!U:U,MATCH($D163,'卡片raw data'!$F:$F,))*(IF($F163="UR",0.04,0.033))*(IF($F163="UR",INDEX(绊状态确认!$S:$S,MATCH($G163,绊状态确认!$B:$B,))/2-40)+IF($F163="SR",INDEX(绊状态确认!$R:$R,MATCH($G163,绊状态确认!$B:$B,))/4-15))+IF($F163="R",INDEX(绊状态确认!$Q:$Q,MATCH($G163,绊状态确认!$B:$B,))/6-40/6)))*(INDEX(绊状态确认!$H:$H,MATCH($G163,绊状态确认!$B:$B,))+INDEX(绊状态确认!L:L,MATCH($G163,绊状态确认!$B:$B,)))</f>
        <v>9394.5733439999985</v>
      </c>
      <c r="AO163" s="1107">
        <f t="shared" si="194"/>
        <v>1</v>
      </c>
      <c r="AP163" s="1131">
        <f>1+(INDEX(绊状态确认!$T:$T,MATCH($G163,绊状态确认!$B:$B,))+0.2)*$AO163</f>
        <v>1.3</v>
      </c>
      <c r="AQ163" s="1108">
        <f t="shared" si="195"/>
        <v>21331.936557999998</v>
      </c>
      <c r="AR163" s="1097">
        <f>(AM163*(1+$EX$9)+$EX$35)*(1+(INDEX(绊状态确认!$T:$T,MATCH($G163,绊状态确认!$B:$B,))+0.2)*AO163)*IF(J163=$FF$17,1+$FE$17,1)*IF(I163=$FF$14,1+$FE$14,1)*(1+$FE$15)</f>
        <v>23223.708882399998</v>
      </c>
      <c r="AS163" s="1097">
        <f>(AN163*(1+$EX$10)+$EX$36)*(1+(INDEX(绊状态确认!$T:$T,MATCH($G163,绊状态确认!$B:$B,))+0.2)*AO163)*IF(J163=$FF$17,1+$FE$17,1)*IF(I163=$FF$14,1+$FE$14,1)*(1+$FE$15)</f>
        <v>18100.887149279999</v>
      </c>
      <c r="AT163" s="1093">
        <f>IF(AND(INDEX('卡片raw data'!AK:AK,MATCH($D163,'卡片raw data'!$F:$F,))&lt;INDEX('卡片raw data'!AM:AM,MATCH($D163,'卡片raw data'!$F:$F,)),INDEX('卡片raw data'!AL:AL,MATCH($D163,'卡片raw data'!$F:$F,))&lt;INDEX('卡片raw data'!AM:AM,MATCH($D163,'卡片raw data'!$F:$F,))),1,0)</f>
        <v>0</v>
      </c>
      <c r="AU163" s="1098">
        <f>MIN(AT163*0.15+AS163*0.00003+INDEX(绊状态确认!M:M,MATCH($G163,绊状态确认!$B:$B,)),1)</f>
        <v>0.57302661447839998</v>
      </c>
      <c r="AV163" s="1109">
        <f>(INDEX(绊状态确认!$N:$N,MATCH($G163,绊状态确认!$B:$B,))+1.5)*$EW$21</f>
        <v>2.6599999999999997</v>
      </c>
      <c r="AW163" s="1101">
        <f t="shared" si="196"/>
        <v>21616.969832528899</v>
      </c>
      <c r="AX163" s="1097">
        <f t="shared" si="197"/>
        <v>2038.8402938465103</v>
      </c>
      <c r="AY163" s="1110">
        <f t="shared" si="198"/>
        <v>23655.810126375411</v>
      </c>
      <c r="AZ163" s="429">
        <f t="shared" si="199"/>
        <v>16032.2957288</v>
      </c>
      <c r="BA163" s="431">
        <f t="shared" si="200"/>
        <v>19238.75487456</v>
      </c>
      <c r="BB163" s="1097">
        <f>(AM163*(1+$FB$9)+$FB$35)*(1+(INDEX(绊状态确认!$T:$T,MATCH($G163,绊状态确认!$B:$B,))+0.2)*AO163)*IF(J163=$FF$17,1+$FE$17,1)*IF(I163=$FF$14,1+$FE$14,1)*(1+$FE$15)</f>
        <v>23223.708882399998</v>
      </c>
      <c r="BC163" s="1097">
        <f>(AN163*(1+$FB$10)+$FB$36)*(1+(INDEX(绊状态确认!$T:$T,MATCH($G163,绊状态确认!$B:$B,))+0.2)*AO163)*IF(J163=$FF$17,1+$FE$17,1)*IF(I163=$FF$14,1+$FE$14,1)*(1+$FE$15)</f>
        <v>18100.887149279999</v>
      </c>
      <c r="BD163" s="1104">
        <f>MIN(AT163*0.15+BC163*0.00003+INDEX(绊状态确认!M:M,MATCH($G163,绊状态确认!$B:$B,)),1)</f>
        <v>0.57302661447839998</v>
      </c>
      <c r="BE163" s="432">
        <f>(INDEX(绊状态确认!$N:$N,MATCH($G163,绊状态确认!$B:$B,))+1.5)</f>
        <v>1.9</v>
      </c>
      <c r="BF163" s="1139">
        <f t="array" ref="BF163">SUMPRODUCT(IF(AZ163*AP163*$FI$16:$FI$23*$FA$22&gt;=$FI$24,$FI$24,AZ163*AP163*$FI$16:$FI$23*$FA$22),$FJ$16:$FJ$23)</f>
        <v>31888.236204583205</v>
      </c>
      <c r="BG163" s="1125">
        <f t="array" ref="BG163">SUMPRODUCT(IF(BE163*AZ163*AP163*$FI$16:$FI$23*$FA$22&gt;=$FI$24,$FI$24,BE163*AZ163*AP163*$FI$16:$FI$23*$FA$22),$FJ$16:$FJ$23)</f>
        <v>56867.809473612877</v>
      </c>
      <c r="BH163" s="1110">
        <f t="shared" si="201"/>
        <v>15400.732168683471</v>
      </c>
      <c r="BI163" s="1111">
        <f>IF(O163="vo",$EW$26/$EW$24*0.05,0)+IF(O163="sk",-$EW$26/$EW$24*(0.05-INDEX(绊状态确认!W:W,MATCH($G163,绊状态确认!$B:$B,)))+0.05*$EW$28,0)+IF(O163="sp",0.05*$EW$32*$EW$30*(1-$EW$33)-(0.05-INDEX(绊状态确认!V:V,MATCH($G163,绊状态确认!$B:$B,)))*$EW$28,0)+IF(O163="gd",-(0.05-INDEX(绊状态确认!X:X,MATCH($G163,绊状态确认!$B:$B,)))*$EW$32*$EW$30*(1-$EW$33),0)</f>
        <v>-585.00000000000011</v>
      </c>
      <c r="BJ163" s="1097">
        <f>IF(O163="vo",0.05*(1-$FI$26)*$FA$24,0)+IF(O163="sk",-(0.05-INDEX(绊状态确认!W:W,MATCH($G163,绊状态确认!$B:$B,)))*(1-$FI$26)*$FA$24+0.05*$FA$26,0)+IF(O163="sp",0.05*$FA$32*$FA$27*(1-$FA$33)/$FA$30+0.05*$FA$29/$FA$69*$FA$27*(1-$FA$33)-(0.05-INDEX(绊状态确认!V:V,MATCH($G163,绊状态确认!$B:$B,)))*$FA$26,0)+IF(O163="gd",-(0.05-INDEX(绊状态确认!X:X,MATCH($G163,绊状态确认!$B:$B,)))*$FA$32*$FA$27*(1-$FA$33)/$FA$30-(0.05-INDEX(绊状态确认!X:X,MATCH($G163,绊状态确认!$B:$B,)))*$FA$29/$FA$69*$FA$27*(1-$FA$33),0)</f>
        <v>-795.00000000000011</v>
      </c>
      <c r="BK163" s="1110">
        <f>IF(O163="vo",$EW$26/$EW$24*0.05+$EW$26*(-HP($EW$62,$EW$65,$EW$64)+HP($EW$62,$EW$65,(1.05-INDEX(绊状态确认!U:U,MATCH($G163,绊状态确认!$B:$B,)))*$EW$64)),0)+IF(O163="sk",-$EW$26/$EW$24*(0.05-INDEX(绊状态确认!W:W,MATCH($G163,绊状态确认!$B:$B,)))+0.05*$EW$29,0)+IF(O163="sp",0.05*$EW$32*$EW$30*(1-$EW$33)-(0.05-INDEX(绊状态确认!V:V,MATCH($G163,绊状态确认!$B:$B,)))*$EW$29,0)+IF(O163="gd",-(0.05-INDEX(绊状态确认!X:X,MATCH($G163,绊状态确认!$B:$B,)))*$EW$32*$EW$30*(1-$EW$33)+$EW$26*(-HP($EW$62,$EW$65,$EW$64)+HP($EW$62,$EW$65,0.95*$EW$64)),0)</f>
        <v>1009.5947725176144</v>
      </c>
      <c r="BL163" s="1111">
        <f t="shared" si="202"/>
        <v>0</v>
      </c>
      <c r="BM163" s="1110">
        <f t="shared" si="203"/>
        <v>0</v>
      </c>
      <c r="BN163" s="1113">
        <f t="shared" si="204"/>
        <v>3</v>
      </c>
      <c r="BO163" s="1097">
        <f t="shared" si="205"/>
        <v>4507.7214871259994</v>
      </c>
      <c r="BP163" s="1100">
        <f t="shared" si="206"/>
        <v>221.34103209030098</v>
      </c>
      <c r="BQ163" s="1113" t="s">
        <v>144</v>
      </c>
      <c r="BR163" s="1124" t="s">
        <v>146</v>
      </c>
      <c r="BS163" s="1098">
        <f>IF($P163="","N/A",IF($P163=-1,INDEX('卡片raw data'!AX:AX,MATCH($D163,'卡片raw data'!$F:$F,)),0)+IF($L163="party卡",IF($P163=5,INDEX('卡片raw data'!BD:BD,MATCH($D163,'卡片raw data'!$F:$F,)),IF($P163&gt;=3,INDEX('卡片raw data'!BC:BC,MATCH($D163,'卡片raw data'!$F:$F,)),INDEX('卡片raw data'!BB:BB,MATCH($D163,'卡片raw data'!$F:$F,)))),IF(OR(AND($F163="UR",$P163=0),AND($F163="SR",$P163&gt;=0,$P163&lt;=2),AND($F163="R",$P163&gt;=0,$P163&lt;4)),INDEX('卡片raw data'!AZ:AZ,MATCH($D163,'卡片raw data'!$F:$F,)),0)+IF(OR(AND($F163="UR",$P163&gt;=1,$P163&lt;=4),AND($F163="SR",$P163&lt;=4,$P163&gt;=3),AND($F163="R",$P163=4)),INDEX('卡片raw data'!BA:BA,MATCH($D163,'卡片raw data'!$F:$F,)),0)+IF($P163=5,INDEX('卡片raw data'!BB:BB,MATCH($D163,'卡片raw data'!$F:$F,)),0)))</f>
        <v>7.0000000000000007E-2</v>
      </c>
      <c r="BT163" s="1101">
        <f t="shared" si="207"/>
        <v>0</v>
      </c>
      <c r="BU163" s="1097">
        <f t="shared" si="208"/>
        <v>0</v>
      </c>
      <c r="BV163" s="1097">
        <f t="shared" si="209"/>
        <v>0</v>
      </c>
      <c r="BW163" s="1112">
        <f t="shared" si="210"/>
        <v>2.4581249999999999</v>
      </c>
      <c r="BX163" s="1100">
        <f t="shared" si="211"/>
        <v>192.3373892964872</v>
      </c>
      <c r="BY163" s="1110">
        <f t="shared" si="212"/>
        <v>192.3373892964872</v>
      </c>
      <c r="BZ163" s="1107" t="s">
        <v>569</v>
      </c>
      <c r="CA163" s="1124"/>
      <c r="CB163" s="1098">
        <f>IF($P163="","N/A",IF($P163=-1,INDEX('卡片raw data'!BE:BE,MATCH($D163,'卡片raw data'!$F:$F,)),0)+IF($L163="party卡",IF($P163=5,INDEX('卡片raw data'!BK:BK,MATCH($D163,'卡片raw data'!$F:$F,)),IF($P163&gt;=3,INDEX('卡片raw data'!BJ:BJ,MATCH($D163,'卡片raw data'!$F:$F,)),INDEX('卡片raw data'!BI:BI,MATCH($D163,'卡片raw data'!$F:$F,)))),IF(OR(AND($F163="UR",$P163=0),AND($F163="SR",$P163&gt;=0,$P163&lt;=2),AND($F163="R",$P163&gt;=0,$P163&lt;4)),INDEX('卡片raw data'!BG:BG,MATCH($D163,'卡片raw data'!$F:$F,)),0)+IF(OR(AND($F163="UR",$P163&gt;=1,$P163&lt;=4),AND($F163="SR",$P163&lt;=4,$P163&gt;=3),AND($F163="R",$P163=4)),INDEX('卡片raw data'!BH:BH,MATCH($D163,'卡片raw data'!$F:$F,)),0)+IF($P163=5,INDEX('卡片raw data'!BI:BI,MATCH($D163,'卡片raw data'!$F:$F,)),0)))</f>
        <v>0</v>
      </c>
      <c r="CC163" s="1101">
        <f t="shared" si="213"/>
        <v>0</v>
      </c>
      <c r="CD163" s="1097">
        <f>IF(BZ163="ap",CB163*(1-$FI$26)*$FB$5/$FB$11*(+IF(CA163="全员",$FA$24,0)+IF(CA163="同作战",$FA$24,0)+IF(CA163="仲间",$FA$24*2/3,0)+IF(CA163="同属性",$FA$24*$FA$37/3,0)+IF(CA163="同年级",$FA$24*$FA$40/3,0)+IF(CA163="同学校",$FA$24*$FA$43/3,0)+IF(CA163="同小队",$FA$24*$FA$46/3,0)+IF(CA163="同type",$FA$24*INDEX($FB$49:$FB$52,MATCH(X163,$FA$49:$FA$52,))/3,0)+IF(CA163="自身",#REF!/3,0)),0)+IF(BZ163="te",CB163*(1-$FI$27)*($FA$20-1)*$FB$7/$FB$13*(+IF(CA163="全员",$FA$19*$FA$24/(1+($FA$20-1)*$FA$19),0)+IF(CA163="同作战",$FA$19*$FA$24/(1+($FA$20-1)*$FA$19),0)+IF(CA163="仲间",$FA$19*$FA$24*2/3/(1+($FA$20-1)*$FA$19),0)+IF(CA163="同属性",$FA$19*$FA$24*$FA$37/3/(1+($FA$20-1)*$FA$19),0)+IF(CA163="同年级",$FA$19*$FA$24*$FA$40/3/(1+($FA$20-1)*$FA$19),0)+IF(CA163="同学校",$FA$19*$FA$24*$FA$43/3/(1+($FA$20-1)*$FA$19),0)+IF(CA163="同小队",$FA$19*$FA$24*$FA$46/3/(1+($FA$20-1)*$FA$19),0)+IF(CA163="同type",$FA$19*$FA$24*INDEX($FB$49:$FB$52,MATCH(X163,$FA$49:$FA$52,))/3/(1+($FA$20-1)*$FA$19),0)+IF(CA163="自身",$FA$19*#REF!/3/(1+(BH163-1)*$BD163),0)),0)</f>
        <v>0</v>
      </c>
      <c r="CE163" s="1097">
        <f t="shared" si="214"/>
        <v>0</v>
      </c>
      <c r="CF163" s="1112">
        <f t="shared" si="215"/>
        <v>0</v>
      </c>
      <c r="CG163" s="1100">
        <f t="shared" si="216"/>
        <v>0</v>
      </c>
      <c r="CH163" s="1110">
        <f t="shared" si="217"/>
        <v>0</v>
      </c>
      <c r="CI163" s="1113" t="s">
        <v>170</v>
      </c>
      <c r="CJ163" s="1114">
        <v>0.2</v>
      </c>
      <c r="CK163" s="1115" t="s">
        <v>637</v>
      </c>
      <c r="CL163" s="1115" t="s">
        <v>1944</v>
      </c>
      <c r="CM163" s="1119">
        <v>0.1</v>
      </c>
      <c r="CN163" s="1115"/>
      <c r="CO163" s="1092"/>
      <c r="CP163" s="1116">
        <f t="shared" si="218"/>
        <v>1.6588363487428572</v>
      </c>
      <c r="CQ163" s="1116">
        <f t="shared" si="219"/>
        <v>2.5804120980444445</v>
      </c>
      <c r="CR163" s="1116">
        <f t="shared" si="220"/>
        <v>1.6588363487428572</v>
      </c>
      <c r="CS163" s="1118">
        <f t="shared" si="221"/>
        <v>0</v>
      </c>
      <c r="CT163" s="1109">
        <f t="shared" si="222"/>
        <v>0</v>
      </c>
      <c r="CU163" s="1101">
        <f t="shared" si="223"/>
        <v>0</v>
      </c>
      <c r="CV163" s="1108">
        <f t="shared" si="224"/>
        <v>0</v>
      </c>
      <c r="CW163" s="1097">
        <f t="shared" si="225"/>
        <v>0</v>
      </c>
      <c r="CX163" s="1097">
        <f t="shared" si="226"/>
        <v>0</v>
      </c>
      <c r="CY163" s="1110">
        <f t="shared" si="227"/>
        <v>129.58841342010953</v>
      </c>
      <c r="CZ163" s="437"/>
      <c r="DA163" s="438"/>
      <c r="DB163" s="439" t="s">
        <v>569</v>
      </c>
      <c r="DC163" s="439"/>
      <c r="DD163" s="443"/>
      <c r="DE163" s="411"/>
      <c r="DF163" s="411"/>
      <c r="DG163" s="1116">
        <f t="shared" si="228"/>
        <v>0</v>
      </c>
      <c r="DH163" s="1116">
        <f t="shared" si="229"/>
        <v>0</v>
      </c>
      <c r="DI163" s="1116">
        <f t="shared" si="230"/>
        <v>0</v>
      </c>
      <c r="DJ163" s="442">
        <f t="shared" si="231"/>
        <v>0</v>
      </c>
      <c r="DK163" s="1109">
        <f t="shared" si="232"/>
        <v>0</v>
      </c>
      <c r="DL163" s="1101">
        <f t="shared" si="233"/>
        <v>0</v>
      </c>
      <c r="DM163" s="1097">
        <f t="shared" si="234"/>
        <v>0</v>
      </c>
      <c r="DN163" s="1097">
        <f t="shared" si="235"/>
        <v>0</v>
      </c>
      <c r="DO163" s="1097">
        <f t="shared" si="236"/>
        <v>0</v>
      </c>
      <c r="DP163" s="1110">
        <f t="shared" si="237"/>
        <v>0</v>
      </c>
      <c r="DQ163" s="1113" t="s">
        <v>635</v>
      </c>
      <c r="DR163" s="1120">
        <f t="shared" si="238"/>
        <v>0.33</v>
      </c>
      <c r="DS163" s="1124"/>
      <c r="DT163" s="1093" t="s">
        <v>133</v>
      </c>
      <c r="DU163" s="1093"/>
      <c r="DV163" s="1098">
        <f>IF($P163="","N/A",IF(P163=-1,INDEX('卡片raw data'!AN:AN,MATCH(D163,'卡片raw data'!$F:$F,)),0)+IF(AND(L163&lt;&gt;"party卡",P163&lt;=2,P163&gt;=0),INDEX('卡片raw data'!AP:AP,MATCH(D163,'卡片raw data'!$F:$F,)),0)+IF(OR(AND(L163="party卡",P163&lt;=1),AND(P163&lt;=4,L163&lt;&gt;"party卡",P163&gt;=3)),INDEX('卡片raw data'!AQ:AQ,MATCH(D163,'卡片raw data'!$F:$F,)),0)+IF(OR(P163=5,AND(L163="party卡",P163&gt;=2)),INDEX('卡片raw data'!AR:AR,MATCH(D163,'卡片raw data'!$F:$F,)),0))</f>
        <v>0.32</v>
      </c>
      <c r="DW163" s="1098">
        <f t="shared" si="239"/>
        <v>0.33</v>
      </c>
      <c r="DX163" s="1098">
        <f t="shared" si="240"/>
        <v>0.33</v>
      </c>
      <c r="DY163" s="1125">
        <f t="shared" si="241"/>
        <v>817.47455266048007</v>
      </c>
      <c r="DZ163" s="1125">
        <f t="shared" si="242"/>
        <v>707.11548805131531</v>
      </c>
      <c r="EA163" s="1098">
        <f t="shared" si="243"/>
        <v>0</v>
      </c>
      <c r="EB163" s="1121">
        <f t="shared" si="244"/>
        <v>0</v>
      </c>
      <c r="EC163" s="1101">
        <f t="shared" si="245"/>
        <v>0</v>
      </c>
      <c r="ED163" s="1097">
        <f t="shared" si="246"/>
        <v>0</v>
      </c>
      <c r="EE163" s="1110">
        <f t="shared" si="247"/>
        <v>48435.03108962375</v>
      </c>
      <c r="EF163" s="1092" t="s">
        <v>711</v>
      </c>
      <c r="EG163" s="1120">
        <f t="shared" si="248"/>
        <v>0.33</v>
      </c>
      <c r="EH163" s="1124"/>
      <c r="EI163" s="1093"/>
      <c r="EJ163" s="1093"/>
      <c r="EK163" s="1097">
        <f>IF($P163="","N/A",IF(P163=-1,INDEX('卡片raw data'!AS:AS,MATCH(D163,'卡片raw data'!$F:$F,)),0)+IF(AND(L163&lt;&gt;"party卡",P163&lt;=2,P163&gt;=0),INDEX('卡片raw data'!AU:AU,MATCH(D163,'卡片raw data'!$F:$F,)),0)+IF(OR(AND(L163="party卡",P163&lt;=1),AND(P163&lt;=4,L163&lt;&gt;"party卡",P163&gt;=3)),INDEX('卡片raw data'!AV:AV,MATCH(D163,'卡片raw data'!$F:$F,)),0)+IF(OR(P163=5,AND(L163="party卡",P163&gt;=2)),INDEX('卡片raw data'!AW:AW,MATCH(D163,'卡片raw data'!$F:$F,)),0))</f>
        <v>0</v>
      </c>
      <c r="EL163" s="1098">
        <f t="shared" si="249"/>
        <v>0.33</v>
      </c>
      <c r="EM163" s="1098">
        <f t="shared" si="250"/>
        <v>0.33</v>
      </c>
      <c r="EN163" s="1125">
        <f t="shared" si="251"/>
        <v>0</v>
      </c>
      <c r="EO163" s="1125">
        <f t="shared" si="252"/>
        <v>0</v>
      </c>
      <c r="EP163" s="1098">
        <f t="shared" si="253"/>
        <v>0</v>
      </c>
      <c r="EQ163" s="1121">
        <f t="shared" si="254"/>
        <v>0</v>
      </c>
      <c r="ER163" s="1101">
        <f t="shared" si="255"/>
        <v>0</v>
      </c>
      <c r="ES163" s="1097">
        <f t="shared" si="256"/>
        <v>0</v>
      </c>
      <c r="ET163" s="1122">
        <f t="shared" si="257"/>
        <v>0</v>
      </c>
    </row>
    <row r="164" spans="2:150" ht="16.5" customHeight="1">
      <c r="B164" s="1123" t="str">
        <f>INDEX('卡片raw data'!B:B,MATCH($D164,'卡片raw data'!$F:$F,))</f>
        <v>op1南</v>
      </c>
      <c r="C164" s="449" t="s">
        <v>123</v>
      </c>
      <c r="D164" s="408">
        <v>161</v>
      </c>
      <c r="E164" s="1090">
        <v>401032001</v>
      </c>
      <c r="F164" s="1090" t="str">
        <f>INDEX('卡片raw data'!C:C,MATCH($D164,'卡片raw data'!$F:$F,))</f>
        <v>SR</v>
      </c>
      <c r="G164" s="1094" t="s">
        <v>290</v>
      </c>
      <c r="H164" s="411">
        <f>IFERROR(INDEX(绊状态确认!C:C,MATCH($G164,绊状态确认!$B:$B,)),"")</f>
        <v>103</v>
      </c>
      <c r="I164" s="450" t="str">
        <f>IFERROR(INDEX(绊状态确认!D:D,MATCH($G164,绊状态确认!$B:$B,)),"")</f>
        <v>水</v>
      </c>
      <c r="J164" s="450" t="str">
        <f>IFERROR(INDEX(绊状态确认!E:E,MATCH($G164,绊状态确认!$B:$B,)),"")</f>
        <v>3年级</v>
      </c>
      <c r="K164" s="451" t="str">
        <f>IFERROR(INDEX(绊状态确认!F:F,MATCH($G164,绊状态确认!$B:$B,)),"")</f>
        <v>AZALEA</v>
      </c>
      <c r="L164" s="1094" t="str">
        <f>INDEX('卡片raw data'!E:E,MATCH($D164,'卡片raw data'!$F:$F,))</f>
        <v>活动卡</v>
      </c>
      <c r="M164" s="415">
        <v>43852</v>
      </c>
      <c r="N164" s="416">
        <v>8</v>
      </c>
      <c r="O164" s="1091" t="str">
        <f>INDEX('卡片raw data'!D:D,MATCH($D164,'卡片raw data'!$F:$F,))</f>
        <v>vo</v>
      </c>
      <c r="P164" s="417">
        <v>5</v>
      </c>
      <c r="Q164" s="1095">
        <f t="shared" si="173"/>
        <v>30487.435773597204</v>
      </c>
      <c r="R164" s="1096">
        <f t="shared" si="174"/>
        <v>0.35399999999999998</v>
      </c>
      <c r="S164" s="1097">
        <f t="shared" si="175"/>
        <v>11545.77631253212</v>
      </c>
      <c r="T164" s="1098">
        <f t="shared" si="176"/>
        <v>0.57699999999999996</v>
      </c>
      <c r="U164" s="1099">
        <f t="shared" si="177"/>
        <v>-14.585482929807142</v>
      </c>
      <c r="V164" s="1100">
        <f t="shared" si="178"/>
        <v>30010.900142071845</v>
      </c>
      <c r="W164" s="1101">
        <f t="shared" si="179"/>
        <v>5266.3920866429726</v>
      </c>
      <c r="X164" s="1096">
        <f t="shared" si="180"/>
        <v>6.0999999999999999E-2</v>
      </c>
      <c r="Y164" s="1097">
        <f t="shared" si="181"/>
        <v>828.13281871634445</v>
      </c>
      <c r="Z164" s="1102">
        <f t="shared" si="182"/>
        <v>10.414517070192858</v>
      </c>
      <c r="AA164" s="1103">
        <f t="shared" si="183"/>
        <v>6094.524905359317</v>
      </c>
      <c r="AB164" s="1101">
        <f t="shared" si="184"/>
        <v>6025.0626861599467</v>
      </c>
      <c r="AC164" s="1104">
        <f t="shared" si="185"/>
        <v>7.0000000000000007E-2</v>
      </c>
      <c r="AD164" s="1105">
        <f t="shared" si="186"/>
        <v>-3.8207812500000026E-3</v>
      </c>
      <c r="AE164" s="1128">
        <f t="shared" si="187"/>
        <v>-12.27536231884058</v>
      </c>
      <c r="AF164" s="1130">
        <f t="shared" si="188"/>
        <v>0</v>
      </c>
      <c r="AG164" s="420">
        <f t="shared" si="189"/>
        <v>0</v>
      </c>
      <c r="AH164" s="420">
        <f t="shared" si="190"/>
        <v>0</v>
      </c>
      <c r="AI164" s="1097">
        <f t="shared" si="191"/>
        <v>0</v>
      </c>
      <c r="AJ164" s="420">
        <f t="shared" si="192"/>
        <v>0</v>
      </c>
      <c r="AK164" s="518">
        <f t="shared" si="193"/>
        <v>0</v>
      </c>
      <c r="AL164" s="1106">
        <f>IF($P164="","N/A",(IF($P164=-1,INDEX('卡片raw data'!S:S,MATCH($D164,'卡片raw data'!$F:$F,)),0)+IF($P164=0,INDEX('卡片raw data'!V:V,MATCH($D164,'卡片raw data'!$F:$F,)),0)+IF($P164=1,INDEX('卡片raw data'!Y:Y,MATCH($D164,'卡片raw data'!$F:$F,)),0)+IF($P164=2,INDEX('卡片raw data'!AB:AB,MATCH($D164,'卡片raw data'!$F:$F,)),0)+IF($P164=3,INDEX('卡片raw data'!AE:AE,MATCH($D164,'卡片raw data'!$F:$F,)),0)+IF($P164=4,INDEX('卡片raw data'!AH:AH,MATCH($D164,'卡片raw data'!$F:$F,)),0)+IF($P164=5,INDEX('卡片raw data'!AK:AK,MATCH($D164,'卡片raw data'!$F:$F,)),0)+INDEX('卡片raw data'!S:S,MATCH($D164,'卡片raw data'!$F:$F,))*(IF($F164="UR",0.04,0.033))*(IF($F164="UR",INDEX(绊状态确认!$S:$S,MATCH($G164,绊状态确认!$B:$B,))/2-40)+IF($F164="SR",INDEX(绊状态确认!$R:$R,MATCH($G164,绊状态确认!$B:$B,))/4-15))+IF($F164="R",INDEX(绊状态确认!$Q:$Q,MATCH($G164,绊状态确认!$B:$B,))/6-40/6)))*(INDEX(绊状态确认!$H:$H,MATCH($G164,绊状态确认!$B:$B,))+INDEX(绊状态确认!J:J,MATCH($G164,绊状态确认!$B:$B,)))</f>
        <v>4498.2939407999993</v>
      </c>
      <c r="AM164" s="1106">
        <f>IF($P164="","N/A",(IF($P164=-1,INDEX('卡片raw data'!T:T,MATCH($D164,'卡片raw data'!$F:$F,)),0)+IF($P164=0,INDEX('卡片raw data'!W:W,MATCH($D164,'卡片raw data'!$F:$F,)),0)+IF($P164=1,INDEX('卡片raw data'!Z:Z,MATCH($D164,'卡片raw data'!$F:$F,)),0)+IF($P164=2,INDEX('卡片raw data'!AC:AC,MATCH($D164,'卡片raw data'!$F:$F,)),0)+IF($P164=3,INDEX('卡片raw data'!AF:AF,MATCH($D164,'卡片raw data'!$F:$F,)),0)+IF($P164=4,INDEX('卡片raw data'!AI:AI,MATCH($D164,'卡片raw data'!$F:$F,)),0)+IF($P164=5,INDEX('卡片raw data'!AL:AL,MATCH($D164,'卡片raw data'!$F:$F,)),0)+INDEX('卡片raw data'!T:T,MATCH($D164,'卡片raw data'!$F:$F,))*(IF($F164="UR",0.04,0.033))*(IF($F164="UR",INDEX(绊状态确认!$S:$S,MATCH($G164,绊状态确认!$B:$B,))/2-40)+IF($F164="SR",INDEX(绊状态确认!$R:$R,MATCH($G164,绊状态确认!$B:$B,))/4-15))+IF($F164="R",INDEX(绊状态确认!$Q:$Q,MATCH($G164,绊状态确认!$B:$B,))/6-40/6)))*(INDEX(绊状态确认!$H:$H,MATCH($G164,绊状态确认!$B:$B,))+INDEX(绊状态确认!K:K,MATCH($G164,绊状态确认!$B:$B,)))</f>
        <v>5140.0849319999998</v>
      </c>
      <c r="AN164" s="1106">
        <f>IF($P164="","N/A",(IF($P164=-1,INDEX('卡片raw data'!U:U,MATCH($D164,'卡片raw data'!$F:$F,)),0)+IF($P164=0,INDEX('卡片raw data'!X:X,MATCH($D164,'卡片raw data'!$F:$F,)),0)+IF($P164=1,INDEX('卡片raw data'!AA:AA,MATCH($D164,'卡片raw data'!$F:$F,)),0)+IF($P164=2,INDEX('卡片raw data'!AD:AD,MATCH($D164,'卡片raw data'!$F:$F,)),0)+IF($P164=3,INDEX('卡片raw data'!AG:AG,MATCH($D164,'卡片raw data'!$F:$F,)),0)+IF($P164=4,INDEX('卡片raw data'!AJ:AJ,MATCH($D164,'卡片raw data'!$F:$F,)),0)+IF($P164=5,INDEX('卡片raw data'!AM:AM,MATCH($D164,'卡片raw data'!$F:$F,)),0)+INDEX('卡片raw data'!U:U,MATCH($D164,'卡片raw data'!$F:$F,))*(IF($F164="UR",0.04,0.033))*(IF($F164="UR",INDEX(绊状态确认!$S:$S,MATCH($G164,绊状态确认!$B:$B,))/2-40)+IF($F164="SR",INDEX(绊状态确认!$R:$R,MATCH($G164,绊状态确认!$B:$B,))/4-15))+IF($F164="R",INDEX(绊状态确认!$Q:$Q,MATCH($G164,绊状态确认!$B:$B,))/6-40/6)))*(INDEX(绊状态确认!$H:$H,MATCH($G164,绊状态确认!$B:$B,))+INDEX(绊状态确认!L:L,MATCH($G164,绊状态确认!$B:$B,)))</f>
        <v>6427.1511167999997</v>
      </c>
      <c r="AO164" s="1107">
        <f t="shared" si="194"/>
        <v>1</v>
      </c>
      <c r="AP164" s="1131">
        <f>1+(INDEX(绊状态确认!$T:$T,MATCH($G164,绊状态确认!$B:$B,))+0.2)*$AO164</f>
        <v>1.3</v>
      </c>
      <c r="AQ164" s="1108">
        <f t="shared" si="195"/>
        <v>15058.021594599997</v>
      </c>
      <c r="AR164" s="1097">
        <f>(AM164*(1+$EX$9)+$EX$35)*(1+(INDEX(绊状态确认!$T:$T,MATCH($G164,绊状态确认!$B:$B,))+0.2)*AO164)*IF(J164=$FF$17,1+$FE$17,1)*IF(I164=$FF$14,1+$FE$14,1)</f>
        <v>9720.2159321800009</v>
      </c>
      <c r="AS164" s="1097">
        <f>(AN164*(1+$EX$10)+$EX$36)*(1+(INDEX(绊状态确认!$T:$T,MATCH($G164,绊状态确认!$B:$B,))+0.2)*AO164)*IF(J164=$FF$17,1+$FE$17,1)*IF(I164=$FF$14,1+$FE$14,1)</f>
        <v>13664.590919615997</v>
      </c>
      <c r="AT164" s="1093">
        <f>IF(AND(INDEX('卡片raw data'!AK:AK,MATCH($D164,'卡片raw data'!$F:$F,))&lt;INDEX('卡片raw data'!AM:AM,MATCH($D164,'卡片raw data'!$F:$F,)),INDEX('卡片raw data'!AL:AL,MATCH($D164,'卡片raw data'!$F:$F,))&lt;INDEX('卡片raw data'!AM:AM,MATCH($D164,'卡片raw data'!$F:$F,))),1,0)</f>
        <v>1</v>
      </c>
      <c r="AU164" s="1098">
        <f>MIN(AT164*0.15+AS164*0.00003+INDEX(绊状态确认!M:M,MATCH($G164,绊状态确认!$B:$B,)),1)</f>
        <v>0.58993772758847995</v>
      </c>
      <c r="AV164" s="1109">
        <f>(INDEX(绊状态确认!$N:$N,MATCH($G164,绊状态确认!$B:$B,))+1.5)*$EW$21</f>
        <v>2.6599999999999997</v>
      </c>
      <c r="AW164" s="1101">
        <f t="shared" si="196"/>
        <v>15478.75991839971</v>
      </c>
      <c r="AX164" s="1097">
        <f t="shared" si="197"/>
        <v>828.1328187163441</v>
      </c>
      <c r="AY164" s="1110">
        <f t="shared" si="198"/>
        <v>16306.892737116053</v>
      </c>
      <c r="AZ164" s="429">
        <f t="shared" si="199"/>
        <v>11371.673184559999</v>
      </c>
      <c r="BA164" s="431">
        <f t="shared" si="200"/>
        <v>13646.007821471998</v>
      </c>
      <c r="BB164" s="1097">
        <f>(AM164*(1+$FB$9)+$FB$35)*(1+(INDEX(绊状态确认!$T:$T,MATCH($G164,绊状态确认!$B:$B,))+0.2)*AO164)*IF(J164=$FF$17,1+$FE$17,1)*IF(I164=$FF$14,1+$FE$14,1)*(1+$FE$15)</f>
        <v>9720.2159321800009</v>
      </c>
      <c r="BC164" s="1097">
        <f>(AN164*(1+$FB$10)+$FB$36)*(1+(INDEX(绊状态确认!$T:$T,MATCH($G164,绊状态确认!$B:$B,))+0.2)*AO164)*IF(J164=$FF$17,1+$FE$17,1)*IF(I164=$FF$14,1+$FE$14,1)*(1+$FE$15)</f>
        <v>13664.590919615997</v>
      </c>
      <c r="BD164" s="1104">
        <f>MIN(AT164*0.15+BC164*0.00003+INDEX(绊状态确认!M:M,MATCH($G164,绊状态确认!$B:$B,)),1)</f>
        <v>0.58993772758847995</v>
      </c>
      <c r="BE164" s="432">
        <f>(INDEX(绊状态确认!$N:$N,MATCH($G164,绊状态确认!$B:$B,))+1.5)</f>
        <v>1.9</v>
      </c>
      <c r="BF164" s="1139">
        <f t="array" ref="BF164">SUMPRODUCT(IF(AZ164*AP164*$FI$16:$FI$23*$FA$22&gt;=$FI$24,$FI$24,AZ164*AP164*$FI$16:$FI$23*$FA$22),$FJ$16:$FJ$23)</f>
        <v>22618.25796408984</v>
      </c>
      <c r="BG164" s="1125">
        <f t="array" ref="BG164">SUMPRODUCT(IF(BE164*AZ164*AP164*$FI$16:$FI$23*$FA$22&gt;=$FI$24,$FI$24,BE164*AZ164*AP164*$FI$16:$FI$23*$FA$22),$FJ$16:$FJ$23)</f>
        <v>42974.690131770694</v>
      </c>
      <c r="BH164" s="1110">
        <f t="shared" si="201"/>
        <v>11542.428432966839</v>
      </c>
      <c r="BI164" s="1111">
        <f>IF(O164="vo",$EW$26/$EW$24*0.05,0)+IF(O164="sk",-$EW$26/$EW$24*(0.05-INDEX(绊状态确认!W:W,MATCH($G164,绊状态确认!$B:$B,)))+0.05*$EW$28,0)+IF(O164="sp",0.05*$EW$32*$EW$30*(1-$EW$33)-(0.05-INDEX(绊状态确认!V:V,MATCH($G164,绊状态确认!$B:$B,)))*$EW$28,0)+IF(O164="gd",-(0.05-INDEX(绊状态确认!X:X,MATCH($G164,绊状态确认!$B:$B,)))*$EW$32*$EW$30*(1-$EW$33),0)</f>
        <v>7726.3029277443748</v>
      </c>
      <c r="BJ164" s="1097">
        <f>IF(O164="vo",0.05*(1-$FI$26)*$FA$24,0)+IF(O164="sk",-(0.05-INDEX(绊状态确认!W:W,MATCH($G164,绊状态确认!$B:$B,)))*(1-$FI$26)*$FA$24+0.05*$FA$26,0)+IF(O164="sp",0.05*$FA$32*$FA$27*(1-$FA$33)/$FA$30+0.05*$FA$29/$FA$69*$FA$27*(1-$FA$33)-(0.05-INDEX(绊状态确认!V:V,MATCH($G164,绊状态确认!$B:$B,)))*$FA$26,0)+IF(O164="gd",-(0.05-INDEX(绊状态确认!X:X,MATCH($G164,绊状态确认!$B:$B,)))*$FA$32*$FA$27*(1-$FA$33)/$FA$30-(0.05-INDEX(绊状态确认!X:X,MATCH($G164,绊状态确认!$B:$B,)))*$FA$29/$FA$69*$FA$27*(1-$FA$33),0)</f>
        <v>393.93433687500004</v>
      </c>
      <c r="BK164" s="1110">
        <f>IF(O164="vo",$EW$26/$EW$24*0.05+$EW$26*(-HP($EW$62,$EW$65,$EW$64)+HP($EW$62,$EW$65,(1.05-INDEX(绊状态确认!U:U,MATCH($G164,绊状态确认!$B:$B,)))*$EW$64)),0)+IF(O164="sk",-$EW$26/$EW$24*(0.05-INDEX(绊状态确认!W:W,MATCH($G164,绊状态确认!$B:$B,)))+0.05*$EW$29,0)+IF(O164="sp",0.05*$EW$32*$EW$30*(1-$EW$33)-(0.05-INDEX(绊状态确认!V:V,MATCH($G164,绊状态确认!$B:$B,)))*$EW$29,0)+IF(O164="gd",-(0.05-INDEX(绊状态确认!X:X,MATCH($G164,绊状态确认!$B:$B,)))*$EW$32*$EW$30*(1-$EW$33)+$EW$26*(-HP($EW$62,$EW$65,$EW$64)+HP($EW$62,$EW$65,0.95*$EW$64)),0)</f>
        <v>6421.6344775026746</v>
      </c>
      <c r="BL164" s="1111">
        <f t="shared" si="202"/>
        <v>-1083.3333333333333</v>
      </c>
      <c r="BM164" s="1110">
        <f t="shared" si="203"/>
        <v>-830.55555555555543</v>
      </c>
      <c r="BN164" s="1113">
        <f t="shared" si="204"/>
        <v>3</v>
      </c>
      <c r="BO164" s="1097">
        <f t="shared" si="205"/>
        <v>4507.7214871259994</v>
      </c>
      <c r="BP164" s="1100">
        <f t="shared" si="206"/>
        <v>221.34103209030098</v>
      </c>
      <c r="BQ164" s="1113" t="s">
        <v>626</v>
      </c>
      <c r="BR164" s="1124" t="s">
        <v>171</v>
      </c>
      <c r="BS164" s="1098">
        <f>IF($P164="","N/A",IF($P164=-1,INDEX('卡片raw data'!AX:AX,MATCH($D164,'卡片raw data'!$F:$F,)),0)+IF($L164="party卡",IF($P164=5,INDEX('卡片raw data'!BD:BD,MATCH($D164,'卡片raw data'!$F:$F,)),IF($P164&gt;=3,INDEX('卡片raw data'!BC:BC,MATCH($D164,'卡片raw data'!$F:$F,)),INDEX('卡片raw data'!BB:BB,MATCH($D164,'卡片raw data'!$F:$F,)))),IF(OR(AND($F164="UR",$P164=0),AND($F164="SR",$P164&gt;=0,$P164&lt;=2),AND($F164="R",$P164&gt;=0,$P164&lt;4)),INDEX('卡片raw data'!AZ:AZ,MATCH($D164,'卡片raw data'!$F:$F,)),0)+IF(OR(AND($F164="UR",$P164&gt;=1,$P164&lt;=4),AND($F164="SR",$P164&lt;=4,$P164&gt;=3),AND($F164="R",$P164=4)),INDEX('卡片raw data'!BA:BA,MATCH($D164,'卡片raw data'!$F:$F,)),0)+IF($P164=5,INDEX('卡片raw data'!BB:BB,MATCH($D164,'卡片raw data'!$F:$F,)),0)))</f>
        <v>3.2000000000000001E-2</v>
      </c>
      <c r="BT164" s="1101">
        <f t="shared" si="207"/>
        <v>1509.2469769191675</v>
      </c>
      <c r="BU164" s="1097">
        <f t="shared" si="208"/>
        <v>95.522578685765595</v>
      </c>
      <c r="BV164" s="1097">
        <f t="shared" si="209"/>
        <v>754.62348845958354</v>
      </c>
      <c r="BW164" s="1112">
        <f t="shared" si="210"/>
        <v>0</v>
      </c>
      <c r="BX164" s="1100">
        <f t="shared" si="211"/>
        <v>1509.2469769191675</v>
      </c>
      <c r="BY164" s="1110">
        <f t="shared" si="212"/>
        <v>754.62348845958354</v>
      </c>
      <c r="BZ164" s="1107" t="s">
        <v>569</v>
      </c>
      <c r="CA164" s="1124"/>
      <c r="CB164" s="1098">
        <f>IF($P164="","N/A",IF($P164=-1,INDEX('卡片raw data'!BE:BE,MATCH($D164,'卡片raw data'!$F:$F,)),0)+IF($L164="party卡",IF($P164=5,INDEX('卡片raw data'!BK:BK,MATCH($D164,'卡片raw data'!$F:$F,)),IF($P164&gt;=3,INDEX('卡片raw data'!BJ:BJ,MATCH($D164,'卡片raw data'!$F:$F,)),INDEX('卡片raw data'!BI:BI,MATCH($D164,'卡片raw data'!$F:$F,)))),IF(OR(AND($F164="UR",$P164=0),AND($F164="SR",$P164&gt;=0,$P164&lt;=2),AND($F164="R",$P164&gt;=0,$P164&lt;4)),INDEX('卡片raw data'!BG:BG,MATCH($D164,'卡片raw data'!$F:$F,)),0)+IF(OR(AND($F164="UR",$P164&gt;=1,$P164&lt;=4),AND($F164="SR",$P164&lt;=4,$P164&gt;=3),AND($F164="R",$P164=4)),INDEX('卡片raw data'!BH:BH,MATCH($D164,'卡片raw data'!$F:$F,)),0)+IF($P164=5,INDEX('卡片raw data'!BI:BI,MATCH($D164,'卡片raw data'!$F:$F,)),0)))</f>
        <v>0</v>
      </c>
      <c r="CC164" s="1101">
        <f t="shared" si="213"/>
        <v>0</v>
      </c>
      <c r="CD164" s="1097">
        <f>IF(BZ164="ap",CB164*(1-$FI$26)*$FB$5/$FB$11*(+IF(CA164="全员",$FA$24,0)+IF(CA164="同作战",$FA$24,0)+IF(CA164="仲间",$FA$24*2/3,0)+IF(CA164="同属性",$FA$24*$FA$37/3,0)+IF(CA164="同年级",$FA$24*$FA$40/3,0)+IF(CA164="同学校",$FA$24*$FA$43/3,0)+IF(CA164="同小队",$FA$24*$FA$46/3,0)+IF(CA164="同type",$FA$24*INDEX($FB$49:$FB$52,MATCH(X164,$FA$49:$FA$52,))/3,0)+IF(CA164="自身",#REF!/3,0)),0)+IF(BZ164="te",CB164*(1-$FI$27)*($FA$20-1)*$FB$7/$FB$13*(+IF(CA164="全员",$FA$19*$FA$24/(1+($FA$20-1)*$FA$19),0)+IF(CA164="同作战",$FA$19*$FA$24/(1+($FA$20-1)*$FA$19),0)+IF(CA164="仲间",$FA$19*$FA$24*2/3/(1+($FA$20-1)*$FA$19),0)+IF(CA164="同属性",$FA$19*$FA$24*$FA$37/3/(1+($FA$20-1)*$FA$19),0)+IF(CA164="同年级",$FA$19*$FA$24*$FA$40/3/(1+($FA$20-1)*$FA$19),0)+IF(CA164="同学校",$FA$19*$FA$24*$FA$43/3/(1+($FA$20-1)*$FA$19),0)+IF(CA164="同小队",$FA$19*$FA$24*$FA$46/3/(1+($FA$20-1)*$FA$19),0)+IF(CA164="同type",$FA$19*$FA$24*INDEX($FB$49:$FB$52,MATCH(X164,$FA$49:$FA$52,))/3/(1+($FA$20-1)*$FA$19),0)+IF(CA164="自身",$FA$19*#REF!/3/(1+(BH164-1)*$BD164),0)),0)</f>
        <v>0</v>
      </c>
      <c r="CE164" s="1097">
        <f t="shared" si="214"/>
        <v>0</v>
      </c>
      <c r="CF164" s="1112">
        <f t="shared" si="215"/>
        <v>0</v>
      </c>
      <c r="CG164" s="1100">
        <f t="shared" si="216"/>
        <v>0</v>
      </c>
      <c r="CH164" s="1110">
        <f t="shared" si="217"/>
        <v>0</v>
      </c>
      <c r="CI164" s="1113" t="s">
        <v>170</v>
      </c>
      <c r="CJ164" s="1114">
        <v>0.2</v>
      </c>
      <c r="CK164" s="1115" t="s">
        <v>585</v>
      </c>
      <c r="CL164" s="1115" t="s">
        <v>171</v>
      </c>
      <c r="CM164" s="1119">
        <v>2.5000000000000001E-2</v>
      </c>
      <c r="CN164" s="1115">
        <v>5</v>
      </c>
      <c r="CO164" s="1092"/>
      <c r="CP164" s="1118">
        <f t="shared" si="218"/>
        <v>5.9523809523809524E-5</v>
      </c>
      <c r="CQ164" s="1118">
        <f t="shared" si="219"/>
        <v>8.101851851851853E-5</v>
      </c>
      <c r="CR164" s="1118">
        <f t="shared" si="220"/>
        <v>2.9761904761904765E-5</v>
      </c>
      <c r="CS164" s="1118">
        <f t="shared" si="221"/>
        <v>0</v>
      </c>
      <c r="CT164" s="1109">
        <f t="shared" si="222"/>
        <v>0</v>
      </c>
      <c r="CU164" s="1101">
        <f t="shared" si="223"/>
        <v>8.0942221147798215</v>
      </c>
      <c r="CV164" s="1108">
        <f t="shared" si="224"/>
        <v>0.53193293945312514</v>
      </c>
      <c r="CW164" s="1097">
        <f t="shared" si="225"/>
        <v>4.0471110573899107</v>
      </c>
      <c r="CX164" s="1097">
        <f t="shared" si="226"/>
        <v>8.0942221147798215</v>
      </c>
      <c r="CY164" s="1110">
        <f t="shared" si="227"/>
        <v>4.0471110573899107</v>
      </c>
      <c r="CZ164" s="437"/>
      <c r="DA164" s="438"/>
      <c r="DB164" s="439" t="s">
        <v>569</v>
      </c>
      <c r="DC164" s="439"/>
      <c r="DD164" s="443"/>
      <c r="DE164" s="411"/>
      <c r="DF164" s="411"/>
      <c r="DG164" s="1116">
        <f t="shared" si="228"/>
        <v>0</v>
      </c>
      <c r="DH164" s="1116">
        <f t="shared" si="229"/>
        <v>0</v>
      </c>
      <c r="DI164" s="1116">
        <f t="shared" si="230"/>
        <v>0</v>
      </c>
      <c r="DJ164" s="442">
        <f t="shared" si="231"/>
        <v>0</v>
      </c>
      <c r="DK164" s="1109">
        <f t="shared" si="232"/>
        <v>0</v>
      </c>
      <c r="DL164" s="1101">
        <f t="shared" si="233"/>
        <v>0</v>
      </c>
      <c r="DM164" s="1097">
        <f t="shared" si="234"/>
        <v>0</v>
      </c>
      <c r="DN164" s="1097">
        <f t="shared" si="235"/>
        <v>0</v>
      </c>
      <c r="DO164" s="1097">
        <f t="shared" si="236"/>
        <v>0</v>
      </c>
      <c r="DP164" s="1110">
        <f t="shared" si="237"/>
        <v>0</v>
      </c>
      <c r="DQ164" s="1113" t="s">
        <v>550</v>
      </c>
      <c r="DR164" s="1120">
        <f t="shared" si="238"/>
        <v>0.3</v>
      </c>
      <c r="DS164" s="1124">
        <v>3</v>
      </c>
      <c r="DT164" s="1093" t="s">
        <v>171</v>
      </c>
      <c r="DU164" s="1093" t="s">
        <v>544</v>
      </c>
      <c r="DV164" s="1098">
        <f>IF($P164="","N/A",IF(P164=-1,INDEX('卡片raw data'!AN:AN,MATCH(D164,'卡片raw data'!$F:$F,)),0)+IF(AND(L164&lt;&gt;"party卡",P164&lt;=2,P164&gt;=0),INDEX('卡片raw data'!AP:AP,MATCH(D164,'卡片raw data'!$F:$F,)),0)+IF(OR(AND(L164="party卡",P164&lt;=1),AND(P164&lt;=4,L164&lt;&gt;"party卡",P164&gt;=3)),INDEX('卡片raw data'!AQ:AQ,MATCH(D164,'卡片raw data'!$F:$F,)),0)+IF(OR(P164=5,AND(L164="party卡",P164&gt;=2)),INDEX('卡片raw data'!AR:AR,MATCH(D164,'卡片raw data'!$F:$F,)),0))</f>
        <v>0.1</v>
      </c>
      <c r="DW164" s="1098">
        <f t="shared" si="239"/>
        <v>0.3</v>
      </c>
      <c r="DX164" s="1098">
        <f t="shared" si="240"/>
        <v>0.3</v>
      </c>
      <c r="DY164" s="1098">
        <f t="shared" si="241"/>
        <v>0.02</v>
      </c>
      <c r="DZ164" s="1098">
        <f t="shared" si="242"/>
        <v>1.5137499999999998E-2</v>
      </c>
      <c r="EA164" s="1098">
        <f t="shared" si="243"/>
        <v>0</v>
      </c>
      <c r="EB164" s="1121">
        <f t="shared" si="244"/>
        <v>0</v>
      </c>
      <c r="EC164" s="1101">
        <f t="shared" si="245"/>
        <v>2340.6435746265001</v>
      </c>
      <c r="ED164" s="1097">
        <f t="shared" si="246"/>
        <v>122.57355453031639</v>
      </c>
      <c r="EE164" s="1110">
        <f t="shared" si="247"/>
        <v>2340.6435746265001</v>
      </c>
      <c r="EF164" s="1092" t="s">
        <v>711</v>
      </c>
      <c r="EG164" s="1120">
        <f t="shared" si="248"/>
        <v>0.3</v>
      </c>
      <c r="EH164" s="1124"/>
      <c r="EI164" s="1093"/>
      <c r="EJ164" s="1093"/>
      <c r="EK164" s="1097">
        <f>IF($P164="","N/A",IF(P164=-1,INDEX('卡片raw data'!AS:AS,MATCH(D164,'卡片raw data'!$F:$F,)),0)+IF(AND(L164&lt;&gt;"party卡",P164&lt;=2,P164&gt;=0),INDEX('卡片raw data'!AU:AU,MATCH(D164,'卡片raw data'!$F:$F,)),0)+IF(OR(AND(L164="party卡",P164&lt;=1),AND(P164&lt;=4,L164&lt;&gt;"party卡",P164&gt;=3)),INDEX('卡片raw data'!AV:AV,MATCH(D164,'卡片raw data'!$F:$F,)),0)+IF(OR(P164=5,AND(L164="party卡",P164&gt;=2)),INDEX('卡片raw data'!AW:AW,MATCH(D164,'卡片raw data'!$F:$F,)),0))</f>
        <v>0</v>
      </c>
      <c r="EL164" s="1098">
        <f t="shared" si="249"/>
        <v>0.3</v>
      </c>
      <c r="EM164" s="1098">
        <f t="shared" si="250"/>
        <v>0.3</v>
      </c>
      <c r="EN164" s="1125">
        <f t="shared" si="251"/>
        <v>0</v>
      </c>
      <c r="EO164" s="1125">
        <f t="shared" si="252"/>
        <v>0</v>
      </c>
      <c r="EP164" s="1098">
        <f t="shared" si="253"/>
        <v>0</v>
      </c>
      <c r="EQ164" s="1121">
        <f t="shared" si="254"/>
        <v>0</v>
      </c>
      <c r="ER164" s="1101">
        <f t="shared" si="255"/>
        <v>0</v>
      </c>
      <c r="ES164" s="1097">
        <f t="shared" si="256"/>
        <v>0</v>
      </c>
      <c r="ET164" s="1122">
        <f t="shared" si="257"/>
        <v>0</v>
      </c>
    </row>
    <row r="165" spans="2:150" ht="16.5" customHeight="1">
      <c r="B165" s="1123" t="str">
        <f>INDEX('卡片raw data'!B:B,MATCH($D165,'卡片raw data'!$F:$F,))</f>
        <v>一单希</v>
      </c>
      <c r="C165" s="449" t="s">
        <v>69</v>
      </c>
      <c r="D165" s="408">
        <v>162</v>
      </c>
      <c r="E165" s="1090">
        <v>400072001</v>
      </c>
      <c r="F165" s="1090" t="str">
        <f>INDEX('卡片raw data'!C:C,MATCH($D165,'卡片raw data'!$F:$F,))</f>
        <v>SR</v>
      </c>
      <c r="G165" s="1094" t="s">
        <v>140</v>
      </c>
      <c r="H165" s="411">
        <f>IFERROR(INDEX(绊状态确认!C:C,MATCH($G165,绊状态确认!$B:$B,)),"")</f>
        <v>7</v>
      </c>
      <c r="I165" s="450" t="str">
        <f>IFERROR(INDEX(绊状态确认!D:D,MATCH($G165,绊状态确认!$B:$B,)),"")</f>
        <v>缪</v>
      </c>
      <c r="J165" s="450" t="str">
        <f>IFERROR(INDEX(绊状态确认!E:E,MATCH($G165,绊状态确认!$B:$B,)),"")</f>
        <v>3年级</v>
      </c>
      <c r="K165" s="451" t="str">
        <f>IFERROR(INDEX(绊状态确认!F:F,MATCH($G165,绊状态确认!$B:$B,)),"")</f>
        <v>lilywhite</v>
      </c>
      <c r="L165" s="1094" t="str">
        <f>INDEX('卡片raw data'!E:E,MATCH($D165,'卡片raw data'!$F:$F,))</f>
        <v>活动卡</v>
      </c>
      <c r="M165" s="415">
        <v>43852</v>
      </c>
      <c r="N165" s="416">
        <v>8</v>
      </c>
      <c r="O165" s="1091" t="str">
        <f>INDEX('卡片raw data'!D:D,MATCH($D165,'卡片raw data'!$F:$F,))</f>
        <v>gd</v>
      </c>
      <c r="P165" s="417">
        <v>5</v>
      </c>
      <c r="Q165" s="1095">
        <f t="shared" si="173"/>
        <v>17410.41304961238</v>
      </c>
      <c r="R165" s="1096">
        <f t="shared" si="174"/>
        <v>0.20200000000000001</v>
      </c>
      <c r="S165" s="1097">
        <f t="shared" si="175"/>
        <v>10114.575363305314</v>
      </c>
      <c r="T165" s="1098">
        <f t="shared" si="176"/>
        <v>0.505</v>
      </c>
      <c r="U165" s="1099">
        <f t="shared" si="177"/>
        <v>368.88311059737595</v>
      </c>
      <c r="V165" s="1100">
        <f t="shared" si="178"/>
        <v>59487.277318887624</v>
      </c>
      <c r="W165" s="1101">
        <f t="shared" si="179"/>
        <v>4507.7214871259994</v>
      </c>
      <c r="X165" s="1096">
        <f t="shared" si="180"/>
        <v>5.1999999999999998E-2</v>
      </c>
      <c r="Y165" s="1097">
        <f t="shared" si="181"/>
        <v>929.52415753037712</v>
      </c>
      <c r="Z165" s="1102">
        <f t="shared" si="182"/>
        <v>11.684575937279996</v>
      </c>
      <c r="AA165" s="1103">
        <f t="shared" si="183"/>
        <v>5437.2456446563765</v>
      </c>
      <c r="AB165" s="1101">
        <f t="shared" si="184"/>
        <v>4507.7214871259994</v>
      </c>
      <c r="AC165" s="1104">
        <f t="shared" si="185"/>
        <v>5.1999999999999998E-2</v>
      </c>
      <c r="AD165" s="1105">
        <f t="shared" si="186"/>
        <v>-3.8207812500000026E-3</v>
      </c>
      <c r="AE165" s="1128">
        <f t="shared" si="187"/>
        <v>-18.525362318840578</v>
      </c>
      <c r="AF165" s="1130">
        <f t="shared" si="188"/>
        <v>5169.8396956477427</v>
      </c>
      <c r="AG165" s="420">
        <f t="shared" si="189"/>
        <v>105526.87079187202</v>
      </c>
      <c r="AH165" s="420">
        <f t="shared" si="190"/>
        <v>20.412019908607686</v>
      </c>
      <c r="AI165" s="1097">
        <f t="shared" si="191"/>
        <v>85603.897679578804</v>
      </c>
      <c r="AJ165" s="420">
        <f t="shared" si="192"/>
        <v>59487.277318887624</v>
      </c>
      <c r="AK165" s="518">
        <f t="shared" si="193"/>
        <v>26116.62036069118</v>
      </c>
      <c r="AL165" s="1106">
        <f>IF($P165="","N/A",(IF($P165=-1,INDEX('卡片raw data'!S:S,MATCH($D165,'卡片raw data'!$F:$F,)),0)+IF($P165=0,INDEX('卡片raw data'!V:V,MATCH($D165,'卡片raw data'!$F:$F,)),0)+IF($P165=1,INDEX('卡片raw data'!Y:Y,MATCH($D165,'卡片raw data'!$F:$F,)),0)+IF($P165=2,INDEX('卡片raw data'!AB:AB,MATCH($D165,'卡片raw data'!$F:$F,)),0)+IF($P165=3,INDEX('卡片raw data'!AE:AE,MATCH($D165,'卡片raw data'!$F:$F,)),0)+IF($P165=4,INDEX('卡片raw data'!AH:AH,MATCH($D165,'卡片raw data'!$F:$F,)),0)+IF($P165=5,INDEX('卡片raw data'!AK:AK,MATCH($D165,'卡片raw data'!$F:$F,)),0)+INDEX('卡片raw data'!S:S,MATCH($D165,'卡片raw data'!$F:$F,))*(IF($F165="UR",0.04,0.033))*(IF($F165="UR",INDEX(绊状态确认!$S:$S,MATCH($G165,绊状态确认!$B:$B,))/2-40)+IF($F165="SR",INDEX(绊状态确认!$R:$R,MATCH($G165,绊状态确认!$B:$B,))/4-15))+IF($F165="R",INDEX(绊状态确认!$Q:$Q,MATCH($G165,绊状态确认!$B:$B,))/6-40/6)))*(INDEX(绊状态确认!$H:$H,MATCH($G165,绊状态确认!$B:$B,))+INDEX(绊状态确认!J:J,MATCH($G165,绊状态确认!$B:$B,)))</f>
        <v>5301.1196303999996</v>
      </c>
      <c r="AM165" s="1106">
        <f>IF($P165="","N/A",(IF($P165=-1,INDEX('卡片raw data'!T:T,MATCH($D165,'卡片raw data'!$F:$F,)),0)+IF($P165=0,INDEX('卡片raw data'!W:W,MATCH($D165,'卡片raw data'!$F:$F,)),0)+IF($P165=1,INDEX('卡片raw data'!Z:Z,MATCH($D165,'卡片raw data'!$F:$F,)),0)+IF($P165=2,INDEX('卡片raw data'!AC:AC,MATCH($D165,'卡片raw data'!$F:$F,)),0)+IF($P165=3,INDEX('卡片raw data'!AF:AF,MATCH($D165,'卡片raw data'!$F:$F,)),0)+IF($P165=4,INDEX('卡片raw data'!AI:AI,MATCH($D165,'卡片raw data'!$F:$F,)),0)+IF($P165=5,INDEX('卡片raw data'!AL:AL,MATCH($D165,'卡片raw data'!$F:$F,)),0)+INDEX('卡片raw data'!T:T,MATCH($D165,'卡片raw data'!$F:$F,))*(IF($F165="UR",0.04,0.033))*(IF($F165="UR",INDEX(绊状态确认!$S:$S,MATCH($G165,绊状态确认!$B:$B,))/2-40)+IF($F165="SR",INDEX(绊状态确认!$R:$R,MATCH($G165,绊状态确认!$B:$B,))/4-15))+IF($F165="R",INDEX(绊状态确认!$Q:$Q,MATCH($G165,绊状态确认!$B:$B,))/6-40/6)))*(INDEX(绊状态确认!$H:$H,MATCH($G165,绊状态确认!$B:$B,))+INDEX(绊状态确认!K:K,MATCH($G165,绊状态确认!$B:$B,)))</f>
        <v>5624.3254271999986</v>
      </c>
      <c r="AN165" s="1106">
        <f>IF($P165="","N/A",(IF($P165=-1,INDEX('卡片raw data'!U:U,MATCH($D165,'卡片raw data'!$F:$F,)),0)+IF($P165=0,INDEX('卡片raw data'!X:X,MATCH($D165,'卡片raw data'!$F:$F,)),0)+IF($P165=1,INDEX('卡片raw data'!AA:AA,MATCH($D165,'卡片raw data'!$F:$F,)),0)+IF($P165=2,INDEX('卡片raw data'!AD:AD,MATCH($D165,'卡片raw data'!$F:$F,)),0)+IF($P165=3,INDEX('卡片raw data'!AG:AG,MATCH($D165,'卡片raw data'!$F:$F,)),0)+IF($P165=4,INDEX('卡片raw data'!AJ:AJ,MATCH($D165,'卡片raw data'!$F:$F,)),0)+IF($P165=5,INDEX('卡片raw data'!AM:AM,MATCH($D165,'卡片raw data'!$F:$F,)),0)+INDEX('卡片raw data'!U:U,MATCH($D165,'卡片raw data'!$F:$F,))*(IF($F165="UR",0.04,0.033))*(IF($F165="UR",INDEX(绊状态确认!$S:$S,MATCH($G165,绊状态确认!$B:$B,))/2-40)+IF($F165="SR",INDEX(绊状态确认!$R:$R,MATCH($G165,绊状态确认!$B:$B,))/4-15))+IF($F165="R",INDEX(绊状态确认!$Q:$Q,MATCH($G165,绊状态确认!$B:$B,))/6-40/6)))*(INDEX(绊状态确认!$H:$H,MATCH($G165,绊状态确认!$B:$B,))+INDEX(绊状态确认!L:L,MATCH($G165,绊状态确认!$B:$B,)))</f>
        <v>5140.0849319999998</v>
      </c>
      <c r="AO165" s="1107">
        <f t="shared" si="194"/>
        <v>1</v>
      </c>
      <c r="AP165" s="1131">
        <f>1+(INDEX(绊状态确认!$T:$T,MATCH($G165,绊状态确认!$B:$B,))+0.2)*$AO165</f>
        <v>1.3</v>
      </c>
      <c r="AQ165" s="1108">
        <f t="shared" si="195"/>
        <v>17165.4390298</v>
      </c>
      <c r="AR165" s="1097">
        <f>(AM165*(1+$EX$9)+$EX$35)*(1+(INDEX(绊状态确认!$T:$T,MATCH($G165,绊状态确认!$B:$B,))+0.2)*AO165)*IF(J165=$FF$17,1+$FE$17,1)*IF(I165=$FF$14,1+$FE$14,1)</f>
        <v>10381.204208127998</v>
      </c>
      <c r="AS165" s="1097">
        <f>(AN165*(1+$EX$10)+$EX$36)*(1+(INDEX(绊状态确认!$T:$T,MATCH($G165,绊状态确认!$B:$B,))+0.2)*AO165)*IF(J165=$FF$17,1+$FE$17,1)*IF(I165=$FF$14,1+$FE$14,1)</f>
        <v>11740.426973339998</v>
      </c>
      <c r="AT165" s="1093">
        <f>IF(AND(INDEX('卡片raw data'!AK:AK,MATCH($D165,'卡片raw data'!$F:$F,))&lt;INDEX('卡片raw data'!AM:AM,MATCH($D165,'卡片raw data'!$F:$F,)),INDEX('卡片raw data'!AL:AL,MATCH($D165,'卡片raw data'!$F:$F,))&lt;INDEX('卡片raw data'!AM:AM,MATCH($D165,'卡片raw data'!$F:$F,))),1,0)</f>
        <v>0</v>
      </c>
      <c r="AU165" s="1098">
        <f>MIN(AT165*0.15+AS165*0.00003+INDEX(绊状态确认!M:M,MATCH($G165,绊状态确认!$B:$B,)),1)</f>
        <v>0.38221280920019995</v>
      </c>
      <c r="AV165" s="1109">
        <f>(INDEX(绊状态确认!$N:$N,MATCH($G165,绊状态确认!$B:$B,))+1.5)*$EW$21</f>
        <v>2.6599999999999997</v>
      </c>
      <c r="AW165" s="1101">
        <f t="shared" si="196"/>
        <v>14571.024895819713</v>
      </c>
      <c r="AX165" s="1097">
        <f t="shared" si="197"/>
        <v>885.72824386938498</v>
      </c>
      <c r="AY165" s="1110">
        <f t="shared" si="198"/>
        <v>15456.753139689099</v>
      </c>
      <c r="AZ165" s="429">
        <f t="shared" si="199"/>
        <v>12937.18327928</v>
      </c>
      <c r="BA165" s="431">
        <f t="shared" si="200"/>
        <v>15524.619935135999</v>
      </c>
      <c r="BB165" s="1097">
        <f>(AM165*(1+$FB$9)+$FB$35)*(1+(INDEX(绊状态确认!$T:$T,MATCH($G165,绊状态确认!$B:$B,))+0.2)*AO165)*IF(J165=$FF$17,1+$FE$17,1)*IF(I165=$FF$14,1+$FE$14,1)*(1+$FE$15)</f>
        <v>10381.204208127998</v>
      </c>
      <c r="BC165" s="1097">
        <f>(AN165*(1+$FB$10)+$FB$36)*(1+(INDEX(绊状态确认!$T:$T,MATCH($G165,绊状态确认!$B:$B,))+0.2)*AO165)*IF(J165=$FF$17,1+$FE$17,1)*IF(I165=$FF$14,1+$FE$14,1)*(1+$FE$15)</f>
        <v>11740.426973339998</v>
      </c>
      <c r="BD165" s="1104">
        <f>MIN(AT165*0.15+BC165*0.00003+INDEX(绊状态确认!M:M,MATCH($G165,绊状态确认!$B:$B,)),1)</f>
        <v>0.38221280920019995</v>
      </c>
      <c r="BE165" s="432">
        <f>(INDEX(绊状态确认!$N:$N,MATCH($G165,绊状态确认!$B:$B,))+1.5)</f>
        <v>1.9</v>
      </c>
      <c r="BF165" s="1139">
        <f t="array" ref="BF165">SUMPRODUCT(IF(AZ165*AP165*$FI$16:$FI$23*$FA$22&gt;=$FI$24,$FI$24,AZ165*AP165*$FI$16:$FI$23*$FA$22),$FJ$16:$FJ$23)</f>
        <v>25732.057542487921</v>
      </c>
      <c r="BG165" s="1125">
        <f t="array" ref="BG165">SUMPRODUCT(IF(BE165*AZ165*AP165*$FI$16:$FI$23*$FA$22&gt;=$FI$24,$FI$24,BE165*AZ165*AP165*$FI$16:$FI$23*$FA$22),$FJ$16:$FJ$23)</f>
        <v>48819.489217760951</v>
      </c>
      <c r="BH165" s="1110">
        <f t="shared" si="201"/>
        <v>11518.789886770568</v>
      </c>
      <c r="BI165" s="1111">
        <f>IF(O165="vo",$EW$26/$EW$24*0.05,0)+IF(O165="sk",-$EW$26/$EW$24*(0.05-INDEX(绊状态确认!W:W,MATCH($G165,绊状态确认!$B:$B,)))+0.05*$EW$28,0)+IF(O165="sp",0.05*$EW$32*$EW$30*(1-$EW$33)-(0.05-INDEX(绊状态确认!V:V,MATCH($G165,绊状态确认!$B:$B,)))*$EW$28,0)+IF(O165="gd",-(0.05-INDEX(绊状态确认!X:X,MATCH($G165,绊状态确认!$B:$B,)))*$EW$32*$EW$30*(1-$EW$33),0)</f>
        <v>-585.00000000000011</v>
      </c>
      <c r="BJ165" s="1097">
        <f>IF(O165="vo",0.05*(1-$FI$26)*$FA$24,0)+IF(O165="sk",-(0.05-INDEX(绊状态确认!W:W,MATCH($G165,绊状态确认!$B:$B,)))*(1-$FI$26)*$FA$24+0.05*$FA$26,0)+IF(O165="sp",0.05*$FA$32*$FA$27*(1-$FA$33)/$FA$30+0.05*$FA$29/$FA$69*$FA$27*(1-$FA$33)-(0.05-INDEX(绊状态确认!V:V,MATCH($G165,绊状态确认!$B:$B,)))*$FA$26,0)+IF(O165="gd",-(0.05-INDEX(绊状态确认!X:X,MATCH($G165,绊状态确认!$B:$B,)))*$FA$32*$FA$27*(1-$FA$33)/$FA$30-(0.05-INDEX(绊状态确认!X:X,MATCH($G165,绊状态确认!$B:$B,)))*$FA$29/$FA$69*$FA$27*(1-$FA$33),0)</f>
        <v>-795.00000000000011</v>
      </c>
      <c r="BK165" s="1110">
        <f>IF(O165="vo",$EW$26/$EW$24*0.05+$EW$26*(-HP($EW$62,$EW$65,$EW$64)+HP($EW$62,$EW$65,(1.05-INDEX(绊状态确认!U:U,MATCH($G165,绊状态确认!$B:$B,)))*$EW$64)),0)+IF(O165="sk",-$EW$26/$EW$24*(0.05-INDEX(绊状态确认!W:W,MATCH($G165,绊状态确认!$B:$B,)))+0.05*$EW$29,0)+IF(O165="sp",0.05*$EW$32*$EW$30*(1-$EW$33)-(0.05-INDEX(绊状态确认!V:V,MATCH($G165,绊状态确认!$B:$B,)))*$EW$29,0)+IF(O165="gd",-(0.05-INDEX(绊状态确认!X:X,MATCH($G165,绊状态确认!$B:$B,)))*$EW$32*$EW$30*(1-$EW$33)+$EW$26*(-HP($EW$62,$EW$65,$EW$64)+HP($EW$62,$EW$65,0.95*$EW$64)),0)</f>
        <v>1009.5947725176144</v>
      </c>
      <c r="BL165" s="1111">
        <f t="shared" si="202"/>
        <v>-1083.3333333333333</v>
      </c>
      <c r="BM165" s="1110">
        <f t="shared" si="203"/>
        <v>-830.55555555555543</v>
      </c>
      <c r="BN165" s="1113">
        <f t="shared" si="204"/>
        <v>3</v>
      </c>
      <c r="BO165" s="1097">
        <f t="shared" si="205"/>
        <v>4507.7214871259994</v>
      </c>
      <c r="BP165" s="1100">
        <f t="shared" si="206"/>
        <v>221.34103209030098</v>
      </c>
      <c r="BQ165" s="1113" t="s">
        <v>624</v>
      </c>
      <c r="BR165" s="1124" t="s">
        <v>150</v>
      </c>
      <c r="BS165" s="1098">
        <f>IF($P165="","N/A",IF($P165=-1,INDEX('卡片raw data'!AX:AX,MATCH($D165,'卡片raw data'!$F:$F,)),0)+IF($L165="party卡",IF($P165=5,INDEX('卡片raw data'!BD:BD,MATCH($D165,'卡片raw data'!$F:$F,)),IF($P165&gt;=3,INDEX('卡片raw data'!BC:BC,MATCH($D165,'卡片raw data'!$F:$F,)),INDEX('卡片raw data'!BB:BB,MATCH($D165,'卡片raw data'!$F:$F,)))),IF(OR(AND($F165="UR",$P165=0),AND($F165="SR",$P165&gt;=0,$P165&lt;=2),AND($F165="R",$P165&gt;=0,$P165&lt;4)),INDEX('卡片raw data'!AZ:AZ,MATCH($D165,'卡片raw data'!$F:$F,)),0)+IF(OR(AND($F165="UR",$P165&gt;=1,$P165&lt;=4),AND($F165="SR",$P165&lt;=4,$P165&gt;=3),AND($F165="R",$P165=4)),INDEX('卡片raw data'!BA:BA,MATCH($D165,'卡片raw data'!$F:$F,)),0)+IF($P165=5,INDEX('卡片raw data'!BB:BB,MATCH($D165,'卡片raw data'!$F:$F,)),0)))</f>
        <v>3.2000000000000001E-2</v>
      </c>
      <c r="BT165" s="1101">
        <f t="shared" si="207"/>
        <v>0</v>
      </c>
      <c r="BU165" s="1097">
        <f t="shared" si="208"/>
        <v>0</v>
      </c>
      <c r="BV165" s="1097">
        <f t="shared" si="209"/>
        <v>0</v>
      </c>
      <c r="BW165" s="1112">
        <f t="shared" si="210"/>
        <v>0.56185714285714283</v>
      </c>
      <c r="BX165" s="1100">
        <f t="shared" si="211"/>
        <v>43.795913660992277</v>
      </c>
      <c r="BY165" s="1110">
        <f t="shared" si="212"/>
        <v>43.795913660992277</v>
      </c>
      <c r="BZ165" s="1107" t="s">
        <v>569</v>
      </c>
      <c r="CA165" s="1124"/>
      <c r="CB165" s="1098">
        <f>IF($P165="","N/A",IF($P165=-1,INDEX('卡片raw data'!BE:BE,MATCH($D165,'卡片raw data'!$F:$F,)),0)+IF($L165="party卡",IF($P165=5,INDEX('卡片raw data'!BK:BK,MATCH($D165,'卡片raw data'!$F:$F,)),IF($P165&gt;=3,INDEX('卡片raw data'!BJ:BJ,MATCH($D165,'卡片raw data'!$F:$F,)),INDEX('卡片raw data'!BI:BI,MATCH($D165,'卡片raw data'!$F:$F,)))),IF(OR(AND($F165="UR",$P165=0),AND($F165="SR",$P165&gt;=0,$P165&lt;=2),AND($F165="R",$P165&gt;=0,$P165&lt;4)),INDEX('卡片raw data'!BG:BG,MATCH($D165,'卡片raw data'!$F:$F,)),0)+IF(OR(AND($F165="UR",$P165&gt;=1,$P165&lt;=4),AND($F165="SR",$P165&lt;=4,$P165&gt;=3),AND($F165="R",$P165=4)),INDEX('卡片raw data'!BH:BH,MATCH($D165,'卡片raw data'!$F:$F,)),0)+IF($P165=5,INDEX('卡片raw data'!BI:BI,MATCH($D165,'卡片raw data'!$F:$F,)),0)))</f>
        <v>0</v>
      </c>
      <c r="CC165" s="1101">
        <f t="shared" si="213"/>
        <v>0</v>
      </c>
      <c r="CD165" s="1097">
        <f>IF(BZ165="ap",CB165*(1-$FI$26)*$FB$5/$FB$11*(+IF(CA165="全员",$FA$24,0)+IF(CA165="同作战",$FA$24,0)+IF(CA165="仲间",$FA$24*2/3,0)+IF(CA165="同属性",$FA$24*$FA$37/3,0)+IF(CA165="同年级",$FA$24*$FA$40/3,0)+IF(CA165="同学校",$FA$24*$FA$43/3,0)+IF(CA165="同小队",$FA$24*$FA$46/3,0)+IF(CA165="同type",$FA$24*INDEX($FB$49:$FB$52,MATCH(X165,$FA$49:$FA$52,))/3,0)+IF(CA165="自身",#REF!/3,0)),0)+IF(BZ165="te",CB165*(1-$FI$27)*($FA$20-1)*$FB$7/$FB$13*(+IF(CA165="全员",$FA$19*$FA$24/(1+($FA$20-1)*$FA$19),0)+IF(CA165="同作战",$FA$19*$FA$24/(1+($FA$20-1)*$FA$19),0)+IF(CA165="仲间",$FA$19*$FA$24*2/3/(1+($FA$20-1)*$FA$19),0)+IF(CA165="同属性",$FA$19*$FA$24*$FA$37/3/(1+($FA$20-1)*$FA$19),0)+IF(CA165="同年级",$FA$19*$FA$24*$FA$40/3/(1+($FA$20-1)*$FA$19),0)+IF(CA165="同学校",$FA$19*$FA$24*$FA$43/3/(1+($FA$20-1)*$FA$19),0)+IF(CA165="同小队",$FA$19*$FA$24*$FA$46/3/(1+($FA$20-1)*$FA$19),0)+IF(CA165="同type",$FA$19*$FA$24*INDEX($FB$49:$FB$52,MATCH(X165,$FA$49:$FA$52,))/3/(1+($FA$20-1)*$FA$19),0)+IF(CA165="自身",$FA$19*#REF!/3/(1+(BH165-1)*$BD165),0)),0)</f>
        <v>0</v>
      </c>
      <c r="CE165" s="1097">
        <f t="shared" si="214"/>
        <v>0</v>
      </c>
      <c r="CF165" s="1112">
        <f t="shared" si="215"/>
        <v>0</v>
      </c>
      <c r="CG165" s="1100">
        <f t="shared" si="216"/>
        <v>0</v>
      </c>
      <c r="CH165" s="1110">
        <f t="shared" si="217"/>
        <v>0</v>
      </c>
      <c r="CI165" s="1113" t="s">
        <v>165</v>
      </c>
      <c r="CJ165" s="1114">
        <v>0.3</v>
      </c>
      <c r="CK165" s="1115" t="s">
        <v>312</v>
      </c>
      <c r="CL165" s="1115" t="s">
        <v>1946</v>
      </c>
      <c r="CM165" s="1119">
        <v>0.1</v>
      </c>
      <c r="CN165" s="1115"/>
      <c r="CO165" s="1092"/>
      <c r="CP165" s="1117">
        <f t="shared" si="218"/>
        <v>0</v>
      </c>
      <c r="CQ165" s="1117">
        <f t="shared" si="219"/>
        <v>0</v>
      </c>
      <c r="CR165" s="1117">
        <f t="shared" si="220"/>
        <v>0</v>
      </c>
      <c r="CS165" s="1118">
        <f t="shared" si="221"/>
        <v>0</v>
      </c>
      <c r="CT165" s="1109">
        <f t="shared" si="222"/>
        <v>0</v>
      </c>
      <c r="CU165" s="1101">
        <f t="shared" si="223"/>
        <v>0</v>
      </c>
      <c r="CV165" s="1108">
        <f t="shared" si="224"/>
        <v>0</v>
      </c>
      <c r="CW165" s="1097">
        <f t="shared" si="225"/>
        <v>0</v>
      </c>
      <c r="CX165" s="1097">
        <f t="shared" si="226"/>
        <v>0</v>
      </c>
      <c r="CY165" s="1110">
        <f t="shared" si="227"/>
        <v>0</v>
      </c>
      <c r="CZ165" s="437"/>
      <c r="DA165" s="438"/>
      <c r="DB165" s="439" t="s">
        <v>569</v>
      </c>
      <c r="DC165" s="439"/>
      <c r="DD165" s="443"/>
      <c r="DE165" s="411"/>
      <c r="DF165" s="411"/>
      <c r="DG165" s="1116">
        <f t="shared" si="228"/>
        <v>0</v>
      </c>
      <c r="DH165" s="1116">
        <f t="shared" si="229"/>
        <v>0</v>
      </c>
      <c r="DI165" s="1116">
        <f t="shared" si="230"/>
        <v>0</v>
      </c>
      <c r="DJ165" s="442">
        <f t="shared" si="231"/>
        <v>0</v>
      </c>
      <c r="DK165" s="1109">
        <f t="shared" si="232"/>
        <v>0</v>
      </c>
      <c r="DL165" s="1101">
        <f t="shared" si="233"/>
        <v>0</v>
      </c>
      <c r="DM165" s="1097">
        <f t="shared" si="234"/>
        <v>0</v>
      </c>
      <c r="DN165" s="1097">
        <f t="shared" si="235"/>
        <v>0</v>
      </c>
      <c r="DO165" s="1097">
        <f t="shared" si="236"/>
        <v>0</v>
      </c>
      <c r="DP165" s="1110">
        <f t="shared" si="237"/>
        <v>0</v>
      </c>
      <c r="DQ165" s="1113" t="s">
        <v>635</v>
      </c>
      <c r="DR165" s="1120">
        <f t="shared" si="238"/>
        <v>0.3</v>
      </c>
      <c r="DS165" s="1124"/>
      <c r="DT165" s="1093" t="s">
        <v>552</v>
      </c>
      <c r="DU165" s="1093"/>
      <c r="DV165" s="1098">
        <f>IF($P165="","N/A",IF(P165=-1,INDEX('卡片raw data'!AN:AN,MATCH(D165,'卡片raw data'!$F:$F,)),0)+IF(AND(L165&lt;&gt;"party卡",P165&lt;=2,P165&gt;=0),INDEX('卡片raw data'!AP:AP,MATCH(D165,'卡片raw data'!$F:$F,)),0)+IF(OR(AND(L165="party卡",P165&lt;=1),AND(P165&lt;=4,L165&lt;&gt;"party卡",P165&gt;=3)),INDEX('卡片raw data'!AQ:AQ,MATCH(D165,'卡片raw data'!$F:$F,)),0)+IF(OR(P165=5,AND(L165="party卡",P165&gt;=2)),INDEX('卡片raw data'!AR:AR,MATCH(D165,'卡片raw data'!$F:$F,)),0))</f>
        <v>0.32</v>
      </c>
      <c r="DW165" s="1098">
        <f t="shared" si="239"/>
        <v>0.3</v>
      </c>
      <c r="DX165" s="1098">
        <f t="shared" si="240"/>
        <v>0.3</v>
      </c>
      <c r="DY165" s="1125">
        <f t="shared" si="241"/>
        <v>332.19853466009596</v>
      </c>
      <c r="DZ165" s="1125">
        <f t="shared" si="242"/>
        <v>287.351732480983</v>
      </c>
      <c r="EA165" s="1098">
        <f t="shared" si="243"/>
        <v>0</v>
      </c>
      <c r="EB165" s="1121">
        <f t="shared" si="244"/>
        <v>0</v>
      </c>
      <c r="EC165" s="1101">
        <f t="shared" si="245"/>
        <v>0</v>
      </c>
      <c r="ED165" s="1097">
        <f t="shared" si="246"/>
        <v>0</v>
      </c>
      <c r="EE165" s="1110">
        <f t="shared" si="247"/>
        <v>39552.745339227251</v>
      </c>
      <c r="EF165" s="1092" t="s">
        <v>711</v>
      </c>
      <c r="EG165" s="1120">
        <f t="shared" si="248"/>
        <v>0.3</v>
      </c>
      <c r="EH165" s="1124"/>
      <c r="EI165" s="1093"/>
      <c r="EJ165" s="1093"/>
      <c r="EK165" s="1097">
        <f>IF($P165="","N/A",IF(P165=-1,INDEX('卡片raw data'!AS:AS,MATCH(D165,'卡片raw data'!$F:$F,)),0)+IF(AND(L165&lt;&gt;"party卡",P165&lt;=2,P165&gt;=0),INDEX('卡片raw data'!AU:AU,MATCH(D165,'卡片raw data'!$F:$F,)),0)+IF(OR(AND(L165="party卡",P165&lt;=1),AND(P165&lt;=4,L165&lt;&gt;"party卡",P165&gt;=3)),INDEX('卡片raw data'!AV:AV,MATCH(D165,'卡片raw data'!$F:$F,)),0)+IF(OR(P165=5,AND(L165="party卡",P165&gt;=2)),INDEX('卡片raw data'!AW:AW,MATCH(D165,'卡片raw data'!$F:$F,)),0))</f>
        <v>0</v>
      </c>
      <c r="EL165" s="1098">
        <f t="shared" si="249"/>
        <v>0.3</v>
      </c>
      <c r="EM165" s="1098">
        <f t="shared" si="250"/>
        <v>0.3</v>
      </c>
      <c r="EN165" s="1125">
        <f t="shared" si="251"/>
        <v>0</v>
      </c>
      <c r="EO165" s="1125">
        <f t="shared" si="252"/>
        <v>0</v>
      </c>
      <c r="EP165" s="1098">
        <f t="shared" si="253"/>
        <v>0</v>
      </c>
      <c r="EQ165" s="1121">
        <f t="shared" si="254"/>
        <v>0</v>
      </c>
      <c r="ER165" s="1101">
        <f t="shared" si="255"/>
        <v>0</v>
      </c>
      <c r="ES165" s="1097">
        <f t="shared" si="256"/>
        <v>0</v>
      </c>
      <c r="ET165" s="1122">
        <f t="shared" si="257"/>
        <v>0</v>
      </c>
    </row>
    <row r="166" spans="2:150" ht="16.5" customHeight="1">
      <c r="B166" s="1123" t="str">
        <f>INDEX('卡片raw data'!B:B,MATCH($D166,'卡片raw data'!$F:$F,))</f>
        <v>fes1艾</v>
      </c>
      <c r="C166" s="449" t="s">
        <v>69</v>
      </c>
      <c r="D166" s="408">
        <v>163</v>
      </c>
      <c r="E166" s="1090">
        <v>202083001</v>
      </c>
      <c r="F166" s="1090" t="str">
        <f>INDEX('卡片raw data'!C:C,MATCH($D166,'卡片raw data'!$F:$F,))</f>
        <v>UR</v>
      </c>
      <c r="G166" s="1094" t="s">
        <v>49</v>
      </c>
      <c r="H166" s="411">
        <f>IFERROR(INDEX(绊状态确认!C:C,MATCH($G166,绊状态确认!$B:$B,)),"")</f>
        <v>208</v>
      </c>
      <c r="I166" s="450" t="str">
        <f>IFERROR(INDEX(绊状态确认!D:D,MATCH($G166,绊状态确认!$B:$B,)),"")</f>
        <v>虹</v>
      </c>
      <c r="J166" s="450" t="str">
        <f>IFERROR(INDEX(绊状态确认!E:E,MATCH($G166,绊状态确认!$B:$B,)),"")</f>
        <v>3年级</v>
      </c>
      <c r="K166" s="451" t="str">
        <f>IFERROR(INDEX(绊状态确认!F:F,MATCH($G166,绊状态确认!$B:$B,)),"")</f>
        <v>QU4RTZ</v>
      </c>
      <c r="L166" s="1094" t="str">
        <f>INDEX('卡片raw data'!E:E,MATCH($D166,'卡片raw data'!$F:$F,))</f>
        <v>fes卡</v>
      </c>
      <c r="M166" s="415">
        <v>43861</v>
      </c>
      <c r="N166" s="416">
        <v>8.5</v>
      </c>
      <c r="O166" s="1091" t="str">
        <f>INDEX('卡片raw data'!D:D,MATCH($D166,'卡片raw data'!$F:$F,))</f>
        <v>sp</v>
      </c>
      <c r="P166" s="417">
        <v>5</v>
      </c>
      <c r="Q166" s="1095">
        <f t="shared" si="173"/>
        <v>57769.789261155769</v>
      </c>
      <c r="R166" s="1096">
        <f t="shared" si="174"/>
        <v>0.67100000000000004</v>
      </c>
      <c r="S166" s="1097">
        <f t="shared" si="175"/>
        <v>23581.775650385596</v>
      </c>
      <c r="T166" s="1098">
        <f t="shared" si="176"/>
        <v>1.179</v>
      </c>
      <c r="U166" s="1099">
        <f t="shared" si="177"/>
        <v>12.922236377142855</v>
      </c>
      <c r="V166" s="1100">
        <f t="shared" si="178"/>
        <v>57002.619083002588</v>
      </c>
      <c r="W166" s="1101">
        <f t="shared" si="179"/>
        <v>9035.1967305490398</v>
      </c>
      <c r="X166" s="1096">
        <f t="shared" si="180"/>
        <v>0.105</v>
      </c>
      <c r="Y166" s="1097">
        <f t="shared" si="181"/>
        <v>1032.829821846819</v>
      </c>
      <c r="Z166" s="1102">
        <f t="shared" si="182"/>
        <v>12.922236377142855</v>
      </c>
      <c r="AA166" s="1103">
        <f t="shared" si="183"/>
        <v>10068.026552395859</v>
      </c>
      <c r="AB166" s="1101">
        <f t="shared" si="184"/>
        <v>9035.196730549038</v>
      </c>
      <c r="AC166" s="1104">
        <f t="shared" si="185"/>
        <v>0.105</v>
      </c>
      <c r="AD166" s="1105">
        <f t="shared" si="186"/>
        <v>-1.6087500000000001E-2</v>
      </c>
      <c r="AE166" s="1128">
        <f t="shared" si="187"/>
        <v>134.26169054347824</v>
      </c>
      <c r="AF166" s="1130">
        <f t="shared" si="188"/>
        <v>0</v>
      </c>
      <c r="AG166" s="420">
        <f t="shared" si="189"/>
        <v>0</v>
      </c>
      <c r="AH166" s="420">
        <f t="shared" si="190"/>
        <v>0</v>
      </c>
      <c r="AI166" s="1097">
        <f t="shared" si="191"/>
        <v>0</v>
      </c>
      <c r="AJ166" s="420">
        <f t="shared" si="192"/>
        <v>0</v>
      </c>
      <c r="AK166" s="518">
        <f t="shared" si="193"/>
        <v>0</v>
      </c>
      <c r="AL166" s="1106">
        <f>IF($P166="","N/A",(IF($P166=-1,INDEX('卡片raw data'!S:S,MATCH($D166,'卡片raw data'!$F:$F,)),0)+IF($P166=0,INDEX('卡片raw data'!V:V,MATCH($D166,'卡片raw data'!$F:$F,)),0)+IF($P166=1,INDEX('卡片raw data'!Y:Y,MATCH($D166,'卡片raw data'!$F:$F,)),0)+IF($P166=2,INDEX('卡片raw data'!AB:AB,MATCH($D166,'卡片raw data'!$F:$F,)),0)+IF($P166=3,INDEX('卡片raw data'!AE:AE,MATCH($D166,'卡片raw data'!$F:$F,)),0)+IF($P166=4,INDEX('卡片raw data'!AH:AH,MATCH($D166,'卡片raw data'!$F:$F,)),0)+IF($P166=5,INDEX('卡片raw data'!AK:AK,MATCH($D166,'卡片raw data'!$F:$F,)),0)+INDEX('卡片raw data'!S:S,MATCH($D166,'卡片raw data'!$F:$F,))*(IF($F166="UR",0.04,0.033))*(IF($F166="UR",INDEX(绊状态确认!$S:$S,MATCH($G166,绊状态确认!$B:$B,))/2-40)+IF($F166="SR",INDEX(绊状态确认!$R:$R,MATCH($G166,绊状态确认!$B:$B,))/4-15))+IF($F166="R",INDEX(绊状态确认!$Q:$Q,MATCH($G166,绊状态确认!$B:$B,))/6-40/6)))*(INDEX(绊状态确认!$H:$H,MATCH($G166,绊状态确认!$B:$B,))+INDEX(绊状态确认!J:J,MATCH($G166,绊状态确认!$B:$B,)))</f>
        <v>10966.94184</v>
      </c>
      <c r="AM166" s="1106">
        <f>IF($P166="","N/A",(IF($P166=-1,INDEX('卡片raw data'!T:T,MATCH($D166,'卡片raw data'!$F:$F,)),0)+IF($P166=0,INDEX('卡片raw data'!W:W,MATCH($D166,'卡片raw data'!$F:$F,)),0)+IF($P166=1,INDEX('卡片raw data'!Z:Z,MATCH($D166,'卡片raw data'!$F:$F,)),0)+IF($P166=2,INDEX('卡片raw data'!AC:AC,MATCH($D166,'卡片raw data'!$F:$F,)),0)+IF($P166=3,INDEX('卡片raw data'!AF:AF,MATCH($D166,'卡片raw data'!$F:$F,)),0)+IF($P166=4,INDEX('卡片raw data'!AI:AI,MATCH($D166,'卡片raw data'!$F:$F,)),0)+IF($P166=5,INDEX('卡片raw data'!AL:AL,MATCH($D166,'卡片raw data'!$F:$F,)),0)+INDEX('卡片raw data'!T:T,MATCH($D166,'卡片raw data'!$F:$F,))*(IF($F166="UR",0.04,0.033))*(IF($F166="UR",INDEX(绊状态确认!$S:$S,MATCH($G166,绊状态确认!$B:$B,))/2-40)+IF($F166="SR",INDEX(绊状态确认!$R:$R,MATCH($G166,绊状态确认!$B:$B,))/4-15))+IF($F166="R",INDEX(绊状态确认!$Q:$Q,MATCH($G166,绊状态确认!$B:$B,))/6-40/6)))*(INDEX(绊状态确认!$H:$H,MATCH($G166,绊状态确认!$B:$B,))+INDEX(绊状态确认!K:K,MATCH($G166,绊状态确认!$B:$B,)))</f>
        <v>6854.764799999999</v>
      </c>
      <c r="AN166" s="1106">
        <f>IF($P166="","N/A",(IF($P166=-1,INDEX('卡片raw data'!U:U,MATCH($D166,'卡片raw data'!$F:$F,)),0)+IF($P166=0,INDEX('卡片raw data'!X:X,MATCH($D166,'卡片raw data'!$F:$F,)),0)+IF($P166=1,INDEX('卡片raw data'!AA:AA,MATCH($D166,'卡片raw data'!$F:$F,)),0)+IF($P166=2,INDEX('卡片raw data'!AD:AD,MATCH($D166,'卡片raw data'!$F:$F,)),0)+IF($P166=3,INDEX('卡片raw data'!AG:AG,MATCH($D166,'卡片raw data'!$F:$F,)),0)+IF($P166=4,INDEX('卡片raw data'!AJ:AJ,MATCH($D166,'卡片raw data'!$F:$F,)),0)+IF($P166=5,INDEX('卡片raw data'!AM:AM,MATCH($D166,'卡片raw data'!$F:$F,)),0)+INDEX('卡片raw data'!U:U,MATCH($D166,'卡片raw data'!$F:$F,))*(IF($F166="UR",0.04,0.033))*(IF($F166="UR",INDEX(绊状态确认!$S:$S,MATCH($G166,绊状态确认!$B:$B,))/2-40)+IF($F166="SR",INDEX(绊状态确认!$R:$R,MATCH($G166,绊状态确认!$B:$B,))/4-15))+IF($F166="R",INDEX(绊状态确认!$Q:$Q,MATCH($G166,绊状态确认!$B:$B,))/6-40/6)))*(INDEX(绊状态确认!$H:$H,MATCH($G166,绊状态确认!$B:$B,))+INDEX(绊状态确认!L:L,MATCH($G166,绊状态确认!$B:$B,)))</f>
        <v>16450.980959999997</v>
      </c>
      <c r="AO166" s="1107">
        <f t="shared" si="194"/>
        <v>1</v>
      </c>
      <c r="AP166" s="1131">
        <f>1+(INDEX(绊状态确认!$T:$T,MATCH($G166,绊状态确认!$B:$B,))+0.2)*$AO166</f>
        <v>1.3</v>
      </c>
      <c r="AQ166" s="1108">
        <f t="shared" si="195"/>
        <v>32038.222329999997</v>
      </c>
      <c r="AR166" s="1097">
        <f>(AM166*(1+$EX$9)+$EX$35)*(1+(INDEX(绊状态确认!$T:$T,MATCH($G166,绊状态确认!$B:$B,))+0.2)*AO166)*IF(J166=$FF$17,1+$FE$17,1)*IF(I166=$FF$14,1+$FE$14,1)*(1+$FE$15)</f>
        <v>12060.753951999999</v>
      </c>
      <c r="AS166" s="1097">
        <f>(AN166*(1+$EX$10)+$EX$36)*(1+(INDEX(绊状态确认!$T:$T,MATCH($G166,绊状态确认!$B:$B,))+0.2)*AO166)*IF(J166=$FF$17,1+$FE$17,1)*IF(I166=$FF$14,1+$FE$14,1)*(1+$FE$15)</f>
        <v>28650.216535199994</v>
      </c>
      <c r="AT166" s="1093">
        <f>IF(AND(INDEX('卡片raw data'!AK:AK,MATCH($D166,'卡片raw data'!$F:$F,))&lt;INDEX('卡片raw data'!AM:AM,MATCH($D166,'卡片raw data'!$F:$F,)),INDEX('卡片raw data'!AL:AL,MATCH($D166,'卡片raw data'!$F:$F,))&lt;INDEX('卡片raw data'!AM:AM,MATCH($D166,'卡片raw data'!$F:$F,))),1,0)</f>
        <v>1</v>
      </c>
      <c r="AU166" s="1098">
        <f>MIN(AT166*0.15+AS166*0.00003+INDEX(绊状态确认!M:M,MATCH($G166,绊状态确认!$B:$B,)),1)</f>
        <v>1</v>
      </c>
      <c r="AV166" s="1109">
        <f>(INDEX(绊状态确认!$N:$N,MATCH($G166,绊状态确认!$B:$B,))+1.5)*$EW$21</f>
        <v>2.6599999999999997</v>
      </c>
      <c r="AW166" s="1101">
        <f t="shared" si="196"/>
        <v>44259.592530606737</v>
      </c>
      <c r="AX166" s="1097">
        <f t="shared" si="197"/>
        <v>1032.8298218468194</v>
      </c>
      <c r="AY166" s="1110">
        <f t="shared" si="198"/>
        <v>45292.422352453556</v>
      </c>
      <c r="AZ166" s="429">
        <f t="shared" si="199"/>
        <v>23985.536587999999</v>
      </c>
      <c r="BA166" s="431">
        <f t="shared" si="200"/>
        <v>28782.643905599998</v>
      </c>
      <c r="BB166" s="1097">
        <f>(AM166*(1+$FB$9)+$FB$35)*(1+(INDEX(绊状态确认!$T:$T,MATCH($G166,绊状态确认!$B:$B,))+0.2)*AO166)*IF(J166=$FF$17,1+$FE$17,1)*IF(I166=$FF$14,1+$FE$14,1)*(1+$FE$15)</f>
        <v>12060.753951999999</v>
      </c>
      <c r="BC166" s="1097">
        <f>(AN166*(1+$FB$10)+$FB$36)*(1+(INDEX(绊状态确认!$T:$T,MATCH($G166,绊状态确认!$B:$B,))+0.2)*AO166)*IF(J166=$FF$17,1+$FE$17,1)*IF(I166=$FF$14,1+$FE$14,1)*(1+$FE$15)</f>
        <v>28650.216535199994</v>
      </c>
      <c r="BD166" s="1104">
        <f>MIN(AT166*0.15+BC166*0.00003+INDEX(绊状态确认!M:M,MATCH($G166,绊状态确认!$B:$B,)),1)</f>
        <v>1</v>
      </c>
      <c r="BE166" s="432">
        <f>(INDEX(绊状态确认!$N:$N,MATCH($G166,绊状态确认!$B:$B,))+1.5)</f>
        <v>1.9</v>
      </c>
      <c r="BF166" s="1139">
        <f t="array" ref="BF166">SUMPRODUCT(IF(AZ166*AP166*$FI$16:$FI$23*$FA$22&gt;=$FI$24,$FI$24,AZ166*AP166*$FI$16:$FI$23*$FA$22),$FJ$16:$FJ$23)</f>
        <v>47707.232273532005</v>
      </c>
      <c r="BG166" s="1125">
        <f t="array" ref="BG166">SUMPRODUCT(IF(BE166*AZ166*AP166*$FI$16:$FI$23*$FA$22&gt;=$FI$24,$FI$24,BE166*AZ166*AP166*$FI$16:$FI$23*$FA$22),$FJ$16:$FJ$23)</f>
        <v>60000</v>
      </c>
      <c r="BH166" s="1110">
        <f t="shared" si="201"/>
        <v>20000</v>
      </c>
      <c r="BI166" s="1111">
        <f>IF(O166="vo",$EW$26/$EW$24*0.05,0)+IF(O166="sk",-$EW$26/$EW$24*(0.05-INDEX(绊状态确认!W:W,MATCH($G166,绊状态确认!$B:$B,)))+0.05*$EW$28,0)+IF(O166="sp",0.05*$EW$32*$EW$30*(1-$EW$33)-(0.05-INDEX(绊状态确认!V:V,MATCH($G166,绊状态确认!$B:$B,)))*$EW$28,0)+IF(O166="gd",-(0.05-INDEX(绊状态确认!X:X,MATCH($G166,绊状态确认!$B:$B,)))*$EW$32*$EW$30*(1-$EW$33),0)</f>
        <v>19.999999999999886</v>
      </c>
      <c r="BJ166" s="1097">
        <f>IF(O166="vo",0.05*(1-$FI$26)*$FA$24,0)+IF(O166="sk",-(0.05-INDEX(绊状态确认!W:W,MATCH($G166,绊状态确认!$B:$B,)))*(1-$FI$26)*$FA$24+0.05*$FA$26,0)+IF(O166="sp",0.05*$FA$32*$FA$27*(1-$FA$33)/$FA$30+0.05*$FA$29/$FA$69*$FA$27*(1-$FA$33)-(0.05-INDEX(绊状态确认!V:V,MATCH($G166,绊状态确认!$B:$B,)))*$FA$26,0)+IF(O166="gd",-(0.05-INDEX(绊状态确认!X:X,MATCH($G166,绊状态确认!$B:$B,)))*$FA$32*$FA$27*(1-$FA$33)/$FA$30-(0.05-INDEX(绊状态确认!X:X,MATCH($G166,绊状态确认!$B:$B,)))*$FA$29/$FA$69*$FA$27*(1-$FA$33),0)</f>
        <v>545.83333333333326</v>
      </c>
      <c r="BK166" s="1110">
        <f>IF(O166="vo",$EW$26/$EW$24*0.05+$EW$26*(-HP($EW$62,$EW$65,$EW$64)+HP($EW$62,$EW$65,(1.05-INDEX(绊状态确认!U:U,MATCH($G166,绊状态确认!$B:$B,)))*$EW$64)),0)+IF(O166="sk",-$EW$26/$EW$24*(0.05-INDEX(绊状态确认!W:W,MATCH($G166,绊状态确认!$B:$B,)))+0.05*$EW$29,0)+IF(O166="sp",0.05*$EW$32*$EW$30*(1-$EW$33)-(0.05-INDEX(绊状态确认!V:V,MATCH($G166,绊状态确认!$B:$B,)))*$EW$29,0)+IF(O166="gd",-(0.05-INDEX(绊状态确认!X:X,MATCH($G166,绊状态确认!$B:$B,)))*$EW$32*$EW$30*(1-$EW$33)+$EW$26*(-HP($EW$62,$EW$65,$EW$64)+HP($EW$62,$EW$65,0.95*$EW$64)),0)</f>
        <v>-1780.0000000000005</v>
      </c>
      <c r="BL166" s="1111">
        <f t="shared" si="202"/>
        <v>0</v>
      </c>
      <c r="BM166" s="1110">
        <f t="shared" si="203"/>
        <v>0</v>
      </c>
      <c r="BN166" s="1113">
        <f t="shared" si="204"/>
        <v>4</v>
      </c>
      <c r="BO166" s="1097">
        <f t="shared" si="205"/>
        <v>6010.2953161679998</v>
      </c>
      <c r="BP166" s="1100">
        <f t="shared" si="206"/>
        <v>295.12137612040135</v>
      </c>
      <c r="BQ166" s="1113" t="s">
        <v>145</v>
      </c>
      <c r="BR166" s="1124" t="s">
        <v>147</v>
      </c>
      <c r="BS166" s="1098">
        <f>IF($P166="","N/A",IF($P166=-1,INDEX('卡片raw data'!AX:AX,MATCH($D166,'卡片raw data'!$F:$F,)),0)+IF($L166="party卡",IF($P166=5,INDEX('卡片raw data'!BD:BD,MATCH($D166,'卡片raw data'!$F:$F,)),IF($P166&gt;=3,INDEX('卡片raw data'!BC:BC,MATCH($D166,'卡片raw data'!$F:$F,)),INDEX('卡片raw data'!BB:BB,MATCH($D166,'卡片raw data'!$F:$F,)))),IF(OR(AND($F166="UR",$P166=0),AND($F166="SR",$P166&gt;=0,$P166&lt;=2),AND($F166="R",$P166&gt;=0,$P166&lt;4)),INDEX('卡片raw data'!AZ:AZ,MATCH($D166,'卡片raw data'!$F:$F,)),0)+IF(OR(AND($F166="UR",$P166&gt;=1,$P166&lt;=4),AND($F166="SR",$P166&lt;=4,$P166&gt;=3),AND($F166="R",$P166=4)),INDEX('卡片raw data'!BA:BA,MATCH($D166,'卡片raw data'!$F:$F,)),0)+IF($P166=5,INDEX('卡片raw data'!BB:BB,MATCH($D166,'卡片raw data'!$F:$F,)),0)))</f>
        <v>4.2000000000000003E-2</v>
      </c>
      <c r="BT166" s="1101">
        <f t="shared" si="207"/>
        <v>2971.3299858096102</v>
      </c>
      <c r="BU166" s="1097">
        <f t="shared" si="208"/>
        <v>214.92580204297263</v>
      </c>
      <c r="BV166" s="1097">
        <f t="shared" si="209"/>
        <v>2971.3299858096102</v>
      </c>
      <c r="BW166" s="1112">
        <f t="shared" si="210"/>
        <v>0</v>
      </c>
      <c r="BX166" s="1100">
        <f t="shared" si="211"/>
        <v>2971.3299858096102</v>
      </c>
      <c r="BY166" s="1110">
        <f t="shared" si="212"/>
        <v>2971.3299858096102</v>
      </c>
      <c r="BZ166" s="1107" t="s">
        <v>569</v>
      </c>
      <c r="CA166" s="1124"/>
      <c r="CB166" s="1098">
        <f>IF($P166="","N/A",IF($P166=-1,INDEX('卡片raw data'!BE:BE,MATCH($D166,'卡片raw data'!$F:$F,)),0)+IF($L166="party卡",IF($P166=5,INDEX('卡片raw data'!BK:BK,MATCH($D166,'卡片raw data'!$F:$F,)),IF($P166&gt;=3,INDEX('卡片raw data'!BJ:BJ,MATCH($D166,'卡片raw data'!$F:$F,)),INDEX('卡片raw data'!BI:BI,MATCH($D166,'卡片raw data'!$F:$F,)))),IF(OR(AND($F166="UR",$P166=0),AND($F166="SR",$P166&gt;=0,$P166&lt;=2),AND($F166="R",$P166&gt;=0,$P166&lt;4)),INDEX('卡片raw data'!BG:BG,MATCH($D166,'卡片raw data'!$F:$F,)),0)+IF(OR(AND($F166="UR",$P166&gt;=1,$P166&lt;=4),AND($F166="SR",$P166&lt;=4,$P166&gt;=3),AND($F166="R",$P166=4)),INDEX('卡片raw data'!BH:BH,MATCH($D166,'卡片raw data'!$F:$F,)),0)+IF($P166=5,INDEX('卡片raw data'!BI:BI,MATCH($D166,'卡片raw data'!$F:$F,)),0)))</f>
        <v>0</v>
      </c>
      <c r="CC166" s="1101">
        <f t="shared" si="213"/>
        <v>0</v>
      </c>
      <c r="CD166" s="1097">
        <f>IF(BZ166="ap",CB166*(1-$FI$26)*$FB$5/$FB$11*(+IF(CA166="全员",$FA$24,0)+IF(CA166="同作战",$FA$24,0)+IF(CA166="仲间",$FA$24*2/3,0)+IF(CA166="同属性",$FA$24*$FA$37/3,0)+IF(CA166="同年级",$FA$24*$FA$40/3,0)+IF(CA166="同学校",$FA$24*$FA$43/3,0)+IF(CA166="同小队",$FA$24*$FA$46/3,0)+IF(CA166="同type",$FA$24*INDEX($FB$49:$FB$52,MATCH(X166,$FA$49:$FA$52,))/3,0)+IF(CA166="自身",#REF!/3,0)),0)+IF(BZ166="te",CB166*(1-$FI$27)*($FA$20-1)*$FB$7/$FB$13*(+IF(CA166="全员",$FA$19*$FA$24/(1+($FA$20-1)*$FA$19),0)+IF(CA166="同作战",$FA$19*$FA$24/(1+($FA$20-1)*$FA$19),0)+IF(CA166="仲间",$FA$19*$FA$24*2/3/(1+($FA$20-1)*$FA$19),0)+IF(CA166="同属性",$FA$19*$FA$24*$FA$37/3/(1+($FA$20-1)*$FA$19),0)+IF(CA166="同年级",$FA$19*$FA$24*$FA$40/3/(1+($FA$20-1)*$FA$19),0)+IF(CA166="同学校",$FA$19*$FA$24*$FA$43/3/(1+($FA$20-1)*$FA$19),0)+IF(CA166="同小队",$FA$19*$FA$24*$FA$46/3/(1+($FA$20-1)*$FA$19),0)+IF(CA166="同type",$FA$19*$FA$24*INDEX($FB$49:$FB$52,MATCH(X166,$FA$49:$FA$52,))/3/(1+($FA$20-1)*$FA$19),0)+IF(CA166="自身",$FA$19*#REF!/3/(1+(BH166-1)*$BD166),0)),0)</f>
        <v>0</v>
      </c>
      <c r="CE166" s="1097">
        <f t="shared" si="214"/>
        <v>0</v>
      </c>
      <c r="CF166" s="1112">
        <f t="shared" si="215"/>
        <v>0</v>
      </c>
      <c r="CG166" s="1100">
        <f t="shared" si="216"/>
        <v>0</v>
      </c>
      <c r="CH166" s="1110">
        <f t="shared" si="217"/>
        <v>0</v>
      </c>
      <c r="CI166" s="1113" t="s">
        <v>170</v>
      </c>
      <c r="CJ166" s="1114">
        <v>0.4</v>
      </c>
      <c r="CK166" s="1115" t="s">
        <v>156</v>
      </c>
      <c r="CL166" s="1115"/>
      <c r="CM166" s="462">
        <v>600</v>
      </c>
      <c r="CN166" s="1115"/>
      <c r="CO166" s="1092"/>
      <c r="CP166" s="1117">
        <f t="shared" si="218"/>
        <v>0.8571428571428571</v>
      </c>
      <c r="CQ166" s="1117">
        <f t="shared" si="219"/>
        <v>1.5333333333333334</v>
      </c>
      <c r="CR166" s="1117">
        <f t="shared" si="220"/>
        <v>0.8571428571428571</v>
      </c>
      <c r="CS166" s="1118">
        <f t="shared" si="221"/>
        <v>0</v>
      </c>
      <c r="CT166" s="1109">
        <f t="shared" si="222"/>
        <v>63</v>
      </c>
      <c r="CU166" s="1101">
        <f t="shared" si="223"/>
        <v>53.571428571428569</v>
      </c>
      <c r="CV166" s="1108">
        <f t="shared" si="224"/>
        <v>63.888888888888893</v>
      </c>
      <c r="CW166" s="1097">
        <f t="shared" si="225"/>
        <v>53.571428571428569</v>
      </c>
      <c r="CX166" s="1097">
        <f t="shared" si="226"/>
        <v>53.571428571428569</v>
      </c>
      <c r="CY166" s="1110">
        <f t="shared" si="227"/>
        <v>53.571428571428569</v>
      </c>
      <c r="CZ166" s="437"/>
      <c r="DA166" s="438"/>
      <c r="DB166" s="439" t="s">
        <v>569</v>
      </c>
      <c r="DC166" s="439"/>
      <c r="DD166" s="443"/>
      <c r="DE166" s="411"/>
      <c r="DF166" s="411"/>
      <c r="DG166" s="1116">
        <f t="shared" si="228"/>
        <v>0</v>
      </c>
      <c r="DH166" s="1116">
        <f t="shared" si="229"/>
        <v>0</v>
      </c>
      <c r="DI166" s="1116">
        <f t="shared" si="230"/>
        <v>0</v>
      </c>
      <c r="DJ166" s="442">
        <f t="shared" si="231"/>
        <v>0</v>
      </c>
      <c r="DK166" s="1109">
        <f t="shared" si="232"/>
        <v>0</v>
      </c>
      <c r="DL166" s="1101">
        <f t="shared" si="233"/>
        <v>0</v>
      </c>
      <c r="DM166" s="1097">
        <f t="shared" si="234"/>
        <v>0</v>
      </c>
      <c r="DN166" s="1097">
        <f t="shared" si="235"/>
        <v>0</v>
      </c>
      <c r="DO166" s="1097">
        <f t="shared" si="236"/>
        <v>0</v>
      </c>
      <c r="DP166" s="1110">
        <f t="shared" si="237"/>
        <v>0</v>
      </c>
      <c r="DQ166" s="1113" t="s">
        <v>156</v>
      </c>
      <c r="DR166" s="1120">
        <f t="shared" si="238"/>
        <v>0.33</v>
      </c>
      <c r="DS166" s="1124"/>
      <c r="DT166" s="1093" t="s">
        <v>179</v>
      </c>
      <c r="DU166" s="1093"/>
      <c r="DV166" s="1098">
        <f>IF($P166="","N/A",IF(P166=-1,INDEX('卡片raw data'!AN:AN,MATCH(D166,'卡片raw data'!$F:$F,)),0)+IF(AND(L166&lt;&gt;"party卡",P166&lt;=2,P166&gt;=0),INDEX('卡片raw data'!AP:AP,MATCH(D166,'卡片raw data'!$F:$F,)),0)+IF(OR(AND(L166="party卡",P166&lt;=1),AND(P166&lt;=4,L166&lt;&gt;"party卡",P166&gt;=3)),INDEX('卡片raw data'!AQ:AQ,MATCH(D166,'卡片raw data'!$F:$F,)),0)+IF(OR(P166=5,AND(L166="party卡",P166&gt;=2)),INDEX('卡片raw data'!AR:AR,MATCH(D166,'卡片raw data'!$F:$F,)),0))</f>
        <v>0.09</v>
      </c>
      <c r="DW166" s="1098">
        <f t="shared" si="239"/>
        <v>0.33</v>
      </c>
      <c r="DX166" s="1098">
        <f t="shared" si="240"/>
        <v>0.33</v>
      </c>
      <c r="DY166" s="1098">
        <f t="shared" si="241"/>
        <v>9.9000000000000008E-3</v>
      </c>
      <c r="DZ166" s="1098">
        <f t="shared" si="242"/>
        <v>9.8480249999999998E-3</v>
      </c>
      <c r="EA166" s="1098">
        <f t="shared" si="243"/>
        <v>0</v>
      </c>
      <c r="EB166" s="1121">
        <f t="shared" si="244"/>
        <v>60.337777499999987</v>
      </c>
      <c r="EC166" s="1101">
        <f t="shared" si="245"/>
        <v>4455</v>
      </c>
      <c r="ED166" s="1097">
        <f t="shared" si="246"/>
        <v>2462.0062499999999</v>
      </c>
      <c r="EE166" s="1110">
        <f t="shared" si="247"/>
        <v>4455</v>
      </c>
      <c r="EF166" s="1092" t="s">
        <v>711</v>
      </c>
      <c r="EG166" s="1120">
        <f t="shared" si="248"/>
        <v>0.33</v>
      </c>
      <c r="EH166" s="1124"/>
      <c r="EI166" s="1093"/>
      <c r="EJ166" s="1093"/>
      <c r="EK166" s="1097">
        <f>IF($P166="","N/A",IF(P166=-1,INDEX('卡片raw data'!AS:AS,MATCH(D166,'卡片raw data'!$F:$F,)),0)+IF(AND(L166&lt;&gt;"party卡",P166&lt;=2,P166&gt;=0),INDEX('卡片raw data'!AU:AU,MATCH(D166,'卡片raw data'!$F:$F,)),0)+IF(OR(AND(L166="party卡",P166&lt;=1),AND(P166&lt;=4,L166&lt;&gt;"party卡",P166&gt;=3)),INDEX('卡片raw data'!AV:AV,MATCH(D166,'卡片raw data'!$F:$F,)),0)+IF(OR(P166=5,AND(L166="party卡",P166&gt;=2)),INDEX('卡片raw data'!AW:AW,MATCH(D166,'卡片raw data'!$F:$F,)),0))</f>
        <v>0</v>
      </c>
      <c r="EL166" s="1098">
        <f t="shared" si="249"/>
        <v>0.33</v>
      </c>
      <c r="EM166" s="1098">
        <f t="shared" si="250"/>
        <v>0.33</v>
      </c>
      <c r="EN166" s="1125">
        <f t="shared" si="251"/>
        <v>0</v>
      </c>
      <c r="EO166" s="1125">
        <f t="shared" si="252"/>
        <v>0</v>
      </c>
      <c r="EP166" s="1098">
        <f t="shared" si="253"/>
        <v>0</v>
      </c>
      <c r="EQ166" s="1121">
        <f t="shared" si="254"/>
        <v>0</v>
      </c>
      <c r="ER166" s="1101">
        <f t="shared" si="255"/>
        <v>0</v>
      </c>
      <c r="ES166" s="1097">
        <f t="shared" si="256"/>
        <v>0</v>
      </c>
      <c r="ET166" s="1122">
        <f t="shared" si="257"/>
        <v>0</v>
      </c>
    </row>
    <row r="167" spans="2:150" ht="16.5" customHeight="1">
      <c r="B167" s="1123" t="str">
        <f>INDEX('卡片raw data'!B:B,MATCH($D167,'卡片raw data'!$F:$F,))</f>
        <v>fes1妮</v>
      </c>
      <c r="C167" s="449" t="s">
        <v>124</v>
      </c>
      <c r="D167" s="408">
        <v>164</v>
      </c>
      <c r="E167" s="1090">
        <v>200093001</v>
      </c>
      <c r="F167" s="1090" t="str">
        <f>INDEX('卡片raw data'!C:C,MATCH($D167,'卡片raw data'!$F:$F,))</f>
        <v>UR</v>
      </c>
      <c r="G167" s="1094" t="s">
        <v>32</v>
      </c>
      <c r="H167" s="411">
        <f>IFERROR(INDEX(绊状态确认!C:C,MATCH($G167,绊状态确认!$B:$B,)),"")</f>
        <v>9</v>
      </c>
      <c r="I167" s="1124" t="str">
        <f>IFERROR(INDEX(绊状态确认!D:D,MATCH($G167,绊状态确认!$B:$B,)),"")</f>
        <v>缪</v>
      </c>
      <c r="J167" s="1124" t="str">
        <f>IFERROR(INDEX(绊状态确认!E:E,MATCH($G167,绊状态确认!$B:$B,)),"")</f>
        <v>3年级</v>
      </c>
      <c r="K167" s="451" t="str">
        <f>IFERROR(INDEX(绊状态确认!F:F,MATCH($G167,绊状态确认!$B:$B,)),"")</f>
        <v>BiBi</v>
      </c>
      <c r="L167" s="1094" t="str">
        <f>INDEX('卡片raw data'!E:E,MATCH($D167,'卡片raw data'!$F:$F,))</f>
        <v>fes卡</v>
      </c>
      <c r="M167" s="415">
        <v>43861</v>
      </c>
      <c r="N167" s="416">
        <v>8.5</v>
      </c>
      <c r="O167" s="1091" t="str">
        <f>INDEX('卡片raw data'!D:D,MATCH($D167,'卡片raw data'!$F:$F,))</f>
        <v>gd</v>
      </c>
      <c r="P167" s="417">
        <v>5</v>
      </c>
      <c r="Q167" s="1095">
        <f t="shared" si="173"/>
        <v>33925.463862859106</v>
      </c>
      <c r="R167" s="1096">
        <f t="shared" si="174"/>
        <v>0.39400000000000002</v>
      </c>
      <c r="S167" s="1097">
        <f t="shared" si="175"/>
        <v>16912.55291856961</v>
      </c>
      <c r="T167" s="1098">
        <f t="shared" si="176"/>
        <v>0.84499999999999997</v>
      </c>
      <c r="U167" s="1099">
        <f t="shared" si="177"/>
        <v>1237.303886083866</v>
      </c>
      <c r="V167" s="1100">
        <f t="shared" si="178"/>
        <v>86236.386043578299</v>
      </c>
      <c r="W167" s="1101">
        <f t="shared" si="179"/>
        <v>6010.2953161679998</v>
      </c>
      <c r="X167" s="1096">
        <f t="shared" si="180"/>
        <v>6.9000000000000006E-2</v>
      </c>
      <c r="Y167" s="1097">
        <f t="shared" si="181"/>
        <v>9860.0285561630026</v>
      </c>
      <c r="Z167" s="1102">
        <f t="shared" si="182"/>
        <v>109.24878656034574</v>
      </c>
      <c r="AA167" s="1103">
        <f t="shared" si="183"/>
        <v>15870.323872331002</v>
      </c>
      <c r="AB167" s="1101">
        <f t="shared" si="184"/>
        <v>6010.2953161679998</v>
      </c>
      <c r="AC167" s="1104">
        <f t="shared" si="185"/>
        <v>6.9000000000000006E-2</v>
      </c>
      <c r="AD167" s="1105">
        <f t="shared" si="186"/>
        <v>0</v>
      </c>
      <c r="AE167" s="1128">
        <f t="shared" si="187"/>
        <v>-6.25</v>
      </c>
      <c r="AF167" s="1130">
        <f t="shared" si="188"/>
        <v>15292.354788848801</v>
      </c>
      <c r="AG167" s="420">
        <f t="shared" si="189"/>
        <v>67697.705907047202</v>
      </c>
      <c r="AH167" s="420">
        <f t="shared" si="190"/>
        <v>4.4268987243490079</v>
      </c>
      <c r="AI167" s="1097">
        <f t="shared" si="191"/>
        <v>120617.44437033166</v>
      </c>
      <c r="AJ167" s="420">
        <f t="shared" si="192"/>
        <v>86236.386043578299</v>
      </c>
      <c r="AK167" s="518">
        <f t="shared" si="193"/>
        <v>34381.058326753366</v>
      </c>
      <c r="AL167" s="1106">
        <f>IF($P167="","N/A",(IF($P167=-1,INDEX('卡片raw data'!S:S,MATCH($D167,'卡片raw data'!$F:$F,)),0)+IF($P167=0,INDEX('卡片raw data'!V:V,MATCH($D167,'卡片raw data'!$F:$F,)),0)+IF($P167=1,INDEX('卡片raw data'!Y:Y,MATCH($D167,'卡片raw data'!$F:$F,)),0)+IF($P167=2,INDEX('卡片raw data'!AB:AB,MATCH($D167,'卡片raw data'!$F:$F,)),0)+IF($P167=3,INDEX('卡片raw data'!AE:AE,MATCH($D167,'卡片raw data'!$F:$F,)),0)+IF($P167=4,INDEX('卡片raw data'!AH:AH,MATCH($D167,'卡片raw data'!$F:$F,)),0)+IF($P167=5,INDEX('卡片raw data'!AK:AK,MATCH($D167,'卡片raw data'!$F:$F,)),0)+INDEX('卡片raw data'!S:S,MATCH($D167,'卡片raw data'!$F:$F,))*(IF($F167="UR",0.04,0.033))*(IF($F167="UR",INDEX(绊状态确认!$S:$S,MATCH($G167,绊状态确认!$B:$B,))/2-40)+IF($F167="SR",INDEX(绊状态确认!$R:$R,MATCH($G167,绊状态确认!$B:$B,))/4-15))+IF($F167="R",INDEX(绊状态确认!$Q:$Q,MATCH($G167,绊状态确认!$B:$B,))/6-40/6)))*(INDEX(绊状态确认!$H:$H,MATCH($G167,绊状态确认!$B:$B,))+INDEX(绊状态确认!J:J,MATCH($G167,绊状态确认!$B:$B,)))</f>
        <v>9761.9032800000004</v>
      </c>
      <c r="AM167" s="1106">
        <f>IF($P167="","N/A",(IF($P167=-1,INDEX('卡片raw data'!T:T,MATCH($D167,'卡片raw data'!$F:$F,)),0)+IF($P167=0,INDEX('卡片raw data'!W:W,MATCH($D167,'卡片raw data'!$F:$F,)),0)+IF($P167=1,INDEX('卡片raw data'!Z:Z,MATCH($D167,'卡片raw data'!$F:$F,)),0)+IF($P167=2,INDEX('卡片raw data'!AC:AC,MATCH($D167,'卡片raw data'!$F:$F,)),0)+IF($P167=3,INDEX('卡片raw data'!AF:AF,MATCH($D167,'卡片raw data'!$F:$F,)),0)+IF($P167=4,INDEX('卡片raw data'!AI:AI,MATCH($D167,'卡片raw data'!$F:$F,)),0)+IF($P167=5,INDEX('卡片raw data'!AL:AL,MATCH($D167,'卡片raw data'!$F:$F,)),0)+INDEX('卡片raw data'!T:T,MATCH($D167,'卡片raw data'!$F:$F,))*(IF($F167="UR",0.04,0.033))*(IF($F167="UR",INDEX(绊状态确认!$S:$S,MATCH($G167,绊状态确认!$B:$B,))/2-40)+IF($F167="SR",INDEX(绊状态确认!$R:$R,MATCH($G167,绊状态确认!$B:$B,))/4-15))+IF($F167="R",INDEX(绊状态确认!$Q:$Q,MATCH($G167,绊状态确认!$B:$B,))/6-40/6)))*(INDEX(绊状态确认!$H:$H,MATCH($G167,绊状态确认!$B:$B,))+INDEX(绊状态确认!K:K,MATCH($G167,绊状态确认!$B:$B,)))</f>
        <v>16384.933391999999</v>
      </c>
      <c r="AN167" s="1106">
        <f>IF($P167="","N/A",(IF($P167=-1,INDEX('卡片raw data'!U:U,MATCH($D167,'卡片raw data'!$F:$F,)),0)+IF($P167=0,INDEX('卡片raw data'!X:X,MATCH($D167,'卡片raw data'!$F:$F,)),0)+IF($P167=1,INDEX('卡片raw data'!AA:AA,MATCH($D167,'卡片raw data'!$F:$F,)),0)+IF($P167=2,INDEX('卡片raw data'!AD:AD,MATCH($D167,'卡片raw data'!$F:$F,)),0)+IF($P167=3,INDEX('卡片raw data'!AG:AG,MATCH($D167,'卡片raw data'!$F:$F,)),0)+IF($P167=4,INDEX('卡片raw data'!AJ:AJ,MATCH($D167,'卡片raw data'!$F:$F,)),0)+IF($P167=5,INDEX('卡片raw data'!AM:AM,MATCH($D167,'卡片raw data'!$F:$F,)),0)+INDEX('卡片raw data'!U:U,MATCH($D167,'卡片raw data'!$F:$F,))*(IF($F167="UR",0.04,0.033))*(IF($F167="UR",INDEX(绊状态确认!$S:$S,MATCH($G167,绊状态确认!$B:$B,))/2-40)+IF($F167="SR",INDEX(绊状态确认!$R:$R,MATCH($G167,绊状态确认!$B:$B,))/4-15))+IF($F167="R",INDEX(绊状态确认!$Q:$Q,MATCH($G167,绊状态确认!$B:$B,))/6-40/6)))*(INDEX(绊状态确认!$H:$H,MATCH($G167,绊状态确认!$B:$B,))+INDEX(绊状态确认!L:L,MATCH($G167,绊状态确认!$B:$B,)))</f>
        <v>8713.2788159999982</v>
      </c>
      <c r="AO167" s="1107">
        <f t="shared" si="194"/>
        <v>1</v>
      </c>
      <c r="AP167" s="1131">
        <f>1+(INDEX(绊状态确认!$T:$T,MATCH($G167,绊状态确认!$B:$B,))+0.2)*$AO167</f>
        <v>1.3</v>
      </c>
      <c r="AQ167" s="1108">
        <f t="shared" si="195"/>
        <v>28874.99611</v>
      </c>
      <c r="AR167" s="1097">
        <f>(AM167*(1+$EX$9)+$EX$35)*(1+(INDEX(绊状态确认!$T:$T,MATCH($G167,绊状态确认!$B:$B,))+0.2)*AO167)*IF(J167=$FF$17,1+$FE$17,1)*IF(I167=$FF$14,1+$FE$14,1)*(1+$FE$15)</f>
        <v>25069.434080080002</v>
      </c>
      <c r="AS167" s="1097">
        <f>(AN167*(1+$EX$10)+$EX$36)*(1+(INDEX(绊状态确认!$T:$T,MATCH($G167,绊状态确认!$B:$B,))+0.2)*AO167)*IF(J167=$FF$17,1+$FE$17,1)*IF(I167=$FF$14,1+$FE$14,1)*(1+$FE$15)</f>
        <v>17082.351829919997</v>
      </c>
      <c r="AT167" s="1093">
        <f>IF(AND(INDEX('卡片raw data'!AK:AK,MATCH($D167,'卡片raw data'!$F:$F,))&lt;INDEX('卡片raw data'!AM:AM,MATCH($D167,'卡片raw data'!$F:$F,)),INDEX('卡片raw data'!AL:AL,MATCH($D167,'卡片raw data'!$F:$F,))&lt;INDEX('卡片raw data'!AM:AM,MATCH($D167,'卡片raw data'!$F:$F,))),1,0)</f>
        <v>0</v>
      </c>
      <c r="AU167" s="1098">
        <f>MIN(AT167*0.15+AS167*0.00003+INDEX(绊状态确认!M:M,MATCH($G167,绊状态确认!$B:$B,)),1)</f>
        <v>0.54247055489759999</v>
      </c>
      <c r="AV167" s="1109">
        <f>(INDEX(绊状态确认!$N:$N,MATCH($G167,绊状态确认!$B:$B,))+1.5)*$EW$21</f>
        <v>2.6599999999999997</v>
      </c>
      <c r="AW167" s="1101">
        <f t="shared" si="196"/>
        <v>28500.168546691108</v>
      </c>
      <c r="AX167" s="1097">
        <f t="shared" si="197"/>
        <v>2210.0778843768012</v>
      </c>
      <c r="AY167" s="1110">
        <f t="shared" si="198"/>
        <v>30710.24643106791</v>
      </c>
      <c r="AZ167" s="429">
        <f t="shared" si="199"/>
        <v>21635.711395999999</v>
      </c>
      <c r="BA167" s="431">
        <f t="shared" si="200"/>
        <v>25962.853675199996</v>
      </c>
      <c r="BB167" s="1097">
        <f>(AM167*(1+$FB$9)+$FB$35)*(1+(INDEX(绊状态确认!$T:$T,MATCH($G167,绊状态确认!$B:$B,))+0.2)*AO167)*IF(J167=$FF$17,1+$FE$17,1)*IF(I167=$FF$14,1+$FE$14,1)*(1+$FE$15)</f>
        <v>25069.434080080002</v>
      </c>
      <c r="BC167" s="1097">
        <f>(AN167*(1+$FB$10)+$FB$36)*(1+(INDEX(绊状态确认!$T:$T,MATCH($G167,绊状态确认!$B:$B,))+0.2)*AO167)*IF(J167=$FF$17,1+$FE$17,1)*IF(I167=$FF$14,1+$FE$14,1)*(1+$FE$15)</f>
        <v>17082.351829919997</v>
      </c>
      <c r="BD167" s="1104">
        <f>MIN(AT167*0.15+BC167*0.00003+INDEX(绊状态确认!M:M,MATCH($G167,绊状态确认!$B:$B,)),1)</f>
        <v>0.54247055489759999</v>
      </c>
      <c r="BE167" s="432">
        <f>(INDEX(绊状态确认!$N:$N,MATCH($G167,绊状态确认!$B:$B,))+1.5)</f>
        <v>1.9</v>
      </c>
      <c r="BF167" s="1139">
        <f t="array" ref="BF167">SUMPRODUCT(IF(AZ167*AP167*$FI$16:$FI$23*$FA$22&gt;=$FI$24,$FI$24,AZ167*AP167*$FI$16:$FI$23*$FA$22),$FJ$16:$FJ$23)</f>
        <v>43033.429966644006</v>
      </c>
      <c r="BG167" s="1125">
        <f t="array" ref="BG167">SUMPRODUCT(IF(BE167*AZ167*AP167*$FI$16:$FI$23*$FA$22&gt;=$FI$24,$FI$24,BE167*AZ167*AP167*$FI$16:$FI$23*$FA$22),$FJ$16:$FJ$23)</f>
        <v>60000</v>
      </c>
      <c r="BH167" s="1110">
        <f t="shared" si="201"/>
        <v>17412.431542449209</v>
      </c>
      <c r="BI167" s="1111">
        <f>IF(O167="vo",$EW$26/$EW$24*0.05,0)+IF(O167="sk",-$EW$26/$EW$24*(0.05-INDEX(绊状态确认!W:W,MATCH($G167,绊状态确认!$B:$B,)))+0.05*$EW$28,0)+IF(O167="sp",0.05*$EW$32*$EW$30*(1-$EW$33)-(0.05-INDEX(绊状态确认!V:V,MATCH($G167,绊状态确认!$B:$B,)))*$EW$28,0)+IF(O167="gd",-(0.05-INDEX(绊状态确认!X:X,MATCH($G167,绊状态确认!$B:$B,)))*$EW$32*$EW$30*(1-$EW$33),0)</f>
        <v>-585.00000000000011</v>
      </c>
      <c r="BJ167" s="1097">
        <f>IF(O167="vo",0.05*(1-$FI$26)*$FA$24,0)+IF(O167="sk",-(0.05-INDEX(绊状态确认!W:W,MATCH($G167,绊状态确认!$B:$B,)))*(1-$FI$26)*$FA$24+0.05*$FA$26,0)+IF(O167="sp",0.05*$FA$32*$FA$27*(1-$FA$33)/$FA$30+0.05*$FA$29/$FA$69*$FA$27*(1-$FA$33)-(0.05-INDEX(绊状态确认!V:V,MATCH($G167,绊状态确认!$B:$B,)))*$FA$26,0)+IF(O167="gd",-(0.05-INDEX(绊状态确认!X:X,MATCH($G167,绊状态确认!$B:$B,)))*$FA$32*$FA$27*(1-$FA$33)/$FA$30-(0.05-INDEX(绊状态确认!X:X,MATCH($G167,绊状态确认!$B:$B,)))*$FA$29/$FA$69*$FA$27*(1-$FA$33),0)</f>
        <v>-795.00000000000011</v>
      </c>
      <c r="BK167" s="1110">
        <f>IF(O167="vo",$EW$26/$EW$24*0.05+$EW$26*(-HP($EW$62,$EW$65,$EW$64)+HP($EW$62,$EW$65,(1.05-INDEX(绊状态确认!U:U,MATCH($G167,绊状态确认!$B:$B,)))*$EW$64)),0)+IF(O167="sk",-$EW$26/$EW$24*(0.05-INDEX(绊状态确认!W:W,MATCH($G167,绊状态确认!$B:$B,)))+0.05*$EW$29,0)+IF(O167="sp",0.05*$EW$32*$EW$30*(1-$EW$33)-(0.05-INDEX(绊状态确认!V:V,MATCH($G167,绊状态确认!$B:$B,)))*$EW$29,0)+IF(O167="gd",-(0.05-INDEX(绊状态确认!X:X,MATCH($G167,绊状态确认!$B:$B,)))*$EW$32*$EW$30*(1-$EW$33)+$EW$26*(-HP($EW$62,$EW$65,$EW$64)+HP($EW$62,$EW$65,0.95*$EW$64)),0)</f>
        <v>1009.5947725176144</v>
      </c>
      <c r="BL167" s="1111">
        <f t="shared" si="202"/>
        <v>0</v>
      </c>
      <c r="BM167" s="1110">
        <f t="shared" si="203"/>
        <v>0</v>
      </c>
      <c r="BN167" s="1113">
        <f t="shared" si="204"/>
        <v>4</v>
      </c>
      <c r="BO167" s="1097">
        <f t="shared" si="205"/>
        <v>6010.2953161679998</v>
      </c>
      <c r="BP167" s="1100">
        <f t="shared" si="206"/>
        <v>295.12137612040135</v>
      </c>
      <c r="BQ167" s="1113" t="s">
        <v>144</v>
      </c>
      <c r="BR167" s="1124" t="s">
        <v>150</v>
      </c>
      <c r="BS167" s="1098">
        <f>IF($P167="","N/A",IF($P167=-1,INDEX('卡片raw data'!AX:AX,MATCH($D167,'卡片raw data'!$F:$F,)),0)+IF($L167="party卡",IF($P167=5,INDEX('卡片raw data'!BD:BD,MATCH($D167,'卡片raw data'!$F:$F,)),IF($P167&gt;=3,INDEX('卡片raw data'!BC:BC,MATCH($D167,'卡片raw data'!$F:$F,)),INDEX('卡片raw data'!BB:BB,MATCH($D167,'卡片raw data'!$F:$F,)))),IF(OR(AND($F167="UR",$P167=0),AND($F167="SR",$P167&gt;=0,$P167&lt;=2),AND($F167="R",$P167&gt;=0,$P167&lt;4)),INDEX('卡片raw data'!AZ:AZ,MATCH($D167,'卡片raw data'!$F:$F,)),0)+IF(OR(AND($F167="UR",$P167&gt;=1,$P167&lt;=4),AND($F167="SR",$P167&lt;=4,$P167&gt;=3),AND($F167="R",$P167=4)),INDEX('卡片raw data'!BA:BA,MATCH($D167,'卡片raw data'!$F:$F,)),0)+IF($P167=5,INDEX('卡片raw data'!BB:BB,MATCH($D167,'卡片raw data'!$F:$F,)),0)))</f>
        <v>5.1999999999999998E-2</v>
      </c>
      <c r="BT167" s="1101">
        <f t="shared" si="207"/>
        <v>0</v>
      </c>
      <c r="BU167" s="1097">
        <f t="shared" si="208"/>
        <v>0</v>
      </c>
      <c r="BV167" s="1097">
        <f t="shared" si="209"/>
        <v>0</v>
      </c>
      <c r="BW167" s="1112">
        <f t="shared" si="210"/>
        <v>0.91301785714285688</v>
      </c>
      <c r="BX167" s="1100">
        <f t="shared" si="211"/>
        <v>71.218434201013594</v>
      </c>
      <c r="BY167" s="1110">
        <f t="shared" si="212"/>
        <v>71.218434201013594</v>
      </c>
      <c r="BZ167" s="1107" t="s">
        <v>569</v>
      </c>
      <c r="CA167" s="1124"/>
      <c r="CB167" s="1098">
        <f>IF($P167="","N/A",IF($P167=-1,INDEX('卡片raw data'!BE:BE,MATCH($D167,'卡片raw data'!$F:$F,)),0)+IF($L167="party卡",IF($P167=5,INDEX('卡片raw data'!BK:BK,MATCH($D167,'卡片raw data'!$F:$F,)),IF($P167&gt;=3,INDEX('卡片raw data'!BJ:BJ,MATCH($D167,'卡片raw data'!$F:$F,)),INDEX('卡片raw data'!BI:BI,MATCH($D167,'卡片raw data'!$F:$F,)))),IF(OR(AND($F167="UR",$P167=0),AND($F167="SR",$P167&gt;=0,$P167&lt;=2),AND($F167="R",$P167&gt;=0,$P167&lt;4)),INDEX('卡片raw data'!BG:BG,MATCH($D167,'卡片raw data'!$F:$F,)),0)+IF(OR(AND($F167="UR",$P167&gt;=1,$P167&lt;=4),AND($F167="SR",$P167&lt;=4,$P167&gt;=3),AND($F167="R",$P167=4)),INDEX('卡片raw data'!BH:BH,MATCH($D167,'卡片raw data'!$F:$F,)),0)+IF($P167=5,INDEX('卡片raw data'!BI:BI,MATCH($D167,'卡片raw data'!$F:$F,)),0)))</f>
        <v>0</v>
      </c>
      <c r="CC167" s="1101">
        <f t="shared" si="213"/>
        <v>0</v>
      </c>
      <c r="CD167" s="1097">
        <f>IF(BZ167="ap",CB167*(1-$FI$26)*$FB$5/$FB$11*(+IF(CA167="全员",$FA$24,0)+IF(CA167="同作战",$FA$24,0)+IF(CA167="仲间",$FA$24*2/3,0)+IF(CA167="同属性",$FA$24*$FA$37/3,0)+IF(CA167="同年级",$FA$24*$FA$40/3,0)+IF(CA167="同学校",$FA$24*$FA$43/3,0)+IF(CA167="同小队",$FA$24*$FA$46/3,0)+IF(CA167="同type",$FA$24*INDEX($FB$49:$FB$52,MATCH(X167,$FA$49:$FA$52,))/3,0)+IF(CA167="自身",#REF!/3,0)),0)+IF(BZ167="te",CB167*(1-$FI$27)*($FA$20-1)*$FB$7/$FB$13*(+IF(CA167="全员",$FA$19*$FA$24/(1+($FA$20-1)*$FA$19),0)+IF(CA167="同作战",$FA$19*$FA$24/(1+($FA$20-1)*$FA$19),0)+IF(CA167="仲间",$FA$19*$FA$24*2/3/(1+($FA$20-1)*$FA$19),0)+IF(CA167="同属性",$FA$19*$FA$24*$FA$37/3/(1+($FA$20-1)*$FA$19),0)+IF(CA167="同年级",$FA$19*$FA$24*$FA$40/3/(1+($FA$20-1)*$FA$19),0)+IF(CA167="同学校",$FA$19*$FA$24*$FA$43/3/(1+($FA$20-1)*$FA$19),0)+IF(CA167="同小队",$FA$19*$FA$24*$FA$46/3/(1+($FA$20-1)*$FA$19),0)+IF(CA167="同type",$FA$19*$FA$24*INDEX($FB$49:$FB$52,MATCH(X167,$FA$49:$FA$52,))/3/(1+($FA$20-1)*$FA$19),0)+IF(CA167="自身",$FA$19*#REF!/3/(1+(BH167-1)*$BD167),0)),0)</f>
        <v>0</v>
      </c>
      <c r="CE167" s="1097">
        <f t="shared" si="214"/>
        <v>0</v>
      </c>
      <c r="CF167" s="1112">
        <f t="shared" si="215"/>
        <v>0</v>
      </c>
      <c r="CG167" s="1100">
        <f t="shared" si="216"/>
        <v>0</v>
      </c>
      <c r="CH167" s="1110">
        <f t="shared" si="217"/>
        <v>0</v>
      </c>
      <c r="CI167" s="1113" t="s">
        <v>288</v>
      </c>
      <c r="CJ167" s="1114">
        <v>0.1</v>
      </c>
      <c r="CK167" s="1115" t="s">
        <v>635</v>
      </c>
      <c r="CL167" s="1115" t="s">
        <v>1944</v>
      </c>
      <c r="CM167" s="1119">
        <v>0.05</v>
      </c>
      <c r="CN167" s="1115"/>
      <c r="CO167" s="1092"/>
      <c r="CP167" s="1116">
        <f t="shared" si="218"/>
        <v>81.475660760260013</v>
      </c>
      <c r="CQ167" s="1116">
        <f t="shared" si="219"/>
        <v>75.208302240240002</v>
      </c>
      <c r="CR167" s="1116">
        <f t="shared" si="220"/>
        <v>81.475660760260013</v>
      </c>
      <c r="CS167" s="1118">
        <f t="shared" si="221"/>
        <v>0</v>
      </c>
      <c r="CT167" s="1109">
        <f t="shared" si="222"/>
        <v>0</v>
      </c>
      <c r="CU167" s="1101">
        <f t="shared" si="223"/>
        <v>0</v>
      </c>
      <c r="CV167" s="1108">
        <f t="shared" si="224"/>
        <v>0</v>
      </c>
      <c r="CW167" s="1097">
        <f t="shared" si="225"/>
        <v>0</v>
      </c>
      <c r="CX167" s="1097">
        <f t="shared" si="226"/>
        <v>0</v>
      </c>
      <c r="CY167" s="1110">
        <f t="shared" si="227"/>
        <v>7578.7322375851863</v>
      </c>
      <c r="CZ167" s="437"/>
      <c r="DA167" s="438"/>
      <c r="DB167" s="439" t="s">
        <v>569</v>
      </c>
      <c r="DC167" s="439"/>
      <c r="DD167" s="443"/>
      <c r="DE167" s="411"/>
      <c r="DF167" s="411"/>
      <c r="DG167" s="1116">
        <f t="shared" si="228"/>
        <v>0</v>
      </c>
      <c r="DH167" s="1116">
        <f t="shared" si="229"/>
        <v>0</v>
      </c>
      <c r="DI167" s="1116">
        <f t="shared" si="230"/>
        <v>0</v>
      </c>
      <c r="DJ167" s="442">
        <f t="shared" si="231"/>
        <v>0</v>
      </c>
      <c r="DK167" s="1109">
        <f t="shared" si="232"/>
        <v>0</v>
      </c>
      <c r="DL167" s="1101">
        <f t="shared" si="233"/>
        <v>0</v>
      </c>
      <c r="DM167" s="1097">
        <f t="shared" si="234"/>
        <v>0</v>
      </c>
      <c r="DN167" s="1097">
        <f t="shared" si="235"/>
        <v>0</v>
      </c>
      <c r="DO167" s="1097">
        <f t="shared" si="236"/>
        <v>0</v>
      </c>
      <c r="DP167" s="1110">
        <f t="shared" si="237"/>
        <v>0</v>
      </c>
      <c r="DQ167" s="1113" t="s">
        <v>635</v>
      </c>
      <c r="DR167" s="1120">
        <f t="shared" si="238"/>
        <v>0.33</v>
      </c>
      <c r="DS167" s="1124"/>
      <c r="DT167" s="1093" t="s">
        <v>133</v>
      </c>
      <c r="DU167" s="1093"/>
      <c r="DV167" s="1098">
        <f>IF($P167="","N/A",IF(P167=-1,INDEX('卡片raw data'!AN:AN,MATCH(D167,'卡片raw data'!$F:$F,)),0)+IF(AND(L167&lt;&gt;"party卡",P167&lt;=2,P167&gt;=0),INDEX('卡片raw data'!AP:AP,MATCH(D167,'卡片raw data'!$F:$F,)),0)+IF(OR(AND(L167="party卡",P167&lt;=1),AND(P167&lt;=4,L167&lt;&gt;"party卡",P167&gt;=3)),INDEX('卡片raw data'!AQ:AQ,MATCH(D167,'卡片raw data'!$F:$F,)),0)+IF(OR(P167=5,AND(L167="party卡",P167&gt;=2)),INDEX('卡片raw data'!AR:AR,MATCH(D167,'卡片raw data'!$F:$F,)),0))</f>
        <v>0.4</v>
      </c>
      <c r="DW167" s="1098">
        <f t="shared" si="239"/>
        <v>0.33</v>
      </c>
      <c r="DX167" s="1098">
        <f t="shared" si="240"/>
        <v>0.33</v>
      </c>
      <c r="DY167" s="1125">
        <f t="shared" si="241"/>
        <v>1103.0550995235203</v>
      </c>
      <c r="DZ167" s="1125">
        <f t="shared" si="242"/>
        <v>954.14266108784511</v>
      </c>
      <c r="EA167" s="1098">
        <f t="shared" si="243"/>
        <v>0</v>
      </c>
      <c r="EB167" s="1121">
        <f t="shared" si="244"/>
        <v>0</v>
      </c>
      <c r="EC167" s="1101">
        <f t="shared" si="245"/>
        <v>0</v>
      </c>
      <c r="ED167" s="1097">
        <f t="shared" si="246"/>
        <v>0</v>
      </c>
      <c r="EE167" s="1110">
        <f t="shared" si="247"/>
        <v>48435.03108962375</v>
      </c>
      <c r="EF167" s="1092" t="s">
        <v>711</v>
      </c>
      <c r="EG167" s="1120">
        <f t="shared" si="248"/>
        <v>0.33</v>
      </c>
      <c r="EH167" s="1124"/>
      <c r="EI167" s="1093"/>
      <c r="EJ167" s="1093"/>
      <c r="EK167" s="1097">
        <f>IF($P167="","N/A",IF(P167=-1,INDEX('卡片raw data'!AS:AS,MATCH(D167,'卡片raw data'!$F:$F,)),0)+IF(AND(L167&lt;&gt;"party卡",P167&lt;=2,P167&gt;=0),INDEX('卡片raw data'!AU:AU,MATCH(D167,'卡片raw data'!$F:$F,)),0)+IF(OR(AND(L167="party卡",P167&lt;=1),AND(P167&lt;=4,L167&lt;&gt;"party卡",P167&gt;=3)),INDEX('卡片raw data'!AV:AV,MATCH(D167,'卡片raw data'!$F:$F,)),0)+IF(OR(P167=5,AND(L167="party卡",P167&gt;=2)),INDEX('卡片raw data'!AW:AW,MATCH(D167,'卡片raw data'!$F:$F,)),0))</f>
        <v>0</v>
      </c>
      <c r="EL167" s="1098">
        <f t="shared" si="249"/>
        <v>0.33</v>
      </c>
      <c r="EM167" s="1098">
        <f t="shared" si="250"/>
        <v>0.33</v>
      </c>
      <c r="EN167" s="1125">
        <f t="shared" si="251"/>
        <v>0</v>
      </c>
      <c r="EO167" s="1125">
        <f t="shared" si="252"/>
        <v>0</v>
      </c>
      <c r="EP167" s="1098">
        <f t="shared" si="253"/>
        <v>0</v>
      </c>
      <c r="EQ167" s="1121">
        <f t="shared" si="254"/>
        <v>0</v>
      </c>
      <c r="ER167" s="1101">
        <f t="shared" si="255"/>
        <v>0</v>
      </c>
      <c r="ES167" s="1097">
        <f t="shared" si="256"/>
        <v>0</v>
      </c>
      <c r="ET167" s="1122">
        <f t="shared" si="257"/>
        <v>0</v>
      </c>
    </row>
    <row r="168" spans="2:150" ht="16.5" customHeight="1">
      <c r="B168" s="1123" t="str">
        <f>INDEX('卡片raw data'!B:B,MATCH($D168,'卡片raw data'!$F:$F,))</f>
        <v>彩虹霞</v>
      </c>
      <c r="C168" s="449" t="s">
        <v>69</v>
      </c>
      <c r="D168" s="408">
        <v>165</v>
      </c>
      <c r="E168" s="1090">
        <v>302022001</v>
      </c>
      <c r="F168" s="1090" t="str">
        <f>INDEX('卡片raw data'!C:C,MATCH($D168,'卡片raw data'!$F:$F,))</f>
        <v>SR</v>
      </c>
      <c r="G168" s="1094" t="s">
        <v>352</v>
      </c>
      <c r="H168" s="411">
        <f>IFERROR(INDEX(绊状态确认!C:C,MATCH($G168,绊状态确认!$B:$B,)),"")</f>
        <v>202</v>
      </c>
      <c r="I168" s="450" t="str">
        <f>IFERROR(INDEX(绊状态确认!D:D,MATCH($G168,绊状态确认!$B:$B,)),"")</f>
        <v>虹</v>
      </c>
      <c r="J168" s="450" t="str">
        <f>IFERROR(INDEX(绊状态确认!E:E,MATCH($G168,绊状态确认!$B:$B,)),"")</f>
        <v>1年级</v>
      </c>
      <c r="K168" s="451" t="str">
        <f>IFERROR(INDEX(绊状态确认!F:F,MATCH($G168,绊状态确认!$B:$B,)),"")</f>
        <v>QU4RTZ</v>
      </c>
      <c r="L168" s="1094" t="str">
        <f>INDEX('卡片raw data'!E:E,MATCH($D168,'卡片raw data'!$F:$F,))</f>
        <v>卡池卡</v>
      </c>
      <c r="M168" s="415">
        <v>43861</v>
      </c>
      <c r="N168" s="416">
        <v>8.5</v>
      </c>
      <c r="O168" s="1091" t="str">
        <f>INDEX('卡片raw data'!D:D,MATCH($D168,'卡片raw data'!$F:$F,))</f>
        <v>sp</v>
      </c>
      <c r="P168" s="417">
        <v>5</v>
      </c>
      <c r="Q168" s="1095">
        <f t="shared" si="173"/>
        <v>29687.100504474365</v>
      </c>
      <c r="R168" s="1096">
        <f t="shared" si="174"/>
        <v>0.34499999999999997</v>
      </c>
      <c r="S168" s="1097">
        <f t="shared" si="175"/>
        <v>17334.152554576776</v>
      </c>
      <c r="T168" s="1098">
        <f t="shared" si="176"/>
        <v>0.86599999999999999</v>
      </c>
      <c r="U168" s="1099">
        <f t="shared" si="177"/>
        <v>10.926199040082857</v>
      </c>
      <c r="V168" s="1100">
        <f t="shared" si="178"/>
        <v>28756.829803022974</v>
      </c>
      <c r="W168" s="1101">
        <f t="shared" si="179"/>
        <v>5186.8826267396244</v>
      </c>
      <c r="X168" s="1096">
        <f t="shared" si="180"/>
        <v>0.06</v>
      </c>
      <c r="Y168" s="1097">
        <f t="shared" si="181"/>
        <v>869.72929854861013</v>
      </c>
      <c r="Z168" s="1102">
        <f t="shared" si="182"/>
        <v>10.926199040082857</v>
      </c>
      <c r="AA168" s="1103">
        <f t="shared" si="183"/>
        <v>6056.6119252882345</v>
      </c>
      <c r="AB168" s="1101">
        <f t="shared" si="184"/>
        <v>5775.7251292673936</v>
      </c>
      <c r="AC168" s="1104">
        <f t="shared" si="185"/>
        <v>6.7000000000000004E-2</v>
      </c>
      <c r="AD168" s="1105">
        <f t="shared" si="186"/>
        <v>-1.872193865740741E-2</v>
      </c>
      <c r="AE168" s="1128">
        <f t="shared" si="187"/>
        <v>41.888745866975214</v>
      </c>
      <c r="AF168" s="1130">
        <f t="shared" si="188"/>
        <v>0</v>
      </c>
      <c r="AG168" s="420">
        <f t="shared" si="189"/>
        <v>0</v>
      </c>
      <c r="AH168" s="420">
        <f t="shared" si="190"/>
        <v>0</v>
      </c>
      <c r="AI168" s="1097">
        <f t="shared" si="191"/>
        <v>0</v>
      </c>
      <c r="AJ168" s="420">
        <f t="shared" si="192"/>
        <v>0</v>
      </c>
      <c r="AK168" s="518">
        <f t="shared" si="193"/>
        <v>0</v>
      </c>
      <c r="AL168" s="1106">
        <f>IF($P168="","N/A",(IF($P168=-1,INDEX('卡片raw data'!S:S,MATCH($D168,'卡片raw data'!$F:$F,)),0)+IF($P168=0,INDEX('卡片raw data'!V:V,MATCH($D168,'卡片raw data'!$F:$F,)),0)+IF($P168=1,INDEX('卡片raw data'!Y:Y,MATCH($D168,'卡片raw data'!$F:$F,)),0)+IF($P168=2,INDEX('卡片raw data'!AB:AB,MATCH($D168,'卡片raw data'!$F:$F,)),0)+IF($P168=3,INDEX('卡片raw data'!AE:AE,MATCH($D168,'卡片raw data'!$F:$F,)),0)+IF($P168=4,INDEX('卡片raw data'!AH:AH,MATCH($D168,'卡片raw data'!$F:$F,)),0)+IF($P168=5,INDEX('卡片raw data'!AK:AK,MATCH($D168,'卡片raw data'!$F:$F,)),0)+INDEX('卡片raw data'!S:S,MATCH($D168,'卡片raw data'!$F:$F,))*(IF($F168="UR",0.04,0.033))*(IF($F168="UR",INDEX(绊状态确认!$S:$S,MATCH($G168,绊状态确认!$B:$B,))/2-40)+IF($F168="SR",INDEX(绊状态确认!$R:$R,MATCH($G168,绊状态确认!$B:$B,))/4-15))+IF($F168="R",INDEX(绊状态确认!$Q:$Q,MATCH($G168,绊状态确认!$B:$B,))/6-40/6)))*(INDEX(绊状态确认!$H:$H,MATCH($G168,绊状态确认!$B:$B,))+INDEX(绊状态确认!J:J,MATCH($G168,绊状态确认!$B:$B,)))</f>
        <v>8235.4976183999988</v>
      </c>
      <c r="AM168" s="1106">
        <f>IF($P168="","N/A",(IF($P168=-1,INDEX('卡片raw data'!T:T,MATCH($D168,'卡片raw data'!$F:$F,)),0)+IF($P168=0,INDEX('卡片raw data'!W:W,MATCH($D168,'卡片raw data'!$F:$F,)),0)+IF($P168=1,INDEX('卡片raw data'!Z:Z,MATCH($D168,'卡片raw data'!$F:$F,)),0)+IF($P168=2,INDEX('卡片raw data'!AC:AC,MATCH($D168,'卡片raw data'!$F:$F,)),0)+IF($P168=3,INDEX('卡片raw data'!AF:AF,MATCH($D168,'卡片raw data'!$F:$F,)),0)+IF($P168=4,INDEX('卡片raw data'!AI:AI,MATCH($D168,'卡片raw data'!$F:$F,)),0)+IF($P168=5,INDEX('卡片raw data'!AL:AL,MATCH($D168,'卡片raw data'!$F:$F,)),0)+INDEX('卡片raw data'!T:T,MATCH($D168,'卡片raw data'!$F:$F,))*(IF($F168="UR",0.04,0.033))*(IF($F168="UR",INDEX(绊状态确认!$S:$S,MATCH($G168,绊状态确认!$B:$B,))/2-40)+IF($F168="SR",INDEX(绊状态确认!$R:$R,MATCH($G168,绊状态确认!$B:$B,))/4-15))+IF($F168="R",INDEX(绊状态确认!$Q:$Q,MATCH($G168,绊状态确认!$B:$B,))/6-40/6)))*(INDEX(绊状态确认!$H:$H,MATCH($G168,绊状态确认!$B:$B,))+INDEX(绊状态确认!K:K,MATCH($G168,绊状态确认!$B:$B,)))</f>
        <v>5489.9529455999991</v>
      </c>
      <c r="AN168" s="1106">
        <f>IF($P168="","N/A",(IF($P168=-1,INDEX('卡片raw data'!U:U,MATCH($D168,'卡片raw data'!$F:$F,)),0)+IF($P168=0,INDEX('卡片raw data'!X:X,MATCH($D168,'卡片raw data'!$F:$F,)),0)+IF($P168=1,INDEX('卡片raw data'!AA:AA,MATCH($D168,'卡片raw data'!$F:$F,)),0)+IF($P168=2,INDEX('卡片raw data'!AD:AD,MATCH($D168,'卡片raw data'!$F:$F,)),0)+IF($P168=3,INDEX('卡片raw data'!AG:AG,MATCH($D168,'卡片raw data'!$F:$F,)),0)+IF($P168=4,INDEX('卡片raw data'!AJ:AJ,MATCH($D168,'卡片raw data'!$F:$F,)),0)+IF($P168=5,INDEX('卡片raw data'!AM:AM,MATCH($D168,'卡片raw data'!$F:$F,)),0)+INDEX('卡片raw data'!U:U,MATCH($D168,'卡片raw data'!$F:$F,))*(IF($F168="UR",0.04,0.033))*(IF($F168="UR",INDEX(绊状态确认!$S:$S,MATCH($G168,绊状态确认!$B:$B,))/2-40)+IF($F168="SR",INDEX(绊状态确认!$R:$R,MATCH($G168,绊状态确认!$B:$B,))/4-15))+IF($F168="R",INDEX(绊状态确认!$Q:$Q,MATCH($G168,绊状态确认!$B:$B,))/6-40/6)))*(INDEX(绊状态确认!$H:$H,MATCH($G168,绊状态确认!$B:$B,))+INDEX(绊状态确认!L:L,MATCH($G168,绊状态确认!$B:$B,)))</f>
        <v>5883.8291855999996</v>
      </c>
      <c r="AO168" s="1107">
        <f t="shared" si="194"/>
        <v>1</v>
      </c>
      <c r="AP168" s="1131">
        <f>1+(INDEX(绊状态确认!$T:$T,MATCH($G168,绊状态确认!$B:$B,))+0.2)*$AO168</f>
        <v>1.3</v>
      </c>
      <c r="AQ168" s="1108">
        <f t="shared" si="195"/>
        <v>24868.181248299996</v>
      </c>
      <c r="AR168" s="1097">
        <f>(AM168*(1+$EX$9)+$EX$35)*(1+(INDEX(绊状态确认!$T:$T,MATCH($G168,绊状态确认!$B:$B,))+0.2)*AO168)*IF(J168=$FF$17,1+$FE$17,1)*IF(I168=$FF$14,1+$FE$14,1)</f>
        <v>10197.785770744</v>
      </c>
      <c r="AS168" s="1097">
        <f>(AN168*(1+$EX$10)+$EX$36)*(1+(INDEX(绊状态确认!$T:$T,MATCH($G168,绊状态确认!$B:$B,))+0.2)*AO168)*IF(J168=$FF$17,1+$FE$17,1)*IF(I168=$FF$14,1+$FE$14,1)</f>
        <v>12852.324632471998</v>
      </c>
      <c r="AT168" s="1093">
        <f>IF(AND(INDEX('卡片raw data'!AK:AK,MATCH($D168,'卡片raw data'!$F:$F,))&lt;INDEX('卡片raw data'!AM:AM,MATCH($D168,'卡片raw data'!$F:$F,)),INDEX('卡片raw data'!AL:AL,MATCH($D168,'卡片raw data'!$F:$F,))&lt;INDEX('卡片raw data'!AM:AM,MATCH($D168,'卡片raw data'!$F:$F,))),1,0)</f>
        <v>0</v>
      </c>
      <c r="AU168" s="1098">
        <f>MIN(AT168*0.15+AS168*0.00003+INDEX(绊状态确认!M:M,MATCH($G168,绊状态确认!$B:$B,)),1)</f>
        <v>0.41556973897416</v>
      </c>
      <c r="AV168" s="1109">
        <f>(INDEX(绊状态确认!$N:$N,MATCH($G168,绊状态确认!$B:$B,))+1.5)*$EW$21</f>
        <v>2.6599999999999997</v>
      </c>
      <c r="AW168" s="1101">
        <f t="shared" si="196"/>
        <v>21824.708708540304</v>
      </c>
      <c r="AX168" s="1097">
        <f t="shared" si="197"/>
        <v>869.72929854861013</v>
      </c>
      <c r="AY168" s="1110">
        <f t="shared" si="198"/>
        <v>22694.438007088913</v>
      </c>
      <c r="AZ168" s="429">
        <f t="shared" si="199"/>
        <v>18659.220355879996</v>
      </c>
      <c r="BA168" s="431">
        <f t="shared" si="200"/>
        <v>22391.064427055993</v>
      </c>
      <c r="BB168" s="1097">
        <f>(AM168*(1+$FB$9)+$FB$35)*(1+(INDEX(绊状态确认!$T:$T,MATCH($G168,绊状态确认!$B:$B,))+0.2)*AO168)*IF(J168=$FF$17,1+$FE$17,1)*IF(I168=$FF$14,1+$FE$14,1)*(1+$FE$15)</f>
        <v>10197.785770744</v>
      </c>
      <c r="BC168" s="1097">
        <f>(AN168*(1+$FB$10)+$FB$36)*(1+(INDEX(绊状态确认!$T:$T,MATCH($G168,绊状态确认!$B:$B,))+0.2)*AO168)*IF(J168=$FF$17,1+$FE$17,1)*IF(I168=$FF$14,1+$FE$14,1)*(1+$FE$15)</f>
        <v>12852.324632471998</v>
      </c>
      <c r="BD168" s="1104">
        <f>MIN(AT168*0.15+BC168*0.00003+INDEX(绊状态确认!M:M,MATCH($G168,绊状态确认!$B:$B,)),1)</f>
        <v>0.41556973897416</v>
      </c>
      <c r="BE168" s="432">
        <f>(INDEX(绊状态确认!$N:$N,MATCH($G168,绊状态确认!$B:$B,))+1.5)</f>
        <v>1.9</v>
      </c>
      <c r="BF168" s="1139">
        <f t="array" ref="BF168">SUMPRODUCT(IF(AZ168*AP168*$FI$16:$FI$23*$FA$22&gt;=$FI$24,$FI$24,AZ168*AP168*$FI$16:$FI$23*$FA$22),$FJ$16:$FJ$23)</f>
        <v>37113.189287845315</v>
      </c>
      <c r="BG168" s="1125">
        <f t="array" ref="BG168">SUMPRODUCT(IF(BE168*AZ168*AP168*$FI$16:$FI$23*$FA$22&gt;=$FI$24,$FI$24,BE168*AZ168*AP168*$FI$16:$FI$23*$FA$22),$FJ$16:$FJ$23)</f>
        <v>59522.068569755895</v>
      </c>
      <c r="BH168" s="1110">
        <f t="shared" si="201"/>
        <v>15475.213800577452</v>
      </c>
      <c r="BI168" s="1111">
        <f>IF(O168="vo",$EW$26/$EW$24*0.05,0)+IF(O168="sk",-$EW$26/$EW$24*(0.05-INDEX(绊状态确认!W:W,MATCH($G168,绊状态确认!$B:$B,)))+0.05*$EW$28,0)+IF(O168="sp",0.05*$EW$32*$EW$30*(1-$EW$33)-(0.05-INDEX(绊状态确认!V:V,MATCH($G168,绊状态确认!$B:$B,)))*$EW$28,0)+IF(O168="gd",-(0.05-INDEX(绊状态确认!X:X,MATCH($G168,绊状态确认!$B:$B,)))*$EW$32*$EW$30*(1-$EW$33),0)</f>
        <v>19.999999999999886</v>
      </c>
      <c r="BJ168" s="1097">
        <f>IF(O168="vo",0.05*(1-$FI$26)*$FA$24,0)+IF(O168="sk",-(0.05-INDEX(绊状态确认!W:W,MATCH($G168,绊状态确认!$B:$B,)))*(1-$FI$26)*$FA$24+0.05*$FA$26,0)+IF(O168="sp",0.05*$FA$32*$FA$27*(1-$FA$33)/$FA$30+0.05*$FA$29/$FA$69*$FA$27*(1-$FA$33)-(0.05-INDEX(绊状态确认!V:V,MATCH($G168,绊状态确认!$B:$B,)))*$FA$26,0)+IF(O168="gd",-(0.05-INDEX(绊状态确认!X:X,MATCH($G168,绊状态确认!$B:$B,)))*$FA$32*$FA$27*(1-$FA$33)/$FA$30-(0.05-INDEX(绊状态确认!X:X,MATCH($G168,绊状态确认!$B:$B,)))*$FA$29/$FA$69*$FA$27*(1-$FA$33),0)</f>
        <v>545.83333333333326</v>
      </c>
      <c r="BK168" s="1110">
        <f>IF(O168="vo",$EW$26/$EW$24*0.05+$EW$26*(-HP($EW$62,$EW$65,$EW$64)+HP($EW$62,$EW$65,(1.05-INDEX(绊状态确认!U:U,MATCH($G168,绊状态确认!$B:$B,)))*$EW$64)),0)+IF(O168="sk",-$EW$26/$EW$24*(0.05-INDEX(绊状态确认!W:W,MATCH($G168,绊状态确认!$B:$B,)))+0.05*$EW$29,0)+IF(O168="sp",0.05*$EW$32*$EW$30*(1-$EW$33)-(0.05-INDEX(绊状态确认!V:V,MATCH($G168,绊状态确认!$B:$B,)))*$EW$29,0)+IF(O168="gd",-(0.05-INDEX(绊状态确认!X:X,MATCH($G168,绊状态确认!$B:$B,)))*$EW$32*$EW$30*(1-$EW$33)+$EW$26*(-HP($EW$62,$EW$65,$EW$64)+HP($EW$62,$EW$65,0.95*$EW$64)),0)</f>
        <v>-1780.0000000000005</v>
      </c>
      <c r="BL168" s="1111">
        <f t="shared" si="202"/>
        <v>-1083.3333333333333</v>
      </c>
      <c r="BM168" s="1110">
        <f t="shared" si="203"/>
        <v>-830.55555555555543</v>
      </c>
      <c r="BN168" s="1113">
        <f t="shared" si="204"/>
        <v>3</v>
      </c>
      <c r="BO168" s="1097">
        <f t="shared" si="205"/>
        <v>4507.7214871259994</v>
      </c>
      <c r="BP168" s="1100">
        <f t="shared" si="206"/>
        <v>221.34103209030098</v>
      </c>
      <c r="BQ168" s="1113" t="s">
        <v>626</v>
      </c>
      <c r="BR168" s="1124" t="s">
        <v>150</v>
      </c>
      <c r="BS168" s="1098">
        <f>IF($P168="","N/A",IF($P168=-1,INDEX('卡片raw data'!AX:AX,MATCH($D168,'卡片raw data'!$F:$F,)),0)+IF($L168="party卡",IF($P168=5,INDEX('卡片raw data'!BD:BD,MATCH($D168,'卡片raw data'!$F:$F,)),IF($P168&gt;=3,INDEX('卡片raw data'!BC:BC,MATCH($D168,'卡片raw data'!$F:$F,)),INDEX('卡片raw data'!BB:BB,MATCH($D168,'卡片raw data'!$F:$F,)))),IF(OR(AND($F168="UR",$P168=0),AND($F168="SR",$P168&gt;=0,$P168&lt;=2),AND($F168="R",$P168&gt;=0,$P168&lt;4)),INDEX('卡片raw data'!AZ:AZ,MATCH($D168,'卡片raw data'!$F:$F,)),0)+IF(OR(AND($F168="UR",$P168&gt;=1,$P168&lt;=4),AND($F168="SR",$P168&lt;=4,$P168&gt;=3),AND($F168="R",$P168=4)),INDEX('卡片raw data'!BA:BA,MATCH($D168,'卡片raw data'!$F:$F,)),0)+IF($P168=5,INDEX('卡片raw data'!BB:BB,MATCH($D168,'卡片raw data'!$F:$F,)),0)))</f>
        <v>3.2000000000000001E-2</v>
      </c>
      <c r="BT168" s="1101">
        <f t="shared" si="207"/>
        <v>1207.397581535334</v>
      </c>
      <c r="BU168" s="1097">
        <f t="shared" si="208"/>
        <v>131.0023936261928</v>
      </c>
      <c r="BV168" s="1097">
        <f t="shared" si="209"/>
        <v>679.16113961362521</v>
      </c>
      <c r="BW168" s="1112">
        <f t="shared" si="210"/>
        <v>0</v>
      </c>
      <c r="BX168" s="1100">
        <f t="shared" si="211"/>
        <v>1207.397581535334</v>
      </c>
      <c r="BY168" s="1110">
        <f t="shared" si="212"/>
        <v>679.16113961362521</v>
      </c>
      <c r="BZ168" s="1107" t="s">
        <v>569</v>
      </c>
      <c r="CA168" s="1124"/>
      <c r="CB168" s="1098">
        <f>IF($P168="","N/A",IF($P168=-1,INDEX('卡片raw data'!BE:BE,MATCH($D168,'卡片raw data'!$F:$F,)),0)+IF($L168="party卡",IF($P168=5,INDEX('卡片raw data'!BK:BK,MATCH($D168,'卡片raw data'!$F:$F,)),IF($P168&gt;=3,INDEX('卡片raw data'!BJ:BJ,MATCH($D168,'卡片raw data'!$F:$F,)),INDEX('卡片raw data'!BI:BI,MATCH($D168,'卡片raw data'!$F:$F,)))),IF(OR(AND($F168="UR",$P168=0),AND($F168="SR",$P168&gt;=0,$P168&lt;=2),AND($F168="R",$P168&gt;=0,$P168&lt;4)),INDEX('卡片raw data'!BG:BG,MATCH($D168,'卡片raw data'!$F:$F,)),0)+IF(OR(AND($F168="UR",$P168&gt;=1,$P168&lt;=4),AND($F168="SR",$P168&lt;=4,$P168&gt;=3),AND($F168="R",$P168=4)),INDEX('卡片raw data'!BH:BH,MATCH($D168,'卡片raw data'!$F:$F,)),0)+IF($P168=5,INDEX('卡片raw data'!BI:BI,MATCH($D168,'卡片raw data'!$F:$F,)),0)))</f>
        <v>0</v>
      </c>
      <c r="CC168" s="1101">
        <f t="shared" si="213"/>
        <v>0</v>
      </c>
      <c r="CD168" s="1097">
        <f>IF(BZ168="ap",CB168*(1-$FI$26)*$FB$5/$FB$11*(+IF(CA168="全员",$FA$24,0)+IF(CA168="同作战",$FA$24,0)+IF(CA168="仲间",$FA$24*2/3,0)+IF(CA168="同属性",$FA$24*$FA$37/3,0)+IF(CA168="同年级",$FA$24*$FA$40/3,0)+IF(CA168="同学校",$FA$24*$FA$43/3,0)+IF(CA168="同小队",$FA$24*$FA$46/3,0)+IF(CA168="同type",$FA$24*INDEX($FB$49:$FB$52,MATCH(X168,$FA$49:$FA$52,))/3,0)+IF(CA168="自身",#REF!/3,0)),0)+IF(BZ168="te",CB168*(1-$FI$27)*($FA$20-1)*$FB$7/$FB$13*(+IF(CA168="全员",$FA$19*$FA$24/(1+($FA$20-1)*$FA$19),0)+IF(CA168="同作战",$FA$19*$FA$24/(1+($FA$20-1)*$FA$19),0)+IF(CA168="仲间",$FA$19*$FA$24*2/3/(1+($FA$20-1)*$FA$19),0)+IF(CA168="同属性",$FA$19*$FA$24*$FA$37/3/(1+($FA$20-1)*$FA$19),0)+IF(CA168="同年级",$FA$19*$FA$24*$FA$40/3/(1+($FA$20-1)*$FA$19),0)+IF(CA168="同学校",$FA$19*$FA$24*$FA$43/3/(1+($FA$20-1)*$FA$19),0)+IF(CA168="同小队",$FA$19*$FA$24*$FA$46/3/(1+($FA$20-1)*$FA$19),0)+IF(CA168="同type",$FA$19*$FA$24*INDEX($FB$49:$FB$52,MATCH(X168,$FA$49:$FA$52,))/3/(1+($FA$20-1)*$FA$19),0)+IF(CA168="自身",$FA$19*#REF!/3/(1+(BH168-1)*$BD168),0)),0)</f>
        <v>0</v>
      </c>
      <c r="CE168" s="1097">
        <f t="shared" si="214"/>
        <v>0</v>
      </c>
      <c r="CF168" s="1112">
        <f t="shared" si="215"/>
        <v>0</v>
      </c>
      <c r="CG168" s="1100">
        <f t="shared" si="216"/>
        <v>0</v>
      </c>
      <c r="CH168" s="1110">
        <f t="shared" si="217"/>
        <v>0</v>
      </c>
      <c r="CI168" s="1113" t="s">
        <v>164</v>
      </c>
      <c r="CJ168" s="1114">
        <v>0.2</v>
      </c>
      <c r="CK168" s="1115" t="s">
        <v>582</v>
      </c>
      <c r="CL168" s="1115" t="s">
        <v>586</v>
      </c>
      <c r="CM168" s="1119">
        <v>0.2</v>
      </c>
      <c r="CN168" s="1115">
        <v>5</v>
      </c>
      <c r="CO168" s="1092"/>
      <c r="CP168" s="1118">
        <f t="shared" si="218"/>
        <v>1.4285714285714286E-3</v>
      </c>
      <c r="CQ168" s="1118">
        <f t="shared" si="219"/>
        <v>2.2222222222222227E-3</v>
      </c>
      <c r="CR168" s="1118">
        <f t="shared" si="220"/>
        <v>0</v>
      </c>
      <c r="CS168" s="1118">
        <f t="shared" si="221"/>
        <v>1.1863425925925924E-3</v>
      </c>
      <c r="CT168" s="1109">
        <f t="shared" si="222"/>
        <v>0</v>
      </c>
      <c r="CU168" s="1101">
        <f t="shared" si="223"/>
        <v>60.606060606060602</v>
      </c>
      <c r="CV168" s="1108">
        <f t="shared" si="224"/>
        <v>50.505050505050519</v>
      </c>
      <c r="CW168" s="1097">
        <f t="shared" si="225"/>
        <v>0</v>
      </c>
      <c r="CX168" s="1097">
        <f t="shared" si="226"/>
        <v>60.606060606060602</v>
      </c>
      <c r="CY168" s="1110">
        <f t="shared" si="227"/>
        <v>0</v>
      </c>
      <c r="CZ168" s="437"/>
      <c r="DA168" s="438"/>
      <c r="DB168" s="439" t="s">
        <v>569</v>
      </c>
      <c r="DC168" s="439"/>
      <c r="DD168" s="443"/>
      <c r="DE168" s="411"/>
      <c r="DF168" s="411"/>
      <c r="DG168" s="1116">
        <f t="shared" si="228"/>
        <v>0</v>
      </c>
      <c r="DH168" s="1116">
        <f t="shared" si="229"/>
        <v>0</v>
      </c>
      <c r="DI168" s="1116">
        <f t="shared" si="230"/>
        <v>0</v>
      </c>
      <c r="DJ168" s="442">
        <f t="shared" si="231"/>
        <v>0</v>
      </c>
      <c r="DK168" s="1109">
        <f t="shared" si="232"/>
        <v>0</v>
      </c>
      <c r="DL168" s="1101">
        <f t="shared" si="233"/>
        <v>0</v>
      </c>
      <c r="DM168" s="1097">
        <f t="shared" si="234"/>
        <v>0</v>
      </c>
      <c r="DN168" s="1097">
        <f t="shared" si="235"/>
        <v>0</v>
      </c>
      <c r="DO168" s="1097">
        <f t="shared" si="236"/>
        <v>0</v>
      </c>
      <c r="DP168" s="1110">
        <f t="shared" si="237"/>
        <v>0</v>
      </c>
      <c r="DQ168" s="1113" t="s">
        <v>549</v>
      </c>
      <c r="DR168" s="1120">
        <f t="shared" si="238"/>
        <v>0.3</v>
      </c>
      <c r="DS168" s="1124"/>
      <c r="DT168" s="1093" t="s">
        <v>179</v>
      </c>
      <c r="DU168" s="1093"/>
      <c r="DV168" s="1098">
        <f>IF($P168="","N/A",IF(P168=-1,INDEX('卡片raw data'!AN:AN,MATCH(D168,'卡片raw data'!$F:$F,)),0)+IF(AND(L168&lt;&gt;"party卡",P168&lt;=2,P168&gt;=0),INDEX('卡片raw data'!AP:AP,MATCH(D168,'卡片raw data'!$F:$F,)),0)+IF(OR(AND(L168="party卡",P168&lt;=1),AND(P168&lt;=4,L168&lt;&gt;"party卡",P168&gt;=3)),INDEX('卡片raw data'!AQ:AQ,MATCH(D168,'卡片raw data'!$F:$F,)),0)+IF(OR(P168=5,AND(L168="party卡",P168&gt;=2)),INDEX('卡片raw data'!AR:AR,MATCH(D168,'卡片raw data'!$F:$F,)),0))</f>
        <v>7.0000000000000007E-2</v>
      </c>
      <c r="DW168" s="1098">
        <f t="shared" si="239"/>
        <v>0.3</v>
      </c>
      <c r="DX168" s="1098">
        <f t="shared" si="240"/>
        <v>0.3</v>
      </c>
      <c r="DY168" s="1098">
        <f t="shared" si="241"/>
        <v>7.0000000000000001E-3</v>
      </c>
      <c r="DZ168" s="1098">
        <f t="shared" si="242"/>
        <v>6.9632499999999998E-3</v>
      </c>
      <c r="EA168" s="1098">
        <f t="shared" si="243"/>
        <v>0</v>
      </c>
      <c r="EB168" s="1121">
        <f t="shared" si="244"/>
        <v>42.663074999999999</v>
      </c>
      <c r="EC168" s="1101">
        <f t="shared" si="245"/>
        <v>3150</v>
      </c>
      <c r="ED168" s="1097">
        <f t="shared" si="246"/>
        <v>1740.8125</v>
      </c>
      <c r="EE168" s="1110">
        <f t="shared" si="247"/>
        <v>3150</v>
      </c>
      <c r="EF168" s="1092" t="s">
        <v>711</v>
      </c>
      <c r="EG168" s="1120">
        <f t="shared" si="248"/>
        <v>0.3</v>
      </c>
      <c r="EH168" s="1124"/>
      <c r="EI168" s="1093"/>
      <c r="EJ168" s="1093"/>
      <c r="EK168" s="1097">
        <f>IF($P168="","N/A",IF(P168=-1,INDEX('卡片raw data'!AS:AS,MATCH(D168,'卡片raw data'!$F:$F,)),0)+IF(AND(L168&lt;&gt;"party卡",P168&lt;=2,P168&gt;=0),INDEX('卡片raw data'!AU:AU,MATCH(D168,'卡片raw data'!$F:$F,)),0)+IF(OR(AND(L168="party卡",P168&lt;=1),AND(P168&lt;=4,L168&lt;&gt;"party卡",P168&gt;=3)),INDEX('卡片raw data'!AV:AV,MATCH(D168,'卡片raw data'!$F:$F,)),0)+IF(OR(P168=5,AND(L168="party卡",P168&gt;=2)),INDEX('卡片raw data'!AW:AW,MATCH(D168,'卡片raw data'!$F:$F,)),0))</f>
        <v>0</v>
      </c>
      <c r="EL168" s="1098">
        <f t="shared" si="249"/>
        <v>0.3</v>
      </c>
      <c r="EM168" s="1098">
        <f t="shared" si="250"/>
        <v>0.3</v>
      </c>
      <c r="EN168" s="1125">
        <f t="shared" si="251"/>
        <v>0</v>
      </c>
      <c r="EO168" s="1125">
        <f t="shared" si="252"/>
        <v>0</v>
      </c>
      <c r="EP168" s="1098">
        <f t="shared" si="253"/>
        <v>0</v>
      </c>
      <c r="EQ168" s="1121">
        <f t="shared" si="254"/>
        <v>0</v>
      </c>
      <c r="ER168" s="1101">
        <f t="shared" si="255"/>
        <v>0</v>
      </c>
      <c r="ES168" s="1097">
        <f t="shared" si="256"/>
        <v>0</v>
      </c>
      <c r="ET168" s="1122">
        <f t="shared" si="257"/>
        <v>0</v>
      </c>
    </row>
    <row r="169" spans="2:150" ht="16.5" customHeight="1">
      <c r="B169" s="1123" t="str">
        <f>INDEX('卡片raw data'!B:B,MATCH($D169,'卡片raw data'!$F:$F,))</f>
        <v>彩虹璃</v>
      </c>
      <c r="C169" s="449" t="s">
        <v>124</v>
      </c>
      <c r="D169" s="408">
        <v>166</v>
      </c>
      <c r="E169" s="1090">
        <v>302092001</v>
      </c>
      <c r="F169" s="1090" t="str">
        <f>INDEX('卡片raw data'!C:C,MATCH($D169,'卡片raw data'!$F:$F,))</f>
        <v>SR</v>
      </c>
      <c r="G169" s="1094" t="s">
        <v>353</v>
      </c>
      <c r="H169" s="411">
        <f>IFERROR(INDEX(绊状态确认!C:C,MATCH($G169,绊状态确认!$B:$B,)),"")</f>
        <v>209</v>
      </c>
      <c r="I169" s="450" t="str">
        <f>IFERROR(INDEX(绊状态确认!D:D,MATCH($G169,绊状态确认!$B:$B,)),"")</f>
        <v>虹</v>
      </c>
      <c r="J169" s="450" t="str">
        <f>IFERROR(INDEX(绊状态确认!E:E,MATCH($G169,绊状态确认!$B:$B,)),"")</f>
        <v>1年级</v>
      </c>
      <c r="K169" s="451" t="str">
        <f>IFERROR(INDEX(绊状态确认!F:F,MATCH($G169,绊状态确认!$B:$B,)),"")</f>
        <v>QU4RTZ</v>
      </c>
      <c r="L169" s="1094" t="str">
        <f>INDEX('卡片raw data'!E:E,MATCH($D169,'卡片raw data'!$F:$F,))</f>
        <v>卡池卡</v>
      </c>
      <c r="M169" s="415">
        <v>43861</v>
      </c>
      <c r="N169" s="416">
        <v>8.5</v>
      </c>
      <c r="O169" s="1091" t="str">
        <f>INDEX('卡片raw data'!D:D,MATCH($D169,'卡片raw data'!$F:$F,))</f>
        <v>sk</v>
      </c>
      <c r="P169" s="417">
        <v>5</v>
      </c>
      <c r="Q169" s="1095">
        <f t="shared" si="173"/>
        <v>17454.929671948314</v>
      </c>
      <c r="R169" s="1096">
        <f t="shared" si="174"/>
        <v>0.20200000000000001</v>
      </c>
      <c r="S169" s="1097">
        <f t="shared" si="175"/>
        <v>12419.8386265805</v>
      </c>
      <c r="T169" s="1098">
        <f t="shared" si="176"/>
        <v>0.62</v>
      </c>
      <c r="U169" s="1099">
        <f t="shared" si="177"/>
        <v>13.796227753062858</v>
      </c>
      <c r="V169" s="1100">
        <f t="shared" si="178"/>
        <v>20559.596779694519</v>
      </c>
      <c r="W169" s="1101">
        <f t="shared" si="179"/>
        <v>5309.0941959483998</v>
      </c>
      <c r="X169" s="1096">
        <f t="shared" si="180"/>
        <v>6.0999999999999999E-2</v>
      </c>
      <c r="Y169" s="1097">
        <f t="shared" si="181"/>
        <v>1104.6671077462042</v>
      </c>
      <c r="Z169" s="1102">
        <f t="shared" si="182"/>
        <v>13.796227753062858</v>
      </c>
      <c r="AA169" s="1103">
        <f t="shared" si="183"/>
        <v>6413.7613036946041</v>
      </c>
      <c r="AB169" s="1101">
        <f t="shared" si="184"/>
        <v>5926.9370818761836</v>
      </c>
      <c r="AC169" s="1104">
        <f t="shared" si="185"/>
        <v>6.8000000000000005E-2</v>
      </c>
      <c r="AD169" s="1105">
        <f t="shared" si="186"/>
        <v>1.8994224431818179E-2</v>
      </c>
      <c r="AE169" s="1128">
        <f t="shared" si="187"/>
        <v>4.3537577047458456</v>
      </c>
      <c r="AF169" s="1130">
        <f t="shared" si="188"/>
        <v>0</v>
      </c>
      <c r="AG169" s="420">
        <f t="shared" si="189"/>
        <v>0</v>
      </c>
      <c r="AH169" s="420">
        <f t="shared" si="190"/>
        <v>0</v>
      </c>
      <c r="AI169" s="1097">
        <f t="shared" si="191"/>
        <v>0</v>
      </c>
      <c r="AJ169" s="420">
        <f t="shared" si="192"/>
        <v>0</v>
      </c>
      <c r="AK169" s="518">
        <f t="shared" si="193"/>
        <v>0</v>
      </c>
      <c r="AL169" s="1106">
        <f>IF($P169="","N/A",(IF($P169=-1,INDEX('卡片raw data'!S:S,MATCH($D169,'卡片raw data'!$F:$F,)),0)+IF($P169=0,INDEX('卡片raw data'!V:V,MATCH($D169,'卡片raw data'!$F:$F,)),0)+IF($P169=1,INDEX('卡片raw data'!Y:Y,MATCH($D169,'卡片raw data'!$F:$F,)),0)+IF($P169=2,INDEX('卡片raw data'!AB:AB,MATCH($D169,'卡片raw data'!$F:$F,)),0)+IF($P169=3,INDEX('卡片raw data'!AE:AE,MATCH($D169,'卡片raw data'!$F:$F,)),0)+IF($P169=4,INDEX('卡片raw data'!AH:AH,MATCH($D169,'卡片raw data'!$F:$F,)),0)+IF($P169=5,INDEX('卡片raw data'!AK:AK,MATCH($D169,'卡片raw data'!$F:$F,)),0)+INDEX('卡片raw data'!S:S,MATCH($D169,'卡片raw data'!$F:$F,))*(IF($F169="UR",0.04,0.033))*(IF($F169="UR",INDEX(绊状态确认!$S:$S,MATCH($G169,绊状态确认!$B:$B,))/2-40)+IF($F169="SR",INDEX(绊状态确认!$R:$R,MATCH($G169,绊状态确认!$B:$B,))/4-15))+IF($F169="R",INDEX(绊状态确认!$Q:$Q,MATCH($G169,绊状态确认!$B:$B,))/6-40/6)))*(INDEX(绊状态确认!$H:$H,MATCH($G169,绊状态确认!$B:$B,))+INDEX(绊状态确认!J:J,MATCH($G169,绊状态确认!$B:$B,)))</f>
        <v>5883.8291855999996</v>
      </c>
      <c r="AM169" s="1106">
        <f>IF($P169="","N/A",(IF($P169=-1,INDEX('卡片raw data'!T:T,MATCH($D169,'卡片raw data'!$F:$F,)),0)+IF($P169=0,INDEX('卡片raw data'!W:W,MATCH($D169,'卡片raw data'!$F:$F,)),0)+IF($P169=1,INDEX('卡片raw data'!Z:Z,MATCH($D169,'卡片raw data'!$F:$F,)),0)+IF($P169=2,INDEX('卡片raw data'!AC:AC,MATCH($D169,'卡片raw data'!$F:$F,)),0)+IF($P169=3,INDEX('卡片raw data'!AF:AF,MATCH($D169,'卡片raw data'!$F:$F,)),0)+IF($P169=4,INDEX('卡片raw data'!AI:AI,MATCH($D169,'卡片raw data'!$F:$F,)),0)+IF($P169=5,INDEX('卡片raw data'!AL:AL,MATCH($D169,'卡片raw data'!$F:$F,)),0)+INDEX('卡片raw data'!T:T,MATCH($D169,'卡片raw data'!$F:$F,))*(IF($F169="UR",0.04,0.033))*(IF($F169="UR",INDEX(绊状态确认!$S:$S,MATCH($G169,绊状态确认!$B:$B,))/2-40)+IF($F169="SR",INDEX(绊状态确认!$R:$R,MATCH($G169,绊状态确认!$B:$B,))/4-15))+IF($F169="R",INDEX(绊状态确认!$Q:$Q,MATCH($G169,绊状态确认!$B:$B,))/6-40/6)))*(INDEX(绊状态确认!$H:$H,MATCH($G169,绊状态确认!$B:$B,))+INDEX(绊状态确认!K:K,MATCH($G169,绊状态确认!$B:$B,)))</f>
        <v>7452.365740799999</v>
      </c>
      <c r="AN169" s="1106">
        <f>IF($P169="","N/A",(IF($P169=-1,INDEX('卡片raw data'!U:U,MATCH($D169,'卡片raw data'!$F:$F,)),0)+IF($P169=0,INDEX('卡片raw data'!X:X,MATCH($D169,'卡片raw data'!$F:$F,)),0)+IF($P169=1,INDEX('卡片raw data'!AA:AA,MATCH($D169,'卡片raw data'!$F:$F,)),0)+IF($P169=2,INDEX('卡片raw data'!AD:AD,MATCH($D169,'卡片raw data'!$F:$F,)),0)+IF($P169=3,INDEX('卡片raw data'!AG:AG,MATCH($D169,'卡片raw data'!$F:$F,)),0)+IF($P169=4,INDEX('卡片raw data'!AJ:AJ,MATCH($D169,'卡片raw data'!$F:$F,)),0)+IF($P169=5,INDEX('卡片raw data'!AM:AM,MATCH($D169,'卡片raw data'!$F:$F,)),0)+INDEX('卡片raw data'!U:U,MATCH($D169,'卡片raw data'!$F:$F,))*(IF($F169="UR",0.04,0.033))*(IF($F169="UR",INDEX(绊状态确认!$S:$S,MATCH($G169,绊状态确认!$B:$B,))/2-40)+IF($F169="SR",INDEX(绊状态确认!$R:$R,MATCH($G169,绊状态确认!$B:$B,))/4-15))+IF($F169="R",INDEX(绊状态确认!$Q:$Q,MATCH($G169,绊状态确认!$B:$B,))/6-40/6)))*(INDEX(绊状态确认!$H:$H,MATCH($G169,绊状态确认!$B:$B,))+INDEX(绊状态确认!L:L,MATCH($G169,绊状态确认!$B:$B,)))</f>
        <v>6274.2212231999993</v>
      </c>
      <c r="AO169" s="1107">
        <f t="shared" si="194"/>
        <v>1</v>
      </c>
      <c r="AP169" s="1131">
        <f>1+(INDEX(绊状态确认!$T:$T,MATCH($G169,绊状态确认!$B:$B,))+0.2)*$AO169</f>
        <v>1.3</v>
      </c>
      <c r="AQ169" s="1108">
        <f t="shared" si="195"/>
        <v>18695.051612200001</v>
      </c>
      <c r="AR169" s="1097">
        <f>(AM169*(1+$EX$9)+$EX$35)*(1+(INDEX(绊状态确认!$T:$T,MATCH($G169,绊状态确认!$B:$B,))+0.2)*AO169)*IF(J169=$FF$17,1+$FE$17,1)*IF(I169=$FF$14,1+$FE$14,1)</f>
        <v>12876.479236192001</v>
      </c>
      <c r="AS169" s="1097">
        <f>(AN169*(1+$EX$10)+$EX$36)*(1+(INDEX(绊状态确认!$T:$T,MATCH($G169,绊状态确认!$B:$B,))+0.2)*AO169)*IF(J169=$FF$17,1+$FE$17,1)*IF(I169=$FF$14,1+$FE$14,1)</f>
        <v>13435.960728683998</v>
      </c>
      <c r="AT169" s="1093">
        <f>IF(AND(INDEX('卡片raw data'!AK:AK,MATCH($D169,'卡片raw data'!$F:$F,))&lt;INDEX('卡片raw data'!AM:AM,MATCH($D169,'卡片raw data'!$F:$F,)),INDEX('卡片raw data'!AL:AL,MATCH($D169,'卡片raw data'!$F:$F,))&lt;INDEX('卡片raw data'!AM:AM,MATCH($D169,'卡片raw data'!$F:$F,))),1,0)</f>
        <v>0</v>
      </c>
      <c r="AU169" s="1098">
        <f>MIN(AT169*0.15+AS169*0.00003+INDEX(绊状态确认!M:M,MATCH($G169,绊状态确认!$B:$B,)),1)</f>
        <v>0.43307882186051999</v>
      </c>
      <c r="AV169" s="1109">
        <f>(INDEX(绊状态确认!$N:$N,MATCH($G169,绊状态确认!$B:$B,))+1.5)*$EW$21</f>
        <v>2.6599999999999997</v>
      </c>
      <c r="AW169" s="1101">
        <f t="shared" si="196"/>
        <v>16689.271653922584</v>
      </c>
      <c r="AX169" s="1097">
        <f t="shared" si="197"/>
        <v>1104.6671077462045</v>
      </c>
      <c r="AY169" s="1110">
        <f t="shared" si="198"/>
        <v>17793.938761668789</v>
      </c>
      <c r="AZ169" s="429">
        <f t="shared" si="199"/>
        <v>14073.466911919999</v>
      </c>
      <c r="BA169" s="431">
        <f t="shared" si="200"/>
        <v>16888.160294303998</v>
      </c>
      <c r="BB169" s="1097">
        <f>(AM169*(1+$FB$9)+$FB$35)*(1+(INDEX(绊状态确认!$T:$T,MATCH($G169,绊状态确认!$B:$B,))+0.2)*AO169)*IF(J169=$FF$17,1+$FE$17,1)*IF(I169=$FF$14,1+$FE$14,1)*(1+$FE$15)</f>
        <v>12876.479236192001</v>
      </c>
      <c r="BC169" s="1097">
        <f>(AN169*(1+$FB$10)+$FB$36)*(1+(INDEX(绊状态确认!$T:$T,MATCH($G169,绊状态确认!$B:$B,))+0.2)*AO169)*IF(J169=$FF$17,1+$FE$17,1)*IF(I169=$FF$14,1+$FE$14,1)*(1+$FE$15)</f>
        <v>13435.960728683998</v>
      </c>
      <c r="BD169" s="1104">
        <f>MIN(AT169*0.15+BC169*0.00003+INDEX(绊状态确认!M:M,MATCH($G169,绊状态确认!$B:$B,)),1)</f>
        <v>0.43307882186051999</v>
      </c>
      <c r="BE169" s="432">
        <f>(INDEX(绊状态确认!$N:$N,MATCH($G169,绊状态确认!$B:$B,))+1.5)</f>
        <v>1.9</v>
      </c>
      <c r="BF169" s="1139">
        <f t="array" ref="BF169">SUMPRODUCT(IF(AZ169*AP169*$FI$16:$FI$23*$FA$22&gt;=$FI$24,$FI$24,AZ169*AP169*$FI$16:$FI$23*$FA$22),$FJ$16:$FJ$23)</f>
        <v>27992.125687808875</v>
      </c>
      <c r="BG169" s="1125">
        <f t="array" ref="BG169">SUMPRODUCT(IF(BE169*AZ169*AP169*$FI$16:$FI$23*$FA$22&gt;=$FI$24,$FI$24,BE169*AZ169*AP169*$FI$16:$FI$23*$FA$22),$FJ$16:$FJ$23)</f>
        <v>52323.297396033187</v>
      </c>
      <c r="BH169" s="1110">
        <f t="shared" si="201"/>
        <v>12843.146955230894</v>
      </c>
      <c r="BI169" s="1111">
        <f>IF(O169="vo",$EW$26/$EW$24*0.05,0)+IF(O169="sk",-$EW$26/$EW$24*(0.05-INDEX(绊状态确认!W:W,MATCH($G169,绊状态确认!$B:$B,)))+0.05*$EW$28,0)+IF(O169="sp",0.05*$EW$32*$EW$30*(1-$EW$33)-(0.05-INDEX(绊状态确认!V:V,MATCH($G169,绊状态确认!$B:$B,)))*$EW$28,0)+IF(O169="gd",-(0.05-INDEX(绊状态确认!X:X,MATCH($G169,绊状态确认!$B:$B,)))*$EW$32*$EW$30*(1-$EW$33),0)</f>
        <v>-6253.6726349699375</v>
      </c>
      <c r="BJ169" s="1097">
        <f>IF(O169="vo",0.05*(1-$FI$26)*$FA$24,0)+IF(O169="sk",-(0.05-INDEX(绊状态确认!W:W,MATCH($G169,绊状态确认!$B:$B,)))*(1-$FI$26)*$FA$24+0.05*$FA$26,0)+IF(O169="sp",0.05*$FA$32*$FA$27*(1-$FA$33)/$FA$30+0.05*$FA$29/$FA$69*$FA$27*(1-$FA$33)-(0.05-INDEX(绊状态确认!V:V,MATCH($G169,绊状态确认!$B:$B,)))*$FA$26,0)+IF(O169="gd",-(0.05-INDEX(绊状态确认!X:X,MATCH($G169,绊状态确认!$B:$B,)))*$FA$32*$FA$27*(1-$FA$33)/$FA$30-(0.05-INDEX(绊状态确认!X:X,MATCH($G169,绊状态确认!$B:$B,)))*$FA$29/$FA$69*$FA$27*(1-$FA$33),0)</f>
        <v>20.459096812499922</v>
      </c>
      <c r="BK169" s="1110">
        <f>IF(O169="vo",$EW$26/$EW$24*0.05+$EW$26*(-HP($EW$62,$EW$65,$EW$64)+HP($EW$62,$EW$65,(1.05-INDEX(绊状态确认!U:U,MATCH($G169,绊状态确认!$B:$B,)))*$EW$64)),0)+IF(O169="sk",-$EW$26/$EW$24*(0.05-INDEX(绊状态确认!W:W,MATCH($G169,绊状态确认!$B:$B,)))+0.05*$EW$29,0)+IF(O169="sp",0.05*$EW$32*$EW$30*(1-$EW$33)-(0.05-INDEX(绊状态确认!V:V,MATCH($G169,绊状态确认!$B:$B,)))*$EW$29,0)+IF(O169="gd",-(0.05-INDEX(绊状态确认!X:X,MATCH($G169,绊状态确认!$B:$B,)))*$EW$32*$EW$30*(1-$EW$33)+$EW$26*(-HP($EW$62,$EW$65,$EW$64)+HP($EW$62,$EW$65,0.95*$EW$64)),0)</f>
        <v>-4253.6726349699375</v>
      </c>
      <c r="BL169" s="1111">
        <f t="shared" si="202"/>
        <v>-1083.3333333333333</v>
      </c>
      <c r="BM169" s="1110">
        <f t="shared" si="203"/>
        <v>-830.55555555555543</v>
      </c>
      <c r="BN169" s="1113">
        <f t="shared" si="204"/>
        <v>3</v>
      </c>
      <c r="BO169" s="1097">
        <f t="shared" si="205"/>
        <v>4507.7214871259994</v>
      </c>
      <c r="BP169" s="1100">
        <f t="shared" si="206"/>
        <v>221.34103209030098</v>
      </c>
      <c r="BQ169" s="1113" t="s">
        <v>623</v>
      </c>
      <c r="BR169" s="1124" t="s">
        <v>169</v>
      </c>
      <c r="BS169" s="1098">
        <f>IF($P169="","N/A",IF($P169=-1,INDEX('卡片raw data'!AX:AX,MATCH($D169,'卡片raw data'!$F:$F,)),0)+IF($L169="party卡",IF($P169=5,INDEX('卡片raw data'!BD:BD,MATCH($D169,'卡片raw data'!$F:$F,)),IF($P169&gt;=3,INDEX('卡片raw data'!BC:BC,MATCH($D169,'卡片raw data'!$F:$F,)),INDEX('卡片raw data'!BB:BB,MATCH($D169,'卡片raw data'!$F:$F,)))),IF(OR(AND($F169="UR",$P169=0),AND($F169="SR",$P169&gt;=0,$P169&lt;=2),AND($F169="R",$P169&gt;=0,$P169&lt;4)),INDEX('卡片raw data'!AZ:AZ,MATCH($D169,'卡片raw data'!$F:$F,)),0)+IF(OR(AND($F169="UR",$P169&gt;=1,$P169&lt;=4),AND($F169="SR",$P169&lt;=4,$P169&gt;=3),AND($F169="R",$P169=4)),INDEX('卡片raw data'!BA:BA,MATCH($D169,'卡片raw data'!$F:$F,)),0)+IF($P169=5,INDEX('卡片raw data'!BB:BB,MATCH($D169,'卡片raw data'!$F:$F,)),0)))</f>
        <v>3.2000000000000001E-2</v>
      </c>
      <c r="BT169" s="1101">
        <f t="shared" si="207"/>
        <v>1335.6211813706668</v>
      </c>
      <c r="BU169" s="1097">
        <f t="shared" si="208"/>
        <v>65.582528026755853</v>
      </c>
      <c r="BV169" s="1097">
        <f t="shared" si="209"/>
        <v>801.37270882240011</v>
      </c>
      <c r="BW169" s="1112">
        <f t="shared" si="210"/>
        <v>0</v>
      </c>
      <c r="BX169" s="1100">
        <f t="shared" si="211"/>
        <v>1335.6211813706668</v>
      </c>
      <c r="BY169" s="1110">
        <f t="shared" si="212"/>
        <v>801.37270882240011</v>
      </c>
      <c r="BZ169" s="1107" t="s">
        <v>569</v>
      </c>
      <c r="CA169" s="1124"/>
      <c r="CB169" s="1098">
        <f>IF($P169="","N/A",IF($P169=-1,INDEX('卡片raw data'!BE:BE,MATCH($D169,'卡片raw data'!$F:$F,)),0)+IF($L169="party卡",IF($P169=5,INDEX('卡片raw data'!BK:BK,MATCH($D169,'卡片raw data'!$F:$F,)),IF($P169&gt;=3,INDEX('卡片raw data'!BJ:BJ,MATCH($D169,'卡片raw data'!$F:$F,)),INDEX('卡片raw data'!BI:BI,MATCH($D169,'卡片raw data'!$F:$F,)))),IF(OR(AND($F169="UR",$P169=0),AND($F169="SR",$P169&gt;=0,$P169&lt;=2),AND($F169="R",$P169&gt;=0,$P169&lt;4)),INDEX('卡片raw data'!BG:BG,MATCH($D169,'卡片raw data'!$F:$F,)),0)+IF(OR(AND($F169="UR",$P169&gt;=1,$P169&lt;=4),AND($F169="SR",$P169&lt;=4,$P169&gt;=3),AND($F169="R",$P169=4)),INDEX('卡片raw data'!BH:BH,MATCH($D169,'卡片raw data'!$F:$F,)),0)+IF($P169=5,INDEX('卡片raw data'!BI:BI,MATCH($D169,'卡片raw data'!$F:$F,)),0)))</f>
        <v>0</v>
      </c>
      <c r="CC169" s="1101">
        <f t="shared" si="213"/>
        <v>0</v>
      </c>
      <c r="CD169" s="1097">
        <f>IF(BZ169="ap",CB169*(1-$FI$26)*$FB$5/$FB$11*(+IF(CA169="全员",$FA$24,0)+IF(CA169="同作战",$FA$24,0)+IF(CA169="仲间",$FA$24*2/3,0)+IF(CA169="同属性",$FA$24*$FA$37/3,0)+IF(CA169="同年级",$FA$24*$FA$40/3,0)+IF(CA169="同学校",$FA$24*$FA$43/3,0)+IF(CA169="同小队",$FA$24*$FA$46/3,0)+IF(CA169="同type",$FA$24*INDEX($FB$49:$FB$52,MATCH(X169,$FA$49:$FA$52,))/3,0)+IF(CA169="自身",#REF!/3,0)),0)+IF(BZ169="te",CB169*(1-$FI$27)*($FA$20-1)*$FB$7/$FB$13*(+IF(CA169="全员",$FA$19*$FA$24/(1+($FA$20-1)*$FA$19),0)+IF(CA169="同作战",$FA$19*$FA$24/(1+($FA$20-1)*$FA$19),0)+IF(CA169="仲间",$FA$19*$FA$24*2/3/(1+($FA$20-1)*$FA$19),0)+IF(CA169="同属性",$FA$19*$FA$24*$FA$37/3/(1+($FA$20-1)*$FA$19),0)+IF(CA169="同年级",$FA$19*$FA$24*$FA$40/3/(1+($FA$20-1)*$FA$19),0)+IF(CA169="同学校",$FA$19*$FA$24*$FA$43/3/(1+($FA$20-1)*$FA$19),0)+IF(CA169="同小队",$FA$19*$FA$24*$FA$46/3/(1+($FA$20-1)*$FA$19),0)+IF(CA169="同type",$FA$19*$FA$24*INDEX($FB$49:$FB$52,MATCH(X169,$FA$49:$FA$52,))/3/(1+($FA$20-1)*$FA$19),0)+IF(CA169="自身",$FA$19*#REF!/3/(1+(BH169-1)*$BD169),0)),0)</f>
        <v>0</v>
      </c>
      <c r="CE169" s="1097">
        <f t="shared" si="214"/>
        <v>0</v>
      </c>
      <c r="CF169" s="1112">
        <f t="shared" si="215"/>
        <v>0</v>
      </c>
      <c r="CG169" s="1100">
        <f t="shared" si="216"/>
        <v>0</v>
      </c>
      <c r="CH169" s="1110">
        <f t="shared" si="217"/>
        <v>0</v>
      </c>
      <c r="CI169" s="1113" t="s">
        <v>170</v>
      </c>
      <c r="CJ169" s="1114">
        <v>0.2</v>
      </c>
      <c r="CK169" s="1115" t="s">
        <v>587</v>
      </c>
      <c r="CL169" s="1115" t="s">
        <v>168</v>
      </c>
      <c r="CM169" s="1119">
        <v>0.1</v>
      </c>
      <c r="CN169" s="1115">
        <v>10</v>
      </c>
      <c r="CO169" s="1092"/>
      <c r="CP169" s="1118">
        <f t="shared" si="218"/>
        <v>7.1428571428571429E-4</v>
      </c>
      <c r="CQ169" s="1118">
        <f t="shared" si="219"/>
        <v>1.1111111111111111E-3</v>
      </c>
      <c r="CR169" s="1118">
        <f t="shared" si="220"/>
        <v>0</v>
      </c>
      <c r="CS169" s="1118">
        <f t="shared" si="221"/>
        <v>0</v>
      </c>
      <c r="CT169" s="1109">
        <f t="shared" si="222"/>
        <v>0</v>
      </c>
      <c r="CU169" s="1101">
        <f t="shared" si="223"/>
        <v>83.59441337951786</v>
      </c>
      <c r="CV169" s="1108">
        <f t="shared" si="224"/>
        <v>8.9970496031060758</v>
      </c>
      <c r="CW169" s="1097">
        <f t="shared" si="225"/>
        <v>0</v>
      </c>
      <c r="CX169" s="1097">
        <f t="shared" si="226"/>
        <v>83.59441337951786</v>
      </c>
      <c r="CY169" s="1110">
        <f t="shared" si="227"/>
        <v>0</v>
      </c>
      <c r="CZ169" s="437"/>
      <c r="DA169" s="438"/>
      <c r="DB169" s="439" t="s">
        <v>569</v>
      </c>
      <c r="DC169" s="439"/>
      <c r="DD169" s="443"/>
      <c r="DE169" s="411"/>
      <c r="DF169" s="411"/>
      <c r="DG169" s="1116">
        <f t="shared" si="228"/>
        <v>0</v>
      </c>
      <c r="DH169" s="1116">
        <f t="shared" si="229"/>
        <v>0</v>
      </c>
      <c r="DI169" s="1116">
        <f t="shared" si="230"/>
        <v>0</v>
      </c>
      <c r="DJ169" s="442">
        <f t="shared" si="231"/>
        <v>0</v>
      </c>
      <c r="DK169" s="1109">
        <f t="shared" si="232"/>
        <v>0</v>
      </c>
      <c r="DL169" s="1101">
        <f t="shared" si="233"/>
        <v>0</v>
      </c>
      <c r="DM169" s="1097">
        <f t="shared" si="234"/>
        <v>0</v>
      </c>
      <c r="DN169" s="1097">
        <f t="shared" si="235"/>
        <v>0</v>
      </c>
      <c r="DO169" s="1097">
        <f t="shared" si="236"/>
        <v>0</v>
      </c>
      <c r="DP169" s="1110">
        <f t="shared" si="237"/>
        <v>0</v>
      </c>
      <c r="DQ169" s="1113" t="s">
        <v>555</v>
      </c>
      <c r="DR169" s="1120">
        <f t="shared" si="238"/>
        <v>0.3</v>
      </c>
      <c r="DS169" s="1124">
        <v>5</v>
      </c>
      <c r="DT169" s="1093" t="s">
        <v>161</v>
      </c>
      <c r="DU169" s="1093" t="s">
        <v>544</v>
      </c>
      <c r="DV169" s="1098">
        <f>IF($P169="","N/A",IF(P169=-1,INDEX('卡片raw data'!AN:AN,MATCH(D169,'卡片raw data'!$F:$F,)),0)+IF(AND(L169&lt;&gt;"party卡",P169&lt;=2,P169&gt;=0),INDEX('卡片raw data'!AP:AP,MATCH(D169,'卡片raw data'!$F:$F,)),0)+IF(OR(AND(L169="party卡",P169&lt;=1),AND(P169&lt;=4,L169&lt;&gt;"party卡",P169&gt;=3)),INDEX('卡片raw data'!AQ:AQ,MATCH(D169,'卡片raw data'!$F:$F,)),0)+IF(OR(P169=5,AND(L169="party卡",P169&gt;=2)),INDEX('卡片raw data'!AR:AR,MATCH(D169,'卡片raw data'!$F:$F,)),0))</f>
        <v>3.2000000000000001E-2</v>
      </c>
      <c r="DW169" s="1098">
        <f t="shared" si="239"/>
        <v>0.3</v>
      </c>
      <c r="DX169" s="1098">
        <f t="shared" si="240"/>
        <v>0.3</v>
      </c>
      <c r="DY169" s="1098">
        <f t="shared" si="241"/>
        <v>1.6E-2</v>
      </c>
      <c r="DZ169" s="1098">
        <f t="shared" si="242"/>
        <v>1.384E-2</v>
      </c>
      <c r="EA169" s="1098">
        <f t="shared" si="243"/>
        <v>0</v>
      </c>
      <c r="EB169" s="1121">
        <f t="shared" si="244"/>
        <v>0</v>
      </c>
      <c r="EC169" s="1101">
        <f t="shared" si="245"/>
        <v>2175.7269044528161</v>
      </c>
      <c r="ED169" s="1097">
        <f t="shared" si="246"/>
        <v>90.86752037250001</v>
      </c>
      <c r="EE169" s="1110">
        <f t="shared" si="247"/>
        <v>2175.7269044528161</v>
      </c>
      <c r="EF169" s="1092" t="s">
        <v>711</v>
      </c>
      <c r="EG169" s="1120">
        <f t="shared" si="248"/>
        <v>0.3</v>
      </c>
      <c r="EH169" s="1124"/>
      <c r="EI169" s="1093"/>
      <c r="EJ169" s="1093"/>
      <c r="EK169" s="1097">
        <f>IF($P169="","N/A",IF(P169=-1,INDEX('卡片raw data'!AS:AS,MATCH(D169,'卡片raw data'!$F:$F,)),0)+IF(AND(L169&lt;&gt;"party卡",P169&lt;=2,P169&gt;=0),INDEX('卡片raw data'!AU:AU,MATCH(D169,'卡片raw data'!$F:$F,)),0)+IF(OR(AND(L169="party卡",P169&lt;=1),AND(P169&lt;=4,L169&lt;&gt;"party卡",P169&gt;=3)),INDEX('卡片raw data'!AV:AV,MATCH(D169,'卡片raw data'!$F:$F,)),0)+IF(OR(P169=5,AND(L169="party卡",P169&gt;=2)),INDEX('卡片raw data'!AW:AW,MATCH(D169,'卡片raw data'!$F:$F,)),0))</f>
        <v>0</v>
      </c>
      <c r="EL169" s="1098">
        <f t="shared" si="249"/>
        <v>0.3</v>
      </c>
      <c r="EM169" s="1098">
        <f t="shared" si="250"/>
        <v>0.3</v>
      </c>
      <c r="EN169" s="1125">
        <f t="shared" si="251"/>
        <v>0</v>
      </c>
      <c r="EO169" s="1125">
        <f t="shared" si="252"/>
        <v>0</v>
      </c>
      <c r="EP169" s="1098">
        <f t="shared" si="253"/>
        <v>0</v>
      </c>
      <c r="EQ169" s="1121">
        <f t="shared" si="254"/>
        <v>0</v>
      </c>
      <c r="ER169" s="1101">
        <f t="shared" si="255"/>
        <v>0</v>
      </c>
      <c r="ES169" s="1097">
        <f t="shared" si="256"/>
        <v>0</v>
      </c>
      <c r="ET169" s="1122">
        <f t="shared" si="257"/>
        <v>0</v>
      </c>
    </row>
    <row r="170" spans="2:150" ht="16.5" customHeight="1">
      <c r="B170" s="1123" t="str">
        <f>INDEX('卡片raw data'!B:B,MATCH($D170,'卡片raw data'!$F:$F,))</f>
        <v>合奏霞</v>
      </c>
      <c r="C170" s="449" t="s">
        <v>124</v>
      </c>
      <c r="D170" s="408">
        <v>167</v>
      </c>
      <c r="E170" s="1090">
        <v>302023001</v>
      </c>
      <c r="F170" s="1090" t="str">
        <f>INDEX('卡片raw data'!C:C,MATCH($D170,'卡片raw data'!$F:$F,))</f>
        <v>UR</v>
      </c>
      <c r="G170" s="1094" t="s">
        <v>43</v>
      </c>
      <c r="H170" s="411">
        <f>IFERROR(INDEX(绊状态确认!C:C,MATCH($G170,绊状态确认!$B:$B,)),"")</f>
        <v>202</v>
      </c>
      <c r="I170" s="450" t="str">
        <f>IFERROR(INDEX(绊状态确认!D:D,MATCH($G170,绊状态确认!$B:$B,)),"")</f>
        <v>虹</v>
      </c>
      <c r="J170" s="450" t="str">
        <f>IFERROR(INDEX(绊状态确认!E:E,MATCH($G170,绊状态确认!$B:$B,)),"")</f>
        <v>1年级</v>
      </c>
      <c r="K170" s="451" t="str">
        <f>IFERROR(INDEX(绊状态确认!F:F,MATCH($G170,绊状态确认!$B:$B,)),"")</f>
        <v>QU4RTZ</v>
      </c>
      <c r="L170" s="1094" t="str">
        <f>INDEX('卡片raw data'!E:E,MATCH($D170,'卡片raw data'!$F:$F,))</f>
        <v>卡池卡</v>
      </c>
      <c r="M170" s="415">
        <v>43867</v>
      </c>
      <c r="N170" s="416">
        <v>9</v>
      </c>
      <c r="O170" s="1091" t="str">
        <f>INDEX('卡片raw data'!D:D,MATCH($D170,'卡片raw data'!$F:$F,))</f>
        <v>sk</v>
      </c>
      <c r="P170" s="417">
        <v>5</v>
      </c>
      <c r="Q170" s="1095">
        <f t="shared" si="173"/>
        <v>45352.14835849106</v>
      </c>
      <c r="R170" s="1096">
        <f t="shared" si="174"/>
        <v>0.52700000000000002</v>
      </c>
      <c r="S170" s="1097">
        <f t="shared" si="175"/>
        <v>20343.940571674175</v>
      </c>
      <c r="T170" s="1098">
        <f t="shared" si="176"/>
        <v>1.0169999999999999</v>
      </c>
      <c r="U170" s="1099">
        <f t="shared" si="177"/>
        <v>12.513853422942857</v>
      </c>
      <c r="V170" s="1100">
        <f t="shared" si="178"/>
        <v>48351.49964723966</v>
      </c>
      <c r="W170" s="1101">
        <f t="shared" si="179"/>
        <v>5809.9521389623987</v>
      </c>
      <c r="X170" s="1096">
        <f t="shared" si="180"/>
        <v>6.7000000000000004E-2</v>
      </c>
      <c r="Y170" s="1097">
        <f t="shared" si="181"/>
        <v>999.3512887486022</v>
      </c>
      <c r="Z170" s="1102">
        <f t="shared" si="182"/>
        <v>12.513853422942857</v>
      </c>
      <c r="AA170" s="1103">
        <f t="shared" si="183"/>
        <v>6809.3034277110009</v>
      </c>
      <c r="AB170" s="1101">
        <f t="shared" si="184"/>
        <v>7112.182790798799</v>
      </c>
      <c r="AC170" s="1104">
        <f t="shared" si="185"/>
        <v>8.2000000000000003E-2</v>
      </c>
      <c r="AD170" s="1105">
        <f t="shared" si="186"/>
        <v>2.1769318181818181E-2</v>
      </c>
      <c r="AE170" s="1128">
        <f t="shared" si="187"/>
        <v>11.953757704745847</v>
      </c>
      <c r="AF170" s="1130">
        <f t="shared" si="188"/>
        <v>0</v>
      </c>
      <c r="AG170" s="420">
        <f t="shared" si="189"/>
        <v>0</v>
      </c>
      <c r="AH170" s="420">
        <f t="shared" si="190"/>
        <v>0</v>
      </c>
      <c r="AI170" s="1097">
        <f t="shared" si="191"/>
        <v>0</v>
      </c>
      <c r="AJ170" s="420">
        <f t="shared" si="192"/>
        <v>0</v>
      </c>
      <c r="AK170" s="518">
        <f t="shared" si="193"/>
        <v>0</v>
      </c>
      <c r="AL170" s="1106">
        <f>IF($P170="","N/A",(IF($P170=-1,INDEX('卡片raw data'!S:S,MATCH($D170,'卡片raw data'!$F:$F,)),0)+IF($P170=0,INDEX('卡片raw data'!V:V,MATCH($D170,'卡片raw data'!$F:$F,)),0)+IF($P170=1,INDEX('卡片raw data'!Y:Y,MATCH($D170,'卡片raw data'!$F:$F,)),0)+IF($P170=2,INDEX('卡片raw data'!AB:AB,MATCH($D170,'卡片raw data'!$F:$F,)),0)+IF($P170=3,INDEX('卡片raw data'!AE:AE,MATCH($D170,'卡片raw data'!$F:$F,)),0)+IF($P170=4,INDEX('卡片raw data'!AH:AH,MATCH($D170,'卡片raw data'!$F:$F,)),0)+IF($P170=5,INDEX('卡片raw data'!AK:AK,MATCH($D170,'卡片raw data'!$F:$F,)),0)+INDEX('卡片raw data'!S:S,MATCH($D170,'卡片raw data'!$F:$F,))*(IF($F170="UR",0.04,0.033))*(IF($F170="UR",INDEX(绊状态确认!$S:$S,MATCH($G170,绊状态确认!$B:$B,))/2-40)+IF($F170="SR",INDEX(绊状态确认!$R:$R,MATCH($G170,绊状态确认!$B:$B,))/4-15))+IF($F170="R",INDEX(绊状态确认!$Q:$Q,MATCH($G170,绊状态确认!$B:$B,))/6-40/6)))*(INDEX(绊状态确认!$H:$H,MATCH($G170,绊状态确认!$B:$B,))+INDEX(绊状态确认!J:J,MATCH($G170,绊状态确认!$B:$B,)))</f>
        <v>10021.457039999999</v>
      </c>
      <c r="AM170" s="1106">
        <f>IF($P170="","N/A",(IF($P170=-1,INDEX('卡片raw data'!T:T,MATCH($D170,'卡片raw data'!$F:$F,)),0)+IF($P170=0,INDEX('卡片raw data'!W:W,MATCH($D170,'卡片raw data'!$F:$F,)),0)+IF($P170=1,INDEX('卡片raw data'!Z:Z,MATCH($D170,'卡片raw data'!$F:$F,)),0)+IF($P170=2,INDEX('卡片raw data'!AC:AC,MATCH($D170,'卡片raw data'!$F:$F,)),0)+IF($P170=3,INDEX('卡片raw data'!AF:AF,MATCH($D170,'卡片raw data'!$F:$F,)),0)+IF($P170=4,INDEX('卡片raw data'!AI:AI,MATCH($D170,'卡片raw data'!$F:$F,)),0)+IF($P170=5,INDEX('卡片raw data'!AL:AL,MATCH($D170,'卡片raw data'!$F:$F,)),0)+INDEX('卡片raw data'!T:T,MATCH($D170,'卡片raw data'!$F:$F,))*(IF($F170="UR",0.04,0.033))*(IF($F170="UR",INDEX(绊状态确认!$S:$S,MATCH($G170,绊状态确认!$B:$B,))/2-40)+IF($F170="SR",INDEX(绊状态确认!$R:$R,MATCH($G170,绊状态确认!$B:$B,))/4-15))+IF($F170="R",INDEX(绊状态确认!$Q:$Q,MATCH($G170,绊状态确认!$B:$B,))/6-40/6)))*(INDEX(绊状态确认!$H:$H,MATCH($G170,绊状态确认!$B:$B,))+INDEX(绊状态确认!K:K,MATCH($G170,绊状态确认!$B:$B,)))</f>
        <v>6575.5285919999988</v>
      </c>
      <c r="AN170" s="1106">
        <f>IF($P170="","N/A",(IF($P170=-1,INDEX('卡片raw data'!U:U,MATCH($D170,'卡片raw data'!$F:$F,)),0)+IF($P170=0,INDEX('卡片raw data'!X:X,MATCH($D170,'卡片raw data'!$F:$F,)),0)+IF($P170=1,INDEX('卡片raw data'!AA:AA,MATCH($D170,'卡片raw data'!$F:$F,)),0)+IF($P170=2,INDEX('卡片raw data'!AD:AD,MATCH($D170,'卡片raw data'!$F:$F,)),0)+IF($P170=3,INDEX('卡片raw data'!AG:AG,MATCH($D170,'卡片raw data'!$F:$F,)),0)+IF($P170=4,INDEX('卡片raw data'!AJ:AJ,MATCH($D170,'卡片raw data'!$F:$F,)),0)+IF($P170=5,INDEX('卡片raw data'!AM:AM,MATCH($D170,'卡片raw data'!$F:$F,)),0)+INDEX('卡片raw data'!U:U,MATCH($D170,'卡片raw data'!$F:$F,))*(IF($F170="UR",0.04,0.033))*(IF($F170="UR",INDEX(绊状态确认!$S:$S,MATCH($G170,绊状态确认!$B:$B,))/2-40)+IF($F170="SR",INDEX(绊状态确认!$R:$R,MATCH($G170,绊状态确认!$B:$B,))/4-15))+IF($F170="R",INDEX(绊状态确认!$Q:$Q,MATCH($G170,绊状态确认!$B:$B,))/6-40/6)))*(INDEX(绊状态确认!$H:$H,MATCH($G170,绊状态确认!$B:$B,))+INDEX(绊状态确认!L:L,MATCH($G170,绊状态确认!$B:$B,)))</f>
        <v>14717.561855999998</v>
      </c>
      <c r="AO170" s="1107">
        <f t="shared" si="194"/>
        <v>1</v>
      </c>
      <c r="AP170" s="1131">
        <f>1+(INDEX(绊状态确认!$T:$T,MATCH($G170,绊状态确认!$B:$B,))+0.2)*$AO170</f>
        <v>1.3</v>
      </c>
      <c r="AQ170" s="1108">
        <f t="shared" si="195"/>
        <v>29556.32473</v>
      </c>
      <c r="AR170" s="1097">
        <f>(AM170*(1+$EX$9)+$EX$35)*(1+(INDEX(绊状态确认!$T:$T,MATCH($G170,绊状态确认!$B:$B,))+0.2)*AO170)*IF(J170=$FF$17,1+$FE$17,1)*IF(I170=$FF$14,1+$FE$14,1)*(1+$FE$15)</f>
        <v>11679.596528079999</v>
      </c>
      <c r="AS170" s="1097">
        <f>(AN170*(1+$EX$10)+$EX$36)*(1+(INDEX(绊状态确认!$T:$T,MATCH($G170,绊状态确认!$B:$B,))+0.2)*AO170)*IF(J170=$FF$17,1+$FE$17,1)*IF(I170=$FF$14,1+$FE$14,1)*(1+$FE$15)</f>
        <v>26058.754974719999</v>
      </c>
      <c r="AT170" s="1093">
        <f>IF(AND(INDEX('卡片raw data'!AK:AK,MATCH($D170,'卡片raw data'!$F:$F,))&lt;INDEX('卡片raw data'!AM:AM,MATCH($D170,'卡片raw data'!$F:$F,)),INDEX('卡片raw data'!AL:AL,MATCH($D170,'卡片raw data'!$F:$F,))&lt;INDEX('卡片raw data'!AM:AM,MATCH($D170,'卡片raw data'!$F:$F,))),1,0)</f>
        <v>1</v>
      </c>
      <c r="AU170" s="1098">
        <f>MIN(AT170*0.15+AS170*0.00003+INDEX(绊状态确认!M:M,MATCH($G170,绊状态确认!$B:$B,)),1)</f>
        <v>0.96176264924160004</v>
      </c>
      <c r="AV170" s="1109">
        <f>(INDEX(绊状态确认!$N:$N,MATCH($G170,绊状态确认!$B:$B,))+1.5)*$EW$21</f>
        <v>2.6599999999999997</v>
      </c>
      <c r="AW170" s="1101">
        <f t="shared" si="196"/>
        <v>39856.620237547133</v>
      </c>
      <c r="AX170" s="1097">
        <f t="shared" si="197"/>
        <v>999.35128874860243</v>
      </c>
      <c r="AY170" s="1110">
        <f t="shared" si="198"/>
        <v>40855.971526295732</v>
      </c>
      <c r="AZ170" s="429">
        <f t="shared" si="199"/>
        <v>22141.841227999997</v>
      </c>
      <c r="BA170" s="431">
        <f t="shared" si="200"/>
        <v>26570.209473599996</v>
      </c>
      <c r="BB170" s="1097">
        <f>(AM170*(1+$FB$9)+$FB$35)*(1+(INDEX(绊状态确认!$T:$T,MATCH($G170,绊状态确认!$B:$B,))+0.2)*AO170)*IF(J170=$FF$17,1+$FE$17,1)*IF(I170=$FF$14,1+$FE$14,1)*(1+$FE$15)</f>
        <v>11679.596528079999</v>
      </c>
      <c r="BC170" s="1097">
        <f>(AN170*(1+$FB$10)+$FB$36)*(1+(INDEX(绊状态确认!$T:$T,MATCH($G170,绊状态确认!$B:$B,))+0.2)*AO170)*IF(J170=$FF$17,1+$FE$17,1)*IF(I170=$FF$14,1+$FE$14,1)*(1+$FE$15)</f>
        <v>26058.754974719999</v>
      </c>
      <c r="BD170" s="1104">
        <f>MIN(AT170*0.15+BC170*0.00003+INDEX(绊状态确认!M:M,MATCH($G170,绊状态确认!$B:$B,)),1)</f>
        <v>0.96176264924160004</v>
      </c>
      <c r="BE170" s="432">
        <f>(INDEX(绊状态确认!$N:$N,MATCH($G170,绊状态确认!$B:$B,))+1.5)</f>
        <v>1.9</v>
      </c>
      <c r="BF170" s="1139">
        <f t="array" ref="BF170">SUMPRODUCT(IF(AZ170*AP170*$FI$16:$FI$23*$FA$22&gt;=$FI$24,$FI$24,AZ170*AP170*$FI$16:$FI$23*$FA$22),$FJ$16:$FJ$23)</f>
        <v>44040.122202491999</v>
      </c>
      <c r="BG170" s="1125">
        <f t="array" ref="BG170">SUMPRODUCT(IF(BE170*AZ170*AP170*$FI$16:$FI$23*$FA$22&gt;=$FI$24,$FI$24,BE170*AZ170*AP170*$FI$16:$FI$23*$FA$22),$FJ$16:$FJ$23)</f>
        <v>60000</v>
      </c>
      <c r="BH170" s="1110">
        <f t="shared" si="201"/>
        <v>19796.578851531827</v>
      </c>
      <c r="BI170" s="1111">
        <f>IF(O170="vo",$EW$26/$EW$24*0.05,0)+IF(O170="sk",-$EW$26/$EW$24*(0.05-INDEX(绊状态确认!W:W,MATCH($G170,绊状态确认!$B:$B,)))+0.05*$EW$28,0)+IF(O170="sp",0.05*$EW$32*$EW$30*(1-$EW$33)-(0.05-INDEX(绊状态确认!V:V,MATCH($G170,绊状态确认!$B:$B,)))*$EW$28,0)+IF(O170="gd",-(0.05-INDEX(绊状态确认!X:X,MATCH($G170,绊状态确认!$B:$B,)))*$EW$32*$EW$30*(1-$EW$33),0)</f>
        <v>-6253.6726349699375</v>
      </c>
      <c r="BJ170" s="1097">
        <f>IF(O170="vo",0.05*(1-$FI$26)*$FA$24,0)+IF(O170="sk",-(0.05-INDEX(绊状态确认!W:W,MATCH($G170,绊状态确认!$B:$B,)))*(1-$FI$26)*$FA$24+0.05*$FA$26,0)+IF(O170="sp",0.05*$FA$32*$FA$27*(1-$FA$33)/$FA$30+0.05*$FA$29/$FA$69*$FA$27*(1-$FA$33)-(0.05-INDEX(绊状态确认!V:V,MATCH($G170,绊状态确认!$B:$B,)))*$FA$26,0)+IF(O170="gd",-(0.05-INDEX(绊状态确认!X:X,MATCH($G170,绊状态确认!$B:$B,)))*$FA$32*$FA$27*(1-$FA$33)/$FA$30-(0.05-INDEX(绊状态确认!X:X,MATCH($G170,绊状态确认!$B:$B,)))*$FA$29/$FA$69*$FA$27*(1-$FA$33),0)</f>
        <v>20.459096812499922</v>
      </c>
      <c r="BK170" s="1110">
        <f>IF(O170="vo",$EW$26/$EW$24*0.05+$EW$26*(-HP($EW$62,$EW$65,$EW$64)+HP($EW$62,$EW$65,(1.05-INDEX(绊状态确认!U:U,MATCH($G170,绊状态确认!$B:$B,)))*$EW$64)),0)+IF(O170="sk",-$EW$26/$EW$24*(0.05-INDEX(绊状态确认!W:W,MATCH($G170,绊状态确认!$B:$B,)))+0.05*$EW$29,0)+IF(O170="sp",0.05*$EW$32*$EW$30*(1-$EW$33)-(0.05-INDEX(绊状态确认!V:V,MATCH($G170,绊状态确认!$B:$B,)))*$EW$29,0)+IF(O170="gd",-(0.05-INDEX(绊状态确认!X:X,MATCH($G170,绊状态确认!$B:$B,)))*$EW$32*$EW$30*(1-$EW$33)+$EW$26*(-HP($EW$62,$EW$65,$EW$64)+HP($EW$62,$EW$65,0.95*$EW$64)),0)</f>
        <v>-4253.6726349699375</v>
      </c>
      <c r="BL170" s="1111">
        <f t="shared" si="202"/>
        <v>0</v>
      </c>
      <c r="BM170" s="1110">
        <f t="shared" si="203"/>
        <v>0</v>
      </c>
      <c r="BN170" s="1113">
        <f t="shared" si="204"/>
        <v>3</v>
      </c>
      <c r="BO170" s="1097">
        <f t="shared" si="205"/>
        <v>4507.7214871259994</v>
      </c>
      <c r="BP170" s="1100">
        <f t="shared" si="206"/>
        <v>221.34103209030098</v>
      </c>
      <c r="BQ170" s="1113" t="s">
        <v>143</v>
      </c>
      <c r="BR170" s="1124" t="s">
        <v>148</v>
      </c>
      <c r="BS170" s="1098">
        <f>IF($P170="","N/A",IF($P170=-1,INDEX('卡片raw data'!AX:AX,MATCH($D170,'卡片raw data'!$F:$F,)),0)+IF($L170="party卡",IF($P170=5,INDEX('卡片raw data'!BD:BD,MATCH($D170,'卡片raw data'!$F:$F,)),IF($P170&gt;=3,INDEX('卡片raw data'!BC:BC,MATCH($D170,'卡片raw data'!$F:$F,)),INDEX('卡片raw data'!BB:BB,MATCH($D170,'卡片raw data'!$F:$F,)))),IF(OR(AND($F170="UR",$P170=0),AND($F170="SR",$P170&gt;=0,$P170&lt;=2),AND($F170="R",$P170&gt;=0,$P170&lt;4)),INDEX('卡片raw data'!AZ:AZ,MATCH($D170,'卡片raw data'!$F:$F,)),0)+IF(OR(AND($F170="UR",$P170&gt;=1,$P170&lt;=4),AND($F170="SR",$P170&lt;=4,$P170&gt;=3),AND($F170="R",$P170=4)),INDEX('卡片raw data'!BA:BA,MATCH($D170,'卡片raw data'!$F:$F,)),0)+IF($P170=5,INDEX('卡片raw data'!BB:BB,MATCH($D170,'卡片raw data'!$F:$F,)),0)))</f>
        <v>5.1999999999999998E-2</v>
      </c>
      <c r="BT170" s="1101">
        <f t="shared" si="207"/>
        <v>2604.4613036728001</v>
      </c>
      <c r="BU170" s="1097">
        <f t="shared" si="208"/>
        <v>111.90018844565216</v>
      </c>
      <c r="BV170" s="1097">
        <f t="shared" si="209"/>
        <v>1302.2306518363998</v>
      </c>
      <c r="BW170" s="1112">
        <f t="shared" si="210"/>
        <v>0</v>
      </c>
      <c r="BX170" s="1100">
        <f t="shared" si="211"/>
        <v>2604.4613036728001</v>
      </c>
      <c r="BY170" s="1110">
        <f t="shared" si="212"/>
        <v>1302.2306518363998</v>
      </c>
      <c r="BZ170" s="1107" t="s">
        <v>569</v>
      </c>
      <c r="CA170" s="1124"/>
      <c r="CB170" s="1098">
        <f>IF($P170="","N/A",IF($P170=-1,INDEX('卡片raw data'!BE:BE,MATCH($D170,'卡片raw data'!$F:$F,)),0)+IF($L170="party卡",IF($P170=5,INDEX('卡片raw data'!BK:BK,MATCH($D170,'卡片raw data'!$F:$F,)),IF($P170&gt;=3,INDEX('卡片raw data'!BJ:BJ,MATCH($D170,'卡片raw data'!$F:$F,)),INDEX('卡片raw data'!BI:BI,MATCH($D170,'卡片raw data'!$F:$F,)))),IF(OR(AND($F170="UR",$P170=0),AND($F170="SR",$P170&gt;=0,$P170&lt;=2),AND($F170="R",$P170&gt;=0,$P170&lt;4)),INDEX('卡片raw data'!BG:BG,MATCH($D170,'卡片raw data'!$F:$F,)),0)+IF(OR(AND($F170="UR",$P170&gt;=1,$P170&lt;=4),AND($F170="SR",$P170&lt;=4,$P170&gt;=3),AND($F170="R",$P170=4)),INDEX('卡片raw data'!BH:BH,MATCH($D170,'卡片raw data'!$F:$F,)),0)+IF($P170=5,INDEX('卡片raw data'!BI:BI,MATCH($D170,'卡片raw data'!$F:$F,)),0)))</f>
        <v>0</v>
      </c>
      <c r="CC170" s="1101">
        <f t="shared" si="213"/>
        <v>0</v>
      </c>
      <c r="CD170" s="1097">
        <f>IF(BZ170="ap",CB170*(1-$FI$26)*$FB$5/$FB$11*(+IF(CA170="全员",$FA$24,0)+IF(CA170="同作战",$FA$24,0)+IF(CA170="仲间",$FA$24*2/3,0)+IF(CA170="同属性",$FA$24*$FA$37/3,0)+IF(CA170="同年级",$FA$24*$FA$40/3,0)+IF(CA170="同学校",$FA$24*$FA$43/3,0)+IF(CA170="同小队",$FA$24*$FA$46/3,0)+IF(CA170="同type",$FA$24*INDEX($FB$49:$FB$52,MATCH(X170,$FA$49:$FA$52,))/3,0)+IF(CA170="自身",#REF!/3,0)),0)+IF(BZ170="te",CB170*(1-$FI$27)*($FA$20-1)*$FB$7/$FB$13*(+IF(CA170="全员",$FA$19*$FA$24/(1+($FA$20-1)*$FA$19),0)+IF(CA170="同作战",$FA$19*$FA$24/(1+($FA$20-1)*$FA$19),0)+IF(CA170="仲间",$FA$19*$FA$24*2/3/(1+($FA$20-1)*$FA$19),0)+IF(CA170="同属性",$FA$19*$FA$24*$FA$37/3/(1+($FA$20-1)*$FA$19),0)+IF(CA170="同年级",$FA$19*$FA$24*$FA$40/3/(1+($FA$20-1)*$FA$19),0)+IF(CA170="同学校",$FA$19*$FA$24*$FA$43/3/(1+($FA$20-1)*$FA$19),0)+IF(CA170="同小队",$FA$19*$FA$24*$FA$46/3/(1+($FA$20-1)*$FA$19),0)+IF(CA170="同type",$FA$19*$FA$24*INDEX($FB$49:$FB$52,MATCH(X170,$FA$49:$FA$52,))/3/(1+($FA$20-1)*$FA$19),0)+IF(CA170="自身",$FA$19*#REF!/3/(1+(BH170-1)*$BD170),0)),0)</f>
        <v>0</v>
      </c>
      <c r="CE170" s="1097">
        <f t="shared" si="214"/>
        <v>0</v>
      </c>
      <c r="CF170" s="1112">
        <f t="shared" si="215"/>
        <v>0</v>
      </c>
      <c r="CG170" s="1100">
        <f t="shared" si="216"/>
        <v>0</v>
      </c>
      <c r="CH170" s="1110">
        <f t="shared" si="217"/>
        <v>0</v>
      </c>
      <c r="CI170" s="1113" t="s">
        <v>160</v>
      </c>
      <c r="CJ170" s="1114">
        <v>0.5</v>
      </c>
      <c r="CK170" s="1115" t="s">
        <v>311</v>
      </c>
      <c r="CL170" s="1115" t="s">
        <v>161</v>
      </c>
      <c r="CM170" s="1119"/>
      <c r="CN170" s="1115"/>
      <c r="CO170" s="1092"/>
      <c r="CP170" s="1117">
        <f t="shared" si="218"/>
        <v>0</v>
      </c>
      <c r="CQ170" s="1117">
        <f t="shared" si="219"/>
        <v>0</v>
      </c>
      <c r="CR170" s="1117">
        <f t="shared" si="220"/>
        <v>0</v>
      </c>
      <c r="CS170" s="1118">
        <f t="shared" si="221"/>
        <v>0</v>
      </c>
      <c r="CT170" s="1109">
        <f t="shared" si="222"/>
        <v>0</v>
      </c>
      <c r="CU170" s="1101">
        <f t="shared" si="223"/>
        <v>0</v>
      </c>
      <c r="CV170" s="1108">
        <f t="shared" si="224"/>
        <v>0</v>
      </c>
      <c r="CW170" s="1097">
        <f t="shared" si="225"/>
        <v>0</v>
      </c>
      <c r="CX170" s="1097">
        <f t="shared" si="226"/>
        <v>0</v>
      </c>
      <c r="CY170" s="1110">
        <f t="shared" si="227"/>
        <v>0</v>
      </c>
      <c r="CZ170" s="437"/>
      <c r="DA170" s="438"/>
      <c r="DB170" s="439" t="s">
        <v>569</v>
      </c>
      <c r="DC170" s="439"/>
      <c r="DD170" s="443"/>
      <c r="DE170" s="411"/>
      <c r="DF170" s="411"/>
      <c r="DG170" s="1116">
        <f t="shared" si="228"/>
        <v>0</v>
      </c>
      <c r="DH170" s="1116">
        <f t="shared" si="229"/>
        <v>0</v>
      </c>
      <c r="DI170" s="1116">
        <f t="shared" si="230"/>
        <v>0</v>
      </c>
      <c r="DJ170" s="442">
        <f t="shared" si="231"/>
        <v>0</v>
      </c>
      <c r="DK170" s="1109">
        <f t="shared" si="232"/>
        <v>0</v>
      </c>
      <c r="DL170" s="1101">
        <f t="shared" si="233"/>
        <v>0</v>
      </c>
      <c r="DM170" s="1097">
        <f t="shared" si="234"/>
        <v>0</v>
      </c>
      <c r="DN170" s="1097">
        <f t="shared" si="235"/>
        <v>0</v>
      </c>
      <c r="DO170" s="1097">
        <f t="shared" si="236"/>
        <v>0</v>
      </c>
      <c r="DP170" s="1110">
        <f t="shared" si="237"/>
        <v>0</v>
      </c>
      <c r="DQ170" s="1113" t="s">
        <v>153</v>
      </c>
      <c r="DR170" s="1120">
        <f t="shared" si="238"/>
        <v>0.33</v>
      </c>
      <c r="DS170" s="1124">
        <v>5</v>
      </c>
      <c r="DT170" s="1093" t="s">
        <v>161</v>
      </c>
      <c r="DU170" s="1093" t="s">
        <v>544</v>
      </c>
      <c r="DV170" s="1098">
        <f>IF($P170="","N/A",IF(P170=-1,INDEX('卡片raw data'!AN:AN,MATCH(D170,'卡片raw data'!$F:$F,)),0)+IF(AND(L170&lt;&gt;"party卡",P170&lt;=2,P170&gt;=0),INDEX('卡片raw data'!AP:AP,MATCH(D170,'卡片raw data'!$F:$F,)),0)+IF(OR(AND(L170="party卡",P170&lt;=1),AND(P170&lt;=4,L170&lt;&gt;"party卡",P170&gt;=3)),INDEX('卡片raw data'!AQ:AQ,MATCH(D170,'卡片raw data'!$F:$F,)),0)+IF(OR(P170=5,AND(L170="party卡",P170&gt;=2)),INDEX('卡片raw data'!AR:AR,MATCH(D170,'卡片raw data'!$F:$F,)),0))</f>
        <v>6.2E-2</v>
      </c>
      <c r="DW170" s="1098">
        <f t="shared" si="239"/>
        <v>0.33</v>
      </c>
      <c r="DX170" s="1098">
        <f t="shared" si="240"/>
        <v>0.33</v>
      </c>
      <c r="DY170" s="1098">
        <f t="shared" si="241"/>
        <v>3.4100000000000005E-2</v>
      </c>
      <c r="DZ170" s="1098">
        <f t="shared" si="242"/>
        <v>2.9496500000000005E-2</v>
      </c>
      <c r="EA170" s="1098">
        <f t="shared" si="243"/>
        <v>0</v>
      </c>
      <c r="EB170" s="1121">
        <f t="shared" si="244"/>
        <v>0</v>
      </c>
      <c r="EC170" s="1101">
        <f t="shared" si="245"/>
        <v>4637.0179651150647</v>
      </c>
      <c r="ED170" s="1097">
        <f t="shared" si="246"/>
        <v>193.66140279389066</v>
      </c>
      <c r="EE170" s="1110">
        <f t="shared" si="247"/>
        <v>4637.0179651150647</v>
      </c>
      <c r="EF170" s="1092" t="s">
        <v>711</v>
      </c>
      <c r="EG170" s="1120">
        <f t="shared" si="248"/>
        <v>0.33</v>
      </c>
      <c r="EH170" s="1124"/>
      <c r="EI170" s="1093"/>
      <c r="EJ170" s="1093"/>
      <c r="EK170" s="1097">
        <f>IF($P170="","N/A",IF(P170=-1,INDEX('卡片raw data'!AS:AS,MATCH(D170,'卡片raw data'!$F:$F,)),0)+IF(AND(L170&lt;&gt;"party卡",P170&lt;=2,P170&gt;=0),INDEX('卡片raw data'!AU:AU,MATCH(D170,'卡片raw data'!$F:$F,)),0)+IF(OR(AND(L170="party卡",P170&lt;=1),AND(P170&lt;=4,L170&lt;&gt;"party卡",P170&gt;=3)),INDEX('卡片raw data'!AV:AV,MATCH(D170,'卡片raw data'!$F:$F,)),0)+IF(OR(P170=5,AND(L170="party卡",P170&gt;=2)),INDEX('卡片raw data'!AW:AW,MATCH(D170,'卡片raw data'!$F:$F,)),0))</f>
        <v>0</v>
      </c>
      <c r="EL170" s="1098">
        <f t="shared" si="249"/>
        <v>0.33</v>
      </c>
      <c r="EM170" s="1098">
        <f t="shared" si="250"/>
        <v>0.33</v>
      </c>
      <c r="EN170" s="1125">
        <f t="shared" si="251"/>
        <v>0</v>
      </c>
      <c r="EO170" s="1125">
        <f t="shared" si="252"/>
        <v>0</v>
      </c>
      <c r="EP170" s="1098">
        <f t="shared" si="253"/>
        <v>0</v>
      </c>
      <c r="EQ170" s="1121">
        <f t="shared" si="254"/>
        <v>0</v>
      </c>
      <c r="ER170" s="1101">
        <f t="shared" si="255"/>
        <v>0</v>
      </c>
      <c r="ES170" s="1097">
        <f t="shared" si="256"/>
        <v>0</v>
      </c>
      <c r="ET170" s="1122">
        <f t="shared" si="257"/>
        <v>0</v>
      </c>
    </row>
    <row r="171" spans="2:150" ht="16.5" customHeight="1">
      <c r="B171" s="1123" t="str">
        <f>INDEX('卡片raw data'!B:B,MATCH($D171,'卡片raw data'!$F:$F,))</f>
        <v>一单绘</v>
      </c>
      <c r="C171" s="449" t="s">
        <v>123</v>
      </c>
      <c r="D171" s="408">
        <v>168</v>
      </c>
      <c r="E171" s="1090">
        <v>300022002</v>
      </c>
      <c r="F171" s="1090" t="str">
        <f>INDEX('卡片raw data'!C:C,MATCH($D171,'卡片raw data'!$F:$F,))</f>
        <v>SR</v>
      </c>
      <c r="G171" s="1094" t="s">
        <v>332</v>
      </c>
      <c r="H171" s="411">
        <f>IFERROR(INDEX(绊状态确认!C:C,MATCH($G171,绊状态确认!$B:$B,)),"")</f>
        <v>2</v>
      </c>
      <c r="I171" s="450" t="str">
        <f>IFERROR(INDEX(绊状态确认!D:D,MATCH($G171,绊状态确认!$B:$B,)),"")</f>
        <v>缪</v>
      </c>
      <c r="J171" s="450" t="str">
        <f>IFERROR(INDEX(绊状态确认!E:E,MATCH($G171,绊状态确认!$B:$B,)),"")</f>
        <v>3年级</v>
      </c>
      <c r="K171" s="451" t="str">
        <f>IFERROR(INDEX(绊状态确认!F:F,MATCH($G171,绊状态确认!$B:$B,)),"")</f>
        <v>BiBi</v>
      </c>
      <c r="L171" s="1094" t="str">
        <f>INDEX('卡片raw data'!E:E,MATCH($D171,'卡片raw data'!$F:$F,))</f>
        <v>卡池卡</v>
      </c>
      <c r="M171" s="415">
        <v>43867</v>
      </c>
      <c r="N171" s="416">
        <v>9</v>
      </c>
      <c r="O171" s="1091" t="str">
        <f>INDEX('卡片raw data'!D:D,MATCH($D171,'卡片raw data'!$F:$F,))</f>
        <v>sp</v>
      </c>
      <c r="P171" s="417">
        <v>5</v>
      </c>
      <c r="Q171" s="1095">
        <f t="shared" si="173"/>
        <v>22581.687558077236</v>
      </c>
      <c r="R171" s="1096">
        <f t="shared" si="174"/>
        <v>0.26200000000000001</v>
      </c>
      <c r="S171" s="1097">
        <f t="shared" si="175"/>
        <v>12706.621918806548</v>
      </c>
      <c r="T171" s="1098">
        <f t="shared" si="176"/>
        <v>0.63500000000000001</v>
      </c>
      <c r="U171" s="1099">
        <f t="shared" si="177"/>
        <v>14.370609769062854</v>
      </c>
      <c r="V171" s="1100">
        <f t="shared" si="178"/>
        <v>21933.70651494537</v>
      </c>
      <c r="W171" s="1101">
        <f t="shared" si="179"/>
        <v>5848.4292364873372</v>
      </c>
      <c r="X171" s="1096">
        <f t="shared" si="180"/>
        <v>6.7000000000000004E-2</v>
      </c>
      <c r="Y171" s="1097">
        <f t="shared" si="181"/>
        <v>1152.0189568681335</v>
      </c>
      <c r="Z171" s="1102">
        <f t="shared" si="182"/>
        <v>14.370609769062854</v>
      </c>
      <c r="AA171" s="1103">
        <f t="shared" si="183"/>
        <v>7000.4481933554707</v>
      </c>
      <c r="AB171" s="1101">
        <f t="shared" si="184"/>
        <v>6649.8019453097368</v>
      </c>
      <c r="AC171" s="1104">
        <f t="shared" si="185"/>
        <v>7.6999999999999999E-2</v>
      </c>
      <c r="AD171" s="1105">
        <f t="shared" si="186"/>
        <v>-1.9908281250000003E-2</v>
      </c>
      <c r="AE171" s="1128">
        <f t="shared" si="187"/>
        <v>-1.3514492753623202</v>
      </c>
      <c r="AF171" s="1130">
        <f t="shared" si="188"/>
        <v>0</v>
      </c>
      <c r="AG171" s="420">
        <f t="shared" si="189"/>
        <v>0</v>
      </c>
      <c r="AH171" s="420">
        <f t="shared" si="190"/>
        <v>0</v>
      </c>
      <c r="AI171" s="1097">
        <f t="shared" si="191"/>
        <v>0</v>
      </c>
      <c r="AJ171" s="420">
        <f t="shared" si="192"/>
        <v>0</v>
      </c>
      <c r="AK171" s="518">
        <f t="shared" si="193"/>
        <v>0</v>
      </c>
      <c r="AL171" s="1106">
        <f>IF($P171="","N/A",(IF($P171=-1,INDEX('卡片raw data'!S:S,MATCH($D171,'卡片raw data'!$F:$F,)),0)+IF($P171=0,INDEX('卡片raw data'!V:V,MATCH($D171,'卡片raw data'!$F:$F,)),0)+IF($P171=1,INDEX('卡片raw data'!Y:Y,MATCH($D171,'卡片raw data'!$F:$F,)),0)+IF($P171=2,INDEX('卡片raw data'!AB:AB,MATCH($D171,'卡片raw data'!$F:$F,)),0)+IF($P171=3,INDEX('卡片raw data'!AE:AE,MATCH($D171,'卡片raw data'!$F:$F,)),0)+IF($P171=4,INDEX('卡片raw data'!AH:AH,MATCH($D171,'卡片raw data'!$F:$F,)),0)+IF($P171=5,INDEX('卡片raw data'!AK:AK,MATCH($D171,'卡片raw data'!$F:$F,)),0)+INDEX('卡片raw data'!S:S,MATCH($D171,'卡片raw data'!$F:$F,))*(IF($F171="UR",0.04,0.033))*(IF($F171="UR",INDEX(绊状态确认!$S:$S,MATCH($G171,绊状态确认!$B:$B,))/2-40)+IF($F171="SR",INDEX(绊状态确认!$R:$R,MATCH($G171,绊状态确认!$B:$B,))/4-15))+IF($F171="R",INDEX(绊状态确认!$Q:$Q,MATCH($G171,绊状态确认!$B:$B,))/6-40/6)))*(INDEX(绊状态确认!$H:$H,MATCH($G171,绊状态确认!$B:$B,))+INDEX(绊状态确认!J:J,MATCH($G171,绊状态确认!$B:$B,)))</f>
        <v>5883.8291855999996</v>
      </c>
      <c r="AM171" s="1106">
        <f>IF($P171="","N/A",(IF($P171=-1,INDEX('卡片raw data'!T:T,MATCH($D171,'卡片raw data'!$F:$F,)),0)+IF($P171=0,INDEX('卡片raw data'!W:W,MATCH($D171,'卡片raw data'!$F:$F,)),0)+IF($P171=1,INDEX('卡片raw data'!Z:Z,MATCH($D171,'卡片raw data'!$F:$F,)),0)+IF($P171=2,INDEX('卡片raw data'!AC:AC,MATCH($D171,'卡片raw data'!$F:$F,)),0)+IF($P171=3,INDEX('卡片raw data'!AF:AF,MATCH($D171,'卡片raw data'!$F:$F,)),0)+IF($P171=4,INDEX('卡片raw data'!AI:AI,MATCH($D171,'卡片raw data'!$F:$F,)),0)+IF($P171=5,INDEX('卡片raw data'!AL:AL,MATCH($D171,'卡片raw data'!$F:$F,)),0)+INDEX('卡片raw data'!T:T,MATCH($D171,'卡片raw data'!$F:$F,))*(IF($F171="UR",0.04,0.033))*(IF($F171="UR",INDEX(绊状态确认!$S:$S,MATCH($G171,绊状态确认!$B:$B,))/2-40)+IF($F171="SR",INDEX(绊状态确认!$R:$R,MATCH($G171,绊状态确认!$B:$B,))/4-15))+IF($F171="R",INDEX(绊状态确认!$Q:$Q,MATCH($G171,绊状态确认!$B:$B,))/6-40/6)))*(INDEX(绊状态确认!$H:$H,MATCH($G171,绊状态确认!$B:$B,))+INDEX(绊状态确认!K:K,MATCH($G171,绊状态确认!$B:$B,)))</f>
        <v>7845.1055807999983</v>
      </c>
      <c r="AN171" s="1106">
        <f>IF($P171="","N/A",(IF($P171=-1,INDEX('卡片raw data'!U:U,MATCH($D171,'卡片raw data'!$F:$F,)),0)+IF($P171=0,INDEX('卡片raw data'!X:X,MATCH($D171,'卡片raw data'!$F:$F,)),0)+IF($P171=1,INDEX('卡片raw data'!AA:AA,MATCH($D171,'卡片raw data'!$F:$F,)),0)+IF($P171=2,INDEX('卡片raw data'!AD:AD,MATCH($D171,'卡片raw data'!$F:$F,)),0)+IF($P171=3,INDEX('卡片raw data'!AG:AG,MATCH($D171,'卡片raw data'!$F:$F,)),0)+IF($P171=4,INDEX('卡片raw data'!AJ:AJ,MATCH($D171,'卡片raw data'!$F:$F,)),0)+IF($P171=5,INDEX('卡片raw data'!AM:AM,MATCH($D171,'卡片raw data'!$F:$F,)),0)+INDEX('卡片raw data'!U:U,MATCH($D171,'卡片raw data'!$F:$F,))*(IF($F171="UR",0.04,0.033))*(IF($F171="UR",INDEX(绊状态确认!$S:$S,MATCH($G171,绊状态确认!$B:$B,))/2-40)+IF($F171="SR",INDEX(绊状态确认!$R:$R,MATCH($G171,绊状态确认!$B:$B,))/4-15))+IF($F171="R",INDEX(绊状态确认!$Q:$Q,MATCH($G171,绊状态确认!$B:$B,))/6-40/6)))*(INDEX(绊状态确认!$H:$H,MATCH($G171,绊状态确认!$B:$B,))+INDEX(绊状态确认!L:L,MATCH($G171,绊状态确认!$B:$B,)))</f>
        <v>5883.8291855999996</v>
      </c>
      <c r="AO171" s="1107">
        <f t="shared" si="194"/>
        <v>1</v>
      </c>
      <c r="AP171" s="1131">
        <f>1+(INDEX(绊状态确认!$T:$T,MATCH($G171,绊状态确认!$B:$B,))+0.2)*$AO171</f>
        <v>1.3</v>
      </c>
      <c r="AQ171" s="1108">
        <f t="shared" si="195"/>
        <v>18695.051612200001</v>
      </c>
      <c r="AR171" s="1097">
        <f>(AM171*(1+$EX$9)+$EX$35)*(1+(INDEX(绊状态确认!$T:$T,MATCH($G171,绊状态确认!$B:$B,))+0.2)*AO171)*IF(J171=$FF$17,1+$FE$17,1)*IF(I171=$FF$14,1+$FE$14,1)</f>
        <v>13412.569117791998</v>
      </c>
      <c r="AS171" s="1097">
        <f>(AN171*(1+$EX$10)+$EX$36)*(1+(INDEX(绊状态确认!$T:$T,MATCH($G171,绊状态确认!$B:$B,))+0.2)*AO171)*IF(J171=$FF$17,1+$FE$17,1)*IF(I171=$FF$14,1+$FE$14,1)</f>
        <v>12852.324632471998</v>
      </c>
      <c r="AT171" s="1093">
        <f>IF(AND(INDEX('卡片raw data'!AK:AK,MATCH($D171,'卡片raw data'!$F:$F,))&lt;INDEX('卡片raw data'!AM:AM,MATCH($D171,'卡片raw data'!$F:$F,)),INDEX('卡片raw data'!AL:AL,MATCH($D171,'卡片raw data'!$F:$F,))&lt;INDEX('卡片raw data'!AM:AM,MATCH($D171,'卡片raw data'!$F:$F,))),1,0)</f>
        <v>0</v>
      </c>
      <c r="AU171" s="1098">
        <f>MIN(AT171*0.15+AS171*0.00003+INDEX(绊状态确认!M:M,MATCH($G171,绊状态确认!$B:$B,)),1)</f>
        <v>0.41556973897416</v>
      </c>
      <c r="AV171" s="1109">
        <f>(INDEX(绊状态确认!$N:$N,MATCH($G171,绊状态确认!$B:$B,))+1.5)*$EW$21</f>
        <v>2.6599999999999997</v>
      </c>
      <c r="AW171" s="1101">
        <f t="shared" si="196"/>
        <v>16407.072622381016</v>
      </c>
      <c r="AX171" s="1097">
        <f t="shared" si="197"/>
        <v>1152.018956868134</v>
      </c>
      <c r="AY171" s="1110">
        <f t="shared" si="198"/>
        <v>17559.091579249151</v>
      </c>
      <c r="AZ171" s="429">
        <f t="shared" si="199"/>
        <v>14073.466911919999</v>
      </c>
      <c r="BA171" s="431">
        <f t="shared" si="200"/>
        <v>16888.160294303998</v>
      </c>
      <c r="BB171" s="1097">
        <f>(AM171*(1+$FB$9)+$FB$35)*(1+(INDEX(绊状态确认!$T:$T,MATCH($G171,绊状态确认!$B:$B,))+0.2)*AO171)*IF(J171=$FF$17,1+$FE$17,1)*IF(I171=$FF$14,1+$FE$14,1)*(1+$FE$15)</f>
        <v>13412.569117791998</v>
      </c>
      <c r="BC171" s="1097">
        <f>(AN171*(1+$FB$10)+$FB$36)*(1+(INDEX(绊状态确认!$T:$T,MATCH($G171,绊状态确认!$B:$B,))+0.2)*AO171)*IF(J171=$FF$17,1+$FE$17,1)*IF(I171=$FF$14,1+$FE$14,1)*(1+$FE$15)</f>
        <v>12852.324632471998</v>
      </c>
      <c r="BD171" s="1104">
        <f>MIN(AT171*0.15+BC171*0.00003+INDEX(绊状态确认!M:M,MATCH($G171,绊状态确认!$B:$B,)),1)</f>
        <v>0.41556973897416</v>
      </c>
      <c r="BE171" s="432">
        <f>(INDEX(绊状态确认!$N:$N,MATCH($G171,绊状态确认!$B:$B,))+1.5)</f>
        <v>1.9</v>
      </c>
      <c r="BF171" s="1139">
        <f t="array" ref="BF171">SUMPRODUCT(IF(AZ171*AP171*$FI$16:$FI$23*$FA$22&gt;=$FI$24,$FI$24,AZ171*AP171*$FI$16:$FI$23*$FA$22),$FJ$16:$FJ$23)</f>
        <v>27992.125687808875</v>
      </c>
      <c r="BG171" s="1125">
        <f t="array" ref="BG171">SUMPRODUCT(IF(BE171*AZ171*AP171*$FI$16:$FI$23*$FA$22&gt;=$FI$24,$FI$24,BE171*AZ171*AP171*$FI$16:$FI$23*$FA$22),$FJ$16:$FJ$23)</f>
        <v>52323.297396033187</v>
      </c>
      <c r="BH171" s="1110">
        <f t="shared" si="201"/>
        <v>12701.141454510374</v>
      </c>
      <c r="BI171" s="1111">
        <f>IF(O171="vo",$EW$26/$EW$24*0.05,0)+IF(O171="sk",-$EW$26/$EW$24*(0.05-INDEX(绊状态确认!W:W,MATCH($G171,绊状态确认!$B:$B,)))+0.05*$EW$28,0)+IF(O171="sp",0.05*$EW$32*$EW$30*(1-$EW$33)-(0.05-INDEX(绊状态确认!V:V,MATCH($G171,绊状态确认!$B:$B,)))*$EW$28,0)+IF(O171="gd",-(0.05-INDEX(绊状态确认!X:X,MATCH($G171,绊状态确认!$B:$B,)))*$EW$32*$EW$30*(1-$EW$33),0)</f>
        <v>19.999999999999886</v>
      </c>
      <c r="BJ171" s="1097">
        <f>IF(O171="vo",0.05*(1-$FI$26)*$FA$24,0)+IF(O171="sk",-(0.05-INDEX(绊状态确认!W:W,MATCH($G171,绊状态确认!$B:$B,)))*(1-$FI$26)*$FA$24+0.05*$FA$26,0)+IF(O171="sp",0.05*$FA$32*$FA$27*(1-$FA$33)/$FA$30+0.05*$FA$29/$FA$69*$FA$27*(1-$FA$33)-(0.05-INDEX(绊状态确认!V:V,MATCH($G171,绊状态确认!$B:$B,)))*$FA$26,0)+IF(O171="gd",-(0.05-INDEX(绊状态确认!X:X,MATCH($G171,绊状态确认!$B:$B,)))*$FA$32*$FA$27*(1-$FA$33)/$FA$30-(0.05-INDEX(绊状态确认!X:X,MATCH($G171,绊状态确认!$B:$B,)))*$FA$29/$FA$69*$FA$27*(1-$FA$33),0)</f>
        <v>545.83333333333326</v>
      </c>
      <c r="BK171" s="1110">
        <f>IF(O171="vo",$EW$26/$EW$24*0.05+$EW$26*(-HP($EW$62,$EW$65,$EW$64)+HP($EW$62,$EW$65,(1.05-INDEX(绊状态确认!U:U,MATCH($G171,绊状态确认!$B:$B,)))*$EW$64)),0)+IF(O171="sk",-$EW$26/$EW$24*(0.05-INDEX(绊状态确认!W:W,MATCH($G171,绊状态确认!$B:$B,)))+0.05*$EW$29,0)+IF(O171="sp",0.05*$EW$32*$EW$30*(1-$EW$33)-(0.05-INDEX(绊状态确认!V:V,MATCH($G171,绊状态确认!$B:$B,)))*$EW$29,0)+IF(O171="gd",-(0.05-INDEX(绊状态确认!X:X,MATCH($G171,绊状态确认!$B:$B,)))*$EW$32*$EW$30*(1-$EW$33)+$EW$26*(-HP($EW$62,$EW$65,$EW$64)+HP($EW$62,$EW$65,0.95*$EW$64)),0)</f>
        <v>-1780.0000000000005</v>
      </c>
      <c r="BL171" s="1111">
        <f t="shared" si="202"/>
        <v>-1083.3333333333333</v>
      </c>
      <c r="BM171" s="1110">
        <f t="shared" si="203"/>
        <v>-830.55555555555543</v>
      </c>
      <c r="BN171" s="1113">
        <f t="shared" si="204"/>
        <v>3</v>
      </c>
      <c r="BO171" s="1097">
        <f t="shared" si="205"/>
        <v>4507.7214871259994</v>
      </c>
      <c r="BP171" s="1100">
        <f t="shared" si="206"/>
        <v>221.34103209030098</v>
      </c>
      <c r="BQ171" s="1113" t="s">
        <v>623</v>
      </c>
      <c r="BR171" s="1124" t="s">
        <v>171</v>
      </c>
      <c r="BS171" s="1098">
        <f>IF($P171="","N/A",IF($P171=-1,INDEX('卡片raw data'!AX:AX,MATCH($D171,'卡片raw data'!$F:$F,)),0)+IF($L171="party卡",IF($P171=5,INDEX('卡片raw data'!BD:BD,MATCH($D171,'卡片raw data'!$F:$F,)),IF($P171&gt;=3,INDEX('卡片raw data'!BC:BC,MATCH($D171,'卡片raw data'!$F:$F,)),INDEX('卡片raw data'!BB:BB,MATCH($D171,'卡片raw data'!$F:$F,)))),IF(OR(AND($F171="UR",$P171=0),AND($F171="SR",$P171&gt;=0,$P171&lt;=2),AND($F171="R",$P171&gt;=0,$P171&lt;4)),INDEX('卡片raw data'!AZ:AZ,MATCH($D171,'卡片raw data'!$F:$F,)),0)+IF(OR(AND($F171="UR",$P171&gt;=1,$P171&lt;=4),AND($F171="SR",$P171&lt;=4,$P171&gt;=3),AND($F171="R",$P171=4)),INDEX('卡片raw data'!BA:BA,MATCH($D171,'卡片raw data'!$F:$F,)),0)+IF($P171=5,INDEX('卡片raw data'!BB:BB,MATCH($D171,'卡片raw data'!$F:$F,)),0)))</f>
        <v>3.2000000000000001E-2</v>
      </c>
      <c r="BT171" s="1101">
        <f t="shared" si="207"/>
        <v>1602.7454176448</v>
      </c>
      <c r="BU171" s="1097">
        <f t="shared" si="208"/>
        <v>68.861654428093644</v>
      </c>
      <c r="BV171" s="1097">
        <f t="shared" si="209"/>
        <v>801.37270882240011</v>
      </c>
      <c r="BW171" s="1112">
        <f t="shared" si="210"/>
        <v>0</v>
      </c>
      <c r="BX171" s="1100">
        <f t="shared" si="211"/>
        <v>1602.7454176448</v>
      </c>
      <c r="BY171" s="1110">
        <f t="shared" si="212"/>
        <v>801.37270882240011</v>
      </c>
      <c r="BZ171" s="1107" t="s">
        <v>569</v>
      </c>
      <c r="CA171" s="1124"/>
      <c r="CB171" s="1098">
        <f>IF($P171="","N/A",IF($P171=-1,INDEX('卡片raw data'!BE:BE,MATCH($D171,'卡片raw data'!$F:$F,)),0)+IF($L171="party卡",IF($P171=5,INDEX('卡片raw data'!BK:BK,MATCH($D171,'卡片raw data'!$F:$F,)),IF($P171&gt;=3,INDEX('卡片raw data'!BJ:BJ,MATCH($D171,'卡片raw data'!$F:$F,)),INDEX('卡片raw data'!BI:BI,MATCH($D171,'卡片raw data'!$F:$F,)))),IF(OR(AND($F171="UR",$P171=0),AND($F171="SR",$P171&gt;=0,$P171&lt;=2),AND($F171="R",$P171&gt;=0,$P171&lt;4)),INDEX('卡片raw data'!BG:BG,MATCH($D171,'卡片raw data'!$F:$F,)),0)+IF(OR(AND($F171="UR",$P171&gt;=1,$P171&lt;=4),AND($F171="SR",$P171&lt;=4,$P171&gt;=3),AND($F171="R",$P171=4)),INDEX('卡片raw data'!BH:BH,MATCH($D171,'卡片raw data'!$F:$F,)),0)+IF($P171=5,INDEX('卡片raw data'!BI:BI,MATCH($D171,'卡片raw data'!$F:$F,)),0)))</f>
        <v>0</v>
      </c>
      <c r="CC171" s="1101">
        <f t="shared" si="213"/>
        <v>0</v>
      </c>
      <c r="CD171" s="1097">
        <f>IF(BZ171="ap",CB171*(1-$FI$26)*$FB$5/$FB$11*(+IF(CA171="全员",$FA$24,0)+IF(CA171="同作战",$FA$24,0)+IF(CA171="仲间",$FA$24*2/3,0)+IF(CA171="同属性",$FA$24*$FA$37/3,0)+IF(CA171="同年级",$FA$24*$FA$40/3,0)+IF(CA171="同学校",$FA$24*$FA$43/3,0)+IF(CA171="同小队",$FA$24*$FA$46/3,0)+IF(CA171="同type",$FA$24*INDEX($FB$49:$FB$52,MATCH(X171,$FA$49:$FA$52,))/3,0)+IF(CA171="自身",#REF!/3,0)),0)+IF(BZ171="te",CB171*(1-$FI$27)*($FA$20-1)*$FB$7/$FB$13*(+IF(CA171="全员",$FA$19*$FA$24/(1+($FA$20-1)*$FA$19),0)+IF(CA171="同作战",$FA$19*$FA$24/(1+($FA$20-1)*$FA$19),0)+IF(CA171="仲间",$FA$19*$FA$24*2/3/(1+($FA$20-1)*$FA$19),0)+IF(CA171="同属性",$FA$19*$FA$24*$FA$37/3/(1+($FA$20-1)*$FA$19),0)+IF(CA171="同年级",$FA$19*$FA$24*$FA$40/3/(1+($FA$20-1)*$FA$19),0)+IF(CA171="同学校",$FA$19*$FA$24*$FA$43/3/(1+($FA$20-1)*$FA$19),0)+IF(CA171="同小队",$FA$19*$FA$24*$FA$46/3/(1+($FA$20-1)*$FA$19),0)+IF(CA171="同type",$FA$19*$FA$24*INDEX($FB$49:$FB$52,MATCH(X171,$FA$49:$FA$52,))/3/(1+($FA$20-1)*$FA$19),0)+IF(CA171="自身",$FA$19*#REF!/3/(1+(BH171-1)*$BD171),0)),0)</f>
        <v>0</v>
      </c>
      <c r="CE171" s="1097">
        <f t="shared" si="214"/>
        <v>0</v>
      </c>
      <c r="CF171" s="1112">
        <f t="shared" si="215"/>
        <v>0</v>
      </c>
      <c r="CG171" s="1100">
        <f t="shared" si="216"/>
        <v>0</v>
      </c>
      <c r="CH171" s="1110">
        <f t="shared" si="217"/>
        <v>0</v>
      </c>
      <c r="CI171" s="1113" t="s">
        <v>165</v>
      </c>
      <c r="CJ171" s="1114">
        <v>0.3</v>
      </c>
      <c r="CK171" s="1115" t="s">
        <v>551</v>
      </c>
      <c r="CL171" s="1115" t="s">
        <v>161</v>
      </c>
      <c r="CM171" s="1119">
        <v>0.03</v>
      </c>
      <c r="CN171" s="1115" t="s">
        <v>588</v>
      </c>
      <c r="CO171" s="1092"/>
      <c r="CP171" s="1118">
        <f t="shared" si="218"/>
        <v>8.9999999999999993E-3</v>
      </c>
      <c r="CQ171" s="1118">
        <f t="shared" si="219"/>
        <v>8.9999999999999993E-3</v>
      </c>
      <c r="CR171" s="1118">
        <f t="shared" si="220"/>
        <v>8.9999999999999993E-3</v>
      </c>
      <c r="CS171" s="1118">
        <f t="shared" si="221"/>
        <v>0</v>
      </c>
      <c r="CT171" s="1109">
        <f t="shared" si="222"/>
        <v>0</v>
      </c>
      <c r="CU171" s="1101">
        <f t="shared" si="223"/>
        <v>539.33504053893762</v>
      </c>
      <c r="CV171" s="1108">
        <f t="shared" si="224"/>
        <v>0</v>
      </c>
      <c r="CW171" s="1097">
        <f t="shared" si="225"/>
        <v>539.33504053893762</v>
      </c>
      <c r="CX171" s="1097">
        <f t="shared" si="226"/>
        <v>539.33504053893762</v>
      </c>
      <c r="CY171" s="1110">
        <f t="shared" si="227"/>
        <v>539.33504053893762</v>
      </c>
      <c r="CZ171" s="437"/>
      <c r="DA171" s="438"/>
      <c r="DB171" s="439" t="s">
        <v>569</v>
      </c>
      <c r="DC171" s="439"/>
      <c r="DD171" s="443"/>
      <c r="DE171" s="411"/>
      <c r="DF171" s="411"/>
      <c r="DG171" s="1116">
        <f t="shared" si="228"/>
        <v>0</v>
      </c>
      <c r="DH171" s="1116">
        <f t="shared" si="229"/>
        <v>0</v>
      </c>
      <c r="DI171" s="1116">
        <f t="shared" si="230"/>
        <v>0</v>
      </c>
      <c r="DJ171" s="442">
        <f t="shared" si="231"/>
        <v>0</v>
      </c>
      <c r="DK171" s="1109">
        <f t="shared" si="232"/>
        <v>0</v>
      </c>
      <c r="DL171" s="1101">
        <f t="shared" si="233"/>
        <v>0</v>
      </c>
      <c r="DM171" s="1097">
        <f t="shared" si="234"/>
        <v>0</v>
      </c>
      <c r="DN171" s="1097">
        <f t="shared" si="235"/>
        <v>0</v>
      </c>
      <c r="DO171" s="1097">
        <f t="shared" si="236"/>
        <v>0</v>
      </c>
      <c r="DP171" s="1110">
        <f t="shared" si="237"/>
        <v>0</v>
      </c>
      <c r="DQ171" s="1113" t="s">
        <v>256</v>
      </c>
      <c r="DR171" s="1120">
        <f t="shared" si="238"/>
        <v>0.3</v>
      </c>
      <c r="DS171" s="1124"/>
      <c r="DT171" s="1093" t="s">
        <v>548</v>
      </c>
      <c r="DU171" s="1093"/>
      <c r="DV171" s="1098">
        <f>IF($P171="","N/A",IF(P171=-1,INDEX('卡片raw data'!AN:AN,MATCH(D171,'卡片raw data'!$F:$F,)),0)+IF(AND(L171&lt;&gt;"party卡",P171&lt;=2,P171&gt;=0),INDEX('卡片raw data'!AP:AP,MATCH(D171,'卡片raw data'!$F:$F,)),0)+IF(OR(AND(L171="party卡",P171&lt;=1),AND(P171&lt;=4,L171&lt;&gt;"party卡",P171&gt;=3)),INDEX('卡片raw data'!AQ:AQ,MATCH(D171,'卡片raw data'!$F:$F,)),0)+IF(OR(P171=5,AND(L171="party卡",P171&gt;=2)),INDEX('卡片raw data'!AR:AR,MATCH(D171,'卡片raw data'!$F:$F,)),0))</f>
        <v>0.22</v>
      </c>
      <c r="DW171" s="1098">
        <f t="shared" si="239"/>
        <v>0.3</v>
      </c>
      <c r="DX171" s="1098">
        <f t="shared" si="240"/>
        <v>0.3</v>
      </c>
      <c r="DY171" s="1125">
        <f t="shared" si="241"/>
        <v>411.29113546839994</v>
      </c>
      <c r="DZ171" s="1125">
        <f t="shared" si="242"/>
        <v>321.38169040060512</v>
      </c>
      <c r="EA171" s="1098">
        <f t="shared" si="243"/>
        <v>0</v>
      </c>
      <c r="EB171" s="1121">
        <f t="shared" si="244"/>
        <v>0</v>
      </c>
      <c r="EC171" s="1101">
        <f t="shared" si="245"/>
        <v>588.14632371981202</v>
      </c>
      <c r="ED171" s="1097">
        <f t="shared" si="246"/>
        <v>0</v>
      </c>
      <c r="EE171" s="1110">
        <f t="shared" si="247"/>
        <v>588.14632371981202</v>
      </c>
      <c r="EF171" s="1092" t="s">
        <v>711</v>
      </c>
      <c r="EG171" s="1120">
        <f t="shared" si="248"/>
        <v>0.3</v>
      </c>
      <c r="EH171" s="1124"/>
      <c r="EI171" s="1093"/>
      <c r="EJ171" s="1093"/>
      <c r="EK171" s="1097">
        <f>IF($P171="","N/A",IF(P171=-1,INDEX('卡片raw data'!AS:AS,MATCH(D171,'卡片raw data'!$F:$F,)),0)+IF(AND(L171&lt;&gt;"party卡",P171&lt;=2,P171&gt;=0),INDEX('卡片raw data'!AU:AU,MATCH(D171,'卡片raw data'!$F:$F,)),0)+IF(OR(AND(L171="party卡",P171&lt;=1),AND(P171&lt;=4,L171&lt;&gt;"party卡",P171&gt;=3)),INDEX('卡片raw data'!AV:AV,MATCH(D171,'卡片raw data'!$F:$F,)),0)+IF(OR(P171=5,AND(L171="party卡",P171&gt;=2)),INDEX('卡片raw data'!AW:AW,MATCH(D171,'卡片raw data'!$F:$F,)),0))</f>
        <v>0</v>
      </c>
      <c r="EL171" s="1098">
        <f t="shared" si="249"/>
        <v>0.3</v>
      </c>
      <c r="EM171" s="1098">
        <f t="shared" si="250"/>
        <v>0.3</v>
      </c>
      <c r="EN171" s="1125">
        <f t="shared" si="251"/>
        <v>0</v>
      </c>
      <c r="EO171" s="1125">
        <f t="shared" si="252"/>
        <v>0</v>
      </c>
      <c r="EP171" s="1098">
        <f t="shared" si="253"/>
        <v>0</v>
      </c>
      <c r="EQ171" s="1121">
        <f t="shared" si="254"/>
        <v>0</v>
      </c>
      <c r="ER171" s="1101">
        <f t="shared" si="255"/>
        <v>0</v>
      </c>
      <c r="ES171" s="1097">
        <f t="shared" si="256"/>
        <v>0</v>
      </c>
      <c r="ET171" s="1122">
        <f t="shared" si="257"/>
        <v>0</v>
      </c>
    </row>
    <row r="172" spans="2:150" ht="16.5" customHeight="1">
      <c r="B172" s="1123" t="str">
        <f>INDEX('卡片raw data'!B:B,MATCH($D172,'卡片raw data'!$F:$F,))</f>
        <v>合奏梨</v>
      </c>
      <c r="C172" s="449" t="s">
        <v>22</v>
      </c>
      <c r="D172" s="408">
        <v>169</v>
      </c>
      <c r="E172" s="1090">
        <v>401023001</v>
      </c>
      <c r="F172" s="1090" t="str">
        <f>INDEX('卡片raw data'!C:C,MATCH($D172,'卡片raw data'!$F:$F,))</f>
        <v>UR</v>
      </c>
      <c r="G172" s="1094" t="s">
        <v>34</v>
      </c>
      <c r="H172" s="411">
        <f>IFERROR(INDEX(绊状态确认!C:C,MATCH($G172,绊状态确认!$B:$B,)),"")</f>
        <v>102</v>
      </c>
      <c r="I172" s="450" t="str">
        <f>IFERROR(INDEX(绊状态确认!D:D,MATCH($G172,绊状态确认!$B:$B,)),"")</f>
        <v>水</v>
      </c>
      <c r="J172" s="450" t="str">
        <f>IFERROR(INDEX(绊状态确认!E:E,MATCH($G172,绊状态确认!$B:$B,)),"")</f>
        <v>2年级</v>
      </c>
      <c r="K172" s="451" t="str">
        <f>IFERROR(INDEX(绊状态确认!F:F,MATCH($G172,绊状态确认!$B:$B,)),"")</f>
        <v>Guilty Kiss</v>
      </c>
      <c r="L172" s="1094" t="str">
        <f>INDEX('卡片raw data'!E:E,MATCH($D172,'卡片raw data'!$F:$F,))</f>
        <v>活动卡</v>
      </c>
      <c r="M172" s="415">
        <v>43867</v>
      </c>
      <c r="N172" s="416">
        <v>9</v>
      </c>
      <c r="O172" s="1091" t="str">
        <f>INDEX('卡片raw data'!D:D,MATCH($D172,'卡片raw data'!$F:$F,))</f>
        <v>vo</v>
      </c>
      <c r="P172" s="417">
        <v>5</v>
      </c>
      <c r="Q172" s="1095">
        <f t="shared" si="173"/>
        <v>47616.580492761044</v>
      </c>
      <c r="R172" s="1096">
        <f t="shared" si="174"/>
        <v>0.55300000000000005</v>
      </c>
      <c r="S172" s="1097">
        <f t="shared" si="175"/>
        <v>18389.785258524989</v>
      </c>
      <c r="T172" s="1098">
        <f t="shared" si="176"/>
        <v>0.91900000000000004</v>
      </c>
      <c r="U172" s="1099">
        <f t="shared" si="177"/>
        <v>-10.694992102857144</v>
      </c>
      <c r="V172" s="1100">
        <f t="shared" si="178"/>
        <v>47458.517139150208</v>
      </c>
      <c r="W172" s="1101">
        <f t="shared" si="179"/>
        <v>7479.0514729356091</v>
      </c>
      <c r="X172" s="1096">
        <f t="shared" si="180"/>
        <v>8.5999999999999993E-2</v>
      </c>
      <c r="Y172" s="1097">
        <f t="shared" si="181"/>
        <v>1146.6050966308667</v>
      </c>
      <c r="Z172" s="1102">
        <f t="shared" si="182"/>
        <v>14.305007897142856</v>
      </c>
      <c r="AA172" s="1103">
        <f t="shared" si="183"/>
        <v>8625.6565695664758</v>
      </c>
      <c r="AB172" s="1101">
        <f t="shared" si="184"/>
        <v>7639.3170708082507</v>
      </c>
      <c r="AC172" s="1104">
        <f t="shared" si="185"/>
        <v>8.7999999999999995E-2</v>
      </c>
      <c r="AD172" s="1105">
        <f t="shared" si="186"/>
        <v>0</v>
      </c>
      <c r="AE172" s="1128">
        <f t="shared" si="187"/>
        <v>0</v>
      </c>
      <c r="AF172" s="1130">
        <f t="shared" si="188"/>
        <v>0</v>
      </c>
      <c r="AG172" s="420">
        <f t="shared" si="189"/>
        <v>0</v>
      </c>
      <c r="AH172" s="420">
        <f t="shared" si="190"/>
        <v>0</v>
      </c>
      <c r="AI172" s="1097">
        <f t="shared" si="191"/>
        <v>0</v>
      </c>
      <c r="AJ172" s="420">
        <f t="shared" si="192"/>
        <v>0</v>
      </c>
      <c r="AK172" s="518">
        <f t="shared" si="193"/>
        <v>0</v>
      </c>
      <c r="AL172" s="1106">
        <f>IF($P172="","N/A",(IF($P172=-1,INDEX('卡片raw data'!S:S,MATCH($D172,'卡片raw data'!$F:$F,)),0)+IF($P172=0,INDEX('卡片raw data'!V:V,MATCH($D172,'卡片raw data'!$F:$F,)),0)+IF($P172=1,INDEX('卡片raw data'!Y:Y,MATCH($D172,'卡片raw data'!$F:$F,)),0)+IF($P172=2,INDEX('卡片raw data'!AB:AB,MATCH($D172,'卡片raw data'!$F:$F,)),0)+IF($P172=3,INDEX('卡片raw data'!AE:AE,MATCH($D172,'卡片raw data'!$F:$F,)),0)+IF($P172=4,INDEX('卡片raw data'!AH:AH,MATCH($D172,'卡片raw data'!$F:$F,)),0)+IF($P172=5,INDEX('卡片raw data'!AK:AK,MATCH($D172,'卡片raw data'!$F:$F,)),0)+INDEX('卡片raw data'!S:S,MATCH($D172,'卡片raw data'!$F:$F,))*(IF($F172="UR",0.04,0.033))*(IF($F172="UR",INDEX(绊状态确认!$S:$S,MATCH($G172,绊状态确认!$B:$B,))/2-40)+IF($F172="SR",INDEX(绊状态确认!$R:$R,MATCH($G172,绊状态确认!$B:$B,))/4-15))+IF($F172="R",INDEX(绊状态确认!$Q:$Q,MATCH($G172,绊状态确认!$B:$B,))/6-40/6)))*(INDEX(绊状态确认!$H:$H,MATCH($G172,绊状态确认!$B:$B,))+INDEX(绊状态确认!J:J,MATCH($G172,绊状态确认!$B:$B,)))</f>
        <v>9880.0888799999993</v>
      </c>
      <c r="AM172" s="1106">
        <f>IF($P172="","N/A",(IF($P172=-1,INDEX('卡片raw data'!T:T,MATCH($D172,'卡片raw data'!$F:$F,)),0)+IF($P172=0,INDEX('卡片raw data'!W:W,MATCH($D172,'卡片raw data'!$F:$F,)),0)+IF($P172=1,INDEX('卡片raw data'!Z:Z,MATCH($D172,'卡片raw data'!$F:$F,)),0)+IF($P172=2,INDEX('卡片raw data'!AC:AC,MATCH($D172,'卡片raw data'!$F:$F,)),0)+IF($P172=3,INDEX('卡片raw data'!AF:AF,MATCH($D172,'卡片raw data'!$F:$F,)),0)+IF($P172=4,INDEX('卡片raw data'!AI:AI,MATCH($D172,'卡片raw data'!$F:$F,)),0)+IF($P172=5,INDEX('卡片raw data'!AL:AL,MATCH($D172,'卡片raw data'!$F:$F,)),0)+INDEX('卡片raw data'!T:T,MATCH($D172,'卡片raw data'!$F:$F,))*(IF($F172="UR",0.04,0.033))*(IF($F172="UR",INDEX(绊状态确认!$S:$S,MATCH($G172,绊状态确认!$B:$B,))/2-40)+IF($F172="SR",INDEX(绊状态确认!$R:$R,MATCH($G172,绊状态确认!$B:$B,))/4-15))+IF($F172="R",INDEX(绊状态确认!$Q:$Q,MATCH($G172,绊状态确认!$B:$B,))/6-40/6)))*(INDEX(绊状态确认!$H:$H,MATCH($G172,绊状态确认!$B:$B,))+INDEX(绊状态确认!K:K,MATCH($G172,绊状态确认!$B:$B,)))</f>
        <v>7800.2495999999992</v>
      </c>
      <c r="AN172" s="1106">
        <f>IF($P172="","N/A",(IF($P172=-1,INDEX('卡片raw data'!U:U,MATCH($D172,'卡片raw data'!$F:$F,)),0)+IF($P172=0,INDEX('卡片raw data'!X:X,MATCH($D172,'卡片raw data'!$F:$F,)),0)+IF($P172=1,INDEX('卡片raw data'!AA:AA,MATCH($D172,'卡片raw data'!$F:$F,)),0)+IF($P172=2,INDEX('卡片raw data'!AD:AD,MATCH($D172,'卡片raw data'!$F:$F,)),0)+IF($P172=3,INDEX('卡片raw data'!AG:AG,MATCH($D172,'卡片raw data'!$F:$F,)),0)+IF($P172=4,INDEX('卡片raw data'!AJ:AJ,MATCH($D172,'卡片raw data'!$F:$F,)),0)+IF($P172=5,INDEX('卡片raw data'!AM:AM,MATCH($D172,'卡片raw data'!$F:$F,)),0)+INDEX('卡片raw data'!U:U,MATCH($D172,'卡片raw data'!$F:$F,))*(IF($F172="UR",0.04,0.033))*(IF($F172="UR",INDEX(绊状态确认!$S:$S,MATCH($G172,绊状态确认!$B:$B,))/2-40)+IF($F172="SR",INDEX(绊状态确认!$R:$R,MATCH($G172,绊状态确认!$B:$B,))/4-15))+IF($F172="R",INDEX(绊状态确认!$Q:$Q,MATCH($G172,绊状态确认!$B:$B,))/6-40/6)))*(INDEX(绊状态确认!$H:$H,MATCH($G172,绊状态确认!$B:$B,))+INDEX(绊状态确认!L:L,MATCH($G172,绊状态确认!$B:$B,)))</f>
        <v>8319.3571199999988</v>
      </c>
      <c r="AO172" s="1107">
        <f t="shared" si="194"/>
        <v>1</v>
      </c>
      <c r="AP172" s="1131">
        <f>1+(INDEX(绊状态确认!$T:$T,MATCH($G172,绊状态确认!$B:$B,))+0.2)*$AO172</f>
        <v>1.3</v>
      </c>
      <c r="AQ172" s="1108">
        <f t="shared" si="195"/>
        <v>29185.23331</v>
      </c>
      <c r="AR172" s="1097">
        <f>(AM172*(1+$EX$9)+$EX$35)*(1+(INDEX(绊状态确认!$T:$T,MATCH($G172,绊状态确认!$B:$B,))+0.2)*AO172)*IF(J172=$FF$17,1+$FE$17,1)*IF(I172=$FF$14,1+$FE$14,1)*(1+$FE$15)</f>
        <v>13351.340704</v>
      </c>
      <c r="AS172" s="1097">
        <f>(AN172*(1+$EX$10)+$EX$36)*(1+(INDEX(绊状态确认!$T:$T,MATCH($G172,绊状态确认!$B:$B,))+0.2)*AO172)*IF(J172=$FF$17,1+$FE$17,1)*IF(I172=$FF$14,1+$FE$14,1)*(1+$FE$15)</f>
        <v>16493.438894399998</v>
      </c>
      <c r="AT172" s="1093">
        <f>IF(AND(INDEX('卡片raw data'!AK:AK,MATCH($D172,'卡片raw data'!$F:$F,))&lt;INDEX('卡片raw data'!AM:AM,MATCH($D172,'卡片raw data'!$F:$F,)),INDEX('卡片raw data'!AL:AL,MATCH($D172,'卡片raw data'!$F:$F,))&lt;INDEX('卡片raw data'!AM:AM,MATCH($D172,'卡片raw data'!$F:$F,))),1,0)</f>
        <v>0</v>
      </c>
      <c r="AU172" s="1098">
        <f>MIN(AT172*0.15+AS172*0.00003+INDEX(绊状态确认!M:M,MATCH($G172,绊状态确认!$B:$B,)),1)</f>
        <v>0.52480316683200001</v>
      </c>
      <c r="AV172" s="1109">
        <f>(INDEX(绊状态确认!$N:$N,MATCH($G172,绊状态确认!$B:$B,))+1.5)*$EW$21</f>
        <v>2.6599999999999997</v>
      </c>
      <c r="AW172" s="1101">
        <f t="shared" si="196"/>
        <v>28361.848652499008</v>
      </c>
      <c r="AX172" s="1097">
        <f t="shared" si="197"/>
        <v>1146.6050966308658</v>
      </c>
      <c r="AY172" s="1110">
        <f t="shared" si="198"/>
        <v>29508.453749129872</v>
      </c>
      <c r="AZ172" s="429">
        <f t="shared" si="199"/>
        <v>21866.173315999997</v>
      </c>
      <c r="BA172" s="431">
        <f t="shared" si="200"/>
        <v>26239.407979199994</v>
      </c>
      <c r="BB172" s="1097">
        <f>(AM172*(1+$FB$9)+$FB$35)*(1+(INDEX(绊状态确认!$T:$T,MATCH($G172,绊状态确认!$B:$B,))+0.2)*AO172)*IF(J172=$FF$17,1+$FE$17,1)*IF(I172=$FF$14,1+$FE$14,1)*(1+$FE$15)</f>
        <v>13351.340704</v>
      </c>
      <c r="BC172" s="1097">
        <f>(AN172*(1+$FB$10)+$FB$36)*(1+(INDEX(绊状态确认!$T:$T,MATCH($G172,绊状态确认!$B:$B,))+0.2)*AO172)*IF(J172=$FF$17,1+$FE$17,1)*IF(I172=$FF$14,1+$FE$14,1)*(1+$FE$15)</f>
        <v>16493.438894399998</v>
      </c>
      <c r="BD172" s="1104">
        <f>MIN(AT172*0.15+BC172*0.00003+INDEX(绊状态确认!M:M,MATCH($G172,绊状态确认!$B:$B,)),1)</f>
        <v>0.52480316683200001</v>
      </c>
      <c r="BE172" s="432">
        <f>(INDEX(绊状态确认!$N:$N,MATCH($G172,绊状态确认!$B:$B,))+1.5)</f>
        <v>1.9</v>
      </c>
      <c r="BF172" s="1139">
        <f t="array" ref="BF172">SUMPRODUCT(IF(AZ172*AP172*$FI$16:$FI$23*$FA$22&gt;=$FI$24,$FI$24,AZ172*AP172*$FI$16:$FI$23*$FA$22),$FJ$16:$FJ$23)</f>
        <v>43491.81872552399</v>
      </c>
      <c r="BG172" s="1125">
        <f t="array" ref="BG172">SUMPRODUCT(IF(BE172*AZ172*AP172*$FI$16:$FI$23*$FA$22&gt;=$FI$24,$FI$24,BE172*AZ172*AP172*$FI$16:$FI$23*$FA$22),$FJ$16:$FJ$23)</f>
        <v>60000</v>
      </c>
      <c r="BH172" s="1110">
        <f t="shared" si="201"/>
        <v>17385.121512335241</v>
      </c>
      <c r="BI172" s="1111">
        <f>IF(O172="vo",$EW$26/$EW$24*0.05,0)+IF(O172="sk",-$EW$26/$EW$24*(0.05-INDEX(绊状态确认!W:W,MATCH($G172,绊状态确认!$B:$B,)))+0.05*$EW$28,0)+IF(O172="sp",0.05*$EW$32*$EW$30*(1-$EW$33)-(0.05-INDEX(绊状态确认!V:V,MATCH($G172,绊状态确认!$B:$B,)))*$EW$28,0)+IF(O172="gd",-(0.05-INDEX(绊状态确认!X:X,MATCH($G172,绊状态确认!$B:$B,)))*$EW$32*$EW$30*(1-$EW$33),0)</f>
        <v>7726.3029277443748</v>
      </c>
      <c r="BJ172" s="1097">
        <f>IF(O172="vo",0.05*(1-$FI$26)*$FA$24,0)+IF(O172="sk",-(0.05-INDEX(绊状态确认!W:W,MATCH($G172,绊状态确认!$B:$B,)))*(1-$FI$26)*$FA$24+0.05*$FA$26,0)+IF(O172="sp",0.05*$FA$32*$FA$27*(1-$FA$33)/$FA$30+0.05*$FA$29/$FA$69*$FA$27*(1-$FA$33)-(0.05-INDEX(绊状态确认!V:V,MATCH($G172,绊状态确认!$B:$B,)))*$FA$26,0)+IF(O172="gd",-(0.05-INDEX(绊状态确认!X:X,MATCH($G172,绊状态确认!$B:$B,)))*$FA$32*$FA$27*(1-$FA$33)/$FA$30-(0.05-INDEX(绊状态确认!X:X,MATCH($G172,绊状态确认!$B:$B,)))*$FA$29/$FA$69*$FA$27*(1-$FA$33),0)</f>
        <v>393.93433687500004</v>
      </c>
      <c r="BK172" s="1110">
        <f>IF(O172="vo",$EW$26/$EW$24*0.05+$EW$26*(-HP($EW$62,$EW$65,$EW$64)+HP($EW$62,$EW$65,(1.05-INDEX(绊状态确认!U:U,MATCH($G172,绊状态确认!$B:$B,)))*$EW$64)),0)+IF(O172="sk",-$EW$26/$EW$24*(0.05-INDEX(绊状态确认!W:W,MATCH($G172,绊状态确认!$B:$B,)))+0.05*$EW$29,0)+IF(O172="sp",0.05*$EW$32*$EW$30*(1-$EW$33)-(0.05-INDEX(绊状态确认!V:V,MATCH($G172,绊状态确认!$B:$B,)))*$EW$29,0)+IF(O172="gd",-(0.05-INDEX(绊状态确认!X:X,MATCH($G172,绊状态确认!$B:$B,)))*$EW$32*$EW$30*(1-$EW$33)+$EW$26*(-HP($EW$62,$EW$65,$EW$64)+HP($EW$62,$EW$65,0.95*$EW$64)),0)</f>
        <v>6421.6344775026746</v>
      </c>
      <c r="BL172" s="1111">
        <f t="shared" si="202"/>
        <v>0</v>
      </c>
      <c r="BM172" s="1110">
        <f t="shared" si="203"/>
        <v>0</v>
      </c>
      <c r="BN172" s="1113">
        <f t="shared" si="204"/>
        <v>3</v>
      </c>
      <c r="BO172" s="1097">
        <f t="shared" si="205"/>
        <v>4507.7214871259994</v>
      </c>
      <c r="BP172" s="1100">
        <f t="shared" si="206"/>
        <v>221.34103209030098</v>
      </c>
      <c r="BQ172" s="1113" t="s">
        <v>145</v>
      </c>
      <c r="BR172" s="1124" t="s">
        <v>147</v>
      </c>
      <c r="BS172" s="1098">
        <f>IF($P172="","N/A",IF($P172=-1,INDEX('卡片raw data'!AX:AX,MATCH($D172,'卡片raw data'!$F:$F,)),0)+IF($L172="party卡",IF($P172=5,INDEX('卡片raw data'!BD:BD,MATCH($D172,'卡片raw data'!$F:$F,)),IF($P172&gt;=3,INDEX('卡片raw data'!BC:BC,MATCH($D172,'卡片raw data'!$F:$F,)),INDEX('卡片raw data'!BB:BB,MATCH($D172,'卡片raw data'!$F:$F,)))),IF(OR(AND($F172="UR",$P172=0),AND($F172="SR",$P172&gt;=0,$P172&lt;=2),AND($F172="R",$P172&gt;=0,$P172&lt;4)),INDEX('卡片raw data'!AZ:AZ,MATCH($D172,'卡片raw data'!$F:$F,)),0)+IF(OR(AND($F172="UR",$P172&gt;=1,$P172&lt;=4),AND($F172="SR",$P172&lt;=4,$P172&gt;=3),AND($F172="R",$P172=4)),INDEX('卡片raw data'!BA:BA,MATCH($D172,'卡片raw data'!$F:$F,)),0)+IF($P172=5,INDEX('卡片raw data'!BB:BB,MATCH($D172,'卡片raw data'!$F:$F,)),0)))</f>
        <v>4.2000000000000003E-2</v>
      </c>
      <c r="BT172" s="1101">
        <f t="shared" si="207"/>
        <v>2971.3299858096102</v>
      </c>
      <c r="BU172" s="1097">
        <f t="shared" si="208"/>
        <v>214.92580204297263</v>
      </c>
      <c r="BV172" s="1097">
        <f t="shared" si="209"/>
        <v>2971.3299858096102</v>
      </c>
      <c r="BW172" s="1112">
        <f t="shared" si="210"/>
        <v>0</v>
      </c>
      <c r="BX172" s="1100">
        <f t="shared" si="211"/>
        <v>2971.3299858096102</v>
      </c>
      <c r="BY172" s="1110">
        <f t="shared" si="212"/>
        <v>2971.3299858096102</v>
      </c>
      <c r="BZ172" s="1107" t="s">
        <v>569</v>
      </c>
      <c r="CA172" s="1124"/>
      <c r="CB172" s="1098">
        <f>IF($P172="","N/A",IF($P172=-1,INDEX('卡片raw data'!BE:BE,MATCH($D172,'卡片raw data'!$F:$F,)),0)+IF($L172="party卡",IF($P172=5,INDEX('卡片raw data'!BK:BK,MATCH($D172,'卡片raw data'!$F:$F,)),IF($P172&gt;=3,INDEX('卡片raw data'!BJ:BJ,MATCH($D172,'卡片raw data'!$F:$F,)),INDEX('卡片raw data'!BI:BI,MATCH($D172,'卡片raw data'!$F:$F,)))),IF(OR(AND($F172="UR",$P172=0),AND($F172="SR",$P172&gt;=0,$P172&lt;=2),AND($F172="R",$P172&gt;=0,$P172&lt;4)),INDEX('卡片raw data'!BG:BG,MATCH($D172,'卡片raw data'!$F:$F,)),0)+IF(OR(AND($F172="UR",$P172&gt;=1,$P172&lt;=4),AND($F172="SR",$P172&lt;=4,$P172&gt;=3),AND($F172="R",$P172=4)),INDEX('卡片raw data'!BH:BH,MATCH($D172,'卡片raw data'!$F:$F,)),0)+IF($P172=5,INDEX('卡片raw data'!BI:BI,MATCH($D172,'卡片raw data'!$F:$F,)),0)))</f>
        <v>0</v>
      </c>
      <c r="CC172" s="1101">
        <f t="shared" si="213"/>
        <v>0</v>
      </c>
      <c r="CD172" s="1097">
        <f>IF(BZ172="ap",CB172*(1-$FI$26)*$FB$5/$FB$11*(+IF(CA172="全员",$FA$24,0)+IF(CA172="同作战",$FA$24,0)+IF(CA172="仲间",$FA$24*2/3,0)+IF(CA172="同属性",$FA$24*$FA$37/3,0)+IF(CA172="同年级",$FA$24*$FA$40/3,0)+IF(CA172="同学校",$FA$24*$FA$43/3,0)+IF(CA172="同小队",$FA$24*$FA$46/3,0)+IF(CA172="同type",$FA$24*INDEX($FB$49:$FB$52,MATCH(X172,$FA$49:$FA$52,))/3,0)+IF(CA172="自身",#REF!/3,0)),0)+IF(BZ172="te",CB172*(1-$FI$27)*($FA$20-1)*$FB$7/$FB$13*(+IF(CA172="全员",$FA$19*$FA$24/(1+($FA$20-1)*$FA$19),0)+IF(CA172="同作战",$FA$19*$FA$24/(1+($FA$20-1)*$FA$19),0)+IF(CA172="仲间",$FA$19*$FA$24*2/3/(1+($FA$20-1)*$FA$19),0)+IF(CA172="同属性",$FA$19*$FA$24*$FA$37/3/(1+($FA$20-1)*$FA$19),0)+IF(CA172="同年级",$FA$19*$FA$24*$FA$40/3/(1+($FA$20-1)*$FA$19),0)+IF(CA172="同学校",$FA$19*$FA$24*$FA$43/3/(1+($FA$20-1)*$FA$19),0)+IF(CA172="同小队",$FA$19*$FA$24*$FA$46/3/(1+($FA$20-1)*$FA$19),0)+IF(CA172="同type",$FA$19*$FA$24*INDEX($FB$49:$FB$52,MATCH(X172,$FA$49:$FA$52,))/3/(1+($FA$20-1)*$FA$19),0)+IF(CA172="自身",$FA$19*#REF!/3/(1+(BH172-1)*$BD172),0)),0)</f>
        <v>0</v>
      </c>
      <c r="CE172" s="1097">
        <f t="shared" si="214"/>
        <v>0</v>
      </c>
      <c r="CF172" s="1112">
        <f t="shared" si="215"/>
        <v>0</v>
      </c>
      <c r="CG172" s="1100">
        <f t="shared" si="216"/>
        <v>0</v>
      </c>
      <c r="CH172" s="1110">
        <f t="shared" si="217"/>
        <v>0</v>
      </c>
      <c r="CI172" s="1113" t="s">
        <v>162</v>
      </c>
      <c r="CJ172" s="1114">
        <v>0.2</v>
      </c>
      <c r="CK172" s="1115" t="s">
        <v>153</v>
      </c>
      <c r="CL172" s="1115" t="s">
        <v>168</v>
      </c>
      <c r="CM172" s="1119">
        <f>1%*$EX$57</f>
        <v>5.5E-2</v>
      </c>
      <c r="CN172" s="1115">
        <v>5</v>
      </c>
      <c r="CO172" s="1092"/>
      <c r="CP172" s="1118">
        <f t="shared" si="218"/>
        <v>1.1785714285714288E-3</v>
      </c>
      <c r="CQ172" s="1118">
        <f t="shared" si="219"/>
        <v>1.8333333333333337E-3</v>
      </c>
      <c r="CR172" s="1118">
        <f t="shared" si="220"/>
        <v>0</v>
      </c>
      <c r="CS172" s="1118">
        <f t="shared" si="221"/>
        <v>0</v>
      </c>
      <c r="CT172" s="1109">
        <f t="shared" si="222"/>
        <v>0</v>
      </c>
      <c r="CU172" s="1101">
        <f t="shared" si="223"/>
        <v>160.26559787264051</v>
      </c>
      <c r="CV172" s="1108">
        <f t="shared" si="224"/>
        <v>12.036882515625004</v>
      </c>
      <c r="CW172" s="1097">
        <f t="shared" si="225"/>
        <v>0</v>
      </c>
      <c r="CX172" s="1097">
        <f t="shared" si="226"/>
        <v>160.26559787264051</v>
      </c>
      <c r="CY172" s="1110">
        <f t="shared" si="227"/>
        <v>0</v>
      </c>
      <c r="CZ172" s="437"/>
      <c r="DA172" s="438"/>
      <c r="DB172" s="439" t="s">
        <v>569</v>
      </c>
      <c r="DC172" s="439"/>
      <c r="DD172" s="443"/>
      <c r="DE172" s="411"/>
      <c r="DF172" s="411"/>
      <c r="DG172" s="1116">
        <f t="shared" si="228"/>
        <v>0</v>
      </c>
      <c r="DH172" s="1116">
        <f t="shared" si="229"/>
        <v>0</v>
      </c>
      <c r="DI172" s="1116">
        <f t="shared" si="230"/>
        <v>0</v>
      </c>
      <c r="DJ172" s="442">
        <f t="shared" si="231"/>
        <v>0</v>
      </c>
      <c r="DK172" s="1109">
        <f t="shared" si="232"/>
        <v>0</v>
      </c>
      <c r="DL172" s="1101">
        <f t="shared" si="233"/>
        <v>0</v>
      </c>
      <c r="DM172" s="1097">
        <f t="shared" si="234"/>
        <v>0</v>
      </c>
      <c r="DN172" s="1097">
        <f t="shared" si="235"/>
        <v>0</v>
      </c>
      <c r="DO172" s="1097">
        <f t="shared" si="236"/>
        <v>0</v>
      </c>
      <c r="DP172" s="1110">
        <f t="shared" si="237"/>
        <v>0</v>
      </c>
      <c r="DQ172" s="1113" t="s">
        <v>153</v>
      </c>
      <c r="DR172" s="1120">
        <f t="shared" si="238"/>
        <v>0.33</v>
      </c>
      <c r="DS172" s="1124">
        <v>5</v>
      </c>
      <c r="DT172" s="1093" t="s">
        <v>161</v>
      </c>
      <c r="DU172" s="1093" t="s">
        <v>544</v>
      </c>
      <c r="DV172" s="1098">
        <f>IF($P172="","N/A",IF(P172=-1,INDEX('卡片raw data'!AN:AN,MATCH(D172,'卡片raw data'!$F:$F,)),0)+IF(AND(L172&lt;&gt;"party卡",P172&lt;=2,P172&gt;=0),INDEX('卡片raw data'!AP:AP,MATCH(D172,'卡片raw data'!$F:$F,)),0)+IF(OR(AND(L172="party卡",P172&lt;=1),AND(P172&lt;=4,L172&lt;&gt;"party卡",P172&gt;=3)),INDEX('卡片raw data'!AQ:AQ,MATCH(D172,'卡片raw data'!$F:$F,)),0)+IF(OR(P172=5,AND(L172="party卡",P172&gt;=2)),INDEX('卡片raw data'!AR:AR,MATCH(D172,'卡片raw data'!$F:$F,)),0))</f>
        <v>5.1999999999999998E-2</v>
      </c>
      <c r="DW172" s="1098">
        <f t="shared" si="239"/>
        <v>0.33</v>
      </c>
      <c r="DX172" s="1098">
        <f t="shared" si="240"/>
        <v>0.33</v>
      </c>
      <c r="DY172" s="1098">
        <f t="shared" si="241"/>
        <v>2.86E-2</v>
      </c>
      <c r="DZ172" s="1098">
        <f t="shared" si="242"/>
        <v>2.4739000000000001E-2</v>
      </c>
      <c r="EA172" s="1098">
        <f t="shared" si="243"/>
        <v>0</v>
      </c>
      <c r="EB172" s="1121">
        <f t="shared" si="244"/>
        <v>0</v>
      </c>
      <c r="EC172" s="1101">
        <f t="shared" si="245"/>
        <v>3889.111841709409</v>
      </c>
      <c r="ED172" s="1097">
        <f t="shared" si="246"/>
        <v>162.42569266584377</v>
      </c>
      <c r="EE172" s="1110">
        <f t="shared" si="247"/>
        <v>3889.111841709409</v>
      </c>
      <c r="EF172" s="1092" t="s">
        <v>711</v>
      </c>
      <c r="EG172" s="1120">
        <f t="shared" si="248"/>
        <v>0.33</v>
      </c>
      <c r="EH172" s="1124"/>
      <c r="EI172" s="1093"/>
      <c r="EJ172" s="1093"/>
      <c r="EK172" s="1097">
        <f>IF($P172="","N/A",IF(P172=-1,INDEX('卡片raw data'!AS:AS,MATCH(D172,'卡片raw data'!$F:$F,)),0)+IF(AND(L172&lt;&gt;"party卡",P172&lt;=2,P172&gt;=0),INDEX('卡片raw data'!AU:AU,MATCH(D172,'卡片raw data'!$F:$F,)),0)+IF(OR(AND(L172="party卡",P172&lt;=1),AND(P172&lt;=4,L172&lt;&gt;"party卡",P172&gt;=3)),INDEX('卡片raw data'!AV:AV,MATCH(D172,'卡片raw data'!$F:$F,)),0)+IF(OR(P172=5,AND(L172="party卡",P172&gt;=2)),INDEX('卡片raw data'!AW:AW,MATCH(D172,'卡片raw data'!$F:$F,)),0))</f>
        <v>0</v>
      </c>
      <c r="EL172" s="1098">
        <f t="shared" si="249"/>
        <v>0.33</v>
      </c>
      <c r="EM172" s="1098">
        <f t="shared" si="250"/>
        <v>0.33</v>
      </c>
      <c r="EN172" s="1125">
        <f t="shared" si="251"/>
        <v>0</v>
      </c>
      <c r="EO172" s="1125">
        <f t="shared" si="252"/>
        <v>0</v>
      </c>
      <c r="EP172" s="1098">
        <f t="shared" si="253"/>
        <v>0</v>
      </c>
      <c r="EQ172" s="1121">
        <f t="shared" si="254"/>
        <v>0</v>
      </c>
      <c r="ER172" s="1101">
        <f t="shared" si="255"/>
        <v>0</v>
      </c>
      <c r="ES172" s="1097">
        <f t="shared" si="256"/>
        <v>0</v>
      </c>
      <c r="ET172" s="1122">
        <f t="shared" si="257"/>
        <v>0</v>
      </c>
    </row>
    <row r="173" spans="2:150" ht="16.5" customHeight="1">
      <c r="B173" s="1123" t="str">
        <f>INDEX('卡片raw data'!B:B,MATCH($D173,'卡片raw data'!$F:$F,))</f>
        <v>合奏姬</v>
      </c>
      <c r="C173" s="449" t="s">
        <v>67</v>
      </c>
      <c r="D173" s="408">
        <v>170</v>
      </c>
      <c r="E173" s="1090">
        <v>400063001</v>
      </c>
      <c r="F173" s="1090" t="str">
        <f>INDEX('卡片raw data'!C:C,MATCH($D173,'卡片raw data'!$F:$F,))</f>
        <v>UR</v>
      </c>
      <c r="G173" s="1094" t="s">
        <v>29</v>
      </c>
      <c r="H173" s="411">
        <f>IFERROR(INDEX(绊状态确认!C:C,MATCH($G173,绊状态确认!$B:$B,)),"")</f>
        <v>6</v>
      </c>
      <c r="I173" s="450" t="str">
        <f>IFERROR(INDEX(绊状态确认!D:D,MATCH($G173,绊状态确认!$B:$B,)),"")</f>
        <v>缪</v>
      </c>
      <c r="J173" s="450" t="str">
        <f>IFERROR(INDEX(绊状态确认!E:E,MATCH($G173,绊状态确认!$B:$B,)),"")</f>
        <v>1年级</v>
      </c>
      <c r="K173" s="451" t="str">
        <f>IFERROR(INDEX(绊状态确认!F:F,MATCH($G173,绊状态确认!$B:$B,)),"")</f>
        <v>BiBi</v>
      </c>
      <c r="L173" s="1094" t="str">
        <f>INDEX('卡片raw data'!E:E,MATCH($D173,'卡片raw data'!$F:$F,))</f>
        <v>卡池卡</v>
      </c>
      <c r="M173" s="415">
        <v>43867</v>
      </c>
      <c r="N173" s="416">
        <v>9</v>
      </c>
      <c r="O173" s="1091" t="str">
        <f>INDEX('卡片raw data'!D:D,MATCH($D173,'卡片raw data'!$F:$F,))</f>
        <v>sp</v>
      </c>
      <c r="P173" s="417">
        <v>5</v>
      </c>
      <c r="Q173" s="1095">
        <f t="shared" si="173"/>
        <v>44567.891358715897</v>
      </c>
      <c r="R173" s="1096">
        <f t="shared" si="174"/>
        <v>0.51800000000000002</v>
      </c>
      <c r="S173" s="1097">
        <f t="shared" si="175"/>
        <v>19783.500685132494</v>
      </c>
      <c r="T173" s="1098">
        <f t="shared" si="176"/>
        <v>0.98899999999999999</v>
      </c>
      <c r="U173" s="1099">
        <f t="shared" si="177"/>
        <v>17.829745685142854</v>
      </c>
      <c r="V173" s="1100">
        <f t="shared" si="178"/>
        <v>44207.465793628384</v>
      </c>
      <c r="W173" s="1101">
        <f t="shared" si="179"/>
        <v>5765.3239415871076</v>
      </c>
      <c r="X173" s="1096">
        <f t="shared" si="180"/>
        <v>6.7000000000000004E-2</v>
      </c>
      <c r="Y173" s="1097">
        <f t="shared" si="181"/>
        <v>1439.5744349124889</v>
      </c>
      <c r="Z173" s="1102">
        <f t="shared" si="182"/>
        <v>17.829745685142854</v>
      </c>
      <c r="AA173" s="1103">
        <f t="shared" si="183"/>
        <v>7204.8983764995965</v>
      </c>
      <c r="AB173" s="1101">
        <f t="shared" si="184"/>
        <v>6991.5871103339323</v>
      </c>
      <c r="AC173" s="1104">
        <f t="shared" si="185"/>
        <v>8.1000000000000003E-2</v>
      </c>
      <c r="AD173" s="1105">
        <f t="shared" si="186"/>
        <v>-1.6087500000000001E-2</v>
      </c>
      <c r="AE173" s="1128">
        <f t="shared" si="187"/>
        <v>45.728600543478258</v>
      </c>
      <c r="AF173" s="1130">
        <f t="shared" si="188"/>
        <v>0</v>
      </c>
      <c r="AG173" s="420">
        <f t="shared" si="189"/>
        <v>0</v>
      </c>
      <c r="AH173" s="420">
        <f t="shared" si="190"/>
        <v>0</v>
      </c>
      <c r="AI173" s="1097">
        <f t="shared" si="191"/>
        <v>0</v>
      </c>
      <c r="AJ173" s="420">
        <f t="shared" si="192"/>
        <v>0</v>
      </c>
      <c r="AK173" s="518">
        <f t="shared" si="193"/>
        <v>0</v>
      </c>
      <c r="AL173" s="1106">
        <f>IF($P173="","N/A",(IF($P173=-1,INDEX('卡片raw data'!S:S,MATCH($D173,'卡片raw data'!$F:$F,)),0)+IF($P173=0,INDEX('卡片raw data'!V:V,MATCH($D173,'卡片raw data'!$F:$F,)),0)+IF($P173=1,INDEX('卡片raw data'!Y:Y,MATCH($D173,'卡片raw data'!$F:$F,)),0)+IF($P173=2,INDEX('卡片raw data'!AB:AB,MATCH($D173,'卡片raw data'!$F:$F,)),0)+IF($P173=3,INDEX('卡片raw data'!AE:AE,MATCH($D173,'卡片raw data'!$F:$F,)),0)+IF($P173=4,INDEX('卡片raw data'!AH:AH,MATCH($D173,'卡片raw data'!$F:$F,)),0)+IF($P173=5,INDEX('卡片raw data'!AK:AK,MATCH($D173,'卡片raw data'!$F:$F,)),0)+INDEX('卡片raw data'!S:S,MATCH($D173,'卡片raw data'!$F:$F,))*(IF($F173="UR",0.04,0.033))*(IF($F173="UR",INDEX(绊状态确认!$S:$S,MATCH($G173,绊状态确认!$B:$B,))/2-40)+IF($F173="SR",INDEX(绊状态确认!$R:$R,MATCH($G173,绊状态确认!$B:$B,))/4-15))+IF($F173="R",INDEX(绊状态确认!$Q:$Q,MATCH($G173,绊状态确认!$B:$B,))/6-40/6)))*(INDEX(绊状态确认!$H:$H,MATCH($G173,绊状态确认!$B:$B,))+INDEX(绊状态确认!J:J,MATCH($G173,绊状态确认!$B:$B,)))</f>
        <v>12125.61528</v>
      </c>
      <c r="AM173" s="1106">
        <f>IF($P173="","N/A",(IF($P173=-1,INDEX('卡片raw data'!T:T,MATCH($D173,'卡片raw data'!$F:$F,)),0)+IF($P173=0,INDEX('卡片raw data'!W:W,MATCH($D173,'卡片raw data'!$F:$F,)),0)+IF($P173=1,INDEX('卡片raw data'!Z:Z,MATCH($D173,'卡片raw data'!$F:$F,)),0)+IF($P173=2,INDEX('卡片raw data'!AC:AC,MATCH($D173,'卡片raw data'!$F:$F,)),0)+IF($P173=3,INDEX('卡片raw data'!AF:AF,MATCH($D173,'卡片raw data'!$F:$F,)),0)+IF($P173=4,INDEX('卡片raw data'!AI:AI,MATCH($D173,'卡片raw data'!$F:$F,)),0)+IF($P173=5,INDEX('卡片raw data'!AL:AL,MATCH($D173,'卡片raw data'!$F:$F,)),0)+INDEX('卡片raw data'!T:T,MATCH($D173,'卡片raw data'!$F:$F,))*(IF($F173="UR",0.04,0.033))*(IF($F173="UR",INDEX(绊状态确认!$S:$S,MATCH($G173,绊状态确认!$B:$B,))/2-40)+IF($F173="SR",INDEX(绊状态确认!$R:$R,MATCH($G173,绊状态确认!$B:$B,))/4-15))+IF($F173="R",INDEX(绊状态确认!$Q:$Q,MATCH($G173,绊状态确认!$B:$B,))/6-40/6)))*(INDEX(绊状态确认!$H:$H,MATCH($G173,绊状态确认!$B:$B,))+INDEX(绊状态确认!K:K,MATCH($G173,绊状态确认!$B:$B,)))</f>
        <v>10210.326719999997</v>
      </c>
      <c r="AN173" s="1106">
        <f>IF($P173="","N/A",(IF($P173=-1,INDEX('卡片raw data'!U:U,MATCH($D173,'卡片raw data'!$F:$F,)),0)+IF($P173=0,INDEX('卡片raw data'!X:X,MATCH($D173,'卡片raw data'!$F:$F,)),0)+IF($P173=1,INDEX('卡片raw data'!AA:AA,MATCH($D173,'卡片raw data'!$F:$F,)),0)+IF($P173=2,INDEX('卡片raw data'!AD:AD,MATCH($D173,'卡片raw data'!$F:$F,)),0)+IF($P173=3,INDEX('卡片raw data'!AG:AG,MATCH($D173,'卡片raw data'!$F:$F,)),0)+IF($P173=4,INDEX('卡片raw data'!AJ:AJ,MATCH($D173,'卡片raw data'!$F:$F,)),0)+IF($P173=5,INDEX('卡片raw data'!AM:AM,MATCH($D173,'卡片raw data'!$F:$F,)),0)+INDEX('卡片raw data'!U:U,MATCH($D173,'卡片raw data'!$F:$F,))*(IF($F173="UR",0.04,0.033))*(IF($F173="UR",INDEX(绊状态确认!$S:$S,MATCH($G173,绊状态确认!$B:$B,))/2-40)+IF($F173="SR",INDEX(绊状态确认!$R:$R,MATCH($G173,绊状态确认!$B:$B,))/4-15))+IF($F173="R",INDEX(绊状态确认!$Q:$Q,MATCH($G173,绊状态确认!$B:$B,))/6-40/6)))*(INDEX(绊状态确认!$H:$H,MATCH($G173,绊状态确认!$B:$B,))+INDEX(绊状态确认!L:L,MATCH($G173,绊状态确认!$B:$B,)))</f>
        <v>9573.0335999999988</v>
      </c>
      <c r="AO173" s="1107">
        <f t="shared" si="194"/>
        <v>1</v>
      </c>
      <c r="AP173" s="1131">
        <f>1+(INDEX(绊状态确认!$T:$T,MATCH($G173,绊状态确认!$B:$B,))+0.2)*$AO173</f>
        <v>1.3</v>
      </c>
      <c r="AQ173" s="1108">
        <f t="shared" si="195"/>
        <v>35079.740109999999</v>
      </c>
      <c r="AR173" s="1097">
        <f>(AM173*(1+$EX$9)+$EX$35)*(1+(INDEX(绊状态确认!$T:$T,MATCH($G173,绊状态确认!$B:$B,))+0.2)*AO173)*IF(J173=$FF$17,1+$FE$17,1)*IF(I173=$FF$14,1+$FE$14,1)*(1+$FE$15)</f>
        <v>16641.095972799998</v>
      </c>
      <c r="AS173" s="1097">
        <f>(AN173*(1+$EX$10)+$EX$36)*(1+(INDEX(绊状态确认!$T:$T,MATCH($G173,绊状态确认!$B:$B,))+0.2)*AO173)*IF(J173=$FF$17,1+$FE$17,1)*IF(I173=$FF$14,1+$FE$14,1)*(1+$FE$15)</f>
        <v>18367.685231999996</v>
      </c>
      <c r="AT173" s="1093">
        <f>IF(AND(INDEX('卡片raw data'!AK:AK,MATCH($D173,'卡片raw data'!$F:$F,))&lt;INDEX('卡片raw data'!AM:AM,MATCH($D173,'卡片raw data'!$F:$F,)),INDEX('卡片raw data'!AL:AL,MATCH($D173,'卡片raw data'!$F:$F,))&lt;INDEX('卡片raw data'!AM:AM,MATCH($D173,'卡片raw data'!$F:$F,))),1,0)</f>
        <v>0</v>
      </c>
      <c r="AU173" s="1098">
        <f>MIN(AT173*0.15+AS173*0.00003+INDEX(绊状态确认!M:M,MATCH($G173,绊状态确认!$B:$B,)),1)</f>
        <v>0.58103055695999994</v>
      </c>
      <c r="AV173" s="1109">
        <f>(INDEX(绊状态确认!$N:$N,MATCH($G173,绊状态确认!$B:$B,))+1.5)*$EW$21</f>
        <v>2.6599999999999997</v>
      </c>
      <c r="AW173" s="1101">
        <f t="shared" si="196"/>
        <v>35790.530450205006</v>
      </c>
      <c r="AX173" s="1097">
        <f t="shared" si="197"/>
        <v>1439.5744349124891</v>
      </c>
      <c r="AY173" s="1110">
        <f t="shared" si="198"/>
        <v>37230.104885117493</v>
      </c>
      <c r="AZ173" s="429">
        <f t="shared" si="199"/>
        <v>26244.949796000001</v>
      </c>
      <c r="BA173" s="431">
        <f t="shared" si="200"/>
        <v>31493.939755200001</v>
      </c>
      <c r="BB173" s="1097">
        <f>(AM173*(1+$FB$9)+$FB$35)*(1+(INDEX(绊状态确认!$T:$T,MATCH($G173,绊状态确认!$B:$B,))+0.2)*AO173)*IF(J173=$FF$17,1+$FE$17,1)*IF(I173=$FF$14,1+$FE$14,1)*(1+$FE$15)</f>
        <v>16641.095972799998</v>
      </c>
      <c r="BC173" s="1097">
        <f>(AN173*(1+$FB$10)+$FB$36)*(1+(INDEX(绊状态确认!$T:$T,MATCH($G173,绊状态确认!$B:$B,))+0.2)*AO173)*IF(J173=$FF$17,1+$FE$17,1)*IF(I173=$FF$14,1+$FE$14,1)*(1+$FE$15)</f>
        <v>18367.685231999996</v>
      </c>
      <c r="BD173" s="1104">
        <f>MIN(AT173*0.15+BC173*0.00003+INDEX(绊状态确认!M:M,MATCH($G173,绊状态确认!$B:$B,)),1)</f>
        <v>0.58103055695999994</v>
      </c>
      <c r="BE173" s="432">
        <f>(INDEX(绊状态确认!$N:$N,MATCH($G173,绊状态确认!$B:$B,))+1.5)</f>
        <v>1.9</v>
      </c>
      <c r="BF173" s="1139">
        <f t="array" ref="BF173">SUMPRODUCT(IF(AZ173*AP173*$FI$16:$FI$23*$FA$22&gt;=$FI$24,$FI$24,AZ173*AP173*$FI$16:$FI$23*$FA$22),$FJ$16:$FJ$23)</f>
        <v>51577.384292368006</v>
      </c>
      <c r="BG173" s="1125">
        <f t="array" ref="BG173">SUMPRODUCT(IF(BE173*AZ173*AP173*$FI$16:$FI$23*$FA$22&gt;=$FI$24,$FI$24,BE173*AZ173*AP173*$FI$16:$FI$23*$FA$22),$FJ$16:$FJ$23)</f>
        <v>60000</v>
      </c>
      <c r="BH173" s="1110">
        <f t="shared" si="201"/>
        <v>18823.72712934449</v>
      </c>
      <c r="BI173" s="1111">
        <f>IF(O173="vo",$EW$26/$EW$24*0.05,0)+IF(O173="sk",-$EW$26/$EW$24*(0.05-INDEX(绊状态确认!W:W,MATCH($G173,绊状态确认!$B:$B,)))+0.05*$EW$28,0)+IF(O173="sp",0.05*$EW$32*$EW$30*(1-$EW$33)-(0.05-INDEX(绊状态确认!V:V,MATCH($G173,绊状态确认!$B:$B,)))*$EW$28,0)+IF(O173="gd",-(0.05-INDEX(绊状态确认!X:X,MATCH($G173,绊状态确认!$B:$B,)))*$EW$32*$EW$30*(1-$EW$33),0)</f>
        <v>19.999999999999886</v>
      </c>
      <c r="BJ173" s="1097">
        <f>IF(O173="vo",0.05*(1-$FI$26)*$FA$24,0)+IF(O173="sk",-(0.05-INDEX(绊状态确认!W:W,MATCH($G173,绊状态确认!$B:$B,)))*(1-$FI$26)*$FA$24+0.05*$FA$26,0)+IF(O173="sp",0.05*$FA$32*$FA$27*(1-$FA$33)/$FA$30+0.05*$FA$29/$FA$69*$FA$27*(1-$FA$33)-(0.05-INDEX(绊状态确认!V:V,MATCH($G173,绊状态确认!$B:$B,)))*$FA$26,0)+IF(O173="gd",-(0.05-INDEX(绊状态确认!X:X,MATCH($G173,绊状态确认!$B:$B,)))*$FA$32*$FA$27*(1-$FA$33)/$FA$30-(0.05-INDEX(绊状态确认!X:X,MATCH($G173,绊状态确认!$B:$B,)))*$FA$29/$FA$69*$FA$27*(1-$FA$33),0)</f>
        <v>545.83333333333326</v>
      </c>
      <c r="BK173" s="1110">
        <f>IF(O173="vo",$EW$26/$EW$24*0.05+$EW$26*(-HP($EW$62,$EW$65,$EW$64)+HP($EW$62,$EW$65,(1.05-INDEX(绊状态确认!U:U,MATCH($G173,绊状态确认!$B:$B,)))*$EW$64)),0)+IF(O173="sk",-$EW$26/$EW$24*(0.05-INDEX(绊状态确认!W:W,MATCH($G173,绊状态确认!$B:$B,)))+0.05*$EW$29,0)+IF(O173="sp",0.05*$EW$32*$EW$30*(1-$EW$33)-(0.05-INDEX(绊状态确认!V:V,MATCH($G173,绊状态确认!$B:$B,)))*$EW$29,0)+IF(O173="gd",-(0.05-INDEX(绊状态确认!X:X,MATCH($G173,绊状态确认!$B:$B,)))*$EW$32*$EW$30*(1-$EW$33)+$EW$26*(-HP($EW$62,$EW$65,$EW$64)+HP($EW$62,$EW$65,0.95*$EW$64)),0)</f>
        <v>-1780.0000000000005</v>
      </c>
      <c r="BL173" s="1111">
        <f t="shared" si="202"/>
        <v>0</v>
      </c>
      <c r="BM173" s="1110">
        <f t="shared" si="203"/>
        <v>0</v>
      </c>
      <c r="BN173" s="1113">
        <f t="shared" si="204"/>
        <v>3</v>
      </c>
      <c r="BO173" s="1097">
        <f t="shared" si="205"/>
        <v>4507.7214871259994</v>
      </c>
      <c r="BP173" s="1100">
        <f t="shared" si="206"/>
        <v>221.34103209030098</v>
      </c>
      <c r="BQ173" s="1113" t="s">
        <v>145</v>
      </c>
      <c r="BR173" s="1124" t="s">
        <v>148</v>
      </c>
      <c r="BS173" s="1098">
        <f>IF($P173="","N/A",IF($P173=-1,INDEX('卡片raw data'!AX:AX,MATCH($D173,'卡片raw data'!$F:$F,)),0)+IF($L173="party卡",IF($P173=5,INDEX('卡片raw data'!BD:BD,MATCH($D173,'卡片raw data'!$F:$F,)),IF($P173&gt;=3,INDEX('卡片raw data'!BC:BC,MATCH($D173,'卡片raw data'!$F:$F,)),INDEX('卡片raw data'!BB:BB,MATCH($D173,'卡片raw data'!$F:$F,)))),IF(OR(AND($F173="UR",$P173=0),AND($F173="SR",$P173&gt;=0,$P173&lt;=2),AND($F173="R",$P173&gt;=0,$P173&lt;4)),INDEX('卡片raw data'!AZ:AZ,MATCH($D173,'卡片raw data'!$F:$F,)),0)+IF(OR(AND($F173="UR",$P173&gt;=1,$P173&lt;=4),AND($F173="SR",$P173&lt;=4,$P173&gt;=3),AND($F173="R",$P173=4)),INDEX('卡片raw data'!BA:BA,MATCH($D173,'卡片raw data'!$F:$F,)),0)+IF($P173=5,INDEX('卡片raw data'!BB:BB,MATCH($D173,'卡片raw data'!$F:$F,)),0)))</f>
        <v>5.1999999999999998E-2</v>
      </c>
      <c r="BT173" s="1101">
        <f t="shared" si="207"/>
        <v>2452.5263374936467</v>
      </c>
      <c r="BU173" s="1097">
        <f t="shared" si="208"/>
        <v>155.22419036436909</v>
      </c>
      <c r="BV173" s="1097">
        <f t="shared" si="209"/>
        <v>1226.2631687468233</v>
      </c>
      <c r="BW173" s="1112">
        <f t="shared" si="210"/>
        <v>0</v>
      </c>
      <c r="BX173" s="1100">
        <f t="shared" si="211"/>
        <v>2452.5263374936467</v>
      </c>
      <c r="BY173" s="1110">
        <f t="shared" si="212"/>
        <v>1226.2631687468233</v>
      </c>
      <c r="BZ173" s="1107" t="s">
        <v>569</v>
      </c>
      <c r="CA173" s="1124"/>
      <c r="CB173" s="1098">
        <f>IF($P173="","N/A",IF($P173=-1,INDEX('卡片raw data'!BE:BE,MATCH($D173,'卡片raw data'!$F:$F,)),0)+IF($L173="party卡",IF($P173=5,INDEX('卡片raw data'!BK:BK,MATCH($D173,'卡片raw data'!$F:$F,)),IF($P173&gt;=3,INDEX('卡片raw data'!BJ:BJ,MATCH($D173,'卡片raw data'!$F:$F,)),INDEX('卡片raw data'!BI:BI,MATCH($D173,'卡片raw data'!$F:$F,)))),IF(OR(AND($F173="UR",$P173=0),AND($F173="SR",$P173&gt;=0,$P173&lt;=2),AND($F173="R",$P173&gt;=0,$P173&lt;4)),INDEX('卡片raw data'!BG:BG,MATCH($D173,'卡片raw data'!$F:$F,)),0)+IF(OR(AND($F173="UR",$P173&gt;=1,$P173&lt;=4),AND($F173="SR",$P173&lt;=4,$P173&gt;=3),AND($F173="R",$P173=4)),INDEX('卡片raw data'!BH:BH,MATCH($D173,'卡片raw data'!$F:$F,)),0)+IF($P173=5,INDEX('卡片raw data'!BI:BI,MATCH($D173,'卡片raw data'!$F:$F,)),0)))</f>
        <v>0</v>
      </c>
      <c r="CC173" s="1101">
        <f t="shared" si="213"/>
        <v>0</v>
      </c>
      <c r="CD173" s="1097">
        <f>IF(BZ173="ap",CB173*(1-$FI$26)*$FB$5/$FB$11*(+IF(CA173="全员",$FA$24,0)+IF(CA173="同作战",$FA$24,0)+IF(CA173="仲间",$FA$24*2/3,0)+IF(CA173="同属性",$FA$24*$FA$37/3,0)+IF(CA173="同年级",$FA$24*$FA$40/3,0)+IF(CA173="同学校",$FA$24*$FA$43/3,0)+IF(CA173="同小队",$FA$24*$FA$46/3,0)+IF(CA173="同type",$FA$24*INDEX($FB$49:$FB$52,MATCH(X173,$FA$49:$FA$52,))/3,0)+IF(CA173="自身",#REF!/3,0)),0)+IF(BZ173="te",CB173*(1-$FI$27)*($FA$20-1)*$FB$7/$FB$13*(+IF(CA173="全员",$FA$19*$FA$24/(1+($FA$20-1)*$FA$19),0)+IF(CA173="同作战",$FA$19*$FA$24/(1+($FA$20-1)*$FA$19),0)+IF(CA173="仲间",$FA$19*$FA$24*2/3/(1+($FA$20-1)*$FA$19),0)+IF(CA173="同属性",$FA$19*$FA$24*$FA$37/3/(1+($FA$20-1)*$FA$19),0)+IF(CA173="同年级",$FA$19*$FA$24*$FA$40/3/(1+($FA$20-1)*$FA$19),0)+IF(CA173="同学校",$FA$19*$FA$24*$FA$43/3/(1+($FA$20-1)*$FA$19),0)+IF(CA173="同小队",$FA$19*$FA$24*$FA$46/3/(1+($FA$20-1)*$FA$19),0)+IF(CA173="同type",$FA$19*$FA$24*INDEX($FB$49:$FB$52,MATCH(X173,$FA$49:$FA$52,))/3/(1+($FA$20-1)*$FA$19),0)+IF(CA173="自身",$FA$19*#REF!/3/(1+(BH173-1)*$BD173),0)),0)</f>
        <v>0</v>
      </c>
      <c r="CE173" s="1097">
        <f t="shared" si="214"/>
        <v>0</v>
      </c>
      <c r="CF173" s="1112">
        <f t="shared" si="215"/>
        <v>0</v>
      </c>
      <c r="CG173" s="1100">
        <f t="shared" si="216"/>
        <v>0</v>
      </c>
      <c r="CH173" s="1110">
        <f t="shared" si="217"/>
        <v>0</v>
      </c>
      <c r="CI173" s="1113" t="s">
        <v>170</v>
      </c>
      <c r="CJ173" s="1114">
        <v>0.3</v>
      </c>
      <c r="CK173" s="1115" t="s">
        <v>157</v>
      </c>
      <c r="CL173" s="1115" t="s">
        <v>161</v>
      </c>
      <c r="CM173" s="1119">
        <v>0.15</v>
      </c>
      <c r="CN173" s="1115">
        <v>15</v>
      </c>
      <c r="CO173" s="1092"/>
      <c r="CP173" s="1118">
        <f t="shared" si="218"/>
        <v>2.4107142857142856E-3</v>
      </c>
      <c r="CQ173" s="1118">
        <f t="shared" si="219"/>
        <v>3.7499999999999994E-3</v>
      </c>
      <c r="CR173" s="1118">
        <f t="shared" si="220"/>
        <v>2.4107142857142856E-3</v>
      </c>
      <c r="CS173" s="1118">
        <f t="shared" si="221"/>
        <v>0</v>
      </c>
      <c r="CT173" s="1109">
        <f t="shared" si="222"/>
        <v>34.8046875</v>
      </c>
      <c r="CU173" s="1101">
        <f t="shared" si="223"/>
        <v>31.339285714285708</v>
      </c>
      <c r="CV173" s="1108">
        <f t="shared" si="224"/>
        <v>37.374999999999993</v>
      </c>
      <c r="CW173" s="1097">
        <f t="shared" si="225"/>
        <v>31.339285714285708</v>
      </c>
      <c r="CX173" s="1097">
        <f t="shared" si="226"/>
        <v>31.339285714285708</v>
      </c>
      <c r="CY173" s="1110">
        <f t="shared" si="227"/>
        <v>31.339285714285708</v>
      </c>
      <c r="CZ173" s="437"/>
      <c r="DA173" s="438"/>
      <c r="DB173" s="439" t="s">
        <v>569</v>
      </c>
      <c r="DC173" s="439"/>
      <c r="DD173" s="443"/>
      <c r="DE173" s="411"/>
      <c r="DF173" s="411"/>
      <c r="DG173" s="1116">
        <f t="shared" si="228"/>
        <v>0</v>
      </c>
      <c r="DH173" s="1116">
        <f t="shared" si="229"/>
        <v>0</v>
      </c>
      <c r="DI173" s="1116">
        <f t="shared" si="230"/>
        <v>0</v>
      </c>
      <c r="DJ173" s="442">
        <f t="shared" si="231"/>
        <v>0</v>
      </c>
      <c r="DK173" s="1109">
        <f t="shared" si="232"/>
        <v>0</v>
      </c>
      <c r="DL173" s="1101">
        <f t="shared" si="233"/>
        <v>0</v>
      </c>
      <c r="DM173" s="1097">
        <f t="shared" si="234"/>
        <v>0</v>
      </c>
      <c r="DN173" s="1097">
        <f t="shared" si="235"/>
        <v>0</v>
      </c>
      <c r="DO173" s="1097">
        <f t="shared" si="236"/>
        <v>0</v>
      </c>
      <c r="DP173" s="1110">
        <f t="shared" si="237"/>
        <v>0</v>
      </c>
      <c r="DQ173" s="1113" t="s">
        <v>256</v>
      </c>
      <c r="DR173" s="1120">
        <f t="shared" si="238"/>
        <v>0.33</v>
      </c>
      <c r="DS173" s="1124"/>
      <c r="DT173" s="1093" t="s">
        <v>132</v>
      </c>
      <c r="DU173" s="1093"/>
      <c r="DV173" s="1098">
        <f>IF($P173="","N/A",IF(P173=-1,INDEX('卡片raw data'!AN:AN,MATCH(D173,'卡片raw data'!$F:$F,)),0)+IF(AND(L173&lt;&gt;"party卡",P173&lt;=2,P173&gt;=0),INDEX('卡片raw data'!AP:AP,MATCH(D173,'卡片raw data'!$F:$F,)),0)+IF(OR(AND(L173="party卡",P173&lt;=1),AND(P173&lt;=4,L173&lt;&gt;"party卡",P173&gt;=3)),INDEX('卡片raw data'!AQ:AQ,MATCH(D173,'卡片raw data'!$F:$F,)),0)+IF(OR(P173=5,AND(L173="party卡",P173&gt;=2)),INDEX('卡片raw data'!AR:AR,MATCH(D173,'卡片raw data'!$F:$F,)),0))</f>
        <v>0.32</v>
      </c>
      <c r="DW173" s="1098">
        <f t="shared" si="239"/>
        <v>0.33</v>
      </c>
      <c r="DX173" s="1098">
        <f t="shared" si="240"/>
        <v>0.33</v>
      </c>
      <c r="DY173" s="1125">
        <f t="shared" si="241"/>
        <v>1234.8068518719999</v>
      </c>
      <c r="DZ173" s="1125">
        <f t="shared" si="242"/>
        <v>958.92747766632965</v>
      </c>
      <c r="EA173" s="1098">
        <f t="shared" si="243"/>
        <v>0</v>
      </c>
      <c r="EB173" s="1121">
        <f t="shared" si="244"/>
        <v>0</v>
      </c>
      <c r="EC173" s="1101">
        <f t="shared" si="245"/>
        <v>1765.7737981769601</v>
      </c>
      <c r="ED173" s="1097">
        <f t="shared" si="246"/>
        <v>0</v>
      </c>
      <c r="EE173" s="1110">
        <f t="shared" si="247"/>
        <v>1765.7737981769601</v>
      </c>
      <c r="EF173" s="1092" t="s">
        <v>711</v>
      </c>
      <c r="EG173" s="1120">
        <f t="shared" si="248"/>
        <v>0.33</v>
      </c>
      <c r="EH173" s="1124"/>
      <c r="EI173" s="1093"/>
      <c r="EJ173" s="1093"/>
      <c r="EK173" s="1097">
        <f>IF($P173="","N/A",IF(P173=-1,INDEX('卡片raw data'!AS:AS,MATCH(D173,'卡片raw data'!$F:$F,)),0)+IF(AND(L173&lt;&gt;"party卡",P173&lt;=2,P173&gt;=0),INDEX('卡片raw data'!AU:AU,MATCH(D173,'卡片raw data'!$F:$F,)),0)+IF(OR(AND(L173="party卡",P173&lt;=1),AND(P173&lt;=4,L173&lt;&gt;"party卡",P173&gt;=3)),INDEX('卡片raw data'!AV:AV,MATCH(D173,'卡片raw data'!$F:$F,)),0)+IF(OR(P173=5,AND(L173="party卡",P173&gt;=2)),INDEX('卡片raw data'!AW:AW,MATCH(D173,'卡片raw data'!$F:$F,)),0))</f>
        <v>0</v>
      </c>
      <c r="EL173" s="1098">
        <f t="shared" si="249"/>
        <v>0.33</v>
      </c>
      <c r="EM173" s="1098">
        <f t="shared" si="250"/>
        <v>0.33</v>
      </c>
      <c r="EN173" s="1125">
        <f t="shared" si="251"/>
        <v>0</v>
      </c>
      <c r="EO173" s="1125">
        <f t="shared" si="252"/>
        <v>0</v>
      </c>
      <c r="EP173" s="1098">
        <f t="shared" si="253"/>
        <v>0</v>
      </c>
      <c r="EQ173" s="1121">
        <f t="shared" si="254"/>
        <v>0</v>
      </c>
      <c r="ER173" s="1101">
        <f t="shared" si="255"/>
        <v>0</v>
      </c>
      <c r="ES173" s="1097">
        <f t="shared" si="256"/>
        <v>0</v>
      </c>
      <c r="ET173" s="1122">
        <f t="shared" si="257"/>
        <v>0</v>
      </c>
    </row>
    <row r="174" spans="2:150" ht="16.5" customHeight="1">
      <c r="B174" s="1123" t="str">
        <f>INDEX('卡片raw data'!B:B,MATCH($D174,'卡片raw data'!$F:$F,))</f>
        <v>op1善</v>
      </c>
      <c r="C174" s="449" t="s">
        <v>67</v>
      </c>
      <c r="D174" s="408">
        <v>171</v>
      </c>
      <c r="E174" s="1090">
        <v>401062001</v>
      </c>
      <c r="F174" s="1090" t="str">
        <f>INDEX('卡片raw data'!C:C,MATCH($D174,'卡片raw data'!$F:$F,))</f>
        <v>SR</v>
      </c>
      <c r="G174" s="1094" t="s">
        <v>343</v>
      </c>
      <c r="H174" s="411">
        <f>IFERROR(INDEX(绊状态确认!C:C,MATCH($G174,绊状态确认!$B:$B,)),"")</f>
        <v>106</v>
      </c>
      <c r="I174" s="450" t="str">
        <f>IFERROR(INDEX(绊状态确认!D:D,MATCH($G174,绊状态确认!$B:$B,)),"")</f>
        <v>水</v>
      </c>
      <c r="J174" s="450" t="str">
        <f>IFERROR(INDEX(绊状态确认!E:E,MATCH($G174,绊状态确认!$B:$B,)),"")</f>
        <v>1年级</v>
      </c>
      <c r="K174" s="451" t="str">
        <f>IFERROR(INDEX(绊状态确认!F:F,MATCH($G174,绊状态确认!$B:$B,)),"")</f>
        <v>Guilty Kiss</v>
      </c>
      <c r="L174" s="1094" t="str">
        <f>INDEX('卡片raw data'!E:E,MATCH($D174,'卡片raw data'!$F:$F,))</f>
        <v>活动卡</v>
      </c>
      <c r="M174" s="415">
        <v>43867</v>
      </c>
      <c r="N174" s="416">
        <v>9</v>
      </c>
      <c r="O174" s="1091" t="str">
        <f>INDEX('卡片raw data'!D:D,MATCH($D174,'卡片raw data'!$F:$F,))</f>
        <v>vo</v>
      </c>
      <c r="P174" s="417">
        <v>5</v>
      </c>
      <c r="Q174" s="1095">
        <f t="shared" si="173"/>
        <v>26920.418987533591</v>
      </c>
      <c r="R174" s="1096">
        <f t="shared" si="174"/>
        <v>0.312</v>
      </c>
      <c r="S174" s="1097">
        <f t="shared" si="175"/>
        <v>10728.797031302392</v>
      </c>
      <c r="T174" s="1098">
        <f t="shared" si="176"/>
        <v>0.53600000000000003</v>
      </c>
      <c r="U174" s="1099">
        <f t="shared" si="177"/>
        <v>-13.877281205577146</v>
      </c>
      <c r="V174" s="1100">
        <f t="shared" si="178"/>
        <v>26501.478781161273</v>
      </c>
      <c r="W174" s="1101">
        <f t="shared" si="179"/>
        <v>5266.3920866429726</v>
      </c>
      <c r="X174" s="1096">
        <f t="shared" si="180"/>
        <v>6.0999999999999999E-2</v>
      </c>
      <c r="Y174" s="1097">
        <f t="shared" si="181"/>
        <v>885.72824386938464</v>
      </c>
      <c r="Z174" s="1102">
        <f t="shared" si="182"/>
        <v>11.122718794422854</v>
      </c>
      <c r="AA174" s="1103">
        <f t="shared" si="183"/>
        <v>6152.1203305123572</v>
      </c>
      <c r="AB174" s="1101">
        <f t="shared" si="184"/>
        <v>6025.0626861599467</v>
      </c>
      <c r="AC174" s="1104">
        <f t="shared" si="185"/>
        <v>7.0000000000000007E-2</v>
      </c>
      <c r="AD174" s="1105">
        <f t="shared" si="186"/>
        <v>-3.8207812500000026E-3</v>
      </c>
      <c r="AE174" s="1128">
        <f t="shared" si="187"/>
        <v>-12.27536231884058</v>
      </c>
      <c r="AF174" s="1130">
        <f t="shared" si="188"/>
        <v>0</v>
      </c>
      <c r="AG174" s="420">
        <f t="shared" si="189"/>
        <v>0</v>
      </c>
      <c r="AH174" s="420">
        <f t="shared" si="190"/>
        <v>0</v>
      </c>
      <c r="AI174" s="1097">
        <f t="shared" si="191"/>
        <v>0</v>
      </c>
      <c r="AJ174" s="420">
        <f t="shared" si="192"/>
        <v>0</v>
      </c>
      <c r="AK174" s="518">
        <f t="shared" si="193"/>
        <v>0</v>
      </c>
      <c r="AL174" s="1106">
        <f>IF($P174="","N/A",(IF($P174=-1,INDEX('卡片raw data'!S:S,MATCH($D174,'卡片raw data'!$F:$F,)),0)+IF($P174=0,INDEX('卡片raw data'!V:V,MATCH($D174,'卡片raw data'!$F:$F,)),0)+IF($P174=1,INDEX('卡片raw data'!Y:Y,MATCH($D174,'卡片raw data'!$F:$F,)),0)+IF($P174=2,INDEX('卡片raw data'!AB:AB,MATCH($D174,'卡片raw data'!$F:$F,)),0)+IF($P174=3,INDEX('卡片raw data'!AE:AE,MATCH($D174,'卡片raw data'!$F:$F,)),0)+IF($P174=4,INDEX('卡片raw data'!AH:AH,MATCH($D174,'卡片raw data'!$F:$F,)),0)+IF($P174=5,INDEX('卡片raw data'!AK:AK,MATCH($D174,'卡片raw data'!$F:$F,)),0)+INDEX('卡片raw data'!S:S,MATCH($D174,'卡片raw data'!$F:$F,))*(IF($F174="UR",0.04,0.033))*(IF($F174="UR",INDEX(绊状态确认!$S:$S,MATCH($G174,绊状态确认!$B:$B,))/2-40)+IF($F174="SR",INDEX(绊状态确认!$R:$R,MATCH($G174,绊状态确认!$B:$B,))/4-15))+IF($F174="R",INDEX(绊状态确认!$Q:$Q,MATCH($G174,绊状态确认!$B:$B,))/6-40/6)))*(INDEX(绊状态确认!$H:$H,MATCH($G174,绊状态确认!$B:$B,))+INDEX(绊状态确认!J:J,MATCH($G174,绊状态确认!$B:$B,)))</f>
        <v>4820.3633375999989</v>
      </c>
      <c r="AM174" s="1106">
        <f>IF($P174="","N/A",(IF($P174=-1,INDEX('卡片raw data'!T:T,MATCH($D174,'卡片raw data'!$F:$F,)),0)+IF($P174=0,INDEX('卡片raw data'!W:W,MATCH($D174,'卡片raw data'!$F:$F,)),0)+IF($P174=1,INDEX('卡片raw data'!Z:Z,MATCH($D174,'卡片raw data'!$F:$F,)),0)+IF($P174=2,INDEX('卡片raw data'!AC:AC,MATCH($D174,'卡片raw data'!$F:$F,)),0)+IF($P174=3,INDEX('卡片raw data'!AF:AF,MATCH($D174,'卡片raw data'!$F:$F,)),0)+IF($P174=4,INDEX('卡片raw data'!AI:AI,MATCH($D174,'卡片raw data'!$F:$F,)),0)+IF($P174=5,INDEX('卡片raw data'!AL:AL,MATCH($D174,'卡片raw data'!$F:$F,)),0)+INDEX('卡片raw data'!T:T,MATCH($D174,'卡片raw data'!$F:$F,))*(IF($F174="UR",0.04,0.033))*(IF($F174="UR",INDEX(绊状态确认!$S:$S,MATCH($G174,绊状态确认!$B:$B,))/2-40)+IF($F174="SR",INDEX(绊状态确认!$R:$R,MATCH($G174,绊状态确认!$B:$B,))/4-15))+IF($F174="R",INDEX(绊状态确认!$Q:$Q,MATCH($G174,绊状态确认!$B:$B,))/6-40/6)))*(INDEX(绊状态确认!$H:$H,MATCH($G174,绊状态确认!$B:$B,))+INDEX(绊状态确认!K:K,MATCH($G174,绊状态确认!$B:$B,)))</f>
        <v>5624.3254271999986</v>
      </c>
      <c r="AN174" s="1106">
        <f>IF($P174="","N/A",(IF($P174=-1,INDEX('卡片raw data'!U:U,MATCH($D174,'卡片raw data'!$F:$F,)),0)+IF($P174=0,INDEX('卡片raw data'!X:X,MATCH($D174,'卡片raw data'!$F:$F,)),0)+IF($P174=1,INDEX('卡片raw data'!AA:AA,MATCH($D174,'卡片raw data'!$F:$F,)),0)+IF($P174=2,INDEX('卡片raw data'!AD:AD,MATCH($D174,'卡片raw data'!$F:$F,)),0)+IF($P174=3,INDEX('卡片raw data'!AG:AG,MATCH($D174,'卡片raw data'!$F:$F,)),0)+IF($P174=4,INDEX('卡片raw data'!AJ:AJ,MATCH($D174,'卡片raw data'!$F:$F,)),0)+IF($P174=5,INDEX('卡片raw data'!AM:AM,MATCH($D174,'卡片raw data'!$F:$F,)),0)+INDEX('卡片raw data'!U:U,MATCH($D174,'卡片raw data'!$F:$F,))*(IF($F174="UR",0.04,0.033))*(IF($F174="UR",INDEX(绊状态确认!$S:$S,MATCH($G174,绊状态确认!$B:$B,))/2-40)+IF($F174="SR",INDEX(绊状态确认!$R:$R,MATCH($G174,绊状态确认!$B:$B,))/4-15))+IF($F174="R",INDEX(绊状态确认!$Q:$Q,MATCH($G174,绊状态确认!$B:$B,))/6-40/6)))*(INDEX(绊状态确认!$H:$H,MATCH($G174,绊状态确认!$B:$B,))+INDEX(绊状态确认!L:L,MATCH($G174,绊状态确认!$B:$B,)))</f>
        <v>5624.3254271999986</v>
      </c>
      <c r="AO174" s="1107">
        <f t="shared" si="194"/>
        <v>1</v>
      </c>
      <c r="AP174" s="1131">
        <f>1+(INDEX(绊状态确认!$T:$T,MATCH($G174,绊状态确认!$B:$B,))+0.2)*$AO174</f>
        <v>1.3</v>
      </c>
      <c r="AQ174" s="1108">
        <f t="shared" si="195"/>
        <v>15903.453761199999</v>
      </c>
      <c r="AR174" s="1097">
        <f>(AM174*(1+$EX$9)+$EX$35)*(1+(INDEX(绊状态确认!$T:$T,MATCH($G174,绊状态确认!$B:$B,))+0.2)*AO174)*IF(J174=$FF$17,1+$FE$17,1)*IF(I174=$FF$14,1+$FE$14,1)</f>
        <v>10381.204208127998</v>
      </c>
      <c r="AS174" s="1097">
        <f>(AN174*(1+$EX$10)+$EX$36)*(1+(INDEX(绊状态确认!$T:$T,MATCH($G174,绊状态确认!$B:$B,))+0.2)*AO174)*IF(J174=$FF$17,1+$FE$17,1)*IF(I174=$FF$14,1+$FE$14,1)</f>
        <v>12464.366513663996</v>
      </c>
      <c r="AT174" s="1093">
        <f>IF(AND(INDEX('卡片raw data'!AK:AK,MATCH($D174,'卡片raw data'!$F:$F,))&lt;INDEX('卡片raw data'!AM:AM,MATCH($D174,'卡片raw data'!$F:$F,)),INDEX('卡片raw data'!AL:AL,MATCH($D174,'卡片raw data'!$F:$F,))&lt;INDEX('卡片raw data'!AM:AM,MATCH($D174,'卡片raw data'!$F:$F,))),1,0)</f>
        <v>0</v>
      </c>
      <c r="AU174" s="1098">
        <f>MIN(AT174*0.15+AS174*0.00003+INDEX(绊状态确认!M:M,MATCH($G174,绊状态确认!$B:$B,)),1)</f>
        <v>0.40393099540991989</v>
      </c>
      <c r="AV174" s="1109">
        <f>(INDEX(绊状态确认!$N:$N,MATCH($G174,绊状态确认!$B:$B,))+1.5)*$EW$21</f>
        <v>2.6599999999999997</v>
      </c>
      <c r="AW174" s="1101">
        <f t="shared" si="196"/>
        <v>13797.547929392278</v>
      </c>
      <c r="AX174" s="1097">
        <f t="shared" si="197"/>
        <v>885.72824386938498</v>
      </c>
      <c r="AY174" s="1110">
        <f t="shared" si="198"/>
        <v>14683.276173261664</v>
      </c>
      <c r="AZ174" s="429">
        <f t="shared" si="199"/>
        <v>11999.708508319998</v>
      </c>
      <c r="BA174" s="431">
        <f t="shared" si="200"/>
        <v>14399.650209983998</v>
      </c>
      <c r="BB174" s="1097">
        <f>(AM174*(1+$FB$9)+$FB$35)*(1+(INDEX(绊状态确认!$T:$T,MATCH($G174,绊状态确认!$B:$B,))+0.2)*AO174)*IF(J174=$FF$17,1+$FE$17,1)*IF(I174=$FF$14,1+$FE$14,1)*(1+$FE$15)</f>
        <v>10381.204208127998</v>
      </c>
      <c r="BC174" s="1097">
        <f>(AN174*(1+$FB$10)+$FB$36)*(1+(INDEX(绊状态确认!$T:$T,MATCH($G174,绊状态确认!$B:$B,))+0.2)*AO174)*IF(J174=$FF$17,1+$FE$17,1)*IF(I174=$FF$14,1+$FE$14,1)*(1+$FE$15)</f>
        <v>12464.366513663996</v>
      </c>
      <c r="BD174" s="1104">
        <f>MIN(AT174*0.15+BC174*0.00003+INDEX(绊状态确认!M:M,MATCH($G174,绊状态确认!$B:$B,)),1)</f>
        <v>0.40393099540991989</v>
      </c>
      <c r="BE174" s="432">
        <f>(INDEX(绊状态确认!$N:$N,MATCH($G174,绊状态确认!$B:$B,))+1.5)</f>
        <v>1.9</v>
      </c>
      <c r="BF174" s="1139">
        <f t="array" ref="BF174">SUMPRODUCT(IF(AZ174*AP174*$FI$16:$FI$23*$FA$22&gt;=$FI$24,$FI$24,AZ174*AP174*$FI$16:$FI$23*$FA$22),$FJ$16:$FJ$23)</f>
        <v>23867.420223048477</v>
      </c>
      <c r="BG174" s="1125">
        <f t="array" ref="BG174">SUMPRODUCT(IF(BE174*AZ174*AP174*$FI$16:$FI$23*$FA$22&gt;=$FI$24,$FI$24,BE174*AZ174*AP174*$FI$16:$FI$23*$FA$22),$FJ$16:$FJ$23)</f>
        <v>45348.098423792115</v>
      </c>
      <c r="BH174" s="1110">
        <f t="shared" si="201"/>
        <v>10848.043983585007</v>
      </c>
      <c r="BI174" s="1111">
        <f>IF(O174="vo",$EW$26/$EW$24*0.05,0)+IF(O174="sk",-$EW$26/$EW$24*(0.05-INDEX(绊状态确认!W:W,MATCH($G174,绊状态确认!$B:$B,)))+0.05*$EW$28,0)+IF(O174="sp",0.05*$EW$32*$EW$30*(1-$EW$33)-(0.05-INDEX(绊状态确认!V:V,MATCH($G174,绊状态确认!$B:$B,)))*$EW$28,0)+IF(O174="gd",-(0.05-INDEX(绊状态确认!X:X,MATCH($G174,绊状态确认!$B:$B,)))*$EW$32*$EW$30*(1-$EW$33),0)</f>
        <v>7726.3029277443748</v>
      </c>
      <c r="BJ174" s="1097">
        <f>IF(O174="vo",0.05*(1-$FI$26)*$FA$24,0)+IF(O174="sk",-(0.05-INDEX(绊状态确认!W:W,MATCH($G174,绊状态确认!$B:$B,)))*(1-$FI$26)*$FA$24+0.05*$FA$26,0)+IF(O174="sp",0.05*$FA$32*$FA$27*(1-$FA$33)/$FA$30+0.05*$FA$29/$FA$69*$FA$27*(1-$FA$33)-(0.05-INDEX(绊状态确认!V:V,MATCH($G174,绊状态确认!$B:$B,)))*$FA$26,0)+IF(O174="gd",-(0.05-INDEX(绊状态确认!X:X,MATCH($G174,绊状态确认!$B:$B,)))*$FA$32*$FA$27*(1-$FA$33)/$FA$30-(0.05-INDEX(绊状态确认!X:X,MATCH($G174,绊状态确认!$B:$B,)))*$FA$29/$FA$69*$FA$27*(1-$FA$33),0)</f>
        <v>393.93433687500004</v>
      </c>
      <c r="BK174" s="1110">
        <f>IF(O174="vo",$EW$26/$EW$24*0.05+$EW$26*(-HP($EW$62,$EW$65,$EW$64)+HP($EW$62,$EW$65,(1.05-INDEX(绊状态确认!U:U,MATCH($G174,绊状态确认!$B:$B,)))*$EW$64)),0)+IF(O174="sk",-$EW$26/$EW$24*(0.05-INDEX(绊状态确认!W:W,MATCH($G174,绊状态确认!$B:$B,)))+0.05*$EW$29,0)+IF(O174="sp",0.05*$EW$32*$EW$30*(1-$EW$33)-(0.05-INDEX(绊状态确认!V:V,MATCH($G174,绊状态确认!$B:$B,)))*$EW$29,0)+IF(O174="gd",-(0.05-INDEX(绊状态确认!X:X,MATCH($G174,绊状态确认!$B:$B,)))*$EW$32*$EW$30*(1-$EW$33)+$EW$26*(-HP($EW$62,$EW$65,$EW$64)+HP($EW$62,$EW$65,0.95*$EW$64)),0)</f>
        <v>6421.6344775026746</v>
      </c>
      <c r="BL174" s="1111">
        <f t="shared" si="202"/>
        <v>-1083.3333333333333</v>
      </c>
      <c r="BM174" s="1110">
        <f t="shared" si="203"/>
        <v>-830.55555555555543</v>
      </c>
      <c r="BN174" s="1113">
        <f t="shared" si="204"/>
        <v>3</v>
      </c>
      <c r="BO174" s="1097">
        <f t="shared" si="205"/>
        <v>4507.7214871259994</v>
      </c>
      <c r="BP174" s="1100">
        <f t="shared" si="206"/>
        <v>221.34103209030098</v>
      </c>
      <c r="BQ174" s="1113" t="s">
        <v>145</v>
      </c>
      <c r="BR174" s="1124" t="s">
        <v>148</v>
      </c>
      <c r="BS174" s="1098">
        <f>IF($P174="","N/A",IF($P174=-1,INDEX('卡片raw data'!AX:AX,MATCH($D174,'卡片raw data'!$F:$F,)),0)+IF($L174="party卡",IF($P174=5,INDEX('卡片raw data'!BD:BD,MATCH($D174,'卡片raw data'!$F:$F,)),IF($P174&gt;=3,INDEX('卡片raw data'!BC:BC,MATCH($D174,'卡片raw data'!$F:$F,)),INDEX('卡片raw data'!BB:BB,MATCH($D174,'卡片raw data'!$F:$F,)))),IF(OR(AND($F174="UR",$P174=0),AND($F174="SR",$P174&gt;=0,$P174&lt;=2),AND($F174="R",$P174&gt;=0,$P174&lt;4)),INDEX('卡片raw data'!AZ:AZ,MATCH($D174,'卡片raw data'!$F:$F,)),0)+IF(OR(AND($F174="UR",$P174&gt;=1,$P174&lt;=4),AND($F174="SR",$P174&lt;=4,$P174&gt;=3),AND($F174="R",$P174=4)),INDEX('卡片raw data'!BA:BA,MATCH($D174,'卡片raw data'!$F:$F,)),0)+IF($P174=5,INDEX('卡片raw data'!BB:BB,MATCH($D174,'卡片raw data'!$F:$F,)),0)))</f>
        <v>3.2000000000000001E-2</v>
      </c>
      <c r="BT174" s="1101">
        <f t="shared" si="207"/>
        <v>1509.2469769191675</v>
      </c>
      <c r="BU174" s="1097">
        <f t="shared" si="208"/>
        <v>95.522578685765595</v>
      </c>
      <c r="BV174" s="1097">
        <f t="shared" si="209"/>
        <v>754.62348845958354</v>
      </c>
      <c r="BW174" s="1112">
        <f t="shared" si="210"/>
        <v>0</v>
      </c>
      <c r="BX174" s="1100">
        <f t="shared" si="211"/>
        <v>1509.2469769191675</v>
      </c>
      <c r="BY174" s="1110">
        <f t="shared" si="212"/>
        <v>754.62348845958354</v>
      </c>
      <c r="BZ174" s="1107" t="s">
        <v>569</v>
      </c>
      <c r="CA174" s="1124"/>
      <c r="CB174" s="1098">
        <f>IF($P174="","N/A",IF($P174=-1,INDEX('卡片raw data'!BE:BE,MATCH($D174,'卡片raw data'!$F:$F,)),0)+IF($L174="party卡",IF($P174=5,INDEX('卡片raw data'!BK:BK,MATCH($D174,'卡片raw data'!$F:$F,)),IF($P174&gt;=3,INDEX('卡片raw data'!BJ:BJ,MATCH($D174,'卡片raw data'!$F:$F,)),INDEX('卡片raw data'!BI:BI,MATCH($D174,'卡片raw data'!$F:$F,)))),IF(OR(AND($F174="UR",$P174=0),AND($F174="SR",$P174&gt;=0,$P174&lt;=2),AND($F174="R",$P174&gt;=0,$P174&lt;4)),INDEX('卡片raw data'!BG:BG,MATCH($D174,'卡片raw data'!$F:$F,)),0)+IF(OR(AND($F174="UR",$P174&gt;=1,$P174&lt;=4),AND($F174="SR",$P174&lt;=4,$P174&gt;=3),AND($F174="R",$P174=4)),INDEX('卡片raw data'!BH:BH,MATCH($D174,'卡片raw data'!$F:$F,)),0)+IF($P174=5,INDEX('卡片raw data'!BI:BI,MATCH($D174,'卡片raw data'!$F:$F,)),0)))</f>
        <v>0</v>
      </c>
      <c r="CC174" s="1101">
        <f t="shared" si="213"/>
        <v>0</v>
      </c>
      <c r="CD174" s="1097">
        <f>IF(BZ174="ap",CB174*(1-$FI$26)*$FB$5/$FB$11*(+IF(CA174="全员",$FA$24,0)+IF(CA174="同作战",$FA$24,0)+IF(CA174="仲间",$FA$24*2/3,0)+IF(CA174="同属性",$FA$24*$FA$37/3,0)+IF(CA174="同年级",$FA$24*$FA$40/3,0)+IF(CA174="同学校",$FA$24*$FA$43/3,0)+IF(CA174="同小队",$FA$24*$FA$46/3,0)+IF(CA174="同type",$FA$24*INDEX($FB$49:$FB$52,MATCH(X174,$FA$49:$FA$52,))/3,0)+IF(CA174="自身",#REF!/3,0)),0)+IF(BZ174="te",CB174*(1-$FI$27)*($FA$20-1)*$FB$7/$FB$13*(+IF(CA174="全员",$FA$19*$FA$24/(1+($FA$20-1)*$FA$19),0)+IF(CA174="同作战",$FA$19*$FA$24/(1+($FA$20-1)*$FA$19),0)+IF(CA174="仲间",$FA$19*$FA$24*2/3/(1+($FA$20-1)*$FA$19),0)+IF(CA174="同属性",$FA$19*$FA$24*$FA$37/3/(1+($FA$20-1)*$FA$19),0)+IF(CA174="同年级",$FA$19*$FA$24*$FA$40/3/(1+($FA$20-1)*$FA$19),0)+IF(CA174="同学校",$FA$19*$FA$24*$FA$43/3/(1+($FA$20-1)*$FA$19),0)+IF(CA174="同小队",$FA$19*$FA$24*$FA$46/3/(1+($FA$20-1)*$FA$19),0)+IF(CA174="同type",$FA$19*$FA$24*INDEX($FB$49:$FB$52,MATCH(X174,$FA$49:$FA$52,))/3/(1+($FA$20-1)*$FA$19),0)+IF(CA174="自身",$FA$19*#REF!/3/(1+(BH174-1)*$BD174),0)),0)</f>
        <v>0</v>
      </c>
      <c r="CE174" s="1097">
        <f t="shared" si="214"/>
        <v>0</v>
      </c>
      <c r="CF174" s="1112">
        <f t="shared" si="215"/>
        <v>0</v>
      </c>
      <c r="CG174" s="1100">
        <f t="shared" si="216"/>
        <v>0</v>
      </c>
      <c r="CH174" s="1110">
        <f t="shared" si="217"/>
        <v>0</v>
      </c>
      <c r="CI174" s="1113" t="s">
        <v>170</v>
      </c>
      <c r="CJ174" s="1114">
        <v>0.2</v>
      </c>
      <c r="CK174" s="1115" t="s">
        <v>589</v>
      </c>
      <c r="CL174" s="1115" t="s">
        <v>171</v>
      </c>
      <c r="CM174" s="1119">
        <v>0.02</v>
      </c>
      <c r="CN174" s="1115">
        <v>5</v>
      </c>
      <c r="CO174" s="1092"/>
      <c r="CP174" s="1118">
        <f t="shared" si="218"/>
        <v>4.7619047619047627E-5</v>
      </c>
      <c r="CQ174" s="1118">
        <f t="shared" si="219"/>
        <v>6.4814814814814829E-5</v>
      </c>
      <c r="CR174" s="1118">
        <f t="shared" si="220"/>
        <v>2.380952380952381E-5</v>
      </c>
      <c r="CS174" s="1118">
        <f t="shared" si="221"/>
        <v>0</v>
      </c>
      <c r="CT174" s="1109">
        <f t="shared" si="222"/>
        <v>0</v>
      </c>
      <c r="CU174" s="1101">
        <f t="shared" si="223"/>
        <v>8.0942221147798232</v>
      </c>
      <c r="CV174" s="1108">
        <f t="shared" si="224"/>
        <v>0.51065562187500024</v>
      </c>
      <c r="CW174" s="1097">
        <f t="shared" si="225"/>
        <v>4.0471110573899107</v>
      </c>
      <c r="CX174" s="1097">
        <f t="shared" si="226"/>
        <v>8.0942221147798232</v>
      </c>
      <c r="CY174" s="1110">
        <f t="shared" si="227"/>
        <v>4.0471110573899107</v>
      </c>
      <c r="CZ174" s="437"/>
      <c r="DA174" s="438"/>
      <c r="DB174" s="439" t="s">
        <v>569</v>
      </c>
      <c r="DC174" s="439"/>
      <c r="DD174" s="443"/>
      <c r="DE174" s="411"/>
      <c r="DF174" s="411"/>
      <c r="DG174" s="1116">
        <f t="shared" si="228"/>
        <v>0</v>
      </c>
      <c r="DH174" s="1116">
        <f t="shared" si="229"/>
        <v>0</v>
      </c>
      <c r="DI174" s="1116">
        <f t="shared" si="230"/>
        <v>0</v>
      </c>
      <c r="DJ174" s="442">
        <f t="shared" si="231"/>
        <v>0</v>
      </c>
      <c r="DK174" s="1109">
        <f t="shared" si="232"/>
        <v>0</v>
      </c>
      <c r="DL174" s="1101">
        <f t="shared" si="233"/>
        <v>0</v>
      </c>
      <c r="DM174" s="1097">
        <f t="shared" si="234"/>
        <v>0</v>
      </c>
      <c r="DN174" s="1097">
        <f t="shared" si="235"/>
        <v>0</v>
      </c>
      <c r="DO174" s="1097">
        <f t="shared" si="236"/>
        <v>0</v>
      </c>
      <c r="DP174" s="1110">
        <f t="shared" si="237"/>
        <v>0</v>
      </c>
      <c r="DQ174" s="1113" t="s">
        <v>256</v>
      </c>
      <c r="DR174" s="1120">
        <f t="shared" si="238"/>
        <v>0.3</v>
      </c>
      <c r="DS174" s="1124"/>
      <c r="DT174" s="1093" t="s">
        <v>548</v>
      </c>
      <c r="DU174" s="1093"/>
      <c r="DV174" s="1098">
        <f>IF($P174="","N/A",IF(P174=-1,INDEX('卡片raw data'!AN:AN,MATCH(D174,'卡片raw data'!$F:$F,)),0)+IF(AND(L174&lt;&gt;"party卡",P174&lt;=2,P174&gt;=0),INDEX('卡片raw data'!AP:AP,MATCH(D174,'卡片raw data'!$F:$F,)),0)+IF(OR(AND(L174="party卡",P174&lt;=1),AND(P174&lt;=4,L174&lt;&gt;"party卡",P174&gt;=3)),INDEX('卡片raw data'!AQ:AQ,MATCH(D174,'卡片raw data'!$F:$F,)),0)+IF(OR(P174=5,AND(L174="party卡",P174&gt;=2)),INDEX('卡片raw data'!AR:AR,MATCH(D174,'卡片raw data'!$F:$F,)),0))</f>
        <v>0.2</v>
      </c>
      <c r="DW174" s="1098">
        <f t="shared" si="239"/>
        <v>0.3</v>
      </c>
      <c r="DX174" s="1098">
        <f t="shared" si="240"/>
        <v>0.3</v>
      </c>
      <c r="DY174" s="1125">
        <f t="shared" si="241"/>
        <v>318.06907522399996</v>
      </c>
      <c r="DZ174" s="1125">
        <f t="shared" si="242"/>
        <v>249.11394863272321</v>
      </c>
      <c r="EA174" s="1098">
        <f t="shared" si="243"/>
        <v>0</v>
      </c>
      <c r="EB174" s="1121">
        <f t="shared" si="244"/>
        <v>0</v>
      </c>
      <c r="EC174" s="1101">
        <f t="shared" si="245"/>
        <v>454.83877757032002</v>
      </c>
      <c r="ED174" s="1097">
        <f t="shared" si="246"/>
        <v>0</v>
      </c>
      <c r="EE174" s="1110">
        <f t="shared" si="247"/>
        <v>454.83877757032002</v>
      </c>
      <c r="EF174" s="1092" t="s">
        <v>711</v>
      </c>
      <c r="EG174" s="1120">
        <f t="shared" si="248"/>
        <v>0.3</v>
      </c>
      <c r="EH174" s="1124"/>
      <c r="EI174" s="1093"/>
      <c r="EJ174" s="1093"/>
      <c r="EK174" s="1097">
        <f>IF($P174="","N/A",IF(P174=-1,INDEX('卡片raw data'!AS:AS,MATCH(D174,'卡片raw data'!$F:$F,)),0)+IF(AND(L174&lt;&gt;"party卡",P174&lt;=2,P174&gt;=0),INDEX('卡片raw data'!AU:AU,MATCH(D174,'卡片raw data'!$F:$F,)),0)+IF(OR(AND(L174="party卡",P174&lt;=1),AND(P174&lt;=4,L174&lt;&gt;"party卡",P174&gt;=3)),INDEX('卡片raw data'!AV:AV,MATCH(D174,'卡片raw data'!$F:$F,)),0)+IF(OR(P174=5,AND(L174="party卡",P174&gt;=2)),INDEX('卡片raw data'!AW:AW,MATCH(D174,'卡片raw data'!$F:$F,)),0))</f>
        <v>0</v>
      </c>
      <c r="EL174" s="1098">
        <f t="shared" si="249"/>
        <v>0.3</v>
      </c>
      <c r="EM174" s="1098">
        <f t="shared" si="250"/>
        <v>0.3</v>
      </c>
      <c r="EN174" s="1125">
        <f t="shared" si="251"/>
        <v>0</v>
      </c>
      <c r="EO174" s="1125">
        <f t="shared" si="252"/>
        <v>0</v>
      </c>
      <c r="EP174" s="1098">
        <f t="shared" si="253"/>
        <v>0</v>
      </c>
      <c r="EQ174" s="1121">
        <f t="shared" si="254"/>
        <v>0</v>
      </c>
      <c r="ER174" s="1101">
        <f t="shared" si="255"/>
        <v>0</v>
      </c>
      <c r="ES174" s="1097">
        <f t="shared" si="256"/>
        <v>0</v>
      </c>
      <c r="ET174" s="1122">
        <f t="shared" si="257"/>
        <v>0</v>
      </c>
    </row>
    <row r="175" spans="2:150" ht="16.5" customHeight="1">
      <c r="B175" s="1123" t="str">
        <f>INDEX('卡片raw data'!B:B,MATCH($D175,'卡片raw data'!$F:$F,))</f>
        <v>彩虹林</v>
      </c>
      <c r="C175" s="449" t="s">
        <v>22</v>
      </c>
      <c r="D175" s="408">
        <v>172</v>
      </c>
      <c r="E175" s="1090">
        <v>402042001</v>
      </c>
      <c r="F175" s="1090" t="str">
        <f>INDEX('卡片raw data'!C:C,MATCH($D175,'卡片raw data'!$F:$F,))</f>
        <v>SR</v>
      </c>
      <c r="G175" s="1094" t="s">
        <v>347</v>
      </c>
      <c r="H175" s="411">
        <f>IFERROR(INDEX(绊状态确认!C:C,MATCH($G175,绊状态确认!$B:$B,)),"")</f>
        <v>204</v>
      </c>
      <c r="I175" s="450" t="str">
        <f>IFERROR(INDEX(绊状态确认!D:D,MATCH($G175,绊状态确认!$B:$B,)),"")</f>
        <v>虹</v>
      </c>
      <c r="J175" s="450" t="str">
        <f>IFERROR(INDEX(绊状态确认!E:E,MATCH($G175,绊状态确认!$B:$B,)),"")</f>
        <v>3年级</v>
      </c>
      <c r="K175" s="451" t="str">
        <f>IFERROR(INDEX(绊状态确认!F:F,MATCH($G175,绊状态确认!$B:$B,)),"")</f>
        <v>Diver Diva</v>
      </c>
      <c r="L175" s="1094" t="str">
        <f>INDEX('卡片raw data'!E:E,MATCH($D175,'卡片raw data'!$F:$F,))</f>
        <v>活动卡</v>
      </c>
      <c r="M175" s="415">
        <v>43867</v>
      </c>
      <c r="N175" s="416">
        <v>9</v>
      </c>
      <c r="O175" s="1091" t="str">
        <f>INDEX('卡片raw data'!D:D,MATCH($D175,'卡片raw data'!$F:$F,))</f>
        <v>gd</v>
      </c>
      <c r="P175" s="417">
        <v>5</v>
      </c>
      <c r="Q175" s="1095">
        <f t="shared" si="173"/>
        <v>16844.608160576467</v>
      </c>
      <c r="R175" s="1096">
        <f t="shared" si="174"/>
        <v>0.19500000000000001</v>
      </c>
      <c r="S175" s="1097">
        <f t="shared" si="175"/>
        <v>9735.8553092349139</v>
      </c>
      <c r="T175" s="1098">
        <f t="shared" si="176"/>
        <v>0.48599999999999999</v>
      </c>
      <c r="U175" s="1099">
        <f t="shared" si="177"/>
        <v>70.824110586928569</v>
      </c>
      <c r="V175" s="1100">
        <f t="shared" si="178"/>
        <v>23824.891226258802</v>
      </c>
      <c r="W175" s="1101">
        <f t="shared" si="179"/>
        <v>4507.7214871259994</v>
      </c>
      <c r="X175" s="1096">
        <f t="shared" si="180"/>
        <v>5.1999999999999998E-2</v>
      </c>
      <c r="Y175" s="1097">
        <f t="shared" si="181"/>
        <v>1060.083058678475</v>
      </c>
      <c r="Z175" s="1102">
        <f t="shared" si="182"/>
        <v>13.324110586928571</v>
      </c>
      <c r="AA175" s="1103">
        <f t="shared" si="183"/>
        <v>5567.8045458044744</v>
      </c>
      <c r="AB175" s="1101">
        <f t="shared" si="184"/>
        <v>4507.7214871259994</v>
      </c>
      <c r="AC175" s="1104">
        <f t="shared" si="185"/>
        <v>5.1999999999999998E-2</v>
      </c>
      <c r="AD175" s="1105">
        <f t="shared" si="186"/>
        <v>-3.8207812500000026E-3</v>
      </c>
      <c r="AE175" s="1128">
        <f t="shared" si="187"/>
        <v>-18.525362318840578</v>
      </c>
      <c r="AF175" s="1130">
        <f t="shared" si="188"/>
        <v>0</v>
      </c>
      <c r="AG175" s="420">
        <f t="shared" si="189"/>
        <v>0</v>
      </c>
      <c r="AH175" s="420">
        <f t="shared" si="190"/>
        <v>0</v>
      </c>
      <c r="AI175" s="1097">
        <f t="shared" si="191"/>
        <v>0</v>
      </c>
      <c r="AJ175" s="420">
        <f t="shared" si="192"/>
        <v>0</v>
      </c>
      <c r="AK175" s="518">
        <f t="shared" si="193"/>
        <v>0</v>
      </c>
      <c r="AL175" s="1106">
        <f>IF($P175="","N/A",(IF($P175=-1,INDEX('卡片raw data'!S:S,MATCH($D175,'卡片raw data'!$F:$F,)),0)+IF($P175=0,INDEX('卡片raw data'!V:V,MATCH($D175,'卡片raw data'!$F:$F,)),0)+IF($P175=1,INDEX('卡片raw data'!Y:Y,MATCH($D175,'卡片raw data'!$F:$F,)),0)+IF($P175=2,INDEX('卡片raw data'!AB:AB,MATCH($D175,'卡片raw data'!$F:$F,)),0)+IF($P175=3,INDEX('卡片raw data'!AE:AE,MATCH($D175,'卡片raw data'!$F:$F,)),0)+IF($P175=4,INDEX('卡片raw data'!AH:AH,MATCH($D175,'卡片raw data'!$F:$F,)),0)+IF($P175=5,INDEX('卡片raw data'!AK:AK,MATCH($D175,'卡片raw data'!$F:$F,)),0)+INDEX('卡片raw data'!S:S,MATCH($D175,'卡片raw data'!$F:$F,))*(IF($F175="UR",0.04,0.033))*(IF($F175="UR",INDEX(绊状态确认!$S:$S,MATCH($G175,绊状态确认!$B:$B,))/2-40)+IF($F175="SR",INDEX(绊状态确认!$R:$R,MATCH($G175,绊状态确认!$B:$B,))/4-15))+IF($F175="R",INDEX(绊状态确认!$Q:$Q,MATCH($G175,绊状态确认!$B:$B,))/6-40/6)))*(INDEX(绊状态确认!$H:$H,MATCH($G175,绊状态确认!$B:$B,))+INDEX(绊状态确认!J:J,MATCH($G175,绊状态确认!$B:$B,)))</f>
        <v>5140.0849319999998</v>
      </c>
      <c r="AM175" s="1106">
        <f>IF($P175="","N/A",(IF($P175=-1,INDEX('卡片raw data'!T:T,MATCH($D175,'卡片raw data'!$F:$F,)),0)+IF($P175=0,INDEX('卡片raw data'!W:W,MATCH($D175,'卡片raw data'!$F:$F,)),0)+IF($P175=1,INDEX('卡片raw data'!Z:Z,MATCH($D175,'卡片raw data'!$F:$F,)),0)+IF($P175=2,INDEX('卡片raw data'!AC:AC,MATCH($D175,'卡片raw data'!$F:$F,)),0)+IF($P175=3,INDEX('卡片raw data'!AF:AF,MATCH($D175,'卡片raw data'!$F:$F,)),0)+IF($P175=4,INDEX('卡片raw data'!AI:AI,MATCH($D175,'卡片raw data'!$F:$F,)),0)+IF($P175=5,INDEX('卡片raw data'!AL:AL,MATCH($D175,'卡片raw data'!$F:$F,)),0)+INDEX('卡片raw data'!T:T,MATCH($D175,'卡片raw data'!$F:$F,))*(IF($F175="UR",0.04,0.033))*(IF($F175="UR",INDEX(绊状态确认!$S:$S,MATCH($G175,绊状态确认!$B:$B,))/2-40)+IF($F175="SR",INDEX(绊状态确认!$R:$R,MATCH($G175,绊状态确认!$B:$B,))/4-15))+IF($F175="R",INDEX(绊状态确认!$Q:$Q,MATCH($G175,绊状态确认!$B:$B,))/6-40/6)))*(INDEX(绊状态确认!$H:$H,MATCH($G175,绊状态确认!$B:$B,))+INDEX(绊状态确认!K:K,MATCH($G175,绊状态确认!$B:$B,)))</f>
        <v>6105.0817199999992</v>
      </c>
      <c r="AN175" s="1106">
        <f>IF($P175="","N/A",(IF($P175=-1,INDEX('卡片raw data'!U:U,MATCH($D175,'卡片raw data'!$F:$F,)),0)+IF($P175=0,INDEX('卡片raw data'!X:X,MATCH($D175,'卡片raw data'!$F:$F,)),0)+IF($P175=1,INDEX('卡片raw data'!AA:AA,MATCH($D175,'卡片raw data'!$F:$F,)),0)+IF($P175=2,INDEX('卡片raw data'!AD:AD,MATCH($D175,'卡片raw data'!$F:$F,)),0)+IF($P175=3,INDEX('卡片raw data'!AG:AG,MATCH($D175,'卡片raw data'!$F:$F,)),0)+IF($P175=4,INDEX('卡片raw data'!AJ:AJ,MATCH($D175,'卡片raw data'!$F:$F,)),0)+IF($P175=5,INDEX('卡片raw data'!AM:AM,MATCH($D175,'卡片raw data'!$F:$F,)),0)+INDEX('卡片raw data'!U:U,MATCH($D175,'卡片raw data'!$F:$F,))*(IF($F175="UR",0.04,0.033))*(IF($F175="UR",INDEX(绊状态确认!$S:$S,MATCH($G175,绊状态确认!$B:$B,))/2-40)+IF($F175="SR",INDEX(绊状态确认!$R:$R,MATCH($G175,绊状态确认!$B:$B,))/4-15))+IF($F175="R",INDEX(绊状态确认!$Q:$Q,MATCH($G175,绊状态确认!$B:$B,))/6-40/6)))*(INDEX(绊状态确认!$H:$H,MATCH($G175,绊状态确认!$B:$B,))+INDEX(绊状态确认!L:L,MATCH($G175,绊状态确认!$B:$B,)))</f>
        <v>4820.3633375999989</v>
      </c>
      <c r="AO175" s="1107">
        <f t="shared" si="194"/>
        <v>1</v>
      </c>
      <c r="AP175" s="1131">
        <f>1+(INDEX(绊状态确认!$T:$T,MATCH($G175,绊状态确认!$B:$B,))+0.2)*$AO175</f>
        <v>1.3</v>
      </c>
      <c r="AQ175" s="1108">
        <f t="shared" si="195"/>
        <v>16742.722946500002</v>
      </c>
      <c r="AR175" s="1097">
        <f>(AM175*(1+$EX$9)+$EX$35)*(1+(INDEX(绊状态确认!$T:$T,MATCH($G175,绊状态确认!$B:$B,))+0.2)*AO175)*IF(J175=$FF$17,1+$FE$17,1)*IF(I175=$FF$14,1+$FE$14,1)</f>
        <v>11037.4365478</v>
      </c>
      <c r="AS175" s="1097">
        <f>(AN175*(1+$EX$10)+$EX$36)*(1+(INDEX(绊状态确认!$T:$T,MATCH($G175,绊状态确认!$B:$B,))+0.2)*AO175)*IF(J175=$FF$17,1+$FE$17,1)*IF(I175=$FF$14,1+$FE$14,1)</f>
        <v>11262.443189711999</v>
      </c>
      <c r="AT175" s="1093">
        <f>IF(AND(INDEX('卡片raw data'!AK:AK,MATCH($D175,'卡片raw data'!$F:$F,))&lt;INDEX('卡片raw data'!AM:AM,MATCH($D175,'卡片raw data'!$F:$F,)),INDEX('卡片raw data'!AL:AL,MATCH($D175,'卡片raw data'!$F:$F,))&lt;INDEX('卡片raw data'!AM:AM,MATCH($D175,'卡片raw data'!$F:$F,))),1,0)</f>
        <v>0</v>
      </c>
      <c r="AU175" s="1098">
        <f>MIN(AT175*0.15+AS175*0.00003+INDEX(绊状态确认!M:M,MATCH($G175,绊状态确认!$B:$B,)),1)</f>
        <v>0.36787329569136001</v>
      </c>
      <c r="AV175" s="1109">
        <f>(INDEX(绊状态确认!$N:$N,MATCH($G175,绊状态确认!$B:$B,))+1.5)*$EW$21</f>
        <v>2.6599999999999997</v>
      </c>
      <c r="AW175" s="1101">
        <f t="shared" si="196"/>
        <v>14005.220006783798</v>
      </c>
      <c r="AX175" s="1097">
        <f t="shared" si="197"/>
        <v>943.07456886854345</v>
      </c>
      <c r="AY175" s="1110">
        <f t="shared" si="198"/>
        <v>14948.294575652342</v>
      </c>
      <c r="AZ175" s="429">
        <f t="shared" si="199"/>
        <v>12623.1656174</v>
      </c>
      <c r="BA175" s="431">
        <f t="shared" si="200"/>
        <v>15147.79874088</v>
      </c>
      <c r="BB175" s="1097">
        <f>(AM175*(1+$FB$9)+$FB$35)*(1+(INDEX(绊状态确认!$T:$T,MATCH($G175,绊状态确认!$B:$B,))+0.2)*AO175)*IF(J175=$FF$17,1+$FE$17,1)*IF(I175=$FF$14,1+$FE$14,1)*(1+$FE$15)</f>
        <v>11037.4365478</v>
      </c>
      <c r="BC175" s="1097">
        <f>(AN175*(1+$FB$10)+$FB$36)*(1+(INDEX(绊状态确认!$T:$T,MATCH($G175,绊状态确认!$B:$B,))+0.2)*AO175)*IF(J175=$FF$17,1+$FE$17,1)*IF(I175=$FF$14,1+$FE$14,1)*(1+$FE$15)</f>
        <v>11262.443189711999</v>
      </c>
      <c r="BD175" s="1104">
        <f>MIN(AT175*0.15+BC175*0.00003+INDEX(绊状态确认!M:M,MATCH($G175,绊状态确认!$B:$B,)),1)</f>
        <v>0.36787329569136001</v>
      </c>
      <c r="BE175" s="432">
        <f>(INDEX(绊状态确认!$N:$N,MATCH($G175,绊状态确认!$B:$B,))+1.5)</f>
        <v>1.9</v>
      </c>
      <c r="BF175" s="1139">
        <f t="array" ref="BF175">SUMPRODUCT(IF(AZ175*AP175*$FI$16:$FI$23*$FA$22&gt;=$FI$24,$FI$24,AZ175*AP175*$FI$16:$FI$23*$FA$22),$FJ$16:$FJ$23)</f>
        <v>25107.476413008601</v>
      </c>
      <c r="BG175" s="1125">
        <f t="array" ref="BG175">SUMPRODUCT(IF(BE175*AZ175*AP175*$FI$16:$FI$23*$FA$22&gt;=$FI$24,$FI$24,BE175*AZ175*AP175*$FI$16:$FI$23*$FA$22),$FJ$16:$FJ$23)</f>
        <v>47704.205184716338</v>
      </c>
      <c r="BH175" s="1110">
        <f t="shared" si="201"/>
        <v>11140.069832700168</v>
      </c>
      <c r="BI175" s="1111">
        <f>IF(O175="vo",$EW$26/$EW$24*0.05,0)+IF(O175="sk",-$EW$26/$EW$24*(0.05-INDEX(绊状态确认!W:W,MATCH($G175,绊状态确认!$B:$B,)))+0.05*$EW$28,0)+IF(O175="sp",0.05*$EW$32*$EW$30*(1-$EW$33)-(0.05-INDEX(绊状态确认!V:V,MATCH($G175,绊状态确认!$B:$B,)))*$EW$28,0)+IF(O175="gd",-(0.05-INDEX(绊状态确认!X:X,MATCH($G175,绊状态确认!$B:$B,)))*$EW$32*$EW$30*(1-$EW$33),0)</f>
        <v>-585.00000000000011</v>
      </c>
      <c r="BJ175" s="1097">
        <f>IF(O175="vo",0.05*(1-$FI$26)*$FA$24,0)+IF(O175="sk",-(0.05-INDEX(绊状态确认!W:W,MATCH($G175,绊状态确认!$B:$B,)))*(1-$FI$26)*$FA$24+0.05*$FA$26,0)+IF(O175="sp",0.05*$FA$32*$FA$27*(1-$FA$33)/$FA$30+0.05*$FA$29/$FA$69*$FA$27*(1-$FA$33)-(0.05-INDEX(绊状态确认!V:V,MATCH($G175,绊状态确认!$B:$B,)))*$FA$26,0)+IF(O175="gd",-(0.05-INDEX(绊状态确认!X:X,MATCH($G175,绊状态确认!$B:$B,)))*$FA$32*$FA$27*(1-$FA$33)/$FA$30-(0.05-INDEX(绊状态确认!X:X,MATCH($G175,绊状态确认!$B:$B,)))*$FA$29/$FA$69*$FA$27*(1-$FA$33),0)</f>
        <v>-795.00000000000011</v>
      </c>
      <c r="BK175" s="1110">
        <f>IF(O175="vo",$EW$26/$EW$24*0.05+$EW$26*(-HP($EW$62,$EW$65,$EW$64)+HP($EW$62,$EW$65,(1.05-INDEX(绊状态确认!U:U,MATCH($G175,绊状态确认!$B:$B,)))*$EW$64)),0)+IF(O175="sk",-$EW$26/$EW$24*(0.05-INDEX(绊状态确认!W:W,MATCH($G175,绊状态确认!$B:$B,)))+0.05*$EW$29,0)+IF(O175="sp",0.05*$EW$32*$EW$30*(1-$EW$33)-(0.05-INDEX(绊状态确认!V:V,MATCH($G175,绊状态确认!$B:$B,)))*$EW$29,0)+IF(O175="gd",-(0.05-INDEX(绊状态确认!X:X,MATCH($G175,绊状态确认!$B:$B,)))*$EW$32*$EW$30*(1-$EW$33)+$EW$26*(-HP($EW$62,$EW$65,$EW$64)+HP($EW$62,$EW$65,0.95*$EW$64)),0)</f>
        <v>1009.5947725176144</v>
      </c>
      <c r="BL175" s="1111">
        <f t="shared" si="202"/>
        <v>-1083.3333333333333</v>
      </c>
      <c r="BM175" s="1110">
        <f t="shared" si="203"/>
        <v>-830.55555555555543</v>
      </c>
      <c r="BN175" s="1113">
        <f t="shared" si="204"/>
        <v>3</v>
      </c>
      <c r="BO175" s="1097">
        <f t="shared" si="205"/>
        <v>4507.7214871259994</v>
      </c>
      <c r="BP175" s="1100">
        <f t="shared" si="206"/>
        <v>221.34103209030098</v>
      </c>
      <c r="BQ175" s="1113" t="s">
        <v>624</v>
      </c>
      <c r="BR175" s="1124" t="s">
        <v>148</v>
      </c>
      <c r="BS175" s="1098">
        <f>IF($P175="","N/A",IF($P175=-1,INDEX('卡片raw data'!AX:AX,MATCH($D175,'卡片raw data'!$F:$F,)),0)+IF($L175="party卡",IF($P175=5,INDEX('卡片raw data'!BD:BD,MATCH($D175,'卡片raw data'!$F:$F,)),IF($P175&gt;=3,INDEX('卡片raw data'!BC:BC,MATCH($D175,'卡片raw data'!$F:$F,)),INDEX('卡片raw data'!BB:BB,MATCH($D175,'卡片raw data'!$F:$F,)))),IF(OR(AND($F175="UR",$P175=0),AND($F175="SR",$P175&gt;=0,$P175&lt;=2),AND($F175="R",$P175&gt;=0,$P175&lt;4)),INDEX('卡片raw data'!AZ:AZ,MATCH($D175,'卡片raw data'!$F:$F,)),0)+IF(OR(AND($F175="UR",$P175&gt;=1,$P175&lt;=4),AND($F175="SR",$P175&lt;=4,$P175&gt;=3),AND($F175="R",$P175=4)),INDEX('卡片raw data'!BA:BA,MATCH($D175,'卡片raw data'!$F:$F,)),0)+IF($P175=5,INDEX('卡片raw data'!BB:BB,MATCH($D175,'卡片raw data'!$F:$F,)),0)))</f>
        <v>3.2000000000000001E-2</v>
      </c>
      <c r="BT175" s="1101">
        <f t="shared" si="207"/>
        <v>0</v>
      </c>
      <c r="BU175" s="1097">
        <f t="shared" si="208"/>
        <v>0</v>
      </c>
      <c r="BV175" s="1097">
        <f t="shared" si="209"/>
        <v>0</v>
      </c>
      <c r="BW175" s="1112">
        <f t="shared" si="210"/>
        <v>1.498285714285714</v>
      </c>
      <c r="BX175" s="1100">
        <f t="shared" si="211"/>
        <v>117.00848980993118</v>
      </c>
      <c r="BY175" s="1110">
        <f t="shared" si="212"/>
        <v>117.00848980993118</v>
      </c>
      <c r="BZ175" s="1107" t="s">
        <v>569</v>
      </c>
      <c r="CA175" s="1124"/>
      <c r="CB175" s="1098">
        <f>IF($P175="","N/A",IF($P175=-1,INDEX('卡片raw data'!BE:BE,MATCH($D175,'卡片raw data'!$F:$F,)),0)+IF($L175="party卡",IF($P175=5,INDEX('卡片raw data'!BK:BK,MATCH($D175,'卡片raw data'!$F:$F,)),IF($P175&gt;=3,INDEX('卡片raw data'!BJ:BJ,MATCH($D175,'卡片raw data'!$F:$F,)),INDEX('卡片raw data'!BI:BI,MATCH($D175,'卡片raw data'!$F:$F,)))),IF(OR(AND($F175="UR",$P175=0),AND($F175="SR",$P175&gt;=0,$P175&lt;=2),AND($F175="R",$P175&gt;=0,$P175&lt;4)),INDEX('卡片raw data'!BG:BG,MATCH($D175,'卡片raw data'!$F:$F,)),0)+IF(OR(AND($F175="UR",$P175&gt;=1,$P175&lt;=4),AND($F175="SR",$P175&lt;=4,$P175&gt;=3),AND($F175="R",$P175=4)),INDEX('卡片raw data'!BH:BH,MATCH($D175,'卡片raw data'!$F:$F,)),0)+IF($P175=5,INDEX('卡片raw data'!BI:BI,MATCH($D175,'卡片raw data'!$F:$F,)),0)))</f>
        <v>0</v>
      </c>
      <c r="CC175" s="1101">
        <f t="shared" si="213"/>
        <v>0</v>
      </c>
      <c r="CD175" s="1097">
        <f>IF(BZ175="ap",CB175*(1-$FI$26)*$FB$5/$FB$11*(+IF(CA175="全员",$FA$24,0)+IF(CA175="同作战",$FA$24,0)+IF(CA175="仲间",$FA$24*2/3,0)+IF(CA175="同属性",$FA$24*$FA$37/3,0)+IF(CA175="同年级",$FA$24*$FA$40/3,0)+IF(CA175="同学校",$FA$24*$FA$43/3,0)+IF(CA175="同小队",$FA$24*$FA$46/3,0)+IF(CA175="同type",$FA$24*INDEX($FB$49:$FB$52,MATCH(X175,$FA$49:$FA$52,))/3,0)+IF(CA175="自身",#REF!/3,0)),0)+IF(BZ175="te",CB175*(1-$FI$27)*($FA$20-1)*$FB$7/$FB$13*(+IF(CA175="全员",$FA$19*$FA$24/(1+($FA$20-1)*$FA$19),0)+IF(CA175="同作战",$FA$19*$FA$24/(1+($FA$20-1)*$FA$19),0)+IF(CA175="仲间",$FA$19*$FA$24*2/3/(1+($FA$20-1)*$FA$19),0)+IF(CA175="同属性",$FA$19*$FA$24*$FA$37/3/(1+($FA$20-1)*$FA$19),0)+IF(CA175="同年级",$FA$19*$FA$24*$FA$40/3/(1+($FA$20-1)*$FA$19),0)+IF(CA175="同学校",$FA$19*$FA$24*$FA$43/3/(1+($FA$20-1)*$FA$19),0)+IF(CA175="同小队",$FA$19*$FA$24*$FA$46/3/(1+($FA$20-1)*$FA$19),0)+IF(CA175="同type",$FA$19*$FA$24*INDEX($FB$49:$FB$52,MATCH(X175,$FA$49:$FA$52,))/3/(1+($FA$20-1)*$FA$19),0)+IF(CA175="自身",$FA$19*#REF!/3/(1+(BH175-1)*$BD175),0)),0)</f>
        <v>0</v>
      </c>
      <c r="CE175" s="1097">
        <f t="shared" si="214"/>
        <v>0</v>
      </c>
      <c r="CF175" s="1112">
        <f t="shared" si="215"/>
        <v>0</v>
      </c>
      <c r="CG175" s="1100">
        <f t="shared" si="216"/>
        <v>0</v>
      </c>
      <c r="CH175" s="1110">
        <f t="shared" si="217"/>
        <v>0</v>
      </c>
      <c r="CI175" s="1113" t="s">
        <v>170</v>
      </c>
      <c r="CJ175" s="1114">
        <v>0.2</v>
      </c>
      <c r="CK175" s="1115" t="s">
        <v>311</v>
      </c>
      <c r="CL175" s="1115" t="s">
        <v>161</v>
      </c>
      <c r="CM175" s="1119"/>
      <c r="CN175" s="1115"/>
      <c r="CO175" s="1092"/>
      <c r="CP175" s="1117">
        <f t="shared" si="218"/>
        <v>0</v>
      </c>
      <c r="CQ175" s="1117">
        <f t="shared" si="219"/>
        <v>0</v>
      </c>
      <c r="CR175" s="1117">
        <f t="shared" si="220"/>
        <v>0</v>
      </c>
      <c r="CS175" s="1118">
        <f t="shared" si="221"/>
        <v>0</v>
      </c>
      <c r="CT175" s="1109">
        <f t="shared" si="222"/>
        <v>0</v>
      </c>
      <c r="CU175" s="1101">
        <f t="shared" si="223"/>
        <v>0</v>
      </c>
      <c r="CV175" s="1108">
        <f t="shared" si="224"/>
        <v>0</v>
      </c>
      <c r="CW175" s="1097">
        <f t="shared" si="225"/>
        <v>0</v>
      </c>
      <c r="CX175" s="1097">
        <f t="shared" si="226"/>
        <v>0</v>
      </c>
      <c r="CY175" s="1110">
        <f t="shared" si="227"/>
        <v>0</v>
      </c>
      <c r="CZ175" s="437"/>
      <c r="DA175" s="438"/>
      <c r="DB175" s="439" t="s">
        <v>569</v>
      </c>
      <c r="DC175" s="439"/>
      <c r="DD175" s="443"/>
      <c r="DE175" s="411"/>
      <c r="DF175" s="411"/>
      <c r="DG175" s="1116">
        <f t="shared" si="228"/>
        <v>0</v>
      </c>
      <c r="DH175" s="1116">
        <f t="shared" si="229"/>
        <v>0</v>
      </c>
      <c r="DI175" s="1116">
        <f t="shared" si="230"/>
        <v>0</v>
      </c>
      <c r="DJ175" s="442">
        <f t="shared" si="231"/>
        <v>0</v>
      </c>
      <c r="DK175" s="1109">
        <f t="shared" si="232"/>
        <v>0</v>
      </c>
      <c r="DL175" s="1101">
        <f t="shared" si="233"/>
        <v>0</v>
      </c>
      <c r="DM175" s="1097">
        <f t="shared" si="234"/>
        <v>0</v>
      </c>
      <c r="DN175" s="1097">
        <f t="shared" si="235"/>
        <v>0</v>
      </c>
      <c r="DO175" s="1097">
        <f t="shared" si="236"/>
        <v>0</v>
      </c>
      <c r="DP175" s="1110">
        <f t="shared" si="237"/>
        <v>0</v>
      </c>
      <c r="DQ175" s="1113" t="s">
        <v>556</v>
      </c>
      <c r="DR175" s="1120">
        <f t="shared" si="238"/>
        <v>0.3</v>
      </c>
      <c r="DS175" s="1124">
        <v>10</v>
      </c>
      <c r="DT175" s="1093" t="s">
        <v>161</v>
      </c>
      <c r="DU175" s="1093" t="s">
        <v>544</v>
      </c>
      <c r="DV175" s="1098">
        <f>IF($P175="","N/A",IF(P175=-1,INDEX('卡片raw data'!AN:AN,MATCH(D175,'卡片raw data'!$F:$F,)),0)+IF(AND(L175&lt;&gt;"party卡",P175&lt;=2,P175&gt;=0),INDEX('卡片raw data'!AP:AP,MATCH(D175,'卡片raw data'!$F:$F,)),0)+IF(OR(AND(L175="party卡",P175&lt;=1),AND(P175&lt;=4,L175&lt;&gt;"party卡",P175&gt;=3)),INDEX('卡片raw data'!AQ:AQ,MATCH(D175,'卡片raw data'!$F:$F,)),0)+IF(OR(P175=5,AND(L175="party卡",P175&gt;=2)),INDEX('卡片raw data'!AR:AR,MATCH(D175,'卡片raw data'!$F:$F,)),0))</f>
        <v>0.1</v>
      </c>
      <c r="DW175" s="1098">
        <f t="shared" si="239"/>
        <v>0.3</v>
      </c>
      <c r="DX175" s="1098">
        <f t="shared" si="240"/>
        <v>0.3</v>
      </c>
      <c r="DY175" s="1098">
        <f t="shared" si="241"/>
        <v>0.1</v>
      </c>
      <c r="DZ175" s="1098">
        <f t="shared" si="242"/>
        <v>8.6500000000000007E-2</v>
      </c>
      <c r="EA175" s="1098">
        <f t="shared" si="243"/>
        <v>0</v>
      </c>
      <c r="EB175" s="1121">
        <f t="shared" si="244"/>
        <v>0</v>
      </c>
      <c r="EC175" s="1101">
        <f t="shared" si="245"/>
        <v>0</v>
      </c>
      <c r="ED175" s="1097">
        <f t="shared" si="246"/>
        <v>0</v>
      </c>
      <c r="EE175" s="1110">
        <f t="shared" si="247"/>
        <v>4325.6052344862483</v>
      </c>
      <c r="EF175" s="1092" t="s">
        <v>711</v>
      </c>
      <c r="EG175" s="1120">
        <f t="shared" si="248"/>
        <v>0.3</v>
      </c>
      <c r="EH175" s="1124"/>
      <c r="EI175" s="1093"/>
      <c r="EJ175" s="1093"/>
      <c r="EK175" s="1097">
        <f>IF($P175="","N/A",IF(P175=-1,INDEX('卡片raw data'!AS:AS,MATCH(D175,'卡片raw data'!$F:$F,)),0)+IF(AND(L175&lt;&gt;"party卡",P175&lt;=2,P175&gt;=0),INDEX('卡片raw data'!AU:AU,MATCH(D175,'卡片raw data'!$F:$F,)),0)+IF(OR(AND(L175="party卡",P175&lt;=1),AND(P175&lt;=4,L175&lt;&gt;"party卡",P175&gt;=3)),INDEX('卡片raw data'!AV:AV,MATCH(D175,'卡片raw data'!$F:$F,)),0)+IF(OR(P175=5,AND(L175="party卡",P175&gt;=2)),INDEX('卡片raw data'!AW:AW,MATCH(D175,'卡片raw data'!$F:$F,)),0))</f>
        <v>0</v>
      </c>
      <c r="EL175" s="1098">
        <f t="shared" si="249"/>
        <v>0.3</v>
      </c>
      <c r="EM175" s="1098">
        <f t="shared" si="250"/>
        <v>0.3</v>
      </c>
      <c r="EN175" s="1125">
        <f t="shared" si="251"/>
        <v>0</v>
      </c>
      <c r="EO175" s="1125">
        <f t="shared" si="252"/>
        <v>0</v>
      </c>
      <c r="EP175" s="1098">
        <f t="shared" si="253"/>
        <v>0</v>
      </c>
      <c r="EQ175" s="1121">
        <f t="shared" si="254"/>
        <v>0</v>
      </c>
      <c r="ER175" s="1101">
        <f t="shared" si="255"/>
        <v>0</v>
      </c>
      <c r="ES175" s="1097">
        <f t="shared" si="256"/>
        <v>0</v>
      </c>
      <c r="ET175" s="1122">
        <f t="shared" si="257"/>
        <v>0</v>
      </c>
    </row>
    <row r="176" spans="2:150" ht="16.5" customHeight="1">
      <c r="B176" s="1123" t="str">
        <f>INDEX('卡片raw data'!B:B,MATCH($D176,'卡片raw data'!$F:$F,))</f>
        <v>电玩璃</v>
      </c>
      <c r="C176" s="449" t="s">
        <v>22</v>
      </c>
      <c r="D176" s="408">
        <v>173</v>
      </c>
      <c r="E176" s="1090">
        <v>302093001</v>
      </c>
      <c r="F176" s="1090" t="str">
        <f>INDEX('卡片raw data'!C:C,MATCH($D176,'卡片raw data'!$F:$F,))</f>
        <v>UR</v>
      </c>
      <c r="G176" s="1094" t="s">
        <v>45</v>
      </c>
      <c r="H176" s="411">
        <f>IFERROR(INDEX(绊状态确认!C:C,MATCH($G176,绊状态确认!$B:$B,)),"")</f>
        <v>209</v>
      </c>
      <c r="I176" s="450" t="str">
        <f>IFERROR(INDEX(绊状态确认!D:D,MATCH($G176,绊状态确认!$B:$B,)),"")</f>
        <v>虹</v>
      </c>
      <c r="J176" s="450" t="str">
        <f>IFERROR(INDEX(绊状态确认!E:E,MATCH($G176,绊状态确认!$B:$B,)),"")</f>
        <v>1年级</v>
      </c>
      <c r="K176" s="451" t="str">
        <f>IFERROR(INDEX(绊状态确认!F:F,MATCH($G176,绊状态确认!$B:$B,)),"")</f>
        <v>QU4RTZ</v>
      </c>
      <c r="L176" s="1094" t="str">
        <f>INDEX('卡片raw data'!E:E,MATCH($D176,'卡片raw data'!$F:$F,))</f>
        <v>卡池卡</v>
      </c>
      <c r="M176" s="415">
        <v>43875</v>
      </c>
      <c r="N176" s="416">
        <v>9.5</v>
      </c>
      <c r="O176" s="1091" t="str">
        <f>INDEX('卡片raw data'!D:D,MATCH($D176,'卡片raw data'!$F:$F,))</f>
        <v>sp</v>
      </c>
      <c r="P176" s="417">
        <v>5</v>
      </c>
      <c r="Q176" s="1095">
        <f t="shared" si="173"/>
        <v>40392.478113334095</v>
      </c>
      <c r="R176" s="1096">
        <f t="shared" si="174"/>
        <v>0.46899999999999997</v>
      </c>
      <c r="S176" s="1097">
        <f t="shared" si="175"/>
        <v>19563.594486367638</v>
      </c>
      <c r="T176" s="1098">
        <f t="shared" si="176"/>
        <v>0.97799999999999998</v>
      </c>
      <c r="U176" s="1099">
        <f t="shared" si="177"/>
        <v>669.76920670655238</v>
      </c>
      <c r="V176" s="1100">
        <f t="shared" si="178"/>
        <v>88443.970018253502</v>
      </c>
      <c r="W176" s="1101">
        <f t="shared" si="179"/>
        <v>5948.3832966674654</v>
      </c>
      <c r="X176" s="1096">
        <f t="shared" si="180"/>
        <v>6.9000000000000006E-2</v>
      </c>
      <c r="Y176" s="1097">
        <f t="shared" si="181"/>
        <v>1416.4608152956544</v>
      </c>
      <c r="Z176" s="1102">
        <f t="shared" si="182"/>
        <v>17.553523778142857</v>
      </c>
      <c r="AA176" s="1103">
        <f t="shared" si="183"/>
        <v>7364.8441119631198</v>
      </c>
      <c r="AB176" s="1101">
        <f t="shared" si="184"/>
        <v>6765.8920758320146</v>
      </c>
      <c r="AC176" s="1104">
        <f t="shared" si="185"/>
        <v>7.8E-2</v>
      </c>
      <c r="AD176" s="1105">
        <f t="shared" si="186"/>
        <v>-1.6087500000000001E-2</v>
      </c>
      <c r="AE176" s="1128">
        <f t="shared" si="187"/>
        <v>16.526864189578262</v>
      </c>
      <c r="AF176" s="1130">
        <f t="shared" si="188"/>
        <v>8737.8177617203182</v>
      </c>
      <c r="AG176" s="420">
        <f t="shared" si="189"/>
        <v>100049.18614040001</v>
      </c>
      <c r="AH176" s="420">
        <f t="shared" si="190"/>
        <v>11.450134217574037</v>
      </c>
      <c r="AI176" s="1097">
        <f t="shared" si="191"/>
        <v>110725.77414772238</v>
      </c>
      <c r="AJ176" s="420">
        <f t="shared" si="192"/>
        <v>88443.970018253502</v>
      </c>
      <c r="AK176" s="518">
        <f t="shared" si="193"/>
        <v>22281.804129468874</v>
      </c>
      <c r="AL176" s="1106">
        <f>IF($P176="","N/A",(IF($P176=-1,INDEX('卡片raw data'!S:S,MATCH($D176,'卡片raw data'!$F:$F,)),0)+IF($P176=0,INDEX('卡片raw data'!V:V,MATCH($D176,'卡片raw data'!$F:$F,)),0)+IF($P176=1,INDEX('卡片raw data'!Y:Y,MATCH($D176,'卡片raw data'!$F:$F,)),0)+IF($P176=2,INDEX('卡片raw data'!AB:AB,MATCH($D176,'卡片raw data'!$F:$F,)),0)+IF($P176=3,INDEX('卡片raw data'!AE:AE,MATCH($D176,'卡片raw data'!$F:$F,)),0)+IF($P176=4,INDEX('卡片raw data'!AH:AH,MATCH($D176,'卡片raw data'!$F:$F,)),0)+IF($P176=5,INDEX('卡片raw data'!AK:AK,MATCH($D176,'卡片raw data'!$F:$F,)),0)+INDEX('卡片raw data'!S:S,MATCH($D176,'卡片raw data'!$F:$F,))*(IF($F176="UR",0.04,0.033))*(IF($F176="UR",INDEX(绊状态确认!$S:$S,MATCH($G176,绊状态确认!$B:$B,))/2-40)+IF($F176="SR",INDEX(绊状态确认!$R:$R,MATCH($G176,绊状态确认!$B:$B,))/4-15))+IF($F176="R",INDEX(绊状态确认!$Q:$Q,MATCH($G176,绊状态确认!$B:$B,))/6-40/6)))*(INDEX(绊状态确认!$H:$H,MATCH($G176,绊状态确认!$B:$B,))+INDEX(绊状态确认!J:J,MATCH($G176,绊状态确认!$B:$B,)))</f>
        <v>10958.805215999999</v>
      </c>
      <c r="AM176" s="1106">
        <f>IF($P176="","N/A",(IF($P176=-1,INDEX('卡片raw data'!T:T,MATCH($D176,'卡片raw data'!$F:$F,)),0)+IF($P176=0,INDEX('卡片raw data'!W:W,MATCH($D176,'卡片raw data'!$F:$F,)),0)+IF($P176=1,INDEX('卡片raw data'!Z:Z,MATCH($D176,'卡片raw data'!$F:$F,)),0)+IF($P176=2,INDEX('卡片raw data'!AC:AC,MATCH($D176,'卡片raw data'!$F:$F,)),0)+IF($P176=3,INDEX('卡片raw data'!AF:AF,MATCH($D176,'卡片raw data'!$F:$F,)),0)+IF($P176=4,INDEX('卡片raw data'!AI:AI,MATCH($D176,'卡片raw data'!$F:$F,)),0)+IF($P176=5,INDEX('卡片raw data'!AL:AL,MATCH($D176,'卡片raw data'!$F:$F,)),0)+INDEX('卡片raw data'!T:T,MATCH($D176,'卡片raw data'!$F:$F,))*(IF($F176="UR",0.04,0.033))*(IF($F176="UR",INDEX(绊状态确认!$S:$S,MATCH($G176,绊状态确认!$B:$B,))/2-40)+IF($F176="SR",INDEX(绊状态确认!$R:$R,MATCH($G176,绊状态确认!$B:$B,))/4-15))+IF($F176="R",INDEX(绊状态确认!$Q:$Q,MATCH($G176,绊状态确认!$B:$B,))/6-40/6)))*(INDEX(绊状态确认!$H:$H,MATCH($G176,绊状态确认!$B:$B,))+INDEX(绊状态确认!K:K,MATCH($G176,绊状态确认!$B:$B,)))</f>
        <v>10021.457039999999</v>
      </c>
      <c r="AN176" s="1106">
        <f>IF($P176="","N/A",(IF($P176=-1,INDEX('卡片raw data'!U:U,MATCH($D176,'卡片raw data'!$F:$F,)),0)+IF($P176=0,INDEX('卡片raw data'!X:X,MATCH($D176,'卡片raw data'!$F:$F,)),0)+IF($P176=1,INDEX('卡片raw data'!AA:AA,MATCH($D176,'卡片raw data'!$F:$F,)),0)+IF($P176=2,INDEX('卡片raw data'!AD:AD,MATCH($D176,'卡片raw data'!$F:$F,)),0)+IF($P176=3,INDEX('卡片raw data'!AG:AG,MATCH($D176,'卡片raw data'!$F:$F,)),0)+IF($P176=4,INDEX('卡片raw data'!AJ:AJ,MATCH($D176,'卡片raw data'!$F:$F,)),0)+IF($P176=5,INDEX('卡片raw data'!AM:AM,MATCH($D176,'卡片raw data'!$F:$F,)),0)+INDEX('卡片raw data'!U:U,MATCH($D176,'卡片raw data'!$F:$F,))*(IF($F176="UR",0.04,0.033))*(IF($F176="UR",INDEX(绊状态确认!$S:$S,MATCH($G176,绊状态确认!$B:$B,))/2-40)+IF($F176="SR",INDEX(绊状态确认!$R:$R,MATCH($G176,绊状态确认!$B:$B,))/4-15))+IF($F176="R",INDEX(绊状态确认!$Q:$Q,MATCH($G176,绊状态确认!$B:$B,))/6-40/6)))*(INDEX(绊状态确认!$H:$H,MATCH($G176,绊状态确认!$B:$B,))+INDEX(绊状态确认!L:L,MATCH($G176,绊状态确认!$B:$B,)))</f>
        <v>10333.148831999997</v>
      </c>
      <c r="AO176" s="1107">
        <f t="shared" si="194"/>
        <v>1</v>
      </c>
      <c r="AP176" s="1131">
        <f>1+(INDEX(绊状态确认!$T:$T,MATCH($G176,绊状态确认!$B:$B,))+0.2)*$AO176</f>
        <v>1.3</v>
      </c>
      <c r="AQ176" s="1108">
        <f t="shared" si="195"/>
        <v>32016.863691999999</v>
      </c>
      <c r="AR176" s="1097">
        <f>(AM176*(1+$EX$9)+$EX$35)*(1+(INDEX(绊状态确认!$T:$T,MATCH($G176,绊状态确认!$B:$B,))+0.2)*AO176)*IF(J176=$FF$17,1+$FE$17,1)*IF(I176=$FF$14,1+$FE$14,1)*(1+$FE$15)</f>
        <v>16383.288859600001</v>
      </c>
      <c r="AS176" s="1097">
        <f>(AN176*(1+$EX$10)+$EX$36)*(1+(INDEX(绊状态确认!$T:$T,MATCH($G176,绊状态确认!$B:$B,))+0.2)*AO176)*IF(J176=$FF$17,1+$FE$17,1)*IF(I176=$FF$14,1+$FE$14,1)*(1+$FE$15)</f>
        <v>19504.057503839995</v>
      </c>
      <c r="AT176" s="1093">
        <f>IF(AND(INDEX('卡片raw data'!AK:AK,MATCH($D176,'卡片raw data'!$F:$F,))&lt;INDEX('卡片raw data'!AM:AM,MATCH($D176,'卡片raw data'!$F:$F,)),INDEX('卡片raw data'!AL:AL,MATCH($D176,'卡片raw data'!$F:$F,))&lt;INDEX('卡片raw data'!AM:AM,MATCH($D176,'卡片raw data'!$F:$F,))),1,0)</f>
        <v>0</v>
      </c>
      <c r="AU176" s="1098">
        <f>MIN(AT176*0.15+AS176*0.00003+INDEX(绊状态确认!M:M,MATCH($G176,绊状态确认!$B:$B,)),1)</f>
        <v>0.61512172511519991</v>
      </c>
      <c r="AV176" s="1109">
        <f>(INDEX(绊状态确认!$N:$N,MATCH($G176,绊状态确认!$B:$B,))+1.5)*$EW$21</f>
        <v>2.6599999999999997</v>
      </c>
      <c r="AW176" s="1101">
        <f t="shared" si="196"/>
        <v>33606.586037502078</v>
      </c>
      <c r="AX176" s="1097">
        <f t="shared" si="197"/>
        <v>1416.4608152956546</v>
      </c>
      <c r="AY176" s="1110">
        <f t="shared" si="198"/>
        <v>35023.046852797735</v>
      </c>
      <c r="AZ176" s="429">
        <f t="shared" si="199"/>
        <v>23969.670171199996</v>
      </c>
      <c r="BA176" s="431">
        <f t="shared" si="200"/>
        <v>28763.604205439995</v>
      </c>
      <c r="BB176" s="1097">
        <f>(AM176*(1+$FB$9)+$FB$35)*(1+(INDEX(绊状态确认!$T:$T,MATCH($G176,绊状态确认!$B:$B,))+0.2)*AO176)*IF(J176=$FF$17,1+$FE$17,1)*IF(I176=$FF$14,1+$FE$14,1)*(1+$FE$15)</f>
        <v>16383.288859600001</v>
      </c>
      <c r="BC176" s="1097">
        <f>(AN176*(1+$FB$10)+$FB$36)*(1+(INDEX(绊状态确认!$T:$T,MATCH($G176,绊状态确认!$B:$B,))+0.2)*AO176)*IF(J176=$FF$17,1+$FE$17,1)*IF(I176=$FF$14,1+$FE$14,1)*(1+$FE$15)</f>
        <v>19504.057503839995</v>
      </c>
      <c r="BD176" s="1104">
        <f>MIN(AT176*0.15+BC176*0.00003+INDEX(绊状态确认!M:M,MATCH($G176,绊状态确认!$B:$B,)),1)</f>
        <v>0.61512172511519991</v>
      </c>
      <c r="BE176" s="432">
        <f>(INDEX(绊状态确认!$N:$N,MATCH($G176,绊状态确认!$B:$B,))+1.5)</f>
        <v>1.9</v>
      </c>
      <c r="BF176" s="1139">
        <f t="array" ref="BF176">SUMPRODUCT(IF(AZ176*AP176*$FI$16:$FI$23*$FA$22&gt;=$FI$24,$FI$24,AZ176*AP176*$FI$16:$FI$23*$FA$22),$FJ$16:$FJ$23)</f>
        <v>47675.6739705168</v>
      </c>
      <c r="BG176" s="1125">
        <f t="array" ref="BG176">SUMPRODUCT(IF(BE176*AZ176*AP176*$FI$16:$FI$23*$FA$22&gt;=$FI$24,$FI$24,BE176*AZ176*AP176*$FI$16:$FI$23*$FA$22),$FJ$16:$FJ$23)</f>
        <v>60000</v>
      </c>
      <c r="BH176" s="1110">
        <f t="shared" si="201"/>
        <v>18418.878219551556</v>
      </c>
      <c r="BI176" s="1111">
        <f>IF(O176="vo",$EW$26/$EW$24*0.05,0)+IF(O176="sk",-$EW$26/$EW$24*(0.05-INDEX(绊状态确认!W:W,MATCH($G176,绊状态确认!$B:$B,)))+0.05*$EW$28,0)+IF(O176="sp",0.05*$EW$32*$EW$30*(1-$EW$33)-(0.05-INDEX(绊状态确认!V:V,MATCH($G176,绊状态确认!$B:$B,)))*$EW$28,0)+IF(O176="gd",-(0.05-INDEX(绊状态确认!X:X,MATCH($G176,绊状态确认!$B:$B,)))*$EW$32*$EW$30*(1-$EW$33),0)</f>
        <v>19.999999999999886</v>
      </c>
      <c r="BJ176" s="1097">
        <f>IF(O176="vo",0.05*(1-$FI$26)*$FA$24,0)+IF(O176="sk",-(0.05-INDEX(绊状态确认!W:W,MATCH($G176,绊状态确认!$B:$B,)))*(1-$FI$26)*$FA$24+0.05*$FA$26,0)+IF(O176="sp",0.05*$FA$32*$FA$27*(1-$FA$33)/$FA$30+0.05*$FA$29/$FA$69*$FA$27*(1-$FA$33)-(0.05-INDEX(绊状态确认!V:V,MATCH($G176,绊状态确认!$B:$B,)))*$FA$26,0)+IF(O176="gd",-(0.05-INDEX(绊状态确认!X:X,MATCH($G176,绊状态确认!$B:$B,)))*$FA$32*$FA$27*(1-$FA$33)/$FA$30-(0.05-INDEX(绊状态确认!X:X,MATCH($G176,绊状态确认!$B:$B,)))*$FA$29/$FA$69*$FA$27*(1-$FA$33),0)</f>
        <v>545.83333333333326</v>
      </c>
      <c r="BK176" s="1110">
        <f>IF(O176="vo",$EW$26/$EW$24*0.05+$EW$26*(-HP($EW$62,$EW$65,$EW$64)+HP($EW$62,$EW$65,(1.05-INDEX(绊状态确认!U:U,MATCH($G176,绊状态确认!$B:$B,)))*$EW$64)),0)+IF(O176="sk",-$EW$26/$EW$24*(0.05-INDEX(绊状态确认!W:W,MATCH($G176,绊状态确认!$B:$B,)))+0.05*$EW$29,0)+IF(O176="sp",0.05*$EW$32*$EW$30*(1-$EW$33)-(0.05-INDEX(绊状态确认!V:V,MATCH($G176,绊状态确认!$B:$B,)))*$EW$29,0)+IF(O176="gd",-(0.05-INDEX(绊状态确认!X:X,MATCH($G176,绊状态确认!$B:$B,)))*$EW$32*$EW$30*(1-$EW$33)+$EW$26*(-HP($EW$62,$EW$65,$EW$64)+HP($EW$62,$EW$65,0.95*$EW$64)),0)</f>
        <v>-1780.0000000000005</v>
      </c>
      <c r="BL176" s="1111">
        <f t="shared" si="202"/>
        <v>0</v>
      </c>
      <c r="BM176" s="1110">
        <f t="shared" si="203"/>
        <v>0</v>
      </c>
      <c r="BN176" s="1113">
        <f t="shared" si="204"/>
        <v>3</v>
      </c>
      <c r="BO176" s="1097">
        <f t="shared" si="205"/>
        <v>4507.7214871259994</v>
      </c>
      <c r="BP176" s="1100">
        <f t="shared" si="206"/>
        <v>221.34103209030098</v>
      </c>
      <c r="BQ176" s="1113" t="s">
        <v>145</v>
      </c>
      <c r="BR176" s="1124" t="s">
        <v>151</v>
      </c>
      <c r="BS176" s="1098">
        <f>IF($P176="","N/A",IF($P176=-1,INDEX('卡片raw data'!AX:AX,MATCH($D176,'卡片raw data'!$F:$F,)),0)+IF($L176="party卡",IF($P176=5,INDEX('卡片raw data'!BD:BD,MATCH($D176,'卡片raw data'!$F:$F,)),IF($P176&gt;=3,INDEX('卡片raw data'!BC:BC,MATCH($D176,'卡片raw data'!$F:$F,)),INDEX('卡片raw data'!BB:BB,MATCH($D176,'卡片raw data'!$F:$F,)))),IF(OR(AND($F176="UR",$P176=0),AND($F176="SR",$P176&gt;=0,$P176&lt;=2),AND($F176="R",$P176&gt;=0,$P176&lt;4)),INDEX('卡片raw data'!AZ:AZ,MATCH($D176,'卡片raw data'!$F:$F,)),0)+IF(OR(AND($F176="UR",$P176&gt;=1,$P176&lt;=4),AND($F176="SR",$P176&lt;=4,$P176&gt;=3),AND($F176="R",$P176=4)),INDEX('卡片raw data'!BA:BA,MATCH($D176,'卡片raw data'!$F:$F,)),0)+IF($P176=5,INDEX('卡片raw data'!BB:BB,MATCH($D176,'卡片raw data'!$F:$F,)),0)))</f>
        <v>5.1999999999999998E-2</v>
      </c>
      <c r="BT176" s="1101">
        <f t="shared" si="207"/>
        <v>2043.7719479113725</v>
      </c>
      <c r="BU176" s="1097">
        <f t="shared" si="208"/>
        <v>147.8325622517801</v>
      </c>
      <c r="BV176" s="1097">
        <f t="shared" si="209"/>
        <v>1226.2631687468233</v>
      </c>
      <c r="BW176" s="1112">
        <f t="shared" si="210"/>
        <v>0</v>
      </c>
      <c r="BX176" s="1100">
        <f t="shared" si="211"/>
        <v>2043.7719479113725</v>
      </c>
      <c r="BY176" s="1110">
        <f t="shared" si="212"/>
        <v>1226.2631687468233</v>
      </c>
      <c r="BZ176" s="1107" t="s">
        <v>569</v>
      </c>
      <c r="CA176" s="1124"/>
      <c r="CB176" s="1098">
        <f>IF($P176="","N/A",IF($P176=-1,INDEX('卡片raw data'!BE:BE,MATCH($D176,'卡片raw data'!$F:$F,)),0)+IF($L176="party卡",IF($P176=5,INDEX('卡片raw data'!BK:BK,MATCH($D176,'卡片raw data'!$F:$F,)),IF($P176&gt;=3,INDEX('卡片raw data'!BJ:BJ,MATCH($D176,'卡片raw data'!$F:$F,)),INDEX('卡片raw data'!BI:BI,MATCH($D176,'卡片raw data'!$F:$F,)))),IF(OR(AND($F176="UR",$P176=0),AND($F176="SR",$P176&gt;=0,$P176&lt;=2),AND($F176="R",$P176&gt;=0,$P176&lt;4)),INDEX('卡片raw data'!BG:BG,MATCH($D176,'卡片raw data'!$F:$F,)),0)+IF(OR(AND($F176="UR",$P176&gt;=1,$P176&lt;=4),AND($F176="SR",$P176&lt;=4,$P176&gt;=3),AND($F176="R",$P176=4)),INDEX('卡片raw data'!BH:BH,MATCH($D176,'卡片raw data'!$F:$F,)),0)+IF($P176=5,INDEX('卡片raw data'!BI:BI,MATCH($D176,'卡片raw data'!$F:$F,)),0)))</f>
        <v>0</v>
      </c>
      <c r="CC176" s="1101">
        <f t="shared" si="213"/>
        <v>0</v>
      </c>
      <c r="CD176" s="1097">
        <f>IF(BZ176="ap",CB176*(1-$FI$26)*$FB$5/$FB$11*(+IF(CA176="全员",$FA$24,0)+IF(CA176="同作战",$FA$24,0)+IF(CA176="仲间",$FA$24*2/3,0)+IF(CA176="同属性",$FA$24*$FA$37/3,0)+IF(CA176="同年级",$FA$24*$FA$40/3,0)+IF(CA176="同学校",$FA$24*$FA$43/3,0)+IF(CA176="同小队",$FA$24*$FA$46/3,0)+IF(CA176="同type",$FA$24*INDEX($FB$49:$FB$52,MATCH(X176,$FA$49:$FA$52,))/3,0)+IF(CA176="自身",#REF!/3,0)),0)+IF(BZ176="te",CB176*(1-$FI$27)*($FA$20-1)*$FB$7/$FB$13*(+IF(CA176="全员",$FA$19*$FA$24/(1+($FA$20-1)*$FA$19),0)+IF(CA176="同作战",$FA$19*$FA$24/(1+($FA$20-1)*$FA$19),0)+IF(CA176="仲间",$FA$19*$FA$24*2/3/(1+($FA$20-1)*$FA$19),0)+IF(CA176="同属性",$FA$19*$FA$24*$FA$37/3/(1+($FA$20-1)*$FA$19),0)+IF(CA176="同年级",$FA$19*$FA$24*$FA$40/3/(1+($FA$20-1)*$FA$19),0)+IF(CA176="同学校",$FA$19*$FA$24*$FA$43/3/(1+($FA$20-1)*$FA$19),0)+IF(CA176="同小队",$FA$19*$FA$24*$FA$46/3/(1+($FA$20-1)*$FA$19),0)+IF(CA176="同type",$FA$19*$FA$24*INDEX($FB$49:$FB$52,MATCH(X176,$FA$49:$FA$52,))/3/(1+($FA$20-1)*$FA$19),0)+IF(CA176="自身",$FA$19*#REF!/3/(1+(BH176-1)*$BD176),0)),0)</f>
        <v>0</v>
      </c>
      <c r="CE176" s="1097">
        <f t="shared" si="214"/>
        <v>0</v>
      </c>
      <c r="CF176" s="1112">
        <f t="shared" si="215"/>
        <v>0</v>
      </c>
      <c r="CG176" s="1100">
        <f t="shared" si="216"/>
        <v>0</v>
      </c>
      <c r="CH176" s="1110">
        <f t="shared" si="217"/>
        <v>0</v>
      </c>
      <c r="CI176" s="1113" t="s">
        <v>165</v>
      </c>
      <c r="CJ176" s="1114">
        <v>0.3</v>
      </c>
      <c r="CK176" s="1115" t="s">
        <v>156</v>
      </c>
      <c r="CL176" s="1115" t="s">
        <v>1940</v>
      </c>
      <c r="CM176" s="1119">
        <v>0.1</v>
      </c>
      <c r="CN176" s="1115"/>
      <c r="CO176" s="1092"/>
      <c r="CP176" s="1116">
        <f t="shared" si="218"/>
        <v>3.4303782527142856</v>
      </c>
      <c r="CQ176" s="1116">
        <f t="shared" si="219"/>
        <v>5.5130241393759984</v>
      </c>
      <c r="CR176" s="1116">
        <f t="shared" si="220"/>
        <v>3.4303782527142856</v>
      </c>
      <c r="CS176" s="1118">
        <f t="shared" si="221"/>
        <v>0</v>
      </c>
      <c r="CT176" s="1109">
        <f t="shared" si="222"/>
        <v>5.6029511461000006</v>
      </c>
      <c r="CU176" s="1101">
        <f t="shared" si="223"/>
        <v>214.39864079464286</v>
      </c>
      <c r="CV176" s="1108">
        <f t="shared" si="224"/>
        <v>229.7093391406666</v>
      </c>
      <c r="CW176" s="1097">
        <f t="shared" si="225"/>
        <v>214.39864079464286</v>
      </c>
      <c r="CX176" s="1097">
        <f t="shared" si="226"/>
        <v>214.39864079464286</v>
      </c>
      <c r="CY176" s="1110">
        <f t="shared" si="227"/>
        <v>214.39864079464286</v>
      </c>
      <c r="CZ176" s="437"/>
      <c r="DA176" s="438"/>
      <c r="DB176" s="439" t="s">
        <v>569</v>
      </c>
      <c r="DC176" s="439"/>
      <c r="DD176" s="443"/>
      <c r="DE176" s="411"/>
      <c r="DF176" s="411"/>
      <c r="DG176" s="1116">
        <f t="shared" si="228"/>
        <v>0</v>
      </c>
      <c r="DH176" s="1116">
        <f t="shared" si="229"/>
        <v>0</v>
      </c>
      <c r="DI176" s="1116">
        <f t="shared" si="230"/>
        <v>0</v>
      </c>
      <c r="DJ176" s="442">
        <f t="shared" si="231"/>
        <v>0</v>
      </c>
      <c r="DK176" s="1109">
        <f t="shared" si="232"/>
        <v>0</v>
      </c>
      <c r="DL176" s="1101">
        <f t="shared" si="233"/>
        <v>0</v>
      </c>
      <c r="DM176" s="1097">
        <f t="shared" si="234"/>
        <v>0</v>
      </c>
      <c r="DN176" s="1097">
        <f t="shared" si="235"/>
        <v>0</v>
      </c>
      <c r="DO176" s="1097">
        <f t="shared" si="236"/>
        <v>0</v>
      </c>
      <c r="DP176" s="1110">
        <f t="shared" si="237"/>
        <v>0</v>
      </c>
      <c r="DQ176" s="1113" t="s">
        <v>635</v>
      </c>
      <c r="DR176" s="1120">
        <f t="shared" si="238"/>
        <v>0.33</v>
      </c>
      <c r="DS176" s="1124"/>
      <c r="DT176" s="1093" t="s">
        <v>134</v>
      </c>
      <c r="DU176" s="1093"/>
      <c r="DV176" s="1098">
        <f>IF($P176="","N/A",IF(P176=-1,INDEX('卡片raw data'!AN:AN,MATCH(D176,'卡片raw data'!$F:$F,)),0)+IF(AND(L176&lt;&gt;"party卡",P176&lt;=2,P176&gt;=0),INDEX('卡片raw data'!AP:AP,MATCH(D176,'卡片raw data'!$F:$F,)),0)+IF(OR(AND(L176="party卡",P176&lt;=1),AND(P176&lt;=4,L176&lt;&gt;"party卡",P176&gt;=3)),INDEX('卡片raw data'!AQ:AQ,MATCH(D176,'卡片raw data'!$F:$F,)),0)+IF(OR(P176=5,AND(L176="party卡",P176&gt;=2)),INDEX('卡片raw data'!AR:AR,MATCH(D176,'卡片raw data'!$F:$F,)),0))</f>
        <v>0.32</v>
      </c>
      <c r="DW176" s="1098">
        <f t="shared" si="239"/>
        <v>0.33</v>
      </c>
      <c r="DX176" s="1098">
        <f t="shared" si="240"/>
        <v>0.33</v>
      </c>
      <c r="DY176" s="1125">
        <f t="shared" si="241"/>
        <v>686.54282413516785</v>
      </c>
      <c r="DZ176" s="1125">
        <f t="shared" si="242"/>
        <v>593.85954287692016</v>
      </c>
      <c r="EA176" s="1098">
        <f t="shared" si="243"/>
        <v>0</v>
      </c>
      <c r="EB176" s="1121">
        <f t="shared" si="244"/>
        <v>0</v>
      </c>
      <c r="EC176" s="1101">
        <f t="shared" si="245"/>
        <v>0</v>
      </c>
      <c r="ED176" s="1097">
        <f t="shared" si="246"/>
        <v>0</v>
      </c>
      <c r="EE176" s="1110">
        <f t="shared" si="247"/>
        <v>48435.03108962375</v>
      </c>
      <c r="EF176" s="1092" t="s">
        <v>711</v>
      </c>
      <c r="EG176" s="1120">
        <f t="shared" si="248"/>
        <v>0.33</v>
      </c>
      <c r="EH176" s="1124"/>
      <c r="EI176" s="1093"/>
      <c r="EJ176" s="1093"/>
      <c r="EK176" s="1097">
        <f>IF($P176="","N/A",IF(P176=-1,INDEX('卡片raw data'!AS:AS,MATCH(D176,'卡片raw data'!$F:$F,)),0)+IF(AND(L176&lt;&gt;"party卡",P176&lt;=2,P176&gt;=0),INDEX('卡片raw data'!AU:AU,MATCH(D176,'卡片raw data'!$F:$F,)),0)+IF(OR(AND(L176="party卡",P176&lt;=1),AND(P176&lt;=4,L176&lt;&gt;"party卡",P176&gt;=3)),INDEX('卡片raw data'!AV:AV,MATCH(D176,'卡片raw data'!$F:$F,)),0)+IF(OR(P176=5,AND(L176="party卡",P176&gt;=2)),INDEX('卡片raw data'!AW:AW,MATCH(D176,'卡片raw data'!$F:$F,)),0))</f>
        <v>0</v>
      </c>
      <c r="EL176" s="1098">
        <f t="shared" si="249"/>
        <v>0.33</v>
      </c>
      <c r="EM176" s="1098">
        <f t="shared" si="250"/>
        <v>0.33</v>
      </c>
      <c r="EN176" s="1125">
        <f t="shared" si="251"/>
        <v>0</v>
      </c>
      <c r="EO176" s="1125">
        <f t="shared" si="252"/>
        <v>0</v>
      </c>
      <c r="EP176" s="1098">
        <f t="shared" si="253"/>
        <v>0</v>
      </c>
      <c r="EQ176" s="1121">
        <f t="shared" si="254"/>
        <v>0</v>
      </c>
      <c r="ER176" s="1101">
        <f t="shared" si="255"/>
        <v>0</v>
      </c>
      <c r="ES176" s="1097">
        <f t="shared" si="256"/>
        <v>0</v>
      </c>
      <c r="ET176" s="1122">
        <f t="shared" si="257"/>
        <v>0</v>
      </c>
    </row>
    <row r="177" spans="2:150" ht="16.5" customHeight="1">
      <c r="B177" s="1123" t="str">
        <f>INDEX('卡片raw data'!B:B,MATCH($D177,'卡片raw data'!$F:$F,))</f>
        <v>一单妮</v>
      </c>
      <c r="C177" s="449" t="s">
        <v>66</v>
      </c>
      <c r="D177" s="408">
        <v>174</v>
      </c>
      <c r="E177" s="1090">
        <v>300092001</v>
      </c>
      <c r="F177" s="1090" t="str">
        <f>INDEX('卡片raw data'!C:C,MATCH($D177,'卡片raw data'!$F:$F,))</f>
        <v>SR</v>
      </c>
      <c r="G177" s="1094" t="s">
        <v>338</v>
      </c>
      <c r="H177" s="411">
        <f>IFERROR(INDEX(绊状态确认!C:C,MATCH($G177,绊状态确认!$B:$B,)),"")</f>
        <v>9</v>
      </c>
      <c r="I177" s="450" t="str">
        <f>IFERROR(INDEX(绊状态确认!D:D,MATCH($G177,绊状态确认!$B:$B,)),"")</f>
        <v>缪</v>
      </c>
      <c r="J177" s="450" t="str">
        <f>IFERROR(INDEX(绊状态确认!E:E,MATCH($G177,绊状态确认!$B:$B,)),"")</f>
        <v>3年级</v>
      </c>
      <c r="K177" s="451" t="str">
        <f>IFERROR(INDEX(绊状态确认!F:F,MATCH($G177,绊状态确认!$B:$B,)),"")</f>
        <v>BiBi</v>
      </c>
      <c r="L177" s="1094" t="str">
        <f>INDEX('卡片raw data'!E:E,MATCH($D177,'卡片raw data'!$F:$F,))</f>
        <v>卡池卡</v>
      </c>
      <c r="M177" s="415">
        <v>43875</v>
      </c>
      <c r="N177" s="416">
        <v>9.5</v>
      </c>
      <c r="O177" s="1091" t="str">
        <f>INDEX('卡片raw data'!D:D,MATCH($D177,'卡片raw data'!$F:$F,))</f>
        <v>sk</v>
      </c>
      <c r="P177" s="417">
        <v>5</v>
      </c>
      <c r="Q177" s="1095">
        <f t="shared" si="173"/>
        <v>20623.972160398691</v>
      </c>
      <c r="R177" s="1096">
        <f t="shared" si="174"/>
        <v>0.23899999999999999</v>
      </c>
      <c r="S177" s="1097">
        <f t="shared" si="175"/>
        <v>12538.162507336858</v>
      </c>
      <c r="T177" s="1098">
        <f t="shared" si="176"/>
        <v>0.626</v>
      </c>
      <c r="U177" s="1099">
        <f t="shared" si="177"/>
        <v>12.937257397572855</v>
      </c>
      <c r="V177" s="1100">
        <f t="shared" si="178"/>
        <v>23658.034450153118</v>
      </c>
      <c r="W177" s="1101">
        <f t="shared" si="179"/>
        <v>5848.4292364873372</v>
      </c>
      <c r="X177" s="1096">
        <f t="shared" si="180"/>
        <v>6.7000000000000004E-2</v>
      </c>
      <c r="Y177" s="1097">
        <f t="shared" si="181"/>
        <v>1034.0622897544272</v>
      </c>
      <c r="Z177" s="1102">
        <f t="shared" si="182"/>
        <v>12.937257397572855</v>
      </c>
      <c r="AA177" s="1103">
        <f t="shared" si="183"/>
        <v>6882.4915262417644</v>
      </c>
      <c r="AB177" s="1101">
        <f t="shared" si="184"/>
        <v>6649.8019453097368</v>
      </c>
      <c r="AC177" s="1104">
        <f t="shared" si="185"/>
        <v>7.6999999999999999E-2</v>
      </c>
      <c r="AD177" s="1105">
        <f t="shared" si="186"/>
        <v>1.8994224431818179E-2</v>
      </c>
      <c r="AE177" s="1128">
        <f t="shared" si="187"/>
        <v>4.3537577047458456</v>
      </c>
      <c r="AF177" s="1130">
        <f t="shared" si="188"/>
        <v>0</v>
      </c>
      <c r="AG177" s="420">
        <f t="shared" si="189"/>
        <v>0</v>
      </c>
      <c r="AH177" s="420">
        <f t="shared" si="190"/>
        <v>0</v>
      </c>
      <c r="AI177" s="1097">
        <f t="shared" si="191"/>
        <v>0</v>
      </c>
      <c r="AJ177" s="420">
        <f t="shared" si="192"/>
        <v>0</v>
      </c>
      <c r="AK177" s="518">
        <f t="shared" si="193"/>
        <v>0</v>
      </c>
      <c r="AL177" s="1106">
        <f>IF($P177="","N/A",(IF($P177=-1,INDEX('卡片raw data'!S:S,MATCH($D177,'卡片raw data'!$F:$F,)),0)+IF($P177=0,INDEX('卡片raw data'!V:V,MATCH($D177,'卡片raw data'!$F:$F,)),0)+IF($P177=1,INDEX('卡片raw data'!Y:Y,MATCH($D177,'卡片raw data'!$F:$F,)),0)+IF($P177=2,INDEX('卡片raw data'!AB:AB,MATCH($D177,'卡片raw data'!$F:$F,)),0)+IF($P177=3,INDEX('卡片raw data'!AE:AE,MATCH($D177,'卡片raw data'!$F:$F,)),0)+IF($P177=4,INDEX('卡片raw data'!AH:AH,MATCH($D177,'卡片raw data'!$F:$F,)),0)+IF($P177=5,INDEX('卡片raw data'!AK:AK,MATCH($D177,'卡片raw data'!$F:$F,)),0)+INDEX('卡片raw data'!S:S,MATCH($D177,'卡片raw data'!$F:$F,))*(IF($F177="UR",0.04,0.033))*(IF($F177="UR",INDEX(绊状态确认!$S:$S,MATCH($G177,绊状态确认!$B:$B,))/2-40)+IF($F177="SR",INDEX(绊状态确认!$R:$R,MATCH($G177,绊状态确认!$B:$B,))/4-15))+IF($F177="R",INDEX(绊状态确认!$Q:$Q,MATCH($G177,绊状态确认!$B:$B,))/6-40/6)))*(INDEX(绊状态确认!$H:$H,MATCH($G177,绊状态确认!$B:$B,))+INDEX(绊状态确认!J:J,MATCH($G177,绊状态确认!$B:$B,)))</f>
        <v>5883.8291855999996</v>
      </c>
      <c r="AM177" s="1106">
        <f>IF($P177="","N/A",(IF($P177=-1,INDEX('卡片raw data'!T:T,MATCH($D177,'卡片raw data'!$F:$F,)),0)+IF($P177=0,INDEX('卡片raw data'!W:W,MATCH($D177,'卡片raw data'!$F:$F,)),0)+IF($P177=1,INDEX('卡片raw data'!Z:Z,MATCH($D177,'卡片raw data'!$F:$F,)),0)+IF($P177=2,INDEX('卡片raw data'!AC:AC,MATCH($D177,'卡片raw data'!$F:$F,)),0)+IF($P177=3,INDEX('卡片raw data'!AF:AF,MATCH($D177,'卡片raw data'!$F:$F,)),0)+IF($P177=4,INDEX('卡片raw data'!AI:AI,MATCH($D177,'卡片raw data'!$F:$F,)),0)+IF($P177=5,INDEX('卡片raw data'!AL:AL,MATCH($D177,'卡片raw data'!$F:$F,)),0)+INDEX('卡片raw data'!T:T,MATCH($D177,'卡片raw data'!$F:$F,))*(IF($F177="UR",0.04,0.033))*(IF($F177="UR",INDEX(绊状态确认!$S:$S,MATCH($G177,绊状态确认!$B:$B,))/2-40)+IF($F177="SR",INDEX(绊状态确认!$R:$R,MATCH($G177,绊状态确认!$B:$B,))/4-15))+IF($F177="R",INDEX(绊状态确认!$Q:$Q,MATCH($G177,绊状态确认!$B:$B,))/6-40/6)))*(INDEX(绊状态确认!$H:$H,MATCH($G177,绊状态确认!$B:$B,))+INDEX(绊状态确认!K:K,MATCH($G177,绊状态确认!$B:$B,)))</f>
        <v>6865.0355831999996</v>
      </c>
      <c r="AN177" s="1106">
        <f>IF($P177="","N/A",(IF($P177=-1,INDEX('卡片raw data'!U:U,MATCH($D177,'卡片raw data'!$F:$F,)),0)+IF($P177=0,INDEX('卡片raw data'!X:X,MATCH($D177,'卡片raw data'!$F:$F,)),0)+IF($P177=1,INDEX('卡片raw data'!AA:AA,MATCH($D177,'卡片raw data'!$F:$F,)),0)+IF($P177=2,INDEX('卡片raw data'!AD:AD,MATCH($D177,'卡片raw data'!$F:$F,)),0)+IF($P177=3,INDEX('卡片raw data'!AG:AG,MATCH($D177,'卡片raw data'!$F:$F,)),0)+IF($P177=4,INDEX('卡片raw data'!AJ:AJ,MATCH($D177,'卡片raw data'!$F:$F,)),0)+IF($P177=5,INDEX('卡片raw data'!AM:AM,MATCH($D177,'卡片raw data'!$F:$F,)),0)+INDEX('卡片raw data'!U:U,MATCH($D177,'卡片raw data'!$F:$F,))*(IF($F177="UR",0.04,0.033))*(IF($F177="UR",INDEX(绊状态确认!$S:$S,MATCH($G177,绊状态确认!$B:$B,))/2-40)+IF($F177="SR",INDEX(绊状态确认!$R:$R,MATCH($G177,绊状态确认!$B:$B,))/4-15))+IF($F177="R",INDEX(绊状态确认!$Q:$Q,MATCH($G177,绊状态确认!$B:$B,))/6-40/6)))*(INDEX(绊状态确认!$H:$H,MATCH($G177,绊状态确认!$B:$B,))+INDEX(绊状态确认!L:L,MATCH($G177,绊状态确认!$B:$B,)))</f>
        <v>6865.0355831999996</v>
      </c>
      <c r="AO177" s="1107">
        <f t="shared" si="194"/>
        <v>1</v>
      </c>
      <c r="AP177" s="1131">
        <f>1+(INDEX(绊状态确认!$T:$T,MATCH($G177,绊状态确认!$B:$B,))+0.2)*$AO177</f>
        <v>1.3</v>
      </c>
      <c r="AQ177" s="1108">
        <f t="shared" si="195"/>
        <v>18695.051612200001</v>
      </c>
      <c r="AR177" s="1097">
        <f>(AM177*(1+$EX$9)+$EX$35)*(1+(INDEX(绊状态确认!$T:$T,MATCH($G177,绊状态确认!$B:$B,))+0.2)*AO177)*IF(J177=$FF$17,1+$FE$17,1)*IF(I177=$FF$14,1+$FE$14,1)</f>
        <v>12074.773571067999</v>
      </c>
      <c r="AS177" s="1097">
        <f>(AN177*(1+$EX$10)+$EX$36)*(1+(INDEX(绊状态确认!$T:$T,MATCH($G177,绊状态确认!$B:$B,))+0.2)*AO177)*IF(J177=$FF$17,1+$FE$17,1)*IF(I177=$FF$14,1+$FE$14,1)</f>
        <v>14319.228196884</v>
      </c>
      <c r="AT177" s="1093">
        <f>IF(AND(INDEX('卡片raw data'!AK:AK,MATCH($D177,'卡片raw data'!$F:$F,))&lt;INDEX('卡片raw data'!AM:AM,MATCH($D177,'卡片raw data'!$F:$F,)),INDEX('卡片raw data'!AL:AL,MATCH($D177,'卡片raw data'!$F:$F,))&lt;INDEX('卡片raw data'!AM:AM,MATCH($D177,'卡片raw data'!$F:$F,))),1,0)</f>
        <v>0</v>
      </c>
      <c r="AU177" s="1098">
        <f>MIN(AT177*0.15+AS177*0.00003+INDEX(绊状态确认!M:M,MATCH($G177,绊状态确认!$B:$B,)),1)</f>
        <v>0.45957684590652004</v>
      </c>
      <c r="AV177" s="1109">
        <f>(INDEX(绊状态确认!$N:$N,MATCH($G177,绊状态确认!$B:$B,))+1.5)*$EW$21</f>
        <v>2.6599999999999997</v>
      </c>
      <c r="AW177" s="1101">
        <f t="shared" si="196"/>
        <v>17116.348090311596</v>
      </c>
      <c r="AX177" s="1097">
        <f t="shared" si="197"/>
        <v>1034.0622897544272</v>
      </c>
      <c r="AY177" s="1110">
        <f t="shared" si="198"/>
        <v>18150.410380066023</v>
      </c>
      <c r="AZ177" s="429">
        <f t="shared" si="199"/>
        <v>14073.466911919999</v>
      </c>
      <c r="BA177" s="431">
        <f t="shared" si="200"/>
        <v>16888.160294303998</v>
      </c>
      <c r="BB177" s="1097">
        <f>(AM177*(1+$FB$9)+$FB$35)*(1+(INDEX(绊状态确认!$T:$T,MATCH($G177,绊状态确认!$B:$B,))+0.2)*AO177)*IF(J177=$FF$17,1+$FE$17,1)*IF(I177=$FF$14,1+$FE$14,1)*(1+$FE$15)</f>
        <v>12074.773571067999</v>
      </c>
      <c r="BC177" s="1097">
        <f>(AN177*(1+$FB$10)+$FB$36)*(1+(INDEX(绊状态确认!$T:$T,MATCH($G177,绊状态确认!$B:$B,))+0.2)*AO177)*IF(J177=$FF$17,1+$FE$17,1)*IF(I177=$FF$14,1+$FE$14,1)*(1+$FE$15)</f>
        <v>14319.228196884</v>
      </c>
      <c r="BD177" s="1104">
        <f>MIN(AT177*0.15+BC177*0.00003+INDEX(绊状态确认!M:M,MATCH($G177,绊状态确认!$B:$B,)),1)</f>
        <v>0.45957684590652004</v>
      </c>
      <c r="BE177" s="432">
        <f>(INDEX(绊状态确认!$N:$N,MATCH($G177,绊状态确认!$B:$B,))+1.5)</f>
        <v>1.9</v>
      </c>
      <c r="BF177" s="1139">
        <f t="array" ref="BF177">SUMPRODUCT(IF(AZ177*AP177*$FI$16:$FI$23*$FA$22&gt;=$FI$24,$FI$24,AZ177*AP177*$FI$16:$FI$23*$FA$22),$FJ$16:$FJ$23)</f>
        <v>27992.125687808875</v>
      </c>
      <c r="BG177" s="1125">
        <f t="array" ref="BG177">SUMPRODUCT(IF(BE177*AZ177*AP177*$FI$16:$FI$23*$FA$22&gt;=$FI$24,$FI$24,BE177*AZ177*AP177*$FI$16:$FI$23*$FA$22),$FJ$16:$FJ$23)</f>
        <v>52323.297396033187</v>
      </c>
      <c r="BH177" s="1110">
        <f t="shared" si="201"/>
        <v>13058.056279561519</v>
      </c>
      <c r="BI177" s="1111">
        <f>IF(O177="vo",$EW$26/$EW$24*0.05,0)+IF(O177="sk",-$EW$26/$EW$24*(0.05-INDEX(绊状态确认!W:W,MATCH($G177,绊状态确认!$B:$B,)))+0.05*$EW$28,0)+IF(O177="sp",0.05*$EW$32*$EW$30*(1-$EW$33)-(0.05-INDEX(绊状态确认!V:V,MATCH($G177,绊状态确认!$B:$B,)))*$EW$28,0)+IF(O177="gd",-(0.05-INDEX(绊状态确认!X:X,MATCH($G177,绊状态确认!$B:$B,)))*$EW$32*$EW$30*(1-$EW$33),0)</f>
        <v>-6253.6726349699375</v>
      </c>
      <c r="BJ177" s="1097">
        <f>IF(O177="vo",0.05*(1-$FI$26)*$FA$24,0)+IF(O177="sk",-(0.05-INDEX(绊状态确认!W:W,MATCH($G177,绊状态确认!$B:$B,)))*(1-$FI$26)*$FA$24+0.05*$FA$26,0)+IF(O177="sp",0.05*$FA$32*$FA$27*(1-$FA$33)/$FA$30+0.05*$FA$29/$FA$69*$FA$27*(1-$FA$33)-(0.05-INDEX(绊状态确认!V:V,MATCH($G177,绊状态确认!$B:$B,)))*$FA$26,0)+IF(O177="gd",-(0.05-INDEX(绊状态确认!X:X,MATCH($G177,绊状态确认!$B:$B,)))*$FA$32*$FA$27*(1-$FA$33)/$FA$30-(0.05-INDEX(绊状态确认!X:X,MATCH($G177,绊状态确认!$B:$B,)))*$FA$29/$FA$69*$FA$27*(1-$FA$33),0)</f>
        <v>20.459096812499922</v>
      </c>
      <c r="BK177" s="1110">
        <f>IF(O177="vo",$EW$26/$EW$24*0.05+$EW$26*(-HP($EW$62,$EW$65,$EW$64)+HP($EW$62,$EW$65,(1.05-INDEX(绊状态确认!U:U,MATCH($G177,绊状态确认!$B:$B,)))*$EW$64)),0)+IF(O177="sk",-$EW$26/$EW$24*(0.05-INDEX(绊状态确认!W:W,MATCH($G177,绊状态确认!$B:$B,)))+0.05*$EW$29,0)+IF(O177="sp",0.05*$EW$32*$EW$30*(1-$EW$33)-(0.05-INDEX(绊状态确认!V:V,MATCH($G177,绊状态确认!$B:$B,)))*$EW$29,0)+IF(O177="gd",-(0.05-INDEX(绊状态确认!X:X,MATCH($G177,绊状态确认!$B:$B,)))*$EW$32*$EW$30*(1-$EW$33)+$EW$26*(-HP($EW$62,$EW$65,$EW$64)+HP($EW$62,$EW$65,0.95*$EW$64)),0)</f>
        <v>-4253.6726349699375</v>
      </c>
      <c r="BL177" s="1111">
        <f t="shared" si="202"/>
        <v>-1083.3333333333333</v>
      </c>
      <c r="BM177" s="1110">
        <f t="shared" si="203"/>
        <v>-830.55555555555543</v>
      </c>
      <c r="BN177" s="1113">
        <f t="shared" si="204"/>
        <v>3</v>
      </c>
      <c r="BO177" s="1097">
        <f t="shared" si="205"/>
        <v>4507.7214871259994</v>
      </c>
      <c r="BP177" s="1100">
        <f t="shared" si="206"/>
        <v>221.34103209030098</v>
      </c>
      <c r="BQ177" s="1113" t="s">
        <v>623</v>
      </c>
      <c r="BR177" s="1124" t="s">
        <v>171</v>
      </c>
      <c r="BS177" s="1098">
        <f>IF($P177="","N/A",IF($P177=-1,INDEX('卡片raw data'!AX:AX,MATCH($D177,'卡片raw data'!$F:$F,)),0)+IF($L177="party卡",IF($P177=5,INDEX('卡片raw data'!BD:BD,MATCH($D177,'卡片raw data'!$F:$F,)),IF($P177&gt;=3,INDEX('卡片raw data'!BC:BC,MATCH($D177,'卡片raw data'!$F:$F,)),INDEX('卡片raw data'!BB:BB,MATCH($D177,'卡片raw data'!$F:$F,)))),IF(OR(AND($F177="UR",$P177=0),AND($F177="SR",$P177&gt;=0,$P177&lt;=2),AND($F177="R",$P177&gt;=0,$P177&lt;4)),INDEX('卡片raw data'!AZ:AZ,MATCH($D177,'卡片raw data'!$F:$F,)),0)+IF(OR(AND($F177="UR",$P177&gt;=1,$P177&lt;=4),AND($F177="SR",$P177&lt;=4,$P177&gt;=3),AND($F177="R",$P177=4)),INDEX('卡片raw data'!BA:BA,MATCH($D177,'卡片raw data'!$F:$F,)),0)+IF($P177=5,INDEX('卡片raw data'!BB:BB,MATCH($D177,'卡片raw data'!$F:$F,)),0)))</f>
        <v>3.2000000000000001E-2</v>
      </c>
      <c r="BT177" s="1101">
        <f t="shared" si="207"/>
        <v>1602.7454176448</v>
      </c>
      <c r="BU177" s="1097">
        <f t="shared" si="208"/>
        <v>68.861654428093644</v>
      </c>
      <c r="BV177" s="1097">
        <f t="shared" si="209"/>
        <v>801.37270882240011</v>
      </c>
      <c r="BW177" s="1112">
        <f t="shared" si="210"/>
        <v>0</v>
      </c>
      <c r="BX177" s="1100">
        <f t="shared" si="211"/>
        <v>1602.7454176448</v>
      </c>
      <c r="BY177" s="1110">
        <f t="shared" si="212"/>
        <v>801.37270882240011</v>
      </c>
      <c r="BZ177" s="1107" t="s">
        <v>569</v>
      </c>
      <c r="CA177" s="1124"/>
      <c r="CB177" s="1098">
        <f>IF($P177="","N/A",IF($P177=-1,INDEX('卡片raw data'!BE:BE,MATCH($D177,'卡片raw data'!$F:$F,)),0)+IF($L177="party卡",IF($P177=5,INDEX('卡片raw data'!BK:BK,MATCH($D177,'卡片raw data'!$F:$F,)),IF($P177&gt;=3,INDEX('卡片raw data'!BJ:BJ,MATCH($D177,'卡片raw data'!$F:$F,)),INDEX('卡片raw data'!BI:BI,MATCH($D177,'卡片raw data'!$F:$F,)))),IF(OR(AND($F177="UR",$P177=0),AND($F177="SR",$P177&gt;=0,$P177&lt;=2),AND($F177="R",$P177&gt;=0,$P177&lt;4)),INDEX('卡片raw data'!BG:BG,MATCH($D177,'卡片raw data'!$F:$F,)),0)+IF(OR(AND($F177="UR",$P177&gt;=1,$P177&lt;=4),AND($F177="SR",$P177&lt;=4,$P177&gt;=3),AND($F177="R",$P177=4)),INDEX('卡片raw data'!BH:BH,MATCH($D177,'卡片raw data'!$F:$F,)),0)+IF($P177=5,INDEX('卡片raw data'!BI:BI,MATCH($D177,'卡片raw data'!$F:$F,)),0)))</f>
        <v>0</v>
      </c>
      <c r="CC177" s="1101">
        <f t="shared" si="213"/>
        <v>0</v>
      </c>
      <c r="CD177" s="1097">
        <f>IF(BZ177="ap",CB177*(1-$FI$26)*$FB$5/$FB$11*(+IF(CA177="全员",$FA$24,0)+IF(CA177="同作战",$FA$24,0)+IF(CA177="仲间",$FA$24*2/3,0)+IF(CA177="同属性",$FA$24*$FA$37/3,0)+IF(CA177="同年级",$FA$24*$FA$40/3,0)+IF(CA177="同学校",$FA$24*$FA$43/3,0)+IF(CA177="同小队",$FA$24*$FA$46/3,0)+IF(CA177="同type",$FA$24*INDEX($FB$49:$FB$52,MATCH(X177,$FA$49:$FA$52,))/3,0)+IF(CA177="自身",#REF!/3,0)),0)+IF(BZ177="te",CB177*(1-$FI$27)*($FA$20-1)*$FB$7/$FB$13*(+IF(CA177="全员",$FA$19*$FA$24/(1+($FA$20-1)*$FA$19),0)+IF(CA177="同作战",$FA$19*$FA$24/(1+($FA$20-1)*$FA$19),0)+IF(CA177="仲间",$FA$19*$FA$24*2/3/(1+($FA$20-1)*$FA$19),0)+IF(CA177="同属性",$FA$19*$FA$24*$FA$37/3/(1+($FA$20-1)*$FA$19),0)+IF(CA177="同年级",$FA$19*$FA$24*$FA$40/3/(1+($FA$20-1)*$FA$19),0)+IF(CA177="同学校",$FA$19*$FA$24*$FA$43/3/(1+($FA$20-1)*$FA$19),0)+IF(CA177="同小队",$FA$19*$FA$24*$FA$46/3/(1+($FA$20-1)*$FA$19),0)+IF(CA177="同type",$FA$19*$FA$24*INDEX($FB$49:$FB$52,MATCH(X177,$FA$49:$FA$52,))/3/(1+($FA$20-1)*$FA$19),0)+IF(CA177="自身",$FA$19*#REF!/3/(1+(BH177-1)*$BD177),0)),0)</f>
        <v>0</v>
      </c>
      <c r="CE177" s="1097">
        <f t="shared" si="214"/>
        <v>0</v>
      </c>
      <c r="CF177" s="1112">
        <f t="shared" si="215"/>
        <v>0</v>
      </c>
      <c r="CG177" s="1100">
        <f t="shared" si="216"/>
        <v>0</v>
      </c>
      <c r="CH177" s="1110">
        <f t="shared" si="217"/>
        <v>0</v>
      </c>
      <c r="CI177" s="1113" t="s">
        <v>165</v>
      </c>
      <c r="CJ177" s="1114">
        <v>0.3</v>
      </c>
      <c r="CK177" s="1115" t="s">
        <v>551</v>
      </c>
      <c r="CL177" s="1115" t="s">
        <v>161</v>
      </c>
      <c r="CM177" s="1119">
        <v>0.03</v>
      </c>
      <c r="CN177" s="1115" t="s">
        <v>588</v>
      </c>
      <c r="CO177" s="1092"/>
      <c r="CP177" s="1118">
        <f t="shared" si="218"/>
        <v>8.9999999999999993E-3</v>
      </c>
      <c r="CQ177" s="1118">
        <f t="shared" si="219"/>
        <v>8.9999999999999993E-3</v>
      </c>
      <c r="CR177" s="1118">
        <f t="shared" si="220"/>
        <v>8.9999999999999993E-3</v>
      </c>
      <c r="CS177" s="1118">
        <f t="shared" si="221"/>
        <v>0</v>
      </c>
      <c r="CT177" s="1109">
        <f t="shared" si="222"/>
        <v>0</v>
      </c>
      <c r="CU177" s="1101">
        <f t="shared" si="223"/>
        <v>539.33504053893762</v>
      </c>
      <c r="CV177" s="1108">
        <f t="shared" si="224"/>
        <v>0</v>
      </c>
      <c r="CW177" s="1097">
        <f t="shared" si="225"/>
        <v>539.33504053893762</v>
      </c>
      <c r="CX177" s="1097">
        <f t="shared" si="226"/>
        <v>539.33504053893762</v>
      </c>
      <c r="CY177" s="1110">
        <f t="shared" si="227"/>
        <v>539.33504053893762</v>
      </c>
      <c r="CZ177" s="437"/>
      <c r="DA177" s="438"/>
      <c r="DB177" s="439" t="s">
        <v>569</v>
      </c>
      <c r="DC177" s="439"/>
      <c r="DD177" s="443"/>
      <c r="DE177" s="411"/>
      <c r="DF177" s="411"/>
      <c r="DG177" s="1116">
        <f t="shared" si="228"/>
        <v>0</v>
      </c>
      <c r="DH177" s="1116">
        <f t="shared" si="229"/>
        <v>0</v>
      </c>
      <c r="DI177" s="1116">
        <f t="shared" si="230"/>
        <v>0</v>
      </c>
      <c r="DJ177" s="442">
        <f t="shared" si="231"/>
        <v>0</v>
      </c>
      <c r="DK177" s="1109">
        <f t="shared" si="232"/>
        <v>0</v>
      </c>
      <c r="DL177" s="1101">
        <f t="shared" si="233"/>
        <v>0</v>
      </c>
      <c r="DM177" s="1097">
        <f t="shared" si="234"/>
        <v>0</v>
      </c>
      <c r="DN177" s="1097">
        <f t="shared" si="235"/>
        <v>0</v>
      </c>
      <c r="DO177" s="1097">
        <f t="shared" si="236"/>
        <v>0</v>
      </c>
      <c r="DP177" s="1110">
        <f t="shared" si="237"/>
        <v>0</v>
      </c>
      <c r="DQ177" s="1113" t="s">
        <v>551</v>
      </c>
      <c r="DR177" s="1120">
        <f t="shared" si="238"/>
        <v>0.3</v>
      </c>
      <c r="DS177" s="1124">
        <v>10</v>
      </c>
      <c r="DT177" s="1093" t="s">
        <v>168</v>
      </c>
      <c r="DU177" s="1093" t="s">
        <v>544</v>
      </c>
      <c r="DV177" s="1098">
        <f>IF($P177="","N/A",IF(P177=-1,INDEX('卡片raw data'!AN:AN,MATCH(D177,'卡片raw data'!$F:$F,)),0)+IF(AND(L177&lt;&gt;"party卡",P177&lt;=2,P177&gt;=0),INDEX('卡片raw data'!AP:AP,MATCH(D177,'卡片raw data'!$F:$F,)),0)+IF(OR(AND(L177="party卡",P177&lt;=1),AND(P177&lt;=4,L177&lt;&gt;"party卡",P177&gt;=3)),INDEX('卡片raw data'!AQ:AQ,MATCH(D177,'卡片raw data'!$F:$F,)),0)+IF(OR(P177=5,AND(L177="party卡",P177&gt;=2)),INDEX('卡片raw data'!AR:AR,MATCH(D177,'卡片raw data'!$F:$F,)),0))</f>
        <v>7.0000000000000007E-2</v>
      </c>
      <c r="DW177" s="1098">
        <f t="shared" si="239"/>
        <v>0.3</v>
      </c>
      <c r="DX177" s="1098">
        <f t="shared" si="240"/>
        <v>0.3</v>
      </c>
      <c r="DY177" s="1098">
        <f t="shared" si="241"/>
        <v>7.0000000000000007E-2</v>
      </c>
      <c r="DZ177" s="1098">
        <f t="shared" si="242"/>
        <v>6.0550000000000007E-2</v>
      </c>
      <c r="EA177" s="1098">
        <f t="shared" si="243"/>
        <v>0</v>
      </c>
      <c r="EB177" s="1121">
        <f t="shared" si="244"/>
        <v>0</v>
      </c>
      <c r="EC177" s="1101">
        <f t="shared" si="245"/>
        <v>4194.8280930806259</v>
      </c>
      <c r="ED177" s="1097">
        <f t="shared" si="246"/>
        <v>0</v>
      </c>
      <c r="EE177" s="1110">
        <f t="shared" si="247"/>
        <v>4194.8280930806259</v>
      </c>
      <c r="EF177" s="1092" t="s">
        <v>711</v>
      </c>
      <c r="EG177" s="1120">
        <f t="shared" si="248"/>
        <v>0.3</v>
      </c>
      <c r="EH177" s="1124"/>
      <c r="EI177" s="1093"/>
      <c r="EJ177" s="1093"/>
      <c r="EK177" s="1097">
        <f>IF($P177="","N/A",IF(P177=-1,INDEX('卡片raw data'!AS:AS,MATCH(D177,'卡片raw data'!$F:$F,)),0)+IF(AND(L177&lt;&gt;"party卡",P177&lt;=2,P177&gt;=0),INDEX('卡片raw data'!AU:AU,MATCH(D177,'卡片raw data'!$F:$F,)),0)+IF(OR(AND(L177="party卡",P177&lt;=1),AND(P177&lt;=4,L177&lt;&gt;"party卡",P177&gt;=3)),INDEX('卡片raw data'!AV:AV,MATCH(D177,'卡片raw data'!$F:$F,)),0)+IF(OR(P177=5,AND(L177="party卡",P177&gt;=2)),INDEX('卡片raw data'!AW:AW,MATCH(D177,'卡片raw data'!$F:$F,)),0))</f>
        <v>0</v>
      </c>
      <c r="EL177" s="1098">
        <f t="shared" si="249"/>
        <v>0.3</v>
      </c>
      <c r="EM177" s="1098">
        <f t="shared" si="250"/>
        <v>0.3</v>
      </c>
      <c r="EN177" s="1125">
        <f t="shared" si="251"/>
        <v>0</v>
      </c>
      <c r="EO177" s="1125">
        <f t="shared" si="252"/>
        <v>0</v>
      </c>
      <c r="EP177" s="1098">
        <f t="shared" si="253"/>
        <v>0</v>
      </c>
      <c r="EQ177" s="1121">
        <f t="shared" si="254"/>
        <v>0</v>
      </c>
      <c r="ER177" s="1101">
        <f t="shared" si="255"/>
        <v>0</v>
      </c>
      <c r="ES177" s="1097">
        <f t="shared" si="256"/>
        <v>0</v>
      </c>
      <c r="ET177" s="1122">
        <f t="shared" si="257"/>
        <v>0</v>
      </c>
    </row>
    <row r="178" spans="2:150" ht="16.5" customHeight="1">
      <c r="B178" s="1123" t="str">
        <f>INDEX('卡片raw data'!B:B,MATCH($D178,'卡片raw data'!$F:$F,))</f>
        <v>龙宫果</v>
      </c>
      <c r="C178" s="449" t="s">
        <v>123</v>
      </c>
      <c r="D178" s="408">
        <v>175</v>
      </c>
      <c r="E178" s="1090">
        <v>300013001</v>
      </c>
      <c r="F178" s="1090" t="str">
        <f>INDEX('卡片raw data'!C:C,MATCH($D178,'卡片raw data'!$F:$F,))</f>
        <v>UR</v>
      </c>
      <c r="G178" s="1094" t="s">
        <v>24</v>
      </c>
      <c r="H178" s="411">
        <f>IFERROR(INDEX(绊状态确认!C:C,MATCH($G178,绊状态确认!$B:$B,)),"")</f>
        <v>1</v>
      </c>
      <c r="I178" s="450" t="str">
        <f>IFERROR(INDEX(绊状态确认!D:D,MATCH($G178,绊状态确认!$B:$B,)),"")</f>
        <v>缪</v>
      </c>
      <c r="J178" s="450" t="str">
        <f>IFERROR(INDEX(绊状态确认!E:E,MATCH($G178,绊状态确认!$B:$B,)),"")</f>
        <v>2年级</v>
      </c>
      <c r="K178" s="451" t="str">
        <f>IFERROR(INDEX(绊状态确认!F:F,MATCH($G178,绊状态确认!$B:$B,)),"")</f>
        <v>Printemps</v>
      </c>
      <c r="L178" s="1094" t="str">
        <f>INDEX('卡片raw data'!E:E,MATCH($D178,'卡片raw data'!$F:$F,))</f>
        <v>卡池卡</v>
      </c>
      <c r="M178" s="415">
        <v>43881</v>
      </c>
      <c r="N178" s="416">
        <v>10</v>
      </c>
      <c r="O178" s="1091" t="str">
        <f>INDEX('卡片raw data'!D:D,MATCH($D178,'卡片raw data'!$F:$F,))</f>
        <v>vo</v>
      </c>
      <c r="P178" s="417">
        <v>5</v>
      </c>
      <c r="Q178" s="1095">
        <f t="shared" si="173"/>
        <v>54081.347848669655</v>
      </c>
      <c r="R178" s="1096">
        <f t="shared" si="174"/>
        <v>0.628</v>
      </c>
      <c r="S178" s="1097">
        <f t="shared" si="175"/>
        <v>21194.724167692537</v>
      </c>
      <c r="T178" s="1098">
        <f t="shared" si="176"/>
        <v>1.0589999999999999</v>
      </c>
      <c r="U178" s="1099">
        <f t="shared" si="177"/>
        <v>-7.1702543148571465</v>
      </c>
      <c r="V178" s="1100">
        <f t="shared" si="178"/>
        <v>54216.253833340437</v>
      </c>
      <c r="W178" s="1101">
        <f t="shared" si="179"/>
        <v>7220.6078647417626</v>
      </c>
      <c r="X178" s="1096">
        <f t="shared" si="180"/>
        <v>8.3000000000000004E-2</v>
      </c>
      <c r="Y178" s="1097">
        <f t="shared" si="181"/>
        <v>1439.5744349124898</v>
      </c>
      <c r="Z178" s="1102">
        <f t="shared" si="182"/>
        <v>17.829745685142854</v>
      </c>
      <c r="AA178" s="1103">
        <f t="shared" si="183"/>
        <v>8660.1822996542523</v>
      </c>
      <c r="AB178" s="1101">
        <f t="shared" si="184"/>
        <v>8522.8385165781638</v>
      </c>
      <c r="AC178" s="1104">
        <f t="shared" si="185"/>
        <v>9.9000000000000005E-2</v>
      </c>
      <c r="AD178" s="1105">
        <f t="shared" si="186"/>
        <v>0</v>
      </c>
      <c r="AE178" s="1128">
        <f t="shared" si="187"/>
        <v>0</v>
      </c>
      <c r="AF178" s="1130">
        <f t="shared" si="188"/>
        <v>0</v>
      </c>
      <c r="AG178" s="420">
        <f t="shared" si="189"/>
        <v>0</v>
      </c>
      <c r="AH178" s="420">
        <f t="shared" si="190"/>
        <v>0</v>
      </c>
      <c r="AI178" s="1097">
        <f t="shared" si="191"/>
        <v>0</v>
      </c>
      <c r="AJ178" s="420">
        <f t="shared" si="192"/>
        <v>0</v>
      </c>
      <c r="AK178" s="518">
        <f t="shared" si="193"/>
        <v>0</v>
      </c>
      <c r="AL178" s="1106">
        <f>IF($P178="","N/A",(IF($P178=-1,INDEX('卡片raw data'!S:S,MATCH($D178,'卡片raw data'!$F:$F,)),0)+IF($P178=0,INDEX('卡片raw data'!V:V,MATCH($D178,'卡片raw data'!$F:$F,)),0)+IF($P178=1,INDEX('卡片raw data'!Y:Y,MATCH($D178,'卡片raw data'!$F:$F,)),0)+IF($P178=2,INDEX('卡片raw data'!AB:AB,MATCH($D178,'卡片raw data'!$F:$F,)),0)+IF($P178=3,INDEX('卡片raw data'!AE:AE,MATCH($D178,'卡片raw data'!$F:$F,)),0)+IF($P178=4,INDEX('卡片raw data'!AH:AH,MATCH($D178,'卡片raw data'!$F:$F,)),0)+IF($P178=5,INDEX('卡片raw data'!AK:AK,MATCH($D178,'卡片raw data'!$F:$F,)),0)+INDEX('卡片raw data'!S:S,MATCH($D178,'卡片raw data'!$F:$F,))*(IF($F178="UR",0.04,0.033))*(IF($F178="UR",INDEX(绊状态确认!$S:$S,MATCH($G178,绊状态确认!$B:$B,))/2-40)+IF($F178="SR",INDEX(绊状态确认!$R:$R,MATCH($G178,绊状态确认!$B:$B,))/4-15))+IF($F178="R",INDEX(绊状态确认!$Q:$Q,MATCH($G178,绊状态确认!$B:$B,))/6-40/6)))*(INDEX(绊状态确认!$H:$H,MATCH($G178,绊状态确认!$B:$B,))+INDEX(绊状态确认!J:J,MATCH($G178,绊状态确认!$B:$B,)))</f>
        <v>12125.61528</v>
      </c>
      <c r="AM178" s="1106">
        <f>IF($P178="","N/A",(IF($P178=-1,INDEX('卡片raw data'!T:T,MATCH($D178,'卡片raw data'!$F:$F,)),0)+IF($P178=0,INDEX('卡片raw data'!W:W,MATCH($D178,'卡片raw data'!$F:$F,)),0)+IF($P178=1,INDEX('卡片raw data'!Z:Z,MATCH($D178,'卡片raw data'!$F:$F,)),0)+IF($P178=2,INDEX('卡片raw data'!AC:AC,MATCH($D178,'卡片raw data'!$F:$F,)),0)+IF($P178=3,INDEX('卡片raw data'!AF:AF,MATCH($D178,'卡片raw data'!$F:$F,)),0)+IF($P178=4,INDEX('卡片raw data'!AI:AI,MATCH($D178,'卡片raw data'!$F:$F,)),0)+IF($P178=5,INDEX('卡片raw data'!AL:AL,MATCH($D178,'卡片raw data'!$F:$F,)),0)+INDEX('卡片raw data'!T:T,MATCH($D178,'卡片raw data'!$F:$F,))*(IF($F178="UR",0.04,0.033))*(IF($F178="UR",INDEX(绊状态确认!$S:$S,MATCH($G178,绊状态确认!$B:$B,))/2-40)+IF($F178="SR",INDEX(绊状态确认!$R:$R,MATCH($G178,绊状态确认!$B:$B,))/4-15))+IF($F178="R",INDEX(绊状态确认!$Q:$Q,MATCH($G178,绊状态确认!$B:$B,))/6-40/6)))*(INDEX(绊状态确认!$H:$H,MATCH($G178,绊状态确认!$B:$B,))+INDEX(绊状态确认!K:K,MATCH($G178,绊状态确认!$B:$B,)))</f>
        <v>10210.326719999997</v>
      </c>
      <c r="AN178" s="1106">
        <f>IF($P178="","N/A",(IF($P178=-1,INDEX('卡片raw data'!U:U,MATCH($D178,'卡片raw data'!$F:$F,)),0)+IF($P178=0,INDEX('卡片raw data'!X:X,MATCH($D178,'卡片raw data'!$F:$F,)),0)+IF($P178=1,INDEX('卡片raw data'!AA:AA,MATCH($D178,'卡片raw data'!$F:$F,)),0)+IF($P178=2,INDEX('卡片raw data'!AD:AD,MATCH($D178,'卡片raw data'!$F:$F,)),0)+IF($P178=3,INDEX('卡片raw data'!AG:AG,MATCH($D178,'卡片raw data'!$F:$F,)),0)+IF($P178=4,INDEX('卡片raw data'!AJ:AJ,MATCH($D178,'卡片raw data'!$F:$F,)),0)+IF($P178=5,INDEX('卡片raw data'!AM:AM,MATCH($D178,'卡片raw data'!$F:$F,)),0)+INDEX('卡片raw data'!U:U,MATCH($D178,'卡片raw data'!$F:$F,))*(IF($F178="UR",0.04,0.033))*(IF($F178="UR",INDEX(绊状态确认!$S:$S,MATCH($G178,绊状态确认!$B:$B,))/2-40)+IF($F178="SR",INDEX(绊状态确认!$R:$R,MATCH($G178,绊状态确认!$B:$B,))/4-15))+IF($F178="R",INDEX(绊状态确认!$Q:$Q,MATCH($G178,绊状态确认!$B:$B,))/6-40/6)))*(INDEX(绊状态确认!$H:$H,MATCH($G178,绊状态确认!$B:$B,))+INDEX(绊状态确认!L:L,MATCH($G178,绊状态确认!$B:$B,)))</f>
        <v>9573.0335999999988</v>
      </c>
      <c r="AO178" s="1107">
        <f t="shared" si="194"/>
        <v>1</v>
      </c>
      <c r="AP178" s="1131">
        <f>1+(INDEX(绊状态确认!$T:$T,MATCH($G178,绊状态确认!$B:$B,))+0.2)*$AO178</f>
        <v>1.3</v>
      </c>
      <c r="AQ178" s="1108">
        <f t="shared" si="195"/>
        <v>35079.740109999999</v>
      </c>
      <c r="AR178" s="1097">
        <f>(AM178*(1+$EX$9)+$EX$35)*(1+(INDEX(绊状态确认!$T:$T,MATCH($G178,绊状态确认!$B:$B,))+0.2)*AO178)*IF(J178=$FF$17,1+$FE$17,1)*IF(I178=$FF$14,1+$FE$14,1)*(1+$FE$15)</f>
        <v>16641.095972799998</v>
      </c>
      <c r="AS178" s="1097">
        <f>(AN178*(1+$EX$10)+$EX$36)*(1+(INDEX(绊状态确认!$T:$T,MATCH($G178,绊状态确认!$B:$B,))+0.2)*AO178)*IF(J178=$FF$17,1+$FE$17,1)*IF(I178=$FF$14,1+$FE$14,1)*(1+$FE$15)</f>
        <v>18367.685231999996</v>
      </c>
      <c r="AT178" s="1093">
        <f>IF(AND(INDEX('卡片raw data'!AK:AK,MATCH($D178,'卡片raw data'!$F:$F,))&lt;INDEX('卡片raw data'!AM:AM,MATCH($D178,'卡片raw data'!$F:$F,)),INDEX('卡片raw data'!AL:AL,MATCH($D178,'卡片raw data'!$F:$F,))&lt;INDEX('卡片raw data'!AM:AM,MATCH($D178,'卡片raw data'!$F:$F,))),1,0)</f>
        <v>0</v>
      </c>
      <c r="AU178" s="1098">
        <f>MIN(AT178*0.15+AS178*0.00003+INDEX(绊状态确认!M:M,MATCH($G178,绊状态确认!$B:$B,)),1)</f>
        <v>0.58103055695999994</v>
      </c>
      <c r="AV178" s="1109">
        <f>(INDEX(绊状态确认!$N:$N,MATCH($G178,绊状态确认!$B:$B,))+1.5)*$EW$21</f>
        <v>2.6599999999999997</v>
      </c>
      <c r="AW178" s="1101">
        <f t="shared" si="196"/>
        <v>35790.530450205006</v>
      </c>
      <c r="AX178" s="1097">
        <f t="shared" si="197"/>
        <v>1439.5744349124891</v>
      </c>
      <c r="AY178" s="1110">
        <f t="shared" si="198"/>
        <v>37230.104885117493</v>
      </c>
      <c r="AZ178" s="429">
        <f t="shared" si="199"/>
        <v>26244.949796000001</v>
      </c>
      <c r="BA178" s="431">
        <f t="shared" si="200"/>
        <v>31493.939755200001</v>
      </c>
      <c r="BB178" s="1097">
        <f>(AM178*(1+$FB$9)+$FB$35)*(1+(INDEX(绊状态确认!$T:$T,MATCH($G178,绊状态确认!$B:$B,))+0.2)*AO178)*IF(J178=$FF$17,1+$FE$17,1)*IF(I178=$FF$14,1+$FE$14,1)*(1+$FE$15)</f>
        <v>16641.095972799998</v>
      </c>
      <c r="BC178" s="1097">
        <f>(AN178*(1+$FB$10)+$FB$36)*(1+(INDEX(绊状态确认!$T:$T,MATCH($G178,绊状态确认!$B:$B,))+0.2)*AO178)*IF(J178=$FF$17,1+$FE$17,1)*IF(I178=$FF$14,1+$FE$14,1)*(1+$FE$15)</f>
        <v>18367.685231999996</v>
      </c>
      <c r="BD178" s="1104">
        <f>MIN(AT178*0.15+BC178*0.00003+INDEX(绊状态确认!M:M,MATCH($G178,绊状态确认!$B:$B,)),1)</f>
        <v>0.58103055695999994</v>
      </c>
      <c r="BE178" s="432">
        <f>(INDEX(绊状态确认!$N:$N,MATCH($G178,绊状态确认!$B:$B,))+1.5)</f>
        <v>1.9</v>
      </c>
      <c r="BF178" s="1139">
        <f t="array" ref="BF178">SUMPRODUCT(IF(AZ178*AP178*$FI$16:$FI$23*$FA$22&gt;=$FI$24,$FI$24,AZ178*AP178*$FI$16:$FI$23*$FA$22),$FJ$16:$FJ$23)</f>
        <v>51577.384292368006</v>
      </c>
      <c r="BG178" s="1125">
        <f t="array" ref="BG178">SUMPRODUCT(IF(BE178*AZ178*AP178*$FI$16:$FI$23*$FA$22&gt;=$FI$24,$FI$24,BE178*AZ178*AP178*$FI$16:$FI$23*$FA$22),$FJ$16:$FJ$23)</f>
        <v>60000</v>
      </c>
      <c r="BH178" s="1110">
        <f t="shared" si="201"/>
        <v>18823.72712934449</v>
      </c>
      <c r="BI178" s="1111">
        <f>IF(O178="vo",$EW$26/$EW$24*0.05,0)+IF(O178="sk",-$EW$26/$EW$24*(0.05-INDEX(绊状态确认!W:W,MATCH($G178,绊状态确认!$B:$B,)))+0.05*$EW$28,0)+IF(O178="sp",0.05*$EW$32*$EW$30*(1-$EW$33)-(0.05-INDEX(绊状态确认!V:V,MATCH($G178,绊状态确认!$B:$B,)))*$EW$28,0)+IF(O178="gd",-(0.05-INDEX(绊状态确认!X:X,MATCH($G178,绊状态确认!$B:$B,)))*$EW$32*$EW$30*(1-$EW$33),0)</f>
        <v>7726.3029277443748</v>
      </c>
      <c r="BJ178" s="1097">
        <f>IF(O178="vo",0.05*(1-$FI$26)*$FA$24,0)+IF(O178="sk",-(0.05-INDEX(绊状态确认!W:W,MATCH($G178,绊状态确认!$B:$B,)))*(1-$FI$26)*$FA$24+0.05*$FA$26,0)+IF(O178="sp",0.05*$FA$32*$FA$27*(1-$FA$33)/$FA$30+0.05*$FA$29/$FA$69*$FA$27*(1-$FA$33)-(0.05-INDEX(绊状态确认!V:V,MATCH($G178,绊状态确认!$B:$B,)))*$FA$26,0)+IF(O178="gd",-(0.05-INDEX(绊状态确认!X:X,MATCH($G178,绊状态确认!$B:$B,)))*$FA$32*$FA$27*(1-$FA$33)/$FA$30-(0.05-INDEX(绊状态确认!X:X,MATCH($G178,绊状态确认!$B:$B,)))*$FA$29/$FA$69*$FA$27*(1-$FA$33),0)</f>
        <v>393.93433687500004</v>
      </c>
      <c r="BK178" s="1110">
        <f>IF(O178="vo",$EW$26/$EW$24*0.05+$EW$26*(-HP($EW$62,$EW$65,$EW$64)+HP($EW$62,$EW$65,(1.05-INDEX(绊状态确认!U:U,MATCH($G178,绊状态确认!$B:$B,)))*$EW$64)),0)+IF(O178="sk",-$EW$26/$EW$24*(0.05-INDEX(绊状态确认!W:W,MATCH($G178,绊状态确认!$B:$B,)))+0.05*$EW$29,0)+IF(O178="sp",0.05*$EW$32*$EW$30*(1-$EW$33)-(0.05-INDEX(绊状态确认!V:V,MATCH($G178,绊状态确认!$B:$B,)))*$EW$29,0)+IF(O178="gd",-(0.05-INDEX(绊状态确认!X:X,MATCH($G178,绊状态确认!$B:$B,)))*$EW$32*$EW$30*(1-$EW$33)+$EW$26*(-HP($EW$62,$EW$65,$EW$64)+HP($EW$62,$EW$65,0.95*$EW$64)),0)</f>
        <v>6421.6344775026746</v>
      </c>
      <c r="BL178" s="1111">
        <f t="shared" si="202"/>
        <v>0</v>
      </c>
      <c r="BM178" s="1110">
        <f t="shared" si="203"/>
        <v>0</v>
      </c>
      <c r="BN178" s="1113">
        <f t="shared" si="204"/>
        <v>3</v>
      </c>
      <c r="BO178" s="1097">
        <f t="shared" si="205"/>
        <v>4507.7214871259994</v>
      </c>
      <c r="BP178" s="1100">
        <f t="shared" si="206"/>
        <v>221.34103209030098</v>
      </c>
      <c r="BQ178" s="1113" t="s">
        <v>143</v>
      </c>
      <c r="BR178" s="1124" t="s">
        <v>148</v>
      </c>
      <c r="BS178" s="1098">
        <f>IF($P178="","N/A",IF($P178=-1,INDEX('卡片raw data'!AX:AX,MATCH($D178,'卡片raw data'!$F:$F,)),0)+IF($L178="party卡",IF($P178=5,INDEX('卡片raw data'!BD:BD,MATCH($D178,'卡片raw data'!$F:$F,)),IF($P178&gt;=3,INDEX('卡片raw data'!BC:BC,MATCH($D178,'卡片raw data'!$F:$F,)),INDEX('卡片raw data'!BB:BB,MATCH($D178,'卡片raw data'!$F:$F,)))),IF(OR(AND($F178="UR",$P178=0),AND($F178="SR",$P178&gt;=0,$P178&lt;=2),AND($F178="R",$P178&gt;=0,$P178&lt;4)),INDEX('卡片raw data'!AZ:AZ,MATCH($D178,'卡片raw data'!$F:$F,)),0)+IF(OR(AND($F178="UR",$P178&gt;=1,$P178&lt;=4),AND($F178="SR",$P178&lt;=4,$P178&gt;=3),AND($F178="R",$P178=4)),INDEX('卡片raw data'!BA:BA,MATCH($D178,'卡片raw data'!$F:$F,)),0)+IF($P178=5,INDEX('卡片raw data'!BB:BB,MATCH($D178,'卡片raw data'!$F:$F,)),0)))</f>
        <v>5.1999999999999998E-2</v>
      </c>
      <c r="BT178" s="1101">
        <f t="shared" si="207"/>
        <v>2604.4613036728001</v>
      </c>
      <c r="BU178" s="1097">
        <f t="shared" si="208"/>
        <v>111.90018844565216</v>
      </c>
      <c r="BV178" s="1097">
        <f t="shared" si="209"/>
        <v>1302.2306518363998</v>
      </c>
      <c r="BW178" s="1112">
        <f t="shared" si="210"/>
        <v>0</v>
      </c>
      <c r="BX178" s="1100">
        <f t="shared" si="211"/>
        <v>2604.4613036728001</v>
      </c>
      <c r="BY178" s="1110">
        <f t="shared" si="212"/>
        <v>1302.2306518363998</v>
      </c>
      <c r="BZ178" s="1107" t="s">
        <v>569</v>
      </c>
      <c r="CA178" s="1124"/>
      <c r="CB178" s="1098">
        <f>IF($P178="","N/A",IF($P178=-1,INDEX('卡片raw data'!BE:BE,MATCH($D178,'卡片raw data'!$F:$F,)),0)+IF($L178="party卡",IF($P178=5,INDEX('卡片raw data'!BK:BK,MATCH($D178,'卡片raw data'!$F:$F,)),IF($P178&gt;=3,INDEX('卡片raw data'!BJ:BJ,MATCH($D178,'卡片raw data'!$F:$F,)),INDEX('卡片raw data'!BI:BI,MATCH($D178,'卡片raw data'!$F:$F,)))),IF(OR(AND($F178="UR",$P178=0),AND($F178="SR",$P178&gt;=0,$P178&lt;=2),AND($F178="R",$P178&gt;=0,$P178&lt;4)),INDEX('卡片raw data'!BG:BG,MATCH($D178,'卡片raw data'!$F:$F,)),0)+IF(OR(AND($F178="UR",$P178&gt;=1,$P178&lt;=4),AND($F178="SR",$P178&lt;=4,$P178&gt;=3),AND($F178="R",$P178=4)),INDEX('卡片raw data'!BH:BH,MATCH($D178,'卡片raw data'!$F:$F,)),0)+IF($P178=5,INDEX('卡片raw data'!BI:BI,MATCH($D178,'卡片raw data'!$F:$F,)),0)))</f>
        <v>0</v>
      </c>
      <c r="CC178" s="1101">
        <f t="shared" si="213"/>
        <v>0</v>
      </c>
      <c r="CD178" s="1097">
        <f>IF(BZ178="ap",CB178*(1-$FI$26)*$FB$5/$FB$11*(+IF(CA178="全员",$FA$24,0)+IF(CA178="同作战",$FA$24,0)+IF(CA178="仲间",$FA$24*2/3,0)+IF(CA178="同属性",$FA$24*$FA$37/3,0)+IF(CA178="同年级",$FA$24*$FA$40/3,0)+IF(CA178="同学校",$FA$24*$FA$43/3,0)+IF(CA178="同小队",$FA$24*$FA$46/3,0)+IF(CA178="同type",$FA$24*INDEX($FB$49:$FB$52,MATCH(X178,$FA$49:$FA$52,))/3,0)+IF(CA178="自身",#REF!/3,0)),0)+IF(BZ178="te",CB178*(1-$FI$27)*($FA$20-1)*$FB$7/$FB$13*(+IF(CA178="全员",$FA$19*$FA$24/(1+($FA$20-1)*$FA$19),0)+IF(CA178="同作战",$FA$19*$FA$24/(1+($FA$20-1)*$FA$19),0)+IF(CA178="仲间",$FA$19*$FA$24*2/3/(1+($FA$20-1)*$FA$19),0)+IF(CA178="同属性",$FA$19*$FA$24*$FA$37/3/(1+($FA$20-1)*$FA$19),0)+IF(CA178="同年级",$FA$19*$FA$24*$FA$40/3/(1+($FA$20-1)*$FA$19),0)+IF(CA178="同学校",$FA$19*$FA$24*$FA$43/3/(1+($FA$20-1)*$FA$19),0)+IF(CA178="同小队",$FA$19*$FA$24*$FA$46/3/(1+($FA$20-1)*$FA$19),0)+IF(CA178="同type",$FA$19*$FA$24*INDEX($FB$49:$FB$52,MATCH(X178,$FA$49:$FA$52,))/3/(1+($FA$20-1)*$FA$19),0)+IF(CA178="自身",$FA$19*#REF!/3/(1+(BH178-1)*$BD178),0)),0)</f>
        <v>0</v>
      </c>
      <c r="CE178" s="1097">
        <f t="shared" si="214"/>
        <v>0</v>
      </c>
      <c r="CF178" s="1112">
        <f t="shared" si="215"/>
        <v>0</v>
      </c>
      <c r="CG178" s="1100">
        <f t="shared" si="216"/>
        <v>0</v>
      </c>
      <c r="CH178" s="1110">
        <f t="shared" si="217"/>
        <v>0</v>
      </c>
      <c r="CI178" s="1113" t="s">
        <v>160</v>
      </c>
      <c r="CJ178" s="1114">
        <v>0.5</v>
      </c>
      <c r="CK178" s="1115" t="s">
        <v>155</v>
      </c>
      <c r="CL178" s="1115" t="s">
        <v>161</v>
      </c>
      <c r="CM178" s="1119">
        <v>0.15</v>
      </c>
      <c r="CN178" s="1115">
        <v>3</v>
      </c>
      <c r="CO178" s="1092"/>
      <c r="CP178" s="1118">
        <f t="shared" si="218"/>
        <v>1.2053571428571427E-2</v>
      </c>
      <c r="CQ178" s="1118">
        <f t="shared" si="219"/>
        <v>2.5000000000000001E-2</v>
      </c>
      <c r="CR178" s="1118">
        <f t="shared" si="220"/>
        <v>1.2053571428571429E-2</v>
      </c>
      <c r="CS178" s="1118">
        <f t="shared" si="221"/>
        <v>0</v>
      </c>
      <c r="CT178" s="1109">
        <f t="shared" si="222"/>
        <v>0</v>
      </c>
      <c r="CU178" s="1101">
        <f t="shared" si="223"/>
        <v>1410.6557257793638</v>
      </c>
      <c r="CV178" s="1108">
        <f t="shared" si="224"/>
        <v>202.43361606988671</v>
      </c>
      <c r="CW178" s="1097">
        <f t="shared" si="225"/>
        <v>1410.655725779364</v>
      </c>
      <c r="CX178" s="1097">
        <f t="shared" si="226"/>
        <v>1410.6557257793638</v>
      </c>
      <c r="CY178" s="1110">
        <f t="shared" si="227"/>
        <v>1410.655725779364</v>
      </c>
      <c r="CZ178" s="437"/>
      <c r="DA178" s="438"/>
      <c r="DB178" s="439" t="s">
        <v>569</v>
      </c>
      <c r="DC178" s="439"/>
      <c r="DD178" s="443"/>
      <c r="DE178" s="411"/>
      <c r="DF178" s="411"/>
      <c r="DG178" s="1116">
        <f t="shared" si="228"/>
        <v>0</v>
      </c>
      <c r="DH178" s="1116">
        <f t="shared" si="229"/>
        <v>0</v>
      </c>
      <c r="DI178" s="1116">
        <f t="shared" si="230"/>
        <v>0</v>
      </c>
      <c r="DJ178" s="442">
        <f t="shared" si="231"/>
        <v>0</v>
      </c>
      <c r="DK178" s="1109">
        <f t="shared" si="232"/>
        <v>0</v>
      </c>
      <c r="DL178" s="1101">
        <f t="shared" si="233"/>
        <v>0</v>
      </c>
      <c r="DM178" s="1097">
        <f t="shared" si="234"/>
        <v>0</v>
      </c>
      <c r="DN178" s="1097">
        <f t="shared" si="235"/>
        <v>0</v>
      </c>
      <c r="DO178" s="1097">
        <f t="shared" si="236"/>
        <v>0</v>
      </c>
      <c r="DP178" s="1110">
        <f t="shared" si="237"/>
        <v>0</v>
      </c>
      <c r="DQ178" s="1113" t="s">
        <v>152</v>
      </c>
      <c r="DR178" s="1120">
        <f t="shared" si="238"/>
        <v>0.33</v>
      </c>
      <c r="DS178" s="1124"/>
      <c r="DT178" s="1093" t="s">
        <v>132</v>
      </c>
      <c r="DU178" s="1093"/>
      <c r="DV178" s="1098">
        <f>IF($P178="","N/A",IF(P178=-1,INDEX('卡片raw data'!AN:AN,MATCH(D178,'卡片raw data'!$F:$F,)),0)+IF(AND(L178&lt;&gt;"party卡",P178&lt;=2,P178&gt;=0),INDEX('卡片raw data'!AP:AP,MATCH(D178,'卡片raw data'!$F:$F,)),0)+IF(OR(AND(L178="party卡",P178&lt;=1),AND(P178&lt;=4,L178&lt;&gt;"party卡",P178&gt;=3)),INDEX('卡片raw data'!AQ:AQ,MATCH(D178,'卡片raw data'!$F:$F,)),0)+IF(OR(P178=5,AND(L178="party卡",P178&gt;=2)),INDEX('卡片raw data'!AR:AR,MATCH(D178,'卡片raw data'!$F:$F,)),0))</f>
        <v>0.37</v>
      </c>
      <c r="DW178" s="1098">
        <f t="shared" si="239"/>
        <v>0.33</v>
      </c>
      <c r="DX178" s="1098">
        <f t="shared" si="240"/>
        <v>0.33</v>
      </c>
      <c r="DY178" s="1125">
        <f t="shared" si="241"/>
        <v>1856.0690492200999</v>
      </c>
      <c r="DZ178" s="1125">
        <f t="shared" si="242"/>
        <v>1441.3878648672019</v>
      </c>
      <c r="EA178" s="1098">
        <f t="shared" si="243"/>
        <v>0</v>
      </c>
      <c r="EB178" s="1121">
        <f t="shared" si="244"/>
        <v>0</v>
      </c>
      <c r="EC178" s="1101">
        <f t="shared" si="245"/>
        <v>2041.6759541421102</v>
      </c>
      <c r="ED178" s="1097">
        <f t="shared" si="246"/>
        <v>1441.3878648672019</v>
      </c>
      <c r="EE178" s="1110">
        <f t="shared" si="247"/>
        <v>2041.6759541421102</v>
      </c>
      <c r="EF178" s="1092" t="s">
        <v>711</v>
      </c>
      <c r="EG178" s="1120">
        <f t="shared" si="248"/>
        <v>0.33</v>
      </c>
      <c r="EH178" s="1124"/>
      <c r="EI178" s="1093"/>
      <c r="EJ178" s="1093"/>
      <c r="EK178" s="1097">
        <f>IF($P178="","N/A",IF(P178=-1,INDEX('卡片raw data'!AS:AS,MATCH(D178,'卡片raw data'!$F:$F,)),0)+IF(AND(L178&lt;&gt;"party卡",P178&lt;=2,P178&gt;=0),INDEX('卡片raw data'!AU:AU,MATCH(D178,'卡片raw data'!$F:$F,)),0)+IF(OR(AND(L178="party卡",P178&lt;=1),AND(P178&lt;=4,L178&lt;&gt;"party卡",P178&gt;=3)),INDEX('卡片raw data'!AV:AV,MATCH(D178,'卡片raw data'!$F:$F,)),0)+IF(OR(P178=5,AND(L178="party卡",P178&gt;=2)),INDEX('卡片raw data'!AW:AW,MATCH(D178,'卡片raw data'!$F:$F,)),0))</f>
        <v>0</v>
      </c>
      <c r="EL178" s="1098">
        <f t="shared" si="249"/>
        <v>0.33</v>
      </c>
      <c r="EM178" s="1098">
        <f t="shared" si="250"/>
        <v>0.33</v>
      </c>
      <c r="EN178" s="1125">
        <f t="shared" si="251"/>
        <v>0</v>
      </c>
      <c r="EO178" s="1125">
        <f t="shared" si="252"/>
        <v>0</v>
      </c>
      <c r="EP178" s="1098">
        <f t="shared" si="253"/>
        <v>0</v>
      </c>
      <c r="EQ178" s="1121">
        <f t="shared" si="254"/>
        <v>0</v>
      </c>
      <c r="ER178" s="1101">
        <f t="shared" si="255"/>
        <v>0</v>
      </c>
      <c r="ES178" s="1097">
        <f t="shared" si="256"/>
        <v>0</v>
      </c>
      <c r="ET178" s="1122">
        <f t="shared" si="257"/>
        <v>0</v>
      </c>
    </row>
    <row r="179" spans="2:150" ht="16.5" customHeight="1">
      <c r="B179" s="1123" t="str">
        <f>INDEX('卡片raw data'!B:B,MATCH($D179,'卡片raw data'!$F:$F,))</f>
        <v>彩虹步</v>
      </c>
      <c r="C179" s="449" t="s">
        <v>22</v>
      </c>
      <c r="D179" s="408">
        <v>176</v>
      </c>
      <c r="E179" s="1090">
        <v>302012001</v>
      </c>
      <c r="F179" s="1090" t="str">
        <f>INDEX('卡片raw data'!C:C,MATCH($D179,'卡片raw data'!$F:$F,))</f>
        <v>SR</v>
      </c>
      <c r="G179" s="1094" t="s">
        <v>350</v>
      </c>
      <c r="H179" s="411">
        <f>IFERROR(INDEX(绊状态确认!C:C,MATCH($G179,绊状态确认!$B:$B,)),"")</f>
        <v>201</v>
      </c>
      <c r="I179" s="450" t="str">
        <f>IFERROR(INDEX(绊状态确认!D:D,MATCH($G179,绊状态确认!$B:$B,)),"")</f>
        <v>虹</v>
      </c>
      <c r="J179" s="450" t="str">
        <f>IFERROR(INDEX(绊状态确认!E:E,MATCH($G179,绊状态确认!$B:$B,)),"")</f>
        <v>2年级</v>
      </c>
      <c r="K179" s="451" t="str">
        <f>IFERROR(INDEX(绊状态确认!F:F,MATCH($G179,绊状态确认!$B:$B,)),"")</f>
        <v>A·ZU·NA</v>
      </c>
      <c r="L179" s="1094" t="str">
        <f>INDEX('卡片raw data'!E:E,MATCH($D179,'卡片raw data'!$F:$F,))</f>
        <v>卡池卡</v>
      </c>
      <c r="M179" s="415">
        <v>43881</v>
      </c>
      <c r="N179" s="416">
        <v>10</v>
      </c>
      <c r="O179" s="1091" t="str">
        <f>INDEX('卡片raw data'!D:D,MATCH($D179,'卡片raw data'!$F:$F,))</f>
        <v>sk</v>
      </c>
      <c r="P179" s="417">
        <v>5</v>
      </c>
      <c r="Q179" s="1095">
        <f t="shared" si="173"/>
        <v>21900.860614127359</v>
      </c>
      <c r="R179" s="1096">
        <f t="shared" si="174"/>
        <v>0.254</v>
      </c>
      <c r="S179" s="1097">
        <f t="shared" si="175"/>
        <v>14222.120159981983</v>
      </c>
      <c r="T179" s="1098">
        <f t="shared" si="176"/>
        <v>0.71099999999999997</v>
      </c>
      <c r="U179" s="1099">
        <f t="shared" si="177"/>
        <v>11.502243041082858</v>
      </c>
      <c r="V179" s="1100">
        <f t="shared" si="178"/>
        <v>24817.522887357052</v>
      </c>
      <c r="W179" s="1101">
        <f t="shared" si="179"/>
        <v>7605.9513933640037</v>
      </c>
      <c r="X179" s="1096">
        <f t="shared" si="180"/>
        <v>8.7999999999999995E-2</v>
      </c>
      <c r="Y179" s="1097">
        <f t="shared" si="181"/>
        <v>916.66227322969371</v>
      </c>
      <c r="Z179" s="1102">
        <f t="shared" si="182"/>
        <v>11.502243041082858</v>
      </c>
      <c r="AA179" s="1103">
        <f t="shared" si="183"/>
        <v>8522.6136665936974</v>
      </c>
      <c r="AB179" s="1101">
        <f t="shared" si="184"/>
        <v>8407.3241021864033</v>
      </c>
      <c r="AC179" s="1104">
        <f t="shared" si="185"/>
        <v>9.7000000000000003E-2</v>
      </c>
      <c r="AD179" s="1105">
        <f t="shared" si="186"/>
        <v>1.8994224431818179E-2</v>
      </c>
      <c r="AE179" s="1128">
        <f t="shared" si="187"/>
        <v>4.3537577047458456</v>
      </c>
      <c r="AF179" s="1130">
        <f t="shared" si="188"/>
        <v>0</v>
      </c>
      <c r="AG179" s="420">
        <f t="shared" si="189"/>
        <v>0</v>
      </c>
      <c r="AH179" s="420">
        <f t="shared" si="190"/>
        <v>0</v>
      </c>
      <c r="AI179" s="1097">
        <f t="shared" si="191"/>
        <v>0</v>
      </c>
      <c r="AJ179" s="420">
        <f t="shared" si="192"/>
        <v>0</v>
      </c>
      <c r="AK179" s="518">
        <f t="shared" si="193"/>
        <v>0</v>
      </c>
      <c r="AL179" s="1106">
        <f>IF($P179="","N/A",(IF($P179=-1,INDEX('卡片raw data'!S:S,MATCH($D179,'卡片raw data'!$F:$F,)),0)+IF($P179=0,INDEX('卡片raw data'!V:V,MATCH($D179,'卡片raw data'!$F:$F,)),0)+IF($P179=1,INDEX('卡片raw data'!Y:Y,MATCH($D179,'卡片raw data'!$F:$F,)),0)+IF($P179=2,INDEX('卡片raw data'!AB:AB,MATCH($D179,'卡片raw data'!$F:$F,)),0)+IF($P179=3,INDEX('卡片raw data'!AE:AE,MATCH($D179,'卡片raw data'!$F:$F,)),0)+IF($P179=4,INDEX('卡片raw data'!AH:AH,MATCH($D179,'卡片raw data'!$F:$F,)),0)+IF($P179=5,INDEX('卡片raw data'!AK:AK,MATCH($D179,'卡片raw data'!$F:$F,)),0)+INDEX('卡片raw data'!S:S,MATCH($D179,'卡片raw data'!$F:$F,))*(IF($F179="UR",0.04,0.033))*(IF($F179="UR",INDEX(绊状态确认!$S:$S,MATCH($G179,绊状态确认!$B:$B,))/2-40)+IF($F179="SR",INDEX(绊状态确认!$R:$R,MATCH($G179,绊状态确认!$B:$B,))/4-15))+IF($F179="R",INDEX(绊状态确认!$Q:$Q,MATCH($G179,绊状态确认!$B:$B,))/6-40/6)))*(INDEX(绊状态确认!$H:$H,MATCH($G179,绊状态确认!$B:$B,))+INDEX(绊状态确认!J:J,MATCH($G179,绊状态确认!$B:$B,)))</f>
        <v>5883.8291855999996</v>
      </c>
      <c r="AM179" s="1106">
        <f>IF($P179="","N/A",(IF($P179=-1,INDEX('卡片raw data'!T:T,MATCH($D179,'卡片raw data'!$F:$F,)),0)+IF($P179=0,INDEX('卡片raw data'!W:W,MATCH($D179,'卡片raw data'!$F:$F,)),0)+IF($P179=1,INDEX('卡片raw data'!Z:Z,MATCH($D179,'卡片raw data'!$F:$F,)),0)+IF($P179=2,INDEX('卡片raw data'!AC:AC,MATCH($D179,'卡片raw data'!$F:$F,)),0)+IF($P179=3,INDEX('卡片raw data'!AF:AF,MATCH($D179,'卡片raw data'!$F:$F,)),0)+IF($P179=4,INDEX('卡片raw data'!AI:AI,MATCH($D179,'卡片raw data'!$F:$F,)),0)+IF($P179=5,INDEX('卡片raw data'!AL:AL,MATCH($D179,'卡片raw data'!$F:$F,)),0)+INDEX('卡片raw data'!T:T,MATCH($D179,'卡片raw data'!$F:$F,))*(IF($F179="UR",0.04,0.033))*(IF($F179="UR",INDEX(绊状态确认!$S:$S,MATCH($G179,绊状态确认!$B:$B,))/2-40)+IF($F179="SR",INDEX(绊状态确认!$R:$R,MATCH($G179,绊状态确认!$B:$B,))/4-15))+IF($F179="R",INDEX(绊状态确认!$Q:$Q,MATCH($G179,绊状态确认!$B:$B,))/6-40/6)))*(INDEX(绊状态确认!$H:$H,MATCH($G179,绊状态确认!$B:$B,))+INDEX(绊状态确认!K:K,MATCH($G179,绊状态确认!$B:$B,)))</f>
        <v>5883.8291855999996</v>
      </c>
      <c r="AN179" s="1106">
        <f>IF($P179="","N/A",(IF($P179=-1,INDEX('卡片raw data'!U:U,MATCH($D179,'卡片raw data'!$F:$F,)),0)+IF($P179=0,INDEX('卡片raw data'!X:X,MATCH($D179,'卡片raw data'!$F:$F,)),0)+IF($P179=1,INDEX('卡片raw data'!AA:AA,MATCH($D179,'卡片raw data'!$F:$F,)),0)+IF($P179=2,INDEX('卡片raw data'!AD:AD,MATCH($D179,'卡片raw data'!$F:$F,)),0)+IF($P179=3,INDEX('卡片raw data'!AG:AG,MATCH($D179,'卡片raw data'!$F:$F,)),0)+IF($P179=4,INDEX('卡片raw data'!AJ:AJ,MATCH($D179,'卡片raw data'!$F:$F,)),0)+IF($P179=5,INDEX('卡片raw data'!AM:AM,MATCH($D179,'卡片raw data'!$F:$F,)),0)+INDEX('卡片raw data'!U:U,MATCH($D179,'卡片raw data'!$F:$F,))*(IF($F179="UR",0.04,0.033))*(IF($F179="UR",INDEX(绊状态确认!$S:$S,MATCH($G179,绊状态确认!$B:$B,))/2-40)+IF($F179="SR",INDEX(绊状态确认!$R:$R,MATCH($G179,绊状态确认!$B:$B,))/4-15))+IF($F179="R",INDEX(绊状态确认!$Q:$Q,MATCH($G179,绊状态确认!$B:$B,))/6-40/6)))*(INDEX(绊状态确认!$H:$H,MATCH($G179,绊状态确认!$B:$B,))+INDEX(绊状态确认!L:L,MATCH($G179,绊状态确认!$B:$B,)))</f>
        <v>7845.1055807999983</v>
      </c>
      <c r="AO179" s="1107">
        <f t="shared" si="194"/>
        <v>1</v>
      </c>
      <c r="AP179" s="1131">
        <f>1+(INDEX(绊状态确认!$T:$T,MATCH($G179,绊状态确认!$B:$B,))+0.2)*$AO179</f>
        <v>1.3</v>
      </c>
      <c r="AQ179" s="1108">
        <f t="shared" si="195"/>
        <v>18695.051612200001</v>
      </c>
      <c r="AR179" s="1097">
        <f>(AM179*(1+$EX$9)+$EX$35)*(1+(INDEX(绊状态确认!$T:$T,MATCH($G179,绊状态确认!$B:$B,))+0.2)*AO179)*IF(J179=$FF$17,1+$FE$17,1)*IF(I179=$FF$14,1+$FE$14,1)</f>
        <v>10735.426838344001</v>
      </c>
      <c r="AS179" s="1097">
        <f>(AN179*(1+$EX$10)+$EX$36)*(1+(INDEX(绊状态确认!$T:$T,MATCH($G179,绊状态确认!$B:$B,))+0.2)*AO179)*IF(J179=$FF$17,1+$FE$17,1)*IF(I179=$FF$14,1+$FE$14,1)</f>
        <v>15784.432843295997</v>
      </c>
      <c r="AT179" s="1093">
        <f>IF(AND(INDEX('卡片raw data'!AK:AK,MATCH($D179,'卡片raw data'!$F:$F,))&lt;INDEX('卡片raw data'!AM:AM,MATCH($D179,'卡片raw data'!$F:$F,)),INDEX('卡片raw data'!AL:AL,MATCH($D179,'卡片raw data'!$F:$F,))&lt;INDEX('卡片raw data'!AM:AM,MATCH($D179,'卡片raw data'!$F:$F,))),1,0)</f>
        <v>1</v>
      </c>
      <c r="AU179" s="1098">
        <f>MIN(AT179*0.15+AS179*0.00003+INDEX(绊状态确认!M:M,MATCH($G179,绊状态确认!$B:$B,)),1)</f>
        <v>0.65353298529887993</v>
      </c>
      <c r="AV179" s="1109">
        <f>(INDEX(绊状态确认!$N:$N,MATCH($G179,绊状态确认!$B:$B,))+1.5)*$EW$21</f>
        <v>2.6599999999999997</v>
      </c>
      <c r="AW179" s="1101">
        <f t="shared" si="196"/>
        <v>20242.396156524414</v>
      </c>
      <c r="AX179" s="1097">
        <f t="shared" si="197"/>
        <v>916.66227322969314</v>
      </c>
      <c r="AY179" s="1110">
        <f t="shared" si="198"/>
        <v>21159.058429754106</v>
      </c>
      <c r="AZ179" s="429">
        <f t="shared" si="199"/>
        <v>14073.466911919999</v>
      </c>
      <c r="BA179" s="431">
        <f t="shared" si="200"/>
        <v>16888.160294303998</v>
      </c>
      <c r="BB179" s="1097">
        <f>(AM179*(1+$FB$9)+$FB$35)*(1+(INDEX(绊状态确认!$T:$T,MATCH($G179,绊状态确认!$B:$B,))+0.2)*AO179)*IF(J179=$FF$17,1+$FE$17,1)*IF(I179=$FF$14,1+$FE$14,1)*(1+$FE$15)</f>
        <v>10735.426838344001</v>
      </c>
      <c r="BC179" s="1097">
        <f>(AN179*(1+$FB$10)+$FB$36)*(1+(INDEX(绊状态确认!$T:$T,MATCH($G179,绊状态确认!$B:$B,))+0.2)*AO179)*IF(J179=$FF$17,1+$FE$17,1)*IF(I179=$FF$14,1+$FE$14,1)*(1+$FE$15)</f>
        <v>15784.432843295997</v>
      </c>
      <c r="BD179" s="1104">
        <f>MIN(AT179*0.15+BC179*0.00003+INDEX(绊状态确认!M:M,MATCH($G179,绊状态确认!$B:$B,)),1)</f>
        <v>0.65353298529887993</v>
      </c>
      <c r="BE179" s="432">
        <f>(INDEX(绊状态确认!$N:$N,MATCH($G179,绊状态确认!$B:$B,))+1.5)</f>
        <v>1.9</v>
      </c>
      <c r="BF179" s="1139">
        <f t="array" ref="BF179">SUMPRODUCT(IF(AZ179*AP179*$FI$16:$FI$23*$FA$22&gt;=$FI$24,$FI$24,AZ179*AP179*$FI$16:$FI$23*$FA$22),$FJ$16:$FJ$23)</f>
        <v>27992.125687808875</v>
      </c>
      <c r="BG179" s="1125">
        <f t="array" ref="BG179">SUMPRODUCT(IF(BE179*AZ179*AP179*$FI$16:$FI$23*$FA$22&gt;=$FI$24,$FI$24,BE179*AZ179*AP179*$FI$16:$FI$23*$FA$22),$FJ$16:$FJ$23)</f>
        <v>52323.297396033187</v>
      </c>
      <c r="BH179" s="1110">
        <f t="shared" si="201"/>
        <v>14631.11632336812</v>
      </c>
      <c r="BI179" s="1111">
        <f>IF(O179="vo",$EW$26/$EW$24*0.05,0)+IF(O179="sk",-$EW$26/$EW$24*(0.05-INDEX(绊状态确认!W:W,MATCH($G179,绊状态确认!$B:$B,)))+0.05*$EW$28,0)+IF(O179="sp",0.05*$EW$32*$EW$30*(1-$EW$33)-(0.05-INDEX(绊状态确认!V:V,MATCH($G179,绊状态确认!$B:$B,)))*$EW$28,0)+IF(O179="gd",-(0.05-INDEX(绊状态确认!X:X,MATCH($G179,绊状态确认!$B:$B,)))*$EW$32*$EW$30*(1-$EW$33),0)</f>
        <v>-6253.6726349699375</v>
      </c>
      <c r="BJ179" s="1097">
        <f>IF(O179="vo",0.05*(1-$FI$26)*$FA$24,0)+IF(O179="sk",-(0.05-INDEX(绊状态确认!W:W,MATCH($G179,绊状态确认!$B:$B,)))*(1-$FI$26)*$FA$24+0.05*$FA$26,0)+IF(O179="sp",0.05*$FA$32*$FA$27*(1-$FA$33)/$FA$30+0.05*$FA$29/$FA$69*$FA$27*(1-$FA$33)-(0.05-INDEX(绊状态确认!V:V,MATCH($G179,绊状态确认!$B:$B,)))*$FA$26,0)+IF(O179="gd",-(0.05-INDEX(绊状态确认!X:X,MATCH($G179,绊状态确认!$B:$B,)))*$FA$32*$FA$27*(1-$FA$33)/$FA$30-(0.05-INDEX(绊状态确认!X:X,MATCH($G179,绊状态确认!$B:$B,)))*$FA$29/$FA$69*$FA$27*(1-$FA$33),0)</f>
        <v>20.459096812499922</v>
      </c>
      <c r="BK179" s="1110">
        <f>IF(O179="vo",$EW$26/$EW$24*0.05+$EW$26*(-HP($EW$62,$EW$65,$EW$64)+HP($EW$62,$EW$65,(1.05-INDEX(绊状态确认!U:U,MATCH($G179,绊状态确认!$B:$B,)))*$EW$64)),0)+IF(O179="sk",-$EW$26/$EW$24*(0.05-INDEX(绊状态确认!W:W,MATCH($G179,绊状态确认!$B:$B,)))+0.05*$EW$29,0)+IF(O179="sp",0.05*$EW$32*$EW$30*(1-$EW$33)-(0.05-INDEX(绊状态确认!V:V,MATCH($G179,绊状态确认!$B:$B,)))*$EW$29,0)+IF(O179="gd",-(0.05-INDEX(绊状态确认!X:X,MATCH($G179,绊状态确认!$B:$B,)))*$EW$32*$EW$30*(1-$EW$33)+$EW$26*(-HP($EW$62,$EW$65,$EW$64)+HP($EW$62,$EW$65,0.95*$EW$64)),0)</f>
        <v>-4253.6726349699375</v>
      </c>
      <c r="BL179" s="1111">
        <f t="shared" si="202"/>
        <v>-1083.3333333333333</v>
      </c>
      <c r="BM179" s="1110">
        <f t="shared" si="203"/>
        <v>-830.55555555555543</v>
      </c>
      <c r="BN179" s="1113">
        <f t="shared" si="204"/>
        <v>3</v>
      </c>
      <c r="BO179" s="1097">
        <f t="shared" si="205"/>
        <v>4507.7214871259994</v>
      </c>
      <c r="BP179" s="1100">
        <f t="shared" si="206"/>
        <v>221.34103209030098</v>
      </c>
      <c r="BQ179" s="1113" t="s">
        <v>623</v>
      </c>
      <c r="BR179" s="1124" t="s">
        <v>171</v>
      </c>
      <c r="BS179" s="1098">
        <f>IF($P179="","N/A",IF($P179=-1,INDEX('卡片raw data'!AX:AX,MATCH($D179,'卡片raw data'!$F:$F,)),0)+IF($L179="party卡",IF($P179=5,INDEX('卡片raw data'!BD:BD,MATCH($D179,'卡片raw data'!$F:$F,)),IF($P179&gt;=3,INDEX('卡片raw data'!BC:BC,MATCH($D179,'卡片raw data'!$F:$F,)),INDEX('卡片raw data'!BB:BB,MATCH($D179,'卡片raw data'!$F:$F,)))),IF(OR(AND($F179="UR",$P179=0),AND($F179="SR",$P179&gt;=0,$P179&lt;=2),AND($F179="R",$P179&gt;=0,$P179&lt;4)),INDEX('卡片raw data'!AZ:AZ,MATCH($D179,'卡片raw data'!$F:$F,)),0)+IF(OR(AND($F179="UR",$P179&gt;=1,$P179&lt;=4),AND($F179="SR",$P179&lt;=4,$P179&gt;=3),AND($F179="R",$P179=4)),INDEX('卡片raw data'!BA:BA,MATCH($D179,'卡片raw data'!$F:$F,)),0)+IF($P179=5,INDEX('卡片raw data'!BB:BB,MATCH($D179,'卡片raw data'!$F:$F,)),0)))</f>
        <v>3.2000000000000001E-2</v>
      </c>
      <c r="BT179" s="1101">
        <f t="shared" si="207"/>
        <v>1602.7454176448</v>
      </c>
      <c r="BU179" s="1097">
        <f t="shared" si="208"/>
        <v>68.861654428093644</v>
      </c>
      <c r="BV179" s="1097">
        <f t="shared" si="209"/>
        <v>801.37270882240011</v>
      </c>
      <c r="BW179" s="1112">
        <f t="shared" si="210"/>
        <v>0</v>
      </c>
      <c r="BX179" s="1100">
        <f t="shared" si="211"/>
        <v>1602.7454176448</v>
      </c>
      <c r="BY179" s="1110">
        <f t="shared" si="212"/>
        <v>801.37270882240011</v>
      </c>
      <c r="BZ179" s="1107" t="s">
        <v>569</v>
      </c>
      <c r="CA179" s="1124"/>
      <c r="CB179" s="1098">
        <f>IF($P179="","N/A",IF($P179=-1,INDEX('卡片raw data'!BE:BE,MATCH($D179,'卡片raw data'!$F:$F,)),0)+IF($L179="party卡",IF($P179=5,INDEX('卡片raw data'!BK:BK,MATCH($D179,'卡片raw data'!$F:$F,)),IF($P179&gt;=3,INDEX('卡片raw data'!BJ:BJ,MATCH($D179,'卡片raw data'!$F:$F,)),INDEX('卡片raw data'!BI:BI,MATCH($D179,'卡片raw data'!$F:$F,)))),IF(OR(AND($F179="UR",$P179=0),AND($F179="SR",$P179&gt;=0,$P179&lt;=2),AND($F179="R",$P179&gt;=0,$P179&lt;4)),INDEX('卡片raw data'!BG:BG,MATCH($D179,'卡片raw data'!$F:$F,)),0)+IF(OR(AND($F179="UR",$P179&gt;=1,$P179&lt;=4),AND($F179="SR",$P179&lt;=4,$P179&gt;=3),AND($F179="R",$P179=4)),INDEX('卡片raw data'!BH:BH,MATCH($D179,'卡片raw data'!$F:$F,)),0)+IF($P179=5,INDEX('卡片raw data'!BI:BI,MATCH($D179,'卡片raw data'!$F:$F,)),0)))</f>
        <v>0</v>
      </c>
      <c r="CC179" s="1101">
        <f t="shared" si="213"/>
        <v>0</v>
      </c>
      <c r="CD179" s="1097">
        <f>IF(BZ179="ap",CB179*(1-$FI$26)*$FB$5/$FB$11*(+IF(CA179="全员",$FA$24,0)+IF(CA179="同作战",$FA$24,0)+IF(CA179="仲间",$FA$24*2/3,0)+IF(CA179="同属性",$FA$24*$FA$37/3,0)+IF(CA179="同年级",$FA$24*$FA$40/3,0)+IF(CA179="同学校",$FA$24*$FA$43/3,0)+IF(CA179="同小队",$FA$24*$FA$46/3,0)+IF(CA179="同type",$FA$24*INDEX($FB$49:$FB$52,MATCH(X179,$FA$49:$FA$52,))/3,0)+IF(CA179="自身",#REF!/3,0)),0)+IF(BZ179="te",CB179*(1-$FI$27)*($FA$20-1)*$FB$7/$FB$13*(+IF(CA179="全员",$FA$19*$FA$24/(1+($FA$20-1)*$FA$19),0)+IF(CA179="同作战",$FA$19*$FA$24/(1+($FA$20-1)*$FA$19),0)+IF(CA179="仲间",$FA$19*$FA$24*2/3/(1+($FA$20-1)*$FA$19),0)+IF(CA179="同属性",$FA$19*$FA$24*$FA$37/3/(1+($FA$20-1)*$FA$19),0)+IF(CA179="同年级",$FA$19*$FA$24*$FA$40/3/(1+($FA$20-1)*$FA$19),0)+IF(CA179="同学校",$FA$19*$FA$24*$FA$43/3/(1+($FA$20-1)*$FA$19),0)+IF(CA179="同小队",$FA$19*$FA$24*$FA$46/3/(1+($FA$20-1)*$FA$19),0)+IF(CA179="同type",$FA$19*$FA$24*INDEX($FB$49:$FB$52,MATCH(X179,$FA$49:$FA$52,))/3/(1+($FA$20-1)*$FA$19),0)+IF(CA179="自身",$FA$19*#REF!/3/(1+(BH179-1)*$BD179),0)),0)</f>
        <v>0</v>
      </c>
      <c r="CE179" s="1097">
        <f t="shared" si="214"/>
        <v>0</v>
      </c>
      <c r="CF179" s="1112">
        <f t="shared" si="215"/>
        <v>0</v>
      </c>
      <c r="CG179" s="1100">
        <f t="shared" si="216"/>
        <v>0</v>
      </c>
      <c r="CH179" s="1110">
        <f t="shared" si="217"/>
        <v>0</v>
      </c>
      <c r="CI179" s="1113" t="s">
        <v>164</v>
      </c>
      <c r="CJ179" s="1114">
        <v>0.3</v>
      </c>
      <c r="CK179" s="1115" t="s">
        <v>585</v>
      </c>
      <c r="CL179" s="1115" t="s">
        <v>161</v>
      </c>
      <c r="CM179" s="1119">
        <v>0.03</v>
      </c>
      <c r="CN179" s="1115" t="s">
        <v>163</v>
      </c>
      <c r="CO179" s="1092">
        <v>1</v>
      </c>
      <c r="CP179" s="1118">
        <f t="shared" si="218"/>
        <v>1.6890775714285714E-2</v>
      </c>
      <c r="CQ179" s="1118">
        <f t="shared" si="219"/>
        <v>1.6890775714285714E-2</v>
      </c>
      <c r="CR179" s="1118">
        <f t="shared" si="220"/>
        <v>1.6890775714285714E-2</v>
      </c>
      <c r="CS179" s="1118">
        <f t="shared" si="221"/>
        <v>0</v>
      </c>
      <c r="CT179" s="1109">
        <f t="shared" si="222"/>
        <v>0</v>
      </c>
      <c r="CU179" s="1101">
        <f t="shared" si="223"/>
        <v>2296.8571974156039</v>
      </c>
      <c r="CV179" s="1108">
        <f t="shared" si="224"/>
        <v>110.89760883852497</v>
      </c>
      <c r="CW179" s="1097">
        <f t="shared" si="225"/>
        <v>2296.8571974156039</v>
      </c>
      <c r="CX179" s="1097">
        <f t="shared" si="226"/>
        <v>2296.8571974156039</v>
      </c>
      <c r="CY179" s="1110">
        <f t="shared" si="227"/>
        <v>2296.8571974156039</v>
      </c>
      <c r="CZ179" s="437"/>
      <c r="DA179" s="438"/>
      <c r="DB179" s="439" t="s">
        <v>569</v>
      </c>
      <c r="DC179" s="439"/>
      <c r="DD179" s="443"/>
      <c r="DE179" s="411"/>
      <c r="DF179" s="411"/>
      <c r="DG179" s="1116">
        <f t="shared" si="228"/>
        <v>0</v>
      </c>
      <c r="DH179" s="1116">
        <f t="shared" si="229"/>
        <v>0</v>
      </c>
      <c r="DI179" s="1116">
        <f t="shared" si="230"/>
        <v>0</v>
      </c>
      <c r="DJ179" s="442">
        <f t="shared" si="231"/>
        <v>0</v>
      </c>
      <c r="DK179" s="1109">
        <f t="shared" si="232"/>
        <v>0</v>
      </c>
      <c r="DL179" s="1101">
        <f t="shared" si="233"/>
        <v>0</v>
      </c>
      <c r="DM179" s="1097">
        <f t="shared" si="234"/>
        <v>0</v>
      </c>
      <c r="DN179" s="1097">
        <f t="shared" si="235"/>
        <v>0</v>
      </c>
      <c r="DO179" s="1097">
        <f t="shared" si="236"/>
        <v>0</v>
      </c>
      <c r="DP179" s="1110">
        <f t="shared" si="237"/>
        <v>0</v>
      </c>
      <c r="DQ179" s="1113" t="s">
        <v>256</v>
      </c>
      <c r="DR179" s="1120">
        <f t="shared" si="238"/>
        <v>0.3</v>
      </c>
      <c r="DS179" s="1124"/>
      <c r="DT179" s="1093" t="s">
        <v>559</v>
      </c>
      <c r="DU179" s="1093"/>
      <c r="DV179" s="1098">
        <f>IF($P179="","N/A",IF(P179=-1,INDEX('卡片raw data'!AN:AN,MATCH(D179,'卡片raw data'!$F:$F,)),0)+IF(AND(L179&lt;&gt;"party卡",P179&lt;=2,P179&gt;=0),INDEX('卡片raw data'!AP:AP,MATCH(D179,'卡片raw data'!$F:$F,)),0)+IF(OR(AND(L179="party卡",P179&lt;=1),AND(P179&lt;=4,L179&lt;&gt;"party卡",P179&gt;=3)),INDEX('卡片raw data'!AQ:AQ,MATCH(D179,'卡片raw data'!$F:$F,)),0)+IF(OR(P179=5,AND(L179="party卡",P179&gt;=2)),INDEX('卡片raw data'!AR:AR,MATCH(D179,'卡片raw data'!$F:$F,)),0))</f>
        <v>0.22</v>
      </c>
      <c r="DW179" s="1098">
        <f t="shared" si="239"/>
        <v>0.3</v>
      </c>
      <c r="DX179" s="1098">
        <f t="shared" si="240"/>
        <v>0.3</v>
      </c>
      <c r="DY179" s="1125">
        <f t="shared" si="241"/>
        <v>411.29113546839994</v>
      </c>
      <c r="DZ179" s="1125">
        <f t="shared" si="242"/>
        <v>321.38169040060512</v>
      </c>
      <c r="EA179" s="1098">
        <f t="shared" si="243"/>
        <v>0</v>
      </c>
      <c r="EB179" s="1121">
        <f t="shared" si="244"/>
        <v>0</v>
      </c>
      <c r="EC179" s="1101">
        <f t="shared" si="245"/>
        <v>588.14632371981202</v>
      </c>
      <c r="ED179" s="1097">
        <f t="shared" si="246"/>
        <v>0</v>
      </c>
      <c r="EE179" s="1110">
        <f t="shared" si="247"/>
        <v>588.14632371981202</v>
      </c>
      <c r="EF179" s="1092" t="s">
        <v>711</v>
      </c>
      <c r="EG179" s="1120">
        <f t="shared" si="248"/>
        <v>0.3</v>
      </c>
      <c r="EH179" s="1124"/>
      <c r="EI179" s="1093"/>
      <c r="EJ179" s="1093"/>
      <c r="EK179" s="1097">
        <f>IF($P179="","N/A",IF(P179=-1,INDEX('卡片raw data'!AS:AS,MATCH(D179,'卡片raw data'!$F:$F,)),0)+IF(AND(L179&lt;&gt;"party卡",P179&lt;=2,P179&gt;=0),INDEX('卡片raw data'!AU:AU,MATCH(D179,'卡片raw data'!$F:$F,)),0)+IF(OR(AND(L179="party卡",P179&lt;=1),AND(P179&lt;=4,L179&lt;&gt;"party卡",P179&gt;=3)),INDEX('卡片raw data'!AV:AV,MATCH(D179,'卡片raw data'!$F:$F,)),0)+IF(OR(P179=5,AND(L179="party卡",P179&gt;=2)),INDEX('卡片raw data'!AW:AW,MATCH(D179,'卡片raw data'!$F:$F,)),0))</f>
        <v>0</v>
      </c>
      <c r="EL179" s="1098">
        <f t="shared" si="249"/>
        <v>0.3</v>
      </c>
      <c r="EM179" s="1098">
        <f t="shared" si="250"/>
        <v>0.3</v>
      </c>
      <c r="EN179" s="1125">
        <f t="shared" si="251"/>
        <v>0</v>
      </c>
      <c r="EO179" s="1125">
        <f t="shared" si="252"/>
        <v>0</v>
      </c>
      <c r="EP179" s="1098">
        <f t="shared" si="253"/>
        <v>0</v>
      </c>
      <c r="EQ179" s="1121">
        <f t="shared" si="254"/>
        <v>0</v>
      </c>
      <c r="ER179" s="1101">
        <f t="shared" si="255"/>
        <v>0</v>
      </c>
      <c r="ES179" s="1097">
        <f t="shared" si="256"/>
        <v>0</v>
      </c>
      <c r="ET179" s="1122">
        <f t="shared" si="257"/>
        <v>0</v>
      </c>
    </row>
    <row r="180" spans="2:150" ht="16.5" customHeight="1">
      <c r="B180" s="1123" t="str">
        <f>INDEX('卡片raw data'!B:B,MATCH($D180,'卡片raw data'!$F:$F,))</f>
        <v>龙宫爱</v>
      </c>
      <c r="C180" s="449" t="s">
        <v>22</v>
      </c>
      <c r="D180" s="408">
        <v>177</v>
      </c>
      <c r="E180" s="1090">
        <v>402053001</v>
      </c>
      <c r="F180" s="1090" t="str">
        <f>INDEX('卡片raw data'!C:C,MATCH($D180,'卡片raw data'!$F:$F,))</f>
        <v>UR</v>
      </c>
      <c r="G180" s="1094" t="s">
        <v>47</v>
      </c>
      <c r="H180" s="411">
        <f>IFERROR(INDEX(绊状态确认!C:C,MATCH($G180,绊状态确认!$B:$B,)),"")</f>
        <v>205</v>
      </c>
      <c r="I180" s="450" t="str">
        <f>IFERROR(INDEX(绊状态确认!D:D,MATCH($G180,绊状态确认!$B:$B,)),"")</f>
        <v>虹</v>
      </c>
      <c r="J180" s="450" t="str">
        <f>IFERROR(INDEX(绊状态确认!E:E,MATCH($G180,绊状态确认!$B:$B,)),"")</f>
        <v>2年级</v>
      </c>
      <c r="K180" s="451" t="str">
        <f>IFERROR(INDEX(绊状态确认!F:F,MATCH($G180,绊状态确认!$B:$B,)),"")</f>
        <v>Diver Diva</v>
      </c>
      <c r="L180" s="1094" t="str">
        <f>INDEX('卡片raw data'!E:E,MATCH($D180,'卡片raw data'!$F:$F,))</f>
        <v>卡池卡</v>
      </c>
      <c r="M180" s="415">
        <v>43881</v>
      </c>
      <c r="N180" s="416">
        <v>10</v>
      </c>
      <c r="O180" s="1091" t="str">
        <f>INDEX('卡片raw data'!D:D,MATCH($D180,'卡片raw data'!$F:$F,))</f>
        <v>gd</v>
      </c>
      <c r="P180" s="417">
        <v>5</v>
      </c>
      <c r="Q180" s="1095">
        <f t="shared" si="173"/>
        <v>39195.778421848758</v>
      </c>
      <c r="R180" s="1096">
        <f t="shared" si="174"/>
        <v>0.45500000000000002</v>
      </c>
      <c r="S180" s="1097">
        <f t="shared" si="175"/>
        <v>17649.613392361964</v>
      </c>
      <c r="T180" s="1098">
        <f t="shared" si="176"/>
        <v>0.88200000000000001</v>
      </c>
      <c r="U180" s="1099">
        <f t="shared" si="177"/>
        <v>670.00654707533931</v>
      </c>
      <c r="V180" s="1100">
        <f t="shared" si="178"/>
        <v>90756.837536128005</v>
      </c>
      <c r="W180" s="1101">
        <f t="shared" si="179"/>
        <v>4507.7214871259994</v>
      </c>
      <c r="X180" s="1096">
        <f t="shared" si="180"/>
        <v>5.1999999999999998E-2</v>
      </c>
      <c r="Y180" s="1097">
        <f t="shared" si="181"/>
        <v>2059.9008599710478</v>
      </c>
      <c r="Z180" s="1102">
        <f t="shared" si="182"/>
        <v>23.277074056971429</v>
      </c>
      <c r="AA180" s="1103">
        <f t="shared" si="183"/>
        <v>6567.6223470970472</v>
      </c>
      <c r="AB180" s="1101">
        <f t="shared" si="184"/>
        <v>8264.1560597309999</v>
      </c>
      <c r="AC180" s="1104">
        <f t="shared" si="185"/>
        <v>9.6000000000000002E-2</v>
      </c>
      <c r="AD180" s="1105">
        <f t="shared" si="186"/>
        <v>0</v>
      </c>
      <c r="AE180" s="1128">
        <f t="shared" si="187"/>
        <v>-6.25</v>
      </c>
      <c r="AF180" s="1130">
        <f t="shared" si="188"/>
        <v>8796.0590216803175</v>
      </c>
      <c r="AG180" s="420">
        <f t="shared" si="189"/>
        <v>96894.705880160007</v>
      </c>
      <c r="AH180" s="420">
        <f t="shared" si="190"/>
        <v>11.015695283687414</v>
      </c>
      <c r="AI180" s="1097">
        <f t="shared" si="191"/>
        <v>109641.78493034746</v>
      </c>
      <c r="AJ180" s="420">
        <f t="shared" si="192"/>
        <v>90756.837536128005</v>
      </c>
      <c r="AK180" s="518">
        <f t="shared" si="193"/>
        <v>18884.94739421946</v>
      </c>
      <c r="AL180" s="1106">
        <f>IF($P180="","N/A",(IF($P180=-1,INDEX('卡片raw data'!S:S,MATCH($D180,'卡片raw data'!$F:$F,)),0)+IF($P180=0,INDEX('卡片raw data'!V:V,MATCH($D180,'卡片raw data'!$F:$F,)),0)+IF($P180=1,INDEX('卡片raw data'!Y:Y,MATCH($D180,'卡片raw data'!$F:$F,)),0)+IF($P180=2,INDEX('卡片raw data'!AB:AB,MATCH($D180,'卡片raw data'!$F:$F,)),0)+IF($P180=3,INDEX('卡片raw data'!AE:AE,MATCH($D180,'卡片raw data'!$F:$F,)),0)+IF($P180=4,INDEX('卡片raw data'!AH:AH,MATCH($D180,'卡片raw data'!$F:$F,)),0)+IF($P180=5,INDEX('卡片raw data'!AK:AK,MATCH($D180,'卡片raw data'!$F:$F,)),0)+INDEX('卡片raw data'!S:S,MATCH($D180,'卡片raw data'!$F:$F,))*(IF($F180="UR",0.04,0.033))*(IF($F180="UR",INDEX(绊状态确认!$S:$S,MATCH($G180,绊状态确认!$B:$B,))/2-40)+IF($F180="SR",INDEX(绊状态确认!$R:$R,MATCH($G180,绊状态确认!$B:$B,))/4-15))+IF($F180="R",INDEX(绊状态确认!$Q:$Q,MATCH($G180,绊状态确认!$B:$B,))/6-40/6)))*(INDEX(绊状态确认!$H:$H,MATCH($G180,绊状态确认!$B:$B,))+INDEX(绊状态确认!J:J,MATCH($G180,绊状态确认!$B:$B,)))</f>
        <v>10333.148831999997</v>
      </c>
      <c r="AM180" s="1106">
        <f>IF($P180="","N/A",(IF($P180=-1,INDEX('卡片raw data'!T:T,MATCH($D180,'卡片raw data'!$F:$F,)),0)+IF($P180=0,INDEX('卡片raw data'!W:W,MATCH($D180,'卡片raw data'!$F:$F,)),0)+IF($P180=1,INDEX('卡片raw data'!Z:Z,MATCH($D180,'卡片raw data'!$F:$F,)),0)+IF($P180=2,INDEX('卡片raw data'!AC:AC,MATCH($D180,'卡片raw data'!$F:$F,)),0)+IF($P180=3,INDEX('卡片raw data'!AF:AF,MATCH($D180,'卡片raw data'!$F:$F,)),0)+IF($P180=4,INDEX('卡片raw data'!AI:AI,MATCH($D180,'卡片raw data'!$F:$F,)),0)+IF($P180=5,INDEX('卡片raw data'!AL:AL,MATCH($D180,'卡片raw data'!$F:$F,)),0)+INDEX('卡片raw data'!T:T,MATCH($D180,'卡片raw data'!$F:$F,))*(IF($F180="UR",0.04,0.033))*(IF($F180="UR",INDEX(绊状态确认!$S:$S,MATCH($G180,绊状态确认!$B:$B,))/2-40)+IF($F180="SR",INDEX(绊状态确认!$R:$R,MATCH($G180,绊状态确认!$B:$B,))/4-15))+IF($F180="R",INDEX(绊状态确认!$Q:$Q,MATCH($G180,绊状态确认!$B:$B,))/6-40/6)))*(INDEX(绊状态确认!$H:$H,MATCH($G180,绊状态确认!$B:$B,))+INDEX(绊状态确认!K:K,MATCH($G180,绊状态确认!$B:$B,)))</f>
        <v>10958.805215999999</v>
      </c>
      <c r="AN180" s="1106">
        <f>IF($P180="","N/A",(IF($P180=-1,INDEX('卡片raw data'!U:U,MATCH($D180,'卡片raw data'!$F:$F,)),0)+IF($P180=0,INDEX('卡片raw data'!X:X,MATCH($D180,'卡片raw data'!$F:$F,)),0)+IF($P180=1,INDEX('卡片raw data'!AA:AA,MATCH($D180,'卡片raw data'!$F:$F,)),0)+IF($P180=2,INDEX('卡片raw data'!AD:AD,MATCH($D180,'卡片raw data'!$F:$F,)),0)+IF($P180=3,INDEX('卡片raw data'!AG:AG,MATCH($D180,'卡片raw data'!$F:$F,)),0)+IF($P180=4,INDEX('卡片raw data'!AJ:AJ,MATCH($D180,'卡片raw data'!$F:$F,)),0)+IF($P180=5,INDEX('卡片raw data'!AM:AM,MATCH($D180,'卡片raw data'!$F:$F,)),0)+INDEX('卡片raw data'!U:U,MATCH($D180,'卡片raw data'!$F:$F,))*(IF($F180="UR",0.04,0.033))*(IF($F180="UR",INDEX(绊状态确认!$S:$S,MATCH($G180,绊状态确认!$B:$B,))/2-40)+IF($F180="SR",INDEX(绊状态确认!$R:$R,MATCH($G180,绊状态确认!$B:$B,))/4-15))+IF($F180="R",INDEX(绊状态确认!$Q:$Q,MATCH($G180,绊状态确认!$B:$B,))/6-40/6)))*(INDEX(绊状态确认!$H:$H,MATCH($G180,绊状态确认!$B:$B,))+INDEX(绊状态确认!L:L,MATCH($G180,绊状态确认!$B:$B,)))</f>
        <v>10021.457039999999</v>
      </c>
      <c r="AO180" s="1107">
        <f t="shared" si="194"/>
        <v>1</v>
      </c>
      <c r="AP180" s="1131">
        <f>1+(INDEX(绊状态确认!$T:$T,MATCH($G180,绊状态确认!$B:$B,))+0.2)*$AO180</f>
        <v>1.3</v>
      </c>
      <c r="AQ180" s="1108">
        <f t="shared" si="195"/>
        <v>30374.515683999995</v>
      </c>
      <c r="AR180" s="1097">
        <f>(AM180*(1+$EX$9)+$EX$35)*(1+(INDEX(绊状态确认!$T:$T,MATCH($G180,绊状态确认!$B:$B,))+0.2)*AO180)*IF(J180=$FF$17,1+$FE$17,1)*IF(I180=$FF$14,1+$FE$14,1)*(1+$FE$15)</f>
        <v>17662.769119839999</v>
      </c>
      <c r="AS180" s="1097">
        <f>(AN180*(1+$EX$10)+$EX$36)*(1+(INDEX(绊状态确认!$T:$T,MATCH($G180,绊状态确认!$B:$B,))+0.2)*AO180)*IF(J180=$FF$17,1+$FE$17,1)*IF(I180=$FF$14,1+$FE$14,1)*(1+$FE$15)</f>
        <v>19038.078274799998</v>
      </c>
      <c r="AT180" s="1093">
        <f>IF(AND(INDEX('卡片raw data'!AK:AK,MATCH($D180,'卡片raw data'!$F:$F,))&lt;INDEX('卡片raw data'!AM:AM,MATCH($D180,'卡片raw data'!$F:$F,)),INDEX('卡片raw data'!AL:AL,MATCH($D180,'卡片raw data'!$F:$F,))&lt;INDEX('卡片raw data'!AM:AM,MATCH($D180,'卡片raw data'!$F:$F,))),1,0)</f>
        <v>0</v>
      </c>
      <c r="AU180" s="1098">
        <f>MIN(AT180*0.15+AS180*0.00003+INDEX(绊状态确认!M:M,MATCH($G180,绊状态确认!$B:$B,)),1)</f>
        <v>0.60114234824400004</v>
      </c>
      <c r="AV180" s="1109">
        <f>(INDEX(绊状态确认!$N:$N,MATCH($G180,绊状态确认!$B:$B,))+1.5)*$EW$21</f>
        <v>2.6599999999999997</v>
      </c>
      <c r="AW180" s="1101">
        <f t="shared" si="196"/>
        <v>31516.622362117756</v>
      </c>
      <c r="AX180" s="1097">
        <f t="shared" si="197"/>
        <v>1531.4332521378924</v>
      </c>
      <c r="AY180" s="1110">
        <f t="shared" si="198"/>
        <v>33048.055614255645</v>
      </c>
      <c r="AZ180" s="429">
        <f t="shared" si="199"/>
        <v>22749.640222399994</v>
      </c>
      <c r="BA180" s="431">
        <f t="shared" si="200"/>
        <v>27299.568266879993</v>
      </c>
      <c r="BB180" s="1097">
        <f>(AM180*(1+$FB$9)+$FB$35)*(1+(INDEX(绊状态确认!$T:$T,MATCH($G180,绊状态确认!$B:$B,))+0.2)*AO180)*IF(J180=$FF$17,1+$FE$17,1)*IF(I180=$FF$14,1+$FE$14,1)*(1+$FE$15)</f>
        <v>17662.769119839999</v>
      </c>
      <c r="BC180" s="1097">
        <f>(AN180*(1+$FB$10)+$FB$36)*(1+(INDEX(绊状态确认!$T:$T,MATCH($G180,绊状态确认!$B:$B,))+0.2)*AO180)*IF(J180=$FF$17,1+$FE$17,1)*IF(I180=$FF$14,1+$FE$14,1)*(1+$FE$15)</f>
        <v>19038.078274799998</v>
      </c>
      <c r="BD180" s="1104">
        <f>MIN(AT180*0.15+BC180*0.00003+INDEX(绊状态确认!M:M,MATCH($G180,绊状态确认!$B:$B,)),1)</f>
        <v>0.60114234824400004</v>
      </c>
      <c r="BE180" s="432">
        <f>(INDEX(绊状态确认!$N:$N,MATCH($G180,绊状态确认!$B:$B,))+1.5)</f>
        <v>1.9</v>
      </c>
      <c r="BF180" s="1139">
        <f t="array" ref="BF180">SUMPRODUCT(IF(AZ180*AP180*$FI$16:$FI$23*$FA$22&gt;=$FI$24,$FI$24,AZ180*AP180*$FI$16:$FI$23*$FA$22),$FJ$16:$FJ$23)</f>
        <v>45249.034402353602</v>
      </c>
      <c r="BG180" s="1125">
        <f t="array" ref="BG180">SUMPRODUCT(IF(BE180*AZ180*AP180*$FI$16:$FI$23*$FA$22&gt;=$FI$24,$FI$24,BE180*AZ180*AP180*$FI$16:$FI$23*$FA$22),$FJ$16:$FJ$23)</f>
        <v>60000</v>
      </c>
      <c r="BH180" s="1110">
        <f t="shared" si="201"/>
        <v>18038.821500196409</v>
      </c>
      <c r="BI180" s="1111">
        <f>IF(O180="vo",$EW$26/$EW$24*0.05,0)+IF(O180="sk",-$EW$26/$EW$24*(0.05-INDEX(绊状态确认!W:W,MATCH($G180,绊状态确认!$B:$B,)))+0.05*$EW$28,0)+IF(O180="sp",0.05*$EW$32*$EW$30*(1-$EW$33)-(0.05-INDEX(绊状态确认!V:V,MATCH($G180,绊状态确认!$B:$B,)))*$EW$28,0)+IF(O180="gd",-(0.05-INDEX(绊状态确认!X:X,MATCH($G180,绊状态确认!$B:$B,)))*$EW$32*$EW$30*(1-$EW$33),0)</f>
        <v>-585.00000000000011</v>
      </c>
      <c r="BJ180" s="1097">
        <f>IF(O180="vo",0.05*(1-$FI$26)*$FA$24,0)+IF(O180="sk",-(0.05-INDEX(绊状态确认!W:W,MATCH($G180,绊状态确认!$B:$B,)))*(1-$FI$26)*$FA$24+0.05*$FA$26,0)+IF(O180="sp",0.05*$FA$32*$FA$27*(1-$FA$33)/$FA$30+0.05*$FA$29/$FA$69*$FA$27*(1-$FA$33)-(0.05-INDEX(绊状态确认!V:V,MATCH($G180,绊状态确认!$B:$B,)))*$FA$26,0)+IF(O180="gd",-(0.05-INDEX(绊状态确认!X:X,MATCH($G180,绊状态确认!$B:$B,)))*$FA$32*$FA$27*(1-$FA$33)/$FA$30-(0.05-INDEX(绊状态确认!X:X,MATCH($G180,绊状态确认!$B:$B,)))*$FA$29/$FA$69*$FA$27*(1-$FA$33),0)</f>
        <v>-795.00000000000011</v>
      </c>
      <c r="BK180" s="1110">
        <f>IF(O180="vo",$EW$26/$EW$24*0.05+$EW$26*(-HP($EW$62,$EW$65,$EW$64)+HP($EW$62,$EW$65,(1.05-INDEX(绊状态确认!U:U,MATCH($G180,绊状态确认!$B:$B,)))*$EW$64)),0)+IF(O180="sk",-$EW$26/$EW$24*(0.05-INDEX(绊状态确认!W:W,MATCH($G180,绊状态确认!$B:$B,)))+0.05*$EW$29,0)+IF(O180="sp",0.05*$EW$32*$EW$30*(1-$EW$33)-(0.05-INDEX(绊状态确认!V:V,MATCH($G180,绊状态确认!$B:$B,)))*$EW$29,0)+IF(O180="gd",-(0.05-INDEX(绊状态确认!X:X,MATCH($G180,绊状态确认!$B:$B,)))*$EW$32*$EW$30*(1-$EW$33)+$EW$26*(-HP($EW$62,$EW$65,$EW$64)+HP($EW$62,$EW$65,0.95*$EW$64)),0)</f>
        <v>1009.5947725176144</v>
      </c>
      <c r="BL180" s="1111">
        <f t="shared" si="202"/>
        <v>0</v>
      </c>
      <c r="BM180" s="1110">
        <f t="shared" si="203"/>
        <v>0</v>
      </c>
      <c r="BN180" s="1113">
        <f t="shared" si="204"/>
        <v>3</v>
      </c>
      <c r="BO180" s="1097">
        <f t="shared" si="205"/>
        <v>4507.7214871259994</v>
      </c>
      <c r="BP180" s="1100">
        <f t="shared" si="206"/>
        <v>221.34103209030098</v>
      </c>
      <c r="BQ180" s="1113" t="s">
        <v>143</v>
      </c>
      <c r="BR180" s="1124" t="s">
        <v>146</v>
      </c>
      <c r="BS180" s="1098">
        <f>IF($P180="","N/A",IF($P180=-1,INDEX('卡片raw data'!AX:AX,MATCH($D180,'卡片raw data'!$F:$F,)),0)+IF($L180="party卡",IF($P180=5,INDEX('卡片raw data'!BD:BD,MATCH($D180,'卡片raw data'!$F:$F,)),IF($P180&gt;=3,INDEX('卡片raw data'!BC:BC,MATCH($D180,'卡片raw data'!$F:$F,)),INDEX('卡片raw data'!BB:BB,MATCH($D180,'卡片raw data'!$F:$F,)))),IF(OR(AND($F180="UR",$P180=0),AND($F180="SR",$P180&gt;=0,$P180&lt;=2),AND($F180="R",$P180&gt;=0,$P180&lt;4)),INDEX('卡片raw data'!AZ:AZ,MATCH($D180,'卡片raw data'!$F:$F,)),0)+IF(OR(AND($F180="UR",$P180&gt;=1,$P180&lt;=4),AND($F180="SR",$P180&lt;=4,$P180&gt;=3),AND($F180="R",$P180=4)),INDEX('卡片raw data'!BA:BA,MATCH($D180,'卡片raw data'!$F:$F,)),0)+IF($P180=5,INDEX('卡片raw data'!BB:BB,MATCH($D180,'卡片raw data'!$F:$F,)),0)))</f>
        <v>0.05</v>
      </c>
      <c r="BT180" s="1101">
        <f t="shared" si="207"/>
        <v>3756.4345726050001</v>
      </c>
      <c r="BU180" s="1097">
        <f t="shared" si="208"/>
        <v>184.45086007525089</v>
      </c>
      <c r="BV180" s="1097">
        <f t="shared" si="209"/>
        <v>0</v>
      </c>
      <c r="BW180" s="1112">
        <f t="shared" si="210"/>
        <v>0</v>
      </c>
      <c r="BX180" s="1100">
        <f t="shared" si="211"/>
        <v>3756.4345726050001</v>
      </c>
      <c r="BY180" s="1110">
        <f t="shared" si="212"/>
        <v>0</v>
      </c>
      <c r="BZ180" s="1107" t="s">
        <v>569</v>
      </c>
      <c r="CA180" s="1124"/>
      <c r="CB180" s="1098">
        <f>IF($P180="","N/A",IF($P180=-1,INDEX('卡片raw data'!BE:BE,MATCH($D180,'卡片raw data'!$F:$F,)),0)+IF($L180="party卡",IF($P180=5,INDEX('卡片raw data'!BK:BK,MATCH($D180,'卡片raw data'!$F:$F,)),IF($P180&gt;=3,INDEX('卡片raw data'!BJ:BJ,MATCH($D180,'卡片raw data'!$F:$F,)),INDEX('卡片raw data'!BI:BI,MATCH($D180,'卡片raw data'!$F:$F,)))),IF(OR(AND($F180="UR",$P180=0),AND($F180="SR",$P180&gt;=0,$P180&lt;=2),AND($F180="R",$P180&gt;=0,$P180&lt;4)),INDEX('卡片raw data'!BG:BG,MATCH($D180,'卡片raw data'!$F:$F,)),0)+IF(OR(AND($F180="UR",$P180&gt;=1,$P180&lt;=4),AND($F180="SR",$P180&lt;=4,$P180&gt;=3),AND($F180="R",$P180=4)),INDEX('卡片raw data'!BH:BH,MATCH($D180,'卡片raw data'!$F:$F,)),0)+IF($P180=5,INDEX('卡片raw data'!BI:BI,MATCH($D180,'卡片raw data'!$F:$F,)),0)))</f>
        <v>0</v>
      </c>
      <c r="CC180" s="1101">
        <f t="shared" si="213"/>
        <v>0</v>
      </c>
      <c r="CD180" s="1097">
        <f>IF(BZ180="ap",CB180*(1-$FI$26)*$FB$5/$FB$11*(+IF(CA180="全员",$FA$24,0)+IF(CA180="同作战",$FA$24,0)+IF(CA180="仲间",$FA$24*2/3,0)+IF(CA180="同属性",$FA$24*$FA$37/3,0)+IF(CA180="同年级",$FA$24*$FA$40/3,0)+IF(CA180="同学校",$FA$24*$FA$43/3,0)+IF(CA180="同小队",$FA$24*$FA$46/3,0)+IF(CA180="同type",$FA$24*INDEX($FB$49:$FB$52,MATCH(X180,$FA$49:$FA$52,))/3,0)+IF(CA180="自身",#REF!/3,0)),0)+IF(BZ180="te",CB180*(1-$FI$27)*($FA$20-1)*$FB$7/$FB$13*(+IF(CA180="全员",$FA$19*$FA$24/(1+($FA$20-1)*$FA$19),0)+IF(CA180="同作战",$FA$19*$FA$24/(1+($FA$20-1)*$FA$19),0)+IF(CA180="仲间",$FA$19*$FA$24*2/3/(1+($FA$20-1)*$FA$19),0)+IF(CA180="同属性",$FA$19*$FA$24*$FA$37/3/(1+($FA$20-1)*$FA$19),0)+IF(CA180="同年级",$FA$19*$FA$24*$FA$40/3/(1+($FA$20-1)*$FA$19),0)+IF(CA180="同学校",$FA$19*$FA$24*$FA$43/3/(1+($FA$20-1)*$FA$19),0)+IF(CA180="同小队",$FA$19*$FA$24*$FA$46/3/(1+($FA$20-1)*$FA$19),0)+IF(CA180="同type",$FA$19*$FA$24*INDEX($FB$49:$FB$52,MATCH(X180,$FA$49:$FA$52,))/3/(1+($FA$20-1)*$FA$19),0)+IF(CA180="自身",$FA$19*#REF!/3/(1+(BH180-1)*$BD180),0)),0)</f>
        <v>0</v>
      </c>
      <c r="CE180" s="1097">
        <f t="shared" si="214"/>
        <v>0</v>
      </c>
      <c r="CF180" s="1112">
        <f t="shared" si="215"/>
        <v>0</v>
      </c>
      <c r="CG180" s="1100">
        <f t="shared" si="216"/>
        <v>0</v>
      </c>
      <c r="CH180" s="1110">
        <f t="shared" si="217"/>
        <v>0</v>
      </c>
      <c r="CI180" s="1113" t="s">
        <v>160</v>
      </c>
      <c r="CJ180" s="1114">
        <v>0.5</v>
      </c>
      <c r="CK180" s="1115" t="s">
        <v>158</v>
      </c>
      <c r="CL180" s="1115" t="s">
        <v>161</v>
      </c>
      <c r="CM180" s="1119">
        <v>0.05</v>
      </c>
      <c r="CN180" s="1115">
        <v>10</v>
      </c>
      <c r="CO180" s="1092"/>
      <c r="CP180" s="1118">
        <f t="shared" si="218"/>
        <v>1.3392857142857142E-2</v>
      </c>
      <c r="CQ180" s="1118">
        <f t="shared" si="219"/>
        <v>2.7777777777777776E-2</v>
      </c>
      <c r="CR180" s="1118">
        <f t="shared" si="220"/>
        <v>1.3392857142857142E-2</v>
      </c>
      <c r="CS180" s="1118">
        <f t="shared" si="221"/>
        <v>0</v>
      </c>
      <c r="CT180" s="1109">
        <f t="shared" si="222"/>
        <v>0</v>
      </c>
      <c r="CU180" s="1101">
        <f t="shared" si="223"/>
        <v>0</v>
      </c>
      <c r="CV180" s="1108">
        <f t="shared" si="224"/>
        <v>0</v>
      </c>
      <c r="CW180" s="1097">
        <f t="shared" si="225"/>
        <v>0</v>
      </c>
      <c r="CX180" s="1097">
        <f t="shared" si="226"/>
        <v>0</v>
      </c>
      <c r="CY180" s="1110">
        <f t="shared" si="227"/>
        <v>528.46760783315506</v>
      </c>
      <c r="CZ180" s="437"/>
      <c r="DA180" s="438"/>
      <c r="DB180" s="439" t="s">
        <v>569</v>
      </c>
      <c r="DC180" s="439"/>
      <c r="DD180" s="443"/>
      <c r="DE180" s="411"/>
      <c r="DF180" s="411"/>
      <c r="DG180" s="1116">
        <f t="shared" si="228"/>
        <v>0</v>
      </c>
      <c r="DH180" s="1116">
        <f t="shared" si="229"/>
        <v>0</v>
      </c>
      <c r="DI180" s="1116">
        <f t="shared" si="230"/>
        <v>0</v>
      </c>
      <c r="DJ180" s="442">
        <f t="shared" si="231"/>
        <v>0</v>
      </c>
      <c r="DK180" s="1109">
        <f t="shared" si="232"/>
        <v>0</v>
      </c>
      <c r="DL180" s="1101">
        <f t="shared" si="233"/>
        <v>0</v>
      </c>
      <c r="DM180" s="1097">
        <f t="shared" si="234"/>
        <v>0</v>
      </c>
      <c r="DN180" s="1097">
        <f t="shared" si="235"/>
        <v>0</v>
      </c>
      <c r="DO180" s="1097">
        <f t="shared" si="236"/>
        <v>0</v>
      </c>
      <c r="DP180" s="1110">
        <f t="shared" si="237"/>
        <v>0</v>
      </c>
      <c r="DQ180" s="1113" t="s">
        <v>636</v>
      </c>
      <c r="DR180" s="1120">
        <f t="shared" si="238"/>
        <v>0.33</v>
      </c>
      <c r="DS180" s="1124"/>
      <c r="DT180" s="1093" t="s">
        <v>133</v>
      </c>
      <c r="DU180" s="1093"/>
      <c r="DV180" s="1098">
        <f>IF($P180="","N/A",IF(P180=-1,INDEX('卡片raw data'!AN:AN,MATCH(D180,'卡片raw data'!$F:$F,)),0)+IF(AND(L180&lt;&gt;"party卡",P180&lt;=2,P180&gt;=0),INDEX('卡片raw data'!AP:AP,MATCH(D180,'卡片raw data'!$F:$F,)),0)+IF(OR(AND(L180="party卡",P180&lt;=1),AND(P180&lt;=4,L180&lt;&gt;"party卡",P180&gt;=3)),INDEX('卡片raw data'!AQ:AQ,MATCH(D180,'卡片raw data'!$F:$F,)),0)+IF(OR(P180=5,AND(L180="party卡",P180&gt;=2)),INDEX('卡片raw data'!AR:AR,MATCH(D180,'卡片raw data'!$F:$F,)),0))</f>
        <v>0.32</v>
      </c>
      <c r="DW180" s="1098">
        <f t="shared" si="239"/>
        <v>0.33</v>
      </c>
      <c r="DX180" s="1098">
        <f t="shared" si="240"/>
        <v>0.33</v>
      </c>
      <c r="DY180" s="1125">
        <f t="shared" si="241"/>
        <v>621.72947301836791</v>
      </c>
      <c r="DZ180" s="1125">
        <f t="shared" si="242"/>
        <v>537.7959941608882</v>
      </c>
      <c r="EA180" s="1098">
        <f t="shared" si="243"/>
        <v>0</v>
      </c>
      <c r="EB180" s="1121">
        <f t="shared" si="244"/>
        <v>0</v>
      </c>
      <c r="EC180" s="1101">
        <f t="shared" si="245"/>
        <v>0</v>
      </c>
      <c r="ED180" s="1097">
        <f t="shared" si="246"/>
        <v>0</v>
      </c>
      <c r="EE180" s="1110">
        <f t="shared" si="247"/>
        <v>48435.03108962375</v>
      </c>
      <c r="EF180" s="1092" t="s">
        <v>711</v>
      </c>
      <c r="EG180" s="1120">
        <f t="shared" si="248"/>
        <v>0.33</v>
      </c>
      <c r="EH180" s="1124"/>
      <c r="EI180" s="1093"/>
      <c r="EJ180" s="1093"/>
      <c r="EK180" s="1097">
        <f>IF($P180="","N/A",IF(P180=-1,INDEX('卡片raw data'!AS:AS,MATCH(D180,'卡片raw data'!$F:$F,)),0)+IF(AND(L180&lt;&gt;"party卡",P180&lt;=2,P180&gt;=0),INDEX('卡片raw data'!AU:AU,MATCH(D180,'卡片raw data'!$F:$F,)),0)+IF(OR(AND(L180="party卡",P180&lt;=1),AND(P180&lt;=4,L180&lt;&gt;"party卡",P180&gt;=3)),INDEX('卡片raw data'!AV:AV,MATCH(D180,'卡片raw data'!$F:$F,)),0)+IF(OR(P180=5,AND(L180="party卡",P180&gt;=2)),INDEX('卡片raw data'!AW:AW,MATCH(D180,'卡片raw data'!$F:$F,)),0))</f>
        <v>0</v>
      </c>
      <c r="EL180" s="1098">
        <f t="shared" si="249"/>
        <v>0.33</v>
      </c>
      <c r="EM180" s="1098">
        <f t="shared" si="250"/>
        <v>0.33</v>
      </c>
      <c r="EN180" s="1125">
        <f t="shared" si="251"/>
        <v>0</v>
      </c>
      <c r="EO180" s="1125">
        <f t="shared" si="252"/>
        <v>0</v>
      </c>
      <c r="EP180" s="1098">
        <f t="shared" si="253"/>
        <v>0</v>
      </c>
      <c r="EQ180" s="1121">
        <f t="shared" si="254"/>
        <v>0</v>
      </c>
      <c r="ER180" s="1101">
        <f t="shared" si="255"/>
        <v>0</v>
      </c>
      <c r="ES180" s="1097">
        <f t="shared" si="256"/>
        <v>0</v>
      </c>
      <c r="ET180" s="1122">
        <f t="shared" si="257"/>
        <v>0</v>
      </c>
    </row>
    <row r="181" spans="2:150" ht="16.5" customHeight="1">
      <c r="B181" s="1123" t="str">
        <f>INDEX('卡片raw data'!B:B,MATCH($D181,'卡片raw data'!$F:$F,))</f>
        <v>龙宫南</v>
      </c>
      <c r="C181" s="449" t="s">
        <v>123</v>
      </c>
      <c r="D181" s="408">
        <v>178</v>
      </c>
      <c r="E181" s="1090">
        <v>401033001</v>
      </c>
      <c r="F181" s="1090" t="str">
        <f>INDEX('卡片raw data'!C:C,MATCH($D181,'卡片raw data'!$F:$F,))</f>
        <v>UR</v>
      </c>
      <c r="G181" s="1094" t="s">
        <v>35</v>
      </c>
      <c r="H181" s="411">
        <f>IFERROR(INDEX(绊状态确认!C:C,MATCH($G181,绊状态确认!$B:$B,)),"")</f>
        <v>103</v>
      </c>
      <c r="I181" s="450" t="str">
        <f>IFERROR(INDEX(绊状态确认!D:D,MATCH($G181,绊状态确认!$B:$B,)),"")</f>
        <v>水</v>
      </c>
      <c r="J181" s="450" t="str">
        <f>IFERROR(INDEX(绊状态确认!E:E,MATCH($G181,绊状态确认!$B:$B,)),"")</f>
        <v>3年级</v>
      </c>
      <c r="K181" s="451" t="str">
        <f>IFERROR(INDEX(绊状态确认!F:F,MATCH($G181,绊状态确认!$B:$B,)),"")</f>
        <v>AZALEA</v>
      </c>
      <c r="L181" s="1094" t="str">
        <f>INDEX('卡片raw data'!E:E,MATCH($D181,'卡片raw data'!$F:$F,))</f>
        <v>活动卡</v>
      </c>
      <c r="M181" s="415">
        <v>43881</v>
      </c>
      <c r="N181" s="416">
        <v>10</v>
      </c>
      <c r="O181" s="1091" t="str">
        <f>INDEX('卡片raw data'!D:D,MATCH($D181,'卡片raw data'!$F:$F,))</f>
        <v>sk</v>
      </c>
      <c r="P181" s="417">
        <v>5</v>
      </c>
      <c r="Q181" s="1095">
        <f t="shared" si="173"/>
        <v>27857.530161828272</v>
      </c>
      <c r="R181" s="1096">
        <f t="shared" si="174"/>
        <v>0.32300000000000001</v>
      </c>
      <c r="S181" s="1097">
        <f t="shared" si="175"/>
        <v>17303.070712464876</v>
      </c>
      <c r="T181" s="1098">
        <f t="shared" si="176"/>
        <v>0.86499999999999999</v>
      </c>
      <c r="U181" s="1099">
        <f t="shared" si="177"/>
        <v>15.445462004142856</v>
      </c>
      <c r="V181" s="1100">
        <f t="shared" si="178"/>
        <v>31098.461149977935</v>
      </c>
      <c r="W181" s="1101">
        <f t="shared" si="179"/>
        <v>5733.9846558728223</v>
      </c>
      <c r="X181" s="1096">
        <f t="shared" si="180"/>
        <v>6.6000000000000003E-2</v>
      </c>
      <c r="Y181" s="1097">
        <f t="shared" si="181"/>
        <v>1240.9309881496647</v>
      </c>
      <c r="Z181" s="1102">
        <f t="shared" si="182"/>
        <v>15.445462004142856</v>
      </c>
      <c r="AA181" s="1103">
        <f t="shared" si="183"/>
        <v>6974.915644022487</v>
      </c>
      <c r="AB181" s="1101">
        <f t="shared" si="184"/>
        <v>6960.2478246196461</v>
      </c>
      <c r="AC181" s="1104">
        <f t="shared" si="185"/>
        <v>0.08</v>
      </c>
      <c r="AD181" s="1105">
        <f t="shared" si="186"/>
        <v>2.1769318181818181E-2</v>
      </c>
      <c r="AE181" s="1128">
        <f t="shared" si="187"/>
        <v>11.953757704745847</v>
      </c>
      <c r="AF181" s="1130">
        <f t="shared" si="188"/>
        <v>0</v>
      </c>
      <c r="AG181" s="420">
        <f t="shared" si="189"/>
        <v>0</v>
      </c>
      <c r="AH181" s="420">
        <f t="shared" si="190"/>
        <v>0</v>
      </c>
      <c r="AI181" s="1097">
        <f t="shared" si="191"/>
        <v>0</v>
      </c>
      <c r="AJ181" s="420">
        <f t="shared" si="192"/>
        <v>0</v>
      </c>
      <c r="AK181" s="518">
        <f t="shared" si="193"/>
        <v>0</v>
      </c>
      <c r="AL181" s="1106">
        <f>IF($P181="","N/A",(IF($P181=-1,INDEX('卡片raw data'!S:S,MATCH($D181,'卡片raw data'!$F:$F,)),0)+IF($P181=0,INDEX('卡片raw data'!V:V,MATCH($D181,'卡片raw data'!$F:$F,)),0)+IF($P181=1,INDEX('卡片raw data'!Y:Y,MATCH($D181,'卡片raw data'!$F:$F,)),0)+IF($P181=2,INDEX('卡片raw data'!AB:AB,MATCH($D181,'卡片raw data'!$F:$F,)),0)+IF($P181=3,INDEX('卡片raw data'!AE:AE,MATCH($D181,'卡片raw data'!$F:$F,)),0)+IF($P181=4,INDEX('卡片raw data'!AH:AH,MATCH($D181,'卡片raw data'!$F:$F,)),0)+IF($P181=5,INDEX('卡片raw data'!AK:AK,MATCH($D181,'卡片raw data'!$F:$F,)),0)+INDEX('卡片raw data'!S:S,MATCH($D181,'卡片raw data'!$F:$F,))*(IF($F181="UR",0.04,0.033))*(IF($F181="UR",INDEX(绊状态确认!$S:$S,MATCH($G181,绊状态确认!$B:$B,))/2-40)+IF($F181="SR",INDEX(绊状态确认!$R:$R,MATCH($G181,绊状态确认!$B:$B,))/4-15))+IF($F181="R",INDEX(绊状态确认!$Q:$Q,MATCH($G181,绊状态确认!$B:$B,))/6-40/6)))*(INDEX(绊状态确认!$H:$H,MATCH($G181,绊状态确认!$B:$B,))+INDEX(绊状态确认!J:J,MATCH($G181,绊状态确认!$B:$B,)))</f>
        <v>9100.2911999999997</v>
      </c>
      <c r="AM181" s="1106">
        <f>IF($P181="","N/A",(IF($P181=-1,INDEX('卡片raw data'!T:T,MATCH($D181,'卡片raw data'!$F:$F,)),0)+IF($P181=0,INDEX('卡片raw data'!W:W,MATCH($D181,'卡片raw data'!$F:$F,)),0)+IF($P181=1,INDEX('卡片raw data'!Z:Z,MATCH($D181,'卡片raw data'!$F:$F,)),0)+IF($P181=2,INDEX('卡片raw data'!AC:AC,MATCH($D181,'卡片raw data'!$F:$F,)),0)+IF($P181=3,INDEX('卡片raw data'!AF:AF,MATCH($D181,'卡片raw data'!$F:$F,)),0)+IF($P181=4,INDEX('卡片raw data'!AI:AI,MATCH($D181,'卡片raw data'!$F:$F,)),0)+IF($P181=5,INDEX('卡片raw data'!AL:AL,MATCH($D181,'卡片raw data'!$F:$F,)),0)+INDEX('卡片raw data'!T:T,MATCH($D181,'卡片raw data'!$F:$F,))*(IF($F181="UR",0.04,0.033))*(IF($F181="UR",INDEX(绊状态确认!$S:$S,MATCH($G181,绊状态确认!$B:$B,))/2-40)+IF($F181="SR",INDEX(绊状态确认!$R:$R,MATCH($G181,绊状态确认!$B:$B,))/4-15))+IF($F181="R",INDEX(绊状态确认!$Q:$Q,MATCH($G181,绊状态确认!$B:$B,))/6-40/6)))*(INDEX(绊状态确认!$H:$H,MATCH($G181,绊状态确认!$B:$B,))+INDEX(绊状态确认!K:K,MATCH($G181,绊状态确认!$B:$B,)))</f>
        <v>8580.0472799999989</v>
      </c>
      <c r="AN181" s="1106">
        <f>IF($P181="","N/A",(IF($P181=-1,INDEX('卡片raw data'!U:U,MATCH($D181,'卡片raw data'!$F:$F,)),0)+IF($P181=0,INDEX('卡片raw data'!X:X,MATCH($D181,'卡片raw data'!$F:$F,)),0)+IF($P181=1,INDEX('卡片raw data'!AA:AA,MATCH($D181,'卡片raw data'!$F:$F,)),0)+IF($P181=2,INDEX('卡片raw data'!AD:AD,MATCH($D181,'卡片raw data'!$F:$F,)),0)+IF($P181=3,INDEX('卡片raw data'!AG:AG,MATCH($D181,'卡片raw data'!$F:$F,)),0)+IF($P181=4,INDEX('卡片raw data'!AJ:AJ,MATCH($D181,'卡片raw data'!$F:$F,)),0)+IF($P181=5,INDEX('卡片raw data'!AM:AM,MATCH($D181,'卡片raw data'!$F:$F,)),0)+INDEX('卡片raw data'!U:U,MATCH($D181,'卡片raw data'!$F:$F,))*(IF($F181="UR",0.04,0.033))*(IF($F181="UR",INDEX(绊状态确认!$S:$S,MATCH($G181,绊状态确认!$B:$B,))/2-40)+IF($F181="SR",INDEX(绊状态确认!$R:$R,MATCH($G181,绊状态确认!$B:$B,))/4-15))+IF($F181="R",INDEX(绊状态确认!$Q:$Q,MATCH($G181,绊状态确认!$B:$B,))/6-40/6)))*(INDEX(绊状态确认!$H:$H,MATCH($G181,绊状态确认!$B:$B,))+INDEX(绊状态确认!L:L,MATCH($G181,绊状态确认!$B:$B,)))</f>
        <v>8319.3571199999988</v>
      </c>
      <c r="AO181" s="1107">
        <f t="shared" si="194"/>
        <v>1</v>
      </c>
      <c r="AP181" s="1131">
        <f>1+(INDEX(绊状态确认!$T:$T,MATCH($G181,绊状态确认!$B:$B,))+0.2)*$AO181</f>
        <v>1.3</v>
      </c>
      <c r="AQ181" s="1108">
        <f t="shared" si="195"/>
        <v>27138.2644</v>
      </c>
      <c r="AR181" s="1097">
        <f>(AM181*(1+$EX$9)+$EX$35)*(1+(INDEX(绊状态确认!$T:$T,MATCH($G181,绊状态确认!$B:$B,))+0.2)*AO181)*IF(J181=$FF$17,1+$FE$17,1)*IF(I181=$FF$14,1+$FE$14,1)*(1+$FE$15)</f>
        <v>14415.764537199999</v>
      </c>
      <c r="AS181" s="1097">
        <f>(AN181*(1+$EX$10)+$EX$36)*(1+(INDEX(绊状态确认!$T:$T,MATCH($G181,绊状态确认!$B:$B,))+0.2)*AO181)*IF(J181=$FF$17,1+$FE$17,1)*IF(I181=$FF$14,1+$FE$14,1)*(1+$FE$15)</f>
        <v>16493.438894399998</v>
      </c>
      <c r="AT181" s="1093">
        <f>IF(AND(INDEX('卡片raw data'!AK:AK,MATCH($D181,'卡片raw data'!$F:$F,))&lt;INDEX('卡片raw data'!AM:AM,MATCH($D181,'卡片raw data'!$F:$F,)),INDEX('卡片raw data'!AL:AL,MATCH($D181,'卡片raw data'!$F:$F,))&lt;INDEX('卡片raw data'!AM:AM,MATCH($D181,'卡片raw data'!$F:$F,))),1,0)</f>
        <v>0</v>
      </c>
      <c r="AU181" s="1098">
        <f>MIN(AT181*0.15+AS181*0.00003+INDEX(绊状态确认!M:M,MATCH($G181,绊状态确认!$B:$B,)),1)</f>
        <v>0.52480316683200001</v>
      </c>
      <c r="AV181" s="1109">
        <f>(INDEX(绊状态确认!$N:$N,MATCH($G181,绊状态确认!$B:$B,))+1.5)*$EW$21</f>
        <v>2.6599999999999997</v>
      </c>
      <c r="AW181" s="1101">
        <f t="shared" si="196"/>
        <v>26372.629590751825</v>
      </c>
      <c r="AX181" s="1097">
        <f t="shared" si="197"/>
        <v>1240.9309881496642</v>
      </c>
      <c r="AY181" s="1110">
        <f t="shared" si="198"/>
        <v>27613.560578901488</v>
      </c>
      <c r="AZ181" s="429">
        <f t="shared" si="199"/>
        <v>20345.56784</v>
      </c>
      <c r="BA181" s="431">
        <f t="shared" si="200"/>
        <v>24414.681408</v>
      </c>
      <c r="BB181" s="1097">
        <f>(AM181*(1+$FB$9)+$FB$35)*(1+(INDEX(绊状态确认!$T:$T,MATCH($G181,绊状态确认!$B:$B,))+0.2)*AO181)*IF(J181=$FF$17,1+$FE$17,1)*IF(I181=$FF$14,1+$FE$14,1)*(1+$FE$15)</f>
        <v>14415.764537199999</v>
      </c>
      <c r="BC181" s="1097">
        <f>(AN181*(1+$FB$10)+$FB$36)*(1+(INDEX(绊状态确认!$T:$T,MATCH($G181,绊状态确认!$B:$B,))+0.2)*AO181)*IF(J181=$FF$17,1+$FE$17,1)*IF(I181=$FF$14,1+$FE$14,1)*(1+$FE$15)</f>
        <v>16493.438894399998</v>
      </c>
      <c r="BD181" s="1104">
        <f>MIN(AT181*0.15+BC181*0.00003+INDEX(绊状态确认!M:M,MATCH($G181,绊状态确认!$B:$B,)),1)</f>
        <v>0.52480316683200001</v>
      </c>
      <c r="BE181" s="432">
        <f>(INDEX(绊状态确认!$N:$N,MATCH($G181,绊状态确认!$B:$B,))+1.5)</f>
        <v>1.9</v>
      </c>
      <c r="BF181" s="1139">
        <f t="array" ref="BF181">SUMPRODUCT(IF(AZ181*AP181*$FI$16:$FI$23*$FA$22&gt;=$FI$24,$FI$24,AZ181*AP181*$FI$16:$FI$23*$FA$22),$FJ$16:$FJ$23)</f>
        <v>40467.334433759999</v>
      </c>
      <c r="BG181" s="1125">
        <f t="array" ref="BG181">SUMPRODUCT(IF(BE181*AZ181*AP181*$FI$16:$FI$23*$FA$22&gt;=$FI$24,$FI$24,BE181*AZ181*AP181*$FI$16:$FI$23*$FA$22),$FJ$16:$FJ$23)</f>
        <v>60000</v>
      </c>
      <c r="BH181" s="1110">
        <f t="shared" si="201"/>
        <v>16906.046393197703</v>
      </c>
      <c r="BI181" s="1111">
        <f>IF(O181="vo",$EW$26/$EW$24*0.05,0)+IF(O181="sk",-$EW$26/$EW$24*(0.05-INDEX(绊状态确认!W:W,MATCH($G181,绊状态确认!$B:$B,)))+0.05*$EW$28,0)+IF(O181="sp",0.05*$EW$32*$EW$30*(1-$EW$33)-(0.05-INDEX(绊状态确认!V:V,MATCH($G181,绊状态确认!$B:$B,)))*$EW$28,0)+IF(O181="gd",-(0.05-INDEX(绊状态确认!X:X,MATCH($G181,绊状态确认!$B:$B,)))*$EW$32*$EW$30*(1-$EW$33),0)</f>
        <v>-6253.6726349699375</v>
      </c>
      <c r="BJ181" s="1097">
        <f>IF(O181="vo",0.05*(1-$FI$26)*$FA$24,0)+IF(O181="sk",-(0.05-INDEX(绊状态确认!W:W,MATCH($G181,绊状态确认!$B:$B,)))*(1-$FI$26)*$FA$24+0.05*$FA$26,0)+IF(O181="sp",0.05*$FA$32*$FA$27*(1-$FA$33)/$FA$30+0.05*$FA$29/$FA$69*$FA$27*(1-$FA$33)-(0.05-INDEX(绊状态确认!V:V,MATCH($G181,绊状态确认!$B:$B,)))*$FA$26,0)+IF(O181="gd",-(0.05-INDEX(绊状态确认!X:X,MATCH($G181,绊状态确认!$B:$B,)))*$FA$32*$FA$27*(1-$FA$33)/$FA$30-(0.05-INDEX(绊状态确认!X:X,MATCH($G181,绊状态确认!$B:$B,)))*$FA$29/$FA$69*$FA$27*(1-$FA$33),0)</f>
        <v>20.459096812499922</v>
      </c>
      <c r="BK181" s="1110">
        <f>IF(O181="vo",$EW$26/$EW$24*0.05+$EW$26*(-HP($EW$62,$EW$65,$EW$64)+HP($EW$62,$EW$65,(1.05-INDEX(绊状态确认!U:U,MATCH($G181,绊状态确认!$B:$B,)))*$EW$64)),0)+IF(O181="sk",-$EW$26/$EW$24*(0.05-INDEX(绊状态确认!W:W,MATCH($G181,绊状态确认!$B:$B,)))+0.05*$EW$29,0)+IF(O181="sp",0.05*$EW$32*$EW$30*(1-$EW$33)-(0.05-INDEX(绊状态确认!V:V,MATCH($G181,绊状态确认!$B:$B,)))*$EW$29,0)+IF(O181="gd",-(0.05-INDEX(绊状态确认!X:X,MATCH($G181,绊状态确认!$B:$B,)))*$EW$32*$EW$30*(1-$EW$33)+$EW$26*(-HP($EW$62,$EW$65,$EW$64)+HP($EW$62,$EW$65,0.95*$EW$64)),0)</f>
        <v>-4253.6726349699375</v>
      </c>
      <c r="BL181" s="1111">
        <f t="shared" si="202"/>
        <v>0</v>
      </c>
      <c r="BM181" s="1110">
        <f t="shared" si="203"/>
        <v>0</v>
      </c>
      <c r="BN181" s="1113">
        <f t="shared" si="204"/>
        <v>3</v>
      </c>
      <c r="BO181" s="1097">
        <f t="shared" si="205"/>
        <v>4507.7214871259994</v>
      </c>
      <c r="BP181" s="1100">
        <f t="shared" si="206"/>
        <v>221.34103209030098</v>
      </c>
      <c r="BQ181" s="1113" t="s">
        <v>145</v>
      </c>
      <c r="BR181" s="1124" t="s">
        <v>148</v>
      </c>
      <c r="BS181" s="1098">
        <f>IF($P181="","N/A",IF($P181=-1,INDEX('卡片raw data'!AX:AX,MATCH($D181,'卡片raw data'!$F:$F,)),0)+IF($L181="party卡",IF($P181=5,INDEX('卡片raw data'!BD:BD,MATCH($D181,'卡片raw data'!$F:$F,)),IF($P181&gt;=3,INDEX('卡片raw data'!BC:BC,MATCH($D181,'卡片raw data'!$F:$F,)),INDEX('卡片raw data'!BB:BB,MATCH($D181,'卡片raw data'!$F:$F,)))),IF(OR(AND($F181="UR",$P181=0),AND($F181="SR",$P181&gt;=0,$P181&lt;=2),AND($F181="R",$P181&gt;=0,$P181&lt;4)),INDEX('卡片raw data'!AZ:AZ,MATCH($D181,'卡片raw data'!$F:$F,)),0)+IF(OR(AND($F181="UR",$P181&gt;=1,$P181&lt;=4),AND($F181="SR",$P181&lt;=4,$P181&gt;=3),AND($F181="R",$P181=4)),INDEX('卡片raw data'!BA:BA,MATCH($D181,'卡片raw data'!$F:$F,)),0)+IF($P181=5,INDEX('卡片raw data'!BB:BB,MATCH($D181,'卡片raw data'!$F:$F,)),0)))</f>
        <v>5.1999999999999998E-2</v>
      </c>
      <c r="BT181" s="1101">
        <f t="shared" si="207"/>
        <v>2452.5263374936467</v>
      </c>
      <c r="BU181" s="1097">
        <f t="shared" si="208"/>
        <v>155.22419036436909</v>
      </c>
      <c r="BV181" s="1097">
        <f t="shared" si="209"/>
        <v>1226.2631687468233</v>
      </c>
      <c r="BW181" s="1112">
        <f t="shared" si="210"/>
        <v>0</v>
      </c>
      <c r="BX181" s="1100">
        <f t="shared" si="211"/>
        <v>2452.5263374936467</v>
      </c>
      <c r="BY181" s="1110">
        <f t="shared" si="212"/>
        <v>1226.2631687468233</v>
      </c>
      <c r="BZ181" s="1107" t="s">
        <v>569</v>
      </c>
      <c r="CA181" s="1124"/>
      <c r="CB181" s="1098">
        <f>IF($P181="","N/A",IF($P181=-1,INDEX('卡片raw data'!BE:BE,MATCH($D181,'卡片raw data'!$F:$F,)),0)+IF($L181="party卡",IF($P181=5,INDEX('卡片raw data'!BK:BK,MATCH($D181,'卡片raw data'!$F:$F,)),IF($P181&gt;=3,INDEX('卡片raw data'!BJ:BJ,MATCH($D181,'卡片raw data'!$F:$F,)),INDEX('卡片raw data'!BI:BI,MATCH($D181,'卡片raw data'!$F:$F,)))),IF(OR(AND($F181="UR",$P181=0),AND($F181="SR",$P181&gt;=0,$P181&lt;=2),AND($F181="R",$P181&gt;=0,$P181&lt;4)),INDEX('卡片raw data'!BG:BG,MATCH($D181,'卡片raw data'!$F:$F,)),0)+IF(OR(AND($F181="UR",$P181&gt;=1,$P181&lt;=4),AND($F181="SR",$P181&lt;=4,$P181&gt;=3),AND($F181="R",$P181=4)),INDEX('卡片raw data'!BH:BH,MATCH($D181,'卡片raw data'!$F:$F,)),0)+IF($P181=5,INDEX('卡片raw data'!BI:BI,MATCH($D181,'卡片raw data'!$F:$F,)),0)))</f>
        <v>0</v>
      </c>
      <c r="CC181" s="1101">
        <f t="shared" si="213"/>
        <v>0</v>
      </c>
      <c r="CD181" s="1097">
        <f>IF(BZ181="ap",CB181*(1-$FI$26)*$FB$5/$FB$11*(+IF(CA181="全员",$FA$24,0)+IF(CA181="同作战",$FA$24,0)+IF(CA181="仲间",$FA$24*2/3,0)+IF(CA181="同属性",$FA$24*$FA$37/3,0)+IF(CA181="同年级",$FA$24*$FA$40/3,0)+IF(CA181="同学校",$FA$24*$FA$43/3,0)+IF(CA181="同小队",$FA$24*$FA$46/3,0)+IF(CA181="同type",$FA$24*INDEX($FB$49:$FB$52,MATCH(X181,$FA$49:$FA$52,))/3,0)+IF(CA181="自身",#REF!/3,0)),0)+IF(BZ181="te",CB181*(1-$FI$27)*($FA$20-1)*$FB$7/$FB$13*(+IF(CA181="全员",$FA$19*$FA$24/(1+($FA$20-1)*$FA$19),0)+IF(CA181="同作战",$FA$19*$FA$24/(1+($FA$20-1)*$FA$19),0)+IF(CA181="仲间",$FA$19*$FA$24*2/3/(1+($FA$20-1)*$FA$19),0)+IF(CA181="同属性",$FA$19*$FA$24*$FA$37/3/(1+($FA$20-1)*$FA$19),0)+IF(CA181="同年级",$FA$19*$FA$24*$FA$40/3/(1+($FA$20-1)*$FA$19),0)+IF(CA181="同学校",$FA$19*$FA$24*$FA$43/3/(1+($FA$20-1)*$FA$19),0)+IF(CA181="同小队",$FA$19*$FA$24*$FA$46/3/(1+($FA$20-1)*$FA$19),0)+IF(CA181="同type",$FA$19*$FA$24*INDEX($FB$49:$FB$52,MATCH(X181,$FA$49:$FA$52,))/3/(1+($FA$20-1)*$FA$19),0)+IF(CA181="自身",$FA$19*#REF!/3/(1+(BH181-1)*$BD181),0)),0)</f>
        <v>0</v>
      </c>
      <c r="CE181" s="1097">
        <f t="shared" si="214"/>
        <v>0</v>
      </c>
      <c r="CF181" s="1112">
        <f t="shared" si="215"/>
        <v>0</v>
      </c>
      <c r="CG181" s="1100">
        <f t="shared" si="216"/>
        <v>0</v>
      </c>
      <c r="CH181" s="1110">
        <f t="shared" si="217"/>
        <v>0</v>
      </c>
      <c r="CI181" s="1113" t="s">
        <v>170</v>
      </c>
      <c r="CJ181" s="1114">
        <v>0.2</v>
      </c>
      <c r="CK181" s="1115" t="s">
        <v>311</v>
      </c>
      <c r="CL181" s="1115" t="s">
        <v>161</v>
      </c>
      <c r="CM181" s="1119"/>
      <c r="CN181" s="1115"/>
      <c r="CO181" s="1092"/>
      <c r="CP181" s="1117">
        <f t="shared" si="218"/>
        <v>0</v>
      </c>
      <c r="CQ181" s="1117">
        <f t="shared" si="219"/>
        <v>0</v>
      </c>
      <c r="CR181" s="1117">
        <f t="shared" si="220"/>
        <v>0</v>
      </c>
      <c r="CS181" s="1118">
        <f t="shared" si="221"/>
        <v>0</v>
      </c>
      <c r="CT181" s="1109">
        <f t="shared" si="222"/>
        <v>0</v>
      </c>
      <c r="CU181" s="1101">
        <f t="shared" si="223"/>
        <v>0</v>
      </c>
      <c r="CV181" s="1108">
        <f t="shared" si="224"/>
        <v>0</v>
      </c>
      <c r="CW181" s="1097">
        <f t="shared" si="225"/>
        <v>0</v>
      </c>
      <c r="CX181" s="1097">
        <f t="shared" si="226"/>
        <v>0</v>
      </c>
      <c r="CY181" s="1110">
        <f t="shared" si="227"/>
        <v>0</v>
      </c>
      <c r="CZ181" s="437"/>
      <c r="DA181" s="438"/>
      <c r="DB181" s="439" t="s">
        <v>569</v>
      </c>
      <c r="DC181" s="439"/>
      <c r="DD181" s="443"/>
      <c r="DE181" s="411"/>
      <c r="DF181" s="411"/>
      <c r="DG181" s="1116">
        <f t="shared" si="228"/>
        <v>0</v>
      </c>
      <c r="DH181" s="1116">
        <f t="shared" si="229"/>
        <v>0</v>
      </c>
      <c r="DI181" s="1116">
        <f t="shared" si="230"/>
        <v>0</v>
      </c>
      <c r="DJ181" s="442">
        <f t="shared" si="231"/>
        <v>0</v>
      </c>
      <c r="DK181" s="1109">
        <f t="shared" si="232"/>
        <v>0</v>
      </c>
      <c r="DL181" s="1101">
        <f t="shared" si="233"/>
        <v>0</v>
      </c>
      <c r="DM181" s="1097">
        <f t="shared" si="234"/>
        <v>0</v>
      </c>
      <c r="DN181" s="1097">
        <f t="shared" si="235"/>
        <v>0</v>
      </c>
      <c r="DO181" s="1097">
        <f t="shared" si="236"/>
        <v>0</v>
      </c>
      <c r="DP181" s="1110">
        <f t="shared" si="237"/>
        <v>0</v>
      </c>
      <c r="DQ181" s="1113" t="s">
        <v>256</v>
      </c>
      <c r="DR181" s="1120">
        <f t="shared" si="238"/>
        <v>0.33</v>
      </c>
      <c r="DS181" s="1124"/>
      <c r="DT181" s="1093" t="s">
        <v>134</v>
      </c>
      <c r="DU181" s="1093"/>
      <c r="DV181" s="1098">
        <f>IF($P181="","N/A",IF(P181=-1,INDEX('卡片raw data'!AN:AN,MATCH(D181,'卡片raw data'!$F:$F,)),0)+IF(AND(L181&lt;&gt;"party卡",P181&lt;=2,P181&gt;=0),INDEX('卡片raw data'!AP:AP,MATCH(D181,'卡片raw data'!$F:$F,)),0)+IF(OR(AND(L181="party卡",P181&lt;=1),AND(P181&lt;=4,L181&lt;&gt;"party卡",P181&gt;=3)),INDEX('卡片raw data'!AQ:AQ,MATCH(D181,'卡片raw data'!$F:$F,)),0)+IF(OR(P181=5,AND(L181="party卡",P181&gt;=2)),INDEX('卡片raw data'!AR:AR,MATCH(D181,'卡片raw data'!$F:$F,)),0))</f>
        <v>0.3</v>
      </c>
      <c r="DW181" s="1098">
        <f t="shared" si="239"/>
        <v>0.33</v>
      </c>
      <c r="DX181" s="1098">
        <f t="shared" si="240"/>
        <v>0.33</v>
      </c>
      <c r="DY181" s="1125">
        <f t="shared" si="241"/>
        <v>544.28348351519992</v>
      </c>
      <c r="DZ181" s="1125">
        <f t="shared" si="242"/>
        <v>470.8052132406479</v>
      </c>
      <c r="EA181" s="1098">
        <f t="shared" si="243"/>
        <v>0</v>
      </c>
      <c r="EB181" s="1121">
        <f t="shared" si="244"/>
        <v>0</v>
      </c>
      <c r="EC181" s="1101">
        <f t="shared" si="245"/>
        <v>778.32538142673593</v>
      </c>
      <c r="ED181" s="1097">
        <f t="shared" si="246"/>
        <v>0</v>
      </c>
      <c r="EE181" s="1110">
        <f t="shared" si="247"/>
        <v>778.32538142673593</v>
      </c>
      <c r="EF181" s="1092" t="s">
        <v>711</v>
      </c>
      <c r="EG181" s="1120">
        <f t="shared" si="248"/>
        <v>0.33</v>
      </c>
      <c r="EH181" s="1124"/>
      <c r="EI181" s="1093"/>
      <c r="EJ181" s="1093"/>
      <c r="EK181" s="1097">
        <f>IF($P181="","N/A",IF(P181=-1,INDEX('卡片raw data'!AS:AS,MATCH(D181,'卡片raw data'!$F:$F,)),0)+IF(AND(L181&lt;&gt;"party卡",P181&lt;=2,P181&gt;=0),INDEX('卡片raw data'!AU:AU,MATCH(D181,'卡片raw data'!$F:$F,)),0)+IF(OR(AND(L181="party卡",P181&lt;=1),AND(P181&lt;=4,L181&lt;&gt;"party卡",P181&gt;=3)),INDEX('卡片raw data'!AV:AV,MATCH(D181,'卡片raw data'!$F:$F,)),0)+IF(OR(P181=5,AND(L181="party卡",P181&gt;=2)),INDEX('卡片raw data'!AW:AW,MATCH(D181,'卡片raw data'!$F:$F,)),0))</f>
        <v>0</v>
      </c>
      <c r="EL181" s="1098">
        <f t="shared" si="249"/>
        <v>0.33</v>
      </c>
      <c r="EM181" s="1098">
        <f t="shared" si="250"/>
        <v>0.33</v>
      </c>
      <c r="EN181" s="1125">
        <f t="shared" si="251"/>
        <v>0</v>
      </c>
      <c r="EO181" s="1125">
        <f t="shared" si="252"/>
        <v>0</v>
      </c>
      <c r="EP181" s="1098">
        <f t="shared" si="253"/>
        <v>0</v>
      </c>
      <c r="EQ181" s="1121">
        <f t="shared" si="254"/>
        <v>0</v>
      </c>
      <c r="ER181" s="1101">
        <f t="shared" si="255"/>
        <v>0</v>
      </c>
      <c r="ES181" s="1097">
        <f t="shared" si="256"/>
        <v>0</v>
      </c>
      <c r="ET181" s="1122">
        <f t="shared" si="257"/>
        <v>0</v>
      </c>
    </row>
    <row r="182" spans="2:150" ht="16.5" customHeight="1">
      <c r="B182" s="1123" t="str">
        <f>INDEX('卡片raw data'!B:B,MATCH($D182,'卡片raw data'!$F:$F,))</f>
        <v>一单花</v>
      </c>
      <c r="C182" s="449" t="s">
        <v>123</v>
      </c>
      <c r="D182" s="408">
        <v>179</v>
      </c>
      <c r="E182" s="1090">
        <v>400082001</v>
      </c>
      <c r="F182" s="1090" t="str">
        <f>INDEX('卡片raw data'!C:C,MATCH($D182,'卡片raw data'!$F:$F,))</f>
        <v>SR</v>
      </c>
      <c r="G182" s="1094" t="s">
        <v>337</v>
      </c>
      <c r="H182" s="411">
        <f>IFERROR(INDEX(绊状态确认!C:C,MATCH($G182,绊状态确认!$B:$B,)),"")</f>
        <v>8</v>
      </c>
      <c r="I182" s="450" t="str">
        <f>IFERROR(INDEX(绊状态确认!D:D,MATCH($G182,绊状态确认!$B:$B,)),"")</f>
        <v>缪</v>
      </c>
      <c r="J182" s="450" t="str">
        <f>IFERROR(INDEX(绊状态确认!E:E,MATCH($G182,绊状态确认!$B:$B,)),"")</f>
        <v>1年级</v>
      </c>
      <c r="K182" s="451" t="str">
        <f>IFERROR(INDEX(绊状态确认!F:F,MATCH($G182,绊状态确认!$B:$B,)),"")</f>
        <v>Printemps</v>
      </c>
      <c r="L182" s="1094" t="str">
        <f>INDEX('卡片raw data'!E:E,MATCH($D182,'卡片raw data'!$F:$F,))</f>
        <v>活动卡</v>
      </c>
      <c r="M182" s="415">
        <v>43881</v>
      </c>
      <c r="N182" s="416">
        <v>10</v>
      </c>
      <c r="O182" s="1091" t="str">
        <f>INDEX('卡片raw data'!D:D,MATCH($D182,'卡片raw data'!$F:$F,))</f>
        <v>sp</v>
      </c>
      <c r="P182" s="417">
        <v>5</v>
      </c>
      <c r="Q182" s="1095">
        <f t="shared" si="173"/>
        <v>23677.795786479099</v>
      </c>
      <c r="R182" s="1096">
        <f t="shared" si="174"/>
        <v>0.27500000000000002</v>
      </c>
      <c r="S182" s="1097">
        <f t="shared" si="175"/>
        <v>14936.277080944761</v>
      </c>
      <c r="T182" s="1098">
        <f t="shared" si="176"/>
        <v>0.746</v>
      </c>
      <c r="U182" s="1099">
        <f t="shared" si="177"/>
        <v>10.97418345984857</v>
      </c>
      <c r="V182" s="1100">
        <f t="shared" si="178"/>
        <v>22746.858934381271</v>
      </c>
      <c r="W182" s="1101">
        <f t="shared" si="179"/>
        <v>4507.7214871259994</v>
      </c>
      <c r="X182" s="1096">
        <f t="shared" si="180"/>
        <v>5.1999999999999998E-2</v>
      </c>
      <c r="Y182" s="1097">
        <f t="shared" si="181"/>
        <v>869.0631479021722</v>
      </c>
      <c r="Z182" s="1102">
        <f t="shared" si="182"/>
        <v>10.97418345984857</v>
      </c>
      <c r="AA182" s="1103">
        <f t="shared" si="183"/>
        <v>5376.7846350281716</v>
      </c>
      <c r="AB182" s="1101">
        <f t="shared" si="184"/>
        <v>4507.7214871259994</v>
      </c>
      <c r="AC182" s="1104">
        <f t="shared" si="185"/>
        <v>5.1999999999999998E-2</v>
      </c>
      <c r="AD182" s="1105">
        <f t="shared" si="186"/>
        <v>-1.9908281250000003E-2</v>
      </c>
      <c r="AE182" s="1128">
        <f t="shared" si="187"/>
        <v>35.216900724637675</v>
      </c>
      <c r="AF182" s="1130">
        <f t="shared" si="188"/>
        <v>0</v>
      </c>
      <c r="AG182" s="420">
        <f t="shared" si="189"/>
        <v>0</v>
      </c>
      <c r="AH182" s="420">
        <f t="shared" si="190"/>
        <v>0</v>
      </c>
      <c r="AI182" s="1097">
        <f t="shared" si="191"/>
        <v>0</v>
      </c>
      <c r="AJ182" s="420">
        <f t="shared" si="192"/>
        <v>0</v>
      </c>
      <c r="AK182" s="518">
        <f t="shared" si="193"/>
        <v>0</v>
      </c>
      <c r="AL182" s="1106">
        <f>IF($P182="","N/A",(IF($P182=-1,INDEX('卡片raw data'!S:S,MATCH($D182,'卡片raw data'!$F:$F,)),0)+IF($P182=0,INDEX('卡片raw data'!V:V,MATCH($D182,'卡片raw data'!$F:$F,)),0)+IF($P182=1,INDEX('卡片raw data'!Y:Y,MATCH($D182,'卡片raw data'!$F:$F,)),0)+IF($P182=2,INDEX('卡片raw data'!AB:AB,MATCH($D182,'卡片raw data'!$F:$F,)),0)+IF($P182=3,INDEX('卡片raw data'!AE:AE,MATCH($D182,'卡片raw data'!$F:$F,)),0)+IF($P182=4,INDEX('卡片raw data'!AH:AH,MATCH($D182,'卡片raw data'!$F:$F,)),0)+IF($P182=5,INDEX('卡片raw data'!AK:AK,MATCH($D182,'卡片raw data'!$F:$F,)),0)+INDEX('卡片raw data'!S:S,MATCH($D182,'卡片raw data'!$F:$F,))*(IF($F182="UR",0.04,0.033))*(IF($F182="UR",INDEX(绊状态确认!$S:$S,MATCH($G182,绊状态确认!$B:$B,))/2-40)+IF($F182="SR",INDEX(绊状态确认!$R:$R,MATCH($G182,绊状态确认!$B:$B,))/4-15))+IF($F182="R",INDEX(绊状态确认!$Q:$Q,MATCH($G182,绊状态确认!$B:$B,))/6-40/6)))*(INDEX(绊状态确认!$H:$H,MATCH($G182,绊状态确认!$B:$B,))+INDEX(绊状态确认!J:J,MATCH($G182,绊状态确认!$B:$B,)))</f>
        <v>6746.8727111999988</v>
      </c>
      <c r="AM182" s="1106">
        <f>IF($P182="","N/A",(IF($P182=-1,INDEX('卡片raw data'!T:T,MATCH($D182,'卡片raw data'!$F:$F,)),0)+IF($P182=0,INDEX('卡片raw data'!W:W,MATCH($D182,'卡片raw data'!$F:$F,)),0)+IF($P182=1,INDEX('卡片raw data'!Z:Z,MATCH($D182,'卡片raw data'!$F:$F,)),0)+IF($P182=2,INDEX('卡片raw data'!AC:AC,MATCH($D182,'卡片raw data'!$F:$F,)),0)+IF($P182=3,INDEX('卡片raw data'!AF:AF,MATCH($D182,'卡片raw data'!$F:$F,)),0)+IF($P182=4,INDEX('卡片raw data'!AI:AI,MATCH($D182,'卡片raw data'!$F:$F,)),0)+IF($P182=5,INDEX('卡片raw data'!AL:AL,MATCH($D182,'卡片raw data'!$F:$F,)),0)+INDEX('卡片raw data'!T:T,MATCH($D182,'卡片raw data'!$F:$F,))*(IF($F182="UR",0.04,0.033))*(IF($F182="UR",INDEX(绊状态确认!$S:$S,MATCH($G182,绊状态确认!$B:$B,))/2-40)+IF($F182="SR",INDEX(绊状态确认!$R:$R,MATCH($G182,绊状态确认!$B:$B,))/4-15))+IF($F182="R",INDEX(绊状态确认!$Q:$Q,MATCH($G182,绊状态确认!$B:$B,))/6-40/6)))*(INDEX(绊状态确认!$H:$H,MATCH($G182,绊状态确认!$B:$B,))+INDEX(绊状态确认!K:K,MATCH($G182,绊状态确认!$B:$B,)))</f>
        <v>4498.2939407999993</v>
      </c>
      <c r="AN182" s="1106">
        <f>IF($P182="","N/A",(IF($P182=-1,INDEX('卡片raw data'!U:U,MATCH($D182,'卡片raw data'!$F:$F,)),0)+IF($P182=0,INDEX('卡片raw data'!X:X,MATCH($D182,'卡片raw data'!$F:$F,)),0)+IF($P182=1,INDEX('卡片raw data'!AA:AA,MATCH($D182,'卡片raw data'!$F:$F,)),0)+IF($P182=2,INDEX('卡片raw data'!AD:AD,MATCH($D182,'卡片raw data'!$F:$F,)),0)+IF($P182=3,INDEX('卡片raw data'!AG:AG,MATCH($D182,'卡片raw data'!$F:$F,)),0)+IF($P182=4,INDEX('卡片raw data'!AJ:AJ,MATCH($D182,'卡片raw data'!$F:$F,)),0)+IF($P182=5,INDEX('卡片raw data'!AM:AM,MATCH($D182,'卡片raw data'!$F:$F,)),0)+INDEX('卡片raw data'!U:U,MATCH($D182,'卡片raw data'!$F:$F,))*(IF($F182="UR",0.04,0.033))*(IF($F182="UR",INDEX(绊状态确认!$S:$S,MATCH($G182,绊状态确认!$B:$B,))/2-40)+IF($F182="SR",INDEX(绊状态确认!$R:$R,MATCH($G182,绊状态确认!$B:$B,))/4-15))+IF($F182="R",INDEX(绊状态确认!$Q:$Q,MATCH($G182,绊状态确认!$B:$B,))/6-40/6)))*(INDEX(绊状态确认!$H:$H,MATCH($G182,绊状态确认!$B:$B,))+INDEX(绊状态确认!L:L,MATCH($G182,绊状态确认!$B:$B,)))</f>
        <v>4820.3633375999989</v>
      </c>
      <c r="AO182" s="1107">
        <f t="shared" si="194"/>
        <v>1</v>
      </c>
      <c r="AP182" s="1131">
        <f>1+(INDEX(绊状态确认!$T:$T,MATCH($G182,绊状态确认!$B:$B,))+0.2)*$AO182</f>
        <v>1.3</v>
      </c>
      <c r="AQ182" s="1108">
        <f t="shared" si="195"/>
        <v>20960.540866900003</v>
      </c>
      <c r="AR182" s="1097">
        <f>(AM182*(1+$EX$9)+$EX$35)*(1+(INDEX(绊状态确认!$T:$T,MATCH($G182,绊状态确认!$B:$B,))+0.2)*AO182)*IF(J182=$FF$17,1+$FE$17,1)*IF(I182=$FF$14,1+$FE$14,1)</f>
        <v>8844.1712291919994</v>
      </c>
      <c r="AS182" s="1097">
        <f>(AN182*(1+$EX$10)+$EX$36)*(1+(INDEX(绊状态确认!$T:$T,MATCH($G182,绊状态确认!$B:$B,))+0.2)*AO182)*IF(J182=$FF$17,1+$FE$17,1)*IF(I182=$FF$14,1+$FE$14,1)</f>
        <v>11262.443189711999</v>
      </c>
      <c r="AT182" s="1093">
        <f>IF(AND(INDEX('卡片raw data'!AK:AK,MATCH($D182,'卡片raw data'!$F:$F,))&lt;INDEX('卡片raw data'!AM:AM,MATCH($D182,'卡片raw data'!$F:$F,)),INDEX('卡片raw data'!AL:AL,MATCH($D182,'卡片raw data'!$F:$F,))&lt;INDEX('卡片raw data'!AM:AM,MATCH($D182,'卡片raw data'!$F:$F,))),1,0)</f>
        <v>0</v>
      </c>
      <c r="AU182" s="1098">
        <f>MIN(AT182*0.15+AS182*0.00003+INDEX(绊状态确认!M:M,MATCH($G182,绊状态确认!$B:$B,)),1)</f>
        <v>0.36787329569136001</v>
      </c>
      <c r="AV182" s="1109">
        <f>(INDEX(绊状态确认!$N:$N,MATCH($G182,绊状态确认!$B:$B,))+1.5)*$EW$21</f>
        <v>2.6599999999999997</v>
      </c>
      <c r="AW182" s="1101">
        <f t="shared" si="196"/>
        <v>17533.407632686431</v>
      </c>
      <c r="AX182" s="1097">
        <f t="shared" si="197"/>
        <v>752.05465809224086</v>
      </c>
      <c r="AY182" s="1110">
        <f t="shared" si="198"/>
        <v>18285.462290778672</v>
      </c>
      <c r="AZ182" s="429">
        <f t="shared" si="199"/>
        <v>15756.401786839997</v>
      </c>
      <c r="BA182" s="431">
        <f t="shared" si="200"/>
        <v>18907.682144207996</v>
      </c>
      <c r="BB182" s="1097">
        <f>(AM182*(1+$FB$9)+$FB$35)*(1+(INDEX(绊状态确认!$T:$T,MATCH($G182,绊状态确认!$B:$B,))+0.2)*AO182)*IF(J182=$FF$17,1+$FE$17,1)*IF(I182=$FF$14,1+$FE$14,1)*(1+$FE$15)</f>
        <v>8844.1712291919994</v>
      </c>
      <c r="BC182" s="1097">
        <f>(AN182*(1+$FB$10)+$FB$36)*(1+(INDEX(绊状态确认!$T:$T,MATCH($G182,绊状态确认!$B:$B,))+0.2)*AO182)*IF(J182=$FF$17,1+$FE$17,1)*IF(I182=$FF$14,1+$FE$14,1)*(1+$FE$15)</f>
        <v>11262.443189711999</v>
      </c>
      <c r="BD182" s="1104">
        <f>MIN(AT182*0.15+BC182*0.00003+INDEX(绊状态确认!M:M,MATCH($G182,绊状态确认!$B:$B,)),1)</f>
        <v>0.36787329569136001</v>
      </c>
      <c r="BE182" s="432">
        <f>(INDEX(绊状态确认!$N:$N,MATCH($G182,绊状态确认!$B:$B,))+1.5)</f>
        <v>1.9</v>
      </c>
      <c r="BF182" s="1139">
        <f t="array" ref="BF182">SUMPRODUCT(IF(AZ182*AP182*$FI$16:$FI$23*$FA$22&gt;=$FI$24,$FI$24,AZ182*AP182*$FI$16:$FI$23*$FA$22),$FJ$16:$FJ$23)</f>
        <v>31339.483154024754</v>
      </c>
      <c r="BG182" s="1125">
        <f t="array" ref="BG182">SUMPRODUCT(IF(BE182*AZ182*AP182*$FI$16:$FI$23*$FA$22&gt;=$FI$24,$FI$24,BE182*AZ182*AP182*$FI$16:$FI$23*$FA$22),$FJ$16:$FJ$23)</f>
        <v>56302.199303200679</v>
      </c>
      <c r="BH182" s="1110">
        <f t="shared" si="201"/>
        <v>13507.533271076682</v>
      </c>
      <c r="BI182" s="1111">
        <f>IF(O182="vo",$EW$26/$EW$24*0.05,0)+IF(O182="sk",-$EW$26/$EW$24*(0.05-INDEX(绊状态确认!W:W,MATCH($G182,绊状态确认!$B:$B,)))+0.05*$EW$28,0)+IF(O182="sp",0.05*$EW$32*$EW$30*(1-$EW$33)-(0.05-INDEX(绊状态确认!V:V,MATCH($G182,绊状态确认!$B:$B,)))*$EW$28,0)+IF(O182="gd",-(0.05-INDEX(绊状态确认!X:X,MATCH($G182,绊状态确认!$B:$B,)))*$EW$32*$EW$30*(1-$EW$33),0)</f>
        <v>19.999999999999886</v>
      </c>
      <c r="BJ182" s="1097">
        <f>IF(O182="vo",0.05*(1-$FI$26)*$FA$24,0)+IF(O182="sk",-(0.05-INDEX(绊状态确认!W:W,MATCH($G182,绊状态确认!$B:$B,)))*(1-$FI$26)*$FA$24+0.05*$FA$26,0)+IF(O182="sp",0.05*$FA$32*$FA$27*(1-$FA$33)/$FA$30+0.05*$FA$29/$FA$69*$FA$27*(1-$FA$33)-(0.05-INDEX(绊状态确认!V:V,MATCH($G182,绊状态确认!$B:$B,)))*$FA$26,0)+IF(O182="gd",-(0.05-INDEX(绊状态确认!X:X,MATCH($G182,绊状态确认!$B:$B,)))*$FA$32*$FA$27*(1-$FA$33)/$FA$30-(0.05-INDEX(绊状态确认!X:X,MATCH($G182,绊状态确认!$B:$B,)))*$FA$29/$FA$69*$FA$27*(1-$FA$33),0)</f>
        <v>545.83333333333326</v>
      </c>
      <c r="BK182" s="1110">
        <f>IF(O182="vo",$EW$26/$EW$24*0.05+$EW$26*(-HP($EW$62,$EW$65,$EW$64)+HP($EW$62,$EW$65,(1.05-INDEX(绊状态确认!U:U,MATCH($G182,绊状态确认!$B:$B,)))*$EW$64)),0)+IF(O182="sk",-$EW$26/$EW$24*(0.05-INDEX(绊状态确认!W:W,MATCH($G182,绊状态确认!$B:$B,)))+0.05*$EW$29,0)+IF(O182="sp",0.05*$EW$32*$EW$30*(1-$EW$33)-(0.05-INDEX(绊状态确认!V:V,MATCH($G182,绊状态确认!$B:$B,)))*$EW$29,0)+IF(O182="gd",-(0.05-INDEX(绊状态确认!X:X,MATCH($G182,绊状态确认!$B:$B,)))*$EW$32*$EW$30*(1-$EW$33)+$EW$26*(-HP($EW$62,$EW$65,$EW$64)+HP($EW$62,$EW$65,0.95*$EW$64)),0)</f>
        <v>-1780.0000000000005</v>
      </c>
      <c r="BL182" s="1111">
        <f t="shared" si="202"/>
        <v>-1083.3333333333333</v>
      </c>
      <c r="BM182" s="1110">
        <f t="shared" si="203"/>
        <v>-830.55555555555543</v>
      </c>
      <c r="BN182" s="1113">
        <f t="shared" si="204"/>
        <v>3</v>
      </c>
      <c r="BO182" s="1097">
        <f t="shared" si="205"/>
        <v>4507.7214871259994</v>
      </c>
      <c r="BP182" s="1100">
        <f t="shared" si="206"/>
        <v>221.34103209030098</v>
      </c>
      <c r="BQ182" s="1113" t="s">
        <v>624</v>
      </c>
      <c r="BR182" s="1124" t="s">
        <v>148</v>
      </c>
      <c r="BS182" s="1098">
        <f>IF($P182="","N/A",IF($P182=-1,INDEX('卡片raw data'!AX:AX,MATCH($D182,'卡片raw data'!$F:$F,)),0)+IF($L182="party卡",IF($P182=5,INDEX('卡片raw data'!BD:BD,MATCH($D182,'卡片raw data'!$F:$F,)),IF($P182&gt;=3,INDEX('卡片raw data'!BC:BC,MATCH($D182,'卡片raw data'!$F:$F,)),INDEX('卡片raw data'!BB:BB,MATCH($D182,'卡片raw data'!$F:$F,)))),IF(OR(AND($F182="UR",$P182=0),AND($F182="SR",$P182&gt;=0,$P182&lt;=2),AND($F182="R",$P182&gt;=0,$P182&lt;4)),INDEX('卡片raw data'!AZ:AZ,MATCH($D182,'卡片raw data'!$F:$F,)),0)+IF(OR(AND($F182="UR",$P182&gt;=1,$P182&lt;=4),AND($F182="SR",$P182&lt;=4,$P182&gt;=3),AND($F182="R",$P182=4)),INDEX('卡片raw data'!BA:BA,MATCH($D182,'卡片raw data'!$F:$F,)),0)+IF($P182=5,INDEX('卡片raw data'!BB:BB,MATCH($D182,'卡片raw data'!$F:$F,)),0)))</f>
        <v>3.2000000000000001E-2</v>
      </c>
      <c r="BT182" s="1101">
        <f t="shared" si="207"/>
        <v>0</v>
      </c>
      <c r="BU182" s="1097">
        <f t="shared" si="208"/>
        <v>0</v>
      </c>
      <c r="BV182" s="1097">
        <f t="shared" si="209"/>
        <v>0</v>
      </c>
      <c r="BW182" s="1112">
        <f t="shared" si="210"/>
        <v>1.498285714285714</v>
      </c>
      <c r="BX182" s="1100">
        <f t="shared" si="211"/>
        <v>117.00848980993118</v>
      </c>
      <c r="BY182" s="1110">
        <f t="shared" si="212"/>
        <v>117.00848980993118</v>
      </c>
      <c r="BZ182" s="1107" t="s">
        <v>569</v>
      </c>
      <c r="CA182" s="1124"/>
      <c r="CB182" s="1098">
        <f>IF($P182="","N/A",IF($P182=-1,INDEX('卡片raw data'!BE:BE,MATCH($D182,'卡片raw data'!$F:$F,)),0)+IF($L182="party卡",IF($P182=5,INDEX('卡片raw data'!BK:BK,MATCH($D182,'卡片raw data'!$F:$F,)),IF($P182&gt;=3,INDEX('卡片raw data'!BJ:BJ,MATCH($D182,'卡片raw data'!$F:$F,)),INDEX('卡片raw data'!BI:BI,MATCH($D182,'卡片raw data'!$F:$F,)))),IF(OR(AND($F182="UR",$P182=0),AND($F182="SR",$P182&gt;=0,$P182&lt;=2),AND($F182="R",$P182&gt;=0,$P182&lt;4)),INDEX('卡片raw data'!BG:BG,MATCH($D182,'卡片raw data'!$F:$F,)),0)+IF(OR(AND($F182="UR",$P182&gt;=1,$P182&lt;=4),AND($F182="SR",$P182&lt;=4,$P182&gt;=3),AND($F182="R",$P182=4)),INDEX('卡片raw data'!BH:BH,MATCH($D182,'卡片raw data'!$F:$F,)),0)+IF($P182=5,INDEX('卡片raw data'!BI:BI,MATCH($D182,'卡片raw data'!$F:$F,)),0)))</f>
        <v>0</v>
      </c>
      <c r="CC182" s="1101">
        <f t="shared" si="213"/>
        <v>0</v>
      </c>
      <c r="CD182" s="1097">
        <f>IF(BZ182="ap",CB182*(1-$FI$26)*$FB$5/$FB$11*(+IF(CA182="全员",$FA$24,0)+IF(CA182="同作战",$FA$24,0)+IF(CA182="仲间",$FA$24*2/3,0)+IF(CA182="同属性",$FA$24*$FA$37/3,0)+IF(CA182="同年级",$FA$24*$FA$40/3,0)+IF(CA182="同学校",$FA$24*$FA$43/3,0)+IF(CA182="同小队",$FA$24*$FA$46/3,0)+IF(CA182="同type",$FA$24*INDEX($FB$49:$FB$52,MATCH(X182,$FA$49:$FA$52,))/3,0)+IF(CA182="自身",#REF!/3,0)),0)+IF(BZ182="te",CB182*(1-$FI$27)*($FA$20-1)*$FB$7/$FB$13*(+IF(CA182="全员",$FA$19*$FA$24/(1+($FA$20-1)*$FA$19),0)+IF(CA182="同作战",$FA$19*$FA$24/(1+($FA$20-1)*$FA$19),0)+IF(CA182="仲间",$FA$19*$FA$24*2/3/(1+($FA$20-1)*$FA$19),0)+IF(CA182="同属性",$FA$19*$FA$24*$FA$37/3/(1+($FA$20-1)*$FA$19),0)+IF(CA182="同年级",$FA$19*$FA$24*$FA$40/3/(1+($FA$20-1)*$FA$19),0)+IF(CA182="同学校",$FA$19*$FA$24*$FA$43/3/(1+($FA$20-1)*$FA$19),0)+IF(CA182="同小队",$FA$19*$FA$24*$FA$46/3/(1+($FA$20-1)*$FA$19),0)+IF(CA182="同type",$FA$19*$FA$24*INDEX($FB$49:$FB$52,MATCH(X182,$FA$49:$FA$52,))/3/(1+($FA$20-1)*$FA$19),0)+IF(CA182="自身",$FA$19*#REF!/3/(1+(BH182-1)*$BD182),0)),0)</f>
        <v>0</v>
      </c>
      <c r="CE182" s="1097">
        <f t="shared" si="214"/>
        <v>0</v>
      </c>
      <c r="CF182" s="1112">
        <f t="shared" si="215"/>
        <v>0</v>
      </c>
      <c r="CG182" s="1100">
        <f t="shared" si="216"/>
        <v>0</v>
      </c>
      <c r="CH182" s="1110">
        <f t="shared" si="217"/>
        <v>0</v>
      </c>
      <c r="CI182" s="1113" t="s">
        <v>570</v>
      </c>
      <c r="CJ182" s="1114">
        <v>0.4</v>
      </c>
      <c r="CK182" s="1115" t="s">
        <v>635</v>
      </c>
      <c r="CL182" s="1115" t="s">
        <v>1941</v>
      </c>
      <c r="CM182" s="1119">
        <v>0.25</v>
      </c>
      <c r="CN182" s="1115"/>
      <c r="CO182" s="1092"/>
      <c r="CP182" s="1117">
        <f t="shared" si="218"/>
        <v>0</v>
      </c>
      <c r="CQ182" s="1117">
        <f t="shared" si="219"/>
        <v>0</v>
      </c>
      <c r="CR182" s="1117">
        <f t="shared" si="220"/>
        <v>0</v>
      </c>
      <c r="CS182" s="1118">
        <f t="shared" si="221"/>
        <v>0</v>
      </c>
      <c r="CT182" s="1109">
        <f t="shared" si="222"/>
        <v>0</v>
      </c>
      <c r="CU182" s="1101">
        <f t="shared" si="223"/>
        <v>0</v>
      </c>
      <c r="CV182" s="1108">
        <f t="shared" si="224"/>
        <v>0</v>
      </c>
      <c r="CW182" s="1097">
        <f t="shared" si="225"/>
        <v>0</v>
      </c>
      <c r="CX182" s="1097">
        <f t="shared" si="226"/>
        <v>0</v>
      </c>
      <c r="CY182" s="1110">
        <f t="shared" si="227"/>
        <v>0</v>
      </c>
      <c r="CZ182" s="437"/>
      <c r="DA182" s="438"/>
      <c r="DB182" s="439" t="s">
        <v>569</v>
      </c>
      <c r="DC182" s="439"/>
      <c r="DD182" s="443"/>
      <c r="DE182" s="411"/>
      <c r="DF182" s="411"/>
      <c r="DG182" s="1116">
        <f t="shared" si="228"/>
        <v>0</v>
      </c>
      <c r="DH182" s="1116">
        <f t="shared" si="229"/>
        <v>0</v>
      </c>
      <c r="DI182" s="1116">
        <f t="shared" si="230"/>
        <v>0</v>
      </c>
      <c r="DJ182" s="442">
        <f t="shared" si="231"/>
        <v>0</v>
      </c>
      <c r="DK182" s="1109">
        <f t="shared" si="232"/>
        <v>0</v>
      </c>
      <c r="DL182" s="1101">
        <f t="shared" si="233"/>
        <v>0</v>
      </c>
      <c r="DM182" s="1097">
        <f t="shared" si="234"/>
        <v>0</v>
      </c>
      <c r="DN182" s="1097">
        <f t="shared" si="235"/>
        <v>0</v>
      </c>
      <c r="DO182" s="1097">
        <f t="shared" si="236"/>
        <v>0</v>
      </c>
      <c r="DP182" s="1110">
        <f t="shared" si="237"/>
        <v>0</v>
      </c>
      <c r="DQ182" s="1113" t="s">
        <v>549</v>
      </c>
      <c r="DR182" s="1120">
        <f t="shared" si="238"/>
        <v>0.3</v>
      </c>
      <c r="DS182" s="1124"/>
      <c r="DT182" s="1093" t="s">
        <v>179</v>
      </c>
      <c r="DU182" s="1093"/>
      <c r="DV182" s="1098">
        <f>IF($P182="","N/A",IF(P182=-1,INDEX('卡片raw data'!AN:AN,MATCH(D182,'卡片raw data'!$F:$F,)),0)+IF(AND(L182&lt;&gt;"party卡",P182&lt;=2,P182&gt;=0),INDEX('卡片raw data'!AP:AP,MATCH(D182,'卡片raw data'!$F:$F,)),0)+IF(OR(AND(L182="party卡",P182&lt;=1),AND(P182&lt;=4,L182&lt;&gt;"party卡",P182&gt;=3)),INDEX('卡片raw data'!AQ:AQ,MATCH(D182,'卡片raw data'!$F:$F,)),0)+IF(OR(P182=5,AND(L182="party卡",P182&gt;=2)),INDEX('卡片raw data'!AR:AR,MATCH(D182,'卡片raw data'!$F:$F,)),0))</f>
        <v>0.06</v>
      </c>
      <c r="DW182" s="1098">
        <f t="shared" si="239"/>
        <v>0.3</v>
      </c>
      <c r="DX182" s="1098">
        <f t="shared" si="240"/>
        <v>0.3</v>
      </c>
      <c r="DY182" s="1098">
        <f t="shared" si="241"/>
        <v>5.9999999999999993E-3</v>
      </c>
      <c r="DZ182" s="1098">
        <f t="shared" si="242"/>
        <v>5.968499999999999E-3</v>
      </c>
      <c r="EA182" s="1098">
        <f t="shared" si="243"/>
        <v>0</v>
      </c>
      <c r="EB182" s="1121">
        <f t="shared" si="244"/>
        <v>36.568349999999995</v>
      </c>
      <c r="EC182" s="1101">
        <f t="shared" si="245"/>
        <v>2699.9999999999995</v>
      </c>
      <c r="ED182" s="1097">
        <f t="shared" si="246"/>
        <v>1492.1249999999998</v>
      </c>
      <c r="EE182" s="1110">
        <f t="shared" si="247"/>
        <v>2699.9999999999995</v>
      </c>
      <c r="EF182" s="1092" t="s">
        <v>711</v>
      </c>
      <c r="EG182" s="1120">
        <f t="shared" si="248"/>
        <v>0.3</v>
      </c>
      <c r="EH182" s="1124"/>
      <c r="EI182" s="1093"/>
      <c r="EJ182" s="1093"/>
      <c r="EK182" s="1097">
        <f>IF($P182="","N/A",IF(P182=-1,INDEX('卡片raw data'!AS:AS,MATCH(D182,'卡片raw data'!$F:$F,)),0)+IF(AND(L182&lt;&gt;"party卡",P182&lt;=2,P182&gt;=0),INDEX('卡片raw data'!AU:AU,MATCH(D182,'卡片raw data'!$F:$F,)),0)+IF(OR(AND(L182="party卡",P182&lt;=1),AND(P182&lt;=4,L182&lt;&gt;"party卡",P182&gt;=3)),INDEX('卡片raw data'!AV:AV,MATCH(D182,'卡片raw data'!$F:$F,)),0)+IF(OR(P182=5,AND(L182="party卡",P182&gt;=2)),INDEX('卡片raw data'!AW:AW,MATCH(D182,'卡片raw data'!$F:$F,)),0))</f>
        <v>0</v>
      </c>
      <c r="EL182" s="1098">
        <f t="shared" si="249"/>
        <v>0.3</v>
      </c>
      <c r="EM182" s="1098">
        <f t="shared" si="250"/>
        <v>0.3</v>
      </c>
      <c r="EN182" s="1125">
        <f t="shared" si="251"/>
        <v>0</v>
      </c>
      <c r="EO182" s="1125">
        <f t="shared" si="252"/>
        <v>0</v>
      </c>
      <c r="EP182" s="1098">
        <f t="shared" si="253"/>
        <v>0</v>
      </c>
      <c r="EQ182" s="1121">
        <f t="shared" si="254"/>
        <v>0</v>
      </c>
      <c r="ER182" s="1101">
        <f t="shared" si="255"/>
        <v>0</v>
      </c>
      <c r="ES182" s="1097">
        <f t="shared" si="256"/>
        <v>0</v>
      </c>
      <c r="ET182" s="1122">
        <f t="shared" si="257"/>
        <v>0</v>
      </c>
    </row>
    <row r="183" spans="2:150" ht="16.5" customHeight="1">
      <c r="B183" s="1123" t="str">
        <f>INDEX('卡片raw data'!B:B,MATCH($D183,'卡片raw data'!$F:$F,))</f>
        <v>op1曜</v>
      </c>
      <c r="C183" s="449" t="s">
        <v>124</v>
      </c>
      <c r="D183" s="408">
        <v>180</v>
      </c>
      <c r="E183" s="1090">
        <v>401052001</v>
      </c>
      <c r="F183" s="1090" t="str">
        <f>INDEX('卡片raw data'!C:C,MATCH($D183,'卡片raw data'!$F:$F,))</f>
        <v>SR</v>
      </c>
      <c r="G183" s="1094" t="s">
        <v>342</v>
      </c>
      <c r="H183" s="411">
        <f>IFERROR(INDEX(绊状态确认!C:C,MATCH($G183,绊状态确认!$B:$B,)),"")</f>
        <v>105</v>
      </c>
      <c r="I183" s="450" t="str">
        <f>IFERROR(INDEX(绊状态确认!D:D,MATCH($G183,绊状态确认!$B:$B,)),"")</f>
        <v>水</v>
      </c>
      <c r="J183" s="450" t="str">
        <f>IFERROR(INDEX(绊状态确认!E:E,MATCH($G183,绊状态确认!$B:$B,)),"")</f>
        <v>2年级</v>
      </c>
      <c r="K183" s="451" t="str">
        <f>IFERROR(INDEX(绊状态确认!F:F,MATCH($G183,绊状态确认!$B:$B,)),"")</f>
        <v>CYaRon!</v>
      </c>
      <c r="L183" s="1094" t="str">
        <f>INDEX('卡片raw data'!E:E,MATCH($D183,'卡片raw data'!$F:$F,))</f>
        <v>活动卡</v>
      </c>
      <c r="M183" s="415">
        <v>43881</v>
      </c>
      <c r="N183" s="416">
        <v>10</v>
      </c>
      <c r="O183" s="1091" t="str">
        <f>INDEX('卡片raw data'!D:D,MATCH($D183,'卡片raw data'!$F:$F,))</f>
        <v>gd</v>
      </c>
      <c r="P183" s="417">
        <v>5</v>
      </c>
      <c r="Q183" s="1095">
        <f t="shared" si="173"/>
        <v>19843.964571427477</v>
      </c>
      <c r="R183" s="1096">
        <f t="shared" si="174"/>
        <v>0.23</v>
      </c>
      <c r="S183" s="1097">
        <f t="shared" si="175"/>
        <v>11380.111487209047</v>
      </c>
      <c r="T183" s="1098">
        <f t="shared" si="176"/>
        <v>0.56899999999999995</v>
      </c>
      <c r="U183" s="1099">
        <f t="shared" si="177"/>
        <v>82.42835241081201</v>
      </c>
      <c r="V183" s="1100">
        <f t="shared" si="178"/>
        <v>27749.606947958251</v>
      </c>
      <c r="W183" s="1101">
        <f t="shared" si="179"/>
        <v>4507.7214871259994</v>
      </c>
      <c r="X183" s="1096">
        <f t="shared" si="180"/>
        <v>5.1999999999999998E-2</v>
      </c>
      <c r="Y183" s="1097">
        <f t="shared" si="181"/>
        <v>1985.4423695269097</v>
      </c>
      <c r="Z183" s="1102">
        <f t="shared" si="182"/>
        <v>24.928352410812</v>
      </c>
      <c r="AA183" s="1103">
        <f t="shared" si="183"/>
        <v>6493.1638566529091</v>
      </c>
      <c r="AB183" s="1101">
        <f t="shared" si="184"/>
        <v>4507.7214871259994</v>
      </c>
      <c r="AC183" s="1104">
        <f t="shared" si="185"/>
        <v>5.1999999999999998E-2</v>
      </c>
      <c r="AD183" s="1105">
        <f t="shared" si="186"/>
        <v>-3.8207812500000026E-3</v>
      </c>
      <c r="AE183" s="1128">
        <f t="shared" si="187"/>
        <v>-18.525362318840578</v>
      </c>
      <c r="AF183" s="1130">
        <f t="shared" si="188"/>
        <v>0</v>
      </c>
      <c r="AG183" s="420">
        <f t="shared" si="189"/>
        <v>0</v>
      </c>
      <c r="AH183" s="420">
        <f t="shared" si="190"/>
        <v>0</v>
      </c>
      <c r="AI183" s="1097">
        <f t="shared" si="191"/>
        <v>0</v>
      </c>
      <c r="AJ183" s="420">
        <f t="shared" si="192"/>
        <v>0</v>
      </c>
      <c r="AK183" s="518">
        <f t="shared" si="193"/>
        <v>0</v>
      </c>
      <c r="AL183" s="1106">
        <f>IF($P183="","N/A",(IF($P183=-1,INDEX('卡片raw data'!S:S,MATCH($D183,'卡片raw data'!$F:$F,)),0)+IF($P183=0,INDEX('卡片raw data'!V:V,MATCH($D183,'卡片raw data'!$F:$F,)),0)+IF($P183=1,INDEX('卡片raw data'!Y:Y,MATCH($D183,'卡片raw data'!$F:$F,)),0)+IF($P183=2,INDEX('卡片raw data'!AB:AB,MATCH($D183,'卡片raw data'!$F:$F,)),0)+IF($P183=3,INDEX('卡片raw data'!AE:AE,MATCH($D183,'卡片raw data'!$F:$F,)),0)+IF($P183=4,INDEX('卡片raw data'!AH:AH,MATCH($D183,'卡片raw data'!$F:$F,)),0)+IF($P183=5,INDEX('卡片raw data'!AK:AK,MATCH($D183,'卡片raw data'!$F:$F,)),0)+INDEX('卡片raw data'!S:S,MATCH($D183,'卡片raw data'!$F:$F,))*(IF($F183="UR",0.04,0.033))*(IF($F183="UR",INDEX(绊状态确认!$S:$S,MATCH($G183,绊状态确认!$B:$B,))/2-40)+IF($F183="SR",INDEX(绊状态确认!$R:$R,MATCH($G183,绊状态确认!$B:$B,))/4-15))+IF($F183="R",INDEX(绊状态确认!$Q:$Q,MATCH($G183,绊状态确认!$B:$B,))/6-40/6)))*(INDEX(绊状态确认!$H:$H,MATCH($G183,绊状态确认!$B:$B,))+INDEX(绊状态确认!J:J,MATCH($G183,绊状态确认!$B:$B,)))</f>
        <v>5301.1196303999996</v>
      </c>
      <c r="AM183" s="1106">
        <f>IF($P183="","N/A",(IF($P183=-1,INDEX('卡片raw data'!T:T,MATCH($D183,'卡片raw data'!$F:$F,)),0)+IF($P183=0,INDEX('卡片raw data'!W:W,MATCH($D183,'卡片raw data'!$F:$F,)),0)+IF($P183=1,INDEX('卡片raw data'!Z:Z,MATCH($D183,'卡片raw data'!$F:$F,)),0)+IF($P183=2,INDEX('卡片raw data'!AC:AC,MATCH($D183,'卡片raw data'!$F:$F,)),0)+IF($P183=3,INDEX('卡片raw data'!AF:AF,MATCH($D183,'卡片raw data'!$F:$F,)),0)+IF($P183=4,INDEX('卡片raw data'!AI:AI,MATCH($D183,'卡片raw data'!$F:$F,)),0)+IF($P183=5,INDEX('卡片raw data'!AL:AL,MATCH($D183,'卡片raw data'!$F:$F,)),0)+INDEX('卡片raw data'!T:T,MATCH($D183,'卡片raw data'!$F:$F,))*(IF($F183="UR",0.04,0.033))*(IF($F183="UR",INDEX(绊状态确认!$S:$S,MATCH($G183,绊状态确认!$B:$B,))/2-40)+IF($F183="SR",INDEX(绊状态确认!$R:$R,MATCH($G183,绊状态确认!$B:$B,))/4-15))+IF($F183="R",INDEX(绊状态确认!$Q:$Q,MATCH($G183,绊状态确认!$B:$B,))/6-40/6)))*(INDEX(绊状态确认!$H:$H,MATCH($G183,绊状态确认!$B:$B,))+INDEX(绊状态确认!K:K,MATCH($G183,绊状态确认!$B:$B,)))</f>
        <v>5301.1196303999996</v>
      </c>
      <c r="AN183" s="1106">
        <f>IF($P183="","N/A",(IF($P183=-1,INDEX('卡片raw data'!U:U,MATCH($D183,'卡片raw data'!$F:$F,)),0)+IF($P183=0,INDEX('卡片raw data'!X:X,MATCH($D183,'卡片raw data'!$F:$F,)),0)+IF($P183=1,INDEX('卡片raw data'!AA:AA,MATCH($D183,'卡片raw data'!$F:$F,)),0)+IF($P183=2,INDEX('卡片raw data'!AD:AD,MATCH($D183,'卡片raw data'!$F:$F,)),0)+IF($P183=3,INDEX('卡片raw data'!AG:AG,MATCH($D183,'卡片raw data'!$F:$F,)),0)+IF($P183=4,INDEX('卡片raw data'!AJ:AJ,MATCH($D183,'卡片raw data'!$F:$F,)),0)+IF($P183=5,INDEX('卡片raw data'!AM:AM,MATCH($D183,'卡片raw data'!$F:$F,)),0)+INDEX('卡片raw data'!U:U,MATCH($D183,'卡片raw data'!$F:$F,))*(IF($F183="UR",0.04,0.033))*(IF($F183="UR",INDEX(绊状态确认!$S:$S,MATCH($G183,绊状态确认!$B:$B,))/2-40)+IF($F183="SR",INDEX(绊状态确认!$R:$R,MATCH($G183,绊状态确认!$B:$B,))/4-15))+IF($F183="R",INDEX(绊状态确认!$Q:$Q,MATCH($G183,绊状态确认!$B:$B,))/6-40/6)))*(INDEX(绊状态确认!$H:$H,MATCH($G183,绊状态确认!$B:$B,))+INDEX(绊状态确认!L:L,MATCH($G183,绊状态确认!$B:$B,)))</f>
        <v>5462.1543287999993</v>
      </c>
      <c r="AO183" s="1107">
        <f t="shared" si="194"/>
        <v>1</v>
      </c>
      <c r="AP183" s="1131">
        <f>1+(INDEX(绊状态确认!$T:$T,MATCH($G183,绊状态确认!$B:$B,))+0.2)*$AO183</f>
        <v>1.3</v>
      </c>
      <c r="AQ183" s="1108">
        <f t="shared" si="195"/>
        <v>17165.4390298</v>
      </c>
      <c r="AR183" s="1097">
        <f>(AM183*(1+$EX$9)+$EX$35)*(1+(INDEX(绊状态确认!$T:$T,MATCH($G183,绊状态确认!$B:$B,))+0.2)*AO183)*IF(J183=$FF$17,1+$FE$17,1)*IF(I183=$FF$14,1+$FE$14,1)</f>
        <v>9940.0282954960003</v>
      </c>
      <c r="AS183" s="1097">
        <f>(AN183*(1+$EX$10)+$EX$36)*(1+(INDEX(绊状态确认!$T:$T,MATCH($G183,绊状态确认!$B:$B,))+0.2)*AO183)*IF(J183=$FF$17,1+$FE$17,1)*IF(I183=$FF$14,1+$FE$14,1)</f>
        <v>12221.920721556</v>
      </c>
      <c r="AT183" s="1093">
        <f>IF(AND(INDEX('卡片raw data'!AK:AK,MATCH($D183,'卡片raw data'!$F:$F,))&lt;INDEX('卡片raw data'!AM:AM,MATCH($D183,'卡片raw data'!$F:$F,)),INDEX('卡片raw data'!AL:AL,MATCH($D183,'卡片raw data'!$F:$F,))&lt;INDEX('卡片raw data'!AM:AM,MATCH($D183,'卡片raw data'!$F:$F,))),1,0)</f>
        <v>1</v>
      </c>
      <c r="AU183" s="1098">
        <f>MIN(AT183*0.15+AS183*0.00003+INDEX(绊状态确认!M:M,MATCH($G183,绊状态确认!$B:$B,)),1)</f>
        <v>0.54665762164668008</v>
      </c>
      <c r="AV183" s="1109">
        <f>(INDEX(绊状态确认!$N:$N,MATCH($G183,绊状态确认!$B:$B,))+1.5)*$EW$21</f>
        <v>2.6599999999999997</v>
      </c>
      <c r="AW183" s="1101">
        <f t="shared" si="196"/>
        <v>17004.576417634809</v>
      </c>
      <c r="AX183" s="1097">
        <f t="shared" si="197"/>
        <v>847.26773812338718</v>
      </c>
      <c r="AY183" s="1110">
        <f t="shared" si="198"/>
        <v>17851.844155758197</v>
      </c>
      <c r="AZ183" s="429">
        <f t="shared" si="199"/>
        <v>12937.18327928</v>
      </c>
      <c r="BA183" s="431">
        <f t="shared" si="200"/>
        <v>15524.619935135999</v>
      </c>
      <c r="BB183" s="1097">
        <f>(AM183*(1+$FB$9)+$FB$35)*(1+(INDEX(绊状态确认!$T:$T,MATCH($G183,绊状态确认!$B:$B,))+0.2)*AO183)*IF(J183=$FF$17,1+$FE$17,1)*IF(I183=$FF$14,1+$FE$14,1)*(1+$FE$15)</f>
        <v>9940.0282954960003</v>
      </c>
      <c r="BC183" s="1097">
        <f>(AN183*(1+$FB$10)+$FB$36)*(1+(INDEX(绊状态确认!$T:$T,MATCH($G183,绊状态确认!$B:$B,))+0.2)*AO183)*IF(J183=$FF$17,1+$FE$17,1)*IF(I183=$FF$14,1+$FE$14,1)*(1+$FE$15)</f>
        <v>12221.920721556</v>
      </c>
      <c r="BD183" s="1104">
        <f>MIN(AT183*0.15+BC183*0.00003+INDEX(绊状态确认!M:M,MATCH($G183,绊状态确认!$B:$B,)),1)</f>
        <v>0.54665762164668008</v>
      </c>
      <c r="BE183" s="432">
        <f>(INDEX(绊状态确认!$N:$N,MATCH($G183,绊状态确认!$B:$B,))+1.5)</f>
        <v>1.9</v>
      </c>
      <c r="BF183" s="1139">
        <f t="array" ref="BF183">SUMPRODUCT(IF(AZ183*AP183*$FI$16:$FI$23*$FA$22&gt;=$FI$24,$FI$24,AZ183*AP183*$FI$16:$FI$23*$FA$22),$FJ$16:$FJ$23)</f>
        <v>25732.057542487921</v>
      </c>
      <c r="BG183" s="1125">
        <f t="array" ref="BG183">SUMPRODUCT(IF(BE183*AZ183*AP183*$FI$16:$FI$23*$FA$22&gt;=$FI$24,$FI$24,BE183*AZ183*AP183*$FI$16:$FI$23*$FA$22),$FJ$16:$FJ$23)</f>
        <v>48819.489217760951</v>
      </c>
      <c r="BH183" s="1110">
        <f t="shared" si="201"/>
        <v>12784.326010674302</v>
      </c>
      <c r="BI183" s="1111">
        <f>IF(O183="vo",$EW$26/$EW$24*0.05,0)+IF(O183="sk",-$EW$26/$EW$24*(0.05-INDEX(绊状态确认!W:W,MATCH($G183,绊状态确认!$B:$B,)))+0.05*$EW$28,0)+IF(O183="sp",0.05*$EW$32*$EW$30*(1-$EW$33)-(0.05-INDEX(绊状态确认!V:V,MATCH($G183,绊状态确认!$B:$B,)))*$EW$28,0)+IF(O183="gd",-(0.05-INDEX(绊状态确认!X:X,MATCH($G183,绊状态确认!$B:$B,)))*$EW$32*$EW$30*(1-$EW$33),0)</f>
        <v>-585.00000000000011</v>
      </c>
      <c r="BJ183" s="1097">
        <f>IF(O183="vo",0.05*(1-$FI$26)*$FA$24,0)+IF(O183="sk",-(0.05-INDEX(绊状态确认!W:W,MATCH($G183,绊状态确认!$B:$B,)))*(1-$FI$26)*$FA$24+0.05*$FA$26,0)+IF(O183="sp",0.05*$FA$32*$FA$27*(1-$FA$33)/$FA$30+0.05*$FA$29/$FA$69*$FA$27*(1-$FA$33)-(0.05-INDEX(绊状态确认!V:V,MATCH($G183,绊状态确认!$B:$B,)))*$FA$26,0)+IF(O183="gd",-(0.05-INDEX(绊状态确认!X:X,MATCH($G183,绊状态确认!$B:$B,)))*$FA$32*$FA$27*(1-$FA$33)/$FA$30-(0.05-INDEX(绊状态确认!X:X,MATCH($G183,绊状态确认!$B:$B,)))*$FA$29/$FA$69*$FA$27*(1-$FA$33),0)</f>
        <v>-795.00000000000011</v>
      </c>
      <c r="BK183" s="1110">
        <f>IF(O183="vo",$EW$26/$EW$24*0.05+$EW$26*(-HP($EW$62,$EW$65,$EW$64)+HP($EW$62,$EW$65,(1.05-INDEX(绊状态确认!U:U,MATCH($G183,绊状态确认!$B:$B,)))*$EW$64)),0)+IF(O183="sk",-$EW$26/$EW$24*(0.05-INDEX(绊状态确认!W:W,MATCH($G183,绊状态确认!$B:$B,)))+0.05*$EW$29,0)+IF(O183="sp",0.05*$EW$32*$EW$30*(1-$EW$33)-(0.05-INDEX(绊状态确认!V:V,MATCH($G183,绊状态确认!$B:$B,)))*$EW$29,0)+IF(O183="gd",-(0.05-INDEX(绊状态确认!X:X,MATCH($G183,绊状态确认!$B:$B,)))*$EW$32*$EW$30*(1-$EW$33)+$EW$26*(-HP($EW$62,$EW$65,$EW$64)+HP($EW$62,$EW$65,0.95*$EW$64)),0)</f>
        <v>1009.5947725176144</v>
      </c>
      <c r="BL183" s="1111">
        <f t="shared" si="202"/>
        <v>-1083.3333333333333</v>
      </c>
      <c r="BM183" s="1110">
        <f t="shared" si="203"/>
        <v>-830.55555555555543</v>
      </c>
      <c r="BN183" s="1113">
        <f t="shared" si="204"/>
        <v>3</v>
      </c>
      <c r="BO183" s="1097">
        <f t="shared" si="205"/>
        <v>4507.7214871259994</v>
      </c>
      <c r="BP183" s="1100">
        <f t="shared" si="206"/>
        <v>221.34103209030098</v>
      </c>
      <c r="BQ183" s="1113" t="s">
        <v>624</v>
      </c>
      <c r="BR183" s="1124" t="s">
        <v>148</v>
      </c>
      <c r="BS183" s="1098">
        <f>IF($P183="","N/A",IF($P183=-1,INDEX('卡片raw data'!AX:AX,MATCH($D183,'卡片raw data'!$F:$F,)),0)+IF($L183="party卡",IF($P183=5,INDEX('卡片raw data'!BD:BD,MATCH($D183,'卡片raw data'!$F:$F,)),IF($P183&gt;=3,INDEX('卡片raw data'!BC:BC,MATCH($D183,'卡片raw data'!$F:$F,)),INDEX('卡片raw data'!BB:BB,MATCH($D183,'卡片raw data'!$F:$F,)))),IF(OR(AND($F183="UR",$P183=0),AND($F183="SR",$P183&gt;=0,$P183&lt;=2),AND($F183="R",$P183&gt;=0,$P183&lt;4)),INDEX('卡片raw data'!AZ:AZ,MATCH($D183,'卡片raw data'!$F:$F,)),0)+IF(OR(AND($F183="UR",$P183&gt;=1,$P183&lt;=4),AND($F183="SR",$P183&lt;=4,$P183&gt;=3),AND($F183="R",$P183=4)),INDEX('卡片raw data'!BA:BA,MATCH($D183,'卡片raw data'!$F:$F,)),0)+IF($P183=5,INDEX('卡片raw data'!BB:BB,MATCH($D183,'卡片raw data'!$F:$F,)),0)))</f>
        <v>3.2000000000000001E-2</v>
      </c>
      <c r="BT183" s="1101">
        <f t="shared" si="207"/>
        <v>0</v>
      </c>
      <c r="BU183" s="1097">
        <f t="shared" si="208"/>
        <v>0</v>
      </c>
      <c r="BV183" s="1097">
        <f t="shared" si="209"/>
        <v>0</v>
      </c>
      <c r="BW183" s="1112">
        <f t="shared" si="210"/>
        <v>1.498285714285714</v>
      </c>
      <c r="BX183" s="1100">
        <f t="shared" si="211"/>
        <v>117.00848980993118</v>
      </c>
      <c r="BY183" s="1110">
        <f t="shared" si="212"/>
        <v>117.00848980993118</v>
      </c>
      <c r="BZ183" s="1107" t="s">
        <v>569</v>
      </c>
      <c r="CA183" s="1124"/>
      <c r="CB183" s="1098">
        <f>IF($P183="","N/A",IF($P183=-1,INDEX('卡片raw data'!BE:BE,MATCH($D183,'卡片raw data'!$F:$F,)),0)+IF($L183="party卡",IF($P183=5,INDEX('卡片raw data'!BK:BK,MATCH($D183,'卡片raw data'!$F:$F,)),IF($P183&gt;=3,INDEX('卡片raw data'!BJ:BJ,MATCH($D183,'卡片raw data'!$F:$F,)),INDEX('卡片raw data'!BI:BI,MATCH($D183,'卡片raw data'!$F:$F,)))),IF(OR(AND($F183="UR",$P183=0),AND($F183="SR",$P183&gt;=0,$P183&lt;=2),AND($F183="R",$P183&gt;=0,$P183&lt;4)),INDEX('卡片raw data'!BG:BG,MATCH($D183,'卡片raw data'!$F:$F,)),0)+IF(OR(AND($F183="UR",$P183&gt;=1,$P183&lt;=4),AND($F183="SR",$P183&lt;=4,$P183&gt;=3),AND($F183="R",$P183=4)),INDEX('卡片raw data'!BH:BH,MATCH($D183,'卡片raw data'!$F:$F,)),0)+IF($P183=5,INDEX('卡片raw data'!BI:BI,MATCH($D183,'卡片raw data'!$F:$F,)),0)))</f>
        <v>0</v>
      </c>
      <c r="CC183" s="1101">
        <f t="shared" si="213"/>
        <v>0</v>
      </c>
      <c r="CD183" s="1097">
        <f>IF(BZ183="ap",CB183*(1-$FI$26)*$FB$5/$FB$11*(+IF(CA183="全员",$FA$24,0)+IF(CA183="同作战",$FA$24,0)+IF(CA183="仲间",$FA$24*2/3,0)+IF(CA183="同属性",$FA$24*$FA$37/3,0)+IF(CA183="同年级",$FA$24*$FA$40/3,0)+IF(CA183="同学校",$FA$24*$FA$43/3,0)+IF(CA183="同小队",$FA$24*$FA$46/3,0)+IF(CA183="同type",$FA$24*INDEX($FB$49:$FB$52,MATCH(X183,$FA$49:$FA$52,))/3,0)+IF(CA183="自身",#REF!/3,0)),0)+IF(BZ183="te",CB183*(1-$FI$27)*($FA$20-1)*$FB$7/$FB$13*(+IF(CA183="全员",$FA$19*$FA$24/(1+($FA$20-1)*$FA$19),0)+IF(CA183="同作战",$FA$19*$FA$24/(1+($FA$20-1)*$FA$19),0)+IF(CA183="仲间",$FA$19*$FA$24*2/3/(1+($FA$20-1)*$FA$19),0)+IF(CA183="同属性",$FA$19*$FA$24*$FA$37/3/(1+($FA$20-1)*$FA$19),0)+IF(CA183="同年级",$FA$19*$FA$24*$FA$40/3/(1+($FA$20-1)*$FA$19),0)+IF(CA183="同学校",$FA$19*$FA$24*$FA$43/3/(1+($FA$20-1)*$FA$19),0)+IF(CA183="同小队",$FA$19*$FA$24*$FA$46/3/(1+($FA$20-1)*$FA$19),0)+IF(CA183="同type",$FA$19*$FA$24*INDEX($FB$49:$FB$52,MATCH(X183,$FA$49:$FA$52,))/3/(1+($FA$20-1)*$FA$19),0)+IF(CA183="自身",$FA$19*#REF!/3/(1+(BH183-1)*$BD183),0)),0)</f>
        <v>0</v>
      </c>
      <c r="CE183" s="1097">
        <f t="shared" si="214"/>
        <v>0</v>
      </c>
      <c r="CF183" s="1112">
        <f t="shared" si="215"/>
        <v>0</v>
      </c>
      <c r="CG183" s="1100">
        <f t="shared" si="216"/>
        <v>0</v>
      </c>
      <c r="CH183" s="1110">
        <f t="shared" si="217"/>
        <v>0</v>
      </c>
      <c r="CI183" s="1113" t="s">
        <v>162</v>
      </c>
      <c r="CJ183" s="1114">
        <v>0.3</v>
      </c>
      <c r="CK183" s="1115" t="s">
        <v>635</v>
      </c>
      <c r="CL183" s="1115" t="s">
        <v>1944</v>
      </c>
      <c r="CM183" s="1119">
        <v>0.2</v>
      </c>
      <c r="CN183" s="1115"/>
      <c r="CO183" s="1092"/>
      <c r="CP183" s="1116">
        <f t="shared" si="218"/>
        <v>12.780036379923429</v>
      </c>
      <c r="CQ183" s="1116">
        <f t="shared" si="219"/>
        <v>19.880056590991998</v>
      </c>
      <c r="CR183" s="1116">
        <f t="shared" si="220"/>
        <v>12.780036379923429</v>
      </c>
      <c r="CS183" s="1118">
        <f t="shared" si="221"/>
        <v>0</v>
      </c>
      <c r="CT183" s="1109">
        <f t="shared" si="222"/>
        <v>0</v>
      </c>
      <c r="CU183" s="1101">
        <f t="shared" si="223"/>
        <v>0</v>
      </c>
      <c r="CV183" s="1108">
        <f t="shared" si="224"/>
        <v>0</v>
      </c>
      <c r="CW183" s="1097">
        <f t="shared" si="225"/>
        <v>0</v>
      </c>
      <c r="CX183" s="1097">
        <f t="shared" si="226"/>
        <v>1021.1661415935915</v>
      </c>
      <c r="CY183" s="1110">
        <f t="shared" si="227"/>
        <v>1021.1661415935915</v>
      </c>
      <c r="CZ183" s="437"/>
      <c r="DA183" s="438"/>
      <c r="DB183" s="439" t="s">
        <v>569</v>
      </c>
      <c r="DC183" s="439"/>
      <c r="DD183" s="443"/>
      <c r="DE183" s="411"/>
      <c r="DF183" s="411"/>
      <c r="DG183" s="1116">
        <f t="shared" si="228"/>
        <v>0</v>
      </c>
      <c r="DH183" s="1116">
        <f t="shared" si="229"/>
        <v>0</v>
      </c>
      <c r="DI183" s="1116">
        <f t="shared" si="230"/>
        <v>0</v>
      </c>
      <c r="DJ183" s="442">
        <f t="shared" si="231"/>
        <v>0</v>
      </c>
      <c r="DK183" s="1109">
        <f t="shared" si="232"/>
        <v>0</v>
      </c>
      <c r="DL183" s="1101">
        <f t="shared" si="233"/>
        <v>0</v>
      </c>
      <c r="DM183" s="1097">
        <f t="shared" si="234"/>
        <v>0</v>
      </c>
      <c r="DN183" s="1097">
        <f t="shared" si="235"/>
        <v>0</v>
      </c>
      <c r="DO183" s="1097">
        <f t="shared" si="236"/>
        <v>0</v>
      </c>
      <c r="DP183" s="1110">
        <f t="shared" si="237"/>
        <v>0</v>
      </c>
      <c r="DQ183" s="1113" t="s">
        <v>556</v>
      </c>
      <c r="DR183" s="1120">
        <f t="shared" si="238"/>
        <v>0.3</v>
      </c>
      <c r="DS183" s="1124">
        <v>10</v>
      </c>
      <c r="DT183" s="1093" t="s">
        <v>161</v>
      </c>
      <c r="DU183" s="1093" t="s">
        <v>560</v>
      </c>
      <c r="DV183" s="1098">
        <f>IF($P183="","N/A",IF(P183=-1,INDEX('卡片raw data'!AN:AN,MATCH(D183,'卡片raw data'!$F:$F,)),0)+IF(AND(L183&lt;&gt;"party卡",P183&lt;=2,P183&gt;=0),INDEX('卡片raw data'!AP:AP,MATCH(D183,'卡片raw data'!$F:$F,)),0)+IF(OR(AND(L183="party卡",P183&lt;=1),AND(P183&lt;=4,L183&lt;&gt;"party卡",P183&gt;=3)),INDEX('卡片raw data'!AQ:AQ,MATCH(D183,'卡片raw data'!$F:$F,)),0)+IF(OR(P183=5,AND(L183="party卡",P183&gt;=2)),INDEX('卡片raw data'!AR:AR,MATCH(D183,'卡片raw data'!$F:$F,)),0))</f>
        <v>0.1</v>
      </c>
      <c r="DW183" s="1098">
        <f t="shared" si="239"/>
        <v>0.3</v>
      </c>
      <c r="DX183" s="1098">
        <f t="shared" si="240"/>
        <v>0.3</v>
      </c>
      <c r="DY183" s="1098">
        <f t="shared" si="241"/>
        <v>0.1</v>
      </c>
      <c r="DZ183" s="1098">
        <f t="shared" si="242"/>
        <v>8.6500000000000007E-2</v>
      </c>
      <c r="EA183" s="1098">
        <f t="shared" si="243"/>
        <v>0</v>
      </c>
      <c r="EB183" s="1121">
        <f t="shared" si="244"/>
        <v>0</v>
      </c>
      <c r="EC183" s="1101">
        <f t="shared" si="245"/>
        <v>0</v>
      </c>
      <c r="ED183" s="1097">
        <f t="shared" si="246"/>
        <v>0</v>
      </c>
      <c r="EE183" s="1110">
        <f t="shared" si="247"/>
        <v>4325.6052344862483</v>
      </c>
      <c r="EF183" s="1092" t="s">
        <v>711</v>
      </c>
      <c r="EG183" s="1120">
        <f t="shared" si="248"/>
        <v>0.3</v>
      </c>
      <c r="EH183" s="1124"/>
      <c r="EI183" s="1093"/>
      <c r="EJ183" s="1093"/>
      <c r="EK183" s="1097">
        <f>IF($P183="","N/A",IF(P183=-1,INDEX('卡片raw data'!AS:AS,MATCH(D183,'卡片raw data'!$F:$F,)),0)+IF(AND(L183&lt;&gt;"party卡",P183&lt;=2,P183&gt;=0),INDEX('卡片raw data'!AU:AU,MATCH(D183,'卡片raw data'!$F:$F,)),0)+IF(OR(AND(L183="party卡",P183&lt;=1),AND(P183&lt;=4,L183&lt;&gt;"party卡",P183&gt;=3)),INDEX('卡片raw data'!AV:AV,MATCH(D183,'卡片raw data'!$F:$F,)),0)+IF(OR(P183=5,AND(L183="party卡",P183&gt;=2)),INDEX('卡片raw data'!AW:AW,MATCH(D183,'卡片raw data'!$F:$F,)),0))</f>
        <v>0</v>
      </c>
      <c r="EL183" s="1098">
        <f t="shared" si="249"/>
        <v>0.3</v>
      </c>
      <c r="EM183" s="1098">
        <f t="shared" si="250"/>
        <v>0.3</v>
      </c>
      <c r="EN183" s="1125">
        <f t="shared" si="251"/>
        <v>0</v>
      </c>
      <c r="EO183" s="1125">
        <f t="shared" si="252"/>
        <v>0</v>
      </c>
      <c r="EP183" s="1098">
        <f t="shared" si="253"/>
        <v>0</v>
      </c>
      <c r="EQ183" s="1121">
        <f t="shared" si="254"/>
        <v>0</v>
      </c>
      <c r="ER183" s="1101">
        <f t="shared" si="255"/>
        <v>0</v>
      </c>
      <c r="ES183" s="1097">
        <f t="shared" si="256"/>
        <v>0</v>
      </c>
      <c r="ET183" s="1122">
        <f t="shared" si="257"/>
        <v>0</v>
      </c>
    </row>
    <row r="184" spans="2:150" ht="16.5" customHeight="1">
      <c r="B184" s="1123" t="str">
        <f>INDEX('卡片raw data'!B:B,MATCH($D184,'卡片raw data'!$F:$F,))</f>
        <v>fes1鞠</v>
      </c>
      <c r="C184" s="449" t="s">
        <v>66</v>
      </c>
      <c r="D184" s="408">
        <v>181</v>
      </c>
      <c r="E184" s="1090">
        <v>201083001</v>
      </c>
      <c r="F184" s="1090" t="str">
        <f>INDEX('卡片raw data'!C:C,MATCH($D184,'卡片raw data'!$F:$F,))</f>
        <v>UR</v>
      </c>
      <c r="G184" s="1094" t="s">
        <v>40</v>
      </c>
      <c r="H184" s="411">
        <f>IFERROR(INDEX(绊状态确认!C:C,MATCH($G184,绊状态确认!$B:$B,)),"")</f>
        <v>108</v>
      </c>
      <c r="I184" s="450" t="str">
        <f>IFERROR(INDEX(绊状态确认!D:D,MATCH($G184,绊状态确认!$B:$B,)),"")</f>
        <v>水</v>
      </c>
      <c r="J184" s="450" t="str">
        <f>IFERROR(INDEX(绊状态确认!E:E,MATCH($G184,绊状态确认!$B:$B,)),"")</f>
        <v>3年级</v>
      </c>
      <c r="K184" s="451" t="str">
        <f>IFERROR(INDEX(绊状态确认!F:F,MATCH($G184,绊状态确认!$B:$B,)),"")</f>
        <v>Guilty Kiss</v>
      </c>
      <c r="L184" s="1094" t="str">
        <f>INDEX('卡片raw data'!E:E,MATCH($D184,'卡片raw data'!$F:$F,))</f>
        <v>fes卡</v>
      </c>
      <c r="M184" s="415">
        <v>43889</v>
      </c>
      <c r="N184" s="416">
        <v>10.5</v>
      </c>
      <c r="O184" s="1091" t="str">
        <f>INDEX('卡片raw data'!D:D,MATCH($D184,'卡片raw data'!$F:$F,))</f>
        <v>sk</v>
      </c>
      <c r="P184" s="417">
        <v>5</v>
      </c>
      <c r="Q184" s="1095">
        <f t="shared" si="173"/>
        <v>48201.768723395064</v>
      </c>
      <c r="R184" s="1096">
        <f t="shared" si="174"/>
        <v>0.56000000000000005</v>
      </c>
      <c r="S184" s="1097">
        <f t="shared" si="175"/>
        <v>20149.794361441996</v>
      </c>
      <c r="T184" s="1098">
        <f t="shared" si="176"/>
        <v>1.0069999999999999</v>
      </c>
      <c r="U184" s="1099">
        <f t="shared" si="177"/>
        <v>1073.4748013201829</v>
      </c>
      <c r="V184" s="1100">
        <f t="shared" si="178"/>
        <v>100192.48067343576</v>
      </c>
      <c r="W184" s="1101">
        <f t="shared" si="179"/>
        <v>8050.039289092515</v>
      </c>
      <c r="X184" s="1096">
        <f t="shared" si="180"/>
        <v>9.2999999999999999E-2</v>
      </c>
      <c r="Y184" s="1097">
        <f t="shared" si="181"/>
        <v>1555.6808604169482</v>
      </c>
      <c r="Z184" s="1102">
        <f t="shared" si="182"/>
        <v>19.212517205142852</v>
      </c>
      <c r="AA184" s="1103">
        <f t="shared" si="183"/>
        <v>9605.7201495094632</v>
      </c>
      <c r="AB184" s="1101">
        <f t="shared" si="184"/>
        <v>13309.047690739515</v>
      </c>
      <c r="AC184" s="1104">
        <f t="shared" si="185"/>
        <v>0.154</v>
      </c>
      <c r="AD184" s="1105">
        <f t="shared" si="186"/>
        <v>2.1769318181818181E-2</v>
      </c>
      <c r="AE184" s="1128">
        <f t="shared" si="187"/>
        <v>11.953757704745847</v>
      </c>
      <c r="AF184" s="1130">
        <f t="shared" si="188"/>
        <v>12778.936777151999</v>
      </c>
      <c r="AG184" s="420">
        <f t="shared" si="189"/>
        <v>98500.792275200016</v>
      </c>
      <c r="AH184" s="420">
        <f t="shared" si="190"/>
        <v>7.7080585022780408</v>
      </c>
      <c r="AI184" s="1097">
        <f t="shared" si="191"/>
        <v>120428.28725129506</v>
      </c>
      <c r="AJ184" s="420">
        <f t="shared" si="192"/>
        <v>100192.48067343576</v>
      </c>
      <c r="AK184" s="518">
        <f t="shared" si="193"/>
        <v>20235.806577859301</v>
      </c>
      <c r="AL184" s="1106">
        <f>IF($P184="","N/A",(IF($P184=-1,INDEX('卡片raw data'!S:S,MATCH($D184,'卡片raw data'!$F:$F,)),0)+IF($P184=0,INDEX('卡片raw data'!V:V,MATCH($D184,'卡片raw data'!$F:$F,)),0)+IF($P184=1,INDEX('卡片raw data'!Y:Y,MATCH($D184,'卡片raw data'!$F:$F,)),0)+IF($P184=2,INDEX('卡片raw data'!AB:AB,MATCH($D184,'卡片raw data'!$F:$F,)),0)+IF($P184=3,INDEX('卡片raw data'!AE:AE,MATCH($D184,'卡片raw data'!$F:$F,)),0)+IF($P184=4,INDEX('卡片raw data'!AH:AH,MATCH($D184,'卡片raw data'!$F:$F,)),0)+IF($P184=5,INDEX('卡片raw data'!AK:AK,MATCH($D184,'卡片raw data'!$F:$F,)),0)+INDEX('卡片raw data'!S:S,MATCH($D184,'卡片raw data'!$F:$F,))*(IF($F184="UR",0.04,0.033))*(IF($F184="UR",INDEX(绊状态确认!$S:$S,MATCH($G184,绊状态确认!$B:$B,))/2-40)+IF($F184="SR",INDEX(绊状态确认!$R:$R,MATCH($G184,绊状态确认!$B:$B,))/4-15))+IF($F184="R",INDEX(绊状态确认!$Q:$Q,MATCH($G184,绊状态确认!$B:$B,))/6-40/6)))*(INDEX(绊状态确认!$H:$H,MATCH($G184,绊状态确认!$B:$B,))+INDEX(绊状态确认!J:J,MATCH($G184,绊状态确认!$B:$B,)))</f>
        <v>11155.811519999997</v>
      </c>
      <c r="AM184" s="1106">
        <f>IF($P184="","N/A",(IF($P184=-1,INDEX('卡片raw data'!T:T,MATCH($D184,'卡片raw data'!$F:$F,)),0)+IF($P184=0,INDEX('卡片raw data'!W:W,MATCH($D184,'卡片raw data'!$F:$F,)),0)+IF($P184=1,INDEX('卡片raw data'!Z:Z,MATCH($D184,'卡片raw data'!$F:$F,)),0)+IF($P184=2,INDEX('卡片raw data'!AC:AC,MATCH($D184,'卡片raw data'!$F:$F,)),0)+IF($P184=3,INDEX('卡片raw data'!AF:AF,MATCH($D184,'卡片raw data'!$F:$F,)),0)+IF($P184=4,INDEX('卡片raw data'!AI:AI,MATCH($D184,'卡片raw data'!$F:$F,)),0)+IF($P184=5,INDEX('卡片raw data'!AL:AL,MATCH($D184,'卡片raw data'!$F:$F,)),0)+INDEX('卡片raw data'!T:T,MATCH($D184,'卡片raw data'!$F:$F,))*(IF($F184="UR",0.04,0.033))*(IF($F184="UR",INDEX(绊状态确认!$S:$S,MATCH($G184,绊状态确认!$B:$B,))/2-40)+IF($F184="SR",INDEX(绊状态确认!$R:$R,MATCH($G184,绊状态确认!$B:$B,))/4-15))+IF($F184="R",INDEX(绊状态确认!$Q:$Q,MATCH($G184,绊状态确认!$B:$B,))/6-40/6)))*(INDEX(绊状态确认!$H:$H,MATCH($G184,绊状态确认!$B:$B,))+INDEX(绊状态确认!K:K,MATCH($G184,绊状态确认!$B:$B,)))</f>
        <v>11155.811519999997</v>
      </c>
      <c r="AN184" s="1106">
        <f>IF($P184="","N/A",(IF($P184=-1,INDEX('卡片raw data'!U:U,MATCH($D184,'卡片raw data'!$F:$F,)),0)+IF($P184=0,INDEX('卡片raw data'!X:X,MATCH($D184,'卡片raw data'!$F:$F,)),0)+IF($P184=1,INDEX('卡片raw data'!AA:AA,MATCH($D184,'卡片raw data'!$F:$F,)),0)+IF($P184=2,INDEX('卡片raw data'!AD:AD,MATCH($D184,'卡片raw data'!$F:$F,)),0)+IF($P184=3,INDEX('卡片raw data'!AG:AG,MATCH($D184,'卡片raw data'!$F:$F,)),0)+IF($P184=4,INDEX('卡片raw data'!AJ:AJ,MATCH($D184,'卡片raw data'!$F:$F,)),0)+IF($P184=5,INDEX('卡片raw data'!AM:AM,MATCH($D184,'卡片raw data'!$F:$F,)),0)+INDEX('卡片raw data'!U:U,MATCH($D184,'卡片raw data'!$F:$F,))*(IF($F184="UR",0.04,0.033))*(IF($F184="UR",INDEX(绊状态确认!$S:$S,MATCH($G184,绊状态确认!$B:$B,))/2-40)+IF($F184="SR",INDEX(绊状态确认!$R:$R,MATCH($G184,绊状态确认!$B:$B,))/4-15))+IF($F184="R",INDEX(绊状态确认!$Q:$Q,MATCH($G184,绊状态确认!$B:$B,))/6-40/6)))*(INDEX(绊状态确认!$H:$H,MATCH($G184,绊状态确认!$B:$B,))+INDEX(绊状态确认!L:L,MATCH($G184,绊状态确认!$B:$B,)))</f>
        <v>12550.856159999998</v>
      </c>
      <c r="AO184" s="1107">
        <f t="shared" si="194"/>
        <v>1</v>
      </c>
      <c r="AP184" s="1131">
        <f>1+(INDEX(绊状态确认!$T:$T,MATCH($G184,绊状态确认!$B:$B,))+0.2)*$AO184</f>
        <v>1.3</v>
      </c>
      <c r="AQ184" s="1108">
        <f t="shared" si="195"/>
        <v>32534.005239999999</v>
      </c>
      <c r="AR184" s="1097">
        <f>(AM184*(1+$EX$9)+$EX$35)*(1+(INDEX(绊状态确认!$T:$T,MATCH($G184,绊状态确认!$B:$B,))+0.2)*AO184)*IF(J184=$FF$17,1+$FE$17,1)*IF(I184=$FF$14,1+$FE$14,1)*(1+$FE$15)</f>
        <v>17931.682724799997</v>
      </c>
      <c r="AS184" s="1097">
        <f>(AN184*(1+$EX$10)+$EX$36)*(1+(INDEX(绊状态确认!$T:$T,MATCH($G184,绊状态确认!$B:$B,))+0.2)*AO184)*IF(J184=$FF$17,1+$FE$17,1)*IF(I184=$FF$14,1+$FE$14,1)*(1+$FE$15)</f>
        <v>22819.529959199997</v>
      </c>
      <c r="AT184" s="1093">
        <f>IF(AND(INDEX('卡片raw data'!AK:AK,MATCH($D184,'卡片raw data'!$F:$F,))&lt;INDEX('卡片raw data'!AM:AM,MATCH($D184,'卡片raw data'!$F:$F,)),INDEX('卡片raw data'!AL:AL,MATCH($D184,'卡片raw data'!$F:$F,))&lt;INDEX('卡片raw data'!AM:AM,MATCH($D184,'卡片raw data'!$F:$F,))),1,0)</f>
        <v>1</v>
      </c>
      <c r="AU184" s="1098">
        <f>MIN(AT184*0.15+AS184*0.00003+INDEX(绊状态确认!M:M,MATCH($G184,绊状态确认!$B:$B,)),1)</f>
        <v>0.86458589877600001</v>
      </c>
      <c r="AV184" s="1109">
        <f>(INDEX(绊状态确认!$N:$N,MATCH($G184,绊状态确认!$B:$B,))+1.5)*$EW$21</f>
        <v>2.6599999999999997</v>
      </c>
      <c r="AW184" s="1101">
        <f t="shared" si="196"/>
        <v>41146.393667625489</v>
      </c>
      <c r="AX184" s="1097">
        <f t="shared" si="197"/>
        <v>1555.6808604169489</v>
      </c>
      <c r="AY184" s="1110">
        <f t="shared" si="198"/>
        <v>42702.074528042438</v>
      </c>
      <c r="AZ184" s="429">
        <f t="shared" si="199"/>
        <v>24353.832463999996</v>
      </c>
      <c r="BA184" s="431">
        <f t="shared" si="200"/>
        <v>29224.598956799993</v>
      </c>
      <c r="BB184" s="1097">
        <f>(AM184*(1+$FB$9)+$FB$35)*(1+(INDEX(绊状态确认!$T:$T,MATCH($G184,绊状态确认!$B:$B,))+0.2)*AO184)*IF(J184=$FF$17,1+$FE$17,1)*IF(I184=$FF$14,1+$FE$14,1)*(1+$FE$15)</f>
        <v>17931.682724799997</v>
      </c>
      <c r="BC184" s="1097">
        <f>(AN184*(1+$FB$10)+$FB$36)*(1+(INDEX(绊状态确认!$T:$T,MATCH($G184,绊状态确认!$B:$B,))+0.2)*AO184)*IF(J184=$FF$17,1+$FE$17,1)*IF(I184=$FF$14,1+$FE$14,1)*(1+$FE$15)</f>
        <v>22819.529959199997</v>
      </c>
      <c r="BD184" s="1104">
        <f>MIN(AT184*0.15+BC184*0.00003+INDEX(绊状态确认!M:M,MATCH($G184,绊状态确认!$B:$B,)),1)</f>
        <v>0.86458589877600001</v>
      </c>
      <c r="BE184" s="432">
        <f>(INDEX(绊状态确认!$N:$N,MATCH($G184,绊状态确认!$B:$B,))+1.5)</f>
        <v>1.9</v>
      </c>
      <c r="BF184" s="1139">
        <f t="array" ref="BF184">SUMPRODUCT(IF(AZ184*AP184*$FI$16:$FI$23*$FA$22&gt;=$FI$24,$FI$24,AZ184*AP184*$FI$16:$FI$23*$FA$22),$FJ$16:$FJ$23)</f>
        <v>48424.376152287994</v>
      </c>
      <c r="BG184" s="1125">
        <f t="array" ref="BG184">SUMPRODUCT(IF(BE184*AZ184*AP184*$FI$16:$FI$23*$FA$22&gt;=$FI$24,$FI$24,BE184*AZ184*AP184*$FI$16:$FI$23*$FA$22),$FJ$16:$FJ$23)</f>
        <v>60000</v>
      </c>
      <c r="BH184" s="1110">
        <f t="shared" si="201"/>
        <v>19477.499100184992</v>
      </c>
      <c r="BI184" s="1111">
        <f>IF(O184="vo",$EW$26/$EW$24*0.05,0)+IF(O184="sk",-$EW$26/$EW$24*(0.05-INDEX(绊状态确认!W:W,MATCH($G184,绊状态确认!$B:$B,)))+0.05*$EW$28,0)+IF(O184="sp",0.05*$EW$32*$EW$30*(1-$EW$33)-(0.05-INDEX(绊状态确认!V:V,MATCH($G184,绊状态确认!$B:$B,)))*$EW$28,0)+IF(O184="gd",-(0.05-INDEX(绊状态确认!X:X,MATCH($G184,绊状态确认!$B:$B,)))*$EW$32*$EW$30*(1-$EW$33),0)</f>
        <v>-6253.6726349699375</v>
      </c>
      <c r="BJ184" s="1097">
        <f>IF(O184="vo",0.05*(1-$FI$26)*$FA$24,0)+IF(O184="sk",-(0.05-INDEX(绊状态确认!W:W,MATCH($G184,绊状态确认!$B:$B,)))*(1-$FI$26)*$FA$24+0.05*$FA$26,0)+IF(O184="sp",0.05*$FA$32*$FA$27*(1-$FA$33)/$FA$30+0.05*$FA$29/$FA$69*$FA$27*(1-$FA$33)-(0.05-INDEX(绊状态确认!V:V,MATCH($G184,绊状态确认!$B:$B,)))*$FA$26,0)+IF(O184="gd",-(0.05-INDEX(绊状态确认!X:X,MATCH($G184,绊状态确认!$B:$B,)))*$FA$32*$FA$27*(1-$FA$33)/$FA$30-(0.05-INDEX(绊状态确认!X:X,MATCH($G184,绊状态确认!$B:$B,)))*$FA$29/$FA$69*$FA$27*(1-$FA$33),0)</f>
        <v>20.459096812499922</v>
      </c>
      <c r="BK184" s="1110">
        <f>IF(O184="vo",$EW$26/$EW$24*0.05+$EW$26*(-HP($EW$62,$EW$65,$EW$64)+HP($EW$62,$EW$65,(1.05-INDEX(绊状态确认!U:U,MATCH($G184,绊状态确认!$B:$B,)))*$EW$64)),0)+IF(O184="sk",-$EW$26/$EW$24*(0.05-INDEX(绊状态确认!W:W,MATCH($G184,绊状态确认!$B:$B,)))+0.05*$EW$29,0)+IF(O184="sp",0.05*$EW$32*$EW$30*(1-$EW$33)-(0.05-INDEX(绊状态确认!V:V,MATCH($G184,绊状态确认!$B:$B,)))*$EW$29,0)+IF(O184="gd",-(0.05-INDEX(绊状态确认!X:X,MATCH($G184,绊状态确认!$B:$B,)))*$EW$32*$EW$30*(1-$EW$33)+$EW$26*(-HP($EW$62,$EW$65,$EW$64)+HP($EW$62,$EW$65,0.95*$EW$64)),0)</f>
        <v>-4253.6726349699375</v>
      </c>
      <c r="BL184" s="1111">
        <f t="shared" si="202"/>
        <v>0</v>
      </c>
      <c r="BM184" s="1110">
        <f t="shared" si="203"/>
        <v>0</v>
      </c>
      <c r="BN184" s="1113">
        <f t="shared" si="204"/>
        <v>4</v>
      </c>
      <c r="BO184" s="1097">
        <f t="shared" si="205"/>
        <v>6010.2953161679998</v>
      </c>
      <c r="BP184" s="1100">
        <f t="shared" si="206"/>
        <v>295.12137612040135</v>
      </c>
      <c r="BQ184" s="1113" t="s">
        <v>143</v>
      </c>
      <c r="BR184" s="1124" t="s">
        <v>146</v>
      </c>
      <c r="BS184" s="1098">
        <f>IF($P184="","N/A",IF($P184=-1,INDEX('卡片raw data'!AX:AX,MATCH($D184,'卡片raw data'!$F:$F,)),0)+IF($L184="party卡",IF($P184=5,INDEX('卡片raw data'!BD:BD,MATCH($D184,'卡片raw data'!$F:$F,)),IF($P184&gt;=3,INDEX('卡片raw data'!BC:BC,MATCH($D184,'卡片raw data'!$F:$F,)),INDEX('卡片raw data'!BB:BB,MATCH($D184,'卡片raw data'!$F:$F,)))),IF(OR(AND($F184="UR",$P184=0),AND($F184="SR",$P184&gt;=0,$P184&lt;=2),AND($F184="R",$P184&gt;=0,$P184&lt;4)),INDEX('卡片raw data'!AZ:AZ,MATCH($D184,'卡片raw data'!$F:$F,)),0)+IF(OR(AND($F184="UR",$P184&gt;=1,$P184&lt;=4),AND($F184="SR",$P184&lt;=4,$P184&gt;=3),AND($F184="R",$P184=4)),INDEX('卡片raw data'!BA:BA,MATCH($D184,'卡片raw data'!$F:$F,)),0)+IF($P184=5,INDEX('卡片raw data'!BB:BB,MATCH($D184,'卡片raw data'!$F:$F,)),0)))</f>
        <v>7.0000000000000007E-2</v>
      </c>
      <c r="BT184" s="1101">
        <f t="shared" si="207"/>
        <v>5259.008401647</v>
      </c>
      <c r="BU184" s="1097">
        <f t="shared" si="208"/>
        <v>258.2312041053512</v>
      </c>
      <c r="BV184" s="1097">
        <f t="shared" si="209"/>
        <v>0</v>
      </c>
      <c r="BW184" s="1112">
        <f t="shared" si="210"/>
        <v>0</v>
      </c>
      <c r="BX184" s="1100">
        <f t="shared" si="211"/>
        <v>5259.008401647</v>
      </c>
      <c r="BY184" s="1110">
        <f t="shared" si="212"/>
        <v>0</v>
      </c>
      <c r="BZ184" s="1107" t="s">
        <v>569</v>
      </c>
      <c r="CA184" s="1124"/>
      <c r="CB184" s="1098">
        <f>IF($P184="","N/A",IF($P184=-1,INDEX('卡片raw data'!BE:BE,MATCH($D184,'卡片raw data'!$F:$F,)),0)+IF($L184="party卡",IF($P184=5,INDEX('卡片raw data'!BK:BK,MATCH($D184,'卡片raw data'!$F:$F,)),IF($P184&gt;=3,INDEX('卡片raw data'!BJ:BJ,MATCH($D184,'卡片raw data'!$F:$F,)),INDEX('卡片raw data'!BI:BI,MATCH($D184,'卡片raw data'!$F:$F,)))),IF(OR(AND($F184="UR",$P184=0),AND($F184="SR",$P184&gt;=0,$P184&lt;=2),AND($F184="R",$P184&gt;=0,$P184&lt;4)),INDEX('卡片raw data'!BG:BG,MATCH($D184,'卡片raw data'!$F:$F,)),0)+IF(OR(AND($F184="UR",$P184&gt;=1,$P184&lt;=4),AND($F184="SR",$P184&lt;=4,$P184&gt;=3),AND($F184="R",$P184=4)),INDEX('卡片raw data'!BH:BH,MATCH($D184,'卡片raw data'!$F:$F,)),0)+IF($P184=5,INDEX('卡片raw data'!BI:BI,MATCH($D184,'卡片raw data'!$F:$F,)),0)))</f>
        <v>0</v>
      </c>
      <c r="CC184" s="1101">
        <f t="shared" si="213"/>
        <v>0</v>
      </c>
      <c r="CD184" s="1097">
        <f>IF(BZ184="ap",CB184*(1-$FI$26)*$FB$5/$FB$11*(+IF(CA184="全员",$FA$24,0)+IF(CA184="同作战",$FA$24,0)+IF(CA184="仲间",$FA$24*2/3,0)+IF(CA184="同属性",$FA$24*$FA$37/3,0)+IF(CA184="同年级",$FA$24*$FA$40/3,0)+IF(CA184="同学校",$FA$24*$FA$43/3,0)+IF(CA184="同小队",$FA$24*$FA$46/3,0)+IF(CA184="同type",$FA$24*INDEX($FB$49:$FB$52,MATCH(X184,$FA$49:$FA$52,))/3,0)+IF(CA184="自身",#REF!/3,0)),0)+IF(BZ184="te",CB184*(1-$FI$27)*($FA$20-1)*$FB$7/$FB$13*(+IF(CA184="全员",$FA$19*$FA$24/(1+($FA$20-1)*$FA$19),0)+IF(CA184="同作战",$FA$19*$FA$24/(1+($FA$20-1)*$FA$19),0)+IF(CA184="仲间",$FA$19*$FA$24*2/3/(1+($FA$20-1)*$FA$19),0)+IF(CA184="同属性",$FA$19*$FA$24*$FA$37/3/(1+($FA$20-1)*$FA$19),0)+IF(CA184="同年级",$FA$19*$FA$24*$FA$40/3/(1+($FA$20-1)*$FA$19),0)+IF(CA184="同学校",$FA$19*$FA$24*$FA$43/3/(1+($FA$20-1)*$FA$19),0)+IF(CA184="同小队",$FA$19*$FA$24*$FA$46/3/(1+($FA$20-1)*$FA$19),0)+IF(CA184="同type",$FA$19*$FA$24*INDEX($FB$49:$FB$52,MATCH(X184,$FA$49:$FA$52,))/3/(1+($FA$20-1)*$FA$19),0)+IF(CA184="自身",$FA$19*#REF!/3/(1+(BH184-1)*$BD184),0)),0)</f>
        <v>0</v>
      </c>
      <c r="CE184" s="1097">
        <f t="shared" si="214"/>
        <v>0</v>
      </c>
      <c r="CF184" s="1112">
        <f t="shared" si="215"/>
        <v>0</v>
      </c>
      <c r="CG184" s="1100">
        <f t="shared" si="216"/>
        <v>0</v>
      </c>
      <c r="CH184" s="1110">
        <f t="shared" si="217"/>
        <v>0</v>
      </c>
      <c r="CI184" s="1113" t="s">
        <v>165</v>
      </c>
      <c r="CJ184" s="1114">
        <v>0.3</v>
      </c>
      <c r="CK184" s="1115" t="s">
        <v>167</v>
      </c>
      <c r="CL184" s="1115" t="s">
        <v>161</v>
      </c>
      <c r="CM184" s="1119">
        <v>0.05</v>
      </c>
      <c r="CN184" s="1115" t="s">
        <v>163</v>
      </c>
      <c r="CO184" s="1092"/>
      <c r="CP184" s="1118">
        <f t="shared" si="218"/>
        <v>1.4999999999999999E-2</v>
      </c>
      <c r="CQ184" s="1118">
        <f t="shared" si="219"/>
        <v>1.4999999999999999E-2</v>
      </c>
      <c r="CR184" s="1118">
        <f t="shared" si="220"/>
        <v>1.4999999999999999E-2</v>
      </c>
      <c r="CS184" s="1118">
        <f t="shared" si="221"/>
        <v>0</v>
      </c>
      <c r="CT184" s="1109">
        <f t="shared" si="222"/>
        <v>0</v>
      </c>
      <c r="CU184" s="1101">
        <f t="shared" si="223"/>
        <v>2039.743972924515</v>
      </c>
      <c r="CV184" s="1108">
        <f t="shared" si="224"/>
        <v>98.483584218750011</v>
      </c>
      <c r="CW184" s="1097">
        <f t="shared" si="225"/>
        <v>2039.743972924515</v>
      </c>
      <c r="CX184" s="1097">
        <f t="shared" si="226"/>
        <v>2039.743972924515</v>
      </c>
      <c r="CY184" s="1110">
        <f t="shared" si="227"/>
        <v>2039.743972924515</v>
      </c>
      <c r="CZ184" s="437"/>
      <c r="DA184" s="438"/>
      <c r="DB184" s="439" t="s">
        <v>569</v>
      </c>
      <c r="DC184" s="439"/>
      <c r="DD184" s="443"/>
      <c r="DE184" s="411"/>
      <c r="DF184" s="411"/>
      <c r="DG184" s="1116">
        <f t="shared" si="228"/>
        <v>0</v>
      </c>
      <c r="DH184" s="1116">
        <f t="shared" si="229"/>
        <v>0</v>
      </c>
      <c r="DI184" s="1116">
        <f t="shared" si="230"/>
        <v>0</v>
      </c>
      <c r="DJ184" s="442">
        <f t="shared" si="231"/>
        <v>0</v>
      </c>
      <c r="DK184" s="1109">
        <f t="shared" si="232"/>
        <v>0</v>
      </c>
      <c r="DL184" s="1101">
        <f t="shared" si="233"/>
        <v>0</v>
      </c>
      <c r="DM184" s="1097">
        <f t="shared" si="234"/>
        <v>0</v>
      </c>
      <c r="DN184" s="1097">
        <f t="shared" si="235"/>
        <v>0</v>
      </c>
      <c r="DO184" s="1097">
        <f t="shared" si="236"/>
        <v>0</v>
      </c>
      <c r="DP184" s="1110">
        <f t="shared" si="237"/>
        <v>0</v>
      </c>
      <c r="DQ184" s="1113" t="s">
        <v>635</v>
      </c>
      <c r="DR184" s="1120">
        <f t="shared" si="238"/>
        <v>0.33</v>
      </c>
      <c r="DS184" s="1124"/>
      <c r="DT184" s="1093" t="s">
        <v>134</v>
      </c>
      <c r="DU184" s="1093"/>
      <c r="DV184" s="1098">
        <f>IF($P184="","N/A",IF(P184=-1,INDEX('卡片raw data'!AN:AN,MATCH(D184,'卡片raw data'!$F:$F,)),0)+IF(AND(L184&lt;&gt;"party卡",P184&lt;=2,P184&gt;=0),INDEX('卡片raw data'!AP:AP,MATCH(D184,'卡片raw data'!$F:$F,)),0)+IF(OR(AND(L184="party卡",P184&lt;=1),AND(P184&lt;=4,L184&lt;&gt;"party卡",P184&gt;=3)),INDEX('卡片raw data'!AQ:AQ,MATCH(D184,'卡片raw data'!$F:$F,)),0)+IF(OR(P184=5,AND(L184="party卡",P184&gt;=2)),INDEX('卡片raw data'!AR:AR,MATCH(D184,'卡片raw data'!$F:$F,)),0))</f>
        <v>0.4</v>
      </c>
      <c r="DW184" s="1098">
        <f t="shared" si="239"/>
        <v>0.33</v>
      </c>
      <c r="DX184" s="1098">
        <f t="shared" si="240"/>
        <v>0.33</v>
      </c>
      <c r="DY184" s="1125">
        <f t="shared" si="241"/>
        <v>1004.0593182048</v>
      </c>
      <c r="DZ184" s="1125">
        <f t="shared" si="242"/>
        <v>868.51131024715198</v>
      </c>
      <c r="EA184" s="1098">
        <f t="shared" si="243"/>
        <v>0</v>
      </c>
      <c r="EB184" s="1121">
        <f t="shared" si="244"/>
        <v>0</v>
      </c>
      <c r="EC184" s="1101">
        <f t="shared" si="245"/>
        <v>0</v>
      </c>
      <c r="ED184" s="1097">
        <f t="shared" si="246"/>
        <v>0</v>
      </c>
      <c r="EE184" s="1110">
        <f t="shared" si="247"/>
        <v>48435.03108962375</v>
      </c>
      <c r="EF184" s="1092" t="s">
        <v>711</v>
      </c>
      <c r="EG184" s="1120">
        <f t="shared" si="248"/>
        <v>0.33</v>
      </c>
      <c r="EH184" s="1124"/>
      <c r="EI184" s="1093"/>
      <c r="EJ184" s="1093"/>
      <c r="EK184" s="1097">
        <f>IF($P184="","N/A",IF(P184=-1,INDEX('卡片raw data'!AS:AS,MATCH(D184,'卡片raw data'!$F:$F,)),0)+IF(AND(L184&lt;&gt;"party卡",P184&lt;=2,P184&gt;=0),INDEX('卡片raw data'!AU:AU,MATCH(D184,'卡片raw data'!$F:$F,)),0)+IF(OR(AND(L184="party卡",P184&lt;=1),AND(P184&lt;=4,L184&lt;&gt;"party卡",P184&gt;=3)),INDEX('卡片raw data'!AV:AV,MATCH(D184,'卡片raw data'!$F:$F,)),0)+IF(OR(P184=5,AND(L184="party卡",P184&gt;=2)),INDEX('卡片raw data'!AW:AW,MATCH(D184,'卡片raw data'!$F:$F,)),0))</f>
        <v>0</v>
      </c>
      <c r="EL184" s="1098">
        <f t="shared" si="249"/>
        <v>0.33</v>
      </c>
      <c r="EM184" s="1098">
        <f t="shared" si="250"/>
        <v>0.33</v>
      </c>
      <c r="EN184" s="1125">
        <f t="shared" si="251"/>
        <v>0</v>
      </c>
      <c r="EO184" s="1125">
        <f t="shared" si="252"/>
        <v>0</v>
      </c>
      <c r="EP184" s="1098">
        <f t="shared" si="253"/>
        <v>0</v>
      </c>
      <c r="EQ184" s="1121">
        <f t="shared" si="254"/>
        <v>0</v>
      </c>
      <c r="ER184" s="1101">
        <f t="shared" si="255"/>
        <v>0</v>
      </c>
      <c r="ES184" s="1097">
        <f t="shared" si="256"/>
        <v>0</v>
      </c>
      <c r="ET184" s="1122">
        <f t="shared" si="257"/>
        <v>0</v>
      </c>
    </row>
    <row r="185" spans="2:150" ht="16.5" customHeight="1">
      <c r="B185" s="1123" t="str">
        <f>INDEX('卡片raw data'!B:B,MATCH($D185,'卡片raw data'!$F:$F,))</f>
        <v>fes1彼</v>
      </c>
      <c r="C185" s="449" t="s">
        <v>22</v>
      </c>
      <c r="D185" s="408">
        <v>182</v>
      </c>
      <c r="E185" s="1090">
        <v>202063001</v>
      </c>
      <c r="F185" s="1090" t="str">
        <f>INDEX('卡片raw data'!C:C,MATCH($D185,'卡片raw data'!$F:$F,))</f>
        <v>UR</v>
      </c>
      <c r="G185" s="1094" t="s">
        <v>50</v>
      </c>
      <c r="H185" s="411">
        <f>IFERROR(INDEX(绊状态确认!C:C,MATCH($G185,绊状态确认!$B:$B,)),"")</f>
        <v>206</v>
      </c>
      <c r="I185" s="450" t="str">
        <f>IFERROR(INDEX(绊状态确认!D:D,MATCH($G185,绊状态确认!$B:$B,)),"")</f>
        <v>虹</v>
      </c>
      <c r="J185" s="450" t="str">
        <f>IFERROR(INDEX(绊状态确认!E:E,MATCH($G185,绊状态确认!$B:$B,)),"")</f>
        <v>3年级</v>
      </c>
      <c r="K185" s="451" t="str">
        <f>IFERROR(INDEX(绊状态确认!F:F,MATCH($G185,绊状态确认!$B:$B,)),"")</f>
        <v>QU4RTZ</v>
      </c>
      <c r="L185" s="1094" t="str">
        <f>INDEX('卡片raw data'!E:E,MATCH($D185,'卡片raw data'!$F:$F,))</f>
        <v>fes卡</v>
      </c>
      <c r="M185" s="415">
        <v>43889</v>
      </c>
      <c r="N185" s="416">
        <v>10.5</v>
      </c>
      <c r="O185" s="1091" t="str">
        <f>INDEX('卡片raw data'!D:D,MATCH($D185,'卡片raw data'!$F:$F,))</f>
        <v>vo</v>
      </c>
      <c r="P185" s="417">
        <v>5</v>
      </c>
      <c r="Q185" s="1095">
        <f t="shared" si="173"/>
        <v>72642.363093861379</v>
      </c>
      <c r="R185" s="1096">
        <f t="shared" si="174"/>
        <v>0.84399999999999997</v>
      </c>
      <c r="S185" s="1097">
        <f t="shared" si="175"/>
        <v>20953.839040992076</v>
      </c>
      <c r="T185" s="1098">
        <f t="shared" si="176"/>
        <v>1.0469999999999999</v>
      </c>
      <c r="U185" s="1099">
        <f t="shared" si="177"/>
        <v>-13.080937768857146</v>
      </c>
      <c r="V185" s="1100">
        <f t="shared" si="178"/>
        <v>72288.386190632184</v>
      </c>
      <c r="W185" s="1101">
        <f t="shared" si="179"/>
        <v>12993.795686182206</v>
      </c>
      <c r="X185" s="1096">
        <f t="shared" si="180"/>
        <v>0.151</v>
      </c>
      <c r="Y185" s="1097">
        <f t="shared" si="181"/>
        <v>950.69154701250591</v>
      </c>
      <c r="Z185" s="1102">
        <f t="shared" si="182"/>
        <v>11.919062231142854</v>
      </c>
      <c r="AA185" s="1103">
        <f t="shared" si="183"/>
        <v>13944.487233194712</v>
      </c>
      <c r="AB185" s="1101">
        <f t="shared" si="184"/>
        <v>12993.795686182206</v>
      </c>
      <c r="AC185" s="1104">
        <f t="shared" si="185"/>
        <v>0.151</v>
      </c>
      <c r="AD185" s="1105">
        <f t="shared" si="186"/>
        <v>0</v>
      </c>
      <c r="AE185" s="1128">
        <f t="shared" si="187"/>
        <v>0</v>
      </c>
      <c r="AF185" s="1130">
        <f t="shared" si="188"/>
        <v>0</v>
      </c>
      <c r="AG185" s="420">
        <f t="shared" si="189"/>
        <v>0</v>
      </c>
      <c r="AH185" s="420">
        <f t="shared" si="190"/>
        <v>0</v>
      </c>
      <c r="AI185" s="1097">
        <f t="shared" si="191"/>
        <v>0</v>
      </c>
      <c r="AJ185" s="420">
        <f t="shared" si="192"/>
        <v>0</v>
      </c>
      <c r="AK185" s="518">
        <f t="shared" si="193"/>
        <v>0</v>
      </c>
      <c r="AL185" s="1106">
        <f>IF($P185="","N/A",(IF($P185=-1,INDEX('卡片raw data'!S:S,MATCH($D185,'卡片raw data'!$F:$F,)),0)+IF($P185=0,INDEX('卡片raw data'!V:V,MATCH($D185,'卡片raw data'!$F:$F,)),0)+IF($P185=1,INDEX('卡片raw data'!Y:Y,MATCH($D185,'卡片raw data'!$F:$F,)),0)+IF($P185=2,INDEX('卡片raw data'!AB:AB,MATCH($D185,'卡片raw data'!$F:$F,)),0)+IF($P185=3,INDEX('卡片raw data'!AE:AE,MATCH($D185,'卡片raw data'!$F:$F,)),0)+IF($P185=4,INDEX('卡片raw data'!AH:AH,MATCH($D185,'卡片raw data'!$F:$F,)),0)+IF($P185=5,INDEX('卡片raw data'!AK:AK,MATCH($D185,'卡片raw data'!$F:$F,)),0)+INDEX('卡片raw data'!S:S,MATCH($D185,'卡片raw data'!$F:$F,))*(IF($F185="UR",0.04,0.033))*(IF($F185="UR",INDEX(绊状态确认!$S:$S,MATCH($G185,绊状态确认!$B:$B,))/2-40)+IF($F185="SR",INDEX(绊状态确认!$R:$R,MATCH($G185,绊状态确认!$B:$B,))/4-15))+IF($F185="R",INDEX(绊状态确认!$Q:$Q,MATCH($G185,绊状态确认!$B:$B,))/6-40/6)))*(INDEX(绊状态确认!$H:$H,MATCH($G185,绊状态确认!$B:$B,))+INDEX(绊状态确认!J:J,MATCH($G185,绊状态确认!$B:$B,)))</f>
        <v>14736.107903999999</v>
      </c>
      <c r="AM185" s="1106">
        <f>IF($P185="","N/A",(IF($P185=-1,INDEX('卡片raw data'!T:T,MATCH($D185,'卡片raw data'!$F:$F,)),0)+IF($P185=0,INDEX('卡片raw data'!W:W,MATCH($D185,'卡片raw data'!$F:$F,)),0)+IF($P185=1,INDEX('卡片raw data'!Z:Z,MATCH($D185,'卡片raw data'!$F:$F,)),0)+IF($P185=2,INDEX('卡片raw data'!AC:AC,MATCH($D185,'卡片raw data'!$F:$F,)),0)+IF($P185=3,INDEX('卡片raw data'!AF:AF,MATCH($D185,'卡片raw data'!$F:$F,)),0)+IF($P185=4,INDEX('卡片raw data'!AI:AI,MATCH($D185,'卡片raw data'!$F:$F,)),0)+IF($P185=5,INDEX('卡片raw data'!AL:AL,MATCH($D185,'卡片raw data'!$F:$F,)),0)+INDEX('卡片raw data'!T:T,MATCH($D185,'卡片raw data'!$F:$F,))*(IF($F185="UR",0.04,0.033))*(IF($F185="UR",INDEX(绊状态确认!$S:$S,MATCH($G185,绊状态确认!$B:$B,))/2-40)+IF($F185="SR",INDEX(绊状态确认!$R:$R,MATCH($G185,绊状态确认!$B:$B,))/4-15))+IF($F185="R",INDEX(绊状态确认!$Q:$Q,MATCH($G185,绊状态确认!$B:$B,))/6-40/6)))*(INDEX(绊状态确认!$H:$H,MATCH($G185,绊状态确认!$B:$B,))+INDEX(绊状态确认!K:K,MATCH($G185,绊状态确认!$B:$B,)))</f>
        <v>6168.8337599999986</v>
      </c>
      <c r="AN185" s="1106">
        <f>IF($P185="","N/A",(IF($P185=-1,INDEX('卡片raw data'!U:U,MATCH($D185,'卡片raw data'!$F:$F,)),0)+IF($P185=0,INDEX('卡片raw data'!X:X,MATCH($D185,'卡片raw data'!$F:$F,)),0)+IF($P185=1,INDEX('卡片raw data'!AA:AA,MATCH($D185,'卡片raw data'!$F:$F,)),0)+IF($P185=2,INDEX('卡片raw data'!AD:AD,MATCH($D185,'卡片raw data'!$F:$F,)),0)+IF($P185=3,INDEX('卡片raw data'!AG:AG,MATCH($D185,'卡片raw data'!$F:$F,)),0)+IF($P185=4,INDEX('卡片raw data'!AJ:AJ,MATCH($D185,'卡片raw data'!$F:$F,)),0)+IF($P185=5,INDEX('卡片raw data'!AM:AM,MATCH($D185,'卡片raw data'!$F:$F,)),0)+INDEX('卡片raw data'!U:U,MATCH($D185,'卡片raw data'!$F:$F,))*(IF($F185="UR",0.04,0.033))*(IF($F185="UR",INDEX(绊状态确认!$S:$S,MATCH($G185,绊状态确认!$B:$B,))/2-40)+IF($F185="SR",INDEX(绊状态确认!$R:$R,MATCH($G185,绊状态确认!$B:$B,))/4-15))+IF($F185="R",INDEX(绊状态确认!$Q:$Q,MATCH($G185,绊状态确认!$B:$B,))/6-40/6)))*(INDEX(绊状态确认!$H:$H,MATCH($G185,绊状态确认!$B:$B,))+INDEX(绊状态确认!L:L,MATCH($G185,绊状态确认!$B:$B,)))</f>
        <v>13365.382223999997</v>
      </c>
      <c r="AO185" s="1107">
        <f t="shared" si="194"/>
        <v>1</v>
      </c>
      <c r="AP185" s="1131">
        <f>1+(INDEX(绊状态确认!$T:$T,MATCH($G185,绊状态确认!$B:$B,))+0.2)*$AO185</f>
        <v>1.3</v>
      </c>
      <c r="AQ185" s="1108">
        <f t="shared" si="195"/>
        <v>41932.283248000007</v>
      </c>
      <c r="AR185" s="1097">
        <f>(AM185*(1+$EX$9)+$EX$35)*(1+(INDEX(绊状态确认!$T:$T,MATCH($G185,绊状态确认!$B:$B,))+0.2)*AO185)*IF(J185=$FF$17,1+$FE$17,1)*IF(I185=$FF$14,1+$FE$14,1)*(1+$FE$15)</f>
        <v>11124.458082399999</v>
      </c>
      <c r="AS185" s="1097">
        <f>(AN185*(1+$EX$10)+$EX$36)*(1+(INDEX(绊状态确认!$T:$T,MATCH($G185,绊状态确认!$B:$B,))+0.2)*AO185)*IF(J185=$FF$17,1+$FE$17,1)*IF(I185=$FF$14,1+$FE$14,1)*(1+$FE$15)</f>
        <v>24037.246424879995</v>
      </c>
      <c r="AT185" s="1093">
        <f>IF(AND(INDEX('卡片raw data'!AK:AK,MATCH($D185,'卡片raw data'!$F:$F,))&lt;INDEX('卡片raw data'!AM:AM,MATCH($D185,'卡片raw data'!$F:$F,)),INDEX('卡片raw data'!AL:AL,MATCH($D185,'卡片raw data'!$F:$F,))&lt;INDEX('卡片raw data'!AM:AM,MATCH($D185,'卡片raw data'!$F:$F,))),1,0)</f>
        <v>0</v>
      </c>
      <c r="AU185" s="1098">
        <f>MIN(AT185*0.15+AS185*0.00003+INDEX(绊状态确认!M:M,MATCH($G185,绊状态确认!$B:$B,)),1)</f>
        <v>0.75111739274639988</v>
      </c>
      <c r="AV185" s="1109">
        <f>(INDEX(绊状态确认!$N:$N,MATCH($G185,绊状态确认!$B:$B,))+1.5)*$EW$21</f>
        <v>2.6599999999999997</v>
      </c>
      <c r="AW185" s="1101">
        <f t="shared" si="196"/>
        <v>48930.63998631217</v>
      </c>
      <c r="AX185" s="1097">
        <f t="shared" si="197"/>
        <v>950.69154701250602</v>
      </c>
      <c r="AY185" s="1110">
        <f t="shared" si="198"/>
        <v>49881.331533324679</v>
      </c>
      <c r="AZ185" s="429">
        <f t="shared" si="199"/>
        <v>31335.410412799996</v>
      </c>
      <c r="BA185" s="431">
        <f t="shared" si="200"/>
        <v>37602.492495359991</v>
      </c>
      <c r="BB185" s="1097">
        <f>(AM185*(1+$FB$9)+$FB$35)*(1+(INDEX(绊状态确认!$T:$T,MATCH($G185,绊状态确认!$B:$B,))+0.2)*AO185)*IF(J185=$FF$17,1+$FE$17,1)*IF(I185=$FF$14,1+$FE$14,1)*(1+$FE$15)</f>
        <v>11124.458082399999</v>
      </c>
      <c r="BC185" s="1097">
        <f>(AN185*(1+$FB$10)+$FB$36)*(1+(INDEX(绊状态确认!$T:$T,MATCH($G185,绊状态确认!$B:$B,))+0.2)*AO185)*IF(J185=$FF$17,1+$FE$17,1)*IF(I185=$FF$14,1+$FE$14,1)*(1+$FE$15)</f>
        <v>24037.246424879995</v>
      </c>
      <c r="BD185" s="1104">
        <f>MIN(AT185*0.15+BC185*0.00003+INDEX(绊状态确认!M:M,MATCH($G185,绊状态确认!$B:$B,)),1)</f>
        <v>0.75111739274639988</v>
      </c>
      <c r="BE185" s="432">
        <f>(INDEX(绊状态确认!$N:$N,MATCH($G185,绊状态确认!$B:$B,))+1.5)</f>
        <v>1.9</v>
      </c>
      <c r="BF185" s="1139">
        <f t="array" ref="BF185">SUMPRODUCT(IF(AZ185*AP185*$FI$16:$FI$23*$FA$22&gt;=$FI$24,$FI$24,AZ185*AP185*$FI$16:$FI$23*$FA$22),$FJ$16:$FJ$23)</f>
        <v>57590.097774419199</v>
      </c>
      <c r="BG185" s="1125">
        <f t="array" ref="BG185">SUMPRODUCT(IF(BE185*AZ185*AP185*$FI$16:$FI$23*$FA$22&gt;=$FI$24,$FI$24,BE185*AZ185*AP185*$FI$16:$FI$23*$FA$22),$FJ$16:$FJ$23)</f>
        <v>60000</v>
      </c>
      <c r="BH185" s="1110">
        <f t="shared" si="201"/>
        <v>19800.072416957064</v>
      </c>
      <c r="BI185" s="1111">
        <f>IF(O185="vo",$EW$26/$EW$24*0.05,0)+IF(O185="sk",-$EW$26/$EW$24*(0.05-INDEX(绊状态确认!W:W,MATCH($G185,绊状态确认!$B:$B,)))+0.05*$EW$28,0)+IF(O185="sp",0.05*$EW$32*$EW$30*(1-$EW$33)-(0.05-INDEX(绊状态确认!V:V,MATCH($G185,绊状态确认!$B:$B,)))*$EW$28,0)+IF(O185="gd",-(0.05-INDEX(绊状态确认!X:X,MATCH($G185,绊状态确认!$B:$B,)))*$EW$32*$EW$30*(1-$EW$33),0)</f>
        <v>7726.3029277443748</v>
      </c>
      <c r="BJ185" s="1097">
        <f>IF(O185="vo",0.05*(1-$FI$26)*$FA$24,0)+IF(O185="sk",-(0.05-INDEX(绊状态确认!W:W,MATCH($G185,绊状态确认!$B:$B,)))*(1-$FI$26)*$FA$24+0.05*$FA$26,0)+IF(O185="sp",0.05*$FA$32*$FA$27*(1-$FA$33)/$FA$30+0.05*$FA$29/$FA$69*$FA$27*(1-$FA$33)-(0.05-INDEX(绊状态确认!V:V,MATCH($G185,绊状态确认!$B:$B,)))*$FA$26,0)+IF(O185="gd",-(0.05-INDEX(绊状态确认!X:X,MATCH($G185,绊状态确认!$B:$B,)))*$FA$32*$FA$27*(1-$FA$33)/$FA$30-(0.05-INDEX(绊状态确认!X:X,MATCH($G185,绊状态确认!$B:$B,)))*$FA$29/$FA$69*$FA$27*(1-$FA$33),0)</f>
        <v>393.93433687500004</v>
      </c>
      <c r="BK185" s="1110">
        <f>IF(O185="vo",$EW$26/$EW$24*0.05+$EW$26*(-HP($EW$62,$EW$65,$EW$64)+HP($EW$62,$EW$65,(1.05-INDEX(绊状态确认!U:U,MATCH($G185,绊状态确认!$B:$B,)))*$EW$64)),0)+IF(O185="sk",-$EW$26/$EW$24*(0.05-INDEX(绊状态确认!W:W,MATCH($G185,绊状态确认!$B:$B,)))+0.05*$EW$29,0)+IF(O185="sp",0.05*$EW$32*$EW$30*(1-$EW$33)-(0.05-INDEX(绊状态确认!V:V,MATCH($G185,绊状态确认!$B:$B,)))*$EW$29,0)+IF(O185="gd",-(0.05-INDEX(绊状态确认!X:X,MATCH($G185,绊状态确认!$B:$B,)))*$EW$32*$EW$30*(1-$EW$33)+$EW$26*(-HP($EW$62,$EW$65,$EW$64)+HP($EW$62,$EW$65,0.95*$EW$64)),0)</f>
        <v>6421.6344775026746</v>
      </c>
      <c r="BL185" s="1111">
        <f t="shared" si="202"/>
        <v>0</v>
      </c>
      <c r="BM185" s="1110">
        <f t="shared" si="203"/>
        <v>0</v>
      </c>
      <c r="BN185" s="1113">
        <f t="shared" si="204"/>
        <v>4</v>
      </c>
      <c r="BO185" s="1097">
        <f t="shared" si="205"/>
        <v>6010.2953161679998</v>
      </c>
      <c r="BP185" s="1100">
        <f t="shared" si="206"/>
        <v>295.12137612040135</v>
      </c>
      <c r="BQ185" s="1113" t="s">
        <v>143</v>
      </c>
      <c r="BR185" s="1124" t="s">
        <v>147</v>
      </c>
      <c r="BS185" s="1098">
        <f>IF($P185="","N/A",IF($P185=-1,INDEX('卡片raw data'!AX:AX,MATCH($D185,'卡片raw data'!$F:$F,)),0)+IF($L185="party卡",IF($P185=5,INDEX('卡片raw data'!BD:BD,MATCH($D185,'卡片raw data'!$F:$F,)),IF($P185&gt;=3,INDEX('卡片raw data'!BC:BC,MATCH($D185,'卡片raw data'!$F:$F,)),INDEX('卡片raw data'!BB:BB,MATCH($D185,'卡片raw data'!$F:$F,)))),IF(OR(AND($F185="UR",$P185=0),AND($F185="SR",$P185&gt;=0,$P185&lt;=2),AND($F185="R",$P185&gt;=0,$P185&lt;4)),INDEX('卡片raw data'!AZ:AZ,MATCH($D185,'卡片raw data'!$F:$F,)),0)+IF(OR(AND($F185="UR",$P185&gt;=1,$P185&lt;=4),AND($F185="SR",$P185&lt;=4,$P185&gt;=3),AND($F185="R",$P185=4)),INDEX('卡片raw data'!BA:BA,MATCH($D185,'卡片raw data'!$F:$F,)),0)+IF($P185=5,INDEX('卡片raw data'!BB:BB,MATCH($D185,'卡片raw data'!$F:$F,)),0)))</f>
        <v>4.2000000000000003E-2</v>
      </c>
      <c r="BT185" s="1101">
        <f t="shared" si="207"/>
        <v>3155.4050409881997</v>
      </c>
      <c r="BU185" s="1097">
        <f t="shared" si="208"/>
        <v>154.93872246321072</v>
      </c>
      <c r="BV185" s="1097">
        <f t="shared" si="209"/>
        <v>3155.4050409882002</v>
      </c>
      <c r="BW185" s="1112">
        <f t="shared" si="210"/>
        <v>0</v>
      </c>
      <c r="BX185" s="1100">
        <f t="shared" si="211"/>
        <v>3155.4050409881997</v>
      </c>
      <c r="BY185" s="1110">
        <f t="shared" si="212"/>
        <v>3155.4050409882002</v>
      </c>
      <c r="BZ185" s="1107" t="s">
        <v>569</v>
      </c>
      <c r="CA185" s="1124"/>
      <c r="CB185" s="1098">
        <f>IF($P185="","N/A",IF($P185=-1,INDEX('卡片raw data'!BE:BE,MATCH($D185,'卡片raw data'!$F:$F,)),0)+IF($L185="party卡",IF($P185=5,INDEX('卡片raw data'!BK:BK,MATCH($D185,'卡片raw data'!$F:$F,)),IF($P185&gt;=3,INDEX('卡片raw data'!BJ:BJ,MATCH($D185,'卡片raw data'!$F:$F,)),INDEX('卡片raw data'!BI:BI,MATCH($D185,'卡片raw data'!$F:$F,)))),IF(OR(AND($F185="UR",$P185=0),AND($F185="SR",$P185&gt;=0,$P185&lt;=2),AND($F185="R",$P185&gt;=0,$P185&lt;4)),INDEX('卡片raw data'!BG:BG,MATCH($D185,'卡片raw data'!$F:$F,)),0)+IF(OR(AND($F185="UR",$P185&gt;=1,$P185&lt;=4),AND($F185="SR",$P185&lt;=4,$P185&gt;=3),AND($F185="R",$P185=4)),INDEX('卡片raw data'!BH:BH,MATCH($D185,'卡片raw data'!$F:$F,)),0)+IF($P185=5,INDEX('卡片raw data'!BI:BI,MATCH($D185,'卡片raw data'!$F:$F,)),0)))</f>
        <v>0</v>
      </c>
      <c r="CC185" s="1101">
        <f t="shared" si="213"/>
        <v>0</v>
      </c>
      <c r="CD185" s="1097">
        <f>IF(BZ185="ap",CB185*(1-$FI$26)*$FB$5/$FB$11*(+IF(CA185="全员",$FA$24,0)+IF(CA185="同作战",$FA$24,0)+IF(CA185="仲间",$FA$24*2/3,0)+IF(CA185="同属性",$FA$24*$FA$37/3,0)+IF(CA185="同年级",$FA$24*$FA$40/3,0)+IF(CA185="同学校",$FA$24*$FA$43/3,0)+IF(CA185="同小队",$FA$24*$FA$46/3,0)+IF(CA185="同type",$FA$24*INDEX($FB$49:$FB$52,MATCH(X185,$FA$49:$FA$52,))/3,0)+IF(CA185="自身",#REF!/3,0)),0)+IF(BZ185="te",CB185*(1-$FI$27)*($FA$20-1)*$FB$7/$FB$13*(+IF(CA185="全员",$FA$19*$FA$24/(1+($FA$20-1)*$FA$19),0)+IF(CA185="同作战",$FA$19*$FA$24/(1+($FA$20-1)*$FA$19),0)+IF(CA185="仲间",$FA$19*$FA$24*2/3/(1+($FA$20-1)*$FA$19),0)+IF(CA185="同属性",$FA$19*$FA$24*$FA$37/3/(1+($FA$20-1)*$FA$19),0)+IF(CA185="同年级",$FA$19*$FA$24*$FA$40/3/(1+($FA$20-1)*$FA$19),0)+IF(CA185="同学校",$FA$19*$FA$24*$FA$43/3/(1+($FA$20-1)*$FA$19),0)+IF(CA185="同小队",$FA$19*$FA$24*$FA$46/3/(1+($FA$20-1)*$FA$19),0)+IF(CA185="同type",$FA$19*$FA$24*INDEX($FB$49:$FB$52,MATCH(X185,$FA$49:$FA$52,))/3/(1+($FA$20-1)*$FA$19),0)+IF(CA185="自身",$FA$19*#REF!/3/(1+(BH185-1)*$BD185),0)),0)</f>
        <v>0</v>
      </c>
      <c r="CE185" s="1097">
        <f t="shared" si="214"/>
        <v>0</v>
      </c>
      <c r="CF185" s="1112">
        <f t="shared" si="215"/>
        <v>0</v>
      </c>
      <c r="CG185" s="1100">
        <f t="shared" si="216"/>
        <v>0</v>
      </c>
      <c r="CH185" s="1110">
        <f t="shared" si="217"/>
        <v>0</v>
      </c>
      <c r="CI185" s="1113" t="s">
        <v>162</v>
      </c>
      <c r="CJ185" s="1114">
        <v>0.3</v>
      </c>
      <c r="CK185" s="1115" t="s">
        <v>1655</v>
      </c>
      <c r="CL185" s="1115" t="s">
        <v>161</v>
      </c>
      <c r="CM185" s="1119">
        <v>0.05</v>
      </c>
      <c r="CN185" s="1115" t="s">
        <v>163</v>
      </c>
      <c r="CO185" s="1092">
        <v>1</v>
      </c>
      <c r="CP185" s="1118">
        <f t="shared" si="218"/>
        <v>2.8151292857142858E-2</v>
      </c>
      <c r="CQ185" s="1118">
        <f t="shared" si="219"/>
        <v>2.8151292857142858E-2</v>
      </c>
      <c r="CR185" s="1118">
        <f t="shared" si="220"/>
        <v>2.8151292857142858E-2</v>
      </c>
      <c r="CS185" s="1118">
        <f t="shared" si="221"/>
        <v>0</v>
      </c>
      <c r="CT185" s="1109">
        <f t="shared" si="222"/>
        <v>0</v>
      </c>
      <c r="CU185" s="1101">
        <f t="shared" si="223"/>
        <v>3828.0953290260063</v>
      </c>
      <c r="CV185" s="1108">
        <f t="shared" si="224"/>
        <v>184.82934806420829</v>
      </c>
      <c r="CW185" s="1097">
        <f t="shared" si="225"/>
        <v>3828.0953290260063</v>
      </c>
      <c r="CX185" s="1097">
        <f t="shared" si="226"/>
        <v>3828.0953290260063</v>
      </c>
      <c r="CY185" s="1110">
        <f t="shared" si="227"/>
        <v>3828.0953290260063</v>
      </c>
      <c r="CZ185" s="437"/>
      <c r="DA185" s="438"/>
      <c r="DB185" s="439" t="s">
        <v>569</v>
      </c>
      <c r="DC185" s="439"/>
      <c r="DD185" s="443"/>
      <c r="DE185" s="411"/>
      <c r="DF185" s="411"/>
      <c r="DG185" s="1116">
        <f t="shared" si="228"/>
        <v>0</v>
      </c>
      <c r="DH185" s="1116">
        <f t="shared" si="229"/>
        <v>0</v>
      </c>
      <c r="DI185" s="1116">
        <f t="shared" si="230"/>
        <v>0</v>
      </c>
      <c r="DJ185" s="442">
        <f t="shared" si="231"/>
        <v>0</v>
      </c>
      <c r="DK185" s="1109">
        <f t="shared" si="232"/>
        <v>0</v>
      </c>
      <c r="DL185" s="1101">
        <f t="shared" si="233"/>
        <v>0</v>
      </c>
      <c r="DM185" s="1097">
        <f t="shared" si="234"/>
        <v>0</v>
      </c>
      <c r="DN185" s="1097">
        <f t="shared" si="235"/>
        <v>0</v>
      </c>
      <c r="DO185" s="1097">
        <f t="shared" si="236"/>
        <v>0</v>
      </c>
      <c r="DP185" s="1110">
        <f t="shared" si="237"/>
        <v>0</v>
      </c>
      <c r="DQ185" s="1113" t="s">
        <v>153</v>
      </c>
      <c r="DR185" s="1120">
        <f t="shared" si="238"/>
        <v>0.33</v>
      </c>
      <c r="DS185" s="1124">
        <v>5</v>
      </c>
      <c r="DT185" s="1093" t="s">
        <v>169</v>
      </c>
      <c r="DU185" s="1093" t="s">
        <v>544</v>
      </c>
      <c r="DV185" s="1098">
        <f>IF($P185="","N/A",IF(P185=-1,INDEX('卡片raw data'!AN:AN,MATCH(D185,'卡片raw data'!$F:$F,)),0)+IF(AND(L185&lt;&gt;"party卡",P185&lt;=2,P185&gt;=0),INDEX('卡片raw data'!AP:AP,MATCH(D185,'卡片raw data'!$F:$F,)),0)+IF(OR(AND(L185="party卡",P185&lt;=1),AND(P185&lt;=4,L185&lt;&gt;"party卡",P185&gt;=3)),INDEX('卡片raw data'!AQ:AQ,MATCH(D185,'卡片raw data'!$F:$F,)),0)+IF(OR(P185=5,AND(L185="party卡",P185&gt;=2)),INDEX('卡片raw data'!AR:AR,MATCH(D185,'卡片raw data'!$F:$F,)),0))</f>
        <v>7.1999999999999995E-2</v>
      </c>
      <c r="DW185" s="1098">
        <f t="shared" si="239"/>
        <v>0.33</v>
      </c>
      <c r="DX185" s="1098">
        <f t="shared" si="240"/>
        <v>0.33</v>
      </c>
      <c r="DY185" s="1098">
        <f t="shared" si="241"/>
        <v>2.2000000000000002E-2</v>
      </c>
      <c r="DZ185" s="1098">
        <f t="shared" si="242"/>
        <v>1.9030000000000002E-2</v>
      </c>
      <c r="EA185" s="1098">
        <f t="shared" si="243"/>
        <v>0</v>
      </c>
      <c r="EB185" s="1121">
        <f t="shared" si="244"/>
        <v>0</v>
      </c>
      <c r="EC185" s="1101">
        <f t="shared" si="245"/>
        <v>2991.6244936226226</v>
      </c>
      <c r="ED185" s="1097">
        <f t="shared" si="246"/>
        <v>124.94284051218752</v>
      </c>
      <c r="EE185" s="1110">
        <f t="shared" si="247"/>
        <v>2991.6244936226226</v>
      </c>
      <c r="EF185" s="1092" t="s">
        <v>711</v>
      </c>
      <c r="EG185" s="1120">
        <f t="shared" si="248"/>
        <v>0.33</v>
      </c>
      <c r="EH185" s="1124"/>
      <c r="EI185" s="1093"/>
      <c r="EJ185" s="1093"/>
      <c r="EK185" s="1097">
        <f>IF($P185="","N/A",IF(P185=-1,INDEX('卡片raw data'!AS:AS,MATCH(D185,'卡片raw data'!$F:$F,)),0)+IF(AND(L185&lt;&gt;"party卡",P185&lt;=2,P185&gt;=0),INDEX('卡片raw data'!AU:AU,MATCH(D185,'卡片raw data'!$F:$F,)),0)+IF(OR(AND(L185="party卡",P185&lt;=1),AND(P185&lt;=4,L185&lt;&gt;"party卡",P185&gt;=3)),INDEX('卡片raw data'!AV:AV,MATCH(D185,'卡片raw data'!$F:$F,)),0)+IF(OR(P185=5,AND(L185="party卡",P185&gt;=2)),INDEX('卡片raw data'!AW:AW,MATCH(D185,'卡片raw data'!$F:$F,)),0))</f>
        <v>0</v>
      </c>
      <c r="EL185" s="1098">
        <f t="shared" si="249"/>
        <v>0.33</v>
      </c>
      <c r="EM185" s="1098">
        <f t="shared" si="250"/>
        <v>0.33</v>
      </c>
      <c r="EN185" s="1125">
        <f t="shared" si="251"/>
        <v>0</v>
      </c>
      <c r="EO185" s="1125">
        <f t="shared" si="252"/>
        <v>0</v>
      </c>
      <c r="EP185" s="1098">
        <f t="shared" si="253"/>
        <v>0</v>
      </c>
      <c r="EQ185" s="1121">
        <f t="shared" si="254"/>
        <v>0</v>
      </c>
      <c r="ER185" s="1101">
        <f t="shared" si="255"/>
        <v>0</v>
      </c>
      <c r="ES185" s="1097">
        <f t="shared" si="256"/>
        <v>0</v>
      </c>
      <c r="ET185" s="1122">
        <f t="shared" si="257"/>
        <v>0</v>
      </c>
    </row>
    <row r="186" spans="2:150" ht="16.5" customHeight="1">
      <c r="B186" s="1123" t="str">
        <f>INDEX('卡片raw data'!B:B,MATCH($D186,'卡片raw data'!$F:$F,))</f>
        <v>彩虹艾</v>
      </c>
      <c r="C186" s="449" t="s">
        <v>124</v>
      </c>
      <c r="D186" s="408">
        <v>183</v>
      </c>
      <c r="E186" s="1090">
        <v>302082001</v>
      </c>
      <c r="F186" s="1090" t="str">
        <f>INDEX('卡片raw data'!C:C,MATCH($D186,'卡片raw data'!$F:$F,))</f>
        <v>SR</v>
      </c>
      <c r="G186" s="1094" t="s">
        <v>351</v>
      </c>
      <c r="H186" s="411">
        <f>IFERROR(INDEX(绊状态确认!C:C,MATCH($G186,绊状态确认!$B:$B,)),"")</f>
        <v>208</v>
      </c>
      <c r="I186" s="450" t="str">
        <f>IFERROR(INDEX(绊状态确认!D:D,MATCH($G186,绊状态确认!$B:$B,)),"")</f>
        <v>虹</v>
      </c>
      <c r="J186" s="450" t="str">
        <f>IFERROR(INDEX(绊状态确认!E:E,MATCH($G186,绊状态确认!$B:$B,)),"")</f>
        <v>3年级</v>
      </c>
      <c r="K186" s="451" t="str">
        <f>IFERROR(INDEX(绊状态确认!F:F,MATCH($G186,绊状态确认!$B:$B,)),"")</f>
        <v>QU4RTZ</v>
      </c>
      <c r="L186" s="1094" t="str">
        <f>INDEX('卡片raw data'!E:E,MATCH($D186,'卡片raw data'!$F:$F,))</f>
        <v>卡池卡</v>
      </c>
      <c r="M186" s="415">
        <v>43889</v>
      </c>
      <c r="N186" s="416">
        <v>10.5</v>
      </c>
      <c r="O186" s="1091" t="str">
        <f>INDEX('卡片raw data'!D:D,MATCH($D186,'卡片raw data'!$F:$F,))</f>
        <v>sp</v>
      </c>
      <c r="P186" s="417">
        <v>5</v>
      </c>
      <c r="Q186" s="1095">
        <f t="shared" si="173"/>
        <v>26832.126356217534</v>
      </c>
      <c r="R186" s="1096">
        <f t="shared" si="174"/>
        <v>0.311</v>
      </c>
      <c r="S186" s="1097">
        <f t="shared" si="175"/>
        <v>15071.814560256542</v>
      </c>
      <c r="T186" s="1098">
        <f t="shared" si="176"/>
        <v>0.753</v>
      </c>
      <c r="U186" s="1099">
        <f t="shared" si="177"/>
        <v>13.000528755368572</v>
      </c>
      <c r="V186" s="1100">
        <f t="shared" si="178"/>
        <v>26065.797119257157</v>
      </c>
      <c r="W186" s="1101">
        <f t="shared" si="179"/>
        <v>6804.5786845416033</v>
      </c>
      <c r="X186" s="1096">
        <f t="shared" si="180"/>
        <v>7.9000000000000001E-2</v>
      </c>
      <c r="Y186" s="1097">
        <f t="shared" si="181"/>
        <v>1033.670763039624</v>
      </c>
      <c r="Z186" s="1102">
        <f t="shared" si="182"/>
        <v>13.000528755368572</v>
      </c>
      <c r="AA186" s="1103">
        <f t="shared" si="183"/>
        <v>7838.2494475812273</v>
      </c>
      <c r="AB186" s="1101">
        <f t="shared" si="184"/>
        <v>6804.5786845416033</v>
      </c>
      <c r="AC186" s="1104">
        <f t="shared" si="185"/>
        <v>7.9000000000000001E-2</v>
      </c>
      <c r="AD186" s="1105">
        <f t="shared" si="186"/>
        <v>-4.4144986979166769E-3</v>
      </c>
      <c r="AE186" s="1128">
        <f t="shared" si="187"/>
        <v>6.1858119235836586</v>
      </c>
      <c r="AF186" s="1130">
        <f t="shared" si="188"/>
        <v>0</v>
      </c>
      <c r="AG186" s="420">
        <f t="shared" si="189"/>
        <v>0</v>
      </c>
      <c r="AH186" s="420">
        <f t="shared" si="190"/>
        <v>0</v>
      </c>
      <c r="AI186" s="1097">
        <f t="shared" si="191"/>
        <v>0</v>
      </c>
      <c r="AJ186" s="420">
        <f t="shared" si="192"/>
        <v>0</v>
      </c>
      <c r="AK186" s="518">
        <f t="shared" si="193"/>
        <v>0</v>
      </c>
      <c r="AL186" s="1106">
        <f>IF($P186="","N/A",(IF($P186=-1,INDEX('卡片raw data'!S:S,MATCH($D186,'卡片raw data'!$F:$F,)),0)+IF($P186=0,INDEX('卡片raw data'!V:V,MATCH($D186,'卡片raw data'!$F:$F,)),0)+IF($P186=1,INDEX('卡片raw data'!Y:Y,MATCH($D186,'卡片raw data'!$F:$F,)),0)+IF($P186=2,INDEX('卡片raw data'!AB:AB,MATCH($D186,'卡片raw data'!$F:$F,)),0)+IF($P186=3,INDEX('卡片raw data'!AE:AE,MATCH($D186,'卡片raw data'!$F:$F,)),0)+IF($P186=4,INDEX('卡片raw data'!AH:AH,MATCH($D186,'卡片raw data'!$F:$F,)),0)+IF($P186=5,INDEX('卡片raw data'!AK:AK,MATCH($D186,'卡片raw data'!$F:$F,)),0)+INDEX('卡片raw data'!S:S,MATCH($D186,'卡片raw data'!$F:$F,))*(IF($F186="UR",0.04,0.033))*(IF($F186="UR",INDEX(绊状态确认!$S:$S,MATCH($G186,绊状态确认!$B:$B,))/2-40)+IF($F186="SR",INDEX(绊状态确认!$R:$R,MATCH($G186,绊状态确认!$B:$B,))/4-15))+IF($F186="R",INDEX(绊状态确认!$Q:$Q,MATCH($G186,绊状态确认!$B:$B,))/6-40/6)))*(INDEX(绊状态确认!$H:$H,MATCH($G186,绊状态确认!$B:$B,))+INDEX(绊状态确认!J:J,MATCH($G186,绊状态确认!$B:$B,)))</f>
        <v>5883.8291855999996</v>
      </c>
      <c r="AM186" s="1106">
        <f>IF($P186="","N/A",(IF($P186=-1,INDEX('卡片raw data'!T:T,MATCH($D186,'卡片raw data'!$F:$F,)),0)+IF($P186=0,INDEX('卡片raw data'!W:W,MATCH($D186,'卡片raw data'!$F:$F,)),0)+IF($P186=1,INDEX('卡片raw data'!Z:Z,MATCH($D186,'卡片raw data'!$F:$F,)),0)+IF($P186=2,INDEX('卡片raw data'!AC:AC,MATCH($D186,'卡片raw data'!$F:$F,)),0)+IF($P186=3,INDEX('卡片raw data'!AF:AF,MATCH($D186,'卡片raw data'!$F:$F,)),0)+IF($P186=4,INDEX('卡片raw data'!AI:AI,MATCH($D186,'卡片raw data'!$F:$F,)),0)+IF($P186=5,INDEX('卡片raw data'!AL:AL,MATCH($D186,'卡片raw data'!$F:$F,)),0)+INDEX('卡片raw data'!T:T,MATCH($D186,'卡片raw data'!$F:$F,))*(IF($F186="UR",0.04,0.033))*(IF($F186="UR",INDEX(绊状态确认!$S:$S,MATCH($G186,绊状态确认!$B:$B,))/2-40)+IF($F186="SR",INDEX(绊状态确认!$R:$R,MATCH($G186,绊状态确认!$B:$B,))/4-15))+IF($F186="R",INDEX(绊状态确认!$Q:$Q,MATCH($G186,绊状态确认!$B:$B,))/6-40/6)))*(INDEX(绊状态确认!$H:$H,MATCH($G186,绊状态确认!$B:$B,))+INDEX(绊状态确认!K:K,MATCH($G186,绊状态确认!$B:$B,)))</f>
        <v>5883.8291855999996</v>
      </c>
      <c r="AN186" s="1106">
        <f>IF($P186="","N/A",(IF($P186=-1,INDEX('卡片raw data'!U:U,MATCH($D186,'卡片raw data'!$F:$F,)),0)+IF($P186=0,INDEX('卡片raw data'!X:X,MATCH($D186,'卡片raw data'!$F:$F,)),0)+IF($P186=1,INDEX('卡片raw data'!AA:AA,MATCH($D186,'卡片raw data'!$F:$F,)),0)+IF($P186=2,INDEX('卡片raw data'!AD:AD,MATCH($D186,'卡片raw data'!$F:$F,)),0)+IF($P186=3,INDEX('卡片raw data'!AG:AG,MATCH($D186,'卡片raw data'!$F:$F,)),0)+IF($P186=4,INDEX('卡片raw data'!AJ:AJ,MATCH($D186,'卡片raw data'!$F:$F,)),0)+IF($P186=5,INDEX('卡片raw data'!AM:AM,MATCH($D186,'卡片raw data'!$F:$F,)),0)+INDEX('卡片raw data'!U:U,MATCH($D186,'卡片raw data'!$F:$F,))*(IF($F186="UR",0.04,0.033))*(IF($F186="UR",INDEX(绊状态确认!$S:$S,MATCH($G186,绊状态确认!$B:$B,))/2-40)+IF($F186="SR",INDEX(绊状态确认!$R:$R,MATCH($G186,绊状态确认!$B:$B,))/4-15))+IF($F186="R",INDEX(绊状态确认!$Q:$Q,MATCH($G186,绊状态确认!$B:$B,))/6-40/6)))*(INDEX(绊状态确认!$H:$H,MATCH($G186,绊状态确认!$B:$B,))+INDEX(绊状态确认!L:L,MATCH($G186,绊状态确认!$B:$B,)))</f>
        <v>7845.1055807999983</v>
      </c>
      <c r="AO186" s="1107">
        <f t="shared" si="194"/>
        <v>1</v>
      </c>
      <c r="AP186" s="1131">
        <f>1+(INDEX(绊状态确认!$T:$T,MATCH($G186,绊状态确认!$B:$B,))+0.2)*$AO186</f>
        <v>1.3</v>
      </c>
      <c r="AQ186" s="1108">
        <f t="shared" si="195"/>
        <v>18695.051612200001</v>
      </c>
      <c r="AR186" s="1097">
        <f>(AM186*(1+$EX$9)+$EX$35)*(1+(INDEX(绊状态确认!$T:$T,MATCH($G186,绊状态确认!$B:$B,))+0.2)*AO186)*IF(J186=$FF$17,1+$FE$17,1)*IF(I186=$FF$14,1+$FE$14,1)</f>
        <v>10735.426838344001</v>
      </c>
      <c r="AS186" s="1097">
        <f>(AN186*(1+$EX$10)+$EX$36)*(1+(INDEX(绊状态确认!$T:$T,MATCH($G186,绊状态确认!$B:$B,))+0.2)*AO186)*IF(J186=$FF$17,1+$FE$17,1)*IF(I186=$FF$14,1+$FE$14,1)</f>
        <v>15784.432843295997</v>
      </c>
      <c r="AT186" s="1093">
        <f>IF(AND(INDEX('卡片raw data'!AK:AK,MATCH($D186,'卡片raw data'!$F:$F,))&lt;INDEX('卡片raw data'!AM:AM,MATCH($D186,'卡片raw data'!$F:$F,)),INDEX('卡片raw data'!AL:AL,MATCH($D186,'卡片raw data'!$F:$F,))&lt;INDEX('卡片raw data'!AM:AM,MATCH($D186,'卡片raw data'!$F:$F,))),1,0)</f>
        <v>1</v>
      </c>
      <c r="AU186" s="1098">
        <f>MIN(AT186*0.15+AS186*0.00003+INDEX(绊状态确认!M:M,MATCH($G186,绊状态确认!$B:$B,)),1)</f>
        <v>0.65353298529887993</v>
      </c>
      <c r="AV186" s="1109">
        <f>(INDEX(绊状态确认!$N:$N,MATCH($G186,绊状态确认!$B:$B,))+1.5)*$EW$21</f>
        <v>2.6599999999999997</v>
      </c>
      <c r="AW186" s="1101">
        <f t="shared" si="196"/>
        <v>20242.396156524414</v>
      </c>
      <c r="AX186" s="1097">
        <f t="shared" si="197"/>
        <v>916.66227322969314</v>
      </c>
      <c r="AY186" s="1110">
        <f t="shared" si="198"/>
        <v>21159.058429754106</v>
      </c>
      <c r="AZ186" s="429">
        <f t="shared" si="199"/>
        <v>14073.466911919999</v>
      </c>
      <c r="BA186" s="431">
        <f t="shared" si="200"/>
        <v>16888.160294303998</v>
      </c>
      <c r="BB186" s="1097">
        <f>(AM186*(1+$FB$9)+$FB$35)*(1+(INDEX(绊状态确认!$T:$T,MATCH($G186,绊状态确认!$B:$B,))+0.2)*AO186)*IF(J186=$FF$17,1+$FE$17,1)*IF(I186=$FF$14,1+$FE$14,1)*(1+$FE$15)</f>
        <v>10735.426838344001</v>
      </c>
      <c r="BC186" s="1097">
        <f>(AN186*(1+$FB$10)+$FB$36)*(1+(INDEX(绊状态确认!$T:$T,MATCH($G186,绊状态确认!$B:$B,))+0.2)*AO186)*IF(J186=$FF$17,1+$FE$17,1)*IF(I186=$FF$14,1+$FE$14,1)*(1+$FE$15)</f>
        <v>15784.432843295997</v>
      </c>
      <c r="BD186" s="1104">
        <f>MIN(AT186*0.15+BC186*0.00003+INDEX(绊状态确认!M:M,MATCH($G186,绊状态确认!$B:$B,)),1)</f>
        <v>0.65353298529887993</v>
      </c>
      <c r="BE186" s="432">
        <f>(INDEX(绊状态确认!$N:$N,MATCH($G186,绊状态确认!$B:$B,))+1.5)</f>
        <v>1.9</v>
      </c>
      <c r="BF186" s="1139">
        <f t="array" ref="BF186">SUMPRODUCT(IF(AZ186*AP186*$FI$16:$FI$23*$FA$22&gt;=$FI$24,$FI$24,AZ186*AP186*$FI$16:$FI$23*$FA$22),$FJ$16:$FJ$23)</f>
        <v>27992.125687808875</v>
      </c>
      <c r="BG186" s="1125">
        <f t="array" ref="BG186">SUMPRODUCT(IF(BE186*AZ186*AP186*$FI$16:$FI$23*$FA$22&gt;=$FI$24,$FI$24,BE186*AZ186*AP186*$FI$16:$FI$23*$FA$22),$FJ$16:$FJ$23)</f>
        <v>52323.297396033187</v>
      </c>
      <c r="BH186" s="1110">
        <f t="shared" si="201"/>
        <v>14631.11632336812</v>
      </c>
      <c r="BI186" s="1111">
        <f>IF(O186="vo",$EW$26/$EW$24*0.05,0)+IF(O186="sk",-$EW$26/$EW$24*(0.05-INDEX(绊状态确认!W:W,MATCH($G186,绊状态确认!$B:$B,)))+0.05*$EW$28,0)+IF(O186="sp",0.05*$EW$32*$EW$30*(1-$EW$33)-(0.05-INDEX(绊状态确认!V:V,MATCH($G186,绊状态确认!$B:$B,)))*$EW$28,0)+IF(O186="gd",-(0.05-INDEX(绊状态确认!X:X,MATCH($G186,绊状态确认!$B:$B,)))*$EW$32*$EW$30*(1-$EW$33),0)</f>
        <v>19.999999999999886</v>
      </c>
      <c r="BJ186" s="1097">
        <f>IF(O186="vo",0.05*(1-$FI$26)*$FA$24,0)+IF(O186="sk",-(0.05-INDEX(绊状态确认!W:W,MATCH($G186,绊状态确认!$B:$B,)))*(1-$FI$26)*$FA$24+0.05*$FA$26,0)+IF(O186="sp",0.05*$FA$32*$FA$27*(1-$FA$33)/$FA$30+0.05*$FA$29/$FA$69*$FA$27*(1-$FA$33)-(0.05-INDEX(绊状态确认!V:V,MATCH($G186,绊状态确认!$B:$B,)))*$FA$26,0)+IF(O186="gd",-(0.05-INDEX(绊状态确认!X:X,MATCH($G186,绊状态确认!$B:$B,)))*$FA$32*$FA$27*(1-$FA$33)/$FA$30-(0.05-INDEX(绊状态确认!X:X,MATCH($G186,绊状态确认!$B:$B,)))*$FA$29/$FA$69*$FA$27*(1-$FA$33),0)</f>
        <v>545.83333333333326</v>
      </c>
      <c r="BK186" s="1110">
        <f>IF(O186="vo",$EW$26/$EW$24*0.05+$EW$26*(-HP($EW$62,$EW$65,$EW$64)+HP($EW$62,$EW$65,(1.05-INDEX(绊状态确认!U:U,MATCH($G186,绊状态确认!$B:$B,)))*$EW$64)),0)+IF(O186="sk",-$EW$26/$EW$24*(0.05-INDEX(绊状态确认!W:W,MATCH($G186,绊状态确认!$B:$B,)))+0.05*$EW$29,0)+IF(O186="sp",0.05*$EW$32*$EW$30*(1-$EW$33)-(0.05-INDEX(绊状态确认!V:V,MATCH($G186,绊状态确认!$B:$B,)))*$EW$29,0)+IF(O186="gd",-(0.05-INDEX(绊状态确认!X:X,MATCH($G186,绊状态确认!$B:$B,)))*$EW$32*$EW$30*(1-$EW$33)+$EW$26*(-HP($EW$62,$EW$65,$EW$64)+HP($EW$62,$EW$65,0.95*$EW$64)),0)</f>
        <v>-1780.0000000000005</v>
      </c>
      <c r="BL186" s="1111">
        <f t="shared" si="202"/>
        <v>-1083.3333333333333</v>
      </c>
      <c r="BM186" s="1110">
        <f t="shared" si="203"/>
        <v>-830.55555555555543</v>
      </c>
      <c r="BN186" s="1113">
        <f t="shared" si="204"/>
        <v>3</v>
      </c>
      <c r="BO186" s="1097">
        <f t="shared" si="205"/>
        <v>4507.7214871259994</v>
      </c>
      <c r="BP186" s="1100">
        <f t="shared" si="206"/>
        <v>221.34103209030098</v>
      </c>
      <c r="BQ186" s="1113" t="s">
        <v>624</v>
      </c>
      <c r="BR186" s="1124" t="s">
        <v>148</v>
      </c>
      <c r="BS186" s="1098">
        <f>IF($P186="","N/A",IF($P186=-1,INDEX('卡片raw data'!AX:AX,MATCH($D186,'卡片raw data'!$F:$F,)),0)+IF($L186="party卡",IF($P186=5,INDEX('卡片raw data'!BD:BD,MATCH($D186,'卡片raw data'!$F:$F,)),IF($P186&gt;=3,INDEX('卡片raw data'!BC:BC,MATCH($D186,'卡片raw data'!$F:$F,)),INDEX('卡片raw data'!BB:BB,MATCH($D186,'卡片raw data'!$F:$F,)))),IF(OR(AND($F186="UR",$P186=0),AND($F186="SR",$P186&gt;=0,$P186&lt;=2),AND($F186="R",$P186&gt;=0,$P186&lt;4)),INDEX('卡片raw data'!AZ:AZ,MATCH($D186,'卡片raw data'!$F:$F,)),0)+IF(OR(AND($F186="UR",$P186&gt;=1,$P186&lt;=4),AND($F186="SR",$P186&lt;=4,$P186&gt;=3),AND($F186="R",$P186=4)),INDEX('卡片raw data'!BA:BA,MATCH($D186,'卡片raw data'!$F:$F,)),0)+IF($P186=5,INDEX('卡片raw data'!BB:BB,MATCH($D186,'卡片raw data'!$F:$F,)),0)))</f>
        <v>3.2000000000000001E-2</v>
      </c>
      <c r="BT186" s="1101">
        <f t="shared" si="207"/>
        <v>0</v>
      </c>
      <c r="BU186" s="1097">
        <f t="shared" si="208"/>
        <v>0</v>
      </c>
      <c r="BV186" s="1097">
        <f t="shared" si="209"/>
        <v>0</v>
      </c>
      <c r="BW186" s="1112">
        <f t="shared" si="210"/>
        <v>1.498285714285714</v>
      </c>
      <c r="BX186" s="1100">
        <f t="shared" si="211"/>
        <v>117.00848980993118</v>
      </c>
      <c r="BY186" s="1110">
        <f t="shared" si="212"/>
        <v>117.00848980993118</v>
      </c>
      <c r="BZ186" s="1107" t="s">
        <v>569</v>
      </c>
      <c r="CA186" s="1124"/>
      <c r="CB186" s="1098">
        <f>IF($P186="","N/A",IF($P186=-1,INDEX('卡片raw data'!BE:BE,MATCH($D186,'卡片raw data'!$F:$F,)),0)+IF($L186="party卡",IF($P186=5,INDEX('卡片raw data'!BK:BK,MATCH($D186,'卡片raw data'!$F:$F,)),IF($P186&gt;=3,INDEX('卡片raw data'!BJ:BJ,MATCH($D186,'卡片raw data'!$F:$F,)),INDEX('卡片raw data'!BI:BI,MATCH($D186,'卡片raw data'!$F:$F,)))),IF(OR(AND($F186="UR",$P186=0),AND($F186="SR",$P186&gt;=0,$P186&lt;=2),AND($F186="R",$P186&gt;=0,$P186&lt;4)),INDEX('卡片raw data'!BG:BG,MATCH($D186,'卡片raw data'!$F:$F,)),0)+IF(OR(AND($F186="UR",$P186&gt;=1,$P186&lt;=4),AND($F186="SR",$P186&lt;=4,$P186&gt;=3),AND($F186="R",$P186=4)),INDEX('卡片raw data'!BH:BH,MATCH($D186,'卡片raw data'!$F:$F,)),0)+IF($P186=5,INDEX('卡片raw data'!BI:BI,MATCH($D186,'卡片raw data'!$F:$F,)),0)))</f>
        <v>0</v>
      </c>
      <c r="CC186" s="1101">
        <f t="shared" si="213"/>
        <v>0</v>
      </c>
      <c r="CD186" s="1097">
        <f>IF(BZ186="ap",CB186*(1-$FI$26)*$FB$5/$FB$11*(+IF(CA186="全员",$FA$24,0)+IF(CA186="同作战",$FA$24,0)+IF(CA186="仲间",$FA$24*2/3,0)+IF(CA186="同属性",$FA$24*$FA$37/3,0)+IF(CA186="同年级",$FA$24*$FA$40/3,0)+IF(CA186="同学校",$FA$24*$FA$43/3,0)+IF(CA186="同小队",$FA$24*$FA$46/3,0)+IF(CA186="同type",$FA$24*INDEX($FB$49:$FB$52,MATCH(X186,$FA$49:$FA$52,))/3,0)+IF(CA186="自身",#REF!/3,0)),0)+IF(BZ186="te",CB186*(1-$FI$27)*($FA$20-1)*$FB$7/$FB$13*(+IF(CA186="全员",$FA$19*$FA$24/(1+($FA$20-1)*$FA$19),0)+IF(CA186="同作战",$FA$19*$FA$24/(1+($FA$20-1)*$FA$19),0)+IF(CA186="仲间",$FA$19*$FA$24*2/3/(1+($FA$20-1)*$FA$19),0)+IF(CA186="同属性",$FA$19*$FA$24*$FA$37/3/(1+($FA$20-1)*$FA$19),0)+IF(CA186="同年级",$FA$19*$FA$24*$FA$40/3/(1+($FA$20-1)*$FA$19),0)+IF(CA186="同学校",$FA$19*$FA$24*$FA$43/3/(1+($FA$20-1)*$FA$19),0)+IF(CA186="同小队",$FA$19*$FA$24*$FA$46/3/(1+($FA$20-1)*$FA$19),0)+IF(CA186="同type",$FA$19*$FA$24*INDEX($FB$49:$FB$52,MATCH(X186,$FA$49:$FA$52,))/3/(1+($FA$20-1)*$FA$19),0)+IF(CA186="自身",$FA$19*#REF!/3/(1+(BH186-1)*$BD186),0)),0)</f>
        <v>0</v>
      </c>
      <c r="CE186" s="1097">
        <f t="shared" si="214"/>
        <v>0</v>
      </c>
      <c r="CF186" s="1112">
        <f t="shared" si="215"/>
        <v>0</v>
      </c>
      <c r="CG186" s="1100">
        <f t="shared" si="216"/>
        <v>0</v>
      </c>
      <c r="CH186" s="1110">
        <f t="shared" si="217"/>
        <v>0</v>
      </c>
      <c r="CI186" s="1113" t="s">
        <v>164</v>
      </c>
      <c r="CJ186" s="1114">
        <v>0.3</v>
      </c>
      <c r="CK186" s="1115" t="s">
        <v>153</v>
      </c>
      <c r="CL186" s="1115" t="s">
        <v>161</v>
      </c>
      <c r="CM186" s="1119">
        <v>0.03</v>
      </c>
      <c r="CN186" s="1115" t="s">
        <v>163</v>
      </c>
      <c r="CO186" s="1092">
        <v>1</v>
      </c>
      <c r="CP186" s="1118">
        <f t="shared" si="218"/>
        <v>1.6890775714285714E-2</v>
      </c>
      <c r="CQ186" s="1118">
        <f t="shared" si="219"/>
        <v>1.6890775714285714E-2</v>
      </c>
      <c r="CR186" s="1118">
        <f t="shared" si="220"/>
        <v>1.6890775714285714E-2</v>
      </c>
      <c r="CS186" s="1118">
        <f t="shared" si="221"/>
        <v>0</v>
      </c>
      <c r="CT186" s="1109">
        <f t="shared" si="222"/>
        <v>0</v>
      </c>
      <c r="CU186" s="1101">
        <f t="shared" si="223"/>
        <v>2296.8571974156039</v>
      </c>
      <c r="CV186" s="1108">
        <f t="shared" si="224"/>
        <v>110.89760883852497</v>
      </c>
      <c r="CW186" s="1097">
        <f t="shared" si="225"/>
        <v>2296.8571974156039</v>
      </c>
      <c r="CX186" s="1097">
        <f t="shared" si="226"/>
        <v>2296.8571974156039</v>
      </c>
      <c r="CY186" s="1110">
        <f t="shared" si="227"/>
        <v>2296.8571974156039</v>
      </c>
      <c r="CZ186" s="437"/>
      <c r="DA186" s="438"/>
      <c r="DB186" s="439" t="s">
        <v>569</v>
      </c>
      <c r="DC186" s="439"/>
      <c r="DD186" s="443"/>
      <c r="DE186" s="411"/>
      <c r="DF186" s="411"/>
      <c r="DG186" s="1116">
        <f t="shared" si="228"/>
        <v>0</v>
      </c>
      <c r="DH186" s="1116">
        <f t="shared" si="229"/>
        <v>0</v>
      </c>
      <c r="DI186" s="1116">
        <f t="shared" si="230"/>
        <v>0</v>
      </c>
      <c r="DJ186" s="442">
        <f t="shared" si="231"/>
        <v>0</v>
      </c>
      <c r="DK186" s="1109">
        <f t="shared" si="232"/>
        <v>0</v>
      </c>
      <c r="DL186" s="1101">
        <f t="shared" si="233"/>
        <v>0</v>
      </c>
      <c r="DM186" s="1097">
        <f t="shared" si="234"/>
        <v>0</v>
      </c>
      <c r="DN186" s="1097">
        <f t="shared" si="235"/>
        <v>0</v>
      </c>
      <c r="DO186" s="1097">
        <f t="shared" si="236"/>
        <v>0</v>
      </c>
      <c r="DP186" s="1110">
        <f t="shared" si="237"/>
        <v>0</v>
      </c>
      <c r="DQ186" s="1113" t="s">
        <v>561</v>
      </c>
      <c r="DR186" s="1120">
        <f t="shared" si="238"/>
        <v>0.3</v>
      </c>
      <c r="DS186" s="1124">
        <v>5</v>
      </c>
      <c r="DT186" s="1093" t="s">
        <v>168</v>
      </c>
      <c r="DU186" s="1093" t="s">
        <v>560</v>
      </c>
      <c r="DV186" s="1098">
        <f>IF($P186="","N/A",IF(P186=-1,INDEX('卡片raw data'!AN:AN,MATCH(D186,'卡片raw data'!$F:$F,)),0)+IF(AND(L186&lt;&gt;"party卡",P186&lt;=2,P186&gt;=0),INDEX('卡片raw data'!AP:AP,MATCH(D186,'卡片raw data'!$F:$F,)),0)+IF(OR(AND(L186="party卡",P186&lt;=1),AND(P186&lt;=4,L186&lt;&gt;"party卡",P186&gt;=3)),INDEX('卡片raw data'!AQ:AQ,MATCH(D186,'卡片raw data'!$F:$F,)),0)+IF(OR(P186=5,AND(L186="party卡",P186&gt;=2)),INDEX('卡片raw data'!AR:AR,MATCH(D186,'卡片raw data'!$F:$F,)),0))</f>
        <v>0.04</v>
      </c>
      <c r="DW186" s="1098">
        <f t="shared" si="239"/>
        <v>0.3</v>
      </c>
      <c r="DX186" s="1098">
        <f t="shared" si="240"/>
        <v>0.3</v>
      </c>
      <c r="DY186" s="1098">
        <f t="shared" si="241"/>
        <v>0.02</v>
      </c>
      <c r="DZ186" s="1098">
        <f t="shared" si="242"/>
        <v>1.7299999999999999E-2</v>
      </c>
      <c r="EA186" s="1098">
        <f t="shared" si="243"/>
        <v>1.5493782552083326E-2</v>
      </c>
      <c r="EB186" s="1121">
        <f t="shared" si="244"/>
        <v>0</v>
      </c>
      <c r="EC186" s="1101">
        <f t="shared" si="245"/>
        <v>848.4848484848485</v>
      </c>
      <c r="ED186" s="1097">
        <f t="shared" si="246"/>
        <v>393.18181818181819</v>
      </c>
      <c r="EE186" s="1110">
        <f t="shared" si="247"/>
        <v>848.4848484848485</v>
      </c>
      <c r="EF186" s="1092" t="s">
        <v>711</v>
      </c>
      <c r="EG186" s="1120">
        <f t="shared" si="248"/>
        <v>0.3</v>
      </c>
      <c r="EH186" s="1124"/>
      <c r="EI186" s="1093"/>
      <c r="EJ186" s="1093"/>
      <c r="EK186" s="1097">
        <f>IF($P186="","N/A",IF(P186=-1,INDEX('卡片raw data'!AS:AS,MATCH(D186,'卡片raw data'!$F:$F,)),0)+IF(AND(L186&lt;&gt;"party卡",P186&lt;=2,P186&gt;=0),INDEX('卡片raw data'!AU:AU,MATCH(D186,'卡片raw data'!$F:$F,)),0)+IF(OR(AND(L186="party卡",P186&lt;=1),AND(P186&lt;=4,L186&lt;&gt;"party卡",P186&gt;=3)),INDEX('卡片raw data'!AV:AV,MATCH(D186,'卡片raw data'!$F:$F,)),0)+IF(OR(P186=5,AND(L186="party卡",P186&gt;=2)),INDEX('卡片raw data'!AW:AW,MATCH(D186,'卡片raw data'!$F:$F,)),0))</f>
        <v>0</v>
      </c>
      <c r="EL186" s="1098">
        <f t="shared" si="249"/>
        <v>0.3</v>
      </c>
      <c r="EM186" s="1098">
        <f t="shared" si="250"/>
        <v>0.3</v>
      </c>
      <c r="EN186" s="1125">
        <f t="shared" si="251"/>
        <v>0</v>
      </c>
      <c r="EO186" s="1125">
        <f t="shared" si="252"/>
        <v>0</v>
      </c>
      <c r="EP186" s="1098">
        <f t="shared" si="253"/>
        <v>0</v>
      </c>
      <c r="EQ186" s="1121">
        <f t="shared" si="254"/>
        <v>0</v>
      </c>
      <c r="ER186" s="1101">
        <f t="shared" si="255"/>
        <v>0</v>
      </c>
      <c r="ES186" s="1097">
        <f t="shared" si="256"/>
        <v>0</v>
      </c>
      <c r="ET186" s="1122">
        <f t="shared" si="257"/>
        <v>0</v>
      </c>
    </row>
    <row r="187" spans="2:150" ht="16.5" customHeight="1">
      <c r="B187" s="1123" t="str">
        <f>INDEX('卡片raw data'!B:B,MATCH($D187,'卡片raw data'!$F:$F,))</f>
        <v>一单凛</v>
      </c>
      <c r="C187" s="449" t="s">
        <v>67</v>
      </c>
      <c r="D187" s="408">
        <v>184</v>
      </c>
      <c r="E187" s="1090">
        <v>300052002</v>
      </c>
      <c r="F187" s="1090" t="str">
        <f>INDEX('卡片raw data'!C:C,MATCH($D187,'卡片raw data'!$F:$F,))</f>
        <v>SR</v>
      </c>
      <c r="G187" s="1094" t="s">
        <v>335</v>
      </c>
      <c r="H187" s="411">
        <f>IFERROR(INDEX(绊状态确认!C:C,MATCH($G187,绊状态确认!$B:$B,)),"")</f>
        <v>5</v>
      </c>
      <c r="I187" s="450" t="str">
        <f>IFERROR(INDEX(绊状态确认!D:D,MATCH($G187,绊状态确认!$B:$B,)),"")</f>
        <v>缪</v>
      </c>
      <c r="J187" s="450" t="str">
        <f>IFERROR(INDEX(绊状态确认!E:E,MATCH($G187,绊状态确认!$B:$B,)),"")</f>
        <v>1年级</v>
      </c>
      <c r="K187" s="451" t="str">
        <f>IFERROR(INDEX(绊状态确认!F:F,MATCH($G187,绊状态确认!$B:$B,)),"")</f>
        <v>lilywhite</v>
      </c>
      <c r="L187" s="1094" t="str">
        <f>INDEX('卡片raw data'!E:E,MATCH($D187,'卡片raw data'!$F:$F,))</f>
        <v>卡池卡</v>
      </c>
      <c r="M187" s="415">
        <v>43889</v>
      </c>
      <c r="N187" s="416">
        <v>10.5</v>
      </c>
      <c r="O187" s="1091" t="str">
        <f>INDEX('卡片raw data'!D:D,MATCH($D187,'卡片raw data'!$F:$F,))</f>
        <v>vo</v>
      </c>
      <c r="P187" s="417">
        <v>5</v>
      </c>
      <c r="Q187" s="1095">
        <f t="shared" si="173"/>
        <v>32416.908926939072</v>
      </c>
      <c r="R187" s="1096">
        <f t="shared" si="174"/>
        <v>0.376</v>
      </c>
      <c r="S187" s="1097">
        <f t="shared" si="175"/>
        <v>13190.97951085885</v>
      </c>
      <c r="T187" s="1098">
        <f t="shared" si="176"/>
        <v>0.65900000000000003</v>
      </c>
      <c r="U187" s="1099">
        <f t="shared" si="177"/>
        <v>-11.203772246937142</v>
      </c>
      <c r="V187" s="1100">
        <f t="shared" si="178"/>
        <v>32216.907584443576</v>
      </c>
      <c r="W187" s="1101">
        <f t="shared" si="179"/>
        <v>5309.0941959483998</v>
      </c>
      <c r="X187" s="1096">
        <f t="shared" si="180"/>
        <v>6.0999999999999999E-2</v>
      </c>
      <c r="Y187" s="1097">
        <f t="shared" si="181"/>
        <v>1104.6671077462042</v>
      </c>
      <c r="Z187" s="1102">
        <f t="shared" si="182"/>
        <v>13.796227753062858</v>
      </c>
      <c r="AA187" s="1103">
        <f t="shared" si="183"/>
        <v>6413.7613036946041</v>
      </c>
      <c r="AB187" s="1101">
        <f t="shared" si="184"/>
        <v>6110.4669047707994</v>
      </c>
      <c r="AC187" s="1104">
        <f t="shared" si="185"/>
        <v>7.0999999999999994E-2</v>
      </c>
      <c r="AD187" s="1105">
        <f t="shared" si="186"/>
        <v>-3.8207812500000026E-3</v>
      </c>
      <c r="AE187" s="1128">
        <f t="shared" si="187"/>
        <v>-12.27536231884058</v>
      </c>
      <c r="AF187" s="1130">
        <f t="shared" si="188"/>
        <v>0</v>
      </c>
      <c r="AG187" s="420">
        <f t="shared" si="189"/>
        <v>0</v>
      </c>
      <c r="AH187" s="420">
        <f t="shared" si="190"/>
        <v>0</v>
      </c>
      <c r="AI187" s="1097">
        <f t="shared" si="191"/>
        <v>0</v>
      </c>
      <c r="AJ187" s="420">
        <f t="shared" si="192"/>
        <v>0</v>
      </c>
      <c r="AK187" s="518">
        <f t="shared" si="193"/>
        <v>0</v>
      </c>
      <c r="AL187" s="1106">
        <f>IF($P187="","N/A",(IF($P187=-1,INDEX('卡片raw data'!S:S,MATCH($D187,'卡片raw data'!$F:$F,)),0)+IF($P187=0,INDEX('卡片raw data'!V:V,MATCH($D187,'卡片raw data'!$F:$F,)),0)+IF($P187=1,INDEX('卡片raw data'!Y:Y,MATCH($D187,'卡片raw data'!$F:$F,)),0)+IF($P187=2,INDEX('卡片raw data'!AB:AB,MATCH($D187,'卡片raw data'!$F:$F,)),0)+IF($P187=3,INDEX('卡片raw data'!AE:AE,MATCH($D187,'卡片raw data'!$F:$F,)),0)+IF($P187=4,INDEX('卡片raw data'!AH:AH,MATCH($D187,'卡片raw data'!$F:$F,)),0)+IF($P187=5,INDEX('卡片raw data'!AK:AK,MATCH($D187,'卡片raw data'!$F:$F,)),0)+INDEX('卡片raw data'!S:S,MATCH($D187,'卡片raw data'!$F:$F,))*(IF($F187="UR",0.04,0.033))*(IF($F187="UR",INDEX(绊状态确认!$S:$S,MATCH($G187,绊状态确认!$B:$B,))/2-40)+IF($F187="SR",INDEX(绊状态确认!$R:$R,MATCH($G187,绊状态确认!$B:$B,))/4-15))+IF($F187="R",INDEX(绊状态确认!$Q:$Q,MATCH($G187,绊状态确认!$B:$B,))/6-40/6)))*(INDEX(绊状态确认!$H:$H,MATCH($G187,绊状态确认!$B:$B,))+INDEX(绊状态确认!J:J,MATCH($G187,绊状态确认!$B:$B,)))</f>
        <v>6274.2212231999993</v>
      </c>
      <c r="AM187" s="1106">
        <f>IF($P187="","N/A",(IF($P187=-1,INDEX('卡片raw data'!T:T,MATCH($D187,'卡片raw data'!$F:$F,)),0)+IF($P187=0,INDEX('卡片raw data'!W:W,MATCH($D187,'卡片raw data'!$F:$F,)),0)+IF($P187=1,INDEX('卡片raw data'!Z:Z,MATCH($D187,'卡片raw data'!$F:$F,)),0)+IF($P187=2,INDEX('卡片raw data'!AC:AC,MATCH($D187,'卡片raw data'!$F:$F,)),0)+IF($P187=3,INDEX('卡片raw data'!AF:AF,MATCH($D187,'卡片raw data'!$F:$F,)),0)+IF($P187=4,INDEX('卡片raw data'!AI:AI,MATCH($D187,'卡片raw data'!$F:$F,)),0)+IF($P187=5,INDEX('卡片raw data'!AL:AL,MATCH($D187,'卡片raw data'!$F:$F,)),0)+INDEX('卡片raw data'!T:T,MATCH($D187,'卡片raw data'!$F:$F,))*(IF($F187="UR",0.04,0.033))*(IF($F187="UR",INDEX(绊状态确认!$S:$S,MATCH($G187,绊状态确认!$B:$B,))/2-40)+IF($F187="SR",INDEX(绊状态确认!$R:$R,MATCH($G187,绊状态确认!$B:$B,))/4-15))+IF($F187="R",INDEX(绊状态确认!$Q:$Q,MATCH($G187,绊状态确认!$B:$B,))/6-40/6)))*(INDEX(绊状态确认!$H:$H,MATCH($G187,绊状态确认!$B:$B,))+INDEX(绊状态确认!K:K,MATCH($G187,绊状态确认!$B:$B,)))</f>
        <v>7452.365740799999</v>
      </c>
      <c r="AN187" s="1106">
        <f>IF($P187="","N/A",(IF($P187=-1,INDEX('卡片raw data'!U:U,MATCH($D187,'卡片raw data'!$F:$F,)),0)+IF($P187=0,INDEX('卡片raw data'!X:X,MATCH($D187,'卡片raw data'!$F:$F,)),0)+IF($P187=1,INDEX('卡片raw data'!AA:AA,MATCH($D187,'卡片raw data'!$F:$F,)),0)+IF($P187=2,INDEX('卡片raw data'!AD:AD,MATCH($D187,'卡片raw data'!$F:$F,)),0)+IF($P187=3,INDEX('卡片raw data'!AG:AG,MATCH($D187,'卡片raw data'!$F:$F,)),0)+IF($P187=4,INDEX('卡片raw data'!AJ:AJ,MATCH($D187,'卡片raw data'!$F:$F,)),0)+IF($P187=5,INDEX('卡片raw data'!AM:AM,MATCH($D187,'卡片raw data'!$F:$F,)),0)+INDEX('卡片raw data'!U:U,MATCH($D187,'卡片raw data'!$F:$F,))*(IF($F187="UR",0.04,0.033))*(IF($F187="UR",INDEX(绊状态确认!$S:$S,MATCH($G187,绊状态确认!$B:$B,))/2-40)+IF($F187="SR",INDEX(绊状态确认!$R:$R,MATCH($G187,绊状态确认!$B:$B,))/4-15))+IF($F187="R",INDEX(绊状态确认!$Q:$Q,MATCH($G187,绊状态确认!$B:$B,))/6-40/6)))*(INDEX(绊状态确认!$H:$H,MATCH($G187,绊状态确认!$B:$B,))+INDEX(绊状态确认!L:L,MATCH($G187,绊状态确认!$B:$B,)))</f>
        <v>5883.8291855999996</v>
      </c>
      <c r="AO187" s="1107">
        <f t="shared" si="194"/>
        <v>1</v>
      </c>
      <c r="AP187" s="1131">
        <f>1+(INDEX(绊状态确认!$T:$T,MATCH($G187,绊状态确认!$B:$B,))+0.2)*$AO187</f>
        <v>1.3</v>
      </c>
      <c r="AQ187" s="1108">
        <f t="shared" si="195"/>
        <v>19719.830710899998</v>
      </c>
      <c r="AR187" s="1097">
        <f>(AM187*(1+$EX$9)+$EX$35)*(1+(INDEX(绊状态确认!$T:$T,MATCH($G187,绊状态确认!$B:$B,))+0.2)*AO187)*IF(J187=$FF$17,1+$FE$17,1)*IF(I187=$FF$14,1+$FE$14,1)</f>
        <v>12876.479236192001</v>
      </c>
      <c r="AS187" s="1097">
        <f>(AN187*(1+$EX$10)+$EX$36)*(1+(INDEX(绊状态确认!$T:$T,MATCH($G187,绊状态确认!$B:$B,))+0.2)*AO187)*IF(J187=$FF$17,1+$FE$17,1)*IF(I187=$FF$14,1+$FE$14,1)</f>
        <v>12852.324632471998</v>
      </c>
      <c r="AT187" s="1093">
        <f>IF(AND(INDEX('卡片raw data'!AK:AK,MATCH($D187,'卡片raw data'!$F:$F,))&lt;INDEX('卡片raw data'!AM:AM,MATCH($D187,'卡片raw data'!$F:$F,)),INDEX('卡片raw data'!AL:AL,MATCH($D187,'卡片raw data'!$F:$F,))&lt;INDEX('卡片raw data'!AM:AM,MATCH($D187,'卡片raw data'!$F:$F,))),1,0)</f>
        <v>0</v>
      </c>
      <c r="AU187" s="1098">
        <f>MIN(AT187*0.15+AS187*0.00003+INDEX(绊状态确认!M:M,MATCH($G187,绊状态确认!$B:$B,)),1)</f>
        <v>0.41556973897416</v>
      </c>
      <c r="AV187" s="1109">
        <f>(INDEX(绊状态确认!$N:$N,MATCH($G187,绊状态确认!$B:$B,))+1.5)*$EW$21</f>
        <v>2.6599999999999997</v>
      </c>
      <c r="AW187" s="1101">
        <f t="shared" si="196"/>
        <v>17306.434947933347</v>
      </c>
      <c r="AX187" s="1097">
        <f t="shared" si="197"/>
        <v>1104.6671077462045</v>
      </c>
      <c r="AY187" s="1110">
        <f t="shared" si="198"/>
        <v>18411.102055679552</v>
      </c>
      <c r="AZ187" s="429">
        <f t="shared" si="199"/>
        <v>14834.731385239998</v>
      </c>
      <c r="BA187" s="431">
        <f t="shared" si="200"/>
        <v>17801.677662287999</v>
      </c>
      <c r="BB187" s="1097">
        <f>(AM187*(1+$FB$9)+$FB$35)*(1+(INDEX(绊状态确认!$T:$T,MATCH($G187,绊状态确认!$B:$B,))+0.2)*AO187)*IF(J187=$FF$17,1+$FE$17,1)*IF(I187=$FF$14,1+$FE$14,1)*(1+$FE$15)</f>
        <v>12876.479236192001</v>
      </c>
      <c r="BC187" s="1097">
        <f>(AN187*(1+$FB$10)+$FB$36)*(1+(INDEX(绊状态确认!$T:$T,MATCH($G187,绊状态确认!$B:$B,))+0.2)*AO187)*IF(J187=$FF$17,1+$FE$17,1)*IF(I187=$FF$14,1+$FE$14,1)*(1+$FE$15)</f>
        <v>12852.324632471998</v>
      </c>
      <c r="BD187" s="1104">
        <f>MIN(AT187*0.15+BC187*0.00003+INDEX(绊状态确认!M:M,MATCH($G187,绊状态确认!$B:$B,)),1)</f>
        <v>0.41556973897416</v>
      </c>
      <c r="BE187" s="432">
        <f>(INDEX(绊状态确认!$N:$N,MATCH($G187,绊状态确认!$B:$B,))+1.5)</f>
        <v>1.9</v>
      </c>
      <c r="BF187" s="1139">
        <f t="array" ref="BF187">SUMPRODUCT(IF(AZ187*AP187*$FI$16:$FI$23*$FA$22&gt;=$FI$24,$FI$24,AZ187*AP187*$FI$16:$FI$23*$FA$22),$FJ$16:$FJ$23)</f>
        <v>29506.280725242366</v>
      </c>
      <c r="BG187" s="1125">
        <f t="array" ref="BG187">SUMPRODUCT(IF(BE187*AZ187*AP187*$FI$16:$FI$23*$FA$22&gt;=$FI$24,$FI$24,BE187*AZ187*AP187*$FI$16:$FI$23*$FA$22),$FJ$16:$FJ$23)</f>
        <v>54275.368656327366</v>
      </c>
      <c r="BH187" s="1110">
        <f t="shared" si="201"/>
        <v>13266.521377130461</v>
      </c>
      <c r="BI187" s="1111">
        <f>IF(O187="vo",$EW$26/$EW$24*0.05,0)+IF(O187="sk",-$EW$26/$EW$24*(0.05-INDEX(绊状态确认!W:W,MATCH($G187,绊状态确认!$B:$B,)))+0.05*$EW$28,0)+IF(O187="sp",0.05*$EW$32*$EW$30*(1-$EW$33)-(0.05-INDEX(绊状态确认!V:V,MATCH($G187,绊状态确认!$B:$B,)))*$EW$28,0)+IF(O187="gd",-(0.05-INDEX(绊状态确认!X:X,MATCH($G187,绊状态确认!$B:$B,)))*$EW$32*$EW$30*(1-$EW$33),0)</f>
        <v>7726.3029277443748</v>
      </c>
      <c r="BJ187" s="1097">
        <f>IF(O187="vo",0.05*(1-$FI$26)*$FA$24,0)+IF(O187="sk",-(0.05-INDEX(绊状态确认!W:W,MATCH($G187,绊状态确认!$B:$B,)))*(1-$FI$26)*$FA$24+0.05*$FA$26,0)+IF(O187="sp",0.05*$FA$32*$FA$27*(1-$FA$33)/$FA$30+0.05*$FA$29/$FA$69*$FA$27*(1-$FA$33)-(0.05-INDEX(绊状态确认!V:V,MATCH($G187,绊状态确认!$B:$B,)))*$FA$26,0)+IF(O187="gd",-(0.05-INDEX(绊状态确认!X:X,MATCH($G187,绊状态确认!$B:$B,)))*$FA$32*$FA$27*(1-$FA$33)/$FA$30-(0.05-INDEX(绊状态确认!X:X,MATCH($G187,绊状态确认!$B:$B,)))*$FA$29/$FA$69*$FA$27*(1-$FA$33),0)</f>
        <v>393.93433687500004</v>
      </c>
      <c r="BK187" s="1110">
        <f>IF(O187="vo",$EW$26/$EW$24*0.05+$EW$26*(-HP($EW$62,$EW$65,$EW$64)+HP($EW$62,$EW$65,(1.05-INDEX(绊状态确认!U:U,MATCH($G187,绊状态确认!$B:$B,)))*$EW$64)),0)+IF(O187="sk",-$EW$26/$EW$24*(0.05-INDEX(绊状态确认!W:W,MATCH($G187,绊状态确认!$B:$B,)))+0.05*$EW$29,0)+IF(O187="sp",0.05*$EW$32*$EW$30*(1-$EW$33)-(0.05-INDEX(绊状态确认!V:V,MATCH($G187,绊状态确认!$B:$B,)))*$EW$29,0)+IF(O187="gd",-(0.05-INDEX(绊状态确认!X:X,MATCH($G187,绊状态确认!$B:$B,)))*$EW$32*$EW$30*(1-$EW$33)+$EW$26*(-HP($EW$62,$EW$65,$EW$64)+HP($EW$62,$EW$65,0.95*$EW$64)),0)</f>
        <v>6421.6344775026746</v>
      </c>
      <c r="BL187" s="1111">
        <f t="shared" si="202"/>
        <v>-1083.3333333333333</v>
      </c>
      <c r="BM187" s="1110">
        <f t="shared" si="203"/>
        <v>-830.55555555555543</v>
      </c>
      <c r="BN187" s="1113">
        <f t="shared" si="204"/>
        <v>3</v>
      </c>
      <c r="BO187" s="1097">
        <f t="shared" si="205"/>
        <v>4507.7214871259994</v>
      </c>
      <c r="BP187" s="1100">
        <f t="shared" si="206"/>
        <v>221.34103209030098</v>
      </c>
      <c r="BQ187" s="1113" t="s">
        <v>623</v>
      </c>
      <c r="BR187" s="1124" t="s">
        <v>171</v>
      </c>
      <c r="BS187" s="1098">
        <f>IF($P187="","N/A",IF($P187=-1,INDEX('卡片raw data'!AX:AX,MATCH($D187,'卡片raw data'!$F:$F,)),0)+IF($L187="party卡",IF($P187=5,INDEX('卡片raw data'!BD:BD,MATCH($D187,'卡片raw data'!$F:$F,)),IF($P187&gt;=3,INDEX('卡片raw data'!BC:BC,MATCH($D187,'卡片raw data'!$F:$F,)),INDEX('卡片raw data'!BB:BB,MATCH($D187,'卡片raw data'!$F:$F,)))),IF(OR(AND($F187="UR",$P187=0),AND($F187="SR",$P187&gt;=0,$P187&lt;=2),AND($F187="R",$P187&gt;=0,$P187&lt;4)),INDEX('卡片raw data'!AZ:AZ,MATCH($D187,'卡片raw data'!$F:$F,)),0)+IF(OR(AND($F187="UR",$P187&gt;=1,$P187&lt;=4),AND($F187="SR",$P187&lt;=4,$P187&gt;=3),AND($F187="R",$P187=4)),INDEX('卡片raw data'!BA:BA,MATCH($D187,'卡片raw data'!$F:$F,)),0)+IF($P187=5,INDEX('卡片raw data'!BB:BB,MATCH($D187,'卡片raw data'!$F:$F,)),0)))</f>
        <v>3.2000000000000001E-2</v>
      </c>
      <c r="BT187" s="1101">
        <f t="shared" si="207"/>
        <v>1602.7454176448</v>
      </c>
      <c r="BU187" s="1097">
        <f t="shared" si="208"/>
        <v>68.861654428093644</v>
      </c>
      <c r="BV187" s="1097">
        <f t="shared" si="209"/>
        <v>801.37270882240011</v>
      </c>
      <c r="BW187" s="1112">
        <f t="shared" si="210"/>
        <v>0</v>
      </c>
      <c r="BX187" s="1100">
        <f t="shared" si="211"/>
        <v>1602.7454176448</v>
      </c>
      <c r="BY187" s="1110">
        <f t="shared" si="212"/>
        <v>801.37270882240011</v>
      </c>
      <c r="BZ187" s="1107" t="s">
        <v>569</v>
      </c>
      <c r="CA187" s="1124"/>
      <c r="CB187" s="1098">
        <f>IF($P187="","N/A",IF($P187=-1,INDEX('卡片raw data'!BE:BE,MATCH($D187,'卡片raw data'!$F:$F,)),0)+IF($L187="party卡",IF($P187=5,INDEX('卡片raw data'!BK:BK,MATCH($D187,'卡片raw data'!$F:$F,)),IF($P187&gt;=3,INDEX('卡片raw data'!BJ:BJ,MATCH($D187,'卡片raw data'!$F:$F,)),INDEX('卡片raw data'!BI:BI,MATCH($D187,'卡片raw data'!$F:$F,)))),IF(OR(AND($F187="UR",$P187=0),AND($F187="SR",$P187&gt;=0,$P187&lt;=2),AND($F187="R",$P187&gt;=0,$P187&lt;4)),INDEX('卡片raw data'!BG:BG,MATCH($D187,'卡片raw data'!$F:$F,)),0)+IF(OR(AND($F187="UR",$P187&gt;=1,$P187&lt;=4),AND($F187="SR",$P187&lt;=4,$P187&gt;=3),AND($F187="R",$P187=4)),INDEX('卡片raw data'!BH:BH,MATCH($D187,'卡片raw data'!$F:$F,)),0)+IF($P187=5,INDEX('卡片raw data'!BI:BI,MATCH($D187,'卡片raw data'!$F:$F,)),0)))</f>
        <v>0</v>
      </c>
      <c r="CC187" s="1101">
        <f t="shared" si="213"/>
        <v>0</v>
      </c>
      <c r="CD187" s="1097">
        <f>IF(BZ187="ap",CB187*(1-$FI$26)*$FB$5/$FB$11*(+IF(CA187="全员",$FA$24,0)+IF(CA187="同作战",$FA$24,0)+IF(CA187="仲间",$FA$24*2/3,0)+IF(CA187="同属性",$FA$24*$FA$37/3,0)+IF(CA187="同年级",$FA$24*$FA$40/3,0)+IF(CA187="同学校",$FA$24*$FA$43/3,0)+IF(CA187="同小队",$FA$24*$FA$46/3,0)+IF(CA187="同type",$FA$24*INDEX($FB$49:$FB$52,MATCH(X187,$FA$49:$FA$52,))/3,0)+IF(CA187="自身",#REF!/3,0)),0)+IF(BZ187="te",CB187*(1-$FI$27)*($FA$20-1)*$FB$7/$FB$13*(+IF(CA187="全员",$FA$19*$FA$24/(1+($FA$20-1)*$FA$19),0)+IF(CA187="同作战",$FA$19*$FA$24/(1+($FA$20-1)*$FA$19),0)+IF(CA187="仲间",$FA$19*$FA$24*2/3/(1+($FA$20-1)*$FA$19),0)+IF(CA187="同属性",$FA$19*$FA$24*$FA$37/3/(1+($FA$20-1)*$FA$19),0)+IF(CA187="同年级",$FA$19*$FA$24*$FA$40/3/(1+($FA$20-1)*$FA$19),0)+IF(CA187="同学校",$FA$19*$FA$24*$FA$43/3/(1+($FA$20-1)*$FA$19),0)+IF(CA187="同小队",$FA$19*$FA$24*$FA$46/3/(1+($FA$20-1)*$FA$19),0)+IF(CA187="同type",$FA$19*$FA$24*INDEX($FB$49:$FB$52,MATCH(X187,$FA$49:$FA$52,))/3/(1+($FA$20-1)*$FA$19),0)+IF(CA187="自身",$FA$19*#REF!/3/(1+(BH187-1)*$BD187),0)),0)</f>
        <v>0</v>
      </c>
      <c r="CE187" s="1097">
        <f t="shared" si="214"/>
        <v>0</v>
      </c>
      <c r="CF187" s="1112">
        <f t="shared" si="215"/>
        <v>0</v>
      </c>
      <c r="CG187" s="1100">
        <f t="shared" si="216"/>
        <v>0</v>
      </c>
      <c r="CH187" s="1110">
        <f t="shared" si="217"/>
        <v>0</v>
      </c>
      <c r="CI187" s="1113" t="s">
        <v>571</v>
      </c>
      <c r="CJ187" s="1114">
        <v>0.8</v>
      </c>
      <c r="CK187" s="1115" t="s">
        <v>585</v>
      </c>
      <c r="CL187" s="1115" t="s">
        <v>178</v>
      </c>
      <c r="CM187" s="1119">
        <v>0.1</v>
      </c>
      <c r="CN187" s="1115">
        <v>10</v>
      </c>
      <c r="CO187" s="1092"/>
      <c r="CP187" s="1117">
        <f t="shared" si="218"/>
        <v>0</v>
      </c>
      <c r="CQ187" s="1117">
        <f t="shared" si="219"/>
        <v>0</v>
      </c>
      <c r="CR187" s="1117">
        <f t="shared" si="220"/>
        <v>0</v>
      </c>
      <c r="CS187" s="1118">
        <f t="shared" si="221"/>
        <v>0</v>
      </c>
      <c r="CT187" s="1109">
        <f t="shared" si="222"/>
        <v>0</v>
      </c>
      <c r="CU187" s="1101">
        <f t="shared" si="223"/>
        <v>0</v>
      </c>
      <c r="CV187" s="1108">
        <f t="shared" si="224"/>
        <v>0</v>
      </c>
      <c r="CW187" s="1097">
        <f t="shared" si="225"/>
        <v>0</v>
      </c>
      <c r="CX187" s="1097">
        <f t="shared" si="226"/>
        <v>0</v>
      </c>
      <c r="CY187" s="1110">
        <f t="shared" si="227"/>
        <v>0</v>
      </c>
      <c r="CZ187" s="437"/>
      <c r="DA187" s="438"/>
      <c r="DB187" s="439" t="s">
        <v>569</v>
      </c>
      <c r="DC187" s="439"/>
      <c r="DD187" s="443"/>
      <c r="DE187" s="411"/>
      <c r="DF187" s="411"/>
      <c r="DG187" s="1116">
        <f t="shared" si="228"/>
        <v>0</v>
      </c>
      <c r="DH187" s="1116">
        <f t="shared" si="229"/>
        <v>0</v>
      </c>
      <c r="DI187" s="1116">
        <f t="shared" si="230"/>
        <v>0</v>
      </c>
      <c r="DJ187" s="442">
        <f t="shared" si="231"/>
        <v>0</v>
      </c>
      <c r="DK187" s="1109">
        <f t="shared" si="232"/>
        <v>0</v>
      </c>
      <c r="DL187" s="1101">
        <f t="shared" si="233"/>
        <v>0</v>
      </c>
      <c r="DM187" s="1097">
        <f t="shared" si="234"/>
        <v>0</v>
      </c>
      <c r="DN187" s="1097">
        <f t="shared" si="235"/>
        <v>0</v>
      </c>
      <c r="DO187" s="1097">
        <f t="shared" si="236"/>
        <v>0</v>
      </c>
      <c r="DP187" s="1110">
        <f t="shared" si="237"/>
        <v>0</v>
      </c>
      <c r="DQ187" s="1113" t="s">
        <v>562</v>
      </c>
      <c r="DR187" s="1120">
        <f t="shared" si="238"/>
        <v>0.3</v>
      </c>
      <c r="DS187" s="1124">
        <v>5</v>
      </c>
      <c r="DT187" s="1093" t="s">
        <v>563</v>
      </c>
      <c r="DU187" s="1093" t="s">
        <v>560</v>
      </c>
      <c r="DV187" s="1098">
        <f>IF($P187="","N/A",IF(P187=-1,INDEX('卡片raw data'!AN:AN,MATCH(D187,'卡片raw data'!$F:$F,)),0)+IF(AND(L187&lt;&gt;"party卡",P187&lt;=2,P187&gt;=0),INDEX('卡片raw data'!AP:AP,MATCH(D187,'卡片raw data'!$F:$F,)),0)+IF(OR(AND(L187="party卡",P187&lt;=1),AND(P187&lt;=4,L187&lt;&gt;"party卡",P187&gt;=3)),INDEX('卡片raw data'!AQ:AQ,MATCH(D187,'卡片raw data'!$F:$F,)),0)+IF(OR(P187=5,AND(L187="party卡",P187&gt;=2)),INDEX('卡片raw data'!AR:AR,MATCH(D187,'卡片raw data'!$F:$F,)),0))</f>
        <v>5.1999999999999998E-2</v>
      </c>
      <c r="DW187" s="1098">
        <f t="shared" si="239"/>
        <v>0.3</v>
      </c>
      <c r="DX187" s="1098">
        <f t="shared" si="240"/>
        <v>0.3</v>
      </c>
      <c r="DY187" s="1098">
        <f t="shared" si="241"/>
        <v>1.3866666666666666E-2</v>
      </c>
      <c r="DZ187" s="1098">
        <f t="shared" si="242"/>
        <v>8.9959999999999988E-3</v>
      </c>
      <c r="EA187" s="1098">
        <f t="shared" si="243"/>
        <v>0</v>
      </c>
      <c r="EB187" s="1121">
        <f t="shared" si="244"/>
        <v>0</v>
      </c>
      <c r="EC187" s="1101">
        <f t="shared" si="245"/>
        <v>2357.037479823884</v>
      </c>
      <c r="ED187" s="1097">
        <f t="shared" si="246"/>
        <v>70.876665890550001</v>
      </c>
      <c r="EE187" s="1110">
        <f t="shared" si="247"/>
        <v>2357.037479823884</v>
      </c>
      <c r="EF187" s="1092" t="s">
        <v>711</v>
      </c>
      <c r="EG187" s="1120">
        <f t="shared" si="248"/>
        <v>0.3</v>
      </c>
      <c r="EH187" s="1124"/>
      <c r="EI187" s="1093"/>
      <c r="EJ187" s="1093"/>
      <c r="EK187" s="1097">
        <f>IF($P187="","N/A",IF(P187=-1,INDEX('卡片raw data'!AS:AS,MATCH(D187,'卡片raw data'!$F:$F,)),0)+IF(AND(L187&lt;&gt;"party卡",P187&lt;=2,P187&gt;=0),INDEX('卡片raw data'!AU:AU,MATCH(D187,'卡片raw data'!$F:$F,)),0)+IF(OR(AND(L187="party卡",P187&lt;=1),AND(P187&lt;=4,L187&lt;&gt;"party卡",P187&gt;=3)),INDEX('卡片raw data'!AV:AV,MATCH(D187,'卡片raw data'!$F:$F,)),0)+IF(OR(P187=5,AND(L187="party卡",P187&gt;=2)),INDEX('卡片raw data'!AW:AW,MATCH(D187,'卡片raw data'!$F:$F,)),0))</f>
        <v>0</v>
      </c>
      <c r="EL187" s="1098">
        <f t="shared" si="249"/>
        <v>0.3</v>
      </c>
      <c r="EM187" s="1098">
        <f t="shared" si="250"/>
        <v>0.3</v>
      </c>
      <c r="EN187" s="1125">
        <f t="shared" si="251"/>
        <v>0</v>
      </c>
      <c r="EO187" s="1125">
        <f t="shared" si="252"/>
        <v>0</v>
      </c>
      <c r="EP187" s="1098">
        <f t="shared" si="253"/>
        <v>0</v>
      </c>
      <c r="EQ187" s="1121">
        <f t="shared" si="254"/>
        <v>0</v>
      </c>
      <c r="ER187" s="1101">
        <f t="shared" si="255"/>
        <v>0</v>
      </c>
      <c r="ES187" s="1097">
        <f t="shared" si="256"/>
        <v>0</v>
      </c>
      <c r="ET187" s="1122">
        <f t="shared" si="257"/>
        <v>0</v>
      </c>
    </row>
    <row r="188" spans="2:150" ht="16.5" customHeight="1">
      <c r="B188" s="1123" t="str">
        <f>INDEX('卡片raw data'!B:B,MATCH($D188,'卡片raw data'!$F:$F,))</f>
        <v>红帽艾</v>
      </c>
      <c r="C188" s="449" t="s">
        <v>123</v>
      </c>
      <c r="D188" s="408">
        <v>185</v>
      </c>
      <c r="E188" s="1090">
        <v>302083001</v>
      </c>
      <c r="F188" s="1090" t="str">
        <f>INDEX('卡片raw data'!C:C,MATCH($D188,'卡片raw data'!$F:$F,))</f>
        <v>UR</v>
      </c>
      <c r="G188" s="1094" t="s">
        <v>49</v>
      </c>
      <c r="H188" s="411">
        <f>IFERROR(INDEX(绊状态确认!C:C,MATCH($G188,绊状态确认!$B:$B,)),"")</f>
        <v>208</v>
      </c>
      <c r="I188" s="450" t="str">
        <f>IFERROR(INDEX(绊状态确认!D:D,MATCH($G188,绊状态确认!$B:$B,)),"")</f>
        <v>虹</v>
      </c>
      <c r="J188" s="450" t="str">
        <f>IFERROR(INDEX(绊状态确认!E:E,MATCH($G188,绊状态确认!$B:$B,)),"")</f>
        <v>3年级</v>
      </c>
      <c r="K188" s="451" t="str">
        <f>IFERROR(INDEX(绊状态确认!F:F,MATCH($G188,绊状态确认!$B:$B,)),"")</f>
        <v>QU4RTZ</v>
      </c>
      <c r="L188" s="1094" t="str">
        <f>INDEX('卡片raw data'!E:E,MATCH($D188,'卡片raw data'!$F:$F,))</f>
        <v>卡池卡</v>
      </c>
      <c r="M188" s="415">
        <v>43896</v>
      </c>
      <c r="N188" s="416">
        <v>11</v>
      </c>
      <c r="O188" s="1091" t="str">
        <f>INDEX('卡片raw data'!D:D,MATCH($D188,'卡片raw data'!$F:$F,))</f>
        <v>gd</v>
      </c>
      <c r="P188" s="417">
        <v>5</v>
      </c>
      <c r="Q188" s="1095">
        <f t="shared" si="173"/>
        <v>34583.74891234481</v>
      </c>
      <c r="R188" s="1096">
        <f t="shared" si="174"/>
        <v>0.40200000000000002</v>
      </c>
      <c r="S188" s="1097">
        <f t="shared" si="175"/>
        <v>17299.744689549116</v>
      </c>
      <c r="T188" s="1098">
        <f t="shared" si="176"/>
        <v>0.86399999999999999</v>
      </c>
      <c r="U188" s="1099">
        <f t="shared" si="177"/>
        <v>732.45980612862297</v>
      </c>
      <c r="V188" s="1100">
        <f t="shared" si="178"/>
        <v>86479.340990872355</v>
      </c>
      <c r="W188" s="1101">
        <f t="shared" si="179"/>
        <v>4507.7214871259994</v>
      </c>
      <c r="X188" s="1096">
        <f t="shared" si="180"/>
        <v>5.1999999999999998E-2</v>
      </c>
      <c r="Y188" s="1097">
        <f t="shared" si="181"/>
        <v>2386.8719106713097</v>
      </c>
      <c r="Z188" s="1102">
        <f t="shared" si="182"/>
        <v>29.667443155182859</v>
      </c>
      <c r="AA188" s="1103">
        <f t="shared" si="183"/>
        <v>6894.5933977973091</v>
      </c>
      <c r="AB188" s="1101">
        <f t="shared" si="184"/>
        <v>4507.7214871259994</v>
      </c>
      <c r="AC188" s="1104">
        <f t="shared" si="185"/>
        <v>5.1999999999999998E-2</v>
      </c>
      <c r="AD188" s="1105">
        <f t="shared" si="186"/>
        <v>0</v>
      </c>
      <c r="AE188" s="1128">
        <f t="shared" si="187"/>
        <v>-6.25</v>
      </c>
      <c r="AF188" s="1130">
        <f t="shared" si="188"/>
        <v>9589.2214988856012</v>
      </c>
      <c r="AG188" s="420">
        <f t="shared" si="189"/>
        <v>93056.085516508814</v>
      </c>
      <c r="AH188" s="420">
        <f t="shared" si="190"/>
        <v>9.7042377764788519</v>
      </c>
      <c r="AI188" s="1097">
        <f t="shared" si="191"/>
        <v>110643.76052731878</v>
      </c>
      <c r="AJ188" s="420">
        <f t="shared" si="192"/>
        <v>86479.340990872355</v>
      </c>
      <c r="AK188" s="518">
        <f t="shared" si="193"/>
        <v>24164.419536446425</v>
      </c>
      <c r="AL188" s="1106">
        <f>IF($P188="","N/A",(IF($P188=-1,INDEX('卡片raw data'!S:S,MATCH($D188,'卡片raw data'!$F:$F,)),0)+IF($P188=0,INDEX('卡片raw data'!V:V,MATCH($D188,'卡片raw data'!$F:$F,)),0)+IF($P188=1,INDEX('卡片raw data'!Y:Y,MATCH($D188,'卡片raw data'!$F:$F,)),0)+IF($P188=2,INDEX('卡片raw data'!AB:AB,MATCH($D188,'卡片raw data'!$F:$F,)),0)+IF($P188=3,INDEX('卡片raw data'!AE:AE,MATCH($D188,'卡片raw data'!$F:$F,)),0)+IF($P188=4,INDEX('卡片raw data'!AH:AH,MATCH($D188,'卡片raw data'!$F:$F,)),0)+IF($P188=5,INDEX('卡片raw data'!AK:AK,MATCH($D188,'卡片raw data'!$F:$F,)),0)+INDEX('卡片raw data'!S:S,MATCH($D188,'卡片raw data'!$F:$F,))*(IF($F188="UR",0.04,0.033))*(IF($F188="UR",INDEX(绊状态确认!$S:$S,MATCH($G188,绊状态确认!$B:$B,))/2-40)+IF($F188="SR",INDEX(绊状态确认!$R:$R,MATCH($G188,绊状态确认!$B:$B,))/4-15))+IF($F188="R",INDEX(绊状态确认!$Q:$Q,MATCH($G188,绊状态确认!$B:$B,))/6-40/6)))*(INDEX(绊状态确认!$H:$H,MATCH($G188,绊状态确认!$B:$B,))+INDEX(绊状态确认!J:J,MATCH($G188,绊状态确认!$B:$B,)))</f>
        <v>10210.326719999997</v>
      </c>
      <c r="AM188" s="1106">
        <f>IF($P188="","N/A",(IF($P188=-1,INDEX('卡片raw data'!T:T,MATCH($D188,'卡片raw data'!$F:$F,)),0)+IF($P188=0,INDEX('卡片raw data'!W:W,MATCH($D188,'卡片raw data'!$F:$F,)),0)+IF($P188=1,INDEX('卡片raw data'!Z:Z,MATCH($D188,'卡片raw data'!$F:$F,)),0)+IF($P188=2,INDEX('卡片raw data'!AC:AC,MATCH($D188,'卡片raw data'!$F:$F,)),0)+IF($P188=3,INDEX('卡片raw data'!AF:AF,MATCH($D188,'卡片raw data'!$F:$F,)),0)+IF($P188=4,INDEX('卡片raw data'!AI:AI,MATCH($D188,'卡片raw data'!$F:$F,)),0)+IF($P188=5,INDEX('卡片raw data'!AL:AL,MATCH($D188,'卡片raw data'!$F:$F,)),0)+INDEX('卡片raw data'!T:T,MATCH($D188,'卡片raw data'!$F:$F,))*(IF($F188="UR",0.04,0.033))*(IF($F188="UR",INDEX(绊状态确认!$S:$S,MATCH($G188,绊状态确认!$B:$B,))/2-40)+IF($F188="SR",INDEX(绊状态确认!$R:$R,MATCH($G188,绊状态确认!$B:$B,))/4-15))+IF($F188="R",INDEX(绊状态确认!$Q:$Q,MATCH($G188,绊状态确认!$B:$B,))/6-40/6)))*(INDEX(绊状态确认!$H:$H,MATCH($G188,绊状态确认!$B:$B,))+INDEX(绊状态确认!K:K,MATCH($G188,绊状态确认!$B:$B,)))</f>
        <v>12125.61528</v>
      </c>
      <c r="AN188" s="1106">
        <f>IF($P188="","N/A",(IF($P188=-1,INDEX('卡片raw data'!U:U,MATCH($D188,'卡片raw data'!$F:$F,)),0)+IF($P188=0,INDEX('卡片raw data'!X:X,MATCH($D188,'卡片raw data'!$F:$F,)),0)+IF($P188=1,INDEX('卡片raw data'!AA:AA,MATCH($D188,'卡片raw data'!$F:$F,)),0)+IF($P188=2,INDEX('卡片raw data'!AD:AD,MATCH($D188,'卡片raw data'!$F:$F,)),0)+IF($P188=3,INDEX('卡片raw data'!AG:AG,MATCH($D188,'卡片raw data'!$F:$F,)),0)+IF($P188=4,INDEX('卡片raw data'!AJ:AJ,MATCH($D188,'卡片raw data'!$F:$F,)),0)+IF($P188=5,INDEX('卡片raw data'!AM:AM,MATCH($D188,'卡片raw data'!$F:$F,)),0)+INDEX('卡片raw data'!U:U,MATCH($D188,'卡片raw data'!$F:$F,))*(IF($F188="UR",0.04,0.033))*(IF($F188="UR",INDEX(绊状态确认!$S:$S,MATCH($G188,绊状态确认!$B:$B,))/2-40)+IF($F188="SR",INDEX(绊状态确认!$R:$R,MATCH($G188,绊状态确认!$B:$B,))/4-15))+IF($F188="R",INDEX(绊状态确认!$Q:$Q,MATCH($G188,绊状态确认!$B:$B,))/6-40/6)))*(INDEX(绊状态确认!$H:$H,MATCH($G188,绊状态确认!$B:$B,))+INDEX(绊状态确认!L:L,MATCH($G188,绊状态确认!$B:$B,)))</f>
        <v>9573.0335999999988</v>
      </c>
      <c r="AO188" s="1107">
        <f t="shared" si="194"/>
        <v>1</v>
      </c>
      <c r="AP188" s="1131">
        <f>1+(INDEX(绊状态确认!$T:$T,MATCH($G188,绊状态确认!$B:$B,))+0.2)*$AO188</f>
        <v>1.3</v>
      </c>
      <c r="AQ188" s="1108">
        <f t="shared" si="195"/>
        <v>30052.107639999995</v>
      </c>
      <c r="AR188" s="1097">
        <f>(AM188*(1+$EX$9)+$EX$35)*(1+(INDEX(绊状态确认!$T:$T,MATCH($G188,绊状态确认!$B:$B,))+0.2)*AO188)*IF(J188=$FF$17,1+$FE$17,1)*IF(I188=$FF$14,1+$FE$14,1)*(1+$FE$15)</f>
        <v>19255.464857200001</v>
      </c>
      <c r="AS188" s="1097">
        <f>(AN188*(1+$EX$10)+$EX$36)*(1+(INDEX(绊状态确认!$T:$T,MATCH($G188,绊状态确认!$B:$B,))+0.2)*AO188)*IF(J188=$FF$17,1+$FE$17,1)*IF(I188=$FF$14,1+$FE$14,1)*(1+$FE$15)</f>
        <v>18367.685231999996</v>
      </c>
      <c r="AT188" s="1093">
        <f>IF(AND(INDEX('卡片raw data'!AK:AK,MATCH($D188,'卡片raw data'!$F:$F,))&lt;INDEX('卡片raw data'!AM:AM,MATCH($D188,'卡片raw data'!$F:$F,)),INDEX('卡片raw data'!AL:AL,MATCH($D188,'卡片raw data'!$F:$F,))&lt;INDEX('卡片raw data'!AM:AM,MATCH($D188,'卡片raw data'!$F:$F,))),1,0)</f>
        <v>0</v>
      </c>
      <c r="AU188" s="1098">
        <f>MIN(AT188*0.15+AS188*0.00003+INDEX(绊状态确认!M:M,MATCH($G188,绊状态确认!$B:$B,)),1)</f>
        <v>0.58103055695999994</v>
      </c>
      <c r="AV188" s="1109">
        <f>(INDEX(绊状态确认!$N:$N,MATCH($G188,绊状态确认!$B:$B,))+1.5)*$EW$21</f>
        <v>2.6599999999999997</v>
      </c>
      <c r="AW188" s="1101">
        <f t="shared" si="196"/>
        <v>30661.027425218814</v>
      </c>
      <c r="AX188" s="1097">
        <f t="shared" si="197"/>
        <v>1675.4695751407835</v>
      </c>
      <c r="AY188" s="1110">
        <f t="shared" si="198"/>
        <v>32336.497000359595</v>
      </c>
      <c r="AZ188" s="429">
        <f t="shared" si="199"/>
        <v>22510.137103999994</v>
      </c>
      <c r="BA188" s="431">
        <f t="shared" si="200"/>
        <v>27012.164524799991</v>
      </c>
      <c r="BB188" s="1097">
        <f>(AM188*(1+$FB$9)+$FB$35)*(1+(INDEX(绊状态确认!$T:$T,MATCH($G188,绊状态确认!$B:$B,))+0.2)*AO188)*IF(J188=$FF$17,1+$FE$17,1)*IF(I188=$FF$14,1+$FE$14,1)*(1+$FE$15)</f>
        <v>19255.464857200001</v>
      </c>
      <c r="BC188" s="1097">
        <f>(AN188*(1+$FB$10)+$FB$36)*(1+(INDEX(绊状态确认!$T:$T,MATCH($G188,绊状态确认!$B:$B,))+0.2)*AO188)*IF(J188=$FF$17,1+$FE$17,1)*IF(I188=$FF$14,1+$FE$14,1)*(1+$FE$15)</f>
        <v>18367.685231999996</v>
      </c>
      <c r="BD188" s="1104">
        <f>MIN(AT188*0.15+BC188*0.00003+INDEX(绊状态确认!M:M,MATCH($G188,绊状态确认!$B:$B,)),1)</f>
        <v>0.58103055695999994</v>
      </c>
      <c r="BE188" s="432">
        <f>(INDEX(绊状态确认!$N:$N,MATCH($G188,绊状态确认!$B:$B,))+1.5)</f>
        <v>1.9</v>
      </c>
      <c r="BF188" s="1139">
        <f t="array" ref="BF188">SUMPRODUCT(IF(AZ188*AP188*$FI$16:$FI$23*$FA$22&gt;=$FI$24,$FI$24,AZ188*AP188*$FI$16:$FI$23*$FA$22),$FJ$16:$FJ$23)</f>
        <v>44772.662699855988</v>
      </c>
      <c r="BG188" s="1125">
        <f t="array" ref="BG188">SUMPRODUCT(IF(BE188*AZ188*AP188*$FI$16:$FI$23*$FA$22&gt;=$FI$24,$FI$24,BE188*AZ188*AP188*$FI$16:$FI$23*$FA$22),$FJ$16:$FJ$23)</f>
        <v>60000</v>
      </c>
      <c r="BH188" s="1110">
        <f t="shared" si="201"/>
        <v>17873.403657458814</v>
      </c>
      <c r="BI188" s="1111">
        <f>IF(O188="vo",$EW$26/$EW$24*0.05,0)+IF(O188="sk",-$EW$26/$EW$24*(0.05-INDEX(绊状态确认!W:W,MATCH($G188,绊状态确认!$B:$B,)))+0.05*$EW$28,0)+IF(O188="sp",0.05*$EW$32*$EW$30*(1-$EW$33)-(0.05-INDEX(绊状态确认!V:V,MATCH($G188,绊状态确认!$B:$B,)))*$EW$28,0)+IF(O188="gd",-(0.05-INDEX(绊状态确认!X:X,MATCH($G188,绊状态确认!$B:$B,)))*$EW$32*$EW$30*(1-$EW$33),0)</f>
        <v>-585.00000000000011</v>
      </c>
      <c r="BJ188" s="1097">
        <f>IF(O188="vo",0.05*(1-$FI$26)*$FA$24,0)+IF(O188="sk",-(0.05-INDEX(绊状态确认!W:W,MATCH($G188,绊状态确认!$B:$B,)))*(1-$FI$26)*$FA$24+0.05*$FA$26,0)+IF(O188="sp",0.05*$FA$32*$FA$27*(1-$FA$33)/$FA$30+0.05*$FA$29/$FA$69*$FA$27*(1-$FA$33)-(0.05-INDEX(绊状态确认!V:V,MATCH($G188,绊状态确认!$B:$B,)))*$FA$26,0)+IF(O188="gd",-(0.05-INDEX(绊状态确认!X:X,MATCH($G188,绊状态确认!$B:$B,)))*$FA$32*$FA$27*(1-$FA$33)/$FA$30-(0.05-INDEX(绊状态确认!X:X,MATCH($G188,绊状态确认!$B:$B,)))*$FA$29/$FA$69*$FA$27*(1-$FA$33),0)</f>
        <v>-795.00000000000011</v>
      </c>
      <c r="BK188" s="1110">
        <f>IF(O188="vo",$EW$26/$EW$24*0.05+$EW$26*(-HP($EW$62,$EW$65,$EW$64)+HP($EW$62,$EW$65,(1.05-INDEX(绊状态确认!U:U,MATCH($G188,绊状态确认!$B:$B,)))*$EW$64)),0)+IF(O188="sk",-$EW$26/$EW$24*(0.05-INDEX(绊状态确认!W:W,MATCH($G188,绊状态确认!$B:$B,)))+0.05*$EW$29,0)+IF(O188="sp",0.05*$EW$32*$EW$30*(1-$EW$33)-(0.05-INDEX(绊状态确认!V:V,MATCH($G188,绊状态确认!$B:$B,)))*$EW$29,0)+IF(O188="gd",-(0.05-INDEX(绊状态确认!X:X,MATCH($G188,绊状态确认!$B:$B,)))*$EW$32*$EW$30*(1-$EW$33)+$EW$26*(-HP($EW$62,$EW$65,$EW$64)+HP($EW$62,$EW$65,0.95*$EW$64)),0)</f>
        <v>1009.5947725176144</v>
      </c>
      <c r="BL188" s="1111">
        <f t="shared" si="202"/>
        <v>0</v>
      </c>
      <c r="BM188" s="1110">
        <f t="shared" si="203"/>
        <v>0</v>
      </c>
      <c r="BN188" s="1113">
        <f t="shared" si="204"/>
        <v>3</v>
      </c>
      <c r="BO188" s="1097">
        <f t="shared" si="205"/>
        <v>4507.7214871259994</v>
      </c>
      <c r="BP188" s="1100">
        <f t="shared" si="206"/>
        <v>221.34103209030098</v>
      </c>
      <c r="BQ188" s="1113" t="s">
        <v>144</v>
      </c>
      <c r="BR188" s="1124" t="s">
        <v>148</v>
      </c>
      <c r="BS188" s="1098">
        <f>IF($P188="","N/A",IF($P188=-1,INDEX('卡片raw data'!AX:AX,MATCH($D188,'卡片raw data'!$F:$F,)),0)+IF($L188="party卡",IF($P188=5,INDEX('卡片raw data'!BD:BD,MATCH($D188,'卡片raw data'!$F:$F,)),IF($P188&gt;=3,INDEX('卡片raw data'!BC:BC,MATCH($D188,'卡片raw data'!$F:$F,)),INDEX('卡片raw data'!BB:BB,MATCH($D188,'卡片raw data'!$F:$F,)))),IF(OR(AND($F188="UR",$P188=0),AND($F188="SR",$P188&gt;=0,$P188&lt;=2),AND($F188="R",$P188&gt;=0,$P188&lt;4)),INDEX('卡片raw data'!AZ:AZ,MATCH($D188,'卡片raw data'!$F:$F,)),0)+IF(OR(AND($F188="UR",$P188&gt;=1,$P188&lt;=4),AND($F188="SR",$P188&lt;=4,$P188&gt;=3),AND($F188="R",$P188=4)),INDEX('卡片raw data'!BA:BA,MATCH($D188,'卡片raw data'!$F:$F,)),0)+IF($P188=5,INDEX('卡片raw data'!BB:BB,MATCH($D188,'卡片raw data'!$F:$F,)),0)))</f>
        <v>5.1999999999999998E-2</v>
      </c>
      <c r="BT188" s="1101">
        <f t="shared" si="207"/>
        <v>0</v>
      </c>
      <c r="BU188" s="1097">
        <f t="shared" si="208"/>
        <v>0</v>
      </c>
      <c r="BV188" s="1097">
        <f t="shared" si="209"/>
        <v>0</v>
      </c>
      <c r="BW188" s="1112">
        <f t="shared" si="210"/>
        <v>2.4347142857142861</v>
      </c>
      <c r="BX188" s="1100">
        <f t="shared" si="211"/>
        <v>190.49664124538464</v>
      </c>
      <c r="BY188" s="1110">
        <f t="shared" si="212"/>
        <v>190.49664124538464</v>
      </c>
      <c r="BZ188" s="1107" t="s">
        <v>569</v>
      </c>
      <c r="CA188" s="1124"/>
      <c r="CB188" s="1098">
        <f>IF($P188="","N/A",IF($P188=-1,INDEX('卡片raw data'!BE:BE,MATCH($D188,'卡片raw data'!$F:$F,)),0)+IF($L188="party卡",IF($P188=5,INDEX('卡片raw data'!BK:BK,MATCH($D188,'卡片raw data'!$F:$F,)),IF($P188&gt;=3,INDEX('卡片raw data'!BJ:BJ,MATCH($D188,'卡片raw data'!$F:$F,)),INDEX('卡片raw data'!BI:BI,MATCH($D188,'卡片raw data'!$F:$F,)))),IF(OR(AND($F188="UR",$P188=0),AND($F188="SR",$P188&gt;=0,$P188&lt;=2),AND($F188="R",$P188&gt;=0,$P188&lt;4)),INDEX('卡片raw data'!BG:BG,MATCH($D188,'卡片raw data'!$F:$F,)),0)+IF(OR(AND($F188="UR",$P188&gt;=1,$P188&lt;=4),AND($F188="SR",$P188&lt;=4,$P188&gt;=3),AND($F188="R",$P188=4)),INDEX('卡片raw data'!BH:BH,MATCH($D188,'卡片raw data'!$F:$F,)),0)+IF($P188=5,INDEX('卡片raw data'!BI:BI,MATCH($D188,'卡片raw data'!$F:$F,)),0)))</f>
        <v>0</v>
      </c>
      <c r="CC188" s="1101">
        <f t="shared" si="213"/>
        <v>0</v>
      </c>
      <c r="CD188" s="1097">
        <f>IF(BZ188="ap",CB188*(1-$FI$26)*$FB$5/$FB$11*(+IF(CA188="全员",$FA$24,0)+IF(CA188="同作战",$FA$24,0)+IF(CA188="仲间",$FA$24*2/3,0)+IF(CA188="同属性",$FA$24*$FA$37/3,0)+IF(CA188="同年级",$FA$24*$FA$40/3,0)+IF(CA188="同学校",$FA$24*$FA$43/3,0)+IF(CA188="同小队",$FA$24*$FA$46/3,0)+IF(CA188="同type",$FA$24*INDEX($FB$49:$FB$52,MATCH(X188,$FA$49:$FA$52,))/3,0)+IF(CA188="自身",#REF!/3,0)),0)+IF(BZ188="te",CB188*(1-$FI$27)*($FA$20-1)*$FB$7/$FB$13*(+IF(CA188="全员",$FA$19*$FA$24/(1+($FA$20-1)*$FA$19),0)+IF(CA188="同作战",$FA$19*$FA$24/(1+($FA$20-1)*$FA$19),0)+IF(CA188="仲间",$FA$19*$FA$24*2/3/(1+($FA$20-1)*$FA$19),0)+IF(CA188="同属性",$FA$19*$FA$24*$FA$37/3/(1+($FA$20-1)*$FA$19),0)+IF(CA188="同年级",$FA$19*$FA$24*$FA$40/3/(1+($FA$20-1)*$FA$19),0)+IF(CA188="同学校",$FA$19*$FA$24*$FA$43/3/(1+($FA$20-1)*$FA$19),0)+IF(CA188="同小队",$FA$19*$FA$24*$FA$46/3/(1+($FA$20-1)*$FA$19),0)+IF(CA188="同type",$FA$19*$FA$24*INDEX($FB$49:$FB$52,MATCH(X188,$FA$49:$FA$52,))/3/(1+($FA$20-1)*$FA$19),0)+IF(CA188="自身",$FA$19*#REF!/3/(1+(BH188-1)*$BD188),0)),0)</f>
        <v>0</v>
      </c>
      <c r="CE188" s="1097">
        <f t="shared" si="214"/>
        <v>0</v>
      </c>
      <c r="CF188" s="1112">
        <f t="shared" si="215"/>
        <v>0</v>
      </c>
      <c r="CG188" s="1100">
        <f t="shared" si="216"/>
        <v>0</v>
      </c>
      <c r="CH188" s="1110">
        <f t="shared" si="217"/>
        <v>0</v>
      </c>
      <c r="CI188" s="1113" t="s">
        <v>165</v>
      </c>
      <c r="CJ188" s="1114">
        <v>0.3</v>
      </c>
      <c r="CK188" s="1115" t="s">
        <v>637</v>
      </c>
      <c r="CL188" s="1115" t="s">
        <v>1944</v>
      </c>
      <c r="CM188" s="1119">
        <v>0.32</v>
      </c>
      <c r="CN188" s="1115"/>
      <c r="CO188" s="1092"/>
      <c r="CP188" s="1116">
        <f t="shared" si="218"/>
        <v>6.6018736653257148</v>
      </c>
      <c r="CQ188" s="1116">
        <f t="shared" si="219"/>
        <v>10.269581257173334</v>
      </c>
      <c r="CR188" s="1116">
        <f t="shared" si="220"/>
        <v>6.6018736653257148</v>
      </c>
      <c r="CS188" s="1118">
        <f t="shared" si="221"/>
        <v>0</v>
      </c>
      <c r="CT188" s="1109">
        <f t="shared" si="222"/>
        <v>0</v>
      </c>
      <c r="CU188" s="1101">
        <f t="shared" si="223"/>
        <v>0</v>
      </c>
      <c r="CV188" s="1108">
        <f t="shared" si="224"/>
        <v>0</v>
      </c>
      <c r="CW188" s="1097">
        <f t="shared" si="225"/>
        <v>0</v>
      </c>
      <c r="CX188" s="1097">
        <f t="shared" si="226"/>
        <v>0</v>
      </c>
      <c r="CY188" s="1110">
        <f t="shared" si="227"/>
        <v>520.90569428514152</v>
      </c>
      <c r="CZ188" s="437"/>
      <c r="DA188" s="438"/>
      <c r="DB188" s="439" t="s">
        <v>569</v>
      </c>
      <c r="DC188" s="439"/>
      <c r="DD188" s="443"/>
      <c r="DE188" s="411"/>
      <c r="DF188" s="411"/>
      <c r="DG188" s="1116">
        <f t="shared" si="228"/>
        <v>0</v>
      </c>
      <c r="DH188" s="1116">
        <f t="shared" si="229"/>
        <v>0</v>
      </c>
      <c r="DI188" s="1116">
        <f t="shared" si="230"/>
        <v>0</v>
      </c>
      <c r="DJ188" s="442">
        <f t="shared" si="231"/>
        <v>0</v>
      </c>
      <c r="DK188" s="1109">
        <f t="shared" si="232"/>
        <v>0</v>
      </c>
      <c r="DL188" s="1101">
        <f t="shared" si="233"/>
        <v>0</v>
      </c>
      <c r="DM188" s="1097">
        <f t="shared" si="234"/>
        <v>0</v>
      </c>
      <c r="DN188" s="1097">
        <f t="shared" si="235"/>
        <v>0</v>
      </c>
      <c r="DO188" s="1097">
        <f t="shared" si="236"/>
        <v>0</v>
      </c>
      <c r="DP188" s="1110">
        <f t="shared" si="237"/>
        <v>0</v>
      </c>
      <c r="DQ188" s="1113" t="s">
        <v>636</v>
      </c>
      <c r="DR188" s="1120">
        <f t="shared" si="238"/>
        <v>0.33</v>
      </c>
      <c r="DS188" s="1124"/>
      <c r="DT188" s="1093" t="s">
        <v>133</v>
      </c>
      <c r="DU188" s="1093"/>
      <c r="DV188" s="1098">
        <f>IF($P188="","N/A",IF(P188=-1,INDEX('卡片raw data'!AN:AN,MATCH(D188,'卡片raw data'!$F:$F,)),0)+IF(AND(L188&lt;&gt;"party卡",P188&lt;=2,P188&gt;=0),INDEX('卡片raw data'!AP:AP,MATCH(D188,'卡片raw data'!$F:$F,)),0)+IF(OR(AND(L188="party卡",P188&lt;=1),AND(P188&lt;=4,L188&lt;&gt;"party卡",P188&gt;=3)),INDEX('卡片raw data'!AQ:AQ,MATCH(D188,'卡片raw data'!$F:$F,)),0)+IF(OR(P188=5,AND(L188="party卡",P188&gt;=2)),INDEX('卡片raw data'!AR:AR,MATCH(D188,'卡片raw data'!$F:$F,)),0))</f>
        <v>0.32</v>
      </c>
      <c r="DW188" s="1098">
        <f t="shared" si="239"/>
        <v>0.33</v>
      </c>
      <c r="DX188" s="1098">
        <f t="shared" si="240"/>
        <v>0.33</v>
      </c>
      <c r="DY188" s="1125">
        <f t="shared" si="241"/>
        <v>677.79236297344016</v>
      </c>
      <c r="DZ188" s="1125">
        <f t="shared" si="242"/>
        <v>586.29039397202575</v>
      </c>
      <c r="EA188" s="1098">
        <f t="shared" si="243"/>
        <v>0</v>
      </c>
      <c r="EB188" s="1121">
        <f t="shared" si="244"/>
        <v>0</v>
      </c>
      <c r="EC188" s="1101">
        <f t="shared" si="245"/>
        <v>0</v>
      </c>
      <c r="ED188" s="1097">
        <f t="shared" si="246"/>
        <v>0</v>
      </c>
      <c r="EE188" s="1110">
        <f t="shared" si="247"/>
        <v>48435.03108962375</v>
      </c>
      <c r="EF188" s="1092" t="s">
        <v>711</v>
      </c>
      <c r="EG188" s="1120">
        <f t="shared" si="248"/>
        <v>0.33</v>
      </c>
      <c r="EH188" s="1124"/>
      <c r="EI188" s="1093"/>
      <c r="EJ188" s="1093"/>
      <c r="EK188" s="1097">
        <f>IF($P188="","N/A",IF(P188=-1,INDEX('卡片raw data'!AS:AS,MATCH(D188,'卡片raw data'!$F:$F,)),0)+IF(AND(L188&lt;&gt;"party卡",P188&lt;=2,P188&gt;=0),INDEX('卡片raw data'!AU:AU,MATCH(D188,'卡片raw data'!$F:$F,)),0)+IF(OR(AND(L188="party卡",P188&lt;=1),AND(P188&lt;=4,L188&lt;&gt;"party卡",P188&gt;=3)),INDEX('卡片raw data'!AV:AV,MATCH(D188,'卡片raw data'!$F:$F,)),0)+IF(OR(P188=5,AND(L188="party卡",P188&gt;=2)),INDEX('卡片raw data'!AW:AW,MATCH(D188,'卡片raw data'!$F:$F,)),0))</f>
        <v>0</v>
      </c>
      <c r="EL188" s="1098">
        <f t="shared" si="249"/>
        <v>0.33</v>
      </c>
      <c r="EM188" s="1098">
        <f t="shared" si="250"/>
        <v>0.33</v>
      </c>
      <c r="EN188" s="1125">
        <f t="shared" si="251"/>
        <v>0</v>
      </c>
      <c r="EO188" s="1125">
        <f t="shared" si="252"/>
        <v>0</v>
      </c>
      <c r="EP188" s="1098">
        <f t="shared" si="253"/>
        <v>0</v>
      </c>
      <c r="EQ188" s="1121">
        <f t="shared" si="254"/>
        <v>0</v>
      </c>
      <c r="ER188" s="1101">
        <f t="shared" si="255"/>
        <v>0</v>
      </c>
      <c r="ES188" s="1097">
        <f t="shared" si="256"/>
        <v>0</v>
      </c>
      <c r="ET188" s="1122">
        <f t="shared" si="257"/>
        <v>0</v>
      </c>
    </row>
    <row r="189" spans="2:150" ht="16.5" customHeight="1">
      <c r="B189" s="1123" t="str">
        <f>INDEX('卡片raw data'!B:B,MATCH($D189,'卡片raw data'!$F:$F,))</f>
        <v>一单海</v>
      </c>
      <c r="C189" s="449" t="s">
        <v>124</v>
      </c>
      <c r="D189" s="408">
        <v>186</v>
      </c>
      <c r="E189" s="1090">
        <v>300042001</v>
      </c>
      <c r="F189" s="1090" t="str">
        <f>INDEX('卡片raw data'!C:C,MATCH($D189,'卡片raw data'!$F:$F,))</f>
        <v>SR</v>
      </c>
      <c r="G189" s="1094" t="s">
        <v>334</v>
      </c>
      <c r="H189" s="411">
        <f>IFERROR(INDEX(绊状态确认!C:C,MATCH($G189,绊状态确认!$B:$B,)),"")</f>
        <v>4</v>
      </c>
      <c r="I189" s="450" t="str">
        <f>IFERROR(INDEX(绊状态确认!D:D,MATCH($G189,绊状态确认!$B:$B,)),"")</f>
        <v>缪</v>
      </c>
      <c r="J189" s="450" t="str">
        <f>IFERROR(INDEX(绊状态确认!E:E,MATCH($G189,绊状态确认!$B:$B,)),"")</f>
        <v>2年级</v>
      </c>
      <c r="K189" s="451" t="str">
        <f>IFERROR(INDEX(绊状态确认!F:F,MATCH($G189,绊状态确认!$B:$B,)),"")</f>
        <v>lilywhite</v>
      </c>
      <c r="L189" s="1094" t="str">
        <f>INDEX('卡片raw data'!E:E,MATCH($D189,'卡片raw data'!$F:$F,))</f>
        <v>卡池卡</v>
      </c>
      <c r="M189" s="415">
        <v>43896</v>
      </c>
      <c r="N189" s="416">
        <v>11</v>
      </c>
      <c r="O189" s="1091" t="str">
        <f>INDEX('卡片raw data'!D:D,MATCH($D189,'卡片raw data'!$F:$F,))</f>
        <v>sk</v>
      </c>
      <c r="P189" s="417">
        <v>5</v>
      </c>
      <c r="Q189" s="1095">
        <f t="shared" si="173"/>
        <v>24146.938649269905</v>
      </c>
      <c r="R189" s="1096">
        <f t="shared" si="174"/>
        <v>0.28000000000000003</v>
      </c>
      <c r="S189" s="1097">
        <f t="shared" si="175"/>
        <v>13830.899986525621</v>
      </c>
      <c r="T189" s="1098">
        <f t="shared" si="176"/>
        <v>0.69099999999999995</v>
      </c>
      <c r="U189" s="1099">
        <f t="shared" si="177"/>
        <v>12.361213396572857</v>
      </c>
      <c r="V189" s="1100">
        <f t="shared" si="178"/>
        <v>27133.791167108528</v>
      </c>
      <c r="W189" s="1101">
        <f t="shared" si="179"/>
        <v>4544.0851234896354</v>
      </c>
      <c r="X189" s="1096">
        <f t="shared" si="180"/>
        <v>5.1999999999999998E-2</v>
      </c>
      <c r="Y189" s="1097">
        <f t="shared" si="181"/>
        <v>986.85251783862077</v>
      </c>
      <c r="Z189" s="1102">
        <f t="shared" si="182"/>
        <v>12.361213396572857</v>
      </c>
      <c r="AA189" s="1103">
        <f t="shared" si="183"/>
        <v>5530.9376413282562</v>
      </c>
      <c r="AB189" s="1101">
        <f t="shared" si="184"/>
        <v>8300.5196960946359</v>
      </c>
      <c r="AC189" s="1104">
        <f t="shared" si="185"/>
        <v>9.6000000000000002E-2</v>
      </c>
      <c r="AD189" s="1105">
        <f t="shared" si="186"/>
        <v>8.0494224431818168E-2</v>
      </c>
      <c r="AE189" s="1128">
        <f t="shared" si="187"/>
        <v>34.271665883523589</v>
      </c>
      <c r="AF189" s="1130">
        <f t="shared" si="188"/>
        <v>0</v>
      </c>
      <c r="AG189" s="420">
        <f t="shared" si="189"/>
        <v>0</v>
      </c>
      <c r="AH189" s="420">
        <f t="shared" si="190"/>
        <v>0</v>
      </c>
      <c r="AI189" s="1097">
        <f t="shared" si="191"/>
        <v>0</v>
      </c>
      <c r="AJ189" s="420">
        <f t="shared" si="192"/>
        <v>0</v>
      </c>
      <c r="AK189" s="518">
        <f t="shared" si="193"/>
        <v>0</v>
      </c>
      <c r="AL189" s="1106">
        <f>IF($P189="","N/A",(IF($P189=-1,INDEX('卡片raw data'!S:S,MATCH($D189,'卡片raw data'!$F:$F,)),0)+IF($P189=0,INDEX('卡片raw data'!V:V,MATCH($D189,'卡片raw data'!$F:$F,)),0)+IF($P189=1,INDEX('卡片raw data'!Y:Y,MATCH($D189,'卡片raw data'!$F:$F,)),0)+IF($P189=2,INDEX('卡片raw data'!AB:AB,MATCH($D189,'卡片raw data'!$F:$F,)),0)+IF($P189=3,INDEX('卡片raw data'!AE:AE,MATCH($D189,'卡片raw data'!$F:$F,)),0)+IF($P189=4,INDEX('卡片raw data'!AH:AH,MATCH($D189,'卡片raw data'!$F:$F,)),0)+IF($P189=5,INDEX('卡片raw data'!AK:AK,MATCH($D189,'卡片raw data'!$F:$F,)),0)+INDEX('卡片raw data'!S:S,MATCH($D189,'卡片raw data'!$F:$F,))*(IF($F189="UR",0.04,0.033))*(IF($F189="UR",INDEX(绊状态确认!$S:$S,MATCH($G189,绊状态确认!$B:$B,))/2-40)+IF($F189="SR",INDEX(绊状态确认!$R:$R,MATCH($G189,绊状态确认!$B:$B,))/4-15))+IF($F189="R",INDEX(绊状态确认!$Q:$Q,MATCH($G189,绊状态确认!$B:$B,))/6-40/6)))*(INDEX(绊状态确认!$H:$H,MATCH($G189,绊状态确认!$B:$B,))+INDEX(绊状态确认!J:J,MATCH($G189,绊状态确认!$B:$B,)))</f>
        <v>6865.0355831999996</v>
      </c>
      <c r="AM189" s="1106">
        <f>IF($P189="","N/A",(IF($P189=-1,INDEX('卡片raw data'!T:T,MATCH($D189,'卡片raw data'!$F:$F,)),0)+IF($P189=0,INDEX('卡片raw data'!W:W,MATCH($D189,'卡片raw data'!$F:$F,)),0)+IF($P189=1,INDEX('卡片raw data'!Z:Z,MATCH($D189,'卡片raw data'!$F:$F,)),0)+IF($P189=2,INDEX('卡片raw data'!AC:AC,MATCH($D189,'卡片raw data'!$F:$F,)),0)+IF($P189=3,INDEX('卡片raw data'!AF:AF,MATCH($D189,'卡片raw data'!$F:$F,)),0)+IF($P189=4,INDEX('卡片raw data'!AI:AI,MATCH($D189,'卡片raw data'!$F:$F,)),0)+IF($P189=5,INDEX('卡片raw data'!AL:AL,MATCH($D189,'卡片raw data'!$F:$F,)),0)+INDEX('卡片raw data'!T:T,MATCH($D189,'卡片raw data'!$F:$F,))*(IF($F189="UR",0.04,0.033))*(IF($F189="UR",INDEX(绊状态确认!$S:$S,MATCH($G189,绊状态确认!$B:$B,))/2-40)+IF($F189="SR",INDEX(绊状态确认!$R:$R,MATCH($G189,绊状态确认!$B:$B,))/4-15))+IF($F189="R",INDEX(绊状态确认!$Q:$Q,MATCH($G189,绊状态确认!$B:$B,))/6-40/6)))*(INDEX(绊状态确认!$H:$H,MATCH($G189,绊状态确认!$B:$B,))+INDEX(绊状态确认!K:K,MATCH($G189,绊状态确认!$B:$B,)))</f>
        <v>6471.1593431999991</v>
      </c>
      <c r="AN189" s="1106">
        <f>IF($P189="","N/A",(IF($P189=-1,INDEX('卡片raw data'!U:U,MATCH($D189,'卡片raw data'!$F:$F,)),0)+IF($P189=0,INDEX('卡片raw data'!X:X,MATCH($D189,'卡片raw data'!$F:$F,)),0)+IF($P189=1,INDEX('卡片raw data'!AA:AA,MATCH($D189,'卡片raw data'!$F:$F,)),0)+IF($P189=2,INDEX('卡片raw data'!AD:AD,MATCH($D189,'卡片raw data'!$F:$F,)),0)+IF($P189=3,INDEX('卡片raw data'!AG:AG,MATCH($D189,'卡片raw data'!$F:$F,)),0)+IF($P189=4,INDEX('卡片raw data'!AJ:AJ,MATCH($D189,'卡片raw data'!$F:$F,)),0)+IF($P189=5,INDEX('卡片raw data'!AM:AM,MATCH($D189,'卡片raw data'!$F:$F,)),0)+INDEX('卡片raw data'!U:U,MATCH($D189,'卡片raw data'!$F:$F,))*(IF($F189="UR",0.04,0.033))*(IF($F189="UR",INDEX(绊状态确认!$S:$S,MATCH($G189,绊状态确认!$B:$B,))/2-40)+IF($F189="SR",INDEX(绊状态确认!$R:$R,MATCH($G189,绊状态确认!$B:$B,))/4-15))+IF($F189="R",INDEX(绊状态确认!$Q:$Q,MATCH($G189,绊状态确认!$B:$B,))/6-40/6)))*(INDEX(绊状态确认!$H:$H,MATCH($G189,绊状态确认!$B:$B,))+INDEX(绊状态确认!L:L,MATCH($G189,绊状态确认!$B:$B,)))</f>
        <v>6274.2212231999993</v>
      </c>
      <c r="AO189" s="1107">
        <f t="shared" si="194"/>
        <v>1</v>
      </c>
      <c r="AP189" s="1131">
        <f>1+(INDEX(绊状态确认!$T:$T,MATCH($G189,绊状态确认!$B:$B,))+0.2)*$AO189</f>
        <v>1.3</v>
      </c>
      <c r="AQ189" s="1108">
        <f t="shared" si="195"/>
        <v>21270.718405899999</v>
      </c>
      <c r="AR189" s="1097">
        <f>(AM189*(1+$EX$9)+$EX$35)*(1+(INDEX(绊状态确认!$T:$T,MATCH($G189,绊状态确认!$B:$B,))+0.2)*AO189)*IF(J189=$FF$17,1+$FE$17,1)*IF(I189=$FF$14,1+$FE$14,1)</f>
        <v>11537.132503467999</v>
      </c>
      <c r="AS189" s="1097">
        <f>(AN189*(1+$EX$10)+$EX$36)*(1+(INDEX(绊状态确认!$T:$T,MATCH($G189,绊状态确认!$B:$B,))+0.2)*AO189)*IF(J189=$FF$17,1+$FE$17,1)*IF(I189=$FF$14,1+$FE$14,1)</f>
        <v>13435.960728683998</v>
      </c>
      <c r="AT189" s="1093">
        <f>IF(AND(INDEX('卡片raw data'!AK:AK,MATCH($D189,'卡片raw data'!$F:$F,))&lt;INDEX('卡片raw data'!AM:AM,MATCH($D189,'卡片raw data'!$F:$F,)),INDEX('卡片raw data'!AL:AL,MATCH($D189,'卡片raw data'!$F:$F,))&lt;INDEX('卡片raw data'!AM:AM,MATCH($D189,'卡片raw data'!$F:$F,))),1,0)</f>
        <v>0</v>
      </c>
      <c r="AU189" s="1098">
        <f>MIN(AT189*0.15+AS189*0.00003+INDEX(绊状态确认!M:M,MATCH($G189,绊状态确认!$B:$B,)),1)</f>
        <v>0.43307882186051999</v>
      </c>
      <c r="AV189" s="1109">
        <f>(INDEX(绊状态确认!$N:$N,MATCH($G189,绊状态确认!$B:$B,))+1.5)*$EW$21</f>
        <v>2.6599999999999997</v>
      </c>
      <c r="AW189" s="1101">
        <f t="shared" si="196"/>
        <v>18988.596828397913</v>
      </c>
      <c r="AX189" s="1097">
        <f t="shared" si="197"/>
        <v>986.85251783862088</v>
      </c>
      <c r="AY189" s="1110">
        <f t="shared" si="198"/>
        <v>19975.449346236535</v>
      </c>
      <c r="AZ189" s="429">
        <f t="shared" si="199"/>
        <v>15986.819387239999</v>
      </c>
      <c r="BA189" s="431">
        <f t="shared" si="200"/>
        <v>19184.183264687999</v>
      </c>
      <c r="BB189" s="1097">
        <f>(AM189*(1+$FB$9)+$FB$35)*(1+(INDEX(绊状态确认!$T:$T,MATCH($G189,绊状态确认!$B:$B,))+0.2)*AO189)*IF(J189=$FF$17,1+$FE$17,1)*IF(I189=$FF$14,1+$FE$14,1)*(1+$FE$15)</f>
        <v>11537.132503467999</v>
      </c>
      <c r="BC189" s="1097">
        <f>(AN189*(1+$FB$10)+$FB$36)*(1+(INDEX(绊状态确认!$T:$T,MATCH($G189,绊状态确认!$B:$B,))+0.2)*AO189)*IF(J189=$FF$17,1+$FE$17,1)*IF(I189=$FF$14,1+$FE$14,1)*(1+$FE$15)</f>
        <v>13435.960728683998</v>
      </c>
      <c r="BD189" s="1104">
        <f>MIN(AT189*0.15+BC189*0.00003+INDEX(绊状态确认!M:M,MATCH($G189,绊状态确认!$B:$B,)),1)</f>
        <v>0.43307882186051999</v>
      </c>
      <c r="BE189" s="432">
        <f>(INDEX(绊状态确认!$N:$N,MATCH($G189,绊状态确认!$B:$B,))+1.5)</f>
        <v>1.9</v>
      </c>
      <c r="BF189" s="1139">
        <f t="array" ref="BF189">SUMPRODUCT(IF(AZ189*AP189*$FI$16:$FI$23*$FA$22&gt;=$FI$24,$FI$24,AZ189*AP189*$FI$16:$FI$23*$FA$22),$FJ$16:$FJ$23)</f>
        <v>31797.783761220358</v>
      </c>
      <c r="BG189" s="1125">
        <f t="array" ref="BG189">SUMPRODUCT(IF(BE189*AZ189*AP189*$FI$16:$FI$23*$FA$22&gt;=$FI$24,$FI$24,BE189*AZ189*AP189*$FI$16:$FI$23*$FA$22),$FJ$16:$FJ$23)</f>
        <v>56774.578425780725</v>
      </c>
      <c r="BH189" s="1110">
        <f t="shared" si="201"/>
        <v>14204.901522800095</v>
      </c>
      <c r="BI189" s="1111">
        <f>IF(O189="vo",$EW$26/$EW$24*0.05,0)+IF(O189="sk",-$EW$26/$EW$24*(0.05-INDEX(绊状态确认!W:W,MATCH($G189,绊状态确认!$B:$B,)))+0.05*$EW$28,0)+IF(O189="sp",0.05*$EW$32*$EW$30*(1-$EW$33)-(0.05-INDEX(绊状态确认!V:V,MATCH($G189,绊状态确认!$B:$B,)))*$EW$28,0)+IF(O189="gd",-(0.05-INDEX(绊状态确认!X:X,MATCH($G189,绊状态确认!$B:$B,)))*$EW$32*$EW$30*(1-$EW$33),0)</f>
        <v>-6253.6726349699375</v>
      </c>
      <c r="BJ189" s="1097">
        <f>IF(O189="vo",0.05*(1-$FI$26)*$FA$24,0)+IF(O189="sk",-(0.05-INDEX(绊状态确认!W:W,MATCH($G189,绊状态确认!$B:$B,)))*(1-$FI$26)*$FA$24+0.05*$FA$26,0)+IF(O189="sp",0.05*$FA$32*$FA$27*(1-$FA$33)/$FA$30+0.05*$FA$29/$FA$69*$FA$27*(1-$FA$33)-(0.05-INDEX(绊状态确认!V:V,MATCH($G189,绊状态确认!$B:$B,)))*$FA$26,0)+IF(O189="gd",-(0.05-INDEX(绊状态确认!X:X,MATCH($G189,绊状态确认!$B:$B,)))*$FA$32*$FA$27*(1-$FA$33)/$FA$30-(0.05-INDEX(绊状态确认!X:X,MATCH($G189,绊状态确认!$B:$B,)))*$FA$29/$FA$69*$FA$27*(1-$FA$33),0)</f>
        <v>20.459096812499922</v>
      </c>
      <c r="BK189" s="1110">
        <f>IF(O189="vo",$EW$26/$EW$24*0.05+$EW$26*(-HP($EW$62,$EW$65,$EW$64)+HP($EW$62,$EW$65,(1.05-INDEX(绊状态确认!U:U,MATCH($G189,绊状态确认!$B:$B,)))*$EW$64)),0)+IF(O189="sk",-$EW$26/$EW$24*(0.05-INDEX(绊状态确认!W:W,MATCH($G189,绊状态确认!$B:$B,)))+0.05*$EW$29,0)+IF(O189="sp",0.05*$EW$32*$EW$30*(1-$EW$33)-(0.05-INDEX(绊状态确认!V:V,MATCH($G189,绊状态确认!$B:$B,)))*$EW$29,0)+IF(O189="gd",-(0.05-INDEX(绊状态确认!X:X,MATCH($G189,绊状态确认!$B:$B,)))*$EW$32*$EW$30*(1-$EW$33)+$EW$26*(-HP($EW$62,$EW$65,$EW$64)+HP($EW$62,$EW$65,0.95*$EW$64)),0)</f>
        <v>-4253.6726349699375</v>
      </c>
      <c r="BL189" s="1111">
        <f t="shared" si="202"/>
        <v>-1083.3333333333333</v>
      </c>
      <c r="BM189" s="1110">
        <f t="shared" si="203"/>
        <v>-830.55555555555543</v>
      </c>
      <c r="BN189" s="1113">
        <f t="shared" si="204"/>
        <v>3</v>
      </c>
      <c r="BO189" s="1097">
        <f t="shared" si="205"/>
        <v>4507.7214871259994</v>
      </c>
      <c r="BP189" s="1100">
        <f t="shared" si="206"/>
        <v>221.34103209030098</v>
      </c>
      <c r="BQ189" s="1113" t="s">
        <v>143</v>
      </c>
      <c r="BR189" s="1124" t="s">
        <v>146</v>
      </c>
      <c r="BS189" s="1098">
        <f>IF($P189="","N/A",IF($P189=-1,INDEX('卡片raw data'!AX:AX,MATCH($D189,'卡片raw data'!$F:$F,)),0)+IF($L189="party卡",IF($P189=5,INDEX('卡片raw data'!BD:BD,MATCH($D189,'卡片raw data'!$F:$F,)),IF($P189&gt;=3,INDEX('卡片raw data'!BC:BC,MATCH($D189,'卡片raw data'!$F:$F,)),INDEX('卡片raw data'!BB:BB,MATCH($D189,'卡片raw data'!$F:$F,)))),IF(OR(AND($F189="UR",$P189=0),AND($F189="SR",$P189&gt;=0,$P189&lt;=2),AND($F189="R",$P189&gt;=0,$P189&lt;4)),INDEX('卡片raw data'!AZ:AZ,MATCH($D189,'卡片raw data'!$F:$F,)),0)+IF(OR(AND($F189="UR",$P189&gt;=1,$P189&lt;=4),AND($F189="SR",$P189&lt;=4,$P189&gt;=3),AND($F189="R",$P189=4)),INDEX('卡片raw data'!BA:BA,MATCH($D189,'卡片raw data'!$F:$F,)),0)+IF($P189=5,INDEX('卡片raw data'!BB:BB,MATCH($D189,'卡片raw data'!$F:$F,)),0)))</f>
        <v>0.05</v>
      </c>
      <c r="BT189" s="1101">
        <f t="shared" si="207"/>
        <v>3756.4345726050001</v>
      </c>
      <c r="BU189" s="1097">
        <f t="shared" si="208"/>
        <v>184.45086007525089</v>
      </c>
      <c r="BV189" s="1097">
        <f t="shared" si="209"/>
        <v>0</v>
      </c>
      <c r="BW189" s="1112">
        <f t="shared" si="210"/>
        <v>0</v>
      </c>
      <c r="BX189" s="1100">
        <f t="shared" si="211"/>
        <v>3756.4345726050001</v>
      </c>
      <c r="BY189" s="1110">
        <f t="shared" si="212"/>
        <v>0</v>
      </c>
      <c r="BZ189" s="1107" t="s">
        <v>569</v>
      </c>
      <c r="CA189" s="1124"/>
      <c r="CB189" s="1098">
        <f>IF($P189="","N/A",IF($P189=-1,INDEX('卡片raw data'!BE:BE,MATCH($D189,'卡片raw data'!$F:$F,)),0)+IF($L189="party卡",IF($P189=5,INDEX('卡片raw data'!BK:BK,MATCH($D189,'卡片raw data'!$F:$F,)),IF($P189&gt;=3,INDEX('卡片raw data'!BJ:BJ,MATCH($D189,'卡片raw data'!$F:$F,)),INDEX('卡片raw data'!BI:BI,MATCH($D189,'卡片raw data'!$F:$F,)))),IF(OR(AND($F189="UR",$P189=0),AND($F189="SR",$P189&gt;=0,$P189&lt;=2),AND($F189="R",$P189&gt;=0,$P189&lt;4)),INDEX('卡片raw data'!BG:BG,MATCH($D189,'卡片raw data'!$F:$F,)),0)+IF(OR(AND($F189="UR",$P189&gt;=1,$P189&lt;=4),AND($F189="SR",$P189&lt;=4,$P189&gt;=3),AND($F189="R",$P189=4)),INDEX('卡片raw data'!BH:BH,MATCH($D189,'卡片raw data'!$F:$F,)),0)+IF($P189=5,INDEX('卡片raw data'!BI:BI,MATCH($D189,'卡片raw data'!$F:$F,)),0)))</f>
        <v>0</v>
      </c>
      <c r="CC189" s="1101">
        <f t="shared" si="213"/>
        <v>0</v>
      </c>
      <c r="CD189" s="1097">
        <f>IF(BZ189="ap",CB189*(1-$FI$26)*$FB$5/$FB$11*(+IF(CA189="全员",$FA$24,0)+IF(CA189="同作战",$FA$24,0)+IF(CA189="仲间",$FA$24*2/3,0)+IF(CA189="同属性",$FA$24*$FA$37/3,0)+IF(CA189="同年级",$FA$24*$FA$40/3,0)+IF(CA189="同学校",$FA$24*$FA$43/3,0)+IF(CA189="同小队",$FA$24*$FA$46/3,0)+IF(CA189="同type",$FA$24*INDEX($FB$49:$FB$52,MATCH(X189,$FA$49:$FA$52,))/3,0)+IF(CA189="自身",#REF!/3,0)),0)+IF(BZ189="te",CB189*(1-$FI$27)*($FA$20-1)*$FB$7/$FB$13*(+IF(CA189="全员",$FA$19*$FA$24/(1+($FA$20-1)*$FA$19),0)+IF(CA189="同作战",$FA$19*$FA$24/(1+($FA$20-1)*$FA$19),0)+IF(CA189="仲间",$FA$19*$FA$24*2/3/(1+($FA$20-1)*$FA$19),0)+IF(CA189="同属性",$FA$19*$FA$24*$FA$37/3/(1+($FA$20-1)*$FA$19),0)+IF(CA189="同年级",$FA$19*$FA$24*$FA$40/3/(1+($FA$20-1)*$FA$19),0)+IF(CA189="同学校",$FA$19*$FA$24*$FA$43/3/(1+($FA$20-1)*$FA$19),0)+IF(CA189="同小队",$FA$19*$FA$24*$FA$46/3/(1+($FA$20-1)*$FA$19),0)+IF(CA189="同type",$FA$19*$FA$24*INDEX($FB$49:$FB$52,MATCH(X189,$FA$49:$FA$52,))/3/(1+($FA$20-1)*$FA$19),0)+IF(CA189="自身",$FA$19*#REF!/3/(1+(BH189-1)*$BD189),0)),0)</f>
        <v>0</v>
      </c>
      <c r="CE189" s="1097">
        <f t="shared" si="214"/>
        <v>0</v>
      </c>
      <c r="CF189" s="1112">
        <f t="shared" si="215"/>
        <v>0</v>
      </c>
      <c r="CG189" s="1100">
        <f t="shared" si="216"/>
        <v>0</v>
      </c>
      <c r="CH189" s="1110">
        <f t="shared" si="217"/>
        <v>0</v>
      </c>
      <c r="CI189" s="1113" t="s">
        <v>170</v>
      </c>
      <c r="CJ189" s="1114">
        <v>0.3</v>
      </c>
      <c r="CK189" s="1115" t="s">
        <v>582</v>
      </c>
      <c r="CL189" s="1115" t="s">
        <v>161</v>
      </c>
      <c r="CM189" s="1119">
        <v>0.08</v>
      </c>
      <c r="CN189" s="1115">
        <v>10</v>
      </c>
      <c r="CO189" s="1092"/>
      <c r="CP189" s="1118">
        <f t="shared" si="218"/>
        <v>8.571428571428571E-4</v>
      </c>
      <c r="CQ189" s="1118">
        <f t="shared" si="219"/>
        <v>1.3333333333333333E-3</v>
      </c>
      <c r="CR189" s="1118">
        <f t="shared" si="220"/>
        <v>8.571428571428571E-4</v>
      </c>
      <c r="CS189" s="1118">
        <f t="shared" si="221"/>
        <v>6.1499999999999992E-2</v>
      </c>
      <c r="CT189" s="1109">
        <f t="shared" si="222"/>
        <v>0</v>
      </c>
      <c r="CU189" s="1101">
        <f t="shared" si="223"/>
        <v>36.36363636363636</v>
      </c>
      <c r="CV189" s="1108">
        <f t="shared" si="224"/>
        <v>30.303030303030301</v>
      </c>
      <c r="CW189" s="1097">
        <f t="shared" si="225"/>
        <v>36.36363636363636</v>
      </c>
      <c r="CX189" s="1097">
        <f t="shared" si="226"/>
        <v>36.36363636363636</v>
      </c>
      <c r="CY189" s="1110">
        <f t="shared" si="227"/>
        <v>36.36363636363636</v>
      </c>
      <c r="CZ189" s="437"/>
      <c r="DA189" s="438"/>
      <c r="DB189" s="439" t="s">
        <v>569</v>
      </c>
      <c r="DC189" s="439"/>
      <c r="DD189" s="443"/>
      <c r="DE189" s="411"/>
      <c r="DF189" s="411"/>
      <c r="DG189" s="1116">
        <f t="shared" si="228"/>
        <v>0</v>
      </c>
      <c r="DH189" s="1116">
        <f t="shared" si="229"/>
        <v>0</v>
      </c>
      <c r="DI189" s="1116">
        <f t="shared" si="230"/>
        <v>0</v>
      </c>
      <c r="DJ189" s="442">
        <f t="shared" si="231"/>
        <v>0</v>
      </c>
      <c r="DK189" s="1109">
        <f t="shared" si="232"/>
        <v>0</v>
      </c>
      <c r="DL189" s="1101">
        <f t="shared" si="233"/>
        <v>0</v>
      </c>
      <c r="DM189" s="1097">
        <f t="shared" si="234"/>
        <v>0</v>
      </c>
      <c r="DN189" s="1097">
        <f t="shared" si="235"/>
        <v>0</v>
      </c>
      <c r="DO189" s="1097">
        <f t="shared" si="236"/>
        <v>0</v>
      </c>
      <c r="DP189" s="1110">
        <f t="shared" si="237"/>
        <v>0</v>
      </c>
      <c r="DQ189" s="1113" t="s">
        <v>551</v>
      </c>
      <c r="DR189" s="1120">
        <f t="shared" si="238"/>
        <v>0.3</v>
      </c>
      <c r="DS189" s="1124">
        <v>10</v>
      </c>
      <c r="DT189" s="1093" t="s">
        <v>168</v>
      </c>
      <c r="DU189" s="1093" t="s">
        <v>560</v>
      </c>
      <c r="DV189" s="1098">
        <f>IF($P189="","N/A",IF(P189=-1,INDEX('卡片raw data'!AN:AN,MATCH(D189,'卡片raw data'!$F:$F,)),0)+IF(AND(L189&lt;&gt;"party卡",P189&lt;=2,P189&gt;=0),INDEX('卡片raw data'!AP:AP,MATCH(D189,'卡片raw data'!$F:$F,)),0)+IF(OR(AND(L189="party卡",P189&lt;=1),AND(P189&lt;=4,L189&lt;&gt;"party卡",P189&gt;=3)),INDEX('卡片raw data'!AQ:AQ,MATCH(D189,'卡片raw data'!$F:$F,)),0)+IF(OR(P189=5,AND(L189="party卡",P189&gt;=2)),INDEX('卡片raw data'!AR:AR,MATCH(D189,'卡片raw data'!$F:$F,)),0))</f>
        <v>7.0000000000000007E-2</v>
      </c>
      <c r="DW189" s="1098">
        <f t="shared" si="239"/>
        <v>0.3</v>
      </c>
      <c r="DX189" s="1098">
        <f t="shared" si="240"/>
        <v>0.3</v>
      </c>
      <c r="DY189" s="1098">
        <f t="shared" si="241"/>
        <v>7.0000000000000007E-2</v>
      </c>
      <c r="DZ189" s="1098">
        <f t="shared" si="242"/>
        <v>6.0550000000000007E-2</v>
      </c>
      <c r="EA189" s="1098">
        <f t="shared" si="243"/>
        <v>0</v>
      </c>
      <c r="EB189" s="1121">
        <f t="shared" si="244"/>
        <v>0</v>
      </c>
      <c r="EC189" s="1101">
        <f t="shared" si="245"/>
        <v>4194.8280930806259</v>
      </c>
      <c r="ED189" s="1097">
        <f t="shared" si="246"/>
        <v>0</v>
      </c>
      <c r="EE189" s="1110">
        <f t="shared" si="247"/>
        <v>4194.8280930806259</v>
      </c>
      <c r="EF189" s="1092" t="s">
        <v>711</v>
      </c>
      <c r="EG189" s="1120">
        <f t="shared" si="248"/>
        <v>0.3</v>
      </c>
      <c r="EH189" s="1124"/>
      <c r="EI189" s="1093"/>
      <c r="EJ189" s="1093"/>
      <c r="EK189" s="1097">
        <f>IF($P189="","N/A",IF(P189=-1,INDEX('卡片raw data'!AS:AS,MATCH(D189,'卡片raw data'!$F:$F,)),0)+IF(AND(L189&lt;&gt;"party卡",P189&lt;=2,P189&gt;=0),INDEX('卡片raw data'!AU:AU,MATCH(D189,'卡片raw data'!$F:$F,)),0)+IF(OR(AND(L189="party卡",P189&lt;=1),AND(P189&lt;=4,L189&lt;&gt;"party卡",P189&gt;=3)),INDEX('卡片raw data'!AV:AV,MATCH(D189,'卡片raw data'!$F:$F,)),0)+IF(OR(P189=5,AND(L189="party卡",P189&gt;=2)),INDEX('卡片raw data'!AW:AW,MATCH(D189,'卡片raw data'!$F:$F,)),0))</f>
        <v>0</v>
      </c>
      <c r="EL189" s="1098">
        <f t="shared" si="249"/>
        <v>0.3</v>
      </c>
      <c r="EM189" s="1098">
        <f t="shared" si="250"/>
        <v>0.3</v>
      </c>
      <c r="EN189" s="1125">
        <f t="shared" si="251"/>
        <v>0</v>
      </c>
      <c r="EO189" s="1125">
        <f t="shared" si="252"/>
        <v>0</v>
      </c>
      <c r="EP189" s="1098">
        <f t="shared" si="253"/>
        <v>0</v>
      </c>
      <c r="EQ189" s="1121">
        <f t="shared" si="254"/>
        <v>0</v>
      </c>
      <c r="ER189" s="1101">
        <f t="shared" si="255"/>
        <v>0</v>
      </c>
      <c r="ES189" s="1097">
        <f t="shared" si="256"/>
        <v>0</v>
      </c>
      <c r="ET189" s="1122">
        <f t="shared" si="257"/>
        <v>0</v>
      </c>
    </row>
    <row r="190" spans="2:150" ht="16.5" customHeight="1">
      <c r="B190" s="1123" t="str">
        <f>INDEX('卡片raw data'!B:B,MATCH($D190,'卡片raw data'!$F:$F,))</f>
        <v>狼千</v>
      </c>
      <c r="C190" s="449" t="s">
        <v>66</v>
      </c>
      <c r="D190" s="408">
        <v>187</v>
      </c>
      <c r="E190" s="1090">
        <v>401013001</v>
      </c>
      <c r="F190" s="1090" t="str">
        <f>INDEX('卡片raw data'!C:C,MATCH($D190,'卡片raw data'!$F:$F,))</f>
        <v>UR</v>
      </c>
      <c r="G190" s="1094" t="s">
        <v>33</v>
      </c>
      <c r="H190" s="411">
        <f>IFERROR(INDEX(绊状态确认!C:C,MATCH($G190,绊状态确认!$B:$B,)),"")</f>
        <v>101</v>
      </c>
      <c r="I190" s="450" t="str">
        <f>IFERROR(INDEX(绊状态确认!D:D,MATCH($G190,绊状态确认!$B:$B,)),"")</f>
        <v>水</v>
      </c>
      <c r="J190" s="450" t="str">
        <f>IFERROR(INDEX(绊状态确认!E:E,MATCH($G190,绊状态确认!$B:$B,)),"")</f>
        <v>2年级</v>
      </c>
      <c r="K190" s="451" t="str">
        <f>IFERROR(INDEX(绊状态确认!F:F,MATCH($G190,绊状态确认!$B:$B,)),"")</f>
        <v>CYaRon!</v>
      </c>
      <c r="L190" s="1094" t="str">
        <f>INDEX('卡片raw data'!E:E,MATCH($D190,'卡片raw data'!$F:$F,))</f>
        <v>活动卡</v>
      </c>
      <c r="M190" s="415">
        <v>43896</v>
      </c>
      <c r="N190" s="416">
        <v>11</v>
      </c>
      <c r="O190" s="1091" t="str">
        <f>INDEX('卡片raw data'!D:D,MATCH($D190,'卡片raw data'!$F:$F,))</f>
        <v>sp</v>
      </c>
      <c r="P190" s="417">
        <v>5</v>
      </c>
      <c r="Q190" s="1095">
        <f t="shared" si="173"/>
        <v>43118.072964282706</v>
      </c>
      <c r="R190" s="1096">
        <f t="shared" si="174"/>
        <v>0.501</v>
      </c>
      <c r="S190" s="1097">
        <f t="shared" si="175"/>
        <v>21462.309254851611</v>
      </c>
      <c r="T190" s="1098">
        <f t="shared" si="176"/>
        <v>1.073</v>
      </c>
      <c r="U190" s="1099">
        <f t="shared" si="177"/>
        <v>13.544151164142857</v>
      </c>
      <c r="V190" s="1100">
        <f t="shared" si="178"/>
        <v>42401.99427350828</v>
      </c>
      <c r="W190" s="1101">
        <f t="shared" si="179"/>
        <v>4542.3164779584422</v>
      </c>
      <c r="X190" s="1096">
        <f t="shared" si="180"/>
        <v>5.1999999999999998E-2</v>
      </c>
      <c r="Y190" s="1097">
        <f t="shared" si="181"/>
        <v>1083.9213092255741</v>
      </c>
      <c r="Z190" s="1102">
        <f t="shared" si="182"/>
        <v>13.544151164142857</v>
      </c>
      <c r="AA190" s="1103">
        <f t="shared" si="183"/>
        <v>5626.2377871840163</v>
      </c>
      <c r="AB190" s="1101">
        <f t="shared" si="184"/>
        <v>9494.5331209744618</v>
      </c>
      <c r="AC190" s="1104">
        <f t="shared" si="185"/>
        <v>0.11</v>
      </c>
      <c r="AD190" s="1105">
        <f t="shared" si="186"/>
        <v>-1.6087500000000001E-2</v>
      </c>
      <c r="AE190" s="1128">
        <f t="shared" si="187"/>
        <v>64.557493043478246</v>
      </c>
      <c r="AF190" s="1130">
        <f t="shared" si="188"/>
        <v>0</v>
      </c>
      <c r="AG190" s="420">
        <f t="shared" si="189"/>
        <v>0</v>
      </c>
      <c r="AH190" s="420">
        <f t="shared" si="190"/>
        <v>0</v>
      </c>
      <c r="AI190" s="1097">
        <f t="shared" si="191"/>
        <v>0</v>
      </c>
      <c r="AJ190" s="420">
        <f t="shared" si="192"/>
        <v>0</v>
      </c>
      <c r="AK190" s="518">
        <f t="shared" si="193"/>
        <v>0</v>
      </c>
      <c r="AL190" s="1106">
        <f>IF($P190="","N/A",(IF($P190=-1,INDEX('卡片raw data'!S:S,MATCH($D190,'卡片raw data'!$F:$F,)),0)+IF($P190=0,INDEX('卡片raw data'!V:V,MATCH($D190,'卡片raw data'!$F:$F,)),0)+IF($P190=1,INDEX('卡片raw data'!Y:Y,MATCH($D190,'卡片raw data'!$F:$F,)),0)+IF($P190=2,INDEX('卡片raw data'!AB:AB,MATCH($D190,'卡片raw data'!$F:$F,)),0)+IF($P190=3,INDEX('卡片raw data'!AE:AE,MATCH($D190,'卡片raw data'!$F:$F,)),0)+IF($P190=4,INDEX('卡片raw data'!AH:AH,MATCH($D190,'卡片raw data'!$F:$F,)),0)+IF($P190=5,INDEX('卡片raw data'!AK:AK,MATCH($D190,'卡片raw data'!$F:$F,)),0)+INDEX('卡片raw data'!S:S,MATCH($D190,'卡片raw data'!$F:$F,))*(IF($F190="UR",0.04,0.033))*(IF($F190="UR",INDEX(绊状态确认!$S:$S,MATCH($G190,绊状态确认!$B:$B,))/2-40)+IF($F190="SR",INDEX(绊状态确认!$R:$R,MATCH($G190,绊状态确认!$B:$B,))/4-15))+IF($F190="R",INDEX(绊状态确认!$Q:$Q,MATCH($G190,绊状态确认!$B:$B,))/6-40/6)))*(INDEX(绊状态确认!$H:$H,MATCH($G190,绊状态确认!$B:$B,))+INDEX(绊状态确认!J:J,MATCH($G190,绊状态确认!$B:$B,)))</f>
        <v>8319.3571199999988</v>
      </c>
      <c r="AM190" s="1106">
        <f>IF($P190="","N/A",(IF($P190=-1,INDEX('卡片raw data'!T:T,MATCH($D190,'卡片raw data'!$F:$F,)),0)+IF($P190=0,INDEX('卡片raw data'!W:W,MATCH($D190,'卡片raw data'!$F:$F,)),0)+IF($P190=1,INDEX('卡片raw data'!Z:Z,MATCH($D190,'卡片raw data'!$F:$F,)),0)+IF($P190=2,INDEX('卡片raw data'!AC:AC,MATCH($D190,'卡片raw data'!$F:$F,)),0)+IF($P190=3,INDEX('卡片raw data'!AF:AF,MATCH($D190,'卡片raw data'!$F:$F,)),0)+IF($P190=4,INDEX('卡片raw data'!AI:AI,MATCH($D190,'卡片raw data'!$F:$F,)),0)+IF($P190=5,INDEX('卡片raw data'!AL:AL,MATCH($D190,'卡片raw data'!$F:$F,)),0)+INDEX('卡片raw data'!T:T,MATCH($D190,'卡片raw data'!$F:$F,))*(IF($F190="UR",0.04,0.033))*(IF($F190="UR",INDEX(绊状态确认!$S:$S,MATCH($G190,绊状态确认!$B:$B,))/2-40)+IF($F190="SR",INDEX(绊状态确认!$R:$R,MATCH($G190,绊状态确认!$B:$B,))/4-15))+IF($F190="R",INDEX(绊状态确认!$Q:$Q,MATCH($G190,绊状态确认!$B:$B,))/6-40/6)))*(INDEX(绊状态确认!$H:$H,MATCH($G190,绊状态确认!$B:$B,))+INDEX(绊状态确认!K:K,MATCH($G190,绊状态确认!$B:$B,)))</f>
        <v>7280.0056799999993</v>
      </c>
      <c r="AN190" s="1106">
        <f>IF($P190="","N/A",(IF($P190=-1,INDEX('卡片raw data'!U:U,MATCH($D190,'卡片raw data'!$F:$F,)),0)+IF($P190=0,INDEX('卡片raw data'!X:X,MATCH($D190,'卡片raw data'!$F:$F,)),0)+IF($P190=1,INDEX('卡片raw data'!AA:AA,MATCH($D190,'卡片raw data'!$F:$F,)),0)+IF($P190=2,INDEX('卡片raw data'!AD:AD,MATCH($D190,'卡片raw data'!$F:$F,)),0)+IF($P190=3,INDEX('卡片raw data'!AG:AG,MATCH($D190,'卡片raw data'!$F:$F,)),0)+IF($P190=4,INDEX('卡片raw data'!AJ:AJ,MATCH($D190,'卡片raw data'!$F:$F,)),0)+IF($P190=5,INDEX('卡片raw data'!AM:AM,MATCH($D190,'卡片raw data'!$F:$F,)),0)+INDEX('卡片raw data'!U:U,MATCH($D190,'卡片raw data'!$F:$F,))*(IF($F190="UR",0.04,0.033))*(IF($F190="UR",INDEX(绊状态确认!$S:$S,MATCH($G190,绊状态确认!$B:$B,))/2-40)+IF($F190="SR",INDEX(绊状态确认!$R:$R,MATCH($G190,绊状态确认!$B:$B,))/4-15))+IF($F190="R",INDEX(绊状态确认!$Q:$Q,MATCH($G190,绊状态确认!$B:$B,))/6-40/6)))*(INDEX(绊状态确认!$H:$H,MATCH($G190,绊状态确认!$B:$B,))+INDEX(绊状态确认!L:L,MATCH($G190,绊状态确认!$B:$B,)))</f>
        <v>10400.332799999998</v>
      </c>
      <c r="AO190" s="1107">
        <f t="shared" si="194"/>
        <v>1</v>
      </c>
      <c r="AP190" s="1131">
        <f>1+(INDEX(绊状态确认!$T:$T,MATCH($G190,绊状态确认!$B:$B,))+0.2)*$AO190</f>
        <v>1.3</v>
      </c>
      <c r="AQ190" s="1108">
        <f t="shared" si="195"/>
        <v>25088.312440000002</v>
      </c>
      <c r="AR190" s="1097">
        <f>(AM190*(1+$EX$9)+$EX$35)*(1+(INDEX(绊状态确认!$T:$T,MATCH($G190,绊状态确认!$B:$B,))+0.2)*AO190)*IF(J190=$FF$17,1+$FE$17,1)*IF(I190=$FF$14,1+$FE$14,1)*(1+$FE$15)</f>
        <v>12641.2077532</v>
      </c>
      <c r="AS190" s="1097">
        <f>(AN190*(1+$EX$10)+$EX$36)*(1+(INDEX(绊状态确认!$T:$T,MATCH($G190,绊状态确认!$B:$B,))+0.2)*AO190)*IF(J190=$FF$17,1+$FE$17,1)*IF(I190=$FF$14,1+$FE$14,1)*(1+$FE$15)</f>
        <v>19604.497535999999</v>
      </c>
      <c r="AT190" s="1093">
        <f>IF(AND(INDEX('卡片raw data'!AK:AK,MATCH($D190,'卡片raw data'!$F:$F,))&lt;INDEX('卡片raw data'!AM:AM,MATCH($D190,'卡片raw data'!$F:$F,)),INDEX('卡片raw data'!AL:AL,MATCH($D190,'卡片raw data'!$F:$F,))&lt;INDEX('卡片raw data'!AM:AM,MATCH($D190,'卡片raw data'!$F:$F,))),1,0)</f>
        <v>1</v>
      </c>
      <c r="AU190" s="1098">
        <f>MIN(AT190*0.15+AS190*0.00003+INDEX(绊状态确认!M:M,MATCH($G190,绊状态确认!$B:$B,)),1)</f>
        <v>0.76813492608</v>
      </c>
      <c r="AV190" s="1109">
        <f>(INDEX(绊状态确认!$N:$N,MATCH($G190,绊状态确认!$B:$B,))+1.5)*$EW$21</f>
        <v>2.6599999999999997</v>
      </c>
      <c r="AW190" s="1101">
        <f t="shared" si="196"/>
        <v>29643.539843308245</v>
      </c>
      <c r="AX190" s="1097">
        <f t="shared" si="197"/>
        <v>1083.9213092255736</v>
      </c>
      <c r="AY190" s="1110">
        <f t="shared" si="198"/>
        <v>30727.461152533819</v>
      </c>
      <c r="AZ190" s="429">
        <f t="shared" si="199"/>
        <v>18822.746383999998</v>
      </c>
      <c r="BA190" s="431">
        <f t="shared" si="200"/>
        <v>22587.295660799999</v>
      </c>
      <c r="BB190" s="1097">
        <f>(AM190*(1+$FB$9)+$FB$35)*(1+(INDEX(绊状态确认!$T:$T,MATCH($G190,绊状态确认!$B:$B,))+0.2)*AO190)*IF(J190=$FF$17,1+$FE$17,1)*IF(I190=$FF$14,1+$FE$14,1)*(1+$FE$15)</f>
        <v>12641.2077532</v>
      </c>
      <c r="BC190" s="1097">
        <f>(AN190*(1+$FB$10)+$FB$36)*(1+(INDEX(绊状态确认!$T:$T,MATCH($G190,绊状态确认!$B:$B,))+0.2)*AO190)*IF(J190=$FF$17,1+$FE$17,1)*IF(I190=$FF$14,1+$FE$14,1)*(1+$FE$15)</f>
        <v>19604.497535999999</v>
      </c>
      <c r="BD190" s="1104">
        <f>MIN(AT190*0.15+BC190*0.00003+INDEX(绊状态确认!M:M,MATCH($G190,绊状态确认!$B:$B,)),1)</f>
        <v>0.76813492608</v>
      </c>
      <c r="BE190" s="432">
        <f>(INDEX(绊状态确认!$N:$N,MATCH($G190,绊状态确认!$B:$B,))+1.5)</f>
        <v>1.9</v>
      </c>
      <c r="BF190" s="1139">
        <f t="array" ref="BF190">SUMPRODUCT(IF(AZ190*AP190*$FI$16:$FI$23*$FA$22&gt;=$FI$24,$FI$24,AZ190*AP190*$FI$16:$FI$23*$FA$22),$FJ$16:$FJ$23)</f>
        <v>37438.442557775998</v>
      </c>
      <c r="BG190" s="1125">
        <f t="array" ref="BG190">SUMPRODUCT(IF(BE190*AZ190*AP190*$FI$16:$FI$23*$FA$22&gt;=$FI$24,$FI$24,BE190*AZ190*AP190*$FI$16:$FI$23*$FA$22),$FJ$16:$FJ$23)</f>
        <v>59579.062028217602</v>
      </c>
      <c r="BH190" s="1110">
        <f t="shared" si="201"/>
        <v>18148.475219356355</v>
      </c>
      <c r="BI190" s="1111">
        <f>IF(O190="vo",$EW$26/$EW$24*0.05,0)+IF(O190="sk",-$EW$26/$EW$24*(0.05-INDEX(绊状态确认!W:W,MATCH($G190,绊状态确认!$B:$B,)))+0.05*$EW$28,0)+IF(O190="sp",0.05*$EW$32*$EW$30*(1-$EW$33)-(0.05-INDEX(绊状态确认!V:V,MATCH($G190,绊状态确认!$B:$B,)))*$EW$28,0)+IF(O190="gd",-(0.05-INDEX(绊状态确认!X:X,MATCH($G190,绊状态确认!$B:$B,)))*$EW$32*$EW$30*(1-$EW$33),0)</f>
        <v>19.999999999999886</v>
      </c>
      <c r="BJ190" s="1097">
        <f>IF(O190="vo",0.05*(1-$FI$26)*$FA$24,0)+IF(O190="sk",-(0.05-INDEX(绊状态确认!W:W,MATCH($G190,绊状态确认!$B:$B,)))*(1-$FI$26)*$FA$24+0.05*$FA$26,0)+IF(O190="sp",0.05*$FA$32*$FA$27*(1-$FA$33)/$FA$30+0.05*$FA$29/$FA$69*$FA$27*(1-$FA$33)-(0.05-INDEX(绊状态确认!V:V,MATCH($G190,绊状态确认!$B:$B,)))*$FA$26,0)+IF(O190="gd",-(0.05-INDEX(绊状态确认!X:X,MATCH($G190,绊状态确认!$B:$B,)))*$FA$32*$FA$27*(1-$FA$33)/$FA$30-(0.05-INDEX(绊状态确认!X:X,MATCH($G190,绊状态确认!$B:$B,)))*$FA$29/$FA$69*$FA$27*(1-$FA$33),0)</f>
        <v>545.83333333333326</v>
      </c>
      <c r="BK190" s="1110">
        <f>IF(O190="vo",$EW$26/$EW$24*0.05+$EW$26*(-HP($EW$62,$EW$65,$EW$64)+HP($EW$62,$EW$65,(1.05-INDEX(绊状态确认!U:U,MATCH($G190,绊状态确认!$B:$B,)))*$EW$64)),0)+IF(O190="sk",-$EW$26/$EW$24*(0.05-INDEX(绊状态确认!W:W,MATCH($G190,绊状态确认!$B:$B,)))+0.05*$EW$29,0)+IF(O190="sp",0.05*$EW$32*$EW$30*(1-$EW$33)-(0.05-INDEX(绊状态确认!V:V,MATCH($G190,绊状态确认!$B:$B,)))*$EW$29,0)+IF(O190="gd",-(0.05-INDEX(绊状态确认!X:X,MATCH($G190,绊状态确认!$B:$B,)))*$EW$32*$EW$30*(1-$EW$33)+$EW$26*(-HP($EW$62,$EW$65,$EW$64)+HP($EW$62,$EW$65,0.95*$EW$64)),0)</f>
        <v>-1780.0000000000005</v>
      </c>
      <c r="BL190" s="1111">
        <f t="shared" si="202"/>
        <v>0</v>
      </c>
      <c r="BM190" s="1110">
        <f t="shared" si="203"/>
        <v>0</v>
      </c>
      <c r="BN190" s="1113">
        <f t="shared" si="204"/>
        <v>3</v>
      </c>
      <c r="BO190" s="1097">
        <f t="shared" si="205"/>
        <v>4507.7214871259994</v>
      </c>
      <c r="BP190" s="1100">
        <f t="shared" si="206"/>
        <v>221.34103209030098</v>
      </c>
      <c r="BQ190" s="1113" t="s">
        <v>145</v>
      </c>
      <c r="BR190" s="1124" t="s">
        <v>146</v>
      </c>
      <c r="BS190" s="1098">
        <f>IF($P190="","N/A",IF($P190=-1,INDEX('卡片raw data'!AX:AX,MATCH($D190,'卡片raw data'!$F:$F,)),0)+IF($L190="party卡",IF($P190=5,INDEX('卡片raw data'!BD:BD,MATCH($D190,'卡片raw data'!$F:$F,)),IF($P190&gt;=3,INDEX('卡片raw data'!BC:BC,MATCH($D190,'卡片raw data'!$F:$F,)),INDEX('卡片raw data'!BB:BB,MATCH($D190,'卡片raw data'!$F:$F,)))),IF(OR(AND($F190="UR",$P190=0),AND($F190="SR",$P190&gt;=0,$P190&lt;=2),AND($F190="R",$P190&gt;=0,$P190&lt;4)),INDEX('卡片raw data'!AZ:AZ,MATCH($D190,'卡片raw data'!$F:$F,)),0)+IF(OR(AND($F190="UR",$P190&gt;=1,$P190&lt;=4),AND($F190="SR",$P190&lt;=4,$P190&gt;=3),AND($F190="R",$P190=4)),INDEX('卡片raw data'!BA:BA,MATCH($D190,'卡片raw data'!$F:$F,)),0)+IF($P190=5,INDEX('卡片raw data'!BB:BB,MATCH($D190,'卡片raw data'!$F:$F,)),0)))</f>
        <v>7.0000000000000007E-2</v>
      </c>
      <c r="BT190" s="1101">
        <f t="shared" si="207"/>
        <v>4952.2166430160187</v>
      </c>
      <c r="BU190" s="1097">
        <f t="shared" si="208"/>
        <v>358.20967007162113</v>
      </c>
      <c r="BV190" s="1097">
        <f t="shared" si="209"/>
        <v>0</v>
      </c>
      <c r="BW190" s="1112">
        <f t="shared" si="210"/>
        <v>0</v>
      </c>
      <c r="BX190" s="1100">
        <f t="shared" si="211"/>
        <v>4952.2166430160187</v>
      </c>
      <c r="BY190" s="1110">
        <f t="shared" si="212"/>
        <v>0</v>
      </c>
      <c r="BZ190" s="1107" t="s">
        <v>569</v>
      </c>
      <c r="CA190" s="1124"/>
      <c r="CB190" s="1098">
        <f>IF($P190="","N/A",IF($P190=-1,INDEX('卡片raw data'!BE:BE,MATCH($D190,'卡片raw data'!$F:$F,)),0)+IF($L190="party卡",IF($P190=5,INDEX('卡片raw data'!BK:BK,MATCH($D190,'卡片raw data'!$F:$F,)),IF($P190&gt;=3,INDEX('卡片raw data'!BJ:BJ,MATCH($D190,'卡片raw data'!$F:$F,)),INDEX('卡片raw data'!BI:BI,MATCH($D190,'卡片raw data'!$F:$F,)))),IF(OR(AND($F190="UR",$P190=0),AND($F190="SR",$P190&gt;=0,$P190&lt;=2),AND($F190="R",$P190&gt;=0,$P190&lt;4)),INDEX('卡片raw data'!BG:BG,MATCH($D190,'卡片raw data'!$F:$F,)),0)+IF(OR(AND($F190="UR",$P190&gt;=1,$P190&lt;=4),AND($F190="SR",$P190&lt;=4,$P190&gt;=3),AND($F190="R",$P190=4)),INDEX('卡片raw data'!BH:BH,MATCH($D190,'卡片raw data'!$F:$F,)),0)+IF($P190=5,INDEX('卡片raw data'!BI:BI,MATCH($D190,'卡片raw data'!$F:$F,)),0)))</f>
        <v>0</v>
      </c>
      <c r="CC190" s="1101">
        <f t="shared" si="213"/>
        <v>0</v>
      </c>
      <c r="CD190" s="1097">
        <f>IF(BZ190="ap",CB190*(1-$FI$26)*$FB$5/$FB$11*(+IF(CA190="全员",$FA$24,0)+IF(CA190="同作战",$FA$24,0)+IF(CA190="仲间",$FA$24*2/3,0)+IF(CA190="同属性",$FA$24*$FA$37/3,0)+IF(CA190="同年级",$FA$24*$FA$40/3,0)+IF(CA190="同学校",$FA$24*$FA$43/3,0)+IF(CA190="同小队",$FA$24*$FA$46/3,0)+IF(CA190="同type",$FA$24*INDEX($FB$49:$FB$52,MATCH(X190,$FA$49:$FA$52,))/3,0)+IF(CA190="自身",#REF!/3,0)),0)+IF(BZ190="te",CB190*(1-$FI$27)*($FA$20-1)*$FB$7/$FB$13*(+IF(CA190="全员",$FA$19*$FA$24/(1+($FA$20-1)*$FA$19),0)+IF(CA190="同作战",$FA$19*$FA$24/(1+($FA$20-1)*$FA$19),0)+IF(CA190="仲间",$FA$19*$FA$24*2/3/(1+($FA$20-1)*$FA$19),0)+IF(CA190="同属性",$FA$19*$FA$24*$FA$37/3/(1+($FA$20-1)*$FA$19),0)+IF(CA190="同年级",$FA$19*$FA$24*$FA$40/3/(1+($FA$20-1)*$FA$19),0)+IF(CA190="同学校",$FA$19*$FA$24*$FA$43/3/(1+($FA$20-1)*$FA$19),0)+IF(CA190="同小队",$FA$19*$FA$24*$FA$46/3/(1+($FA$20-1)*$FA$19),0)+IF(CA190="同type",$FA$19*$FA$24*INDEX($FB$49:$FB$52,MATCH(X190,$FA$49:$FA$52,))/3/(1+($FA$20-1)*$FA$19),0)+IF(CA190="自身",$FA$19*#REF!/3/(1+(BH190-1)*$BD190),0)),0)</f>
        <v>0</v>
      </c>
      <c r="CE190" s="1097">
        <f t="shared" si="214"/>
        <v>0</v>
      </c>
      <c r="CF190" s="1112">
        <f t="shared" si="215"/>
        <v>0</v>
      </c>
      <c r="CG190" s="1100">
        <f t="shared" si="216"/>
        <v>0</v>
      </c>
      <c r="CH190" s="1110">
        <f t="shared" si="217"/>
        <v>0</v>
      </c>
      <c r="CI190" s="1113" t="s">
        <v>162</v>
      </c>
      <c r="CJ190" s="1114">
        <v>0.3</v>
      </c>
      <c r="CK190" s="1115" t="s">
        <v>256</v>
      </c>
      <c r="CL190" s="1115" t="s">
        <v>1940</v>
      </c>
      <c r="CM190" s="1119">
        <v>0.15</v>
      </c>
      <c r="CN190" s="1115"/>
      <c r="CO190" s="1092"/>
      <c r="CP190" s="1116">
        <f t="shared" si="218"/>
        <v>24.19230128142857</v>
      </c>
      <c r="CQ190" s="1116">
        <f t="shared" si="219"/>
        <v>33.880943491199993</v>
      </c>
      <c r="CR190" s="1116">
        <f t="shared" si="220"/>
        <v>24.19230128142857</v>
      </c>
      <c r="CS190" s="1118">
        <f t="shared" si="221"/>
        <v>0</v>
      </c>
      <c r="CT190" s="1109">
        <f t="shared" si="222"/>
        <v>0</v>
      </c>
      <c r="CU190" s="1101">
        <f t="shared" si="223"/>
        <v>34.594990832442861</v>
      </c>
      <c r="CV190" s="1108">
        <f t="shared" si="224"/>
        <v>0</v>
      </c>
      <c r="CW190" s="1097">
        <f t="shared" si="225"/>
        <v>34.594990832442861</v>
      </c>
      <c r="CX190" s="1097">
        <f t="shared" si="226"/>
        <v>34.594990832442861</v>
      </c>
      <c r="CY190" s="1110">
        <f t="shared" si="227"/>
        <v>34.594990832442861</v>
      </c>
      <c r="CZ190" s="437"/>
      <c r="DA190" s="438"/>
      <c r="DB190" s="439" t="s">
        <v>569</v>
      </c>
      <c r="DC190" s="439"/>
      <c r="DD190" s="443"/>
      <c r="DE190" s="411"/>
      <c r="DF190" s="411"/>
      <c r="DG190" s="1116">
        <f t="shared" si="228"/>
        <v>0</v>
      </c>
      <c r="DH190" s="1116">
        <f t="shared" si="229"/>
        <v>0</v>
      </c>
      <c r="DI190" s="1116">
        <f t="shared" si="230"/>
        <v>0</v>
      </c>
      <c r="DJ190" s="442">
        <f t="shared" si="231"/>
        <v>0</v>
      </c>
      <c r="DK190" s="1109">
        <f t="shared" si="232"/>
        <v>0</v>
      </c>
      <c r="DL190" s="1101">
        <f t="shared" si="233"/>
        <v>0</v>
      </c>
      <c r="DM190" s="1097">
        <f t="shared" si="234"/>
        <v>0</v>
      </c>
      <c r="DN190" s="1097">
        <f t="shared" si="235"/>
        <v>0</v>
      </c>
      <c r="DO190" s="1097">
        <f t="shared" si="236"/>
        <v>0</v>
      </c>
      <c r="DP190" s="1110">
        <f t="shared" si="237"/>
        <v>0</v>
      </c>
      <c r="DQ190" s="1113" t="s">
        <v>156</v>
      </c>
      <c r="DR190" s="1120">
        <f t="shared" si="238"/>
        <v>0.33</v>
      </c>
      <c r="DS190" s="1124"/>
      <c r="DT190" s="1093" t="s">
        <v>179</v>
      </c>
      <c r="DU190" s="1093"/>
      <c r="DV190" s="1098">
        <f>IF($P190="","N/A",IF(P190=-1,INDEX('卡片raw data'!AN:AN,MATCH(D190,'卡片raw data'!$F:$F,)),0)+IF(AND(L190&lt;&gt;"party卡",P190&lt;=2,P190&gt;=0),INDEX('卡片raw data'!AP:AP,MATCH(D190,'卡片raw data'!$F:$F,)),0)+IF(OR(AND(L190="party卡",P190&lt;=1),AND(P190&lt;=4,L190&lt;&gt;"party卡",P190&gt;=3)),INDEX('卡片raw data'!AQ:AQ,MATCH(D190,'卡片raw data'!$F:$F,)),0)+IF(OR(P190=5,AND(L190="party卡",P190&gt;=2)),INDEX('卡片raw data'!AR:AR,MATCH(D190,'卡片raw data'!$F:$F,)),0))</f>
        <v>0.08</v>
      </c>
      <c r="DW190" s="1098">
        <f t="shared" si="239"/>
        <v>0.33</v>
      </c>
      <c r="DX190" s="1098">
        <f t="shared" si="240"/>
        <v>0.33</v>
      </c>
      <c r="DY190" s="1098">
        <f t="shared" si="241"/>
        <v>8.8000000000000005E-3</v>
      </c>
      <c r="DZ190" s="1098">
        <f t="shared" si="242"/>
        <v>8.7538000000000008E-3</v>
      </c>
      <c r="EA190" s="1098">
        <f t="shared" si="243"/>
        <v>0</v>
      </c>
      <c r="EB190" s="1121">
        <f t="shared" si="244"/>
        <v>53.633579999999988</v>
      </c>
      <c r="EC190" s="1101">
        <f t="shared" si="245"/>
        <v>3960.0000000000005</v>
      </c>
      <c r="ED190" s="1097">
        <f t="shared" si="246"/>
        <v>2188.4500000000003</v>
      </c>
      <c r="EE190" s="1110">
        <f t="shared" si="247"/>
        <v>3960.0000000000005</v>
      </c>
      <c r="EF190" s="1092" t="s">
        <v>711</v>
      </c>
      <c r="EG190" s="1120">
        <f t="shared" si="248"/>
        <v>0.33</v>
      </c>
      <c r="EH190" s="1124"/>
      <c r="EI190" s="1093"/>
      <c r="EJ190" s="1093"/>
      <c r="EK190" s="1097">
        <f>IF($P190="","N/A",IF(P190=-1,INDEX('卡片raw data'!AS:AS,MATCH(D190,'卡片raw data'!$F:$F,)),0)+IF(AND(L190&lt;&gt;"party卡",P190&lt;=2,P190&gt;=0),INDEX('卡片raw data'!AU:AU,MATCH(D190,'卡片raw data'!$F:$F,)),0)+IF(OR(AND(L190="party卡",P190&lt;=1),AND(P190&lt;=4,L190&lt;&gt;"party卡",P190&gt;=3)),INDEX('卡片raw data'!AV:AV,MATCH(D190,'卡片raw data'!$F:$F,)),0)+IF(OR(P190=5,AND(L190="party卡",P190&gt;=2)),INDEX('卡片raw data'!AW:AW,MATCH(D190,'卡片raw data'!$F:$F,)),0))</f>
        <v>0</v>
      </c>
      <c r="EL190" s="1098">
        <f t="shared" si="249"/>
        <v>0.33</v>
      </c>
      <c r="EM190" s="1098">
        <f t="shared" si="250"/>
        <v>0.33</v>
      </c>
      <c r="EN190" s="1125">
        <f t="shared" si="251"/>
        <v>0</v>
      </c>
      <c r="EO190" s="1125">
        <f t="shared" si="252"/>
        <v>0</v>
      </c>
      <c r="EP190" s="1098">
        <f t="shared" si="253"/>
        <v>0</v>
      </c>
      <c r="EQ190" s="1121">
        <f t="shared" si="254"/>
        <v>0</v>
      </c>
      <c r="ER190" s="1101">
        <f t="shared" si="255"/>
        <v>0</v>
      </c>
      <c r="ES190" s="1097">
        <f t="shared" si="256"/>
        <v>0</v>
      </c>
      <c r="ET190" s="1122">
        <f t="shared" si="257"/>
        <v>0</v>
      </c>
    </row>
    <row r="191" spans="2:150" ht="16.5" customHeight="1">
      <c r="B191" s="1123" t="str">
        <f>INDEX('卡片raw data'!B:B,MATCH($D191,'卡片raw data'!$F:$F,))</f>
        <v>猎人凛</v>
      </c>
      <c r="C191" s="449" t="s">
        <v>123</v>
      </c>
      <c r="D191" s="408">
        <v>188</v>
      </c>
      <c r="E191" s="1090">
        <v>400053001</v>
      </c>
      <c r="F191" s="1090" t="str">
        <f>INDEX('卡片raw data'!C:C,MATCH($D191,'卡片raw data'!$F:$F,))</f>
        <v>UR</v>
      </c>
      <c r="G191" s="1094" t="s">
        <v>28</v>
      </c>
      <c r="H191" s="411">
        <f>IFERROR(INDEX(绊状态确认!C:C,MATCH($G191,绊状态确认!$B:$B,)),"")</f>
        <v>5</v>
      </c>
      <c r="I191" s="450" t="str">
        <f>IFERROR(INDEX(绊状态确认!D:D,MATCH($G191,绊状态确认!$B:$B,)),"")</f>
        <v>缪</v>
      </c>
      <c r="J191" s="450" t="str">
        <f>IFERROR(INDEX(绊状态确认!E:E,MATCH($G191,绊状态确认!$B:$B,)),"")</f>
        <v>1年级</v>
      </c>
      <c r="K191" s="451" t="str">
        <f>IFERROR(INDEX(绊状态确认!F:F,MATCH($G191,绊状态确认!$B:$B,)),"")</f>
        <v>lilywhite</v>
      </c>
      <c r="L191" s="1094" t="str">
        <f>INDEX('卡片raw data'!E:E,MATCH($D191,'卡片raw data'!$F:$F,))</f>
        <v>卡池卡</v>
      </c>
      <c r="M191" s="415">
        <v>43896</v>
      </c>
      <c r="N191" s="416">
        <v>11</v>
      </c>
      <c r="O191" s="1091" t="str">
        <f>INDEX('卡片raw data'!D:D,MATCH($D191,'卡片raw data'!$F:$F,))</f>
        <v>sk</v>
      </c>
      <c r="P191" s="417">
        <v>5</v>
      </c>
      <c r="Q191" s="1095">
        <f t="shared" si="173"/>
        <v>35888.187954909234</v>
      </c>
      <c r="R191" s="1096">
        <f t="shared" si="174"/>
        <v>0.41699999999999998</v>
      </c>
      <c r="S191" s="1097">
        <f t="shared" si="175"/>
        <v>19430.69815399556</v>
      </c>
      <c r="T191" s="1098">
        <f t="shared" si="176"/>
        <v>0.97099999999999997</v>
      </c>
      <c r="U191" s="1099">
        <f t="shared" si="177"/>
        <v>20.264459970857139</v>
      </c>
      <c r="V191" s="1100">
        <f t="shared" si="178"/>
        <v>39518.259031067108</v>
      </c>
      <c r="W191" s="1101">
        <f t="shared" si="179"/>
        <v>6547.4654600505146</v>
      </c>
      <c r="X191" s="1096">
        <f t="shared" si="180"/>
        <v>7.5999999999999998E-2</v>
      </c>
      <c r="Y191" s="1097">
        <f t="shared" si="181"/>
        <v>1630.0710761578739</v>
      </c>
      <c r="Z191" s="1102">
        <f t="shared" si="182"/>
        <v>20.264459970857139</v>
      </c>
      <c r="AA191" s="1103">
        <f t="shared" si="183"/>
        <v>8177.5365362083885</v>
      </c>
      <c r="AB191" s="1101">
        <f t="shared" si="184"/>
        <v>6547.4654600505146</v>
      </c>
      <c r="AC191" s="1104">
        <f t="shared" si="185"/>
        <v>7.5999999999999998E-2</v>
      </c>
      <c r="AD191" s="1105">
        <f t="shared" si="186"/>
        <v>3.1672291619318185E-2</v>
      </c>
      <c r="AE191" s="1128">
        <f t="shared" si="187"/>
        <v>16.77125770474585</v>
      </c>
      <c r="AF191" s="1130">
        <f t="shared" si="188"/>
        <v>0</v>
      </c>
      <c r="AG191" s="420">
        <f t="shared" si="189"/>
        <v>0</v>
      </c>
      <c r="AH191" s="420">
        <f t="shared" si="190"/>
        <v>0</v>
      </c>
      <c r="AI191" s="1097">
        <f t="shared" si="191"/>
        <v>0</v>
      </c>
      <c r="AJ191" s="420">
        <f t="shared" si="192"/>
        <v>0</v>
      </c>
      <c r="AK191" s="518">
        <f t="shared" si="193"/>
        <v>0</v>
      </c>
      <c r="AL191" s="1106">
        <f>IF($P191="","N/A",(IF($P191=-1,INDEX('卡片raw data'!S:S,MATCH($D191,'卡片raw data'!$F:$F,)),0)+IF($P191=0,INDEX('卡片raw data'!V:V,MATCH($D191,'卡片raw data'!$F:$F,)),0)+IF($P191=1,INDEX('卡片raw data'!Y:Y,MATCH($D191,'卡片raw data'!$F:$F,)),0)+IF($P191=2,INDEX('卡片raw data'!AB:AB,MATCH($D191,'卡片raw data'!$F:$F,)),0)+IF($P191=3,INDEX('卡片raw data'!AE:AE,MATCH($D191,'卡片raw data'!$F:$F,)),0)+IF($P191=4,INDEX('卡片raw data'!AH:AH,MATCH($D191,'卡片raw data'!$F:$F,)),0)+IF($P191=5,INDEX('卡片raw data'!AK:AK,MATCH($D191,'卡片raw data'!$F:$F,)),0)+INDEX('卡片raw data'!S:S,MATCH($D191,'卡片raw data'!$F:$F,))*(IF($F191="UR",0.04,0.033))*(IF($F191="UR",INDEX(绊状态确认!$S:$S,MATCH($G191,绊状态确认!$B:$B,))/2-40)+IF($F191="SR",INDEX(绊状态确认!$R:$R,MATCH($G191,绊状态确认!$B:$B,))/4-15))+IF($F191="R",INDEX(绊状态确认!$Q:$Q,MATCH($G191,绊状态确认!$B:$B,))/6-40/6)))*(INDEX(绊状态确认!$H:$H,MATCH($G191,绊状态确认!$B:$B,))+INDEX(绊状态确认!J:J,MATCH($G191,绊状态确认!$B:$B,)))</f>
        <v>11167.357343999998</v>
      </c>
      <c r="AM191" s="1106">
        <f>IF($P191="","N/A",(IF($P191=-1,INDEX('卡片raw data'!T:T,MATCH($D191,'卡片raw data'!$F:$F,)),0)+IF($P191=0,INDEX('卡片raw data'!W:W,MATCH($D191,'卡片raw data'!$F:$F,)),0)+IF($P191=1,INDEX('卡片raw data'!Z:Z,MATCH($D191,'卡片raw data'!$F:$F,)),0)+IF($P191=2,INDEX('卡片raw data'!AC:AC,MATCH($D191,'卡片raw data'!$F:$F,)),0)+IF($P191=3,INDEX('卡片raw data'!AF:AF,MATCH($D191,'卡片raw data'!$F:$F,)),0)+IF($P191=4,INDEX('卡片raw data'!AI:AI,MATCH($D191,'卡片raw data'!$F:$F,)),0)+IF($P191=5,INDEX('卡片raw data'!AL:AL,MATCH($D191,'卡片raw data'!$F:$F,)),0)+INDEX('卡片raw data'!T:T,MATCH($D191,'卡片raw data'!$F:$F,))*(IF($F191="UR",0.04,0.033))*(IF($F191="UR",INDEX(绊状态确认!$S:$S,MATCH($G191,绊状态确认!$B:$B,))/2-40)+IF($F191="SR",INDEX(绊状态确认!$R:$R,MATCH($G191,绊状态确认!$B:$B,))/4-15))+IF($F191="R",INDEX(绊状态确认!$Q:$Q,MATCH($G191,绊状态确认!$B:$B,))/6-40/6)))*(INDEX(绊状态确认!$H:$H,MATCH($G191,绊状态确认!$B:$B,))+INDEX(绊状态确认!K:K,MATCH($G191,绊状态确认!$B:$B,)))</f>
        <v>10210.326719999997</v>
      </c>
      <c r="AN191" s="1106">
        <f>IF($P191="","N/A",(IF($P191=-1,INDEX('卡片raw data'!U:U,MATCH($D191,'卡片raw data'!$F:$F,)),0)+IF($P191=0,INDEX('卡片raw data'!X:X,MATCH($D191,'卡片raw data'!$F:$F,)),0)+IF($P191=1,INDEX('卡片raw data'!AA:AA,MATCH($D191,'卡片raw data'!$F:$F,)),0)+IF($P191=2,INDEX('卡片raw data'!AD:AD,MATCH($D191,'卡片raw data'!$F:$F,)),0)+IF($P191=3,INDEX('卡片raw data'!AG:AG,MATCH($D191,'卡片raw data'!$F:$F,)),0)+IF($P191=4,INDEX('卡片raw data'!AJ:AJ,MATCH($D191,'卡片raw data'!$F:$F,)),0)+IF($P191=5,INDEX('卡片raw data'!AM:AM,MATCH($D191,'卡片raw data'!$F:$F,)),0)+INDEX('卡片raw data'!U:U,MATCH($D191,'卡片raw data'!$F:$F,))*(IF($F191="UR",0.04,0.033))*(IF($F191="UR",INDEX(绊状态确认!$S:$S,MATCH($G191,绊状态确认!$B:$B,))/2-40)+IF($F191="SR",INDEX(绊状态确认!$R:$R,MATCH($G191,绊状态确认!$B:$B,))/4-15))+IF($F191="R",INDEX(绊状态确认!$Q:$Q,MATCH($G191,绊状态确认!$B:$B,))/6-40/6)))*(INDEX(绊状态确认!$H:$H,MATCH($G191,绊状态确认!$B:$B,))+INDEX(绊状态确认!L:L,MATCH($G191,绊状态确认!$B:$B,)))</f>
        <v>10528.927823999999</v>
      </c>
      <c r="AO191" s="1107">
        <f t="shared" si="194"/>
        <v>1</v>
      </c>
      <c r="AP191" s="1131">
        <f>1+(INDEX(绊状态确认!$T:$T,MATCH($G191,绊状态确认!$B:$B,))+0.2)*$AO191</f>
        <v>1.3</v>
      </c>
      <c r="AQ191" s="1108">
        <f t="shared" si="195"/>
        <v>32564.313027999997</v>
      </c>
      <c r="AR191" s="1097">
        <f>(AM191*(1+$EX$9)+$EX$35)*(1+(INDEX(绊状态确认!$T:$T,MATCH($G191,绊状态确认!$B:$B,))+0.2)*AO191)*IF(J191=$FF$17,1+$FE$17,1)*IF(I191=$FF$14,1+$FE$14,1)*(1+$FE$15)</f>
        <v>16641.095972799998</v>
      </c>
      <c r="AS191" s="1097">
        <f>(AN191*(1+$EX$10)+$EX$36)*(1+(INDEX(绊状态确认!$T:$T,MATCH($G191,绊状态确认!$B:$B,))+0.2)*AO191)*IF(J191=$FF$17,1+$FE$17,1)*IF(I191=$FF$14,1+$FE$14,1)*(1+$FE$15)</f>
        <v>19796.747096879997</v>
      </c>
      <c r="AT191" s="1093">
        <f>IF(AND(INDEX('卡片raw data'!AK:AK,MATCH($D191,'卡片raw data'!$F:$F,))&lt;INDEX('卡片raw data'!AM:AM,MATCH($D191,'卡片raw data'!$F:$F,)),INDEX('卡片raw data'!AL:AL,MATCH($D191,'卡片raw data'!$F:$F,))&lt;INDEX('卡片raw data'!AM:AM,MATCH($D191,'卡片raw data'!$F:$F,))),1,0)</f>
        <v>0</v>
      </c>
      <c r="AU191" s="1098">
        <f>MIN(AT191*0.15+AS191*0.00003+INDEX(绊状态确认!M:M,MATCH($G191,绊状态确认!$B:$B,)),1)</f>
        <v>0.62390241290639992</v>
      </c>
      <c r="AV191" s="1109">
        <f>(INDEX(绊状态确认!$N:$N,MATCH($G191,绊状态确认!$B:$B,))+1.5)*$EW$21</f>
        <v>2.6599999999999997</v>
      </c>
      <c r="AW191" s="1101">
        <f t="shared" si="196"/>
        <v>34427.728463161991</v>
      </c>
      <c r="AX191" s="1097">
        <f t="shared" si="197"/>
        <v>1439.5744349124891</v>
      </c>
      <c r="AY191" s="1110">
        <f t="shared" si="198"/>
        <v>35867.302898074478</v>
      </c>
      <c r="AZ191" s="429">
        <f t="shared" si="199"/>
        <v>24376.346820799998</v>
      </c>
      <c r="BA191" s="431">
        <f t="shared" si="200"/>
        <v>29251.616184959996</v>
      </c>
      <c r="BB191" s="1097">
        <f>(AM191*(1+$FB$9)+$FB$35)*(1+(INDEX(绊状态确认!$T:$T,MATCH($G191,绊状态确认!$B:$B,))+0.2)*AO191)*IF(J191=$FF$17,1+$FE$17,1)*IF(I191=$FF$14,1+$FE$14,1)*(1+$FE$15)</f>
        <v>16641.095972799998</v>
      </c>
      <c r="BC191" s="1097">
        <f>(AN191*(1+$FB$10)+$FB$36)*(1+(INDEX(绊状态确认!$T:$T,MATCH($G191,绊状态确认!$B:$B,))+0.2)*AO191)*IF(J191=$FF$17,1+$FE$17,1)*IF(I191=$FF$14,1+$FE$14,1)*(1+$FE$15)</f>
        <v>19796.747096879997</v>
      </c>
      <c r="BD191" s="1104">
        <f>MIN(AT191*0.15+BC191*0.00003+INDEX(绊状态确认!M:M,MATCH($G191,绊状态确认!$B:$B,)),1)</f>
        <v>0.62390241290639992</v>
      </c>
      <c r="BE191" s="432">
        <f>(INDEX(绊状态确认!$N:$N,MATCH($G191,绊状态确认!$B:$B,))+1.5)</f>
        <v>1.9</v>
      </c>
      <c r="BF191" s="1139">
        <f t="array" ref="BF191">SUMPRODUCT(IF(AZ191*AP191*$FI$16:$FI$23*$FA$22&gt;=$FI$24,$FI$24,AZ191*AP191*$FI$16:$FI$23*$FA$22),$FJ$16:$FJ$23)</f>
        <v>48463.596161833593</v>
      </c>
      <c r="BG191" s="1125">
        <f t="array" ref="BG191">SUMPRODUCT(IF(BE191*AZ191*AP191*$FI$16:$FI$23*$FA$22&gt;=$FI$24,$FI$24,BE191*AZ191*AP191*$FI$16:$FI$23*$FA$22),$FJ$16:$FJ$23)</f>
        <v>60000</v>
      </c>
      <c r="BH191" s="1110">
        <f t="shared" si="201"/>
        <v>18553.728784242758</v>
      </c>
      <c r="BI191" s="1111">
        <f>IF(O191="vo",$EW$26/$EW$24*0.05,0)+IF(O191="sk",-$EW$26/$EW$24*(0.05-INDEX(绊状态确认!W:W,MATCH($G191,绊状态确认!$B:$B,)))+0.05*$EW$28,0)+IF(O191="sp",0.05*$EW$32*$EW$30*(1-$EW$33)-(0.05-INDEX(绊状态确认!V:V,MATCH($G191,绊状态确认!$B:$B,)))*$EW$28,0)+IF(O191="gd",-(0.05-INDEX(绊状态确认!X:X,MATCH($G191,绊状态确认!$B:$B,)))*$EW$32*$EW$30*(1-$EW$33),0)</f>
        <v>-6253.6726349699375</v>
      </c>
      <c r="BJ191" s="1097">
        <f>IF(O191="vo",0.05*(1-$FI$26)*$FA$24,0)+IF(O191="sk",-(0.05-INDEX(绊状态确认!W:W,MATCH($G191,绊状态确认!$B:$B,)))*(1-$FI$26)*$FA$24+0.05*$FA$26,0)+IF(O191="sp",0.05*$FA$32*$FA$27*(1-$FA$33)/$FA$30+0.05*$FA$29/$FA$69*$FA$27*(1-$FA$33)-(0.05-INDEX(绊状态确认!V:V,MATCH($G191,绊状态确认!$B:$B,)))*$FA$26,0)+IF(O191="gd",-(0.05-INDEX(绊状态确认!X:X,MATCH($G191,绊状态确认!$B:$B,)))*$FA$32*$FA$27*(1-$FA$33)/$FA$30-(0.05-INDEX(绊状态确认!X:X,MATCH($G191,绊状态确认!$B:$B,)))*$FA$29/$FA$69*$FA$27*(1-$FA$33),0)</f>
        <v>20.459096812499922</v>
      </c>
      <c r="BK191" s="1110">
        <f>IF(O191="vo",$EW$26/$EW$24*0.05+$EW$26*(-HP($EW$62,$EW$65,$EW$64)+HP($EW$62,$EW$65,(1.05-INDEX(绊状态确认!U:U,MATCH($G191,绊状态确认!$B:$B,)))*$EW$64)),0)+IF(O191="sk",-$EW$26/$EW$24*(0.05-INDEX(绊状态确认!W:W,MATCH($G191,绊状态确认!$B:$B,)))+0.05*$EW$29,0)+IF(O191="sp",0.05*$EW$32*$EW$30*(1-$EW$33)-(0.05-INDEX(绊状态确认!V:V,MATCH($G191,绊状态确认!$B:$B,)))*$EW$29,0)+IF(O191="gd",-(0.05-INDEX(绊状态确认!X:X,MATCH($G191,绊状态确认!$B:$B,)))*$EW$32*$EW$30*(1-$EW$33)+$EW$26*(-HP($EW$62,$EW$65,$EW$64)+HP($EW$62,$EW$65,0.95*$EW$64)),0)</f>
        <v>-4253.6726349699375</v>
      </c>
      <c r="BL191" s="1111">
        <f t="shared" si="202"/>
        <v>0</v>
      </c>
      <c r="BM191" s="1110">
        <f t="shared" si="203"/>
        <v>0</v>
      </c>
      <c r="BN191" s="1113">
        <f t="shared" si="204"/>
        <v>3</v>
      </c>
      <c r="BO191" s="1097">
        <f t="shared" si="205"/>
        <v>4507.7214871259994</v>
      </c>
      <c r="BP191" s="1100">
        <f t="shared" si="206"/>
        <v>221.34103209030098</v>
      </c>
      <c r="BQ191" s="1113" t="s">
        <v>144</v>
      </c>
      <c r="BR191" s="1124" t="s">
        <v>148</v>
      </c>
      <c r="BS191" s="1098">
        <f>IF($P191="","N/A",IF($P191=-1,INDEX('卡片raw data'!AX:AX,MATCH($D191,'卡片raw data'!$F:$F,)),0)+IF($L191="party卡",IF($P191=5,INDEX('卡片raw data'!BD:BD,MATCH($D191,'卡片raw data'!$F:$F,)),IF($P191&gt;=3,INDEX('卡片raw data'!BC:BC,MATCH($D191,'卡片raw data'!$F:$F,)),INDEX('卡片raw data'!BB:BB,MATCH($D191,'卡片raw data'!$F:$F,)))),IF(OR(AND($F191="UR",$P191=0),AND($F191="SR",$P191&gt;=0,$P191&lt;=2),AND($F191="R",$P191&gt;=0,$P191&lt;4)),INDEX('卡片raw data'!AZ:AZ,MATCH($D191,'卡片raw data'!$F:$F,)),0)+IF(OR(AND($F191="UR",$P191&gt;=1,$P191&lt;=4),AND($F191="SR",$P191&lt;=4,$P191&gt;=3),AND($F191="R",$P191=4)),INDEX('卡片raw data'!BA:BA,MATCH($D191,'卡片raw data'!$F:$F,)),0)+IF($P191=5,INDEX('卡片raw data'!BB:BB,MATCH($D191,'卡片raw data'!$F:$F,)),0)))</f>
        <v>5.1999999999999998E-2</v>
      </c>
      <c r="BT191" s="1101">
        <f t="shared" si="207"/>
        <v>0</v>
      </c>
      <c r="BU191" s="1097">
        <f t="shared" si="208"/>
        <v>0</v>
      </c>
      <c r="BV191" s="1097">
        <f t="shared" si="209"/>
        <v>0</v>
      </c>
      <c r="BW191" s="1112">
        <f t="shared" si="210"/>
        <v>2.4347142857142861</v>
      </c>
      <c r="BX191" s="1100">
        <f t="shared" si="211"/>
        <v>190.49664124538464</v>
      </c>
      <c r="BY191" s="1110">
        <f t="shared" si="212"/>
        <v>190.49664124538464</v>
      </c>
      <c r="BZ191" s="1107" t="s">
        <v>569</v>
      </c>
      <c r="CA191" s="1124"/>
      <c r="CB191" s="1098">
        <f>IF($P191="","N/A",IF($P191=-1,INDEX('卡片raw data'!BE:BE,MATCH($D191,'卡片raw data'!$F:$F,)),0)+IF($L191="party卡",IF($P191=5,INDEX('卡片raw data'!BK:BK,MATCH($D191,'卡片raw data'!$F:$F,)),IF($P191&gt;=3,INDEX('卡片raw data'!BJ:BJ,MATCH($D191,'卡片raw data'!$F:$F,)),INDEX('卡片raw data'!BI:BI,MATCH($D191,'卡片raw data'!$F:$F,)))),IF(OR(AND($F191="UR",$P191=0),AND($F191="SR",$P191&gt;=0,$P191&lt;=2),AND($F191="R",$P191&gt;=0,$P191&lt;4)),INDEX('卡片raw data'!BG:BG,MATCH($D191,'卡片raw data'!$F:$F,)),0)+IF(OR(AND($F191="UR",$P191&gt;=1,$P191&lt;=4),AND($F191="SR",$P191&lt;=4,$P191&gt;=3),AND($F191="R",$P191=4)),INDEX('卡片raw data'!BH:BH,MATCH($D191,'卡片raw data'!$F:$F,)),0)+IF($P191=5,INDEX('卡片raw data'!BI:BI,MATCH($D191,'卡片raw data'!$F:$F,)),0)))</f>
        <v>0</v>
      </c>
      <c r="CC191" s="1101">
        <f t="shared" si="213"/>
        <v>0</v>
      </c>
      <c r="CD191" s="1097">
        <f>IF(BZ191="ap",CB191*(1-$FI$26)*$FB$5/$FB$11*(+IF(CA191="全员",$FA$24,0)+IF(CA191="同作战",$FA$24,0)+IF(CA191="仲间",$FA$24*2/3,0)+IF(CA191="同属性",$FA$24*$FA$37/3,0)+IF(CA191="同年级",$FA$24*$FA$40/3,0)+IF(CA191="同学校",$FA$24*$FA$43/3,0)+IF(CA191="同小队",$FA$24*$FA$46/3,0)+IF(CA191="同type",$FA$24*INDEX($FB$49:$FB$52,MATCH(X191,$FA$49:$FA$52,))/3,0)+IF(CA191="自身",#REF!/3,0)),0)+IF(BZ191="te",CB191*(1-$FI$27)*($FA$20-1)*$FB$7/$FB$13*(+IF(CA191="全员",$FA$19*$FA$24/(1+($FA$20-1)*$FA$19),0)+IF(CA191="同作战",$FA$19*$FA$24/(1+($FA$20-1)*$FA$19),0)+IF(CA191="仲间",$FA$19*$FA$24*2/3/(1+($FA$20-1)*$FA$19),0)+IF(CA191="同属性",$FA$19*$FA$24*$FA$37/3/(1+($FA$20-1)*$FA$19),0)+IF(CA191="同年级",$FA$19*$FA$24*$FA$40/3/(1+($FA$20-1)*$FA$19),0)+IF(CA191="同学校",$FA$19*$FA$24*$FA$43/3/(1+($FA$20-1)*$FA$19),0)+IF(CA191="同小队",$FA$19*$FA$24*$FA$46/3/(1+($FA$20-1)*$FA$19),0)+IF(CA191="同type",$FA$19*$FA$24*INDEX($FB$49:$FB$52,MATCH(X191,$FA$49:$FA$52,))/3/(1+($FA$20-1)*$FA$19),0)+IF(CA191="自身",$FA$19*#REF!/3/(1+(BH191-1)*$BD191),0)),0)</f>
        <v>0</v>
      </c>
      <c r="CE191" s="1097">
        <f t="shared" si="214"/>
        <v>0</v>
      </c>
      <c r="CF191" s="1112">
        <f t="shared" si="215"/>
        <v>0</v>
      </c>
      <c r="CG191" s="1100">
        <f t="shared" si="216"/>
        <v>0</v>
      </c>
      <c r="CH191" s="1110">
        <f t="shared" si="217"/>
        <v>0</v>
      </c>
      <c r="CI191" s="1113" t="s">
        <v>165</v>
      </c>
      <c r="CJ191" s="1114">
        <v>0.3</v>
      </c>
      <c r="CK191" s="1115" t="s">
        <v>159</v>
      </c>
      <c r="CL191" s="1115" t="s">
        <v>161</v>
      </c>
      <c r="CM191" s="1119">
        <v>0.04</v>
      </c>
      <c r="CN191" s="1115" t="s">
        <v>163</v>
      </c>
      <c r="CO191" s="1092"/>
      <c r="CP191" s="1118">
        <f t="shared" si="218"/>
        <v>1.2E-2</v>
      </c>
      <c r="CQ191" s="1118">
        <f t="shared" si="219"/>
        <v>1.2E-2</v>
      </c>
      <c r="CR191" s="1118">
        <f t="shared" si="220"/>
        <v>1.2E-2</v>
      </c>
      <c r="CS191" s="1118">
        <f t="shared" si="221"/>
        <v>0</v>
      </c>
      <c r="CT191" s="1109">
        <f t="shared" si="222"/>
        <v>0</v>
      </c>
      <c r="CU191" s="1101">
        <f t="shared" si="223"/>
        <v>2039.743972924515</v>
      </c>
      <c r="CV191" s="1108">
        <f t="shared" si="224"/>
        <v>94.544240850000008</v>
      </c>
      <c r="CW191" s="1097">
        <f t="shared" si="225"/>
        <v>2039.743972924515</v>
      </c>
      <c r="CX191" s="1097">
        <f t="shared" si="226"/>
        <v>2039.743972924515</v>
      </c>
      <c r="CY191" s="1110">
        <f t="shared" si="227"/>
        <v>2039.743972924515</v>
      </c>
      <c r="CZ191" s="437"/>
      <c r="DA191" s="438"/>
      <c r="DB191" s="439" t="s">
        <v>569</v>
      </c>
      <c r="DC191" s="439"/>
      <c r="DD191" s="443"/>
      <c r="DE191" s="411"/>
      <c r="DF191" s="411"/>
      <c r="DG191" s="1116">
        <f t="shared" si="228"/>
        <v>0</v>
      </c>
      <c r="DH191" s="1116">
        <f t="shared" si="229"/>
        <v>0</v>
      </c>
      <c r="DI191" s="1116">
        <f t="shared" si="230"/>
        <v>0</v>
      </c>
      <c r="DJ191" s="442">
        <f t="shared" si="231"/>
        <v>0</v>
      </c>
      <c r="DK191" s="1109">
        <f t="shared" si="232"/>
        <v>0</v>
      </c>
      <c r="DL191" s="1101">
        <f t="shared" si="233"/>
        <v>0</v>
      </c>
      <c r="DM191" s="1097">
        <f t="shared" si="234"/>
        <v>0</v>
      </c>
      <c r="DN191" s="1097">
        <f t="shared" si="235"/>
        <v>0</v>
      </c>
      <c r="DO191" s="1097">
        <f t="shared" si="236"/>
        <v>0</v>
      </c>
      <c r="DP191" s="1110">
        <f t="shared" si="237"/>
        <v>0</v>
      </c>
      <c r="DQ191" s="1113" t="s">
        <v>154</v>
      </c>
      <c r="DR191" s="1120">
        <f t="shared" si="238"/>
        <v>0.33</v>
      </c>
      <c r="DS191" s="1124">
        <v>5</v>
      </c>
      <c r="DT191" s="1093" t="s">
        <v>168</v>
      </c>
      <c r="DU191" s="1093" t="s">
        <v>544</v>
      </c>
      <c r="DV191" s="1098">
        <f>IF($P191="","N/A",IF(P191=-1,INDEX('卡片raw data'!AN:AN,MATCH(D191,'卡片raw data'!$F:$F,)),0)+IF(AND(L191&lt;&gt;"party卡",P191&lt;=2,P191&gt;=0),INDEX('卡片raw data'!AP:AP,MATCH(D191,'卡片raw data'!$F:$F,)),0)+IF(OR(AND(L191="party卡",P191&lt;=1),AND(P191&lt;=4,L191&lt;&gt;"party卡",P191&gt;=3)),INDEX('卡片raw data'!AQ:AQ,MATCH(D191,'卡片raw data'!$F:$F,)),0)+IF(OR(P191=5,AND(L191="party卡",P191&gt;=2)),INDEX('卡片raw data'!AR:AR,MATCH(D191,'卡片raw data'!$F:$F,)),0))</f>
        <v>0.05</v>
      </c>
      <c r="DW191" s="1098">
        <f t="shared" si="239"/>
        <v>0.33</v>
      </c>
      <c r="DX191" s="1098">
        <f t="shared" si="240"/>
        <v>0.33</v>
      </c>
      <c r="DY191" s="1098">
        <f t="shared" si="241"/>
        <v>2.7500000000000004E-2</v>
      </c>
      <c r="DZ191" s="1098">
        <f t="shared" si="242"/>
        <v>2.3787500000000003E-2</v>
      </c>
      <c r="EA191" s="1098">
        <f t="shared" si="243"/>
        <v>9.9029734375000004E-3</v>
      </c>
      <c r="EB191" s="1121">
        <f t="shared" si="244"/>
        <v>0</v>
      </c>
      <c r="EC191" s="1101">
        <f t="shared" si="245"/>
        <v>1166.6666666666667</v>
      </c>
      <c r="ED191" s="1097">
        <f t="shared" si="246"/>
        <v>540.62500000000011</v>
      </c>
      <c r="EE191" s="1110">
        <f t="shared" si="247"/>
        <v>1166.6666666666667</v>
      </c>
      <c r="EF191" s="1092" t="s">
        <v>711</v>
      </c>
      <c r="EG191" s="1120">
        <f t="shared" si="248"/>
        <v>0.33</v>
      </c>
      <c r="EH191" s="1124"/>
      <c r="EI191" s="1093"/>
      <c r="EJ191" s="1093"/>
      <c r="EK191" s="1097">
        <f>IF($P191="","N/A",IF(P191=-1,INDEX('卡片raw data'!AS:AS,MATCH(D191,'卡片raw data'!$F:$F,)),0)+IF(AND(L191&lt;&gt;"party卡",P191&lt;=2,P191&gt;=0),INDEX('卡片raw data'!AU:AU,MATCH(D191,'卡片raw data'!$F:$F,)),0)+IF(OR(AND(L191="party卡",P191&lt;=1),AND(P191&lt;=4,L191&lt;&gt;"party卡",P191&gt;=3)),INDEX('卡片raw data'!AV:AV,MATCH(D191,'卡片raw data'!$F:$F,)),0)+IF(OR(P191=5,AND(L191="party卡",P191&gt;=2)),INDEX('卡片raw data'!AW:AW,MATCH(D191,'卡片raw data'!$F:$F,)),0))</f>
        <v>0</v>
      </c>
      <c r="EL191" s="1098">
        <f t="shared" si="249"/>
        <v>0.33</v>
      </c>
      <c r="EM191" s="1098">
        <f t="shared" si="250"/>
        <v>0.33</v>
      </c>
      <c r="EN191" s="1125">
        <f t="shared" si="251"/>
        <v>0</v>
      </c>
      <c r="EO191" s="1125">
        <f t="shared" si="252"/>
        <v>0</v>
      </c>
      <c r="EP191" s="1098">
        <f t="shared" si="253"/>
        <v>0</v>
      </c>
      <c r="EQ191" s="1121">
        <f t="shared" si="254"/>
        <v>0</v>
      </c>
      <c r="ER191" s="1101">
        <f t="shared" si="255"/>
        <v>0</v>
      </c>
      <c r="ES191" s="1097">
        <f t="shared" si="256"/>
        <v>0</v>
      </c>
      <c r="ET191" s="1122">
        <f t="shared" si="257"/>
        <v>0</v>
      </c>
    </row>
    <row r="192" spans="2:150" ht="16.5" customHeight="1">
      <c r="B192" s="1123" t="str">
        <f>INDEX('卡片raw data'!B:B,MATCH($D192,'卡片raw data'!$F:$F,))</f>
        <v>op1露</v>
      </c>
      <c r="C192" s="449" t="s">
        <v>67</v>
      </c>
      <c r="D192" s="408">
        <v>189</v>
      </c>
      <c r="E192" s="1090">
        <v>401092001</v>
      </c>
      <c r="F192" s="1090" t="str">
        <f>INDEX('卡片raw data'!C:C,MATCH($D192,'卡片raw data'!$F:$F,))</f>
        <v>SR</v>
      </c>
      <c r="G192" s="1094" t="s">
        <v>346</v>
      </c>
      <c r="H192" s="411">
        <f>IFERROR(INDEX(绊状态确认!C:C,MATCH($G192,绊状态确认!$B:$B,)),"")</f>
        <v>109</v>
      </c>
      <c r="I192" s="450" t="str">
        <f>IFERROR(INDEX(绊状态确认!D:D,MATCH($G192,绊状态确认!$B:$B,)),"")</f>
        <v>水</v>
      </c>
      <c r="J192" s="450" t="str">
        <f>IFERROR(INDEX(绊状态确认!E:E,MATCH($G192,绊状态确认!$B:$B,)),"")</f>
        <v>1年级</v>
      </c>
      <c r="K192" s="451" t="str">
        <f>IFERROR(INDEX(绊状态确认!F:F,MATCH($G192,绊状态确认!$B:$B,)),"")</f>
        <v>CYaRon!</v>
      </c>
      <c r="L192" s="1094" t="str">
        <f>INDEX('卡片raw data'!E:E,MATCH($D192,'卡片raw data'!$F:$F,))</f>
        <v>活动卡</v>
      </c>
      <c r="M192" s="415">
        <v>43896</v>
      </c>
      <c r="N192" s="416">
        <v>11</v>
      </c>
      <c r="O192" s="1091" t="str">
        <f>INDEX('卡片raw data'!D:D,MATCH($D192,'卡片raw data'!$F:$F,))</f>
        <v>gd</v>
      </c>
      <c r="P192" s="417">
        <v>5</v>
      </c>
      <c r="Q192" s="1095">
        <f t="shared" si="173"/>
        <v>18318.148072192376</v>
      </c>
      <c r="R192" s="1096">
        <f t="shared" si="174"/>
        <v>0.21199999999999999</v>
      </c>
      <c r="S192" s="1097">
        <f t="shared" si="175"/>
        <v>10138.213909501585</v>
      </c>
      <c r="T192" s="1098">
        <f t="shared" si="176"/>
        <v>0.50600000000000001</v>
      </c>
      <c r="U192" s="1099">
        <f t="shared" si="177"/>
        <v>270.19798515679861</v>
      </c>
      <c r="V192" s="1100">
        <f t="shared" si="178"/>
        <v>47504.599251770931</v>
      </c>
      <c r="W192" s="1101">
        <f t="shared" si="179"/>
        <v>4507.7214871259994</v>
      </c>
      <c r="X192" s="1096">
        <f t="shared" si="180"/>
        <v>5.1999999999999998E-2</v>
      </c>
      <c r="Y192" s="1097">
        <f t="shared" si="181"/>
        <v>945.14130852627568</v>
      </c>
      <c r="Z192" s="1102">
        <f t="shared" si="182"/>
        <v>11.912802784478572</v>
      </c>
      <c r="AA192" s="1103">
        <f t="shared" si="183"/>
        <v>5452.8627956522751</v>
      </c>
      <c r="AB192" s="1101">
        <f t="shared" si="184"/>
        <v>4507.7214871259994</v>
      </c>
      <c r="AC192" s="1104">
        <f t="shared" si="185"/>
        <v>5.1999999999999998E-2</v>
      </c>
      <c r="AD192" s="1105">
        <f t="shared" si="186"/>
        <v>-3.8207812500000026E-3</v>
      </c>
      <c r="AE192" s="1128">
        <f t="shared" si="187"/>
        <v>-18.525362318840578</v>
      </c>
      <c r="AF192" s="1130">
        <f t="shared" si="188"/>
        <v>3752.0033498214798</v>
      </c>
      <c r="AG192" s="420">
        <f t="shared" si="189"/>
        <v>105313.85906782001</v>
      </c>
      <c r="AH192" s="420">
        <f t="shared" si="190"/>
        <v>28.068700704339946</v>
      </c>
      <c r="AI192" s="1097">
        <f t="shared" si="191"/>
        <v>70885.174388803032</v>
      </c>
      <c r="AJ192" s="420">
        <f t="shared" si="192"/>
        <v>47504.599251770931</v>
      </c>
      <c r="AK192" s="518">
        <f t="shared" si="193"/>
        <v>23380.575137032101</v>
      </c>
      <c r="AL192" s="1106">
        <f>IF($P192="","N/A",(IF($P192=-1,INDEX('卡片raw data'!S:S,MATCH($D192,'卡片raw data'!$F:$F,)),0)+IF($P192=0,INDEX('卡片raw data'!V:V,MATCH($D192,'卡片raw data'!$F:$F,)),0)+IF($P192=1,INDEX('卡片raw data'!Y:Y,MATCH($D192,'卡片raw data'!$F:$F,)),0)+IF($P192=2,INDEX('卡片raw data'!AB:AB,MATCH($D192,'卡片raw data'!$F:$F,)),0)+IF($P192=3,INDEX('卡片raw data'!AE:AE,MATCH($D192,'卡片raw data'!$F:$F,)),0)+IF($P192=4,INDEX('卡片raw data'!AH:AH,MATCH($D192,'卡片raw data'!$F:$F,)),0)+IF($P192=5,INDEX('卡片raw data'!AK:AK,MATCH($D192,'卡片raw data'!$F:$F,)),0)+INDEX('卡片raw data'!S:S,MATCH($D192,'卡片raw data'!$F:$F,))*(IF($F192="UR",0.04,0.033))*(IF($F192="UR",INDEX(绊状态确认!$S:$S,MATCH($G192,绊状态确认!$B:$B,))/2-40)+IF($F192="SR",INDEX(绊状态确认!$R:$R,MATCH($G192,绊状态确认!$B:$B,))/4-15))+IF($F192="R",INDEX(绊状态确认!$Q:$Q,MATCH($G192,绊状态确认!$B:$B,))/6-40/6)))*(INDEX(绊状态确认!$H:$H,MATCH($G192,绊状态确认!$B:$B,))+INDEX(绊状态确认!J:J,MATCH($G192,绊状态确认!$B:$B,)))</f>
        <v>4498.2939407999993</v>
      </c>
      <c r="AM192" s="1106">
        <f>IF($P192="","N/A",(IF($P192=-1,INDEX('卡片raw data'!T:T,MATCH($D192,'卡片raw data'!$F:$F,)),0)+IF($P192=0,INDEX('卡片raw data'!W:W,MATCH($D192,'卡片raw data'!$F:$F,)),0)+IF($P192=1,INDEX('卡片raw data'!Z:Z,MATCH($D192,'卡片raw data'!$F:$F,)),0)+IF($P192=2,INDEX('卡片raw data'!AC:AC,MATCH($D192,'卡片raw data'!$F:$F,)),0)+IF($P192=3,INDEX('卡片raw data'!AF:AF,MATCH($D192,'卡片raw data'!$F:$F,)),0)+IF($P192=4,INDEX('卡片raw data'!AI:AI,MATCH($D192,'卡片raw data'!$F:$F,)),0)+IF($P192=5,INDEX('卡片raw data'!AL:AL,MATCH($D192,'卡片raw data'!$F:$F,)),0)+INDEX('卡片raw data'!T:T,MATCH($D192,'卡片raw data'!$F:$F,))*(IF($F192="UR",0.04,0.033))*(IF($F192="UR",INDEX(绊状态确认!$S:$S,MATCH($G192,绊状态确认!$B:$B,))/2-40)+IF($F192="SR",INDEX(绊状态确认!$R:$R,MATCH($G192,绊状态确认!$B:$B,))/4-15))+IF($F192="R",INDEX(绊状态确认!$Q:$Q,MATCH($G192,绊状态确认!$B:$B,))/6-40/6)))*(INDEX(绊状态确认!$H:$H,MATCH($G192,绊状态确认!$B:$B,))+INDEX(绊状态确认!K:K,MATCH($G192,绊状态确认!$B:$B,)))</f>
        <v>5140.0849319999998</v>
      </c>
      <c r="AN192" s="1106">
        <f>IF($P192="","N/A",(IF($P192=-1,INDEX('卡片raw data'!U:U,MATCH($D192,'卡片raw data'!$F:$F,)),0)+IF($P192=0,INDEX('卡片raw data'!X:X,MATCH($D192,'卡片raw data'!$F:$F,)),0)+IF($P192=1,INDEX('卡片raw data'!AA:AA,MATCH($D192,'卡片raw data'!$F:$F,)),0)+IF($P192=2,INDEX('卡片raw data'!AD:AD,MATCH($D192,'卡片raw data'!$F:$F,)),0)+IF($P192=3,INDEX('卡片raw data'!AG:AG,MATCH($D192,'卡片raw data'!$F:$F,)),0)+IF($P192=4,INDEX('卡片raw data'!AJ:AJ,MATCH($D192,'卡片raw data'!$F:$F,)),0)+IF($P192=5,INDEX('卡片raw data'!AM:AM,MATCH($D192,'卡片raw data'!$F:$F,)),0)+INDEX('卡片raw data'!U:U,MATCH($D192,'卡片raw data'!$F:$F,))*(IF($F192="UR",0.04,0.033))*(IF($F192="UR",INDEX(绊状态确认!$S:$S,MATCH($G192,绊状态确认!$B:$B,))/2-40)+IF($F192="SR",INDEX(绊状态确认!$R:$R,MATCH($G192,绊状态确认!$B:$B,))/4-15))+IF($F192="R",INDEX(绊状态确认!$Q:$Q,MATCH($G192,绊状态确认!$B:$B,))/6-40/6)))*(INDEX(绊状态确认!$H:$H,MATCH($G192,绊状态确认!$B:$B,))+INDEX(绊状态确认!L:L,MATCH($G192,绊状态确认!$B:$B,)))</f>
        <v>6427.1511167999997</v>
      </c>
      <c r="AO192" s="1107">
        <f t="shared" si="194"/>
        <v>1</v>
      </c>
      <c r="AP192" s="1131">
        <f>1+(INDEX(绊状态确认!$T:$T,MATCH($G192,绊状态确认!$B:$B,))+0.2)*$AO192</f>
        <v>1.3</v>
      </c>
      <c r="AQ192" s="1108">
        <f t="shared" si="195"/>
        <v>15058.021594599997</v>
      </c>
      <c r="AR192" s="1097">
        <f>(AM192*(1+$EX$9)+$EX$35)*(1+(INDEX(绊状态确认!$T:$T,MATCH($G192,绊状态确认!$B:$B,))+0.2)*AO192)*IF(J192=$FF$17,1+$FE$17,1)*IF(I192=$FF$14,1+$FE$14,1)</f>
        <v>9720.2159321800009</v>
      </c>
      <c r="AS192" s="1097">
        <f>(AN192*(1+$EX$10)+$EX$36)*(1+(INDEX(绊状态确认!$T:$T,MATCH($G192,绊状态确认!$B:$B,))+0.2)*AO192)*IF(J192=$FF$17,1+$FE$17,1)*IF(I192=$FF$14,1+$FE$14,1)</f>
        <v>13664.590919615997</v>
      </c>
      <c r="AT192" s="1093">
        <f>IF(AND(INDEX('卡片raw data'!AK:AK,MATCH($D192,'卡片raw data'!$F:$F,))&lt;INDEX('卡片raw data'!AM:AM,MATCH($D192,'卡片raw data'!$F:$F,)),INDEX('卡片raw data'!AL:AL,MATCH($D192,'卡片raw data'!$F:$F,))&lt;INDEX('卡片raw data'!AM:AM,MATCH($D192,'卡片raw data'!$F:$F,))),1,0)</f>
        <v>1</v>
      </c>
      <c r="AU192" s="1098">
        <f>MIN(AT192*0.15+AS192*0.00003+INDEX(绊状态确认!M:M,MATCH($G192,绊状态确认!$B:$B,)),1)</f>
        <v>0.58993772758847995</v>
      </c>
      <c r="AV192" s="1109">
        <f>(INDEX(绊状态确认!$N:$N,MATCH($G192,绊状态确认!$B:$B,))+1.5)*$EW$21</f>
        <v>2.6599999999999997</v>
      </c>
      <c r="AW192" s="1101">
        <f t="shared" si="196"/>
        <v>15478.75991839971</v>
      </c>
      <c r="AX192" s="1097">
        <f t="shared" si="197"/>
        <v>828.1328187163441</v>
      </c>
      <c r="AY192" s="1110">
        <f t="shared" si="198"/>
        <v>16306.892737116053</v>
      </c>
      <c r="AZ192" s="429">
        <f t="shared" si="199"/>
        <v>11371.673184559999</v>
      </c>
      <c r="BA192" s="431">
        <f t="shared" si="200"/>
        <v>13646.007821471998</v>
      </c>
      <c r="BB192" s="1097">
        <f>(AM192*(1+$FB$9)+$FB$35)*(1+(INDEX(绊状态确认!$T:$T,MATCH($G192,绊状态确认!$B:$B,))+0.2)*AO192)*IF(J192=$FF$17,1+$FE$17,1)*IF(I192=$FF$14,1+$FE$14,1)*(1+$FE$15)</f>
        <v>9720.2159321800009</v>
      </c>
      <c r="BC192" s="1097">
        <f>(AN192*(1+$FB$10)+$FB$36)*(1+(INDEX(绊状态确认!$T:$T,MATCH($G192,绊状态确认!$B:$B,))+0.2)*AO192)*IF(J192=$FF$17,1+$FE$17,1)*IF(I192=$FF$14,1+$FE$14,1)*(1+$FE$15)</f>
        <v>13664.590919615997</v>
      </c>
      <c r="BD192" s="1104">
        <f>MIN(AT192*0.15+BC192*0.00003+INDEX(绊状态确认!M:M,MATCH($G192,绊状态确认!$B:$B,)),1)</f>
        <v>0.58993772758847995</v>
      </c>
      <c r="BE192" s="432">
        <f>(INDEX(绊状态确认!$N:$N,MATCH($G192,绊状态确认!$B:$B,))+1.5)</f>
        <v>1.9</v>
      </c>
      <c r="BF192" s="1139">
        <f t="array" ref="BF192">SUMPRODUCT(IF(AZ192*AP192*$FI$16:$FI$23*$FA$22&gt;=$FI$24,$FI$24,AZ192*AP192*$FI$16:$FI$23*$FA$22),$FJ$16:$FJ$23)</f>
        <v>22618.25796408984</v>
      </c>
      <c r="BG192" s="1125">
        <f t="array" ref="BG192">SUMPRODUCT(IF(BE192*AZ192*AP192*$FI$16:$FI$23*$FA$22&gt;=$FI$24,$FI$24,BE192*AZ192*AP192*$FI$16:$FI$23*$FA$22),$FJ$16:$FJ$23)</f>
        <v>42974.690131770694</v>
      </c>
      <c r="BH192" s="1110">
        <f t="shared" si="201"/>
        <v>11542.428432966839</v>
      </c>
      <c r="BI192" s="1111">
        <f>IF(O192="vo",$EW$26/$EW$24*0.05,0)+IF(O192="sk",-$EW$26/$EW$24*(0.05-INDEX(绊状态确认!W:W,MATCH($G192,绊状态确认!$B:$B,)))+0.05*$EW$28,0)+IF(O192="sp",0.05*$EW$32*$EW$30*(1-$EW$33)-(0.05-INDEX(绊状态确认!V:V,MATCH($G192,绊状态确认!$B:$B,)))*$EW$28,0)+IF(O192="gd",-(0.05-INDEX(绊状态确认!X:X,MATCH($G192,绊状态确认!$B:$B,)))*$EW$32*$EW$30*(1-$EW$33),0)</f>
        <v>-585.00000000000011</v>
      </c>
      <c r="BJ192" s="1097">
        <f>IF(O192="vo",0.05*(1-$FI$26)*$FA$24,0)+IF(O192="sk",-(0.05-INDEX(绊状态确认!W:W,MATCH($G192,绊状态确认!$B:$B,)))*(1-$FI$26)*$FA$24+0.05*$FA$26,0)+IF(O192="sp",0.05*$FA$32*$FA$27*(1-$FA$33)/$FA$30+0.05*$FA$29/$FA$69*$FA$27*(1-$FA$33)-(0.05-INDEX(绊状态确认!V:V,MATCH($G192,绊状态确认!$B:$B,)))*$FA$26,0)+IF(O192="gd",-(0.05-INDEX(绊状态确认!X:X,MATCH($G192,绊状态确认!$B:$B,)))*$FA$32*$FA$27*(1-$FA$33)/$FA$30-(0.05-INDEX(绊状态确认!X:X,MATCH($G192,绊状态确认!$B:$B,)))*$FA$29/$FA$69*$FA$27*(1-$FA$33),0)</f>
        <v>-795.00000000000011</v>
      </c>
      <c r="BK192" s="1110">
        <f>IF(O192="vo",$EW$26/$EW$24*0.05+$EW$26*(-HP($EW$62,$EW$65,$EW$64)+HP($EW$62,$EW$65,(1.05-INDEX(绊状态确认!U:U,MATCH($G192,绊状态确认!$B:$B,)))*$EW$64)),0)+IF(O192="sk",-$EW$26/$EW$24*(0.05-INDEX(绊状态确认!W:W,MATCH($G192,绊状态确认!$B:$B,)))+0.05*$EW$29,0)+IF(O192="sp",0.05*$EW$32*$EW$30*(1-$EW$33)-(0.05-INDEX(绊状态确认!V:V,MATCH($G192,绊状态确认!$B:$B,)))*$EW$29,0)+IF(O192="gd",-(0.05-INDEX(绊状态确认!X:X,MATCH($G192,绊状态确认!$B:$B,)))*$EW$32*$EW$30*(1-$EW$33)+$EW$26*(-HP($EW$62,$EW$65,$EW$64)+HP($EW$62,$EW$65,0.95*$EW$64)),0)</f>
        <v>1009.5947725176144</v>
      </c>
      <c r="BL192" s="1111">
        <f t="shared" si="202"/>
        <v>-1083.3333333333333</v>
      </c>
      <c r="BM192" s="1110">
        <f t="shared" si="203"/>
        <v>-830.55555555555543</v>
      </c>
      <c r="BN192" s="1113">
        <f t="shared" si="204"/>
        <v>3</v>
      </c>
      <c r="BO192" s="1097">
        <f t="shared" si="205"/>
        <v>4507.7214871259994</v>
      </c>
      <c r="BP192" s="1100">
        <f t="shared" si="206"/>
        <v>221.34103209030098</v>
      </c>
      <c r="BQ192" s="1113" t="s">
        <v>144</v>
      </c>
      <c r="BR192" s="1124" t="s">
        <v>148</v>
      </c>
      <c r="BS192" s="1098">
        <f>IF($P192="","N/A",IF($P192=-1,INDEX('卡片raw data'!AX:AX,MATCH($D192,'卡片raw data'!$F:$F,)),0)+IF($L192="party卡",IF($P192=5,INDEX('卡片raw data'!BD:BD,MATCH($D192,'卡片raw data'!$F:$F,)),IF($P192&gt;=3,INDEX('卡片raw data'!BC:BC,MATCH($D192,'卡片raw data'!$F:$F,)),INDEX('卡片raw data'!BB:BB,MATCH($D192,'卡片raw data'!$F:$F,)))),IF(OR(AND($F192="UR",$P192=0),AND($F192="SR",$P192&gt;=0,$P192&lt;=2),AND($F192="R",$P192&gt;=0,$P192&lt;4)),INDEX('卡片raw data'!AZ:AZ,MATCH($D192,'卡片raw data'!$F:$F,)),0)+IF(OR(AND($F192="UR",$P192&gt;=1,$P192&lt;=4),AND($F192="SR",$P192&lt;=4,$P192&gt;=3),AND($F192="R",$P192=4)),INDEX('卡片raw data'!BA:BA,MATCH($D192,'卡片raw data'!$F:$F,)),0)+IF($P192=5,INDEX('卡片raw data'!BB:BB,MATCH($D192,'卡片raw data'!$F:$F,)),0)))</f>
        <v>3.2000000000000001E-2</v>
      </c>
      <c r="BT192" s="1101">
        <f t="shared" si="207"/>
        <v>0</v>
      </c>
      <c r="BU192" s="1097">
        <f t="shared" si="208"/>
        <v>0</v>
      </c>
      <c r="BV192" s="1097">
        <f t="shared" si="209"/>
        <v>0</v>
      </c>
      <c r="BW192" s="1112">
        <f t="shared" si="210"/>
        <v>1.498285714285714</v>
      </c>
      <c r="BX192" s="1100">
        <f t="shared" si="211"/>
        <v>117.00848980993118</v>
      </c>
      <c r="BY192" s="1110">
        <f t="shared" si="212"/>
        <v>117.00848980993118</v>
      </c>
      <c r="BZ192" s="1107" t="s">
        <v>569</v>
      </c>
      <c r="CA192" s="1124"/>
      <c r="CB192" s="1098">
        <f>IF($P192="","N/A",IF($P192=-1,INDEX('卡片raw data'!BE:BE,MATCH($D192,'卡片raw data'!$F:$F,)),0)+IF($L192="party卡",IF($P192=5,INDEX('卡片raw data'!BK:BK,MATCH($D192,'卡片raw data'!$F:$F,)),IF($P192&gt;=3,INDEX('卡片raw data'!BJ:BJ,MATCH($D192,'卡片raw data'!$F:$F,)),INDEX('卡片raw data'!BI:BI,MATCH($D192,'卡片raw data'!$F:$F,)))),IF(OR(AND($F192="UR",$P192=0),AND($F192="SR",$P192&gt;=0,$P192&lt;=2),AND($F192="R",$P192&gt;=0,$P192&lt;4)),INDEX('卡片raw data'!BG:BG,MATCH($D192,'卡片raw data'!$F:$F,)),0)+IF(OR(AND($F192="UR",$P192&gt;=1,$P192&lt;=4),AND($F192="SR",$P192&lt;=4,$P192&gt;=3),AND($F192="R",$P192=4)),INDEX('卡片raw data'!BH:BH,MATCH($D192,'卡片raw data'!$F:$F,)),0)+IF($P192=5,INDEX('卡片raw data'!BI:BI,MATCH($D192,'卡片raw data'!$F:$F,)),0)))</f>
        <v>0</v>
      </c>
      <c r="CC192" s="1101">
        <f t="shared" si="213"/>
        <v>0</v>
      </c>
      <c r="CD192" s="1097">
        <f>IF(BZ192="ap",CB192*(1-$FI$26)*$FB$5/$FB$11*(+IF(CA192="全员",$FA$24,0)+IF(CA192="同作战",$FA$24,0)+IF(CA192="仲间",$FA$24*2/3,0)+IF(CA192="同属性",$FA$24*$FA$37/3,0)+IF(CA192="同年级",$FA$24*$FA$40/3,0)+IF(CA192="同学校",$FA$24*$FA$43/3,0)+IF(CA192="同小队",$FA$24*$FA$46/3,0)+IF(CA192="同type",$FA$24*INDEX($FB$49:$FB$52,MATCH(X192,$FA$49:$FA$52,))/3,0)+IF(CA192="自身",#REF!/3,0)),0)+IF(BZ192="te",CB192*(1-$FI$27)*($FA$20-1)*$FB$7/$FB$13*(+IF(CA192="全员",$FA$19*$FA$24/(1+($FA$20-1)*$FA$19),0)+IF(CA192="同作战",$FA$19*$FA$24/(1+($FA$20-1)*$FA$19),0)+IF(CA192="仲间",$FA$19*$FA$24*2/3/(1+($FA$20-1)*$FA$19),0)+IF(CA192="同属性",$FA$19*$FA$24*$FA$37/3/(1+($FA$20-1)*$FA$19),0)+IF(CA192="同年级",$FA$19*$FA$24*$FA$40/3/(1+($FA$20-1)*$FA$19),0)+IF(CA192="同学校",$FA$19*$FA$24*$FA$43/3/(1+($FA$20-1)*$FA$19),0)+IF(CA192="同小队",$FA$19*$FA$24*$FA$46/3/(1+($FA$20-1)*$FA$19),0)+IF(CA192="同type",$FA$19*$FA$24*INDEX($FB$49:$FB$52,MATCH(X192,$FA$49:$FA$52,))/3/(1+($FA$20-1)*$FA$19),0)+IF(CA192="自身",$FA$19*#REF!/3/(1+(BH192-1)*$BD192),0)),0)</f>
        <v>0</v>
      </c>
      <c r="CE192" s="1097">
        <f t="shared" si="214"/>
        <v>0</v>
      </c>
      <c r="CF192" s="1112">
        <f t="shared" si="215"/>
        <v>0</v>
      </c>
      <c r="CG192" s="1100">
        <f t="shared" si="216"/>
        <v>0</v>
      </c>
      <c r="CH192" s="1110">
        <f t="shared" si="217"/>
        <v>0</v>
      </c>
      <c r="CI192" s="1113" t="s">
        <v>570</v>
      </c>
      <c r="CJ192" s="1114">
        <v>0.4</v>
      </c>
      <c r="CK192" s="1115" t="s">
        <v>635</v>
      </c>
      <c r="CL192" s="1115" t="s">
        <v>1944</v>
      </c>
      <c r="CM192" s="1119">
        <v>0.15</v>
      </c>
      <c r="CN192" s="1115"/>
      <c r="CO192" s="1092"/>
      <c r="CP192" s="1117">
        <f t="shared" si="218"/>
        <v>0</v>
      </c>
      <c r="CQ192" s="1117">
        <f t="shared" si="219"/>
        <v>0</v>
      </c>
      <c r="CR192" s="1117">
        <f t="shared" si="220"/>
        <v>0</v>
      </c>
      <c r="CS192" s="1118">
        <f t="shared" si="221"/>
        <v>0</v>
      </c>
      <c r="CT192" s="1109">
        <f t="shared" si="222"/>
        <v>0</v>
      </c>
      <c r="CU192" s="1101">
        <f t="shared" si="223"/>
        <v>0</v>
      </c>
      <c r="CV192" s="1108">
        <f t="shared" si="224"/>
        <v>0</v>
      </c>
      <c r="CW192" s="1097">
        <f t="shared" si="225"/>
        <v>0</v>
      </c>
      <c r="CX192" s="1097">
        <f t="shared" si="226"/>
        <v>0</v>
      </c>
      <c r="CY192" s="1110">
        <f t="shared" si="227"/>
        <v>0</v>
      </c>
      <c r="CZ192" s="437"/>
      <c r="DA192" s="438"/>
      <c r="DB192" s="439" t="s">
        <v>569</v>
      </c>
      <c r="DC192" s="439"/>
      <c r="DD192" s="443"/>
      <c r="DE192" s="411"/>
      <c r="DF192" s="411"/>
      <c r="DG192" s="1116">
        <f t="shared" si="228"/>
        <v>0</v>
      </c>
      <c r="DH192" s="1116">
        <f t="shared" si="229"/>
        <v>0</v>
      </c>
      <c r="DI192" s="1116">
        <f t="shared" si="230"/>
        <v>0</v>
      </c>
      <c r="DJ192" s="442">
        <f t="shared" si="231"/>
        <v>0</v>
      </c>
      <c r="DK192" s="1109">
        <f t="shared" si="232"/>
        <v>0</v>
      </c>
      <c r="DL192" s="1101">
        <f t="shared" si="233"/>
        <v>0</v>
      </c>
      <c r="DM192" s="1097">
        <f t="shared" si="234"/>
        <v>0</v>
      </c>
      <c r="DN192" s="1097">
        <f t="shared" si="235"/>
        <v>0</v>
      </c>
      <c r="DO192" s="1097">
        <f t="shared" si="236"/>
        <v>0</v>
      </c>
      <c r="DP192" s="1110">
        <f t="shared" si="237"/>
        <v>0</v>
      </c>
      <c r="DQ192" s="1113" t="s">
        <v>636</v>
      </c>
      <c r="DR192" s="1120">
        <f t="shared" si="238"/>
        <v>0.3</v>
      </c>
      <c r="DS192" s="1124"/>
      <c r="DT192" s="1093" t="s">
        <v>564</v>
      </c>
      <c r="DU192" s="1093"/>
      <c r="DV192" s="1098">
        <f>IF($P192="","N/A",IF(P192=-1,INDEX('卡片raw data'!AN:AN,MATCH(D192,'卡片raw data'!$F:$F,)),0)+IF(AND(L192&lt;&gt;"party卡",P192&lt;=2,P192&gt;=0),INDEX('卡片raw data'!AP:AP,MATCH(D192,'卡片raw data'!$F:$F,)),0)+IF(OR(AND(L192="party卡",P192&lt;=1),AND(P192&lt;=4,L192&lt;&gt;"party卡",P192&gt;=3)),INDEX('卡片raw data'!AQ:AQ,MATCH(D192,'卡片raw data'!$F:$F,)),0)+IF(OR(P192=5,AND(L192="party卡",P192&gt;=2)),INDEX('卡片raw data'!AR:AR,MATCH(D192,'卡片raw data'!$F:$F,)),0))</f>
        <v>0.24</v>
      </c>
      <c r="DW192" s="1098">
        <f t="shared" si="239"/>
        <v>0.3</v>
      </c>
      <c r="DX192" s="1098">
        <f t="shared" si="240"/>
        <v>0.3</v>
      </c>
      <c r="DY192" s="1125">
        <f t="shared" si="241"/>
        <v>233.28518237232001</v>
      </c>
      <c r="DZ192" s="1125">
        <f t="shared" si="242"/>
        <v>201.7916827520568</v>
      </c>
      <c r="EA192" s="1098">
        <f t="shared" si="243"/>
        <v>0</v>
      </c>
      <c r="EB192" s="1121">
        <f t="shared" si="244"/>
        <v>0</v>
      </c>
      <c r="EC192" s="1101">
        <f t="shared" si="245"/>
        <v>0</v>
      </c>
      <c r="ED192" s="1097">
        <f t="shared" si="246"/>
        <v>0</v>
      </c>
      <c r="EE192" s="1110">
        <f t="shared" si="247"/>
        <v>26646.715098534671</v>
      </c>
      <c r="EF192" s="1092" t="s">
        <v>711</v>
      </c>
      <c r="EG192" s="1120">
        <f t="shared" si="248"/>
        <v>0.3</v>
      </c>
      <c r="EH192" s="1124"/>
      <c r="EI192" s="1093"/>
      <c r="EJ192" s="1093"/>
      <c r="EK192" s="1097">
        <f>IF($P192="","N/A",IF(P192=-1,INDEX('卡片raw data'!AS:AS,MATCH(D192,'卡片raw data'!$F:$F,)),0)+IF(AND(L192&lt;&gt;"party卡",P192&lt;=2,P192&gt;=0),INDEX('卡片raw data'!AU:AU,MATCH(D192,'卡片raw data'!$F:$F,)),0)+IF(OR(AND(L192="party卡",P192&lt;=1),AND(P192&lt;=4,L192&lt;&gt;"party卡",P192&gt;=3)),INDEX('卡片raw data'!AV:AV,MATCH(D192,'卡片raw data'!$F:$F,)),0)+IF(OR(P192=5,AND(L192="party卡",P192&gt;=2)),INDEX('卡片raw data'!AW:AW,MATCH(D192,'卡片raw data'!$F:$F,)),0))</f>
        <v>0</v>
      </c>
      <c r="EL192" s="1098">
        <f t="shared" si="249"/>
        <v>0.3</v>
      </c>
      <c r="EM192" s="1098">
        <f t="shared" si="250"/>
        <v>0.3</v>
      </c>
      <c r="EN192" s="1125">
        <f t="shared" si="251"/>
        <v>0</v>
      </c>
      <c r="EO192" s="1125">
        <f t="shared" si="252"/>
        <v>0</v>
      </c>
      <c r="EP192" s="1098">
        <f t="shared" si="253"/>
        <v>0</v>
      </c>
      <c r="EQ192" s="1121">
        <f t="shared" si="254"/>
        <v>0</v>
      </c>
      <c r="ER192" s="1101">
        <f t="shared" si="255"/>
        <v>0</v>
      </c>
      <c r="ES192" s="1097">
        <f t="shared" si="256"/>
        <v>0</v>
      </c>
      <c r="ET192" s="1122">
        <f t="shared" si="257"/>
        <v>0</v>
      </c>
    </row>
    <row r="193" spans="2:150" ht="16.5" customHeight="1">
      <c r="B193" s="1123" t="str">
        <f>INDEX('卡片raw data'!B:B,MATCH($D193,'卡片raw data'!$F:$F,))</f>
        <v>彩虹菜</v>
      </c>
      <c r="C193" s="449" t="s">
        <v>124</v>
      </c>
      <c r="D193" s="408">
        <v>190</v>
      </c>
      <c r="E193" s="1090">
        <v>402072001</v>
      </c>
      <c r="F193" s="1090" t="str">
        <f>INDEX('卡片raw data'!C:C,MATCH($D193,'卡片raw data'!$F:$F,))</f>
        <v>SR</v>
      </c>
      <c r="G193" s="1094" t="s">
        <v>348</v>
      </c>
      <c r="H193" s="411">
        <f>IFERROR(INDEX(绊状态确认!C:C,MATCH($G193,绊状态确认!$B:$B,)),"")</f>
        <v>207</v>
      </c>
      <c r="I193" s="450" t="str">
        <f>IFERROR(INDEX(绊状态确认!D:D,MATCH($G193,绊状态确认!$B:$B,)),"")</f>
        <v>虹</v>
      </c>
      <c r="J193" s="450" t="str">
        <f>IFERROR(INDEX(绊状态确认!E:E,MATCH($G193,绊状态确认!$B:$B,)),"")</f>
        <v>2年级</v>
      </c>
      <c r="K193" s="451" t="str">
        <f>IFERROR(INDEX(绊状态确认!F:F,MATCH($G193,绊状态确认!$B:$B,)),"")</f>
        <v>A·ZU·NA</v>
      </c>
      <c r="L193" s="1094" t="str">
        <f>INDEX('卡片raw data'!E:E,MATCH($D193,'卡片raw data'!$F:$F,))</f>
        <v>活动卡</v>
      </c>
      <c r="M193" s="415">
        <v>43896</v>
      </c>
      <c r="N193" s="416">
        <v>11</v>
      </c>
      <c r="O193" s="1091" t="str">
        <f>INDEX('卡片raw data'!D:D,MATCH($D193,'卡片raw data'!$F:$F,))</f>
        <v>vo</v>
      </c>
      <c r="P193" s="417">
        <v>5</v>
      </c>
      <c r="Q193" s="1095">
        <f t="shared" si="173"/>
        <v>29359.393463960594</v>
      </c>
      <c r="R193" s="1096">
        <f t="shared" si="174"/>
        <v>0.34100000000000003</v>
      </c>
      <c r="S193" s="1097">
        <f t="shared" si="175"/>
        <v>13597.751030989186</v>
      </c>
      <c r="T193" s="1098">
        <f t="shared" si="176"/>
        <v>0.67900000000000005</v>
      </c>
      <c r="U193" s="1099">
        <f t="shared" si="177"/>
        <v>-15.524102254437144</v>
      </c>
      <c r="V193" s="1100">
        <f t="shared" si="178"/>
        <v>28806.779671811135</v>
      </c>
      <c r="W193" s="1101">
        <f t="shared" si="179"/>
        <v>4725.9033053078174</v>
      </c>
      <c r="X193" s="1096">
        <f t="shared" si="180"/>
        <v>5.3999999999999999E-2</v>
      </c>
      <c r="Y193" s="1097">
        <f t="shared" si="181"/>
        <v>752.05465809224097</v>
      </c>
      <c r="Z193" s="1102">
        <f t="shared" si="182"/>
        <v>9.4758977455628557</v>
      </c>
      <c r="AA193" s="1103">
        <f t="shared" si="183"/>
        <v>5477.9579634000584</v>
      </c>
      <c r="AB193" s="1101">
        <f t="shared" si="184"/>
        <v>5042.1829035297869</v>
      </c>
      <c r="AC193" s="1104">
        <f t="shared" si="185"/>
        <v>5.8000000000000003E-2</v>
      </c>
      <c r="AD193" s="1105">
        <f t="shared" si="186"/>
        <v>3.0125520833333293E-3</v>
      </c>
      <c r="AE193" s="1128">
        <f t="shared" si="187"/>
        <v>-6.6815001036638879</v>
      </c>
      <c r="AF193" s="1130">
        <f t="shared" si="188"/>
        <v>0</v>
      </c>
      <c r="AG193" s="420">
        <f t="shared" si="189"/>
        <v>0</v>
      </c>
      <c r="AH193" s="420">
        <f t="shared" si="190"/>
        <v>0</v>
      </c>
      <c r="AI193" s="1097">
        <f t="shared" si="191"/>
        <v>0</v>
      </c>
      <c r="AJ193" s="420">
        <f t="shared" si="192"/>
        <v>0</v>
      </c>
      <c r="AK193" s="518">
        <f t="shared" si="193"/>
        <v>0</v>
      </c>
      <c r="AL193" s="1106">
        <f>IF($P193="","N/A",(IF($P193=-1,INDEX('卡片raw data'!S:S,MATCH($D193,'卡片raw data'!$F:$F,)),0)+IF($P193=0,INDEX('卡片raw data'!V:V,MATCH($D193,'卡片raw data'!$F:$F,)),0)+IF($P193=1,INDEX('卡片raw data'!Y:Y,MATCH($D193,'卡片raw data'!$F:$F,)),0)+IF($P193=2,INDEX('卡片raw data'!AB:AB,MATCH($D193,'卡片raw data'!$F:$F,)),0)+IF($P193=3,INDEX('卡片raw data'!AE:AE,MATCH($D193,'卡片raw data'!$F:$F,)),0)+IF($P193=4,INDEX('卡片raw data'!AH:AH,MATCH($D193,'卡片raw data'!$F:$F,)),0)+IF($P193=5,INDEX('卡片raw data'!AK:AK,MATCH($D193,'卡片raw data'!$F:$F,)),0)+INDEX('卡片raw data'!S:S,MATCH($D193,'卡片raw data'!$F:$F,))*(IF($F193="UR",0.04,0.033))*(IF($F193="UR",INDEX(绊状态确认!$S:$S,MATCH($G193,绊状态确认!$B:$B,))/2-40)+IF($F193="SR",INDEX(绊状态确认!$R:$R,MATCH($G193,绊状态确认!$B:$B,))/4-15))+IF($F193="R",INDEX(绊状态确认!$Q:$Q,MATCH($G193,绊状态确认!$B:$B,))/6-40/6)))*(INDEX(绊状态确认!$H:$H,MATCH($G193,绊状态确认!$B:$B,))+INDEX(绊状态确认!J:J,MATCH($G193,绊状态确认!$B:$B,)))</f>
        <v>6746.8727111999988</v>
      </c>
      <c r="AM193" s="1106">
        <f>IF($P193="","N/A",(IF($P193=-1,INDEX('卡片raw data'!T:T,MATCH($D193,'卡片raw data'!$F:$F,)),0)+IF($P193=0,INDEX('卡片raw data'!W:W,MATCH($D193,'卡片raw data'!$F:$F,)),0)+IF($P193=1,INDEX('卡片raw data'!Z:Z,MATCH($D193,'卡片raw data'!$F:$F,)),0)+IF($P193=2,INDEX('卡片raw data'!AC:AC,MATCH($D193,'卡片raw data'!$F:$F,)),0)+IF($P193=3,INDEX('卡片raw data'!AF:AF,MATCH($D193,'卡片raw data'!$F:$F,)),0)+IF($P193=4,INDEX('卡片raw data'!AI:AI,MATCH($D193,'卡片raw data'!$F:$F,)),0)+IF($P193=5,INDEX('卡片raw data'!AL:AL,MATCH($D193,'卡片raw data'!$F:$F,)),0)+INDEX('卡片raw data'!T:T,MATCH($D193,'卡片raw data'!$F:$F,))*(IF($F193="UR",0.04,0.033))*(IF($F193="UR",INDEX(绊状态确认!$S:$S,MATCH($G193,绊状态确认!$B:$B,))/2-40)+IF($F193="SR",INDEX(绊状态确认!$R:$R,MATCH($G193,绊状态确认!$B:$B,))/4-15))+IF($F193="R",INDEX(绊状态确认!$Q:$Q,MATCH($G193,绊状态确认!$B:$B,))/6-40/6)))*(INDEX(绊状态确认!$H:$H,MATCH($G193,绊状态确认!$B:$B,))+INDEX(绊状态确认!K:K,MATCH($G193,绊状态确认!$B:$B,)))</f>
        <v>4498.2939407999993</v>
      </c>
      <c r="AN193" s="1106">
        <f>IF($P193="","N/A",(IF($P193=-1,INDEX('卡片raw data'!U:U,MATCH($D193,'卡片raw data'!$F:$F,)),0)+IF($P193=0,INDEX('卡片raw data'!X:X,MATCH($D193,'卡片raw data'!$F:$F,)),0)+IF($P193=1,INDEX('卡片raw data'!AA:AA,MATCH($D193,'卡片raw data'!$F:$F,)),0)+IF($P193=2,INDEX('卡片raw data'!AD:AD,MATCH($D193,'卡片raw data'!$F:$F,)),0)+IF($P193=3,INDEX('卡片raw data'!AG:AG,MATCH($D193,'卡片raw data'!$F:$F,)),0)+IF($P193=4,INDEX('卡片raw data'!AJ:AJ,MATCH($D193,'卡片raw data'!$F:$F,)),0)+IF($P193=5,INDEX('卡片raw data'!AM:AM,MATCH($D193,'卡片raw data'!$F:$F,)),0)+INDEX('卡片raw data'!U:U,MATCH($D193,'卡片raw data'!$F:$F,))*(IF($F193="UR",0.04,0.033))*(IF($F193="UR",INDEX(绊状态确认!$S:$S,MATCH($G193,绊状态确认!$B:$B,))/2-40)+IF($F193="SR",INDEX(绊状态确认!$R:$R,MATCH($G193,绊状态确认!$B:$B,))/4-15))+IF($F193="R",INDEX(绊状态确认!$Q:$Q,MATCH($G193,绊状态确认!$B:$B,))/6-40/6)))*(INDEX(绊状态确认!$H:$H,MATCH($G193,绊状态确认!$B:$B,))+INDEX(绊状态确认!L:L,MATCH($G193,绊状态确认!$B:$B,)))</f>
        <v>4820.3633375999989</v>
      </c>
      <c r="AO193" s="1107">
        <f t="shared" si="194"/>
        <v>1</v>
      </c>
      <c r="AP193" s="1131">
        <f>1+(INDEX(绊状态确认!$T:$T,MATCH($G193,绊状态确认!$B:$B,))+0.2)*$AO193</f>
        <v>1.3</v>
      </c>
      <c r="AQ193" s="1108">
        <f t="shared" si="195"/>
        <v>20960.540866900003</v>
      </c>
      <c r="AR193" s="1097">
        <f>(AM193*(1+$EX$9)+$EX$35)*(1+(INDEX(绊状态确认!$T:$T,MATCH($G193,绊状态确认!$B:$B,))+0.2)*AO193)*IF(J193=$FF$17,1+$FE$17,1)*IF(I193=$FF$14,1+$FE$14,1)</f>
        <v>8844.1712291919994</v>
      </c>
      <c r="AS193" s="1097">
        <f>(AN193*(1+$EX$10)+$EX$36)*(1+(INDEX(绊状态确认!$T:$T,MATCH($G193,绊状态确认!$B:$B,))+0.2)*AO193)*IF(J193=$FF$17,1+$FE$17,1)*IF(I193=$FF$14,1+$FE$14,1)</f>
        <v>11262.443189711999</v>
      </c>
      <c r="AT193" s="1093">
        <f>IF(AND(INDEX('卡片raw data'!AK:AK,MATCH($D193,'卡片raw data'!$F:$F,))&lt;INDEX('卡片raw data'!AM:AM,MATCH($D193,'卡片raw data'!$F:$F,)),INDEX('卡片raw data'!AL:AL,MATCH($D193,'卡片raw data'!$F:$F,))&lt;INDEX('卡片raw data'!AM:AM,MATCH($D193,'卡片raw data'!$F:$F,))),1,0)</f>
        <v>0</v>
      </c>
      <c r="AU193" s="1098">
        <f>MIN(AT193*0.15+AS193*0.00003+INDEX(绊状态确认!M:M,MATCH($G193,绊状态确认!$B:$B,)),1)</f>
        <v>0.36787329569136001</v>
      </c>
      <c r="AV193" s="1109">
        <f>(INDEX(绊状态确认!$N:$N,MATCH($G193,绊状态确认!$B:$B,))+1.5)*$EW$21</f>
        <v>2.6599999999999997</v>
      </c>
      <c r="AW193" s="1101">
        <f t="shared" si="196"/>
        <v>17533.407632686431</v>
      </c>
      <c r="AX193" s="1097">
        <f t="shared" si="197"/>
        <v>752.05465809224086</v>
      </c>
      <c r="AY193" s="1110">
        <f t="shared" si="198"/>
        <v>18285.462290778672</v>
      </c>
      <c r="AZ193" s="429">
        <f t="shared" si="199"/>
        <v>15756.401786839997</v>
      </c>
      <c r="BA193" s="431">
        <f t="shared" si="200"/>
        <v>18907.682144207996</v>
      </c>
      <c r="BB193" s="1097">
        <f>(AM193*(1+$FB$9)+$FB$35)*(1+(INDEX(绊状态确认!$T:$T,MATCH($G193,绊状态确认!$B:$B,))+0.2)*AO193)*IF(J193=$FF$17,1+$FE$17,1)*IF(I193=$FF$14,1+$FE$14,1)*(1+$FE$15)</f>
        <v>8844.1712291919994</v>
      </c>
      <c r="BC193" s="1097">
        <f>(AN193*(1+$FB$10)+$FB$36)*(1+(INDEX(绊状态确认!$T:$T,MATCH($G193,绊状态确认!$B:$B,))+0.2)*AO193)*IF(J193=$FF$17,1+$FE$17,1)*IF(I193=$FF$14,1+$FE$14,1)*(1+$FE$15)</f>
        <v>11262.443189711999</v>
      </c>
      <c r="BD193" s="1104">
        <f>MIN(AT193*0.15+BC193*0.00003+INDEX(绊状态确认!M:M,MATCH($G193,绊状态确认!$B:$B,)),1)</f>
        <v>0.36787329569136001</v>
      </c>
      <c r="BE193" s="432">
        <f>(INDEX(绊状态确认!$N:$N,MATCH($G193,绊状态确认!$B:$B,))+1.5)</f>
        <v>1.9</v>
      </c>
      <c r="BF193" s="1139">
        <f t="array" ref="BF193">SUMPRODUCT(IF(AZ193*AP193*$FI$16:$FI$23*$FA$22&gt;=$FI$24,$FI$24,AZ193*AP193*$FI$16:$FI$23*$FA$22),$FJ$16:$FJ$23)</f>
        <v>31339.483154024754</v>
      </c>
      <c r="BG193" s="1125">
        <f t="array" ref="BG193">SUMPRODUCT(IF(BE193*AZ193*AP193*$FI$16:$FI$23*$FA$22&gt;=$FI$24,$FI$24,BE193*AZ193*AP193*$FI$16:$FI$23*$FA$22),$FJ$16:$FJ$23)</f>
        <v>56302.199303200679</v>
      </c>
      <c r="BH193" s="1110">
        <f t="shared" si="201"/>
        <v>13507.533271076682</v>
      </c>
      <c r="BI193" s="1111">
        <f>IF(O193="vo",$EW$26/$EW$24*0.05,0)+IF(O193="sk",-$EW$26/$EW$24*(0.05-INDEX(绊状态确认!W:W,MATCH($G193,绊状态确认!$B:$B,)))+0.05*$EW$28,0)+IF(O193="sp",0.05*$EW$32*$EW$30*(1-$EW$33)-(0.05-INDEX(绊状态确认!V:V,MATCH($G193,绊状态确认!$B:$B,)))*$EW$28,0)+IF(O193="gd",-(0.05-INDEX(绊状态确认!X:X,MATCH($G193,绊状态确认!$B:$B,)))*$EW$32*$EW$30*(1-$EW$33),0)</f>
        <v>7726.3029277443748</v>
      </c>
      <c r="BJ193" s="1097">
        <f>IF(O193="vo",0.05*(1-$FI$26)*$FA$24,0)+IF(O193="sk",-(0.05-INDEX(绊状态确认!W:W,MATCH($G193,绊状态确认!$B:$B,)))*(1-$FI$26)*$FA$24+0.05*$FA$26,0)+IF(O193="sp",0.05*$FA$32*$FA$27*(1-$FA$33)/$FA$30+0.05*$FA$29/$FA$69*$FA$27*(1-$FA$33)-(0.05-INDEX(绊状态确认!V:V,MATCH($G193,绊状态确认!$B:$B,)))*$FA$26,0)+IF(O193="gd",-(0.05-INDEX(绊状态确认!X:X,MATCH($G193,绊状态确认!$B:$B,)))*$FA$32*$FA$27*(1-$FA$33)/$FA$30-(0.05-INDEX(绊状态确认!X:X,MATCH($G193,绊状态确认!$B:$B,)))*$FA$29/$FA$69*$FA$27*(1-$FA$33),0)</f>
        <v>393.93433687500004</v>
      </c>
      <c r="BK193" s="1110">
        <f>IF(O193="vo",$EW$26/$EW$24*0.05+$EW$26*(-HP($EW$62,$EW$65,$EW$64)+HP($EW$62,$EW$65,(1.05-INDEX(绊状态确认!U:U,MATCH($G193,绊状态确认!$B:$B,)))*$EW$64)),0)+IF(O193="sk",-$EW$26/$EW$24*(0.05-INDEX(绊状态确认!W:W,MATCH($G193,绊状态确认!$B:$B,)))+0.05*$EW$29,0)+IF(O193="sp",0.05*$EW$32*$EW$30*(1-$EW$33)-(0.05-INDEX(绊状态确认!V:V,MATCH($G193,绊状态确认!$B:$B,)))*$EW$29,0)+IF(O193="gd",-(0.05-INDEX(绊状态确认!X:X,MATCH($G193,绊状态确认!$B:$B,)))*$EW$32*$EW$30*(1-$EW$33)+$EW$26*(-HP($EW$62,$EW$65,$EW$64)+HP($EW$62,$EW$65,0.95*$EW$64)),0)</f>
        <v>6421.6344775026746</v>
      </c>
      <c r="BL193" s="1111">
        <f t="shared" si="202"/>
        <v>-1083.3333333333333</v>
      </c>
      <c r="BM193" s="1110">
        <f t="shared" si="203"/>
        <v>-830.55555555555543</v>
      </c>
      <c r="BN193" s="1113">
        <f t="shared" si="204"/>
        <v>3</v>
      </c>
      <c r="BO193" s="1097">
        <f t="shared" si="205"/>
        <v>4507.7214871259994</v>
      </c>
      <c r="BP193" s="1100">
        <f t="shared" si="206"/>
        <v>221.34103209030098</v>
      </c>
      <c r="BQ193" s="1113" t="s">
        <v>145</v>
      </c>
      <c r="BR193" s="1124" t="s">
        <v>625</v>
      </c>
      <c r="BS193" s="1098">
        <f>IF($P193="","N/A",IF($P193=-1,INDEX('卡片raw data'!AX:AX,MATCH($D193,'卡片raw data'!$F:$F,)),0)+IF($L193="party卡",IF($P193=5,INDEX('卡片raw data'!BD:BD,MATCH($D193,'卡片raw data'!$F:$F,)),IF($P193&gt;=3,INDEX('卡片raw data'!BC:BC,MATCH($D193,'卡片raw data'!$F:$F,)),INDEX('卡片raw data'!BB:BB,MATCH($D193,'卡片raw data'!$F:$F,)))),IF(OR(AND($F193="UR",$P193=0),AND($F193="SR",$P193&gt;=0,$P193&lt;=2),AND($F193="R",$P193&gt;=0,$P193&lt;4)),INDEX('卡片raw data'!AZ:AZ,MATCH($D193,'卡片raw data'!$F:$F,)),0)+IF(OR(AND($F193="UR",$P193&gt;=1,$P193&lt;=4),AND($F193="SR",$P193&lt;=4,$P193&gt;=3),AND($F193="R",$P193=4)),INDEX('卡片raw data'!BA:BA,MATCH($D193,'卡片raw data'!$F:$F,)),0)+IF($P193=5,INDEX('卡片raw data'!BB:BB,MATCH($D193,'卡片raw data'!$F:$F,)),0)))</f>
        <v>7.0000000000000007E-2</v>
      </c>
      <c r="BT193" s="1101">
        <f t="shared" si="207"/>
        <v>316.27959822196954</v>
      </c>
      <c r="BU193" s="1097">
        <f t="shared" si="208"/>
        <v>30.283792462354302</v>
      </c>
      <c r="BV193" s="1097">
        <f t="shared" si="209"/>
        <v>0</v>
      </c>
      <c r="BW193" s="1112">
        <f t="shared" si="210"/>
        <v>0</v>
      </c>
      <c r="BX193" s="1100">
        <f t="shared" si="211"/>
        <v>316.27959822196954</v>
      </c>
      <c r="BY193" s="1110">
        <f t="shared" si="212"/>
        <v>0</v>
      </c>
      <c r="BZ193" s="1107" t="s">
        <v>569</v>
      </c>
      <c r="CA193" s="1124"/>
      <c r="CB193" s="1098">
        <f>IF($P193="","N/A",IF($P193=-1,INDEX('卡片raw data'!BE:BE,MATCH($D193,'卡片raw data'!$F:$F,)),0)+IF($L193="party卡",IF($P193=5,INDEX('卡片raw data'!BK:BK,MATCH($D193,'卡片raw data'!$F:$F,)),IF($P193&gt;=3,INDEX('卡片raw data'!BJ:BJ,MATCH($D193,'卡片raw data'!$F:$F,)),INDEX('卡片raw data'!BI:BI,MATCH($D193,'卡片raw data'!$F:$F,)))),IF(OR(AND($F193="UR",$P193=0),AND($F193="SR",$P193&gt;=0,$P193&lt;=2),AND($F193="R",$P193&gt;=0,$P193&lt;4)),INDEX('卡片raw data'!BG:BG,MATCH($D193,'卡片raw data'!$F:$F,)),0)+IF(OR(AND($F193="UR",$P193&gt;=1,$P193&lt;=4),AND($F193="SR",$P193&lt;=4,$P193&gt;=3),AND($F193="R",$P193=4)),INDEX('卡片raw data'!BH:BH,MATCH($D193,'卡片raw data'!$F:$F,)),0)+IF($P193=5,INDEX('卡片raw data'!BI:BI,MATCH($D193,'卡片raw data'!$F:$F,)),0)))</f>
        <v>0</v>
      </c>
      <c r="CC193" s="1101">
        <f t="shared" si="213"/>
        <v>0</v>
      </c>
      <c r="CD193" s="1097">
        <f>IF(BZ193="ap",CB193*(1-$FI$26)*$FB$5/$FB$11*(+IF(CA193="全员",$FA$24,0)+IF(CA193="同作战",$FA$24,0)+IF(CA193="仲间",$FA$24*2/3,0)+IF(CA193="同属性",$FA$24*$FA$37/3,0)+IF(CA193="同年级",$FA$24*$FA$40/3,0)+IF(CA193="同学校",$FA$24*$FA$43/3,0)+IF(CA193="同小队",$FA$24*$FA$46/3,0)+IF(CA193="同type",$FA$24*INDEX($FB$49:$FB$52,MATCH(X193,$FA$49:$FA$52,))/3,0)+IF(CA193="自身",#REF!/3,0)),0)+IF(BZ193="te",CB193*(1-$FI$27)*($FA$20-1)*$FB$7/$FB$13*(+IF(CA193="全员",$FA$19*$FA$24/(1+($FA$20-1)*$FA$19),0)+IF(CA193="同作战",$FA$19*$FA$24/(1+($FA$20-1)*$FA$19),0)+IF(CA193="仲间",$FA$19*$FA$24*2/3/(1+($FA$20-1)*$FA$19),0)+IF(CA193="同属性",$FA$19*$FA$24*$FA$37/3/(1+($FA$20-1)*$FA$19),0)+IF(CA193="同年级",$FA$19*$FA$24*$FA$40/3/(1+($FA$20-1)*$FA$19),0)+IF(CA193="同学校",$FA$19*$FA$24*$FA$43/3/(1+($FA$20-1)*$FA$19),0)+IF(CA193="同小队",$FA$19*$FA$24*$FA$46/3/(1+($FA$20-1)*$FA$19),0)+IF(CA193="同type",$FA$19*$FA$24*INDEX($FB$49:$FB$52,MATCH(X193,$FA$49:$FA$52,))/3/(1+($FA$20-1)*$FA$19),0)+IF(CA193="自身",$FA$19*#REF!/3/(1+(BH193-1)*$BD193),0)),0)</f>
        <v>0</v>
      </c>
      <c r="CE193" s="1097">
        <f t="shared" si="214"/>
        <v>0</v>
      </c>
      <c r="CF193" s="1112">
        <f t="shared" si="215"/>
        <v>0</v>
      </c>
      <c r="CG193" s="1100">
        <f t="shared" si="216"/>
        <v>0</v>
      </c>
      <c r="CH193" s="1110">
        <f t="shared" si="217"/>
        <v>0</v>
      </c>
      <c r="CI193" s="1113" t="s">
        <v>162</v>
      </c>
      <c r="CJ193" s="1114">
        <v>0.3</v>
      </c>
      <c r="CK193" s="1115" t="s">
        <v>582</v>
      </c>
      <c r="CL193" s="1115" t="s">
        <v>161</v>
      </c>
      <c r="CM193" s="1119">
        <v>0.08</v>
      </c>
      <c r="CN193" s="1115">
        <v>10</v>
      </c>
      <c r="CO193" s="1092"/>
      <c r="CP193" s="1118">
        <f t="shared" si="218"/>
        <v>5.1428571428571426E-3</v>
      </c>
      <c r="CQ193" s="1118">
        <f t="shared" si="219"/>
        <v>8.0000000000000002E-3</v>
      </c>
      <c r="CR193" s="1118">
        <f t="shared" si="220"/>
        <v>5.1428571428571426E-3</v>
      </c>
      <c r="CS193" s="1118">
        <f t="shared" si="221"/>
        <v>6.8333333333333319E-3</v>
      </c>
      <c r="CT193" s="1109">
        <f t="shared" si="222"/>
        <v>0</v>
      </c>
      <c r="CU193" s="1101">
        <f t="shared" si="223"/>
        <v>218.18181818181816</v>
      </c>
      <c r="CV193" s="1108">
        <f t="shared" si="224"/>
        <v>181.81818181818181</v>
      </c>
      <c r="CW193" s="1097">
        <f t="shared" si="225"/>
        <v>218.18181818181816</v>
      </c>
      <c r="CX193" s="1097">
        <f t="shared" si="226"/>
        <v>218.18181818181816</v>
      </c>
      <c r="CY193" s="1110">
        <f t="shared" si="227"/>
        <v>218.18181818181816</v>
      </c>
      <c r="CZ193" s="437"/>
      <c r="DA193" s="438"/>
      <c r="DB193" s="439" t="s">
        <v>569</v>
      </c>
      <c r="DC193" s="439"/>
      <c r="DD193" s="443"/>
      <c r="DE193" s="411"/>
      <c r="DF193" s="411"/>
      <c r="DG193" s="1116">
        <f t="shared" si="228"/>
        <v>0</v>
      </c>
      <c r="DH193" s="1116">
        <f t="shared" si="229"/>
        <v>0</v>
      </c>
      <c r="DI193" s="1116">
        <f t="shared" si="230"/>
        <v>0</v>
      </c>
      <c r="DJ193" s="442">
        <f t="shared" si="231"/>
        <v>0</v>
      </c>
      <c r="DK193" s="1109">
        <f t="shared" si="232"/>
        <v>0</v>
      </c>
      <c r="DL193" s="1101">
        <f t="shared" si="233"/>
        <v>0</v>
      </c>
      <c r="DM193" s="1097">
        <f t="shared" si="234"/>
        <v>0</v>
      </c>
      <c r="DN193" s="1097">
        <f t="shared" si="235"/>
        <v>0</v>
      </c>
      <c r="DO193" s="1097">
        <f t="shared" si="236"/>
        <v>0</v>
      </c>
      <c r="DP193" s="1110">
        <f t="shared" si="237"/>
        <v>0</v>
      </c>
      <c r="DQ193" s="1113" t="s">
        <v>565</v>
      </c>
      <c r="DR193" s="1120">
        <f t="shared" si="238"/>
        <v>0.3</v>
      </c>
      <c r="DS193" s="1124">
        <v>5</v>
      </c>
      <c r="DT193" s="1093" t="s">
        <v>169</v>
      </c>
      <c r="DU193" s="1093" t="s">
        <v>560</v>
      </c>
      <c r="DV193" s="1098">
        <f>IF($P193="","N/A",IF(P193=-1,INDEX('卡片raw data'!AN:AN,MATCH(D193,'卡片raw data'!$F:$F,)),0)+IF(AND(L193&lt;&gt;"party卡",P193&lt;=2,P193&gt;=0),INDEX('卡片raw data'!AP:AP,MATCH(D193,'卡片raw data'!$F:$F,)),0)+IF(OR(AND(L193="party卡",P193&lt;=1),AND(P193&lt;=4,L193&lt;&gt;"party卡",P193&gt;=3)),INDEX('卡片raw data'!AQ:AQ,MATCH(D193,'卡片raw data'!$F:$F,)),0)+IF(OR(P193=5,AND(L193="party卡",P193&gt;=2)),INDEX('卡片raw data'!AR:AR,MATCH(D193,'卡片raw data'!$F:$F,)),0))</f>
        <v>3.9E-2</v>
      </c>
      <c r="DW193" s="1098">
        <f t="shared" si="239"/>
        <v>0.3</v>
      </c>
      <c r="DX193" s="1098">
        <f t="shared" si="240"/>
        <v>0.3</v>
      </c>
      <c r="DY193" s="1098">
        <f t="shared" si="241"/>
        <v>1.0833333333333334E-2</v>
      </c>
      <c r="DZ193" s="1098">
        <f t="shared" si="242"/>
        <v>9.3708333333333334E-3</v>
      </c>
      <c r="EA193" s="1098">
        <f t="shared" si="243"/>
        <v>0</v>
      </c>
      <c r="EB193" s="1121">
        <f t="shared" si="244"/>
        <v>2.2696501953124999</v>
      </c>
      <c r="EC193" s="1101">
        <f t="shared" si="245"/>
        <v>140.83333333333331</v>
      </c>
      <c r="ED193" s="1097">
        <f t="shared" si="246"/>
        <v>93.395972222222213</v>
      </c>
      <c r="EE193" s="1110">
        <f t="shared" si="247"/>
        <v>140.83333333333331</v>
      </c>
      <c r="EF193" s="1092" t="s">
        <v>711</v>
      </c>
      <c r="EG193" s="1120">
        <f t="shared" si="248"/>
        <v>0.3</v>
      </c>
      <c r="EH193" s="1124"/>
      <c r="EI193" s="1093"/>
      <c r="EJ193" s="1093"/>
      <c r="EK193" s="1097">
        <f>IF($P193="","N/A",IF(P193=-1,INDEX('卡片raw data'!AS:AS,MATCH(D193,'卡片raw data'!$F:$F,)),0)+IF(AND(L193&lt;&gt;"party卡",P193&lt;=2,P193&gt;=0),INDEX('卡片raw data'!AU:AU,MATCH(D193,'卡片raw data'!$F:$F,)),0)+IF(OR(AND(L193="party卡",P193&lt;=1),AND(P193&lt;=4,L193&lt;&gt;"party卡",P193&gt;=3)),INDEX('卡片raw data'!AV:AV,MATCH(D193,'卡片raw data'!$F:$F,)),0)+IF(OR(P193=5,AND(L193="party卡",P193&gt;=2)),INDEX('卡片raw data'!AW:AW,MATCH(D193,'卡片raw data'!$F:$F,)),0))</f>
        <v>0</v>
      </c>
      <c r="EL193" s="1098">
        <f t="shared" si="249"/>
        <v>0.3</v>
      </c>
      <c r="EM193" s="1098">
        <f t="shared" si="250"/>
        <v>0.3</v>
      </c>
      <c r="EN193" s="1125">
        <f t="shared" si="251"/>
        <v>0</v>
      </c>
      <c r="EO193" s="1125">
        <f t="shared" si="252"/>
        <v>0</v>
      </c>
      <c r="EP193" s="1098">
        <f t="shared" si="253"/>
        <v>0</v>
      </c>
      <c r="EQ193" s="1121">
        <f t="shared" si="254"/>
        <v>0</v>
      </c>
      <c r="ER193" s="1101">
        <f t="shared" si="255"/>
        <v>0</v>
      </c>
      <c r="ES193" s="1097">
        <f t="shared" si="256"/>
        <v>0</v>
      </c>
      <c r="ET193" s="1122">
        <f t="shared" si="257"/>
        <v>0</v>
      </c>
    </row>
    <row r="194" spans="2:150" ht="16.5" customHeight="1">
      <c r="B194" s="1123" t="str">
        <f>INDEX('卡片raw data'!B:B,MATCH($D194,'卡片raw data'!$F:$F,))</f>
        <v>蝴蝶林</v>
      </c>
      <c r="C194" s="449" t="s">
        <v>22</v>
      </c>
      <c r="D194" s="408">
        <v>191</v>
      </c>
      <c r="E194" s="1090">
        <v>302043001</v>
      </c>
      <c r="F194" s="1090" t="str">
        <f>INDEX('卡片raw data'!C:C,MATCH($D194,'卡片raw data'!$F:$F,))</f>
        <v>UR</v>
      </c>
      <c r="G194" s="1094" t="s">
        <v>46</v>
      </c>
      <c r="H194" s="411">
        <f>IFERROR(INDEX(绊状态确认!C:C,MATCH($G194,绊状态确认!$B:$B,)),"")</f>
        <v>204</v>
      </c>
      <c r="I194" s="450" t="str">
        <f>IFERROR(INDEX(绊状态确认!D:D,MATCH($G194,绊状态确认!$B:$B,)),"")</f>
        <v>虹</v>
      </c>
      <c r="J194" s="450" t="str">
        <f>IFERROR(INDEX(绊状态确认!E:E,MATCH($G194,绊状态确认!$B:$B,)),"")</f>
        <v>3年级</v>
      </c>
      <c r="K194" s="451" t="str">
        <f>IFERROR(INDEX(绊状态确认!F:F,MATCH($G194,绊状态确认!$B:$B,)),"")</f>
        <v>Diver Diva</v>
      </c>
      <c r="L194" s="1094" t="str">
        <f>INDEX('卡片raw data'!E:E,MATCH($D194,'卡片raw data'!$F:$F,))</f>
        <v>卡池卡</v>
      </c>
      <c r="M194" s="415">
        <v>43906</v>
      </c>
      <c r="N194" s="416">
        <v>11.5</v>
      </c>
      <c r="O194" s="1091" t="str">
        <f>INDEX('卡片raw data'!D:D,MATCH($D194,'卡片raw data'!$F:$F,))</f>
        <v>vo</v>
      </c>
      <c r="P194" s="417">
        <v>5</v>
      </c>
      <c r="Q194" s="1095">
        <f t="shared" si="173"/>
        <v>53901.978197492739</v>
      </c>
      <c r="R194" s="1096">
        <f t="shared" si="174"/>
        <v>0.626</v>
      </c>
      <c r="S194" s="1097">
        <f t="shared" si="175"/>
        <v>21175.562907110994</v>
      </c>
      <c r="T194" s="1098">
        <f t="shared" si="176"/>
        <v>1.0580000000000001</v>
      </c>
      <c r="U194" s="1099">
        <f t="shared" si="177"/>
        <v>6.9318788300000023</v>
      </c>
      <c r="V194" s="1100">
        <f t="shared" si="178"/>
        <v>55165.861597602823</v>
      </c>
      <c r="W194" s="1101">
        <f t="shared" si="179"/>
        <v>7479.0514729356091</v>
      </c>
      <c r="X194" s="1096">
        <f t="shared" si="180"/>
        <v>8.5999999999999993E-2</v>
      </c>
      <c r="Y194" s="1097">
        <f t="shared" si="181"/>
        <v>2568.5518503517833</v>
      </c>
      <c r="Z194" s="1102">
        <f t="shared" si="182"/>
        <v>31.931878830000002</v>
      </c>
      <c r="AA194" s="1103">
        <f t="shared" si="183"/>
        <v>10047.603323287392</v>
      </c>
      <c r="AB194" s="1101">
        <f t="shared" si="184"/>
        <v>7479.0514729356091</v>
      </c>
      <c r="AC194" s="1104">
        <f t="shared" si="185"/>
        <v>8.5999999999999993E-2</v>
      </c>
      <c r="AD194" s="1105">
        <f t="shared" si="186"/>
        <v>0</v>
      </c>
      <c r="AE194" s="1128">
        <f t="shared" si="187"/>
        <v>0</v>
      </c>
      <c r="AF194" s="1130">
        <f t="shared" si="188"/>
        <v>0</v>
      </c>
      <c r="AG194" s="420">
        <f t="shared" si="189"/>
        <v>0</v>
      </c>
      <c r="AH194" s="420">
        <f t="shared" si="190"/>
        <v>0</v>
      </c>
      <c r="AI194" s="1097">
        <f t="shared" si="191"/>
        <v>0</v>
      </c>
      <c r="AJ194" s="420">
        <f t="shared" si="192"/>
        <v>0</v>
      </c>
      <c r="AK194" s="518">
        <f t="shared" si="193"/>
        <v>0</v>
      </c>
      <c r="AL194" s="1106">
        <f>IF($P194="","N/A",(IF($P194=-1,INDEX('卡片raw data'!S:S,MATCH($D194,'卡片raw data'!$F:$F,)),0)+IF($P194=0,INDEX('卡片raw data'!V:V,MATCH($D194,'卡片raw data'!$F:$F,)),0)+IF($P194=1,INDEX('卡片raw data'!Y:Y,MATCH($D194,'卡片raw data'!$F:$F,)),0)+IF($P194=2,INDEX('卡片raw data'!AB:AB,MATCH($D194,'卡片raw data'!$F:$F,)),0)+IF($P194=3,INDEX('卡片raw data'!AE:AE,MATCH($D194,'卡片raw data'!$F:$F,)),0)+IF($P194=4,INDEX('卡片raw data'!AH:AH,MATCH($D194,'卡片raw data'!$F:$F,)),0)+IF($P194=5,INDEX('卡片raw data'!AK:AK,MATCH($D194,'卡片raw data'!$F:$F,)),0)+INDEX('卡片raw data'!S:S,MATCH($D194,'卡片raw data'!$F:$F,))*(IF($F194="UR",0.04,0.033))*(IF($F194="UR",INDEX(绊状态确认!$S:$S,MATCH($G194,绊状态确认!$B:$B,))/2-40)+IF($F194="SR",INDEX(绊状态确认!$R:$R,MATCH($G194,绊状态确认!$B:$B,))/4-15))+IF($F194="R",INDEX(绊状态确认!$Q:$Q,MATCH($G194,绊状态确认!$B:$B,))/6-40/6)))*(INDEX(绊状态确认!$H:$H,MATCH($G194,绊状态确认!$B:$B,))+INDEX(绊状态确认!J:J,MATCH($G194,绊状态确认!$B:$B,)))</f>
        <v>12125.61528</v>
      </c>
      <c r="AM194" s="1106">
        <f>IF($P194="","N/A",(IF($P194=-1,INDEX('卡片raw data'!T:T,MATCH($D194,'卡片raw data'!$F:$F,)),0)+IF($P194=0,INDEX('卡片raw data'!W:W,MATCH($D194,'卡片raw data'!$F:$F,)),0)+IF($P194=1,INDEX('卡片raw data'!Z:Z,MATCH($D194,'卡片raw data'!$F:$F,)),0)+IF($P194=2,INDEX('卡片raw data'!AC:AC,MATCH($D194,'卡片raw data'!$F:$F,)),0)+IF($P194=3,INDEX('卡片raw data'!AF:AF,MATCH($D194,'卡片raw data'!$F:$F,)),0)+IF($P194=4,INDEX('卡片raw data'!AI:AI,MATCH($D194,'卡片raw data'!$F:$F,)),0)+IF($P194=5,INDEX('卡片raw data'!AL:AL,MATCH($D194,'卡片raw data'!$F:$F,)),0)+INDEX('卡片raw data'!T:T,MATCH($D194,'卡片raw data'!$F:$F,))*(IF($F194="UR",0.04,0.033))*(IF($F194="UR",INDEX(绊状态确认!$S:$S,MATCH($G194,绊状态确认!$B:$B,))/2-40)+IF($F194="SR",INDEX(绊状态确认!$R:$R,MATCH($G194,绊状态确认!$B:$B,))/4-15))+IF($F194="R",INDEX(绊状态确认!$Q:$Q,MATCH($G194,绊状态确认!$B:$B,))/6-40/6)))*(INDEX(绊状态确认!$H:$H,MATCH($G194,绊状态确认!$B:$B,))+INDEX(绊状态确认!K:K,MATCH($G194,绊状态确认!$B:$B,)))</f>
        <v>9573.0335999999988</v>
      </c>
      <c r="AN194" s="1106">
        <f>IF($P194="","N/A",(IF($P194=-1,INDEX('卡片raw data'!U:U,MATCH($D194,'卡片raw data'!$F:$F,)),0)+IF($P194=0,INDEX('卡片raw data'!X:X,MATCH($D194,'卡片raw data'!$F:$F,)),0)+IF($P194=1,INDEX('卡片raw data'!AA:AA,MATCH($D194,'卡片raw data'!$F:$F,)),0)+IF($P194=2,INDEX('卡片raw data'!AD:AD,MATCH($D194,'卡片raw data'!$F:$F,)),0)+IF($P194=3,INDEX('卡片raw data'!AG:AG,MATCH($D194,'卡片raw data'!$F:$F,)),0)+IF($P194=4,INDEX('卡片raw data'!AJ:AJ,MATCH($D194,'卡片raw data'!$F:$F,)),0)+IF($P194=5,INDEX('卡片raw data'!AM:AM,MATCH($D194,'卡片raw data'!$F:$F,)),0)+INDEX('卡片raw data'!U:U,MATCH($D194,'卡片raw data'!$F:$F,))*(IF($F194="UR",0.04,0.033))*(IF($F194="UR",INDEX(绊状态确认!$S:$S,MATCH($G194,绊状态确认!$B:$B,))/2-40)+IF($F194="SR",INDEX(绊状态确认!$R:$R,MATCH($G194,绊状态确认!$B:$B,))/4-15))+IF($F194="R",INDEX(绊状态确认!$Q:$Q,MATCH($G194,绊状态确认!$B:$B,))/6-40/6)))*(INDEX(绊状态确认!$H:$H,MATCH($G194,绊状态确认!$B:$B,))+INDEX(绊状态确认!L:L,MATCH($G194,绊状态确认!$B:$B,)))</f>
        <v>10210.326719999997</v>
      </c>
      <c r="AO194" s="1107">
        <f t="shared" si="194"/>
        <v>1</v>
      </c>
      <c r="AP194" s="1131">
        <f>1+(INDEX(绊状态确认!$T:$T,MATCH($G194,绊状态确认!$B:$B,))+0.2)*$AO194</f>
        <v>1.3</v>
      </c>
      <c r="AQ194" s="1108">
        <f t="shared" si="195"/>
        <v>35079.740109999999</v>
      </c>
      <c r="AR194" s="1097">
        <f>(AM194*(1+$EX$9)+$EX$35)*(1+(INDEX(绊状态确认!$T:$T,MATCH($G194,绊状态确认!$B:$B,))+0.2)*AO194)*IF(J194=$FF$17,1+$FE$17,1)*IF(I194=$FF$14,1+$FE$14,1)*(1+$FE$15)</f>
        <v>15771.190864</v>
      </c>
      <c r="AS194" s="1097">
        <f>(AN194*(1+$EX$10)+$EX$36)*(1+(INDEX(绊状态确认!$T:$T,MATCH($G194,绊状态确认!$B:$B,))+0.2)*AO194)*IF(J194=$FF$17,1+$FE$17,1)*IF(I194=$FF$14,1+$FE$14,1)*(1+$FE$15)</f>
        <v>19320.438446399996</v>
      </c>
      <c r="AT194" s="1093">
        <f>IF(AND(INDEX('卡片raw data'!AK:AK,MATCH($D194,'卡片raw data'!$F:$F,))&lt;INDEX('卡片raw data'!AM:AM,MATCH($D194,'卡片raw data'!$F:$F,)),INDEX('卡片raw data'!AL:AL,MATCH($D194,'卡片raw data'!$F:$F,))&lt;INDEX('卡片raw data'!AM:AM,MATCH($D194,'卡片raw data'!$F:$F,))),1,0)</f>
        <v>0</v>
      </c>
      <c r="AU194" s="1098">
        <f>MIN(AT194*0.15+AS194*0.00003+INDEX(绊状态确认!M:M,MATCH($G194,绊状态确认!$B:$B,)),1)</f>
        <v>0.60961315339199995</v>
      </c>
      <c r="AV194" s="1109">
        <f>(INDEX(绊状态确认!$N:$N,MATCH($G194,绊状态确认!$B:$B,))+1.5)*$EW$21</f>
        <v>2.6599999999999997</v>
      </c>
      <c r="AW194" s="1101">
        <f t="shared" si="196"/>
        <v>36654.947842670648</v>
      </c>
      <c r="AX194" s="1097">
        <f t="shared" si="197"/>
        <v>1361.6892267672752</v>
      </c>
      <c r="AY194" s="1110">
        <f t="shared" si="198"/>
        <v>38016.637069437922</v>
      </c>
      <c r="AZ194" s="429">
        <f t="shared" si="199"/>
        <v>26244.949796000001</v>
      </c>
      <c r="BA194" s="431">
        <f t="shared" si="200"/>
        <v>31493.939755200001</v>
      </c>
      <c r="BB194" s="1097">
        <f>(AM194*(1+$FB$9)+$FB$35)*(1+(INDEX(绊状态确认!$T:$T,MATCH($G194,绊状态确认!$B:$B,))+0.2)*AO194)*IF(J194=$FF$17,1+$FE$17,1)*IF(I194=$FF$14,1+$FE$14,1)*(1+$FE$15)</f>
        <v>15771.190864</v>
      </c>
      <c r="BC194" s="1097">
        <f>(AN194*(1+$FB$10)+$FB$36)*(1+(INDEX(绊状态确认!$T:$T,MATCH($G194,绊状态确认!$B:$B,))+0.2)*AO194)*IF(J194=$FF$17,1+$FE$17,1)*IF(I194=$FF$14,1+$FE$14,1)*(1+$FE$15)</f>
        <v>19320.438446399996</v>
      </c>
      <c r="BD194" s="1104">
        <f>MIN(AT194*0.15+BC194*0.00003+INDEX(绊状态确认!M:M,MATCH($G194,绊状态确认!$B:$B,)),1)</f>
        <v>0.60961315339199995</v>
      </c>
      <c r="BE194" s="432">
        <f>(INDEX(绊状态确认!$N:$N,MATCH($G194,绊状态确认!$B:$B,))+1.5)</f>
        <v>1.9</v>
      </c>
      <c r="BF194" s="1139">
        <f t="array" ref="BF194">SUMPRODUCT(IF(AZ194*AP194*$FI$16:$FI$23*$FA$22&gt;=$FI$24,$FI$24,AZ194*AP194*$FI$16:$FI$23*$FA$22),$FJ$16:$FJ$23)</f>
        <v>51577.384292368006</v>
      </c>
      <c r="BG194" s="1125">
        <f t="array" ref="BG194">SUMPRODUCT(IF(BE194*AZ194*AP194*$FI$16:$FI$23*$FA$22&gt;=$FI$24,$FI$24,BE194*AZ194*AP194*$FI$16:$FI$23*$FA$22),$FJ$16:$FJ$23)</f>
        <v>60000</v>
      </c>
      <c r="BH194" s="1110">
        <f t="shared" si="201"/>
        <v>18903.973871235514</v>
      </c>
      <c r="BI194" s="1111">
        <f>IF(O194="vo",$EW$26/$EW$24*0.05,0)+IF(O194="sk",-$EW$26/$EW$24*(0.05-INDEX(绊状态确认!W:W,MATCH($G194,绊状态确认!$B:$B,)))+0.05*$EW$28,0)+IF(O194="sp",0.05*$EW$32*$EW$30*(1-$EW$33)-(0.05-INDEX(绊状态确认!V:V,MATCH($G194,绊状态确认!$B:$B,)))*$EW$28,0)+IF(O194="gd",-(0.05-INDEX(绊状态确认!X:X,MATCH($G194,绊状态确认!$B:$B,)))*$EW$32*$EW$30*(1-$EW$33),0)</f>
        <v>7726.3029277443748</v>
      </c>
      <c r="BJ194" s="1097">
        <f>IF(O194="vo",0.05*(1-$FI$26)*$FA$24,0)+IF(O194="sk",-(0.05-INDEX(绊状态确认!W:W,MATCH($G194,绊状态确认!$B:$B,)))*(1-$FI$26)*$FA$24+0.05*$FA$26,0)+IF(O194="sp",0.05*$FA$32*$FA$27*(1-$FA$33)/$FA$30+0.05*$FA$29/$FA$69*$FA$27*(1-$FA$33)-(0.05-INDEX(绊状态确认!V:V,MATCH($G194,绊状态确认!$B:$B,)))*$FA$26,0)+IF(O194="gd",-(0.05-INDEX(绊状态确认!X:X,MATCH($G194,绊状态确认!$B:$B,)))*$FA$32*$FA$27*(1-$FA$33)/$FA$30-(0.05-INDEX(绊状态确认!X:X,MATCH($G194,绊状态确认!$B:$B,)))*$FA$29/$FA$69*$FA$27*(1-$FA$33),0)</f>
        <v>393.93433687500004</v>
      </c>
      <c r="BK194" s="1110">
        <f>IF(O194="vo",$EW$26/$EW$24*0.05+$EW$26*(-HP($EW$62,$EW$65,$EW$64)+HP($EW$62,$EW$65,(1.05-INDEX(绊状态确认!U:U,MATCH($G194,绊状态确认!$B:$B,)))*$EW$64)),0)+IF(O194="sk",-$EW$26/$EW$24*(0.05-INDEX(绊状态确认!W:W,MATCH($G194,绊状态确认!$B:$B,)))+0.05*$EW$29,0)+IF(O194="sp",0.05*$EW$32*$EW$30*(1-$EW$33)-(0.05-INDEX(绊状态确认!V:V,MATCH($G194,绊状态确认!$B:$B,)))*$EW$29,0)+IF(O194="gd",-(0.05-INDEX(绊状态确认!X:X,MATCH($G194,绊状态确认!$B:$B,)))*$EW$32*$EW$30*(1-$EW$33)+$EW$26*(-HP($EW$62,$EW$65,$EW$64)+HP($EW$62,$EW$65,0.95*$EW$64)),0)</f>
        <v>6421.6344775026746</v>
      </c>
      <c r="BL194" s="1111">
        <f t="shared" si="202"/>
        <v>0</v>
      </c>
      <c r="BM194" s="1110">
        <f t="shared" si="203"/>
        <v>0</v>
      </c>
      <c r="BN194" s="1113">
        <f t="shared" si="204"/>
        <v>3</v>
      </c>
      <c r="BO194" s="1097">
        <f t="shared" si="205"/>
        <v>4507.7214871259994</v>
      </c>
      <c r="BP194" s="1100">
        <f t="shared" si="206"/>
        <v>221.34103209030098</v>
      </c>
      <c r="BQ194" s="1113" t="s">
        <v>145</v>
      </c>
      <c r="BR194" s="1124" t="s">
        <v>147</v>
      </c>
      <c r="BS194" s="1098">
        <f>IF($P194="","N/A",IF($P194=-1,INDEX('卡片raw data'!AX:AX,MATCH($D194,'卡片raw data'!$F:$F,)),0)+IF($L194="party卡",IF($P194=5,INDEX('卡片raw data'!BD:BD,MATCH($D194,'卡片raw data'!$F:$F,)),IF($P194&gt;=3,INDEX('卡片raw data'!BC:BC,MATCH($D194,'卡片raw data'!$F:$F,)),INDEX('卡片raw data'!BB:BB,MATCH($D194,'卡片raw data'!$F:$F,)))),IF(OR(AND($F194="UR",$P194=0),AND($F194="SR",$P194&gt;=0,$P194&lt;=2),AND($F194="R",$P194&gt;=0,$P194&lt;4)),INDEX('卡片raw data'!AZ:AZ,MATCH($D194,'卡片raw data'!$F:$F,)),0)+IF(OR(AND($F194="UR",$P194&gt;=1,$P194&lt;=4),AND($F194="SR",$P194&lt;=4,$P194&gt;=3),AND($F194="R",$P194=4)),INDEX('卡片raw data'!BA:BA,MATCH($D194,'卡片raw data'!$F:$F,)),0)+IF($P194=5,INDEX('卡片raw data'!BB:BB,MATCH($D194,'卡片raw data'!$F:$F,)),0)))</f>
        <v>4.2000000000000003E-2</v>
      </c>
      <c r="BT194" s="1101">
        <f t="shared" si="207"/>
        <v>2971.3299858096102</v>
      </c>
      <c r="BU194" s="1097">
        <f t="shared" si="208"/>
        <v>214.92580204297263</v>
      </c>
      <c r="BV194" s="1097">
        <f t="shared" si="209"/>
        <v>2971.3299858096102</v>
      </c>
      <c r="BW194" s="1112">
        <f t="shared" si="210"/>
        <v>0</v>
      </c>
      <c r="BX194" s="1100">
        <f t="shared" si="211"/>
        <v>2971.3299858096102</v>
      </c>
      <c r="BY194" s="1110">
        <f t="shared" si="212"/>
        <v>2971.3299858096102</v>
      </c>
      <c r="BZ194" s="1107" t="s">
        <v>569</v>
      </c>
      <c r="CA194" s="1124"/>
      <c r="CB194" s="1098">
        <f>IF($P194="","N/A",IF($P194=-1,INDEX('卡片raw data'!BE:BE,MATCH($D194,'卡片raw data'!$F:$F,)),0)+IF($L194="party卡",IF($P194=5,INDEX('卡片raw data'!BK:BK,MATCH($D194,'卡片raw data'!$F:$F,)),IF($P194&gt;=3,INDEX('卡片raw data'!BJ:BJ,MATCH($D194,'卡片raw data'!$F:$F,)),INDEX('卡片raw data'!BI:BI,MATCH($D194,'卡片raw data'!$F:$F,)))),IF(OR(AND($F194="UR",$P194=0),AND($F194="SR",$P194&gt;=0,$P194&lt;=2),AND($F194="R",$P194&gt;=0,$P194&lt;4)),INDEX('卡片raw data'!BG:BG,MATCH($D194,'卡片raw data'!$F:$F,)),0)+IF(OR(AND($F194="UR",$P194&gt;=1,$P194&lt;=4),AND($F194="SR",$P194&lt;=4,$P194&gt;=3),AND($F194="R",$P194=4)),INDEX('卡片raw data'!BH:BH,MATCH($D194,'卡片raw data'!$F:$F,)),0)+IF($P194=5,INDEX('卡片raw data'!BI:BI,MATCH($D194,'卡片raw data'!$F:$F,)),0)))</f>
        <v>0</v>
      </c>
      <c r="CC194" s="1101">
        <f t="shared" si="213"/>
        <v>0</v>
      </c>
      <c r="CD194" s="1097">
        <f>IF(BZ194="ap",CB194*(1-$FI$26)*$FB$5/$FB$11*(+IF(CA194="全员",$FA$24,0)+IF(CA194="同作战",$FA$24,0)+IF(CA194="仲间",$FA$24*2/3,0)+IF(CA194="同属性",$FA$24*$FA$37/3,0)+IF(CA194="同年级",$FA$24*$FA$40/3,0)+IF(CA194="同学校",$FA$24*$FA$43/3,0)+IF(CA194="同小队",$FA$24*$FA$46/3,0)+IF(CA194="同type",$FA$24*INDEX($FB$49:$FB$52,MATCH(X194,$FA$49:$FA$52,))/3,0)+IF(CA194="自身",#REF!/3,0)),0)+IF(BZ194="te",CB194*(1-$FI$27)*($FA$20-1)*$FB$7/$FB$13*(+IF(CA194="全员",$FA$19*$FA$24/(1+($FA$20-1)*$FA$19),0)+IF(CA194="同作战",$FA$19*$FA$24/(1+($FA$20-1)*$FA$19),0)+IF(CA194="仲间",$FA$19*$FA$24*2/3/(1+($FA$20-1)*$FA$19),0)+IF(CA194="同属性",$FA$19*$FA$24*$FA$37/3/(1+($FA$20-1)*$FA$19),0)+IF(CA194="同年级",$FA$19*$FA$24*$FA$40/3/(1+($FA$20-1)*$FA$19),0)+IF(CA194="同学校",$FA$19*$FA$24*$FA$43/3/(1+($FA$20-1)*$FA$19),0)+IF(CA194="同小队",$FA$19*$FA$24*$FA$46/3/(1+($FA$20-1)*$FA$19),0)+IF(CA194="同type",$FA$19*$FA$24*INDEX($FB$49:$FB$52,MATCH(X194,$FA$49:$FA$52,))/3/(1+($FA$20-1)*$FA$19),0)+IF(CA194="自身",$FA$19*#REF!/3/(1+(BH194-1)*$BD194),0)),0)</f>
        <v>0</v>
      </c>
      <c r="CE194" s="1097">
        <f t="shared" si="214"/>
        <v>0</v>
      </c>
      <c r="CF194" s="1112">
        <f t="shared" si="215"/>
        <v>0</v>
      </c>
      <c r="CG194" s="1100">
        <f t="shared" si="216"/>
        <v>0</v>
      </c>
      <c r="CH194" s="1110">
        <f t="shared" si="217"/>
        <v>0</v>
      </c>
      <c r="CI194" s="1113" t="s">
        <v>164</v>
      </c>
      <c r="CJ194" s="1114">
        <v>0.2</v>
      </c>
      <c r="CK194" s="1115" t="s">
        <v>637</v>
      </c>
      <c r="CL194" s="1115" t="s">
        <v>1940</v>
      </c>
      <c r="CM194" s="1119">
        <v>0.1</v>
      </c>
      <c r="CN194" s="1115"/>
      <c r="CO194" s="1092"/>
      <c r="CP194" s="1116">
        <f t="shared" si="218"/>
        <v>15.034174332857145</v>
      </c>
      <c r="CQ194" s="1116">
        <f t="shared" si="219"/>
        <v>20.995959836800008</v>
      </c>
      <c r="CR194" s="1116">
        <f t="shared" si="220"/>
        <v>15.034174332857145</v>
      </c>
      <c r="CS194" s="1118">
        <f t="shared" si="221"/>
        <v>0</v>
      </c>
      <c r="CT194" s="1109">
        <f t="shared" si="222"/>
        <v>0</v>
      </c>
      <c r="CU194" s="1101">
        <f t="shared" si="223"/>
        <v>0</v>
      </c>
      <c r="CV194" s="1108">
        <f t="shared" si="224"/>
        <v>0</v>
      </c>
      <c r="CW194" s="1097">
        <f t="shared" si="225"/>
        <v>0</v>
      </c>
      <c r="CX194" s="1097">
        <f t="shared" si="226"/>
        <v>1206.8626235845074</v>
      </c>
      <c r="CY194" s="1110">
        <f t="shared" si="227"/>
        <v>1206.8626235845074</v>
      </c>
      <c r="CZ194" s="437"/>
      <c r="DA194" s="438"/>
      <c r="DB194" s="439" t="s">
        <v>569</v>
      </c>
      <c r="DC194" s="439"/>
      <c r="DD194" s="443"/>
      <c r="DE194" s="411"/>
      <c r="DF194" s="411"/>
      <c r="DG194" s="1116">
        <f t="shared" si="228"/>
        <v>0</v>
      </c>
      <c r="DH194" s="1116">
        <f t="shared" si="229"/>
        <v>0</v>
      </c>
      <c r="DI194" s="1116">
        <f t="shared" si="230"/>
        <v>0</v>
      </c>
      <c r="DJ194" s="442">
        <f t="shared" si="231"/>
        <v>0</v>
      </c>
      <c r="DK194" s="1109">
        <f t="shared" si="232"/>
        <v>0</v>
      </c>
      <c r="DL194" s="1101">
        <f t="shared" si="233"/>
        <v>0</v>
      </c>
      <c r="DM194" s="1097">
        <f t="shared" si="234"/>
        <v>0</v>
      </c>
      <c r="DN194" s="1097">
        <f t="shared" si="235"/>
        <v>0</v>
      </c>
      <c r="DO194" s="1097">
        <f t="shared" si="236"/>
        <v>0</v>
      </c>
      <c r="DP194" s="1110">
        <f t="shared" si="237"/>
        <v>0</v>
      </c>
      <c r="DQ194" s="1113" t="s">
        <v>152</v>
      </c>
      <c r="DR194" s="1120">
        <f t="shared" si="238"/>
        <v>0.33</v>
      </c>
      <c r="DS194" s="1124"/>
      <c r="DT194" s="1093" t="s">
        <v>132</v>
      </c>
      <c r="DU194" s="1093"/>
      <c r="DV194" s="1098">
        <f>IF($P194="","N/A",IF(P194=-1,INDEX('卡片raw data'!AN:AN,MATCH(D194,'卡片raw data'!$F:$F,)),0)+IF(AND(L194&lt;&gt;"party卡",P194&lt;=2,P194&gt;=0),INDEX('卡片raw data'!AP:AP,MATCH(D194,'卡片raw data'!$F:$F,)),0)+IF(OR(AND(L194="party卡",P194&lt;=1),AND(P194&lt;=4,L194&lt;&gt;"party卡",P194&gt;=3)),INDEX('卡片raw data'!AQ:AQ,MATCH(D194,'卡片raw data'!$F:$F,)),0)+IF(OR(P194=5,AND(L194="party卡",P194&gt;=2)),INDEX('卡片raw data'!AR:AR,MATCH(D194,'卡片raw data'!$F:$F,)),0))</f>
        <v>0.37</v>
      </c>
      <c r="DW194" s="1098">
        <f t="shared" si="239"/>
        <v>0.33</v>
      </c>
      <c r="DX194" s="1098">
        <f t="shared" si="240"/>
        <v>0.33</v>
      </c>
      <c r="DY194" s="1125">
        <f t="shared" si="241"/>
        <v>1856.0690492200999</v>
      </c>
      <c r="DZ194" s="1125">
        <f t="shared" si="242"/>
        <v>1441.3878648672019</v>
      </c>
      <c r="EA194" s="1098">
        <f t="shared" si="243"/>
        <v>0</v>
      </c>
      <c r="EB194" s="1121">
        <f t="shared" si="244"/>
        <v>0</v>
      </c>
      <c r="EC194" s="1101">
        <f t="shared" si="245"/>
        <v>2041.6759541421102</v>
      </c>
      <c r="ED194" s="1097">
        <f t="shared" si="246"/>
        <v>1441.3878648672019</v>
      </c>
      <c r="EE194" s="1110">
        <f t="shared" si="247"/>
        <v>2041.6759541421102</v>
      </c>
      <c r="EF194" s="1092" t="s">
        <v>711</v>
      </c>
      <c r="EG194" s="1120">
        <f t="shared" si="248"/>
        <v>0.33</v>
      </c>
      <c r="EH194" s="1124"/>
      <c r="EI194" s="1093"/>
      <c r="EJ194" s="1093"/>
      <c r="EK194" s="1097">
        <f>IF($P194="","N/A",IF(P194=-1,INDEX('卡片raw data'!AS:AS,MATCH(D194,'卡片raw data'!$F:$F,)),0)+IF(AND(L194&lt;&gt;"party卡",P194&lt;=2,P194&gt;=0),INDEX('卡片raw data'!AU:AU,MATCH(D194,'卡片raw data'!$F:$F,)),0)+IF(OR(AND(L194="party卡",P194&lt;=1),AND(P194&lt;=4,L194&lt;&gt;"party卡",P194&gt;=3)),INDEX('卡片raw data'!AV:AV,MATCH(D194,'卡片raw data'!$F:$F,)),0)+IF(OR(P194=5,AND(L194="party卡",P194&gt;=2)),INDEX('卡片raw data'!AW:AW,MATCH(D194,'卡片raw data'!$F:$F,)),0))</f>
        <v>0</v>
      </c>
      <c r="EL194" s="1098">
        <f t="shared" si="249"/>
        <v>0.33</v>
      </c>
      <c r="EM194" s="1098">
        <f t="shared" si="250"/>
        <v>0.33</v>
      </c>
      <c r="EN194" s="1125">
        <f t="shared" si="251"/>
        <v>0</v>
      </c>
      <c r="EO194" s="1125">
        <f t="shared" si="252"/>
        <v>0</v>
      </c>
      <c r="EP194" s="1098">
        <f t="shared" si="253"/>
        <v>0</v>
      </c>
      <c r="EQ194" s="1121">
        <f t="shared" si="254"/>
        <v>0</v>
      </c>
      <c r="ER194" s="1101">
        <f t="shared" si="255"/>
        <v>0</v>
      </c>
      <c r="ES194" s="1097">
        <f t="shared" si="256"/>
        <v>0</v>
      </c>
      <c r="ET194" s="1122">
        <f t="shared" si="257"/>
        <v>0</v>
      </c>
    </row>
    <row r="195" spans="2:150" ht="16.5" customHeight="1">
      <c r="B195" s="1123" t="str">
        <f>INDEX('卡片raw data'!B:B,MATCH($D195,'卡片raw data'!$F:$F,))</f>
        <v>op1鞠</v>
      </c>
      <c r="C195" s="449" t="s">
        <v>22</v>
      </c>
      <c r="D195" s="408">
        <v>192</v>
      </c>
      <c r="E195" s="1090">
        <v>301082001</v>
      </c>
      <c r="F195" s="1090" t="str">
        <f>INDEX('卡片raw data'!C:C,MATCH($D195,'卡片raw data'!$F:$F,))</f>
        <v>SR</v>
      </c>
      <c r="G195" s="1094" t="s">
        <v>345</v>
      </c>
      <c r="H195" s="411">
        <f>IFERROR(INDEX(绊状态确认!C:C,MATCH($G195,绊状态确认!$B:$B,)),"")</f>
        <v>108</v>
      </c>
      <c r="I195" s="450" t="str">
        <f>IFERROR(INDEX(绊状态确认!D:D,MATCH($G195,绊状态确认!$B:$B,)),"")</f>
        <v>水</v>
      </c>
      <c r="J195" s="450" t="str">
        <f>IFERROR(INDEX(绊状态确认!E:E,MATCH($G195,绊状态确认!$B:$B,)),"")</f>
        <v>3年级</v>
      </c>
      <c r="K195" s="451" t="str">
        <f>IFERROR(INDEX(绊状态确认!F:F,MATCH($G195,绊状态确认!$B:$B,)),"")</f>
        <v>Guilty Kiss</v>
      </c>
      <c r="L195" s="1094" t="str">
        <f>INDEX('卡片raw data'!E:E,MATCH($D195,'卡片raw data'!$F:$F,))</f>
        <v>卡池卡</v>
      </c>
      <c r="M195" s="415">
        <v>43906</v>
      </c>
      <c r="N195" s="416">
        <v>11.5</v>
      </c>
      <c r="O195" s="1091" t="str">
        <f>INDEX('卡片raw data'!D:D,MATCH($D195,'卡片raw data'!$F:$F,))</f>
        <v>sp</v>
      </c>
      <c r="P195" s="417">
        <v>5</v>
      </c>
      <c r="Q195" s="1095">
        <f t="shared" si="173"/>
        <v>23957.706284969496</v>
      </c>
      <c r="R195" s="1096">
        <f t="shared" si="174"/>
        <v>0.27800000000000002</v>
      </c>
      <c r="S195" s="1097">
        <f t="shared" si="175"/>
        <v>13216.67431515013</v>
      </c>
      <c r="T195" s="1098">
        <f t="shared" si="176"/>
        <v>0.66</v>
      </c>
      <c r="U195" s="1099">
        <f t="shared" si="177"/>
        <v>13.796227753062858</v>
      </c>
      <c r="V195" s="1100">
        <f t="shared" si="178"/>
        <v>23262.373392715701</v>
      </c>
      <c r="W195" s="1101">
        <f t="shared" si="179"/>
        <v>4521.4703622259431</v>
      </c>
      <c r="X195" s="1096">
        <f t="shared" si="180"/>
        <v>5.1999999999999998E-2</v>
      </c>
      <c r="Y195" s="1097">
        <f t="shared" si="181"/>
        <v>1104.6671077462042</v>
      </c>
      <c r="Z195" s="1102">
        <f t="shared" si="182"/>
        <v>13.796227753062858</v>
      </c>
      <c r="AA195" s="1103">
        <f t="shared" si="183"/>
        <v>5626.1374699721473</v>
      </c>
      <c r="AB195" s="1101">
        <f t="shared" si="184"/>
        <v>8058.7679643802421</v>
      </c>
      <c r="AC195" s="1104">
        <f t="shared" si="185"/>
        <v>9.2999999999999999E-2</v>
      </c>
      <c r="AD195" s="1105">
        <f t="shared" si="186"/>
        <v>-1.9908281250000003E-2</v>
      </c>
      <c r="AE195" s="1128">
        <f t="shared" si="187"/>
        <v>2.8386741621376803</v>
      </c>
      <c r="AF195" s="1130">
        <f t="shared" si="188"/>
        <v>0</v>
      </c>
      <c r="AG195" s="420">
        <f t="shared" si="189"/>
        <v>0</v>
      </c>
      <c r="AH195" s="420">
        <f t="shared" si="190"/>
        <v>0</v>
      </c>
      <c r="AI195" s="1097">
        <f t="shared" si="191"/>
        <v>0</v>
      </c>
      <c r="AJ195" s="420">
        <f t="shared" si="192"/>
        <v>0</v>
      </c>
      <c r="AK195" s="518">
        <f t="shared" si="193"/>
        <v>0</v>
      </c>
      <c r="AL195" s="1106">
        <f>IF($P195="","N/A",(IF($P195=-1,INDEX('卡片raw data'!S:S,MATCH($D195,'卡片raw data'!$F:$F,)),0)+IF($P195=0,INDEX('卡片raw data'!V:V,MATCH($D195,'卡片raw data'!$F:$F,)),0)+IF($P195=1,INDEX('卡片raw data'!Y:Y,MATCH($D195,'卡片raw data'!$F:$F,)),0)+IF($P195=2,INDEX('卡片raw data'!AB:AB,MATCH($D195,'卡片raw data'!$F:$F,)),0)+IF($P195=3,INDEX('卡片raw data'!AE:AE,MATCH($D195,'卡片raw data'!$F:$F,)),0)+IF($P195=4,INDEX('卡片raw data'!AH:AH,MATCH($D195,'卡片raw data'!$F:$F,)),0)+IF($P195=5,INDEX('卡片raw data'!AK:AK,MATCH($D195,'卡片raw data'!$F:$F,)),0)+INDEX('卡片raw data'!S:S,MATCH($D195,'卡片raw data'!$F:$F,))*(IF($F195="UR",0.04,0.033))*(IF($F195="UR",INDEX(绊状态确认!$S:$S,MATCH($G195,绊状态确认!$B:$B,))/2-40)+IF($F195="SR",INDEX(绊状态确认!$R:$R,MATCH($G195,绊状态确认!$B:$B,))/4-15))+IF($F195="R",INDEX(绊状态确认!$Q:$Q,MATCH($G195,绊状态确认!$B:$B,))/6-40/6)))*(INDEX(绊状态确认!$H:$H,MATCH($G195,绊状态确认!$B:$B,))+INDEX(绊状态确认!J:J,MATCH($G195,绊状态确认!$B:$B,)))</f>
        <v>5883.8291855999996</v>
      </c>
      <c r="AM195" s="1106">
        <f>IF($P195="","N/A",(IF($P195=-1,INDEX('卡片raw data'!T:T,MATCH($D195,'卡片raw data'!$F:$F,)),0)+IF($P195=0,INDEX('卡片raw data'!W:W,MATCH($D195,'卡片raw data'!$F:$F,)),0)+IF($P195=1,INDEX('卡片raw data'!Z:Z,MATCH($D195,'卡片raw data'!$F:$F,)),0)+IF($P195=2,INDEX('卡片raw data'!AC:AC,MATCH($D195,'卡片raw data'!$F:$F,)),0)+IF($P195=3,INDEX('卡片raw data'!AF:AF,MATCH($D195,'卡片raw data'!$F:$F,)),0)+IF($P195=4,INDEX('卡片raw data'!AI:AI,MATCH($D195,'卡片raw data'!$F:$F,)),0)+IF($P195=5,INDEX('卡片raw data'!AL:AL,MATCH($D195,'卡片raw data'!$F:$F,)),0)+INDEX('卡片raw data'!T:T,MATCH($D195,'卡片raw data'!$F:$F,))*(IF($F195="UR",0.04,0.033))*(IF($F195="UR",INDEX(绊状态确认!$S:$S,MATCH($G195,绊状态确认!$B:$B,))/2-40)+IF($F195="SR",INDEX(绊状态确认!$R:$R,MATCH($G195,绊状态确认!$B:$B,))/4-15))+IF($F195="R",INDEX(绊状态确认!$Q:$Q,MATCH($G195,绊状态确认!$B:$B,))/6-40/6)))*(INDEX(绊状态确认!$H:$H,MATCH($G195,绊状态确认!$B:$B,))+INDEX(绊状态确认!K:K,MATCH($G195,绊状态确认!$B:$B,)))</f>
        <v>7452.365740799999</v>
      </c>
      <c r="AN195" s="1106">
        <f>IF($P195="","N/A",(IF($P195=-1,INDEX('卡片raw data'!U:U,MATCH($D195,'卡片raw data'!$F:$F,)),0)+IF($P195=0,INDEX('卡片raw data'!X:X,MATCH($D195,'卡片raw data'!$F:$F,)),0)+IF($P195=1,INDEX('卡片raw data'!AA:AA,MATCH($D195,'卡片raw data'!$F:$F,)),0)+IF($P195=2,INDEX('卡片raw data'!AD:AD,MATCH($D195,'卡片raw data'!$F:$F,)),0)+IF($P195=3,INDEX('卡片raw data'!AG:AG,MATCH($D195,'卡片raw data'!$F:$F,)),0)+IF($P195=4,INDEX('卡片raw data'!AJ:AJ,MATCH($D195,'卡片raw data'!$F:$F,)),0)+IF($P195=5,INDEX('卡片raw data'!AM:AM,MATCH($D195,'卡片raw data'!$F:$F,)),0)+INDEX('卡片raw data'!U:U,MATCH($D195,'卡片raw data'!$F:$F,))*(IF($F195="UR",0.04,0.033))*(IF($F195="UR",INDEX(绊状态确认!$S:$S,MATCH($G195,绊状态确认!$B:$B,))/2-40)+IF($F195="SR",INDEX(绊状态确认!$R:$R,MATCH($G195,绊状态确认!$B:$B,))/4-15))+IF($F195="R",INDEX(绊状态确认!$Q:$Q,MATCH($G195,绊状态确认!$B:$B,))/6-40/6)))*(INDEX(绊状态确认!$H:$H,MATCH($G195,绊状态确认!$B:$B,))+INDEX(绊状态确认!L:L,MATCH($G195,绊状态确认!$B:$B,)))</f>
        <v>6274.2212231999993</v>
      </c>
      <c r="AO195" s="1107">
        <f t="shared" si="194"/>
        <v>1</v>
      </c>
      <c r="AP195" s="1131">
        <f>1+(INDEX(绊状态确认!$T:$T,MATCH($G195,绊状态确认!$B:$B,))+0.2)*$AO195</f>
        <v>1.3</v>
      </c>
      <c r="AQ195" s="1108">
        <f t="shared" si="195"/>
        <v>18695.051612200001</v>
      </c>
      <c r="AR195" s="1097">
        <f>(AM195*(1+$EX$9)+$EX$35)*(1+(INDEX(绊状态确认!$T:$T,MATCH($G195,绊状态确认!$B:$B,))+0.2)*AO195)*IF(J195=$FF$17,1+$FE$17,1)*IF(I195=$FF$14,1+$FE$14,1)</f>
        <v>12876.479236192001</v>
      </c>
      <c r="AS195" s="1097">
        <f>(AN195*(1+$EX$10)+$EX$36)*(1+(INDEX(绊状态确认!$T:$T,MATCH($G195,绊状态确认!$B:$B,))+0.2)*AO195)*IF(J195=$FF$17,1+$FE$17,1)*IF(I195=$FF$14,1+$FE$14,1)</f>
        <v>13435.960728683998</v>
      </c>
      <c r="AT195" s="1093">
        <f>IF(AND(INDEX('卡片raw data'!AK:AK,MATCH($D195,'卡片raw data'!$F:$F,))&lt;INDEX('卡片raw data'!AM:AM,MATCH($D195,'卡片raw data'!$F:$F,)),INDEX('卡片raw data'!AL:AL,MATCH($D195,'卡片raw data'!$F:$F,))&lt;INDEX('卡片raw data'!AM:AM,MATCH($D195,'卡片raw data'!$F:$F,))),1,0)</f>
        <v>0</v>
      </c>
      <c r="AU195" s="1098">
        <f>MIN(AT195*0.15+AS195*0.00003+INDEX(绊状态确认!M:M,MATCH($G195,绊状态确认!$B:$B,)),1)</f>
        <v>0.43307882186051999</v>
      </c>
      <c r="AV195" s="1109">
        <f>(INDEX(绊状态确认!$N:$N,MATCH($G195,绊状态确认!$B:$B,))+1.5)*$EW$21</f>
        <v>2.6599999999999997</v>
      </c>
      <c r="AW195" s="1101">
        <f t="shared" si="196"/>
        <v>16689.271653922584</v>
      </c>
      <c r="AX195" s="1097">
        <f t="shared" si="197"/>
        <v>1104.6671077462045</v>
      </c>
      <c r="AY195" s="1110">
        <f t="shared" si="198"/>
        <v>17793.938761668789</v>
      </c>
      <c r="AZ195" s="429">
        <f t="shared" si="199"/>
        <v>14073.466911919999</v>
      </c>
      <c r="BA195" s="431">
        <f t="shared" si="200"/>
        <v>16888.160294303998</v>
      </c>
      <c r="BB195" s="1097">
        <f>(AM195*(1+$FB$9)+$FB$35)*(1+(INDEX(绊状态确认!$T:$T,MATCH($G195,绊状态确认!$B:$B,))+0.2)*AO195)*IF(J195=$FF$17,1+$FE$17,1)*IF(I195=$FF$14,1+$FE$14,1)*(1+$FE$15)</f>
        <v>12876.479236192001</v>
      </c>
      <c r="BC195" s="1097">
        <f>(AN195*(1+$FB$10)+$FB$36)*(1+(INDEX(绊状态确认!$T:$T,MATCH($G195,绊状态确认!$B:$B,))+0.2)*AO195)*IF(J195=$FF$17,1+$FE$17,1)*IF(I195=$FF$14,1+$FE$14,1)*(1+$FE$15)</f>
        <v>13435.960728683998</v>
      </c>
      <c r="BD195" s="1104">
        <f>MIN(AT195*0.15+BC195*0.00003+INDEX(绊状态确认!M:M,MATCH($G195,绊状态确认!$B:$B,)),1)</f>
        <v>0.43307882186051999</v>
      </c>
      <c r="BE195" s="432">
        <f>(INDEX(绊状态确认!$N:$N,MATCH($G195,绊状态确认!$B:$B,))+1.5)</f>
        <v>1.9</v>
      </c>
      <c r="BF195" s="1139">
        <f t="array" ref="BF195">SUMPRODUCT(IF(AZ195*AP195*$FI$16:$FI$23*$FA$22&gt;=$FI$24,$FI$24,AZ195*AP195*$FI$16:$FI$23*$FA$22),$FJ$16:$FJ$23)</f>
        <v>27992.125687808875</v>
      </c>
      <c r="BG195" s="1125">
        <f t="array" ref="BG195">SUMPRODUCT(IF(BE195*AZ195*AP195*$FI$16:$FI$23*$FA$22&gt;=$FI$24,$FI$24,BE195*AZ195*AP195*$FI$16:$FI$23*$FA$22),$FJ$16:$FJ$23)</f>
        <v>52323.297396033187</v>
      </c>
      <c r="BH195" s="1110">
        <f t="shared" si="201"/>
        <v>12843.146955230894</v>
      </c>
      <c r="BI195" s="1111">
        <f>IF(O195="vo",$EW$26/$EW$24*0.05,0)+IF(O195="sk",-$EW$26/$EW$24*(0.05-INDEX(绊状态确认!W:W,MATCH($G195,绊状态确认!$B:$B,)))+0.05*$EW$28,0)+IF(O195="sp",0.05*$EW$32*$EW$30*(1-$EW$33)-(0.05-INDEX(绊状态确认!V:V,MATCH($G195,绊状态确认!$B:$B,)))*$EW$28,0)+IF(O195="gd",-(0.05-INDEX(绊状态确认!X:X,MATCH($G195,绊状态确认!$B:$B,)))*$EW$32*$EW$30*(1-$EW$33),0)</f>
        <v>19.999999999999886</v>
      </c>
      <c r="BJ195" s="1097">
        <f>IF(O195="vo",0.05*(1-$FI$26)*$FA$24,0)+IF(O195="sk",-(0.05-INDEX(绊状态确认!W:W,MATCH($G195,绊状态确认!$B:$B,)))*(1-$FI$26)*$FA$24+0.05*$FA$26,0)+IF(O195="sp",0.05*$FA$32*$FA$27*(1-$FA$33)/$FA$30+0.05*$FA$29/$FA$69*$FA$27*(1-$FA$33)-(0.05-INDEX(绊状态确认!V:V,MATCH($G195,绊状态确认!$B:$B,)))*$FA$26,0)+IF(O195="gd",-(0.05-INDEX(绊状态确认!X:X,MATCH($G195,绊状态确认!$B:$B,)))*$FA$32*$FA$27*(1-$FA$33)/$FA$30-(0.05-INDEX(绊状态确认!X:X,MATCH($G195,绊状态确认!$B:$B,)))*$FA$29/$FA$69*$FA$27*(1-$FA$33),0)</f>
        <v>545.83333333333326</v>
      </c>
      <c r="BK195" s="1110">
        <f>IF(O195="vo",$EW$26/$EW$24*0.05+$EW$26*(-HP($EW$62,$EW$65,$EW$64)+HP($EW$62,$EW$65,(1.05-INDEX(绊状态确认!U:U,MATCH($G195,绊状态确认!$B:$B,)))*$EW$64)),0)+IF(O195="sk",-$EW$26/$EW$24*(0.05-INDEX(绊状态确认!W:W,MATCH($G195,绊状态确认!$B:$B,)))+0.05*$EW$29,0)+IF(O195="sp",0.05*$EW$32*$EW$30*(1-$EW$33)-(0.05-INDEX(绊状态确认!V:V,MATCH($G195,绊状态确认!$B:$B,)))*$EW$29,0)+IF(O195="gd",-(0.05-INDEX(绊状态确认!X:X,MATCH($G195,绊状态确认!$B:$B,)))*$EW$32*$EW$30*(1-$EW$33)+$EW$26*(-HP($EW$62,$EW$65,$EW$64)+HP($EW$62,$EW$65,0.95*$EW$64)),0)</f>
        <v>-1780.0000000000005</v>
      </c>
      <c r="BL195" s="1111">
        <f t="shared" si="202"/>
        <v>-1083.3333333333333</v>
      </c>
      <c r="BM195" s="1110">
        <f t="shared" si="203"/>
        <v>-830.55555555555543</v>
      </c>
      <c r="BN195" s="1113">
        <f t="shared" si="204"/>
        <v>3</v>
      </c>
      <c r="BO195" s="1097">
        <f t="shared" si="205"/>
        <v>4507.7214871259994</v>
      </c>
      <c r="BP195" s="1100">
        <f t="shared" si="206"/>
        <v>221.34103209030098</v>
      </c>
      <c r="BQ195" s="1113" t="s">
        <v>145</v>
      </c>
      <c r="BR195" s="1124" t="s">
        <v>146</v>
      </c>
      <c r="BS195" s="1098">
        <f>IF($P195="","N/A",IF($P195=-1,INDEX('卡片raw data'!AX:AX,MATCH($D195,'卡片raw data'!$F:$F,)),0)+IF($L195="party卡",IF($P195=5,INDEX('卡片raw data'!BD:BD,MATCH($D195,'卡片raw data'!$F:$F,)),IF($P195&gt;=3,INDEX('卡片raw data'!BC:BC,MATCH($D195,'卡片raw data'!$F:$F,)),INDEX('卡片raw data'!BB:BB,MATCH($D195,'卡片raw data'!$F:$F,)))),IF(OR(AND($F195="UR",$P195=0),AND($F195="SR",$P195&gt;=0,$P195&lt;=2),AND($F195="R",$P195&gt;=0,$P195&lt;4)),INDEX('卡片raw data'!AZ:AZ,MATCH($D195,'卡片raw data'!$F:$F,)),0)+IF(OR(AND($F195="UR",$P195&gt;=1,$P195&lt;=4),AND($F195="SR",$P195&lt;=4,$P195&gt;=3),AND($F195="R",$P195=4)),INDEX('卡片raw data'!BA:BA,MATCH($D195,'卡片raw data'!$F:$F,)),0)+IF($P195=5,INDEX('卡片raw data'!BB:BB,MATCH($D195,'卡片raw data'!$F:$F,)),0)))</f>
        <v>0.05</v>
      </c>
      <c r="BT195" s="1101">
        <f t="shared" si="207"/>
        <v>3537.2976021542986</v>
      </c>
      <c r="BU195" s="1097">
        <f t="shared" si="208"/>
        <v>255.86405005115788</v>
      </c>
      <c r="BV195" s="1097">
        <f t="shared" si="209"/>
        <v>0</v>
      </c>
      <c r="BW195" s="1112">
        <f t="shared" si="210"/>
        <v>0</v>
      </c>
      <c r="BX195" s="1100">
        <f t="shared" si="211"/>
        <v>3537.2976021542986</v>
      </c>
      <c r="BY195" s="1110">
        <f t="shared" si="212"/>
        <v>0</v>
      </c>
      <c r="BZ195" s="1107" t="s">
        <v>569</v>
      </c>
      <c r="CA195" s="1124"/>
      <c r="CB195" s="1098">
        <f>IF($P195="","N/A",IF($P195=-1,INDEX('卡片raw data'!BE:BE,MATCH($D195,'卡片raw data'!$F:$F,)),0)+IF($L195="party卡",IF($P195=5,INDEX('卡片raw data'!BK:BK,MATCH($D195,'卡片raw data'!$F:$F,)),IF($P195&gt;=3,INDEX('卡片raw data'!BJ:BJ,MATCH($D195,'卡片raw data'!$F:$F,)),INDEX('卡片raw data'!BI:BI,MATCH($D195,'卡片raw data'!$F:$F,)))),IF(OR(AND($F195="UR",$P195=0),AND($F195="SR",$P195&gt;=0,$P195&lt;=2),AND($F195="R",$P195&gt;=0,$P195&lt;4)),INDEX('卡片raw data'!BG:BG,MATCH($D195,'卡片raw data'!$F:$F,)),0)+IF(OR(AND($F195="UR",$P195&gt;=1,$P195&lt;=4),AND($F195="SR",$P195&lt;=4,$P195&gt;=3),AND($F195="R",$P195=4)),INDEX('卡片raw data'!BH:BH,MATCH($D195,'卡片raw data'!$F:$F,)),0)+IF($P195=5,INDEX('卡片raw data'!BI:BI,MATCH($D195,'卡片raw data'!$F:$F,)),0)))</f>
        <v>0</v>
      </c>
      <c r="CC195" s="1101">
        <f t="shared" si="213"/>
        <v>0</v>
      </c>
      <c r="CD195" s="1097">
        <f>IF(BZ195="ap",CB195*(1-$FI$26)*$FB$5/$FB$11*(+IF(CA195="全员",$FA$24,0)+IF(CA195="同作战",$FA$24,0)+IF(CA195="仲间",$FA$24*2/3,0)+IF(CA195="同属性",$FA$24*$FA$37/3,0)+IF(CA195="同年级",$FA$24*$FA$40/3,0)+IF(CA195="同学校",$FA$24*$FA$43/3,0)+IF(CA195="同小队",$FA$24*$FA$46/3,0)+IF(CA195="同type",$FA$24*INDEX($FB$49:$FB$52,MATCH(X195,$FA$49:$FA$52,))/3,0)+IF(CA195="自身",#REF!/3,0)),0)+IF(BZ195="te",CB195*(1-$FI$27)*($FA$20-1)*$FB$7/$FB$13*(+IF(CA195="全员",$FA$19*$FA$24/(1+($FA$20-1)*$FA$19),0)+IF(CA195="同作战",$FA$19*$FA$24/(1+($FA$20-1)*$FA$19),0)+IF(CA195="仲间",$FA$19*$FA$24*2/3/(1+($FA$20-1)*$FA$19),0)+IF(CA195="同属性",$FA$19*$FA$24*$FA$37/3/(1+($FA$20-1)*$FA$19),0)+IF(CA195="同年级",$FA$19*$FA$24*$FA$40/3/(1+($FA$20-1)*$FA$19),0)+IF(CA195="同学校",$FA$19*$FA$24*$FA$43/3/(1+($FA$20-1)*$FA$19),0)+IF(CA195="同小队",$FA$19*$FA$24*$FA$46/3/(1+($FA$20-1)*$FA$19),0)+IF(CA195="同type",$FA$19*$FA$24*INDEX($FB$49:$FB$52,MATCH(X195,$FA$49:$FA$52,))/3/(1+($FA$20-1)*$FA$19),0)+IF(CA195="自身",$FA$19*#REF!/3/(1+(BH195-1)*$BD195),0)),0)</f>
        <v>0</v>
      </c>
      <c r="CE195" s="1097">
        <f t="shared" si="214"/>
        <v>0</v>
      </c>
      <c r="CF195" s="1112">
        <f t="shared" si="215"/>
        <v>0</v>
      </c>
      <c r="CG195" s="1100">
        <f t="shared" si="216"/>
        <v>0</v>
      </c>
      <c r="CH195" s="1110">
        <f t="shared" si="217"/>
        <v>0</v>
      </c>
      <c r="CI195" s="1113" t="s">
        <v>162</v>
      </c>
      <c r="CJ195" s="1114">
        <v>0.3</v>
      </c>
      <c r="CK195" s="1115" t="s">
        <v>256</v>
      </c>
      <c r="CL195" s="1115" t="s">
        <v>1940</v>
      </c>
      <c r="CM195" s="1119">
        <v>0.08</v>
      </c>
      <c r="CN195" s="1115"/>
      <c r="CO195" s="1092"/>
      <c r="CP195" s="1116">
        <f t="shared" si="218"/>
        <v>9.6145979719885712</v>
      </c>
      <c r="CQ195" s="1116">
        <f t="shared" si="219"/>
        <v>13.510528235443196</v>
      </c>
      <c r="CR195" s="1116">
        <f t="shared" si="220"/>
        <v>9.6145979719885712</v>
      </c>
      <c r="CS195" s="1118">
        <f t="shared" si="221"/>
        <v>0</v>
      </c>
      <c r="CT195" s="1109">
        <f t="shared" si="222"/>
        <v>0</v>
      </c>
      <c r="CU195" s="1101">
        <f t="shared" si="223"/>
        <v>13.748875099943659</v>
      </c>
      <c r="CV195" s="1108">
        <f t="shared" si="224"/>
        <v>0</v>
      </c>
      <c r="CW195" s="1097">
        <f t="shared" si="225"/>
        <v>13.748875099943659</v>
      </c>
      <c r="CX195" s="1097">
        <f t="shared" si="226"/>
        <v>13.748875099943659</v>
      </c>
      <c r="CY195" s="1110">
        <f t="shared" si="227"/>
        <v>13.748875099943659</v>
      </c>
      <c r="CZ195" s="437"/>
      <c r="DA195" s="438"/>
      <c r="DB195" s="439" t="s">
        <v>569</v>
      </c>
      <c r="DC195" s="439"/>
      <c r="DD195" s="443"/>
      <c r="DE195" s="411"/>
      <c r="DF195" s="411"/>
      <c r="DG195" s="1116">
        <f t="shared" si="228"/>
        <v>0</v>
      </c>
      <c r="DH195" s="1116">
        <f t="shared" si="229"/>
        <v>0</v>
      </c>
      <c r="DI195" s="1116">
        <f t="shared" si="230"/>
        <v>0</v>
      </c>
      <c r="DJ195" s="442">
        <f t="shared" si="231"/>
        <v>0</v>
      </c>
      <c r="DK195" s="1109">
        <f t="shared" si="232"/>
        <v>0</v>
      </c>
      <c r="DL195" s="1101">
        <f t="shared" si="233"/>
        <v>0</v>
      </c>
      <c r="DM195" s="1097">
        <f t="shared" si="234"/>
        <v>0</v>
      </c>
      <c r="DN195" s="1097">
        <f t="shared" si="235"/>
        <v>0</v>
      </c>
      <c r="DO195" s="1097">
        <f t="shared" si="236"/>
        <v>0</v>
      </c>
      <c r="DP195" s="1110">
        <f t="shared" si="237"/>
        <v>0</v>
      </c>
      <c r="DQ195" s="1113" t="s">
        <v>565</v>
      </c>
      <c r="DR195" s="1120">
        <f t="shared" si="238"/>
        <v>0.3</v>
      </c>
      <c r="DS195" s="1124">
        <v>5</v>
      </c>
      <c r="DT195" s="1093" t="s">
        <v>161</v>
      </c>
      <c r="DU195" s="1093" t="s">
        <v>560</v>
      </c>
      <c r="DV195" s="1098">
        <f>IF($P195="","N/A",IF(P195=-1,INDEX('卡片raw data'!AN:AN,MATCH(D195,'卡片raw data'!$F:$F,)),0)+IF(AND(L195&lt;&gt;"party卡",P195&lt;=2,P195&gt;=0),INDEX('卡片raw data'!AP:AP,MATCH(D195,'卡片raw data'!$F:$F,)),0)+IF(OR(AND(L195="party卡",P195&lt;=1),AND(P195&lt;=4,L195&lt;&gt;"party卡",P195&gt;=3)),INDEX('卡片raw data'!AQ:AQ,MATCH(D195,'卡片raw data'!$F:$F,)),0)+IF(OR(P195=5,AND(L195="party卡",P195&gt;=2)),INDEX('卡片raw data'!AR:AR,MATCH(D195,'卡片raw data'!$F:$F,)),0))</f>
        <v>4.2000000000000003E-2</v>
      </c>
      <c r="DW195" s="1098">
        <f t="shared" si="239"/>
        <v>0.3</v>
      </c>
      <c r="DX195" s="1098">
        <f t="shared" si="240"/>
        <v>0.3</v>
      </c>
      <c r="DY195" s="1098">
        <f t="shared" si="241"/>
        <v>2.0999999999999998E-2</v>
      </c>
      <c r="DZ195" s="1098">
        <f t="shared" si="242"/>
        <v>1.8164999999999997E-2</v>
      </c>
      <c r="EA195" s="1098">
        <f t="shared" si="243"/>
        <v>0</v>
      </c>
      <c r="EB195" s="1121">
        <f t="shared" si="244"/>
        <v>4.1901234374999996</v>
      </c>
      <c r="EC195" s="1101">
        <f t="shared" si="245"/>
        <v>272.99999999999994</v>
      </c>
      <c r="ED195" s="1097">
        <f t="shared" si="246"/>
        <v>181.04449999999994</v>
      </c>
      <c r="EE195" s="1110">
        <f t="shared" si="247"/>
        <v>272.99999999999994</v>
      </c>
      <c r="EF195" s="1092" t="s">
        <v>711</v>
      </c>
      <c r="EG195" s="1120">
        <f t="shared" si="248"/>
        <v>0.3</v>
      </c>
      <c r="EH195" s="1124"/>
      <c r="EI195" s="1093"/>
      <c r="EJ195" s="1093"/>
      <c r="EK195" s="1097">
        <f>IF($P195="","N/A",IF(P195=-1,INDEX('卡片raw data'!AS:AS,MATCH(D195,'卡片raw data'!$F:$F,)),0)+IF(AND(L195&lt;&gt;"party卡",P195&lt;=2,P195&gt;=0),INDEX('卡片raw data'!AU:AU,MATCH(D195,'卡片raw data'!$F:$F,)),0)+IF(OR(AND(L195="party卡",P195&lt;=1),AND(P195&lt;=4,L195&lt;&gt;"party卡",P195&gt;=3)),INDEX('卡片raw data'!AV:AV,MATCH(D195,'卡片raw data'!$F:$F,)),0)+IF(OR(P195=5,AND(L195="party卡",P195&gt;=2)),INDEX('卡片raw data'!AW:AW,MATCH(D195,'卡片raw data'!$F:$F,)),0))</f>
        <v>0</v>
      </c>
      <c r="EL195" s="1098">
        <f t="shared" si="249"/>
        <v>0.3</v>
      </c>
      <c r="EM195" s="1098">
        <f t="shared" si="250"/>
        <v>0.3</v>
      </c>
      <c r="EN195" s="1125">
        <f t="shared" si="251"/>
        <v>0</v>
      </c>
      <c r="EO195" s="1125">
        <f t="shared" si="252"/>
        <v>0</v>
      </c>
      <c r="EP195" s="1098">
        <f t="shared" si="253"/>
        <v>0</v>
      </c>
      <c r="EQ195" s="1121">
        <f t="shared" si="254"/>
        <v>0</v>
      </c>
      <c r="ER195" s="1101">
        <f t="shared" si="255"/>
        <v>0</v>
      </c>
      <c r="ES195" s="1097">
        <f t="shared" si="256"/>
        <v>0</v>
      </c>
      <c r="ET195" s="1122">
        <f t="shared" si="257"/>
        <v>0</v>
      </c>
    </row>
    <row r="196" spans="2:150" ht="16.5" customHeight="1">
      <c r="B196" s="1123" t="str">
        <f>INDEX('卡片raw data'!B:B,MATCH($D196,'卡片raw data'!$F:$F,))</f>
        <v>魔法希</v>
      </c>
      <c r="C196" s="449" t="s">
        <v>66</v>
      </c>
      <c r="D196" s="408">
        <v>193</v>
      </c>
      <c r="E196" s="1090">
        <v>300073001</v>
      </c>
      <c r="F196" s="1090" t="str">
        <f>INDEX('卡片raw data'!C:C,MATCH($D196,'卡片raw data'!$F:$F,))</f>
        <v>UR</v>
      </c>
      <c r="G196" s="1094" t="s">
        <v>30</v>
      </c>
      <c r="H196" s="411">
        <f>IFERROR(INDEX(绊状态确认!C:C,MATCH($G196,绊状态确认!$B:$B,)),"")</f>
        <v>7</v>
      </c>
      <c r="I196" s="450" t="str">
        <f>IFERROR(INDEX(绊状态确认!D:D,MATCH($G196,绊状态确认!$B:$B,)),"")</f>
        <v>缪</v>
      </c>
      <c r="J196" s="450" t="str">
        <f>IFERROR(INDEX(绊状态确认!E:E,MATCH($G196,绊状态确认!$B:$B,)),"")</f>
        <v>3年级</v>
      </c>
      <c r="K196" s="451" t="str">
        <f>IFERROR(INDEX(绊状态确认!F:F,MATCH($G196,绊状态确认!$B:$B,)),"")</f>
        <v>lilywhite</v>
      </c>
      <c r="L196" s="1094" t="str">
        <f>INDEX('卡片raw data'!E:E,MATCH($D196,'卡片raw data'!$F:$F,))</f>
        <v>卡池卡</v>
      </c>
      <c r="M196" s="415">
        <v>43913</v>
      </c>
      <c r="N196" s="416">
        <v>12</v>
      </c>
      <c r="O196" s="1091" t="str">
        <f>INDEX('卡片raw data'!D:D,MATCH($D196,'卡片raw data'!$F:$F,))</f>
        <v>vo</v>
      </c>
      <c r="P196" s="417">
        <v>5</v>
      </c>
      <c r="Q196" s="1095">
        <f t="shared" ref="Q196:Q259" si="258">IF($P196="",0,AW196+BI196+BO196+BT196+CU196+EC196+ER196+CC196+DL196+BL196)</f>
        <v>66461.782493024322</v>
      </c>
      <c r="R196" s="1096">
        <f t="shared" ref="R196:R259" si="259">_xlfn.FLOOR.MATH(IF($P196="","N/A",Q196/$EW$81)*1000)/1000</f>
        <v>0.77200000000000002</v>
      </c>
      <c r="S196" s="1097">
        <f t="shared" ref="S196:S259" si="260">IF($P196="",0,BH196+BJ196+BP196+BU196+CV196+ED196+ES196+CD196+DM196+BM196)</f>
        <v>20546.173237314364</v>
      </c>
      <c r="T196" s="1098">
        <f t="shared" ref="T196:T259" si="261">_xlfn.FLOOR.MATH(IF($P196="","N/A",S196/($FI$24/3))*1000)/1000</f>
        <v>1.0269999999999999</v>
      </c>
      <c r="U196" s="1099">
        <f t="shared" ref="U196:U259" si="262">$EW$64*(IF(O196="vo",-0.05)+IF(O196="gd",0.05))+CP196*(IF(CK196="减伤",$EW$64*(1-$EW$75))+IF(OR(CK196="加盾",AND(CK196="回血",OR(CI196&lt;&gt;"切队",CO196=""))),1))+DG196*(IF(DB196="减伤",$EW$64*(1-$EW$75))+IF(OR(DB196="加盾",AND(DB196="回血",OR(CZ196&lt;&gt;"切队",DF196=""))),1))+AR196*$EW$78/$EW$65+BW196+CF196+DY196*(1+IF(O196="sk",0.05)+IF(O196="sp",-0.05))*(IF(DQ196="减伤",$EW$64*(1-$EW$75))+IF(OR(DQ196="回血",DQ196="加盾"),1))+EN196*(1+IF(O196="sk",0.05)+IF(O196="sp",-0.05))*(IF(EF196="减伤",$EW$64*(1-$EW$75))+IF(OR(EF196="回血",EF196="加盾"),1))</f>
        <v>-10.455400345257145</v>
      </c>
      <c r="V196" s="1100">
        <f t="shared" ref="V196:V259" si="263">IF($P196="",0,AY196+BK196+BO196+BX196+CX196+EE196+ET196+CG196+DO196+BL196)</f>
        <v>66323.49877595868</v>
      </c>
      <c r="W196" s="1101">
        <f t="shared" ref="W196:W259" si="264">IF($P196="",0,BO196+BV196+CW196+CE196+DN196)</f>
        <v>11491.221857140206</v>
      </c>
      <c r="X196" s="1096">
        <f t="shared" ref="X196:X259" si="265">_xlfn.FLOOR.MATH(IF($P196="","N/A",W196/$EW$81)*1000)/1000</f>
        <v>0.13300000000000001</v>
      </c>
      <c r="Y196" s="1097">
        <f t="shared" ref="Y196:Y259" si="266">IF($P196="",0,AA196-W196)</f>
        <v>1166.3847331760462</v>
      </c>
      <c r="Z196" s="1102">
        <f t="shared" ref="Z196:Z259" si="267">CP196*IF(OR(CI196="ap时",CI196="ct时"),0,1)*(IF(CK196="减伤",$EW$64*(1-$EW$75))+IF(OR(CK196="加盾",AND(CK196="回血",OR(CI196&lt;&gt;"切队",CO196=""))),1))+DG196*IF(OR(CZ196="ap时",CZ196="ct时"),0,1)*(IF(DB196="减伤",$EW$64*(1-$EW$75))+IF(OR(DB196="加盾",AND(DB196="回血",OR(CZ196&lt;&gt;"切队",DF196=""))),1))+AR196*$EW$78/$EW$65+BW196+CF196</f>
        <v>14.544599654742855</v>
      </c>
      <c r="AA196" s="1103">
        <f t="shared" ref="AA196:AA259" si="268">IF($P196="",0,BO196+BY196+CY196+AX196+CH196+DP196)</f>
        <v>12657.606590316253</v>
      </c>
      <c r="AB196" s="1101">
        <f t="shared" ref="AB196:AB259" si="269">IF($P196="",0,BT196+CU196+BO196+CC196+DL196)</f>
        <v>11491.221857140205</v>
      </c>
      <c r="AC196" s="1104">
        <f t="shared" ref="AC196:AC259" si="270">_xlfn.FLOOR.MATH(IF($P196="","N/A",AB196/$EW$81)*1000)/1000</f>
        <v>0.13300000000000001</v>
      </c>
      <c r="AD196" s="1105">
        <f t="shared" ref="AD196:AD259" si="271">CS196+DJ196+EA196+EP196+IF(O196="sp",-0.05*FM$14*FM$15/2)+IF(O196="sk",0.05*FM$14*FM$15/2)+IF(O196="sk",FM$11^2/(3-FM$11)*FM$12)-IF(O196="sk",FM$10,FM$9)*IF(O196="sk",FM$18,FM$17)*($FM$14-DR196)</f>
        <v>0</v>
      </c>
      <c r="AE196" s="1128">
        <f t="shared" ref="AE196:AE259" si="272">AD196/FM$18*FM$29+CT196+DK196+EB196+EQ196+IF(O196="sp",0.05*$FM$9*3*FM$26)-IF(O196="gd",0.05*$FM$9*3*FM$26)+IF(O196="sp",300*1/3*$FM$11/2)+IF(O196="sk",FM$11^2/(3-FM$11)*FM$13)+IF(F196="R",-100*IF(O196="sk",FM$10,FM$9))+IF(F196="SR",-50*IF(O196="sk",FM$10,FM$9))</f>
        <v>0</v>
      </c>
      <c r="AF196" s="1130">
        <f t="shared" ref="AF196:AF259" si="273">IF(OR(DQ196="回血",DQ196="加盾"),EN196/EL196*3*2*IF(EG196=0.11,$EW$71,$EW$70)+DY196/DW196*3*2*IF(DR196=0.11,$EW$71,$EW$70)+IF(O196="gd",AR196*0.05)+IF(OR(CK196="回血",CK196="加盾"),-(CR196-CP196)*6)+IF(AND(CI196="切队",CO196=""),CP196/$EW$79*$EW$65*2),0)</f>
        <v>0</v>
      </c>
      <c r="AG196" s="420">
        <f t="shared" ref="AG196:AG259" si="274">IF(OR(DQ196="回血",DQ196="加盾"),MAX($EW$64*$EW$65*IF(CK196="减伤",(1-IF(CI196="切队",IF(CO196&lt;&gt;"",MAX(CO196/$EW$79,1),0),1)*CR196),1)-$EW$62*0.3+$EX$17-AR196-(BW196+CF196)/$EW$78*$EW$65-IF(OR(CK196="回血",CK196="加盾"),IF(CI196="切队",IF(CO196&lt;&gt;"",MAX(CO196/$EW$79,1),0),1)*CR196*$EW$65),0),0)</f>
        <v>0</v>
      </c>
      <c r="AH196" s="420">
        <f t="shared" ref="AH196:AH259" si="275">IFERROR(AG196/AF196,0)</f>
        <v>0</v>
      </c>
      <c r="AI196" s="1097">
        <f t="shared" ref="AI196:AI259" si="276">IF(OR(DQ196="回血",DQ196="加盾"),$EW$26*(1-$EW$66)/$EW$66-AH196*(($EW$26*IF(O196="sk",14/3-8/3*$EW$68,5-3*$EW$68)-2*3*Q196*$EW$69)/$EW$66)/$EW$65+($EW$26/3+$EW$26/$EW$24*0.05+$EW$61*4*$EW$26*$EX$5/$EX$11+$EW$28)-($EW$72-W196),0)</f>
        <v>0</v>
      </c>
      <c r="AJ196" s="420">
        <f t="shared" ref="AJ196:AJ259" si="277">IF(OR(DQ196="回血",DQ196="加盾"),V196,0)</f>
        <v>0</v>
      </c>
      <c r="AK196" s="518">
        <f t="shared" ref="AK196:AK259" si="278">IFERROR(AI196-AJ196,"")</f>
        <v>0</v>
      </c>
      <c r="AL196" s="1106">
        <f>IF($P196="","N/A",(IF($P196=-1,INDEX('卡片raw data'!S:S,MATCH($D196,'卡片raw data'!$F:$F,)),0)+IF($P196=0,INDEX('卡片raw data'!V:V,MATCH($D196,'卡片raw data'!$F:$F,)),0)+IF($P196=1,INDEX('卡片raw data'!Y:Y,MATCH($D196,'卡片raw data'!$F:$F,)),0)+IF($P196=2,INDEX('卡片raw data'!AB:AB,MATCH($D196,'卡片raw data'!$F:$F,)),0)+IF($P196=3,INDEX('卡片raw data'!AE:AE,MATCH($D196,'卡片raw data'!$F:$F,)),0)+IF($P196=4,INDEX('卡片raw data'!AH:AH,MATCH($D196,'卡片raw data'!$F:$F,)),0)+IF($P196=5,INDEX('卡片raw data'!AK:AK,MATCH($D196,'卡片raw data'!$F:$F,)),0)+INDEX('卡片raw data'!S:S,MATCH($D196,'卡片raw data'!$F:$F,))*(IF($F196="UR",0.04,0.033))*(IF($F196="UR",INDEX(绊状态确认!$S:$S,MATCH($G196,绊状态确认!$B:$B,))/2-40)+IF($F196="SR",INDEX(绊状态确认!$R:$R,MATCH($G196,绊状态确认!$B:$B,))/4-15))+IF($F196="R",INDEX(绊状态确认!$Q:$Q,MATCH($G196,绊状态确认!$B:$B,))/6-40/6)))*(INDEX(绊状态确认!$H:$H,MATCH($G196,绊状态确认!$B:$B,))+INDEX(绊状态确认!J:J,MATCH($G196,绊状态确认!$B:$B,)))</f>
        <v>13030.144223999998</v>
      </c>
      <c r="AM196" s="1106">
        <f>IF($P196="","N/A",(IF($P196=-1,INDEX('卡片raw data'!T:T,MATCH($D196,'卡片raw data'!$F:$F,)),0)+IF($P196=0,INDEX('卡片raw data'!W:W,MATCH($D196,'卡片raw data'!$F:$F,)),0)+IF($P196=1,INDEX('卡片raw data'!Z:Z,MATCH($D196,'卡片raw data'!$F:$F,)),0)+IF($P196=2,INDEX('卡片raw data'!AC:AC,MATCH($D196,'卡片raw data'!$F:$F,)),0)+IF($P196=3,INDEX('卡片raw data'!AF:AF,MATCH($D196,'卡片raw data'!$F:$F,)),0)+IF($P196=4,INDEX('卡片raw data'!AI:AI,MATCH($D196,'卡片raw data'!$F:$F,)),0)+IF($P196=5,INDEX('卡片raw data'!AL:AL,MATCH($D196,'卡片raw data'!$F:$F,)),0)+INDEX('卡片raw data'!T:T,MATCH($D196,'卡片raw data'!$F:$F,))*(IF($F196="UR",0.04,0.033))*(IF($F196="UR",INDEX(绊状态确认!$S:$S,MATCH($G196,绊状态确认!$B:$B,))/2-40)+IF($F196="SR",INDEX(绊状态确认!$R:$R,MATCH($G196,绊状态确认!$B:$B,))/4-15))+IF($F196="R",INDEX(绊状态确认!$Q:$Q,MATCH($G196,绊状态确认!$B:$B,))/6-40/6)))*(INDEX(绊状态确认!$H:$H,MATCH($G196,绊状态确认!$B:$B,))+INDEX(绊状态确认!K:K,MATCH($G196,绊状态确认!$B:$B,)))</f>
        <v>7964.0730239999984</v>
      </c>
      <c r="AN196" s="1106">
        <f>IF($P196="","N/A",(IF($P196=-1,INDEX('卡片raw data'!U:U,MATCH($D196,'卡片raw data'!$F:$F,)),0)+IF($P196=0,INDEX('卡片raw data'!X:X,MATCH($D196,'卡片raw data'!$F:$F,)),0)+IF($P196=1,INDEX('卡片raw data'!AA:AA,MATCH($D196,'卡片raw data'!$F:$F,)),0)+IF($P196=2,INDEX('卡片raw data'!AD:AD,MATCH($D196,'卡片raw data'!$F:$F,)),0)+IF($P196=3,INDEX('卡片raw data'!AG:AG,MATCH($D196,'卡片raw data'!$F:$F,)),0)+IF($P196=4,INDEX('卡片raw data'!AJ:AJ,MATCH($D196,'卡片raw data'!$F:$F,)),0)+IF($P196=5,INDEX('卡片raw data'!AM:AM,MATCH($D196,'卡片raw data'!$F:$F,)),0)+INDEX('卡片raw data'!U:U,MATCH($D196,'卡片raw data'!$F:$F,))*(IF($F196="UR",0.04,0.033))*(IF($F196="UR",INDEX(绊状态确认!$S:$S,MATCH($G196,绊状态确认!$B:$B,))/2-40)+IF($F196="SR",INDEX(绊状态确认!$R:$R,MATCH($G196,绊状态确认!$B:$B,))/4-15))+IF($F196="R",INDEX(绊状态确认!$Q:$Q,MATCH($G196,绊状态确认!$B:$B,))/6-40/6)))*(INDEX(绊状态确认!$H:$H,MATCH($G196,绊状态确认!$B:$B,))+INDEX(绊状态确认!L:L,MATCH($G196,绊状态确认!$B:$B,)))</f>
        <v>11161.266239999999</v>
      </c>
      <c r="AO196" s="1107">
        <f t="shared" ref="AO196:AO259" si="279">IF(OR($FE$5=C196,$FE$5="全"),1,0)</f>
        <v>1</v>
      </c>
      <c r="AP196" s="1131">
        <f>1+(INDEX(绊状态确认!$T:$T,MATCH($G196,绊状态确认!$B:$B,))+0.2)*$AO196</f>
        <v>1.3</v>
      </c>
      <c r="AQ196" s="1108">
        <f t="shared" ref="AQ196:AQ259" si="280">(AL196*(1+$EX$8)+$EX$34)*(1+$EW$15)*IF(AO196=0,1-$FE$6,1)*IF(AO196=1,1+$FE$7,1)*IF(O196="vo",1+$FE$8,1)*IF(O196="gd",1+$FE$9,1)*IF(O196="sp",1+$FE$10,1)*IF(O196="sk",1+$FE$11,1)*IF(I196=$FF$12,1+$FE$12,1)*IF(I196=$FF$13,1,1-$FE$13)*IF(I196=$FF$14,1+$FE$14,1)*IF(J196=$FF$16,1+$FE$16,1)*IF(J196=$FF$17,1+$FE$17,1)*IF(K196=$FF$18,1+$FE$18,1)*(1+$FE$15)</f>
        <v>37454.128587999992</v>
      </c>
      <c r="AR196" s="1097">
        <f>(AM196*(1+$EX$9)+$EX$35)*(1+(INDEX(绊状态确认!$T:$T,MATCH($G196,绊状态确认!$B:$B,))+0.2)*AO196)*IF(J196=$FF$17,1+$FE$17,1)*IF(I196=$FF$14,1+$FE$14,1)*(1+$FE$15)</f>
        <v>13574.959677759998</v>
      </c>
      <c r="AS196" s="1097">
        <f>(AN196*(1+$EX$10)+$EX$36)*(1+(INDEX(绊状态确认!$T:$T,MATCH($G196,绊状态确认!$B:$B,))+0.2)*AO196)*IF(J196=$FF$17,1+$FE$17,1)*IF(I196=$FF$14,1+$FE$14,1)*(1+$FE$15)</f>
        <v>20742.093028799998</v>
      </c>
      <c r="AT196" s="1093">
        <f>IF(AND(INDEX('卡片raw data'!AK:AK,MATCH($D196,'卡片raw data'!$F:$F,))&lt;INDEX('卡片raw data'!AM:AM,MATCH($D196,'卡片raw data'!$F:$F,)),INDEX('卡片raw data'!AL:AL,MATCH($D196,'卡片raw data'!$F:$F,))&lt;INDEX('卡片raw data'!AM:AM,MATCH($D196,'卡片raw data'!$F:$F,))),1,0)</f>
        <v>0</v>
      </c>
      <c r="AU196" s="1098">
        <f>MIN(AT196*0.15+AS196*0.00003+INDEX(绊状态确认!M:M,MATCH($G196,绊状态确认!$B:$B,)),1)</f>
        <v>0.65226279086399996</v>
      </c>
      <c r="AV196" s="1109">
        <f>(INDEX(绊状态确认!$N:$N,MATCH($G196,绊状态确认!$B:$B,))+1.5)*$EW$21</f>
        <v>2.6599999999999997</v>
      </c>
      <c r="AW196" s="1101">
        <f t="shared" ref="AW196:AW259" si="281">AQ196*(1+(AV196-1)*AU196)*(AP196)*(1+EW$25)*EW$66/3*$EW$24</f>
        <v>40513.102597488847</v>
      </c>
      <c r="AX196" s="1097">
        <f t="shared" ref="AX196:AX259" si="282">$EW$26*(HP($EW$62,$EW$65,$EW$64-AR196*$EW$78/$EW$65)/$EW$66-1)</f>
        <v>1166.3847331760458</v>
      </c>
      <c r="AY196" s="1110">
        <f t="shared" ref="AY196:AY259" si="283">AW196+AX196</f>
        <v>41679.487330664895</v>
      </c>
      <c r="AZ196" s="429">
        <f t="shared" ref="AZ196:AZ259" si="284">(AL196*(1+$FB$8)+$FB$34)*IF(AO196=0,1-$FE$6,1)*IF(AO196=1,1+$FE$7,1)*IF(O196="vo",1+$FE$8,1)*IF(O196="gd",1+$FE$9,1)*IF(O196="sp",1+$FE$10,1)*IF(O196="sk",1+$FE$11,1)*IF(I196=$FF$12,1+$FE$12,1)*IF(I196=$FF$13,1,1-$FE$13)*IF(I196=$FF$14,1+$FE$14,1)*IF(J196=$FF$16,1+$FE$16,1)*IF(J196=$FF$17,1+$FE$17,1)*IF(K196=$FF$18,1+$FE$18,1)*(1+$FE$15)</f>
        <v>28008.781236799994</v>
      </c>
      <c r="BA196" s="431">
        <f t="shared" ref="BA196:BA259" si="285">AZ196*(1+$FA$15)</f>
        <v>33610.537484159991</v>
      </c>
      <c r="BB196" s="1097">
        <f>(AM196*(1+$FB$9)+$FB$35)*(1+(INDEX(绊状态确认!$T:$T,MATCH($G196,绊状态确认!$B:$B,))+0.2)*AO196)*IF(J196=$FF$17,1+$FE$17,1)*IF(I196=$FF$14,1+$FE$14,1)*(1+$FE$15)</f>
        <v>13574.959677759998</v>
      </c>
      <c r="BC196" s="1097">
        <f>(AN196*(1+$FB$10)+$FB$36)*(1+(INDEX(绊状态确认!$T:$T,MATCH($G196,绊状态确认!$B:$B,))+0.2)*AO196)*IF(J196=$FF$17,1+$FE$17,1)*IF(I196=$FF$14,1+$FE$14,1)*(1+$FE$15)</f>
        <v>20742.093028799998</v>
      </c>
      <c r="BD196" s="1104">
        <f>MIN(AT196*0.15+BC196*0.00003+INDEX(绊状态确认!M:M,MATCH($G196,绊状态确认!$B:$B,)),1)</f>
        <v>0.65226279086399996</v>
      </c>
      <c r="BE196" s="432">
        <f>(INDEX(绊状态确认!$N:$N,MATCH($G196,绊状态确认!$B:$B,))+1.5)</f>
        <v>1.9</v>
      </c>
      <c r="BF196" s="1139">
        <f t="array" ref="BF196">SUMPRODUCT(IF(AZ196*AP196*$FI$16:$FI$23*$FA$22&gt;=$FI$24,$FI$24,AZ196*AP196*$FI$16:$FI$23*$FA$22),$FJ$16:$FJ$23)</f>
        <v>54047.301451761596</v>
      </c>
      <c r="BG196" s="1125">
        <f t="array" ref="BG196">SUMPRODUCT(IF(BE196*AZ196*AP196*$FI$16:$FI$23*$FA$22&gt;=$FI$24,$FI$24,BE196*AZ196*AP196*$FI$16:$FI$23*$FA$22),$FJ$16:$FJ$23)</f>
        <v>60000</v>
      </c>
      <c r="BH196" s="1110">
        <f t="shared" ref="BH196:BH259" si="286">((1-$BD196)*BF196+$BD196*BG196)/3</f>
        <v>19310.008406669218</v>
      </c>
      <c r="BI196" s="1111">
        <f>IF(O196="vo",$EW$26/$EW$24*0.05,0)+IF(O196="sk",-$EW$26/$EW$24*(0.05-INDEX(绊状态确认!W:W,MATCH($G196,绊状态确认!$B:$B,)))+0.05*$EW$28,0)+IF(O196="sp",0.05*$EW$32*$EW$30*(1-$EW$33)-(0.05-INDEX(绊状态确认!V:V,MATCH($G196,绊状态确认!$B:$B,)))*$EW$28,0)+IF(O196="gd",-(0.05-INDEX(绊状态确认!X:X,MATCH($G196,绊状态确认!$B:$B,)))*$EW$32*$EW$30*(1-$EW$33),0)</f>
        <v>7726.3029277443748</v>
      </c>
      <c r="BJ196" s="1097">
        <f>IF(O196="vo",0.05*(1-$FI$26)*$FA$24,0)+IF(O196="sk",-(0.05-INDEX(绊状态确认!W:W,MATCH($G196,绊状态确认!$B:$B,)))*(1-$FI$26)*$FA$24+0.05*$FA$26,0)+IF(O196="sp",0.05*$FA$32*$FA$27*(1-$FA$33)/$FA$30+0.05*$FA$29/$FA$69*$FA$27*(1-$FA$33)-(0.05-INDEX(绊状态确认!V:V,MATCH($G196,绊状态确认!$B:$B,)))*$FA$26,0)+IF(O196="gd",-(0.05-INDEX(绊状态确认!X:X,MATCH($G196,绊状态确认!$B:$B,)))*$FA$32*$FA$27*(1-$FA$33)/$FA$30-(0.05-INDEX(绊状态确认!X:X,MATCH($G196,绊状态确认!$B:$B,)))*$FA$29/$FA$69*$FA$27*(1-$FA$33),0)</f>
        <v>393.93433687500004</v>
      </c>
      <c r="BK196" s="1110">
        <f>IF(O196="vo",$EW$26/$EW$24*0.05+$EW$26*(-HP($EW$62,$EW$65,$EW$64)+HP($EW$62,$EW$65,(1.05-INDEX(绊状态确认!U:U,MATCH($G196,绊状态确认!$B:$B,)))*$EW$64)),0)+IF(O196="sk",-$EW$26/$EW$24*(0.05-INDEX(绊状态确认!W:W,MATCH($G196,绊状态确认!$B:$B,)))+0.05*$EW$29,0)+IF(O196="sp",0.05*$EW$32*$EW$30*(1-$EW$33)-(0.05-INDEX(绊状态确认!V:V,MATCH($G196,绊状态确认!$B:$B,)))*$EW$29,0)+IF(O196="gd",-(0.05-INDEX(绊状态确认!X:X,MATCH($G196,绊状态确认!$B:$B,)))*$EW$32*$EW$30*(1-$EW$33)+$EW$26*(-HP($EW$62,$EW$65,$EW$64)+HP($EW$62,$EW$65,0.95*$EW$64)),0)</f>
        <v>6421.6344775026746</v>
      </c>
      <c r="BL196" s="1111">
        <f t="shared" ref="BL196:BL259" si="287">(IF(F196="UR",0)+IF(F196="SR",-1/4)+IF(F196="R",-1/2))*1/3*$EW$31/$EW$77*$EW$30</f>
        <v>0</v>
      </c>
      <c r="BM196" s="1110">
        <f t="shared" ref="BM196:BM259" si="288">(IF(F196="UR",0)+IF(F196="SR",-1/4)+IF(F196="R",-1/2))*1/3*$FA$31/$FA$69*$FA$27</f>
        <v>0</v>
      </c>
      <c r="BN196" s="1113">
        <f t="shared" ref="BN196:BN259" si="289">IF($P196="","N/A",IF(P196=-1,IF(OR(L196="fes卡",L196="party卡"),2,1),IF(F196="UR",IF(L196="party卡",4-IF(P196=0,1),IF(L196="fes卡",4,3)-IF(P196&gt;=4,0,1)))+IF(F196="SR",IF(P196&gt;=4,3,2))+IF(F196="R",2)))</f>
        <v>3</v>
      </c>
      <c r="BO196" s="1097">
        <f t="shared" ref="BO196:BO259" si="290">$EW$61*$BN196*$EW$26*$EX$5/$EX$11</f>
        <v>4507.7214871259994</v>
      </c>
      <c r="BP196" s="1100">
        <f t="shared" ref="BP196:BP259" si="291">BN196*$FA$58*(1-$FI$26)*$FA$24*$FB$5/$FB$11</f>
        <v>221.34103209030098</v>
      </c>
      <c r="BQ196" s="1113" t="s">
        <v>143</v>
      </c>
      <c r="BR196" s="1124" t="s">
        <v>147</v>
      </c>
      <c r="BS196" s="1098">
        <f>IF($P196="","N/A",IF($P196=-1,INDEX('卡片raw data'!AX:AX,MATCH($D196,'卡片raw data'!$F:$F,)),0)+IF($L196="party卡",IF($P196=5,INDEX('卡片raw data'!BD:BD,MATCH($D196,'卡片raw data'!$F:$F,)),IF($P196&gt;=3,INDEX('卡片raw data'!BC:BC,MATCH($D196,'卡片raw data'!$F:$F,)),INDEX('卡片raw data'!BB:BB,MATCH($D196,'卡片raw data'!$F:$F,)))),IF(OR(AND($F196="UR",$P196=0),AND($F196="SR",$P196&gt;=0,$P196&lt;=2),AND($F196="R",$P196&gt;=0,$P196&lt;4)),INDEX('卡片raw data'!AZ:AZ,MATCH($D196,'卡片raw data'!$F:$F,)),0)+IF(OR(AND($F196="UR",$P196&gt;=1,$P196&lt;=4),AND($F196="SR",$P196&lt;=4,$P196&gt;=3),AND($F196="R",$P196=4)),INDEX('卡片raw data'!BA:BA,MATCH($D196,'卡片raw data'!$F:$F,)),0)+IF($P196=5,INDEX('卡片raw data'!BB:BB,MATCH($D196,'卡片raw data'!$F:$F,)),0)))</f>
        <v>4.2000000000000003E-2</v>
      </c>
      <c r="BT196" s="1101">
        <f t="shared" ref="BT196:BT259" si="292">IF(BQ196="ap",BS196*$EX$5/$EX$11*(+IF(BR196="全员",$EW$26,0)+IF(BR196="同作战",$EW$26,0)+IF(BR196="仲间",$EW$26*2/3,0)+IF(BR196="同属性",$EW$26*$EW$37/3,0)+IF(BR196="同年级",$EW$26*$EW$40/3,0)+IF(BR196="同学校",$EW$26*$EW$43/3,0)+IF(BR196="同小队",$EW$26*$EW$46/3,0)+IF(BR196="同type",$EW$26*INDEX($EX$49:$EX$52,MATCH(O196,$EW$49:$EW$52,))/3,0)+IF(BR196="自身",$AW196,0)),0)+IF(BQ196="te",BS196*($EW$22-1)*0.00003*$EX$7/$EX$13*(+IF(BR196="全员",$EX$18*$EW$26/(1+($EW$22-1)*$EW$19),0)+IF(BR196="同作战",$EX$18*$EW$26/(1+($EW$22-1)*$EW$19),0)+IF(BR196="仲间",$EX$18*$EW$26/(1+($EW$22-1)*$EW$19)*2/3,0)+IF(BR196="同属性",$EX$18*$EW$26/(1+($EW$22-1)*$EW$19)*$EW$37/3,0)+IF(BR196="同年级",$EX$18*$EW$26/(1+($EW$22-1)*$EW$19)*$EW$40/3,0)+IF(BR196="同学校",$EX$18*$EW$26/(1+($EW$22-1)*$EW$19)*$EW$43/3,0)+IF(BR196="同小队",$EX$18*$EW$26/(1+($EW$22-1)*$EW$19)*$EW$46/3,0)+IF(BR196="同type",$EX$18*$EW$26/(1+($EW$22-1)*$EW$19)*INDEX($EX$49:$EX$52,MATCH(O196,$EW$49:$EW$52,))/3,0)+IF(BR196="自身",$AS196*$AW196/(1+(AV196-1)*$AU196),0)),0)</f>
        <v>3155.4050409881997</v>
      </c>
      <c r="BU196" s="1097">
        <f t="shared" ref="BU196:BU259" si="293">IF(BQ196="ap",BS196*(1-$FI$26)*$FB$5/$FB$11*(+IF(BR196="全员",$FA$24,0)+IF(BR196="同作战",$FA$24,0)+IF(BR196="仲间",$FA$24*2/3,0)+IF(BR196="同属性",$FA$24*$FA$37/3,0)+IF(BR196="同年级",$FA$24*$FA$40/3,0)+IF(BR196="同学校",$FA$24*$FA$43/3,0)+IF(BR196="同小队",$FA$24*$FA$46/3,0)+IF(BR196="同type",$FA$24*INDEX($FB$49:$FB$52,MATCH(O196,$FA$49:$FA$52,))/3,0)+IF(BR196="自身",BH196/3,0)),0)+IF(BQ196="te",BS196*(1-$FI$27)*($FA$20-1)*$FB$7/$FB$13*(+IF(BR196="全员",$FA$19*$FA$24/(1+($FA$20-1)*$FA$19),0)+IF(BR196="同作战",$FA$19*$FA$24/(1+($FA$20-1)*$FA$19),0)+IF(BR196="仲间",$FA$19*$FA$24*2/3/(1+($FA$20-1)*$FA$19),0)+IF(BR196="同属性",$FA$19*$FA$24*$FA$37/3/(1+($FA$20-1)*$FA$19),0)+IF(BR196="同年级",$FA$19*$FA$24*$FA$40/3/(1+($FA$20-1)*$FA$19),0)+IF(BR196="同学校",$FA$19*$FA$24*$FA$43/3/(1+($FA$20-1)*$FA$19),0)+IF(BR196="同小队",$FA$19*$FA$24*$FA$46/3/(1+($FA$20-1)*$FA$19),0)+IF(BR196="同type",$FA$19*$FA$24*INDEX($FB$49:$FB$52,MATCH(O196,$FA$49:$FA$52,))/3/(1+($FA$20-1)*$FA$19),0)+IF(BR196="自身",$FA$19*BH196/3/(1+(AV196-1)*$BD196),0)),0)</f>
        <v>154.93872246321072</v>
      </c>
      <c r="BV196" s="1097">
        <f t="shared" ref="BV196:BV259" si="294">IF(BQ196="ap",BS196*$EW$26*$EX$5/$EX$11*(+IF(BR196="全员",1,0)+IF(BR196="仲间",1,0)+IF(BR196="同属性",$EW$38/3,0)+IF(BR196="同年级",$EW$41/3,0)+IF(BR196="同学校",$EW$44/3,0)+IF(BR196="同小队",$EW$47/3,0)+IF(BR196="同type",INDEX($EX$53:$EX$56,MATCH(O196,$EW$53:$EW$56,))/3,0)),0)+IF(BQ196="te",BS196*($EW$22-1)*0.00003*$EX$18*$EW$26/(1+($EW$22-1)*$EW$19)*$EX$7/$EX$13*(+IF(BR196="全员",1,0)+IF(BR196="仲间",1,0)+IF(BR196="同属性",$EW$38/3,0)+IF(BR196="同年级",$EW$41/3,0)+IF(BR196="同学校",$EW$44/3,0)+IF(BR196="同小队",$EW$47/3,0)+IF(BR196="同type",INDEX($EX$53:$EX$56,MATCH(O196,$EW$53:$EW$56,))/3,0)),0)</f>
        <v>3155.4050409882002</v>
      </c>
      <c r="BW196" s="1112">
        <f t="shared" ref="BW196:BW259" si="295">IF(BQ196="st",BS196*$EX$6/$EX$12*(+IF(BR196="全员",$EX$17*9,0)+IF(BR196="仲间",$EX$17*8,0)+IF(BR196="同作战",$EX$17*3,0)+IF(BR196="同属性",$EX$17*$EW$39,0)+IF(BR196="同年级",$EX$17*$EW$42,0)+IF(BR196="同学校",$EX$17*$EW$45,0)+IF(BR196="同小队",$EX$17*$EW$48,0)+IF(BR196="同type",$EX$17*INDEX($EX$57:$EX$60,MATCH(O196,$EW$57:$EW$60,)),0)+IF(BR196="自身",$AR196)),0)/$EW$65*$EW$78</f>
        <v>0</v>
      </c>
      <c r="BX196" s="1100">
        <f t="shared" ref="BX196:BX259" si="296">IF(BQ196="st",$EW$26*(HP($EW$62,$EW$65,$EW$64-BW196)/$EW$66-1),BT196)</f>
        <v>3155.4050409881997</v>
      </c>
      <c r="BY196" s="1110">
        <f t="shared" ref="BY196:BY259" si="297">IF(BQ196="st",$EW$26*(HP($EW$62,$EW$65,$EW$64-BW196)/$EW$66-1),BV196)</f>
        <v>3155.4050409882002</v>
      </c>
      <c r="BZ196" s="1107" t="s">
        <v>569</v>
      </c>
      <c r="CA196" s="1124"/>
      <c r="CB196" s="1098">
        <f>IF($P196="","N/A",IF($P196=-1,INDEX('卡片raw data'!BE:BE,MATCH($D196,'卡片raw data'!$F:$F,)),0)+IF($L196="party卡",IF($P196=5,INDEX('卡片raw data'!BK:BK,MATCH($D196,'卡片raw data'!$F:$F,)),IF($P196&gt;=3,INDEX('卡片raw data'!BJ:BJ,MATCH($D196,'卡片raw data'!$F:$F,)),INDEX('卡片raw data'!BI:BI,MATCH($D196,'卡片raw data'!$F:$F,)))),IF(OR(AND($F196="UR",$P196=0),AND($F196="SR",$P196&gt;=0,$P196&lt;=2),AND($F196="R",$P196&gt;=0,$P196&lt;4)),INDEX('卡片raw data'!BG:BG,MATCH($D196,'卡片raw data'!$F:$F,)),0)+IF(OR(AND($F196="UR",$P196&gt;=1,$P196&lt;=4),AND($F196="SR",$P196&lt;=4,$P196&gt;=3),AND($F196="R",$P196=4)),INDEX('卡片raw data'!BH:BH,MATCH($D196,'卡片raw data'!$F:$F,)),0)+IF($P196=5,INDEX('卡片raw data'!BI:BI,MATCH($D196,'卡片raw data'!$F:$F,)),0)))</f>
        <v>0</v>
      </c>
      <c r="CC196" s="1101">
        <f t="shared" ref="CC196:CC259" si="298">IF(BZ196="ap",CB196*$EX$5/$EX$11*(+IF(CA196="全员",$EW$26,0)+IF(CA196="同作战",$EW$26,0)+IF(CA196="仲间",$EW$26*2/3,0)+IF(CA196="同属性",$EW$26*$EW$37/3,0)+IF(CA196="同年级",$EW$26*$EW$40/3,0)+IF(CA196="同学校",$EW$26*$EW$43/3,0)+IF(CA196="同小队",$EW$26*$EW$46/3,0)+IF(CA196="同type",$EW$26*INDEX($EX$49:$EX$52,MATCH(O196,$EW$49:$EW$52,))/3,0)+IF(CA196="自身",$AW196,0)),0)+IF(BZ196="te",CB196*($EW$22-1)*0.00003*$EX$7/$EX$13*(+IF(CA196="全员",$EX$18*$EW$26/(1+($EW$22-1)*$EW$19),0)+IF(CA196="同作战",$EX$18*$EW$26/(1+($EW$22-1)*$EW$19),0)+IF(CA196="仲间",$EX$18*$EW$26/(1+($EW$22-1)*$EW$19)*2/3,0)+IF(CA196="同属性",$EX$18*$EW$26/(1+($EW$22-1)*$EW$19)*$EW$37/3,0)+IF(CA196="同年级",$EX$18*$EW$26/(1+($EW$22-1)*$EW$19)*$EW$40/3,0)+IF(CA196="同学校",$EX$18*$EW$26/(1+($EW$22-1)*$EW$19)*$EW$43/3,0)+IF(CA196="同小队",$EX$18*$EW$26/(1+($EW$22-1)*$EW$19)*$EW$46/3,0)+IF(CA196="同type",$EX$18*$EW$26/(1+($EW$22-1)*$EW$19)*INDEX($EX$49:$EX$52,MATCH(O196,$EW$49:$EW$52,))/3,0)+IF(CA196="自身",$AS196*$AW196/(1+(AV196-1)*$AU196),0)),0)</f>
        <v>0</v>
      </c>
      <c r="CD196" s="1097">
        <f>IF(BZ196="ap",CB196*(1-$FI$26)*$FB$5/$FB$11*(+IF(CA196="全员",$FA$24,0)+IF(CA196="同作战",$FA$24,0)+IF(CA196="仲间",$FA$24*2/3,0)+IF(CA196="同属性",$FA$24*$FA$37/3,0)+IF(CA196="同年级",$FA$24*$FA$40/3,0)+IF(CA196="同学校",$FA$24*$FA$43/3,0)+IF(CA196="同小队",$FA$24*$FA$46/3,0)+IF(CA196="同type",$FA$24*INDEX($FB$49:$FB$52,MATCH(X196,$FA$49:$FA$52,))/3,0)+IF(CA196="自身",#REF!/3,0)),0)+IF(BZ196="te",CB196*(1-$FI$27)*($FA$20-1)*$FB$7/$FB$13*(+IF(CA196="全员",$FA$19*$FA$24/(1+($FA$20-1)*$FA$19),0)+IF(CA196="同作战",$FA$19*$FA$24/(1+($FA$20-1)*$FA$19),0)+IF(CA196="仲间",$FA$19*$FA$24*2/3/(1+($FA$20-1)*$FA$19),0)+IF(CA196="同属性",$FA$19*$FA$24*$FA$37/3/(1+($FA$20-1)*$FA$19),0)+IF(CA196="同年级",$FA$19*$FA$24*$FA$40/3/(1+($FA$20-1)*$FA$19),0)+IF(CA196="同学校",$FA$19*$FA$24*$FA$43/3/(1+($FA$20-1)*$FA$19),0)+IF(CA196="同小队",$FA$19*$FA$24*$FA$46/3/(1+($FA$20-1)*$FA$19),0)+IF(CA196="同type",$FA$19*$FA$24*INDEX($FB$49:$FB$52,MATCH(X196,$FA$49:$FA$52,))/3/(1+($FA$20-1)*$FA$19),0)+IF(CA196="自身",$FA$19*#REF!/3/(1+(BH196-1)*$BD196),0)),0)</f>
        <v>0</v>
      </c>
      <c r="CE196" s="1097">
        <f t="shared" ref="CE196:CE259" si="299">IF(BZ196="ap",CB196*$EW$26*$EX$5/$EX$11*(+IF(CA196="全员",1,0)+IF(CA196="仲间",1,0)+IF(CA196="同属性",$EW$38/3,0)+IF(CA196="同年级",$EW$41/3,0)+IF(CA196="同学校",$EW$44/3,0)+IF(CA196="同小队",$EW$47/3,0)+IF(CA196="同type",INDEX($EX$53:$EX$56,MATCH(X196,$EW$53:$EW$56,))/3,0)),0)+IF(BZ196="te",CB196*($EW$22-1)*0.00003*$EX$18*$EW$26/(1+($EW$22-1)*$EW$19)*$EX$7/$EX$13*(+IF(CA196="全员",1,0)+IF(CA196="仲间",1,0)+IF(CA196="同属性",$EW$38/3,0)+IF(CA196="同年级",$EW$41/3,0)+IF(CA196="同学校",$EW$44/3,0)+IF(CA196="同小队",$EW$47/3,0)+IF(CA196="同type",INDEX($EX$53:$EX$56,MATCH(X196,$EW$53:$EW$56,))/3,0)),0)</f>
        <v>0</v>
      </c>
      <c r="CF196" s="1112">
        <f t="shared" ref="CF196:CF259" si="300">IF(BZ196="st",CB196*$EX$6/$EX$12*(+IF(CA196="全员",$EX$17*9,0)+IF(CA196="仲间",$EX$17*8,0)+IF(CA196="同作战",$EX$17*3,0)+IF(CA196="同属性",$EX$17*$EW$39,0)+IF(CA196="同年级",$EX$17*$EW$42,0)+IF(CA196="同学校",$EX$17*$EW$45,0)+IF(CA196="同小队",$EX$17*$EW$48,0)+IF(CA196="同type",$EX$17*INDEX($EX$57:$EX$60,MATCH(O196,$EW$57:$EW$60,)),0)+IF(CA196="自身",$AR196)),0)/$EW$65*$EW$78</f>
        <v>0</v>
      </c>
      <c r="CG196" s="1100">
        <f t="shared" ref="CG196:CG259" si="301">IF(BZ196="st",$EW$26*(HP($EW$62,$EW$65,$EW$64-CF196)/$EW$66-1),CC196)</f>
        <v>0</v>
      </c>
      <c r="CH196" s="1110">
        <f t="shared" ref="CH196:CH259" si="302">IF(BZ196="st",$EW$26*(HP($EW$62,$EW$65,$EW$64-CF196)/$EW$66-1),CE196)</f>
        <v>0</v>
      </c>
      <c r="CI196" s="1113" t="s">
        <v>164</v>
      </c>
      <c r="CJ196" s="1114">
        <v>0.3</v>
      </c>
      <c r="CK196" s="1115" t="s">
        <v>153</v>
      </c>
      <c r="CL196" s="1115" t="s">
        <v>161</v>
      </c>
      <c r="CM196" s="1119">
        <v>0.05</v>
      </c>
      <c r="CN196" s="1115" t="s">
        <v>163</v>
      </c>
      <c r="CO196" s="1092">
        <v>1</v>
      </c>
      <c r="CP196" s="1118">
        <f t="shared" ref="CP196:CP259" si="303">IF(OR(CK196="无",CI196="大量伤害",CI196="AC失败",CI196="低血量",CK196="复活",CK196="驱散",CK196="Gd切队效果up"),0,IF(AND(CK196="sp获得",CI196="AC成功"),0,IF(CK196="其他",0,IF(CN196=0,CM196*(IF(CL196="ap",AQ196*IF(CK196="vo获得",AP196,1))+IF(CL196="st",AR196)+IF(CL196="te",AS196)+IF(CL196="sp槽",$EW$77)+IF(CL196="",1))*(IF(CI196="曲开始",CJ196,0)+IF(CI196="切队",IF(CO196&lt;&gt;"",MIN(CO196,CJ196*$EW$79),CJ196*$EW$79))+IF(CI196="SP发动",IF(CO196&lt;&gt;"",MIN(CO196,CJ196*$EW$76),CJ196*$EW$76))+IF(CI196="ap时",IF(CO196&lt;&gt;"",MIN(CO196,CJ196*$EW$65/3),CJ196*$EW$65/3),0)+IF(CI196="伤害时",IF(CO196&lt;&gt;"",MIN(CO196,CJ196*$EW$65*(1-$EW$75)),CJ196*$EW$65*(1-$EW$75)),0)+IF(CI196="ct时",IF(CO196&lt;&gt;"",MIN(CO196,CJ196*$EW$65/3*$AU196),CJ196*$EW$65/3*$AU196),0)+IF(OR(CI196="AC时",CI196="AC成功"),IF(CO196&lt;&gt;"",MIN(CO196,CJ196*$EW$73),CJ196*$EW$73))),0)/$EW$65+IF(CN196="infty",IF(OR(CI196="曲开始",AND(CJ196=1,CO196=1)),CM196*CJ196,IF(CI196="SP发动",IF(CO196=1,CM196*(1-(1-(1-CJ196)^($EW$76+1))/(($EW$76+1)*CJ196)))+IF(CO196="",CJ196*CM196*$EW$76/2),0)+IF(CI196="AC时",IF(CO196=1,CM196*(1-(1-(1-CJ196)^($EW$73+1))/(($EW$73+1)*CJ196)))+IF(CO196="",CJ196*CM196*$EW$73/2),0)+IF(CI196="AC成功",IF(CO196=1,CM196*(1-(1-(1-CJ196)^($EW$73+1))/(($EW$73+1)*CJ196)))+IF(CO196="",CJ196*CM196*$EW$73/2),0)),0)*(IF(CL196="全员",1,0)+IF(CL196="同属性",$EW$37/3,0)+IF(CL196="同年级",$EW$40/3,0)+IF(CL196="同作战",1,0)+IF(CL196="自身",1/3,0)+IF(CL196="同type",INDEX($EX$49:$EX$52,MATCH($O196,$EW$49:$EW$52,))/3))+IF(AND(CN196&lt;&gt;0,CN196&lt;&gt;"infty"),IF(CN196="AC内",$EW$74,CN196)*CM196*(IF(CI196="曲开始",CJ196,0)+IF(CI196="切队",IF(CO196&lt;&gt;"",MIN(CO196,CJ196*$EW$79),CJ196*$EW$79))+IF(CI196="SP发动",IF(CO196&lt;&gt;"",MIN(CO196,CJ196*$EW$76),CJ196*$EW$76))+IF(CI196="ap时",IF(CO196&lt;&gt;"",MIN(CO196,CJ196*$EW$65/3),CJ196*$EW$65/3),0)+IF(CI196="伤害时",IF(CO196&lt;&gt;"",MIN(CO196,CJ196*$EW$65*(1-$EW$75)),CJ196*$EW$65*(1-$EW$75)),0)+IF(CI196="ct时",IF(CO196&lt;&gt;"",MIN(CO196,CJ196*$EW$65/3*$AU196),CJ196*$EW$65/3*$AU196),0)+IF(OR(CI196="AC时",CI196="AC成功"),IF(CO196&lt;&gt;"",MIN(CO196,CJ196*$EW$73),CJ196*$EW$73))),0)/$EW$65*(IF(CL196="全员",1,0)+IF(CL196="同属性",$EW$37/3,0)+IF(CL196="同年级",$EW$40/3,0)+IF(CL196="同学校",$EW$43/3,0)+IF(CL196="同作战",1,0)+IF(CL196="自身",1/3,0)+IF(CL196="同type",INDEX($EX$49:$EX$52,MATCH($O196,$EW$49:$EW$52,))/3)-IF(AND(CK196="ct+",CL196&lt;&gt;"仲间"),MAX(CM196+$AU196-1,0)/CM196/3)))))</f>
        <v>2.8151292857142858E-2</v>
      </c>
      <c r="CQ196" s="1118">
        <f t="shared" ref="CQ196:CQ259" si="304">IF(OR(CK196="无",CI196="大量伤害",CI196="AC失败",CI196="低血量",CK196="复活",CK196="驱散",CK196="Gd切队效果up"),0,IF(AND(CK196="sp获得",CI196="AC成功"),0,IF(CK196="其他",0,IF(CN196=0,CM196*(IF(CL196="ap",BA196*IF(CK196="vo获得",AP196,1))+IF(CL196="st",BB196)+IF(CL196="te",BC196)+IF(CL196="sp槽",$FA$69)+IF(CL196="",1))*(IF(CK196="sp获得",$FA$30,1))*(IF(CI196="曲开始",CJ196,0)+IF(CI196="切队",IF(CO196&lt;&gt;"",MIN(CO196,CJ196*$FA$71),CJ196*$FA$71))+IF(CI196="SP发动",IF(CO196&lt;&gt;"",MIN(CO196,CJ196*$FA$68),CJ196*$FA$68))+IF(CI196="ap时",IF(CO196&lt;&gt;"",MIN(CO196,CJ196*$FA$62/3),CJ196*$FA$62/3),0)+IF(CI196="伤害时",IF(CO196&lt;&gt;"",MIN(CO196,CJ196*$FA$62*(1-$FA$67)),CJ196*$FA$62*(1-$FA$67)),0)+IF(CI196="ct时",IF(CO196&lt;&gt;"",MIN(CO196,CJ196*$FA$62/3*$BD196),CJ196*$FA$62/3*$BD196),0)+IF(OR(CI196="AC时",CI196="AC成功"),IF(CO196&lt;&gt;"",MIN(CO196,CJ196*$FA$65),CJ196*$FA$65))),0)/$FA$62+IF(CN196="infty",IF(OR(CI196="曲开始",AND(CJ196=1,CO196=1)),CM196*CJ196,IF(CI196="SP发动",IF(CO196=1,CM196*(1-(1-(1-CJ196)^($FA$68+1))/(($FA$68+1)*CJ196)))+IF(CO196="",CJ196*CM196*$FA$68/2),0)+IF(CI196="AC时",IF(CO196=1,CM196*(1-(1-(1-CJ196)^($FA$65+1))/(($FA$65+1)*CJ196)))+IF(CO196="",CJ196*CM196*$FA$65/2),0)+IF(CI196="AC成功",IF(CO196=1,CM196*(1-(1-(1-CJ196)^($FA$65+1))/(($FA$65+1)*CJ196)))+IF(CO196="",CJ196*CM196*$FA$65/2),0)),0)*(IF(CL196="全员",1,0)+IF(CL196="同属性",$FA$37/3,0)+IF(CL196="同年级",$FA$40/3,0)+IF(CL196="同作战",1,0)+IF(CL196="自身",1/3,0)+IF(CL196="同type",INDEX($FB$49:$FB$52,MATCH($O196,$FA$49:$FA$52,))/3))+IF(AND(CN196&lt;&gt;0,CN196&lt;&gt;"infty"),IF(CN196="AC内",$FA$66,CN196)*CM196*(IF(CI196="曲开始",CJ196,0)+IF(CI196="切队",IF(CO196&lt;&gt;"",MIN(CO196,CJ196*$FA$71),CJ196*$FA$71))+IF(CI196="SP发动",IF(CO196&lt;&gt;"",MIN(CO196,CJ196*$FA$68),CJ196*$FA$68))+IF(CI196="ap时",IF(CO196&lt;&gt;"",MIN(CO196,CJ196*$FA$62/3),CJ196*$FA$62/3),0)+IF(CI196="伤害时",IF(CO196&lt;&gt;"",MIN(CO196,CJ196*$FA$62*(1-$FA$67)),CJ196*$FA$62*(1-$FA$67)),0)+IF(CI196="ct时",IF(CO196&lt;&gt;"",MIN(CO196,CJ196*$FA$62/3*$BD196),CJ196*$FA$62/3*$BD196),0)+IF(OR(CI196="AC时",CI196="AC成功"),IF(CO196&lt;&gt;"",MIN(CO196,CJ196*$FA$65),CJ196*$FA$65))),0)/$FA$62*(IF(CL196="全员",1,0)+IF(CL196="同属性",$FA$37/3,0)+IF(CL196="同年级",$FA$40/3,0)+IF(CL196="同学校",$FA$43/3,0)+IF(CL196="同作战",1,0)+IF(CL196="自身",1/3,0)+IF(CL196="同type",INDEX($FB$49:$FB$52,MATCH($O196,$FA$49:$FA$52,))/3)-IF(AND(CK196="ct+",CL196&lt;&gt;"仲间"),MAX(CM196+$BD196-1,0)/3/CM196)))))</f>
        <v>2.8151292857142858E-2</v>
      </c>
      <c r="CR196" s="1118">
        <f t="shared" ref="CR196:CR259" si="305">IF(OR(CK196="无",CI196="大量伤害",CI196="AC失败",CI196="低血量",CK196="复活",CK196="驱散",CK196="Gd切队效果up"),0,IF(AND(CK196="sp获得",CI196="AC成功"),0,IF(CK196="其他",0,IF(CN196=0,CM196*(IF(CL196="ap",AQ196*IF(CK196="vo获得",AP196,1))+IF(CL196="st",AR196)+IF(CL196="te",AS196)+IF(CL196="sp槽",$EW$77)+IF(CL196="",1))*(IF(CI196="曲开始",CJ196,0)+IF(CI196="切队",IF(CO196&lt;&gt;"",MIN(CO196,CJ196*$EW$79),CJ196*$EW$79))+IF(CI196="SP发动",IF(CO196&lt;&gt;"",MIN(CO196,CJ196*$EW$76),CJ196*$EW$76))+IF(CI196="ap时",0)+IF(CI196="伤害时",IF(CO196&lt;&gt;"",MIN(CO196,CJ196*$EW$65*(1-$EW$75)),CJ196*$EW$65*(1-$EW$75)),0)+IF(CI196="ct时",0)+IF(OR(CI196="AC时",CI196="AC成功"),IF(CO196&lt;&gt;"",MIN(CO196,CJ196*$EW$73),CJ196*$EW$73))),0)/$EW$65+IF(CN196="infty",IF(OR(CI196="曲开始",AND(CJ196=1,CO196=1)),CM196*CJ196,IF(CI196="SP发动",IF(CO196=1,CM196*(1-(1-(1-CJ196)^($EW$76+1))/(($EW$76+1)*CJ196)))+IF(CO196="",CJ196*CM196*$EW$76/2),0)+IF(CI196="AC时",IF(CO196=1,CM196*(1-(1-(1-CJ196)^($EW$73+1))/(($EW$73+1)*CJ196)))+IF(CO196="",CJ196*CM196*$EW$73/2),0)+IF(CI196="AC成功",IF(CO196=1,CM196*(1-(1-(1-CJ196)^($EW$73+1))/(($EW$73+1)*CJ196)))+IF(CO196="",CJ196*CM196*$EW$73/2),0)),0)*(IF(CL196="全员",1,0)+IF(CL196="同属性",$EW$38/3,0)+IF(CL196="同年级",$EW$41/3,0)+IF(CL196="同作战",0,0)+IF(CL196="自身",0,0)+IF(CL196="同type",INDEX($EX$53:$EX$56,MATCH($O196,$EW$53:$EW$56,))/3))+IF(AND(CN196&lt;&gt;0,CN196&lt;&gt;"infty"),IF(CN196="AC内",$EW$74,CN196)*(IF(CI196="曲开始",CM196*CJ196,0)+IF(CI196="切队",CM196*IF(CO196&lt;&gt;"",MIN(CO196,CJ196*$EW$79),CJ196*$EW$79))+IF(CI196="SP发动",CM196*IF(CO196&lt;&gt;"",MIN(CO196,CJ196*$EW$76),CJ196*$EW$76))+IF(CI196="ap时",0,0)+IF(CI196="伤害时",CM196*IF(CO196&lt;&gt;"",MIN(CO196,CJ196*$EW$65*(1-$EW$75)),CJ196*$EW$65*(1-$EW$75)),0)+IF(CI196="ct时",0,0)+IF(OR(CI196="AC时",CI196="AC成功"),CM196*IF(CO196&lt;&gt;"",MIN(CO196,CJ196*$EW$73),CJ196*$EW$73))),0)/$EW$65*(IF(CL196="全员",1,0)+IF(CL196="同属性",$EW$38/3,0)+IF(CL196="同年级",$EW$41/3,0)+IF(CL196="同学校",$EW$44/3,0)+IF(CL196="同作战",0,0)+IF(CL196="自身",0,0)+IF(CL196="同type",INDEX($EX$53:$EX$56,MATCH($O196,$EW$53:$EW$56,))/3)))))</f>
        <v>2.8151292857142858E-2</v>
      </c>
      <c r="CS196" s="1118">
        <f t="shared" ref="CS196:CS259" si="306">IF(CK196="技能+",IF(CN196="infty",(IF(CI196="曲开始",CM196*CJ196)+IF(OR(CI196="AC时",CI196="AC成功"),(1-(1-(1-CJ196)^($FM$20+1))/(($FM$20+1)*CJ196))*CM196))*(IF(CL196="全员",1)))+IF(CN196&lt;&gt;"infty",CM196*(IF(CI196="曲开始",CJ196*CN196/$FM$19)+IF(OR(CI196="AC时",CI196="AC成功"),CN196*IF(CO196&lt;&gt;"",MIN(CO196,CJ196*$FM$20),CJ196*$FM$20)/$FM$19)+IF(CI196="切队",CN196*IF(CO196&lt;&gt;"",MIN(CJ196*$FM$11,CO196/$FM$19),CJ196*$FM$11))+IF(CI196="ap时",IF(CO196&lt;&gt;"",MIN(CO196/$FM211,IF($O196="sk",$FM$10,$FM$9)*CJ196),IF($O196="sk",$FM$10,$FM$9)*CJ196)*CN196)+IF(CI196="ct时",IF(CO196&lt;&gt;"",MIN(CO196/$FM211,$AU196*IF($O196="sk",$FM$10,$FM$9)*CJ196),$AU196*IF($O196="sk",$FM$10,$FM$9)*CJ196)*CN196))*(IF(CL196="全员",1)+IF(CL196="同作战",IF($O196="sk",$FM$10*3,$FM$9*3))+IF(CL196="同属性",$FM$23/6)+IF(CL196="同年级",$FM$24/6)+IF(CL196="自身",IF($O196="sk",$FM$10,$FM$9)))),0)*$FM$16</f>
        <v>0</v>
      </c>
      <c r="CT196" s="1109">
        <f t="shared" ref="CT196:CT259" si="307">IF(CK196="sp+",IF(CN196="infty",(IF(CI196="曲开始",CM196*CJ196*$FM$28)+IF(OR(CI196="AC时",CI196="AC成功"),(1-(1-(1-CJ196)^($FM$20+1))/(($FM$20+1)*CJ196))*CM196*$FM$28))*(IF(CL196="全员",1)))+IF(CN196&lt;&gt;"infty",CM196*$FM$28*(IF(CI196="曲开始",CJ196*CN196/$FM$19)+IF(OR(CI196="AC时",CI196="AC成功"),CN196*IF(CO196&lt;&gt;"",MIN(CO196,CJ196*$FM$20),CJ196*$FM$20)/$FM$19)+IF(CI196="切队",CN196*IF(CO196&lt;&gt;"",MIN(CJ196*$FM$11,CO196/$FM$19),CJ196*$FM$11))+IF(CI196="ap时",IF(CO196&lt;&gt;"",MIN(CO196/$FM211,IF($O196="sk",$FM$10,$FM$9)*CJ196),IF($O196="sk",$FM$10,$FM$9)*CJ196)*CN196)+IF(CI196="ct时",IF(CO196&lt;&gt;"",MIN(CO196/$FM211,$AU196*IF($O196="sk",$FM$10,$FM$9)*CJ196),$AU196*IF($O196="sk",$FM$10,$FM$9)*CJ196)*CN196))*(IF(CL196="全员",1)+IF(CL196="同作战",IF($O196="sk",$FM$10*3,$FM$9*3))+IF(CL196="同属性",$FM$23/6)+IF(CL196="同年级",$FM$24/6)+IF(CL196="同type",IF(O196="sp",$FN$6*$FM$9)))),0)+IF(CK196="sp获得",IF(CI196="AC成功",0,CM196*(IF(CL196="ap",AQ196)+IF(CL196="st",AR196)+IF(CL196="te",AS196)+IF(CL196="sp槽",$EW$77)+IF(CL196="",1))*IF($O196="sk",1,1+(1+$FM$10/$FM$9)*($FM$27-1))*(IF(CI196="曲开始",CJ196/$FM$19)+IF(CI196="SP发动",IF(CO196&lt;&gt;"",MIN(CO196/$FM$19,CJ196*$FM$30/$FM$19),CJ196*$FM$30/$FM$19))+IF(CI196="切队",IF(CO196&lt;&gt;"",MIN(CO196/$FM$19,CJ196*$FM$11),CJ196*$FM$11))+IF(OR(CI196="AC时",CI196="AC成功"),IF(CO196&lt;&gt;"",MIN(CO196/$FM$19,CJ196*$FM$20/$FM$19),CJ196*$FM$20/$FM$19))+IF(CI196="ap时",IF(CO196&lt;&gt;"",MIN(CO196/$FM$19,CJ196*IF($O196="sk",$FM$10,$FM$9)),CJ196*IF($O196="sk",$FM$10,$FM$9)))+IF(CI196="ct时",IF(CO196&lt;&gt;"",MIN(CO196/$FM$19,CJ196*IF($O196="sk",$FM$10,$FM$9)*$AU196),CJ196*IF($O196="sk",$FM$10,$FM$9)*$AU196)))))</f>
        <v>0</v>
      </c>
      <c r="CU196" s="1101">
        <f t="shared" ref="CU196:CU259" si="308">IF(AND(CK196="技能+",CL196="自身",$DR196=0.11),0,IF(CK196="sp+",CP196*$EW$30*$EW$32*(1-$EW$33),0)+IF(CK196="ap+",CP196*$EW$26/(1+$EW$15),0)+IF(CK196="ap+元气",CP196*$EW$26/(1+$EW$15)*$EW$67,0)+IF(CK196="技能+",$EW$28*CP196/$EW$27,0)+IF(CK196="vo+",$EW$26*CP196,0)+IF(CK196="sp获得",CP196*(1-$EW$33)*$EW$30/$EW$77)+IF(CK196="vo获得",CP196*$EW$24)+IF(CK196="ct+",$EW$26/(1+($EW$22-1)*$EW$19)*($EW$22-1)*CP196)+IF(CK196="核弹",$EW$24*CP196*(1+$EW$23))+IF(CK196="ct值+",$EW$26/(1+($EW$22-1)*$EW$19)*$EW$19*CP196))</f>
        <v>3828.0953290260063</v>
      </c>
      <c r="CV196" s="1108">
        <f t="shared" ref="CV196:CV259" si="309">IF(AND(CK196="技能+",CL196="自身",$DR196=0.11),0,IF(CK196="sp+",CQ196*$FA$27*$FA$32*(1-$FA$33),0)+IF(CK196="ap+",CQ196*$FA$24/(1+$FA$15)*(1-$FI$26),0)+IF(CK196="ap+元气",CQ196*$FA$24/(1+$FA$15)*(1-$FI$26)*$FA$64,0)+IF(CK196="技能+",$FA$26*CQ196/$FA$25,0)+IF(CK196="vo+",$FA$24*CQ196*(1-$FI$26),0)+IF(CK196="sp获得",CQ196*(1-$FA$33)*$FA$27/$FA$69)+IF(CK196="vo获得",CQ196*$FA$22)+IF(CK196="ct+",$FA$24/(1+($FA$20-1)*$FA$19)*($FA$20-1)*CQ196*(1-$FI$27))+IF(CK196="核弹",CQ196*(1+$FA$21)*(1-$FI$29))+IF(CK196="ct值+",$FA$24/(1+($FA$20-1)*$FA$19)*$FA$19*CQ196*(1-$FI$28))+IF(CK196="自身ct时上限突破",CQ196*$FI$24*$FI$26*BD196,0))</f>
        <v>184.82934806420829</v>
      </c>
      <c r="CW196" s="1097">
        <f t="shared" ref="CW196:CW259" si="310">IF(CK196="sp+",CR196*$EW$30*$EW$32*(1-$EW$33),0)+IF(CK196="ap+",CR196*$EW$26/(1+$EW$15),0)+IF(CK196="ap+元气",CR196*$EW$26/(1+$EW$15)*$EW$67,0)+IF(CK196="技能+",$EW$28*CR196/$EW$27,0)+IF(CK196="vo+",$EW$26*CR196,0)+IF(CK196="sp获得",CR196*(1-$EW$33)*$EW$30/$EW$77)+IF(CK196="vo获得",CR196*$EW$24)+IF(CK196="ct+",$EW$26/(1+($EW$22-1)*$EW$19)*($EW$22-1)*CR196)+IF(CK196="核弹",CR196*(1+$EW$23)*$EW$24)+IF(CK196="ct值+",$EW$26/(1+($EW$22-1)*$EW$19)*$EW$19*CR196)</f>
        <v>3828.0953290260063</v>
      </c>
      <c r="CX196" s="1097">
        <f t="shared" ref="CX196:CX259" si="311">CU196+IF(OR(CK196="加盾",AND(CK196="回血",OR(CI196&lt;&gt;"切队",CO196=""))),MIN($EW$26/$EW$66*(1-$EW$66)-$EE196+$EC196-$ET196+$ER196, $EW$26*(HP($EW$62,$EW$65,$EW$64-CP196)/$EW$66-1)))+IF(CK196="减伤",MIN($EW$26/$EW$66*(1-$EW$66)-$EE196+$EC196-$ET196+$ER196, $EW$26*(HP($EW$62,$EW$65,$EW$64*(1-CP196))/$EW$66-1)))</f>
        <v>3828.0953290260063</v>
      </c>
      <c r="CY196" s="1110">
        <f t="shared" ref="CY196:CY259" si="312">CW196+(IF(OR(CK196="加盾",AND(CK196="回血",OR(CI196&lt;&gt;"切队",CO196=""))),$EW$26*(HP($EW$62,$EW$65,$EW$64-CP196)/$EW$66-1))+IF(CK196="减伤",$EW$26*(HP($EW$62,$EW$65,$EW$64*(1-CP196))/$EW$66-1)))*IF(OR(CL196="自身",CL196="同作战"),0,1)*IF(OR(CI196="ap时",CI196="ct时"),0,1)</f>
        <v>3828.0953290260063</v>
      </c>
      <c r="CZ196" s="437"/>
      <c r="DA196" s="438"/>
      <c r="DB196" s="439" t="s">
        <v>569</v>
      </c>
      <c r="DC196" s="439"/>
      <c r="DD196" s="443"/>
      <c r="DE196" s="411"/>
      <c r="DF196" s="411"/>
      <c r="DG196" s="1116">
        <f t="shared" ref="DG196:DG259" si="313">IF(OR(DB196="无",CZ196="大量伤害",CZ196="AC失败",CZ196="低血量",DB196="复活",DB196="驱散",DB196="Gd切队效果up"),0,IF(AND(DB196="sp获得",CZ196="AC成功"),0,IF(DB196="其他",0,IF(DE196=0,DD196*(IF(DC196="ap",BH196*IF(DB196="vo获得",BG196,1))+IF(DC196="st",BI196)+IF(DC196="te",BJ196)+IF(DC196="sp槽",$EW$77)+IF(DC196="",1))*(IF(CZ196="曲开始",DA196,0)+IF(CZ196="切队",IF(DF196&lt;&gt;"",MIN(DF196,DA196*$EW$79),DA196*$EW$79))+IF(CZ196="SP发动",IF(DF196&lt;&gt;"",MIN(DF196,DA196*$EW$76),DA196*$EW$76))+IF(CZ196="ap时",IF(DF196&lt;&gt;"",MIN(DF196,DA196*$EW$65/3),DA196*$EW$65/3),0)+IF(CZ196="伤害时",IF(DF196&lt;&gt;"",MIN(DF196,DA196*$EW$65*(1-$EW$75)),DA196*$EW$65*(1-$EW$75)),0)+IF(CZ196="ct时",IF(DF196&lt;&gt;"",MIN(DF196,DA196*$EW$65/3*$AU196),DA196*$EW$65/3*$AU196),0)+IF(OR(CZ196="AC时",CZ196="AC成功"),IF(DF196&lt;&gt;"",MIN(DF196,DA196*$EW$73),DA196*$EW$73))),0)/$EW$65+IF(DE196="infty",IF(OR(CZ196="曲开始",AND(DA196=1,DF196=1)),DD196*DA196,IF(CZ196="SP发动",IF(DF196=1,DD196*(1-(1-(1-DA196)^($EW$76+1))/(($EW$76+1)*DA196)))+IF(DF196="",DA196*DD196*$EW$76/2),0)+IF(CZ196="AC时",IF(DF196=1,DD196*(1-(1-(1-DA196)^($EW$73+1))/(($EW$73+1)*DA196)))+IF(DF196="",DA196*DD196*$EW$73/2),0)+IF(CZ196="AC成功",IF(DF196=1,DD196*(1-(1-(1-DA196)^($EW$73+1))/(($EW$73+1)*DA196)))+IF(DF196="",DA196*DD196*$EW$73/2),0)),0)*(IF(DC196="全员",1,0)+IF(DC196="同属性",$EW$37/3,0)+IF(DC196="同年级",$EW$40/3,0)+IF(DC196="同作战",1,0)+IF(DC196="自身",1/3,0)+IF(DC196="同type",INDEX($EX$49:$EX$52,MATCH($O196,$EW$49:$EW$52,))/3))+IF(AND(DE196&lt;&gt;0,DE196&lt;&gt;"infty"),IF(DE196="AC内",$EW$74,DE196)*DD196*(IF(CZ196="曲开始",DA196,0)+IF(CZ196="切队",IF(DF196&lt;&gt;"",MIN(DF196,DA196*$EW$79),DA196*$EW$79))+IF(CZ196="SP发动",IF(DF196&lt;&gt;"",MIN(DF196,DA196*$EW$76),DA196*$EW$76))+IF(CZ196="ap时",IF(DF196&lt;&gt;"",MIN(DF196,DA196*$EW$65/3),DA196*$EW$65/3),0)+IF(CZ196="伤害时",IF(DF196&lt;&gt;"",MIN(DF196,DA196*$EW$65*(1-$EW$75)),DA196*$EW$65*(1-$EW$75)),0)+IF(CZ196="ct时",IF(DF196&lt;&gt;"",MIN(DF196,DA196*$EW$65/3*$AU196),DA196*$EW$65/3*$AU196),0)+IF(OR(CZ196="AC时",CZ196="AC成功"),IF(DF196&lt;&gt;"",MIN(DF196,DA196*$EW$73),DA196*$EW$73))),0)/$EW$65*(IF(DC196="全员",1,0)+IF(DC196="同属性",$EW$37/3,0)+IF(DC196="同年级",$EW$40/3,0)+IF(DC196="同学校",$EW$43/3,0)+IF(DC196="同作战",1,0)+IF(DC196="自身",1/3,0)+IF(DC196="同type",INDEX($EX$49:$EX$52,MATCH($O196,$EW$49:$EW$52,))/3)-IF(AND(DB196="ct+",DC196&lt;&gt;"仲间"),MAX(DD196+$AU196-1,0)/DD196/3)))))</f>
        <v>0</v>
      </c>
      <c r="DH196" s="1116">
        <f t="shared" ref="DH196:DH259" si="314">IF(OR(DB196="无",CZ196="大量伤害",CZ196="AC失败",CZ196="低血量",DB196="复活",DB196="驱散",DB196="Gd切队效果up"),0,IF(AND(DB196="sp获得",CZ196="AC成功"),0,IF(DB196="其他",0,IF(DE196=0,DD196*(IF(DC196="ap",BR196*IF(DB196="vo获得",BG196,1))+IF(DC196="st",BS196)+IF(DC196="te",BT196)+IF(DC196="sp槽",$FA$69)+IF(DC196="",1))*(IF(DB196="sp获得",$FA$30,1))*(IF(CZ196="曲开始",DA196,0)+IF(CZ196="切队",IF(DF196&lt;&gt;"",MIN(DF196,DA196*$FA$71),DA196*$FA$71))+IF(CZ196="SP发动",IF(DF196&lt;&gt;"",MIN(DF196,DA196*$FA$68),DA196*$FA$68))+IF(CZ196="ap时",IF(DF196&lt;&gt;"",MIN(DF196,DA196*$FA$62/3),DA196*$FA$62/3),0)+IF(CZ196="伤害时",IF(DF196&lt;&gt;"",MIN(DF196,DA196*$FA$62*(1-$FA$67)),DA196*$FA$62*(1-$FA$67)),0)+IF(CZ196="ct时",IF(DF196&lt;&gt;"",MIN(DF196,DA196*$FA$62/3*$BD196),DA196*$FA$62/3*$BD196),0)+IF(OR(CZ196="AC时",CZ196="AC成功"),IF(DF196&lt;&gt;"",MIN(DF196,DA196*$FA$65),DA196*$FA$65))),0)/$FA$62+IF(DE196="infty",IF(OR(CZ196="曲开始",AND(DA196=1,DF196=1)),DD196*DA196,IF(CZ196="SP发动",IF(DF196=1,DD196*(1-(1-(1-DA196)^($FA$68+1))/(($FA$68+1)*DA196)))+IF(DF196="",DA196*DD196*$FA$68/2),0)+IF(CZ196="AC时",IF(DF196=1,DD196*(1-(1-(1-DA196)^($FA$65+1))/(($FA$65+1)*DA196)))+IF(DF196="",DA196*DD196*$FA$65/2),0)+IF(CZ196="AC成功",IF(DF196=1,DD196*(1-(1-(1-DA196)^($FA$65+1))/(($FA$65+1)*DA196)))+IF(DF196="",DA196*DD196*$FA$65/2),0)),0)*(IF(DC196="全员",1,0)+IF(DC196="同属性",$FA$37/3,0)+IF(DC196="同年级",$FA$40/3,0)+IF(DC196="同作战",1,0)+IF(DC196="自身",1/3,0)+IF(DC196="同type",INDEX($FB$49:$FB$52,MATCH($O196,$FA$49:$FA$52,))/3))+IF(AND(DE196&lt;&gt;0,DE196&lt;&gt;"infty"),IF(DE196="AC内",$FA$66,DE196)*DD196*(IF(CZ196="曲开始",DA196,0)+IF(CZ196="切队",IF(DF196&lt;&gt;"",MIN(DF196,DA196*$FA$71),DA196*$FA$71))+IF(CZ196="SP发动",IF(DF196&lt;&gt;"",MIN(DF196,DA196*$FA$68),DA196*$FA$68))+IF(CZ196="ap时",IF(DF196&lt;&gt;"",MIN(DF196,DA196*$FA$62/3),DA196*$FA$62/3),0)+IF(CZ196="伤害时",IF(DF196&lt;&gt;"",MIN(DF196,DA196*$FA$62*(1-$FA$67)),DA196*$FA$62*(1-$FA$67)),0)+IF(CZ196="ct时",IF(DF196&lt;&gt;"",MIN(DF196,DA196*$FA$62/3*$BD196),DA196*$FA$62/3*$BD196),0)+IF(OR(CZ196="AC时",CZ196="AC成功"),IF(DF196&lt;&gt;"",MIN(DF196,DA196*$FA$65),DA196*$FA$65))),0)/$FA$62*(IF(DC196="全员",1,0)+IF(DC196="同属性",$FA$37/3,0)+IF(DC196="同年级",$FA$40/3,0)+IF(DC196="同学校",$FA$43/3,0)+IF(DC196="同作战",1,0)+IF(DC196="自身",1/3,0)+IF(DC196="同type",INDEX($FB$49:$FB$52,MATCH($O196,$FA$49:$FA$52,))/3)-IF(AND(DB196="ct+",DC196&lt;&gt;"仲间"),MAX(DD196+$BD196-1,0)/3/DD196)))))</f>
        <v>0</v>
      </c>
      <c r="DI196" s="1116">
        <f t="shared" ref="DI196:DI259" si="315">IF(OR(DB196="无",CZ196="大量伤害",CZ196="AC失败",CZ196="低血量",DB196="复活",DB196="驱散",DB196="Gd切队效果up"),0,IF(AND(DB196="sp获得",CZ196="AC成功"),0,IF(DB196="其他",0,IF(DE196=0,DD196*(IF(DC196="ap",BH196*IF(DB196="vo获得",BG196,1))+IF(DC196="st",BI196)+IF(DC196="te",BJ196)+IF(DC196="sp槽",$EW$77)+IF(DC196="",1))*(IF(CZ196="曲开始",DA196,0)+IF(CZ196="切队",IF(DF196&lt;&gt;"",MIN(DF196,DA196*$EW$79),DA196*$EW$79))+IF(CZ196="SP发动",IF(DF196&lt;&gt;"",MIN(DF196,DA196*$EW$76),DA196*$EW$76))+IF(CZ196="ap时",0)+IF(CZ196="伤害时",IF(DF196&lt;&gt;"",MIN(DF196,DA196*$EW$65*(1-$EW$75)),DA196*$EW$65*(1-$EW$75)),0)+IF(CZ196="ct时",0)+IF(OR(CZ196="AC时",CZ196="AC成功"),IF(DF196&lt;&gt;"",MIN(DF196,DA196*$EW$73),DA196*$EW$73))),0)/$EW$65+IF(DE196="infty",IF(OR(CZ196="曲开始",AND(DA196=1,DF196=1)),DD196*DA196,IF(CZ196="SP发动",IF(DF196=1,DD196*(1-(1-(1-DA196)^($EW$76+1))/(($EW$76+1)*DA196)))+IF(DF196="",DA196*DD196*$EW$76/2),0)+IF(CZ196="AC时",IF(DF196=1,DD196*(1-(1-(1-DA196)^($EW$73+1))/(($EW$73+1)*DA196)))+IF(DF196="",DA196*DD196*$EW$73/2),0)+IF(CZ196="AC成功",IF(DF196=1,DD196*(1-(1-(1-DA196)^($EW$73+1))/(($EW$73+1)*DA196)))+IF(DF196="",DA196*DD196*$EW$73/2),0)),0)*(IF(DC196="全员",1,0)+IF(DC196="同属性",$EW$38/3,0)+IF(DC196="同年级",$EW$41/3,0)+IF(DC196="同作战",0,0)+IF(DC196="自身",0,0)+IF(DC196="同type",INDEX($EX$53:$EX$56,MATCH($O196,$EW$53:$EW$56,))/3))+IF(AND(DE196&lt;&gt;0,DE196&lt;&gt;"infty"),IF(DE196="AC内",$EW$74,DE196)*(IF(CZ196="曲开始",DD196*DA196,0)+IF(CZ196="切队",DD196*IF(DF196&lt;&gt;"",MIN(DF196,DA196*$EW$79),DA196*$EW$79))+IF(CZ196="SP发动",DD196*IF(DF196&lt;&gt;"",MIN(DF196,DA196*$EW$76),DA196*$EW$76))+IF(CZ196="ap时",0,0)+IF(CZ196="伤害时",DD196*IF(DF196&lt;&gt;"",MIN(DF196,DA196*$EW$65*(1-$EW$75)),DA196*$EW$65*(1-$EW$75)),0)+IF(CZ196="ct时",0,0)+IF(OR(CZ196="AC时",CZ196="AC成功"),DD196*IF(DF196&lt;&gt;"",MIN(DF196,DA196*$EW$73),DA196*$EW$73))),0)/$EW$65*(IF(DC196="全员",1,0)+IF(DC196="同属性",$EW$38/3,0)+IF(DC196="同年级",$EW$41/3,0)+IF(DC196="同学校",$EW$44/3,0)+IF(DC196="同作战",0,0)+IF(DC196="自身",0,0)+IF(DC196="同type",INDEX($EX$53:$EX$56,MATCH($O196,$EW$53:$EW$56,))/3)))))</f>
        <v>0</v>
      </c>
      <c r="DJ196" s="442">
        <f t="shared" ref="DJ196:DJ259" si="316">IF(DB196="技能+",IF(DE196="infty",(IF(CZ196="曲开始",DD196*DA196)+IF(OR(CZ196="AC时",CZ196="AC成功"),(1-(1-(1-DA196)^($FM$20+1))/(($FM$20+1)*DA196))*DD196))*(IF(DC196="全员",1)))+IF(DE196&lt;&gt;"infty",DD196*(IF(CZ196="曲开始",DA196*DE196/$FM$19)+IF(OR(CZ196="AC时",CZ196="AC成功"),DE196*IF(DF196&lt;&gt;"",MIN(DF196,DA196*$FM$20),DA196*$FM$20)/$FM$19)+IF(CZ196="切队",DE196*IF(DF196&lt;&gt;"",MIN(DA196*$FM$11,DF196/$FM$19),DA196*$FM$11))+IF(CZ196="ap时",IF(DF196&lt;&gt;"",MIN(DF196/$FM211,IF($O196="sk",$FM$10,$FM$9)*DA196),IF($O196="sk",$FM$10,$FM$9)*DA196)*DE196)+IF(CZ196="ct时",IF(DF196&lt;&gt;"",MIN(DF196/$FM211,$AU196*IF($O196="sk",$FM$10,$FM$9)*DA196),$AU196*IF($O196="sk",$FM$10,$FM$9)*DA196)*DE196))*(IF(DC196="全员",1)+IF(DC196="同作战",IF($O196="sk",$FM$10*3,$FM$9*3))+IF(DC196="同属性",$FM$23/6)+IF(DC196="同年级",$FM$24/6)+IF(DC196="自身",IF($O196="sk",$FM$10,$FM$9)))),0)*$FM$16</f>
        <v>0</v>
      </c>
      <c r="DK196" s="1109">
        <f t="shared" ref="DK196:DK259" si="317">IF(DB196="sp+",IF(DE196="infty",(IF(CZ196="曲开始",DD196*DA196*$FM$28)+IF(OR(CZ196="AC时",CZ196="AC成功"),(1-(1-(1-DA196)^($FM$20+1))/(($FM$20+1)*DA196))*DD196*$FM$28))*(IF(DC196="全员",1)))+IF(DE196&lt;&gt;"infty",DD196*$FM$28*(IF(CZ196="曲开始",DA196*DE196/$FM$19)+IF(OR(CZ196="AC时",CZ196="AC成功"),DE196*IF(DF196&lt;&gt;"",MIN(DF196,DA196*$FM$20),DA196*$FM$20)/$FM$19)+IF(CZ196="切队",DE196*IF(DF196&lt;&gt;"",MIN(DA196*$FM$11,DF196/$FM$19),DA196*$FM$11))+IF(CZ196="ap时",IF(DF196&lt;&gt;"",MIN(DF196/$FM211,IF($O196="sk",$FM$10,$FM$9)*DA196),IF($O196="sk",$FM$10,$FM$9)*DA196)*DE196)+IF(CZ196="ct时",IF(DF196&lt;&gt;"",MIN(DF196/$FM211,$AU196*IF($O196="sk",$FM$10,$FM$9)*DA196),$AU196*IF($O196="sk",$FM$10,$FM$9)*DA196)*DE196))*(IF(DC196="全员",1)+IF(DC196="同作战",IF($O196="sk",$FM$10*3,$FM$9*3))+IF(DC196="同属性",$FM$23/6)+IF(DC196="同年级",$FM$24/6)+IF(DC196="同type",IF(AF196="sp",$FN$6*$FM$9)))),0)+IF(DB196="sp获得",IF(CZ196="AC成功",0,DD196*(IF(DC196="ap",BI196)+IF(DC196="st",BJ196)+IF(DC196="te",BK196)+IF(DC196="sp槽",$EW$77)+IF(DC196="",1))*IF($O196="sk",1,1+(1+$FM$10/$FM$9)*($FM$27-1))*(IF(CZ196="曲开始",DA196/$FM$19)+IF(CZ196="SP发动",IF(DF196&lt;&gt;"",MIN(DF196/$FM$19,DA196*$FM$30/$FM$19),DA196*$FM$30/$FM$19))+IF(CZ196="切队",IF(DF196&lt;&gt;"",MIN(DF196/$FM$19,DA196*$FM$11),DA196*$FM$11))+IF(OR(CZ196="AC时",CZ196="AC成功"),IF(DF196&lt;&gt;"",MIN(DF196/$FM$19,DA196*$FM$20/$FM$19),DA196*$FM$20/$FM$19))+IF(CZ196="ap时",IF(DF196&lt;&gt;"",MIN(DF196/$FM$19,DA196*IF($O196="sk",$FM$10,$FM$9)),DA196*IF($O196="sk",$FM$10,$FM$9)))+IF(CZ196="ct时",IF(DF196&lt;&gt;"",MIN(DF196/$FM$19,DA196*IF($O196="sk",$FM$10,$FM$9)*$AU196),DA196*IF($O196="sk",$FM$10,$FM$9)*$AU196)))))</f>
        <v>0</v>
      </c>
      <c r="DL196" s="1101">
        <f t="shared" ref="DL196:DL259" si="318">IF(DB196="sp+",DG196*$EW$30*$EW$32*(1-$EW$33),0)+IF(DB196="ap+",DG196*$EW$26/(1+$EW$15),0)+IF(DB196="ap+元气",DG196*$EW$26/(1+$EW$15)*$EW$67,0)+IF(DB196="技能+",$EW$28*DG196/$EW$27,0)+IF(DB196="vo+",$EW$26*DG196,0)+IF(DB196="sp获得",DG196*(1-$EW$33)*$EW$30/$EW$77)+IF(DB196="vo获得",DG196*$EW$24)+IF(DB196="ct+",$EW$26/(1+($EW$22-1)*$EW$19)*($EW$22-1)*DG196)+IF(DB196="核弹",DG196*(1+$EW$23))+IF(DB196="ct值+",$EW$26/(1+($EW$22-1)*$EW$19)*$EW$19*DG196)</f>
        <v>0</v>
      </c>
      <c r="DM196" s="1097">
        <f t="shared" ref="DM196:DM259" si="319">IF(DB196="sp+",DH196*$FA$27*$FA$32*(1-$FA$33),0)+IF(DB196="ap+",DH196*$FA$24/(1+$FA$15)*(1-$FI$26),0)+IF(DB196="ap+元气",DH196*$FA$24/(1+$FA$15)*(1-$FI$26)*$FA$64,0)+IF(DB196="技能+",$FA$26*DH196/$FA$25,0)+IF(DB196="vo+",$FA$24*DH196*(1-$FI$26),0)+IF(DB196="sp获得",DH196*(1-$FA$33)*$FA$27/$FA$69)+IF(DB196="vo获得",DH196*$FA$22)+IF(DB196="ct+",$FA$24/(1+($FA$20-1)*$FA$19)*($FA$20-1)*DH196*(1-$FI$27))+IF(DB196="核弹",DH196*(1+$FA$21)*(1-$FI$29))+IF(DB196="ct值+",$FA$24/(1+($FA$20-1)*$FA$19)*$FA$19*DH196*(1-$FI$28))</f>
        <v>0</v>
      </c>
      <c r="DN196" s="1097">
        <f t="shared" ref="DN196:DN259" si="320">IF(DB196="sp+",DI196*$EW$30*$EW$32*(1-$EW$33),0)+IF(DB196="ap+",DI196*$EW$26/(1+$EW$15),0)+IF(DB196="ap+元气",DI196*$EW$26/(1+$EW$15)*$EW$67,0)+IF(DB196="技能+",$EW$28*DI196/$EW$27,0)+IF(DB196="vo+",$EW$26*DI196,0)+IF(DB196="sp获得",DI196*(1-$EW$33)*$EW$30/$EW$77)+IF(DB196="vo获得",DI196*$EW$24)+IF(DB196="ct+",$EW$26/(1+($EW$22-1)*$EW$19)*($EW$22-1)*DI196)+IF(DB196="核弹",DI196*(1+$EW$23))+IF(DB196="ct值+",$EW$26/(1+($EW$22-1)*$EW$19)*$EW$19*DI196)</f>
        <v>0</v>
      </c>
      <c r="DO196" s="1097">
        <f t="shared" ref="DO196:DO259" si="321">DL196+IF(OR(DB196="加盾",AND(DB196="回血",OR(CZ196&lt;&gt;"切队",DF196=""))),MIN($EW$26/$EW$66*(1-$EW$66)-$EE196+$EC196-$ET196+$ER196, $EW$26*(HP($EW$62,$EW$65,$EW$64-DG196)/$EW$66-1)))+IF(DB196="减伤",MIN($EW$26/$EW$66*(1-$EW$66)-$EE196+$EC196-$ET196+$ER196, $EW$26*(HP($EW$62,$EW$65,$EW$64*(1-DG196))/$EW$66-1)))</f>
        <v>0</v>
      </c>
      <c r="DP196" s="1110">
        <f t="shared" ref="DP196:DP259" si="322">DN196+(IF(OR(DB196="加盾",AND(DB196="回血",OR(CZ196&lt;&gt;"切队",DF196=""))),$EW$26*(HP($EW$62,$EW$65,$EW$64-DG196)/$EW$66-1))+IF(DB196="减伤",$EW$26*(HP($EW$62,$EW$65,$EW$64*(1-DG196))/$EW$66-1)))*IF(OR(DC196="自身",DC196="同作战"),0,1)*IF(OR(CZ196="ap时",CZ196="ct时"),0,1)</f>
        <v>0</v>
      </c>
      <c r="DQ196" s="1113" t="s">
        <v>153</v>
      </c>
      <c r="DR196" s="1120">
        <f t="shared" ref="DR196:DR259" si="323">IF(F196="UR",0.33,0.3)</f>
        <v>0.33</v>
      </c>
      <c r="DS196" s="1124">
        <v>5</v>
      </c>
      <c r="DT196" s="1093" t="s">
        <v>168</v>
      </c>
      <c r="DU196" s="1093" t="s">
        <v>544</v>
      </c>
      <c r="DV196" s="1098">
        <f>IF($P196="","N/A",IF(P196=-1,INDEX('卡片raw data'!AN:AN,MATCH(D196,'卡片raw data'!$F:$F,)),0)+IF(AND(L196&lt;&gt;"party卡",P196&lt;=2,P196&gt;=0),INDEX('卡片raw data'!AP:AP,MATCH(D196,'卡片raw data'!$F:$F,)),0)+IF(OR(AND(L196="party卡",P196&lt;=1),AND(P196&lt;=4,L196&lt;&gt;"party卡",P196&gt;=3)),INDEX('卡片raw data'!AQ:AQ,MATCH(D196,'卡片raw data'!$F:$F,)),0)+IF(OR(P196=5,AND(L196="party卡",P196&gt;=2)),INDEX('卡片raw data'!AR:AR,MATCH(D196,'卡片raw data'!$F:$F,)),0))</f>
        <v>0.09</v>
      </c>
      <c r="DW196" s="1098">
        <f t="shared" ref="DW196:DW259" si="324">DR196+IF(AND($CK196="技能+",$CL196="自身",DR196=0.11),$CP196*3)</f>
        <v>0.33</v>
      </c>
      <c r="DX196" s="1098">
        <f t="shared" ref="DX196:DX259" si="325">DR196+IF(AND($CK196="技能+",$CL196="自身",DR196=0.11),$CQ196*3)</f>
        <v>0.33</v>
      </c>
      <c r="DY196" s="1098">
        <f t="shared" ref="DY196:DY259" si="326">IF(DS196=0,IF(DT196="ap",DV196*$AQ196*DW196/3*IF(DQ196="vo获得",$AP196,1))+IF(DT196="st",DV196*$AR196*DW196/3)+IF(DT196="te",DV196*$AS196*DW196/3)+IF(DT196="sp槽",DV196*DW196/3)+IF(DT196="固定值",IF(DQ196="sp获得",DV196/3*DW196/$EW$77,DV196*DW196/3)),IF(DU196="百分比",IF(DT196="全员",DV196*DW196/3*DS196)+IF(DT196="仲间",DV196*DW196/3*DS196*2/3)+IF(DT196="同作战",DV196*DW196/3*DS196)+IF(DT196="同年级",DV196*DW196/3*DS196*$EW$40/3)+IF(DT196="同学校",DV196*DW196/3*DS196*$EW$43/3)+IF(DT196="同属性",DV196*DW196/3*DS196*$EW$37/3)+IF(DT196="同type",DV196*DW196/3*DS196*INDEX($EX$49:$EX$52,MATCH(O196,$EW$49:$EW$52,))/3),(IF(DQ196="ap+",DV196/$EX$16*DS196*DW196/3)+IF(DQ196="vo+",DV196*(1+$EW$23)/$EW$26*DS196*DW196/3))*(IF(DT196="全员",1)+IF(DT196="同作战",1)))-IF(AND(DQ196="ct+",DT196&lt;&gt;"仲间"),MAX(DV196+$AU196-1,0)*DW196/3*_xlfn.FLOOR.MATH(DS196/3)))</f>
        <v>4.9500000000000002E-2</v>
      </c>
      <c r="DZ196" s="1098">
        <f t="shared" ref="DZ196:DZ259" si="327">IF(DS196=0,IF(DT196="ap",IF(DQ196="vo获得",MIN(DV196*$BA196*$AP196,$FI$25)*$FA$22*DX196/3,DV196*$BA196*DX196/3))+IF(DT196="st",DV196*$BB196*DX196/3)+IF(DT196="te",DV196*$BC196*DX196/3)+IF(DT196="sp槽",DV196*DX196/3*$FA$30)+IF(DT196="固定值",IF(DQ196="sp获得",DV196/3*DX196/$FA$69*$FA$30,DV196*DX196/3)),IF(DU196="百分比",IF(DT196="全员",DV196*DX196/3*DS196)+IF(DT196="仲间",DV196*DX196/3*DS196*2/3)+IF(DT196="同作战",DV196*DX196/3*DS196)+IF(DT196="同年级",DV196*DX196/3*DS196*$FA$40/3)+IF(DT196="同学校",DV196*DX196/3*DS196*$FA$43/3)+IF(DT196="同属性",DV196*DX196/3*DS196*$FA$37/3)+IF(DT196="同type",DV196*DX196/3*DS196*INDEX($FB$49:$FB$52,MATCH(O196,$FA$49:$FA$52,))/3),(IF(DQ196="ap+",DV196/$FB$16*DS196*DX196/3)+IF(DQ196="vo+",DV196*(1+$FA$21)/$FA$24*DS196*DX196/3))*(IF(DT196="全员",1)+IF(DT196="同作战",1)))-IF(AND(DQ196="ct+",DT196&lt;&gt;"仲间"),MAX(DV196+$BD196-1,0)*DX196/3*_xlfn.FLOOR.MATH(DS196/3)))*$FA$57</f>
        <v>4.2817500000000001E-2</v>
      </c>
      <c r="EA196" s="1098">
        <f t="shared" ref="EA196:EA259" si="328">IF(DQ196="技能+",IF(O196="sk",FM$10,FM$9)*(1+0.1*$FM$31/$FM$19)*IF(O196="sk",$FM$18,$FM$17)*DR196/$FM$14*(IF(DT196="全员",DS196*DV196)+IF(DT196="同属性",DS196*DV196*$FM$23/6)+IF(DT196="同作战",DV196*IF(O196="sk",IF(AND(DS196&gt;1,DS196&lt;6),2),$FM$9*DS196*3))),0)*$FM$16</f>
        <v>0</v>
      </c>
      <c r="EB196" s="1121">
        <f t="shared" ref="EB196:EB259" si="329">IF(DQ196="sp+",1/6*(1+0.1*$FM$31/$FM$19)*IF(O196="sk",$FM$18,$FM$17)*DR196/$FM$14*$FM$28*(IF(DT196="全员",DS196*DV196)+IF(DT196="同属性",DS196*DV196*$FM$23/6)+IF(DT196="同年级",DS196*DV196*$FM$24/6)),0)+IF(DQ196="sp获得",1/6*(1+0.1*$FM$31/$FM$19)*IF(O196="sk",$FM$18,$FM$17)*DR196/$FM$14*IF(O196="sk",1,1+(1+$FM$10/$FM$9)*($FM$27-1))*IF(DT196="固定值",DV196,DV196*$FM$25))</f>
        <v>0</v>
      </c>
      <c r="EC196" s="1101">
        <f t="shared" ref="EC196:EC259" si="330">IF(DQ196="ap+",$EW$26/(1+$EW$15)*DY196)+IF(DQ196="vo+",$EW$26*DY196)+IF(DQ196="vo获得",DY196*$EW$24)+IF(DQ196="sp+",DY196*$EW$30*$EW$32*(1-$EW$33))+IF(DQ196="sp获得",DY196*$EW$30*(1-$EW$33))+IF(DQ196="技能+",DY196*$EW$28/$EW$27)+IF(DQ196="ct+",DY196*$EW$26/(1+($EW$22-1)*$EW$19)*($EW$22-1))+IF(DQ196="核弹",DY196*(1+$EW$23)*$EW$24)+IF(DQ196="ct值+",$EW$26/(1+($EW$22-1)*$EW$19)*$EW$19*DY196)</f>
        <v>6731.1551106509005</v>
      </c>
      <c r="ED196" s="1097">
        <f t="shared" ref="ED196:ED259" si="331">IF(DQ196="ap+",$FA$24/(1+$FA$15)*DZ196*(1-$FI$26))+IF(DQ196="vo+",$FA$24*DZ196*(1-$FI$26))+IF(DQ196="vo获得",DZ196)+IF(DQ196="sp+",DZ196*$FA$27*$FA$32*(1-$FA$33))+IF(DQ196="sp获得",DZ196*$FA$27*(1-$FA$33))+IF(DQ196="技能+",DZ196*$FA$26/$FA$25)+IF(DQ196="ct+",DZ196*$FA$24/(1+($FA$20-1)*$FA$19)*($FA$20-1)*(1-$FI$27))+IF(DQ196="核弹",DZ196*(1+$FA$21)*(1-$FI$29))+IF(DQ196="ct值+",$FA$24/(1+($FA$20-1)*$FA$19)*$FA$19*DZ196*(1-$FI$28))</f>
        <v>281.12139115242189</v>
      </c>
      <c r="EE196" s="1110">
        <f t="shared" ref="EE196:EE259" si="332">EC196+IF(OR(DQ196="回血",DQ196="加盾"),$EW$26*(HP($EW$62,$EW$65,$EW$64-DY196)/$EW$66-1))+IF(DQ196="减伤",$EW$26*(HP($EW$62,$EW$65,$EW$64*(1-DY196))/$EW$66-1))</f>
        <v>6731.1551106509005</v>
      </c>
      <c r="EF196" s="1092" t="s">
        <v>711</v>
      </c>
      <c r="EG196" s="1120">
        <f t="shared" ref="EG196:EG259" si="333">IF(F196="UR",0.33,0.3)</f>
        <v>0.33</v>
      </c>
      <c r="EH196" s="1124"/>
      <c r="EI196" s="1093"/>
      <c r="EJ196" s="1093"/>
      <c r="EK196" s="1097">
        <f>IF($P196="","N/A",IF(P196=-1,INDEX('卡片raw data'!AS:AS,MATCH(D196,'卡片raw data'!$F:$F,)),0)+IF(AND(L196&lt;&gt;"party卡",P196&lt;=2,P196&gt;=0),INDEX('卡片raw data'!AU:AU,MATCH(D196,'卡片raw data'!$F:$F,)),0)+IF(OR(AND(L196="party卡",P196&lt;=1),AND(P196&lt;=4,L196&lt;&gt;"party卡",P196&gt;=3)),INDEX('卡片raw data'!AV:AV,MATCH(D196,'卡片raw data'!$F:$F,)),0)+IF(OR(P196=5,AND(L196="party卡",P196&gt;=2)),INDEX('卡片raw data'!AW:AW,MATCH(D196,'卡片raw data'!$F:$F,)),0))</f>
        <v>0</v>
      </c>
      <c r="EL196" s="1098">
        <f t="shared" ref="EL196:EL259" si="334">EG196+IF(AND($CK196="技能+",$CL196="自身",EG196=0.11),$CP196*3)</f>
        <v>0.33</v>
      </c>
      <c r="EM196" s="1098">
        <f t="shared" ref="EM196:EM259" si="335">EG196+IF(AND($CK196="技能+",$CL196="自身",EG196=0.11),$CQ196*3)</f>
        <v>0.33</v>
      </c>
      <c r="EN196" s="1125">
        <f t="shared" ref="EN196:EN259" si="336">IF(EH196=0,IF(EI196="ap",EK196*$AQ196*EL196/3*IF(EF196="vo获得",$AP196,1))+IF(EI196="st",EK196*$AR196*EL196/3)+IF(EI196="te",EK196*$AS196*EL196/3)+IF(EI196="sp槽",EK196*EL196/3)+IF(EI196="固定值",IF(EF196="sp获得",EK196/3*EL196/$EW$77,EK196*EL196/3)),IF(EJ196="百分比",IF(EI196="全员",EK196*EL196/3*EH196)+IF(EI196="仲间",EK196*EL196/3*EH196*2/3)+IF(EI196="同作战",EK196*EL196/3*EH196)+IF(EI196="同年级",EK196*EL196/3*EH196*$EW$40/3)+IF(EI196="同学校",EK196*EL196/3*EH196*$EW$43/3)+IF(EI196="同属性",EK196*EL196/3*EH196*$EW$37/3)+IF(EI196="同type",EK196*EL196/3*EH196*INDEX($EX$49:$EX$52,MATCH(AD196,$EW$49:$EW$52,))/3),(IF(EF196="ap+",EK196/$EX$16*EH196*EL196/3)+IF(EF196="vo+",EK196*(1+$EW$23)/$EW$26*EH196*EL196/3))*(IF(EI196="全员",1)+IF(EI196="同作战",1)))-IF(AND(EF196="ct+",EI196&lt;&gt;"仲间"),MAX(EK196+$AU196-1,0)*EL196/3*_xlfn.FLOOR.MATH(EH196/3)))</f>
        <v>0</v>
      </c>
      <c r="EO196" s="1125">
        <f t="shared" ref="EO196:EO259" si="337">IF(EH196=0,IF(EI196="ap",IF(EF196="vo获得",MIN(EK196*$BA196*$AP196,$FI$25)*$FA$22*EM196/3,EK196*$BA196*EM196/3))+IF(EI196="st",EK196*$BB196*EM196/3)+IF(EI196="te",EK196*$BC196*EM196/3)+IF(EI196="sp槽",EK196*EM196/3*$FA$30)+IF(EI196="固定值",IF(EF196="sp获得",EK196/3*EM196/$FA$69*$FA$30,EK196*EM196/3)),IF(EJ196="百分比",IF(EI196="全员",EK196*EM196/3*EH196)+IF(EI196="仲间",EK196*EM196/3*EH196*2/3)+IF(EI196="同作战",EK196*EM196/3*EH196)+IF(EI196="同年级",EK196*EM196/3*EH196*$FA$40/3)+IF(EI196="同学校",EK196*EM196/3*EH196*$FA$43/3)+IF(EI196="同属性",EK196*EM196/3*EH196*$FA$37/3)+IF(EI196="同type",EK196*EM196/3*EH196*INDEX($FB$49:$FB$52,MATCH(AD196,$FA$49:$FA$52,))/3),(IF(EF196="ap+",EK196/$FB$16*EH196*EM196/3)+IF(EF196="vo+",EK196*(1+$FA$21)/$FA$24*EH196*EM196/3))*(IF(EI196="全员",1)+IF(EI196="同作战",1)))-IF(AND(EF196="ct+",EI196&lt;&gt;"仲间"),MAX(EK196+$BD196-1,0)*EM196/3*_xlfn.FLOOR.MATH(EH196/3)))*$FA$57</f>
        <v>0</v>
      </c>
      <c r="EP196" s="1098">
        <f t="shared" ref="EP196:EP259" si="338">IF(EF196="技能+",IF(AB196="sk",FZ$10,FZ$9)*(1+0.1*$FM$31/$FM$19)*IF(AB196="sk",$FM$18,$FM$17)*EG196/$FM$14*(IF(EI196="全员",EH196*EK196)+IF(EI196="同属性",EH196*EK196*$FM$23/6)+IF(EI196="同作战",EK196*IF(AB196="sk",IF(AND(EH196&gt;1,EH196&lt;6),2),$FM$9*EH196*3))),0)*$FM$16</f>
        <v>0</v>
      </c>
      <c r="EQ196" s="1121">
        <f t="shared" ref="EQ196:EQ259" si="339">IF(EF196="sp+",1/6*(1+0.1*$FM$31/$FM$19)*IF(AB196="sk",$FM$18,$FM$17)*EG196/$FM$14*$FM$28*(IF(EI196="全员",EH196*EK196)+IF(EI196="同属性",EH196*EK196*$FM$23/6)+IF(EI196="同年级",EH196*EK196*$FM$24/6)),0)+IF(EF196="sp获得",1/6*(1+0.1*$FM$31/$FM$19)*IF(AB196="sk",$FM$18,$FM$17)*EG196/$FM$14*IF(AB196="sk",1,1+(1+$FM$10/$FM$9)*($FM$27-1))*IF(EI196="固定值",EK196,EK196*$FM$25))</f>
        <v>0</v>
      </c>
      <c r="ER196" s="1101">
        <f t="shared" ref="ER196:ER259" si="340">IF(EF196="ap+",$EW$26/(1+$EW$15)*EN196)+IF(EF196="vo+",$EW$26*EN196)+IF(EF196="vo获得",EN196*$EW$24)+IF(EF196="sp+",EN196*$EW$30*$EW$32*(1-$EW$33))+IF(EF196="sp获得",EN196*$EW$30*(1-$EW$33))+IF(EF196="技能+",EN196*$EW$28/$EW$27)+IF(EF196="ct+",EN196*$EW$26/(1+($EW$22-1)*$EW$19)*($EW$22-1))+IF(EF196="核弹",EN196*(1+$EW$23)*$EW$24)+IF(EF196="ct值+",$EW$26/(1+($EW$22-1)*$EW$19)*$EW$19*EN196)</f>
        <v>0</v>
      </c>
      <c r="ES196" s="1097">
        <f t="shared" ref="ES196:ES259" si="341">IF(EF196="ap+",$FA$24/(1+$FA$15)*EO196*(1-$FI$26))+IF(EF196="vo+",$FA$24*EO196*(1-$FI$26))+IF(EF196="vo获得",EO196)+IF(EF196="sp+",EO196*$FA$27*$FA$32*(1-$FA$33))+IF(EF196="sp获得",EO196*$FA$27*(1-$FA$33))+IF(EF196="技能+",EO196*$FA$26/$FA$25)+IF(EF196="ct+",EO196*$FA$24/(1+($FA$20-1)*$FA$19)*($FA$20-1)*(1-$FI$27))+IF(EF196="核弹",EO196*(1+$FA$21)*(1-$FI$29))+IF(EF196="ct值+",$FA$24/(1+($FA$20-1)*$FA$19)*$FA$19*EO196*(1-$FI$28))</f>
        <v>0</v>
      </c>
      <c r="ET196" s="1122">
        <f t="shared" ref="ET196:ET259" si="342">ER196+IF(OR(EF196="回血",EF196="加盾"),$EW$26*(HP($EW$62,$EW$65,$EW$64-EN196)/$EW$66-1))+IF(EF196="减伤",$EW$26*(HP($EW$62,$EW$65,$EW$64*(1-EN196))/$EW$66-1))</f>
        <v>0</v>
      </c>
    </row>
    <row r="197" spans="2:150" ht="16.5" customHeight="1">
      <c r="B197" s="1123" t="str">
        <f>INDEX('卡片raw data'!B:B,MATCH($D197,'卡片raw data'!$F:$F,))</f>
        <v>op1梨</v>
      </c>
      <c r="C197" s="449" t="s">
        <v>69</v>
      </c>
      <c r="D197" s="408">
        <v>194</v>
      </c>
      <c r="E197" s="1090">
        <v>301022001</v>
      </c>
      <c r="F197" s="1090" t="str">
        <f>INDEX('卡片raw data'!C:C,MATCH($D197,'卡片raw data'!$F:$F,))</f>
        <v>SR</v>
      </c>
      <c r="G197" s="1094" t="s">
        <v>340</v>
      </c>
      <c r="H197" s="411">
        <f>IFERROR(INDEX(绊状态确认!C:C,MATCH($G197,绊状态确认!$B:$B,)),"")</f>
        <v>102</v>
      </c>
      <c r="I197" s="450" t="str">
        <f>IFERROR(INDEX(绊状态确认!D:D,MATCH($G197,绊状态确认!$B:$B,)),"")</f>
        <v>水</v>
      </c>
      <c r="J197" s="450" t="str">
        <f>IFERROR(INDEX(绊状态确认!E:E,MATCH($G197,绊状态确认!$B:$B,)),"")</f>
        <v>2年级</v>
      </c>
      <c r="K197" s="451" t="str">
        <f>IFERROR(INDEX(绊状态确认!F:F,MATCH($G197,绊状态确认!$B:$B,)),"")</f>
        <v>Guilty Kiss</v>
      </c>
      <c r="L197" s="1094" t="str">
        <f>INDEX('卡片raw data'!E:E,MATCH($D197,'卡片raw data'!$F:$F,))</f>
        <v>卡池卡</v>
      </c>
      <c r="M197" s="415">
        <v>43913</v>
      </c>
      <c r="N197" s="416">
        <v>12</v>
      </c>
      <c r="O197" s="1091" t="str">
        <f>INDEX('卡片raw data'!D:D,MATCH($D197,'卡片raw data'!$F:$F,))</f>
        <v>sk</v>
      </c>
      <c r="P197" s="417">
        <v>5</v>
      </c>
      <c r="Q197" s="1095">
        <f t="shared" si="258"/>
        <v>23165.23553803104</v>
      </c>
      <c r="R197" s="1096">
        <f t="shared" si="259"/>
        <v>0.26900000000000002</v>
      </c>
      <c r="S197" s="1097">
        <f t="shared" si="260"/>
        <v>15451.411817915248</v>
      </c>
      <c r="T197" s="1098">
        <f t="shared" si="261"/>
        <v>0.77200000000000002</v>
      </c>
      <c r="U197" s="1099">
        <f t="shared" si="262"/>
        <v>10.926199040082857</v>
      </c>
      <c r="V197" s="1100">
        <f t="shared" si="263"/>
        <v>26034.964836579649</v>
      </c>
      <c r="W197" s="1101">
        <f t="shared" si="264"/>
        <v>4574.5786299831425</v>
      </c>
      <c r="X197" s="1096">
        <f t="shared" si="265"/>
        <v>5.2999999999999999E-2</v>
      </c>
      <c r="Y197" s="1097">
        <f t="shared" si="266"/>
        <v>869.72929854861013</v>
      </c>
      <c r="Z197" s="1102">
        <f t="shared" si="267"/>
        <v>10.926199040082857</v>
      </c>
      <c r="AA197" s="1103">
        <f t="shared" si="268"/>
        <v>5444.3079285317526</v>
      </c>
      <c r="AB197" s="1101">
        <f t="shared" si="269"/>
        <v>8111.8762321374406</v>
      </c>
      <c r="AC197" s="1104">
        <f t="shared" si="270"/>
        <v>9.4E-2</v>
      </c>
      <c r="AD197" s="1105">
        <f t="shared" si="271"/>
        <v>2.6496477035984848E-2</v>
      </c>
      <c r="AE197" s="1128">
        <f t="shared" si="272"/>
        <v>9.3783789168670602</v>
      </c>
      <c r="AF197" s="1130">
        <f t="shared" si="273"/>
        <v>0</v>
      </c>
      <c r="AG197" s="420">
        <f t="shared" si="274"/>
        <v>0</v>
      </c>
      <c r="AH197" s="420">
        <f t="shared" si="275"/>
        <v>0</v>
      </c>
      <c r="AI197" s="1097">
        <f t="shared" si="276"/>
        <v>0</v>
      </c>
      <c r="AJ197" s="420">
        <f t="shared" si="277"/>
        <v>0</v>
      </c>
      <c r="AK197" s="518">
        <f t="shared" si="278"/>
        <v>0</v>
      </c>
      <c r="AL197" s="1106">
        <f>IF($P197="","N/A",(IF($P197=-1,INDEX('卡片raw data'!S:S,MATCH($D197,'卡片raw data'!$F:$F,)),0)+IF($P197=0,INDEX('卡片raw data'!V:V,MATCH($D197,'卡片raw data'!$F:$F,)),0)+IF($P197=1,INDEX('卡片raw data'!Y:Y,MATCH($D197,'卡片raw data'!$F:$F,)),0)+IF($P197=2,INDEX('卡片raw data'!AB:AB,MATCH($D197,'卡片raw data'!$F:$F,)),0)+IF($P197=3,INDEX('卡片raw data'!AE:AE,MATCH($D197,'卡片raw data'!$F:$F,)),0)+IF($P197=4,INDEX('卡片raw data'!AH:AH,MATCH($D197,'卡片raw data'!$F:$F,)),0)+IF($P197=5,INDEX('卡片raw data'!AK:AK,MATCH($D197,'卡片raw data'!$F:$F,)),0)+INDEX('卡片raw data'!S:S,MATCH($D197,'卡片raw data'!$F:$F,))*(IF($F197="UR",0.04,0.033))*(IF($F197="UR",INDEX(绊状态确认!$S:$S,MATCH($G197,绊状态确认!$B:$B,))/2-40)+IF($F197="SR",INDEX(绊状态确认!$R:$R,MATCH($G197,绊状态确认!$B:$B,))/4-15))+IF($F197="R",INDEX(绊状态确认!$Q:$Q,MATCH($G197,绊状态确认!$B:$B,))/6-40/6)))*(INDEX(绊状态确认!$H:$H,MATCH($G197,绊状态确认!$B:$B,))+INDEX(绊状态确认!J:J,MATCH($G197,绊状态确认!$B:$B,)))</f>
        <v>8235.4976183999988</v>
      </c>
      <c r="AM197" s="1106">
        <f>IF($P197="","N/A",(IF($P197=-1,INDEX('卡片raw data'!T:T,MATCH($D197,'卡片raw data'!$F:$F,)),0)+IF($P197=0,INDEX('卡片raw data'!W:W,MATCH($D197,'卡片raw data'!$F:$F,)),0)+IF($P197=1,INDEX('卡片raw data'!Z:Z,MATCH($D197,'卡片raw data'!$F:$F,)),0)+IF($P197=2,INDEX('卡片raw data'!AC:AC,MATCH($D197,'卡片raw data'!$F:$F,)),0)+IF($P197=3,INDEX('卡片raw data'!AF:AF,MATCH($D197,'卡片raw data'!$F:$F,)),0)+IF($P197=4,INDEX('卡片raw data'!AI:AI,MATCH($D197,'卡片raw data'!$F:$F,)),0)+IF($P197=5,INDEX('卡片raw data'!AL:AL,MATCH($D197,'卡片raw data'!$F:$F,)),0)+INDEX('卡片raw data'!T:T,MATCH($D197,'卡片raw data'!$F:$F,))*(IF($F197="UR",0.04,0.033))*(IF($F197="UR",INDEX(绊状态确认!$S:$S,MATCH($G197,绊状态确认!$B:$B,))/2-40)+IF($F197="SR",INDEX(绊状态确认!$R:$R,MATCH($G197,绊状态确认!$B:$B,))/4-15))+IF($F197="R",INDEX(绊状态确认!$Q:$Q,MATCH($G197,绊状态确认!$B:$B,))/6-40/6)))*(INDEX(绊状态确认!$H:$H,MATCH($G197,绊状态确认!$B:$B,))+INDEX(绊状态确认!K:K,MATCH($G197,绊状态确认!$B:$B,)))</f>
        <v>5489.9529455999991</v>
      </c>
      <c r="AN197" s="1106">
        <f>IF($P197="","N/A",(IF($P197=-1,INDEX('卡片raw data'!U:U,MATCH($D197,'卡片raw data'!$F:$F,)),0)+IF($P197=0,INDEX('卡片raw data'!X:X,MATCH($D197,'卡片raw data'!$F:$F,)),0)+IF($P197=1,INDEX('卡片raw data'!AA:AA,MATCH($D197,'卡片raw data'!$F:$F,)),0)+IF($P197=2,INDEX('卡片raw data'!AD:AD,MATCH($D197,'卡片raw data'!$F:$F,)),0)+IF($P197=3,INDEX('卡片raw data'!AG:AG,MATCH($D197,'卡片raw data'!$F:$F,)),0)+IF($P197=4,INDEX('卡片raw data'!AJ:AJ,MATCH($D197,'卡片raw data'!$F:$F,)),0)+IF($P197=5,INDEX('卡片raw data'!AM:AM,MATCH($D197,'卡片raw data'!$F:$F,)),0)+INDEX('卡片raw data'!U:U,MATCH($D197,'卡片raw data'!$F:$F,))*(IF($F197="UR",0.04,0.033))*(IF($F197="UR",INDEX(绊状态确认!$S:$S,MATCH($G197,绊状态确认!$B:$B,))/2-40)+IF($F197="SR",INDEX(绊状态确认!$R:$R,MATCH($G197,绊状态确认!$B:$B,))/4-15))+IF($F197="R",INDEX(绊状态确认!$Q:$Q,MATCH($G197,绊状态确认!$B:$B,))/6-40/6)))*(INDEX(绊状态确认!$H:$H,MATCH($G197,绊状态确认!$B:$B,))+INDEX(绊状态确认!L:L,MATCH($G197,绊状态确认!$B:$B,)))</f>
        <v>5883.8291855999996</v>
      </c>
      <c r="AO197" s="1107">
        <f t="shared" si="279"/>
        <v>1</v>
      </c>
      <c r="AP197" s="1131">
        <f>1+(INDEX(绊状态确认!$T:$T,MATCH($G197,绊状态确认!$B:$B,))+0.2)*$AO197</f>
        <v>1.3</v>
      </c>
      <c r="AQ197" s="1108">
        <f t="shared" si="280"/>
        <v>24868.181248299996</v>
      </c>
      <c r="AR197" s="1097">
        <f>(AM197*(1+$EX$9)+$EX$35)*(1+(INDEX(绊状态确认!$T:$T,MATCH($G197,绊状态确认!$B:$B,))+0.2)*AO197)*IF(J197=$FF$17,1+$FE$17,1)*IF(I197=$FF$14,1+$FE$14,1)</f>
        <v>10197.785770744</v>
      </c>
      <c r="AS197" s="1097">
        <f>(AN197*(1+$EX$10)+$EX$36)*(1+(INDEX(绊状态确认!$T:$T,MATCH($G197,绊状态确认!$B:$B,))+0.2)*AO197)*IF(J197=$FF$17,1+$FE$17,1)*IF(I197=$FF$14,1+$FE$14,1)</f>
        <v>12852.324632471998</v>
      </c>
      <c r="AT197" s="1093">
        <f>IF(AND(INDEX('卡片raw data'!AK:AK,MATCH($D197,'卡片raw data'!$F:$F,))&lt;INDEX('卡片raw data'!AM:AM,MATCH($D197,'卡片raw data'!$F:$F,)),INDEX('卡片raw data'!AL:AL,MATCH($D197,'卡片raw data'!$F:$F,))&lt;INDEX('卡片raw data'!AM:AM,MATCH($D197,'卡片raw data'!$F:$F,))),1,0)</f>
        <v>0</v>
      </c>
      <c r="AU197" s="1098">
        <f>MIN(AT197*0.15+AS197*0.00003+INDEX(绊状态确认!M:M,MATCH($G197,绊状态确认!$B:$B,)),1)</f>
        <v>0.41556973897416</v>
      </c>
      <c r="AV197" s="1109">
        <f>(INDEX(绊状态确认!$N:$N,MATCH($G197,绊状态确认!$B:$B,))+1.5)*$EW$21</f>
        <v>2.6599999999999997</v>
      </c>
      <c r="AW197" s="1101">
        <f t="shared" si="281"/>
        <v>21824.708708540304</v>
      </c>
      <c r="AX197" s="1097">
        <f t="shared" si="282"/>
        <v>869.72929854861013</v>
      </c>
      <c r="AY197" s="1110">
        <f t="shared" si="283"/>
        <v>22694.438007088913</v>
      </c>
      <c r="AZ197" s="429">
        <f t="shared" si="284"/>
        <v>18659.220355879996</v>
      </c>
      <c r="BA197" s="431">
        <f t="shared" si="285"/>
        <v>22391.064427055993</v>
      </c>
      <c r="BB197" s="1097">
        <f>(AM197*(1+$FB$9)+$FB$35)*(1+(INDEX(绊状态确认!$T:$T,MATCH($G197,绊状态确认!$B:$B,))+0.2)*AO197)*IF(J197=$FF$17,1+$FE$17,1)*IF(I197=$FF$14,1+$FE$14,1)*(1+$FE$15)</f>
        <v>10197.785770744</v>
      </c>
      <c r="BC197" s="1097">
        <f>(AN197*(1+$FB$10)+$FB$36)*(1+(INDEX(绊状态确认!$T:$T,MATCH($G197,绊状态确认!$B:$B,))+0.2)*AO197)*IF(J197=$FF$17,1+$FE$17,1)*IF(I197=$FF$14,1+$FE$14,1)*(1+$FE$15)</f>
        <v>12852.324632471998</v>
      </c>
      <c r="BD197" s="1104">
        <f>MIN(AT197*0.15+BC197*0.00003+INDEX(绊状态确认!M:M,MATCH($G197,绊状态确认!$B:$B,)),1)</f>
        <v>0.41556973897416</v>
      </c>
      <c r="BE197" s="432">
        <f>(INDEX(绊状态确认!$N:$N,MATCH($G197,绊状态确认!$B:$B,))+1.5)</f>
        <v>1.9</v>
      </c>
      <c r="BF197" s="1139">
        <f t="array" ref="BF197">SUMPRODUCT(IF(AZ197*AP197*$FI$16:$FI$23*$FA$22&gt;=$FI$24,$FI$24,AZ197*AP197*$FI$16:$FI$23*$FA$22),$FJ$16:$FJ$23)</f>
        <v>37113.189287845315</v>
      </c>
      <c r="BG197" s="1125">
        <f t="array" ref="BG197">SUMPRODUCT(IF(BE197*AZ197*AP197*$FI$16:$FI$23*$FA$22&gt;=$FI$24,$FI$24,BE197*AZ197*AP197*$FI$16:$FI$23*$FA$22),$FJ$16:$FJ$23)</f>
        <v>59522.068569755895</v>
      </c>
      <c r="BH197" s="1110">
        <f t="shared" si="286"/>
        <v>15475.213800577452</v>
      </c>
      <c r="BI197" s="1111">
        <f>IF(O197="vo",$EW$26/$EW$24*0.05,0)+IF(O197="sk",-$EW$26/$EW$24*(0.05-INDEX(绊状态确认!W:W,MATCH($G197,绊状态确认!$B:$B,)))+0.05*$EW$28,0)+IF(O197="sp",0.05*$EW$32*$EW$30*(1-$EW$33)-(0.05-INDEX(绊状态确认!V:V,MATCH($G197,绊状态确认!$B:$B,)))*$EW$28,0)+IF(O197="gd",-(0.05-INDEX(绊状态确认!X:X,MATCH($G197,绊状态确认!$B:$B,)))*$EW$32*$EW$30*(1-$EW$33),0)</f>
        <v>-6253.6726349699375</v>
      </c>
      <c r="BJ197" s="1097">
        <f>IF(O197="vo",0.05*(1-$FI$26)*$FA$24,0)+IF(O197="sk",-(0.05-INDEX(绊状态确认!W:W,MATCH($G197,绊状态确认!$B:$B,)))*(1-$FI$26)*$FA$24+0.05*$FA$26,0)+IF(O197="sp",0.05*$FA$32*$FA$27*(1-$FA$33)/$FA$30+0.05*$FA$29/$FA$69*$FA$27*(1-$FA$33)-(0.05-INDEX(绊状态确认!V:V,MATCH($G197,绊状态确认!$B:$B,)))*$FA$26,0)+IF(O197="gd",-(0.05-INDEX(绊状态确认!X:X,MATCH($G197,绊状态确认!$B:$B,)))*$FA$32*$FA$27*(1-$FA$33)/$FA$30-(0.05-INDEX(绊状态确认!X:X,MATCH($G197,绊状态确认!$B:$B,)))*$FA$29/$FA$69*$FA$27*(1-$FA$33),0)</f>
        <v>20.459096812499922</v>
      </c>
      <c r="BK197" s="1110">
        <f>IF(O197="vo",$EW$26/$EW$24*0.05+$EW$26*(-HP($EW$62,$EW$65,$EW$64)+HP($EW$62,$EW$65,(1.05-INDEX(绊状态确认!U:U,MATCH($G197,绊状态确认!$B:$B,)))*$EW$64)),0)+IF(O197="sk",-$EW$26/$EW$24*(0.05-INDEX(绊状态确认!W:W,MATCH($G197,绊状态确认!$B:$B,)))+0.05*$EW$29,0)+IF(O197="sp",0.05*$EW$32*$EW$30*(1-$EW$33)-(0.05-INDEX(绊状态确认!V:V,MATCH($G197,绊状态确认!$B:$B,)))*$EW$29,0)+IF(O197="gd",-(0.05-INDEX(绊状态确认!X:X,MATCH($G197,绊状态确认!$B:$B,)))*$EW$32*$EW$30*(1-$EW$33)+$EW$26*(-HP($EW$62,$EW$65,$EW$64)+HP($EW$62,$EW$65,0.95*$EW$64)),0)</f>
        <v>-4253.6726349699375</v>
      </c>
      <c r="BL197" s="1111">
        <f t="shared" si="287"/>
        <v>-1083.3333333333333</v>
      </c>
      <c r="BM197" s="1110">
        <f t="shared" si="288"/>
        <v>-830.55555555555543</v>
      </c>
      <c r="BN197" s="1113">
        <f t="shared" si="289"/>
        <v>3</v>
      </c>
      <c r="BO197" s="1097">
        <f t="shared" si="290"/>
        <v>4507.7214871259994</v>
      </c>
      <c r="BP197" s="1100">
        <f t="shared" si="291"/>
        <v>221.34103209030098</v>
      </c>
      <c r="BQ197" s="1113" t="s">
        <v>145</v>
      </c>
      <c r="BR197" s="1124" t="s">
        <v>146</v>
      </c>
      <c r="BS197" s="1098">
        <f>IF($P197="","N/A",IF($P197=-1,INDEX('卡片raw data'!AX:AX,MATCH($D197,'卡片raw data'!$F:$F,)),0)+IF($L197="party卡",IF($P197=5,INDEX('卡片raw data'!BD:BD,MATCH($D197,'卡片raw data'!$F:$F,)),IF($P197&gt;=3,INDEX('卡片raw data'!BC:BC,MATCH($D197,'卡片raw data'!$F:$F,)),INDEX('卡片raw data'!BB:BB,MATCH($D197,'卡片raw data'!$F:$F,)))),IF(OR(AND($F197="UR",$P197=0),AND($F197="SR",$P197&gt;=0,$P197&lt;=2),AND($F197="R",$P197&gt;=0,$P197&lt;4)),INDEX('卡片raw data'!AZ:AZ,MATCH($D197,'卡片raw data'!$F:$F,)),0)+IF(OR(AND($F197="UR",$P197&gt;=1,$P197&lt;=4),AND($F197="SR",$P197&lt;=4,$P197&gt;=3),AND($F197="R",$P197=4)),INDEX('卡片raw data'!BA:BA,MATCH($D197,'卡片raw data'!$F:$F,)),0)+IF($P197=5,INDEX('卡片raw data'!BB:BB,MATCH($D197,'卡片raw data'!$F:$F,)),0)))</f>
        <v>0.05</v>
      </c>
      <c r="BT197" s="1101">
        <f t="shared" si="292"/>
        <v>3537.2976021542986</v>
      </c>
      <c r="BU197" s="1097">
        <f t="shared" si="293"/>
        <v>255.86405005115788</v>
      </c>
      <c r="BV197" s="1097">
        <f t="shared" si="294"/>
        <v>0</v>
      </c>
      <c r="BW197" s="1112">
        <f t="shared" si="295"/>
        <v>0</v>
      </c>
      <c r="BX197" s="1100">
        <f t="shared" si="296"/>
        <v>3537.2976021542986</v>
      </c>
      <c r="BY197" s="1110">
        <f t="shared" si="297"/>
        <v>0</v>
      </c>
      <c r="BZ197" s="1107" t="s">
        <v>569</v>
      </c>
      <c r="CA197" s="1124"/>
      <c r="CB197" s="1098">
        <f>IF($P197="","N/A",IF($P197=-1,INDEX('卡片raw data'!BE:BE,MATCH($D197,'卡片raw data'!$F:$F,)),0)+IF($L197="party卡",IF($P197=5,INDEX('卡片raw data'!BK:BK,MATCH($D197,'卡片raw data'!$F:$F,)),IF($P197&gt;=3,INDEX('卡片raw data'!BJ:BJ,MATCH($D197,'卡片raw data'!$F:$F,)),INDEX('卡片raw data'!BI:BI,MATCH($D197,'卡片raw data'!$F:$F,)))),IF(OR(AND($F197="UR",$P197=0),AND($F197="SR",$P197&gt;=0,$P197&lt;=2),AND($F197="R",$P197&gt;=0,$P197&lt;4)),INDEX('卡片raw data'!BG:BG,MATCH($D197,'卡片raw data'!$F:$F,)),0)+IF(OR(AND($F197="UR",$P197&gt;=1,$P197&lt;=4),AND($F197="SR",$P197&lt;=4,$P197&gt;=3),AND($F197="R",$P197=4)),INDEX('卡片raw data'!BH:BH,MATCH($D197,'卡片raw data'!$F:$F,)),0)+IF($P197=5,INDEX('卡片raw data'!BI:BI,MATCH($D197,'卡片raw data'!$F:$F,)),0)))</f>
        <v>0</v>
      </c>
      <c r="CC197" s="1101">
        <f t="shared" si="298"/>
        <v>0</v>
      </c>
      <c r="CD197" s="1097">
        <f>IF(BZ197="ap",CB197*(1-$FI$26)*$FB$5/$FB$11*(+IF(CA197="全员",$FA$24,0)+IF(CA197="同作战",$FA$24,0)+IF(CA197="仲间",$FA$24*2/3,0)+IF(CA197="同属性",$FA$24*$FA$37/3,0)+IF(CA197="同年级",$FA$24*$FA$40/3,0)+IF(CA197="同学校",$FA$24*$FA$43/3,0)+IF(CA197="同小队",$FA$24*$FA$46/3,0)+IF(CA197="同type",$FA$24*INDEX($FB$49:$FB$52,MATCH(X197,$FA$49:$FA$52,))/3,0)+IF(CA197="自身",#REF!/3,0)),0)+IF(BZ197="te",CB197*(1-$FI$27)*($FA$20-1)*$FB$7/$FB$13*(+IF(CA197="全员",$FA$19*$FA$24/(1+($FA$20-1)*$FA$19),0)+IF(CA197="同作战",$FA$19*$FA$24/(1+($FA$20-1)*$FA$19),0)+IF(CA197="仲间",$FA$19*$FA$24*2/3/(1+($FA$20-1)*$FA$19),0)+IF(CA197="同属性",$FA$19*$FA$24*$FA$37/3/(1+($FA$20-1)*$FA$19),0)+IF(CA197="同年级",$FA$19*$FA$24*$FA$40/3/(1+($FA$20-1)*$FA$19),0)+IF(CA197="同学校",$FA$19*$FA$24*$FA$43/3/(1+($FA$20-1)*$FA$19),0)+IF(CA197="同小队",$FA$19*$FA$24*$FA$46/3/(1+($FA$20-1)*$FA$19),0)+IF(CA197="同type",$FA$19*$FA$24*INDEX($FB$49:$FB$52,MATCH(X197,$FA$49:$FA$52,))/3/(1+($FA$20-1)*$FA$19),0)+IF(CA197="自身",$FA$19*#REF!/3/(1+(BH197-1)*$BD197),0)),0)</f>
        <v>0</v>
      </c>
      <c r="CE197" s="1097">
        <f t="shared" si="299"/>
        <v>0</v>
      </c>
      <c r="CF197" s="1112">
        <f t="shared" si="300"/>
        <v>0</v>
      </c>
      <c r="CG197" s="1100">
        <f t="shared" si="301"/>
        <v>0</v>
      </c>
      <c r="CH197" s="1110">
        <f t="shared" si="302"/>
        <v>0</v>
      </c>
      <c r="CI197" s="1113" t="s">
        <v>162</v>
      </c>
      <c r="CJ197" s="1114">
        <v>0.3</v>
      </c>
      <c r="CK197" s="1115" t="s">
        <v>590</v>
      </c>
      <c r="CL197" s="1115" t="s">
        <v>161</v>
      </c>
      <c r="CM197" s="1119">
        <v>0.08</v>
      </c>
      <c r="CN197" s="1115">
        <v>10</v>
      </c>
      <c r="CO197" s="1092"/>
      <c r="CP197" s="1118">
        <f t="shared" si="303"/>
        <v>5.1428571428571426E-3</v>
      </c>
      <c r="CQ197" s="1118">
        <f t="shared" si="304"/>
        <v>8.0000000000000002E-3</v>
      </c>
      <c r="CR197" s="1118">
        <f t="shared" si="305"/>
        <v>5.1428571428571426E-3</v>
      </c>
      <c r="CS197" s="1118">
        <f t="shared" si="306"/>
        <v>0</v>
      </c>
      <c r="CT197" s="1109">
        <f t="shared" si="307"/>
        <v>1.375</v>
      </c>
      <c r="CU197" s="1101">
        <f t="shared" si="308"/>
        <v>66.857142857142847</v>
      </c>
      <c r="CV197" s="1108">
        <f t="shared" si="309"/>
        <v>79.73333333333332</v>
      </c>
      <c r="CW197" s="1097">
        <f t="shared" si="310"/>
        <v>66.857142857142847</v>
      </c>
      <c r="CX197" s="1097">
        <f t="shared" si="311"/>
        <v>66.857142857142847</v>
      </c>
      <c r="CY197" s="1110">
        <f t="shared" si="312"/>
        <v>66.857142857142847</v>
      </c>
      <c r="CZ197" s="437"/>
      <c r="DA197" s="438"/>
      <c r="DB197" s="439" t="s">
        <v>569</v>
      </c>
      <c r="DC197" s="439"/>
      <c r="DD197" s="443"/>
      <c r="DE197" s="411"/>
      <c r="DF197" s="411"/>
      <c r="DG197" s="1116">
        <f t="shared" si="313"/>
        <v>0</v>
      </c>
      <c r="DH197" s="1116">
        <f t="shared" si="314"/>
        <v>0</v>
      </c>
      <c r="DI197" s="1116">
        <f t="shared" si="315"/>
        <v>0</v>
      </c>
      <c r="DJ197" s="442">
        <f t="shared" si="316"/>
        <v>0</v>
      </c>
      <c r="DK197" s="1109">
        <f t="shared" si="317"/>
        <v>0</v>
      </c>
      <c r="DL197" s="1101">
        <f t="shared" si="318"/>
        <v>0</v>
      </c>
      <c r="DM197" s="1097">
        <f t="shared" si="319"/>
        <v>0</v>
      </c>
      <c r="DN197" s="1097">
        <f t="shared" si="320"/>
        <v>0</v>
      </c>
      <c r="DO197" s="1097">
        <f t="shared" si="321"/>
        <v>0</v>
      </c>
      <c r="DP197" s="1110">
        <f t="shared" si="322"/>
        <v>0</v>
      </c>
      <c r="DQ197" s="1113" t="s">
        <v>561</v>
      </c>
      <c r="DR197" s="1120">
        <f t="shared" si="323"/>
        <v>0.3</v>
      </c>
      <c r="DS197" s="1124">
        <v>5</v>
      </c>
      <c r="DT197" s="1093" t="s">
        <v>171</v>
      </c>
      <c r="DU197" s="1093" t="s">
        <v>560</v>
      </c>
      <c r="DV197" s="1098">
        <f>IF($P197="","N/A",IF(P197=-1,INDEX('卡片raw data'!AN:AN,MATCH(D197,'卡片raw data'!$F:$F,)),0)+IF(AND(L197&lt;&gt;"party卡",P197&lt;=2,P197&gt;=0),INDEX('卡片raw data'!AP:AP,MATCH(D197,'卡片raw data'!$F:$F,)),0)+IF(OR(AND(L197="party卡",P197&lt;=1),AND(P197&lt;=4,L197&lt;&gt;"party卡",P197&gt;=3)),INDEX('卡片raw data'!AQ:AQ,MATCH(D197,'卡片raw data'!$F:$F,)),0)+IF(OR(P197=5,AND(L197="party卡",P197&gt;=2)),INDEX('卡片raw data'!AR:AR,MATCH(D197,'卡片raw data'!$F:$F,)),0))</f>
        <v>0.04</v>
      </c>
      <c r="DW197" s="1098">
        <f t="shared" si="324"/>
        <v>0.3</v>
      </c>
      <c r="DX197" s="1098">
        <f t="shared" si="325"/>
        <v>0.3</v>
      </c>
      <c r="DY197" s="1098">
        <f t="shared" si="326"/>
        <v>1.3333333333333334E-2</v>
      </c>
      <c r="DZ197" s="1098">
        <f t="shared" si="327"/>
        <v>1.0091666666666667E-2</v>
      </c>
      <c r="EA197" s="1098">
        <f t="shared" si="328"/>
        <v>7.5022526041666647E-3</v>
      </c>
      <c r="EB197" s="1121">
        <f t="shared" si="329"/>
        <v>0</v>
      </c>
      <c r="EC197" s="1101">
        <f t="shared" si="330"/>
        <v>565.6565656565657</v>
      </c>
      <c r="ED197" s="1097">
        <f t="shared" si="331"/>
        <v>229.35606060606059</v>
      </c>
      <c r="EE197" s="1110">
        <f t="shared" si="332"/>
        <v>565.6565656565657</v>
      </c>
      <c r="EF197" s="1092" t="s">
        <v>711</v>
      </c>
      <c r="EG197" s="1120">
        <f t="shared" si="333"/>
        <v>0.3</v>
      </c>
      <c r="EH197" s="1124"/>
      <c r="EI197" s="1093"/>
      <c r="EJ197" s="1093"/>
      <c r="EK197" s="1097">
        <f>IF($P197="","N/A",IF(P197=-1,INDEX('卡片raw data'!AS:AS,MATCH(D197,'卡片raw data'!$F:$F,)),0)+IF(AND(L197&lt;&gt;"party卡",P197&lt;=2,P197&gt;=0),INDEX('卡片raw data'!AU:AU,MATCH(D197,'卡片raw data'!$F:$F,)),0)+IF(OR(AND(L197="party卡",P197&lt;=1),AND(P197&lt;=4,L197&lt;&gt;"party卡",P197&gt;=3)),INDEX('卡片raw data'!AV:AV,MATCH(D197,'卡片raw data'!$F:$F,)),0)+IF(OR(P197=5,AND(L197="party卡",P197&gt;=2)),INDEX('卡片raw data'!AW:AW,MATCH(D197,'卡片raw data'!$F:$F,)),0))</f>
        <v>0</v>
      </c>
      <c r="EL197" s="1098">
        <f t="shared" si="334"/>
        <v>0.3</v>
      </c>
      <c r="EM197" s="1098">
        <f t="shared" si="335"/>
        <v>0.3</v>
      </c>
      <c r="EN197" s="1125">
        <f t="shared" si="336"/>
        <v>0</v>
      </c>
      <c r="EO197" s="1125">
        <f t="shared" si="337"/>
        <v>0</v>
      </c>
      <c r="EP197" s="1098">
        <f t="shared" si="338"/>
        <v>0</v>
      </c>
      <c r="EQ197" s="1121">
        <f t="shared" si="339"/>
        <v>0</v>
      </c>
      <c r="ER197" s="1101">
        <f t="shared" si="340"/>
        <v>0</v>
      </c>
      <c r="ES197" s="1097">
        <f t="shared" si="341"/>
        <v>0</v>
      </c>
      <c r="ET197" s="1122">
        <f t="shared" si="342"/>
        <v>0</v>
      </c>
    </row>
    <row r="198" spans="2:150" ht="16.5" customHeight="1">
      <c r="B198" s="1123" t="str">
        <f>INDEX('卡片raw data'!B:B,MATCH($D198,'卡片raw data'!$F:$F,))</f>
        <v>魔法黛</v>
      </c>
      <c r="C198" s="449" t="s">
        <v>67</v>
      </c>
      <c r="D198" s="408">
        <v>195</v>
      </c>
      <c r="E198" s="1090">
        <v>401043001</v>
      </c>
      <c r="F198" s="1090" t="str">
        <f>INDEX('卡片raw data'!C:C,MATCH($D198,'卡片raw data'!$F:$F,))</f>
        <v>UR</v>
      </c>
      <c r="G198" s="1094" t="s">
        <v>36</v>
      </c>
      <c r="H198" s="411">
        <f>IFERROR(INDEX(绊状态确认!C:C,MATCH($G198,绊状态确认!$B:$B,)),"")</f>
        <v>104</v>
      </c>
      <c r="I198" s="450" t="str">
        <f>IFERROR(INDEX(绊状态确认!D:D,MATCH($G198,绊状态确认!$B:$B,)),"")</f>
        <v>水</v>
      </c>
      <c r="J198" s="450" t="str">
        <f>IFERROR(INDEX(绊状态确认!E:E,MATCH($G198,绊状态确认!$B:$B,)),"")</f>
        <v>3年级</v>
      </c>
      <c r="K198" s="451" t="str">
        <f>IFERROR(INDEX(绊状态确认!F:F,MATCH($G198,绊状态确认!$B:$B,)),"")</f>
        <v>AZALEA</v>
      </c>
      <c r="L198" s="1094" t="str">
        <f>INDEX('卡片raw data'!E:E,MATCH($D198,'卡片raw data'!$F:$F,))</f>
        <v>卡池卡</v>
      </c>
      <c r="M198" s="415">
        <v>43913</v>
      </c>
      <c r="N198" s="416">
        <v>12</v>
      </c>
      <c r="O198" s="1091" t="str">
        <f>INDEX('卡片raw data'!D:D,MATCH($D198,'卡片raw data'!$F:$F,))</f>
        <v>gd</v>
      </c>
      <c r="P198" s="417">
        <v>5</v>
      </c>
      <c r="Q198" s="1095">
        <f t="shared" si="258"/>
        <v>31207.701866812637</v>
      </c>
      <c r="R198" s="1096">
        <f t="shared" si="259"/>
        <v>0.36199999999999999</v>
      </c>
      <c r="S198" s="1097">
        <f t="shared" si="260"/>
        <v>16649.150977769321</v>
      </c>
      <c r="T198" s="1098">
        <f t="shared" si="261"/>
        <v>0.83199999999999996</v>
      </c>
      <c r="U198" s="1099">
        <f t="shared" si="262"/>
        <v>101.58338185274286</v>
      </c>
      <c r="V198" s="1100">
        <f t="shared" si="263"/>
        <v>41893.243572855201</v>
      </c>
      <c r="W198" s="1101">
        <f t="shared" si="264"/>
        <v>4590.5220171207529</v>
      </c>
      <c r="X198" s="1096">
        <f t="shared" si="265"/>
        <v>5.2999999999999999E-2</v>
      </c>
      <c r="Y198" s="1097">
        <f t="shared" si="266"/>
        <v>2301.5501092256191</v>
      </c>
      <c r="Z198" s="1102">
        <f t="shared" si="267"/>
        <v>28.320881852742851</v>
      </c>
      <c r="AA198" s="1103">
        <f t="shared" si="268"/>
        <v>6892.072126346372</v>
      </c>
      <c r="AB198" s="1101">
        <f t="shared" si="269"/>
        <v>4590.5220171207529</v>
      </c>
      <c r="AC198" s="1104">
        <f t="shared" si="270"/>
        <v>5.2999999999999999E-2</v>
      </c>
      <c r="AD198" s="1105">
        <f t="shared" si="271"/>
        <v>0</v>
      </c>
      <c r="AE198" s="1128">
        <f t="shared" si="272"/>
        <v>-6.25</v>
      </c>
      <c r="AF198" s="1130">
        <f t="shared" si="273"/>
        <v>0</v>
      </c>
      <c r="AG198" s="420">
        <f t="shared" si="274"/>
        <v>0</v>
      </c>
      <c r="AH198" s="420">
        <f t="shared" si="275"/>
        <v>0</v>
      </c>
      <c r="AI198" s="1097">
        <f t="shared" si="276"/>
        <v>0</v>
      </c>
      <c r="AJ198" s="420">
        <f t="shared" si="277"/>
        <v>0</v>
      </c>
      <c r="AK198" s="518">
        <f t="shared" si="278"/>
        <v>0</v>
      </c>
      <c r="AL198" s="1106">
        <f>IF($P198="","N/A",(IF($P198=-1,INDEX('卡片raw data'!S:S,MATCH($D198,'卡片raw data'!$F:$F,)),0)+IF($P198=0,INDEX('卡片raw data'!V:V,MATCH($D198,'卡片raw data'!$F:$F,)),0)+IF($P198=1,INDEX('卡片raw data'!Y:Y,MATCH($D198,'卡片raw data'!$F:$F,)),0)+IF($P198=2,INDEX('卡片raw data'!AB:AB,MATCH($D198,'卡片raw data'!$F:$F,)),0)+IF($P198=3,INDEX('卡片raw data'!AE:AE,MATCH($D198,'卡片raw data'!$F:$F,)),0)+IF($P198=4,INDEX('卡片raw data'!AH:AH,MATCH($D198,'卡片raw data'!$F:$F,)),0)+IF($P198=5,INDEX('卡片raw data'!AK:AK,MATCH($D198,'卡片raw data'!$F:$F,)),0)+INDEX('卡片raw data'!S:S,MATCH($D198,'卡片raw data'!$F:$F,))*(IF($F198="UR",0.04,0.033))*(IF($F198="UR",INDEX(绊状态确认!$S:$S,MATCH($G198,绊状态确认!$B:$B,))/2-40)+IF($F198="SR",INDEX(绊状态确认!$R:$R,MATCH($G198,绊状态确认!$B:$B,))/4-15))+IF($F198="R",INDEX(绊状态确认!$Q:$Q,MATCH($G198,绊状态确认!$B:$B,))/6-40/6)))*(INDEX(绊状态确认!$H:$H,MATCH($G198,绊状态确认!$B:$B,))+INDEX(绊状态确认!J:J,MATCH($G198,绊状态确认!$B:$B,)))</f>
        <v>9573.0335999999988</v>
      </c>
      <c r="AM198" s="1106">
        <f>IF($P198="","N/A",(IF($P198=-1,INDEX('卡片raw data'!T:T,MATCH($D198,'卡片raw data'!$F:$F,)),0)+IF($P198=0,INDEX('卡片raw data'!W:W,MATCH($D198,'卡片raw data'!$F:$F,)),0)+IF($P198=1,INDEX('卡片raw data'!Z:Z,MATCH($D198,'卡片raw data'!$F:$F,)),0)+IF($P198=2,INDEX('卡片raw data'!AC:AC,MATCH($D198,'卡片raw data'!$F:$F,)),0)+IF($P198=3,INDEX('卡片raw data'!AF:AF,MATCH($D198,'卡片raw data'!$F:$F,)),0)+IF($P198=4,INDEX('卡片raw data'!AI:AI,MATCH($D198,'卡片raw data'!$F:$F,)),0)+IF($P198=5,INDEX('卡片raw data'!AL:AL,MATCH($D198,'卡片raw data'!$F:$F,)),0)+INDEX('卡片raw data'!T:T,MATCH($D198,'卡片raw data'!$F:$F,))*(IF($F198="UR",0.04,0.033))*(IF($F198="UR",INDEX(绊状态确认!$S:$S,MATCH($G198,绊状态确认!$B:$B,))/2-40)+IF($F198="SR",INDEX(绊状态确认!$R:$R,MATCH($G198,绊状态确认!$B:$B,))/4-15))+IF($F198="R",INDEX(绊状态确认!$Q:$Q,MATCH($G198,绊状态确认!$B:$B,))/6-40/6)))*(INDEX(绊状态确认!$H:$H,MATCH($G198,绊状态确认!$B:$B,))+INDEX(绊状态确认!K:K,MATCH($G198,绊状态确认!$B:$B,)))</f>
        <v>14358.368543999997</v>
      </c>
      <c r="AN198" s="1106">
        <f>IF($P198="","N/A",(IF($P198=-1,INDEX('卡片raw data'!U:U,MATCH($D198,'卡片raw data'!$F:$F,)),0)+IF($P198=0,INDEX('卡片raw data'!X:X,MATCH($D198,'卡片raw data'!$F:$F,)),0)+IF($P198=1,INDEX('卡片raw data'!AA:AA,MATCH($D198,'卡片raw data'!$F:$F,)),0)+IF($P198=2,INDEX('卡片raw data'!AD:AD,MATCH($D198,'卡片raw data'!$F:$F,)),0)+IF($P198=3,INDEX('卡片raw data'!AG:AG,MATCH($D198,'卡片raw data'!$F:$F,)),0)+IF($P198=4,INDEX('卡片raw data'!AJ:AJ,MATCH($D198,'卡片raw data'!$F:$F,)),0)+IF($P198=5,INDEX('卡片raw data'!AM:AM,MATCH($D198,'卡片raw data'!$F:$F,)),0)+INDEX('卡片raw data'!U:U,MATCH($D198,'卡片raw data'!$F:$F,))*(IF($F198="UR",0.04,0.033))*(IF($F198="UR",INDEX(绊状态确认!$S:$S,MATCH($G198,绊状态确认!$B:$B,))/2-40)+IF($F198="SR",INDEX(绊状态确认!$R:$R,MATCH($G198,绊状态确认!$B:$B,))/4-15))+IF($F198="R",INDEX(绊状态确认!$Q:$Q,MATCH($G198,绊状态确认!$B:$B,))/6-40/6)))*(INDEX(绊状态确认!$H:$H,MATCH($G198,绊状态确认!$B:$B,))+INDEX(绊状态确认!L:L,MATCH($G198,绊状态确认!$B:$B,)))</f>
        <v>7976.3461439999992</v>
      </c>
      <c r="AO198" s="1107">
        <f t="shared" si="279"/>
        <v>1</v>
      </c>
      <c r="AP198" s="1131">
        <f>1+(INDEX(绊状态确认!$T:$T,MATCH($G198,绊状态确认!$B:$B,))+0.2)*$AO198</f>
        <v>1.3</v>
      </c>
      <c r="AQ198" s="1108">
        <f t="shared" si="280"/>
        <v>28379.213199999998</v>
      </c>
      <c r="AR198" s="1097">
        <f>(AM198*(1+$EX$9)+$EX$35)*(1+(INDEX(绊状态确认!$T:$T,MATCH($G198,绊状态确认!$B:$B,))+0.2)*AO198)*IF(J198=$FF$17,1+$FE$17,1)*IF(I198=$FF$14,1+$FE$14,1)*(1+$FE$15)</f>
        <v>22303.173062559996</v>
      </c>
      <c r="AS198" s="1097">
        <f>(AN198*(1+$EX$10)+$EX$36)*(1+(INDEX(绊状态确认!$T:$T,MATCH($G198,绊状态确认!$B:$B,))+0.2)*AO198)*IF(J198=$FF$17,1+$FE$17,1)*IF(I198=$FF$14,1+$FE$14,1)*(1+$FE$15)</f>
        <v>15980.637485279998</v>
      </c>
      <c r="AT198" s="1093">
        <f>IF(AND(INDEX('卡片raw data'!AK:AK,MATCH($D198,'卡片raw data'!$F:$F,))&lt;INDEX('卡片raw data'!AM:AM,MATCH($D198,'卡片raw data'!$F:$F,)),INDEX('卡片raw data'!AL:AL,MATCH($D198,'卡片raw data'!$F:$F,))&lt;INDEX('卡片raw data'!AM:AM,MATCH($D198,'卡片raw data'!$F:$F,))),1,0)</f>
        <v>0</v>
      </c>
      <c r="AU198" s="1098">
        <f>MIN(AT198*0.15+AS198*0.00003+INDEX(绊状态确认!M:M,MATCH($G198,绊状态确认!$B:$B,)),1)</f>
        <v>0.50941912455839999</v>
      </c>
      <c r="AV198" s="1109">
        <f>(INDEX(绊状态确认!$N:$N,MATCH($G198,绊状态确认!$B:$B,))+1.5)*$EW$21</f>
        <v>2.6599999999999997</v>
      </c>
      <c r="AW198" s="1101">
        <f t="shared" si="281"/>
        <v>27202.179849691882</v>
      </c>
      <c r="AX198" s="1097">
        <f t="shared" si="282"/>
        <v>1953.9690181640262</v>
      </c>
      <c r="AY198" s="1110">
        <f t="shared" si="283"/>
        <v>29156.148867855907</v>
      </c>
      <c r="AZ198" s="429">
        <f t="shared" si="284"/>
        <v>21267.415519999999</v>
      </c>
      <c r="BA198" s="431">
        <f t="shared" si="285"/>
        <v>25520.898623999998</v>
      </c>
      <c r="BB198" s="1097">
        <f>(AM198*(1+$FB$9)+$FB$35)*(1+(INDEX(绊状态确认!$T:$T,MATCH($G198,绊状态确认!$B:$B,))+0.2)*AO198)*IF(J198=$FF$17,1+$FE$17,1)*IF(I198=$FF$14,1+$FE$14,1)*(1+$FE$15)</f>
        <v>22303.173062559996</v>
      </c>
      <c r="BC198" s="1097">
        <f>(AN198*(1+$FB$10)+$FB$36)*(1+(INDEX(绊状态确认!$T:$T,MATCH($G198,绊状态确认!$B:$B,))+0.2)*AO198)*IF(J198=$FF$17,1+$FE$17,1)*IF(I198=$FF$14,1+$FE$14,1)*(1+$FE$15)</f>
        <v>15980.637485279998</v>
      </c>
      <c r="BD198" s="1104">
        <f>MIN(AT198*0.15+BC198*0.00003+INDEX(绊状态确认!M:M,MATCH($G198,绊状态确认!$B:$B,)),1)</f>
        <v>0.50941912455839999</v>
      </c>
      <c r="BE198" s="432">
        <f>(INDEX(绊状态确认!$N:$N,MATCH($G198,绊状态确认!$B:$B,))+1.5)</f>
        <v>1.9</v>
      </c>
      <c r="BF198" s="1139">
        <f t="array" ref="BF198">SUMPRODUCT(IF(AZ198*AP198*$FI$16:$FI$23*$FA$22&gt;=$FI$24,$FI$24,AZ198*AP198*$FI$16:$FI$23*$FA$22),$FJ$16:$FJ$23)</f>
        <v>42300.889469280002</v>
      </c>
      <c r="BG198" s="1125">
        <f t="array" ref="BG198">SUMPRODUCT(IF(BE198*AZ198*AP198*$FI$16:$FI$23*$FA$22&gt;=$FI$24,$FI$24,BE198*AZ198*AP198*$FI$16:$FI$23*$FA$22),$FJ$16:$FJ$23)</f>
        <v>60000</v>
      </c>
      <c r="BH198" s="1110">
        <f t="shared" si="286"/>
        <v>17105.718287100579</v>
      </c>
      <c r="BI198" s="1111">
        <f>IF(O198="vo",$EW$26/$EW$24*0.05,0)+IF(O198="sk",-$EW$26/$EW$24*(0.05-INDEX(绊状态确认!W:W,MATCH($G198,绊状态确认!$B:$B,)))+0.05*$EW$28,0)+IF(O198="sp",0.05*$EW$32*$EW$30*(1-$EW$33)-(0.05-INDEX(绊状态确认!V:V,MATCH($G198,绊状态确认!$B:$B,)))*$EW$28,0)+IF(O198="gd",-(0.05-INDEX(绊状态确认!X:X,MATCH($G198,绊状态确认!$B:$B,)))*$EW$32*$EW$30*(1-$EW$33),0)</f>
        <v>-585.00000000000011</v>
      </c>
      <c r="BJ198" s="1097">
        <f>IF(O198="vo",0.05*(1-$FI$26)*$FA$24,0)+IF(O198="sk",-(0.05-INDEX(绊状态确认!W:W,MATCH($G198,绊状态确认!$B:$B,)))*(1-$FI$26)*$FA$24+0.05*$FA$26,0)+IF(O198="sp",0.05*$FA$32*$FA$27*(1-$FA$33)/$FA$30+0.05*$FA$29/$FA$69*$FA$27*(1-$FA$33)-(0.05-INDEX(绊状态确认!V:V,MATCH($G198,绊状态确认!$B:$B,)))*$FA$26,0)+IF(O198="gd",-(0.05-INDEX(绊状态确认!X:X,MATCH($G198,绊状态确认!$B:$B,)))*$FA$32*$FA$27*(1-$FA$33)/$FA$30-(0.05-INDEX(绊状态确认!X:X,MATCH($G198,绊状态确认!$B:$B,)))*$FA$29/$FA$69*$FA$27*(1-$FA$33),0)</f>
        <v>-795.00000000000011</v>
      </c>
      <c r="BK198" s="1110">
        <f>IF(O198="vo",$EW$26/$EW$24*0.05+$EW$26*(-HP($EW$62,$EW$65,$EW$64)+HP($EW$62,$EW$65,(1.05-INDEX(绊状态确认!U:U,MATCH($G198,绊状态确认!$B:$B,)))*$EW$64)),0)+IF(O198="sk",-$EW$26/$EW$24*(0.05-INDEX(绊状态确认!W:W,MATCH($G198,绊状态确认!$B:$B,)))+0.05*$EW$29,0)+IF(O198="sp",0.05*$EW$32*$EW$30*(1-$EW$33)-(0.05-INDEX(绊状态确认!V:V,MATCH($G198,绊状态确认!$B:$B,)))*$EW$29,0)+IF(O198="gd",-(0.05-INDEX(绊状态确认!X:X,MATCH($G198,绊状态确认!$B:$B,)))*$EW$32*$EW$30*(1-$EW$33)+$EW$26*(-HP($EW$62,$EW$65,$EW$64)+HP($EW$62,$EW$65,0.95*$EW$64)),0)</f>
        <v>1009.5947725176144</v>
      </c>
      <c r="BL198" s="1111">
        <f t="shared" si="287"/>
        <v>0</v>
      </c>
      <c r="BM198" s="1110">
        <f t="shared" si="288"/>
        <v>0</v>
      </c>
      <c r="BN198" s="1113">
        <f t="shared" si="289"/>
        <v>3</v>
      </c>
      <c r="BO198" s="1097">
        <f t="shared" si="290"/>
        <v>4507.7214871259994</v>
      </c>
      <c r="BP198" s="1100">
        <f t="shared" si="291"/>
        <v>221.34103209030098</v>
      </c>
      <c r="BQ198" s="1113" t="s">
        <v>144</v>
      </c>
      <c r="BR198" s="1124" t="s">
        <v>147</v>
      </c>
      <c r="BS198" s="1098">
        <f>IF($P198="","N/A",IF($P198=-1,INDEX('卡片raw data'!AX:AX,MATCH($D198,'卡片raw data'!$F:$F,)),0)+IF($L198="party卡",IF($P198=5,INDEX('卡片raw data'!BD:BD,MATCH($D198,'卡片raw data'!$F:$F,)),IF($P198&gt;=3,INDEX('卡片raw data'!BC:BC,MATCH($D198,'卡片raw data'!$F:$F,)),INDEX('卡片raw data'!BB:BB,MATCH($D198,'卡片raw data'!$F:$F,)))),IF(OR(AND($F198="UR",$P198=0),AND($F198="SR",$P198&gt;=0,$P198&lt;=2),AND($F198="R",$P198&gt;=0,$P198&lt;4)),INDEX('卡片raw data'!AZ:AZ,MATCH($D198,'卡片raw data'!$F:$F,)),0)+IF(OR(AND($F198="UR",$P198&gt;=1,$P198&lt;=4),AND($F198="SR",$P198&lt;=4,$P198&gt;=3),AND($F198="R",$P198=4)),INDEX('卡片raw data'!BA:BA,MATCH($D198,'卡片raw data'!$F:$F,)),0)+IF($P198=5,INDEX('卡片raw data'!BB:BB,MATCH($D198,'卡片raw data'!$F:$F,)),0)))</f>
        <v>4.2000000000000003E-2</v>
      </c>
      <c r="BT198" s="1101">
        <f t="shared" si="292"/>
        <v>0</v>
      </c>
      <c r="BU198" s="1097">
        <f t="shared" si="293"/>
        <v>0</v>
      </c>
      <c r="BV198" s="1097">
        <f t="shared" si="294"/>
        <v>0</v>
      </c>
      <c r="BW198" s="1112">
        <f t="shared" si="295"/>
        <v>4.4246249999999989</v>
      </c>
      <c r="BX198" s="1100">
        <f t="shared" si="296"/>
        <v>347.58109106159276</v>
      </c>
      <c r="BY198" s="1110">
        <f t="shared" si="297"/>
        <v>347.58109106159276</v>
      </c>
      <c r="BZ198" s="1107" t="s">
        <v>569</v>
      </c>
      <c r="CA198" s="1124"/>
      <c r="CB198" s="1098">
        <f>IF($P198="","N/A",IF($P198=-1,INDEX('卡片raw data'!BE:BE,MATCH($D198,'卡片raw data'!$F:$F,)),0)+IF($L198="party卡",IF($P198=5,INDEX('卡片raw data'!BK:BK,MATCH($D198,'卡片raw data'!$F:$F,)),IF($P198&gt;=3,INDEX('卡片raw data'!BJ:BJ,MATCH($D198,'卡片raw data'!$F:$F,)),INDEX('卡片raw data'!BI:BI,MATCH($D198,'卡片raw data'!$F:$F,)))),IF(OR(AND($F198="UR",$P198=0),AND($F198="SR",$P198&gt;=0,$P198&lt;=2),AND($F198="R",$P198&gt;=0,$P198&lt;4)),INDEX('卡片raw data'!BG:BG,MATCH($D198,'卡片raw data'!$F:$F,)),0)+IF(OR(AND($F198="UR",$P198&gt;=1,$P198&lt;=4),AND($F198="SR",$P198&lt;=4,$P198&gt;=3),AND($F198="R",$P198=4)),INDEX('卡片raw data'!BH:BH,MATCH($D198,'卡片raw data'!$F:$F,)),0)+IF($P198=5,INDEX('卡片raw data'!BI:BI,MATCH($D198,'卡片raw data'!$F:$F,)),0)))</f>
        <v>0</v>
      </c>
      <c r="CC198" s="1101">
        <f t="shared" si="298"/>
        <v>0</v>
      </c>
      <c r="CD198" s="1097">
        <f>IF(BZ198="ap",CB198*(1-$FI$26)*$FB$5/$FB$11*(+IF(CA198="全员",$FA$24,0)+IF(CA198="同作战",$FA$24,0)+IF(CA198="仲间",$FA$24*2/3,0)+IF(CA198="同属性",$FA$24*$FA$37/3,0)+IF(CA198="同年级",$FA$24*$FA$40/3,0)+IF(CA198="同学校",$FA$24*$FA$43/3,0)+IF(CA198="同小队",$FA$24*$FA$46/3,0)+IF(CA198="同type",$FA$24*INDEX($FB$49:$FB$52,MATCH(X198,$FA$49:$FA$52,))/3,0)+IF(CA198="自身",#REF!/3,0)),0)+IF(BZ198="te",CB198*(1-$FI$27)*($FA$20-1)*$FB$7/$FB$13*(+IF(CA198="全员",$FA$19*$FA$24/(1+($FA$20-1)*$FA$19),0)+IF(CA198="同作战",$FA$19*$FA$24/(1+($FA$20-1)*$FA$19),0)+IF(CA198="仲间",$FA$19*$FA$24*2/3/(1+($FA$20-1)*$FA$19),0)+IF(CA198="同属性",$FA$19*$FA$24*$FA$37/3/(1+($FA$20-1)*$FA$19),0)+IF(CA198="同年级",$FA$19*$FA$24*$FA$40/3/(1+($FA$20-1)*$FA$19),0)+IF(CA198="同学校",$FA$19*$FA$24*$FA$43/3/(1+($FA$20-1)*$FA$19),0)+IF(CA198="同小队",$FA$19*$FA$24*$FA$46/3/(1+($FA$20-1)*$FA$19),0)+IF(CA198="同type",$FA$19*$FA$24*INDEX($FB$49:$FB$52,MATCH(X198,$FA$49:$FA$52,))/3/(1+($FA$20-1)*$FA$19),0)+IF(CA198="自身",$FA$19*#REF!/3/(1+(BH198-1)*$BD198),0)),0)</f>
        <v>0</v>
      </c>
      <c r="CE198" s="1097">
        <f t="shared" si="299"/>
        <v>0</v>
      </c>
      <c r="CF198" s="1112">
        <f t="shared" si="300"/>
        <v>0</v>
      </c>
      <c r="CG198" s="1100">
        <f t="shared" si="301"/>
        <v>0</v>
      </c>
      <c r="CH198" s="1110">
        <f t="shared" si="302"/>
        <v>0</v>
      </c>
      <c r="CI198" s="1113" t="s">
        <v>162</v>
      </c>
      <c r="CJ198" s="1114">
        <v>0.45</v>
      </c>
      <c r="CK198" s="1115" t="s">
        <v>152</v>
      </c>
      <c r="CL198" s="1115" t="s">
        <v>1944</v>
      </c>
      <c r="CM198" s="1119">
        <v>0.35</v>
      </c>
      <c r="CN198" s="1115"/>
      <c r="CO198" s="1092"/>
      <c r="CP198" s="1116">
        <f t="shared" si="303"/>
        <v>75.273209086139985</v>
      </c>
      <c r="CQ198" s="1116">
        <f t="shared" si="304"/>
        <v>117.09165857843998</v>
      </c>
      <c r="CR198" s="1116">
        <f t="shared" si="305"/>
        <v>75.273209086139985</v>
      </c>
      <c r="CS198" s="1118">
        <f t="shared" si="306"/>
        <v>0</v>
      </c>
      <c r="CT198" s="1109">
        <f t="shared" si="307"/>
        <v>0</v>
      </c>
      <c r="CU198" s="1101">
        <f t="shared" si="308"/>
        <v>82.800529994753987</v>
      </c>
      <c r="CV198" s="1108">
        <f t="shared" si="309"/>
        <v>117.09165857843998</v>
      </c>
      <c r="CW198" s="1097">
        <f t="shared" si="310"/>
        <v>82.800529994753987</v>
      </c>
      <c r="CX198" s="1097">
        <f t="shared" si="311"/>
        <v>82.800529994753987</v>
      </c>
      <c r="CY198" s="1110">
        <f t="shared" si="312"/>
        <v>82.800529994753987</v>
      </c>
      <c r="CZ198" s="437"/>
      <c r="DA198" s="438"/>
      <c r="DB198" s="439" t="s">
        <v>569</v>
      </c>
      <c r="DC198" s="439"/>
      <c r="DD198" s="443"/>
      <c r="DE198" s="411"/>
      <c r="DF198" s="411"/>
      <c r="DG198" s="1116">
        <f t="shared" si="313"/>
        <v>0</v>
      </c>
      <c r="DH198" s="1116">
        <f t="shared" si="314"/>
        <v>0</v>
      </c>
      <c r="DI198" s="1116">
        <f t="shared" si="315"/>
        <v>0</v>
      </c>
      <c r="DJ198" s="442">
        <f t="shared" si="316"/>
        <v>0</v>
      </c>
      <c r="DK198" s="1109">
        <f t="shared" si="317"/>
        <v>0</v>
      </c>
      <c r="DL198" s="1101">
        <f t="shared" si="318"/>
        <v>0</v>
      </c>
      <c r="DM198" s="1097">
        <f t="shared" si="319"/>
        <v>0</v>
      </c>
      <c r="DN198" s="1097">
        <f t="shared" si="320"/>
        <v>0</v>
      </c>
      <c r="DO198" s="1097">
        <f t="shared" si="321"/>
        <v>0</v>
      </c>
      <c r="DP198" s="1110">
        <f t="shared" si="322"/>
        <v>0</v>
      </c>
      <c r="DQ198" s="1113" t="s">
        <v>158</v>
      </c>
      <c r="DR198" s="1120">
        <f t="shared" si="323"/>
        <v>0.33</v>
      </c>
      <c r="DS198" s="1124">
        <v>3</v>
      </c>
      <c r="DT198" s="1093" t="s">
        <v>161</v>
      </c>
      <c r="DU198" s="1093" t="s">
        <v>544</v>
      </c>
      <c r="DV198" s="1098">
        <f>IF($P198="","N/A",IF(P198=-1,INDEX('卡片raw data'!AN:AN,MATCH(D198,'卡片raw data'!$F:$F,)),0)+IF(AND(L198&lt;&gt;"party卡",P198&lt;=2,P198&gt;=0),INDEX('卡片raw data'!AP:AP,MATCH(D198,'卡片raw data'!$F:$F,)),0)+IF(OR(AND(L198="party卡",P198&lt;=1),AND(P198&lt;=4,L198&lt;&gt;"party卡",P198&gt;=3)),INDEX('卡片raw data'!AQ:AQ,MATCH(D198,'卡片raw data'!$F:$F,)),0)+IF(OR(P198=5,AND(L198="party卡",P198&gt;=2)),INDEX('卡片raw data'!AR:AR,MATCH(D198,'卡片raw data'!$F:$F,)),0))</f>
        <v>0.45</v>
      </c>
      <c r="DW198" s="1098">
        <f t="shared" si="324"/>
        <v>0.33</v>
      </c>
      <c r="DX198" s="1098">
        <f t="shared" si="325"/>
        <v>0.33</v>
      </c>
      <c r="DY198" s="1098">
        <f t="shared" si="326"/>
        <v>0.14850000000000002</v>
      </c>
      <c r="DZ198" s="1098">
        <f t="shared" si="327"/>
        <v>0.12845250000000002</v>
      </c>
      <c r="EA198" s="1098">
        <f t="shared" si="328"/>
        <v>0</v>
      </c>
      <c r="EB198" s="1121">
        <f t="shared" si="329"/>
        <v>0</v>
      </c>
      <c r="EC198" s="1101">
        <f t="shared" si="330"/>
        <v>0</v>
      </c>
      <c r="ED198" s="1097">
        <f t="shared" si="331"/>
        <v>0</v>
      </c>
      <c r="EE198" s="1110">
        <f t="shared" si="332"/>
        <v>6789.3968242993333</v>
      </c>
      <c r="EF198" s="1092" t="s">
        <v>711</v>
      </c>
      <c r="EG198" s="1120">
        <f t="shared" si="333"/>
        <v>0.33</v>
      </c>
      <c r="EH198" s="1124"/>
      <c r="EI198" s="1093"/>
      <c r="EJ198" s="1093"/>
      <c r="EK198" s="1097">
        <f>IF($P198="","N/A",IF(P198=-1,INDEX('卡片raw data'!AS:AS,MATCH(D198,'卡片raw data'!$F:$F,)),0)+IF(AND(L198&lt;&gt;"party卡",P198&lt;=2,P198&gt;=0),INDEX('卡片raw data'!AU:AU,MATCH(D198,'卡片raw data'!$F:$F,)),0)+IF(OR(AND(L198="party卡",P198&lt;=1),AND(P198&lt;=4,L198&lt;&gt;"party卡",P198&gt;=3)),INDEX('卡片raw data'!AV:AV,MATCH(D198,'卡片raw data'!$F:$F,)),0)+IF(OR(P198=5,AND(L198="party卡",P198&gt;=2)),INDEX('卡片raw data'!AW:AW,MATCH(D198,'卡片raw data'!$F:$F,)),0))</f>
        <v>0</v>
      </c>
      <c r="EL198" s="1098">
        <f t="shared" si="334"/>
        <v>0.33</v>
      </c>
      <c r="EM198" s="1098">
        <f t="shared" si="335"/>
        <v>0.33</v>
      </c>
      <c r="EN198" s="1125">
        <f t="shared" si="336"/>
        <v>0</v>
      </c>
      <c r="EO198" s="1125">
        <f t="shared" si="337"/>
        <v>0</v>
      </c>
      <c r="EP198" s="1098">
        <f t="shared" si="338"/>
        <v>0</v>
      </c>
      <c r="EQ198" s="1121">
        <f t="shared" si="339"/>
        <v>0</v>
      </c>
      <c r="ER198" s="1101">
        <f t="shared" si="340"/>
        <v>0</v>
      </c>
      <c r="ES198" s="1097">
        <f t="shared" si="341"/>
        <v>0</v>
      </c>
      <c r="ET198" s="1122">
        <f t="shared" si="342"/>
        <v>0</v>
      </c>
    </row>
    <row r="199" spans="2:150" ht="16.5" customHeight="1">
      <c r="B199" s="1123" t="str">
        <f>INDEX('卡片raw data'!B:B,MATCH($D199,'卡片raw data'!$F:$F,))</f>
        <v>魔法霞</v>
      </c>
      <c r="C199" s="449" t="s">
        <v>69</v>
      </c>
      <c r="D199" s="408">
        <v>196</v>
      </c>
      <c r="E199" s="1090">
        <v>402023001</v>
      </c>
      <c r="F199" s="1090" t="str">
        <f>INDEX('卡片raw data'!C:C,MATCH($D199,'卡片raw data'!$F:$F,))</f>
        <v>UR</v>
      </c>
      <c r="G199" s="1094" t="s">
        <v>43</v>
      </c>
      <c r="H199" s="411">
        <f>IFERROR(INDEX(绊状态确认!C:C,MATCH($G199,绊状态确认!$B:$B,)),"")</f>
        <v>202</v>
      </c>
      <c r="I199" s="450" t="str">
        <f>IFERROR(INDEX(绊状态确认!D:D,MATCH($G199,绊状态确认!$B:$B,)),"")</f>
        <v>虹</v>
      </c>
      <c r="J199" s="450" t="str">
        <f>IFERROR(INDEX(绊状态确认!E:E,MATCH($G199,绊状态确认!$B:$B,)),"")</f>
        <v>1年级</v>
      </c>
      <c r="K199" s="451" t="str">
        <f>IFERROR(INDEX(绊状态确认!F:F,MATCH($G199,绊状态确认!$B:$B,)),"")</f>
        <v>QU4RTZ</v>
      </c>
      <c r="L199" s="1094" t="str">
        <f>INDEX('卡片raw data'!E:E,MATCH($D199,'卡片raw data'!$F:$F,))</f>
        <v>活动卡</v>
      </c>
      <c r="M199" s="415">
        <v>43913</v>
      </c>
      <c r="N199" s="416">
        <v>12</v>
      </c>
      <c r="O199" s="1091" t="str">
        <f>INDEX('卡片raw data'!D:D,MATCH($D199,'卡片raw data'!$F:$F,))</f>
        <v>vo</v>
      </c>
      <c r="P199" s="417">
        <v>5</v>
      </c>
      <c r="Q199" s="1095">
        <f t="shared" si="258"/>
        <v>54169.957958062223</v>
      </c>
      <c r="R199" s="1096">
        <f t="shared" si="259"/>
        <v>0.629</v>
      </c>
      <c r="S199" s="1097">
        <f t="shared" si="260"/>
        <v>19928.354582948377</v>
      </c>
      <c r="T199" s="1098">
        <f t="shared" si="261"/>
        <v>0.996</v>
      </c>
      <c r="U199" s="1099">
        <f t="shared" si="262"/>
        <v>-14.497613782857144</v>
      </c>
      <c r="V199" s="1100">
        <f t="shared" si="263"/>
        <v>53700.55934294701</v>
      </c>
      <c r="W199" s="1101">
        <f t="shared" si="264"/>
        <v>6911.8396135931998</v>
      </c>
      <c r="X199" s="1096">
        <f t="shared" si="265"/>
        <v>0.08</v>
      </c>
      <c r="Y199" s="1097">
        <f t="shared" si="266"/>
        <v>835.26983512648985</v>
      </c>
      <c r="Z199" s="1102">
        <f t="shared" si="267"/>
        <v>10.502386217142856</v>
      </c>
      <c r="AA199" s="1103">
        <f t="shared" si="268"/>
        <v>7747.1094487196897</v>
      </c>
      <c r="AB199" s="1101">
        <f t="shared" si="269"/>
        <v>7611.0633354327001</v>
      </c>
      <c r="AC199" s="1104">
        <f t="shared" si="270"/>
        <v>8.7999999999999995E-2</v>
      </c>
      <c r="AD199" s="1105">
        <f t="shared" si="271"/>
        <v>0</v>
      </c>
      <c r="AE199" s="1128">
        <f t="shared" si="272"/>
        <v>0</v>
      </c>
      <c r="AF199" s="1130">
        <f t="shared" si="273"/>
        <v>0</v>
      </c>
      <c r="AG199" s="420">
        <f t="shared" si="274"/>
        <v>0</v>
      </c>
      <c r="AH199" s="420">
        <f t="shared" si="275"/>
        <v>0</v>
      </c>
      <c r="AI199" s="1097">
        <f t="shared" si="276"/>
        <v>0</v>
      </c>
      <c r="AJ199" s="420">
        <f t="shared" si="277"/>
        <v>0</v>
      </c>
      <c r="AK199" s="518">
        <f t="shared" si="278"/>
        <v>0</v>
      </c>
      <c r="AL199" s="1106">
        <f>IF($P199="","N/A",(IF($P199=-1,INDEX('卡片raw data'!S:S,MATCH($D199,'卡片raw data'!$F:$F,)),0)+IF($P199=0,INDEX('卡片raw data'!V:V,MATCH($D199,'卡片raw data'!$F:$F,)),0)+IF($P199=1,INDEX('卡片raw data'!Y:Y,MATCH($D199,'卡片raw data'!$F:$F,)),0)+IF($P199=2,INDEX('卡片raw data'!AB:AB,MATCH($D199,'卡片raw data'!$F:$F,)),0)+IF($P199=3,INDEX('卡片raw data'!AE:AE,MATCH($D199,'卡片raw data'!$F:$F,)),0)+IF($P199=4,INDEX('卡片raw data'!AH:AH,MATCH($D199,'卡片raw data'!$F:$F,)),0)+IF($P199=5,INDEX('卡片raw data'!AK:AK,MATCH($D199,'卡片raw data'!$F:$F,)),0)+INDEX('卡片raw data'!S:S,MATCH($D199,'卡片raw data'!$F:$F,))*(IF($F199="UR",0.04,0.033))*(IF($F199="UR",INDEX(绊状态确认!$S:$S,MATCH($G199,绊状态确认!$B:$B,))/2-40)+IF($F199="SR",INDEX(绊状态确认!$R:$R,MATCH($G199,绊状态确认!$B:$B,))/4-15))+IF($F199="R",INDEX(绊状态确认!$Q:$Q,MATCH($G199,绊状态确认!$B:$B,))/6-40/6)))*(INDEX(绊状态确认!$H:$H,MATCH($G199,绊状态确认!$B:$B,))+INDEX(绊状态确认!J:J,MATCH($G199,绊状态确认!$B:$B,)))</f>
        <v>11180.13048</v>
      </c>
      <c r="AM199" s="1106">
        <f>IF($P199="","N/A",(IF($P199=-1,INDEX('卡片raw data'!T:T,MATCH($D199,'卡片raw data'!$F:$F,)),0)+IF($P199=0,INDEX('卡片raw data'!W:W,MATCH($D199,'卡片raw data'!$F:$F,)),0)+IF($P199=1,INDEX('卡片raw data'!Z:Z,MATCH($D199,'卡片raw data'!$F:$F,)),0)+IF($P199=2,INDEX('卡片raw data'!AC:AC,MATCH($D199,'卡片raw data'!$F:$F,)),0)+IF($P199=3,INDEX('卡片raw data'!AF:AF,MATCH($D199,'卡片raw data'!$F:$F,)),0)+IF($P199=4,INDEX('卡片raw data'!AI:AI,MATCH($D199,'卡片raw data'!$F:$F,)),0)+IF($P199=5,INDEX('卡片raw data'!AL:AL,MATCH($D199,'卡片raw data'!$F:$F,)),0)+INDEX('卡片raw data'!T:T,MATCH($D199,'卡片raw data'!$F:$F,))*(IF($F199="UR",0.04,0.033))*(IF($F199="UR",INDEX(绊状态确认!$S:$S,MATCH($G199,绊状态确认!$B:$B,))/2-40)+IF($F199="SR",INDEX(绊状态确认!$R:$R,MATCH($G199,绊状态确认!$B:$B,))/4-15))+IF($F199="R",INDEX(绊状态确认!$Q:$Q,MATCH($G199,绊状态确认!$B:$B,))/6-40/6)))*(INDEX(绊状态确认!$H:$H,MATCH($G199,绊状态确认!$B:$B,))+INDEX(绊状态确认!K:K,MATCH($G199,绊状态确认!$B:$B,)))</f>
        <v>5200.1663999999992</v>
      </c>
      <c r="AN199" s="1106">
        <f>IF($P199="","N/A",(IF($P199=-1,INDEX('卡片raw data'!U:U,MATCH($D199,'卡片raw data'!$F:$F,)),0)+IF($P199=0,INDEX('卡片raw data'!X:X,MATCH($D199,'卡片raw data'!$F:$F,)),0)+IF($P199=1,INDEX('卡片raw data'!AA:AA,MATCH($D199,'卡片raw data'!$F:$F,)),0)+IF($P199=2,INDEX('卡片raw data'!AD:AD,MATCH($D199,'卡片raw data'!$F:$F,)),0)+IF($P199=3,INDEX('卡片raw data'!AG:AG,MATCH($D199,'卡片raw data'!$F:$F,)),0)+IF($P199=4,INDEX('卡片raw data'!AJ:AJ,MATCH($D199,'卡片raw data'!$F:$F,)),0)+IF($P199=5,INDEX('卡片raw data'!AM:AM,MATCH($D199,'卡片raw data'!$F:$F,)),0)+INDEX('卡片raw data'!U:U,MATCH($D199,'卡片raw data'!$F:$F,))*(IF($F199="UR",0.04,0.033))*(IF($F199="UR",INDEX(绊状态确认!$S:$S,MATCH($G199,绊状态确认!$B:$B,))/2-40)+IF($F199="SR",INDEX(绊状态确认!$R:$R,MATCH($G199,绊状态确认!$B:$B,))/4-15))+IF($F199="R",INDEX(绊状态确认!$Q:$Q,MATCH($G199,绊状态确认!$B:$B,))/6-40/6)))*(INDEX(绊状态确认!$H:$H,MATCH($G199,绊状态确认!$B:$B,))+INDEX(绊状态确认!L:L,MATCH($G199,绊状态确认!$B:$B,)))</f>
        <v>9619.3987199999974</v>
      </c>
      <c r="AO199" s="1107">
        <f t="shared" si="279"/>
        <v>1</v>
      </c>
      <c r="AP199" s="1131">
        <f>1+(INDEX(绊状态确认!$T:$T,MATCH($G199,绊状态确认!$B:$B,))+0.2)*$AO199</f>
        <v>1.3</v>
      </c>
      <c r="AQ199" s="1108">
        <f t="shared" si="280"/>
        <v>32597.842510000002</v>
      </c>
      <c r="AR199" s="1097">
        <f>(AM199*(1+$EX$9)+$EX$35)*(1+(INDEX(绊状态确认!$T:$T,MATCH($G199,绊状态确认!$B:$B,))+0.2)*AO199)*IF(J199=$FF$17,1+$FE$17,1)*IF(I199=$FF$14,1+$FE$14,1)*(1+$FE$15)</f>
        <v>9802.2271359999995</v>
      </c>
      <c r="AS199" s="1097">
        <f>(AN199*(1+$EX$10)+$EX$36)*(1+(INDEX(绊状态确认!$T:$T,MATCH($G199,绊状态确认!$B:$B,))+0.2)*AO199)*IF(J199=$FF$17,1+$FE$17,1)*IF(I199=$FF$14,1+$FE$14,1)*(1+$FE$15)</f>
        <v>18437.001086399996</v>
      </c>
      <c r="AT199" s="1093">
        <f>IF(AND(INDEX('卡片raw data'!AK:AK,MATCH($D199,'卡片raw data'!$F:$F,))&lt;INDEX('卡片raw data'!AM:AM,MATCH($D199,'卡片raw data'!$F:$F,)),INDEX('卡片raw data'!AL:AL,MATCH($D199,'卡片raw data'!$F:$F,))&lt;INDEX('卡片raw data'!AM:AM,MATCH($D199,'卡片raw data'!$F:$F,))),1,0)</f>
        <v>0</v>
      </c>
      <c r="AU199" s="1098">
        <f>MIN(AT199*0.15+AS199*0.00003+INDEX(绊状态确认!M:M,MATCH($G199,绊状态确认!$B:$B,)),1)</f>
        <v>0.58311003259199989</v>
      </c>
      <c r="AV199" s="1109">
        <f>(INDEX(绊状态确认!$N:$N,MATCH($G199,绊状态确认!$B:$B,))+1.5)*$EW$21</f>
        <v>2.6599999999999997</v>
      </c>
      <c r="AW199" s="1101">
        <f t="shared" si="281"/>
        <v>33316.784034768432</v>
      </c>
      <c r="AX199" s="1097">
        <f t="shared" si="282"/>
        <v>835.26983512649008</v>
      </c>
      <c r="AY199" s="1110">
        <f t="shared" si="283"/>
        <v>34152.053869894924</v>
      </c>
      <c r="AZ199" s="429">
        <f t="shared" si="284"/>
        <v>24401.254435999999</v>
      </c>
      <c r="BA199" s="431">
        <f t="shared" si="285"/>
        <v>29281.505323199999</v>
      </c>
      <c r="BB199" s="1097">
        <f>(AM199*(1+$FB$9)+$FB$35)*(1+(INDEX(绊状态确认!$T:$T,MATCH($G199,绊状态确认!$B:$B,))+0.2)*AO199)*IF(J199=$FF$17,1+$FE$17,1)*IF(I199=$FF$14,1+$FE$14,1)*(1+$FE$15)</f>
        <v>9802.2271359999995</v>
      </c>
      <c r="BC199" s="1097">
        <f>(AN199*(1+$FB$10)+$FB$36)*(1+(INDEX(绊状态确认!$T:$T,MATCH($G199,绊状态确认!$B:$B,))+0.2)*AO199)*IF(J199=$FF$17,1+$FE$17,1)*IF(I199=$FF$14,1+$FE$14,1)*(1+$FE$15)</f>
        <v>18437.001086399996</v>
      </c>
      <c r="BD199" s="1104">
        <f>MIN(AT199*0.15+BC199*0.00003+INDEX(绊状态确认!M:M,MATCH($G199,绊状态确认!$B:$B,)),1)</f>
        <v>0.58311003259199989</v>
      </c>
      <c r="BE199" s="432">
        <f>(INDEX(绊状态确认!$N:$N,MATCH($G199,绊状态确认!$B:$B,))+1.5)</f>
        <v>1.9</v>
      </c>
      <c r="BF199" s="1139">
        <f t="array" ref="BF199">SUMPRODUCT(IF(AZ199*AP199*$FI$16:$FI$23*$FA$22&gt;=$FI$24,$FI$24,AZ199*AP199*$FI$16:$FI$23*$FA$22),$FJ$16:$FJ$23)</f>
        <v>48506.985227512007</v>
      </c>
      <c r="BG199" s="1125">
        <f t="array" ref="BG199">SUMPRODUCT(IF(BE199*AZ199*AP199*$FI$16:$FI$23*$FA$22&gt;=$FI$24,$FI$24,BE199*AZ199*AP199*$FI$16:$FI$23*$FA$22),$FJ$16:$FJ$23)</f>
        <v>60000</v>
      </c>
      <c r="BH199" s="1110">
        <f t="shared" si="286"/>
        <v>18402.892482025938</v>
      </c>
      <c r="BI199" s="1111">
        <f>IF(O199="vo",$EW$26/$EW$24*0.05,0)+IF(O199="sk",-$EW$26/$EW$24*(0.05-INDEX(绊状态确认!W:W,MATCH($G199,绊状态确认!$B:$B,)))+0.05*$EW$28,0)+IF(O199="sp",0.05*$EW$32*$EW$30*(1-$EW$33)-(0.05-INDEX(绊状态确认!V:V,MATCH($G199,绊状态确认!$B:$B,)))*$EW$28,0)+IF(O199="gd",-(0.05-INDEX(绊状态确认!X:X,MATCH($G199,绊状态确认!$B:$B,)))*$EW$32*$EW$30*(1-$EW$33),0)</f>
        <v>7726.3029277443748</v>
      </c>
      <c r="BJ199" s="1097">
        <f>IF(O199="vo",0.05*(1-$FI$26)*$FA$24,0)+IF(O199="sk",-(0.05-INDEX(绊状态确认!W:W,MATCH($G199,绊状态确认!$B:$B,)))*(1-$FI$26)*$FA$24+0.05*$FA$26,0)+IF(O199="sp",0.05*$FA$32*$FA$27*(1-$FA$33)/$FA$30+0.05*$FA$29/$FA$69*$FA$27*(1-$FA$33)-(0.05-INDEX(绊状态确认!V:V,MATCH($G199,绊状态确认!$B:$B,)))*$FA$26,0)+IF(O199="gd",-(0.05-INDEX(绊状态确认!X:X,MATCH($G199,绊状态确认!$B:$B,)))*$FA$32*$FA$27*(1-$FA$33)/$FA$30-(0.05-INDEX(绊状态确认!X:X,MATCH($G199,绊状态确认!$B:$B,)))*$FA$29/$FA$69*$FA$27*(1-$FA$33),0)</f>
        <v>393.93433687500004</v>
      </c>
      <c r="BK199" s="1110">
        <f>IF(O199="vo",$EW$26/$EW$24*0.05+$EW$26*(-HP($EW$62,$EW$65,$EW$64)+HP($EW$62,$EW$65,(1.05-INDEX(绊状态确认!U:U,MATCH($G199,绊状态确认!$B:$B,)))*$EW$64)),0)+IF(O199="sk",-$EW$26/$EW$24*(0.05-INDEX(绊状态确认!W:W,MATCH($G199,绊状态确认!$B:$B,)))+0.05*$EW$29,0)+IF(O199="sp",0.05*$EW$32*$EW$30*(1-$EW$33)-(0.05-INDEX(绊状态确认!V:V,MATCH($G199,绊状态确认!$B:$B,)))*$EW$29,0)+IF(O199="gd",-(0.05-INDEX(绊状态确认!X:X,MATCH($G199,绊状态确认!$B:$B,)))*$EW$32*$EW$30*(1-$EW$33)+$EW$26*(-HP($EW$62,$EW$65,$EW$64)+HP($EW$62,$EW$65,0.95*$EW$64)),0)</f>
        <v>6421.6344775026746</v>
      </c>
      <c r="BL199" s="1111">
        <f t="shared" si="287"/>
        <v>0</v>
      </c>
      <c r="BM199" s="1110">
        <f t="shared" si="288"/>
        <v>0</v>
      </c>
      <c r="BN199" s="1113">
        <f t="shared" si="289"/>
        <v>3</v>
      </c>
      <c r="BO199" s="1097">
        <f t="shared" si="290"/>
        <v>4507.7214871259994</v>
      </c>
      <c r="BP199" s="1100">
        <f t="shared" si="291"/>
        <v>221.34103209030098</v>
      </c>
      <c r="BQ199" s="1113" t="s">
        <v>143</v>
      </c>
      <c r="BR199" s="1124" t="s">
        <v>147</v>
      </c>
      <c r="BS199" s="1098">
        <f>IF($P199="","N/A",IF($P199=-1,INDEX('卡片raw data'!AX:AX,MATCH($D199,'卡片raw data'!$F:$F,)),0)+IF($L199="party卡",IF($P199=5,INDEX('卡片raw data'!BD:BD,MATCH($D199,'卡片raw data'!$F:$F,)),IF($P199&gt;=3,INDEX('卡片raw data'!BC:BC,MATCH($D199,'卡片raw data'!$F:$F,)),INDEX('卡片raw data'!BB:BB,MATCH($D199,'卡片raw data'!$F:$F,)))),IF(OR(AND($F199="UR",$P199=0),AND($F199="SR",$P199&gt;=0,$P199&lt;=2),AND($F199="R",$P199&gt;=0,$P199&lt;4)),INDEX('卡片raw data'!AZ:AZ,MATCH($D199,'卡片raw data'!$F:$F,)),0)+IF(OR(AND($F199="UR",$P199&gt;=1,$P199&lt;=4),AND($F199="SR",$P199&lt;=4,$P199&gt;=3),AND($F199="R",$P199=4)),INDEX('卡片raw data'!BA:BA,MATCH($D199,'卡片raw data'!$F:$F,)),0)+IF($P199=5,INDEX('卡片raw data'!BB:BB,MATCH($D199,'卡片raw data'!$F:$F,)),0)))</f>
        <v>3.2000000000000001E-2</v>
      </c>
      <c r="BT199" s="1101">
        <f t="shared" si="292"/>
        <v>2404.1181264672</v>
      </c>
      <c r="BU199" s="1097">
        <f t="shared" si="293"/>
        <v>118.04855044816054</v>
      </c>
      <c r="BV199" s="1097">
        <f t="shared" si="294"/>
        <v>2404.1181264672005</v>
      </c>
      <c r="BW199" s="1112">
        <f t="shared" si="295"/>
        <v>0</v>
      </c>
      <c r="BX199" s="1100">
        <f t="shared" si="296"/>
        <v>2404.1181264672</v>
      </c>
      <c r="BY199" s="1110">
        <f t="shared" si="297"/>
        <v>2404.1181264672005</v>
      </c>
      <c r="BZ199" s="1107" t="s">
        <v>569</v>
      </c>
      <c r="CA199" s="1124"/>
      <c r="CB199" s="1098">
        <f>IF($P199="","N/A",IF($P199=-1,INDEX('卡片raw data'!BE:BE,MATCH($D199,'卡片raw data'!$F:$F,)),0)+IF($L199="party卡",IF($P199=5,INDEX('卡片raw data'!BK:BK,MATCH($D199,'卡片raw data'!$F:$F,)),IF($P199&gt;=3,INDEX('卡片raw data'!BJ:BJ,MATCH($D199,'卡片raw data'!$F:$F,)),INDEX('卡片raw data'!BI:BI,MATCH($D199,'卡片raw data'!$F:$F,)))),IF(OR(AND($F199="UR",$P199=0),AND($F199="SR",$P199&gt;=0,$P199&lt;=2),AND($F199="R",$P199&gt;=0,$P199&lt;4)),INDEX('卡片raw data'!BG:BG,MATCH($D199,'卡片raw data'!$F:$F,)),0)+IF(OR(AND($F199="UR",$P199&gt;=1,$P199&lt;=4),AND($F199="SR",$P199&lt;=4,$P199&gt;=3),AND($F199="R",$P199=4)),INDEX('卡片raw data'!BH:BH,MATCH($D199,'卡片raw data'!$F:$F,)),0)+IF($P199=5,INDEX('卡片raw data'!BI:BI,MATCH($D199,'卡片raw data'!$F:$F,)),0)))</f>
        <v>0</v>
      </c>
      <c r="CC199" s="1101">
        <f t="shared" si="298"/>
        <v>0</v>
      </c>
      <c r="CD199" s="1097">
        <f>IF(BZ199="ap",CB199*(1-$FI$26)*$FB$5/$FB$11*(+IF(CA199="全员",$FA$24,0)+IF(CA199="同作战",$FA$24,0)+IF(CA199="仲间",$FA$24*2/3,0)+IF(CA199="同属性",$FA$24*$FA$37/3,0)+IF(CA199="同年级",$FA$24*$FA$40/3,0)+IF(CA199="同学校",$FA$24*$FA$43/3,0)+IF(CA199="同小队",$FA$24*$FA$46/3,0)+IF(CA199="同type",$FA$24*INDEX($FB$49:$FB$52,MATCH(X199,$FA$49:$FA$52,))/3,0)+IF(CA199="自身",#REF!/3,0)),0)+IF(BZ199="te",CB199*(1-$FI$27)*($FA$20-1)*$FB$7/$FB$13*(+IF(CA199="全员",$FA$19*$FA$24/(1+($FA$20-1)*$FA$19),0)+IF(CA199="同作战",$FA$19*$FA$24/(1+($FA$20-1)*$FA$19),0)+IF(CA199="仲间",$FA$19*$FA$24*2/3/(1+($FA$20-1)*$FA$19),0)+IF(CA199="同属性",$FA$19*$FA$24*$FA$37/3/(1+($FA$20-1)*$FA$19),0)+IF(CA199="同年级",$FA$19*$FA$24*$FA$40/3/(1+($FA$20-1)*$FA$19),0)+IF(CA199="同学校",$FA$19*$FA$24*$FA$43/3/(1+($FA$20-1)*$FA$19),0)+IF(CA199="同小队",$FA$19*$FA$24*$FA$46/3/(1+($FA$20-1)*$FA$19),0)+IF(CA199="同type",$FA$19*$FA$24*INDEX($FB$49:$FB$52,MATCH(X199,$FA$49:$FA$52,))/3/(1+($FA$20-1)*$FA$19),0)+IF(CA199="自身",$FA$19*#REF!/3/(1+(BH199-1)*$BD199),0)),0)</f>
        <v>0</v>
      </c>
      <c r="CE199" s="1097">
        <f t="shared" si="299"/>
        <v>0</v>
      </c>
      <c r="CF199" s="1112">
        <f t="shared" si="300"/>
        <v>0</v>
      </c>
      <c r="CG199" s="1100">
        <f t="shared" si="301"/>
        <v>0</v>
      </c>
      <c r="CH199" s="1110">
        <f t="shared" si="302"/>
        <v>0</v>
      </c>
      <c r="CI199" s="1113" t="s">
        <v>172</v>
      </c>
      <c r="CJ199" s="1114">
        <v>0.3</v>
      </c>
      <c r="CK199" s="1115" t="s">
        <v>152</v>
      </c>
      <c r="CL199" s="1115" t="s">
        <v>1940</v>
      </c>
      <c r="CM199" s="1119">
        <v>0.15</v>
      </c>
      <c r="CN199" s="1115"/>
      <c r="CO199" s="1092"/>
      <c r="CP199" s="1116">
        <f t="shared" si="303"/>
        <v>635.65792894500009</v>
      </c>
      <c r="CQ199" s="1116">
        <f t="shared" si="304"/>
        <v>570.98935380240005</v>
      </c>
      <c r="CR199" s="1116">
        <f t="shared" si="305"/>
        <v>0</v>
      </c>
      <c r="CS199" s="1118">
        <f t="shared" si="306"/>
        <v>0</v>
      </c>
      <c r="CT199" s="1109">
        <f t="shared" si="307"/>
        <v>0</v>
      </c>
      <c r="CU199" s="1101">
        <f t="shared" si="308"/>
        <v>699.22372183950017</v>
      </c>
      <c r="CV199" s="1108">
        <f t="shared" si="309"/>
        <v>570.98935380240005</v>
      </c>
      <c r="CW199" s="1097">
        <f t="shared" si="310"/>
        <v>0</v>
      </c>
      <c r="CX199" s="1097">
        <f t="shared" si="311"/>
        <v>699.22372183950017</v>
      </c>
      <c r="CY199" s="1110">
        <f t="shared" si="312"/>
        <v>0</v>
      </c>
      <c r="CZ199" s="437"/>
      <c r="DA199" s="438"/>
      <c r="DB199" s="439" t="s">
        <v>569</v>
      </c>
      <c r="DC199" s="439"/>
      <c r="DD199" s="443"/>
      <c r="DE199" s="411"/>
      <c r="DF199" s="411"/>
      <c r="DG199" s="1116">
        <f t="shared" si="313"/>
        <v>0</v>
      </c>
      <c r="DH199" s="1116">
        <f t="shared" si="314"/>
        <v>0</v>
      </c>
      <c r="DI199" s="1116">
        <f t="shared" si="315"/>
        <v>0</v>
      </c>
      <c r="DJ199" s="442">
        <f t="shared" si="316"/>
        <v>0</v>
      </c>
      <c r="DK199" s="1109">
        <f t="shared" si="317"/>
        <v>0</v>
      </c>
      <c r="DL199" s="1101">
        <f t="shared" si="318"/>
        <v>0</v>
      </c>
      <c r="DM199" s="1097">
        <f t="shared" si="319"/>
        <v>0</v>
      </c>
      <c r="DN199" s="1097">
        <f t="shared" si="320"/>
        <v>0</v>
      </c>
      <c r="DO199" s="1097">
        <f t="shared" si="321"/>
        <v>0</v>
      </c>
      <c r="DP199" s="1110">
        <f t="shared" si="322"/>
        <v>0</v>
      </c>
      <c r="DQ199" s="1113" t="s">
        <v>159</v>
      </c>
      <c r="DR199" s="1120">
        <f t="shared" si="323"/>
        <v>0.33</v>
      </c>
      <c r="DS199" s="1124">
        <v>5</v>
      </c>
      <c r="DT199" s="1093" t="s">
        <v>161</v>
      </c>
      <c r="DU199" s="1093" t="s">
        <v>544</v>
      </c>
      <c r="DV199" s="1098">
        <f>IF($P199="","N/A",IF(P199=-1,INDEX('卡片raw data'!AN:AN,MATCH(D199,'卡片raw data'!$F:$F,)),0)+IF(AND(L199&lt;&gt;"party卡",P199&lt;=2,P199&gt;=0),INDEX('卡片raw data'!AP:AP,MATCH(D199,'卡片raw data'!$F:$F,)),0)+IF(OR(AND(L199="party卡",P199&lt;=1),AND(P199&lt;=4,L199&lt;&gt;"party卡",P199&gt;=3)),INDEX('卡片raw data'!AQ:AQ,MATCH(D199,'卡片raw data'!$F:$F,)),0)+IF(OR(P199=5,AND(L199="party卡",P199&gt;=2)),INDEX('卡片raw data'!AR:AR,MATCH(D199,'卡片raw data'!$F:$F,)),0))</f>
        <v>5.8999999999999997E-2</v>
      </c>
      <c r="DW199" s="1098">
        <f t="shared" si="324"/>
        <v>0.33</v>
      </c>
      <c r="DX199" s="1098">
        <f t="shared" si="325"/>
        <v>0.33</v>
      </c>
      <c r="DY199" s="1098">
        <f t="shared" si="326"/>
        <v>3.245E-2</v>
      </c>
      <c r="DZ199" s="1098">
        <f t="shared" si="327"/>
        <v>2.806925E-2</v>
      </c>
      <c r="EA199" s="1098">
        <f t="shared" si="328"/>
        <v>0</v>
      </c>
      <c r="EB199" s="1121">
        <f t="shared" si="329"/>
        <v>0</v>
      </c>
      <c r="EC199" s="1101">
        <f t="shared" si="330"/>
        <v>5515.8076601167095</v>
      </c>
      <c r="ED199" s="1097">
        <f t="shared" si="331"/>
        <v>221.14882770657192</v>
      </c>
      <c r="EE199" s="1110">
        <f t="shared" si="332"/>
        <v>5515.8076601167095</v>
      </c>
      <c r="EF199" s="1092" t="s">
        <v>711</v>
      </c>
      <c r="EG199" s="1120">
        <f t="shared" si="333"/>
        <v>0.33</v>
      </c>
      <c r="EH199" s="1124"/>
      <c r="EI199" s="1093"/>
      <c r="EJ199" s="1093"/>
      <c r="EK199" s="1097">
        <f>IF($P199="","N/A",IF(P199=-1,INDEX('卡片raw data'!AS:AS,MATCH(D199,'卡片raw data'!$F:$F,)),0)+IF(AND(L199&lt;&gt;"party卡",P199&lt;=2,P199&gt;=0),INDEX('卡片raw data'!AU:AU,MATCH(D199,'卡片raw data'!$F:$F,)),0)+IF(OR(AND(L199="party卡",P199&lt;=1),AND(P199&lt;=4,L199&lt;&gt;"party卡",P199&gt;=3)),INDEX('卡片raw data'!AV:AV,MATCH(D199,'卡片raw data'!$F:$F,)),0)+IF(OR(P199=5,AND(L199="party卡",P199&gt;=2)),INDEX('卡片raw data'!AW:AW,MATCH(D199,'卡片raw data'!$F:$F,)),0))</f>
        <v>0</v>
      </c>
      <c r="EL199" s="1098">
        <f t="shared" si="334"/>
        <v>0.33</v>
      </c>
      <c r="EM199" s="1098">
        <f t="shared" si="335"/>
        <v>0.33</v>
      </c>
      <c r="EN199" s="1125">
        <f t="shared" si="336"/>
        <v>0</v>
      </c>
      <c r="EO199" s="1125">
        <f t="shared" si="337"/>
        <v>0</v>
      </c>
      <c r="EP199" s="1098">
        <f t="shared" si="338"/>
        <v>0</v>
      </c>
      <c r="EQ199" s="1121">
        <f t="shared" si="339"/>
        <v>0</v>
      </c>
      <c r="ER199" s="1101">
        <f t="shared" si="340"/>
        <v>0</v>
      </c>
      <c r="ES199" s="1097">
        <f t="shared" si="341"/>
        <v>0</v>
      </c>
      <c r="ET199" s="1122">
        <f t="shared" si="342"/>
        <v>0</v>
      </c>
    </row>
    <row r="200" spans="2:150" ht="16.5" customHeight="1">
      <c r="B200" s="1123" t="str">
        <f>INDEX('卡片raw data'!B:B,MATCH($D200,'卡片raw data'!$F:$F,))</f>
        <v>一单鸟</v>
      </c>
      <c r="C200" s="449" t="s">
        <v>67</v>
      </c>
      <c r="D200" s="408">
        <v>197</v>
      </c>
      <c r="E200" s="1090">
        <v>400032001</v>
      </c>
      <c r="F200" s="1090" t="str">
        <f>INDEX('卡片raw data'!C:C,MATCH($D200,'卡片raw data'!$F:$F,))</f>
        <v>SR</v>
      </c>
      <c r="G200" s="1094" t="s">
        <v>333</v>
      </c>
      <c r="H200" s="411">
        <f>IFERROR(INDEX(绊状态确认!C:C,MATCH($G200,绊状态确认!$B:$B,)),"")</f>
        <v>3</v>
      </c>
      <c r="I200" s="450" t="str">
        <f>IFERROR(INDEX(绊状态确认!D:D,MATCH($G200,绊状态确认!$B:$B,)),"")</f>
        <v>缪</v>
      </c>
      <c r="J200" s="450" t="str">
        <f>IFERROR(INDEX(绊状态确认!E:E,MATCH($G200,绊状态确认!$B:$B,)),"")</f>
        <v>2年级</v>
      </c>
      <c r="K200" s="451" t="str">
        <f>IFERROR(INDEX(绊状态确认!F:F,MATCH($G200,绊状态确认!$B:$B,)),"")</f>
        <v>Printemps</v>
      </c>
      <c r="L200" s="1094" t="str">
        <f>INDEX('卡片raw data'!E:E,MATCH($D200,'卡片raw data'!$F:$F,))</f>
        <v>活动卡</v>
      </c>
      <c r="M200" s="415">
        <v>43913</v>
      </c>
      <c r="N200" s="416">
        <v>12</v>
      </c>
      <c r="O200" s="1091" t="str">
        <f>INDEX('卡片raw data'!D:D,MATCH($D200,'卡片raw data'!$F:$F,))</f>
        <v>sp</v>
      </c>
      <c r="P200" s="417">
        <v>5</v>
      </c>
      <c r="Q200" s="1095">
        <f t="shared" si="258"/>
        <v>23894.256944800683</v>
      </c>
      <c r="R200" s="1096">
        <f t="shared" si="259"/>
        <v>0.27700000000000002</v>
      </c>
      <c r="S200" s="1097">
        <f t="shared" si="260"/>
        <v>14241.456888375775</v>
      </c>
      <c r="T200" s="1098">
        <f t="shared" si="261"/>
        <v>0.71199999999999997</v>
      </c>
      <c r="U200" s="1099">
        <f t="shared" si="262"/>
        <v>10.97418345984857</v>
      </c>
      <c r="V200" s="1100">
        <f t="shared" si="263"/>
        <v>22963.320092702856</v>
      </c>
      <c r="W200" s="1101">
        <f t="shared" si="264"/>
        <v>5047.0565276649368</v>
      </c>
      <c r="X200" s="1096">
        <f t="shared" si="265"/>
        <v>5.8000000000000003E-2</v>
      </c>
      <c r="Y200" s="1097">
        <f t="shared" si="266"/>
        <v>869.0631479021722</v>
      </c>
      <c r="Z200" s="1102">
        <f t="shared" si="267"/>
        <v>10.97418345984857</v>
      </c>
      <c r="AA200" s="1103">
        <f t="shared" si="268"/>
        <v>5916.119675567109</v>
      </c>
      <c r="AB200" s="1101">
        <f t="shared" si="269"/>
        <v>5047.0565276649368</v>
      </c>
      <c r="AC200" s="1104">
        <f t="shared" si="270"/>
        <v>5.8000000000000003E-2</v>
      </c>
      <c r="AD200" s="1105">
        <f t="shared" si="271"/>
        <v>-1.9908281250000003E-2</v>
      </c>
      <c r="AE200" s="1128">
        <f t="shared" si="272"/>
        <v>35.216900724637675</v>
      </c>
      <c r="AF200" s="1130">
        <f t="shared" si="273"/>
        <v>0</v>
      </c>
      <c r="AG200" s="420">
        <f t="shared" si="274"/>
        <v>0</v>
      </c>
      <c r="AH200" s="420">
        <f t="shared" si="275"/>
        <v>0</v>
      </c>
      <c r="AI200" s="1097">
        <f t="shared" si="276"/>
        <v>0</v>
      </c>
      <c r="AJ200" s="420">
        <f t="shared" si="277"/>
        <v>0</v>
      </c>
      <c r="AK200" s="518">
        <f t="shared" si="278"/>
        <v>0</v>
      </c>
      <c r="AL200" s="1106">
        <f>IF($P200="","N/A",(IF($P200=-1,INDEX('卡片raw data'!S:S,MATCH($D200,'卡片raw data'!$F:$F,)),0)+IF($P200=0,INDEX('卡片raw data'!V:V,MATCH($D200,'卡片raw data'!$F:$F,)),0)+IF($P200=1,INDEX('卡片raw data'!Y:Y,MATCH($D200,'卡片raw data'!$F:$F,)),0)+IF($P200=2,INDEX('卡片raw data'!AB:AB,MATCH($D200,'卡片raw data'!$F:$F,)),0)+IF($P200=3,INDEX('卡片raw data'!AE:AE,MATCH($D200,'卡片raw data'!$F:$F,)),0)+IF($P200=4,INDEX('卡片raw data'!AH:AH,MATCH($D200,'卡片raw data'!$F:$F,)),0)+IF($P200=5,INDEX('卡片raw data'!AK:AK,MATCH($D200,'卡片raw data'!$F:$F,)),0)+INDEX('卡片raw data'!S:S,MATCH($D200,'卡片raw data'!$F:$F,))*(IF($F200="UR",0.04,0.033))*(IF($F200="UR",INDEX(绊状态确认!$S:$S,MATCH($G200,绊状态确认!$B:$B,))/2-40)+IF($F200="SR",INDEX(绊状态确认!$R:$R,MATCH($G200,绊状态确认!$B:$B,))/4-15))+IF($F200="R",INDEX(绊状态确认!$Q:$Q,MATCH($G200,绊状态确认!$B:$B,))/6-40/6)))*(INDEX(绊状态确认!$H:$H,MATCH($G200,绊状态确认!$B:$B,))+INDEX(绊状态确认!J:J,MATCH($G200,绊状态确认!$B:$B,)))</f>
        <v>5140.0849319999998</v>
      </c>
      <c r="AM200" s="1106">
        <f>IF($P200="","N/A",(IF($P200=-1,INDEX('卡片raw data'!T:T,MATCH($D200,'卡片raw data'!$F:$F,)),0)+IF($P200=0,INDEX('卡片raw data'!W:W,MATCH($D200,'卡片raw data'!$F:$F,)),0)+IF($P200=1,INDEX('卡片raw data'!Z:Z,MATCH($D200,'卡片raw data'!$F:$F,)),0)+IF($P200=2,INDEX('卡片raw data'!AC:AC,MATCH($D200,'卡片raw data'!$F:$F,)),0)+IF($P200=3,INDEX('卡片raw data'!AF:AF,MATCH($D200,'卡片raw data'!$F:$F,)),0)+IF($P200=4,INDEX('卡片raw data'!AI:AI,MATCH($D200,'卡片raw data'!$F:$F,)),0)+IF($P200=5,INDEX('卡片raw data'!AL:AL,MATCH($D200,'卡片raw data'!$F:$F,)),0)+INDEX('卡片raw data'!T:T,MATCH($D200,'卡片raw data'!$F:$F,))*(IF($F200="UR",0.04,0.033))*(IF($F200="UR",INDEX(绊状态确认!$S:$S,MATCH($G200,绊状态确认!$B:$B,))/2-40)+IF($F200="SR",INDEX(绊状态确认!$R:$R,MATCH($G200,绊状态确认!$B:$B,))/4-15))+IF($F200="R",INDEX(绊状态确认!$Q:$Q,MATCH($G200,绊状态确认!$B:$B,))/6-40/6)))*(INDEX(绊状态确认!$H:$H,MATCH($G200,绊状态确认!$B:$B,))+INDEX(绊状态确认!K:K,MATCH($G200,绊状态确认!$B:$B,)))</f>
        <v>4498.2939407999993</v>
      </c>
      <c r="AN200" s="1106">
        <f>IF($P200="","N/A",(IF($P200=-1,INDEX('卡片raw data'!U:U,MATCH($D200,'卡片raw data'!$F:$F,)),0)+IF($P200=0,INDEX('卡片raw data'!X:X,MATCH($D200,'卡片raw data'!$F:$F,)),0)+IF($P200=1,INDEX('卡片raw data'!AA:AA,MATCH($D200,'卡片raw data'!$F:$F,)),0)+IF($P200=2,INDEX('卡片raw data'!AD:AD,MATCH($D200,'卡片raw data'!$F:$F,)),0)+IF($P200=3,INDEX('卡片raw data'!AG:AG,MATCH($D200,'卡片raw data'!$F:$F,)),0)+IF($P200=4,INDEX('卡片raw data'!AJ:AJ,MATCH($D200,'卡片raw data'!$F:$F,)),0)+IF($P200=5,INDEX('卡片raw data'!AM:AM,MATCH($D200,'卡片raw data'!$F:$F,)),0)+INDEX('卡片raw data'!U:U,MATCH($D200,'卡片raw data'!$F:$F,))*(IF($F200="UR",0.04,0.033))*(IF($F200="UR",INDEX(绊状态确认!$S:$S,MATCH($G200,绊状态确认!$B:$B,))/2-40)+IF($F200="SR",INDEX(绊状态确认!$R:$R,MATCH($G200,绊状态确认!$B:$B,))/4-15))+IF($F200="R",INDEX(绊状态确认!$Q:$Q,MATCH($G200,绊状态确认!$B:$B,))/6-40/6)))*(INDEX(绊状态确认!$H:$H,MATCH($G200,绊状态确认!$B:$B,))+INDEX(绊状态确认!L:L,MATCH($G200,绊状态确认!$B:$B,)))</f>
        <v>6427.1511167999997</v>
      </c>
      <c r="AO200" s="1107">
        <f t="shared" si="279"/>
        <v>1</v>
      </c>
      <c r="AP200" s="1131">
        <f>1+(INDEX(绊状态确认!$T:$T,MATCH($G200,绊状态确认!$B:$B,))+0.2)*$AO200</f>
        <v>1.3</v>
      </c>
      <c r="AQ200" s="1108">
        <f t="shared" si="280"/>
        <v>16742.722946500002</v>
      </c>
      <c r="AR200" s="1097">
        <f>(AM200*(1+$EX$9)+$EX$35)*(1+(INDEX(绊状态确认!$T:$T,MATCH($G200,绊状态确认!$B:$B,))+0.2)*AO200)*IF(J200=$FF$17,1+$FE$17,1)*IF(I200=$FF$14,1+$FE$14,1)</f>
        <v>8844.1712291919994</v>
      </c>
      <c r="AS200" s="1097">
        <f>(AN200*(1+$EX$10)+$EX$36)*(1+(INDEX(绊状态确认!$T:$T,MATCH($G200,绊状态确认!$B:$B,))+0.2)*AO200)*IF(J200=$FF$17,1+$FE$17,1)*IF(I200=$FF$14,1+$FE$14,1)</f>
        <v>13664.590919615997</v>
      </c>
      <c r="AT200" s="1093">
        <f>IF(AND(INDEX('卡片raw data'!AK:AK,MATCH($D200,'卡片raw data'!$F:$F,))&lt;INDEX('卡片raw data'!AM:AM,MATCH($D200,'卡片raw data'!$F:$F,)),INDEX('卡片raw data'!AL:AL,MATCH($D200,'卡片raw data'!$F:$F,))&lt;INDEX('卡片raw data'!AM:AM,MATCH($D200,'卡片raw data'!$F:$F,))),1,0)</f>
        <v>1</v>
      </c>
      <c r="AU200" s="1098">
        <f>MIN(AT200*0.15+AS200*0.00003+INDEX(绊状态确认!M:M,MATCH($G200,绊状态确认!$B:$B,)),1)</f>
        <v>0.58993772758847995</v>
      </c>
      <c r="AV200" s="1109">
        <f>(INDEX(绊状态确认!$N:$N,MATCH($G200,绊状态确认!$B:$B,))+1.5)*$EW$21</f>
        <v>2.6599999999999997</v>
      </c>
      <c r="AW200" s="1101">
        <f t="shared" si="281"/>
        <v>17210.533750469076</v>
      </c>
      <c r="AX200" s="1097">
        <f t="shared" si="282"/>
        <v>752.05465809224086</v>
      </c>
      <c r="AY200" s="1110">
        <f t="shared" si="283"/>
        <v>17962.588408561318</v>
      </c>
      <c r="AZ200" s="429">
        <f t="shared" si="284"/>
        <v>12623.1656174</v>
      </c>
      <c r="BA200" s="431">
        <f t="shared" si="285"/>
        <v>15147.79874088</v>
      </c>
      <c r="BB200" s="1097">
        <f>(AM200*(1+$FB$9)+$FB$35)*(1+(INDEX(绊状态确认!$T:$T,MATCH($G200,绊状态确认!$B:$B,))+0.2)*AO200)*IF(J200=$FF$17,1+$FE$17,1)*IF(I200=$FF$14,1+$FE$14,1)*(1+$FE$15)</f>
        <v>8844.1712291919994</v>
      </c>
      <c r="BC200" s="1097">
        <f>(AN200*(1+$FB$10)+$FB$36)*(1+(INDEX(绊状态确认!$T:$T,MATCH($G200,绊状态确认!$B:$B,))+0.2)*AO200)*IF(J200=$FF$17,1+$FE$17,1)*IF(I200=$FF$14,1+$FE$14,1)*(1+$FE$15)</f>
        <v>13664.590919615997</v>
      </c>
      <c r="BD200" s="1104">
        <f>MIN(AT200*0.15+BC200*0.00003+INDEX(绊状态确认!M:M,MATCH($G200,绊状态确认!$B:$B,)),1)</f>
        <v>0.58993772758847995</v>
      </c>
      <c r="BE200" s="432">
        <f>(INDEX(绊状态确认!$N:$N,MATCH($G200,绊状态确认!$B:$B,))+1.5)</f>
        <v>1.9</v>
      </c>
      <c r="BF200" s="1139">
        <f t="array" ref="BF200">SUMPRODUCT(IF(AZ200*AP200*$FI$16:$FI$23*$FA$22&gt;=$FI$24,$FI$24,AZ200*AP200*$FI$16:$FI$23*$FA$22),$FJ$16:$FJ$23)</f>
        <v>25107.476413008601</v>
      </c>
      <c r="BG200" s="1125">
        <f t="array" ref="BG200">SUMPRODUCT(IF(BE200*AZ200*AP200*$FI$16:$FI$23*$FA$22&gt;=$FI$24,$FI$24,BE200*AZ200*AP200*$FI$16:$FI$23*$FA$22),$FJ$16:$FJ$23)</f>
        <v>47704.205184716338</v>
      </c>
      <c r="BH200" s="1110">
        <f t="shared" si="286"/>
        <v>12812.713078507695</v>
      </c>
      <c r="BI200" s="1111">
        <f>IF(O200="vo",$EW$26/$EW$24*0.05,0)+IF(O200="sk",-$EW$26/$EW$24*(0.05-INDEX(绊状态确认!W:W,MATCH($G200,绊状态确认!$B:$B,)))+0.05*$EW$28,0)+IF(O200="sp",0.05*$EW$32*$EW$30*(1-$EW$33)-(0.05-INDEX(绊状态确认!V:V,MATCH($G200,绊状态确认!$B:$B,)))*$EW$28,0)+IF(O200="gd",-(0.05-INDEX(绊状态确认!X:X,MATCH($G200,绊状态确认!$B:$B,)))*$EW$32*$EW$30*(1-$EW$33),0)</f>
        <v>19.999999999999886</v>
      </c>
      <c r="BJ200" s="1097">
        <f>IF(O200="vo",0.05*(1-$FI$26)*$FA$24,0)+IF(O200="sk",-(0.05-INDEX(绊状态确认!W:W,MATCH($G200,绊状态确认!$B:$B,)))*(1-$FI$26)*$FA$24+0.05*$FA$26,0)+IF(O200="sp",0.05*$FA$32*$FA$27*(1-$FA$33)/$FA$30+0.05*$FA$29/$FA$69*$FA$27*(1-$FA$33)-(0.05-INDEX(绊状态确认!V:V,MATCH($G200,绊状态确认!$B:$B,)))*$FA$26,0)+IF(O200="gd",-(0.05-INDEX(绊状态确认!X:X,MATCH($G200,绊状态确认!$B:$B,)))*$FA$32*$FA$27*(1-$FA$33)/$FA$30-(0.05-INDEX(绊状态确认!X:X,MATCH($G200,绊状态确认!$B:$B,)))*$FA$29/$FA$69*$FA$27*(1-$FA$33),0)</f>
        <v>545.83333333333326</v>
      </c>
      <c r="BK200" s="1110">
        <f>IF(O200="vo",$EW$26/$EW$24*0.05+$EW$26*(-HP($EW$62,$EW$65,$EW$64)+HP($EW$62,$EW$65,(1.05-INDEX(绊状态确认!U:U,MATCH($G200,绊状态确认!$B:$B,)))*$EW$64)),0)+IF(O200="sk",-$EW$26/$EW$24*(0.05-INDEX(绊状态确认!W:W,MATCH($G200,绊状态确认!$B:$B,)))+0.05*$EW$29,0)+IF(O200="sp",0.05*$EW$32*$EW$30*(1-$EW$33)-(0.05-INDEX(绊状态确认!V:V,MATCH($G200,绊状态确认!$B:$B,)))*$EW$29,0)+IF(O200="gd",-(0.05-INDEX(绊状态确认!X:X,MATCH($G200,绊状态确认!$B:$B,)))*$EW$32*$EW$30*(1-$EW$33)+$EW$26*(-HP($EW$62,$EW$65,$EW$64)+HP($EW$62,$EW$65,0.95*$EW$64)),0)</f>
        <v>-1780.0000000000005</v>
      </c>
      <c r="BL200" s="1111">
        <f t="shared" si="287"/>
        <v>-1083.3333333333333</v>
      </c>
      <c r="BM200" s="1110">
        <f t="shared" si="288"/>
        <v>-830.55555555555543</v>
      </c>
      <c r="BN200" s="1113">
        <f t="shared" si="289"/>
        <v>3</v>
      </c>
      <c r="BO200" s="1097">
        <f t="shared" si="290"/>
        <v>4507.7214871259994</v>
      </c>
      <c r="BP200" s="1100">
        <f t="shared" si="291"/>
        <v>221.34103209030098</v>
      </c>
      <c r="BQ200" s="1113" t="s">
        <v>144</v>
      </c>
      <c r="BR200" s="1124" t="s">
        <v>148</v>
      </c>
      <c r="BS200" s="1098">
        <f>IF($P200="","N/A",IF($P200=-1,INDEX('卡片raw data'!AX:AX,MATCH($D200,'卡片raw data'!$F:$F,)),0)+IF($L200="party卡",IF($P200=5,INDEX('卡片raw data'!BD:BD,MATCH($D200,'卡片raw data'!$F:$F,)),IF($P200&gt;=3,INDEX('卡片raw data'!BC:BC,MATCH($D200,'卡片raw data'!$F:$F,)),INDEX('卡片raw data'!BB:BB,MATCH($D200,'卡片raw data'!$F:$F,)))),IF(OR(AND($F200="UR",$P200=0),AND($F200="SR",$P200&gt;=0,$P200&lt;=2),AND($F200="R",$P200&gt;=0,$P200&lt;4)),INDEX('卡片raw data'!AZ:AZ,MATCH($D200,'卡片raw data'!$F:$F,)),0)+IF(OR(AND($F200="UR",$P200&gt;=1,$P200&lt;=4),AND($F200="SR",$P200&lt;=4,$P200&gt;=3),AND($F200="R",$P200=4)),INDEX('卡片raw data'!BA:BA,MATCH($D200,'卡片raw data'!$F:$F,)),0)+IF($P200=5,INDEX('卡片raw data'!BB:BB,MATCH($D200,'卡片raw data'!$F:$F,)),0)))</f>
        <v>3.2000000000000001E-2</v>
      </c>
      <c r="BT200" s="1101">
        <f t="shared" si="292"/>
        <v>0</v>
      </c>
      <c r="BU200" s="1097">
        <f t="shared" si="293"/>
        <v>0</v>
      </c>
      <c r="BV200" s="1097">
        <f t="shared" si="294"/>
        <v>0</v>
      </c>
      <c r="BW200" s="1112">
        <f t="shared" si="295"/>
        <v>1.498285714285714</v>
      </c>
      <c r="BX200" s="1100">
        <f t="shared" si="296"/>
        <v>117.00848980993118</v>
      </c>
      <c r="BY200" s="1110">
        <f t="shared" si="297"/>
        <v>117.00848980993118</v>
      </c>
      <c r="BZ200" s="1107" t="s">
        <v>569</v>
      </c>
      <c r="CA200" s="1124"/>
      <c r="CB200" s="1098">
        <f>IF($P200="","N/A",IF($P200=-1,INDEX('卡片raw data'!BE:BE,MATCH($D200,'卡片raw data'!$F:$F,)),0)+IF($L200="party卡",IF($P200=5,INDEX('卡片raw data'!BK:BK,MATCH($D200,'卡片raw data'!$F:$F,)),IF($P200&gt;=3,INDEX('卡片raw data'!BJ:BJ,MATCH($D200,'卡片raw data'!$F:$F,)),INDEX('卡片raw data'!BI:BI,MATCH($D200,'卡片raw data'!$F:$F,)))),IF(OR(AND($F200="UR",$P200=0),AND($F200="SR",$P200&gt;=0,$P200&lt;=2),AND($F200="R",$P200&gt;=0,$P200&lt;4)),INDEX('卡片raw data'!BG:BG,MATCH($D200,'卡片raw data'!$F:$F,)),0)+IF(OR(AND($F200="UR",$P200&gt;=1,$P200&lt;=4),AND($F200="SR",$P200&lt;=4,$P200&gt;=3),AND($F200="R",$P200=4)),INDEX('卡片raw data'!BH:BH,MATCH($D200,'卡片raw data'!$F:$F,)),0)+IF($P200=5,INDEX('卡片raw data'!BI:BI,MATCH($D200,'卡片raw data'!$F:$F,)),0)))</f>
        <v>0</v>
      </c>
      <c r="CC200" s="1101">
        <f t="shared" si="298"/>
        <v>0</v>
      </c>
      <c r="CD200" s="1097">
        <f>IF(BZ200="ap",CB200*(1-$FI$26)*$FB$5/$FB$11*(+IF(CA200="全员",$FA$24,0)+IF(CA200="同作战",$FA$24,0)+IF(CA200="仲间",$FA$24*2/3,0)+IF(CA200="同属性",$FA$24*$FA$37/3,0)+IF(CA200="同年级",$FA$24*$FA$40/3,0)+IF(CA200="同学校",$FA$24*$FA$43/3,0)+IF(CA200="同小队",$FA$24*$FA$46/3,0)+IF(CA200="同type",$FA$24*INDEX($FB$49:$FB$52,MATCH(X200,$FA$49:$FA$52,))/3,0)+IF(CA200="自身",#REF!/3,0)),0)+IF(BZ200="te",CB200*(1-$FI$27)*($FA$20-1)*$FB$7/$FB$13*(+IF(CA200="全员",$FA$19*$FA$24/(1+($FA$20-1)*$FA$19),0)+IF(CA200="同作战",$FA$19*$FA$24/(1+($FA$20-1)*$FA$19),0)+IF(CA200="仲间",$FA$19*$FA$24*2/3/(1+($FA$20-1)*$FA$19),0)+IF(CA200="同属性",$FA$19*$FA$24*$FA$37/3/(1+($FA$20-1)*$FA$19),0)+IF(CA200="同年级",$FA$19*$FA$24*$FA$40/3/(1+($FA$20-1)*$FA$19),0)+IF(CA200="同学校",$FA$19*$FA$24*$FA$43/3/(1+($FA$20-1)*$FA$19),0)+IF(CA200="同小队",$FA$19*$FA$24*$FA$46/3/(1+($FA$20-1)*$FA$19),0)+IF(CA200="同type",$FA$19*$FA$24*INDEX($FB$49:$FB$52,MATCH(X200,$FA$49:$FA$52,))/3/(1+($FA$20-1)*$FA$19),0)+IF(CA200="自身",$FA$19*#REF!/3/(1+(BH200-1)*$BD200),0)),0)</f>
        <v>0</v>
      </c>
      <c r="CE200" s="1097">
        <f t="shared" si="299"/>
        <v>0</v>
      </c>
      <c r="CF200" s="1112">
        <f t="shared" si="300"/>
        <v>0</v>
      </c>
      <c r="CG200" s="1100">
        <f t="shared" si="301"/>
        <v>0</v>
      </c>
      <c r="CH200" s="1110">
        <f t="shared" si="302"/>
        <v>0</v>
      </c>
      <c r="CI200" s="1113" t="s">
        <v>165</v>
      </c>
      <c r="CJ200" s="1114">
        <v>0.3</v>
      </c>
      <c r="CK200" s="1115" t="s">
        <v>551</v>
      </c>
      <c r="CL200" s="1115" t="s">
        <v>161</v>
      </c>
      <c r="CM200" s="1119">
        <v>0.03</v>
      </c>
      <c r="CN200" s="1115" t="s">
        <v>588</v>
      </c>
      <c r="CO200" s="1092"/>
      <c r="CP200" s="1118">
        <f t="shared" si="303"/>
        <v>8.9999999999999993E-3</v>
      </c>
      <c r="CQ200" s="1118">
        <f t="shared" si="304"/>
        <v>8.9999999999999993E-3</v>
      </c>
      <c r="CR200" s="1118">
        <f t="shared" si="305"/>
        <v>8.9999999999999993E-3</v>
      </c>
      <c r="CS200" s="1118">
        <f t="shared" si="306"/>
        <v>0</v>
      </c>
      <c r="CT200" s="1109">
        <f t="shared" si="307"/>
        <v>0</v>
      </c>
      <c r="CU200" s="1101">
        <f t="shared" si="308"/>
        <v>539.33504053893762</v>
      </c>
      <c r="CV200" s="1108">
        <f t="shared" si="309"/>
        <v>0</v>
      </c>
      <c r="CW200" s="1097">
        <f t="shared" si="310"/>
        <v>539.33504053893762</v>
      </c>
      <c r="CX200" s="1097">
        <f t="shared" si="311"/>
        <v>539.33504053893762</v>
      </c>
      <c r="CY200" s="1110">
        <f t="shared" si="312"/>
        <v>539.33504053893762</v>
      </c>
      <c r="CZ200" s="437"/>
      <c r="DA200" s="438"/>
      <c r="DB200" s="439" t="s">
        <v>569</v>
      </c>
      <c r="DC200" s="439"/>
      <c r="DD200" s="443"/>
      <c r="DE200" s="411"/>
      <c r="DF200" s="411"/>
      <c r="DG200" s="1116">
        <f t="shared" si="313"/>
        <v>0</v>
      </c>
      <c r="DH200" s="1116">
        <f t="shared" si="314"/>
        <v>0</v>
      </c>
      <c r="DI200" s="1116">
        <f t="shared" si="315"/>
        <v>0</v>
      </c>
      <c r="DJ200" s="442">
        <f t="shared" si="316"/>
        <v>0</v>
      </c>
      <c r="DK200" s="1109">
        <f t="shared" si="317"/>
        <v>0</v>
      </c>
      <c r="DL200" s="1101">
        <f t="shared" si="318"/>
        <v>0</v>
      </c>
      <c r="DM200" s="1097">
        <f t="shared" si="319"/>
        <v>0</v>
      </c>
      <c r="DN200" s="1097">
        <f t="shared" si="320"/>
        <v>0</v>
      </c>
      <c r="DO200" s="1097">
        <f t="shared" si="321"/>
        <v>0</v>
      </c>
      <c r="DP200" s="1110">
        <f t="shared" si="322"/>
        <v>0</v>
      </c>
      <c r="DQ200" s="1113" t="s">
        <v>549</v>
      </c>
      <c r="DR200" s="1120">
        <f t="shared" si="323"/>
        <v>0.3</v>
      </c>
      <c r="DS200" s="1124"/>
      <c r="DT200" s="1093" t="s">
        <v>179</v>
      </c>
      <c r="DU200" s="1093"/>
      <c r="DV200" s="1098">
        <f>IF($P200="","N/A",IF(P200=-1,INDEX('卡片raw data'!AN:AN,MATCH(D200,'卡片raw data'!$F:$F,)),0)+IF(AND(L200&lt;&gt;"party卡",P200&lt;=2,P200&gt;=0),INDEX('卡片raw data'!AP:AP,MATCH(D200,'卡片raw data'!$F:$F,)),0)+IF(OR(AND(L200="party卡",P200&lt;=1),AND(P200&lt;=4,L200&lt;&gt;"party卡",P200&gt;=3)),INDEX('卡片raw data'!AQ:AQ,MATCH(D200,'卡片raw data'!$F:$F,)),0)+IF(OR(P200=5,AND(L200="party卡",P200&gt;=2)),INDEX('卡片raw data'!AR:AR,MATCH(D200,'卡片raw data'!$F:$F,)),0))</f>
        <v>0.06</v>
      </c>
      <c r="DW200" s="1098">
        <f t="shared" si="324"/>
        <v>0.3</v>
      </c>
      <c r="DX200" s="1098">
        <f t="shared" si="325"/>
        <v>0.3</v>
      </c>
      <c r="DY200" s="1098">
        <f t="shared" si="326"/>
        <v>5.9999999999999993E-3</v>
      </c>
      <c r="DZ200" s="1098">
        <f t="shared" si="327"/>
        <v>5.968499999999999E-3</v>
      </c>
      <c r="EA200" s="1098">
        <f t="shared" si="328"/>
        <v>0</v>
      </c>
      <c r="EB200" s="1121">
        <f t="shared" si="329"/>
        <v>36.568349999999995</v>
      </c>
      <c r="EC200" s="1101">
        <f t="shared" si="330"/>
        <v>2699.9999999999995</v>
      </c>
      <c r="ED200" s="1097">
        <f t="shared" si="331"/>
        <v>1492.1249999999998</v>
      </c>
      <c r="EE200" s="1110">
        <f t="shared" si="332"/>
        <v>2699.9999999999995</v>
      </c>
      <c r="EF200" s="1092" t="s">
        <v>711</v>
      </c>
      <c r="EG200" s="1120">
        <f t="shared" si="333"/>
        <v>0.3</v>
      </c>
      <c r="EH200" s="1124"/>
      <c r="EI200" s="1093"/>
      <c r="EJ200" s="1093"/>
      <c r="EK200" s="1097">
        <f>IF($P200="","N/A",IF(P200=-1,INDEX('卡片raw data'!AS:AS,MATCH(D200,'卡片raw data'!$F:$F,)),0)+IF(AND(L200&lt;&gt;"party卡",P200&lt;=2,P200&gt;=0),INDEX('卡片raw data'!AU:AU,MATCH(D200,'卡片raw data'!$F:$F,)),0)+IF(OR(AND(L200="party卡",P200&lt;=1),AND(P200&lt;=4,L200&lt;&gt;"party卡",P200&gt;=3)),INDEX('卡片raw data'!AV:AV,MATCH(D200,'卡片raw data'!$F:$F,)),0)+IF(OR(P200=5,AND(L200="party卡",P200&gt;=2)),INDEX('卡片raw data'!AW:AW,MATCH(D200,'卡片raw data'!$F:$F,)),0))</f>
        <v>0</v>
      </c>
      <c r="EL200" s="1098">
        <f t="shared" si="334"/>
        <v>0.3</v>
      </c>
      <c r="EM200" s="1098">
        <f t="shared" si="335"/>
        <v>0.3</v>
      </c>
      <c r="EN200" s="1125">
        <f t="shared" si="336"/>
        <v>0</v>
      </c>
      <c r="EO200" s="1125">
        <f t="shared" si="337"/>
        <v>0</v>
      </c>
      <c r="EP200" s="1098">
        <f t="shared" si="338"/>
        <v>0</v>
      </c>
      <c r="EQ200" s="1121">
        <f t="shared" si="339"/>
        <v>0</v>
      </c>
      <c r="ER200" s="1101">
        <f t="shared" si="340"/>
        <v>0</v>
      </c>
      <c r="ES200" s="1097">
        <f t="shared" si="341"/>
        <v>0</v>
      </c>
      <c r="ET200" s="1122">
        <f t="shared" si="342"/>
        <v>0</v>
      </c>
    </row>
    <row r="201" spans="2:150" ht="16.5" customHeight="1">
      <c r="B201" s="1123" t="str">
        <f>INDEX('卡片raw data'!B:B,MATCH($D201,'卡片raw data'!$F:$F,))</f>
        <v>彩虹雫</v>
      </c>
      <c r="C201" s="449" t="s">
        <v>123</v>
      </c>
      <c r="D201" s="408">
        <v>198</v>
      </c>
      <c r="E201" s="1090">
        <v>402032001</v>
      </c>
      <c r="F201" s="1090" t="str">
        <f>INDEX('卡片raw data'!C:C,MATCH($D201,'卡片raw data'!$F:$F,))</f>
        <v>SR</v>
      </c>
      <c r="G201" s="1094" t="s">
        <v>349</v>
      </c>
      <c r="H201" s="411">
        <f>IFERROR(INDEX(绊状态确认!C:C,MATCH($G201,绊状态确认!$B:$B,)),"")</f>
        <v>203</v>
      </c>
      <c r="I201" s="450" t="str">
        <f>IFERROR(INDEX(绊状态确认!D:D,MATCH($G201,绊状态确认!$B:$B,)),"")</f>
        <v>虹</v>
      </c>
      <c r="J201" s="450" t="str">
        <f>IFERROR(INDEX(绊状态确认!E:E,MATCH($G201,绊状态确认!$B:$B,)),"")</f>
        <v>1年级</v>
      </c>
      <c r="K201" s="451" t="str">
        <f>IFERROR(INDEX(绊状态确认!F:F,MATCH($G201,绊状态确认!$B:$B,)),"")</f>
        <v>A·ZU·NA</v>
      </c>
      <c r="L201" s="1094" t="str">
        <f>INDEX('卡片raw data'!E:E,MATCH($D201,'卡片raw data'!$F:$F,))</f>
        <v>活动卡</v>
      </c>
      <c r="M201" s="415">
        <v>43913</v>
      </c>
      <c r="N201" s="416">
        <v>12</v>
      </c>
      <c r="O201" s="1091" t="str">
        <f>INDEX('卡片raw data'!D:D,MATCH($D201,'卡片raw data'!$F:$F,))</f>
        <v>gd</v>
      </c>
      <c r="P201" s="417">
        <v>5</v>
      </c>
      <c r="Q201" s="1095">
        <f t="shared" si="258"/>
        <v>16142.56288260106</v>
      </c>
      <c r="R201" s="1096">
        <f t="shared" si="259"/>
        <v>0.187</v>
      </c>
      <c r="S201" s="1097">
        <f t="shared" si="260"/>
        <v>9185.648178681944</v>
      </c>
      <c r="T201" s="1098">
        <f t="shared" si="261"/>
        <v>0.45900000000000002</v>
      </c>
      <c r="U201" s="1099">
        <f t="shared" si="262"/>
        <v>370.80996977218933</v>
      </c>
      <c r="V201" s="1100">
        <f t="shared" si="263"/>
        <v>58456.828573825209</v>
      </c>
      <c r="W201" s="1101">
        <f t="shared" si="264"/>
        <v>4507.7214871259994</v>
      </c>
      <c r="X201" s="1096">
        <f t="shared" si="265"/>
        <v>5.1999999999999998E-2</v>
      </c>
      <c r="Y201" s="1097">
        <f t="shared" si="266"/>
        <v>1034.4726683846466</v>
      </c>
      <c r="Z201" s="1102">
        <f t="shared" si="267"/>
        <v>12.975192813661346</v>
      </c>
      <c r="AA201" s="1103">
        <f t="shared" si="268"/>
        <v>5542.1941555106459</v>
      </c>
      <c r="AB201" s="1101">
        <f t="shared" si="269"/>
        <v>4507.7214871259994</v>
      </c>
      <c r="AC201" s="1104">
        <f t="shared" si="270"/>
        <v>5.1999999999999998E-2</v>
      </c>
      <c r="AD201" s="1105">
        <f t="shared" si="271"/>
        <v>-3.8207812500000026E-3</v>
      </c>
      <c r="AE201" s="1128">
        <f t="shared" si="272"/>
        <v>-18.525362318840578</v>
      </c>
      <c r="AF201" s="1130">
        <f t="shared" si="273"/>
        <v>5233.5399411409917</v>
      </c>
      <c r="AG201" s="420">
        <f t="shared" si="274"/>
        <v>104322.29504058276</v>
      </c>
      <c r="AH201" s="420">
        <f t="shared" si="275"/>
        <v>19.93340954952928</v>
      </c>
      <c r="AI201" s="1097">
        <f t="shared" si="276"/>
        <v>86002.334720133629</v>
      </c>
      <c r="AJ201" s="420">
        <f t="shared" si="277"/>
        <v>58456.828573825209</v>
      </c>
      <c r="AK201" s="518">
        <f t="shared" si="278"/>
        <v>27545.50614630842</v>
      </c>
      <c r="AL201" s="1106">
        <f>IF($P201="","N/A",(IF($P201=-1,INDEX('卡片raw data'!S:S,MATCH($D201,'卡片raw data'!$F:$F,)),0)+IF($P201=0,INDEX('卡片raw data'!V:V,MATCH($D201,'卡片raw data'!$F:$F,)),0)+IF($P201=1,INDEX('卡片raw data'!Y:Y,MATCH($D201,'卡片raw data'!$F:$F,)),0)+IF($P201=2,INDEX('卡片raw data'!AB:AB,MATCH($D201,'卡片raw data'!$F:$F,)),0)+IF($P201=3,INDEX('卡片raw data'!AE:AE,MATCH($D201,'卡片raw data'!$F:$F,)),0)+IF($P201=4,INDEX('卡片raw data'!AH:AH,MATCH($D201,'卡片raw data'!$F:$F,)),0)+IF($P201=5,INDEX('卡片raw data'!AK:AK,MATCH($D201,'卡片raw data'!$F:$F,)),0)+INDEX('卡片raw data'!S:S,MATCH($D201,'卡片raw data'!$F:$F,))*(IF($F201="UR",0.04,0.033))*(IF($F201="UR",INDEX(绊状态确认!$S:$S,MATCH($G201,绊状态确认!$B:$B,))/2-40)+IF($F201="SR",INDEX(绊状态确认!$R:$R,MATCH($G201,绊状态确认!$B:$B,))/4-15))+IF($F201="R",INDEX(绊状态确认!$Q:$Q,MATCH($G201,绊状态确认!$B:$B,))/6-40/6)))*(INDEX(绊状态确认!$H:$H,MATCH($G201,绊状态确认!$B:$B,))+INDEX(绊状态确认!J:J,MATCH($G201,绊状态确认!$B:$B,)))</f>
        <v>4820.3633375999989</v>
      </c>
      <c r="AM201" s="1106">
        <f>IF($P201="","N/A",(IF($P201=-1,INDEX('卡片raw data'!T:T,MATCH($D201,'卡片raw data'!$F:$F,)),0)+IF($P201=0,INDEX('卡片raw data'!W:W,MATCH($D201,'卡片raw data'!$F:$F,)),0)+IF($P201=1,INDEX('卡片raw data'!Z:Z,MATCH($D201,'卡片raw data'!$F:$F,)),0)+IF($P201=2,INDEX('卡片raw data'!AC:AC,MATCH($D201,'卡片raw data'!$F:$F,)),0)+IF($P201=3,INDEX('卡片raw data'!AF:AF,MATCH($D201,'卡片raw data'!$F:$F,)),0)+IF($P201=4,INDEX('卡片raw data'!AI:AI,MATCH($D201,'卡片raw data'!$F:$F,)),0)+IF($P201=5,INDEX('卡片raw data'!AL:AL,MATCH($D201,'卡片raw data'!$F:$F,)),0)+INDEX('卡片raw data'!T:T,MATCH($D201,'卡片raw data'!$F:$F,))*(IF($F201="UR",0.04,0.033))*(IF($F201="UR",INDEX(绊状态确认!$S:$S,MATCH($G201,绊状态确认!$B:$B,))/2-40)+IF($F201="SR",INDEX(绊状态确认!$R:$R,MATCH($G201,绊状态确认!$B:$B,))/4-15))+IF($F201="R",INDEX(绊状态确认!$Q:$Q,MATCH($G201,绊状态确认!$B:$B,))/6-40/6)))*(INDEX(绊状态确认!$H:$H,MATCH($G201,绊状态确认!$B:$B,))+INDEX(绊状态确认!K:K,MATCH($G201,绊状态确认!$B:$B,)))</f>
        <v>6427.1511167999997</v>
      </c>
      <c r="AN201" s="1106">
        <f>IF($P201="","N/A",(IF($P201=-1,INDEX('卡片raw data'!U:U,MATCH($D201,'卡片raw data'!$F:$F,)),0)+IF($P201=0,INDEX('卡片raw data'!X:X,MATCH($D201,'卡片raw data'!$F:$F,)),0)+IF($P201=1,INDEX('卡片raw data'!AA:AA,MATCH($D201,'卡片raw data'!$F:$F,)),0)+IF($P201=2,INDEX('卡片raw data'!AD:AD,MATCH($D201,'卡片raw data'!$F:$F,)),0)+IF($P201=3,INDEX('卡片raw data'!AG:AG,MATCH($D201,'卡片raw data'!$F:$F,)),0)+IF($P201=4,INDEX('卡片raw data'!AJ:AJ,MATCH($D201,'卡片raw data'!$F:$F,)),0)+IF($P201=5,INDEX('卡片raw data'!AM:AM,MATCH($D201,'卡片raw data'!$F:$F,)),0)+INDEX('卡片raw data'!U:U,MATCH($D201,'卡片raw data'!$F:$F,))*(IF($F201="UR",0.04,0.033))*(IF($F201="UR",INDEX(绊状态确认!$S:$S,MATCH($G201,绊状态确认!$B:$B,))/2-40)+IF($F201="SR",INDEX(绊状态确认!$R:$R,MATCH($G201,绊状态确认!$B:$B,))/4-15))+IF($F201="R",INDEX(绊状态确认!$Q:$Q,MATCH($G201,绊状态确认!$B:$B,))/6-40/6)))*(INDEX(绊状态确认!$H:$H,MATCH($G201,绊状态确认!$B:$B,))+INDEX(绊状态确认!L:L,MATCH($G201,绊状态确认!$B:$B,)))</f>
        <v>4820.3633375999989</v>
      </c>
      <c r="AO201" s="1107">
        <f t="shared" si="279"/>
        <v>1</v>
      </c>
      <c r="AP201" s="1131">
        <f>1+(INDEX(绊状态确认!$T:$T,MATCH($G201,绊状态确认!$B:$B,))+0.2)*$AO201</f>
        <v>1.3</v>
      </c>
      <c r="AQ201" s="1108">
        <f t="shared" si="280"/>
        <v>15903.453761199999</v>
      </c>
      <c r="AR201" s="1097">
        <f>(AM201*(1+$EX$9)+$EX$35)*(1+(INDEX(绊状态确认!$T:$T,MATCH($G201,绊状态确认!$B:$B,))+0.2)*AO201)*IF(J201=$FF$17,1+$FE$17,1)*IF(I201=$FF$14,1+$FE$14,1)</f>
        <v>11477.061274432001</v>
      </c>
      <c r="AS201" s="1097">
        <f>(AN201*(1+$EX$10)+$EX$36)*(1+(INDEX(绊状态确认!$T:$T,MATCH($G201,绊状态确认!$B:$B,))+0.2)*AO201)*IF(J201=$FF$17,1+$FE$17,1)*IF(I201=$FF$14,1+$FE$14,1)</f>
        <v>11262.443189711999</v>
      </c>
      <c r="AT201" s="1093">
        <f>IF(AND(INDEX('卡片raw data'!AK:AK,MATCH($D201,'卡片raw data'!$F:$F,))&lt;INDEX('卡片raw data'!AM:AM,MATCH($D201,'卡片raw data'!$F:$F,)),INDEX('卡片raw data'!AL:AL,MATCH($D201,'卡片raw data'!$F:$F,))&lt;INDEX('卡片raw data'!AM:AM,MATCH($D201,'卡片raw data'!$F:$F,))),1,0)</f>
        <v>0</v>
      </c>
      <c r="AU201" s="1098">
        <f>MIN(AT201*0.15+AS201*0.00003+INDEX(绊状态确认!M:M,MATCH($G201,绊状态确认!$B:$B,)),1)</f>
        <v>0.36787329569136001</v>
      </c>
      <c r="AV201" s="1109">
        <f>(INDEX(绊状态确认!$N:$N,MATCH($G201,绊状态确认!$B:$B,))+1.5)*$EW$21</f>
        <v>2.6599999999999997</v>
      </c>
      <c r="AW201" s="1101">
        <f t="shared" si="281"/>
        <v>13303.174728808393</v>
      </c>
      <c r="AX201" s="1097">
        <f t="shared" si="282"/>
        <v>981.58464436331599</v>
      </c>
      <c r="AY201" s="1110">
        <f t="shared" si="283"/>
        <v>14284.75937317171</v>
      </c>
      <c r="AZ201" s="429">
        <f t="shared" si="284"/>
        <v>11999.708508319998</v>
      </c>
      <c r="BA201" s="431">
        <f t="shared" si="285"/>
        <v>14399.650209983998</v>
      </c>
      <c r="BB201" s="1097">
        <f>(AM201*(1+$FB$9)+$FB$35)*(1+(INDEX(绊状态确认!$T:$T,MATCH($G201,绊状态确认!$B:$B,))+0.2)*AO201)*IF(J201=$FF$17,1+$FE$17,1)*IF(I201=$FF$14,1+$FE$14,1)*(1+$FE$15)</f>
        <v>11477.061274432001</v>
      </c>
      <c r="BC201" s="1097">
        <f>(AN201*(1+$FB$10)+$FB$36)*(1+(INDEX(绊状态确认!$T:$T,MATCH($G201,绊状态确认!$B:$B,))+0.2)*AO201)*IF(J201=$FF$17,1+$FE$17,1)*IF(I201=$FF$14,1+$FE$14,1)*(1+$FE$15)</f>
        <v>11262.443189711999</v>
      </c>
      <c r="BD201" s="1104">
        <f>MIN(AT201*0.15+BC201*0.00003+INDEX(绊状态确认!M:M,MATCH($G201,绊状态确认!$B:$B,)),1)</f>
        <v>0.36787329569136001</v>
      </c>
      <c r="BE201" s="432">
        <f>(INDEX(绊状态确认!$N:$N,MATCH($G201,绊状态确认!$B:$B,))+1.5)</f>
        <v>1.9</v>
      </c>
      <c r="BF201" s="1139">
        <f t="array" ref="BF201">SUMPRODUCT(IF(AZ201*AP201*$FI$16:$FI$23*$FA$22&gt;=$FI$24,$FI$24,AZ201*AP201*$FI$16:$FI$23*$FA$22),$FJ$16:$FJ$23)</f>
        <v>23867.420223048477</v>
      </c>
      <c r="BG201" s="1125">
        <f t="array" ref="BG201">SUMPRODUCT(IF(BE201*AZ201*AP201*$FI$16:$FI$23*$FA$22&gt;=$FI$24,$FI$24,BE201*AZ201*AP201*$FI$16:$FI$23*$FA$22),$FJ$16:$FJ$23)</f>
        <v>45348.098423792115</v>
      </c>
      <c r="BH201" s="1110">
        <f t="shared" si="286"/>
        <v>10589.862702147198</v>
      </c>
      <c r="BI201" s="1111">
        <f>IF(O201="vo",$EW$26/$EW$24*0.05,0)+IF(O201="sk",-$EW$26/$EW$24*(0.05-INDEX(绊状态确认!W:W,MATCH($G201,绊状态确认!$B:$B,)))+0.05*$EW$28,0)+IF(O201="sp",0.05*$EW$32*$EW$30*(1-$EW$33)-(0.05-INDEX(绊状态确认!V:V,MATCH($G201,绊状态确认!$B:$B,)))*$EW$28,0)+IF(O201="gd",-(0.05-INDEX(绊状态确认!X:X,MATCH($G201,绊状态确认!$B:$B,)))*$EW$32*$EW$30*(1-$EW$33),0)</f>
        <v>-585.00000000000011</v>
      </c>
      <c r="BJ201" s="1097">
        <f>IF(O201="vo",0.05*(1-$FI$26)*$FA$24,0)+IF(O201="sk",-(0.05-INDEX(绊状态确认!W:W,MATCH($G201,绊状态确认!$B:$B,)))*(1-$FI$26)*$FA$24+0.05*$FA$26,0)+IF(O201="sp",0.05*$FA$32*$FA$27*(1-$FA$33)/$FA$30+0.05*$FA$29/$FA$69*$FA$27*(1-$FA$33)-(0.05-INDEX(绊状态确认!V:V,MATCH($G201,绊状态确认!$B:$B,)))*$FA$26,0)+IF(O201="gd",-(0.05-INDEX(绊状态确认!X:X,MATCH($G201,绊状态确认!$B:$B,)))*$FA$32*$FA$27*(1-$FA$33)/$FA$30-(0.05-INDEX(绊状态确认!X:X,MATCH($G201,绊状态确认!$B:$B,)))*$FA$29/$FA$69*$FA$27*(1-$FA$33),0)</f>
        <v>-795.00000000000011</v>
      </c>
      <c r="BK201" s="1110">
        <f>IF(O201="vo",$EW$26/$EW$24*0.05+$EW$26*(-HP($EW$62,$EW$65,$EW$64)+HP($EW$62,$EW$65,(1.05-INDEX(绊状态确认!U:U,MATCH($G201,绊状态确认!$B:$B,)))*$EW$64)),0)+IF(O201="sk",-$EW$26/$EW$24*(0.05-INDEX(绊状态确认!W:W,MATCH($G201,绊状态确认!$B:$B,)))+0.05*$EW$29,0)+IF(O201="sp",0.05*$EW$32*$EW$30*(1-$EW$33)-(0.05-INDEX(绊状态确认!V:V,MATCH($G201,绊状态确认!$B:$B,)))*$EW$29,0)+IF(O201="gd",-(0.05-INDEX(绊状态确认!X:X,MATCH($G201,绊状态确认!$B:$B,)))*$EW$32*$EW$30*(1-$EW$33)+$EW$26*(-HP($EW$62,$EW$65,$EW$64)+HP($EW$62,$EW$65,0.95*$EW$64)),0)</f>
        <v>1009.5947725176144</v>
      </c>
      <c r="BL201" s="1111">
        <f t="shared" si="287"/>
        <v>-1083.3333333333333</v>
      </c>
      <c r="BM201" s="1110">
        <f t="shared" si="288"/>
        <v>-830.55555555555543</v>
      </c>
      <c r="BN201" s="1113">
        <f t="shared" si="289"/>
        <v>3</v>
      </c>
      <c r="BO201" s="1097">
        <f t="shared" si="290"/>
        <v>4507.7214871259994</v>
      </c>
      <c r="BP201" s="1100">
        <f t="shared" si="291"/>
        <v>221.34103209030098</v>
      </c>
      <c r="BQ201" s="1113" t="s">
        <v>144</v>
      </c>
      <c r="BR201" s="1124" t="s">
        <v>625</v>
      </c>
      <c r="BS201" s="1098">
        <f>IF($P201="","N/A",IF($P201=-1,INDEX('卡片raw data'!AX:AX,MATCH($D201,'卡片raw data'!$F:$F,)),0)+IF($L201="party卡",IF($P201=5,INDEX('卡片raw data'!BD:BD,MATCH($D201,'卡片raw data'!$F:$F,)),IF($P201&gt;=3,INDEX('卡片raw data'!BC:BC,MATCH($D201,'卡片raw data'!$F:$F,)),INDEX('卡片raw data'!BB:BB,MATCH($D201,'卡片raw data'!$F:$F,)))),IF(OR(AND($F201="UR",$P201=0),AND($F201="SR",$P201&gt;=0,$P201&lt;=2),AND($F201="R",$P201&gt;=0,$P201&lt;4)),INDEX('卡片raw data'!AZ:AZ,MATCH($D201,'卡片raw data'!$F:$F,)),0)+IF(OR(AND($F201="UR",$P201&gt;=1,$P201&lt;=4),AND($F201="SR",$P201&lt;=4,$P201&gt;=3),AND($F201="R",$P201=4)),INDEX('卡片raw data'!BA:BA,MATCH($D201,'卡片raw data'!$F:$F,)),0)+IF($P201=5,INDEX('卡片raw data'!BB:BB,MATCH($D201,'卡片raw data'!$F:$F,)),0)))</f>
        <v>7.0000000000000007E-2</v>
      </c>
      <c r="BT201" s="1101">
        <f t="shared" si="292"/>
        <v>0</v>
      </c>
      <c r="BU201" s="1097">
        <f t="shared" si="293"/>
        <v>0</v>
      </c>
      <c r="BV201" s="1097">
        <f t="shared" si="294"/>
        <v>0</v>
      </c>
      <c r="BW201" s="1112">
        <f t="shared" si="295"/>
        <v>0.67834144819849029</v>
      </c>
      <c r="BX201" s="1100">
        <f t="shared" si="296"/>
        <v>52.888024021329862</v>
      </c>
      <c r="BY201" s="1110">
        <f t="shared" si="297"/>
        <v>52.888024021329862</v>
      </c>
      <c r="BZ201" s="1107" t="s">
        <v>569</v>
      </c>
      <c r="CA201" s="1124"/>
      <c r="CB201" s="1098">
        <f>IF($P201="","N/A",IF($P201=-1,INDEX('卡片raw data'!BE:BE,MATCH($D201,'卡片raw data'!$F:$F,)),0)+IF($L201="party卡",IF($P201=5,INDEX('卡片raw data'!BK:BK,MATCH($D201,'卡片raw data'!$F:$F,)),IF($P201&gt;=3,INDEX('卡片raw data'!BJ:BJ,MATCH($D201,'卡片raw data'!$F:$F,)),INDEX('卡片raw data'!BI:BI,MATCH($D201,'卡片raw data'!$F:$F,)))),IF(OR(AND($F201="UR",$P201=0),AND($F201="SR",$P201&gt;=0,$P201&lt;=2),AND($F201="R",$P201&gt;=0,$P201&lt;4)),INDEX('卡片raw data'!BG:BG,MATCH($D201,'卡片raw data'!$F:$F,)),0)+IF(OR(AND($F201="UR",$P201&gt;=1,$P201&lt;=4),AND($F201="SR",$P201&lt;=4,$P201&gt;=3),AND($F201="R",$P201=4)),INDEX('卡片raw data'!BH:BH,MATCH($D201,'卡片raw data'!$F:$F,)),0)+IF($P201=5,INDEX('卡片raw data'!BI:BI,MATCH($D201,'卡片raw data'!$F:$F,)),0)))</f>
        <v>0</v>
      </c>
      <c r="CC201" s="1101">
        <f t="shared" si="298"/>
        <v>0</v>
      </c>
      <c r="CD201" s="1097">
        <f>IF(BZ201="ap",CB201*(1-$FI$26)*$FB$5/$FB$11*(+IF(CA201="全员",$FA$24,0)+IF(CA201="同作战",$FA$24,0)+IF(CA201="仲间",$FA$24*2/3,0)+IF(CA201="同属性",$FA$24*$FA$37/3,0)+IF(CA201="同年级",$FA$24*$FA$40/3,0)+IF(CA201="同学校",$FA$24*$FA$43/3,0)+IF(CA201="同小队",$FA$24*$FA$46/3,0)+IF(CA201="同type",$FA$24*INDEX($FB$49:$FB$52,MATCH(X201,$FA$49:$FA$52,))/3,0)+IF(CA201="自身",#REF!/3,0)),0)+IF(BZ201="te",CB201*(1-$FI$27)*($FA$20-1)*$FB$7/$FB$13*(+IF(CA201="全员",$FA$19*$FA$24/(1+($FA$20-1)*$FA$19),0)+IF(CA201="同作战",$FA$19*$FA$24/(1+($FA$20-1)*$FA$19),0)+IF(CA201="仲间",$FA$19*$FA$24*2/3/(1+($FA$20-1)*$FA$19),0)+IF(CA201="同属性",$FA$19*$FA$24*$FA$37/3/(1+($FA$20-1)*$FA$19),0)+IF(CA201="同年级",$FA$19*$FA$24*$FA$40/3/(1+($FA$20-1)*$FA$19),0)+IF(CA201="同学校",$FA$19*$FA$24*$FA$43/3/(1+($FA$20-1)*$FA$19),0)+IF(CA201="同小队",$FA$19*$FA$24*$FA$46/3/(1+($FA$20-1)*$FA$19),0)+IF(CA201="同type",$FA$19*$FA$24*INDEX($FB$49:$FB$52,MATCH(X201,$FA$49:$FA$52,))/3/(1+($FA$20-1)*$FA$19),0)+IF(CA201="自身",$FA$19*#REF!/3/(1+(BH201-1)*$BD201),0)),0)</f>
        <v>0</v>
      </c>
      <c r="CE201" s="1097">
        <f t="shared" si="299"/>
        <v>0</v>
      </c>
      <c r="CF201" s="1112">
        <f t="shared" si="300"/>
        <v>0</v>
      </c>
      <c r="CG201" s="1100">
        <f t="shared" si="301"/>
        <v>0</v>
      </c>
      <c r="CH201" s="1110">
        <f t="shared" si="302"/>
        <v>0</v>
      </c>
      <c r="CI201" s="1113" t="s">
        <v>571</v>
      </c>
      <c r="CJ201" s="1114">
        <v>0.5</v>
      </c>
      <c r="CK201" s="1115" t="s">
        <v>635</v>
      </c>
      <c r="CL201" s="1115" t="s">
        <v>1944</v>
      </c>
      <c r="CM201" s="1119">
        <v>0.2</v>
      </c>
      <c r="CN201" s="1115"/>
      <c r="CO201" s="1092"/>
      <c r="CP201" s="1117">
        <f t="shared" si="303"/>
        <v>0</v>
      </c>
      <c r="CQ201" s="1117">
        <f t="shared" si="304"/>
        <v>0</v>
      </c>
      <c r="CR201" s="1117">
        <f t="shared" si="305"/>
        <v>0</v>
      </c>
      <c r="CS201" s="1118">
        <f t="shared" si="306"/>
        <v>0</v>
      </c>
      <c r="CT201" s="1109">
        <f t="shared" si="307"/>
        <v>0</v>
      </c>
      <c r="CU201" s="1101">
        <f t="shared" si="308"/>
        <v>0</v>
      </c>
      <c r="CV201" s="1108">
        <f t="shared" si="309"/>
        <v>0</v>
      </c>
      <c r="CW201" s="1097">
        <f t="shared" si="310"/>
        <v>0</v>
      </c>
      <c r="CX201" s="1097">
        <f t="shared" si="311"/>
        <v>0</v>
      </c>
      <c r="CY201" s="1110">
        <f t="shared" si="312"/>
        <v>0</v>
      </c>
      <c r="CZ201" s="437"/>
      <c r="DA201" s="438"/>
      <c r="DB201" s="439" t="s">
        <v>569</v>
      </c>
      <c r="DC201" s="439"/>
      <c r="DD201" s="443"/>
      <c r="DE201" s="411"/>
      <c r="DF201" s="411"/>
      <c r="DG201" s="1116">
        <f t="shared" si="313"/>
        <v>0</v>
      </c>
      <c r="DH201" s="1116">
        <f t="shared" si="314"/>
        <v>0</v>
      </c>
      <c r="DI201" s="1116">
        <f t="shared" si="315"/>
        <v>0</v>
      </c>
      <c r="DJ201" s="442">
        <f t="shared" si="316"/>
        <v>0</v>
      </c>
      <c r="DK201" s="1109">
        <f t="shared" si="317"/>
        <v>0</v>
      </c>
      <c r="DL201" s="1101">
        <f t="shared" si="318"/>
        <v>0</v>
      </c>
      <c r="DM201" s="1097">
        <f t="shared" si="319"/>
        <v>0</v>
      </c>
      <c r="DN201" s="1097">
        <f t="shared" si="320"/>
        <v>0</v>
      </c>
      <c r="DO201" s="1097">
        <f t="shared" si="321"/>
        <v>0</v>
      </c>
      <c r="DP201" s="1110">
        <f t="shared" si="322"/>
        <v>0</v>
      </c>
      <c r="DQ201" s="1113" t="s">
        <v>635</v>
      </c>
      <c r="DR201" s="1120">
        <f t="shared" si="323"/>
        <v>0.3</v>
      </c>
      <c r="DS201" s="1124"/>
      <c r="DT201" s="1093" t="s">
        <v>564</v>
      </c>
      <c r="DU201" s="1093"/>
      <c r="DV201" s="1098">
        <f>IF($P201="","N/A",IF(P201=-1,INDEX('卡片raw data'!AN:AN,MATCH(D201,'卡片raw data'!$F:$F,)),0)+IF(AND(L201&lt;&gt;"party卡",P201&lt;=2,P201&gt;=0),INDEX('卡片raw data'!AP:AP,MATCH(D201,'卡片raw data'!$F:$F,)),0)+IF(OR(AND(L201="party卡",P201&lt;=1),AND(P201&lt;=4,L201&lt;&gt;"party卡",P201&gt;=3)),INDEX('卡片raw data'!AQ:AQ,MATCH(D201,'卡片raw data'!$F:$F,)),0)+IF(OR(P201=5,AND(L201="party卡",P201&gt;=2)),INDEX('卡片raw data'!AR:AR,MATCH(D201,'卡片raw data'!$F:$F,)),0))</f>
        <v>0.28999999999999998</v>
      </c>
      <c r="DW201" s="1098">
        <f t="shared" si="324"/>
        <v>0.3</v>
      </c>
      <c r="DX201" s="1098">
        <f t="shared" si="325"/>
        <v>0.3</v>
      </c>
      <c r="DY201" s="1125">
        <f t="shared" si="326"/>
        <v>332.83477695852798</v>
      </c>
      <c r="DZ201" s="1125">
        <f t="shared" si="327"/>
        <v>287.90208206912672</v>
      </c>
      <c r="EA201" s="1098">
        <f t="shared" si="328"/>
        <v>0</v>
      </c>
      <c r="EB201" s="1121">
        <f t="shared" si="329"/>
        <v>0</v>
      </c>
      <c r="EC201" s="1101">
        <f t="shared" si="330"/>
        <v>0</v>
      </c>
      <c r="ED201" s="1097">
        <f t="shared" si="331"/>
        <v>0</v>
      </c>
      <c r="EE201" s="1110">
        <f t="shared" si="332"/>
        <v>39685.198250321897</v>
      </c>
      <c r="EF201" s="1092" t="s">
        <v>711</v>
      </c>
      <c r="EG201" s="1120">
        <f t="shared" si="333"/>
        <v>0.3</v>
      </c>
      <c r="EH201" s="1124"/>
      <c r="EI201" s="1093"/>
      <c r="EJ201" s="1093"/>
      <c r="EK201" s="1097">
        <f>IF($P201="","N/A",IF(P201=-1,INDEX('卡片raw data'!AS:AS,MATCH(D201,'卡片raw data'!$F:$F,)),0)+IF(AND(L201&lt;&gt;"party卡",P201&lt;=2,P201&gt;=0),INDEX('卡片raw data'!AU:AU,MATCH(D201,'卡片raw data'!$F:$F,)),0)+IF(OR(AND(L201="party卡",P201&lt;=1),AND(P201&lt;=4,L201&lt;&gt;"party卡",P201&gt;=3)),INDEX('卡片raw data'!AV:AV,MATCH(D201,'卡片raw data'!$F:$F,)),0)+IF(OR(P201=5,AND(L201="party卡",P201&gt;=2)),INDEX('卡片raw data'!AW:AW,MATCH(D201,'卡片raw data'!$F:$F,)),0))</f>
        <v>0</v>
      </c>
      <c r="EL201" s="1098">
        <f t="shared" si="334"/>
        <v>0.3</v>
      </c>
      <c r="EM201" s="1098">
        <f t="shared" si="335"/>
        <v>0.3</v>
      </c>
      <c r="EN201" s="1125">
        <f t="shared" si="336"/>
        <v>0</v>
      </c>
      <c r="EO201" s="1125">
        <f t="shared" si="337"/>
        <v>0</v>
      </c>
      <c r="EP201" s="1098">
        <f t="shared" si="338"/>
        <v>0</v>
      </c>
      <c r="EQ201" s="1121">
        <f t="shared" si="339"/>
        <v>0</v>
      </c>
      <c r="ER201" s="1101">
        <f t="shared" si="340"/>
        <v>0</v>
      </c>
      <c r="ES201" s="1097">
        <f t="shared" si="341"/>
        <v>0</v>
      </c>
      <c r="ET201" s="1122">
        <f t="shared" si="342"/>
        <v>0</v>
      </c>
    </row>
    <row r="202" spans="2:150" ht="16.5" customHeight="1">
      <c r="B202" s="1123" t="str">
        <f>INDEX('卡片raw data'!B:B,MATCH($D202,'卡片raw data'!$F:$F,))</f>
        <v>fes1花</v>
      </c>
      <c r="C202" s="449" t="s">
        <v>22</v>
      </c>
      <c r="D202" s="408">
        <v>199</v>
      </c>
      <c r="E202" s="1090">
        <v>200083001</v>
      </c>
      <c r="F202" s="1090" t="str">
        <f>INDEX('卡片raw data'!C:C,MATCH($D202,'卡片raw data'!$F:$F,))</f>
        <v>UR</v>
      </c>
      <c r="G202" s="1091" t="s">
        <v>31</v>
      </c>
      <c r="H202" s="411">
        <f>IFERROR(INDEX(绊状态确认!C:C,MATCH($G202,绊状态确认!$B:$B,)),"")</f>
        <v>8</v>
      </c>
      <c r="I202" s="450" t="str">
        <f>IFERROR(INDEX(绊状态确认!D:D,MATCH($G202,绊状态确认!$B:$B,)),"")</f>
        <v>缪</v>
      </c>
      <c r="J202" s="450" t="str">
        <f>IFERROR(INDEX(绊状态确认!E:E,MATCH($G202,绊状态确认!$B:$B,)),"")</f>
        <v>1年级</v>
      </c>
      <c r="K202" s="451" t="str">
        <f>IFERROR(INDEX(绊状态确认!F:F,MATCH($G202,绊状态确认!$B:$B,)),"")</f>
        <v>Printemps</v>
      </c>
      <c r="L202" s="1094" t="str">
        <f>INDEX('卡片raw data'!E:E,MATCH($D202,'卡片raw data'!$F:$F,))</f>
        <v>fes卡</v>
      </c>
      <c r="M202" s="415">
        <v>43921</v>
      </c>
      <c r="N202" s="416">
        <v>12.5</v>
      </c>
      <c r="O202" s="1091" t="str">
        <f>INDEX('卡片raw data'!D:D,MATCH($D202,'卡片raw data'!$F:$F,))</f>
        <v>sk</v>
      </c>
      <c r="P202" s="417">
        <v>5</v>
      </c>
      <c r="Q202" s="1095">
        <f t="shared" si="258"/>
        <v>61178.210674661794</v>
      </c>
      <c r="R202" s="1096">
        <f t="shared" si="259"/>
        <v>0.71099999999999997</v>
      </c>
      <c r="S202" s="1097">
        <f t="shared" si="260"/>
        <v>20731.265285940593</v>
      </c>
      <c r="T202" s="1098">
        <f t="shared" si="261"/>
        <v>1.036</v>
      </c>
      <c r="U202" s="1099">
        <f t="shared" si="262"/>
        <v>14.823547217142854</v>
      </c>
      <c r="V202" s="1100">
        <f t="shared" si="263"/>
        <v>64367.64869791107</v>
      </c>
      <c r="W202" s="1101">
        <f t="shared" si="264"/>
        <v>7312.5259680044001</v>
      </c>
      <c r="X202" s="1096">
        <f t="shared" si="265"/>
        <v>8.5000000000000006E-2</v>
      </c>
      <c r="Y202" s="1097">
        <f t="shared" si="266"/>
        <v>1189.4380232492786</v>
      </c>
      <c r="Z202" s="1102">
        <f t="shared" si="267"/>
        <v>14.823547217142854</v>
      </c>
      <c r="AA202" s="1103">
        <f t="shared" si="268"/>
        <v>8501.9639912536786</v>
      </c>
      <c r="AB202" s="1101">
        <f t="shared" si="269"/>
        <v>10660.830987056797</v>
      </c>
      <c r="AC202" s="1104">
        <f t="shared" si="270"/>
        <v>0.123</v>
      </c>
      <c r="AD202" s="1105">
        <f t="shared" si="271"/>
        <v>2.1769318181818181E-2</v>
      </c>
      <c r="AE202" s="1128">
        <f t="shared" si="272"/>
        <v>11.953757704745847</v>
      </c>
      <c r="AF202" s="1130">
        <f t="shared" si="273"/>
        <v>0</v>
      </c>
      <c r="AG202" s="420">
        <f t="shared" si="274"/>
        <v>0</v>
      </c>
      <c r="AH202" s="420">
        <f t="shared" si="275"/>
        <v>0</v>
      </c>
      <c r="AI202" s="1097">
        <f t="shared" si="276"/>
        <v>0</v>
      </c>
      <c r="AJ202" s="420">
        <f t="shared" si="277"/>
        <v>0</v>
      </c>
      <c r="AK202" s="518">
        <f t="shared" si="278"/>
        <v>0</v>
      </c>
      <c r="AL202" s="1106">
        <f>IF($P202="","N/A",(IF($P202=-1,INDEX('卡片raw data'!S:S,MATCH($D202,'卡片raw data'!$F:$F,)),0)+IF($P202=0,INDEX('卡片raw data'!V:V,MATCH($D202,'卡片raw data'!$F:$F,)),0)+IF($P202=1,INDEX('卡片raw data'!Y:Y,MATCH($D202,'卡片raw data'!$F:$F,)),0)+IF($P202=2,INDEX('卡片raw data'!AB:AB,MATCH($D202,'卡片raw data'!$F:$F,)),0)+IF($P202=3,INDEX('卡片raw data'!AE:AE,MATCH($D202,'卡片raw data'!$F:$F,)),0)+IF($P202=4,INDEX('卡片raw data'!AH:AH,MATCH($D202,'卡片raw data'!$F:$F,)),0)+IF($P202=5,INDEX('卡片raw data'!AK:AK,MATCH($D202,'卡片raw data'!$F:$F,)),0)+INDEX('卡片raw data'!S:S,MATCH($D202,'卡片raw data'!$F:$F,))*(IF($F202="UR",0.04,0.033))*(IF($F202="UR",INDEX(绊状态确认!$S:$S,MATCH($G202,绊状态确认!$B:$B,))/2-40)+IF($F202="SR",INDEX(绊状态确认!$R:$R,MATCH($G202,绊状态确认!$B:$B,))/4-15))+IF($F202="R",INDEX(绊状态确认!$Q:$Q,MATCH($G202,绊状态确认!$B:$B,))/6-40/6)))*(INDEX(绊状态确认!$H:$H,MATCH($G202,绊状态确认!$B:$B,))+INDEX(绊状态确认!J:J,MATCH($G202,绊状态确认!$B:$B,)))</f>
        <v>13118.601599999998</v>
      </c>
      <c r="AM202" s="1106">
        <f>IF($P202="","N/A",(IF($P202=-1,INDEX('卡片raw data'!T:T,MATCH($D202,'卡片raw data'!$F:$F,)),0)+IF($P202=0,INDEX('卡片raw data'!W:W,MATCH($D202,'卡片raw data'!$F:$F,)),0)+IF($P202=1,INDEX('卡片raw data'!Z:Z,MATCH($D202,'卡片raw data'!$F:$F,)),0)+IF($P202=2,INDEX('卡片raw data'!AC:AC,MATCH($D202,'卡片raw data'!$F:$F,)),0)+IF($P202=3,INDEX('卡片raw data'!AF:AF,MATCH($D202,'卡片raw data'!$F:$F,)),0)+IF($P202=4,INDEX('卡片raw data'!AI:AI,MATCH($D202,'卡片raw data'!$F:$F,)),0)+IF($P202=5,INDEX('卡片raw data'!AL:AL,MATCH($D202,'卡片raw data'!$F:$F,)),0)+INDEX('卡片raw data'!T:T,MATCH($D202,'卡片raw data'!$F:$F,))*(IF($F202="UR",0.04,0.033))*(IF($F202="UR",INDEX(绊状态确认!$S:$S,MATCH($G202,绊状态确认!$B:$B,))/2-40)+IF($F202="SR",INDEX(绊状态确认!$R:$R,MATCH($G202,绊状态确认!$B:$B,))/4-15))+IF($F202="R",INDEX(绊状态确认!$Q:$Q,MATCH($G202,绊状态确认!$B:$B,))/6-40/6)))*(INDEX(绊状态确认!$H:$H,MATCH($G202,绊状态确认!$B:$B,))+INDEX(绊状态确认!K:K,MATCH($G202,绊状态确认!$B:$B,)))</f>
        <v>8154.8063999999986</v>
      </c>
      <c r="AN202" s="1106">
        <f>IF($P202="","N/A",(IF($P202=-1,INDEX('卡片raw data'!U:U,MATCH($D202,'卡片raw data'!$F:$F,)),0)+IF($P202=0,INDEX('卡片raw data'!X:X,MATCH($D202,'卡片raw data'!$F:$F,)),0)+IF($P202=1,INDEX('卡片raw data'!AA:AA,MATCH($D202,'卡片raw data'!$F:$F,)),0)+IF($P202=2,INDEX('卡片raw data'!AD:AD,MATCH($D202,'卡片raw data'!$F:$F,)),0)+IF($P202=3,INDEX('卡片raw data'!AG:AG,MATCH($D202,'卡片raw data'!$F:$F,)),0)+IF($P202=4,INDEX('卡片raw data'!AJ:AJ,MATCH($D202,'卡片raw data'!$F:$F,)),0)+IF($P202=5,INDEX('卡片raw data'!AM:AM,MATCH($D202,'卡片raw data'!$F:$F,)),0)+INDEX('卡片raw data'!U:U,MATCH($D202,'卡片raw data'!$F:$F,))*(IF($F202="UR",0.04,0.033))*(IF($F202="UR",INDEX(绊状态确认!$S:$S,MATCH($G202,绊状态确认!$B:$B,))/2-40)+IF($F202="SR",INDEX(绊状态确认!$R:$R,MATCH($G202,绊状态确认!$B:$B,))/4-15))+IF($F202="R",INDEX(绊状态确认!$Q:$Q,MATCH($G202,绊状态确认!$B:$B,))/6-40/6)))*(INDEX(绊状态确认!$H:$H,MATCH($G202,绊状态确认!$B:$B,))+INDEX(绊状态确认!L:L,MATCH($G202,绊状态确认!$B:$B,)))</f>
        <v>14182.271999999999</v>
      </c>
      <c r="AO202" s="1107">
        <f t="shared" si="279"/>
        <v>1</v>
      </c>
      <c r="AP202" s="1131">
        <f>1+(INDEX(绊状态确认!$T:$T,MATCH($G202,绊状态确认!$B:$B,))+0.2)*$AO202</f>
        <v>1.3</v>
      </c>
      <c r="AQ202" s="1108">
        <f t="shared" si="280"/>
        <v>37686.329199999993</v>
      </c>
      <c r="AR202" s="1097">
        <f>(AM202*(1+$EX$9)+$EX$35)*(1+(INDEX(绊状态确认!$T:$T,MATCH($G202,绊状态确认!$B:$B,))+0.2)*AO202)*IF(J202=$FF$17,1+$FE$17,1)*IF(I202=$FF$14,1+$FE$14,1)*(1+$FE$15)</f>
        <v>13835.310735999998</v>
      </c>
      <c r="AS202" s="1097">
        <f>(AN202*(1+$EX$10)+$EX$36)*(1+(INDEX(绊状态确认!$T:$T,MATCH($G202,绊状态确认!$B:$B,))+0.2)*AO202)*IF(J202=$FF$17,1+$FE$17,1)*IF(I202=$FF$14,1+$FE$14,1)*(1+$FE$15)</f>
        <v>25258.496639999994</v>
      </c>
      <c r="AT202" s="1093">
        <f>IF(AND(INDEX('卡片raw data'!AK:AK,MATCH($D202,'卡片raw data'!$F:$F,))&lt;INDEX('卡片raw data'!AM:AM,MATCH($D202,'卡片raw data'!$F:$F,)),INDEX('卡片raw data'!AL:AL,MATCH($D202,'卡片raw data'!$F:$F,))&lt;INDEX('卡片raw data'!AM:AM,MATCH($D202,'卡片raw data'!$F:$F,))),1,0)</f>
        <v>1</v>
      </c>
      <c r="AU202" s="1098">
        <f>MIN(AT202*0.15+AS202*0.00003+INDEX(绊状态确认!M:M,MATCH($G202,绊状态确认!$B:$B,)),1)</f>
        <v>0.93775489919999988</v>
      </c>
      <c r="AV202" s="1109">
        <f>(INDEX(绊状态确认!$N:$N,MATCH($G202,绊状态确认!$B:$B,))+1.5)*$EW$21</f>
        <v>2.6599999999999997</v>
      </c>
      <c r="AW202" s="1101">
        <f t="shared" si="281"/>
        <v>50039.897211924042</v>
      </c>
      <c r="AX202" s="1097">
        <f t="shared" si="282"/>
        <v>1189.4380232492788</v>
      </c>
      <c r="AY202" s="1110">
        <f t="shared" si="283"/>
        <v>51229.335235173319</v>
      </c>
      <c r="AZ202" s="429">
        <f t="shared" si="284"/>
        <v>28181.273119999994</v>
      </c>
      <c r="BA202" s="431">
        <f t="shared" si="285"/>
        <v>33817.527743999992</v>
      </c>
      <c r="BB202" s="1097">
        <f>(AM202*(1+$FB$9)+$FB$35)*(1+(INDEX(绊状态确认!$T:$T,MATCH($G202,绊状态确认!$B:$B,))+0.2)*AO202)*IF(J202=$FF$17,1+$FE$17,1)*IF(I202=$FF$14,1+$FE$14,1)*(1+$FE$15)</f>
        <v>13835.310735999998</v>
      </c>
      <c r="BC202" s="1097">
        <f>(AN202*(1+$FB$10)+$FB$36)*(1+(INDEX(绊状态确认!$T:$T,MATCH($G202,绊状态确认!$B:$B,))+0.2)*AO202)*IF(J202=$FF$17,1+$FE$17,1)*IF(I202=$FF$14,1+$FE$14,1)*(1+$FE$15)</f>
        <v>25258.496639999994</v>
      </c>
      <c r="BD202" s="1104">
        <f>MIN(AT202*0.15+BC202*0.00003+INDEX(绊状态确认!M:M,MATCH($G202,绊状态确认!$B:$B,)),1)</f>
        <v>0.93775489919999988</v>
      </c>
      <c r="BE202" s="432">
        <f>(INDEX(绊状态确认!$N:$N,MATCH($G202,绊状态确认!$B:$B,))+1.5)</f>
        <v>1.9</v>
      </c>
      <c r="BF202" s="1139">
        <f t="array" ref="BF202">SUMPRODUCT(IF(AZ202*AP202*$FI$16:$FI$23*$FA$22&gt;=$FI$24,$FI$24,AZ202*AP202*$FI$16:$FI$23*$FA$22),$FJ$16:$FJ$23)</f>
        <v>54269.298505439998</v>
      </c>
      <c r="BG202" s="1125">
        <f t="array" ref="BG202">SUMPRODUCT(IF(BE202*AZ202*AP202*$FI$16:$FI$23*$FA$22&gt;=$FI$24,$FI$24,BE202*AZ202*AP202*$FI$16:$FI$23*$FA$22),$FJ$16:$FJ$23)</f>
        <v>60000</v>
      </c>
      <c r="BH202" s="1110">
        <f t="shared" si="286"/>
        <v>19881.097302605467</v>
      </c>
      <c r="BI202" s="1111">
        <f>IF(O202="vo",$EW$26/$EW$24*0.05,0)+IF(O202="sk",-$EW$26/$EW$24*(0.05-INDEX(绊状态确认!W:W,MATCH($G202,绊状态确认!$B:$B,)))+0.05*$EW$28,0)+IF(O202="sp",0.05*$EW$32*$EW$30*(1-$EW$33)-(0.05-INDEX(绊状态确认!V:V,MATCH($G202,绊状态确认!$B:$B,)))*$EW$28,0)+IF(O202="gd",-(0.05-INDEX(绊状态确认!X:X,MATCH($G202,绊状态确认!$B:$B,)))*$EW$32*$EW$30*(1-$EW$33),0)</f>
        <v>-6253.6726349699375</v>
      </c>
      <c r="BJ202" s="1097">
        <f>IF(O202="vo",0.05*(1-$FI$26)*$FA$24,0)+IF(O202="sk",-(0.05-INDEX(绊状态确认!W:W,MATCH($G202,绊状态确认!$B:$B,)))*(1-$FI$26)*$FA$24+0.05*$FA$26,0)+IF(O202="sp",0.05*$FA$32*$FA$27*(1-$FA$33)/$FA$30+0.05*$FA$29/$FA$69*$FA$27*(1-$FA$33)-(0.05-INDEX(绊状态确认!V:V,MATCH($G202,绊状态确认!$B:$B,)))*$FA$26,0)+IF(O202="gd",-(0.05-INDEX(绊状态确认!X:X,MATCH($G202,绊状态确认!$B:$B,)))*$FA$32*$FA$27*(1-$FA$33)/$FA$30-(0.05-INDEX(绊状态确认!X:X,MATCH($G202,绊状态确认!$B:$B,)))*$FA$29/$FA$69*$FA$27*(1-$FA$33),0)</f>
        <v>20.459096812499922</v>
      </c>
      <c r="BK202" s="1110">
        <f>IF(O202="vo",$EW$26/$EW$24*0.05+$EW$26*(-HP($EW$62,$EW$65,$EW$64)+HP($EW$62,$EW$65,(1.05-INDEX(绊状态确认!U:U,MATCH($G202,绊状态确认!$B:$B,)))*$EW$64)),0)+IF(O202="sk",-$EW$26/$EW$24*(0.05-INDEX(绊状态确认!W:W,MATCH($G202,绊状态确认!$B:$B,)))+0.05*$EW$29,0)+IF(O202="sp",0.05*$EW$32*$EW$30*(1-$EW$33)-(0.05-INDEX(绊状态确认!V:V,MATCH($G202,绊状态确认!$B:$B,)))*$EW$29,0)+IF(O202="gd",-(0.05-INDEX(绊状态确认!X:X,MATCH($G202,绊状态确认!$B:$B,)))*$EW$32*$EW$30*(1-$EW$33)+$EW$26*(-HP($EW$62,$EW$65,$EW$64)+HP($EW$62,$EW$65,0.95*$EW$64)),0)</f>
        <v>-4253.6726349699375</v>
      </c>
      <c r="BL202" s="1111">
        <f t="shared" si="287"/>
        <v>0</v>
      </c>
      <c r="BM202" s="1110">
        <f t="shared" si="288"/>
        <v>0</v>
      </c>
      <c r="BN202" s="1113">
        <f t="shared" si="289"/>
        <v>4</v>
      </c>
      <c r="BO202" s="1097">
        <f t="shared" si="290"/>
        <v>6010.2953161679998</v>
      </c>
      <c r="BP202" s="1100">
        <f t="shared" si="291"/>
        <v>295.12137612040135</v>
      </c>
      <c r="BQ202" s="1113" t="s">
        <v>143</v>
      </c>
      <c r="BR202" s="1124" t="s">
        <v>148</v>
      </c>
      <c r="BS202" s="1098">
        <f>IF($P202="","N/A",IF($P202=-1,INDEX('卡片raw data'!AX:AX,MATCH($D202,'卡片raw data'!$F:$F,)),0)+IF($L202="party卡",IF($P202=5,INDEX('卡片raw data'!BD:BD,MATCH($D202,'卡片raw data'!$F:$F,)),IF($P202&gt;=3,INDEX('卡片raw data'!BC:BC,MATCH($D202,'卡片raw data'!$F:$F,)),INDEX('卡片raw data'!BB:BB,MATCH($D202,'卡片raw data'!$F:$F,)))),IF(OR(AND($F202="UR",$P202=0),AND($F202="SR",$P202&gt;=0,$P202&lt;=2),AND($F202="R",$P202&gt;=0,$P202&lt;4)),INDEX('卡片raw data'!AZ:AZ,MATCH($D202,'卡片raw data'!$F:$F,)),0)+IF(OR(AND($F202="UR",$P202&gt;=1,$P202&lt;=4),AND($F202="SR",$P202&lt;=4,$P202&gt;=3),AND($F202="R",$P202=4)),INDEX('卡片raw data'!BA:BA,MATCH($D202,'卡片raw data'!$F:$F,)),0)+IF($P202=5,INDEX('卡片raw data'!BB:BB,MATCH($D202,'卡片raw data'!$F:$F,)),0)))</f>
        <v>5.1999999999999998E-2</v>
      </c>
      <c r="BT202" s="1101">
        <f t="shared" si="292"/>
        <v>2604.4613036728001</v>
      </c>
      <c r="BU202" s="1097">
        <f t="shared" si="293"/>
        <v>111.90018844565216</v>
      </c>
      <c r="BV202" s="1097">
        <f t="shared" si="294"/>
        <v>1302.2306518363998</v>
      </c>
      <c r="BW202" s="1112">
        <f t="shared" si="295"/>
        <v>0</v>
      </c>
      <c r="BX202" s="1100">
        <f t="shared" si="296"/>
        <v>2604.4613036728001</v>
      </c>
      <c r="BY202" s="1110">
        <f t="shared" si="297"/>
        <v>1302.2306518363998</v>
      </c>
      <c r="BZ202" s="1107" t="s">
        <v>569</v>
      </c>
      <c r="CA202" s="1124"/>
      <c r="CB202" s="1098">
        <f>IF($P202="","N/A",IF($P202=-1,INDEX('卡片raw data'!BE:BE,MATCH($D202,'卡片raw data'!$F:$F,)),0)+IF($L202="party卡",IF($P202=5,INDEX('卡片raw data'!BK:BK,MATCH($D202,'卡片raw data'!$F:$F,)),IF($P202&gt;=3,INDEX('卡片raw data'!BJ:BJ,MATCH($D202,'卡片raw data'!$F:$F,)),INDEX('卡片raw data'!BI:BI,MATCH($D202,'卡片raw data'!$F:$F,)))),IF(OR(AND($F202="UR",$P202=0),AND($F202="SR",$P202&gt;=0,$P202&lt;=2),AND($F202="R",$P202&gt;=0,$P202&lt;4)),INDEX('卡片raw data'!BG:BG,MATCH($D202,'卡片raw data'!$F:$F,)),0)+IF(OR(AND($F202="UR",$P202&gt;=1,$P202&lt;=4),AND($F202="SR",$P202&lt;=4,$P202&gt;=3),AND($F202="R",$P202=4)),INDEX('卡片raw data'!BH:BH,MATCH($D202,'卡片raw data'!$F:$F,)),0)+IF($P202=5,INDEX('卡片raw data'!BI:BI,MATCH($D202,'卡片raw data'!$F:$F,)),0)))</f>
        <v>0</v>
      </c>
      <c r="CC202" s="1101">
        <f t="shared" si="298"/>
        <v>0</v>
      </c>
      <c r="CD202" s="1097">
        <f>IF(BZ202="ap",CB202*(1-$FI$26)*$FB$5/$FB$11*(+IF(CA202="全员",$FA$24,0)+IF(CA202="同作战",$FA$24,0)+IF(CA202="仲间",$FA$24*2/3,0)+IF(CA202="同属性",$FA$24*$FA$37/3,0)+IF(CA202="同年级",$FA$24*$FA$40/3,0)+IF(CA202="同学校",$FA$24*$FA$43/3,0)+IF(CA202="同小队",$FA$24*$FA$46/3,0)+IF(CA202="同type",$FA$24*INDEX($FB$49:$FB$52,MATCH(X202,$FA$49:$FA$52,))/3,0)+IF(CA202="自身",#REF!/3,0)),0)+IF(BZ202="te",CB202*(1-$FI$27)*($FA$20-1)*$FB$7/$FB$13*(+IF(CA202="全员",$FA$19*$FA$24/(1+($FA$20-1)*$FA$19),0)+IF(CA202="同作战",$FA$19*$FA$24/(1+($FA$20-1)*$FA$19),0)+IF(CA202="仲间",$FA$19*$FA$24*2/3/(1+($FA$20-1)*$FA$19),0)+IF(CA202="同属性",$FA$19*$FA$24*$FA$37/3/(1+($FA$20-1)*$FA$19),0)+IF(CA202="同年级",$FA$19*$FA$24*$FA$40/3/(1+($FA$20-1)*$FA$19),0)+IF(CA202="同学校",$FA$19*$FA$24*$FA$43/3/(1+($FA$20-1)*$FA$19),0)+IF(CA202="同小队",$FA$19*$FA$24*$FA$46/3/(1+($FA$20-1)*$FA$19),0)+IF(CA202="同type",$FA$19*$FA$24*INDEX($FB$49:$FB$52,MATCH(X202,$FA$49:$FA$52,))/3/(1+($FA$20-1)*$FA$19),0)+IF(CA202="自身",$FA$19*#REF!/3/(1+(BH202-1)*$BD202),0)),0)</f>
        <v>0</v>
      </c>
      <c r="CE202" s="1097">
        <f t="shared" si="299"/>
        <v>0</v>
      </c>
      <c r="CF202" s="1112">
        <f t="shared" si="300"/>
        <v>0</v>
      </c>
      <c r="CG202" s="1100">
        <f t="shared" si="301"/>
        <v>0</v>
      </c>
      <c r="CH202" s="1110">
        <f t="shared" si="302"/>
        <v>0</v>
      </c>
      <c r="CI202" s="1113" t="s">
        <v>172</v>
      </c>
      <c r="CJ202" s="1114">
        <v>0.2</v>
      </c>
      <c r="CK202" s="1115" t="s">
        <v>1114</v>
      </c>
      <c r="CL202" s="1115" t="s">
        <v>168</v>
      </c>
      <c r="CM202" s="1119">
        <v>0.1</v>
      </c>
      <c r="CN202" s="1115">
        <v>3</v>
      </c>
      <c r="CO202" s="1092"/>
      <c r="CP202" s="1118">
        <f t="shared" si="303"/>
        <v>1.7483006720000013E-2</v>
      </c>
      <c r="CQ202" s="1118">
        <f t="shared" si="304"/>
        <v>1.7483006720000013E-2</v>
      </c>
      <c r="CR202" s="1118">
        <f t="shared" si="305"/>
        <v>0</v>
      </c>
      <c r="CS202" s="1118">
        <f t="shared" si="306"/>
        <v>0</v>
      </c>
      <c r="CT202" s="1109">
        <f t="shared" si="307"/>
        <v>0</v>
      </c>
      <c r="CU202" s="1101">
        <f t="shared" si="308"/>
        <v>2046.0743672159979</v>
      </c>
      <c r="CV202" s="1108">
        <f t="shared" si="309"/>
        <v>141.56593080414927</v>
      </c>
      <c r="CW202" s="1097">
        <f t="shared" si="310"/>
        <v>0</v>
      </c>
      <c r="CX202" s="1097">
        <f t="shared" si="311"/>
        <v>2046.0743672159979</v>
      </c>
      <c r="CY202" s="1110">
        <f t="shared" si="312"/>
        <v>0</v>
      </c>
      <c r="CZ202" s="437"/>
      <c r="DA202" s="438"/>
      <c r="DB202" s="439" t="s">
        <v>569</v>
      </c>
      <c r="DC202" s="439"/>
      <c r="DD202" s="443"/>
      <c r="DE202" s="411"/>
      <c r="DF202" s="411"/>
      <c r="DG202" s="1116">
        <f t="shared" si="313"/>
        <v>0</v>
      </c>
      <c r="DH202" s="1116">
        <f t="shared" si="314"/>
        <v>0</v>
      </c>
      <c r="DI202" s="1116">
        <f t="shared" si="315"/>
        <v>0</v>
      </c>
      <c r="DJ202" s="442">
        <f t="shared" si="316"/>
        <v>0</v>
      </c>
      <c r="DK202" s="1109">
        <f t="shared" si="317"/>
        <v>0</v>
      </c>
      <c r="DL202" s="1101">
        <f t="shared" si="318"/>
        <v>0</v>
      </c>
      <c r="DM202" s="1097">
        <f t="shared" si="319"/>
        <v>0</v>
      </c>
      <c r="DN202" s="1097">
        <f t="shared" si="320"/>
        <v>0</v>
      </c>
      <c r="DO202" s="1097">
        <f t="shared" si="321"/>
        <v>0</v>
      </c>
      <c r="DP202" s="1110">
        <f t="shared" si="322"/>
        <v>0</v>
      </c>
      <c r="DQ202" s="1113" t="s">
        <v>153</v>
      </c>
      <c r="DR202" s="1120">
        <f t="shared" si="323"/>
        <v>0.33</v>
      </c>
      <c r="DS202" s="1124">
        <v>5</v>
      </c>
      <c r="DT202" s="1093" t="s">
        <v>168</v>
      </c>
      <c r="DU202" s="1093" t="s">
        <v>544</v>
      </c>
      <c r="DV202" s="1098">
        <f>IF($P202="","N/A",IF(P202=-1,INDEX('卡片raw data'!AN:AN,MATCH(D202,'卡片raw data'!$F:$F,)),0)+IF(AND(L202&lt;&gt;"party卡",P202&lt;=2,P202&gt;=0),INDEX('卡片raw data'!AP:AP,MATCH(D202,'卡片raw data'!$F:$F,)),0)+IF(OR(AND(L202="party卡",P202&lt;=1),AND(P202&lt;=4,L202&lt;&gt;"party卡",P202&gt;=3)),INDEX('卡片raw data'!AQ:AQ,MATCH(D202,'卡片raw data'!$F:$F,)),0)+IF(OR(P202=5,AND(L202="party卡",P202&gt;=2)),INDEX('卡片raw data'!AR:AR,MATCH(D202,'卡片raw data'!$F:$F,)),0))</f>
        <v>0.09</v>
      </c>
      <c r="DW202" s="1098">
        <f t="shared" si="324"/>
        <v>0.33</v>
      </c>
      <c r="DX202" s="1098">
        <f t="shared" si="325"/>
        <v>0.33</v>
      </c>
      <c r="DY202" s="1098">
        <f t="shared" si="326"/>
        <v>4.9500000000000002E-2</v>
      </c>
      <c r="DZ202" s="1098">
        <f t="shared" si="327"/>
        <v>4.2817500000000001E-2</v>
      </c>
      <c r="EA202" s="1098">
        <f t="shared" si="328"/>
        <v>0</v>
      </c>
      <c r="EB202" s="1121">
        <f t="shared" si="329"/>
        <v>0</v>
      </c>
      <c r="EC202" s="1101">
        <f t="shared" si="330"/>
        <v>6731.1551106509005</v>
      </c>
      <c r="ED202" s="1097">
        <f t="shared" si="331"/>
        <v>281.12139115242189</v>
      </c>
      <c r="EE202" s="1110">
        <f t="shared" si="332"/>
        <v>6731.1551106509005</v>
      </c>
      <c r="EF202" s="1092" t="s">
        <v>711</v>
      </c>
      <c r="EG202" s="1120">
        <f t="shared" si="333"/>
        <v>0.33</v>
      </c>
      <c r="EH202" s="1124"/>
      <c r="EI202" s="1093"/>
      <c r="EJ202" s="1093"/>
      <c r="EK202" s="1097">
        <f>IF($P202="","N/A",IF(P202=-1,INDEX('卡片raw data'!AS:AS,MATCH(D202,'卡片raw data'!$F:$F,)),0)+IF(AND(L202&lt;&gt;"party卡",P202&lt;=2,P202&gt;=0),INDEX('卡片raw data'!AU:AU,MATCH(D202,'卡片raw data'!$F:$F,)),0)+IF(OR(AND(L202="party卡",P202&lt;=1),AND(P202&lt;=4,L202&lt;&gt;"party卡",P202&gt;=3)),INDEX('卡片raw data'!AV:AV,MATCH(D202,'卡片raw data'!$F:$F,)),0)+IF(OR(P202=5,AND(L202="party卡",P202&gt;=2)),INDEX('卡片raw data'!AW:AW,MATCH(D202,'卡片raw data'!$F:$F,)),0))</f>
        <v>0</v>
      </c>
      <c r="EL202" s="1098">
        <f t="shared" si="334"/>
        <v>0.33</v>
      </c>
      <c r="EM202" s="1098">
        <f t="shared" si="335"/>
        <v>0.33</v>
      </c>
      <c r="EN202" s="1125">
        <f t="shared" si="336"/>
        <v>0</v>
      </c>
      <c r="EO202" s="1125">
        <f t="shared" si="337"/>
        <v>0</v>
      </c>
      <c r="EP202" s="1098">
        <f t="shared" si="338"/>
        <v>0</v>
      </c>
      <c r="EQ202" s="1121">
        <f t="shared" si="339"/>
        <v>0</v>
      </c>
      <c r="ER202" s="1101">
        <f t="shared" si="340"/>
        <v>0</v>
      </c>
      <c r="ES202" s="1097">
        <f t="shared" si="341"/>
        <v>0</v>
      </c>
      <c r="ET202" s="1122">
        <f t="shared" si="342"/>
        <v>0</v>
      </c>
    </row>
    <row r="203" spans="2:150" ht="16.5" customHeight="1">
      <c r="B203" s="1123" t="str">
        <f>INDEX('卡片raw data'!B:B,MATCH($D203,'卡片raw data'!$F:$F,))</f>
        <v>fes1丸</v>
      </c>
      <c r="C203" s="449" t="s">
        <v>69</v>
      </c>
      <c r="D203" s="408">
        <v>200</v>
      </c>
      <c r="E203" s="1090">
        <v>201073001</v>
      </c>
      <c r="F203" s="1090" t="str">
        <f>INDEX('卡片raw data'!C:C,MATCH($D203,'卡片raw data'!$F:$F,))</f>
        <v>UR</v>
      </c>
      <c r="G203" s="1094" t="s">
        <v>39</v>
      </c>
      <c r="H203" s="411">
        <f>IFERROR(INDEX(绊状态确认!C:C,MATCH($G203,绊状态确认!$B:$B,)),"")</f>
        <v>107</v>
      </c>
      <c r="I203" s="450" t="str">
        <f>IFERROR(INDEX(绊状态确认!D:D,MATCH($G203,绊状态确认!$B:$B,)),"")</f>
        <v>水</v>
      </c>
      <c r="J203" s="450" t="str">
        <f>IFERROR(INDEX(绊状态确认!E:E,MATCH($G203,绊状态确认!$B:$B,)),"")</f>
        <v>1年级</v>
      </c>
      <c r="K203" s="451" t="str">
        <f>IFERROR(INDEX(绊状态确认!F:F,MATCH($G203,绊状态确认!$B:$B,)),"")</f>
        <v>AZALEA</v>
      </c>
      <c r="L203" s="1094" t="str">
        <f>INDEX('卡片raw data'!E:E,MATCH($D203,'卡片raw data'!$F:$F,))</f>
        <v>fes卡</v>
      </c>
      <c r="M203" s="415">
        <v>43921</v>
      </c>
      <c r="N203" s="416">
        <v>12.5</v>
      </c>
      <c r="O203" s="1091" t="str">
        <f>INDEX('卡片raw data'!D:D,MATCH($D203,'卡片raw data'!$F:$F,))</f>
        <v>gd</v>
      </c>
      <c r="P203" s="417">
        <v>5</v>
      </c>
      <c r="Q203" s="1095">
        <f t="shared" si="258"/>
        <v>39188.450713268496</v>
      </c>
      <c r="R203" s="1096">
        <f t="shared" si="259"/>
        <v>0.45500000000000002</v>
      </c>
      <c r="S203" s="1097">
        <f t="shared" si="260"/>
        <v>17934.204929757427</v>
      </c>
      <c r="T203" s="1098">
        <f t="shared" si="261"/>
        <v>0.89600000000000002</v>
      </c>
      <c r="U203" s="1099">
        <f t="shared" si="262"/>
        <v>1104.8745781022496</v>
      </c>
      <c r="V203" s="1100">
        <f t="shared" si="263"/>
        <v>91380.550271990825</v>
      </c>
      <c r="W203" s="1101">
        <f t="shared" si="264"/>
        <v>6010.2953161679998</v>
      </c>
      <c r="X203" s="1096">
        <f t="shared" si="265"/>
        <v>6.9000000000000006E-2</v>
      </c>
      <c r="Y203" s="1097">
        <f t="shared" si="266"/>
        <v>2162.4736965809725</v>
      </c>
      <c r="Z203" s="1102">
        <f t="shared" si="267"/>
        <v>26.695792919742857</v>
      </c>
      <c r="AA203" s="1103">
        <f t="shared" si="268"/>
        <v>8172.7690127489723</v>
      </c>
      <c r="AB203" s="1101">
        <f t="shared" si="269"/>
        <v>6010.2953161679998</v>
      </c>
      <c r="AC203" s="1104">
        <f t="shared" si="270"/>
        <v>6.9000000000000006E-2</v>
      </c>
      <c r="AD203" s="1105">
        <f t="shared" si="271"/>
        <v>0</v>
      </c>
      <c r="AE203" s="1128">
        <f t="shared" si="272"/>
        <v>-6.25</v>
      </c>
      <c r="AF203" s="1130">
        <f t="shared" si="273"/>
        <v>13511.175204643998</v>
      </c>
      <c r="AG203" s="420">
        <f t="shared" si="274"/>
        <v>91516.401608240005</v>
      </c>
      <c r="AH203" s="420">
        <f t="shared" si="275"/>
        <v>6.773385750840121</v>
      </c>
      <c r="AI203" s="1097">
        <f t="shared" si="276"/>
        <v>117573.57715322847</v>
      </c>
      <c r="AJ203" s="420">
        <f t="shared" si="277"/>
        <v>91380.550271990825</v>
      </c>
      <c r="AK203" s="518">
        <f t="shared" si="278"/>
        <v>26193.026881237645</v>
      </c>
      <c r="AL203" s="1106">
        <f>IF($P203="","N/A",(IF($P203=-1,INDEX('卡片raw data'!S:S,MATCH($D203,'卡片raw data'!$F:$F,)),0)+IF($P203=0,INDEX('卡片raw data'!V:V,MATCH($D203,'卡片raw data'!$F:$F,)),0)+IF($P203=1,INDEX('卡片raw data'!Y:Y,MATCH($D203,'卡片raw data'!$F:$F,)),0)+IF($P203=2,INDEX('卡片raw data'!AB:AB,MATCH($D203,'卡片raw data'!$F:$F,)),0)+IF($P203=3,INDEX('卡片raw data'!AE:AE,MATCH($D203,'卡片raw data'!$F:$F,)),0)+IF($P203=4,INDEX('卡片raw data'!AH:AH,MATCH($D203,'卡片raw data'!$F:$F,)),0)+IF($P203=5,INDEX('卡片raw data'!AK:AK,MATCH($D203,'卡片raw data'!$F:$F,)),0)+INDEX('卡片raw data'!S:S,MATCH($D203,'卡片raw data'!$F:$F,))*(IF($F203="UR",0.04,0.033))*(IF($F203="UR",INDEX(绊状态确认!$S:$S,MATCH($G203,绊状态确认!$B:$B,))/2-40)+IF($F203="SR",INDEX(绊状态确认!$R:$R,MATCH($G203,绊状态确认!$B:$B,))/4-15))+IF($F203="R",INDEX(绊状态确认!$Q:$Q,MATCH($G203,绊状态确认!$B:$B,))/6-40/6)))*(INDEX(绊状态确认!$H:$H,MATCH($G203,绊状态确认!$B:$B,))+INDEX(绊状态确认!J:J,MATCH($G203,绊状态确认!$B:$B,)))</f>
        <v>10805.891231999998</v>
      </c>
      <c r="AM203" s="1106">
        <f>IF($P203="","N/A",(IF($P203=-1,INDEX('卡片raw data'!T:T,MATCH($D203,'卡片raw data'!$F:$F,)),0)+IF($P203=0,INDEX('卡片raw data'!W:W,MATCH($D203,'卡片raw data'!$F:$F,)),0)+IF($P203=1,INDEX('卡片raw data'!Z:Z,MATCH($D203,'卡片raw data'!$F:$F,)),0)+IF($P203=2,INDEX('卡片raw data'!AC:AC,MATCH($D203,'卡片raw data'!$F:$F,)),0)+IF($P203=3,INDEX('卡片raw data'!AF:AF,MATCH($D203,'卡片raw data'!$F:$F,)),0)+IF($P203=4,INDEX('卡片raw data'!AI:AI,MATCH($D203,'卡片raw data'!$F:$F,)),0)+IF($P203=5,INDEX('卡片raw data'!AL:AL,MATCH($D203,'卡片raw data'!$F:$F,)),0)+INDEX('卡片raw data'!T:T,MATCH($D203,'卡片raw data'!$F:$F,))*(IF($F203="UR",0.04,0.033))*(IF($F203="UR",INDEX(绊状态确认!$S:$S,MATCH($G203,绊状态确认!$B:$B,))/2-40)+IF($F203="SR",INDEX(绊状态确认!$R:$R,MATCH($G203,绊状态确认!$B:$B,))/4-15))+IF($F203="R",INDEX(绊状态确认!$Q:$Q,MATCH($G203,绊状态确认!$B:$B,))/6-40/6)))*(INDEX(绊状态确认!$H:$H,MATCH($G203,绊状态确认!$B:$B,))+INDEX(绊状态确认!K:K,MATCH($G203,绊状态确认!$B:$B,)))</f>
        <v>13247.196623999998</v>
      </c>
      <c r="AN203" s="1106">
        <f>IF($P203="","N/A",(IF($P203=-1,INDEX('卡片raw data'!U:U,MATCH($D203,'卡片raw data'!$F:$F,)),0)+IF($P203=0,INDEX('卡片raw data'!X:X,MATCH($D203,'卡片raw data'!$F:$F,)),0)+IF($P203=1,INDEX('卡片raw data'!AA:AA,MATCH($D203,'卡片raw data'!$F:$F,)),0)+IF($P203=2,INDEX('卡片raw data'!AD:AD,MATCH($D203,'卡片raw data'!$F:$F,)),0)+IF($P203=3,INDEX('卡片raw data'!AG:AG,MATCH($D203,'卡片raw data'!$F:$F,)),0)+IF($P203=4,INDEX('卡片raw data'!AJ:AJ,MATCH($D203,'卡片raw data'!$F:$F,)),0)+IF($P203=5,INDEX('卡片raw data'!AM:AM,MATCH($D203,'卡片raw data'!$F:$F,)),0)+INDEX('卡片raw data'!U:U,MATCH($D203,'卡片raw data'!$F:$F,))*(IF($F203="UR",0.04,0.033))*(IF($F203="UR",INDEX(绊状态确认!$S:$S,MATCH($G203,绊状态确认!$B:$B,))/2-40)+IF($F203="SR",INDEX(绊状态确认!$R:$R,MATCH($G203,绊状态确认!$B:$B,))/4-15))+IF($F203="R",INDEX(绊状态确认!$Q:$Q,MATCH($G203,绊状态确认!$B:$B,))/6-40/6)))*(INDEX(绊状态确认!$H:$H,MATCH($G203,绊状态确认!$B:$B,))+INDEX(绊状态确认!L:L,MATCH($G203,绊状态确认!$B:$B,)))</f>
        <v>10805.891231999998</v>
      </c>
      <c r="AO203" s="1107">
        <f t="shared" si="279"/>
        <v>1</v>
      </c>
      <c r="AP203" s="1131">
        <f>1+(INDEX(绊状态确认!$T:$T,MATCH($G203,绊状态确认!$B:$B,))+0.2)*$AO203</f>
        <v>1.3</v>
      </c>
      <c r="AQ203" s="1108">
        <f t="shared" si="280"/>
        <v>31615.464483999996</v>
      </c>
      <c r="AR203" s="1097">
        <f>(AM203*(1+$EX$9)+$EX$35)*(1+(INDEX(绊状态确认!$T:$T,MATCH($G203,绊状态确认!$B:$B,))+0.2)*AO203)*IF(J203=$FF$17,1+$FE$17,1)*IF(I203=$FF$14,1+$FE$14,1)*(1+$FE$15)</f>
        <v>20786.42339176</v>
      </c>
      <c r="AS203" s="1097">
        <f>(AN203*(1+$EX$10)+$EX$36)*(1+(INDEX(绊状态确认!$T:$T,MATCH($G203,绊状态确认!$B:$B,))+0.2)*AO203)*IF(J203=$FF$17,1+$FE$17,1)*IF(I203=$FF$14,1+$FE$14,1)*(1+$FE$15)</f>
        <v>20210.807391839997</v>
      </c>
      <c r="AT203" s="1093">
        <f>IF(AND(INDEX('卡片raw data'!AK:AK,MATCH($D203,'卡片raw data'!$F:$F,))&lt;INDEX('卡片raw data'!AM:AM,MATCH($D203,'卡片raw data'!$F:$F,)),INDEX('卡片raw data'!AL:AL,MATCH($D203,'卡片raw data'!$F:$F,))&lt;INDEX('卡片raw data'!AM:AM,MATCH($D203,'卡片raw data'!$F:$F,))),1,0)</f>
        <v>0</v>
      </c>
      <c r="AU203" s="1098">
        <f>MIN(AT203*0.15+AS203*0.00003+INDEX(绊状态确认!M:M,MATCH($G203,绊状态确认!$B:$B,)),1)</f>
        <v>0.63632422175519998</v>
      </c>
      <c r="AV203" s="1109">
        <f>(INDEX(绊状态确认!$N:$N,MATCH($G203,绊状态确认!$B:$B,))+1.5)*$EW$21</f>
        <v>2.6599999999999997</v>
      </c>
      <c r="AW203" s="1101">
        <f t="shared" si="281"/>
        <v>33763.155397100498</v>
      </c>
      <c r="AX203" s="1097">
        <f t="shared" si="282"/>
        <v>1814.8926055193795</v>
      </c>
      <c r="AY203" s="1110">
        <f t="shared" si="283"/>
        <v>35578.048002619878</v>
      </c>
      <c r="AZ203" s="429">
        <f t="shared" si="284"/>
        <v>23671.487902399997</v>
      </c>
      <c r="BA203" s="431">
        <f t="shared" si="285"/>
        <v>28405.785482879994</v>
      </c>
      <c r="BB203" s="1097">
        <f>(AM203*(1+$FB$9)+$FB$35)*(1+(INDEX(绊状态确认!$T:$T,MATCH($G203,绊状态确认!$B:$B,))+0.2)*AO203)*IF(J203=$FF$17,1+$FE$17,1)*IF(I203=$FF$14,1+$FE$14,1)*(1+$FE$15)</f>
        <v>20786.42339176</v>
      </c>
      <c r="BC203" s="1097">
        <f>(AN203*(1+$FB$10)+$FB$36)*(1+(INDEX(绊状态确认!$T:$T,MATCH($G203,绊状态确认!$B:$B,))+0.2)*AO203)*IF(J203=$FF$17,1+$FE$17,1)*IF(I203=$FF$14,1+$FE$14,1)*(1+$FE$15)</f>
        <v>20210.807391839997</v>
      </c>
      <c r="BD203" s="1104">
        <f>MIN(AT203*0.15+BC203*0.00003+INDEX(绊状态确认!M:M,MATCH($G203,绊状态确认!$B:$B,)),1)</f>
        <v>0.63632422175519998</v>
      </c>
      <c r="BE203" s="432">
        <f>(INDEX(绊状态确认!$N:$N,MATCH($G203,绊状态确认!$B:$B,))+1.5)</f>
        <v>1.9</v>
      </c>
      <c r="BF203" s="1139">
        <f t="array" ref="BF203">SUMPRODUCT(IF(AZ203*AP203*$FI$16:$FI$23*$FA$22&gt;=$FI$24,$FI$24,AZ203*AP203*$FI$16:$FI$23*$FA$22),$FJ$16:$FJ$23)</f>
        <v>47082.589437873597</v>
      </c>
      <c r="BG203" s="1125">
        <f t="array" ref="BG203">SUMPRODUCT(IF(BE203*AZ203*AP203*$FI$16:$FI$23*$FA$22&gt;=$FI$24,$FI$24,BE203*AZ203*AP203*$FI$16:$FI$23*$FA$22),$FJ$16:$FJ$23)</f>
        <v>60000</v>
      </c>
      <c r="BH203" s="1110">
        <f t="shared" si="286"/>
        <v>18434.083553637025</v>
      </c>
      <c r="BI203" s="1111">
        <f>IF(O203="vo",$EW$26/$EW$24*0.05,0)+IF(O203="sk",-$EW$26/$EW$24*(0.05-INDEX(绊状态确认!W:W,MATCH($G203,绊状态确认!$B:$B,)))+0.05*$EW$28,0)+IF(O203="sp",0.05*$EW$32*$EW$30*(1-$EW$33)-(0.05-INDEX(绊状态确认!V:V,MATCH($G203,绊状态确认!$B:$B,)))*$EW$28,0)+IF(O203="gd",-(0.05-INDEX(绊状态确认!X:X,MATCH($G203,绊状态确认!$B:$B,)))*$EW$32*$EW$30*(1-$EW$33),0)</f>
        <v>-585.00000000000011</v>
      </c>
      <c r="BJ203" s="1097">
        <f>IF(O203="vo",0.05*(1-$FI$26)*$FA$24,0)+IF(O203="sk",-(0.05-INDEX(绊状态确认!W:W,MATCH($G203,绊状态确认!$B:$B,)))*(1-$FI$26)*$FA$24+0.05*$FA$26,0)+IF(O203="sp",0.05*$FA$32*$FA$27*(1-$FA$33)/$FA$30+0.05*$FA$29/$FA$69*$FA$27*(1-$FA$33)-(0.05-INDEX(绊状态确认!V:V,MATCH($G203,绊状态确认!$B:$B,)))*$FA$26,0)+IF(O203="gd",-(0.05-INDEX(绊状态确认!X:X,MATCH($G203,绊状态确认!$B:$B,)))*$FA$32*$FA$27*(1-$FA$33)/$FA$30-(0.05-INDEX(绊状态确认!X:X,MATCH($G203,绊状态确认!$B:$B,)))*$FA$29/$FA$69*$FA$27*(1-$FA$33),0)</f>
        <v>-795.00000000000011</v>
      </c>
      <c r="BK203" s="1110">
        <f>IF(O203="vo",$EW$26/$EW$24*0.05+$EW$26*(-HP($EW$62,$EW$65,$EW$64)+HP($EW$62,$EW$65,(1.05-INDEX(绊状态确认!U:U,MATCH($G203,绊状态确认!$B:$B,)))*$EW$64)),0)+IF(O203="sk",-$EW$26/$EW$24*(0.05-INDEX(绊状态确认!W:W,MATCH($G203,绊状态确认!$B:$B,)))+0.05*$EW$29,0)+IF(O203="sp",0.05*$EW$32*$EW$30*(1-$EW$33)-(0.05-INDEX(绊状态确认!V:V,MATCH($G203,绊状态确认!$B:$B,)))*$EW$29,0)+IF(O203="gd",-(0.05-INDEX(绊状态确认!X:X,MATCH($G203,绊状态确认!$B:$B,)))*$EW$32*$EW$30*(1-$EW$33)+$EW$26*(-HP($EW$62,$EW$65,$EW$64)+HP($EW$62,$EW$65,0.95*$EW$64)),0)</f>
        <v>1009.5947725176144</v>
      </c>
      <c r="BL203" s="1111">
        <f t="shared" si="287"/>
        <v>0</v>
      </c>
      <c r="BM203" s="1110">
        <f t="shared" si="288"/>
        <v>0</v>
      </c>
      <c r="BN203" s="1113">
        <f t="shared" si="289"/>
        <v>4</v>
      </c>
      <c r="BO203" s="1097">
        <f t="shared" si="290"/>
        <v>6010.2953161679998</v>
      </c>
      <c r="BP203" s="1100">
        <f t="shared" si="291"/>
        <v>295.12137612040135</v>
      </c>
      <c r="BQ203" s="1113" t="s">
        <v>144</v>
      </c>
      <c r="BR203" s="1124" t="s">
        <v>147</v>
      </c>
      <c r="BS203" s="1098">
        <f>IF($P203="","N/A",IF($P203=-1,INDEX('卡片raw data'!AX:AX,MATCH($D203,'卡片raw data'!$F:$F,)),0)+IF($L203="party卡",IF($P203=5,INDEX('卡片raw data'!BD:BD,MATCH($D203,'卡片raw data'!$F:$F,)),IF($P203&gt;=3,INDEX('卡片raw data'!BC:BC,MATCH($D203,'卡片raw data'!$F:$F,)),INDEX('卡片raw data'!BB:BB,MATCH($D203,'卡片raw data'!$F:$F,)))),IF(OR(AND($F203="UR",$P203=0),AND($F203="SR",$P203&gt;=0,$P203&lt;=2),AND($F203="R",$P203&gt;=0,$P203&lt;4)),INDEX('卡片raw data'!AZ:AZ,MATCH($D203,'卡片raw data'!$F:$F,)),0)+IF(OR(AND($F203="UR",$P203&gt;=1,$P203&lt;=4),AND($F203="SR",$P203&lt;=4,$P203&gt;=3),AND($F203="R",$P203=4)),INDEX('卡片raw data'!BA:BA,MATCH($D203,'卡片raw data'!$F:$F,)),0)+IF($P203=5,INDEX('卡片raw data'!BB:BB,MATCH($D203,'卡片raw data'!$F:$F,)),0)))</f>
        <v>4.2000000000000003E-2</v>
      </c>
      <c r="BT203" s="1101">
        <f t="shared" si="292"/>
        <v>0</v>
      </c>
      <c r="BU203" s="1097">
        <f t="shared" si="293"/>
        <v>0</v>
      </c>
      <c r="BV203" s="1097">
        <f t="shared" si="294"/>
        <v>0</v>
      </c>
      <c r="BW203" s="1112">
        <f t="shared" si="295"/>
        <v>4.4246249999999989</v>
      </c>
      <c r="BX203" s="1100">
        <f t="shared" si="296"/>
        <v>347.58109106159276</v>
      </c>
      <c r="BY203" s="1110">
        <f t="shared" si="297"/>
        <v>347.58109106159276</v>
      </c>
      <c r="BZ203" s="1107" t="s">
        <v>569</v>
      </c>
      <c r="CA203" s="1124"/>
      <c r="CB203" s="1098">
        <f>IF($P203="","N/A",IF($P203=-1,INDEX('卡片raw data'!BE:BE,MATCH($D203,'卡片raw data'!$F:$F,)),0)+IF($L203="party卡",IF($P203=5,INDEX('卡片raw data'!BK:BK,MATCH($D203,'卡片raw data'!$F:$F,)),IF($P203&gt;=3,INDEX('卡片raw data'!BJ:BJ,MATCH($D203,'卡片raw data'!$F:$F,)),INDEX('卡片raw data'!BI:BI,MATCH($D203,'卡片raw data'!$F:$F,)))),IF(OR(AND($F203="UR",$P203=0),AND($F203="SR",$P203&gt;=0,$P203&lt;=2),AND($F203="R",$P203&gt;=0,$P203&lt;4)),INDEX('卡片raw data'!BG:BG,MATCH($D203,'卡片raw data'!$F:$F,)),0)+IF(OR(AND($F203="UR",$P203&gt;=1,$P203&lt;=4),AND($F203="SR",$P203&lt;=4,$P203&gt;=3),AND($F203="R",$P203=4)),INDEX('卡片raw data'!BH:BH,MATCH($D203,'卡片raw data'!$F:$F,)),0)+IF($P203=5,INDEX('卡片raw data'!BI:BI,MATCH($D203,'卡片raw data'!$F:$F,)),0)))</f>
        <v>0</v>
      </c>
      <c r="CC203" s="1101">
        <f t="shared" si="298"/>
        <v>0</v>
      </c>
      <c r="CD203" s="1097">
        <f>IF(BZ203="ap",CB203*(1-$FI$26)*$FB$5/$FB$11*(+IF(CA203="全员",$FA$24,0)+IF(CA203="同作战",$FA$24,0)+IF(CA203="仲间",$FA$24*2/3,0)+IF(CA203="同属性",$FA$24*$FA$37/3,0)+IF(CA203="同年级",$FA$24*$FA$40/3,0)+IF(CA203="同学校",$FA$24*$FA$43/3,0)+IF(CA203="同小队",$FA$24*$FA$46/3,0)+IF(CA203="同type",$FA$24*INDEX($FB$49:$FB$52,MATCH(X203,$FA$49:$FA$52,))/3,0)+IF(CA203="自身",#REF!/3,0)),0)+IF(BZ203="te",CB203*(1-$FI$27)*($FA$20-1)*$FB$7/$FB$13*(+IF(CA203="全员",$FA$19*$FA$24/(1+($FA$20-1)*$FA$19),0)+IF(CA203="同作战",$FA$19*$FA$24/(1+($FA$20-1)*$FA$19),0)+IF(CA203="仲间",$FA$19*$FA$24*2/3/(1+($FA$20-1)*$FA$19),0)+IF(CA203="同属性",$FA$19*$FA$24*$FA$37/3/(1+($FA$20-1)*$FA$19),0)+IF(CA203="同年级",$FA$19*$FA$24*$FA$40/3/(1+($FA$20-1)*$FA$19),0)+IF(CA203="同学校",$FA$19*$FA$24*$FA$43/3/(1+($FA$20-1)*$FA$19),0)+IF(CA203="同小队",$FA$19*$FA$24*$FA$46/3/(1+($FA$20-1)*$FA$19),0)+IF(CA203="同type",$FA$19*$FA$24*INDEX($FB$49:$FB$52,MATCH(X203,$FA$49:$FA$52,))/3/(1+($FA$20-1)*$FA$19),0)+IF(CA203="自身",$FA$19*#REF!/3/(1+(BH203-1)*$BD203),0)),0)</f>
        <v>0</v>
      </c>
      <c r="CE203" s="1097">
        <f t="shared" si="299"/>
        <v>0</v>
      </c>
      <c r="CF203" s="1112">
        <f t="shared" si="300"/>
        <v>0</v>
      </c>
      <c r="CG203" s="1100">
        <f t="shared" si="301"/>
        <v>0</v>
      </c>
      <c r="CH203" s="1110">
        <f t="shared" si="302"/>
        <v>0</v>
      </c>
      <c r="CI203" s="1113" t="s">
        <v>172</v>
      </c>
      <c r="CJ203" s="1114">
        <v>0.2</v>
      </c>
      <c r="CK203" s="1115" t="s">
        <v>635</v>
      </c>
      <c r="CL203" s="1115" t="s">
        <v>1944</v>
      </c>
      <c r="CM203" s="1119">
        <v>0.1</v>
      </c>
      <c r="CN203" s="1115"/>
      <c r="CO203" s="1092"/>
      <c r="CP203" s="1116">
        <f t="shared" si="303"/>
        <v>138.57615594506669</v>
      </c>
      <c r="CQ203" s="1116">
        <f t="shared" si="304"/>
        <v>138.57615594506666</v>
      </c>
      <c r="CR203" s="1116">
        <f t="shared" si="305"/>
        <v>0</v>
      </c>
      <c r="CS203" s="1118">
        <f t="shared" si="306"/>
        <v>0</v>
      </c>
      <c r="CT203" s="1109">
        <f t="shared" si="307"/>
        <v>0</v>
      </c>
      <c r="CU203" s="1101">
        <f t="shared" si="308"/>
        <v>0</v>
      </c>
      <c r="CV203" s="1108">
        <f t="shared" si="309"/>
        <v>0</v>
      </c>
      <c r="CW203" s="1097">
        <f t="shared" si="310"/>
        <v>0</v>
      </c>
      <c r="CX203" s="1097">
        <f t="shared" si="311"/>
        <v>0</v>
      </c>
      <c r="CY203" s="1110">
        <f t="shared" si="312"/>
        <v>0</v>
      </c>
      <c r="CZ203" s="437"/>
      <c r="DA203" s="438"/>
      <c r="DB203" s="439" t="s">
        <v>569</v>
      </c>
      <c r="DC203" s="439"/>
      <c r="DD203" s="443"/>
      <c r="DE203" s="411"/>
      <c r="DF203" s="411"/>
      <c r="DG203" s="1116">
        <f t="shared" si="313"/>
        <v>0</v>
      </c>
      <c r="DH203" s="1116">
        <f t="shared" si="314"/>
        <v>0</v>
      </c>
      <c r="DI203" s="1116">
        <f t="shared" si="315"/>
        <v>0</v>
      </c>
      <c r="DJ203" s="442">
        <f t="shared" si="316"/>
        <v>0</v>
      </c>
      <c r="DK203" s="1109">
        <f t="shared" si="317"/>
        <v>0</v>
      </c>
      <c r="DL203" s="1101">
        <f t="shared" si="318"/>
        <v>0</v>
      </c>
      <c r="DM203" s="1097">
        <f t="shared" si="319"/>
        <v>0</v>
      </c>
      <c r="DN203" s="1097">
        <f t="shared" si="320"/>
        <v>0</v>
      </c>
      <c r="DO203" s="1097">
        <f t="shared" si="321"/>
        <v>0</v>
      </c>
      <c r="DP203" s="1110">
        <f t="shared" si="322"/>
        <v>0</v>
      </c>
      <c r="DQ203" s="1113" t="s">
        <v>636</v>
      </c>
      <c r="DR203" s="1120">
        <f t="shared" si="323"/>
        <v>0.33</v>
      </c>
      <c r="DS203" s="1124"/>
      <c r="DT203" s="1093" t="s">
        <v>133</v>
      </c>
      <c r="DU203" s="1093"/>
      <c r="DV203" s="1098">
        <f>IF($P203="","N/A",IF(P203=-1,INDEX('卡片raw data'!AN:AN,MATCH(D203,'卡片raw data'!$F:$F,)),0)+IF(AND(L203&lt;&gt;"party卡",P203&lt;=2,P203&gt;=0),INDEX('卡片raw data'!AP:AP,MATCH(D203,'卡片raw data'!$F:$F,)),0)+IF(OR(AND(L203="party卡",P203&lt;=1),AND(P203&lt;=4,L203&lt;&gt;"party卡",P203&gt;=3)),INDEX('卡片raw data'!AQ:AQ,MATCH(D203,'卡片raw data'!$F:$F,)),0)+IF(OR(P203=5,AND(L203="party卡",P203&gt;=2)),INDEX('卡片raw data'!AR:AR,MATCH(D203,'卡片raw data'!$F:$F,)),0))</f>
        <v>0.4</v>
      </c>
      <c r="DW203" s="1098">
        <f t="shared" si="324"/>
        <v>0.33</v>
      </c>
      <c r="DX203" s="1098">
        <f t="shared" si="325"/>
        <v>0.33</v>
      </c>
      <c r="DY203" s="1125">
        <f t="shared" si="326"/>
        <v>914.60262923744006</v>
      </c>
      <c r="DZ203" s="1125">
        <f t="shared" si="327"/>
        <v>791.13127429038559</v>
      </c>
      <c r="EA203" s="1098">
        <f t="shared" si="328"/>
        <v>0</v>
      </c>
      <c r="EB203" s="1121">
        <f t="shared" si="329"/>
        <v>0</v>
      </c>
      <c r="EC203" s="1101">
        <f t="shared" si="330"/>
        <v>0</v>
      </c>
      <c r="ED203" s="1097">
        <f t="shared" si="331"/>
        <v>0</v>
      </c>
      <c r="EE203" s="1110">
        <f t="shared" si="332"/>
        <v>48435.03108962375</v>
      </c>
      <c r="EF203" s="1092" t="s">
        <v>711</v>
      </c>
      <c r="EG203" s="1120">
        <f t="shared" si="333"/>
        <v>0.33</v>
      </c>
      <c r="EH203" s="1124"/>
      <c r="EI203" s="1093"/>
      <c r="EJ203" s="1093"/>
      <c r="EK203" s="1097">
        <f>IF($P203="","N/A",IF(P203=-1,INDEX('卡片raw data'!AS:AS,MATCH(D203,'卡片raw data'!$F:$F,)),0)+IF(AND(L203&lt;&gt;"party卡",P203&lt;=2,P203&gt;=0),INDEX('卡片raw data'!AU:AU,MATCH(D203,'卡片raw data'!$F:$F,)),0)+IF(OR(AND(L203="party卡",P203&lt;=1),AND(P203&lt;=4,L203&lt;&gt;"party卡",P203&gt;=3)),INDEX('卡片raw data'!AV:AV,MATCH(D203,'卡片raw data'!$F:$F,)),0)+IF(OR(P203=5,AND(L203="party卡",P203&gt;=2)),INDEX('卡片raw data'!AW:AW,MATCH(D203,'卡片raw data'!$F:$F,)),0))</f>
        <v>0</v>
      </c>
      <c r="EL203" s="1098">
        <f t="shared" si="334"/>
        <v>0.33</v>
      </c>
      <c r="EM203" s="1098">
        <f t="shared" si="335"/>
        <v>0.33</v>
      </c>
      <c r="EN203" s="1125">
        <f t="shared" si="336"/>
        <v>0</v>
      </c>
      <c r="EO203" s="1125">
        <f t="shared" si="337"/>
        <v>0</v>
      </c>
      <c r="EP203" s="1098">
        <f t="shared" si="338"/>
        <v>0</v>
      </c>
      <c r="EQ203" s="1121">
        <f t="shared" si="339"/>
        <v>0</v>
      </c>
      <c r="ER203" s="1101">
        <f t="shared" si="340"/>
        <v>0</v>
      </c>
      <c r="ES203" s="1097">
        <f t="shared" si="341"/>
        <v>0</v>
      </c>
      <c r="ET203" s="1122">
        <f t="shared" si="342"/>
        <v>0</v>
      </c>
    </row>
    <row r="204" spans="2:150" ht="16.5" customHeight="1">
      <c r="B204" s="1123" t="str">
        <f>INDEX('卡片raw data'!B:B,MATCH($D204,'卡片raw data'!$F:$F,))</f>
        <v>彩虹彼</v>
      </c>
      <c r="C204" s="449" t="s">
        <v>66</v>
      </c>
      <c r="D204" s="408">
        <v>201</v>
      </c>
      <c r="E204" s="1090">
        <v>302062001</v>
      </c>
      <c r="F204" s="1090" t="str">
        <f>INDEX('卡片raw data'!C:C,MATCH($D204,'卡片raw data'!$F:$F,))</f>
        <v>SR</v>
      </c>
      <c r="G204" s="1094" t="s">
        <v>355</v>
      </c>
      <c r="H204" s="411">
        <f>IFERROR(INDEX(绊状态确认!C:C,MATCH($G204,绊状态确认!$B:$B,)),"")</f>
        <v>206</v>
      </c>
      <c r="I204" s="450" t="str">
        <f>IFERROR(INDEX(绊状态确认!D:D,MATCH($G204,绊状态确认!$B:$B,)),"")</f>
        <v>虹</v>
      </c>
      <c r="J204" s="450" t="str">
        <f>IFERROR(INDEX(绊状态确认!E:E,MATCH($G204,绊状态确认!$B:$B,)),"")</f>
        <v>3年级</v>
      </c>
      <c r="K204" s="451" t="str">
        <f>IFERROR(INDEX(绊状态确认!F:F,MATCH($G204,绊状态确认!$B:$B,)),"")</f>
        <v>QU4RTZ</v>
      </c>
      <c r="L204" s="1094" t="str">
        <f>INDEX('卡片raw data'!E:E,MATCH($D204,'卡片raw data'!$F:$F,))</f>
        <v>卡池卡</v>
      </c>
      <c r="M204" s="415">
        <v>43921</v>
      </c>
      <c r="N204" s="416">
        <v>12.5</v>
      </c>
      <c r="O204" s="1091" t="str">
        <f>INDEX('卡片raw data'!D:D,MATCH($D204,'卡片raw data'!$F:$F,))</f>
        <v>gd</v>
      </c>
      <c r="P204" s="417">
        <v>5</v>
      </c>
      <c r="Q204" s="1095">
        <f t="shared" si="258"/>
        <v>22713.962679987995</v>
      </c>
      <c r="R204" s="1096">
        <f t="shared" si="259"/>
        <v>0.26400000000000001</v>
      </c>
      <c r="S204" s="1097">
        <f t="shared" si="260"/>
        <v>10849.397597586392</v>
      </c>
      <c r="T204" s="1098">
        <f t="shared" si="261"/>
        <v>0.54200000000000004</v>
      </c>
      <c r="U204" s="1099">
        <f t="shared" si="262"/>
        <v>443.9819842921068</v>
      </c>
      <c r="V204" s="1100">
        <f t="shared" si="263"/>
        <v>73824.416621214274</v>
      </c>
      <c r="W204" s="1101">
        <f t="shared" si="264"/>
        <v>4507.7214871259994</v>
      </c>
      <c r="X204" s="1096">
        <f t="shared" si="265"/>
        <v>5.1999999999999998E-2</v>
      </c>
      <c r="Y204" s="1097">
        <f t="shared" si="266"/>
        <v>1331.5878028232246</v>
      </c>
      <c r="Z204" s="1102">
        <f t="shared" si="267"/>
        <v>15.586543767562855</v>
      </c>
      <c r="AA204" s="1103">
        <f t="shared" si="268"/>
        <v>5839.309289949224</v>
      </c>
      <c r="AB204" s="1101">
        <f t="shared" si="269"/>
        <v>8045.0190892802984</v>
      </c>
      <c r="AC204" s="1104">
        <f t="shared" si="270"/>
        <v>9.2999999999999999E-2</v>
      </c>
      <c r="AD204" s="1105">
        <f t="shared" si="271"/>
        <v>-3.8207812500000026E-3</v>
      </c>
      <c r="AE204" s="1128">
        <f t="shared" si="272"/>
        <v>-18.525362318840578</v>
      </c>
      <c r="AF204" s="1130">
        <f t="shared" si="273"/>
        <v>6277.8415431632156</v>
      </c>
      <c r="AG204" s="420">
        <f t="shared" si="274"/>
        <v>102930.367483608</v>
      </c>
      <c r="AH204" s="420">
        <f t="shared" si="275"/>
        <v>16.39582120318132</v>
      </c>
      <c r="AI204" s="1097">
        <f t="shared" si="276"/>
        <v>95534.217129015131</v>
      </c>
      <c r="AJ204" s="420">
        <f t="shared" si="277"/>
        <v>73824.416621214274</v>
      </c>
      <c r="AK204" s="518">
        <f t="shared" si="278"/>
        <v>21709.800507800857</v>
      </c>
      <c r="AL204" s="1106">
        <f>IF($P204="","N/A",(IF($P204=-1,INDEX('卡片raw data'!S:S,MATCH($D204,'卡片raw data'!$F:$F,)),0)+IF($P204=0,INDEX('卡片raw data'!V:V,MATCH($D204,'卡片raw data'!$F:$F,)),0)+IF($P204=1,INDEX('卡片raw data'!Y:Y,MATCH($D204,'卡片raw data'!$F:$F,)),0)+IF($P204=2,INDEX('卡片raw data'!AB:AB,MATCH($D204,'卡片raw data'!$F:$F,)),0)+IF($P204=3,INDEX('卡片raw data'!AE:AE,MATCH($D204,'卡片raw data'!$F:$F,)),0)+IF($P204=4,INDEX('卡片raw data'!AH:AH,MATCH($D204,'卡片raw data'!$F:$F,)),0)+IF($P204=5,INDEX('卡片raw data'!AK:AK,MATCH($D204,'卡片raw data'!$F:$F,)),0)+INDEX('卡片raw data'!S:S,MATCH($D204,'卡片raw data'!$F:$F,))*(IF($F204="UR",0.04,0.033))*(IF($F204="UR",INDEX(绊状态确认!$S:$S,MATCH($G204,绊状态确认!$B:$B,))/2-40)+IF($F204="SR",INDEX(绊状态确认!$R:$R,MATCH($G204,绊状态确认!$B:$B,))/4-15))+IF($F204="R",INDEX(绊状态确认!$Q:$Q,MATCH($G204,绊状态确认!$B:$B,))/6-40/6)))*(INDEX(绊状态确认!$H:$H,MATCH($G204,绊状态确认!$B:$B,))+INDEX(绊状态确认!J:J,MATCH($G204,绊状态确认!$B:$B,)))</f>
        <v>4509.8829479999995</v>
      </c>
      <c r="AM204" s="1106">
        <f>IF($P204="","N/A",(IF($P204=-1,INDEX('卡片raw data'!T:T,MATCH($D204,'卡片raw data'!$F:$F,)),0)+IF($P204=0,INDEX('卡片raw data'!W:W,MATCH($D204,'卡片raw data'!$F:$F,)),0)+IF($P204=1,INDEX('卡片raw data'!Z:Z,MATCH($D204,'卡片raw data'!$F:$F,)),0)+IF($P204=2,INDEX('卡片raw data'!AC:AC,MATCH($D204,'卡片raw data'!$F:$F,)),0)+IF($P204=3,INDEX('卡片raw data'!AF:AF,MATCH($D204,'卡片raw data'!$F:$F,)),0)+IF($P204=4,INDEX('卡片raw data'!AI:AI,MATCH($D204,'卡片raw data'!$F:$F,)),0)+IF($P204=5,INDEX('卡片raw data'!AL:AL,MATCH($D204,'卡片raw data'!$F:$F,)),0)+INDEX('卡片raw data'!T:T,MATCH($D204,'卡片raw data'!$F:$F,))*(IF($F204="UR",0.04,0.033))*(IF($F204="UR",INDEX(绊状态确认!$S:$S,MATCH($G204,绊状态确认!$B:$B,))/2-40)+IF($F204="SR",INDEX(绊状态确认!$R:$R,MATCH($G204,绊状态确认!$B:$B,))/4-15))+IF($F204="R",INDEX(绊状态确认!$Q:$Q,MATCH($G204,绊状态确认!$B:$B,))/6-40/6)))*(INDEX(绊状态确认!$H:$H,MATCH($G204,绊状态确认!$B:$B,))+INDEX(绊状态确认!K:K,MATCH($G204,绊状态确认!$B:$B,)))</f>
        <v>7254.2912207999989</v>
      </c>
      <c r="AN204" s="1106">
        <f>IF($P204="","N/A",(IF($P204=-1,INDEX('卡片raw data'!U:U,MATCH($D204,'卡片raw data'!$F:$F,)),0)+IF($P204=0,INDEX('卡片raw data'!X:X,MATCH($D204,'卡片raw data'!$F:$F,)),0)+IF($P204=1,INDEX('卡片raw data'!AA:AA,MATCH($D204,'卡片raw data'!$F:$F,)),0)+IF($P204=2,INDEX('卡片raw data'!AD:AD,MATCH($D204,'卡片raw data'!$F:$F,)),0)+IF($P204=3,INDEX('卡片raw data'!AG:AG,MATCH($D204,'卡片raw data'!$F:$F,)),0)+IF($P204=4,INDEX('卡片raw data'!AJ:AJ,MATCH($D204,'卡片raw data'!$F:$F,)),0)+IF($P204=5,INDEX('卡片raw data'!AM:AM,MATCH($D204,'卡片raw data'!$F:$F,)),0)+INDEX('卡片raw data'!U:U,MATCH($D204,'卡片raw data'!$F:$F,))*(IF($F204="UR",0.04,0.033))*(IF($F204="UR",INDEX(绊状态确认!$S:$S,MATCH($G204,绊状态确认!$B:$B,))/2-40)+IF($F204="SR",INDEX(绊状态确认!$R:$R,MATCH($G204,绊状态确认!$B:$B,))/4-15))+IF($F204="R",INDEX(绊状态确认!$Q:$Q,MATCH($G204,绊状态确认!$B:$B,))/6-40/6)))*(INDEX(绊状态确认!$H:$H,MATCH($G204,绊状态确认!$B:$B,))+INDEX(绊状态确认!L:L,MATCH($G204,绊状态确认!$B:$B,)))</f>
        <v>7845.1055807999983</v>
      </c>
      <c r="AO204" s="1107">
        <f t="shared" si="279"/>
        <v>1</v>
      </c>
      <c r="AP204" s="1131">
        <f>1+(INDEX(绊状态确认!$T:$T,MATCH($G204,绊状态确认!$B:$B,))+0.2)*$AO204</f>
        <v>1.3</v>
      </c>
      <c r="AQ204" s="1108">
        <f t="shared" si="280"/>
        <v>15088.442738499998</v>
      </c>
      <c r="AR204" s="1097">
        <f>(AM204*(1+$EX$9)+$EX$35)*(1+(INDEX(绊状态确认!$T:$T,MATCH($G204,绊状态确认!$B:$B,))+0.2)*AO204)*IF(J204=$FF$17,1+$FE$17,1)*IF(I204=$FF$14,1+$FE$14,1)</f>
        <v>12606.107516391998</v>
      </c>
      <c r="AS204" s="1097">
        <f>(AN204*(1+$EX$10)+$EX$36)*(1+(INDEX(绊状态确认!$T:$T,MATCH($G204,绊状态确认!$B:$B,))+0.2)*AO204)*IF(J204=$FF$17,1+$FE$17,1)*IF(I204=$FF$14,1+$FE$14,1)</f>
        <v>15784.432843295997</v>
      </c>
      <c r="AT204" s="1093">
        <f>IF(AND(INDEX('卡片raw data'!AK:AK,MATCH($D204,'卡片raw data'!$F:$F,))&lt;INDEX('卡片raw data'!AM:AM,MATCH($D204,'卡片raw data'!$F:$F,)),INDEX('卡片raw data'!AL:AL,MATCH($D204,'卡片raw data'!$F:$F,))&lt;INDEX('卡片raw data'!AM:AM,MATCH($D204,'卡片raw data'!$F:$F,))),1,0)</f>
        <v>1</v>
      </c>
      <c r="AU204" s="1098">
        <f>MIN(AT204*0.15+AS204*0.00003+INDEX(绊状态确认!M:M,MATCH($G204,绊状态确认!$B:$B,)),1)</f>
        <v>0.65353298529887993</v>
      </c>
      <c r="AV204" s="1109">
        <f>(INDEX(绊状态确认!$N:$N,MATCH($G204,绊状态确认!$B:$B,))+1.5)*$EW$21</f>
        <v>2.6599999999999997</v>
      </c>
      <c r="AW204" s="1101">
        <f t="shared" si="281"/>
        <v>16337.276924041027</v>
      </c>
      <c r="AX204" s="1097">
        <f t="shared" si="282"/>
        <v>1080.8280790849055</v>
      </c>
      <c r="AY204" s="1110">
        <f t="shared" si="283"/>
        <v>17418.105003125933</v>
      </c>
      <c r="AZ204" s="429">
        <f t="shared" si="284"/>
        <v>11394.271748599998</v>
      </c>
      <c r="BA204" s="431">
        <f t="shared" si="285"/>
        <v>13673.126098319997</v>
      </c>
      <c r="BB204" s="1097">
        <f>(AM204*(1+$FB$9)+$FB$35)*(1+(INDEX(绊状态确认!$T:$T,MATCH($G204,绊状态确认!$B:$B,))+0.2)*AO204)*IF(J204=$FF$17,1+$FE$17,1)*IF(I204=$FF$14,1+$FE$14,1)*(1+$FE$15)</f>
        <v>12606.107516391998</v>
      </c>
      <c r="BC204" s="1097">
        <f>(AN204*(1+$FB$10)+$FB$36)*(1+(INDEX(绊状态确认!$T:$T,MATCH($G204,绊状态确认!$B:$B,))+0.2)*AO204)*IF(J204=$FF$17,1+$FE$17,1)*IF(I204=$FF$14,1+$FE$14,1)*(1+$FE$15)</f>
        <v>15784.432843295997</v>
      </c>
      <c r="BD204" s="1104">
        <f>MIN(AT204*0.15+BC204*0.00003+INDEX(绊状态确认!M:M,MATCH($G204,绊状态确认!$B:$B,)),1)</f>
        <v>0.65353298529887993</v>
      </c>
      <c r="BE204" s="432">
        <f>(INDEX(绊状态确认!$N:$N,MATCH($G204,绊状态确认!$B:$B,))+1.5)</f>
        <v>1.9</v>
      </c>
      <c r="BF204" s="1139">
        <f t="array" ref="BF204">SUMPRODUCT(IF(AZ204*AP204*$FI$16:$FI$23*$FA$22&gt;=$FI$24,$FI$24,AZ204*AP204*$FI$16:$FI$23*$FA$22),$FJ$16:$FJ$23)</f>
        <v>22663.206507965395</v>
      </c>
      <c r="BG204" s="1125">
        <f t="array" ref="BG204">SUMPRODUCT(IF(BE204*AZ204*AP204*$FI$16:$FI$23*$FA$22&gt;=$FI$24,$FI$24,BE204*AZ204*AP204*$FI$16:$FI$23*$FA$22),$FJ$16:$FJ$23)</f>
        <v>43060.09236513426</v>
      </c>
      <c r="BH204" s="1110">
        <f t="shared" si="286"/>
        <v>11997.748071000489</v>
      </c>
      <c r="BI204" s="1111">
        <f>IF(O204="vo",$EW$26/$EW$24*0.05,0)+IF(O204="sk",-$EW$26/$EW$24*(0.05-INDEX(绊状态确认!W:W,MATCH($G204,绊状态确认!$B:$B,)))+0.05*$EW$28,0)+IF(O204="sp",0.05*$EW$32*$EW$30*(1-$EW$33)-(0.05-INDEX(绊状态确认!V:V,MATCH($G204,绊状态确认!$B:$B,)))*$EW$28,0)+IF(O204="gd",-(0.05-INDEX(绊状态确认!X:X,MATCH($G204,绊状态确认!$B:$B,)))*$EW$32*$EW$30*(1-$EW$33),0)</f>
        <v>-585.00000000000011</v>
      </c>
      <c r="BJ204" s="1097">
        <f>IF(O204="vo",0.05*(1-$FI$26)*$FA$24,0)+IF(O204="sk",-(0.05-INDEX(绊状态确认!W:W,MATCH($G204,绊状态确认!$B:$B,)))*(1-$FI$26)*$FA$24+0.05*$FA$26,0)+IF(O204="sp",0.05*$FA$32*$FA$27*(1-$FA$33)/$FA$30+0.05*$FA$29/$FA$69*$FA$27*(1-$FA$33)-(0.05-INDEX(绊状态确认!V:V,MATCH($G204,绊状态确认!$B:$B,)))*$FA$26,0)+IF(O204="gd",-(0.05-INDEX(绊状态确认!X:X,MATCH($G204,绊状态确认!$B:$B,)))*$FA$32*$FA$27*(1-$FA$33)/$FA$30-(0.05-INDEX(绊状态确认!X:X,MATCH($G204,绊状态确认!$B:$B,)))*$FA$29/$FA$69*$FA$27*(1-$FA$33),0)</f>
        <v>-795.00000000000011</v>
      </c>
      <c r="BK204" s="1110">
        <f>IF(O204="vo",$EW$26/$EW$24*0.05+$EW$26*(-HP($EW$62,$EW$65,$EW$64)+HP($EW$62,$EW$65,(1.05-INDEX(绊状态确认!U:U,MATCH($G204,绊状态确认!$B:$B,)))*$EW$64)),0)+IF(O204="sk",-$EW$26/$EW$24*(0.05-INDEX(绊状态确认!W:W,MATCH($G204,绊状态确认!$B:$B,)))+0.05*$EW$29,0)+IF(O204="sp",0.05*$EW$32*$EW$30*(1-$EW$33)-(0.05-INDEX(绊状态确认!V:V,MATCH($G204,绊状态确认!$B:$B,)))*$EW$29,0)+IF(O204="gd",-(0.05-INDEX(绊状态确认!X:X,MATCH($G204,绊状态确认!$B:$B,)))*$EW$32*$EW$30*(1-$EW$33)+$EW$26*(-HP($EW$62,$EW$65,$EW$64)+HP($EW$62,$EW$65,0.95*$EW$64)),0)</f>
        <v>1009.5947725176144</v>
      </c>
      <c r="BL204" s="1111">
        <f t="shared" si="287"/>
        <v>-1083.3333333333333</v>
      </c>
      <c r="BM204" s="1110">
        <f t="shared" si="288"/>
        <v>-830.55555555555543</v>
      </c>
      <c r="BN204" s="1113">
        <f t="shared" si="289"/>
        <v>3</v>
      </c>
      <c r="BO204" s="1097">
        <f t="shared" si="290"/>
        <v>4507.7214871259994</v>
      </c>
      <c r="BP204" s="1100">
        <f t="shared" si="291"/>
        <v>221.34103209030098</v>
      </c>
      <c r="BQ204" s="1113" t="s">
        <v>145</v>
      </c>
      <c r="BR204" s="1124" t="s">
        <v>146</v>
      </c>
      <c r="BS204" s="1098">
        <f>IF($P204="","N/A",IF($P204=-1,INDEX('卡片raw data'!AX:AX,MATCH($D204,'卡片raw data'!$F:$F,)),0)+IF($L204="party卡",IF($P204=5,INDEX('卡片raw data'!BD:BD,MATCH($D204,'卡片raw data'!$F:$F,)),IF($P204&gt;=3,INDEX('卡片raw data'!BC:BC,MATCH($D204,'卡片raw data'!$F:$F,)),INDEX('卡片raw data'!BB:BB,MATCH($D204,'卡片raw data'!$F:$F,)))),IF(OR(AND($F204="UR",$P204=0),AND($F204="SR",$P204&gt;=0,$P204&lt;=2),AND($F204="R",$P204&gt;=0,$P204&lt;4)),INDEX('卡片raw data'!AZ:AZ,MATCH($D204,'卡片raw data'!$F:$F,)),0)+IF(OR(AND($F204="UR",$P204&gt;=1,$P204&lt;=4),AND($F204="SR",$P204&lt;=4,$P204&gt;=3),AND($F204="R",$P204=4)),INDEX('卡片raw data'!BA:BA,MATCH($D204,'卡片raw data'!$F:$F,)),0)+IF($P204=5,INDEX('卡片raw data'!BB:BB,MATCH($D204,'卡片raw data'!$F:$F,)),0)))</f>
        <v>0.05</v>
      </c>
      <c r="BT204" s="1101">
        <f t="shared" si="292"/>
        <v>3537.2976021542986</v>
      </c>
      <c r="BU204" s="1097">
        <f t="shared" si="293"/>
        <v>255.86405005115788</v>
      </c>
      <c r="BV204" s="1097">
        <f t="shared" si="294"/>
        <v>0</v>
      </c>
      <c r="BW204" s="1112">
        <f t="shared" si="295"/>
        <v>0</v>
      </c>
      <c r="BX204" s="1100">
        <f t="shared" si="296"/>
        <v>3537.2976021542986</v>
      </c>
      <c r="BY204" s="1110">
        <f t="shared" si="297"/>
        <v>0</v>
      </c>
      <c r="BZ204" s="1107" t="s">
        <v>569</v>
      </c>
      <c r="CA204" s="1124"/>
      <c r="CB204" s="1098">
        <f>IF($P204="","N/A",IF($P204=-1,INDEX('卡片raw data'!BE:BE,MATCH($D204,'卡片raw data'!$F:$F,)),0)+IF($L204="party卡",IF($P204=5,INDEX('卡片raw data'!BK:BK,MATCH($D204,'卡片raw data'!$F:$F,)),IF($P204&gt;=3,INDEX('卡片raw data'!BJ:BJ,MATCH($D204,'卡片raw data'!$F:$F,)),INDEX('卡片raw data'!BI:BI,MATCH($D204,'卡片raw data'!$F:$F,)))),IF(OR(AND($F204="UR",$P204=0),AND($F204="SR",$P204&gt;=0,$P204&lt;=2),AND($F204="R",$P204&gt;=0,$P204&lt;4)),INDEX('卡片raw data'!BG:BG,MATCH($D204,'卡片raw data'!$F:$F,)),0)+IF(OR(AND($F204="UR",$P204&gt;=1,$P204&lt;=4),AND($F204="SR",$P204&lt;=4,$P204&gt;=3),AND($F204="R",$P204=4)),INDEX('卡片raw data'!BH:BH,MATCH($D204,'卡片raw data'!$F:$F,)),0)+IF($P204=5,INDEX('卡片raw data'!BI:BI,MATCH($D204,'卡片raw data'!$F:$F,)),0)))</f>
        <v>0</v>
      </c>
      <c r="CC204" s="1101">
        <f t="shared" si="298"/>
        <v>0</v>
      </c>
      <c r="CD204" s="1097">
        <f>IF(BZ204="ap",CB204*(1-$FI$26)*$FB$5/$FB$11*(+IF(CA204="全员",$FA$24,0)+IF(CA204="同作战",$FA$24,0)+IF(CA204="仲间",$FA$24*2/3,0)+IF(CA204="同属性",$FA$24*$FA$37/3,0)+IF(CA204="同年级",$FA$24*$FA$40/3,0)+IF(CA204="同学校",$FA$24*$FA$43/3,0)+IF(CA204="同小队",$FA$24*$FA$46/3,0)+IF(CA204="同type",$FA$24*INDEX($FB$49:$FB$52,MATCH(X204,$FA$49:$FA$52,))/3,0)+IF(CA204="自身",#REF!/3,0)),0)+IF(BZ204="te",CB204*(1-$FI$27)*($FA$20-1)*$FB$7/$FB$13*(+IF(CA204="全员",$FA$19*$FA$24/(1+($FA$20-1)*$FA$19),0)+IF(CA204="同作战",$FA$19*$FA$24/(1+($FA$20-1)*$FA$19),0)+IF(CA204="仲间",$FA$19*$FA$24*2/3/(1+($FA$20-1)*$FA$19),0)+IF(CA204="同属性",$FA$19*$FA$24*$FA$37/3/(1+($FA$20-1)*$FA$19),0)+IF(CA204="同年级",$FA$19*$FA$24*$FA$40/3/(1+($FA$20-1)*$FA$19),0)+IF(CA204="同学校",$FA$19*$FA$24*$FA$43/3/(1+($FA$20-1)*$FA$19),0)+IF(CA204="同小队",$FA$19*$FA$24*$FA$46/3/(1+($FA$20-1)*$FA$19),0)+IF(CA204="同type",$FA$19*$FA$24*INDEX($FB$49:$FB$52,MATCH(X204,$FA$49:$FA$52,))/3/(1+($FA$20-1)*$FA$19),0)+IF(CA204="自身",$FA$19*#REF!/3/(1+(BH204-1)*$BD204),0)),0)</f>
        <v>0</v>
      </c>
      <c r="CE204" s="1097">
        <f t="shared" si="299"/>
        <v>0</v>
      </c>
      <c r="CF204" s="1112">
        <f t="shared" si="300"/>
        <v>0</v>
      </c>
      <c r="CG204" s="1100">
        <f t="shared" si="301"/>
        <v>0</v>
      </c>
      <c r="CH204" s="1110">
        <f t="shared" si="302"/>
        <v>0</v>
      </c>
      <c r="CI204" s="1113" t="s">
        <v>165</v>
      </c>
      <c r="CJ204" s="1114">
        <v>0.2</v>
      </c>
      <c r="CK204" s="1115" t="s">
        <v>556</v>
      </c>
      <c r="CL204" s="1115" t="s">
        <v>161</v>
      </c>
      <c r="CM204" s="1119">
        <v>3.2000000000000001E-2</v>
      </c>
      <c r="CN204" s="1115" t="s">
        <v>163</v>
      </c>
      <c r="CO204" s="1092"/>
      <c r="CP204" s="1118">
        <f t="shared" si="303"/>
        <v>6.4000000000000003E-3</v>
      </c>
      <c r="CQ204" s="1118">
        <f t="shared" si="304"/>
        <v>6.4000000000000003E-3</v>
      </c>
      <c r="CR204" s="1118">
        <f t="shared" si="305"/>
        <v>6.4000000000000003E-3</v>
      </c>
      <c r="CS204" s="1118">
        <f t="shared" si="306"/>
        <v>0</v>
      </c>
      <c r="CT204" s="1109">
        <f t="shared" si="307"/>
        <v>0</v>
      </c>
      <c r="CU204" s="1101">
        <f t="shared" si="308"/>
        <v>0</v>
      </c>
      <c r="CV204" s="1108">
        <f t="shared" si="309"/>
        <v>0</v>
      </c>
      <c r="CW204" s="1097">
        <f t="shared" si="310"/>
        <v>0</v>
      </c>
      <c r="CX204" s="1097">
        <f t="shared" si="311"/>
        <v>0</v>
      </c>
      <c r="CY204" s="1110">
        <f t="shared" si="312"/>
        <v>250.75972373831902</v>
      </c>
      <c r="CZ204" s="437"/>
      <c r="DA204" s="438"/>
      <c r="DB204" s="439" t="s">
        <v>569</v>
      </c>
      <c r="DC204" s="439"/>
      <c r="DD204" s="443"/>
      <c r="DE204" s="411"/>
      <c r="DF204" s="411"/>
      <c r="DG204" s="1116">
        <f t="shared" si="313"/>
        <v>0</v>
      </c>
      <c r="DH204" s="1116">
        <f t="shared" si="314"/>
        <v>0</v>
      </c>
      <c r="DI204" s="1116">
        <f t="shared" si="315"/>
        <v>0</v>
      </c>
      <c r="DJ204" s="442">
        <f t="shared" si="316"/>
        <v>0</v>
      </c>
      <c r="DK204" s="1109">
        <f t="shared" si="317"/>
        <v>0</v>
      </c>
      <c r="DL204" s="1101">
        <f t="shared" si="318"/>
        <v>0</v>
      </c>
      <c r="DM204" s="1097">
        <f t="shared" si="319"/>
        <v>0</v>
      </c>
      <c r="DN204" s="1097">
        <f t="shared" si="320"/>
        <v>0</v>
      </c>
      <c r="DO204" s="1097">
        <f t="shared" si="321"/>
        <v>0</v>
      </c>
      <c r="DP204" s="1110">
        <f t="shared" si="322"/>
        <v>0</v>
      </c>
      <c r="DQ204" s="1113" t="s">
        <v>635</v>
      </c>
      <c r="DR204" s="1120">
        <f t="shared" si="323"/>
        <v>0.3</v>
      </c>
      <c r="DS204" s="1124"/>
      <c r="DT204" s="1093" t="s">
        <v>564</v>
      </c>
      <c r="DU204" s="1093"/>
      <c r="DV204" s="1098">
        <f>IF($P204="","N/A",IF(P204=-1,INDEX('卡片raw data'!AN:AN,MATCH(D204,'卡片raw data'!$F:$F,)),0)+IF(AND(L204&lt;&gt;"party卡",P204&lt;=2,P204&gt;=0),INDEX('卡片raw data'!AP:AP,MATCH(D204,'卡片raw data'!$F:$F,)),0)+IF(OR(AND(L204="party卡",P204&lt;=1),AND(P204&lt;=4,L204&lt;&gt;"party卡",P204&gt;=3)),INDEX('卡片raw data'!AQ:AQ,MATCH(D204,'卡片raw data'!$F:$F,)),0)+IF(OR(P204=5,AND(L204="party卡",P204&gt;=2)),INDEX('卡片raw data'!AR:AR,MATCH(D204,'卡片raw data'!$F:$F,)),0))</f>
        <v>0.32</v>
      </c>
      <c r="DW204" s="1098">
        <f t="shared" si="324"/>
        <v>0.3</v>
      </c>
      <c r="DX204" s="1098">
        <f t="shared" si="325"/>
        <v>0.3</v>
      </c>
      <c r="DY204" s="1125">
        <f t="shared" si="326"/>
        <v>403.39544052454397</v>
      </c>
      <c r="DZ204" s="1125">
        <f t="shared" si="327"/>
        <v>348.93705605373054</v>
      </c>
      <c r="EA204" s="1098">
        <f t="shared" si="328"/>
        <v>0</v>
      </c>
      <c r="EB204" s="1121">
        <f t="shared" si="329"/>
        <v>0</v>
      </c>
      <c r="EC204" s="1101">
        <f t="shared" si="330"/>
        <v>0</v>
      </c>
      <c r="ED204" s="1097">
        <f t="shared" si="331"/>
        <v>0</v>
      </c>
      <c r="EE204" s="1110">
        <f t="shared" si="332"/>
        <v>48435.03108962375</v>
      </c>
      <c r="EF204" s="1092" t="s">
        <v>711</v>
      </c>
      <c r="EG204" s="1120">
        <f t="shared" si="333"/>
        <v>0.3</v>
      </c>
      <c r="EH204" s="1124"/>
      <c r="EI204" s="1093"/>
      <c r="EJ204" s="1093"/>
      <c r="EK204" s="1097">
        <f>IF($P204="","N/A",IF(P204=-1,INDEX('卡片raw data'!AS:AS,MATCH(D204,'卡片raw data'!$F:$F,)),0)+IF(AND(L204&lt;&gt;"party卡",P204&lt;=2,P204&gt;=0),INDEX('卡片raw data'!AU:AU,MATCH(D204,'卡片raw data'!$F:$F,)),0)+IF(OR(AND(L204="party卡",P204&lt;=1),AND(P204&lt;=4,L204&lt;&gt;"party卡",P204&gt;=3)),INDEX('卡片raw data'!AV:AV,MATCH(D204,'卡片raw data'!$F:$F,)),0)+IF(OR(P204=5,AND(L204="party卡",P204&gt;=2)),INDEX('卡片raw data'!AW:AW,MATCH(D204,'卡片raw data'!$F:$F,)),0))</f>
        <v>0</v>
      </c>
      <c r="EL204" s="1098">
        <f t="shared" si="334"/>
        <v>0.3</v>
      </c>
      <c r="EM204" s="1098">
        <f t="shared" si="335"/>
        <v>0.3</v>
      </c>
      <c r="EN204" s="1125">
        <f t="shared" si="336"/>
        <v>0</v>
      </c>
      <c r="EO204" s="1125">
        <f t="shared" si="337"/>
        <v>0</v>
      </c>
      <c r="EP204" s="1098">
        <f t="shared" si="338"/>
        <v>0</v>
      </c>
      <c r="EQ204" s="1121">
        <f t="shared" si="339"/>
        <v>0</v>
      </c>
      <c r="ER204" s="1101">
        <f t="shared" si="340"/>
        <v>0</v>
      </c>
      <c r="ES204" s="1097">
        <f t="shared" si="341"/>
        <v>0</v>
      </c>
      <c r="ET204" s="1122">
        <f t="shared" si="342"/>
        <v>0</v>
      </c>
    </row>
    <row r="205" spans="2:150" ht="16.5" customHeight="1">
      <c r="B205" s="1123" t="str">
        <f>INDEX('卡片raw data'!B:B,MATCH($D205,'卡片raw data'!$F:$F,))</f>
        <v>彩虹爱</v>
      </c>
      <c r="C205" s="449" t="s">
        <v>66</v>
      </c>
      <c r="D205" s="408">
        <v>202</v>
      </c>
      <c r="E205" s="1090">
        <v>302052001</v>
      </c>
      <c r="F205" s="1090" t="str">
        <f>INDEX('卡片raw data'!C:C,MATCH($D205,'卡片raw data'!$F:$F,))</f>
        <v>SR</v>
      </c>
      <c r="G205" s="1094" t="s">
        <v>354</v>
      </c>
      <c r="H205" s="411">
        <f>IFERROR(INDEX(绊状态确认!C:C,MATCH($G205,绊状态确认!$B:$B,)),"")</f>
        <v>205</v>
      </c>
      <c r="I205" s="450" t="str">
        <f>IFERROR(INDEX(绊状态确认!D:D,MATCH($G205,绊状态确认!$B:$B,)),"")</f>
        <v>虹</v>
      </c>
      <c r="J205" s="450" t="str">
        <f>IFERROR(INDEX(绊状态确认!E:E,MATCH($G205,绊状态确认!$B:$B,)),"")</f>
        <v>2年级</v>
      </c>
      <c r="K205" s="451" t="str">
        <f>IFERROR(INDEX(绊状态确认!F:F,MATCH($G205,绊状态确认!$B:$B,)),"")</f>
        <v>Diver Diva</v>
      </c>
      <c r="L205" s="1094" t="str">
        <f>INDEX('卡片raw data'!E:E,MATCH($D205,'卡片raw data'!$F:$F,))</f>
        <v>卡池卡</v>
      </c>
      <c r="M205" s="415">
        <v>43921</v>
      </c>
      <c r="N205" s="416">
        <v>12.5</v>
      </c>
      <c r="O205" s="1091" t="str">
        <f>INDEX('卡片raw data'!D:D,MATCH($D205,'卡片raw data'!$F:$F,))</f>
        <v>sk</v>
      </c>
      <c r="P205" s="417">
        <v>5</v>
      </c>
      <c r="Q205" s="1095">
        <f t="shared" si="258"/>
        <v>25771.067982830118</v>
      </c>
      <c r="R205" s="1096">
        <f t="shared" si="259"/>
        <v>0.29899999999999999</v>
      </c>
      <c r="S205" s="1097">
        <f t="shared" si="260"/>
        <v>16020.550709534429</v>
      </c>
      <c r="T205" s="1098">
        <f t="shared" si="261"/>
        <v>0.80100000000000005</v>
      </c>
      <c r="U205" s="1099">
        <f t="shared" si="262"/>
        <v>10.389679884531427</v>
      </c>
      <c r="V205" s="1100">
        <f t="shared" si="263"/>
        <v>28592.311572183393</v>
      </c>
      <c r="W205" s="1101">
        <f t="shared" si="264"/>
        <v>4510.4324114186393</v>
      </c>
      <c r="X205" s="1096">
        <f t="shared" si="265"/>
        <v>5.1999999999999998E-2</v>
      </c>
      <c r="Y205" s="1097">
        <f t="shared" si="266"/>
        <v>821.24358935327564</v>
      </c>
      <c r="Z205" s="1102">
        <f t="shared" si="267"/>
        <v>10.389679884531427</v>
      </c>
      <c r="AA205" s="1103">
        <f t="shared" si="268"/>
        <v>5331.6760007719149</v>
      </c>
      <c r="AB205" s="1101">
        <f t="shared" si="269"/>
        <v>4510.4324114186393</v>
      </c>
      <c r="AC205" s="1104">
        <f t="shared" si="270"/>
        <v>5.1999999999999998E-2</v>
      </c>
      <c r="AD205" s="1105">
        <f t="shared" si="271"/>
        <v>1.8994224431818179E-2</v>
      </c>
      <c r="AE205" s="1128">
        <f t="shared" si="272"/>
        <v>4.3537577047458456</v>
      </c>
      <c r="AF205" s="1130">
        <f t="shared" si="273"/>
        <v>0</v>
      </c>
      <c r="AG205" s="420">
        <f t="shared" si="274"/>
        <v>0</v>
      </c>
      <c r="AH205" s="420">
        <f t="shared" si="275"/>
        <v>0</v>
      </c>
      <c r="AI205" s="1097">
        <f t="shared" si="276"/>
        <v>0</v>
      </c>
      <c r="AJ205" s="420">
        <f t="shared" si="277"/>
        <v>0</v>
      </c>
      <c r="AK205" s="518">
        <f t="shared" si="278"/>
        <v>0</v>
      </c>
      <c r="AL205" s="1106">
        <f>IF($P205="","N/A",(IF($P205=-1,INDEX('卡片raw data'!S:S,MATCH($D205,'卡片raw data'!$F:$F,)),0)+IF($P205=0,INDEX('卡片raw data'!V:V,MATCH($D205,'卡片raw data'!$F:$F,)),0)+IF($P205=1,INDEX('卡片raw data'!Y:Y,MATCH($D205,'卡片raw data'!$F:$F,)),0)+IF($P205=2,INDEX('卡片raw data'!AB:AB,MATCH($D205,'卡片raw data'!$F:$F,)),0)+IF($P205=3,INDEX('卡片raw data'!AE:AE,MATCH($D205,'卡片raw data'!$F:$F,)),0)+IF($P205=4,INDEX('卡片raw data'!AH:AH,MATCH($D205,'卡片raw data'!$F:$F,)),0)+IF($P205=5,INDEX('卡片raw data'!AK:AK,MATCH($D205,'卡片raw data'!$F:$F,)),0)+INDEX('卡片raw data'!S:S,MATCH($D205,'卡片raw data'!$F:$F,))*(IF($F205="UR",0.04,0.033))*(IF($F205="UR",INDEX(绊状态确认!$S:$S,MATCH($G205,绊状态确认!$B:$B,))/2-40)+IF($F205="SR",INDEX(绊状态确认!$R:$R,MATCH($G205,绊状态确认!$B:$B,))/4-15))+IF($F205="R",INDEX(绊状态确认!$Q:$Q,MATCH($G205,绊状态确认!$B:$B,))/6-40/6)))*(INDEX(绊状态确认!$H:$H,MATCH($G205,绊状态确认!$B:$B,))+INDEX(绊状态确认!J:J,MATCH($G205,绊状态确认!$B:$B,)))</f>
        <v>6865.0355831999996</v>
      </c>
      <c r="AM205" s="1106">
        <f>IF($P205="","N/A",(IF($P205=-1,INDEX('卡片raw data'!T:T,MATCH($D205,'卡片raw data'!$F:$F,)),0)+IF($P205=0,INDEX('卡片raw data'!W:W,MATCH($D205,'卡片raw data'!$F:$F,)),0)+IF($P205=1,INDEX('卡片raw data'!Z:Z,MATCH($D205,'卡片raw data'!$F:$F,)),0)+IF($P205=2,INDEX('卡片raw data'!AC:AC,MATCH($D205,'卡片raw data'!$F:$F,)),0)+IF($P205=3,INDEX('卡片raw data'!AF:AF,MATCH($D205,'卡片raw data'!$F:$F,)),0)+IF($P205=4,INDEX('卡片raw data'!AI:AI,MATCH($D205,'卡片raw data'!$F:$F,)),0)+IF($P205=5,INDEX('卡片raw data'!AL:AL,MATCH($D205,'卡片raw data'!$F:$F,)),0)+INDEX('卡片raw data'!T:T,MATCH($D205,'卡片raw data'!$F:$F,))*(IF($F205="UR",0.04,0.033))*(IF($F205="UR",INDEX(绊状态确认!$S:$S,MATCH($G205,绊状态确认!$B:$B,))/2-40)+IF($F205="SR",INDEX(绊状态确认!$R:$R,MATCH($G205,绊状态确认!$B:$B,))/4-15))+IF($F205="R",INDEX(绊状态确认!$Q:$Q,MATCH($G205,绊状态确认!$B:$B,))/6-40/6)))*(INDEX(绊状态确认!$H:$H,MATCH($G205,绊状态确认!$B:$B,))+INDEX(绊状态确认!K:K,MATCH($G205,绊状态确认!$B:$B,)))</f>
        <v>3922.5527903999991</v>
      </c>
      <c r="AN205" s="1106">
        <f>IF($P205="","N/A",(IF($P205=-1,INDEX('卡片raw data'!U:U,MATCH($D205,'卡片raw data'!$F:$F,)),0)+IF($P205=0,INDEX('卡片raw data'!X:X,MATCH($D205,'卡片raw data'!$F:$F,)),0)+IF($P205=1,INDEX('卡片raw data'!AA:AA,MATCH($D205,'卡片raw data'!$F:$F,)),0)+IF($P205=2,INDEX('卡片raw data'!AD:AD,MATCH($D205,'卡片raw data'!$F:$F,)),0)+IF($P205=3,INDEX('卡片raw data'!AG:AG,MATCH($D205,'卡片raw data'!$F:$F,)),0)+IF($P205=4,INDEX('卡片raw data'!AJ:AJ,MATCH($D205,'卡片raw data'!$F:$F,)),0)+IF($P205=5,INDEX('卡片raw data'!AM:AM,MATCH($D205,'卡片raw data'!$F:$F,)),0)+INDEX('卡片raw data'!U:U,MATCH($D205,'卡片raw data'!$F:$F,))*(IF($F205="UR",0.04,0.033))*(IF($F205="UR",INDEX(绊状态确认!$S:$S,MATCH($G205,绊状态确认!$B:$B,))/2-40)+IF($F205="SR",INDEX(绊状态确认!$R:$R,MATCH($G205,绊状态确认!$B:$B,))/4-15))+IF($F205="R",INDEX(绊状态确认!$Q:$Q,MATCH($G205,绊状态确认!$B:$B,))/6-40/6)))*(INDEX(绊状态确认!$H:$H,MATCH($G205,绊状态确认!$B:$B,))+INDEX(绊状态确认!L:L,MATCH($G205,绊状态确认!$B:$B,)))</f>
        <v>8826.3119783999991</v>
      </c>
      <c r="AO205" s="1107">
        <f t="shared" si="279"/>
        <v>1</v>
      </c>
      <c r="AP205" s="1131">
        <f>1+(INDEX(绊状态确认!$T:$T,MATCH($G205,绊状态确认!$B:$B,))+0.2)*$AO205</f>
        <v>1.3</v>
      </c>
      <c r="AQ205" s="1108">
        <f t="shared" si="280"/>
        <v>21270.718405899999</v>
      </c>
      <c r="AR205" s="1097">
        <f>(AM205*(1+$EX$9)+$EX$35)*(1+(INDEX(绊状态确认!$T:$T,MATCH($G205,绊状态确认!$B:$B,))+0.2)*AO205)*IF(J205=$FF$17,1+$FE$17,1)*IF(I205=$FF$14,1+$FE$14,1)</f>
        <v>8058.2845588959999</v>
      </c>
      <c r="AS205" s="1097">
        <f>(AN205*(1+$EX$10)+$EX$36)*(1+(INDEX(绊状态确认!$T:$T,MATCH($G205,绊状态确认!$B:$B,))+0.2)*AO205)*IF(J205=$FF$17,1+$FE$17,1)*IF(I205=$FF$14,1+$FE$14,1)</f>
        <v>17251.336407708</v>
      </c>
      <c r="AT205" s="1093">
        <f>IF(AND(INDEX('卡片raw data'!AK:AK,MATCH($D205,'卡片raw data'!$F:$F,))&lt;INDEX('卡片raw data'!AM:AM,MATCH($D205,'卡片raw data'!$F:$F,)),INDEX('卡片raw data'!AL:AL,MATCH($D205,'卡片raw data'!$F:$F,))&lt;INDEX('卡片raw data'!AM:AM,MATCH($D205,'卡片raw data'!$F:$F,))),1,0)</f>
        <v>1</v>
      </c>
      <c r="AU205" s="1098">
        <f>MIN(AT205*0.15+AS205*0.00003+INDEX(绊状态确认!M:M,MATCH($G205,绊状态确认!$B:$B,)),1)</f>
        <v>0.69754009223124003</v>
      </c>
      <c r="AV205" s="1109">
        <f>(INDEX(绊状态确认!$N:$N,MATCH($G205,绊状态确认!$B:$B,))+1.5)*$EW$21</f>
        <v>2.6599999999999997</v>
      </c>
      <c r="AW205" s="1101">
        <f t="shared" si="281"/>
        <v>23838.238936224214</v>
      </c>
      <c r="AX205" s="1097">
        <f t="shared" si="282"/>
        <v>684.05339513993408</v>
      </c>
      <c r="AY205" s="1110">
        <f t="shared" si="283"/>
        <v>24522.292331364148</v>
      </c>
      <c r="AZ205" s="429">
        <f t="shared" si="284"/>
        <v>15986.819387239999</v>
      </c>
      <c r="BA205" s="431">
        <f t="shared" si="285"/>
        <v>19184.183264687999</v>
      </c>
      <c r="BB205" s="1097">
        <f>(AM205*(1+$FB$9)+$FB$35)*(1+(INDEX(绊状态确认!$T:$T,MATCH($G205,绊状态确认!$B:$B,))+0.2)*AO205)*IF(J205=$FF$17,1+$FE$17,1)*IF(I205=$FF$14,1+$FE$14,1)*(1+$FE$15)</f>
        <v>8058.2845588959999</v>
      </c>
      <c r="BC205" s="1097">
        <f>(AN205*(1+$FB$10)+$FB$36)*(1+(INDEX(绊状态确认!$T:$T,MATCH($G205,绊状态确认!$B:$B,))+0.2)*AO205)*IF(J205=$FF$17,1+$FE$17,1)*IF(I205=$FF$14,1+$FE$14,1)*(1+$FE$15)</f>
        <v>17251.336407708</v>
      </c>
      <c r="BD205" s="1104">
        <f>MIN(AT205*0.15+BC205*0.00003+INDEX(绊状态确认!M:M,MATCH($G205,绊状态确认!$B:$B,)),1)</f>
        <v>0.69754009223124003</v>
      </c>
      <c r="BE205" s="432">
        <f>(INDEX(绊状态确认!$N:$N,MATCH($G205,绊状态确认!$B:$B,))+1.5)</f>
        <v>1.9</v>
      </c>
      <c r="BF205" s="1139">
        <f t="array" ref="BF205">SUMPRODUCT(IF(AZ205*AP205*$FI$16:$FI$23*$FA$22&gt;=$FI$24,$FI$24,AZ205*AP205*$FI$16:$FI$23*$FA$22),$FJ$16:$FJ$23)</f>
        <v>31797.783761220358</v>
      </c>
      <c r="BG205" s="1125">
        <f t="array" ref="BG205">SUMPRODUCT(IF(BE205*AZ205*AP205*$FI$16:$FI$23*$FA$22&gt;=$FI$24,$FI$24,BE205*AZ205*AP205*$FI$16:$FI$23*$FA$22),$FJ$16:$FJ$23)</f>
        <v>56774.578425780725</v>
      </c>
      <c r="BH205" s="1110">
        <f t="shared" si="286"/>
        <v>16406.699805059514</v>
      </c>
      <c r="BI205" s="1111">
        <f>IF(O205="vo",$EW$26/$EW$24*0.05,0)+IF(O205="sk",-$EW$26/$EW$24*(0.05-INDEX(绊状态确认!W:W,MATCH($G205,绊状态确认!$B:$B,)))+0.05*$EW$28,0)+IF(O205="sp",0.05*$EW$32*$EW$30*(1-$EW$33)-(0.05-INDEX(绊状态确认!V:V,MATCH($G205,绊状态确认!$B:$B,)))*$EW$28,0)+IF(O205="gd",-(0.05-INDEX(绊状态确认!X:X,MATCH($G205,绊状态确认!$B:$B,)))*$EW$32*$EW$30*(1-$EW$33),0)</f>
        <v>-6253.6726349699375</v>
      </c>
      <c r="BJ205" s="1097">
        <f>IF(O205="vo",0.05*(1-$FI$26)*$FA$24,0)+IF(O205="sk",-(0.05-INDEX(绊状态确认!W:W,MATCH($G205,绊状态确认!$B:$B,)))*(1-$FI$26)*$FA$24+0.05*$FA$26,0)+IF(O205="sp",0.05*$FA$32*$FA$27*(1-$FA$33)/$FA$30+0.05*$FA$29/$FA$69*$FA$27*(1-$FA$33)-(0.05-INDEX(绊状态确认!V:V,MATCH($G205,绊状态确认!$B:$B,)))*$FA$26,0)+IF(O205="gd",-(0.05-INDEX(绊状态确认!X:X,MATCH($G205,绊状态确认!$B:$B,)))*$FA$32*$FA$27*(1-$FA$33)/$FA$30-(0.05-INDEX(绊状态确认!X:X,MATCH($G205,绊状态确认!$B:$B,)))*$FA$29/$FA$69*$FA$27*(1-$FA$33),0)</f>
        <v>20.459096812499922</v>
      </c>
      <c r="BK205" s="1110">
        <f>IF(O205="vo",$EW$26/$EW$24*0.05+$EW$26*(-HP($EW$62,$EW$65,$EW$64)+HP($EW$62,$EW$65,(1.05-INDEX(绊状态确认!U:U,MATCH($G205,绊状态确认!$B:$B,)))*$EW$64)),0)+IF(O205="sk",-$EW$26/$EW$24*(0.05-INDEX(绊状态确认!W:W,MATCH($G205,绊状态确认!$B:$B,)))+0.05*$EW$29,0)+IF(O205="sp",0.05*$EW$32*$EW$30*(1-$EW$33)-(0.05-INDEX(绊状态确认!V:V,MATCH($G205,绊状态确认!$B:$B,)))*$EW$29,0)+IF(O205="gd",-(0.05-INDEX(绊状态确认!X:X,MATCH($G205,绊状态确认!$B:$B,)))*$EW$32*$EW$30*(1-$EW$33)+$EW$26*(-HP($EW$62,$EW$65,$EW$64)+HP($EW$62,$EW$65,0.95*$EW$64)),0)</f>
        <v>-4253.6726349699375</v>
      </c>
      <c r="BL205" s="1111">
        <f t="shared" si="287"/>
        <v>-1083.3333333333333</v>
      </c>
      <c r="BM205" s="1110">
        <f t="shared" si="288"/>
        <v>-830.55555555555543</v>
      </c>
      <c r="BN205" s="1113">
        <f t="shared" si="289"/>
        <v>3</v>
      </c>
      <c r="BO205" s="1097">
        <f t="shared" si="290"/>
        <v>4507.7214871259994</v>
      </c>
      <c r="BP205" s="1100">
        <f t="shared" si="291"/>
        <v>221.34103209030098</v>
      </c>
      <c r="BQ205" s="1113" t="s">
        <v>144</v>
      </c>
      <c r="BR205" s="1124" t="s">
        <v>146</v>
      </c>
      <c r="BS205" s="1098">
        <f>IF($P205="","N/A",IF($P205=-1,INDEX('卡片raw data'!AX:AX,MATCH($D205,'卡片raw data'!$F:$F,)),0)+IF($L205="party卡",IF($P205=5,INDEX('卡片raw data'!BD:BD,MATCH($D205,'卡片raw data'!$F:$F,)),IF($P205&gt;=3,INDEX('卡片raw data'!BC:BC,MATCH($D205,'卡片raw data'!$F:$F,)),INDEX('卡片raw data'!BB:BB,MATCH($D205,'卡片raw data'!$F:$F,)))),IF(OR(AND($F205="UR",$P205=0),AND($F205="SR",$P205&gt;=0,$P205&lt;=2),AND($F205="R",$P205&gt;=0,$P205&lt;4)),INDEX('卡片raw data'!AZ:AZ,MATCH($D205,'卡片raw data'!$F:$F,)),0)+IF(OR(AND($F205="UR",$P205&gt;=1,$P205&lt;=4),AND($F205="SR",$P205&lt;=4,$P205&gt;=3),AND($F205="R",$P205=4)),INDEX('卡片raw data'!BA:BA,MATCH($D205,'卡片raw data'!$F:$F,)),0)+IF($P205=5,INDEX('卡片raw data'!BB:BB,MATCH($D205,'卡片raw data'!$F:$F,)),0)))</f>
        <v>0.05</v>
      </c>
      <c r="BT205" s="1101">
        <f t="shared" si="292"/>
        <v>0</v>
      </c>
      <c r="BU205" s="1097">
        <f t="shared" si="293"/>
        <v>0</v>
      </c>
      <c r="BV205" s="1097">
        <f t="shared" si="294"/>
        <v>0</v>
      </c>
      <c r="BW205" s="1112">
        <f t="shared" si="295"/>
        <v>1.7558035714285711</v>
      </c>
      <c r="BX205" s="1100">
        <f t="shared" si="296"/>
        <v>137.19019421334193</v>
      </c>
      <c r="BY205" s="1110">
        <f t="shared" si="297"/>
        <v>137.19019421334193</v>
      </c>
      <c r="BZ205" s="1107" t="s">
        <v>569</v>
      </c>
      <c r="CA205" s="1124"/>
      <c r="CB205" s="1098">
        <f>IF($P205="","N/A",IF($P205=-1,INDEX('卡片raw data'!BE:BE,MATCH($D205,'卡片raw data'!$F:$F,)),0)+IF($L205="party卡",IF($P205=5,INDEX('卡片raw data'!BK:BK,MATCH($D205,'卡片raw data'!$F:$F,)),IF($P205&gt;=3,INDEX('卡片raw data'!BJ:BJ,MATCH($D205,'卡片raw data'!$F:$F,)),INDEX('卡片raw data'!BI:BI,MATCH($D205,'卡片raw data'!$F:$F,)))),IF(OR(AND($F205="UR",$P205=0),AND($F205="SR",$P205&gt;=0,$P205&lt;=2),AND($F205="R",$P205&gt;=0,$P205&lt;4)),INDEX('卡片raw data'!BG:BG,MATCH($D205,'卡片raw data'!$F:$F,)),0)+IF(OR(AND($F205="UR",$P205&gt;=1,$P205&lt;=4),AND($F205="SR",$P205&lt;=4,$P205&gt;=3),AND($F205="R",$P205=4)),INDEX('卡片raw data'!BH:BH,MATCH($D205,'卡片raw data'!$F:$F,)),0)+IF($P205=5,INDEX('卡片raw data'!BI:BI,MATCH($D205,'卡片raw data'!$F:$F,)),0)))</f>
        <v>0</v>
      </c>
      <c r="CC205" s="1101">
        <f t="shared" si="298"/>
        <v>0</v>
      </c>
      <c r="CD205" s="1097">
        <f>IF(BZ205="ap",CB205*(1-$FI$26)*$FB$5/$FB$11*(+IF(CA205="全员",$FA$24,0)+IF(CA205="同作战",$FA$24,0)+IF(CA205="仲间",$FA$24*2/3,0)+IF(CA205="同属性",$FA$24*$FA$37/3,0)+IF(CA205="同年级",$FA$24*$FA$40/3,0)+IF(CA205="同学校",$FA$24*$FA$43/3,0)+IF(CA205="同小队",$FA$24*$FA$46/3,0)+IF(CA205="同type",$FA$24*INDEX($FB$49:$FB$52,MATCH(X205,$FA$49:$FA$52,))/3,0)+IF(CA205="自身",#REF!/3,0)),0)+IF(BZ205="te",CB205*(1-$FI$27)*($FA$20-1)*$FB$7/$FB$13*(+IF(CA205="全员",$FA$19*$FA$24/(1+($FA$20-1)*$FA$19),0)+IF(CA205="同作战",$FA$19*$FA$24/(1+($FA$20-1)*$FA$19),0)+IF(CA205="仲间",$FA$19*$FA$24*2/3/(1+($FA$20-1)*$FA$19),0)+IF(CA205="同属性",$FA$19*$FA$24*$FA$37/3/(1+($FA$20-1)*$FA$19),0)+IF(CA205="同年级",$FA$19*$FA$24*$FA$40/3/(1+($FA$20-1)*$FA$19),0)+IF(CA205="同学校",$FA$19*$FA$24*$FA$43/3/(1+($FA$20-1)*$FA$19),0)+IF(CA205="同小队",$FA$19*$FA$24*$FA$46/3/(1+($FA$20-1)*$FA$19),0)+IF(CA205="同type",$FA$19*$FA$24*INDEX($FB$49:$FB$52,MATCH(X205,$FA$49:$FA$52,))/3/(1+($FA$20-1)*$FA$19),0)+IF(CA205="自身",$FA$19*#REF!/3/(1+(BH205-1)*$BD205),0)),0)</f>
        <v>0</v>
      </c>
      <c r="CE205" s="1097">
        <f t="shared" si="299"/>
        <v>0</v>
      </c>
      <c r="CF205" s="1112">
        <f t="shared" si="300"/>
        <v>0</v>
      </c>
      <c r="CG205" s="1100">
        <f t="shared" si="301"/>
        <v>0</v>
      </c>
      <c r="CH205" s="1110">
        <f t="shared" si="302"/>
        <v>0</v>
      </c>
      <c r="CI205" s="1113" t="s">
        <v>170</v>
      </c>
      <c r="CJ205" s="1114">
        <v>0.2</v>
      </c>
      <c r="CK205" s="1115" t="s">
        <v>545</v>
      </c>
      <c r="CL205" s="1115" t="s">
        <v>1941</v>
      </c>
      <c r="CM205" s="1119">
        <v>0.2</v>
      </c>
      <c r="CN205" s="1115"/>
      <c r="CO205" s="1092"/>
      <c r="CP205" s="1116">
        <f t="shared" si="303"/>
        <v>2.4644766296725722</v>
      </c>
      <c r="CQ205" s="1116">
        <f t="shared" si="304"/>
        <v>3.8336303128240008</v>
      </c>
      <c r="CR205" s="1116">
        <f t="shared" si="305"/>
        <v>2.4644766296725722</v>
      </c>
      <c r="CS205" s="1118">
        <f t="shared" si="306"/>
        <v>0</v>
      </c>
      <c r="CT205" s="1109">
        <f t="shared" si="307"/>
        <v>0</v>
      </c>
      <c r="CU205" s="1101">
        <f t="shared" si="308"/>
        <v>2.7109242926398296</v>
      </c>
      <c r="CV205" s="1108">
        <f t="shared" si="309"/>
        <v>3.8336303128240008</v>
      </c>
      <c r="CW205" s="1097">
        <f t="shared" si="310"/>
        <v>2.7109242926398296</v>
      </c>
      <c r="CX205" s="1097">
        <f t="shared" si="311"/>
        <v>2.7109242926398296</v>
      </c>
      <c r="CY205" s="1110">
        <f t="shared" si="312"/>
        <v>2.7109242926398296</v>
      </c>
      <c r="CZ205" s="437"/>
      <c r="DA205" s="438"/>
      <c r="DB205" s="439" t="s">
        <v>569</v>
      </c>
      <c r="DC205" s="439"/>
      <c r="DD205" s="443"/>
      <c r="DE205" s="411"/>
      <c r="DF205" s="411"/>
      <c r="DG205" s="1116">
        <f t="shared" si="313"/>
        <v>0</v>
      </c>
      <c r="DH205" s="1116">
        <f t="shared" si="314"/>
        <v>0</v>
      </c>
      <c r="DI205" s="1116">
        <f t="shared" si="315"/>
        <v>0</v>
      </c>
      <c r="DJ205" s="442">
        <f t="shared" si="316"/>
        <v>0</v>
      </c>
      <c r="DK205" s="1109">
        <f t="shared" si="317"/>
        <v>0</v>
      </c>
      <c r="DL205" s="1101">
        <f t="shared" si="318"/>
        <v>0</v>
      </c>
      <c r="DM205" s="1097">
        <f t="shared" si="319"/>
        <v>0</v>
      </c>
      <c r="DN205" s="1097">
        <f t="shared" si="320"/>
        <v>0</v>
      </c>
      <c r="DO205" s="1097">
        <f t="shared" si="321"/>
        <v>0</v>
      </c>
      <c r="DP205" s="1110">
        <f t="shared" si="322"/>
        <v>0</v>
      </c>
      <c r="DQ205" s="1113" t="s">
        <v>566</v>
      </c>
      <c r="DR205" s="1120">
        <f t="shared" si="323"/>
        <v>0.3</v>
      </c>
      <c r="DS205" s="1124">
        <v>5</v>
      </c>
      <c r="DT205" s="1093" t="s">
        <v>168</v>
      </c>
      <c r="DU205" s="1093" t="s">
        <v>560</v>
      </c>
      <c r="DV205" s="1098">
        <f>IF($P205="","N/A",IF(P205=-1,INDEX('卡片raw data'!AN:AN,MATCH(D205,'卡片raw data'!$F:$F,)),0)+IF(AND(L205&lt;&gt;"party卡",P205&lt;=2,P205&gt;=0),INDEX('卡片raw data'!AP:AP,MATCH(D205,'卡片raw data'!$F:$F,)),0)+IF(OR(AND(L205="party卡",P205&lt;=1),AND(P205&lt;=4,L205&lt;&gt;"party卡",P205&gt;=3)),INDEX('卡片raw data'!AQ:AQ,MATCH(D205,'卡片raw data'!$F:$F,)),0)+IF(OR(P205=5,AND(L205="party卡",P205&gt;=2)),INDEX('卡片raw data'!AR:AR,MATCH(D205,'卡片raw data'!$F:$F,)),0))</f>
        <v>7.0000000000000007E-2</v>
      </c>
      <c r="DW205" s="1098">
        <f t="shared" si="324"/>
        <v>0.3</v>
      </c>
      <c r="DX205" s="1098">
        <f t="shared" si="325"/>
        <v>0.3</v>
      </c>
      <c r="DY205" s="1098">
        <f t="shared" si="326"/>
        <v>3.5000000000000003E-2</v>
      </c>
      <c r="DZ205" s="1098">
        <f t="shared" si="327"/>
        <v>3.0275000000000003E-2</v>
      </c>
      <c r="EA205" s="1098">
        <f t="shared" si="328"/>
        <v>0</v>
      </c>
      <c r="EB205" s="1121">
        <f t="shared" si="329"/>
        <v>0</v>
      </c>
      <c r="EC205" s="1101">
        <f t="shared" si="330"/>
        <v>4759.4026034905355</v>
      </c>
      <c r="ED205" s="1097">
        <f t="shared" si="331"/>
        <v>198.7727008148438</v>
      </c>
      <c r="EE205" s="1110">
        <f t="shared" si="332"/>
        <v>4759.4026034905355</v>
      </c>
      <c r="EF205" s="1092" t="s">
        <v>711</v>
      </c>
      <c r="EG205" s="1120">
        <f t="shared" si="333"/>
        <v>0.3</v>
      </c>
      <c r="EH205" s="1124"/>
      <c r="EI205" s="1093"/>
      <c r="EJ205" s="1093"/>
      <c r="EK205" s="1097">
        <f>IF($P205="","N/A",IF(P205=-1,INDEX('卡片raw data'!AS:AS,MATCH(D205,'卡片raw data'!$F:$F,)),0)+IF(AND(L205&lt;&gt;"party卡",P205&lt;=2,P205&gt;=0),INDEX('卡片raw data'!AU:AU,MATCH(D205,'卡片raw data'!$F:$F,)),0)+IF(OR(AND(L205="party卡",P205&lt;=1),AND(P205&lt;=4,L205&lt;&gt;"party卡",P205&gt;=3)),INDEX('卡片raw data'!AV:AV,MATCH(D205,'卡片raw data'!$F:$F,)),0)+IF(OR(P205=5,AND(L205="party卡",P205&gt;=2)),INDEX('卡片raw data'!AW:AW,MATCH(D205,'卡片raw data'!$F:$F,)),0))</f>
        <v>0</v>
      </c>
      <c r="EL205" s="1098">
        <f t="shared" si="334"/>
        <v>0.3</v>
      </c>
      <c r="EM205" s="1098">
        <f t="shared" si="335"/>
        <v>0.3</v>
      </c>
      <c r="EN205" s="1125">
        <f t="shared" si="336"/>
        <v>0</v>
      </c>
      <c r="EO205" s="1125">
        <f t="shared" si="337"/>
        <v>0</v>
      </c>
      <c r="EP205" s="1098">
        <f t="shared" si="338"/>
        <v>0</v>
      </c>
      <c r="EQ205" s="1121">
        <f t="shared" si="339"/>
        <v>0</v>
      </c>
      <c r="ER205" s="1101">
        <f t="shared" si="340"/>
        <v>0</v>
      </c>
      <c r="ES205" s="1097">
        <f t="shared" si="341"/>
        <v>0</v>
      </c>
      <c r="ET205" s="1122">
        <f t="shared" si="342"/>
        <v>0</v>
      </c>
    </row>
    <row r="206" spans="2:150" ht="16.5" customHeight="1">
      <c r="B206" s="1123" t="str">
        <f>INDEX('卡片raw data'!B:B,MATCH($D206,'卡片raw data'!$F:$F,))</f>
        <v>常服步</v>
      </c>
      <c r="C206" s="449" t="s">
        <v>123</v>
      </c>
      <c r="D206" s="408">
        <v>203</v>
      </c>
      <c r="E206" s="1090">
        <v>502011001</v>
      </c>
      <c r="F206" s="1090" t="str">
        <f>INDEX('卡片raw data'!C:C,MATCH($D206,'卡片raw data'!$F:$F,))</f>
        <v>R</v>
      </c>
      <c r="G206" s="1094" t="s">
        <v>350</v>
      </c>
      <c r="H206" s="411">
        <f>IFERROR(INDEX(绊状态确认!C:C,MATCH($G206,绊状态确认!$B:$B,)),"")</f>
        <v>201</v>
      </c>
      <c r="I206" s="450" t="str">
        <f>IFERROR(INDEX(绊状态确认!D:D,MATCH($G206,绊状态确认!$B:$B,)),"")</f>
        <v>虹</v>
      </c>
      <c r="J206" s="450" t="str">
        <f>IFERROR(INDEX(绊状态确认!E:E,MATCH($G206,绊状态确认!$B:$B,)),"")</f>
        <v>2年级</v>
      </c>
      <c r="K206" s="451" t="str">
        <f>IFERROR(INDEX(绊状态确认!F:F,MATCH($G206,绊状态确认!$B:$B,)),"")</f>
        <v>A·ZU·NA</v>
      </c>
      <c r="L206" s="1094" t="str">
        <f>INDEX('卡片raw data'!E:E,MATCH($D206,'卡片raw data'!$F:$F,))</f>
        <v>卡池卡</v>
      </c>
      <c r="M206" s="415">
        <v>43927</v>
      </c>
      <c r="N206" s="416">
        <v>13</v>
      </c>
      <c r="O206" s="1091" t="str">
        <f>INDEX('卡片raw data'!D:D,MATCH($D206,'卡片raw data'!$F:$F,))</f>
        <v>vo</v>
      </c>
      <c r="P206" s="417">
        <v>5</v>
      </c>
      <c r="Q206" s="1095">
        <f t="shared" si="258"/>
        <v>31825.082448317622</v>
      </c>
      <c r="R206" s="1096">
        <f t="shared" si="259"/>
        <v>0.37</v>
      </c>
      <c r="S206" s="1097">
        <f t="shared" si="260"/>
        <v>12855.595885532188</v>
      </c>
      <c r="T206" s="1098">
        <f t="shared" si="261"/>
        <v>0.64200000000000002</v>
      </c>
      <c r="U206" s="1099">
        <f t="shared" si="262"/>
        <v>-19.889093122857144</v>
      </c>
      <c r="V206" s="1100">
        <f t="shared" si="263"/>
        <v>30922.463452451881</v>
      </c>
      <c r="W206" s="1101">
        <f t="shared" si="264"/>
        <v>3005.1476580839999</v>
      </c>
      <c r="X206" s="1096">
        <f t="shared" si="265"/>
        <v>3.4000000000000002E-2</v>
      </c>
      <c r="Y206" s="1097">
        <f t="shared" si="266"/>
        <v>402.04945437596143</v>
      </c>
      <c r="Z206" s="1102">
        <f t="shared" si="267"/>
        <v>5.110906877142857</v>
      </c>
      <c r="AA206" s="1103">
        <f t="shared" si="268"/>
        <v>3407.1971124599613</v>
      </c>
      <c r="AB206" s="1101">
        <f t="shared" si="269"/>
        <v>6010.2953161679998</v>
      </c>
      <c r="AC206" s="1104">
        <f t="shared" si="270"/>
        <v>6.9000000000000006E-2</v>
      </c>
      <c r="AD206" s="1105">
        <f t="shared" si="271"/>
        <v>-3.8207812500000026E-3</v>
      </c>
      <c r="AE206" s="1128">
        <f t="shared" si="272"/>
        <v>-22.692028985507246</v>
      </c>
      <c r="AF206" s="1130">
        <f t="shared" si="273"/>
        <v>0</v>
      </c>
      <c r="AG206" s="420">
        <f t="shared" si="274"/>
        <v>0</v>
      </c>
      <c r="AH206" s="420">
        <f t="shared" si="275"/>
        <v>0</v>
      </c>
      <c r="AI206" s="1097">
        <f t="shared" si="276"/>
        <v>0</v>
      </c>
      <c r="AJ206" s="420">
        <f t="shared" si="277"/>
        <v>0</v>
      </c>
      <c r="AK206" s="518">
        <f t="shared" si="278"/>
        <v>0</v>
      </c>
      <c r="AL206" s="1106">
        <f>IF($P206="","N/A",(IF($P206=-1,INDEX('卡片raw data'!S:S,MATCH($D206,'卡片raw data'!$F:$F,)),0)+IF($P206=0,INDEX('卡片raw data'!V:V,MATCH($D206,'卡片raw data'!$F:$F,)),0)+IF($P206=1,INDEX('卡片raw data'!Y:Y,MATCH($D206,'卡片raw data'!$F:$F,)),0)+IF($P206=2,INDEX('卡片raw data'!AB:AB,MATCH($D206,'卡片raw data'!$F:$F,)),0)+IF($P206=3,INDEX('卡片raw data'!AE:AE,MATCH($D206,'卡片raw data'!$F:$F,)),0)+IF($P206=4,INDEX('卡片raw data'!AH:AH,MATCH($D206,'卡片raw data'!$F:$F,)),0)+IF($P206=5,INDEX('卡片raw data'!AK:AK,MATCH($D206,'卡片raw data'!$F:$F,)),0)+INDEX('卡片raw data'!S:S,MATCH($D206,'卡片raw data'!$F:$F,))*(IF($F206="UR",0.04,0.033))*(IF($F206="UR",INDEX(绊状态确认!$S:$S,MATCH($G206,绊状态确认!$B:$B,))/2-40)+IF($F206="SR",INDEX(绊状态确认!$R:$R,MATCH($G206,绊状态确认!$B:$B,))/4-15))+IF($F206="R",INDEX(绊状态确认!$Q:$Q,MATCH($G206,绊状态确认!$B:$B,))/6-40/6)))*(INDEX(绊状态确认!$H:$H,MATCH($G206,绊状态确认!$B:$B,))+INDEX(绊状态确认!J:J,MATCH($G206,绊状态确认!$B:$B,)))</f>
        <v>6730.8971999999994</v>
      </c>
      <c r="AM206" s="1106">
        <f>IF($P206="","N/A",(IF($P206=-1,INDEX('卡片raw data'!T:T,MATCH($D206,'卡片raw data'!$F:$F,)),0)+IF($P206=0,INDEX('卡片raw data'!W:W,MATCH($D206,'卡片raw data'!$F:$F,)),0)+IF($P206=1,INDEX('卡片raw data'!Z:Z,MATCH($D206,'卡片raw data'!$F:$F,)),0)+IF($P206=2,INDEX('卡片raw data'!AC:AC,MATCH($D206,'卡片raw data'!$F:$F,)),0)+IF($P206=3,INDEX('卡片raw data'!AF:AF,MATCH($D206,'卡片raw data'!$F:$F,)),0)+IF($P206=4,INDEX('卡片raw data'!AI:AI,MATCH($D206,'卡片raw data'!$F:$F,)),0)+IF($P206=5,INDEX('卡片raw data'!AL:AL,MATCH($D206,'卡片raw data'!$F:$F,)),0)+INDEX('卡片raw data'!T:T,MATCH($D206,'卡片raw data'!$F:$F,))*(IF($F206="UR",0.04,0.033))*(IF($F206="UR",INDEX(绊状态确认!$S:$S,MATCH($G206,绊状态确认!$B:$B,))/2-40)+IF($F206="SR",INDEX(绊状态确认!$R:$R,MATCH($G206,绊状态确认!$B:$B,))/4-15))+IF($F206="R",INDEX(绊状态确认!$Q:$Q,MATCH($G206,绊状态确认!$B:$B,))/6-40/6)))*(INDEX(绊状态确认!$H:$H,MATCH($G206,绊状态确认!$B:$B,))+INDEX(绊状态确认!K:K,MATCH($G206,绊状态确认!$B:$B,)))</f>
        <v>1513.6847999999998</v>
      </c>
      <c r="AN206" s="1106">
        <f>IF($P206="","N/A",(IF($P206=-1,INDEX('卡片raw data'!U:U,MATCH($D206,'卡片raw data'!$F:$F,)),0)+IF($P206=0,INDEX('卡片raw data'!X:X,MATCH($D206,'卡片raw data'!$F:$F,)),0)+IF($P206=1,INDEX('卡片raw data'!AA:AA,MATCH($D206,'卡片raw data'!$F:$F,)),0)+IF($P206=2,INDEX('卡片raw data'!AD:AD,MATCH($D206,'卡片raw data'!$F:$F,)),0)+IF($P206=3,INDEX('卡片raw data'!AG:AG,MATCH($D206,'卡片raw data'!$F:$F,)),0)+IF($P206=4,INDEX('卡片raw data'!AJ:AJ,MATCH($D206,'卡片raw data'!$F:$F,)),0)+IF($P206=5,INDEX('卡片raw data'!AM:AM,MATCH($D206,'卡片raw data'!$F:$F,)),0)+INDEX('卡片raw data'!U:U,MATCH($D206,'卡片raw data'!$F:$F,))*(IF($F206="UR",0.04,0.033))*(IF($F206="UR",INDEX(绊状态确认!$S:$S,MATCH($G206,绊状态确认!$B:$B,))/2-40)+IF($F206="SR",INDEX(绊状态确认!$R:$R,MATCH($G206,绊状态确认!$B:$B,))/4-15))+IF($F206="R",INDEX(绊状态确认!$Q:$Q,MATCH($G206,绊状态确认!$B:$B,))/6-40/6)))*(INDEX(绊状态确认!$H:$H,MATCH($G206,绊状态确认!$B:$B,))+INDEX(绊状态确认!L:L,MATCH($G206,绊状态确认!$B:$B,)))</f>
        <v>5496.7667999999994</v>
      </c>
      <c r="AO206" s="1107">
        <f t="shared" si="279"/>
        <v>1</v>
      </c>
      <c r="AP206" s="1131">
        <f>1+(INDEX(绊状态确认!$T:$T,MATCH($G206,绊状态确认!$B:$B,))+0.2)*$AO206</f>
        <v>1.3</v>
      </c>
      <c r="AQ206" s="1108">
        <f t="shared" si="280"/>
        <v>20918.605149999999</v>
      </c>
      <c r="AR206" s="1097">
        <f>(AM206*(1+$EX$9)+$EX$35)*(1+(INDEX(绊状态确认!$T:$T,MATCH($G206,绊状态确认!$B:$B,))+0.2)*AO206)*IF(J206=$FF$17,1+$FE$17,1)*IF(I206=$FF$14,1+$FE$14,1)</f>
        <v>4770.179752</v>
      </c>
      <c r="AS206" s="1097">
        <f>(AN206*(1+$EX$10)+$EX$36)*(1+(INDEX(绊状态确认!$T:$T,MATCH($G206,绊状态确认!$B:$B,))+0.2)*AO206)*IF(J206=$FF$17,1+$FE$17,1)*IF(I206=$FF$14,1+$FE$14,1)</f>
        <v>12273.666366000001</v>
      </c>
      <c r="AT206" s="1093">
        <f>IF(AND(INDEX('卡片raw data'!AK:AK,MATCH($D206,'卡片raw data'!$F:$F,))&lt;INDEX('卡片raw data'!AM:AM,MATCH($D206,'卡片raw data'!$F:$F,)),INDEX('卡片raw data'!AL:AL,MATCH($D206,'卡片raw data'!$F:$F,))&lt;INDEX('卡片raw data'!AM:AM,MATCH($D206,'卡片raw data'!$F:$F,))),1,0)</f>
        <v>0</v>
      </c>
      <c r="AU206" s="1098">
        <f>MIN(AT206*0.15+AS206*0.00003+INDEX(绊状态确认!M:M,MATCH($G206,绊状态确认!$B:$B,)),1)</f>
        <v>0.39820999098000009</v>
      </c>
      <c r="AV206" s="1109">
        <f>(INDEX(绊状态确认!$N:$N,MATCH($G206,绊状态确认!$B:$B,))+1.5)*$EW$21</f>
        <v>2.6599999999999997</v>
      </c>
      <c r="AW206" s="1101">
        <f t="shared" si="281"/>
        <v>18045.428233737028</v>
      </c>
      <c r="AX206" s="1097">
        <f t="shared" si="282"/>
        <v>402.0494543759612</v>
      </c>
      <c r="AY206" s="1110">
        <f t="shared" si="283"/>
        <v>18447.477688112987</v>
      </c>
      <c r="AZ206" s="429">
        <f t="shared" si="284"/>
        <v>15725.249539999999</v>
      </c>
      <c r="BA206" s="431">
        <f t="shared" si="285"/>
        <v>18870.299447999998</v>
      </c>
      <c r="BB206" s="1097">
        <f>(AM206*(1+$FB$9)+$FB$35)*(1+(INDEX(绊状态确认!$T:$T,MATCH($G206,绊状态确认!$B:$B,))+0.2)*AO206)*IF(J206=$FF$17,1+$FE$17,1)*IF(I206=$FF$14,1+$FE$14,1)*(1+$FE$15)</f>
        <v>4770.179752</v>
      </c>
      <c r="BC206" s="1097">
        <f>(AN206*(1+$FB$10)+$FB$36)*(1+(INDEX(绊状态确认!$T:$T,MATCH($G206,绊状态确认!$B:$B,))+0.2)*AO206)*IF(J206=$FF$17,1+$FE$17,1)*IF(I206=$FF$14,1+$FE$14,1)*(1+$FE$15)</f>
        <v>12273.666366000001</v>
      </c>
      <c r="BD206" s="1104">
        <f>MIN(AT206*0.15+BC206*0.00003+INDEX(绊状态确认!M:M,MATCH($G206,绊状态确认!$B:$B,)),1)</f>
        <v>0.39820999098000009</v>
      </c>
      <c r="BE206" s="432">
        <f>(INDEX(绊状态确认!$N:$N,MATCH($G206,绊状态确认!$B:$B,))+1.5)</f>
        <v>1.9</v>
      </c>
      <c r="BF206" s="1139">
        <f t="array" ref="BF206">SUMPRODUCT(IF(AZ206*AP206*$FI$16:$FI$23*$FA$22&gt;=$FI$24,$FI$24,AZ206*AP206*$FI$16:$FI$23*$FA$22),$FJ$16:$FJ$23)</f>
        <v>31277.521335060002</v>
      </c>
      <c r="BG206" s="1125">
        <f t="array" ref="BG206">SUMPRODUCT(IF(BE206*AZ206*AP206*$FI$16:$FI$23*$FA$22&gt;=$FI$24,$FI$24,BE206*AZ206*AP206*$FI$16:$FI$23*$FA$22),$FJ$16:$FJ$23)</f>
        <v>56238.334081954003</v>
      </c>
      <c r="BH206" s="1110">
        <f t="shared" si="286"/>
        <v>13739.05545128471</v>
      </c>
      <c r="BI206" s="1111">
        <f>IF(O206="vo",$EW$26/$EW$24*0.05,0)+IF(O206="sk",-$EW$26/$EW$24*(0.05-INDEX(绊状态确认!W:W,MATCH($G206,绊状态确认!$B:$B,)))+0.05*$EW$28,0)+IF(O206="sp",0.05*$EW$32*$EW$30*(1-$EW$33)-(0.05-INDEX(绊状态确认!V:V,MATCH($G206,绊状态确认!$B:$B,)))*$EW$28,0)+IF(O206="gd",-(0.05-INDEX(绊状态确认!X:X,MATCH($G206,绊状态确认!$B:$B,)))*$EW$32*$EW$30*(1-$EW$33),0)</f>
        <v>7726.3029277443748</v>
      </c>
      <c r="BJ206" s="1097">
        <f>IF(O206="vo",0.05*(1-$FI$26)*$FA$24,0)+IF(O206="sk",-(0.05-INDEX(绊状态确认!W:W,MATCH($G206,绊状态确认!$B:$B,)))*(1-$FI$26)*$FA$24+0.05*$FA$26,0)+IF(O206="sp",0.05*$FA$32*$FA$27*(1-$FA$33)/$FA$30+0.05*$FA$29/$FA$69*$FA$27*(1-$FA$33)-(0.05-INDEX(绊状态确认!V:V,MATCH($G206,绊状态确认!$B:$B,)))*$FA$26,0)+IF(O206="gd",-(0.05-INDEX(绊状态确认!X:X,MATCH($G206,绊状态确认!$B:$B,)))*$FA$32*$FA$27*(1-$FA$33)/$FA$30-(0.05-INDEX(绊状态确认!X:X,MATCH($G206,绊状态确认!$B:$B,)))*$FA$29/$FA$69*$FA$27*(1-$FA$33),0)</f>
        <v>393.93433687500004</v>
      </c>
      <c r="BK206" s="1110">
        <f>IF(O206="vo",$EW$26/$EW$24*0.05+$EW$26*(-HP($EW$62,$EW$65,$EW$64)+HP($EW$62,$EW$65,(1.05-INDEX(绊状态确认!U:U,MATCH($G206,绊状态确认!$B:$B,)))*$EW$64)),0)+IF(O206="sk",-$EW$26/$EW$24*(0.05-INDEX(绊状态确认!W:W,MATCH($G206,绊状态确认!$B:$B,)))+0.05*$EW$29,0)+IF(O206="sp",0.05*$EW$32*$EW$30*(1-$EW$33)-(0.05-INDEX(绊状态确认!V:V,MATCH($G206,绊状态确认!$B:$B,)))*$EW$29,0)+IF(O206="gd",-(0.05-INDEX(绊状态确认!X:X,MATCH($G206,绊状态确认!$B:$B,)))*$EW$32*$EW$30*(1-$EW$33)+$EW$26*(-HP($EW$62,$EW$65,$EW$64)+HP($EW$62,$EW$65,0.95*$EW$64)),0)</f>
        <v>6421.6344775026746</v>
      </c>
      <c r="BL206" s="1111">
        <f t="shared" si="287"/>
        <v>-2166.6666666666665</v>
      </c>
      <c r="BM206" s="1110">
        <f t="shared" si="288"/>
        <v>-1661.1111111111109</v>
      </c>
      <c r="BN206" s="1113">
        <f t="shared" si="289"/>
        <v>2</v>
      </c>
      <c r="BO206" s="1097">
        <f t="shared" si="290"/>
        <v>3005.1476580839999</v>
      </c>
      <c r="BP206" s="1100">
        <f t="shared" si="291"/>
        <v>147.56068806020068</v>
      </c>
      <c r="BQ206" s="1113" t="s">
        <v>143</v>
      </c>
      <c r="BR206" s="1124" t="s">
        <v>146</v>
      </c>
      <c r="BS206" s="1098">
        <f>IF($P206="","N/A",IF($P206=-1,INDEX('卡片raw data'!AX:AX,MATCH($D206,'卡片raw data'!$F:$F,)),0)+IF($L206="party卡",IF($P206=5,INDEX('卡片raw data'!BD:BD,MATCH($D206,'卡片raw data'!$F:$F,)),IF($P206&gt;=3,INDEX('卡片raw data'!BC:BC,MATCH($D206,'卡片raw data'!$F:$F,)),INDEX('卡片raw data'!BB:BB,MATCH($D206,'卡片raw data'!$F:$F,)))),IF(OR(AND($F206="UR",$P206=0),AND($F206="SR",$P206&gt;=0,$P206&lt;=2),AND($F206="R",$P206&gt;=0,$P206&lt;4)),INDEX('卡片raw data'!AZ:AZ,MATCH($D206,'卡片raw data'!$F:$F,)),0)+IF(OR(AND($F206="UR",$P206&gt;=1,$P206&lt;=4),AND($F206="SR",$P206&lt;=4,$P206&gt;=3),AND($F206="R",$P206=4)),INDEX('卡片raw data'!BA:BA,MATCH($D206,'卡片raw data'!$F:$F,)),0)+IF($P206=5,INDEX('卡片raw data'!BB:BB,MATCH($D206,'卡片raw data'!$F:$F,)),0)))</f>
        <v>0.04</v>
      </c>
      <c r="BT206" s="1101">
        <f t="shared" si="292"/>
        <v>3005.1476580840003</v>
      </c>
      <c r="BU206" s="1097">
        <f t="shared" si="293"/>
        <v>147.56068806020068</v>
      </c>
      <c r="BV206" s="1097">
        <f t="shared" si="294"/>
        <v>0</v>
      </c>
      <c r="BW206" s="1112">
        <f t="shared" si="295"/>
        <v>0</v>
      </c>
      <c r="BX206" s="1100">
        <f t="shared" si="296"/>
        <v>3005.1476580840003</v>
      </c>
      <c r="BY206" s="1110">
        <f t="shared" si="297"/>
        <v>0</v>
      </c>
      <c r="BZ206" s="1107" t="s">
        <v>569</v>
      </c>
      <c r="CA206" s="1124"/>
      <c r="CB206" s="1098">
        <f>IF($P206="","N/A",IF($P206=-1,INDEX('卡片raw data'!BE:BE,MATCH($D206,'卡片raw data'!$F:$F,)),0)+IF($L206="party卡",IF($P206=5,INDEX('卡片raw data'!BK:BK,MATCH($D206,'卡片raw data'!$F:$F,)),IF($P206&gt;=3,INDEX('卡片raw data'!BJ:BJ,MATCH($D206,'卡片raw data'!$F:$F,)),INDEX('卡片raw data'!BI:BI,MATCH($D206,'卡片raw data'!$F:$F,)))),IF(OR(AND($F206="UR",$P206=0),AND($F206="SR",$P206&gt;=0,$P206&lt;=2),AND($F206="R",$P206&gt;=0,$P206&lt;4)),INDEX('卡片raw data'!BG:BG,MATCH($D206,'卡片raw data'!$F:$F,)),0)+IF(OR(AND($F206="UR",$P206&gt;=1,$P206&lt;=4),AND($F206="SR",$P206&lt;=4,$P206&gt;=3),AND($F206="R",$P206=4)),INDEX('卡片raw data'!BH:BH,MATCH($D206,'卡片raw data'!$F:$F,)),0)+IF($P206=5,INDEX('卡片raw data'!BI:BI,MATCH($D206,'卡片raw data'!$F:$F,)),0)))</f>
        <v>0</v>
      </c>
      <c r="CC206" s="1101">
        <f t="shared" si="298"/>
        <v>0</v>
      </c>
      <c r="CD206" s="1097">
        <f>IF(BZ206="ap",CB206*(1-$FI$26)*$FB$5/$FB$11*(+IF(CA206="全员",$FA$24,0)+IF(CA206="同作战",$FA$24,0)+IF(CA206="仲间",$FA$24*2/3,0)+IF(CA206="同属性",$FA$24*$FA$37/3,0)+IF(CA206="同年级",$FA$24*$FA$40/3,0)+IF(CA206="同学校",$FA$24*$FA$43/3,0)+IF(CA206="同小队",$FA$24*$FA$46/3,0)+IF(CA206="同type",$FA$24*INDEX($FB$49:$FB$52,MATCH(X206,$FA$49:$FA$52,))/3,0)+IF(CA206="自身",#REF!/3,0)),0)+IF(BZ206="te",CB206*(1-$FI$27)*($FA$20-1)*$FB$7/$FB$13*(+IF(CA206="全员",$FA$19*$FA$24/(1+($FA$20-1)*$FA$19),0)+IF(CA206="同作战",$FA$19*$FA$24/(1+($FA$20-1)*$FA$19),0)+IF(CA206="仲间",$FA$19*$FA$24*2/3/(1+($FA$20-1)*$FA$19),0)+IF(CA206="同属性",$FA$19*$FA$24*$FA$37/3/(1+($FA$20-1)*$FA$19),0)+IF(CA206="同年级",$FA$19*$FA$24*$FA$40/3/(1+($FA$20-1)*$FA$19),0)+IF(CA206="同学校",$FA$19*$FA$24*$FA$43/3/(1+($FA$20-1)*$FA$19),0)+IF(CA206="同小队",$FA$19*$FA$24*$FA$46/3/(1+($FA$20-1)*$FA$19),0)+IF(CA206="同type",$FA$19*$FA$24*INDEX($FB$49:$FB$52,MATCH(X206,$FA$49:$FA$52,))/3/(1+($FA$20-1)*$FA$19),0)+IF(CA206="自身",$FA$19*#REF!/3/(1+(BH206-1)*$BD206),0)),0)</f>
        <v>0</v>
      </c>
      <c r="CE206" s="1097">
        <f t="shared" si="299"/>
        <v>0</v>
      </c>
      <c r="CF206" s="1112">
        <f t="shared" si="300"/>
        <v>0</v>
      </c>
      <c r="CG206" s="1100">
        <f t="shared" si="301"/>
        <v>0</v>
      </c>
      <c r="CH206" s="1110">
        <f t="shared" si="302"/>
        <v>0</v>
      </c>
      <c r="CI206" s="1113"/>
      <c r="CJ206" s="1114"/>
      <c r="CK206" s="1115" t="s">
        <v>569</v>
      </c>
      <c r="CL206" s="1115"/>
      <c r="CM206" s="1119"/>
      <c r="CN206" s="1115"/>
      <c r="CO206" s="1092"/>
      <c r="CP206" s="1117">
        <f t="shared" si="303"/>
        <v>0</v>
      </c>
      <c r="CQ206" s="1117">
        <f t="shared" si="304"/>
        <v>0</v>
      </c>
      <c r="CR206" s="1117">
        <f t="shared" si="305"/>
        <v>0</v>
      </c>
      <c r="CS206" s="1118">
        <f t="shared" si="306"/>
        <v>0</v>
      </c>
      <c r="CT206" s="1109">
        <f t="shared" si="307"/>
        <v>0</v>
      </c>
      <c r="CU206" s="1101">
        <f t="shared" si="308"/>
        <v>0</v>
      </c>
      <c r="CV206" s="1108">
        <f t="shared" si="309"/>
        <v>0</v>
      </c>
      <c r="CW206" s="1097">
        <f t="shared" si="310"/>
        <v>0</v>
      </c>
      <c r="CX206" s="1097">
        <f t="shared" si="311"/>
        <v>0</v>
      </c>
      <c r="CY206" s="1110">
        <f t="shared" si="312"/>
        <v>0</v>
      </c>
      <c r="CZ206" s="437"/>
      <c r="DA206" s="438"/>
      <c r="DB206" s="439" t="s">
        <v>569</v>
      </c>
      <c r="DC206" s="439"/>
      <c r="DD206" s="443"/>
      <c r="DE206" s="411"/>
      <c r="DF206" s="411"/>
      <c r="DG206" s="1116">
        <f t="shared" si="313"/>
        <v>0</v>
      </c>
      <c r="DH206" s="1116">
        <f t="shared" si="314"/>
        <v>0</v>
      </c>
      <c r="DI206" s="1116">
        <f t="shared" si="315"/>
        <v>0</v>
      </c>
      <c r="DJ206" s="442">
        <f t="shared" si="316"/>
        <v>0</v>
      </c>
      <c r="DK206" s="1109">
        <f t="shared" si="317"/>
        <v>0</v>
      </c>
      <c r="DL206" s="1101">
        <f t="shared" si="318"/>
        <v>0</v>
      </c>
      <c r="DM206" s="1097">
        <f t="shared" si="319"/>
        <v>0</v>
      </c>
      <c r="DN206" s="1097">
        <f t="shared" si="320"/>
        <v>0</v>
      </c>
      <c r="DO206" s="1097">
        <f t="shared" si="321"/>
        <v>0</v>
      </c>
      <c r="DP206" s="1110">
        <f t="shared" si="322"/>
        <v>0</v>
      </c>
      <c r="DQ206" s="1113" t="s">
        <v>554</v>
      </c>
      <c r="DR206" s="1120">
        <f t="shared" si="323"/>
        <v>0.3</v>
      </c>
      <c r="DS206" s="1124">
        <v>5</v>
      </c>
      <c r="DT206" s="1093" t="s">
        <v>161</v>
      </c>
      <c r="DU206" s="1093" t="s">
        <v>544</v>
      </c>
      <c r="DV206" s="1098">
        <f>IF($P206="","N/A",IF(P206=-1,INDEX('卡片raw data'!AN:AN,MATCH(D206,'卡片raw data'!$F:$F,)),0)+IF(AND(L206&lt;&gt;"party卡",P206&lt;=2,P206&gt;=0),INDEX('卡片raw data'!AP:AP,MATCH(D206,'卡片raw data'!$F:$F,)),0)+IF(OR(AND(L206="party卡",P206&lt;=1),AND(P206&lt;=4,L206&lt;&gt;"party卡",P206&gt;=3)),INDEX('卡片raw data'!AQ:AQ,MATCH(D206,'卡片raw data'!$F:$F,)),0)+IF(OR(P206=5,AND(L206="party卡",P206&gt;=2)),INDEX('卡片raw data'!AR:AR,MATCH(D206,'卡片raw data'!$F:$F,)),0))</f>
        <v>2.5999999999999999E-2</v>
      </c>
      <c r="DW206" s="1098">
        <f t="shared" si="324"/>
        <v>0.3</v>
      </c>
      <c r="DX206" s="1098">
        <f t="shared" si="325"/>
        <v>0.3</v>
      </c>
      <c r="DY206" s="1098">
        <f t="shared" si="326"/>
        <v>1.2999999999999999E-2</v>
      </c>
      <c r="DZ206" s="1098">
        <f t="shared" si="327"/>
        <v>1.1245E-2</v>
      </c>
      <c r="EA206" s="1098">
        <f t="shared" si="328"/>
        <v>0</v>
      </c>
      <c r="EB206" s="1121">
        <f t="shared" si="329"/>
        <v>0</v>
      </c>
      <c r="EC206" s="1101">
        <f t="shared" si="330"/>
        <v>2209.7226373348913</v>
      </c>
      <c r="ED206" s="1097">
        <f t="shared" si="331"/>
        <v>88.595832363187498</v>
      </c>
      <c r="EE206" s="1110">
        <f t="shared" si="332"/>
        <v>2209.7226373348913</v>
      </c>
      <c r="EF206" s="1092" t="s">
        <v>711</v>
      </c>
      <c r="EG206" s="1120">
        <f t="shared" si="333"/>
        <v>0.3</v>
      </c>
      <c r="EH206" s="1124"/>
      <c r="EI206" s="1093"/>
      <c r="EJ206" s="1093"/>
      <c r="EK206" s="1097">
        <f>IF($P206="","N/A",IF(P206=-1,INDEX('卡片raw data'!AS:AS,MATCH(D206,'卡片raw data'!$F:$F,)),0)+IF(AND(L206&lt;&gt;"party卡",P206&lt;=2,P206&gt;=0),INDEX('卡片raw data'!AU:AU,MATCH(D206,'卡片raw data'!$F:$F,)),0)+IF(OR(AND(L206="party卡",P206&lt;=1),AND(P206&lt;=4,L206&lt;&gt;"party卡",P206&gt;=3)),INDEX('卡片raw data'!AV:AV,MATCH(D206,'卡片raw data'!$F:$F,)),0)+IF(OR(P206=5,AND(L206="party卡",P206&gt;=2)),INDEX('卡片raw data'!AW:AW,MATCH(D206,'卡片raw data'!$F:$F,)),0))</f>
        <v>0</v>
      </c>
      <c r="EL206" s="1098">
        <f t="shared" si="334"/>
        <v>0.3</v>
      </c>
      <c r="EM206" s="1098">
        <f t="shared" si="335"/>
        <v>0.3</v>
      </c>
      <c r="EN206" s="1125">
        <f t="shared" si="336"/>
        <v>0</v>
      </c>
      <c r="EO206" s="1125">
        <f t="shared" si="337"/>
        <v>0</v>
      </c>
      <c r="EP206" s="1098">
        <f t="shared" si="338"/>
        <v>0</v>
      </c>
      <c r="EQ206" s="1121">
        <f t="shared" si="339"/>
        <v>0</v>
      </c>
      <c r="ER206" s="1101">
        <f t="shared" si="340"/>
        <v>0</v>
      </c>
      <c r="ES206" s="1097">
        <f t="shared" si="341"/>
        <v>0</v>
      </c>
      <c r="ET206" s="1122">
        <f t="shared" si="342"/>
        <v>0</v>
      </c>
    </row>
    <row r="207" spans="2:150" ht="16.5" customHeight="1">
      <c r="B207" s="1123" t="str">
        <f>INDEX('卡片raw data'!B:B,MATCH($D207,'卡片raw data'!$F:$F,))</f>
        <v>常服霞</v>
      </c>
      <c r="C207" s="449" t="s">
        <v>69</v>
      </c>
      <c r="D207" s="408">
        <v>204</v>
      </c>
      <c r="E207" s="1090">
        <v>502021001</v>
      </c>
      <c r="F207" s="1090" t="str">
        <f>INDEX('卡片raw data'!C:C,MATCH($D207,'卡片raw data'!$F:$F,))</f>
        <v>R</v>
      </c>
      <c r="G207" s="1094" t="s">
        <v>352</v>
      </c>
      <c r="H207" s="411">
        <f>IFERROR(INDEX(绊状态确认!C:C,MATCH($G207,绊状态确认!$B:$B,)),"")</f>
        <v>202</v>
      </c>
      <c r="I207" s="450" t="str">
        <f>IFERROR(INDEX(绊状态确认!D:D,MATCH($G207,绊状态确认!$B:$B,)),"")</f>
        <v>虹</v>
      </c>
      <c r="J207" s="450" t="str">
        <f>IFERROR(INDEX(绊状态确认!E:E,MATCH($G207,绊状态确认!$B:$B,)),"")</f>
        <v>1年级</v>
      </c>
      <c r="K207" s="451" t="str">
        <f>IFERROR(INDEX(绊状态确认!F:F,MATCH($G207,绊状态确认!$B:$B,)),"")</f>
        <v>QU4RTZ</v>
      </c>
      <c r="L207" s="1094" t="str">
        <f>INDEX('卡片raw data'!E:E,MATCH($D207,'卡片raw data'!$F:$F,))</f>
        <v>卡池卡</v>
      </c>
      <c r="M207" s="415">
        <v>43927</v>
      </c>
      <c r="N207" s="416">
        <v>13</v>
      </c>
      <c r="O207" s="1091" t="str">
        <f>INDEX('卡片raw data'!D:D,MATCH($D207,'卡片raw data'!$F:$F,))</f>
        <v>sp</v>
      </c>
      <c r="P207" s="417">
        <v>5</v>
      </c>
      <c r="Q207" s="1095">
        <f t="shared" si="258"/>
        <v>22145.263059192104</v>
      </c>
      <c r="R207" s="1096">
        <f t="shared" si="259"/>
        <v>0.25700000000000001</v>
      </c>
      <c r="S207" s="1097">
        <f t="shared" si="260"/>
        <v>12877.176679249173</v>
      </c>
      <c r="T207" s="1098">
        <f t="shared" si="261"/>
        <v>0.64300000000000002</v>
      </c>
      <c r="U207" s="1099">
        <f t="shared" si="262"/>
        <v>5.5114452621428569</v>
      </c>
      <c r="V207" s="1100">
        <f t="shared" si="263"/>
        <v>20779.172047021595</v>
      </c>
      <c r="W207" s="1101">
        <f t="shared" si="264"/>
        <v>3005.1476580839999</v>
      </c>
      <c r="X207" s="1096">
        <f t="shared" si="265"/>
        <v>3.4000000000000002E-2</v>
      </c>
      <c r="Y207" s="1097">
        <f t="shared" si="266"/>
        <v>433.90898782948943</v>
      </c>
      <c r="Z207" s="1102">
        <f t="shared" si="267"/>
        <v>5.5114452621428569</v>
      </c>
      <c r="AA207" s="1103">
        <f t="shared" si="268"/>
        <v>3439.0566459134893</v>
      </c>
      <c r="AB207" s="1101">
        <f t="shared" si="269"/>
        <v>5834.9857398074382</v>
      </c>
      <c r="AC207" s="1104">
        <f t="shared" si="270"/>
        <v>6.7000000000000004E-2</v>
      </c>
      <c r="AD207" s="1105">
        <f t="shared" si="271"/>
        <v>-1.9908281250000003E-2</v>
      </c>
      <c r="AE207" s="1128">
        <f t="shared" si="272"/>
        <v>-3.387869067028987</v>
      </c>
      <c r="AF207" s="1130">
        <f t="shared" si="273"/>
        <v>0</v>
      </c>
      <c r="AG207" s="420">
        <f t="shared" si="274"/>
        <v>0</v>
      </c>
      <c r="AH207" s="420">
        <f t="shared" si="275"/>
        <v>0</v>
      </c>
      <c r="AI207" s="1097">
        <f t="shared" si="276"/>
        <v>0</v>
      </c>
      <c r="AJ207" s="420">
        <f t="shared" si="277"/>
        <v>0</v>
      </c>
      <c r="AK207" s="518">
        <f t="shared" si="278"/>
        <v>0</v>
      </c>
      <c r="AL207" s="1106">
        <f>IF($P207="","N/A",(IF($P207=-1,INDEX('卡片raw data'!S:S,MATCH($D207,'卡片raw data'!$F:$F,)),0)+IF($P207=0,INDEX('卡片raw data'!V:V,MATCH($D207,'卡片raw data'!$F:$F,)),0)+IF($P207=1,INDEX('卡片raw data'!Y:Y,MATCH($D207,'卡片raw data'!$F:$F,)),0)+IF($P207=2,INDEX('卡片raw data'!AB:AB,MATCH($D207,'卡片raw data'!$F:$F,)),0)+IF($P207=3,INDEX('卡片raw data'!AE:AE,MATCH($D207,'卡片raw data'!$F:$F,)),0)+IF($P207=4,INDEX('卡片raw data'!AH:AH,MATCH($D207,'卡片raw data'!$F:$F,)),0)+IF($P207=5,INDEX('卡片raw data'!AK:AK,MATCH($D207,'卡片raw data'!$F:$F,)),0)+INDEX('卡片raw data'!S:S,MATCH($D207,'卡片raw data'!$F:$F,))*(IF($F207="UR",0.04,0.033))*(IF($F207="UR",INDEX(绊状态确认!$S:$S,MATCH($G207,绊状态确认!$B:$B,))/2-40)+IF($F207="SR",INDEX(绊状态确认!$R:$R,MATCH($G207,绊状态确认!$B:$B,))/4-15))+IF($F207="R",INDEX(绊状态确认!$Q:$Q,MATCH($G207,绊状态确认!$B:$B,))/6-40/6)))*(INDEX(绊状态确认!$H:$H,MATCH($G207,绊状态确认!$B:$B,))+INDEX(绊状态确认!J:J,MATCH($G207,绊状态确认!$B:$B,)))</f>
        <v>5358.1259999999993</v>
      </c>
      <c r="AM207" s="1106">
        <f>IF($P207="","N/A",(IF($P207=-1,INDEX('卡片raw data'!T:T,MATCH($D207,'卡片raw data'!$F:$F,)),0)+IF($P207=0,INDEX('卡片raw data'!W:W,MATCH($D207,'卡片raw data'!$F:$F,)),0)+IF($P207=1,INDEX('卡片raw data'!Z:Z,MATCH($D207,'卡片raw data'!$F:$F,)),0)+IF($P207=2,INDEX('卡片raw data'!AC:AC,MATCH($D207,'卡片raw data'!$F:$F,)),0)+IF($P207=3,INDEX('卡片raw data'!AF:AF,MATCH($D207,'卡片raw data'!$F:$F,)),0)+IF($P207=4,INDEX('卡片raw data'!AI:AI,MATCH($D207,'卡片raw data'!$F:$F,)),0)+IF($P207=5,INDEX('卡片raw data'!AL:AL,MATCH($D207,'卡片raw data'!$F:$F,)),0)+INDEX('卡片raw data'!T:T,MATCH($D207,'卡片raw data'!$F:$F,))*(IF($F207="UR",0.04,0.033))*(IF($F207="UR",INDEX(绊状态确认!$S:$S,MATCH($G207,绊状态确认!$B:$B,))/2-40)+IF($F207="SR",INDEX(绊状态确认!$R:$R,MATCH($G207,绊状态确认!$B:$B,))/4-15))+IF($F207="R",INDEX(绊状态确认!$Q:$Q,MATCH($G207,绊状态确认!$B:$B,))/6-40/6)))*(INDEX(绊状态确认!$H:$H,MATCH($G207,绊状态确认!$B:$B,))+INDEX(绊状态确认!K:K,MATCH($G207,绊状态确认!$B:$B,)))</f>
        <v>1787.5571999999997</v>
      </c>
      <c r="AN207" s="1106">
        <f>IF($P207="","N/A",(IF($P207=-1,INDEX('卡片raw data'!U:U,MATCH($D207,'卡片raw data'!$F:$F,)),0)+IF($P207=0,INDEX('卡片raw data'!X:X,MATCH($D207,'卡片raw data'!$F:$F,)),0)+IF($P207=1,INDEX('卡片raw data'!AA:AA,MATCH($D207,'卡片raw data'!$F:$F,)),0)+IF($P207=2,INDEX('卡片raw data'!AD:AD,MATCH($D207,'卡片raw data'!$F:$F,)),0)+IF($P207=3,INDEX('卡片raw data'!AG:AG,MATCH($D207,'卡片raw data'!$F:$F,)),0)+IF($P207=4,INDEX('卡片raw data'!AJ:AJ,MATCH($D207,'卡片raw data'!$F:$F,)),0)+IF($P207=5,INDEX('卡片raw data'!AM:AM,MATCH($D207,'卡片raw data'!$F:$F,)),0)+INDEX('卡片raw data'!U:U,MATCH($D207,'卡片raw data'!$F:$F,))*(IF($F207="UR",0.04,0.033))*(IF($F207="UR",INDEX(绊状态确认!$S:$S,MATCH($G207,绊状态确认!$B:$B,))/2-40)+IF($F207="SR",INDEX(绊状态确认!$R:$R,MATCH($G207,绊状态确认!$B:$B,))/4-15))+IF($F207="R",INDEX(绊状态确认!$Q:$Q,MATCH($G207,绊状态确认!$B:$B,))/6-40/6)))*(INDEX(绊状态确认!$H:$H,MATCH($G207,绊状态确认!$B:$B,))+INDEX(绊状态确认!L:L,MATCH($G207,绊状态确认!$B:$B,)))</f>
        <v>6594.529199999999</v>
      </c>
      <c r="AO207" s="1107">
        <f t="shared" si="279"/>
        <v>1</v>
      </c>
      <c r="AP207" s="1131">
        <f>1+(INDEX(绊状态确认!$T:$T,MATCH($G207,绊状态确认!$B:$B,))+0.2)*$AO207</f>
        <v>1.3</v>
      </c>
      <c r="AQ207" s="1108">
        <f t="shared" si="280"/>
        <v>17315.080750000001</v>
      </c>
      <c r="AR207" s="1097">
        <f>(AM207*(1+$EX$9)+$EX$35)*(1+(INDEX(绊状态确认!$T:$T,MATCH($G207,绊状态确认!$B:$B,))+0.2)*AO207)*IF(J207=$FF$17,1+$FE$17,1)*IF(I207=$FF$14,1+$FE$14,1)</f>
        <v>5144.0155779999996</v>
      </c>
      <c r="AS207" s="1097">
        <f>(AN207*(1+$EX$10)+$EX$36)*(1+(INDEX(绊状态确认!$T:$T,MATCH($G207,绊状态确认!$B:$B,))+0.2)*AO207)*IF(J207=$FF$17,1+$FE$17,1)*IF(I207=$FF$14,1+$FE$14,1)</f>
        <v>13914.821153999999</v>
      </c>
      <c r="AT207" s="1093">
        <f>IF(AND(INDEX('卡片raw data'!AK:AK,MATCH($D207,'卡片raw data'!$F:$F,))&lt;INDEX('卡片raw data'!AM:AM,MATCH($D207,'卡片raw data'!$F:$F,)),INDEX('卡片raw data'!AL:AL,MATCH($D207,'卡片raw data'!$F:$F,))&lt;INDEX('卡片raw data'!AM:AM,MATCH($D207,'卡片raw data'!$F:$F,))),1,0)</f>
        <v>1</v>
      </c>
      <c r="AU207" s="1098">
        <f>MIN(AT207*0.15+AS207*0.00003+INDEX(绊状态确认!M:M,MATCH($G207,绊状态确认!$B:$B,)),1)</f>
        <v>0.59744463461999997</v>
      </c>
      <c r="AV207" s="1109">
        <f>(INDEX(绊状态确认!$N:$N,MATCH($G207,绊状态确认!$B:$B,))+1.5)*$EW$21</f>
        <v>2.6599999999999997</v>
      </c>
      <c r="AW207" s="1101">
        <f t="shared" si="281"/>
        <v>17910.943986051334</v>
      </c>
      <c r="AX207" s="1097">
        <f t="shared" si="282"/>
        <v>433.90898782948955</v>
      </c>
      <c r="AY207" s="1110">
        <f t="shared" si="283"/>
        <v>18344.852973880825</v>
      </c>
      <c r="AZ207" s="429">
        <f t="shared" si="284"/>
        <v>13048.345699999998</v>
      </c>
      <c r="BA207" s="431">
        <f t="shared" si="285"/>
        <v>15658.014839999996</v>
      </c>
      <c r="BB207" s="1097">
        <f>(AM207*(1+$FB$9)+$FB$35)*(1+(INDEX(绊状态确认!$T:$T,MATCH($G207,绊状态确认!$B:$B,))+0.2)*AO207)*IF(J207=$FF$17,1+$FE$17,1)*IF(I207=$FF$14,1+$FE$14,1)*(1+$FE$15)</f>
        <v>5144.0155779999996</v>
      </c>
      <c r="BC207" s="1097">
        <f>(AN207*(1+$FB$10)+$FB$36)*(1+(INDEX(绊状态确认!$T:$T,MATCH($G207,绊状态确认!$B:$B,))+0.2)*AO207)*IF(J207=$FF$17,1+$FE$17,1)*IF(I207=$FF$14,1+$FE$14,1)*(1+$FE$15)</f>
        <v>13914.821153999999</v>
      </c>
      <c r="BD207" s="1104">
        <f>MIN(AT207*0.15+BC207*0.00003+INDEX(绊状态确认!M:M,MATCH($G207,绊状态确认!$B:$B,)),1)</f>
        <v>0.59744463461999997</v>
      </c>
      <c r="BE207" s="432">
        <f>(INDEX(绊状态确认!$N:$N,MATCH($G207,绊状态确认!$B:$B,))+1.5)</f>
        <v>1.9</v>
      </c>
      <c r="BF207" s="1139">
        <f t="array" ref="BF207">SUMPRODUCT(IF(AZ207*AP207*$FI$16:$FI$23*$FA$22&gt;=$FI$24,$FI$24,AZ207*AP207*$FI$16:$FI$23*$FA$22),$FJ$16:$FJ$23)</f>
        <v>25953.159597299997</v>
      </c>
      <c r="BG207" s="1125">
        <f t="array" ref="BG207">SUMPRODUCT(IF(BE207*AZ207*AP207*$FI$16:$FI$23*$FA$22&gt;=$FI$24,$FI$24,BE207*AZ207*AP207*$FI$16:$FI$23*$FA$22),$FJ$16:$FJ$23)</f>
        <v>49187.414597859992</v>
      </c>
      <c r="BH207" s="1110">
        <f t="shared" si="286"/>
        <v>13278.113528925824</v>
      </c>
      <c r="BI207" s="1111">
        <f>IF(O207="vo",$EW$26/$EW$24*0.05,0)+IF(O207="sk",-$EW$26/$EW$24*(0.05-INDEX(绊状态确认!W:W,MATCH($G207,绊状态确认!$B:$B,)))+0.05*$EW$28,0)+IF(O207="sp",0.05*$EW$32*$EW$30*(1-$EW$33)-(0.05-INDEX(绊状态确认!V:V,MATCH($G207,绊状态确认!$B:$B,)))*$EW$28,0)+IF(O207="gd",-(0.05-INDEX(绊状态确认!X:X,MATCH($G207,绊状态确认!$B:$B,)))*$EW$32*$EW$30*(1-$EW$33),0)</f>
        <v>19.999999999999886</v>
      </c>
      <c r="BJ207" s="1097">
        <f>IF(O207="vo",0.05*(1-$FI$26)*$FA$24,0)+IF(O207="sk",-(0.05-INDEX(绊状态确认!W:W,MATCH($G207,绊状态确认!$B:$B,)))*(1-$FI$26)*$FA$24+0.05*$FA$26,0)+IF(O207="sp",0.05*$FA$32*$FA$27*(1-$FA$33)/$FA$30+0.05*$FA$29/$FA$69*$FA$27*(1-$FA$33)-(0.05-INDEX(绊状态确认!V:V,MATCH($G207,绊状态确认!$B:$B,)))*$FA$26,0)+IF(O207="gd",-(0.05-INDEX(绊状态确认!X:X,MATCH($G207,绊状态确认!$B:$B,)))*$FA$32*$FA$27*(1-$FA$33)/$FA$30-(0.05-INDEX(绊状态确认!X:X,MATCH($G207,绊状态确认!$B:$B,)))*$FA$29/$FA$69*$FA$27*(1-$FA$33),0)</f>
        <v>545.83333333333326</v>
      </c>
      <c r="BK207" s="1110">
        <f>IF(O207="vo",$EW$26/$EW$24*0.05+$EW$26*(-HP($EW$62,$EW$65,$EW$64)+HP($EW$62,$EW$65,(1.05-INDEX(绊状态确认!U:U,MATCH($G207,绊状态确认!$B:$B,)))*$EW$64)),0)+IF(O207="sk",-$EW$26/$EW$24*(0.05-INDEX(绊状态确认!W:W,MATCH($G207,绊状态确认!$B:$B,)))+0.05*$EW$29,0)+IF(O207="sp",0.05*$EW$32*$EW$30*(1-$EW$33)-(0.05-INDEX(绊状态确认!V:V,MATCH($G207,绊状态确认!$B:$B,)))*$EW$29,0)+IF(O207="gd",-(0.05-INDEX(绊状态确认!X:X,MATCH($G207,绊状态确认!$B:$B,)))*$EW$32*$EW$30*(1-$EW$33)+$EW$26*(-HP($EW$62,$EW$65,$EW$64)+HP($EW$62,$EW$65,0.95*$EW$64)),0)</f>
        <v>-1780.0000000000005</v>
      </c>
      <c r="BL207" s="1111">
        <f t="shared" si="287"/>
        <v>-2166.6666666666665</v>
      </c>
      <c r="BM207" s="1110">
        <f t="shared" si="288"/>
        <v>-1661.1111111111109</v>
      </c>
      <c r="BN207" s="1113">
        <f t="shared" si="289"/>
        <v>2</v>
      </c>
      <c r="BO207" s="1097">
        <f t="shared" si="290"/>
        <v>3005.1476580839999</v>
      </c>
      <c r="BP207" s="1100">
        <f t="shared" si="291"/>
        <v>147.56068806020068</v>
      </c>
      <c r="BQ207" s="1113" t="s">
        <v>145</v>
      </c>
      <c r="BR207" s="1124" t="s">
        <v>146</v>
      </c>
      <c r="BS207" s="1098">
        <f>IF($P207="","N/A",IF($P207=-1,INDEX('卡片raw data'!AX:AX,MATCH($D207,'卡片raw data'!$F:$F,)),0)+IF($L207="party卡",IF($P207=5,INDEX('卡片raw data'!BD:BD,MATCH($D207,'卡片raw data'!$F:$F,)),IF($P207&gt;=3,INDEX('卡片raw data'!BC:BC,MATCH($D207,'卡片raw data'!$F:$F,)),INDEX('卡片raw data'!BB:BB,MATCH($D207,'卡片raw data'!$F:$F,)))),IF(OR(AND($F207="UR",$P207=0),AND($F207="SR",$P207&gt;=0,$P207&lt;=2),AND($F207="R",$P207&gt;=0,$P207&lt;4)),INDEX('卡片raw data'!AZ:AZ,MATCH($D207,'卡片raw data'!$F:$F,)),0)+IF(OR(AND($F207="UR",$P207&gt;=1,$P207&lt;=4),AND($F207="SR",$P207&lt;=4,$P207&gt;=3),AND($F207="R",$P207=4)),INDEX('卡片raw data'!BA:BA,MATCH($D207,'卡片raw data'!$F:$F,)),0)+IF($P207=5,INDEX('卡片raw data'!BB:BB,MATCH($D207,'卡片raw data'!$F:$F,)),0)))</f>
        <v>0.04</v>
      </c>
      <c r="BT207" s="1101">
        <f t="shared" si="292"/>
        <v>2829.8380817234388</v>
      </c>
      <c r="BU207" s="1097">
        <f t="shared" si="293"/>
        <v>204.69124004092632</v>
      </c>
      <c r="BV207" s="1097">
        <f t="shared" si="294"/>
        <v>0</v>
      </c>
      <c r="BW207" s="1112">
        <f t="shared" si="295"/>
        <v>0</v>
      </c>
      <c r="BX207" s="1100">
        <f t="shared" si="296"/>
        <v>2829.8380817234388</v>
      </c>
      <c r="BY207" s="1110">
        <f t="shared" si="297"/>
        <v>0</v>
      </c>
      <c r="BZ207" s="1107" t="s">
        <v>569</v>
      </c>
      <c r="CA207" s="1124"/>
      <c r="CB207" s="1098">
        <f>IF($P207="","N/A",IF($P207=-1,INDEX('卡片raw data'!BE:BE,MATCH($D207,'卡片raw data'!$F:$F,)),0)+IF($L207="party卡",IF($P207=5,INDEX('卡片raw data'!BK:BK,MATCH($D207,'卡片raw data'!$F:$F,)),IF($P207&gt;=3,INDEX('卡片raw data'!BJ:BJ,MATCH($D207,'卡片raw data'!$F:$F,)),INDEX('卡片raw data'!BI:BI,MATCH($D207,'卡片raw data'!$F:$F,)))),IF(OR(AND($F207="UR",$P207=0),AND($F207="SR",$P207&gt;=0,$P207&lt;=2),AND($F207="R",$P207&gt;=0,$P207&lt;4)),INDEX('卡片raw data'!BG:BG,MATCH($D207,'卡片raw data'!$F:$F,)),0)+IF(OR(AND($F207="UR",$P207&gt;=1,$P207&lt;=4),AND($F207="SR",$P207&lt;=4,$P207&gt;=3),AND($F207="R",$P207=4)),INDEX('卡片raw data'!BH:BH,MATCH($D207,'卡片raw data'!$F:$F,)),0)+IF($P207=5,INDEX('卡片raw data'!BI:BI,MATCH($D207,'卡片raw data'!$F:$F,)),0)))</f>
        <v>0</v>
      </c>
      <c r="CC207" s="1101">
        <f t="shared" si="298"/>
        <v>0</v>
      </c>
      <c r="CD207" s="1097">
        <f>IF(BZ207="ap",CB207*(1-$FI$26)*$FB$5/$FB$11*(+IF(CA207="全员",$FA$24,0)+IF(CA207="同作战",$FA$24,0)+IF(CA207="仲间",$FA$24*2/3,0)+IF(CA207="同属性",$FA$24*$FA$37/3,0)+IF(CA207="同年级",$FA$24*$FA$40/3,0)+IF(CA207="同学校",$FA$24*$FA$43/3,0)+IF(CA207="同小队",$FA$24*$FA$46/3,0)+IF(CA207="同type",$FA$24*INDEX($FB$49:$FB$52,MATCH(X207,$FA$49:$FA$52,))/3,0)+IF(CA207="自身",#REF!/3,0)),0)+IF(BZ207="te",CB207*(1-$FI$27)*($FA$20-1)*$FB$7/$FB$13*(+IF(CA207="全员",$FA$19*$FA$24/(1+($FA$20-1)*$FA$19),0)+IF(CA207="同作战",$FA$19*$FA$24/(1+($FA$20-1)*$FA$19),0)+IF(CA207="仲间",$FA$19*$FA$24*2/3/(1+($FA$20-1)*$FA$19),0)+IF(CA207="同属性",$FA$19*$FA$24*$FA$37/3/(1+($FA$20-1)*$FA$19),0)+IF(CA207="同年级",$FA$19*$FA$24*$FA$40/3/(1+($FA$20-1)*$FA$19),0)+IF(CA207="同学校",$FA$19*$FA$24*$FA$43/3/(1+($FA$20-1)*$FA$19),0)+IF(CA207="同小队",$FA$19*$FA$24*$FA$46/3/(1+($FA$20-1)*$FA$19),0)+IF(CA207="同type",$FA$19*$FA$24*INDEX($FB$49:$FB$52,MATCH(X207,$FA$49:$FA$52,))/3/(1+($FA$20-1)*$FA$19),0)+IF(CA207="自身",$FA$19*#REF!/3/(1+(BH207-1)*$BD207),0)),0)</f>
        <v>0</v>
      </c>
      <c r="CE207" s="1097">
        <f t="shared" si="299"/>
        <v>0</v>
      </c>
      <c r="CF207" s="1112">
        <f t="shared" si="300"/>
        <v>0</v>
      </c>
      <c r="CG207" s="1100">
        <f t="shared" si="301"/>
        <v>0</v>
      </c>
      <c r="CH207" s="1110">
        <f t="shared" si="302"/>
        <v>0</v>
      </c>
      <c r="CI207" s="1113"/>
      <c r="CJ207" s="1114"/>
      <c r="CK207" s="1115" t="s">
        <v>569</v>
      </c>
      <c r="CL207" s="1115"/>
      <c r="CM207" s="1119"/>
      <c r="CN207" s="1115"/>
      <c r="CO207" s="1092"/>
      <c r="CP207" s="1117">
        <f t="shared" si="303"/>
        <v>0</v>
      </c>
      <c r="CQ207" s="1117">
        <f t="shared" si="304"/>
        <v>0</v>
      </c>
      <c r="CR207" s="1117">
        <f t="shared" si="305"/>
        <v>0</v>
      </c>
      <c r="CS207" s="1118">
        <f t="shared" si="306"/>
        <v>0</v>
      </c>
      <c r="CT207" s="1109">
        <f t="shared" si="307"/>
        <v>0</v>
      </c>
      <c r="CU207" s="1101">
        <f t="shared" si="308"/>
        <v>0</v>
      </c>
      <c r="CV207" s="1108">
        <f t="shared" si="309"/>
        <v>0</v>
      </c>
      <c r="CW207" s="1097">
        <f t="shared" si="310"/>
        <v>0</v>
      </c>
      <c r="CX207" s="1097">
        <f t="shared" si="311"/>
        <v>0</v>
      </c>
      <c r="CY207" s="1110">
        <f t="shared" si="312"/>
        <v>0</v>
      </c>
      <c r="CZ207" s="437"/>
      <c r="DA207" s="438"/>
      <c r="DB207" s="439" t="s">
        <v>569</v>
      </c>
      <c r="DC207" s="439"/>
      <c r="DD207" s="443"/>
      <c r="DE207" s="411"/>
      <c r="DF207" s="411"/>
      <c r="DG207" s="1116">
        <f t="shared" si="313"/>
        <v>0</v>
      </c>
      <c r="DH207" s="1116">
        <f t="shared" si="314"/>
        <v>0</v>
      </c>
      <c r="DI207" s="1116">
        <f t="shared" si="315"/>
        <v>0</v>
      </c>
      <c r="DJ207" s="442">
        <f t="shared" si="316"/>
        <v>0</v>
      </c>
      <c r="DK207" s="1109">
        <f t="shared" si="317"/>
        <v>0</v>
      </c>
      <c r="DL207" s="1101">
        <f t="shared" si="318"/>
        <v>0</v>
      </c>
      <c r="DM207" s="1097">
        <f t="shared" si="319"/>
        <v>0</v>
      </c>
      <c r="DN207" s="1097">
        <f t="shared" si="320"/>
        <v>0</v>
      </c>
      <c r="DO207" s="1097">
        <f t="shared" si="321"/>
        <v>0</v>
      </c>
      <c r="DP207" s="1110">
        <f t="shared" si="322"/>
        <v>0</v>
      </c>
      <c r="DQ207" s="1113" t="s">
        <v>547</v>
      </c>
      <c r="DR207" s="1120">
        <f t="shared" si="323"/>
        <v>0.3</v>
      </c>
      <c r="DS207" s="1124">
        <v>10</v>
      </c>
      <c r="DT207" s="1093" t="s">
        <v>161</v>
      </c>
      <c r="DU207" s="1093" t="s">
        <v>544</v>
      </c>
      <c r="DV207" s="1098">
        <f>IF($P207="","N/A",IF(P207=-1,INDEX('卡片raw data'!AN:AN,MATCH(D207,'卡片raw data'!$F:$F,)),0)+IF(AND(L207&lt;&gt;"party卡",P207&lt;=2,P207&gt;=0),INDEX('卡片raw data'!AP:AP,MATCH(D207,'卡片raw data'!$F:$F,)),0)+IF(OR(AND(L207="party卡",P207&lt;=1),AND(P207&lt;=4,L207&lt;&gt;"party卡",P207&gt;=3)),INDEX('卡片raw data'!AQ:AQ,MATCH(D207,'卡片raw data'!$F:$F,)),0)+IF(OR(P207=5,AND(L207="party卡",P207&gt;=2)),INDEX('卡片raw data'!AR:AR,MATCH(D207,'卡片raw data'!$F:$F,)),0))</f>
        <v>4.2000000000000003E-2</v>
      </c>
      <c r="DW207" s="1098">
        <f t="shared" si="324"/>
        <v>0.3</v>
      </c>
      <c r="DX207" s="1098">
        <f t="shared" si="325"/>
        <v>0.3</v>
      </c>
      <c r="DY207" s="1098">
        <f t="shared" si="326"/>
        <v>4.1999999999999996E-2</v>
      </c>
      <c r="DZ207" s="1098">
        <f t="shared" si="327"/>
        <v>3.6329999999999994E-2</v>
      </c>
      <c r="EA207" s="1098">
        <f t="shared" si="328"/>
        <v>0</v>
      </c>
      <c r="EB207" s="1121">
        <f t="shared" si="329"/>
        <v>8.3802468749999992</v>
      </c>
      <c r="EC207" s="1101">
        <f t="shared" si="330"/>
        <v>545.99999999999989</v>
      </c>
      <c r="ED207" s="1097">
        <f t="shared" si="331"/>
        <v>362.08899999999988</v>
      </c>
      <c r="EE207" s="1110">
        <f t="shared" si="332"/>
        <v>545.99999999999989</v>
      </c>
      <c r="EF207" s="1092" t="s">
        <v>711</v>
      </c>
      <c r="EG207" s="1120">
        <f t="shared" si="333"/>
        <v>0.3</v>
      </c>
      <c r="EH207" s="1124"/>
      <c r="EI207" s="1093"/>
      <c r="EJ207" s="1093"/>
      <c r="EK207" s="1097">
        <f>IF($P207="","N/A",IF(P207=-1,INDEX('卡片raw data'!AS:AS,MATCH(D207,'卡片raw data'!$F:$F,)),0)+IF(AND(L207&lt;&gt;"party卡",P207&lt;=2,P207&gt;=0),INDEX('卡片raw data'!AU:AU,MATCH(D207,'卡片raw data'!$F:$F,)),0)+IF(OR(AND(L207="party卡",P207&lt;=1),AND(P207&lt;=4,L207&lt;&gt;"party卡",P207&gt;=3)),INDEX('卡片raw data'!AV:AV,MATCH(D207,'卡片raw data'!$F:$F,)),0)+IF(OR(P207=5,AND(L207="party卡",P207&gt;=2)),INDEX('卡片raw data'!AW:AW,MATCH(D207,'卡片raw data'!$F:$F,)),0))</f>
        <v>0</v>
      </c>
      <c r="EL207" s="1098">
        <f t="shared" si="334"/>
        <v>0.3</v>
      </c>
      <c r="EM207" s="1098">
        <f t="shared" si="335"/>
        <v>0.3</v>
      </c>
      <c r="EN207" s="1125">
        <f t="shared" si="336"/>
        <v>0</v>
      </c>
      <c r="EO207" s="1125">
        <f t="shared" si="337"/>
        <v>0</v>
      </c>
      <c r="EP207" s="1098">
        <f t="shared" si="338"/>
        <v>0</v>
      </c>
      <c r="EQ207" s="1121">
        <f t="shared" si="339"/>
        <v>0</v>
      </c>
      <c r="ER207" s="1101">
        <f t="shared" si="340"/>
        <v>0</v>
      </c>
      <c r="ES207" s="1097">
        <f t="shared" si="341"/>
        <v>0</v>
      </c>
      <c r="ET207" s="1122">
        <f t="shared" si="342"/>
        <v>0</v>
      </c>
    </row>
    <row r="208" spans="2:150" ht="16.5" customHeight="1">
      <c r="B208" s="1123" t="str">
        <f>INDEX('卡片raw data'!B:B,MATCH($D208,'卡片raw data'!$F:$F,))</f>
        <v>常服雫</v>
      </c>
      <c r="C208" s="449" t="s">
        <v>67</v>
      </c>
      <c r="D208" s="408">
        <v>205</v>
      </c>
      <c r="E208" s="1090">
        <v>502031001</v>
      </c>
      <c r="F208" s="1090" t="str">
        <f>INDEX('卡片raw data'!C:C,MATCH($D208,'卡片raw data'!$F:$F,))</f>
        <v>R</v>
      </c>
      <c r="G208" s="1094" t="s">
        <v>349</v>
      </c>
      <c r="H208" s="411">
        <f>IFERROR(INDEX(绊状态确认!C:C,MATCH($G208,绊状态确认!$B:$B,)),"")</f>
        <v>203</v>
      </c>
      <c r="I208" s="450" t="str">
        <f>IFERROR(INDEX(绊状态确认!D:D,MATCH($G208,绊状态确认!$B:$B,)),"")</f>
        <v>虹</v>
      </c>
      <c r="J208" s="450" t="str">
        <f>IFERROR(INDEX(绊状态确认!E:E,MATCH($G208,绊状态确认!$B:$B,)),"")</f>
        <v>1年级</v>
      </c>
      <c r="K208" s="451" t="str">
        <f>IFERROR(INDEX(绊状态确认!F:F,MATCH($G208,绊状态确认!$B:$B,)),"")</f>
        <v>A·ZU·NA</v>
      </c>
      <c r="L208" s="1094" t="str">
        <f>INDEX('卡片raw data'!E:E,MATCH($D208,'卡片raw data'!$F:$F,))</f>
        <v>卡池卡</v>
      </c>
      <c r="M208" s="415">
        <v>43927</v>
      </c>
      <c r="N208" s="416">
        <v>13</v>
      </c>
      <c r="O208" s="1091" t="str">
        <f>INDEX('卡片raw data'!D:D,MATCH($D208,'卡片raw data'!$F:$F,))</f>
        <v>gd</v>
      </c>
      <c r="P208" s="417">
        <v>5</v>
      </c>
      <c r="Q208" s="1095">
        <f t="shared" si="258"/>
        <v>6893.7998275907248</v>
      </c>
      <c r="R208" s="1096">
        <f t="shared" si="259"/>
        <v>0.08</v>
      </c>
      <c r="S208" s="1097">
        <f t="shared" si="260"/>
        <v>3060.3620669586212</v>
      </c>
      <c r="T208" s="1098">
        <f t="shared" si="261"/>
        <v>0.153</v>
      </c>
      <c r="U208" s="1099">
        <f t="shared" si="262"/>
        <v>74.74902342428571</v>
      </c>
      <c r="V208" s="1100">
        <f t="shared" si="263"/>
        <v>12595.813701451261</v>
      </c>
      <c r="W208" s="1101">
        <f t="shared" si="264"/>
        <v>3005.1476580839999</v>
      </c>
      <c r="X208" s="1096">
        <f t="shared" si="265"/>
        <v>3.4000000000000002E-2</v>
      </c>
      <c r="Y208" s="1097">
        <f t="shared" si="266"/>
        <v>1177.1703941103015</v>
      </c>
      <c r="Z208" s="1102">
        <f t="shared" si="267"/>
        <v>14.749023424285713</v>
      </c>
      <c r="AA208" s="1103">
        <f t="shared" si="268"/>
        <v>4182.3180521943013</v>
      </c>
      <c r="AB208" s="1101">
        <f t="shared" si="269"/>
        <v>3005.1476580839999</v>
      </c>
      <c r="AC208" s="1104">
        <f t="shared" si="270"/>
        <v>3.4000000000000002E-2</v>
      </c>
      <c r="AD208" s="1105">
        <f t="shared" si="271"/>
        <v>-3.8207812500000026E-3</v>
      </c>
      <c r="AE208" s="1128">
        <f t="shared" si="272"/>
        <v>-28.942028985507246</v>
      </c>
      <c r="AF208" s="1130">
        <f t="shared" si="273"/>
        <v>1112.7377598</v>
      </c>
      <c r="AG208" s="420">
        <f t="shared" si="274"/>
        <v>102666.71980400001</v>
      </c>
      <c r="AH208" s="420">
        <f t="shared" si="275"/>
        <v>92.26497339539641</v>
      </c>
      <c r="AI208" s="1097">
        <f t="shared" si="276"/>
        <v>-80664.963750757684</v>
      </c>
      <c r="AJ208" s="420">
        <f t="shared" si="277"/>
        <v>12595.813701451261</v>
      </c>
      <c r="AK208" s="518">
        <f t="shared" si="278"/>
        <v>-93260.777452208946</v>
      </c>
      <c r="AL208" s="1106">
        <f>IF($P208="","N/A",(IF($P208=-1,INDEX('卡片raw data'!S:S,MATCH($D208,'卡片raw data'!$F:$F,)),0)+IF($P208=0,INDEX('卡片raw data'!V:V,MATCH($D208,'卡片raw data'!$F:$F,)),0)+IF($P208=1,INDEX('卡片raw data'!Y:Y,MATCH($D208,'卡片raw data'!$F:$F,)),0)+IF($P208=2,INDEX('卡片raw data'!AB:AB,MATCH($D208,'卡片raw data'!$F:$F,)),0)+IF($P208=3,INDEX('卡片raw data'!AE:AE,MATCH($D208,'卡片raw data'!$F:$F,)),0)+IF($P208=4,INDEX('卡片raw data'!AH:AH,MATCH($D208,'卡片raw data'!$F:$F,)),0)+IF($P208=5,INDEX('卡片raw data'!AK:AK,MATCH($D208,'卡片raw data'!$F:$F,)),0)+INDEX('卡片raw data'!S:S,MATCH($D208,'卡片raw data'!$F:$F,))*(IF($F208="UR",0.04,0.033))*(IF($F208="UR",INDEX(绊状态确认!$S:$S,MATCH($G208,绊状态确认!$B:$B,))/2-40)+IF($F208="SR",INDEX(绊状态确认!$R:$R,MATCH($G208,绊状态确认!$B:$B,))/4-15))+IF($F208="R",INDEX(绊状态确认!$Q:$Q,MATCH($G208,绊状态确认!$B:$B,))/6-40/6)))*(INDEX(绊状态确认!$H:$H,MATCH($G208,绊状态确认!$B:$B,))+INDEX(绊状态确认!J:J,MATCH($G208,绊状态确认!$B:$B,)))</f>
        <v>1787.5571999999997</v>
      </c>
      <c r="AM208" s="1106">
        <f>IF($P208="","N/A",(IF($P208=-1,INDEX('卡片raw data'!T:T,MATCH($D208,'卡片raw data'!$F:$F,)),0)+IF($P208=0,INDEX('卡片raw data'!W:W,MATCH($D208,'卡片raw data'!$F:$F,)),0)+IF($P208=1,INDEX('卡片raw data'!Z:Z,MATCH($D208,'卡片raw data'!$F:$F,)),0)+IF($P208=2,INDEX('卡片raw data'!AC:AC,MATCH($D208,'卡片raw data'!$F:$F,)),0)+IF($P208=3,INDEX('卡片raw data'!AF:AF,MATCH($D208,'卡片raw data'!$F:$F,)),0)+IF($P208=4,INDEX('卡片raw data'!AI:AI,MATCH($D208,'卡片raw data'!$F:$F,)),0)+IF($P208=5,INDEX('卡片raw data'!AL:AL,MATCH($D208,'卡片raw data'!$F:$F,)),0)+INDEX('卡片raw data'!T:T,MATCH($D208,'卡片raw data'!$F:$F,))*(IF($F208="UR",0.04,0.033))*(IF($F208="UR",INDEX(绊状态确认!$S:$S,MATCH($G208,绊状态确认!$B:$B,))/2-40)+IF($F208="SR",INDEX(绊状态确认!$R:$R,MATCH($G208,绊状态确认!$B:$B,))/4-15))+IF($F208="R",INDEX(绊状态确认!$Q:$Q,MATCH($G208,绊状态确认!$B:$B,))/6-40/6)))*(INDEX(绊状态确认!$H:$H,MATCH($G208,绊状态确认!$B:$B,))+INDEX(绊状态确认!K:K,MATCH($G208,绊状态确认!$B:$B,)))</f>
        <v>7143.4103999999988</v>
      </c>
      <c r="AN208" s="1106">
        <f>IF($P208="","N/A",(IF($P208=-1,INDEX('卡片raw data'!U:U,MATCH($D208,'卡片raw data'!$F:$F,)),0)+IF($P208=0,INDEX('卡片raw data'!X:X,MATCH($D208,'卡片raw data'!$F:$F,)),0)+IF($P208=1,INDEX('卡片raw data'!AA:AA,MATCH($D208,'卡片raw data'!$F:$F,)),0)+IF($P208=2,INDEX('卡片raw data'!AD:AD,MATCH($D208,'卡片raw data'!$F:$F,)),0)+IF($P208=3,INDEX('卡片raw data'!AG:AG,MATCH($D208,'卡片raw data'!$F:$F,)),0)+IF($P208=4,INDEX('卡片raw data'!AJ:AJ,MATCH($D208,'卡片raw data'!$F:$F,)),0)+IF($P208=5,INDEX('卡片raw data'!AM:AM,MATCH($D208,'卡片raw data'!$F:$F,)),0)+INDEX('卡片raw data'!U:U,MATCH($D208,'卡片raw data'!$F:$F,))*(IF($F208="UR",0.04,0.033))*(IF($F208="UR",INDEX(绊状态确认!$S:$S,MATCH($G208,绊状态确认!$B:$B,))/2-40)+IF($F208="SR",INDEX(绊状态确认!$R:$R,MATCH($G208,绊状态确认!$B:$B,))/4-15))+IF($F208="R",INDEX(绊状态确认!$Q:$Q,MATCH($G208,绊状态确认!$B:$B,))/6-40/6)))*(INDEX(绊状态确认!$H:$H,MATCH($G208,绊状态确认!$B:$B,))+INDEX(绊状态确认!L:L,MATCH($G208,绊状态确认!$B:$B,)))</f>
        <v>4809.2447999999995</v>
      </c>
      <c r="AO208" s="1107">
        <f t="shared" si="279"/>
        <v>1</v>
      </c>
      <c r="AP208" s="1131">
        <f>1+(INDEX(绊状态确认!$T:$T,MATCH($G208,绊状态确认!$B:$B,))+0.2)*$AO208</f>
        <v>1.3</v>
      </c>
      <c r="AQ208" s="1108">
        <f t="shared" si="280"/>
        <v>7942.3376499999995</v>
      </c>
      <c r="AR208" s="1097">
        <f>(AM208*(1+$EX$9)+$EX$35)*(1+(INDEX(绊状态确认!$T:$T,MATCH($G208,绊状态确认!$B:$B,))+0.2)*AO208)*IF(J208=$FF$17,1+$FE$17,1)*IF(I208=$FF$14,1+$FE$14,1)</f>
        <v>12454.755196</v>
      </c>
      <c r="AS208" s="1097">
        <f>(AN208*(1+$EX$10)+$EX$36)*(1+(INDEX(绊状态确认!$T:$T,MATCH($G208,绊状态确认!$B:$B,))+0.2)*AO208)*IF(J208=$FF$17,1+$FE$17,1)*IF(I208=$FF$14,1+$FE$14,1)</f>
        <v>11245.820975999999</v>
      </c>
      <c r="AT208" s="1093">
        <f>IF(AND(INDEX('卡片raw data'!AK:AK,MATCH($D208,'卡片raw data'!$F:$F,))&lt;INDEX('卡片raw data'!AM:AM,MATCH($D208,'卡片raw data'!$F:$F,)),INDEX('卡片raw data'!AL:AL,MATCH($D208,'卡片raw data'!$F:$F,))&lt;INDEX('卡片raw data'!AM:AM,MATCH($D208,'卡片raw data'!$F:$F,))),1,0)</f>
        <v>0</v>
      </c>
      <c r="AU208" s="1098">
        <f>MIN(AT208*0.15+AS208*0.00003+INDEX(绊状态确认!M:M,MATCH($G208,绊状态确认!$B:$B,)),1)</f>
        <v>0.36737462928000003</v>
      </c>
      <c r="AV208" s="1109">
        <f>(INDEX(绊状态确认!$N:$N,MATCH($G208,绊状态确认!$B:$B,))+1.5)*$EW$21</f>
        <v>2.6599999999999997</v>
      </c>
      <c r="AW208" s="1101">
        <f t="shared" si="281"/>
        <v>6640.318836173391</v>
      </c>
      <c r="AX208" s="1097">
        <f t="shared" si="282"/>
        <v>1067.495537183587</v>
      </c>
      <c r="AY208" s="1110">
        <f t="shared" si="283"/>
        <v>7707.8143733569777</v>
      </c>
      <c r="AZ208" s="429">
        <f t="shared" si="284"/>
        <v>6085.7365399999999</v>
      </c>
      <c r="BA208" s="431">
        <f t="shared" si="285"/>
        <v>7302.8838479999995</v>
      </c>
      <c r="BB208" s="1097">
        <f>(AM208*(1+$FB$9)+$FB$35)*(1+(INDEX(绊状态确认!$T:$T,MATCH($G208,绊状态确认!$B:$B,))+0.2)*AO208)*IF(J208=$FF$17,1+$FE$17,1)*IF(I208=$FF$14,1+$FE$14,1)*(1+$FE$15)</f>
        <v>12454.755196</v>
      </c>
      <c r="BC208" s="1097">
        <f>(AN208*(1+$FB$10)+$FB$36)*(1+(INDEX(绊状态确认!$T:$T,MATCH($G208,绊状态确认!$B:$B,))+0.2)*AO208)*IF(J208=$FF$17,1+$FE$17,1)*IF(I208=$FF$14,1+$FE$14,1)*(1+$FE$15)</f>
        <v>11245.820975999999</v>
      </c>
      <c r="BD208" s="1104">
        <f>MIN(AT208*0.15+BC208*0.00003+INDEX(绊状态确认!M:M,MATCH($G208,绊状态确认!$B:$B,)),1)</f>
        <v>0.36737462928000003</v>
      </c>
      <c r="BE208" s="432">
        <f>(INDEX(绊状态确认!$N:$N,MATCH($G208,绊状态确认!$B:$B,))+1.5)</f>
        <v>1.9</v>
      </c>
      <c r="BF208" s="1139">
        <f t="array" ref="BF208">SUMPRODUCT(IF(AZ208*AP208*$FI$16:$FI$23*$FA$22&gt;=$FI$24,$FI$24,AZ208*AP208*$FI$16:$FI$23*$FA$22),$FJ$16:$FJ$23)</f>
        <v>12104.52997806</v>
      </c>
      <c r="BG208" s="1125">
        <f t="array" ref="BG208">SUMPRODUCT(IF(BE208*AZ208*AP208*$FI$16:$FI$23*$FA$22&gt;=$FI$24,$FI$24,BE208*AZ208*AP208*$FI$16:$FI$23*$FA$22),$FJ$16:$FJ$23)</f>
        <v>22998.606958314002</v>
      </c>
      <c r="BH208" s="1110">
        <f t="shared" si="286"/>
        <v>5368.9124900095312</v>
      </c>
      <c r="BI208" s="1111">
        <f>IF(O208="vo",$EW$26/$EW$24*0.05,0)+IF(O208="sk",-$EW$26/$EW$24*(0.05-INDEX(绊状态确认!W:W,MATCH($G208,绊状态确认!$B:$B,)))+0.05*$EW$28,0)+IF(O208="sp",0.05*$EW$32*$EW$30*(1-$EW$33)-(0.05-INDEX(绊状态确认!V:V,MATCH($G208,绊状态确认!$B:$B,)))*$EW$28,0)+IF(O208="gd",-(0.05-INDEX(绊状态确认!X:X,MATCH($G208,绊状态确认!$B:$B,)))*$EW$32*$EW$30*(1-$EW$33),0)</f>
        <v>-585.00000000000011</v>
      </c>
      <c r="BJ208" s="1097">
        <f>IF(O208="vo",0.05*(1-$FI$26)*$FA$24,0)+IF(O208="sk",-(0.05-INDEX(绊状态确认!W:W,MATCH($G208,绊状态确认!$B:$B,)))*(1-$FI$26)*$FA$24+0.05*$FA$26,0)+IF(O208="sp",0.05*$FA$32*$FA$27*(1-$FA$33)/$FA$30+0.05*$FA$29/$FA$69*$FA$27*(1-$FA$33)-(0.05-INDEX(绊状态确认!V:V,MATCH($G208,绊状态确认!$B:$B,)))*$FA$26,0)+IF(O208="gd",-(0.05-INDEX(绊状态确认!X:X,MATCH($G208,绊状态确认!$B:$B,)))*$FA$32*$FA$27*(1-$FA$33)/$FA$30-(0.05-INDEX(绊状态确认!X:X,MATCH($G208,绊状态确认!$B:$B,)))*$FA$29/$FA$69*$FA$27*(1-$FA$33),0)</f>
        <v>-795.00000000000011</v>
      </c>
      <c r="BK208" s="1110">
        <f>IF(O208="vo",$EW$26/$EW$24*0.05+$EW$26*(-HP($EW$62,$EW$65,$EW$64)+HP($EW$62,$EW$65,(1.05-INDEX(绊状态确认!U:U,MATCH($G208,绊状态确认!$B:$B,)))*$EW$64)),0)+IF(O208="sk",-$EW$26/$EW$24*(0.05-INDEX(绊状态确认!W:W,MATCH($G208,绊状态确认!$B:$B,)))+0.05*$EW$29,0)+IF(O208="sp",0.05*$EW$32*$EW$30*(1-$EW$33)-(0.05-INDEX(绊状态确认!V:V,MATCH($G208,绊状态确认!$B:$B,)))*$EW$29,0)+IF(O208="gd",-(0.05-INDEX(绊状态确认!X:X,MATCH($G208,绊状态确认!$B:$B,)))*$EW$32*$EW$30*(1-$EW$33)+$EW$26*(-HP($EW$62,$EW$65,$EW$64)+HP($EW$62,$EW$65,0.95*$EW$64)),0)</f>
        <v>1009.5947725176144</v>
      </c>
      <c r="BL208" s="1111">
        <f t="shared" si="287"/>
        <v>-2166.6666666666665</v>
      </c>
      <c r="BM208" s="1110">
        <f t="shared" si="288"/>
        <v>-1661.1111111111109</v>
      </c>
      <c r="BN208" s="1113">
        <f t="shared" si="289"/>
        <v>2</v>
      </c>
      <c r="BO208" s="1097">
        <f t="shared" si="290"/>
        <v>3005.1476580839999</v>
      </c>
      <c r="BP208" s="1100">
        <f t="shared" si="291"/>
        <v>147.56068806020068</v>
      </c>
      <c r="BQ208" s="1113" t="s">
        <v>144</v>
      </c>
      <c r="BR208" s="1124" t="s">
        <v>146</v>
      </c>
      <c r="BS208" s="1098">
        <f>IF($P208="","N/A",IF($P208=-1,INDEX('卡片raw data'!AX:AX,MATCH($D208,'卡片raw data'!$F:$F,)),0)+IF($L208="party卡",IF($P208=5,INDEX('卡片raw data'!BD:BD,MATCH($D208,'卡片raw data'!$F:$F,)),IF($P208&gt;=3,INDEX('卡片raw data'!BC:BC,MATCH($D208,'卡片raw data'!$F:$F,)),INDEX('卡片raw data'!BB:BB,MATCH($D208,'卡片raw data'!$F:$F,)))),IF(OR(AND($F208="UR",$P208=0),AND($F208="SR",$P208&gt;=0,$P208&lt;=2),AND($F208="R",$P208&gt;=0,$P208&lt;4)),INDEX('卡片raw data'!AZ:AZ,MATCH($D208,'卡片raw data'!$F:$F,)),0)+IF(OR(AND($F208="UR",$P208&gt;=1,$P208&lt;=4),AND($F208="SR",$P208&lt;=4,$P208&gt;=3),AND($F208="R",$P208=4)),INDEX('卡片raw data'!BA:BA,MATCH($D208,'卡片raw data'!$F:$F,)),0)+IF($P208=5,INDEX('卡片raw data'!BB:BB,MATCH($D208,'卡片raw data'!$F:$F,)),0)))</f>
        <v>0.04</v>
      </c>
      <c r="BT208" s="1101">
        <f t="shared" si="292"/>
        <v>0</v>
      </c>
      <c r="BU208" s="1097">
        <f t="shared" si="293"/>
        <v>0</v>
      </c>
      <c r="BV208" s="1097">
        <f t="shared" si="294"/>
        <v>0</v>
      </c>
      <c r="BW208" s="1112">
        <f t="shared" si="295"/>
        <v>1.4046428571428564</v>
      </c>
      <c r="BX208" s="1100">
        <f t="shared" si="296"/>
        <v>109.67485692671488</v>
      </c>
      <c r="BY208" s="1110">
        <f t="shared" si="297"/>
        <v>109.67485692671488</v>
      </c>
      <c r="BZ208" s="1107" t="s">
        <v>569</v>
      </c>
      <c r="CA208" s="1124"/>
      <c r="CB208" s="1098">
        <f>IF($P208="","N/A",IF($P208=-1,INDEX('卡片raw data'!BE:BE,MATCH($D208,'卡片raw data'!$F:$F,)),0)+IF($L208="party卡",IF($P208=5,INDEX('卡片raw data'!BK:BK,MATCH($D208,'卡片raw data'!$F:$F,)),IF($P208&gt;=3,INDEX('卡片raw data'!BJ:BJ,MATCH($D208,'卡片raw data'!$F:$F,)),INDEX('卡片raw data'!BI:BI,MATCH($D208,'卡片raw data'!$F:$F,)))),IF(OR(AND($F208="UR",$P208=0),AND($F208="SR",$P208&gt;=0,$P208&lt;=2),AND($F208="R",$P208&gt;=0,$P208&lt;4)),INDEX('卡片raw data'!BG:BG,MATCH($D208,'卡片raw data'!$F:$F,)),0)+IF(OR(AND($F208="UR",$P208&gt;=1,$P208&lt;=4),AND($F208="SR",$P208&lt;=4,$P208&gt;=3),AND($F208="R",$P208=4)),INDEX('卡片raw data'!BH:BH,MATCH($D208,'卡片raw data'!$F:$F,)),0)+IF($P208=5,INDEX('卡片raw data'!BI:BI,MATCH($D208,'卡片raw data'!$F:$F,)),0)))</f>
        <v>0</v>
      </c>
      <c r="CC208" s="1101">
        <f t="shared" si="298"/>
        <v>0</v>
      </c>
      <c r="CD208" s="1097">
        <f>IF(BZ208="ap",CB208*(1-$FI$26)*$FB$5/$FB$11*(+IF(CA208="全员",$FA$24,0)+IF(CA208="同作战",$FA$24,0)+IF(CA208="仲间",$FA$24*2/3,0)+IF(CA208="同属性",$FA$24*$FA$37/3,0)+IF(CA208="同年级",$FA$24*$FA$40/3,0)+IF(CA208="同学校",$FA$24*$FA$43/3,0)+IF(CA208="同小队",$FA$24*$FA$46/3,0)+IF(CA208="同type",$FA$24*INDEX($FB$49:$FB$52,MATCH(X208,$FA$49:$FA$52,))/3,0)+IF(CA208="自身",#REF!/3,0)),0)+IF(BZ208="te",CB208*(1-$FI$27)*($FA$20-1)*$FB$7/$FB$13*(+IF(CA208="全员",$FA$19*$FA$24/(1+($FA$20-1)*$FA$19),0)+IF(CA208="同作战",$FA$19*$FA$24/(1+($FA$20-1)*$FA$19),0)+IF(CA208="仲间",$FA$19*$FA$24*2/3/(1+($FA$20-1)*$FA$19),0)+IF(CA208="同属性",$FA$19*$FA$24*$FA$37/3/(1+($FA$20-1)*$FA$19),0)+IF(CA208="同年级",$FA$19*$FA$24*$FA$40/3/(1+($FA$20-1)*$FA$19),0)+IF(CA208="同学校",$FA$19*$FA$24*$FA$43/3/(1+($FA$20-1)*$FA$19),0)+IF(CA208="同小队",$FA$19*$FA$24*$FA$46/3/(1+($FA$20-1)*$FA$19),0)+IF(CA208="同type",$FA$19*$FA$24*INDEX($FB$49:$FB$52,MATCH(X208,$FA$49:$FA$52,))/3/(1+($FA$20-1)*$FA$19),0)+IF(CA208="自身",$FA$19*#REF!/3/(1+(BH208-1)*$BD208),0)),0)</f>
        <v>0</v>
      </c>
      <c r="CE208" s="1097">
        <f t="shared" si="299"/>
        <v>0</v>
      </c>
      <c r="CF208" s="1112">
        <f t="shared" si="300"/>
        <v>0</v>
      </c>
      <c r="CG208" s="1100">
        <f t="shared" si="301"/>
        <v>0</v>
      </c>
      <c r="CH208" s="1110">
        <f t="shared" si="302"/>
        <v>0</v>
      </c>
      <c r="CI208" s="1113"/>
      <c r="CJ208" s="1114"/>
      <c r="CK208" s="1115" t="s">
        <v>569</v>
      </c>
      <c r="CL208" s="1115"/>
      <c r="CM208" s="1119"/>
      <c r="CN208" s="1115"/>
      <c r="CO208" s="1092"/>
      <c r="CP208" s="1117">
        <f t="shared" si="303"/>
        <v>0</v>
      </c>
      <c r="CQ208" s="1117">
        <f t="shared" si="304"/>
        <v>0</v>
      </c>
      <c r="CR208" s="1117">
        <f t="shared" si="305"/>
        <v>0</v>
      </c>
      <c r="CS208" s="1118">
        <f t="shared" si="306"/>
        <v>0</v>
      </c>
      <c r="CT208" s="1109">
        <f t="shared" si="307"/>
        <v>0</v>
      </c>
      <c r="CU208" s="1101">
        <f t="shared" si="308"/>
        <v>0</v>
      </c>
      <c r="CV208" s="1108">
        <f t="shared" si="309"/>
        <v>0</v>
      </c>
      <c r="CW208" s="1097">
        <f t="shared" si="310"/>
        <v>0</v>
      </c>
      <c r="CX208" s="1097">
        <f t="shared" si="311"/>
        <v>0</v>
      </c>
      <c r="CY208" s="1110">
        <f t="shared" si="312"/>
        <v>0</v>
      </c>
      <c r="CZ208" s="437"/>
      <c r="DA208" s="438"/>
      <c r="DB208" s="439" t="s">
        <v>569</v>
      </c>
      <c r="DC208" s="439"/>
      <c r="DD208" s="443"/>
      <c r="DE208" s="411"/>
      <c r="DF208" s="411"/>
      <c r="DG208" s="1116">
        <f t="shared" si="313"/>
        <v>0</v>
      </c>
      <c r="DH208" s="1116">
        <f t="shared" si="314"/>
        <v>0</v>
      </c>
      <c r="DI208" s="1116">
        <f t="shared" si="315"/>
        <v>0</v>
      </c>
      <c r="DJ208" s="442">
        <f t="shared" si="316"/>
        <v>0</v>
      </c>
      <c r="DK208" s="1109">
        <f t="shared" si="317"/>
        <v>0</v>
      </c>
      <c r="DL208" s="1101">
        <f t="shared" si="318"/>
        <v>0</v>
      </c>
      <c r="DM208" s="1097">
        <f t="shared" si="319"/>
        <v>0</v>
      </c>
      <c r="DN208" s="1097">
        <f t="shared" si="320"/>
        <v>0</v>
      </c>
      <c r="DO208" s="1097">
        <f t="shared" si="321"/>
        <v>0</v>
      </c>
      <c r="DP208" s="1110">
        <f t="shared" si="322"/>
        <v>0</v>
      </c>
      <c r="DQ208" s="1113" t="s">
        <v>635</v>
      </c>
      <c r="DR208" s="1120">
        <f t="shared" si="323"/>
        <v>0.3</v>
      </c>
      <c r="DS208" s="1124"/>
      <c r="DT208" s="1093" t="s">
        <v>546</v>
      </c>
      <c r="DU208" s="1093"/>
      <c r="DV208" s="1097">
        <f>IF($P208="","N/A",IF(P208=-1,INDEX('卡片raw data'!AN:AN,MATCH(D208,'卡片raw data'!$F:$F,)),0)+IF(AND(L208&lt;&gt;"party卡",P208&lt;=2,P208&gt;=0),INDEX('卡片raw data'!AP:AP,MATCH(D208,'卡片raw data'!$F:$F,)),0)+IF(OR(AND(L208="party卡",P208&lt;=1),AND(P208&lt;=4,L208&lt;&gt;"party卡",P208&gt;=3)),INDEX('卡片raw data'!AQ:AQ,MATCH(D208,'卡片raw data'!$F:$F,)),0)+IF(OR(P208=5,AND(L208="party卡",P208&gt;=2)),INDEX('卡片raw data'!AR:AR,MATCH(D208,'卡片raw data'!$F:$F,)),0))</f>
        <v>350</v>
      </c>
      <c r="DW208" s="1098">
        <f t="shared" si="324"/>
        <v>0.3</v>
      </c>
      <c r="DX208" s="1098">
        <f t="shared" si="325"/>
        <v>0.3</v>
      </c>
      <c r="DY208" s="1125">
        <f t="shared" si="326"/>
        <v>35</v>
      </c>
      <c r="DZ208" s="1125">
        <f t="shared" si="327"/>
        <v>30.274999999999999</v>
      </c>
      <c r="EA208" s="1098">
        <f t="shared" si="328"/>
        <v>0</v>
      </c>
      <c r="EB208" s="1121">
        <f t="shared" si="329"/>
        <v>0</v>
      </c>
      <c r="EC208" s="1101">
        <f t="shared" si="330"/>
        <v>0</v>
      </c>
      <c r="ED208" s="1097">
        <f t="shared" si="331"/>
        <v>0</v>
      </c>
      <c r="EE208" s="1110">
        <f t="shared" si="332"/>
        <v>2930.2487072326198</v>
      </c>
      <c r="EF208" s="1092" t="s">
        <v>711</v>
      </c>
      <c r="EG208" s="1120">
        <f t="shared" si="333"/>
        <v>0.3</v>
      </c>
      <c r="EH208" s="1124"/>
      <c r="EI208" s="1093"/>
      <c r="EJ208" s="1093"/>
      <c r="EK208" s="1097">
        <f>IF($P208="","N/A",IF(P208=-1,INDEX('卡片raw data'!AS:AS,MATCH(D208,'卡片raw data'!$F:$F,)),0)+IF(AND(L208&lt;&gt;"party卡",P208&lt;=2,P208&gt;=0),INDEX('卡片raw data'!AU:AU,MATCH(D208,'卡片raw data'!$F:$F,)),0)+IF(OR(AND(L208="party卡",P208&lt;=1),AND(P208&lt;=4,L208&lt;&gt;"party卡",P208&gt;=3)),INDEX('卡片raw data'!AV:AV,MATCH(D208,'卡片raw data'!$F:$F,)),0)+IF(OR(P208=5,AND(L208="party卡",P208&gt;=2)),INDEX('卡片raw data'!AW:AW,MATCH(D208,'卡片raw data'!$F:$F,)),0))</f>
        <v>0</v>
      </c>
      <c r="EL208" s="1098">
        <f t="shared" si="334"/>
        <v>0.3</v>
      </c>
      <c r="EM208" s="1098">
        <f t="shared" si="335"/>
        <v>0.3</v>
      </c>
      <c r="EN208" s="1125">
        <f t="shared" si="336"/>
        <v>0</v>
      </c>
      <c r="EO208" s="1125">
        <f t="shared" si="337"/>
        <v>0</v>
      </c>
      <c r="EP208" s="1098">
        <f t="shared" si="338"/>
        <v>0</v>
      </c>
      <c r="EQ208" s="1121">
        <f t="shared" si="339"/>
        <v>0</v>
      </c>
      <c r="ER208" s="1101">
        <f t="shared" si="340"/>
        <v>0</v>
      </c>
      <c r="ES208" s="1097">
        <f t="shared" si="341"/>
        <v>0</v>
      </c>
      <c r="ET208" s="1122">
        <f t="shared" si="342"/>
        <v>0</v>
      </c>
    </row>
    <row r="209" spans="2:150" ht="16.5" customHeight="1">
      <c r="B209" s="1123" t="str">
        <f>INDEX('卡片raw data'!B:B,MATCH($D209,'卡片raw data'!$F:$F,))</f>
        <v>常服林</v>
      </c>
      <c r="C209" s="449" t="s">
        <v>67</v>
      </c>
      <c r="D209" s="408">
        <v>206</v>
      </c>
      <c r="E209" s="1090">
        <v>502041001</v>
      </c>
      <c r="F209" s="1090" t="str">
        <f>INDEX('卡片raw data'!C:C,MATCH($D209,'卡片raw data'!$F:$F,))</f>
        <v>R</v>
      </c>
      <c r="G209" s="1094" t="s">
        <v>347</v>
      </c>
      <c r="H209" s="411">
        <f>IFERROR(INDEX(绊状态确认!C:C,MATCH($G209,绊状态确认!$B:$B,)),"")</f>
        <v>204</v>
      </c>
      <c r="I209" s="450" t="str">
        <f>IFERROR(INDEX(绊状态确认!D:D,MATCH($G209,绊状态确认!$B:$B,)),"")</f>
        <v>虹</v>
      </c>
      <c r="J209" s="450" t="str">
        <f>IFERROR(INDEX(绊状态确认!E:E,MATCH($G209,绊状态确认!$B:$B,)),"")</f>
        <v>3年级</v>
      </c>
      <c r="K209" s="451" t="str">
        <f>IFERROR(INDEX(绊状态确认!F:F,MATCH($G209,绊状态确认!$B:$B,)),"")</f>
        <v>Diver Diva</v>
      </c>
      <c r="L209" s="1094" t="str">
        <f>INDEX('卡片raw data'!E:E,MATCH($D209,'卡片raw data'!$F:$F,))</f>
        <v>卡池卡</v>
      </c>
      <c r="M209" s="415">
        <v>43927</v>
      </c>
      <c r="N209" s="416">
        <v>13</v>
      </c>
      <c r="O209" s="1091" t="str">
        <f>INDEX('卡片raw data'!D:D,MATCH($D209,'卡片raw data'!$F:$F,))</f>
        <v>sk</v>
      </c>
      <c r="P209" s="417">
        <v>5</v>
      </c>
      <c r="Q209" s="1095">
        <f t="shared" si="258"/>
        <v>14262.812452559623</v>
      </c>
      <c r="R209" s="1096">
        <f t="shared" si="259"/>
        <v>0.16500000000000001</v>
      </c>
      <c r="S209" s="1097">
        <f t="shared" si="260"/>
        <v>10535.013295939933</v>
      </c>
      <c r="T209" s="1098">
        <f t="shared" si="261"/>
        <v>0.52600000000000002</v>
      </c>
      <c r="U209" s="1099">
        <f t="shared" si="262"/>
        <v>10.130101577142856</v>
      </c>
      <c r="V209" s="1100">
        <f t="shared" si="263"/>
        <v>17067.861680816717</v>
      </c>
      <c r="W209" s="1101">
        <f t="shared" si="264"/>
        <v>3005.1476580839999</v>
      </c>
      <c r="X209" s="1096">
        <f t="shared" si="265"/>
        <v>3.4000000000000002E-2</v>
      </c>
      <c r="Y209" s="1097">
        <f t="shared" si="266"/>
        <v>805.04922825709627</v>
      </c>
      <c r="Z209" s="1102">
        <f t="shared" si="267"/>
        <v>10.130101577142856</v>
      </c>
      <c r="AA209" s="1103">
        <f t="shared" si="268"/>
        <v>3810.1968863410962</v>
      </c>
      <c r="AB209" s="1101">
        <f t="shared" si="269"/>
        <v>6010.2953161679998</v>
      </c>
      <c r="AC209" s="1104">
        <f t="shared" si="270"/>
        <v>6.9000000000000006E-2</v>
      </c>
      <c r="AD209" s="1105">
        <f t="shared" si="271"/>
        <v>1.8994224431818179E-2</v>
      </c>
      <c r="AE209" s="1128">
        <f t="shared" si="272"/>
        <v>-1.8962422952541544</v>
      </c>
      <c r="AF209" s="1130">
        <f t="shared" si="273"/>
        <v>0</v>
      </c>
      <c r="AG209" s="420">
        <f t="shared" si="274"/>
        <v>0</v>
      </c>
      <c r="AH209" s="420">
        <f t="shared" si="275"/>
        <v>0</v>
      </c>
      <c r="AI209" s="1097">
        <f t="shared" si="276"/>
        <v>0</v>
      </c>
      <c r="AJ209" s="420">
        <f t="shared" si="277"/>
        <v>0</v>
      </c>
      <c r="AK209" s="518">
        <f t="shared" si="278"/>
        <v>0</v>
      </c>
      <c r="AL209" s="1106">
        <f>IF($P209="","N/A",(IF($P209=-1,INDEX('卡片raw data'!S:S,MATCH($D209,'卡片raw data'!$F:$F,)),0)+IF($P209=0,INDEX('卡片raw data'!V:V,MATCH($D209,'卡片raw data'!$F:$F,)),0)+IF($P209=1,INDEX('卡片raw data'!Y:Y,MATCH($D209,'卡片raw data'!$F:$F,)),0)+IF($P209=2,INDEX('卡片raw data'!AB:AB,MATCH($D209,'卡片raw data'!$F:$F,)),0)+IF($P209=3,INDEX('卡片raw data'!AE:AE,MATCH($D209,'卡片raw data'!$F:$F,)),0)+IF($P209=4,INDEX('卡片raw data'!AH:AH,MATCH($D209,'卡片raw data'!$F:$F,)),0)+IF($P209=5,INDEX('卡片raw data'!AK:AK,MATCH($D209,'卡片raw data'!$F:$F,)),0)+INDEX('卡片raw data'!S:S,MATCH($D209,'卡片raw data'!$F:$F,))*(IF($F209="UR",0.04,0.033))*(IF($F209="UR",INDEX(绊状态确认!$S:$S,MATCH($G209,绊状态确认!$B:$B,))/2-40)+IF($F209="SR",INDEX(绊状态确认!$R:$R,MATCH($G209,绊状态确认!$B:$B,))/4-15))+IF($F209="R",INDEX(绊状态确认!$Q:$Q,MATCH($G209,绊状态确认!$B:$B,))/6-40/6)))*(INDEX(绊状态确认!$H:$H,MATCH($G209,绊状态确认!$B:$B,))+INDEX(绊状态确认!J:J,MATCH($G209,绊状态确认!$B:$B,)))</f>
        <v>6045.6479999999992</v>
      </c>
      <c r="AM209" s="1106">
        <f>IF($P209="","N/A",(IF($P209=-1,INDEX('卡片raw data'!T:T,MATCH($D209,'卡片raw data'!$F:$F,)),0)+IF($P209=0,INDEX('卡片raw data'!W:W,MATCH($D209,'卡片raw data'!$F:$F,)),0)+IF($P209=1,INDEX('卡片raw data'!Z:Z,MATCH($D209,'卡片raw data'!$F:$F,)),0)+IF($P209=2,INDEX('卡片raw data'!AC:AC,MATCH($D209,'卡片raw data'!$F:$F,)),0)+IF($P209=3,INDEX('卡片raw data'!AF:AF,MATCH($D209,'卡片raw data'!$F:$F,)),0)+IF($P209=4,INDEX('卡片raw data'!AI:AI,MATCH($D209,'卡片raw data'!$F:$F,)),0)+IF($P209=5,INDEX('卡片raw data'!AL:AL,MATCH($D209,'卡片raw data'!$F:$F,)),0)+INDEX('卡片raw data'!T:T,MATCH($D209,'卡片raw data'!$F:$F,))*(IF($F209="UR",0.04,0.033))*(IF($F209="UR",INDEX(绊状态确认!$S:$S,MATCH($G209,绊状态确认!$B:$B,))/2-40)+IF($F209="SR",INDEX(绊状态确认!$R:$R,MATCH($G209,绊状态确认!$B:$B,))/4-15))+IF($F209="R",INDEX(绊状态确认!$Q:$Q,MATCH($G209,绊状态确认!$B:$B,))/6-40/6)))*(INDEX(绊状态确认!$H:$H,MATCH($G209,绊状态确认!$B:$B,))+INDEX(绊状态确认!K:K,MATCH($G209,绊状态确认!$B:$B,)))</f>
        <v>4945.612799999999</v>
      </c>
      <c r="AN209" s="1106">
        <f>IF($P209="","N/A",(IF($P209=-1,INDEX('卡片raw data'!U:U,MATCH($D209,'卡片raw data'!$F:$F,)),0)+IF($P209=0,INDEX('卡片raw data'!X:X,MATCH($D209,'卡片raw data'!$F:$F,)),0)+IF($P209=1,INDEX('卡片raw data'!AA:AA,MATCH($D209,'卡片raw data'!$F:$F,)),0)+IF($P209=2,INDEX('卡片raw data'!AD:AD,MATCH($D209,'卡片raw data'!$F:$F,)),0)+IF($P209=3,INDEX('卡片raw data'!AG:AG,MATCH($D209,'卡片raw data'!$F:$F,)),0)+IF($P209=4,INDEX('卡片raw data'!AJ:AJ,MATCH($D209,'卡片raw data'!$F:$F,)),0)+IF($P209=5,INDEX('卡片raw data'!AM:AM,MATCH($D209,'卡片raw data'!$F:$F,)),0)+INDEX('卡片raw data'!U:U,MATCH($D209,'卡片raw data'!$F:$F,))*(IF($F209="UR",0.04,0.033))*(IF($F209="UR",INDEX(绊状态确认!$S:$S,MATCH($G209,绊状态确认!$B:$B,))/2-40)+IF($F209="SR",INDEX(绊状态确认!$R:$R,MATCH($G209,绊状态确认!$B:$B,))/4-15))+IF($F209="R",INDEX(绊状态确认!$Q:$Q,MATCH($G209,绊状态确认!$B:$B,))/6-40/6)))*(INDEX(绊状态确认!$H:$H,MATCH($G209,绊状态确认!$B:$B,))+INDEX(绊状态确认!L:L,MATCH($G209,绊状态确认!$B:$B,)))</f>
        <v>2750.0879999999997</v>
      </c>
      <c r="AO209" s="1107">
        <f t="shared" si="279"/>
        <v>1</v>
      </c>
      <c r="AP209" s="1131">
        <f>1+(INDEX(绊状态确认!$T:$T,MATCH($G209,绊状态确认!$B:$B,))+0.2)*$AO209</f>
        <v>1.3</v>
      </c>
      <c r="AQ209" s="1108">
        <f t="shared" si="280"/>
        <v>19119.825999999997</v>
      </c>
      <c r="AR209" s="1097">
        <f>(AM209*(1+$EX$9)+$EX$35)*(1+(INDEX(绊状态确认!$T:$T,MATCH($G209,绊状态确认!$B:$B,))+0.2)*AO209)*IF(J209=$FF$17,1+$FE$17,1)*IF(I209=$FF$14,1+$FE$14,1)</f>
        <v>9454.7614719999983</v>
      </c>
      <c r="AS209" s="1097">
        <f>(AN209*(1+$EX$10)+$EX$36)*(1+(INDEX(绊状态确认!$T:$T,MATCH($G209,绊状态确认!$B:$B,))+0.2)*AO209)*IF(J209=$FF$17,1+$FE$17,1)*IF(I209=$FF$14,1+$FE$14,1)</f>
        <v>8167.3815599999989</v>
      </c>
      <c r="AT209" s="1093">
        <f>IF(AND(INDEX('卡片raw data'!AK:AK,MATCH($D209,'卡片raw data'!$F:$F,))&lt;INDEX('卡片raw data'!AM:AM,MATCH($D209,'卡片raw data'!$F:$F,)),INDEX('卡片raw data'!AL:AL,MATCH($D209,'卡片raw data'!$F:$F,))&lt;INDEX('卡片raw data'!AM:AM,MATCH($D209,'卡片raw data'!$F:$F,))),1,0)</f>
        <v>0</v>
      </c>
      <c r="AU209" s="1098">
        <f>MIN(AT209*0.15+AS209*0.00003+INDEX(绊状态确认!M:M,MATCH($G209,绊状态确认!$B:$B,)),1)</f>
        <v>0.27502144680000001</v>
      </c>
      <c r="AV209" s="1109">
        <f>(INDEX(绊状态确认!$N:$N,MATCH($G209,绊状态确认!$B:$B,))+1.5)*$EW$21</f>
        <v>2.6599999999999997</v>
      </c>
      <c r="AW209" s="1101">
        <f t="shared" si="281"/>
        <v>14463.133800693337</v>
      </c>
      <c r="AX209" s="1097">
        <f t="shared" si="282"/>
        <v>805.04922825709639</v>
      </c>
      <c r="AY209" s="1110">
        <f t="shared" si="283"/>
        <v>15268.183028950432</v>
      </c>
      <c r="AZ209" s="429">
        <f t="shared" si="284"/>
        <v>14389.013599999998</v>
      </c>
      <c r="BA209" s="431">
        <f t="shared" si="285"/>
        <v>17266.816319999998</v>
      </c>
      <c r="BB209" s="1097">
        <f>(AM209*(1+$FB$9)+$FB$35)*(1+(INDEX(绊状态确认!$T:$T,MATCH($G209,绊状态确认!$B:$B,))+0.2)*AO209)*IF(J209=$FF$17,1+$FE$17,1)*IF(I209=$FF$14,1+$FE$14,1)*(1+$FE$15)</f>
        <v>9454.7614719999983</v>
      </c>
      <c r="BC209" s="1097">
        <f>(AN209*(1+$FB$10)+$FB$36)*(1+(INDEX(绊状态确认!$T:$T,MATCH($G209,绊状态确认!$B:$B,))+0.2)*AO209)*IF(J209=$FF$17,1+$FE$17,1)*IF(I209=$FF$14,1+$FE$14,1)*(1+$FE$15)</f>
        <v>8167.3815599999989</v>
      </c>
      <c r="BD209" s="1104">
        <f>MIN(AT209*0.15+BC209*0.00003+INDEX(绊状态确认!M:M,MATCH($G209,绊状态确认!$B:$B,)),1)</f>
        <v>0.27502144680000001</v>
      </c>
      <c r="BE209" s="432">
        <f>(INDEX(绊状态确认!$N:$N,MATCH($G209,绊状态确认!$B:$B,))+1.5)</f>
        <v>1.9</v>
      </c>
      <c r="BF209" s="1139">
        <f t="array" ref="BF209">SUMPRODUCT(IF(AZ209*AP209*$FI$16:$FI$23*$FA$22&gt;=$FI$24,$FI$24,AZ209*AP209*$FI$16:$FI$23*$FA$22),$FJ$16:$FJ$23)</f>
        <v>28619.748050400001</v>
      </c>
      <c r="BG209" s="1125">
        <f t="array" ref="BG209">SUMPRODUCT(IF(BE209*AZ209*AP209*$FI$16:$FI$23*$FA$22&gt;=$FI$24,$FI$24,BE209*AZ209*AP209*$FI$16:$FI$23*$FA$22),$FJ$16:$FJ$23)</f>
        <v>53185.454956079993</v>
      </c>
      <c r="BH209" s="1110">
        <f t="shared" si="286"/>
        <v>11791.948101754955</v>
      </c>
      <c r="BI209" s="1111">
        <f>IF(O209="vo",$EW$26/$EW$24*0.05,0)+IF(O209="sk",-$EW$26/$EW$24*(0.05-INDEX(绊状态确认!W:W,MATCH($G209,绊状态确认!$B:$B,)))+0.05*$EW$28,0)+IF(O209="sp",0.05*$EW$32*$EW$30*(1-$EW$33)-(0.05-INDEX(绊状态确认!V:V,MATCH($G209,绊状态确认!$B:$B,)))*$EW$28,0)+IF(O209="gd",-(0.05-INDEX(绊状态确认!X:X,MATCH($G209,绊状态确认!$B:$B,)))*$EW$32*$EW$30*(1-$EW$33),0)</f>
        <v>-6253.6726349699375</v>
      </c>
      <c r="BJ209" s="1097">
        <f>IF(O209="vo",0.05*(1-$FI$26)*$FA$24,0)+IF(O209="sk",-(0.05-INDEX(绊状态确认!W:W,MATCH($G209,绊状态确认!$B:$B,)))*(1-$FI$26)*$FA$24+0.05*$FA$26,0)+IF(O209="sp",0.05*$FA$32*$FA$27*(1-$FA$33)/$FA$30+0.05*$FA$29/$FA$69*$FA$27*(1-$FA$33)-(0.05-INDEX(绊状态确认!V:V,MATCH($G209,绊状态确认!$B:$B,)))*$FA$26,0)+IF(O209="gd",-(0.05-INDEX(绊状态确认!X:X,MATCH($G209,绊状态确认!$B:$B,)))*$FA$32*$FA$27*(1-$FA$33)/$FA$30-(0.05-INDEX(绊状态确认!X:X,MATCH($G209,绊状态确认!$B:$B,)))*$FA$29/$FA$69*$FA$27*(1-$FA$33),0)</f>
        <v>20.459096812499922</v>
      </c>
      <c r="BK209" s="1110">
        <f>IF(O209="vo",$EW$26/$EW$24*0.05+$EW$26*(-HP($EW$62,$EW$65,$EW$64)+HP($EW$62,$EW$65,(1.05-INDEX(绊状态确认!U:U,MATCH($G209,绊状态确认!$B:$B,)))*$EW$64)),0)+IF(O209="sk",-$EW$26/$EW$24*(0.05-INDEX(绊状态确认!W:W,MATCH($G209,绊状态确认!$B:$B,)))+0.05*$EW$29,0)+IF(O209="sp",0.05*$EW$32*$EW$30*(1-$EW$33)-(0.05-INDEX(绊状态确认!V:V,MATCH($G209,绊状态确认!$B:$B,)))*$EW$29,0)+IF(O209="gd",-(0.05-INDEX(绊状态确认!X:X,MATCH($G209,绊状态确认!$B:$B,)))*$EW$32*$EW$30*(1-$EW$33)+$EW$26*(-HP($EW$62,$EW$65,$EW$64)+HP($EW$62,$EW$65,0.95*$EW$64)),0)</f>
        <v>-4253.6726349699375</v>
      </c>
      <c r="BL209" s="1111">
        <f t="shared" si="287"/>
        <v>-2166.6666666666665</v>
      </c>
      <c r="BM209" s="1110">
        <f t="shared" si="288"/>
        <v>-1661.1111111111109</v>
      </c>
      <c r="BN209" s="1113">
        <f t="shared" si="289"/>
        <v>2</v>
      </c>
      <c r="BO209" s="1097">
        <f t="shared" si="290"/>
        <v>3005.1476580839999</v>
      </c>
      <c r="BP209" s="1100">
        <f t="shared" si="291"/>
        <v>147.56068806020068</v>
      </c>
      <c r="BQ209" s="1113" t="s">
        <v>143</v>
      </c>
      <c r="BR209" s="1124" t="s">
        <v>146</v>
      </c>
      <c r="BS209" s="1098">
        <f>IF($P209="","N/A",IF($P209=-1,INDEX('卡片raw data'!AX:AX,MATCH($D209,'卡片raw data'!$F:$F,)),0)+IF($L209="party卡",IF($P209=5,INDEX('卡片raw data'!BD:BD,MATCH($D209,'卡片raw data'!$F:$F,)),IF($P209&gt;=3,INDEX('卡片raw data'!BC:BC,MATCH($D209,'卡片raw data'!$F:$F,)),INDEX('卡片raw data'!BB:BB,MATCH($D209,'卡片raw data'!$F:$F,)))),IF(OR(AND($F209="UR",$P209=0),AND($F209="SR",$P209&gt;=0,$P209&lt;=2),AND($F209="R",$P209&gt;=0,$P209&lt;4)),INDEX('卡片raw data'!AZ:AZ,MATCH($D209,'卡片raw data'!$F:$F,)),0)+IF(OR(AND($F209="UR",$P209&gt;=1,$P209&lt;=4),AND($F209="SR",$P209&lt;=4,$P209&gt;=3),AND($F209="R",$P209=4)),INDEX('卡片raw data'!BA:BA,MATCH($D209,'卡片raw data'!$F:$F,)),0)+IF($P209=5,INDEX('卡片raw data'!BB:BB,MATCH($D209,'卡片raw data'!$F:$F,)),0)))</f>
        <v>0.04</v>
      </c>
      <c r="BT209" s="1101">
        <f t="shared" si="292"/>
        <v>3005.1476580840003</v>
      </c>
      <c r="BU209" s="1097">
        <f t="shared" si="293"/>
        <v>147.56068806020068</v>
      </c>
      <c r="BV209" s="1097">
        <f t="shared" si="294"/>
        <v>0</v>
      </c>
      <c r="BW209" s="1112">
        <f t="shared" si="295"/>
        <v>0</v>
      </c>
      <c r="BX209" s="1100">
        <f t="shared" si="296"/>
        <v>3005.1476580840003</v>
      </c>
      <c r="BY209" s="1110">
        <f t="shared" si="297"/>
        <v>0</v>
      </c>
      <c r="BZ209" s="1107" t="s">
        <v>569</v>
      </c>
      <c r="CA209" s="1124"/>
      <c r="CB209" s="1098">
        <f>IF($P209="","N/A",IF($P209=-1,INDEX('卡片raw data'!BE:BE,MATCH($D209,'卡片raw data'!$F:$F,)),0)+IF($L209="party卡",IF($P209=5,INDEX('卡片raw data'!BK:BK,MATCH($D209,'卡片raw data'!$F:$F,)),IF($P209&gt;=3,INDEX('卡片raw data'!BJ:BJ,MATCH($D209,'卡片raw data'!$F:$F,)),INDEX('卡片raw data'!BI:BI,MATCH($D209,'卡片raw data'!$F:$F,)))),IF(OR(AND($F209="UR",$P209=0),AND($F209="SR",$P209&gt;=0,$P209&lt;=2),AND($F209="R",$P209&gt;=0,$P209&lt;4)),INDEX('卡片raw data'!BG:BG,MATCH($D209,'卡片raw data'!$F:$F,)),0)+IF(OR(AND($F209="UR",$P209&gt;=1,$P209&lt;=4),AND($F209="SR",$P209&lt;=4,$P209&gt;=3),AND($F209="R",$P209=4)),INDEX('卡片raw data'!BH:BH,MATCH($D209,'卡片raw data'!$F:$F,)),0)+IF($P209=5,INDEX('卡片raw data'!BI:BI,MATCH($D209,'卡片raw data'!$F:$F,)),0)))</f>
        <v>0</v>
      </c>
      <c r="CC209" s="1101">
        <f t="shared" si="298"/>
        <v>0</v>
      </c>
      <c r="CD209" s="1097">
        <f>IF(BZ209="ap",CB209*(1-$FI$26)*$FB$5/$FB$11*(+IF(CA209="全员",$FA$24,0)+IF(CA209="同作战",$FA$24,0)+IF(CA209="仲间",$FA$24*2/3,0)+IF(CA209="同属性",$FA$24*$FA$37/3,0)+IF(CA209="同年级",$FA$24*$FA$40/3,0)+IF(CA209="同学校",$FA$24*$FA$43/3,0)+IF(CA209="同小队",$FA$24*$FA$46/3,0)+IF(CA209="同type",$FA$24*INDEX($FB$49:$FB$52,MATCH(X209,$FA$49:$FA$52,))/3,0)+IF(CA209="自身",#REF!/3,0)),0)+IF(BZ209="te",CB209*(1-$FI$27)*($FA$20-1)*$FB$7/$FB$13*(+IF(CA209="全员",$FA$19*$FA$24/(1+($FA$20-1)*$FA$19),0)+IF(CA209="同作战",$FA$19*$FA$24/(1+($FA$20-1)*$FA$19),0)+IF(CA209="仲间",$FA$19*$FA$24*2/3/(1+($FA$20-1)*$FA$19),0)+IF(CA209="同属性",$FA$19*$FA$24*$FA$37/3/(1+($FA$20-1)*$FA$19),0)+IF(CA209="同年级",$FA$19*$FA$24*$FA$40/3/(1+($FA$20-1)*$FA$19),0)+IF(CA209="同学校",$FA$19*$FA$24*$FA$43/3/(1+($FA$20-1)*$FA$19),0)+IF(CA209="同小队",$FA$19*$FA$24*$FA$46/3/(1+($FA$20-1)*$FA$19),0)+IF(CA209="同type",$FA$19*$FA$24*INDEX($FB$49:$FB$52,MATCH(X209,$FA$49:$FA$52,))/3/(1+($FA$20-1)*$FA$19),0)+IF(CA209="自身",$FA$19*#REF!/3/(1+(BH209-1)*$BD209),0)),0)</f>
        <v>0</v>
      </c>
      <c r="CE209" s="1097">
        <f t="shared" si="299"/>
        <v>0</v>
      </c>
      <c r="CF209" s="1112">
        <f t="shared" si="300"/>
        <v>0</v>
      </c>
      <c r="CG209" s="1100">
        <f t="shared" si="301"/>
        <v>0</v>
      </c>
      <c r="CH209" s="1110">
        <f t="shared" si="302"/>
        <v>0</v>
      </c>
      <c r="CI209" s="1113"/>
      <c r="CJ209" s="1114"/>
      <c r="CK209" s="1115" t="s">
        <v>569</v>
      </c>
      <c r="CL209" s="1115"/>
      <c r="CM209" s="1119"/>
      <c r="CN209" s="1115"/>
      <c r="CO209" s="1092"/>
      <c r="CP209" s="1117">
        <f t="shared" si="303"/>
        <v>0</v>
      </c>
      <c r="CQ209" s="1117">
        <f t="shared" si="304"/>
        <v>0</v>
      </c>
      <c r="CR209" s="1117">
        <f t="shared" si="305"/>
        <v>0</v>
      </c>
      <c r="CS209" s="1118">
        <f t="shared" si="306"/>
        <v>0</v>
      </c>
      <c r="CT209" s="1109">
        <f t="shared" si="307"/>
        <v>0</v>
      </c>
      <c r="CU209" s="1101">
        <f t="shared" si="308"/>
        <v>0</v>
      </c>
      <c r="CV209" s="1108">
        <f t="shared" si="309"/>
        <v>0</v>
      </c>
      <c r="CW209" s="1097">
        <f t="shared" si="310"/>
        <v>0</v>
      </c>
      <c r="CX209" s="1097">
        <f t="shared" si="311"/>
        <v>0</v>
      </c>
      <c r="CY209" s="1110">
        <f t="shared" si="312"/>
        <v>0</v>
      </c>
      <c r="CZ209" s="437"/>
      <c r="DA209" s="438"/>
      <c r="DB209" s="439" t="s">
        <v>569</v>
      </c>
      <c r="DC209" s="439"/>
      <c r="DD209" s="443"/>
      <c r="DE209" s="411"/>
      <c r="DF209" s="411"/>
      <c r="DG209" s="1116">
        <f t="shared" si="313"/>
        <v>0</v>
      </c>
      <c r="DH209" s="1116">
        <f t="shared" si="314"/>
        <v>0</v>
      </c>
      <c r="DI209" s="1116">
        <f t="shared" si="315"/>
        <v>0</v>
      </c>
      <c r="DJ209" s="442">
        <f t="shared" si="316"/>
        <v>0</v>
      </c>
      <c r="DK209" s="1109">
        <f t="shared" si="317"/>
        <v>0</v>
      </c>
      <c r="DL209" s="1101">
        <f t="shared" si="318"/>
        <v>0</v>
      </c>
      <c r="DM209" s="1097">
        <f t="shared" si="319"/>
        <v>0</v>
      </c>
      <c r="DN209" s="1097">
        <f t="shared" si="320"/>
        <v>0</v>
      </c>
      <c r="DO209" s="1097">
        <f t="shared" si="321"/>
        <v>0</v>
      </c>
      <c r="DP209" s="1110">
        <f t="shared" si="322"/>
        <v>0</v>
      </c>
      <c r="DQ209" s="1113" t="s">
        <v>554</v>
      </c>
      <c r="DR209" s="1120">
        <f t="shared" si="323"/>
        <v>0.3</v>
      </c>
      <c r="DS209" s="1124">
        <v>5</v>
      </c>
      <c r="DT209" s="1093" t="s">
        <v>161</v>
      </c>
      <c r="DU209" s="1093" t="s">
        <v>544</v>
      </c>
      <c r="DV209" s="1098">
        <f>IF($P209="","N/A",IF(P209=-1,INDEX('卡片raw data'!AN:AN,MATCH(D209,'卡片raw data'!$F:$F,)),0)+IF(AND(L209&lt;&gt;"party卡",P209&lt;=2,P209&gt;=0),INDEX('卡片raw data'!AP:AP,MATCH(D209,'卡片raw data'!$F:$F,)),0)+IF(OR(AND(L209="party卡",P209&lt;=1),AND(P209&lt;=4,L209&lt;&gt;"party卡",P209&gt;=3)),INDEX('卡片raw data'!AQ:AQ,MATCH(D209,'卡片raw data'!$F:$F,)),0)+IF(OR(P209=5,AND(L209="party卡",P209&gt;=2)),INDEX('卡片raw data'!AR:AR,MATCH(D209,'卡片raw data'!$F:$F,)),0))</f>
        <v>2.5999999999999999E-2</v>
      </c>
      <c r="DW209" s="1098">
        <f t="shared" si="324"/>
        <v>0.3</v>
      </c>
      <c r="DX209" s="1098">
        <f t="shared" si="325"/>
        <v>0.3</v>
      </c>
      <c r="DY209" s="1098">
        <f t="shared" si="326"/>
        <v>1.2999999999999999E-2</v>
      </c>
      <c r="DZ209" s="1098">
        <f t="shared" si="327"/>
        <v>1.1245E-2</v>
      </c>
      <c r="EA209" s="1098">
        <f t="shared" si="328"/>
        <v>0</v>
      </c>
      <c r="EB209" s="1121">
        <f t="shared" si="329"/>
        <v>0</v>
      </c>
      <c r="EC209" s="1101">
        <f t="shared" si="330"/>
        <v>2209.7226373348913</v>
      </c>
      <c r="ED209" s="1097">
        <f t="shared" si="331"/>
        <v>88.595832363187498</v>
      </c>
      <c r="EE209" s="1110">
        <f t="shared" si="332"/>
        <v>2209.7226373348913</v>
      </c>
      <c r="EF209" s="1092" t="s">
        <v>711</v>
      </c>
      <c r="EG209" s="1120">
        <f t="shared" si="333"/>
        <v>0.3</v>
      </c>
      <c r="EH209" s="1124"/>
      <c r="EI209" s="1093"/>
      <c r="EJ209" s="1093"/>
      <c r="EK209" s="1097">
        <f>IF($P209="","N/A",IF(P209=-1,INDEX('卡片raw data'!AS:AS,MATCH(D209,'卡片raw data'!$F:$F,)),0)+IF(AND(L209&lt;&gt;"party卡",P209&lt;=2,P209&gt;=0),INDEX('卡片raw data'!AU:AU,MATCH(D209,'卡片raw data'!$F:$F,)),0)+IF(OR(AND(L209="party卡",P209&lt;=1),AND(P209&lt;=4,L209&lt;&gt;"party卡",P209&gt;=3)),INDEX('卡片raw data'!AV:AV,MATCH(D209,'卡片raw data'!$F:$F,)),0)+IF(OR(P209=5,AND(L209="party卡",P209&gt;=2)),INDEX('卡片raw data'!AW:AW,MATCH(D209,'卡片raw data'!$F:$F,)),0))</f>
        <v>0</v>
      </c>
      <c r="EL209" s="1098">
        <f t="shared" si="334"/>
        <v>0.3</v>
      </c>
      <c r="EM209" s="1098">
        <f t="shared" si="335"/>
        <v>0.3</v>
      </c>
      <c r="EN209" s="1125">
        <f t="shared" si="336"/>
        <v>0</v>
      </c>
      <c r="EO209" s="1125">
        <f t="shared" si="337"/>
        <v>0</v>
      </c>
      <c r="EP209" s="1098">
        <f t="shared" si="338"/>
        <v>0</v>
      </c>
      <c r="EQ209" s="1121">
        <f t="shared" si="339"/>
        <v>0</v>
      </c>
      <c r="ER209" s="1101">
        <f t="shared" si="340"/>
        <v>0</v>
      </c>
      <c r="ES209" s="1097">
        <f t="shared" si="341"/>
        <v>0</v>
      </c>
      <c r="ET209" s="1122">
        <f t="shared" si="342"/>
        <v>0</v>
      </c>
    </row>
    <row r="210" spans="2:150" ht="16.5" customHeight="1">
      <c r="B210" s="1123" t="str">
        <f>INDEX('卡片raw data'!B:B,MATCH($D210,'卡片raw data'!$F:$F,))</f>
        <v>常服爱</v>
      </c>
      <c r="C210" s="449" t="s">
        <v>22</v>
      </c>
      <c r="D210" s="408">
        <v>207</v>
      </c>
      <c r="E210" s="1090">
        <v>502051001</v>
      </c>
      <c r="F210" s="1090" t="str">
        <f>INDEX('卡片raw data'!C:C,MATCH($D210,'卡片raw data'!$F:$F,))</f>
        <v>R</v>
      </c>
      <c r="G210" s="1094" t="s">
        <v>354</v>
      </c>
      <c r="H210" s="411">
        <f>IFERROR(INDEX(绊状态确认!C:C,MATCH($G210,绊状态确认!$B:$B,)),"")</f>
        <v>205</v>
      </c>
      <c r="I210" s="1124" t="str">
        <f>IFERROR(INDEX(绊状态确认!D:D,MATCH($G210,绊状态确认!$B:$B,)),"")</f>
        <v>虹</v>
      </c>
      <c r="J210" s="1124" t="str">
        <f>IFERROR(INDEX(绊状态确认!E:E,MATCH($G210,绊状态确认!$B:$B,)),"")</f>
        <v>2年级</v>
      </c>
      <c r="K210" s="451" t="str">
        <f>IFERROR(INDEX(绊状态确认!F:F,MATCH($G210,绊状态确认!$B:$B,)),"")</f>
        <v>Diver Diva</v>
      </c>
      <c r="L210" s="1094" t="str">
        <f>INDEX('卡片raw data'!E:E,MATCH($D210,'卡片raw data'!$F:$F,))</f>
        <v>卡池卡</v>
      </c>
      <c r="M210" s="415">
        <v>43927</v>
      </c>
      <c r="N210" s="416">
        <v>13</v>
      </c>
      <c r="O210" s="1091" t="str">
        <f>INDEX('卡片raw data'!D:D,MATCH($D210,'卡片raw data'!$F:$F,))</f>
        <v>gd</v>
      </c>
      <c r="P210" s="417">
        <v>5</v>
      </c>
      <c r="Q210" s="1095">
        <f t="shared" si="258"/>
        <v>10280.90643956106</v>
      </c>
      <c r="R210" s="1096">
        <f t="shared" si="259"/>
        <v>0.11899999999999999</v>
      </c>
      <c r="S210" s="1097">
        <f t="shared" si="260"/>
        <v>5930.4392386587206</v>
      </c>
      <c r="T210" s="1098">
        <f t="shared" si="261"/>
        <v>0.29599999999999999</v>
      </c>
      <c r="U210" s="1099">
        <f t="shared" si="262"/>
        <v>74.34848503928572</v>
      </c>
      <c r="V210" s="1100">
        <f t="shared" si="263"/>
        <v>15950.027368544017</v>
      </c>
      <c r="W210" s="1101">
        <f t="shared" si="264"/>
        <v>3005.1476580839999</v>
      </c>
      <c r="X210" s="1096">
        <f t="shared" si="265"/>
        <v>3.4000000000000002E-2</v>
      </c>
      <c r="Y210" s="1097">
        <f t="shared" si="266"/>
        <v>1144.2774492327253</v>
      </c>
      <c r="Z210" s="1102">
        <f t="shared" si="267"/>
        <v>14.348485039285716</v>
      </c>
      <c r="AA210" s="1103">
        <f t="shared" si="268"/>
        <v>4149.4251073167252</v>
      </c>
      <c r="AB210" s="1101">
        <f t="shared" si="269"/>
        <v>3005.1476580839999</v>
      </c>
      <c r="AC210" s="1104">
        <f t="shared" si="270"/>
        <v>3.4000000000000002E-2</v>
      </c>
      <c r="AD210" s="1105">
        <f t="shared" si="271"/>
        <v>-3.8207812500000026E-3</v>
      </c>
      <c r="AE210" s="1128">
        <f t="shared" si="272"/>
        <v>-28.942028985507246</v>
      </c>
      <c r="AF210" s="1130">
        <f t="shared" si="273"/>
        <v>1094.0459685000001</v>
      </c>
      <c r="AG210" s="420">
        <f t="shared" si="274"/>
        <v>103040.55563</v>
      </c>
      <c r="AH210" s="420">
        <f t="shared" si="275"/>
        <v>94.183022100318624</v>
      </c>
      <c r="AI210" s="1097">
        <f t="shared" si="276"/>
        <v>-77910.020496335492</v>
      </c>
      <c r="AJ210" s="420">
        <f t="shared" si="277"/>
        <v>15950.027368544017</v>
      </c>
      <c r="AK210" s="518">
        <f t="shared" si="278"/>
        <v>-93860.047864879511</v>
      </c>
      <c r="AL210" s="1106">
        <f>IF($P210="","N/A",(IF($P210=-1,INDEX('卡片raw data'!S:S,MATCH($D210,'卡片raw data'!$F:$F,)),0)+IF($P210=0,INDEX('卡片raw data'!V:V,MATCH($D210,'卡片raw data'!$F:$F,)),0)+IF($P210=1,INDEX('卡片raw data'!Y:Y,MATCH($D210,'卡片raw data'!$F:$F,)),0)+IF($P210=2,INDEX('卡片raw data'!AB:AB,MATCH($D210,'卡片raw data'!$F:$F,)),0)+IF($P210=3,INDEX('卡片raw data'!AE:AE,MATCH($D210,'卡片raw data'!$F:$F,)),0)+IF($P210=4,INDEX('卡片raw data'!AH:AH,MATCH($D210,'卡片raw data'!$F:$F,)),0)+IF($P210=5,INDEX('卡片raw data'!AK:AK,MATCH($D210,'卡片raw data'!$F:$F,)),0)+INDEX('卡片raw data'!S:S,MATCH($D210,'卡片raw data'!$F:$F,))*(IF($F210="UR",0.04,0.033))*(IF($F210="UR",INDEX(绊状态确认!$S:$S,MATCH($G210,绊状态确认!$B:$B,))/2-40)+IF($F210="SR",INDEX(绊状态确认!$R:$R,MATCH($G210,绊状态确认!$B:$B,))/4-15))+IF($F210="R",INDEX(绊状态确认!$Q:$Q,MATCH($G210,绊状态确认!$B:$B,))/6-40/6)))*(INDEX(绊状态确认!$H:$H,MATCH($G210,绊状态确认!$B:$B,))+INDEX(绊状态确认!J:J,MATCH($G210,绊状态确认!$B:$B,)))</f>
        <v>3708.0731999999994</v>
      </c>
      <c r="AM210" s="1106">
        <f>IF($P210="","N/A",(IF($P210=-1,INDEX('卡片raw data'!T:T,MATCH($D210,'卡片raw data'!$F:$F,)),0)+IF($P210=0,INDEX('卡片raw data'!W:W,MATCH($D210,'卡片raw data'!$F:$F,)),0)+IF($P210=1,INDEX('卡片raw data'!Z:Z,MATCH($D210,'卡片raw data'!$F:$F,)),0)+IF($P210=2,INDEX('卡片raw data'!AC:AC,MATCH($D210,'卡片raw data'!$F:$F,)),0)+IF($P210=3,INDEX('卡片raw data'!AF:AF,MATCH($D210,'卡片raw data'!$F:$F,)),0)+IF($P210=4,INDEX('卡片raw data'!AI:AI,MATCH($D210,'卡片raw data'!$F:$F,)),0)+IF($P210=5,INDEX('卡片raw data'!AL:AL,MATCH($D210,'卡片raw data'!$F:$F,)),0)+INDEX('卡片raw data'!T:T,MATCH($D210,'卡片raw data'!$F:$F,))*(IF($F210="UR",0.04,0.033))*(IF($F210="UR",INDEX(绊状态确认!$S:$S,MATCH($G210,绊状态确认!$B:$B,))/2-40)+IF($F210="SR",INDEX(绊状态确认!$R:$R,MATCH($G210,绊状态确认!$B:$B,))/4-15))+IF($F210="R",INDEX(绊状态确认!$Q:$Q,MATCH($G210,绊状态确认!$B:$B,))/6-40/6)))*(INDEX(绊状态确认!$H:$H,MATCH($G210,绊状态确认!$B:$B,))+INDEX(绊状态确认!K:K,MATCH($G210,绊状态确认!$B:$B,)))</f>
        <v>6869.5379999999996</v>
      </c>
      <c r="AN210" s="1106">
        <f>IF($P210="","N/A",(IF($P210=-1,INDEX('卡片raw data'!U:U,MATCH($D210,'卡片raw data'!$F:$F,)),0)+IF($P210=0,INDEX('卡片raw data'!X:X,MATCH($D210,'卡片raw data'!$F:$F,)),0)+IF($P210=1,INDEX('卡片raw data'!AA:AA,MATCH($D210,'卡片raw data'!$F:$F,)),0)+IF($P210=2,INDEX('卡片raw data'!AD:AD,MATCH($D210,'卡片raw data'!$F:$F,)),0)+IF($P210=3,INDEX('卡片raw data'!AG:AG,MATCH($D210,'卡片raw data'!$F:$F,)),0)+IF($P210=4,INDEX('卡片raw data'!AJ:AJ,MATCH($D210,'卡片raw data'!$F:$F,)),0)+IF($P210=5,INDEX('卡片raw data'!AM:AM,MATCH($D210,'卡片raw data'!$F:$F,)),0)+INDEX('卡片raw data'!U:U,MATCH($D210,'卡片raw data'!$F:$F,))*(IF($F210="UR",0.04,0.033))*(IF($F210="UR",INDEX(绊状态确认!$S:$S,MATCH($G210,绊状态确认!$B:$B,))/2-40)+IF($F210="SR",INDEX(绊状态确认!$R:$R,MATCH($G210,绊状态确认!$B:$B,))/4-15))+IF($F210="R",INDEX(绊状态确认!$Q:$Q,MATCH($G210,绊状态确认!$B:$B,))/6-40/6)))*(INDEX(绊状态确认!$H:$H,MATCH($G210,绊状态确认!$B:$B,))+INDEX(绊状态确认!L:L,MATCH($G210,绊状态确认!$B:$B,)))</f>
        <v>3160.3283999999994</v>
      </c>
      <c r="AO210" s="1107">
        <f t="shared" si="279"/>
        <v>1</v>
      </c>
      <c r="AP210" s="1131">
        <f>1+(INDEX(绊状态确认!$T:$T,MATCH($G210,绊状态确认!$B:$B,))+0.2)*$AO210</f>
        <v>1.3</v>
      </c>
      <c r="AQ210" s="1108">
        <f t="shared" si="280"/>
        <v>12983.692149999997</v>
      </c>
      <c r="AR210" s="1097">
        <f>(AM210*(1+$EX$9)+$EX$35)*(1+(INDEX(绊状态确认!$T:$T,MATCH($G210,绊状态确认!$B:$B,))+0.2)*AO210)*IF(J210=$FF$17,1+$FE$17,1)*IF(I210=$FF$14,1+$FE$14,1)</f>
        <v>12080.919370000001</v>
      </c>
      <c r="AS210" s="1097">
        <f>(AN210*(1+$EX$10)+$EX$36)*(1+(INDEX(绊状态确认!$T:$T,MATCH($G210,绊状态确认!$B:$B,))+0.2)*AO210)*IF(J210=$FF$17,1+$FE$17,1)*IF(I210=$FF$14,1+$FE$14,1)</f>
        <v>8780.6909579999992</v>
      </c>
      <c r="AT210" s="1093">
        <f>IF(AND(INDEX('卡片raw data'!AK:AK,MATCH($D210,'卡片raw data'!$F:$F,))&lt;INDEX('卡片raw data'!AM:AM,MATCH($D210,'卡片raw data'!$F:$F,)),INDEX('卡片raw data'!AL:AL,MATCH($D210,'卡片raw data'!$F:$F,))&lt;INDEX('卡片raw data'!AM:AM,MATCH($D210,'卡片raw data'!$F:$F,))),1,0)</f>
        <v>0</v>
      </c>
      <c r="AU210" s="1098">
        <f>MIN(AT210*0.15+AS210*0.00003+INDEX(绊状态确认!M:M,MATCH($G210,绊状态确认!$B:$B,)),1)</f>
        <v>0.29342072874000003</v>
      </c>
      <c r="AV210" s="1109">
        <f>(INDEX(绊状态确认!$N:$N,MATCH($G210,绊状态确认!$B:$B,))+1.5)*$EW$21</f>
        <v>2.6599999999999997</v>
      </c>
      <c r="AW210" s="1101">
        <f t="shared" si="281"/>
        <v>10027.425448143726</v>
      </c>
      <c r="AX210" s="1097">
        <f t="shared" si="282"/>
        <v>1034.6025923060106</v>
      </c>
      <c r="AY210" s="1110">
        <f t="shared" si="283"/>
        <v>11062.028040449735</v>
      </c>
      <c r="AZ210" s="429">
        <f t="shared" si="284"/>
        <v>9830.7427399999979</v>
      </c>
      <c r="BA210" s="431">
        <f t="shared" si="285"/>
        <v>11796.891287999997</v>
      </c>
      <c r="BB210" s="1097">
        <f>(AM210*(1+$FB$9)+$FB$35)*(1+(INDEX(绊状态确认!$T:$T,MATCH($G210,绊状态确认!$B:$B,))+0.2)*AO210)*IF(J210=$FF$17,1+$FE$17,1)*IF(I210=$FF$14,1+$FE$14,1)*(1+$FE$15)</f>
        <v>12080.919370000001</v>
      </c>
      <c r="BC210" s="1097">
        <f>(AN210*(1+$FB$10)+$FB$36)*(1+(INDEX(绊状态确认!$T:$T,MATCH($G210,绊状态确认!$B:$B,))+0.2)*AO210)*IF(J210=$FF$17,1+$FE$17,1)*IF(I210=$FF$14,1+$FE$14,1)*(1+$FE$15)</f>
        <v>8780.6909579999992</v>
      </c>
      <c r="BD210" s="1104">
        <f>MIN(AT210*0.15+BC210*0.00003+INDEX(绊状态确认!M:M,MATCH($G210,绊状态确认!$B:$B,)),1)</f>
        <v>0.29342072874000003</v>
      </c>
      <c r="BE210" s="432">
        <f>(INDEX(绊状态确认!$N:$N,MATCH($G210,绊状态确认!$B:$B,))+1.5)</f>
        <v>1.9</v>
      </c>
      <c r="BF210" s="1139">
        <f t="array" ref="BF210">SUMPRODUCT(IF(AZ210*AP210*$FI$16:$FI$23*$FA$22&gt;=$FI$24,$FI$24,AZ210*AP210*$FI$16:$FI$23*$FA$22),$FJ$16:$FJ$23)</f>
        <v>19553.347309859997</v>
      </c>
      <c r="BG210" s="1125">
        <f t="array" ref="BG210">SUMPRODUCT(IF(BE210*AZ210*AP210*$FI$16:$FI$23*$FA$22&gt;=$FI$24,$FI$24,BE210*AZ210*AP210*$FI$16:$FI$23*$FA$22),$FJ$16:$FJ$23)</f>
        <v>37151.35988873399</v>
      </c>
      <c r="BH210" s="1110">
        <f t="shared" si="286"/>
        <v>8238.989661709631</v>
      </c>
      <c r="BI210" s="1111">
        <f>IF(O210="vo",$EW$26/$EW$24*0.05,0)+IF(O210="sk",-$EW$26/$EW$24*(0.05-INDEX(绊状态确认!W:W,MATCH($G210,绊状态确认!$B:$B,)))+0.05*$EW$28,0)+IF(O210="sp",0.05*$EW$32*$EW$30*(1-$EW$33)-(0.05-INDEX(绊状态确认!V:V,MATCH($G210,绊状态确认!$B:$B,)))*$EW$28,0)+IF(O210="gd",-(0.05-INDEX(绊状态确认!X:X,MATCH($G210,绊状态确认!$B:$B,)))*$EW$32*$EW$30*(1-$EW$33),0)</f>
        <v>-585.00000000000011</v>
      </c>
      <c r="BJ210" s="1097">
        <f>IF(O210="vo",0.05*(1-$FI$26)*$FA$24,0)+IF(O210="sk",-(0.05-INDEX(绊状态确认!W:W,MATCH($G210,绊状态确认!$B:$B,)))*(1-$FI$26)*$FA$24+0.05*$FA$26,0)+IF(O210="sp",0.05*$FA$32*$FA$27*(1-$FA$33)/$FA$30+0.05*$FA$29/$FA$69*$FA$27*(1-$FA$33)-(0.05-INDEX(绊状态确认!V:V,MATCH($G210,绊状态确认!$B:$B,)))*$FA$26,0)+IF(O210="gd",-(0.05-INDEX(绊状态确认!X:X,MATCH($G210,绊状态确认!$B:$B,)))*$FA$32*$FA$27*(1-$FA$33)/$FA$30-(0.05-INDEX(绊状态确认!X:X,MATCH($G210,绊状态确认!$B:$B,)))*$FA$29/$FA$69*$FA$27*(1-$FA$33),0)</f>
        <v>-795.00000000000011</v>
      </c>
      <c r="BK210" s="1110">
        <f>IF(O210="vo",$EW$26/$EW$24*0.05+$EW$26*(-HP($EW$62,$EW$65,$EW$64)+HP($EW$62,$EW$65,(1.05-INDEX(绊状态确认!U:U,MATCH($G210,绊状态确认!$B:$B,)))*$EW$64)),0)+IF(O210="sk",-$EW$26/$EW$24*(0.05-INDEX(绊状态确认!W:W,MATCH($G210,绊状态确认!$B:$B,)))+0.05*$EW$29,0)+IF(O210="sp",0.05*$EW$32*$EW$30*(1-$EW$33)-(0.05-INDEX(绊状态确认!V:V,MATCH($G210,绊状态确认!$B:$B,)))*$EW$29,0)+IF(O210="gd",-(0.05-INDEX(绊状态确认!X:X,MATCH($G210,绊状态确认!$B:$B,)))*$EW$32*$EW$30*(1-$EW$33)+$EW$26*(-HP($EW$62,$EW$65,$EW$64)+HP($EW$62,$EW$65,0.95*$EW$64)),0)</f>
        <v>1009.5947725176144</v>
      </c>
      <c r="BL210" s="1111">
        <f t="shared" si="287"/>
        <v>-2166.6666666666665</v>
      </c>
      <c r="BM210" s="1110">
        <f t="shared" si="288"/>
        <v>-1661.1111111111109</v>
      </c>
      <c r="BN210" s="1113">
        <f t="shared" si="289"/>
        <v>2</v>
      </c>
      <c r="BO210" s="1097">
        <f t="shared" si="290"/>
        <v>3005.1476580839999</v>
      </c>
      <c r="BP210" s="1100">
        <f t="shared" si="291"/>
        <v>147.56068806020068</v>
      </c>
      <c r="BQ210" s="1113" t="s">
        <v>144</v>
      </c>
      <c r="BR210" s="1124" t="s">
        <v>146</v>
      </c>
      <c r="BS210" s="1098">
        <f>IF($P210="","N/A",IF($P210=-1,INDEX('卡片raw data'!AX:AX,MATCH($D210,'卡片raw data'!$F:$F,)),0)+IF($L210="party卡",IF($P210=5,INDEX('卡片raw data'!BD:BD,MATCH($D210,'卡片raw data'!$F:$F,)),IF($P210&gt;=3,INDEX('卡片raw data'!BC:BC,MATCH($D210,'卡片raw data'!$F:$F,)),INDEX('卡片raw data'!BB:BB,MATCH($D210,'卡片raw data'!$F:$F,)))),IF(OR(AND($F210="UR",$P210=0),AND($F210="SR",$P210&gt;=0,$P210&lt;=2),AND($F210="R",$P210&gt;=0,$P210&lt;4)),INDEX('卡片raw data'!AZ:AZ,MATCH($D210,'卡片raw data'!$F:$F,)),0)+IF(OR(AND($F210="UR",$P210&gt;=1,$P210&lt;=4),AND($F210="SR",$P210&lt;=4,$P210&gt;=3),AND($F210="R",$P210=4)),INDEX('卡片raw data'!BA:BA,MATCH($D210,'卡片raw data'!$F:$F,)),0)+IF($P210=5,INDEX('卡片raw data'!BB:BB,MATCH($D210,'卡片raw data'!$F:$F,)),0)))</f>
        <v>0.04</v>
      </c>
      <c r="BT210" s="1101">
        <f t="shared" si="292"/>
        <v>0</v>
      </c>
      <c r="BU210" s="1097">
        <f t="shared" si="293"/>
        <v>0</v>
      </c>
      <c r="BV210" s="1097">
        <f t="shared" si="294"/>
        <v>0</v>
      </c>
      <c r="BW210" s="1112">
        <f t="shared" si="295"/>
        <v>1.4046428571428564</v>
      </c>
      <c r="BX210" s="1100">
        <f t="shared" si="296"/>
        <v>109.67485692671488</v>
      </c>
      <c r="BY210" s="1110">
        <f t="shared" si="297"/>
        <v>109.67485692671488</v>
      </c>
      <c r="BZ210" s="1107" t="s">
        <v>569</v>
      </c>
      <c r="CA210" s="1124"/>
      <c r="CB210" s="1098">
        <f>IF($P210="","N/A",IF($P210=-1,INDEX('卡片raw data'!BE:BE,MATCH($D210,'卡片raw data'!$F:$F,)),0)+IF($L210="party卡",IF($P210=5,INDEX('卡片raw data'!BK:BK,MATCH($D210,'卡片raw data'!$F:$F,)),IF($P210&gt;=3,INDEX('卡片raw data'!BJ:BJ,MATCH($D210,'卡片raw data'!$F:$F,)),INDEX('卡片raw data'!BI:BI,MATCH($D210,'卡片raw data'!$F:$F,)))),IF(OR(AND($F210="UR",$P210=0),AND($F210="SR",$P210&gt;=0,$P210&lt;=2),AND($F210="R",$P210&gt;=0,$P210&lt;4)),INDEX('卡片raw data'!BG:BG,MATCH($D210,'卡片raw data'!$F:$F,)),0)+IF(OR(AND($F210="UR",$P210&gt;=1,$P210&lt;=4),AND($F210="SR",$P210&lt;=4,$P210&gt;=3),AND($F210="R",$P210=4)),INDEX('卡片raw data'!BH:BH,MATCH($D210,'卡片raw data'!$F:$F,)),0)+IF($P210=5,INDEX('卡片raw data'!BI:BI,MATCH($D210,'卡片raw data'!$F:$F,)),0)))</f>
        <v>0</v>
      </c>
      <c r="CC210" s="1101">
        <f t="shared" si="298"/>
        <v>0</v>
      </c>
      <c r="CD210" s="1097">
        <f>IF(BZ210="ap",CB210*(1-$FI$26)*$FB$5/$FB$11*(+IF(CA210="全员",$FA$24,0)+IF(CA210="同作战",$FA$24,0)+IF(CA210="仲间",$FA$24*2/3,0)+IF(CA210="同属性",$FA$24*$FA$37/3,0)+IF(CA210="同年级",$FA$24*$FA$40/3,0)+IF(CA210="同学校",$FA$24*$FA$43/3,0)+IF(CA210="同小队",$FA$24*$FA$46/3,0)+IF(CA210="同type",$FA$24*INDEX($FB$49:$FB$52,MATCH(X210,$FA$49:$FA$52,))/3,0)+IF(CA210="自身",#REF!/3,0)),0)+IF(BZ210="te",CB210*(1-$FI$27)*($FA$20-1)*$FB$7/$FB$13*(+IF(CA210="全员",$FA$19*$FA$24/(1+($FA$20-1)*$FA$19),0)+IF(CA210="同作战",$FA$19*$FA$24/(1+($FA$20-1)*$FA$19),0)+IF(CA210="仲间",$FA$19*$FA$24*2/3/(1+($FA$20-1)*$FA$19),0)+IF(CA210="同属性",$FA$19*$FA$24*$FA$37/3/(1+($FA$20-1)*$FA$19),0)+IF(CA210="同年级",$FA$19*$FA$24*$FA$40/3/(1+($FA$20-1)*$FA$19),0)+IF(CA210="同学校",$FA$19*$FA$24*$FA$43/3/(1+($FA$20-1)*$FA$19),0)+IF(CA210="同小队",$FA$19*$FA$24*$FA$46/3/(1+($FA$20-1)*$FA$19),0)+IF(CA210="同type",$FA$19*$FA$24*INDEX($FB$49:$FB$52,MATCH(X210,$FA$49:$FA$52,))/3/(1+($FA$20-1)*$FA$19),0)+IF(CA210="自身",$FA$19*#REF!/3/(1+(BH210-1)*$BD210),0)),0)</f>
        <v>0</v>
      </c>
      <c r="CE210" s="1097">
        <f t="shared" si="299"/>
        <v>0</v>
      </c>
      <c r="CF210" s="1112">
        <f t="shared" si="300"/>
        <v>0</v>
      </c>
      <c r="CG210" s="1100">
        <f t="shared" si="301"/>
        <v>0</v>
      </c>
      <c r="CH210" s="1110">
        <f t="shared" si="302"/>
        <v>0</v>
      </c>
      <c r="CI210" s="1113"/>
      <c r="CJ210" s="1114"/>
      <c r="CK210" s="1115" t="s">
        <v>569</v>
      </c>
      <c r="CL210" s="1115"/>
      <c r="CM210" s="1119"/>
      <c r="CN210" s="1115"/>
      <c r="CO210" s="1092"/>
      <c r="CP210" s="1117">
        <f t="shared" si="303"/>
        <v>0</v>
      </c>
      <c r="CQ210" s="1117">
        <f t="shared" si="304"/>
        <v>0</v>
      </c>
      <c r="CR210" s="1117">
        <f t="shared" si="305"/>
        <v>0</v>
      </c>
      <c r="CS210" s="1118">
        <f t="shared" si="306"/>
        <v>0</v>
      </c>
      <c r="CT210" s="1109">
        <f t="shared" si="307"/>
        <v>0</v>
      </c>
      <c r="CU210" s="1101">
        <f t="shared" si="308"/>
        <v>0</v>
      </c>
      <c r="CV210" s="1108">
        <f t="shared" si="309"/>
        <v>0</v>
      </c>
      <c r="CW210" s="1097">
        <f t="shared" si="310"/>
        <v>0</v>
      </c>
      <c r="CX210" s="1097">
        <f t="shared" si="311"/>
        <v>0</v>
      </c>
      <c r="CY210" s="1110">
        <f t="shared" si="312"/>
        <v>0</v>
      </c>
      <c r="CZ210" s="437"/>
      <c r="DA210" s="438"/>
      <c r="DB210" s="439" t="s">
        <v>569</v>
      </c>
      <c r="DC210" s="439"/>
      <c r="DD210" s="443"/>
      <c r="DE210" s="411"/>
      <c r="DF210" s="411"/>
      <c r="DG210" s="1116">
        <f t="shared" si="313"/>
        <v>0</v>
      </c>
      <c r="DH210" s="1116">
        <f t="shared" si="314"/>
        <v>0</v>
      </c>
      <c r="DI210" s="1116">
        <f t="shared" si="315"/>
        <v>0</v>
      </c>
      <c r="DJ210" s="442">
        <f t="shared" si="316"/>
        <v>0</v>
      </c>
      <c r="DK210" s="1109">
        <f t="shared" si="317"/>
        <v>0</v>
      </c>
      <c r="DL210" s="1101">
        <f t="shared" si="318"/>
        <v>0</v>
      </c>
      <c r="DM210" s="1097">
        <f t="shared" si="319"/>
        <v>0</v>
      </c>
      <c r="DN210" s="1097">
        <f t="shared" si="320"/>
        <v>0</v>
      </c>
      <c r="DO210" s="1097">
        <f t="shared" si="321"/>
        <v>0</v>
      </c>
      <c r="DP210" s="1110">
        <f t="shared" si="322"/>
        <v>0</v>
      </c>
      <c r="DQ210" s="1113" t="s">
        <v>635</v>
      </c>
      <c r="DR210" s="1120">
        <f t="shared" si="323"/>
        <v>0.3</v>
      </c>
      <c r="DS210" s="1124"/>
      <c r="DT210" s="1093" t="s">
        <v>546</v>
      </c>
      <c r="DU210" s="1093"/>
      <c r="DV210" s="1097">
        <f>IF($P210="","N/A",IF(P210=-1,INDEX('卡片raw data'!AN:AN,MATCH(D210,'卡片raw data'!$F:$F,)),0)+IF(AND(L210&lt;&gt;"party卡",P210&lt;=2,P210&gt;=0),INDEX('卡片raw data'!AP:AP,MATCH(D210,'卡片raw data'!$F:$F,)),0)+IF(OR(AND(L210="party卡",P210&lt;=1),AND(P210&lt;=4,L210&lt;&gt;"party卡",P210&gt;=3)),INDEX('卡片raw data'!AQ:AQ,MATCH(D210,'卡片raw data'!$F:$F,)),0)+IF(OR(P210=5,AND(L210="party卡",P210&gt;=2)),INDEX('卡片raw data'!AR:AR,MATCH(D210,'卡片raw data'!$F:$F,)),0))</f>
        <v>350</v>
      </c>
      <c r="DW210" s="1098">
        <f t="shared" si="324"/>
        <v>0.3</v>
      </c>
      <c r="DX210" s="1098">
        <f t="shared" si="325"/>
        <v>0.3</v>
      </c>
      <c r="DY210" s="1125">
        <f t="shared" si="326"/>
        <v>35</v>
      </c>
      <c r="DZ210" s="1125">
        <f t="shared" si="327"/>
        <v>30.274999999999999</v>
      </c>
      <c r="EA210" s="1098">
        <f t="shared" si="328"/>
        <v>0</v>
      </c>
      <c r="EB210" s="1121">
        <f t="shared" si="329"/>
        <v>0</v>
      </c>
      <c r="EC210" s="1101">
        <f t="shared" si="330"/>
        <v>0</v>
      </c>
      <c r="ED210" s="1097">
        <f t="shared" si="331"/>
        <v>0</v>
      </c>
      <c r="EE210" s="1110">
        <f t="shared" si="332"/>
        <v>2930.2487072326198</v>
      </c>
      <c r="EF210" s="1092" t="s">
        <v>711</v>
      </c>
      <c r="EG210" s="1120">
        <f t="shared" si="333"/>
        <v>0.3</v>
      </c>
      <c r="EH210" s="1124"/>
      <c r="EI210" s="1093"/>
      <c r="EJ210" s="1093"/>
      <c r="EK210" s="1097">
        <f>IF($P210="","N/A",IF(P210=-1,INDEX('卡片raw data'!AS:AS,MATCH(D210,'卡片raw data'!$F:$F,)),0)+IF(AND(L210&lt;&gt;"party卡",P210&lt;=2,P210&gt;=0),INDEX('卡片raw data'!AU:AU,MATCH(D210,'卡片raw data'!$F:$F,)),0)+IF(OR(AND(L210="party卡",P210&lt;=1),AND(P210&lt;=4,L210&lt;&gt;"party卡",P210&gt;=3)),INDEX('卡片raw data'!AV:AV,MATCH(D210,'卡片raw data'!$F:$F,)),0)+IF(OR(P210=5,AND(L210="party卡",P210&gt;=2)),INDEX('卡片raw data'!AW:AW,MATCH(D210,'卡片raw data'!$F:$F,)),0))</f>
        <v>0</v>
      </c>
      <c r="EL210" s="1098">
        <f t="shared" si="334"/>
        <v>0.3</v>
      </c>
      <c r="EM210" s="1098">
        <f t="shared" si="335"/>
        <v>0.3</v>
      </c>
      <c r="EN210" s="1125">
        <f t="shared" si="336"/>
        <v>0</v>
      </c>
      <c r="EO210" s="1125">
        <f t="shared" si="337"/>
        <v>0</v>
      </c>
      <c r="EP210" s="1098">
        <f t="shared" si="338"/>
        <v>0</v>
      </c>
      <c r="EQ210" s="1121">
        <f t="shared" si="339"/>
        <v>0</v>
      </c>
      <c r="ER210" s="1101">
        <f t="shared" si="340"/>
        <v>0</v>
      </c>
      <c r="ES210" s="1097">
        <f t="shared" si="341"/>
        <v>0</v>
      </c>
      <c r="ET210" s="1122">
        <f t="shared" si="342"/>
        <v>0</v>
      </c>
    </row>
    <row r="211" spans="2:150" ht="16.5" customHeight="1">
      <c r="B211" s="1123" t="str">
        <f>INDEX('卡片raw data'!B:B,MATCH($D211,'卡片raw data'!$F:$F,))</f>
        <v>常服彼</v>
      </c>
      <c r="C211" s="449" t="s">
        <v>22</v>
      </c>
      <c r="D211" s="408">
        <v>208</v>
      </c>
      <c r="E211" s="1090">
        <v>502061001</v>
      </c>
      <c r="F211" s="1090" t="str">
        <f>INDEX('卡片raw data'!C:C,MATCH($D211,'卡片raw data'!$F:$F,))</f>
        <v>R</v>
      </c>
      <c r="G211" s="1094" t="s">
        <v>355</v>
      </c>
      <c r="H211" s="411">
        <f>IFERROR(INDEX(绊状态确认!C:C,MATCH($G211,绊状态确认!$B:$B,)),"")</f>
        <v>206</v>
      </c>
      <c r="I211" s="450" t="str">
        <f>IFERROR(INDEX(绊状态确认!D:D,MATCH($G211,绊状态确认!$B:$B,)),"")</f>
        <v>虹</v>
      </c>
      <c r="J211" s="450" t="str">
        <f>IFERROR(INDEX(绊状态确认!E:E,MATCH($G211,绊状态确认!$B:$B,)),"")</f>
        <v>3年级</v>
      </c>
      <c r="K211" s="451" t="str">
        <f>IFERROR(INDEX(绊状态确认!F:F,MATCH($G211,绊状态确认!$B:$B,)),"")</f>
        <v>QU4RTZ</v>
      </c>
      <c r="L211" s="1094" t="str">
        <f>INDEX('卡片raw data'!E:E,MATCH($D211,'卡片raw data'!$F:$F,))</f>
        <v>卡池卡</v>
      </c>
      <c r="M211" s="415">
        <v>43927</v>
      </c>
      <c r="N211" s="416">
        <v>13</v>
      </c>
      <c r="O211" s="1091" t="str">
        <f>INDEX('卡片raw data'!D:D,MATCH($D211,'卡片raw data'!$F:$F,))</f>
        <v>sp</v>
      </c>
      <c r="P211" s="417">
        <v>5</v>
      </c>
      <c r="Q211" s="1095">
        <f t="shared" si="258"/>
        <v>21227.568045029624</v>
      </c>
      <c r="R211" s="1096">
        <f t="shared" si="259"/>
        <v>0.246</v>
      </c>
      <c r="S211" s="1097">
        <f t="shared" si="260"/>
        <v>12195.836624614845</v>
      </c>
      <c r="T211" s="1098">
        <f t="shared" si="261"/>
        <v>0.60899999999999999</v>
      </c>
      <c r="U211" s="1099">
        <f t="shared" si="262"/>
        <v>7.3196849421428576</v>
      </c>
      <c r="V211" s="1100">
        <f t="shared" si="263"/>
        <v>20005.952443178849</v>
      </c>
      <c r="W211" s="1101">
        <f t="shared" si="264"/>
        <v>3005.1476580839999</v>
      </c>
      <c r="X211" s="1096">
        <f t="shared" si="265"/>
        <v>3.4000000000000002E-2</v>
      </c>
      <c r="Y211" s="1097">
        <f t="shared" si="266"/>
        <v>578.38439814922413</v>
      </c>
      <c r="Z211" s="1102">
        <f t="shared" si="267"/>
        <v>7.3196849421428576</v>
      </c>
      <c r="AA211" s="1103">
        <f t="shared" si="268"/>
        <v>3583.532056233224</v>
      </c>
      <c r="AB211" s="1101">
        <f t="shared" si="269"/>
        <v>6010.2953161679998</v>
      </c>
      <c r="AC211" s="1104">
        <f t="shared" si="270"/>
        <v>6.9000000000000006E-2</v>
      </c>
      <c r="AD211" s="1105">
        <f t="shared" si="271"/>
        <v>-1.9908281250000003E-2</v>
      </c>
      <c r="AE211" s="1128">
        <f t="shared" si="272"/>
        <v>-3.387869067028987</v>
      </c>
      <c r="AF211" s="1130">
        <f t="shared" si="273"/>
        <v>0</v>
      </c>
      <c r="AG211" s="420">
        <f t="shared" si="274"/>
        <v>0</v>
      </c>
      <c r="AH211" s="420">
        <f t="shared" si="275"/>
        <v>0</v>
      </c>
      <c r="AI211" s="1097">
        <f t="shared" si="276"/>
        <v>0</v>
      </c>
      <c r="AJ211" s="420">
        <f t="shared" si="277"/>
        <v>0</v>
      </c>
      <c r="AK211" s="518">
        <f t="shared" si="278"/>
        <v>0</v>
      </c>
      <c r="AL211" s="1106">
        <f>IF($P211="","N/A",(IF($P211=-1,INDEX('卡片raw data'!S:S,MATCH($D211,'卡片raw data'!$F:$F,)),0)+IF($P211=0,INDEX('卡片raw data'!V:V,MATCH($D211,'卡片raw data'!$F:$F,)),0)+IF($P211=1,INDEX('卡片raw data'!Y:Y,MATCH($D211,'卡片raw data'!$F:$F,)),0)+IF($P211=2,INDEX('卡片raw data'!AB:AB,MATCH($D211,'卡片raw data'!$F:$F,)),0)+IF($P211=3,INDEX('卡片raw data'!AE:AE,MATCH($D211,'卡片raw data'!$F:$F,)),0)+IF($P211=4,INDEX('卡片raw data'!AH:AH,MATCH($D211,'卡片raw data'!$F:$F,)),0)+IF($P211=5,INDEX('卡片raw data'!AK:AK,MATCH($D211,'卡片raw data'!$F:$F,)),0)+INDEX('卡片raw data'!S:S,MATCH($D211,'卡片raw data'!$F:$F,))*(IF($F211="UR",0.04,0.033))*(IF($F211="UR",INDEX(绊状态确认!$S:$S,MATCH($G211,绊状态确认!$B:$B,))/2-40)+IF($F211="SR",INDEX(绊状态确认!$R:$R,MATCH($G211,绊状态确认!$B:$B,))/4-15))+IF($F211="R",INDEX(绊状态确认!$Q:$Q,MATCH($G211,绊状态确认!$B:$B,))/6-40/6)))*(INDEX(绊状态确认!$H:$H,MATCH($G211,绊状态确认!$B:$B,))+INDEX(绊状态确认!J:J,MATCH($G211,绊状态确认!$B:$B,)))</f>
        <v>5220.6215999999995</v>
      </c>
      <c r="AM211" s="1106">
        <f>IF($P211="","N/A",(IF($P211=-1,INDEX('卡片raw data'!T:T,MATCH($D211,'卡片raw data'!$F:$F,)),0)+IF($P211=0,INDEX('卡片raw data'!W:W,MATCH($D211,'卡片raw data'!$F:$F,)),0)+IF($P211=1,INDEX('卡片raw data'!Z:Z,MATCH($D211,'卡片raw data'!$F:$F,)),0)+IF($P211=2,INDEX('卡片raw data'!AC:AC,MATCH($D211,'卡片raw data'!$F:$F,)),0)+IF($P211=3,INDEX('卡片raw data'!AF:AF,MATCH($D211,'卡片raw data'!$F:$F,)),0)+IF($P211=4,INDEX('卡片raw data'!AI:AI,MATCH($D211,'卡片raw data'!$F:$F,)),0)+IF($P211=5,INDEX('卡片raw data'!AL:AL,MATCH($D211,'卡片raw data'!$F:$F,)),0)+INDEX('卡片raw data'!T:T,MATCH($D211,'卡片raw data'!$F:$F,))*(IF($F211="UR",0.04,0.033))*(IF($F211="UR",INDEX(绊状态确认!$S:$S,MATCH($G211,绊状态确认!$B:$B,))/2-40)+IF($F211="SR",INDEX(绊状态确认!$R:$R,MATCH($G211,绊状态确认!$B:$B,))/4-15))+IF($F211="R",INDEX(绊状态确认!$Q:$Q,MATCH($G211,绊状态确认!$B:$B,))/6-40/6)))*(INDEX(绊状态确认!$H:$H,MATCH($G211,绊状态确认!$B:$B,))+INDEX(绊状态确认!K:K,MATCH($G211,绊状态确认!$B:$B,)))</f>
        <v>3023.9603999999995</v>
      </c>
      <c r="AN211" s="1106">
        <f>IF($P211="","N/A",(IF($P211=-1,INDEX('卡片raw data'!U:U,MATCH($D211,'卡片raw data'!$F:$F,)),0)+IF($P211=0,INDEX('卡片raw data'!X:X,MATCH($D211,'卡片raw data'!$F:$F,)),0)+IF($P211=1,INDEX('卡片raw data'!AA:AA,MATCH($D211,'卡片raw data'!$F:$F,)),0)+IF($P211=2,INDEX('卡片raw data'!AD:AD,MATCH($D211,'卡片raw data'!$F:$F,)),0)+IF($P211=3,INDEX('卡片raw data'!AG:AG,MATCH($D211,'卡片raw data'!$F:$F,)),0)+IF($P211=4,INDEX('卡片raw data'!AJ:AJ,MATCH($D211,'卡片raw data'!$F:$F,)),0)+IF($P211=5,INDEX('卡片raw data'!AM:AM,MATCH($D211,'卡片raw data'!$F:$F,)),0)+INDEX('卡片raw data'!U:U,MATCH($D211,'卡片raw data'!$F:$F,))*(IF($F211="UR",0.04,0.033))*(IF($F211="UR",INDEX(绊状态确认!$S:$S,MATCH($G211,绊状态确认!$B:$B,))/2-40)+IF($F211="SR",INDEX(绊状态确认!$R:$R,MATCH($G211,绊状态确认!$B:$B,))/4-15))+IF($F211="R",INDEX(绊状态确认!$Q:$Q,MATCH($G211,绊状态确认!$B:$B,))/6-40/6)))*(INDEX(绊状态确认!$H:$H,MATCH($G211,绊状态确认!$B:$B,))+INDEX(绊状态确认!L:L,MATCH($G211,绊状态确认!$B:$B,)))</f>
        <v>5496.7667999999994</v>
      </c>
      <c r="AO211" s="1107">
        <f t="shared" si="279"/>
        <v>1</v>
      </c>
      <c r="AP211" s="1131">
        <f>1+(INDEX(绊状态确认!$T:$T,MATCH($G211,绊状态确认!$B:$B,))+0.2)*$AO211</f>
        <v>1.3</v>
      </c>
      <c r="AQ211" s="1108">
        <f t="shared" si="280"/>
        <v>16954.131700000002</v>
      </c>
      <c r="AR211" s="1097">
        <f>(AM211*(1+$EX$9)+$EX$35)*(1+(INDEX(绊状态确认!$T:$T,MATCH($G211,绊状态确认!$B:$B,))+0.2)*AO211)*IF(J211=$FF$17,1+$FE$17,1)*IF(I211=$FF$14,1+$FE$14,1)</f>
        <v>6831.705946</v>
      </c>
      <c r="AS211" s="1097">
        <f>(AN211*(1+$EX$10)+$EX$36)*(1+(INDEX(绊状态确认!$T:$T,MATCH($G211,绊状态确认!$B:$B,))+0.2)*AO211)*IF(J211=$FF$17,1+$FE$17,1)*IF(I211=$FF$14,1+$FE$14,1)</f>
        <v>12273.666366000001</v>
      </c>
      <c r="AT211" s="1093">
        <f>IF(AND(INDEX('卡片raw data'!AK:AK,MATCH($D211,'卡片raw data'!$F:$F,))&lt;INDEX('卡片raw data'!AM:AM,MATCH($D211,'卡片raw data'!$F:$F,)),INDEX('卡片raw data'!AL:AL,MATCH($D211,'卡片raw data'!$F:$F,))&lt;INDEX('卡片raw data'!AM:AM,MATCH($D211,'卡片raw data'!$F:$F,))),1,0)</f>
        <v>1</v>
      </c>
      <c r="AU211" s="1098">
        <f>MIN(AT211*0.15+AS211*0.00003+INDEX(绊状态确认!M:M,MATCH($G211,绊状态确认!$B:$B,)),1)</f>
        <v>0.54820999098000012</v>
      </c>
      <c r="AV211" s="1109">
        <f>(INDEX(绊状态确认!$N:$N,MATCH($G211,绊状态确认!$B:$B,))+1.5)*$EW$21</f>
        <v>2.6599999999999997</v>
      </c>
      <c r="AW211" s="1101">
        <f t="shared" si="281"/>
        <v>16817.939395528294</v>
      </c>
      <c r="AX211" s="1097">
        <f t="shared" si="282"/>
        <v>578.38439814922413</v>
      </c>
      <c r="AY211" s="1110">
        <f t="shared" si="283"/>
        <v>17396.323793677519</v>
      </c>
      <c r="AZ211" s="429">
        <f t="shared" si="284"/>
        <v>12780.212119999998</v>
      </c>
      <c r="BA211" s="431">
        <f t="shared" si="285"/>
        <v>15336.254543999998</v>
      </c>
      <c r="BB211" s="1097">
        <f>(AM211*(1+$FB$9)+$FB$35)*(1+(INDEX(绊状态确认!$T:$T,MATCH($G211,绊状态确认!$B:$B,))+0.2)*AO211)*IF(J211=$FF$17,1+$FE$17,1)*IF(I211=$FF$14,1+$FE$14,1)*(1+$FE$15)</f>
        <v>6831.705946</v>
      </c>
      <c r="BC211" s="1097">
        <f>(AN211*(1+$FB$10)+$FB$36)*(1+(INDEX(绊状态确认!$T:$T,MATCH($G211,绊状态确认!$B:$B,))+0.2)*AO211)*IF(J211=$FF$17,1+$FE$17,1)*IF(I211=$FF$14,1+$FE$14,1)*(1+$FE$15)</f>
        <v>12273.666366000001</v>
      </c>
      <c r="BD211" s="1104">
        <f>MIN(AT211*0.15+BC211*0.00003+INDEX(绊状态确认!M:M,MATCH($G211,绊状态确认!$B:$B,)),1)</f>
        <v>0.54820999098000012</v>
      </c>
      <c r="BE211" s="432">
        <f>(INDEX(绊状态确认!$N:$N,MATCH($G211,绊状态确认!$B:$B,))+1.5)</f>
        <v>1.9</v>
      </c>
      <c r="BF211" s="1139">
        <f t="array" ref="BF211">SUMPRODUCT(IF(AZ211*AP211*$FI$16:$FI$23*$FA$22&gt;=$FI$24,$FI$24,AZ211*AP211*$FI$16:$FI$23*$FA$22),$FJ$16:$FJ$23)</f>
        <v>25419.841906679998</v>
      </c>
      <c r="BG211" s="1125">
        <f t="array" ref="BG211">SUMPRODUCT(IF(BE211*AZ211*AP211*$FI$16:$FI$23*$FA$22&gt;=$FI$24,$FI$24,BE211*AZ211*AP211*$FI$16:$FI$23*$FA$22),$FJ$16:$FJ$23)</f>
        <v>48297.699622692002</v>
      </c>
      <c r="BH211" s="1110">
        <f t="shared" si="286"/>
        <v>12653.904026272221</v>
      </c>
      <c r="BI211" s="1111">
        <f>IF(O211="vo",$EW$26/$EW$24*0.05,0)+IF(O211="sk",-$EW$26/$EW$24*(0.05-INDEX(绊状态确认!W:W,MATCH($G211,绊状态确认!$B:$B,)))+0.05*$EW$28,0)+IF(O211="sp",0.05*$EW$32*$EW$30*(1-$EW$33)-(0.05-INDEX(绊状态确认!V:V,MATCH($G211,绊状态确认!$B:$B,)))*$EW$28,0)+IF(O211="gd",-(0.05-INDEX(绊状态确认!X:X,MATCH($G211,绊状态确认!$B:$B,)))*$EW$32*$EW$30*(1-$EW$33),0)</f>
        <v>19.999999999999886</v>
      </c>
      <c r="BJ211" s="1097">
        <f>IF(O211="vo",0.05*(1-$FI$26)*$FA$24,0)+IF(O211="sk",-(0.05-INDEX(绊状态确认!W:W,MATCH($G211,绊状态确认!$B:$B,)))*(1-$FI$26)*$FA$24+0.05*$FA$26,0)+IF(O211="sp",0.05*$FA$32*$FA$27*(1-$FA$33)/$FA$30+0.05*$FA$29/$FA$69*$FA$27*(1-$FA$33)-(0.05-INDEX(绊状态确认!V:V,MATCH($G211,绊状态确认!$B:$B,)))*$FA$26,0)+IF(O211="gd",-(0.05-INDEX(绊状态确认!X:X,MATCH($G211,绊状态确认!$B:$B,)))*$FA$32*$FA$27*(1-$FA$33)/$FA$30-(0.05-INDEX(绊状态确认!X:X,MATCH($G211,绊状态确认!$B:$B,)))*$FA$29/$FA$69*$FA$27*(1-$FA$33),0)</f>
        <v>545.83333333333326</v>
      </c>
      <c r="BK211" s="1110">
        <f>IF(O211="vo",$EW$26/$EW$24*0.05+$EW$26*(-HP($EW$62,$EW$65,$EW$64)+HP($EW$62,$EW$65,(1.05-INDEX(绊状态确认!U:U,MATCH($G211,绊状态确认!$B:$B,)))*$EW$64)),0)+IF(O211="sk",-$EW$26/$EW$24*(0.05-INDEX(绊状态确认!W:W,MATCH($G211,绊状态确认!$B:$B,)))+0.05*$EW$29,0)+IF(O211="sp",0.05*$EW$32*$EW$30*(1-$EW$33)-(0.05-INDEX(绊状态确认!V:V,MATCH($G211,绊状态确认!$B:$B,)))*$EW$29,0)+IF(O211="gd",-(0.05-INDEX(绊状态确认!X:X,MATCH($G211,绊状态确认!$B:$B,)))*$EW$32*$EW$30*(1-$EW$33)+$EW$26*(-HP($EW$62,$EW$65,$EW$64)+HP($EW$62,$EW$65,0.95*$EW$64)),0)</f>
        <v>-1780.0000000000005</v>
      </c>
      <c r="BL211" s="1111">
        <f t="shared" si="287"/>
        <v>-2166.6666666666665</v>
      </c>
      <c r="BM211" s="1110">
        <f t="shared" si="288"/>
        <v>-1661.1111111111109</v>
      </c>
      <c r="BN211" s="1113">
        <f t="shared" si="289"/>
        <v>2</v>
      </c>
      <c r="BO211" s="1097">
        <f t="shared" si="290"/>
        <v>3005.1476580839999</v>
      </c>
      <c r="BP211" s="1100">
        <f t="shared" si="291"/>
        <v>147.56068806020068</v>
      </c>
      <c r="BQ211" s="1113" t="s">
        <v>143</v>
      </c>
      <c r="BR211" s="1124" t="s">
        <v>146</v>
      </c>
      <c r="BS211" s="1098">
        <f>IF($P211="","N/A",IF($P211=-1,INDEX('卡片raw data'!AX:AX,MATCH($D211,'卡片raw data'!$F:$F,)),0)+IF($L211="party卡",IF($P211=5,INDEX('卡片raw data'!BD:BD,MATCH($D211,'卡片raw data'!$F:$F,)),IF($P211&gt;=3,INDEX('卡片raw data'!BC:BC,MATCH($D211,'卡片raw data'!$F:$F,)),INDEX('卡片raw data'!BB:BB,MATCH($D211,'卡片raw data'!$F:$F,)))),IF(OR(AND($F211="UR",$P211=0),AND($F211="SR",$P211&gt;=0,$P211&lt;=2),AND($F211="R",$P211&gt;=0,$P211&lt;4)),INDEX('卡片raw data'!AZ:AZ,MATCH($D211,'卡片raw data'!$F:$F,)),0)+IF(OR(AND($F211="UR",$P211&gt;=1,$P211&lt;=4),AND($F211="SR",$P211&lt;=4,$P211&gt;=3),AND($F211="R",$P211=4)),INDEX('卡片raw data'!BA:BA,MATCH($D211,'卡片raw data'!$F:$F,)),0)+IF($P211=5,INDEX('卡片raw data'!BB:BB,MATCH($D211,'卡片raw data'!$F:$F,)),0)))</f>
        <v>0.04</v>
      </c>
      <c r="BT211" s="1101">
        <f t="shared" si="292"/>
        <v>3005.1476580840003</v>
      </c>
      <c r="BU211" s="1097">
        <f t="shared" si="293"/>
        <v>147.56068806020068</v>
      </c>
      <c r="BV211" s="1097">
        <f t="shared" si="294"/>
        <v>0</v>
      </c>
      <c r="BW211" s="1112">
        <f t="shared" si="295"/>
        <v>0</v>
      </c>
      <c r="BX211" s="1100">
        <f t="shared" si="296"/>
        <v>3005.1476580840003</v>
      </c>
      <c r="BY211" s="1110">
        <f t="shared" si="297"/>
        <v>0</v>
      </c>
      <c r="BZ211" s="1107" t="s">
        <v>569</v>
      </c>
      <c r="CA211" s="1124"/>
      <c r="CB211" s="1098">
        <f>IF($P211="","N/A",IF($P211=-1,INDEX('卡片raw data'!BE:BE,MATCH($D211,'卡片raw data'!$F:$F,)),0)+IF($L211="party卡",IF($P211=5,INDEX('卡片raw data'!BK:BK,MATCH($D211,'卡片raw data'!$F:$F,)),IF($P211&gt;=3,INDEX('卡片raw data'!BJ:BJ,MATCH($D211,'卡片raw data'!$F:$F,)),INDEX('卡片raw data'!BI:BI,MATCH($D211,'卡片raw data'!$F:$F,)))),IF(OR(AND($F211="UR",$P211=0),AND($F211="SR",$P211&gt;=0,$P211&lt;=2),AND($F211="R",$P211&gt;=0,$P211&lt;4)),INDEX('卡片raw data'!BG:BG,MATCH($D211,'卡片raw data'!$F:$F,)),0)+IF(OR(AND($F211="UR",$P211&gt;=1,$P211&lt;=4),AND($F211="SR",$P211&lt;=4,$P211&gt;=3),AND($F211="R",$P211=4)),INDEX('卡片raw data'!BH:BH,MATCH($D211,'卡片raw data'!$F:$F,)),0)+IF($P211=5,INDEX('卡片raw data'!BI:BI,MATCH($D211,'卡片raw data'!$F:$F,)),0)))</f>
        <v>0</v>
      </c>
      <c r="CC211" s="1101">
        <f t="shared" si="298"/>
        <v>0</v>
      </c>
      <c r="CD211" s="1097">
        <f>IF(BZ211="ap",CB211*(1-$FI$26)*$FB$5/$FB$11*(+IF(CA211="全员",$FA$24,0)+IF(CA211="同作战",$FA$24,0)+IF(CA211="仲间",$FA$24*2/3,0)+IF(CA211="同属性",$FA$24*$FA$37/3,0)+IF(CA211="同年级",$FA$24*$FA$40/3,0)+IF(CA211="同学校",$FA$24*$FA$43/3,0)+IF(CA211="同小队",$FA$24*$FA$46/3,0)+IF(CA211="同type",$FA$24*INDEX($FB$49:$FB$52,MATCH(X211,$FA$49:$FA$52,))/3,0)+IF(CA211="自身",#REF!/3,0)),0)+IF(BZ211="te",CB211*(1-$FI$27)*($FA$20-1)*$FB$7/$FB$13*(+IF(CA211="全员",$FA$19*$FA$24/(1+($FA$20-1)*$FA$19),0)+IF(CA211="同作战",$FA$19*$FA$24/(1+($FA$20-1)*$FA$19),0)+IF(CA211="仲间",$FA$19*$FA$24*2/3/(1+($FA$20-1)*$FA$19),0)+IF(CA211="同属性",$FA$19*$FA$24*$FA$37/3/(1+($FA$20-1)*$FA$19),0)+IF(CA211="同年级",$FA$19*$FA$24*$FA$40/3/(1+($FA$20-1)*$FA$19),0)+IF(CA211="同学校",$FA$19*$FA$24*$FA$43/3/(1+($FA$20-1)*$FA$19),0)+IF(CA211="同小队",$FA$19*$FA$24*$FA$46/3/(1+($FA$20-1)*$FA$19),0)+IF(CA211="同type",$FA$19*$FA$24*INDEX($FB$49:$FB$52,MATCH(X211,$FA$49:$FA$52,))/3/(1+($FA$20-1)*$FA$19),0)+IF(CA211="自身",$FA$19*#REF!/3/(1+(BH211-1)*$BD211),0)),0)</f>
        <v>0</v>
      </c>
      <c r="CE211" s="1097">
        <f t="shared" si="299"/>
        <v>0</v>
      </c>
      <c r="CF211" s="1112">
        <f t="shared" si="300"/>
        <v>0</v>
      </c>
      <c r="CG211" s="1100">
        <f t="shared" si="301"/>
        <v>0</v>
      </c>
      <c r="CH211" s="1110">
        <f t="shared" si="302"/>
        <v>0</v>
      </c>
      <c r="CI211" s="1113"/>
      <c r="CJ211" s="1114"/>
      <c r="CK211" s="1115" t="s">
        <v>569</v>
      </c>
      <c r="CL211" s="1115"/>
      <c r="CM211" s="1119"/>
      <c r="CN211" s="1115"/>
      <c r="CO211" s="1092"/>
      <c r="CP211" s="1117">
        <f t="shared" si="303"/>
        <v>0</v>
      </c>
      <c r="CQ211" s="1117">
        <f t="shared" si="304"/>
        <v>0</v>
      </c>
      <c r="CR211" s="1117">
        <f t="shared" si="305"/>
        <v>0</v>
      </c>
      <c r="CS211" s="1118">
        <f t="shared" si="306"/>
        <v>0</v>
      </c>
      <c r="CT211" s="1109">
        <f t="shared" si="307"/>
        <v>0</v>
      </c>
      <c r="CU211" s="1101">
        <f t="shared" si="308"/>
        <v>0</v>
      </c>
      <c r="CV211" s="1108">
        <f t="shared" si="309"/>
        <v>0</v>
      </c>
      <c r="CW211" s="1097">
        <f t="shared" si="310"/>
        <v>0</v>
      </c>
      <c r="CX211" s="1097">
        <f t="shared" si="311"/>
        <v>0</v>
      </c>
      <c r="CY211" s="1110">
        <f t="shared" si="312"/>
        <v>0</v>
      </c>
      <c r="CZ211" s="437"/>
      <c r="DA211" s="438"/>
      <c r="DB211" s="439" t="s">
        <v>569</v>
      </c>
      <c r="DC211" s="439"/>
      <c r="DD211" s="443"/>
      <c r="DE211" s="411"/>
      <c r="DF211" s="411"/>
      <c r="DG211" s="1116">
        <f t="shared" si="313"/>
        <v>0</v>
      </c>
      <c r="DH211" s="1116">
        <f t="shared" si="314"/>
        <v>0</v>
      </c>
      <c r="DI211" s="1116">
        <f t="shared" si="315"/>
        <v>0</v>
      </c>
      <c r="DJ211" s="442">
        <f t="shared" si="316"/>
        <v>0</v>
      </c>
      <c r="DK211" s="1109">
        <f t="shared" si="317"/>
        <v>0</v>
      </c>
      <c r="DL211" s="1101">
        <f t="shared" si="318"/>
        <v>0</v>
      </c>
      <c r="DM211" s="1097">
        <f t="shared" si="319"/>
        <v>0</v>
      </c>
      <c r="DN211" s="1097">
        <f t="shared" si="320"/>
        <v>0</v>
      </c>
      <c r="DO211" s="1097">
        <f t="shared" si="321"/>
        <v>0</v>
      </c>
      <c r="DP211" s="1110">
        <f t="shared" si="322"/>
        <v>0</v>
      </c>
      <c r="DQ211" s="1113" t="s">
        <v>547</v>
      </c>
      <c r="DR211" s="1120">
        <f t="shared" si="323"/>
        <v>0.3</v>
      </c>
      <c r="DS211" s="1124">
        <v>10</v>
      </c>
      <c r="DT211" s="1093" t="s">
        <v>161</v>
      </c>
      <c r="DU211" s="1093" t="s">
        <v>544</v>
      </c>
      <c r="DV211" s="1098">
        <f>IF($P211="","N/A",IF(P211=-1,INDEX('卡片raw data'!AN:AN,MATCH(D211,'卡片raw data'!$F:$F,)),0)+IF(AND(L211&lt;&gt;"party卡",P211&lt;=2,P211&gt;=0),INDEX('卡片raw data'!AP:AP,MATCH(D211,'卡片raw data'!$F:$F,)),0)+IF(OR(AND(L211="party卡",P211&lt;=1),AND(P211&lt;=4,L211&lt;&gt;"party卡",P211&gt;=3)),INDEX('卡片raw data'!AQ:AQ,MATCH(D211,'卡片raw data'!$F:$F,)),0)+IF(OR(P211=5,AND(L211="party卡",P211&gt;=2)),INDEX('卡片raw data'!AR:AR,MATCH(D211,'卡片raw data'!$F:$F,)),0))</f>
        <v>4.2000000000000003E-2</v>
      </c>
      <c r="DW211" s="1098">
        <f t="shared" si="324"/>
        <v>0.3</v>
      </c>
      <c r="DX211" s="1098">
        <f t="shared" si="325"/>
        <v>0.3</v>
      </c>
      <c r="DY211" s="1098">
        <f t="shared" si="326"/>
        <v>4.1999999999999996E-2</v>
      </c>
      <c r="DZ211" s="1098">
        <f t="shared" si="327"/>
        <v>3.6329999999999994E-2</v>
      </c>
      <c r="EA211" s="1098">
        <f t="shared" si="328"/>
        <v>0</v>
      </c>
      <c r="EB211" s="1121">
        <f t="shared" si="329"/>
        <v>8.3802468749999992</v>
      </c>
      <c r="EC211" s="1101">
        <f t="shared" si="330"/>
        <v>545.99999999999989</v>
      </c>
      <c r="ED211" s="1097">
        <f t="shared" si="331"/>
        <v>362.08899999999988</v>
      </c>
      <c r="EE211" s="1110">
        <f t="shared" si="332"/>
        <v>545.99999999999989</v>
      </c>
      <c r="EF211" s="1092" t="s">
        <v>711</v>
      </c>
      <c r="EG211" s="1120">
        <f t="shared" si="333"/>
        <v>0.3</v>
      </c>
      <c r="EH211" s="1124"/>
      <c r="EI211" s="1093"/>
      <c r="EJ211" s="1093"/>
      <c r="EK211" s="1097">
        <f>IF($P211="","N/A",IF(P211=-1,INDEX('卡片raw data'!AS:AS,MATCH(D211,'卡片raw data'!$F:$F,)),0)+IF(AND(L211&lt;&gt;"party卡",P211&lt;=2,P211&gt;=0),INDEX('卡片raw data'!AU:AU,MATCH(D211,'卡片raw data'!$F:$F,)),0)+IF(OR(AND(L211="party卡",P211&lt;=1),AND(P211&lt;=4,L211&lt;&gt;"party卡",P211&gt;=3)),INDEX('卡片raw data'!AV:AV,MATCH(D211,'卡片raw data'!$F:$F,)),0)+IF(OR(P211=5,AND(L211="party卡",P211&gt;=2)),INDEX('卡片raw data'!AW:AW,MATCH(D211,'卡片raw data'!$F:$F,)),0))</f>
        <v>0</v>
      </c>
      <c r="EL211" s="1098">
        <f t="shared" si="334"/>
        <v>0.3</v>
      </c>
      <c r="EM211" s="1098">
        <f t="shared" si="335"/>
        <v>0.3</v>
      </c>
      <c r="EN211" s="1125">
        <f t="shared" si="336"/>
        <v>0</v>
      </c>
      <c r="EO211" s="1125">
        <f t="shared" si="337"/>
        <v>0</v>
      </c>
      <c r="EP211" s="1098">
        <f t="shared" si="338"/>
        <v>0</v>
      </c>
      <c r="EQ211" s="1121">
        <f t="shared" si="339"/>
        <v>0</v>
      </c>
      <c r="ER211" s="1101">
        <f t="shared" si="340"/>
        <v>0</v>
      </c>
      <c r="ES211" s="1097">
        <f t="shared" si="341"/>
        <v>0</v>
      </c>
      <c r="ET211" s="1122">
        <f t="shared" si="342"/>
        <v>0</v>
      </c>
    </row>
    <row r="212" spans="2:150" ht="16.5" customHeight="1">
      <c r="B212" s="1123" t="str">
        <f>INDEX('卡片raw data'!B:B,MATCH($D212,'卡片raw data'!$F:$F,))</f>
        <v>常服菜</v>
      </c>
      <c r="C212" s="449" t="s">
        <v>66</v>
      </c>
      <c r="D212" s="408">
        <v>209</v>
      </c>
      <c r="E212" s="1090">
        <v>502071001</v>
      </c>
      <c r="F212" s="1090" t="str">
        <f>INDEX('卡片raw data'!C:C,MATCH($D212,'卡片raw data'!$F:$F,))</f>
        <v>R</v>
      </c>
      <c r="G212" s="1094" t="s">
        <v>348</v>
      </c>
      <c r="H212" s="411">
        <f>IFERROR(INDEX(绊状态确认!C:C,MATCH($G212,绊状态确认!$B:$B,)),"")</f>
        <v>207</v>
      </c>
      <c r="I212" s="450" t="str">
        <f>IFERROR(INDEX(绊状态确认!D:D,MATCH($G212,绊状态确认!$B:$B,)),"")</f>
        <v>虹</v>
      </c>
      <c r="J212" s="450" t="str">
        <f>IFERROR(INDEX(绊状态确认!E:E,MATCH($G212,绊状态确认!$B:$B,)),"")</f>
        <v>2年级</v>
      </c>
      <c r="K212" s="451" t="str">
        <f>IFERROR(INDEX(绊状态确认!F:F,MATCH($G212,绊状态确认!$B:$B,)),"")</f>
        <v>A·ZU·NA</v>
      </c>
      <c r="L212" s="1094" t="str">
        <f>INDEX('卡片raw data'!E:E,MATCH($D212,'卡片raw data'!$F:$F,))</f>
        <v>卡池卡</v>
      </c>
      <c r="M212" s="415">
        <v>43927</v>
      </c>
      <c r="N212" s="416">
        <v>13</v>
      </c>
      <c r="O212" s="1091" t="str">
        <f>INDEX('卡片raw data'!D:D,MATCH($D212,'卡片raw data'!$F:$F,))</f>
        <v>gd</v>
      </c>
      <c r="P212" s="417">
        <v>5</v>
      </c>
      <c r="Q212" s="1095">
        <f t="shared" si="258"/>
        <v>12275.285371788867</v>
      </c>
      <c r="R212" s="1096">
        <f t="shared" si="259"/>
        <v>0.14199999999999999</v>
      </c>
      <c r="S212" s="1097">
        <f t="shared" si="260"/>
        <v>7763.6169049738874</v>
      </c>
      <c r="T212" s="1098">
        <f t="shared" si="261"/>
        <v>0.38800000000000001</v>
      </c>
      <c r="U212" s="1099">
        <f t="shared" si="262"/>
        <v>74.14572286928572</v>
      </c>
      <c r="V212" s="1100">
        <f t="shared" si="263"/>
        <v>17927.775717175584</v>
      </c>
      <c r="W212" s="1101">
        <f t="shared" si="264"/>
        <v>3005.1476580839999</v>
      </c>
      <c r="X212" s="1096">
        <f t="shared" si="265"/>
        <v>3.4000000000000002E-2</v>
      </c>
      <c r="Y212" s="1097">
        <f t="shared" si="266"/>
        <v>1127.6468656364841</v>
      </c>
      <c r="Z212" s="1102">
        <f t="shared" si="267"/>
        <v>14.145722869285713</v>
      </c>
      <c r="AA212" s="1103">
        <f t="shared" si="268"/>
        <v>4132.794523720484</v>
      </c>
      <c r="AB212" s="1101">
        <f t="shared" si="269"/>
        <v>3005.1476580839999</v>
      </c>
      <c r="AC212" s="1104">
        <f t="shared" si="270"/>
        <v>3.4000000000000002E-2</v>
      </c>
      <c r="AD212" s="1105">
        <f t="shared" si="271"/>
        <v>-3.8207812500000026E-3</v>
      </c>
      <c r="AE212" s="1128">
        <f t="shared" si="272"/>
        <v>-28.942028985507246</v>
      </c>
      <c r="AF212" s="1130">
        <f t="shared" si="273"/>
        <v>1084.5837339</v>
      </c>
      <c r="AG212" s="420">
        <f t="shared" si="274"/>
        <v>103229.80032200001</v>
      </c>
      <c r="AH212" s="420">
        <f t="shared" si="275"/>
        <v>95.17918911691693</v>
      </c>
      <c r="AI212" s="1097">
        <f t="shared" si="276"/>
        <v>-75873.086512770358</v>
      </c>
      <c r="AJ212" s="420">
        <f t="shared" si="277"/>
        <v>17927.775717175584</v>
      </c>
      <c r="AK212" s="518">
        <f t="shared" si="278"/>
        <v>-93800.862229945938</v>
      </c>
      <c r="AL212" s="1106">
        <f>IF($P212="","N/A",(IF($P212=-1,INDEX('卡片raw data'!S:S,MATCH($D212,'卡片raw data'!$F:$F,)),0)+IF($P212=0,INDEX('卡片raw data'!V:V,MATCH($D212,'卡片raw data'!$F:$F,)),0)+IF($P212=1,INDEX('卡片raw data'!Y:Y,MATCH($D212,'卡片raw data'!$F:$F,)),0)+IF($P212=2,INDEX('卡片raw data'!AB:AB,MATCH($D212,'卡片raw data'!$F:$F,)),0)+IF($P212=3,INDEX('卡片raw data'!AE:AE,MATCH($D212,'卡片raw data'!$F:$F,)),0)+IF($P212=4,INDEX('卡片raw data'!AH:AH,MATCH($D212,'卡片raw data'!$F:$F,)),0)+IF($P212=5,INDEX('卡片raw data'!AK:AK,MATCH($D212,'卡片raw data'!$F:$F,)),0)+INDEX('卡片raw data'!S:S,MATCH($D212,'卡片raw data'!$F:$F,))*(IF($F212="UR",0.04,0.033))*(IF($F212="UR",INDEX(绊状态确认!$S:$S,MATCH($G212,绊状态确认!$B:$B,))/2-40)+IF($F212="SR",INDEX(绊状态确认!$R:$R,MATCH($G212,绊状态确认!$B:$B,))/4-15))+IF($F212="R",INDEX(绊状态确认!$Q:$Q,MATCH($G212,绊状态确认!$B:$B,))/6-40/6)))*(INDEX(绊状态确认!$H:$H,MATCH($G212,绊状态确认!$B:$B,))+INDEX(绊状态确认!J:J,MATCH($G212,绊状态确认!$B:$B,)))</f>
        <v>5083.1171999999997</v>
      </c>
      <c r="AM212" s="1106">
        <f>IF($P212="","N/A",(IF($P212=-1,INDEX('卡片raw data'!T:T,MATCH($D212,'卡片raw data'!$F:$F,)),0)+IF($P212=0,INDEX('卡片raw data'!W:W,MATCH($D212,'卡片raw data'!$F:$F,)),0)+IF($P212=1,INDEX('卡片raw data'!Z:Z,MATCH($D212,'卡片raw data'!$F:$F,)),0)+IF($P212=2,INDEX('卡片raw data'!AC:AC,MATCH($D212,'卡片raw data'!$F:$F,)),0)+IF($P212=3,INDEX('卡片raw data'!AF:AF,MATCH($D212,'卡片raw data'!$F:$F,)),0)+IF($P212=4,INDEX('卡片raw data'!AI:AI,MATCH($D212,'卡片raw data'!$F:$F,)),0)+IF($P212=5,INDEX('卡片raw data'!AL:AL,MATCH($D212,'卡片raw data'!$F:$F,)),0)+INDEX('卡片raw data'!T:T,MATCH($D212,'卡片raw data'!$F:$F,))*(IF($F212="UR",0.04,0.033))*(IF($F212="UR",INDEX(绊状态确认!$S:$S,MATCH($G212,绊状态确认!$B:$B,))/2-40)+IF($F212="SR",INDEX(绊状态确认!$R:$R,MATCH($G212,绊状态确认!$B:$B,))/4-15))+IF($F212="R",INDEX(绊状态确认!$Q:$Q,MATCH($G212,绊状态确认!$B:$B,))/6-40/6)))*(INDEX(绊状态确认!$H:$H,MATCH($G212,绊状态确认!$B:$B,))+INDEX(绊状态确认!K:K,MATCH($G212,绊状态确认!$B:$B,)))</f>
        <v>6730.8971999999994</v>
      </c>
      <c r="AN212" s="1106">
        <f>IF($P212="","N/A",(IF($P212=-1,INDEX('卡片raw data'!U:U,MATCH($D212,'卡片raw data'!$F:$F,)),0)+IF($P212=0,INDEX('卡片raw data'!X:X,MATCH($D212,'卡片raw data'!$F:$F,)),0)+IF($P212=1,INDEX('卡片raw data'!AA:AA,MATCH($D212,'卡片raw data'!$F:$F,)),0)+IF($P212=2,INDEX('卡片raw data'!AD:AD,MATCH($D212,'卡片raw data'!$F:$F,)),0)+IF($P212=3,INDEX('卡片raw data'!AG:AG,MATCH($D212,'卡片raw data'!$F:$F,)),0)+IF($P212=4,INDEX('卡片raw data'!AJ:AJ,MATCH($D212,'卡片raw data'!$F:$F,)),0)+IF($P212=5,INDEX('卡片raw data'!AM:AM,MATCH($D212,'卡片raw data'!$F:$F,)),0)+INDEX('卡片raw data'!U:U,MATCH($D212,'卡片raw data'!$F:$F,))*(IF($F212="UR",0.04,0.033))*(IF($F212="UR",INDEX(绊状态确认!$S:$S,MATCH($G212,绊状态确认!$B:$B,))/2-40)+IF($F212="SR",INDEX(绊状态确认!$R:$R,MATCH($G212,绊状态确认!$B:$B,))/4-15))+IF($F212="R",INDEX(绊状态确认!$Q:$Q,MATCH($G212,绊状态确认!$B:$B,))/6-40/6)))*(INDEX(绊状态确认!$H:$H,MATCH($G212,绊状态确认!$B:$B,))+INDEX(绊状态确认!L:L,MATCH($G212,绊状态确认!$B:$B,)))</f>
        <v>1923.9251999999997</v>
      </c>
      <c r="AO212" s="1107">
        <f t="shared" si="279"/>
        <v>1</v>
      </c>
      <c r="AP212" s="1131">
        <f>1+(INDEX(绊状态确认!$T:$T,MATCH($G212,绊状态确认!$B:$B,))+0.2)*$AO212</f>
        <v>1.3</v>
      </c>
      <c r="AQ212" s="1108">
        <f t="shared" si="280"/>
        <v>16593.182649999999</v>
      </c>
      <c r="AR212" s="1097">
        <f>(AM212*(1+$EX$9)+$EX$35)*(1+(INDEX(绊状态确认!$T:$T,MATCH($G212,绊状态确认!$B:$B,))+0.2)*AO212)*IF(J212=$FF$17,1+$FE$17,1)*IF(I212=$FF$14,1+$FE$14,1)</f>
        <v>11891.674677999999</v>
      </c>
      <c r="AS212" s="1097">
        <f>(AN212*(1+$EX$10)+$EX$36)*(1+(INDEX(绊状态确认!$T:$T,MATCH($G212,绊状态确认!$B:$B,))+0.2)*AO212)*IF(J212=$FF$17,1+$FE$17,1)*IF(I212=$FF$14,1+$FE$14,1)</f>
        <v>6932.2681739999998</v>
      </c>
      <c r="AT212" s="1093">
        <f>IF(AND(INDEX('卡片raw data'!AK:AK,MATCH($D212,'卡片raw data'!$F:$F,))&lt;INDEX('卡片raw data'!AM:AM,MATCH($D212,'卡片raw data'!$F:$F,)),INDEX('卡片raw data'!AL:AL,MATCH($D212,'卡片raw data'!$F:$F,))&lt;INDEX('卡片raw data'!AM:AM,MATCH($D212,'卡片raw data'!$F:$F,))),1,0)</f>
        <v>0</v>
      </c>
      <c r="AU212" s="1098">
        <f>MIN(AT212*0.15+AS212*0.00003+INDEX(绊状态确认!M:M,MATCH($G212,绊状态确认!$B:$B,)),1)</f>
        <v>0.23796804522000001</v>
      </c>
      <c r="AV212" s="1109">
        <f>(INDEX(绊状态确认!$N:$N,MATCH($G212,绊状态确认!$B:$B,))+1.5)*$EW$21</f>
        <v>2.6599999999999997</v>
      </c>
      <c r="AW212" s="1101">
        <f t="shared" si="281"/>
        <v>12021.804380371534</v>
      </c>
      <c r="AX212" s="1097">
        <f t="shared" si="282"/>
        <v>1017.9720087097697</v>
      </c>
      <c r="AY212" s="1110">
        <f t="shared" si="283"/>
        <v>13039.776389081304</v>
      </c>
      <c r="AZ212" s="429">
        <f t="shared" si="284"/>
        <v>12512.078539999999</v>
      </c>
      <c r="BA212" s="431">
        <f t="shared" si="285"/>
        <v>15014.494247999997</v>
      </c>
      <c r="BB212" s="1097">
        <f>(AM212*(1+$FB$9)+$FB$35)*(1+(INDEX(绊状态确认!$T:$T,MATCH($G212,绊状态确认!$B:$B,))+0.2)*AO212)*IF(J212=$FF$17,1+$FE$17,1)*IF(I212=$FF$14,1+$FE$14,1)*(1+$FE$15)</f>
        <v>11891.674677999999</v>
      </c>
      <c r="BC212" s="1097">
        <f>(AN212*(1+$FB$10)+$FB$36)*(1+(INDEX(绊状态确认!$T:$T,MATCH($G212,绊状态确认!$B:$B,))+0.2)*AO212)*IF(J212=$FF$17,1+$FE$17,1)*IF(I212=$FF$14,1+$FE$14,1)*(1+$FE$15)</f>
        <v>6932.2681739999998</v>
      </c>
      <c r="BD212" s="1104">
        <f>MIN(AT212*0.15+BC212*0.00003+INDEX(绊状态确认!M:M,MATCH($G212,绊状态确认!$B:$B,)),1)</f>
        <v>0.23796804522000001</v>
      </c>
      <c r="BE212" s="432">
        <f>(INDEX(绊状态确认!$N:$N,MATCH($G212,绊状态确认!$B:$B,))+1.5)</f>
        <v>1.9</v>
      </c>
      <c r="BF212" s="1139">
        <f t="array" ref="BF212">SUMPRODUCT(IF(AZ212*AP212*$FI$16:$FI$23*$FA$22&gt;=$FI$24,$FI$24,AZ212*AP212*$FI$16:$FI$23*$FA$22),$FJ$16:$FJ$23)</f>
        <v>24886.524216060003</v>
      </c>
      <c r="BG212" s="1125">
        <f t="array" ref="BG212">SUMPRODUCT(IF(BE212*AZ212*AP212*$FI$16:$FI$23*$FA$22&gt;=$FI$24,$FI$24,BE212*AZ212*AP212*$FI$16:$FI$23*$FA$22),$FJ$16:$FJ$23)</f>
        <v>47284.396010513999</v>
      </c>
      <c r="BH212" s="1110">
        <f t="shared" si="286"/>
        <v>10072.167328024798</v>
      </c>
      <c r="BI212" s="1111">
        <f>IF(O212="vo",$EW$26/$EW$24*0.05,0)+IF(O212="sk",-$EW$26/$EW$24*(0.05-INDEX(绊状态确认!W:W,MATCH($G212,绊状态确认!$B:$B,)))+0.05*$EW$28,0)+IF(O212="sp",0.05*$EW$32*$EW$30*(1-$EW$33)-(0.05-INDEX(绊状态确认!V:V,MATCH($G212,绊状态确认!$B:$B,)))*$EW$28,0)+IF(O212="gd",-(0.05-INDEX(绊状态确认!X:X,MATCH($G212,绊状态确认!$B:$B,)))*$EW$32*$EW$30*(1-$EW$33),0)</f>
        <v>-585.00000000000011</v>
      </c>
      <c r="BJ212" s="1097">
        <f>IF(O212="vo",0.05*(1-$FI$26)*$FA$24,0)+IF(O212="sk",-(0.05-INDEX(绊状态确认!W:W,MATCH($G212,绊状态确认!$B:$B,)))*(1-$FI$26)*$FA$24+0.05*$FA$26,0)+IF(O212="sp",0.05*$FA$32*$FA$27*(1-$FA$33)/$FA$30+0.05*$FA$29/$FA$69*$FA$27*(1-$FA$33)-(0.05-INDEX(绊状态确认!V:V,MATCH($G212,绊状态确认!$B:$B,)))*$FA$26,0)+IF(O212="gd",-(0.05-INDEX(绊状态确认!X:X,MATCH($G212,绊状态确认!$B:$B,)))*$FA$32*$FA$27*(1-$FA$33)/$FA$30-(0.05-INDEX(绊状态确认!X:X,MATCH($G212,绊状态确认!$B:$B,)))*$FA$29/$FA$69*$FA$27*(1-$FA$33),0)</f>
        <v>-795.00000000000011</v>
      </c>
      <c r="BK212" s="1110">
        <f>IF(O212="vo",$EW$26/$EW$24*0.05+$EW$26*(-HP($EW$62,$EW$65,$EW$64)+HP($EW$62,$EW$65,(1.05-INDEX(绊状态确认!U:U,MATCH($G212,绊状态确认!$B:$B,)))*$EW$64)),0)+IF(O212="sk",-$EW$26/$EW$24*(0.05-INDEX(绊状态确认!W:W,MATCH($G212,绊状态确认!$B:$B,)))+0.05*$EW$29,0)+IF(O212="sp",0.05*$EW$32*$EW$30*(1-$EW$33)-(0.05-INDEX(绊状态确认!V:V,MATCH($G212,绊状态确认!$B:$B,)))*$EW$29,0)+IF(O212="gd",-(0.05-INDEX(绊状态确认!X:X,MATCH($G212,绊状态确认!$B:$B,)))*$EW$32*$EW$30*(1-$EW$33)+$EW$26*(-HP($EW$62,$EW$65,$EW$64)+HP($EW$62,$EW$65,0.95*$EW$64)),0)</f>
        <v>1009.5947725176144</v>
      </c>
      <c r="BL212" s="1111">
        <f t="shared" si="287"/>
        <v>-2166.6666666666665</v>
      </c>
      <c r="BM212" s="1110">
        <f t="shared" si="288"/>
        <v>-1661.1111111111109</v>
      </c>
      <c r="BN212" s="1113">
        <f t="shared" si="289"/>
        <v>2</v>
      </c>
      <c r="BO212" s="1097">
        <f t="shared" si="290"/>
        <v>3005.1476580839999</v>
      </c>
      <c r="BP212" s="1100">
        <f t="shared" si="291"/>
        <v>147.56068806020068</v>
      </c>
      <c r="BQ212" s="1113" t="s">
        <v>144</v>
      </c>
      <c r="BR212" s="1124" t="s">
        <v>146</v>
      </c>
      <c r="BS212" s="1098">
        <f>IF($P212="","N/A",IF($P212=-1,INDEX('卡片raw data'!AX:AX,MATCH($D212,'卡片raw data'!$F:$F,)),0)+IF($L212="party卡",IF($P212=5,INDEX('卡片raw data'!BD:BD,MATCH($D212,'卡片raw data'!$F:$F,)),IF($P212&gt;=3,INDEX('卡片raw data'!BC:BC,MATCH($D212,'卡片raw data'!$F:$F,)),INDEX('卡片raw data'!BB:BB,MATCH($D212,'卡片raw data'!$F:$F,)))),IF(OR(AND($F212="UR",$P212=0),AND($F212="SR",$P212&gt;=0,$P212&lt;=2),AND($F212="R",$P212&gt;=0,$P212&lt;4)),INDEX('卡片raw data'!AZ:AZ,MATCH($D212,'卡片raw data'!$F:$F,)),0)+IF(OR(AND($F212="UR",$P212&gt;=1,$P212&lt;=4),AND($F212="SR",$P212&lt;=4,$P212&gt;=3),AND($F212="R",$P212=4)),INDEX('卡片raw data'!BA:BA,MATCH($D212,'卡片raw data'!$F:$F,)),0)+IF($P212=5,INDEX('卡片raw data'!BB:BB,MATCH($D212,'卡片raw data'!$F:$F,)),0)))</f>
        <v>0.04</v>
      </c>
      <c r="BT212" s="1101">
        <f t="shared" si="292"/>
        <v>0</v>
      </c>
      <c r="BU212" s="1097">
        <f t="shared" si="293"/>
        <v>0</v>
      </c>
      <c r="BV212" s="1097">
        <f t="shared" si="294"/>
        <v>0</v>
      </c>
      <c r="BW212" s="1112">
        <f t="shared" si="295"/>
        <v>1.4046428571428564</v>
      </c>
      <c r="BX212" s="1100">
        <f t="shared" si="296"/>
        <v>109.67485692671488</v>
      </c>
      <c r="BY212" s="1110">
        <f t="shared" si="297"/>
        <v>109.67485692671488</v>
      </c>
      <c r="BZ212" s="1107" t="s">
        <v>569</v>
      </c>
      <c r="CA212" s="1124"/>
      <c r="CB212" s="1098">
        <f>IF($P212="","N/A",IF($P212=-1,INDEX('卡片raw data'!BE:BE,MATCH($D212,'卡片raw data'!$F:$F,)),0)+IF($L212="party卡",IF($P212=5,INDEX('卡片raw data'!BK:BK,MATCH($D212,'卡片raw data'!$F:$F,)),IF($P212&gt;=3,INDEX('卡片raw data'!BJ:BJ,MATCH($D212,'卡片raw data'!$F:$F,)),INDEX('卡片raw data'!BI:BI,MATCH($D212,'卡片raw data'!$F:$F,)))),IF(OR(AND($F212="UR",$P212=0),AND($F212="SR",$P212&gt;=0,$P212&lt;=2),AND($F212="R",$P212&gt;=0,$P212&lt;4)),INDEX('卡片raw data'!BG:BG,MATCH($D212,'卡片raw data'!$F:$F,)),0)+IF(OR(AND($F212="UR",$P212&gt;=1,$P212&lt;=4),AND($F212="SR",$P212&lt;=4,$P212&gt;=3),AND($F212="R",$P212=4)),INDEX('卡片raw data'!BH:BH,MATCH($D212,'卡片raw data'!$F:$F,)),0)+IF($P212=5,INDEX('卡片raw data'!BI:BI,MATCH($D212,'卡片raw data'!$F:$F,)),0)))</f>
        <v>0</v>
      </c>
      <c r="CC212" s="1101">
        <f t="shared" si="298"/>
        <v>0</v>
      </c>
      <c r="CD212" s="1097">
        <f>IF(BZ212="ap",CB212*(1-$FI$26)*$FB$5/$FB$11*(+IF(CA212="全员",$FA$24,0)+IF(CA212="同作战",$FA$24,0)+IF(CA212="仲间",$FA$24*2/3,0)+IF(CA212="同属性",$FA$24*$FA$37/3,0)+IF(CA212="同年级",$FA$24*$FA$40/3,0)+IF(CA212="同学校",$FA$24*$FA$43/3,0)+IF(CA212="同小队",$FA$24*$FA$46/3,0)+IF(CA212="同type",$FA$24*INDEX($FB$49:$FB$52,MATCH(X212,$FA$49:$FA$52,))/3,0)+IF(CA212="自身",#REF!/3,0)),0)+IF(BZ212="te",CB212*(1-$FI$27)*($FA$20-1)*$FB$7/$FB$13*(+IF(CA212="全员",$FA$19*$FA$24/(1+($FA$20-1)*$FA$19),0)+IF(CA212="同作战",$FA$19*$FA$24/(1+($FA$20-1)*$FA$19),0)+IF(CA212="仲间",$FA$19*$FA$24*2/3/(1+($FA$20-1)*$FA$19),0)+IF(CA212="同属性",$FA$19*$FA$24*$FA$37/3/(1+($FA$20-1)*$FA$19),0)+IF(CA212="同年级",$FA$19*$FA$24*$FA$40/3/(1+($FA$20-1)*$FA$19),0)+IF(CA212="同学校",$FA$19*$FA$24*$FA$43/3/(1+($FA$20-1)*$FA$19),0)+IF(CA212="同小队",$FA$19*$FA$24*$FA$46/3/(1+($FA$20-1)*$FA$19),0)+IF(CA212="同type",$FA$19*$FA$24*INDEX($FB$49:$FB$52,MATCH(X212,$FA$49:$FA$52,))/3/(1+($FA$20-1)*$FA$19),0)+IF(CA212="自身",$FA$19*#REF!/3/(1+(BH212-1)*$BD212),0)),0)</f>
        <v>0</v>
      </c>
      <c r="CE212" s="1097">
        <f t="shared" si="299"/>
        <v>0</v>
      </c>
      <c r="CF212" s="1112">
        <f t="shared" si="300"/>
        <v>0</v>
      </c>
      <c r="CG212" s="1100">
        <f t="shared" si="301"/>
        <v>0</v>
      </c>
      <c r="CH212" s="1110">
        <f t="shared" si="302"/>
        <v>0</v>
      </c>
      <c r="CI212" s="1113"/>
      <c r="CJ212" s="1114"/>
      <c r="CK212" s="1115" t="s">
        <v>569</v>
      </c>
      <c r="CL212" s="1115"/>
      <c r="CM212" s="1119"/>
      <c r="CN212" s="1115"/>
      <c r="CO212" s="1092"/>
      <c r="CP212" s="1117">
        <f t="shared" si="303"/>
        <v>0</v>
      </c>
      <c r="CQ212" s="1117">
        <f t="shared" si="304"/>
        <v>0</v>
      </c>
      <c r="CR212" s="1117">
        <f t="shared" si="305"/>
        <v>0</v>
      </c>
      <c r="CS212" s="1118">
        <f t="shared" si="306"/>
        <v>0</v>
      </c>
      <c r="CT212" s="1109">
        <f t="shared" si="307"/>
        <v>0</v>
      </c>
      <c r="CU212" s="1101">
        <f t="shared" si="308"/>
        <v>0</v>
      </c>
      <c r="CV212" s="1108">
        <f t="shared" si="309"/>
        <v>0</v>
      </c>
      <c r="CW212" s="1097">
        <f t="shared" si="310"/>
        <v>0</v>
      </c>
      <c r="CX212" s="1097">
        <f t="shared" si="311"/>
        <v>0</v>
      </c>
      <c r="CY212" s="1110">
        <f t="shared" si="312"/>
        <v>0</v>
      </c>
      <c r="CZ212" s="437"/>
      <c r="DA212" s="438"/>
      <c r="DB212" s="439" t="s">
        <v>569</v>
      </c>
      <c r="DC212" s="439"/>
      <c r="DD212" s="443"/>
      <c r="DE212" s="411"/>
      <c r="DF212" s="411"/>
      <c r="DG212" s="1116">
        <f t="shared" si="313"/>
        <v>0</v>
      </c>
      <c r="DH212" s="1116">
        <f t="shared" si="314"/>
        <v>0</v>
      </c>
      <c r="DI212" s="1116">
        <f t="shared" si="315"/>
        <v>0</v>
      </c>
      <c r="DJ212" s="442">
        <f t="shared" si="316"/>
        <v>0</v>
      </c>
      <c r="DK212" s="1109">
        <f t="shared" si="317"/>
        <v>0</v>
      </c>
      <c r="DL212" s="1101">
        <f t="shared" si="318"/>
        <v>0</v>
      </c>
      <c r="DM212" s="1097">
        <f t="shared" si="319"/>
        <v>0</v>
      </c>
      <c r="DN212" s="1097">
        <f t="shared" si="320"/>
        <v>0</v>
      </c>
      <c r="DO212" s="1097">
        <f t="shared" si="321"/>
        <v>0</v>
      </c>
      <c r="DP212" s="1110">
        <f t="shared" si="322"/>
        <v>0</v>
      </c>
      <c r="DQ212" s="1113" t="s">
        <v>635</v>
      </c>
      <c r="DR212" s="1120">
        <f t="shared" si="323"/>
        <v>0.3</v>
      </c>
      <c r="DS212" s="1124"/>
      <c r="DT212" s="1093" t="s">
        <v>546</v>
      </c>
      <c r="DU212" s="1093"/>
      <c r="DV212" s="1097">
        <f>IF($P212="","N/A",IF(P212=-1,INDEX('卡片raw data'!AN:AN,MATCH(D212,'卡片raw data'!$F:$F,)),0)+IF(AND(L212&lt;&gt;"party卡",P212&lt;=2,P212&gt;=0),INDEX('卡片raw data'!AP:AP,MATCH(D212,'卡片raw data'!$F:$F,)),0)+IF(OR(AND(L212="party卡",P212&lt;=1),AND(P212&lt;=4,L212&lt;&gt;"party卡",P212&gt;=3)),INDEX('卡片raw data'!AQ:AQ,MATCH(D212,'卡片raw data'!$F:$F,)),0)+IF(OR(P212=5,AND(L212="party卡",P212&gt;=2)),INDEX('卡片raw data'!AR:AR,MATCH(D212,'卡片raw data'!$F:$F,)),0))</f>
        <v>350</v>
      </c>
      <c r="DW212" s="1098">
        <f t="shared" si="324"/>
        <v>0.3</v>
      </c>
      <c r="DX212" s="1098">
        <f t="shared" si="325"/>
        <v>0.3</v>
      </c>
      <c r="DY212" s="1125">
        <f t="shared" si="326"/>
        <v>35</v>
      </c>
      <c r="DZ212" s="1125">
        <f t="shared" si="327"/>
        <v>30.274999999999999</v>
      </c>
      <c r="EA212" s="1098">
        <f t="shared" si="328"/>
        <v>0</v>
      </c>
      <c r="EB212" s="1121">
        <f t="shared" si="329"/>
        <v>0</v>
      </c>
      <c r="EC212" s="1101">
        <f t="shared" si="330"/>
        <v>0</v>
      </c>
      <c r="ED212" s="1097">
        <f t="shared" si="331"/>
        <v>0</v>
      </c>
      <c r="EE212" s="1110">
        <f t="shared" si="332"/>
        <v>2930.2487072326198</v>
      </c>
      <c r="EF212" s="1092" t="s">
        <v>711</v>
      </c>
      <c r="EG212" s="1120">
        <f t="shared" si="333"/>
        <v>0.3</v>
      </c>
      <c r="EH212" s="1124"/>
      <c r="EI212" s="1093"/>
      <c r="EJ212" s="1093"/>
      <c r="EK212" s="1097">
        <f>IF($P212="","N/A",IF(P212=-1,INDEX('卡片raw data'!AS:AS,MATCH(D212,'卡片raw data'!$F:$F,)),0)+IF(AND(L212&lt;&gt;"party卡",P212&lt;=2,P212&gt;=0),INDEX('卡片raw data'!AU:AU,MATCH(D212,'卡片raw data'!$F:$F,)),0)+IF(OR(AND(L212="party卡",P212&lt;=1),AND(P212&lt;=4,L212&lt;&gt;"party卡",P212&gt;=3)),INDEX('卡片raw data'!AV:AV,MATCH(D212,'卡片raw data'!$F:$F,)),0)+IF(OR(P212=5,AND(L212="party卡",P212&gt;=2)),INDEX('卡片raw data'!AW:AW,MATCH(D212,'卡片raw data'!$F:$F,)),0))</f>
        <v>0</v>
      </c>
      <c r="EL212" s="1098">
        <f t="shared" si="334"/>
        <v>0.3</v>
      </c>
      <c r="EM212" s="1098">
        <f t="shared" si="335"/>
        <v>0.3</v>
      </c>
      <c r="EN212" s="1125">
        <f t="shared" si="336"/>
        <v>0</v>
      </c>
      <c r="EO212" s="1125">
        <f t="shared" si="337"/>
        <v>0</v>
      </c>
      <c r="EP212" s="1098">
        <f t="shared" si="338"/>
        <v>0</v>
      </c>
      <c r="EQ212" s="1121">
        <f t="shared" si="339"/>
        <v>0</v>
      </c>
      <c r="ER212" s="1101">
        <f t="shared" si="340"/>
        <v>0</v>
      </c>
      <c r="ES212" s="1097">
        <f t="shared" si="341"/>
        <v>0</v>
      </c>
      <c r="ET212" s="1122">
        <f t="shared" si="342"/>
        <v>0</v>
      </c>
    </row>
    <row r="213" spans="2:150" ht="16.5" customHeight="1">
      <c r="B213" s="1123" t="str">
        <f>INDEX('卡片raw data'!B:B,MATCH($D213,'卡片raw data'!$F:$F,))</f>
        <v>常服艾</v>
      </c>
      <c r="C213" s="449" t="s">
        <v>124</v>
      </c>
      <c r="D213" s="408">
        <v>210</v>
      </c>
      <c r="E213" s="1090">
        <v>502081001</v>
      </c>
      <c r="F213" s="1090" t="str">
        <f>INDEX('卡片raw data'!C:C,MATCH($D213,'卡片raw data'!$F:$F,))</f>
        <v>R</v>
      </c>
      <c r="G213" s="1094" t="s">
        <v>351</v>
      </c>
      <c r="H213" s="411">
        <f>IFERROR(INDEX(绊状态确认!C:C,MATCH($G213,绊状态确认!$B:$B,)),"")</f>
        <v>208</v>
      </c>
      <c r="I213" s="450" t="str">
        <f>IFERROR(INDEX(绊状态确认!D:D,MATCH($G213,绊状态确认!$B:$B,)),"")</f>
        <v>虹</v>
      </c>
      <c r="J213" s="450" t="str">
        <f>IFERROR(INDEX(绊状态确认!E:E,MATCH($G213,绊状态确认!$B:$B,)),"")</f>
        <v>3年级</v>
      </c>
      <c r="K213" s="451" t="str">
        <f>IFERROR(INDEX(绊状态确认!F:F,MATCH($G213,绊状态确认!$B:$B,)),"")</f>
        <v>QU4RTZ</v>
      </c>
      <c r="L213" s="1094" t="str">
        <f>INDEX('卡片raw data'!E:E,MATCH($D213,'卡片raw data'!$F:$F,))</f>
        <v>卡池卡</v>
      </c>
      <c r="M213" s="415">
        <v>43927</v>
      </c>
      <c r="N213" s="416">
        <v>13</v>
      </c>
      <c r="O213" s="1091" t="str">
        <f>INDEX('卡片raw data'!D:D,MATCH($D213,'卡片raw data'!$F:$F,))</f>
        <v>vo</v>
      </c>
      <c r="P213" s="417">
        <v>5</v>
      </c>
      <c r="Q213" s="1095">
        <f t="shared" si="258"/>
        <v>30549.954232628919</v>
      </c>
      <c r="R213" s="1096">
        <f t="shared" si="259"/>
        <v>0.35499999999999998</v>
      </c>
      <c r="S213" s="1097">
        <f t="shared" si="260"/>
        <v>12498.601138526139</v>
      </c>
      <c r="T213" s="1098">
        <f t="shared" si="261"/>
        <v>0.624</v>
      </c>
      <c r="U213" s="1099">
        <f t="shared" si="262"/>
        <v>-17.279776672857142</v>
      </c>
      <c r="V213" s="1100">
        <f t="shared" si="263"/>
        <v>29855.816135571611</v>
      </c>
      <c r="W213" s="1101">
        <f t="shared" si="264"/>
        <v>3005.1476580839999</v>
      </c>
      <c r="X213" s="1096">
        <f t="shared" si="265"/>
        <v>3.4000000000000002E-2</v>
      </c>
      <c r="Y213" s="1097">
        <f t="shared" si="266"/>
        <v>610.53035318439288</v>
      </c>
      <c r="Z213" s="1102">
        <f t="shared" si="267"/>
        <v>7.7202233271428566</v>
      </c>
      <c r="AA213" s="1103">
        <f t="shared" si="268"/>
        <v>3615.6780112683928</v>
      </c>
      <c r="AB213" s="1101">
        <f t="shared" si="269"/>
        <v>5834.9857398074382</v>
      </c>
      <c r="AC213" s="1104">
        <f t="shared" si="270"/>
        <v>6.7000000000000004E-2</v>
      </c>
      <c r="AD213" s="1105">
        <f t="shared" si="271"/>
        <v>-3.8207812500000026E-3</v>
      </c>
      <c r="AE213" s="1128">
        <f t="shared" si="272"/>
        <v>-22.692028985507246</v>
      </c>
      <c r="AF213" s="1130">
        <f t="shared" si="273"/>
        <v>0</v>
      </c>
      <c r="AG213" s="420">
        <f t="shared" si="274"/>
        <v>0</v>
      </c>
      <c r="AH213" s="420">
        <f t="shared" si="275"/>
        <v>0</v>
      </c>
      <c r="AI213" s="1097">
        <f t="shared" si="276"/>
        <v>0</v>
      </c>
      <c r="AJ213" s="420">
        <f t="shared" si="277"/>
        <v>0</v>
      </c>
      <c r="AK213" s="518">
        <f t="shared" si="278"/>
        <v>0</v>
      </c>
      <c r="AL213" s="1106">
        <f>IF($P213="","N/A",(IF($P213=-1,INDEX('卡片raw data'!S:S,MATCH($D213,'卡片raw data'!$F:$F,)),0)+IF($P213=0,INDEX('卡片raw data'!V:V,MATCH($D213,'卡片raw data'!$F:$F,)),0)+IF($P213=1,INDEX('卡片raw data'!Y:Y,MATCH($D213,'卡片raw data'!$F:$F,)),0)+IF($P213=2,INDEX('卡片raw data'!AB:AB,MATCH($D213,'卡片raw data'!$F:$F,)),0)+IF($P213=3,INDEX('卡片raw data'!AE:AE,MATCH($D213,'卡片raw data'!$F:$F,)),0)+IF($P213=4,INDEX('卡片raw data'!AH:AH,MATCH($D213,'卡片raw data'!$F:$F,)),0)+IF($P213=5,INDEX('卡片raw data'!AK:AK,MATCH($D213,'卡片raw data'!$F:$F,)),0)+INDEX('卡片raw data'!S:S,MATCH($D213,'卡片raw data'!$F:$F,))*(IF($F213="UR",0.04,0.033))*(IF($F213="UR",INDEX(绊状态确认!$S:$S,MATCH($G213,绊状态确认!$B:$B,))/2-40)+IF($F213="SR",INDEX(绊状态确认!$R:$R,MATCH($G213,绊状态确认!$B:$B,))/4-15))+IF($F213="R",INDEX(绊状态确认!$Q:$Q,MATCH($G213,绊状态确认!$B:$B,))/6-40/6)))*(INDEX(绊状态确认!$H:$H,MATCH($G213,绊状态确认!$B:$B,))+INDEX(绊状态确认!J:J,MATCH($G213,绊状态确认!$B:$B,)))</f>
        <v>7007.0423999999994</v>
      </c>
      <c r="AM213" s="1106">
        <f>IF($P213="","N/A",(IF($P213=-1,INDEX('卡片raw data'!T:T,MATCH($D213,'卡片raw data'!$F:$F,)),0)+IF($P213=0,INDEX('卡片raw data'!W:W,MATCH($D213,'卡片raw data'!$F:$F,)),0)+IF($P213=1,INDEX('卡片raw data'!Z:Z,MATCH($D213,'卡片raw data'!$F:$F,)),0)+IF($P213=2,INDEX('卡片raw data'!AC:AC,MATCH($D213,'卡片raw data'!$F:$F,)),0)+IF($P213=3,INDEX('卡片raw data'!AF:AF,MATCH($D213,'卡片raw data'!$F:$F,)),0)+IF($P213=4,INDEX('卡片raw data'!AI:AI,MATCH($D213,'卡片raw data'!$F:$F,)),0)+IF($P213=5,INDEX('卡片raw data'!AL:AL,MATCH($D213,'卡片raw data'!$F:$F,)),0)+INDEX('卡片raw data'!T:T,MATCH($D213,'卡片raw data'!$F:$F,))*(IF($F213="UR",0.04,0.033))*(IF($F213="UR",INDEX(绊状态确认!$S:$S,MATCH($G213,绊状态确认!$B:$B,))/2-40)+IF($F213="SR",INDEX(绊状态确认!$R:$R,MATCH($G213,绊状态确认!$B:$B,))/4-15))+IF($F213="R",INDEX(绊状态确认!$Q:$Q,MATCH($G213,绊状态确认!$B:$B,))/6-40/6)))*(INDEX(绊状态确认!$H:$H,MATCH($G213,绊状态确认!$B:$B,))+INDEX(绊状态确认!K:K,MATCH($G213,绊状态确认!$B:$B,)))</f>
        <v>3297.8327999999997</v>
      </c>
      <c r="AN213" s="1106">
        <f>IF($P213="","N/A",(IF($P213=-1,INDEX('卡片raw data'!U:U,MATCH($D213,'卡片raw data'!$F:$F,)),0)+IF($P213=0,INDEX('卡片raw data'!X:X,MATCH($D213,'卡片raw data'!$F:$F,)),0)+IF($P213=1,INDEX('卡片raw data'!AA:AA,MATCH($D213,'卡片raw data'!$F:$F,)),0)+IF($P213=2,INDEX('卡片raw data'!AD:AD,MATCH($D213,'卡片raw data'!$F:$F,)),0)+IF($P213=3,INDEX('卡片raw data'!AG:AG,MATCH($D213,'卡片raw data'!$F:$F,)),0)+IF($P213=4,INDEX('卡片raw data'!AJ:AJ,MATCH($D213,'卡片raw data'!$F:$F,)),0)+IF($P213=5,INDEX('卡片raw data'!AM:AM,MATCH($D213,'卡片raw data'!$F:$F,)),0)+INDEX('卡片raw data'!U:U,MATCH($D213,'卡片raw data'!$F:$F,))*(IF($F213="UR",0.04,0.033))*(IF($F213="UR",INDEX(绊状态确认!$S:$S,MATCH($G213,绊状态确认!$B:$B,))/2-40)+IF($F213="SR",INDEX(绊状态确认!$R:$R,MATCH($G213,绊状态确认!$B:$B,))/4-15))+IF($F213="R",INDEX(绊状态确认!$Q:$Q,MATCH($G213,绊状态确认!$B:$B,))/6-40/6)))*(INDEX(绊状态确认!$H:$H,MATCH($G213,绊状态确认!$B:$B,))+INDEX(绊状态确认!L:L,MATCH($G213,绊状态确认!$B:$B,)))</f>
        <v>3435.3371999999995</v>
      </c>
      <c r="AO213" s="1107">
        <f t="shared" si="279"/>
        <v>1</v>
      </c>
      <c r="AP213" s="1131">
        <f>1+(INDEX(绊状态确认!$T:$T,MATCH($G213,绊状态确认!$B:$B,))+0.2)*$AO213</f>
        <v>1.3</v>
      </c>
      <c r="AQ213" s="1108">
        <f t="shared" si="280"/>
        <v>21643.4863</v>
      </c>
      <c r="AR213" s="1097">
        <f>(AM213*(1+$EX$9)+$EX$35)*(1+(INDEX(绊状态确认!$T:$T,MATCH($G213,绊状态确认!$B:$B,))+0.2)*AO213)*IF(J213=$FF$17,1+$FE$17,1)*IF(I213=$FF$14,1+$FE$14,1)</f>
        <v>7205.5417720000005</v>
      </c>
      <c r="AS213" s="1097">
        <f>(AN213*(1+$EX$10)+$EX$36)*(1+(INDEX(绊状态确认!$T:$T,MATCH($G213,绊状态确认!$B:$B,))+0.2)*AO213)*IF(J213=$FF$17,1+$FE$17,1)*IF(I213=$FF$14,1+$FE$14,1)</f>
        <v>9191.8291139999983</v>
      </c>
      <c r="AT213" s="1093">
        <f>IF(AND(INDEX('卡片raw data'!AK:AK,MATCH($D213,'卡片raw data'!$F:$F,))&lt;INDEX('卡片raw data'!AM:AM,MATCH($D213,'卡片raw data'!$F:$F,)),INDEX('卡片raw data'!AL:AL,MATCH($D213,'卡片raw data'!$F:$F,))&lt;INDEX('卡片raw data'!AM:AM,MATCH($D213,'卡片raw data'!$F:$F,))),1,0)</f>
        <v>0</v>
      </c>
      <c r="AU213" s="1098">
        <f>MIN(AT213*0.15+AS213*0.00003+INDEX(绊状态确认!M:M,MATCH($G213,绊状态确认!$B:$B,)),1)</f>
        <v>0.30575487341999996</v>
      </c>
      <c r="AV213" s="1109">
        <f>(INDEX(绊状态确认!$N:$N,MATCH($G213,绊状态确认!$B:$B,))+1.5)*$EW$21</f>
        <v>2.6599999999999997</v>
      </c>
      <c r="AW213" s="1101">
        <f t="shared" si="281"/>
        <v>16945.609594408881</v>
      </c>
      <c r="AX213" s="1097">
        <f t="shared" si="282"/>
        <v>610.53035318439265</v>
      </c>
      <c r="AY213" s="1110">
        <f t="shared" si="283"/>
        <v>17556.139947593274</v>
      </c>
      <c r="AZ213" s="429">
        <f t="shared" si="284"/>
        <v>16263.732679999999</v>
      </c>
      <c r="BA213" s="431">
        <f t="shared" si="285"/>
        <v>19516.479216</v>
      </c>
      <c r="BB213" s="1097">
        <f>(AM213*(1+$FB$9)+$FB$35)*(1+(INDEX(绊状态确认!$T:$T,MATCH($G213,绊状态确认!$B:$B,))+0.2)*AO213)*IF(J213=$FF$17,1+$FE$17,1)*IF(I213=$FF$14,1+$FE$14,1)*(1+$FE$15)</f>
        <v>7205.5417720000005</v>
      </c>
      <c r="BC213" s="1097">
        <f>(AN213*(1+$FB$10)+$FB$36)*(1+(INDEX(绊状态确认!$T:$T,MATCH($G213,绊状态确认!$B:$B,))+0.2)*AO213)*IF(J213=$FF$17,1+$FE$17,1)*IF(I213=$FF$14,1+$FE$14,1)*(1+$FE$15)</f>
        <v>9191.8291139999983</v>
      </c>
      <c r="BD213" s="1104">
        <f>MIN(AT213*0.15+BC213*0.00003+INDEX(绊状态确认!M:M,MATCH($G213,绊状态确认!$B:$B,)),1)</f>
        <v>0.30575487341999996</v>
      </c>
      <c r="BE213" s="432">
        <f>(INDEX(绊状态确认!$N:$N,MATCH($G213,绊状态确认!$B:$B,))+1.5)</f>
        <v>1.9</v>
      </c>
      <c r="BF213" s="1139">
        <f t="array" ref="BF213">SUMPRODUCT(IF(AZ213*AP213*$FI$16:$FI$23*$FA$22&gt;=$FI$24,$FI$24,AZ213*AP213*$FI$16:$FI$23*$FA$22),$FJ$16:$FJ$23)</f>
        <v>32348.564300519996</v>
      </c>
      <c r="BG213" s="1125">
        <f t="array" ref="BG213">SUMPRODUCT(IF(BE213*AZ213*AP213*$FI$16:$FI$23*$FA$22&gt;=$FI$24,$FI$24,BE213*AZ213*AP213*$FI$16:$FI$23*$FA$22),$FJ$16:$FJ$23)</f>
        <v>57290.852451387997</v>
      </c>
      <c r="BH213" s="1110">
        <f t="shared" si="286"/>
        <v>13324.930152297937</v>
      </c>
      <c r="BI213" s="1111">
        <f>IF(O213="vo",$EW$26/$EW$24*0.05,0)+IF(O213="sk",-$EW$26/$EW$24*(0.05-INDEX(绊状态确认!W:W,MATCH($G213,绊状态确认!$B:$B,)))+0.05*$EW$28,0)+IF(O213="sp",0.05*$EW$32*$EW$30*(1-$EW$33)-(0.05-INDEX(绊状态确认!V:V,MATCH($G213,绊状态确认!$B:$B,)))*$EW$28,0)+IF(O213="gd",-(0.05-INDEX(绊状态确认!X:X,MATCH($G213,绊状态确认!$B:$B,)))*$EW$32*$EW$30*(1-$EW$33),0)</f>
        <v>7726.3029277443748</v>
      </c>
      <c r="BJ213" s="1097">
        <f>IF(O213="vo",0.05*(1-$FI$26)*$FA$24,0)+IF(O213="sk",-(0.05-INDEX(绊状态确认!W:W,MATCH($G213,绊状态确认!$B:$B,)))*(1-$FI$26)*$FA$24+0.05*$FA$26,0)+IF(O213="sp",0.05*$FA$32*$FA$27*(1-$FA$33)/$FA$30+0.05*$FA$29/$FA$69*$FA$27*(1-$FA$33)-(0.05-INDEX(绊状态确认!V:V,MATCH($G213,绊状态确认!$B:$B,)))*$FA$26,0)+IF(O213="gd",-(0.05-INDEX(绊状态确认!X:X,MATCH($G213,绊状态确认!$B:$B,)))*$FA$32*$FA$27*(1-$FA$33)/$FA$30-(0.05-INDEX(绊状态确认!X:X,MATCH($G213,绊状态确认!$B:$B,)))*$FA$29/$FA$69*$FA$27*(1-$FA$33),0)</f>
        <v>393.93433687500004</v>
      </c>
      <c r="BK213" s="1110">
        <f>IF(O213="vo",$EW$26/$EW$24*0.05+$EW$26*(-HP($EW$62,$EW$65,$EW$64)+HP($EW$62,$EW$65,(1.05-INDEX(绊状态确认!U:U,MATCH($G213,绊状态确认!$B:$B,)))*$EW$64)),0)+IF(O213="sk",-$EW$26/$EW$24*(0.05-INDEX(绊状态确认!W:W,MATCH($G213,绊状态确认!$B:$B,)))+0.05*$EW$29,0)+IF(O213="sp",0.05*$EW$32*$EW$30*(1-$EW$33)-(0.05-INDEX(绊状态确认!V:V,MATCH($G213,绊状态确认!$B:$B,)))*$EW$29,0)+IF(O213="gd",-(0.05-INDEX(绊状态确认!X:X,MATCH($G213,绊状态确认!$B:$B,)))*$EW$32*$EW$30*(1-$EW$33)+$EW$26*(-HP($EW$62,$EW$65,$EW$64)+HP($EW$62,$EW$65,0.95*$EW$64)),0)</f>
        <v>6421.6344775026746</v>
      </c>
      <c r="BL213" s="1111">
        <f t="shared" si="287"/>
        <v>-2166.6666666666665</v>
      </c>
      <c r="BM213" s="1110">
        <f t="shared" si="288"/>
        <v>-1661.1111111111109</v>
      </c>
      <c r="BN213" s="1113">
        <f t="shared" si="289"/>
        <v>2</v>
      </c>
      <c r="BO213" s="1097">
        <f t="shared" si="290"/>
        <v>3005.1476580839999</v>
      </c>
      <c r="BP213" s="1100">
        <f t="shared" si="291"/>
        <v>147.56068806020068</v>
      </c>
      <c r="BQ213" s="1113" t="s">
        <v>145</v>
      </c>
      <c r="BR213" s="1124" t="s">
        <v>146</v>
      </c>
      <c r="BS213" s="1098">
        <f>IF($P213="","N/A",IF($P213=-1,INDEX('卡片raw data'!AX:AX,MATCH($D213,'卡片raw data'!$F:$F,)),0)+IF($L213="party卡",IF($P213=5,INDEX('卡片raw data'!BD:BD,MATCH($D213,'卡片raw data'!$F:$F,)),IF($P213&gt;=3,INDEX('卡片raw data'!BC:BC,MATCH($D213,'卡片raw data'!$F:$F,)),INDEX('卡片raw data'!BB:BB,MATCH($D213,'卡片raw data'!$F:$F,)))),IF(OR(AND($F213="UR",$P213=0),AND($F213="SR",$P213&gt;=0,$P213&lt;=2),AND($F213="R",$P213&gt;=0,$P213&lt;4)),INDEX('卡片raw data'!AZ:AZ,MATCH($D213,'卡片raw data'!$F:$F,)),0)+IF(OR(AND($F213="UR",$P213&gt;=1,$P213&lt;=4),AND($F213="SR",$P213&lt;=4,$P213&gt;=3),AND($F213="R",$P213=4)),INDEX('卡片raw data'!BA:BA,MATCH($D213,'卡片raw data'!$F:$F,)),0)+IF($P213=5,INDEX('卡片raw data'!BB:BB,MATCH($D213,'卡片raw data'!$F:$F,)),0)))</f>
        <v>0.04</v>
      </c>
      <c r="BT213" s="1101">
        <f t="shared" si="292"/>
        <v>2829.8380817234388</v>
      </c>
      <c r="BU213" s="1097">
        <f t="shared" si="293"/>
        <v>204.69124004092632</v>
      </c>
      <c r="BV213" s="1097">
        <f t="shared" si="294"/>
        <v>0</v>
      </c>
      <c r="BW213" s="1112">
        <f t="shared" si="295"/>
        <v>0</v>
      </c>
      <c r="BX213" s="1100">
        <f t="shared" si="296"/>
        <v>2829.8380817234388</v>
      </c>
      <c r="BY213" s="1110">
        <f t="shared" si="297"/>
        <v>0</v>
      </c>
      <c r="BZ213" s="1107" t="s">
        <v>569</v>
      </c>
      <c r="CA213" s="1124"/>
      <c r="CB213" s="1098">
        <f>IF($P213="","N/A",IF($P213=-1,INDEX('卡片raw data'!BE:BE,MATCH($D213,'卡片raw data'!$F:$F,)),0)+IF($L213="party卡",IF($P213=5,INDEX('卡片raw data'!BK:BK,MATCH($D213,'卡片raw data'!$F:$F,)),IF($P213&gt;=3,INDEX('卡片raw data'!BJ:BJ,MATCH($D213,'卡片raw data'!$F:$F,)),INDEX('卡片raw data'!BI:BI,MATCH($D213,'卡片raw data'!$F:$F,)))),IF(OR(AND($F213="UR",$P213=0),AND($F213="SR",$P213&gt;=0,$P213&lt;=2),AND($F213="R",$P213&gt;=0,$P213&lt;4)),INDEX('卡片raw data'!BG:BG,MATCH($D213,'卡片raw data'!$F:$F,)),0)+IF(OR(AND($F213="UR",$P213&gt;=1,$P213&lt;=4),AND($F213="SR",$P213&lt;=4,$P213&gt;=3),AND($F213="R",$P213=4)),INDEX('卡片raw data'!BH:BH,MATCH($D213,'卡片raw data'!$F:$F,)),0)+IF($P213=5,INDEX('卡片raw data'!BI:BI,MATCH($D213,'卡片raw data'!$F:$F,)),0)))</f>
        <v>0</v>
      </c>
      <c r="CC213" s="1101">
        <f t="shared" si="298"/>
        <v>0</v>
      </c>
      <c r="CD213" s="1097">
        <f>IF(BZ213="ap",CB213*(1-$FI$26)*$FB$5/$FB$11*(+IF(CA213="全员",$FA$24,0)+IF(CA213="同作战",$FA$24,0)+IF(CA213="仲间",$FA$24*2/3,0)+IF(CA213="同属性",$FA$24*$FA$37/3,0)+IF(CA213="同年级",$FA$24*$FA$40/3,0)+IF(CA213="同学校",$FA$24*$FA$43/3,0)+IF(CA213="同小队",$FA$24*$FA$46/3,0)+IF(CA213="同type",$FA$24*INDEX($FB$49:$FB$52,MATCH(X213,$FA$49:$FA$52,))/3,0)+IF(CA213="自身",#REF!/3,0)),0)+IF(BZ213="te",CB213*(1-$FI$27)*($FA$20-1)*$FB$7/$FB$13*(+IF(CA213="全员",$FA$19*$FA$24/(1+($FA$20-1)*$FA$19),0)+IF(CA213="同作战",$FA$19*$FA$24/(1+($FA$20-1)*$FA$19),0)+IF(CA213="仲间",$FA$19*$FA$24*2/3/(1+($FA$20-1)*$FA$19),0)+IF(CA213="同属性",$FA$19*$FA$24*$FA$37/3/(1+($FA$20-1)*$FA$19),0)+IF(CA213="同年级",$FA$19*$FA$24*$FA$40/3/(1+($FA$20-1)*$FA$19),0)+IF(CA213="同学校",$FA$19*$FA$24*$FA$43/3/(1+($FA$20-1)*$FA$19),0)+IF(CA213="同小队",$FA$19*$FA$24*$FA$46/3/(1+($FA$20-1)*$FA$19),0)+IF(CA213="同type",$FA$19*$FA$24*INDEX($FB$49:$FB$52,MATCH(X213,$FA$49:$FA$52,))/3/(1+($FA$20-1)*$FA$19),0)+IF(CA213="自身",$FA$19*#REF!/3/(1+(BH213-1)*$BD213),0)),0)</f>
        <v>0</v>
      </c>
      <c r="CE213" s="1097">
        <f t="shared" si="299"/>
        <v>0</v>
      </c>
      <c r="CF213" s="1112">
        <f t="shared" si="300"/>
        <v>0</v>
      </c>
      <c r="CG213" s="1100">
        <f t="shared" si="301"/>
        <v>0</v>
      </c>
      <c r="CH213" s="1110">
        <f t="shared" si="302"/>
        <v>0</v>
      </c>
      <c r="CI213" s="1113"/>
      <c r="CJ213" s="1114"/>
      <c r="CK213" s="1115" t="s">
        <v>569</v>
      </c>
      <c r="CL213" s="1115"/>
      <c r="CM213" s="1119"/>
      <c r="CN213" s="1115"/>
      <c r="CO213" s="1092"/>
      <c r="CP213" s="1117">
        <f t="shared" si="303"/>
        <v>0</v>
      </c>
      <c r="CQ213" s="1117">
        <f t="shared" si="304"/>
        <v>0</v>
      </c>
      <c r="CR213" s="1117">
        <f t="shared" si="305"/>
        <v>0</v>
      </c>
      <c r="CS213" s="1118">
        <f t="shared" si="306"/>
        <v>0</v>
      </c>
      <c r="CT213" s="1109">
        <f t="shared" si="307"/>
        <v>0</v>
      </c>
      <c r="CU213" s="1101">
        <f t="shared" si="308"/>
        <v>0</v>
      </c>
      <c r="CV213" s="1108">
        <f t="shared" si="309"/>
        <v>0</v>
      </c>
      <c r="CW213" s="1097">
        <f t="shared" si="310"/>
        <v>0</v>
      </c>
      <c r="CX213" s="1097">
        <f t="shared" si="311"/>
        <v>0</v>
      </c>
      <c r="CY213" s="1110">
        <f t="shared" si="312"/>
        <v>0</v>
      </c>
      <c r="CZ213" s="437"/>
      <c r="DA213" s="438"/>
      <c r="DB213" s="439" t="s">
        <v>569</v>
      </c>
      <c r="DC213" s="439"/>
      <c r="DD213" s="443"/>
      <c r="DE213" s="411"/>
      <c r="DF213" s="411"/>
      <c r="DG213" s="1116">
        <f t="shared" si="313"/>
        <v>0</v>
      </c>
      <c r="DH213" s="1116">
        <f t="shared" si="314"/>
        <v>0</v>
      </c>
      <c r="DI213" s="1116">
        <f t="shared" si="315"/>
        <v>0</v>
      </c>
      <c r="DJ213" s="442">
        <f t="shared" si="316"/>
        <v>0</v>
      </c>
      <c r="DK213" s="1109">
        <f t="shared" si="317"/>
        <v>0</v>
      </c>
      <c r="DL213" s="1101">
        <f t="shared" si="318"/>
        <v>0</v>
      </c>
      <c r="DM213" s="1097">
        <f t="shared" si="319"/>
        <v>0</v>
      </c>
      <c r="DN213" s="1097">
        <f t="shared" si="320"/>
        <v>0</v>
      </c>
      <c r="DO213" s="1097">
        <f t="shared" si="321"/>
        <v>0</v>
      </c>
      <c r="DP213" s="1110">
        <f t="shared" si="322"/>
        <v>0</v>
      </c>
      <c r="DQ213" s="1113" t="s">
        <v>554</v>
      </c>
      <c r="DR213" s="1120">
        <f t="shared" si="323"/>
        <v>0.3</v>
      </c>
      <c r="DS213" s="1124">
        <v>5</v>
      </c>
      <c r="DT213" s="1093" t="s">
        <v>161</v>
      </c>
      <c r="DU213" s="1093" t="s">
        <v>544</v>
      </c>
      <c r="DV213" s="1098">
        <f>IF($P213="","N/A",IF(P213=-1,INDEX('卡片raw data'!AN:AN,MATCH(D213,'卡片raw data'!$F:$F,)),0)+IF(AND(L213&lt;&gt;"party卡",P213&lt;=2,P213&gt;=0),INDEX('卡片raw data'!AP:AP,MATCH(D213,'卡片raw data'!$F:$F,)),0)+IF(OR(AND(L213="party卡",P213&lt;=1),AND(P213&lt;=4,L213&lt;&gt;"party卡",P213&gt;=3)),INDEX('卡片raw data'!AQ:AQ,MATCH(D213,'卡片raw data'!$F:$F,)),0)+IF(OR(P213=5,AND(L213="party卡",P213&gt;=2)),INDEX('卡片raw data'!AR:AR,MATCH(D213,'卡片raw data'!$F:$F,)),0))</f>
        <v>2.5999999999999999E-2</v>
      </c>
      <c r="DW213" s="1098">
        <f t="shared" si="324"/>
        <v>0.3</v>
      </c>
      <c r="DX213" s="1098">
        <f t="shared" si="325"/>
        <v>0.3</v>
      </c>
      <c r="DY213" s="1098">
        <f t="shared" si="326"/>
        <v>1.2999999999999999E-2</v>
      </c>
      <c r="DZ213" s="1098">
        <f t="shared" si="327"/>
        <v>1.1245E-2</v>
      </c>
      <c r="EA213" s="1098">
        <f t="shared" si="328"/>
        <v>0</v>
      </c>
      <c r="EB213" s="1121">
        <f t="shared" si="329"/>
        <v>0</v>
      </c>
      <c r="EC213" s="1101">
        <f t="shared" si="330"/>
        <v>2209.7226373348913</v>
      </c>
      <c r="ED213" s="1097">
        <f t="shared" si="331"/>
        <v>88.595832363187498</v>
      </c>
      <c r="EE213" s="1110">
        <f t="shared" si="332"/>
        <v>2209.7226373348913</v>
      </c>
      <c r="EF213" s="1092" t="s">
        <v>711</v>
      </c>
      <c r="EG213" s="1120">
        <f t="shared" si="333"/>
        <v>0.3</v>
      </c>
      <c r="EH213" s="1124"/>
      <c r="EI213" s="1093"/>
      <c r="EJ213" s="1093"/>
      <c r="EK213" s="1097">
        <f>IF($P213="","N/A",IF(P213=-1,INDEX('卡片raw data'!AS:AS,MATCH(D213,'卡片raw data'!$F:$F,)),0)+IF(AND(L213&lt;&gt;"party卡",P213&lt;=2,P213&gt;=0),INDEX('卡片raw data'!AU:AU,MATCH(D213,'卡片raw data'!$F:$F,)),0)+IF(OR(AND(L213="party卡",P213&lt;=1),AND(P213&lt;=4,L213&lt;&gt;"party卡",P213&gt;=3)),INDEX('卡片raw data'!AV:AV,MATCH(D213,'卡片raw data'!$F:$F,)),0)+IF(OR(P213=5,AND(L213="party卡",P213&gt;=2)),INDEX('卡片raw data'!AW:AW,MATCH(D213,'卡片raw data'!$F:$F,)),0))</f>
        <v>0</v>
      </c>
      <c r="EL213" s="1098">
        <f t="shared" si="334"/>
        <v>0.3</v>
      </c>
      <c r="EM213" s="1098">
        <f t="shared" si="335"/>
        <v>0.3</v>
      </c>
      <c r="EN213" s="1125">
        <f t="shared" si="336"/>
        <v>0</v>
      </c>
      <c r="EO213" s="1125">
        <f t="shared" si="337"/>
        <v>0</v>
      </c>
      <c r="EP213" s="1098">
        <f t="shared" si="338"/>
        <v>0</v>
      </c>
      <c r="EQ213" s="1121">
        <f t="shared" si="339"/>
        <v>0</v>
      </c>
      <c r="ER213" s="1101">
        <f t="shared" si="340"/>
        <v>0</v>
      </c>
      <c r="ES213" s="1097">
        <f t="shared" si="341"/>
        <v>0</v>
      </c>
      <c r="ET213" s="1122">
        <f t="shared" si="342"/>
        <v>0</v>
      </c>
    </row>
    <row r="214" spans="2:150" ht="16.5" customHeight="1">
      <c r="B214" s="1123" t="str">
        <f>INDEX('卡片raw data'!B:B,MATCH($D214,'卡片raw data'!$F:$F,))</f>
        <v>常服璃</v>
      </c>
      <c r="C214" s="449" t="s">
        <v>66</v>
      </c>
      <c r="D214" s="408">
        <v>211</v>
      </c>
      <c r="E214" s="1090">
        <v>502091001</v>
      </c>
      <c r="F214" s="1090" t="str">
        <f>INDEX('卡片raw data'!C:C,MATCH($D214,'卡片raw data'!$F:$F,))</f>
        <v>R</v>
      </c>
      <c r="G214" s="1094" t="s">
        <v>353</v>
      </c>
      <c r="H214" s="411">
        <f>IFERROR(INDEX(绊状态确认!C:C,MATCH($G214,绊状态确认!$B:$B,)),"")</f>
        <v>209</v>
      </c>
      <c r="I214" s="1124" t="str">
        <f>IFERROR(INDEX(绊状态确认!D:D,MATCH($G214,绊状态确认!$B:$B,)),"")</f>
        <v>虹</v>
      </c>
      <c r="J214" s="1124" t="str">
        <f>IFERROR(INDEX(绊状态确认!E:E,MATCH($G214,绊状态确认!$B:$B,)),"")</f>
        <v>1年级</v>
      </c>
      <c r="K214" s="451" t="str">
        <f>IFERROR(INDEX(绊状态确认!F:F,MATCH($G214,绊状态确认!$B:$B,)),"")</f>
        <v>QU4RTZ</v>
      </c>
      <c r="L214" s="1094" t="str">
        <f>INDEX('卡片raw data'!E:E,MATCH($D214,'卡片raw data'!$F:$F,))</f>
        <v>卡池卡</v>
      </c>
      <c r="M214" s="415">
        <v>43927</v>
      </c>
      <c r="N214" s="416">
        <v>13</v>
      </c>
      <c r="O214" s="1091" t="str">
        <f>INDEX('卡片raw data'!D:D,MATCH($D214,'卡片raw data'!$F:$F,))</f>
        <v>sk</v>
      </c>
      <c r="P214" s="417">
        <v>5</v>
      </c>
      <c r="Q214" s="1095">
        <f t="shared" si="258"/>
        <v>14860.185323422445</v>
      </c>
      <c r="R214" s="1096">
        <f t="shared" si="259"/>
        <v>0.17199999999999999</v>
      </c>
      <c r="S214" s="1097">
        <f t="shared" si="260"/>
        <v>11691.563800371796</v>
      </c>
      <c r="T214" s="1098">
        <f t="shared" si="261"/>
        <v>0.58399999999999996</v>
      </c>
      <c r="U214" s="1099">
        <f t="shared" si="262"/>
        <v>6.5136222171428573</v>
      </c>
      <c r="V214" s="1100">
        <f t="shared" si="263"/>
        <v>17374.035830017438</v>
      </c>
      <c r="W214" s="1101">
        <f t="shared" si="264"/>
        <v>3005.1476580839999</v>
      </c>
      <c r="X214" s="1096">
        <f t="shared" si="265"/>
        <v>3.4000000000000002E-2</v>
      </c>
      <c r="Y214" s="1097">
        <f t="shared" si="266"/>
        <v>513.85050659499575</v>
      </c>
      <c r="Z214" s="1102">
        <f t="shared" si="267"/>
        <v>6.5136222171428573</v>
      </c>
      <c r="AA214" s="1103">
        <f t="shared" si="268"/>
        <v>3518.9981646789956</v>
      </c>
      <c r="AB214" s="1101">
        <f t="shared" si="269"/>
        <v>5834.9857398074382</v>
      </c>
      <c r="AC214" s="1104">
        <f t="shared" si="270"/>
        <v>6.7000000000000004E-2</v>
      </c>
      <c r="AD214" s="1105">
        <f t="shared" si="271"/>
        <v>1.8994224431818179E-2</v>
      </c>
      <c r="AE214" s="1128">
        <f t="shared" si="272"/>
        <v>8.2482670797458439</v>
      </c>
      <c r="AF214" s="1130">
        <f t="shared" si="273"/>
        <v>0</v>
      </c>
      <c r="AG214" s="420">
        <f t="shared" si="274"/>
        <v>0</v>
      </c>
      <c r="AH214" s="420">
        <f t="shared" si="275"/>
        <v>0</v>
      </c>
      <c r="AI214" s="1097">
        <f t="shared" si="276"/>
        <v>0</v>
      </c>
      <c r="AJ214" s="420">
        <f t="shared" si="277"/>
        <v>0</v>
      </c>
      <c r="AK214" s="518">
        <f t="shared" si="278"/>
        <v>0</v>
      </c>
      <c r="AL214" s="1106">
        <f>IF($P214="","N/A",(IF($P214=-1,INDEX('卡片raw data'!S:S,MATCH($D214,'卡片raw data'!$F:$F,)),0)+IF($P214=0,INDEX('卡片raw data'!V:V,MATCH($D214,'卡片raw data'!$F:$F,)),0)+IF($P214=1,INDEX('卡片raw data'!Y:Y,MATCH($D214,'卡片raw data'!$F:$F,)),0)+IF($P214=2,INDEX('卡片raw data'!AB:AB,MATCH($D214,'卡片raw data'!$F:$F,)),0)+IF($P214=3,INDEX('卡片raw data'!AE:AE,MATCH($D214,'卡片raw data'!$F:$F,)),0)+IF($P214=4,INDEX('卡片raw data'!AH:AH,MATCH($D214,'卡片raw data'!$F:$F,)),0)+IF($P214=5,INDEX('卡片raw data'!AK:AK,MATCH($D214,'卡片raw data'!$F:$F,)),0)+INDEX('卡片raw data'!S:S,MATCH($D214,'卡片raw data'!$F:$F,))*(IF($F214="UR",0.04,0.033))*(IF($F214="UR",INDEX(绊状态确认!$S:$S,MATCH($G214,绊状态确认!$B:$B,))/2-40)+IF($F214="SR",INDEX(绊状态确认!$R:$R,MATCH($G214,绊状态确认!$B:$B,))/4-15))+IF($F214="R",INDEX(绊状态确认!$Q:$Q,MATCH($G214,绊状态确认!$B:$B,))/6-40/6)))*(INDEX(绊状态确认!$H:$H,MATCH($G214,绊状态确认!$B:$B,))+INDEX(绊状态确认!J:J,MATCH($G214,绊状态确认!$B:$B,)))</f>
        <v>5083.1171999999997</v>
      </c>
      <c r="AM214" s="1106">
        <f>IF($P214="","N/A",(IF($P214=-1,INDEX('卡片raw data'!T:T,MATCH($D214,'卡片raw data'!$F:$F,)),0)+IF($P214=0,INDEX('卡片raw data'!W:W,MATCH($D214,'卡片raw data'!$F:$F,)),0)+IF($P214=1,INDEX('卡片raw data'!Z:Z,MATCH($D214,'卡片raw data'!$F:$F,)),0)+IF($P214=2,INDEX('卡片raw data'!AC:AC,MATCH($D214,'卡片raw data'!$F:$F,)),0)+IF($P214=3,INDEX('卡片raw data'!AF:AF,MATCH($D214,'卡片raw data'!$F:$F,)),0)+IF($P214=4,INDEX('卡片raw data'!AI:AI,MATCH($D214,'卡片raw data'!$F:$F,)),0)+IF($P214=5,INDEX('卡片raw data'!AL:AL,MATCH($D214,'卡片raw data'!$F:$F,)),0)+INDEX('卡片raw data'!T:T,MATCH($D214,'卡片raw data'!$F:$F,))*(IF($F214="UR",0.04,0.033))*(IF($F214="UR",INDEX(绊状态确认!$S:$S,MATCH($G214,绊状态确认!$B:$B,))/2-40)+IF($F214="SR",INDEX(绊状态确认!$R:$R,MATCH($G214,绊状态确认!$B:$B,))/4-15))+IF($F214="R",INDEX(绊状态确认!$Q:$Q,MATCH($G214,绊状态确认!$B:$B,))/6-40/6)))*(INDEX(绊状态确认!$H:$H,MATCH($G214,绊状态确认!$B:$B,))+INDEX(绊状态确认!K:K,MATCH($G214,绊状态确认!$B:$B,)))</f>
        <v>2472.8063999999995</v>
      </c>
      <c r="AN214" s="1106">
        <f>IF($P214="","N/A",(IF($P214=-1,INDEX('卡片raw data'!U:U,MATCH($D214,'卡片raw data'!$F:$F,)),0)+IF($P214=0,INDEX('卡片raw data'!X:X,MATCH($D214,'卡片raw data'!$F:$F,)),0)+IF($P214=1,INDEX('卡片raw data'!AA:AA,MATCH($D214,'卡片raw data'!$F:$F,)),0)+IF($P214=2,INDEX('卡片raw data'!AD:AD,MATCH($D214,'卡片raw data'!$F:$F,)),0)+IF($P214=3,INDEX('卡片raw data'!AG:AG,MATCH($D214,'卡片raw data'!$F:$F,)),0)+IF($P214=4,INDEX('卡片raw data'!AJ:AJ,MATCH($D214,'卡片raw data'!$F:$F,)),0)+IF($P214=5,INDEX('卡片raw data'!AM:AM,MATCH($D214,'卡片raw data'!$F:$F,)),0)+INDEX('卡片raw data'!U:U,MATCH($D214,'卡片raw data'!$F:$F,))*(IF($F214="UR",0.04,0.033))*(IF($F214="UR",INDEX(绊状态确认!$S:$S,MATCH($G214,绊状态确认!$B:$B,))/2-40)+IF($F214="SR",INDEX(绊状态确认!$R:$R,MATCH($G214,绊状态确认!$B:$B,))/4-15))+IF($F214="R",INDEX(绊状态确认!$Q:$Q,MATCH($G214,绊状态确认!$B:$B,))/6-40/6)))*(INDEX(绊状态确认!$H:$H,MATCH($G214,绊状态确认!$B:$B,))+INDEX(绊状态确认!L:L,MATCH($G214,绊状态确认!$B:$B,)))</f>
        <v>6182.0159999999996</v>
      </c>
      <c r="AO214" s="1107">
        <f t="shared" si="279"/>
        <v>1</v>
      </c>
      <c r="AP214" s="1131">
        <f>1+(INDEX(绊状态确认!$T:$T,MATCH($G214,绊状态确认!$B:$B,))+0.2)*$AO214</f>
        <v>1.3</v>
      </c>
      <c r="AQ214" s="1108">
        <f t="shared" si="280"/>
        <v>16593.182649999999</v>
      </c>
      <c r="AR214" s="1097">
        <f>(AM214*(1+$EX$9)+$EX$35)*(1+(INDEX(绊状态确认!$T:$T,MATCH($G214,绊状态确认!$B:$B,))+0.2)*AO214)*IF(J214=$FF$17,1+$FE$17,1)*IF(I214=$FF$14,1+$FE$14,1)</f>
        <v>6079.3807360000001</v>
      </c>
      <c r="AS214" s="1097">
        <f>(AN214*(1+$EX$10)+$EX$36)*(1+(INDEX(绊状态确认!$T:$T,MATCH($G214,绊状态确认!$B:$B,))+0.2)*AO214)*IF(J214=$FF$17,1+$FE$17,1)*IF(I214=$FF$14,1+$FE$14,1)</f>
        <v>13298.11392</v>
      </c>
      <c r="AT214" s="1093">
        <f>IF(AND(INDEX('卡片raw data'!AK:AK,MATCH($D214,'卡片raw data'!$F:$F,))&lt;INDEX('卡片raw data'!AM:AM,MATCH($D214,'卡片raw data'!$F:$F,)),INDEX('卡片raw data'!AL:AL,MATCH($D214,'卡片raw data'!$F:$F,))&lt;INDEX('卡片raw data'!AM:AM,MATCH($D214,'卡片raw data'!$F:$F,))),1,0)</f>
        <v>1</v>
      </c>
      <c r="AU214" s="1098">
        <f>MIN(AT214*0.15+AS214*0.00003+INDEX(绊状态确认!M:M,MATCH($G214,绊状态确认!$B:$B,)),1)</f>
        <v>0.57894341760000001</v>
      </c>
      <c r="AV214" s="1109">
        <f>(INDEX(绊状态确认!$N:$N,MATCH($G214,绊状态确认!$B:$B,))+1.5)*$EW$21</f>
        <v>2.6599999999999997</v>
      </c>
      <c r="AW214" s="1101">
        <f t="shared" si="281"/>
        <v>16899.538885251612</v>
      </c>
      <c r="AX214" s="1097">
        <f t="shared" si="282"/>
        <v>513.85050659499564</v>
      </c>
      <c r="AY214" s="1110">
        <f t="shared" si="283"/>
        <v>17413.389391846606</v>
      </c>
      <c r="AZ214" s="429">
        <f t="shared" si="284"/>
        <v>12512.078539999999</v>
      </c>
      <c r="BA214" s="431">
        <f t="shared" si="285"/>
        <v>15014.494247999997</v>
      </c>
      <c r="BB214" s="1097">
        <f>(AM214*(1+$FB$9)+$FB$35)*(1+(INDEX(绊状态确认!$T:$T,MATCH($G214,绊状态确认!$B:$B,))+0.2)*AO214)*IF(J214=$FF$17,1+$FE$17,1)*IF(I214=$FF$14,1+$FE$14,1)*(1+$FE$15)</f>
        <v>6079.3807360000001</v>
      </c>
      <c r="BC214" s="1097">
        <f>(AN214*(1+$FB$10)+$FB$36)*(1+(INDEX(绊状态确认!$T:$T,MATCH($G214,绊状态确认!$B:$B,))+0.2)*AO214)*IF(J214=$FF$17,1+$FE$17,1)*IF(I214=$FF$14,1+$FE$14,1)*(1+$FE$15)</f>
        <v>13298.11392</v>
      </c>
      <c r="BD214" s="1104">
        <f>MIN(AT214*0.15+BC214*0.00003+INDEX(绊状态确认!M:M,MATCH($G214,绊状态确认!$B:$B,)),1)</f>
        <v>0.57894341760000001</v>
      </c>
      <c r="BE214" s="432">
        <f>(INDEX(绊状态确认!$N:$N,MATCH($G214,绊状态确认!$B:$B,))+1.5)</f>
        <v>1.9</v>
      </c>
      <c r="BF214" s="1139">
        <f t="array" ref="BF214">SUMPRODUCT(IF(AZ214*AP214*$FI$16:$FI$23*$FA$22&gt;=$FI$24,$FI$24,AZ214*AP214*$FI$16:$FI$23*$FA$22),$FJ$16:$FJ$23)</f>
        <v>24886.524216060003</v>
      </c>
      <c r="BG214" s="1125">
        <f t="array" ref="BG214">SUMPRODUCT(IF(BE214*AZ214*AP214*$FI$16:$FI$23*$FA$22&gt;=$FI$24,$FI$24,BE214*AZ214*AP214*$FI$16:$FI$23*$FA$22),$FJ$16:$FJ$23)</f>
        <v>47284.396010513999</v>
      </c>
      <c r="BH214" s="1110">
        <f t="shared" si="286"/>
        <v>12617.874886569281</v>
      </c>
      <c r="BI214" s="1111">
        <f>IF(O214="vo",$EW$26/$EW$24*0.05,0)+IF(O214="sk",-$EW$26/$EW$24*(0.05-INDEX(绊状态确认!W:W,MATCH($G214,绊状态确认!$B:$B,)))+0.05*$EW$28,0)+IF(O214="sp",0.05*$EW$32*$EW$30*(1-$EW$33)-(0.05-INDEX(绊状态确认!V:V,MATCH($G214,绊状态确认!$B:$B,)))*$EW$28,0)+IF(O214="gd",-(0.05-INDEX(绊状态确认!X:X,MATCH($G214,绊状态确认!$B:$B,)))*$EW$32*$EW$30*(1-$EW$33),0)</f>
        <v>-6253.6726349699375</v>
      </c>
      <c r="BJ214" s="1097">
        <f>IF(O214="vo",0.05*(1-$FI$26)*$FA$24,0)+IF(O214="sk",-(0.05-INDEX(绊状态确认!W:W,MATCH($G214,绊状态确认!$B:$B,)))*(1-$FI$26)*$FA$24+0.05*$FA$26,0)+IF(O214="sp",0.05*$FA$32*$FA$27*(1-$FA$33)/$FA$30+0.05*$FA$29/$FA$69*$FA$27*(1-$FA$33)-(0.05-INDEX(绊状态确认!V:V,MATCH($G214,绊状态确认!$B:$B,)))*$FA$26,0)+IF(O214="gd",-(0.05-INDEX(绊状态确认!X:X,MATCH($G214,绊状态确认!$B:$B,)))*$FA$32*$FA$27*(1-$FA$33)/$FA$30-(0.05-INDEX(绊状态确认!X:X,MATCH($G214,绊状态确认!$B:$B,)))*$FA$29/$FA$69*$FA$27*(1-$FA$33),0)</f>
        <v>20.459096812499922</v>
      </c>
      <c r="BK214" s="1110">
        <f>IF(O214="vo",$EW$26/$EW$24*0.05+$EW$26*(-HP($EW$62,$EW$65,$EW$64)+HP($EW$62,$EW$65,(1.05-INDEX(绊状态确认!U:U,MATCH($G214,绊状态确认!$B:$B,)))*$EW$64)),0)+IF(O214="sk",-$EW$26/$EW$24*(0.05-INDEX(绊状态确认!W:W,MATCH($G214,绊状态确认!$B:$B,)))+0.05*$EW$29,0)+IF(O214="sp",0.05*$EW$32*$EW$30*(1-$EW$33)-(0.05-INDEX(绊状态确认!V:V,MATCH($G214,绊状态确认!$B:$B,)))*$EW$29,0)+IF(O214="gd",-(0.05-INDEX(绊状态确认!X:X,MATCH($G214,绊状态确认!$B:$B,)))*$EW$32*$EW$30*(1-$EW$33)+$EW$26*(-HP($EW$62,$EW$65,$EW$64)+HP($EW$62,$EW$65,0.95*$EW$64)),0)</f>
        <v>-4253.6726349699375</v>
      </c>
      <c r="BL214" s="1111">
        <f t="shared" si="287"/>
        <v>-2166.6666666666665</v>
      </c>
      <c r="BM214" s="1110">
        <f t="shared" si="288"/>
        <v>-1661.1111111111109</v>
      </c>
      <c r="BN214" s="1113">
        <f t="shared" si="289"/>
        <v>2</v>
      </c>
      <c r="BO214" s="1097">
        <f t="shared" si="290"/>
        <v>3005.1476580839999</v>
      </c>
      <c r="BP214" s="1100">
        <f t="shared" si="291"/>
        <v>147.56068806020068</v>
      </c>
      <c r="BQ214" s="1113" t="s">
        <v>145</v>
      </c>
      <c r="BR214" s="1124" t="s">
        <v>146</v>
      </c>
      <c r="BS214" s="1098">
        <f>IF($P214="","N/A",IF($P214=-1,INDEX('卡片raw data'!AX:AX,MATCH($D214,'卡片raw data'!$F:$F,)),0)+IF($L214="party卡",IF($P214=5,INDEX('卡片raw data'!BD:BD,MATCH($D214,'卡片raw data'!$F:$F,)),IF($P214&gt;=3,INDEX('卡片raw data'!BC:BC,MATCH($D214,'卡片raw data'!$F:$F,)),INDEX('卡片raw data'!BB:BB,MATCH($D214,'卡片raw data'!$F:$F,)))),IF(OR(AND($F214="UR",$P214=0),AND($F214="SR",$P214&gt;=0,$P214&lt;=2),AND($F214="R",$P214&gt;=0,$P214&lt;4)),INDEX('卡片raw data'!AZ:AZ,MATCH($D214,'卡片raw data'!$F:$F,)),0)+IF(OR(AND($F214="UR",$P214&gt;=1,$P214&lt;=4),AND($F214="SR",$P214&lt;=4,$P214&gt;=3),AND($F214="R",$P214=4)),INDEX('卡片raw data'!BA:BA,MATCH($D214,'卡片raw data'!$F:$F,)),0)+IF($P214=5,INDEX('卡片raw data'!BB:BB,MATCH($D214,'卡片raw data'!$F:$F,)),0)))</f>
        <v>0.04</v>
      </c>
      <c r="BT214" s="1101">
        <f t="shared" si="292"/>
        <v>2829.8380817234388</v>
      </c>
      <c r="BU214" s="1097">
        <f t="shared" si="293"/>
        <v>204.69124004092632</v>
      </c>
      <c r="BV214" s="1097">
        <f t="shared" si="294"/>
        <v>0</v>
      </c>
      <c r="BW214" s="1112">
        <f t="shared" si="295"/>
        <v>0</v>
      </c>
      <c r="BX214" s="1100">
        <f t="shared" si="296"/>
        <v>2829.8380817234388</v>
      </c>
      <c r="BY214" s="1110">
        <f t="shared" si="297"/>
        <v>0</v>
      </c>
      <c r="BZ214" s="1107" t="s">
        <v>569</v>
      </c>
      <c r="CA214" s="1124"/>
      <c r="CB214" s="1098">
        <f>IF($P214="","N/A",IF($P214=-1,INDEX('卡片raw data'!BE:BE,MATCH($D214,'卡片raw data'!$F:$F,)),0)+IF($L214="party卡",IF($P214=5,INDEX('卡片raw data'!BK:BK,MATCH($D214,'卡片raw data'!$F:$F,)),IF($P214&gt;=3,INDEX('卡片raw data'!BJ:BJ,MATCH($D214,'卡片raw data'!$F:$F,)),INDEX('卡片raw data'!BI:BI,MATCH($D214,'卡片raw data'!$F:$F,)))),IF(OR(AND($F214="UR",$P214=0),AND($F214="SR",$P214&gt;=0,$P214&lt;=2),AND($F214="R",$P214&gt;=0,$P214&lt;4)),INDEX('卡片raw data'!BG:BG,MATCH($D214,'卡片raw data'!$F:$F,)),0)+IF(OR(AND($F214="UR",$P214&gt;=1,$P214&lt;=4),AND($F214="SR",$P214&lt;=4,$P214&gt;=3),AND($F214="R",$P214=4)),INDEX('卡片raw data'!BH:BH,MATCH($D214,'卡片raw data'!$F:$F,)),0)+IF($P214=5,INDEX('卡片raw data'!BI:BI,MATCH($D214,'卡片raw data'!$F:$F,)),0)))</f>
        <v>0</v>
      </c>
      <c r="CC214" s="1101">
        <f t="shared" si="298"/>
        <v>0</v>
      </c>
      <c r="CD214" s="1097">
        <f>IF(BZ214="ap",CB214*(1-$FI$26)*$FB$5/$FB$11*(+IF(CA214="全员",$FA$24,0)+IF(CA214="同作战",$FA$24,0)+IF(CA214="仲间",$FA$24*2/3,0)+IF(CA214="同属性",$FA$24*$FA$37/3,0)+IF(CA214="同年级",$FA$24*$FA$40/3,0)+IF(CA214="同学校",$FA$24*$FA$43/3,0)+IF(CA214="同小队",$FA$24*$FA$46/3,0)+IF(CA214="同type",$FA$24*INDEX($FB$49:$FB$52,MATCH(X214,$FA$49:$FA$52,))/3,0)+IF(CA214="自身",#REF!/3,0)),0)+IF(BZ214="te",CB214*(1-$FI$27)*($FA$20-1)*$FB$7/$FB$13*(+IF(CA214="全员",$FA$19*$FA$24/(1+($FA$20-1)*$FA$19),0)+IF(CA214="同作战",$FA$19*$FA$24/(1+($FA$20-1)*$FA$19),0)+IF(CA214="仲间",$FA$19*$FA$24*2/3/(1+($FA$20-1)*$FA$19),0)+IF(CA214="同属性",$FA$19*$FA$24*$FA$37/3/(1+($FA$20-1)*$FA$19),0)+IF(CA214="同年级",$FA$19*$FA$24*$FA$40/3/(1+($FA$20-1)*$FA$19),0)+IF(CA214="同学校",$FA$19*$FA$24*$FA$43/3/(1+($FA$20-1)*$FA$19),0)+IF(CA214="同小队",$FA$19*$FA$24*$FA$46/3/(1+($FA$20-1)*$FA$19),0)+IF(CA214="同type",$FA$19*$FA$24*INDEX($FB$49:$FB$52,MATCH(X214,$FA$49:$FA$52,))/3/(1+($FA$20-1)*$FA$19),0)+IF(CA214="自身",$FA$19*#REF!/3/(1+(BH214-1)*$BD214),0)),0)</f>
        <v>0</v>
      </c>
      <c r="CE214" s="1097">
        <f t="shared" si="299"/>
        <v>0</v>
      </c>
      <c r="CF214" s="1112">
        <f t="shared" si="300"/>
        <v>0</v>
      </c>
      <c r="CG214" s="1100">
        <f t="shared" si="301"/>
        <v>0</v>
      </c>
      <c r="CH214" s="1110">
        <f t="shared" si="302"/>
        <v>0</v>
      </c>
      <c r="CI214" s="1113"/>
      <c r="CJ214" s="1114"/>
      <c r="CK214" s="1115" t="s">
        <v>569</v>
      </c>
      <c r="CL214" s="1115"/>
      <c r="CM214" s="1119"/>
      <c r="CN214" s="1115"/>
      <c r="CO214" s="1092"/>
      <c r="CP214" s="1117">
        <f t="shared" si="303"/>
        <v>0</v>
      </c>
      <c r="CQ214" s="1117">
        <f t="shared" si="304"/>
        <v>0</v>
      </c>
      <c r="CR214" s="1117">
        <f t="shared" si="305"/>
        <v>0</v>
      </c>
      <c r="CS214" s="1118">
        <f t="shared" si="306"/>
        <v>0</v>
      </c>
      <c r="CT214" s="1109">
        <f t="shared" si="307"/>
        <v>0</v>
      </c>
      <c r="CU214" s="1101">
        <f t="shared" si="308"/>
        <v>0</v>
      </c>
      <c r="CV214" s="1108">
        <f t="shared" si="309"/>
        <v>0</v>
      </c>
      <c r="CW214" s="1097">
        <f t="shared" si="310"/>
        <v>0</v>
      </c>
      <c r="CX214" s="1097">
        <f t="shared" si="311"/>
        <v>0</v>
      </c>
      <c r="CY214" s="1110">
        <f t="shared" si="312"/>
        <v>0</v>
      </c>
      <c r="CZ214" s="437"/>
      <c r="DA214" s="438"/>
      <c r="DB214" s="439" t="s">
        <v>569</v>
      </c>
      <c r="DC214" s="439"/>
      <c r="DD214" s="443"/>
      <c r="DE214" s="411"/>
      <c r="DF214" s="411"/>
      <c r="DG214" s="1116">
        <f t="shared" si="313"/>
        <v>0</v>
      </c>
      <c r="DH214" s="1116">
        <f t="shared" si="314"/>
        <v>0</v>
      </c>
      <c r="DI214" s="1116">
        <f t="shared" si="315"/>
        <v>0</v>
      </c>
      <c r="DJ214" s="442">
        <f t="shared" si="316"/>
        <v>0</v>
      </c>
      <c r="DK214" s="1109">
        <f t="shared" si="317"/>
        <v>0</v>
      </c>
      <c r="DL214" s="1101">
        <f t="shared" si="318"/>
        <v>0</v>
      </c>
      <c r="DM214" s="1097">
        <f t="shared" si="319"/>
        <v>0</v>
      </c>
      <c r="DN214" s="1097">
        <f t="shared" si="320"/>
        <v>0</v>
      </c>
      <c r="DO214" s="1097">
        <f t="shared" si="321"/>
        <v>0</v>
      </c>
      <c r="DP214" s="1110">
        <f t="shared" si="322"/>
        <v>0</v>
      </c>
      <c r="DQ214" s="1113" t="s">
        <v>547</v>
      </c>
      <c r="DR214" s="1120">
        <f t="shared" si="323"/>
        <v>0.3</v>
      </c>
      <c r="DS214" s="1124">
        <v>10</v>
      </c>
      <c r="DT214" s="1093" t="s">
        <v>161</v>
      </c>
      <c r="DU214" s="1093" t="s">
        <v>544</v>
      </c>
      <c r="DV214" s="1098">
        <f>IF($P214="","N/A",IF(P214=-1,INDEX('卡片raw data'!AN:AN,MATCH(D214,'卡片raw data'!$F:$F,)),0)+IF(AND(L214&lt;&gt;"party卡",P214&lt;=2,P214&gt;=0),INDEX('卡片raw data'!AP:AP,MATCH(D214,'卡片raw data'!$F:$F,)),0)+IF(OR(AND(L214="party卡",P214&lt;=1),AND(P214&lt;=4,L214&lt;&gt;"party卡",P214&gt;=3)),INDEX('卡片raw data'!AQ:AQ,MATCH(D214,'卡片raw data'!$F:$F,)),0)+IF(OR(P214=5,AND(L214="party卡",P214&gt;=2)),INDEX('卡片raw data'!AR:AR,MATCH(D214,'卡片raw data'!$F:$F,)),0))</f>
        <v>4.2000000000000003E-2</v>
      </c>
      <c r="DW214" s="1098">
        <f t="shared" si="324"/>
        <v>0.3</v>
      </c>
      <c r="DX214" s="1098">
        <f t="shared" si="325"/>
        <v>0.3</v>
      </c>
      <c r="DY214" s="1098">
        <f t="shared" si="326"/>
        <v>4.1999999999999996E-2</v>
      </c>
      <c r="DZ214" s="1098">
        <f t="shared" si="327"/>
        <v>3.6329999999999994E-2</v>
      </c>
      <c r="EA214" s="1098">
        <f t="shared" si="328"/>
        <v>0</v>
      </c>
      <c r="EB214" s="1121">
        <f t="shared" si="329"/>
        <v>10.144509374999998</v>
      </c>
      <c r="EC214" s="1101">
        <f t="shared" si="330"/>
        <v>545.99999999999989</v>
      </c>
      <c r="ED214" s="1097">
        <f t="shared" si="331"/>
        <v>362.08899999999988</v>
      </c>
      <c r="EE214" s="1110">
        <f t="shared" si="332"/>
        <v>545.99999999999989</v>
      </c>
      <c r="EF214" s="1092" t="s">
        <v>711</v>
      </c>
      <c r="EG214" s="1120">
        <f t="shared" si="333"/>
        <v>0.3</v>
      </c>
      <c r="EH214" s="1124"/>
      <c r="EI214" s="1093"/>
      <c r="EJ214" s="1093"/>
      <c r="EK214" s="1097">
        <f>IF($P214="","N/A",IF(P214=-1,INDEX('卡片raw data'!AS:AS,MATCH(D214,'卡片raw data'!$F:$F,)),0)+IF(AND(L214&lt;&gt;"party卡",P214&lt;=2,P214&gt;=0),INDEX('卡片raw data'!AU:AU,MATCH(D214,'卡片raw data'!$F:$F,)),0)+IF(OR(AND(L214="party卡",P214&lt;=1),AND(P214&lt;=4,L214&lt;&gt;"party卡",P214&gt;=3)),INDEX('卡片raw data'!AV:AV,MATCH(D214,'卡片raw data'!$F:$F,)),0)+IF(OR(P214=5,AND(L214="party卡",P214&gt;=2)),INDEX('卡片raw data'!AW:AW,MATCH(D214,'卡片raw data'!$F:$F,)),0))</f>
        <v>0</v>
      </c>
      <c r="EL214" s="1098">
        <f t="shared" si="334"/>
        <v>0.3</v>
      </c>
      <c r="EM214" s="1098">
        <f t="shared" si="335"/>
        <v>0.3</v>
      </c>
      <c r="EN214" s="1125">
        <f t="shared" si="336"/>
        <v>0</v>
      </c>
      <c r="EO214" s="1125">
        <f t="shared" si="337"/>
        <v>0</v>
      </c>
      <c r="EP214" s="1098">
        <f t="shared" si="338"/>
        <v>0</v>
      </c>
      <c r="EQ214" s="1121">
        <f t="shared" si="339"/>
        <v>0</v>
      </c>
      <c r="ER214" s="1101">
        <f t="shared" si="340"/>
        <v>0</v>
      </c>
      <c r="ES214" s="1097">
        <f t="shared" si="341"/>
        <v>0</v>
      </c>
      <c r="ET214" s="1122">
        <f t="shared" si="342"/>
        <v>0</v>
      </c>
    </row>
    <row r="215" spans="2:150" ht="16.5" customHeight="1">
      <c r="B215" s="1123" t="str">
        <f>INDEX('卡片raw data'!B:B,MATCH($D215,'卡片raw data'!$F:$F,))</f>
        <v>蔬菜善</v>
      </c>
      <c r="C215" s="449" t="s">
        <v>66</v>
      </c>
      <c r="D215" s="408">
        <v>212</v>
      </c>
      <c r="E215" s="1090">
        <v>301063002</v>
      </c>
      <c r="F215" s="1090" t="str">
        <f>INDEX('卡片raw data'!C:C,MATCH($D215,'卡片raw data'!$F:$F,))</f>
        <v>UR</v>
      </c>
      <c r="G215" s="1094" t="s">
        <v>38</v>
      </c>
      <c r="H215" s="411">
        <f>IFERROR(INDEX(绊状态确认!C:C,MATCH($G215,绊状态确认!$B:$B,)),"")</f>
        <v>106</v>
      </c>
      <c r="I215" s="450" t="str">
        <f>IFERROR(INDEX(绊状态确认!D:D,MATCH($G215,绊状态确认!$B:$B,)),"")</f>
        <v>水</v>
      </c>
      <c r="J215" s="450" t="str">
        <f>IFERROR(INDEX(绊状态确认!E:E,MATCH($G215,绊状态确认!$B:$B,)),"")</f>
        <v>1年级</v>
      </c>
      <c r="K215" s="451" t="str">
        <f>IFERROR(INDEX(绊状态确认!F:F,MATCH($G215,绊状态确认!$B:$B,)),"")</f>
        <v>Guilty Kiss</v>
      </c>
      <c r="L215" s="1094" t="str">
        <f>INDEX('卡片raw data'!E:E,MATCH($D215,'卡片raw data'!$F:$F,))</f>
        <v>卡池卡</v>
      </c>
      <c r="M215" s="415">
        <v>43927</v>
      </c>
      <c r="N215" s="416">
        <v>13</v>
      </c>
      <c r="O215" s="1091" t="str">
        <f>INDEX('卡片raw data'!D:D,MATCH($D215,'卡片raw data'!$F:$F,))</f>
        <v>vo</v>
      </c>
      <c r="P215" s="417">
        <v>5</v>
      </c>
      <c r="Q215" s="1095">
        <f t="shared" si="258"/>
        <v>56797.364265703392</v>
      </c>
      <c r="R215" s="1096">
        <f t="shared" si="259"/>
        <v>0.66</v>
      </c>
      <c r="S215" s="1097">
        <f t="shared" si="260"/>
        <v>21873.832316863463</v>
      </c>
      <c r="T215" s="1098">
        <f t="shared" si="261"/>
        <v>1.093</v>
      </c>
      <c r="U215" s="1099">
        <f t="shared" si="262"/>
        <v>-8.7936812628571452</v>
      </c>
      <c r="V215" s="1100">
        <f t="shared" si="263"/>
        <v>56796.80386582591</v>
      </c>
      <c r="W215" s="1101">
        <f t="shared" si="264"/>
        <v>6264.4975935078537</v>
      </c>
      <c r="X215" s="1096">
        <f t="shared" si="265"/>
        <v>7.1999999999999995E-2</v>
      </c>
      <c r="Y215" s="1097">
        <f t="shared" si="266"/>
        <v>1304.1080503642179</v>
      </c>
      <c r="Z215" s="1102">
        <f t="shared" si="267"/>
        <v>16.206318737142855</v>
      </c>
      <c r="AA215" s="1103">
        <f t="shared" si="268"/>
        <v>7568.6056438720716</v>
      </c>
      <c r="AB215" s="1101">
        <f t="shared" si="269"/>
        <v>7566.728245344254</v>
      </c>
      <c r="AC215" s="1104">
        <f t="shared" si="270"/>
        <v>8.6999999999999994E-2</v>
      </c>
      <c r="AD215" s="1105">
        <f t="shared" si="271"/>
        <v>1.4236111111111111E-2</v>
      </c>
      <c r="AE215" s="1128">
        <f t="shared" si="272"/>
        <v>6.9254417080504043</v>
      </c>
      <c r="AF215" s="1130">
        <f t="shared" si="273"/>
        <v>0</v>
      </c>
      <c r="AG215" s="420">
        <f t="shared" si="274"/>
        <v>0</v>
      </c>
      <c r="AH215" s="420">
        <f t="shared" si="275"/>
        <v>0</v>
      </c>
      <c r="AI215" s="1097">
        <f t="shared" si="276"/>
        <v>0</v>
      </c>
      <c r="AJ215" s="420">
        <f t="shared" si="277"/>
        <v>0</v>
      </c>
      <c r="AK215" s="518">
        <f t="shared" si="278"/>
        <v>0</v>
      </c>
      <c r="AL215" s="1106">
        <f>IF($P215="","N/A",(IF($P215=-1,INDEX('卡片raw data'!S:S,MATCH($D215,'卡片raw data'!$F:$F,)),0)+IF($P215=0,INDEX('卡片raw data'!V:V,MATCH($D215,'卡片raw data'!$F:$F,)),0)+IF($P215=1,INDEX('卡片raw data'!Y:Y,MATCH($D215,'卡片raw data'!$F:$F,)),0)+IF($P215=2,INDEX('卡片raw data'!AB:AB,MATCH($D215,'卡片raw data'!$F:$F,)),0)+IF($P215=3,INDEX('卡片raw data'!AE:AE,MATCH($D215,'卡片raw data'!$F:$F,)),0)+IF($P215=4,INDEX('卡片raw data'!AH:AH,MATCH($D215,'卡片raw data'!$F:$F,)),0)+IF($P215=5,INDEX('卡片raw data'!AK:AK,MATCH($D215,'卡片raw data'!$F:$F,)),0)+INDEX('卡片raw data'!S:S,MATCH($D215,'卡片raw data'!$F:$F,))*(IF($F215="UR",0.04,0.033))*(IF($F215="UR",INDEX(绊状态确认!$S:$S,MATCH($G215,绊状态确认!$B:$B,))/2-40)+IF($F215="SR",INDEX(绊状态确认!$R:$R,MATCH($G215,绊状态确认!$B:$B,))/4-15))+IF($F215="R",INDEX(绊状态确认!$Q:$Q,MATCH($G215,绊状态确认!$B:$B,))/6-40/6)))*(INDEX(绊状态确认!$H:$H,MATCH($G215,绊状态确认!$B:$B,))+INDEX(绊状态确认!J:J,MATCH($G215,绊状态确认!$B:$B,)))</f>
        <v>13000.415999999997</v>
      </c>
      <c r="AM215" s="1106">
        <f>IF($P215="","N/A",(IF($P215=-1,INDEX('卡片raw data'!T:T,MATCH($D215,'卡片raw data'!$F:$F,)),0)+IF($P215=0,INDEX('卡片raw data'!W:W,MATCH($D215,'卡片raw data'!$F:$F,)),0)+IF($P215=1,INDEX('卡片raw data'!Z:Z,MATCH($D215,'卡片raw data'!$F:$F,)),0)+IF($P215=2,INDEX('卡片raw data'!AC:AC,MATCH($D215,'卡片raw data'!$F:$F,)),0)+IF($P215=3,INDEX('卡片raw data'!AF:AF,MATCH($D215,'卡片raw data'!$F:$F,)),0)+IF($P215=4,INDEX('卡片raw data'!AI:AI,MATCH($D215,'卡片raw data'!$F:$F,)),0)+IF($P215=5,INDEX('卡片raw data'!AL:AL,MATCH($D215,'卡片raw data'!$F:$F,)),0)+INDEX('卡片raw data'!T:T,MATCH($D215,'卡片raw data'!$F:$F,))*(IF($F215="UR",0.04,0.033))*(IF($F215="UR",INDEX(绊状态确认!$S:$S,MATCH($G215,绊状态确认!$B:$B,))/2-40)+IF($F215="SR",INDEX(绊状态确认!$R:$R,MATCH($G215,绊状态确认!$B:$B,))/4-15))+IF($F215="R",INDEX(绊状态确认!$Q:$Q,MATCH($G215,绊状态确认!$B:$B,))/6-40/6)))*(INDEX(绊状态确认!$H:$H,MATCH($G215,绊状态确认!$B:$B,))+INDEX(绊状态确认!K:K,MATCH($G215,绊状态确认!$B:$B,)))</f>
        <v>9100.2911999999997</v>
      </c>
      <c r="AN215" s="1106">
        <f>IF($P215="","N/A",(IF($P215=-1,INDEX('卡片raw data'!U:U,MATCH($D215,'卡片raw data'!$F:$F,)),0)+IF($P215=0,INDEX('卡片raw data'!X:X,MATCH($D215,'卡片raw data'!$F:$F,)),0)+IF($P215=1,INDEX('卡片raw data'!AA:AA,MATCH($D215,'卡片raw data'!$F:$F,)),0)+IF($P215=2,INDEX('卡片raw data'!AD:AD,MATCH($D215,'卡片raw data'!$F:$F,)),0)+IF($P215=3,INDEX('卡片raw data'!AG:AG,MATCH($D215,'卡片raw data'!$F:$F,)),0)+IF($P215=4,INDEX('卡片raw data'!AJ:AJ,MATCH($D215,'卡片raw data'!$F:$F,)),0)+IF($P215=5,INDEX('卡片raw data'!AM:AM,MATCH($D215,'卡片raw data'!$F:$F,)),0)+INDEX('卡片raw data'!U:U,MATCH($D215,'卡片raw data'!$F:$F,))*(IF($F215="UR",0.04,0.033))*(IF($F215="UR",INDEX(绊状态确认!$S:$S,MATCH($G215,绊状态确认!$B:$B,))/2-40)+IF($F215="SR",INDEX(绊状态确认!$R:$R,MATCH($G215,绊状态确认!$B:$B,))/4-15))+IF($F215="R",INDEX(绊状态确认!$Q:$Q,MATCH($G215,绊状态确认!$B:$B,))/6-40/6)))*(INDEX(绊状态确认!$H:$H,MATCH($G215,绊状态确认!$B:$B,))+INDEX(绊状态确认!L:L,MATCH($G215,绊状态确认!$B:$B,)))</f>
        <v>10400.332799999998</v>
      </c>
      <c r="AO215" s="1107">
        <f t="shared" si="279"/>
        <v>1</v>
      </c>
      <c r="AP215" s="1131">
        <f>1+(INDEX(绊状态确认!$T:$T,MATCH($G215,绊状态确认!$B:$B,))+0.2)*$AO215</f>
        <v>1.3</v>
      </c>
      <c r="AQ215" s="1108">
        <f t="shared" si="280"/>
        <v>37376.091999999997</v>
      </c>
      <c r="AR215" s="1097">
        <f>(AM215*(1+$EX$9)+$EX$35)*(1+(INDEX(绊状态确认!$T:$T,MATCH($G215,绊状态确认!$B:$B,))+0.2)*AO215)*IF(J215=$FF$17,1+$FE$17,1)*IF(I215=$FF$14,1+$FE$14,1)*(1+$FE$15)</f>
        <v>15125.897487999999</v>
      </c>
      <c r="AS215" s="1097">
        <f>(AN215*(1+$EX$10)+$EX$36)*(1+(INDEX(绊状态确认!$T:$T,MATCH($G215,绊状态确认!$B:$B,))+0.2)*AO215)*IF(J215=$FF$17,1+$FE$17,1)*IF(I215=$FF$14,1+$FE$14,1)*(1+$FE$15)</f>
        <v>19604.497535999999</v>
      </c>
      <c r="AT215" s="1093">
        <f>IF(AND(INDEX('卡片raw data'!AK:AK,MATCH($D215,'卡片raw data'!$F:$F,))&lt;INDEX('卡片raw data'!AM:AM,MATCH($D215,'卡片raw data'!$F:$F,)),INDEX('卡片raw data'!AL:AL,MATCH($D215,'卡片raw data'!$F:$F,))&lt;INDEX('卡片raw data'!AM:AM,MATCH($D215,'卡片raw data'!$F:$F,))),1,0)</f>
        <v>0</v>
      </c>
      <c r="AU215" s="1098">
        <f>MIN(AT215*0.15+AS215*0.00003+INDEX(绊状态确认!M:M,MATCH($G215,绊状态确认!$B:$B,)),1)</f>
        <v>0.61813492607999998</v>
      </c>
      <c r="AV215" s="1109">
        <f>(INDEX(绊状态确认!$N:$N,MATCH($G215,绊状态确认!$B:$B,))+1.5)*$EW$21</f>
        <v>2.6599999999999997</v>
      </c>
      <c r="AW215" s="1101">
        <f t="shared" si="281"/>
        <v>39329.007162122769</v>
      </c>
      <c r="AX215" s="1097">
        <f t="shared" si="282"/>
        <v>1304.1080503642183</v>
      </c>
      <c r="AY215" s="1110">
        <f t="shared" si="283"/>
        <v>40633.115212486984</v>
      </c>
      <c r="AZ215" s="429">
        <f t="shared" si="284"/>
        <v>27950.811199999993</v>
      </c>
      <c r="BA215" s="431">
        <f t="shared" si="285"/>
        <v>33540.973439999987</v>
      </c>
      <c r="BB215" s="1097">
        <f>(AM215*(1+$FB$9)+$FB$35)*(1+(INDEX(绊状态确认!$T:$T,MATCH($G215,绊状态确认!$B:$B,))+0.2)*AO215)*IF(J215=$FF$17,1+$FE$17,1)*IF(I215=$FF$14,1+$FE$14,1)*(1+$FE$15)</f>
        <v>15125.897487999999</v>
      </c>
      <c r="BC215" s="1097">
        <f>(AN215*(1+$FB$10)+$FB$36)*(1+(INDEX(绊状态确认!$T:$T,MATCH($G215,绊状态确认!$B:$B,))+0.2)*AO215)*IF(J215=$FF$17,1+$FE$17,1)*IF(I215=$FF$14,1+$FE$14,1)*(1+$FE$15)</f>
        <v>19604.497535999999</v>
      </c>
      <c r="BD215" s="1104">
        <f>MIN(AT215*0.15+BC215*0.00003+INDEX(绊状态确认!M:M,MATCH($G215,绊状态确认!$B:$B,)),1)</f>
        <v>0.61813492607999998</v>
      </c>
      <c r="BE215" s="432">
        <f>(INDEX(绊状态确认!$N:$N,MATCH($G215,绊状态确认!$B:$B,))+1.5)</f>
        <v>1.9</v>
      </c>
      <c r="BF215" s="1139">
        <f t="array" ref="BF215">SUMPRODUCT(IF(AZ215*AP215*$FI$16:$FI$23*$FA$22&gt;=$FI$24,$FI$24,AZ215*AP215*$FI$16:$FI$23*$FA$22),$FJ$16:$FJ$23)</f>
        <v>53972.694014399996</v>
      </c>
      <c r="BG215" s="1125">
        <f t="array" ref="BG215">SUMPRODUCT(IF(BE215*AZ215*AP215*$FI$16:$FI$23*$FA$22&gt;=$FI$24,$FI$24,BE215*AZ215*AP215*$FI$16:$FI$23*$FA$22),$FJ$16:$FJ$23)</f>
        <v>60000</v>
      </c>
      <c r="BH215" s="1110">
        <f t="shared" si="286"/>
        <v>19232.794118090133</v>
      </c>
      <c r="BI215" s="1111">
        <f>IF(O215="vo",$EW$26/$EW$24*0.05,0)+IF(O215="sk",-$EW$26/$EW$24*(0.05-INDEX(绊状态确认!W:W,MATCH($G215,绊状态确认!$B:$B,)))+0.05*$EW$28,0)+IF(O215="sp",0.05*$EW$32*$EW$30*(1-$EW$33)-(0.05-INDEX(绊状态确认!V:V,MATCH($G215,绊状态确认!$B:$B,)))*$EW$28,0)+IF(O215="gd",-(0.05-INDEX(绊状态确认!X:X,MATCH($G215,绊状态确认!$B:$B,)))*$EW$32*$EW$30*(1-$EW$33),0)</f>
        <v>7726.3029277443748</v>
      </c>
      <c r="BJ215" s="1097">
        <f>IF(O215="vo",0.05*(1-$FI$26)*$FA$24,0)+IF(O215="sk",-(0.05-INDEX(绊状态确认!W:W,MATCH($G215,绊状态确认!$B:$B,)))*(1-$FI$26)*$FA$24+0.05*$FA$26,0)+IF(O215="sp",0.05*$FA$32*$FA$27*(1-$FA$33)/$FA$30+0.05*$FA$29/$FA$69*$FA$27*(1-$FA$33)-(0.05-INDEX(绊状态确认!V:V,MATCH($G215,绊状态确认!$B:$B,)))*$FA$26,0)+IF(O215="gd",-(0.05-INDEX(绊状态确认!X:X,MATCH($G215,绊状态确认!$B:$B,)))*$FA$32*$FA$27*(1-$FA$33)/$FA$30-(0.05-INDEX(绊状态确认!X:X,MATCH($G215,绊状态确认!$B:$B,)))*$FA$29/$FA$69*$FA$27*(1-$FA$33),0)</f>
        <v>393.93433687500004</v>
      </c>
      <c r="BK215" s="1110">
        <f>IF(O215="vo",$EW$26/$EW$24*0.05+$EW$26*(-HP($EW$62,$EW$65,$EW$64)+HP($EW$62,$EW$65,(1.05-INDEX(绊状态确认!U:U,MATCH($G215,绊状态确认!$B:$B,)))*$EW$64)),0)+IF(O215="sk",-$EW$26/$EW$24*(0.05-INDEX(绊状态确认!W:W,MATCH($G215,绊状态确认!$B:$B,)))+0.05*$EW$29,0)+IF(O215="sp",0.05*$EW$32*$EW$30*(1-$EW$33)-(0.05-INDEX(绊状态确认!V:V,MATCH($G215,绊状态确认!$B:$B,)))*$EW$29,0)+IF(O215="gd",-(0.05-INDEX(绊状态确认!X:X,MATCH($G215,绊状态确认!$B:$B,)))*$EW$32*$EW$30*(1-$EW$33)+$EW$26*(-HP($EW$62,$EW$65,$EW$64)+HP($EW$62,$EW$65,0.95*$EW$64)),0)</f>
        <v>6421.6344775026746</v>
      </c>
      <c r="BL215" s="1111">
        <f t="shared" si="287"/>
        <v>0</v>
      </c>
      <c r="BM215" s="1110">
        <f t="shared" si="288"/>
        <v>0</v>
      </c>
      <c r="BN215" s="1113">
        <f t="shared" si="289"/>
        <v>3</v>
      </c>
      <c r="BO215" s="1097">
        <f t="shared" si="290"/>
        <v>4507.7214871259994</v>
      </c>
      <c r="BP215" s="1100">
        <f t="shared" si="291"/>
        <v>221.34103209030098</v>
      </c>
      <c r="BQ215" s="1113" t="s">
        <v>143</v>
      </c>
      <c r="BR215" s="1124" t="s">
        <v>148</v>
      </c>
      <c r="BS215" s="1098">
        <f>IF($P215="","N/A",IF($P215=-1,INDEX('卡片raw data'!AX:AX,MATCH($D215,'卡片raw data'!$F:$F,)),0)+IF($L215="party卡",IF($P215=5,INDEX('卡片raw data'!BD:BD,MATCH($D215,'卡片raw data'!$F:$F,)),IF($P215&gt;=3,INDEX('卡片raw data'!BC:BC,MATCH($D215,'卡片raw data'!$F:$F,)),INDEX('卡片raw data'!BB:BB,MATCH($D215,'卡片raw data'!$F:$F,)))),IF(OR(AND($F215="UR",$P215=0),AND($F215="SR",$P215&gt;=0,$P215&lt;=2),AND($F215="R",$P215&gt;=0,$P215&lt;4)),INDEX('卡片raw data'!AZ:AZ,MATCH($D215,'卡片raw data'!$F:$F,)),0)+IF(OR(AND($F215="UR",$P215&gt;=1,$P215&lt;=4),AND($F215="SR",$P215&lt;=4,$P215&gt;=3),AND($F215="R",$P215=4)),INDEX('卡片raw data'!BA:BA,MATCH($D215,'卡片raw data'!$F:$F,)),0)+IF($P215=5,INDEX('卡片raw data'!BB:BB,MATCH($D215,'卡片raw data'!$F:$F,)),0)))</f>
        <v>5.1999999999999998E-2</v>
      </c>
      <c r="BT215" s="1101">
        <f t="shared" si="292"/>
        <v>2604.4613036728001</v>
      </c>
      <c r="BU215" s="1097">
        <f t="shared" si="293"/>
        <v>111.90018844565216</v>
      </c>
      <c r="BV215" s="1097">
        <f t="shared" si="294"/>
        <v>1302.2306518363998</v>
      </c>
      <c r="BW215" s="1112">
        <f t="shared" si="295"/>
        <v>0</v>
      </c>
      <c r="BX215" s="1100">
        <f t="shared" si="296"/>
        <v>2604.4613036728001</v>
      </c>
      <c r="BY215" s="1110">
        <f t="shared" si="297"/>
        <v>1302.2306518363998</v>
      </c>
      <c r="BZ215" s="1107" t="s">
        <v>569</v>
      </c>
      <c r="CA215" s="1124"/>
      <c r="CB215" s="1098">
        <f>IF($P215="","N/A",IF($P215=-1,INDEX('卡片raw data'!BE:BE,MATCH($D215,'卡片raw data'!$F:$F,)),0)+IF($L215="party卡",IF($P215=5,INDEX('卡片raw data'!BK:BK,MATCH($D215,'卡片raw data'!$F:$F,)),IF($P215&gt;=3,INDEX('卡片raw data'!BJ:BJ,MATCH($D215,'卡片raw data'!$F:$F,)),INDEX('卡片raw data'!BI:BI,MATCH($D215,'卡片raw data'!$F:$F,)))),IF(OR(AND($F215="UR",$P215=0),AND($F215="SR",$P215&gt;=0,$P215&lt;=2),AND($F215="R",$P215&gt;=0,$P215&lt;4)),INDEX('卡片raw data'!BG:BG,MATCH($D215,'卡片raw data'!$F:$F,)),0)+IF(OR(AND($F215="UR",$P215&gt;=1,$P215&lt;=4),AND($F215="SR",$P215&lt;=4,$P215&gt;=3),AND($F215="R",$P215=4)),INDEX('卡片raw data'!BH:BH,MATCH($D215,'卡片raw data'!$F:$F,)),0)+IF($P215=5,INDEX('卡片raw data'!BI:BI,MATCH($D215,'卡片raw data'!$F:$F,)),0)))</f>
        <v>0</v>
      </c>
      <c r="CC215" s="1101">
        <f t="shared" si="298"/>
        <v>0</v>
      </c>
      <c r="CD215" s="1097">
        <f>IF(BZ215="ap",CB215*(1-$FI$26)*$FB$5/$FB$11*(+IF(CA215="全员",$FA$24,0)+IF(CA215="同作战",$FA$24,0)+IF(CA215="仲间",$FA$24*2/3,0)+IF(CA215="同属性",$FA$24*$FA$37/3,0)+IF(CA215="同年级",$FA$24*$FA$40/3,0)+IF(CA215="同学校",$FA$24*$FA$43/3,0)+IF(CA215="同小队",$FA$24*$FA$46/3,0)+IF(CA215="同type",$FA$24*INDEX($FB$49:$FB$52,MATCH(X215,$FA$49:$FA$52,))/3,0)+IF(CA215="自身",#REF!/3,0)),0)+IF(BZ215="te",CB215*(1-$FI$27)*($FA$20-1)*$FB$7/$FB$13*(+IF(CA215="全员",$FA$19*$FA$24/(1+($FA$20-1)*$FA$19),0)+IF(CA215="同作战",$FA$19*$FA$24/(1+($FA$20-1)*$FA$19),0)+IF(CA215="仲间",$FA$19*$FA$24*2/3/(1+($FA$20-1)*$FA$19),0)+IF(CA215="同属性",$FA$19*$FA$24*$FA$37/3/(1+($FA$20-1)*$FA$19),0)+IF(CA215="同年级",$FA$19*$FA$24*$FA$40/3/(1+($FA$20-1)*$FA$19),0)+IF(CA215="同学校",$FA$19*$FA$24*$FA$43/3/(1+($FA$20-1)*$FA$19),0)+IF(CA215="同小队",$FA$19*$FA$24*$FA$46/3/(1+($FA$20-1)*$FA$19),0)+IF(CA215="同type",$FA$19*$FA$24*INDEX($FB$49:$FB$52,MATCH(X215,$FA$49:$FA$52,))/3/(1+($FA$20-1)*$FA$19),0)+IF(CA215="自身",$FA$19*#REF!/3/(1+(BH215-1)*$BD215),0)),0)</f>
        <v>0</v>
      </c>
      <c r="CE215" s="1097">
        <f t="shared" si="299"/>
        <v>0</v>
      </c>
      <c r="CF215" s="1112">
        <f t="shared" si="300"/>
        <v>0</v>
      </c>
      <c r="CG215" s="1100">
        <f t="shared" si="301"/>
        <v>0</v>
      </c>
      <c r="CH215" s="1110">
        <f t="shared" si="302"/>
        <v>0</v>
      </c>
      <c r="CI215" s="1113" t="s">
        <v>164</v>
      </c>
      <c r="CJ215" s="1114">
        <v>0.5</v>
      </c>
      <c r="CK215" s="1115" t="s">
        <v>154</v>
      </c>
      <c r="CL215" s="1115" t="s">
        <v>161</v>
      </c>
      <c r="CM215" s="1119">
        <v>0.1</v>
      </c>
      <c r="CN215" s="1115">
        <v>10</v>
      </c>
      <c r="CO215" s="1092"/>
      <c r="CP215" s="1118">
        <f t="shared" si="303"/>
        <v>1.0714285714285714E-2</v>
      </c>
      <c r="CQ215" s="1118">
        <f t="shared" si="304"/>
        <v>1.6666666666666666E-2</v>
      </c>
      <c r="CR215" s="1118">
        <f t="shared" si="305"/>
        <v>1.0714285714285716E-2</v>
      </c>
      <c r="CS215" s="1118">
        <f t="shared" si="306"/>
        <v>1.4236111111111111E-2</v>
      </c>
      <c r="CT215" s="1109">
        <f t="shared" si="307"/>
        <v>0</v>
      </c>
      <c r="CU215" s="1101">
        <f t="shared" si="308"/>
        <v>454.5454545454545</v>
      </c>
      <c r="CV215" s="1108">
        <f t="shared" si="309"/>
        <v>378.78787878787875</v>
      </c>
      <c r="CW215" s="1097">
        <f t="shared" si="310"/>
        <v>454.54545454545462</v>
      </c>
      <c r="CX215" s="1097">
        <f t="shared" si="311"/>
        <v>454.5454545454545</v>
      </c>
      <c r="CY215" s="1110">
        <f t="shared" si="312"/>
        <v>454.54545454545462</v>
      </c>
      <c r="CZ215" s="437"/>
      <c r="DA215" s="438"/>
      <c r="DB215" s="439" t="s">
        <v>569</v>
      </c>
      <c r="DC215" s="439"/>
      <c r="DD215" s="443"/>
      <c r="DE215" s="411"/>
      <c r="DF215" s="411"/>
      <c r="DG215" s="1116">
        <f t="shared" si="313"/>
        <v>0</v>
      </c>
      <c r="DH215" s="1116">
        <f t="shared" si="314"/>
        <v>0</v>
      </c>
      <c r="DI215" s="1116">
        <f t="shared" si="315"/>
        <v>0</v>
      </c>
      <c r="DJ215" s="442">
        <f t="shared" si="316"/>
        <v>0</v>
      </c>
      <c r="DK215" s="1109">
        <f t="shared" si="317"/>
        <v>0</v>
      </c>
      <c r="DL215" s="1101">
        <f t="shared" si="318"/>
        <v>0</v>
      </c>
      <c r="DM215" s="1097">
        <f t="shared" si="319"/>
        <v>0</v>
      </c>
      <c r="DN215" s="1097">
        <f t="shared" si="320"/>
        <v>0</v>
      </c>
      <c r="DO215" s="1097">
        <f t="shared" si="321"/>
        <v>0</v>
      </c>
      <c r="DP215" s="1110">
        <f t="shared" si="322"/>
        <v>0</v>
      </c>
      <c r="DQ215" s="1113" t="s">
        <v>152</v>
      </c>
      <c r="DR215" s="1120">
        <f t="shared" si="323"/>
        <v>0.33</v>
      </c>
      <c r="DS215" s="1124"/>
      <c r="DT215" s="1093" t="s">
        <v>132</v>
      </c>
      <c r="DU215" s="1093"/>
      <c r="DV215" s="1098">
        <f>IF($P215="","N/A",IF(P215=-1,INDEX('卡片raw data'!AN:AN,MATCH(D215,'卡片raw data'!$F:$F,)),0)+IF(AND(L215&lt;&gt;"party卡",P215&lt;=2,P215&gt;=0),INDEX('卡片raw data'!AP:AP,MATCH(D215,'卡片raw data'!$F:$F,)),0)+IF(OR(AND(L215="party卡",P215&lt;=1),AND(P215&lt;=4,L215&lt;&gt;"party卡",P215&gt;=3)),INDEX('卡片raw data'!AQ:AQ,MATCH(D215,'卡片raw data'!$F:$F,)),0)+IF(OR(P215=5,AND(L215="party卡",P215&gt;=2)),INDEX('卡片raw data'!AR:AR,MATCH(D215,'卡片raw data'!$F:$F,)),0))</f>
        <v>0.37</v>
      </c>
      <c r="DW215" s="1098">
        <f t="shared" si="324"/>
        <v>0.33</v>
      </c>
      <c r="DX215" s="1098">
        <f t="shared" si="325"/>
        <v>0.33</v>
      </c>
      <c r="DY215" s="1125">
        <f t="shared" si="326"/>
        <v>1977.5690277199999</v>
      </c>
      <c r="DZ215" s="1125">
        <f t="shared" si="327"/>
        <v>1535.0747625744955</v>
      </c>
      <c r="EA215" s="1098">
        <f t="shared" si="328"/>
        <v>0</v>
      </c>
      <c r="EB215" s="1121">
        <f t="shared" si="329"/>
        <v>0</v>
      </c>
      <c r="EC215" s="1101">
        <f t="shared" si="330"/>
        <v>2175.3259304920002</v>
      </c>
      <c r="ED215" s="1097">
        <f t="shared" si="331"/>
        <v>1535.0747625744955</v>
      </c>
      <c r="EE215" s="1110">
        <f t="shared" si="332"/>
        <v>2175.3259304920002</v>
      </c>
      <c r="EF215" s="1092" t="s">
        <v>711</v>
      </c>
      <c r="EG215" s="1120">
        <f t="shared" si="333"/>
        <v>0.33</v>
      </c>
      <c r="EH215" s="1124"/>
      <c r="EI215" s="1093"/>
      <c r="EJ215" s="1093"/>
      <c r="EK215" s="1097">
        <f>IF($P215="","N/A",IF(P215=-1,INDEX('卡片raw data'!AS:AS,MATCH(D215,'卡片raw data'!$F:$F,)),0)+IF(AND(L215&lt;&gt;"party卡",P215&lt;=2,P215&gt;=0),INDEX('卡片raw data'!AU:AU,MATCH(D215,'卡片raw data'!$F:$F,)),0)+IF(OR(AND(L215="party卡",P215&lt;=1),AND(P215&lt;=4,L215&lt;&gt;"party卡",P215&gt;=3)),INDEX('卡片raw data'!AV:AV,MATCH(D215,'卡片raw data'!$F:$F,)),0)+IF(OR(P215=5,AND(L215="party卡",P215&gt;=2)),INDEX('卡片raw data'!AW:AW,MATCH(D215,'卡片raw data'!$F:$F,)),0))</f>
        <v>0</v>
      </c>
      <c r="EL215" s="1098">
        <f t="shared" si="334"/>
        <v>0.33</v>
      </c>
      <c r="EM215" s="1098">
        <f t="shared" si="335"/>
        <v>0.33</v>
      </c>
      <c r="EN215" s="1125">
        <f t="shared" si="336"/>
        <v>0</v>
      </c>
      <c r="EO215" s="1125">
        <f t="shared" si="337"/>
        <v>0</v>
      </c>
      <c r="EP215" s="1098">
        <f t="shared" si="338"/>
        <v>0</v>
      </c>
      <c r="EQ215" s="1121">
        <f t="shared" si="339"/>
        <v>0</v>
      </c>
      <c r="ER215" s="1101">
        <f t="shared" si="340"/>
        <v>0</v>
      </c>
      <c r="ES215" s="1097">
        <f t="shared" si="341"/>
        <v>0</v>
      </c>
      <c r="ET215" s="1122">
        <f t="shared" si="342"/>
        <v>0</v>
      </c>
    </row>
    <row r="216" spans="2:150" ht="16.5" customHeight="1">
      <c r="B216" s="1123" t="str">
        <f>INDEX('卡片raw data'!B:B,MATCH($D216,'卡片raw data'!$F:$F,))</f>
        <v>乐器艾</v>
      </c>
      <c r="C216" s="449" t="s">
        <v>69</v>
      </c>
      <c r="D216" s="408">
        <v>213</v>
      </c>
      <c r="E216" s="1090">
        <v>302082002</v>
      </c>
      <c r="F216" s="1090" t="str">
        <f>INDEX('卡片raw data'!C:C,MATCH($D216,'卡片raw data'!$F:$F,))</f>
        <v>SR</v>
      </c>
      <c r="G216" s="1094" t="s">
        <v>351</v>
      </c>
      <c r="H216" s="411">
        <f>IFERROR(INDEX(绊状态确认!C:C,MATCH($G216,绊状态确认!$B:$B,)),"")</f>
        <v>208</v>
      </c>
      <c r="I216" s="450" t="str">
        <f>IFERROR(INDEX(绊状态确认!D:D,MATCH($G216,绊状态确认!$B:$B,)),"")</f>
        <v>虹</v>
      </c>
      <c r="J216" s="450" t="str">
        <f>IFERROR(INDEX(绊状态确认!E:E,MATCH($G216,绊状态确认!$B:$B,)),"")</f>
        <v>3年级</v>
      </c>
      <c r="K216" s="451" t="str">
        <f>IFERROR(INDEX(绊状态确认!F:F,MATCH($G216,绊状态确认!$B:$B,)),"")</f>
        <v>QU4RTZ</v>
      </c>
      <c r="L216" s="1094" t="str">
        <f>INDEX('卡片raw data'!E:E,MATCH($D216,'卡片raw data'!$F:$F,))</f>
        <v>卡池卡</v>
      </c>
      <c r="M216" s="415">
        <v>43927</v>
      </c>
      <c r="N216" s="416">
        <v>13</v>
      </c>
      <c r="O216" s="1091" t="str">
        <f>INDEX('卡片raw data'!D:D,MATCH($D216,'卡片raw data'!$F:$F,))</f>
        <v>sk</v>
      </c>
      <c r="P216" s="417">
        <v>5</v>
      </c>
      <c r="Q216" s="1095">
        <f t="shared" si="258"/>
        <v>26746.291939596107</v>
      </c>
      <c r="R216" s="1096">
        <f t="shared" si="259"/>
        <v>0.31</v>
      </c>
      <c r="S216" s="1097">
        <f t="shared" si="260"/>
        <v>15192.281354686094</v>
      </c>
      <c r="T216" s="1098">
        <f t="shared" si="261"/>
        <v>0.75900000000000001</v>
      </c>
      <c r="U216" s="1099">
        <f t="shared" si="262"/>
        <v>11.070210040332856</v>
      </c>
      <c r="V216" s="1100">
        <f t="shared" si="263"/>
        <v>29627.744113969609</v>
      </c>
      <c r="W216" s="1101">
        <f t="shared" si="264"/>
        <v>4562.9361650017245</v>
      </c>
      <c r="X216" s="1096">
        <f t="shared" si="265"/>
        <v>5.2999999999999999E-2</v>
      </c>
      <c r="Y216" s="1097">
        <f t="shared" si="266"/>
        <v>881.45217437350129</v>
      </c>
      <c r="Z216" s="1102">
        <f t="shared" si="267"/>
        <v>11.070210040332856</v>
      </c>
      <c r="AA216" s="1103">
        <f t="shared" si="268"/>
        <v>5444.3883393752258</v>
      </c>
      <c r="AB216" s="1101">
        <f t="shared" si="269"/>
        <v>8100.2337671560226</v>
      </c>
      <c r="AC216" s="1104">
        <f t="shared" si="270"/>
        <v>9.4E-2</v>
      </c>
      <c r="AD216" s="1105">
        <f t="shared" si="271"/>
        <v>1.8994224431818179E-2</v>
      </c>
      <c r="AE216" s="1128">
        <f t="shared" si="272"/>
        <v>4.3537577047458456</v>
      </c>
      <c r="AF216" s="1130">
        <f t="shared" si="273"/>
        <v>0</v>
      </c>
      <c r="AG216" s="420">
        <f t="shared" si="274"/>
        <v>0</v>
      </c>
      <c r="AH216" s="420">
        <f t="shared" si="275"/>
        <v>0</v>
      </c>
      <c r="AI216" s="1097">
        <f t="shared" si="276"/>
        <v>0</v>
      </c>
      <c r="AJ216" s="420">
        <f t="shared" si="277"/>
        <v>0</v>
      </c>
      <c r="AK216" s="518">
        <f t="shared" si="278"/>
        <v>0</v>
      </c>
      <c r="AL216" s="1106">
        <f>IF($P216="","N/A",(IF($P216=-1,INDEX('卡片raw data'!S:S,MATCH($D216,'卡片raw data'!$F:$F,)),0)+IF($P216=0,INDEX('卡片raw data'!V:V,MATCH($D216,'卡片raw data'!$F:$F,)),0)+IF($P216=1,INDEX('卡片raw data'!Y:Y,MATCH($D216,'卡片raw data'!$F:$F,)),0)+IF($P216=2,INDEX('卡片raw data'!AB:AB,MATCH($D216,'卡片raw data'!$F:$F,)),0)+IF($P216=3,INDEX('卡片raw data'!AE:AE,MATCH($D216,'卡片raw data'!$F:$F,)),0)+IF($P216=4,INDEX('卡片raw data'!AH:AH,MATCH($D216,'卡片raw data'!$F:$F,)),0)+IF($P216=5,INDEX('卡片raw data'!AK:AK,MATCH($D216,'卡片raw data'!$F:$F,)),0)+INDEX('卡片raw data'!S:S,MATCH($D216,'卡片raw data'!$F:$F,))*(IF($F216="UR",0.04,0.033))*(IF($F216="UR",INDEX(绊状态确认!$S:$S,MATCH($G216,绊状态确认!$B:$B,))/2-40)+IF($F216="SR",INDEX(绊状态确认!$R:$R,MATCH($G216,绊状态确认!$B:$B,))/4-15))+IF($F216="R",INDEX(绊状态确认!$Q:$Q,MATCH($G216,绊状态确认!$B:$B,))/6-40/6)))*(INDEX(绊状态确认!$H:$H,MATCH($G216,绊状态确认!$B:$B,))+INDEX(绊状态确认!J:J,MATCH($G216,绊状态确认!$B:$B,)))</f>
        <v>6388.8998927999992</v>
      </c>
      <c r="AM216" s="1106">
        <f>IF($P216="","N/A",(IF($P216=-1,INDEX('卡片raw data'!T:T,MATCH($D216,'卡片raw data'!$F:$F,)),0)+IF($P216=0,INDEX('卡片raw data'!W:W,MATCH($D216,'卡片raw data'!$F:$F,)),0)+IF($P216=1,INDEX('卡片raw data'!Z:Z,MATCH($D216,'卡片raw data'!$F:$F,)),0)+IF($P216=2,INDEX('卡片raw data'!AC:AC,MATCH($D216,'卡片raw data'!$F:$F,)),0)+IF($P216=3,INDEX('卡片raw data'!AF:AF,MATCH($D216,'卡片raw data'!$F:$F,)),0)+IF($P216=4,INDEX('卡片raw data'!AI:AI,MATCH($D216,'卡片raw data'!$F:$F,)),0)+IF($P216=5,INDEX('卡片raw data'!AL:AL,MATCH($D216,'卡片raw data'!$F:$F,)),0)+INDEX('卡片raw data'!T:T,MATCH($D216,'卡片raw data'!$F:$F,))*(IF($F216="UR",0.04,0.033))*(IF($F216="UR",INDEX(绊状态确认!$S:$S,MATCH($G216,绊状态确认!$B:$B,))/2-40)+IF($F216="SR",INDEX(绊状态确认!$R:$R,MATCH($G216,绊状态确认!$B:$B,))/4-15))+IF($F216="R",INDEX(绊状态确认!$Q:$Q,MATCH($G216,绊状态确认!$B:$B,))/6-40/6)))*(INDEX(绊状态确认!$H:$H,MATCH($G216,绊状态确认!$B:$B,))+INDEX(绊状态确认!K:K,MATCH($G216,绊状态确认!$B:$B,)))</f>
        <v>5588.4220055999995</v>
      </c>
      <c r="AN216" s="1106">
        <f>IF($P216="","N/A",(IF($P216=-1,INDEX('卡片raw data'!U:U,MATCH($D216,'卡片raw data'!$F:$F,)),0)+IF($P216=0,INDEX('卡片raw data'!X:X,MATCH($D216,'卡片raw data'!$F:$F,)),0)+IF($P216=1,INDEX('卡片raw data'!AA:AA,MATCH($D216,'卡片raw data'!$F:$F,)),0)+IF($P216=2,INDEX('卡片raw data'!AD:AD,MATCH($D216,'卡片raw data'!$F:$F,)),0)+IF($P216=3,INDEX('卡片raw data'!AG:AG,MATCH($D216,'卡片raw data'!$F:$F,)),0)+IF($P216=4,INDEX('卡片raw data'!AJ:AJ,MATCH($D216,'卡片raw data'!$F:$F,)),0)+IF($P216=5,INDEX('卡片raw data'!AM:AM,MATCH($D216,'卡片raw data'!$F:$F,)),0)+INDEX('卡片raw data'!U:U,MATCH($D216,'卡片raw data'!$F:$F,))*(IF($F216="UR",0.04,0.033))*(IF($F216="UR",INDEX(绊状态确认!$S:$S,MATCH($G216,绊状态确认!$B:$B,))/2-40)+IF($F216="SR",INDEX(绊状态确认!$R:$R,MATCH($G216,绊状态确认!$B:$B,))/4-15))+IF($F216="R",INDEX(绊状态确认!$Q:$Q,MATCH($G216,绊状态确认!$B:$B,))/6-40/6)))*(INDEX(绊状态确认!$H:$H,MATCH($G216,绊状态确认!$B:$B,))+INDEX(绊状态确认!L:L,MATCH($G216,绊状态确认!$B:$B,)))</f>
        <v>7987.5828671999989</v>
      </c>
      <c r="AO216" s="1107">
        <f t="shared" si="279"/>
        <v>1</v>
      </c>
      <c r="AP216" s="1131">
        <f>1+(INDEX(绊状态确认!$T:$T,MATCH($G216,绊状态确认!$B:$B,))+0.2)*$AO216</f>
        <v>1.3</v>
      </c>
      <c r="AQ216" s="1108">
        <f t="shared" si="280"/>
        <v>20020.862218599999</v>
      </c>
      <c r="AR216" s="1097">
        <f>(AM216*(1+$EX$9)+$EX$35)*(1+(INDEX(绊状态确认!$T:$T,MATCH($G216,绊状态确认!$B:$B,))+0.2)*AO216)*IF(J216=$FF$17,1+$FE$17,1)*IF(I216=$FF$14,1+$FE$14,1)</f>
        <v>10332.196037644</v>
      </c>
      <c r="AS216" s="1097">
        <f>(AN216*(1+$EX$10)+$EX$36)*(1+(INDEX(绊状态确认!$T:$T,MATCH($G216,绊状态确认!$B:$B,))+0.2)*AO216)*IF(J216=$FF$17,1+$FE$17,1)*IF(I216=$FF$14,1+$FE$14,1)</f>
        <v>15997.436386463998</v>
      </c>
      <c r="AT216" s="1093">
        <f>IF(AND(INDEX('卡片raw data'!AK:AK,MATCH($D216,'卡片raw data'!$F:$F,))&lt;INDEX('卡片raw data'!AM:AM,MATCH($D216,'卡片raw data'!$F:$F,)),INDEX('卡片raw data'!AL:AL,MATCH($D216,'卡片raw data'!$F:$F,))&lt;INDEX('卡片raw data'!AM:AM,MATCH($D216,'卡片raw data'!$F:$F,))),1,0)</f>
        <v>1</v>
      </c>
      <c r="AU216" s="1098">
        <f>MIN(AT216*0.15+AS216*0.00003+INDEX(绊状态确认!M:M,MATCH($G216,绊状态确认!$B:$B,)),1)</f>
        <v>0.65992309159391993</v>
      </c>
      <c r="AV216" s="1109">
        <f>(INDEX(绊状态确认!$N:$N,MATCH($G216,绊状态确认!$B:$B,))+1.5)*$EW$21</f>
        <v>2.6599999999999997</v>
      </c>
      <c r="AW216" s="1101">
        <f t="shared" si="281"/>
        <v>21788.236047662729</v>
      </c>
      <c r="AX216" s="1097">
        <f t="shared" si="282"/>
        <v>881.45217437350129</v>
      </c>
      <c r="AY216" s="1110">
        <f t="shared" si="283"/>
        <v>22669.688222036231</v>
      </c>
      <c r="AZ216" s="429">
        <f t="shared" si="284"/>
        <v>15058.354790959998</v>
      </c>
      <c r="BA216" s="431">
        <f t="shared" si="285"/>
        <v>18070.025749151999</v>
      </c>
      <c r="BB216" s="1097">
        <f>(AM216*(1+$FB$9)+$FB$35)*(1+(INDEX(绊状态确认!$T:$T,MATCH($G216,绊状态确认!$B:$B,))+0.2)*AO216)*IF(J216=$FF$17,1+$FE$17,1)*IF(I216=$FF$14,1+$FE$14,1)*(1+$FE$15)</f>
        <v>10332.196037644</v>
      </c>
      <c r="BC216" s="1097">
        <f>(AN216*(1+$FB$10)+$FB$36)*(1+(INDEX(绊状态确认!$T:$T,MATCH($G216,绊状态确认!$B:$B,))+0.2)*AO216)*IF(J216=$FF$17,1+$FE$17,1)*IF(I216=$FF$14,1+$FE$14,1)*(1+$FE$15)</f>
        <v>15997.436386463998</v>
      </c>
      <c r="BD216" s="1104">
        <f>MIN(AT216*0.15+BC216*0.00003+INDEX(绊状态确认!M:M,MATCH($G216,绊状态确认!$B:$B,)),1)</f>
        <v>0.65992309159391993</v>
      </c>
      <c r="BE216" s="432">
        <f>(INDEX(绊状态确认!$N:$N,MATCH($G216,绊状态确认!$B:$B,))+1.5)</f>
        <v>1.9</v>
      </c>
      <c r="BF216" s="1139">
        <f t="array" ref="BF216">SUMPRODUCT(IF(AZ216*AP216*$FI$16:$FI$23*$FA$22&gt;=$FI$24,$FI$24,AZ216*AP216*$FI$16:$FI$23*$FA$22),$FJ$16:$FJ$23)</f>
        <v>29951.067679219439</v>
      </c>
      <c r="BG216" s="1125">
        <f t="array" ref="BG216">SUMPRODUCT(IF(BE216*AZ216*AP216*$FI$16:$FI$23*$FA$22&gt;=$FI$24,$FI$24,BE216*AZ216*AP216*$FI$16:$FI$23*$FA$22),$FJ$16:$FJ$23)</f>
        <v>54822.194970334487</v>
      </c>
      <c r="BH216" s="1110">
        <f t="shared" si="286"/>
        <v>15454.699630866</v>
      </c>
      <c r="BI216" s="1111">
        <f>IF(O216="vo",$EW$26/$EW$24*0.05,0)+IF(O216="sk",-$EW$26/$EW$24*(0.05-INDEX(绊状态确认!W:W,MATCH($G216,绊状态确认!$B:$B,)))+0.05*$EW$28,0)+IF(O216="sp",0.05*$EW$32*$EW$30*(1-$EW$33)-(0.05-INDEX(绊状态确认!V:V,MATCH($G216,绊状态确认!$B:$B,)))*$EW$28,0)+IF(O216="gd",-(0.05-INDEX(绊状态确认!X:X,MATCH($G216,绊状态确认!$B:$B,)))*$EW$32*$EW$30*(1-$EW$33),0)</f>
        <v>-6253.6726349699375</v>
      </c>
      <c r="BJ216" s="1097">
        <f>IF(O216="vo",0.05*(1-$FI$26)*$FA$24,0)+IF(O216="sk",-(0.05-INDEX(绊状态确认!W:W,MATCH($G216,绊状态确认!$B:$B,)))*(1-$FI$26)*$FA$24+0.05*$FA$26,0)+IF(O216="sp",0.05*$FA$32*$FA$27*(1-$FA$33)/$FA$30+0.05*$FA$29/$FA$69*$FA$27*(1-$FA$33)-(0.05-INDEX(绊状态确认!V:V,MATCH($G216,绊状态确认!$B:$B,)))*$FA$26,0)+IF(O216="gd",-(0.05-INDEX(绊状态确认!X:X,MATCH($G216,绊状态确认!$B:$B,)))*$FA$32*$FA$27*(1-$FA$33)/$FA$30-(0.05-INDEX(绊状态确认!X:X,MATCH($G216,绊状态确认!$B:$B,)))*$FA$29/$FA$69*$FA$27*(1-$FA$33),0)</f>
        <v>20.459096812499922</v>
      </c>
      <c r="BK216" s="1110">
        <f>IF(O216="vo",$EW$26/$EW$24*0.05+$EW$26*(-HP($EW$62,$EW$65,$EW$64)+HP($EW$62,$EW$65,(1.05-INDEX(绊状态确认!U:U,MATCH($G216,绊状态确认!$B:$B,)))*$EW$64)),0)+IF(O216="sk",-$EW$26/$EW$24*(0.05-INDEX(绊状态确认!W:W,MATCH($G216,绊状态确认!$B:$B,)))+0.05*$EW$29,0)+IF(O216="sp",0.05*$EW$32*$EW$30*(1-$EW$33)-(0.05-INDEX(绊状态确认!V:V,MATCH($G216,绊状态确认!$B:$B,)))*$EW$29,0)+IF(O216="gd",-(0.05-INDEX(绊状态确认!X:X,MATCH($G216,绊状态确认!$B:$B,)))*$EW$32*$EW$30*(1-$EW$33)+$EW$26*(-HP($EW$62,$EW$65,$EW$64)+HP($EW$62,$EW$65,0.95*$EW$64)),0)</f>
        <v>-4253.6726349699375</v>
      </c>
      <c r="BL216" s="1111">
        <f t="shared" si="287"/>
        <v>-1083.3333333333333</v>
      </c>
      <c r="BM216" s="1110">
        <f t="shared" si="288"/>
        <v>-830.55555555555543</v>
      </c>
      <c r="BN216" s="1113">
        <f t="shared" si="289"/>
        <v>3</v>
      </c>
      <c r="BO216" s="1097">
        <f t="shared" si="290"/>
        <v>4507.7214871259994</v>
      </c>
      <c r="BP216" s="1100">
        <f t="shared" si="291"/>
        <v>221.34103209030098</v>
      </c>
      <c r="BQ216" s="1113" t="s">
        <v>145</v>
      </c>
      <c r="BR216" s="1124" t="s">
        <v>146</v>
      </c>
      <c r="BS216" s="1098">
        <f>IF($P216="","N/A",IF($P216=-1,INDEX('卡片raw data'!AX:AX,MATCH($D216,'卡片raw data'!$F:$F,)),0)+IF($L216="party卡",IF($P216=5,INDEX('卡片raw data'!BD:BD,MATCH($D216,'卡片raw data'!$F:$F,)),IF($P216&gt;=3,INDEX('卡片raw data'!BC:BC,MATCH($D216,'卡片raw data'!$F:$F,)),INDEX('卡片raw data'!BB:BB,MATCH($D216,'卡片raw data'!$F:$F,)))),IF(OR(AND($F216="UR",$P216=0),AND($F216="SR",$P216&gt;=0,$P216&lt;=2),AND($F216="R",$P216&gt;=0,$P216&lt;4)),INDEX('卡片raw data'!AZ:AZ,MATCH($D216,'卡片raw data'!$F:$F,)),0)+IF(OR(AND($F216="UR",$P216&gt;=1,$P216&lt;=4),AND($F216="SR",$P216&lt;=4,$P216&gt;=3),AND($F216="R",$P216=4)),INDEX('卡片raw data'!BA:BA,MATCH($D216,'卡片raw data'!$F:$F,)),0)+IF($P216=5,INDEX('卡片raw data'!BB:BB,MATCH($D216,'卡片raw data'!$F:$F,)),0)))</f>
        <v>0.05</v>
      </c>
      <c r="BT216" s="1101">
        <f t="shared" si="292"/>
        <v>3537.2976021542986</v>
      </c>
      <c r="BU216" s="1097">
        <f t="shared" si="293"/>
        <v>255.86405005115788</v>
      </c>
      <c r="BV216" s="1097">
        <f t="shared" si="294"/>
        <v>0</v>
      </c>
      <c r="BW216" s="1112">
        <f t="shared" si="295"/>
        <v>0</v>
      </c>
      <c r="BX216" s="1100">
        <f t="shared" si="296"/>
        <v>3537.2976021542986</v>
      </c>
      <c r="BY216" s="1110">
        <f t="shared" si="297"/>
        <v>0</v>
      </c>
      <c r="BZ216" s="1107" t="s">
        <v>569</v>
      </c>
      <c r="CA216" s="1124"/>
      <c r="CB216" s="1098">
        <f>IF($P216="","N/A",IF($P216=-1,INDEX('卡片raw data'!BE:BE,MATCH($D216,'卡片raw data'!$F:$F,)),0)+IF($L216="party卡",IF($P216=5,INDEX('卡片raw data'!BK:BK,MATCH($D216,'卡片raw data'!$F:$F,)),IF($P216&gt;=3,INDEX('卡片raw data'!BJ:BJ,MATCH($D216,'卡片raw data'!$F:$F,)),INDEX('卡片raw data'!BI:BI,MATCH($D216,'卡片raw data'!$F:$F,)))),IF(OR(AND($F216="UR",$P216=0),AND($F216="SR",$P216&gt;=0,$P216&lt;=2),AND($F216="R",$P216&gt;=0,$P216&lt;4)),INDEX('卡片raw data'!BG:BG,MATCH($D216,'卡片raw data'!$F:$F,)),0)+IF(OR(AND($F216="UR",$P216&gt;=1,$P216&lt;=4),AND($F216="SR",$P216&lt;=4,$P216&gt;=3),AND($F216="R",$P216=4)),INDEX('卡片raw data'!BH:BH,MATCH($D216,'卡片raw data'!$F:$F,)),0)+IF($P216=5,INDEX('卡片raw data'!BI:BI,MATCH($D216,'卡片raw data'!$F:$F,)),0)))</f>
        <v>0</v>
      </c>
      <c r="CC216" s="1101">
        <f t="shared" si="298"/>
        <v>0</v>
      </c>
      <c r="CD216" s="1097">
        <f>IF(BZ216="ap",CB216*(1-$FI$26)*$FB$5/$FB$11*(+IF(CA216="全员",$FA$24,0)+IF(CA216="同作战",$FA$24,0)+IF(CA216="仲间",$FA$24*2/3,0)+IF(CA216="同属性",$FA$24*$FA$37/3,0)+IF(CA216="同年级",$FA$24*$FA$40/3,0)+IF(CA216="同学校",$FA$24*$FA$43/3,0)+IF(CA216="同小队",$FA$24*$FA$46/3,0)+IF(CA216="同type",$FA$24*INDEX($FB$49:$FB$52,MATCH(X216,$FA$49:$FA$52,))/3,0)+IF(CA216="自身",#REF!/3,0)),0)+IF(BZ216="te",CB216*(1-$FI$27)*($FA$20-1)*$FB$7/$FB$13*(+IF(CA216="全员",$FA$19*$FA$24/(1+($FA$20-1)*$FA$19),0)+IF(CA216="同作战",$FA$19*$FA$24/(1+($FA$20-1)*$FA$19),0)+IF(CA216="仲间",$FA$19*$FA$24*2/3/(1+($FA$20-1)*$FA$19),0)+IF(CA216="同属性",$FA$19*$FA$24*$FA$37/3/(1+($FA$20-1)*$FA$19),0)+IF(CA216="同年级",$FA$19*$FA$24*$FA$40/3/(1+($FA$20-1)*$FA$19),0)+IF(CA216="同学校",$FA$19*$FA$24*$FA$43/3/(1+($FA$20-1)*$FA$19),0)+IF(CA216="同小队",$FA$19*$FA$24*$FA$46/3/(1+($FA$20-1)*$FA$19),0)+IF(CA216="同type",$FA$19*$FA$24*INDEX($FB$49:$FB$52,MATCH(X216,$FA$49:$FA$52,))/3/(1+($FA$20-1)*$FA$19),0)+IF(CA216="自身",$FA$19*#REF!/3/(1+(BH216-1)*$BD216),0)),0)</f>
        <v>0</v>
      </c>
      <c r="CE216" s="1097">
        <f t="shared" si="299"/>
        <v>0</v>
      </c>
      <c r="CF216" s="1112">
        <f t="shared" si="300"/>
        <v>0</v>
      </c>
      <c r="CG216" s="1100">
        <f t="shared" si="301"/>
        <v>0</v>
      </c>
      <c r="CH216" s="1110">
        <f t="shared" si="302"/>
        <v>0</v>
      </c>
      <c r="CI216" s="1113" t="s">
        <v>164</v>
      </c>
      <c r="CJ216" s="1114">
        <v>0.3</v>
      </c>
      <c r="CK216" s="1115" t="s">
        <v>545</v>
      </c>
      <c r="CL216" s="1115" t="s">
        <v>1940</v>
      </c>
      <c r="CM216" s="1119">
        <v>0.3</v>
      </c>
      <c r="CN216" s="1115"/>
      <c r="CO216" s="1092"/>
      <c r="CP216" s="1116">
        <f t="shared" si="303"/>
        <v>50.195161705204278</v>
      </c>
      <c r="CQ216" s="1116">
        <f t="shared" si="304"/>
        <v>70.473100421692777</v>
      </c>
      <c r="CR216" s="1116">
        <f t="shared" si="305"/>
        <v>50.195161705204278</v>
      </c>
      <c r="CS216" s="1118">
        <f t="shared" si="306"/>
        <v>0</v>
      </c>
      <c r="CT216" s="1109">
        <f t="shared" si="307"/>
        <v>0</v>
      </c>
      <c r="CU216" s="1101">
        <f t="shared" si="308"/>
        <v>55.214677875724711</v>
      </c>
      <c r="CV216" s="1108">
        <f t="shared" si="309"/>
        <v>70.473100421692777</v>
      </c>
      <c r="CW216" s="1097">
        <f t="shared" si="310"/>
        <v>55.214677875724711</v>
      </c>
      <c r="CX216" s="1097">
        <f t="shared" si="311"/>
        <v>55.214677875724711</v>
      </c>
      <c r="CY216" s="1110">
        <f t="shared" si="312"/>
        <v>55.214677875724711</v>
      </c>
      <c r="CZ216" s="437"/>
      <c r="DA216" s="438"/>
      <c r="DB216" s="439" t="s">
        <v>569</v>
      </c>
      <c r="DC216" s="439"/>
      <c r="DD216" s="443"/>
      <c r="DE216" s="411"/>
      <c r="DF216" s="411"/>
      <c r="DG216" s="1116">
        <f t="shared" si="313"/>
        <v>0</v>
      </c>
      <c r="DH216" s="1116">
        <f t="shared" si="314"/>
        <v>0</v>
      </c>
      <c r="DI216" s="1116">
        <f t="shared" si="315"/>
        <v>0</v>
      </c>
      <c r="DJ216" s="442">
        <f t="shared" si="316"/>
        <v>0</v>
      </c>
      <c r="DK216" s="1109">
        <f t="shared" si="317"/>
        <v>0</v>
      </c>
      <c r="DL216" s="1101">
        <f t="shared" si="318"/>
        <v>0</v>
      </c>
      <c r="DM216" s="1097">
        <f t="shared" si="319"/>
        <v>0</v>
      </c>
      <c r="DN216" s="1097">
        <f t="shared" si="320"/>
        <v>0</v>
      </c>
      <c r="DO216" s="1097">
        <f t="shared" si="321"/>
        <v>0</v>
      </c>
      <c r="DP216" s="1110">
        <f t="shared" si="322"/>
        <v>0</v>
      </c>
      <c r="DQ216" s="1113" t="s">
        <v>551</v>
      </c>
      <c r="DR216" s="1120">
        <f t="shared" si="323"/>
        <v>0.3</v>
      </c>
      <c r="DS216" s="1124">
        <v>10</v>
      </c>
      <c r="DT216" s="1093" t="s">
        <v>168</v>
      </c>
      <c r="DU216" s="1093" t="s">
        <v>560</v>
      </c>
      <c r="DV216" s="1098">
        <f>IF($P216="","N/A",IF(P216=-1,INDEX('卡片raw data'!AN:AN,MATCH(D216,'卡片raw data'!$F:$F,)),0)+IF(AND(L216&lt;&gt;"party卡",P216&lt;=2,P216&gt;=0),INDEX('卡片raw data'!AP:AP,MATCH(D216,'卡片raw data'!$F:$F,)),0)+IF(OR(AND(L216="party卡",P216&lt;=1),AND(P216&lt;=4,L216&lt;&gt;"party卡",P216&gt;=3)),INDEX('卡片raw data'!AQ:AQ,MATCH(D216,'卡片raw data'!$F:$F,)),0)+IF(OR(P216=5,AND(L216="party卡",P216&gt;=2)),INDEX('卡片raw data'!AR:AR,MATCH(D216,'卡片raw data'!$F:$F,)),0))</f>
        <v>7.0000000000000007E-2</v>
      </c>
      <c r="DW216" s="1098">
        <f t="shared" si="324"/>
        <v>0.3</v>
      </c>
      <c r="DX216" s="1098">
        <f t="shared" si="325"/>
        <v>0.3</v>
      </c>
      <c r="DY216" s="1098">
        <f t="shared" si="326"/>
        <v>7.0000000000000007E-2</v>
      </c>
      <c r="DZ216" s="1098">
        <f t="shared" si="327"/>
        <v>6.0550000000000007E-2</v>
      </c>
      <c r="EA216" s="1098">
        <f t="shared" si="328"/>
        <v>0</v>
      </c>
      <c r="EB216" s="1121">
        <f t="shared" si="329"/>
        <v>0</v>
      </c>
      <c r="EC216" s="1101">
        <f t="shared" si="330"/>
        <v>4194.8280930806259</v>
      </c>
      <c r="ED216" s="1097">
        <f t="shared" si="331"/>
        <v>0</v>
      </c>
      <c r="EE216" s="1110">
        <f t="shared" si="332"/>
        <v>4194.8280930806259</v>
      </c>
      <c r="EF216" s="1092" t="s">
        <v>711</v>
      </c>
      <c r="EG216" s="1120">
        <f t="shared" si="333"/>
        <v>0.3</v>
      </c>
      <c r="EH216" s="1124"/>
      <c r="EI216" s="1093"/>
      <c r="EJ216" s="1093"/>
      <c r="EK216" s="1097">
        <f>IF($P216="","N/A",IF(P216=-1,INDEX('卡片raw data'!AS:AS,MATCH(D216,'卡片raw data'!$F:$F,)),0)+IF(AND(L216&lt;&gt;"party卡",P216&lt;=2,P216&gt;=0),INDEX('卡片raw data'!AU:AU,MATCH(D216,'卡片raw data'!$F:$F,)),0)+IF(OR(AND(L216="party卡",P216&lt;=1),AND(P216&lt;=4,L216&lt;&gt;"party卡",P216&gt;=3)),INDEX('卡片raw data'!AV:AV,MATCH(D216,'卡片raw data'!$F:$F,)),0)+IF(OR(P216=5,AND(L216="party卡",P216&gt;=2)),INDEX('卡片raw data'!AW:AW,MATCH(D216,'卡片raw data'!$F:$F,)),0))</f>
        <v>0</v>
      </c>
      <c r="EL216" s="1098">
        <f t="shared" si="334"/>
        <v>0.3</v>
      </c>
      <c r="EM216" s="1098">
        <f t="shared" si="335"/>
        <v>0.3</v>
      </c>
      <c r="EN216" s="1125">
        <f t="shared" si="336"/>
        <v>0</v>
      </c>
      <c r="EO216" s="1125">
        <f t="shared" si="337"/>
        <v>0</v>
      </c>
      <c r="EP216" s="1098">
        <f t="shared" si="338"/>
        <v>0</v>
      </c>
      <c r="EQ216" s="1121">
        <f t="shared" si="339"/>
        <v>0</v>
      </c>
      <c r="ER216" s="1101">
        <f t="shared" si="340"/>
        <v>0</v>
      </c>
      <c r="ES216" s="1097">
        <f t="shared" si="341"/>
        <v>0</v>
      </c>
      <c r="ET216" s="1122">
        <f t="shared" si="342"/>
        <v>0</v>
      </c>
    </row>
    <row r="217" spans="2:150" ht="16.5" customHeight="1">
      <c r="B217" s="1123" t="str">
        <f>INDEX('卡片raw data'!B:B,MATCH($D217,'卡片raw data'!$F:$F,))</f>
        <v>蔬菜鸟</v>
      </c>
      <c r="C217" s="449" t="s">
        <v>66</v>
      </c>
      <c r="D217" s="408">
        <v>214</v>
      </c>
      <c r="E217" s="1090">
        <v>400033001</v>
      </c>
      <c r="F217" s="1090" t="str">
        <f>INDEX('卡片raw data'!C:C,MATCH($D217,'卡片raw data'!$F:$F,))</f>
        <v>UR</v>
      </c>
      <c r="G217" s="1094" t="s">
        <v>26</v>
      </c>
      <c r="H217" s="411">
        <f>IFERROR(INDEX(绊状态确认!C:C,MATCH($G217,绊状态确认!$B:$B,)),"")</f>
        <v>3</v>
      </c>
      <c r="I217" s="450" t="str">
        <f>IFERROR(INDEX(绊状态确认!D:D,MATCH($G217,绊状态确认!$B:$B,)),"")</f>
        <v>缪</v>
      </c>
      <c r="J217" s="450" t="str">
        <f>IFERROR(INDEX(绊状态确认!E:E,MATCH($G217,绊状态确认!$B:$B,)),"")</f>
        <v>2年级</v>
      </c>
      <c r="K217" s="451" t="str">
        <f>IFERROR(INDEX(绊状态确认!F:F,MATCH($G217,绊状态确认!$B:$B,)),"")</f>
        <v>Printemps</v>
      </c>
      <c r="L217" s="1094" t="str">
        <f>INDEX('卡片raw data'!E:E,MATCH($D217,'卡片raw data'!$F:$F,))</f>
        <v>活动卡</v>
      </c>
      <c r="M217" s="415">
        <v>43927</v>
      </c>
      <c r="N217" s="416">
        <v>13</v>
      </c>
      <c r="O217" s="1091" t="str">
        <f>INDEX('卡片raw data'!D:D,MATCH($D217,'卡片raw data'!$F:$F,))</f>
        <v>gd</v>
      </c>
      <c r="P217" s="417">
        <v>5</v>
      </c>
      <c r="Q217" s="1095">
        <f t="shared" si="258"/>
        <v>22328.223010489659</v>
      </c>
      <c r="R217" s="1096">
        <f t="shared" si="259"/>
        <v>0.25900000000000001</v>
      </c>
      <c r="S217" s="1097">
        <f t="shared" si="260"/>
        <v>13122.788076393128</v>
      </c>
      <c r="T217" s="1098">
        <f t="shared" si="261"/>
        <v>0.65600000000000003</v>
      </c>
      <c r="U217" s="1099">
        <f t="shared" si="262"/>
        <v>617.71046511289592</v>
      </c>
      <c r="V217" s="1100">
        <f t="shared" si="263"/>
        <v>74203.873298528677</v>
      </c>
      <c r="W217" s="1101">
        <f t="shared" si="264"/>
        <v>4507.7214871259994</v>
      </c>
      <c r="X217" s="1096">
        <f t="shared" si="265"/>
        <v>5.1999999999999998E-2</v>
      </c>
      <c r="Y217" s="1097">
        <f t="shared" si="266"/>
        <v>3644.523478490165</v>
      </c>
      <c r="Z217" s="1102">
        <f t="shared" si="267"/>
        <v>44.908913256479998</v>
      </c>
      <c r="AA217" s="1103">
        <f t="shared" si="268"/>
        <v>8152.2449656161643</v>
      </c>
      <c r="AB217" s="1101">
        <f t="shared" si="269"/>
        <v>4507.7214871259994</v>
      </c>
      <c r="AC217" s="1104">
        <f t="shared" si="270"/>
        <v>5.1999999999999998E-2</v>
      </c>
      <c r="AD217" s="1105">
        <f t="shared" si="271"/>
        <v>0</v>
      </c>
      <c r="AE217" s="1128">
        <f t="shared" si="272"/>
        <v>-6.25</v>
      </c>
      <c r="AF217" s="1130">
        <f t="shared" si="273"/>
        <v>7923.8012897638382</v>
      </c>
      <c r="AG217" s="420">
        <f t="shared" si="274"/>
        <v>88942.357744089619</v>
      </c>
      <c r="AH217" s="420">
        <f t="shared" si="275"/>
        <v>11.224708254482296</v>
      </c>
      <c r="AI217" s="1097">
        <f t="shared" si="276"/>
        <v>105154.39763972354</v>
      </c>
      <c r="AJ217" s="420">
        <f t="shared" si="277"/>
        <v>74203.873298528677</v>
      </c>
      <c r="AK217" s="518">
        <f t="shared" si="278"/>
        <v>30950.524341194861</v>
      </c>
      <c r="AL217" s="1106">
        <f>IF($P217="","N/A",(IF($P217=-1,INDEX('卡片raw data'!S:S,MATCH($D217,'卡片raw data'!$F:$F,)),0)+IF($P217=0,INDEX('卡片raw data'!V:V,MATCH($D217,'卡片raw data'!$F:$F,)),0)+IF($P217=1,INDEX('卡片raw data'!Y:Y,MATCH($D217,'卡片raw data'!$F:$F,)),0)+IF($P217=2,INDEX('卡片raw data'!AB:AB,MATCH($D217,'卡片raw data'!$F:$F,)),0)+IF($P217=3,INDEX('卡片raw data'!AE:AE,MATCH($D217,'卡片raw data'!$F:$F,)),0)+IF($P217=4,INDEX('卡片raw data'!AH:AH,MATCH($D217,'卡片raw data'!$F:$F,)),0)+IF($P217=5,INDEX('卡片raw data'!AK:AK,MATCH($D217,'卡片raw data'!$F:$F,)),0)+INDEX('卡片raw data'!S:S,MATCH($D217,'卡片raw data'!$F:$F,))*(IF($F217="UR",0.04,0.033))*(IF($F217="UR",INDEX(绊状态确认!$S:$S,MATCH($G217,绊状态确认!$B:$B,))/2-40)+IF($F217="SR",INDEX(绊状态确认!$R:$R,MATCH($G217,绊状态确认!$B:$B,))/4-15))+IF($F217="R",INDEX(绊状态确认!$Q:$Q,MATCH($G217,绊状态确认!$B:$B,))/6-40/6)))*(INDEX(绊状态确认!$H:$H,MATCH($G217,绊状态确认!$B:$B,))+INDEX(绊状态确认!J:J,MATCH($G217,绊状态确认!$B:$B,)))</f>
        <v>5849.0053439999992</v>
      </c>
      <c r="AM217" s="1106">
        <f>IF($P217="","N/A",(IF($P217=-1,INDEX('卡片raw data'!T:T,MATCH($D217,'卡片raw data'!$F:$F,)),0)+IF($P217=0,INDEX('卡片raw data'!W:W,MATCH($D217,'卡片raw data'!$F:$F,)),0)+IF($P217=1,INDEX('卡片raw data'!Z:Z,MATCH($D217,'卡片raw data'!$F:$F,)),0)+IF($P217=2,INDEX('卡片raw data'!AC:AC,MATCH($D217,'卡片raw data'!$F:$F,)),0)+IF($P217=3,INDEX('卡片raw data'!AF:AF,MATCH($D217,'卡片raw data'!$F:$F,)),0)+IF($P217=4,INDEX('卡片raw data'!AI:AI,MATCH($D217,'卡片raw data'!$F:$F,)),0)+IF($P217=5,INDEX('卡片raw data'!AL:AL,MATCH($D217,'卡片raw data'!$F:$F,)),0)+INDEX('卡片raw data'!T:T,MATCH($D217,'卡片raw data'!$F:$F,))*(IF($F217="UR",0.04,0.033))*(IF($F217="UR",INDEX(绊状态确认!$S:$S,MATCH($G217,绊状态确认!$B:$B,))/2-40)+IF($F217="SR",INDEX(绊状态确认!$R:$R,MATCH($G217,绊状态确认!$B:$B,))/4-15))+IF($F217="R",INDEX(绊状态确认!$Q:$Q,MATCH($G217,绊状态确认!$B:$B,))/6-40/6)))*(INDEX(绊状态确认!$H:$H,MATCH($G217,绊状态确认!$B:$B,))+INDEX(绊状态确认!K:K,MATCH($G217,绊状态确认!$B:$B,)))</f>
        <v>11964.564671999999</v>
      </c>
      <c r="AN217" s="1106">
        <f>IF($P217="","N/A",(IF($P217=-1,INDEX('卡片raw data'!U:U,MATCH($D217,'卡片raw data'!$F:$F,)),0)+IF($P217=0,INDEX('卡片raw data'!X:X,MATCH($D217,'卡片raw data'!$F:$F,)),0)+IF($P217=1,INDEX('卡片raw data'!AA:AA,MATCH($D217,'卡片raw data'!$F:$F,)),0)+IF($P217=2,INDEX('卡片raw data'!AD:AD,MATCH($D217,'卡片raw data'!$F:$F,)),0)+IF($P217=3,INDEX('卡片raw data'!AG:AG,MATCH($D217,'卡片raw data'!$F:$F,)),0)+IF($P217=4,INDEX('卡片raw data'!AJ:AJ,MATCH($D217,'卡片raw data'!$F:$F,)),0)+IF($P217=5,INDEX('卡片raw data'!AM:AM,MATCH($D217,'卡片raw data'!$F:$F,)),0)+INDEX('卡片raw data'!U:U,MATCH($D217,'卡片raw data'!$F:$F,))*(IF($F217="UR",0.04,0.033))*(IF($F217="UR",INDEX(绊状态确认!$S:$S,MATCH($G217,绊状态确认!$B:$B,))/2-40)+IF($F217="SR",INDEX(绊状态确认!$R:$R,MATCH($G217,绊状态确认!$B:$B,))/4-15))+IF($F217="R",INDEX(绊状态确认!$Q:$Q,MATCH($G217,绊状态确认!$B:$B,))/6-40/6)))*(INDEX(绊状态确认!$H:$H,MATCH($G217,绊状态确认!$B:$B,))+INDEX(绊状态确认!L:L,MATCH($G217,绊状态确认!$B:$B,)))</f>
        <v>8773.5534719999978</v>
      </c>
      <c r="AO217" s="1107">
        <f t="shared" si="279"/>
        <v>1</v>
      </c>
      <c r="AP217" s="1131">
        <f>1+(INDEX(绊状态确认!$T:$T,MATCH($G217,绊状态确认!$B:$B,))+0.2)*$AO217</f>
        <v>1.3</v>
      </c>
      <c r="AQ217" s="1108">
        <f t="shared" si="280"/>
        <v>18603.639027999998</v>
      </c>
      <c r="AR217" s="1097">
        <f>(AM217*(1+$EX$9)+$EX$35)*(1+(INDEX(绊状态确认!$T:$T,MATCH($G217,绊状态确认!$B:$B,))+0.2)*AO217)*IF(J217=$FF$17,1+$FE$17,1)*IF(I217=$FF$14,1+$FE$14,1)*(1+$FE$15)</f>
        <v>19035.630777279999</v>
      </c>
      <c r="AS217" s="1097">
        <f>(AN217*(1+$EX$10)+$EX$36)*(1+(INDEX(绊状态确认!$T:$T,MATCH($G217,绊状态确认!$B:$B,))+0.2)*AO217)*IF(J217=$FF$17,1+$FE$17,1)*IF(I217=$FF$14,1+$FE$14,1)*(1+$FE$15)</f>
        <v>17172.462440639996</v>
      </c>
      <c r="AT217" s="1093">
        <f>IF(AND(INDEX('卡片raw data'!AK:AK,MATCH($D217,'卡片raw data'!$F:$F,))&lt;INDEX('卡片raw data'!AM:AM,MATCH($D217,'卡片raw data'!$F:$F,)),INDEX('卡片raw data'!AL:AL,MATCH($D217,'卡片raw data'!$F:$F,))&lt;INDEX('卡片raw data'!AM:AM,MATCH($D217,'卡片raw data'!$F:$F,))),1,0)</f>
        <v>0</v>
      </c>
      <c r="AU217" s="1098">
        <f>MIN(AT217*0.15+AS217*0.00003+INDEX(绊状态确认!M:M,MATCH($G217,绊状态确认!$B:$B,)),1)</f>
        <v>0.54517387321919997</v>
      </c>
      <c r="AV217" s="1109">
        <f>(INDEX(绊状态确认!$N:$N,MATCH($G217,绊状态确认!$B:$B,))+1.5)*$EW$21</f>
        <v>2.6599999999999997</v>
      </c>
      <c r="AW217" s="1101">
        <f t="shared" si="281"/>
        <v>18405.501523363659</v>
      </c>
      <c r="AX217" s="1097">
        <f t="shared" si="282"/>
        <v>1655.5277846522665</v>
      </c>
      <c r="AY217" s="1110">
        <f t="shared" si="283"/>
        <v>20061.029308015924</v>
      </c>
      <c r="AZ217" s="429">
        <f t="shared" si="284"/>
        <v>14005.560420799999</v>
      </c>
      <c r="BA217" s="431">
        <f t="shared" si="285"/>
        <v>16806.672504959999</v>
      </c>
      <c r="BB217" s="1097">
        <f>(AM217*(1+$FB$9)+$FB$35)*(1+(INDEX(绊状态确认!$T:$T,MATCH($G217,绊状态确认!$B:$B,))+0.2)*AO217)*IF(J217=$FF$17,1+$FE$17,1)*IF(I217=$FF$14,1+$FE$14,1)*(1+$FE$15)</f>
        <v>19035.630777279999</v>
      </c>
      <c r="BC217" s="1097">
        <f>(AN217*(1+$FB$10)+$FB$36)*(1+(INDEX(绊状态确认!$T:$T,MATCH($G217,绊状态确认!$B:$B,))+0.2)*AO217)*IF(J217=$FF$17,1+$FE$17,1)*IF(I217=$FF$14,1+$FE$14,1)*(1+$FE$15)</f>
        <v>17172.462440639996</v>
      </c>
      <c r="BD217" s="1104">
        <f>MIN(AT217*0.15+BC217*0.00003+INDEX(绊状态确认!M:M,MATCH($G217,绊状态确认!$B:$B,)),1)</f>
        <v>0.54517387321919997</v>
      </c>
      <c r="BE217" s="432">
        <f>(INDEX(绊状态确认!$N:$N,MATCH($G217,绊状态确认!$B:$B,))+1.5)</f>
        <v>1.9</v>
      </c>
      <c r="BF217" s="1139">
        <f t="array" ref="BF217">SUMPRODUCT(IF(AZ217*AP217*$FI$16:$FI$23*$FA$22&gt;=$FI$24,$FI$24,AZ217*AP217*$FI$16:$FI$23*$FA$22),$FJ$16:$FJ$23)</f>
        <v>27857.059676971199</v>
      </c>
      <c r="BG217" s="1125">
        <f t="array" ref="BG217">SUMPRODUCT(IF(BE217*AZ217*AP217*$FI$16:$FI$23*$FA$22&gt;=$FI$24,$FI$24,BE217*AZ217*AP217*$FI$16:$FI$23*$FA$22),$FJ$16:$FJ$23)</f>
        <v>52128.731717676157</v>
      </c>
      <c r="BH217" s="1110">
        <f t="shared" si="286"/>
        <v>13696.447044302828</v>
      </c>
      <c r="BI217" s="1111">
        <f>IF(O217="vo",$EW$26/$EW$24*0.05,0)+IF(O217="sk",-$EW$26/$EW$24*(0.05-INDEX(绊状态确认!W:W,MATCH($G217,绊状态确认!$B:$B,)))+0.05*$EW$28,0)+IF(O217="sp",0.05*$EW$32*$EW$30*(1-$EW$33)-(0.05-INDEX(绊状态确认!V:V,MATCH($G217,绊状态确认!$B:$B,)))*$EW$28,0)+IF(O217="gd",-(0.05-INDEX(绊状态确认!X:X,MATCH($G217,绊状态确认!$B:$B,)))*$EW$32*$EW$30*(1-$EW$33),0)</f>
        <v>-585.00000000000011</v>
      </c>
      <c r="BJ217" s="1097">
        <f>IF(O217="vo",0.05*(1-$FI$26)*$FA$24,0)+IF(O217="sk",-(0.05-INDEX(绊状态确认!W:W,MATCH($G217,绊状态确认!$B:$B,)))*(1-$FI$26)*$FA$24+0.05*$FA$26,0)+IF(O217="sp",0.05*$FA$32*$FA$27*(1-$FA$33)/$FA$30+0.05*$FA$29/$FA$69*$FA$27*(1-$FA$33)-(0.05-INDEX(绊状态确认!V:V,MATCH($G217,绊状态确认!$B:$B,)))*$FA$26,0)+IF(O217="gd",-(0.05-INDEX(绊状态确认!X:X,MATCH($G217,绊状态确认!$B:$B,)))*$FA$32*$FA$27*(1-$FA$33)/$FA$30-(0.05-INDEX(绊状态确认!X:X,MATCH($G217,绊状态确认!$B:$B,)))*$FA$29/$FA$69*$FA$27*(1-$FA$33),0)</f>
        <v>-795.00000000000011</v>
      </c>
      <c r="BK217" s="1110">
        <f>IF(O217="vo",$EW$26/$EW$24*0.05+$EW$26*(-HP($EW$62,$EW$65,$EW$64)+HP($EW$62,$EW$65,(1.05-INDEX(绊状态确认!U:U,MATCH($G217,绊状态确认!$B:$B,)))*$EW$64)),0)+IF(O217="sk",-$EW$26/$EW$24*(0.05-INDEX(绊状态确认!W:W,MATCH($G217,绊状态确认!$B:$B,)))+0.05*$EW$29,0)+IF(O217="sp",0.05*$EW$32*$EW$30*(1-$EW$33)-(0.05-INDEX(绊状态确认!V:V,MATCH($G217,绊状态确认!$B:$B,)))*$EW$29,0)+IF(O217="gd",-(0.05-INDEX(绊状态确认!X:X,MATCH($G217,绊状态确认!$B:$B,)))*$EW$32*$EW$30*(1-$EW$33)+$EW$26*(-HP($EW$62,$EW$65,$EW$64)+HP($EW$62,$EW$65,0.95*$EW$64)),0)</f>
        <v>1009.5947725176144</v>
      </c>
      <c r="BL217" s="1111">
        <f t="shared" si="287"/>
        <v>0</v>
      </c>
      <c r="BM217" s="1110">
        <f t="shared" si="288"/>
        <v>0</v>
      </c>
      <c r="BN217" s="1113">
        <f t="shared" si="289"/>
        <v>3</v>
      </c>
      <c r="BO217" s="1097">
        <f t="shared" si="290"/>
        <v>4507.7214871259994</v>
      </c>
      <c r="BP217" s="1100">
        <f t="shared" si="291"/>
        <v>221.34103209030098</v>
      </c>
      <c r="BQ217" s="1113" t="s">
        <v>144</v>
      </c>
      <c r="BR217" s="1124" t="s">
        <v>148</v>
      </c>
      <c r="BS217" s="1098">
        <f>IF($P217="","N/A",IF($P217=-1,INDEX('卡片raw data'!AX:AX,MATCH($D217,'卡片raw data'!$F:$F,)),0)+IF($L217="party卡",IF($P217=5,INDEX('卡片raw data'!BD:BD,MATCH($D217,'卡片raw data'!$F:$F,)),IF($P217&gt;=3,INDEX('卡片raw data'!BC:BC,MATCH($D217,'卡片raw data'!$F:$F,)),INDEX('卡片raw data'!BB:BB,MATCH($D217,'卡片raw data'!$F:$F,)))),IF(OR(AND($F217="UR",$P217=0),AND($F217="SR",$P217&gt;=0,$P217&lt;=2),AND($F217="R",$P217&gt;=0,$P217&lt;4)),INDEX('卡片raw data'!AZ:AZ,MATCH($D217,'卡片raw data'!$F:$F,)),0)+IF(OR(AND($F217="UR",$P217&gt;=1,$P217&lt;=4),AND($F217="SR",$P217&lt;=4,$P217&gt;=3),AND($F217="R",$P217=4)),INDEX('卡片raw data'!BA:BA,MATCH($D217,'卡片raw data'!$F:$F,)),0)+IF($P217=5,INDEX('卡片raw data'!BB:BB,MATCH($D217,'卡片raw data'!$F:$F,)),0)))</f>
        <v>5.1999999999999998E-2</v>
      </c>
      <c r="BT217" s="1101">
        <f t="shared" si="292"/>
        <v>0</v>
      </c>
      <c r="BU217" s="1097">
        <f t="shared" si="293"/>
        <v>0</v>
      </c>
      <c r="BV217" s="1097">
        <f t="shared" si="294"/>
        <v>0</v>
      </c>
      <c r="BW217" s="1112">
        <f t="shared" si="295"/>
        <v>2.4347142857142861</v>
      </c>
      <c r="BX217" s="1100">
        <f t="shared" si="296"/>
        <v>190.49664124538464</v>
      </c>
      <c r="BY217" s="1110">
        <f t="shared" si="297"/>
        <v>190.49664124538464</v>
      </c>
      <c r="BZ217" s="1107" t="s">
        <v>569</v>
      </c>
      <c r="CA217" s="1124"/>
      <c r="CB217" s="1098">
        <f>IF($P217="","N/A",IF($P217=-1,INDEX('卡片raw data'!BE:BE,MATCH($D217,'卡片raw data'!$F:$F,)),0)+IF($L217="party卡",IF($P217=5,INDEX('卡片raw data'!BK:BK,MATCH($D217,'卡片raw data'!$F:$F,)),IF($P217&gt;=3,INDEX('卡片raw data'!BJ:BJ,MATCH($D217,'卡片raw data'!$F:$F,)),INDEX('卡片raw data'!BI:BI,MATCH($D217,'卡片raw data'!$F:$F,)))),IF(OR(AND($F217="UR",$P217=0),AND($F217="SR",$P217&gt;=0,$P217&lt;=2),AND($F217="R",$P217&gt;=0,$P217&lt;4)),INDEX('卡片raw data'!BG:BG,MATCH($D217,'卡片raw data'!$F:$F,)),0)+IF(OR(AND($F217="UR",$P217&gt;=1,$P217&lt;=4),AND($F217="SR",$P217&lt;=4,$P217&gt;=3),AND($F217="R",$P217=4)),INDEX('卡片raw data'!BH:BH,MATCH($D217,'卡片raw data'!$F:$F,)),0)+IF($P217=5,INDEX('卡片raw data'!BI:BI,MATCH($D217,'卡片raw data'!$F:$F,)),0)))</f>
        <v>0</v>
      </c>
      <c r="CC217" s="1101">
        <f t="shared" si="298"/>
        <v>0</v>
      </c>
      <c r="CD217" s="1097">
        <f>IF(BZ217="ap",CB217*(1-$FI$26)*$FB$5/$FB$11*(+IF(CA217="全员",$FA$24,0)+IF(CA217="同作战",$FA$24,0)+IF(CA217="仲间",$FA$24*2/3,0)+IF(CA217="同属性",$FA$24*$FA$37/3,0)+IF(CA217="同年级",$FA$24*$FA$40/3,0)+IF(CA217="同学校",$FA$24*$FA$43/3,0)+IF(CA217="同小队",$FA$24*$FA$46/3,0)+IF(CA217="同type",$FA$24*INDEX($FB$49:$FB$52,MATCH(X217,$FA$49:$FA$52,))/3,0)+IF(CA217="自身",#REF!/3,0)),0)+IF(BZ217="te",CB217*(1-$FI$27)*($FA$20-1)*$FB$7/$FB$13*(+IF(CA217="全员",$FA$19*$FA$24/(1+($FA$20-1)*$FA$19),0)+IF(CA217="同作战",$FA$19*$FA$24/(1+($FA$20-1)*$FA$19),0)+IF(CA217="仲间",$FA$19*$FA$24*2/3/(1+($FA$20-1)*$FA$19),0)+IF(CA217="同属性",$FA$19*$FA$24*$FA$37/3/(1+($FA$20-1)*$FA$19),0)+IF(CA217="同年级",$FA$19*$FA$24*$FA$40/3/(1+($FA$20-1)*$FA$19),0)+IF(CA217="同学校",$FA$19*$FA$24*$FA$43/3/(1+($FA$20-1)*$FA$19),0)+IF(CA217="同小队",$FA$19*$FA$24*$FA$46/3/(1+($FA$20-1)*$FA$19),0)+IF(CA217="同type",$FA$19*$FA$24*INDEX($FB$49:$FB$52,MATCH(X217,$FA$49:$FA$52,))/3/(1+($FA$20-1)*$FA$19),0)+IF(CA217="自身",$FA$19*#REF!/3/(1+(BH217-1)*$BD217),0)),0)</f>
        <v>0</v>
      </c>
      <c r="CE217" s="1097">
        <f t="shared" si="299"/>
        <v>0</v>
      </c>
      <c r="CF217" s="1112">
        <f t="shared" si="300"/>
        <v>0</v>
      </c>
      <c r="CG217" s="1100">
        <f t="shared" si="301"/>
        <v>0</v>
      </c>
      <c r="CH217" s="1110">
        <f t="shared" si="302"/>
        <v>0</v>
      </c>
      <c r="CI217" s="1113" t="s">
        <v>164</v>
      </c>
      <c r="CJ217" s="1114">
        <v>0.3</v>
      </c>
      <c r="CK217" s="1115" t="s">
        <v>635</v>
      </c>
      <c r="CL217" s="1115" t="s">
        <v>1941</v>
      </c>
      <c r="CM217" s="1119">
        <v>0.2</v>
      </c>
      <c r="CN217" s="1115"/>
      <c r="CO217" s="1092"/>
      <c r="CP217" s="1116">
        <f t="shared" si="303"/>
        <v>22.078880280822851</v>
      </c>
      <c r="CQ217" s="1116">
        <f t="shared" si="304"/>
        <v>34.344924881279994</v>
      </c>
      <c r="CR217" s="1116">
        <f t="shared" si="305"/>
        <v>22.078880280822851</v>
      </c>
      <c r="CS217" s="1118">
        <f t="shared" si="306"/>
        <v>0</v>
      </c>
      <c r="CT217" s="1109">
        <f t="shared" si="307"/>
        <v>0</v>
      </c>
      <c r="CU217" s="1101">
        <f t="shared" si="308"/>
        <v>0</v>
      </c>
      <c r="CV217" s="1108">
        <f t="shared" si="309"/>
        <v>0</v>
      </c>
      <c r="CW217" s="1097">
        <f t="shared" si="310"/>
        <v>0</v>
      </c>
      <c r="CX217" s="1097">
        <f t="shared" si="311"/>
        <v>0</v>
      </c>
      <c r="CY217" s="1110">
        <f t="shared" si="312"/>
        <v>1798.4990525925134</v>
      </c>
      <c r="CZ217" s="437"/>
      <c r="DA217" s="438"/>
      <c r="DB217" s="439" t="s">
        <v>569</v>
      </c>
      <c r="DC217" s="439"/>
      <c r="DD217" s="443"/>
      <c r="DE217" s="411"/>
      <c r="DF217" s="411"/>
      <c r="DG217" s="1116">
        <f t="shared" si="313"/>
        <v>0</v>
      </c>
      <c r="DH217" s="1116">
        <f t="shared" si="314"/>
        <v>0</v>
      </c>
      <c r="DI217" s="1116">
        <f t="shared" si="315"/>
        <v>0</v>
      </c>
      <c r="DJ217" s="442">
        <f t="shared" si="316"/>
        <v>0</v>
      </c>
      <c r="DK217" s="1109">
        <f t="shared" si="317"/>
        <v>0</v>
      </c>
      <c r="DL217" s="1101">
        <f t="shared" si="318"/>
        <v>0</v>
      </c>
      <c r="DM217" s="1097">
        <f t="shared" si="319"/>
        <v>0</v>
      </c>
      <c r="DN217" s="1097">
        <f t="shared" si="320"/>
        <v>0</v>
      </c>
      <c r="DO217" s="1097">
        <f t="shared" si="321"/>
        <v>0</v>
      </c>
      <c r="DP217" s="1110">
        <f t="shared" si="322"/>
        <v>0</v>
      </c>
      <c r="DQ217" s="1113" t="s">
        <v>636</v>
      </c>
      <c r="DR217" s="1120">
        <f t="shared" si="323"/>
        <v>0.33</v>
      </c>
      <c r="DS217" s="1124"/>
      <c r="DT217" s="1093" t="s">
        <v>134</v>
      </c>
      <c r="DU217" s="1093"/>
      <c r="DV217" s="1098">
        <f>IF($P217="","N/A",IF(P217=-1,INDEX('卡片raw data'!AN:AN,MATCH(D217,'卡片raw data'!$F:$F,)),0)+IF(AND(L217&lt;&gt;"party卡",P217&lt;=2,P217&gt;=0),INDEX('卡片raw data'!AP:AP,MATCH(D217,'卡片raw data'!$F:$F,)),0)+IF(OR(AND(L217="party卡",P217&lt;=1),AND(P217&lt;=4,L217&lt;&gt;"party卡",P217&gt;=3)),INDEX('卡片raw data'!AQ:AQ,MATCH(D217,'卡片raw data'!$F:$F,)),0)+IF(OR(P217=5,AND(L217="party卡",P217&gt;=2)),INDEX('卡片raw data'!AR:AR,MATCH(D217,'卡片raw data'!$F:$F,)),0))</f>
        <v>0.28999999999999998</v>
      </c>
      <c r="DW217" s="1098">
        <f t="shared" si="324"/>
        <v>0.33</v>
      </c>
      <c r="DX217" s="1098">
        <f t="shared" si="325"/>
        <v>0.33</v>
      </c>
      <c r="DY217" s="1125">
        <f t="shared" si="326"/>
        <v>547.80155185641593</v>
      </c>
      <c r="DZ217" s="1125">
        <f t="shared" si="327"/>
        <v>473.84834235579979</v>
      </c>
      <c r="EA217" s="1098">
        <f t="shared" si="328"/>
        <v>0</v>
      </c>
      <c r="EB217" s="1121">
        <f t="shared" si="329"/>
        <v>0</v>
      </c>
      <c r="EC217" s="1101">
        <f t="shared" si="330"/>
        <v>0</v>
      </c>
      <c r="ED217" s="1097">
        <f t="shared" si="331"/>
        <v>0</v>
      </c>
      <c r="EE217" s="1110">
        <f t="shared" si="332"/>
        <v>48435.03108962375</v>
      </c>
      <c r="EF217" s="1092" t="s">
        <v>711</v>
      </c>
      <c r="EG217" s="1120">
        <f t="shared" si="333"/>
        <v>0.33</v>
      </c>
      <c r="EH217" s="1124"/>
      <c r="EI217" s="1093"/>
      <c r="EJ217" s="1093"/>
      <c r="EK217" s="1097">
        <f>IF($P217="","N/A",IF(P217=-1,INDEX('卡片raw data'!AS:AS,MATCH(D217,'卡片raw data'!$F:$F,)),0)+IF(AND(L217&lt;&gt;"party卡",P217&lt;=2,P217&gt;=0),INDEX('卡片raw data'!AU:AU,MATCH(D217,'卡片raw data'!$F:$F,)),0)+IF(OR(AND(L217="party卡",P217&lt;=1),AND(P217&lt;=4,L217&lt;&gt;"party卡",P217&gt;=3)),INDEX('卡片raw data'!AV:AV,MATCH(D217,'卡片raw data'!$F:$F,)),0)+IF(OR(P217=5,AND(L217="party卡",P217&gt;=2)),INDEX('卡片raw data'!AW:AW,MATCH(D217,'卡片raw data'!$F:$F,)),0))</f>
        <v>0</v>
      </c>
      <c r="EL217" s="1098">
        <f t="shared" si="334"/>
        <v>0.33</v>
      </c>
      <c r="EM217" s="1098">
        <f t="shared" si="335"/>
        <v>0.33</v>
      </c>
      <c r="EN217" s="1125">
        <f t="shared" si="336"/>
        <v>0</v>
      </c>
      <c r="EO217" s="1125">
        <f t="shared" si="337"/>
        <v>0</v>
      </c>
      <c r="EP217" s="1098">
        <f t="shared" si="338"/>
        <v>0</v>
      </c>
      <c r="EQ217" s="1121">
        <f t="shared" si="339"/>
        <v>0</v>
      </c>
      <c r="ER217" s="1101">
        <f t="shared" si="340"/>
        <v>0</v>
      </c>
      <c r="ES217" s="1097">
        <f t="shared" si="341"/>
        <v>0</v>
      </c>
      <c r="ET217" s="1122">
        <f t="shared" si="342"/>
        <v>0</v>
      </c>
    </row>
    <row r="218" spans="2:150" ht="16.5" customHeight="1">
      <c r="B218" s="1123" t="str">
        <f>INDEX('卡片raw data'!B:B,MATCH($D218,'卡片raw data'!$F:$F,))</f>
        <v>蔬菜璃</v>
      </c>
      <c r="C218" s="449" t="s">
        <v>69</v>
      </c>
      <c r="D218" s="408">
        <v>215</v>
      </c>
      <c r="E218" s="1090">
        <v>302093002</v>
      </c>
      <c r="F218" s="1090" t="str">
        <f>INDEX('卡片raw data'!C:C,MATCH($D218,'卡片raw data'!$F:$F,))</f>
        <v>UR</v>
      </c>
      <c r="G218" s="1094" t="s">
        <v>45</v>
      </c>
      <c r="H218" s="411">
        <f>IFERROR(INDEX(绊状态确认!C:C,MATCH($G218,绊状态确认!$B:$B,)),"")</f>
        <v>209</v>
      </c>
      <c r="I218" s="450" t="str">
        <f>IFERROR(INDEX(绊状态确认!D:D,MATCH($G218,绊状态确认!$B:$B,)),"")</f>
        <v>虹</v>
      </c>
      <c r="J218" s="450" t="str">
        <f>IFERROR(INDEX(绊状态确认!E:E,MATCH($G218,绊状态确认!$B:$B,)),"")</f>
        <v>1年级</v>
      </c>
      <c r="K218" s="451" t="str">
        <f>IFERROR(INDEX(绊状态确认!F:F,MATCH($G218,绊状态确认!$B:$B,)),"")</f>
        <v>QU4RTZ</v>
      </c>
      <c r="L218" s="1094" t="str">
        <f>INDEX('卡片raw data'!E:E,MATCH($D218,'卡片raw data'!$F:$F,))</f>
        <v>卡池卡</v>
      </c>
      <c r="M218" s="415">
        <v>43927</v>
      </c>
      <c r="N218" s="416">
        <v>13</v>
      </c>
      <c r="O218" s="1091" t="str">
        <f>INDEX('卡片raw data'!D:D,MATCH($D218,'卡片raw data'!$F:$F,))</f>
        <v>sk</v>
      </c>
      <c r="P218" s="417">
        <v>5</v>
      </c>
      <c r="Q218" s="1095">
        <f t="shared" si="258"/>
        <v>58041.38268395701</v>
      </c>
      <c r="R218" s="1096">
        <f t="shared" si="259"/>
        <v>0.67400000000000004</v>
      </c>
      <c r="S218" s="1097">
        <f t="shared" si="260"/>
        <v>20795.833033137926</v>
      </c>
      <c r="T218" s="1098">
        <f t="shared" si="261"/>
        <v>1.0389999999999999</v>
      </c>
      <c r="U218" s="1099">
        <f t="shared" si="262"/>
        <v>15.964001324142854</v>
      </c>
      <c r="V218" s="1100">
        <f t="shared" si="263"/>
        <v>61325.34856855993</v>
      </c>
      <c r="W218" s="1101">
        <f t="shared" si="264"/>
        <v>4507.7214871259994</v>
      </c>
      <c r="X218" s="1096">
        <f t="shared" si="265"/>
        <v>5.1999999999999998E-2</v>
      </c>
      <c r="Y218" s="1097">
        <f t="shared" si="266"/>
        <v>1283.9658846029251</v>
      </c>
      <c r="Z218" s="1102">
        <f t="shared" si="267"/>
        <v>15.964001324142854</v>
      </c>
      <c r="AA218" s="1103">
        <f t="shared" si="268"/>
        <v>5791.6873717289245</v>
      </c>
      <c r="AB218" s="1101">
        <f t="shared" si="269"/>
        <v>13166.303176980524</v>
      </c>
      <c r="AC218" s="1104">
        <f t="shared" si="270"/>
        <v>0.153</v>
      </c>
      <c r="AD218" s="1105">
        <f t="shared" si="271"/>
        <v>2.1769318181818181E-2</v>
      </c>
      <c r="AE218" s="1128">
        <f t="shared" si="272"/>
        <v>11.953757704745847</v>
      </c>
      <c r="AF218" s="1130">
        <f t="shared" si="273"/>
        <v>0</v>
      </c>
      <c r="AG218" s="420">
        <f t="shared" si="274"/>
        <v>0</v>
      </c>
      <c r="AH218" s="420">
        <f t="shared" si="275"/>
        <v>0</v>
      </c>
      <c r="AI218" s="1097">
        <f t="shared" si="276"/>
        <v>0</v>
      </c>
      <c r="AJ218" s="420">
        <f t="shared" si="277"/>
        <v>0</v>
      </c>
      <c r="AK218" s="518">
        <f t="shared" si="278"/>
        <v>0</v>
      </c>
      <c r="AL218" s="1106">
        <f>IF($P218="","N/A",(IF($P218=-1,INDEX('卡片raw data'!S:S,MATCH($D218,'卡片raw data'!$F:$F,)),0)+IF($P218=0,INDEX('卡片raw data'!V:V,MATCH($D218,'卡片raw data'!$F:$F,)),0)+IF($P218=1,INDEX('卡片raw data'!Y:Y,MATCH($D218,'卡片raw data'!$F:$F,)),0)+IF($P218=2,INDEX('卡片raw data'!AB:AB,MATCH($D218,'卡片raw data'!$F:$F,)),0)+IF($P218=3,INDEX('卡片raw data'!AE:AE,MATCH($D218,'卡片raw data'!$F:$F,)),0)+IF($P218=4,INDEX('卡片raw data'!AH:AH,MATCH($D218,'卡片raw data'!$F:$F,)),0)+IF($P218=5,INDEX('卡片raw data'!AK:AK,MATCH($D218,'卡片raw data'!$F:$F,)),0)+INDEX('卡片raw data'!S:S,MATCH($D218,'卡片raw data'!$F:$F,))*(IF($F218="UR",0.04,0.033))*(IF($F218="UR",INDEX(绊状态确认!$S:$S,MATCH($G218,绊状态确认!$B:$B,))/2-40)+IF($F218="SR",INDEX(绊状态确认!$R:$R,MATCH($G218,绊状态确认!$B:$B,))/4-15))+IF($F218="R",INDEX(绊状态确认!$Q:$Q,MATCH($G218,绊状态确认!$B:$B,))/6-40/6)))*(INDEX(绊状态确认!$H:$H,MATCH($G218,绊状态确认!$B:$B,))+INDEX(绊状态确认!J:J,MATCH($G218,绊状态确认!$B:$B,)))</f>
        <v>10210.326719999997</v>
      </c>
      <c r="AM218" s="1106">
        <f>IF($P218="","N/A",(IF($P218=-1,INDEX('卡片raw data'!T:T,MATCH($D218,'卡片raw data'!$F:$F,)),0)+IF($P218=0,INDEX('卡片raw data'!W:W,MATCH($D218,'卡片raw data'!$F:$F,)),0)+IF($P218=1,INDEX('卡片raw data'!Z:Z,MATCH($D218,'卡片raw data'!$F:$F,)),0)+IF($P218=2,INDEX('卡片raw data'!AC:AC,MATCH($D218,'卡片raw data'!$F:$F,)),0)+IF($P218=3,INDEX('卡片raw data'!AF:AF,MATCH($D218,'卡片raw data'!$F:$F,)),0)+IF($P218=4,INDEX('卡片raw data'!AI:AI,MATCH($D218,'卡片raw data'!$F:$F,)),0)+IF($P218=5,INDEX('卡片raw data'!AL:AL,MATCH($D218,'卡片raw data'!$F:$F,)),0)+INDEX('卡片raw data'!T:T,MATCH($D218,'卡片raw data'!$F:$F,))*(IF($F218="UR",0.04,0.033))*(IF($F218="UR",INDEX(绊状态确认!$S:$S,MATCH($G218,绊状态确认!$B:$B,))/2-40)+IF($F218="SR",INDEX(绊状态确认!$R:$R,MATCH($G218,绊状态确认!$B:$B,))/4-15))+IF($F218="R",INDEX(绊状态确认!$Q:$Q,MATCH($G218,绊状态确认!$B:$B,))/6-40/6)))*(INDEX(绊状态确认!$H:$H,MATCH($G218,绊状态确认!$B:$B,))+INDEX(绊状态确认!K:K,MATCH($G218,绊状态确认!$B:$B,)))</f>
        <v>8934.6040799999992</v>
      </c>
      <c r="AN218" s="1106">
        <f>IF($P218="","N/A",(IF($P218=-1,INDEX('卡片raw data'!U:U,MATCH($D218,'卡片raw data'!$F:$F,)),0)+IF($P218=0,INDEX('卡片raw data'!X:X,MATCH($D218,'卡片raw data'!$F:$F,)),0)+IF($P218=1,INDEX('卡片raw data'!AA:AA,MATCH($D218,'卡片raw data'!$F:$F,)),0)+IF($P218=2,INDEX('卡片raw data'!AD:AD,MATCH($D218,'卡片raw data'!$F:$F,)),0)+IF($P218=3,INDEX('卡片raw data'!AG:AG,MATCH($D218,'卡片raw data'!$F:$F,)),0)+IF($P218=4,INDEX('卡片raw data'!AJ:AJ,MATCH($D218,'卡片raw data'!$F:$F,)),0)+IF($P218=5,INDEX('卡片raw data'!AM:AM,MATCH($D218,'卡片raw data'!$F:$F,)),0)+INDEX('卡片raw data'!U:U,MATCH($D218,'卡片raw data'!$F:$F,))*(IF($F218="UR",0.04,0.033))*(IF($F218="UR",INDEX(绊状态确认!$S:$S,MATCH($G218,绊状态确认!$B:$B,))/2-40)+IF($F218="SR",INDEX(绊状态确认!$R:$R,MATCH($G218,绊状态确认!$B:$B,))/4-15))+IF($F218="R",INDEX(绊状态确认!$Q:$Q,MATCH($G218,绊状态确认!$B:$B,))/6-40/6)))*(INDEX(绊状态确认!$H:$H,MATCH($G218,绊状态确认!$B:$B,))+INDEX(绊状态确认!L:L,MATCH($G218,绊状态确认!$B:$B,)))</f>
        <v>12764.044799999998</v>
      </c>
      <c r="AO218" s="1107">
        <f t="shared" si="279"/>
        <v>1</v>
      </c>
      <c r="AP218" s="1131">
        <f>1+(INDEX(绊状态确认!$T:$T,MATCH($G218,绊状态确认!$B:$B,))+0.2)*$AO218</f>
        <v>1.3</v>
      </c>
      <c r="AQ218" s="1108">
        <f t="shared" si="280"/>
        <v>30052.107639999995</v>
      </c>
      <c r="AR218" s="1097">
        <f>(AM218*(1+$EX$9)+$EX$35)*(1+(INDEX(绊状态确认!$T:$T,MATCH($G218,绊状态确认!$B:$B,))+0.2)*AO218)*IF(J218=$FF$17,1+$FE$17,1)*IF(I218=$FF$14,1+$FE$14,1)*(1+$FE$15)</f>
        <v>14899.734569199998</v>
      </c>
      <c r="AS218" s="1097">
        <f>(AN218*(1+$EX$10)+$EX$36)*(1+(INDEX(绊状态确认!$T:$T,MATCH($G218,绊状态确认!$B:$B,))+0.2)*AO218)*IF(J218=$FF$17,1+$FE$17,1)*IF(I218=$FF$14,1+$FE$14,1)*(1+$FE$15)</f>
        <v>23138.246975999995</v>
      </c>
      <c r="AT218" s="1093">
        <f>IF(AND(INDEX('卡片raw data'!AK:AK,MATCH($D218,'卡片raw data'!$F:$F,))&lt;INDEX('卡片raw data'!AM:AM,MATCH($D218,'卡片raw data'!$F:$F,)),INDEX('卡片raw data'!AL:AL,MATCH($D218,'卡片raw data'!$F:$F,))&lt;INDEX('卡片raw data'!AM:AM,MATCH($D218,'卡片raw data'!$F:$F,))),1,0)</f>
        <v>1</v>
      </c>
      <c r="AU218" s="1098">
        <f>MIN(AT218*0.15+AS218*0.00003+INDEX(绊状态确认!M:M,MATCH($G218,绊状态确认!$B:$B,)),1)</f>
        <v>0.8741474092799999</v>
      </c>
      <c r="AV218" s="1109">
        <f>(INDEX(绊状态确认!$N:$N,MATCH($G218,绊状态确认!$B:$B,))+1.5)*$EW$21</f>
        <v>2.6599999999999997</v>
      </c>
      <c r="AW218" s="1101">
        <f t="shared" si="281"/>
        <v>38255.212481500668</v>
      </c>
      <c r="AX218" s="1097">
        <f t="shared" si="282"/>
        <v>1283.9658846029251</v>
      </c>
      <c r="AY218" s="1110">
        <f t="shared" si="283"/>
        <v>39539.178366103595</v>
      </c>
      <c r="AZ218" s="429">
        <f t="shared" si="284"/>
        <v>22510.137103999994</v>
      </c>
      <c r="BA218" s="431">
        <f t="shared" si="285"/>
        <v>27012.164524799991</v>
      </c>
      <c r="BB218" s="1097">
        <f>(AM218*(1+$FB$9)+$FB$35)*(1+(INDEX(绊状态确认!$T:$T,MATCH($G218,绊状态确认!$B:$B,))+0.2)*AO218)*IF(J218=$FF$17,1+$FE$17,1)*IF(I218=$FF$14,1+$FE$14,1)*(1+$FE$15)</f>
        <v>14899.734569199998</v>
      </c>
      <c r="BC218" s="1097">
        <f>(AN218*(1+$FB$10)+$FB$36)*(1+(INDEX(绊状态确认!$T:$T,MATCH($G218,绊状态确认!$B:$B,))+0.2)*AO218)*IF(J218=$FF$17,1+$FE$17,1)*IF(I218=$FF$14,1+$FE$14,1)*(1+$FE$15)</f>
        <v>23138.246975999995</v>
      </c>
      <c r="BD218" s="1104">
        <f>MIN(AT218*0.15+BC218*0.00003+INDEX(绊状态确认!M:M,MATCH($G218,绊状态确认!$B:$B,)),1)</f>
        <v>0.8741474092799999</v>
      </c>
      <c r="BE218" s="432">
        <f>(INDEX(绊状态确认!$N:$N,MATCH($G218,绊状态确认!$B:$B,))+1.5)</f>
        <v>1.9</v>
      </c>
      <c r="BF218" s="1139">
        <f t="array" ref="BF218">SUMPRODUCT(IF(AZ218*AP218*$FI$16:$FI$23*$FA$22&gt;=$FI$24,$FI$24,AZ218*AP218*$FI$16:$FI$23*$FA$22),$FJ$16:$FJ$23)</f>
        <v>44772.662699855988</v>
      </c>
      <c r="BG218" s="1125">
        <f t="array" ref="BG218">SUMPRODUCT(IF(BE218*AZ218*AP218*$FI$16:$FI$23*$FA$22&gt;=$FI$24,$FI$24,BE218*AZ218*AP218*$FI$16:$FI$23*$FA$22),$FJ$16:$FJ$23)</f>
        <v>60000</v>
      </c>
      <c r="BH218" s="1110">
        <f t="shared" si="286"/>
        <v>19361.200050336531</v>
      </c>
      <c r="BI218" s="1111">
        <f>IF(O218="vo",$EW$26/$EW$24*0.05,0)+IF(O218="sk",-$EW$26/$EW$24*(0.05-INDEX(绊状态确认!W:W,MATCH($G218,绊状态确认!$B:$B,)))+0.05*$EW$28,0)+IF(O218="sp",0.05*$EW$32*$EW$30*(1-$EW$33)-(0.05-INDEX(绊状态确认!V:V,MATCH($G218,绊状态确认!$B:$B,)))*$EW$28,0)+IF(O218="gd",-(0.05-INDEX(绊状态确认!X:X,MATCH($G218,绊状态确认!$B:$B,)))*$EW$32*$EW$30*(1-$EW$33),0)</f>
        <v>-6253.6726349699375</v>
      </c>
      <c r="BJ218" s="1097">
        <f>IF(O218="vo",0.05*(1-$FI$26)*$FA$24,0)+IF(O218="sk",-(0.05-INDEX(绊状态确认!W:W,MATCH($G218,绊状态确认!$B:$B,)))*(1-$FI$26)*$FA$24+0.05*$FA$26,0)+IF(O218="sp",0.05*$FA$32*$FA$27*(1-$FA$33)/$FA$30+0.05*$FA$29/$FA$69*$FA$27*(1-$FA$33)-(0.05-INDEX(绊状态确认!V:V,MATCH($G218,绊状态确认!$B:$B,)))*$FA$26,0)+IF(O218="gd",-(0.05-INDEX(绊状态确认!X:X,MATCH($G218,绊状态确认!$B:$B,)))*$FA$32*$FA$27*(1-$FA$33)/$FA$30-(0.05-INDEX(绊状态确认!X:X,MATCH($G218,绊状态确认!$B:$B,)))*$FA$29/$FA$69*$FA$27*(1-$FA$33),0)</f>
        <v>20.459096812499922</v>
      </c>
      <c r="BK218" s="1110">
        <f>IF(O218="vo",$EW$26/$EW$24*0.05+$EW$26*(-HP($EW$62,$EW$65,$EW$64)+HP($EW$62,$EW$65,(1.05-INDEX(绊状态确认!U:U,MATCH($G218,绊状态确认!$B:$B,)))*$EW$64)),0)+IF(O218="sk",-$EW$26/$EW$24*(0.05-INDEX(绊状态确认!W:W,MATCH($G218,绊状态确认!$B:$B,)))+0.05*$EW$29,0)+IF(O218="sp",0.05*$EW$32*$EW$30*(1-$EW$33)-(0.05-INDEX(绊状态确认!V:V,MATCH($G218,绊状态确认!$B:$B,)))*$EW$29,0)+IF(O218="gd",-(0.05-INDEX(绊状态确认!X:X,MATCH($G218,绊状态确认!$B:$B,)))*$EW$32*$EW$30*(1-$EW$33)+$EW$26*(-HP($EW$62,$EW$65,$EW$64)+HP($EW$62,$EW$65,0.95*$EW$64)),0)</f>
        <v>-4253.6726349699375</v>
      </c>
      <c r="BL218" s="1111">
        <f t="shared" si="287"/>
        <v>0</v>
      </c>
      <c r="BM218" s="1110">
        <f t="shared" si="288"/>
        <v>0</v>
      </c>
      <c r="BN218" s="1113">
        <f t="shared" si="289"/>
        <v>3</v>
      </c>
      <c r="BO218" s="1097">
        <f t="shared" si="290"/>
        <v>4507.7214871259994</v>
      </c>
      <c r="BP218" s="1100">
        <f t="shared" si="291"/>
        <v>221.34103209030098</v>
      </c>
      <c r="BQ218" s="1113" t="s">
        <v>143</v>
      </c>
      <c r="BR218" s="1124" t="s">
        <v>146</v>
      </c>
      <c r="BS218" s="1098">
        <f>IF($P218="","N/A",IF($P218=-1,INDEX('卡片raw data'!AX:AX,MATCH($D218,'卡片raw data'!$F:$F,)),0)+IF($L218="party卡",IF($P218=5,INDEX('卡片raw data'!BD:BD,MATCH($D218,'卡片raw data'!$F:$F,)),IF($P218&gt;=3,INDEX('卡片raw data'!BC:BC,MATCH($D218,'卡片raw data'!$F:$F,)),INDEX('卡片raw data'!BB:BB,MATCH($D218,'卡片raw data'!$F:$F,)))),IF(OR(AND($F218="UR",$P218=0),AND($F218="SR",$P218&gt;=0,$P218&lt;=2),AND($F218="R",$P218&gt;=0,$P218&lt;4)),INDEX('卡片raw data'!AZ:AZ,MATCH($D218,'卡片raw data'!$F:$F,)),0)+IF(OR(AND($F218="UR",$P218&gt;=1,$P218&lt;=4),AND($F218="SR",$P218&lt;=4,$P218&gt;=3),AND($F218="R",$P218=4)),INDEX('卡片raw data'!BA:BA,MATCH($D218,'卡片raw data'!$F:$F,)),0)+IF($P218=5,INDEX('卡片raw data'!BB:BB,MATCH($D218,'卡片raw data'!$F:$F,)),0)))</f>
        <v>7.0000000000000007E-2</v>
      </c>
      <c r="BT218" s="1101">
        <f t="shared" si="292"/>
        <v>5259.008401647</v>
      </c>
      <c r="BU218" s="1097">
        <f t="shared" si="293"/>
        <v>258.2312041053512</v>
      </c>
      <c r="BV218" s="1097">
        <f t="shared" si="294"/>
        <v>0</v>
      </c>
      <c r="BW218" s="1112">
        <f t="shared" si="295"/>
        <v>0</v>
      </c>
      <c r="BX218" s="1100">
        <f t="shared" si="296"/>
        <v>5259.008401647</v>
      </c>
      <c r="BY218" s="1110">
        <f t="shared" si="297"/>
        <v>0</v>
      </c>
      <c r="BZ218" s="1107" t="s">
        <v>569</v>
      </c>
      <c r="CA218" s="1124"/>
      <c r="CB218" s="1098">
        <f>IF($P218="","N/A",IF($P218=-1,INDEX('卡片raw data'!BE:BE,MATCH($D218,'卡片raw data'!$F:$F,)),0)+IF($L218="party卡",IF($P218=5,INDEX('卡片raw data'!BK:BK,MATCH($D218,'卡片raw data'!$F:$F,)),IF($P218&gt;=3,INDEX('卡片raw data'!BJ:BJ,MATCH($D218,'卡片raw data'!$F:$F,)),INDEX('卡片raw data'!BI:BI,MATCH($D218,'卡片raw data'!$F:$F,)))),IF(OR(AND($F218="UR",$P218=0),AND($F218="SR",$P218&gt;=0,$P218&lt;=2),AND($F218="R",$P218&gt;=0,$P218&lt;4)),INDEX('卡片raw data'!BG:BG,MATCH($D218,'卡片raw data'!$F:$F,)),0)+IF(OR(AND($F218="UR",$P218&gt;=1,$P218&lt;=4),AND($F218="SR",$P218&lt;=4,$P218&gt;=3),AND($F218="R",$P218=4)),INDEX('卡片raw data'!BH:BH,MATCH($D218,'卡片raw data'!$F:$F,)),0)+IF($P218=5,INDEX('卡片raw data'!BI:BI,MATCH($D218,'卡片raw data'!$F:$F,)),0)))</f>
        <v>0</v>
      </c>
      <c r="CC218" s="1101">
        <f t="shared" si="298"/>
        <v>0</v>
      </c>
      <c r="CD218" s="1097">
        <f>IF(BZ218="ap",CB218*(1-$FI$26)*$FB$5/$FB$11*(+IF(CA218="全员",$FA$24,0)+IF(CA218="同作战",$FA$24,0)+IF(CA218="仲间",$FA$24*2/3,0)+IF(CA218="同属性",$FA$24*$FA$37/3,0)+IF(CA218="同年级",$FA$24*$FA$40/3,0)+IF(CA218="同学校",$FA$24*$FA$43/3,0)+IF(CA218="同小队",$FA$24*$FA$46/3,0)+IF(CA218="同type",$FA$24*INDEX($FB$49:$FB$52,MATCH(X218,$FA$49:$FA$52,))/3,0)+IF(CA218="自身",#REF!/3,0)),0)+IF(BZ218="te",CB218*(1-$FI$27)*($FA$20-1)*$FB$7/$FB$13*(+IF(CA218="全员",$FA$19*$FA$24/(1+($FA$20-1)*$FA$19),0)+IF(CA218="同作战",$FA$19*$FA$24/(1+($FA$20-1)*$FA$19),0)+IF(CA218="仲间",$FA$19*$FA$24*2/3/(1+($FA$20-1)*$FA$19),0)+IF(CA218="同属性",$FA$19*$FA$24*$FA$37/3/(1+($FA$20-1)*$FA$19),0)+IF(CA218="同年级",$FA$19*$FA$24*$FA$40/3/(1+($FA$20-1)*$FA$19),0)+IF(CA218="同学校",$FA$19*$FA$24*$FA$43/3/(1+($FA$20-1)*$FA$19),0)+IF(CA218="同小队",$FA$19*$FA$24*$FA$46/3/(1+($FA$20-1)*$FA$19),0)+IF(CA218="同type",$FA$19*$FA$24*INDEX($FB$49:$FB$52,MATCH(X218,$FA$49:$FA$52,))/3/(1+($FA$20-1)*$FA$19),0)+IF(CA218="自身",$FA$19*#REF!/3/(1+(BH218-1)*$BD218),0)),0)</f>
        <v>0</v>
      </c>
      <c r="CE218" s="1097">
        <f t="shared" si="299"/>
        <v>0</v>
      </c>
      <c r="CF218" s="1112">
        <f t="shared" si="300"/>
        <v>0</v>
      </c>
      <c r="CG218" s="1100">
        <f t="shared" si="301"/>
        <v>0</v>
      </c>
      <c r="CH218" s="1110">
        <f t="shared" si="302"/>
        <v>0</v>
      </c>
      <c r="CI218" s="1113" t="s">
        <v>165</v>
      </c>
      <c r="CJ218" s="1114">
        <v>0.5</v>
      </c>
      <c r="CK218" s="1115" t="s">
        <v>167</v>
      </c>
      <c r="CL218" s="1115" t="s">
        <v>168</v>
      </c>
      <c r="CM218" s="1119">
        <v>0.05</v>
      </c>
      <c r="CN218" s="1115" t="s">
        <v>163</v>
      </c>
      <c r="CO218" s="1092"/>
      <c r="CP218" s="1118">
        <f t="shared" si="303"/>
        <v>2.5000000000000001E-2</v>
      </c>
      <c r="CQ218" s="1118">
        <f t="shared" si="304"/>
        <v>2.5000000000000001E-2</v>
      </c>
      <c r="CR218" s="1118">
        <f t="shared" si="305"/>
        <v>0</v>
      </c>
      <c r="CS218" s="1118">
        <f t="shared" si="306"/>
        <v>0</v>
      </c>
      <c r="CT218" s="1109">
        <f t="shared" si="307"/>
        <v>0</v>
      </c>
      <c r="CU218" s="1101">
        <f t="shared" si="308"/>
        <v>3399.5732882075254</v>
      </c>
      <c r="CV218" s="1108">
        <f t="shared" si="309"/>
        <v>164.13930703125001</v>
      </c>
      <c r="CW218" s="1097">
        <f t="shared" si="310"/>
        <v>0</v>
      </c>
      <c r="CX218" s="1097">
        <f t="shared" si="311"/>
        <v>3399.5732882075254</v>
      </c>
      <c r="CY218" s="1110">
        <f t="shared" si="312"/>
        <v>0</v>
      </c>
      <c r="CZ218" s="437"/>
      <c r="DA218" s="438"/>
      <c r="DB218" s="439" t="s">
        <v>569</v>
      </c>
      <c r="DC218" s="439"/>
      <c r="DD218" s="443"/>
      <c r="DE218" s="411"/>
      <c r="DF218" s="411"/>
      <c r="DG218" s="1116">
        <f t="shared" si="313"/>
        <v>0</v>
      </c>
      <c r="DH218" s="1116">
        <f t="shared" si="314"/>
        <v>0</v>
      </c>
      <c r="DI218" s="1116">
        <f t="shared" si="315"/>
        <v>0</v>
      </c>
      <c r="DJ218" s="442">
        <f t="shared" si="316"/>
        <v>0</v>
      </c>
      <c r="DK218" s="1109">
        <f t="shared" si="317"/>
        <v>0</v>
      </c>
      <c r="DL218" s="1101">
        <f t="shared" si="318"/>
        <v>0</v>
      </c>
      <c r="DM218" s="1097">
        <f t="shared" si="319"/>
        <v>0</v>
      </c>
      <c r="DN218" s="1097">
        <f t="shared" si="320"/>
        <v>0</v>
      </c>
      <c r="DO218" s="1097">
        <f t="shared" si="321"/>
        <v>0</v>
      </c>
      <c r="DP218" s="1110">
        <f t="shared" si="322"/>
        <v>0</v>
      </c>
      <c r="DQ218" s="1113" t="s">
        <v>155</v>
      </c>
      <c r="DR218" s="1120">
        <f t="shared" si="323"/>
        <v>0.33</v>
      </c>
      <c r="DS218" s="1124">
        <v>10</v>
      </c>
      <c r="DT218" s="1093" t="s">
        <v>168</v>
      </c>
      <c r="DU218" s="1093" t="s">
        <v>544</v>
      </c>
      <c r="DV218" s="1098">
        <f>IF($P218="","N/A",IF(P218=-1,INDEX('卡片raw data'!AN:AN,MATCH(D218,'卡片raw data'!$F:$F,)),0)+IF(AND(L218&lt;&gt;"party卡",P218&lt;=2,P218&gt;=0),INDEX('卡片raw data'!AP:AP,MATCH(D218,'卡片raw data'!$F:$F,)),0)+IF(OR(AND(L218="party卡",P218&lt;=1),AND(P218&lt;=4,L218&lt;&gt;"party卡",P218&gt;=3)),INDEX('卡片raw data'!AQ:AQ,MATCH(D218,'卡片raw data'!$F:$F,)),0)+IF(OR(P218=5,AND(L218="party卡",P218&gt;=2)),INDEX('卡片raw data'!AR:AR,MATCH(D218,'卡片raw data'!$F:$F,)),0))</f>
        <v>0.1</v>
      </c>
      <c r="DW218" s="1098">
        <f t="shared" si="324"/>
        <v>0.33</v>
      </c>
      <c r="DX218" s="1098">
        <f t="shared" si="325"/>
        <v>0.33</v>
      </c>
      <c r="DY218" s="1098">
        <f t="shared" si="326"/>
        <v>0.11000000000000001</v>
      </c>
      <c r="DZ218" s="1098">
        <f t="shared" si="327"/>
        <v>9.5150000000000012E-2</v>
      </c>
      <c r="EA218" s="1098">
        <f t="shared" si="328"/>
        <v>0</v>
      </c>
      <c r="EB218" s="1121">
        <f t="shared" si="329"/>
        <v>0</v>
      </c>
      <c r="EC218" s="1101">
        <f t="shared" si="330"/>
        <v>12873.539660445753</v>
      </c>
      <c r="ED218" s="1097">
        <f t="shared" si="331"/>
        <v>770.46234276198879</v>
      </c>
      <c r="EE218" s="1110">
        <f t="shared" si="332"/>
        <v>12873.539660445753</v>
      </c>
      <c r="EF218" s="1092" t="s">
        <v>711</v>
      </c>
      <c r="EG218" s="1120">
        <f t="shared" si="333"/>
        <v>0.33</v>
      </c>
      <c r="EH218" s="1124"/>
      <c r="EI218" s="1093"/>
      <c r="EJ218" s="1093"/>
      <c r="EK218" s="1097">
        <f>IF($P218="","N/A",IF(P218=-1,INDEX('卡片raw data'!AS:AS,MATCH(D218,'卡片raw data'!$F:$F,)),0)+IF(AND(L218&lt;&gt;"party卡",P218&lt;=2,P218&gt;=0),INDEX('卡片raw data'!AU:AU,MATCH(D218,'卡片raw data'!$F:$F,)),0)+IF(OR(AND(L218="party卡",P218&lt;=1),AND(P218&lt;=4,L218&lt;&gt;"party卡",P218&gt;=3)),INDEX('卡片raw data'!AV:AV,MATCH(D218,'卡片raw data'!$F:$F,)),0)+IF(OR(P218=5,AND(L218="party卡",P218&gt;=2)),INDEX('卡片raw data'!AW:AW,MATCH(D218,'卡片raw data'!$F:$F,)),0))</f>
        <v>0</v>
      </c>
      <c r="EL218" s="1098">
        <f t="shared" si="334"/>
        <v>0.33</v>
      </c>
      <c r="EM218" s="1098">
        <f t="shared" si="335"/>
        <v>0.33</v>
      </c>
      <c r="EN218" s="1125">
        <f t="shared" si="336"/>
        <v>0</v>
      </c>
      <c r="EO218" s="1125">
        <f t="shared" si="337"/>
        <v>0</v>
      </c>
      <c r="EP218" s="1098">
        <f t="shared" si="338"/>
        <v>0</v>
      </c>
      <c r="EQ218" s="1121">
        <f t="shared" si="339"/>
        <v>0</v>
      </c>
      <c r="ER218" s="1101">
        <f t="shared" si="340"/>
        <v>0</v>
      </c>
      <c r="ES218" s="1097">
        <f t="shared" si="341"/>
        <v>0</v>
      </c>
      <c r="ET218" s="1122">
        <f t="shared" si="342"/>
        <v>0</v>
      </c>
    </row>
    <row r="219" spans="2:150" ht="16.5" customHeight="1">
      <c r="B219" s="1123" t="str">
        <f>INDEX('卡片raw data'!B:B,MATCH($D219,'卡片raw data'!$F:$F,))</f>
        <v>bm黛</v>
      </c>
      <c r="C219" s="449" t="s">
        <v>124</v>
      </c>
      <c r="D219" s="408">
        <v>216</v>
      </c>
      <c r="E219" s="1090">
        <v>401042001</v>
      </c>
      <c r="F219" s="1090" t="str">
        <f>INDEX('卡片raw data'!C:C,MATCH($D219,'卡片raw data'!$F:$F,))</f>
        <v>SR</v>
      </c>
      <c r="G219" s="1094" t="s">
        <v>341</v>
      </c>
      <c r="H219" s="411">
        <f>IFERROR(INDEX(绊状态确认!C:C,MATCH($G219,绊状态确认!$B:$B,)),"")</f>
        <v>104</v>
      </c>
      <c r="I219" s="450" t="str">
        <f>IFERROR(INDEX(绊状态确认!D:D,MATCH($G219,绊状态确认!$B:$B,)),"")</f>
        <v>水</v>
      </c>
      <c r="J219" s="450" t="str">
        <f>IFERROR(INDEX(绊状态确认!E:E,MATCH($G219,绊状态确认!$B:$B,)),"")</f>
        <v>3年级</v>
      </c>
      <c r="K219" s="451" t="str">
        <f>IFERROR(INDEX(绊状态确认!F:F,MATCH($G219,绊状态确认!$B:$B,)),"")</f>
        <v>AZALEA</v>
      </c>
      <c r="L219" s="1094" t="str">
        <f>INDEX('卡片raw data'!E:E,MATCH($D219,'卡片raw data'!$F:$F,))</f>
        <v>活动卡</v>
      </c>
      <c r="M219" s="415">
        <v>43927</v>
      </c>
      <c r="N219" s="416">
        <v>13</v>
      </c>
      <c r="O219" s="1091" t="str">
        <f>INDEX('卡片raw data'!D:D,MATCH($D219,'卡片raw data'!$F:$F,))</f>
        <v>sp</v>
      </c>
      <c r="P219" s="417">
        <v>5</v>
      </c>
      <c r="Q219" s="1095">
        <f t="shared" si="258"/>
        <v>17551.762015534838</v>
      </c>
      <c r="R219" s="1096">
        <f t="shared" si="259"/>
        <v>0.20399999999999999</v>
      </c>
      <c r="S219" s="1097">
        <f t="shared" si="260"/>
        <v>10434.783276811366</v>
      </c>
      <c r="T219" s="1098">
        <f t="shared" si="261"/>
        <v>0.52100000000000002</v>
      </c>
      <c r="U219" s="1099">
        <f t="shared" si="262"/>
        <v>12.800575340018568</v>
      </c>
      <c r="V219" s="1100">
        <f t="shared" si="263"/>
        <v>16769.129109774851</v>
      </c>
      <c r="W219" s="1101">
        <f t="shared" si="264"/>
        <v>4575.0620934303179</v>
      </c>
      <c r="X219" s="1096">
        <f t="shared" si="265"/>
        <v>5.2999999999999999E-2</v>
      </c>
      <c r="Y219" s="1097">
        <f t="shared" si="266"/>
        <v>1017.3670942400131</v>
      </c>
      <c r="Z219" s="1102">
        <f t="shared" si="267"/>
        <v>12.800575340018568</v>
      </c>
      <c r="AA219" s="1103">
        <f t="shared" si="268"/>
        <v>5592.429187670331</v>
      </c>
      <c r="AB219" s="1101">
        <f t="shared" si="269"/>
        <v>4575.0620934303179</v>
      </c>
      <c r="AC219" s="1104">
        <f t="shared" si="270"/>
        <v>5.2999999999999999E-2</v>
      </c>
      <c r="AD219" s="1105">
        <f t="shared" si="271"/>
        <v>-1.9908281250000003E-2</v>
      </c>
      <c r="AE219" s="1128">
        <f t="shared" si="272"/>
        <v>4.5985086735572107</v>
      </c>
      <c r="AF219" s="1130">
        <f t="shared" si="273"/>
        <v>0</v>
      </c>
      <c r="AG219" s="420">
        <f t="shared" si="274"/>
        <v>0</v>
      </c>
      <c r="AH219" s="420">
        <f t="shared" si="275"/>
        <v>0</v>
      </c>
      <c r="AI219" s="1097">
        <f t="shared" si="276"/>
        <v>0</v>
      </c>
      <c r="AJ219" s="420">
        <f t="shared" si="277"/>
        <v>0</v>
      </c>
      <c r="AK219" s="518">
        <f t="shared" si="278"/>
        <v>0</v>
      </c>
      <c r="AL219" s="1106">
        <f>IF($P219="","N/A",(IF($P219=-1,INDEX('卡片raw data'!S:S,MATCH($D219,'卡片raw data'!$F:$F,)),0)+IF($P219=0,INDEX('卡片raw data'!V:V,MATCH($D219,'卡片raw data'!$F:$F,)),0)+IF($P219=1,INDEX('卡片raw data'!Y:Y,MATCH($D219,'卡片raw data'!$F:$F,)),0)+IF($P219=2,INDEX('卡片raw data'!AB:AB,MATCH($D219,'卡片raw data'!$F:$F,)),0)+IF($P219=3,INDEX('卡片raw data'!AE:AE,MATCH($D219,'卡片raw data'!$F:$F,)),0)+IF($P219=4,INDEX('卡片raw data'!AH:AH,MATCH($D219,'卡片raw data'!$F:$F,)),0)+IF($P219=5,INDEX('卡片raw data'!AK:AK,MATCH($D219,'卡片raw data'!$F:$F,)),0)+INDEX('卡片raw data'!S:S,MATCH($D219,'卡片raw data'!$F:$F,))*(IF($F219="UR",0.04,0.033))*(IF($F219="UR",INDEX(绊状态确认!$S:$S,MATCH($G219,绊状态确认!$B:$B,))/2-40)+IF($F219="SR",INDEX(绊状态确认!$R:$R,MATCH($G219,绊状态确认!$B:$B,))/4-15))+IF($F219="R",INDEX(绊状态确认!$Q:$Q,MATCH($G219,绊状态确认!$B:$B,))/6-40/6)))*(INDEX(绊状态确认!$H:$H,MATCH($G219,绊状态确认!$B:$B,))+INDEX(绊状态确认!J:J,MATCH($G219,绊状态确认!$B:$B,)))</f>
        <v>3775.4549015999992</v>
      </c>
      <c r="AM219" s="1106">
        <f>IF($P219="","N/A",(IF($P219=-1,INDEX('卡片raw data'!T:T,MATCH($D219,'卡片raw data'!$F:$F,)),0)+IF($P219=0,INDEX('卡片raw data'!W:W,MATCH($D219,'卡片raw data'!$F:$F,)),0)+IF($P219=1,INDEX('卡片raw data'!Z:Z,MATCH($D219,'卡片raw data'!$F:$F,)),0)+IF($P219=2,INDEX('卡片raw data'!AC:AC,MATCH($D219,'卡片raw data'!$F:$F,)),0)+IF($P219=3,INDEX('卡片raw data'!AF:AF,MATCH($D219,'卡片raw data'!$F:$F,)),0)+IF($P219=4,INDEX('卡片raw data'!AI:AI,MATCH($D219,'卡片raw data'!$F:$F,)),0)+IF($P219=5,INDEX('卡片raw data'!AL:AL,MATCH($D219,'卡片raw data'!$F:$F,)),0)+INDEX('卡片raw data'!T:T,MATCH($D219,'卡片raw data'!$F:$F,))*(IF($F219="UR",0.04,0.033))*(IF($F219="UR",INDEX(绊状态确认!$S:$S,MATCH($G219,绊状态确认!$B:$B,))/2-40)+IF($F219="SR",INDEX(绊状态确认!$R:$R,MATCH($G219,绊状态确认!$B:$B,))/4-15))+IF($F219="R",INDEX(绊状态确认!$Q:$Q,MATCH($G219,绊状态确认!$B:$B,))/6-40/6)))*(INDEX(绊状态确认!$H:$H,MATCH($G219,绊状态确认!$B:$B,))+INDEX(绊状态确认!K:K,MATCH($G219,绊状态确认!$B:$B,)))</f>
        <v>5747.1089015999987</v>
      </c>
      <c r="AN219" s="1106">
        <f>IF($P219="","N/A",(IF($P219=-1,INDEX('卡片raw data'!U:U,MATCH($D219,'卡片raw data'!$F:$F,)),0)+IF($P219=0,INDEX('卡片raw data'!X:X,MATCH($D219,'卡片raw data'!$F:$F,)),0)+IF($P219=1,INDEX('卡片raw data'!AA:AA,MATCH($D219,'卡片raw data'!$F:$F,)),0)+IF($P219=2,INDEX('卡片raw data'!AD:AD,MATCH($D219,'卡片raw data'!$F:$F,)),0)+IF($P219=3,INDEX('卡片raw data'!AG:AG,MATCH($D219,'卡片raw data'!$F:$F,)),0)+IF($P219=4,INDEX('卡片raw data'!AJ:AJ,MATCH($D219,'卡片raw data'!$F:$F,)),0)+IF($P219=5,INDEX('卡片raw data'!AM:AM,MATCH($D219,'卡片raw data'!$F:$F,)),0)+INDEX('卡片raw data'!U:U,MATCH($D219,'卡片raw data'!$F:$F,))*(IF($F219="UR",0.04,0.033))*(IF($F219="UR",INDEX(绊状态确认!$S:$S,MATCH($G219,绊状态确认!$B:$B,))/2-40)+IF($F219="SR",INDEX(绊状态确认!$R:$R,MATCH($G219,绊状态确认!$B:$B,))/4-15))+IF($F219="R",INDEX(绊状态确认!$Q:$Q,MATCH($G219,绊状态确认!$B:$B,))/6-40/6)))*(INDEX(绊状态确认!$H:$H,MATCH($G219,绊状态确认!$B:$B,))+INDEX(绊状态确认!L:L,MATCH($G219,绊状态确认!$B:$B,)))</f>
        <v>6896.3184023999993</v>
      </c>
      <c r="AO219" s="1107">
        <f t="shared" si="279"/>
        <v>1</v>
      </c>
      <c r="AP219" s="1131">
        <f>1+(INDEX(绊状态确认!$T:$T,MATCH($G219,绊状态确认!$B:$B,))+0.2)*$AO219</f>
        <v>1.3</v>
      </c>
      <c r="AQ219" s="1108">
        <f t="shared" si="280"/>
        <v>13160.569116699999</v>
      </c>
      <c r="AR219" s="1097">
        <f>(AM219*(1+$EX$9)+$EX$35)*(1+(INDEX(绊状态确认!$T:$T,MATCH($G219,绊状态确认!$B:$B,))+0.2)*AO219)*IF(J219=$FF$17,1+$FE$17,1)*IF(I219=$FF$14,1+$FE$14,1)</f>
        <v>10548.803650683998</v>
      </c>
      <c r="AS219" s="1097">
        <f>(AN219*(1+$EX$10)+$EX$36)*(1+(INDEX(绊状态确认!$T:$T,MATCH($G219,绊状态确认!$B:$B,))+0.2)*AO219)*IF(J219=$FF$17,1+$FE$17,1)*IF(I219=$FF$14,1+$FE$14,1)</f>
        <v>14365.996011587999</v>
      </c>
      <c r="AT219" s="1093">
        <f>IF(AND(INDEX('卡片raw data'!AK:AK,MATCH($D219,'卡片raw data'!$F:$F,))&lt;INDEX('卡片raw data'!AM:AM,MATCH($D219,'卡片raw data'!$F:$F,)),INDEX('卡片raw data'!AL:AL,MATCH($D219,'卡片raw data'!$F:$F,))&lt;INDEX('卡片raw data'!AM:AM,MATCH($D219,'卡片raw data'!$F:$F,))),1,0)</f>
        <v>1</v>
      </c>
      <c r="AU219" s="1098">
        <f>MIN(AT219*0.15+AS219*0.00003+INDEX(绊状态确认!M:M,MATCH($G219,绊状态确认!$B:$B,)),1)</f>
        <v>0.61097988034763995</v>
      </c>
      <c r="AV219" s="1109">
        <f>(INDEX(绊状态确认!$N:$N,MATCH($G219,绊状态确认!$B:$B,))+1.5)*$EW$21</f>
        <v>2.6599999999999997</v>
      </c>
      <c r="AW219" s="1101">
        <f t="shared" si="281"/>
        <v>13767.033255437853</v>
      </c>
      <c r="AX219" s="1097">
        <f t="shared" si="282"/>
        <v>900.3586044300821</v>
      </c>
      <c r="AY219" s="1110">
        <f t="shared" si="283"/>
        <v>14667.391859867936</v>
      </c>
      <c r="AZ219" s="429">
        <f t="shared" si="284"/>
        <v>9962.137058119999</v>
      </c>
      <c r="BA219" s="431">
        <f t="shared" si="285"/>
        <v>11954.564469743998</v>
      </c>
      <c r="BB219" s="1097">
        <f>(AM219*(1+$FB$9)+$FB$35)*(1+(INDEX(绊状态确认!$T:$T,MATCH($G219,绊状态确认!$B:$B,))+0.2)*AO219)*IF(J219=$FF$17,1+$FE$17,1)*IF(I219=$FF$14,1+$FE$14,1)*(1+$FE$15)</f>
        <v>10548.803650683998</v>
      </c>
      <c r="BC219" s="1097">
        <f>(AN219*(1+$FB$10)+$FB$36)*(1+(INDEX(绊状态确认!$T:$T,MATCH($G219,绊状态确认!$B:$B,))+0.2)*AO219)*IF(J219=$FF$17,1+$FE$17,1)*IF(I219=$FF$14,1+$FE$14,1)*(1+$FE$15)</f>
        <v>14365.996011587999</v>
      </c>
      <c r="BD219" s="1104">
        <f>MIN(AT219*0.15+BC219*0.00003+INDEX(绊状态确认!M:M,MATCH($G219,绊状态确认!$B:$B,)),1)</f>
        <v>0.61097988034763995</v>
      </c>
      <c r="BE219" s="432">
        <f>(INDEX(绊状态确认!$N:$N,MATCH($G219,绊状态确认!$B:$B,))+1.5)</f>
        <v>1.9</v>
      </c>
      <c r="BF219" s="1139">
        <f t="array" ref="BF219">SUMPRODUCT(IF(AZ219*AP219*$FI$16:$FI$23*$FA$22&gt;=$FI$24,$FI$24,AZ219*AP219*$FI$16:$FI$23*$FA$22),$FJ$16:$FJ$23)</f>
        <v>19814.690608600678</v>
      </c>
      <c r="BG219" s="1125">
        <f t="array" ref="BG219">SUMPRODUCT(IF(BE219*AZ219*AP219*$FI$16:$FI$23*$FA$22&gt;=$FI$24,$FI$24,BE219*AZ219*AP219*$FI$16:$FI$23*$FA$22),$FJ$16:$FJ$23)</f>
        <v>37647.912156341277</v>
      </c>
      <c r="BH219" s="1110">
        <f t="shared" si="286"/>
        <v>10236.810058684061</v>
      </c>
      <c r="BI219" s="1111">
        <f>IF(O219="vo",$EW$26/$EW$24*0.05,0)+IF(O219="sk",-$EW$26/$EW$24*(0.05-INDEX(绊状态确认!W:W,MATCH($G219,绊状态确认!$B:$B,)))+0.05*$EW$28,0)+IF(O219="sp",0.05*$EW$32*$EW$30*(1-$EW$33)-(0.05-INDEX(绊状态确认!V:V,MATCH($G219,绊状态确认!$B:$B,)))*$EW$28,0)+IF(O219="gd",-(0.05-INDEX(绊状态确认!X:X,MATCH($G219,绊状态确认!$B:$B,)))*$EW$32*$EW$30*(1-$EW$33),0)</f>
        <v>19.999999999999886</v>
      </c>
      <c r="BJ219" s="1097">
        <f>IF(O219="vo",0.05*(1-$FI$26)*$FA$24,0)+IF(O219="sk",-(0.05-INDEX(绊状态确认!W:W,MATCH($G219,绊状态确认!$B:$B,)))*(1-$FI$26)*$FA$24+0.05*$FA$26,0)+IF(O219="sp",0.05*$FA$32*$FA$27*(1-$FA$33)/$FA$30+0.05*$FA$29/$FA$69*$FA$27*(1-$FA$33)-(0.05-INDEX(绊状态确认!V:V,MATCH($G219,绊状态确认!$B:$B,)))*$FA$26,0)+IF(O219="gd",-(0.05-INDEX(绊状态确认!X:X,MATCH($G219,绊状态确认!$B:$B,)))*$FA$32*$FA$27*(1-$FA$33)/$FA$30-(0.05-INDEX(绊状态确认!X:X,MATCH($G219,绊状态确认!$B:$B,)))*$FA$29/$FA$69*$FA$27*(1-$FA$33),0)</f>
        <v>545.83333333333326</v>
      </c>
      <c r="BK219" s="1110">
        <f>IF(O219="vo",$EW$26/$EW$24*0.05+$EW$26*(-HP($EW$62,$EW$65,$EW$64)+HP($EW$62,$EW$65,(1.05-INDEX(绊状态确认!U:U,MATCH($G219,绊状态确认!$B:$B,)))*$EW$64)),0)+IF(O219="sk",-$EW$26/$EW$24*(0.05-INDEX(绊状态确认!W:W,MATCH($G219,绊状态确认!$B:$B,)))+0.05*$EW$29,0)+IF(O219="sp",0.05*$EW$32*$EW$30*(1-$EW$33)-(0.05-INDEX(绊状态确认!V:V,MATCH($G219,绊状态确认!$B:$B,)))*$EW$29,0)+IF(O219="gd",-(0.05-INDEX(绊状态确认!X:X,MATCH($G219,绊状态确认!$B:$B,)))*$EW$32*$EW$30*(1-$EW$33)+$EW$26*(-HP($EW$62,$EW$65,$EW$64)+HP($EW$62,$EW$65,0.95*$EW$64)),0)</f>
        <v>-1780.0000000000005</v>
      </c>
      <c r="BL219" s="1111">
        <f t="shared" si="287"/>
        <v>-1083.3333333333333</v>
      </c>
      <c r="BM219" s="1110">
        <f t="shared" si="288"/>
        <v>-830.55555555555543</v>
      </c>
      <c r="BN219" s="1113">
        <f t="shared" si="289"/>
        <v>3</v>
      </c>
      <c r="BO219" s="1097">
        <f t="shared" si="290"/>
        <v>4507.7214871259994</v>
      </c>
      <c r="BP219" s="1100">
        <f t="shared" si="291"/>
        <v>221.34103209030098</v>
      </c>
      <c r="BQ219" s="1113" t="s">
        <v>144</v>
      </c>
      <c r="BR219" s="1124" t="s">
        <v>148</v>
      </c>
      <c r="BS219" s="1098">
        <f>IF($P219="","N/A",IF($P219=-1,INDEX('卡片raw data'!AX:AX,MATCH($D219,'卡片raw data'!$F:$F,)),0)+IF($L219="party卡",IF($P219=5,INDEX('卡片raw data'!BD:BD,MATCH($D219,'卡片raw data'!$F:$F,)),IF($P219&gt;=3,INDEX('卡片raw data'!BC:BC,MATCH($D219,'卡片raw data'!$F:$F,)),INDEX('卡片raw data'!BB:BB,MATCH($D219,'卡片raw data'!$F:$F,)))),IF(OR(AND($F219="UR",$P219=0),AND($F219="SR",$P219&gt;=0,$P219&lt;=2),AND($F219="R",$P219&gt;=0,$P219&lt;4)),INDEX('卡片raw data'!AZ:AZ,MATCH($D219,'卡片raw data'!$F:$F,)),0)+IF(OR(AND($F219="UR",$P219&gt;=1,$P219&lt;=4),AND($F219="SR",$P219&lt;=4,$P219&gt;=3),AND($F219="R",$P219=4)),INDEX('卡片raw data'!BA:BA,MATCH($D219,'卡片raw data'!$F:$F,)),0)+IF($P219=5,INDEX('卡片raw data'!BB:BB,MATCH($D219,'卡片raw data'!$F:$F,)),0)))</f>
        <v>3.2000000000000001E-2</v>
      </c>
      <c r="BT219" s="1101">
        <f t="shared" si="292"/>
        <v>0</v>
      </c>
      <c r="BU219" s="1097">
        <f t="shared" si="293"/>
        <v>0</v>
      </c>
      <c r="BV219" s="1097">
        <f t="shared" si="294"/>
        <v>0</v>
      </c>
      <c r="BW219" s="1112">
        <f t="shared" si="295"/>
        <v>1.498285714285714</v>
      </c>
      <c r="BX219" s="1100">
        <f t="shared" si="296"/>
        <v>117.00848980993118</v>
      </c>
      <c r="BY219" s="1110">
        <f t="shared" si="297"/>
        <v>117.00848980993118</v>
      </c>
      <c r="BZ219" s="1107" t="s">
        <v>569</v>
      </c>
      <c r="CA219" s="1124"/>
      <c r="CB219" s="1098">
        <f>IF($P219="","N/A",IF($P219=-1,INDEX('卡片raw data'!BE:BE,MATCH($D219,'卡片raw data'!$F:$F,)),0)+IF($L219="party卡",IF($P219=5,INDEX('卡片raw data'!BK:BK,MATCH($D219,'卡片raw data'!$F:$F,)),IF($P219&gt;=3,INDEX('卡片raw data'!BJ:BJ,MATCH($D219,'卡片raw data'!$F:$F,)),INDEX('卡片raw data'!BI:BI,MATCH($D219,'卡片raw data'!$F:$F,)))),IF(OR(AND($F219="UR",$P219=0),AND($F219="SR",$P219&gt;=0,$P219&lt;=2),AND($F219="R",$P219&gt;=0,$P219&lt;4)),INDEX('卡片raw data'!BG:BG,MATCH($D219,'卡片raw data'!$F:$F,)),0)+IF(OR(AND($F219="UR",$P219&gt;=1,$P219&lt;=4),AND($F219="SR",$P219&lt;=4,$P219&gt;=3),AND($F219="R",$P219=4)),INDEX('卡片raw data'!BH:BH,MATCH($D219,'卡片raw data'!$F:$F,)),0)+IF($P219=5,INDEX('卡片raw data'!BI:BI,MATCH($D219,'卡片raw data'!$F:$F,)),0)))</f>
        <v>0</v>
      </c>
      <c r="CC219" s="1101">
        <f t="shared" si="298"/>
        <v>0</v>
      </c>
      <c r="CD219" s="1097">
        <f>IF(BZ219="ap",CB219*(1-$FI$26)*$FB$5/$FB$11*(+IF(CA219="全员",$FA$24,0)+IF(CA219="同作战",$FA$24,0)+IF(CA219="仲间",$FA$24*2/3,0)+IF(CA219="同属性",$FA$24*$FA$37/3,0)+IF(CA219="同年级",$FA$24*$FA$40/3,0)+IF(CA219="同学校",$FA$24*$FA$43/3,0)+IF(CA219="同小队",$FA$24*$FA$46/3,0)+IF(CA219="同type",$FA$24*INDEX($FB$49:$FB$52,MATCH(X219,$FA$49:$FA$52,))/3,0)+IF(CA219="自身",#REF!/3,0)),0)+IF(BZ219="te",CB219*(1-$FI$27)*($FA$20-1)*$FB$7/$FB$13*(+IF(CA219="全员",$FA$19*$FA$24/(1+($FA$20-1)*$FA$19),0)+IF(CA219="同作战",$FA$19*$FA$24/(1+($FA$20-1)*$FA$19),0)+IF(CA219="仲间",$FA$19*$FA$24*2/3/(1+($FA$20-1)*$FA$19),0)+IF(CA219="同属性",$FA$19*$FA$24*$FA$37/3/(1+($FA$20-1)*$FA$19),0)+IF(CA219="同年级",$FA$19*$FA$24*$FA$40/3/(1+($FA$20-1)*$FA$19),0)+IF(CA219="同学校",$FA$19*$FA$24*$FA$43/3/(1+($FA$20-1)*$FA$19),0)+IF(CA219="同小队",$FA$19*$FA$24*$FA$46/3/(1+($FA$20-1)*$FA$19),0)+IF(CA219="同type",$FA$19*$FA$24*INDEX($FB$49:$FB$52,MATCH(X219,$FA$49:$FA$52,))/3/(1+($FA$20-1)*$FA$19),0)+IF(CA219="自身",$FA$19*#REF!/3/(1+(BH219-1)*$BD219),0)),0)</f>
        <v>0</v>
      </c>
      <c r="CE219" s="1097">
        <f t="shared" si="299"/>
        <v>0</v>
      </c>
      <c r="CF219" s="1112">
        <f t="shared" si="300"/>
        <v>0</v>
      </c>
      <c r="CG219" s="1100">
        <f t="shared" si="301"/>
        <v>0</v>
      </c>
      <c r="CH219" s="1110">
        <f t="shared" si="302"/>
        <v>0</v>
      </c>
      <c r="CI219" s="1113" t="s">
        <v>165</v>
      </c>
      <c r="CJ219" s="1114">
        <v>0.3</v>
      </c>
      <c r="CK219" s="1115" t="s">
        <v>156</v>
      </c>
      <c r="CL219" s="1115" t="s">
        <v>1941</v>
      </c>
      <c r="CM219" s="1119">
        <v>7.0000000000000007E-2</v>
      </c>
      <c r="CN219" s="1115"/>
      <c r="CO219" s="1092"/>
      <c r="CP219" s="1116">
        <f t="shared" si="303"/>
        <v>1.0774497008690997</v>
      </c>
      <c r="CQ219" s="1116">
        <f t="shared" si="304"/>
        <v>1.9274377982213897</v>
      </c>
      <c r="CR219" s="1116">
        <f t="shared" si="305"/>
        <v>1.0774497008690997</v>
      </c>
      <c r="CS219" s="1118">
        <f t="shared" si="306"/>
        <v>0</v>
      </c>
      <c r="CT219" s="1109">
        <f t="shared" si="307"/>
        <v>1.75983451141953</v>
      </c>
      <c r="CU219" s="1101">
        <f t="shared" si="308"/>
        <v>67.340606304318726</v>
      </c>
      <c r="CV219" s="1108">
        <f t="shared" si="309"/>
        <v>80.309908259224571</v>
      </c>
      <c r="CW219" s="1097">
        <f t="shared" si="310"/>
        <v>67.340606304318726</v>
      </c>
      <c r="CX219" s="1097">
        <f t="shared" si="311"/>
        <v>67.340606304318726</v>
      </c>
      <c r="CY219" s="1110">
        <f t="shared" si="312"/>
        <v>67.340606304318726</v>
      </c>
      <c r="CZ219" s="437"/>
      <c r="DA219" s="438"/>
      <c r="DB219" s="439" t="s">
        <v>569</v>
      </c>
      <c r="DC219" s="439"/>
      <c r="DD219" s="443"/>
      <c r="DE219" s="411"/>
      <c r="DF219" s="411"/>
      <c r="DG219" s="1116">
        <f t="shared" si="313"/>
        <v>0</v>
      </c>
      <c r="DH219" s="1116">
        <f t="shared" si="314"/>
        <v>0</v>
      </c>
      <c r="DI219" s="1116">
        <f t="shared" si="315"/>
        <v>0</v>
      </c>
      <c r="DJ219" s="442">
        <f t="shared" si="316"/>
        <v>0</v>
      </c>
      <c r="DK219" s="1109">
        <f t="shared" si="317"/>
        <v>0</v>
      </c>
      <c r="DL219" s="1101">
        <f t="shared" si="318"/>
        <v>0</v>
      </c>
      <c r="DM219" s="1097">
        <f t="shared" si="319"/>
        <v>0</v>
      </c>
      <c r="DN219" s="1097">
        <f t="shared" si="320"/>
        <v>0</v>
      </c>
      <c r="DO219" s="1097">
        <f t="shared" si="321"/>
        <v>0</v>
      </c>
      <c r="DP219" s="1110">
        <f t="shared" si="322"/>
        <v>0</v>
      </c>
      <c r="DQ219" s="1113" t="s">
        <v>565</v>
      </c>
      <c r="DR219" s="1120">
        <f t="shared" si="323"/>
        <v>0.3</v>
      </c>
      <c r="DS219" s="1124">
        <v>5</v>
      </c>
      <c r="DT219" s="1093" t="s">
        <v>161</v>
      </c>
      <c r="DU219" s="1093" t="s">
        <v>560</v>
      </c>
      <c r="DV219" s="1098">
        <f>IF($P219="","N/A",IF(P219=-1,INDEX('卡片raw data'!AN:AN,MATCH(D219,'卡片raw data'!$F:$F,)),0)+IF(AND(L219&lt;&gt;"party卡",P219&lt;=2,P219&gt;=0),INDEX('卡片raw data'!AP:AP,MATCH(D219,'卡片raw data'!$F:$F,)),0)+IF(OR(AND(L219="party卡",P219&lt;=1),AND(P219&lt;=4,L219&lt;&gt;"party卡",P219&gt;=3)),INDEX('卡片raw data'!AQ:AQ,MATCH(D219,'卡片raw data'!$F:$F,)),0)+IF(OR(P219=5,AND(L219="party卡",P219&gt;=2)),INDEX('卡片raw data'!AR:AR,MATCH(D219,'卡片raw data'!$F:$F,)),0))</f>
        <v>4.2000000000000003E-2</v>
      </c>
      <c r="DW219" s="1098">
        <f t="shared" si="324"/>
        <v>0.3</v>
      </c>
      <c r="DX219" s="1098">
        <f t="shared" si="325"/>
        <v>0.3</v>
      </c>
      <c r="DY219" s="1098">
        <f t="shared" si="326"/>
        <v>2.0999999999999998E-2</v>
      </c>
      <c r="DZ219" s="1098">
        <f t="shared" si="327"/>
        <v>1.8164999999999997E-2</v>
      </c>
      <c r="EA219" s="1098">
        <f t="shared" si="328"/>
        <v>0</v>
      </c>
      <c r="EB219" s="1121">
        <f t="shared" si="329"/>
        <v>4.1901234374999996</v>
      </c>
      <c r="EC219" s="1101">
        <f t="shared" si="330"/>
        <v>272.99999999999994</v>
      </c>
      <c r="ED219" s="1097">
        <f t="shared" si="331"/>
        <v>181.04449999999994</v>
      </c>
      <c r="EE219" s="1110">
        <f t="shared" si="332"/>
        <v>272.99999999999994</v>
      </c>
      <c r="EF219" s="1092" t="s">
        <v>711</v>
      </c>
      <c r="EG219" s="1120">
        <f t="shared" si="333"/>
        <v>0.3</v>
      </c>
      <c r="EH219" s="1124"/>
      <c r="EI219" s="1093"/>
      <c r="EJ219" s="1093"/>
      <c r="EK219" s="1097">
        <f>IF($P219="","N/A",IF(P219=-1,INDEX('卡片raw data'!AS:AS,MATCH(D219,'卡片raw data'!$F:$F,)),0)+IF(AND(L219&lt;&gt;"party卡",P219&lt;=2,P219&gt;=0),INDEX('卡片raw data'!AU:AU,MATCH(D219,'卡片raw data'!$F:$F,)),0)+IF(OR(AND(L219="party卡",P219&lt;=1),AND(P219&lt;=4,L219&lt;&gt;"party卡",P219&gt;=3)),INDEX('卡片raw data'!AV:AV,MATCH(D219,'卡片raw data'!$F:$F,)),0)+IF(OR(P219=5,AND(L219="party卡",P219&gt;=2)),INDEX('卡片raw data'!AW:AW,MATCH(D219,'卡片raw data'!$F:$F,)),0))</f>
        <v>0</v>
      </c>
      <c r="EL219" s="1098">
        <f t="shared" si="334"/>
        <v>0.3</v>
      </c>
      <c r="EM219" s="1098">
        <f t="shared" si="335"/>
        <v>0.3</v>
      </c>
      <c r="EN219" s="1125">
        <f t="shared" si="336"/>
        <v>0</v>
      </c>
      <c r="EO219" s="1125">
        <f t="shared" si="337"/>
        <v>0</v>
      </c>
      <c r="EP219" s="1098">
        <f t="shared" si="338"/>
        <v>0</v>
      </c>
      <c r="EQ219" s="1121">
        <f t="shared" si="339"/>
        <v>0</v>
      </c>
      <c r="ER219" s="1101">
        <f t="shared" si="340"/>
        <v>0</v>
      </c>
      <c r="ES219" s="1097">
        <f t="shared" si="341"/>
        <v>0</v>
      </c>
      <c r="ET219" s="1122">
        <f t="shared" si="342"/>
        <v>0</v>
      </c>
    </row>
    <row r="220" spans="2:150" ht="16.5" customHeight="1">
      <c r="B220" s="1123" t="str">
        <f>INDEX('卡片raw data'!B:B,MATCH($D220,'卡片raw data'!$F:$F,))</f>
        <v>op2绘</v>
      </c>
      <c r="C220" s="449" t="s">
        <v>67</v>
      </c>
      <c r="D220" s="408">
        <v>217</v>
      </c>
      <c r="E220" s="1090">
        <v>400022001</v>
      </c>
      <c r="F220" s="1090" t="str">
        <f>INDEX('卡片raw data'!C:C,MATCH($D220,'卡片raw data'!$F:$F,))</f>
        <v>SR</v>
      </c>
      <c r="G220" s="1094" t="s">
        <v>332</v>
      </c>
      <c r="H220" s="411">
        <f>IFERROR(INDEX(绊状态确认!C:C,MATCH($G220,绊状态确认!$B:$B,)),"")</f>
        <v>2</v>
      </c>
      <c r="I220" s="450" t="str">
        <f>IFERROR(INDEX(绊状态确认!D:D,MATCH($G220,绊状态确认!$B:$B,)),"")</f>
        <v>缪</v>
      </c>
      <c r="J220" s="450" t="str">
        <f>IFERROR(INDEX(绊状态确认!E:E,MATCH($G220,绊状态确认!$B:$B,)),"")</f>
        <v>3年级</v>
      </c>
      <c r="K220" s="451" t="str">
        <f>IFERROR(INDEX(绊状态确认!F:F,MATCH($G220,绊状态确认!$B:$B,)),"")</f>
        <v>BiBi</v>
      </c>
      <c r="L220" s="1094" t="str">
        <f>INDEX('卡片raw data'!E:E,MATCH($D220,'卡片raw data'!$F:$F,))</f>
        <v>活动卡</v>
      </c>
      <c r="M220" s="415">
        <v>43927</v>
      </c>
      <c r="N220" s="416">
        <v>13</v>
      </c>
      <c r="O220" s="1091" t="str">
        <f>INDEX('卡片raw data'!D:D,MATCH($D220,'卡片raw data'!$F:$F,))</f>
        <v>vo</v>
      </c>
      <c r="P220" s="417">
        <v>5</v>
      </c>
      <c r="Q220" s="1095">
        <f t="shared" si="258"/>
        <v>33300.605477340185</v>
      </c>
      <c r="R220" s="1096">
        <f t="shared" si="259"/>
        <v>0.38700000000000001</v>
      </c>
      <c r="S220" s="1097">
        <f t="shared" si="260"/>
        <v>14089.699383185809</v>
      </c>
      <c r="T220" s="1098">
        <f t="shared" si="261"/>
        <v>0.70399999999999996</v>
      </c>
      <c r="U220" s="1099">
        <f t="shared" si="262"/>
        <v>-16.820201256687145</v>
      </c>
      <c r="V220" s="1100">
        <f t="shared" si="263"/>
        <v>32643.415966630422</v>
      </c>
      <c r="W220" s="1101">
        <f t="shared" si="264"/>
        <v>4847.6788159467524</v>
      </c>
      <c r="X220" s="1096">
        <f t="shared" si="265"/>
        <v>5.6000000000000001E-2</v>
      </c>
      <c r="Y220" s="1097">
        <f t="shared" si="266"/>
        <v>647.47893953193125</v>
      </c>
      <c r="Z220" s="1102">
        <f t="shared" si="267"/>
        <v>8.1797987433128547</v>
      </c>
      <c r="AA220" s="1103">
        <f t="shared" si="268"/>
        <v>5495.1577554786836</v>
      </c>
      <c r="AB220" s="1101">
        <f t="shared" si="269"/>
        <v>5556.7896531882243</v>
      </c>
      <c r="AC220" s="1104">
        <f t="shared" si="270"/>
        <v>6.4000000000000001E-2</v>
      </c>
      <c r="AD220" s="1105">
        <f t="shared" si="271"/>
        <v>-3.8207812500000026E-3</v>
      </c>
      <c r="AE220" s="1128">
        <f t="shared" si="272"/>
        <v>-12.27536231884058</v>
      </c>
      <c r="AF220" s="1130">
        <f t="shared" si="273"/>
        <v>0</v>
      </c>
      <c r="AG220" s="420">
        <f t="shared" si="274"/>
        <v>0</v>
      </c>
      <c r="AH220" s="420">
        <f t="shared" si="275"/>
        <v>0</v>
      </c>
      <c r="AI220" s="1097">
        <f t="shared" si="276"/>
        <v>0</v>
      </c>
      <c r="AJ220" s="420">
        <f t="shared" si="277"/>
        <v>0</v>
      </c>
      <c r="AK220" s="518">
        <f t="shared" si="278"/>
        <v>0</v>
      </c>
      <c r="AL220" s="1106">
        <f>IF($P220="","N/A",(IF($P220=-1,INDEX('卡片raw data'!S:S,MATCH($D220,'卡片raw data'!$F:$F,)),0)+IF($P220=0,INDEX('卡片raw data'!V:V,MATCH($D220,'卡片raw data'!$F:$F,)),0)+IF($P220=1,INDEX('卡片raw data'!Y:Y,MATCH($D220,'卡片raw data'!$F:$F,)),0)+IF($P220=2,INDEX('卡片raw data'!AB:AB,MATCH($D220,'卡片raw data'!$F:$F,)),0)+IF($P220=3,INDEX('卡片raw data'!AE:AE,MATCH($D220,'卡片raw data'!$F:$F,)),0)+IF($P220=4,INDEX('卡片raw data'!AH:AH,MATCH($D220,'卡片raw data'!$F:$F,)),0)+IF($P220=5,INDEX('卡片raw data'!AK:AK,MATCH($D220,'卡片raw data'!$F:$F,)),0)+INDEX('卡片raw data'!S:S,MATCH($D220,'卡片raw data'!$F:$F,))*(IF($F220="UR",0.04,0.033))*(IF($F220="UR",INDEX(绊状态确认!$S:$S,MATCH($G220,绊状态确认!$B:$B,))/2-40)+IF($F220="SR",INDEX(绊状态确认!$R:$R,MATCH($G220,绊状态确认!$B:$B,))/4-15))+IF($F220="R",INDEX(绊状态确认!$Q:$Q,MATCH($G220,绊状态确认!$B:$B,))/6-40/6)))*(INDEX(绊状态确认!$H:$H,MATCH($G220,绊状态确认!$B:$B,))+INDEX(绊状态确认!J:J,MATCH($G220,绊状态确认!$B:$B,)))</f>
        <v>7060.837303199999</v>
      </c>
      <c r="AM220" s="1106">
        <f>IF($P220="","N/A",(IF($P220=-1,INDEX('卡片raw data'!T:T,MATCH($D220,'卡片raw data'!$F:$F,)),0)+IF($P220=0,INDEX('卡片raw data'!W:W,MATCH($D220,'卡片raw data'!$F:$F,)),0)+IF($P220=1,INDEX('卡片raw data'!Z:Z,MATCH($D220,'卡片raw data'!$F:$F,)),0)+IF($P220=2,INDEX('卡片raw data'!AC:AC,MATCH($D220,'卡片raw data'!$F:$F,)),0)+IF($P220=3,INDEX('卡片raw data'!AF:AF,MATCH($D220,'卡片raw data'!$F:$F,)),0)+IF($P220=4,INDEX('卡片raw data'!AI:AI,MATCH($D220,'卡片raw data'!$F:$F,)),0)+IF($P220=5,INDEX('卡片raw data'!AL:AL,MATCH($D220,'卡片raw data'!$F:$F,)),0)+INDEX('卡片raw data'!T:T,MATCH($D220,'卡片raw data'!$F:$F,))*(IF($F220="UR",0.04,0.033))*(IF($F220="UR",INDEX(绊状态确认!$S:$S,MATCH($G220,绊状态确认!$B:$B,))/2-40)+IF($F220="SR",INDEX(绊状态确认!$R:$R,MATCH($G220,绊状态确认!$B:$B,))/4-15))+IF($F220="R",INDEX(绊状态确认!$Q:$Q,MATCH($G220,绊状态确认!$B:$B,))/6-40/6)))*(INDEX(绊状态确认!$H:$H,MATCH($G220,绊状态确认!$B:$B,))+INDEX(绊状态确认!K:K,MATCH($G220,绊状态确认!$B:$B,)))</f>
        <v>3612.0724007999993</v>
      </c>
      <c r="AN220" s="1106">
        <f>IF($P220="","N/A",(IF($P220=-1,INDEX('卡片raw data'!U:U,MATCH($D220,'卡片raw data'!$F:$F,)),0)+IF($P220=0,INDEX('卡片raw data'!X:X,MATCH($D220,'卡片raw data'!$F:$F,)),0)+IF($P220=1,INDEX('卡片raw data'!AA:AA,MATCH($D220,'卡片raw data'!$F:$F,)),0)+IF($P220=2,INDEX('卡片raw data'!AD:AD,MATCH($D220,'卡片raw data'!$F:$F,)),0)+IF($P220=3,INDEX('卡片raw data'!AG:AG,MATCH($D220,'卡片raw data'!$F:$F,)),0)+IF($P220=4,INDEX('卡片raw data'!AJ:AJ,MATCH($D220,'卡片raw data'!$F:$F,)),0)+IF($P220=5,INDEX('卡片raw data'!AM:AM,MATCH($D220,'卡片raw data'!$F:$F,)),0)+INDEX('卡片raw data'!U:U,MATCH($D220,'卡片raw data'!$F:$F,))*(IF($F220="UR",0.04,0.033))*(IF($F220="UR",INDEX(绊状态确认!$S:$S,MATCH($G220,绊状态确认!$B:$B,))/2-40)+IF($F220="SR",INDEX(绊状态确认!$R:$R,MATCH($G220,绊状态确认!$B:$B,))/4-15))+IF($F220="R",INDEX(绊状态确认!$Q:$Q,MATCH($G220,绊状态确认!$B:$B,))/6-40/6)))*(INDEX(绊状态确认!$H:$H,MATCH($G220,绊状态确认!$B:$B,))+INDEX(绊状态确认!L:L,MATCH($G220,绊状态确认!$B:$B,)))</f>
        <v>5747.1089015999987</v>
      </c>
      <c r="AO220" s="1107">
        <f t="shared" si="279"/>
        <v>1</v>
      </c>
      <c r="AP220" s="1131">
        <f>1+(INDEX(绊状态确认!$T:$T,MATCH($G220,绊状态确认!$B:$B,))+0.2)*$AO220</f>
        <v>1.3</v>
      </c>
      <c r="AQ220" s="1108">
        <f t="shared" si="280"/>
        <v>21784.697920899998</v>
      </c>
      <c r="AR220" s="1097">
        <f>(AM220*(1+$EX$9)+$EX$35)*(1+(INDEX(绊状态确认!$T:$T,MATCH($G220,绊状态确认!$B:$B,))+0.2)*AO220)*IF(J220=$FF$17,1+$FE$17,1)*IF(I220=$FF$14,1+$FE$14,1)</f>
        <v>7634.4788270919989</v>
      </c>
      <c r="AS220" s="1097">
        <f>(AN220*(1+$EX$10)+$EX$36)*(1+(INDEX(绊状态确认!$T:$T,MATCH($G220,绊状态确认!$B:$B,))+0.2)*AO220)*IF(J220=$FF$17,1+$FE$17,1)*IF(I220=$FF$14,1+$FE$14,1)</f>
        <v>12647.927807891998</v>
      </c>
      <c r="AT220" s="1093">
        <f>IF(AND(INDEX('卡片raw data'!AK:AK,MATCH($D220,'卡片raw data'!$F:$F,))&lt;INDEX('卡片raw data'!AM:AM,MATCH($D220,'卡片raw data'!$F:$F,)),INDEX('卡片raw data'!AL:AL,MATCH($D220,'卡片raw data'!$F:$F,))&lt;INDEX('卡片raw data'!AM:AM,MATCH($D220,'卡片raw data'!$F:$F,))),1,0)</f>
        <v>0</v>
      </c>
      <c r="AU220" s="1098">
        <f>MIN(AT220*0.15+AS220*0.00003+INDEX(绊状态确认!M:M,MATCH($G220,绊状态确认!$B:$B,)),1)</f>
        <v>0.40943783423675995</v>
      </c>
      <c r="AV220" s="1109">
        <f>(INDEX(绊状态确认!$N:$N,MATCH($G220,绊状态确认!$B:$B,))+1.5)*$EW$21</f>
        <v>2.6599999999999997</v>
      </c>
      <c r="AW220" s="1101">
        <f t="shared" si="281"/>
        <v>19003.43218320061</v>
      </c>
      <c r="AX220" s="1097">
        <f t="shared" si="282"/>
        <v>647.47893953193147</v>
      </c>
      <c r="AY220" s="1110">
        <f t="shared" si="283"/>
        <v>19650.911122732541</v>
      </c>
      <c r="AZ220" s="429">
        <f t="shared" si="284"/>
        <v>16368.632741239999</v>
      </c>
      <c r="BA220" s="431">
        <f t="shared" si="285"/>
        <v>19642.359289487998</v>
      </c>
      <c r="BB220" s="1097">
        <f>(AM220*(1+$FB$9)+$FB$35)*(1+(INDEX(绊状态确认!$T:$T,MATCH($G220,绊状态确认!$B:$B,))+0.2)*AO220)*IF(J220=$FF$17,1+$FE$17,1)*IF(I220=$FF$14,1+$FE$14,1)*(1+$FE$15)</f>
        <v>7634.4788270919989</v>
      </c>
      <c r="BC220" s="1097">
        <f>(AN220*(1+$FB$10)+$FB$36)*(1+(INDEX(绊状态确认!$T:$T,MATCH($G220,绊状态确认!$B:$B,))+0.2)*AO220)*IF(J220=$FF$17,1+$FE$17,1)*IF(I220=$FF$14,1+$FE$14,1)*(1+$FE$15)</f>
        <v>12647.927807891998</v>
      </c>
      <c r="BD220" s="1104">
        <f>MIN(AT220*0.15+BC220*0.00003+INDEX(绊状态确认!M:M,MATCH($G220,绊状态确认!$B:$B,)),1)</f>
        <v>0.40943783423675995</v>
      </c>
      <c r="BE220" s="432">
        <f>(INDEX(绊状态确认!$N:$N,MATCH($G220,绊状态确认!$B:$B,))+1.5)</f>
        <v>1.9</v>
      </c>
      <c r="BF220" s="1139">
        <f t="array" ref="BF220">SUMPRODUCT(IF(AZ220*AP220*$FI$16:$FI$23*$FA$22&gt;=$FI$24,$FI$24,AZ220*AP220*$FI$16:$FI$23*$FA$22),$FJ$16:$FJ$23)</f>
        <v>32557.210522326361</v>
      </c>
      <c r="BG220" s="1125">
        <f t="array" ref="BG220">SUMPRODUCT(IF(BE220*AZ220*AP220*$FI$16:$FI$23*$FA$22&gt;=$FI$24,$FI$24,BE220*AZ220*AP220*$FI$16:$FI$23*$FA$22),$FJ$16:$FJ$23)</f>
        <v>57428.177121557281</v>
      </c>
      <c r="BH220" s="1110">
        <f t="shared" si="286"/>
        <v>14246.775074030089</v>
      </c>
      <c r="BI220" s="1111">
        <f>IF(O220="vo",$EW$26/$EW$24*0.05,0)+IF(O220="sk",-$EW$26/$EW$24*(0.05-INDEX(绊状态确认!W:W,MATCH($G220,绊状态确认!$B:$B,)))+0.05*$EW$28,0)+IF(O220="sp",0.05*$EW$32*$EW$30*(1-$EW$33)-(0.05-INDEX(绊状态确认!V:V,MATCH($G220,绊状态确认!$B:$B,)))*$EW$28,0)+IF(O220="gd",-(0.05-INDEX(绊状态确认!X:X,MATCH($G220,绊状态确认!$B:$B,)))*$EW$32*$EW$30*(1-$EW$33),0)</f>
        <v>7726.3029277443748</v>
      </c>
      <c r="BJ220" s="1097">
        <f>IF(O220="vo",0.05*(1-$FI$26)*$FA$24,0)+IF(O220="sk",-(0.05-INDEX(绊状态确认!W:W,MATCH($G220,绊状态确认!$B:$B,)))*(1-$FI$26)*$FA$24+0.05*$FA$26,0)+IF(O220="sp",0.05*$FA$32*$FA$27*(1-$FA$33)/$FA$30+0.05*$FA$29/$FA$69*$FA$27*(1-$FA$33)-(0.05-INDEX(绊状态确认!V:V,MATCH($G220,绊状态确认!$B:$B,)))*$FA$26,0)+IF(O220="gd",-(0.05-INDEX(绊状态确认!X:X,MATCH($G220,绊状态确认!$B:$B,)))*$FA$32*$FA$27*(1-$FA$33)/$FA$30-(0.05-INDEX(绊状态确认!X:X,MATCH($G220,绊状态确认!$B:$B,)))*$FA$29/$FA$69*$FA$27*(1-$FA$33),0)</f>
        <v>393.93433687500004</v>
      </c>
      <c r="BK220" s="1110">
        <f>IF(O220="vo",$EW$26/$EW$24*0.05+$EW$26*(-HP($EW$62,$EW$65,$EW$64)+HP($EW$62,$EW$65,(1.05-INDEX(绊状态确认!U:U,MATCH($G220,绊状态确认!$B:$B,)))*$EW$64)),0)+IF(O220="sk",-$EW$26/$EW$24*(0.05-INDEX(绊状态确认!W:W,MATCH($G220,绊状态确认!$B:$B,)))+0.05*$EW$29,0)+IF(O220="sp",0.05*$EW$32*$EW$30*(1-$EW$33)-(0.05-INDEX(绊状态确认!V:V,MATCH($G220,绊状态确认!$B:$B,)))*$EW$29,0)+IF(O220="gd",-(0.05-INDEX(绊状态确认!X:X,MATCH($G220,绊状态确认!$B:$B,)))*$EW$32*$EW$30*(1-$EW$33)+$EW$26*(-HP($EW$62,$EW$65,$EW$64)+HP($EW$62,$EW$65,0.95*$EW$64)),0)</f>
        <v>6421.6344775026746</v>
      </c>
      <c r="BL220" s="1111">
        <f t="shared" si="287"/>
        <v>-1083.3333333333333</v>
      </c>
      <c r="BM220" s="1110">
        <f t="shared" si="288"/>
        <v>-830.55555555555543</v>
      </c>
      <c r="BN220" s="1113">
        <f t="shared" si="289"/>
        <v>3</v>
      </c>
      <c r="BO220" s="1097">
        <f t="shared" si="290"/>
        <v>4507.7214871259994</v>
      </c>
      <c r="BP220" s="1100">
        <f t="shared" si="291"/>
        <v>221.34103209030098</v>
      </c>
      <c r="BQ220" s="1113" t="s">
        <v>145</v>
      </c>
      <c r="BR220" s="1124" t="s">
        <v>625</v>
      </c>
      <c r="BS220" s="1098">
        <f>IF($P220="","N/A",IF($P220=-1,INDEX('卡片raw data'!AX:AX,MATCH($D220,'卡片raw data'!$F:$F,)),0)+IF($L220="party卡",IF($P220=5,INDEX('卡片raw data'!BD:BD,MATCH($D220,'卡片raw data'!$F:$F,)),IF($P220&gt;=3,INDEX('卡片raw data'!BC:BC,MATCH($D220,'卡片raw data'!$F:$F,)),INDEX('卡片raw data'!BB:BB,MATCH($D220,'卡片raw data'!$F:$F,)))),IF(OR(AND($F220="UR",$P220=0),AND($F220="SR",$P220&gt;=0,$P220&lt;=2),AND($F220="R",$P220&gt;=0,$P220&lt;4)),INDEX('卡片raw data'!AZ:AZ,MATCH($D220,'卡片raw data'!$F:$F,)),0)+IF(OR(AND($F220="UR",$P220&gt;=1,$P220&lt;=4),AND($F220="SR",$P220&lt;=4,$P220&gt;=3),AND($F220="R",$P220=4)),INDEX('卡片raw data'!BA:BA,MATCH($D220,'卡片raw data'!$F:$F,)),0)+IF($P220=5,INDEX('卡片raw data'!BB:BB,MATCH($D220,'卡片raw data'!$F:$F,)),0)))</f>
        <v>7.0000000000000007E-2</v>
      </c>
      <c r="BT220" s="1101">
        <f t="shared" si="292"/>
        <v>369.1535084207199</v>
      </c>
      <c r="BU220" s="1097">
        <f t="shared" si="293"/>
        <v>30.629092164725062</v>
      </c>
      <c r="BV220" s="1097">
        <f t="shared" si="294"/>
        <v>0</v>
      </c>
      <c r="BW220" s="1112">
        <f t="shared" si="295"/>
        <v>0</v>
      </c>
      <c r="BX220" s="1100">
        <f t="shared" si="296"/>
        <v>369.1535084207199</v>
      </c>
      <c r="BY220" s="1110">
        <f t="shared" si="297"/>
        <v>0</v>
      </c>
      <c r="BZ220" s="1107" t="s">
        <v>569</v>
      </c>
      <c r="CA220" s="1124"/>
      <c r="CB220" s="1098">
        <f>IF($P220="","N/A",IF($P220=-1,INDEX('卡片raw data'!BE:BE,MATCH($D220,'卡片raw data'!$F:$F,)),0)+IF($L220="party卡",IF($P220=5,INDEX('卡片raw data'!BK:BK,MATCH($D220,'卡片raw data'!$F:$F,)),IF($P220&gt;=3,INDEX('卡片raw data'!BJ:BJ,MATCH($D220,'卡片raw data'!$F:$F,)),INDEX('卡片raw data'!BI:BI,MATCH($D220,'卡片raw data'!$F:$F,)))),IF(OR(AND($F220="UR",$P220=0),AND($F220="SR",$P220&gt;=0,$P220&lt;=2),AND($F220="R",$P220&gt;=0,$P220&lt;4)),INDEX('卡片raw data'!BG:BG,MATCH($D220,'卡片raw data'!$F:$F,)),0)+IF(OR(AND($F220="UR",$P220&gt;=1,$P220&lt;=4),AND($F220="SR",$P220&lt;=4,$P220&gt;=3),AND($F220="R",$P220=4)),INDEX('卡片raw data'!BH:BH,MATCH($D220,'卡片raw data'!$F:$F,)),0)+IF($P220=5,INDEX('卡片raw data'!BI:BI,MATCH($D220,'卡片raw data'!$F:$F,)),0)))</f>
        <v>0</v>
      </c>
      <c r="CC220" s="1101">
        <f t="shared" si="298"/>
        <v>0</v>
      </c>
      <c r="CD220" s="1097">
        <f>IF(BZ220="ap",CB220*(1-$FI$26)*$FB$5/$FB$11*(+IF(CA220="全员",$FA$24,0)+IF(CA220="同作战",$FA$24,0)+IF(CA220="仲间",$FA$24*2/3,0)+IF(CA220="同属性",$FA$24*$FA$37/3,0)+IF(CA220="同年级",$FA$24*$FA$40/3,0)+IF(CA220="同学校",$FA$24*$FA$43/3,0)+IF(CA220="同小队",$FA$24*$FA$46/3,0)+IF(CA220="同type",$FA$24*INDEX($FB$49:$FB$52,MATCH(X220,$FA$49:$FA$52,))/3,0)+IF(CA220="自身",#REF!/3,0)),0)+IF(BZ220="te",CB220*(1-$FI$27)*($FA$20-1)*$FB$7/$FB$13*(+IF(CA220="全员",$FA$19*$FA$24/(1+($FA$20-1)*$FA$19),0)+IF(CA220="同作战",$FA$19*$FA$24/(1+($FA$20-1)*$FA$19),0)+IF(CA220="仲间",$FA$19*$FA$24*2/3/(1+($FA$20-1)*$FA$19),0)+IF(CA220="同属性",$FA$19*$FA$24*$FA$37/3/(1+($FA$20-1)*$FA$19),0)+IF(CA220="同年级",$FA$19*$FA$24*$FA$40/3/(1+($FA$20-1)*$FA$19),0)+IF(CA220="同学校",$FA$19*$FA$24*$FA$43/3/(1+($FA$20-1)*$FA$19),0)+IF(CA220="同小队",$FA$19*$FA$24*$FA$46/3/(1+($FA$20-1)*$FA$19),0)+IF(CA220="同type",$FA$19*$FA$24*INDEX($FB$49:$FB$52,MATCH(X220,$FA$49:$FA$52,))/3/(1+($FA$20-1)*$FA$19),0)+IF(CA220="自身",$FA$19*#REF!/3/(1+(BH220-1)*$BD220),0)),0)</f>
        <v>0</v>
      </c>
      <c r="CE220" s="1097">
        <f t="shared" si="299"/>
        <v>0</v>
      </c>
      <c r="CF220" s="1112">
        <f t="shared" si="300"/>
        <v>0</v>
      </c>
      <c r="CG220" s="1100">
        <f t="shared" si="301"/>
        <v>0</v>
      </c>
      <c r="CH220" s="1110">
        <f t="shared" si="302"/>
        <v>0</v>
      </c>
      <c r="CI220" s="1113" t="s">
        <v>165</v>
      </c>
      <c r="CJ220" s="1114">
        <v>0.3</v>
      </c>
      <c r="CK220" s="1115" t="s">
        <v>589</v>
      </c>
      <c r="CL220" s="1115" t="s">
        <v>171</v>
      </c>
      <c r="CM220" s="1119">
        <v>0.02</v>
      </c>
      <c r="CN220" s="1115" t="s">
        <v>588</v>
      </c>
      <c r="CO220" s="1092"/>
      <c r="CP220" s="1118">
        <f t="shared" si="303"/>
        <v>4.0000000000000001E-3</v>
      </c>
      <c r="CQ220" s="1118">
        <f t="shared" si="304"/>
        <v>3.5000000000000005E-3</v>
      </c>
      <c r="CR220" s="1118">
        <f t="shared" si="305"/>
        <v>2E-3</v>
      </c>
      <c r="CS220" s="1118">
        <f t="shared" si="306"/>
        <v>0</v>
      </c>
      <c r="CT220" s="1109">
        <f t="shared" si="307"/>
        <v>0</v>
      </c>
      <c r="CU220" s="1101">
        <f t="shared" si="308"/>
        <v>679.91465764150507</v>
      </c>
      <c r="CV220" s="1108">
        <f t="shared" si="309"/>
        <v>27.575403581250004</v>
      </c>
      <c r="CW220" s="1097">
        <f t="shared" si="310"/>
        <v>339.95732882075254</v>
      </c>
      <c r="CX220" s="1097">
        <f t="shared" si="311"/>
        <v>679.91465764150507</v>
      </c>
      <c r="CY220" s="1110">
        <f t="shared" si="312"/>
        <v>339.95732882075254</v>
      </c>
      <c r="CZ220" s="437"/>
      <c r="DA220" s="438"/>
      <c r="DB220" s="439" t="s">
        <v>569</v>
      </c>
      <c r="DC220" s="439"/>
      <c r="DD220" s="443"/>
      <c r="DE220" s="411"/>
      <c r="DF220" s="411"/>
      <c r="DG220" s="1116">
        <f t="shared" si="313"/>
        <v>0</v>
      </c>
      <c r="DH220" s="1116">
        <f t="shared" si="314"/>
        <v>0</v>
      </c>
      <c r="DI220" s="1116">
        <f t="shared" si="315"/>
        <v>0</v>
      </c>
      <c r="DJ220" s="442">
        <f t="shared" si="316"/>
        <v>0</v>
      </c>
      <c r="DK220" s="1109">
        <f t="shared" si="317"/>
        <v>0</v>
      </c>
      <c r="DL220" s="1101">
        <f t="shared" si="318"/>
        <v>0</v>
      </c>
      <c r="DM220" s="1097">
        <f t="shared" si="319"/>
        <v>0</v>
      </c>
      <c r="DN220" s="1097">
        <f t="shared" si="320"/>
        <v>0</v>
      </c>
      <c r="DO220" s="1097">
        <f t="shared" si="321"/>
        <v>0</v>
      </c>
      <c r="DP220" s="1110">
        <f t="shared" si="322"/>
        <v>0</v>
      </c>
      <c r="DQ220" s="1113" t="s">
        <v>551</v>
      </c>
      <c r="DR220" s="1120">
        <f t="shared" si="323"/>
        <v>0.3</v>
      </c>
      <c r="DS220" s="1124">
        <v>5</v>
      </c>
      <c r="DT220" s="1093" t="s">
        <v>168</v>
      </c>
      <c r="DU220" s="1093" t="s">
        <v>560</v>
      </c>
      <c r="DV220" s="1098">
        <f>IF($P220="","N/A",IF(P220=-1,INDEX('卡片raw data'!AN:AN,MATCH(D220,'卡片raw data'!$F:$F,)),0)+IF(AND(L220&lt;&gt;"party卡",P220&lt;=2,P220&gt;=0),INDEX('卡片raw data'!AP:AP,MATCH(D220,'卡片raw data'!$F:$F,)),0)+IF(OR(AND(L220="party卡",P220&lt;=1),AND(P220&lt;=4,L220&lt;&gt;"party卡",P220&gt;=3)),INDEX('卡片raw data'!AQ:AQ,MATCH(D220,'卡片raw data'!$F:$F,)),0)+IF(OR(P220=5,AND(L220="party卡",P220&gt;=2)),INDEX('卡片raw data'!AR:AR,MATCH(D220,'卡片raw data'!$F:$F,)),0))</f>
        <v>7.0000000000000007E-2</v>
      </c>
      <c r="DW220" s="1098">
        <f t="shared" si="324"/>
        <v>0.3</v>
      </c>
      <c r="DX220" s="1098">
        <f t="shared" si="325"/>
        <v>0.3</v>
      </c>
      <c r="DY220" s="1098">
        <f t="shared" si="326"/>
        <v>3.5000000000000003E-2</v>
      </c>
      <c r="DZ220" s="1098">
        <f t="shared" si="327"/>
        <v>3.0275000000000003E-2</v>
      </c>
      <c r="EA220" s="1098">
        <f t="shared" si="328"/>
        <v>0</v>
      </c>
      <c r="EB220" s="1121">
        <f t="shared" si="329"/>
        <v>0</v>
      </c>
      <c r="EC220" s="1101">
        <f t="shared" si="330"/>
        <v>2097.4140465403129</v>
      </c>
      <c r="ED220" s="1097">
        <f t="shared" si="331"/>
        <v>0</v>
      </c>
      <c r="EE220" s="1110">
        <f t="shared" si="332"/>
        <v>2097.4140465403129</v>
      </c>
      <c r="EF220" s="1092" t="s">
        <v>711</v>
      </c>
      <c r="EG220" s="1120">
        <f t="shared" si="333"/>
        <v>0.3</v>
      </c>
      <c r="EH220" s="1124"/>
      <c r="EI220" s="1093"/>
      <c r="EJ220" s="1093"/>
      <c r="EK220" s="1097">
        <f>IF($P220="","N/A",IF(P220=-1,INDEX('卡片raw data'!AS:AS,MATCH(D220,'卡片raw data'!$F:$F,)),0)+IF(AND(L220&lt;&gt;"party卡",P220&lt;=2,P220&gt;=0),INDEX('卡片raw data'!AU:AU,MATCH(D220,'卡片raw data'!$F:$F,)),0)+IF(OR(AND(L220="party卡",P220&lt;=1),AND(P220&lt;=4,L220&lt;&gt;"party卡",P220&gt;=3)),INDEX('卡片raw data'!AV:AV,MATCH(D220,'卡片raw data'!$F:$F,)),0)+IF(OR(P220=5,AND(L220="party卡",P220&gt;=2)),INDEX('卡片raw data'!AW:AW,MATCH(D220,'卡片raw data'!$F:$F,)),0))</f>
        <v>0</v>
      </c>
      <c r="EL220" s="1098">
        <f t="shared" si="334"/>
        <v>0.3</v>
      </c>
      <c r="EM220" s="1098">
        <f t="shared" si="335"/>
        <v>0.3</v>
      </c>
      <c r="EN220" s="1125">
        <f t="shared" si="336"/>
        <v>0</v>
      </c>
      <c r="EO220" s="1125">
        <f t="shared" si="337"/>
        <v>0</v>
      </c>
      <c r="EP220" s="1098">
        <f t="shared" si="338"/>
        <v>0</v>
      </c>
      <c r="EQ220" s="1121">
        <f t="shared" si="339"/>
        <v>0</v>
      </c>
      <c r="ER220" s="1101">
        <f t="shared" si="340"/>
        <v>0</v>
      </c>
      <c r="ES220" s="1097">
        <f t="shared" si="341"/>
        <v>0</v>
      </c>
      <c r="ET220" s="1122">
        <f t="shared" si="342"/>
        <v>0</v>
      </c>
    </row>
    <row r="221" spans="2:150" ht="16.5" customHeight="1">
      <c r="B221" s="1123" t="str">
        <f>INDEX('卡片raw data'!B:B,MATCH($D221,'卡片raw data'!$F:$F,))</f>
        <v>骑士雫</v>
      </c>
      <c r="C221" s="449" t="s">
        <v>67</v>
      </c>
      <c r="D221" s="408">
        <v>218</v>
      </c>
      <c r="E221" s="1090">
        <v>302033001</v>
      </c>
      <c r="F221" s="1090" t="str">
        <f>INDEX('卡片raw data'!C:C,MATCH($D221,'卡片raw data'!$F:$F,))</f>
        <v>UR</v>
      </c>
      <c r="G221" s="1094" t="s">
        <v>44</v>
      </c>
      <c r="H221" s="411">
        <f>IFERROR(INDEX(绊状态确认!C:C,MATCH($G221,绊状态确认!$B:$B,)),"")</f>
        <v>203</v>
      </c>
      <c r="I221" s="1124" t="str">
        <f>IFERROR(INDEX(绊状态确认!D:D,MATCH($G221,绊状态确认!$B:$B,)),"")</f>
        <v>虹</v>
      </c>
      <c r="J221" s="1124" t="str">
        <f>IFERROR(INDEX(绊状态确认!E:E,MATCH($G221,绊状态确认!$B:$B,)),"")</f>
        <v>1年级</v>
      </c>
      <c r="K221" s="451" t="str">
        <f>IFERROR(INDEX(绊状态确认!F:F,MATCH($G221,绊状态确认!$B:$B,)),"")</f>
        <v>A·ZU·NA</v>
      </c>
      <c r="L221" s="1094" t="str">
        <f>INDEX('卡片raw data'!E:E,MATCH($D221,'卡片raw data'!$F:$F,))</f>
        <v>卡池卡</v>
      </c>
      <c r="M221" s="415">
        <v>43936</v>
      </c>
      <c r="N221" s="416">
        <v>13.5</v>
      </c>
      <c r="O221" s="1091" t="str">
        <f>INDEX('卡片raw data'!D:D,MATCH($D221,'卡片raw data'!$F:$F,))</f>
        <v>sp</v>
      </c>
      <c r="P221" s="417">
        <v>5</v>
      </c>
      <c r="Q221" s="1095">
        <f t="shared" si="258"/>
        <v>51228.073984375071</v>
      </c>
      <c r="R221" s="1096">
        <f t="shared" si="259"/>
        <v>0.59499999999999997</v>
      </c>
      <c r="S221" s="1097">
        <f t="shared" si="260"/>
        <v>21035.244014038617</v>
      </c>
      <c r="T221" s="1098">
        <f t="shared" si="261"/>
        <v>1.0509999999999999</v>
      </c>
      <c r="U221" s="1099">
        <f t="shared" si="262"/>
        <v>15.494590280742857</v>
      </c>
      <c r="V221" s="1100">
        <f t="shared" si="263"/>
        <v>50673.078302842703</v>
      </c>
      <c r="W221" s="1101">
        <f t="shared" si="264"/>
        <v>4656.2736847393926</v>
      </c>
      <c r="X221" s="1096">
        <f t="shared" si="265"/>
        <v>5.3999999999999999E-2</v>
      </c>
      <c r="Y221" s="1097">
        <f t="shared" si="266"/>
        <v>1245.0043184676351</v>
      </c>
      <c r="Z221" s="1102">
        <f t="shared" si="267"/>
        <v>15.494590280742857</v>
      </c>
      <c r="AA221" s="1103">
        <f t="shared" si="268"/>
        <v>5901.2780032070277</v>
      </c>
      <c r="AB221" s="1101">
        <f t="shared" si="269"/>
        <v>9915.2820863863926</v>
      </c>
      <c r="AC221" s="1104">
        <f t="shared" si="270"/>
        <v>0.115</v>
      </c>
      <c r="AD221" s="1105">
        <f t="shared" si="271"/>
        <v>-1.6087500000000001E-2</v>
      </c>
      <c r="AE221" s="1128">
        <f t="shared" si="272"/>
        <v>24.682796672358258</v>
      </c>
      <c r="AF221" s="1130">
        <f t="shared" si="273"/>
        <v>0</v>
      </c>
      <c r="AG221" s="420">
        <f t="shared" si="274"/>
        <v>0</v>
      </c>
      <c r="AH221" s="420">
        <f t="shared" si="275"/>
        <v>0</v>
      </c>
      <c r="AI221" s="1097">
        <f t="shared" si="276"/>
        <v>0</v>
      </c>
      <c r="AJ221" s="420">
        <f t="shared" si="277"/>
        <v>0</v>
      </c>
      <c r="AK221" s="518">
        <f t="shared" si="278"/>
        <v>0</v>
      </c>
      <c r="AL221" s="1106">
        <f>IF($P221="","N/A",(IF($P221=-1,INDEX('卡片raw data'!S:S,MATCH($D221,'卡片raw data'!$F:$F,)),0)+IF($P221=0,INDEX('卡片raw data'!V:V,MATCH($D221,'卡片raw data'!$F:$F,)),0)+IF($P221=1,INDEX('卡片raw data'!Y:Y,MATCH($D221,'卡片raw data'!$F:$F,)),0)+IF($P221=2,INDEX('卡片raw data'!AB:AB,MATCH($D221,'卡片raw data'!$F:$F,)),0)+IF($P221=3,INDEX('卡片raw data'!AE:AE,MATCH($D221,'卡片raw data'!$F:$F,)),0)+IF($P221=4,INDEX('卡片raw data'!AH:AH,MATCH($D221,'卡片raw data'!$F:$F,)),0)+IF($P221=5,INDEX('卡片raw data'!AK:AK,MATCH($D221,'卡片raw data'!$F:$F,)),0)+INDEX('卡片raw data'!S:S,MATCH($D221,'卡片raw data'!$F:$F,))*(IF($F221="UR",0.04,0.033))*(IF($F221="UR",INDEX(绊状态确认!$S:$S,MATCH($G221,绊状态确认!$B:$B,))/2-40)+IF($F221="SR",INDEX(绊状态确认!$R:$R,MATCH($G221,绊状态确认!$B:$B,))/4-15))+IF($F221="R",INDEX(绊状态确认!$Q:$Q,MATCH($G221,绊状态确认!$B:$B,))/6-40/6)))*(INDEX(绊状态确认!$H:$H,MATCH($G221,绊状态确认!$B:$B,))+INDEX(绊状态确认!J:J,MATCH($G221,绊状态确认!$B:$B,)))</f>
        <v>11167.357343999998</v>
      </c>
      <c r="AM221" s="1106">
        <f>IF($P221="","N/A",(IF($P221=-1,INDEX('卡片raw data'!T:T,MATCH($D221,'卡片raw data'!$F:$F,)),0)+IF($P221=0,INDEX('卡片raw data'!W:W,MATCH($D221,'卡片raw data'!$F:$F,)),0)+IF($P221=1,INDEX('卡片raw data'!Z:Z,MATCH($D221,'卡片raw data'!$F:$F,)),0)+IF($P221=2,INDEX('卡片raw data'!AC:AC,MATCH($D221,'卡片raw data'!$F:$F,)),0)+IF($P221=3,INDEX('卡片raw data'!AF:AF,MATCH($D221,'卡片raw data'!$F:$F,)),0)+IF($P221=4,INDEX('卡片raw data'!AI:AI,MATCH($D221,'卡片raw data'!$F:$F,)),0)+IF($P221=5,INDEX('卡片raw data'!AL:AL,MATCH($D221,'卡片raw data'!$F:$F,)),0)+INDEX('卡片raw data'!T:T,MATCH($D221,'卡片raw data'!$F:$F,))*(IF($F221="UR",0.04,0.033))*(IF($F221="UR",INDEX(绊状态确认!$S:$S,MATCH($G221,绊状态确认!$B:$B,))/2-40)+IF($F221="SR",INDEX(绊状态确认!$R:$R,MATCH($G221,绊状态确认!$B:$B,))/4-15))+IF($F221="R",INDEX(绊状态确认!$Q:$Q,MATCH($G221,绊状态确认!$B:$B,))/6-40/6)))*(INDEX(绊状态确认!$H:$H,MATCH($G221,绊状态确认!$B:$B,))+INDEX(绊状态确认!K:K,MATCH($G221,绊状态确认!$B:$B,)))</f>
        <v>8613.6392639999995</v>
      </c>
      <c r="AN221" s="1106">
        <f>IF($P221="","N/A",(IF($P221=-1,INDEX('卡片raw data'!U:U,MATCH($D221,'卡片raw data'!$F:$F,)),0)+IF($P221=0,INDEX('卡片raw data'!X:X,MATCH($D221,'卡片raw data'!$F:$F,)),0)+IF($P221=1,INDEX('卡片raw data'!AA:AA,MATCH($D221,'卡片raw data'!$F:$F,)),0)+IF($P221=2,INDEX('卡片raw data'!AD:AD,MATCH($D221,'卡片raw data'!$F:$F,)),0)+IF($P221=3,INDEX('卡片raw data'!AG:AG,MATCH($D221,'卡片raw data'!$F:$F,)),0)+IF($P221=4,INDEX('卡片raw data'!AJ:AJ,MATCH($D221,'卡片raw data'!$F:$F,)),0)+IF($P221=5,INDEX('卡片raw data'!AM:AM,MATCH($D221,'卡片raw data'!$F:$F,)),0)+INDEX('卡片raw data'!U:U,MATCH($D221,'卡片raw data'!$F:$F,))*(IF($F221="UR",0.04,0.033))*(IF($F221="UR",INDEX(绊状态确认!$S:$S,MATCH($G221,绊状态确认!$B:$B,))/2-40)+IF($F221="SR",INDEX(绊状态确认!$R:$R,MATCH($G221,绊状态确认!$B:$B,))/4-15))+IF($F221="R",INDEX(绊状态确认!$Q:$Q,MATCH($G221,绊状态确认!$B:$B,))/6-40/6)))*(INDEX(绊状态确认!$H:$H,MATCH($G221,绊状态确认!$B:$B,))+INDEX(绊状态确认!L:L,MATCH($G221,绊状态确认!$B:$B,)))</f>
        <v>12125.61528</v>
      </c>
      <c r="AO221" s="1107">
        <f t="shared" si="279"/>
        <v>1</v>
      </c>
      <c r="AP221" s="1131">
        <f>1+(INDEX(绊状态确认!$T:$T,MATCH($G221,绊状态确认!$B:$B,))+0.2)*$AO221</f>
        <v>1.3</v>
      </c>
      <c r="AQ221" s="1108">
        <f t="shared" si="280"/>
        <v>32564.313027999997</v>
      </c>
      <c r="AR221" s="1097">
        <f>(AM221*(1+$EX$9)+$EX$35)*(1+(INDEX(绊状态确认!$T:$T,MATCH($G221,绊状态确认!$B:$B,))+0.2)*AO221)*IF(J221=$FF$17,1+$FE$17,1)*IF(I221=$FF$14,1+$FE$14,1)*(1+$FE$15)</f>
        <v>14461.617595360001</v>
      </c>
      <c r="AS221" s="1097">
        <f>(AN221*(1+$EX$10)+$EX$36)*(1+(INDEX(绊状态确认!$T:$T,MATCH($G221,绊状态确认!$B:$B,))+0.2)*AO221)*IF(J221=$FF$17,1+$FE$17,1)*IF(I221=$FF$14,1+$FE$14,1)*(1+$FE$15)</f>
        <v>22183.794843600001</v>
      </c>
      <c r="AT221" s="1093">
        <f>IF(AND(INDEX('卡片raw data'!AK:AK,MATCH($D221,'卡片raw data'!$F:$F,))&lt;INDEX('卡片raw data'!AM:AM,MATCH($D221,'卡片raw data'!$F:$F,)),INDEX('卡片raw data'!AL:AL,MATCH($D221,'卡片raw data'!$F:$F,))&lt;INDEX('卡片raw data'!AM:AM,MATCH($D221,'卡片raw data'!$F:$F,))),1,0)</f>
        <v>1</v>
      </c>
      <c r="AU221" s="1098">
        <f>MIN(AT221*0.15+AS221*0.00003+INDEX(绊状态确认!M:M,MATCH($G221,绊状态确认!$B:$B,)),1)</f>
        <v>0.84551384530800011</v>
      </c>
      <c r="AV221" s="1109">
        <f>(INDEX(绊状态确认!$N:$N,MATCH($G221,绊状态确认!$B:$B,))+1.5)*$EW$21</f>
        <v>2.6599999999999997</v>
      </c>
      <c r="AW221" s="1101">
        <f t="shared" si="281"/>
        <v>40649.291897988682</v>
      </c>
      <c r="AX221" s="1097">
        <f t="shared" si="282"/>
        <v>1245.0043184676354</v>
      </c>
      <c r="AY221" s="1110">
        <f t="shared" si="283"/>
        <v>41894.296216456314</v>
      </c>
      <c r="AZ221" s="429">
        <f t="shared" si="284"/>
        <v>24376.346820799998</v>
      </c>
      <c r="BA221" s="431">
        <f t="shared" si="285"/>
        <v>29251.616184959996</v>
      </c>
      <c r="BB221" s="1097">
        <f>(AM221*(1+$FB$9)+$FB$35)*(1+(INDEX(绊状态确认!$T:$T,MATCH($G221,绊状态确认!$B:$B,))+0.2)*AO221)*IF(J221=$FF$17,1+$FE$17,1)*IF(I221=$FF$14,1+$FE$14,1)*(1+$FE$15)</f>
        <v>14461.617595360001</v>
      </c>
      <c r="BC221" s="1097">
        <f>(AN221*(1+$FB$10)+$FB$36)*(1+(INDEX(绊状态确认!$T:$T,MATCH($G221,绊状态确认!$B:$B,))+0.2)*AO221)*IF(J221=$FF$17,1+$FE$17,1)*IF(I221=$FF$14,1+$FE$14,1)*(1+$FE$15)</f>
        <v>22183.794843600001</v>
      </c>
      <c r="BD221" s="1104">
        <f>MIN(AT221*0.15+BC221*0.00003+INDEX(绊状态确认!M:M,MATCH($G221,绊状态确认!$B:$B,)),1)</f>
        <v>0.84551384530800011</v>
      </c>
      <c r="BE221" s="432">
        <f>(INDEX(绊状态确认!$N:$N,MATCH($G221,绊状态确认!$B:$B,))+1.5)</f>
        <v>1.9</v>
      </c>
      <c r="BF221" s="1139">
        <f t="array" ref="BF221">SUMPRODUCT(IF(AZ221*AP221*$FI$16:$FI$23*$FA$22&gt;=$FI$24,$FI$24,AZ221*AP221*$FI$16:$FI$23*$FA$22),$FJ$16:$FJ$23)</f>
        <v>48463.596161833593</v>
      </c>
      <c r="BG221" s="1125">
        <f t="array" ref="BG221">SUMPRODUCT(IF(BE221*AZ221*AP221*$FI$16:$FI$23*$FA$22&gt;=$FI$24,$FI$24,BE221*AZ221*AP221*$FI$16:$FI$23*$FA$22),$FJ$16:$FJ$23)</f>
        <v>60000</v>
      </c>
      <c r="BH221" s="1110">
        <f t="shared" si="286"/>
        <v>19405.928444022549</v>
      </c>
      <c r="BI221" s="1111">
        <f>IF(O221="vo",$EW$26/$EW$24*0.05,0)+IF(O221="sk",-$EW$26/$EW$24*(0.05-INDEX(绊状态确认!W:W,MATCH($G221,绊状态确认!$B:$B,)))+0.05*$EW$28,0)+IF(O221="sp",0.05*$EW$32*$EW$30*(1-$EW$33)-(0.05-INDEX(绊状态确认!V:V,MATCH($G221,绊状态确认!$B:$B,)))*$EW$28,0)+IF(O221="gd",-(0.05-INDEX(绊状态确认!X:X,MATCH($G221,绊状态确认!$B:$B,)))*$EW$32*$EW$30*(1-$EW$33),0)</f>
        <v>19.999999999999886</v>
      </c>
      <c r="BJ221" s="1097">
        <f>IF(O221="vo",0.05*(1-$FI$26)*$FA$24,0)+IF(O221="sk",-(0.05-INDEX(绊状态确认!W:W,MATCH($G221,绊状态确认!$B:$B,)))*(1-$FI$26)*$FA$24+0.05*$FA$26,0)+IF(O221="sp",0.05*$FA$32*$FA$27*(1-$FA$33)/$FA$30+0.05*$FA$29/$FA$69*$FA$27*(1-$FA$33)-(0.05-INDEX(绊状态确认!V:V,MATCH($G221,绊状态确认!$B:$B,)))*$FA$26,0)+IF(O221="gd",-(0.05-INDEX(绊状态确认!X:X,MATCH($G221,绊状态确认!$B:$B,)))*$FA$32*$FA$27*(1-$FA$33)/$FA$30-(0.05-INDEX(绊状态确认!X:X,MATCH($G221,绊状态确认!$B:$B,)))*$FA$29/$FA$69*$FA$27*(1-$FA$33),0)</f>
        <v>545.83333333333326</v>
      </c>
      <c r="BK221" s="1110">
        <f>IF(O221="vo",$EW$26/$EW$24*0.05+$EW$26*(-HP($EW$62,$EW$65,$EW$64)+HP($EW$62,$EW$65,(1.05-INDEX(绊状态确认!U:U,MATCH($G221,绊状态确认!$B:$B,)))*$EW$64)),0)+IF(O221="sk",-$EW$26/$EW$24*(0.05-INDEX(绊状态确认!W:W,MATCH($G221,绊状态确认!$B:$B,)))+0.05*$EW$29,0)+IF(O221="sp",0.05*$EW$32*$EW$30*(1-$EW$33)-(0.05-INDEX(绊状态确认!V:V,MATCH($G221,绊状态确认!$B:$B,)))*$EW$29,0)+IF(O221="gd",-(0.05-INDEX(绊状态确认!X:X,MATCH($G221,绊状态确认!$B:$B,)))*$EW$32*$EW$30*(1-$EW$33)+$EW$26*(-HP($EW$62,$EW$65,$EW$64)+HP($EW$62,$EW$65,0.95*$EW$64)),0)</f>
        <v>-1780.0000000000005</v>
      </c>
      <c r="BL221" s="1111">
        <f t="shared" si="287"/>
        <v>0</v>
      </c>
      <c r="BM221" s="1110">
        <f t="shared" si="288"/>
        <v>0</v>
      </c>
      <c r="BN221" s="1113">
        <f t="shared" si="289"/>
        <v>3</v>
      </c>
      <c r="BO221" s="1097">
        <f t="shared" si="290"/>
        <v>4507.7214871259994</v>
      </c>
      <c r="BP221" s="1100">
        <f t="shared" si="291"/>
        <v>221.34103209030098</v>
      </c>
      <c r="BQ221" s="1113" t="s">
        <v>143</v>
      </c>
      <c r="BR221" s="1124" t="s">
        <v>146</v>
      </c>
      <c r="BS221" s="1098">
        <f>IF($P221="","N/A",IF($P221=-1,INDEX('卡片raw data'!AX:AX,MATCH($D221,'卡片raw data'!$F:$F,)),0)+IF($L221="party卡",IF($P221=5,INDEX('卡片raw data'!BD:BD,MATCH($D221,'卡片raw data'!$F:$F,)),IF($P221&gt;=3,INDEX('卡片raw data'!BC:BC,MATCH($D221,'卡片raw data'!$F:$F,)),INDEX('卡片raw data'!BB:BB,MATCH($D221,'卡片raw data'!$F:$F,)))),IF(OR(AND($F221="UR",$P221=0),AND($F221="SR",$P221&gt;=0,$P221&lt;=2),AND($F221="R",$P221&gt;=0,$P221&lt;4)),INDEX('卡片raw data'!AZ:AZ,MATCH($D221,'卡片raw data'!$F:$F,)),0)+IF(OR(AND($F221="UR",$P221&gt;=1,$P221&lt;=4),AND($F221="SR",$P221&lt;=4,$P221&gt;=3),AND($F221="R",$P221=4)),INDEX('卡片raw data'!BA:BA,MATCH($D221,'卡片raw data'!$F:$F,)),0)+IF($P221=5,INDEX('卡片raw data'!BB:BB,MATCH($D221,'卡片raw data'!$F:$F,)),0)))</f>
        <v>7.0000000000000007E-2</v>
      </c>
      <c r="BT221" s="1101">
        <f t="shared" si="292"/>
        <v>5259.008401647</v>
      </c>
      <c r="BU221" s="1097">
        <f t="shared" si="293"/>
        <v>258.2312041053512</v>
      </c>
      <c r="BV221" s="1097">
        <f t="shared" si="294"/>
        <v>0</v>
      </c>
      <c r="BW221" s="1112">
        <f t="shared" si="295"/>
        <v>0</v>
      </c>
      <c r="BX221" s="1100">
        <f t="shared" si="296"/>
        <v>5259.008401647</v>
      </c>
      <c r="BY221" s="1110">
        <f t="shared" si="297"/>
        <v>0</v>
      </c>
      <c r="BZ221" s="1107" t="s">
        <v>569</v>
      </c>
      <c r="CA221" s="1124"/>
      <c r="CB221" s="1098">
        <f>IF($P221="","N/A",IF($P221=-1,INDEX('卡片raw data'!BE:BE,MATCH($D221,'卡片raw data'!$F:$F,)),0)+IF($L221="party卡",IF($P221=5,INDEX('卡片raw data'!BK:BK,MATCH($D221,'卡片raw data'!$F:$F,)),IF($P221&gt;=3,INDEX('卡片raw data'!BJ:BJ,MATCH($D221,'卡片raw data'!$F:$F,)),INDEX('卡片raw data'!BI:BI,MATCH($D221,'卡片raw data'!$F:$F,)))),IF(OR(AND($F221="UR",$P221=0),AND($F221="SR",$P221&gt;=0,$P221&lt;=2),AND($F221="R",$P221&gt;=0,$P221&lt;4)),INDEX('卡片raw data'!BG:BG,MATCH($D221,'卡片raw data'!$F:$F,)),0)+IF(OR(AND($F221="UR",$P221&gt;=1,$P221&lt;=4),AND($F221="SR",$P221&lt;=4,$P221&gt;=3),AND($F221="R",$P221=4)),INDEX('卡片raw data'!BH:BH,MATCH($D221,'卡片raw data'!$F:$F,)),0)+IF($P221=5,INDEX('卡片raw data'!BI:BI,MATCH($D221,'卡片raw data'!$F:$F,)),0)))</f>
        <v>0</v>
      </c>
      <c r="CC221" s="1101">
        <f t="shared" si="298"/>
        <v>0</v>
      </c>
      <c r="CD221" s="1097">
        <f>IF(BZ221="ap",CB221*(1-$FI$26)*$FB$5/$FB$11*(+IF(CA221="全员",$FA$24,0)+IF(CA221="同作战",$FA$24,0)+IF(CA221="仲间",$FA$24*2/3,0)+IF(CA221="同属性",$FA$24*$FA$37/3,0)+IF(CA221="同年级",$FA$24*$FA$40/3,0)+IF(CA221="同学校",$FA$24*$FA$43/3,0)+IF(CA221="同小队",$FA$24*$FA$46/3,0)+IF(CA221="同type",$FA$24*INDEX($FB$49:$FB$52,MATCH(X221,$FA$49:$FA$52,))/3,0)+IF(CA221="自身",#REF!/3,0)),0)+IF(BZ221="te",CB221*(1-$FI$27)*($FA$20-1)*$FB$7/$FB$13*(+IF(CA221="全员",$FA$19*$FA$24/(1+($FA$20-1)*$FA$19),0)+IF(CA221="同作战",$FA$19*$FA$24/(1+($FA$20-1)*$FA$19),0)+IF(CA221="仲间",$FA$19*$FA$24*2/3/(1+($FA$20-1)*$FA$19),0)+IF(CA221="同属性",$FA$19*$FA$24*$FA$37/3/(1+($FA$20-1)*$FA$19),0)+IF(CA221="同年级",$FA$19*$FA$24*$FA$40/3/(1+($FA$20-1)*$FA$19),0)+IF(CA221="同学校",$FA$19*$FA$24*$FA$43/3/(1+($FA$20-1)*$FA$19),0)+IF(CA221="同小队",$FA$19*$FA$24*$FA$46/3/(1+($FA$20-1)*$FA$19),0)+IF(CA221="同type",$FA$19*$FA$24*INDEX($FB$49:$FB$52,MATCH(X221,$FA$49:$FA$52,))/3/(1+($FA$20-1)*$FA$19),0)+IF(CA221="自身",$FA$19*#REF!/3/(1+(BH221-1)*$BD221),0)),0)</f>
        <v>0</v>
      </c>
      <c r="CE221" s="1097">
        <f t="shared" si="299"/>
        <v>0</v>
      </c>
      <c r="CF221" s="1112">
        <f t="shared" si="300"/>
        <v>0</v>
      </c>
      <c r="CG221" s="1100">
        <f t="shared" si="301"/>
        <v>0</v>
      </c>
      <c r="CH221" s="1110">
        <f t="shared" si="302"/>
        <v>0</v>
      </c>
      <c r="CI221" s="1113" t="s">
        <v>165</v>
      </c>
      <c r="CJ221" s="1114">
        <v>0.3</v>
      </c>
      <c r="CK221" s="1115" t="s">
        <v>156</v>
      </c>
      <c r="CL221" s="1115" t="s">
        <v>1941</v>
      </c>
      <c r="CM221" s="1119">
        <v>0.1</v>
      </c>
      <c r="CN221" s="1115"/>
      <c r="CO221" s="1092"/>
      <c r="CP221" s="1116">
        <f t="shared" si="303"/>
        <v>2.3768351618142862</v>
      </c>
      <c r="CQ221" s="1116">
        <f t="shared" si="304"/>
        <v>4.2518940116900001</v>
      </c>
      <c r="CR221" s="1116">
        <f t="shared" si="305"/>
        <v>2.3768351618142862</v>
      </c>
      <c r="CS221" s="1118">
        <f t="shared" si="306"/>
        <v>0</v>
      </c>
      <c r="CT221" s="1109">
        <f t="shared" si="307"/>
        <v>3.8821640976300005</v>
      </c>
      <c r="CU221" s="1101">
        <f t="shared" si="308"/>
        <v>148.55219761339288</v>
      </c>
      <c r="CV221" s="1108">
        <f t="shared" si="309"/>
        <v>177.16225048708333</v>
      </c>
      <c r="CW221" s="1097">
        <f t="shared" si="310"/>
        <v>148.55219761339288</v>
      </c>
      <c r="CX221" s="1097">
        <f t="shared" si="311"/>
        <v>148.55219761339288</v>
      </c>
      <c r="CY221" s="1110">
        <f t="shared" si="312"/>
        <v>148.55219761339288</v>
      </c>
      <c r="CZ221" s="437"/>
      <c r="DA221" s="438"/>
      <c r="DB221" s="439" t="s">
        <v>569</v>
      </c>
      <c r="DC221" s="439"/>
      <c r="DD221" s="443"/>
      <c r="DE221" s="411"/>
      <c r="DF221" s="411"/>
      <c r="DG221" s="1116">
        <f t="shared" si="313"/>
        <v>0</v>
      </c>
      <c r="DH221" s="1116">
        <f t="shared" si="314"/>
        <v>0</v>
      </c>
      <c r="DI221" s="1116">
        <f t="shared" si="315"/>
        <v>0</v>
      </c>
      <c r="DJ221" s="442">
        <f t="shared" si="316"/>
        <v>0</v>
      </c>
      <c r="DK221" s="1109">
        <f t="shared" si="317"/>
        <v>0</v>
      </c>
      <c r="DL221" s="1101">
        <f t="shared" si="318"/>
        <v>0</v>
      </c>
      <c r="DM221" s="1097">
        <f t="shared" si="319"/>
        <v>0</v>
      </c>
      <c r="DN221" s="1097">
        <f t="shared" si="320"/>
        <v>0</v>
      </c>
      <c r="DO221" s="1097">
        <f t="shared" si="321"/>
        <v>0</v>
      </c>
      <c r="DP221" s="1110">
        <f t="shared" si="322"/>
        <v>0</v>
      </c>
      <c r="DQ221" s="1113" t="s">
        <v>157</v>
      </c>
      <c r="DR221" s="1120">
        <f t="shared" si="323"/>
        <v>0.33</v>
      </c>
      <c r="DS221" s="1124">
        <v>5</v>
      </c>
      <c r="DT221" s="1093" t="s">
        <v>161</v>
      </c>
      <c r="DU221" s="1093" t="s">
        <v>544</v>
      </c>
      <c r="DV221" s="1098">
        <f>IF($P221="","N/A",IF(P221=-1,INDEX('卡片raw data'!AN:AN,MATCH(D221,'卡片raw data'!$F:$F,)),0)+IF(AND(L221&lt;&gt;"party卡",P221&lt;=2,P221&gt;=0),INDEX('卡片raw data'!AP:AP,MATCH(D221,'卡片raw data'!$F:$F,)),0)+IF(OR(AND(L221="party卡",P221&lt;=1),AND(P221&lt;=4,L221&lt;&gt;"party卡",P221&gt;=3)),INDEX('卡片raw data'!AQ:AQ,MATCH(D221,'卡片raw data'!$F:$F,)),0)+IF(OR(P221=5,AND(L221="party卡",P221&gt;=2)),INDEX('卡片raw data'!AR:AR,MATCH(D221,'卡片raw data'!$F:$F,)),0))</f>
        <v>0.09</v>
      </c>
      <c r="DW221" s="1098">
        <f t="shared" si="324"/>
        <v>0.33</v>
      </c>
      <c r="DX221" s="1098">
        <f t="shared" si="325"/>
        <v>0.33</v>
      </c>
      <c r="DY221" s="1098">
        <f t="shared" si="326"/>
        <v>4.9500000000000002E-2</v>
      </c>
      <c r="DZ221" s="1098">
        <f t="shared" si="327"/>
        <v>4.2817500000000001E-2</v>
      </c>
      <c r="EA221" s="1098">
        <f t="shared" si="328"/>
        <v>0</v>
      </c>
      <c r="EB221" s="1121">
        <f t="shared" si="329"/>
        <v>9.8767195312499965</v>
      </c>
      <c r="EC221" s="1101">
        <f t="shared" si="330"/>
        <v>643.5</v>
      </c>
      <c r="ED221" s="1097">
        <f t="shared" si="331"/>
        <v>426.74774999999994</v>
      </c>
      <c r="EE221" s="1110">
        <f t="shared" si="332"/>
        <v>643.5</v>
      </c>
      <c r="EF221" s="1092" t="s">
        <v>711</v>
      </c>
      <c r="EG221" s="1120">
        <f t="shared" si="333"/>
        <v>0.33</v>
      </c>
      <c r="EH221" s="1124"/>
      <c r="EI221" s="1093"/>
      <c r="EJ221" s="1093"/>
      <c r="EK221" s="1097">
        <f>IF($P221="","N/A",IF(P221=-1,INDEX('卡片raw data'!AS:AS,MATCH(D221,'卡片raw data'!$F:$F,)),0)+IF(AND(L221&lt;&gt;"party卡",P221&lt;=2,P221&gt;=0),INDEX('卡片raw data'!AU:AU,MATCH(D221,'卡片raw data'!$F:$F,)),0)+IF(OR(AND(L221="party卡",P221&lt;=1),AND(P221&lt;=4,L221&lt;&gt;"party卡",P221&gt;=3)),INDEX('卡片raw data'!AV:AV,MATCH(D221,'卡片raw data'!$F:$F,)),0)+IF(OR(P221=5,AND(L221="party卡",P221&gt;=2)),INDEX('卡片raw data'!AW:AW,MATCH(D221,'卡片raw data'!$F:$F,)),0))</f>
        <v>0</v>
      </c>
      <c r="EL221" s="1098">
        <f t="shared" si="334"/>
        <v>0.33</v>
      </c>
      <c r="EM221" s="1098">
        <f t="shared" si="335"/>
        <v>0.33</v>
      </c>
      <c r="EN221" s="1125">
        <f t="shared" si="336"/>
        <v>0</v>
      </c>
      <c r="EO221" s="1125">
        <f t="shared" si="337"/>
        <v>0</v>
      </c>
      <c r="EP221" s="1098">
        <f t="shared" si="338"/>
        <v>0</v>
      </c>
      <c r="EQ221" s="1121">
        <f t="shared" si="339"/>
        <v>0</v>
      </c>
      <c r="ER221" s="1101">
        <f t="shared" si="340"/>
        <v>0</v>
      </c>
      <c r="ES221" s="1097">
        <f t="shared" si="341"/>
        <v>0</v>
      </c>
      <c r="ET221" s="1122">
        <f t="shared" si="342"/>
        <v>0</v>
      </c>
    </row>
    <row r="222" spans="2:150" ht="16.5" customHeight="1">
      <c r="B222" s="1123" t="str">
        <f>INDEX('卡片raw data'!B:B,MATCH($D222,'卡片raw data'!$F:$F,))</f>
        <v>op2花</v>
      </c>
      <c r="C222" s="449" t="s">
        <v>124</v>
      </c>
      <c r="D222" s="408">
        <v>219</v>
      </c>
      <c r="E222" s="1090">
        <v>300082002</v>
      </c>
      <c r="F222" s="1090" t="str">
        <f>INDEX('卡片raw data'!C:C,MATCH($D222,'卡片raw data'!$F:$F,))</f>
        <v>SR</v>
      </c>
      <c r="G222" s="1094" t="s">
        <v>337</v>
      </c>
      <c r="H222" s="411">
        <f>IFERROR(INDEX(绊状态确认!C:C,MATCH($G222,绊状态确认!$B:$B,)),"")</f>
        <v>8</v>
      </c>
      <c r="I222" s="450" t="str">
        <f>IFERROR(INDEX(绊状态确认!D:D,MATCH($G222,绊状态确认!$B:$B,)),"")</f>
        <v>缪</v>
      </c>
      <c r="J222" s="450" t="str">
        <f>IFERROR(INDEX(绊状态确认!E:E,MATCH($G222,绊状态确认!$B:$B,)),"")</f>
        <v>1年级</v>
      </c>
      <c r="K222" s="451" t="str">
        <f>IFERROR(INDEX(绊状态确认!F:F,MATCH($G222,绊状态确认!$B:$B,)),"")</f>
        <v>Printemps</v>
      </c>
      <c r="L222" s="1094" t="str">
        <f>INDEX('卡片raw data'!E:E,MATCH($D222,'卡片raw data'!$F:$F,))</f>
        <v>卡池卡</v>
      </c>
      <c r="M222" s="415">
        <v>43936</v>
      </c>
      <c r="N222" s="416">
        <v>13.5</v>
      </c>
      <c r="O222" s="1091" t="str">
        <f>INDEX('卡片raw data'!D:D,MATCH($D222,'卡片raw data'!$F:$F,))</f>
        <v>sp</v>
      </c>
      <c r="P222" s="417">
        <v>5</v>
      </c>
      <c r="Q222" s="1095">
        <f t="shared" si="258"/>
        <v>30490.447403126655</v>
      </c>
      <c r="R222" s="1096">
        <f t="shared" si="259"/>
        <v>0.35399999999999998</v>
      </c>
      <c r="S222" s="1097">
        <f t="shared" si="260"/>
        <v>16844.480044337379</v>
      </c>
      <c r="T222" s="1098">
        <f t="shared" si="261"/>
        <v>0.84199999999999997</v>
      </c>
      <c r="U222" s="1099">
        <f t="shared" si="262"/>
        <v>9.6114891298028571</v>
      </c>
      <c r="V222" s="1100">
        <f t="shared" si="263"/>
        <v>29453.474188880176</v>
      </c>
      <c r="W222" s="1101">
        <f t="shared" si="264"/>
        <v>5295.6431435188215</v>
      </c>
      <c r="X222" s="1096">
        <f t="shared" si="265"/>
        <v>6.0999999999999999E-2</v>
      </c>
      <c r="Y222" s="1097">
        <f t="shared" si="266"/>
        <v>763.02678575352184</v>
      </c>
      <c r="Z222" s="1102">
        <f t="shared" si="267"/>
        <v>9.6114891298028571</v>
      </c>
      <c r="AA222" s="1103">
        <f t="shared" si="268"/>
        <v>6058.6699292723433</v>
      </c>
      <c r="AB222" s="1101">
        <f t="shared" si="269"/>
        <v>5798.725469158544</v>
      </c>
      <c r="AC222" s="1104">
        <f t="shared" si="270"/>
        <v>6.7000000000000004E-2</v>
      </c>
      <c r="AD222" s="1105">
        <f t="shared" si="271"/>
        <v>-1.9908281250000003E-2</v>
      </c>
      <c r="AE222" s="1128">
        <f t="shared" si="272"/>
        <v>-1.3514492753623202</v>
      </c>
      <c r="AF222" s="1130">
        <f t="shared" si="273"/>
        <v>0</v>
      </c>
      <c r="AG222" s="420">
        <f t="shared" si="274"/>
        <v>0</v>
      </c>
      <c r="AH222" s="420">
        <f t="shared" si="275"/>
        <v>0</v>
      </c>
      <c r="AI222" s="1097">
        <f t="shared" si="276"/>
        <v>0</v>
      </c>
      <c r="AJ222" s="420">
        <f t="shared" si="277"/>
        <v>0</v>
      </c>
      <c r="AK222" s="518">
        <f t="shared" si="278"/>
        <v>0</v>
      </c>
      <c r="AL222" s="1106">
        <f>IF($P222="","N/A",(IF($P222=-1,INDEX('卡片raw data'!S:S,MATCH($D222,'卡片raw data'!$F:$F,)),0)+IF($P222=0,INDEX('卡片raw data'!V:V,MATCH($D222,'卡片raw data'!$F:$F,)),0)+IF($P222=1,INDEX('卡片raw data'!Y:Y,MATCH($D222,'卡片raw data'!$F:$F,)),0)+IF($P222=2,INDEX('卡片raw data'!AB:AB,MATCH($D222,'卡片raw data'!$F:$F,)),0)+IF($P222=3,INDEX('卡片raw data'!AE:AE,MATCH($D222,'卡片raw data'!$F:$F,)),0)+IF($P222=4,INDEX('卡片raw data'!AH:AH,MATCH($D222,'卡片raw data'!$F:$F,)),0)+IF($P222=5,INDEX('卡片raw data'!AK:AK,MATCH($D222,'卡片raw data'!$F:$F,)),0)+INDEX('卡片raw data'!S:S,MATCH($D222,'卡片raw data'!$F:$F,))*(IF($F222="UR",0.04,0.033))*(IF($F222="UR",INDEX(绊状态确认!$S:$S,MATCH($G222,绊状态确认!$B:$B,))/2-40)+IF($F222="SR",INDEX(绊状态确认!$R:$R,MATCH($G222,绊状态确认!$B:$B,))/4-15))+IF($F222="R",INDEX(绊状态确认!$Q:$Q,MATCH($G222,绊状态确认!$B:$B,))/6-40/6)))*(INDEX(绊状态确认!$H:$H,MATCH($G222,绊状态确认!$B:$B,))+INDEX(绊状态确认!J:J,MATCH($G222,绊状态确认!$B:$B,)))</f>
        <v>7585.601822399999</v>
      </c>
      <c r="AM222" s="1106">
        <f>IF($P222="","N/A",(IF($P222=-1,INDEX('卡片raw data'!T:T,MATCH($D222,'卡片raw data'!$F:$F,)),0)+IF($P222=0,INDEX('卡片raw data'!W:W,MATCH($D222,'卡片raw data'!$F:$F,)),0)+IF($P222=1,INDEX('卡片raw data'!Z:Z,MATCH($D222,'卡片raw data'!$F:$F,)),0)+IF($P222=2,INDEX('卡片raw data'!AC:AC,MATCH($D222,'卡片raw data'!$F:$F,)),0)+IF($P222=3,INDEX('卡片raw data'!AF:AF,MATCH($D222,'卡片raw data'!$F:$F,)),0)+IF($P222=4,INDEX('卡片raw data'!AI:AI,MATCH($D222,'卡片raw data'!$F:$F,)),0)+IF($P222=5,INDEX('卡片raw data'!AL:AL,MATCH($D222,'卡片raw data'!$F:$F,)),0)+INDEX('卡片raw data'!T:T,MATCH($D222,'卡片raw data'!$F:$F,))*(IF($F222="UR",0.04,0.033))*(IF($F222="UR",INDEX(绊状态确认!$S:$S,MATCH($G222,绊状态确认!$B:$B,))/2-40)+IF($F222="SR",INDEX(绊状态确认!$R:$R,MATCH($G222,绊状态确认!$B:$B,))/4-15))+IF($F222="R",INDEX(绊状态确认!$Q:$Q,MATCH($G222,绊状态确认!$B:$B,))/6-40/6)))*(INDEX(绊状态确认!$H:$H,MATCH($G222,绊状态确认!$B:$B,))+INDEX(绊状态确认!K:K,MATCH($G222,绊状态确认!$B:$B,)))</f>
        <v>4591.0059984</v>
      </c>
      <c r="AN222" s="1106">
        <f>IF($P222="","N/A",(IF($P222=-1,INDEX('卡片raw data'!U:U,MATCH($D222,'卡片raw data'!$F:$F,)),0)+IF($P222=0,INDEX('卡片raw data'!X:X,MATCH($D222,'卡片raw data'!$F:$F,)),0)+IF($P222=1,INDEX('卡片raw data'!AA:AA,MATCH($D222,'卡片raw data'!$F:$F,)),0)+IF($P222=2,INDEX('卡片raw data'!AD:AD,MATCH($D222,'卡片raw data'!$F:$F,)),0)+IF($P222=3,INDEX('卡片raw data'!AG:AG,MATCH($D222,'卡片raw data'!$F:$F,)),0)+IF($P222=4,INDEX('卡片raw data'!AJ:AJ,MATCH($D222,'卡片raw data'!$F:$F,)),0)+IF($P222=5,INDEX('卡片raw data'!AM:AM,MATCH($D222,'卡片raw data'!$F:$F,)),0)+INDEX('卡片raw data'!U:U,MATCH($D222,'卡片raw data'!$F:$F,))*(IF($F222="UR",0.04,0.033))*(IF($F222="UR",INDEX(绊状态确认!$S:$S,MATCH($G222,绊状态确认!$B:$B,))/2-40)+IF($F222="SR",INDEX(绊状态确认!$R:$R,MATCH($G222,绊状态确认!$B:$B,))/4-15))+IF($F222="R",INDEX(绊状态确认!$Q:$Q,MATCH($G222,绊状态确认!$B:$B,))/6-40/6)))*(INDEX(绊状态确认!$H:$H,MATCH($G222,绊状态确认!$B:$B,))+INDEX(绊状态确认!L:L,MATCH($G222,绊状态确认!$B:$B,)))</f>
        <v>7786.0241447999988</v>
      </c>
      <c r="AO222" s="1107">
        <f t="shared" si="279"/>
        <v>1</v>
      </c>
      <c r="AP222" s="1131">
        <f>1+(INDEX(绊状态确认!$T:$T,MATCH($G222,绊状态确认!$B:$B,))+0.2)*$AO222</f>
        <v>1.3</v>
      </c>
      <c r="AQ222" s="1108">
        <f t="shared" si="280"/>
        <v>23162.2047838</v>
      </c>
      <c r="AR222" s="1097">
        <f>(AM222*(1+$EX$9)+$EX$35)*(1+(INDEX(绊状态确认!$T:$T,MATCH($G222,绊状态确认!$B:$B,))+0.2)*AO222)*IF(J222=$FF$17,1+$FE$17,1)*IF(I222=$FF$14,1+$FE$14,1)</f>
        <v>8970.7231878160001</v>
      </c>
      <c r="AS222" s="1097">
        <f>(AN222*(1+$EX$10)+$EX$36)*(1+(INDEX(绊状态确认!$T:$T,MATCH($G222,绊状态确认!$B:$B,))+0.2)*AO222)*IF(J222=$FF$17,1+$FE$17,1)*IF(I222=$FF$14,1+$FE$14,1)</f>
        <v>15696.106096475996</v>
      </c>
      <c r="AT222" s="1093">
        <f>IF(AND(INDEX('卡片raw data'!AK:AK,MATCH($D222,'卡片raw data'!$F:$F,))&lt;INDEX('卡片raw data'!AM:AM,MATCH($D222,'卡片raw data'!$F:$F,)),INDEX('卡片raw data'!AL:AL,MATCH($D222,'卡片raw data'!$F:$F,))&lt;INDEX('卡片raw data'!AM:AM,MATCH($D222,'卡片raw data'!$F:$F,))),1,0)</f>
        <v>1</v>
      </c>
      <c r="AU222" s="1098">
        <f>MIN(AT222*0.15+AS222*0.00003+INDEX(绊状态确认!M:M,MATCH($G222,绊状态确认!$B:$B,)),1)</f>
        <v>0.65088318289427993</v>
      </c>
      <c r="AV222" s="1109">
        <f>(INDEX(绊状态确认!$N:$N,MATCH($G222,绊状态确认!$B:$B,))+1.5)*$EW$21</f>
        <v>2.6599999999999997</v>
      </c>
      <c r="AW222" s="1101">
        <f t="shared" si="281"/>
        <v>25026.372304803095</v>
      </c>
      <c r="AX222" s="1097">
        <f t="shared" si="282"/>
        <v>763.02678575352218</v>
      </c>
      <c r="AY222" s="1110">
        <f t="shared" si="283"/>
        <v>25789.399090556617</v>
      </c>
      <c r="AZ222" s="429">
        <f t="shared" si="284"/>
        <v>17391.923553679997</v>
      </c>
      <c r="BA222" s="431">
        <f t="shared" si="285"/>
        <v>20870.308264415995</v>
      </c>
      <c r="BB222" s="1097">
        <f>(AM222*(1+$FB$9)+$FB$35)*(1+(INDEX(绊状态确认!$T:$T,MATCH($G222,绊状态确认!$B:$B,))+0.2)*AO222)*IF(J222=$FF$17,1+$FE$17,1)*IF(I222=$FF$14,1+$FE$14,1)*(1+$FE$15)</f>
        <v>8970.7231878160001</v>
      </c>
      <c r="BC222" s="1097">
        <f>(AN222*(1+$FB$10)+$FB$36)*(1+(INDEX(绊状态确认!$T:$T,MATCH($G222,绊状态确认!$B:$B,))+0.2)*AO222)*IF(J222=$FF$17,1+$FE$17,1)*IF(I222=$FF$14,1+$FE$14,1)*(1+$FE$15)</f>
        <v>15696.106096475996</v>
      </c>
      <c r="BD222" s="1104">
        <f>MIN(AT222*0.15+BC222*0.00003+INDEX(绊状态确认!M:M,MATCH($G222,绊状态确认!$B:$B,)),1)</f>
        <v>0.65088318289427993</v>
      </c>
      <c r="BE222" s="432">
        <f>(INDEX(绊状态确认!$N:$N,MATCH($G222,绊状态确认!$B:$B,))+1.5)</f>
        <v>1.9</v>
      </c>
      <c r="BF222" s="1139">
        <f t="array" ref="BF222">SUMPRODUCT(IF(AZ222*AP222*$FI$16:$FI$23*$FA$22&gt;=$FI$24,$FI$24,AZ222*AP222*$FI$16:$FI$23*$FA$22),$FJ$16:$FJ$23)</f>
        <v>34592.53594826952</v>
      </c>
      <c r="BG222" s="1125">
        <f t="array" ref="BG222">SUMPRODUCT(IF(BE222*AZ222*AP222*$FI$16:$FI$23*$FA$22&gt;=$FI$24,$FI$24,BE222*AZ222*AP222*$FI$16:$FI$23*$FA$22),$FJ$16:$FJ$23)</f>
        <v>58739.5127943974</v>
      </c>
      <c r="BH222" s="1110">
        <f t="shared" si="286"/>
        <v>16769.799031717237</v>
      </c>
      <c r="BI222" s="1111">
        <f>IF(O222="vo",$EW$26/$EW$24*0.05,0)+IF(O222="sk",-$EW$26/$EW$24*(0.05-INDEX(绊状态确认!W:W,MATCH($G222,绊状态确认!$B:$B,)))+0.05*$EW$28,0)+IF(O222="sp",0.05*$EW$32*$EW$30*(1-$EW$33)-(0.05-INDEX(绊状态确认!V:V,MATCH($G222,绊状态确认!$B:$B,)))*$EW$28,0)+IF(O222="gd",-(0.05-INDEX(绊状态确认!X:X,MATCH($G222,绊状态确认!$B:$B,)))*$EW$32*$EW$30*(1-$EW$33),0)</f>
        <v>19.999999999999886</v>
      </c>
      <c r="BJ222" s="1097">
        <f>IF(O222="vo",0.05*(1-$FI$26)*$FA$24,0)+IF(O222="sk",-(0.05-INDEX(绊状态确认!W:W,MATCH($G222,绊状态确认!$B:$B,)))*(1-$FI$26)*$FA$24+0.05*$FA$26,0)+IF(O222="sp",0.05*$FA$32*$FA$27*(1-$FA$33)/$FA$30+0.05*$FA$29/$FA$69*$FA$27*(1-$FA$33)-(0.05-INDEX(绊状态确认!V:V,MATCH($G222,绊状态确认!$B:$B,)))*$FA$26,0)+IF(O222="gd",-(0.05-INDEX(绊状态确认!X:X,MATCH($G222,绊状态确认!$B:$B,)))*$FA$32*$FA$27*(1-$FA$33)/$FA$30-(0.05-INDEX(绊状态确认!X:X,MATCH($G222,绊状态确认!$B:$B,)))*$FA$29/$FA$69*$FA$27*(1-$FA$33),0)</f>
        <v>545.83333333333326</v>
      </c>
      <c r="BK222" s="1110">
        <f>IF(O222="vo",$EW$26/$EW$24*0.05+$EW$26*(-HP($EW$62,$EW$65,$EW$64)+HP($EW$62,$EW$65,(1.05-INDEX(绊状态确认!U:U,MATCH($G222,绊状态确认!$B:$B,)))*$EW$64)),0)+IF(O222="sk",-$EW$26/$EW$24*(0.05-INDEX(绊状态确认!W:W,MATCH($G222,绊状态确认!$B:$B,)))+0.05*$EW$29,0)+IF(O222="sp",0.05*$EW$32*$EW$30*(1-$EW$33)-(0.05-INDEX(绊状态确认!V:V,MATCH($G222,绊状态确认!$B:$B,)))*$EW$29,0)+IF(O222="gd",-(0.05-INDEX(绊状态确认!X:X,MATCH($G222,绊状态确认!$B:$B,)))*$EW$32*$EW$30*(1-$EW$33)+$EW$26*(-HP($EW$62,$EW$65,$EW$64)+HP($EW$62,$EW$65,0.95*$EW$64)),0)</f>
        <v>-1780.0000000000005</v>
      </c>
      <c r="BL222" s="1111">
        <f t="shared" si="287"/>
        <v>-1083.3333333333333</v>
      </c>
      <c r="BM222" s="1110">
        <f t="shared" si="288"/>
        <v>-830.55555555555543</v>
      </c>
      <c r="BN222" s="1113">
        <f t="shared" si="289"/>
        <v>3</v>
      </c>
      <c r="BO222" s="1097">
        <f t="shared" si="290"/>
        <v>4507.7214871259994</v>
      </c>
      <c r="BP222" s="1100">
        <f t="shared" si="291"/>
        <v>221.34103209030098</v>
      </c>
      <c r="BQ222" s="1113" t="s">
        <v>145</v>
      </c>
      <c r="BR222" s="1124" t="s">
        <v>151</v>
      </c>
      <c r="BS222" s="1098">
        <f>IF($P222="","N/A",IF($P222=-1,INDEX('卡片raw data'!AX:AX,MATCH($D222,'卡片raw data'!$F:$F,)),0)+IF($L222="party卡",IF($P222=5,INDEX('卡片raw data'!BD:BD,MATCH($D222,'卡片raw data'!$F:$F,)),IF($P222&gt;=3,INDEX('卡片raw data'!BC:BC,MATCH($D222,'卡片raw data'!$F:$F,)),INDEX('卡片raw data'!BB:BB,MATCH($D222,'卡片raw data'!$F:$F,)))),IF(OR(AND($F222="UR",$P222=0),AND($F222="SR",$P222&gt;=0,$P222&lt;=2),AND($F222="R",$P222&gt;=0,$P222&lt;4)),INDEX('卡片raw data'!AZ:AZ,MATCH($D222,'卡片raw data'!$F:$F,)),0)+IF(OR(AND($F222="UR",$P222&gt;=1,$P222&lt;=4),AND($F222="SR",$P222&lt;=4,$P222&gt;=3),AND($F222="R",$P222=4)),INDEX('卡片raw data'!BA:BA,MATCH($D222,'卡片raw data'!$F:$F,)),0)+IF($P222=5,INDEX('卡片raw data'!BB:BB,MATCH($D222,'卡片raw data'!$F:$F,)),0)))</f>
        <v>3.2000000000000001E-2</v>
      </c>
      <c r="BT222" s="1101">
        <f t="shared" si="292"/>
        <v>1257.7058140993063</v>
      </c>
      <c r="BU222" s="1097">
        <f t="shared" si="293"/>
        <v>90.97388446263389</v>
      </c>
      <c r="BV222" s="1097">
        <f t="shared" si="294"/>
        <v>754.62348845958354</v>
      </c>
      <c r="BW222" s="1112">
        <f t="shared" si="295"/>
        <v>0</v>
      </c>
      <c r="BX222" s="1100">
        <f t="shared" si="296"/>
        <v>1257.7058140993063</v>
      </c>
      <c r="BY222" s="1110">
        <f t="shared" si="297"/>
        <v>754.62348845958354</v>
      </c>
      <c r="BZ222" s="1107" t="s">
        <v>569</v>
      </c>
      <c r="CA222" s="1124"/>
      <c r="CB222" s="1098">
        <f>IF($P222="","N/A",IF($P222=-1,INDEX('卡片raw data'!BE:BE,MATCH($D222,'卡片raw data'!$F:$F,)),0)+IF($L222="party卡",IF($P222=5,INDEX('卡片raw data'!BK:BK,MATCH($D222,'卡片raw data'!$F:$F,)),IF($P222&gt;=3,INDEX('卡片raw data'!BJ:BJ,MATCH($D222,'卡片raw data'!$F:$F,)),INDEX('卡片raw data'!BI:BI,MATCH($D222,'卡片raw data'!$F:$F,)))),IF(OR(AND($F222="UR",$P222=0),AND($F222="SR",$P222&gt;=0,$P222&lt;=2),AND($F222="R",$P222&gt;=0,$P222&lt;4)),INDEX('卡片raw data'!BG:BG,MATCH($D222,'卡片raw data'!$F:$F,)),0)+IF(OR(AND($F222="UR",$P222&gt;=1,$P222&lt;=4),AND($F222="SR",$P222&lt;=4,$P222&gt;=3),AND($F222="R",$P222=4)),INDEX('卡片raw data'!BH:BH,MATCH($D222,'卡片raw data'!$F:$F,)),0)+IF($P222=5,INDEX('卡片raw data'!BI:BI,MATCH($D222,'卡片raw data'!$F:$F,)),0)))</f>
        <v>0</v>
      </c>
      <c r="CC222" s="1101">
        <f t="shared" si="298"/>
        <v>0</v>
      </c>
      <c r="CD222" s="1097">
        <f>IF(BZ222="ap",CB222*(1-$FI$26)*$FB$5/$FB$11*(+IF(CA222="全员",$FA$24,0)+IF(CA222="同作战",$FA$24,0)+IF(CA222="仲间",$FA$24*2/3,0)+IF(CA222="同属性",$FA$24*$FA$37/3,0)+IF(CA222="同年级",$FA$24*$FA$40/3,0)+IF(CA222="同学校",$FA$24*$FA$43/3,0)+IF(CA222="同小队",$FA$24*$FA$46/3,0)+IF(CA222="同type",$FA$24*INDEX($FB$49:$FB$52,MATCH(X222,$FA$49:$FA$52,))/3,0)+IF(CA222="自身",#REF!/3,0)),0)+IF(BZ222="te",CB222*(1-$FI$27)*($FA$20-1)*$FB$7/$FB$13*(+IF(CA222="全员",$FA$19*$FA$24/(1+($FA$20-1)*$FA$19),0)+IF(CA222="同作战",$FA$19*$FA$24/(1+($FA$20-1)*$FA$19),0)+IF(CA222="仲间",$FA$19*$FA$24*2/3/(1+($FA$20-1)*$FA$19),0)+IF(CA222="同属性",$FA$19*$FA$24*$FA$37/3/(1+($FA$20-1)*$FA$19),0)+IF(CA222="同年级",$FA$19*$FA$24*$FA$40/3/(1+($FA$20-1)*$FA$19),0)+IF(CA222="同学校",$FA$19*$FA$24*$FA$43/3/(1+($FA$20-1)*$FA$19),0)+IF(CA222="同小队",$FA$19*$FA$24*$FA$46/3/(1+($FA$20-1)*$FA$19),0)+IF(CA222="同type",$FA$19*$FA$24*INDEX($FB$49:$FB$52,MATCH(X222,$FA$49:$FA$52,))/3/(1+($FA$20-1)*$FA$19),0)+IF(CA222="自身",$FA$19*#REF!/3/(1+(BH222-1)*$BD222),0)),0)</f>
        <v>0</v>
      </c>
      <c r="CE222" s="1097">
        <f t="shared" si="299"/>
        <v>0</v>
      </c>
      <c r="CF222" s="1112">
        <f t="shared" si="300"/>
        <v>0</v>
      </c>
      <c r="CG222" s="1100">
        <f t="shared" si="301"/>
        <v>0</v>
      </c>
      <c r="CH222" s="1110">
        <f t="shared" si="302"/>
        <v>0</v>
      </c>
      <c r="CI222" s="1113" t="s">
        <v>164</v>
      </c>
      <c r="CJ222" s="1114">
        <v>0.3</v>
      </c>
      <c r="CK222" s="1115" t="s">
        <v>545</v>
      </c>
      <c r="CL222" s="1115" t="s">
        <v>1945</v>
      </c>
      <c r="CM222" s="1119">
        <v>0.3</v>
      </c>
      <c r="CN222" s="1115"/>
      <c r="CO222" s="1092"/>
      <c r="CP222" s="1116">
        <f t="shared" si="303"/>
        <v>30.27106175748942</v>
      </c>
      <c r="CQ222" s="1116">
        <f t="shared" si="304"/>
        <v>47.088318289427988</v>
      </c>
      <c r="CR222" s="1116">
        <f t="shared" si="305"/>
        <v>30.27106175748942</v>
      </c>
      <c r="CS222" s="1118">
        <f t="shared" si="306"/>
        <v>0</v>
      </c>
      <c r="CT222" s="1109">
        <f t="shared" si="307"/>
        <v>0</v>
      </c>
      <c r="CU222" s="1101">
        <f t="shared" si="308"/>
        <v>33.298167933238368</v>
      </c>
      <c r="CV222" s="1108">
        <f t="shared" si="309"/>
        <v>47.088318289427988</v>
      </c>
      <c r="CW222" s="1097">
        <f t="shared" si="310"/>
        <v>33.298167933238368</v>
      </c>
      <c r="CX222" s="1097">
        <f t="shared" si="311"/>
        <v>33.298167933238368</v>
      </c>
      <c r="CY222" s="1110">
        <f t="shared" si="312"/>
        <v>33.298167933238368</v>
      </c>
      <c r="CZ222" s="437"/>
      <c r="DA222" s="438"/>
      <c r="DB222" s="439" t="s">
        <v>569</v>
      </c>
      <c r="DC222" s="439"/>
      <c r="DD222" s="443"/>
      <c r="DE222" s="411"/>
      <c r="DF222" s="411"/>
      <c r="DG222" s="1116">
        <f t="shared" si="313"/>
        <v>0</v>
      </c>
      <c r="DH222" s="1116">
        <f t="shared" si="314"/>
        <v>0</v>
      </c>
      <c r="DI222" s="1116">
        <f t="shared" si="315"/>
        <v>0</v>
      </c>
      <c r="DJ222" s="442">
        <f t="shared" si="316"/>
        <v>0</v>
      </c>
      <c r="DK222" s="1109">
        <f t="shared" si="317"/>
        <v>0</v>
      </c>
      <c r="DL222" s="1101">
        <f t="shared" si="318"/>
        <v>0</v>
      </c>
      <c r="DM222" s="1097">
        <f t="shared" si="319"/>
        <v>0</v>
      </c>
      <c r="DN222" s="1097">
        <f t="shared" si="320"/>
        <v>0</v>
      </c>
      <c r="DO222" s="1097">
        <f t="shared" si="321"/>
        <v>0</v>
      </c>
      <c r="DP222" s="1110">
        <f t="shared" si="322"/>
        <v>0</v>
      </c>
      <c r="DQ222" s="1113" t="s">
        <v>256</v>
      </c>
      <c r="DR222" s="1120">
        <f t="shared" si="323"/>
        <v>0.3</v>
      </c>
      <c r="DS222" s="1124"/>
      <c r="DT222" s="1093" t="s">
        <v>559</v>
      </c>
      <c r="DU222" s="1093"/>
      <c r="DV222" s="1098">
        <f>IF($P222="","N/A",IF(P222=-1,INDEX('卡片raw data'!AN:AN,MATCH(D222,'卡片raw data'!$F:$F,)),0)+IF(AND(L222&lt;&gt;"party卡",P222&lt;=2,P222&gt;=0),INDEX('卡片raw data'!AP:AP,MATCH(D222,'卡片raw data'!$F:$F,)),0)+IF(OR(AND(L222="party卡",P222&lt;=1),AND(P222&lt;=4,L222&lt;&gt;"party卡",P222&gt;=3)),INDEX('卡片raw data'!AQ:AQ,MATCH(D222,'卡片raw data'!$F:$F,)),0)+IF(OR(P222=5,AND(L222="party卡",P222&gt;=2)),INDEX('卡片raw data'!AR:AR,MATCH(D222,'卡片raw data'!$F:$F,)),0))</f>
        <v>0.22</v>
      </c>
      <c r="DW222" s="1098">
        <f t="shared" si="324"/>
        <v>0.3</v>
      </c>
      <c r="DX222" s="1098">
        <f t="shared" si="325"/>
        <v>0.3</v>
      </c>
      <c r="DY222" s="1125">
        <f t="shared" si="326"/>
        <v>509.56850524359993</v>
      </c>
      <c r="DZ222" s="1125">
        <f t="shared" si="327"/>
        <v>397.16196627183638</v>
      </c>
      <c r="EA222" s="1098">
        <f t="shared" si="328"/>
        <v>0</v>
      </c>
      <c r="EB222" s="1121">
        <f t="shared" si="329"/>
        <v>0</v>
      </c>
      <c r="EC222" s="1101">
        <f t="shared" si="330"/>
        <v>728.68296249834793</v>
      </c>
      <c r="ED222" s="1097">
        <f t="shared" si="331"/>
        <v>0</v>
      </c>
      <c r="EE222" s="1110">
        <f t="shared" si="332"/>
        <v>728.68296249834793</v>
      </c>
      <c r="EF222" s="1092" t="s">
        <v>711</v>
      </c>
      <c r="EG222" s="1120">
        <f t="shared" si="333"/>
        <v>0.3</v>
      </c>
      <c r="EH222" s="1124"/>
      <c r="EI222" s="1093"/>
      <c r="EJ222" s="1093"/>
      <c r="EK222" s="1097">
        <f>IF($P222="","N/A",IF(P222=-1,INDEX('卡片raw data'!AS:AS,MATCH(D222,'卡片raw data'!$F:$F,)),0)+IF(AND(L222&lt;&gt;"party卡",P222&lt;=2,P222&gt;=0),INDEX('卡片raw data'!AU:AU,MATCH(D222,'卡片raw data'!$F:$F,)),0)+IF(OR(AND(L222="party卡",P222&lt;=1),AND(P222&lt;=4,L222&lt;&gt;"party卡",P222&gt;=3)),INDEX('卡片raw data'!AV:AV,MATCH(D222,'卡片raw data'!$F:$F,)),0)+IF(OR(P222=5,AND(L222="party卡",P222&gt;=2)),INDEX('卡片raw data'!AW:AW,MATCH(D222,'卡片raw data'!$F:$F,)),0))</f>
        <v>0</v>
      </c>
      <c r="EL222" s="1098">
        <f t="shared" si="334"/>
        <v>0.3</v>
      </c>
      <c r="EM222" s="1098">
        <f t="shared" si="335"/>
        <v>0.3</v>
      </c>
      <c r="EN222" s="1125">
        <f t="shared" si="336"/>
        <v>0</v>
      </c>
      <c r="EO222" s="1125">
        <f t="shared" si="337"/>
        <v>0</v>
      </c>
      <c r="EP222" s="1098">
        <f t="shared" si="338"/>
        <v>0</v>
      </c>
      <c r="EQ222" s="1121">
        <f t="shared" si="339"/>
        <v>0</v>
      </c>
      <c r="ER222" s="1101">
        <f t="shared" si="340"/>
        <v>0</v>
      </c>
      <c r="ES222" s="1097">
        <f t="shared" si="341"/>
        <v>0</v>
      </c>
      <c r="ET222" s="1122">
        <f t="shared" si="342"/>
        <v>0</v>
      </c>
    </row>
    <row r="223" spans="2:150" ht="16.5" customHeight="1">
      <c r="B223" s="1123" t="str">
        <f>INDEX('卡片raw data'!B:B,MATCH($D223,'卡片raw data'!$F:$F,))</f>
        <v>滑冰姬</v>
      </c>
      <c r="C223" s="449" t="s">
        <v>22</v>
      </c>
      <c r="D223" s="408">
        <v>220</v>
      </c>
      <c r="E223" s="1090">
        <v>300063001</v>
      </c>
      <c r="F223" s="1090" t="str">
        <f>INDEX('卡片raw data'!C:C,MATCH($D223,'卡片raw data'!$F:$F,))</f>
        <v>UR</v>
      </c>
      <c r="G223" s="1094" t="s">
        <v>29</v>
      </c>
      <c r="H223" s="411">
        <f>IFERROR(INDEX(绊状态确认!C:C,MATCH($G223,绊状态确认!$B:$B,)),"")</f>
        <v>6</v>
      </c>
      <c r="I223" s="450" t="str">
        <f>IFERROR(INDEX(绊状态确认!D:D,MATCH($G223,绊状态确认!$B:$B,)),"")</f>
        <v>缪</v>
      </c>
      <c r="J223" s="450" t="str">
        <f>IFERROR(INDEX(绊状态确认!E:E,MATCH($G223,绊状态确认!$B:$B,)),"")</f>
        <v>1年级</v>
      </c>
      <c r="K223" s="451" t="str">
        <f>IFERROR(INDEX(绊状态确认!F:F,MATCH($G223,绊状态确认!$B:$B,)),"")</f>
        <v>BiBi</v>
      </c>
      <c r="L223" s="1094" t="str">
        <f>INDEX('卡片raw data'!E:E,MATCH($D223,'卡片raw data'!$F:$F,))</f>
        <v>卡池卡</v>
      </c>
      <c r="M223" s="415">
        <v>43942</v>
      </c>
      <c r="N223" s="416">
        <v>14</v>
      </c>
      <c r="O223" s="1091" t="str">
        <f>INDEX('卡片raw data'!D:D,MATCH($D223,'卡片raw data'!$F:$F,))</f>
        <v>vo</v>
      </c>
      <c r="P223" s="417">
        <v>5</v>
      </c>
      <c r="Q223" s="1095">
        <f t="shared" si="258"/>
        <v>63598.308120792353</v>
      </c>
      <c r="R223" s="1096">
        <f t="shared" si="259"/>
        <v>0.73899999999999999</v>
      </c>
      <c r="S223" s="1097">
        <f t="shared" si="260"/>
        <v>20503.465885622085</v>
      </c>
      <c r="T223" s="1098">
        <f t="shared" si="261"/>
        <v>1.0249999999999999</v>
      </c>
      <c r="U223" s="1099">
        <f t="shared" si="262"/>
        <v>-11.647375987257146</v>
      </c>
      <c r="V223" s="1100">
        <f t="shared" si="263"/>
        <v>63361.812743215967</v>
      </c>
      <c r="W223" s="1101">
        <f t="shared" si="264"/>
        <v>6692.7142635245746</v>
      </c>
      <c r="X223" s="1096">
        <f t="shared" si="265"/>
        <v>7.6999999999999999E-2</v>
      </c>
      <c r="Y223" s="1097">
        <f t="shared" si="266"/>
        <v>1068.1730726653186</v>
      </c>
      <c r="Z223" s="1102">
        <f t="shared" si="267"/>
        <v>13.352624012742854</v>
      </c>
      <c r="AA223" s="1103">
        <f t="shared" si="268"/>
        <v>7760.8873361898932</v>
      </c>
      <c r="AB223" s="1101">
        <f t="shared" si="269"/>
        <v>8149.376114456958</v>
      </c>
      <c r="AC223" s="1104">
        <f t="shared" si="270"/>
        <v>9.4E-2</v>
      </c>
      <c r="AD223" s="1105">
        <f t="shared" si="271"/>
        <v>0</v>
      </c>
      <c r="AE223" s="1128">
        <f t="shared" si="272"/>
        <v>0</v>
      </c>
      <c r="AF223" s="1130">
        <f t="shared" si="273"/>
        <v>0</v>
      </c>
      <c r="AG223" s="420">
        <f t="shared" si="274"/>
        <v>0</v>
      </c>
      <c r="AH223" s="420">
        <f t="shared" si="275"/>
        <v>0</v>
      </c>
      <c r="AI223" s="1097">
        <f t="shared" si="276"/>
        <v>0</v>
      </c>
      <c r="AJ223" s="420">
        <f t="shared" si="277"/>
        <v>0</v>
      </c>
      <c r="AK223" s="518">
        <f t="shared" si="278"/>
        <v>0</v>
      </c>
      <c r="AL223" s="1106">
        <f>IF($P223="","N/A",(IF($P223=-1,INDEX('卡片raw data'!S:S,MATCH($D223,'卡片raw data'!$F:$F,)),0)+IF($P223=0,INDEX('卡片raw data'!V:V,MATCH($D223,'卡片raw data'!$F:$F,)),0)+IF($P223=1,INDEX('卡片raw data'!Y:Y,MATCH($D223,'卡片raw data'!$F:$F,)),0)+IF($P223=2,INDEX('卡片raw data'!AB:AB,MATCH($D223,'卡片raw data'!$F:$F,)),0)+IF($P223=3,INDEX('卡片raw data'!AE:AE,MATCH($D223,'卡片raw data'!$F:$F,)),0)+IF($P223=4,INDEX('卡片raw data'!AH:AH,MATCH($D223,'卡片raw data'!$F:$F,)),0)+IF($P223=5,INDEX('卡片raw data'!AK:AK,MATCH($D223,'卡片raw data'!$F:$F,)),0)+INDEX('卡片raw data'!S:S,MATCH($D223,'卡片raw data'!$F:$F,))*(IF($F223="UR",0.04,0.033))*(IF($F223="UR",INDEX(绊状态确认!$S:$S,MATCH($G223,绊状态确认!$B:$B,))/2-40)+IF($F223="SR",INDEX(绊状态确认!$R:$R,MATCH($G223,绊状态确认!$B:$B,))/4-15))+IF($F223="R",INDEX(绊状态确认!$Q:$Q,MATCH($G223,绊状态确认!$B:$B,))/6-40/6)))*(INDEX(绊状态确认!$H:$H,MATCH($G223,绊状态确认!$B:$B,))+INDEX(绊状态确认!J:J,MATCH($G223,绊状态确认!$B:$B,)))</f>
        <v>13649.254943999997</v>
      </c>
      <c r="AM223" s="1106">
        <f>IF($P223="","N/A",(IF($P223=-1,INDEX('卡片raw data'!T:T,MATCH($D223,'卡片raw data'!$F:$F,)),0)+IF($P223=0,INDEX('卡片raw data'!W:W,MATCH($D223,'卡片raw data'!$F:$F,)),0)+IF($P223=1,INDEX('卡片raw data'!Z:Z,MATCH($D223,'卡片raw data'!$F:$F,)),0)+IF($P223=2,INDEX('卡片raw data'!AC:AC,MATCH($D223,'卡片raw data'!$F:$F,)),0)+IF($P223=3,INDEX('卡片raw data'!AF:AF,MATCH($D223,'卡片raw data'!$F:$F,)),0)+IF($P223=4,INDEX('卡片raw data'!AI:AI,MATCH($D223,'卡片raw data'!$F:$F,)),0)+IF($P223=5,INDEX('卡片raw data'!AL:AL,MATCH($D223,'卡片raw data'!$F:$F,)),0)+INDEX('卡片raw data'!T:T,MATCH($D223,'卡片raw data'!$F:$F,))*(IF($F223="UR",0.04,0.033))*(IF($F223="UR",INDEX(绊状态确认!$S:$S,MATCH($G223,绊状态确认!$B:$B,))/2-40)+IF($F223="SR",INDEX(绊状态确认!$R:$R,MATCH($G223,绊状态确认!$B:$B,))/4-15))+IF($F223="R",INDEX(绊状态确认!$Q:$Q,MATCH($G223,绊状态确认!$B:$B,))/6-40/6)))*(INDEX(绊状态确认!$H:$H,MATCH($G223,绊状态确认!$B:$B,))+INDEX(绊状态确认!K:K,MATCH($G223,绊状态确认!$B:$B,)))</f>
        <v>7149.0469439999988</v>
      </c>
      <c r="AN223" s="1106">
        <f>IF($P223="","N/A",(IF($P223=-1,INDEX('卡片raw data'!U:U,MATCH($D223,'卡片raw data'!$F:$F,)),0)+IF($P223=0,INDEX('卡片raw data'!X:X,MATCH($D223,'卡片raw data'!$F:$F,)),0)+IF($P223=1,INDEX('卡片raw data'!AA:AA,MATCH($D223,'卡片raw data'!$F:$F,)),0)+IF($P223=2,INDEX('卡片raw data'!AD:AD,MATCH($D223,'卡片raw data'!$F:$F,)),0)+IF($P223=3,INDEX('卡片raw data'!AG:AG,MATCH($D223,'卡片raw data'!$F:$F,)),0)+IF($P223=4,INDEX('卡片raw data'!AJ:AJ,MATCH($D223,'卡片raw data'!$F:$F,)),0)+IF($P223=5,INDEX('卡片raw data'!AM:AM,MATCH($D223,'卡片raw data'!$F:$F,)),0)+INDEX('卡片raw data'!U:U,MATCH($D223,'卡片raw data'!$F:$F,))*(IF($F223="UR",0.04,0.033))*(IF($F223="UR",INDEX(绊状态确认!$S:$S,MATCH($G223,绊状态确认!$B:$B,))/2-40)+IF($F223="SR",INDEX(绊状态确认!$R:$R,MATCH($G223,绊状态确认!$B:$B,))/4-15))+IF($F223="R",INDEX(绊状态确认!$Q:$Q,MATCH($G223,绊状态确认!$B:$B,))/6-40/6)))*(INDEX(绊状态确认!$H:$H,MATCH($G223,绊状态确认!$B:$B,))+INDEX(绊状态确认!L:L,MATCH($G223,绊状态确认!$B:$B,)))</f>
        <v>11700.374399999999</v>
      </c>
      <c r="AO223" s="1107">
        <f t="shared" si="279"/>
        <v>1</v>
      </c>
      <c r="AP223" s="1131">
        <f>1+(INDEX(绊状态确认!$T:$T,MATCH($G223,绊状态确认!$B:$B,))+0.2)*$AO223</f>
        <v>1.3</v>
      </c>
      <c r="AQ223" s="1108">
        <f t="shared" si="280"/>
        <v>39079.294227999992</v>
      </c>
      <c r="AR223" s="1097">
        <f>(AM223*(1+$EX$9)+$EX$35)*(1+(INDEX(绊状态确认!$T:$T,MATCH($G223,绊状态确认!$B:$B,))+0.2)*AO223)*IF(J223=$FF$17,1+$FE$17,1)*IF(I223=$FF$14,1+$FE$14,1)*(1+$FE$15)</f>
        <v>12462.449078559997</v>
      </c>
      <c r="AS223" s="1097">
        <f>(AN223*(1+$EX$10)+$EX$36)*(1+(INDEX(绊状态确认!$T:$T,MATCH($G223,绊状态确认!$B:$B,))+0.2)*AO223)*IF(J223=$FF$17,1+$FE$17,1)*IF(I223=$FF$14,1+$FE$14,1)*(1+$FE$15)</f>
        <v>21548.059727999997</v>
      </c>
      <c r="AT223" s="1093">
        <f>IF(AND(INDEX('卡片raw data'!AK:AK,MATCH($D223,'卡片raw data'!$F:$F,))&lt;INDEX('卡片raw data'!AM:AM,MATCH($D223,'卡片raw data'!$F:$F,)),INDEX('卡片raw data'!AL:AL,MATCH($D223,'卡片raw data'!$F:$F,))&lt;INDEX('卡片raw data'!AM:AM,MATCH($D223,'卡片raw data'!$F:$F,))),1,0)</f>
        <v>0</v>
      </c>
      <c r="AU223" s="1098">
        <f>MIN(AT223*0.15+AS223*0.00003+INDEX(绊状态确认!M:M,MATCH($G223,绊状态确认!$B:$B,)),1)</f>
        <v>0.67644179183999997</v>
      </c>
      <c r="AV223" s="1109">
        <f>(INDEX(绊状态确认!$N:$N,MATCH($G223,绊状态确认!$B:$B,))+1.5)*$EW$21</f>
        <v>2.6599999999999997</v>
      </c>
      <c r="AW223" s="1101">
        <f t="shared" si="281"/>
        <v>43085.611113475949</v>
      </c>
      <c r="AX223" s="1097">
        <f t="shared" si="282"/>
        <v>1068.1730726653186</v>
      </c>
      <c r="AY223" s="1110">
        <f t="shared" si="283"/>
        <v>44153.784186141267</v>
      </c>
      <c r="AZ223" s="429">
        <f t="shared" si="284"/>
        <v>29216.047140799994</v>
      </c>
      <c r="BA223" s="431">
        <f t="shared" si="285"/>
        <v>35059.256568959994</v>
      </c>
      <c r="BB223" s="1097">
        <f>(AM223*(1+$FB$9)+$FB$35)*(1+(INDEX(绊状态确认!$T:$T,MATCH($G223,绊状态确认!$B:$B,))+0.2)*AO223)*IF(J223=$FF$17,1+$FE$17,1)*IF(I223=$FF$14,1+$FE$14,1)*(1+$FE$15)</f>
        <v>12462.449078559997</v>
      </c>
      <c r="BC223" s="1097">
        <f>(AN223*(1+$FB$10)+$FB$36)*(1+(INDEX(绊状态确认!$T:$T,MATCH($G223,绊状态确认!$B:$B,))+0.2)*AO223)*IF(J223=$FF$17,1+$FE$17,1)*IF(I223=$FF$14,1+$FE$14,1)*(1+$FE$15)</f>
        <v>21548.059727999997</v>
      </c>
      <c r="BD223" s="1104">
        <f>MIN(AT223*0.15+BC223*0.00003+INDEX(绊状态确认!M:M,MATCH($G223,绊状态确认!$B:$B,)),1)</f>
        <v>0.67644179183999997</v>
      </c>
      <c r="BE223" s="432">
        <f>(INDEX(绊状态确认!$N:$N,MATCH($G223,绊状态确认!$B:$B,))+1.5)</f>
        <v>1.9</v>
      </c>
      <c r="BF223" s="1139">
        <f t="array" ref="BF223">SUMPRODUCT(IF(AZ223*AP223*$FI$16:$FI$23*$FA$22&gt;=$FI$24,$FI$24,AZ223*AP223*$FI$16:$FI$23*$FA$22),$FJ$16:$FJ$23)</f>
        <v>55524.114864923198</v>
      </c>
      <c r="BG223" s="1125">
        <f t="array" ref="BG223">SUMPRODUCT(IF(BE223*AZ223*AP223*$FI$16:$FI$23*$FA$22&gt;=$FI$24,$FI$24,BE223*AZ223*AP223*$FI$16:$FI$23*$FA$22),$FJ$16:$FJ$23)</f>
        <v>60000</v>
      </c>
      <c r="BH223" s="1110">
        <f t="shared" si="286"/>
        <v>19517.263541921522</v>
      </c>
      <c r="BI223" s="1111">
        <f>IF(O223="vo",$EW$26/$EW$24*0.05,0)+IF(O223="sk",-$EW$26/$EW$24*(0.05-INDEX(绊状态确认!W:W,MATCH($G223,绊状态确认!$B:$B,)))+0.05*$EW$28,0)+IF(O223="sp",0.05*$EW$32*$EW$30*(1-$EW$33)-(0.05-INDEX(绊状态确认!V:V,MATCH($G223,绊状态确认!$B:$B,)))*$EW$28,0)+IF(O223="gd",-(0.05-INDEX(绊状态确认!X:X,MATCH($G223,绊状态确认!$B:$B,)))*$EW$32*$EW$30*(1-$EW$33),0)</f>
        <v>7726.3029277443748</v>
      </c>
      <c r="BJ223" s="1097">
        <f>IF(O223="vo",0.05*(1-$FI$26)*$FA$24,0)+IF(O223="sk",-(0.05-INDEX(绊状态确认!W:W,MATCH($G223,绊状态确认!$B:$B,)))*(1-$FI$26)*$FA$24+0.05*$FA$26,0)+IF(O223="sp",0.05*$FA$32*$FA$27*(1-$FA$33)/$FA$30+0.05*$FA$29/$FA$69*$FA$27*(1-$FA$33)-(0.05-INDEX(绊状态确认!V:V,MATCH($G223,绊状态确认!$B:$B,)))*$FA$26,0)+IF(O223="gd",-(0.05-INDEX(绊状态确认!X:X,MATCH($G223,绊状态确认!$B:$B,)))*$FA$32*$FA$27*(1-$FA$33)/$FA$30-(0.05-INDEX(绊状态确认!X:X,MATCH($G223,绊状态确认!$B:$B,)))*$FA$29/$FA$69*$FA$27*(1-$FA$33),0)</f>
        <v>393.93433687500004</v>
      </c>
      <c r="BK223" s="1110">
        <f>IF(O223="vo",$EW$26/$EW$24*0.05+$EW$26*(-HP($EW$62,$EW$65,$EW$64)+HP($EW$62,$EW$65,(1.05-INDEX(绊状态确认!U:U,MATCH($G223,绊状态确认!$B:$B,)))*$EW$64)),0)+IF(O223="sk",-$EW$26/$EW$24*(0.05-INDEX(绊状态确认!W:W,MATCH($G223,绊状态确认!$B:$B,)))+0.05*$EW$29,0)+IF(O223="sp",0.05*$EW$32*$EW$30*(1-$EW$33)-(0.05-INDEX(绊状态确认!V:V,MATCH($G223,绊状态确认!$B:$B,)))*$EW$29,0)+IF(O223="gd",-(0.05-INDEX(绊状态确认!X:X,MATCH($G223,绊状态确认!$B:$B,)))*$EW$32*$EW$30*(1-$EW$33)+$EW$26*(-HP($EW$62,$EW$65,$EW$64)+HP($EW$62,$EW$65,0.95*$EW$64)),0)</f>
        <v>6421.6344775026746</v>
      </c>
      <c r="BL223" s="1111">
        <f t="shared" si="287"/>
        <v>0</v>
      </c>
      <c r="BM223" s="1110">
        <f t="shared" si="288"/>
        <v>0</v>
      </c>
      <c r="BN223" s="1113">
        <f t="shared" si="289"/>
        <v>3</v>
      </c>
      <c r="BO223" s="1097">
        <f t="shared" si="290"/>
        <v>4507.7214871259994</v>
      </c>
      <c r="BP223" s="1100">
        <f t="shared" si="291"/>
        <v>221.34103209030098</v>
      </c>
      <c r="BQ223" s="1113" t="s">
        <v>143</v>
      </c>
      <c r="BR223" s="1124" t="s">
        <v>151</v>
      </c>
      <c r="BS223" s="1098">
        <f>IF($P223="","N/A",IF($P223=-1,INDEX('卡片raw data'!AX:AX,MATCH($D223,'卡片raw data'!$F:$F,)),0)+IF($L223="party卡",IF($P223=5,INDEX('卡片raw data'!BD:BD,MATCH($D223,'卡片raw data'!$F:$F,)),IF($P223&gt;=3,INDEX('卡片raw data'!BC:BC,MATCH($D223,'卡片raw data'!$F:$F,)),INDEX('卡片raw data'!BB:BB,MATCH($D223,'卡片raw data'!$F:$F,)))),IF(OR(AND($F223="UR",$P223=0),AND($F223="SR",$P223&gt;=0,$P223&lt;=2),AND($F223="R",$P223&gt;=0,$P223&lt;4)),INDEX('卡片raw data'!AZ:AZ,MATCH($D223,'卡片raw data'!$F:$F,)),0)+IF(OR(AND($F223="UR",$P223&gt;=1,$P223&lt;=4),AND($F223="SR",$P223&lt;=4,$P223&gt;=3),AND($F223="R",$P223=4)),INDEX('卡片raw data'!BA:BA,MATCH($D223,'卡片raw data'!$F:$F,)),0)+IF($P223=5,INDEX('卡片raw data'!BB:BB,MATCH($D223,'卡片raw data'!$F:$F,)),0)))</f>
        <v>4.2000000000000003E-2</v>
      </c>
      <c r="BT223" s="1101">
        <f t="shared" si="292"/>
        <v>1753.0028005490001</v>
      </c>
      <c r="BU223" s="1097">
        <f t="shared" si="293"/>
        <v>86.077068035117065</v>
      </c>
      <c r="BV223" s="1097">
        <f t="shared" si="294"/>
        <v>1051.8016803293999</v>
      </c>
      <c r="BW223" s="1112">
        <f t="shared" si="295"/>
        <v>0</v>
      </c>
      <c r="BX223" s="1100">
        <f t="shared" si="296"/>
        <v>1753.0028005490001</v>
      </c>
      <c r="BY223" s="1110">
        <f t="shared" si="297"/>
        <v>1051.8016803293999</v>
      </c>
      <c r="BZ223" s="1107" t="s">
        <v>569</v>
      </c>
      <c r="CA223" s="1124"/>
      <c r="CB223" s="1098">
        <f>IF($P223="","N/A",IF($P223=-1,INDEX('卡片raw data'!BE:BE,MATCH($D223,'卡片raw data'!$F:$F,)),0)+IF($L223="party卡",IF($P223=5,INDEX('卡片raw data'!BK:BK,MATCH($D223,'卡片raw data'!$F:$F,)),IF($P223&gt;=3,INDEX('卡片raw data'!BJ:BJ,MATCH($D223,'卡片raw data'!$F:$F,)),INDEX('卡片raw data'!BI:BI,MATCH($D223,'卡片raw data'!$F:$F,)))),IF(OR(AND($F223="UR",$P223=0),AND($F223="SR",$P223&gt;=0,$P223&lt;=2),AND($F223="R",$P223&gt;=0,$P223&lt;4)),INDEX('卡片raw data'!BG:BG,MATCH($D223,'卡片raw data'!$F:$F,)),0)+IF(OR(AND($F223="UR",$P223&gt;=1,$P223&lt;=4),AND($F223="SR",$P223&lt;=4,$P223&gt;=3),AND($F223="R",$P223=4)),INDEX('卡片raw data'!BH:BH,MATCH($D223,'卡片raw data'!$F:$F,)),0)+IF($P223=5,INDEX('卡片raw data'!BI:BI,MATCH($D223,'卡片raw data'!$F:$F,)),0)))</f>
        <v>0</v>
      </c>
      <c r="CC223" s="1101">
        <f t="shared" si="298"/>
        <v>0</v>
      </c>
      <c r="CD223" s="1097">
        <f>IF(BZ223="ap",CB223*(1-$FI$26)*$FB$5/$FB$11*(+IF(CA223="全员",$FA$24,0)+IF(CA223="同作战",$FA$24,0)+IF(CA223="仲间",$FA$24*2/3,0)+IF(CA223="同属性",$FA$24*$FA$37/3,0)+IF(CA223="同年级",$FA$24*$FA$40/3,0)+IF(CA223="同学校",$FA$24*$FA$43/3,0)+IF(CA223="同小队",$FA$24*$FA$46/3,0)+IF(CA223="同type",$FA$24*INDEX($FB$49:$FB$52,MATCH(X223,$FA$49:$FA$52,))/3,0)+IF(CA223="自身",#REF!/3,0)),0)+IF(BZ223="te",CB223*(1-$FI$27)*($FA$20-1)*$FB$7/$FB$13*(+IF(CA223="全员",$FA$19*$FA$24/(1+($FA$20-1)*$FA$19),0)+IF(CA223="同作战",$FA$19*$FA$24/(1+($FA$20-1)*$FA$19),0)+IF(CA223="仲间",$FA$19*$FA$24*2/3/(1+($FA$20-1)*$FA$19),0)+IF(CA223="同属性",$FA$19*$FA$24*$FA$37/3/(1+($FA$20-1)*$FA$19),0)+IF(CA223="同年级",$FA$19*$FA$24*$FA$40/3/(1+($FA$20-1)*$FA$19),0)+IF(CA223="同学校",$FA$19*$FA$24*$FA$43/3/(1+($FA$20-1)*$FA$19),0)+IF(CA223="同小队",$FA$19*$FA$24*$FA$46/3/(1+($FA$20-1)*$FA$19),0)+IF(CA223="同type",$FA$19*$FA$24*INDEX($FB$49:$FB$52,MATCH(X223,$FA$49:$FA$52,))/3/(1+($FA$20-1)*$FA$19),0)+IF(CA223="自身",$FA$19*#REF!/3/(1+(BH223-1)*$BD223),0)),0)</f>
        <v>0</v>
      </c>
      <c r="CE223" s="1097">
        <f t="shared" si="299"/>
        <v>0</v>
      </c>
      <c r="CF223" s="1112">
        <f t="shared" si="300"/>
        <v>0</v>
      </c>
      <c r="CG223" s="1100">
        <f t="shared" si="301"/>
        <v>0</v>
      </c>
      <c r="CH223" s="1110">
        <f t="shared" si="302"/>
        <v>0</v>
      </c>
      <c r="CI223" s="1113" t="s">
        <v>165</v>
      </c>
      <c r="CJ223" s="1114">
        <v>0.5</v>
      </c>
      <c r="CK223" s="1115" t="s">
        <v>153</v>
      </c>
      <c r="CL223" s="1115" t="s">
        <v>169</v>
      </c>
      <c r="CM223" s="1119">
        <v>0.05</v>
      </c>
      <c r="CN223" s="1115" t="s">
        <v>163</v>
      </c>
      <c r="CO223" s="1092"/>
      <c r="CP223" s="1118">
        <f t="shared" si="303"/>
        <v>1.388888888888889E-2</v>
      </c>
      <c r="CQ223" s="1118">
        <f t="shared" si="304"/>
        <v>1.388888888888889E-2</v>
      </c>
      <c r="CR223" s="1118">
        <f t="shared" si="305"/>
        <v>8.3333333333333332E-3</v>
      </c>
      <c r="CS223" s="1118">
        <f t="shared" si="306"/>
        <v>0</v>
      </c>
      <c r="CT223" s="1109">
        <f t="shared" si="307"/>
        <v>0</v>
      </c>
      <c r="CU223" s="1101">
        <f t="shared" si="308"/>
        <v>1888.6518267819586</v>
      </c>
      <c r="CV223" s="1108">
        <f t="shared" si="309"/>
        <v>91.188503906250006</v>
      </c>
      <c r="CW223" s="1097">
        <f t="shared" si="310"/>
        <v>1133.191096069175</v>
      </c>
      <c r="CX223" s="1097">
        <f t="shared" si="311"/>
        <v>1888.6518267819586</v>
      </c>
      <c r="CY223" s="1110">
        <f t="shared" si="312"/>
        <v>1133.191096069175</v>
      </c>
      <c r="CZ223" s="437"/>
      <c r="DA223" s="438"/>
      <c r="DB223" s="439" t="s">
        <v>569</v>
      </c>
      <c r="DC223" s="439"/>
      <c r="DD223" s="443"/>
      <c r="DE223" s="411"/>
      <c r="DF223" s="411"/>
      <c r="DG223" s="1116">
        <f t="shared" si="313"/>
        <v>0</v>
      </c>
      <c r="DH223" s="1116">
        <f t="shared" si="314"/>
        <v>0</v>
      </c>
      <c r="DI223" s="1116">
        <f t="shared" si="315"/>
        <v>0</v>
      </c>
      <c r="DJ223" s="442">
        <f t="shared" si="316"/>
        <v>0</v>
      </c>
      <c r="DK223" s="1109">
        <f t="shared" si="317"/>
        <v>0</v>
      </c>
      <c r="DL223" s="1101">
        <f t="shared" si="318"/>
        <v>0</v>
      </c>
      <c r="DM223" s="1097">
        <f t="shared" si="319"/>
        <v>0</v>
      </c>
      <c r="DN223" s="1097">
        <f t="shared" si="320"/>
        <v>0</v>
      </c>
      <c r="DO223" s="1097">
        <f t="shared" si="321"/>
        <v>0</v>
      </c>
      <c r="DP223" s="1110">
        <f t="shared" si="322"/>
        <v>0</v>
      </c>
      <c r="DQ223" s="1113" t="s">
        <v>153</v>
      </c>
      <c r="DR223" s="1120">
        <f t="shared" si="323"/>
        <v>0.33</v>
      </c>
      <c r="DS223" s="1124">
        <v>5</v>
      </c>
      <c r="DT223" s="1093" t="s">
        <v>161</v>
      </c>
      <c r="DU223" s="1093" t="s">
        <v>544</v>
      </c>
      <c r="DV223" s="1098">
        <f>IF($P223="","N/A",IF(P223=-1,INDEX('卡片raw data'!AN:AN,MATCH(D223,'卡片raw data'!$F:$F,)),0)+IF(AND(L223&lt;&gt;"party卡",P223&lt;=2,P223&gt;=0),INDEX('卡片raw data'!AP:AP,MATCH(D223,'卡片raw data'!$F:$F,)),0)+IF(OR(AND(L223="party卡",P223&lt;=1),AND(P223&lt;=4,L223&lt;&gt;"party卡",P223&gt;=3)),INDEX('卡片raw data'!AQ:AQ,MATCH(D223,'卡片raw data'!$F:$F,)),0)+IF(OR(P223=5,AND(L223="party卡",P223&gt;=2)),INDEX('卡片raw data'!AR:AR,MATCH(D223,'卡片raw data'!$F:$F,)),0))</f>
        <v>6.2E-2</v>
      </c>
      <c r="DW223" s="1098">
        <f t="shared" si="324"/>
        <v>0.33</v>
      </c>
      <c r="DX223" s="1098">
        <f t="shared" si="325"/>
        <v>0.33</v>
      </c>
      <c r="DY223" s="1098">
        <f t="shared" si="326"/>
        <v>3.4100000000000005E-2</v>
      </c>
      <c r="DZ223" s="1098">
        <f t="shared" si="327"/>
        <v>2.9496500000000005E-2</v>
      </c>
      <c r="EA223" s="1098">
        <f t="shared" si="328"/>
        <v>0</v>
      </c>
      <c r="EB223" s="1121">
        <f t="shared" si="329"/>
        <v>0</v>
      </c>
      <c r="EC223" s="1101">
        <f t="shared" si="330"/>
        <v>4637.0179651150647</v>
      </c>
      <c r="ED223" s="1097">
        <f t="shared" si="331"/>
        <v>193.66140279389066</v>
      </c>
      <c r="EE223" s="1110">
        <f t="shared" si="332"/>
        <v>4637.0179651150647</v>
      </c>
      <c r="EF223" s="1092" t="s">
        <v>711</v>
      </c>
      <c r="EG223" s="1120">
        <f t="shared" si="333"/>
        <v>0.33</v>
      </c>
      <c r="EH223" s="1124"/>
      <c r="EI223" s="1093"/>
      <c r="EJ223" s="1093"/>
      <c r="EK223" s="1097">
        <f>IF($P223="","N/A",IF(P223=-1,INDEX('卡片raw data'!AS:AS,MATCH(D223,'卡片raw data'!$F:$F,)),0)+IF(AND(L223&lt;&gt;"party卡",P223&lt;=2,P223&gt;=0),INDEX('卡片raw data'!AU:AU,MATCH(D223,'卡片raw data'!$F:$F,)),0)+IF(OR(AND(L223="party卡",P223&lt;=1),AND(P223&lt;=4,L223&lt;&gt;"party卡",P223&gt;=3)),INDEX('卡片raw data'!AV:AV,MATCH(D223,'卡片raw data'!$F:$F,)),0)+IF(OR(P223=5,AND(L223="party卡",P223&gt;=2)),INDEX('卡片raw data'!AW:AW,MATCH(D223,'卡片raw data'!$F:$F,)),0))</f>
        <v>0</v>
      </c>
      <c r="EL223" s="1098">
        <f t="shared" si="334"/>
        <v>0.33</v>
      </c>
      <c r="EM223" s="1098">
        <f t="shared" si="335"/>
        <v>0.33</v>
      </c>
      <c r="EN223" s="1125">
        <f t="shared" si="336"/>
        <v>0</v>
      </c>
      <c r="EO223" s="1125">
        <f t="shared" si="337"/>
        <v>0</v>
      </c>
      <c r="EP223" s="1098">
        <f t="shared" si="338"/>
        <v>0</v>
      </c>
      <c r="EQ223" s="1121">
        <f t="shared" si="339"/>
        <v>0</v>
      </c>
      <c r="ER223" s="1101">
        <f t="shared" si="340"/>
        <v>0</v>
      </c>
      <c r="ES223" s="1097">
        <f t="shared" si="341"/>
        <v>0</v>
      </c>
      <c r="ET223" s="1122">
        <f t="shared" si="342"/>
        <v>0</v>
      </c>
    </row>
    <row r="224" spans="2:150" ht="16.5" customHeight="1">
      <c r="B224" s="1123" t="str">
        <f>INDEX('卡片raw data'!B:B,MATCH($D224,'卡片raw data'!$F:$F,))</f>
        <v>乐器霞</v>
      </c>
      <c r="C224" s="449" t="s">
        <v>22</v>
      </c>
      <c r="D224" s="408">
        <v>221</v>
      </c>
      <c r="E224" s="1090">
        <v>302022002</v>
      </c>
      <c r="F224" s="1090" t="str">
        <f>INDEX('卡片raw data'!C:C,MATCH($D224,'卡片raw data'!$F:$F,))</f>
        <v>SR</v>
      </c>
      <c r="G224" s="1094" t="s">
        <v>352</v>
      </c>
      <c r="H224" s="411">
        <f>IFERROR(INDEX(绊状态确认!C:C,MATCH($G224,绊状态确认!$B:$B,)),"")</f>
        <v>202</v>
      </c>
      <c r="I224" s="450" t="str">
        <f>IFERROR(INDEX(绊状态确认!D:D,MATCH($G224,绊状态确认!$B:$B,)),"")</f>
        <v>虹</v>
      </c>
      <c r="J224" s="450" t="str">
        <f>IFERROR(INDEX(绊状态确认!E:E,MATCH($G224,绊状态确认!$B:$B,)),"")</f>
        <v>1年级</v>
      </c>
      <c r="K224" s="451" t="str">
        <f>IFERROR(INDEX(绊状态确认!F:F,MATCH($G224,绊状态确认!$B:$B,)),"")</f>
        <v>QU4RTZ</v>
      </c>
      <c r="L224" s="1094" t="str">
        <f>INDEX('卡片raw data'!E:E,MATCH($D224,'卡片raw data'!$F:$F,))</f>
        <v>卡池卡</v>
      </c>
      <c r="M224" s="415">
        <v>43942</v>
      </c>
      <c r="N224" s="416">
        <v>14</v>
      </c>
      <c r="O224" s="1091" t="str">
        <f>INDEX('卡片raw data'!D:D,MATCH($D224,'卡片raw data'!$F:$F,))</f>
        <v>sk</v>
      </c>
      <c r="P224" s="417">
        <v>5</v>
      </c>
      <c r="Q224" s="1095">
        <f t="shared" si="258"/>
        <v>20645.434216880403</v>
      </c>
      <c r="R224" s="1096">
        <f t="shared" si="259"/>
        <v>0.24</v>
      </c>
      <c r="S224" s="1097">
        <f t="shared" si="260"/>
        <v>14912.20156942565</v>
      </c>
      <c r="T224" s="1098">
        <f t="shared" si="261"/>
        <v>0.745</v>
      </c>
      <c r="U224" s="1099">
        <f t="shared" si="262"/>
        <v>413.39012273068829</v>
      </c>
      <c r="V224" s="1100">
        <f t="shared" si="263"/>
        <v>71938.199370624163</v>
      </c>
      <c r="W224" s="1101">
        <f t="shared" si="264"/>
        <v>5612.015370944071</v>
      </c>
      <c r="X224" s="1096">
        <f t="shared" si="265"/>
        <v>6.5000000000000002E-2</v>
      </c>
      <c r="Y224" s="1097">
        <f t="shared" si="266"/>
        <v>857.7340641200035</v>
      </c>
      <c r="Z224" s="1102">
        <f t="shared" si="267"/>
        <v>10.778754378822859</v>
      </c>
      <c r="AA224" s="1103">
        <f t="shared" si="268"/>
        <v>6469.7494350640745</v>
      </c>
      <c r="AB224" s="1101">
        <f t="shared" si="269"/>
        <v>6366.6388594036553</v>
      </c>
      <c r="AC224" s="1104">
        <f t="shared" si="270"/>
        <v>7.3999999999999996E-2</v>
      </c>
      <c r="AD224" s="1105">
        <f t="shared" si="271"/>
        <v>1.8994224431818179E-2</v>
      </c>
      <c r="AE224" s="1128">
        <f t="shared" si="272"/>
        <v>4.3537577047458456</v>
      </c>
      <c r="AF224" s="1130">
        <f t="shared" si="273"/>
        <v>5368.1515780248719</v>
      </c>
      <c r="AG224" s="420">
        <f t="shared" si="274"/>
        <v>106372.304246432</v>
      </c>
      <c r="AH224" s="420">
        <f t="shared" si="275"/>
        <v>19.815443491178399</v>
      </c>
      <c r="AI224" s="1097">
        <f t="shared" si="276"/>
        <v>91114.109125457646</v>
      </c>
      <c r="AJ224" s="420">
        <f t="shared" si="277"/>
        <v>71938.199370624163</v>
      </c>
      <c r="AK224" s="518">
        <f t="shared" si="278"/>
        <v>19175.909754833483</v>
      </c>
      <c r="AL224" s="1106">
        <f>IF($P224="","N/A",(IF($P224=-1,INDEX('卡片raw data'!S:S,MATCH($D224,'卡片raw data'!$F:$F,)),0)+IF($P224=0,INDEX('卡片raw data'!V:V,MATCH($D224,'卡片raw data'!$F:$F,)),0)+IF($P224=1,INDEX('卡片raw data'!Y:Y,MATCH($D224,'卡片raw data'!$F:$F,)),0)+IF($P224=2,INDEX('卡片raw data'!AB:AB,MATCH($D224,'卡片raw data'!$F:$F,)),0)+IF($P224=3,INDEX('卡片raw data'!AE:AE,MATCH($D224,'卡片raw data'!$F:$F,)),0)+IF($P224=4,INDEX('卡片raw data'!AH:AH,MATCH($D224,'卡片raw data'!$F:$F,)),0)+IF($P224=5,INDEX('卡片raw data'!AK:AK,MATCH($D224,'卡片raw data'!$F:$F,)),0)+INDEX('卡片raw data'!S:S,MATCH($D224,'卡片raw data'!$F:$F,))*(IF($F224="UR",0.04,0.033))*(IF($F224="UR",INDEX(绊状态确认!$S:$S,MATCH($G224,绊状态确认!$B:$B,))/2-40)+IF($F224="SR",INDEX(绊状态确认!$R:$R,MATCH($G224,绊状态确认!$B:$B,))/4-15))+IF($F224="R",INDEX(绊状态确认!$Q:$Q,MATCH($G224,绊状态确认!$B:$B,))/6-40/6)))*(INDEX(绊状态确认!$H:$H,MATCH($G224,绊状态确认!$B:$B,))+INDEX(绊状态确认!J:J,MATCH($G224,绊状态确认!$B:$B,)))</f>
        <v>7786.0241447999988</v>
      </c>
      <c r="AM224" s="1106">
        <f>IF($P224="","N/A",(IF($P224=-1,INDEX('卡片raw data'!T:T,MATCH($D224,'卡片raw data'!$F:$F,)),0)+IF($P224=0,INDEX('卡片raw data'!W:W,MATCH($D224,'卡片raw data'!$F:$F,)),0)+IF($P224=1,INDEX('卡片raw data'!Z:Z,MATCH($D224,'卡片raw data'!$F:$F,)),0)+IF($P224=2,INDEX('卡片raw data'!AC:AC,MATCH($D224,'卡片raw data'!$F:$F,)),0)+IF($P224=3,INDEX('卡片raw data'!AF:AF,MATCH($D224,'卡片raw data'!$F:$F,)),0)+IF($P224=4,INDEX('卡片raw data'!AI:AI,MATCH($D224,'卡片raw data'!$F:$F,)),0)+IF($P224=5,INDEX('卡片raw data'!AL:AL,MATCH($D224,'卡片raw data'!$F:$F,)),0)+INDEX('卡片raw data'!T:T,MATCH($D224,'卡片raw data'!$F:$F,))*(IF($F224="UR",0.04,0.033))*(IF($F224="UR",INDEX(绊状态确认!$S:$S,MATCH($G224,绊状态确认!$B:$B,))/2-40)+IF($F224="SR",INDEX(绊状态确认!$R:$R,MATCH($G224,绊状态确认!$B:$B,))/4-15))+IF($F224="R",INDEX(绊状态确认!$Q:$Q,MATCH($G224,绊状态确认!$B:$B,))/6-40/6)))*(INDEX(绊状态确认!$H:$H,MATCH($G224,绊状态确认!$B:$B,))+INDEX(绊状态确认!K:K,MATCH($G224,绊状态确认!$B:$B,)))</f>
        <v>5389.1360832</v>
      </c>
      <c r="AN224" s="1106">
        <f>IF($P224="","N/A",(IF($P224=-1,INDEX('卡片raw data'!U:U,MATCH($D224,'卡片raw data'!$F:$F,)),0)+IF($P224=0,INDEX('卡片raw data'!X:X,MATCH($D224,'卡片raw data'!$F:$F,)),0)+IF($P224=1,INDEX('卡片raw data'!AA:AA,MATCH($D224,'卡片raw data'!$F:$F,)),0)+IF($P224=2,INDEX('卡片raw data'!AD:AD,MATCH($D224,'卡片raw data'!$F:$F,)),0)+IF($P224=3,INDEX('卡片raw data'!AG:AG,MATCH($D224,'卡片raw data'!$F:$F,)),0)+IF($P224=4,INDEX('卡片raw data'!AJ:AJ,MATCH($D224,'卡片raw data'!$F:$F,)),0)+IF($P224=5,INDEX('卡片raw data'!AM:AM,MATCH($D224,'卡片raw data'!$F:$F,)),0)+INDEX('卡片raw data'!U:U,MATCH($D224,'卡片raw data'!$F:$F,))*(IF($F224="UR",0.04,0.033))*(IF($F224="UR",INDEX(绊状态确认!$S:$S,MATCH($G224,绊状态确认!$B:$B,))/2-40)+IF($F224="SR",INDEX(绊状态确认!$R:$R,MATCH($G224,绊状态确认!$B:$B,))/4-15))+IF($F224="R",INDEX(绊状态确认!$Q:$Q,MATCH($G224,绊状态确认!$B:$B,))/6-40/6)))*(INDEX(绊状态确认!$H:$H,MATCH($G224,绊状态确认!$B:$B,))+INDEX(绊状态确认!L:L,MATCH($G224,绊状态确认!$B:$B,)))</f>
        <v>6786.2603351999987</v>
      </c>
      <c r="AO224" s="1107">
        <f t="shared" si="279"/>
        <v>1</v>
      </c>
      <c r="AP224" s="1131">
        <f>1+(INDEX(绊状态确认!$T:$T,MATCH($G224,绊状态确认!$B:$B,))+0.2)*$AO224</f>
        <v>1.3</v>
      </c>
      <c r="AQ224" s="1108">
        <f t="shared" si="280"/>
        <v>23688.3133801</v>
      </c>
      <c r="AR224" s="1097">
        <f>(AM224*(1+$EX$9)+$EX$35)*(1+(INDEX(绊状态确认!$T:$T,MATCH($G224,绊状态确认!$B:$B,))+0.2)*AO224)*IF(J224=$FF$17,1+$FE$17,1)*IF(I224=$FF$14,1+$FE$14,1)</f>
        <v>10060.170753568002</v>
      </c>
      <c r="AS224" s="1097">
        <f>(AN224*(1+$EX$10)+$EX$36)*(1+(INDEX(绊状态确认!$T:$T,MATCH($G224,绊状态确认!$B:$B,))+0.2)*AO224)*IF(J224=$FF$17,1+$FE$17,1)*IF(I224=$FF$14,1+$FE$14,1)</f>
        <v>14201.459201123998</v>
      </c>
      <c r="AT224" s="1093">
        <f>IF(AND(INDEX('卡片raw data'!AK:AK,MATCH($D224,'卡片raw data'!$F:$F,))&lt;INDEX('卡片raw data'!AM:AM,MATCH($D224,'卡片raw data'!$F:$F,)),INDEX('卡片raw data'!AL:AL,MATCH($D224,'卡片raw data'!$F:$F,))&lt;INDEX('卡片raw data'!AM:AM,MATCH($D224,'卡片raw data'!$F:$F,))),1,0)</f>
        <v>0</v>
      </c>
      <c r="AU224" s="1098">
        <f>MIN(AT224*0.15+AS224*0.00003+INDEX(绊状态确认!M:M,MATCH($G224,绊状态确认!$B:$B,)),1)</f>
        <v>0.45604377603371998</v>
      </c>
      <c r="AV224" s="1109">
        <f>(INDEX(绊状态确认!$N:$N,MATCH($G224,绊状态确认!$B:$B,))+1.5)*$EW$21</f>
        <v>2.6599999999999997</v>
      </c>
      <c r="AW224" s="1101">
        <f t="shared" si="281"/>
        <v>21615.801325780019</v>
      </c>
      <c r="AX224" s="1097">
        <f t="shared" si="282"/>
        <v>857.73406412000372</v>
      </c>
      <c r="AY224" s="1110">
        <f t="shared" si="283"/>
        <v>22473.535389900022</v>
      </c>
      <c r="AZ224" s="429">
        <f t="shared" si="284"/>
        <v>17782.747082359998</v>
      </c>
      <c r="BA224" s="431">
        <f t="shared" si="285"/>
        <v>21339.296498831998</v>
      </c>
      <c r="BB224" s="1097">
        <f>(AM224*(1+$FB$9)+$FB$35)*(1+(INDEX(绊状态确认!$T:$T,MATCH($G224,绊状态确认!$B:$B,))+0.2)*AO224)*IF(J224=$FF$17,1+$FE$17,1)*IF(I224=$FF$14,1+$FE$14,1)*(1+$FE$15)</f>
        <v>10060.170753568002</v>
      </c>
      <c r="BC224" s="1097">
        <f>(AN224*(1+$FB$10)+$FB$36)*(1+(INDEX(绊状态确认!$T:$T,MATCH($G224,绊状态确认!$B:$B,))+0.2)*AO224)*IF(J224=$FF$17,1+$FE$17,1)*IF(I224=$FF$14,1+$FE$14,1)*(1+$FE$15)</f>
        <v>14201.459201123998</v>
      </c>
      <c r="BD224" s="1104">
        <f>MIN(AT224*0.15+BC224*0.00003+INDEX(绊状态确认!M:M,MATCH($G224,绊状态确认!$B:$B,)),1)</f>
        <v>0.45604377603371998</v>
      </c>
      <c r="BE224" s="432">
        <f>(INDEX(绊状态确认!$N:$N,MATCH($G224,绊状态确认!$B:$B,))+1.5)</f>
        <v>1.9</v>
      </c>
      <c r="BF224" s="1139">
        <f t="array" ref="BF224">SUMPRODUCT(IF(AZ224*AP224*$FI$16:$FI$23*$FA$22&gt;=$FI$24,$FI$24,AZ224*AP224*$FI$16:$FI$23*$FA$22),$FJ$16:$FJ$23)</f>
        <v>35369.883946814036</v>
      </c>
      <c r="BG224" s="1125">
        <f t="array" ref="BG224">SUMPRODUCT(IF(BE224*AZ224*AP224*$FI$16:$FI$23*$FA$22&gt;=$FI$24,$FI$24,BE224*AZ224*AP224*$FI$16:$FI$23*$FA$22),$FJ$16:$FJ$23)</f>
        <v>58980.846323357298</v>
      </c>
      <c r="BH224" s="1110">
        <f t="shared" si="286"/>
        <v>15379.172128267639</v>
      </c>
      <c r="BI224" s="1111">
        <f>IF(O224="vo",$EW$26/$EW$24*0.05,0)+IF(O224="sk",-$EW$26/$EW$24*(0.05-INDEX(绊状态确认!W:W,MATCH($G224,绊状态确认!$B:$B,)))+0.05*$EW$28,0)+IF(O224="sp",0.05*$EW$32*$EW$30*(1-$EW$33)-(0.05-INDEX(绊状态确认!V:V,MATCH($G224,绊状态确认!$B:$B,)))*$EW$28,0)+IF(O224="gd",-(0.05-INDEX(绊状态确认!X:X,MATCH($G224,绊状态确认!$B:$B,)))*$EW$32*$EW$30*(1-$EW$33),0)</f>
        <v>-6253.6726349699375</v>
      </c>
      <c r="BJ224" s="1097">
        <f>IF(O224="vo",0.05*(1-$FI$26)*$FA$24,0)+IF(O224="sk",-(0.05-INDEX(绊状态确认!W:W,MATCH($G224,绊状态确认!$B:$B,)))*(1-$FI$26)*$FA$24+0.05*$FA$26,0)+IF(O224="sp",0.05*$FA$32*$FA$27*(1-$FA$33)/$FA$30+0.05*$FA$29/$FA$69*$FA$27*(1-$FA$33)-(0.05-INDEX(绊状态确认!V:V,MATCH($G224,绊状态确认!$B:$B,)))*$FA$26,0)+IF(O224="gd",-(0.05-INDEX(绊状态确认!X:X,MATCH($G224,绊状态确认!$B:$B,)))*$FA$32*$FA$27*(1-$FA$33)/$FA$30-(0.05-INDEX(绊状态确认!X:X,MATCH($G224,绊状态确认!$B:$B,)))*$FA$29/$FA$69*$FA$27*(1-$FA$33),0)</f>
        <v>20.459096812499922</v>
      </c>
      <c r="BK224" s="1110">
        <f>IF(O224="vo",$EW$26/$EW$24*0.05+$EW$26*(-HP($EW$62,$EW$65,$EW$64)+HP($EW$62,$EW$65,(1.05-INDEX(绊状态确认!U:U,MATCH($G224,绊状态确认!$B:$B,)))*$EW$64)),0)+IF(O224="sk",-$EW$26/$EW$24*(0.05-INDEX(绊状态确认!W:W,MATCH($G224,绊状态确认!$B:$B,)))+0.05*$EW$29,0)+IF(O224="sp",0.05*$EW$32*$EW$30*(1-$EW$33)-(0.05-INDEX(绊状态确认!V:V,MATCH($G224,绊状态确认!$B:$B,)))*$EW$29,0)+IF(O224="gd",-(0.05-INDEX(绊状态确认!X:X,MATCH($G224,绊状态确认!$B:$B,)))*$EW$32*$EW$30*(1-$EW$33)+$EW$26*(-HP($EW$62,$EW$65,$EW$64)+HP($EW$62,$EW$65,0.95*$EW$64)),0)</f>
        <v>-4253.6726349699375</v>
      </c>
      <c r="BL224" s="1111">
        <f t="shared" si="287"/>
        <v>-1083.3333333333333</v>
      </c>
      <c r="BM224" s="1110">
        <f t="shared" si="288"/>
        <v>-830.55555555555543</v>
      </c>
      <c r="BN224" s="1113">
        <f t="shared" si="289"/>
        <v>3</v>
      </c>
      <c r="BO224" s="1097">
        <f t="shared" si="290"/>
        <v>4507.7214871259994</v>
      </c>
      <c r="BP224" s="1100">
        <f t="shared" si="291"/>
        <v>221.34103209030098</v>
      </c>
      <c r="BQ224" s="1113" t="s">
        <v>145</v>
      </c>
      <c r="BR224" s="1124" t="s">
        <v>148</v>
      </c>
      <c r="BS224" s="1098">
        <f>IF($P224="","N/A",IF($P224=-1,INDEX('卡片raw data'!AX:AX,MATCH($D224,'卡片raw data'!$F:$F,)),0)+IF($L224="party卡",IF($P224=5,INDEX('卡片raw data'!BD:BD,MATCH($D224,'卡片raw data'!$F:$F,)),IF($P224&gt;=3,INDEX('卡片raw data'!BC:BC,MATCH($D224,'卡片raw data'!$F:$F,)),INDEX('卡片raw data'!BB:BB,MATCH($D224,'卡片raw data'!$F:$F,)))),IF(OR(AND($F224="UR",$P224=0),AND($F224="SR",$P224&gt;=0,$P224&lt;=2),AND($F224="R",$P224&gt;=0,$P224&lt;4)),INDEX('卡片raw data'!AZ:AZ,MATCH($D224,'卡片raw data'!$F:$F,)),0)+IF(OR(AND($F224="UR",$P224&gt;=1,$P224&lt;=4),AND($F224="SR",$P224&lt;=4,$P224&gt;=3),AND($F224="R",$P224=4)),INDEX('卡片raw data'!BA:BA,MATCH($D224,'卡片raw data'!$F:$F,)),0)+IF($P224=5,INDEX('卡片raw data'!BB:BB,MATCH($D224,'卡片raw data'!$F:$F,)),0)))</f>
        <v>3.2000000000000001E-2</v>
      </c>
      <c r="BT224" s="1101">
        <f t="shared" si="292"/>
        <v>1509.2469769191675</v>
      </c>
      <c r="BU224" s="1097">
        <f t="shared" si="293"/>
        <v>95.522578685765595</v>
      </c>
      <c r="BV224" s="1097">
        <f t="shared" si="294"/>
        <v>754.62348845958354</v>
      </c>
      <c r="BW224" s="1112">
        <f t="shared" si="295"/>
        <v>0</v>
      </c>
      <c r="BX224" s="1100">
        <f t="shared" si="296"/>
        <v>1509.2469769191675</v>
      </c>
      <c r="BY224" s="1110">
        <f t="shared" si="297"/>
        <v>754.62348845958354</v>
      </c>
      <c r="BZ224" s="1107" t="s">
        <v>569</v>
      </c>
      <c r="CA224" s="1124"/>
      <c r="CB224" s="1098">
        <f>IF($P224="","N/A",IF($P224=-1,INDEX('卡片raw data'!BE:BE,MATCH($D224,'卡片raw data'!$F:$F,)),0)+IF($L224="party卡",IF($P224=5,INDEX('卡片raw data'!BK:BK,MATCH($D224,'卡片raw data'!$F:$F,)),IF($P224&gt;=3,INDEX('卡片raw data'!BJ:BJ,MATCH($D224,'卡片raw data'!$F:$F,)),INDEX('卡片raw data'!BI:BI,MATCH($D224,'卡片raw data'!$F:$F,)))),IF(OR(AND($F224="UR",$P224=0),AND($F224="SR",$P224&gt;=0,$P224&lt;=2),AND($F224="R",$P224&gt;=0,$P224&lt;4)),INDEX('卡片raw data'!BG:BG,MATCH($D224,'卡片raw data'!$F:$F,)),0)+IF(OR(AND($F224="UR",$P224&gt;=1,$P224&lt;=4),AND($F224="SR",$P224&lt;=4,$P224&gt;=3),AND($F224="R",$P224=4)),INDEX('卡片raw data'!BH:BH,MATCH($D224,'卡片raw data'!$F:$F,)),0)+IF($P224=5,INDEX('卡片raw data'!BI:BI,MATCH($D224,'卡片raw data'!$F:$F,)),0)))</f>
        <v>0</v>
      </c>
      <c r="CC224" s="1101">
        <f t="shared" si="298"/>
        <v>0</v>
      </c>
      <c r="CD224" s="1097">
        <f>IF(BZ224="ap",CB224*(1-$FI$26)*$FB$5/$FB$11*(+IF(CA224="全员",$FA$24,0)+IF(CA224="同作战",$FA$24,0)+IF(CA224="仲间",$FA$24*2/3,0)+IF(CA224="同属性",$FA$24*$FA$37/3,0)+IF(CA224="同年级",$FA$24*$FA$40/3,0)+IF(CA224="同学校",$FA$24*$FA$43/3,0)+IF(CA224="同小队",$FA$24*$FA$46/3,0)+IF(CA224="同type",$FA$24*INDEX($FB$49:$FB$52,MATCH(X224,$FA$49:$FA$52,))/3,0)+IF(CA224="自身",#REF!/3,0)),0)+IF(BZ224="te",CB224*(1-$FI$27)*($FA$20-1)*$FB$7/$FB$13*(+IF(CA224="全员",$FA$19*$FA$24/(1+($FA$20-1)*$FA$19),0)+IF(CA224="同作战",$FA$19*$FA$24/(1+($FA$20-1)*$FA$19),0)+IF(CA224="仲间",$FA$19*$FA$24*2/3/(1+($FA$20-1)*$FA$19),0)+IF(CA224="同属性",$FA$19*$FA$24*$FA$37/3/(1+($FA$20-1)*$FA$19),0)+IF(CA224="同年级",$FA$19*$FA$24*$FA$40/3/(1+($FA$20-1)*$FA$19),0)+IF(CA224="同学校",$FA$19*$FA$24*$FA$43/3/(1+($FA$20-1)*$FA$19),0)+IF(CA224="同小队",$FA$19*$FA$24*$FA$46/3/(1+($FA$20-1)*$FA$19),0)+IF(CA224="同type",$FA$19*$FA$24*INDEX($FB$49:$FB$52,MATCH(X224,$FA$49:$FA$52,))/3/(1+($FA$20-1)*$FA$19),0)+IF(CA224="自身",$FA$19*#REF!/3/(1+(BH224-1)*$BD224),0)),0)</f>
        <v>0</v>
      </c>
      <c r="CE224" s="1097">
        <f t="shared" si="299"/>
        <v>0</v>
      </c>
      <c r="CF224" s="1112">
        <f t="shared" si="300"/>
        <v>0</v>
      </c>
      <c r="CG224" s="1100">
        <f t="shared" si="301"/>
        <v>0</v>
      </c>
      <c r="CH224" s="1110">
        <f t="shared" si="302"/>
        <v>0</v>
      </c>
      <c r="CI224" s="1113" t="s">
        <v>162</v>
      </c>
      <c r="CJ224" s="1114">
        <v>0.3</v>
      </c>
      <c r="CK224" s="1115" t="s">
        <v>585</v>
      </c>
      <c r="CL224" s="1115" t="s">
        <v>161</v>
      </c>
      <c r="CM224" s="1119">
        <v>0.04</v>
      </c>
      <c r="CN224" s="1115">
        <v>10</v>
      </c>
      <c r="CO224" s="1092"/>
      <c r="CP224" s="1118">
        <f t="shared" si="303"/>
        <v>2.5714285714285713E-3</v>
      </c>
      <c r="CQ224" s="1118">
        <f t="shared" si="304"/>
        <v>4.0000000000000001E-3</v>
      </c>
      <c r="CR224" s="1118">
        <f t="shared" si="305"/>
        <v>2.5714285714285713E-3</v>
      </c>
      <c r="CS224" s="1118">
        <f t="shared" si="306"/>
        <v>0</v>
      </c>
      <c r="CT224" s="1109">
        <f t="shared" si="307"/>
        <v>0</v>
      </c>
      <c r="CU224" s="1101">
        <f t="shared" si="308"/>
        <v>349.67039535848824</v>
      </c>
      <c r="CV224" s="1108">
        <f t="shared" si="309"/>
        <v>26.262289125000006</v>
      </c>
      <c r="CW224" s="1097">
        <f t="shared" si="310"/>
        <v>349.67039535848824</v>
      </c>
      <c r="CX224" s="1097">
        <f t="shared" si="311"/>
        <v>349.67039535848824</v>
      </c>
      <c r="CY224" s="1110">
        <f t="shared" si="312"/>
        <v>349.67039535848824</v>
      </c>
      <c r="CZ224" s="437"/>
      <c r="DA224" s="438"/>
      <c r="DB224" s="439" t="s">
        <v>569</v>
      </c>
      <c r="DC224" s="439"/>
      <c r="DD224" s="443"/>
      <c r="DE224" s="411"/>
      <c r="DF224" s="411"/>
      <c r="DG224" s="1116">
        <f t="shared" si="313"/>
        <v>0</v>
      </c>
      <c r="DH224" s="1116">
        <f t="shared" si="314"/>
        <v>0</v>
      </c>
      <c r="DI224" s="1116">
        <f t="shared" si="315"/>
        <v>0</v>
      </c>
      <c r="DJ224" s="442">
        <f t="shared" si="316"/>
        <v>0</v>
      </c>
      <c r="DK224" s="1109">
        <f t="shared" si="317"/>
        <v>0</v>
      </c>
      <c r="DL224" s="1101">
        <f t="shared" si="318"/>
        <v>0</v>
      </c>
      <c r="DM224" s="1097">
        <f t="shared" si="319"/>
        <v>0</v>
      </c>
      <c r="DN224" s="1097">
        <f t="shared" si="320"/>
        <v>0</v>
      </c>
      <c r="DO224" s="1097">
        <f t="shared" si="321"/>
        <v>0</v>
      </c>
      <c r="DP224" s="1110">
        <f t="shared" si="322"/>
        <v>0</v>
      </c>
      <c r="DQ224" s="1113" t="s">
        <v>636</v>
      </c>
      <c r="DR224" s="1120">
        <f t="shared" si="323"/>
        <v>0.3</v>
      </c>
      <c r="DS224" s="1124"/>
      <c r="DT224" s="1093" t="s">
        <v>567</v>
      </c>
      <c r="DU224" s="1093"/>
      <c r="DV224" s="1098">
        <f>IF($P224="","N/A",IF(P224=-1,INDEX('卡片raw data'!AN:AN,MATCH(D224,'卡片raw data'!$F:$F,)),0)+IF(AND(L224&lt;&gt;"party卡",P224&lt;=2,P224&gt;=0),INDEX('卡片raw data'!AP:AP,MATCH(D224,'卡片raw data'!$F:$F,)),0)+IF(OR(AND(L224="party卡",P224&lt;=1),AND(P224&lt;=4,L224&lt;&gt;"party卡",P224&gt;=3)),INDEX('卡片raw data'!AQ:AQ,MATCH(D224,'卡片raw data'!$F:$F,)),0)+IF(OR(P224=5,AND(L224="party卡",P224&gt;=2)),INDEX('卡片raw data'!AR:AR,MATCH(D224,'卡片raw data'!$F:$F,)),0))</f>
        <v>0.27</v>
      </c>
      <c r="DW224" s="1098">
        <f t="shared" si="324"/>
        <v>0.3</v>
      </c>
      <c r="DX224" s="1098">
        <f t="shared" si="325"/>
        <v>0.3</v>
      </c>
      <c r="DY224" s="1125">
        <f t="shared" si="326"/>
        <v>383.43939843034804</v>
      </c>
      <c r="DZ224" s="1125">
        <f t="shared" si="327"/>
        <v>331.67507964225103</v>
      </c>
      <c r="EA224" s="1098">
        <f t="shared" si="328"/>
        <v>0</v>
      </c>
      <c r="EB224" s="1121">
        <f t="shared" si="329"/>
        <v>0</v>
      </c>
      <c r="EC224" s="1101">
        <f t="shared" si="330"/>
        <v>0</v>
      </c>
      <c r="ED224" s="1097">
        <f t="shared" si="331"/>
        <v>0</v>
      </c>
      <c r="EE224" s="1110">
        <f t="shared" si="332"/>
        <v>48435.03108962375</v>
      </c>
      <c r="EF224" s="1092" t="s">
        <v>711</v>
      </c>
      <c r="EG224" s="1120">
        <f t="shared" si="333"/>
        <v>0.3</v>
      </c>
      <c r="EH224" s="1124"/>
      <c r="EI224" s="1093"/>
      <c r="EJ224" s="1093"/>
      <c r="EK224" s="1097">
        <f>IF($P224="","N/A",IF(P224=-1,INDEX('卡片raw data'!AS:AS,MATCH(D224,'卡片raw data'!$F:$F,)),0)+IF(AND(L224&lt;&gt;"party卡",P224&lt;=2,P224&gt;=0),INDEX('卡片raw data'!AU:AU,MATCH(D224,'卡片raw data'!$F:$F,)),0)+IF(OR(AND(L224="party卡",P224&lt;=1),AND(P224&lt;=4,L224&lt;&gt;"party卡",P224&gt;=3)),INDEX('卡片raw data'!AV:AV,MATCH(D224,'卡片raw data'!$F:$F,)),0)+IF(OR(P224=5,AND(L224="party卡",P224&gt;=2)),INDEX('卡片raw data'!AW:AW,MATCH(D224,'卡片raw data'!$F:$F,)),0))</f>
        <v>0</v>
      </c>
      <c r="EL224" s="1098">
        <f t="shared" si="334"/>
        <v>0.3</v>
      </c>
      <c r="EM224" s="1098">
        <f t="shared" si="335"/>
        <v>0.3</v>
      </c>
      <c r="EN224" s="1125">
        <f t="shared" si="336"/>
        <v>0</v>
      </c>
      <c r="EO224" s="1125">
        <f t="shared" si="337"/>
        <v>0</v>
      </c>
      <c r="EP224" s="1098">
        <f t="shared" si="338"/>
        <v>0</v>
      </c>
      <c r="EQ224" s="1121">
        <f t="shared" si="339"/>
        <v>0</v>
      </c>
      <c r="ER224" s="1101">
        <f t="shared" si="340"/>
        <v>0</v>
      </c>
      <c r="ES224" s="1097">
        <f t="shared" si="341"/>
        <v>0</v>
      </c>
      <c r="ET224" s="1122">
        <f t="shared" si="342"/>
        <v>0</v>
      </c>
    </row>
    <row r="225" spans="2:150" ht="16.5" customHeight="1">
      <c r="B225" s="1123" t="str">
        <f>INDEX('卡片raw data'!B:B,MATCH($D225,'卡片raw data'!$F:$F,))</f>
        <v>滑冰菜</v>
      </c>
      <c r="C225" s="449" t="s">
        <v>124</v>
      </c>
      <c r="D225" s="408">
        <v>222</v>
      </c>
      <c r="E225" s="1090">
        <v>302073001</v>
      </c>
      <c r="F225" s="1090" t="str">
        <f>INDEX('卡片raw data'!C:C,MATCH($D225,'卡片raw data'!$F:$F,))</f>
        <v>UR</v>
      </c>
      <c r="G225" s="1094" t="s">
        <v>48</v>
      </c>
      <c r="H225" s="411">
        <f>IFERROR(INDEX(绊状态确认!C:C,MATCH($G225,绊状态确认!$B:$B,)),"")</f>
        <v>207</v>
      </c>
      <c r="I225" s="450" t="str">
        <f>IFERROR(INDEX(绊状态确认!D:D,MATCH($G225,绊状态确认!$B:$B,)),"")</f>
        <v>虹</v>
      </c>
      <c r="J225" s="450" t="str">
        <f>IFERROR(INDEX(绊状态确认!E:E,MATCH($G225,绊状态确认!$B:$B,)),"")</f>
        <v>2年级</v>
      </c>
      <c r="K225" s="451" t="str">
        <f>IFERROR(INDEX(绊状态确认!F:F,MATCH($G225,绊状态确认!$B:$B,)),"")</f>
        <v>A·ZU·NA</v>
      </c>
      <c r="L225" s="1094" t="str">
        <f>INDEX('卡片raw data'!E:E,MATCH($D225,'卡片raw data'!$F:$F,))</f>
        <v>卡池卡</v>
      </c>
      <c r="M225" s="415">
        <v>43942</v>
      </c>
      <c r="N225" s="416">
        <v>14</v>
      </c>
      <c r="O225" s="1091" t="str">
        <f>INDEX('卡片raw data'!D:D,MATCH($D225,'卡片raw data'!$F:$F,))</f>
        <v>gd</v>
      </c>
      <c r="P225" s="417">
        <v>5</v>
      </c>
      <c r="Q225" s="1095">
        <f t="shared" si="258"/>
        <v>26838.765340197657</v>
      </c>
      <c r="R225" s="1096">
        <f t="shared" si="259"/>
        <v>0.312</v>
      </c>
      <c r="S225" s="1097">
        <f t="shared" si="260"/>
        <v>15408.863691454884</v>
      </c>
      <c r="T225" s="1098">
        <f t="shared" si="261"/>
        <v>0.77</v>
      </c>
      <c r="U225" s="1099">
        <f t="shared" si="262"/>
        <v>844.76490881558607</v>
      </c>
      <c r="V225" s="1100">
        <f t="shared" si="263"/>
        <v>79169.941311564646</v>
      </c>
      <c r="W225" s="1101">
        <f t="shared" si="264"/>
        <v>4507.7214871259994</v>
      </c>
      <c r="X225" s="1096">
        <f t="shared" si="265"/>
        <v>5.1999999999999998E-2</v>
      </c>
      <c r="Y225" s="1097">
        <f t="shared" si="266"/>
        <v>2804.1107933502126</v>
      </c>
      <c r="Z225" s="1102">
        <f t="shared" si="267"/>
        <v>34.693217013474282</v>
      </c>
      <c r="AA225" s="1103">
        <f t="shared" si="268"/>
        <v>7311.832280476212</v>
      </c>
      <c r="AB225" s="1101">
        <f t="shared" si="269"/>
        <v>4507.7214871259994</v>
      </c>
      <c r="AC225" s="1104">
        <f t="shared" si="270"/>
        <v>5.1999999999999998E-2</v>
      </c>
      <c r="AD225" s="1105">
        <f t="shared" si="271"/>
        <v>0</v>
      </c>
      <c r="AE225" s="1128">
        <f t="shared" si="272"/>
        <v>-6.25</v>
      </c>
      <c r="AF225" s="1130">
        <f t="shared" si="273"/>
        <v>11106.980185154876</v>
      </c>
      <c r="AG225" s="420">
        <f t="shared" si="274"/>
        <v>88215.398092435207</v>
      </c>
      <c r="AH225" s="420">
        <f t="shared" si="275"/>
        <v>7.9423386574813746</v>
      </c>
      <c r="AI225" s="1097">
        <f t="shared" si="276"/>
        <v>112138.37276989441</v>
      </c>
      <c r="AJ225" s="420">
        <f t="shared" si="277"/>
        <v>79169.941311564646</v>
      </c>
      <c r="AK225" s="518">
        <f t="shared" si="278"/>
        <v>32968.431458329767</v>
      </c>
      <c r="AL225" s="1106">
        <f>IF($P225="","N/A",(IF($P225=-1,INDEX('卡片raw data'!S:S,MATCH($D225,'卡片raw data'!$F:$F,)),0)+IF($P225=0,INDEX('卡片raw data'!V:V,MATCH($D225,'卡片raw data'!$F:$F,)),0)+IF($P225=1,INDEX('卡片raw data'!Y:Y,MATCH($D225,'卡片raw data'!$F:$F,)),0)+IF($P225=2,INDEX('卡片raw data'!AB:AB,MATCH($D225,'卡片raw data'!$F:$F,)),0)+IF($P225=3,INDEX('卡片raw data'!AE:AE,MATCH($D225,'卡片raw data'!$F:$F,)),0)+IF($P225=4,INDEX('卡片raw data'!AH:AH,MATCH($D225,'卡片raw data'!$F:$F,)),0)+IF($P225=5,INDEX('卡片raw data'!AK:AK,MATCH($D225,'卡片raw data'!$F:$F,)),0)+INDEX('卡片raw data'!S:S,MATCH($D225,'卡片raw data'!$F:$F,))*(IF($F225="UR",0.04,0.033))*(IF($F225="UR",INDEX(绊状态确认!$S:$S,MATCH($G225,绊状态确认!$B:$B,))/2-40)+IF($F225="SR",INDEX(绊状态确认!$R:$R,MATCH($G225,绊状态确认!$B:$B,))/4-15))+IF($F225="R",INDEX(绊状态确认!$Q:$Q,MATCH($G225,绊状态确认!$B:$B,))/6-40/6)))*(INDEX(绊状态确认!$H:$H,MATCH($G225,绊状态确认!$B:$B,))+INDEX(绊状态确认!J:J,MATCH($G225,绊状态确认!$B:$B,)))</f>
        <v>7019.3155199999992</v>
      </c>
      <c r="AM225" s="1106">
        <f>IF($P225="","N/A",(IF($P225=-1,INDEX('卡片raw data'!T:T,MATCH($D225,'卡片raw data'!$F:$F,)),0)+IF($P225=0,INDEX('卡片raw data'!W:W,MATCH($D225,'卡片raw data'!$F:$F,)),0)+IF($P225=1,INDEX('卡片raw data'!Z:Z,MATCH($D225,'卡片raw data'!$F:$F,)),0)+IF($P225=2,INDEX('卡片raw data'!AC:AC,MATCH($D225,'卡片raw data'!$F:$F,)),0)+IF($P225=3,INDEX('卡片raw data'!AF:AF,MATCH($D225,'卡片raw data'!$F:$F,)),0)+IF($P225=4,INDEX('卡片raw data'!AI:AI,MATCH($D225,'卡片raw data'!$F:$F,)),0)+IF($P225=5,INDEX('卡片raw data'!AL:AL,MATCH($D225,'卡片raw data'!$F:$F,)),0)+INDEX('卡片raw data'!T:T,MATCH($D225,'卡片raw data'!$F:$F,))*(IF($F225="UR",0.04,0.033))*(IF($F225="UR",INDEX(绊状态确认!$S:$S,MATCH($G225,绊状态确认!$B:$B,))/2-40)+IF($F225="SR",INDEX(绊状态确认!$R:$R,MATCH($G225,绊状态确认!$B:$B,))/4-15))+IF($F225="R",INDEX(绊状态确认!$Q:$Q,MATCH($G225,绊状态确认!$B:$B,))/6-40/6)))*(INDEX(绊状态确认!$H:$H,MATCH($G225,绊状态确认!$B:$B,))+INDEX(绊状态确认!K:K,MATCH($G225,绊状态确认!$B:$B,)))</f>
        <v>14358.368543999997</v>
      </c>
      <c r="AN225" s="1106">
        <f>IF($P225="","N/A",(IF($P225=-1,INDEX('卡片raw data'!U:U,MATCH($D225,'卡片raw data'!$F:$F,)),0)+IF($P225=0,INDEX('卡片raw data'!X:X,MATCH($D225,'卡片raw data'!$F:$F,)),0)+IF($P225=1,INDEX('卡片raw data'!AA:AA,MATCH($D225,'卡片raw data'!$F:$F,)),0)+IF($P225=2,INDEX('卡片raw data'!AD:AD,MATCH($D225,'卡片raw data'!$F:$F,)),0)+IF($P225=3,INDEX('卡片raw data'!AG:AG,MATCH($D225,'卡片raw data'!$F:$F,)),0)+IF($P225=4,INDEX('卡片raw data'!AJ:AJ,MATCH($D225,'卡片raw data'!$F:$F,)),0)+IF($P225=5,INDEX('卡片raw data'!AM:AM,MATCH($D225,'卡片raw data'!$F:$F,)),0)+INDEX('卡片raw data'!U:U,MATCH($D225,'卡片raw data'!$F:$F,))*(IF($F225="UR",0.04,0.033))*(IF($F225="UR",INDEX(绊状态确认!$S:$S,MATCH($G225,绊状态确认!$B:$B,))/2-40)+IF($F225="SR",INDEX(绊状态确认!$R:$R,MATCH($G225,绊状态确认!$B:$B,))/4-15))+IF($F225="R",INDEX(绊状态确认!$Q:$Q,MATCH($G225,绊状态确认!$B:$B,))/6-40/6)))*(INDEX(绊状态确认!$H:$H,MATCH($G225,绊状态确认!$B:$B,))+INDEX(绊状态确认!L:L,MATCH($G225,绊状态确认!$B:$B,)))</f>
        <v>10528.927823999999</v>
      </c>
      <c r="AO225" s="1107">
        <f t="shared" si="279"/>
        <v>1</v>
      </c>
      <c r="AP225" s="1131">
        <f>1+(INDEX(绊状态确认!$T:$T,MATCH($G225,绊状态确认!$B:$B,))+0.2)*$AO225</f>
        <v>1.3</v>
      </c>
      <c r="AQ225" s="1108">
        <f t="shared" si="280"/>
        <v>21675.703239999999</v>
      </c>
      <c r="AR225" s="1097">
        <f>(AM225*(1+$EX$9)+$EX$35)*(1+(INDEX(绊状态确认!$T:$T,MATCH($G225,绊状态确认!$B:$B,))+0.2)*AO225)*IF(J225=$FF$17,1+$FE$17,1)*IF(I225=$FF$14,1+$FE$14,1)*(1+$FE$15)</f>
        <v>22303.173062559996</v>
      </c>
      <c r="AS225" s="1097">
        <f>(AN225*(1+$EX$10)+$EX$36)*(1+(INDEX(绊状态确认!$T:$T,MATCH($G225,绊状态确认!$B:$B,))+0.2)*AO225)*IF(J225=$FF$17,1+$FE$17,1)*IF(I225=$FF$14,1+$FE$14,1)*(1+$FE$15)</f>
        <v>19796.747096879997</v>
      </c>
      <c r="AT225" s="1093">
        <f>IF(AND(INDEX('卡片raw data'!AK:AK,MATCH($D225,'卡片raw data'!$F:$F,))&lt;INDEX('卡片raw data'!AM:AM,MATCH($D225,'卡片raw data'!$F:$F,)),INDEX('卡片raw data'!AL:AL,MATCH($D225,'卡片raw data'!$F:$F,))&lt;INDEX('卡片raw data'!AM:AM,MATCH($D225,'卡片raw data'!$F:$F,))),1,0)</f>
        <v>0</v>
      </c>
      <c r="AU225" s="1098">
        <f>MIN(AT225*0.15+AS225*0.00003+INDEX(绊状态确认!M:M,MATCH($G225,绊状态确认!$B:$B,)),1)</f>
        <v>0.62390241290639992</v>
      </c>
      <c r="AV225" s="1109">
        <f>(INDEX(绊状态确认!$N:$N,MATCH($G225,绊状态确认!$B:$B,))+1.5)*$EW$21</f>
        <v>2.6599999999999997</v>
      </c>
      <c r="AW225" s="1101">
        <f t="shared" si="281"/>
        <v>22916.043853071656</v>
      </c>
      <c r="AX225" s="1097">
        <f t="shared" si="282"/>
        <v>1953.9690181640262</v>
      </c>
      <c r="AY225" s="1110">
        <f t="shared" si="283"/>
        <v>24870.012871235682</v>
      </c>
      <c r="AZ225" s="429">
        <f t="shared" si="284"/>
        <v>16287.665263999997</v>
      </c>
      <c r="BA225" s="431">
        <f t="shared" si="285"/>
        <v>19545.198316799997</v>
      </c>
      <c r="BB225" s="1097">
        <f>(AM225*(1+$FB$9)+$FB$35)*(1+(INDEX(绊状态确认!$T:$T,MATCH($G225,绊状态确认!$B:$B,))+0.2)*AO225)*IF(J225=$FF$17,1+$FE$17,1)*IF(I225=$FF$14,1+$FE$14,1)*(1+$FE$15)</f>
        <v>22303.173062559996</v>
      </c>
      <c r="BC225" s="1097">
        <f>(AN225*(1+$FB$10)+$FB$36)*(1+(INDEX(绊状态确认!$T:$T,MATCH($G225,绊状态确认!$B:$B,))+0.2)*AO225)*IF(J225=$FF$17,1+$FE$17,1)*IF(I225=$FF$14,1+$FE$14,1)*(1+$FE$15)</f>
        <v>19796.747096879997</v>
      </c>
      <c r="BD225" s="1104">
        <f>MIN(AT225*0.15+BC225*0.00003+INDEX(绊状态确认!M:M,MATCH($G225,绊状态确认!$B:$B,)),1)</f>
        <v>0.62390241290639992</v>
      </c>
      <c r="BE225" s="432">
        <f>(INDEX(绊状态确认!$N:$N,MATCH($G225,绊状态确认!$B:$B,))+1.5)</f>
        <v>1.9</v>
      </c>
      <c r="BF225" s="1139">
        <f t="array" ref="BF225">SUMPRODUCT(IF(AZ225*AP225*$FI$16:$FI$23*$FA$22&gt;=$FI$24,$FI$24,AZ225*AP225*$FI$16:$FI$23*$FA$22),$FJ$16:$FJ$23)</f>
        <v>32396.166210095998</v>
      </c>
      <c r="BG225" s="1125">
        <f t="array" ref="BG225">SUMPRODUCT(IF(BE225*AZ225*AP225*$FI$16:$FI$23*$FA$22&gt;=$FI$24,$FI$24,BE225*AZ225*AP225*$FI$16:$FI$23*$FA$22),$FJ$16:$FJ$23)</f>
        <v>57322.182597102394</v>
      </c>
      <c r="BH225" s="1110">
        <f t="shared" si="286"/>
        <v>15982.522659364584</v>
      </c>
      <c r="BI225" s="1111">
        <f>IF(O225="vo",$EW$26/$EW$24*0.05,0)+IF(O225="sk",-$EW$26/$EW$24*(0.05-INDEX(绊状态确认!W:W,MATCH($G225,绊状态确认!$B:$B,)))+0.05*$EW$28,0)+IF(O225="sp",0.05*$EW$32*$EW$30*(1-$EW$33)-(0.05-INDEX(绊状态确认!V:V,MATCH($G225,绊状态确认!$B:$B,)))*$EW$28,0)+IF(O225="gd",-(0.05-INDEX(绊状态确认!X:X,MATCH($G225,绊状态确认!$B:$B,)))*$EW$32*$EW$30*(1-$EW$33),0)</f>
        <v>-585.00000000000011</v>
      </c>
      <c r="BJ225" s="1097">
        <f>IF(O225="vo",0.05*(1-$FI$26)*$FA$24,0)+IF(O225="sk",-(0.05-INDEX(绊状态确认!W:W,MATCH($G225,绊状态确认!$B:$B,)))*(1-$FI$26)*$FA$24+0.05*$FA$26,0)+IF(O225="sp",0.05*$FA$32*$FA$27*(1-$FA$33)/$FA$30+0.05*$FA$29/$FA$69*$FA$27*(1-$FA$33)-(0.05-INDEX(绊状态确认!V:V,MATCH($G225,绊状态确认!$B:$B,)))*$FA$26,0)+IF(O225="gd",-(0.05-INDEX(绊状态确认!X:X,MATCH($G225,绊状态确认!$B:$B,)))*$FA$32*$FA$27*(1-$FA$33)/$FA$30-(0.05-INDEX(绊状态确认!X:X,MATCH($G225,绊状态确认!$B:$B,)))*$FA$29/$FA$69*$FA$27*(1-$FA$33),0)</f>
        <v>-795.00000000000011</v>
      </c>
      <c r="BK225" s="1110">
        <f>IF(O225="vo",$EW$26/$EW$24*0.05+$EW$26*(-HP($EW$62,$EW$65,$EW$64)+HP($EW$62,$EW$65,(1.05-INDEX(绊状态确认!U:U,MATCH($G225,绊状态确认!$B:$B,)))*$EW$64)),0)+IF(O225="sk",-$EW$26/$EW$24*(0.05-INDEX(绊状态确认!W:W,MATCH($G225,绊状态确认!$B:$B,)))+0.05*$EW$29,0)+IF(O225="sp",0.05*$EW$32*$EW$30*(1-$EW$33)-(0.05-INDEX(绊状态确认!V:V,MATCH($G225,绊状态确认!$B:$B,)))*$EW$29,0)+IF(O225="gd",-(0.05-INDEX(绊状态确认!X:X,MATCH($G225,绊状态确认!$B:$B,)))*$EW$32*$EW$30*(1-$EW$33)+$EW$26*(-HP($EW$62,$EW$65,$EW$64)+HP($EW$62,$EW$65,0.95*$EW$64)),0)</f>
        <v>1009.5947725176144</v>
      </c>
      <c r="BL225" s="1111">
        <f t="shared" si="287"/>
        <v>0</v>
      </c>
      <c r="BM225" s="1110">
        <f t="shared" si="288"/>
        <v>0</v>
      </c>
      <c r="BN225" s="1113">
        <f t="shared" si="289"/>
        <v>3</v>
      </c>
      <c r="BO225" s="1097">
        <f t="shared" si="290"/>
        <v>4507.7214871259994</v>
      </c>
      <c r="BP225" s="1100">
        <f t="shared" si="291"/>
        <v>221.34103209030098</v>
      </c>
      <c r="BQ225" s="1113" t="s">
        <v>144</v>
      </c>
      <c r="BR225" s="1124" t="s">
        <v>147</v>
      </c>
      <c r="BS225" s="1098">
        <f>IF($P225="","N/A",IF($P225=-1,INDEX('卡片raw data'!AX:AX,MATCH($D225,'卡片raw data'!$F:$F,)),0)+IF($L225="party卡",IF($P225=5,INDEX('卡片raw data'!BD:BD,MATCH($D225,'卡片raw data'!$F:$F,)),IF($P225&gt;=3,INDEX('卡片raw data'!BC:BC,MATCH($D225,'卡片raw data'!$F:$F,)),INDEX('卡片raw data'!BB:BB,MATCH($D225,'卡片raw data'!$F:$F,)))),IF(OR(AND($F225="UR",$P225=0),AND($F225="SR",$P225&gt;=0,$P225&lt;=2),AND($F225="R",$P225&gt;=0,$P225&lt;4)),INDEX('卡片raw data'!AZ:AZ,MATCH($D225,'卡片raw data'!$F:$F,)),0)+IF(OR(AND($F225="UR",$P225&gt;=1,$P225&lt;=4),AND($F225="SR",$P225&lt;=4,$P225&gt;=3),AND($F225="R",$P225=4)),INDEX('卡片raw data'!BA:BA,MATCH($D225,'卡片raw data'!$F:$F,)),0)+IF($P225=5,INDEX('卡片raw data'!BB:BB,MATCH($D225,'卡片raw data'!$F:$F,)),0)))</f>
        <v>4.2000000000000003E-2</v>
      </c>
      <c r="BT225" s="1101">
        <f t="shared" si="292"/>
        <v>0</v>
      </c>
      <c r="BU225" s="1097">
        <f t="shared" si="293"/>
        <v>0</v>
      </c>
      <c r="BV225" s="1097">
        <f t="shared" si="294"/>
        <v>0</v>
      </c>
      <c r="BW225" s="1112">
        <f t="shared" si="295"/>
        <v>4.4246249999999989</v>
      </c>
      <c r="BX225" s="1100">
        <f t="shared" si="296"/>
        <v>347.58109106159276</v>
      </c>
      <c r="BY225" s="1110">
        <f t="shared" si="297"/>
        <v>347.58109106159276</v>
      </c>
      <c r="BZ225" s="1107" t="s">
        <v>569</v>
      </c>
      <c r="CA225" s="1124"/>
      <c r="CB225" s="1098">
        <f>IF($P225="","N/A",IF($P225=-1,INDEX('卡片raw data'!BE:BE,MATCH($D225,'卡片raw data'!$F:$F,)),0)+IF($L225="party卡",IF($P225=5,INDEX('卡片raw data'!BK:BK,MATCH($D225,'卡片raw data'!$F:$F,)),IF($P225&gt;=3,INDEX('卡片raw data'!BJ:BJ,MATCH($D225,'卡片raw data'!$F:$F,)),INDEX('卡片raw data'!BI:BI,MATCH($D225,'卡片raw data'!$F:$F,)))),IF(OR(AND($F225="UR",$P225=0),AND($F225="SR",$P225&gt;=0,$P225&lt;=2),AND($F225="R",$P225&gt;=0,$P225&lt;4)),INDEX('卡片raw data'!BG:BG,MATCH($D225,'卡片raw data'!$F:$F,)),0)+IF(OR(AND($F225="UR",$P225&gt;=1,$P225&lt;=4),AND($F225="SR",$P225&lt;=4,$P225&gt;=3),AND($F225="R",$P225=4)),INDEX('卡片raw data'!BH:BH,MATCH($D225,'卡片raw data'!$F:$F,)),0)+IF($P225=5,INDEX('卡片raw data'!BI:BI,MATCH($D225,'卡片raw data'!$F:$F,)),0)))</f>
        <v>0</v>
      </c>
      <c r="CC225" s="1101">
        <f t="shared" si="298"/>
        <v>0</v>
      </c>
      <c r="CD225" s="1097">
        <f>IF(BZ225="ap",CB225*(1-$FI$26)*$FB$5/$FB$11*(+IF(CA225="全员",$FA$24,0)+IF(CA225="同作战",$FA$24,0)+IF(CA225="仲间",$FA$24*2/3,0)+IF(CA225="同属性",$FA$24*$FA$37/3,0)+IF(CA225="同年级",$FA$24*$FA$40/3,0)+IF(CA225="同学校",$FA$24*$FA$43/3,0)+IF(CA225="同小队",$FA$24*$FA$46/3,0)+IF(CA225="同type",$FA$24*INDEX($FB$49:$FB$52,MATCH(X225,$FA$49:$FA$52,))/3,0)+IF(CA225="自身",#REF!/3,0)),0)+IF(BZ225="te",CB225*(1-$FI$27)*($FA$20-1)*$FB$7/$FB$13*(+IF(CA225="全员",$FA$19*$FA$24/(1+($FA$20-1)*$FA$19),0)+IF(CA225="同作战",$FA$19*$FA$24/(1+($FA$20-1)*$FA$19),0)+IF(CA225="仲间",$FA$19*$FA$24*2/3/(1+($FA$20-1)*$FA$19),0)+IF(CA225="同属性",$FA$19*$FA$24*$FA$37/3/(1+($FA$20-1)*$FA$19),0)+IF(CA225="同年级",$FA$19*$FA$24*$FA$40/3/(1+($FA$20-1)*$FA$19),0)+IF(CA225="同学校",$FA$19*$FA$24*$FA$43/3/(1+($FA$20-1)*$FA$19),0)+IF(CA225="同小队",$FA$19*$FA$24*$FA$46/3/(1+($FA$20-1)*$FA$19),0)+IF(CA225="同type",$FA$19*$FA$24*INDEX($FB$49:$FB$52,MATCH(X225,$FA$49:$FA$52,))/3/(1+($FA$20-1)*$FA$19),0)+IF(CA225="自身",$FA$19*#REF!/3/(1+(BH225-1)*$BD225),0)),0)</f>
        <v>0</v>
      </c>
      <c r="CE225" s="1097">
        <f t="shared" si="299"/>
        <v>0</v>
      </c>
      <c r="CF225" s="1112">
        <f t="shared" si="300"/>
        <v>0</v>
      </c>
      <c r="CG225" s="1100">
        <f t="shared" si="301"/>
        <v>0</v>
      </c>
      <c r="CH225" s="1110">
        <f t="shared" si="302"/>
        <v>0</v>
      </c>
      <c r="CI225" s="1113" t="s">
        <v>165</v>
      </c>
      <c r="CJ225" s="1114">
        <v>0.4</v>
      </c>
      <c r="CK225" s="1115" t="s">
        <v>637</v>
      </c>
      <c r="CL225" s="1115" t="s">
        <v>1944</v>
      </c>
      <c r="CM225" s="1119">
        <v>0.2</v>
      </c>
      <c r="CN225" s="1115"/>
      <c r="CO225" s="1092"/>
      <c r="CP225" s="1116">
        <f t="shared" si="303"/>
        <v>6.3723351607314269</v>
      </c>
      <c r="CQ225" s="1116">
        <f t="shared" si="304"/>
        <v>9.9125213611377756</v>
      </c>
      <c r="CR225" s="1116">
        <f t="shared" si="305"/>
        <v>6.3723351607314269</v>
      </c>
      <c r="CS225" s="1118">
        <f t="shared" si="306"/>
        <v>0</v>
      </c>
      <c r="CT225" s="1109">
        <f t="shared" si="307"/>
        <v>0</v>
      </c>
      <c r="CU225" s="1101">
        <f t="shared" si="308"/>
        <v>0</v>
      </c>
      <c r="CV225" s="1108">
        <f t="shared" si="309"/>
        <v>0</v>
      </c>
      <c r="CW225" s="1097">
        <f t="shared" si="310"/>
        <v>0</v>
      </c>
      <c r="CX225" s="1097">
        <f t="shared" si="311"/>
        <v>0</v>
      </c>
      <c r="CY225" s="1110">
        <f t="shared" si="312"/>
        <v>502.56068412459325</v>
      </c>
      <c r="CZ225" s="437"/>
      <c r="DA225" s="438"/>
      <c r="DB225" s="439" t="s">
        <v>569</v>
      </c>
      <c r="DC225" s="439"/>
      <c r="DD225" s="443"/>
      <c r="DE225" s="411"/>
      <c r="DF225" s="411"/>
      <c r="DG225" s="1116">
        <f t="shared" si="313"/>
        <v>0</v>
      </c>
      <c r="DH225" s="1116">
        <f t="shared" si="314"/>
        <v>0</v>
      </c>
      <c r="DI225" s="1116">
        <f t="shared" si="315"/>
        <v>0</v>
      </c>
      <c r="DJ225" s="442">
        <f t="shared" si="316"/>
        <v>0</v>
      </c>
      <c r="DK225" s="1109">
        <f t="shared" si="317"/>
        <v>0</v>
      </c>
      <c r="DL225" s="1101">
        <f t="shared" si="318"/>
        <v>0</v>
      </c>
      <c r="DM225" s="1097">
        <f t="shared" si="319"/>
        <v>0</v>
      </c>
      <c r="DN225" s="1097">
        <f t="shared" si="320"/>
        <v>0</v>
      </c>
      <c r="DO225" s="1097">
        <f t="shared" si="321"/>
        <v>0</v>
      </c>
      <c r="DP225" s="1110">
        <f t="shared" si="322"/>
        <v>0</v>
      </c>
      <c r="DQ225" s="1113" t="s">
        <v>635</v>
      </c>
      <c r="DR225" s="1120">
        <f t="shared" si="323"/>
        <v>0.33</v>
      </c>
      <c r="DS225" s="1124"/>
      <c r="DT225" s="1093" t="s">
        <v>133</v>
      </c>
      <c r="DU225" s="1093"/>
      <c r="DV225" s="1098">
        <f>IF($P225="","N/A",IF(P225=-1,INDEX('卡片raw data'!AN:AN,MATCH(D225,'卡片raw data'!$F:$F,)),0)+IF(AND(L225&lt;&gt;"party卡",P225&lt;=2,P225&gt;=0),INDEX('卡片raw data'!AP:AP,MATCH(D225,'卡片raw data'!$F:$F,)),0)+IF(OR(AND(L225="party卡",P225&lt;=1),AND(P225&lt;=4,L225&lt;&gt;"party卡",P225&gt;=3)),INDEX('卡片raw data'!AQ:AQ,MATCH(D225,'卡片raw data'!$F:$F,)),0)+IF(OR(P225=5,AND(L225="party卡",P225&gt;=2)),INDEX('卡片raw data'!AR:AR,MATCH(D225,'卡片raw data'!$F:$F,)),0))</f>
        <v>0.32</v>
      </c>
      <c r="DW225" s="1098">
        <f t="shared" si="324"/>
        <v>0.33</v>
      </c>
      <c r="DX225" s="1098">
        <f t="shared" si="325"/>
        <v>0.33</v>
      </c>
      <c r="DY225" s="1125">
        <f t="shared" si="326"/>
        <v>785.07169180211179</v>
      </c>
      <c r="DZ225" s="1125">
        <f t="shared" si="327"/>
        <v>679.08701340882669</v>
      </c>
      <c r="EA225" s="1098">
        <f t="shared" si="328"/>
        <v>0</v>
      </c>
      <c r="EB225" s="1121">
        <f t="shared" si="329"/>
        <v>0</v>
      </c>
      <c r="EC225" s="1101">
        <f t="shared" si="330"/>
        <v>0</v>
      </c>
      <c r="ED225" s="1097">
        <f t="shared" si="331"/>
        <v>0</v>
      </c>
      <c r="EE225" s="1110">
        <f t="shared" si="332"/>
        <v>48435.03108962375</v>
      </c>
      <c r="EF225" s="1092" t="s">
        <v>711</v>
      </c>
      <c r="EG225" s="1120">
        <f t="shared" si="333"/>
        <v>0.33</v>
      </c>
      <c r="EH225" s="1124"/>
      <c r="EI225" s="1093"/>
      <c r="EJ225" s="1093"/>
      <c r="EK225" s="1097">
        <f>IF($P225="","N/A",IF(P225=-1,INDEX('卡片raw data'!AS:AS,MATCH(D225,'卡片raw data'!$F:$F,)),0)+IF(AND(L225&lt;&gt;"party卡",P225&lt;=2,P225&gt;=0),INDEX('卡片raw data'!AU:AU,MATCH(D225,'卡片raw data'!$F:$F,)),0)+IF(OR(AND(L225="party卡",P225&lt;=1),AND(P225&lt;=4,L225&lt;&gt;"party卡",P225&gt;=3)),INDEX('卡片raw data'!AV:AV,MATCH(D225,'卡片raw data'!$F:$F,)),0)+IF(OR(P225=5,AND(L225="party卡",P225&gt;=2)),INDEX('卡片raw data'!AW:AW,MATCH(D225,'卡片raw data'!$F:$F,)),0))</f>
        <v>0</v>
      </c>
      <c r="EL225" s="1098">
        <f t="shared" si="334"/>
        <v>0.33</v>
      </c>
      <c r="EM225" s="1098">
        <f t="shared" si="335"/>
        <v>0.33</v>
      </c>
      <c r="EN225" s="1125">
        <f t="shared" si="336"/>
        <v>0</v>
      </c>
      <c r="EO225" s="1125">
        <f t="shared" si="337"/>
        <v>0</v>
      </c>
      <c r="EP225" s="1098">
        <f t="shared" si="338"/>
        <v>0</v>
      </c>
      <c r="EQ225" s="1121">
        <f t="shared" si="339"/>
        <v>0</v>
      </c>
      <c r="ER225" s="1101">
        <f t="shared" si="340"/>
        <v>0</v>
      </c>
      <c r="ES225" s="1097">
        <f t="shared" si="341"/>
        <v>0</v>
      </c>
      <c r="ET225" s="1122">
        <f t="shared" si="342"/>
        <v>0</v>
      </c>
    </row>
    <row r="226" spans="2:150" ht="16.5" customHeight="1">
      <c r="B226" s="1123" t="str">
        <f>INDEX('卡片raw data'!B:B,MATCH($D226,'卡片raw data'!$F:$F,))</f>
        <v>滑冰曜</v>
      </c>
      <c r="C226" s="449" t="s">
        <v>22</v>
      </c>
      <c r="D226" s="408">
        <v>223</v>
      </c>
      <c r="E226" s="1090">
        <v>401053001</v>
      </c>
      <c r="F226" s="1090" t="str">
        <f>INDEX('卡片raw data'!C:C,MATCH($D226,'卡片raw data'!$F:$F,))</f>
        <v>UR</v>
      </c>
      <c r="G226" s="1094" t="s">
        <v>37</v>
      </c>
      <c r="H226" s="411">
        <f>IFERROR(INDEX(绊状态确认!C:C,MATCH($G226,绊状态确认!$B:$B,)),"")</f>
        <v>105</v>
      </c>
      <c r="I226" s="450" t="str">
        <f>IFERROR(INDEX(绊状态确认!D:D,MATCH($G226,绊状态确认!$B:$B,)),"")</f>
        <v>水</v>
      </c>
      <c r="J226" s="450" t="str">
        <f>IFERROR(INDEX(绊状态确认!E:E,MATCH($G226,绊状态确认!$B:$B,)),"")</f>
        <v>2年级</v>
      </c>
      <c r="K226" s="451" t="str">
        <f>IFERROR(INDEX(绊状态确认!F:F,MATCH($G226,绊状态确认!$B:$B,)),"")</f>
        <v>CYaRon!</v>
      </c>
      <c r="L226" s="1094" t="str">
        <f>INDEX('卡片raw data'!E:E,MATCH($D226,'卡片raw data'!$F:$F,))</f>
        <v>活动卡</v>
      </c>
      <c r="M226" s="415">
        <v>43942</v>
      </c>
      <c r="N226" s="416">
        <v>14</v>
      </c>
      <c r="O226" s="1091" t="str">
        <f>INDEX('卡片raw data'!D:D,MATCH($D226,'卡片raw data'!$F:$F,))</f>
        <v>sk</v>
      </c>
      <c r="P226" s="417">
        <v>5</v>
      </c>
      <c r="Q226" s="1095">
        <f t="shared" si="258"/>
        <v>32456.857446543985</v>
      </c>
      <c r="R226" s="1096">
        <f t="shared" si="259"/>
        <v>0.377</v>
      </c>
      <c r="S226" s="1097">
        <f t="shared" si="260"/>
        <v>18945.913559593067</v>
      </c>
      <c r="T226" s="1098">
        <f t="shared" si="261"/>
        <v>0.94699999999999995</v>
      </c>
      <c r="U226" s="1099">
        <f t="shared" si="262"/>
        <v>407.05703844733642</v>
      </c>
      <c r="V226" s="1100">
        <f t="shared" si="263"/>
        <v>83899.709064703638</v>
      </c>
      <c r="W226" s="1101">
        <f t="shared" si="264"/>
        <v>5693.2742288626287</v>
      </c>
      <c r="X226" s="1096">
        <f t="shared" si="265"/>
        <v>6.6000000000000003E-2</v>
      </c>
      <c r="Y226" s="1097">
        <f t="shared" si="266"/>
        <v>1007.8205285358981</v>
      </c>
      <c r="Z226" s="1102">
        <f t="shared" si="267"/>
        <v>12.617228889942856</v>
      </c>
      <c r="AA226" s="1103">
        <f t="shared" si="268"/>
        <v>6701.0947573985268</v>
      </c>
      <c r="AB226" s="1101">
        <f t="shared" si="269"/>
        <v>6878.826970599257</v>
      </c>
      <c r="AC226" s="1104">
        <f t="shared" si="270"/>
        <v>7.9000000000000001E-2</v>
      </c>
      <c r="AD226" s="1105">
        <f t="shared" si="271"/>
        <v>2.1769318181818181E-2</v>
      </c>
      <c r="AE226" s="1128">
        <f t="shared" si="272"/>
        <v>11.953757704745847</v>
      </c>
      <c r="AF226" s="1130">
        <f t="shared" si="273"/>
        <v>4781.0886006956789</v>
      </c>
      <c r="AG226" s="420">
        <f t="shared" si="274"/>
        <v>104656.39470272</v>
      </c>
      <c r="AH226" s="420">
        <f t="shared" si="275"/>
        <v>21.889658076508315</v>
      </c>
      <c r="AI226" s="1097">
        <f t="shared" si="276"/>
        <v>93087.771548064717</v>
      </c>
      <c r="AJ226" s="420">
        <f t="shared" si="277"/>
        <v>83899.709064703638</v>
      </c>
      <c r="AK226" s="518">
        <f t="shared" si="278"/>
        <v>9188.0624833610782</v>
      </c>
      <c r="AL226" s="1106">
        <f>IF($P226="","N/A",(IF($P226=-1,INDEX('卡片raw data'!S:S,MATCH($D226,'卡片raw data'!$F:$F,)),0)+IF($P226=0,INDEX('卡片raw data'!V:V,MATCH($D226,'卡片raw data'!$F:$F,)),0)+IF($P226=1,INDEX('卡片raw data'!Y:Y,MATCH($D226,'卡片raw data'!$F:$F,)),0)+IF($P226=2,INDEX('卡片raw data'!AB:AB,MATCH($D226,'卡片raw data'!$F:$F,)),0)+IF($P226=3,INDEX('卡片raw data'!AE:AE,MATCH($D226,'卡片raw data'!$F:$F,)),0)+IF($P226=4,INDEX('卡片raw data'!AH:AH,MATCH($D226,'卡片raw data'!$F:$F,)),0)+IF($P226=5,INDEX('卡片raw data'!AK:AK,MATCH($D226,'卡片raw data'!$F:$F,)),0)+INDEX('卡片raw data'!S:S,MATCH($D226,'卡片raw data'!$F:$F,))*(IF($F226="UR",0.04,0.033))*(IF($F226="UR",INDEX(绊状态确认!$S:$S,MATCH($G226,绊状态确认!$B:$B,))/2-40)+IF($F226="SR",INDEX(绊状态确认!$R:$R,MATCH($G226,绊状态确认!$B:$B,))/4-15))+IF($F226="R",INDEX(绊状态确认!$Q:$Q,MATCH($G226,绊状态确认!$B:$B,))/6-40/6)))*(INDEX(绊状态确认!$H:$H,MATCH($G226,绊状态确认!$B:$B,))+INDEX(绊状态确认!J:J,MATCH($G226,绊状态确认!$B:$B,)))</f>
        <v>8773.5534719999978</v>
      </c>
      <c r="AM226" s="1106">
        <f>IF($P226="","N/A",(IF($P226=-1,INDEX('卡片raw data'!T:T,MATCH($D226,'卡片raw data'!$F:$F,)),0)+IF($P226=0,INDEX('卡片raw data'!W:W,MATCH($D226,'卡片raw data'!$F:$F,)),0)+IF($P226=1,INDEX('卡片raw data'!Z:Z,MATCH($D226,'卡片raw data'!$F:$F,)),0)+IF($P226=2,INDEX('卡片raw data'!AC:AC,MATCH($D226,'卡片raw data'!$F:$F,)),0)+IF($P226=3,INDEX('卡片raw data'!AF:AF,MATCH($D226,'卡片raw data'!$F:$F,)),0)+IF($P226=4,INDEX('卡片raw data'!AI:AI,MATCH($D226,'卡片raw data'!$F:$F,)),0)+IF($P226=5,INDEX('卡片raw data'!AL:AL,MATCH($D226,'卡片raw data'!$F:$F,)),0)+INDEX('卡片raw data'!T:T,MATCH($D226,'卡片raw data'!$F:$F,))*(IF($F226="UR",0.04,0.033))*(IF($F226="UR",INDEX(绊状态确认!$S:$S,MATCH($G226,绊状态确认!$B:$B,))/2-40)+IF($F226="SR",INDEX(绊状态确认!$R:$R,MATCH($G226,绊状态确认!$B:$B,))/4-15))+IF($F226="R",INDEX(绊状态确认!$Q:$Q,MATCH($G226,绊状态确认!$B:$B,))/6-40/6)))*(INDEX(绊状态确认!$H:$H,MATCH($G226,绊状态确认!$B:$B,))+INDEX(绊状态确认!K:K,MATCH($G226,绊状态确认!$B:$B,)))</f>
        <v>6646.2126719999987</v>
      </c>
      <c r="AN226" s="1106">
        <f>IF($P226="","N/A",(IF($P226=-1,INDEX('卡片raw data'!U:U,MATCH($D226,'卡片raw data'!$F:$F,)),0)+IF($P226=0,INDEX('卡片raw data'!X:X,MATCH($D226,'卡片raw data'!$F:$F,)),0)+IF($P226=1,INDEX('卡片raw data'!AA:AA,MATCH($D226,'卡片raw data'!$F:$F,)),0)+IF($P226=2,INDEX('卡片raw data'!AD:AD,MATCH($D226,'卡片raw data'!$F:$F,)),0)+IF($P226=3,INDEX('卡片raw data'!AG:AG,MATCH($D226,'卡片raw data'!$F:$F,)),0)+IF($P226=4,INDEX('卡片raw data'!AJ:AJ,MATCH($D226,'卡片raw data'!$F:$F,)),0)+IF($P226=5,INDEX('卡片raw data'!AM:AM,MATCH($D226,'卡片raw data'!$F:$F,)),0)+INDEX('卡片raw data'!U:U,MATCH($D226,'卡片raw data'!$F:$F,))*(IF($F226="UR",0.04,0.033))*(IF($F226="UR",INDEX(绊状态确认!$S:$S,MATCH($G226,绊状态确认!$B:$B,))/2-40)+IF($F226="SR",INDEX(绊状态确认!$R:$R,MATCH($G226,绊状态确认!$B:$B,))/4-15))+IF($F226="R",INDEX(绊状态确认!$Q:$Q,MATCH($G226,绊状态确认!$B:$B,))/6-40/6)))*(INDEX(绊状态确认!$H:$H,MATCH($G226,绊状态确认!$B:$B,))+INDEX(绊状态确认!L:L,MATCH($G226,绊状态确认!$B:$B,)))</f>
        <v>11167.357343999998</v>
      </c>
      <c r="AO226" s="1107">
        <f t="shared" si="279"/>
        <v>1</v>
      </c>
      <c r="AP226" s="1131">
        <f>1+(INDEX(绊状态确认!$T:$T,MATCH($G226,绊状态确认!$B:$B,))+0.2)*$AO226</f>
        <v>1.3</v>
      </c>
      <c r="AQ226" s="1108">
        <f t="shared" si="280"/>
        <v>26280.577863999999</v>
      </c>
      <c r="AR226" s="1097">
        <f>(AM226*(1+$EX$9)+$EX$35)*(1+(INDEX(绊状态确认!$T:$T,MATCH($G226,绊状态确认!$B:$B,))+0.2)*AO226)*IF(J226=$FF$17,1+$FE$17,1)*IF(I226=$FF$14,1+$FE$14,1)*(1+$FE$15)</f>
        <v>11776.080297279999</v>
      </c>
      <c r="AS226" s="1097">
        <f>(AN226*(1+$EX$10)+$EX$36)*(1+(INDEX(绊状态确认!$T:$T,MATCH($G226,绊状态确认!$B:$B,))+0.2)*AO226)*IF(J226=$FF$17,1+$FE$17,1)*IF(I226=$FF$14,1+$FE$14,1)*(1+$FE$15)</f>
        <v>20751.199229279995</v>
      </c>
      <c r="AT226" s="1093">
        <f>IF(AND(INDEX('卡片raw data'!AK:AK,MATCH($D226,'卡片raw data'!$F:$F,))&lt;INDEX('卡片raw data'!AM:AM,MATCH($D226,'卡片raw data'!$F:$F,)),INDEX('卡片raw data'!AL:AL,MATCH($D226,'卡片raw data'!$F:$F,))&lt;INDEX('卡片raw data'!AM:AM,MATCH($D226,'卡片raw data'!$F:$F,))),1,0)</f>
        <v>1</v>
      </c>
      <c r="AU226" s="1098">
        <f>MIN(AT226*0.15+AS226*0.00003+INDEX(绊状态确认!M:M,MATCH($G226,绊状态确认!$B:$B,)),1)</f>
        <v>0.80253597687839995</v>
      </c>
      <c r="AV226" s="1109">
        <f>(INDEX(绊状态确认!$N:$N,MATCH($G226,绊状态确认!$B:$B,))+1.5)*$EW$21</f>
        <v>2.6599999999999997</v>
      </c>
      <c r="AW226" s="1101">
        <f t="shared" si="281"/>
        <v>31831.703110914666</v>
      </c>
      <c r="AX226" s="1097">
        <f t="shared" si="282"/>
        <v>1007.8205285358982</v>
      </c>
      <c r="AY226" s="1110">
        <f t="shared" si="283"/>
        <v>32839.523639450563</v>
      </c>
      <c r="AZ226" s="429">
        <f t="shared" si="284"/>
        <v>19708.429270399996</v>
      </c>
      <c r="BA226" s="431">
        <f t="shared" si="285"/>
        <v>23650.115124479995</v>
      </c>
      <c r="BB226" s="1097">
        <f>(AM226*(1+$FB$9)+$FB$35)*(1+(INDEX(绊状态确认!$T:$T,MATCH($G226,绊状态确认!$B:$B,))+0.2)*AO226)*IF(J226=$FF$17,1+$FE$17,1)*IF(I226=$FF$14,1+$FE$14,1)*(1+$FE$15)</f>
        <v>11776.080297279999</v>
      </c>
      <c r="BC226" s="1097">
        <f>(AN226*(1+$FB$10)+$FB$36)*(1+(INDEX(绊状态确认!$T:$T,MATCH($G226,绊状态确认!$B:$B,))+0.2)*AO226)*IF(J226=$FF$17,1+$FE$17,1)*IF(I226=$FF$14,1+$FE$14,1)*(1+$FE$15)</f>
        <v>20751.199229279995</v>
      </c>
      <c r="BD226" s="1104">
        <f>MIN(AT226*0.15+BC226*0.00003+INDEX(绊状态确认!M:M,MATCH($G226,绊状态确认!$B:$B,)),1)</f>
        <v>0.80253597687839995</v>
      </c>
      <c r="BE226" s="432">
        <f>(INDEX(绊状态确认!$N:$N,MATCH($G226,绊状态确认!$B:$B,))+1.5)</f>
        <v>1.9</v>
      </c>
      <c r="BF226" s="1139">
        <f t="array" ref="BF226">SUMPRODUCT(IF(AZ226*AP226*$FI$16:$FI$23*$FA$22&gt;=$FI$24,$FI$24,AZ226*AP226*$FI$16:$FI$23*$FA$22),$FJ$16:$FJ$23)</f>
        <v>39200.065818825598</v>
      </c>
      <c r="BG226" s="1125">
        <f t="array" ref="BG226">SUMPRODUCT(IF(BE226*AZ226*AP226*$FI$16:$FI$23*$FA$22&gt;=$FI$24,$FI$24,BE226*AZ226*AP226*$FI$16:$FI$23*$FA$22),$FJ$16:$FJ$23)</f>
        <v>59841.57843574656</v>
      </c>
      <c r="BH226" s="1110">
        <f t="shared" si="286"/>
        <v>18588.540770364692</v>
      </c>
      <c r="BI226" s="1111">
        <f>IF(O226="vo",$EW$26/$EW$24*0.05,0)+IF(O226="sk",-$EW$26/$EW$24*(0.05-INDEX(绊状态确认!W:W,MATCH($G226,绊状态确认!$B:$B,)))+0.05*$EW$28,0)+IF(O226="sp",0.05*$EW$32*$EW$30*(1-$EW$33)-(0.05-INDEX(绊状态确认!V:V,MATCH($G226,绊状态确认!$B:$B,)))*$EW$28,0)+IF(O226="gd",-(0.05-INDEX(绊状态确认!X:X,MATCH($G226,绊状态确认!$B:$B,)))*$EW$32*$EW$30*(1-$EW$33),0)</f>
        <v>-6253.6726349699375</v>
      </c>
      <c r="BJ226" s="1097">
        <f>IF(O226="vo",0.05*(1-$FI$26)*$FA$24,0)+IF(O226="sk",-(0.05-INDEX(绊状态确认!W:W,MATCH($G226,绊状态确认!$B:$B,)))*(1-$FI$26)*$FA$24+0.05*$FA$26,0)+IF(O226="sp",0.05*$FA$32*$FA$27*(1-$FA$33)/$FA$30+0.05*$FA$29/$FA$69*$FA$27*(1-$FA$33)-(0.05-INDEX(绊状态确认!V:V,MATCH($G226,绊状态确认!$B:$B,)))*$FA$26,0)+IF(O226="gd",-(0.05-INDEX(绊状态确认!X:X,MATCH($G226,绊状态确认!$B:$B,)))*$FA$32*$FA$27*(1-$FA$33)/$FA$30-(0.05-INDEX(绊状态确认!X:X,MATCH($G226,绊状态确认!$B:$B,)))*$FA$29/$FA$69*$FA$27*(1-$FA$33),0)</f>
        <v>20.459096812499922</v>
      </c>
      <c r="BK226" s="1110">
        <f>IF(O226="vo",$EW$26/$EW$24*0.05+$EW$26*(-HP($EW$62,$EW$65,$EW$64)+HP($EW$62,$EW$65,(1.05-INDEX(绊状态确认!U:U,MATCH($G226,绊状态确认!$B:$B,)))*$EW$64)),0)+IF(O226="sk",-$EW$26/$EW$24*(0.05-INDEX(绊状态确认!W:W,MATCH($G226,绊状态确认!$B:$B,)))+0.05*$EW$29,0)+IF(O226="sp",0.05*$EW$32*$EW$30*(1-$EW$33)-(0.05-INDEX(绊状态确认!V:V,MATCH($G226,绊状态确认!$B:$B,)))*$EW$29,0)+IF(O226="gd",-(0.05-INDEX(绊状态确认!X:X,MATCH($G226,绊状态确认!$B:$B,)))*$EW$32*$EW$30*(1-$EW$33)+$EW$26*(-HP($EW$62,$EW$65,$EW$64)+HP($EW$62,$EW$65,0.95*$EW$64)),0)</f>
        <v>-4253.6726349699375</v>
      </c>
      <c r="BL226" s="1111">
        <f t="shared" si="287"/>
        <v>0</v>
      </c>
      <c r="BM226" s="1110">
        <f t="shared" si="288"/>
        <v>0</v>
      </c>
      <c r="BN226" s="1113">
        <f t="shared" si="289"/>
        <v>3</v>
      </c>
      <c r="BO226" s="1097">
        <f t="shared" si="290"/>
        <v>4507.7214871259994</v>
      </c>
      <c r="BP226" s="1100">
        <f t="shared" si="291"/>
        <v>221.34103209030098</v>
      </c>
      <c r="BQ226" s="1113" t="s">
        <v>143</v>
      </c>
      <c r="BR226" s="1124" t="s">
        <v>148</v>
      </c>
      <c r="BS226" s="1098">
        <f>IF($P226="","N/A",IF($P226=-1,INDEX('卡片raw data'!AX:AX,MATCH($D226,'卡片raw data'!$F:$F,)),0)+IF($L226="party卡",IF($P226=5,INDEX('卡片raw data'!BD:BD,MATCH($D226,'卡片raw data'!$F:$F,)),IF($P226&gt;=3,INDEX('卡片raw data'!BC:BC,MATCH($D226,'卡片raw data'!$F:$F,)),INDEX('卡片raw data'!BB:BB,MATCH($D226,'卡片raw data'!$F:$F,)))),IF(OR(AND($F226="UR",$P226=0),AND($F226="SR",$P226&gt;=0,$P226&lt;=2),AND($F226="R",$P226&gt;=0,$P226&lt;4)),INDEX('卡片raw data'!AZ:AZ,MATCH($D226,'卡片raw data'!$F:$F,)),0)+IF(OR(AND($F226="UR",$P226&gt;=1,$P226&lt;=4),AND($F226="SR",$P226&lt;=4,$P226&gt;=3),AND($F226="R",$P226=4)),INDEX('卡片raw data'!BA:BA,MATCH($D226,'卡片raw data'!$F:$F,)),0)+IF($P226=5,INDEX('卡片raw data'!BB:BB,MATCH($D226,'卡片raw data'!$F:$F,)),0)))</f>
        <v>4.2000000000000003E-2</v>
      </c>
      <c r="BT226" s="1101">
        <f t="shared" si="292"/>
        <v>2103.6033606587998</v>
      </c>
      <c r="BU226" s="1097">
        <f t="shared" si="293"/>
        <v>90.380921436872924</v>
      </c>
      <c r="BV226" s="1097">
        <f t="shared" si="294"/>
        <v>1051.8016803293999</v>
      </c>
      <c r="BW226" s="1112">
        <f t="shared" si="295"/>
        <v>0</v>
      </c>
      <c r="BX226" s="1100">
        <f t="shared" si="296"/>
        <v>2103.6033606587998</v>
      </c>
      <c r="BY226" s="1110">
        <f t="shared" si="297"/>
        <v>1051.8016803293999</v>
      </c>
      <c r="BZ226" s="1107" t="s">
        <v>569</v>
      </c>
      <c r="CA226" s="1124"/>
      <c r="CB226" s="1098">
        <f>IF($P226="","N/A",IF($P226=-1,INDEX('卡片raw data'!BE:BE,MATCH($D226,'卡片raw data'!$F:$F,)),0)+IF($L226="party卡",IF($P226=5,INDEX('卡片raw data'!BK:BK,MATCH($D226,'卡片raw data'!$F:$F,)),IF($P226&gt;=3,INDEX('卡片raw data'!BJ:BJ,MATCH($D226,'卡片raw data'!$F:$F,)),INDEX('卡片raw data'!BI:BI,MATCH($D226,'卡片raw data'!$F:$F,)))),IF(OR(AND($F226="UR",$P226=0),AND($F226="SR",$P226&gt;=0,$P226&lt;=2),AND($F226="R",$P226&gt;=0,$P226&lt;4)),INDEX('卡片raw data'!BG:BG,MATCH($D226,'卡片raw data'!$F:$F,)),0)+IF(OR(AND($F226="UR",$P226&gt;=1,$P226&lt;=4),AND($F226="SR",$P226&lt;=4,$P226&gt;=3),AND($F226="R",$P226=4)),INDEX('卡片raw data'!BH:BH,MATCH($D226,'卡片raw data'!$F:$F,)),0)+IF($P226=5,INDEX('卡片raw data'!BI:BI,MATCH($D226,'卡片raw data'!$F:$F,)),0)))</f>
        <v>0</v>
      </c>
      <c r="CC226" s="1101">
        <f t="shared" si="298"/>
        <v>0</v>
      </c>
      <c r="CD226" s="1097">
        <f>IF(BZ226="ap",CB226*(1-$FI$26)*$FB$5/$FB$11*(+IF(CA226="全员",$FA$24,0)+IF(CA226="同作战",$FA$24,0)+IF(CA226="仲间",$FA$24*2/3,0)+IF(CA226="同属性",$FA$24*$FA$37/3,0)+IF(CA226="同年级",$FA$24*$FA$40/3,0)+IF(CA226="同学校",$FA$24*$FA$43/3,0)+IF(CA226="同小队",$FA$24*$FA$46/3,0)+IF(CA226="同type",$FA$24*INDEX($FB$49:$FB$52,MATCH(X226,$FA$49:$FA$52,))/3,0)+IF(CA226="自身",#REF!/3,0)),0)+IF(BZ226="te",CB226*(1-$FI$27)*($FA$20-1)*$FB$7/$FB$13*(+IF(CA226="全员",$FA$19*$FA$24/(1+($FA$20-1)*$FA$19),0)+IF(CA226="同作战",$FA$19*$FA$24/(1+($FA$20-1)*$FA$19),0)+IF(CA226="仲间",$FA$19*$FA$24*2/3/(1+($FA$20-1)*$FA$19),0)+IF(CA226="同属性",$FA$19*$FA$24*$FA$37/3/(1+($FA$20-1)*$FA$19),0)+IF(CA226="同年级",$FA$19*$FA$24*$FA$40/3/(1+($FA$20-1)*$FA$19),0)+IF(CA226="同学校",$FA$19*$FA$24*$FA$43/3/(1+($FA$20-1)*$FA$19),0)+IF(CA226="同小队",$FA$19*$FA$24*$FA$46/3/(1+($FA$20-1)*$FA$19),0)+IF(CA226="同type",$FA$19*$FA$24*INDEX($FB$49:$FB$52,MATCH(X226,$FA$49:$FA$52,))/3/(1+($FA$20-1)*$FA$19),0)+IF(CA226="自身",$FA$19*#REF!/3/(1+(BH226-1)*$BD226),0)),0)</f>
        <v>0</v>
      </c>
      <c r="CE226" s="1097">
        <f t="shared" si="299"/>
        <v>0</v>
      </c>
      <c r="CF226" s="1112">
        <f t="shared" si="300"/>
        <v>0</v>
      </c>
      <c r="CG226" s="1100">
        <f t="shared" si="301"/>
        <v>0</v>
      </c>
      <c r="CH226" s="1110">
        <f t="shared" si="302"/>
        <v>0</v>
      </c>
      <c r="CI226" s="1113" t="s">
        <v>164</v>
      </c>
      <c r="CJ226" s="1114">
        <v>0.4</v>
      </c>
      <c r="CK226" s="1115" t="s">
        <v>155</v>
      </c>
      <c r="CL226" s="1115" t="s">
        <v>171</v>
      </c>
      <c r="CM226" s="1119">
        <v>0.08</v>
      </c>
      <c r="CN226" s="1115">
        <v>5</v>
      </c>
      <c r="CO226" s="1092"/>
      <c r="CP226" s="1118">
        <f t="shared" si="303"/>
        <v>2.2857142857142859E-3</v>
      </c>
      <c r="CQ226" s="1118">
        <f t="shared" si="304"/>
        <v>3.1111111111111118E-3</v>
      </c>
      <c r="CR226" s="1118">
        <f t="shared" si="305"/>
        <v>1.1428571428571429E-3</v>
      </c>
      <c r="CS226" s="1118">
        <f t="shared" si="306"/>
        <v>0</v>
      </c>
      <c r="CT226" s="1109">
        <f t="shared" si="307"/>
        <v>0</v>
      </c>
      <c r="CU226" s="1101">
        <f t="shared" si="308"/>
        <v>267.50212281445721</v>
      </c>
      <c r="CV226" s="1108">
        <f t="shared" si="309"/>
        <v>25.191738888697017</v>
      </c>
      <c r="CW226" s="1097">
        <f t="shared" si="310"/>
        <v>133.7510614072286</v>
      </c>
      <c r="CX226" s="1097">
        <f t="shared" si="311"/>
        <v>267.50212281445721</v>
      </c>
      <c r="CY226" s="1110">
        <f t="shared" si="312"/>
        <v>133.7510614072286</v>
      </c>
      <c r="CZ226" s="437"/>
      <c r="DA226" s="438"/>
      <c r="DB226" s="439" t="s">
        <v>569</v>
      </c>
      <c r="DC226" s="439"/>
      <c r="DD226" s="443"/>
      <c r="DE226" s="411"/>
      <c r="DF226" s="411"/>
      <c r="DG226" s="1116">
        <f t="shared" si="313"/>
        <v>0</v>
      </c>
      <c r="DH226" s="1116">
        <f t="shared" si="314"/>
        <v>0</v>
      </c>
      <c r="DI226" s="1116">
        <f t="shared" si="315"/>
        <v>0</v>
      </c>
      <c r="DJ226" s="442">
        <f t="shared" si="316"/>
        <v>0</v>
      </c>
      <c r="DK226" s="1109">
        <f t="shared" si="317"/>
        <v>0</v>
      </c>
      <c r="DL226" s="1101">
        <f t="shared" si="318"/>
        <v>0</v>
      </c>
      <c r="DM226" s="1097">
        <f t="shared" si="319"/>
        <v>0</v>
      </c>
      <c r="DN226" s="1097">
        <f t="shared" si="320"/>
        <v>0</v>
      </c>
      <c r="DO226" s="1097">
        <f t="shared" si="321"/>
        <v>0</v>
      </c>
      <c r="DP226" s="1110">
        <f t="shared" si="322"/>
        <v>0</v>
      </c>
      <c r="DQ226" s="1113" t="s">
        <v>636</v>
      </c>
      <c r="DR226" s="1120">
        <f t="shared" si="323"/>
        <v>0.33</v>
      </c>
      <c r="DS226" s="1124"/>
      <c r="DT226" s="1093" t="s">
        <v>133</v>
      </c>
      <c r="DU226" s="1093"/>
      <c r="DV226" s="1098">
        <f>IF($P226="","N/A",IF(P226=-1,INDEX('卡片raw data'!AN:AN,MATCH(D226,'卡片raw data'!$F:$F,)),0)+IF(AND(L226&lt;&gt;"party卡",P226&lt;=2,P226&gt;=0),INDEX('卡片raw data'!AP:AP,MATCH(D226,'卡片raw data'!$F:$F,)),0)+IF(OR(AND(L226="party卡",P226&lt;=1),AND(P226&lt;=4,L226&lt;&gt;"party卡",P226&gt;=3)),INDEX('卡片raw data'!AQ:AQ,MATCH(D226,'卡片raw data'!$F:$F,)),0)+IF(OR(P226=5,AND(L226="party卡",P226&gt;=2)),INDEX('卡片raw data'!AR:AR,MATCH(D226,'卡片raw data'!$F:$F,)),0))</f>
        <v>0.28999999999999998</v>
      </c>
      <c r="DW226" s="1098">
        <f t="shared" si="324"/>
        <v>0.33</v>
      </c>
      <c r="DX226" s="1098">
        <f t="shared" si="325"/>
        <v>0.33</v>
      </c>
      <c r="DY226" s="1125">
        <f t="shared" si="326"/>
        <v>375.65696148323195</v>
      </c>
      <c r="DZ226" s="1125">
        <f t="shared" si="327"/>
        <v>324.94327168299566</v>
      </c>
      <c r="EA226" s="1098">
        <f t="shared" si="328"/>
        <v>0</v>
      </c>
      <c r="EB226" s="1121">
        <f t="shared" si="329"/>
        <v>0</v>
      </c>
      <c r="EC226" s="1101">
        <f t="shared" si="330"/>
        <v>0</v>
      </c>
      <c r="ED226" s="1097">
        <f t="shared" si="331"/>
        <v>0</v>
      </c>
      <c r="EE226" s="1110">
        <f t="shared" si="332"/>
        <v>48435.03108962375</v>
      </c>
      <c r="EF226" s="1092" t="s">
        <v>711</v>
      </c>
      <c r="EG226" s="1120">
        <f t="shared" si="333"/>
        <v>0.33</v>
      </c>
      <c r="EH226" s="1124"/>
      <c r="EI226" s="1093"/>
      <c r="EJ226" s="1093"/>
      <c r="EK226" s="1097">
        <f>IF($P226="","N/A",IF(P226=-1,INDEX('卡片raw data'!AS:AS,MATCH(D226,'卡片raw data'!$F:$F,)),0)+IF(AND(L226&lt;&gt;"party卡",P226&lt;=2,P226&gt;=0),INDEX('卡片raw data'!AU:AU,MATCH(D226,'卡片raw data'!$F:$F,)),0)+IF(OR(AND(L226="party卡",P226&lt;=1),AND(P226&lt;=4,L226&lt;&gt;"party卡",P226&gt;=3)),INDEX('卡片raw data'!AV:AV,MATCH(D226,'卡片raw data'!$F:$F,)),0)+IF(OR(P226=5,AND(L226="party卡",P226&gt;=2)),INDEX('卡片raw data'!AW:AW,MATCH(D226,'卡片raw data'!$F:$F,)),0))</f>
        <v>0</v>
      </c>
      <c r="EL226" s="1098">
        <f t="shared" si="334"/>
        <v>0.33</v>
      </c>
      <c r="EM226" s="1098">
        <f t="shared" si="335"/>
        <v>0.33</v>
      </c>
      <c r="EN226" s="1125">
        <f t="shared" si="336"/>
        <v>0</v>
      </c>
      <c r="EO226" s="1125">
        <f t="shared" si="337"/>
        <v>0</v>
      </c>
      <c r="EP226" s="1098">
        <f t="shared" si="338"/>
        <v>0</v>
      </c>
      <c r="EQ226" s="1121">
        <f t="shared" si="339"/>
        <v>0</v>
      </c>
      <c r="ER226" s="1101">
        <f t="shared" si="340"/>
        <v>0</v>
      </c>
      <c r="ES226" s="1097">
        <f t="shared" si="341"/>
        <v>0</v>
      </c>
      <c r="ET226" s="1122">
        <f t="shared" si="342"/>
        <v>0</v>
      </c>
    </row>
    <row r="227" spans="2:150" ht="16.5" customHeight="1">
      <c r="B227" s="1123" t="str">
        <f>INDEX('卡片raw data'!B:B,MATCH($D227,'卡片raw data'!$F:$F,))</f>
        <v>op2凛</v>
      </c>
      <c r="C227" s="449" t="s">
        <v>123</v>
      </c>
      <c r="D227" s="408">
        <v>224</v>
      </c>
      <c r="E227" s="1090">
        <v>400052001</v>
      </c>
      <c r="F227" s="1090" t="str">
        <f>INDEX('卡片raw data'!C:C,MATCH($D227,'卡片raw data'!$F:$F,))</f>
        <v>SR</v>
      </c>
      <c r="G227" s="1094" t="s">
        <v>335</v>
      </c>
      <c r="H227" s="411">
        <f>IFERROR(INDEX(绊状态确认!C:C,MATCH($G227,绊状态确认!$B:$B,)),"")</f>
        <v>5</v>
      </c>
      <c r="I227" s="450" t="str">
        <f>IFERROR(INDEX(绊状态确认!D:D,MATCH($G227,绊状态确认!$B:$B,)),"")</f>
        <v>缪</v>
      </c>
      <c r="J227" s="450" t="str">
        <f>IFERROR(INDEX(绊状态确认!E:E,MATCH($G227,绊状态确认!$B:$B,)),"")</f>
        <v>1年级</v>
      </c>
      <c r="K227" s="451" t="str">
        <f>IFERROR(INDEX(绊状态确认!F:F,MATCH($G227,绊状态确认!$B:$B,)),"")</f>
        <v>lilywhite</v>
      </c>
      <c r="L227" s="1094" t="str">
        <f>INDEX('卡片raw data'!E:E,MATCH($D227,'卡片raw data'!$F:$F,))</f>
        <v>活动卡</v>
      </c>
      <c r="M227" s="415">
        <v>43942</v>
      </c>
      <c r="N227" s="416">
        <v>14</v>
      </c>
      <c r="O227" s="1091" t="str">
        <f>INDEX('卡片raw data'!D:D,MATCH($D227,'卡片raw data'!$F:$F,))</f>
        <v>gd</v>
      </c>
      <c r="P227" s="417">
        <v>5</v>
      </c>
      <c r="Q227" s="1095">
        <f t="shared" si="258"/>
        <v>15722.738994874979</v>
      </c>
      <c r="R227" s="1096">
        <f t="shared" si="259"/>
        <v>0.182</v>
      </c>
      <c r="S227" s="1097">
        <f t="shared" si="260"/>
        <v>9027.6812775762992</v>
      </c>
      <c r="T227" s="1098">
        <f t="shared" si="261"/>
        <v>0.45100000000000001</v>
      </c>
      <c r="U227" s="1099">
        <f t="shared" si="262"/>
        <v>423.61762744542591</v>
      </c>
      <c r="V227" s="1100">
        <f t="shared" si="263"/>
        <v>66932.660489227972</v>
      </c>
      <c r="W227" s="1101">
        <f t="shared" si="264"/>
        <v>4507.7214871259994</v>
      </c>
      <c r="X227" s="1096">
        <f t="shared" si="265"/>
        <v>5.1999999999999998E-2</v>
      </c>
      <c r="Y227" s="1097">
        <f t="shared" si="266"/>
        <v>1180.2956322116288</v>
      </c>
      <c r="Z227" s="1102">
        <f t="shared" si="267"/>
        <v>14.744366773589999</v>
      </c>
      <c r="AA227" s="1103">
        <f t="shared" si="268"/>
        <v>5688.0171193376282</v>
      </c>
      <c r="AB227" s="1101">
        <f t="shared" si="269"/>
        <v>4507.7214871259994</v>
      </c>
      <c r="AC227" s="1104">
        <f t="shared" si="270"/>
        <v>5.1999999999999998E-2</v>
      </c>
      <c r="AD227" s="1105">
        <f t="shared" si="271"/>
        <v>-3.8207812500000026E-3</v>
      </c>
      <c r="AE227" s="1128">
        <f t="shared" si="272"/>
        <v>-18.525362318840578</v>
      </c>
      <c r="AF227" s="1130">
        <f t="shared" si="273"/>
        <v>6036.0760988399034</v>
      </c>
      <c r="AG227" s="420">
        <f t="shared" si="274"/>
        <v>102671.06601131601</v>
      </c>
      <c r="AH227" s="420">
        <f t="shared" si="275"/>
        <v>17.009571173406638</v>
      </c>
      <c r="AI227" s="1097">
        <f t="shared" si="276"/>
        <v>91761.614642742672</v>
      </c>
      <c r="AJ227" s="420">
        <f t="shared" si="277"/>
        <v>66932.660489227972</v>
      </c>
      <c r="AK227" s="518">
        <f t="shared" si="278"/>
        <v>24828.9541535147</v>
      </c>
      <c r="AL227" s="1106">
        <f>IF($P227="","N/A",(IF($P227=-1,INDEX('卡片raw data'!S:S,MATCH($D227,'卡片raw data'!$F:$F,)),0)+IF($P227=0,INDEX('卡片raw data'!V:V,MATCH($D227,'卡片raw data'!$F:$F,)),0)+IF($P227=1,INDEX('卡片raw data'!Y:Y,MATCH($D227,'卡片raw data'!$F:$F,)),0)+IF($P227=2,INDEX('卡片raw data'!AB:AB,MATCH($D227,'卡片raw data'!$F:$F,)),0)+IF($P227=3,INDEX('卡片raw data'!AE:AE,MATCH($D227,'卡片raw data'!$F:$F,)),0)+IF($P227=4,INDEX('卡片raw data'!AH:AH,MATCH($D227,'卡片raw data'!$F:$F,)),0)+IF($P227=5,INDEX('卡片raw data'!AK:AK,MATCH($D227,'卡片raw data'!$F:$F,)),0)+INDEX('卡片raw data'!S:S,MATCH($D227,'卡片raw data'!$F:$F,))*(IF($F227="UR",0.04,0.033))*(IF($F227="UR",INDEX(绊状态确认!$S:$S,MATCH($G227,绊状态确认!$B:$B,))/2-40)+IF($F227="SR",INDEX(绊状态确认!$R:$R,MATCH($G227,绊状态确认!$B:$B,))/4-15))+IF($F227="R",INDEX(绊状态确认!$Q:$Q,MATCH($G227,绊状态确认!$B:$B,))/6-40/6)))*(INDEX(绊状态确认!$H:$H,MATCH($G227,绊状态确认!$B:$B,))+INDEX(绊状态确认!J:J,MATCH($G227,绊状态确认!$B:$B,)))</f>
        <v>4926.9372023999995</v>
      </c>
      <c r="AM227" s="1106">
        <f>IF($P227="","N/A",(IF($P227=-1,INDEX('卡片raw data'!T:T,MATCH($D227,'卡片raw data'!$F:$F,)),0)+IF($P227=0,INDEX('卡片raw data'!W:W,MATCH($D227,'卡片raw data'!$F:$F,)),0)+IF($P227=1,INDEX('卡片raw data'!Z:Z,MATCH($D227,'卡片raw data'!$F:$F,)),0)+IF($P227=2,INDEX('卡片raw data'!AC:AC,MATCH($D227,'卡片raw data'!$F:$F,)),0)+IF($P227=3,INDEX('卡片raw data'!AF:AF,MATCH($D227,'卡片raw data'!$F:$F,)),0)+IF($P227=4,INDEX('卡片raw data'!AI:AI,MATCH($D227,'卡片raw data'!$F:$F,)),0)+IF($P227=5,INDEX('卡片raw data'!AL:AL,MATCH($D227,'卡片raw data'!$F:$F,)),0)+INDEX('卡片raw data'!T:T,MATCH($D227,'卡片raw data'!$F:$F,))*(IF($F227="UR",0.04,0.033))*(IF($F227="UR",INDEX(绊状态确认!$S:$S,MATCH($G227,绊状态确认!$B:$B,))/2-40)+IF($F227="SR",INDEX(绊状态确认!$R:$R,MATCH($G227,绊状态确认!$B:$B,))/4-15))+IF($F227="R",INDEX(绊状态确认!$Q:$Q,MATCH($G227,绊状态确认!$B:$B,))/6-40/6)))*(INDEX(绊状态确认!$H:$H,MATCH($G227,绊状态确认!$B:$B,))+INDEX(绊状态确认!K:K,MATCH($G227,绊状态确认!$B:$B,)))</f>
        <v>7716.4901015999985</v>
      </c>
      <c r="AN227" s="1106">
        <f>IF($P227="","N/A",(IF($P227=-1,INDEX('卡片raw data'!U:U,MATCH($D227,'卡片raw data'!$F:$F,)),0)+IF($P227=0,INDEX('卡片raw data'!X:X,MATCH($D227,'卡片raw data'!$F:$F,)),0)+IF($P227=1,INDEX('卡片raw data'!AA:AA,MATCH($D227,'卡片raw data'!$F:$F,)),0)+IF($P227=2,INDEX('卡片raw data'!AD:AD,MATCH($D227,'卡片raw data'!$F:$F,)),0)+IF($P227=3,INDEX('卡片raw data'!AG:AG,MATCH($D227,'卡片raw data'!$F:$F,)),0)+IF($P227=4,INDEX('卡片raw data'!AJ:AJ,MATCH($D227,'卡片raw data'!$F:$F,)),0)+IF($P227=5,INDEX('卡片raw data'!AM:AM,MATCH($D227,'卡片raw data'!$F:$F,)),0)+INDEX('卡片raw data'!U:U,MATCH($D227,'卡片raw data'!$F:$F,))*(IF($F227="UR",0.04,0.033))*(IF($F227="UR",INDEX(绊状态确认!$S:$S,MATCH($G227,绊状态确认!$B:$B,))/2-40)+IF($F227="SR",INDEX(绊状态确认!$R:$R,MATCH($G227,绊状态确认!$B:$B,))/4-15))+IF($F227="R",INDEX(绊状态确认!$Q:$Q,MATCH($G227,绊状态确认!$B:$B,))/6-40/6)))*(INDEX(绊状态确认!$H:$H,MATCH($G227,绊状态确认!$B:$B,))+INDEX(绊状态确认!L:L,MATCH($G227,绊状态确认!$B:$B,)))</f>
        <v>3775.4549015999992</v>
      </c>
      <c r="AO227" s="1107">
        <f t="shared" si="279"/>
        <v>1</v>
      </c>
      <c r="AP227" s="1131">
        <f>1+(INDEX(绊状态确认!$T:$T,MATCH($G227,绊状态确认!$B:$B,))+0.2)*$AO227</f>
        <v>1.3</v>
      </c>
      <c r="AQ227" s="1108">
        <f t="shared" si="280"/>
        <v>16183.2101563</v>
      </c>
      <c r="AR227" s="1097">
        <f>(AM227*(1+$EX$9)+$EX$35)*(1+(INDEX(绊状态确认!$T:$T,MATCH($G227,绊状态确认!$B:$B,))+0.2)*AO227)*IF(J227=$FF$17,1+$FE$17,1)*IF(I227=$FF$14,1+$FE$14,1)</f>
        <v>13237.008988684</v>
      </c>
      <c r="AS227" s="1097">
        <f>(AN227*(1+$EX$10)+$EX$36)*(1+(INDEX(绊状态确认!$T:$T,MATCH($G227,绊状态确认!$B:$B,))+0.2)*AO227)*IF(J227=$FF$17,1+$FE$17,1)*IF(I227=$FF$14,1+$FE$14,1)</f>
        <v>9700.3050778919987</v>
      </c>
      <c r="AT227" s="1093">
        <f>IF(AND(INDEX('卡片raw data'!AK:AK,MATCH($D227,'卡片raw data'!$F:$F,))&lt;INDEX('卡片raw data'!AM:AM,MATCH($D227,'卡片raw data'!$F:$F,)),INDEX('卡片raw data'!AL:AL,MATCH($D227,'卡片raw data'!$F:$F,))&lt;INDEX('卡片raw data'!AM:AM,MATCH($D227,'卡片raw data'!$F:$F,))),1,0)</f>
        <v>0</v>
      </c>
      <c r="AU227" s="1098">
        <f>MIN(AT227*0.15+AS227*0.00003+INDEX(绊状态确认!M:M,MATCH($G227,绊状态确认!$B:$B,)),1)</f>
        <v>0.32100915233675997</v>
      </c>
      <c r="AV227" s="1109">
        <f>(INDEX(绊状态确认!$N:$N,MATCH($G227,绊状态确认!$B:$B,))+1.5)*$EW$21</f>
        <v>2.6599999999999997</v>
      </c>
      <c r="AW227" s="1101">
        <f t="shared" si="281"/>
        <v>12883.350841082312</v>
      </c>
      <c r="AX227" s="1097">
        <f t="shared" si="282"/>
        <v>1136.4997185506359</v>
      </c>
      <c r="AY227" s="1110">
        <f t="shared" si="283"/>
        <v>14019.850559632949</v>
      </c>
      <c r="AZ227" s="429">
        <f t="shared" si="284"/>
        <v>12207.527544679999</v>
      </c>
      <c r="BA227" s="431">
        <f t="shared" si="285"/>
        <v>14649.033053615998</v>
      </c>
      <c r="BB227" s="1097">
        <f>(AM227*(1+$FB$9)+$FB$35)*(1+(INDEX(绊状态确认!$T:$T,MATCH($G227,绊状态确认!$B:$B,))+0.2)*AO227)*IF(J227=$FF$17,1+$FE$17,1)*IF(I227=$FF$14,1+$FE$14,1)*(1+$FE$15)</f>
        <v>13237.008988684</v>
      </c>
      <c r="BC227" s="1097">
        <f>(AN227*(1+$FB$10)+$FB$36)*(1+(INDEX(绊状态确认!$T:$T,MATCH($G227,绊状态确认!$B:$B,))+0.2)*AO227)*IF(J227=$FF$17,1+$FE$17,1)*IF(I227=$FF$14,1+$FE$14,1)*(1+$FE$15)</f>
        <v>9700.3050778919987</v>
      </c>
      <c r="BD227" s="1104">
        <f>MIN(AT227*0.15+BC227*0.00003+INDEX(绊状态确认!M:M,MATCH($G227,绊状态确认!$B:$B,)),1)</f>
        <v>0.32100915233675997</v>
      </c>
      <c r="BE227" s="432">
        <f>(INDEX(绊状态确认!$N:$N,MATCH($G227,绊状态确认!$B:$B,))+1.5)</f>
        <v>1.9</v>
      </c>
      <c r="BF227" s="1139">
        <f t="array" ref="BF227">SUMPRODUCT(IF(AZ227*AP227*$FI$16:$FI$23*$FA$22&gt;=$FI$24,$FI$24,AZ227*AP227*$FI$16:$FI$23*$FA$22),$FJ$16:$FJ$23)</f>
        <v>24280.772286368519</v>
      </c>
      <c r="BG227" s="1125">
        <f t="array" ref="BG227">SUMPRODUCT(IF(BE227*AZ227*AP227*$FI$16:$FI$23*$FA$22&gt;=$FI$24,$FI$24,BE227*AZ227*AP227*$FI$16:$FI$23*$FA$22),$FJ$16:$FJ$23)</f>
        <v>46133.467344100172</v>
      </c>
      <c r="BH227" s="1110">
        <f t="shared" si="286"/>
        <v>10431.895801041554</v>
      </c>
      <c r="BI227" s="1111">
        <f>IF(O227="vo",$EW$26/$EW$24*0.05,0)+IF(O227="sk",-$EW$26/$EW$24*(0.05-INDEX(绊状态确认!W:W,MATCH($G227,绊状态确认!$B:$B,)))+0.05*$EW$28,0)+IF(O227="sp",0.05*$EW$32*$EW$30*(1-$EW$33)-(0.05-INDEX(绊状态确认!V:V,MATCH($G227,绊状态确认!$B:$B,)))*$EW$28,0)+IF(O227="gd",-(0.05-INDEX(绊状态确认!X:X,MATCH($G227,绊状态确认!$B:$B,)))*$EW$32*$EW$30*(1-$EW$33),0)</f>
        <v>-585.00000000000011</v>
      </c>
      <c r="BJ227" s="1097">
        <f>IF(O227="vo",0.05*(1-$FI$26)*$FA$24,0)+IF(O227="sk",-(0.05-INDEX(绊状态确认!W:W,MATCH($G227,绊状态确认!$B:$B,)))*(1-$FI$26)*$FA$24+0.05*$FA$26,0)+IF(O227="sp",0.05*$FA$32*$FA$27*(1-$FA$33)/$FA$30+0.05*$FA$29/$FA$69*$FA$27*(1-$FA$33)-(0.05-INDEX(绊状态确认!V:V,MATCH($G227,绊状态确认!$B:$B,)))*$FA$26,0)+IF(O227="gd",-(0.05-INDEX(绊状态确认!X:X,MATCH($G227,绊状态确认!$B:$B,)))*$FA$32*$FA$27*(1-$FA$33)/$FA$30-(0.05-INDEX(绊状态确认!X:X,MATCH($G227,绊状态确认!$B:$B,)))*$FA$29/$FA$69*$FA$27*(1-$FA$33),0)</f>
        <v>-795.00000000000011</v>
      </c>
      <c r="BK227" s="1110">
        <f>IF(O227="vo",$EW$26/$EW$24*0.05+$EW$26*(-HP($EW$62,$EW$65,$EW$64)+HP($EW$62,$EW$65,(1.05-INDEX(绊状态确认!U:U,MATCH($G227,绊状态确认!$B:$B,)))*$EW$64)),0)+IF(O227="sk",-$EW$26/$EW$24*(0.05-INDEX(绊状态确认!W:W,MATCH($G227,绊状态确认!$B:$B,)))+0.05*$EW$29,0)+IF(O227="sp",0.05*$EW$32*$EW$30*(1-$EW$33)-(0.05-INDEX(绊状态确认!V:V,MATCH($G227,绊状态确认!$B:$B,)))*$EW$29,0)+IF(O227="gd",-(0.05-INDEX(绊状态确认!X:X,MATCH($G227,绊状态确认!$B:$B,)))*$EW$32*$EW$30*(1-$EW$33)+$EW$26*(-HP($EW$62,$EW$65,$EW$64)+HP($EW$62,$EW$65,0.95*$EW$64)),0)</f>
        <v>1009.5947725176144</v>
      </c>
      <c r="BL227" s="1111">
        <f t="shared" si="287"/>
        <v>-1083.3333333333333</v>
      </c>
      <c r="BM227" s="1110">
        <f t="shared" si="288"/>
        <v>-830.55555555555543</v>
      </c>
      <c r="BN227" s="1113">
        <f t="shared" si="289"/>
        <v>3</v>
      </c>
      <c r="BO227" s="1097">
        <f t="shared" si="290"/>
        <v>4507.7214871259994</v>
      </c>
      <c r="BP227" s="1100">
        <f t="shared" si="291"/>
        <v>221.34103209030098</v>
      </c>
      <c r="BQ227" s="1113" t="s">
        <v>144</v>
      </c>
      <c r="BR227" s="1124" t="s">
        <v>627</v>
      </c>
      <c r="BS227" s="1098">
        <f>IF($P227="","N/A",IF($P227=-1,INDEX('卡片raw data'!AX:AX,MATCH($D227,'卡片raw data'!$F:$F,)),0)+IF($L227="party卡",IF($P227=5,INDEX('卡片raw data'!BD:BD,MATCH($D227,'卡片raw data'!$F:$F,)),IF($P227&gt;=3,INDEX('卡片raw data'!BC:BC,MATCH($D227,'卡片raw data'!$F:$F,)),INDEX('卡片raw data'!BB:BB,MATCH($D227,'卡片raw data'!$F:$F,)))),IF(OR(AND($F227="UR",$P227=0),AND($F227="SR",$P227&gt;=0,$P227&lt;=2),AND($F227="R",$P227&gt;=0,$P227&lt;4)),INDEX('卡片raw data'!AZ:AZ,MATCH($D227,'卡片raw data'!$F:$F,)),0)+IF(OR(AND($F227="UR",$P227&gt;=1,$P227&lt;=4),AND($F227="SR",$P227&lt;=4,$P227&gt;=3),AND($F227="R",$P227=4)),INDEX('卡片raw data'!BA:BA,MATCH($D227,'卡片raw data'!$F:$F,)),0)+IF($P227=5,INDEX('卡片raw data'!BB:BB,MATCH($D227,'卡片raw data'!$F:$F,)),0)))</f>
        <v>3.2000000000000001E-2</v>
      </c>
      <c r="BT227" s="1101">
        <f t="shared" si="292"/>
        <v>0</v>
      </c>
      <c r="BU227" s="1097">
        <f t="shared" si="293"/>
        <v>0</v>
      </c>
      <c r="BV227" s="1097">
        <f t="shared" si="294"/>
        <v>0</v>
      </c>
      <c r="BW227" s="1112">
        <f t="shared" si="295"/>
        <v>0.56185714285714283</v>
      </c>
      <c r="BX227" s="1100">
        <f t="shared" si="296"/>
        <v>43.795913660992277</v>
      </c>
      <c r="BY227" s="1110">
        <f t="shared" si="297"/>
        <v>43.795913660992277</v>
      </c>
      <c r="BZ227" s="1107" t="s">
        <v>569</v>
      </c>
      <c r="CA227" s="1124"/>
      <c r="CB227" s="1098">
        <f>IF($P227="","N/A",IF($P227=-1,INDEX('卡片raw data'!BE:BE,MATCH($D227,'卡片raw data'!$F:$F,)),0)+IF($L227="party卡",IF($P227=5,INDEX('卡片raw data'!BK:BK,MATCH($D227,'卡片raw data'!$F:$F,)),IF($P227&gt;=3,INDEX('卡片raw data'!BJ:BJ,MATCH($D227,'卡片raw data'!$F:$F,)),INDEX('卡片raw data'!BI:BI,MATCH($D227,'卡片raw data'!$F:$F,)))),IF(OR(AND($F227="UR",$P227=0),AND($F227="SR",$P227&gt;=0,$P227&lt;=2),AND($F227="R",$P227&gt;=0,$P227&lt;4)),INDEX('卡片raw data'!BG:BG,MATCH($D227,'卡片raw data'!$F:$F,)),0)+IF(OR(AND($F227="UR",$P227&gt;=1,$P227&lt;=4),AND($F227="SR",$P227&lt;=4,$P227&gt;=3),AND($F227="R",$P227=4)),INDEX('卡片raw data'!BH:BH,MATCH($D227,'卡片raw data'!$F:$F,)),0)+IF($P227=5,INDEX('卡片raw data'!BI:BI,MATCH($D227,'卡片raw data'!$F:$F,)),0)))</f>
        <v>0</v>
      </c>
      <c r="CC227" s="1101">
        <f t="shared" si="298"/>
        <v>0</v>
      </c>
      <c r="CD227" s="1097">
        <f>IF(BZ227="ap",CB227*(1-$FI$26)*$FB$5/$FB$11*(+IF(CA227="全员",$FA$24,0)+IF(CA227="同作战",$FA$24,0)+IF(CA227="仲间",$FA$24*2/3,0)+IF(CA227="同属性",$FA$24*$FA$37/3,0)+IF(CA227="同年级",$FA$24*$FA$40/3,0)+IF(CA227="同学校",$FA$24*$FA$43/3,0)+IF(CA227="同小队",$FA$24*$FA$46/3,0)+IF(CA227="同type",$FA$24*INDEX($FB$49:$FB$52,MATCH(X227,$FA$49:$FA$52,))/3,0)+IF(CA227="自身",#REF!/3,0)),0)+IF(BZ227="te",CB227*(1-$FI$27)*($FA$20-1)*$FB$7/$FB$13*(+IF(CA227="全员",$FA$19*$FA$24/(1+($FA$20-1)*$FA$19),0)+IF(CA227="同作战",$FA$19*$FA$24/(1+($FA$20-1)*$FA$19),0)+IF(CA227="仲间",$FA$19*$FA$24*2/3/(1+($FA$20-1)*$FA$19),0)+IF(CA227="同属性",$FA$19*$FA$24*$FA$37/3/(1+($FA$20-1)*$FA$19),0)+IF(CA227="同年级",$FA$19*$FA$24*$FA$40/3/(1+($FA$20-1)*$FA$19),0)+IF(CA227="同学校",$FA$19*$FA$24*$FA$43/3/(1+($FA$20-1)*$FA$19),0)+IF(CA227="同小队",$FA$19*$FA$24*$FA$46/3/(1+($FA$20-1)*$FA$19),0)+IF(CA227="同type",$FA$19*$FA$24*INDEX($FB$49:$FB$52,MATCH(X227,$FA$49:$FA$52,))/3/(1+($FA$20-1)*$FA$19),0)+IF(CA227="自身",$FA$19*#REF!/3/(1+(BH227-1)*$BD227),0)),0)</f>
        <v>0</v>
      </c>
      <c r="CE227" s="1097">
        <f t="shared" si="299"/>
        <v>0</v>
      </c>
      <c r="CF227" s="1112">
        <f t="shared" si="300"/>
        <v>0</v>
      </c>
      <c r="CG227" s="1100">
        <f t="shared" si="301"/>
        <v>0</v>
      </c>
      <c r="CH227" s="1110">
        <f t="shared" si="302"/>
        <v>0</v>
      </c>
      <c r="CI227" s="1113" t="s">
        <v>165</v>
      </c>
      <c r="CJ227" s="1114">
        <v>0.3</v>
      </c>
      <c r="CK227" s="1115" t="s">
        <v>312</v>
      </c>
      <c r="CL227" s="1115" t="s">
        <v>1946</v>
      </c>
      <c r="CM227" s="1119">
        <v>0.1</v>
      </c>
      <c r="CN227" s="1115"/>
      <c r="CO227" s="1092"/>
      <c r="CP227" s="1117">
        <f t="shared" si="303"/>
        <v>0</v>
      </c>
      <c r="CQ227" s="1117">
        <f t="shared" si="304"/>
        <v>0</v>
      </c>
      <c r="CR227" s="1117">
        <f t="shared" si="305"/>
        <v>0</v>
      </c>
      <c r="CS227" s="1118">
        <f t="shared" si="306"/>
        <v>0</v>
      </c>
      <c r="CT227" s="1109">
        <f t="shared" si="307"/>
        <v>0</v>
      </c>
      <c r="CU227" s="1101">
        <f t="shared" si="308"/>
        <v>0</v>
      </c>
      <c r="CV227" s="1108">
        <f t="shared" si="309"/>
        <v>0</v>
      </c>
      <c r="CW227" s="1097">
        <f t="shared" si="310"/>
        <v>0</v>
      </c>
      <c r="CX227" s="1097">
        <f t="shared" si="311"/>
        <v>0</v>
      </c>
      <c r="CY227" s="1110">
        <f t="shared" si="312"/>
        <v>0</v>
      </c>
      <c r="CZ227" s="437"/>
      <c r="DA227" s="438"/>
      <c r="DB227" s="439" t="s">
        <v>569</v>
      </c>
      <c r="DC227" s="439"/>
      <c r="DD227" s="443"/>
      <c r="DE227" s="411"/>
      <c r="DF227" s="411"/>
      <c r="DG227" s="1116">
        <f t="shared" si="313"/>
        <v>0</v>
      </c>
      <c r="DH227" s="1116">
        <f t="shared" si="314"/>
        <v>0</v>
      </c>
      <c r="DI227" s="1116">
        <f t="shared" si="315"/>
        <v>0</v>
      </c>
      <c r="DJ227" s="442">
        <f t="shared" si="316"/>
        <v>0</v>
      </c>
      <c r="DK227" s="1109">
        <f t="shared" si="317"/>
        <v>0</v>
      </c>
      <c r="DL227" s="1101">
        <f t="shared" si="318"/>
        <v>0</v>
      </c>
      <c r="DM227" s="1097">
        <f t="shared" si="319"/>
        <v>0</v>
      </c>
      <c r="DN227" s="1097">
        <f t="shared" si="320"/>
        <v>0</v>
      </c>
      <c r="DO227" s="1097">
        <f t="shared" si="321"/>
        <v>0</v>
      </c>
      <c r="DP227" s="1110">
        <f t="shared" si="322"/>
        <v>0</v>
      </c>
      <c r="DQ227" s="1113" t="s">
        <v>635</v>
      </c>
      <c r="DR227" s="1120">
        <f t="shared" si="323"/>
        <v>0.3</v>
      </c>
      <c r="DS227" s="1124"/>
      <c r="DT227" s="1093" t="s">
        <v>564</v>
      </c>
      <c r="DU227" s="1093"/>
      <c r="DV227" s="1098">
        <f>IF($P227="","N/A",IF(P227=-1,INDEX('卡片raw data'!AN:AN,MATCH(D227,'卡片raw data'!$F:$F,)),0)+IF(AND(L227&lt;&gt;"party卡",P227&lt;=2,P227&gt;=0),INDEX('卡片raw data'!AP:AP,MATCH(D227,'卡片raw data'!$F:$F,)),0)+IF(OR(AND(L227="party卡",P227&lt;=1),AND(P227&lt;=4,L227&lt;&gt;"party卡",P227&gt;=3)),INDEX('卡片raw data'!AQ:AQ,MATCH(D227,'卡片raw data'!$F:$F,)),0)+IF(OR(P227=5,AND(L227="party卡",P227&gt;=2)),INDEX('卡片raw data'!AR:AR,MATCH(D227,'卡片raw data'!$F:$F,)),0))</f>
        <v>0.28999999999999998</v>
      </c>
      <c r="DW227" s="1098">
        <f t="shared" si="324"/>
        <v>0.3</v>
      </c>
      <c r="DX227" s="1098">
        <f t="shared" si="325"/>
        <v>0.3</v>
      </c>
      <c r="DY227" s="1125">
        <f t="shared" si="326"/>
        <v>383.87326067183591</v>
      </c>
      <c r="DZ227" s="1125">
        <f t="shared" si="327"/>
        <v>332.05037048113803</v>
      </c>
      <c r="EA227" s="1098">
        <f t="shared" si="328"/>
        <v>0</v>
      </c>
      <c r="EB227" s="1121">
        <f t="shared" si="329"/>
        <v>0</v>
      </c>
      <c r="EC227" s="1101">
        <f t="shared" si="330"/>
        <v>0</v>
      </c>
      <c r="ED227" s="1097">
        <f t="shared" si="331"/>
        <v>0</v>
      </c>
      <c r="EE227" s="1110">
        <f t="shared" si="332"/>
        <v>48435.03108962375</v>
      </c>
      <c r="EF227" s="1092" t="s">
        <v>711</v>
      </c>
      <c r="EG227" s="1120">
        <f t="shared" si="333"/>
        <v>0.3</v>
      </c>
      <c r="EH227" s="1124"/>
      <c r="EI227" s="1093"/>
      <c r="EJ227" s="1093"/>
      <c r="EK227" s="1097">
        <f>IF($P227="","N/A",IF(P227=-1,INDEX('卡片raw data'!AS:AS,MATCH(D227,'卡片raw data'!$F:$F,)),0)+IF(AND(L227&lt;&gt;"party卡",P227&lt;=2,P227&gt;=0),INDEX('卡片raw data'!AU:AU,MATCH(D227,'卡片raw data'!$F:$F,)),0)+IF(OR(AND(L227="party卡",P227&lt;=1),AND(P227&lt;=4,L227&lt;&gt;"party卡",P227&gt;=3)),INDEX('卡片raw data'!AV:AV,MATCH(D227,'卡片raw data'!$F:$F,)),0)+IF(OR(P227=5,AND(L227="party卡",P227&gt;=2)),INDEX('卡片raw data'!AW:AW,MATCH(D227,'卡片raw data'!$F:$F,)),0))</f>
        <v>0</v>
      </c>
      <c r="EL227" s="1098">
        <f t="shared" si="334"/>
        <v>0.3</v>
      </c>
      <c r="EM227" s="1098">
        <f t="shared" si="335"/>
        <v>0.3</v>
      </c>
      <c r="EN227" s="1125">
        <f t="shared" si="336"/>
        <v>0</v>
      </c>
      <c r="EO227" s="1125">
        <f t="shared" si="337"/>
        <v>0</v>
      </c>
      <c r="EP227" s="1098">
        <f t="shared" si="338"/>
        <v>0</v>
      </c>
      <c r="EQ227" s="1121">
        <f t="shared" si="339"/>
        <v>0</v>
      </c>
      <c r="ER227" s="1101">
        <f t="shared" si="340"/>
        <v>0</v>
      </c>
      <c r="ES227" s="1097">
        <f t="shared" si="341"/>
        <v>0</v>
      </c>
      <c r="ET227" s="1122">
        <f t="shared" si="342"/>
        <v>0</v>
      </c>
    </row>
    <row r="228" spans="2:150" ht="16.5" customHeight="1">
      <c r="B228" s="1123" t="str">
        <f>INDEX('卡片raw data'!B:B,MATCH($D228,'卡片raw data'!$F:$F,))</f>
        <v>bm鞠</v>
      </c>
      <c r="C228" s="449" t="s">
        <v>66</v>
      </c>
      <c r="D228" s="408">
        <v>225</v>
      </c>
      <c r="E228" s="1090">
        <v>401082002</v>
      </c>
      <c r="F228" s="1090" t="str">
        <f>INDEX('卡片raw data'!C:C,MATCH($D228,'卡片raw data'!$F:$F,))</f>
        <v>SR</v>
      </c>
      <c r="G228" s="1094" t="s">
        <v>345</v>
      </c>
      <c r="H228" s="411">
        <f>IFERROR(INDEX(绊状态确认!C:C,MATCH($G228,绊状态确认!$B:$B,)),"")</f>
        <v>108</v>
      </c>
      <c r="I228" s="450" t="str">
        <f>IFERROR(INDEX(绊状态确认!D:D,MATCH($G228,绊状态确认!$B:$B,)),"")</f>
        <v>水</v>
      </c>
      <c r="J228" s="450" t="str">
        <f>IFERROR(INDEX(绊状态确认!E:E,MATCH($G228,绊状态确认!$B:$B,)),"")</f>
        <v>3年级</v>
      </c>
      <c r="K228" s="451" t="str">
        <f>IFERROR(INDEX(绊状态确认!F:F,MATCH($G228,绊状态确认!$B:$B,)),"")</f>
        <v>Guilty Kiss</v>
      </c>
      <c r="L228" s="1094" t="str">
        <f>INDEX('卡片raw data'!E:E,MATCH($D228,'卡片raw data'!$F:$F,))</f>
        <v>活动卡</v>
      </c>
      <c r="M228" s="415">
        <v>43942</v>
      </c>
      <c r="N228" s="416">
        <v>14</v>
      </c>
      <c r="O228" s="1091" t="str">
        <f>INDEX('卡片raw data'!D:D,MATCH($D228,'卡片raw data'!$F:$F,))</f>
        <v>vo</v>
      </c>
      <c r="P228" s="417">
        <v>5</v>
      </c>
      <c r="Q228" s="1095">
        <f t="shared" si="258"/>
        <v>36740.978415505866</v>
      </c>
      <c r="R228" s="1096">
        <f t="shared" si="259"/>
        <v>0.42699999999999999</v>
      </c>
      <c r="S228" s="1097">
        <f t="shared" si="260"/>
        <v>14967.917788667102</v>
      </c>
      <c r="T228" s="1098">
        <f t="shared" si="261"/>
        <v>0.748</v>
      </c>
      <c r="U228" s="1099">
        <f t="shared" si="262"/>
        <v>-17.299647365517146</v>
      </c>
      <c r="V228" s="1100">
        <f t="shared" si="263"/>
        <v>36045.244325815096</v>
      </c>
      <c r="W228" s="1101">
        <f t="shared" si="264"/>
        <v>6742.8960522528041</v>
      </c>
      <c r="X228" s="1096">
        <f t="shared" si="265"/>
        <v>7.8E-2</v>
      </c>
      <c r="Y228" s="1097">
        <f t="shared" si="266"/>
        <v>608.93436055092843</v>
      </c>
      <c r="Z228" s="1102">
        <f t="shared" si="267"/>
        <v>7.7003526344828561</v>
      </c>
      <c r="AA228" s="1103">
        <f t="shared" si="268"/>
        <v>7351.8304128037325</v>
      </c>
      <c r="AB228" s="1101">
        <f t="shared" si="269"/>
        <v>7497.5195407123883</v>
      </c>
      <c r="AC228" s="1104">
        <f t="shared" si="270"/>
        <v>8.6999999999999994E-2</v>
      </c>
      <c r="AD228" s="1105">
        <f t="shared" si="271"/>
        <v>-3.8207812500000026E-3</v>
      </c>
      <c r="AE228" s="1128">
        <f t="shared" si="272"/>
        <v>-12.27536231884058</v>
      </c>
      <c r="AF228" s="1130">
        <f t="shared" si="273"/>
        <v>0</v>
      </c>
      <c r="AG228" s="420">
        <f t="shared" si="274"/>
        <v>0</v>
      </c>
      <c r="AH228" s="420">
        <f t="shared" si="275"/>
        <v>0</v>
      </c>
      <c r="AI228" s="1097">
        <f t="shared" si="276"/>
        <v>0</v>
      </c>
      <c r="AJ228" s="420">
        <f t="shared" si="277"/>
        <v>0</v>
      </c>
      <c r="AK228" s="518">
        <f t="shared" si="278"/>
        <v>0</v>
      </c>
      <c r="AL228" s="1106">
        <f>IF($P228="","N/A",(IF($P228=-1,INDEX('卡片raw data'!S:S,MATCH($D228,'卡片raw data'!$F:$F,)),0)+IF($P228=0,INDEX('卡片raw data'!V:V,MATCH($D228,'卡片raw data'!$F:$F,)),0)+IF($P228=1,INDEX('卡片raw data'!Y:Y,MATCH($D228,'卡片raw data'!$F:$F,)),0)+IF($P228=2,INDEX('卡片raw data'!AB:AB,MATCH($D228,'卡片raw data'!$F:$F,)),0)+IF($P228=3,INDEX('卡片raw data'!AE:AE,MATCH($D228,'卡片raw data'!$F:$F,)),0)+IF($P228=4,INDEX('卡片raw data'!AH:AH,MATCH($D228,'卡片raw data'!$F:$F,)),0)+IF($P228=5,INDEX('卡片raw data'!AK:AK,MATCH($D228,'卡片raw data'!$F:$F,)),0)+INDEX('卡片raw data'!S:S,MATCH($D228,'卡片raw data'!$F:$F,))*(IF($F228="UR",0.04,0.033))*(IF($F228="UR",INDEX(绊状态确认!$S:$S,MATCH($G228,绊状态确认!$B:$B,))/2-40)+IF($F228="SR",INDEX(绊状态确认!$R:$R,MATCH($G228,绊状态确认!$B:$B,))/4-15))+IF($F228="R",INDEX(绊状态确认!$Q:$Q,MATCH($G228,绊状态确认!$B:$B,))/6-40/6)))*(INDEX(绊状态确认!$H:$H,MATCH($G228,绊状态确认!$B:$B,))+INDEX(绊状态确认!J:J,MATCH($G228,绊状态确认!$B:$B,)))</f>
        <v>7881.0090023999992</v>
      </c>
      <c r="AM228" s="1106">
        <f>IF($P228="","N/A",(IF($P228=-1,INDEX('卡片raw data'!T:T,MATCH($D228,'卡片raw data'!$F:$F,)),0)+IF($P228=0,INDEX('卡片raw data'!W:W,MATCH($D228,'卡片raw data'!$F:$F,)),0)+IF($P228=1,INDEX('卡片raw data'!Z:Z,MATCH($D228,'卡片raw data'!$F:$F,)),0)+IF($P228=2,INDEX('卡片raw data'!AC:AC,MATCH($D228,'卡片raw data'!$F:$F,)),0)+IF($P228=3,INDEX('卡片raw data'!AF:AF,MATCH($D228,'卡片raw data'!$F:$F,)),0)+IF($P228=4,INDEX('卡片raw data'!AI:AI,MATCH($D228,'卡片raw data'!$F:$F,)),0)+IF($P228=5,INDEX('卡片raw data'!AL:AL,MATCH($D228,'卡片raw data'!$F:$F,)),0)+INDEX('卡片raw data'!T:T,MATCH($D228,'卡片raw data'!$F:$F,))*(IF($F228="UR",0.04,0.033))*(IF($F228="UR",INDEX(绊状态确认!$S:$S,MATCH($G228,绊状态确认!$B:$B,))/2-40)+IF($F228="SR",INDEX(绊状态确认!$R:$R,MATCH($G228,绊状态确认!$B:$B,))/4-15))+IF($F228="R",INDEX(绊状态确认!$Q:$Q,MATCH($G228,绊状态确认!$B:$B,))/6-40/6)))*(INDEX(绊状态确认!$H:$H,MATCH($G228,绊状态确认!$B:$B,))+INDEX(绊状态确认!K:K,MATCH($G228,绊状态确认!$B:$B,)))</f>
        <v>3284.2460015999995</v>
      </c>
      <c r="AN228" s="1106">
        <f>IF($P228="","N/A",(IF($P228=-1,INDEX('卡片raw data'!U:U,MATCH($D228,'卡片raw data'!$F:$F,)),0)+IF($P228=0,INDEX('卡片raw data'!X:X,MATCH($D228,'卡片raw data'!$F:$F,)),0)+IF($P228=1,INDEX('卡片raw data'!AA:AA,MATCH($D228,'卡片raw data'!$F:$F,)),0)+IF($P228=2,INDEX('卡片raw data'!AD:AD,MATCH($D228,'卡片raw data'!$F:$F,)),0)+IF($P228=3,INDEX('卡片raw data'!AG:AG,MATCH($D228,'卡片raw data'!$F:$F,)),0)+IF($P228=4,INDEX('卡片raw data'!AJ:AJ,MATCH($D228,'卡片raw data'!$F:$F,)),0)+IF($P228=5,INDEX('卡片raw data'!AM:AM,MATCH($D228,'卡片raw data'!$F:$F,)),0)+INDEX('卡片raw data'!U:U,MATCH($D228,'卡片raw data'!$F:$F,))*(IF($F228="UR",0.04,0.033))*(IF($F228="UR",INDEX(绊状态确认!$S:$S,MATCH($G228,绊状态确认!$B:$B,))/2-40)+IF($F228="SR",INDEX(绊状态确认!$R:$R,MATCH($G228,绊状态确认!$B:$B,))/4-15))+IF($F228="R",INDEX(绊状态确认!$Q:$Q,MATCH($G228,绊状态确认!$B:$B,))/6-40/6)))*(INDEX(绊状态确认!$H:$H,MATCH($G228,绊状态确认!$B:$B,))+INDEX(绊状态确认!L:L,MATCH($G228,绊状态确认!$B:$B,)))</f>
        <v>5253.6272015999994</v>
      </c>
      <c r="AO228" s="1107">
        <f t="shared" si="279"/>
        <v>1</v>
      </c>
      <c r="AP228" s="1131">
        <f>1+(INDEX(绊状态确认!$T:$T,MATCH($G228,绊状态确认!$B:$B,))+0.2)*$AO228</f>
        <v>1.3</v>
      </c>
      <c r="AQ228" s="1108">
        <f t="shared" si="280"/>
        <v>23937.648631299999</v>
      </c>
      <c r="AR228" s="1097">
        <f>(AM228*(1+$EX$9)+$EX$35)*(1+(INDEX(绊状态确认!$T:$T,MATCH($G228,绊状态确认!$B:$B,))+0.2)*AO228)*IF(J228=$FF$17,1+$FE$17,1)*IF(I228=$FF$14,1+$FE$14,1)</f>
        <v>7186.9957921839996</v>
      </c>
      <c r="AS228" s="1097">
        <f>(AN228*(1+$EX$10)+$EX$36)*(1+(INDEX(绊状态确认!$T:$T,MATCH($G228,绊状态确认!$B:$B,))+0.2)*AO228)*IF(J228=$FF$17,1+$FE$17,1)*IF(I228=$FF$14,1+$FE$14,1)</f>
        <v>11910.172666392</v>
      </c>
      <c r="AT228" s="1093">
        <f>IF(AND(INDEX('卡片raw data'!AK:AK,MATCH($D228,'卡片raw data'!$F:$F,))&lt;INDEX('卡片raw data'!AM:AM,MATCH($D228,'卡片raw data'!$F:$F,)),INDEX('卡片raw data'!AL:AL,MATCH($D228,'卡片raw data'!$F:$F,))&lt;INDEX('卡片raw data'!AM:AM,MATCH($D228,'卡片raw data'!$F:$F,))),1,0)</f>
        <v>0</v>
      </c>
      <c r="AU228" s="1098">
        <f>MIN(AT228*0.15+AS228*0.00003+INDEX(绊状态确认!M:M,MATCH($G228,绊状态确认!$B:$B,)),1)</f>
        <v>0.38730517999176001</v>
      </c>
      <c r="AV228" s="1109">
        <f>(INDEX(绊状态确认!$N:$N,MATCH($G228,绊状态确认!$B:$B,))+1.5)*$EW$21</f>
        <v>2.6599999999999997</v>
      </c>
      <c r="AW228" s="1101">
        <f t="shared" si="281"/>
        <v>20424.762375929622</v>
      </c>
      <c r="AX228" s="1097">
        <f t="shared" si="282"/>
        <v>608.93436055092809</v>
      </c>
      <c r="AY228" s="1110">
        <f t="shared" si="283"/>
        <v>21033.69673648055</v>
      </c>
      <c r="AZ228" s="429">
        <f t="shared" si="284"/>
        <v>17967.967554679999</v>
      </c>
      <c r="BA228" s="431">
        <f t="shared" si="285"/>
        <v>21561.561065615999</v>
      </c>
      <c r="BB228" s="1097">
        <f>(AM228*(1+$FB$9)+$FB$35)*(1+(INDEX(绊状态确认!$T:$T,MATCH($G228,绊状态确认!$B:$B,))+0.2)*AO228)*IF(J228=$FF$17,1+$FE$17,1)*IF(I228=$FF$14,1+$FE$14,1)*(1+$FE$15)</f>
        <v>7186.9957921839996</v>
      </c>
      <c r="BC228" s="1097">
        <f>(AN228*(1+$FB$10)+$FB$36)*(1+(INDEX(绊状态确认!$T:$T,MATCH($G228,绊状态确认!$B:$B,))+0.2)*AO228)*IF(J228=$FF$17,1+$FE$17,1)*IF(I228=$FF$14,1+$FE$14,1)*(1+$FE$15)</f>
        <v>11910.172666392</v>
      </c>
      <c r="BD228" s="1104">
        <f>MIN(AT228*0.15+BC228*0.00003+INDEX(绊状态确认!M:M,MATCH($G228,绊状态确认!$B:$B,)),1)</f>
        <v>0.38730517999176001</v>
      </c>
      <c r="BE228" s="432">
        <f>(INDEX(绊状态确认!$N:$N,MATCH($G228,绊状态确认!$B:$B,))+1.5)</f>
        <v>1.9</v>
      </c>
      <c r="BF228" s="1139">
        <f t="array" ref="BF228">SUMPRODUCT(IF(AZ228*AP228*$FI$16:$FI$23*$FA$22&gt;=$FI$24,$FI$24,AZ228*AP228*$FI$16:$FI$23*$FA$22),$FJ$16:$FJ$23)</f>
        <v>35738.287466258516</v>
      </c>
      <c r="BG228" s="1125">
        <f t="array" ref="BG228">SUMPRODUCT(IF(BE228*AZ228*AP228*$FI$16:$FI$23*$FA$22&gt;=$FI$24,$FI$24,BE228*AZ228*AP228*$FI$16:$FI$23*$FA$22),$FJ$16:$FJ$23)</f>
        <v>59095.219965014898</v>
      </c>
      <c r="BH228" s="1110">
        <f t="shared" si="286"/>
        <v>14928.182803914917</v>
      </c>
      <c r="BI228" s="1111">
        <f>IF(O228="vo",$EW$26/$EW$24*0.05,0)+IF(O228="sk",-$EW$26/$EW$24*(0.05-INDEX(绊状态确认!W:W,MATCH($G228,绊状态确认!$B:$B,)))+0.05*$EW$28,0)+IF(O228="sp",0.05*$EW$32*$EW$30*(1-$EW$33)-(0.05-INDEX(绊状态确认!V:V,MATCH($G228,绊状态确认!$B:$B,)))*$EW$28,0)+IF(O228="gd",-(0.05-INDEX(绊状态确认!X:X,MATCH($G228,绊状态确认!$B:$B,)))*$EW$32*$EW$30*(1-$EW$33),0)</f>
        <v>7726.3029277443748</v>
      </c>
      <c r="BJ228" s="1097">
        <f>IF(O228="vo",0.05*(1-$FI$26)*$FA$24,0)+IF(O228="sk",-(0.05-INDEX(绊状态确认!W:W,MATCH($G228,绊状态确认!$B:$B,)))*(1-$FI$26)*$FA$24+0.05*$FA$26,0)+IF(O228="sp",0.05*$FA$32*$FA$27*(1-$FA$33)/$FA$30+0.05*$FA$29/$FA$69*$FA$27*(1-$FA$33)-(0.05-INDEX(绊状态确认!V:V,MATCH($G228,绊状态确认!$B:$B,)))*$FA$26,0)+IF(O228="gd",-(0.05-INDEX(绊状态确认!X:X,MATCH($G228,绊状态确认!$B:$B,)))*$FA$32*$FA$27*(1-$FA$33)/$FA$30-(0.05-INDEX(绊状态确认!X:X,MATCH($G228,绊状态确认!$B:$B,)))*$FA$29/$FA$69*$FA$27*(1-$FA$33),0)</f>
        <v>393.93433687500004</v>
      </c>
      <c r="BK228" s="1110">
        <f>IF(O228="vo",$EW$26/$EW$24*0.05+$EW$26*(-HP($EW$62,$EW$65,$EW$64)+HP($EW$62,$EW$65,(1.05-INDEX(绊状态确认!U:U,MATCH($G228,绊状态确认!$B:$B,)))*$EW$64)),0)+IF(O228="sk",-$EW$26/$EW$24*(0.05-INDEX(绊状态确认!W:W,MATCH($G228,绊状态确认!$B:$B,)))+0.05*$EW$29,0)+IF(O228="sp",0.05*$EW$32*$EW$30*(1-$EW$33)-(0.05-INDEX(绊状态确认!V:V,MATCH($G228,绊状态确认!$B:$B,)))*$EW$29,0)+IF(O228="gd",-(0.05-INDEX(绊状态确认!X:X,MATCH($G228,绊状态确认!$B:$B,)))*$EW$32*$EW$30*(1-$EW$33)+$EW$26*(-HP($EW$62,$EW$65,$EW$64)+HP($EW$62,$EW$65,0.95*$EW$64)),0)</f>
        <v>6421.6344775026746</v>
      </c>
      <c r="BL228" s="1111">
        <f t="shared" si="287"/>
        <v>-1083.3333333333333</v>
      </c>
      <c r="BM228" s="1110">
        <f t="shared" si="288"/>
        <v>-830.55555555555543</v>
      </c>
      <c r="BN228" s="1113">
        <f t="shared" si="289"/>
        <v>3</v>
      </c>
      <c r="BO228" s="1097">
        <f t="shared" si="290"/>
        <v>4507.7214871259994</v>
      </c>
      <c r="BP228" s="1100">
        <f t="shared" si="291"/>
        <v>221.34103209030098</v>
      </c>
      <c r="BQ228" s="1113" t="s">
        <v>145</v>
      </c>
      <c r="BR228" s="1124" t="s">
        <v>148</v>
      </c>
      <c r="BS228" s="1098">
        <f>IF($P228="","N/A",IF($P228=-1,INDEX('卡片raw data'!AX:AX,MATCH($D228,'卡片raw data'!$F:$F,)),0)+IF($L228="party卡",IF($P228=5,INDEX('卡片raw data'!BD:BD,MATCH($D228,'卡片raw data'!$F:$F,)),IF($P228&gt;=3,INDEX('卡片raw data'!BC:BC,MATCH($D228,'卡片raw data'!$F:$F,)),INDEX('卡片raw data'!BB:BB,MATCH($D228,'卡片raw data'!$F:$F,)))),IF(OR(AND($F228="UR",$P228=0),AND($F228="SR",$P228&gt;=0,$P228&lt;=2),AND($F228="R",$P228&gt;=0,$P228&lt;4)),INDEX('卡片raw data'!AZ:AZ,MATCH($D228,'卡片raw data'!$F:$F,)),0)+IF(OR(AND($F228="UR",$P228&gt;=1,$P228&lt;=4),AND($F228="SR",$P228&lt;=4,$P228&gt;=3),AND($F228="R",$P228=4)),INDEX('卡片raw data'!BA:BA,MATCH($D228,'卡片raw data'!$F:$F,)),0)+IF($P228=5,INDEX('卡片raw data'!BB:BB,MATCH($D228,'卡片raw data'!$F:$F,)),0)))</f>
        <v>3.2000000000000001E-2</v>
      </c>
      <c r="BT228" s="1101">
        <f t="shared" si="292"/>
        <v>1509.2469769191675</v>
      </c>
      <c r="BU228" s="1097">
        <f t="shared" si="293"/>
        <v>95.522578685765595</v>
      </c>
      <c r="BV228" s="1097">
        <f t="shared" si="294"/>
        <v>754.62348845958354</v>
      </c>
      <c r="BW228" s="1112">
        <f t="shared" si="295"/>
        <v>0</v>
      </c>
      <c r="BX228" s="1100">
        <f t="shared" si="296"/>
        <v>1509.2469769191675</v>
      </c>
      <c r="BY228" s="1110">
        <f t="shared" si="297"/>
        <v>754.62348845958354</v>
      </c>
      <c r="BZ228" s="1107" t="s">
        <v>569</v>
      </c>
      <c r="CA228" s="1124"/>
      <c r="CB228" s="1098">
        <f>IF($P228="","N/A",IF($P228=-1,INDEX('卡片raw data'!BE:BE,MATCH($D228,'卡片raw data'!$F:$F,)),0)+IF($L228="party卡",IF($P228=5,INDEX('卡片raw data'!BK:BK,MATCH($D228,'卡片raw data'!$F:$F,)),IF($P228&gt;=3,INDEX('卡片raw data'!BJ:BJ,MATCH($D228,'卡片raw data'!$F:$F,)),INDEX('卡片raw data'!BI:BI,MATCH($D228,'卡片raw data'!$F:$F,)))),IF(OR(AND($F228="UR",$P228=0),AND($F228="SR",$P228&gt;=0,$P228&lt;=2),AND($F228="R",$P228&gt;=0,$P228&lt;4)),INDEX('卡片raw data'!BG:BG,MATCH($D228,'卡片raw data'!$F:$F,)),0)+IF(OR(AND($F228="UR",$P228&gt;=1,$P228&lt;=4),AND($F228="SR",$P228&lt;=4,$P228&gt;=3),AND($F228="R",$P228=4)),INDEX('卡片raw data'!BH:BH,MATCH($D228,'卡片raw data'!$F:$F,)),0)+IF($P228=5,INDEX('卡片raw data'!BI:BI,MATCH($D228,'卡片raw data'!$F:$F,)),0)))</f>
        <v>0</v>
      </c>
      <c r="CC228" s="1101">
        <f t="shared" si="298"/>
        <v>0</v>
      </c>
      <c r="CD228" s="1097">
        <f>IF(BZ228="ap",CB228*(1-$FI$26)*$FB$5/$FB$11*(+IF(CA228="全员",$FA$24,0)+IF(CA228="同作战",$FA$24,0)+IF(CA228="仲间",$FA$24*2/3,0)+IF(CA228="同属性",$FA$24*$FA$37/3,0)+IF(CA228="同年级",$FA$24*$FA$40/3,0)+IF(CA228="同学校",$FA$24*$FA$43/3,0)+IF(CA228="同小队",$FA$24*$FA$46/3,0)+IF(CA228="同type",$FA$24*INDEX($FB$49:$FB$52,MATCH(X228,$FA$49:$FA$52,))/3,0)+IF(CA228="自身",#REF!/3,0)),0)+IF(BZ228="te",CB228*(1-$FI$27)*($FA$20-1)*$FB$7/$FB$13*(+IF(CA228="全员",$FA$19*$FA$24/(1+($FA$20-1)*$FA$19),0)+IF(CA228="同作战",$FA$19*$FA$24/(1+($FA$20-1)*$FA$19),0)+IF(CA228="仲间",$FA$19*$FA$24*2/3/(1+($FA$20-1)*$FA$19),0)+IF(CA228="同属性",$FA$19*$FA$24*$FA$37/3/(1+($FA$20-1)*$FA$19),0)+IF(CA228="同年级",$FA$19*$FA$24*$FA$40/3/(1+($FA$20-1)*$FA$19),0)+IF(CA228="同学校",$FA$19*$FA$24*$FA$43/3/(1+($FA$20-1)*$FA$19),0)+IF(CA228="同小队",$FA$19*$FA$24*$FA$46/3/(1+($FA$20-1)*$FA$19),0)+IF(CA228="同type",$FA$19*$FA$24*INDEX($FB$49:$FB$52,MATCH(X228,$FA$49:$FA$52,))/3/(1+($FA$20-1)*$FA$19),0)+IF(CA228="自身",$FA$19*#REF!/3/(1+(BH228-1)*$BD228),0)),0)</f>
        <v>0</v>
      </c>
      <c r="CE228" s="1097">
        <f t="shared" si="299"/>
        <v>0</v>
      </c>
      <c r="CF228" s="1112">
        <f t="shared" si="300"/>
        <v>0</v>
      </c>
      <c r="CG228" s="1100">
        <f t="shared" si="301"/>
        <v>0</v>
      </c>
      <c r="CH228" s="1110">
        <f t="shared" si="302"/>
        <v>0</v>
      </c>
      <c r="CI228" s="1113" t="s">
        <v>164</v>
      </c>
      <c r="CJ228" s="1114">
        <v>0.2</v>
      </c>
      <c r="CK228" s="1115" t="s">
        <v>589</v>
      </c>
      <c r="CL228" s="1115" t="s">
        <v>161</v>
      </c>
      <c r="CM228" s="1119">
        <v>0.02</v>
      </c>
      <c r="CN228" s="1115" t="s">
        <v>588</v>
      </c>
      <c r="CO228" s="1092">
        <v>1</v>
      </c>
      <c r="CP228" s="1118">
        <f t="shared" si="303"/>
        <v>8.7102171428571473E-3</v>
      </c>
      <c r="CQ228" s="1118">
        <f t="shared" si="304"/>
        <v>8.7102171428571473E-3</v>
      </c>
      <c r="CR228" s="1118">
        <f t="shared" si="305"/>
        <v>8.7102171428571473E-3</v>
      </c>
      <c r="CS228" s="1118">
        <f t="shared" si="306"/>
        <v>0</v>
      </c>
      <c r="CT228" s="1109">
        <f t="shared" si="307"/>
        <v>0</v>
      </c>
      <c r="CU228" s="1101">
        <f t="shared" si="308"/>
        <v>1480.5510766672212</v>
      </c>
      <c r="CV228" s="1108">
        <f t="shared" si="309"/>
        <v>68.625072284173754</v>
      </c>
      <c r="CW228" s="1097">
        <f t="shared" si="310"/>
        <v>1480.5510766672212</v>
      </c>
      <c r="CX228" s="1097">
        <f t="shared" si="311"/>
        <v>1480.5510766672212</v>
      </c>
      <c r="CY228" s="1110">
        <f t="shared" si="312"/>
        <v>1480.5510766672212</v>
      </c>
      <c r="CZ228" s="437"/>
      <c r="DA228" s="438"/>
      <c r="DB228" s="439" t="s">
        <v>569</v>
      </c>
      <c r="DC228" s="439"/>
      <c r="DD228" s="443"/>
      <c r="DE228" s="411"/>
      <c r="DF228" s="411"/>
      <c r="DG228" s="1116">
        <f t="shared" si="313"/>
        <v>0</v>
      </c>
      <c r="DH228" s="1116">
        <f t="shared" si="314"/>
        <v>0</v>
      </c>
      <c r="DI228" s="1116">
        <f t="shared" si="315"/>
        <v>0</v>
      </c>
      <c r="DJ228" s="442">
        <f t="shared" si="316"/>
        <v>0</v>
      </c>
      <c r="DK228" s="1109">
        <f t="shared" si="317"/>
        <v>0</v>
      </c>
      <c r="DL228" s="1101">
        <f t="shared" si="318"/>
        <v>0</v>
      </c>
      <c r="DM228" s="1097">
        <f t="shared" si="319"/>
        <v>0</v>
      </c>
      <c r="DN228" s="1097">
        <f t="shared" si="320"/>
        <v>0</v>
      </c>
      <c r="DO228" s="1097">
        <f t="shared" si="321"/>
        <v>0</v>
      </c>
      <c r="DP228" s="1110">
        <f t="shared" si="322"/>
        <v>0</v>
      </c>
      <c r="DQ228" s="1113" t="s">
        <v>566</v>
      </c>
      <c r="DR228" s="1120">
        <f t="shared" si="323"/>
        <v>0.3</v>
      </c>
      <c r="DS228" s="1124">
        <v>5</v>
      </c>
      <c r="DT228" s="1093" t="s">
        <v>161</v>
      </c>
      <c r="DU228" s="1093" t="s">
        <v>560</v>
      </c>
      <c r="DV228" s="1098">
        <f>IF($P228="","N/A",IF(P228=-1,INDEX('卡片raw data'!AN:AN,MATCH(D228,'卡片raw data'!$F:$F,)),0)+IF(AND(L228&lt;&gt;"party卡",P228&lt;=2,P228&gt;=0),INDEX('卡片raw data'!AP:AP,MATCH(D228,'卡片raw data'!$F:$F,)),0)+IF(OR(AND(L228="party卡",P228&lt;=1),AND(P228&lt;=4,L228&lt;&gt;"party卡",P228&gt;=3)),INDEX('卡片raw data'!AQ:AQ,MATCH(D228,'卡片raw data'!$F:$F,)),0)+IF(OR(P228=5,AND(L228="party卡",P228&gt;=2)),INDEX('卡片raw data'!AR:AR,MATCH(D228,'卡片raw data'!$F:$F,)),0))</f>
        <v>3.2000000000000001E-2</v>
      </c>
      <c r="DW228" s="1098">
        <f t="shared" si="324"/>
        <v>0.3</v>
      </c>
      <c r="DX228" s="1098">
        <f t="shared" si="325"/>
        <v>0.3</v>
      </c>
      <c r="DY228" s="1098">
        <f t="shared" si="326"/>
        <v>1.6E-2</v>
      </c>
      <c r="DZ228" s="1098">
        <f t="shared" si="327"/>
        <v>1.384E-2</v>
      </c>
      <c r="EA228" s="1098">
        <f t="shared" si="328"/>
        <v>0</v>
      </c>
      <c r="EB228" s="1121">
        <f t="shared" si="329"/>
        <v>0</v>
      </c>
      <c r="EC228" s="1101">
        <f t="shared" si="330"/>
        <v>2175.7269044528161</v>
      </c>
      <c r="ED228" s="1097">
        <f t="shared" si="331"/>
        <v>90.86752037250001</v>
      </c>
      <c r="EE228" s="1110">
        <f t="shared" si="332"/>
        <v>2175.7269044528161</v>
      </c>
      <c r="EF228" s="1092" t="s">
        <v>711</v>
      </c>
      <c r="EG228" s="1120">
        <f t="shared" si="333"/>
        <v>0.3</v>
      </c>
      <c r="EH228" s="1124"/>
      <c r="EI228" s="1093"/>
      <c r="EJ228" s="1093"/>
      <c r="EK228" s="1097">
        <f>IF($P228="","N/A",IF(P228=-1,INDEX('卡片raw data'!AS:AS,MATCH(D228,'卡片raw data'!$F:$F,)),0)+IF(AND(L228&lt;&gt;"party卡",P228&lt;=2,P228&gt;=0),INDEX('卡片raw data'!AU:AU,MATCH(D228,'卡片raw data'!$F:$F,)),0)+IF(OR(AND(L228="party卡",P228&lt;=1),AND(P228&lt;=4,L228&lt;&gt;"party卡",P228&gt;=3)),INDEX('卡片raw data'!AV:AV,MATCH(D228,'卡片raw data'!$F:$F,)),0)+IF(OR(P228=5,AND(L228="party卡",P228&gt;=2)),INDEX('卡片raw data'!AW:AW,MATCH(D228,'卡片raw data'!$F:$F,)),0))</f>
        <v>0</v>
      </c>
      <c r="EL228" s="1098">
        <f t="shared" si="334"/>
        <v>0.3</v>
      </c>
      <c r="EM228" s="1098">
        <f t="shared" si="335"/>
        <v>0.3</v>
      </c>
      <c r="EN228" s="1125">
        <f t="shared" si="336"/>
        <v>0</v>
      </c>
      <c r="EO228" s="1125">
        <f t="shared" si="337"/>
        <v>0</v>
      </c>
      <c r="EP228" s="1098">
        <f t="shared" si="338"/>
        <v>0</v>
      </c>
      <c r="EQ228" s="1121">
        <f t="shared" si="339"/>
        <v>0</v>
      </c>
      <c r="ER228" s="1101">
        <f t="shared" si="340"/>
        <v>0</v>
      </c>
      <c r="ES228" s="1097">
        <f t="shared" si="341"/>
        <v>0</v>
      </c>
      <c r="ET228" s="1122">
        <f t="shared" si="342"/>
        <v>0</v>
      </c>
    </row>
    <row r="229" spans="2:150" ht="16.5" customHeight="1">
      <c r="B229" s="1123" t="str">
        <f>INDEX('卡片raw data'!B:B,MATCH($D229,'卡片raw data'!$F:$F,))</f>
        <v>fes1海</v>
      </c>
      <c r="C229" s="449" t="s">
        <v>69</v>
      </c>
      <c r="D229" s="408">
        <v>226</v>
      </c>
      <c r="E229" s="1090">
        <v>200043001</v>
      </c>
      <c r="F229" s="1090" t="str">
        <f>INDEX('卡片raw data'!C:C,MATCH($D229,'卡片raw data'!$F:$F,))</f>
        <v>UR</v>
      </c>
      <c r="G229" s="1094" t="s">
        <v>27</v>
      </c>
      <c r="H229" s="411">
        <f>IFERROR(INDEX(绊状态确认!C:C,MATCH($G229,绊状态确认!$B:$B,)),"")</f>
        <v>4</v>
      </c>
      <c r="I229" s="450" t="str">
        <f>IFERROR(INDEX(绊状态确认!D:D,MATCH($G229,绊状态确认!$B:$B,)),"")</f>
        <v>缪</v>
      </c>
      <c r="J229" s="450" t="str">
        <f>IFERROR(INDEX(绊状态确认!E:E,MATCH($G229,绊状态确认!$B:$B,)),"")</f>
        <v>2年级</v>
      </c>
      <c r="K229" s="451" t="str">
        <f>IFERROR(INDEX(绊状态确认!F:F,MATCH($G229,绊状态确认!$B:$B,)),"")</f>
        <v>lilywhite</v>
      </c>
      <c r="L229" s="1094" t="str">
        <f>INDEX('卡片raw data'!E:E,MATCH($D229,'卡片raw data'!$F:$F,))</f>
        <v>fes卡</v>
      </c>
      <c r="M229" s="415">
        <v>43951</v>
      </c>
      <c r="N229" s="416">
        <v>14.5</v>
      </c>
      <c r="O229" s="1091" t="str">
        <f>INDEX('卡片raw data'!D:D,MATCH($D229,'卡片raw data'!$F:$F,))</f>
        <v>sp</v>
      </c>
      <c r="P229" s="417">
        <v>5</v>
      </c>
      <c r="Q229" s="1095">
        <f t="shared" si="258"/>
        <v>61429.824600213964</v>
      </c>
      <c r="R229" s="1096">
        <f t="shared" si="259"/>
        <v>0.71399999999999997</v>
      </c>
      <c r="S229" s="1097">
        <f t="shared" si="260"/>
        <v>21559.550055259704</v>
      </c>
      <c r="T229" s="1098">
        <f t="shared" si="261"/>
        <v>1.077</v>
      </c>
      <c r="U229" s="1099">
        <f t="shared" si="262"/>
        <v>14.305007897142856</v>
      </c>
      <c r="V229" s="1100">
        <f t="shared" si="263"/>
        <v>60776.429696844833</v>
      </c>
      <c r="W229" s="1101">
        <f t="shared" si="264"/>
        <v>7236.5584849148236</v>
      </c>
      <c r="X229" s="1096">
        <f t="shared" si="265"/>
        <v>8.4000000000000005E-2</v>
      </c>
      <c r="Y229" s="1097">
        <f t="shared" si="266"/>
        <v>1146.6050966308667</v>
      </c>
      <c r="Z229" s="1102">
        <f t="shared" si="267"/>
        <v>14.305007897142856</v>
      </c>
      <c r="AA229" s="1103">
        <f t="shared" si="268"/>
        <v>8383.1635815456902</v>
      </c>
      <c r="AB229" s="1101">
        <f t="shared" si="269"/>
        <v>9285.2785746616464</v>
      </c>
      <c r="AC229" s="1104">
        <f t="shared" si="270"/>
        <v>0.107</v>
      </c>
      <c r="AD229" s="1105">
        <f t="shared" si="271"/>
        <v>-1.6087500000000001E-2</v>
      </c>
      <c r="AE229" s="1128">
        <f t="shared" si="272"/>
        <v>19.559710713978255</v>
      </c>
      <c r="AF229" s="1130">
        <f t="shared" si="273"/>
        <v>0</v>
      </c>
      <c r="AG229" s="420">
        <f t="shared" si="274"/>
        <v>0</v>
      </c>
      <c r="AH229" s="420">
        <f t="shared" si="275"/>
        <v>0</v>
      </c>
      <c r="AI229" s="1097">
        <f t="shared" si="276"/>
        <v>0</v>
      </c>
      <c r="AJ229" s="420">
        <f t="shared" si="277"/>
        <v>0</v>
      </c>
      <c r="AK229" s="518">
        <f t="shared" si="278"/>
        <v>0</v>
      </c>
      <c r="AL229" s="1106">
        <f>IF($P229="","N/A",(IF($P229=-1,INDEX('卡片raw data'!S:S,MATCH($D229,'卡片raw data'!$F:$F,)),0)+IF($P229=0,INDEX('卡片raw data'!V:V,MATCH($D229,'卡片raw data'!$F:$F,)),0)+IF($P229=1,INDEX('卡片raw data'!Y:Y,MATCH($D229,'卡片raw data'!$F:$F,)),0)+IF($P229=2,INDEX('卡片raw data'!AB:AB,MATCH($D229,'卡片raw data'!$F:$F,)),0)+IF($P229=3,INDEX('卡片raw data'!AE:AE,MATCH($D229,'卡片raw data'!$F:$F,)),0)+IF($P229=4,INDEX('卡片raw data'!AH:AH,MATCH($D229,'卡片raw data'!$F:$F,)),0)+IF($P229=5,INDEX('卡片raw data'!AK:AK,MATCH($D229,'卡片raw data'!$F:$F,)),0)+INDEX('卡片raw data'!S:S,MATCH($D229,'卡片raw data'!$F:$F,))*(IF($F229="UR",0.04,0.033))*(IF($F229="UR",INDEX(绊状态确认!$S:$S,MATCH($G229,绊状态确认!$B:$B,))/2-40)+IF($F229="SR",INDEX(绊状态确认!$R:$R,MATCH($G229,绊状态确认!$B:$B,))/4-15))+IF($F229="R",INDEX(绊状态确认!$Q:$Q,MATCH($G229,绊状态确认!$B:$B,))/6-40/6)))*(INDEX(绊状态确认!$H:$H,MATCH($G229,绊状态确认!$B:$B,))+INDEX(绊状态确认!J:J,MATCH($G229,绊状态确认!$B:$B,)))</f>
        <v>12764.044799999998</v>
      </c>
      <c r="AM229" s="1106">
        <f>IF($P229="","N/A",(IF($P229=-1,INDEX('卡片raw data'!T:T,MATCH($D229,'卡片raw data'!$F:$F,)),0)+IF($P229=0,INDEX('卡片raw data'!W:W,MATCH($D229,'卡片raw data'!$F:$F,)),0)+IF($P229=1,INDEX('卡片raw data'!Z:Z,MATCH($D229,'卡片raw data'!$F:$F,)),0)+IF($P229=2,INDEX('卡片raw data'!AC:AC,MATCH($D229,'卡片raw data'!$F:$F,)),0)+IF($P229=3,INDEX('卡片raw data'!AF:AF,MATCH($D229,'卡片raw data'!$F:$F,)),0)+IF($P229=4,INDEX('卡片raw data'!AI:AI,MATCH($D229,'卡片raw data'!$F:$F,)),0)+IF($P229=5,INDEX('卡片raw data'!AL:AL,MATCH($D229,'卡片raw data'!$F:$F,)),0)+INDEX('卡片raw data'!T:T,MATCH($D229,'卡片raw data'!$F:$F,))*(IF($F229="UR",0.04,0.033))*(IF($F229="UR",INDEX(绊状态确认!$S:$S,MATCH($G229,绊状态确认!$B:$B,))/2-40)+IF($F229="SR",INDEX(绊状态确认!$R:$R,MATCH($G229,绊状态确认!$B:$B,))/4-15))+IF($F229="R",INDEX(绊状态确认!$Q:$Q,MATCH($G229,绊状态确认!$B:$B,))/6-40/6)))*(INDEX(绊状态确认!$H:$H,MATCH($G229,绊状态确认!$B:$B,))+INDEX(绊状态确认!K:K,MATCH($G229,绊状态确认!$B:$B,)))</f>
        <v>7800.2495999999992</v>
      </c>
      <c r="AN229" s="1106">
        <f>IF($P229="","N/A",(IF($P229=-1,INDEX('卡片raw data'!U:U,MATCH($D229,'卡片raw data'!$F:$F,)),0)+IF($P229=0,INDEX('卡片raw data'!X:X,MATCH($D229,'卡片raw data'!$F:$F,)),0)+IF($P229=1,INDEX('卡片raw data'!AA:AA,MATCH($D229,'卡片raw data'!$F:$F,)),0)+IF($P229=2,INDEX('卡片raw data'!AD:AD,MATCH($D229,'卡片raw data'!$F:$F,)),0)+IF($P229=3,INDEX('卡片raw data'!AG:AG,MATCH($D229,'卡片raw data'!$F:$F,)),0)+IF($P229=4,INDEX('卡片raw data'!AJ:AJ,MATCH($D229,'卡片raw data'!$F:$F,)),0)+IF($P229=5,INDEX('卡片raw data'!AM:AM,MATCH($D229,'卡片raw data'!$F:$F,)),0)+INDEX('卡片raw data'!U:U,MATCH($D229,'卡片raw data'!$F:$F,))*(IF($F229="UR",0.04,0.033))*(IF($F229="UR",INDEX(绊状态确认!$S:$S,MATCH($G229,绊状态确认!$B:$B,))/2-40)+IF($F229="SR",INDEX(绊状态确认!$R:$R,MATCH($G229,绊状态确认!$B:$B,))/4-15))+IF($F229="R",INDEX(绊状态确认!$Q:$Q,MATCH($G229,绊状态确认!$B:$B,))/6-40/6)))*(INDEX(绊状态确认!$H:$H,MATCH($G229,绊状态确认!$B:$B,))+INDEX(绊状态确认!L:L,MATCH($G229,绊状态确认!$B:$B,)))</f>
        <v>14891.385599999998</v>
      </c>
      <c r="AO229" s="1107">
        <f t="shared" si="279"/>
        <v>1</v>
      </c>
      <c r="AP229" s="1131">
        <f>1+(INDEX(绊状态确认!$T:$T,MATCH($G229,绊状态确认!$B:$B,))+0.2)*$AO229</f>
        <v>1.3</v>
      </c>
      <c r="AQ229" s="1108">
        <f t="shared" si="280"/>
        <v>36755.617599999998</v>
      </c>
      <c r="AR229" s="1097">
        <f>(AM229*(1+$EX$9)+$EX$35)*(1+(INDEX(绊状态确认!$T:$T,MATCH($G229,绊状态确认!$B:$B,))+0.2)*AO229)*IF(J229=$FF$17,1+$FE$17,1)*IF(I229=$FF$14,1+$FE$14,1)*(1+$FE$15)</f>
        <v>13351.340704</v>
      </c>
      <c r="AS229" s="1097">
        <f>(AN229*(1+$EX$10)+$EX$36)*(1+(INDEX(绊状态确认!$T:$T,MATCH($G229,绊状态确认!$B:$B,))+0.2)*AO229)*IF(J229=$FF$17,1+$FE$17,1)*IF(I229=$FF$14,1+$FE$14,1)*(1+$FE$15)</f>
        <v>26318.621471999995</v>
      </c>
      <c r="AT229" s="1093">
        <f>IF(AND(INDEX('卡片raw data'!AK:AK,MATCH($D229,'卡片raw data'!$F:$F,))&lt;INDEX('卡片raw data'!AM:AM,MATCH($D229,'卡片raw data'!$F:$F,)),INDEX('卡片raw data'!AL:AL,MATCH($D229,'卡片raw data'!$F:$F,))&lt;INDEX('卡片raw data'!AM:AM,MATCH($D229,'卡片raw data'!$F:$F,))),1,0)</f>
        <v>1</v>
      </c>
      <c r="AU229" s="1098">
        <f>MIN(AT229*0.15+AS229*0.00003+INDEX(绊状态确认!M:M,MATCH($G229,绊状态确认!$B:$B,)),1)</f>
        <v>0.96955864415999993</v>
      </c>
      <c r="AV229" s="1109">
        <f>(INDEX(绊状态确认!$N:$N,MATCH($G229,绊状态确认!$B:$B,))+1.5)*$EW$21</f>
        <v>2.6599999999999997</v>
      </c>
      <c r="AW229" s="1101">
        <f t="shared" si="281"/>
        <v>49811.882566160319</v>
      </c>
      <c r="AX229" s="1097">
        <f t="shared" si="282"/>
        <v>1146.6050966308658</v>
      </c>
      <c r="AY229" s="1110">
        <f t="shared" si="283"/>
        <v>50958.487662791187</v>
      </c>
      <c r="AZ229" s="429">
        <f t="shared" si="284"/>
        <v>27489.887359999997</v>
      </c>
      <c r="BA229" s="431">
        <f t="shared" si="285"/>
        <v>32987.864831999992</v>
      </c>
      <c r="BB229" s="1097">
        <f>(AM229*(1+$FB$9)+$FB$35)*(1+(INDEX(绊状态确认!$T:$T,MATCH($G229,绊状态确认!$B:$B,))+0.2)*AO229)*IF(J229=$FF$17,1+$FE$17,1)*IF(I229=$FF$14,1+$FE$14,1)*(1+$FE$15)</f>
        <v>13351.340704</v>
      </c>
      <c r="BC229" s="1097">
        <f>(AN229*(1+$FB$10)+$FB$36)*(1+(INDEX(绊状态确认!$T:$T,MATCH($G229,绊状态确认!$B:$B,))+0.2)*AO229)*IF(J229=$FF$17,1+$FE$17,1)*IF(I229=$FF$14,1+$FE$14,1)*(1+$FE$15)</f>
        <v>26318.621471999995</v>
      </c>
      <c r="BD229" s="1104">
        <f>MIN(AT229*0.15+BC229*0.00003+INDEX(绊状态确认!M:M,MATCH($G229,绊状态确认!$B:$B,)),1)</f>
        <v>0.96955864415999993</v>
      </c>
      <c r="BE229" s="432">
        <f>(INDEX(绊状态确认!$N:$N,MATCH($G229,绊状态确认!$B:$B,))+1.5)</f>
        <v>1.9</v>
      </c>
      <c r="BF229" s="1139">
        <f t="array" ref="BF229">SUMPRODUCT(IF(AZ229*AP229*$FI$16:$FI$23*$FA$22&gt;=$FI$24,$FI$24,AZ229*AP229*$FI$16:$FI$23*$FA$22),$FJ$16:$FJ$23)</f>
        <v>53379.485032320001</v>
      </c>
      <c r="BG229" s="1125">
        <f t="array" ref="BG229">SUMPRODUCT(IF(BE229*AZ229*AP229*$FI$16:$FI$23*$FA$22&gt;=$FI$24,$FI$24,BE229*AZ229*AP229*$FI$16:$FI$23*$FA$22),$FJ$16:$FJ$23)</f>
        <v>60000</v>
      </c>
      <c r="BH229" s="1110">
        <f t="shared" si="286"/>
        <v>19932.820849341602</v>
      </c>
      <c r="BI229" s="1111">
        <f>IF(O229="vo",$EW$26/$EW$24*0.05,0)+IF(O229="sk",-$EW$26/$EW$24*(0.05-INDEX(绊状态确认!W:W,MATCH($G229,绊状态确认!$B:$B,)))+0.05*$EW$28,0)+IF(O229="sp",0.05*$EW$32*$EW$30*(1-$EW$33)-(0.05-INDEX(绊状态确认!V:V,MATCH($G229,绊状态确认!$B:$B,)))*$EW$28,0)+IF(O229="gd",-(0.05-INDEX(绊状态确认!X:X,MATCH($G229,绊状态确认!$B:$B,)))*$EW$32*$EW$30*(1-$EW$33),0)</f>
        <v>19.999999999999886</v>
      </c>
      <c r="BJ229" s="1097">
        <f>IF(O229="vo",0.05*(1-$FI$26)*$FA$24,0)+IF(O229="sk",-(0.05-INDEX(绊状态确认!W:W,MATCH($G229,绊状态确认!$B:$B,)))*(1-$FI$26)*$FA$24+0.05*$FA$26,0)+IF(O229="sp",0.05*$FA$32*$FA$27*(1-$FA$33)/$FA$30+0.05*$FA$29/$FA$69*$FA$27*(1-$FA$33)-(0.05-INDEX(绊状态确认!V:V,MATCH($G229,绊状态确认!$B:$B,)))*$FA$26,0)+IF(O229="gd",-(0.05-INDEX(绊状态确认!X:X,MATCH($G229,绊状态确认!$B:$B,)))*$FA$32*$FA$27*(1-$FA$33)/$FA$30-(0.05-INDEX(绊状态确认!X:X,MATCH($G229,绊状态确认!$B:$B,)))*$FA$29/$FA$69*$FA$27*(1-$FA$33),0)</f>
        <v>545.83333333333326</v>
      </c>
      <c r="BK229" s="1110">
        <f>IF(O229="vo",$EW$26/$EW$24*0.05+$EW$26*(-HP($EW$62,$EW$65,$EW$64)+HP($EW$62,$EW$65,(1.05-INDEX(绊状态确认!U:U,MATCH($G229,绊状态确认!$B:$B,)))*$EW$64)),0)+IF(O229="sk",-$EW$26/$EW$24*(0.05-INDEX(绊状态确认!W:W,MATCH($G229,绊状态确认!$B:$B,)))+0.05*$EW$29,0)+IF(O229="sp",0.05*$EW$32*$EW$30*(1-$EW$33)-(0.05-INDEX(绊状态确认!V:V,MATCH($G229,绊状态确认!$B:$B,)))*$EW$29,0)+IF(O229="gd",-(0.05-INDEX(绊状态确认!X:X,MATCH($G229,绊状态确认!$B:$B,)))*$EW$32*$EW$30*(1-$EW$33)+$EW$26*(-HP($EW$62,$EW$65,$EW$64)+HP($EW$62,$EW$65,0.95*$EW$64)),0)</f>
        <v>-1780.0000000000005</v>
      </c>
      <c r="BL229" s="1111">
        <f t="shared" si="287"/>
        <v>0</v>
      </c>
      <c r="BM229" s="1110">
        <f t="shared" si="288"/>
        <v>0</v>
      </c>
      <c r="BN229" s="1113">
        <f t="shared" si="289"/>
        <v>4</v>
      </c>
      <c r="BO229" s="1097">
        <f t="shared" si="290"/>
        <v>6010.2953161679998</v>
      </c>
      <c r="BP229" s="1100">
        <f t="shared" si="291"/>
        <v>295.12137612040135</v>
      </c>
      <c r="BQ229" s="1113" t="s">
        <v>145</v>
      </c>
      <c r="BR229" s="1124" t="s">
        <v>148</v>
      </c>
      <c r="BS229" s="1098">
        <f>IF($P229="","N/A",IF($P229=-1,INDEX('卡片raw data'!AX:AX,MATCH($D229,'卡片raw data'!$F:$F,)),0)+IF($L229="party卡",IF($P229=5,INDEX('卡片raw data'!BD:BD,MATCH($D229,'卡片raw data'!$F:$F,)),IF($P229&gt;=3,INDEX('卡片raw data'!BC:BC,MATCH($D229,'卡片raw data'!$F:$F,)),INDEX('卡片raw data'!BB:BB,MATCH($D229,'卡片raw data'!$F:$F,)))),IF(OR(AND($F229="UR",$P229=0),AND($F229="SR",$P229&gt;=0,$P229&lt;=2),AND($F229="R",$P229&gt;=0,$P229&lt;4)),INDEX('卡片raw data'!AZ:AZ,MATCH($D229,'卡片raw data'!$F:$F,)),0)+IF(OR(AND($F229="UR",$P229&gt;=1,$P229&lt;=4),AND($F229="SR",$P229&lt;=4,$P229&gt;=3),AND($F229="R",$P229=4)),INDEX('卡片raw data'!BA:BA,MATCH($D229,'卡片raw data'!$F:$F,)),0)+IF($P229=5,INDEX('卡片raw data'!BB:BB,MATCH($D229,'卡片raw data'!$F:$F,)),0)))</f>
        <v>5.1999999999999998E-2</v>
      </c>
      <c r="BT229" s="1101">
        <f t="shared" si="292"/>
        <v>2452.5263374936467</v>
      </c>
      <c r="BU229" s="1097">
        <f t="shared" si="293"/>
        <v>155.22419036436909</v>
      </c>
      <c r="BV229" s="1097">
        <f t="shared" si="294"/>
        <v>1226.2631687468233</v>
      </c>
      <c r="BW229" s="1112">
        <f t="shared" si="295"/>
        <v>0</v>
      </c>
      <c r="BX229" s="1100">
        <f t="shared" si="296"/>
        <v>2452.5263374936467</v>
      </c>
      <c r="BY229" s="1110">
        <f t="shared" si="297"/>
        <v>1226.2631687468233</v>
      </c>
      <c r="BZ229" s="1107" t="s">
        <v>569</v>
      </c>
      <c r="CA229" s="1124"/>
      <c r="CB229" s="1098">
        <f>IF($P229="","N/A",IF($P229=-1,INDEX('卡片raw data'!BE:BE,MATCH($D229,'卡片raw data'!$F:$F,)),0)+IF($L229="party卡",IF($P229=5,INDEX('卡片raw data'!BK:BK,MATCH($D229,'卡片raw data'!$F:$F,)),IF($P229&gt;=3,INDEX('卡片raw data'!BJ:BJ,MATCH($D229,'卡片raw data'!$F:$F,)),INDEX('卡片raw data'!BI:BI,MATCH($D229,'卡片raw data'!$F:$F,)))),IF(OR(AND($F229="UR",$P229=0),AND($F229="SR",$P229&gt;=0,$P229&lt;=2),AND($F229="R",$P229&gt;=0,$P229&lt;4)),INDEX('卡片raw data'!BG:BG,MATCH($D229,'卡片raw data'!$F:$F,)),0)+IF(OR(AND($F229="UR",$P229&gt;=1,$P229&lt;=4),AND($F229="SR",$P229&lt;=4,$P229&gt;=3),AND($F229="R",$P229=4)),INDEX('卡片raw data'!BH:BH,MATCH($D229,'卡片raw data'!$F:$F,)),0)+IF($P229=5,INDEX('卡片raw data'!BI:BI,MATCH($D229,'卡片raw data'!$F:$F,)),0)))</f>
        <v>0</v>
      </c>
      <c r="CC229" s="1101">
        <f t="shared" si="298"/>
        <v>0</v>
      </c>
      <c r="CD229" s="1097">
        <f>IF(BZ229="ap",CB229*(1-$FI$26)*$FB$5/$FB$11*(+IF(CA229="全员",$FA$24,0)+IF(CA229="同作战",$FA$24,0)+IF(CA229="仲间",$FA$24*2/3,0)+IF(CA229="同属性",$FA$24*$FA$37/3,0)+IF(CA229="同年级",$FA$24*$FA$40/3,0)+IF(CA229="同学校",$FA$24*$FA$43/3,0)+IF(CA229="同小队",$FA$24*$FA$46/3,0)+IF(CA229="同type",$FA$24*INDEX($FB$49:$FB$52,MATCH(X229,$FA$49:$FA$52,))/3,0)+IF(CA229="自身",#REF!/3,0)),0)+IF(BZ229="te",CB229*(1-$FI$27)*($FA$20-1)*$FB$7/$FB$13*(+IF(CA229="全员",$FA$19*$FA$24/(1+($FA$20-1)*$FA$19),0)+IF(CA229="同作战",$FA$19*$FA$24/(1+($FA$20-1)*$FA$19),0)+IF(CA229="仲间",$FA$19*$FA$24*2/3/(1+($FA$20-1)*$FA$19),0)+IF(CA229="同属性",$FA$19*$FA$24*$FA$37/3/(1+($FA$20-1)*$FA$19),0)+IF(CA229="同年级",$FA$19*$FA$24*$FA$40/3/(1+($FA$20-1)*$FA$19),0)+IF(CA229="同学校",$FA$19*$FA$24*$FA$43/3/(1+($FA$20-1)*$FA$19),0)+IF(CA229="同小队",$FA$19*$FA$24*$FA$46/3/(1+($FA$20-1)*$FA$19),0)+IF(CA229="同type",$FA$19*$FA$24*INDEX($FB$49:$FB$52,MATCH(X229,$FA$49:$FA$52,))/3/(1+($FA$20-1)*$FA$19),0)+IF(CA229="自身",$FA$19*#REF!/3/(1+(BH229-1)*$BD229),0)),0)</f>
        <v>0</v>
      </c>
      <c r="CE229" s="1097">
        <f t="shared" si="299"/>
        <v>0</v>
      </c>
      <c r="CF229" s="1112">
        <f t="shared" si="300"/>
        <v>0</v>
      </c>
      <c r="CG229" s="1100">
        <f t="shared" si="301"/>
        <v>0</v>
      </c>
      <c r="CH229" s="1110">
        <f t="shared" si="302"/>
        <v>0</v>
      </c>
      <c r="CI229" s="1113" t="s">
        <v>172</v>
      </c>
      <c r="CJ229" s="1114">
        <v>0.15</v>
      </c>
      <c r="CK229" s="1115" t="s">
        <v>156</v>
      </c>
      <c r="CL229" s="1115" t="s">
        <v>1941</v>
      </c>
      <c r="CM229" s="1119">
        <v>0.01</v>
      </c>
      <c r="CN229" s="1115"/>
      <c r="CO229" s="1092"/>
      <c r="CP229" s="1116">
        <f t="shared" si="303"/>
        <v>13.159310735999998</v>
      </c>
      <c r="CQ229" s="1116">
        <f t="shared" si="304"/>
        <v>15.133207346399995</v>
      </c>
      <c r="CR229" s="1116">
        <f t="shared" si="305"/>
        <v>0</v>
      </c>
      <c r="CS229" s="1118">
        <f t="shared" si="306"/>
        <v>0</v>
      </c>
      <c r="CT229" s="1109">
        <f t="shared" si="307"/>
        <v>8.635797670499997</v>
      </c>
      <c r="CU229" s="1101">
        <f t="shared" si="308"/>
        <v>822.45692099999985</v>
      </c>
      <c r="CV229" s="1108">
        <f t="shared" si="309"/>
        <v>630.55030609999983</v>
      </c>
      <c r="CW229" s="1097">
        <f t="shared" si="310"/>
        <v>0</v>
      </c>
      <c r="CX229" s="1097">
        <f t="shared" si="311"/>
        <v>822.45692099999985</v>
      </c>
      <c r="CY229" s="1110">
        <f t="shared" si="312"/>
        <v>0</v>
      </c>
      <c r="CZ229" s="437"/>
      <c r="DA229" s="438"/>
      <c r="DB229" s="439" t="s">
        <v>569</v>
      </c>
      <c r="DC229" s="439"/>
      <c r="DD229" s="443"/>
      <c r="DE229" s="411"/>
      <c r="DF229" s="411"/>
      <c r="DG229" s="1116">
        <f t="shared" si="313"/>
        <v>0</v>
      </c>
      <c r="DH229" s="1116">
        <f t="shared" si="314"/>
        <v>0</v>
      </c>
      <c r="DI229" s="1116">
        <f t="shared" si="315"/>
        <v>0</v>
      </c>
      <c r="DJ229" s="442">
        <f t="shared" si="316"/>
        <v>0</v>
      </c>
      <c r="DK229" s="1109">
        <f t="shared" si="317"/>
        <v>0</v>
      </c>
      <c r="DL229" s="1101">
        <f t="shared" si="318"/>
        <v>0</v>
      </c>
      <c r="DM229" s="1097">
        <f t="shared" si="319"/>
        <v>0</v>
      </c>
      <c r="DN229" s="1097">
        <f t="shared" si="320"/>
        <v>0</v>
      </c>
      <c r="DO229" s="1097">
        <f t="shared" si="321"/>
        <v>0</v>
      </c>
      <c r="DP229" s="1110">
        <f t="shared" si="322"/>
        <v>0</v>
      </c>
      <c r="DQ229" s="1113" t="s">
        <v>256</v>
      </c>
      <c r="DR229" s="1120">
        <f t="shared" si="323"/>
        <v>0.33</v>
      </c>
      <c r="DS229" s="1124"/>
      <c r="DT229" s="1093" t="s">
        <v>132</v>
      </c>
      <c r="DU229" s="1093"/>
      <c r="DV229" s="1098">
        <f>IF($P229="","N/A",IF(P229=-1,INDEX('卡片raw data'!AN:AN,MATCH(D229,'卡片raw data'!$F:$F,)),0)+IF(AND(L229&lt;&gt;"party卡",P229&lt;=2,P229&gt;=0),INDEX('卡片raw data'!AP:AP,MATCH(D229,'卡片raw data'!$F:$F,)),0)+IF(OR(AND(L229="party卡",P229&lt;=1),AND(P229&lt;=4,L229&lt;&gt;"party卡",P229&gt;=3)),INDEX('卡片raw data'!AQ:AQ,MATCH(D229,'卡片raw data'!$F:$F,)),0)+IF(OR(P229=5,AND(L229="party卡",P229&gt;=2)),INDEX('卡片raw data'!AR:AR,MATCH(D229,'卡片raw data'!$F:$F,)),0))</f>
        <v>0.4</v>
      </c>
      <c r="DW229" s="1098">
        <f t="shared" si="324"/>
        <v>0.33</v>
      </c>
      <c r="DX229" s="1098">
        <f t="shared" si="325"/>
        <v>0.33</v>
      </c>
      <c r="DY229" s="1125">
        <f t="shared" si="326"/>
        <v>1617.2471744000002</v>
      </c>
      <c r="DZ229" s="1125">
        <f t="shared" si="327"/>
        <v>1255.5181355059199</v>
      </c>
      <c r="EA229" s="1098">
        <f t="shared" si="328"/>
        <v>0</v>
      </c>
      <c r="EB229" s="1121">
        <f t="shared" si="329"/>
        <v>0</v>
      </c>
      <c r="EC229" s="1101">
        <f t="shared" si="330"/>
        <v>2312.6634593920003</v>
      </c>
      <c r="ED229" s="1097">
        <f t="shared" si="331"/>
        <v>0</v>
      </c>
      <c r="EE229" s="1110">
        <f t="shared" si="332"/>
        <v>2312.6634593920003</v>
      </c>
      <c r="EF229" s="1092" t="s">
        <v>711</v>
      </c>
      <c r="EG229" s="1120">
        <f t="shared" si="333"/>
        <v>0.33</v>
      </c>
      <c r="EH229" s="1124"/>
      <c r="EI229" s="1093"/>
      <c r="EJ229" s="1093"/>
      <c r="EK229" s="1097">
        <f>IF($P229="","N/A",IF(P229=-1,INDEX('卡片raw data'!AS:AS,MATCH(D229,'卡片raw data'!$F:$F,)),0)+IF(AND(L229&lt;&gt;"party卡",P229&lt;=2,P229&gt;=0),INDEX('卡片raw data'!AU:AU,MATCH(D229,'卡片raw data'!$F:$F,)),0)+IF(OR(AND(L229="party卡",P229&lt;=1),AND(P229&lt;=4,L229&lt;&gt;"party卡",P229&gt;=3)),INDEX('卡片raw data'!AV:AV,MATCH(D229,'卡片raw data'!$F:$F,)),0)+IF(OR(P229=5,AND(L229="party卡",P229&gt;=2)),INDEX('卡片raw data'!AW:AW,MATCH(D229,'卡片raw data'!$F:$F,)),0))</f>
        <v>0</v>
      </c>
      <c r="EL229" s="1098">
        <f t="shared" si="334"/>
        <v>0.33</v>
      </c>
      <c r="EM229" s="1098">
        <f t="shared" si="335"/>
        <v>0.33</v>
      </c>
      <c r="EN229" s="1125">
        <f t="shared" si="336"/>
        <v>0</v>
      </c>
      <c r="EO229" s="1125">
        <f t="shared" si="337"/>
        <v>0</v>
      </c>
      <c r="EP229" s="1098">
        <f t="shared" si="338"/>
        <v>0</v>
      </c>
      <c r="EQ229" s="1121">
        <f t="shared" si="339"/>
        <v>0</v>
      </c>
      <c r="ER229" s="1101">
        <f t="shared" si="340"/>
        <v>0</v>
      </c>
      <c r="ES229" s="1097">
        <f t="shared" si="341"/>
        <v>0</v>
      </c>
      <c r="ET229" s="1122">
        <f t="shared" si="342"/>
        <v>0</v>
      </c>
    </row>
    <row r="230" spans="2:150" ht="16.5" customHeight="1">
      <c r="B230" s="1123" t="str">
        <f>INDEX('卡片raw data'!B:B,MATCH($D230,'卡片raw data'!$F:$F,))</f>
        <v>fes1露</v>
      </c>
      <c r="C230" s="449" t="s">
        <v>22</v>
      </c>
      <c r="D230" s="408">
        <v>227</v>
      </c>
      <c r="E230" s="1090">
        <v>201093001</v>
      </c>
      <c r="F230" s="1090" t="str">
        <f>INDEX('卡片raw data'!C:C,MATCH($D230,'卡片raw data'!$F:$F,))</f>
        <v>UR</v>
      </c>
      <c r="G230" s="1094" t="s">
        <v>41</v>
      </c>
      <c r="H230" s="411">
        <f>IFERROR(INDEX(绊状态确认!C:C,MATCH($G230,绊状态确认!$B:$B,)),"")</f>
        <v>109</v>
      </c>
      <c r="I230" s="450" t="str">
        <f>IFERROR(INDEX(绊状态确认!D:D,MATCH($G230,绊状态确认!$B:$B,)),"")</f>
        <v>水</v>
      </c>
      <c r="J230" s="450" t="str">
        <f>IFERROR(INDEX(绊状态确认!E:E,MATCH($G230,绊状态确认!$B:$B,)),"")</f>
        <v>1年级</v>
      </c>
      <c r="K230" s="451" t="str">
        <f>IFERROR(INDEX(绊状态确认!F:F,MATCH($G230,绊状态确认!$B:$B,)),"")</f>
        <v>CYaRon!</v>
      </c>
      <c r="L230" s="1094" t="str">
        <f>INDEX('卡片raw data'!E:E,MATCH($D230,'卡片raw data'!$F:$F,))</f>
        <v>fes卡</v>
      </c>
      <c r="M230" s="415">
        <v>43951</v>
      </c>
      <c r="N230" s="416">
        <v>14.5</v>
      </c>
      <c r="O230" s="1091" t="str">
        <f>INDEX('卡片raw data'!D:D,MATCH($D230,'卡片raw data'!$F:$F,))</f>
        <v>gd</v>
      </c>
      <c r="P230" s="417">
        <v>5</v>
      </c>
      <c r="Q230" s="1095">
        <f t="shared" si="258"/>
        <v>32480.39228926647</v>
      </c>
      <c r="R230" s="1096">
        <f t="shared" si="259"/>
        <v>0.377</v>
      </c>
      <c r="S230" s="1097">
        <f t="shared" si="260"/>
        <v>16623.657277299721</v>
      </c>
      <c r="T230" s="1098">
        <f t="shared" si="261"/>
        <v>0.83099999999999996</v>
      </c>
      <c r="U230" s="1099">
        <f t="shared" si="262"/>
        <v>1200.6951306582857</v>
      </c>
      <c r="V230" s="1100">
        <f t="shared" si="263"/>
        <v>84991.348758353779</v>
      </c>
      <c r="W230" s="1101">
        <f t="shared" si="264"/>
        <v>6010.2953161679998</v>
      </c>
      <c r="X230" s="1096">
        <f t="shared" si="265"/>
        <v>6.9000000000000006E-2</v>
      </c>
      <c r="Y230" s="1097">
        <f t="shared" si="266"/>
        <v>3009.7982147790972</v>
      </c>
      <c r="Z230" s="1102">
        <f t="shared" si="267"/>
        <v>34.574423074285718</v>
      </c>
      <c r="AA230" s="1103">
        <f t="shared" si="268"/>
        <v>9020.093530947097</v>
      </c>
      <c r="AB230" s="1101">
        <f t="shared" si="269"/>
        <v>6010.2953161679998</v>
      </c>
      <c r="AC230" s="1104">
        <f t="shared" si="270"/>
        <v>6.9000000000000006E-2</v>
      </c>
      <c r="AD230" s="1105">
        <f t="shared" si="271"/>
        <v>0</v>
      </c>
      <c r="AE230" s="1128">
        <f t="shared" si="272"/>
        <v>-6.25</v>
      </c>
      <c r="AF230" s="1130">
        <f t="shared" si="273"/>
        <v>15820.082536959999</v>
      </c>
      <c r="AG230" s="420">
        <f t="shared" si="274"/>
        <v>86350.513464000018</v>
      </c>
      <c r="AH230" s="420">
        <f t="shared" si="275"/>
        <v>5.4582846367749234</v>
      </c>
      <c r="AI230" s="1097">
        <f t="shared" si="276"/>
        <v>118760.63142292017</v>
      </c>
      <c r="AJ230" s="420">
        <f t="shared" si="277"/>
        <v>84991.348758353779</v>
      </c>
      <c r="AK230" s="518">
        <f t="shared" si="278"/>
        <v>33769.282664566388</v>
      </c>
      <c r="AL230" s="1106">
        <f>IF($P230="","N/A",(IF($P230=-1,INDEX('卡片raw data'!S:S,MATCH($D230,'卡片raw data'!$F:$F,)),0)+IF($P230=0,INDEX('卡片raw data'!V:V,MATCH($D230,'卡片raw data'!$F:$F,)),0)+IF($P230=1,INDEX('卡片raw data'!Y:Y,MATCH($D230,'卡片raw data'!$F:$F,)),0)+IF($P230=2,INDEX('卡片raw data'!AB:AB,MATCH($D230,'卡片raw data'!$F:$F,)),0)+IF($P230=3,INDEX('卡片raw data'!AE:AE,MATCH($D230,'卡片raw data'!$F:$F,)),0)+IF($P230=4,INDEX('卡片raw data'!AH:AH,MATCH($D230,'卡片raw data'!$F:$F,)),0)+IF($P230=5,INDEX('卡片raw data'!AK:AK,MATCH($D230,'卡片raw data'!$F:$F,)),0)+INDEX('卡片raw data'!S:S,MATCH($D230,'卡片raw data'!$F:$F,))*(IF($F230="UR",0.04,0.033))*(IF($F230="UR",INDEX(绊状态确认!$S:$S,MATCH($G230,绊状态确认!$B:$B,))/2-40)+IF($F230="SR",INDEX(绊状态确认!$R:$R,MATCH($G230,绊状态确认!$B:$B,))/4-15))+IF($F230="R",INDEX(绊状态确认!$Q:$Q,MATCH($G230,绊状态确认!$B:$B,))/6-40/6)))*(INDEX(绊状态确认!$H:$H,MATCH($G230,绊状态确认!$B:$B,))+INDEX(绊状态确认!J:J,MATCH($G230,绊状态确认!$B:$B,)))</f>
        <v>8863.9199999999983</v>
      </c>
      <c r="AM230" s="1106">
        <f>IF($P230="","N/A",(IF($P230=-1,INDEX('卡片raw data'!T:T,MATCH($D230,'卡片raw data'!$F:$F,)),0)+IF($P230=0,INDEX('卡片raw data'!W:W,MATCH($D230,'卡片raw data'!$F:$F,)),0)+IF($P230=1,INDEX('卡片raw data'!Z:Z,MATCH($D230,'卡片raw data'!$F:$F,)),0)+IF($P230=2,INDEX('卡片raw data'!AC:AC,MATCH($D230,'卡片raw data'!$F:$F,)),0)+IF($P230=3,INDEX('卡片raw data'!AF:AF,MATCH($D230,'卡片raw data'!$F:$F,)),0)+IF($P230=4,INDEX('卡片raw data'!AI:AI,MATCH($D230,'卡片raw data'!$F:$F,)),0)+IF($P230=5,INDEX('卡片raw data'!AL:AL,MATCH($D230,'卡片raw data'!$F:$F,)),0)+INDEX('卡片raw data'!T:T,MATCH($D230,'卡片raw data'!$F:$F,))*(IF($F230="UR",0.04,0.033))*(IF($F230="UR",INDEX(绊状态确认!$S:$S,MATCH($G230,绊状态确认!$B:$B,))/2-40)+IF($F230="SR",INDEX(绊状态确认!$R:$R,MATCH($G230,绊状态确认!$B:$B,))/4-15))+IF($F230="R",INDEX(绊状态确认!$Q:$Q,MATCH($G230,绊状态确认!$B:$B,))/6-40/6)))*(INDEX(绊状态确认!$H:$H,MATCH($G230,绊状态确认!$B:$B,))+INDEX(绊状态确认!K:K,MATCH($G230,绊状态确认!$B:$B,)))</f>
        <v>17018.7264</v>
      </c>
      <c r="AN230" s="1106">
        <f>IF($P230="","N/A",(IF($P230=-1,INDEX('卡片raw data'!U:U,MATCH($D230,'卡片raw data'!$F:$F,)),0)+IF($P230=0,INDEX('卡片raw data'!X:X,MATCH($D230,'卡片raw data'!$F:$F,)),0)+IF($P230=1,INDEX('卡片raw data'!AA:AA,MATCH($D230,'卡片raw data'!$F:$F,)),0)+IF($P230=2,INDEX('卡片raw data'!AD:AD,MATCH($D230,'卡片raw data'!$F:$F,)),0)+IF($P230=3,INDEX('卡片raw data'!AG:AG,MATCH($D230,'卡片raw data'!$F:$F,)),0)+IF($P230=4,INDEX('卡片raw data'!AJ:AJ,MATCH($D230,'卡片raw data'!$F:$F,)),0)+IF($P230=5,INDEX('卡片raw data'!AM:AM,MATCH($D230,'卡片raw data'!$F:$F,)),0)+INDEX('卡片raw data'!U:U,MATCH($D230,'卡片raw data'!$F:$F,))*(IF($F230="UR",0.04,0.033))*(IF($F230="UR",INDEX(绊状态确认!$S:$S,MATCH($G230,绊状态确认!$B:$B,))/2-40)+IF($F230="SR",INDEX(绊状态确认!$R:$R,MATCH($G230,绊状态确认!$B:$B,))/4-15))+IF($F230="R",INDEX(绊状态确认!$Q:$Q,MATCH($G230,绊状态确认!$B:$B,))/6-40/6)))*(INDEX(绊状态确认!$H:$H,MATCH($G230,绊状态确认!$B:$B,))+INDEX(绊状态确认!L:L,MATCH($G230,绊状态确认!$B:$B,)))</f>
        <v>9573.0335999999988</v>
      </c>
      <c r="AO230" s="1107">
        <f t="shared" si="279"/>
        <v>1</v>
      </c>
      <c r="AP230" s="1131">
        <f>1+(INDEX(绊状态确认!$T:$T,MATCH($G230,绊状态确认!$B:$B,))+0.2)*$AO230</f>
        <v>1.3</v>
      </c>
      <c r="AQ230" s="1108">
        <f t="shared" si="280"/>
        <v>26517.789999999994</v>
      </c>
      <c r="AR230" s="1097">
        <f>(AM230*(1+$EX$9)+$EX$35)*(1+(INDEX(绊状态确认!$T:$T,MATCH($G230,绊状态确认!$B:$B,))+0.2)*AO230)*IF(J230=$FF$17,1+$FE$17,1)*IF(I230=$FF$14,1+$FE$14,1)*(1+$FE$15)</f>
        <v>25934.561536000001</v>
      </c>
      <c r="AS230" s="1097">
        <f>(AN230*(1+$EX$10)+$EX$36)*(1+(INDEX(绊状态确认!$T:$T,MATCH($G230,绊状态确认!$B:$B,))+0.2)*AO230)*IF(J230=$FF$17,1+$FE$17,1)*IF(I230=$FF$14,1+$FE$14,1)*(1+$FE$15)</f>
        <v>18367.685231999996</v>
      </c>
      <c r="AT230" s="1093">
        <f>IF(AND(INDEX('卡片raw data'!AK:AK,MATCH($D230,'卡片raw data'!$F:$F,))&lt;INDEX('卡片raw data'!AM:AM,MATCH($D230,'卡片raw data'!$F:$F,)),INDEX('卡片raw data'!AL:AL,MATCH($D230,'卡片raw data'!$F:$F,))&lt;INDEX('卡片raw data'!AM:AM,MATCH($D230,'卡片raw data'!$F:$F,))),1,0)</f>
        <v>0</v>
      </c>
      <c r="AU230" s="1098">
        <f>MIN(AT230*0.15+AS230*0.00003+INDEX(绊状态确认!M:M,MATCH($G230,绊状态确认!$B:$B,)),1)</f>
        <v>0.58103055695999994</v>
      </c>
      <c r="AV230" s="1109">
        <f>(INDEX(绊状态确认!$N:$N,MATCH($G230,绊状态确认!$B:$B,))+1.5)*$EW$21</f>
        <v>2.6599999999999997</v>
      </c>
      <c r="AW230" s="1101">
        <f t="shared" si="281"/>
        <v>27055.096973098469</v>
      </c>
      <c r="AX230" s="1097">
        <f t="shared" si="282"/>
        <v>2290.8339657005567</v>
      </c>
      <c r="AY230" s="1110">
        <f t="shared" si="283"/>
        <v>29345.930938799025</v>
      </c>
      <c r="AZ230" s="429">
        <f t="shared" si="284"/>
        <v>19884.643999999997</v>
      </c>
      <c r="BA230" s="431">
        <f t="shared" si="285"/>
        <v>23861.572799999994</v>
      </c>
      <c r="BB230" s="1097">
        <f>(AM230*(1+$FB$9)+$FB$35)*(1+(INDEX(绊状态确认!$T:$T,MATCH($G230,绊状态确认!$B:$B,))+0.2)*AO230)*IF(J230=$FF$17,1+$FE$17,1)*IF(I230=$FF$14,1+$FE$14,1)*(1+$FE$15)</f>
        <v>25934.561536000001</v>
      </c>
      <c r="BC230" s="1097">
        <f>(AN230*(1+$FB$10)+$FB$36)*(1+(INDEX(绊状态确认!$T:$T,MATCH($G230,绊状态确认!$B:$B,))+0.2)*AO230)*IF(J230=$FF$17,1+$FE$17,1)*IF(I230=$FF$14,1+$FE$14,1)*(1+$FE$15)</f>
        <v>18367.685231999996</v>
      </c>
      <c r="BD230" s="1104">
        <f>MIN(AT230*0.15+BC230*0.00003+INDEX(绊状态确认!M:M,MATCH($G230,绊状态确认!$B:$B,)),1)</f>
        <v>0.58103055695999994</v>
      </c>
      <c r="BE230" s="432">
        <f>(INDEX(绊状态确认!$N:$N,MATCH($G230,绊状态确认!$B:$B,))+1.5)</f>
        <v>1.9</v>
      </c>
      <c r="BF230" s="1139">
        <f t="array" ref="BF230">SUMPRODUCT(IF(AZ230*AP230*$FI$16:$FI$23*$FA$22&gt;=$FI$24,$FI$24,AZ230*AP230*$FI$16:$FI$23*$FA$22),$FJ$16:$FJ$23)</f>
        <v>39550.556915999994</v>
      </c>
      <c r="BG230" s="1125">
        <f t="array" ref="BG230">SUMPRODUCT(IF(BE230*AZ230*AP230*$FI$16:$FI$23*$FA$22&gt;=$FI$24,$FI$24,BE230*AZ230*AP230*$FI$16:$FI$23*$FA$22),$FJ$16:$FJ$23)</f>
        <v>59893.808481599997</v>
      </c>
      <c r="BH230" s="1110">
        <f t="shared" si="286"/>
        <v>17123.535901179319</v>
      </c>
      <c r="BI230" s="1111">
        <f>IF(O230="vo",$EW$26/$EW$24*0.05,0)+IF(O230="sk",-$EW$26/$EW$24*(0.05-INDEX(绊状态确认!W:W,MATCH($G230,绊状态确认!$B:$B,)))+0.05*$EW$28,0)+IF(O230="sp",0.05*$EW$32*$EW$30*(1-$EW$33)-(0.05-INDEX(绊状态确认!V:V,MATCH($G230,绊状态确认!$B:$B,)))*$EW$28,0)+IF(O230="gd",-(0.05-INDEX(绊状态确认!X:X,MATCH($G230,绊状态确认!$B:$B,)))*$EW$32*$EW$30*(1-$EW$33),0)</f>
        <v>-585.00000000000011</v>
      </c>
      <c r="BJ230" s="1097">
        <f>IF(O230="vo",0.05*(1-$FI$26)*$FA$24,0)+IF(O230="sk",-(0.05-INDEX(绊状态确认!W:W,MATCH($G230,绊状态确认!$B:$B,)))*(1-$FI$26)*$FA$24+0.05*$FA$26,0)+IF(O230="sp",0.05*$FA$32*$FA$27*(1-$FA$33)/$FA$30+0.05*$FA$29/$FA$69*$FA$27*(1-$FA$33)-(0.05-INDEX(绊状态确认!V:V,MATCH($G230,绊状态确认!$B:$B,)))*$FA$26,0)+IF(O230="gd",-(0.05-INDEX(绊状态确认!X:X,MATCH($G230,绊状态确认!$B:$B,)))*$FA$32*$FA$27*(1-$FA$33)/$FA$30-(0.05-INDEX(绊状态确认!X:X,MATCH($G230,绊状态确认!$B:$B,)))*$FA$29/$FA$69*$FA$27*(1-$FA$33),0)</f>
        <v>-795.00000000000011</v>
      </c>
      <c r="BK230" s="1110">
        <f>IF(O230="vo",$EW$26/$EW$24*0.05+$EW$26*(-HP($EW$62,$EW$65,$EW$64)+HP($EW$62,$EW$65,(1.05-INDEX(绊状态确认!U:U,MATCH($G230,绊状态确认!$B:$B,)))*$EW$64)),0)+IF(O230="sk",-$EW$26/$EW$24*(0.05-INDEX(绊状态确认!W:W,MATCH($G230,绊状态确认!$B:$B,)))+0.05*$EW$29,0)+IF(O230="sp",0.05*$EW$32*$EW$30*(1-$EW$33)-(0.05-INDEX(绊状态确认!V:V,MATCH($G230,绊状态确认!$B:$B,)))*$EW$29,0)+IF(O230="gd",-(0.05-INDEX(绊状态确认!X:X,MATCH($G230,绊状态确认!$B:$B,)))*$EW$32*$EW$30*(1-$EW$33)+$EW$26*(-HP($EW$62,$EW$65,$EW$64)+HP($EW$62,$EW$65,0.95*$EW$64)),0)</f>
        <v>1009.5947725176144</v>
      </c>
      <c r="BL230" s="1111">
        <f t="shared" si="287"/>
        <v>0</v>
      </c>
      <c r="BM230" s="1110">
        <f t="shared" si="288"/>
        <v>0</v>
      </c>
      <c r="BN230" s="1113">
        <f t="shared" si="289"/>
        <v>4</v>
      </c>
      <c r="BO230" s="1097">
        <f t="shared" si="290"/>
        <v>6010.2953161679998</v>
      </c>
      <c r="BP230" s="1100">
        <f t="shared" si="291"/>
        <v>295.12137612040135</v>
      </c>
      <c r="BQ230" s="1113" t="s">
        <v>144</v>
      </c>
      <c r="BR230" s="1124" t="s">
        <v>148</v>
      </c>
      <c r="BS230" s="1098">
        <f>IF($P230="","N/A",IF($P230=-1,INDEX('卡片raw data'!AX:AX,MATCH($D230,'卡片raw data'!$F:$F,)),0)+IF($L230="party卡",IF($P230=5,INDEX('卡片raw data'!BD:BD,MATCH($D230,'卡片raw data'!$F:$F,)),IF($P230&gt;=3,INDEX('卡片raw data'!BC:BC,MATCH($D230,'卡片raw data'!$F:$F,)),INDEX('卡片raw data'!BB:BB,MATCH($D230,'卡片raw data'!$F:$F,)))),IF(OR(AND($F230="UR",$P230=0),AND($F230="SR",$P230&gt;=0,$P230&lt;=2),AND($F230="R",$P230&gt;=0,$P230&lt;4)),INDEX('卡片raw data'!AZ:AZ,MATCH($D230,'卡片raw data'!$F:$F,)),0)+IF(OR(AND($F230="UR",$P230&gt;=1,$P230&lt;=4),AND($F230="SR",$P230&lt;=4,$P230&gt;=3),AND($F230="R",$P230=4)),INDEX('卡片raw data'!BA:BA,MATCH($D230,'卡片raw data'!$F:$F,)),0)+IF($P230=5,INDEX('卡片raw data'!BB:BB,MATCH($D230,'卡片raw data'!$F:$F,)),0)))</f>
        <v>5.1999999999999998E-2</v>
      </c>
      <c r="BT230" s="1101">
        <f t="shared" si="292"/>
        <v>0</v>
      </c>
      <c r="BU230" s="1097">
        <f t="shared" si="293"/>
        <v>0</v>
      </c>
      <c r="BV230" s="1097">
        <f t="shared" si="294"/>
        <v>0</v>
      </c>
      <c r="BW230" s="1112">
        <f t="shared" si="295"/>
        <v>2.4347142857142861</v>
      </c>
      <c r="BX230" s="1100">
        <f t="shared" si="296"/>
        <v>190.49664124538464</v>
      </c>
      <c r="BY230" s="1110">
        <f t="shared" si="297"/>
        <v>190.49664124538464</v>
      </c>
      <c r="BZ230" s="1107" t="s">
        <v>569</v>
      </c>
      <c r="CA230" s="1124"/>
      <c r="CB230" s="1098">
        <f>IF($P230="","N/A",IF($P230=-1,INDEX('卡片raw data'!BE:BE,MATCH($D230,'卡片raw data'!$F:$F,)),0)+IF($L230="party卡",IF($P230=5,INDEX('卡片raw data'!BK:BK,MATCH($D230,'卡片raw data'!$F:$F,)),IF($P230&gt;=3,INDEX('卡片raw data'!BJ:BJ,MATCH($D230,'卡片raw data'!$F:$F,)),INDEX('卡片raw data'!BI:BI,MATCH($D230,'卡片raw data'!$F:$F,)))),IF(OR(AND($F230="UR",$P230=0),AND($F230="SR",$P230&gt;=0,$P230&lt;=2),AND($F230="R",$P230&gt;=0,$P230&lt;4)),INDEX('卡片raw data'!BG:BG,MATCH($D230,'卡片raw data'!$F:$F,)),0)+IF(OR(AND($F230="UR",$P230&gt;=1,$P230&lt;=4),AND($F230="SR",$P230&lt;=4,$P230&gt;=3),AND($F230="R",$P230=4)),INDEX('卡片raw data'!BH:BH,MATCH($D230,'卡片raw data'!$F:$F,)),0)+IF($P230=5,INDEX('卡片raw data'!BI:BI,MATCH($D230,'卡片raw data'!$F:$F,)),0)))</f>
        <v>0</v>
      </c>
      <c r="CC230" s="1101">
        <f t="shared" si="298"/>
        <v>0</v>
      </c>
      <c r="CD230" s="1097">
        <f>IF(BZ230="ap",CB230*(1-$FI$26)*$FB$5/$FB$11*(+IF(CA230="全员",$FA$24,0)+IF(CA230="同作战",$FA$24,0)+IF(CA230="仲间",$FA$24*2/3,0)+IF(CA230="同属性",$FA$24*$FA$37/3,0)+IF(CA230="同年级",$FA$24*$FA$40/3,0)+IF(CA230="同学校",$FA$24*$FA$43/3,0)+IF(CA230="同小队",$FA$24*$FA$46/3,0)+IF(CA230="同type",$FA$24*INDEX($FB$49:$FB$52,MATCH(X230,$FA$49:$FA$52,))/3,0)+IF(CA230="自身",#REF!/3,0)),0)+IF(BZ230="te",CB230*(1-$FI$27)*($FA$20-1)*$FB$7/$FB$13*(+IF(CA230="全员",$FA$19*$FA$24/(1+($FA$20-1)*$FA$19),0)+IF(CA230="同作战",$FA$19*$FA$24/(1+($FA$20-1)*$FA$19),0)+IF(CA230="仲间",$FA$19*$FA$24*2/3/(1+($FA$20-1)*$FA$19),0)+IF(CA230="同属性",$FA$19*$FA$24*$FA$37/3/(1+($FA$20-1)*$FA$19),0)+IF(CA230="同年级",$FA$19*$FA$24*$FA$40/3/(1+($FA$20-1)*$FA$19),0)+IF(CA230="同学校",$FA$19*$FA$24*$FA$43/3/(1+($FA$20-1)*$FA$19),0)+IF(CA230="同小队",$FA$19*$FA$24*$FA$46/3/(1+($FA$20-1)*$FA$19),0)+IF(CA230="同type",$FA$19*$FA$24*INDEX($FB$49:$FB$52,MATCH(X230,$FA$49:$FA$52,))/3/(1+($FA$20-1)*$FA$19),0)+IF(CA230="自身",$FA$19*#REF!/3/(1+(BH230-1)*$BD230),0)),0)</f>
        <v>0</v>
      </c>
      <c r="CE230" s="1097">
        <f t="shared" si="299"/>
        <v>0</v>
      </c>
      <c r="CF230" s="1112">
        <f t="shared" si="300"/>
        <v>0</v>
      </c>
      <c r="CG230" s="1100">
        <f t="shared" si="301"/>
        <v>0</v>
      </c>
      <c r="CH230" s="1110">
        <f t="shared" si="302"/>
        <v>0</v>
      </c>
      <c r="CI230" s="1113" t="s">
        <v>162</v>
      </c>
      <c r="CJ230" s="1114">
        <v>0.5</v>
      </c>
      <c r="CK230" s="1115" t="s">
        <v>158</v>
      </c>
      <c r="CL230" s="1115" t="s">
        <v>161</v>
      </c>
      <c r="CM230" s="1119">
        <v>0.05</v>
      </c>
      <c r="CN230" s="1115" t="s">
        <v>1948</v>
      </c>
      <c r="CO230" s="1092"/>
      <c r="CP230" s="1118">
        <f t="shared" si="303"/>
        <v>1.3392857142857142E-2</v>
      </c>
      <c r="CQ230" s="1118">
        <f t="shared" si="304"/>
        <v>1.2500000000000001E-2</v>
      </c>
      <c r="CR230" s="1118">
        <f t="shared" si="305"/>
        <v>1.3392857142857144E-2</v>
      </c>
      <c r="CS230" s="1118">
        <f t="shared" si="306"/>
        <v>0</v>
      </c>
      <c r="CT230" s="1109">
        <f t="shared" si="307"/>
        <v>0</v>
      </c>
      <c r="CU230" s="1101">
        <f t="shared" si="308"/>
        <v>0</v>
      </c>
      <c r="CV230" s="1108">
        <f t="shared" si="309"/>
        <v>0</v>
      </c>
      <c r="CW230" s="1097">
        <f t="shared" si="310"/>
        <v>0</v>
      </c>
      <c r="CX230" s="1097">
        <f t="shared" si="311"/>
        <v>0</v>
      </c>
      <c r="CY230" s="1110">
        <f t="shared" si="312"/>
        <v>528.46760783315506</v>
      </c>
      <c r="CZ230" s="437"/>
      <c r="DA230" s="438"/>
      <c r="DB230" s="439" t="s">
        <v>569</v>
      </c>
      <c r="DC230" s="439"/>
      <c r="DD230" s="443"/>
      <c r="DE230" s="411"/>
      <c r="DF230" s="411"/>
      <c r="DG230" s="1116">
        <f t="shared" si="313"/>
        <v>0</v>
      </c>
      <c r="DH230" s="1116">
        <f t="shared" si="314"/>
        <v>0</v>
      </c>
      <c r="DI230" s="1116">
        <f t="shared" si="315"/>
        <v>0</v>
      </c>
      <c r="DJ230" s="442">
        <f t="shared" si="316"/>
        <v>0</v>
      </c>
      <c r="DK230" s="1109">
        <f t="shared" si="317"/>
        <v>0</v>
      </c>
      <c r="DL230" s="1101">
        <f t="shared" si="318"/>
        <v>0</v>
      </c>
      <c r="DM230" s="1097">
        <f t="shared" si="319"/>
        <v>0</v>
      </c>
      <c r="DN230" s="1097">
        <f t="shared" si="320"/>
        <v>0</v>
      </c>
      <c r="DO230" s="1097">
        <f t="shared" si="321"/>
        <v>0</v>
      </c>
      <c r="DP230" s="1110">
        <f t="shared" si="322"/>
        <v>0</v>
      </c>
      <c r="DQ230" s="1113" t="s">
        <v>635</v>
      </c>
      <c r="DR230" s="1120">
        <f t="shared" si="323"/>
        <v>0.33</v>
      </c>
      <c r="DS230" s="1124"/>
      <c r="DT230" s="1093" t="s">
        <v>133</v>
      </c>
      <c r="DU230" s="1093"/>
      <c r="DV230" s="1098">
        <f>IF($P230="","N/A",IF(P230=-1,INDEX('卡片raw data'!AN:AN,MATCH(D230,'卡片raw data'!$F:$F,)),0)+IF(AND(L230&lt;&gt;"party卡",P230&lt;=2,P230&gt;=0),INDEX('卡片raw data'!AP:AP,MATCH(D230,'卡片raw data'!$F:$F,)),0)+IF(OR(AND(L230="party卡",P230&lt;=1),AND(P230&lt;=4,L230&lt;&gt;"party卡",P230&gt;=3)),INDEX('卡片raw data'!AQ:AQ,MATCH(D230,'卡片raw data'!$F:$F,)),0)+IF(OR(P230=5,AND(L230="party卡",P230&gt;=2)),INDEX('卡片raw data'!AR:AR,MATCH(D230,'卡片raw data'!$F:$F,)),0))</f>
        <v>0.4</v>
      </c>
      <c r="DW230" s="1098">
        <f t="shared" si="324"/>
        <v>0.33</v>
      </c>
      <c r="DX230" s="1098">
        <f t="shared" si="325"/>
        <v>0.33</v>
      </c>
      <c r="DY230" s="1125">
        <f t="shared" si="326"/>
        <v>1141.120707584</v>
      </c>
      <c r="DZ230" s="1125">
        <f t="shared" si="327"/>
        <v>987.06941206015995</v>
      </c>
      <c r="EA230" s="1098">
        <f t="shared" si="328"/>
        <v>0</v>
      </c>
      <c r="EB230" s="1121">
        <f t="shared" si="329"/>
        <v>0</v>
      </c>
      <c r="EC230" s="1101">
        <f t="shared" si="330"/>
        <v>0</v>
      </c>
      <c r="ED230" s="1097">
        <f t="shared" si="331"/>
        <v>0</v>
      </c>
      <c r="EE230" s="1110">
        <f t="shared" si="332"/>
        <v>48435.03108962375</v>
      </c>
      <c r="EF230" s="1092" t="s">
        <v>711</v>
      </c>
      <c r="EG230" s="1120">
        <f t="shared" si="333"/>
        <v>0.33</v>
      </c>
      <c r="EH230" s="1124"/>
      <c r="EI230" s="1093"/>
      <c r="EJ230" s="1093"/>
      <c r="EK230" s="1097">
        <f>IF($P230="","N/A",IF(P230=-1,INDEX('卡片raw data'!AS:AS,MATCH(D230,'卡片raw data'!$F:$F,)),0)+IF(AND(L230&lt;&gt;"party卡",P230&lt;=2,P230&gt;=0),INDEX('卡片raw data'!AU:AU,MATCH(D230,'卡片raw data'!$F:$F,)),0)+IF(OR(AND(L230="party卡",P230&lt;=1),AND(P230&lt;=4,L230&lt;&gt;"party卡",P230&gt;=3)),INDEX('卡片raw data'!AV:AV,MATCH(D230,'卡片raw data'!$F:$F,)),0)+IF(OR(P230=5,AND(L230="party卡",P230&gt;=2)),INDEX('卡片raw data'!AW:AW,MATCH(D230,'卡片raw data'!$F:$F,)),0))</f>
        <v>0</v>
      </c>
      <c r="EL230" s="1098">
        <f t="shared" si="334"/>
        <v>0.33</v>
      </c>
      <c r="EM230" s="1098">
        <f t="shared" si="335"/>
        <v>0.33</v>
      </c>
      <c r="EN230" s="1125">
        <f t="shared" si="336"/>
        <v>0</v>
      </c>
      <c r="EO230" s="1125">
        <f t="shared" si="337"/>
        <v>0</v>
      </c>
      <c r="EP230" s="1098">
        <f t="shared" si="338"/>
        <v>0</v>
      </c>
      <c r="EQ230" s="1121">
        <f t="shared" si="339"/>
        <v>0</v>
      </c>
      <c r="ER230" s="1101">
        <f t="shared" si="340"/>
        <v>0</v>
      </c>
      <c r="ES230" s="1097">
        <f t="shared" si="341"/>
        <v>0</v>
      </c>
      <c r="ET230" s="1122">
        <f t="shared" si="342"/>
        <v>0</v>
      </c>
    </row>
    <row r="231" spans="2:150" ht="16.5" customHeight="1">
      <c r="B231" s="1123" t="str">
        <f>INDEX('卡片raw data'!B:B,MATCH($D231,'卡片raw data'!$F:$F,))</f>
        <v>乐器步</v>
      </c>
      <c r="C231" s="449" t="s">
        <v>66</v>
      </c>
      <c r="D231" s="408">
        <v>228</v>
      </c>
      <c r="E231" s="1090">
        <v>302012002</v>
      </c>
      <c r="F231" s="1090" t="str">
        <f>INDEX('卡片raw data'!C:C,MATCH($D231,'卡片raw data'!$F:$F,))</f>
        <v>SR</v>
      </c>
      <c r="G231" s="1094" t="s">
        <v>350</v>
      </c>
      <c r="H231" s="411">
        <f>IFERROR(INDEX(绊状态确认!C:C,MATCH($G231,绊状态确认!$B:$B,)),"")</f>
        <v>201</v>
      </c>
      <c r="I231" s="450" t="str">
        <f>IFERROR(INDEX(绊状态确认!D:D,MATCH($G231,绊状态确认!$B:$B,)),"")</f>
        <v>虹</v>
      </c>
      <c r="J231" s="450" t="str">
        <f>IFERROR(INDEX(绊状态确认!E:E,MATCH($G231,绊状态确认!$B:$B,)),"")</f>
        <v>2年级</v>
      </c>
      <c r="K231" s="451" t="str">
        <f>IFERROR(INDEX(绊状态确认!F:F,MATCH($G231,绊状态确认!$B:$B,)),"")</f>
        <v>A·ZU·NA</v>
      </c>
      <c r="L231" s="1094" t="str">
        <f>INDEX('卡片raw data'!E:E,MATCH($D231,'卡片raw data'!$F:$F,))</f>
        <v>卡池卡</v>
      </c>
      <c r="M231" s="415">
        <v>43951</v>
      </c>
      <c r="N231" s="416">
        <v>14.5</v>
      </c>
      <c r="O231" s="1091" t="str">
        <f>INDEX('卡片raw data'!D:D,MATCH($D231,'卡片raw data'!$F:$F,))</f>
        <v>sp</v>
      </c>
      <c r="P231" s="417">
        <v>5</v>
      </c>
      <c r="Q231" s="1095">
        <f t="shared" si="258"/>
        <v>31404.668385128229</v>
      </c>
      <c r="R231" s="1096">
        <f t="shared" si="259"/>
        <v>0.36499999999999999</v>
      </c>
      <c r="S231" s="1097">
        <f t="shared" si="260"/>
        <v>18037.123272783785</v>
      </c>
      <c r="T231" s="1098">
        <f t="shared" si="261"/>
        <v>0.90100000000000002</v>
      </c>
      <c r="U231" s="1099">
        <f t="shared" si="262"/>
        <v>10.778754378822859</v>
      </c>
      <c r="V231" s="1100">
        <f t="shared" si="263"/>
        <v>30462.402449248231</v>
      </c>
      <c r="W231" s="1101">
        <f t="shared" si="264"/>
        <v>5399.8134999113681</v>
      </c>
      <c r="X231" s="1096">
        <f t="shared" si="265"/>
        <v>6.2E-2</v>
      </c>
      <c r="Y231" s="1097">
        <f t="shared" si="266"/>
        <v>857.7340641200035</v>
      </c>
      <c r="Z231" s="1102">
        <f t="shared" si="267"/>
        <v>10.778754378822859</v>
      </c>
      <c r="AA231" s="1103">
        <f t="shared" si="268"/>
        <v>6257.5475640313716</v>
      </c>
      <c r="AB231" s="1101">
        <f t="shared" si="269"/>
        <v>6154.4369883709523</v>
      </c>
      <c r="AC231" s="1104">
        <f t="shared" si="270"/>
        <v>7.0999999999999994E-2</v>
      </c>
      <c r="AD231" s="1105">
        <f t="shared" si="271"/>
        <v>-1.9908281250000003E-2</v>
      </c>
      <c r="AE231" s="1128">
        <f t="shared" si="272"/>
        <v>44.904136493684881</v>
      </c>
      <c r="AF231" s="1130">
        <f t="shared" si="273"/>
        <v>0</v>
      </c>
      <c r="AG231" s="420">
        <f t="shared" si="274"/>
        <v>0</v>
      </c>
      <c r="AH231" s="420">
        <f t="shared" si="275"/>
        <v>0</v>
      </c>
      <c r="AI231" s="1097">
        <f t="shared" si="276"/>
        <v>0</v>
      </c>
      <c r="AJ231" s="420">
        <f t="shared" si="277"/>
        <v>0</v>
      </c>
      <c r="AK231" s="518">
        <f t="shared" si="278"/>
        <v>0</v>
      </c>
      <c r="AL231" s="1106">
        <f>IF($P231="","N/A",(IF($P231=-1,INDEX('卡片raw data'!S:S,MATCH($D231,'卡片raw data'!$F:$F,)),0)+IF($P231=0,INDEX('卡片raw data'!V:V,MATCH($D231,'卡片raw data'!$F:$F,)),0)+IF($P231=1,INDEX('卡片raw data'!Y:Y,MATCH($D231,'卡片raw data'!$F:$F,)),0)+IF($P231=2,INDEX('卡片raw data'!AB:AB,MATCH($D231,'卡片raw data'!$F:$F,)),0)+IF($P231=3,INDEX('卡片raw data'!AE:AE,MATCH($D231,'卡片raw data'!$F:$F,)),0)+IF($P231=4,INDEX('卡片raw data'!AH:AH,MATCH($D231,'卡片raw data'!$F:$F,)),0)+IF($P231=5,INDEX('卡片raw data'!AK:AK,MATCH($D231,'卡片raw data'!$F:$F,)),0)+INDEX('卡片raw data'!S:S,MATCH($D231,'卡片raw data'!$F:$F,))*(IF($F231="UR",0.04,0.033))*(IF($F231="UR",INDEX(绊状态确认!$S:$S,MATCH($G231,绊状态确认!$B:$B,))/2-40)+IF($F231="SR",INDEX(绊状态确认!$R:$R,MATCH($G231,绊状态确认!$B:$B,))/4-15))+IF($F231="R",INDEX(绊状态确认!$Q:$Q,MATCH($G231,绊状态确认!$B:$B,))/6-40/6)))*(INDEX(绊状态确认!$H:$H,MATCH($G231,绊状态确认!$B:$B,))+INDEX(绊状态确认!J:J,MATCH($G231,绊状态确认!$B:$B,)))</f>
        <v>6987.8190575999988</v>
      </c>
      <c r="AM231" s="1106">
        <f>IF($P231="","N/A",(IF($P231=-1,INDEX('卡片raw data'!T:T,MATCH($D231,'卡片raw data'!$F:$F,)),0)+IF($P231=0,INDEX('卡片raw data'!W:W,MATCH($D231,'卡片raw data'!$F:$F,)),0)+IF($P231=1,INDEX('卡片raw data'!Z:Z,MATCH($D231,'卡片raw data'!$F:$F,)),0)+IF($P231=2,INDEX('卡片raw data'!AC:AC,MATCH($D231,'卡片raw data'!$F:$F,)),0)+IF($P231=3,INDEX('卡片raw data'!AF:AF,MATCH($D231,'卡片raw data'!$F:$F,)),0)+IF($P231=4,INDEX('卡片raw data'!AI:AI,MATCH($D231,'卡片raw data'!$F:$F,)),0)+IF($P231=5,INDEX('卡片raw data'!AL:AL,MATCH($D231,'卡片raw data'!$F:$F,)),0)+INDEX('卡片raw data'!T:T,MATCH($D231,'卡片raw data'!$F:$F,))*(IF($F231="UR",0.04,0.033))*(IF($F231="UR",INDEX(绊状态确认!$S:$S,MATCH($G231,绊状态确认!$B:$B,))/2-40)+IF($F231="SR",INDEX(绊状态确认!$R:$R,MATCH($G231,绊状态确认!$B:$B,))/4-15))+IF($F231="R",INDEX(绊状态确认!$Q:$Q,MATCH($G231,绊状态确认!$B:$B,))/6-40/6)))*(INDEX(绊状态确认!$H:$H,MATCH($G231,绊状态确认!$B:$B,))+INDEX(绊状态确认!K:K,MATCH($G231,绊状态确认!$B:$B,)))</f>
        <v>5389.1360832</v>
      </c>
      <c r="AN231" s="1106">
        <f>IF($P231="","N/A",(IF($P231=-1,INDEX('卡片raw data'!U:U,MATCH($D231,'卡片raw data'!$F:$F,)),0)+IF($P231=0,INDEX('卡片raw data'!X:X,MATCH($D231,'卡片raw data'!$F:$F,)),0)+IF($P231=1,INDEX('卡片raw data'!AA:AA,MATCH($D231,'卡片raw data'!$F:$F,)),0)+IF($P231=2,INDEX('卡片raw data'!AD:AD,MATCH($D231,'卡片raw data'!$F:$F,)),0)+IF($P231=3,INDEX('卡片raw data'!AG:AG,MATCH($D231,'卡片raw data'!$F:$F,)),0)+IF($P231=4,INDEX('卡片raw data'!AJ:AJ,MATCH($D231,'卡片raw data'!$F:$F,)),0)+IF($P231=5,INDEX('卡片raw data'!AM:AM,MATCH($D231,'卡片raw data'!$F:$F,)),0)+INDEX('卡片raw data'!U:U,MATCH($D231,'卡片raw data'!$F:$F,))*(IF($F231="UR",0.04,0.033))*(IF($F231="UR",INDEX(绊状态确认!$S:$S,MATCH($G231,绊状态确认!$B:$B,))/2-40)+IF($F231="SR",INDEX(绊状态确认!$R:$R,MATCH($G231,绊状态确认!$B:$B,))/4-15))+IF($F231="R",INDEX(绊状态确认!$Q:$Q,MATCH($G231,绊状态确认!$B:$B,))/6-40/6)))*(INDEX(绊状态确认!$H:$H,MATCH($G231,绊状态确认!$B:$B,))+INDEX(绊状态确认!L:L,MATCH($G231,绊状态确认!$B:$B,)))</f>
        <v>7585.601822399999</v>
      </c>
      <c r="AO231" s="1107">
        <f t="shared" si="279"/>
        <v>1</v>
      </c>
      <c r="AP231" s="1131">
        <f>1+(INDEX(绊状态确认!$T:$T,MATCH($G231,绊状态确认!$B:$B,))+0.2)*$AO231</f>
        <v>1.3</v>
      </c>
      <c r="AQ231" s="1108">
        <f t="shared" si="280"/>
        <v>21593.025026199997</v>
      </c>
      <c r="AR231" s="1097">
        <f>(AM231*(1+$EX$9)+$EX$35)*(1+(INDEX(绊状态确认!$T:$T,MATCH($G231,绊状态确认!$B:$B,))+0.2)*AO231)*IF(J231=$FF$17,1+$FE$17,1)*IF(I231=$FF$14,1+$FE$14,1)</f>
        <v>10060.170753568002</v>
      </c>
      <c r="AS231" s="1097">
        <f>(AN231*(1+$EX$10)+$EX$36)*(1+(INDEX(绊状态确认!$T:$T,MATCH($G231,绊状态确认!$B:$B,))+0.2)*AO231)*IF(J231=$FF$17,1+$FE$17,1)*IF(I231=$FF$14,1+$FE$14,1)</f>
        <v>15396.474724487998</v>
      </c>
      <c r="AT231" s="1093">
        <f>IF(AND(INDEX('卡片raw data'!AK:AK,MATCH($D231,'卡片raw data'!$F:$F,))&lt;INDEX('卡片raw data'!AM:AM,MATCH($D231,'卡片raw data'!$F:$F,)),INDEX('卡片raw data'!AL:AL,MATCH($D231,'卡片raw data'!$F:$F,))&lt;INDEX('卡片raw data'!AM:AM,MATCH($D231,'卡片raw data'!$F:$F,))),1,0)</f>
        <v>1</v>
      </c>
      <c r="AU231" s="1098">
        <f>MIN(AT231*0.15+AS231*0.00003+INDEX(绊状态确认!M:M,MATCH($G231,绊状态确认!$B:$B,)),1)</f>
        <v>0.64189424173463994</v>
      </c>
      <c r="AV231" s="1109">
        <f>(INDEX(绊状态确认!$N:$N,MATCH($G231,绊状态确认!$B:$B,))+1.5)*$EW$21</f>
        <v>2.6599999999999997</v>
      </c>
      <c r="AW231" s="1101">
        <f t="shared" si="281"/>
        <v>23163.564730090609</v>
      </c>
      <c r="AX231" s="1097">
        <f t="shared" si="282"/>
        <v>857.73406412000372</v>
      </c>
      <c r="AY231" s="1110">
        <f t="shared" si="283"/>
        <v>24021.298794210612</v>
      </c>
      <c r="AZ231" s="429">
        <f t="shared" si="284"/>
        <v>16226.247162319998</v>
      </c>
      <c r="BA231" s="431">
        <f t="shared" si="285"/>
        <v>19471.496594783996</v>
      </c>
      <c r="BB231" s="1097">
        <f>(AM231*(1+$FB$9)+$FB$35)*(1+(INDEX(绊状态确认!$T:$T,MATCH($G231,绊状态确认!$B:$B,))+0.2)*AO231)*IF(J231=$FF$17,1+$FE$17,1)*IF(I231=$FF$14,1+$FE$14,1)*(1+$FE$15)</f>
        <v>10060.170753568002</v>
      </c>
      <c r="BC231" s="1097">
        <f>(AN231*(1+$FB$10)+$FB$36)*(1+(INDEX(绊状态确认!$T:$T,MATCH($G231,绊状态确认!$B:$B,))+0.2)*AO231)*IF(J231=$FF$17,1+$FE$17,1)*IF(I231=$FF$14,1+$FE$14,1)*(1+$FE$15)</f>
        <v>15396.474724487998</v>
      </c>
      <c r="BD231" s="1104">
        <f>MIN(AT231*0.15+BC231*0.00003+INDEX(绊状态确认!M:M,MATCH($G231,绊状态确认!$B:$B,)),1)</f>
        <v>0.64189424173463994</v>
      </c>
      <c r="BE231" s="432">
        <f>(INDEX(绊状态确认!$N:$N,MATCH($G231,绊状态确认!$B:$B,))+1.5)</f>
        <v>1.9</v>
      </c>
      <c r="BF231" s="1139">
        <f t="array" ref="BF231">SUMPRODUCT(IF(AZ231*AP231*$FI$16:$FI$23*$FA$22&gt;=$FI$24,$FI$24,AZ231*AP231*$FI$16:$FI$23*$FA$22),$FJ$16:$FJ$23)</f>
        <v>32274.005605854483</v>
      </c>
      <c r="BG231" s="1125">
        <f t="array" ref="BG231">SUMPRODUCT(IF(BE231*AZ231*AP231*$FI$16:$FI$23*$FA$22&gt;=$FI$24,$FI$24,BE231*AZ231*AP231*$FI$16:$FI$23*$FA$22),$FJ$16:$FJ$23)</f>
        <v>57241.780160193113</v>
      </c>
      <c r="BH231" s="1110">
        <f t="shared" si="286"/>
        <v>16100.225440404372</v>
      </c>
      <c r="BI231" s="1111">
        <f>IF(O231="vo",$EW$26/$EW$24*0.05,0)+IF(O231="sk",-$EW$26/$EW$24*(0.05-INDEX(绊状态确认!W:W,MATCH($G231,绊状态确认!$B:$B,)))+0.05*$EW$28,0)+IF(O231="sp",0.05*$EW$32*$EW$30*(1-$EW$33)-(0.05-INDEX(绊状态确认!V:V,MATCH($G231,绊状态确认!$B:$B,)))*$EW$28,0)+IF(O231="gd",-(0.05-INDEX(绊状态确认!X:X,MATCH($G231,绊状态确认!$B:$B,)))*$EW$32*$EW$30*(1-$EW$33),0)</f>
        <v>19.999999999999886</v>
      </c>
      <c r="BJ231" s="1097">
        <f>IF(O231="vo",0.05*(1-$FI$26)*$FA$24,0)+IF(O231="sk",-(0.05-INDEX(绊状态确认!W:W,MATCH($G231,绊状态确认!$B:$B,)))*(1-$FI$26)*$FA$24+0.05*$FA$26,0)+IF(O231="sp",0.05*$FA$32*$FA$27*(1-$FA$33)/$FA$30+0.05*$FA$29/$FA$69*$FA$27*(1-$FA$33)-(0.05-INDEX(绊状态确认!V:V,MATCH($G231,绊状态确认!$B:$B,)))*$FA$26,0)+IF(O231="gd",-(0.05-INDEX(绊状态确认!X:X,MATCH($G231,绊状态确认!$B:$B,)))*$FA$32*$FA$27*(1-$FA$33)/$FA$30-(0.05-INDEX(绊状态确认!X:X,MATCH($G231,绊状态确认!$B:$B,)))*$FA$29/$FA$69*$FA$27*(1-$FA$33),0)</f>
        <v>545.83333333333326</v>
      </c>
      <c r="BK231" s="1110">
        <f>IF(O231="vo",$EW$26/$EW$24*0.05+$EW$26*(-HP($EW$62,$EW$65,$EW$64)+HP($EW$62,$EW$65,(1.05-INDEX(绊状态确认!U:U,MATCH($G231,绊状态确认!$B:$B,)))*$EW$64)),0)+IF(O231="sk",-$EW$26/$EW$24*(0.05-INDEX(绊状态确认!W:W,MATCH($G231,绊状态确认!$B:$B,)))+0.05*$EW$29,0)+IF(O231="sp",0.05*$EW$32*$EW$30*(1-$EW$33)-(0.05-INDEX(绊状态确认!V:V,MATCH($G231,绊状态确认!$B:$B,)))*$EW$29,0)+IF(O231="gd",-(0.05-INDEX(绊状态确认!X:X,MATCH($G231,绊状态确认!$B:$B,)))*$EW$32*$EW$30*(1-$EW$33)+$EW$26*(-HP($EW$62,$EW$65,$EW$64)+HP($EW$62,$EW$65,0.95*$EW$64)),0)</f>
        <v>-1780.0000000000005</v>
      </c>
      <c r="BL231" s="1111">
        <f t="shared" si="287"/>
        <v>-1083.3333333333333</v>
      </c>
      <c r="BM231" s="1110">
        <f t="shared" si="288"/>
        <v>-830.55555555555543</v>
      </c>
      <c r="BN231" s="1113">
        <f t="shared" si="289"/>
        <v>3</v>
      </c>
      <c r="BO231" s="1097">
        <f t="shared" si="290"/>
        <v>4507.7214871259994</v>
      </c>
      <c r="BP231" s="1100">
        <f t="shared" si="291"/>
        <v>221.34103209030098</v>
      </c>
      <c r="BQ231" s="1113" t="s">
        <v>145</v>
      </c>
      <c r="BR231" s="1124" t="s">
        <v>148</v>
      </c>
      <c r="BS231" s="1098">
        <f>IF($P231="","N/A",IF($P231=-1,INDEX('卡片raw data'!AX:AX,MATCH($D231,'卡片raw data'!$F:$F,)),0)+IF($L231="party卡",IF($P231=5,INDEX('卡片raw data'!BD:BD,MATCH($D231,'卡片raw data'!$F:$F,)),IF($P231&gt;=3,INDEX('卡片raw data'!BC:BC,MATCH($D231,'卡片raw data'!$F:$F,)),INDEX('卡片raw data'!BB:BB,MATCH($D231,'卡片raw data'!$F:$F,)))),IF(OR(AND($F231="UR",$P231=0),AND($F231="SR",$P231&gt;=0,$P231&lt;=2),AND($F231="R",$P231&gt;=0,$P231&lt;4)),INDEX('卡片raw data'!AZ:AZ,MATCH($D231,'卡片raw data'!$F:$F,)),0)+IF(OR(AND($F231="UR",$P231&gt;=1,$P231&lt;=4),AND($F231="SR",$P231&lt;=4,$P231&gt;=3),AND($F231="R",$P231=4)),INDEX('卡片raw data'!BA:BA,MATCH($D231,'卡片raw data'!$F:$F,)),0)+IF($P231=5,INDEX('卡片raw data'!BB:BB,MATCH($D231,'卡片raw data'!$F:$F,)),0)))</f>
        <v>3.2000000000000001E-2</v>
      </c>
      <c r="BT231" s="1101">
        <f t="shared" si="292"/>
        <v>1509.2469769191675</v>
      </c>
      <c r="BU231" s="1097">
        <f t="shared" si="293"/>
        <v>95.522578685765595</v>
      </c>
      <c r="BV231" s="1097">
        <f t="shared" si="294"/>
        <v>754.62348845958354</v>
      </c>
      <c r="BW231" s="1112">
        <f t="shared" si="295"/>
        <v>0</v>
      </c>
      <c r="BX231" s="1100">
        <f t="shared" si="296"/>
        <v>1509.2469769191675</v>
      </c>
      <c r="BY231" s="1110">
        <f t="shared" si="297"/>
        <v>754.62348845958354</v>
      </c>
      <c r="BZ231" s="1107" t="s">
        <v>569</v>
      </c>
      <c r="CA231" s="1124"/>
      <c r="CB231" s="1098">
        <f>IF($P231="","N/A",IF($P231=-1,INDEX('卡片raw data'!BE:BE,MATCH($D231,'卡片raw data'!$F:$F,)),0)+IF($L231="party卡",IF($P231=5,INDEX('卡片raw data'!BK:BK,MATCH($D231,'卡片raw data'!$F:$F,)),IF($P231&gt;=3,INDEX('卡片raw data'!BJ:BJ,MATCH($D231,'卡片raw data'!$F:$F,)),INDEX('卡片raw data'!BI:BI,MATCH($D231,'卡片raw data'!$F:$F,)))),IF(OR(AND($F231="UR",$P231=0),AND($F231="SR",$P231&gt;=0,$P231&lt;=2),AND($F231="R",$P231&gt;=0,$P231&lt;4)),INDEX('卡片raw data'!BG:BG,MATCH($D231,'卡片raw data'!$F:$F,)),0)+IF(OR(AND($F231="UR",$P231&gt;=1,$P231&lt;=4),AND($F231="SR",$P231&lt;=4,$P231&gt;=3),AND($F231="R",$P231=4)),INDEX('卡片raw data'!BH:BH,MATCH($D231,'卡片raw data'!$F:$F,)),0)+IF($P231=5,INDEX('卡片raw data'!BI:BI,MATCH($D231,'卡片raw data'!$F:$F,)),0)))</f>
        <v>0</v>
      </c>
      <c r="CC231" s="1101">
        <f t="shared" si="298"/>
        <v>0</v>
      </c>
      <c r="CD231" s="1097">
        <f>IF(BZ231="ap",CB231*(1-$FI$26)*$FB$5/$FB$11*(+IF(CA231="全员",$FA$24,0)+IF(CA231="同作战",$FA$24,0)+IF(CA231="仲间",$FA$24*2/3,0)+IF(CA231="同属性",$FA$24*$FA$37/3,0)+IF(CA231="同年级",$FA$24*$FA$40/3,0)+IF(CA231="同学校",$FA$24*$FA$43/3,0)+IF(CA231="同小队",$FA$24*$FA$46/3,0)+IF(CA231="同type",$FA$24*INDEX($FB$49:$FB$52,MATCH(X231,$FA$49:$FA$52,))/3,0)+IF(CA231="自身",#REF!/3,0)),0)+IF(BZ231="te",CB231*(1-$FI$27)*($FA$20-1)*$FB$7/$FB$13*(+IF(CA231="全员",$FA$19*$FA$24/(1+($FA$20-1)*$FA$19),0)+IF(CA231="同作战",$FA$19*$FA$24/(1+($FA$20-1)*$FA$19),0)+IF(CA231="仲间",$FA$19*$FA$24*2/3/(1+($FA$20-1)*$FA$19),0)+IF(CA231="同属性",$FA$19*$FA$24*$FA$37/3/(1+($FA$20-1)*$FA$19),0)+IF(CA231="同年级",$FA$19*$FA$24*$FA$40/3/(1+($FA$20-1)*$FA$19),0)+IF(CA231="同学校",$FA$19*$FA$24*$FA$43/3/(1+($FA$20-1)*$FA$19),0)+IF(CA231="同小队",$FA$19*$FA$24*$FA$46/3/(1+($FA$20-1)*$FA$19),0)+IF(CA231="同type",$FA$19*$FA$24*INDEX($FB$49:$FB$52,MATCH(X231,$FA$49:$FA$52,))/3/(1+($FA$20-1)*$FA$19),0)+IF(CA231="自身",$FA$19*#REF!/3/(1+(BH231-1)*$BD231),0)),0)</f>
        <v>0</v>
      </c>
      <c r="CE231" s="1097">
        <f t="shared" si="299"/>
        <v>0</v>
      </c>
      <c r="CF231" s="1112">
        <f t="shared" si="300"/>
        <v>0</v>
      </c>
      <c r="CG231" s="1100">
        <f t="shared" si="301"/>
        <v>0</v>
      </c>
      <c r="CH231" s="1110">
        <f t="shared" si="302"/>
        <v>0</v>
      </c>
      <c r="CI231" s="1113" t="s">
        <v>165</v>
      </c>
      <c r="CJ231" s="1114">
        <v>0.5</v>
      </c>
      <c r="CK231" s="1115" t="s">
        <v>156</v>
      </c>
      <c r="CL231" s="1115" t="s">
        <v>1945</v>
      </c>
      <c r="CM231" s="1119">
        <v>0.08</v>
      </c>
      <c r="CN231" s="1115"/>
      <c r="CO231" s="1092"/>
      <c r="CP231" s="1116">
        <f t="shared" si="303"/>
        <v>2.1994963892125714</v>
      </c>
      <c r="CQ231" s="1116">
        <f t="shared" si="304"/>
        <v>3.9346546518135996</v>
      </c>
      <c r="CR231" s="1116">
        <f t="shared" si="305"/>
        <v>2.1994963892125714</v>
      </c>
      <c r="CS231" s="1118">
        <f t="shared" si="306"/>
        <v>0</v>
      </c>
      <c r="CT231" s="1109">
        <f t="shared" si="307"/>
        <v>3.5925107690472</v>
      </c>
      <c r="CU231" s="1101">
        <f t="shared" si="308"/>
        <v>137.46852432578572</v>
      </c>
      <c r="CV231" s="1108">
        <f t="shared" si="309"/>
        <v>163.94394382556666</v>
      </c>
      <c r="CW231" s="1097">
        <f t="shared" si="310"/>
        <v>137.46852432578572</v>
      </c>
      <c r="CX231" s="1097">
        <f t="shared" si="311"/>
        <v>137.46852432578572</v>
      </c>
      <c r="CY231" s="1110">
        <f t="shared" si="312"/>
        <v>137.46852432578572</v>
      </c>
      <c r="CZ231" s="437"/>
      <c r="DA231" s="438"/>
      <c r="DB231" s="439" t="s">
        <v>569</v>
      </c>
      <c r="DC231" s="439"/>
      <c r="DD231" s="443"/>
      <c r="DE231" s="411"/>
      <c r="DF231" s="411"/>
      <c r="DG231" s="1116">
        <f t="shared" si="313"/>
        <v>0</v>
      </c>
      <c r="DH231" s="1116">
        <f t="shared" si="314"/>
        <v>0</v>
      </c>
      <c r="DI231" s="1116">
        <f t="shared" si="315"/>
        <v>0</v>
      </c>
      <c r="DJ231" s="442">
        <f t="shared" si="316"/>
        <v>0</v>
      </c>
      <c r="DK231" s="1109">
        <f t="shared" si="317"/>
        <v>0</v>
      </c>
      <c r="DL231" s="1101">
        <f t="shared" si="318"/>
        <v>0</v>
      </c>
      <c r="DM231" s="1097">
        <f t="shared" si="319"/>
        <v>0</v>
      </c>
      <c r="DN231" s="1097">
        <f t="shared" si="320"/>
        <v>0</v>
      </c>
      <c r="DO231" s="1097">
        <f t="shared" si="321"/>
        <v>0</v>
      </c>
      <c r="DP231" s="1110">
        <f t="shared" si="322"/>
        <v>0</v>
      </c>
      <c r="DQ231" s="1113" t="s">
        <v>549</v>
      </c>
      <c r="DR231" s="1120">
        <f t="shared" si="323"/>
        <v>0.3</v>
      </c>
      <c r="DS231" s="1124"/>
      <c r="DT231" s="1093" t="s">
        <v>179</v>
      </c>
      <c r="DU231" s="1093"/>
      <c r="DV231" s="1098">
        <f>IF($P231="","N/A",IF(P231=-1,INDEX('卡片raw data'!AN:AN,MATCH(D231,'卡片raw data'!$F:$F,)),0)+IF(AND(L231&lt;&gt;"party卡",P231&lt;=2,P231&gt;=0),INDEX('卡片raw data'!AP:AP,MATCH(D231,'卡片raw data'!$F:$F,)),0)+IF(OR(AND(L231="party卡",P231&lt;=1),AND(P231&lt;=4,L231&lt;&gt;"party卡",P231&gt;=3)),INDEX('卡片raw data'!AQ:AQ,MATCH(D231,'卡片raw data'!$F:$F,)),0)+IF(OR(P231=5,AND(L231="party卡",P231&gt;=2)),INDEX('卡片raw data'!AR:AR,MATCH(D231,'卡片raw data'!$F:$F,)),0))</f>
        <v>7.0000000000000007E-2</v>
      </c>
      <c r="DW231" s="1098">
        <f t="shared" si="324"/>
        <v>0.3</v>
      </c>
      <c r="DX231" s="1098">
        <f t="shared" si="325"/>
        <v>0.3</v>
      </c>
      <c r="DY231" s="1098">
        <f t="shared" si="326"/>
        <v>7.0000000000000001E-3</v>
      </c>
      <c r="DZ231" s="1098">
        <f t="shared" si="327"/>
        <v>6.9632499999999998E-3</v>
      </c>
      <c r="EA231" s="1098">
        <f t="shared" si="328"/>
        <v>0</v>
      </c>
      <c r="EB231" s="1121">
        <f t="shared" si="329"/>
        <v>42.663074999999999</v>
      </c>
      <c r="EC231" s="1101">
        <f t="shared" si="330"/>
        <v>3150</v>
      </c>
      <c r="ED231" s="1097">
        <f t="shared" si="331"/>
        <v>1740.8125</v>
      </c>
      <c r="EE231" s="1110">
        <f t="shared" si="332"/>
        <v>3150</v>
      </c>
      <c r="EF231" s="1092" t="s">
        <v>711</v>
      </c>
      <c r="EG231" s="1120">
        <f t="shared" si="333"/>
        <v>0.3</v>
      </c>
      <c r="EH231" s="1124"/>
      <c r="EI231" s="1093"/>
      <c r="EJ231" s="1093"/>
      <c r="EK231" s="1097">
        <f>IF($P231="","N/A",IF(P231=-1,INDEX('卡片raw data'!AS:AS,MATCH(D231,'卡片raw data'!$F:$F,)),0)+IF(AND(L231&lt;&gt;"party卡",P231&lt;=2,P231&gt;=0),INDEX('卡片raw data'!AU:AU,MATCH(D231,'卡片raw data'!$F:$F,)),0)+IF(OR(AND(L231="party卡",P231&lt;=1),AND(P231&lt;=4,L231&lt;&gt;"party卡",P231&gt;=3)),INDEX('卡片raw data'!AV:AV,MATCH(D231,'卡片raw data'!$F:$F,)),0)+IF(OR(P231=5,AND(L231="party卡",P231&gt;=2)),INDEX('卡片raw data'!AW:AW,MATCH(D231,'卡片raw data'!$F:$F,)),0))</f>
        <v>0</v>
      </c>
      <c r="EL231" s="1098">
        <f t="shared" si="334"/>
        <v>0.3</v>
      </c>
      <c r="EM231" s="1098">
        <f t="shared" si="335"/>
        <v>0.3</v>
      </c>
      <c r="EN231" s="1125">
        <f t="shared" si="336"/>
        <v>0</v>
      </c>
      <c r="EO231" s="1125">
        <f t="shared" si="337"/>
        <v>0</v>
      </c>
      <c r="EP231" s="1098">
        <f t="shared" si="338"/>
        <v>0</v>
      </c>
      <c r="EQ231" s="1121">
        <f t="shared" si="339"/>
        <v>0</v>
      </c>
      <c r="ER231" s="1101">
        <f t="shared" si="340"/>
        <v>0</v>
      </c>
      <c r="ES231" s="1097">
        <f t="shared" si="341"/>
        <v>0</v>
      </c>
      <c r="ET231" s="1122">
        <f t="shared" si="342"/>
        <v>0</v>
      </c>
    </row>
    <row r="232" spans="2:150" ht="16.5" customHeight="1">
      <c r="B232" s="1123" t="str">
        <f>INDEX('卡片raw data'!B:B,MATCH($D232,'卡片raw data'!$F:$F,))</f>
        <v>bm梨</v>
      </c>
      <c r="C232" s="449" t="s">
        <v>67</v>
      </c>
      <c r="D232" s="408">
        <v>229</v>
      </c>
      <c r="E232" s="1090">
        <v>301022002</v>
      </c>
      <c r="F232" s="1090" t="str">
        <f>INDEX('卡片raw data'!C:C,MATCH($D232,'卡片raw data'!$F:$F,))</f>
        <v>SR</v>
      </c>
      <c r="G232" s="1094" t="s">
        <v>340</v>
      </c>
      <c r="H232" s="411">
        <f>IFERROR(INDEX(绊状态确认!C:C,MATCH($G232,绊状态确认!$B:$B,)),"")</f>
        <v>102</v>
      </c>
      <c r="I232" s="1124" t="str">
        <f>IFERROR(INDEX(绊状态确认!D:D,MATCH($G232,绊状态确认!$B:$B,)),"")</f>
        <v>水</v>
      </c>
      <c r="J232" s="1124" t="str">
        <f>IFERROR(INDEX(绊状态确认!E:E,MATCH($G232,绊状态确认!$B:$B,)),"")</f>
        <v>2年级</v>
      </c>
      <c r="K232" s="451" t="str">
        <f>IFERROR(INDEX(绊状态确认!F:F,MATCH($G232,绊状态确认!$B:$B,)),"")</f>
        <v>Guilty Kiss</v>
      </c>
      <c r="L232" s="1094" t="str">
        <f>INDEX('卡片raw data'!E:E,MATCH($D232,'卡片raw data'!$F:$F,))</f>
        <v>卡池卡</v>
      </c>
      <c r="M232" s="415">
        <v>43951</v>
      </c>
      <c r="N232" s="416">
        <v>14.5</v>
      </c>
      <c r="O232" s="1091" t="str">
        <f>INDEX('卡片raw data'!D:D,MATCH($D232,'卡片raw data'!$F:$F,))</f>
        <v>vo</v>
      </c>
      <c r="P232" s="417">
        <v>5</v>
      </c>
      <c r="Q232" s="1095">
        <f t="shared" si="258"/>
        <v>36793.579793155688</v>
      </c>
      <c r="R232" s="1096">
        <f t="shared" si="259"/>
        <v>0.42699999999999999</v>
      </c>
      <c r="S232" s="1097">
        <f t="shared" si="260"/>
        <v>16675.620591140312</v>
      </c>
      <c r="T232" s="1098">
        <f t="shared" si="261"/>
        <v>0.83299999999999996</v>
      </c>
      <c r="U232" s="1099">
        <f t="shared" si="262"/>
        <v>-14.512591591677143</v>
      </c>
      <c r="V232" s="1100">
        <f t="shared" si="263"/>
        <v>36322.964450797444</v>
      </c>
      <c r="W232" s="1101">
        <f t="shared" si="264"/>
        <v>4507.7214871259994</v>
      </c>
      <c r="X232" s="1096">
        <f t="shared" si="265"/>
        <v>5.1999999999999998E-2</v>
      </c>
      <c r="Y232" s="1097">
        <f t="shared" si="266"/>
        <v>834.05310788345741</v>
      </c>
      <c r="Z232" s="1102">
        <f t="shared" si="267"/>
        <v>10.487408408322857</v>
      </c>
      <c r="AA232" s="1103">
        <f t="shared" si="268"/>
        <v>5341.7745950094568</v>
      </c>
      <c r="AB232" s="1101">
        <f t="shared" si="269"/>
        <v>5852.9078769805792</v>
      </c>
      <c r="AC232" s="1104">
        <f t="shared" si="270"/>
        <v>6.8000000000000005E-2</v>
      </c>
      <c r="AD232" s="1105">
        <f t="shared" si="271"/>
        <v>-3.8207812500000026E-3</v>
      </c>
      <c r="AE232" s="1128">
        <f t="shared" si="272"/>
        <v>-12.27536231884058</v>
      </c>
      <c r="AF232" s="1130">
        <f t="shared" si="273"/>
        <v>0</v>
      </c>
      <c r="AG232" s="420">
        <f t="shared" si="274"/>
        <v>0</v>
      </c>
      <c r="AH232" s="420">
        <f t="shared" si="275"/>
        <v>0</v>
      </c>
      <c r="AI232" s="1097">
        <f t="shared" si="276"/>
        <v>0</v>
      </c>
      <c r="AJ232" s="420">
        <f t="shared" si="277"/>
        <v>0</v>
      </c>
      <c r="AK232" s="518">
        <f t="shared" si="278"/>
        <v>0</v>
      </c>
      <c r="AL232" s="1106">
        <f>IF($P232="","N/A",(IF($P232=-1,INDEX('卡片raw data'!S:S,MATCH($D232,'卡片raw data'!$F:$F,)),0)+IF($P232=0,INDEX('卡片raw data'!V:V,MATCH($D232,'卡片raw data'!$F:$F,)),0)+IF($P232=1,INDEX('卡片raw data'!Y:Y,MATCH($D232,'卡片raw data'!$F:$F,)),0)+IF($P232=2,INDEX('卡片raw data'!AB:AB,MATCH($D232,'卡片raw data'!$F:$F,)),0)+IF($P232=3,INDEX('卡片raw data'!AE:AE,MATCH($D232,'卡片raw data'!$F:$F,)),0)+IF($P232=4,INDEX('卡片raw data'!AH:AH,MATCH($D232,'卡片raw data'!$F:$F,)),0)+IF($P232=5,INDEX('卡片raw data'!AK:AK,MATCH($D232,'卡片raw data'!$F:$F,)),0)+INDEX('卡片raw data'!S:S,MATCH($D232,'卡片raw data'!$F:$F,))*(IF($F232="UR",0.04,0.033))*(IF($F232="UR",INDEX(绊状态确认!$S:$S,MATCH($G232,绊状态确认!$B:$B,))/2-40)+IF($F232="SR",INDEX(绊状态确认!$R:$R,MATCH($G232,绊状态确认!$B:$B,))/4-15))+IF($F232="R",INDEX(绊状态确认!$Q:$Q,MATCH($G232,绊状态确认!$B:$B,))/6-40/6)))*(INDEX(绊状态确认!$H:$H,MATCH($G232,绊状态确认!$B:$B,))+INDEX(绊状态确认!J:J,MATCH($G232,绊状态确认!$B:$B,)))</f>
        <v>8585.3656319999991</v>
      </c>
      <c r="AM232" s="1106">
        <f>IF($P232="","N/A",(IF($P232=-1,INDEX('卡片raw data'!T:T,MATCH($D232,'卡片raw data'!$F:$F,)),0)+IF($P232=0,INDEX('卡片raw data'!W:W,MATCH($D232,'卡片raw data'!$F:$F,)),0)+IF($P232=1,INDEX('卡片raw data'!Z:Z,MATCH($D232,'卡片raw data'!$F:$F,)),0)+IF($P232=2,INDEX('卡片raw data'!AC:AC,MATCH($D232,'卡片raw data'!$F:$F,)),0)+IF($P232=3,INDEX('卡片raw data'!AF:AF,MATCH($D232,'卡片raw data'!$F:$F,)),0)+IF($P232=4,INDEX('卡片raw data'!AI:AI,MATCH($D232,'卡片raw data'!$F:$F,)),0)+IF($P232=5,INDEX('卡片raw data'!AL:AL,MATCH($D232,'卡片raw data'!$F:$F,)),0)+INDEX('卡片raw data'!T:T,MATCH($D232,'卡片raw data'!$F:$F,))*(IF($F232="UR",0.04,0.033))*(IF($F232="UR",INDEX(绊状态确认!$S:$S,MATCH($G232,绊状态确认!$B:$B,))/2-40)+IF($F232="SR",INDEX(绊状态确认!$R:$R,MATCH($G232,绊状态确认!$B:$B,))/4-15))+IF($F232="R",INDEX(绊状态确认!$Q:$Q,MATCH($G232,绊状态确认!$B:$B,))/6-40/6)))*(INDEX(绊状态确认!$H:$H,MATCH($G232,绊状态确认!$B:$B,))+INDEX(绊状态确认!K:K,MATCH($G232,绊状态确认!$B:$B,)))</f>
        <v>5189.9251631999996</v>
      </c>
      <c r="AN232" s="1106">
        <f>IF($P232="","N/A",(IF($P232=-1,INDEX('卡片raw data'!U:U,MATCH($D232,'卡片raw data'!$F:$F,)),0)+IF($P232=0,INDEX('卡片raw data'!X:X,MATCH($D232,'卡片raw data'!$F:$F,)),0)+IF($P232=1,INDEX('卡片raw data'!AA:AA,MATCH($D232,'卡片raw data'!$F:$F,)),0)+IF($P232=2,INDEX('卡片raw data'!AD:AD,MATCH($D232,'卡片raw data'!$F:$F,)),0)+IF($P232=3,INDEX('卡片raw data'!AG:AG,MATCH($D232,'卡片raw data'!$F:$F,)),0)+IF($P232=4,INDEX('卡片raw data'!AJ:AJ,MATCH($D232,'卡片raw data'!$F:$F,)),0)+IF($P232=5,INDEX('卡片raw data'!AM:AM,MATCH($D232,'卡片raw data'!$F:$F,)),0)+INDEX('卡片raw data'!U:U,MATCH($D232,'卡片raw data'!$F:$F,))*(IF($F232="UR",0.04,0.033))*(IF($F232="UR",INDEX(绊状态确认!$S:$S,MATCH($G232,绊状态确认!$B:$B,))/2-40)+IF($F232="SR",INDEX(绊状态确认!$R:$R,MATCH($G232,绊状态确认!$B:$B,))/4-15))+IF($F232="R",INDEX(绊状态确认!$Q:$Q,MATCH($G232,绊状态确认!$B:$B,))/6-40/6)))*(INDEX(绊状态确认!$H:$H,MATCH($G232,绊状态确认!$B:$B,))+INDEX(绊状态确认!L:L,MATCH($G232,绊状态确认!$B:$B,)))</f>
        <v>6187.3411703999991</v>
      </c>
      <c r="AO232" s="1107">
        <f t="shared" si="279"/>
        <v>1</v>
      </c>
      <c r="AP232" s="1131">
        <f>1+(INDEX(绊状态确认!$T:$T,MATCH($G232,绊状态确认!$B:$B,))+0.2)*$AO232</f>
        <v>1.3</v>
      </c>
      <c r="AQ232" s="1108">
        <f t="shared" si="280"/>
        <v>25786.584783999999</v>
      </c>
      <c r="AR232" s="1097">
        <f>(AM232*(1+$EX$9)+$EX$35)*(1+(INDEX(绊状态确认!$T:$T,MATCH($G232,绊状态确认!$B:$B,))+0.2)*AO232)*IF(J232=$FF$17,1+$FE$17,1)*IF(I232=$FF$14,1+$FE$14,1)</f>
        <v>9788.2478477679997</v>
      </c>
      <c r="AS232" s="1097">
        <f>(AN232*(1+$EX$10)+$EX$36)*(1+(INDEX(绊状态确认!$T:$T,MATCH($G232,绊状态确认!$B:$B,))+0.2)*AO232)*IF(J232=$FF$17,1+$FE$17,1)*IF(I232=$FF$14,1+$FE$14,1)</f>
        <v>13306.075049747998</v>
      </c>
      <c r="AT232" s="1093">
        <f>IF(AND(INDEX('卡片raw data'!AK:AK,MATCH($D232,'卡片raw data'!$F:$F,))&lt;INDEX('卡片raw data'!AM:AM,MATCH($D232,'卡片raw data'!$F:$F,)),INDEX('卡片raw data'!AL:AL,MATCH($D232,'卡片raw data'!$F:$F,))&lt;INDEX('卡片raw data'!AM:AM,MATCH($D232,'卡片raw data'!$F:$F,))),1,0)</f>
        <v>0</v>
      </c>
      <c r="AU232" s="1098">
        <f>MIN(AT232*0.15+AS232*0.00003+INDEX(绊状态确认!M:M,MATCH($G232,绊状态确认!$B:$B,)),1)</f>
        <v>0.42918225149243999</v>
      </c>
      <c r="AV232" s="1109">
        <f>(INDEX(绊状态确认!$N:$N,MATCH($G232,绊状态确认!$B:$B,))+1.5)*$EW$21</f>
        <v>2.6599999999999997</v>
      </c>
      <c r="AW232" s="1101">
        <f t="shared" si="281"/>
        <v>22933.334120842625</v>
      </c>
      <c r="AX232" s="1097">
        <f t="shared" si="282"/>
        <v>834.05310788345776</v>
      </c>
      <c r="AY232" s="1110">
        <f t="shared" si="283"/>
        <v>23767.387228726082</v>
      </c>
      <c r="AZ232" s="429">
        <f t="shared" si="284"/>
        <v>19341.462982399997</v>
      </c>
      <c r="BA232" s="431">
        <f t="shared" si="285"/>
        <v>23209.755578879995</v>
      </c>
      <c r="BB232" s="1097">
        <f>(AM232*(1+$FB$9)+$FB$35)*(1+(INDEX(绊状态确认!$T:$T,MATCH($G232,绊状态确认!$B:$B,))+0.2)*AO232)*IF(J232=$FF$17,1+$FE$17,1)*IF(I232=$FF$14,1+$FE$14,1)*(1+$FE$15)</f>
        <v>9788.2478477679997</v>
      </c>
      <c r="BC232" s="1097">
        <f>(AN232*(1+$FB$10)+$FB$36)*(1+(INDEX(绊状态确认!$T:$T,MATCH($G232,绊状态确认!$B:$B,))+0.2)*AO232)*IF(J232=$FF$17,1+$FE$17,1)*IF(I232=$FF$14,1+$FE$14,1)*(1+$FE$15)</f>
        <v>13306.075049747998</v>
      </c>
      <c r="BD232" s="1104">
        <f>MIN(AT232*0.15+BC232*0.00003+INDEX(绊状态确认!M:M,MATCH($G232,绊状态确认!$B:$B,)),1)</f>
        <v>0.42918225149243999</v>
      </c>
      <c r="BE232" s="432">
        <f>(INDEX(绊状态确认!$N:$N,MATCH($G232,绊状态确认!$B:$B,))+1.5)</f>
        <v>1.9</v>
      </c>
      <c r="BF232" s="1139">
        <f t="array" ref="BF232">SUMPRODUCT(IF(AZ232*AP232*$FI$16:$FI$23*$FA$22&gt;=$FI$24,$FI$24,AZ232*AP232*$FI$16:$FI$23*$FA$22),$FJ$16:$FJ$23)</f>
        <v>38470.169871993596</v>
      </c>
      <c r="BG232" s="1125">
        <f t="array" ref="BG232">SUMPRODUCT(IF(BE232*AZ232*AP232*$FI$16:$FI$23*$FA$22&gt;=$FI$24,$FI$24,BE232*AZ232*AP232*$FI$16:$FI$23*$FA$22),$FJ$16:$FJ$23)</f>
        <v>59732.809627983355</v>
      </c>
      <c r="BH232" s="1110">
        <f t="shared" si="286"/>
        <v>15865.239158380651</v>
      </c>
      <c r="BI232" s="1111">
        <f>IF(O232="vo",$EW$26/$EW$24*0.05,0)+IF(O232="sk",-$EW$26/$EW$24*(0.05-INDEX(绊状态确认!W:W,MATCH($G232,绊状态确认!$B:$B,)))+0.05*$EW$28,0)+IF(O232="sp",0.05*$EW$32*$EW$30*(1-$EW$33)-(0.05-INDEX(绊状态确认!V:V,MATCH($G232,绊状态确认!$B:$B,)))*$EW$28,0)+IF(O232="gd",-(0.05-INDEX(绊状态确认!X:X,MATCH($G232,绊状态确认!$B:$B,)))*$EW$32*$EW$30*(1-$EW$33),0)</f>
        <v>7726.3029277443748</v>
      </c>
      <c r="BJ232" s="1097">
        <f>IF(O232="vo",0.05*(1-$FI$26)*$FA$24,0)+IF(O232="sk",-(0.05-INDEX(绊状态确认!W:W,MATCH($G232,绊状态确认!$B:$B,)))*(1-$FI$26)*$FA$24+0.05*$FA$26,0)+IF(O232="sp",0.05*$FA$32*$FA$27*(1-$FA$33)/$FA$30+0.05*$FA$29/$FA$69*$FA$27*(1-$FA$33)-(0.05-INDEX(绊状态确认!V:V,MATCH($G232,绊状态确认!$B:$B,)))*$FA$26,0)+IF(O232="gd",-(0.05-INDEX(绊状态确认!X:X,MATCH($G232,绊状态确认!$B:$B,)))*$FA$32*$FA$27*(1-$FA$33)/$FA$30-(0.05-INDEX(绊状态确认!X:X,MATCH($G232,绊状态确认!$B:$B,)))*$FA$29/$FA$69*$FA$27*(1-$FA$33),0)</f>
        <v>393.93433687500004</v>
      </c>
      <c r="BK232" s="1110">
        <f>IF(O232="vo",$EW$26/$EW$24*0.05+$EW$26*(-HP($EW$62,$EW$65,$EW$64)+HP($EW$62,$EW$65,(1.05-INDEX(绊状态确认!U:U,MATCH($G232,绊状态确认!$B:$B,)))*$EW$64)),0)+IF(O232="sk",-$EW$26/$EW$24*(0.05-INDEX(绊状态确认!W:W,MATCH($G232,绊状态确认!$B:$B,)))+0.05*$EW$29,0)+IF(O232="sp",0.05*$EW$32*$EW$30*(1-$EW$33)-(0.05-INDEX(绊状态确认!V:V,MATCH($G232,绊状态确认!$B:$B,)))*$EW$29,0)+IF(O232="gd",-(0.05-INDEX(绊状态确认!X:X,MATCH($G232,绊状态确认!$B:$B,)))*$EW$32*$EW$30*(1-$EW$33)+$EW$26*(-HP($EW$62,$EW$65,$EW$64)+HP($EW$62,$EW$65,0.95*$EW$64)),0)</f>
        <v>6421.6344775026746</v>
      </c>
      <c r="BL232" s="1111">
        <f t="shared" si="287"/>
        <v>-1083.3333333333333</v>
      </c>
      <c r="BM232" s="1110">
        <f t="shared" si="288"/>
        <v>-830.55555555555543</v>
      </c>
      <c r="BN232" s="1113">
        <f t="shared" si="289"/>
        <v>3</v>
      </c>
      <c r="BO232" s="1097">
        <f t="shared" si="290"/>
        <v>4507.7214871259994</v>
      </c>
      <c r="BP232" s="1100">
        <f t="shared" si="291"/>
        <v>221.34103209030098</v>
      </c>
      <c r="BQ232" s="1113" t="s">
        <v>623</v>
      </c>
      <c r="BR232" s="1124" t="s">
        <v>625</v>
      </c>
      <c r="BS232" s="1098">
        <f>IF($P232="","N/A",IF($P232=-1,INDEX('卡片raw data'!AX:AX,MATCH($D232,'卡片raw data'!$F:$F,)),0)+IF($L232="party卡",IF($P232=5,INDEX('卡片raw data'!BD:BD,MATCH($D232,'卡片raw data'!$F:$F,)),IF($P232&gt;=3,INDEX('卡片raw data'!BC:BC,MATCH($D232,'卡片raw data'!$F:$F,)),INDEX('卡片raw data'!BB:BB,MATCH($D232,'卡片raw data'!$F:$F,)))),IF(OR(AND($F232="UR",$P232=0),AND($F232="SR",$P232&gt;=0,$P232&lt;=2),AND($F232="R",$P232&gt;=0,$P232&lt;4)),INDEX('卡片raw data'!AZ:AZ,MATCH($D232,'卡片raw data'!$F:$F,)),0)+IF(OR(AND($F232="UR",$P232&gt;=1,$P232&lt;=4),AND($F232="SR",$P232&lt;=4,$P232&gt;=3),AND($F232="R",$P232=4)),INDEX('卡片raw data'!BA:BA,MATCH($D232,'卡片raw data'!$F:$F,)),0)+IF($P232=5,INDEX('卡片raw data'!BB:BB,MATCH($D232,'卡片raw data'!$F:$F,)),0)))</f>
        <v>3.2000000000000001E-2</v>
      </c>
      <c r="BT232" s="1101">
        <f t="shared" si="292"/>
        <v>324.36096878097857</v>
      </c>
      <c r="BU232" s="1097">
        <f t="shared" si="293"/>
        <v>10.697097706787757</v>
      </c>
      <c r="BV232" s="1097">
        <f t="shared" si="294"/>
        <v>0</v>
      </c>
      <c r="BW232" s="1112">
        <f t="shared" si="295"/>
        <v>0</v>
      </c>
      <c r="BX232" s="1100">
        <f t="shared" si="296"/>
        <v>324.36096878097857</v>
      </c>
      <c r="BY232" s="1110">
        <f t="shared" si="297"/>
        <v>0</v>
      </c>
      <c r="BZ232" s="1107" t="s">
        <v>569</v>
      </c>
      <c r="CA232" s="1124"/>
      <c r="CB232" s="1098">
        <f>IF($P232="","N/A",IF($P232=-1,INDEX('卡片raw data'!BE:BE,MATCH($D232,'卡片raw data'!$F:$F,)),0)+IF($L232="party卡",IF($P232=5,INDEX('卡片raw data'!BK:BK,MATCH($D232,'卡片raw data'!$F:$F,)),IF($P232&gt;=3,INDEX('卡片raw data'!BJ:BJ,MATCH($D232,'卡片raw data'!$F:$F,)),INDEX('卡片raw data'!BI:BI,MATCH($D232,'卡片raw data'!$F:$F,)))),IF(OR(AND($F232="UR",$P232=0),AND($F232="SR",$P232&gt;=0,$P232&lt;=2),AND($F232="R",$P232&gt;=0,$P232&lt;4)),INDEX('卡片raw data'!BG:BG,MATCH($D232,'卡片raw data'!$F:$F,)),0)+IF(OR(AND($F232="UR",$P232&gt;=1,$P232&lt;=4),AND($F232="SR",$P232&lt;=4,$P232&gt;=3),AND($F232="R",$P232=4)),INDEX('卡片raw data'!BH:BH,MATCH($D232,'卡片raw data'!$F:$F,)),0)+IF($P232=5,INDEX('卡片raw data'!BI:BI,MATCH($D232,'卡片raw data'!$F:$F,)),0)))</f>
        <v>0</v>
      </c>
      <c r="CC232" s="1101">
        <f t="shared" si="298"/>
        <v>0</v>
      </c>
      <c r="CD232" s="1097">
        <f>IF(BZ232="ap",CB232*(1-$FI$26)*$FB$5/$FB$11*(+IF(CA232="全员",$FA$24,0)+IF(CA232="同作战",$FA$24,0)+IF(CA232="仲间",$FA$24*2/3,0)+IF(CA232="同属性",$FA$24*$FA$37/3,0)+IF(CA232="同年级",$FA$24*$FA$40/3,0)+IF(CA232="同学校",$FA$24*$FA$43/3,0)+IF(CA232="同小队",$FA$24*$FA$46/3,0)+IF(CA232="同type",$FA$24*INDEX($FB$49:$FB$52,MATCH(X232,$FA$49:$FA$52,))/3,0)+IF(CA232="自身",#REF!/3,0)),0)+IF(BZ232="te",CB232*(1-$FI$27)*($FA$20-1)*$FB$7/$FB$13*(+IF(CA232="全员",$FA$19*$FA$24/(1+($FA$20-1)*$FA$19),0)+IF(CA232="同作战",$FA$19*$FA$24/(1+($FA$20-1)*$FA$19),0)+IF(CA232="仲间",$FA$19*$FA$24*2/3/(1+($FA$20-1)*$FA$19),0)+IF(CA232="同属性",$FA$19*$FA$24*$FA$37/3/(1+($FA$20-1)*$FA$19),0)+IF(CA232="同年级",$FA$19*$FA$24*$FA$40/3/(1+($FA$20-1)*$FA$19),0)+IF(CA232="同学校",$FA$19*$FA$24*$FA$43/3/(1+($FA$20-1)*$FA$19),0)+IF(CA232="同小队",$FA$19*$FA$24*$FA$46/3/(1+($FA$20-1)*$FA$19),0)+IF(CA232="同type",$FA$19*$FA$24*INDEX($FB$49:$FB$52,MATCH(X232,$FA$49:$FA$52,))/3/(1+($FA$20-1)*$FA$19),0)+IF(CA232="自身",$FA$19*#REF!/3/(1+(BH232-1)*$BD232),0)),0)</f>
        <v>0</v>
      </c>
      <c r="CE232" s="1097">
        <f t="shared" si="299"/>
        <v>0</v>
      </c>
      <c r="CF232" s="1112">
        <f t="shared" si="300"/>
        <v>0</v>
      </c>
      <c r="CG232" s="1100">
        <f t="shared" si="301"/>
        <v>0</v>
      </c>
      <c r="CH232" s="1110">
        <f t="shared" si="302"/>
        <v>0</v>
      </c>
      <c r="CI232" s="1113" t="s">
        <v>164</v>
      </c>
      <c r="CJ232" s="1114">
        <v>0.3</v>
      </c>
      <c r="CK232" s="1115" t="s">
        <v>585</v>
      </c>
      <c r="CL232" s="1115" t="s">
        <v>586</v>
      </c>
      <c r="CM232" s="1119">
        <v>0.04</v>
      </c>
      <c r="CN232" s="1115" t="s">
        <v>588</v>
      </c>
      <c r="CO232" s="1092">
        <v>1</v>
      </c>
      <c r="CP232" s="1118">
        <f t="shared" si="303"/>
        <v>7.5070114285714275E-3</v>
      </c>
      <c r="CQ232" s="1118">
        <f t="shared" si="304"/>
        <v>7.5070114285714275E-3</v>
      </c>
      <c r="CR232" s="1118">
        <f t="shared" si="305"/>
        <v>0</v>
      </c>
      <c r="CS232" s="1118">
        <f t="shared" si="306"/>
        <v>0</v>
      </c>
      <c r="CT232" s="1109">
        <f t="shared" si="307"/>
        <v>0</v>
      </c>
      <c r="CU232" s="1101">
        <f t="shared" si="308"/>
        <v>1020.8254210736015</v>
      </c>
      <c r="CV232" s="1108">
        <f t="shared" si="309"/>
        <v>49.287826150455537</v>
      </c>
      <c r="CW232" s="1097">
        <f t="shared" si="310"/>
        <v>0</v>
      </c>
      <c r="CX232" s="1097">
        <f t="shared" si="311"/>
        <v>1020.8254210736015</v>
      </c>
      <c r="CY232" s="1110">
        <f t="shared" si="312"/>
        <v>0</v>
      </c>
      <c r="CZ232" s="437"/>
      <c r="DA232" s="438"/>
      <c r="DB232" s="439" t="s">
        <v>569</v>
      </c>
      <c r="DC232" s="439"/>
      <c r="DD232" s="443"/>
      <c r="DE232" s="411"/>
      <c r="DF232" s="411"/>
      <c r="DG232" s="1116">
        <f t="shared" si="313"/>
        <v>0</v>
      </c>
      <c r="DH232" s="1116">
        <f t="shared" si="314"/>
        <v>0</v>
      </c>
      <c r="DI232" s="1116">
        <f t="shared" si="315"/>
        <v>0</v>
      </c>
      <c r="DJ232" s="442">
        <f t="shared" si="316"/>
        <v>0</v>
      </c>
      <c r="DK232" s="1109">
        <f t="shared" si="317"/>
        <v>0</v>
      </c>
      <c r="DL232" s="1101">
        <f t="shared" si="318"/>
        <v>0</v>
      </c>
      <c r="DM232" s="1097">
        <f t="shared" si="319"/>
        <v>0</v>
      </c>
      <c r="DN232" s="1097">
        <f t="shared" si="320"/>
        <v>0</v>
      </c>
      <c r="DO232" s="1097">
        <f t="shared" si="321"/>
        <v>0</v>
      </c>
      <c r="DP232" s="1110">
        <f t="shared" si="322"/>
        <v>0</v>
      </c>
      <c r="DQ232" s="1113" t="s">
        <v>545</v>
      </c>
      <c r="DR232" s="1120">
        <f t="shared" si="323"/>
        <v>0.3</v>
      </c>
      <c r="DS232" s="1124"/>
      <c r="DT232" s="1093" t="s">
        <v>559</v>
      </c>
      <c r="DU232" s="1093"/>
      <c r="DV232" s="1098">
        <f>IF($P232="","N/A",IF(P232=-1,INDEX('卡片raw data'!AN:AN,MATCH(D232,'卡片raw data'!$F:$F,)),0)+IF(AND(L232&lt;&gt;"party卡",P232&lt;=2,P232&gt;=0),INDEX('卡片raw data'!AP:AP,MATCH(D232,'卡片raw data'!$F:$F,)),0)+IF(OR(AND(L232="party卡",P232&lt;=1),AND(P232&lt;=4,L232&lt;&gt;"party卡",P232&gt;=3)),INDEX('卡片raw data'!AQ:AQ,MATCH(D232,'卡片raw data'!$F:$F,)),0)+IF(OR(P232=5,AND(L232="party卡",P232&gt;=2)),INDEX('卡片raw data'!AR:AR,MATCH(D232,'卡片raw data'!$F:$F,)),0))</f>
        <v>0.37</v>
      </c>
      <c r="DW232" s="1098">
        <f t="shared" si="324"/>
        <v>0.3</v>
      </c>
      <c r="DX232" s="1098">
        <f t="shared" si="325"/>
        <v>0.3</v>
      </c>
      <c r="DY232" s="1125">
        <f t="shared" si="326"/>
        <v>1240.3347281104</v>
      </c>
      <c r="DZ232" s="1125">
        <f t="shared" si="327"/>
        <v>965.67669549267043</v>
      </c>
      <c r="EA232" s="1098">
        <f t="shared" si="328"/>
        <v>0</v>
      </c>
      <c r="EB232" s="1121">
        <f t="shared" si="329"/>
        <v>0</v>
      </c>
      <c r="EC232" s="1101">
        <f t="shared" si="330"/>
        <v>1364.3682009214401</v>
      </c>
      <c r="ED232" s="1097">
        <f t="shared" si="331"/>
        <v>965.67669549267043</v>
      </c>
      <c r="EE232" s="1110">
        <f t="shared" si="332"/>
        <v>1364.3682009214401</v>
      </c>
      <c r="EF232" s="1092" t="s">
        <v>711</v>
      </c>
      <c r="EG232" s="1120">
        <f t="shared" si="333"/>
        <v>0.3</v>
      </c>
      <c r="EH232" s="1124"/>
      <c r="EI232" s="1093"/>
      <c r="EJ232" s="1093"/>
      <c r="EK232" s="1097">
        <f>IF($P232="","N/A",IF(P232=-1,INDEX('卡片raw data'!AS:AS,MATCH(D232,'卡片raw data'!$F:$F,)),0)+IF(AND(L232&lt;&gt;"party卡",P232&lt;=2,P232&gt;=0),INDEX('卡片raw data'!AU:AU,MATCH(D232,'卡片raw data'!$F:$F,)),0)+IF(OR(AND(L232="party卡",P232&lt;=1),AND(P232&lt;=4,L232&lt;&gt;"party卡",P232&gt;=3)),INDEX('卡片raw data'!AV:AV,MATCH(D232,'卡片raw data'!$F:$F,)),0)+IF(OR(P232=5,AND(L232="party卡",P232&gt;=2)),INDEX('卡片raw data'!AW:AW,MATCH(D232,'卡片raw data'!$F:$F,)),0))</f>
        <v>0</v>
      </c>
      <c r="EL232" s="1098">
        <f t="shared" si="334"/>
        <v>0.3</v>
      </c>
      <c r="EM232" s="1098">
        <f t="shared" si="335"/>
        <v>0.3</v>
      </c>
      <c r="EN232" s="1125">
        <f t="shared" si="336"/>
        <v>0</v>
      </c>
      <c r="EO232" s="1125">
        <f t="shared" si="337"/>
        <v>0</v>
      </c>
      <c r="EP232" s="1098">
        <f t="shared" si="338"/>
        <v>0</v>
      </c>
      <c r="EQ232" s="1121">
        <f t="shared" si="339"/>
        <v>0</v>
      </c>
      <c r="ER232" s="1101">
        <f t="shared" si="340"/>
        <v>0</v>
      </c>
      <c r="ES232" s="1097">
        <f t="shared" si="341"/>
        <v>0</v>
      </c>
      <c r="ET232" s="1122">
        <f t="shared" si="342"/>
        <v>0</v>
      </c>
    </row>
    <row r="233" spans="2:150" ht="16.5" customHeight="1">
      <c r="B233" s="1123" t="str">
        <f>INDEX('卡片raw data'!B:B,MATCH($D233,'卡片raw data'!$F:$F,))</f>
        <v>温泉丸</v>
      </c>
      <c r="C233" s="449" t="s">
        <v>66</v>
      </c>
      <c r="D233" s="408">
        <v>230</v>
      </c>
      <c r="E233" s="1090">
        <v>301073001</v>
      </c>
      <c r="F233" s="1090" t="str">
        <f>INDEX('卡片raw data'!C:C,MATCH($D233,'卡片raw data'!$F:$F,))</f>
        <v>UR</v>
      </c>
      <c r="G233" s="1094" t="s">
        <v>39</v>
      </c>
      <c r="H233" s="411">
        <f>IFERROR(INDEX(绊状态确认!C:C,MATCH($G233,绊状态确认!$B:$B,)),"")</f>
        <v>107</v>
      </c>
      <c r="I233" s="450" t="str">
        <f>IFERROR(INDEX(绊状态确认!D:D,MATCH($G233,绊状态确认!$B:$B,)),"")</f>
        <v>水</v>
      </c>
      <c r="J233" s="450" t="str">
        <f>IFERROR(INDEX(绊状态确认!E:E,MATCH($G233,绊状态确认!$B:$B,)),"")</f>
        <v>1年级</v>
      </c>
      <c r="K233" s="451" t="str">
        <f>IFERROR(INDEX(绊状态确认!F:F,MATCH($G233,绊状态确认!$B:$B,)),"")</f>
        <v>AZALEA</v>
      </c>
      <c r="L233" s="1094" t="str">
        <f>INDEX('卡片raw data'!E:E,MATCH($D233,'卡片raw data'!$F:$F,))</f>
        <v>卡池卡</v>
      </c>
      <c r="M233" s="415">
        <v>43958</v>
      </c>
      <c r="N233" s="416">
        <v>15</v>
      </c>
      <c r="O233" s="1091" t="str">
        <f>INDEX('卡片raw data'!D:D,MATCH($D233,'卡片raw data'!$F:$F,))</f>
        <v>sk</v>
      </c>
      <c r="P233" s="417">
        <v>5</v>
      </c>
      <c r="Q233" s="1095">
        <f t="shared" si="258"/>
        <v>51820.656825858059</v>
      </c>
      <c r="R233" s="1096">
        <f t="shared" si="259"/>
        <v>0.60199999999999998</v>
      </c>
      <c r="S233" s="1097">
        <f t="shared" si="260"/>
        <v>22411.672441594612</v>
      </c>
      <c r="T233" s="1098">
        <f t="shared" si="261"/>
        <v>1.1200000000000001</v>
      </c>
      <c r="U233" s="1099">
        <f t="shared" si="262"/>
        <v>12.874770085542856</v>
      </c>
      <c r="V233" s="1100">
        <f t="shared" si="263"/>
        <v>54849.592559614852</v>
      </c>
      <c r="W233" s="1101">
        <f t="shared" si="264"/>
        <v>5900.8612298714897</v>
      </c>
      <c r="X233" s="1096">
        <f t="shared" si="265"/>
        <v>6.8000000000000005E-2</v>
      </c>
      <c r="Y233" s="1097">
        <f t="shared" si="266"/>
        <v>1028.9357337567935</v>
      </c>
      <c r="Z233" s="1102">
        <f t="shared" si="267"/>
        <v>12.874770085542856</v>
      </c>
      <c r="AA233" s="1103">
        <f t="shared" si="268"/>
        <v>6929.7969636282833</v>
      </c>
      <c r="AB233" s="1101">
        <f t="shared" si="269"/>
        <v>7294.000972616981</v>
      </c>
      <c r="AC233" s="1104">
        <f t="shared" si="270"/>
        <v>8.4000000000000005E-2</v>
      </c>
      <c r="AD233" s="1105">
        <f t="shared" si="271"/>
        <v>2.532834595959596E-2</v>
      </c>
      <c r="AE233" s="1128">
        <f t="shared" si="272"/>
        <v>75.518318131758434</v>
      </c>
      <c r="AF233" s="1130">
        <f t="shared" si="273"/>
        <v>0</v>
      </c>
      <c r="AG233" s="420">
        <f t="shared" si="274"/>
        <v>0</v>
      </c>
      <c r="AH233" s="420">
        <f t="shared" si="275"/>
        <v>0</v>
      </c>
      <c r="AI233" s="1097">
        <f t="shared" si="276"/>
        <v>0</v>
      </c>
      <c r="AJ233" s="420">
        <f t="shared" si="277"/>
        <v>0</v>
      </c>
      <c r="AK233" s="518">
        <f t="shared" si="278"/>
        <v>0</v>
      </c>
      <c r="AL233" s="1106">
        <f>IF($P233="","N/A",(IF($P233=-1,INDEX('卡片raw data'!S:S,MATCH($D233,'卡片raw data'!$F:$F,)),0)+IF($P233=0,INDEX('卡片raw data'!V:V,MATCH($D233,'卡片raw data'!$F:$F,)),0)+IF($P233=1,INDEX('卡片raw data'!Y:Y,MATCH($D233,'卡片raw data'!$F:$F,)),0)+IF($P233=2,INDEX('卡片raw data'!AB:AB,MATCH($D233,'卡片raw data'!$F:$F,)),0)+IF($P233=3,INDEX('卡片raw data'!AE:AE,MATCH($D233,'卡片raw data'!$F:$F,)),0)+IF($P233=4,INDEX('卡片raw data'!AH:AH,MATCH($D233,'卡片raw data'!$F:$F,)),0)+IF($P233=5,INDEX('卡片raw data'!AK:AK,MATCH($D233,'卡片raw data'!$F:$F,)),0)+INDEX('卡片raw data'!S:S,MATCH($D233,'卡片raw data'!$F:$F,))*(IF($F233="UR",0.04,0.033))*(IF($F233="UR",INDEX(绊状态确认!$S:$S,MATCH($G233,绊状态确认!$B:$B,))/2-40)+IF($F233="SR",INDEX(绊状态确认!$R:$R,MATCH($G233,绊状态确认!$B:$B,))/4-15))+IF($F233="R",INDEX(绊状态确认!$Q:$Q,MATCH($G233,绊状态确认!$B:$B,))/6-40/6)))*(INDEX(绊状态确认!$H:$H,MATCH($G233,绊状态确认!$B:$B,))+INDEX(绊状态确认!J:J,MATCH($G233,绊状态确认!$B:$B,)))</f>
        <v>12673.678271999997</v>
      </c>
      <c r="AM233" s="1106">
        <f>IF($P233="","N/A",(IF($P233=-1,INDEX('卡片raw data'!T:T,MATCH($D233,'卡片raw data'!$F:$F,)),0)+IF($P233=0,INDEX('卡片raw data'!W:W,MATCH($D233,'卡片raw data'!$F:$F,)),0)+IF($P233=1,INDEX('卡片raw data'!Z:Z,MATCH($D233,'卡片raw data'!$F:$F,)),0)+IF($P233=2,INDEX('卡片raw data'!AC:AC,MATCH($D233,'卡片raw data'!$F:$F,)),0)+IF($P233=3,INDEX('卡片raw data'!AF:AF,MATCH($D233,'卡片raw data'!$F:$F,)),0)+IF($P233=4,INDEX('卡片raw data'!AI:AI,MATCH($D233,'卡片raw data'!$F:$F,)),0)+IF($P233=5,INDEX('卡片raw data'!AL:AL,MATCH($D233,'卡片raw data'!$F:$F,)),0)+INDEX('卡片raw data'!T:T,MATCH($D233,'卡片raw data'!$F:$F,))*(IF($F233="UR",0.04,0.033))*(IF($F233="UR",INDEX(绊状态确认!$S:$S,MATCH($G233,绊状态确认!$B:$B,))/2-40)+IF($F233="SR",INDEX(绊状态确认!$R:$R,MATCH($G233,绊状态确认!$B:$B,))/4-15))+IF($F233="R",INDEX(绊状态确认!$Q:$Q,MATCH($G233,绊状态确认!$B:$B,))/6-40/6)))*(INDEX(绊状态确认!$H:$H,MATCH($G233,绊状态确认!$B:$B,))+INDEX(绊状态确认!K:K,MATCH($G233,绊状态确认!$B:$B,)))</f>
        <v>6822.3092159999987</v>
      </c>
      <c r="AN233" s="1106">
        <f>IF($P233="","N/A",(IF($P233=-1,INDEX('卡片raw data'!U:U,MATCH($D233,'卡片raw data'!$F:$F,)),0)+IF($P233=0,INDEX('卡片raw data'!X:X,MATCH($D233,'卡片raw data'!$F:$F,)),0)+IF($P233=1,INDEX('卡片raw data'!AA:AA,MATCH($D233,'卡片raw data'!$F:$F,)),0)+IF($P233=2,INDEX('卡片raw data'!AD:AD,MATCH($D233,'卡片raw data'!$F:$F,)),0)+IF($P233=3,INDEX('卡片raw data'!AG:AG,MATCH($D233,'卡片raw data'!$F:$F,)),0)+IF($P233=4,INDEX('卡片raw data'!AJ:AJ,MATCH($D233,'卡片raw data'!$F:$F,)),0)+IF($P233=5,INDEX('卡片raw data'!AM:AM,MATCH($D233,'卡片raw data'!$F:$F,)),0)+INDEX('卡片raw data'!U:U,MATCH($D233,'卡片raw data'!$F:$F,))*(IF($F233="UR",0.04,0.033))*(IF($F233="UR",INDEX(绊状态确认!$S:$S,MATCH($G233,绊状态确认!$B:$B,))/2-40)+IF($F233="SR",INDEX(绊状态确认!$R:$R,MATCH($G233,绊状态确认!$B:$B,))/4-15))+IF($F233="R",INDEX(绊状态确认!$Q:$Q,MATCH($G233,绊状态确认!$B:$B,))/6-40/6)))*(INDEX(绊状态确认!$H:$H,MATCH($G233,绊状态确认!$B:$B,))+INDEX(绊状态确认!L:L,MATCH($G233,绊状态确认!$B:$B,)))</f>
        <v>13000.415999999997</v>
      </c>
      <c r="AO233" s="1107">
        <f t="shared" si="279"/>
        <v>1</v>
      </c>
      <c r="AP233" s="1131">
        <f>1+(INDEX(绊状态确认!$T:$T,MATCH($G233,绊状态确认!$B:$B,))+0.2)*$AO233</f>
        <v>1.3</v>
      </c>
      <c r="AQ233" s="1108">
        <f t="shared" si="280"/>
        <v>36518.405463999996</v>
      </c>
      <c r="AR233" s="1097">
        <f>(AM233*(1+$EX$9)+$EX$35)*(1+(INDEX(绊状态确认!$T:$T,MATCH($G233,绊状态确认!$B:$B,))+0.2)*AO233)*IF(J233=$FF$17,1+$FE$17,1)*IF(I233=$FF$14,1+$FE$14,1)*(1+$FE$15)</f>
        <v>12016.452079839999</v>
      </c>
      <c r="AS233" s="1097">
        <f>(AN233*(1+$EX$10)+$EX$36)*(1+(INDEX(绊状态确认!$T:$T,MATCH($G233,绊状态确认!$B:$B,))+0.2)*AO233)*IF(J233=$FF$17,1+$FE$17,1)*IF(I233=$FF$14,1+$FE$14,1)*(1+$FE$15)</f>
        <v>23491.621919999998</v>
      </c>
      <c r="AT233" s="1093">
        <f>IF(AND(INDEX('卡片raw data'!AK:AK,MATCH($D233,'卡片raw data'!$F:$F,))&lt;INDEX('卡片raw data'!AM:AM,MATCH($D233,'卡片raw data'!$F:$F,)),INDEX('卡片raw data'!AL:AL,MATCH($D233,'卡片raw data'!$F:$F,))&lt;INDEX('卡片raw data'!AM:AM,MATCH($D233,'卡片raw data'!$F:$F,))),1,0)</f>
        <v>1</v>
      </c>
      <c r="AU233" s="1098">
        <f>MIN(AT233*0.15+AS233*0.00003+INDEX(绊状态确认!M:M,MATCH($G233,绊状态确认!$B:$B,)),1)</f>
        <v>0.88474865759999999</v>
      </c>
      <c r="AV233" s="1109">
        <f>(INDEX(绊状态确认!$N:$N,MATCH($G233,绊状态确认!$B:$B,))+1.5)*$EW$21</f>
        <v>2.6599999999999997</v>
      </c>
      <c r="AW233" s="1101">
        <f t="shared" si="281"/>
        <v>46820.328488211017</v>
      </c>
      <c r="AX233" s="1097">
        <f t="shared" si="282"/>
        <v>1028.9357337567933</v>
      </c>
      <c r="AY233" s="1110">
        <f t="shared" si="283"/>
        <v>47849.264221967809</v>
      </c>
      <c r="AZ233" s="429">
        <f t="shared" si="284"/>
        <v>27313.672630399993</v>
      </c>
      <c r="BA233" s="431">
        <f t="shared" si="285"/>
        <v>32776.407156479989</v>
      </c>
      <c r="BB233" s="1097">
        <f>(AM233*(1+$FB$9)+$FB$35)*(1+(INDEX(绊状态确认!$T:$T,MATCH($G233,绊状态确认!$B:$B,))+0.2)*AO233)*IF(J233=$FF$17,1+$FE$17,1)*IF(I233=$FF$14,1+$FE$14,1)*(1+$FE$15)</f>
        <v>12016.452079839999</v>
      </c>
      <c r="BC233" s="1097">
        <f>(AN233*(1+$FB$10)+$FB$36)*(1+(INDEX(绊状态确认!$T:$T,MATCH($G233,绊状态确认!$B:$B,))+0.2)*AO233)*IF(J233=$FF$17,1+$FE$17,1)*IF(I233=$FF$14,1+$FE$14,1)*(1+$FE$15)</f>
        <v>23491.621919999998</v>
      </c>
      <c r="BD233" s="1104">
        <f>MIN(AT233*0.15+BC233*0.00003+INDEX(绊状态确认!M:M,MATCH($G233,绊状态确认!$B:$B,)),1)</f>
        <v>0.88474865759999999</v>
      </c>
      <c r="BE233" s="432">
        <f>(INDEX(绊状态确认!$N:$N,MATCH($G233,绊状态确认!$B:$B,))+1.5)</f>
        <v>1.9</v>
      </c>
      <c r="BF233" s="1139">
        <f t="array" ref="BF233">SUMPRODUCT(IF(AZ233*AP233*$FI$16:$FI$23*$FA$22&gt;=$FI$24,$FI$24,AZ233*AP233*$FI$16:$FI$23*$FA$22),$FJ$16:$FJ$23)</f>
        <v>53152.696675324791</v>
      </c>
      <c r="BG233" s="1125">
        <f t="array" ref="BG233">SUMPRODUCT(IF(BE233*AZ233*AP233*$FI$16:$FI$23*$FA$22&gt;=$FI$24,$FI$24,BE233*AZ233*AP233*$FI$16:$FI$23*$FA$22),$FJ$16:$FJ$23)</f>
        <v>60000</v>
      </c>
      <c r="BH233" s="1110">
        <f t="shared" si="286"/>
        <v>19736.9463666704</v>
      </c>
      <c r="BI233" s="1111">
        <f>IF(O233="vo",$EW$26/$EW$24*0.05,0)+IF(O233="sk",-$EW$26/$EW$24*(0.05-INDEX(绊状态确认!W:W,MATCH($G233,绊状态确认!$B:$B,)))+0.05*$EW$28,0)+IF(O233="sp",0.05*$EW$32*$EW$30*(1-$EW$33)-(0.05-INDEX(绊状态确认!V:V,MATCH($G233,绊状态确认!$B:$B,)))*$EW$28,0)+IF(O233="gd",-(0.05-INDEX(绊状态确认!X:X,MATCH($G233,绊状态确认!$B:$B,)))*$EW$32*$EW$30*(1-$EW$33),0)</f>
        <v>-6253.6726349699375</v>
      </c>
      <c r="BJ233" s="1097">
        <f>IF(O233="vo",0.05*(1-$FI$26)*$FA$24,0)+IF(O233="sk",-(0.05-INDEX(绊状态确认!W:W,MATCH($G233,绊状态确认!$B:$B,)))*(1-$FI$26)*$FA$24+0.05*$FA$26,0)+IF(O233="sp",0.05*$FA$32*$FA$27*(1-$FA$33)/$FA$30+0.05*$FA$29/$FA$69*$FA$27*(1-$FA$33)-(0.05-INDEX(绊状态确认!V:V,MATCH($G233,绊状态确认!$B:$B,)))*$FA$26,0)+IF(O233="gd",-(0.05-INDEX(绊状态确认!X:X,MATCH($G233,绊状态确认!$B:$B,)))*$FA$32*$FA$27*(1-$FA$33)/$FA$30-(0.05-INDEX(绊状态确认!X:X,MATCH($G233,绊状态确认!$B:$B,)))*$FA$29/$FA$69*$FA$27*(1-$FA$33),0)</f>
        <v>20.459096812499922</v>
      </c>
      <c r="BK233" s="1110">
        <f>IF(O233="vo",$EW$26/$EW$24*0.05+$EW$26*(-HP($EW$62,$EW$65,$EW$64)+HP($EW$62,$EW$65,(1.05-INDEX(绊状态确认!U:U,MATCH($G233,绊状态确认!$B:$B,)))*$EW$64)),0)+IF(O233="sk",-$EW$26/$EW$24*(0.05-INDEX(绊状态确认!W:W,MATCH($G233,绊状态确认!$B:$B,)))+0.05*$EW$29,0)+IF(O233="sp",0.05*$EW$32*$EW$30*(1-$EW$33)-(0.05-INDEX(绊状态确认!V:V,MATCH($G233,绊状态确认!$B:$B,)))*$EW$29,0)+IF(O233="gd",-(0.05-INDEX(绊状态确认!X:X,MATCH($G233,绊状态确认!$B:$B,)))*$EW$32*$EW$30*(1-$EW$33)+$EW$26*(-HP($EW$62,$EW$65,$EW$64)+HP($EW$62,$EW$65,0.95*$EW$64)),0)</f>
        <v>-4253.6726349699375</v>
      </c>
      <c r="BL233" s="1111">
        <f t="shared" si="287"/>
        <v>0</v>
      </c>
      <c r="BM233" s="1110">
        <f t="shared" si="288"/>
        <v>0</v>
      </c>
      <c r="BN233" s="1113">
        <f t="shared" si="289"/>
        <v>3</v>
      </c>
      <c r="BO233" s="1097">
        <f t="shared" si="290"/>
        <v>4507.7214871259994</v>
      </c>
      <c r="BP233" s="1100">
        <f t="shared" si="291"/>
        <v>221.34103209030098</v>
      </c>
      <c r="BQ233" s="1113" t="s">
        <v>143</v>
      </c>
      <c r="BR233" s="1124" t="s">
        <v>148</v>
      </c>
      <c r="BS233" s="1098">
        <f>IF($P233="","N/A",IF($P233=-1,INDEX('卡片raw data'!AX:AX,MATCH($D233,'卡片raw data'!$F:$F,)),0)+IF($L233="party卡",IF($P233=5,INDEX('卡片raw data'!BD:BD,MATCH($D233,'卡片raw data'!$F:$F,)),IF($P233&gt;=3,INDEX('卡片raw data'!BC:BC,MATCH($D233,'卡片raw data'!$F:$F,)),INDEX('卡片raw data'!BB:BB,MATCH($D233,'卡片raw data'!$F:$F,)))),IF(OR(AND($F233="UR",$P233=0),AND($F233="SR",$P233&gt;=0,$P233&lt;=2),AND($F233="R",$P233&gt;=0,$P233&lt;4)),INDEX('卡片raw data'!AZ:AZ,MATCH($D233,'卡片raw data'!$F:$F,)),0)+IF(OR(AND($F233="UR",$P233&gt;=1,$P233&lt;=4),AND($F233="SR",$P233&lt;=4,$P233&gt;=3),AND($F233="R",$P233=4)),INDEX('卡片raw data'!BA:BA,MATCH($D233,'卡片raw data'!$F:$F,)),0)+IF($P233=5,INDEX('卡片raw data'!BB:BB,MATCH($D233,'卡片raw data'!$F:$F,)),0)))</f>
        <v>5.1999999999999998E-2</v>
      </c>
      <c r="BT233" s="1101">
        <f t="shared" si="292"/>
        <v>2604.4613036728001</v>
      </c>
      <c r="BU233" s="1097">
        <f t="shared" si="293"/>
        <v>111.90018844565216</v>
      </c>
      <c r="BV233" s="1097">
        <f t="shared" si="294"/>
        <v>1302.2306518363998</v>
      </c>
      <c r="BW233" s="1112">
        <f t="shared" si="295"/>
        <v>0</v>
      </c>
      <c r="BX233" s="1100">
        <f t="shared" si="296"/>
        <v>2604.4613036728001</v>
      </c>
      <c r="BY233" s="1110">
        <f t="shared" si="297"/>
        <v>1302.2306518363998</v>
      </c>
      <c r="BZ233" s="1107" t="s">
        <v>569</v>
      </c>
      <c r="CA233" s="1124"/>
      <c r="CB233" s="1098">
        <f>IF($P233="","N/A",IF($P233=-1,INDEX('卡片raw data'!BE:BE,MATCH($D233,'卡片raw data'!$F:$F,)),0)+IF($L233="party卡",IF($P233=5,INDEX('卡片raw data'!BK:BK,MATCH($D233,'卡片raw data'!$F:$F,)),IF($P233&gt;=3,INDEX('卡片raw data'!BJ:BJ,MATCH($D233,'卡片raw data'!$F:$F,)),INDEX('卡片raw data'!BI:BI,MATCH($D233,'卡片raw data'!$F:$F,)))),IF(OR(AND($F233="UR",$P233=0),AND($F233="SR",$P233&gt;=0,$P233&lt;=2),AND($F233="R",$P233&gt;=0,$P233&lt;4)),INDEX('卡片raw data'!BG:BG,MATCH($D233,'卡片raw data'!$F:$F,)),0)+IF(OR(AND($F233="UR",$P233&gt;=1,$P233&lt;=4),AND($F233="SR",$P233&lt;=4,$P233&gt;=3),AND($F233="R",$P233=4)),INDEX('卡片raw data'!BH:BH,MATCH($D233,'卡片raw data'!$F:$F,)),0)+IF($P233=5,INDEX('卡片raw data'!BI:BI,MATCH($D233,'卡片raw data'!$F:$F,)),0)))</f>
        <v>0</v>
      </c>
      <c r="CC233" s="1101">
        <f t="shared" si="298"/>
        <v>0</v>
      </c>
      <c r="CD233" s="1097">
        <f>IF(BZ233="ap",CB233*(1-$FI$26)*$FB$5/$FB$11*(+IF(CA233="全员",$FA$24,0)+IF(CA233="同作战",$FA$24,0)+IF(CA233="仲间",$FA$24*2/3,0)+IF(CA233="同属性",$FA$24*$FA$37/3,0)+IF(CA233="同年级",$FA$24*$FA$40/3,0)+IF(CA233="同学校",$FA$24*$FA$43/3,0)+IF(CA233="同小队",$FA$24*$FA$46/3,0)+IF(CA233="同type",$FA$24*INDEX($FB$49:$FB$52,MATCH(X233,$FA$49:$FA$52,))/3,0)+IF(CA233="自身",#REF!/3,0)),0)+IF(BZ233="te",CB233*(1-$FI$27)*($FA$20-1)*$FB$7/$FB$13*(+IF(CA233="全员",$FA$19*$FA$24/(1+($FA$20-1)*$FA$19),0)+IF(CA233="同作战",$FA$19*$FA$24/(1+($FA$20-1)*$FA$19),0)+IF(CA233="仲间",$FA$19*$FA$24*2/3/(1+($FA$20-1)*$FA$19),0)+IF(CA233="同属性",$FA$19*$FA$24*$FA$37/3/(1+($FA$20-1)*$FA$19),0)+IF(CA233="同年级",$FA$19*$FA$24*$FA$40/3/(1+($FA$20-1)*$FA$19),0)+IF(CA233="同学校",$FA$19*$FA$24*$FA$43/3/(1+($FA$20-1)*$FA$19),0)+IF(CA233="同小队",$FA$19*$FA$24*$FA$46/3/(1+($FA$20-1)*$FA$19),0)+IF(CA233="同type",$FA$19*$FA$24*INDEX($FB$49:$FB$52,MATCH(X233,$FA$49:$FA$52,))/3/(1+($FA$20-1)*$FA$19),0)+IF(CA233="自身",$FA$19*#REF!/3/(1+(BH233-1)*$BD233),0)),0)</f>
        <v>0</v>
      </c>
      <c r="CE233" s="1097">
        <f t="shared" si="299"/>
        <v>0</v>
      </c>
      <c r="CF233" s="1112">
        <f t="shared" si="300"/>
        <v>0</v>
      </c>
      <c r="CG233" s="1100">
        <f t="shared" si="301"/>
        <v>0</v>
      </c>
      <c r="CH233" s="1110">
        <f t="shared" si="302"/>
        <v>0</v>
      </c>
      <c r="CI233" s="1113" t="s">
        <v>162</v>
      </c>
      <c r="CJ233" s="1114">
        <v>0.3</v>
      </c>
      <c r="CK233" s="1115" t="s">
        <v>154</v>
      </c>
      <c r="CL233" s="1115" t="s">
        <v>171</v>
      </c>
      <c r="CM233" s="1119">
        <v>0.1</v>
      </c>
      <c r="CN233" s="1115">
        <v>10</v>
      </c>
      <c r="CO233" s="1092"/>
      <c r="CP233" s="1118">
        <f t="shared" si="303"/>
        <v>4.2857142857142851E-3</v>
      </c>
      <c r="CQ233" s="1118">
        <f t="shared" si="304"/>
        <v>5.8333333333333327E-3</v>
      </c>
      <c r="CR233" s="1118">
        <f t="shared" si="305"/>
        <v>2.1428571428571425E-3</v>
      </c>
      <c r="CS233" s="1118">
        <f t="shared" si="306"/>
        <v>3.5590277777777777E-3</v>
      </c>
      <c r="CT233" s="1109">
        <f t="shared" si="307"/>
        <v>0</v>
      </c>
      <c r="CU233" s="1101">
        <f t="shared" si="308"/>
        <v>181.81818181818178</v>
      </c>
      <c r="CV233" s="1108">
        <f t="shared" si="309"/>
        <v>132.57575757575754</v>
      </c>
      <c r="CW233" s="1097">
        <f t="shared" si="310"/>
        <v>90.909090909090892</v>
      </c>
      <c r="CX233" s="1097">
        <f t="shared" si="311"/>
        <v>181.81818181818178</v>
      </c>
      <c r="CY233" s="1110">
        <f t="shared" si="312"/>
        <v>90.909090909090892</v>
      </c>
      <c r="CZ233" s="437"/>
      <c r="DA233" s="438"/>
      <c r="DB233" s="439" t="s">
        <v>569</v>
      </c>
      <c r="DC233" s="439"/>
      <c r="DD233" s="443"/>
      <c r="DE233" s="411"/>
      <c r="DF233" s="411"/>
      <c r="DG233" s="1116">
        <f t="shared" si="313"/>
        <v>0</v>
      </c>
      <c r="DH233" s="1116">
        <f t="shared" si="314"/>
        <v>0</v>
      </c>
      <c r="DI233" s="1116">
        <f t="shared" si="315"/>
        <v>0</v>
      </c>
      <c r="DJ233" s="442">
        <f t="shared" si="316"/>
        <v>0</v>
      </c>
      <c r="DK233" s="1109">
        <f t="shared" si="317"/>
        <v>0</v>
      </c>
      <c r="DL233" s="1101">
        <f t="shared" si="318"/>
        <v>0</v>
      </c>
      <c r="DM233" s="1097">
        <f t="shared" si="319"/>
        <v>0</v>
      </c>
      <c r="DN233" s="1097">
        <f t="shared" si="320"/>
        <v>0</v>
      </c>
      <c r="DO233" s="1097">
        <f t="shared" si="321"/>
        <v>0</v>
      </c>
      <c r="DP233" s="1110">
        <f t="shared" si="322"/>
        <v>0</v>
      </c>
      <c r="DQ233" s="1113" t="s">
        <v>156</v>
      </c>
      <c r="DR233" s="1120">
        <f t="shared" si="323"/>
        <v>0.33</v>
      </c>
      <c r="DS233" s="1124"/>
      <c r="DT233" s="1093" t="s">
        <v>179</v>
      </c>
      <c r="DU233" s="1093"/>
      <c r="DV233" s="1098">
        <f>IF($P233="","N/A",IF(P233=-1,INDEX('卡片raw data'!AN:AN,MATCH(D233,'卡片raw data'!$F:$F,)),0)+IF(AND(L233&lt;&gt;"party卡",P233&lt;=2,P233&gt;=0),INDEX('卡片raw data'!AP:AP,MATCH(D233,'卡片raw data'!$F:$F,)),0)+IF(OR(AND(L233="party卡",P233&lt;=1),AND(P233&lt;=4,L233&lt;&gt;"party卡",P233&gt;=3)),INDEX('卡片raw data'!AQ:AQ,MATCH(D233,'卡片raw data'!$F:$F,)),0)+IF(OR(P233=5,AND(L233="party卡",P233&gt;=2)),INDEX('卡片raw data'!AR:AR,MATCH(D233,'卡片raw data'!$F:$F,)),0))</f>
        <v>0.08</v>
      </c>
      <c r="DW233" s="1098">
        <f t="shared" si="324"/>
        <v>0.33</v>
      </c>
      <c r="DX233" s="1098">
        <f t="shared" si="325"/>
        <v>0.33</v>
      </c>
      <c r="DY233" s="1098">
        <f t="shared" si="326"/>
        <v>8.8000000000000005E-3</v>
      </c>
      <c r="DZ233" s="1098">
        <f t="shared" si="327"/>
        <v>8.7538000000000008E-3</v>
      </c>
      <c r="EA233" s="1098">
        <f t="shared" si="328"/>
        <v>0</v>
      </c>
      <c r="EB233" s="1121">
        <f t="shared" si="329"/>
        <v>61.833199999999991</v>
      </c>
      <c r="EC233" s="1101">
        <f t="shared" si="330"/>
        <v>3960.0000000000005</v>
      </c>
      <c r="ED233" s="1097">
        <f t="shared" si="331"/>
        <v>2188.4500000000003</v>
      </c>
      <c r="EE233" s="1110">
        <f t="shared" si="332"/>
        <v>3960.0000000000005</v>
      </c>
      <c r="EF233" s="1092" t="s">
        <v>711</v>
      </c>
      <c r="EG233" s="1120">
        <f t="shared" si="333"/>
        <v>0.33</v>
      </c>
      <c r="EH233" s="1124"/>
      <c r="EI233" s="1093"/>
      <c r="EJ233" s="1093"/>
      <c r="EK233" s="1097">
        <f>IF($P233="","N/A",IF(P233=-1,INDEX('卡片raw data'!AS:AS,MATCH(D233,'卡片raw data'!$F:$F,)),0)+IF(AND(L233&lt;&gt;"party卡",P233&lt;=2,P233&gt;=0),INDEX('卡片raw data'!AU:AU,MATCH(D233,'卡片raw data'!$F:$F,)),0)+IF(OR(AND(L233="party卡",P233&lt;=1),AND(P233&lt;=4,L233&lt;&gt;"party卡",P233&gt;=3)),INDEX('卡片raw data'!AV:AV,MATCH(D233,'卡片raw data'!$F:$F,)),0)+IF(OR(P233=5,AND(L233="party卡",P233&gt;=2)),INDEX('卡片raw data'!AW:AW,MATCH(D233,'卡片raw data'!$F:$F,)),0))</f>
        <v>0</v>
      </c>
      <c r="EL233" s="1098">
        <f t="shared" si="334"/>
        <v>0.33</v>
      </c>
      <c r="EM233" s="1098">
        <f t="shared" si="335"/>
        <v>0.33</v>
      </c>
      <c r="EN233" s="1125">
        <f t="shared" si="336"/>
        <v>0</v>
      </c>
      <c r="EO233" s="1125">
        <f t="shared" si="337"/>
        <v>0</v>
      </c>
      <c r="EP233" s="1098">
        <f t="shared" si="338"/>
        <v>0</v>
      </c>
      <c r="EQ233" s="1121">
        <f t="shared" si="339"/>
        <v>0</v>
      </c>
      <c r="ER233" s="1101">
        <f t="shared" si="340"/>
        <v>0</v>
      </c>
      <c r="ES233" s="1097">
        <f t="shared" si="341"/>
        <v>0</v>
      </c>
      <c r="ET233" s="1122">
        <f t="shared" si="342"/>
        <v>0</v>
      </c>
    </row>
    <row r="234" spans="2:150" ht="16.5" customHeight="1">
      <c r="B234" s="1123" t="str">
        <f>INDEX('卡片raw data'!B:B,MATCH($D234,'卡片raw data'!$F:$F,))</f>
        <v>op2希</v>
      </c>
      <c r="C234" s="449" t="s">
        <v>67</v>
      </c>
      <c r="D234" s="408">
        <v>231</v>
      </c>
      <c r="E234" s="1090">
        <v>300072002</v>
      </c>
      <c r="F234" s="1090" t="str">
        <f>INDEX('卡片raw data'!C:C,MATCH($D234,'卡片raw data'!$F:$F,))</f>
        <v>SR</v>
      </c>
      <c r="G234" s="1094" t="s">
        <v>140</v>
      </c>
      <c r="H234" s="411">
        <f>IFERROR(INDEX(绊状态确认!C:C,MATCH($G234,绊状态确认!$B:$B,)),"")</f>
        <v>7</v>
      </c>
      <c r="I234" s="450" t="str">
        <f>IFERROR(INDEX(绊状态确认!D:D,MATCH($G234,绊状态确认!$B:$B,)),"")</f>
        <v>缪</v>
      </c>
      <c r="J234" s="450" t="str">
        <f>IFERROR(INDEX(绊状态确认!E:E,MATCH($G234,绊状态确认!$B:$B,)),"")</f>
        <v>3年级</v>
      </c>
      <c r="K234" s="451" t="str">
        <f>IFERROR(INDEX(绊状态确认!F:F,MATCH($G234,绊状态确认!$B:$B,)),"")</f>
        <v>lilywhite</v>
      </c>
      <c r="L234" s="1094" t="str">
        <f>INDEX('卡片raw data'!E:E,MATCH($D234,'卡片raw data'!$F:$F,))</f>
        <v>卡池卡</v>
      </c>
      <c r="M234" s="415">
        <v>43958</v>
      </c>
      <c r="N234" s="416">
        <v>15</v>
      </c>
      <c r="O234" s="1091" t="str">
        <f>INDEX('卡片raw data'!D:D,MATCH($D234,'卡片raw data'!$F:$F,))</f>
        <v>gd</v>
      </c>
      <c r="P234" s="417">
        <v>5</v>
      </c>
      <c r="Q234" s="1095">
        <f t="shared" si="258"/>
        <v>18580.60145699669</v>
      </c>
      <c r="R234" s="1096">
        <f t="shared" si="259"/>
        <v>0.216</v>
      </c>
      <c r="S234" s="1097">
        <f t="shared" si="260"/>
        <v>10761.978897748348</v>
      </c>
      <c r="T234" s="1098">
        <f t="shared" si="261"/>
        <v>0.53800000000000003</v>
      </c>
      <c r="U234" s="1099">
        <f t="shared" si="262"/>
        <v>76.827268514708578</v>
      </c>
      <c r="V234" s="1100">
        <f t="shared" si="263"/>
        <v>26273.057869659944</v>
      </c>
      <c r="W234" s="1101">
        <f t="shared" si="264"/>
        <v>4507.7214871259994</v>
      </c>
      <c r="X234" s="1096">
        <f t="shared" si="265"/>
        <v>5.1999999999999998E-2</v>
      </c>
      <c r="Y234" s="1097">
        <f t="shared" si="266"/>
        <v>1286.2333456047536</v>
      </c>
      <c r="Z234" s="1102">
        <f t="shared" si="267"/>
        <v>16.077268514708567</v>
      </c>
      <c r="AA234" s="1103">
        <f t="shared" si="268"/>
        <v>5793.954832730753</v>
      </c>
      <c r="AB234" s="1101">
        <f t="shared" si="269"/>
        <v>4507.7214871259994</v>
      </c>
      <c r="AC234" s="1104">
        <f t="shared" si="270"/>
        <v>5.1999999999999998E-2</v>
      </c>
      <c r="AD234" s="1105">
        <f t="shared" si="271"/>
        <v>-3.8207812500000026E-3</v>
      </c>
      <c r="AE234" s="1128">
        <f t="shared" si="272"/>
        <v>-18.525362318840578</v>
      </c>
      <c r="AF234" s="1130">
        <f t="shared" si="273"/>
        <v>0</v>
      </c>
      <c r="AG234" s="420">
        <f t="shared" si="274"/>
        <v>0</v>
      </c>
      <c r="AH234" s="420">
        <f t="shared" si="275"/>
        <v>0</v>
      </c>
      <c r="AI234" s="1097">
        <f t="shared" si="276"/>
        <v>0</v>
      </c>
      <c r="AJ234" s="420">
        <f t="shared" si="277"/>
        <v>0</v>
      </c>
      <c r="AK234" s="518">
        <f t="shared" si="278"/>
        <v>0</v>
      </c>
      <c r="AL234" s="1106">
        <f>IF($P234="","N/A",(IF($P234=-1,INDEX('卡片raw data'!S:S,MATCH($D234,'卡片raw data'!$F:$F,)),0)+IF($P234=0,INDEX('卡片raw data'!V:V,MATCH($D234,'卡片raw data'!$F:$F,)),0)+IF($P234=1,INDEX('卡片raw data'!Y:Y,MATCH($D234,'卡片raw data'!$F:$F,)),0)+IF($P234=2,INDEX('卡片raw data'!AB:AB,MATCH($D234,'卡片raw data'!$F:$F,)),0)+IF($P234=3,INDEX('卡片raw data'!AE:AE,MATCH($D234,'卡片raw data'!$F:$F,)),0)+IF($P234=4,INDEX('卡片raw data'!AH:AH,MATCH($D234,'卡片raw data'!$F:$F,)),0)+IF($P234=5,INDEX('卡片raw data'!AK:AK,MATCH($D234,'卡片raw data'!$F:$F,)),0)+INDEX('卡片raw data'!S:S,MATCH($D234,'卡片raw data'!$F:$F,))*(IF($F234="UR",0.04,0.033))*(IF($F234="UR",INDEX(绊状态确认!$S:$S,MATCH($G234,绊状态确认!$B:$B,))/2-40)+IF($F234="SR",INDEX(绊状态确认!$R:$R,MATCH($G234,绊状态确认!$B:$B,))/4-15))+IF($F234="R",INDEX(绊状态确认!$Q:$Q,MATCH($G234,绊状态确认!$B:$B,))/6-40/6)))*(INDEX(绊状态确认!$H:$H,MATCH($G234,绊状态确认!$B:$B,))+INDEX(绊状态确认!J:J,MATCH($G234,绊状态确认!$B:$B,)))</f>
        <v>5389.1360832</v>
      </c>
      <c r="AM234" s="1106">
        <f>IF($P234="","N/A",(IF($P234=-1,INDEX('卡片raw data'!T:T,MATCH($D234,'卡片raw data'!$F:$F,)),0)+IF($P234=0,INDEX('卡片raw data'!W:W,MATCH($D234,'卡片raw data'!$F:$F,)),0)+IF($P234=1,INDEX('卡片raw data'!Z:Z,MATCH($D234,'卡片raw data'!$F:$F,)),0)+IF($P234=2,INDEX('卡片raw data'!AC:AC,MATCH($D234,'卡片raw data'!$F:$F,)),0)+IF($P234=3,INDEX('卡片raw data'!AF:AF,MATCH($D234,'卡片raw data'!$F:$F,)),0)+IF($P234=4,INDEX('卡片raw data'!AI:AI,MATCH($D234,'卡片raw data'!$F:$F,)),0)+IF($P234=5,INDEX('卡片raw data'!AL:AL,MATCH($D234,'卡片raw data'!$F:$F,)),0)+INDEX('卡片raw data'!T:T,MATCH($D234,'卡片raw data'!$F:$F,))*(IF($F234="UR",0.04,0.033))*(IF($F234="UR",INDEX(绊状态确认!$S:$S,MATCH($G234,绊状态确认!$B:$B,))/2-40)+IF($F234="SR",INDEX(绊状态确认!$R:$R,MATCH($G234,绊状态确认!$B:$B,))/4-15))+IF($F234="R",INDEX(绊状态确认!$Q:$Q,MATCH($G234,绊状态确认!$B:$B,))/6-40/6)))*(INDEX(绊状态确认!$H:$H,MATCH($G234,绊状态确认!$B:$B,))+INDEX(绊状态确认!K:K,MATCH($G234,绊状态确认!$B:$B,)))</f>
        <v>7987.5828671999989</v>
      </c>
      <c r="AN234" s="1106">
        <f>IF($P234="","N/A",(IF($P234=-1,INDEX('卡片raw data'!U:U,MATCH($D234,'卡片raw data'!$F:$F,)),0)+IF($P234=0,INDEX('卡片raw data'!X:X,MATCH($D234,'卡片raw data'!$F:$F,)),0)+IF($P234=1,INDEX('卡片raw data'!AA:AA,MATCH($D234,'卡片raw data'!$F:$F,)),0)+IF($P234=2,INDEX('卡片raw data'!AD:AD,MATCH($D234,'卡片raw data'!$F:$F,)),0)+IF($P234=3,INDEX('卡片raw data'!AG:AG,MATCH($D234,'卡片raw data'!$F:$F,)),0)+IF($P234=4,INDEX('卡片raw data'!AJ:AJ,MATCH($D234,'卡片raw data'!$F:$F,)),0)+IF($P234=5,INDEX('卡片raw data'!AM:AM,MATCH($D234,'卡片raw data'!$F:$F,)),0)+INDEX('卡片raw data'!U:U,MATCH($D234,'卡片raw data'!$F:$F,))*(IF($F234="UR",0.04,0.033))*(IF($F234="UR",INDEX(绊状态确认!$S:$S,MATCH($G234,绊状态确认!$B:$B,))/2-40)+IF($F234="SR",INDEX(绊状态确认!$R:$R,MATCH($G234,绊状态确认!$B:$B,))/4-15))+IF($F234="R",INDEX(绊状态确认!$Q:$Q,MATCH($G234,绊状态确认!$B:$B,))/6-40/6)))*(INDEX(绊状态确认!$H:$H,MATCH($G234,绊状态确认!$B:$B,))+INDEX(绊状态确认!L:L,MATCH($G234,绊状态确认!$B:$B,)))</f>
        <v>6588.1858151999986</v>
      </c>
      <c r="AO234" s="1107">
        <f t="shared" si="279"/>
        <v>1</v>
      </c>
      <c r="AP234" s="1131">
        <f>1+(INDEX(绊状态确认!$T:$T,MATCH($G234,绊状态确认!$B:$B,))+0.2)*$AO234</f>
        <v>1.3</v>
      </c>
      <c r="AQ234" s="1108">
        <f t="shared" si="280"/>
        <v>17396.4822184</v>
      </c>
      <c r="AR234" s="1097">
        <f>(AM234*(1+$EX$9)+$EX$35)*(1+(INDEX(绊状态确认!$T:$T,MATCH($G234,绊状态确认!$B:$B,))+0.2)*AO234)*IF(J234=$FF$17,1+$FE$17,1)*IF(I234=$FF$14,1+$FE$14,1)</f>
        <v>13607.050613727999</v>
      </c>
      <c r="AS234" s="1097">
        <f>(AN234*(1+$EX$10)+$EX$36)*(1+(INDEX(绊状态确认!$T:$T,MATCH($G234,绊状态确认!$B:$B,))+0.2)*AO234)*IF(J234=$FF$17,1+$FE$17,1)*IF(I234=$FF$14,1+$FE$14,1)</f>
        <v>13905.337793723998</v>
      </c>
      <c r="AT234" s="1093">
        <f>IF(AND(INDEX('卡片raw data'!AK:AK,MATCH($D234,'卡片raw data'!$F:$F,))&lt;INDEX('卡片raw data'!AM:AM,MATCH($D234,'卡片raw data'!$F:$F,)),INDEX('卡片raw data'!AL:AL,MATCH($D234,'卡片raw data'!$F:$F,))&lt;INDEX('卡片raw data'!AM:AM,MATCH($D234,'卡片raw data'!$F:$F,))),1,0)</f>
        <v>0</v>
      </c>
      <c r="AU234" s="1098">
        <f>MIN(AT234*0.15+AS234*0.00003+INDEX(绊状态确认!M:M,MATCH($G234,绊状态确认!$B:$B,)),1)</f>
        <v>0.44716013381171998</v>
      </c>
      <c r="AV234" s="1109">
        <f>(INDEX(绊状态确认!$N:$N,MATCH($G234,绊状态确认!$B:$B,))+1.5)*$EW$21</f>
        <v>2.6599999999999997</v>
      </c>
      <c r="AW234" s="1101">
        <f t="shared" si="281"/>
        <v>15741.213303204024</v>
      </c>
      <c r="AX234" s="1097">
        <f t="shared" si="282"/>
        <v>1169.2248557948224</v>
      </c>
      <c r="AY234" s="1110">
        <f t="shared" si="283"/>
        <v>16910.438158998848</v>
      </c>
      <c r="AZ234" s="429">
        <f t="shared" si="284"/>
        <v>13108.81536224</v>
      </c>
      <c r="BA234" s="431">
        <f t="shared" si="285"/>
        <v>15730.578434687999</v>
      </c>
      <c r="BB234" s="1097">
        <f>(AM234*(1+$FB$9)+$FB$35)*(1+(INDEX(绊状态确认!$T:$T,MATCH($G234,绊状态确认!$B:$B,))+0.2)*AO234)*IF(J234=$FF$17,1+$FE$17,1)*IF(I234=$FF$14,1+$FE$14,1)*(1+$FE$15)</f>
        <v>13607.050613727999</v>
      </c>
      <c r="BC234" s="1097">
        <f>(AN234*(1+$FB$10)+$FB$36)*(1+(INDEX(绊状态确认!$T:$T,MATCH($G234,绊状态确认!$B:$B,))+0.2)*AO234)*IF(J234=$FF$17,1+$FE$17,1)*IF(I234=$FF$14,1+$FE$14,1)*(1+$FE$15)</f>
        <v>13905.337793723998</v>
      </c>
      <c r="BD234" s="1104">
        <f>MIN(AT234*0.15+BC234*0.00003+INDEX(绊状态确认!M:M,MATCH($G234,绊状态确认!$B:$B,)),1)</f>
        <v>0.44716013381171998</v>
      </c>
      <c r="BE234" s="432">
        <f>(INDEX(绊状态确认!$N:$N,MATCH($G234,绊状态确认!$B:$B,))+1.5)</f>
        <v>1.9</v>
      </c>
      <c r="BF234" s="1139">
        <f t="array" ref="BF234">SUMPRODUCT(IF(AZ234*AP234*$FI$16:$FI$23*$FA$22&gt;=$FI$24,$FI$24,AZ234*AP234*$FI$16:$FI$23*$FA$22),$FJ$16:$FJ$23)</f>
        <v>26073.43375549536</v>
      </c>
      <c r="BG234" s="1125">
        <f t="array" ref="BG234">SUMPRODUCT(IF(BE234*AZ234*AP234*$FI$16:$FI$23*$FA$22&gt;=$FI$24,$FI$24,BE234*AZ234*AP234*$FI$16:$FI$23*$FA$22),$FJ$16:$FJ$23)</f>
        <v>49387.557085941953</v>
      </c>
      <c r="BH234" s="1110">
        <f t="shared" si="286"/>
        <v>12166.193421213602</v>
      </c>
      <c r="BI234" s="1111">
        <f>IF(O234="vo",$EW$26/$EW$24*0.05,0)+IF(O234="sk",-$EW$26/$EW$24*(0.05-INDEX(绊状态确认!W:W,MATCH($G234,绊状态确认!$B:$B,)))+0.05*$EW$28,0)+IF(O234="sp",0.05*$EW$32*$EW$30*(1-$EW$33)-(0.05-INDEX(绊状态确认!V:V,MATCH($G234,绊状态确认!$B:$B,)))*$EW$28,0)+IF(O234="gd",-(0.05-INDEX(绊状态确认!X:X,MATCH($G234,绊状态确认!$B:$B,)))*$EW$32*$EW$30*(1-$EW$33),0)</f>
        <v>-585.00000000000011</v>
      </c>
      <c r="BJ234" s="1097">
        <f>IF(O234="vo",0.05*(1-$FI$26)*$FA$24,0)+IF(O234="sk",-(0.05-INDEX(绊状态确认!W:W,MATCH($G234,绊状态确认!$B:$B,)))*(1-$FI$26)*$FA$24+0.05*$FA$26,0)+IF(O234="sp",0.05*$FA$32*$FA$27*(1-$FA$33)/$FA$30+0.05*$FA$29/$FA$69*$FA$27*(1-$FA$33)-(0.05-INDEX(绊状态确认!V:V,MATCH($G234,绊状态确认!$B:$B,)))*$FA$26,0)+IF(O234="gd",-(0.05-INDEX(绊状态确认!X:X,MATCH($G234,绊状态确认!$B:$B,)))*$FA$32*$FA$27*(1-$FA$33)/$FA$30-(0.05-INDEX(绊状态确认!X:X,MATCH($G234,绊状态确认!$B:$B,)))*$FA$29/$FA$69*$FA$27*(1-$FA$33),0)</f>
        <v>-795.00000000000011</v>
      </c>
      <c r="BK234" s="1110">
        <f>IF(O234="vo",$EW$26/$EW$24*0.05+$EW$26*(-HP($EW$62,$EW$65,$EW$64)+HP($EW$62,$EW$65,(1.05-INDEX(绊状态确认!U:U,MATCH($G234,绊状态确认!$B:$B,)))*$EW$64)),0)+IF(O234="sk",-$EW$26/$EW$24*(0.05-INDEX(绊状态确认!W:W,MATCH($G234,绊状态确认!$B:$B,)))+0.05*$EW$29,0)+IF(O234="sp",0.05*$EW$32*$EW$30*(1-$EW$33)-(0.05-INDEX(绊状态确认!V:V,MATCH($G234,绊状态确认!$B:$B,)))*$EW$29,0)+IF(O234="gd",-(0.05-INDEX(绊状态确认!X:X,MATCH($G234,绊状态确认!$B:$B,)))*$EW$32*$EW$30*(1-$EW$33)+$EW$26*(-HP($EW$62,$EW$65,$EW$64)+HP($EW$62,$EW$65,0.95*$EW$64)),0)</f>
        <v>1009.5947725176144</v>
      </c>
      <c r="BL234" s="1111">
        <f t="shared" si="287"/>
        <v>-1083.3333333333333</v>
      </c>
      <c r="BM234" s="1110">
        <f t="shared" si="288"/>
        <v>-830.55555555555543</v>
      </c>
      <c r="BN234" s="1113">
        <f t="shared" si="289"/>
        <v>3</v>
      </c>
      <c r="BO234" s="1097">
        <f t="shared" si="290"/>
        <v>4507.7214871259994</v>
      </c>
      <c r="BP234" s="1100">
        <f t="shared" si="291"/>
        <v>221.34103209030098</v>
      </c>
      <c r="BQ234" s="1113" t="s">
        <v>144</v>
      </c>
      <c r="BR234" s="1124" t="s">
        <v>148</v>
      </c>
      <c r="BS234" s="1098">
        <f>IF($P234="","N/A",IF($P234=-1,INDEX('卡片raw data'!AX:AX,MATCH($D234,'卡片raw data'!$F:$F,)),0)+IF($L234="party卡",IF($P234=5,INDEX('卡片raw data'!BD:BD,MATCH($D234,'卡片raw data'!$F:$F,)),IF($P234&gt;=3,INDEX('卡片raw data'!BC:BC,MATCH($D234,'卡片raw data'!$F:$F,)),INDEX('卡片raw data'!BB:BB,MATCH($D234,'卡片raw data'!$F:$F,)))),IF(OR(AND($F234="UR",$P234=0),AND($F234="SR",$P234&gt;=0,$P234&lt;=2),AND($F234="R",$P234&gt;=0,$P234&lt;4)),INDEX('卡片raw data'!AZ:AZ,MATCH($D234,'卡片raw data'!$F:$F,)),0)+IF(OR(AND($F234="UR",$P234&gt;=1,$P234&lt;=4),AND($F234="SR",$P234&lt;=4,$P234&gt;=3),AND($F234="R",$P234=4)),INDEX('卡片raw data'!BA:BA,MATCH($D234,'卡片raw data'!$F:$F,)),0)+IF($P234=5,INDEX('卡片raw data'!BB:BB,MATCH($D234,'卡片raw data'!$F:$F,)),0)))</f>
        <v>3.2000000000000001E-2</v>
      </c>
      <c r="BT234" s="1101">
        <f t="shared" si="292"/>
        <v>0</v>
      </c>
      <c r="BU234" s="1097">
        <f t="shared" si="293"/>
        <v>0</v>
      </c>
      <c r="BV234" s="1097">
        <f t="shared" si="294"/>
        <v>0</v>
      </c>
      <c r="BW234" s="1112">
        <f t="shared" si="295"/>
        <v>1.498285714285714</v>
      </c>
      <c r="BX234" s="1100">
        <f t="shared" si="296"/>
        <v>117.00848980993118</v>
      </c>
      <c r="BY234" s="1110">
        <f t="shared" si="297"/>
        <v>117.00848980993118</v>
      </c>
      <c r="BZ234" s="1107" t="s">
        <v>569</v>
      </c>
      <c r="CA234" s="1124"/>
      <c r="CB234" s="1098">
        <f>IF($P234="","N/A",IF($P234=-1,INDEX('卡片raw data'!BE:BE,MATCH($D234,'卡片raw data'!$F:$F,)),0)+IF($L234="party卡",IF($P234=5,INDEX('卡片raw data'!BK:BK,MATCH($D234,'卡片raw data'!$F:$F,)),IF($P234&gt;=3,INDEX('卡片raw data'!BJ:BJ,MATCH($D234,'卡片raw data'!$F:$F,)),INDEX('卡片raw data'!BI:BI,MATCH($D234,'卡片raw data'!$F:$F,)))),IF(OR(AND($F234="UR",$P234=0),AND($F234="SR",$P234&gt;=0,$P234&lt;=2),AND($F234="R",$P234&gt;=0,$P234&lt;4)),INDEX('卡片raw data'!BG:BG,MATCH($D234,'卡片raw data'!$F:$F,)),0)+IF(OR(AND($F234="UR",$P234&gt;=1,$P234&lt;=4),AND($F234="SR",$P234&lt;=4,$P234&gt;=3),AND($F234="R",$P234=4)),INDEX('卡片raw data'!BH:BH,MATCH($D234,'卡片raw data'!$F:$F,)),0)+IF($P234=5,INDEX('卡片raw data'!BI:BI,MATCH($D234,'卡片raw data'!$F:$F,)),0)))</f>
        <v>0</v>
      </c>
      <c r="CC234" s="1101">
        <f t="shared" si="298"/>
        <v>0</v>
      </c>
      <c r="CD234" s="1097">
        <f>IF(BZ234="ap",CB234*(1-$FI$26)*$FB$5/$FB$11*(+IF(CA234="全员",$FA$24,0)+IF(CA234="同作战",$FA$24,0)+IF(CA234="仲间",$FA$24*2/3,0)+IF(CA234="同属性",$FA$24*$FA$37/3,0)+IF(CA234="同年级",$FA$24*$FA$40/3,0)+IF(CA234="同学校",$FA$24*$FA$43/3,0)+IF(CA234="同小队",$FA$24*$FA$46/3,0)+IF(CA234="同type",$FA$24*INDEX($FB$49:$FB$52,MATCH(X234,$FA$49:$FA$52,))/3,0)+IF(CA234="自身",#REF!/3,0)),0)+IF(BZ234="te",CB234*(1-$FI$27)*($FA$20-1)*$FB$7/$FB$13*(+IF(CA234="全员",$FA$19*$FA$24/(1+($FA$20-1)*$FA$19),0)+IF(CA234="同作战",$FA$19*$FA$24/(1+($FA$20-1)*$FA$19),0)+IF(CA234="仲间",$FA$19*$FA$24*2/3/(1+($FA$20-1)*$FA$19),0)+IF(CA234="同属性",$FA$19*$FA$24*$FA$37/3/(1+($FA$20-1)*$FA$19),0)+IF(CA234="同年级",$FA$19*$FA$24*$FA$40/3/(1+($FA$20-1)*$FA$19),0)+IF(CA234="同学校",$FA$19*$FA$24*$FA$43/3/(1+($FA$20-1)*$FA$19),0)+IF(CA234="同小队",$FA$19*$FA$24*$FA$46/3/(1+($FA$20-1)*$FA$19),0)+IF(CA234="同type",$FA$19*$FA$24*INDEX($FB$49:$FB$52,MATCH(X234,$FA$49:$FA$52,))/3/(1+($FA$20-1)*$FA$19),0)+IF(CA234="自身",$FA$19*#REF!/3/(1+(BH234-1)*$BD234),0)),0)</f>
        <v>0</v>
      </c>
      <c r="CE234" s="1097">
        <f t="shared" si="299"/>
        <v>0</v>
      </c>
      <c r="CF234" s="1112">
        <f t="shared" si="300"/>
        <v>0</v>
      </c>
      <c r="CG234" s="1100">
        <f t="shared" si="301"/>
        <v>0</v>
      </c>
      <c r="CH234" s="1110">
        <f t="shared" si="302"/>
        <v>0</v>
      </c>
      <c r="CI234" s="1113" t="s">
        <v>160</v>
      </c>
      <c r="CJ234" s="1114">
        <v>0.5</v>
      </c>
      <c r="CK234" s="1115" t="s">
        <v>311</v>
      </c>
      <c r="CL234" s="1115" t="s">
        <v>1947</v>
      </c>
      <c r="CM234" s="1119"/>
      <c r="CN234" s="1115"/>
      <c r="CO234" s="1092"/>
      <c r="CP234" s="1117">
        <f t="shared" si="303"/>
        <v>0</v>
      </c>
      <c r="CQ234" s="1117">
        <f t="shared" si="304"/>
        <v>0</v>
      </c>
      <c r="CR234" s="1117">
        <f t="shared" si="305"/>
        <v>0</v>
      </c>
      <c r="CS234" s="1118">
        <f t="shared" si="306"/>
        <v>0</v>
      </c>
      <c r="CT234" s="1109">
        <f t="shared" si="307"/>
        <v>0</v>
      </c>
      <c r="CU234" s="1101">
        <f t="shared" si="308"/>
        <v>0</v>
      </c>
      <c r="CV234" s="1108">
        <f t="shared" si="309"/>
        <v>0</v>
      </c>
      <c r="CW234" s="1097">
        <f t="shared" si="310"/>
        <v>0</v>
      </c>
      <c r="CX234" s="1097">
        <f t="shared" si="311"/>
        <v>0</v>
      </c>
      <c r="CY234" s="1110">
        <f t="shared" si="312"/>
        <v>0</v>
      </c>
      <c r="CZ234" s="437"/>
      <c r="DA234" s="438"/>
      <c r="DB234" s="439" t="s">
        <v>569</v>
      </c>
      <c r="DC234" s="439"/>
      <c r="DD234" s="443"/>
      <c r="DE234" s="411"/>
      <c r="DF234" s="411"/>
      <c r="DG234" s="1116">
        <f t="shared" si="313"/>
        <v>0</v>
      </c>
      <c r="DH234" s="1116">
        <f t="shared" si="314"/>
        <v>0</v>
      </c>
      <c r="DI234" s="1116">
        <f t="shared" si="315"/>
        <v>0</v>
      </c>
      <c r="DJ234" s="442">
        <f t="shared" si="316"/>
        <v>0</v>
      </c>
      <c r="DK234" s="1109">
        <f t="shared" si="317"/>
        <v>0</v>
      </c>
      <c r="DL234" s="1101">
        <f t="shared" si="318"/>
        <v>0</v>
      </c>
      <c r="DM234" s="1097">
        <f t="shared" si="319"/>
        <v>0</v>
      </c>
      <c r="DN234" s="1097">
        <f t="shared" si="320"/>
        <v>0</v>
      </c>
      <c r="DO234" s="1097">
        <f t="shared" si="321"/>
        <v>0</v>
      </c>
      <c r="DP234" s="1110">
        <f t="shared" si="322"/>
        <v>0</v>
      </c>
      <c r="DQ234" s="1113" t="s">
        <v>556</v>
      </c>
      <c r="DR234" s="1120">
        <f t="shared" si="323"/>
        <v>0.3</v>
      </c>
      <c r="DS234" s="1124">
        <v>10</v>
      </c>
      <c r="DT234" s="1093" t="s">
        <v>161</v>
      </c>
      <c r="DU234" s="1093" t="s">
        <v>560</v>
      </c>
      <c r="DV234" s="1098">
        <f>IF($P234="","N/A",IF(P234=-1,INDEX('卡片raw data'!AN:AN,MATCH(D234,'卡片raw data'!$F:$F,)),0)+IF(AND(L234&lt;&gt;"party卡",P234&lt;=2,P234&gt;=0),INDEX('卡片raw data'!AP:AP,MATCH(D234,'卡片raw data'!$F:$F,)),0)+IF(OR(AND(L234="party卡",P234&lt;=1),AND(P234&lt;=4,L234&lt;&gt;"party卡",P234&gt;=3)),INDEX('卡片raw data'!AQ:AQ,MATCH(D234,'卡片raw data'!$F:$F,)),0)+IF(OR(P234=5,AND(L234="party卡",P234&gt;=2)),INDEX('卡片raw data'!AR:AR,MATCH(D234,'卡片raw data'!$F:$F,)),0))</f>
        <v>0.11</v>
      </c>
      <c r="DW234" s="1098">
        <f t="shared" si="324"/>
        <v>0.3</v>
      </c>
      <c r="DX234" s="1098">
        <f t="shared" si="325"/>
        <v>0.3</v>
      </c>
      <c r="DY234" s="1098">
        <f t="shared" si="326"/>
        <v>0.11000000000000001</v>
      </c>
      <c r="DZ234" s="1098">
        <f t="shared" si="327"/>
        <v>9.5150000000000012E-2</v>
      </c>
      <c r="EA234" s="1098">
        <f t="shared" si="328"/>
        <v>0</v>
      </c>
      <c r="EB234" s="1121">
        <f t="shared" si="329"/>
        <v>0</v>
      </c>
      <c r="EC234" s="1101">
        <f t="shared" si="330"/>
        <v>0</v>
      </c>
      <c r="ED234" s="1097">
        <f t="shared" si="331"/>
        <v>0</v>
      </c>
      <c r="EE234" s="1110">
        <f t="shared" si="332"/>
        <v>4811.6282945408811</v>
      </c>
      <c r="EF234" s="1092" t="s">
        <v>711</v>
      </c>
      <c r="EG234" s="1120">
        <f t="shared" si="333"/>
        <v>0.3</v>
      </c>
      <c r="EH234" s="1124"/>
      <c r="EI234" s="1093"/>
      <c r="EJ234" s="1093"/>
      <c r="EK234" s="1097">
        <f>IF($P234="","N/A",IF(P234=-1,INDEX('卡片raw data'!AS:AS,MATCH(D234,'卡片raw data'!$F:$F,)),0)+IF(AND(L234&lt;&gt;"party卡",P234&lt;=2,P234&gt;=0),INDEX('卡片raw data'!AU:AU,MATCH(D234,'卡片raw data'!$F:$F,)),0)+IF(OR(AND(L234="party卡",P234&lt;=1),AND(P234&lt;=4,L234&lt;&gt;"party卡",P234&gt;=3)),INDEX('卡片raw data'!AV:AV,MATCH(D234,'卡片raw data'!$F:$F,)),0)+IF(OR(P234=5,AND(L234="party卡",P234&gt;=2)),INDEX('卡片raw data'!AW:AW,MATCH(D234,'卡片raw data'!$F:$F,)),0))</f>
        <v>0</v>
      </c>
      <c r="EL234" s="1098">
        <f t="shared" si="334"/>
        <v>0.3</v>
      </c>
      <c r="EM234" s="1098">
        <f t="shared" si="335"/>
        <v>0.3</v>
      </c>
      <c r="EN234" s="1125">
        <f t="shared" si="336"/>
        <v>0</v>
      </c>
      <c r="EO234" s="1125">
        <f t="shared" si="337"/>
        <v>0</v>
      </c>
      <c r="EP234" s="1098">
        <f t="shared" si="338"/>
        <v>0</v>
      </c>
      <c r="EQ234" s="1121">
        <f t="shared" si="339"/>
        <v>0</v>
      </c>
      <c r="ER234" s="1101">
        <f t="shared" si="340"/>
        <v>0</v>
      </c>
      <c r="ES234" s="1097">
        <f t="shared" si="341"/>
        <v>0</v>
      </c>
      <c r="ET234" s="1122">
        <f t="shared" si="342"/>
        <v>0</v>
      </c>
    </row>
    <row r="235" spans="2:150" ht="16.5" customHeight="1">
      <c r="B235" s="1123" t="str">
        <f>INDEX('卡片raw data'!B:B,MATCH($D235,'卡片raw data'!$F:$F,))</f>
        <v>温泉彼</v>
      </c>
      <c r="C235" s="449" t="s">
        <v>69</v>
      </c>
      <c r="D235" s="408">
        <v>232</v>
      </c>
      <c r="E235" s="1090">
        <v>302063001</v>
      </c>
      <c r="F235" s="1090" t="str">
        <f>INDEX('卡片raw data'!C:C,MATCH($D235,'卡片raw data'!$F:$F,))</f>
        <v>UR</v>
      </c>
      <c r="G235" s="1094" t="s">
        <v>50</v>
      </c>
      <c r="H235" s="411">
        <f>IFERROR(INDEX(绊状态确认!C:C,MATCH($G235,绊状态确认!$B:$B,)),"")</f>
        <v>206</v>
      </c>
      <c r="I235" s="450" t="str">
        <f>IFERROR(INDEX(绊状态确认!D:D,MATCH($G235,绊状态确认!$B:$B,)),"")</f>
        <v>虹</v>
      </c>
      <c r="J235" s="450" t="str">
        <f>IFERROR(INDEX(绊状态确认!E:E,MATCH($G235,绊状态确认!$B:$B,)),"")</f>
        <v>3年级</v>
      </c>
      <c r="K235" s="451" t="str">
        <f>IFERROR(INDEX(绊状态确认!F:F,MATCH($G235,绊状态确认!$B:$B,)),"")</f>
        <v>QU4RTZ</v>
      </c>
      <c r="L235" s="1094" t="str">
        <f>INDEX('卡片raw data'!E:E,MATCH($D235,'卡片raw data'!$F:$F,))</f>
        <v>卡池卡</v>
      </c>
      <c r="M235" s="415">
        <v>43958</v>
      </c>
      <c r="N235" s="416">
        <v>15</v>
      </c>
      <c r="O235" s="1091" t="str">
        <f>INDEX('卡片raw data'!D:D,MATCH($D235,'卡片raw data'!$F:$F,))</f>
        <v>gd</v>
      </c>
      <c r="P235" s="417">
        <v>5</v>
      </c>
      <c r="Q235" s="1095">
        <f t="shared" si="258"/>
        <v>31167.12372197488</v>
      </c>
      <c r="R235" s="1096">
        <f t="shared" si="259"/>
        <v>0.36199999999999999</v>
      </c>
      <c r="S235" s="1097">
        <f t="shared" si="260"/>
        <v>16596.076471463988</v>
      </c>
      <c r="T235" s="1098">
        <f t="shared" si="261"/>
        <v>0.82899999999999996</v>
      </c>
      <c r="U235" s="1099">
        <f t="shared" si="262"/>
        <v>114.40254828683429</v>
      </c>
      <c r="V235" s="1100">
        <f t="shared" si="263"/>
        <v>43029.07965669236</v>
      </c>
      <c r="W235" s="1101">
        <f t="shared" si="264"/>
        <v>4507.7214871259994</v>
      </c>
      <c r="X235" s="1096">
        <f t="shared" si="265"/>
        <v>5.1999999999999998E-2</v>
      </c>
      <c r="Y235" s="1097">
        <f t="shared" si="266"/>
        <v>3180.7313099564617</v>
      </c>
      <c r="Z235" s="1102">
        <f t="shared" si="267"/>
        <v>39.352548286834285</v>
      </c>
      <c r="AA235" s="1103">
        <f t="shared" si="268"/>
        <v>7688.4527970824611</v>
      </c>
      <c r="AB235" s="1101">
        <f t="shared" si="269"/>
        <v>4507.7214871259994</v>
      </c>
      <c r="AC235" s="1104">
        <f t="shared" si="270"/>
        <v>5.1999999999999998E-2</v>
      </c>
      <c r="AD235" s="1105">
        <f t="shared" si="271"/>
        <v>0</v>
      </c>
      <c r="AE235" s="1128">
        <f t="shared" si="272"/>
        <v>-6.25</v>
      </c>
      <c r="AF235" s="1130">
        <f t="shared" si="273"/>
        <v>0</v>
      </c>
      <c r="AG235" s="420">
        <f t="shared" si="274"/>
        <v>0</v>
      </c>
      <c r="AH235" s="420">
        <f t="shared" si="275"/>
        <v>0</v>
      </c>
      <c r="AI235" s="1097">
        <f t="shared" si="276"/>
        <v>0</v>
      </c>
      <c r="AJ235" s="420">
        <f t="shared" si="277"/>
        <v>0</v>
      </c>
      <c r="AK235" s="518">
        <f t="shared" si="278"/>
        <v>0</v>
      </c>
      <c r="AL235" s="1106">
        <f>IF($P235="","N/A",(IF($P235=-1,INDEX('卡片raw data'!S:S,MATCH($D235,'卡片raw data'!$F:$F,)),0)+IF($P235=0,INDEX('卡片raw data'!V:V,MATCH($D235,'卡片raw data'!$F:$F,)),0)+IF($P235=1,INDEX('卡片raw data'!Y:Y,MATCH($D235,'卡片raw data'!$F:$F,)),0)+IF($P235=2,INDEX('卡片raw data'!AB:AB,MATCH($D235,'卡片raw data'!$F:$F,)),0)+IF($P235=3,INDEX('卡片raw data'!AE:AE,MATCH($D235,'卡片raw data'!$F:$F,)),0)+IF($P235=4,INDEX('卡片raw data'!AH:AH,MATCH($D235,'卡片raw data'!$F:$F,)),0)+IF($P235=5,INDEX('卡片raw data'!AK:AK,MATCH($D235,'卡片raw data'!$F:$F,)),0)+INDEX('卡片raw data'!S:S,MATCH($D235,'卡片raw data'!$F:$F,))*(IF($F235="UR",0.04,0.033))*(IF($F235="UR",INDEX(绊状态确认!$S:$S,MATCH($G235,绊状态确认!$B:$B,))/2-40)+IF($F235="SR",INDEX(绊状态确认!$R:$R,MATCH($G235,绊状态确认!$B:$B,))/4-15))+IF($F235="R",INDEX(绊状态确认!$Q:$Q,MATCH($G235,绊状态确认!$B:$B,))/6-40/6)))*(INDEX(绊状态确认!$H:$H,MATCH($G235,绊状态确认!$B:$B,))+INDEX(绊状态确认!J:J,MATCH($G235,绊状态确认!$B:$B,)))</f>
        <v>8934.6040799999992</v>
      </c>
      <c r="AM235" s="1106">
        <f>IF($P235="","N/A",(IF($P235=-1,INDEX('卡片raw data'!T:T,MATCH($D235,'卡片raw data'!$F:$F,)),0)+IF($P235=0,INDEX('卡片raw data'!W:W,MATCH($D235,'卡片raw data'!$F:$F,)),0)+IF($P235=1,INDEX('卡片raw data'!Z:Z,MATCH($D235,'卡片raw data'!$F:$F,)),0)+IF($P235=2,INDEX('卡片raw data'!AC:AC,MATCH($D235,'卡片raw data'!$F:$F,)),0)+IF($P235=3,INDEX('卡片raw data'!AF:AF,MATCH($D235,'卡片raw data'!$F:$F,)),0)+IF($P235=4,INDEX('卡片raw data'!AI:AI,MATCH($D235,'卡片raw data'!$F:$F,)),0)+IF($P235=5,INDEX('卡片raw data'!AL:AL,MATCH($D235,'卡片raw data'!$F:$F,)),0)+INDEX('卡片raw data'!T:T,MATCH($D235,'卡片raw data'!$F:$F,))*(IF($F235="UR",0.04,0.033))*(IF($F235="UR",INDEX(绊状态确认!$S:$S,MATCH($G235,绊状态确认!$B:$B,))/2-40)+IF($F235="SR",INDEX(绊状态确认!$R:$R,MATCH($G235,绊状态确认!$B:$B,))/4-15))+IF($F235="R",INDEX(绊状态确认!$Q:$Q,MATCH($G235,绊状态确认!$B:$B,))/6-40/6)))*(INDEX(绊状态确认!$H:$H,MATCH($G235,绊状态确认!$B:$B,))+INDEX(绊状态确认!K:K,MATCH($G235,绊状态确认!$B:$B,)))</f>
        <v>13401.337919999998</v>
      </c>
      <c r="AN235" s="1106">
        <f>IF($P235="","N/A",(IF($P235=-1,INDEX('卡片raw data'!U:U,MATCH($D235,'卡片raw data'!$F:$F,)),0)+IF($P235=0,INDEX('卡片raw data'!X:X,MATCH($D235,'卡片raw data'!$F:$F,)),0)+IF($P235=1,INDEX('卡片raw data'!AA:AA,MATCH($D235,'卡片raw data'!$F:$F,)),0)+IF($P235=2,INDEX('卡片raw data'!AD:AD,MATCH($D235,'卡片raw data'!$F:$F,)),0)+IF($P235=3,INDEX('卡片raw data'!AG:AG,MATCH($D235,'卡片raw data'!$F:$F,)),0)+IF($P235=4,INDEX('卡片raw data'!AJ:AJ,MATCH($D235,'卡片raw data'!$F:$F,)),0)+IF($P235=5,INDEX('卡片raw data'!AM:AM,MATCH($D235,'卡片raw data'!$F:$F,)),0)+INDEX('卡片raw data'!U:U,MATCH($D235,'卡片raw data'!$F:$F,))*(IF($F235="UR",0.04,0.033))*(IF($F235="UR",INDEX(绊状态确认!$S:$S,MATCH($G235,绊状态确认!$B:$B,))/2-40)+IF($F235="SR",INDEX(绊状态确认!$R:$R,MATCH($G235,绊状态确认!$B:$B,))/4-15))+IF($F235="R",INDEX(绊状态确认!$Q:$Q,MATCH($G235,绊状态确认!$B:$B,))/6-40/6)))*(INDEX(绊状态确认!$H:$H,MATCH($G235,绊状态确认!$B:$B,))+INDEX(绊状态确认!L:L,MATCH($G235,绊状态确认!$B:$B,)))</f>
        <v>9573.0335999999988</v>
      </c>
      <c r="AO235" s="1107">
        <f t="shared" si="279"/>
        <v>1</v>
      </c>
      <c r="AP235" s="1131">
        <f>1+(INDEX(绊状态确认!$T:$T,MATCH($G235,绊状态确认!$B:$B,))+0.2)*$AO235</f>
        <v>1.3</v>
      </c>
      <c r="AQ235" s="1108">
        <f t="shared" si="280"/>
        <v>26703.335709999996</v>
      </c>
      <c r="AR235" s="1097">
        <f>(AM235*(1+$EX$9)+$EX$35)*(1+(INDEX(绊状态确认!$T:$T,MATCH($G235,绊状态确认!$B:$B,))+0.2)*AO235)*IF(J235=$FF$17,1+$FE$17,1)*IF(I235=$FF$14,1+$FE$14,1)*(1+$FE$15)</f>
        <v>20996.826260799997</v>
      </c>
      <c r="AS235" s="1097">
        <f>(AN235*(1+$EX$10)+$EX$36)*(1+(INDEX(绊状态确认!$T:$T,MATCH($G235,绊状态确认!$B:$B,))+0.2)*AO235)*IF(J235=$FF$17,1+$FE$17,1)*IF(I235=$FF$14,1+$FE$14,1)*(1+$FE$15)</f>
        <v>18367.685231999996</v>
      </c>
      <c r="AT235" s="1093">
        <f>IF(AND(INDEX('卡片raw data'!AK:AK,MATCH($D235,'卡片raw data'!$F:$F,))&lt;INDEX('卡片raw data'!AM:AM,MATCH($D235,'卡片raw data'!$F:$F,)),INDEX('卡片raw data'!AL:AL,MATCH($D235,'卡片raw data'!$F:$F,))&lt;INDEX('卡片raw data'!AM:AM,MATCH($D235,'卡片raw data'!$F:$F,))),1,0)</f>
        <v>0</v>
      </c>
      <c r="AU235" s="1098">
        <f>MIN(AT235*0.15+AS235*0.00003+INDEX(绊状态确认!M:M,MATCH($G235,绊状态确认!$B:$B,)),1)</f>
        <v>0.58103055695999994</v>
      </c>
      <c r="AV235" s="1109">
        <f>(INDEX(绊状态确认!$N:$N,MATCH($G235,绊状态确认!$B:$B,))+1.5)*$EW$21</f>
        <v>2.6599999999999997</v>
      </c>
      <c r="AW235" s="1101">
        <f t="shared" si="281"/>
        <v>27244.40223484888</v>
      </c>
      <c r="AX235" s="1097">
        <f t="shared" si="282"/>
        <v>1834.1286758094602</v>
      </c>
      <c r="AY235" s="1110">
        <f t="shared" si="283"/>
        <v>29078.530910658341</v>
      </c>
      <c r="AZ235" s="429">
        <f t="shared" si="284"/>
        <v>20022.477955999999</v>
      </c>
      <c r="BA235" s="431">
        <f t="shared" si="285"/>
        <v>24026.973547199999</v>
      </c>
      <c r="BB235" s="1097">
        <f>(AM235*(1+$FB$9)+$FB$35)*(1+(INDEX(绊状态确认!$T:$T,MATCH($G235,绊状态确认!$B:$B,))+0.2)*AO235)*IF(J235=$FF$17,1+$FE$17,1)*IF(I235=$FF$14,1+$FE$14,1)*(1+$FE$15)</f>
        <v>20996.826260799997</v>
      </c>
      <c r="BC235" s="1097">
        <f>(AN235*(1+$FB$10)+$FB$36)*(1+(INDEX(绊状态确认!$T:$T,MATCH($G235,绊状态确认!$B:$B,))+0.2)*AO235)*IF(J235=$FF$17,1+$FE$17,1)*IF(I235=$FF$14,1+$FE$14,1)*(1+$FE$15)</f>
        <v>18367.685231999996</v>
      </c>
      <c r="BD235" s="1104">
        <f>MIN(AT235*0.15+BC235*0.00003+INDEX(绊状态确认!M:M,MATCH($G235,绊状态确认!$B:$B,)),1)</f>
        <v>0.58103055695999994</v>
      </c>
      <c r="BE235" s="432">
        <f>(INDEX(绊状态确认!$N:$N,MATCH($G235,绊状态确认!$B:$B,))+1.5)</f>
        <v>1.9</v>
      </c>
      <c r="BF235" s="1139">
        <f t="array" ref="BF235">SUMPRODUCT(IF(AZ235*AP235*$FI$16:$FI$23*$FA$22&gt;=$FI$24,$FI$24,AZ235*AP235*$FI$16:$FI$23*$FA$22),$FJ$16:$FJ$23)</f>
        <v>39824.708654484006</v>
      </c>
      <c r="BG235" s="1125">
        <f t="array" ref="BG235">SUMPRODUCT(IF(BE235*AZ235*AP235*$FI$16:$FI$23*$FA$22&gt;=$FI$24,$FI$24,BE235*AZ235*AP235*$FI$16:$FI$23*$FA$22),$FJ$16:$FJ$23)</f>
        <v>59934.662466158399</v>
      </c>
      <c r="BH235" s="1110">
        <f t="shared" si="286"/>
        <v>17169.735439373686</v>
      </c>
      <c r="BI235" s="1111">
        <f>IF(O235="vo",$EW$26/$EW$24*0.05,0)+IF(O235="sk",-$EW$26/$EW$24*(0.05-INDEX(绊状态确认!W:W,MATCH($G235,绊状态确认!$B:$B,)))+0.05*$EW$28,0)+IF(O235="sp",0.05*$EW$32*$EW$30*(1-$EW$33)-(0.05-INDEX(绊状态确认!V:V,MATCH($G235,绊状态确认!$B:$B,)))*$EW$28,0)+IF(O235="gd",-(0.05-INDEX(绊状态确认!X:X,MATCH($G235,绊状态确认!$B:$B,)))*$EW$32*$EW$30*(1-$EW$33),0)</f>
        <v>-585.00000000000011</v>
      </c>
      <c r="BJ235" s="1097">
        <f>IF(O235="vo",0.05*(1-$FI$26)*$FA$24,0)+IF(O235="sk",-(0.05-INDEX(绊状态确认!W:W,MATCH($G235,绊状态确认!$B:$B,)))*(1-$FI$26)*$FA$24+0.05*$FA$26,0)+IF(O235="sp",0.05*$FA$32*$FA$27*(1-$FA$33)/$FA$30+0.05*$FA$29/$FA$69*$FA$27*(1-$FA$33)-(0.05-INDEX(绊状态确认!V:V,MATCH($G235,绊状态确认!$B:$B,)))*$FA$26,0)+IF(O235="gd",-(0.05-INDEX(绊状态确认!X:X,MATCH($G235,绊状态确认!$B:$B,)))*$FA$32*$FA$27*(1-$FA$33)/$FA$30-(0.05-INDEX(绊状态确认!X:X,MATCH($G235,绊状态确认!$B:$B,)))*$FA$29/$FA$69*$FA$27*(1-$FA$33),0)</f>
        <v>-795.00000000000011</v>
      </c>
      <c r="BK235" s="1110">
        <f>IF(O235="vo",$EW$26/$EW$24*0.05+$EW$26*(-HP($EW$62,$EW$65,$EW$64)+HP($EW$62,$EW$65,(1.05-INDEX(绊状态确认!U:U,MATCH($G235,绊状态确认!$B:$B,)))*$EW$64)),0)+IF(O235="sk",-$EW$26/$EW$24*(0.05-INDEX(绊状态确认!W:W,MATCH($G235,绊状态确认!$B:$B,)))+0.05*$EW$29,0)+IF(O235="sp",0.05*$EW$32*$EW$30*(1-$EW$33)-(0.05-INDEX(绊状态确认!V:V,MATCH($G235,绊状态确认!$B:$B,)))*$EW$29,0)+IF(O235="gd",-(0.05-INDEX(绊状态确认!X:X,MATCH($G235,绊状态确认!$B:$B,)))*$EW$32*$EW$30*(1-$EW$33)+$EW$26*(-HP($EW$62,$EW$65,$EW$64)+HP($EW$62,$EW$65,0.95*$EW$64)),0)</f>
        <v>1009.5947725176144</v>
      </c>
      <c r="BL235" s="1111">
        <f t="shared" si="287"/>
        <v>0</v>
      </c>
      <c r="BM235" s="1110">
        <f t="shared" si="288"/>
        <v>0</v>
      </c>
      <c r="BN235" s="1113">
        <f t="shared" si="289"/>
        <v>3</v>
      </c>
      <c r="BO235" s="1097">
        <f t="shared" si="290"/>
        <v>4507.7214871259994</v>
      </c>
      <c r="BP235" s="1100">
        <f t="shared" si="291"/>
        <v>221.34103209030098</v>
      </c>
      <c r="BQ235" s="1113" t="s">
        <v>144</v>
      </c>
      <c r="BR235" s="1124" t="s">
        <v>146</v>
      </c>
      <c r="BS235" s="1098">
        <f>IF($P235="","N/A",IF($P235=-1,INDEX('卡片raw data'!AX:AX,MATCH($D235,'卡片raw data'!$F:$F,)),0)+IF($L235="party卡",IF($P235=5,INDEX('卡片raw data'!BD:BD,MATCH($D235,'卡片raw data'!$F:$F,)),IF($P235&gt;=3,INDEX('卡片raw data'!BC:BC,MATCH($D235,'卡片raw data'!$F:$F,)),INDEX('卡片raw data'!BB:BB,MATCH($D235,'卡片raw data'!$F:$F,)))),IF(OR(AND($F235="UR",$P235=0),AND($F235="SR",$P235&gt;=0,$P235&lt;=2),AND($F235="R",$P235&gt;=0,$P235&lt;4)),INDEX('卡片raw data'!AZ:AZ,MATCH($D235,'卡片raw data'!$F:$F,)),0)+IF(OR(AND($F235="UR",$P235&gt;=1,$P235&lt;=4),AND($F235="SR",$P235&lt;=4,$P235&gt;=3),AND($F235="R",$P235=4)),INDEX('卡片raw data'!BA:BA,MATCH($D235,'卡片raw data'!$F:$F,)),0)+IF($P235=5,INDEX('卡片raw data'!BB:BB,MATCH($D235,'卡片raw data'!$F:$F,)),0)))</f>
        <v>7.0000000000000007E-2</v>
      </c>
      <c r="BT235" s="1101">
        <f t="shared" si="292"/>
        <v>0</v>
      </c>
      <c r="BU235" s="1097">
        <f t="shared" si="293"/>
        <v>0</v>
      </c>
      <c r="BV235" s="1097">
        <f t="shared" si="294"/>
        <v>0</v>
      </c>
      <c r="BW235" s="1112">
        <f t="shared" si="295"/>
        <v>2.4581249999999999</v>
      </c>
      <c r="BX235" s="1100">
        <f t="shared" si="296"/>
        <v>192.3373892964872</v>
      </c>
      <c r="BY235" s="1110">
        <f t="shared" si="297"/>
        <v>192.3373892964872</v>
      </c>
      <c r="BZ235" s="1107" t="s">
        <v>569</v>
      </c>
      <c r="CA235" s="1124"/>
      <c r="CB235" s="1098">
        <f>IF($P235="","N/A",IF($P235=-1,INDEX('卡片raw data'!BE:BE,MATCH($D235,'卡片raw data'!$F:$F,)),0)+IF($L235="party卡",IF($P235=5,INDEX('卡片raw data'!BK:BK,MATCH($D235,'卡片raw data'!$F:$F,)),IF($P235&gt;=3,INDEX('卡片raw data'!BJ:BJ,MATCH($D235,'卡片raw data'!$F:$F,)),INDEX('卡片raw data'!BI:BI,MATCH($D235,'卡片raw data'!$F:$F,)))),IF(OR(AND($F235="UR",$P235=0),AND($F235="SR",$P235&gt;=0,$P235&lt;=2),AND($F235="R",$P235&gt;=0,$P235&lt;4)),INDEX('卡片raw data'!BG:BG,MATCH($D235,'卡片raw data'!$F:$F,)),0)+IF(OR(AND($F235="UR",$P235&gt;=1,$P235&lt;=4),AND($F235="SR",$P235&lt;=4,$P235&gt;=3),AND($F235="R",$P235=4)),INDEX('卡片raw data'!BH:BH,MATCH($D235,'卡片raw data'!$F:$F,)),0)+IF($P235=5,INDEX('卡片raw data'!BI:BI,MATCH($D235,'卡片raw data'!$F:$F,)),0)))</f>
        <v>0</v>
      </c>
      <c r="CC235" s="1101">
        <f t="shared" si="298"/>
        <v>0</v>
      </c>
      <c r="CD235" s="1097">
        <f>IF(BZ235="ap",CB235*(1-$FI$26)*$FB$5/$FB$11*(+IF(CA235="全员",$FA$24,0)+IF(CA235="同作战",$FA$24,0)+IF(CA235="仲间",$FA$24*2/3,0)+IF(CA235="同属性",$FA$24*$FA$37/3,0)+IF(CA235="同年级",$FA$24*$FA$40/3,0)+IF(CA235="同学校",$FA$24*$FA$43/3,0)+IF(CA235="同小队",$FA$24*$FA$46/3,0)+IF(CA235="同type",$FA$24*INDEX($FB$49:$FB$52,MATCH(X235,$FA$49:$FA$52,))/3,0)+IF(CA235="自身",#REF!/3,0)),0)+IF(BZ235="te",CB235*(1-$FI$27)*($FA$20-1)*$FB$7/$FB$13*(+IF(CA235="全员",$FA$19*$FA$24/(1+($FA$20-1)*$FA$19),0)+IF(CA235="同作战",$FA$19*$FA$24/(1+($FA$20-1)*$FA$19),0)+IF(CA235="仲间",$FA$19*$FA$24*2/3/(1+($FA$20-1)*$FA$19),0)+IF(CA235="同属性",$FA$19*$FA$24*$FA$37/3/(1+($FA$20-1)*$FA$19),0)+IF(CA235="同年级",$FA$19*$FA$24*$FA$40/3/(1+($FA$20-1)*$FA$19),0)+IF(CA235="同学校",$FA$19*$FA$24*$FA$43/3/(1+($FA$20-1)*$FA$19),0)+IF(CA235="同小队",$FA$19*$FA$24*$FA$46/3/(1+($FA$20-1)*$FA$19),0)+IF(CA235="同type",$FA$19*$FA$24*INDEX($FB$49:$FB$52,MATCH(X235,$FA$49:$FA$52,))/3/(1+($FA$20-1)*$FA$19),0)+IF(CA235="自身",$FA$19*#REF!/3/(1+(BH235-1)*$BD235),0)),0)</f>
        <v>0</v>
      </c>
      <c r="CE235" s="1097">
        <f t="shared" si="299"/>
        <v>0</v>
      </c>
      <c r="CF235" s="1112">
        <f t="shared" si="300"/>
        <v>0</v>
      </c>
      <c r="CG235" s="1100">
        <f t="shared" si="301"/>
        <v>0</v>
      </c>
      <c r="CH235" s="1110">
        <f t="shared" si="302"/>
        <v>0</v>
      </c>
      <c r="CI235" s="1113" t="s">
        <v>162</v>
      </c>
      <c r="CJ235" s="1114">
        <v>0.4</v>
      </c>
      <c r="CK235" s="1115" t="s">
        <v>637</v>
      </c>
      <c r="CL235" s="1115" t="s">
        <v>1944</v>
      </c>
      <c r="CM235" s="1119">
        <v>0.08</v>
      </c>
      <c r="CN235" s="1115"/>
      <c r="CO235" s="1092"/>
      <c r="CP235" s="1116">
        <f t="shared" si="303"/>
        <v>14.397823721691429</v>
      </c>
      <c r="CQ235" s="1116">
        <f t="shared" si="304"/>
        <v>22.396614678186669</v>
      </c>
      <c r="CR235" s="1116">
        <f t="shared" si="305"/>
        <v>14.397823721691429</v>
      </c>
      <c r="CS235" s="1118">
        <f t="shared" si="306"/>
        <v>0</v>
      </c>
      <c r="CT235" s="1109">
        <f t="shared" si="307"/>
        <v>0</v>
      </c>
      <c r="CU235" s="1101">
        <f t="shared" si="308"/>
        <v>0</v>
      </c>
      <c r="CV235" s="1108">
        <f t="shared" si="309"/>
        <v>0</v>
      </c>
      <c r="CW235" s="1097">
        <f t="shared" si="310"/>
        <v>0</v>
      </c>
      <c r="CX235" s="1097">
        <f t="shared" si="311"/>
        <v>1154.2652448505139</v>
      </c>
      <c r="CY235" s="1110">
        <f t="shared" si="312"/>
        <v>1154.2652448505139</v>
      </c>
      <c r="CZ235" s="437"/>
      <c r="DA235" s="438"/>
      <c r="DB235" s="439" t="s">
        <v>569</v>
      </c>
      <c r="DC235" s="439"/>
      <c r="DD235" s="443"/>
      <c r="DE235" s="411"/>
      <c r="DF235" s="411"/>
      <c r="DG235" s="1116">
        <f t="shared" si="313"/>
        <v>0</v>
      </c>
      <c r="DH235" s="1116">
        <f t="shared" si="314"/>
        <v>0</v>
      </c>
      <c r="DI235" s="1116">
        <f t="shared" si="315"/>
        <v>0</v>
      </c>
      <c r="DJ235" s="442">
        <f t="shared" si="316"/>
        <v>0</v>
      </c>
      <c r="DK235" s="1109">
        <f t="shared" si="317"/>
        <v>0</v>
      </c>
      <c r="DL235" s="1101">
        <f t="shared" si="318"/>
        <v>0</v>
      </c>
      <c r="DM235" s="1097">
        <f t="shared" si="319"/>
        <v>0</v>
      </c>
      <c r="DN235" s="1097">
        <f t="shared" si="320"/>
        <v>0</v>
      </c>
      <c r="DO235" s="1097">
        <f t="shared" si="321"/>
        <v>0</v>
      </c>
      <c r="DP235" s="1110">
        <f t="shared" si="322"/>
        <v>0</v>
      </c>
      <c r="DQ235" s="1113" t="s">
        <v>158</v>
      </c>
      <c r="DR235" s="1120">
        <f t="shared" si="323"/>
        <v>0.33</v>
      </c>
      <c r="DS235" s="1124">
        <v>10</v>
      </c>
      <c r="DT235" s="1093" t="s">
        <v>161</v>
      </c>
      <c r="DU235" s="1093" t="s">
        <v>544</v>
      </c>
      <c r="DV235" s="1098">
        <f>IF($P235="","N/A",IF(P235=-1,INDEX('卡片raw data'!AN:AN,MATCH(D235,'卡片raw data'!$F:$F,)),0)+IF(AND(L235&lt;&gt;"party卡",P235&lt;=2,P235&gt;=0),INDEX('卡片raw data'!AP:AP,MATCH(D235,'卡片raw data'!$F:$F,)),0)+IF(OR(AND(L235="party卡",P235&lt;=1),AND(P235&lt;=4,L235&lt;&gt;"party卡",P235&gt;=3)),INDEX('卡片raw data'!AQ:AQ,MATCH(D235,'卡片raw data'!$F:$F,)),0)+IF(OR(P235=5,AND(L235="party卡",P235&gt;=2)),INDEX('卡片raw data'!AR:AR,MATCH(D235,'卡片raw data'!$F:$F,)),0))</f>
        <v>0.14000000000000001</v>
      </c>
      <c r="DW235" s="1098">
        <f t="shared" si="324"/>
        <v>0.33</v>
      </c>
      <c r="DX235" s="1098">
        <f t="shared" si="325"/>
        <v>0.33</v>
      </c>
      <c r="DY235" s="1098">
        <f t="shared" si="326"/>
        <v>0.15400000000000003</v>
      </c>
      <c r="DZ235" s="1098">
        <f t="shared" si="327"/>
        <v>0.13321000000000002</v>
      </c>
      <c r="EA235" s="1098">
        <f t="shared" si="328"/>
        <v>0</v>
      </c>
      <c r="EB235" s="1121">
        <f t="shared" si="329"/>
        <v>0</v>
      </c>
      <c r="EC235" s="1101">
        <f t="shared" si="330"/>
        <v>0</v>
      </c>
      <c r="ED235" s="1097">
        <f t="shared" si="331"/>
        <v>0</v>
      </c>
      <c r="EE235" s="1110">
        <f t="shared" si="332"/>
        <v>7086.6298522434072</v>
      </c>
      <c r="EF235" s="1092" t="s">
        <v>711</v>
      </c>
      <c r="EG235" s="1120">
        <f t="shared" si="333"/>
        <v>0.33</v>
      </c>
      <c r="EH235" s="1124"/>
      <c r="EI235" s="1093"/>
      <c r="EJ235" s="1093"/>
      <c r="EK235" s="1097">
        <f>IF($P235="","N/A",IF(P235=-1,INDEX('卡片raw data'!AS:AS,MATCH(D235,'卡片raw data'!$F:$F,)),0)+IF(AND(L235&lt;&gt;"party卡",P235&lt;=2,P235&gt;=0),INDEX('卡片raw data'!AU:AU,MATCH(D235,'卡片raw data'!$F:$F,)),0)+IF(OR(AND(L235="party卡",P235&lt;=1),AND(P235&lt;=4,L235&lt;&gt;"party卡",P235&gt;=3)),INDEX('卡片raw data'!AV:AV,MATCH(D235,'卡片raw data'!$F:$F,)),0)+IF(OR(P235=5,AND(L235="party卡",P235&gt;=2)),INDEX('卡片raw data'!AW:AW,MATCH(D235,'卡片raw data'!$F:$F,)),0))</f>
        <v>0</v>
      </c>
      <c r="EL235" s="1098">
        <f t="shared" si="334"/>
        <v>0.33</v>
      </c>
      <c r="EM235" s="1098">
        <f t="shared" si="335"/>
        <v>0.33</v>
      </c>
      <c r="EN235" s="1125">
        <f t="shared" si="336"/>
        <v>0</v>
      </c>
      <c r="EO235" s="1125">
        <f t="shared" si="337"/>
        <v>0</v>
      </c>
      <c r="EP235" s="1098">
        <f t="shared" si="338"/>
        <v>0</v>
      </c>
      <c r="EQ235" s="1121">
        <f t="shared" si="339"/>
        <v>0</v>
      </c>
      <c r="ER235" s="1101">
        <f t="shared" si="340"/>
        <v>0</v>
      </c>
      <c r="ES235" s="1097">
        <f t="shared" si="341"/>
        <v>0</v>
      </c>
      <c r="ET235" s="1122">
        <f t="shared" si="342"/>
        <v>0</v>
      </c>
    </row>
    <row r="236" spans="2:150" ht="16.5" customHeight="1">
      <c r="B236" s="1123" t="str">
        <f>INDEX('卡片raw data'!B:B,MATCH($D236,'卡片raw data'!$F:$F,))</f>
        <v>温泉妮</v>
      </c>
      <c r="C236" s="449" t="s">
        <v>123</v>
      </c>
      <c r="D236" s="408">
        <v>233</v>
      </c>
      <c r="E236" s="1090">
        <v>400093001</v>
      </c>
      <c r="F236" s="1090" t="str">
        <f>INDEX('卡片raw data'!C:C,MATCH($D236,'卡片raw data'!$F:$F,))</f>
        <v>UR</v>
      </c>
      <c r="G236" s="1094" t="s">
        <v>32</v>
      </c>
      <c r="H236" s="411">
        <f>IFERROR(INDEX(绊状态确认!C:C,MATCH($G236,绊状态确认!$B:$B,)),"")</f>
        <v>9</v>
      </c>
      <c r="I236" s="1124" t="str">
        <f>IFERROR(INDEX(绊状态确认!D:D,MATCH($G236,绊状态确认!$B:$B,)),"")</f>
        <v>缪</v>
      </c>
      <c r="J236" s="1124" t="str">
        <f>IFERROR(INDEX(绊状态确认!E:E,MATCH($G236,绊状态确认!$B:$B,)),"")</f>
        <v>3年级</v>
      </c>
      <c r="K236" s="451" t="str">
        <f>IFERROR(INDEX(绊状态确认!F:F,MATCH($G236,绊状态确认!$B:$B,)),"")</f>
        <v>BiBi</v>
      </c>
      <c r="L236" s="1094" t="str">
        <f>INDEX('卡片raw data'!E:E,MATCH($D236,'卡片raw data'!$F:$F,))</f>
        <v>活动卡</v>
      </c>
      <c r="M236" s="415">
        <v>43958</v>
      </c>
      <c r="N236" s="416">
        <v>15</v>
      </c>
      <c r="O236" s="1091" t="str">
        <f>INDEX('卡片raw data'!D:D,MATCH($D236,'卡片raw data'!$F:$F,))</f>
        <v>sp</v>
      </c>
      <c r="P236" s="417">
        <v>5</v>
      </c>
      <c r="Q236" s="1095">
        <f t="shared" si="258"/>
        <v>41174.380818827114</v>
      </c>
      <c r="R236" s="1096">
        <f t="shared" si="259"/>
        <v>0.47799999999999998</v>
      </c>
      <c r="S236" s="1097">
        <f t="shared" si="260"/>
        <v>20821.946386066869</v>
      </c>
      <c r="T236" s="1098">
        <f t="shared" si="261"/>
        <v>1.0409999999999999</v>
      </c>
      <c r="U236" s="1099">
        <f t="shared" si="262"/>
        <v>13.393309405542857</v>
      </c>
      <c r="V236" s="1100">
        <f t="shared" si="263"/>
        <v>40445.898193173962</v>
      </c>
      <c r="W236" s="1101">
        <f t="shared" si="264"/>
        <v>7623.419421783181</v>
      </c>
      <c r="X236" s="1096">
        <f t="shared" si="265"/>
        <v>8.7999999999999995E-2</v>
      </c>
      <c r="Y236" s="1097">
        <f t="shared" si="266"/>
        <v>1071.5173743468495</v>
      </c>
      <c r="Z236" s="1102">
        <f t="shared" si="267"/>
        <v>13.393309405542857</v>
      </c>
      <c r="AA236" s="1103">
        <f t="shared" si="268"/>
        <v>8694.9367961300304</v>
      </c>
      <c r="AB236" s="1101">
        <f t="shared" si="269"/>
        <v>7623.419421783181</v>
      </c>
      <c r="AC236" s="1104">
        <f t="shared" si="270"/>
        <v>8.7999999999999995E-2</v>
      </c>
      <c r="AD236" s="1105">
        <f t="shared" si="271"/>
        <v>-1.6087500000000001E-2</v>
      </c>
      <c r="AE236" s="1128">
        <f t="shared" si="272"/>
        <v>60.997308651714256</v>
      </c>
      <c r="AF236" s="1130">
        <f t="shared" si="273"/>
        <v>0</v>
      </c>
      <c r="AG236" s="420">
        <f t="shared" si="274"/>
        <v>0</v>
      </c>
      <c r="AH236" s="420">
        <f t="shared" si="275"/>
        <v>0</v>
      </c>
      <c r="AI236" s="1097">
        <f t="shared" si="276"/>
        <v>0</v>
      </c>
      <c r="AJ236" s="420">
        <f t="shared" si="277"/>
        <v>0</v>
      </c>
      <c r="AK236" s="518">
        <f t="shared" si="278"/>
        <v>0</v>
      </c>
      <c r="AL236" s="1106">
        <f>IF($P236="","N/A",(IF($P236=-1,INDEX('卡片raw data'!S:S,MATCH($D236,'卡片raw data'!$F:$F,)),0)+IF($P236=0,INDEX('卡片raw data'!V:V,MATCH($D236,'卡片raw data'!$F:$F,)),0)+IF($P236=1,INDEX('卡片raw data'!Y:Y,MATCH($D236,'卡片raw data'!$F:$F,)),0)+IF($P236=2,INDEX('卡片raw data'!AB:AB,MATCH($D236,'卡片raw data'!$F:$F,)),0)+IF($P236=3,INDEX('卡片raw data'!AE:AE,MATCH($D236,'卡片raw data'!$F:$F,)),0)+IF($P236=4,INDEX('卡片raw data'!AH:AH,MATCH($D236,'卡片raw data'!$F:$F,)),0)+IF($P236=5,INDEX('卡片raw data'!AK:AK,MATCH($D236,'卡片raw data'!$F:$F,)),0)+INDEX('卡片raw data'!S:S,MATCH($D236,'卡片raw data'!$F:$F,))*(IF($F236="UR",0.04,0.033))*(IF($F236="UR",INDEX(绊状态确认!$S:$S,MATCH($G236,绊状态确认!$B:$B,))/2-40)+IF($F236="SR",INDEX(绊状态确认!$R:$R,MATCH($G236,绊状态确认!$B:$B,))/4-15))+IF($F236="R",INDEX(绊状态确认!$Q:$Q,MATCH($G236,绊状态确认!$B:$B,))/6-40/6)))*(INDEX(绊状态确认!$H:$H,MATCH($G236,绊状态确认!$B:$B,))+INDEX(绊状态确认!J:J,MATCH($G236,绊状态确认!$B:$B,)))</f>
        <v>10103.686943999997</v>
      </c>
      <c r="AM236" s="1106">
        <f>IF($P236="","N/A",(IF($P236=-1,INDEX('卡片raw data'!T:T,MATCH($D236,'卡片raw data'!$F:$F,)),0)+IF($P236=0,INDEX('卡片raw data'!W:W,MATCH($D236,'卡片raw data'!$F:$F,)),0)+IF($P236=1,INDEX('卡片raw data'!Z:Z,MATCH($D236,'卡片raw data'!$F:$F,)),0)+IF($P236=2,INDEX('卡片raw data'!AC:AC,MATCH($D236,'卡片raw data'!$F:$F,)),0)+IF($P236=3,INDEX('卡片raw data'!AF:AF,MATCH($D236,'卡片raw data'!$F:$F,)),0)+IF($P236=4,INDEX('卡片raw data'!AI:AI,MATCH($D236,'卡片raw data'!$F:$F,)),0)+IF($P236=5,INDEX('卡片raw data'!AL:AL,MATCH($D236,'卡片raw data'!$F:$F,)),0)+INDEX('卡片raw data'!T:T,MATCH($D236,'卡片raw data'!$F:$F,))*(IF($F236="UR",0.04,0.033))*(IF($F236="UR",INDEX(绊状态确认!$S:$S,MATCH($G236,绊状态确认!$B:$B,))/2-40)+IF($F236="SR",INDEX(绊状态确认!$R:$R,MATCH($G236,绊状态确认!$B:$B,))/4-15))+IF($F236="R",INDEX(绊状态确认!$Q:$Q,MATCH($G236,绊状态确认!$B:$B,))/6-40/6)))*(INDEX(绊状态确认!$H:$H,MATCH($G236,绊状态确认!$B:$B,))+INDEX(绊状态确认!K:K,MATCH($G236,绊状态确认!$B:$B,)))</f>
        <v>7176.866015999999</v>
      </c>
      <c r="AN236" s="1106">
        <f>IF($P236="","N/A",(IF($P236=-1,INDEX('卡片raw data'!U:U,MATCH($D236,'卡片raw data'!$F:$F,)),0)+IF($P236=0,INDEX('卡片raw data'!X:X,MATCH($D236,'卡片raw data'!$F:$F,)),0)+IF($P236=1,INDEX('卡片raw data'!AA:AA,MATCH($D236,'卡片raw data'!$F:$F,)),0)+IF($P236=2,INDEX('卡片raw data'!AD:AD,MATCH($D236,'卡片raw data'!$F:$F,)),0)+IF($P236=3,INDEX('卡片raw data'!AG:AG,MATCH($D236,'卡片raw data'!$F:$F,)),0)+IF($P236=4,INDEX('卡片raw data'!AJ:AJ,MATCH($D236,'卡片raw data'!$F:$F,)),0)+IF($P236=5,INDEX('卡片raw data'!AM:AM,MATCH($D236,'卡片raw data'!$F:$F,)),0)+INDEX('卡片raw data'!U:U,MATCH($D236,'卡片raw data'!$F:$F,))*(IF($F236="UR",0.04,0.033))*(IF($F236="UR",INDEX(绊状态确认!$S:$S,MATCH($G236,绊状态确认!$B:$B,))/2-40)+IF($F236="SR",INDEX(绊状态确认!$R:$R,MATCH($G236,绊状态确认!$B:$B,))/4-15))+IF($F236="R",INDEX(绊状态确认!$Q:$Q,MATCH($G236,绊状态确认!$B:$B,))/6-40/6)))*(INDEX(绊状态确认!$H:$H,MATCH($G236,绊状态确认!$B:$B,))+INDEX(绊状态确认!L:L,MATCH($G236,绊状态确认!$B:$B,)))</f>
        <v>9304.2068159999981</v>
      </c>
      <c r="AO236" s="1107">
        <f t="shared" si="279"/>
        <v>1</v>
      </c>
      <c r="AP236" s="1131">
        <f>1+(INDEX(绊状态确认!$T:$T,MATCH($G236,绊状态确认!$B:$B,))+0.2)*$AO236</f>
        <v>1.3</v>
      </c>
      <c r="AQ236" s="1108">
        <f t="shared" si="280"/>
        <v>29772.178227999993</v>
      </c>
      <c r="AR236" s="1097">
        <f>(AM236*(1+$EX$9)+$EX$35)*(1+(INDEX(绊状态确认!$T:$T,MATCH($G236,绊状态确认!$B:$B,))+0.2)*AO236)*IF(J236=$FF$17,1+$FE$17,1)*IF(I236=$FF$14,1+$FE$14,1)*(1+$FE$15)</f>
        <v>12500.42211184</v>
      </c>
      <c r="AS236" s="1097">
        <f>(AN236*(1+$EX$10)+$EX$36)*(1+(INDEX(绊状态确认!$T:$T,MATCH($G236,绊状态确认!$B:$B,))+0.2)*AO236)*IF(J236=$FF$17,1+$FE$17,1)*IF(I236=$FF$14,1+$FE$14,1)*(1+$FE$15)</f>
        <v>17965.789189919997</v>
      </c>
      <c r="AT236" s="1093">
        <f>IF(AND(INDEX('卡片raw data'!AK:AK,MATCH($D236,'卡片raw data'!$F:$F,))&lt;INDEX('卡片raw data'!AM:AM,MATCH($D236,'卡片raw data'!$F:$F,)),INDEX('卡片raw data'!AL:AL,MATCH($D236,'卡片raw data'!$F:$F,))&lt;INDEX('卡片raw data'!AM:AM,MATCH($D236,'卡片raw data'!$F:$F,))),1,0)</f>
        <v>0</v>
      </c>
      <c r="AU236" s="1098">
        <f>MIN(AT236*0.15+AS236*0.00003+INDEX(绊状态确认!M:M,MATCH($G236,绊状态确认!$B:$B,)),1)</f>
        <v>0.56897367569759993</v>
      </c>
      <c r="AV236" s="1109">
        <f>(INDEX(绊状态确认!$N:$N,MATCH($G236,绊状态确认!$B:$B,))+1.5)*$EW$21</f>
        <v>2.6599999999999997</v>
      </c>
      <c r="AW236" s="1101">
        <f t="shared" si="281"/>
        <v>30065.961397043939</v>
      </c>
      <c r="AX236" s="1097">
        <f t="shared" si="282"/>
        <v>1071.5173743468488</v>
      </c>
      <c r="AY236" s="1110">
        <f t="shared" si="283"/>
        <v>31137.478771390786</v>
      </c>
      <c r="AZ236" s="429">
        <f t="shared" si="284"/>
        <v>22302.189540799995</v>
      </c>
      <c r="BA236" s="431">
        <f t="shared" si="285"/>
        <v>26762.627448959993</v>
      </c>
      <c r="BB236" s="1097">
        <f>(AM236*(1+$FB$9)+$FB$35)*(1+(INDEX(绊状态确认!$T:$T,MATCH($G236,绊状态确认!$B:$B,))+0.2)*AO236)*IF(J236=$FF$17,1+$FE$17,1)*IF(I236=$FF$14,1+$FE$14,1)*(1+$FE$15)</f>
        <v>12500.42211184</v>
      </c>
      <c r="BC236" s="1097">
        <f>(AN236*(1+$FB$10)+$FB$36)*(1+(INDEX(绊状态确认!$T:$T,MATCH($G236,绊状态确认!$B:$B,))+0.2)*AO236)*IF(J236=$FF$17,1+$FE$17,1)*IF(I236=$FF$14,1+$FE$14,1)*(1+$FE$15)</f>
        <v>17965.789189919997</v>
      </c>
      <c r="BD236" s="1104">
        <f>MIN(AT236*0.15+BC236*0.00003+INDEX(绊状态确认!M:M,MATCH($G236,绊状态确认!$B:$B,)),1)</f>
        <v>0.56897367569759993</v>
      </c>
      <c r="BE236" s="432">
        <f>(INDEX(绊状态确认!$N:$N,MATCH($G236,绊状态确认!$B:$B,))+1.5)</f>
        <v>1.9</v>
      </c>
      <c r="BF236" s="1139">
        <f t="array" ref="BF236">SUMPRODUCT(IF(AZ236*AP236*$FI$16:$FI$23*$FA$22&gt;=$FI$24,$FI$24,AZ236*AP236*$FI$16:$FI$23*$FA$22),$FJ$16:$FJ$23)</f>
        <v>44359.054996651197</v>
      </c>
      <c r="BG236" s="1125">
        <f t="array" ref="BG236">SUMPRODUCT(IF(BE236*AZ236*AP236*$FI$16:$FI$23*$FA$22&gt;=$FI$24,$FI$24,BE236*AZ236*AP236*$FI$16:$FI$23*$FA$22),$FJ$16:$FJ$23)</f>
        <v>60000</v>
      </c>
      <c r="BH236" s="1110">
        <f t="shared" si="286"/>
        <v>17752.780322196861</v>
      </c>
      <c r="BI236" s="1111">
        <f>IF(O236="vo",$EW$26/$EW$24*0.05,0)+IF(O236="sk",-$EW$26/$EW$24*(0.05-INDEX(绊状态确认!W:W,MATCH($G236,绊状态确认!$B:$B,)))+0.05*$EW$28,0)+IF(O236="sp",0.05*$EW$32*$EW$30*(1-$EW$33)-(0.05-INDEX(绊状态确认!V:V,MATCH($G236,绊状态确认!$B:$B,)))*$EW$28,0)+IF(O236="gd",-(0.05-INDEX(绊状态确认!X:X,MATCH($G236,绊状态确认!$B:$B,)))*$EW$32*$EW$30*(1-$EW$33),0)</f>
        <v>19.999999999999886</v>
      </c>
      <c r="BJ236" s="1097">
        <f>IF(O236="vo",0.05*(1-$FI$26)*$FA$24,0)+IF(O236="sk",-(0.05-INDEX(绊状态确认!W:W,MATCH($G236,绊状态确认!$B:$B,)))*(1-$FI$26)*$FA$24+0.05*$FA$26,0)+IF(O236="sp",0.05*$FA$32*$FA$27*(1-$FA$33)/$FA$30+0.05*$FA$29/$FA$69*$FA$27*(1-$FA$33)-(0.05-INDEX(绊状态确认!V:V,MATCH($G236,绊状态确认!$B:$B,)))*$FA$26,0)+IF(O236="gd",-(0.05-INDEX(绊状态确认!X:X,MATCH($G236,绊状态确认!$B:$B,)))*$FA$32*$FA$27*(1-$FA$33)/$FA$30-(0.05-INDEX(绊状态确认!X:X,MATCH($G236,绊状态确认!$B:$B,)))*$FA$29/$FA$69*$FA$27*(1-$FA$33),0)</f>
        <v>545.83333333333326</v>
      </c>
      <c r="BK236" s="1110">
        <f>IF(O236="vo",$EW$26/$EW$24*0.05+$EW$26*(-HP($EW$62,$EW$65,$EW$64)+HP($EW$62,$EW$65,(1.05-INDEX(绊状态确认!U:U,MATCH($G236,绊状态确认!$B:$B,)))*$EW$64)),0)+IF(O236="sk",-$EW$26/$EW$24*(0.05-INDEX(绊状态确认!W:W,MATCH($G236,绊状态确认!$B:$B,)))+0.05*$EW$29,0)+IF(O236="sp",0.05*$EW$32*$EW$30*(1-$EW$33)-(0.05-INDEX(绊状态确认!V:V,MATCH($G236,绊状态确认!$B:$B,)))*$EW$29,0)+IF(O236="gd",-(0.05-INDEX(绊状态确认!X:X,MATCH($G236,绊状态确认!$B:$B,)))*$EW$32*$EW$30*(1-$EW$33)+$EW$26*(-HP($EW$62,$EW$65,$EW$64)+HP($EW$62,$EW$65,0.95*$EW$64)),0)</f>
        <v>-1780.0000000000005</v>
      </c>
      <c r="BL236" s="1111">
        <f t="shared" si="287"/>
        <v>0</v>
      </c>
      <c r="BM236" s="1110">
        <f t="shared" si="288"/>
        <v>0</v>
      </c>
      <c r="BN236" s="1113">
        <f t="shared" si="289"/>
        <v>3</v>
      </c>
      <c r="BO236" s="1097">
        <f t="shared" si="290"/>
        <v>4507.7214871259994</v>
      </c>
      <c r="BP236" s="1100">
        <f t="shared" si="291"/>
        <v>221.34103209030098</v>
      </c>
      <c r="BQ236" s="1113" t="s">
        <v>145</v>
      </c>
      <c r="BR236" s="1124" t="s">
        <v>147</v>
      </c>
      <c r="BS236" s="1098">
        <f>IF($P236="","N/A",IF($P236=-1,INDEX('卡片raw data'!AX:AX,MATCH($D236,'卡片raw data'!$F:$F,)),0)+IF($L236="party卡",IF($P236=5,INDEX('卡片raw data'!BD:BD,MATCH($D236,'卡片raw data'!$F:$F,)),IF($P236&gt;=3,INDEX('卡片raw data'!BC:BC,MATCH($D236,'卡片raw data'!$F:$F,)),INDEX('卡片raw data'!BB:BB,MATCH($D236,'卡片raw data'!$F:$F,)))),IF(OR(AND($F236="UR",$P236=0),AND($F236="SR",$P236&gt;=0,$P236&lt;=2),AND($F236="R",$P236&gt;=0,$P236&lt;4)),INDEX('卡片raw data'!AZ:AZ,MATCH($D236,'卡片raw data'!$F:$F,)),0)+IF(OR(AND($F236="UR",$P236&gt;=1,$P236&lt;=4),AND($F236="SR",$P236&lt;=4,$P236&gt;=3),AND($F236="R",$P236=4)),INDEX('卡片raw data'!BA:BA,MATCH($D236,'卡片raw data'!$F:$F,)),0)+IF($P236=5,INDEX('卡片raw data'!BB:BB,MATCH($D236,'卡片raw data'!$F:$F,)),0)))</f>
        <v>4.2000000000000003E-2</v>
      </c>
      <c r="BT236" s="1101">
        <f t="shared" si="292"/>
        <v>2971.3299858096102</v>
      </c>
      <c r="BU236" s="1097">
        <f t="shared" si="293"/>
        <v>214.92580204297263</v>
      </c>
      <c r="BV236" s="1097">
        <f t="shared" si="294"/>
        <v>2971.3299858096102</v>
      </c>
      <c r="BW236" s="1112">
        <f t="shared" si="295"/>
        <v>0</v>
      </c>
      <c r="BX236" s="1100">
        <f t="shared" si="296"/>
        <v>2971.3299858096102</v>
      </c>
      <c r="BY236" s="1110">
        <f t="shared" si="297"/>
        <v>2971.3299858096102</v>
      </c>
      <c r="BZ236" s="1107" t="s">
        <v>569</v>
      </c>
      <c r="CA236" s="1124"/>
      <c r="CB236" s="1098">
        <f>IF($P236="","N/A",IF($P236=-1,INDEX('卡片raw data'!BE:BE,MATCH($D236,'卡片raw data'!$F:$F,)),0)+IF($L236="party卡",IF($P236=5,INDEX('卡片raw data'!BK:BK,MATCH($D236,'卡片raw data'!$F:$F,)),IF($P236&gt;=3,INDEX('卡片raw data'!BJ:BJ,MATCH($D236,'卡片raw data'!$F:$F,)),INDEX('卡片raw data'!BI:BI,MATCH($D236,'卡片raw data'!$F:$F,)))),IF(OR(AND($F236="UR",$P236=0),AND($F236="SR",$P236&gt;=0,$P236&lt;=2),AND($F236="R",$P236&gt;=0,$P236&lt;4)),INDEX('卡片raw data'!BG:BG,MATCH($D236,'卡片raw data'!$F:$F,)),0)+IF(OR(AND($F236="UR",$P236&gt;=1,$P236&lt;=4),AND($F236="SR",$P236&lt;=4,$P236&gt;=3),AND($F236="R",$P236=4)),INDEX('卡片raw data'!BH:BH,MATCH($D236,'卡片raw data'!$F:$F,)),0)+IF($P236=5,INDEX('卡片raw data'!BI:BI,MATCH($D236,'卡片raw data'!$F:$F,)),0)))</f>
        <v>0</v>
      </c>
      <c r="CC236" s="1101">
        <f t="shared" si="298"/>
        <v>0</v>
      </c>
      <c r="CD236" s="1097">
        <f>IF(BZ236="ap",CB236*(1-$FI$26)*$FB$5/$FB$11*(+IF(CA236="全员",$FA$24,0)+IF(CA236="同作战",$FA$24,0)+IF(CA236="仲间",$FA$24*2/3,0)+IF(CA236="同属性",$FA$24*$FA$37/3,0)+IF(CA236="同年级",$FA$24*$FA$40/3,0)+IF(CA236="同学校",$FA$24*$FA$43/3,0)+IF(CA236="同小队",$FA$24*$FA$46/3,0)+IF(CA236="同type",$FA$24*INDEX($FB$49:$FB$52,MATCH(X236,$FA$49:$FA$52,))/3,0)+IF(CA236="自身",#REF!/3,0)),0)+IF(BZ236="te",CB236*(1-$FI$27)*($FA$20-1)*$FB$7/$FB$13*(+IF(CA236="全员",$FA$19*$FA$24/(1+($FA$20-1)*$FA$19),0)+IF(CA236="同作战",$FA$19*$FA$24/(1+($FA$20-1)*$FA$19),0)+IF(CA236="仲间",$FA$19*$FA$24*2/3/(1+($FA$20-1)*$FA$19),0)+IF(CA236="同属性",$FA$19*$FA$24*$FA$37/3/(1+($FA$20-1)*$FA$19),0)+IF(CA236="同年级",$FA$19*$FA$24*$FA$40/3/(1+($FA$20-1)*$FA$19),0)+IF(CA236="同学校",$FA$19*$FA$24*$FA$43/3/(1+($FA$20-1)*$FA$19),0)+IF(CA236="同小队",$FA$19*$FA$24*$FA$46/3/(1+($FA$20-1)*$FA$19),0)+IF(CA236="同type",$FA$19*$FA$24*INDEX($FB$49:$FB$52,MATCH(X236,$FA$49:$FA$52,))/3/(1+($FA$20-1)*$FA$19),0)+IF(CA236="自身",$FA$19*#REF!/3/(1+(BH236-1)*$BD236),0)),0)</f>
        <v>0</v>
      </c>
      <c r="CE236" s="1097">
        <f t="shared" si="299"/>
        <v>0</v>
      </c>
      <c r="CF236" s="1112">
        <f t="shared" si="300"/>
        <v>0</v>
      </c>
      <c r="CG236" s="1100">
        <f t="shared" si="301"/>
        <v>0</v>
      </c>
      <c r="CH236" s="1110">
        <f t="shared" si="302"/>
        <v>0</v>
      </c>
      <c r="CI236" s="1113" t="s">
        <v>162</v>
      </c>
      <c r="CJ236" s="1114">
        <v>0.3</v>
      </c>
      <c r="CK236" s="1115" t="s">
        <v>156</v>
      </c>
      <c r="CL236" s="1115" t="s">
        <v>1941</v>
      </c>
      <c r="CM236" s="1119">
        <v>0.02</v>
      </c>
      <c r="CN236" s="1115"/>
      <c r="CO236" s="1092"/>
      <c r="CP236" s="1116">
        <f t="shared" si="303"/>
        <v>2.3098871815611424</v>
      </c>
      <c r="CQ236" s="1116">
        <f t="shared" si="304"/>
        <v>4.1321315136815988</v>
      </c>
      <c r="CR236" s="1116">
        <f t="shared" si="305"/>
        <v>2.3098871815611424</v>
      </c>
      <c r="CS236" s="1118">
        <f t="shared" si="306"/>
        <v>0</v>
      </c>
      <c r="CT236" s="1109">
        <f t="shared" si="307"/>
        <v>3.1440131082359999</v>
      </c>
      <c r="CU236" s="1101">
        <f t="shared" si="308"/>
        <v>144.3679488475714</v>
      </c>
      <c r="CV236" s="1108">
        <f t="shared" si="309"/>
        <v>172.17214640339995</v>
      </c>
      <c r="CW236" s="1097">
        <f t="shared" si="310"/>
        <v>144.3679488475714</v>
      </c>
      <c r="CX236" s="1097">
        <f t="shared" si="311"/>
        <v>144.3679488475714</v>
      </c>
      <c r="CY236" s="1110">
        <f t="shared" si="312"/>
        <v>144.3679488475714</v>
      </c>
      <c r="CZ236" s="437"/>
      <c r="DA236" s="438"/>
      <c r="DB236" s="439" t="s">
        <v>569</v>
      </c>
      <c r="DC236" s="439"/>
      <c r="DD236" s="443"/>
      <c r="DE236" s="411"/>
      <c r="DF236" s="411"/>
      <c r="DG236" s="1116">
        <f t="shared" si="313"/>
        <v>0</v>
      </c>
      <c r="DH236" s="1116">
        <f t="shared" si="314"/>
        <v>0</v>
      </c>
      <c r="DI236" s="1116">
        <f t="shared" si="315"/>
        <v>0</v>
      </c>
      <c r="DJ236" s="442">
        <f t="shared" si="316"/>
        <v>0</v>
      </c>
      <c r="DK236" s="1109">
        <f t="shared" si="317"/>
        <v>0</v>
      </c>
      <c r="DL236" s="1101">
        <f t="shared" si="318"/>
        <v>0</v>
      </c>
      <c r="DM236" s="1097">
        <f t="shared" si="319"/>
        <v>0</v>
      </c>
      <c r="DN236" s="1097">
        <f t="shared" si="320"/>
        <v>0</v>
      </c>
      <c r="DO236" s="1097">
        <f t="shared" si="321"/>
        <v>0</v>
      </c>
      <c r="DP236" s="1110">
        <f t="shared" si="322"/>
        <v>0</v>
      </c>
      <c r="DQ236" s="1113" t="s">
        <v>156</v>
      </c>
      <c r="DR236" s="1120">
        <f t="shared" si="323"/>
        <v>0.33</v>
      </c>
      <c r="DS236" s="1124"/>
      <c r="DT236" s="1093" t="s">
        <v>179</v>
      </c>
      <c r="DU236" s="1093"/>
      <c r="DV236" s="1098">
        <f>IF($P236="","N/A",IF(P236=-1,INDEX('卡片raw data'!AN:AN,MATCH(D236,'卡片raw data'!$F:$F,)),0)+IF(AND(L236&lt;&gt;"party卡",P236&lt;=2,P236&gt;=0),INDEX('卡片raw data'!AP:AP,MATCH(D236,'卡片raw data'!$F:$F,)),0)+IF(OR(AND(L236="party卡",P236&lt;=1),AND(P236&lt;=4,L236&lt;&gt;"party卡",P236&gt;=3)),INDEX('卡片raw data'!AQ:AQ,MATCH(D236,'卡片raw data'!$F:$F,)),0)+IF(OR(P236=5,AND(L236="party卡",P236&gt;=2)),INDEX('卡片raw data'!AR:AR,MATCH(D236,'卡片raw data'!$F:$F,)),0))</f>
        <v>7.0000000000000007E-2</v>
      </c>
      <c r="DW236" s="1098">
        <f t="shared" si="324"/>
        <v>0.33</v>
      </c>
      <c r="DX236" s="1098">
        <f t="shared" si="325"/>
        <v>0.33</v>
      </c>
      <c r="DY236" s="1098">
        <f t="shared" si="326"/>
        <v>7.7000000000000011E-3</v>
      </c>
      <c r="DZ236" s="1098">
        <f t="shared" si="327"/>
        <v>7.6595750000000001E-3</v>
      </c>
      <c r="EA236" s="1098">
        <f t="shared" si="328"/>
        <v>0</v>
      </c>
      <c r="EB236" s="1121">
        <f t="shared" si="329"/>
        <v>46.929382499999996</v>
      </c>
      <c r="EC236" s="1101">
        <f t="shared" si="330"/>
        <v>3465.0000000000005</v>
      </c>
      <c r="ED236" s="1097">
        <f t="shared" si="331"/>
        <v>1914.89375</v>
      </c>
      <c r="EE236" s="1110">
        <f t="shared" si="332"/>
        <v>3465.0000000000005</v>
      </c>
      <c r="EF236" s="1092" t="s">
        <v>711</v>
      </c>
      <c r="EG236" s="1120">
        <f t="shared" si="333"/>
        <v>0.33</v>
      </c>
      <c r="EH236" s="1124"/>
      <c r="EI236" s="1093"/>
      <c r="EJ236" s="1093"/>
      <c r="EK236" s="1097">
        <f>IF($P236="","N/A",IF(P236=-1,INDEX('卡片raw data'!AS:AS,MATCH(D236,'卡片raw data'!$F:$F,)),0)+IF(AND(L236&lt;&gt;"party卡",P236&lt;=2,P236&gt;=0),INDEX('卡片raw data'!AU:AU,MATCH(D236,'卡片raw data'!$F:$F,)),0)+IF(OR(AND(L236="party卡",P236&lt;=1),AND(P236&lt;=4,L236&lt;&gt;"party卡",P236&gt;=3)),INDEX('卡片raw data'!AV:AV,MATCH(D236,'卡片raw data'!$F:$F,)),0)+IF(OR(P236=5,AND(L236="party卡",P236&gt;=2)),INDEX('卡片raw data'!AW:AW,MATCH(D236,'卡片raw data'!$F:$F,)),0))</f>
        <v>0</v>
      </c>
      <c r="EL236" s="1098">
        <f t="shared" si="334"/>
        <v>0.33</v>
      </c>
      <c r="EM236" s="1098">
        <f t="shared" si="335"/>
        <v>0.33</v>
      </c>
      <c r="EN236" s="1125">
        <f t="shared" si="336"/>
        <v>0</v>
      </c>
      <c r="EO236" s="1125">
        <f t="shared" si="337"/>
        <v>0</v>
      </c>
      <c r="EP236" s="1098">
        <f t="shared" si="338"/>
        <v>0</v>
      </c>
      <c r="EQ236" s="1121">
        <f t="shared" si="339"/>
        <v>0</v>
      </c>
      <c r="ER236" s="1101">
        <f t="shared" si="340"/>
        <v>0</v>
      </c>
      <c r="ES236" s="1097">
        <f t="shared" si="341"/>
        <v>0</v>
      </c>
      <c r="ET236" s="1122">
        <f t="shared" si="342"/>
        <v>0</v>
      </c>
    </row>
    <row r="237" spans="2:150" ht="16.5" customHeight="1">
      <c r="B237" s="1123" t="str">
        <f>INDEX('卡片raw data'!B:B,MATCH($D237,'卡片raw data'!$F:$F,))</f>
        <v>乐器雫</v>
      </c>
      <c r="C237" s="449" t="s">
        <v>124</v>
      </c>
      <c r="D237" s="408">
        <v>234</v>
      </c>
      <c r="E237" s="1090">
        <v>402032002</v>
      </c>
      <c r="F237" s="1090" t="str">
        <f>INDEX('卡片raw data'!C:C,MATCH($D237,'卡片raw data'!$F:$F,))</f>
        <v>SR</v>
      </c>
      <c r="G237" s="1094" t="s">
        <v>349</v>
      </c>
      <c r="H237" s="411">
        <f>IFERROR(INDEX(绊状态确认!C:C,MATCH($G237,绊状态确认!$B:$B,)),"")</f>
        <v>203</v>
      </c>
      <c r="I237" s="450" t="str">
        <f>IFERROR(INDEX(绊状态确认!D:D,MATCH($G237,绊状态确认!$B:$B,)),"")</f>
        <v>虹</v>
      </c>
      <c r="J237" s="450" t="str">
        <f>IFERROR(INDEX(绊状态确认!E:E,MATCH($G237,绊状态确认!$B:$B,)),"")</f>
        <v>1年级</v>
      </c>
      <c r="K237" s="451" t="str">
        <f>IFERROR(INDEX(绊状态确认!F:F,MATCH($G237,绊状态确认!$B:$B,)),"")</f>
        <v>A·ZU·NA</v>
      </c>
      <c r="L237" s="1094" t="str">
        <f>INDEX('卡片raw data'!E:E,MATCH($D237,'卡片raw data'!$F:$F,))</f>
        <v>活动卡</v>
      </c>
      <c r="M237" s="415">
        <v>43958</v>
      </c>
      <c r="N237" s="416">
        <v>15</v>
      </c>
      <c r="O237" s="1091" t="str">
        <f>INDEX('卡片raw data'!D:D,MATCH($D237,'卡片raw data'!$F:$F,))</f>
        <v>vo</v>
      </c>
      <c r="P237" s="417">
        <v>5</v>
      </c>
      <c r="Q237" s="1095">
        <f t="shared" si="258"/>
        <v>34146.689493070051</v>
      </c>
      <c r="R237" s="1096">
        <f t="shared" si="259"/>
        <v>0.39600000000000002</v>
      </c>
      <c r="S237" s="1097">
        <f t="shared" si="260"/>
        <v>15483.443722613039</v>
      </c>
      <c r="T237" s="1098">
        <f t="shared" si="261"/>
        <v>0.77400000000000002</v>
      </c>
      <c r="U237" s="1099">
        <f t="shared" si="262"/>
        <v>-16.820201256687145</v>
      </c>
      <c r="V237" s="1100">
        <f t="shared" si="263"/>
        <v>33489.499982360277</v>
      </c>
      <c r="W237" s="1101">
        <f t="shared" si="264"/>
        <v>5819.0301891795289</v>
      </c>
      <c r="X237" s="1096">
        <f t="shared" si="265"/>
        <v>6.7000000000000004E-2</v>
      </c>
      <c r="Y237" s="1097">
        <f t="shared" si="266"/>
        <v>647.47893953193125</v>
      </c>
      <c r="Z237" s="1102">
        <f t="shared" si="267"/>
        <v>8.1797987433128547</v>
      </c>
      <c r="AA237" s="1103">
        <f t="shared" si="268"/>
        <v>6466.5091287114601</v>
      </c>
      <c r="AB237" s="1101">
        <f t="shared" si="269"/>
        <v>6353.2786617277952</v>
      </c>
      <c r="AC237" s="1104">
        <f t="shared" si="270"/>
        <v>7.2999999999999995E-2</v>
      </c>
      <c r="AD237" s="1105">
        <f t="shared" si="271"/>
        <v>-3.8207812500000026E-3</v>
      </c>
      <c r="AE237" s="1128">
        <f t="shared" si="272"/>
        <v>-12.27536231884058</v>
      </c>
      <c r="AF237" s="1130">
        <f t="shared" si="273"/>
        <v>0</v>
      </c>
      <c r="AG237" s="420">
        <f t="shared" si="274"/>
        <v>0</v>
      </c>
      <c r="AH237" s="420">
        <f t="shared" si="275"/>
        <v>0</v>
      </c>
      <c r="AI237" s="1097">
        <f t="shared" si="276"/>
        <v>0</v>
      </c>
      <c r="AJ237" s="420">
        <f t="shared" si="277"/>
        <v>0</v>
      </c>
      <c r="AK237" s="518">
        <f t="shared" si="278"/>
        <v>0</v>
      </c>
      <c r="AL237" s="1106">
        <f>IF($P237="","N/A",(IF($P237=-1,INDEX('卡片raw data'!S:S,MATCH($D237,'卡片raw data'!$F:$F,)),0)+IF($P237=0,INDEX('卡片raw data'!V:V,MATCH($D237,'卡片raw data'!$F:$F,)),0)+IF($P237=1,INDEX('卡片raw data'!Y:Y,MATCH($D237,'卡片raw data'!$F:$F,)),0)+IF($P237=2,INDEX('卡片raw data'!AB:AB,MATCH($D237,'卡片raw data'!$F:$F,)),0)+IF($P237=3,INDEX('卡片raw data'!AE:AE,MATCH($D237,'卡片raw data'!$F:$F,)),0)+IF($P237=4,INDEX('卡片raw data'!AH:AH,MATCH($D237,'卡片raw data'!$F:$F,)),0)+IF($P237=5,INDEX('卡片raw data'!AK:AK,MATCH($D237,'卡片raw data'!$F:$F,)),0)+INDEX('卡片raw data'!S:S,MATCH($D237,'卡片raw data'!$F:$F,))*(IF($F237="UR",0.04,0.033))*(IF($F237="UR",INDEX(绊状态确认!$S:$S,MATCH($G237,绊状态确认!$B:$B,))/2-40)+IF($F237="SR",INDEX(绊状态确认!$R:$R,MATCH($G237,绊状态确认!$B:$B,))/4-15))+IF($F237="R",INDEX(绊状态确认!$Q:$Q,MATCH($G237,绊状态确认!$B:$B,))/6-40/6)))*(INDEX(绊状态确认!$H:$H,MATCH($G237,绊状态确认!$B:$B,))+INDEX(绊状态确认!J:J,MATCH($G237,绊状态确认!$B:$B,)))</f>
        <v>7716.4901015999985</v>
      </c>
      <c r="AM237" s="1106">
        <f>IF($P237="","N/A",(IF($P237=-1,INDEX('卡片raw data'!T:T,MATCH($D237,'卡片raw data'!$F:$F,)),0)+IF($P237=0,INDEX('卡片raw data'!W:W,MATCH($D237,'卡片raw data'!$F:$F,)),0)+IF($P237=1,INDEX('卡片raw data'!Z:Z,MATCH($D237,'卡片raw data'!$F:$F,)),0)+IF($P237=2,INDEX('卡片raw data'!AC:AC,MATCH($D237,'卡片raw data'!$F:$F,)),0)+IF($P237=3,INDEX('卡片raw data'!AF:AF,MATCH($D237,'卡片raw data'!$F:$F,)),0)+IF($P237=4,INDEX('卡片raw data'!AI:AI,MATCH($D237,'卡片raw data'!$F:$F,)),0)+IF($P237=5,INDEX('卡片raw data'!AL:AL,MATCH($D237,'卡片raw data'!$F:$F,)),0)+INDEX('卡片raw data'!T:T,MATCH($D237,'卡片raw data'!$F:$F,))*(IF($F237="UR",0.04,0.033))*(IF($F237="UR",INDEX(绊状态确认!$S:$S,MATCH($G237,绊状态确认!$B:$B,))/2-40)+IF($F237="SR",INDEX(绊状态确认!$R:$R,MATCH($G237,绊状态确认!$B:$B,))/4-15))+IF($F237="R",INDEX(绊状态确认!$Q:$Q,MATCH($G237,绊状态确认!$B:$B,))/6-40/6)))*(INDEX(绊状态确认!$H:$H,MATCH($G237,绊状态确认!$B:$B,))+INDEX(绊状态确认!K:K,MATCH($G237,绊状态确认!$B:$B,)))</f>
        <v>3612.0724007999993</v>
      </c>
      <c r="AN237" s="1106">
        <f>IF($P237="","N/A",(IF($P237=-1,INDEX('卡片raw data'!U:U,MATCH($D237,'卡片raw data'!$F:$F,)),0)+IF($P237=0,INDEX('卡片raw data'!X:X,MATCH($D237,'卡片raw data'!$F:$F,)),0)+IF($P237=1,INDEX('卡片raw data'!AA:AA,MATCH($D237,'卡片raw data'!$F:$F,)),0)+IF($P237=2,INDEX('卡片raw data'!AD:AD,MATCH($D237,'卡片raw data'!$F:$F,)),0)+IF($P237=3,INDEX('卡片raw data'!AG:AG,MATCH($D237,'卡片raw data'!$F:$F,)),0)+IF($P237=4,INDEX('卡片raw data'!AJ:AJ,MATCH($D237,'卡片raw data'!$F:$F,)),0)+IF($P237=5,INDEX('卡片raw data'!AM:AM,MATCH($D237,'卡片raw data'!$F:$F,)),0)+INDEX('卡片raw data'!U:U,MATCH($D237,'卡片raw data'!$F:$F,))*(IF($F237="UR",0.04,0.033))*(IF($F237="UR",INDEX(绊状态确认!$S:$S,MATCH($G237,绊状态确认!$B:$B,))/2-40)+IF($F237="SR",INDEX(绊状态确认!$R:$R,MATCH($G237,绊状态确认!$B:$B,))/4-15))+IF($F237="R",INDEX(绊状态确认!$Q:$Q,MATCH($G237,绊状态确认!$B:$B,))/6-40/6)))*(INDEX(绊状态确认!$H:$H,MATCH($G237,绊状态确认!$B:$B,))+INDEX(绊状态确认!L:L,MATCH($G237,绊状态确认!$B:$B,)))</f>
        <v>5089.1083007999996</v>
      </c>
      <c r="AO237" s="1107">
        <f t="shared" si="279"/>
        <v>1</v>
      </c>
      <c r="AP237" s="1131">
        <f>1+(INDEX(绊状态确认!$T:$T,MATCH($G237,绊状态确认!$B:$B,))+0.2)*$AO237</f>
        <v>1.3</v>
      </c>
      <c r="AQ237" s="1108">
        <f t="shared" si="280"/>
        <v>23505.786516699998</v>
      </c>
      <c r="AR237" s="1097">
        <f>(AM237*(1+$EX$9)+$EX$35)*(1+(INDEX(绊状态确认!$T:$T,MATCH($G237,绊状态确认!$B:$B,))+0.2)*AO237)*IF(J237=$FF$17,1+$FE$17,1)*IF(I237=$FF$14,1+$FE$14,1)</f>
        <v>7634.4788270919989</v>
      </c>
      <c r="AS237" s="1097">
        <f>(AN237*(1+$EX$10)+$EX$36)*(1+(INDEX(绊状态确认!$T:$T,MATCH($G237,绊状态确认!$B:$B,))+0.2)*AO237)*IF(J237=$FF$17,1+$FE$17,1)*IF(I237=$FF$14,1+$FE$14,1)</f>
        <v>11664.216909695999</v>
      </c>
      <c r="AT237" s="1093">
        <f>IF(AND(INDEX('卡片raw data'!AK:AK,MATCH($D237,'卡片raw data'!$F:$F,))&lt;INDEX('卡片raw data'!AM:AM,MATCH($D237,'卡片raw data'!$F:$F,)),INDEX('卡片raw data'!AL:AL,MATCH($D237,'卡片raw data'!$F:$F,))&lt;INDEX('卡片raw data'!AM:AM,MATCH($D237,'卡片raw data'!$F:$F,))),1,0)</f>
        <v>0</v>
      </c>
      <c r="AU237" s="1098">
        <f>MIN(AT237*0.15+AS237*0.00003+INDEX(绊状态确认!M:M,MATCH($G237,绊状态确认!$B:$B,)),1)</f>
        <v>0.37992650729088001</v>
      </c>
      <c r="AV237" s="1109">
        <f>(INDEX(绊状态确认!$N:$N,MATCH($G237,绊状态确认!$B:$B,))+1.5)*$EW$21</f>
        <v>2.6599999999999997</v>
      </c>
      <c r="AW237" s="1101">
        <f t="shared" si="281"/>
        <v>19906.750072332619</v>
      </c>
      <c r="AX237" s="1097">
        <f t="shared" si="282"/>
        <v>647.47893953193147</v>
      </c>
      <c r="AY237" s="1110">
        <f t="shared" si="283"/>
        <v>20554.229011864551</v>
      </c>
      <c r="AZ237" s="429">
        <f t="shared" si="284"/>
        <v>17647.155698119997</v>
      </c>
      <c r="BA237" s="431">
        <f t="shared" si="285"/>
        <v>21176.586837743995</v>
      </c>
      <c r="BB237" s="1097">
        <f>(AM237*(1+$FB$9)+$FB$35)*(1+(INDEX(绊状态确认!$T:$T,MATCH($G237,绊状态确认!$B:$B,))+0.2)*AO237)*IF(J237=$FF$17,1+$FE$17,1)*IF(I237=$FF$14,1+$FE$14,1)*(1+$FE$15)</f>
        <v>7634.4788270919989</v>
      </c>
      <c r="BC237" s="1097">
        <f>(AN237*(1+$FB$10)+$FB$36)*(1+(INDEX(绊状态确认!$T:$T,MATCH($G237,绊状态确认!$B:$B,))+0.2)*AO237)*IF(J237=$FF$17,1+$FE$17,1)*IF(I237=$FF$14,1+$FE$14,1)*(1+$FE$15)</f>
        <v>11664.216909695999</v>
      </c>
      <c r="BD237" s="1104">
        <f>MIN(AT237*0.15+BC237*0.00003+INDEX(绊状态确认!M:M,MATCH($G237,绊状态确认!$B:$B,)),1)</f>
        <v>0.37992650729088001</v>
      </c>
      <c r="BE237" s="432">
        <f>(INDEX(绊状态确认!$N:$N,MATCH($G237,绊状态确认!$B:$B,))+1.5)</f>
        <v>1.9</v>
      </c>
      <c r="BF237" s="1139">
        <f t="array" ref="BF237">SUMPRODUCT(IF(AZ237*AP237*$FI$16:$FI$23*$FA$22&gt;=$FI$24,$FI$24,AZ237*AP237*$FI$16:$FI$23*$FA$22),$FJ$16:$FJ$23)</f>
        <v>35100.192683560679</v>
      </c>
      <c r="BG237" s="1125">
        <f t="array" ref="BG237">SUMPRODUCT(IF(BE237*AZ237*AP237*$FI$16:$FI$23*$FA$22&gt;=$FI$24,$FI$24,BE237*AZ237*AP237*$FI$16:$FI$23*$FA$22),$FJ$16:$FJ$23)</f>
        <v>58897.1186435891</v>
      </c>
      <c r="BH237" s="1110">
        <f t="shared" si="286"/>
        <v>14713.758549271317</v>
      </c>
      <c r="BI237" s="1111">
        <f>IF(O237="vo",$EW$26/$EW$24*0.05,0)+IF(O237="sk",-$EW$26/$EW$24*(0.05-INDEX(绊状态确认!W:W,MATCH($G237,绊状态确认!$B:$B,)))+0.05*$EW$28,0)+IF(O237="sp",0.05*$EW$32*$EW$30*(1-$EW$33)-(0.05-INDEX(绊状态确认!V:V,MATCH($G237,绊状态确认!$B:$B,)))*$EW$28,0)+IF(O237="gd",-(0.05-INDEX(绊状态确认!X:X,MATCH($G237,绊状态确认!$B:$B,)))*$EW$32*$EW$30*(1-$EW$33),0)</f>
        <v>7726.3029277443748</v>
      </c>
      <c r="BJ237" s="1097">
        <f>IF(O237="vo",0.05*(1-$FI$26)*$FA$24,0)+IF(O237="sk",-(0.05-INDEX(绊状态确认!W:W,MATCH($G237,绊状态确认!$B:$B,)))*(1-$FI$26)*$FA$24+0.05*$FA$26,0)+IF(O237="sp",0.05*$FA$32*$FA$27*(1-$FA$33)/$FA$30+0.05*$FA$29/$FA$69*$FA$27*(1-$FA$33)-(0.05-INDEX(绊状态确认!V:V,MATCH($G237,绊状态确认!$B:$B,)))*$FA$26,0)+IF(O237="gd",-(0.05-INDEX(绊状态确认!X:X,MATCH($G237,绊状态确认!$B:$B,)))*$FA$32*$FA$27*(1-$FA$33)/$FA$30-(0.05-INDEX(绊状态确认!X:X,MATCH($G237,绊状态确认!$B:$B,)))*$FA$29/$FA$69*$FA$27*(1-$FA$33),0)</f>
        <v>393.93433687500004</v>
      </c>
      <c r="BK237" s="1110">
        <f>IF(O237="vo",$EW$26/$EW$24*0.05+$EW$26*(-HP($EW$62,$EW$65,$EW$64)+HP($EW$62,$EW$65,(1.05-INDEX(绊状态确认!U:U,MATCH($G237,绊状态确认!$B:$B,)))*$EW$64)),0)+IF(O237="sk",-$EW$26/$EW$24*(0.05-INDEX(绊状态确认!W:W,MATCH($G237,绊状态确认!$B:$B,)))+0.05*$EW$29,0)+IF(O237="sp",0.05*$EW$32*$EW$30*(1-$EW$33)-(0.05-INDEX(绊状态确认!V:V,MATCH($G237,绊状态确认!$B:$B,)))*$EW$29,0)+IF(O237="gd",-(0.05-INDEX(绊状态确认!X:X,MATCH($G237,绊状态确认!$B:$B,)))*$EW$32*$EW$30*(1-$EW$33)+$EW$26*(-HP($EW$62,$EW$65,$EW$64)+HP($EW$62,$EW$65,0.95*$EW$64)),0)</f>
        <v>6421.6344775026746</v>
      </c>
      <c r="BL237" s="1111">
        <f t="shared" si="287"/>
        <v>-1083.3333333333333</v>
      </c>
      <c r="BM237" s="1110">
        <f t="shared" si="288"/>
        <v>-830.55555555555543</v>
      </c>
      <c r="BN237" s="1113">
        <f t="shared" si="289"/>
        <v>3</v>
      </c>
      <c r="BO237" s="1097">
        <f t="shared" si="290"/>
        <v>4507.7214871259994</v>
      </c>
      <c r="BP237" s="1100">
        <f t="shared" si="291"/>
        <v>221.34103209030098</v>
      </c>
      <c r="BQ237" s="1113" t="s">
        <v>143</v>
      </c>
      <c r="BR237" s="1124" t="s">
        <v>151</v>
      </c>
      <c r="BS237" s="1098">
        <f>IF($P237="","N/A",IF($P237=-1,INDEX('卡片raw data'!AX:AX,MATCH($D237,'卡片raw data'!$F:$F,)),0)+IF($L237="party卡",IF($P237=5,INDEX('卡片raw data'!BD:BD,MATCH($D237,'卡片raw data'!$F:$F,)),IF($P237&gt;=3,INDEX('卡片raw data'!BC:BC,MATCH($D237,'卡片raw data'!$F:$F,)),INDEX('卡片raw data'!BB:BB,MATCH($D237,'卡片raw data'!$F:$F,)))),IF(OR(AND($F237="UR",$P237=0),AND($F237="SR",$P237&gt;=0,$P237&lt;=2),AND($F237="R",$P237&gt;=0,$P237&lt;4)),INDEX('卡片raw data'!AZ:AZ,MATCH($D237,'卡片raw data'!$F:$F,)),0)+IF(OR(AND($F237="UR",$P237&gt;=1,$P237&lt;=4),AND($F237="SR",$P237&lt;=4,$P237&gt;=3),AND($F237="R",$P237=4)),INDEX('卡片raw data'!BA:BA,MATCH($D237,'卡片raw data'!$F:$F,)),0)+IF($P237=5,INDEX('卡片raw data'!BB:BB,MATCH($D237,'卡片raw data'!$F:$F,)),0)))</f>
        <v>3.2000000000000001E-2</v>
      </c>
      <c r="BT237" s="1101">
        <f t="shared" si="292"/>
        <v>1335.6211813706668</v>
      </c>
      <c r="BU237" s="1097">
        <f t="shared" si="293"/>
        <v>65.582528026755853</v>
      </c>
      <c r="BV237" s="1097">
        <f t="shared" si="294"/>
        <v>801.37270882240011</v>
      </c>
      <c r="BW237" s="1112">
        <f t="shared" si="295"/>
        <v>0</v>
      </c>
      <c r="BX237" s="1100">
        <f t="shared" si="296"/>
        <v>1335.6211813706668</v>
      </c>
      <c r="BY237" s="1110">
        <f t="shared" si="297"/>
        <v>801.37270882240011</v>
      </c>
      <c r="BZ237" s="1107" t="s">
        <v>569</v>
      </c>
      <c r="CA237" s="1124"/>
      <c r="CB237" s="1098">
        <f>IF($P237="","N/A",IF($P237=-1,INDEX('卡片raw data'!BE:BE,MATCH($D237,'卡片raw data'!$F:$F,)),0)+IF($L237="party卡",IF($P237=5,INDEX('卡片raw data'!BK:BK,MATCH($D237,'卡片raw data'!$F:$F,)),IF($P237&gt;=3,INDEX('卡片raw data'!BJ:BJ,MATCH($D237,'卡片raw data'!$F:$F,)),INDEX('卡片raw data'!BI:BI,MATCH($D237,'卡片raw data'!$F:$F,)))),IF(OR(AND($F237="UR",$P237=0),AND($F237="SR",$P237&gt;=0,$P237&lt;=2),AND($F237="R",$P237&gt;=0,$P237&lt;4)),INDEX('卡片raw data'!BG:BG,MATCH($D237,'卡片raw data'!$F:$F,)),0)+IF(OR(AND($F237="UR",$P237&gt;=1,$P237&lt;=4),AND($F237="SR",$P237&lt;=4,$P237&gt;=3),AND($F237="R",$P237=4)),INDEX('卡片raw data'!BH:BH,MATCH($D237,'卡片raw data'!$F:$F,)),0)+IF($P237=5,INDEX('卡片raw data'!BI:BI,MATCH($D237,'卡片raw data'!$F:$F,)),0)))</f>
        <v>0</v>
      </c>
      <c r="CC237" s="1101">
        <f t="shared" si="298"/>
        <v>0</v>
      </c>
      <c r="CD237" s="1097">
        <f>IF(BZ237="ap",CB237*(1-$FI$26)*$FB$5/$FB$11*(+IF(CA237="全员",$FA$24,0)+IF(CA237="同作战",$FA$24,0)+IF(CA237="仲间",$FA$24*2/3,0)+IF(CA237="同属性",$FA$24*$FA$37/3,0)+IF(CA237="同年级",$FA$24*$FA$40/3,0)+IF(CA237="同学校",$FA$24*$FA$43/3,0)+IF(CA237="同小队",$FA$24*$FA$46/3,0)+IF(CA237="同type",$FA$24*INDEX($FB$49:$FB$52,MATCH(X237,$FA$49:$FA$52,))/3,0)+IF(CA237="自身",#REF!/3,0)),0)+IF(BZ237="te",CB237*(1-$FI$27)*($FA$20-1)*$FB$7/$FB$13*(+IF(CA237="全员",$FA$19*$FA$24/(1+($FA$20-1)*$FA$19),0)+IF(CA237="同作战",$FA$19*$FA$24/(1+($FA$20-1)*$FA$19),0)+IF(CA237="仲间",$FA$19*$FA$24*2/3/(1+($FA$20-1)*$FA$19),0)+IF(CA237="同属性",$FA$19*$FA$24*$FA$37/3/(1+($FA$20-1)*$FA$19),0)+IF(CA237="同年级",$FA$19*$FA$24*$FA$40/3/(1+($FA$20-1)*$FA$19),0)+IF(CA237="同学校",$FA$19*$FA$24*$FA$43/3/(1+($FA$20-1)*$FA$19),0)+IF(CA237="同小队",$FA$19*$FA$24*$FA$46/3/(1+($FA$20-1)*$FA$19),0)+IF(CA237="同type",$FA$19*$FA$24*INDEX($FB$49:$FB$52,MATCH(X237,$FA$49:$FA$52,))/3/(1+($FA$20-1)*$FA$19),0)+IF(CA237="自身",$FA$19*#REF!/3/(1+(BH237-1)*$BD237),0)),0)</f>
        <v>0</v>
      </c>
      <c r="CE237" s="1097">
        <f t="shared" si="299"/>
        <v>0</v>
      </c>
      <c r="CF237" s="1112">
        <f t="shared" si="300"/>
        <v>0</v>
      </c>
      <c r="CG237" s="1100">
        <f t="shared" si="301"/>
        <v>0</v>
      </c>
      <c r="CH237" s="1110">
        <f t="shared" si="302"/>
        <v>0</v>
      </c>
      <c r="CI237" s="1113" t="s">
        <v>164</v>
      </c>
      <c r="CJ237" s="1114">
        <v>0.5</v>
      </c>
      <c r="CK237" s="1115" t="s">
        <v>585</v>
      </c>
      <c r="CL237" s="1115" t="s">
        <v>161</v>
      </c>
      <c r="CM237" s="1119">
        <v>7.0000000000000007E-2</v>
      </c>
      <c r="CN237" s="1115">
        <v>5</v>
      </c>
      <c r="CO237" s="1092"/>
      <c r="CP237" s="1118">
        <f t="shared" si="303"/>
        <v>3.7500000000000003E-3</v>
      </c>
      <c r="CQ237" s="1118">
        <f t="shared" si="304"/>
        <v>5.8333333333333336E-3</v>
      </c>
      <c r="CR237" s="1118">
        <f t="shared" si="305"/>
        <v>3.7500000000000003E-3</v>
      </c>
      <c r="CS237" s="1118">
        <f t="shared" si="306"/>
        <v>0</v>
      </c>
      <c r="CT237" s="1109">
        <f t="shared" si="307"/>
        <v>0</v>
      </c>
      <c r="CU237" s="1101">
        <f t="shared" si="308"/>
        <v>509.93599323112875</v>
      </c>
      <c r="CV237" s="1108">
        <f t="shared" si="309"/>
        <v>38.299171640625005</v>
      </c>
      <c r="CW237" s="1097">
        <f t="shared" si="310"/>
        <v>509.93599323112875</v>
      </c>
      <c r="CX237" s="1097">
        <f t="shared" si="311"/>
        <v>509.93599323112875</v>
      </c>
      <c r="CY237" s="1110">
        <f t="shared" si="312"/>
        <v>509.93599323112875</v>
      </c>
      <c r="CZ237" s="437"/>
      <c r="DA237" s="438"/>
      <c r="DB237" s="439" t="s">
        <v>569</v>
      </c>
      <c r="DC237" s="439"/>
      <c r="DD237" s="443"/>
      <c r="DE237" s="411"/>
      <c r="DF237" s="411"/>
      <c r="DG237" s="1116">
        <f t="shared" si="313"/>
        <v>0</v>
      </c>
      <c r="DH237" s="1116">
        <f t="shared" si="314"/>
        <v>0</v>
      </c>
      <c r="DI237" s="1116">
        <f t="shared" si="315"/>
        <v>0</v>
      </c>
      <c r="DJ237" s="442">
        <f t="shared" si="316"/>
        <v>0</v>
      </c>
      <c r="DK237" s="1109">
        <f t="shared" si="317"/>
        <v>0</v>
      </c>
      <c r="DL237" s="1101">
        <f t="shared" si="318"/>
        <v>0</v>
      </c>
      <c r="DM237" s="1097">
        <f t="shared" si="319"/>
        <v>0</v>
      </c>
      <c r="DN237" s="1097">
        <f t="shared" si="320"/>
        <v>0</v>
      </c>
      <c r="DO237" s="1097">
        <f t="shared" si="321"/>
        <v>0</v>
      </c>
      <c r="DP237" s="1110">
        <f t="shared" si="322"/>
        <v>0</v>
      </c>
      <c r="DQ237" s="1113" t="s">
        <v>545</v>
      </c>
      <c r="DR237" s="1120">
        <f t="shared" si="323"/>
        <v>0.3</v>
      </c>
      <c r="DS237" s="1124"/>
      <c r="DT237" s="1093" t="s">
        <v>559</v>
      </c>
      <c r="DU237" s="1093"/>
      <c r="DV237" s="1098">
        <f>IF($P237="","N/A",IF(P237=-1,INDEX('卡片raw data'!AN:AN,MATCH(D237,'卡片raw data'!$F:$F,)),0)+IF(AND(L237&lt;&gt;"party卡",P237&lt;=2,P237&gt;=0),INDEX('卡片raw data'!AP:AP,MATCH(D237,'卡片raw data'!$F:$F,)),0)+IF(OR(AND(L237="party卡",P237&lt;=1),AND(P237&lt;=4,L237&lt;&gt;"party卡",P237&gt;=3)),INDEX('卡片raw data'!AQ:AQ,MATCH(D237,'卡片raw data'!$F:$F,)),0)+IF(OR(P237=5,AND(L237="party卡",P237&gt;=2)),INDEX('卡片raw data'!AR:AR,MATCH(D237,'卡片raw data'!$F:$F,)),0))</f>
        <v>0.37</v>
      </c>
      <c r="DW237" s="1098">
        <f t="shared" si="324"/>
        <v>0.3</v>
      </c>
      <c r="DX237" s="1098">
        <f t="shared" si="325"/>
        <v>0.3</v>
      </c>
      <c r="DY237" s="1125">
        <f t="shared" si="326"/>
        <v>1130.62833145327</v>
      </c>
      <c r="DZ237" s="1125">
        <f t="shared" si="327"/>
        <v>881.08366026459555</v>
      </c>
      <c r="EA237" s="1098">
        <f t="shared" si="328"/>
        <v>0</v>
      </c>
      <c r="EB237" s="1121">
        <f t="shared" si="329"/>
        <v>0</v>
      </c>
      <c r="EC237" s="1101">
        <f t="shared" si="330"/>
        <v>1243.6911645985972</v>
      </c>
      <c r="ED237" s="1097">
        <f t="shared" si="331"/>
        <v>881.08366026459555</v>
      </c>
      <c r="EE237" s="1110">
        <f t="shared" si="332"/>
        <v>1243.6911645985972</v>
      </c>
      <c r="EF237" s="1092" t="s">
        <v>711</v>
      </c>
      <c r="EG237" s="1120">
        <f t="shared" si="333"/>
        <v>0.3</v>
      </c>
      <c r="EH237" s="1124"/>
      <c r="EI237" s="1093"/>
      <c r="EJ237" s="1093"/>
      <c r="EK237" s="1097">
        <f>IF($P237="","N/A",IF(P237=-1,INDEX('卡片raw data'!AS:AS,MATCH(D237,'卡片raw data'!$F:$F,)),0)+IF(AND(L237&lt;&gt;"party卡",P237&lt;=2,P237&gt;=0),INDEX('卡片raw data'!AU:AU,MATCH(D237,'卡片raw data'!$F:$F,)),0)+IF(OR(AND(L237="party卡",P237&lt;=1),AND(P237&lt;=4,L237&lt;&gt;"party卡",P237&gt;=3)),INDEX('卡片raw data'!AV:AV,MATCH(D237,'卡片raw data'!$F:$F,)),0)+IF(OR(P237=5,AND(L237="party卡",P237&gt;=2)),INDEX('卡片raw data'!AW:AW,MATCH(D237,'卡片raw data'!$F:$F,)),0))</f>
        <v>0</v>
      </c>
      <c r="EL237" s="1098">
        <f t="shared" si="334"/>
        <v>0.3</v>
      </c>
      <c r="EM237" s="1098">
        <f t="shared" si="335"/>
        <v>0.3</v>
      </c>
      <c r="EN237" s="1125">
        <f t="shared" si="336"/>
        <v>0</v>
      </c>
      <c r="EO237" s="1125">
        <f t="shared" si="337"/>
        <v>0</v>
      </c>
      <c r="EP237" s="1098">
        <f t="shared" si="338"/>
        <v>0</v>
      </c>
      <c r="EQ237" s="1121">
        <f t="shared" si="339"/>
        <v>0</v>
      </c>
      <c r="ER237" s="1101">
        <f t="shared" si="340"/>
        <v>0</v>
      </c>
      <c r="ES237" s="1097">
        <f t="shared" si="341"/>
        <v>0</v>
      </c>
      <c r="ET237" s="1122">
        <f t="shared" si="342"/>
        <v>0</v>
      </c>
    </row>
    <row r="238" spans="2:150" ht="16.5" customHeight="1">
      <c r="B238" s="1123" t="str">
        <f>INDEX('卡片raw data'!B:B,MATCH($D238,'卡片raw data'!$F:$F,))</f>
        <v>bm千</v>
      </c>
      <c r="C238" s="449" t="s">
        <v>66</v>
      </c>
      <c r="D238" s="408">
        <v>235</v>
      </c>
      <c r="E238" s="1090">
        <v>401012002</v>
      </c>
      <c r="F238" s="1090" t="str">
        <f>INDEX('卡片raw data'!C:C,MATCH($D238,'卡片raw data'!$F:$F,))</f>
        <v>SR</v>
      </c>
      <c r="G238" s="1094" t="s">
        <v>339</v>
      </c>
      <c r="H238" s="411">
        <f>IFERROR(INDEX(绊状态确认!C:C,MATCH($G238,绊状态确认!$B:$B,)),"")</f>
        <v>101</v>
      </c>
      <c r="I238" s="450" t="str">
        <f>IFERROR(INDEX(绊状态确认!D:D,MATCH($G238,绊状态确认!$B:$B,)),"")</f>
        <v>水</v>
      </c>
      <c r="J238" s="450" t="str">
        <f>IFERROR(INDEX(绊状态确认!E:E,MATCH($G238,绊状态确认!$B:$B,)),"")</f>
        <v>2年级</v>
      </c>
      <c r="K238" s="451" t="str">
        <f>IFERROR(INDEX(绊状态确认!F:F,MATCH($G238,绊状态确认!$B:$B,)),"")</f>
        <v>CYaRon!</v>
      </c>
      <c r="L238" s="1094" t="str">
        <f>INDEX('卡片raw data'!E:E,MATCH($D238,'卡片raw data'!$F:$F,))</f>
        <v>活动卡</v>
      </c>
      <c r="M238" s="415">
        <v>43958</v>
      </c>
      <c r="N238" s="416">
        <v>15</v>
      </c>
      <c r="O238" s="1091" t="str">
        <f>INDEX('卡片raw data'!D:D,MATCH($D238,'卡片raw data'!$F:$F,))</f>
        <v>sk</v>
      </c>
      <c r="P238" s="417">
        <v>5</v>
      </c>
      <c r="Q238" s="1095">
        <f t="shared" si="258"/>
        <v>18824.99692565795</v>
      </c>
      <c r="R238" s="1096">
        <f t="shared" si="259"/>
        <v>0.218</v>
      </c>
      <c r="S238" s="1097">
        <f t="shared" si="260"/>
        <v>13310.100798451907</v>
      </c>
      <c r="T238" s="1098">
        <f t="shared" si="261"/>
        <v>0.66500000000000004</v>
      </c>
      <c r="U238" s="1099">
        <f t="shared" si="262"/>
        <v>9.8605176382328548</v>
      </c>
      <c r="V238" s="1100">
        <f t="shared" si="263"/>
        <v>21608.191045312291</v>
      </c>
      <c r="W238" s="1101">
        <f t="shared" si="264"/>
        <v>5309.0941959483998</v>
      </c>
      <c r="X238" s="1096">
        <f t="shared" si="265"/>
        <v>6.0999999999999999E-2</v>
      </c>
      <c r="Y238" s="1097">
        <f t="shared" si="266"/>
        <v>783.1941196543421</v>
      </c>
      <c r="Z238" s="1102">
        <f t="shared" si="267"/>
        <v>9.8605176382328548</v>
      </c>
      <c r="AA238" s="1103">
        <f t="shared" si="268"/>
        <v>6092.2883156027419</v>
      </c>
      <c r="AB238" s="1101">
        <f t="shared" si="269"/>
        <v>6183.1941774980723</v>
      </c>
      <c r="AC238" s="1104">
        <f t="shared" si="270"/>
        <v>7.0999999999999994E-2</v>
      </c>
      <c r="AD238" s="1105">
        <f t="shared" si="271"/>
        <v>1.9848391098484849E-2</v>
      </c>
      <c r="AE238" s="1128">
        <f t="shared" si="272"/>
        <v>4.769284207228873</v>
      </c>
      <c r="AF238" s="1130">
        <f t="shared" si="273"/>
        <v>0</v>
      </c>
      <c r="AG238" s="420">
        <f t="shared" si="274"/>
        <v>0</v>
      </c>
      <c r="AH238" s="420">
        <f t="shared" si="275"/>
        <v>0</v>
      </c>
      <c r="AI238" s="1097">
        <f t="shared" si="276"/>
        <v>0</v>
      </c>
      <c r="AJ238" s="420">
        <f t="shared" si="277"/>
        <v>0</v>
      </c>
      <c r="AK238" s="518">
        <f t="shared" si="278"/>
        <v>0</v>
      </c>
      <c r="AL238" s="1106">
        <f>IF($P238="","N/A",(IF($P238=-1,INDEX('卡片raw data'!S:S,MATCH($D238,'卡片raw data'!$F:$F,)),0)+IF($P238=0,INDEX('卡片raw data'!V:V,MATCH($D238,'卡片raw data'!$F:$F,)),0)+IF($P238=1,INDEX('卡片raw data'!Y:Y,MATCH($D238,'卡片raw data'!$F:$F,)),0)+IF($P238=2,INDEX('卡片raw data'!AB:AB,MATCH($D238,'卡片raw data'!$F:$F,)),0)+IF($P238=3,INDEX('卡片raw data'!AE:AE,MATCH($D238,'卡片raw data'!$F:$F,)),0)+IF($P238=4,INDEX('卡片raw data'!AH:AH,MATCH($D238,'卡片raw data'!$F:$F,)),0)+IF($P238=5,INDEX('卡片raw data'!AK:AK,MATCH($D238,'卡片raw data'!$F:$F,)),0)+INDEX('卡片raw data'!S:S,MATCH($D238,'卡片raw data'!$F:$F,))*(IF($F238="UR",0.04,0.033))*(IF($F238="UR",INDEX(绊状态确认!$S:$S,MATCH($G238,绊状态确认!$B:$B,))/2-40)+IF($F238="SR",INDEX(绊状态确认!$R:$R,MATCH($G238,绊状态确认!$B:$B,))/4-15))+IF($F238="R",INDEX(绊状态确认!$Q:$Q,MATCH($G238,绊状态确认!$B:$B,))/6-40/6)))*(INDEX(绊状态确认!$H:$H,MATCH($G238,绊状态确认!$B:$B,))+INDEX(绊状态确认!J:J,MATCH($G238,绊状态确认!$B:$B,)))</f>
        <v>5747.1089015999987</v>
      </c>
      <c r="AM238" s="1106">
        <f>IF($P238="","N/A",(IF($P238=-1,INDEX('卡片raw data'!T:T,MATCH($D238,'卡片raw data'!$F:$F,)),0)+IF($P238=0,INDEX('卡片raw data'!W:W,MATCH($D238,'卡片raw data'!$F:$F,)),0)+IF($P238=1,INDEX('卡片raw data'!Z:Z,MATCH($D238,'卡片raw data'!$F:$F,)),0)+IF($P238=2,INDEX('卡片raw data'!AC:AC,MATCH($D238,'卡片raw data'!$F:$F,)),0)+IF($P238=3,INDEX('卡片raw data'!AF:AF,MATCH($D238,'卡片raw data'!$F:$F,)),0)+IF($P238=4,INDEX('卡片raw data'!AI:AI,MATCH($D238,'卡片raw data'!$F:$F,)),0)+IF($P238=5,INDEX('卡片raw data'!AL:AL,MATCH($D238,'卡片raw data'!$F:$F,)),0)+INDEX('卡片raw data'!T:T,MATCH($D238,'卡片raw data'!$F:$F,))*(IF($F238="UR",0.04,0.033))*(IF($F238="UR",INDEX(绊状态确认!$S:$S,MATCH($G238,绊状态确认!$B:$B,))/2-40)+IF($F238="SR",INDEX(绊状态确认!$R:$R,MATCH($G238,绊状态确认!$B:$B,))/4-15))+IF($F238="R",INDEX(绊状态确认!$Q:$Q,MATCH($G238,绊状态确认!$B:$B,))/6-40/6)))*(INDEX(绊状态确认!$H:$H,MATCH($G238,绊状态确认!$B:$B,))+INDEX(绊状态确认!K:K,MATCH($G238,绊状态确认!$B:$B,)))</f>
        <v>4761.2819015999994</v>
      </c>
      <c r="AN238" s="1106">
        <f>IF($P238="","N/A",(IF($P238=-1,INDEX('卡片raw data'!U:U,MATCH($D238,'卡片raw data'!$F:$F,)),0)+IF($P238=0,INDEX('卡片raw data'!X:X,MATCH($D238,'卡片raw data'!$F:$F,)),0)+IF($P238=1,INDEX('卡片raw data'!AA:AA,MATCH($D238,'卡片raw data'!$F:$F,)),0)+IF($P238=2,INDEX('卡片raw data'!AD:AD,MATCH($D238,'卡片raw data'!$F:$F,)),0)+IF($P238=3,INDEX('卡片raw data'!AG:AG,MATCH($D238,'卡片raw data'!$F:$F,)),0)+IF($P238=4,INDEX('卡片raw data'!AJ:AJ,MATCH($D238,'卡片raw data'!$F:$F,)),0)+IF($P238=5,INDEX('卡片raw data'!AM:AM,MATCH($D238,'卡片raw data'!$F:$F,)),0)+INDEX('卡片raw data'!U:U,MATCH($D238,'卡片raw data'!$F:$F,))*(IF($F238="UR",0.04,0.033))*(IF($F238="UR",INDEX(绊状态确认!$S:$S,MATCH($G238,绊状态确认!$B:$B,))/2-40)+IF($F238="SR",INDEX(绊状态确认!$R:$R,MATCH($G238,绊状态确认!$B:$B,))/4-15))+IF($F238="R",INDEX(绊状态确认!$Q:$Q,MATCH($G238,绊状态确认!$B:$B,))/6-40/6)))*(INDEX(绊状态确认!$H:$H,MATCH($G238,绊状态确认!$B:$B,))+INDEX(绊状态确认!L:L,MATCH($G238,绊状态确认!$B:$B,)))</f>
        <v>5911.6278023999994</v>
      </c>
      <c r="AO238" s="1107">
        <f t="shared" si="279"/>
        <v>1</v>
      </c>
      <c r="AP238" s="1131">
        <f>1+(INDEX(绊状态确认!$T:$T,MATCH($G238,绊状态确认!$B:$B,))+0.2)*$AO238</f>
        <v>1.3</v>
      </c>
      <c r="AQ238" s="1108">
        <f t="shared" si="280"/>
        <v>18336.160866699996</v>
      </c>
      <c r="AR238" s="1097">
        <f>(AM238*(1+$EX$9)+$EX$35)*(1+(INDEX(绊状态确认!$T:$T,MATCH($G238,绊状态确认!$B:$B,))+0.2)*AO238)*IF(J238=$FF$17,1+$FE$17,1)*IF(I238=$FF$14,1+$FE$14,1)</f>
        <v>9203.1497956839994</v>
      </c>
      <c r="AS238" s="1097">
        <f>(AN238*(1+$EX$10)+$EX$36)*(1+(INDEX(绊状态确认!$T:$T,MATCH($G238,绊状态确认!$B:$B,))+0.2)*AO238)*IF(J238=$FF$17,1+$FE$17,1)*IF(I238=$FF$14,1+$FE$14,1)</f>
        <v>12893.883564588001</v>
      </c>
      <c r="AT238" s="1093">
        <f>IF(AND(INDEX('卡片raw data'!AK:AK,MATCH($D238,'卡片raw data'!$F:$F,))&lt;INDEX('卡片raw data'!AM:AM,MATCH($D238,'卡片raw data'!$F:$F,)),INDEX('卡片raw data'!AL:AL,MATCH($D238,'卡片raw data'!$F:$F,))&lt;INDEX('卡片raw data'!AM:AM,MATCH($D238,'卡片raw data'!$F:$F,))),1,0)</f>
        <v>1</v>
      </c>
      <c r="AU238" s="1098">
        <f>MIN(AT238*0.15+AS238*0.00003+INDEX(绊状态确认!M:M,MATCH($G238,绊状态确认!$B:$B,)),1)</f>
        <v>0.56681650693764007</v>
      </c>
      <c r="AV238" s="1109">
        <f>(INDEX(绊状态确认!$N:$N,MATCH($G238,绊状态确认!$B:$B,))+1.5)*$EW$21</f>
        <v>2.6599999999999997</v>
      </c>
      <c r="AW238" s="1101">
        <f t="shared" si="281"/>
        <v>18482.996469651836</v>
      </c>
      <c r="AX238" s="1097">
        <f t="shared" si="282"/>
        <v>783.19411965434222</v>
      </c>
      <c r="AY238" s="1110">
        <f t="shared" si="283"/>
        <v>19266.190589306178</v>
      </c>
      <c r="AZ238" s="429">
        <f t="shared" si="284"/>
        <v>13806.862358119997</v>
      </c>
      <c r="BA238" s="431">
        <f t="shared" si="285"/>
        <v>16568.234829743997</v>
      </c>
      <c r="BB238" s="1097">
        <f>(AM238*(1+$FB$9)+$FB$35)*(1+(INDEX(绊状态确认!$T:$T,MATCH($G238,绊状态确认!$B:$B,))+0.2)*AO238)*IF(J238=$FF$17,1+$FE$17,1)*IF(I238=$FF$14,1+$FE$14,1)*(1+$FE$15)</f>
        <v>9203.1497956839994</v>
      </c>
      <c r="BC238" s="1097">
        <f>(AN238*(1+$FB$10)+$FB$36)*(1+(INDEX(绊状态确认!$T:$T,MATCH($G238,绊状态确认!$B:$B,))+0.2)*AO238)*IF(J238=$FF$17,1+$FE$17,1)*IF(I238=$FF$14,1+$FE$14,1)*(1+$FE$15)</f>
        <v>12893.883564588001</v>
      </c>
      <c r="BD238" s="1104">
        <f>MIN(AT238*0.15+BC238*0.00003+INDEX(绊状态确认!M:M,MATCH($G238,绊状态确认!$B:$B,)),1)</f>
        <v>0.56681650693764007</v>
      </c>
      <c r="BE238" s="432">
        <f>(INDEX(绊状态确认!$N:$N,MATCH($G238,绊状态确认!$B:$B,))+1.5)</f>
        <v>1.9</v>
      </c>
      <c r="BF238" s="1139">
        <f t="array" ref="BF238">SUMPRODUCT(IF(AZ238*AP238*$FI$16:$FI$23*$FA$22&gt;=$FI$24,$FI$24,AZ238*AP238*$FI$16:$FI$23*$FA$22),$FJ$16:$FJ$23)</f>
        <v>27461.849230300682</v>
      </c>
      <c r="BG238" s="1125">
        <f t="array" ref="BG238">SUMPRODUCT(IF(BE238*AZ238*AP238*$FI$16:$FI$23*$FA$22&gt;=$FI$24,$FI$24,BE238*AZ238*AP238*$FI$16:$FI$23*$FA$22),$FJ$16:$FJ$23)</f>
        <v>51559.422028485416</v>
      </c>
      <c r="BH238" s="1110">
        <f t="shared" si="286"/>
        <v>13706.917089814415</v>
      </c>
      <c r="BI238" s="1111">
        <f>IF(O238="vo",$EW$26/$EW$24*0.05,0)+IF(O238="sk",-$EW$26/$EW$24*(0.05-INDEX(绊状态确认!W:W,MATCH($G238,绊状态确认!$B:$B,)))+0.05*$EW$28,0)+IF(O238="sp",0.05*$EW$32*$EW$30*(1-$EW$33)-(0.05-INDEX(绊状态确认!V:V,MATCH($G238,绊状态确认!$B:$B,)))*$EW$28,0)+IF(O238="gd",-(0.05-INDEX(绊状态确认!X:X,MATCH($G238,绊状态确认!$B:$B,)))*$EW$32*$EW$30*(1-$EW$33),0)</f>
        <v>-6253.6726349699375</v>
      </c>
      <c r="BJ238" s="1097">
        <f>IF(O238="vo",0.05*(1-$FI$26)*$FA$24,0)+IF(O238="sk",-(0.05-INDEX(绊状态确认!W:W,MATCH($G238,绊状态确认!$B:$B,)))*(1-$FI$26)*$FA$24+0.05*$FA$26,0)+IF(O238="sp",0.05*$FA$32*$FA$27*(1-$FA$33)/$FA$30+0.05*$FA$29/$FA$69*$FA$27*(1-$FA$33)-(0.05-INDEX(绊状态确认!V:V,MATCH($G238,绊状态确认!$B:$B,)))*$FA$26,0)+IF(O238="gd",-(0.05-INDEX(绊状态确认!X:X,MATCH($G238,绊状态确认!$B:$B,)))*$FA$32*$FA$27*(1-$FA$33)/$FA$30-(0.05-INDEX(绊状态确认!X:X,MATCH($G238,绊状态确认!$B:$B,)))*$FA$29/$FA$69*$FA$27*(1-$FA$33),0)</f>
        <v>20.459096812499922</v>
      </c>
      <c r="BK238" s="1110">
        <f>IF(O238="vo",$EW$26/$EW$24*0.05+$EW$26*(-HP($EW$62,$EW$65,$EW$64)+HP($EW$62,$EW$65,(1.05-INDEX(绊状态确认!U:U,MATCH($G238,绊状态确认!$B:$B,)))*$EW$64)),0)+IF(O238="sk",-$EW$26/$EW$24*(0.05-INDEX(绊状态确认!W:W,MATCH($G238,绊状态确认!$B:$B,)))+0.05*$EW$29,0)+IF(O238="sp",0.05*$EW$32*$EW$30*(1-$EW$33)-(0.05-INDEX(绊状态确认!V:V,MATCH($G238,绊状态确认!$B:$B,)))*$EW$29,0)+IF(O238="gd",-(0.05-INDEX(绊状态确认!X:X,MATCH($G238,绊状态确认!$B:$B,)))*$EW$32*$EW$30*(1-$EW$33)+$EW$26*(-HP($EW$62,$EW$65,$EW$64)+HP($EW$62,$EW$65,0.95*$EW$64)),0)</f>
        <v>-4253.6726349699375</v>
      </c>
      <c r="BL238" s="1111">
        <f t="shared" si="287"/>
        <v>-1083.3333333333333</v>
      </c>
      <c r="BM238" s="1110">
        <f t="shared" si="288"/>
        <v>-830.55555555555543</v>
      </c>
      <c r="BN238" s="1113">
        <f t="shared" si="289"/>
        <v>3</v>
      </c>
      <c r="BO238" s="1097">
        <f t="shared" si="290"/>
        <v>4507.7214871259994</v>
      </c>
      <c r="BP238" s="1100">
        <f t="shared" si="291"/>
        <v>221.34103209030098</v>
      </c>
      <c r="BQ238" s="1113" t="s">
        <v>143</v>
      </c>
      <c r="BR238" s="1124" t="s">
        <v>148</v>
      </c>
      <c r="BS238" s="1098">
        <f>IF($P238="","N/A",IF($P238=-1,INDEX('卡片raw data'!AX:AX,MATCH($D238,'卡片raw data'!$F:$F,)),0)+IF($L238="party卡",IF($P238=5,INDEX('卡片raw data'!BD:BD,MATCH($D238,'卡片raw data'!$F:$F,)),IF($P238&gt;=3,INDEX('卡片raw data'!BC:BC,MATCH($D238,'卡片raw data'!$F:$F,)),INDEX('卡片raw data'!BB:BB,MATCH($D238,'卡片raw data'!$F:$F,)))),IF(OR(AND($F238="UR",$P238=0),AND($F238="SR",$P238&gt;=0,$P238&lt;=2),AND($F238="R",$P238&gt;=0,$P238&lt;4)),INDEX('卡片raw data'!AZ:AZ,MATCH($D238,'卡片raw data'!$F:$F,)),0)+IF(OR(AND($F238="UR",$P238&gt;=1,$P238&lt;=4),AND($F238="SR",$P238&lt;=4,$P238&gt;=3),AND($F238="R",$P238=4)),INDEX('卡片raw data'!BA:BA,MATCH($D238,'卡片raw data'!$F:$F,)),0)+IF($P238=5,INDEX('卡片raw data'!BB:BB,MATCH($D238,'卡片raw data'!$F:$F,)),0)))</f>
        <v>3.2000000000000001E-2</v>
      </c>
      <c r="BT238" s="1101">
        <f t="shared" si="292"/>
        <v>1602.7454176448</v>
      </c>
      <c r="BU238" s="1097">
        <f t="shared" si="293"/>
        <v>68.861654428093644</v>
      </c>
      <c r="BV238" s="1097">
        <f t="shared" si="294"/>
        <v>801.37270882240011</v>
      </c>
      <c r="BW238" s="1112">
        <f t="shared" si="295"/>
        <v>0</v>
      </c>
      <c r="BX238" s="1100">
        <f t="shared" si="296"/>
        <v>1602.7454176448</v>
      </c>
      <c r="BY238" s="1110">
        <f t="shared" si="297"/>
        <v>801.37270882240011</v>
      </c>
      <c r="BZ238" s="1107" t="s">
        <v>569</v>
      </c>
      <c r="CA238" s="1124"/>
      <c r="CB238" s="1098">
        <f>IF($P238="","N/A",IF($P238=-1,INDEX('卡片raw data'!BE:BE,MATCH($D238,'卡片raw data'!$F:$F,)),0)+IF($L238="party卡",IF($P238=5,INDEX('卡片raw data'!BK:BK,MATCH($D238,'卡片raw data'!$F:$F,)),IF($P238&gt;=3,INDEX('卡片raw data'!BJ:BJ,MATCH($D238,'卡片raw data'!$F:$F,)),INDEX('卡片raw data'!BI:BI,MATCH($D238,'卡片raw data'!$F:$F,)))),IF(OR(AND($F238="UR",$P238=0),AND($F238="SR",$P238&gt;=0,$P238&lt;=2),AND($F238="R",$P238&gt;=0,$P238&lt;4)),INDEX('卡片raw data'!BG:BG,MATCH($D238,'卡片raw data'!$F:$F,)),0)+IF(OR(AND($F238="UR",$P238&gt;=1,$P238&lt;=4),AND($F238="SR",$P238&lt;=4,$P238&gt;=3),AND($F238="R",$P238=4)),INDEX('卡片raw data'!BH:BH,MATCH($D238,'卡片raw data'!$F:$F,)),0)+IF($P238=5,INDEX('卡片raw data'!BI:BI,MATCH($D238,'卡片raw data'!$F:$F,)),0)))</f>
        <v>0</v>
      </c>
      <c r="CC238" s="1101">
        <f t="shared" si="298"/>
        <v>0</v>
      </c>
      <c r="CD238" s="1097">
        <f>IF(BZ238="ap",CB238*(1-$FI$26)*$FB$5/$FB$11*(+IF(CA238="全员",$FA$24,0)+IF(CA238="同作战",$FA$24,0)+IF(CA238="仲间",$FA$24*2/3,0)+IF(CA238="同属性",$FA$24*$FA$37/3,0)+IF(CA238="同年级",$FA$24*$FA$40/3,0)+IF(CA238="同学校",$FA$24*$FA$43/3,0)+IF(CA238="同小队",$FA$24*$FA$46/3,0)+IF(CA238="同type",$FA$24*INDEX($FB$49:$FB$52,MATCH(X238,$FA$49:$FA$52,))/3,0)+IF(CA238="自身",#REF!/3,0)),0)+IF(BZ238="te",CB238*(1-$FI$27)*($FA$20-1)*$FB$7/$FB$13*(+IF(CA238="全员",$FA$19*$FA$24/(1+($FA$20-1)*$FA$19),0)+IF(CA238="同作战",$FA$19*$FA$24/(1+($FA$20-1)*$FA$19),0)+IF(CA238="仲间",$FA$19*$FA$24*2/3/(1+($FA$20-1)*$FA$19),0)+IF(CA238="同属性",$FA$19*$FA$24*$FA$37/3/(1+($FA$20-1)*$FA$19),0)+IF(CA238="同年级",$FA$19*$FA$24*$FA$40/3/(1+($FA$20-1)*$FA$19),0)+IF(CA238="同学校",$FA$19*$FA$24*$FA$43/3/(1+($FA$20-1)*$FA$19),0)+IF(CA238="同小队",$FA$19*$FA$24*$FA$46/3/(1+($FA$20-1)*$FA$19),0)+IF(CA238="同type",$FA$19*$FA$24*INDEX($FB$49:$FB$52,MATCH(X238,$FA$49:$FA$52,))/3/(1+($FA$20-1)*$FA$19),0)+IF(CA238="自身",$FA$19*#REF!/3/(1+(BH238-1)*$BD238),0)),0)</f>
        <v>0</v>
      </c>
      <c r="CE238" s="1097">
        <f t="shared" si="299"/>
        <v>0</v>
      </c>
      <c r="CF238" s="1112">
        <f t="shared" si="300"/>
        <v>0</v>
      </c>
      <c r="CG238" s="1100">
        <f t="shared" si="301"/>
        <v>0</v>
      </c>
      <c r="CH238" s="1110">
        <f t="shared" si="302"/>
        <v>0</v>
      </c>
      <c r="CI238" s="1113" t="s">
        <v>162</v>
      </c>
      <c r="CJ238" s="1114">
        <v>0.3</v>
      </c>
      <c r="CK238" s="1115" t="s">
        <v>582</v>
      </c>
      <c r="CL238" s="1115" t="s">
        <v>586</v>
      </c>
      <c r="CM238" s="1119">
        <v>0.08</v>
      </c>
      <c r="CN238" s="1115">
        <v>10</v>
      </c>
      <c r="CO238" s="1092"/>
      <c r="CP238" s="1118">
        <f t="shared" si="303"/>
        <v>1.7142857142857142E-3</v>
      </c>
      <c r="CQ238" s="1118">
        <f t="shared" si="304"/>
        <v>2.6666666666666666E-3</v>
      </c>
      <c r="CR238" s="1118">
        <f t="shared" si="305"/>
        <v>0</v>
      </c>
      <c r="CS238" s="1118">
        <f t="shared" si="306"/>
        <v>8.5416666666666649E-4</v>
      </c>
      <c r="CT238" s="1109">
        <f t="shared" si="307"/>
        <v>0</v>
      </c>
      <c r="CU238" s="1101">
        <f t="shared" si="308"/>
        <v>72.72727272727272</v>
      </c>
      <c r="CV238" s="1108">
        <f t="shared" si="309"/>
        <v>60.606060606060602</v>
      </c>
      <c r="CW238" s="1097">
        <f t="shared" si="310"/>
        <v>0</v>
      </c>
      <c r="CX238" s="1097">
        <f t="shared" si="311"/>
        <v>72.72727272727272</v>
      </c>
      <c r="CY238" s="1110">
        <f t="shared" si="312"/>
        <v>0</v>
      </c>
      <c r="CZ238" s="437"/>
      <c r="DA238" s="438"/>
      <c r="DB238" s="439" t="s">
        <v>569</v>
      </c>
      <c r="DC238" s="439"/>
      <c r="DD238" s="443"/>
      <c r="DE238" s="411"/>
      <c r="DF238" s="411"/>
      <c r="DG238" s="1116">
        <f t="shared" si="313"/>
        <v>0</v>
      </c>
      <c r="DH238" s="1116">
        <f t="shared" si="314"/>
        <v>0</v>
      </c>
      <c r="DI238" s="1116">
        <f t="shared" si="315"/>
        <v>0</v>
      </c>
      <c r="DJ238" s="442">
        <f t="shared" si="316"/>
        <v>0</v>
      </c>
      <c r="DK238" s="1109">
        <f t="shared" si="317"/>
        <v>0</v>
      </c>
      <c r="DL238" s="1101">
        <f t="shared" si="318"/>
        <v>0</v>
      </c>
      <c r="DM238" s="1097">
        <f t="shared" si="319"/>
        <v>0</v>
      </c>
      <c r="DN238" s="1097">
        <f t="shared" si="320"/>
        <v>0</v>
      </c>
      <c r="DO238" s="1097">
        <f t="shared" si="321"/>
        <v>0</v>
      </c>
      <c r="DP238" s="1110">
        <f t="shared" si="322"/>
        <v>0</v>
      </c>
      <c r="DQ238" s="1113" t="s">
        <v>566</v>
      </c>
      <c r="DR238" s="1120">
        <f t="shared" si="323"/>
        <v>0.3</v>
      </c>
      <c r="DS238" s="1124">
        <v>5</v>
      </c>
      <c r="DT238" s="1093" t="s">
        <v>161</v>
      </c>
      <c r="DU238" s="1093" t="s">
        <v>560</v>
      </c>
      <c r="DV238" s="1098">
        <f>IF($P238="","N/A",IF(P238=-1,INDEX('卡片raw data'!AN:AN,MATCH(D238,'卡片raw data'!$F:$F,)),0)+IF(AND(L238&lt;&gt;"party卡",P238&lt;=2,P238&gt;=0),INDEX('卡片raw data'!AP:AP,MATCH(D238,'卡片raw data'!$F:$F,)),0)+IF(OR(AND(L238="party卡",P238&lt;=1),AND(P238&lt;=4,L238&lt;&gt;"party卡",P238&gt;=3)),INDEX('卡片raw data'!AQ:AQ,MATCH(D238,'卡片raw data'!$F:$F,)),0)+IF(OR(P238=5,AND(L238="party卡",P238&gt;=2)),INDEX('卡片raw data'!AR:AR,MATCH(D238,'卡片raw data'!$F:$F,)),0))</f>
        <v>2.1999999999999999E-2</v>
      </c>
      <c r="DW238" s="1098">
        <f t="shared" si="324"/>
        <v>0.3</v>
      </c>
      <c r="DX238" s="1098">
        <f t="shared" si="325"/>
        <v>0.3</v>
      </c>
      <c r="DY238" s="1098">
        <f t="shared" si="326"/>
        <v>1.0999999999999999E-2</v>
      </c>
      <c r="DZ238" s="1098">
        <f t="shared" si="327"/>
        <v>9.5149999999999992E-3</v>
      </c>
      <c r="EA238" s="1098">
        <f t="shared" si="328"/>
        <v>0</v>
      </c>
      <c r="EB238" s="1121">
        <f t="shared" si="329"/>
        <v>0</v>
      </c>
      <c r="EC238" s="1101">
        <f t="shared" si="330"/>
        <v>1495.8122468113111</v>
      </c>
      <c r="ED238" s="1097">
        <f t="shared" si="331"/>
        <v>62.471420256093751</v>
      </c>
      <c r="EE238" s="1110">
        <f t="shared" si="332"/>
        <v>1495.8122468113111</v>
      </c>
      <c r="EF238" s="1092" t="s">
        <v>711</v>
      </c>
      <c r="EG238" s="1120">
        <f t="shared" si="333"/>
        <v>0.3</v>
      </c>
      <c r="EH238" s="1124"/>
      <c r="EI238" s="1093"/>
      <c r="EJ238" s="1093"/>
      <c r="EK238" s="1097">
        <f>IF($P238="","N/A",IF(P238=-1,INDEX('卡片raw data'!AS:AS,MATCH(D238,'卡片raw data'!$F:$F,)),0)+IF(AND(L238&lt;&gt;"party卡",P238&lt;=2,P238&gt;=0),INDEX('卡片raw data'!AU:AU,MATCH(D238,'卡片raw data'!$F:$F,)),0)+IF(OR(AND(L238="party卡",P238&lt;=1),AND(P238&lt;=4,L238&lt;&gt;"party卡",P238&gt;=3)),INDEX('卡片raw data'!AV:AV,MATCH(D238,'卡片raw data'!$F:$F,)),0)+IF(OR(P238=5,AND(L238="party卡",P238&gt;=2)),INDEX('卡片raw data'!AW:AW,MATCH(D238,'卡片raw data'!$F:$F,)),0))</f>
        <v>0</v>
      </c>
      <c r="EL238" s="1098">
        <f t="shared" si="334"/>
        <v>0.3</v>
      </c>
      <c r="EM238" s="1098">
        <f t="shared" si="335"/>
        <v>0.3</v>
      </c>
      <c r="EN238" s="1125">
        <f t="shared" si="336"/>
        <v>0</v>
      </c>
      <c r="EO238" s="1125">
        <f t="shared" si="337"/>
        <v>0</v>
      </c>
      <c r="EP238" s="1098">
        <f t="shared" si="338"/>
        <v>0</v>
      </c>
      <c r="EQ238" s="1121">
        <f t="shared" si="339"/>
        <v>0</v>
      </c>
      <c r="ER238" s="1101">
        <f t="shared" si="340"/>
        <v>0</v>
      </c>
      <c r="ES238" s="1097">
        <f t="shared" si="341"/>
        <v>0</v>
      </c>
      <c r="ET238" s="1122">
        <f t="shared" si="342"/>
        <v>0</v>
      </c>
    </row>
    <row r="239" spans="2:150" ht="16.5" customHeight="1">
      <c r="B239" s="1123" t="str">
        <f>INDEX('卡片raw data'!B:B,MATCH($D239,'卡片raw data'!$F:$F,))</f>
        <v>涂鸦鞠</v>
      </c>
      <c r="C239" s="449" t="s">
        <v>124</v>
      </c>
      <c r="D239" s="408">
        <v>236</v>
      </c>
      <c r="E239" s="1090">
        <v>301083001</v>
      </c>
      <c r="F239" s="1090" t="str">
        <f>INDEX('卡片raw data'!C:C,MATCH($D239,'卡片raw data'!$F:$F,))</f>
        <v>UR</v>
      </c>
      <c r="G239" s="1094" t="s">
        <v>40</v>
      </c>
      <c r="H239" s="411">
        <f>IFERROR(INDEX(绊状态确认!C:C,MATCH($G239,绊状态确认!$B:$B,)),"")</f>
        <v>108</v>
      </c>
      <c r="I239" s="450" t="str">
        <f>IFERROR(INDEX(绊状态确认!D:D,MATCH($G239,绊状态确认!$B:$B,)),"")</f>
        <v>水</v>
      </c>
      <c r="J239" s="450" t="str">
        <f>IFERROR(INDEX(绊状态确认!E:E,MATCH($G239,绊状态确认!$B:$B,)),"")</f>
        <v>3年级</v>
      </c>
      <c r="K239" s="451" t="str">
        <f>IFERROR(INDEX(绊状态确认!F:F,MATCH($G239,绊状态确认!$B:$B,)),"")</f>
        <v>Guilty Kiss</v>
      </c>
      <c r="L239" s="1094" t="str">
        <f>INDEX('卡片raw data'!E:E,MATCH($D239,'卡片raw data'!$F:$F,))</f>
        <v>卡池卡</v>
      </c>
      <c r="M239" s="415">
        <v>43966</v>
      </c>
      <c r="N239" s="416">
        <v>15.5</v>
      </c>
      <c r="O239" s="1091" t="str">
        <f>INDEX('卡片raw data'!D:D,MATCH($D239,'卡片raw data'!$F:$F,))</f>
        <v>sp</v>
      </c>
      <c r="P239" s="417">
        <v>5</v>
      </c>
      <c r="Q239" s="1095">
        <f t="shared" si="258"/>
        <v>49912.029177574179</v>
      </c>
      <c r="R239" s="1096">
        <f t="shared" si="259"/>
        <v>0.57999999999999996</v>
      </c>
      <c r="S239" s="1097">
        <f t="shared" si="260"/>
        <v>20462.398372579803</v>
      </c>
      <c r="T239" s="1098">
        <f t="shared" si="261"/>
        <v>1.0229999999999999</v>
      </c>
      <c r="U239" s="1099">
        <f t="shared" si="262"/>
        <v>15.253934852742857</v>
      </c>
      <c r="V239" s="1100">
        <f t="shared" si="263"/>
        <v>49337.08812432277</v>
      </c>
      <c r="W239" s="1101">
        <f t="shared" si="264"/>
        <v>5733.9846558728223</v>
      </c>
      <c r="X239" s="1096">
        <f t="shared" si="265"/>
        <v>6.6000000000000003E-2</v>
      </c>
      <c r="Y239" s="1097">
        <f t="shared" si="266"/>
        <v>1225.0589467485925</v>
      </c>
      <c r="Z239" s="1102">
        <f t="shared" si="267"/>
        <v>15.253934852742857</v>
      </c>
      <c r="AA239" s="1103">
        <f t="shared" si="268"/>
        <v>6959.0436026214147</v>
      </c>
      <c r="AB239" s="1101">
        <f t="shared" si="269"/>
        <v>7356.5328748963184</v>
      </c>
      <c r="AC239" s="1104">
        <f t="shared" si="270"/>
        <v>8.5000000000000006E-2</v>
      </c>
      <c r="AD239" s="1105">
        <f t="shared" si="271"/>
        <v>-1.6087500000000001E-2</v>
      </c>
      <c r="AE239" s="1128">
        <f t="shared" si="272"/>
        <v>10.92391304347826</v>
      </c>
      <c r="AF239" s="1130">
        <f t="shared" si="273"/>
        <v>0</v>
      </c>
      <c r="AG239" s="420">
        <f t="shared" si="274"/>
        <v>0</v>
      </c>
      <c r="AH239" s="420">
        <f t="shared" si="275"/>
        <v>0</v>
      </c>
      <c r="AI239" s="1097">
        <f t="shared" si="276"/>
        <v>0</v>
      </c>
      <c r="AJ239" s="420">
        <f t="shared" si="277"/>
        <v>0</v>
      </c>
      <c r="AK239" s="518">
        <f t="shared" si="278"/>
        <v>0</v>
      </c>
      <c r="AL239" s="1106">
        <f>IF($P239="","N/A",(IF($P239=-1,INDEX('卡片raw data'!S:S,MATCH($D239,'卡片raw data'!$F:$F,)),0)+IF($P239=0,INDEX('卡片raw data'!V:V,MATCH($D239,'卡片raw data'!$F:$F,)),0)+IF($P239=1,INDEX('卡片raw data'!Y:Y,MATCH($D239,'卡片raw data'!$F:$F,)),0)+IF($P239=2,INDEX('卡片raw data'!AB:AB,MATCH($D239,'卡片raw data'!$F:$F,)),0)+IF($P239=3,INDEX('卡片raw data'!AE:AE,MATCH($D239,'卡片raw data'!$F:$F,)),0)+IF($P239=4,INDEX('卡片raw data'!AH:AH,MATCH($D239,'卡片raw data'!$F:$F,)),0)+IF($P239=5,INDEX('卡片raw data'!AK:AK,MATCH($D239,'卡片raw data'!$F:$F,)),0)+INDEX('卡片raw data'!S:S,MATCH($D239,'卡片raw data'!$F:$F,))*(IF($F239="UR",0.04,0.033))*(IF($F239="UR",INDEX(绊状态确认!$S:$S,MATCH($G239,绊状态确认!$B:$B,))/2-40)+IF($F239="SR",INDEX(绊状态确认!$R:$R,MATCH($G239,绊状态确认!$B:$B,))/4-15))+IF($F239="R",INDEX(绊状态确认!$Q:$Q,MATCH($G239,绊状态确认!$B:$B,))/6-40/6)))*(INDEX(绊状态确认!$H:$H,MATCH($G239,绊状态确认!$B:$B,))+INDEX(绊状态确认!J:J,MATCH($G239,绊状态确认!$B:$B,)))</f>
        <v>11049.171743999997</v>
      </c>
      <c r="AM239" s="1106">
        <f>IF($P239="","N/A",(IF($P239=-1,INDEX('卡片raw data'!T:T,MATCH($D239,'卡片raw data'!$F:$F,)),0)+IF($P239=0,INDEX('卡片raw data'!W:W,MATCH($D239,'卡片raw data'!$F:$F,)),0)+IF($P239=1,INDEX('卡片raw data'!Z:Z,MATCH($D239,'卡片raw data'!$F:$F,)),0)+IF($P239=2,INDEX('卡片raw data'!AC:AC,MATCH($D239,'卡片raw data'!$F:$F,)),0)+IF($P239=3,INDEX('卡片raw data'!AF:AF,MATCH($D239,'卡片raw data'!$F:$F,)),0)+IF($P239=4,INDEX('卡片raw data'!AI:AI,MATCH($D239,'卡片raw data'!$F:$F,)),0)+IF($P239=5,INDEX('卡片raw data'!AL:AL,MATCH($D239,'卡片raw data'!$F:$F,)),0)+INDEX('卡片raw data'!T:T,MATCH($D239,'卡片raw data'!$F:$F,))*(IF($F239="UR",0.04,0.033))*(IF($F239="UR",INDEX(绊状态确认!$S:$S,MATCH($G239,绊状态确认!$B:$B,))/2-40)+IF($F239="SR",INDEX(绊状态确认!$R:$R,MATCH($G239,绊状态确认!$B:$B,))/4-15))+IF($F239="R",INDEX(绊状态确认!$Q:$Q,MATCH($G239,绊状态确认!$B:$B,))/6-40/6)))*(INDEX(绊状态确认!$H:$H,MATCH($G239,绊状态确认!$B:$B,))+INDEX(绊状态确认!K:K,MATCH($G239,绊状态确认!$B:$B,)))</f>
        <v>8449.0885439999984</v>
      </c>
      <c r="AN239" s="1106">
        <f>IF($P239="","N/A",(IF($P239=-1,INDEX('卡片raw data'!U:U,MATCH($D239,'卡片raw data'!$F:$F,)),0)+IF($P239=0,INDEX('卡片raw data'!X:X,MATCH($D239,'卡片raw data'!$F:$F,)),0)+IF($P239=1,INDEX('卡片raw data'!AA:AA,MATCH($D239,'卡片raw data'!$F:$F,)),0)+IF($P239=2,INDEX('卡片raw data'!AD:AD,MATCH($D239,'卡片raw data'!$F:$F,)),0)+IF($P239=3,INDEX('卡片raw data'!AG:AG,MATCH($D239,'卡片raw data'!$F:$F,)),0)+IF($P239=4,INDEX('卡片raw data'!AJ:AJ,MATCH($D239,'卡片raw data'!$F:$F,)),0)+IF($P239=5,INDEX('卡片raw data'!AM:AM,MATCH($D239,'卡片raw data'!$F:$F,)),0)+INDEX('卡片raw data'!U:U,MATCH($D239,'卡片raw data'!$F:$F,))*(IF($F239="UR",0.04,0.033))*(IF($F239="UR",INDEX(绊状态确认!$S:$S,MATCH($G239,绊状态确认!$B:$B,))/2-40)+IF($F239="SR",INDEX(绊状态确认!$R:$R,MATCH($G239,绊状态确认!$B:$B,))/4-15))+IF($F239="R",INDEX(绊状态确认!$Q:$Q,MATCH($G239,绊状态确认!$B:$B,))/6-40/6)))*(INDEX(绊状态确认!$H:$H,MATCH($G239,绊状态确认!$B:$B,))+INDEX(绊状态确认!L:L,MATCH($G239,绊状态确认!$B:$B,)))</f>
        <v>13000.415999999997</v>
      </c>
      <c r="AO239" s="1107">
        <f t="shared" si="279"/>
        <v>1</v>
      </c>
      <c r="AP239" s="1131">
        <f>1+(INDEX(绊状态确认!$T:$T,MATCH($G239,绊状态确认!$B:$B,))+0.2)*$AO239</f>
        <v>1.3</v>
      </c>
      <c r="AQ239" s="1108">
        <f t="shared" si="280"/>
        <v>32254.075827999994</v>
      </c>
      <c r="AR239" s="1097">
        <f>(AM239*(1+$EX$9)+$EX$35)*(1+(INDEX(绊状态确认!$T:$T,MATCH($G239,绊状态确认!$B:$B,))+0.2)*AO239)*IF(J239=$FF$17,1+$FE$17,1)*IF(I239=$FF$14,1+$FE$14,1)*(1+$FE$15)</f>
        <v>14237.00586256</v>
      </c>
      <c r="AS239" s="1097">
        <f>(AN239*(1+$EX$10)+$EX$36)*(1+(INDEX(绊状态确认!$T:$T,MATCH($G239,绊状态确认!$B:$B,))+0.2)*AO239)*IF(J239=$FF$17,1+$FE$17,1)*IF(I239=$FF$14,1+$FE$14,1)*(1+$FE$15)</f>
        <v>23491.621919999998</v>
      </c>
      <c r="AT239" s="1093">
        <f>IF(AND(INDEX('卡片raw data'!AK:AK,MATCH($D239,'卡片raw data'!$F:$F,))&lt;INDEX('卡片raw data'!AM:AM,MATCH($D239,'卡片raw data'!$F:$F,)),INDEX('卡片raw data'!AL:AL,MATCH($D239,'卡片raw data'!$F:$F,))&lt;INDEX('卡片raw data'!AM:AM,MATCH($D239,'卡片raw data'!$F:$F,))),1,0)</f>
        <v>1</v>
      </c>
      <c r="AU239" s="1098">
        <f>MIN(AT239*0.15+AS239*0.00003+INDEX(绊状态确认!M:M,MATCH($G239,绊状态确认!$B:$B,)),1)</f>
        <v>0.88474865759999999</v>
      </c>
      <c r="AV239" s="1109">
        <f>(INDEX(绊状态确认!$N:$N,MATCH($G239,绊状态确认!$B:$B,))+1.5)*$EW$21</f>
        <v>2.6599999999999997</v>
      </c>
      <c r="AW239" s="1101">
        <f t="shared" si="281"/>
        <v>41353.022021712735</v>
      </c>
      <c r="AX239" s="1097">
        <f t="shared" si="282"/>
        <v>1225.0589467485925</v>
      </c>
      <c r="AY239" s="1110">
        <f t="shared" si="283"/>
        <v>42578.080968461327</v>
      </c>
      <c r="AZ239" s="429">
        <f t="shared" si="284"/>
        <v>24145.884900799996</v>
      </c>
      <c r="BA239" s="431">
        <f t="shared" si="285"/>
        <v>28975.061880959995</v>
      </c>
      <c r="BB239" s="1097">
        <f>(AM239*(1+$FB$9)+$FB$35)*(1+(INDEX(绊状态确认!$T:$T,MATCH($G239,绊状态确认!$B:$B,))+0.2)*AO239)*IF(J239=$FF$17,1+$FE$17,1)*IF(I239=$FF$14,1+$FE$14,1)*(1+$FE$15)</f>
        <v>14237.00586256</v>
      </c>
      <c r="BC239" s="1097">
        <f>(AN239*(1+$FB$10)+$FB$36)*(1+(INDEX(绊状态确认!$T:$T,MATCH($G239,绊状态确认!$B:$B,))+0.2)*AO239)*IF(J239=$FF$17,1+$FE$17,1)*IF(I239=$FF$14,1+$FE$14,1)*(1+$FE$15)</f>
        <v>23491.621919999998</v>
      </c>
      <c r="BD239" s="1104">
        <f>MIN(AT239*0.15+BC239*0.00003+INDEX(绊状态确认!M:M,MATCH($G239,绊状态确认!$B:$B,)),1)</f>
        <v>0.88474865759999999</v>
      </c>
      <c r="BE239" s="432">
        <f>(INDEX(绊状态确认!$N:$N,MATCH($G239,绊状态确认!$B:$B,))+1.5)</f>
        <v>1.9</v>
      </c>
      <c r="BF239" s="1139">
        <f t="array" ref="BF239">SUMPRODUCT(IF(AZ239*AP239*$FI$16:$FI$23*$FA$22&gt;=$FI$24,$FI$24,AZ239*AP239*$FI$16:$FI$23*$FA$22),$FJ$16:$FJ$23)</f>
        <v>48026.165067691196</v>
      </c>
      <c r="BG239" s="1125">
        <f t="array" ref="BG239">SUMPRODUCT(IF(BE239*AZ239*AP239*$FI$16:$FI$23*$FA$22&gt;=$FI$24,$FI$24,BE239*AZ239*AP239*$FI$16:$FI$23*$FA$22),$FJ$16:$FJ$23)</f>
        <v>60000</v>
      </c>
      <c r="BH239" s="1110">
        <f t="shared" si="286"/>
        <v>19539.999816791798</v>
      </c>
      <c r="BI239" s="1111">
        <f>IF(O239="vo",$EW$26/$EW$24*0.05,0)+IF(O239="sk",-$EW$26/$EW$24*(0.05-INDEX(绊状态确认!W:W,MATCH($G239,绊状态确认!$B:$B,)))+0.05*$EW$28,0)+IF(O239="sp",0.05*$EW$32*$EW$30*(1-$EW$33)-(0.05-INDEX(绊状态确认!V:V,MATCH($G239,绊状态确认!$B:$B,)))*$EW$28,0)+IF(O239="gd",-(0.05-INDEX(绊状态确认!X:X,MATCH($G239,绊状态确认!$B:$B,)))*$EW$32*$EW$30*(1-$EW$33),0)</f>
        <v>19.999999999999886</v>
      </c>
      <c r="BJ239" s="1097">
        <f>IF(O239="vo",0.05*(1-$FI$26)*$FA$24,0)+IF(O239="sk",-(0.05-INDEX(绊状态确认!W:W,MATCH($G239,绊状态确认!$B:$B,)))*(1-$FI$26)*$FA$24+0.05*$FA$26,0)+IF(O239="sp",0.05*$FA$32*$FA$27*(1-$FA$33)/$FA$30+0.05*$FA$29/$FA$69*$FA$27*(1-$FA$33)-(0.05-INDEX(绊状态确认!V:V,MATCH($G239,绊状态确认!$B:$B,)))*$FA$26,0)+IF(O239="gd",-(0.05-INDEX(绊状态确认!X:X,MATCH($G239,绊状态确认!$B:$B,)))*$FA$32*$FA$27*(1-$FA$33)/$FA$30-(0.05-INDEX(绊状态确认!X:X,MATCH($G239,绊状态确认!$B:$B,)))*$FA$29/$FA$69*$FA$27*(1-$FA$33),0)</f>
        <v>545.83333333333326</v>
      </c>
      <c r="BK239" s="1110">
        <f>IF(O239="vo",$EW$26/$EW$24*0.05+$EW$26*(-HP($EW$62,$EW$65,$EW$64)+HP($EW$62,$EW$65,(1.05-INDEX(绊状态确认!U:U,MATCH($G239,绊状态确认!$B:$B,)))*$EW$64)),0)+IF(O239="sk",-$EW$26/$EW$24*(0.05-INDEX(绊状态确认!W:W,MATCH($G239,绊状态确认!$B:$B,)))+0.05*$EW$29,0)+IF(O239="sp",0.05*$EW$32*$EW$30*(1-$EW$33)-(0.05-INDEX(绊状态确认!V:V,MATCH($G239,绊状态确认!$B:$B,)))*$EW$29,0)+IF(O239="gd",-(0.05-INDEX(绊状态确认!X:X,MATCH($G239,绊状态确认!$B:$B,)))*$EW$32*$EW$30*(1-$EW$33)+$EW$26*(-HP($EW$62,$EW$65,$EW$64)+HP($EW$62,$EW$65,0.95*$EW$64)),0)</f>
        <v>-1780.0000000000005</v>
      </c>
      <c r="BL239" s="1111">
        <f t="shared" si="287"/>
        <v>0</v>
      </c>
      <c r="BM239" s="1110">
        <f t="shared" si="288"/>
        <v>0</v>
      </c>
      <c r="BN239" s="1113">
        <f t="shared" si="289"/>
        <v>3</v>
      </c>
      <c r="BO239" s="1097">
        <f t="shared" si="290"/>
        <v>4507.7214871259994</v>
      </c>
      <c r="BP239" s="1100">
        <f t="shared" si="291"/>
        <v>221.34103209030098</v>
      </c>
      <c r="BQ239" s="1113" t="s">
        <v>145</v>
      </c>
      <c r="BR239" s="1124" t="s">
        <v>148</v>
      </c>
      <c r="BS239" s="1098">
        <f>IF($P239="","N/A",IF($P239=-1,INDEX('卡片raw data'!AX:AX,MATCH($D239,'卡片raw data'!$F:$F,)),0)+IF($L239="party卡",IF($P239=5,INDEX('卡片raw data'!BD:BD,MATCH($D239,'卡片raw data'!$F:$F,)),IF($P239&gt;=3,INDEX('卡片raw data'!BC:BC,MATCH($D239,'卡片raw data'!$F:$F,)),INDEX('卡片raw data'!BB:BB,MATCH($D239,'卡片raw data'!$F:$F,)))),IF(OR(AND($F239="UR",$P239=0),AND($F239="SR",$P239&gt;=0,$P239&lt;=2),AND($F239="R",$P239&gt;=0,$P239&lt;4)),INDEX('卡片raw data'!AZ:AZ,MATCH($D239,'卡片raw data'!$F:$F,)),0)+IF(OR(AND($F239="UR",$P239&gt;=1,$P239&lt;=4),AND($F239="SR",$P239&lt;=4,$P239&gt;=3),AND($F239="R",$P239=4)),INDEX('卡片raw data'!BA:BA,MATCH($D239,'卡片raw data'!$F:$F,)),0)+IF($P239=5,INDEX('卡片raw data'!BB:BB,MATCH($D239,'卡片raw data'!$F:$F,)),0)))</f>
        <v>5.1999999999999998E-2</v>
      </c>
      <c r="BT239" s="1101">
        <f t="shared" si="292"/>
        <v>2452.5263374936467</v>
      </c>
      <c r="BU239" s="1097">
        <f t="shared" si="293"/>
        <v>155.22419036436909</v>
      </c>
      <c r="BV239" s="1097">
        <f t="shared" si="294"/>
        <v>1226.2631687468233</v>
      </c>
      <c r="BW239" s="1112">
        <f t="shared" si="295"/>
        <v>0</v>
      </c>
      <c r="BX239" s="1100">
        <f t="shared" si="296"/>
        <v>2452.5263374936467</v>
      </c>
      <c r="BY239" s="1110">
        <f t="shared" si="297"/>
        <v>1226.2631687468233</v>
      </c>
      <c r="BZ239" s="1107" t="s">
        <v>569</v>
      </c>
      <c r="CA239" s="1124"/>
      <c r="CB239" s="1098">
        <f>IF($P239="","N/A",IF($P239=-1,INDEX('卡片raw data'!BE:BE,MATCH($D239,'卡片raw data'!$F:$F,)),0)+IF($L239="party卡",IF($P239=5,INDEX('卡片raw data'!BK:BK,MATCH($D239,'卡片raw data'!$F:$F,)),IF($P239&gt;=3,INDEX('卡片raw data'!BJ:BJ,MATCH($D239,'卡片raw data'!$F:$F,)),INDEX('卡片raw data'!BI:BI,MATCH($D239,'卡片raw data'!$F:$F,)))),IF(OR(AND($F239="UR",$P239=0),AND($F239="SR",$P239&gt;=0,$P239&lt;=2),AND($F239="R",$P239&gt;=0,$P239&lt;4)),INDEX('卡片raw data'!BG:BG,MATCH($D239,'卡片raw data'!$F:$F,)),0)+IF(OR(AND($F239="UR",$P239&gt;=1,$P239&lt;=4),AND($F239="SR",$P239&lt;=4,$P239&gt;=3),AND($F239="R",$P239=4)),INDEX('卡片raw data'!BH:BH,MATCH($D239,'卡片raw data'!$F:$F,)),0)+IF($P239=5,INDEX('卡片raw data'!BI:BI,MATCH($D239,'卡片raw data'!$F:$F,)),0)))</f>
        <v>0</v>
      </c>
      <c r="CC239" s="1101">
        <f t="shared" si="298"/>
        <v>0</v>
      </c>
      <c r="CD239" s="1097">
        <f>IF(BZ239="ap",CB239*(1-$FI$26)*$FB$5/$FB$11*(+IF(CA239="全员",$FA$24,0)+IF(CA239="同作战",$FA$24,0)+IF(CA239="仲间",$FA$24*2/3,0)+IF(CA239="同属性",$FA$24*$FA$37/3,0)+IF(CA239="同年级",$FA$24*$FA$40/3,0)+IF(CA239="同学校",$FA$24*$FA$43/3,0)+IF(CA239="同小队",$FA$24*$FA$46/3,0)+IF(CA239="同type",$FA$24*INDEX($FB$49:$FB$52,MATCH(X239,$FA$49:$FA$52,))/3,0)+IF(CA239="自身",#REF!/3,0)),0)+IF(BZ239="te",CB239*(1-$FI$27)*($FA$20-1)*$FB$7/$FB$13*(+IF(CA239="全员",$FA$19*$FA$24/(1+($FA$20-1)*$FA$19),0)+IF(CA239="同作战",$FA$19*$FA$24/(1+($FA$20-1)*$FA$19),0)+IF(CA239="仲间",$FA$19*$FA$24*2/3/(1+($FA$20-1)*$FA$19),0)+IF(CA239="同属性",$FA$19*$FA$24*$FA$37/3/(1+($FA$20-1)*$FA$19),0)+IF(CA239="同年级",$FA$19*$FA$24*$FA$40/3/(1+($FA$20-1)*$FA$19),0)+IF(CA239="同学校",$FA$19*$FA$24*$FA$43/3/(1+($FA$20-1)*$FA$19),0)+IF(CA239="同小队",$FA$19*$FA$24*$FA$46/3/(1+($FA$20-1)*$FA$19),0)+IF(CA239="同type",$FA$19*$FA$24*INDEX($FB$49:$FB$52,MATCH(X239,$FA$49:$FA$52,))/3/(1+($FA$20-1)*$FA$19),0)+IF(CA239="自身",$FA$19*#REF!/3/(1+(BH239-1)*$BD239),0)),0)</f>
        <v>0</v>
      </c>
      <c r="CE239" s="1097">
        <f t="shared" si="299"/>
        <v>0</v>
      </c>
      <c r="CF239" s="1112">
        <f t="shared" si="300"/>
        <v>0</v>
      </c>
      <c r="CG239" s="1100">
        <f t="shared" si="301"/>
        <v>0</v>
      </c>
      <c r="CH239" s="1110">
        <f t="shared" si="302"/>
        <v>0</v>
      </c>
      <c r="CI239" s="1113" t="s">
        <v>173</v>
      </c>
      <c r="CJ239" s="1114">
        <v>0.2</v>
      </c>
      <c r="CK239" s="1115" t="s">
        <v>256</v>
      </c>
      <c r="CL239" s="1115" t="s">
        <v>1941</v>
      </c>
      <c r="CM239" s="1119">
        <v>0.2</v>
      </c>
      <c r="CN239" s="1115"/>
      <c r="CO239" s="1092"/>
      <c r="CP239" s="1116">
        <f t="shared" si="303"/>
        <v>277.12241278088982</v>
      </c>
      <c r="CQ239" s="1116">
        <f t="shared" si="304"/>
        <v>277.12241278088976</v>
      </c>
      <c r="CR239" s="1116">
        <f t="shared" si="305"/>
        <v>0</v>
      </c>
      <c r="CS239" s="1118">
        <f t="shared" si="306"/>
        <v>0</v>
      </c>
      <c r="CT239" s="1109">
        <f t="shared" si="307"/>
        <v>0</v>
      </c>
      <c r="CU239" s="1101">
        <f t="shared" si="308"/>
        <v>396.28505027667245</v>
      </c>
      <c r="CV239" s="1108">
        <f t="shared" si="309"/>
        <v>0</v>
      </c>
      <c r="CW239" s="1097">
        <f t="shared" si="310"/>
        <v>0</v>
      </c>
      <c r="CX239" s="1097">
        <f t="shared" si="311"/>
        <v>396.28505027667245</v>
      </c>
      <c r="CY239" s="1110">
        <f t="shared" si="312"/>
        <v>0</v>
      </c>
      <c r="CZ239" s="437"/>
      <c r="DA239" s="438"/>
      <c r="DB239" s="439" t="s">
        <v>569</v>
      </c>
      <c r="DC239" s="439"/>
      <c r="DD239" s="443"/>
      <c r="DE239" s="411"/>
      <c r="DF239" s="411"/>
      <c r="DG239" s="1116">
        <f t="shared" si="313"/>
        <v>0</v>
      </c>
      <c r="DH239" s="1116">
        <f t="shared" si="314"/>
        <v>0</v>
      </c>
      <c r="DI239" s="1116">
        <f t="shared" si="315"/>
        <v>0</v>
      </c>
      <c r="DJ239" s="442">
        <f t="shared" si="316"/>
        <v>0</v>
      </c>
      <c r="DK239" s="1109">
        <f t="shared" si="317"/>
        <v>0</v>
      </c>
      <c r="DL239" s="1101">
        <f t="shared" si="318"/>
        <v>0</v>
      </c>
      <c r="DM239" s="1097">
        <f t="shared" si="319"/>
        <v>0</v>
      </c>
      <c r="DN239" s="1097">
        <f t="shared" si="320"/>
        <v>0</v>
      </c>
      <c r="DO239" s="1097">
        <f t="shared" si="321"/>
        <v>0</v>
      </c>
      <c r="DP239" s="1110">
        <f t="shared" si="322"/>
        <v>0</v>
      </c>
      <c r="DQ239" s="1113" t="s">
        <v>256</v>
      </c>
      <c r="DR239" s="1120">
        <f t="shared" si="323"/>
        <v>0.33</v>
      </c>
      <c r="DS239" s="1124"/>
      <c r="DT239" s="1093" t="s">
        <v>134</v>
      </c>
      <c r="DU239" s="1093"/>
      <c r="DV239" s="1098">
        <f>IF($P239="","N/A",IF(P239=-1,INDEX('卡片raw data'!AN:AN,MATCH(D239,'卡片raw data'!$F:$F,)),0)+IF(AND(L239&lt;&gt;"party卡",P239&lt;=2,P239&gt;=0),INDEX('卡片raw data'!AP:AP,MATCH(D239,'卡片raw data'!$F:$F,)),0)+IF(OR(AND(L239="party卡",P239&lt;=1),AND(P239&lt;=4,L239&lt;&gt;"party卡",P239&gt;=3)),INDEX('卡片raw data'!AQ:AQ,MATCH(D239,'卡片raw data'!$F:$F,)),0)+IF(OR(P239=5,AND(L239="party卡",P239&gt;=2)),INDEX('卡片raw data'!AR:AR,MATCH(D239,'卡片raw data'!$F:$F,)),0))</f>
        <v>0.32</v>
      </c>
      <c r="DW239" s="1098">
        <f t="shared" si="324"/>
        <v>0.33</v>
      </c>
      <c r="DX239" s="1098">
        <f t="shared" si="325"/>
        <v>0.33</v>
      </c>
      <c r="DY239" s="1125">
        <f t="shared" si="326"/>
        <v>826.90509158399993</v>
      </c>
      <c r="DZ239" s="1125">
        <f t="shared" si="327"/>
        <v>715.27290422015994</v>
      </c>
      <c r="EA239" s="1098">
        <f t="shared" si="328"/>
        <v>0</v>
      </c>
      <c r="EB239" s="1121">
        <f t="shared" si="329"/>
        <v>0</v>
      </c>
      <c r="EC239" s="1101">
        <f t="shared" si="330"/>
        <v>1182.47428096512</v>
      </c>
      <c r="ED239" s="1097">
        <f t="shared" si="331"/>
        <v>0</v>
      </c>
      <c r="EE239" s="1110">
        <f t="shared" si="332"/>
        <v>1182.47428096512</v>
      </c>
      <c r="EF239" s="1092" t="s">
        <v>711</v>
      </c>
      <c r="EG239" s="1120">
        <f t="shared" si="333"/>
        <v>0.33</v>
      </c>
      <c r="EH239" s="1124"/>
      <c r="EI239" s="1093"/>
      <c r="EJ239" s="1093"/>
      <c r="EK239" s="1097">
        <f>IF($P239="","N/A",IF(P239=-1,INDEX('卡片raw data'!AS:AS,MATCH(D239,'卡片raw data'!$F:$F,)),0)+IF(AND(L239&lt;&gt;"party卡",P239&lt;=2,P239&gt;=0),INDEX('卡片raw data'!AU:AU,MATCH(D239,'卡片raw data'!$F:$F,)),0)+IF(OR(AND(L239="party卡",P239&lt;=1),AND(P239&lt;=4,L239&lt;&gt;"party卡",P239&gt;=3)),INDEX('卡片raw data'!AV:AV,MATCH(D239,'卡片raw data'!$F:$F,)),0)+IF(OR(P239=5,AND(L239="party卡",P239&gt;=2)),INDEX('卡片raw data'!AW:AW,MATCH(D239,'卡片raw data'!$F:$F,)),0))</f>
        <v>0</v>
      </c>
      <c r="EL239" s="1098">
        <f t="shared" si="334"/>
        <v>0.33</v>
      </c>
      <c r="EM239" s="1098">
        <f t="shared" si="335"/>
        <v>0.33</v>
      </c>
      <c r="EN239" s="1125">
        <f t="shared" si="336"/>
        <v>0</v>
      </c>
      <c r="EO239" s="1125">
        <f t="shared" si="337"/>
        <v>0</v>
      </c>
      <c r="EP239" s="1098">
        <f t="shared" si="338"/>
        <v>0</v>
      </c>
      <c r="EQ239" s="1121">
        <f t="shared" si="339"/>
        <v>0</v>
      </c>
      <c r="ER239" s="1101">
        <f t="shared" si="340"/>
        <v>0</v>
      </c>
      <c r="ES239" s="1097">
        <f t="shared" si="341"/>
        <v>0</v>
      </c>
      <c r="ET239" s="1122">
        <f t="shared" si="342"/>
        <v>0</v>
      </c>
    </row>
    <row r="240" spans="2:150" ht="16.5" customHeight="1">
      <c r="B240" s="1123" t="str">
        <f>INDEX('卡片raw data'!B:B,MATCH($D240,'卡片raw data'!$F:$F,))</f>
        <v>op2海</v>
      </c>
      <c r="C240" s="449" t="s">
        <v>66</v>
      </c>
      <c r="D240" s="408">
        <v>237</v>
      </c>
      <c r="E240" s="1090">
        <v>300042002</v>
      </c>
      <c r="F240" s="1090" t="str">
        <f>INDEX('卡片raw data'!C:C,MATCH($D240,'卡片raw data'!$F:$F,))</f>
        <v>SR</v>
      </c>
      <c r="G240" s="1094" t="s">
        <v>334</v>
      </c>
      <c r="H240" s="411">
        <f>IFERROR(INDEX(绊状态确认!C:C,MATCH($G240,绊状态确认!$B:$B,)),"")</f>
        <v>4</v>
      </c>
      <c r="I240" s="450" t="str">
        <f>IFERROR(INDEX(绊状态确认!D:D,MATCH($G240,绊状态确认!$B:$B,)),"")</f>
        <v>缪</v>
      </c>
      <c r="J240" s="450" t="str">
        <f>IFERROR(INDEX(绊状态确认!E:E,MATCH($G240,绊状态确认!$B:$B,)),"")</f>
        <v>2年级</v>
      </c>
      <c r="K240" s="451" t="str">
        <f>IFERROR(INDEX(绊状态确认!F:F,MATCH($G240,绊状态确认!$B:$B,)),"")</f>
        <v>lilywhite</v>
      </c>
      <c r="L240" s="1094" t="str">
        <f>INDEX('卡片raw data'!E:E,MATCH($D240,'卡片raw data'!$F:$F,))</f>
        <v>卡池卡</v>
      </c>
      <c r="M240" s="415">
        <v>43966</v>
      </c>
      <c r="N240" s="416">
        <v>15.5</v>
      </c>
      <c r="O240" s="1091" t="str">
        <f>INDEX('卡片raw data'!D:D,MATCH($D240,'卡片raw data'!$F:$F,))</f>
        <v>gd</v>
      </c>
      <c r="P240" s="417">
        <v>5</v>
      </c>
      <c r="Q240" s="1095">
        <f t="shared" si="258"/>
        <v>17886.728530694632</v>
      </c>
      <c r="R240" s="1096">
        <f t="shared" si="259"/>
        <v>0.20699999999999999</v>
      </c>
      <c r="S240" s="1097">
        <f t="shared" si="260"/>
        <v>10193.983414747181</v>
      </c>
      <c r="T240" s="1098">
        <f t="shared" si="261"/>
        <v>0.50900000000000001</v>
      </c>
      <c r="U240" s="1099">
        <f t="shared" si="262"/>
        <v>410.81443865679307</v>
      </c>
      <c r="V240" s="1100">
        <f t="shared" si="263"/>
        <v>69222.769442844161</v>
      </c>
      <c r="W240" s="1101">
        <f t="shared" si="264"/>
        <v>4507.7214871259994</v>
      </c>
      <c r="X240" s="1096">
        <f t="shared" si="265"/>
        <v>5.1999999999999998E-2</v>
      </c>
      <c r="Y240" s="1097">
        <f t="shared" si="266"/>
        <v>1558.3014799099301</v>
      </c>
      <c r="Z240" s="1102">
        <f t="shared" si="267"/>
        <v>18.424072086137141</v>
      </c>
      <c r="AA240" s="1103">
        <f t="shared" si="268"/>
        <v>6066.0229670359295</v>
      </c>
      <c r="AB240" s="1101">
        <f t="shared" si="269"/>
        <v>4507.7214871259994</v>
      </c>
      <c r="AC240" s="1104">
        <f t="shared" si="270"/>
        <v>5.1999999999999998E-2</v>
      </c>
      <c r="AD240" s="1105">
        <f t="shared" si="271"/>
        <v>-3.8207812500000026E-3</v>
      </c>
      <c r="AE240" s="1128">
        <f t="shared" si="272"/>
        <v>-18.525362318840578</v>
      </c>
      <c r="AF240" s="1130">
        <f t="shared" si="273"/>
        <v>5823.817662675584</v>
      </c>
      <c r="AG240" s="420">
        <f t="shared" si="274"/>
        <v>100286.674386272</v>
      </c>
      <c r="AH240" s="420">
        <f t="shared" si="275"/>
        <v>17.220091732782411</v>
      </c>
      <c r="AI240" s="1097">
        <f t="shared" si="276"/>
        <v>92154.50699247283</v>
      </c>
      <c r="AJ240" s="420">
        <f t="shared" si="277"/>
        <v>69222.769442844161</v>
      </c>
      <c r="AK240" s="518">
        <f t="shared" si="278"/>
        <v>22931.73754962867</v>
      </c>
      <c r="AL240" s="1106">
        <f>IF($P240="","N/A",(IF($P240=-1,INDEX('卡片raw data'!S:S,MATCH($D240,'卡片raw data'!$F:$F,)),0)+IF($P240=0,INDEX('卡片raw data'!V:V,MATCH($D240,'卡片raw data'!$F:$F,)),0)+IF($P240=1,INDEX('卡片raw data'!Y:Y,MATCH($D240,'卡片raw data'!$F:$F,)),0)+IF($P240=2,INDEX('卡片raw data'!AB:AB,MATCH($D240,'卡片raw data'!$F:$F,)),0)+IF($P240=3,INDEX('卡片raw data'!AE:AE,MATCH($D240,'卡片raw data'!$F:$F,)),0)+IF($P240=4,INDEX('卡片raw data'!AH:AH,MATCH($D240,'卡片raw data'!$F:$F,)),0)+IF($P240=5,INDEX('卡片raw data'!AK:AK,MATCH($D240,'卡片raw data'!$F:$F,)),0)+INDEX('卡片raw data'!S:S,MATCH($D240,'卡片raw data'!$F:$F,))*(IF($F240="UR",0.04,0.033))*(IF($F240="UR",INDEX(绊状态确认!$S:$S,MATCH($G240,绊状态确认!$B:$B,))/2-40)+IF($F240="SR",INDEX(绊状态确认!$R:$R,MATCH($G240,绊状态确认!$B:$B,))/4-15))+IF($F240="R",INDEX(绊状态确认!$Q:$Q,MATCH($G240,绊状态确认!$B:$B,))/6-40/6)))*(INDEX(绊状态确认!$H:$H,MATCH($G240,绊状态确认!$B:$B,))+INDEX(绊状态确认!J:J,MATCH($G240,绊状态确认!$B:$B,)))</f>
        <v>4990.6392408000002</v>
      </c>
      <c r="AM240" s="1106">
        <f>IF($P240="","N/A",(IF($P240=-1,INDEX('卡片raw data'!T:T,MATCH($D240,'卡片raw data'!$F:$F,)),0)+IF($P240=0,INDEX('卡片raw data'!W:W,MATCH($D240,'卡片raw data'!$F:$F,)),0)+IF($P240=1,INDEX('卡片raw data'!Z:Z,MATCH($D240,'卡片raw data'!$F:$F,)),0)+IF($P240=2,INDEX('卡片raw data'!AC:AC,MATCH($D240,'卡片raw data'!$F:$F,)),0)+IF($P240=3,INDEX('卡片raw data'!AF:AF,MATCH($D240,'卡片raw data'!$F:$F,)),0)+IF($P240=4,INDEX('卡片raw data'!AI:AI,MATCH($D240,'卡片raw data'!$F:$F,)),0)+IF($P240=5,INDEX('卡片raw data'!AL:AL,MATCH($D240,'卡片raw data'!$F:$F,)),0)+INDEX('卡片raw data'!T:T,MATCH($D240,'卡片raw data'!$F:$F,))*(IF($F240="UR",0.04,0.033))*(IF($F240="UR",INDEX(绊状态确认!$S:$S,MATCH($G240,绊状态确认!$B:$B,))/2-40)+IF($F240="SR",INDEX(绊状态确认!$R:$R,MATCH($G240,绊状态确认!$B:$B,))/4-15))+IF($F240="R",INDEX(绊状态确认!$Q:$Q,MATCH($G240,绊状态确认!$B:$B,))/6-40/6)))*(INDEX(绊状态确认!$H:$H,MATCH($G240,绊状态确认!$B:$B,))+INDEX(绊状态确认!K:K,MATCH($G240,绊状态确认!$B:$B,)))</f>
        <v>7987.5828671999989</v>
      </c>
      <c r="AN240" s="1106">
        <f>IF($P240="","N/A",(IF($P240=-1,INDEX('卡片raw data'!U:U,MATCH($D240,'卡片raw data'!$F:$F,)),0)+IF($P240=0,INDEX('卡片raw data'!X:X,MATCH($D240,'卡片raw data'!$F:$F,)),0)+IF($P240=1,INDEX('卡片raw data'!AA:AA,MATCH($D240,'卡片raw data'!$F:$F,)),0)+IF($P240=2,INDEX('卡片raw data'!AD:AD,MATCH($D240,'卡片raw data'!$F:$F,)),0)+IF($P240=3,INDEX('卡片raw data'!AG:AG,MATCH($D240,'卡片raw data'!$F:$F,)),0)+IF($P240=4,INDEX('卡片raw data'!AJ:AJ,MATCH($D240,'卡片raw data'!$F:$F,)),0)+IF($P240=5,INDEX('卡片raw data'!AM:AM,MATCH($D240,'卡片raw data'!$F:$F,)),0)+INDEX('卡片raw data'!U:U,MATCH($D240,'卡片raw data'!$F:$F,))*(IF($F240="UR",0.04,0.033))*(IF($F240="UR",INDEX(绊状态确认!$S:$S,MATCH($G240,绊状态确认!$B:$B,))/2-40)+IF($F240="SR",INDEX(绊状态确认!$R:$R,MATCH($G240,绊状态确认!$B:$B,))/4-15))+IF($F240="R",INDEX(绊状态确认!$Q:$Q,MATCH($G240,绊状态确认!$B:$B,))/6-40/6)))*(INDEX(绊状态确认!$H:$H,MATCH($G240,绊状态确认!$B:$B,))+INDEX(绊状态确认!L:L,MATCH($G240,绊状态确认!$B:$B,)))</f>
        <v>6987.8190575999988</v>
      </c>
      <c r="AO240" s="1107">
        <f t="shared" si="279"/>
        <v>1</v>
      </c>
      <c r="AP240" s="1131">
        <f>1+(INDEX(绊状态确认!$T:$T,MATCH($G240,绊状态确认!$B:$B,))+0.2)*$AO240</f>
        <v>1.3</v>
      </c>
      <c r="AQ240" s="1108">
        <f t="shared" si="280"/>
        <v>16350.428007100001</v>
      </c>
      <c r="AR240" s="1097">
        <f>(AM240*(1+$EX$9)+$EX$35)*(1+(INDEX(绊状态确认!$T:$T,MATCH($G240,绊状态确认!$B:$B,))+0.2)*AO240)*IF(J240=$FF$17,1+$FE$17,1)*IF(I240=$FF$14,1+$FE$14,1)</f>
        <v>13607.050613727999</v>
      </c>
      <c r="AS240" s="1097">
        <f>(AN240*(1+$EX$10)+$EX$36)*(1+(INDEX(绊状态确认!$T:$T,MATCH($G240,绊状态确认!$B:$B,))+0.2)*AO240)*IF(J240=$FF$17,1+$FE$17,1)*IF(I240=$FF$14,1+$FE$14,1)</f>
        <v>14502.789491111998</v>
      </c>
      <c r="AT240" s="1093">
        <f>IF(AND(INDEX('卡片raw data'!AK:AK,MATCH($D240,'卡片raw data'!$F:$F,))&lt;INDEX('卡片raw data'!AM:AM,MATCH($D240,'卡片raw data'!$F:$F,)),INDEX('卡片raw data'!AL:AL,MATCH($D240,'卡片raw data'!$F:$F,))&lt;INDEX('卡片raw data'!AM:AM,MATCH($D240,'卡片raw data'!$F:$F,))),1,0)</f>
        <v>0</v>
      </c>
      <c r="AU240" s="1098">
        <f>MIN(AT240*0.15+AS240*0.00003+INDEX(绊状态确认!M:M,MATCH($G240,绊状态确认!$B:$B,)),1)</f>
        <v>0.46508368473335998</v>
      </c>
      <c r="AV240" s="1109">
        <f>(INDEX(绊状态确认!$N:$N,MATCH($G240,绊状态确认!$B:$B,))+1.5)*$EW$21</f>
        <v>2.6599999999999997</v>
      </c>
      <c r="AW240" s="1101">
        <f t="shared" si="281"/>
        <v>15047.340376901964</v>
      </c>
      <c r="AX240" s="1097">
        <f t="shared" si="282"/>
        <v>1169.2248557948224</v>
      </c>
      <c r="AY240" s="1110">
        <f t="shared" si="283"/>
        <v>16216.565232696787</v>
      </c>
      <c r="AZ240" s="429">
        <f t="shared" si="284"/>
        <v>12331.74651956</v>
      </c>
      <c r="BA240" s="431">
        <f t="shared" si="285"/>
        <v>14798.095823471998</v>
      </c>
      <c r="BB240" s="1097">
        <f>(AM240*(1+$FB$9)+$FB$35)*(1+(INDEX(绊状态确认!$T:$T,MATCH($G240,绊状态确认!$B:$B,))+0.2)*AO240)*IF(J240=$FF$17,1+$FE$17,1)*IF(I240=$FF$14,1+$FE$14,1)*(1+$FE$15)</f>
        <v>13607.050613727999</v>
      </c>
      <c r="BC240" s="1097">
        <f>(AN240*(1+$FB$10)+$FB$36)*(1+(INDEX(绊状态确认!$T:$T,MATCH($G240,绊状态确认!$B:$B,))+0.2)*AO240)*IF(J240=$FF$17,1+$FE$17,1)*IF(I240=$FF$14,1+$FE$14,1)*(1+$FE$15)</f>
        <v>14502.789491111998</v>
      </c>
      <c r="BD240" s="1104">
        <f>MIN(AT240*0.15+BC240*0.00003+INDEX(绊状态确认!M:M,MATCH($G240,绊状态确认!$B:$B,)),1)</f>
        <v>0.46508368473335998</v>
      </c>
      <c r="BE240" s="432">
        <f>(INDEX(绊状态确认!$N:$N,MATCH($G240,绊状态确认!$B:$B,))+1.5)</f>
        <v>1.9</v>
      </c>
      <c r="BF240" s="1139">
        <f t="array" ref="BF240">SUMPRODUCT(IF(AZ240*AP240*$FI$16:$FI$23*$FA$22&gt;=$FI$24,$FI$24,AZ240*AP240*$FI$16:$FI$23*$FA$22),$FJ$16:$FJ$23)</f>
        <v>24527.843827404846</v>
      </c>
      <c r="BG240" s="1125">
        <f t="array" ref="BG240">SUMPRODUCT(IF(BE240*AZ240*AP240*$FI$16:$FI$23*$FA$22&gt;=$FI$24,$FI$24,BE240*AZ240*AP240*$FI$16:$FI$23*$FA$22),$FJ$16:$FJ$23)</f>
        <v>46602.903272069205</v>
      </c>
      <c r="BH240" s="1110">
        <f t="shared" si="286"/>
        <v>11598.197938212435</v>
      </c>
      <c r="BI240" s="1111">
        <f>IF(O240="vo",$EW$26/$EW$24*0.05,0)+IF(O240="sk",-$EW$26/$EW$24*(0.05-INDEX(绊状态确认!W:W,MATCH($G240,绊状态确认!$B:$B,)))+0.05*$EW$28,0)+IF(O240="sp",0.05*$EW$32*$EW$30*(1-$EW$33)-(0.05-INDEX(绊状态确认!V:V,MATCH($G240,绊状态确认!$B:$B,)))*$EW$28,0)+IF(O240="gd",-(0.05-INDEX(绊状态确认!X:X,MATCH($G240,绊状态确认!$B:$B,)))*$EW$32*$EW$30*(1-$EW$33),0)</f>
        <v>-585.00000000000011</v>
      </c>
      <c r="BJ240" s="1097">
        <f>IF(O240="vo",0.05*(1-$FI$26)*$FA$24,0)+IF(O240="sk",-(0.05-INDEX(绊状态确认!W:W,MATCH($G240,绊状态确认!$B:$B,)))*(1-$FI$26)*$FA$24+0.05*$FA$26,0)+IF(O240="sp",0.05*$FA$32*$FA$27*(1-$FA$33)/$FA$30+0.05*$FA$29/$FA$69*$FA$27*(1-$FA$33)-(0.05-INDEX(绊状态确认!V:V,MATCH($G240,绊状态确认!$B:$B,)))*$FA$26,0)+IF(O240="gd",-(0.05-INDEX(绊状态确认!X:X,MATCH($G240,绊状态确认!$B:$B,)))*$FA$32*$FA$27*(1-$FA$33)/$FA$30-(0.05-INDEX(绊状态确认!X:X,MATCH($G240,绊状态确认!$B:$B,)))*$FA$29/$FA$69*$FA$27*(1-$FA$33),0)</f>
        <v>-795.00000000000011</v>
      </c>
      <c r="BK240" s="1110">
        <f>IF(O240="vo",$EW$26/$EW$24*0.05+$EW$26*(-HP($EW$62,$EW$65,$EW$64)+HP($EW$62,$EW$65,(1.05-INDEX(绊状态确认!U:U,MATCH($G240,绊状态确认!$B:$B,)))*$EW$64)),0)+IF(O240="sk",-$EW$26/$EW$24*(0.05-INDEX(绊状态确认!W:W,MATCH($G240,绊状态确认!$B:$B,)))+0.05*$EW$29,0)+IF(O240="sp",0.05*$EW$32*$EW$30*(1-$EW$33)-(0.05-INDEX(绊状态确认!V:V,MATCH($G240,绊状态确认!$B:$B,)))*$EW$29,0)+IF(O240="gd",-(0.05-INDEX(绊状态确认!X:X,MATCH($G240,绊状态确认!$B:$B,)))*$EW$32*$EW$30*(1-$EW$33)+$EW$26*(-HP($EW$62,$EW$65,$EW$64)+HP($EW$62,$EW$65,0.95*$EW$64)),0)</f>
        <v>1009.5947725176144</v>
      </c>
      <c r="BL240" s="1111">
        <f t="shared" si="287"/>
        <v>-1083.3333333333333</v>
      </c>
      <c r="BM240" s="1110">
        <f t="shared" si="288"/>
        <v>-830.55555555555543</v>
      </c>
      <c r="BN240" s="1113">
        <f t="shared" si="289"/>
        <v>3</v>
      </c>
      <c r="BO240" s="1097">
        <f t="shared" si="290"/>
        <v>4507.7214871259994</v>
      </c>
      <c r="BP240" s="1100">
        <f t="shared" si="291"/>
        <v>221.34103209030098</v>
      </c>
      <c r="BQ240" s="1113" t="s">
        <v>144</v>
      </c>
      <c r="BR240" s="1124" t="s">
        <v>146</v>
      </c>
      <c r="BS240" s="1098">
        <f>IF($P240="","N/A",IF($P240=-1,INDEX('卡片raw data'!AX:AX,MATCH($D240,'卡片raw data'!$F:$F,)),0)+IF($L240="party卡",IF($P240=5,INDEX('卡片raw data'!BD:BD,MATCH($D240,'卡片raw data'!$F:$F,)),IF($P240&gt;=3,INDEX('卡片raw data'!BC:BC,MATCH($D240,'卡片raw data'!$F:$F,)),INDEX('卡片raw data'!BB:BB,MATCH($D240,'卡片raw data'!$F:$F,)))),IF(OR(AND($F240="UR",$P240=0),AND($F240="SR",$P240&gt;=0,$P240&lt;=2),AND($F240="R",$P240&gt;=0,$P240&lt;4)),INDEX('卡片raw data'!AZ:AZ,MATCH($D240,'卡片raw data'!$F:$F,)),0)+IF(OR(AND($F240="UR",$P240&gt;=1,$P240&lt;=4),AND($F240="SR",$P240&lt;=4,$P240&gt;=3),AND($F240="R",$P240=4)),INDEX('卡片raw data'!BA:BA,MATCH($D240,'卡片raw data'!$F:$F,)),0)+IF($P240=5,INDEX('卡片raw data'!BB:BB,MATCH($D240,'卡片raw data'!$F:$F,)),0)))</f>
        <v>0.05</v>
      </c>
      <c r="BT240" s="1101">
        <f t="shared" si="292"/>
        <v>0</v>
      </c>
      <c r="BU240" s="1097">
        <f t="shared" si="293"/>
        <v>0</v>
      </c>
      <c r="BV240" s="1097">
        <f t="shared" si="294"/>
        <v>0</v>
      </c>
      <c r="BW240" s="1112">
        <f t="shared" si="295"/>
        <v>1.7558035714285711</v>
      </c>
      <c r="BX240" s="1100">
        <f t="shared" si="296"/>
        <v>137.19019421334193</v>
      </c>
      <c r="BY240" s="1110">
        <f t="shared" si="297"/>
        <v>137.19019421334193</v>
      </c>
      <c r="BZ240" s="1107" t="s">
        <v>569</v>
      </c>
      <c r="CA240" s="1124"/>
      <c r="CB240" s="1098">
        <f>IF($P240="","N/A",IF($P240=-1,INDEX('卡片raw data'!BE:BE,MATCH($D240,'卡片raw data'!$F:$F,)),0)+IF($L240="party卡",IF($P240=5,INDEX('卡片raw data'!BK:BK,MATCH($D240,'卡片raw data'!$F:$F,)),IF($P240&gt;=3,INDEX('卡片raw data'!BJ:BJ,MATCH($D240,'卡片raw data'!$F:$F,)),INDEX('卡片raw data'!BI:BI,MATCH($D240,'卡片raw data'!$F:$F,)))),IF(OR(AND($F240="UR",$P240=0),AND($F240="SR",$P240&gt;=0,$P240&lt;=2),AND($F240="R",$P240&gt;=0,$P240&lt;4)),INDEX('卡片raw data'!BG:BG,MATCH($D240,'卡片raw data'!$F:$F,)),0)+IF(OR(AND($F240="UR",$P240&gt;=1,$P240&lt;=4),AND($F240="SR",$P240&lt;=4,$P240&gt;=3),AND($F240="R",$P240=4)),INDEX('卡片raw data'!BH:BH,MATCH($D240,'卡片raw data'!$F:$F,)),0)+IF($P240=5,INDEX('卡片raw data'!BI:BI,MATCH($D240,'卡片raw data'!$F:$F,)),0)))</f>
        <v>0</v>
      </c>
      <c r="CC240" s="1101">
        <f t="shared" si="298"/>
        <v>0</v>
      </c>
      <c r="CD240" s="1097">
        <f>IF(BZ240="ap",CB240*(1-$FI$26)*$FB$5/$FB$11*(+IF(CA240="全员",$FA$24,0)+IF(CA240="同作战",$FA$24,0)+IF(CA240="仲间",$FA$24*2/3,0)+IF(CA240="同属性",$FA$24*$FA$37/3,0)+IF(CA240="同年级",$FA$24*$FA$40/3,0)+IF(CA240="同学校",$FA$24*$FA$43/3,0)+IF(CA240="同小队",$FA$24*$FA$46/3,0)+IF(CA240="同type",$FA$24*INDEX($FB$49:$FB$52,MATCH(X240,$FA$49:$FA$52,))/3,0)+IF(CA240="自身",#REF!/3,0)),0)+IF(BZ240="te",CB240*(1-$FI$27)*($FA$20-1)*$FB$7/$FB$13*(+IF(CA240="全员",$FA$19*$FA$24/(1+($FA$20-1)*$FA$19),0)+IF(CA240="同作战",$FA$19*$FA$24/(1+($FA$20-1)*$FA$19),0)+IF(CA240="仲间",$FA$19*$FA$24*2/3/(1+($FA$20-1)*$FA$19),0)+IF(CA240="同属性",$FA$19*$FA$24*$FA$37/3/(1+($FA$20-1)*$FA$19),0)+IF(CA240="同年级",$FA$19*$FA$24*$FA$40/3/(1+($FA$20-1)*$FA$19),0)+IF(CA240="同学校",$FA$19*$FA$24*$FA$43/3/(1+($FA$20-1)*$FA$19),0)+IF(CA240="同小队",$FA$19*$FA$24*$FA$46/3/(1+($FA$20-1)*$FA$19),0)+IF(CA240="同type",$FA$19*$FA$24*INDEX($FB$49:$FB$52,MATCH(X240,$FA$49:$FA$52,))/3/(1+($FA$20-1)*$FA$19),0)+IF(CA240="自身",$FA$19*#REF!/3/(1+(BH240-1)*$BD240),0)),0)</f>
        <v>0</v>
      </c>
      <c r="CE240" s="1097">
        <f t="shared" si="299"/>
        <v>0</v>
      </c>
      <c r="CF240" s="1112">
        <f t="shared" si="300"/>
        <v>0</v>
      </c>
      <c r="CG240" s="1100">
        <f t="shared" si="301"/>
        <v>0</v>
      </c>
      <c r="CH240" s="1110">
        <f t="shared" si="302"/>
        <v>0</v>
      </c>
      <c r="CI240" s="1113" t="s">
        <v>162</v>
      </c>
      <c r="CJ240" s="1114">
        <v>0.3</v>
      </c>
      <c r="CK240" s="1115" t="s">
        <v>556</v>
      </c>
      <c r="CL240" s="1115" t="s">
        <v>161</v>
      </c>
      <c r="CM240" s="1119">
        <v>0.04</v>
      </c>
      <c r="CN240" s="1115" t="s">
        <v>1948</v>
      </c>
      <c r="CO240" s="1092"/>
      <c r="CP240" s="1118">
        <f t="shared" si="303"/>
        <v>6.4285714285714276E-3</v>
      </c>
      <c r="CQ240" s="1118">
        <f t="shared" si="304"/>
        <v>5.9999999999999993E-3</v>
      </c>
      <c r="CR240" s="1118">
        <f t="shared" si="305"/>
        <v>6.4285714285714276E-3</v>
      </c>
      <c r="CS240" s="1118">
        <f t="shared" si="306"/>
        <v>0</v>
      </c>
      <c r="CT240" s="1109">
        <f t="shared" si="307"/>
        <v>0</v>
      </c>
      <c r="CU240" s="1101">
        <f t="shared" si="308"/>
        <v>0</v>
      </c>
      <c r="CV240" s="1108">
        <f t="shared" si="309"/>
        <v>0</v>
      </c>
      <c r="CW240" s="1097">
        <f t="shared" si="310"/>
        <v>0</v>
      </c>
      <c r="CX240" s="1097">
        <f t="shared" si="311"/>
        <v>0</v>
      </c>
      <c r="CY240" s="1110">
        <f t="shared" si="312"/>
        <v>251.88642990176621</v>
      </c>
      <c r="CZ240" s="437"/>
      <c r="DA240" s="438"/>
      <c r="DB240" s="439" t="s">
        <v>569</v>
      </c>
      <c r="DC240" s="439"/>
      <c r="DD240" s="443"/>
      <c r="DE240" s="411"/>
      <c r="DF240" s="411"/>
      <c r="DG240" s="1116">
        <f t="shared" si="313"/>
        <v>0</v>
      </c>
      <c r="DH240" s="1116">
        <f t="shared" si="314"/>
        <v>0</v>
      </c>
      <c r="DI240" s="1116">
        <f t="shared" si="315"/>
        <v>0</v>
      </c>
      <c r="DJ240" s="442">
        <f t="shared" si="316"/>
        <v>0</v>
      </c>
      <c r="DK240" s="1109">
        <f t="shared" si="317"/>
        <v>0</v>
      </c>
      <c r="DL240" s="1101">
        <f t="shared" si="318"/>
        <v>0</v>
      </c>
      <c r="DM240" s="1097">
        <f t="shared" si="319"/>
        <v>0</v>
      </c>
      <c r="DN240" s="1097">
        <f t="shared" si="320"/>
        <v>0</v>
      </c>
      <c r="DO240" s="1097">
        <f t="shared" si="321"/>
        <v>0</v>
      </c>
      <c r="DP240" s="1110">
        <f t="shared" si="322"/>
        <v>0</v>
      </c>
      <c r="DQ240" s="1113" t="s">
        <v>636</v>
      </c>
      <c r="DR240" s="1120">
        <f t="shared" si="323"/>
        <v>0.3</v>
      </c>
      <c r="DS240" s="1124"/>
      <c r="DT240" s="1093" t="s">
        <v>564</v>
      </c>
      <c r="DU240" s="1093"/>
      <c r="DV240" s="1098">
        <f>IF($P240="","N/A",IF(P240=-1,INDEX('卡片raw data'!AN:AN,MATCH(D240,'卡片raw data'!$F:$F,)),0)+IF(AND(L240&lt;&gt;"party卡",P240&lt;=2,P240&gt;=0),INDEX('卡片raw data'!AP:AP,MATCH(D240,'卡片raw data'!$F:$F,)),0)+IF(OR(AND(L240="party卡",P240&lt;=1),AND(P240&lt;=4,L240&lt;&gt;"party卡",P240&gt;=3)),INDEX('卡片raw data'!AQ:AQ,MATCH(D240,'卡片raw data'!$F:$F,)),0)+IF(OR(P240=5,AND(L240="party卡",P240&gt;=2)),INDEX('卡片raw data'!AR:AR,MATCH(D240,'卡片raw data'!$F:$F,)),0))</f>
        <v>0.27</v>
      </c>
      <c r="DW240" s="1098">
        <f t="shared" si="324"/>
        <v>0.3</v>
      </c>
      <c r="DX240" s="1098">
        <f t="shared" si="325"/>
        <v>0.3</v>
      </c>
      <c r="DY240" s="1125">
        <f t="shared" si="326"/>
        <v>367.39036657065594</v>
      </c>
      <c r="DZ240" s="1125">
        <f t="shared" si="327"/>
        <v>317.7926670836174</v>
      </c>
      <c r="EA240" s="1098">
        <f t="shared" si="328"/>
        <v>0</v>
      </c>
      <c r="EB240" s="1121">
        <f t="shared" si="329"/>
        <v>0</v>
      </c>
      <c r="EC240" s="1101">
        <f t="shared" si="330"/>
        <v>0</v>
      </c>
      <c r="ED240" s="1097">
        <f t="shared" si="331"/>
        <v>0</v>
      </c>
      <c r="EE240" s="1110">
        <f t="shared" si="332"/>
        <v>48435.03108962375</v>
      </c>
      <c r="EF240" s="1092" t="s">
        <v>711</v>
      </c>
      <c r="EG240" s="1120">
        <f t="shared" si="333"/>
        <v>0.3</v>
      </c>
      <c r="EH240" s="1124"/>
      <c r="EI240" s="1093"/>
      <c r="EJ240" s="1093"/>
      <c r="EK240" s="1097">
        <f>IF($P240="","N/A",IF(P240=-1,INDEX('卡片raw data'!AS:AS,MATCH(D240,'卡片raw data'!$F:$F,)),0)+IF(AND(L240&lt;&gt;"party卡",P240&lt;=2,P240&gt;=0),INDEX('卡片raw data'!AU:AU,MATCH(D240,'卡片raw data'!$F:$F,)),0)+IF(OR(AND(L240="party卡",P240&lt;=1),AND(P240&lt;=4,L240&lt;&gt;"party卡",P240&gt;=3)),INDEX('卡片raw data'!AV:AV,MATCH(D240,'卡片raw data'!$F:$F,)),0)+IF(OR(P240=5,AND(L240="party卡",P240&gt;=2)),INDEX('卡片raw data'!AW:AW,MATCH(D240,'卡片raw data'!$F:$F,)),0))</f>
        <v>0</v>
      </c>
      <c r="EL240" s="1098">
        <f t="shared" si="334"/>
        <v>0.3</v>
      </c>
      <c r="EM240" s="1098">
        <f t="shared" si="335"/>
        <v>0.3</v>
      </c>
      <c r="EN240" s="1125">
        <f t="shared" si="336"/>
        <v>0</v>
      </c>
      <c r="EO240" s="1125">
        <f t="shared" si="337"/>
        <v>0</v>
      </c>
      <c r="EP240" s="1098">
        <f t="shared" si="338"/>
        <v>0</v>
      </c>
      <c r="EQ240" s="1121">
        <f t="shared" si="339"/>
        <v>0</v>
      </c>
      <c r="ER240" s="1101">
        <f t="shared" si="340"/>
        <v>0</v>
      </c>
      <c r="ES240" s="1097">
        <f t="shared" si="341"/>
        <v>0</v>
      </c>
      <c r="ET240" s="1122">
        <f t="shared" si="342"/>
        <v>0</v>
      </c>
    </row>
    <row r="241" spans="2:150" ht="16.5" customHeight="1">
      <c r="B241" s="1123" t="str">
        <f>INDEX('卡片raw data'!B:B,MATCH($D241,'卡片raw data'!$F:$F,))</f>
        <v>旗袍步</v>
      </c>
      <c r="C241" s="449" t="s">
        <v>69</v>
      </c>
      <c r="D241" s="408">
        <v>238</v>
      </c>
      <c r="E241" s="1090">
        <v>302013001</v>
      </c>
      <c r="F241" s="1090" t="str">
        <f>INDEX('卡片raw data'!C:C,MATCH($D241,'卡片raw data'!$F:$F,))</f>
        <v>UR</v>
      </c>
      <c r="G241" s="1094" t="s">
        <v>42</v>
      </c>
      <c r="H241" s="411">
        <f>IFERROR(INDEX(绊状态确认!C:C,MATCH($G241,绊状态确认!$B:$B,)),"")</f>
        <v>201</v>
      </c>
      <c r="I241" s="450" t="str">
        <f>IFERROR(INDEX(绊状态确认!D:D,MATCH($G241,绊状态确认!$B:$B,)),"")</f>
        <v>虹</v>
      </c>
      <c r="J241" s="450" t="str">
        <f>IFERROR(INDEX(绊状态确认!E:E,MATCH($G241,绊状态确认!$B:$B,)),"")</f>
        <v>2年级</v>
      </c>
      <c r="K241" s="451" t="str">
        <f>IFERROR(INDEX(绊状态确认!F:F,MATCH($G241,绊状态确认!$B:$B,)),"")</f>
        <v>A·ZU·NA</v>
      </c>
      <c r="L241" s="1094" t="str">
        <f>INDEX('卡片raw data'!E:E,MATCH($D241,'卡片raw data'!$F:$F,))</f>
        <v>卡池卡</v>
      </c>
      <c r="M241" s="415">
        <v>43972</v>
      </c>
      <c r="N241" s="416">
        <v>16</v>
      </c>
      <c r="O241" s="1091" t="str">
        <f>INDEX('卡片raw data'!D:D,MATCH($D241,'卡片raw data'!$F:$F,))</f>
        <v>sk</v>
      </c>
      <c r="P241" s="417">
        <v>5</v>
      </c>
      <c r="Q241" s="1095">
        <f t="shared" si="258"/>
        <v>51375.436381247637</v>
      </c>
      <c r="R241" s="1096">
        <f t="shared" si="259"/>
        <v>0.59699999999999998</v>
      </c>
      <c r="S241" s="1097">
        <f t="shared" si="260"/>
        <v>20235.74184426968</v>
      </c>
      <c r="T241" s="1098">
        <f t="shared" si="261"/>
        <v>1.0109999999999999</v>
      </c>
      <c r="U241" s="1099">
        <f t="shared" si="262"/>
        <v>13.628845919742856</v>
      </c>
      <c r="V241" s="1100">
        <f t="shared" si="263"/>
        <v>54466.325634861663</v>
      </c>
      <c r="W241" s="1101">
        <f t="shared" si="264"/>
        <v>5809.9521389623987</v>
      </c>
      <c r="X241" s="1096">
        <f t="shared" si="265"/>
        <v>6.7000000000000004E-2</v>
      </c>
      <c r="Y241" s="1097">
        <f t="shared" si="266"/>
        <v>1090.8892536140274</v>
      </c>
      <c r="Z241" s="1102">
        <f t="shared" si="267"/>
        <v>13.628845919742856</v>
      </c>
      <c r="AA241" s="1103">
        <f t="shared" si="268"/>
        <v>6900.8413925764262</v>
      </c>
      <c r="AB241" s="1101">
        <f t="shared" si="269"/>
        <v>6678.1059068533332</v>
      </c>
      <c r="AC241" s="1104">
        <f t="shared" si="270"/>
        <v>7.6999999999999999E-2</v>
      </c>
      <c r="AD241" s="1105">
        <f t="shared" si="271"/>
        <v>2.1769318181818181E-2</v>
      </c>
      <c r="AE241" s="1128">
        <f t="shared" si="272"/>
        <v>11.953757704745847</v>
      </c>
      <c r="AF241" s="1130">
        <f t="shared" si="273"/>
        <v>0</v>
      </c>
      <c r="AG241" s="420">
        <f t="shared" si="274"/>
        <v>0</v>
      </c>
      <c r="AH241" s="420">
        <f t="shared" si="275"/>
        <v>0</v>
      </c>
      <c r="AI241" s="1097">
        <f t="shared" si="276"/>
        <v>0</v>
      </c>
      <c r="AJ241" s="420">
        <f t="shared" si="277"/>
        <v>0</v>
      </c>
      <c r="AK241" s="518">
        <f t="shared" si="278"/>
        <v>0</v>
      </c>
      <c r="AL241" s="1106">
        <f>IF($P241="","N/A",(IF($P241=-1,INDEX('卡片raw data'!S:S,MATCH($D241,'卡片raw data'!$F:$F,)),0)+IF($P241=0,INDEX('卡片raw data'!V:V,MATCH($D241,'卡片raw data'!$F:$F,)),0)+IF($P241=1,INDEX('卡片raw data'!Y:Y,MATCH($D241,'卡片raw data'!$F:$F,)),0)+IF($P241=2,INDEX('卡片raw data'!AB:AB,MATCH($D241,'卡片raw data'!$F:$F,)),0)+IF($P241=3,INDEX('卡片raw data'!AE:AE,MATCH($D241,'卡片raw data'!$F:$F,)),0)+IF($P241=4,INDEX('卡片raw data'!AH:AH,MATCH($D241,'卡片raw data'!$F:$F,)),0)+IF($P241=5,INDEX('卡片raw data'!AK:AK,MATCH($D241,'卡片raw data'!$F:$F,)),0)+INDEX('卡片raw data'!S:S,MATCH($D241,'卡片raw data'!$F:$F,))*(IF($F241="UR",0.04,0.033))*(IF($F241="UR",INDEX(绊状态确认!$S:$S,MATCH($G241,绊状态确认!$B:$B,))/2-40)+IF($F241="SR",INDEX(绊状态确认!$R:$R,MATCH($G241,绊状态确认!$B:$B,))/4-15))+IF($F241="R",INDEX(绊状态确认!$Q:$Q,MATCH($G241,绊状态确认!$B:$B,))/6-40/6)))*(INDEX(绊状态确认!$H:$H,MATCH($G241,绊状态确认!$B:$B,))+INDEX(绊状态确认!J:J,MATCH($G241,绊状态确认!$B:$B,)))</f>
        <v>12125.61528</v>
      </c>
      <c r="AM241" s="1106">
        <f>IF($P241="","N/A",(IF($P241=-1,INDEX('卡片raw data'!T:T,MATCH($D241,'卡片raw data'!$F:$F,)),0)+IF($P241=0,INDEX('卡片raw data'!W:W,MATCH($D241,'卡片raw data'!$F:$F,)),0)+IF($P241=1,INDEX('卡片raw data'!Z:Z,MATCH($D241,'卡片raw data'!$F:$F,)),0)+IF($P241=2,INDEX('卡片raw data'!AC:AC,MATCH($D241,'卡片raw data'!$F:$F,)),0)+IF($P241=3,INDEX('卡片raw data'!AF:AF,MATCH($D241,'卡片raw data'!$F:$F,)),0)+IF($P241=4,INDEX('卡片raw data'!AI:AI,MATCH($D241,'卡片raw data'!$F:$F,)),0)+IF($P241=5,INDEX('卡片raw data'!AL:AL,MATCH($D241,'卡片raw data'!$F:$F,)),0)+INDEX('卡片raw data'!T:T,MATCH($D241,'卡片raw data'!$F:$F,))*(IF($F241="UR",0.04,0.033))*(IF($F241="UR",INDEX(绊状态确认!$S:$S,MATCH($G241,绊状态确认!$B:$B,))/2-40)+IF($F241="SR",INDEX(绊状态确认!$R:$R,MATCH($G241,绊状态确认!$B:$B,))/4-15))+IF($F241="R",INDEX(绊状态确认!$Q:$Q,MATCH($G241,绊状态确认!$B:$B,))/6-40/6)))*(INDEX(绊状态确认!$H:$H,MATCH($G241,绊状态确认!$B:$B,))+INDEX(绊状态确认!K:K,MATCH($G241,绊状态确认!$B:$B,)))</f>
        <v>7337.9166239999986</v>
      </c>
      <c r="AN241" s="1106">
        <f>IF($P241="","N/A",(IF($P241=-1,INDEX('卡片raw data'!U:U,MATCH($D241,'卡片raw data'!$F:$F,)),0)+IF($P241=0,INDEX('卡片raw data'!X:X,MATCH($D241,'卡片raw data'!$F:$F,)),0)+IF($P241=1,INDEX('卡片raw data'!AA:AA,MATCH($D241,'卡片raw data'!$F:$F,)),0)+IF($P241=2,INDEX('卡片raw data'!AD:AD,MATCH($D241,'卡片raw data'!$F:$F,)),0)+IF($P241=3,INDEX('卡片raw data'!AG:AG,MATCH($D241,'卡片raw data'!$F:$F,)),0)+IF($P241=4,INDEX('卡片raw data'!AJ:AJ,MATCH($D241,'卡片raw data'!$F:$F,)),0)+IF($P241=5,INDEX('卡片raw data'!AM:AM,MATCH($D241,'卡片raw data'!$F:$F,)),0)+INDEX('卡片raw data'!U:U,MATCH($D241,'卡片raw data'!$F:$F,))*(IF($F241="UR",0.04,0.033))*(IF($F241="UR",INDEX(绊状态确认!$S:$S,MATCH($G241,绊状态确认!$B:$B,))/2-40)+IF($F241="SR",INDEX(绊状态确认!$R:$R,MATCH($G241,绊状态确认!$B:$B,))/4-15))+IF($F241="R",INDEX(绊状态确认!$Q:$Q,MATCH($G241,绊状态确认!$B:$B,))/6-40/6)))*(INDEX(绊状态确认!$H:$H,MATCH($G241,绊状态确认!$B:$B,))+INDEX(绊状态确认!L:L,MATCH($G241,绊状态确认!$B:$B,)))</f>
        <v>12443.079983999998</v>
      </c>
      <c r="AO241" s="1107">
        <f t="shared" si="279"/>
        <v>1</v>
      </c>
      <c r="AP241" s="1131">
        <f>1+(INDEX(绊状态确认!$T:$T,MATCH($G241,绊状态确认!$B:$B,))+0.2)*$AO241</f>
        <v>1.3</v>
      </c>
      <c r="AQ241" s="1108">
        <f t="shared" si="280"/>
        <v>35079.740109999999</v>
      </c>
      <c r="AR241" s="1097">
        <f>(AM241*(1+$EX$9)+$EX$35)*(1+(INDEX(绊状态确认!$T:$T,MATCH($G241,绊状态确认!$B:$B,))+0.2)*AO241)*IF(J241=$FF$17,1+$FE$17,1)*IF(I241=$FF$14,1+$FE$14,1)*(1+$FE$15)</f>
        <v>12720.25619176</v>
      </c>
      <c r="AS241" s="1097">
        <f>(AN241*(1+$EX$10)+$EX$36)*(1+(INDEX(绊状态确认!$T:$T,MATCH($G241,绊状态确认!$B:$B,))+0.2)*AO241)*IF(J241=$FF$17,1+$FE$17,1)*IF(I241=$FF$14,1+$FE$14,1)*(1+$FE$15)</f>
        <v>22658.40457608</v>
      </c>
      <c r="AT241" s="1093">
        <f>IF(AND(INDEX('卡片raw data'!AK:AK,MATCH($D241,'卡片raw data'!$F:$F,))&lt;INDEX('卡片raw data'!AM:AM,MATCH($D241,'卡片raw data'!$F:$F,)),INDEX('卡片raw data'!AL:AL,MATCH($D241,'卡片raw data'!$F:$F,))&lt;INDEX('卡片raw data'!AM:AM,MATCH($D241,'卡片raw data'!$F:$F,))),1,0)</f>
        <v>1</v>
      </c>
      <c r="AU241" s="1098">
        <f>MIN(AT241*0.15+AS241*0.00003+INDEX(绊状态确认!M:M,MATCH($G241,绊状态确认!$B:$B,)),1)</f>
        <v>0.85975213728240008</v>
      </c>
      <c r="AV241" s="1109">
        <f>(INDEX(绊状态确认!$N:$N,MATCH($G241,绊状态确认!$B:$B,))+1.5)*$EW$21</f>
        <v>2.6599999999999997</v>
      </c>
      <c r="AW241" s="1101">
        <f t="shared" si="281"/>
        <v>44219.84799871334</v>
      </c>
      <c r="AX241" s="1097">
        <f t="shared" si="282"/>
        <v>1090.8892536140274</v>
      </c>
      <c r="AY241" s="1110">
        <f t="shared" si="283"/>
        <v>45310.737252327366</v>
      </c>
      <c r="AZ241" s="429">
        <f t="shared" si="284"/>
        <v>26244.949796000001</v>
      </c>
      <c r="BA241" s="431">
        <f t="shared" si="285"/>
        <v>31493.939755200001</v>
      </c>
      <c r="BB241" s="1097">
        <f>(AM241*(1+$FB$9)+$FB$35)*(1+(INDEX(绊状态确认!$T:$T,MATCH($G241,绊状态确认!$B:$B,))+0.2)*AO241)*IF(J241=$FF$17,1+$FE$17,1)*IF(I241=$FF$14,1+$FE$14,1)*(1+$FE$15)</f>
        <v>12720.25619176</v>
      </c>
      <c r="BC241" s="1097">
        <f>(AN241*(1+$FB$10)+$FB$36)*(1+(INDEX(绊状态确认!$T:$T,MATCH($G241,绊状态确认!$B:$B,))+0.2)*AO241)*IF(J241=$FF$17,1+$FE$17,1)*IF(I241=$FF$14,1+$FE$14,1)*(1+$FE$15)</f>
        <v>22658.40457608</v>
      </c>
      <c r="BD241" s="1104">
        <f>MIN(AT241*0.15+BC241*0.00003+INDEX(绊状态确认!M:M,MATCH($G241,绊状态确认!$B:$B,)),1)</f>
        <v>0.85975213728240008</v>
      </c>
      <c r="BE241" s="432">
        <f>(INDEX(绊状态确认!$N:$N,MATCH($G241,绊状态确认!$B:$B,))+1.5)</f>
        <v>1.9</v>
      </c>
      <c r="BF241" s="1139">
        <f t="array" ref="BF241">SUMPRODUCT(IF(AZ241*AP241*$FI$16:$FI$23*$FA$22&gt;=$FI$24,$FI$24,AZ241*AP241*$FI$16:$FI$23*$FA$22),$FJ$16:$FJ$23)</f>
        <v>51577.384292368006</v>
      </c>
      <c r="BG241" s="1125">
        <f t="array" ref="BG241">SUMPRODUCT(IF(BE241*AZ241*AP241*$FI$16:$FI$23*$FA$22&gt;=$FI$24,$FI$24,BE241*AZ241*AP241*$FI$16:$FI$23*$FA$22),$FJ$16:$FJ$23)</f>
        <v>60000</v>
      </c>
      <c r="BH241" s="1110">
        <f t="shared" si="286"/>
        <v>19606.248716170976</v>
      </c>
      <c r="BI241" s="1111">
        <f>IF(O241="vo",$EW$26/$EW$24*0.05,0)+IF(O241="sk",-$EW$26/$EW$24*(0.05-INDEX(绊状态确认!W:W,MATCH($G241,绊状态确认!$B:$B,)))+0.05*$EW$28,0)+IF(O241="sp",0.05*$EW$32*$EW$30*(1-$EW$33)-(0.05-INDEX(绊状态确认!V:V,MATCH($G241,绊状态确认!$B:$B,)))*$EW$28,0)+IF(O241="gd",-(0.05-INDEX(绊状态确认!X:X,MATCH($G241,绊状态确认!$B:$B,)))*$EW$32*$EW$30*(1-$EW$33),0)</f>
        <v>-6253.6726349699375</v>
      </c>
      <c r="BJ241" s="1097">
        <f>IF(O241="vo",0.05*(1-$FI$26)*$FA$24,0)+IF(O241="sk",-(0.05-INDEX(绊状态确认!W:W,MATCH($G241,绊状态确认!$B:$B,)))*(1-$FI$26)*$FA$24+0.05*$FA$26,0)+IF(O241="sp",0.05*$FA$32*$FA$27*(1-$FA$33)/$FA$30+0.05*$FA$29/$FA$69*$FA$27*(1-$FA$33)-(0.05-INDEX(绊状态确认!V:V,MATCH($G241,绊状态确认!$B:$B,)))*$FA$26,0)+IF(O241="gd",-(0.05-INDEX(绊状态确认!X:X,MATCH($G241,绊状态确认!$B:$B,)))*$FA$32*$FA$27*(1-$FA$33)/$FA$30-(0.05-INDEX(绊状态确认!X:X,MATCH($G241,绊状态确认!$B:$B,)))*$FA$29/$FA$69*$FA$27*(1-$FA$33),0)</f>
        <v>20.459096812499922</v>
      </c>
      <c r="BK241" s="1110">
        <f>IF(O241="vo",$EW$26/$EW$24*0.05+$EW$26*(-HP($EW$62,$EW$65,$EW$64)+HP($EW$62,$EW$65,(1.05-INDEX(绊状态确认!U:U,MATCH($G241,绊状态确认!$B:$B,)))*$EW$64)),0)+IF(O241="sk",-$EW$26/$EW$24*(0.05-INDEX(绊状态确认!W:W,MATCH($G241,绊状态确认!$B:$B,)))+0.05*$EW$29,0)+IF(O241="sp",0.05*$EW$32*$EW$30*(1-$EW$33)-(0.05-INDEX(绊状态确认!V:V,MATCH($G241,绊状态确认!$B:$B,)))*$EW$29,0)+IF(O241="gd",-(0.05-INDEX(绊状态确认!X:X,MATCH($G241,绊状态确认!$B:$B,)))*$EW$32*$EW$30*(1-$EW$33)+$EW$26*(-HP($EW$62,$EW$65,$EW$64)+HP($EW$62,$EW$65,0.95*$EW$64)),0)</f>
        <v>-4253.6726349699375</v>
      </c>
      <c r="BL241" s="1111">
        <f t="shared" si="287"/>
        <v>0</v>
      </c>
      <c r="BM241" s="1110">
        <f t="shared" si="288"/>
        <v>0</v>
      </c>
      <c r="BN241" s="1113">
        <f t="shared" si="289"/>
        <v>3</v>
      </c>
      <c r="BO241" s="1097">
        <f t="shared" si="290"/>
        <v>4507.7214871259994</v>
      </c>
      <c r="BP241" s="1100">
        <f t="shared" si="291"/>
        <v>221.34103209030098</v>
      </c>
      <c r="BQ241" s="1113" t="s">
        <v>143</v>
      </c>
      <c r="BR241" s="1124" t="s">
        <v>151</v>
      </c>
      <c r="BS241" s="1098">
        <f>IF($P241="","N/A",IF($P241=-1,INDEX('卡片raw data'!AX:AX,MATCH($D241,'卡片raw data'!$F:$F,)),0)+IF($L241="party卡",IF($P241=5,INDEX('卡片raw data'!BD:BD,MATCH($D241,'卡片raw data'!$F:$F,)),IF($P241&gt;=3,INDEX('卡片raw data'!BC:BC,MATCH($D241,'卡片raw data'!$F:$F,)),INDEX('卡片raw data'!BB:BB,MATCH($D241,'卡片raw data'!$F:$F,)))),IF(OR(AND($F241="UR",$P241=0),AND($F241="SR",$P241&gt;=0,$P241&lt;=2),AND($F241="R",$P241&gt;=0,$P241&lt;4)),INDEX('卡片raw data'!AZ:AZ,MATCH($D241,'卡片raw data'!$F:$F,)),0)+IF(OR(AND($F241="UR",$P241&gt;=1,$P241&lt;=4),AND($F241="SR",$P241&lt;=4,$P241&gt;=3),AND($F241="R",$P241=4)),INDEX('卡片raw data'!BA:BA,MATCH($D241,'卡片raw data'!$F:$F,)),0)+IF($P241=5,INDEX('卡片raw data'!BB:BB,MATCH($D241,'卡片raw data'!$F:$F,)),0)))</f>
        <v>5.1999999999999998E-2</v>
      </c>
      <c r="BT241" s="1101">
        <f t="shared" si="292"/>
        <v>2170.3844197273338</v>
      </c>
      <c r="BU241" s="1097">
        <f t="shared" si="293"/>
        <v>106.57160804347826</v>
      </c>
      <c r="BV241" s="1097">
        <f t="shared" si="294"/>
        <v>1302.2306518363998</v>
      </c>
      <c r="BW241" s="1112">
        <f t="shared" si="295"/>
        <v>0</v>
      </c>
      <c r="BX241" s="1100">
        <f t="shared" si="296"/>
        <v>2170.3844197273338</v>
      </c>
      <c r="BY241" s="1110">
        <f t="shared" si="297"/>
        <v>1302.2306518363998</v>
      </c>
      <c r="BZ241" s="1107" t="s">
        <v>569</v>
      </c>
      <c r="CA241" s="1124"/>
      <c r="CB241" s="1098">
        <f>IF($P241="","N/A",IF($P241=-1,INDEX('卡片raw data'!BE:BE,MATCH($D241,'卡片raw data'!$F:$F,)),0)+IF($L241="party卡",IF($P241=5,INDEX('卡片raw data'!BK:BK,MATCH($D241,'卡片raw data'!$F:$F,)),IF($P241&gt;=3,INDEX('卡片raw data'!BJ:BJ,MATCH($D241,'卡片raw data'!$F:$F,)),INDEX('卡片raw data'!BI:BI,MATCH($D241,'卡片raw data'!$F:$F,)))),IF(OR(AND($F241="UR",$P241=0),AND($F241="SR",$P241&gt;=0,$P241&lt;=2),AND($F241="R",$P241&gt;=0,$P241&lt;4)),INDEX('卡片raw data'!BG:BG,MATCH($D241,'卡片raw data'!$F:$F,)),0)+IF(OR(AND($F241="UR",$P241&gt;=1,$P241&lt;=4),AND($F241="SR",$P241&lt;=4,$P241&gt;=3),AND($F241="R",$P241=4)),INDEX('卡片raw data'!BH:BH,MATCH($D241,'卡片raw data'!$F:$F,)),0)+IF($P241=5,INDEX('卡片raw data'!BI:BI,MATCH($D241,'卡片raw data'!$F:$F,)),0)))</f>
        <v>0</v>
      </c>
      <c r="CC241" s="1101">
        <f t="shared" si="298"/>
        <v>0</v>
      </c>
      <c r="CD241" s="1097">
        <f>IF(BZ241="ap",CB241*(1-$FI$26)*$FB$5/$FB$11*(+IF(CA241="全员",$FA$24,0)+IF(CA241="同作战",$FA$24,0)+IF(CA241="仲间",$FA$24*2/3,0)+IF(CA241="同属性",$FA$24*$FA$37/3,0)+IF(CA241="同年级",$FA$24*$FA$40/3,0)+IF(CA241="同学校",$FA$24*$FA$43/3,0)+IF(CA241="同小队",$FA$24*$FA$46/3,0)+IF(CA241="同type",$FA$24*INDEX($FB$49:$FB$52,MATCH(X241,$FA$49:$FA$52,))/3,0)+IF(CA241="自身",#REF!/3,0)),0)+IF(BZ241="te",CB241*(1-$FI$27)*($FA$20-1)*$FB$7/$FB$13*(+IF(CA241="全员",$FA$19*$FA$24/(1+($FA$20-1)*$FA$19),0)+IF(CA241="同作战",$FA$19*$FA$24/(1+($FA$20-1)*$FA$19),0)+IF(CA241="仲间",$FA$19*$FA$24*2/3/(1+($FA$20-1)*$FA$19),0)+IF(CA241="同属性",$FA$19*$FA$24*$FA$37/3/(1+($FA$20-1)*$FA$19),0)+IF(CA241="同年级",$FA$19*$FA$24*$FA$40/3/(1+($FA$20-1)*$FA$19),0)+IF(CA241="同学校",$FA$19*$FA$24*$FA$43/3/(1+($FA$20-1)*$FA$19),0)+IF(CA241="同小队",$FA$19*$FA$24*$FA$46/3/(1+($FA$20-1)*$FA$19),0)+IF(CA241="同type",$FA$19*$FA$24*INDEX($FB$49:$FB$52,MATCH(X241,$FA$49:$FA$52,))/3/(1+($FA$20-1)*$FA$19),0)+IF(CA241="自身",$FA$19*#REF!/3/(1+(BH241-1)*$BD241),0)),0)</f>
        <v>0</v>
      </c>
      <c r="CE241" s="1097">
        <f t="shared" si="299"/>
        <v>0</v>
      </c>
      <c r="CF241" s="1112">
        <f t="shared" si="300"/>
        <v>0</v>
      </c>
      <c r="CG241" s="1100">
        <f t="shared" si="301"/>
        <v>0</v>
      </c>
      <c r="CH241" s="1110">
        <f t="shared" si="302"/>
        <v>0</v>
      </c>
      <c r="CI241" s="1113" t="s">
        <v>164</v>
      </c>
      <c r="CJ241" s="1114">
        <v>0.3</v>
      </c>
      <c r="CK241" s="1115" t="s">
        <v>156</v>
      </c>
      <c r="CL241" s="1115" t="s">
        <v>1940</v>
      </c>
      <c r="CM241" s="1119">
        <v>0.08</v>
      </c>
      <c r="CN241" s="1115"/>
      <c r="CO241" s="1092"/>
      <c r="CP241" s="1117">
        <f t="shared" si="303"/>
        <v>0</v>
      </c>
      <c r="CQ241" s="1117">
        <f t="shared" si="304"/>
        <v>0</v>
      </c>
      <c r="CR241" s="1117">
        <f t="shared" si="305"/>
        <v>0</v>
      </c>
      <c r="CS241" s="1118">
        <f t="shared" si="306"/>
        <v>0</v>
      </c>
      <c r="CT241" s="1109">
        <f t="shared" si="307"/>
        <v>0</v>
      </c>
      <c r="CU241" s="1101">
        <f t="shared" si="308"/>
        <v>0</v>
      </c>
      <c r="CV241" s="1108">
        <f t="shared" si="309"/>
        <v>0</v>
      </c>
      <c r="CW241" s="1097">
        <f t="shared" si="310"/>
        <v>0</v>
      </c>
      <c r="CX241" s="1097">
        <f t="shared" si="311"/>
        <v>0</v>
      </c>
      <c r="CY241" s="1110">
        <f t="shared" si="312"/>
        <v>0</v>
      </c>
      <c r="CZ241" s="437"/>
      <c r="DA241" s="438"/>
      <c r="DB241" s="439" t="s">
        <v>569</v>
      </c>
      <c r="DC241" s="439"/>
      <c r="DD241" s="443"/>
      <c r="DE241" s="411"/>
      <c r="DF241" s="411"/>
      <c r="DG241" s="1116">
        <f t="shared" si="313"/>
        <v>0</v>
      </c>
      <c r="DH241" s="1116">
        <f t="shared" si="314"/>
        <v>0</v>
      </c>
      <c r="DI241" s="1116">
        <f t="shared" si="315"/>
        <v>0</v>
      </c>
      <c r="DJ241" s="442">
        <f t="shared" si="316"/>
        <v>0</v>
      </c>
      <c r="DK241" s="1109">
        <f t="shared" si="317"/>
        <v>0</v>
      </c>
      <c r="DL241" s="1101">
        <f t="shared" si="318"/>
        <v>0</v>
      </c>
      <c r="DM241" s="1097">
        <f t="shared" si="319"/>
        <v>0</v>
      </c>
      <c r="DN241" s="1097">
        <f t="shared" si="320"/>
        <v>0</v>
      </c>
      <c r="DO241" s="1097">
        <f t="shared" si="321"/>
        <v>0</v>
      </c>
      <c r="DP241" s="1110">
        <f t="shared" si="322"/>
        <v>0</v>
      </c>
      <c r="DQ241" s="1113" t="s">
        <v>153</v>
      </c>
      <c r="DR241" s="1120">
        <f t="shared" si="323"/>
        <v>0.33</v>
      </c>
      <c r="DS241" s="1124">
        <v>5</v>
      </c>
      <c r="DT241" s="1093" t="s">
        <v>168</v>
      </c>
      <c r="DU241" s="1093" t="s">
        <v>544</v>
      </c>
      <c r="DV241" s="1098">
        <f>IF($P241="","N/A",IF(P241=-1,INDEX('卡片raw data'!AN:AN,MATCH(D241,'卡片raw data'!$F:$F,)),0)+IF(AND(L241&lt;&gt;"party卡",P241&lt;=2,P241&gt;=0),INDEX('卡片raw data'!AP:AP,MATCH(D241,'卡片raw data'!$F:$F,)),0)+IF(OR(AND(L241="party卡",P241&lt;=1),AND(P241&lt;=4,L241&lt;&gt;"party卡",P241&gt;=3)),INDEX('卡片raw data'!AQ:AQ,MATCH(D241,'卡片raw data'!$F:$F,)),0)+IF(OR(P241=5,AND(L241="party卡",P241&gt;=2)),INDEX('卡片raw data'!AR:AR,MATCH(D241,'卡片raw data'!$F:$F,)),0))</f>
        <v>0.09</v>
      </c>
      <c r="DW241" s="1098">
        <f t="shared" si="324"/>
        <v>0.33</v>
      </c>
      <c r="DX241" s="1098">
        <f t="shared" si="325"/>
        <v>0.33</v>
      </c>
      <c r="DY241" s="1098">
        <f t="shared" si="326"/>
        <v>4.9500000000000002E-2</v>
      </c>
      <c r="DZ241" s="1098">
        <f t="shared" si="327"/>
        <v>4.2817500000000001E-2</v>
      </c>
      <c r="EA241" s="1098">
        <f t="shared" si="328"/>
        <v>0</v>
      </c>
      <c r="EB241" s="1121">
        <f t="shared" si="329"/>
        <v>0</v>
      </c>
      <c r="EC241" s="1101">
        <f t="shared" si="330"/>
        <v>6731.1551106509005</v>
      </c>
      <c r="ED241" s="1097">
        <f t="shared" si="331"/>
        <v>281.12139115242189</v>
      </c>
      <c r="EE241" s="1110">
        <f t="shared" si="332"/>
        <v>6731.1551106509005</v>
      </c>
      <c r="EF241" s="1092" t="s">
        <v>711</v>
      </c>
      <c r="EG241" s="1120">
        <f t="shared" si="333"/>
        <v>0.33</v>
      </c>
      <c r="EH241" s="1124"/>
      <c r="EI241" s="1093"/>
      <c r="EJ241" s="1093"/>
      <c r="EK241" s="1097">
        <f>IF($P241="","N/A",IF(P241=-1,INDEX('卡片raw data'!AS:AS,MATCH(D241,'卡片raw data'!$F:$F,)),0)+IF(AND(L241&lt;&gt;"party卡",P241&lt;=2,P241&gt;=0),INDEX('卡片raw data'!AU:AU,MATCH(D241,'卡片raw data'!$F:$F,)),0)+IF(OR(AND(L241="party卡",P241&lt;=1),AND(P241&lt;=4,L241&lt;&gt;"party卡",P241&gt;=3)),INDEX('卡片raw data'!AV:AV,MATCH(D241,'卡片raw data'!$F:$F,)),0)+IF(OR(P241=5,AND(L241="party卡",P241&gt;=2)),INDEX('卡片raw data'!AW:AW,MATCH(D241,'卡片raw data'!$F:$F,)),0))</f>
        <v>0</v>
      </c>
      <c r="EL241" s="1098">
        <f t="shared" si="334"/>
        <v>0.33</v>
      </c>
      <c r="EM241" s="1098">
        <f t="shared" si="335"/>
        <v>0.33</v>
      </c>
      <c r="EN241" s="1125">
        <f t="shared" si="336"/>
        <v>0</v>
      </c>
      <c r="EO241" s="1125">
        <f t="shared" si="337"/>
        <v>0</v>
      </c>
      <c r="EP241" s="1098">
        <f t="shared" si="338"/>
        <v>0</v>
      </c>
      <c r="EQ241" s="1121">
        <f t="shared" si="339"/>
        <v>0</v>
      </c>
      <c r="ER241" s="1101">
        <f t="shared" si="340"/>
        <v>0</v>
      </c>
      <c r="ES241" s="1097">
        <f t="shared" si="341"/>
        <v>0</v>
      </c>
      <c r="ET241" s="1122">
        <f t="shared" si="342"/>
        <v>0</v>
      </c>
    </row>
    <row r="242" spans="2:150" ht="16.5" customHeight="1">
      <c r="B242" s="1123" t="str">
        <f>INDEX('卡片raw data'!B:B,MATCH($D242,'卡片raw data'!$F:$F,))</f>
        <v>op2果</v>
      </c>
      <c r="C242" s="449" t="s">
        <v>66</v>
      </c>
      <c r="D242" s="408">
        <v>239</v>
      </c>
      <c r="E242" s="1090">
        <v>300012001</v>
      </c>
      <c r="F242" s="1090" t="str">
        <f>INDEX('卡片raw data'!C:C,MATCH($D242,'卡片raw data'!$F:$F,))</f>
        <v>SR</v>
      </c>
      <c r="G242" s="1094" t="s">
        <v>331</v>
      </c>
      <c r="H242" s="411">
        <f>IFERROR(INDEX(绊状态确认!C:C,MATCH($G242,绊状态确认!$B:$B,)),"")</f>
        <v>1</v>
      </c>
      <c r="I242" s="450" t="str">
        <f>IFERROR(INDEX(绊状态确认!D:D,MATCH($G242,绊状态确认!$B:$B,)),"")</f>
        <v>缪</v>
      </c>
      <c r="J242" s="450" t="str">
        <f>IFERROR(INDEX(绊状态确认!E:E,MATCH($G242,绊状态确认!$B:$B,)),"")</f>
        <v>2年级</v>
      </c>
      <c r="K242" s="451" t="str">
        <f>IFERROR(INDEX(绊状态确认!F:F,MATCH($G242,绊状态确认!$B:$B,)),"")</f>
        <v>Printemps</v>
      </c>
      <c r="L242" s="1094" t="str">
        <f>INDEX('卡片raw data'!E:E,MATCH($D242,'卡片raw data'!$F:$F,))</f>
        <v>卡池卡</v>
      </c>
      <c r="M242" s="415">
        <v>43972</v>
      </c>
      <c r="N242" s="416">
        <v>16</v>
      </c>
      <c r="O242" s="1091" t="str">
        <f>INDEX('卡片raw data'!D:D,MATCH($D242,'卡片raw data'!$F:$F,))</f>
        <v>sp</v>
      </c>
      <c r="P242" s="417">
        <v>5</v>
      </c>
      <c r="Q242" s="1095">
        <f t="shared" si="258"/>
        <v>29777.242952695338</v>
      </c>
      <c r="R242" s="1096">
        <f t="shared" si="259"/>
        <v>0.34599999999999997</v>
      </c>
      <c r="S242" s="1097">
        <f t="shared" si="260"/>
        <v>16965.888370207049</v>
      </c>
      <c r="T242" s="1098">
        <f t="shared" si="261"/>
        <v>0.84799999999999998</v>
      </c>
      <c r="U242" s="1099">
        <f t="shared" si="262"/>
        <v>9.3200334682928556</v>
      </c>
      <c r="V242" s="1100">
        <f t="shared" si="263"/>
        <v>28716.692481415503</v>
      </c>
      <c r="W242" s="1101">
        <f t="shared" si="264"/>
        <v>5465.9776257260255</v>
      </c>
      <c r="X242" s="1096">
        <f t="shared" si="265"/>
        <v>6.3E-2</v>
      </c>
      <c r="Y242" s="1097">
        <f t="shared" si="266"/>
        <v>739.44952872016529</v>
      </c>
      <c r="Z242" s="1102">
        <f t="shared" si="267"/>
        <v>9.3200334682928556</v>
      </c>
      <c r="AA242" s="1103">
        <f t="shared" si="268"/>
        <v>6205.4271544461908</v>
      </c>
      <c r="AB242" s="1101">
        <f t="shared" si="269"/>
        <v>6159.2879557482684</v>
      </c>
      <c r="AC242" s="1104">
        <f t="shared" si="270"/>
        <v>7.0999999999999994E-2</v>
      </c>
      <c r="AD242" s="1105">
        <f t="shared" si="271"/>
        <v>-1.9908281250000003E-2</v>
      </c>
      <c r="AE242" s="1128">
        <f t="shared" si="272"/>
        <v>4.2136741621376803</v>
      </c>
      <c r="AF242" s="1130">
        <f t="shared" si="273"/>
        <v>0</v>
      </c>
      <c r="AG242" s="420">
        <f t="shared" si="274"/>
        <v>0</v>
      </c>
      <c r="AH242" s="420">
        <f t="shared" si="275"/>
        <v>0</v>
      </c>
      <c r="AI242" s="1097">
        <f t="shared" si="276"/>
        <v>0</v>
      </c>
      <c r="AJ242" s="420">
        <f t="shared" si="277"/>
        <v>0</v>
      </c>
      <c r="AK242" s="518">
        <f t="shared" si="278"/>
        <v>0</v>
      </c>
      <c r="AL242" s="1106">
        <f>IF($P242="","N/A",(IF($P242=-1,INDEX('卡片raw data'!S:S,MATCH($D242,'卡片raw data'!$F:$F,)),0)+IF($P242=0,INDEX('卡片raw data'!V:V,MATCH($D242,'卡片raw data'!$F:$F,)),0)+IF($P242=1,INDEX('卡片raw data'!Y:Y,MATCH($D242,'卡片raw data'!$F:$F,)),0)+IF($P242=2,INDEX('卡片raw data'!AB:AB,MATCH($D242,'卡片raw data'!$F:$F,)),0)+IF($P242=3,INDEX('卡片raw data'!AE:AE,MATCH($D242,'卡片raw data'!$F:$F,)),0)+IF($P242=4,INDEX('卡片raw data'!AH:AH,MATCH($D242,'卡片raw data'!$F:$F,)),0)+IF($P242=5,INDEX('卡片raw data'!AK:AK,MATCH($D242,'卡片raw data'!$F:$F,)),0)+INDEX('卡片raw data'!S:S,MATCH($D242,'卡片raw data'!$F:$F,))*(IF($F242="UR",0.04,0.033))*(IF($F242="UR",INDEX(绊状态确认!$S:$S,MATCH($G242,绊状态确认!$B:$B,))/2-40)+IF($F242="SR",INDEX(绊状态确认!$R:$R,MATCH($G242,绊状态确认!$B:$B,))/4-15))+IF($F242="R",INDEX(绊状态确认!$Q:$Q,MATCH($G242,绊状态确认!$B:$B,))/6-40/6)))*(INDEX(绊状态确认!$H:$H,MATCH($G242,绊状态确认!$B:$B,))+INDEX(绊状态确认!J:J,MATCH($G242,绊状态确认!$B:$B,)))</f>
        <v>7187.1049799999992</v>
      </c>
      <c r="AM242" s="1106">
        <f>IF($P242="","N/A",(IF($P242=-1,INDEX('卡片raw data'!T:T,MATCH($D242,'卡片raw data'!$F:$F,)),0)+IF($P242=0,INDEX('卡片raw data'!W:W,MATCH($D242,'卡片raw data'!$F:$F,)),0)+IF($P242=1,INDEX('卡片raw data'!Z:Z,MATCH($D242,'卡片raw data'!$F:$F,)),0)+IF($P242=2,INDEX('卡片raw data'!AC:AC,MATCH($D242,'卡片raw data'!$F:$F,)),0)+IF($P242=3,INDEX('卡片raw data'!AF:AF,MATCH($D242,'卡片raw data'!$F:$F,)),0)+IF($P242=4,INDEX('卡片raw data'!AI:AI,MATCH($D242,'卡片raw data'!$F:$F,)),0)+IF($P242=5,INDEX('卡片raw data'!AL:AL,MATCH($D242,'卡片raw data'!$F:$F,)),0)+INDEX('卡片raw data'!T:T,MATCH($D242,'卡片raw data'!$F:$F,))*(IF($F242="UR",0.04,0.033))*(IF($F242="UR",INDEX(绊状态确认!$S:$S,MATCH($G242,绊状态确认!$B:$B,))/2-40)+IF($F242="SR",INDEX(绊状态确认!$R:$R,MATCH($G242,绊状态确认!$B:$B,))/4-15))+IF($F242="R",INDEX(绊状态确认!$Q:$Q,MATCH($G242,绊状态确认!$B:$B,))/6-40/6)))*(INDEX(绊状态确认!$H:$H,MATCH($G242,绊状态确认!$B:$B,))+INDEX(绊状态确认!K:K,MATCH($G242,绊状态确认!$B:$B,)))</f>
        <v>4391.7200759999996</v>
      </c>
      <c r="AN242" s="1106">
        <f>IF($P242="","N/A",(IF($P242=-1,INDEX('卡片raw data'!U:U,MATCH($D242,'卡片raw data'!$F:$F,)),0)+IF($P242=0,INDEX('卡片raw data'!X:X,MATCH($D242,'卡片raw data'!$F:$F,)),0)+IF($P242=1,INDEX('卡片raw data'!AA:AA,MATCH($D242,'卡片raw data'!$F:$F,)),0)+IF($P242=2,INDEX('卡片raw data'!AD:AD,MATCH($D242,'卡片raw data'!$F:$F,)),0)+IF($P242=3,INDEX('卡片raw data'!AG:AG,MATCH($D242,'卡片raw data'!$F:$F,)),0)+IF($P242=4,INDEX('卡片raw data'!AJ:AJ,MATCH($D242,'卡片raw data'!$F:$F,)),0)+IF($P242=5,INDEX('卡片raw data'!AM:AM,MATCH($D242,'卡片raw data'!$F:$F,)),0)+INDEX('卡片raw data'!U:U,MATCH($D242,'卡片raw data'!$F:$F,))*(IF($F242="UR",0.04,0.033))*(IF($F242="UR",INDEX(绊状态确认!$S:$S,MATCH($G242,绊状态确认!$B:$B,))/2-40)+IF($F242="SR",INDEX(绊状态确认!$R:$R,MATCH($G242,绊状态确认!$B:$B,))/4-15))+IF($F242="R",INDEX(绊状态确认!$Q:$Q,MATCH($G242,绊状态确认!$B:$B,))/6-40/6)))*(INDEX(绊状态确认!$H:$H,MATCH($G242,绊状态确认!$B:$B,))+INDEX(绊状态确认!L:L,MATCH($G242,绊状态确认!$B:$B,)))</f>
        <v>8384.9433095999993</v>
      </c>
      <c r="AO242" s="1107">
        <f t="shared" si="279"/>
        <v>1</v>
      </c>
      <c r="AP242" s="1131">
        <f>1+(INDEX(绊状态确认!$T:$T,MATCH($G242,绊状态确认!$B:$B,))+0.2)*$AO242</f>
        <v>1.3</v>
      </c>
      <c r="AQ242" s="1108">
        <f t="shared" si="280"/>
        <v>22116.150572500002</v>
      </c>
      <c r="AR242" s="1097">
        <f>(AM242*(1+$EX$9)+$EX$35)*(1+(INDEX(绊状态确认!$T:$T,MATCH($G242,绊状态确认!$B:$B,))+0.2)*AO242)*IF(J242=$FF$17,1+$FE$17,1)*IF(I242=$FF$14,1+$FE$14,1)</f>
        <v>8698.6979037399997</v>
      </c>
      <c r="AS242" s="1097">
        <f>(AN242*(1+$EX$10)+$EX$36)*(1+(INDEX(绊状态确认!$T:$T,MATCH($G242,绊状态确认!$B:$B,))+0.2)*AO242)*IF(J242=$FF$17,1+$FE$17,1)*IF(I242=$FF$14,1+$FE$14,1)</f>
        <v>16591.490247851998</v>
      </c>
      <c r="AT242" s="1093">
        <f>IF(AND(INDEX('卡片raw data'!AK:AK,MATCH($D242,'卡片raw data'!$F:$F,))&lt;INDEX('卡片raw data'!AM:AM,MATCH($D242,'卡片raw data'!$F:$F,)),INDEX('卡片raw data'!AL:AL,MATCH($D242,'卡片raw data'!$F:$F,))&lt;INDEX('卡片raw data'!AM:AM,MATCH($D242,'卡片raw data'!$F:$F,))),1,0)</f>
        <v>1</v>
      </c>
      <c r="AU242" s="1098">
        <f>MIN(AT242*0.15+AS242*0.00003+INDEX(绊状态确认!M:M,MATCH($G242,绊状态确认!$B:$B,)),1)</f>
        <v>0.67774470743555992</v>
      </c>
      <c r="AV242" s="1109">
        <f>(INDEX(绊状态确认!$N:$N,MATCH($G242,绊状态确认!$B:$B,))+1.5)*$EW$21</f>
        <v>2.6599999999999997</v>
      </c>
      <c r="AW242" s="1101">
        <f t="shared" si="281"/>
        <v>24408.288330280404</v>
      </c>
      <c r="AX242" s="1097">
        <f t="shared" si="282"/>
        <v>739.4495287201654</v>
      </c>
      <c r="AY242" s="1110">
        <f t="shared" si="283"/>
        <v>25147.737859000568</v>
      </c>
      <c r="AZ242" s="429">
        <f t="shared" si="284"/>
        <v>16614.854711</v>
      </c>
      <c r="BA242" s="431">
        <f t="shared" si="285"/>
        <v>19937.825653199998</v>
      </c>
      <c r="BB242" s="1097">
        <f>(AM242*(1+$FB$9)+$FB$35)*(1+(INDEX(绊状态确认!$T:$T,MATCH($G242,绊状态确认!$B:$B,))+0.2)*AO242)*IF(J242=$FF$17,1+$FE$17,1)*IF(I242=$FF$14,1+$FE$14,1)*(1+$FE$15)</f>
        <v>8698.6979037399997</v>
      </c>
      <c r="BC242" s="1097">
        <f>(AN242*(1+$FB$10)+$FB$36)*(1+(INDEX(绊状态确认!$T:$T,MATCH($G242,绊状态确认!$B:$B,))+0.2)*AO242)*IF(J242=$FF$17,1+$FE$17,1)*IF(I242=$FF$14,1+$FE$14,1)*(1+$FE$15)</f>
        <v>16591.490247851998</v>
      </c>
      <c r="BD242" s="1104">
        <f>MIN(AT242*0.15+BC242*0.00003+INDEX(绊状态确认!M:M,MATCH($G242,绊状态确认!$B:$B,)),1)</f>
        <v>0.67774470743555992</v>
      </c>
      <c r="BE242" s="432">
        <f>(INDEX(绊状态确认!$N:$N,MATCH($G242,绊状态确认!$B:$B,))+1.5)</f>
        <v>1.9</v>
      </c>
      <c r="BF242" s="1139">
        <f t="array" ref="BF242">SUMPRODUCT(IF(AZ242*AP242*$FI$16:$FI$23*$FA$22&gt;=$FI$24,$FI$24,AZ242*AP242*$FI$16:$FI$23*$FA$22),$FJ$16:$FJ$23)</f>
        <v>33046.946020179006</v>
      </c>
      <c r="BG242" s="1125">
        <f t="array" ref="BG242">SUMPRODUCT(IF(BE242*AZ242*AP242*$FI$16:$FI$23*$FA$22&gt;=$FI$24,$FI$24,BE242*AZ242*AP242*$FI$16:$FI$23*$FA$22),$FJ$16:$FJ$23)</f>
        <v>57750.506302170099</v>
      </c>
      <c r="BH242" s="1110">
        <f t="shared" si="286"/>
        <v>16596.551085371259</v>
      </c>
      <c r="BI242" s="1111">
        <f>IF(O242="vo",$EW$26/$EW$24*0.05,0)+IF(O242="sk",-$EW$26/$EW$24*(0.05-INDEX(绊状态确认!W:W,MATCH($G242,绊状态确认!$B:$B,)))+0.05*$EW$28,0)+IF(O242="sp",0.05*$EW$32*$EW$30*(1-$EW$33)-(0.05-INDEX(绊状态确认!V:V,MATCH($G242,绊状态确认!$B:$B,)))*$EW$28,0)+IF(O242="gd",-(0.05-INDEX(绊状态确认!X:X,MATCH($G242,绊状态确认!$B:$B,)))*$EW$32*$EW$30*(1-$EW$33),0)</f>
        <v>19.999999999999886</v>
      </c>
      <c r="BJ242" s="1097">
        <f>IF(O242="vo",0.05*(1-$FI$26)*$FA$24,0)+IF(O242="sk",-(0.05-INDEX(绊状态确认!W:W,MATCH($G242,绊状态确认!$B:$B,)))*(1-$FI$26)*$FA$24+0.05*$FA$26,0)+IF(O242="sp",0.05*$FA$32*$FA$27*(1-$FA$33)/$FA$30+0.05*$FA$29/$FA$69*$FA$27*(1-$FA$33)-(0.05-INDEX(绊状态确认!V:V,MATCH($G242,绊状态确认!$B:$B,)))*$FA$26,0)+IF(O242="gd",-(0.05-INDEX(绊状态确认!X:X,MATCH($G242,绊状态确认!$B:$B,)))*$FA$32*$FA$27*(1-$FA$33)/$FA$30-(0.05-INDEX(绊状态确认!X:X,MATCH($G242,绊状态确认!$B:$B,)))*$FA$29/$FA$69*$FA$27*(1-$FA$33),0)</f>
        <v>545.83333333333326</v>
      </c>
      <c r="BK242" s="1110">
        <f>IF(O242="vo",$EW$26/$EW$24*0.05+$EW$26*(-HP($EW$62,$EW$65,$EW$64)+HP($EW$62,$EW$65,(1.05-INDEX(绊状态确认!U:U,MATCH($G242,绊状态确认!$B:$B,)))*$EW$64)),0)+IF(O242="sk",-$EW$26/$EW$24*(0.05-INDEX(绊状态确认!W:W,MATCH($G242,绊状态确认!$B:$B,)))+0.05*$EW$29,0)+IF(O242="sp",0.05*$EW$32*$EW$30*(1-$EW$33)-(0.05-INDEX(绊状态确认!V:V,MATCH($G242,绊状态确认!$B:$B,)))*$EW$29,0)+IF(O242="gd",-(0.05-INDEX(绊状态确认!X:X,MATCH($G242,绊状态确认!$B:$B,)))*$EW$32*$EW$30*(1-$EW$33)+$EW$26*(-HP($EW$62,$EW$65,$EW$64)+HP($EW$62,$EW$65,0.95*$EW$64)),0)</f>
        <v>-1780.0000000000005</v>
      </c>
      <c r="BL242" s="1111">
        <f t="shared" si="287"/>
        <v>-1083.3333333333333</v>
      </c>
      <c r="BM242" s="1110">
        <f t="shared" si="288"/>
        <v>-830.55555555555543</v>
      </c>
      <c r="BN242" s="1113">
        <f t="shared" si="289"/>
        <v>3</v>
      </c>
      <c r="BO242" s="1097">
        <f t="shared" si="290"/>
        <v>4507.7214871259994</v>
      </c>
      <c r="BP242" s="1100">
        <f t="shared" si="291"/>
        <v>221.34103209030098</v>
      </c>
      <c r="BQ242" s="1113" t="s">
        <v>626</v>
      </c>
      <c r="BR242" s="1124" t="s">
        <v>627</v>
      </c>
      <c r="BS242" s="1098">
        <f>IF($P242="","N/A",IF($P242=-1,INDEX('卡片raw data'!AX:AX,MATCH($D242,'卡片raw data'!$F:$F,)),0)+IF($L242="party卡",IF($P242=5,INDEX('卡片raw data'!BD:BD,MATCH($D242,'卡片raw data'!$F:$F,)),IF($P242&gt;=3,INDEX('卡片raw data'!BC:BC,MATCH($D242,'卡片raw data'!$F:$F,)),INDEX('卡片raw data'!BB:BB,MATCH($D242,'卡片raw data'!$F:$F,)))),IF(OR(AND($F242="UR",$P242=0),AND($F242="SR",$P242&gt;=0,$P242&lt;=2),AND($F242="R",$P242&gt;=0,$P242&lt;4)),INDEX('卡片raw data'!AZ:AZ,MATCH($D242,'卡片raw data'!$F:$F,)),0)+IF(OR(AND($F242="UR",$P242&gt;=1,$P242&lt;=4),AND($F242="SR",$P242&lt;=4,$P242&gt;=3),AND($F242="R",$P242=4)),INDEX('卡片raw data'!BA:BA,MATCH($D242,'卡片raw data'!$F:$F,)),0)+IF($P242=5,INDEX('卡片raw data'!BB:BB,MATCH($D242,'卡片raw data'!$F:$F,)),0)))</f>
        <v>4.2000000000000003E-2</v>
      </c>
      <c r="BT242" s="1101">
        <f t="shared" si="292"/>
        <v>1584.7093257651256</v>
      </c>
      <c r="BU242" s="1097">
        <f t="shared" si="293"/>
        <v>171.9406416343781</v>
      </c>
      <c r="BV242" s="1097">
        <f t="shared" si="294"/>
        <v>891.39899574288302</v>
      </c>
      <c r="BW242" s="1112">
        <f t="shared" si="295"/>
        <v>0</v>
      </c>
      <c r="BX242" s="1100">
        <f t="shared" si="296"/>
        <v>1584.7093257651256</v>
      </c>
      <c r="BY242" s="1110">
        <f t="shared" si="297"/>
        <v>891.39899574288302</v>
      </c>
      <c r="BZ242" s="1107" t="s">
        <v>569</v>
      </c>
      <c r="CA242" s="1124"/>
      <c r="CB242" s="1098">
        <f>IF($P242="","N/A",IF($P242=-1,INDEX('卡片raw data'!BE:BE,MATCH($D242,'卡片raw data'!$F:$F,)),0)+IF($L242="party卡",IF($P242=5,INDEX('卡片raw data'!BK:BK,MATCH($D242,'卡片raw data'!$F:$F,)),IF($P242&gt;=3,INDEX('卡片raw data'!BJ:BJ,MATCH($D242,'卡片raw data'!$F:$F,)),INDEX('卡片raw data'!BI:BI,MATCH($D242,'卡片raw data'!$F:$F,)))),IF(OR(AND($F242="UR",$P242=0),AND($F242="SR",$P242&gt;=0,$P242&lt;=2),AND($F242="R",$P242&gt;=0,$P242&lt;4)),INDEX('卡片raw data'!BG:BG,MATCH($D242,'卡片raw data'!$F:$F,)),0)+IF(OR(AND($F242="UR",$P242&gt;=1,$P242&lt;=4),AND($F242="SR",$P242&lt;=4,$P242&gt;=3),AND($F242="R",$P242=4)),INDEX('卡片raw data'!BH:BH,MATCH($D242,'卡片raw data'!$F:$F,)),0)+IF($P242=5,INDEX('卡片raw data'!BI:BI,MATCH($D242,'卡片raw data'!$F:$F,)),0)))</f>
        <v>0</v>
      </c>
      <c r="CC242" s="1101">
        <f t="shared" si="298"/>
        <v>0</v>
      </c>
      <c r="CD242" s="1097">
        <f>IF(BZ242="ap",CB242*(1-$FI$26)*$FB$5/$FB$11*(+IF(CA242="全员",$FA$24,0)+IF(CA242="同作战",$FA$24,0)+IF(CA242="仲间",$FA$24*2/3,0)+IF(CA242="同属性",$FA$24*$FA$37/3,0)+IF(CA242="同年级",$FA$24*$FA$40/3,0)+IF(CA242="同学校",$FA$24*$FA$43/3,0)+IF(CA242="同小队",$FA$24*$FA$46/3,0)+IF(CA242="同type",$FA$24*INDEX($FB$49:$FB$52,MATCH(X242,$FA$49:$FA$52,))/3,0)+IF(CA242="自身",#REF!/3,0)),0)+IF(BZ242="te",CB242*(1-$FI$27)*($FA$20-1)*$FB$7/$FB$13*(+IF(CA242="全员",$FA$19*$FA$24/(1+($FA$20-1)*$FA$19),0)+IF(CA242="同作战",$FA$19*$FA$24/(1+($FA$20-1)*$FA$19),0)+IF(CA242="仲间",$FA$19*$FA$24*2/3/(1+($FA$20-1)*$FA$19),0)+IF(CA242="同属性",$FA$19*$FA$24*$FA$37/3/(1+($FA$20-1)*$FA$19),0)+IF(CA242="同年级",$FA$19*$FA$24*$FA$40/3/(1+($FA$20-1)*$FA$19),0)+IF(CA242="同学校",$FA$19*$FA$24*$FA$43/3/(1+($FA$20-1)*$FA$19),0)+IF(CA242="同小队",$FA$19*$FA$24*$FA$46/3/(1+($FA$20-1)*$FA$19),0)+IF(CA242="同type",$FA$19*$FA$24*INDEX($FB$49:$FB$52,MATCH(X242,$FA$49:$FA$52,))/3/(1+($FA$20-1)*$FA$19),0)+IF(CA242="自身",$FA$19*#REF!/3/(1+(BH242-1)*$BD242),0)),0)</f>
        <v>0</v>
      </c>
      <c r="CE242" s="1097">
        <f t="shared" si="299"/>
        <v>0</v>
      </c>
      <c r="CF242" s="1112">
        <f t="shared" si="300"/>
        <v>0</v>
      </c>
      <c r="CG242" s="1100">
        <f t="shared" si="301"/>
        <v>0</v>
      </c>
      <c r="CH242" s="1110">
        <f t="shared" si="302"/>
        <v>0</v>
      </c>
      <c r="CI242" s="1113" t="s">
        <v>164</v>
      </c>
      <c r="CJ242" s="1114">
        <v>0.3</v>
      </c>
      <c r="CK242" s="1115" t="s">
        <v>590</v>
      </c>
      <c r="CL242" s="1115" t="s">
        <v>161</v>
      </c>
      <c r="CM242" s="1119">
        <v>0.08</v>
      </c>
      <c r="CN242" s="1115">
        <v>10</v>
      </c>
      <c r="CO242" s="1092"/>
      <c r="CP242" s="1118">
        <f t="shared" si="303"/>
        <v>5.1428571428571426E-3</v>
      </c>
      <c r="CQ242" s="1118">
        <f t="shared" si="304"/>
        <v>8.0000000000000002E-3</v>
      </c>
      <c r="CR242" s="1118">
        <f t="shared" si="305"/>
        <v>5.1428571428571426E-3</v>
      </c>
      <c r="CS242" s="1118">
        <f t="shared" si="306"/>
        <v>0</v>
      </c>
      <c r="CT242" s="1109">
        <f t="shared" si="307"/>
        <v>1.375</v>
      </c>
      <c r="CU242" s="1101">
        <f t="shared" si="308"/>
        <v>66.857142857142847</v>
      </c>
      <c r="CV242" s="1108">
        <f t="shared" si="309"/>
        <v>79.73333333333332</v>
      </c>
      <c r="CW242" s="1097">
        <f t="shared" si="310"/>
        <v>66.857142857142847</v>
      </c>
      <c r="CX242" s="1097">
        <f t="shared" si="311"/>
        <v>66.857142857142847</v>
      </c>
      <c r="CY242" s="1110">
        <f t="shared" si="312"/>
        <v>66.857142857142847</v>
      </c>
      <c r="CZ242" s="437"/>
      <c r="DA242" s="438"/>
      <c r="DB242" s="439" t="s">
        <v>569</v>
      </c>
      <c r="DC242" s="439"/>
      <c r="DD242" s="443"/>
      <c r="DE242" s="411"/>
      <c r="DF242" s="411"/>
      <c r="DG242" s="1116">
        <f t="shared" si="313"/>
        <v>0</v>
      </c>
      <c r="DH242" s="1116">
        <f t="shared" si="314"/>
        <v>0</v>
      </c>
      <c r="DI242" s="1116">
        <f t="shared" si="315"/>
        <v>0</v>
      </c>
      <c r="DJ242" s="442">
        <f t="shared" si="316"/>
        <v>0</v>
      </c>
      <c r="DK242" s="1109">
        <f t="shared" si="317"/>
        <v>0</v>
      </c>
      <c r="DL242" s="1101">
        <f t="shared" si="318"/>
        <v>0</v>
      </c>
      <c r="DM242" s="1097">
        <f t="shared" si="319"/>
        <v>0</v>
      </c>
      <c r="DN242" s="1097">
        <f t="shared" si="320"/>
        <v>0</v>
      </c>
      <c r="DO242" s="1097">
        <f t="shared" si="321"/>
        <v>0</v>
      </c>
      <c r="DP242" s="1110">
        <f t="shared" si="322"/>
        <v>0</v>
      </c>
      <c r="DQ242" s="1113" t="s">
        <v>565</v>
      </c>
      <c r="DR242" s="1120">
        <f t="shared" si="323"/>
        <v>0.3</v>
      </c>
      <c r="DS242" s="1124">
        <v>5</v>
      </c>
      <c r="DT242" s="1093" t="s">
        <v>161</v>
      </c>
      <c r="DU242" s="1093" t="s">
        <v>560</v>
      </c>
      <c r="DV242" s="1098">
        <f>IF($P242="","N/A",IF(P242=-1,INDEX('卡片raw data'!AN:AN,MATCH(D242,'卡片raw data'!$F:$F,)),0)+IF(AND(L242&lt;&gt;"party卡",P242&lt;=2,P242&gt;=0),INDEX('卡片raw data'!AP:AP,MATCH(D242,'卡片raw data'!$F:$F,)),0)+IF(OR(AND(L242="party卡",P242&lt;=1),AND(P242&lt;=4,L242&lt;&gt;"party卡",P242&gt;=3)),INDEX('卡片raw data'!AQ:AQ,MATCH(D242,'卡片raw data'!$F:$F,)),0)+IF(OR(P242=5,AND(L242="party卡",P242&gt;=2)),INDEX('卡片raw data'!AR:AR,MATCH(D242,'卡片raw data'!$F:$F,)),0))</f>
        <v>4.2000000000000003E-2</v>
      </c>
      <c r="DW242" s="1098">
        <f t="shared" si="324"/>
        <v>0.3</v>
      </c>
      <c r="DX242" s="1098">
        <f t="shared" si="325"/>
        <v>0.3</v>
      </c>
      <c r="DY242" s="1098">
        <f t="shared" si="326"/>
        <v>2.0999999999999998E-2</v>
      </c>
      <c r="DZ242" s="1098">
        <f t="shared" si="327"/>
        <v>1.8164999999999997E-2</v>
      </c>
      <c r="EA242" s="1098">
        <f t="shared" si="328"/>
        <v>0</v>
      </c>
      <c r="EB242" s="1121">
        <f t="shared" si="329"/>
        <v>4.1901234374999996</v>
      </c>
      <c r="EC242" s="1101">
        <f t="shared" si="330"/>
        <v>272.99999999999994</v>
      </c>
      <c r="ED242" s="1097">
        <f t="shared" si="331"/>
        <v>181.04449999999994</v>
      </c>
      <c r="EE242" s="1110">
        <f t="shared" si="332"/>
        <v>272.99999999999994</v>
      </c>
      <c r="EF242" s="1092" t="s">
        <v>711</v>
      </c>
      <c r="EG242" s="1120">
        <f t="shared" si="333"/>
        <v>0.3</v>
      </c>
      <c r="EH242" s="1124"/>
      <c r="EI242" s="1093"/>
      <c r="EJ242" s="1093"/>
      <c r="EK242" s="1097">
        <f>IF($P242="","N/A",IF(P242=-1,INDEX('卡片raw data'!AS:AS,MATCH(D242,'卡片raw data'!$F:$F,)),0)+IF(AND(L242&lt;&gt;"party卡",P242&lt;=2,P242&gt;=0),INDEX('卡片raw data'!AU:AU,MATCH(D242,'卡片raw data'!$F:$F,)),0)+IF(OR(AND(L242="party卡",P242&lt;=1),AND(P242&lt;=4,L242&lt;&gt;"party卡",P242&gt;=3)),INDEX('卡片raw data'!AV:AV,MATCH(D242,'卡片raw data'!$F:$F,)),0)+IF(OR(P242=5,AND(L242="party卡",P242&gt;=2)),INDEX('卡片raw data'!AW:AW,MATCH(D242,'卡片raw data'!$F:$F,)),0))</f>
        <v>0</v>
      </c>
      <c r="EL242" s="1098">
        <f t="shared" si="334"/>
        <v>0.3</v>
      </c>
      <c r="EM242" s="1098">
        <f t="shared" si="335"/>
        <v>0.3</v>
      </c>
      <c r="EN242" s="1125">
        <f t="shared" si="336"/>
        <v>0</v>
      </c>
      <c r="EO242" s="1125">
        <f t="shared" si="337"/>
        <v>0</v>
      </c>
      <c r="EP242" s="1098">
        <f t="shared" si="338"/>
        <v>0</v>
      </c>
      <c r="EQ242" s="1121">
        <f t="shared" si="339"/>
        <v>0</v>
      </c>
      <c r="ER242" s="1101">
        <f t="shared" si="340"/>
        <v>0</v>
      </c>
      <c r="ES242" s="1097">
        <f t="shared" si="341"/>
        <v>0</v>
      </c>
      <c r="ET242" s="1122">
        <f t="shared" si="342"/>
        <v>0</v>
      </c>
    </row>
    <row r="243" spans="2:150" ht="16.5" customHeight="1">
      <c r="B243" s="1123" t="str">
        <f>INDEX('卡片raw data'!B:B,MATCH($D243,'卡片raw data'!$F:$F,))</f>
        <v>旗袍凛</v>
      </c>
      <c r="C243" s="449" t="s">
        <v>67</v>
      </c>
      <c r="D243" s="408">
        <v>240</v>
      </c>
      <c r="E243" s="1090">
        <v>300053002</v>
      </c>
      <c r="F243" s="1090" t="str">
        <f>INDEX('卡片raw data'!C:C,MATCH($D243,'卡片raw data'!$F:$F,))</f>
        <v>UR</v>
      </c>
      <c r="G243" s="1094" t="s">
        <v>28</v>
      </c>
      <c r="H243" s="411">
        <f>IFERROR(INDEX(绊状态确认!C:C,MATCH($G243,绊状态确认!$B:$B,)),"")</f>
        <v>5</v>
      </c>
      <c r="I243" s="450" t="str">
        <f>IFERROR(INDEX(绊状态确认!D:D,MATCH($G243,绊状态确认!$B:$B,)),"")</f>
        <v>缪</v>
      </c>
      <c r="J243" s="450" t="str">
        <f>IFERROR(INDEX(绊状态确认!E:E,MATCH($G243,绊状态确认!$B:$B,)),"")</f>
        <v>1年级</v>
      </c>
      <c r="K243" s="451" t="str">
        <f>IFERROR(INDEX(绊状态确认!F:F,MATCH($G243,绊状态确认!$B:$B,)),"")</f>
        <v>lilywhite</v>
      </c>
      <c r="L243" s="1094" t="str">
        <f>INDEX('卡片raw data'!E:E,MATCH($D243,'卡片raw data'!$F:$F,))</f>
        <v>卡池卡</v>
      </c>
      <c r="M243" s="415">
        <v>43972</v>
      </c>
      <c r="N243" s="416">
        <v>16</v>
      </c>
      <c r="O243" s="1091" t="str">
        <f>INDEX('卡片raw data'!D:D,MATCH($D243,'卡片raw data'!$F:$F,))</f>
        <v>gd</v>
      </c>
      <c r="P243" s="417">
        <v>5</v>
      </c>
      <c r="Q243" s="1095">
        <f t="shared" si="258"/>
        <v>33180.585592459101</v>
      </c>
      <c r="R243" s="1096">
        <f t="shared" si="259"/>
        <v>0.38500000000000001</v>
      </c>
      <c r="S243" s="1097">
        <f t="shared" si="260"/>
        <v>17011.609069298891</v>
      </c>
      <c r="T243" s="1098">
        <f t="shared" si="261"/>
        <v>0.85</v>
      </c>
      <c r="U243" s="1099">
        <f t="shared" si="262"/>
        <v>814.95937114636422</v>
      </c>
      <c r="V243" s="1100">
        <f t="shared" si="263"/>
        <v>85382.082519363626</v>
      </c>
      <c r="W243" s="1101">
        <f t="shared" si="264"/>
        <v>4507.7214871259994</v>
      </c>
      <c r="X243" s="1096">
        <f t="shared" si="265"/>
        <v>5.1999999999999998E-2</v>
      </c>
      <c r="Y243" s="1097">
        <f t="shared" si="266"/>
        <v>2171.8710647631588</v>
      </c>
      <c r="Z243" s="1102">
        <f t="shared" si="267"/>
        <v>26.805949285542855</v>
      </c>
      <c r="AA243" s="1103">
        <f t="shared" si="268"/>
        <v>6679.5925518891581</v>
      </c>
      <c r="AB243" s="1101">
        <f t="shared" si="269"/>
        <v>4507.7214871259994</v>
      </c>
      <c r="AC243" s="1104">
        <f t="shared" si="270"/>
        <v>5.1999999999999998E-2</v>
      </c>
      <c r="AD243" s="1105">
        <f t="shared" si="271"/>
        <v>0</v>
      </c>
      <c r="AE243" s="1128">
        <f t="shared" si="272"/>
        <v>-6.25</v>
      </c>
      <c r="AF243" s="1130">
        <f t="shared" si="273"/>
        <v>10569.953415919037</v>
      </c>
      <c r="AG243" s="420">
        <f t="shared" si="274"/>
        <v>91413.58900016002</v>
      </c>
      <c r="AH243" s="420">
        <f t="shared" si="275"/>
        <v>8.648438210000549</v>
      </c>
      <c r="AI243" s="1097">
        <f t="shared" si="276"/>
        <v>112084.04792594512</v>
      </c>
      <c r="AJ243" s="420">
        <f t="shared" si="277"/>
        <v>85382.082519363626</v>
      </c>
      <c r="AK243" s="518">
        <f t="shared" si="278"/>
        <v>26701.965406581498</v>
      </c>
      <c r="AL243" s="1106">
        <f>IF($P243="","N/A",(IF($P243=-1,INDEX('卡片raw data'!S:S,MATCH($D243,'卡片raw data'!$F:$F,)),0)+IF($P243=0,INDEX('卡片raw data'!V:V,MATCH($D243,'卡片raw data'!$F:$F,)),0)+IF($P243=1,INDEX('卡片raw data'!Y:Y,MATCH($D243,'卡片raw data'!$F:$F,)),0)+IF($P243=2,INDEX('卡片raw data'!AB:AB,MATCH($D243,'卡片raw data'!$F:$F,)),0)+IF($P243=3,INDEX('卡片raw data'!AE:AE,MATCH($D243,'卡片raw data'!$F:$F,)),0)+IF($P243=4,INDEX('卡片raw data'!AH:AH,MATCH($D243,'卡片raw data'!$F:$F,)),0)+IF($P243=5,INDEX('卡片raw data'!AK:AK,MATCH($D243,'卡片raw data'!$F:$F,)),0)+INDEX('卡片raw data'!S:S,MATCH($D243,'卡片raw data'!$F:$F,))*(IF($F243="UR",0.04,0.033))*(IF($F243="UR",INDEX(绊状态确认!$S:$S,MATCH($G243,绊状态确认!$B:$B,))/2-40)+IF($F243="SR",INDEX(绊状态确认!$R:$R,MATCH($G243,绊状态确认!$B:$B,))/4-15))+IF($F243="R",INDEX(绊状态确认!$Q:$Q,MATCH($G243,绊状态确认!$B:$B,))/6-40/6)))*(INDEX(绊状态确认!$H:$H,MATCH($G243,绊状态确认!$B:$B,))+INDEX(绊状态确认!J:J,MATCH($G243,绊状态确认!$B:$B,)))</f>
        <v>9749.130143999997</v>
      </c>
      <c r="AM243" s="1106">
        <f>IF($P243="","N/A",(IF($P243=-1,INDEX('卡片raw data'!T:T,MATCH($D243,'卡片raw data'!$F:$F,)),0)+IF($P243=0,INDEX('卡片raw data'!W:W,MATCH($D243,'卡片raw data'!$F:$F,)),0)+IF($P243=1,INDEX('卡片raw data'!Z:Z,MATCH($D243,'卡片raw data'!$F:$F,)),0)+IF($P243=2,INDEX('卡片raw data'!AC:AC,MATCH($D243,'卡片raw data'!$F:$F,)),0)+IF($P243=3,INDEX('卡片raw data'!AF:AF,MATCH($D243,'卡片raw data'!$F:$F,)),0)+IF($P243=4,INDEX('卡片raw data'!AI:AI,MATCH($D243,'卡片raw data'!$F:$F,)),0)+IF($P243=5,INDEX('卡片raw data'!AL:AL,MATCH($D243,'卡片raw data'!$F:$F,)),0)+INDEX('卡片raw data'!T:T,MATCH($D243,'卡片raw data'!$F:$F,))*(IF($F243="UR",0.04,0.033))*(IF($F243="UR",INDEX(绊状态确认!$S:$S,MATCH($G243,绊状态确认!$B:$B,))/2-40)+IF($F243="SR",INDEX(绊状态确认!$R:$R,MATCH($G243,绊状态确认!$B:$B,))/4-15))+IF($F243="R",INDEX(绊状态确认!$Q:$Q,MATCH($G243,绊状态确认!$B:$B,))/6-40/6)))*(INDEX(绊状态确认!$H:$H,MATCH($G243,绊状态确认!$B:$B,))+INDEX(绊状态确认!K:K,MATCH($G243,绊状态确认!$B:$B,)))</f>
        <v>13322.517215999998</v>
      </c>
      <c r="AN243" s="1106">
        <f>IF($P243="","N/A",(IF($P243=-1,INDEX('卡片raw data'!U:U,MATCH($D243,'卡片raw data'!$F:$F,)),0)+IF($P243=0,INDEX('卡片raw data'!X:X,MATCH($D243,'卡片raw data'!$F:$F,)),0)+IF($P243=1,INDEX('卡片raw data'!AA:AA,MATCH($D243,'卡片raw data'!$F:$F,)),0)+IF($P243=2,INDEX('卡片raw data'!AD:AD,MATCH($D243,'卡片raw data'!$F:$F,)),0)+IF($P243=3,INDEX('卡片raw data'!AG:AG,MATCH($D243,'卡片raw data'!$F:$F,)),0)+IF($P243=4,INDEX('卡片raw data'!AJ:AJ,MATCH($D243,'卡片raw data'!$F:$F,)),0)+IF($P243=5,INDEX('卡片raw data'!AM:AM,MATCH($D243,'卡片raw data'!$F:$F,)),0)+INDEX('卡片raw data'!U:U,MATCH($D243,'卡片raw data'!$F:$F,))*(IF($F243="UR",0.04,0.033))*(IF($F243="UR",INDEX(绊状态确认!$S:$S,MATCH($G243,绊状态确认!$B:$B,))/2-40)+IF($F243="SR",INDEX(绊状态确认!$R:$R,MATCH($G243,绊状态确认!$B:$B,))/4-15))+IF($F243="R",INDEX(绊状态确认!$Q:$Q,MATCH($G243,绊状态确认!$B:$B,))/6-40/6)))*(INDEX(绊状态确认!$H:$H,MATCH($G243,绊状态确认!$B:$B,))+INDEX(绊状态确认!L:L,MATCH($G243,绊状态确认!$B:$B,)))</f>
        <v>9422.3924159999988</v>
      </c>
      <c r="AO243" s="1107">
        <f t="shared" si="279"/>
        <v>1</v>
      </c>
      <c r="AP243" s="1131">
        <f>1+(INDEX(绊状态确认!$T:$T,MATCH($G243,绊状态确认!$B:$B,))+0.2)*$AO243</f>
        <v>1.3</v>
      </c>
      <c r="AQ243" s="1108">
        <f t="shared" si="280"/>
        <v>28841.466627999995</v>
      </c>
      <c r="AR243" s="1097">
        <f>(AM243*(1+$EX$9)+$EX$35)*(1+(INDEX(绊状态确认!$T:$T,MATCH($G243,绊状态确认!$B:$B,))+0.2)*AO243)*IF(J243=$FF$17,1+$FE$17,1)*IF(I243=$FF$14,1+$FE$14,1)*(1+$FE$15)</f>
        <v>20889.235999839999</v>
      </c>
      <c r="AS243" s="1097">
        <f>(AN243*(1+$EX$10)+$EX$36)*(1+(INDEX(绊状态确认!$T:$T,MATCH($G243,绊状态确认!$B:$B,))+0.2)*AO243)*IF(J243=$FF$17,1+$FE$17,1)*IF(I243=$FF$14,1+$FE$14,1)*(1+$FE$15)</f>
        <v>18142.476661919998</v>
      </c>
      <c r="AT243" s="1093">
        <f>IF(AND(INDEX('卡片raw data'!AK:AK,MATCH($D243,'卡片raw data'!$F:$F,))&lt;INDEX('卡片raw data'!AM:AM,MATCH($D243,'卡片raw data'!$F:$F,)),INDEX('卡片raw data'!AL:AL,MATCH($D243,'卡片raw data'!$F:$F,))&lt;INDEX('卡片raw data'!AM:AM,MATCH($D243,'卡片raw data'!$F:$F,))),1,0)</f>
        <v>0</v>
      </c>
      <c r="AU243" s="1098">
        <f>MIN(AT243*0.15+AS243*0.00003+INDEX(绊状态确认!M:M,MATCH($G243,绊状态确认!$B:$B,)),1)</f>
        <v>0.57427429985760003</v>
      </c>
      <c r="AV243" s="1109">
        <f>(INDEX(绊状态确认!$N:$N,MATCH($G243,绊状态确认!$B:$B,))+1.5)*$EW$21</f>
        <v>2.6599999999999997</v>
      </c>
      <c r="AW243" s="1101">
        <f t="shared" si="281"/>
        <v>29257.864105333105</v>
      </c>
      <c r="AX243" s="1097">
        <f t="shared" si="282"/>
        <v>1824.2899737015657</v>
      </c>
      <c r="AY243" s="1110">
        <f t="shared" si="283"/>
        <v>31082.15407903467</v>
      </c>
      <c r="AZ243" s="429">
        <f t="shared" si="284"/>
        <v>21610.803780799994</v>
      </c>
      <c r="BA243" s="431">
        <f t="shared" si="285"/>
        <v>25932.964536959993</v>
      </c>
      <c r="BB243" s="1097">
        <f>(AM243*(1+$FB$9)+$FB$35)*(1+(INDEX(绊状态确认!$T:$T,MATCH($G243,绊状态确认!$B:$B,))+0.2)*AO243)*IF(J243=$FF$17,1+$FE$17,1)*IF(I243=$FF$14,1+$FE$14,1)*(1+$FE$15)</f>
        <v>20889.235999839999</v>
      </c>
      <c r="BC243" s="1097">
        <f>(AN243*(1+$FB$10)+$FB$36)*(1+(INDEX(绊状态确认!$T:$T,MATCH($G243,绊状态确认!$B:$B,))+0.2)*AO243)*IF(J243=$FF$17,1+$FE$17,1)*IF(I243=$FF$14,1+$FE$14,1)*(1+$FE$15)</f>
        <v>18142.476661919998</v>
      </c>
      <c r="BD243" s="1104">
        <f>MIN(AT243*0.15+BC243*0.00003+INDEX(绊状态确认!M:M,MATCH($G243,绊状态确认!$B:$B,)),1)</f>
        <v>0.57427429985760003</v>
      </c>
      <c r="BE243" s="432">
        <f>(INDEX(绊状态确认!$N:$N,MATCH($G243,绊状态确认!$B:$B,))+1.5)</f>
        <v>1.9</v>
      </c>
      <c r="BF243" s="1139">
        <f t="array" ref="BF243">SUMPRODUCT(IF(AZ243*AP243*$FI$16:$FI$23*$FA$22&gt;=$FI$24,$FI$24,AZ243*AP243*$FI$16:$FI$23*$FA$22),$FJ$16:$FJ$23)</f>
        <v>42983.888720011179</v>
      </c>
      <c r="BG243" s="1125">
        <f t="array" ref="BG243">SUMPRODUCT(IF(BE243*AZ243*AP243*$FI$16:$FI$23*$FA$22&gt;=$FI$24,$FI$24,BE243*AZ243*AP243*$FI$16:$FI$23*$FA$22),$FJ$16:$FJ$23)</f>
        <v>60000</v>
      </c>
      <c r="BH243" s="1110">
        <f t="shared" si="286"/>
        <v>17585.268037208589</v>
      </c>
      <c r="BI243" s="1111">
        <f>IF(O243="vo",$EW$26/$EW$24*0.05,0)+IF(O243="sk",-$EW$26/$EW$24*(0.05-INDEX(绊状态确认!W:W,MATCH($G243,绊状态确认!$B:$B,)))+0.05*$EW$28,0)+IF(O243="sp",0.05*$EW$32*$EW$30*(1-$EW$33)-(0.05-INDEX(绊状态确认!V:V,MATCH($G243,绊状态确认!$B:$B,)))*$EW$28,0)+IF(O243="gd",-(0.05-INDEX(绊状态确认!X:X,MATCH($G243,绊状态确认!$B:$B,)))*$EW$32*$EW$30*(1-$EW$33),0)</f>
        <v>-585.00000000000011</v>
      </c>
      <c r="BJ243" s="1097">
        <f>IF(O243="vo",0.05*(1-$FI$26)*$FA$24,0)+IF(O243="sk",-(0.05-INDEX(绊状态确认!W:W,MATCH($G243,绊状态确认!$B:$B,)))*(1-$FI$26)*$FA$24+0.05*$FA$26,0)+IF(O243="sp",0.05*$FA$32*$FA$27*(1-$FA$33)/$FA$30+0.05*$FA$29/$FA$69*$FA$27*(1-$FA$33)-(0.05-INDEX(绊状态确认!V:V,MATCH($G243,绊状态确认!$B:$B,)))*$FA$26,0)+IF(O243="gd",-(0.05-INDEX(绊状态确认!X:X,MATCH($G243,绊状态确认!$B:$B,)))*$FA$32*$FA$27*(1-$FA$33)/$FA$30-(0.05-INDEX(绊状态确认!X:X,MATCH($G243,绊状态确认!$B:$B,)))*$FA$29/$FA$69*$FA$27*(1-$FA$33),0)</f>
        <v>-795.00000000000011</v>
      </c>
      <c r="BK243" s="1110">
        <f>IF(O243="vo",$EW$26/$EW$24*0.05+$EW$26*(-HP($EW$62,$EW$65,$EW$64)+HP($EW$62,$EW$65,(1.05-INDEX(绊状态确认!U:U,MATCH($G243,绊状态确认!$B:$B,)))*$EW$64)),0)+IF(O243="sk",-$EW$26/$EW$24*(0.05-INDEX(绊状态确认!W:W,MATCH($G243,绊状态确认!$B:$B,)))+0.05*$EW$29,0)+IF(O243="sp",0.05*$EW$32*$EW$30*(1-$EW$33)-(0.05-INDEX(绊状态确认!V:V,MATCH($G243,绊状态确认!$B:$B,)))*$EW$29,0)+IF(O243="gd",-(0.05-INDEX(绊状态确认!X:X,MATCH($G243,绊状态确认!$B:$B,)))*$EW$32*$EW$30*(1-$EW$33)+$EW$26*(-HP($EW$62,$EW$65,$EW$64)+HP($EW$62,$EW$65,0.95*$EW$64)),0)</f>
        <v>1009.5947725176144</v>
      </c>
      <c r="BL243" s="1111">
        <f t="shared" si="287"/>
        <v>0</v>
      </c>
      <c r="BM243" s="1110">
        <f t="shared" si="288"/>
        <v>0</v>
      </c>
      <c r="BN243" s="1113">
        <f t="shared" si="289"/>
        <v>3</v>
      </c>
      <c r="BO243" s="1097">
        <f t="shared" si="290"/>
        <v>4507.7214871259994</v>
      </c>
      <c r="BP243" s="1100">
        <f t="shared" si="291"/>
        <v>221.34103209030098</v>
      </c>
      <c r="BQ243" s="1113" t="s">
        <v>144</v>
      </c>
      <c r="BR243" s="1124" t="s">
        <v>147</v>
      </c>
      <c r="BS243" s="1098">
        <f>IF($P243="","N/A",IF($P243=-1,INDEX('卡片raw data'!AX:AX,MATCH($D243,'卡片raw data'!$F:$F,)),0)+IF($L243="party卡",IF($P243=5,INDEX('卡片raw data'!BD:BD,MATCH($D243,'卡片raw data'!$F:$F,)),IF($P243&gt;=3,INDEX('卡片raw data'!BC:BC,MATCH($D243,'卡片raw data'!$F:$F,)),INDEX('卡片raw data'!BB:BB,MATCH($D243,'卡片raw data'!$F:$F,)))),IF(OR(AND($F243="UR",$P243=0),AND($F243="SR",$P243&gt;=0,$P243&lt;=2),AND($F243="R",$P243&gt;=0,$P243&lt;4)),INDEX('卡片raw data'!AZ:AZ,MATCH($D243,'卡片raw data'!$F:$F,)),0)+IF(OR(AND($F243="UR",$P243&gt;=1,$P243&lt;=4),AND($F243="SR",$P243&lt;=4,$P243&gt;=3),AND($F243="R",$P243=4)),INDEX('卡片raw data'!BA:BA,MATCH($D243,'卡片raw data'!$F:$F,)),0)+IF($P243=5,INDEX('卡片raw data'!BB:BB,MATCH($D243,'卡片raw data'!$F:$F,)),0)))</f>
        <v>4.2000000000000003E-2</v>
      </c>
      <c r="BT243" s="1101">
        <f t="shared" si="292"/>
        <v>0</v>
      </c>
      <c r="BU243" s="1097">
        <f t="shared" si="293"/>
        <v>0</v>
      </c>
      <c r="BV243" s="1097">
        <f t="shared" si="294"/>
        <v>0</v>
      </c>
      <c r="BW243" s="1112">
        <f t="shared" si="295"/>
        <v>4.4246249999999989</v>
      </c>
      <c r="BX243" s="1100">
        <f t="shared" si="296"/>
        <v>347.58109106159276</v>
      </c>
      <c r="BY243" s="1110">
        <f t="shared" si="297"/>
        <v>347.58109106159276</v>
      </c>
      <c r="BZ243" s="1107" t="s">
        <v>569</v>
      </c>
      <c r="CA243" s="1124"/>
      <c r="CB243" s="1098">
        <f>IF($P243="","N/A",IF($P243=-1,INDEX('卡片raw data'!BE:BE,MATCH($D243,'卡片raw data'!$F:$F,)),0)+IF($L243="party卡",IF($P243=5,INDEX('卡片raw data'!BK:BK,MATCH($D243,'卡片raw data'!$F:$F,)),IF($P243&gt;=3,INDEX('卡片raw data'!BJ:BJ,MATCH($D243,'卡片raw data'!$F:$F,)),INDEX('卡片raw data'!BI:BI,MATCH($D243,'卡片raw data'!$F:$F,)))),IF(OR(AND($F243="UR",$P243=0),AND($F243="SR",$P243&gt;=0,$P243&lt;=2),AND($F243="R",$P243&gt;=0,$P243&lt;4)),INDEX('卡片raw data'!BG:BG,MATCH($D243,'卡片raw data'!$F:$F,)),0)+IF(OR(AND($F243="UR",$P243&gt;=1,$P243&lt;=4),AND($F243="SR",$P243&lt;=4,$P243&gt;=3),AND($F243="R",$P243=4)),INDEX('卡片raw data'!BH:BH,MATCH($D243,'卡片raw data'!$F:$F,)),0)+IF($P243=5,INDEX('卡片raw data'!BI:BI,MATCH($D243,'卡片raw data'!$F:$F,)),0)))</f>
        <v>0</v>
      </c>
      <c r="CC243" s="1101">
        <f t="shared" si="298"/>
        <v>0</v>
      </c>
      <c r="CD243" s="1097">
        <f>IF(BZ243="ap",CB243*(1-$FI$26)*$FB$5/$FB$11*(+IF(CA243="全员",$FA$24,0)+IF(CA243="同作战",$FA$24,0)+IF(CA243="仲间",$FA$24*2/3,0)+IF(CA243="同属性",$FA$24*$FA$37/3,0)+IF(CA243="同年级",$FA$24*$FA$40/3,0)+IF(CA243="同学校",$FA$24*$FA$43/3,0)+IF(CA243="同小队",$FA$24*$FA$46/3,0)+IF(CA243="同type",$FA$24*INDEX($FB$49:$FB$52,MATCH(X243,$FA$49:$FA$52,))/3,0)+IF(CA243="自身",#REF!/3,0)),0)+IF(BZ243="te",CB243*(1-$FI$27)*($FA$20-1)*$FB$7/$FB$13*(+IF(CA243="全员",$FA$19*$FA$24/(1+($FA$20-1)*$FA$19),0)+IF(CA243="同作战",$FA$19*$FA$24/(1+($FA$20-1)*$FA$19),0)+IF(CA243="仲间",$FA$19*$FA$24*2/3/(1+($FA$20-1)*$FA$19),0)+IF(CA243="同属性",$FA$19*$FA$24*$FA$37/3/(1+($FA$20-1)*$FA$19),0)+IF(CA243="同年级",$FA$19*$FA$24*$FA$40/3/(1+($FA$20-1)*$FA$19),0)+IF(CA243="同学校",$FA$19*$FA$24*$FA$43/3/(1+($FA$20-1)*$FA$19),0)+IF(CA243="同小队",$FA$19*$FA$24*$FA$46/3/(1+($FA$20-1)*$FA$19),0)+IF(CA243="同type",$FA$19*$FA$24*INDEX($FB$49:$FB$52,MATCH(X243,$FA$49:$FA$52,))/3/(1+($FA$20-1)*$FA$19),0)+IF(CA243="自身",$FA$19*#REF!/3/(1+(BH243-1)*$BD243),0)),0)</f>
        <v>0</v>
      </c>
      <c r="CE243" s="1097">
        <f t="shared" si="299"/>
        <v>0</v>
      </c>
      <c r="CF243" s="1112">
        <f t="shared" si="300"/>
        <v>0</v>
      </c>
      <c r="CG243" s="1100">
        <f t="shared" si="301"/>
        <v>0</v>
      </c>
      <c r="CH243" s="1110">
        <f t="shared" si="302"/>
        <v>0</v>
      </c>
      <c r="CI243" s="1113" t="s">
        <v>172</v>
      </c>
      <c r="CJ243" s="1114">
        <v>0.1</v>
      </c>
      <c r="CK243" s="1115" t="s">
        <v>637</v>
      </c>
      <c r="CL243" s="1115" t="s">
        <v>1944</v>
      </c>
      <c r="CM243" s="1119">
        <v>0.04</v>
      </c>
      <c r="CN243" s="1115"/>
      <c r="CO243" s="1092"/>
      <c r="CP243" s="1116">
        <f t="shared" si="303"/>
        <v>27.852314666453335</v>
      </c>
      <c r="CQ243" s="1116">
        <f t="shared" si="304"/>
        <v>27.852314666453331</v>
      </c>
      <c r="CR243" s="1116">
        <f t="shared" si="305"/>
        <v>0</v>
      </c>
      <c r="CS243" s="1118">
        <f t="shared" si="306"/>
        <v>0</v>
      </c>
      <c r="CT243" s="1109">
        <f t="shared" si="307"/>
        <v>0</v>
      </c>
      <c r="CU243" s="1101">
        <f t="shared" si="308"/>
        <v>0</v>
      </c>
      <c r="CV243" s="1108">
        <f t="shared" si="309"/>
        <v>0</v>
      </c>
      <c r="CW243" s="1097">
        <f t="shared" si="310"/>
        <v>0</v>
      </c>
      <c r="CX243" s="1097">
        <f t="shared" si="311"/>
        <v>0</v>
      </c>
      <c r="CY243" s="1110">
        <f t="shared" si="312"/>
        <v>0</v>
      </c>
      <c r="CZ243" s="437"/>
      <c r="DA243" s="438"/>
      <c r="DB243" s="439" t="s">
        <v>569</v>
      </c>
      <c r="DC243" s="439"/>
      <c r="DD243" s="443"/>
      <c r="DE243" s="411"/>
      <c r="DF243" s="411"/>
      <c r="DG243" s="1116">
        <f t="shared" si="313"/>
        <v>0</v>
      </c>
      <c r="DH243" s="1116">
        <f t="shared" si="314"/>
        <v>0</v>
      </c>
      <c r="DI243" s="1116">
        <f t="shared" si="315"/>
        <v>0</v>
      </c>
      <c r="DJ243" s="442">
        <f t="shared" si="316"/>
        <v>0</v>
      </c>
      <c r="DK243" s="1109">
        <f t="shared" si="317"/>
        <v>0</v>
      </c>
      <c r="DL243" s="1101">
        <f t="shared" si="318"/>
        <v>0</v>
      </c>
      <c r="DM243" s="1097">
        <f t="shared" si="319"/>
        <v>0</v>
      </c>
      <c r="DN243" s="1097">
        <f t="shared" si="320"/>
        <v>0</v>
      </c>
      <c r="DO243" s="1097">
        <f t="shared" si="321"/>
        <v>0</v>
      </c>
      <c r="DP243" s="1110">
        <f t="shared" si="322"/>
        <v>0</v>
      </c>
      <c r="DQ243" s="1113" t="s">
        <v>636</v>
      </c>
      <c r="DR243" s="1120">
        <f t="shared" si="323"/>
        <v>0.33</v>
      </c>
      <c r="DS243" s="1124"/>
      <c r="DT243" s="1093" t="s">
        <v>133</v>
      </c>
      <c r="DU243" s="1093"/>
      <c r="DV243" s="1098">
        <f>IF($P243="","N/A",IF(P243=-1,INDEX('卡片raw data'!AN:AN,MATCH(D243,'卡片raw data'!$F:$F,)),0)+IF(AND(L243&lt;&gt;"party卡",P243&lt;=2,P243&gt;=0),INDEX('卡片raw data'!AP:AP,MATCH(D243,'卡片raw data'!$F:$F,)),0)+IF(OR(AND(L243="party卡",P243&lt;=1),AND(P243&lt;=4,L243&lt;&gt;"party卡",P243&gt;=3)),INDEX('卡片raw data'!AQ:AQ,MATCH(D243,'卡片raw data'!$F:$F,)),0)+IF(OR(P243=5,AND(L243="party卡",P243&gt;=2)),INDEX('卡片raw data'!AR:AR,MATCH(D243,'卡片raw data'!$F:$F,)),0))</f>
        <v>0.32</v>
      </c>
      <c r="DW243" s="1098">
        <f t="shared" si="324"/>
        <v>0.33</v>
      </c>
      <c r="DX243" s="1098">
        <f t="shared" si="325"/>
        <v>0.33</v>
      </c>
      <c r="DY243" s="1125">
        <f t="shared" si="326"/>
        <v>735.301107194368</v>
      </c>
      <c r="DZ243" s="1125">
        <f t="shared" si="327"/>
        <v>636.03545772312827</v>
      </c>
      <c r="EA243" s="1098">
        <f t="shared" si="328"/>
        <v>0</v>
      </c>
      <c r="EB243" s="1121">
        <f t="shared" si="329"/>
        <v>0</v>
      </c>
      <c r="EC243" s="1101">
        <f t="shared" si="330"/>
        <v>0</v>
      </c>
      <c r="ED243" s="1097">
        <f t="shared" si="331"/>
        <v>0</v>
      </c>
      <c r="EE243" s="1110">
        <f t="shared" si="332"/>
        <v>48435.03108962375</v>
      </c>
      <c r="EF243" s="1092" t="s">
        <v>711</v>
      </c>
      <c r="EG243" s="1120">
        <f t="shared" si="333"/>
        <v>0.33</v>
      </c>
      <c r="EH243" s="1124"/>
      <c r="EI243" s="1093"/>
      <c r="EJ243" s="1093"/>
      <c r="EK243" s="1097">
        <f>IF($P243="","N/A",IF(P243=-1,INDEX('卡片raw data'!AS:AS,MATCH(D243,'卡片raw data'!$F:$F,)),0)+IF(AND(L243&lt;&gt;"party卡",P243&lt;=2,P243&gt;=0),INDEX('卡片raw data'!AU:AU,MATCH(D243,'卡片raw data'!$F:$F,)),0)+IF(OR(AND(L243="party卡",P243&lt;=1),AND(P243&lt;=4,L243&lt;&gt;"party卡",P243&gt;=3)),INDEX('卡片raw data'!AV:AV,MATCH(D243,'卡片raw data'!$F:$F,)),0)+IF(OR(P243=5,AND(L243="party卡",P243&gt;=2)),INDEX('卡片raw data'!AW:AW,MATCH(D243,'卡片raw data'!$F:$F,)),0))</f>
        <v>0</v>
      </c>
      <c r="EL243" s="1098">
        <f t="shared" si="334"/>
        <v>0.33</v>
      </c>
      <c r="EM243" s="1098">
        <f t="shared" si="335"/>
        <v>0.33</v>
      </c>
      <c r="EN243" s="1125">
        <f t="shared" si="336"/>
        <v>0</v>
      </c>
      <c r="EO243" s="1125">
        <f t="shared" si="337"/>
        <v>0</v>
      </c>
      <c r="EP243" s="1098">
        <f t="shared" si="338"/>
        <v>0</v>
      </c>
      <c r="EQ243" s="1121">
        <f t="shared" si="339"/>
        <v>0</v>
      </c>
      <c r="ER243" s="1101">
        <f t="shared" si="340"/>
        <v>0</v>
      </c>
      <c r="ES243" s="1097">
        <f t="shared" si="341"/>
        <v>0</v>
      </c>
      <c r="ET243" s="1122">
        <f t="shared" si="342"/>
        <v>0</v>
      </c>
    </row>
    <row r="244" spans="2:150" ht="16.5" customHeight="1">
      <c r="B244" s="1123" t="str">
        <f>INDEX('卡片raw data'!B:B,MATCH($D244,'卡片raw data'!$F:$F,))</f>
        <v>旗袍黛</v>
      </c>
      <c r="C244" s="449" t="s">
        <v>69</v>
      </c>
      <c r="D244" s="408">
        <v>241</v>
      </c>
      <c r="E244" s="1090">
        <v>401043002</v>
      </c>
      <c r="F244" s="1090" t="str">
        <f>INDEX('卡片raw data'!C:C,MATCH($D244,'卡片raw data'!$F:$F,))</f>
        <v>UR</v>
      </c>
      <c r="G244" s="1094" t="s">
        <v>36</v>
      </c>
      <c r="H244" s="411">
        <f>IFERROR(INDEX(绊状态确认!C:C,MATCH($G244,绊状态确认!$B:$B,)),"")</f>
        <v>104</v>
      </c>
      <c r="I244" s="450" t="str">
        <f>IFERROR(INDEX(绊状态确认!D:D,MATCH($G244,绊状态确认!$B:$B,)),"")</f>
        <v>水</v>
      </c>
      <c r="J244" s="450" t="str">
        <f>IFERROR(INDEX(绊状态确认!E:E,MATCH($G244,绊状态确认!$B:$B,)),"")</f>
        <v>3年级</v>
      </c>
      <c r="K244" s="451" t="str">
        <f>IFERROR(INDEX(绊状态确认!F:F,MATCH($G244,绊状态确认!$B:$B,)),"")</f>
        <v>AZALEA</v>
      </c>
      <c r="L244" s="1094" t="str">
        <f>INDEX('卡片raw data'!E:E,MATCH($D244,'卡片raw data'!$F:$F,))</f>
        <v>活动卡</v>
      </c>
      <c r="M244" s="415">
        <v>43972</v>
      </c>
      <c r="N244" s="416">
        <v>16</v>
      </c>
      <c r="O244" s="1091" t="str">
        <f>INDEX('卡片raw data'!D:D,MATCH($D244,'卡片raw data'!$F:$F,))</f>
        <v>vo</v>
      </c>
      <c r="P244" s="417">
        <v>5</v>
      </c>
      <c r="Q244" s="1095">
        <f t="shared" si="258"/>
        <v>45584.568104562481</v>
      </c>
      <c r="R244" s="1096">
        <f t="shared" si="259"/>
        <v>0.52900000000000003</v>
      </c>
      <c r="S244" s="1097">
        <f t="shared" si="260"/>
        <v>19435.025526376703</v>
      </c>
      <c r="T244" s="1098">
        <f t="shared" si="261"/>
        <v>0.97099999999999997</v>
      </c>
      <c r="U244" s="1099">
        <f t="shared" si="262"/>
        <v>-10.437450907257142</v>
      </c>
      <c r="V244" s="1100">
        <f t="shared" si="263"/>
        <v>45447.766999923639</v>
      </c>
      <c r="W244" s="1101">
        <f t="shared" si="264"/>
        <v>7494.5923793959864</v>
      </c>
      <c r="X244" s="1096">
        <f t="shared" si="265"/>
        <v>8.6999999999999994E-2</v>
      </c>
      <c r="Y244" s="1097">
        <f t="shared" si="266"/>
        <v>1167.8673456028646</v>
      </c>
      <c r="Z244" s="1102">
        <f t="shared" si="267"/>
        <v>14.562549092742858</v>
      </c>
      <c r="AA244" s="1103">
        <f t="shared" si="268"/>
        <v>8662.459724998851</v>
      </c>
      <c r="AB244" s="1101">
        <f t="shared" si="269"/>
        <v>7494.5923793959864</v>
      </c>
      <c r="AC244" s="1104">
        <f t="shared" si="270"/>
        <v>8.6999999999999994E-2</v>
      </c>
      <c r="AD244" s="1105">
        <f t="shared" si="271"/>
        <v>0</v>
      </c>
      <c r="AE244" s="1128">
        <f t="shared" si="272"/>
        <v>0</v>
      </c>
      <c r="AF244" s="1130">
        <f t="shared" si="273"/>
        <v>0</v>
      </c>
      <c r="AG244" s="420">
        <f t="shared" si="274"/>
        <v>0</v>
      </c>
      <c r="AH244" s="420">
        <f t="shared" si="275"/>
        <v>0</v>
      </c>
      <c r="AI244" s="1097">
        <f t="shared" si="276"/>
        <v>0</v>
      </c>
      <c r="AJ244" s="420">
        <f t="shared" si="277"/>
        <v>0</v>
      </c>
      <c r="AK244" s="518">
        <f t="shared" si="278"/>
        <v>0</v>
      </c>
      <c r="AL244" s="1106">
        <f>IF($P244="","N/A",(IF($P244=-1,INDEX('卡片raw data'!S:S,MATCH($D244,'卡片raw data'!$F:$F,)),0)+IF($P244=0,INDEX('卡片raw data'!V:V,MATCH($D244,'卡片raw data'!$F:$F,)),0)+IF($P244=1,INDEX('卡片raw data'!Y:Y,MATCH($D244,'卡片raw data'!$F:$F,)),0)+IF($P244=2,INDEX('卡片raw data'!AB:AB,MATCH($D244,'卡片raw data'!$F:$F,)),0)+IF($P244=3,INDEX('卡片raw data'!AE:AE,MATCH($D244,'卡片raw data'!$F:$F,)),0)+IF($P244=4,INDEX('卡片raw data'!AH:AH,MATCH($D244,'卡片raw data'!$F:$F,)),0)+IF($P244=5,INDEX('卡片raw data'!AK:AK,MATCH($D244,'卡片raw data'!$F:$F,)),0)+INDEX('卡片raw data'!S:S,MATCH($D244,'卡片raw data'!$F:$F,))*(IF($F244="UR",0.04,0.033))*(IF($F244="UR",INDEX(绊状态确认!$S:$S,MATCH($G244,绊状态确认!$B:$B,))/2-40)+IF($F244="SR",INDEX(绊状态确认!$R:$R,MATCH($G244,绊状态确认!$B:$B,))/4-15))+IF($F244="R",INDEX(绊状态确认!$Q:$Q,MATCH($G244,绊状态确认!$B:$B,))/6-40/6)))*(INDEX(绊状态确认!$H:$H,MATCH($G244,绊状态确认!$B:$B,))+INDEX(绊状态确认!J:J,MATCH($G244,绊状态确认!$B:$B,)))</f>
        <v>9837.2238719999987</v>
      </c>
      <c r="AM244" s="1106">
        <f>IF($P244="","N/A",(IF($P244=-1,INDEX('卡片raw data'!T:T,MATCH($D244,'卡片raw data'!$F:$F,)),0)+IF($P244=0,INDEX('卡片raw data'!W:W,MATCH($D244,'卡片raw data'!$F:$F,)),0)+IF($P244=1,INDEX('卡片raw data'!Z:Z,MATCH($D244,'卡片raw data'!$F:$F,)),0)+IF($P244=2,INDEX('卡片raw data'!AC:AC,MATCH($D244,'卡片raw data'!$F:$F,)),0)+IF($P244=3,INDEX('卡片raw data'!AF:AF,MATCH($D244,'卡片raw data'!$F:$F,)),0)+IF($P244=4,INDEX('卡片raw data'!AI:AI,MATCH($D244,'卡片raw data'!$F:$F,)),0)+IF($P244=5,INDEX('卡片raw data'!AL:AL,MATCH($D244,'卡片raw data'!$F:$F,)),0)+INDEX('卡片raw data'!T:T,MATCH($D244,'卡片raw data'!$F:$F,))*(IF($F244="UR",0.04,0.033))*(IF($F244="UR",INDEX(绊状态确认!$S:$S,MATCH($G244,绊状态确认!$B:$B,))/2-40)+IF($F244="SR",INDEX(绊状态确认!$R:$R,MATCH($G244,绊状态确认!$B:$B,))/4-15))+IF($F244="R",INDEX(绊状态确认!$Q:$Q,MATCH($G244,绊状态确认!$B:$B,))/6-40/6)))*(INDEX(绊状态确认!$H:$H,MATCH($G244,绊状态确认!$B:$B,))+INDEX(绊状态确认!K:K,MATCH($G244,绊状态确认!$B:$B,)))</f>
        <v>7976.3461439999992</v>
      </c>
      <c r="AN244" s="1106">
        <f>IF($P244="","N/A",(IF($P244=-1,INDEX('卡片raw data'!U:U,MATCH($D244,'卡片raw data'!$F:$F,)),0)+IF($P244=0,INDEX('卡片raw data'!X:X,MATCH($D244,'卡片raw data'!$F:$F,)),0)+IF($P244=1,INDEX('卡片raw data'!AA:AA,MATCH($D244,'卡片raw data'!$F:$F,)),0)+IF($P244=2,INDEX('卡片raw data'!AD:AD,MATCH($D244,'卡片raw data'!$F:$F,)),0)+IF($P244=3,INDEX('卡片raw data'!AG:AG,MATCH($D244,'卡片raw data'!$F:$F,)),0)+IF($P244=4,INDEX('卡片raw data'!AJ:AJ,MATCH($D244,'卡片raw data'!$F:$F,)),0)+IF($P244=5,INDEX('卡片raw data'!AM:AM,MATCH($D244,'卡片raw data'!$F:$F,)),0)+INDEX('卡片raw data'!U:U,MATCH($D244,'卡片raw data'!$F:$F,))*(IF($F244="UR",0.04,0.033))*(IF($F244="UR",INDEX(绊状态确认!$S:$S,MATCH($G244,绊状态确认!$B:$B,))/2-40)+IF($F244="SR",INDEX(绊状态确认!$R:$R,MATCH($G244,绊状态确认!$B:$B,))/4-15))+IF($F244="R",INDEX(绊状态确认!$Q:$Q,MATCH($G244,绊状态确认!$B:$B,))/6-40/6)))*(INDEX(绊状态确认!$H:$H,MATCH($G244,绊状态确认!$B:$B,))+INDEX(绊状态确认!L:L,MATCH($G244,绊状态确认!$B:$B,)))</f>
        <v>8773.5534719999978</v>
      </c>
      <c r="AO244" s="1107">
        <f t="shared" si="279"/>
        <v>1</v>
      </c>
      <c r="AP244" s="1131">
        <f>1+(INDEX(绊状态确认!$T:$T,MATCH($G244,绊状态确认!$B:$B,))+0.2)*$AO244</f>
        <v>1.3</v>
      </c>
      <c r="AQ244" s="1108">
        <f t="shared" si="280"/>
        <v>29072.712663999995</v>
      </c>
      <c r="AR244" s="1097">
        <f>(AM244*(1+$EX$9)+$EX$35)*(1+(INDEX(绊状态确认!$T:$T,MATCH($G244,绊状态确认!$B:$B,))+0.2)*AO244)*IF(J244=$FF$17,1+$FE$17,1)*IF(I244=$FF$14,1+$FE$14,1)*(1+$FE$15)</f>
        <v>13591.71248656</v>
      </c>
      <c r="AS244" s="1097">
        <f>(AN244*(1+$EX$10)+$EX$36)*(1+(INDEX(绊状态确认!$T:$T,MATCH($G244,绊状态确认!$B:$B,))+0.2)*AO244)*IF(J244=$FF$17,1+$FE$17,1)*IF(I244=$FF$14,1+$FE$14,1)*(1+$FE$15)</f>
        <v>17172.462440639996</v>
      </c>
      <c r="AT244" s="1093">
        <f>IF(AND(INDEX('卡片raw data'!AK:AK,MATCH($D244,'卡片raw data'!$F:$F,))&lt;INDEX('卡片raw data'!AM:AM,MATCH($D244,'卡片raw data'!$F:$F,)),INDEX('卡片raw data'!AL:AL,MATCH($D244,'卡片raw data'!$F:$F,))&lt;INDEX('卡片raw data'!AM:AM,MATCH($D244,'卡片raw data'!$F:$F,))),1,0)</f>
        <v>0</v>
      </c>
      <c r="AU244" s="1098">
        <f>MIN(AT244*0.15+AS244*0.00003+INDEX(绊状态确认!M:M,MATCH($G244,绊状态确认!$B:$B,)),1)</f>
        <v>0.54517387321919997</v>
      </c>
      <c r="AV244" s="1109">
        <f>(INDEX(绊状态确认!$N:$N,MATCH($G244,绊状态确认!$B:$B,))+1.5)*$EW$21</f>
        <v>2.6599999999999997</v>
      </c>
      <c r="AW244" s="1101">
        <f t="shared" si="281"/>
        <v>28763.074601705601</v>
      </c>
      <c r="AX244" s="1097">
        <f t="shared" si="282"/>
        <v>1167.8673456028639</v>
      </c>
      <c r="AY244" s="1110">
        <f t="shared" si="283"/>
        <v>29930.941947308464</v>
      </c>
      <c r="AZ244" s="429">
        <f t="shared" si="284"/>
        <v>21782.586550399996</v>
      </c>
      <c r="BA244" s="431">
        <f t="shared" si="285"/>
        <v>26139.103860479994</v>
      </c>
      <c r="BB244" s="1097">
        <f>(AM244*(1+$FB$9)+$FB$35)*(1+(INDEX(绊状态确认!$T:$T,MATCH($G244,绊状态确认!$B:$B,))+0.2)*AO244)*IF(J244=$FF$17,1+$FE$17,1)*IF(I244=$FF$14,1+$FE$14,1)*(1+$FE$15)</f>
        <v>13591.71248656</v>
      </c>
      <c r="BC244" s="1097">
        <f>(AN244*(1+$FB$10)+$FB$36)*(1+(INDEX(绊状态确认!$T:$T,MATCH($G244,绊状态确认!$B:$B,))+0.2)*AO244)*IF(J244=$FF$17,1+$FE$17,1)*IF(I244=$FF$14,1+$FE$14,1)*(1+$FE$15)</f>
        <v>17172.462440639996</v>
      </c>
      <c r="BD244" s="1104">
        <f>MIN(AT244*0.15+BC244*0.00003+INDEX(绊状态确认!M:M,MATCH($G244,绊状态确认!$B:$B,)),1)</f>
        <v>0.54517387321919997</v>
      </c>
      <c r="BE244" s="432">
        <f>(INDEX(绊状态确认!$N:$N,MATCH($G244,绊状态确认!$B:$B,))+1.5)</f>
        <v>1.9</v>
      </c>
      <c r="BF244" s="1139">
        <f t="array" ref="BF244">SUMPRODUCT(IF(AZ244*AP244*$FI$16:$FI$23*$FA$22&gt;=$FI$24,$FI$24,AZ244*AP244*$FI$16:$FI$23*$FA$22),$FJ$16:$FJ$23)</f>
        <v>43325.564648745596</v>
      </c>
      <c r="BG244" s="1125">
        <f t="array" ref="BG244">SUMPRODUCT(IF(BE244*AZ244*AP244*$FI$16:$FI$23*$FA$22&gt;=$FI$24,$FI$24,BE244*AZ244*AP244*$FI$16:$FI$23*$FA$22),$FJ$16:$FJ$23)</f>
        <v>60000</v>
      </c>
      <c r="BH244" s="1110">
        <f t="shared" si="286"/>
        <v>17472.010384310703</v>
      </c>
      <c r="BI244" s="1111">
        <f>IF(O244="vo",$EW$26/$EW$24*0.05,0)+IF(O244="sk",-$EW$26/$EW$24*(0.05-INDEX(绊状态确认!W:W,MATCH($G244,绊状态确认!$B:$B,)))+0.05*$EW$28,0)+IF(O244="sp",0.05*$EW$32*$EW$30*(1-$EW$33)-(0.05-INDEX(绊状态确认!V:V,MATCH($G244,绊状态确认!$B:$B,)))*$EW$28,0)+IF(O244="gd",-(0.05-INDEX(绊状态确认!X:X,MATCH($G244,绊状态确认!$B:$B,)))*$EW$32*$EW$30*(1-$EW$33),0)</f>
        <v>7726.3029277443748</v>
      </c>
      <c r="BJ244" s="1097">
        <f>IF(O244="vo",0.05*(1-$FI$26)*$FA$24,0)+IF(O244="sk",-(0.05-INDEX(绊状态确认!W:W,MATCH($G244,绊状态确认!$B:$B,)))*(1-$FI$26)*$FA$24+0.05*$FA$26,0)+IF(O244="sp",0.05*$FA$32*$FA$27*(1-$FA$33)/$FA$30+0.05*$FA$29/$FA$69*$FA$27*(1-$FA$33)-(0.05-INDEX(绊状态确认!V:V,MATCH($G244,绊状态确认!$B:$B,)))*$FA$26,0)+IF(O244="gd",-(0.05-INDEX(绊状态确认!X:X,MATCH($G244,绊状态确认!$B:$B,)))*$FA$32*$FA$27*(1-$FA$33)/$FA$30-(0.05-INDEX(绊状态确认!X:X,MATCH($G244,绊状态确认!$B:$B,)))*$FA$29/$FA$69*$FA$27*(1-$FA$33),0)</f>
        <v>393.93433687500004</v>
      </c>
      <c r="BK244" s="1110">
        <f>IF(O244="vo",$EW$26/$EW$24*0.05+$EW$26*(-HP($EW$62,$EW$65,$EW$64)+HP($EW$62,$EW$65,(1.05-INDEX(绊状态确认!U:U,MATCH($G244,绊状态确认!$B:$B,)))*$EW$64)),0)+IF(O244="sk",-$EW$26/$EW$24*(0.05-INDEX(绊状态确认!W:W,MATCH($G244,绊状态确认!$B:$B,)))+0.05*$EW$29,0)+IF(O244="sp",0.05*$EW$32*$EW$30*(1-$EW$33)-(0.05-INDEX(绊状态确认!V:V,MATCH($G244,绊状态确认!$B:$B,)))*$EW$29,0)+IF(O244="gd",-(0.05-INDEX(绊状态确认!X:X,MATCH($G244,绊状态确认!$B:$B,)))*$EW$32*$EW$30*(1-$EW$33)+$EW$26*(-HP($EW$62,$EW$65,$EW$64)+HP($EW$62,$EW$65,0.95*$EW$64)),0)</f>
        <v>6421.6344775026746</v>
      </c>
      <c r="BL244" s="1111">
        <f t="shared" si="287"/>
        <v>0</v>
      </c>
      <c r="BM244" s="1110">
        <f t="shared" si="288"/>
        <v>0</v>
      </c>
      <c r="BN244" s="1113">
        <f t="shared" si="289"/>
        <v>3</v>
      </c>
      <c r="BO244" s="1097">
        <f t="shared" si="290"/>
        <v>4507.7214871259994</v>
      </c>
      <c r="BP244" s="1100">
        <f t="shared" si="291"/>
        <v>221.34103209030098</v>
      </c>
      <c r="BQ244" s="1113" t="s">
        <v>145</v>
      </c>
      <c r="BR244" s="1124" t="s">
        <v>147</v>
      </c>
      <c r="BS244" s="1098">
        <f>IF($P244="","N/A",IF($P244=-1,INDEX('卡片raw data'!AX:AX,MATCH($D244,'卡片raw data'!$F:$F,)),0)+IF($L244="party卡",IF($P244=5,INDEX('卡片raw data'!BD:BD,MATCH($D244,'卡片raw data'!$F:$F,)),IF($P244&gt;=3,INDEX('卡片raw data'!BC:BC,MATCH($D244,'卡片raw data'!$F:$F,)),INDEX('卡片raw data'!BB:BB,MATCH($D244,'卡片raw data'!$F:$F,)))),IF(OR(AND($F244="UR",$P244=0),AND($F244="SR",$P244&gt;=0,$P244&lt;=2),AND($F244="R",$P244&gt;=0,$P244&lt;4)),INDEX('卡片raw data'!AZ:AZ,MATCH($D244,'卡片raw data'!$F:$F,)),0)+IF(OR(AND($F244="UR",$P244&gt;=1,$P244&lt;=4),AND($F244="SR",$P244&lt;=4,$P244&gt;=3),AND($F244="R",$P244=4)),INDEX('卡片raw data'!BA:BA,MATCH($D244,'卡片raw data'!$F:$F,)),0)+IF($P244=5,INDEX('卡片raw data'!BB:BB,MATCH($D244,'卡片raw data'!$F:$F,)),0)))</f>
        <v>4.2000000000000003E-2</v>
      </c>
      <c r="BT244" s="1101">
        <f t="shared" si="292"/>
        <v>2971.3299858096102</v>
      </c>
      <c r="BU244" s="1097">
        <f t="shared" si="293"/>
        <v>214.92580204297263</v>
      </c>
      <c r="BV244" s="1097">
        <f t="shared" si="294"/>
        <v>2971.3299858096102</v>
      </c>
      <c r="BW244" s="1112">
        <f t="shared" si="295"/>
        <v>0</v>
      </c>
      <c r="BX244" s="1100">
        <f t="shared" si="296"/>
        <v>2971.3299858096102</v>
      </c>
      <c r="BY244" s="1110">
        <f t="shared" si="297"/>
        <v>2971.3299858096102</v>
      </c>
      <c r="BZ244" s="1107" t="s">
        <v>569</v>
      </c>
      <c r="CA244" s="1124"/>
      <c r="CB244" s="1098">
        <f>IF($P244="","N/A",IF($P244=-1,INDEX('卡片raw data'!BE:BE,MATCH($D244,'卡片raw data'!$F:$F,)),0)+IF($L244="party卡",IF($P244=5,INDEX('卡片raw data'!BK:BK,MATCH($D244,'卡片raw data'!$F:$F,)),IF($P244&gt;=3,INDEX('卡片raw data'!BJ:BJ,MATCH($D244,'卡片raw data'!$F:$F,)),INDEX('卡片raw data'!BI:BI,MATCH($D244,'卡片raw data'!$F:$F,)))),IF(OR(AND($F244="UR",$P244=0),AND($F244="SR",$P244&gt;=0,$P244&lt;=2),AND($F244="R",$P244&gt;=0,$P244&lt;4)),INDEX('卡片raw data'!BG:BG,MATCH($D244,'卡片raw data'!$F:$F,)),0)+IF(OR(AND($F244="UR",$P244&gt;=1,$P244&lt;=4),AND($F244="SR",$P244&lt;=4,$P244&gt;=3),AND($F244="R",$P244=4)),INDEX('卡片raw data'!BH:BH,MATCH($D244,'卡片raw data'!$F:$F,)),0)+IF($P244=5,INDEX('卡片raw data'!BI:BI,MATCH($D244,'卡片raw data'!$F:$F,)),0)))</f>
        <v>0</v>
      </c>
      <c r="CC244" s="1101">
        <f t="shared" si="298"/>
        <v>0</v>
      </c>
      <c r="CD244" s="1097">
        <f>IF(BZ244="ap",CB244*(1-$FI$26)*$FB$5/$FB$11*(+IF(CA244="全员",$FA$24,0)+IF(CA244="同作战",$FA$24,0)+IF(CA244="仲间",$FA$24*2/3,0)+IF(CA244="同属性",$FA$24*$FA$37/3,0)+IF(CA244="同年级",$FA$24*$FA$40/3,0)+IF(CA244="同学校",$FA$24*$FA$43/3,0)+IF(CA244="同小队",$FA$24*$FA$46/3,0)+IF(CA244="同type",$FA$24*INDEX($FB$49:$FB$52,MATCH(X244,$FA$49:$FA$52,))/3,0)+IF(CA244="自身",#REF!/3,0)),0)+IF(BZ244="te",CB244*(1-$FI$27)*($FA$20-1)*$FB$7/$FB$13*(+IF(CA244="全员",$FA$19*$FA$24/(1+($FA$20-1)*$FA$19),0)+IF(CA244="同作战",$FA$19*$FA$24/(1+($FA$20-1)*$FA$19),0)+IF(CA244="仲间",$FA$19*$FA$24*2/3/(1+($FA$20-1)*$FA$19),0)+IF(CA244="同属性",$FA$19*$FA$24*$FA$37/3/(1+($FA$20-1)*$FA$19),0)+IF(CA244="同年级",$FA$19*$FA$24*$FA$40/3/(1+($FA$20-1)*$FA$19),0)+IF(CA244="同学校",$FA$19*$FA$24*$FA$43/3/(1+($FA$20-1)*$FA$19),0)+IF(CA244="同小队",$FA$19*$FA$24*$FA$46/3/(1+($FA$20-1)*$FA$19),0)+IF(CA244="同type",$FA$19*$FA$24*INDEX($FB$49:$FB$52,MATCH(X244,$FA$49:$FA$52,))/3/(1+($FA$20-1)*$FA$19),0)+IF(CA244="自身",$FA$19*#REF!/3/(1+(BH244-1)*$BD244),0)),0)</f>
        <v>0</v>
      </c>
      <c r="CE244" s="1097">
        <f t="shared" si="299"/>
        <v>0</v>
      </c>
      <c r="CF244" s="1112">
        <f t="shared" si="300"/>
        <v>0</v>
      </c>
      <c r="CG244" s="1100">
        <f t="shared" si="301"/>
        <v>0</v>
      </c>
      <c r="CH244" s="1110">
        <f t="shared" si="302"/>
        <v>0</v>
      </c>
      <c r="CI244" s="1113" t="s">
        <v>170</v>
      </c>
      <c r="CJ244" s="1114">
        <v>0.2</v>
      </c>
      <c r="CK244" s="1115" t="s">
        <v>153</v>
      </c>
      <c r="CL244" s="1115" t="s">
        <v>161</v>
      </c>
      <c r="CM244" s="1119">
        <v>3.2000000000000001E-2</v>
      </c>
      <c r="CN244" s="1115">
        <v>5</v>
      </c>
      <c r="CO244" s="1092"/>
      <c r="CP244" s="1118">
        <f t="shared" si="303"/>
        <v>1.1428571428571428E-4</v>
      </c>
      <c r="CQ244" s="1118">
        <f t="shared" si="304"/>
        <v>1.7777777777777779E-4</v>
      </c>
      <c r="CR244" s="1118">
        <f t="shared" si="305"/>
        <v>1.1428571428571428E-4</v>
      </c>
      <c r="CS244" s="1118">
        <f t="shared" si="306"/>
        <v>0</v>
      </c>
      <c r="CT244" s="1109">
        <f t="shared" si="307"/>
        <v>0</v>
      </c>
      <c r="CU244" s="1101">
        <f t="shared" si="308"/>
        <v>15.540906460377258</v>
      </c>
      <c r="CV244" s="1108">
        <f t="shared" si="309"/>
        <v>1.1672128500000003</v>
      </c>
      <c r="CW244" s="1097">
        <f t="shared" si="310"/>
        <v>15.540906460377258</v>
      </c>
      <c r="CX244" s="1097">
        <f t="shared" si="311"/>
        <v>15.540906460377258</v>
      </c>
      <c r="CY244" s="1110">
        <f t="shared" si="312"/>
        <v>15.540906460377258</v>
      </c>
      <c r="CZ244" s="437"/>
      <c r="DA244" s="438"/>
      <c r="DB244" s="439" t="s">
        <v>569</v>
      </c>
      <c r="DC244" s="439"/>
      <c r="DD244" s="443"/>
      <c r="DE244" s="411"/>
      <c r="DF244" s="411"/>
      <c r="DG244" s="1116">
        <f t="shared" si="313"/>
        <v>0</v>
      </c>
      <c r="DH244" s="1116">
        <f t="shared" si="314"/>
        <v>0</v>
      </c>
      <c r="DI244" s="1116">
        <f t="shared" si="315"/>
        <v>0</v>
      </c>
      <c r="DJ244" s="442">
        <f t="shared" si="316"/>
        <v>0</v>
      </c>
      <c r="DK244" s="1109">
        <f t="shared" si="317"/>
        <v>0</v>
      </c>
      <c r="DL244" s="1101">
        <f t="shared" si="318"/>
        <v>0</v>
      </c>
      <c r="DM244" s="1097">
        <f t="shared" si="319"/>
        <v>0</v>
      </c>
      <c r="DN244" s="1097">
        <f t="shared" si="320"/>
        <v>0</v>
      </c>
      <c r="DO244" s="1097">
        <f t="shared" si="321"/>
        <v>0</v>
      </c>
      <c r="DP244" s="1110">
        <f t="shared" si="322"/>
        <v>0</v>
      </c>
      <c r="DQ244" s="1113" t="s">
        <v>152</v>
      </c>
      <c r="DR244" s="1120">
        <f t="shared" si="323"/>
        <v>0.33</v>
      </c>
      <c r="DS244" s="1124"/>
      <c r="DT244" s="1093" t="s">
        <v>132</v>
      </c>
      <c r="DU244" s="1093"/>
      <c r="DV244" s="1098">
        <f>IF($P244="","N/A",IF(P244=-1,INDEX('卡片raw data'!AN:AN,MATCH(D244,'卡片raw data'!$F:$F,)),0)+IF(AND(L244&lt;&gt;"party卡",P244&lt;=2,P244&gt;=0),INDEX('卡片raw data'!AP:AP,MATCH(D244,'卡片raw data'!$F:$F,)),0)+IF(OR(AND(L244="party卡",P244&lt;=1),AND(P244&lt;=4,L244&lt;&gt;"party卡",P244&gt;=3)),INDEX('卡片raw data'!AQ:AQ,MATCH(D244,'卡片raw data'!$F:$F,)),0)+IF(OR(P244=5,AND(L244="party卡",P244&gt;=2)),INDEX('卡片raw data'!AR:AR,MATCH(D244,'卡片raw data'!$F:$F,)),0))</f>
        <v>0.35</v>
      </c>
      <c r="DW244" s="1098">
        <f t="shared" si="324"/>
        <v>0.33</v>
      </c>
      <c r="DX244" s="1098">
        <f t="shared" si="325"/>
        <v>0.33</v>
      </c>
      <c r="DY244" s="1125">
        <f t="shared" si="326"/>
        <v>1455.0892688331999</v>
      </c>
      <c r="DZ244" s="1125">
        <f t="shared" si="327"/>
        <v>1131.6467582077255</v>
      </c>
      <c r="EA244" s="1098">
        <f t="shared" si="328"/>
        <v>0</v>
      </c>
      <c r="EB244" s="1121">
        <f t="shared" si="329"/>
        <v>0</v>
      </c>
      <c r="EC244" s="1101">
        <f t="shared" si="330"/>
        <v>1600.59819571652</v>
      </c>
      <c r="ED244" s="1097">
        <f t="shared" si="331"/>
        <v>1131.6467582077255</v>
      </c>
      <c r="EE244" s="1110">
        <f t="shared" si="332"/>
        <v>1600.59819571652</v>
      </c>
      <c r="EF244" s="1092" t="s">
        <v>711</v>
      </c>
      <c r="EG244" s="1120">
        <f t="shared" si="333"/>
        <v>0.33</v>
      </c>
      <c r="EH244" s="1124"/>
      <c r="EI244" s="1093"/>
      <c r="EJ244" s="1093"/>
      <c r="EK244" s="1097">
        <f>IF($P244="","N/A",IF(P244=-1,INDEX('卡片raw data'!AS:AS,MATCH(D244,'卡片raw data'!$F:$F,)),0)+IF(AND(L244&lt;&gt;"party卡",P244&lt;=2,P244&gt;=0),INDEX('卡片raw data'!AU:AU,MATCH(D244,'卡片raw data'!$F:$F,)),0)+IF(OR(AND(L244="party卡",P244&lt;=1),AND(P244&lt;=4,L244&lt;&gt;"party卡",P244&gt;=3)),INDEX('卡片raw data'!AV:AV,MATCH(D244,'卡片raw data'!$F:$F,)),0)+IF(OR(P244=5,AND(L244="party卡",P244&gt;=2)),INDEX('卡片raw data'!AW:AW,MATCH(D244,'卡片raw data'!$F:$F,)),0))</f>
        <v>0</v>
      </c>
      <c r="EL244" s="1098">
        <f t="shared" si="334"/>
        <v>0.33</v>
      </c>
      <c r="EM244" s="1098">
        <f t="shared" si="335"/>
        <v>0.33</v>
      </c>
      <c r="EN244" s="1125">
        <f t="shared" si="336"/>
        <v>0</v>
      </c>
      <c r="EO244" s="1125">
        <f t="shared" si="337"/>
        <v>0</v>
      </c>
      <c r="EP244" s="1098">
        <f t="shared" si="338"/>
        <v>0</v>
      </c>
      <c r="EQ244" s="1121">
        <f t="shared" si="339"/>
        <v>0</v>
      </c>
      <c r="ER244" s="1101">
        <f t="shared" si="340"/>
        <v>0</v>
      </c>
      <c r="ES244" s="1097">
        <f t="shared" si="341"/>
        <v>0</v>
      </c>
      <c r="ET244" s="1122">
        <f t="shared" si="342"/>
        <v>0</v>
      </c>
    </row>
    <row r="245" spans="2:150" ht="16.5" customHeight="1">
      <c r="B245" s="1123" t="str">
        <f>INDEX('卡片raw data'!B:B,MATCH($D245,'卡片raw data'!$F:$F,))</f>
        <v>bm南</v>
      </c>
      <c r="C245" s="449" t="s">
        <v>22</v>
      </c>
      <c r="D245" s="408">
        <v>242</v>
      </c>
      <c r="E245" s="1090">
        <v>401032002</v>
      </c>
      <c r="F245" s="1090" t="str">
        <f>INDEX('卡片raw data'!C:C,MATCH($D245,'卡片raw data'!$F:$F,))</f>
        <v>SR</v>
      </c>
      <c r="G245" s="1094" t="s">
        <v>290</v>
      </c>
      <c r="H245" s="411">
        <f>IFERROR(INDEX(绊状态确认!C:C,MATCH($G245,绊状态确认!$B:$B,)),"")</f>
        <v>103</v>
      </c>
      <c r="I245" s="450" t="str">
        <f>IFERROR(INDEX(绊状态确认!D:D,MATCH($G245,绊状态确认!$B:$B,)),"")</f>
        <v>水</v>
      </c>
      <c r="J245" s="450" t="str">
        <f>IFERROR(INDEX(绊状态确认!E:E,MATCH($G245,绊状态确认!$B:$B,)),"")</f>
        <v>3年级</v>
      </c>
      <c r="K245" s="451" t="str">
        <f>IFERROR(INDEX(绊状态确认!F:F,MATCH($G245,绊状态确认!$B:$B,)),"")</f>
        <v>AZALEA</v>
      </c>
      <c r="L245" s="1094" t="str">
        <f>INDEX('卡片raw data'!E:E,MATCH($D245,'卡片raw data'!$F:$F,))</f>
        <v>活动卡</v>
      </c>
      <c r="M245" s="415">
        <v>43972</v>
      </c>
      <c r="N245" s="416">
        <v>16</v>
      </c>
      <c r="O245" s="1091" t="str">
        <f>INDEX('卡片raw data'!D:D,MATCH($D245,'卡片raw data'!$F:$F,))</f>
        <v>gd</v>
      </c>
      <c r="P245" s="417">
        <v>5</v>
      </c>
      <c r="Q245" s="1095">
        <f t="shared" si="258"/>
        <v>17318.210131848537</v>
      </c>
      <c r="R245" s="1096">
        <f t="shared" si="259"/>
        <v>0.20100000000000001</v>
      </c>
      <c r="S245" s="1097">
        <f t="shared" si="260"/>
        <v>10200.346127670648</v>
      </c>
      <c r="T245" s="1098">
        <f t="shared" si="261"/>
        <v>0.51</v>
      </c>
      <c r="U245" s="1099">
        <f t="shared" si="262"/>
        <v>72.642330578776011</v>
      </c>
      <c r="V245" s="1100">
        <f t="shared" si="263"/>
        <v>24443.872195683402</v>
      </c>
      <c r="W245" s="1101">
        <f t="shared" si="264"/>
        <v>4507.7214871259994</v>
      </c>
      <c r="X245" s="1096">
        <f t="shared" si="265"/>
        <v>5.1999999999999998E-2</v>
      </c>
      <c r="Y245" s="1097">
        <f t="shared" si="266"/>
        <v>1205.4620568310002</v>
      </c>
      <c r="Z245" s="1102">
        <f t="shared" si="267"/>
        <v>15.142330578776017</v>
      </c>
      <c r="AA245" s="1103">
        <f t="shared" si="268"/>
        <v>5713.1835439569995</v>
      </c>
      <c r="AB245" s="1101">
        <f t="shared" si="269"/>
        <v>4507.7214871259994</v>
      </c>
      <c r="AC245" s="1104">
        <f t="shared" si="270"/>
        <v>5.1999999999999998E-2</v>
      </c>
      <c r="AD245" s="1105">
        <f t="shared" si="271"/>
        <v>-3.8207812500000026E-3</v>
      </c>
      <c r="AE245" s="1128">
        <f t="shared" si="272"/>
        <v>-18.525362318840578</v>
      </c>
      <c r="AF245" s="1130">
        <f t="shared" si="273"/>
        <v>0</v>
      </c>
      <c r="AG245" s="420">
        <f t="shared" si="274"/>
        <v>0</v>
      </c>
      <c r="AH245" s="420">
        <f t="shared" si="275"/>
        <v>0</v>
      </c>
      <c r="AI245" s="1097">
        <f t="shared" si="276"/>
        <v>0</v>
      </c>
      <c r="AJ245" s="420">
        <f t="shared" si="277"/>
        <v>0</v>
      </c>
      <c r="AK245" s="518">
        <f t="shared" si="278"/>
        <v>0</v>
      </c>
      <c r="AL245" s="1106">
        <f>IF($P245="","N/A",(IF($P245=-1,INDEX('卡片raw data'!S:S,MATCH($D245,'卡片raw data'!$F:$F,)),0)+IF($P245=0,INDEX('卡片raw data'!V:V,MATCH($D245,'卡片raw data'!$F:$F,)),0)+IF($P245=1,INDEX('卡片raw data'!Y:Y,MATCH($D245,'卡片raw data'!$F:$F,)),0)+IF($P245=2,INDEX('卡片raw data'!AB:AB,MATCH($D245,'卡片raw data'!$F:$F,)),0)+IF($P245=3,INDEX('卡片raw data'!AE:AE,MATCH($D245,'卡片raw data'!$F:$F,)),0)+IF($P245=4,INDEX('卡片raw data'!AH:AH,MATCH($D245,'卡片raw data'!$F:$F,)),0)+IF($P245=5,INDEX('卡片raw data'!AK:AK,MATCH($D245,'卡片raw data'!$F:$F,)),0)+INDEX('卡片raw data'!S:S,MATCH($D245,'卡片raw data'!$F:$F,))*(IF($F245="UR",0.04,0.033))*(IF($F245="UR",INDEX(绊状态确认!$S:$S,MATCH($G245,绊状态确认!$B:$B,))/2-40)+IF($F245="SR",INDEX(绊状态确认!$R:$R,MATCH($G245,绊状态确认!$B:$B,))/4-15))+IF($F245="R",INDEX(绊状态确认!$Q:$Q,MATCH($G245,绊状态确认!$B:$B,))/6-40/6)))*(INDEX(绊状态确认!$H:$H,MATCH($G245,绊状态确认!$B:$B,))+INDEX(绊状态确认!J:J,MATCH($G245,绊状态确认!$B:$B,)))</f>
        <v>5581.4536007999995</v>
      </c>
      <c r="AM245" s="1106">
        <f>IF($P245="","N/A",(IF($P245=-1,INDEX('卡片raw data'!T:T,MATCH($D245,'卡片raw data'!$F:$F,)),0)+IF($P245=0,INDEX('卡片raw data'!W:W,MATCH($D245,'卡片raw data'!$F:$F,)),0)+IF($P245=1,INDEX('卡片raw data'!Z:Z,MATCH($D245,'卡片raw data'!$F:$F,)),0)+IF($P245=2,INDEX('卡片raw data'!AC:AC,MATCH($D245,'卡片raw data'!$F:$F,)),0)+IF($P245=3,INDEX('卡片raw data'!AF:AF,MATCH($D245,'卡片raw data'!$F:$F,)),0)+IF($P245=4,INDEX('卡片raw data'!AI:AI,MATCH($D245,'卡片raw data'!$F:$F,)),0)+IF($P245=5,INDEX('卡片raw data'!AL:AL,MATCH($D245,'卡片raw data'!$F:$F,)),0)+INDEX('卡片raw data'!T:T,MATCH($D245,'卡片raw data'!$F:$F,))*(IF($F245="UR",0.04,0.033))*(IF($F245="UR",INDEX(绊状态确认!$S:$S,MATCH($G245,绊状态确认!$B:$B,))/2-40)+IF($F245="SR",INDEX(绊状态确认!$R:$R,MATCH($G245,绊状态确认!$B:$B,))/4-15))+IF($F245="R",INDEX(绊状态确认!$Q:$Q,MATCH($G245,绊状态确认!$B:$B,))/6-40/6)))*(INDEX(绊状态确认!$H:$H,MATCH($G245,绊状态确认!$B:$B,))+INDEX(绊状态确认!K:K,MATCH($G245,绊状态确认!$B:$B,)))</f>
        <v>6730.6631015999992</v>
      </c>
      <c r="AN245" s="1106">
        <f>IF($P245="","N/A",(IF($P245=-1,INDEX('卡片raw data'!U:U,MATCH($D245,'卡片raw data'!$F:$F,)),0)+IF($P245=0,INDEX('卡片raw data'!X:X,MATCH($D245,'卡片raw data'!$F:$F,)),0)+IF($P245=1,INDEX('卡片raw data'!AA:AA,MATCH($D245,'卡片raw data'!$F:$F,)),0)+IF($P245=2,INDEX('卡片raw data'!AD:AD,MATCH($D245,'卡片raw data'!$F:$F,)),0)+IF($P245=3,INDEX('卡片raw data'!AG:AG,MATCH($D245,'卡片raw data'!$F:$F,)),0)+IF($P245=4,INDEX('卡片raw data'!AJ:AJ,MATCH($D245,'卡片raw data'!$F:$F,)),0)+IF($P245=5,INDEX('卡片raw data'!AM:AM,MATCH($D245,'卡片raw data'!$F:$F,)),0)+INDEX('卡片raw data'!U:U,MATCH($D245,'卡片raw data'!$F:$F,))*(IF($F245="UR",0.04,0.033))*(IF($F245="UR",INDEX(绊状态确认!$S:$S,MATCH($G245,绊状态确认!$B:$B,))/2-40)+IF($F245="SR",INDEX(绊状态确认!$R:$R,MATCH($G245,绊状态确认!$B:$B,))/4-15))+IF($F245="R",INDEX(绊状态确认!$Q:$Q,MATCH($G245,绊状态确认!$B:$B,))/6-40/6)))*(INDEX(绊状态确认!$H:$H,MATCH($G245,绊状态确认!$B:$B,))+INDEX(绊状态确认!L:L,MATCH($G245,绊状态确认!$B:$B,)))</f>
        <v>4104.4177007999997</v>
      </c>
      <c r="AO245" s="1107">
        <f t="shared" si="279"/>
        <v>1</v>
      </c>
      <c r="AP245" s="1131">
        <f>1+(INDEX(绊状态确认!$T:$T,MATCH($G245,绊状态确认!$B:$B,))+0.2)*$AO245</f>
        <v>1.3</v>
      </c>
      <c r="AQ245" s="1108">
        <f t="shared" si="280"/>
        <v>17901.315702099997</v>
      </c>
      <c r="AR245" s="1097">
        <f>(AM245*(1+$EX$9)+$EX$35)*(1+(INDEX(绊状态确认!$T:$T,MATCH($G245,绊状态确认!$B:$B,))+0.2)*AO245)*IF(J245=$FF$17,1+$FE$17,1)*IF(I245=$FF$14,1+$FE$14,1)</f>
        <v>11891.355133683999</v>
      </c>
      <c r="AS245" s="1097">
        <f>(AN245*(1+$EX$10)+$EX$36)*(1+(INDEX(绊状态确认!$T:$T,MATCH($G245,绊状态确认!$B:$B,))+0.2)*AO245)*IF(J245=$FF$17,1+$FE$17,1)*IF(I245=$FF$14,1+$FE$14,1)</f>
        <v>10192.104462695999</v>
      </c>
      <c r="AT245" s="1093">
        <f>IF(AND(INDEX('卡片raw data'!AK:AK,MATCH($D245,'卡片raw data'!$F:$F,))&lt;INDEX('卡片raw data'!AM:AM,MATCH($D245,'卡片raw data'!$F:$F,)),INDEX('卡片raw data'!AL:AL,MATCH($D245,'卡片raw data'!$F:$F,))&lt;INDEX('卡片raw data'!AM:AM,MATCH($D245,'卡片raw data'!$F:$F,))),1,0)</f>
        <v>0</v>
      </c>
      <c r="AU245" s="1098">
        <f>MIN(AT245*0.15+AS245*0.00003+INDEX(绊状态确认!M:M,MATCH($G245,绊状态确认!$B:$B,)),1)</f>
        <v>0.33576313388088003</v>
      </c>
      <c r="AV245" s="1109">
        <f>(INDEX(绊状态确认!$N:$N,MATCH($G245,绊状态确认!$B:$B,))+1.5)*$EW$21</f>
        <v>2.6599999999999997</v>
      </c>
      <c r="AW245" s="1101">
        <f t="shared" si="281"/>
        <v>14478.82197805587</v>
      </c>
      <c r="AX245" s="1097">
        <f t="shared" si="282"/>
        <v>1017.9439392655273</v>
      </c>
      <c r="AY245" s="1110">
        <f t="shared" si="283"/>
        <v>15496.765917321398</v>
      </c>
      <c r="AZ245" s="429">
        <f t="shared" si="284"/>
        <v>13483.834521559998</v>
      </c>
      <c r="BA245" s="431">
        <f t="shared" si="285"/>
        <v>16180.601425871997</v>
      </c>
      <c r="BB245" s="1097">
        <f>(AM245*(1+$FB$9)+$FB$35)*(1+(INDEX(绊状态确认!$T:$T,MATCH($G245,绊状态确认!$B:$B,))+0.2)*AO245)*IF(J245=$FF$17,1+$FE$17,1)*IF(I245=$FF$14,1+$FE$14,1)*(1+$FE$15)</f>
        <v>11891.355133683999</v>
      </c>
      <c r="BC245" s="1097">
        <f>(AN245*(1+$FB$10)+$FB$36)*(1+(INDEX(绊状态确认!$T:$T,MATCH($G245,绊状态确认!$B:$B,))+0.2)*AO245)*IF(J245=$FF$17,1+$FE$17,1)*IF(I245=$FF$14,1+$FE$14,1)*(1+$FE$15)</f>
        <v>10192.104462695999</v>
      </c>
      <c r="BD245" s="1104">
        <f>MIN(AT245*0.15+BC245*0.00003+INDEX(绊状态确认!M:M,MATCH($G245,绊状态确认!$B:$B,)),1)</f>
        <v>0.33576313388088003</v>
      </c>
      <c r="BE245" s="432">
        <f>(INDEX(绊状态确认!$N:$N,MATCH($G245,绊状态确认!$B:$B,))+1.5)</f>
        <v>1.9</v>
      </c>
      <c r="BF245" s="1139">
        <f t="array" ref="BF245">SUMPRODUCT(IF(AZ245*AP245*$FI$16:$FI$23*$FA$22&gt;=$FI$24,$FI$24,AZ245*AP245*$FI$16:$FI$23*$FA$22),$FJ$16:$FJ$23)</f>
        <v>26819.346863382842</v>
      </c>
      <c r="BG245" s="1125">
        <f t="array" ref="BG245">SUMPRODUCT(IF(BE245*AZ245*AP245*$FI$16:$FI$23*$FA$22&gt;=$FI$24,$FI$24,BE245*AZ245*AP245*$FI$16:$FI$23*$FA$22),$FJ$16:$FJ$23)</f>
        <v>50628.79549945928</v>
      </c>
      <c r="BH245" s="1110">
        <f t="shared" si="286"/>
        <v>11604.560651135902</v>
      </c>
      <c r="BI245" s="1111">
        <f>IF(O245="vo",$EW$26/$EW$24*0.05,0)+IF(O245="sk",-$EW$26/$EW$24*(0.05-INDEX(绊状态确认!W:W,MATCH($G245,绊状态确认!$B:$B,)))+0.05*$EW$28,0)+IF(O245="sp",0.05*$EW$32*$EW$30*(1-$EW$33)-(0.05-INDEX(绊状态确认!V:V,MATCH($G245,绊状态确认!$B:$B,)))*$EW$28,0)+IF(O245="gd",-(0.05-INDEX(绊状态确认!X:X,MATCH($G245,绊状态确认!$B:$B,)))*$EW$32*$EW$30*(1-$EW$33),0)</f>
        <v>-585.00000000000011</v>
      </c>
      <c r="BJ245" s="1097">
        <f>IF(O245="vo",0.05*(1-$FI$26)*$FA$24,0)+IF(O245="sk",-(0.05-INDEX(绊状态确认!W:W,MATCH($G245,绊状态确认!$B:$B,)))*(1-$FI$26)*$FA$24+0.05*$FA$26,0)+IF(O245="sp",0.05*$FA$32*$FA$27*(1-$FA$33)/$FA$30+0.05*$FA$29/$FA$69*$FA$27*(1-$FA$33)-(0.05-INDEX(绊状态确认!V:V,MATCH($G245,绊状态确认!$B:$B,)))*$FA$26,0)+IF(O245="gd",-(0.05-INDEX(绊状态确认!X:X,MATCH($G245,绊状态确认!$B:$B,)))*$FA$32*$FA$27*(1-$FA$33)/$FA$30-(0.05-INDEX(绊状态确认!X:X,MATCH($G245,绊状态确认!$B:$B,)))*$FA$29/$FA$69*$FA$27*(1-$FA$33),0)</f>
        <v>-795.00000000000011</v>
      </c>
      <c r="BK245" s="1110">
        <f>IF(O245="vo",$EW$26/$EW$24*0.05+$EW$26*(-HP($EW$62,$EW$65,$EW$64)+HP($EW$62,$EW$65,(1.05-INDEX(绊状态确认!U:U,MATCH($G245,绊状态确认!$B:$B,)))*$EW$64)),0)+IF(O245="sk",-$EW$26/$EW$24*(0.05-INDEX(绊状态确认!W:W,MATCH($G245,绊状态确认!$B:$B,)))+0.05*$EW$29,0)+IF(O245="sp",0.05*$EW$32*$EW$30*(1-$EW$33)-(0.05-INDEX(绊状态确认!V:V,MATCH($G245,绊状态确认!$B:$B,)))*$EW$29,0)+IF(O245="gd",-(0.05-INDEX(绊状态确认!X:X,MATCH($G245,绊状态确认!$B:$B,)))*$EW$32*$EW$30*(1-$EW$33)+$EW$26*(-HP($EW$62,$EW$65,$EW$64)+HP($EW$62,$EW$65,0.95*$EW$64)),0)</f>
        <v>1009.5947725176144</v>
      </c>
      <c r="BL245" s="1111">
        <f t="shared" si="287"/>
        <v>-1083.3333333333333</v>
      </c>
      <c r="BM245" s="1110">
        <f t="shared" si="288"/>
        <v>-830.55555555555543</v>
      </c>
      <c r="BN245" s="1113">
        <f t="shared" si="289"/>
        <v>3</v>
      </c>
      <c r="BO245" s="1097">
        <f t="shared" si="290"/>
        <v>4507.7214871259994</v>
      </c>
      <c r="BP245" s="1100">
        <f t="shared" si="291"/>
        <v>221.34103209030098</v>
      </c>
      <c r="BQ245" s="1113" t="s">
        <v>144</v>
      </c>
      <c r="BR245" s="1124" t="s">
        <v>625</v>
      </c>
      <c r="BS245" s="1098">
        <f>IF($P245="","N/A",IF($P245=-1,INDEX('卡片raw data'!AX:AX,MATCH($D245,'卡片raw data'!$F:$F,)),0)+IF($L245="party卡",IF($P245=5,INDEX('卡片raw data'!BD:BD,MATCH($D245,'卡片raw data'!$F:$F,)),IF($P245&gt;=3,INDEX('卡片raw data'!BC:BC,MATCH($D245,'卡片raw data'!$F:$F,)),INDEX('卡片raw data'!BB:BB,MATCH($D245,'卡片raw data'!$F:$F,)))),IF(OR(AND($F245="UR",$P245=0),AND($F245="SR",$P245&gt;=0,$P245&lt;=2),AND($F245="R",$P245&gt;=0,$P245&lt;4)),INDEX('卡片raw data'!AZ:AZ,MATCH($D245,'卡片raw data'!$F:$F,)),0)+IF(OR(AND($F245="UR",$P245&gt;=1,$P245&lt;=4),AND($F245="SR",$P245&lt;=4,$P245&gt;=3),AND($F245="R",$P245=4)),INDEX('卡片raw data'!BA:BA,MATCH($D245,'卡片raw data'!$F:$F,)),0)+IF($P245=5,INDEX('卡片raw data'!BB:BB,MATCH($D245,'卡片raw data'!$F:$F,)),0)))</f>
        <v>7.0000000000000007E-2</v>
      </c>
      <c r="BT245" s="1101">
        <f t="shared" si="292"/>
        <v>0</v>
      </c>
      <c r="BU245" s="1097">
        <f t="shared" si="293"/>
        <v>0</v>
      </c>
      <c r="BV245" s="1097">
        <f t="shared" si="294"/>
        <v>0</v>
      </c>
      <c r="BW245" s="1112">
        <f t="shared" si="295"/>
        <v>0.70282791644544595</v>
      </c>
      <c r="BX245" s="1100">
        <f t="shared" si="296"/>
        <v>54.799839772170706</v>
      </c>
      <c r="BY245" s="1110">
        <f t="shared" si="297"/>
        <v>54.799839772170706</v>
      </c>
      <c r="BZ245" s="1107" t="s">
        <v>569</v>
      </c>
      <c r="CA245" s="1124"/>
      <c r="CB245" s="1098">
        <f>IF($P245="","N/A",IF($P245=-1,INDEX('卡片raw data'!BE:BE,MATCH($D245,'卡片raw data'!$F:$F,)),0)+IF($L245="party卡",IF($P245=5,INDEX('卡片raw data'!BK:BK,MATCH($D245,'卡片raw data'!$F:$F,)),IF($P245&gt;=3,INDEX('卡片raw data'!BJ:BJ,MATCH($D245,'卡片raw data'!$F:$F,)),INDEX('卡片raw data'!BI:BI,MATCH($D245,'卡片raw data'!$F:$F,)))),IF(OR(AND($F245="UR",$P245=0),AND($F245="SR",$P245&gt;=0,$P245&lt;=2),AND($F245="R",$P245&gt;=0,$P245&lt;4)),INDEX('卡片raw data'!BG:BG,MATCH($D245,'卡片raw data'!$F:$F,)),0)+IF(OR(AND($F245="UR",$P245&gt;=1,$P245&lt;=4),AND($F245="SR",$P245&lt;=4,$P245&gt;=3),AND($F245="R",$P245=4)),INDEX('卡片raw data'!BH:BH,MATCH($D245,'卡片raw data'!$F:$F,)),0)+IF($P245=5,INDEX('卡片raw data'!BI:BI,MATCH($D245,'卡片raw data'!$F:$F,)),0)))</f>
        <v>0</v>
      </c>
      <c r="CC245" s="1101">
        <f t="shared" si="298"/>
        <v>0</v>
      </c>
      <c r="CD245" s="1097">
        <f>IF(BZ245="ap",CB245*(1-$FI$26)*$FB$5/$FB$11*(+IF(CA245="全员",$FA$24,0)+IF(CA245="同作战",$FA$24,0)+IF(CA245="仲间",$FA$24*2/3,0)+IF(CA245="同属性",$FA$24*$FA$37/3,0)+IF(CA245="同年级",$FA$24*$FA$40/3,0)+IF(CA245="同学校",$FA$24*$FA$43/3,0)+IF(CA245="同小队",$FA$24*$FA$46/3,0)+IF(CA245="同type",$FA$24*INDEX($FB$49:$FB$52,MATCH(X245,$FA$49:$FA$52,))/3,0)+IF(CA245="自身",#REF!/3,0)),0)+IF(BZ245="te",CB245*(1-$FI$27)*($FA$20-1)*$FB$7/$FB$13*(+IF(CA245="全员",$FA$19*$FA$24/(1+($FA$20-1)*$FA$19),0)+IF(CA245="同作战",$FA$19*$FA$24/(1+($FA$20-1)*$FA$19),0)+IF(CA245="仲间",$FA$19*$FA$24*2/3/(1+($FA$20-1)*$FA$19),0)+IF(CA245="同属性",$FA$19*$FA$24*$FA$37/3/(1+($FA$20-1)*$FA$19),0)+IF(CA245="同年级",$FA$19*$FA$24*$FA$40/3/(1+($FA$20-1)*$FA$19),0)+IF(CA245="同学校",$FA$19*$FA$24*$FA$43/3/(1+($FA$20-1)*$FA$19),0)+IF(CA245="同小队",$FA$19*$FA$24*$FA$46/3/(1+($FA$20-1)*$FA$19),0)+IF(CA245="同type",$FA$19*$FA$24*INDEX($FB$49:$FB$52,MATCH(X245,$FA$49:$FA$52,))/3/(1+($FA$20-1)*$FA$19),0)+IF(CA245="自身",$FA$19*#REF!/3/(1+(BH245-1)*$BD245),0)),0)</f>
        <v>0</v>
      </c>
      <c r="CE245" s="1097">
        <f t="shared" si="299"/>
        <v>0</v>
      </c>
      <c r="CF245" s="1112">
        <f t="shared" si="300"/>
        <v>0</v>
      </c>
      <c r="CG245" s="1100">
        <f t="shared" si="301"/>
        <v>0</v>
      </c>
      <c r="CH245" s="1110">
        <f t="shared" si="302"/>
        <v>0</v>
      </c>
      <c r="CI245" s="1113" t="s">
        <v>165</v>
      </c>
      <c r="CJ245" s="1114">
        <v>0.2</v>
      </c>
      <c r="CK245" s="1115" t="s">
        <v>637</v>
      </c>
      <c r="CL245" s="1115" t="s">
        <v>1944</v>
      </c>
      <c r="CM245" s="1119">
        <v>0.2</v>
      </c>
      <c r="CN245" s="1115"/>
      <c r="CO245" s="1092"/>
      <c r="CP245" s="1116">
        <f t="shared" si="303"/>
        <v>1.6987650190977142</v>
      </c>
      <c r="CQ245" s="1116">
        <f t="shared" si="304"/>
        <v>2.6425233630408886</v>
      </c>
      <c r="CR245" s="1116">
        <f t="shared" si="305"/>
        <v>1.6987650190977142</v>
      </c>
      <c r="CS245" s="1118">
        <f t="shared" si="306"/>
        <v>0</v>
      </c>
      <c r="CT245" s="1109">
        <f t="shared" si="307"/>
        <v>0</v>
      </c>
      <c r="CU245" s="1101">
        <f t="shared" si="308"/>
        <v>0</v>
      </c>
      <c r="CV245" s="1108">
        <f t="shared" si="309"/>
        <v>0</v>
      </c>
      <c r="CW245" s="1097">
        <f t="shared" si="310"/>
        <v>0</v>
      </c>
      <c r="CX245" s="1097">
        <f t="shared" si="311"/>
        <v>132.71827779330198</v>
      </c>
      <c r="CY245" s="1110">
        <f t="shared" si="312"/>
        <v>132.71827779330198</v>
      </c>
      <c r="CZ245" s="437"/>
      <c r="DA245" s="438"/>
      <c r="DB245" s="439" t="s">
        <v>569</v>
      </c>
      <c r="DC245" s="439"/>
      <c r="DD245" s="443"/>
      <c r="DE245" s="411"/>
      <c r="DF245" s="411"/>
      <c r="DG245" s="1116">
        <f t="shared" si="313"/>
        <v>0</v>
      </c>
      <c r="DH245" s="1116">
        <f t="shared" si="314"/>
        <v>0</v>
      </c>
      <c r="DI245" s="1116">
        <f t="shared" si="315"/>
        <v>0</v>
      </c>
      <c r="DJ245" s="442">
        <f t="shared" si="316"/>
        <v>0</v>
      </c>
      <c r="DK245" s="1109">
        <f t="shared" si="317"/>
        <v>0</v>
      </c>
      <c r="DL245" s="1101">
        <f t="shared" si="318"/>
        <v>0</v>
      </c>
      <c r="DM245" s="1097">
        <f t="shared" si="319"/>
        <v>0</v>
      </c>
      <c r="DN245" s="1097">
        <f t="shared" si="320"/>
        <v>0</v>
      </c>
      <c r="DO245" s="1097">
        <f t="shared" si="321"/>
        <v>0</v>
      </c>
      <c r="DP245" s="1110">
        <f t="shared" si="322"/>
        <v>0</v>
      </c>
      <c r="DQ245" s="1113" t="s">
        <v>556</v>
      </c>
      <c r="DR245" s="1120">
        <f t="shared" si="323"/>
        <v>0.3</v>
      </c>
      <c r="DS245" s="1124">
        <v>10</v>
      </c>
      <c r="DT245" s="1093" t="s">
        <v>161</v>
      </c>
      <c r="DU245" s="1093" t="s">
        <v>560</v>
      </c>
      <c r="DV245" s="1098">
        <f>IF($P245="","N/A",IF(P245=-1,INDEX('卡片raw data'!AN:AN,MATCH(D245,'卡片raw data'!$F:$F,)),0)+IF(AND(L245&lt;&gt;"party卡",P245&lt;=2,P245&gt;=0),INDEX('卡片raw data'!AP:AP,MATCH(D245,'卡片raw data'!$F:$F,)),0)+IF(OR(AND(L245="party卡",P245&lt;=1),AND(P245&lt;=4,L245&lt;&gt;"party卡",P245&gt;=3)),INDEX('卡片raw data'!AQ:AQ,MATCH(D245,'卡片raw data'!$F:$F,)),0)+IF(OR(P245=5,AND(L245="party卡",P245&gt;=2)),INDEX('卡片raw data'!AR:AR,MATCH(D245,'卡片raw data'!$F:$F,)),0))</f>
        <v>0.1</v>
      </c>
      <c r="DW245" s="1098">
        <f t="shared" si="324"/>
        <v>0.3</v>
      </c>
      <c r="DX245" s="1098">
        <f t="shared" si="325"/>
        <v>0.3</v>
      </c>
      <c r="DY245" s="1098">
        <f t="shared" si="326"/>
        <v>0.1</v>
      </c>
      <c r="DZ245" s="1098">
        <f t="shared" si="327"/>
        <v>8.6500000000000007E-2</v>
      </c>
      <c r="EA245" s="1098">
        <f t="shared" si="328"/>
        <v>0</v>
      </c>
      <c r="EB245" s="1121">
        <f t="shared" si="329"/>
        <v>0</v>
      </c>
      <c r="EC245" s="1101">
        <f t="shared" si="330"/>
        <v>0</v>
      </c>
      <c r="ED245" s="1097">
        <f t="shared" si="331"/>
        <v>0</v>
      </c>
      <c r="EE245" s="1110">
        <f t="shared" si="332"/>
        <v>4325.6052344862483</v>
      </c>
      <c r="EF245" s="1092" t="s">
        <v>711</v>
      </c>
      <c r="EG245" s="1120">
        <f t="shared" si="333"/>
        <v>0.3</v>
      </c>
      <c r="EH245" s="1124"/>
      <c r="EI245" s="1093"/>
      <c r="EJ245" s="1093"/>
      <c r="EK245" s="1097">
        <f>IF($P245="","N/A",IF(P245=-1,INDEX('卡片raw data'!AS:AS,MATCH(D245,'卡片raw data'!$F:$F,)),0)+IF(AND(L245&lt;&gt;"party卡",P245&lt;=2,P245&gt;=0),INDEX('卡片raw data'!AU:AU,MATCH(D245,'卡片raw data'!$F:$F,)),0)+IF(OR(AND(L245="party卡",P245&lt;=1),AND(P245&lt;=4,L245&lt;&gt;"party卡",P245&gt;=3)),INDEX('卡片raw data'!AV:AV,MATCH(D245,'卡片raw data'!$F:$F,)),0)+IF(OR(P245=5,AND(L245="party卡",P245&gt;=2)),INDEX('卡片raw data'!AW:AW,MATCH(D245,'卡片raw data'!$F:$F,)),0))</f>
        <v>0</v>
      </c>
      <c r="EL245" s="1098">
        <f t="shared" si="334"/>
        <v>0.3</v>
      </c>
      <c r="EM245" s="1098">
        <f t="shared" si="335"/>
        <v>0.3</v>
      </c>
      <c r="EN245" s="1125">
        <f t="shared" si="336"/>
        <v>0</v>
      </c>
      <c r="EO245" s="1125">
        <f t="shared" si="337"/>
        <v>0</v>
      </c>
      <c r="EP245" s="1098">
        <f t="shared" si="338"/>
        <v>0</v>
      </c>
      <c r="EQ245" s="1121">
        <f t="shared" si="339"/>
        <v>0</v>
      </c>
      <c r="ER245" s="1101">
        <f t="shared" si="340"/>
        <v>0</v>
      </c>
      <c r="ES245" s="1097">
        <f t="shared" si="341"/>
        <v>0</v>
      </c>
      <c r="ET245" s="1122">
        <f t="shared" si="342"/>
        <v>0</v>
      </c>
    </row>
    <row r="246" spans="2:150" ht="16.5" customHeight="1">
      <c r="B246" s="1123" t="str">
        <f>INDEX('卡片raw data'!B:B,MATCH($D246,'卡片raw data'!$F:$F,))</f>
        <v>乐器璃</v>
      </c>
      <c r="C246" s="449" t="s">
        <v>123</v>
      </c>
      <c r="D246" s="408">
        <v>243</v>
      </c>
      <c r="E246" s="1090">
        <v>402092002</v>
      </c>
      <c r="F246" s="1090" t="str">
        <f>INDEX('卡片raw data'!C:C,MATCH($D246,'卡片raw data'!$F:$F,))</f>
        <v>SR</v>
      </c>
      <c r="G246" s="1094" t="s">
        <v>353</v>
      </c>
      <c r="H246" s="411">
        <f>IFERROR(INDEX(绊状态确认!C:C,MATCH($G246,绊状态确认!$B:$B,)),"")</f>
        <v>209</v>
      </c>
      <c r="I246" s="450" t="str">
        <f>IFERROR(INDEX(绊状态确认!D:D,MATCH($G246,绊状态确认!$B:$B,)),"")</f>
        <v>虹</v>
      </c>
      <c r="J246" s="450" t="str">
        <f>IFERROR(INDEX(绊状态确认!E:E,MATCH($G246,绊状态确认!$B:$B,)),"")</f>
        <v>1年级</v>
      </c>
      <c r="K246" s="451" t="str">
        <f>IFERROR(INDEX(绊状态确认!F:F,MATCH($G246,绊状态确认!$B:$B,)),"")</f>
        <v>QU4RTZ</v>
      </c>
      <c r="L246" s="1094" t="str">
        <f>INDEX('卡片raw data'!E:E,MATCH($D246,'卡片raw data'!$F:$F,))</f>
        <v>活动卡</v>
      </c>
      <c r="M246" s="415">
        <v>43972</v>
      </c>
      <c r="N246" s="416">
        <v>16</v>
      </c>
      <c r="O246" s="1091" t="str">
        <f>INDEX('卡片raw data'!D:D,MATCH($D246,'卡片raw data'!$F:$F,))</f>
        <v>sk</v>
      </c>
      <c r="P246" s="417">
        <v>5</v>
      </c>
      <c r="Q246" s="1095">
        <f t="shared" si="258"/>
        <v>19273.066564707162</v>
      </c>
      <c r="R246" s="1096">
        <f t="shared" si="259"/>
        <v>0.224</v>
      </c>
      <c r="S246" s="1097">
        <f t="shared" si="260"/>
        <v>12915.243905163095</v>
      </c>
      <c r="T246" s="1098">
        <f t="shared" si="261"/>
        <v>0.64500000000000002</v>
      </c>
      <c r="U246" s="1099">
        <f t="shared" si="262"/>
        <v>10.580572639482856</v>
      </c>
      <c r="V246" s="1100">
        <f t="shared" si="263"/>
        <v>22114.68910870859</v>
      </c>
      <c r="W246" s="1101">
        <f t="shared" si="264"/>
        <v>5047.0565276649368</v>
      </c>
      <c r="X246" s="1096">
        <f t="shared" si="265"/>
        <v>5.8000000000000003E-2</v>
      </c>
      <c r="Y246" s="1097">
        <f t="shared" si="266"/>
        <v>841.62254400142683</v>
      </c>
      <c r="Z246" s="1102">
        <f t="shared" si="267"/>
        <v>10.580572639482856</v>
      </c>
      <c r="AA246" s="1103">
        <f t="shared" si="268"/>
        <v>5888.6790716663636</v>
      </c>
      <c r="AB246" s="1101">
        <f t="shared" si="269"/>
        <v>8584.3541298192358</v>
      </c>
      <c r="AC246" s="1104">
        <f t="shared" si="270"/>
        <v>9.9000000000000005E-2</v>
      </c>
      <c r="AD246" s="1105">
        <f t="shared" si="271"/>
        <v>2.6196386931818177E-2</v>
      </c>
      <c r="AE246" s="1128">
        <f t="shared" si="272"/>
        <v>7.8573940683822077</v>
      </c>
      <c r="AF246" s="1130">
        <f t="shared" si="273"/>
        <v>0</v>
      </c>
      <c r="AG246" s="420">
        <f t="shared" si="274"/>
        <v>0</v>
      </c>
      <c r="AH246" s="420">
        <f t="shared" si="275"/>
        <v>0</v>
      </c>
      <c r="AI246" s="1097">
        <f t="shared" si="276"/>
        <v>0</v>
      </c>
      <c r="AJ246" s="420">
        <f t="shared" si="277"/>
        <v>0</v>
      </c>
      <c r="AK246" s="518">
        <f t="shared" si="278"/>
        <v>0</v>
      </c>
      <c r="AL246" s="1106">
        <f>IF($P246="","N/A",(IF($P246=-1,INDEX('卡片raw data'!S:S,MATCH($D246,'卡片raw data'!$F:$F,)),0)+IF($P246=0,INDEX('卡片raw data'!V:V,MATCH($D246,'卡片raw data'!$F:$F,)),0)+IF($P246=1,INDEX('卡片raw data'!Y:Y,MATCH($D246,'卡片raw data'!$F:$F,)),0)+IF($P246=2,INDEX('卡片raw data'!AB:AB,MATCH($D246,'卡片raw data'!$F:$F,)),0)+IF($P246=3,INDEX('卡片raw data'!AE:AE,MATCH($D246,'卡片raw data'!$F:$F,)),0)+IF($P246=4,INDEX('卡片raw data'!AH:AH,MATCH($D246,'卡片raw data'!$F:$F,)),0)+IF($P246=5,INDEX('卡片raw data'!AK:AK,MATCH($D246,'卡片raw data'!$F:$F,)),0)+INDEX('卡片raw data'!S:S,MATCH($D246,'卡片raw data'!$F:$F,))*(IF($F246="UR",0.04,0.033))*(IF($F246="UR",INDEX(绊状态确认!$S:$S,MATCH($G246,绊状态确认!$B:$B,))/2-40)+IF($F246="SR",INDEX(绊状态确认!$R:$R,MATCH($G246,绊状态确认!$B:$B,))/4-15))+IF($F246="R",INDEX(绊状态确认!$Q:$Q,MATCH($G246,绊状态确认!$B:$B,))/6-40/6)))*(INDEX(绊状态确认!$H:$H,MATCH($G246,绊状态确认!$B:$B,))+INDEX(绊状态确认!J:J,MATCH($G246,绊状态确认!$B:$B,)))</f>
        <v>5253.6272015999994</v>
      </c>
      <c r="AM246" s="1106">
        <f>IF($P246="","N/A",(IF($P246=-1,INDEX('卡片raw data'!T:T,MATCH($D246,'卡片raw data'!$F:$F,)),0)+IF($P246=0,INDEX('卡片raw data'!W:W,MATCH($D246,'卡片raw data'!$F:$F,)),0)+IF($P246=1,INDEX('卡片raw data'!Z:Z,MATCH($D246,'卡片raw data'!$F:$F,)),0)+IF($P246=2,INDEX('卡片raw data'!AC:AC,MATCH($D246,'卡片raw data'!$F:$F,)),0)+IF($P246=3,INDEX('卡片raw data'!AF:AF,MATCH($D246,'卡片raw data'!$F:$F,)),0)+IF($P246=4,INDEX('卡片raw data'!AI:AI,MATCH($D246,'卡片raw data'!$F:$F,)),0)+IF($P246=5,INDEX('卡片raw data'!AL:AL,MATCH($D246,'卡片raw data'!$F:$F,)),0)+INDEX('卡片raw data'!T:T,MATCH($D246,'卡片raw data'!$F:$F,))*(IF($F246="UR",0.04,0.033))*(IF($F246="UR",INDEX(绊状态确认!$S:$S,MATCH($G246,绊状态确认!$B:$B,))/2-40)+IF($F246="SR",INDEX(绊状态确认!$R:$R,MATCH($G246,绊状态确认!$B:$B,))/4-15))+IF($F246="R",INDEX(绊状态确认!$Q:$Q,MATCH($G246,绊状态确认!$B:$B,))/6-40/6)))*(INDEX(绊状态确认!$H:$H,MATCH($G246,绊状态确认!$B:$B,))+INDEX(绊状态确认!K:K,MATCH($G246,绊状态确认!$B:$B,)))</f>
        <v>5253.6272015999994</v>
      </c>
      <c r="AN246" s="1106">
        <f>IF($P246="","N/A",(IF($P246=-1,INDEX('卡片raw data'!U:U,MATCH($D246,'卡片raw data'!$F:$F,)),0)+IF($P246=0,INDEX('卡片raw data'!X:X,MATCH($D246,'卡片raw data'!$F:$F,)),0)+IF($P246=1,INDEX('卡片raw data'!AA:AA,MATCH($D246,'卡片raw data'!$F:$F,)),0)+IF($P246=2,INDEX('卡片raw data'!AD:AD,MATCH($D246,'卡片raw data'!$F:$F,)),0)+IF($P246=3,INDEX('卡片raw data'!AG:AG,MATCH($D246,'卡片raw data'!$F:$F,)),0)+IF($P246=4,INDEX('卡片raw data'!AJ:AJ,MATCH($D246,'卡片raw data'!$F:$F,)),0)+IF($P246=5,INDEX('卡片raw data'!AM:AM,MATCH($D246,'卡片raw data'!$F:$F,)),0)+INDEX('卡片raw data'!U:U,MATCH($D246,'卡片raw data'!$F:$F,))*(IF($F246="UR",0.04,0.033))*(IF($F246="UR",INDEX(绊状态确认!$S:$S,MATCH($G246,绊状态确认!$B:$B,))/2-40)+IF($F246="SR",INDEX(绊状态确认!$R:$R,MATCH($G246,绊状态确认!$B:$B,))/4-15))+IF($F246="R",INDEX(绊状态确认!$Q:$Q,MATCH($G246,绊状态确认!$B:$B,))/6-40/6)))*(INDEX(绊状态确认!$H:$H,MATCH($G246,绊状态确认!$B:$B,))+INDEX(绊状态确认!L:L,MATCH($G246,绊状态确认!$B:$B,)))</f>
        <v>5911.6278023999994</v>
      </c>
      <c r="AO246" s="1107">
        <f t="shared" si="279"/>
        <v>1</v>
      </c>
      <c r="AP246" s="1131">
        <f>1+(INDEX(绊状态确认!$T:$T,MATCH($G246,绊状态确认!$B:$B,))+0.2)*$AO246</f>
        <v>1.3</v>
      </c>
      <c r="AQ246" s="1108">
        <f t="shared" si="280"/>
        <v>17040.771404200001</v>
      </c>
      <c r="AR246" s="1097">
        <f>(AM246*(1+$EX$9)+$EX$35)*(1+(INDEX(绊状态确认!$T:$T,MATCH($G246,绊状态确认!$B:$B,))+0.2)*AO246)*IF(J246=$FF$17,1+$FE$17,1)*IF(I246=$FF$14,1+$FE$14,1)</f>
        <v>9875.2011301839993</v>
      </c>
      <c r="AS246" s="1097">
        <f>(AN246*(1+$EX$10)+$EX$36)*(1+(INDEX(绊状态确认!$T:$T,MATCH($G246,绊状态确认!$B:$B,))+0.2)*AO246)*IF(J246=$FF$17,1+$FE$17,1)*IF(I246=$FF$14,1+$FE$14,1)</f>
        <v>12893.883564588001</v>
      </c>
      <c r="AT246" s="1093">
        <f>IF(AND(INDEX('卡片raw data'!AK:AK,MATCH($D246,'卡片raw data'!$F:$F,))&lt;INDEX('卡片raw data'!AM:AM,MATCH($D246,'卡片raw data'!$F:$F,)),INDEX('卡片raw data'!AL:AL,MATCH($D246,'卡片raw data'!$F:$F,))&lt;INDEX('卡片raw data'!AM:AM,MATCH($D246,'卡片raw data'!$F:$F,))),1,0)</f>
        <v>1</v>
      </c>
      <c r="AU246" s="1098">
        <f>MIN(AT246*0.15+AS246*0.00003+INDEX(绊状态确认!M:M,MATCH($G246,绊状态确认!$B:$B,)),1)</f>
        <v>0.56681650693764007</v>
      </c>
      <c r="AV246" s="1109">
        <f>(INDEX(绊状态确认!$N:$N,MATCH($G246,绊状态确认!$B:$B,))+1.5)*$EW$21</f>
        <v>2.6599999999999997</v>
      </c>
      <c r="AW246" s="1101">
        <f t="shared" si="281"/>
        <v>17177.233554706345</v>
      </c>
      <c r="AX246" s="1097">
        <f t="shared" si="282"/>
        <v>841.62254400142695</v>
      </c>
      <c r="AY246" s="1110">
        <f t="shared" si="283"/>
        <v>18018.856098707773</v>
      </c>
      <c r="AZ246" s="429">
        <f t="shared" si="284"/>
        <v>12844.573043119999</v>
      </c>
      <c r="BA246" s="431">
        <f t="shared" si="285"/>
        <v>15413.487651743999</v>
      </c>
      <c r="BB246" s="1097">
        <f>(AM246*(1+$FB$9)+$FB$35)*(1+(INDEX(绊状态确认!$T:$T,MATCH($G246,绊状态确认!$B:$B,))+0.2)*AO246)*IF(J246=$FF$17,1+$FE$17,1)*IF(I246=$FF$14,1+$FE$14,1)*(1+$FE$15)</f>
        <v>9875.2011301839993</v>
      </c>
      <c r="BC246" s="1097">
        <f>(AN246*(1+$FB$10)+$FB$36)*(1+(INDEX(绊状态确认!$T:$T,MATCH($G246,绊状态确认!$B:$B,))+0.2)*AO246)*IF(J246=$FF$17,1+$FE$17,1)*IF(I246=$FF$14,1+$FE$14,1)*(1+$FE$15)</f>
        <v>12893.883564588001</v>
      </c>
      <c r="BD246" s="1104">
        <f>MIN(AT246*0.15+BC246*0.00003+INDEX(绊状态确认!M:M,MATCH($G246,绊状态确认!$B:$B,)),1)</f>
        <v>0.56681650693764007</v>
      </c>
      <c r="BE246" s="432">
        <f>(INDEX(绊状态确认!$N:$N,MATCH($G246,绊状态确认!$B:$B,))+1.5)</f>
        <v>1.9</v>
      </c>
      <c r="BF246" s="1139">
        <f t="array" ref="BF246">SUMPRODUCT(IF(AZ246*AP246*$FI$16:$FI$23*$FA$22&gt;=$FI$24,$FI$24,AZ246*AP246*$FI$16:$FI$23*$FA$22),$FJ$16:$FJ$23)</f>
        <v>25547.855782765677</v>
      </c>
      <c r="BG246" s="1125">
        <f t="array" ref="BG246">SUMPRODUCT(IF(BE246*AZ246*AP246*$FI$16:$FI$23*$FA$22&gt;=$FI$24,$FI$24,BE246*AZ246*AP246*$FI$16:$FI$23*$FA$22),$FJ$16:$FJ$23)</f>
        <v>48512.967858118573</v>
      </c>
      <c r="BH246" s="1110">
        <f t="shared" si="286"/>
        <v>12854.953463582875</v>
      </c>
      <c r="BI246" s="1111">
        <f>IF(O246="vo",$EW$26/$EW$24*0.05,0)+IF(O246="sk",-$EW$26/$EW$24*(0.05-INDEX(绊状态确认!W:W,MATCH($G246,绊状态确认!$B:$B,)))+0.05*$EW$28,0)+IF(O246="sp",0.05*$EW$32*$EW$30*(1-$EW$33)-(0.05-INDEX(绊状态确认!V:V,MATCH($G246,绊状态确认!$B:$B,)))*$EW$28,0)+IF(O246="gd",-(0.05-INDEX(绊状态确认!X:X,MATCH($G246,绊状态确认!$B:$B,)))*$EW$32*$EW$30*(1-$EW$33),0)</f>
        <v>-6253.6726349699375</v>
      </c>
      <c r="BJ246" s="1097">
        <f>IF(O246="vo",0.05*(1-$FI$26)*$FA$24,0)+IF(O246="sk",-(0.05-INDEX(绊状态确认!W:W,MATCH($G246,绊状态确认!$B:$B,)))*(1-$FI$26)*$FA$24+0.05*$FA$26,0)+IF(O246="sp",0.05*$FA$32*$FA$27*(1-$FA$33)/$FA$30+0.05*$FA$29/$FA$69*$FA$27*(1-$FA$33)-(0.05-INDEX(绊状态确认!V:V,MATCH($G246,绊状态确认!$B:$B,)))*$FA$26,0)+IF(O246="gd",-(0.05-INDEX(绊状态确认!X:X,MATCH($G246,绊状态确认!$B:$B,)))*$FA$32*$FA$27*(1-$FA$33)/$FA$30-(0.05-INDEX(绊状态确认!X:X,MATCH($G246,绊状态确认!$B:$B,)))*$FA$29/$FA$69*$FA$27*(1-$FA$33),0)</f>
        <v>20.459096812499922</v>
      </c>
      <c r="BK246" s="1110">
        <f>IF(O246="vo",$EW$26/$EW$24*0.05+$EW$26*(-HP($EW$62,$EW$65,$EW$64)+HP($EW$62,$EW$65,(1.05-INDEX(绊状态确认!U:U,MATCH($G246,绊状态确认!$B:$B,)))*$EW$64)),0)+IF(O246="sk",-$EW$26/$EW$24*(0.05-INDEX(绊状态确认!W:W,MATCH($G246,绊状态确认!$B:$B,)))+0.05*$EW$29,0)+IF(O246="sp",0.05*$EW$32*$EW$30*(1-$EW$33)-(0.05-INDEX(绊状态确认!V:V,MATCH($G246,绊状态确认!$B:$B,)))*$EW$29,0)+IF(O246="gd",-(0.05-INDEX(绊状态确认!X:X,MATCH($G246,绊状态确认!$B:$B,)))*$EW$32*$EW$30*(1-$EW$33)+$EW$26*(-HP($EW$62,$EW$65,$EW$64)+HP($EW$62,$EW$65,0.95*$EW$64)),0)</f>
        <v>-4253.6726349699375</v>
      </c>
      <c r="BL246" s="1111">
        <f t="shared" si="287"/>
        <v>-1083.3333333333333</v>
      </c>
      <c r="BM246" s="1110">
        <f t="shared" si="288"/>
        <v>-830.55555555555543</v>
      </c>
      <c r="BN246" s="1113">
        <f t="shared" si="289"/>
        <v>3</v>
      </c>
      <c r="BO246" s="1097">
        <f t="shared" si="290"/>
        <v>4507.7214871259994</v>
      </c>
      <c r="BP246" s="1100">
        <f t="shared" si="291"/>
        <v>221.34103209030098</v>
      </c>
      <c r="BQ246" s="1113" t="s">
        <v>145</v>
      </c>
      <c r="BR246" s="1124" t="s">
        <v>146</v>
      </c>
      <c r="BS246" s="1098">
        <f>IF($P246="","N/A",IF($P246=-1,INDEX('卡片raw data'!AX:AX,MATCH($D246,'卡片raw data'!$F:$F,)),0)+IF($L246="party卡",IF($P246=5,INDEX('卡片raw data'!BD:BD,MATCH($D246,'卡片raw data'!$F:$F,)),IF($P246&gt;=3,INDEX('卡片raw data'!BC:BC,MATCH($D246,'卡片raw data'!$F:$F,)),INDEX('卡片raw data'!BB:BB,MATCH($D246,'卡片raw data'!$F:$F,)))),IF(OR(AND($F246="UR",$P246=0),AND($F246="SR",$P246&gt;=0,$P246&lt;=2),AND($F246="R",$P246&gt;=0,$P246&lt;4)),INDEX('卡片raw data'!AZ:AZ,MATCH($D246,'卡片raw data'!$F:$F,)),0)+IF(OR(AND($F246="UR",$P246&gt;=1,$P246&lt;=4),AND($F246="SR",$P246&lt;=4,$P246&gt;=3),AND($F246="R",$P246=4)),INDEX('卡片raw data'!BA:BA,MATCH($D246,'卡片raw data'!$F:$F,)),0)+IF($P246=5,INDEX('卡片raw data'!BB:BB,MATCH($D246,'卡片raw data'!$F:$F,)),0)))</f>
        <v>0.05</v>
      </c>
      <c r="BT246" s="1101">
        <f t="shared" si="292"/>
        <v>3537.2976021542986</v>
      </c>
      <c r="BU246" s="1097">
        <f t="shared" si="293"/>
        <v>255.86405005115788</v>
      </c>
      <c r="BV246" s="1097">
        <f t="shared" si="294"/>
        <v>0</v>
      </c>
      <c r="BW246" s="1112">
        <f t="shared" si="295"/>
        <v>0</v>
      </c>
      <c r="BX246" s="1100">
        <f t="shared" si="296"/>
        <v>3537.2976021542986</v>
      </c>
      <c r="BY246" s="1110">
        <f t="shared" si="297"/>
        <v>0</v>
      </c>
      <c r="BZ246" s="1107" t="s">
        <v>569</v>
      </c>
      <c r="CA246" s="1124"/>
      <c r="CB246" s="1098">
        <f>IF($P246="","N/A",IF($P246=-1,INDEX('卡片raw data'!BE:BE,MATCH($D246,'卡片raw data'!$F:$F,)),0)+IF($L246="party卡",IF($P246=5,INDEX('卡片raw data'!BK:BK,MATCH($D246,'卡片raw data'!$F:$F,)),IF($P246&gt;=3,INDEX('卡片raw data'!BJ:BJ,MATCH($D246,'卡片raw data'!$F:$F,)),INDEX('卡片raw data'!BI:BI,MATCH($D246,'卡片raw data'!$F:$F,)))),IF(OR(AND($F246="UR",$P246=0),AND($F246="SR",$P246&gt;=0,$P246&lt;=2),AND($F246="R",$P246&gt;=0,$P246&lt;4)),INDEX('卡片raw data'!BG:BG,MATCH($D246,'卡片raw data'!$F:$F,)),0)+IF(OR(AND($F246="UR",$P246&gt;=1,$P246&lt;=4),AND($F246="SR",$P246&lt;=4,$P246&gt;=3),AND($F246="R",$P246=4)),INDEX('卡片raw data'!BH:BH,MATCH($D246,'卡片raw data'!$F:$F,)),0)+IF($P246=5,INDEX('卡片raw data'!BI:BI,MATCH($D246,'卡片raw data'!$F:$F,)),0)))</f>
        <v>0</v>
      </c>
      <c r="CC246" s="1101">
        <f t="shared" si="298"/>
        <v>0</v>
      </c>
      <c r="CD246" s="1097">
        <f>IF(BZ246="ap",CB246*(1-$FI$26)*$FB$5/$FB$11*(+IF(CA246="全员",$FA$24,0)+IF(CA246="同作战",$FA$24,0)+IF(CA246="仲间",$FA$24*2/3,0)+IF(CA246="同属性",$FA$24*$FA$37/3,0)+IF(CA246="同年级",$FA$24*$FA$40/3,0)+IF(CA246="同学校",$FA$24*$FA$43/3,0)+IF(CA246="同小队",$FA$24*$FA$46/3,0)+IF(CA246="同type",$FA$24*INDEX($FB$49:$FB$52,MATCH(X246,$FA$49:$FA$52,))/3,0)+IF(CA246="自身",#REF!/3,0)),0)+IF(BZ246="te",CB246*(1-$FI$27)*($FA$20-1)*$FB$7/$FB$13*(+IF(CA246="全员",$FA$19*$FA$24/(1+($FA$20-1)*$FA$19),0)+IF(CA246="同作战",$FA$19*$FA$24/(1+($FA$20-1)*$FA$19),0)+IF(CA246="仲间",$FA$19*$FA$24*2/3/(1+($FA$20-1)*$FA$19),0)+IF(CA246="同属性",$FA$19*$FA$24*$FA$37/3/(1+($FA$20-1)*$FA$19),0)+IF(CA246="同年级",$FA$19*$FA$24*$FA$40/3/(1+($FA$20-1)*$FA$19),0)+IF(CA246="同学校",$FA$19*$FA$24*$FA$43/3/(1+($FA$20-1)*$FA$19),0)+IF(CA246="同小队",$FA$19*$FA$24*$FA$46/3/(1+($FA$20-1)*$FA$19),0)+IF(CA246="同type",$FA$19*$FA$24*INDEX($FB$49:$FB$52,MATCH(X246,$FA$49:$FA$52,))/3/(1+($FA$20-1)*$FA$19),0)+IF(CA246="自身",$FA$19*#REF!/3/(1+(BH246-1)*$BD246),0)),0)</f>
        <v>0</v>
      </c>
      <c r="CE246" s="1097">
        <f t="shared" si="299"/>
        <v>0</v>
      </c>
      <c r="CF246" s="1112">
        <f t="shared" si="300"/>
        <v>0</v>
      </c>
      <c r="CG246" s="1100">
        <f t="shared" si="301"/>
        <v>0</v>
      </c>
      <c r="CH246" s="1110">
        <f t="shared" si="302"/>
        <v>0</v>
      </c>
      <c r="CI246" s="1113" t="s">
        <v>165</v>
      </c>
      <c r="CJ246" s="1114">
        <v>0.3</v>
      </c>
      <c r="CK246" s="1115" t="s">
        <v>551</v>
      </c>
      <c r="CL246" s="1115" t="s">
        <v>161</v>
      </c>
      <c r="CM246" s="1119">
        <v>0.03</v>
      </c>
      <c r="CN246" s="1115" t="s">
        <v>588</v>
      </c>
      <c r="CO246" s="1092"/>
      <c r="CP246" s="1118">
        <f t="shared" si="303"/>
        <v>8.9999999999999993E-3</v>
      </c>
      <c r="CQ246" s="1118">
        <f t="shared" si="304"/>
        <v>8.9999999999999993E-3</v>
      </c>
      <c r="CR246" s="1118">
        <f t="shared" si="305"/>
        <v>8.9999999999999993E-3</v>
      </c>
      <c r="CS246" s="1118">
        <f t="shared" si="306"/>
        <v>0</v>
      </c>
      <c r="CT246" s="1109">
        <f t="shared" si="307"/>
        <v>0</v>
      </c>
      <c r="CU246" s="1101">
        <f t="shared" si="308"/>
        <v>539.33504053893762</v>
      </c>
      <c r="CV246" s="1108">
        <f t="shared" si="309"/>
        <v>0</v>
      </c>
      <c r="CW246" s="1097">
        <f t="shared" si="310"/>
        <v>539.33504053893762</v>
      </c>
      <c r="CX246" s="1097">
        <f t="shared" si="311"/>
        <v>539.33504053893762</v>
      </c>
      <c r="CY246" s="1110">
        <f t="shared" si="312"/>
        <v>539.33504053893762</v>
      </c>
      <c r="CZ246" s="437"/>
      <c r="DA246" s="438"/>
      <c r="DB246" s="439" t="s">
        <v>569</v>
      </c>
      <c r="DC246" s="439"/>
      <c r="DD246" s="443"/>
      <c r="DE246" s="411"/>
      <c r="DF246" s="411"/>
      <c r="DG246" s="1116">
        <f t="shared" si="313"/>
        <v>0</v>
      </c>
      <c r="DH246" s="1116">
        <f t="shared" si="314"/>
        <v>0</v>
      </c>
      <c r="DI246" s="1116">
        <f t="shared" si="315"/>
        <v>0</v>
      </c>
      <c r="DJ246" s="442">
        <f t="shared" si="316"/>
        <v>0</v>
      </c>
      <c r="DK246" s="1109">
        <f t="shared" si="317"/>
        <v>0</v>
      </c>
      <c r="DL246" s="1101">
        <f t="shared" si="318"/>
        <v>0</v>
      </c>
      <c r="DM246" s="1097">
        <f t="shared" si="319"/>
        <v>0</v>
      </c>
      <c r="DN246" s="1097">
        <f t="shared" si="320"/>
        <v>0</v>
      </c>
      <c r="DO246" s="1097">
        <f t="shared" si="321"/>
        <v>0</v>
      </c>
      <c r="DP246" s="1110">
        <f t="shared" si="322"/>
        <v>0</v>
      </c>
      <c r="DQ246" s="1113" t="s">
        <v>561</v>
      </c>
      <c r="DR246" s="1120">
        <f t="shared" si="323"/>
        <v>0.3</v>
      </c>
      <c r="DS246" s="1124">
        <v>5</v>
      </c>
      <c r="DT246" s="1093" t="s">
        <v>168</v>
      </c>
      <c r="DU246" s="1093" t="s">
        <v>560</v>
      </c>
      <c r="DV246" s="1098">
        <f>IF($P246="","N/A",IF(P246=-1,INDEX('卡片raw data'!AN:AN,MATCH(D246,'卡片raw data'!$F:$F,)),0)+IF(AND(L246&lt;&gt;"party卡",P246&lt;=2,P246&gt;=0),INDEX('卡片raw data'!AP:AP,MATCH(D246,'卡片raw data'!$F:$F,)),0)+IF(OR(AND(L246="party卡",P246&lt;=1),AND(P246&lt;=4,L246&lt;&gt;"party卡",P246&gt;=3)),INDEX('卡片raw data'!AQ:AQ,MATCH(D246,'卡片raw data'!$F:$F,)),0)+IF(OR(P246=5,AND(L246="party卡",P246&gt;=2)),INDEX('卡片raw data'!AR:AR,MATCH(D246,'卡片raw data'!$F:$F,)),0))</f>
        <v>0.04</v>
      </c>
      <c r="DW246" s="1098">
        <f t="shared" si="324"/>
        <v>0.3</v>
      </c>
      <c r="DX246" s="1098">
        <f t="shared" si="325"/>
        <v>0.3</v>
      </c>
      <c r="DY246" s="1098">
        <f t="shared" si="326"/>
        <v>0.02</v>
      </c>
      <c r="DZ246" s="1098">
        <f t="shared" si="327"/>
        <v>1.7299999999999999E-2</v>
      </c>
      <c r="EA246" s="1098">
        <f t="shared" si="328"/>
        <v>7.2021624999999987E-3</v>
      </c>
      <c r="EB246" s="1121">
        <f t="shared" si="329"/>
        <v>0</v>
      </c>
      <c r="EC246" s="1101">
        <f t="shared" si="330"/>
        <v>848.4848484848485</v>
      </c>
      <c r="ED246" s="1097">
        <f t="shared" si="331"/>
        <v>393.18181818181819</v>
      </c>
      <c r="EE246" s="1110">
        <f t="shared" si="332"/>
        <v>848.4848484848485</v>
      </c>
      <c r="EF246" s="1092" t="s">
        <v>711</v>
      </c>
      <c r="EG246" s="1120">
        <f t="shared" si="333"/>
        <v>0.3</v>
      </c>
      <c r="EH246" s="1124"/>
      <c r="EI246" s="1093"/>
      <c r="EJ246" s="1093"/>
      <c r="EK246" s="1097">
        <f>IF($P246="","N/A",IF(P246=-1,INDEX('卡片raw data'!AS:AS,MATCH(D246,'卡片raw data'!$F:$F,)),0)+IF(AND(L246&lt;&gt;"party卡",P246&lt;=2,P246&gt;=0),INDEX('卡片raw data'!AU:AU,MATCH(D246,'卡片raw data'!$F:$F,)),0)+IF(OR(AND(L246="party卡",P246&lt;=1),AND(P246&lt;=4,L246&lt;&gt;"party卡",P246&gt;=3)),INDEX('卡片raw data'!AV:AV,MATCH(D246,'卡片raw data'!$F:$F,)),0)+IF(OR(P246=5,AND(L246="party卡",P246&gt;=2)),INDEX('卡片raw data'!AW:AW,MATCH(D246,'卡片raw data'!$F:$F,)),0))</f>
        <v>0</v>
      </c>
      <c r="EL246" s="1098">
        <f t="shared" si="334"/>
        <v>0.3</v>
      </c>
      <c r="EM246" s="1098">
        <f t="shared" si="335"/>
        <v>0.3</v>
      </c>
      <c r="EN246" s="1125">
        <f t="shared" si="336"/>
        <v>0</v>
      </c>
      <c r="EO246" s="1125">
        <f t="shared" si="337"/>
        <v>0</v>
      </c>
      <c r="EP246" s="1098">
        <f t="shared" si="338"/>
        <v>0</v>
      </c>
      <c r="EQ246" s="1121">
        <f t="shared" si="339"/>
        <v>0</v>
      </c>
      <c r="ER246" s="1101">
        <f t="shared" si="340"/>
        <v>0</v>
      </c>
      <c r="ES246" s="1097">
        <f t="shared" si="341"/>
        <v>0</v>
      </c>
      <c r="ET246" s="1122">
        <f t="shared" si="342"/>
        <v>0</v>
      </c>
    </row>
    <row r="247" spans="2:150" ht="16.5" customHeight="1">
      <c r="B247" s="1123" t="str">
        <f>INDEX('卡片raw data'!B:B,MATCH($D247,'卡片raw data'!$F:$F,))</f>
        <v>fes1爱</v>
      </c>
      <c r="C247" s="449" t="s">
        <v>66</v>
      </c>
      <c r="D247" s="408">
        <v>244</v>
      </c>
      <c r="E247" s="1090">
        <v>202053001</v>
      </c>
      <c r="F247" s="1090" t="str">
        <f>INDEX('卡片raw data'!C:C,MATCH($D247,'卡片raw data'!$F:$F,))</f>
        <v>UR</v>
      </c>
      <c r="G247" s="1094" t="s">
        <v>47</v>
      </c>
      <c r="H247" s="411">
        <f>IFERROR(INDEX(绊状态确认!C:C,MATCH($G247,绊状态确认!$B:$B,)),"")</f>
        <v>205</v>
      </c>
      <c r="I247" s="450" t="str">
        <f>IFERROR(INDEX(绊状态确认!D:D,MATCH($G247,绊状态确认!$B:$B,)),"")</f>
        <v>虹</v>
      </c>
      <c r="J247" s="450" t="str">
        <f>IFERROR(INDEX(绊状态确认!E:E,MATCH($G247,绊状态确认!$B:$B,)),"")</f>
        <v>2年级</v>
      </c>
      <c r="K247" s="451" t="str">
        <f>IFERROR(INDEX(绊状态确认!F:F,MATCH($G247,绊状态确认!$B:$B,)),"")</f>
        <v>Diver Diva</v>
      </c>
      <c r="L247" s="1094" t="str">
        <f>INDEX('卡片raw data'!E:E,MATCH($D247,'卡片raw data'!$F:$F,))</f>
        <v>fes卡</v>
      </c>
      <c r="M247" s="415">
        <v>43980</v>
      </c>
      <c r="N247" s="416">
        <v>16.5</v>
      </c>
      <c r="O247" s="1091" t="str">
        <f>INDEX('卡片raw data'!D:D,MATCH($D247,'卡片raw data'!$F:$F,))</f>
        <v>vo</v>
      </c>
      <c r="P247" s="417">
        <v>5</v>
      </c>
      <c r="Q247" s="1095">
        <f t="shared" si="258"/>
        <v>72290.965251508154</v>
      </c>
      <c r="R247" s="1096">
        <f t="shared" si="259"/>
        <v>0.84</v>
      </c>
      <c r="S247" s="1097">
        <f t="shared" si="260"/>
        <v>20936.533077233958</v>
      </c>
      <c r="T247" s="1098">
        <f t="shared" si="261"/>
        <v>1.046</v>
      </c>
      <c r="U247" s="1099">
        <f t="shared" si="262"/>
        <v>-11.399939660457143</v>
      </c>
      <c r="V247" s="1100">
        <f t="shared" si="263"/>
        <v>72074.817556668073</v>
      </c>
      <c r="W247" s="1101">
        <f t="shared" si="264"/>
        <v>7511.643832027984</v>
      </c>
      <c r="X247" s="1096">
        <f t="shared" si="265"/>
        <v>8.6999999999999994E-2</v>
      </c>
      <c r="Y247" s="1097">
        <f t="shared" si="266"/>
        <v>1088.5207554016279</v>
      </c>
      <c r="Z247" s="1102">
        <f t="shared" si="267"/>
        <v>13.600060339542857</v>
      </c>
      <c r="AA247" s="1103">
        <f t="shared" si="268"/>
        <v>8600.1645874296119</v>
      </c>
      <c r="AB247" s="1101">
        <f t="shared" si="269"/>
        <v>9012.9923478879682</v>
      </c>
      <c r="AC247" s="1104">
        <f t="shared" si="270"/>
        <v>0.104</v>
      </c>
      <c r="AD247" s="1105">
        <f t="shared" si="271"/>
        <v>0</v>
      </c>
      <c r="AE247" s="1128">
        <f t="shared" si="272"/>
        <v>0</v>
      </c>
      <c r="AF247" s="1130">
        <f t="shared" si="273"/>
        <v>0</v>
      </c>
      <c r="AG247" s="420">
        <f t="shared" si="274"/>
        <v>0</v>
      </c>
      <c r="AH247" s="420">
        <f t="shared" si="275"/>
        <v>0</v>
      </c>
      <c r="AI247" s="1097">
        <f t="shared" si="276"/>
        <v>0</v>
      </c>
      <c r="AJ247" s="420">
        <f t="shared" si="277"/>
        <v>0</v>
      </c>
      <c r="AK247" s="518">
        <f t="shared" si="278"/>
        <v>0</v>
      </c>
      <c r="AL247" s="1106">
        <f>IF($P247="","N/A",(IF($P247=-1,INDEX('卡片raw data'!S:S,MATCH($D247,'卡片raw data'!$F:$F,)),0)+IF($P247=0,INDEX('卡片raw data'!V:V,MATCH($D247,'卡片raw data'!$F:$F,)),0)+IF($P247=1,INDEX('卡片raw data'!Y:Y,MATCH($D247,'卡片raw data'!$F:$F,)),0)+IF($P247=2,INDEX('卡片raw data'!AB:AB,MATCH($D247,'卡片raw data'!$F:$F,)),0)+IF($P247=3,INDEX('卡片raw data'!AE:AE,MATCH($D247,'卡片raw data'!$F:$F,)),0)+IF($P247=4,INDEX('卡片raw data'!AH:AH,MATCH($D247,'卡片raw data'!$F:$F,)),0)+IF($P247=5,INDEX('卡片raw data'!AK:AK,MATCH($D247,'卡片raw data'!$F:$F,)),0)+INDEX('卡片raw data'!S:S,MATCH($D247,'卡片raw data'!$F:$F,))*(IF($F247="UR",0.04,0.033))*(IF($F247="UR",INDEX(绊状态确认!$S:$S,MATCH($G247,绊状态确认!$B:$B,))/2-40)+IF($F247="SR",INDEX(绊状态确认!$R:$R,MATCH($G247,绊状态确认!$B:$B,))/4-15))+IF($F247="R",INDEX(绊状态确认!$Q:$Q,MATCH($G247,绊状态确认!$B:$B,))/6-40/6)))*(INDEX(绊状态确认!$H:$H,MATCH($G247,绊状态确认!$B:$B,))+INDEX(绊状态确认!J:J,MATCH($G247,绊状态确认!$B:$B,)))</f>
        <v>15339.809039999998</v>
      </c>
      <c r="AM247" s="1106">
        <f>IF($P247="","N/A",(IF($P247=-1,INDEX('卡片raw data'!T:T,MATCH($D247,'卡片raw data'!$F:$F,)),0)+IF($P247=0,INDEX('卡片raw data'!W:W,MATCH($D247,'卡片raw data'!$F:$F,)),0)+IF($P247=1,INDEX('卡片raw data'!Z:Z,MATCH($D247,'卡片raw data'!$F:$F,)),0)+IF($P247=2,INDEX('卡片raw data'!AC:AC,MATCH($D247,'卡片raw data'!$F:$F,)),0)+IF($P247=3,INDEX('卡片raw data'!AF:AF,MATCH($D247,'卡片raw data'!$F:$F,)),0)+IF($P247=4,INDEX('卡片raw data'!AI:AI,MATCH($D247,'卡片raw data'!$F:$F,)),0)+IF($P247=5,INDEX('卡片raw data'!AL:AL,MATCH($D247,'卡片raw data'!$F:$F,)),0)+INDEX('卡片raw data'!T:T,MATCH($D247,'卡片raw data'!$F:$F,))*(IF($F247="UR",0.04,0.033))*(IF($F247="UR",INDEX(绊状态确认!$S:$S,MATCH($G247,绊状态确认!$B:$B,))/2-40)+IF($F247="SR",INDEX(绊状态确认!$R:$R,MATCH($G247,绊状态确认!$B:$B,))/4-15))+IF($F247="R",INDEX(绊状态确认!$Q:$Q,MATCH($G247,绊状态确认!$B:$B,))/6-40/6)))*(INDEX(绊状态确认!$H:$H,MATCH($G247,绊状态确认!$B:$B,))+INDEX(绊状态确认!K:K,MATCH($G247,绊状态确认!$B:$B,)))</f>
        <v>7318.234175999999</v>
      </c>
      <c r="AN247" s="1106">
        <f>IF($P247="","N/A",(IF($P247=-1,INDEX('卡片raw data'!U:U,MATCH($D247,'卡片raw data'!$F:$F,)),0)+IF($P247=0,INDEX('卡片raw data'!X:X,MATCH($D247,'卡片raw data'!$F:$F,)),0)+IF($P247=1,INDEX('卡片raw data'!AA:AA,MATCH($D247,'卡片raw data'!$F:$F,)),0)+IF($P247=2,INDEX('卡片raw data'!AD:AD,MATCH($D247,'卡片raw data'!$F:$F,)),0)+IF($P247=3,INDEX('卡片raw data'!AG:AG,MATCH($D247,'卡片raw data'!$F:$F,)),0)+IF($P247=4,INDEX('卡片raw data'!AJ:AJ,MATCH($D247,'卡片raw data'!$F:$F,)),0)+IF($P247=5,INDEX('卡片raw data'!AM:AM,MATCH($D247,'卡片raw data'!$F:$F,)),0)+INDEX('卡片raw data'!U:U,MATCH($D247,'卡片raw data'!$F:$F,))*(IF($F247="UR",0.04,0.033))*(IF($F247="UR",INDEX(绊状态确认!$S:$S,MATCH($G247,绊状态确认!$B:$B,))/2-40)+IF($F247="SR",INDEX(绊状态确认!$R:$R,MATCH($G247,绊状态确认!$B:$B,))/4-15))+IF($F247="R",INDEX(绊状态确认!$Q:$Q,MATCH($G247,绊状态确认!$B:$B,))/6-40/6)))*(INDEX(绊状态确认!$H:$H,MATCH($G247,绊状态确认!$B:$B,))+INDEX(绊状态确认!L:L,MATCH($G247,绊状态确认!$B:$B,)))</f>
        <v>12200.935871999998</v>
      </c>
      <c r="AO247" s="1107">
        <f t="shared" si="279"/>
        <v>1</v>
      </c>
      <c r="AP247" s="1131">
        <f>1+(INDEX(绊状态确认!$T:$T,MATCH($G247,绊状态确认!$B:$B,))+0.2)*$AO247</f>
        <v>1.3</v>
      </c>
      <c r="AQ247" s="1108">
        <f t="shared" si="280"/>
        <v>43516.998729999992</v>
      </c>
      <c r="AR247" s="1097">
        <f>(AM247*(1+$EX$9)+$EX$35)*(1+(INDEX(绊状态确认!$T:$T,MATCH($G247,绊状态确认!$B:$B,))+0.2)*AO247)*IF(J247=$FF$17,1+$FE$17,1)*IF(I247=$FF$14,1+$FE$14,1)*(1+$FE$15)</f>
        <v>12693.38965024</v>
      </c>
      <c r="AS247" s="1097">
        <f>(AN247*(1+$EX$10)+$EX$36)*(1+(INDEX(绊状态确认!$T:$T,MATCH($G247,绊状态确认!$B:$B,))+0.2)*AO247)*IF(J247=$FF$17,1+$FE$17,1)*IF(I247=$FF$14,1+$FE$14,1)*(1+$FE$15)</f>
        <v>22296.399128639998</v>
      </c>
      <c r="AT247" s="1093">
        <f>IF(AND(INDEX('卡片raw data'!AK:AK,MATCH($D247,'卡片raw data'!$F:$F,))&lt;INDEX('卡片raw data'!AM:AM,MATCH($D247,'卡片raw data'!$F:$F,)),INDEX('卡片raw data'!AL:AL,MATCH($D247,'卡片raw data'!$F:$F,))&lt;INDEX('卡片raw data'!AM:AM,MATCH($D247,'卡片raw data'!$F:$F,))),1,0)</f>
        <v>0</v>
      </c>
      <c r="AU247" s="1098">
        <f>MIN(AT247*0.15+AS247*0.00003+INDEX(绊状态确认!M:M,MATCH($G247,绊状态确认!$B:$B,)),1)</f>
        <v>0.69889197385919999</v>
      </c>
      <c r="AV247" s="1109">
        <f>(INDEX(绊状态确认!$N:$N,MATCH($G247,绊状态确认!$B:$B,))+1.5)*$EW$21</f>
        <v>2.6599999999999997</v>
      </c>
      <c r="AW247" s="1101">
        <f t="shared" si="281"/>
        <v>48820.514865224912</v>
      </c>
      <c r="AX247" s="1097">
        <f t="shared" si="282"/>
        <v>1088.5207554016288</v>
      </c>
      <c r="AY247" s="1110">
        <f t="shared" si="283"/>
        <v>49909.035620626542</v>
      </c>
      <c r="AZ247" s="429">
        <f t="shared" si="284"/>
        <v>32512.627627999995</v>
      </c>
      <c r="BA247" s="431">
        <f t="shared" si="285"/>
        <v>39015.153153599989</v>
      </c>
      <c r="BB247" s="1097">
        <f>(AM247*(1+$FB$9)+$FB$35)*(1+(INDEX(绊状态确认!$T:$T,MATCH($G247,绊状态确认!$B:$B,))+0.2)*AO247)*IF(J247=$FF$17,1+$FE$17,1)*IF(I247=$FF$14,1+$FE$14,1)*(1+$FE$15)</f>
        <v>12693.38965024</v>
      </c>
      <c r="BC247" s="1097">
        <f>(AN247*(1+$FB$10)+$FB$36)*(1+(INDEX(绊状态确认!$T:$T,MATCH($G247,绊状态确认!$B:$B,))+0.2)*AO247)*IF(J247=$FF$17,1+$FE$17,1)*IF(I247=$FF$14,1+$FE$14,1)*(1+$FE$15)</f>
        <v>22296.399128639998</v>
      </c>
      <c r="BD247" s="1104">
        <f>MIN(AT247*0.15+BC247*0.00003+INDEX(绊状态确认!M:M,MATCH($G247,绊状态确认!$B:$B,)),1)</f>
        <v>0.69889197385919999</v>
      </c>
      <c r="BE247" s="432">
        <f>(INDEX(绊状态确认!$N:$N,MATCH($G247,绊状态确认!$B:$B,))+1.5)</f>
        <v>1.9</v>
      </c>
      <c r="BF247" s="1139">
        <f t="array" ref="BF247">SUMPRODUCT(IF(AZ247*AP247*$FI$16:$FI$23*$FA$22&gt;=$FI$24,$FI$24,AZ247*AP247*$FI$16:$FI$23*$FA$22),$FJ$16:$FJ$23)</f>
        <v>58401.200435692001</v>
      </c>
      <c r="BG247" s="1125">
        <f t="array" ref="BG247">SUMPRODUCT(IF(BE247*AZ247*AP247*$FI$16:$FI$23*$FA$22&gt;=$FI$24,$FI$24,BE247*AZ247*AP247*$FI$16:$FI$23*$FA$22),$FJ$16:$FJ$23)</f>
        <v>60000</v>
      </c>
      <c r="BH247" s="1110">
        <f t="shared" si="286"/>
        <v>19839.529539665484</v>
      </c>
      <c r="BI247" s="1111">
        <f>IF(O247="vo",$EW$26/$EW$24*0.05,0)+IF(O247="sk",-$EW$26/$EW$24*(0.05-INDEX(绊状态确认!W:W,MATCH($G247,绊状态确认!$B:$B,)))+0.05*$EW$28,0)+IF(O247="sp",0.05*$EW$32*$EW$30*(1-$EW$33)-(0.05-INDEX(绊状态确认!V:V,MATCH($G247,绊状态确认!$B:$B,)))*$EW$28,0)+IF(O247="gd",-(0.05-INDEX(绊状态确认!X:X,MATCH($G247,绊状态确认!$B:$B,)))*$EW$32*$EW$30*(1-$EW$33),0)</f>
        <v>7726.3029277443748</v>
      </c>
      <c r="BJ247" s="1097">
        <f>IF(O247="vo",0.05*(1-$FI$26)*$FA$24,0)+IF(O247="sk",-(0.05-INDEX(绊状态确认!W:W,MATCH($G247,绊状态确认!$B:$B,)))*(1-$FI$26)*$FA$24+0.05*$FA$26,0)+IF(O247="sp",0.05*$FA$32*$FA$27*(1-$FA$33)/$FA$30+0.05*$FA$29/$FA$69*$FA$27*(1-$FA$33)-(0.05-INDEX(绊状态确认!V:V,MATCH($G247,绊状态确认!$B:$B,)))*$FA$26,0)+IF(O247="gd",-(0.05-INDEX(绊状态确认!X:X,MATCH($G247,绊状态确认!$B:$B,)))*$FA$32*$FA$27*(1-$FA$33)/$FA$30-(0.05-INDEX(绊状态确认!X:X,MATCH($G247,绊状态确认!$B:$B,)))*$FA$29/$FA$69*$FA$27*(1-$FA$33),0)</f>
        <v>393.93433687500004</v>
      </c>
      <c r="BK247" s="1110">
        <f>IF(O247="vo",$EW$26/$EW$24*0.05+$EW$26*(-HP($EW$62,$EW$65,$EW$64)+HP($EW$62,$EW$65,(1.05-INDEX(绊状态确认!U:U,MATCH($G247,绊状态确认!$B:$B,)))*$EW$64)),0)+IF(O247="sk",-$EW$26/$EW$24*(0.05-INDEX(绊状态确认!W:W,MATCH($G247,绊状态确认!$B:$B,)))+0.05*$EW$29,0)+IF(O247="sp",0.05*$EW$32*$EW$30*(1-$EW$33)-(0.05-INDEX(绊状态确认!V:V,MATCH($G247,绊状态确认!$B:$B,)))*$EW$29,0)+IF(O247="gd",-(0.05-INDEX(绊状态确认!X:X,MATCH($G247,绊状态确认!$B:$B,)))*$EW$32*$EW$30*(1-$EW$33)+$EW$26*(-HP($EW$62,$EW$65,$EW$64)+HP($EW$62,$EW$65,0.95*$EW$64)),0)</f>
        <v>6421.6344775026746</v>
      </c>
      <c r="BL247" s="1111">
        <f t="shared" si="287"/>
        <v>0</v>
      </c>
      <c r="BM247" s="1110">
        <f t="shared" si="288"/>
        <v>0</v>
      </c>
      <c r="BN247" s="1113">
        <f t="shared" si="289"/>
        <v>4</v>
      </c>
      <c r="BO247" s="1097">
        <f t="shared" si="290"/>
        <v>6010.2953161679998</v>
      </c>
      <c r="BP247" s="1100">
        <f t="shared" si="291"/>
        <v>295.12137612040135</v>
      </c>
      <c r="BQ247" s="1113" t="s">
        <v>143</v>
      </c>
      <c r="BR247" s="1124" t="s">
        <v>148</v>
      </c>
      <c r="BS247" s="1098">
        <f>IF($P247="","N/A",IF($P247=-1,INDEX('卡片raw data'!AX:AX,MATCH($D247,'卡片raw data'!$F:$F,)),0)+IF($L247="party卡",IF($P247=5,INDEX('卡片raw data'!BD:BD,MATCH($D247,'卡片raw data'!$F:$F,)),IF($P247&gt;=3,INDEX('卡片raw data'!BC:BC,MATCH($D247,'卡片raw data'!$F:$F,)),INDEX('卡片raw data'!BB:BB,MATCH($D247,'卡片raw data'!$F:$F,)))),IF(OR(AND($F247="UR",$P247=0),AND($F247="SR",$P247&gt;=0,$P247&lt;=2),AND($F247="R",$P247&gt;=0,$P247&lt;4)),INDEX('卡片raw data'!AZ:AZ,MATCH($D247,'卡片raw data'!$F:$F,)),0)+IF(OR(AND($F247="UR",$P247&gt;=1,$P247&lt;=4),AND($F247="SR",$P247&lt;=4,$P247&gt;=3),AND($F247="R",$P247=4)),INDEX('卡片raw data'!BA:BA,MATCH($D247,'卡片raw data'!$F:$F,)),0)+IF($P247=5,INDEX('卡片raw data'!BB:BB,MATCH($D247,'卡片raw data'!$F:$F,)),0)))</f>
        <v>5.1999999999999998E-2</v>
      </c>
      <c r="BT247" s="1101">
        <f t="shared" si="292"/>
        <v>2604.4613036728001</v>
      </c>
      <c r="BU247" s="1097">
        <f t="shared" si="293"/>
        <v>111.90018844565216</v>
      </c>
      <c r="BV247" s="1097">
        <f t="shared" si="294"/>
        <v>1302.2306518363998</v>
      </c>
      <c r="BW247" s="1112">
        <f t="shared" si="295"/>
        <v>0</v>
      </c>
      <c r="BX247" s="1100">
        <f t="shared" si="296"/>
        <v>2604.4613036728001</v>
      </c>
      <c r="BY247" s="1110">
        <f t="shared" si="297"/>
        <v>1302.2306518363998</v>
      </c>
      <c r="BZ247" s="1107" t="s">
        <v>569</v>
      </c>
      <c r="CA247" s="1124"/>
      <c r="CB247" s="1098">
        <f>IF($P247="","N/A",IF($P247=-1,INDEX('卡片raw data'!BE:BE,MATCH($D247,'卡片raw data'!$F:$F,)),0)+IF($L247="party卡",IF($P247=5,INDEX('卡片raw data'!BK:BK,MATCH($D247,'卡片raw data'!$F:$F,)),IF($P247&gt;=3,INDEX('卡片raw data'!BJ:BJ,MATCH($D247,'卡片raw data'!$F:$F,)),INDEX('卡片raw data'!BI:BI,MATCH($D247,'卡片raw data'!$F:$F,)))),IF(OR(AND($F247="UR",$P247=0),AND($F247="SR",$P247&gt;=0,$P247&lt;=2),AND($F247="R",$P247&gt;=0,$P247&lt;4)),INDEX('卡片raw data'!BG:BG,MATCH($D247,'卡片raw data'!$F:$F,)),0)+IF(OR(AND($F247="UR",$P247&gt;=1,$P247&lt;=4),AND($F247="SR",$P247&lt;=4,$P247&gt;=3),AND($F247="R",$P247=4)),INDEX('卡片raw data'!BH:BH,MATCH($D247,'卡片raw data'!$F:$F,)),0)+IF($P247=5,INDEX('卡片raw data'!BI:BI,MATCH($D247,'卡片raw data'!$F:$F,)),0)))</f>
        <v>0</v>
      </c>
      <c r="CC247" s="1101">
        <f t="shared" si="298"/>
        <v>0</v>
      </c>
      <c r="CD247" s="1097">
        <f>IF(BZ247="ap",CB247*(1-$FI$26)*$FB$5/$FB$11*(+IF(CA247="全员",$FA$24,0)+IF(CA247="同作战",$FA$24,0)+IF(CA247="仲间",$FA$24*2/3,0)+IF(CA247="同属性",$FA$24*$FA$37/3,0)+IF(CA247="同年级",$FA$24*$FA$40/3,0)+IF(CA247="同学校",$FA$24*$FA$43/3,0)+IF(CA247="同小队",$FA$24*$FA$46/3,0)+IF(CA247="同type",$FA$24*INDEX($FB$49:$FB$52,MATCH(X247,$FA$49:$FA$52,))/3,0)+IF(CA247="自身",#REF!/3,0)),0)+IF(BZ247="te",CB247*(1-$FI$27)*($FA$20-1)*$FB$7/$FB$13*(+IF(CA247="全员",$FA$19*$FA$24/(1+($FA$20-1)*$FA$19),0)+IF(CA247="同作战",$FA$19*$FA$24/(1+($FA$20-1)*$FA$19),0)+IF(CA247="仲间",$FA$19*$FA$24*2/3/(1+($FA$20-1)*$FA$19),0)+IF(CA247="同属性",$FA$19*$FA$24*$FA$37/3/(1+($FA$20-1)*$FA$19),0)+IF(CA247="同年级",$FA$19*$FA$24*$FA$40/3/(1+($FA$20-1)*$FA$19),0)+IF(CA247="同学校",$FA$19*$FA$24*$FA$43/3/(1+($FA$20-1)*$FA$19),0)+IF(CA247="同小队",$FA$19*$FA$24*$FA$46/3/(1+($FA$20-1)*$FA$19),0)+IF(CA247="同type",$FA$19*$FA$24*INDEX($FB$49:$FB$52,MATCH(X247,$FA$49:$FA$52,))/3/(1+($FA$20-1)*$FA$19),0)+IF(CA247="自身",$FA$19*#REF!/3/(1+(BH247-1)*$BD247),0)),0)</f>
        <v>0</v>
      </c>
      <c r="CE247" s="1097">
        <f t="shared" si="299"/>
        <v>0</v>
      </c>
      <c r="CF247" s="1112">
        <f t="shared" si="300"/>
        <v>0</v>
      </c>
      <c r="CG247" s="1100">
        <f t="shared" si="301"/>
        <v>0</v>
      </c>
      <c r="CH247" s="1110">
        <f t="shared" si="302"/>
        <v>0</v>
      </c>
      <c r="CI247" s="1113" t="s">
        <v>164</v>
      </c>
      <c r="CJ247" s="1114">
        <v>0.5</v>
      </c>
      <c r="CK247" s="1115" t="s">
        <v>153</v>
      </c>
      <c r="CL247" s="1115" t="s">
        <v>171</v>
      </c>
      <c r="CM247" s="1119">
        <v>8.2000000000000003E-2</v>
      </c>
      <c r="CN247" s="1115">
        <v>5</v>
      </c>
      <c r="CO247" s="1092"/>
      <c r="CP247" s="1118">
        <f t="shared" si="303"/>
        <v>2.9285714285714284E-3</v>
      </c>
      <c r="CQ247" s="1118">
        <f t="shared" si="304"/>
        <v>3.9861111111111113E-3</v>
      </c>
      <c r="CR247" s="1118">
        <f t="shared" si="305"/>
        <v>1.4642857142857142E-3</v>
      </c>
      <c r="CS247" s="1118">
        <f t="shared" si="306"/>
        <v>0</v>
      </c>
      <c r="CT247" s="1109">
        <f t="shared" si="307"/>
        <v>0</v>
      </c>
      <c r="CU247" s="1101">
        <f t="shared" si="308"/>
        <v>398.23572804716719</v>
      </c>
      <c r="CV247" s="1108">
        <f t="shared" si="309"/>
        <v>26.171100621093757</v>
      </c>
      <c r="CW247" s="1097">
        <f t="shared" si="310"/>
        <v>199.11786402358359</v>
      </c>
      <c r="CX247" s="1097">
        <f t="shared" si="311"/>
        <v>398.23572804716719</v>
      </c>
      <c r="CY247" s="1110">
        <f t="shared" si="312"/>
        <v>199.11786402358359</v>
      </c>
      <c r="CZ247" s="437"/>
      <c r="DA247" s="438"/>
      <c r="DB247" s="439" t="s">
        <v>569</v>
      </c>
      <c r="DC247" s="439"/>
      <c r="DD247" s="443"/>
      <c r="DE247" s="411"/>
      <c r="DF247" s="411"/>
      <c r="DG247" s="1116">
        <f t="shared" si="313"/>
        <v>0</v>
      </c>
      <c r="DH247" s="1116">
        <f t="shared" si="314"/>
        <v>0</v>
      </c>
      <c r="DI247" s="1116">
        <f t="shared" si="315"/>
        <v>0</v>
      </c>
      <c r="DJ247" s="442">
        <f t="shared" si="316"/>
        <v>0</v>
      </c>
      <c r="DK247" s="1109">
        <f t="shared" si="317"/>
        <v>0</v>
      </c>
      <c r="DL247" s="1101">
        <f t="shared" si="318"/>
        <v>0</v>
      </c>
      <c r="DM247" s="1097">
        <f t="shared" si="319"/>
        <v>0</v>
      </c>
      <c r="DN247" s="1097">
        <f t="shared" si="320"/>
        <v>0</v>
      </c>
      <c r="DO247" s="1097">
        <f t="shared" si="321"/>
        <v>0</v>
      </c>
      <c r="DP247" s="1110">
        <f t="shared" si="322"/>
        <v>0</v>
      </c>
      <c r="DQ247" s="1113" t="s">
        <v>159</v>
      </c>
      <c r="DR247" s="1120">
        <f t="shared" si="323"/>
        <v>0.33</v>
      </c>
      <c r="DS247" s="1124">
        <v>5</v>
      </c>
      <c r="DT247" s="1093" t="s">
        <v>161</v>
      </c>
      <c r="DU247" s="1093" t="s">
        <v>544</v>
      </c>
      <c r="DV247" s="1098">
        <f>IF($P247="","N/A",IF(P247=-1,INDEX('卡片raw data'!AN:AN,MATCH(D247,'卡片raw data'!$F:$F,)),0)+IF(AND(L247&lt;&gt;"party卡",P247&lt;=2,P247&gt;=0),INDEX('卡片raw data'!AP:AP,MATCH(D247,'卡片raw data'!$F:$F,)),0)+IF(OR(AND(L247="party卡",P247&lt;=1),AND(P247&lt;=4,L247&lt;&gt;"party卡",P247&gt;=3)),INDEX('卡片raw data'!AQ:AQ,MATCH(D247,'卡片raw data'!$F:$F,)),0)+IF(OR(P247=5,AND(L247="party卡",P247&gt;=2)),INDEX('卡片raw data'!AR:AR,MATCH(D247,'卡片raw data'!$F:$F,)),0))</f>
        <v>7.1999999999999995E-2</v>
      </c>
      <c r="DW247" s="1098">
        <f t="shared" si="324"/>
        <v>0.33</v>
      </c>
      <c r="DX247" s="1098">
        <f t="shared" si="325"/>
        <v>0.33</v>
      </c>
      <c r="DY247" s="1098">
        <f t="shared" si="326"/>
        <v>3.9599999999999996E-2</v>
      </c>
      <c r="DZ247" s="1098">
        <f t="shared" si="327"/>
        <v>3.4254E-2</v>
      </c>
      <c r="EA247" s="1098">
        <f t="shared" si="328"/>
        <v>0</v>
      </c>
      <c r="EB247" s="1121">
        <f t="shared" si="329"/>
        <v>0</v>
      </c>
      <c r="EC247" s="1101">
        <f t="shared" si="330"/>
        <v>6731.1551106508987</v>
      </c>
      <c r="ED247" s="1097">
        <f t="shared" si="331"/>
        <v>269.87653550632501</v>
      </c>
      <c r="EE247" s="1110">
        <f t="shared" si="332"/>
        <v>6731.1551106508987</v>
      </c>
      <c r="EF247" s="1092" t="s">
        <v>711</v>
      </c>
      <c r="EG247" s="1120">
        <f t="shared" si="333"/>
        <v>0.33</v>
      </c>
      <c r="EH247" s="1124"/>
      <c r="EI247" s="1093"/>
      <c r="EJ247" s="1093"/>
      <c r="EK247" s="1097">
        <f>IF($P247="","N/A",IF(P247=-1,INDEX('卡片raw data'!AS:AS,MATCH(D247,'卡片raw data'!$F:$F,)),0)+IF(AND(L247&lt;&gt;"party卡",P247&lt;=2,P247&gt;=0),INDEX('卡片raw data'!AU:AU,MATCH(D247,'卡片raw data'!$F:$F,)),0)+IF(OR(AND(L247="party卡",P247&lt;=1),AND(P247&lt;=4,L247&lt;&gt;"party卡",P247&gt;=3)),INDEX('卡片raw data'!AV:AV,MATCH(D247,'卡片raw data'!$F:$F,)),0)+IF(OR(P247=5,AND(L247="party卡",P247&gt;=2)),INDEX('卡片raw data'!AW:AW,MATCH(D247,'卡片raw data'!$F:$F,)),0))</f>
        <v>0</v>
      </c>
      <c r="EL247" s="1098">
        <f t="shared" si="334"/>
        <v>0.33</v>
      </c>
      <c r="EM247" s="1098">
        <f t="shared" si="335"/>
        <v>0.33</v>
      </c>
      <c r="EN247" s="1125">
        <f t="shared" si="336"/>
        <v>0</v>
      </c>
      <c r="EO247" s="1125">
        <f t="shared" si="337"/>
        <v>0</v>
      </c>
      <c r="EP247" s="1098">
        <f t="shared" si="338"/>
        <v>0</v>
      </c>
      <c r="EQ247" s="1121">
        <f t="shared" si="339"/>
        <v>0</v>
      </c>
      <c r="ER247" s="1101">
        <f t="shared" si="340"/>
        <v>0</v>
      </c>
      <c r="ES247" s="1097">
        <f t="shared" si="341"/>
        <v>0</v>
      </c>
      <c r="ET247" s="1122">
        <f t="shared" si="342"/>
        <v>0</v>
      </c>
    </row>
    <row r="248" spans="2:150" ht="16.5" customHeight="1">
      <c r="B248" s="1123" t="str">
        <f>INDEX('卡片raw data'!B:B,MATCH($D248,'卡片raw data'!$F:$F,))</f>
        <v>fes1绘</v>
      </c>
      <c r="C248" s="449" t="s">
        <v>22</v>
      </c>
      <c r="D248" s="408">
        <v>245</v>
      </c>
      <c r="E248" s="1090">
        <v>200023001</v>
      </c>
      <c r="F248" s="1090" t="str">
        <f>INDEX('卡片raw data'!C:C,MATCH($D248,'卡片raw data'!$F:$F,))</f>
        <v>UR</v>
      </c>
      <c r="G248" s="1094" t="s">
        <v>25</v>
      </c>
      <c r="H248" s="411">
        <f>IFERROR(INDEX(绊状态确认!C:C,MATCH($G248,绊状态确认!$B:$B,)),"")</f>
        <v>2</v>
      </c>
      <c r="I248" s="450" t="str">
        <f>IFERROR(INDEX(绊状态确认!D:D,MATCH($G248,绊状态确认!$B:$B,)),"")</f>
        <v>缪</v>
      </c>
      <c r="J248" s="450" t="str">
        <f>IFERROR(INDEX(绊状态确认!E:E,MATCH($G248,绊状态确认!$B:$B,)),"")</f>
        <v>3年级</v>
      </c>
      <c r="K248" s="451" t="str">
        <f>IFERROR(INDEX(绊状态确认!F:F,MATCH($G248,绊状态确认!$B:$B,)),"")</f>
        <v>BiBi</v>
      </c>
      <c r="L248" s="1094" t="str">
        <f>INDEX('卡片raw data'!E:E,MATCH($D248,'卡片raw data'!$F:$F,))</f>
        <v>fes卡</v>
      </c>
      <c r="M248" s="415">
        <v>43980</v>
      </c>
      <c r="N248" s="416">
        <v>16.5</v>
      </c>
      <c r="O248" s="1091" t="str">
        <f>INDEX('卡片raw data'!D:D,MATCH($D248,'卡片raw data'!$F:$F,))</f>
        <v>sp</v>
      </c>
      <c r="P248" s="417">
        <v>5</v>
      </c>
      <c r="Q248" s="1095">
        <f t="shared" si="258"/>
        <v>60814.271538583533</v>
      </c>
      <c r="R248" s="1096">
        <f t="shared" si="259"/>
        <v>0.70699999999999996</v>
      </c>
      <c r="S248" s="1097">
        <f t="shared" si="260"/>
        <v>23450.793521705513</v>
      </c>
      <c r="T248" s="1098">
        <f t="shared" si="261"/>
        <v>1.1719999999999999</v>
      </c>
      <c r="U248" s="1099">
        <f t="shared" si="262"/>
        <v>13.786468577142855</v>
      </c>
      <c r="V248" s="1100">
        <f t="shared" si="263"/>
        <v>60118.13506992269</v>
      </c>
      <c r="W248" s="1101">
        <f t="shared" si="264"/>
        <v>7316.7528209733946</v>
      </c>
      <c r="X248" s="1096">
        <f t="shared" si="265"/>
        <v>8.5000000000000006E-2</v>
      </c>
      <c r="Y248" s="1097">
        <f t="shared" si="266"/>
        <v>1103.863531339156</v>
      </c>
      <c r="Z248" s="1102">
        <f t="shared" si="267"/>
        <v>13.786468577142855</v>
      </c>
      <c r="AA248" s="1103">
        <f t="shared" si="268"/>
        <v>8420.6163523125506</v>
      </c>
      <c r="AB248" s="1101">
        <f t="shared" si="269"/>
        <v>8134.2616001379438</v>
      </c>
      <c r="AC248" s="1104">
        <f t="shared" si="270"/>
        <v>9.4E-2</v>
      </c>
      <c r="AD248" s="1105">
        <f t="shared" si="271"/>
        <v>-1.6087500000000001E-2</v>
      </c>
      <c r="AE248" s="1128">
        <f t="shared" si="272"/>
        <v>71.261690543478238</v>
      </c>
      <c r="AF248" s="1130">
        <f t="shared" si="273"/>
        <v>0</v>
      </c>
      <c r="AG248" s="420">
        <f t="shared" si="274"/>
        <v>0</v>
      </c>
      <c r="AH248" s="420">
        <f t="shared" si="275"/>
        <v>0</v>
      </c>
      <c r="AI248" s="1097">
        <f t="shared" si="276"/>
        <v>0</v>
      </c>
      <c r="AJ248" s="420">
        <f t="shared" si="277"/>
        <v>0</v>
      </c>
      <c r="AK248" s="518">
        <f t="shared" si="278"/>
        <v>0</v>
      </c>
      <c r="AL248" s="1106">
        <f>IF($P248="","N/A",(IF($P248=-1,INDEX('卡片raw data'!S:S,MATCH($D248,'卡片raw data'!$F:$F,)),0)+IF($P248=0,INDEX('卡片raw data'!V:V,MATCH($D248,'卡片raw data'!$F:$F,)),0)+IF($P248=1,INDEX('卡片raw data'!Y:Y,MATCH($D248,'卡片raw data'!$F:$F,)),0)+IF($P248=2,INDEX('卡片raw data'!AB:AB,MATCH($D248,'卡片raw data'!$F:$F,)),0)+IF($P248=3,INDEX('卡片raw data'!AE:AE,MATCH($D248,'卡片raw data'!$F:$F,)),0)+IF($P248=4,INDEX('卡片raw data'!AH:AH,MATCH($D248,'卡片raw data'!$F:$F,)),0)+IF($P248=5,INDEX('卡片raw data'!AK:AK,MATCH($D248,'卡片raw data'!$F:$F,)),0)+INDEX('卡片raw data'!S:S,MATCH($D248,'卡片raw data'!$F:$F,))*(IF($F248="UR",0.04,0.033))*(IF($F248="UR",INDEX(绊状态确认!$S:$S,MATCH($G248,绊状态确认!$B:$B,))/2-40)+IF($F248="SR",INDEX(绊状态确认!$R:$R,MATCH($G248,绊状态确认!$B:$B,))/4-15))+IF($F248="R",INDEX(绊状态确认!$Q:$Q,MATCH($G248,绊状态确认!$B:$B,))/6-40/6)))*(INDEX(绊状态确认!$H:$H,MATCH($G248,绊状态确认!$B:$B,))+INDEX(绊状态确认!J:J,MATCH($G248,绊状态确认!$B:$B,)))</f>
        <v>12054.931199999999</v>
      </c>
      <c r="AM248" s="1106">
        <f>IF($P248="","N/A",(IF($P248=-1,INDEX('卡片raw data'!T:T,MATCH($D248,'卡片raw data'!$F:$F,)),0)+IF($P248=0,INDEX('卡片raw data'!W:W,MATCH($D248,'卡片raw data'!$F:$F,)),0)+IF($P248=1,INDEX('卡片raw data'!Z:Z,MATCH($D248,'卡片raw data'!$F:$F,)),0)+IF($P248=2,INDEX('卡片raw data'!AC:AC,MATCH($D248,'卡片raw data'!$F:$F,)),0)+IF($P248=3,INDEX('卡片raw data'!AF:AF,MATCH($D248,'卡片raw data'!$F:$F,)),0)+IF($P248=4,INDEX('卡片raw data'!AI:AI,MATCH($D248,'卡片raw data'!$F:$F,)),0)+IF($P248=5,INDEX('卡片raw data'!AL:AL,MATCH($D248,'卡片raw data'!$F:$F,)),0)+INDEX('卡片raw data'!T:T,MATCH($D248,'卡片raw data'!$F:$F,))*(IF($F248="UR",0.04,0.033))*(IF($F248="UR",INDEX(绊状态确认!$S:$S,MATCH($G248,绊状态确认!$B:$B,))/2-40)+IF($F248="SR",INDEX(绊状态确认!$R:$R,MATCH($G248,绊状态确认!$B:$B,))/4-15))+IF($F248="R",INDEX(绊状态确认!$Q:$Q,MATCH($G248,绊状态确认!$B:$B,))/6-40/6)))*(INDEX(绊状态确认!$H:$H,MATCH($G248,绊状态确认!$B:$B,))+INDEX(绊状态确认!K:K,MATCH($G248,绊状态确认!$B:$B,)))</f>
        <v>7445.6927999999989</v>
      </c>
      <c r="AN248" s="1106">
        <f>IF($P248="","N/A",(IF($P248=-1,INDEX('卡片raw data'!U:U,MATCH($D248,'卡片raw data'!$F:$F,)),0)+IF($P248=0,INDEX('卡片raw data'!X:X,MATCH($D248,'卡片raw data'!$F:$F,)),0)+IF($P248=1,INDEX('卡片raw data'!AA:AA,MATCH($D248,'卡片raw data'!$F:$F,)),0)+IF($P248=2,INDEX('卡片raw data'!AD:AD,MATCH($D248,'卡片raw data'!$F:$F,)),0)+IF($P248=3,INDEX('卡片raw data'!AG:AG,MATCH($D248,'卡片raw data'!$F:$F,)),0)+IF($P248=4,INDEX('卡片raw data'!AJ:AJ,MATCH($D248,'卡片raw data'!$F:$F,)),0)+IF($P248=5,INDEX('卡片raw data'!AM:AM,MATCH($D248,'卡片raw data'!$F:$F,)),0)+INDEX('卡片raw data'!U:U,MATCH($D248,'卡片raw data'!$F:$F,))*(IF($F248="UR",0.04,0.033))*(IF($F248="UR",INDEX(绊状态确认!$S:$S,MATCH($G248,绊状态确认!$B:$B,))/2-40)+IF($F248="SR",INDEX(绊状态确认!$R:$R,MATCH($G248,绊状态确认!$B:$B,))/4-15))+IF($F248="R",INDEX(绊状态确认!$Q:$Q,MATCH($G248,绊状态确认!$B:$B,))/6-40/6)))*(INDEX(绊状态确认!$H:$H,MATCH($G248,绊状态确认!$B:$B,))+INDEX(绊状态确认!L:L,MATCH($G248,绊状态确认!$B:$B,)))</f>
        <v>15955.055999999999</v>
      </c>
      <c r="AO248" s="1107">
        <f t="shared" si="279"/>
        <v>1</v>
      </c>
      <c r="AP248" s="1131">
        <f>1+(INDEX(绊状态确认!$T:$T,MATCH($G248,绊状态确认!$B:$B,))+0.2)*$AO248</f>
        <v>1.3</v>
      </c>
      <c r="AQ248" s="1108">
        <f t="shared" si="280"/>
        <v>34894.194399999993</v>
      </c>
      <c r="AR248" s="1097">
        <f>(AM248*(1+$EX$9)+$EX$35)*(1+(INDEX(绊状态确认!$T:$T,MATCH($G248,绊状态确认!$B:$B,))+0.2)*AO248)*IF(J248=$FF$17,1+$FE$17,1)*IF(I248=$FF$14,1+$FE$14,1)*(1+$FE$15)</f>
        <v>12867.370671999999</v>
      </c>
      <c r="AS248" s="1097">
        <f>(AN248*(1+$EX$10)+$EX$36)*(1+(INDEX(绊状态确认!$T:$T,MATCH($G248,绊状态确认!$B:$B,))+0.2)*AO248)*IF(J248=$FF$17,1+$FE$17,1)*IF(I248=$FF$14,1+$FE$14,1)*(1+$FE$15)</f>
        <v>27908.808719999994</v>
      </c>
      <c r="AT248" s="1093">
        <f>IF(AND(INDEX('卡片raw data'!AK:AK,MATCH($D248,'卡片raw data'!$F:$F,))&lt;INDEX('卡片raw data'!AM:AM,MATCH($D248,'卡片raw data'!$F:$F,)),INDEX('卡片raw data'!AL:AL,MATCH($D248,'卡片raw data'!$F:$F,))&lt;INDEX('卡片raw data'!AM:AM,MATCH($D248,'卡片raw data'!$F:$F,))),1,0)</f>
        <v>1</v>
      </c>
      <c r="AU248" s="1098">
        <f>MIN(AT248*0.15+AS248*0.00003+INDEX(绊状态确认!M:M,MATCH($G248,绊状态确认!$B:$B,)),1)</f>
        <v>1</v>
      </c>
      <c r="AV248" s="1109">
        <f>(INDEX(绊状态确认!$N:$N,MATCH($G248,绊状态确认!$B:$B,))+1.5)*$EW$21</f>
        <v>2.6599999999999997</v>
      </c>
      <c r="AW248" s="1101">
        <f t="shared" si="281"/>
        <v>48205.00993844559</v>
      </c>
      <c r="AX248" s="1097">
        <f t="shared" si="282"/>
        <v>1103.8635313391569</v>
      </c>
      <c r="AY248" s="1110">
        <f t="shared" si="283"/>
        <v>49308.873469784747</v>
      </c>
      <c r="AZ248" s="429">
        <f t="shared" si="284"/>
        <v>26107.115839999999</v>
      </c>
      <c r="BA248" s="431">
        <f t="shared" si="285"/>
        <v>31328.539007999996</v>
      </c>
      <c r="BB248" s="1097">
        <f>(AM248*(1+$FB$9)+$FB$35)*(1+(INDEX(绊状态确认!$T:$T,MATCH($G248,绊状态确认!$B:$B,))+0.2)*AO248)*IF(J248=$FF$17,1+$FE$17,1)*IF(I248=$FF$14,1+$FE$14,1)*(1+$FE$15)</f>
        <v>12867.370671999999</v>
      </c>
      <c r="BC248" s="1097">
        <f>(AN248*(1+$FB$10)+$FB$36)*(1+(INDEX(绊状态确认!$T:$T,MATCH($G248,绊状态确认!$B:$B,))+0.2)*AO248)*IF(J248=$FF$17,1+$FE$17,1)*IF(I248=$FF$14,1+$FE$14,1)*(1+$FE$15)</f>
        <v>27908.808719999994</v>
      </c>
      <c r="BD248" s="1104">
        <f>MIN(AT248*0.15+BC248*0.00003+INDEX(绊状态确认!M:M,MATCH($G248,绊状态确认!$B:$B,)),1)</f>
        <v>1</v>
      </c>
      <c r="BE248" s="432">
        <f>(INDEX(绊状态确认!$N:$N,MATCH($G248,绊状态确认!$B:$B,))+1.5)</f>
        <v>1.9</v>
      </c>
      <c r="BF248" s="1139">
        <f t="array" ref="BF248">SUMPRODUCT(IF(AZ248*AP248*$FI$16:$FI$23*$FA$22&gt;=$FI$24,$FI$24,AZ248*AP248*$FI$16:$FI$23*$FA$22),$FJ$16:$FJ$23)</f>
        <v>51369.530686719998</v>
      </c>
      <c r="BG248" s="1125">
        <f t="array" ref="BG248">SUMPRODUCT(IF(BE248*AZ248*AP248*$FI$16:$FI$23*$FA$22&gt;=$FI$24,$FI$24,BE248*AZ248*AP248*$FI$16:$FI$23*$FA$22),$FJ$16:$FJ$23)</f>
        <v>60000</v>
      </c>
      <c r="BH248" s="1110">
        <f t="shared" si="286"/>
        <v>20000</v>
      </c>
      <c r="BI248" s="1111">
        <f>IF(O248="vo",$EW$26/$EW$24*0.05,0)+IF(O248="sk",-$EW$26/$EW$24*(0.05-INDEX(绊状态确认!W:W,MATCH($G248,绊状态确认!$B:$B,)))+0.05*$EW$28,0)+IF(O248="sp",0.05*$EW$32*$EW$30*(1-$EW$33)-(0.05-INDEX(绊状态确认!V:V,MATCH($G248,绊状态确认!$B:$B,)))*$EW$28,0)+IF(O248="gd",-(0.05-INDEX(绊状态确认!X:X,MATCH($G248,绊状态确认!$B:$B,)))*$EW$32*$EW$30*(1-$EW$33),0)</f>
        <v>19.999999999999886</v>
      </c>
      <c r="BJ248" s="1097">
        <f>IF(O248="vo",0.05*(1-$FI$26)*$FA$24,0)+IF(O248="sk",-(0.05-INDEX(绊状态确认!W:W,MATCH($G248,绊状态确认!$B:$B,)))*(1-$FI$26)*$FA$24+0.05*$FA$26,0)+IF(O248="sp",0.05*$FA$32*$FA$27*(1-$FA$33)/$FA$30+0.05*$FA$29/$FA$69*$FA$27*(1-$FA$33)-(0.05-INDEX(绊状态确认!V:V,MATCH($G248,绊状态确认!$B:$B,)))*$FA$26,0)+IF(O248="gd",-(0.05-INDEX(绊状态确认!X:X,MATCH($G248,绊状态确认!$B:$B,)))*$FA$32*$FA$27*(1-$FA$33)/$FA$30-(0.05-INDEX(绊状态确认!X:X,MATCH($G248,绊状态确认!$B:$B,)))*$FA$29/$FA$69*$FA$27*(1-$FA$33),0)</f>
        <v>545.83333333333326</v>
      </c>
      <c r="BK248" s="1110">
        <f>IF(O248="vo",$EW$26/$EW$24*0.05+$EW$26*(-HP($EW$62,$EW$65,$EW$64)+HP($EW$62,$EW$65,(1.05-INDEX(绊状态确认!U:U,MATCH($G248,绊状态确认!$B:$B,)))*$EW$64)),0)+IF(O248="sk",-$EW$26/$EW$24*(0.05-INDEX(绊状态确认!W:W,MATCH($G248,绊状态确认!$B:$B,)))+0.05*$EW$29,0)+IF(O248="sp",0.05*$EW$32*$EW$30*(1-$EW$33)-(0.05-INDEX(绊状态确认!V:V,MATCH($G248,绊状态确认!$B:$B,)))*$EW$29,0)+IF(O248="gd",-(0.05-INDEX(绊状态确认!X:X,MATCH($G248,绊状态确认!$B:$B,)))*$EW$32*$EW$30*(1-$EW$33)+$EW$26*(-HP($EW$62,$EW$65,$EW$64)+HP($EW$62,$EW$65,0.95*$EW$64)),0)</f>
        <v>-1780.0000000000005</v>
      </c>
      <c r="BL248" s="1111">
        <f t="shared" si="287"/>
        <v>0</v>
      </c>
      <c r="BM248" s="1110">
        <f t="shared" si="288"/>
        <v>0</v>
      </c>
      <c r="BN248" s="1113">
        <f t="shared" si="289"/>
        <v>4</v>
      </c>
      <c r="BO248" s="1097">
        <f t="shared" si="290"/>
        <v>6010.2953161679998</v>
      </c>
      <c r="BP248" s="1100">
        <f t="shared" si="291"/>
        <v>295.12137612040135</v>
      </c>
      <c r="BQ248" s="1113" t="s">
        <v>145</v>
      </c>
      <c r="BR248" s="1124" t="s">
        <v>151</v>
      </c>
      <c r="BS248" s="1098">
        <f>IF($P248="","N/A",IF($P248=-1,INDEX('卡片raw data'!AX:AX,MATCH($D248,'卡片raw data'!$F:$F,)),0)+IF($L248="party卡",IF($P248=5,INDEX('卡片raw data'!BD:BD,MATCH($D248,'卡片raw data'!$F:$F,)),IF($P248&gt;=3,INDEX('卡片raw data'!BC:BC,MATCH($D248,'卡片raw data'!$F:$F,)),INDEX('卡片raw data'!BB:BB,MATCH($D248,'卡片raw data'!$F:$F,)))),IF(OR(AND($F248="UR",$P248=0),AND($F248="SR",$P248&gt;=0,$P248&lt;=2),AND($F248="R",$P248&gt;=0,$P248&lt;4)),INDEX('卡片raw data'!AZ:AZ,MATCH($D248,'卡片raw data'!$F:$F,)),0)+IF(OR(AND($F248="UR",$P248&gt;=1,$P248&lt;=4),AND($F248="SR",$P248&lt;=4,$P248&gt;=3),AND($F248="R",$P248=4)),INDEX('卡片raw data'!BA:BA,MATCH($D248,'卡片raw data'!$F:$F,)),0)+IF($P248=5,INDEX('卡片raw data'!BB:BB,MATCH($D248,'卡片raw data'!$F:$F,)),0)))</f>
        <v>5.1999999999999998E-2</v>
      </c>
      <c r="BT248" s="1101">
        <f t="shared" si="292"/>
        <v>2043.7719479113725</v>
      </c>
      <c r="BU248" s="1097">
        <f t="shared" si="293"/>
        <v>147.8325622517801</v>
      </c>
      <c r="BV248" s="1097">
        <f t="shared" si="294"/>
        <v>1226.2631687468233</v>
      </c>
      <c r="BW248" s="1112">
        <f t="shared" si="295"/>
        <v>0</v>
      </c>
      <c r="BX248" s="1100">
        <f t="shared" si="296"/>
        <v>2043.7719479113725</v>
      </c>
      <c r="BY248" s="1110">
        <f t="shared" si="297"/>
        <v>1226.2631687468233</v>
      </c>
      <c r="BZ248" s="1107" t="s">
        <v>569</v>
      </c>
      <c r="CA248" s="1124"/>
      <c r="CB248" s="1098">
        <f>IF($P248="","N/A",IF($P248=-1,INDEX('卡片raw data'!BE:BE,MATCH($D248,'卡片raw data'!$F:$F,)),0)+IF($L248="party卡",IF($P248=5,INDEX('卡片raw data'!BK:BK,MATCH($D248,'卡片raw data'!$F:$F,)),IF($P248&gt;=3,INDEX('卡片raw data'!BJ:BJ,MATCH($D248,'卡片raw data'!$F:$F,)),INDEX('卡片raw data'!BI:BI,MATCH($D248,'卡片raw data'!$F:$F,)))),IF(OR(AND($F248="UR",$P248=0),AND($F248="SR",$P248&gt;=0,$P248&lt;=2),AND($F248="R",$P248&gt;=0,$P248&lt;4)),INDEX('卡片raw data'!BG:BG,MATCH($D248,'卡片raw data'!$F:$F,)),0)+IF(OR(AND($F248="UR",$P248&gt;=1,$P248&lt;=4),AND($F248="SR",$P248&lt;=4,$P248&gt;=3),AND($F248="R",$P248=4)),INDEX('卡片raw data'!BH:BH,MATCH($D248,'卡片raw data'!$F:$F,)),0)+IF($P248=5,INDEX('卡片raw data'!BI:BI,MATCH($D248,'卡片raw data'!$F:$F,)),0)))</f>
        <v>0</v>
      </c>
      <c r="CC248" s="1101">
        <f t="shared" si="298"/>
        <v>0</v>
      </c>
      <c r="CD248" s="1097">
        <f>IF(BZ248="ap",CB248*(1-$FI$26)*$FB$5/$FB$11*(+IF(CA248="全员",$FA$24,0)+IF(CA248="同作战",$FA$24,0)+IF(CA248="仲间",$FA$24*2/3,0)+IF(CA248="同属性",$FA$24*$FA$37/3,0)+IF(CA248="同年级",$FA$24*$FA$40/3,0)+IF(CA248="同学校",$FA$24*$FA$43/3,0)+IF(CA248="同小队",$FA$24*$FA$46/3,0)+IF(CA248="同type",$FA$24*INDEX($FB$49:$FB$52,MATCH(X248,$FA$49:$FA$52,))/3,0)+IF(CA248="自身",#REF!/3,0)),0)+IF(BZ248="te",CB248*(1-$FI$27)*($FA$20-1)*$FB$7/$FB$13*(+IF(CA248="全员",$FA$19*$FA$24/(1+($FA$20-1)*$FA$19),0)+IF(CA248="同作战",$FA$19*$FA$24/(1+($FA$20-1)*$FA$19),0)+IF(CA248="仲间",$FA$19*$FA$24*2/3/(1+($FA$20-1)*$FA$19),0)+IF(CA248="同属性",$FA$19*$FA$24*$FA$37/3/(1+($FA$20-1)*$FA$19),0)+IF(CA248="同年级",$FA$19*$FA$24*$FA$40/3/(1+($FA$20-1)*$FA$19),0)+IF(CA248="同学校",$FA$19*$FA$24*$FA$43/3/(1+($FA$20-1)*$FA$19),0)+IF(CA248="同小队",$FA$19*$FA$24*$FA$46/3/(1+($FA$20-1)*$FA$19),0)+IF(CA248="同type",$FA$19*$FA$24*INDEX($FB$49:$FB$52,MATCH(X248,$FA$49:$FA$52,))/3/(1+($FA$20-1)*$FA$19),0)+IF(CA248="自身",$FA$19*#REF!/3/(1+(BH248-1)*$BD248),0)),0)</f>
        <v>0</v>
      </c>
      <c r="CE248" s="1097">
        <f t="shared" si="299"/>
        <v>0</v>
      </c>
      <c r="CF248" s="1112">
        <f t="shared" si="300"/>
        <v>0</v>
      </c>
      <c r="CG248" s="1100">
        <f t="shared" si="301"/>
        <v>0</v>
      </c>
      <c r="CH248" s="1110">
        <f t="shared" si="302"/>
        <v>0</v>
      </c>
      <c r="CI248" s="1113" t="s">
        <v>162</v>
      </c>
      <c r="CJ248" s="1114">
        <v>0.5</v>
      </c>
      <c r="CK248" s="1115" t="s">
        <v>256</v>
      </c>
      <c r="CL248" s="1115" t="s">
        <v>1940</v>
      </c>
      <c r="CM248" s="1119">
        <v>0.15</v>
      </c>
      <c r="CN248" s="1115"/>
      <c r="CO248" s="1092"/>
      <c r="CP248" s="1116">
        <f t="shared" si="303"/>
        <v>56.07995528571427</v>
      </c>
      <c r="CQ248" s="1116">
        <f t="shared" si="304"/>
        <v>78.321347519999989</v>
      </c>
      <c r="CR248" s="1116">
        <f t="shared" si="305"/>
        <v>56.07995528571427</v>
      </c>
      <c r="CS248" s="1118">
        <f t="shared" si="306"/>
        <v>0</v>
      </c>
      <c r="CT248" s="1109">
        <f t="shared" si="307"/>
        <v>0</v>
      </c>
      <c r="CU248" s="1101">
        <f t="shared" si="308"/>
        <v>80.194336058571409</v>
      </c>
      <c r="CV248" s="1108">
        <f t="shared" si="309"/>
        <v>0</v>
      </c>
      <c r="CW248" s="1097">
        <f t="shared" si="310"/>
        <v>80.194336058571423</v>
      </c>
      <c r="CX248" s="1097">
        <f t="shared" si="311"/>
        <v>80.194336058571409</v>
      </c>
      <c r="CY248" s="1110">
        <f t="shared" si="312"/>
        <v>80.194336058571423</v>
      </c>
      <c r="CZ248" s="437"/>
      <c r="DA248" s="438"/>
      <c r="DB248" s="439" t="s">
        <v>569</v>
      </c>
      <c r="DC248" s="439"/>
      <c r="DD248" s="443"/>
      <c r="DE248" s="411"/>
      <c r="DF248" s="411"/>
      <c r="DG248" s="1116">
        <f t="shared" si="313"/>
        <v>0</v>
      </c>
      <c r="DH248" s="1116">
        <f t="shared" si="314"/>
        <v>0</v>
      </c>
      <c r="DI248" s="1116">
        <f t="shared" si="315"/>
        <v>0</v>
      </c>
      <c r="DJ248" s="442">
        <f t="shared" si="316"/>
        <v>0</v>
      </c>
      <c r="DK248" s="1109">
        <f t="shared" si="317"/>
        <v>0</v>
      </c>
      <c r="DL248" s="1101">
        <f t="shared" si="318"/>
        <v>0</v>
      </c>
      <c r="DM248" s="1097">
        <f t="shared" si="319"/>
        <v>0</v>
      </c>
      <c r="DN248" s="1097">
        <f t="shared" si="320"/>
        <v>0</v>
      </c>
      <c r="DO248" s="1097">
        <f t="shared" si="321"/>
        <v>0</v>
      </c>
      <c r="DP248" s="1110">
        <f t="shared" si="322"/>
        <v>0</v>
      </c>
      <c r="DQ248" s="1113" t="s">
        <v>156</v>
      </c>
      <c r="DR248" s="1120">
        <f t="shared" si="323"/>
        <v>0.33</v>
      </c>
      <c r="DS248" s="1124"/>
      <c r="DT248" s="1093" t="s">
        <v>179</v>
      </c>
      <c r="DU248" s="1093"/>
      <c r="DV248" s="1098">
        <f>IF($P248="","N/A",IF(P248=-1,INDEX('卡片raw data'!AN:AN,MATCH(D248,'卡片raw data'!$F:$F,)),0)+IF(AND(L248&lt;&gt;"party卡",P248&lt;=2,P248&gt;=0),INDEX('卡片raw data'!AP:AP,MATCH(D248,'卡片raw data'!$F:$F,)),0)+IF(OR(AND(L248="party卡",P248&lt;=1),AND(P248&lt;=4,L248&lt;&gt;"party卡",P248&gt;=3)),INDEX('卡片raw data'!AQ:AQ,MATCH(D248,'卡片raw data'!$F:$F,)),0)+IF(OR(P248=5,AND(L248="party卡",P248&gt;=2)),INDEX('卡片raw data'!AR:AR,MATCH(D248,'卡片raw data'!$F:$F,)),0))</f>
        <v>0.09</v>
      </c>
      <c r="DW248" s="1098">
        <f t="shared" si="324"/>
        <v>0.33</v>
      </c>
      <c r="DX248" s="1098">
        <f t="shared" si="325"/>
        <v>0.33</v>
      </c>
      <c r="DY248" s="1098">
        <f t="shared" si="326"/>
        <v>9.9000000000000008E-3</v>
      </c>
      <c r="DZ248" s="1098">
        <f t="shared" si="327"/>
        <v>9.8480249999999998E-3</v>
      </c>
      <c r="EA248" s="1098">
        <f t="shared" si="328"/>
        <v>0</v>
      </c>
      <c r="EB248" s="1121">
        <f t="shared" si="329"/>
        <v>60.337777499999987</v>
      </c>
      <c r="EC248" s="1101">
        <f t="shared" si="330"/>
        <v>4455</v>
      </c>
      <c r="ED248" s="1097">
        <f t="shared" si="331"/>
        <v>2462.0062499999999</v>
      </c>
      <c r="EE248" s="1110">
        <f t="shared" si="332"/>
        <v>4455</v>
      </c>
      <c r="EF248" s="1092" t="s">
        <v>711</v>
      </c>
      <c r="EG248" s="1120">
        <f t="shared" si="333"/>
        <v>0.33</v>
      </c>
      <c r="EH248" s="1124"/>
      <c r="EI248" s="1093"/>
      <c r="EJ248" s="1093"/>
      <c r="EK248" s="1097">
        <f>IF($P248="","N/A",IF(P248=-1,INDEX('卡片raw data'!AS:AS,MATCH(D248,'卡片raw data'!$F:$F,)),0)+IF(AND(L248&lt;&gt;"party卡",P248&lt;=2,P248&gt;=0),INDEX('卡片raw data'!AU:AU,MATCH(D248,'卡片raw data'!$F:$F,)),0)+IF(OR(AND(L248="party卡",P248&lt;=1),AND(P248&lt;=4,L248&lt;&gt;"party卡",P248&gt;=3)),INDEX('卡片raw data'!AV:AV,MATCH(D248,'卡片raw data'!$F:$F,)),0)+IF(OR(P248=5,AND(L248="party卡",P248&gt;=2)),INDEX('卡片raw data'!AW:AW,MATCH(D248,'卡片raw data'!$F:$F,)),0))</f>
        <v>0</v>
      </c>
      <c r="EL248" s="1098">
        <f t="shared" si="334"/>
        <v>0.33</v>
      </c>
      <c r="EM248" s="1098">
        <f t="shared" si="335"/>
        <v>0.33</v>
      </c>
      <c r="EN248" s="1125">
        <f t="shared" si="336"/>
        <v>0</v>
      </c>
      <c r="EO248" s="1125">
        <f t="shared" si="337"/>
        <v>0</v>
      </c>
      <c r="EP248" s="1098">
        <f t="shared" si="338"/>
        <v>0</v>
      </c>
      <c r="EQ248" s="1121">
        <f t="shared" si="339"/>
        <v>0</v>
      </c>
      <c r="ER248" s="1101">
        <f t="shared" si="340"/>
        <v>0</v>
      </c>
      <c r="ES248" s="1097">
        <f t="shared" si="341"/>
        <v>0</v>
      </c>
      <c r="ET248" s="1122">
        <f t="shared" si="342"/>
        <v>0</v>
      </c>
    </row>
    <row r="249" spans="2:150" ht="16.5" customHeight="1">
      <c r="B249" s="1123" t="str">
        <f>INDEX('卡片raw data'!B:B,MATCH($D249,'卡片raw data'!$F:$F,))</f>
        <v>乐器林</v>
      </c>
      <c r="C249" s="449" t="s">
        <v>124</v>
      </c>
      <c r="D249" s="408">
        <v>246</v>
      </c>
      <c r="E249" s="1090">
        <v>302042002</v>
      </c>
      <c r="F249" s="1090" t="str">
        <f>INDEX('卡片raw data'!C:C,MATCH($D249,'卡片raw data'!$F:$F,))</f>
        <v>SR</v>
      </c>
      <c r="G249" s="1094" t="s">
        <v>347</v>
      </c>
      <c r="H249" s="411">
        <f>IFERROR(INDEX(绊状态确认!C:C,MATCH($G249,绊状态确认!$B:$B,)),"")</f>
        <v>204</v>
      </c>
      <c r="I249" s="450" t="str">
        <f>IFERROR(INDEX(绊状态确认!D:D,MATCH($G249,绊状态确认!$B:$B,)),"")</f>
        <v>虹</v>
      </c>
      <c r="J249" s="450" t="str">
        <f>IFERROR(INDEX(绊状态确认!E:E,MATCH($G249,绊状态确认!$B:$B,)),"")</f>
        <v>3年级</v>
      </c>
      <c r="K249" s="451" t="str">
        <f>IFERROR(INDEX(绊状态确认!F:F,MATCH($G249,绊状态确认!$B:$B,)),"")</f>
        <v>Diver Diva</v>
      </c>
      <c r="L249" s="1094" t="str">
        <f>INDEX('卡片raw data'!E:E,MATCH($D249,'卡片raw data'!$F:$F,))</f>
        <v>卡池卡</v>
      </c>
      <c r="M249" s="415">
        <v>43980</v>
      </c>
      <c r="N249" s="416">
        <v>16.5</v>
      </c>
      <c r="O249" s="1091" t="str">
        <f>INDEX('卡片raw data'!D:D,MATCH($D249,'卡片raw data'!$F:$F,))</f>
        <v>sp</v>
      </c>
      <c r="P249" s="417">
        <v>5</v>
      </c>
      <c r="Q249" s="1095">
        <f t="shared" si="258"/>
        <v>28894.613721260725</v>
      </c>
      <c r="R249" s="1096">
        <f t="shared" si="259"/>
        <v>0.33500000000000002</v>
      </c>
      <c r="S249" s="1097">
        <f t="shared" si="260"/>
        <v>17161.686481080793</v>
      </c>
      <c r="T249" s="1098">
        <f t="shared" si="261"/>
        <v>0.85799999999999998</v>
      </c>
      <c r="U249" s="1099">
        <f t="shared" si="262"/>
        <v>9.3200334682928556</v>
      </c>
      <c r="V249" s="1100">
        <f t="shared" si="263"/>
        <v>27834.063249980889</v>
      </c>
      <c r="W249" s="1101">
        <f t="shared" si="264"/>
        <v>4520.4278317737453</v>
      </c>
      <c r="X249" s="1096">
        <f t="shared" si="265"/>
        <v>5.1999999999999998E-2</v>
      </c>
      <c r="Y249" s="1097">
        <f t="shared" si="266"/>
        <v>739.44952872016529</v>
      </c>
      <c r="Z249" s="1102">
        <f t="shared" si="267"/>
        <v>9.3200334682928556</v>
      </c>
      <c r="AA249" s="1103">
        <f t="shared" si="268"/>
        <v>5259.8773604939106</v>
      </c>
      <c r="AB249" s="1101">
        <f t="shared" si="269"/>
        <v>4987.7456502195992</v>
      </c>
      <c r="AC249" s="1104">
        <f t="shared" si="270"/>
        <v>5.7000000000000002E-2</v>
      </c>
      <c r="AD249" s="1105">
        <f t="shared" si="271"/>
        <v>-1.9908281250000003E-2</v>
      </c>
      <c r="AE249" s="1128">
        <f t="shared" si="272"/>
        <v>56.254287030386429</v>
      </c>
      <c r="AF249" s="1130">
        <f t="shared" si="273"/>
        <v>0</v>
      </c>
      <c r="AG249" s="420">
        <f t="shared" si="274"/>
        <v>0</v>
      </c>
      <c r="AH249" s="420">
        <f t="shared" si="275"/>
        <v>0</v>
      </c>
      <c r="AI249" s="1097">
        <f t="shared" si="276"/>
        <v>0</v>
      </c>
      <c r="AJ249" s="420">
        <f t="shared" si="277"/>
        <v>0</v>
      </c>
      <c r="AK249" s="518">
        <f t="shared" si="278"/>
        <v>0</v>
      </c>
      <c r="AL249" s="1106">
        <f>IF($P249="","N/A",(IF($P249=-1,INDEX('卡片raw data'!S:S,MATCH($D249,'卡片raw data'!$F:$F,)),0)+IF($P249=0,INDEX('卡片raw data'!V:V,MATCH($D249,'卡片raw data'!$F:$F,)),0)+IF($P249=1,INDEX('卡片raw data'!Y:Y,MATCH($D249,'卡片raw data'!$F:$F,)),0)+IF($P249=2,INDEX('卡片raw data'!AB:AB,MATCH($D249,'卡片raw data'!$F:$F,)),0)+IF($P249=3,INDEX('卡片raw data'!AE:AE,MATCH($D249,'卡片raw data'!$F:$F,)),0)+IF($P249=4,INDEX('卡片raw data'!AH:AH,MATCH($D249,'卡片raw data'!$F:$F,)),0)+IF($P249=5,INDEX('卡片raw data'!AK:AK,MATCH($D249,'卡片raw data'!$F:$F,)),0)+INDEX('卡片raw data'!S:S,MATCH($D249,'卡片raw data'!$F:$F,))*(IF($F249="UR",0.04,0.033))*(IF($F249="UR",INDEX(绊状态确认!$S:$S,MATCH($G249,绊状态确认!$B:$B,))/2-40)+IF($F249="SR",INDEX(绊状态确认!$R:$R,MATCH($G249,绊状态确认!$B:$B,))/4-15))+IF($F249="R",INDEX(绊状态确认!$Q:$Q,MATCH($G249,绊状态确认!$B:$B,))/6-40/6)))*(INDEX(绊状态确认!$H:$H,MATCH($G249,绊状态确认!$B:$B,))+INDEX(绊状态确认!J:J,MATCH($G249,绊状态确认!$B:$B,)))</f>
        <v>5990.4030503999993</v>
      </c>
      <c r="AM249" s="1106">
        <f>IF($P249="","N/A",(IF($P249=-1,INDEX('卡片raw data'!T:T,MATCH($D249,'卡片raw data'!$F:$F,)),0)+IF($P249=0,INDEX('卡片raw data'!W:W,MATCH($D249,'卡片raw data'!$F:$F,)),0)+IF($P249=1,INDEX('卡片raw data'!Z:Z,MATCH($D249,'卡片raw data'!$F:$F,)),0)+IF($P249=2,INDEX('卡片raw data'!AC:AC,MATCH($D249,'卡片raw data'!$F:$F,)),0)+IF($P249=3,INDEX('卡片raw data'!AF:AF,MATCH($D249,'卡片raw data'!$F:$F,)),0)+IF($P249=4,INDEX('卡片raw data'!AI:AI,MATCH($D249,'卡片raw data'!$F:$F,)),0)+IF($P249=5,INDEX('卡片raw data'!AL:AL,MATCH($D249,'卡片raw data'!$F:$F,)),0)+INDEX('卡片raw data'!T:T,MATCH($D249,'卡片raw data'!$F:$F,))*(IF($F249="UR",0.04,0.033))*(IF($F249="UR",INDEX(绊状态确认!$S:$S,MATCH($G249,绊状态确认!$B:$B,))/2-40)+IF($F249="SR",INDEX(绊状态确认!$R:$R,MATCH($G249,绊状态确认!$B:$B,))/4-15))+IF($F249="R",INDEX(绊状态确认!$Q:$Q,MATCH($G249,绊状态确认!$B:$B,))/6-40/6)))*(INDEX(绊状态确认!$H:$H,MATCH($G249,绊状态确认!$B:$B,))+INDEX(绊状态确认!K:K,MATCH($G249,绊状态确认!$B:$B,)))</f>
        <v>4391.7200759999996</v>
      </c>
      <c r="AN249" s="1106">
        <f>IF($P249="","N/A",(IF($P249=-1,INDEX('卡片raw data'!U:U,MATCH($D249,'卡片raw data'!$F:$F,)),0)+IF($P249=0,INDEX('卡片raw data'!X:X,MATCH($D249,'卡片raw data'!$F:$F,)),0)+IF($P249=1,INDEX('卡片raw data'!AA:AA,MATCH($D249,'卡片raw data'!$F:$F,)),0)+IF($P249=2,INDEX('卡片raw data'!AD:AD,MATCH($D249,'卡片raw data'!$F:$F,)),0)+IF($P249=3,INDEX('卡片raw data'!AG:AG,MATCH($D249,'卡片raw data'!$F:$F,)),0)+IF($P249=4,INDEX('卡片raw data'!AJ:AJ,MATCH($D249,'卡片raw data'!$F:$F,)),0)+IF($P249=5,INDEX('卡片raw data'!AM:AM,MATCH($D249,'卡片raw data'!$F:$F,)),0)+INDEX('卡片raw data'!U:U,MATCH($D249,'卡片raw data'!$F:$F,))*(IF($F249="UR",0.04,0.033))*(IF($F249="UR",INDEX(绊状态确认!$S:$S,MATCH($G249,绊状态确认!$B:$B,))/2-40)+IF($F249="SR",INDEX(绊状态确认!$R:$R,MATCH($G249,绊状态确认!$B:$B,))/4-15))+IF($F249="R",INDEX(绊状态确认!$Q:$Q,MATCH($G249,绊状态确认!$B:$B,))/6-40/6)))*(INDEX(绊状态确认!$H:$H,MATCH($G249,绊状态确认!$B:$B,))+INDEX(绊状态确认!L:L,MATCH($G249,绊状态确认!$B:$B,)))</f>
        <v>9582.7816391999986</v>
      </c>
      <c r="AO249" s="1107">
        <f t="shared" si="279"/>
        <v>1</v>
      </c>
      <c r="AP249" s="1131">
        <f>1+(INDEX(绊状态确认!$T:$T,MATCH($G249,绊状态确认!$B:$B,))+0.2)*$AO249</f>
        <v>1.3</v>
      </c>
      <c r="AQ249" s="1108">
        <f t="shared" si="280"/>
        <v>18974.808007299998</v>
      </c>
      <c r="AR249" s="1097">
        <f>(AM249*(1+$EX$9)+$EX$35)*(1+(INDEX(绊状态确认!$T:$T,MATCH($G249,绊状态确认!$B:$B,))+0.2)*AO249)*IF(J249=$FF$17,1+$FE$17,1)*IF(I249=$FF$14,1+$FE$14,1)</f>
        <v>8698.6979037399997</v>
      </c>
      <c r="AS249" s="1097">
        <f>(AN249*(1+$EX$10)+$EX$36)*(1+(INDEX(绊状态确认!$T:$T,MATCH($G249,绊状态确认!$B:$B,))+0.2)*AO249)*IF(J249=$FF$17,1+$FE$17,1)*IF(I249=$FF$14,1+$FE$14,1)</f>
        <v>18382.258550603998</v>
      </c>
      <c r="AT249" s="1093">
        <f>IF(AND(INDEX('卡片raw data'!AK:AK,MATCH($D249,'卡片raw data'!$F:$F,))&lt;INDEX('卡片raw data'!AM:AM,MATCH($D249,'卡片raw data'!$F:$F,)),INDEX('卡片raw data'!AL:AL,MATCH($D249,'卡片raw data'!$F:$F,))&lt;INDEX('卡片raw data'!AM:AM,MATCH($D249,'卡片raw data'!$F:$F,))),1,0)</f>
        <v>1</v>
      </c>
      <c r="AU249" s="1098">
        <f>MIN(AT249*0.15+AS249*0.00003+INDEX(绊状态确认!M:M,MATCH($G249,绊状态确认!$B:$B,)),1)</f>
        <v>0.73146775651812002</v>
      </c>
      <c r="AV249" s="1109">
        <f>(INDEX(绊状态确认!$N:$N,MATCH($G249,绊状态确认!$B:$B,))+1.5)*$EW$21</f>
        <v>2.6599999999999997</v>
      </c>
      <c r="AW249" s="1101">
        <f t="shared" si="281"/>
        <v>21820.201404374457</v>
      </c>
      <c r="AX249" s="1097">
        <f t="shared" si="282"/>
        <v>739.4495287201654</v>
      </c>
      <c r="AY249" s="1110">
        <f t="shared" si="283"/>
        <v>22559.650933094621</v>
      </c>
      <c r="AZ249" s="429">
        <f t="shared" si="284"/>
        <v>14281.285948279998</v>
      </c>
      <c r="BA249" s="431">
        <f t="shared" si="285"/>
        <v>17137.543137935998</v>
      </c>
      <c r="BB249" s="1097">
        <f>(AM249*(1+$FB$9)+$FB$35)*(1+(INDEX(绊状态确认!$T:$T,MATCH($G249,绊状态确认!$B:$B,))+0.2)*AO249)*IF(J249=$FF$17,1+$FE$17,1)*IF(I249=$FF$14,1+$FE$14,1)*(1+$FE$15)</f>
        <v>8698.6979037399997</v>
      </c>
      <c r="BC249" s="1097">
        <f>(AN249*(1+$FB$10)+$FB$36)*(1+(INDEX(绊状态确认!$T:$T,MATCH($G249,绊状态确认!$B:$B,))+0.2)*AO249)*IF(J249=$FF$17,1+$FE$17,1)*IF(I249=$FF$14,1+$FE$14,1)*(1+$FE$15)</f>
        <v>18382.258550603998</v>
      </c>
      <c r="BD249" s="1104">
        <f>MIN(AT249*0.15+BC249*0.00003+INDEX(绊状态确认!M:M,MATCH($G249,绊状态确认!$B:$B,)),1)</f>
        <v>0.73146775651812002</v>
      </c>
      <c r="BE249" s="432">
        <f>(INDEX(绊状态确认!$N:$N,MATCH($G249,绊状态确认!$B:$B,))+1.5)</f>
        <v>1.9</v>
      </c>
      <c r="BF249" s="1139">
        <f t="array" ref="BF249">SUMPRODUCT(IF(AZ249*AP249*$FI$16:$FI$23*$FA$22&gt;=$FI$24,$FI$24,AZ249*AP249*$FI$16:$FI$23*$FA$22),$FJ$16:$FJ$23)</f>
        <v>28405.477751128918</v>
      </c>
      <c r="BG249" s="1125">
        <f t="array" ref="BG249">SUMPRODUCT(IF(BE249*AZ249*AP249*$FI$16:$FI$23*$FA$22&gt;=$FI$24,$FI$24,BE249*AZ249*AP249*$FI$16:$FI$23*$FA$22),$FJ$16:$FJ$23)</f>
        <v>52918.740499011852</v>
      </c>
      <c r="BH249" s="1110">
        <f t="shared" si="286"/>
        <v>15445.37968608735</v>
      </c>
      <c r="BI249" s="1111">
        <f>IF(O249="vo",$EW$26/$EW$24*0.05,0)+IF(O249="sk",-$EW$26/$EW$24*(0.05-INDEX(绊状态确认!W:W,MATCH($G249,绊状态确认!$B:$B,)))+0.05*$EW$28,0)+IF(O249="sp",0.05*$EW$32*$EW$30*(1-$EW$33)-(0.05-INDEX(绊状态确认!V:V,MATCH($G249,绊状态确认!$B:$B,)))*$EW$28,0)+IF(O249="gd",-(0.05-INDEX(绊状态确认!X:X,MATCH($G249,绊状态确认!$B:$B,)))*$EW$32*$EW$30*(1-$EW$33),0)</f>
        <v>19.999999999999886</v>
      </c>
      <c r="BJ249" s="1097">
        <f>IF(O249="vo",0.05*(1-$FI$26)*$FA$24,0)+IF(O249="sk",-(0.05-INDEX(绊状态确认!W:W,MATCH($G249,绊状态确认!$B:$B,)))*(1-$FI$26)*$FA$24+0.05*$FA$26,0)+IF(O249="sp",0.05*$FA$32*$FA$27*(1-$FA$33)/$FA$30+0.05*$FA$29/$FA$69*$FA$27*(1-$FA$33)-(0.05-INDEX(绊状态确认!V:V,MATCH($G249,绊状态确认!$B:$B,)))*$FA$26,0)+IF(O249="gd",-(0.05-INDEX(绊状态确认!X:X,MATCH($G249,绊状态确认!$B:$B,)))*$FA$32*$FA$27*(1-$FA$33)/$FA$30-(0.05-INDEX(绊状态确认!X:X,MATCH($G249,绊状态确认!$B:$B,)))*$FA$29/$FA$69*$FA$27*(1-$FA$33),0)</f>
        <v>545.83333333333326</v>
      </c>
      <c r="BK249" s="1110">
        <f>IF(O249="vo",$EW$26/$EW$24*0.05+$EW$26*(-HP($EW$62,$EW$65,$EW$64)+HP($EW$62,$EW$65,(1.05-INDEX(绊状态确认!U:U,MATCH($G249,绊状态确认!$B:$B,)))*$EW$64)),0)+IF(O249="sk",-$EW$26/$EW$24*(0.05-INDEX(绊状态确认!W:W,MATCH($G249,绊状态确认!$B:$B,)))+0.05*$EW$29,0)+IF(O249="sp",0.05*$EW$32*$EW$30*(1-$EW$33)-(0.05-INDEX(绊状态确认!V:V,MATCH($G249,绊状态确认!$B:$B,)))*$EW$29,0)+IF(O249="gd",-(0.05-INDEX(绊状态确认!X:X,MATCH($G249,绊状态确认!$B:$B,)))*$EW$32*$EW$30*(1-$EW$33)+$EW$26*(-HP($EW$62,$EW$65,$EW$64)+HP($EW$62,$EW$65,0.95*$EW$64)),0)</f>
        <v>-1780.0000000000005</v>
      </c>
      <c r="BL249" s="1111">
        <f t="shared" si="287"/>
        <v>-1083.3333333333333</v>
      </c>
      <c r="BM249" s="1110">
        <f t="shared" si="288"/>
        <v>-830.55555555555543</v>
      </c>
      <c r="BN249" s="1113">
        <f t="shared" si="289"/>
        <v>3</v>
      </c>
      <c r="BO249" s="1097">
        <f t="shared" si="290"/>
        <v>4507.7214871259994</v>
      </c>
      <c r="BP249" s="1100">
        <f t="shared" si="291"/>
        <v>221.34103209030098</v>
      </c>
      <c r="BQ249" s="1113" t="s">
        <v>145</v>
      </c>
      <c r="BR249" s="1124" t="s">
        <v>625</v>
      </c>
      <c r="BS249" s="1098">
        <f>IF($P249="","N/A",IF($P249=-1,INDEX('卡片raw data'!AX:AX,MATCH($D249,'卡片raw data'!$F:$F,)),0)+IF($L249="party卡",IF($P249=5,INDEX('卡片raw data'!BD:BD,MATCH($D249,'卡片raw data'!$F:$F,)),IF($P249&gt;=3,INDEX('卡片raw data'!BC:BC,MATCH($D249,'卡片raw data'!$F:$F,)),INDEX('卡片raw data'!BB:BB,MATCH($D249,'卡片raw data'!$F:$F,)))),IF(OR(AND($F249="UR",$P249=0),AND($F249="SR",$P249&gt;=0,$P249&lt;=2),AND($F249="R",$P249&gt;=0,$P249&lt;4)),INDEX('卡片raw data'!AZ:AZ,MATCH($D249,'卡片raw data'!$F:$F,)),0)+IF(OR(AND($F249="UR",$P249&gt;=1,$P249&lt;=4),AND($F249="SR",$P249&lt;=4,$P249&gt;=3),AND($F249="R",$P249=4)),INDEX('卡片raw data'!BA:BA,MATCH($D249,'卡片raw data'!$F:$F,)),0)+IF($P249=5,INDEX('卡片raw data'!BB:BB,MATCH($D249,'卡片raw data'!$F:$F,)),0)))</f>
        <v>7.0000000000000007E-2</v>
      </c>
      <c r="BT249" s="1101">
        <f t="shared" si="292"/>
        <v>467.31781844585436</v>
      </c>
      <c r="BU249" s="1097">
        <f t="shared" si="293"/>
        <v>25.189252758262867</v>
      </c>
      <c r="BV249" s="1097">
        <f t="shared" si="294"/>
        <v>0</v>
      </c>
      <c r="BW249" s="1112">
        <f t="shared" si="295"/>
        <v>0</v>
      </c>
      <c r="BX249" s="1100">
        <f t="shared" si="296"/>
        <v>467.31781844585436</v>
      </c>
      <c r="BY249" s="1110">
        <f t="shared" si="297"/>
        <v>0</v>
      </c>
      <c r="BZ249" s="1107" t="s">
        <v>569</v>
      </c>
      <c r="CA249" s="1124"/>
      <c r="CB249" s="1098">
        <f>IF($P249="","N/A",IF($P249=-1,INDEX('卡片raw data'!BE:BE,MATCH($D249,'卡片raw data'!$F:$F,)),0)+IF($L249="party卡",IF($P249=5,INDEX('卡片raw data'!BK:BK,MATCH($D249,'卡片raw data'!$F:$F,)),IF($P249&gt;=3,INDEX('卡片raw data'!BJ:BJ,MATCH($D249,'卡片raw data'!$F:$F,)),INDEX('卡片raw data'!BI:BI,MATCH($D249,'卡片raw data'!$F:$F,)))),IF(OR(AND($F249="UR",$P249=0),AND($F249="SR",$P249&gt;=0,$P249&lt;=2),AND($F249="R",$P249&gt;=0,$P249&lt;4)),INDEX('卡片raw data'!BG:BG,MATCH($D249,'卡片raw data'!$F:$F,)),0)+IF(OR(AND($F249="UR",$P249&gt;=1,$P249&lt;=4),AND($F249="SR",$P249&lt;=4,$P249&gt;=3),AND($F249="R",$P249=4)),INDEX('卡片raw data'!BH:BH,MATCH($D249,'卡片raw data'!$F:$F,)),0)+IF($P249=5,INDEX('卡片raw data'!BI:BI,MATCH($D249,'卡片raw data'!$F:$F,)),0)))</f>
        <v>0</v>
      </c>
      <c r="CC249" s="1101">
        <f t="shared" si="298"/>
        <v>0</v>
      </c>
      <c r="CD249" s="1097">
        <f>IF(BZ249="ap",CB249*(1-$FI$26)*$FB$5/$FB$11*(+IF(CA249="全员",$FA$24,0)+IF(CA249="同作战",$FA$24,0)+IF(CA249="仲间",$FA$24*2/3,0)+IF(CA249="同属性",$FA$24*$FA$37/3,0)+IF(CA249="同年级",$FA$24*$FA$40/3,0)+IF(CA249="同学校",$FA$24*$FA$43/3,0)+IF(CA249="同小队",$FA$24*$FA$46/3,0)+IF(CA249="同type",$FA$24*INDEX($FB$49:$FB$52,MATCH(X249,$FA$49:$FA$52,))/3,0)+IF(CA249="自身",#REF!/3,0)),0)+IF(BZ249="te",CB249*(1-$FI$27)*($FA$20-1)*$FB$7/$FB$13*(+IF(CA249="全员",$FA$19*$FA$24/(1+($FA$20-1)*$FA$19),0)+IF(CA249="同作战",$FA$19*$FA$24/(1+($FA$20-1)*$FA$19),0)+IF(CA249="仲间",$FA$19*$FA$24*2/3/(1+($FA$20-1)*$FA$19),0)+IF(CA249="同属性",$FA$19*$FA$24*$FA$37/3/(1+($FA$20-1)*$FA$19),0)+IF(CA249="同年级",$FA$19*$FA$24*$FA$40/3/(1+($FA$20-1)*$FA$19),0)+IF(CA249="同学校",$FA$19*$FA$24*$FA$43/3/(1+($FA$20-1)*$FA$19),0)+IF(CA249="同小队",$FA$19*$FA$24*$FA$46/3/(1+($FA$20-1)*$FA$19),0)+IF(CA249="同type",$FA$19*$FA$24*INDEX($FB$49:$FB$52,MATCH(X249,$FA$49:$FA$52,))/3/(1+($FA$20-1)*$FA$19),0)+IF(CA249="自身",$FA$19*#REF!/3/(1+(BH249-1)*$BD249),0)),0)</f>
        <v>0</v>
      </c>
      <c r="CE249" s="1097">
        <f t="shared" si="299"/>
        <v>0</v>
      </c>
      <c r="CF249" s="1112">
        <f t="shared" si="300"/>
        <v>0</v>
      </c>
      <c r="CG249" s="1100">
        <f t="shared" si="301"/>
        <v>0</v>
      </c>
      <c r="CH249" s="1110">
        <f t="shared" si="302"/>
        <v>0</v>
      </c>
      <c r="CI249" s="1113" t="s">
        <v>170</v>
      </c>
      <c r="CJ249" s="1114">
        <v>0.15</v>
      </c>
      <c r="CK249" s="1115" t="s">
        <v>549</v>
      </c>
      <c r="CL249" s="1115" t="s">
        <v>1940</v>
      </c>
      <c r="CM249" s="1119">
        <v>0.02</v>
      </c>
      <c r="CN249" s="1115"/>
      <c r="CO249" s="1092"/>
      <c r="CP249" s="1116">
        <f t="shared" si="303"/>
        <v>0.20330151436392854</v>
      </c>
      <c r="CQ249" s="1116">
        <f t="shared" si="304"/>
        <v>0.32846957681043992</v>
      </c>
      <c r="CR249" s="1116">
        <f t="shared" si="305"/>
        <v>0.20330151436392854</v>
      </c>
      <c r="CS249" s="1118">
        <f t="shared" si="306"/>
        <v>0</v>
      </c>
      <c r="CT249" s="1109">
        <f t="shared" si="307"/>
        <v>14.942661305748748</v>
      </c>
      <c r="CU249" s="1101">
        <f t="shared" si="308"/>
        <v>12.706344647745535</v>
      </c>
      <c r="CV249" s="1108">
        <f t="shared" si="309"/>
        <v>13.686232367101663</v>
      </c>
      <c r="CW249" s="1097">
        <f t="shared" si="310"/>
        <v>12.706344647745535</v>
      </c>
      <c r="CX249" s="1097">
        <f t="shared" si="311"/>
        <v>12.706344647745535</v>
      </c>
      <c r="CY249" s="1110">
        <f t="shared" si="312"/>
        <v>12.706344647745535</v>
      </c>
      <c r="CZ249" s="437"/>
      <c r="DA249" s="438"/>
      <c r="DB249" s="439" t="s">
        <v>569</v>
      </c>
      <c r="DC249" s="439"/>
      <c r="DD249" s="443"/>
      <c r="DE249" s="411"/>
      <c r="DF249" s="411"/>
      <c r="DG249" s="1116">
        <f t="shared" si="313"/>
        <v>0</v>
      </c>
      <c r="DH249" s="1116">
        <f t="shared" si="314"/>
        <v>0</v>
      </c>
      <c r="DI249" s="1116">
        <f t="shared" si="315"/>
        <v>0</v>
      </c>
      <c r="DJ249" s="442">
        <f t="shared" si="316"/>
        <v>0</v>
      </c>
      <c r="DK249" s="1109">
        <f t="shared" si="317"/>
        <v>0</v>
      </c>
      <c r="DL249" s="1101">
        <f t="shared" si="318"/>
        <v>0</v>
      </c>
      <c r="DM249" s="1097">
        <f t="shared" si="319"/>
        <v>0</v>
      </c>
      <c r="DN249" s="1097">
        <f t="shared" si="320"/>
        <v>0</v>
      </c>
      <c r="DO249" s="1097">
        <f t="shared" si="321"/>
        <v>0</v>
      </c>
      <c r="DP249" s="1110">
        <f t="shared" si="322"/>
        <v>0</v>
      </c>
      <c r="DQ249" s="1113" t="s">
        <v>549</v>
      </c>
      <c r="DR249" s="1120">
        <f t="shared" si="323"/>
        <v>0.3</v>
      </c>
      <c r="DS249" s="1124"/>
      <c r="DT249" s="1093" t="s">
        <v>179</v>
      </c>
      <c r="DU249" s="1093"/>
      <c r="DV249" s="1098">
        <f>IF($P249="","N/A",IF(P249=-1,INDEX('卡片raw data'!AN:AN,MATCH(D249,'卡片raw data'!$F:$F,)),0)+IF(AND(L249&lt;&gt;"party卡",P249&lt;=2,P249&gt;=0),INDEX('卡片raw data'!AP:AP,MATCH(D249,'卡片raw data'!$F:$F,)),0)+IF(OR(AND(L249="party卡",P249&lt;=1),AND(P249&lt;=4,L249&lt;&gt;"party卡",P249&gt;=3)),INDEX('卡片raw data'!AQ:AQ,MATCH(D249,'卡片raw data'!$F:$F,)),0)+IF(OR(P249=5,AND(L249="party卡",P249&gt;=2)),INDEX('卡片raw data'!AR:AR,MATCH(D249,'卡片raw data'!$F:$F,)),0))</f>
        <v>7.0000000000000007E-2</v>
      </c>
      <c r="DW249" s="1098">
        <f t="shared" si="324"/>
        <v>0.3</v>
      </c>
      <c r="DX249" s="1098">
        <f t="shared" si="325"/>
        <v>0.3</v>
      </c>
      <c r="DY249" s="1098">
        <f t="shared" si="326"/>
        <v>7.0000000000000001E-3</v>
      </c>
      <c r="DZ249" s="1098">
        <f t="shared" si="327"/>
        <v>6.9632499999999998E-3</v>
      </c>
      <c r="EA249" s="1098">
        <f t="shared" si="328"/>
        <v>0</v>
      </c>
      <c r="EB249" s="1121">
        <f t="shared" si="329"/>
        <v>42.663074999999999</v>
      </c>
      <c r="EC249" s="1101">
        <f t="shared" si="330"/>
        <v>3150</v>
      </c>
      <c r="ED249" s="1097">
        <f t="shared" si="331"/>
        <v>1740.8125</v>
      </c>
      <c r="EE249" s="1110">
        <f t="shared" si="332"/>
        <v>3150</v>
      </c>
      <c r="EF249" s="1092" t="s">
        <v>711</v>
      </c>
      <c r="EG249" s="1120">
        <f t="shared" si="333"/>
        <v>0.3</v>
      </c>
      <c r="EH249" s="1124"/>
      <c r="EI249" s="1093"/>
      <c r="EJ249" s="1093"/>
      <c r="EK249" s="1097">
        <f>IF($P249="","N/A",IF(P249=-1,INDEX('卡片raw data'!AS:AS,MATCH(D249,'卡片raw data'!$F:$F,)),0)+IF(AND(L249&lt;&gt;"party卡",P249&lt;=2,P249&gt;=0),INDEX('卡片raw data'!AU:AU,MATCH(D249,'卡片raw data'!$F:$F,)),0)+IF(OR(AND(L249="party卡",P249&lt;=1),AND(P249&lt;=4,L249&lt;&gt;"party卡",P249&gt;=3)),INDEX('卡片raw data'!AV:AV,MATCH(D249,'卡片raw data'!$F:$F,)),0)+IF(OR(P249=5,AND(L249="party卡",P249&gt;=2)),INDEX('卡片raw data'!AW:AW,MATCH(D249,'卡片raw data'!$F:$F,)),0))</f>
        <v>0</v>
      </c>
      <c r="EL249" s="1098">
        <f t="shared" si="334"/>
        <v>0.3</v>
      </c>
      <c r="EM249" s="1098">
        <f t="shared" si="335"/>
        <v>0.3</v>
      </c>
      <c r="EN249" s="1125">
        <f t="shared" si="336"/>
        <v>0</v>
      </c>
      <c r="EO249" s="1125">
        <f t="shared" si="337"/>
        <v>0</v>
      </c>
      <c r="EP249" s="1098">
        <f t="shared" si="338"/>
        <v>0</v>
      </c>
      <c r="EQ249" s="1121">
        <f t="shared" si="339"/>
        <v>0</v>
      </c>
      <c r="ER249" s="1101">
        <f t="shared" si="340"/>
        <v>0</v>
      </c>
      <c r="ES249" s="1097">
        <f t="shared" si="341"/>
        <v>0</v>
      </c>
      <c r="ET249" s="1122">
        <f t="shared" si="342"/>
        <v>0</v>
      </c>
    </row>
    <row r="250" spans="2:150" ht="16.5" customHeight="1">
      <c r="B250" s="1123" t="str">
        <f>INDEX('卡片raw data'!B:B,MATCH($D250,'卡片raw data'!$F:$F,))</f>
        <v>bm善</v>
      </c>
      <c r="C250" s="449" t="s">
        <v>69</v>
      </c>
      <c r="D250" s="408">
        <v>247</v>
      </c>
      <c r="E250" s="1090">
        <v>301062002</v>
      </c>
      <c r="F250" s="1090" t="str">
        <f>INDEX('卡片raw data'!C:C,MATCH($D250,'卡片raw data'!$F:$F,))</f>
        <v>SR</v>
      </c>
      <c r="G250" s="1094" t="s">
        <v>343</v>
      </c>
      <c r="H250" s="411">
        <f>IFERROR(INDEX(绊状态确认!C:C,MATCH($G250,绊状态确认!$B:$B,)),"")</f>
        <v>106</v>
      </c>
      <c r="I250" s="450" t="str">
        <f>IFERROR(INDEX(绊状态确认!D:D,MATCH($G250,绊状态确认!$B:$B,)),"")</f>
        <v>水</v>
      </c>
      <c r="J250" s="450" t="str">
        <f>IFERROR(INDEX(绊状态确认!E:E,MATCH($G250,绊状态确认!$B:$B,)),"")</f>
        <v>1年级</v>
      </c>
      <c r="K250" s="451" t="str">
        <f>IFERROR(INDEX(绊状态确认!F:F,MATCH($G250,绊状态确认!$B:$B,)),"")</f>
        <v>Guilty Kiss</v>
      </c>
      <c r="L250" s="1094" t="str">
        <f>INDEX('卡片raw data'!E:E,MATCH($D250,'卡片raw data'!$F:$F,))</f>
        <v>卡池卡</v>
      </c>
      <c r="M250" s="415">
        <v>43980</v>
      </c>
      <c r="N250" s="416">
        <v>16.5</v>
      </c>
      <c r="O250" s="1091" t="str">
        <f>INDEX('卡片raw data'!D:D,MATCH($D250,'卡片raw data'!$F:$F,))</f>
        <v>gd</v>
      </c>
      <c r="P250" s="417">
        <v>5</v>
      </c>
      <c r="Q250" s="1095">
        <f t="shared" si="258"/>
        <v>18368.162298153849</v>
      </c>
      <c r="R250" s="1096">
        <f t="shared" si="259"/>
        <v>0.21299999999999999</v>
      </c>
      <c r="S250" s="1097">
        <f t="shared" si="260"/>
        <v>10559.474812314033</v>
      </c>
      <c r="T250" s="1098">
        <f t="shared" si="261"/>
        <v>0.52700000000000002</v>
      </c>
      <c r="U250" s="1099">
        <f t="shared" si="262"/>
        <v>402.11409441558959</v>
      </c>
      <c r="V250" s="1100">
        <f t="shared" si="263"/>
        <v>67871.9971825838</v>
      </c>
      <c r="W250" s="1101">
        <f t="shared" si="264"/>
        <v>4507.7214871259994</v>
      </c>
      <c r="X250" s="1096">
        <f t="shared" si="265"/>
        <v>5.1999999999999998E-2</v>
      </c>
      <c r="Y250" s="1097">
        <f t="shared" si="266"/>
        <v>1457.0971919070425</v>
      </c>
      <c r="Z250" s="1102">
        <f t="shared" si="267"/>
        <v>17.15217455898561</v>
      </c>
      <c r="AA250" s="1103">
        <f t="shared" si="268"/>
        <v>5964.8186790330419</v>
      </c>
      <c r="AB250" s="1101">
        <f t="shared" si="269"/>
        <v>4507.7214871259994</v>
      </c>
      <c r="AC250" s="1104">
        <f t="shared" si="270"/>
        <v>5.1999999999999998E-2</v>
      </c>
      <c r="AD250" s="1105">
        <f t="shared" si="271"/>
        <v>-3.8207812500000026E-3</v>
      </c>
      <c r="AE250" s="1128">
        <f t="shared" si="272"/>
        <v>-18.525362318840578</v>
      </c>
      <c r="AF250" s="1130">
        <f t="shared" si="273"/>
        <v>5706.0630258750552</v>
      </c>
      <c r="AG250" s="420">
        <f t="shared" si="274"/>
        <v>101469.1120782801</v>
      </c>
      <c r="AH250" s="420">
        <f t="shared" si="275"/>
        <v>17.782683369978947</v>
      </c>
      <c r="AI250" s="1097">
        <f t="shared" si="276"/>
        <v>91226.263360020122</v>
      </c>
      <c r="AJ250" s="420">
        <f t="shared" si="277"/>
        <v>67871.9971825838</v>
      </c>
      <c r="AK250" s="518">
        <f t="shared" si="278"/>
        <v>23354.266177436322</v>
      </c>
      <c r="AL250" s="1106">
        <f>IF($P250="","N/A",(IF($P250=-1,INDEX('卡片raw data'!S:S,MATCH($D250,'卡片raw data'!$F:$F,)),0)+IF($P250=0,INDEX('卡片raw data'!V:V,MATCH($D250,'卡片raw data'!$F:$F,)),0)+IF($P250=1,INDEX('卡片raw data'!Y:Y,MATCH($D250,'卡片raw data'!$F:$F,)),0)+IF($P250=2,INDEX('卡片raw data'!AB:AB,MATCH($D250,'卡片raw data'!$F:$F,)),0)+IF($P250=3,INDEX('卡片raw data'!AE:AE,MATCH($D250,'卡片raw data'!$F:$F,)),0)+IF($P250=4,INDEX('卡片raw data'!AH:AH,MATCH($D250,'卡片raw data'!$F:$F,)),0)+IF($P250=5,INDEX('卡片raw data'!AK:AK,MATCH($D250,'卡片raw data'!$F:$F,)),0)+INDEX('卡片raw data'!S:S,MATCH($D250,'卡片raw data'!$F:$F,))*(IF($F250="UR",0.04,0.033))*(IF($F250="UR",INDEX(绊状态确认!$S:$S,MATCH($G250,绊状态确认!$B:$B,))/2-40)+IF($F250="SR",INDEX(绊状态确认!$R:$R,MATCH($G250,绊状态确认!$B:$B,))/4-15))+IF($F250="R",INDEX(绊状态确认!$Q:$Q,MATCH($G250,绊状态确认!$B:$B,))/6-40/6)))*(INDEX(绊状态确认!$H:$H,MATCH($G250,绊状态确认!$B:$B,))+INDEX(绊状态确认!J:J,MATCH($G250,绊状态确认!$B:$B,)))</f>
        <v>5189.9251631999996</v>
      </c>
      <c r="AM250" s="1106">
        <f>IF($P250="","N/A",(IF($P250=-1,INDEX('卡片raw data'!T:T,MATCH($D250,'卡片raw data'!$F:$F,)),0)+IF($P250=0,INDEX('卡片raw data'!W:W,MATCH($D250,'卡片raw data'!$F:$F,)),0)+IF($P250=1,INDEX('卡片raw data'!Z:Z,MATCH($D250,'卡片raw data'!$F:$F,)),0)+IF($P250=2,INDEX('卡片raw data'!AC:AC,MATCH($D250,'卡片raw data'!$F:$F,)),0)+IF($P250=3,INDEX('卡片raw data'!AF:AF,MATCH($D250,'卡片raw data'!$F:$F,)),0)+IF($P250=4,INDEX('卡片raw data'!AI:AI,MATCH($D250,'卡片raw data'!$F:$F,)),0)+IF($P250=5,INDEX('卡片raw data'!AL:AL,MATCH($D250,'卡片raw data'!$F:$F,)),0)+INDEX('卡片raw data'!T:T,MATCH($D250,'卡片raw data'!$F:$F,))*(IF($F250="UR",0.04,0.033))*(IF($F250="UR",INDEX(绊状态确认!$S:$S,MATCH($G250,绊状态确认!$B:$B,))/2-40)+IF($F250="SR",INDEX(绊状态确认!$R:$R,MATCH($G250,绊状态确认!$B:$B,))/4-15))+IF($F250="R",INDEX(绊状态确认!$Q:$Q,MATCH($G250,绊状态确认!$B:$B,))/6-40/6)))*(INDEX(绊状态确认!$H:$H,MATCH($G250,绊状态确认!$B:$B,))+INDEX(绊状态确认!K:K,MATCH($G250,绊状态确认!$B:$B,)))</f>
        <v>7786.0241447999988</v>
      </c>
      <c r="AN250" s="1106">
        <f>IF($P250="","N/A",(IF($P250=-1,INDEX('卡片raw data'!U:U,MATCH($D250,'卡片raw data'!$F:$F,)),0)+IF($P250=0,INDEX('卡片raw data'!X:X,MATCH($D250,'卡片raw data'!$F:$F,)),0)+IF($P250=1,INDEX('卡片raw data'!AA:AA,MATCH($D250,'卡片raw data'!$F:$F,)),0)+IF($P250=2,INDEX('卡片raw data'!AD:AD,MATCH($D250,'卡片raw data'!$F:$F,)),0)+IF($P250=3,INDEX('卡片raw data'!AG:AG,MATCH($D250,'卡片raw data'!$F:$F,)),0)+IF($P250=4,INDEX('卡片raw data'!AJ:AJ,MATCH($D250,'卡片raw data'!$F:$F,)),0)+IF($P250=5,INDEX('卡片raw data'!AM:AM,MATCH($D250,'卡片raw data'!$F:$F,)),0)+INDEX('卡片raw data'!U:U,MATCH($D250,'卡片raw data'!$F:$F,))*(IF($F250="UR",0.04,0.033))*(IF($F250="UR",INDEX(绊状态确认!$S:$S,MATCH($G250,绊状态确认!$B:$B,))/2-40)+IF($F250="SR",INDEX(绊状态确认!$R:$R,MATCH($G250,绊状态确认!$B:$B,))/4-15))+IF($F250="R",INDEX(绊状态确认!$Q:$Q,MATCH($G250,绊状态确认!$B:$B,))/6-40/6)))*(INDEX(绊状态确认!$H:$H,MATCH($G250,绊状态确认!$B:$B,))+INDEX(绊状态确认!L:L,MATCH($G250,绊状态确认!$B:$B,)))</f>
        <v>6987.8190575999988</v>
      </c>
      <c r="AO250" s="1107">
        <f t="shared" si="279"/>
        <v>1</v>
      </c>
      <c r="AP250" s="1131">
        <f>1+(INDEX(绊状态确认!$T:$T,MATCH($G250,绊状态确认!$B:$B,))+0.2)*$AO250</f>
        <v>1.3</v>
      </c>
      <c r="AQ250" s="1108">
        <f t="shared" si="280"/>
        <v>16873.553553400001</v>
      </c>
      <c r="AR250" s="1097">
        <f>(AM250*(1+$EX$9)+$EX$35)*(1+(INDEX(绊状态确认!$T:$T,MATCH($G250,绊状态确认!$B:$B,))+0.2)*AO250)*IF(J250=$FF$17,1+$FE$17,1)*IF(I250=$FF$14,1+$FE$14,1)</f>
        <v>13331.922957651999</v>
      </c>
      <c r="AS250" s="1097">
        <f>(AN250*(1+$EX$10)+$EX$36)*(1+(INDEX(绊状态确认!$T:$T,MATCH($G250,绊状态确认!$B:$B,))+0.2)*AO250)*IF(J250=$FF$17,1+$FE$17,1)*IF(I250=$FF$14,1+$FE$14,1)</f>
        <v>14502.789491111998</v>
      </c>
      <c r="AT250" s="1093">
        <f>IF(AND(INDEX('卡片raw data'!AK:AK,MATCH($D250,'卡片raw data'!$F:$F,))&lt;INDEX('卡片raw data'!AM:AM,MATCH($D250,'卡片raw data'!$F:$F,)),INDEX('卡片raw data'!AL:AL,MATCH($D250,'卡片raw data'!$F:$F,))&lt;INDEX('卡片raw data'!AM:AM,MATCH($D250,'卡片raw data'!$F:$F,))),1,0)</f>
        <v>0</v>
      </c>
      <c r="AU250" s="1098">
        <f>MIN(AT250*0.15+AS250*0.00003+INDEX(绊状态确认!M:M,MATCH($G250,绊状态确认!$B:$B,)),1)</f>
        <v>0.46508368473335998</v>
      </c>
      <c r="AV250" s="1109">
        <f>(INDEX(绊状态确认!$N:$N,MATCH($G250,绊状态确认!$B:$B,))+1.5)*$EW$21</f>
        <v>2.6599999999999997</v>
      </c>
      <c r="AW250" s="1101">
        <f t="shared" si="281"/>
        <v>15528.774144361183</v>
      </c>
      <c r="AX250" s="1097">
        <f t="shared" si="282"/>
        <v>1144.888471013867</v>
      </c>
      <c r="AY250" s="1110">
        <f t="shared" si="283"/>
        <v>16673.662615375051</v>
      </c>
      <c r="AZ250" s="429">
        <f t="shared" si="284"/>
        <v>12720.35406824</v>
      </c>
      <c r="BA250" s="431">
        <f t="shared" si="285"/>
        <v>15264.424881887999</v>
      </c>
      <c r="BB250" s="1097">
        <f>(AM250*(1+$FB$9)+$FB$35)*(1+(INDEX(绊状态确认!$T:$T,MATCH($G250,绊状态确认!$B:$B,))+0.2)*AO250)*IF(J250=$FF$17,1+$FE$17,1)*IF(I250=$FF$14,1+$FE$14,1)*(1+$FE$15)</f>
        <v>13331.922957651999</v>
      </c>
      <c r="BC250" s="1097">
        <f>(AN250*(1+$FB$10)+$FB$36)*(1+(INDEX(绊状态确认!$T:$T,MATCH($G250,绊状态确认!$B:$B,))+0.2)*AO250)*IF(J250=$FF$17,1+$FE$17,1)*IF(I250=$FF$14,1+$FE$14,1)*(1+$FE$15)</f>
        <v>14502.789491111998</v>
      </c>
      <c r="BD250" s="1104">
        <f>MIN(AT250*0.15+BC250*0.00003+INDEX(绊状态确认!M:M,MATCH($G250,绊状态确认!$B:$B,)),1)</f>
        <v>0.46508368473335998</v>
      </c>
      <c r="BE250" s="432">
        <f>(INDEX(绊状态确认!$N:$N,MATCH($G250,绊状态确认!$B:$B,))+1.5)</f>
        <v>1.9</v>
      </c>
      <c r="BF250" s="1139">
        <f t="array" ref="BF250">SUMPRODUCT(IF(AZ250*AP250*$FI$16:$FI$23*$FA$22&gt;=$FI$24,$FI$24,AZ250*AP250*$FI$16:$FI$23*$FA$22),$FJ$16:$FJ$23)</f>
        <v>25300.784241729365</v>
      </c>
      <c r="BG250" s="1125">
        <f t="array" ref="BG250">SUMPRODUCT(IF(BE250*AZ250*AP250*$FI$16:$FI$23*$FA$22&gt;=$FI$24,$FI$24,BE250*AZ250*AP250*$FI$16:$FI$23*$FA$22),$FJ$16:$FJ$23)</f>
        <v>48071.490059285788</v>
      </c>
      <c r="BH250" s="1110">
        <f t="shared" si="286"/>
        <v>11963.689335779287</v>
      </c>
      <c r="BI250" s="1111">
        <f>IF(O250="vo",$EW$26/$EW$24*0.05,0)+IF(O250="sk",-$EW$26/$EW$24*(0.05-INDEX(绊状态确认!W:W,MATCH($G250,绊状态确认!$B:$B,)))+0.05*$EW$28,0)+IF(O250="sp",0.05*$EW$32*$EW$30*(1-$EW$33)-(0.05-INDEX(绊状态确认!V:V,MATCH($G250,绊状态确认!$B:$B,)))*$EW$28,0)+IF(O250="gd",-(0.05-INDEX(绊状态确认!X:X,MATCH($G250,绊状态确认!$B:$B,)))*$EW$32*$EW$30*(1-$EW$33),0)</f>
        <v>-585.00000000000011</v>
      </c>
      <c r="BJ250" s="1097">
        <f>IF(O250="vo",0.05*(1-$FI$26)*$FA$24,0)+IF(O250="sk",-(0.05-INDEX(绊状态确认!W:W,MATCH($G250,绊状态确认!$B:$B,)))*(1-$FI$26)*$FA$24+0.05*$FA$26,0)+IF(O250="sp",0.05*$FA$32*$FA$27*(1-$FA$33)/$FA$30+0.05*$FA$29/$FA$69*$FA$27*(1-$FA$33)-(0.05-INDEX(绊状态确认!V:V,MATCH($G250,绊状态确认!$B:$B,)))*$FA$26,0)+IF(O250="gd",-(0.05-INDEX(绊状态确认!X:X,MATCH($G250,绊状态确认!$B:$B,)))*$FA$32*$FA$27*(1-$FA$33)/$FA$30-(0.05-INDEX(绊状态确认!X:X,MATCH($G250,绊状态确认!$B:$B,)))*$FA$29/$FA$69*$FA$27*(1-$FA$33),0)</f>
        <v>-795.00000000000011</v>
      </c>
      <c r="BK250" s="1110">
        <f>IF(O250="vo",$EW$26/$EW$24*0.05+$EW$26*(-HP($EW$62,$EW$65,$EW$64)+HP($EW$62,$EW$65,(1.05-INDEX(绊状态确认!U:U,MATCH($G250,绊状态确认!$B:$B,)))*$EW$64)),0)+IF(O250="sk",-$EW$26/$EW$24*(0.05-INDEX(绊状态确认!W:W,MATCH($G250,绊状态确认!$B:$B,)))+0.05*$EW$29,0)+IF(O250="sp",0.05*$EW$32*$EW$30*(1-$EW$33)-(0.05-INDEX(绊状态确认!V:V,MATCH($G250,绊状态确认!$B:$B,)))*$EW$29,0)+IF(O250="gd",-(0.05-INDEX(绊状态确认!X:X,MATCH($G250,绊状态确认!$B:$B,)))*$EW$32*$EW$30*(1-$EW$33)+$EW$26*(-HP($EW$62,$EW$65,$EW$64)+HP($EW$62,$EW$65,0.95*$EW$64)),0)</f>
        <v>1009.5947725176144</v>
      </c>
      <c r="BL250" s="1111">
        <f t="shared" si="287"/>
        <v>-1083.3333333333333</v>
      </c>
      <c r="BM250" s="1110">
        <f t="shared" si="288"/>
        <v>-830.55555555555543</v>
      </c>
      <c r="BN250" s="1113">
        <f t="shared" si="289"/>
        <v>3</v>
      </c>
      <c r="BO250" s="1097">
        <f t="shared" si="290"/>
        <v>4507.7214871259994</v>
      </c>
      <c r="BP250" s="1100">
        <f t="shared" si="291"/>
        <v>221.34103209030098</v>
      </c>
      <c r="BQ250" s="1113" t="s">
        <v>144</v>
      </c>
      <c r="BR250" s="1124" t="s">
        <v>625</v>
      </c>
      <c r="BS250" s="1098">
        <f>IF($P250="","N/A",IF($P250=-1,INDEX('卡片raw data'!AX:AX,MATCH($D250,'卡片raw data'!$F:$F,)),0)+IF($L250="party卡",IF($P250=5,INDEX('卡片raw data'!BD:BD,MATCH($D250,'卡片raw data'!$F:$F,)),IF($P250&gt;=3,INDEX('卡片raw data'!BC:BC,MATCH($D250,'卡片raw data'!$F:$F,)),INDEX('卡片raw data'!BB:BB,MATCH($D250,'卡片raw data'!$F:$F,)))),IF(OR(AND($F250="UR",$P250=0),AND($F250="SR",$P250&gt;=0,$P250&lt;=2),AND($F250="R",$P250&gt;=0,$P250&lt;4)),INDEX('卡片raw data'!AZ:AZ,MATCH($D250,'卡片raw data'!$F:$F,)),0)+IF(OR(AND($F250="UR",$P250&gt;=1,$P250&lt;=4),AND($F250="SR",$P250&lt;=4,$P250&gt;=3),AND($F250="R",$P250=4)),INDEX('卡片raw data'!BA:BA,MATCH($D250,'卡片raw data'!$F:$F,)),0)+IF($P250=5,INDEX('卡片raw data'!BB:BB,MATCH($D250,'卡片raw data'!$F:$F,)),0)))</f>
        <v>7.0000000000000007E-2</v>
      </c>
      <c r="BT250" s="1101">
        <f t="shared" si="292"/>
        <v>0</v>
      </c>
      <c r="BU250" s="1097">
        <f t="shared" si="293"/>
        <v>0</v>
      </c>
      <c r="BV250" s="1097">
        <f t="shared" si="294"/>
        <v>0</v>
      </c>
      <c r="BW250" s="1112">
        <f t="shared" si="295"/>
        <v>0.78797139007275407</v>
      </c>
      <c r="BX250" s="1100">
        <f t="shared" si="296"/>
        <v>61.448997154856166</v>
      </c>
      <c r="BY250" s="1110">
        <f t="shared" si="297"/>
        <v>61.448997154856166</v>
      </c>
      <c r="BZ250" s="1107" t="s">
        <v>569</v>
      </c>
      <c r="CA250" s="1124"/>
      <c r="CB250" s="1098">
        <f>IF($P250="","N/A",IF($P250=-1,INDEX('卡片raw data'!BE:BE,MATCH($D250,'卡片raw data'!$F:$F,)),0)+IF($L250="party卡",IF($P250=5,INDEX('卡片raw data'!BK:BK,MATCH($D250,'卡片raw data'!$F:$F,)),IF($P250&gt;=3,INDEX('卡片raw data'!BJ:BJ,MATCH($D250,'卡片raw data'!$F:$F,)),INDEX('卡片raw data'!BI:BI,MATCH($D250,'卡片raw data'!$F:$F,)))),IF(OR(AND($F250="UR",$P250=0),AND($F250="SR",$P250&gt;=0,$P250&lt;=2),AND($F250="R",$P250&gt;=0,$P250&lt;4)),INDEX('卡片raw data'!BG:BG,MATCH($D250,'卡片raw data'!$F:$F,)),0)+IF(OR(AND($F250="UR",$P250&gt;=1,$P250&lt;=4),AND($F250="SR",$P250&lt;=4,$P250&gt;=3),AND($F250="R",$P250=4)),INDEX('卡片raw data'!BH:BH,MATCH($D250,'卡片raw data'!$F:$F,)),0)+IF($P250=5,INDEX('卡片raw data'!BI:BI,MATCH($D250,'卡片raw data'!$F:$F,)),0)))</f>
        <v>0</v>
      </c>
      <c r="CC250" s="1101">
        <f t="shared" si="298"/>
        <v>0</v>
      </c>
      <c r="CD250" s="1097">
        <f>IF(BZ250="ap",CB250*(1-$FI$26)*$FB$5/$FB$11*(+IF(CA250="全员",$FA$24,0)+IF(CA250="同作战",$FA$24,0)+IF(CA250="仲间",$FA$24*2/3,0)+IF(CA250="同属性",$FA$24*$FA$37/3,0)+IF(CA250="同年级",$FA$24*$FA$40/3,0)+IF(CA250="同学校",$FA$24*$FA$43/3,0)+IF(CA250="同小队",$FA$24*$FA$46/3,0)+IF(CA250="同type",$FA$24*INDEX($FB$49:$FB$52,MATCH(X250,$FA$49:$FA$52,))/3,0)+IF(CA250="自身",#REF!/3,0)),0)+IF(BZ250="te",CB250*(1-$FI$27)*($FA$20-1)*$FB$7/$FB$13*(+IF(CA250="全员",$FA$19*$FA$24/(1+($FA$20-1)*$FA$19),0)+IF(CA250="同作战",$FA$19*$FA$24/(1+($FA$20-1)*$FA$19),0)+IF(CA250="仲间",$FA$19*$FA$24*2/3/(1+($FA$20-1)*$FA$19),0)+IF(CA250="同属性",$FA$19*$FA$24*$FA$37/3/(1+($FA$20-1)*$FA$19),0)+IF(CA250="同年级",$FA$19*$FA$24*$FA$40/3/(1+($FA$20-1)*$FA$19),0)+IF(CA250="同学校",$FA$19*$FA$24*$FA$43/3/(1+($FA$20-1)*$FA$19),0)+IF(CA250="同小队",$FA$19*$FA$24*$FA$46/3/(1+($FA$20-1)*$FA$19),0)+IF(CA250="同type",$FA$19*$FA$24*INDEX($FB$49:$FB$52,MATCH(X250,$FA$49:$FA$52,))/3/(1+($FA$20-1)*$FA$19),0)+IF(CA250="自身",$FA$19*#REF!/3/(1+(BH250-1)*$BD250),0)),0)</f>
        <v>0</v>
      </c>
      <c r="CE250" s="1097">
        <f t="shared" si="299"/>
        <v>0</v>
      </c>
      <c r="CF250" s="1112">
        <f t="shared" si="300"/>
        <v>0</v>
      </c>
      <c r="CG250" s="1100">
        <f t="shared" si="301"/>
        <v>0</v>
      </c>
      <c r="CH250" s="1110">
        <f t="shared" si="302"/>
        <v>0</v>
      </c>
      <c r="CI250" s="1113" t="s">
        <v>165</v>
      </c>
      <c r="CJ250" s="1114">
        <v>0.2</v>
      </c>
      <c r="CK250" s="1115" t="s">
        <v>556</v>
      </c>
      <c r="CL250" s="1115" t="s">
        <v>161</v>
      </c>
      <c r="CM250" s="1119">
        <v>3.2000000000000001E-2</v>
      </c>
      <c r="CN250" s="1115" t="s">
        <v>588</v>
      </c>
      <c r="CO250" s="1092"/>
      <c r="CP250" s="1118">
        <f t="shared" si="303"/>
        <v>6.4000000000000003E-3</v>
      </c>
      <c r="CQ250" s="1118">
        <f t="shared" si="304"/>
        <v>6.4000000000000003E-3</v>
      </c>
      <c r="CR250" s="1118">
        <f t="shared" si="305"/>
        <v>6.4000000000000003E-3</v>
      </c>
      <c r="CS250" s="1118">
        <f t="shared" si="306"/>
        <v>0</v>
      </c>
      <c r="CT250" s="1109">
        <f t="shared" si="307"/>
        <v>0</v>
      </c>
      <c r="CU250" s="1101">
        <f t="shared" si="308"/>
        <v>0</v>
      </c>
      <c r="CV250" s="1108">
        <f t="shared" si="309"/>
        <v>0</v>
      </c>
      <c r="CW250" s="1097">
        <f t="shared" si="310"/>
        <v>0</v>
      </c>
      <c r="CX250" s="1097">
        <f t="shared" si="311"/>
        <v>250.75972373831902</v>
      </c>
      <c r="CY250" s="1110">
        <f t="shared" si="312"/>
        <v>250.75972373831902</v>
      </c>
      <c r="CZ250" s="437"/>
      <c r="DA250" s="438"/>
      <c r="DB250" s="439" t="s">
        <v>569</v>
      </c>
      <c r="DC250" s="439"/>
      <c r="DD250" s="443"/>
      <c r="DE250" s="411"/>
      <c r="DF250" s="411"/>
      <c r="DG250" s="1116">
        <f t="shared" si="313"/>
        <v>0</v>
      </c>
      <c r="DH250" s="1116">
        <f t="shared" si="314"/>
        <v>0</v>
      </c>
      <c r="DI250" s="1116">
        <f t="shared" si="315"/>
        <v>0</v>
      </c>
      <c r="DJ250" s="442">
        <f t="shared" si="316"/>
        <v>0</v>
      </c>
      <c r="DK250" s="1109">
        <f t="shared" si="317"/>
        <v>0</v>
      </c>
      <c r="DL250" s="1101">
        <f t="shared" si="318"/>
        <v>0</v>
      </c>
      <c r="DM250" s="1097">
        <f t="shared" si="319"/>
        <v>0</v>
      </c>
      <c r="DN250" s="1097">
        <f t="shared" si="320"/>
        <v>0</v>
      </c>
      <c r="DO250" s="1097">
        <f t="shared" si="321"/>
        <v>0</v>
      </c>
      <c r="DP250" s="1110">
        <f t="shared" si="322"/>
        <v>0</v>
      </c>
      <c r="DQ250" s="1113" t="s">
        <v>636</v>
      </c>
      <c r="DR250" s="1120">
        <f t="shared" si="323"/>
        <v>0.3</v>
      </c>
      <c r="DS250" s="1124"/>
      <c r="DT250" s="1093" t="s">
        <v>564</v>
      </c>
      <c r="DU250" s="1093"/>
      <c r="DV250" s="1098">
        <f>IF($P250="","N/A",IF(P250=-1,INDEX('卡片raw data'!AN:AN,MATCH(D250,'卡片raw data'!$F:$F,)),0)+IF(AND(L250&lt;&gt;"party卡",P250&lt;=2,P250&gt;=0),INDEX('卡片raw data'!AP:AP,MATCH(D250,'卡片raw data'!$F:$F,)),0)+IF(OR(AND(L250="party卡",P250&lt;=1),AND(P250&lt;=4,L250&lt;&gt;"party卡",P250&gt;=3)),INDEX('卡片raw data'!AQ:AQ,MATCH(D250,'卡片raw data'!$F:$F,)),0)+IF(OR(P250=5,AND(L250="party卡",P250&gt;=2)),INDEX('卡片raw data'!AR:AR,MATCH(D250,'卡片raw data'!$F:$F,)),0))</f>
        <v>0.27</v>
      </c>
      <c r="DW250" s="1098">
        <f t="shared" si="324"/>
        <v>0.3</v>
      </c>
      <c r="DX250" s="1098">
        <f t="shared" si="325"/>
        <v>0.3</v>
      </c>
      <c r="DY250" s="1125">
        <f t="shared" si="326"/>
        <v>359.96191985660397</v>
      </c>
      <c r="DZ250" s="1125">
        <f t="shared" si="327"/>
        <v>311.36706067596242</v>
      </c>
      <c r="EA250" s="1098">
        <f t="shared" si="328"/>
        <v>0</v>
      </c>
      <c r="EB250" s="1121">
        <f t="shared" si="329"/>
        <v>0</v>
      </c>
      <c r="EC250" s="1101">
        <f t="shared" si="330"/>
        <v>0</v>
      </c>
      <c r="ED250" s="1097">
        <f t="shared" si="331"/>
        <v>0</v>
      </c>
      <c r="EE250" s="1110">
        <f t="shared" si="332"/>
        <v>46452.142920005281</v>
      </c>
      <c r="EF250" s="1092" t="s">
        <v>711</v>
      </c>
      <c r="EG250" s="1120">
        <f t="shared" si="333"/>
        <v>0.3</v>
      </c>
      <c r="EH250" s="1124"/>
      <c r="EI250" s="1093"/>
      <c r="EJ250" s="1093"/>
      <c r="EK250" s="1097">
        <f>IF($P250="","N/A",IF(P250=-1,INDEX('卡片raw data'!AS:AS,MATCH(D250,'卡片raw data'!$F:$F,)),0)+IF(AND(L250&lt;&gt;"party卡",P250&lt;=2,P250&gt;=0),INDEX('卡片raw data'!AU:AU,MATCH(D250,'卡片raw data'!$F:$F,)),0)+IF(OR(AND(L250="party卡",P250&lt;=1),AND(P250&lt;=4,L250&lt;&gt;"party卡",P250&gt;=3)),INDEX('卡片raw data'!AV:AV,MATCH(D250,'卡片raw data'!$F:$F,)),0)+IF(OR(P250=5,AND(L250="party卡",P250&gt;=2)),INDEX('卡片raw data'!AW:AW,MATCH(D250,'卡片raw data'!$F:$F,)),0))</f>
        <v>0</v>
      </c>
      <c r="EL250" s="1098">
        <f t="shared" si="334"/>
        <v>0.3</v>
      </c>
      <c r="EM250" s="1098">
        <f t="shared" si="335"/>
        <v>0.3</v>
      </c>
      <c r="EN250" s="1125">
        <f t="shared" si="336"/>
        <v>0</v>
      </c>
      <c r="EO250" s="1125">
        <f t="shared" si="337"/>
        <v>0</v>
      </c>
      <c r="EP250" s="1098">
        <f t="shared" si="338"/>
        <v>0</v>
      </c>
      <c r="EQ250" s="1121">
        <f t="shared" si="339"/>
        <v>0</v>
      </c>
      <c r="ER250" s="1101">
        <f t="shared" si="340"/>
        <v>0</v>
      </c>
      <c r="ES250" s="1097">
        <f t="shared" si="341"/>
        <v>0</v>
      </c>
      <c r="ET250" s="1122">
        <f t="shared" si="342"/>
        <v>0</v>
      </c>
    </row>
    <row r="251" spans="2:150" ht="16.5" customHeight="1">
      <c r="B251" s="1123" t="str">
        <f>INDEX('卡片raw data'!B:B,MATCH($D251,'卡片raw data'!$F:$F,))</f>
        <v>公主梨</v>
      </c>
      <c r="C251" s="449" t="s">
        <v>69</v>
      </c>
      <c r="D251" s="408">
        <v>248</v>
      </c>
      <c r="E251" s="1090">
        <v>401023002</v>
      </c>
      <c r="F251" s="1090" t="str">
        <f>INDEX('卡片raw data'!C:C,MATCH($D251,'卡片raw data'!$F:$F,))</f>
        <v>UR</v>
      </c>
      <c r="G251" s="1094" t="s">
        <v>34</v>
      </c>
      <c r="H251" s="411">
        <f>IFERROR(INDEX(绊状态确认!C:C,MATCH($G251,绊状态确认!$B:$B,)),"")</f>
        <v>102</v>
      </c>
      <c r="I251" s="1124" t="str">
        <f>IFERROR(INDEX(绊状态确认!D:D,MATCH($G251,绊状态确认!$B:$B,)),"")</f>
        <v>水</v>
      </c>
      <c r="J251" s="1124" t="str">
        <f>IFERROR(INDEX(绊状态确认!E:E,MATCH($G251,绊状态确认!$B:$B,)),"")</f>
        <v>2年级</v>
      </c>
      <c r="K251" s="451" t="str">
        <f>IFERROR(INDEX(绊状态确认!F:F,MATCH($G251,绊状态确认!$B:$B,)),"")</f>
        <v>Guilty Kiss</v>
      </c>
      <c r="L251" s="1094" t="str">
        <f>INDEX('卡片raw data'!E:E,MATCH($D251,'卡片raw data'!$F:$F,))</f>
        <v>卡池卡</v>
      </c>
      <c r="M251" s="415">
        <v>43987</v>
      </c>
      <c r="N251" s="416">
        <v>17</v>
      </c>
      <c r="O251" s="1091" t="str">
        <f>INDEX('卡片raw data'!D:D,MATCH($D251,'卡片raw data'!$F:$F,))</f>
        <v>sp</v>
      </c>
      <c r="P251" s="417">
        <v>5</v>
      </c>
      <c r="Q251" s="1095">
        <f t="shared" si="258"/>
        <v>45174.281021984323</v>
      </c>
      <c r="R251" s="1096">
        <f t="shared" si="259"/>
        <v>0.52500000000000002</v>
      </c>
      <c r="S251" s="1097">
        <f t="shared" si="260"/>
        <v>20064.901681378662</v>
      </c>
      <c r="T251" s="1098">
        <f t="shared" si="261"/>
        <v>1.0029999999999999</v>
      </c>
      <c r="U251" s="1099">
        <f t="shared" si="262"/>
        <v>140.04039415302859</v>
      </c>
      <c r="V251" s="1100">
        <f t="shared" si="263"/>
        <v>57168.060640255819</v>
      </c>
      <c r="W251" s="1101">
        <f t="shared" si="264"/>
        <v>4507.7214871259994</v>
      </c>
      <c r="X251" s="1096">
        <f t="shared" si="265"/>
        <v>5.1999999999999998E-2</v>
      </c>
      <c r="Y251" s="1097">
        <f t="shared" si="266"/>
        <v>13793.779618271496</v>
      </c>
      <c r="Z251" s="1102">
        <f t="shared" si="267"/>
        <v>140.04039415302859</v>
      </c>
      <c r="AA251" s="1103">
        <f t="shared" si="268"/>
        <v>18301.501105397496</v>
      </c>
      <c r="AB251" s="1101">
        <f t="shared" si="269"/>
        <v>4507.7214871259994</v>
      </c>
      <c r="AC251" s="1104">
        <f t="shared" si="270"/>
        <v>5.1999999999999998E-2</v>
      </c>
      <c r="AD251" s="1105">
        <f t="shared" si="271"/>
        <v>-1.6087500000000001E-2</v>
      </c>
      <c r="AE251" s="1128">
        <f t="shared" si="272"/>
        <v>10.92391304347826</v>
      </c>
      <c r="AF251" s="1130">
        <f t="shared" si="273"/>
        <v>0</v>
      </c>
      <c r="AG251" s="420">
        <f t="shared" si="274"/>
        <v>0</v>
      </c>
      <c r="AH251" s="420">
        <f t="shared" si="275"/>
        <v>0</v>
      </c>
      <c r="AI251" s="1097">
        <f t="shared" si="276"/>
        <v>0</v>
      </c>
      <c r="AJ251" s="420">
        <f t="shared" si="277"/>
        <v>0</v>
      </c>
      <c r="AK251" s="518">
        <f t="shared" si="278"/>
        <v>0</v>
      </c>
      <c r="AL251" s="1106">
        <f>IF($P251="","N/A",(IF($P251=-1,INDEX('卡片raw data'!S:S,MATCH($D251,'卡片raw data'!$F:$F,)),0)+IF($P251=0,INDEX('卡片raw data'!V:V,MATCH($D251,'卡片raw data'!$F:$F,)),0)+IF($P251=1,INDEX('卡片raw data'!Y:Y,MATCH($D251,'卡片raw data'!$F:$F,)),0)+IF($P251=2,INDEX('卡片raw data'!AB:AB,MATCH($D251,'卡片raw data'!$F:$F,)),0)+IF($P251=3,INDEX('卡片raw data'!AE:AE,MATCH($D251,'卡片raw data'!$F:$F,)),0)+IF($P251=4,INDEX('卡片raw data'!AH:AH,MATCH($D251,'卡片raw data'!$F:$F,)),0)+IF($P251=5,INDEX('卡片raw data'!AK:AK,MATCH($D251,'卡片raw data'!$F:$F,)),0)+INDEX('卡片raw data'!S:S,MATCH($D251,'卡片raw data'!$F:$F,))*(IF($F251="UR",0.04,0.033))*(IF($F251="UR",INDEX(绊状态确认!$S:$S,MATCH($G251,绊状态确认!$B:$B,))/2-40)+IF($F251="SR",INDEX(绊状态确认!$R:$R,MATCH($G251,绊状态确认!$B:$B,))/4-15))+IF($F251="R",INDEX(绊状态确认!$Q:$Q,MATCH($G251,绊状态确认!$B:$B,))/6-40/6)))*(INDEX(绊状态确认!$H:$H,MATCH($G251,绊状态确认!$B:$B,))+INDEX(绊状态确认!J:J,MATCH($G251,绊状态确认!$B:$B,)))</f>
        <v>10722.434015999999</v>
      </c>
      <c r="AM251" s="1106">
        <f>IF($P251="","N/A",(IF($P251=-1,INDEX('卡片raw data'!T:T,MATCH($D251,'卡片raw data'!$F:$F,)),0)+IF($P251=0,INDEX('卡片raw data'!W:W,MATCH($D251,'卡片raw data'!$F:$F,)),0)+IF($P251=1,INDEX('卡片raw data'!Z:Z,MATCH($D251,'卡片raw data'!$F:$F,)),0)+IF($P251=2,INDEX('卡片raw data'!AC:AC,MATCH($D251,'卡片raw data'!$F:$F,)),0)+IF($P251=3,INDEX('卡片raw data'!AF:AF,MATCH($D251,'卡片raw data'!$F:$F,)),0)+IF($P251=4,INDEX('卡片raw data'!AI:AI,MATCH($D251,'卡片raw data'!$F:$F,)),0)+IF($P251=5,INDEX('卡片raw data'!AL:AL,MATCH($D251,'卡片raw data'!$F:$F,)),0)+INDEX('卡片raw data'!T:T,MATCH($D251,'卡片raw data'!$F:$F,))*(IF($F251="UR",0.04,0.033))*(IF($F251="UR",INDEX(绊状态确认!$S:$S,MATCH($G251,绊状态确认!$B:$B,))/2-40)+IF($F251="SR",INDEX(绊状态确认!$R:$R,MATCH($G251,绊状态确认!$B:$B,))/4-15))+IF($F251="R",INDEX(绊状态确认!$Q:$Q,MATCH($G251,绊状态确认!$B:$B,))/6-40/6)))*(INDEX(绊状态确认!$H:$H,MATCH($G251,绊状态确认!$B:$B,))+INDEX(绊状态确认!K:K,MATCH($G251,绊状态确认!$B:$B,)))</f>
        <v>9749.130143999997</v>
      </c>
      <c r="AN251" s="1106">
        <f>IF($P251="","N/A",(IF($P251=-1,INDEX('卡片raw data'!U:U,MATCH($D251,'卡片raw data'!$F:$F,)),0)+IF($P251=0,INDEX('卡片raw data'!X:X,MATCH($D251,'卡片raw data'!$F:$F,)),0)+IF($P251=1,INDEX('卡片raw data'!AA:AA,MATCH($D251,'卡片raw data'!$F:$F,)),0)+IF($P251=2,INDEX('卡片raw data'!AD:AD,MATCH($D251,'卡片raw data'!$F:$F,)),0)+IF($P251=3,INDEX('卡片raw data'!AG:AG,MATCH($D251,'卡片raw data'!$F:$F,)),0)+IF($P251=4,INDEX('卡片raw data'!AJ:AJ,MATCH($D251,'卡片raw data'!$F:$F,)),0)+IF($P251=5,INDEX('卡片raw data'!AM:AM,MATCH($D251,'卡片raw data'!$F:$F,)),0)+INDEX('卡片raw data'!U:U,MATCH($D251,'卡片raw data'!$F:$F,))*(IF($F251="UR",0.04,0.033))*(IF($F251="UR",INDEX(绊状态确认!$S:$S,MATCH($G251,绊状态确认!$B:$B,))/2-40)+IF($F251="SR",INDEX(绊状态确认!$R:$R,MATCH($G251,绊状态确认!$B:$B,))/4-15))+IF($F251="R",INDEX(绊状态确认!$Q:$Q,MATCH($G251,绊状态确认!$B:$B,))/6-40/6)))*(INDEX(绊状态确认!$H:$H,MATCH($G251,绊状态确认!$B:$B,))+INDEX(绊状态确认!L:L,MATCH($G251,绊状态确认!$B:$B,)))</f>
        <v>12022.475616</v>
      </c>
      <c r="AO251" s="1107">
        <f t="shared" si="279"/>
        <v>1</v>
      </c>
      <c r="AP251" s="1131">
        <f>1+(INDEX(绊状态确认!$T:$T,MATCH($G251,绊状态确认!$B:$B,))+0.2)*$AO251</f>
        <v>1.3</v>
      </c>
      <c r="AQ251" s="1108">
        <f t="shared" si="280"/>
        <v>31396.389292</v>
      </c>
      <c r="AR251" s="1097">
        <f>(AM251*(1+$EX$9)+$EX$35)*(1+(INDEX(绊状态确认!$T:$T,MATCH($G251,绊状态确认!$B:$B,))+0.2)*AO251)*IF(J251=$FF$17,1+$FE$17,1)*IF(I251=$FF$14,1+$FE$14,1)*(1+$FE$15)</f>
        <v>16011.562646559998</v>
      </c>
      <c r="AS251" s="1097">
        <f>(AN251*(1+$EX$10)+$EX$36)*(1+(INDEX(绊状态确认!$T:$T,MATCH($G251,绊状态确认!$B:$B,))+0.2)*AO251)*IF(J251=$FF$17,1+$FE$17,1)*IF(I251=$FF$14,1+$FE$14,1)*(1+$FE$15)</f>
        <v>22029.601045919997</v>
      </c>
      <c r="AT251" s="1093">
        <f>IF(AND(INDEX('卡片raw data'!AK:AK,MATCH($D251,'卡片raw data'!$F:$F,))&lt;INDEX('卡片raw data'!AM:AM,MATCH($D251,'卡片raw data'!$F:$F,)),INDEX('卡片raw data'!AL:AL,MATCH($D251,'卡片raw data'!$F:$F,))&lt;INDEX('卡片raw data'!AM:AM,MATCH($D251,'卡片raw data'!$F:$F,))),1,0)</f>
        <v>1</v>
      </c>
      <c r="AU251" s="1098">
        <f>MIN(AT251*0.15+AS251*0.00003+INDEX(绊状态确认!M:M,MATCH($G251,绊状态确认!$B:$B,)),1)</f>
        <v>0.84088803137759993</v>
      </c>
      <c r="AV251" s="1109">
        <f>(INDEX(绊状态确认!$N:$N,MATCH($G251,绊状态确认!$B:$B,))+1.5)*$EW$21</f>
        <v>2.6599999999999997</v>
      </c>
      <c r="AW251" s="1101">
        <f t="shared" si="281"/>
        <v>39066.190883456213</v>
      </c>
      <c r="AX251" s="1097">
        <f t="shared" si="282"/>
        <v>1383.1803683256524</v>
      </c>
      <c r="AY251" s="1110">
        <f t="shared" si="283"/>
        <v>40449.371251781864</v>
      </c>
      <c r="AZ251" s="429">
        <f t="shared" si="284"/>
        <v>23508.746331199996</v>
      </c>
      <c r="BA251" s="431">
        <f t="shared" si="285"/>
        <v>28210.495597439996</v>
      </c>
      <c r="BB251" s="1097">
        <f>(AM251*(1+$FB$9)+$FB$35)*(1+(INDEX(绊状态确认!$T:$T,MATCH($G251,绊状态确认!$B:$B,))+0.2)*AO251)*IF(J251=$FF$17,1+$FE$17,1)*IF(I251=$FF$14,1+$FE$14,1)*(1+$FE$15)</f>
        <v>16011.562646559998</v>
      </c>
      <c r="BC251" s="1097">
        <f>(AN251*(1+$FB$10)+$FB$36)*(1+(INDEX(绊状态确认!$T:$T,MATCH($G251,绊状态确认!$B:$B,))+0.2)*AO251)*IF(J251=$FF$17,1+$FE$17,1)*IF(I251=$FF$14,1+$FE$14,1)*(1+$FE$15)</f>
        <v>22029.601045919997</v>
      </c>
      <c r="BD251" s="1104">
        <f>MIN(AT251*0.15+BC251*0.00003+INDEX(绊状态确认!M:M,MATCH($G251,绊状态确认!$B:$B,)),1)</f>
        <v>0.84088803137759993</v>
      </c>
      <c r="BE251" s="432">
        <f>(INDEX(绊状态确认!$N:$N,MATCH($G251,绊状态确认!$B:$B,))+1.5)</f>
        <v>1.9</v>
      </c>
      <c r="BF251" s="1139">
        <f t="array" ref="BF251">SUMPRODUCT(IF(AZ251*AP251*$FI$16:$FI$23*$FA$22&gt;=$FI$24,$FI$24,AZ251*AP251*$FI$16:$FI$23*$FA$22),$FJ$16:$FJ$23)</f>
        <v>46758.896452756788</v>
      </c>
      <c r="BG251" s="1125">
        <f t="array" ref="BG251">SUMPRODUCT(IF(BE251*AZ251*AP251*$FI$16:$FI$23*$FA$22&gt;=$FI$24,$FI$24,BE251*AZ251*AP251*$FI$16:$FI$23*$FA$22),$FJ$16:$FJ$23)</f>
        <v>60000</v>
      </c>
      <c r="BH251" s="1110">
        <f t="shared" si="286"/>
        <v>19297.727315955028</v>
      </c>
      <c r="BI251" s="1111">
        <f>IF(O251="vo",$EW$26/$EW$24*0.05,0)+IF(O251="sk",-$EW$26/$EW$24*(0.05-INDEX(绊状态确认!W:W,MATCH($G251,绊状态确认!$B:$B,)))+0.05*$EW$28,0)+IF(O251="sp",0.05*$EW$32*$EW$30*(1-$EW$33)-(0.05-INDEX(绊状态确认!V:V,MATCH($G251,绊状态确认!$B:$B,)))*$EW$28,0)+IF(O251="gd",-(0.05-INDEX(绊状态确认!X:X,MATCH($G251,绊状态确认!$B:$B,)))*$EW$32*$EW$30*(1-$EW$33),0)</f>
        <v>19.999999999999886</v>
      </c>
      <c r="BJ251" s="1097">
        <f>IF(O251="vo",0.05*(1-$FI$26)*$FA$24,0)+IF(O251="sk",-(0.05-INDEX(绊状态确认!W:W,MATCH($G251,绊状态确认!$B:$B,)))*(1-$FI$26)*$FA$24+0.05*$FA$26,0)+IF(O251="sp",0.05*$FA$32*$FA$27*(1-$FA$33)/$FA$30+0.05*$FA$29/$FA$69*$FA$27*(1-$FA$33)-(0.05-INDEX(绊状态确认!V:V,MATCH($G251,绊状态确认!$B:$B,)))*$FA$26,0)+IF(O251="gd",-(0.05-INDEX(绊状态确认!X:X,MATCH($G251,绊状态确认!$B:$B,)))*$FA$32*$FA$27*(1-$FA$33)/$FA$30-(0.05-INDEX(绊状态确认!X:X,MATCH($G251,绊状态确认!$B:$B,)))*$FA$29/$FA$69*$FA$27*(1-$FA$33),0)</f>
        <v>545.83333333333326</v>
      </c>
      <c r="BK251" s="1110">
        <f>IF(O251="vo",$EW$26/$EW$24*0.05+$EW$26*(-HP($EW$62,$EW$65,$EW$64)+HP($EW$62,$EW$65,(1.05-INDEX(绊状态确认!U:U,MATCH($G251,绊状态确认!$B:$B,)))*$EW$64)),0)+IF(O251="sk",-$EW$26/$EW$24*(0.05-INDEX(绊状态确认!W:W,MATCH($G251,绊状态确认!$B:$B,)))+0.05*$EW$29,0)+IF(O251="sp",0.05*$EW$32*$EW$30*(1-$EW$33)-(0.05-INDEX(绊状态确认!V:V,MATCH($G251,绊状态确认!$B:$B,)))*$EW$29,0)+IF(O251="gd",-(0.05-INDEX(绊状态确认!X:X,MATCH($G251,绊状态确认!$B:$B,)))*$EW$32*$EW$30*(1-$EW$33)+$EW$26*(-HP($EW$62,$EW$65,$EW$64)+HP($EW$62,$EW$65,0.95*$EW$64)),0)</f>
        <v>-1780.0000000000005</v>
      </c>
      <c r="BL251" s="1111">
        <f t="shared" si="287"/>
        <v>0</v>
      </c>
      <c r="BM251" s="1110">
        <f t="shared" si="288"/>
        <v>0</v>
      </c>
      <c r="BN251" s="1113">
        <f t="shared" si="289"/>
        <v>3</v>
      </c>
      <c r="BO251" s="1097">
        <f t="shared" si="290"/>
        <v>4507.7214871259994</v>
      </c>
      <c r="BP251" s="1100">
        <f t="shared" si="291"/>
        <v>221.34103209030098</v>
      </c>
      <c r="BQ251" s="1113" t="s">
        <v>144</v>
      </c>
      <c r="BR251" s="1124" t="s">
        <v>149</v>
      </c>
      <c r="BS251" s="1098">
        <f>IF($P251="","N/A",IF($P251=-1,INDEX('卡片raw data'!AX:AX,MATCH($D251,'卡片raw data'!$F:$F,)),0)+IF($L251="party卡",IF($P251=5,INDEX('卡片raw data'!BD:BD,MATCH($D251,'卡片raw data'!$F:$F,)),IF($P251&gt;=3,INDEX('卡片raw data'!BC:BC,MATCH($D251,'卡片raw data'!$F:$F,)),INDEX('卡片raw data'!BB:BB,MATCH($D251,'卡片raw data'!$F:$F,)))),IF(OR(AND($F251="UR",$P251=0),AND($F251="SR",$P251&gt;=0,$P251&lt;=2),AND($F251="R",$P251&gt;=0,$P251&lt;4)),INDEX('卡片raw data'!AZ:AZ,MATCH($D251,'卡片raw data'!$F:$F,)),0)+IF(OR(AND($F251="UR",$P251&gt;=1,$P251&lt;=4),AND($F251="SR",$P251&lt;=4,$P251&gt;=3),AND($F251="R",$P251=4)),INDEX('卡片raw data'!BA:BA,MATCH($D251,'卡片raw data'!$F:$F,)),0)+IF($P251=5,INDEX('卡片raw data'!BB:BB,MATCH($D251,'卡片raw data'!$F:$F,)),0)))</f>
        <v>5.1999999999999998E-2</v>
      </c>
      <c r="BT251" s="1101">
        <f t="shared" si="292"/>
        <v>0</v>
      </c>
      <c r="BU251" s="1097">
        <f t="shared" si="293"/>
        <v>0</v>
      </c>
      <c r="BV251" s="1097">
        <f t="shared" si="294"/>
        <v>0</v>
      </c>
      <c r="BW251" s="1112">
        <f t="shared" si="295"/>
        <v>4.8694285714285721</v>
      </c>
      <c r="BX251" s="1100">
        <f t="shared" si="296"/>
        <v>382.86674747391328</v>
      </c>
      <c r="BY251" s="1110">
        <f t="shared" si="297"/>
        <v>382.86674747391328</v>
      </c>
      <c r="BZ251" s="1107" t="s">
        <v>569</v>
      </c>
      <c r="CA251" s="1124"/>
      <c r="CB251" s="1098">
        <f>IF($P251="","N/A",IF($P251=-1,INDEX('卡片raw data'!BE:BE,MATCH($D251,'卡片raw data'!$F:$F,)),0)+IF($L251="party卡",IF($P251=5,INDEX('卡片raw data'!BK:BK,MATCH($D251,'卡片raw data'!$F:$F,)),IF($P251&gt;=3,INDEX('卡片raw data'!BJ:BJ,MATCH($D251,'卡片raw data'!$F:$F,)),INDEX('卡片raw data'!BI:BI,MATCH($D251,'卡片raw data'!$F:$F,)))),IF(OR(AND($F251="UR",$P251=0),AND($F251="SR",$P251&gt;=0,$P251&lt;=2),AND($F251="R",$P251&gt;=0,$P251&lt;4)),INDEX('卡片raw data'!BG:BG,MATCH($D251,'卡片raw data'!$F:$F,)),0)+IF(OR(AND($F251="UR",$P251&gt;=1,$P251&lt;=4),AND($F251="SR",$P251&lt;=4,$P251&gt;=3),AND($F251="R",$P251=4)),INDEX('卡片raw data'!BH:BH,MATCH($D251,'卡片raw data'!$F:$F,)),0)+IF($P251=5,INDEX('卡片raw data'!BI:BI,MATCH($D251,'卡片raw data'!$F:$F,)),0)))</f>
        <v>0</v>
      </c>
      <c r="CC251" s="1101">
        <f t="shared" si="298"/>
        <v>0</v>
      </c>
      <c r="CD251" s="1097">
        <f>IF(BZ251="ap",CB251*(1-$FI$26)*$FB$5/$FB$11*(+IF(CA251="全员",$FA$24,0)+IF(CA251="同作战",$FA$24,0)+IF(CA251="仲间",$FA$24*2/3,0)+IF(CA251="同属性",$FA$24*$FA$37/3,0)+IF(CA251="同年级",$FA$24*$FA$40/3,0)+IF(CA251="同学校",$FA$24*$FA$43/3,0)+IF(CA251="同小队",$FA$24*$FA$46/3,0)+IF(CA251="同type",$FA$24*INDEX($FB$49:$FB$52,MATCH(X251,$FA$49:$FA$52,))/3,0)+IF(CA251="自身",#REF!/3,0)),0)+IF(BZ251="te",CB251*(1-$FI$27)*($FA$20-1)*$FB$7/$FB$13*(+IF(CA251="全员",$FA$19*$FA$24/(1+($FA$20-1)*$FA$19),0)+IF(CA251="同作战",$FA$19*$FA$24/(1+($FA$20-1)*$FA$19),0)+IF(CA251="仲间",$FA$19*$FA$24*2/3/(1+($FA$20-1)*$FA$19),0)+IF(CA251="同属性",$FA$19*$FA$24*$FA$37/3/(1+($FA$20-1)*$FA$19),0)+IF(CA251="同年级",$FA$19*$FA$24*$FA$40/3/(1+($FA$20-1)*$FA$19),0)+IF(CA251="同学校",$FA$19*$FA$24*$FA$43/3/(1+($FA$20-1)*$FA$19),0)+IF(CA251="同小队",$FA$19*$FA$24*$FA$46/3/(1+($FA$20-1)*$FA$19),0)+IF(CA251="同type",$FA$19*$FA$24*INDEX($FB$49:$FB$52,MATCH(X251,$FA$49:$FA$52,))/3/(1+($FA$20-1)*$FA$19),0)+IF(CA251="自身",$FA$19*#REF!/3/(1+(BH251-1)*$BD251),0)),0)</f>
        <v>0</v>
      </c>
      <c r="CE251" s="1097">
        <f t="shared" si="299"/>
        <v>0</v>
      </c>
      <c r="CF251" s="1112">
        <f t="shared" si="300"/>
        <v>0</v>
      </c>
      <c r="CG251" s="1100">
        <f t="shared" si="301"/>
        <v>0</v>
      </c>
      <c r="CH251" s="1110">
        <f t="shared" si="302"/>
        <v>0</v>
      </c>
      <c r="CI251" s="1113" t="s">
        <v>160</v>
      </c>
      <c r="CJ251" s="1114">
        <v>0.5</v>
      </c>
      <c r="CK251" s="1115" t="s">
        <v>635</v>
      </c>
      <c r="CL251" s="1115" t="s">
        <v>1941</v>
      </c>
      <c r="CM251" s="1119">
        <v>0.2</v>
      </c>
      <c r="CN251" s="1115"/>
      <c r="CO251" s="1092"/>
      <c r="CP251" s="1116">
        <f t="shared" si="303"/>
        <v>118.01571988885713</v>
      </c>
      <c r="CQ251" s="1116">
        <f t="shared" si="304"/>
        <v>244.77334495466664</v>
      </c>
      <c r="CR251" s="1116">
        <f t="shared" si="305"/>
        <v>118.01571988885713</v>
      </c>
      <c r="CS251" s="1118">
        <f t="shared" si="306"/>
        <v>0</v>
      </c>
      <c r="CT251" s="1109">
        <f t="shared" si="307"/>
        <v>0</v>
      </c>
      <c r="CU251" s="1101">
        <f t="shared" si="308"/>
        <v>0</v>
      </c>
      <c r="CV251" s="1108">
        <f t="shared" si="309"/>
        <v>0</v>
      </c>
      <c r="CW251" s="1097">
        <f t="shared" si="310"/>
        <v>0</v>
      </c>
      <c r="CX251" s="1097">
        <f t="shared" si="311"/>
        <v>12027.732502471932</v>
      </c>
      <c r="CY251" s="1110">
        <f t="shared" si="312"/>
        <v>12027.732502471932</v>
      </c>
      <c r="CZ251" s="437"/>
      <c r="DA251" s="438"/>
      <c r="DB251" s="439" t="s">
        <v>569</v>
      </c>
      <c r="DC251" s="439"/>
      <c r="DD251" s="443"/>
      <c r="DE251" s="411"/>
      <c r="DF251" s="411"/>
      <c r="DG251" s="1116">
        <f t="shared" si="313"/>
        <v>0</v>
      </c>
      <c r="DH251" s="1116">
        <f t="shared" si="314"/>
        <v>0</v>
      </c>
      <c r="DI251" s="1116">
        <f t="shared" si="315"/>
        <v>0</v>
      </c>
      <c r="DJ251" s="442">
        <f t="shared" si="316"/>
        <v>0</v>
      </c>
      <c r="DK251" s="1109">
        <f t="shared" si="317"/>
        <v>0</v>
      </c>
      <c r="DL251" s="1101">
        <f t="shared" si="318"/>
        <v>0</v>
      </c>
      <c r="DM251" s="1097">
        <f t="shared" si="319"/>
        <v>0</v>
      </c>
      <c r="DN251" s="1097">
        <f t="shared" si="320"/>
        <v>0</v>
      </c>
      <c r="DO251" s="1097">
        <f t="shared" si="321"/>
        <v>0</v>
      </c>
      <c r="DP251" s="1110">
        <f t="shared" si="322"/>
        <v>0</v>
      </c>
      <c r="DQ251" s="1113" t="s">
        <v>256</v>
      </c>
      <c r="DR251" s="1120">
        <f t="shared" si="323"/>
        <v>0.33</v>
      </c>
      <c r="DS251" s="1124"/>
      <c r="DT251" s="1093" t="s">
        <v>132</v>
      </c>
      <c r="DU251" s="1093"/>
      <c r="DV251" s="1098">
        <f>IF($P251="","N/A",IF(P251=-1,INDEX('卡片raw data'!AN:AN,MATCH(D251,'卡片raw data'!$F:$F,)),0)+IF(AND(L251&lt;&gt;"party卡",P251&lt;=2,P251&gt;=0),INDEX('卡片raw data'!AP:AP,MATCH(D251,'卡片raw data'!$F:$F,)),0)+IF(OR(AND(L251="party卡",P251&lt;=1),AND(P251&lt;=4,L251&lt;&gt;"party卡",P251&gt;=3)),INDEX('卡片raw data'!AQ:AQ,MATCH(D251,'卡片raw data'!$F:$F,)),0)+IF(OR(P251=5,AND(L251="party卡",P251&gt;=2)),INDEX('卡片raw data'!AR:AR,MATCH(D251,'卡片raw data'!$F:$F,)),0))</f>
        <v>0.32</v>
      </c>
      <c r="DW251" s="1098">
        <f t="shared" si="324"/>
        <v>0.33</v>
      </c>
      <c r="DX251" s="1098">
        <f t="shared" si="325"/>
        <v>0.33</v>
      </c>
      <c r="DY251" s="1125">
        <f t="shared" si="326"/>
        <v>1105.1529030784</v>
      </c>
      <c r="DZ251" s="1125">
        <f t="shared" si="327"/>
        <v>858.95316995085307</v>
      </c>
      <c r="EA251" s="1098">
        <f t="shared" si="328"/>
        <v>0</v>
      </c>
      <c r="EB251" s="1121">
        <f t="shared" si="329"/>
        <v>0</v>
      </c>
      <c r="EC251" s="1101">
        <f t="shared" si="330"/>
        <v>1580.3686514021119</v>
      </c>
      <c r="ED251" s="1097">
        <f t="shared" si="331"/>
        <v>0</v>
      </c>
      <c r="EE251" s="1110">
        <f t="shared" si="332"/>
        <v>1580.3686514021119</v>
      </c>
      <c r="EF251" s="1092" t="s">
        <v>711</v>
      </c>
      <c r="EG251" s="1120">
        <f t="shared" si="333"/>
        <v>0.33</v>
      </c>
      <c r="EH251" s="1124"/>
      <c r="EI251" s="1093"/>
      <c r="EJ251" s="1093"/>
      <c r="EK251" s="1097">
        <f>IF($P251="","N/A",IF(P251=-1,INDEX('卡片raw data'!AS:AS,MATCH(D251,'卡片raw data'!$F:$F,)),0)+IF(AND(L251&lt;&gt;"party卡",P251&lt;=2,P251&gt;=0),INDEX('卡片raw data'!AU:AU,MATCH(D251,'卡片raw data'!$F:$F,)),0)+IF(OR(AND(L251="party卡",P251&lt;=1),AND(P251&lt;=4,L251&lt;&gt;"party卡",P251&gt;=3)),INDEX('卡片raw data'!AV:AV,MATCH(D251,'卡片raw data'!$F:$F,)),0)+IF(OR(P251=5,AND(L251="party卡",P251&gt;=2)),INDEX('卡片raw data'!AW:AW,MATCH(D251,'卡片raw data'!$F:$F,)),0))</f>
        <v>0</v>
      </c>
      <c r="EL251" s="1098">
        <f t="shared" si="334"/>
        <v>0.33</v>
      </c>
      <c r="EM251" s="1098">
        <f t="shared" si="335"/>
        <v>0.33</v>
      </c>
      <c r="EN251" s="1125">
        <f t="shared" si="336"/>
        <v>0</v>
      </c>
      <c r="EO251" s="1125">
        <f t="shared" si="337"/>
        <v>0</v>
      </c>
      <c r="EP251" s="1098">
        <f t="shared" si="338"/>
        <v>0</v>
      </c>
      <c r="EQ251" s="1121">
        <f t="shared" si="339"/>
        <v>0</v>
      </c>
      <c r="ER251" s="1101">
        <f t="shared" si="340"/>
        <v>0</v>
      </c>
      <c r="ES251" s="1097">
        <f t="shared" si="341"/>
        <v>0</v>
      </c>
      <c r="ET251" s="1122">
        <f t="shared" si="342"/>
        <v>0</v>
      </c>
    </row>
    <row r="252" spans="2:150" ht="16.5" customHeight="1">
      <c r="B252" s="1123" t="str">
        <f>INDEX('卡片raw data'!B:B,MATCH($D252,'卡片raw data'!$F:$F,))</f>
        <v>op2姬</v>
      </c>
      <c r="C252" s="449" t="s">
        <v>123</v>
      </c>
      <c r="D252" s="408">
        <v>249</v>
      </c>
      <c r="E252" s="1090">
        <v>400062002</v>
      </c>
      <c r="F252" s="1090" t="str">
        <f>INDEX('卡片raw data'!C:C,MATCH($D252,'卡片raw data'!$F:$F,))</f>
        <v>SR</v>
      </c>
      <c r="G252" s="1094" t="s">
        <v>336</v>
      </c>
      <c r="H252" s="411">
        <f>IFERROR(INDEX(绊状态确认!C:C,MATCH($G252,绊状态确认!$B:$B,)),"")</f>
        <v>6</v>
      </c>
      <c r="I252" s="1124" t="str">
        <f>IFERROR(INDEX(绊状态确认!D:D,MATCH($G252,绊状态确认!$B:$B,)),"")</f>
        <v>缪</v>
      </c>
      <c r="J252" s="1124" t="str">
        <f>IFERROR(INDEX(绊状态确认!E:E,MATCH($G252,绊状态确认!$B:$B,)),"")</f>
        <v>1年级</v>
      </c>
      <c r="K252" s="451" t="str">
        <f>IFERROR(INDEX(绊状态确认!F:F,MATCH($G252,绊状态确认!$B:$B,)),"")</f>
        <v>BiBi</v>
      </c>
      <c r="L252" s="1094" t="str">
        <f>INDEX('卡片raw data'!E:E,MATCH($D252,'卡片raw data'!$F:$F,))</f>
        <v>卡池卡</v>
      </c>
      <c r="M252" s="415">
        <v>43987</v>
      </c>
      <c r="N252" s="416">
        <v>17</v>
      </c>
      <c r="O252" s="1091" t="str">
        <f>INDEX('卡片raw data'!D:D,MATCH($D252,'卡片raw data'!$F:$F,))</f>
        <v>vo</v>
      </c>
      <c r="P252" s="417">
        <v>5</v>
      </c>
      <c r="Q252" s="1095">
        <f t="shared" si="258"/>
        <v>38265.364657320169</v>
      </c>
      <c r="R252" s="1096">
        <f t="shared" si="259"/>
        <v>0.44400000000000001</v>
      </c>
      <c r="S252" s="1097">
        <f t="shared" si="260"/>
        <v>17222.040479578201</v>
      </c>
      <c r="T252" s="1098">
        <f t="shared" si="261"/>
        <v>0.86099999999999999</v>
      </c>
      <c r="U252" s="1099">
        <f t="shared" si="262"/>
        <v>-15.388510870197143</v>
      </c>
      <c r="V252" s="1100">
        <f t="shared" si="263"/>
        <v>37723.722992831987</v>
      </c>
      <c r="W252" s="1101">
        <f t="shared" si="264"/>
        <v>5090.5054793901463</v>
      </c>
      <c r="X252" s="1096">
        <f t="shared" si="265"/>
        <v>5.8999999999999997E-2</v>
      </c>
      <c r="Y252" s="1097">
        <f t="shared" si="266"/>
        <v>763.02678575352184</v>
      </c>
      <c r="Z252" s="1102">
        <f t="shared" si="267"/>
        <v>9.6114891298028571</v>
      </c>
      <c r="AA252" s="1103">
        <f t="shared" si="268"/>
        <v>5853.5322651436682</v>
      </c>
      <c r="AB252" s="1101">
        <f t="shared" si="269"/>
        <v>5843.3044836307981</v>
      </c>
      <c r="AC252" s="1104">
        <f t="shared" si="270"/>
        <v>6.7000000000000004E-2</v>
      </c>
      <c r="AD252" s="1105">
        <f t="shared" si="271"/>
        <v>-3.8207812500000026E-3</v>
      </c>
      <c r="AE252" s="1128">
        <f t="shared" si="272"/>
        <v>-12.27536231884058</v>
      </c>
      <c r="AF252" s="1130">
        <f t="shared" si="273"/>
        <v>0</v>
      </c>
      <c r="AG252" s="420">
        <f t="shared" si="274"/>
        <v>0</v>
      </c>
      <c r="AH252" s="420">
        <f t="shared" si="275"/>
        <v>0</v>
      </c>
      <c r="AI252" s="1097">
        <f t="shared" si="276"/>
        <v>0</v>
      </c>
      <c r="AJ252" s="420">
        <f t="shared" si="277"/>
        <v>0</v>
      </c>
      <c r="AK252" s="518">
        <f t="shared" si="278"/>
        <v>0</v>
      </c>
      <c r="AL252" s="1106">
        <f>IF($P252="","N/A",(IF($P252=-1,INDEX('卡片raw data'!S:S,MATCH($D252,'卡片raw data'!$F:$F,)),0)+IF($P252=0,INDEX('卡片raw data'!V:V,MATCH($D252,'卡片raw data'!$F:$F,)),0)+IF($P252=1,INDEX('卡片raw data'!Y:Y,MATCH($D252,'卡片raw data'!$F:$F,)),0)+IF($P252=2,INDEX('卡片raw data'!AB:AB,MATCH($D252,'卡片raw data'!$F:$F,)),0)+IF($P252=3,INDEX('卡片raw data'!AE:AE,MATCH($D252,'卡片raw data'!$F:$F,)),0)+IF($P252=4,INDEX('卡片raw data'!AH:AH,MATCH($D252,'卡片raw data'!$F:$F,)),0)+IF($P252=5,INDEX('卡片raw data'!AK:AK,MATCH($D252,'卡片raw data'!$F:$F,)),0)+INDEX('卡片raw data'!S:S,MATCH($D252,'卡片raw data'!$F:$F,))*(IF($F252="UR",0.04,0.033))*(IF($F252="UR",INDEX(绊状态确认!$S:$S,MATCH($G252,绊状态确认!$B:$B,))/2-40)+IF($F252="SR",INDEX(绊状态确认!$R:$R,MATCH($G252,绊状态确认!$B:$B,))/4-15))+IF($F252="R",INDEX(绊状态确认!$Q:$Q,MATCH($G252,绊状态确认!$B:$B,))/6-40/6)))*(INDEX(绊状态确认!$H:$H,MATCH($G252,绊状态确认!$B:$B,))+INDEX(绊状态确认!J:J,MATCH($G252,绊状态确认!$B:$B,)))</f>
        <v>9184.2847967999987</v>
      </c>
      <c r="AM252" s="1106">
        <f>IF($P252="","N/A",(IF($P252=-1,INDEX('卡片raw data'!T:T,MATCH($D252,'卡片raw data'!$F:$F,)),0)+IF($P252=0,INDEX('卡片raw data'!W:W,MATCH($D252,'卡片raw data'!$F:$F,)),0)+IF($P252=1,INDEX('卡片raw data'!Z:Z,MATCH($D252,'卡片raw data'!$F:$F,)),0)+IF($P252=2,INDEX('卡片raw data'!AC:AC,MATCH($D252,'卡片raw data'!$F:$F,)),0)+IF($P252=3,INDEX('卡片raw data'!AF:AF,MATCH($D252,'卡片raw data'!$F:$F,)),0)+IF($P252=4,INDEX('卡片raw data'!AI:AI,MATCH($D252,'卡片raw data'!$F:$F,)),0)+IF($P252=5,INDEX('卡片raw data'!AL:AL,MATCH($D252,'卡片raw data'!$F:$F,)),0)+INDEX('卡片raw data'!T:T,MATCH($D252,'卡片raw data'!$F:$F,))*(IF($F252="UR",0.04,0.033))*(IF($F252="UR",INDEX(绊状态确认!$S:$S,MATCH($G252,绊状态确认!$B:$B,))/2-40)+IF($F252="SR",INDEX(绊状态确认!$R:$R,MATCH($G252,绊状态确认!$B:$B,))/4-15))+IF($F252="R",INDEX(绊状态确认!$Q:$Q,MATCH($G252,绊状态确认!$B:$B,))/6-40/6)))*(INDEX(绊状态确认!$H:$H,MATCH($G252,绊状态确认!$B:$B,))+INDEX(绊状态确认!K:K,MATCH($G252,绊状态确认!$B:$B,)))</f>
        <v>4591.0059984</v>
      </c>
      <c r="AN252" s="1106">
        <f>IF($P252="","N/A",(IF($P252=-1,INDEX('卡片raw data'!U:U,MATCH($D252,'卡片raw data'!$F:$F,)),0)+IF($P252=0,INDEX('卡片raw data'!X:X,MATCH($D252,'卡片raw data'!$F:$F,)),0)+IF($P252=1,INDEX('卡片raw data'!AA:AA,MATCH($D252,'卡片raw data'!$F:$F,)),0)+IF($P252=2,INDEX('卡片raw data'!AD:AD,MATCH($D252,'卡片raw data'!$F:$F,)),0)+IF($P252=3,INDEX('卡片raw data'!AG:AG,MATCH($D252,'卡片raw data'!$F:$F,)),0)+IF($P252=4,INDEX('卡片raw data'!AJ:AJ,MATCH($D252,'卡片raw data'!$F:$F,)),0)+IF($P252=5,INDEX('卡片raw data'!AM:AM,MATCH($D252,'卡片raw data'!$F:$F,)),0)+INDEX('卡片raw data'!U:U,MATCH($D252,'卡片raw data'!$F:$F,))*(IF($F252="UR",0.04,0.033))*(IF($F252="UR",INDEX(绊状态确认!$S:$S,MATCH($G252,绊状态确认!$B:$B,))/2-40)+IF($F252="SR",INDEX(绊状态确认!$R:$R,MATCH($G252,绊状态确认!$B:$B,))/4-15))+IF($F252="R",INDEX(绊状态确认!$Q:$Q,MATCH($G252,绊状态确认!$B:$B,))/6-40/6)))*(INDEX(绊状态确认!$H:$H,MATCH($G252,绊状态确认!$B:$B,))+INDEX(绊状态确认!L:L,MATCH($G252,绊状态确认!$B:$B,)))</f>
        <v>6187.3411703999991</v>
      </c>
      <c r="AO252" s="1107">
        <f t="shared" si="279"/>
        <v>1</v>
      </c>
      <c r="AP252" s="1131">
        <f>1+(INDEX(绊状态确认!$T:$T,MATCH($G252,绊状态确认!$B:$B,))+0.2)*$AO252</f>
        <v>1.3</v>
      </c>
      <c r="AQ252" s="1108">
        <f t="shared" si="280"/>
        <v>27358.7475916</v>
      </c>
      <c r="AR252" s="1097">
        <f>(AM252*(1+$EX$9)+$EX$35)*(1+(INDEX(绊状态确认!$T:$T,MATCH($G252,绊状态确认!$B:$B,))+0.2)*AO252)*IF(J252=$FF$17,1+$FE$17,1)*IF(I252=$FF$14,1+$FE$14,1)</f>
        <v>8970.7231878160001</v>
      </c>
      <c r="AS252" s="1097">
        <f>(AN252*(1+$EX$10)+$EX$36)*(1+(INDEX(绊状态确认!$T:$T,MATCH($G252,绊状态确认!$B:$B,))+0.2)*AO252)*IF(J252=$FF$17,1+$FE$17,1)*IF(I252=$FF$14,1+$FE$14,1)</f>
        <v>13306.075049747998</v>
      </c>
      <c r="AT252" s="1093">
        <f>IF(AND(INDEX('卡片raw data'!AK:AK,MATCH($D252,'卡片raw data'!$F:$F,))&lt;INDEX('卡片raw data'!AM:AM,MATCH($D252,'卡片raw data'!$F:$F,)),INDEX('卡片raw data'!AL:AL,MATCH($D252,'卡片raw data'!$F:$F,))&lt;INDEX('卡片raw data'!AM:AM,MATCH($D252,'卡片raw data'!$F:$F,))),1,0)</f>
        <v>0</v>
      </c>
      <c r="AU252" s="1098">
        <f>MIN(AT252*0.15+AS252*0.00003+INDEX(绊状态确认!M:M,MATCH($G252,绊状态确认!$B:$B,)),1)</f>
        <v>0.42918225149243999</v>
      </c>
      <c r="AV252" s="1109">
        <f>(INDEX(绊状态确认!$N:$N,MATCH($G252,绊状态确认!$B:$B,))+1.5)*$EW$21</f>
        <v>2.6599999999999997</v>
      </c>
      <c r="AW252" s="1101">
        <f t="shared" si="281"/>
        <v>24331.539244206771</v>
      </c>
      <c r="AX252" s="1097">
        <f t="shared" si="282"/>
        <v>763.02678575352218</v>
      </c>
      <c r="AY252" s="1110">
        <f t="shared" si="283"/>
        <v>25094.566029960293</v>
      </c>
      <c r="AZ252" s="429">
        <f t="shared" si="284"/>
        <v>20509.355353759998</v>
      </c>
      <c r="BA252" s="431">
        <f t="shared" si="285"/>
        <v>24611.226424511999</v>
      </c>
      <c r="BB252" s="1097">
        <f>(AM252*(1+$FB$9)+$FB$35)*(1+(INDEX(绊状态确认!$T:$T,MATCH($G252,绊状态确认!$B:$B,))+0.2)*AO252)*IF(J252=$FF$17,1+$FE$17,1)*IF(I252=$FF$14,1+$FE$14,1)*(1+$FE$15)</f>
        <v>8970.7231878160001</v>
      </c>
      <c r="BC252" s="1097">
        <f>(AN252*(1+$FB$10)+$FB$36)*(1+(INDEX(绊状态确认!$T:$T,MATCH($G252,绊状态确认!$B:$B,))+0.2)*AO252)*IF(J252=$FF$17,1+$FE$17,1)*IF(I252=$FF$14,1+$FE$14,1)*(1+$FE$15)</f>
        <v>13306.075049747998</v>
      </c>
      <c r="BD252" s="1104">
        <f>MIN(AT252*0.15+BC252*0.00003+INDEX(绊状态确认!M:M,MATCH($G252,绊状态确认!$B:$B,)),1)</f>
        <v>0.42918225149243999</v>
      </c>
      <c r="BE252" s="432">
        <f>(INDEX(绊状态确认!$N:$N,MATCH($G252,绊状态确认!$B:$B,))+1.5)</f>
        <v>1.9</v>
      </c>
      <c r="BF252" s="1139">
        <f t="array" ref="BF252">SUMPRODUCT(IF(AZ252*AP252*$FI$16:$FI$23*$FA$22&gt;=$FI$24,$FI$24,AZ252*AP252*$FI$16:$FI$23*$FA$22),$FJ$16:$FJ$23)</f>
        <v>40793.107798628633</v>
      </c>
      <c r="BG252" s="1125">
        <f t="array" ref="BG252">SUMPRODUCT(IF(BE252*AZ252*AP252*$FI$16:$FI$23*$FA$22&gt;=$FI$24,$FI$24,BE252*AZ252*AP252*$FI$16:$FI$23*$FA$22),$FJ$16:$FJ$23)</f>
        <v>60000</v>
      </c>
      <c r="BH252" s="1110">
        <f t="shared" si="286"/>
        <v>16345.455012595261</v>
      </c>
      <c r="BI252" s="1111">
        <f>IF(O252="vo",$EW$26/$EW$24*0.05,0)+IF(O252="sk",-$EW$26/$EW$24*(0.05-INDEX(绊状态确认!W:W,MATCH($G252,绊状态确认!$B:$B,)))+0.05*$EW$28,0)+IF(O252="sp",0.05*$EW$32*$EW$30*(1-$EW$33)-(0.05-INDEX(绊状态确认!V:V,MATCH($G252,绊状态确认!$B:$B,)))*$EW$28,0)+IF(O252="gd",-(0.05-INDEX(绊状态确认!X:X,MATCH($G252,绊状态确认!$B:$B,)))*$EW$32*$EW$30*(1-$EW$33),0)</f>
        <v>7726.3029277443748</v>
      </c>
      <c r="BJ252" s="1097">
        <f>IF(O252="vo",0.05*(1-$FI$26)*$FA$24,0)+IF(O252="sk",-(0.05-INDEX(绊状态确认!W:W,MATCH($G252,绊状态确认!$B:$B,)))*(1-$FI$26)*$FA$24+0.05*$FA$26,0)+IF(O252="sp",0.05*$FA$32*$FA$27*(1-$FA$33)/$FA$30+0.05*$FA$29/$FA$69*$FA$27*(1-$FA$33)-(0.05-INDEX(绊状态确认!V:V,MATCH($G252,绊状态确认!$B:$B,)))*$FA$26,0)+IF(O252="gd",-(0.05-INDEX(绊状态确认!X:X,MATCH($G252,绊状态确认!$B:$B,)))*$FA$32*$FA$27*(1-$FA$33)/$FA$30-(0.05-INDEX(绊状态确认!X:X,MATCH($G252,绊状态确认!$B:$B,)))*$FA$29/$FA$69*$FA$27*(1-$FA$33),0)</f>
        <v>393.93433687500004</v>
      </c>
      <c r="BK252" s="1110">
        <f>IF(O252="vo",$EW$26/$EW$24*0.05+$EW$26*(-HP($EW$62,$EW$65,$EW$64)+HP($EW$62,$EW$65,(1.05-INDEX(绊状态确认!U:U,MATCH($G252,绊状态确认!$B:$B,)))*$EW$64)),0)+IF(O252="sk",-$EW$26/$EW$24*(0.05-INDEX(绊状态确认!W:W,MATCH($G252,绊状态确认!$B:$B,)))+0.05*$EW$29,0)+IF(O252="sp",0.05*$EW$32*$EW$30*(1-$EW$33)-(0.05-INDEX(绊状态确认!V:V,MATCH($G252,绊状态确认!$B:$B,)))*$EW$29,0)+IF(O252="gd",-(0.05-INDEX(绊状态确认!X:X,MATCH($G252,绊状态确认!$B:$B,)))*$EW$32*$EW$30*(1-$EW$33)+$EW$26*(-HP($EW$62,$EW$65,$EW$64)+HP($EW$62,$EW$65,0.95*$EW$64)),0)</f>
        <v>6421.6344775026746</v>
      </c>
      <c r="BL252" s="1111">
        <f t="shared" si="287"/>
        <v>-1083.3333333333333</v>
      </c>
      <c r="BM252" s="1110">
        <f t="shared" si="288"/>
        <v>-830.55555555555543</v>
      </c>
      <c r="BN252" s="1113">
        <f t="shared" si="289"/>
        <v>3</v>
      </c>
      <c r="BO252" s="1097">
        <f t="shared" si="290"/>
        <v>4507.7214871259994</v>
      </c>
      <c r="BP252" s="1100">
        <f t="shared" si="291"/>
        <v>221.34103209030098</v>
      </c>
      <c r="BQ252" s="1113" t="s">
        <v>143</v>
      </c>
      <c r="BR252" s="1124" t="s">
        <v>625</v>
      </c>
      <c r="BS252" s="1098">
        <f>IF($P252="","N/A",IF($P252=-1,INDEX('卡片raw data'!AX:AX,MATCH($D252,'卡片raw data'!$F:$F,)),0)+IF($L252="party卡",IF($P252=5,INDEX('卡片raw data'!BD:BD,MATCH($D252,'卡片raw data'!$F:$F,)),IF($P252&gt;=3,INDEX('卡片raw data'!BC:BC,MATCH($D252,'卡片raw data'!$F:$F,)),INDEX('卡片raw data'!BB:BB,MATCH($D252,'卡片raw data'!$F:$F,)))),IF(OR(AND($F252="UR",$P252=0),AND($F252="SR",$P252&gt;=0,$P252&lt;=2),AND($F252="R",$P252&gt;=0,$P252&lt;4)),INDEX('卡片raw data'!AZ:AZ,MATCH($D252,'卡片raw data'!$F:$F,)),0)+IF(OR(AND($F252="UR",$P252&gt;=1,$P252&lt;=4),AND($F252="SR",$P252&lt;=4,$P252&gt;=3),AND($F252="R",$P252=4)),INDEX('卡片raw data'!BA:BA,MATCH($D252,'卡片raw data'!$F:$F,)),0)+IF($P252=5,INDEX('卡片raw data'!BB:BB,MATCH($D252,'卡片raw data'!$F:$F,)),0)))</f>
        <v>7.0000000000000007E-2</v>
      </c>
      <c r="BT252" s="1101">
        <f t="shared" si="292"/>
        <v>752.79900424065147</v>
      </c>
      <c r="BU252" s="1097">
        <f t="shared" si="293"/>
        <v>24.108179466737489</v>
      </c>
      <c r="BV252" s="1097">
        <f t="shared" si="294"/>
        <v>0</v>
      </c>
      <c r="BW252" s="1112">
        <f t="shared" si="295"/>
        <v>0</v>
      </c>
      <c r="BX252" s="1100">
        <f t="shared" si="296"/>
        <v>752.79900424065147</v>
      </c>
      <c r="BY252" s="1110">
        <f t="shared" si="297"/>
        <v>0</v>
      </c>
      <c r="BZ252" s="1107" t="s">
        <v>569</v>
      </c>
      <c r="CA252" s="1124"/>
      <c r="CB252" s="1098">
        <f>IF($P252="","N/A",IF($P252=-1,INDEX('卡片raw data'!BE:BE,MATCH($D252,'卡片raw data'!$F:$F,)),0)+IF($L252="party卡",IF($P252=5,INDEX('卡片raw data'!BK:BK,MATCH($D252,'卡片raw data'!$F:$F,)),IF($P252&gt;=3,INDEX('卡片raw data'!BJ:BJ,MATCH($D252,'卡片raw data'!$F:$F,)),INDEX('卡片raw data'!BI:BI,MATCH($D252,'卡片raw data'!$F:$F,)))),IF(OR(AND($F252="UR",$P252=0),AND($F252="SR",$P252&gt;=0,$P252&lt;=2),AND($F252="R",$P252&gt;=0,$P252&lt;4)),INDEX('卡片raw data'!BG:BG,MATCH($D252,'卡片raw data'!$F:$F,)),0)+IF(OR(AND($F252="UR",$P252&gt;=1,$P252&lt;=4),AND($F252="SR",$P252&lt;=4,$P252&gt;=3),AND($F252="R",$P252=4)),INDEX('卡片raw data'!BH:BH,MATCH($D252,'卡片raw data'!$F:$F,)),0)+IF($P252=5,INDEX('卡片raw data'!BI:BI,MATCH($D252,'卡片raw data'!$F:$F,)),0)))</f>
        <v>0</v>
      </c>
      <c r="CC252" s="1101">
        <f t="shared" si="298"/>
        <v>0</v>
      </c>
      <c r="CD252" s="1097">
        <f>IF(BZ252="ap",CB252*(1-$FI$26)*$FB$5/$FB$11*(+IF(CA252="全员",$FA$24,0)+IF(CA252="同作战",$FA$24,0)+IF(CA252="仲间",$FA$24*2/3,0)+IF(CA252="同属性",$FA$24*$FA$37/3,0)+IF(CA252="同年级",$FA$24*$FA$40/3,0)+IF(CA252="同学校",$FA$24*$FA$43/3,0)+IF(CA252="同小队",$FA$24*$FA$46/3,0)+IF(CA252="同type",$FA$24*INDEX($FB$49:$FB$52,MATCH(X252,$FA$49:$FA$52,))/3,0)+IF(CA252="自身",#REF!/3,0)),0)+IF(BZ252="te",CB252*(1-$FI$27)*($FA$20-1)*$FB$7/$FB$13*(+IF(CA252="全员",$FA$19*$FA$24/(1+($FA$20-1)*$FA$19),0)+IF(CA252="同作战",$FA$19*$FA$24/(1+($FA$20-1)*$FA$19),0)+IF(CA252="仲间",$FA$19*$FA$24*2/3/(1+($FA$20-1)*$FA$19),0)+IF(CA252="同属性",$FA$19*$FA$24*$FA$37/3/(1+($FA$20-1)*$FA$19),0)+IF(CA252="同年级",$FA$19*$FA$24*$FA$40/3/(1+($FA$20-1)*$FA$19),0)+IF(CA252="同学校",$FA$19*$FA$24*$FA$43/3/(1+($FA$20-1)*$FA$19),0)+IF(CA252="同小队",$FA$19*$FA$24*$FA$46/3/(1+($FA$20-1)*$FA$19),0)+IF(CA252="同type",$FA$19*$FA$24*INDEX($FB$49:$FB$52,MATCH(X252,$FA$49:$FA$52,))/3/(1+($FA$20-1)*$FA$19),0)+IF(CA252="自身",$FA$19*#REF!/3/(1+(BH252-1)*$BD252),0)),0)</f>
        <v>0</v>
      </c>
      <c r="CE252" s="1097">
        <f t="shared" si="299"/>
        <v>0</v>
      </c>
      <c r="CF252" s="1112">
        <f t="shared" si="300"/>
        <v>0</v>
      </c>
      <c r="CG252" s="1100">
        <f t="shared" si="301"/>
        <v>0</v>
      </c>
      <c r="CH252" s="1110">
        <f t="shared" si="302"/>
        <v>0</v>
      </c>
      <c r="CI252" s="1113" t="s">
        <v>164</v>
      </c>
      <c r="CJ252" s="1114">
        <v>0.5</v>
      </c>
      <c r="CK252" s="1115" t="s">
        <v>585</v>
      </c>
      <c r="CL252" s="1115" t="s">
        <v>161</v>
      </c>
      <c r="CM252" s="1119">
        <v>0.04</v>
      </c>
      <c r="CN252" s="1115">
        <v>10</v>
      </c>
      <c r="CO252" s="1092"/>
      <c r="CP252" s="1118">
        <f t="shared" si="303"/>
        <v>4.2857142857142859E-3</v>
      </c>
      <c r="CQ252" s="1118">
        <f t="shared" si="304"/>
        <v>6.666666666666668E-3</v>
      </c>
      <c r="CR252" s="1118">
        <f t="shared" si="305"/>
        <v>4.2857142857142859E-3</v>
      </c>
      <c r="CS252" s="1118">
        <f t="shared" si="306"/>
        <v>0</v>
      </c>
      <c r="CT252" s="1109">
        <f t="shared" si="307"/>
        <v>0</v>
      </c>
      <c r="CU252" s="1101">
        <f t="shared" si="308"/>
        <v>582.78399226414717</v>
      </c>
      <c r="CV252" s="1108">
        <f t="shared" si="309"/>
        <v>43.770481875000016</v>
      </c>
      <c r="CW252" s="1097">
        <f t="shared" si="310"/>
        <v>582.78399226414717</v>
      </c>
      <c r="CX252" s="1097">
        <f t="shared" si="311"/>
        <v>582.78399226414717</v>
      </c>
      <c r="CY252" s="1110">
        <f t="shared" si="312"/>
        <v>582.78399226414717</v>
      </c>
      <c r="CZ252" s="437"/>
      <c r="DA252" s="438"/>
      <c r="DB252" s="439" t="s">
        <v>569</v>
      </c>
      <c r="DC252" s="439"/>
      <c r="DD252" s="443"/>
      <c r="DE252" s="411"/>
      <c r="DF252" s="411"/>
      <c r="DG252" s="1116">
        <f t="shared" si="313"/>
        <v>0</v>
      </c>
      <c r="DH252" s="1116">
        <f t="shared" si="314"/>
        <v>0</v>
      </c>
      <c r="DI252" s="1116">
        <f t="shared" si="315"/>
        <v>0</v>
      </c>
      <c r="DJ252" s="442">
        <f t="shared" si="316"/>
        <v>0</v>
      </c>
      <c r="DK252" s="1109">
        <f t="shared" si="317"/>
        <v>0</v>
      </c>
      <c r="DL252" s="1101">
        <f t="shared" si="318"/>
        <v>0</v>
      </c>
      <c r="DM252" s="1097">
        <f t="shared" si="319"/>
        <v>0</v>
      </c>
      <c r="DN252" s="1097">
        <f t="shared" si="320"/>
        <v>0</v>
      </c>
      <c r="DO252" s="1097">
        <f t="shared" si="321"/>
        <v>0</v>
      </c>
      <c r="DP252" s="1110">
        <f t="shared" si="322"/>
        <v>0</v>
      </c>
      <c r="DQ252" s="1113" t="s">
        <v>545</v>
      </c>
      <c r="DR252" s="1120">
        <f t="shared" si="323"/>
        <v>0.3</v>
      </c>
      <c r="DS252" s="1124"/>
      <c r="DT252" s="1093" t="s">
        <v>132</v>
      </c>
      <c r="DU252" s="1093"/>
      <c r="DV252" s="1098">
        <f>IF($P252="","N/A",IF(P252=-1,INDEX('卡片raw data'!AN:AN,MATCH(D252,'卡片raw data'!$F:$F,)),0)+IF(AND(L252&lt;&gt;"party卡",P252&lt;=2,P252&gt;=0),INDEX('卡片raw data'!AP:AP,MATCH(D252,'卡片raw data'!$F:$F,)),0)+IF(OR(AND(L252="party卡",P252&lt;=1),AND(P252&lt;=4,L252&lt;&gt;"party卡",P252&gt;=3)),INDEX('卡片raw data'!AQ:AQ,MATCH(D252,'卡片raw data'!$F:$F,)),0)+IF(OR(P252=5,AND(L252="party卡",P252&gt;=2)),INDEX('卡片raw data'!AR:AR,MATCH(D252,'卡片raw data'!$F:$F,)),0))</f>
        <v>0.37</v>
      </c>
      <c r="DW252" s="1098">
        <f t="shared" si="324"/>
        <v>0.3</v>
      </c>
      <c r="DX252" s="1098">
        <f t="shared" si="325"/>
        <v>0.3</v>
      </c>
      <c r="DY252" s="1125">
        <f t="shared" si="326"/>
        <v>1315.9557591559601</v>
      </c>
      <c r="DZ252" s="1125">
        <f t="shared" si="327"/>
        <v>1023.9869922314585</v>
      </c>
      <c r="EA252" s="1098">
        <f t="shared" si="328"/>
        <v>0</v>
      </c>
      <c r="EB252" s="1121">
        <f t="shared" si="329"/>
        <v>0</v>
      </c>
      <c r="EC252" s="1101">
        <f t="shared" si="330"/>
        <v>1447.5513350715562</v>
      </c>
      <c r="ED252" s="1097">
        <f t="shared" si="331"/>
        <v>1023.9869922314585</v>
      </c>
      <c r="EE252" s="1110">
        <f t="shared" si="332"/>
        <v>1447.5513350715562</v>
      </c>
      <c r="EF252" s="1092" t="s">
        <v>711</v>
      </c>
      <c r="EG252" s="1120">
        <f t="shared" si="333"/>
        <v>0.3</v>
      </c>
      <c r="EH252" s="1124"/>
      <c r="EI252" s="1093"/>
      <c r="EJ252" s="1093"/>
      <c r="EK252" s="1097">
        <f>IF($P252="","N/A",IF(P252=-1,INDEX('卡片raw data'!AS:AS,MATCH(D252,'卡片raw data'!$F:$F,)),0)+IF(AND(L252&lt;&gt;"party卡",P252&lt;=2,P252&gt;=0),INDEX('卡片raw data'!AU:AU,MATCH(D252,'卡片raw data'!$F:$F,)),0)+IF(OR(AND(L252="party卡",P252&lt;=1),AND(P252&lt;=4,L252&lt;&gt;"party卡",P252&gt;=3)),INDEX('卡片raw data'!AV:AV,MATCH(D252,'卡片raw data'!$F:$F,)),0)+IF(OR(P252=5,AND(L252="party卡",P252&gt;=2)),INDEX('卡片raw data'!AW:AW,MATCH(D252,'卡片raw data'!$F:$F,)),0))</f>
        <v>0</v>
      </c>
      <c r="EL252" s="1098">
        <f t="shared" si="334"/>
        <v>0.3</v>
      </c>
      <c r="EM252" s="1098">
        <f t="shared" si="335"/>
        <v>0.3</v>
      </c>
      <c r="EN252" s="1125">
        <f t="shared" si="336"/>
        <v>0</v>
      </c>
      <c r="EO252" s="1125">
        <f t="shared" si="337"/>
        <v>0</v>
      </c>
      <c r="EP252" s="1098">
        <f t="shared" si="338"/>
        <v>0</v>
      </c>
      <c r="EQ252" s="1121">
        <f t="shared" si="339"/>
        <v>0</v>
      </c>
      <c r="ER252" s="1101">
        <f t="shared" si="340"/>
        <v>0</v>
      </c>
      <c r="ES252" s="1097">
        <f t="shared" si="341"/>
        <v>0</v>
      </c>
      <c r="ET252" s="1122">
        <f t="shared" si="342"/>
        <v>0</v>
      </c>
    </row>
    <row r="253" spans="2:150" ht="16.5" customHeight="1">
      <c r="B253" s="1123" t="str">
        <f>INDEX('卡片raw data'!B:B,MATCH($D253,'卡片raw data'!$F:$F,))</f>
        <v>公主林</v>
      </c>
      <c r="C253" s="449" t="s">
        <v>123</v>
      </c>
      <c r="D253" s="408">
        <v>250</v>
      </c>
      <c r="E253" s="1090">
        <v>402043001</v>
      </c>
      <c r="F253" s="1090" t="str">
        <f>INDEX('卡片raw data'!C:C,MATCH($D253,'卡片raw data'!$F:$F,))</f>
        <v>UR</v>
      </c>
      <c r="G253" s="1094" t="s">
        <v>46</v>
      </c>
      <c r="H253" s="411">
        <f>IFERROR(INDEX(绊状态确认!C:C,MATCH($G253,绊状态确认!$B:$B,)),"")</f>
        <v>204</v>
      </c>
      <c r="I253" s="1124" t="str">
        <f>IFERROR(INDEX(绊状态确认!D:D,MATCH($G253,绊状态确认!$B:$B,)),"")</f>
        <v>虹</v>
      </c>
      <c r="J253" s="1124" t="str">
        <f>IFERROR(INDEX(绊状态确认!E:E,MATCH($G253,绊状态确认!$B:$B,)),"")</f>
        <v>3年级</v>
      </c>
      <c r="K253" s="451" t="str">
        <f>IFERROR(INDEX(绊状态确认!F:F,MATCH($G253,绊状态确认!$B:$B,)),"")</f>
        <v>Diver Diva</v>
      </c>
      <c r="L253" s="1094" t="str">
        <f>INDEX('卡片raw data'!E:E,MATCH($D253,'卡片raw data'!$F:$F,))</f>
        <v>卡池卡</v>
      </c>
      <c r="M253" s="415">
        <v>43987</v>
      </c>
      <c r="N253" s="416">
        <v>17</v>
      </c>
      <c r="O253" s="1091" t="str">
        <f>INDEX('卡片raw data'!D:D,MATCH($D253,'卡片raw data'!$F:$F,))</f>
        <v>sk</v>
      </c>
      <c r="P253" s="417">
        <v>5</v>
      </c>
      <c r="Q253" s="1095">
        <f t="shared" si="258"/>
        <v>56651.380827387562</v>
      </c>
      <c r="R253" s="1096">
        <f t="shared" si="259"/>
        <v>0.65800000000000003</v>
      </c>
      <c r="S253" s="1097">
        <f t="shared" si="260"/>
        <v>21523.375508297977</v>
      </c>
      <c r="T253" s="1098">
        <f t="shared" si="261"/>
        <v>1.0760000000000001</v>
      </c>
      <c r="U253" s="1099">
        <f t="shared" si="262"/>
        <v>13.827153969942854</v>
      </c>
      <c r="V253" s="1100">
        <f t="shared" si="263"/>
        <v>59758.594631509819</v>
      </c>
      <c r="W253" s="1101">
        <f t="shared" si="264"/>
        <v>4507.7214871259994</v>
      </c>
      <c r="X253" s="1096">
        <f t="shared" si="265"/>
        <v>5.1999999999999998E-2</v>
      </c>
      <c r="Y253" s="1097">
        <f t="shared" si="266"/>
        <v>1107.213804122257</v>
      </c>
      <c r="Z253" s="1102">
        <f t="shared" si="267"/>
        <v>13.827153969942854</v>
      </c>
      <c r="AA253" s="1103">
        <f t="shared" si="268"/>
        <v>5614.9352912482564</v>
      </c>
      <c r="AB253" s="1101">
        <f t="shared" si="269"/>
        <v>11545.204326505653</v>
      </c>
      <c r="AC253" s="1104">
        <f t="shared" si="270"/>
        <v>0.13400000000000001</v>
      </c>
      <c r="AD253" s="1105">
        <f t="shared" si="271"/>
        <v>3.3577487114630683E-2</v>
      </c>
      <c r="AE253" s="1128">
        <f t="shared" si="272"/>
        <v>17.698078255825205</v>
      </c>
      <c r="AF253" s="1130">
        <f t="shared" si="273"/>
        <v>0</v>
      </c>
      <c r="AG253" s="420">
        <f t="shared" si="274"/>
        <v>0</v>
      </c>
      <c r="AH253" s="420">
        <f t="shared" si="275"/>
        <v>0</v>
      </c>
      <c r="AI253" s="1097">
        <f t="shared" si="276"/>
        <v>0</v>
      </c>
      <c r="AJ253" s="420">
        <f t="shared" si="277"/>
        <v>0</v>
      </c>
      <c r="AK253" s="518">
        <f t="shared" si="278"/>
        <v>0</v>
      </c>
      <c r="AL253" s="1106">
        <f>IF($P253="","N/A",(IF($P253=-1,INDEX('卡片raw data'!S:S,MATCH($D253,'卡片raw data'!$F:$F,)),0)+IF($P253=0,INDEX('卡片raw data'!V:V,MATCH($D253,'卡片raw data'!$F:$F,)),0)+IF($P253=1,INDEX('卡片raw data'!Y:Y,MATCH($D253,'卡片raw data'!$F:$F,)),0)+IF($P253=2,INDEX('卡片raw data'!AB:AB,MATCH($D253,'卡片raw data'!$F:$F,)),0)+IF($P253=3,INDEX('卡片raw data'!AE:AE,MATCH($D253,'卡片raw data'!$F:$F,)),0)+IF($P253=4,INDEX('卡片raw data'!AH:AH,MATCH($D253,'卡片raw data'!$F:$F,)),0)+IF($P253=5,INDEX('卡片raw data'!AK:AK,MATCH($D253,'卡片raw data'!$F:$F,)),0)+INDEX('卡片raw data'!S:S,MATCH($D253,'卡片raw data'!$F:$F,))*(IF($F253="UR",0.04,0.033))*(IF($F253="UR",INDEX(绊状态确认!$S:$S,MATCH($G253,绊状态确认!$B:$B,))/2-40)+IF($F253="SR",INDEX(绊状态确认!$R:$R,MATCH($G253,绊状态确认!$B:$B,))/4-15))+IF($F253="R",INDEX(绊状态确认!$Q:$Q,MATCH($G253,绊状态确认!$B:$B,))/6-40/6)))*(INDEX(绊状态确认!$H:$H,MATCH($G253,绊状态确认!$B:$B,))+INDEX(绊状态确认!J:J,MATCH($G253,绊状态确认!$B:$B,)))</f>
        <v>12022.475616</v>
      </c>
      <c r="AM253" s="1106">
        <f>IF($P253="","N/A",(IF($P253=-1,INDEX('卡片raw data'!T:T,MATCH($D253,'卡片raw data'!$F:$F,)),0)+IF($P253=0,INDEX('卡片raw data'!W:W,MATCH($D253,'卡片raw data'!$F:$F,)),0)+IF($P253=1,INDEX('卡片raw data'!Z:Z,MATCH($D253,'卡片raw data'!$F:$F,)),0)+IF($P253=2,INDEX('卡片raw data'!AC:AC,MATCH($D253,'卡片raw data'!$F:$F,)),0)+IF($P253=3,INDEX('卡片raw data'!AF:AF,MATCH($D253,'卡片raw data'!$F:$F,)),0)+IF($P253=4,INDEX('卡片raw data'!AI:AI,MATCH($D253,'卡片raw data'!$F:$F,)),0)+IF($P253=5,INDEX('卡片raw data'!AL:AL,MATCH($D253,'卡片raw data'!$F:$F,)),0)+INDEX('卡片raw data'!T:T,MATCH($D253,'卡片raw data'!$F:$F,))*(IF($F253="UR",0.04,0.033))*(IF($F253="UR",INDEX(绊状态确认!$S:$S,MATCH($G253,绊状态确认!$B:$B,))/2-40)+IF($F253="SR",INDEX(绊状态确认!$R:$R,MATCH($G253,绊状态确认!$B:$B,))/4-15))+IF($F253="R",INDEX(绊状态确认!$Q:$Q,MATCH($G253,绊状态确认!$B:$B,))/6-40/6)))*(INDEX(绊状态确认!$H:$H,MATCH($G253,绊状态确认!$B:$B,))+INDEX(绊状态确认!K:K,MATCH($G253,绊状态确认!$B:$B,)))</f>
        <v>7473.5118719999982</v>
      </c>
      <c r="AN253" s="1106">
        <f>IF($P253="","N/A",(IF($P253=-1,INDEX('卡片raw data'!U:U,MATCH($D253,'卡片raw data'!$F:$F,)),0)+IF($P253=0,INDEX('卡片raw data'!X:X,MATCH($D253,'卡片raw data'!$F:$F,)),0)+IF($P253=1,INDEX('卡片raw data'!AA:AA,MATCH($D253,'卡片raw data'!$F:$F,)),0)+IF($P253=2,INDEX('卡片raw data'!AD:AD,MATCH($D253,'卡片raw data'!$F:$F,)),0)+IF($P253=3,INDEX('卡片raw data'!AG:AG,MATCH($D253,'卡片raw data'!$F:$F,)),0)+IF($P253=4,INDEX('卡片raw data'!AJ:AJ,MATCH($D253,'卡片raw data'!$F:$F,)),0)+IF($P253=5,INDEX('卡片raw data'!AM:AM,MATCH($D253,'卡片raw data'!$F:$F,)),0)+INDEX('卡片raw data'!U:U,MATCH($D253,'卡片raw data'!$F:$F,))*(IF($F253="UR",0.04,0.033))*(IF($F253="UR",INDEX(绊状态确认!$S:$S,MATCH($G253,绊状态确认!$B:$B,))/2-40)+IF($F253="SR",INDEX(绊状态确认!$R:$R,MATCH($G253,绊状态确认!$B:$B,))/4-15))+IF($F253="R",INDEX(绊状态确认!$Q:$Q,MATCH($G253,绊状态确认!$B:$B,))/6-40/6)))*(INDEX(绊状态确认!$H:$H,MATCH($G253,绊状态确认!$B:$B,))+INDEX(绊状态确认!L:L,MATCH($G253,绊状态确认!$B:$B,)))</f>
        <v>13000.415999999997</v>
      </c>
      <c r="AO253" s="1107">
        <f t="shared" si="279"/>
        <v>1</v>
      </c>
      <c r="AP253" s="1131">
        <f>1+(INDEX(绊状态确认!$T:$T,MATCH($G253,绊状态确认!$B:$B,))+0.2)*$AO253</f>
        <v>1.3</v>
      </c>
      <c r="AQ253" s="1108">
        <f t="shared" si="280"/>
        <v>34808.998491999999</v>
      </c>
      <c r="AR253" s="1097">
        <f>(AM253*(1+$EX$9)+$EX$35)*(1+(INDEX(绊状态确认!$T:$T,MATCH($G253,绊状态确认!$B:$B,))+0.2)*AO253)*IF(J253=$FF$17,1+$FE$17,1)*IF(I253=$FF$14,1+$FE$14,1)*(1+$FE$15)</f>
        <v>12905.343705279998</v>
      </c>
      <c r="AS253" s="1097">
        <f>(AN253*(1+$EX$10)+$EX$36)*(1+(INDEX(绊状态确认!$T:$T,MATCH($G253,绊状态确认!$B:$B,))+0.2)*AO253)*IF(J253=$FF$17,1+$FE$17,1)*IF(I253=$FF$14,1+$FE$14,1)*(1+$FE$15)</f>
        <v>23491.621919999998</v>
      </c>
      <c r="AT253" s="1093">
        <f>IF(AND(INDEX('卡片raw data'!AK:AK,MATCH($D253,'卡片raw data'!$F:$F,))&lt;INDEX('卡片raw data'!AM:AM,MATCH($D253,'卡片raw data'!$F:$F,)),INDEX('卡片raw data'!AL:AL,MATCH($D253,'卡片raw data'!$F:$F,))&lt;INDEX('卡片raw data'!AM:AM,MATCH($D253,'卡片raw data'!$F:$F,))),1,0)</f>
        <v>1</v>
      </c>
      <c r="AU253" s="1098">
        <f>MIN(AT253*0.15+AS253*0.00003+INDEX(绊状态确认!M:M,MATCH($G253,绊状态确认!$B:$B,)),1)</f>
        <v>0.88474865759999999</v>
      </c>
      <c r="AV253" s="1109">
        <f>(INDEX(绊状态确认!$N:$N,MATCH($G253,绊状态确认!$B:$B,))+1.5)*$EW$21</f>
        <v>2.6599999999999997</v>
      </c>
      <c r="AW253" s="1101">
        <f t="shared" si="281"/>
        <v>44628.694025200944</v>
      </c>
      <c r="AX253" s="1097">
        <f t="shared" si="282"/>
        <v>1107.2138041222572</v>
      </c>
      <c r="AY253" s="1110">
        <f t="shared" si="283"/>
        <v>45735.907829323201</v>
      </c>
      <c r="AZ253" s="429">
        <f t="shared" si="284"/>
        <v>26043.827451199999</v>
      </c>
      <c r="BA253" s="431">
        <f t="shared" si="285"/>
        <v>31252.592941439998</v>
      </c>
      <c r="BB253" s="1097">
        <f>(AM253*(1+$FB$9)+$FB$35)*(1+(INDEX(绊状态确认!$T:$T,MATCH($G253,绊状态确认!$B:$B,))+0.2)*AO253)*IF(J253=$FF$17,1+$FE$17,1)*IF(I253=$FF$14,1+$FE$14,1)*(1+$FE$15)</f>
        <v>12905.343705279998</v>
      </c>
      <c r="BC253" s="1097">
        <f>(AN253*(1+$FB$10)+$FB$36)*(1+(INDEX(绊状态确认!$T:$T,MATCH($G253,绊状态确认!$B:$B,))+0.2)*AO253)*IF(J253=$FF$17,1+$FE$17,1)*IF(I253=$FF$14,1+$FE$14,1)*(1+$FE$15)</f>
        <v>23491.621919999998</v>
      </c>
      <c r="BD253" s="1104">
        <f>MIN(AT253*0.15+BC253*0.00003+INDEX(绊状态确认!M:M,MATCH($G253,绊状态确认!$B:$B,)),1)</f>
        <v>0.88474865759999999</v>
      </c>
      <c r="BE253" s="432">
        <f>(INDEX(绊状态确认!$N:$N,MATCH($G253,绊状态确认!$B:$B,))+1.5)</f>
        <v>1.9</v>
      </c>
      <c r="BF253" s="1139">
        <f t="array" ref="BF253">SUMPRODUCT(IF(AZ253*AP253*$FI$16:$FI$23*$FA$22&gt;=$FI$24,$FI$24,AZ253*AP253*$FI$16:$FI$23*$FA$22),$FJ$16:$FJ$23)</f>
        <v>51274.091796409601</v>
      </c>
      <c r="BG253" s="1125">
        <f t="array" ref="BG253">SUMPRODUCT(IF(BE253*AZ253*AP253*$FI$16:$FI$23*$FA$22&gt;=$FI$24,$FI$24,BE253*AZ253*AP253*$FI$16:$FI$23*$FA$22),$FJ$16:$FJ$23)</f>
        <v>60000</v>
      </c>
      <c r="BH253" s="1110">
        <f t="shared" si="286"/>
        <v>19664.775788625677</v>
      </c>
      <c r="BI253" s="1111">
        <f>IF(O253="vo",$EW$26/$EW$24*0.05,0)+IF(O253="sk",-$EW$26/$EW$24*(0.05-INDEX(绊状态确认!W:W,MATCH($G253,绊状态确认!$B:$B,)))+0.05*$EW$28,0)+IF(O253="sp",0.05*$EW$32*$EW$30*(1-$EW$33)-(0.05-INDEX(绊状态确认!V:V,MATCH($G253,绊状态确认!$B:$B,)))*$EW$28,0)+IF(O253="gd",-(0.05-INDEX(绊状态确认!X:X,MATCH($G253,绊状态确认!$B:$B,)))*$EW$32*$EW$30*(1-$EW$33),0)</f>
        <v>-6253.6726349699375</v>
      </c>
      <c r="BJ253" s="1097">
        <f>IF(O253="vo",0.05*(1-$FI$26)*$FA$24,0)+IF(O253="sk",-(0.05-INDEX(绊状态确认!W:W,MATCH($G253,绊状态确认!$B:$B,)))*(1-$FI$26)*$FA$24+0.05*$FA$26,0)+IF(O253="sp",0.05*$FA$32*$FA$27*(1-$FA$33)/$FA$30+0.05*$FA$29/$FA$69*$FA$27*(1-$FA$33)-(0.05-INDEX(绊状态确认!V:V,MATCH($G253,绊状态确认!$B:$B,)))*$FA$26,0)+IF(O253="gd",-(0.05-INDEX(绊状态确认!X:X,MATCH($G253,绊状态确认!$B:$B,)))*$FA$32*$FA$27*(1-$FA$33)/$FA$30-(0.05-INDEX(绊状态确认!X:X,MATCH($G253,绊状态确认!$B:$B,)))*$FA$29/$FA$69*$FA$27*(1-$FA$33),0)</f>
        <v>20.459096812499922</v>
      </c>
      <c r="BK253" s="1110">
        <f>IF(O253="vo",$EW$26/$EW$24*0.05+$EW$26*(-HP($EW$62,$EW$65,$EW$64)+HP($EW$62,$EW$65,(1.05-INDEX(绊状态确认!U:U,MATCH($G253,绊状态确认!$B:$B,)))*$EW$64)),0)+IF(O253="sk",-$EW$26/$EW$24*(0.05-INDEX(绊状态确认!W:W,MATCH($G253,绊状态确认!$B:$B,)))+0.05*$EW$29,0)+IF(O253="sp",0.05*$EW$32*$EW$30*(1-$EW$33)-(0.05-INDEX(绊状态确认!V:V,MATCH($G253,绊状态确认!$B:$B,)))*$EW$29,0)+IF(O253="gd",-(0.05-INDEX(绊状态确认!X:X,MATCH($G253,绊状态确认!$B:$B,)))*$EW$32*$EW$30*(1-$EW$33)+$EW$26*(-HP($EW$62,$EW$65,$EW$64)+HP($EW$62,$EW$65,0.95*$EW$64)),0)</f>
        <v>-4253.6726349699375</v>
      </c>
      <c r="BL253" s="1111">
        <f t="shared" si="287"/>
        <v>0</v>
      </c>
      <c r="BM253" s="1110">
        <f t="shared" si="288"/>
        <v>0</v>
      </c>
      <c r="BN253" s="1113">
        <f t="shared" si="289"/>
        <v>3</v>
      </c>
      <c r="BO253" s="1097">
        <f t="shared" si="290"/>
        <v>4507.7214871259994</v>
      </c>
      <c r="BP253" s="1100">
        <f t="shared" si="291"/>
        <v>221.34103209030098</v>
      </c>
      <c r="BQ253" s="1113" t="s">
        <v>145</v>
      </c>
      <c r="BR253" s="1124" t="s">
        <v>146</v>
      </c>
      <c r="BS253" s="1098">
        <f>IF($P253="","N/A",IF($P253=-1,INDEX('卡片raw data'!AX:AX,MATCH($D253,'卡片raw data'!$F:$F,)),0)+IF($L253="party卡",IF($P253=5,INDEX('卡片raw data'!BD:BD,MATCH($D253,'卡片raw data'!$F:$F,)),IF($P253&gt;=3,INDEX('卡片raw data'!BC:BC,MATCH($D253,'卡片raw data'!$F:$F,)),INDEX('卡片raw data'!BB:BB,MATCH($D253,'卡片raw data'!$F:$F,)))),IF(OR(AND($F253="UR",$P253=0),AND($F253="SR",$P253&gt;=0,$P253&lt;=2),AND($F253="R",$P253&gt;=0,$P253&lt;4)),INDEX('卡片raw data'!AZ:AZ,MATCH($D253,'卡片raw data'!$F:$F,)),0)+IF(OR(AND($F253="UR",$P253&gt;=1,$P253&lt;=4),AND($F253="SR",$P253&lt;=4,$P253&gt;=3),AND($F253="R",$P253=4)),INDEX('卡片raw data'!BA:BA,MATCH($D253,'卡片raw data'!$F:$F,)),0)+IF($P253=5,INDEX('卡片raw data'!BB:BB,MATCH($D253,'卡片raw data'!$F:$F,)),0)))</f>
        <v>7.0000000000000007E-2</v>
      </c>
      <c r="BT253" s="1101">
        <f t="shared" si="292"/>
        <v>4952.2166430160187</v>
      </c>
      <c r="BU253" s="1097">
        <f t="shared" si="293"/>
        <v>358.20967007162113</v>
      </c>
      <c r="BV253" s="1097">
        <f t="shared" si="294"/>
        <v>0</v>
      </c>
      <c r="BW253" s="1112">
        <f t="shared" si="295"/>
        <v>0</v>
      </c>
      <c r="BX253" s="1100">
        <f t="shared" si="296"/>
        <v>4952.2166430160187</v>
      </c>
      <c r="BY253" s="1110">
        <f t="shared" si="297"/>
        <v>0</v>
      </c>
      <c r="BZ253" s="1107" t="s">
        <v>569</v>
      </c>
      <c r="CA253" s="1124"/>
      <c r="CB253" s="1098">
        <f>IF($P253="","N/A",IF($P253=-1,INDEX('卡片raw data'!BE:BE,MATCH($D253,'卡片raw data'!$F:$F,)),0)+IF($L253="party卡",IF($P253=5,INDEX('卡片raw data'!BK:BK,MATCH($D253,'卡片raw data'!$F:$F,)),IF($P253&gt;=3,INDEX('卡片raw data'!BJ:BJ,MATCH($D253,'卡片raw data'!$F:$F,)),INDEX('卡片raw data'!BI:BI,MATCH($D253,'卡片raw data'!$F:$F,)))),IF(OR(AND($F253="UR",$P253=0),AND($F253="SR",$P253&gt;=0,$P253&lt;=2),AND($F253="R",$P253&gt;=0,$P253&lt;4)),INDEX('卡片raw data'!BG:BG,MATCH($D253,'卡片raw data'!$F:$F,)),0)+IF(OR(AND($F253="UR",$P253&gt;=1,$P253&lt;=4),AND($F253="SR",$P253&lt;=4,$P253&gt;=3),AND($F253="R",$P253=4)),INDEX('卡片raw data'!BH:BH,MATCH($D253,'卡片raw data'!$F:$F,)),0)+IF($P253=5,INDEX('卡片raw data'!BI:BI,MATCH($D253,'卡片raw data'!$F:$F,)),0)))</f>
        <v>0</v>
      </c>
      <c r="CC253" s="1101">
        <f t="shared" si="298"/>
        <v>0</v>
      </c>
      <c r="CD253" s="1097">
        <f>IF(BZ253="ap",CB253*(1-$FI$26)*$FB$5/$FB$11*(+IF(CA253="全员",$FA$24,0)+IF(CA253="同作战",$FA$24,0)+IF(CA253="仲间",$FA$24*2/3,0)+IF(CA253="同属性",$FA$24*$FA$37/3,0)+IF(CA253="同年级",$FA$24*$FA$40/3,0)+IF(CA253="同学校",$FA$24*$FA$43/3,0)+IF(CA253="同小队",$FA$24*$FA$46/3,0)+IF(CA253="同type",$FA$24*INDEX($FB$49:$FB$52,MATCH(X253,$FA$49:$FA$52,))/3,0)+IF(CA253="自身",#REF!/3,0)),0)+IF(BZ253="te",CB253*(1-$FI$27)*($FA$20-1)*$FB$7/$FB$13*(+IF(CA253="全员",$FA$19*$FA$24/(1+($FA$20-1)*$FA$19),0)+IF(CA253="同作战",$FA$19*$FA$24/(1+($FA$20-1)*$FA$19),0)+IF(CA253="仲间",$FA$19*$FA$24*2/3/(1+($FA$20-1)*$FA$19),0)+IF(CA253="同属性",$FA$19*$FA$24*$FA$37/3/(1+($FA$20-1)*$FA$19),0)+IF(CA253="同年级",$FA$19*$FA$24*$FA$40/3/(1+($FA$20-1)*$FA$19),0)+IF(CA253="同学校",$FA$19*$FA$24*$FA$43/3/(1+($FA$20-1)*$FA$19),0)+IF(CA253="同小队",$FA$19*$FA$24*$FA$46/3/(1+($FA$20-1)*$FA$19),0)+IF(CA253="同type",$FA$19*$FA$24*INDEX($FB$49:$FB$52,MATCH(X253,$FA$49:$FA$52,))/3/(1+($FA$20-1)*$FA$19),0)+IF(CA253="自身",$FA$19*#REF!/3/(1+(BH253-1)*$BD253),0)),0)</f>
        <v>0</v>
      </c>
      <c r="CE253" s="1097">
        <f t="shared" si="299"/>
        <v>0</v>
      </c>
      <c r="CF253" s="1112">
        <f t="shared" si="300"/>
        <v>0</v>
      </c>
      <c r="CG253" s="1100">
        <f t="shared" si="301"/>
        <v>0</v>
      </c>
      <c r="CH253" s="1110">
        <f t="shared" si="302"/>
        <v>0</v>
      </c>
      <c r="CI253" s="1113" t="s">
        <v>173</v>
      </c>
      <c r="CJ253" s="1114">
        <v>0.5</v>
      </c>
      <c r="CK253" s="1115" t="s">
        <v>154</v>
      </c>
      <c r="CL253" s="1115" t="s">
        <v>171</v>
      </c>
      <c r="CM253" s="1119">
        <v>0.25</v>
      </c>
      <c r="CN253" s="1115">
        <v>2</v>
      </c>
      <c r="CO253" s="1092"/>
      <c r="CP253" s="1118">
        <f t="shared" si="303"/>
        <v>4.9152703199999995E-2</v>
      </c>
      <c r="CQ253" s="1118">
        <f t="shared" si="304"/>
        <v>4.3008615300000004E-2</v>
      </c>
      <c r="CR253" s="1118">
        <f t="shared" si="305"/>
        <v>0</v>
      </c>
      <c r="CS253" s="1118">
        <f t="shared" si="306"/>
        <v>1.18081689328125E-2</v>
      </c>
      <c r="CT253" s="1109">
        <f t="shared" si="307"/>
        <v>0</v>
      </c>
      <c r="CU253" s="1101">
        <f t="shared" si="308"/>
        <v>2085.266196363636</v>
      </c>
      <c r="CV253" s="1108">
        <f t="shared" si="309"/>
        <v>977.46852954545454</v>
      </c>
      <c r="CW253" s="1097">
        <f t="shared" si="310"/>
        <v>0</v>
      </c>
      <c r="CX253" s="1097">
        <f t="shared" si="311"/>
        <v>2085.266196363636</v>
      </c>
      <c r="CY253" s="1110">
        <f t="shared" si="312"/>
        <v>0</v>
      </c>
      <c r="CZ253" s="437"/>
      <c r="DA253" s="438"/>
      <c r="DB253" s="439" t="s">
        <v>569</v>
      </c>
      <c r="DC253" s="439"/>
      <c r="DD253" s="443"/>
      <c r="DE253" s="411"/>
      <c r="DF253" s="411"/>
      <c r="DG253" s="1116">
        <f t="shared" si="313"/>
        <v>0</v>
      </c>
      <c r="DH253" s="1116">
        <f t="shared" si="314"/>
        <v>0</v>
      </c>
      <c r="DI253" s="1116">
        <f t="shared" si="315"/>
        <v>0</v>
      </c>
      <c r="DJ253" s="442">
        <f t="shared" si="316"/>
        <v>0</v>
      </c>
      <c r="DK253" s="1109">
        <f t="shared" si="317"/>
        <v>0</v>
      </c>
      <c r="DL253" s="1101">
        <f t="shared" si="318"/>
        <v>0</v>
      </c>
      <c r="DM253" s="1097">
        <f t="shared" si="319"/>
        <v>0</v>
      </c>
      <c r="DN253" s="1097">
        <f t="shared" si="320"/>
        <v>0</v>
      </c>
      <c r="DO253" s="1097">
        <f t="shared" si="321"/>
        <v>0</v>
      </c>
      <c r="DP253" s="1110">
        <f t="shared" si="322"/>
        <v>0</v>
      </c>
      <c r="DQ253" s="1113" t="s">
        <v>153</v>
      </c>
      <c r="DR253" s="1120">
        <f t="shared" si="323"/>
        <v>0.33</v>
      </c>
      <c r="DS253" s="1124">
        <v>5</v>
      </c>
      <c r="DT253" s="1093" t="s">
        <v>168</v>
      </c>
      <c r="DU253" s="1093" t="s">
        <v>544</v>
      </c>
      <c r="DV253" s="1098">
        <f>IF($P253="","N/A",IF(P253=-1,INDEX('卡片raw data'!AN:AN,MATCH(D253,'卡片raw data'!$F:$F,)),0)+IF(AND(L253&lt;&gt;"party卡",P253&lt;=2,P253&gt;=0),INDEX('卡片raw data'!AP:AP,MATCH(D253,'卡片raw data'!$F:$F,)),0)+IF(OR(AND(L253="party卡",P253&lt;=1),AND(P253&lt;=4,L253&lt;&gt;"party卡",P253&gt;=3)),INDEX('卡片raw data'!AQ:AQ,MATCH(D253,'卡片raw data'!$F:$F,)),0)+IF(OR(P253=5,AND(L253="party卡",P253&gt;=2)),INDEX('卡片raw data'!AR:AR,MATCH(D253,'卡片raw data'!$F:$F,)),0))</f>
        <v>0.09</v>
      </c>
      <c r="DW253" s="1098">
        <f t="shared" si="324"/>
        <v>0.33</v>
      </c>
      <c r="DX253" s="1098">
        <f t="shared" si="325"/>
        <v>0.33</v>
      </c>
      <c r="DY253" s="1098">
        <f t="shared" si="326"/>
        <v>4.9500000000000002E-2</v>
      </c>
      <c r="DZ253" s="1098">
        <f t="shared" si="327"/>
        <v>4.2817500000000001E-2</v>
      </c>
      <c r="EA253" s="1098">
        <f t="shared" si="328"/>
        <v>0</v>
      </c>
      <c r="EB253" s="1121">
        <f t="shared" si="329"/>
        <v>0</v>
      </c>
      <c r="EC253" s="1101">
        <f t="shared" si="330"/>
        <v>6731.1551106509005</v>
      </c>
      <c r="ED253" s="1097">
        <f t="shared" si="331"/>
        <v>281.12139115242189</v>
      </c>
      <c r="EE253" s="1110">
        <f t="shared" si="332"/>
        <v>6731.1551106509005</v>
      </c>
      <c r="EF253" s="1092" t="s">
        <v>711</v>
      </c>
      <c r="EG253" s="1120">
        <f t="shared" si="333"/>
        <v>0.33</v>
      </c>
      <c r="EH253" s="1124"/>
      <c r="EI253" s="1093"/>
      <c r="EJ253" s="1093"/>
      <c r="EK253" s="1097">
        <f>IF($P253="","N/A",IF(P253=-1,INDEX('卡片raw data'!AS:AS,MATCH(D253,'卡片raw data'!$F:$F,)),0)+IF(AND(L253&lt;&gt;"party卡",P253&lt;=2,P253&gt;=0),INDEX('卡片raw data'!AU:AU,MATCH(D253,'卡片raw data'!$F:$F,)),0)+IF(OR(AND(L253="party卡",P253&lt;=1),AND(P253&lt;=4,L253&lt;&gt;"party卡",P253&gt;=3)),INDEX('卡片raw data'!AV:AV,MATCH(D253,'卡片raw data'!$F:$F,)),0)+IF(OR(P253=5,AND(L253="party卡",P253&gt;=2)),INDEX('卡片raw data'!AW:AW,MATCH(D253,'卡片raw data'!$F:$F,)),0))</f>
        <v>0</v>
      </c>
      <c r="EL253" s="1098">
        <f t="shared" si="334"/>
        <v>0.33</v>
      </c>
      <c r="EM253" s="1098">
        <f t="shared" si="335"/>
        <v>0.33</v>
      </c>
      <c r="EN253" s="1125">
        <f t="shared" si="336"/>
        <v>0</v>
      </c>
      <c r="EO253" s="1125">
        <f t="shared" si="337"/>
        <v>0</v>
      </c>
      <c r="EP253" s="1098">
        <f t="shared" si="338"/>
        <v>0</v>
      </c>
      <c r="EQ253" s="1121">
        <f t="shared" si="339"/>
        <v>0</v>
      </c>
      <c r="ER253" s="1101">
        <f t="shared" si="340"/>
        <v>0</v>
      </c>
      <c r="ES253" s="1097">
        <f t="shared" si="341"/>
        <v>0</v>
      </c>
      <c r="ET253" s="1122">
        <f t="shared" si="342"/>
        <v>0</v>
      </c>
    </row>
    <row r="254" spans="2:150" ht="16.5" customHeight="1">
      <c r="B254" s="1123" t="str">
        <f>INDEX('卡片raw data'!B:B,MATCH($D254,'卡片raw data'!$F:$F,))</f>
        <v>公主果</v>
      </c>
      <c r="C254" s="449" t="s">
        <v>67</v>
      </c>
      <c r="D254" s="408">
        <v>251</v>
      </c>
      <c r="E254" s="1090">
        <v>400013002</v>
      </c>
      <c r="F254" s="1090" t="str">
        <f>INDEX('卡片raw data'!C:C,MATCH($D254,'卡片raw data'!$F:$F,))</f>
        <v>UR</v>
      </c>
      <c r="G254" s="1094" t="s">
        <v>24</v>
      </c>
      <c r="H254" s="411">
        <f>IFERROR(INDEX(绊状态确认!C:C,MATCH($G254,绊状态确认!$B:$B,)),"")</f>
        <v>1</v>
      </c>
      <c r="I254" s="450" t="str">
        <f>IFERROR(INDEX(绊状态确认!D:D,MATCH($G254,绊状态确认!$B:$B,)),"")</f>
        <v>缪</v>
      </c>
      <c r="J254" s="450" t="str">
        <f>IFERROR(INDEX(绊状态确认!E:E,MATCH($G254,绊状态确认!$B:$B,)),"")</f>
        <v>2年级</v>
      </c>
      <c r="K254" s="451" t="str">
        <f>IFERROR(INDEX(绊状态确认!F:F,MATCH($G254,绊状态确认!$B:$B,)),"")</f>
        <v>Printemps</v>
      </c>
      <c r="L254" s="1094" t="str">
        <f>INDEX('卡片raw data'!E:E,MATCH($D254,'卡片raw data'!$F:$F,))</f>
        <v>活动卡</v>
      </c>
      <c r="M254" s="415">
        <v>43987</v>
      </c>
      <c r="N254" s="416">
        <v>17</v>
      </c>
      <c r="O254" s="1091" t="str">
        <f>INDEX('卡片raw data'!D:D,MATCH($D254,'卡片raw data'!$F:$F,))</f>
        <v>sk</v>
      </c>
      <c r="P254" s="417">
        <v>5</v>
      </c>
      <c r="Q254" s="1095">
        <f t="shared" si="258"/>
        <v>33337.290888107455</v>
      </c>
      <c r="R254" s="1096">
        <f t="shared" si="259"/>
        <v>0.38700000000000001</v>
      </c>
      <c r="S254" s="1097">
        <f t="shared" si="260"/>
        <v>18880.302675701114</v>
      </c>
      <c r="T254" s="1098">
        <f t="shared" si="261"/>
        <v>0.94399999999999995</v>
      </c>
      <c r="U254" s="1099">
        <f t="shared" si="262"/>
        <v>14.562549092742858</v>
      </c>
      <c r="V254" s="1100">
        <f t="shared" si="263"/>
        <v>36505.158233710317</v>
      </c>
      <c r="W254" s="1101">
        <f t="shared" si="264"/>
        <v>8951.5835865177141</v>
      </c>
      <c r="X254" s="1096">
        <f t="shared" si="265"/>
        <v>0.104</v>
      </c>
      <c r="Y254" s="1097">
        <f t="shared" si="266"/>
        <v>1167.8673456028646</v>
      </c>
      <c r="Z254" s="1102">
        <f t="shared" si="267"/>
        <v>14.562549092742858</v>
      </c>
      <c r="AA254" s="1103">
        <f t="shared" si="268"/>
        <v>10119.450932120579</v>
      </c>
      <c r="AB254" s="1101">
        <f t="shared" si="269"/>
        <v>8951.5835865177141</v>
      </c>
      <c r="AC254" s="1104">
        <f t="shared" si="270"/>
        <v>0.104</v>
      </c>
      <c r="AD254" s="1105">
        <f t="shared" si="271"/>
        <v>3.1053355779474434E-2</v>
      </c>
      <c r="AE254" s="1128">
        <f t="shared" si="272"/>
        <v>16.47016395474585</v>
      </c>
      <c r="AF254" s="1130">
        <f t="shared" si="273"/>
        <v>0</v>
      </c>
      <c r="AG254" s="420">
        <f t="shared" si="274"/>
        <v>0</v>
      </c>
      <c r="AH254" s="420">
        <f t="shared" si="275"/>
        <v>0</v>
      </c>
      <c r="AI254" s="1097">
        <f t="shared" si="276"/>
        <v>0</v>
      </c>
      <c r="AJ254" s="420">
        <f t="shared" si="277"/>
        <v>0</v>
      </c>
      <c r="AK254" s="518">
        <f t="shared" si="278"/>
        <v>0</v>
      </c>
      <c r="AL254" s="1106">
        <f>IF($P254="","N/A",(IF($P254=-1,INDEX('卡片raw data'!S:S,MATCH($D254,'卡片raw data'!$F:$F,)),0)+IF($P254=0,INDEX('卡片raw data'!V:V,MATCH($D254,'卡片raw data'!$F:$F,)),0)+IF($P254=1,INDEX('卡片raw data'!Y:Y,MATCH($D254,'卡片raw data'!$F:$F,)),0)+IF($P254=2,INDEX('卡片raw data'!AB:AB,MATCH($D254,'卡片raw data'!$F:$F,)),0)+IF($P254=3,INDEX('卡片raw data'!AE:AE,MATCH($D254,'卡片raw data'!$F:$F,)),0)+IF($P254=4,INDEX('卡片raw data'!AH:AH,MATCH($D254,'卡片raw data'!$F:$F,)),0)+IF($P254=5,INDEX('卡片raw data'!AK:AK,MATCH($D254,'卡片raw data'!$F:$F,)),0)+INDEX('卡片raw data'!S:S,MATCH($D254,'卡片raw data'!$F:$F,))*(IF($F254="UR",0.04,0.033))*(IF($F254="UR",INDEX(绊状态确认!$S:$S,MATCH($G254,绊状态确认!$B:$B,))/2-40)+IF($F254="SR",INDEX(绊状态确认!$R:$R,MATCH($G254,绊状态确认!$B:$B,))/4-15))+IF($F254="R",INDEX(绊状态确认!$Q:$Q,MATCH($G254,绊状态确认!$B:$B,))/6-40/6)))*(INDEX(绊状态确认!$H:$H,MATCH($G254,绊状态确认!$B:$B,))+INDEX(绊状态确认!J:J,MATCH($G254,绊状态确认!$B:$B,)))</f>
        <v>8509.3631999999998</v>
      </c>
      <c r="AM254" s="1106">
        <f>IF($P254="","N/A",(IF($P254=-1,INDEX('卡片raw data'!T:T,MATCH($D254,'卡片raw data'!$F:$F,)),0)+IF($P254=0,INDEX('卡片raw data'!W:W,MATCH($D254,'卡片raw data'!$F:$F,)),0)+IF($P254=1,INDEX('卡片raw data'!Z:Z,MATCH($D254,'卡片raw data'!$F:$F,)),0)+IF($P254=2,INDEX('卡片raw data'!AC:AC,MATCH($D254,'卡片raw data'!$F:$F,)),0)+IF($P254=3,INDEX('卡片raw data'!AF:AF,MATCH($D254,'卡片raw data'!$F:$F,)),0)+IF($P254=4,INDEX('卡片raw data'!AI:AI,MATCH($D254,'卡片raw data'!$F:$F,)),0)+IF($P254=5,INDEX('卡片raw data'!AL:AL,MATCH($D254,'卡片raw data'!$F:$F,)),0)+INDEX('卡片raw data'!T:T,MATCH($D254,'卡片raw data'!$F:$F,))*(IF($F254="UR",0.04,0.033))*(IF($F254="UR",INDEX(绊状态确认!$S:$S,MATCH($G254,绊状态确认!$B:$B,))/2-40)+IF($F254="SR",INDEX(绊状态确认!$R:$R,MATCH($G254,绊状态确认!$B:$B,))/4-15))+IF($F254="R",INDEX(绊状态确认!$Q:$Q,MATCH($G254,绊状态确认!$B:$B,))/6-40/6)))*(INDEX(绊状态确认!$H:$H,MATCH($G254,绊状态确认!$B:$B,))+INDEX(绊状态确认!K:K,MATCH($G254,绊状态确认!$B:$B,)))</f>
        <v>7976.3461439999992</v>
      </c>
      <c r="AN254" s="1106">
        <f>IF($P254="","N/A",(IF($P254=-1,INDEX('卡片raw data'!U:U,MATCH($D254,'卡片raw data'!$F:$F,)),0)+IF($P254=0,INDEX('卡片raw data'!X:X,MATCH($D254,'卡片raw data'!$F:$F,)),0)+IF($P254=1,INDEX('卡片raw data'!AA:AA,MATCH($D254,'卡片raw data'!$F:$F,)),0)+IF($P254=2,INDEX('卡片raw data'!AD:AD,MATCH($D254,'卡片raw data'!$F:$F,)),0)+IF($P254=3,INDEX('卡片raw data'!AG:AG,MATCH($D254,'卡片raw data'!$F:$F,)),0)+IF($P254=4,INDEX('卡片raw data'!AJ:AJ,MATCH($D254,'卡片raw data'!$F:$F,)),0)+IF($P254=5,INDEX('卡片raw data'!AM:AM,MATCH($D254,'卡片raw data'!$F:$F,)),0)+INDEX('卡片raw data'!U:U,MATCH($D254,'卡片raw data'!$F:$F,))*(IF($F254="UR",0.04,0.033))*(IF($F254="UR",INDEX(绊状态确认!$S:$S,MATCH($G254,绊状态确认!$B:$B,))/2-40)+IF($F254="SR",INDEX(绊状态确认!$R:$R,MATCH($G254,绊状态确认!$B:$B,))/4-15))+IF($F254="R",INDEX(绊状态确认!$Q:$Q,MATCH($G254,绊状态确认!$B:$B,))/6-40/6)))*(INDEX(绊状态确认!$H:$H,MATCH($G254,绊状态确认!$B:$B,))+INDEX(绊状态确认!L:L,MATCH($G254,绊状态确认!$B:$B,)))</f>
        <v>10103.686943999997</v>
      </c>
      <c r="AO254" s="1107">
        <f t="shared" si="279"/>
        <v>1</v>
      </c>
      <c r="AP254" s="1131">
        <f>1+(INDEX(绊状态确认!$T:$T,MATCH($G254,绊状态确认!$B:$B,))+0.2)*$AO254</f>
        <v>1.3</v>
      </c>
      <c r="AQ254" s="1108">
        <f t="shared" si="280"/>
        <v>25587.078399999999</v>
      </c>
      <c r="AR254" s="1097">
        <f>(AM254*(1+$EX$9)+$EX$35)*(1+(INDEX(绊状态确认!$T:$T,MATCH($G254,绊状态确认!$B:$B,))+0.2)*AO254)*IF(J254=$FF$17,1+$FE$17,1)*IF(I254=$FF$14,1+$FE$14,1)*(1+$FE$15)</f>
        <v>13591.71248656</v>
      </c>
      <c r="AS254" s="1097">
        <f>(AN254*(1+$EX$10)+$EX$36)*(1+(INDEX(绊状态确认!$T:$T,MATCH($G254,绊状态确认!$B:$B,))+0.2)*AO254)*IF(J254=$FF$17,1+$FE$17,1)*IF(I254=$FF$14,1+$FE$14,1)*(1+$FE$15)</f>
        <v>19161.011981279997</v>
      </c>
      <c r="AT254" s="1093">
        <f>IF(AND(INDEX('卡片raw data'!AK:AK,MATCH($D254,'卡片raw data'!$F:$F,))&lt;INDEX('卡片raw data'!AM:AM,MATCH($D254,'卡片raw data'!$F:$F,)),INDEX('卡片raw data'!AL:AL,MATCH($D254,'卡片raw data'!$F:$F,))&lt;INDEX('卡片raw data'!AM:AM,MATCH($D254,'卡片raw data'!$F:$F,))),1,0)</f>
        <v>1</v>
      </c>
      <c r="AU254" s="1098">
        <f>MIN(AT254*0.15+AS254*0.00003+INDEX(绊状态确认!M:M,MATCH($G254,绊状态确认!$B:$B,)),1)</f>
        <v>0.75483035943839993</v>
      </c>
      <c r="AV254" s="1109">
        <f>(INDEX(绊状态确认!$N:$N,MATCH($G254,绊状态确认!$B:$B,))+1.5)*$EW$21</f>
        <v>2.6599999999999997</v>
      </c>
      <c r="AW254" s="1101">
        <f t="shared" si="281"/>
        <v>29939.379936559675</v>
      </c>
      <c r="AX254" s="1097">
        <f t="shared" si="282"/>
        <v>1167.8673456028639</v>
      </c>
      <c r="AY254" s="1110">
        <f t="shared" si="283"/>
        <v>31107.247282162538</v>
      </c>
      <c r="AZ254" s="429">
        <f t="shared" si="284"/>
        <v>19193.258239999999</v>
      </c>
      <c r="BA254" s="431">
        <f t="shared" si="285"/>
        <v>23031.909887999998</v>
      </c>
      <c r="BB254" s="1097">
        <f>(AM254*(1+$FB$9)+$FB$35)*(1+(INDEX(绊状态确认!$T:$T,MATCH($G254,绊状态确认!$B:$B,))+0.2)*AO254)*IF(J254=$FF$17,1+$FE$17,1)*IF(I254=$FF$14,1+$FE$14,1)*(1+$FE$15)</f>
        <v>13591.71248656</v>
      </c>
      <c r="BC254" s="1097">
        <f>(AN254*(1+$FB$10)+$FB$36)*(1+(INDEX(绊状态确认!$T:$T,MATCH($G254,绊状态确认!$B:$B,))+0.2)*AO254)*IF(J254=$FF$17,1+$FE$17,1)*IF(I254=$FF$14,1+$FE$14,1)*(1+$FE$15)</f>
        <v>19161.011981279997</v>
      </c>
      <c r="BD254" s="1104">
        <f>MIN(AT254*0.15+BC254*0.00003+INDEX(绊状态确认!M:M,MATCH($G254,绊状态确认!$B:$B,)),1)</f>
        <v>0.75483035943839993</v>
      </c>
      <c r="BE254" s="432">
        <f>(INDEX(绊状态确认!$N:$N,MATCH($G254,绊状态确认!$B:$B,))+1.5)</f>
        <v>1.9</v>
      </c>
      <c r="BF254" s="1139">
        <f t="array" ref="BF254">SUMPRODUCT(IF(AZ254*AP254*$FI$16:$FI$23*$FA$22&gt;=$FI$24,$FI$24,AZ254*AP254*$FI$16:$FI$23*$FA$22),$FJ$16:$FJ$23)</f>
        <v>38175.390639360012</v>
      </c>
      <c r="BG254" s="1125">
        <f t="array" ref="BG254">SUMPRODUCT(IF(BE254*AZ254*AP254*$FI$16:$FI$23*$FA$22&gt;=$FI$24,$FI$24,BE254*AZ254*AP254*$FI$16:$FI$23*$FA$22),$FJ$16:$FJ$23)</f>
        <v>59688.881742336001</v>
      </c>
      <c r="BH254" s="1110">
        <f t="shared" si="286"/>
        <v>18138.142287131399</v>
      </c>
      <c r="BI254" s="1111">
        <f>IF(O254="vo",$EW$26/$EW$24*0.05,0)+IF(O254="sk",-$EW$26/$EW$24*(0.05-INDEX(绊状态确认!W:W,MATCH($G254,绊状态确认!$B:$B,)))+0.05*$EW$28,0)+IF(O254="sp",0.05*$EW$32*$EW$30*(1-$EW$33)-(0.05-INDEX(绊状态确认!V:V,MATCH($G254,绊状态确认!$B:$B,)))*$EW$28,0)+IF(O254="gd",-(0.05-INDEX(绊状态确认!X:X,MATCH($G254,绊状态确认!$B:$B,)))*$EW$32*$EW$30*(1-$EW$33),0)</f>
        <v>-6253.6726349699375</v>
      </c>
      <c r="BJ254" s="1097">
        <f>IF(O254="vo",0.05*(1-$FI$26)*$FA$24,0)+IF(O254="sk",-(0.05-INDEX(绊状态确认!W:W,MATCH($G254,绊状态确认!$B:$B,)))*(1-$FI$26)*$FA$24+0.05*$FA$26,0)+IF(O254="sp",0.05*$FA$32*$FA$27*(1-$FA$33)/$FA$30+0.05*$FA$29/$FA$69*$FA$27*(1-$FA$33)-(0.05-INDEX(绊状态确认!V:V,MATCH($G254,绊状态确认!$B:$B,)))*$FA$26,0)+IF(O254="gd",-(0.05-INDEX(绊状态确认!X:X,MATCH($G254,绊状态确认!$B:$B,)))*$FA$32*$FA$27*(1-$FA$33)/$FA$30-(0.05-INDEX(绊状态确认!X:X,MATCH($G254,绊状态确认!$B:$B,)))*$FA$29/$FA$69*$FA$27*(1-$FA$33),0)</f>
        <v>20.459096812499922</v>
      </c>
      <c r="BK254" s="1110">
        <f>IF(O254="vo",$EW$26/$EW$24*0.05+$EW$26*(-HP($EW$62,$EW$65,$EW$64)+HP($EW$62,$EW$65,(1.05-INDEX(绊状态确认!U:U,MATCH($G254,绊状态确认!$B:$B,)))*$EW$64)),0)+IF(O254="sk",-$EW$26/$EW$24*(0.05-INDEX(绊状态确认!W:W,MATCH($G254,绊状态确认!$B:$B,)))+0.05*$EW$29,0)+IF(O254="sp",0.05*$EW$32*$EW$30*(1-$EW$33)-(0.05-INDEX(绊状态确认!V:V,MATCH($G254,绊状态确认!$B:$B,)))*$EW$29,0)+IF(O254="gd",-(0.05-INDEX(绊状态确认!X:X,MATCH($G254,绊状态确认!$B:$B,)))*$EW$32*$EW$30*(1-$EW$33)+$EW$26*(-HP($EW$62,$EW$65,$EW$64)+HP($EW$62,$EW$65,0.95*$EW$64)),0)</f>
        <v>-4253.6726349699375</v>
      </c>
      <c r="BL254" s="1111">
        <f t="shared" si="287"/>
        <v>0</v>
      </c>
      <c r="BM254" s="1110">
        <f t="shared" si="288"/>
        <v>0</v>
      </c>
      <c r="BN254" s="1113">
        <f t="shared" si="289"/>
        <v>3</v>
      </c>
      <c r="BO254" s="1097">
        <f t="shared" si="290"/>
        <v>4507.7214871259994</v>
      </c>
      <c r="BP254" s="1100">
        <f t="shared" si="291"/>
        <v>221.34103209030098</v>
      </c>
      <c r="BQ254" s="1113" t="s">
        <v>143</v>
      </c>
      <c r="BR254" s="1124" t="s">
        <v>147</v>
      </c>
      <c r="BS254" s="1098">
        <f>IF($P254="","N/A",IF($P254=-1,INDEX('卡片raw data'!AX:AX,MATCH($D254,'卡片raw data'!$F:$F,)),0)+IF($L254="party卡",IF($P254=5,INDEX('卡片raw data'!BD:BD,MATCH($D254,'卡片raw data'!$F:$F,)),IF($P254&gt;=3,INDEX('卡片raw data'!BC:BC,MATCH($D254,'卡片raw data'!$F:$F,)),INDEX('卡片raw data'!BB:BB,MATCH($D254,'卡片raw data'!$F:$F,)))),IF(OR(AND($F254="UR",$P254=0),AND($F254="SR",$P254&gt;=0,$P254&lt;=2),AND($F254="R",$P254&gt;=0,$P254&lt;4)),INDEX('卡片raw data'!AZ:AZ,MATCH($D254,'卡片raw data'!$F:$F,)),0)+IF(OR(AND($F254="UR",$P254&gt;=1,$P254&lt;=4),AND($F254="SR",$P254&lt;=4,$P254&gt;=3),AND($F254="R",$P254=4)),INDEX('卡片raw data'!BA:BA,MATCH($D254,'卡片raw data'!$F:$F,)),0)+IF($P254=5,INDEX('卡片raw data'!BB:BB,MATCH($D254,'卡片raw data'!$F:$F,)),0)))</f>
        <v>3.2000000000000001E-2</v>
      </c>
      <c r="BT254" s="1101">
        <f t="shared" si="292"/>
        <v>2404.1181264672</v>
      </c>
      <c r="BU254" s="1097">
        <f t="shared" si="293"/>
        <v>118.04855044816054</v>
      </c>
      <c r="BV254" s="1097">
        <f t="shared" si="294"/>
        <v>2404.1181264672005</v>
      </c>
      <c r="BW254" s="1112">
        <f t="shared" si="295"/>
        <v>0</v>
      </c>
      <c r="BX254" s="1100">
        <f t="shared" si="296"/>
        <v>2404.1181264672</v>
      </c>
      <c r="BY254" s="1110">
        <f t="shared" si="297"/>
        <v>2404.1181264672005</v>
      </c>
      <c r="BZ254" s="1107" t="s">
        <v>569</v>
      </c>
      <c r="CA254" s="1124"/>
      <c r="CB254" s="1098">
        <f>IF($P254="","N/A",IF($P254=-1,INDEX('卡片raw data'!BE:BE,MATCH($D254,'卡片raw data'!$F:$F,)),0)+IF($L254="party卡",IF($P254=5,INDEX('卡片raw data'!BK:BK,MATCH($D254,'卡片raw data'!$F:$F,)),IF($P254&gt;=3,INDEX('卡片raw data'!BJ:BJ,MATCH($D254,'卡片raw data'!$F:$F,)),INDEX('卡片raw data'!BI:BI,MATCH($D254,'卡片raw data'!$F:$F,)))),IF(OR(AND($F254="UR",$P254=0),AND($F254="SR",$P254&gt;=0,$P254&lt;=2),AND($F254="R",$P254&gt;=0,$P254&lt;4)),INDEX('卡片raw data'!BG:BG,MATCH($D254,'卡片raw data'!$F:$F,)),0)+IF(OR(AND($F254="UR",$P254&gt;=1,$P254&lt;=4),AND($F254="SR",$P254&lt;=4,$P254&gt;=3),AND($F254="R",$P254=4)),INDEX('卡片raw data'!BH:BH,MATCH($D254,'卡片raw data'!$F:$F,)),0)+IF($P254=5,INDEX('卡片raw data'!BI:BI,MATCH($D254,'卡片raw data'!$F:$F,)),0)))</f>
        <v>0</v>
      </c>
      <c r="CC254" s="1101">
        <f t="shared" si="298"/>
        <v>0</v>
      </c>
      <c r="CD254" s="1097">
        <f>IF(BZ254="ap",CB254*(1-$FI$26)*$FB$5/$FB$11*(+IF(CA254="全员",$FA$24,0)+IF(CA254="同作战",$FA$24,0)+IF(CA254="仲间",$FA$24*2/3,0)+IF(CA254="同属性",$FA$24*$FA$37/3,0)+IF(CA254="同年级",$FA$24*$FA$40/3,0)+IF(CA254="同学校",$FA$24*$FA$43/3,0)+IF(CA254="同小队",$FA$24*$FA$46/3,0)+IF(CA254="同type",$FA$24*INDEX($FB$49:$FB$52,MATCH(X254,$FA$49:$FA$52,))/3,0)+IF(CA254="自身",#REF!/3,0)),0)+IF(BZ254="te",CB254*(1-$FI$27)*($FA$20-1)*$FB$7/$FB$13*(+IF(CA254="全员",$FA$19*$FA$24/(1+($FA$20-1)*$FA$19),0)+IF(CA254="同作战",$FA$19*$FA$24/(1+($FA$20-1)*$FA$19),0)+IF(CA254="仲间",$FA$19*$FA$24*2/3/(1+($FA$20-1)*$FA$19),0)+IF(CA254="同属性",$FA$19*$FA$24*$FA$37/3/(1+($FA$20-1)*$FA$19),0)+IF(CA254="同年级",$FA$19*$FA$24*$FA$40/3/(1+($FA$20-1)*$FA$19),0)+IF(CA254="同学校",$FA$19*$FA$24*$FA$43/3/(1+($FA$20-1)*$FA$19),0)+IF(CA254="同小队",$FA$19*$FA$24*$FA$46/3/(1+($FA$20-1)*$FA$19),0)+IF(CA254="同type",$FA$19*$FA$24*INDEX($FB$49:$FB$52,MATCH(X254,$FA$49:$FA$52,))/3/(1+($FA$20-1)*$FA$19),0)+IF(CA254="自身",$FA$19*#REF!/3/(1+(BH254-1)*$BD254),0)),0)</f>
        <v>0</v>
      </c>
      <c r="CE254" s="1097">
        <f t="shared" si="299"/>
        <v>0</v>
      </c>
      <c r="CF254" s="1112">
        <f t="shared" si="300"/>
        <v>0</v>
      </c>
      <c r="CG254" s="1100">
        <f t="shared" si="301"/>
        <v>0</v>
      </c>
      <c r="CH254" s="1110">
        <f t="shared" si="302"/>
        <v>0</v>
      </c>
      <c r="CI254" s="1113" t="s">
        <v>165</v>
      </c>
      <c r="CJ254" s="1114">
        <v>0.3</v>
      </c>
      <c r="CK254" s="1115" t="s">
        <v>167</v>
      </c>
      <c r="CL254" s="1115" t="s">
        <v>161</v>
      </c>
      <c r="CM254" s="1119">
        <v>0.05</v>
      </c>
      <c r="CN254" s="1115" t="s">
        <v>163</v>
      </c>
      <c r="CO254" s="1092"/>
      <c r="CP254" s="1118">
        <f t="shared" si="303"/>
        <v>1.4999999999999999E-2</v>
      </c>
      <c r="CQ254" s="1118">
        <f t="shared" si="304"/>
        <v>1.4999999999999999E-2</v>
      </c>
      <c r="CR254" s="1118">
        <f t="shared" si="305"/>
        <v>1.4999999999999999E-2</v>
      </c>
      <c r="CS254" s="1118">
        <f t="shared" si="306"/>
        <v>0</v>
      </c>
      <c r="CT254" s="1109">
        <f t="shared" si="307"/>
        <v>0</v>
      </c>
      <c r="CU254" s="1101">
        <f t="shared" si="308"/>
        <v>2039.743972924515</v>
      </c>
      <c r="CV254" s="1108">
        <f t="shared" si="309"/>
        <v>98.483584218750011</v>
      </c>
      <c r="CW254" s="1097">
        <f t="shared" si="310"/>
        <v>2039.743972924515</v>
      </c>
      <c r="CX254" s="1097">
        <f t="shared" si="311"/>
        <v>2039.743972924515</v>
      </c>
      <c r="CY254" s="1110">
        <f t="shared" si="312"/>
        <v>2039.743972924515</v>
      </c>
      <c r="CZ254" s="437"/>
      <c r="DA254" s="438"/>
      <c r="DB254" s="439" t="s">
        <v>569</v>
      </c>
      <c r="DC254" s="439"/>
      <c r="DD254" s="443"/>
      <c r="DE254" s="411"/>
      <c r="DF254" s="411"/>
      <c r="DG254" s="1116">
        <f t="shared" si="313"/>
        <v>0</v>
      </c>
      <c r="DH254" s="1116">
        <f t="shared" si="314"/>
        <v>0</v>
      </c>
      <c r="DI254" s="1116">
        <f t="shared" si="315"/>
        <v>0</v>
      </c>
      <c r="DJ254" s="442">
        <f t="shared" si="316"/>
        <v>0</v>
      </c>
      <c r="DK254" s="1109">
        <f t="shared" si="317"/>
        <v>0</v>
      </c>
      <c r="DL254" s="1101">
        <f t="shared" si="318"/>
        <v>0</v>
      </c>
      <c r="DM254" s="1097">
        <f t="shared" si="319"/>
        <v>0</v>
      </c>
      <c r="DN254" s="1097">
        <f t="shared" si="320"/>
        <v>0</v>
      </c>
      <c r="DO254" s="1097">
        <f t="shared" si="321"/>
        <v>0</v>
      </c>
      <c r="DP254" s="1110">
        <f t="shared" si="322"/>
        <v>0</v>
      </c>
      <c r="DQ254" s="1113" t="s">
        <v>154</v>
      </c>
      <c r="DR254" s="1120">
        <f t="shared" si="323"/>
        <v>0.33</v>
      </c>
      <c r="DS254" s="1124">
        <v>5</v>
      </c>
      <c r="DT254" s="1093" t="s">
        <v>171</v>
      </c>
      <c r="DU254" s="1093" t="s">
        <v>544</v>
      </c>
      <c r="DV254" s="1098">
        <f>IF($P254="","N/A",IF(P254=-1,INDEX('卡片raw data'!AN:AN,MATCH(D254,'卡片raw data'!$F:$F,)),0)+IF(AND(L254&lt;&gt;"party卡",P254&lt;=2,P254&gt;=0),INDEX('卡片raw data'!AP:AP,MATCH(D254,'卡片raw data'!$F:$F,)),0)+IF(OR(AND(L254="party卡",P254&lt;=1),AND(P254&lt;=4,L254&lt;&gt;"party卡",P254&gt;=3)),INDEX('卡片raw data'!AQ:AQ,MATCH(D254,'卡片raw data'!$F:$F,)),0)+IF(OR(P254=5,AND(L254="party卡",P254&gt;=2)),INDEX('卡片raw data'!AR:AR,MATCH(D254,'卡片raw data'!$F:$F,)),0))</f>
        <v>4.4999999999999998E-2</v>
      </c>
      <c r="DW254" s="1098">
        <f t="shared" si="324"/>
        <v>0.33</v>
      </c>
      <c r="DX254" s="1098">
        <f t="shared" si="325"/>
        <v>0.33</v>
      </c>
      <c r="DY254" s="1098">
        <f t="shared" si="326"/>
        <v>1.6500000000000001E-2</v>
      </c>
      <c r="DZ254" s="1098">
        <f t="shared" si="327"/>
        <v>1.2488437500000001E-2</v>
      </c>
      <c r="EA254" s="1098">
        <f t="shared" si="328"/>
        <v>9.2840375976562511E-3</v>
      </c>
      <c r="EB254" s="1121">
        <f t="shared" si="329"/>
        <v>0</v>
      </c>
      <c r="EC254" s="1101">
        <f t="shared" si="330"/>
        <v>700</v>
      </c>
      <c r="ED254" s="1097">
        <f t="shared" si="331"/>
        <v>283.828125</v>
      </c>
      <c r="EE254" s="1110">
        <f t="shared" si="332"/>
        <v>700</v>
      </c>
      <c r="EF254" s="1092" t="s">
        <v>711</v>
      </c>
      <c r="EG254" s="1120">
        <f t="shared" si="333"/>
        <v>0.33</v>
      </c>
      <c r="EH254" s="1124"/>
      <c r="EI254" s="1093"/>
      <c r="EJ254" s="1093"/>
      <c r="EK254" s="1097">
        <f>IF($P254="","N/A",IF(P254=-1,INDEX('卡片raw data'!AS:AS,MATCH(D254,'卡片raw data'!$F:$F,)),0)+IF(AND(L254&lt;&gt;"party卡",P254&lt;=2,P254&gt;=0),INDEX('卡片raw data'!AU:AU,MATCH(D254,'卡片raw data'!$F:$F,)),0)+IF(OR(AND(L254="party卡",P254&lt;=1),AND(P254&lt;=4,L254&lt;&gt;"party卡",P254&gt;=3)),INDEX('卡片raw data'!AV:AV,MATCH(D254,'卡片raw data'!$F:$F,)),0)+IF(OR(P254=5,AND(L254="party卡",P254&gt;=2)),INDEX('卡片raw data'!AW:AW,MATCH(D254,'卡片raw data'!$F:$F,)),0))</f>
        <v>0</v>
      </c>
      <c r="EL254" s="1098">
        <f t="shared" si="334"/>
        <v>0.33</v>
      </c>
      <c r="EM254" s="1098">
        <f t="shared" si="335"/>
        <v>0.33</v>
      </c>
      <c r="EN254" s="1125">
        <f t="shared" si="336"/>
        <v>0</v>
      </c>
      <c r="EO254" s="1125">
        <f t="shared" si="337"/>
        <v>0</v>
      </c>
      <c r="EP254" s="1098">
        <f t="shared" si="338"/>
        <v>0</v>
      </c>
      <c r="EQ254" s="1121">
        <f t="shared" si="339"/>
        <v>0</v>
      </c>
      <c r="ER254" s="1101">
        <f t="shared" si="340"/>
        <v>0</v>
      </c>
      <c r="ES254" s="1097">
        <f t="shared" si="341"/>
        <v>0</v>
      </c>
      <c r="ET254" s="1122">
        <f t="shared" si="342"/>
        <v>0</v>
      </c>
    </row>
    <row r="255" spans="2:150" ht="16.5" customHeight="1">
      <c r="B255" s="1123" t="str">
        <f>INDEX('卡片raw data'!B:B,MATCH($D255,'卡片raw data'!$F:$F,))</f>
        <v>乐器菜</v>
      </c>
      <c r="C255" s="449" t="s">
        <v>66</v>
      </c>
      <c r="D255" s="408">
        <v>252</v>
      </c>
      <c r="E255" s="1090">
        <v>402072002</v>
      </c>
      <c r="F255" s="1090" t="str">
        <f>INDEX('卡片raw data'!C:C,MATCH($D255,'卡片raw data'!$F:$F,))</f>
        <v>SR</v>
      </c>
      <c r="G255" s="1094" t="s">
        <v>348</v>
      </c>
      <c r="H255" s="411">
        <f>IFERROR(INDEX(绊状态确认!C:C,MATCH($G255,绊状态确认!$B:$B,)),"")</f>
        <v>207</v>
      </c>
      <c r="I255" s="450" t="str">
        <f>IFERROR(INDEX(绊状态确认!D:D,MATCH($G255,绊状态确认!$B:$B,)),"")</f>
        <v>虹</v>
      </c>
      <c r="J255" s="450" t="str">
        <f>IFERROR(INDEX(绊状态确认!E:E,MATCH($G255,绊状态确认!$B:$B,)),"")</f>
        <v>2年级</v>
      </c>
      <c r="K255" s="451" t="str">
        <f>IFERROR(INDEX(绊状态确认!F:F,MATCH($G255,绊状态确认!$B:$B,)),"")</f>
        <v>A·ZU·NA</v>
      </c>
      <c r="L255" s="1094" t="str">
        <f>INDEX('卡片raw data'!E:E,MATCH($D255,'卡片raw data'!$F:$F,))</f>
        <v>活动卡</v>
      </c>
      <c r="M255" s="415">
        <v>43987</v>
      </c>
      <c r="N255" s="416">
        <v>17</v>
      </c>
      <c r="O255" s="1091" t="str">
        <f>INDEX('卡片raw data'!D:D,MATCH($D255,'卡片raw data'!$F:$F,))</f>
        <v>gd</v>
      </c>
      <c r="P255" s="417">
        <v>5</v>
      </c>
      <c r="Q255" s="1095">
        <f t="shared" si="258"/>
        <v>12892.909716800061</v>
      </c>
      <c r="R255" s="1096">
        <f t="shared" si="259"/>
        <v>0.14899999999999999</v>
      </c>
      <c r="S255" s="1097">
        <f t="shared" si="260"/>
        <v>6606.9124596929187</v>
      </c>
      <c r="T255" s="1098">
        <f t="shared" si="261"/>
        <v>0.33</v>
      </c>
      <c r="U255" s="1099">
        <f t="shared" si="262"/>
        <v>442.10856012845903</v>
      </c>
      <c r="V255" s="1100">
        <f t="shared" si="263"/>
        <v>64407.554359626985</v>
      </c>
      <c r="W255" s="1101">
        <f t="shared" si="264"/>
        <v>4507.7214871259994</v>
      </c>
      <c r="X255" s="1096">
        <f t="shared" si="265"/>
        <v>5.1999999999999998E-2</v>
      </c>
      <c r="Y255" s="1097">
        <f t="shared" si="266"/>
        <v>1673.628519063489</v>
      </c>
      <c r="Z255" s="1102">
        <f t="shared" si="267"/>
        <v>20.165353686287141</v>
      </c>
      <c r="AA255" s="1103">
        <f t="shared" si="268"/>
        <v>6181.3500061894883</v>
      </c>
      <c r="AB255" s="1101">
        <f t="shared" si="269"/>
        <v>4507.7214871259994</v>
      </c>
      <c r="AC255" s="1104">
        <f t="shared" si="270"/>
        <v>5.1999999999999998E-2</v>
      </c>
      <c r="AD255" s="1105">
        <f t="shared" si="271"/>
        <v>-3.8207812500000026E-3</v>
      </c>
      <c r="AE255" s="1128">
        <f t="shared" si="272"/>
        <v>-18.525362318840578</v>
      </c>
      <c r="AF255" s="1130">
        <f t="shared" si="273"/>
        <v>6241.5897288838059</v>
      </c>
      <c r="AG255" s="420">
        <f t="shared" si="274"/>
        <v>98398.978226132007</v>
      </c>
      <c r="AH255" s="420">
        <f t="shared" si="275"/>
        <v>15.765050652204412</v>
      </c>
      <c r="AI255" s="1097">
        <f t="shared" si="276"/>
        <v>93308.78563922926</v>
      </c>
      <c r="AJ255" s="420">
        <f t="shared" si="277"/>
        <v>64407.554359626985</v>
      </c>
      <c r="AK255" s="518">
        <f t="shared" si="278"/>
        <v>28901.231279602274</v>
      </c>
      <c r="AL255" s="1106">
        <f>IF($P255="","N/A",(IF($P255=-1,INDEX('卡片raw data'!S:S,MATCH($D255,'卡片raw data'!$F:$F,)),0)+IF($P255=0,INDEX('卡片raw data'!V:V,MATCH($D255,'卡片raw data'!$F:$F,)),0)+IF($P255=1,INDEX('卡片raw data'!Y:Y,MATCH($D255,'卡片raw data'!$F:$F,)),0)+IF($P255=2,INDEX('卡片raw data'!AB:AB,MATCH($D255,'卡片raw data'!$F:$F,)),0)+IF($P255=3,INDEX('卡片raw data'!AE:AE,MATCH($D255,'卡片raw data'!$F:$F,)),0)+IF($P255=4,INDEX('卡片raw data'!AH:AH,MATCH($D255,'卡片raw data'!$F:$F,)),0)+IF($P255=5,INDEX('卡片raw data'!AK:AK,MATCH($D255,'卡片raw data'!$F:$F,)),0)+INDEX('卡片raw data'!S:S,MATCH($D255,'卡片raw data'!$F:$F,))*(IF($F255="UR",0.04,0.033))*(IF($F255="UR",INDEX(绊状态确认!$S:$S,MATCH($G255,绊状态确认!$B:$B,))/2-40)+IF($F255="SR",INDEX(绊状态确认!$R:$R,MATCH($G255,绊状态确认!$B:$B,))/4-15))+IF($F255="R",INDEX(绊状态确认!$Q:$Q,MATCH($G255,绊状态确认!$B:$B,))/6-40/6)))*(INDEX(绊状态确认!$H:$H,MATCH($G255,绊状态确认!$B:$B,))+INDEX(绊状态确认!J:J,MATCH($G255,绊状态确认!$B:$B,)))</f>
        <v>3284.2460015999995</v>
      </c>
      <c r="AM255" s="1106">
        <f>IF($P255="","N/A",(IF($P255=-1,INDEX('卡片raw data'!T:T,MATCH($D255,'卡片raw data'!$F:$F,)),0)+IF($P255=0,INDEX('卡片raw data'!W:W,MATCH($D255,'卡片raw data'!$F:$F,)),0)+IF($P255=1,INDEX('卡片raw data'!Z:Z,MATCH($D255,'卡片raw data'!$F:$F,)),0)+IF($P255=2,INDEX('卡片raw data'!AC:AC,MATCH($D255,'卡片raw data'!$F:$F,)),0)+IF($P255=3,INDEX('卡片raw data'!AF:AF,MATCH($D255,'卡片raw data'!$F:$F,)),0)+IF($P255=4,INDEX('卡片raw data'!AI:AI,MATCH($D255,'卡片raw data'!$F:$F,)),0)+IF($P255=5,INDEX('卡片raw data'!AL:AL,MATCH($D255,'卡片raw data'!$F:$F,)),0)+INDEX('卡片raw data'!T:T,MATCH($D255,'卡片raw data'!$F:$F,))*(IF($F255="UR",0.04,0.033))*(IF($F255="UR",INDEX(绊状态确认!$S:$S,MATCH($G255,绊状态确认!$B:$B,))/2-40)+IF($F255="SR",INDEX(绊状态确认!$R:$R,MATCH($G255,绊状态确认!$B:$B,))/4-15))+IF($F255="R",INDEX(绊状态确认!$Q:$Q,MATCH($G255,绊状态确认!$B:$B,))/6-40/6)))*(INDEX(绊状态确认!$H:$H,MATCH($G255,绊状态确认!$B:$B,))+INDEX(绊状态确认!K:K,MATCH($G255,绊状态确认!$B:$B,)))</f>
        <v>8046.6643031999984</v>
      </c>
      <c r="AN255" s="1106">
        <f>IF($P255="","N/A",(IF($P255=-1,INDEX('卡片raw data'!U:U,MATCH($D255,'卡片raw data'!$F:$F,)),0)+IF($P255=0,INDEX('卡片raw data'!X:X,MATCH($D255,'卡片raw data'!$F:$F,)),0)+IF($P255=1,INDEX('卡片raw data'!AA:AA,MATCH($D255,'卡片raw data'!$F:$F,)),0)+IF($P255=2,INDEX('卡片raw data'!AD:AD,MATCH($D255,'卡片raw data'!$F:$F,)),0)+IF($P255=3,INDEX('卡片raw data'!AG:AG,MATCH($D255,'卡片raw data'!$F:$F,)),0)+IF($P255=4,INDEX('卡片raw data'!AJ:AJ,MATCH($D255,'卡片raw data'!$F:$F,)),0)+IF($P255=5,INDEX('卡片raw data'!AM:AM,MATCH($D255,'卡片raw data'!$F:$F,)),0)+INDEX('卡片raw data'!U:U,MATCH($D255,'卡片raw data'!$F:$F,))*(IF($F255="UR",0.04,0.033))*(IF($F255="UR",INDEX(绊状态确认!$S:$S,MATCH($G255,绊状态确认!$B:$B,))/2-40)+IF($F255="SR",INDEX(绊状态确认!$R:$R,MATCH($G255,绊状态确认!$B:$B,))/4-15))+IF($F255="R",INDEX(绊状态确认!$Q:$Q,MATCH($G255,绊状态确认!$B:$B,))/6-40/6)))*(INDEX(绊状态确认!$H:$H,MATCH($G255,绊状态确认!$B:$B,))+INDEX(绊状态确认!L:L,MATCH($G255,绊状态确认!$B:$B,)))</f>
        <v>5089.1083007999996</v>
      </c>
      <c r="AO255" s="1107">
        <f t="shared" si="279"/>
        <v>1</v>
      </c>
      <c r="AP255" s="1131">
        <f>1+(INDEX(绊状态确认!$T:$T,MATCH($G255,绊状态确认!$B:$B,))+0.2)*$AO255</f>
        <v>1.3</v>
      </c>
      <c r="AQ255" s="1108">
        <f t="shared" si="280"/>
        <v>11871.145754199999</v>
      </c>
      <c r="AR255" s="1097">
        <f>(AM255*(1+$EX$9)+$EX$35)*(1+(INDEX(绊状态确认!$T:$T,MATCH($G255,绊状态确认!$B:$B,))+0.2)*AO255)*IF(J255=$FF$17,1+$FE$17,1)*IF(I255=$FF$14,1+$FE$14,1)</f>
        <v>13687.696773867998</v>
      </c>
      <c r="AS255" s="1097">
        <f>(AN255*(1+$EX$10)+$EX$36)*(1+(INDEX(绊状态确认!$T:$T,MATCH($G255,绊状态确认!$B:$B,))+0.2)*AO255)*IF(J255=$FF$17,1+$FE$17,1)*IF(I255=$FF$14,1+$FE$14,1)</f>
        <v>11664.216909695999</v>
      </c>
      <c r="AT255" s="1093">
        <f>IF(AND(INDEX('卡片raw data'!AK:AK,MATCH($D255,'卡片raw data'!$F:$F,))&lt;INDEX('卡片raw data'!AM:AM,MATCH($D255,'卡片raw data'!$F:$F,)),INDEX('卡片raw data'!AL:AL,MATCH($D255,'卡片raw data'!$F:$F,))&lt;INDEX('卡片raw data'!AM:AM,MATCH($D255,'卡片raw data'!$F:$F,))),1,0)</f>
        <v>0</v>
      </c>
      <c r="AU255" s="1098">
        <f>MIN(AT255*0.15+AS255*0.00003+INDEX(绊状态确认!M:M,MATCH($G255,绊状态确认!$B:$B,)),1)</f>
        <v>0.37992650729088001</v>
      </c>
      <c r="AV255" s="1109">
        <f>(INDEX(绊状态确认!$N:$N,MATCH($G255,绊状态确认!$B:$B,))+1.5)*$EW$21</f>
        <v>2.6599999999999997</v>
      </c>
      <c r="AW255" s="1101">
        <f t="shared" si="281"/>
        <v>10053.521563007394</v>
      </c>
      <c r="AX255" s="1097">
        <f t="shared" si="282"/>
        <v>1176.3640052518017</v>
      </c>
      <c r="AY255" s="1110">
        <f t="shared" si="283"/>
        <v>11229.885568259197</v>
      </c>
      <c r="AZ255" s="429">
        <f t="shared" si="284"/>
        <v>9004.2797031199989</v>
      </c>
      <c r="BA255" s="431">
        <f t="shared" si="285"/>
        <v>10805.135643743999</v>
      </c>
      <c r="BB255" s="1097">
        <f>(AM255*(1+$FB$9)+$FB$35)*(1+(INDEX(绊状态确认!$T:$T,MATCH($G255,绊状态确认!$B:$B,))+0.2)*AO255)*IF(J255=$FF$17,1+$FE$17,1)*IF(I255=$FF$14,1+$FE$14,1)*(1+$FE$15)</f>
        <v>13687.696773867998</v>
      </c>
      <c r="BC255" s="1097">
        <f>(AN255*(1+$FB$10)+$FB$36)*(1+(INDEX(绊状态确认!$T:$T,MATCH($G255,绊状态确认!$B:$B,))+0.2)*AO255)*IF(J255=$FF$17,1+$FE$17,1)*IF(I255=$FF$14,1+$FE$14,1)*(1+$FE$15)</f>
        <v>11664.216909695999</v>
      </c>
      <c r="BD255" s="1104">
        <f>MIN(AT255*0.15+BC255*0.00003+INDEX(绊状态确认!M:M,MATCH($G255,绊状态确认!$B:$B,)),1)</f>
        <v>0.37992650729088001</v>
      </c>
      <c r="BE255" s="432">
        <f>(INDEX(绊状态确认!$N:$N,MATCH($G255,绊状态确认!$B:$B,))+1.5)</f>
        <v>1.9</v>
      </c>
      <c r="BF255" s="1139">
        <f t="array" ref="BF255">SUMPRODUCT(IF(AZ255*AP255*$FI$16:$FI$23*$FA$22&gt;=$FI$24,$FI$24,AZ255*AP255*$FI$16:$FI$23*$FA$22),$FJ$16:$FJ$23)</f>
        <v>17909.512329505676</v>
      </c>
      <c r="BG255" s="1125">
        <f t="array" ref="BG255">SUMPRODUCT(IF(BE255*AZ255*AP255*$FI$16:$FI$23*$FA$22&gt;=$FI$24,$FI$24,BE255*AZ255*AP255*$FI$16:$FI$23*$FA$22),$FJ$16:$FJ$23)</f>
        <v>34028.073426060786</v>
      </c>
      <c r="BH255" s="1110">
        <f t="shared" si="286"/>
        <v>8011.1269831581731</v>
      </c>
      <c r="BI255" s="1111">
        <f>IF(O255="vo",$EW$26/$EW$24*0.05,0)+IF(O255="sk",-$EW$26/$EW$24*(0.05-INDEX(绊状态确认!W:W,MATCH($G255,绊状态确认!$B:$B,)))+0.05*$EW$28,0)+IF(O255="sp",0.05*$EW$32*$EW$30*(1-$EW$33)-(0.05-INDEX(绊状态确认!V:V,MATCH($G255,绊状态确认!$B:$B,)))*$EW$28,0)+IF(O255="gd",-(0.05-INDEX(绊状态确认!X:X,MATCH($G255,绊状态确认!$B:$B,)))*$EW$32*$EW$30*(1-$EW$33),0)</f>
        <v>-585.00000000000011</v>
      </c>
      <c r="BJ255" s="1097">
        <f>IF(O255="vo",0.05*(1-$FI$26)*$FA$24,0)+IF(O255="sk",-(0.05-INDEX(绊状态确认!W:W,MATCH($G255,绊状态确认!$B:$B,)))*(1-$FI$26)*$FA$24+0.05*$FA$26,0)+IF(O255="sp",0.05*$FA$32*$FA$27*(1-$FA$33)/$FA$30+0.05*$FA$29/$FA$69*$FA$27*(1-$FA$33)-(0.05-INDEX(绊状态确认!V:V,MATCH($G255,绊状态确认!$B:$B,)))*$FA$26,0)+IF(O255="gd",-(0.05-INDEX(绊状态确认!X:X,MATCH($G255,绊状态确认!$B:$B,)))*$FA$32*$FA$27*(1-$FA$33)/$FA$30-(0.05-INDEX(绊状态确认!X:X,MATCH($G255,绊状态确认!$B:$B,)))*$FA$29/$FA$69*$FA$27*(1-$FA$33),0)</f>
        <v>-795.00000000000011</v>
      </c>
      <c r="BK255" s="1110">
        <f>IF(O255="vo",$EW$26/$EW$24*0.05+$EW$26*(-HP($EW$62,$EW$65,$EW$64)+HP($EW$62,$EW$65,(1.05-INDEX(绊状态确认!U:U,MATCH($G255,绊状态确认!$B:$B,)))*$EW$64)),0)+IF(O255="sk",-$EW$26/$EW$24*(0.05-INDEX(绊状态确认!W:W,MATCH($G255,绊状态确认!$B:$B,)))+0.05*$EW$29,0)+IF(O255="sp",0.05*$EW$32*$EW$30*(1-$EW$33)-(0.05-INDEX(绊状态确认!V:V,MATCH($G255,绊状态确认!$B:$B,)))*$EW$29,0)+IF(O255="gd",-(0.05-INDEX(绊状态确认!X:X,MATCH($G255,绊状态确认!$B:$B,)))*$EW$32*$EW$30*(1-$EW$33)+$EW$26*(-HP($EW$62,$EW$65,$EW$64)+HP($EW$62,$EW$65,0.95*$EW$64)),0)</f>
        <v>1009.5947725176144</v>
      </c>
      <c r="BL255" s="1111">
        <f t="shared" si="287"/>
        <v>-1083.3333333333333</v>
      </c>
      <c r="BM255" s="1110">
        <f t="shared" si="288"/>
        <v>-830.55555555555543</v>
      </c>
      <c r="BN255" s="1113">
        <f t="shared" si="289"/>
        <v>3</v>
      </c>
      <c r="BO255" s="1097">
        <f t="shared" si="290"/>
        <v>4507.7214871259994</v>
      </c>
      <c r="BP255" s="1100">
        <f t="shared" si="291"/>
        <v>221.34103209030098</v>
      </c>
      <c r="BQ255" s="1113" t="s">
        <v>624</v>
      </c>
      <c r="BR255" s="1124" t="s">
        <v>149</v>
      </c>
      <c r="BS255" s="1098">
        <f>IF($P255="","N/A",IF($P255=-1,INDEX('卡片raw data'!AX:AX,MATCH($D255,'卡片raw data'!$F:$F,)),0)+IF($L255="party卡",IF($P255=5,INDEX('卡片raw data'!BD:BD,MATCH($D255,'卡片raw data'!$F:$F,)),IF($P255&gt;=3,INDEX('卡片raw data'!BC:BC,MATCH($D255,'卡片raw data'!$F:$F,)),INDEX('卡片raw data'!BB:BB,MATCH($D255,'卡片raw data'!$F:$F,)))),IF(OR(AND($F255="UR",$P255=0),AND($F255="SR",$P255&gt;=0,$P255&lt;=2),AND($F255="R",$P255&gt;=0,$P255&lt;4)),INDEX('卡片raw data'!AZ:AZ,MATCH($D255,'卡片raw data'!$F:$F,)),0)+IF(OR(AND($F255="UR",$P255&gt;=1,$P255&lt;=4),AND($F255="SR",$P255&lt;=4,$P255&gt;=3),AND($F255="R",$P255=4)),INDEX('卡片raw data'!BA:BA,MATCH($D255,'卡片raw data'!$F:$F,)),0)+IF($P255=5,INDEX('卡片raw data'!BB:BB,MATCH($D255,'卡片raw data'!$F:$F,)),0)))</f>
        <v>4.2000000000000003E-2</v>
      </c>
      <c r="BT255" s="1101">
        <f t="shared" si="292"/>
        <v>0</v>
      </c>
      <c r="BU255" s="1097">
        <f t="shared" si="293"/>
        <v>0</v>
      </c>
      <c r="BV255" s="1097">
        <f t="shared" si="294"/>
        <v>0</v>
      </c>
      <c r="BW255" s="1112">
        <f t="shared" si="295"/>
        <v>3.9329999999999989</v>
      </c>
      <c r="BX255" s="1100">
        <f t="shared" si="296"/>
        <v>308.65477543376267</v>
      </c>
      <c r="BY255" s="1110">
        <f t="shared" si="297"/>
        <v>308.65477543376267</v>
      </c>
      <c r="BZ255" s="1107" t="s">
        <v>569</v>
      </c>
      <c r="CA255" s="1124"/>
      <c r="CB255" s="1098">
        <f>IF($P255="","N/A",IF($P255=-1,INDEX('卡片raw data'!BE:BE,MATCH($D255,'卡片raw data'!$F:$F,)),0)+IF($L255="party卡",IF($P255=5,INDEX('卡片raw data'!BK:BK,MATCH($D255,'卡片raw data'!$F:$F,)),IF($P255&gt;=3,INDEX('卡片raw data'!BJ:BJ,MATCH($D255,'卡片raw data'!$F:$F,)),INDEX('卡片raw data'!BI:BI,MATCH($D255,'卡片raw data'!$F:$F,)))),IF(OR(AND($F255="UR",$P255=0),AND($F255="SR",$P255&gt;=0,$P255&lt;=2),AND($F255="R",$P255&gt;=0,$P255&lt;4)),INDEX('卡片raw data'!BG:BG,MATCH($D255,'卡片raw data'!$F:$F,)),0)+IF(OR(AND($F255="UR",$P255&gt;=1,$P255&lt;=4),AND($F255="SR",$P255&lt;=4,$P255&gt;=3),AND($F255="R",$P255=4)),INDEX('卡片raw data'!BH:BH,MATCH($D255,'卡片raw data'!$F:$F,)),0)+IF($P255=5,INDEX('卡片raw data'!BI:BI,MATCH($D255,'卡片raw data'!$F:$F,)),0)))</f>
        <v>0</v>
      </c>
      <c r="CC255" s="1101">
        <f t="shared" si="298"/>
        <v>0</v>
      </c>
      <c r="CD255" s="1097">
        <f>IF(BZ255="ap",CB255*(1-$FI$26)*$FB$5/$FB$11*(+IF(CA255="全员",$FA$24,0)+IF(CA255="同作战",$FA$24,0)+IF(CA255="仲间",$FA$24*2/3,0)+IF(CA255="同属性",$FA$24*$FA$37/3,0)+IF(CA255="同年级",$FA$24*$FA$40/3,0)+IF(CA255="同学校",$FA$24*$FA$43/3,0)+IF(CA255="同小队",$FA$24*$FA$46/3,0)+IF(CA255="同type",$FA$24*INDEX($FB$49:$FB$52,MATCH(X255,$FA$49:$FA$52,))/3,0)+IF(CA255="自身",#REF!/3,0)),0)+IF(BZ255="te",CB255*(1-$FI$27)*($FA$20-1)*$FB$7/$FB$13*(+IF(CA255="全员",$FA$19*$FA$24/(1+($FA$20-1)*$FA$19),0)+IF(CA255="同作战",$FA$19*$FA$24/(1+($FA$20-1)*$FA$19),0)+IF(CA255="仲间",$FA$19*$FA$24*2/3/(1+($FA$20-1)*$FA$19),0)+IF(CA255="同属性",$FA$19*$FA$24*$FA$37/3/(1+($FA$20-1)*$FA$19),0)+IF(CA255="同年级",$FA$19*$FA$24*$FA$40/3/(1+($FA$20-1)*$FA$19),0)+IF(CA255="同学校",$FA$19*$FA$24*$FA$43/3/(1+($FA$20-1)*$FA$19),0)+IF(CA255="同小队",$FA$19*$FA$24*$FA$46/3/(1+($FA$20-1)*$FA$19),0)+IF(CA255="同type",$FA$19*$FA$24*INDEX($FB$49:$FB$52,MATCH(X255,$FA$49:$FA$52,))/3/(1+($FA$20-1)*$FA$19),0)+IF(CA255="自身",$FA$19*#REF!/3/(1+(BH255-1)*$BD255),0)),0)</f>
        <v>0</v>
      </c>
      <c r="CE255" s="1097">
        <f t="shared" si="299"/>
        <v>0</v>
      </c>
      <c r="CF255" s="1112">
        <f t="shared" si="300"/>
        <v>0</v>
      </c>
      <c r="CG255" s="1100">
        <f t="shared" si="301"/>
        <v>0</v>
      </c>
      <c r="CH255" s="1110">
        <f t="shared" si="302"/>
        <v>0</v>
      </c>
      <c r="CI255" s="1113" t="s">
        <v>162</v>
      </c>
      <c r="CJ255" s="1114">
        <v>0.3</v>
      </c>
      <c r="CK255" s="1115" t="s">
        <v>556</v>
      </c>
      <c r="CL255" s="1115" t="s">
        <v>161</v>
      </c>
      <c r="CM255" s="1119">
        <v>0.03</v>
      </c>
      <c r="CN255" s="1115" t="s">
        <v>1948</v>
      </c>
      <c r="CO255" s="1092"/>
      <c r="CP255" s="1118">
        <f t="shared" si="303"/>
        <v>4.8214285714285711E-3</v>
      </c>
      <c r="CQ255" s="1118">
        <f t="shared" si="304"/>
        <v>4.4999999999999988E-3</v>
      </c>
      <c r="CR255" s="1118">
        <f t="shared" si="305"/>
        <v>4.8214285714285711E-3</v>
      </c>
      <c r="CS255" s="1118">
        <f t="shared" si="306"/>
        <v>0</v>
      </c>
      <c r="CT255" s="1109">
        <f t="shared" si="307"/>
        <v>0</v>
      </c>
      <c r="CU255" s="1101">
        <f t="shared" si="308"/>
        <v>0</v>
      </c>
      <c r="CV255" s="1108">
        <f t="shared" si="309"/>
        <v>0</v>
      </c>
      <c r="CW255" s="1097">
        <f t="shared" si="310"/>
        <v>0</v>
      </c>
      <c r="CX255" s="1097">
        <f t="shared" si="311"/>
        <v>0</v>
      </c>
      <c r="CY255" s="1110">
        <f t="shared" si="312"/>
        <v>188.60973837792406</v>
      </c>
      <c r="CZ255" s="437"/>
      <c r="DA255" s="438"/>
      <c r="DB255" s="439" t="s">
        <v>569</v>
      </c>
      <c r="DC255" s="439"/>
      <c r="DD255" s="443"/>
      <c r="DE255" s="411"/>
      <c r="DF255" s="411"/>
      <c r="DG255" s="1116">
        <f t="shared" si="313"/>
        <v>0</v>
      </c>
      <c r="DH255" s="1116">
        <f t="shared" si="314"/>
        <v>0</v>
      </c>
      <c r="DI255" s="1116">
        <f t="shared" si="315"/>
        <v>0</v>
      </c>
      <c r="DJ255" s="442">
        <f t="shared" si="316"/>
        <v>0</v>
      </c>
      <c r="DK255" s="1109">
        <f t="shared" si="317"/>
        <v>0</v>
      </c>
      <c r="DL255" s="1101">
        <f t="shared" si="318"/>
        <v>0</v>
      </c>
      <c r="DM255" s="1097">
        <f t="shared" si="319"/>
        <v>0</v>
      </c>
      <c r="DN255" s="1097">
        <f t="shared" si="320"/>
        <v>0</v>
      </c>
      <c r="DO255" s="1097">
        <f t="shared" si="321"/>
        <v>0</v>
      </c>
      <c r="DP255" s="1110">
        <f t="shared" si="322"/>
        <v>0</v>
      </c>
      <c r="DQ255" s="1113" t="s">
        <v>635</v>
      </c>
      <c r="DR255" s="1120">
        <f t="shared" si="323"/>
        <v>0.3</v>
      </c>
      <c r="DS255" s="1124"/>
      <c r="DT255" s="1093" t="s">
        <v>564</v>
      </c>
      <c r="DU255" s="1093"/>
      <c r="DV255" s="1098">
        <f>IF($P255="","N/A",IF(P255=-1,INDEX('卡片raw data'!AN:AN,MATCH(D255,'卡片raw data'!$F:$F,)),0)+IF(AND(L255&lt;&gt;"party卡",P255&lt;=2,P255&gt;=0),INDEX('卡片raw data'!AP:AP,MATCH(D255,'卡片raw data'!$F:$F,)),0)+IF(OR(AND(L255="party卡",P255&lt;=1),AND(P255&lt;=4,L255&lt;&gt;"party卡",P255&gt;=3)),INDEX('卡片raw data'!AQ:AQ,MATCH(D255,'卡片raw data'!$F:$F,)),0)+IF(OR(P255=5,AND(L255="party卡",P255&gt;=2)),INDEX('卡片raw data'!AR:AR,MATCH(D255,'卡片raw data'!$F:$F,)),0))</f>
        <v>0.28999999999999998</v>
      </c>
      <c r="DW255" s="1098">
        <f t="shared" si="324"/>
        <v>0.3</v>
      </c>
      <c r="DX255" s="1098">
        <f t="shared" si="325"/>
        <v>0.3</v>
      </c>
      <c r="DY255" s="1125">
        <f t="shared" si="326"/>
        <v>396.94320644217191</v>
      </c>
      <c r="DZ255" s="1125">
        <f t="shared" si="327"/>
        <v>343.35587357247869</v>
      </c>
      <c r="EA255" s="1098">
        <f t="shared" si="328"/>
        <v>0</v>
      </c>
      <c r="EB255" s="1121">
        <f t="shared" si="329"/>
        <v>0</v>
      </c>
      <c r="EC255" s="1101">
        <f t="shared" si="330"/>
        <v>0</v>
      </c>
      <c r="ED255" s="1097">
        <f t="shared" si="331"/>
        <v>0</v>
      </c>
      <c r="EE255" s="1110">
        <f t="shared" si="332"/>
        <v>48435.03108962375</v>
      </c>
      <c r="EF255" s="1092" t="s">
        <v>711</v>
      </c>
      <c r="EG255" s="1120">
        <f t="shared" si="333"/>
        <v>0.3</v>
      </c>
      <c r="EH255" s="1124"/>
      <c r="EI255" s="1093"/>
      <c r="EJ255" s="1093"/>
      <c r="EK255" s="1097">
        <f>IF($P255="","N/A",IF(P255=-1,INDEX('卡片raw data'!AS:AS,MATCH(D255,'卡片raw data'!$F:$F,)),0)+IF(AND(L255&lt;&gt;"party卡",P255&lt;=2,P255&gt;=0),INDEX('卡片raw data'!AU:AU,MATCH(D255,'卡片raw data'!$F:$F,)),0)+IF(OR(AND(L255="party卡",P255&lt;=1),AND(P255&lt;=4,L255&lt;&gt;"party卡",P255&gt;=3)),INDEX('卡片raw data'!AV:AV,MATCH(D255,'卡片raw data'!$F:$F,)),0)+IF(OR(P255=5,AND(L255="party卡",P255&gt;=2)),INDEX('卡片raw data'!AW:AW,MATCH(D255,'卡片raw data'!$F:$F,)),0))</f>
        <v>0</v>
      </c>
      <c r="EL255" s="1098">
        <f t="shared" si="334"/>
        <v>0.3</v>
      </c>
      <c r="EM255" s="1098">
        <f t="shared" si="335"/>
        <v>0.3</v>
      </c>
      <c r="EN255" s="1125">
        <f t="shared" si="336"/>
        <v>0</v>
      </c>
      <c r="EO255" s="1125">
        <f t="shared" si="337"/>
        <v>0</v>
      </c>
      <c r="EP255" s="1098">
        <f t="shared" si="338"/>
        <v>0</v>
      </c>
      <c r="EQ255" s="1121">
        <f t="shared" si="339"/>
        <v>0</v>
      </c>
      <c r="ER255" s="1101">
        <f t="shared" si="340"/>
        <v>0</v>
      </c>
      <c r="ES255" s="1097">
        <f t="shared" si="341"/>
        <v>0</v>
      </c>
      <c r="ET255" s="1122">
        <f t="shared" si="342"/>
        <v>0</v>
      </c>
    </row>
    <row r="256" spans="2:150" ht="16.5" customHeight="1">
      <c r="B256" s="1123" t="str">
        <f>INDEX('卡片raw data'!B:B,MATCH($D256,'卡片raw data'!$F:$F,))</f>
        <v>bm曜</v>
      </c>
      <c r="C256" s="449" t="s">
        <v>67</v>
      </c>
      <c r="D256" s="408">
        <v>253</v>
      </c>
      <c r="E256" s="1090">
        <v>401052002</v>
      </c>
      <c r="F256" s="1090" t="str">
        <f>INDEX('卡片raw data'!C:C,MATCH($D256,'卡片raw data'!$F:$F,))</f>
        <v>SR</v>
      </c>
      <c r="G256" s="1094" t="s">
        <v>342</v>
      </c>
      <c r="H256" s="411">
        <f>IFERROR(INDEX(绊状态确认!C:C,MATCH($G256,绊状态确认!$B:$B,)),"")</f>
        <v>105</v>
      </c>
      <c r="I256" s="450" t="str">
        <f>IFERROR(INDEX(绊状态确认!D:D,MATCH($G256,绊状态确认!$B:$B,)),"")</f>
        <v>水</v>
      </c>
      <c r="J256" s="450" t="str">
        <f>IFERROR(INDEX(绊状态确认!E:E,MATCH($G256,绊状态确认!$B:$B,)),"")</f>
        <v>2年级</v>
      </c>
      <c r="K256" s="451" t="str">
        <f>IFERROR(INDEX(绊状态确认!F:F,MATCH($G256,绊状态确认!$B:$B,)),"")</f>
        <v>CYaRon!</v>
      </c>
      <c r="L256" s="1094" t="str">
        <f>INDEX('卡片raw data'!E:E,MATCH($D256,'卡片raw data'!$F:$F,))</f>
        <v>活动卡</v>
      </c>
      <c r="M256" s="415">
        <v>43987</v>
      </c>
      <c r="N256" s="416">
        <v>17</v>
      </c>
      <c r="O256" s="1091" t="str">
        <f>INDEX('卡片raw data'!D:D,MATCH($D256,'卡片raw data'!$F:$F,))</f>
        <v>sk</v>
      </c>
      <c r="P256" s="417">
        <v>5</v>
      </c>
      <c r="Q256" s="1095">
        <f t="shared" si="258"/>
        <v>23851.014795945575</v>
      </c>
      <c r="R256" s="1096">
        <f t="shared" si="259"/>
        <v>0.27700000000000002</v>
      </c>
      <c r="S256" s="1097">
        <f t="shared" si="260"/>
        <v>11941.782573930454</v>
      </c>
      <c r="T256" s="1098">
        <f t="shared" si="261"/>
        <v>0.59699999999999998</v>
      </c>
      <c r="U256" s="1099">
        <f t="shared" si="262"/>
        <v>11.780073749562858</v>
      </c>
      <c r="V256" s="1100">
        <f t="shared" si="263"/>
        <v>26790.352814337788</v>
      </c>
      <c r="W256" s="1101">
        <f t="shared" si="264"/>
        <v>7559.2021730011866</v>
      </c>
      <c r="X256" s="1096">
        <f t="shared" si="265"/>
        <v>8.6999999999999994E-2</v>
      </c>
      <c r="Y256" s="1097">
        <f t="shared" si="266"/>
        <v>939.33801839220814</v>
      </c>
      <c r="Z256" s="1102">
        <f t="shared" si="267"/>
        <v>11.780073749562858</v>
      </c>
      <c r="AA256" s="1103">
        <f t="shared" si="268"/>
        <v>8498.5401913933947</v>
      </c>
      <c r="AB256" s="1101">
        <f t="shared" si="269"/>
        <v>8062.2844986409091</v>
      </c>
      <c r="AC256" s="1104">
        <f t="shared" si="270"/>
        <v>9.2999999999999999E-2</v>
      </c>
      <c r="AD256" s="1105">
        <f t="shared" si="271"/>
        <v>1.8994224431818179E-2</v>
      </c>
      <c r="AE256" s="1128">
        <f t="shared" si="272"/>
        <v>4.3537577047458456</v>
      </c>
      <c r="AF256" s="1130">
        <f t="shared" si="273"/>
        <v>0</v>
      </c>
      <c r="AG256" s="420">
        <f t="shared" si="274"/>
        <v>0</v>
      </c>
      <c r="AH256" s="420">
        <f t="shared" si="275"/>
        <v>0</v>
      </c>
      <c r="AI256" s="1097">
        <f t="shared" si="276"/>
        <v>0</v>
      </c>
      <c r="AJ256" s="420">
        <f t="shared" si="277"/>
        <v>0</v>
      </c>
      <c r="AK256" s="518">
        <f t="shared" si="278"/>
        <v>0</v>
      </c>
      <c r="AL256" s="1106">
        <f>IF($P256="","N/A",(IF($P256=-1,INDEX('卡片raw data'!S:S,MATCH($D256,'卡片raw data'!$F:$F,)),0)+IF($P256=0,INDEX('卡片raw data'!V:V,MATCH($D256,'卡片raw data'!$F:$F,)),0)+IF($P256=1,INDEX('卡片raw data'!Y:Y,MATCH($D256,'卡片raw data'!$F:$F,)),0)+IF($P256=2,INDEX('卡片raw data'!AB:AB,MATCH($D256,'卡片raw data'!$F:$F,)),0)+IF($P256=3,INDEX('卡片raw data'!AE:AE,MATCH($D256,'卡片raw data'!$F:$F,)),0)+IF($P256=4,INDEX('卡片raw data'!AH:AH,MATCH($D256,'卡片raw data'!$F:$F,)),0)+IF($P256=5,INDEX('卡片raw data'!AK:AK,MATCH($D256,'卡片raw data'!$F:$F,)),0)+INDEX('卡片raw data'!S:S,MATCH($D256,'卡片raw data'!$F:$F,))*(IF($F256="UR",0.04,0.033))*(IF($F256="UR",INDEX(绊状态确认!$S:$S,MATCH($G256,绊状态确认!$B:$B,))/2-40)+IF($F256="SR",INDEX(绊状态确认!$R:$R,MATCH($G256,绊状态确认!$B:$B,))/4-15))+IF($F256="R",INDEX(绊状态确认!$Q:$Q,MATCH($G256,绊状态确认!$B:$B,))/6-40/6)))*(INDEX(绊状态确认!$H:$H,MATCH($G256,绊状态确认!$B:$B,))+INDEX(绊状态确认!J:J,MATCH($G256,绊状态确认!$B:$B,)))</f>
        <v>5581.4536007999995</v>
      </c>
      <c r="AM256" s="1106">
        <f>IF($P256="","N/A",(IF($P256=-1,INDEX('卡片raw data'!T:T,MATCH($D256,'卡片raw data'!$F:$F,)),0)+IF($P256=0,INDEX('卡片raw data'!W:W,MATCH($D256,'卡片raw data'!$F:$F,)),0)+IF($P256=1,INDEX('卡片raw data'!Z:Z,MATCH($D256,'卡片raw data'!$F:$F,)),0)+IF($P256=2,INDEX('卡片raw data'!AC:AC,MATCH($D256,'卡片raw data'!$F:$F,)),0)+IF($P256=3,INDEX('卡片raw data'!AF:AF,MATCH($D256,'卡片raw data'!$F:$F,)),0)+IF($P256=4,INDEX('卡片raw data'!AI:AI,MATCH($D256,'卡片raw data'!$F:$F,)),0)+IF($P256=5,INDEX('卡片raw data'!AL:AL,MATCH($D256,'卡片raw data'!$F:$F,)),0)+INDEX('卡片raw data'!T:T,MATCH($D256,'卡片raw data'!$F:$F,))*(IF($F256="UR",0.04,0.033))*(IF($F256="UR",INDEX(绊状态确认!$S:$S,MATCH($G256,绊状态确认!$B:$B,))/2-40)+IF($F256="SR",INDEX(绊状态确认!$R:$R,MATCH($G256,绊状态确认!$B:$B,))/4-15))+IF($F256="R",INDEX(绊状态确认!$Q:$Q,MATCH($G256,绊状态确认!$B:$B,))/6-40/6)))*(INDEX(绊状态确认!$H:$H,MATCH($G256,绊状态确认!$B:$B,))+INDEX(绊状态确认!K:K,MATCH($G256,绊状态确认!$B:$B,)))</f>
        <v>6073.7989007999995</v>
      </c>
      <c r="AN256" s="1106">
        <f>IF($P256="","N/A",(IF($P256=-1,INDEX('卡片raw data'!U:U,MATCH($D256,'卡片raw data'!$F:$F,)),0)+IF($P256=0,INDEX('卡片raw data'!X:X,MATCH($D256,'卡片raw data'!$F:$F,)),0)+IF($P256=1,INDEX('卡片raw data'!AA:AA,MATCH($D256,'卡片raw data'!$F:$F,)),0)+IF($P256=2,INDEX('卡片raw data'!AD:AD,MATCH($D256,'卡片raw data'!$F:$F,)),0)+IF($P256=3,INDEX('卡片raw data'!AG:AG,MATCH($D256,'卡片raw data'!$F:$F,)),0)+IF($P256=4,INDEX('卡片raw data'!AJ:AJ,MATCH($D256,'卡片raw data'!$F:$F,)),0)+IF($P256=5,INDEX('卡片raw data'!AM:AM,MATCH($D256,'卡片raw data'!$F:$F,)),0)+INDEX('卡片raw data'!U:U,MATCH($D256,'卡片raw data'!$F:$F,))*(IF($F256="UR",0.04,0.033))*(IF($F256="UR",INDEX(绊状态确认!$S:$S,MATCH($G256,绊状态确认!$B:$B,))/2-40)+IF($F256="SR",INDEX(绊状态确认!$R:$R,MATCH($G256,绊状态确认!$B:$B,))/4-15))+IF($F256="R",INDEX(绊状态确认!$Q:$Q,MATCH($G256,绊状态确认!$B:$B,))/6-40/6)))*(INDEX(绊状态确认!$H:$H,MATCH($G256,绊状态确认!$B:$B,))+INDEX(绊状态确认!L:L,MATCH($G256,绊状态确认!$B:$B,)))</f>
        <v>4761.2819015999994</v>
      </c>
      <c r="AO256" s="1107">
        <f t="shared" si="279"/>
        <v>1</v>
      </c>
      <c r="AP256" s="1131">
        <f>1+(INDEX(绊状态确认!$T:$T,MATCH($G256,绊状态确认!$B:$B,))+0.2)*$AO256</f>
        <v>1.3</v>
      </c>
      <c r="AQ256" s="1108">
        <f t="shared" si="280"/>
        <v>17901.315702099997</v>
      </c>
      <c r="AR256" s="1097">
        <f>(AM256*(1+$EX$9)+$EX$35)*(1+(INDEX(绊状态确认!$T:$T,MATCH($G256,绊状态确认!$B:$B,))+0.2)*AO256)*IF(J256=$FF$17,1+$FE$17,1)*IF(I256=$FF$14,1+$FE$14,1)</f>
        <v>10994.735499592001</v>
      </c>
      <c r="AS256" s="1097">
        <f>(AN256*(1+$EX$10)+$EX$36)*(1+(INDEX(绊状态确认!$T:$T,MATCH($G256,绊状态确认!$B:$B,))+0.2)*AO256)*IF(J256=$FF$17,1+$FE$17,1)*IF(I256=$FF$14,1+$FE$14,1)</f>
        <v>11174.116442891998</v>
      </c>
      <c r="AT256" s="1093">
        <f>IF(AND(INDEX('卡片raw data'!AK:AK,MATCH($D256,'卡片raw data'!$F:$F,))&lt;INDEX('卡片raw data'!AM:AM,MATCH($D256,'卡片raw data'!$F:$F,)),INDEX('卡片raw data'!AL:AL,MATCH($D256,'卡片raw data'!$F:$F,))&lt;INDEX('卡片raw data'!AM:AM,MATCH($D256,'卡片raw data'!$F:$F,))),1,0)</f>
        <v>0</v>
      </c>
      <c r="AU256" s="1098">
        <f>MIN(AT256*0.15+AS256*0.00003+INDEX(绊状态确认!M:M,MATCH($G256,绊状态确认!$B:$B,)),1)</f>
        <v>0.36522349328675996</v>
      </c>
      <c r="AV256" s="1109">
        <f>(INDEX(绊状态确认!$N:$N,MATCH($G256,绊状态确认!$B:$B,))+1.5)*$EW$21</f>
        <v>2.6599999999999997</v>
      </c>
      <c r="AW256" s="1101">
        <f t="shared" si="281"/>
        <v>14933.483754415183</v>
      </c>
      <c r="AX256" s="1097">
        <f t="shared" si="282"/>
        <v>939.33801839220871</v>
      </c>
      <c r="AY256" s="1110">
        <f t="shared" si="283"/>
        <v>15872.821772807392</v>
      </c>
      <c r="AZ256" s="429">
        <f t="shared" si="284"/>
        <v>13483.834521559998</v>
      </c>
      <c r="BA256" s="431">
        <f t="shared" si="285"/>
        <v>16180.601425871997</v>
      </c>
      <c r="BB256" s="1097">
        <f>(AM256*(1+$FB$9)+$FB$35)*(1+(INDEX(绊状态确认!$T:$T,MATCH($G256,绊状态确认!$B:$B,))+0.2)*AO256)*IF(J256=$FF$17,1+$FE$17,1)*IF(I256=$FF$14,1+$FE$14,1)*(1+$FE$15)</f>
        <v>10994.735499592001</v>
      </c>
      <c r="BC256" s="1097">
        <f>(AN256*(1+$FB$10)+$FB$36)*(1+(INDEX(绊状态确认!$T:$T,MATCH($G256,绊状态确认!$B:$B,))+0.2)*AO256)*IF(J256=$FF$17,1+$FE$17,1)*IF(I256=$FF$14,1+$FE$14,1)*(1+$FE$15)</f>
        <v>11174.116442891998</v>
      </c>
      <c r="BD256" s="1104">
        <f>MIN(AT256*0.15+BC256*0.00003+INDEX(绊状态确认!M:M,MATCH($G256,绊状态确认!$B:$B,)),1)</f>
        <v>0.36522349328675996</v>
      </c>
      <c r="BE256" s="432">
        <f>(INDEX(绊状态确认!$N:$N,MATCH($G256,绊状态确认!$B:$B,))+1.5)</f>
        <v>1.9</v>
      </c>
      <c r="BF256" s="1139">
        <f t="array" ref="BF256">SUMPRODUCT(IF(AZ256*AP256*$FI$16:$FI$23*$FA$22&gt;=$FI$24,$FI$24,AZ256*AP256*$FI$16:$FI$23*$FA$22),$FJ$16:$FJ$23)</f>
        <v>26819.346863382842</v>
      </c>
      <c r="BG256" s="1125">
        <f t="array" ref="BG256">SUMPRODUCT(IF(BE256*AZ256*AP256*$FI$16:$FI$23*$FA$22&gt;=$FI$24,$FI$24,BE256*AZ256*AP256*$FI$16:$FI$23*$FA$22),$FJ$16:$FJ$23)</f>
        <v>50628.79549945928</v>
      </c>
      <c r="BH256" s="1110">
        <f t="shared" si="286"/>
        <v>11838.372289160785</v>
      </c>
      <c r="BI256" s="1111">
        <f>IF(O256="vo",$EW$26/$EW$24*0.05,0)+IF(O256="sk",-$EW$26/$EW$24*(0.05-INDEX(绊状态确认!W:W,MATCH($G256,绊状态确认!$B:$B,)))+0.05*$EW$28,0)+IF(O256="sp",0.05*$EW$32*$EW$30*(1-$EW$33)-(0.05-INDEX(绊状态确认!V:V,MATCH($G256,绊状态确认!$B:$B,)))*$EW$28,0)+IF(O256="gd",-(0.05-INDEX(绊状态确认!X:X,MATCH($G256,绊状态确认!$B:$B,)))*$EW$32*$EW$30*(1-$EW$33),0)</f>
        <v>-6253.6726349699375</v>
      </c>
      <c r="BJ256" s="1097">
        <f>IF(O256="vo",0.05*(1-$FI$26)*$FA$24,0)+IF(O256="sk",-(0.05-INDEX(绊状态确认!W:W,MATCH($G256,绊状态确认!$B:$B,)))*(1-$FI$26)*$FA$24+0.05*$FA$26,0)+IF(O256="sp",0.05*$FA$32*$FA$27*(1-$FA$33)/$FA$30+0.05*$FA$29/$FA$69*$FA$27*(1-$FA$33)-(0.05-INDEX(绊状态确认!V:V,MATCH($G256,绊状态确认!$B:$B,)))*$FA$26,0)+IF(O256="gd",-(0.05-INDEX(绊状态确认!X:X,MATCH($G256,绊状态确认!$B:$B,)))*$FA$32*$FA$27*(1-$FA$33)/$FA$30-(0.05-INDEX(绊状态确认!X:X,MATCH($G256,绊状态确认!$B:$B,)))*$FA$29/$FA$69*$FA$27*(1-$FA$33),0)</f>
        <v>20.459096812499922</v>
      </c>
      <c r="BK256" s="1110">
        <f>IF(O256="vo",$EW$26/$EW$24*0.05+$EW$26*(-HP($EW$62,$EW$65,$EW$64)+HP($EW$62,$EW$65,(1.05-INDEX(绊状态确认!U:U,MATCH($G256,绊状态确认!$B:$B,)))*$EW$64)),0)+IF(O256="sk",-$EW$26/$EW$24*(0.05-INDEX(绊状态确认!W:W,MATCH($G256,绊状态确认!$B:$B,)))+0.05*$EW$29,0)+IF(O256="sp",0.05*$EW$32*$EW$30*(1-$EW$33)-(0.05-INDEX(绊状态确认!V:V,MATCH($G256,绊状态确认!$B:$B,)))*$EW$29,0)+IF(O256="gd",-(0.05-INDEX(绊状态确认!X:X,MATCH($G256,绊状态确认!$B:$B,)))*$EW$32*$EW$30*(1-$EW$33)+$EW$26*(-HP($EW$62,$EW$65,$EW$64)+HP($EW$62,$EW$65,0.95*$EW$64)),0)</f>
        <v>-4253.6726349699375</v>
      </c>
      <c r="BL256" s="1111">
        <f t="shared" si="287"/>
        <v>-1083.3333333333333</v>
      </c>
      <c r="BM256" s="1110">
        <f t="shared" si="288"/>
        <v>-830.55555555555543</v>
      </c>
      <c r="BN256" s="1113">
        <f t="shared" si="289"/>
        <v>3</v>
      </c>
      <c r="BO256" s="1097">
        <f t="shared" si="290"/>
        <v>4507.7214871259994</v>
      </c>
      <c r="BP256" s="1100">
        <f t="shared" si="291"/>
        <v>221.34103209030098</v>
      </c>
      <c r="BQ256" s="1113" t="s">
        <v>145</v>
      </c>
      <c r="BR256" s="1124" t="s">
        <v>151</v>
      </c>
      <c r="BS256" s="1098">
        <f>IF($P256="","N/A",IF($P256=-1,INDEX('卡片raw data'!AX:AX,MATCH($D256,'卡片raw data'!$F:$F,)),0)+IF($L256="party卡",IF($P256=5,INDEX('卡片raw data'!BD:BD,MATCH($D256,'卡片raw data'!$F:$F,)),IF($P256&gt;=3,INDEX('卡片raw data'!BC:BC,MATCH($D256,'卡片raw data'!$F:$F,)),INDEX('卡片raw data'!BB:BB,MATCH($D256,'卡片raw data'!$F:$F,)))),IF(OR(AND($F256="UR",$P256=0),AND($F256="SR",$P256&gt;=0,$P256&lt;=2),AND($F256="R",$P256&gt;=0,$P256&lt;4)),INDEX('卡片raw data'!AZ:AZ,MATCH($D256,'卡片raw data'!$F:$F,)),0)+IF(OR(AND($F256="UR",$P256&gt;=1,$P256&lt;=4),AND($F256="SR",$P256&lt;=4,$P256&gt;=3),AND($F256="R",$P256=4)),INDEX('卡片raw data'!BA:BA,MATCH($D256,'卡片raw data'!$F:$F,)),0)+IF($P256=5,INDEX('卡片raw data'!BB:BB,MATCH($D256,'卡片raw data'!$F:$F,)),0)))</f>
        <v>3.2000000000000001E-2</v>
      </c>
      <c r="BT256" s="1101">
        <f t="shared" si="292"/>
        <v>1257.7058140993063</v>
      </c>
      <c r="BU256" s="1097">
        <f t="shared" si="293"/>
        <v>90.97388446263389</v>
      </c>
      <c r="BV256" s="1097">
        <f t="shared" si="294"/>
        <v>754.62348845958354</v>
      </c>
      <c r="BW256" s="1112">
        <f t="shared" si="295"/>
        <v>0</v>
      </c>
      <c r="BX256" s="1100">
        <f t="shared" si="296"/>
        <v>1257.7058140993063</v>
      </c>
      <c r="BY256" s="1110">
        <f t="shared" si="297"/>
        <v>754.62348845958354</v>
      </c>
      <c r="BZ256" s="1107" t="s">
        <v>569</v>
      </c>
      <c r="CA256" s="1124"/>
      <c r="CB256" s="1098">
        <f>IF($P256="","N/A",IF($P256=-1,INDEX('卡片raw data'!BE:BE,MATCH($D256,'卡片raw data'!$F:$F,)),0)+IF($L256="party卡",IF($P256=5,INDEX('卡片raw data'!BK:BK,MATCH($D256,'卡片raw data'!$F:$F,)),IF($P256&gt;=3,INDEX('卡片raw data'!BJ:BJ,MATCH($D256,'卡片raw data'!$F:$F,)),INDEX('卡片raw data'!BI:BI,MATCH($D256,'卡片raw data'!$F:$F,)))),IF(OR(AND($F256="UR",$P256=0),AND($F256="SR",$P256&gt;=0,$P256&lt;=2),AND($F256="R",$P256&gt;=0,$P256&lt;4)),INDEX('卡片raw data'!BG:BG,MATCH($D256,'卡片raw data'!$F:$F,)),0)+IF(OR(AND($F256="UR",$P256&gt;=1,$P256&lt;=4),AND($F256="SR",$P256&lt;=4,$P256&gt;=3),AND($F256="R",$P256=4)),INDEX('卡片raw data'!BH:BH,MATCH($D256,'卡片raw data'!$F:$F,)),0)+IF($P256=5,INDEX('卡片raw data'!BI:BI,MATCH($D256,'卡片raw data'!$F:$F,)),0)))</f>
        <v>0</v>
      </c>
      <c r="CC256" s="1101">
        <f t="shared" si="298"/>
        <v>0</v>
      </c>
      <c r="CD256" s="1097">
        <f>IF(BZ256="ap",CB256*(1-$FI$26)*$FB$5/$FB$11*(+IF(CA256="全员",$FA$24,0)+IF(CA256="同作战",$FA$24,0)+IF(CA256="仲间",$FA$24*2/3,0)+IF(CA256="同属性",$FA$24*$FA$37/3,0)+IF(CA256="同年级",$FA$24*$FA$40/3,0)+IF(CA256="同学校",$FA$24*$FA$43/3,0)+IF(CA256="同小队",$FA$24*$FA$46/3,0)+IF(CA256="同type",$FA$24*INDEX($FB$49:$FB$52,MATCH(X256,$FA$49:$FA$52,))/3,0)+IF(CA256="自身",#REF!/3,0)),0)+IF(BZ256="te",CB256*(1-$FI$27)*($FA$20-1)*$FB$7/$FB$13*(+IF(CA256="全员",$FA$19*$FA$24/(1+($FA$20-1)*$FA$19),0)+IF(CA256="同作战",$FA$19*$FA$24/(1+($FA$20-1)*$FA$19),0)+IF(CA256="仲间",$FA$19*$FA$24*2/3/(1+($FA$20-1)*$FA$19),0)+IF(CA256="同属性",$FA$19*$FA$24*$FA$37/3/(1+($FA$20-1)*$FA$19),0)+IF(CA256="同年级",$FA$19*$FA$24*$FA$40/3/(1+($FA$20-1)*$FA$19),0)+IF(CA256="同学校",$FA$19*$FA$24*$FA$43/3/(1+($FA$20-1)*$FA$19),0)+IF(CA256="同小队",$FA$19*$FA$24*$FA$46/3/(1+($FA$20-1)*$FA$19),0)+IF(CA256="同type",$FA$19*$FA$24*INDEX($FB$49:$FB$52,MATCH(X256,$FA$49:$FA$52,))/3/(1+($FA$20-1)*$FA$19),0)+IF(CA256="自身",$FA$19*#REF!/3/(1+(BH256-1)*$BD256),0)),0)</f>
        <v>0</v>
      </c>
      <c r="CE256" s="1097">
        <f t="shared" si="299"/>
        <v>0</v>
      </c>
      <c r="CF256" s="1112">
        <f t="shared" si="300"/>
        <v>0</v>
      </c>
      <c r="CG256" s="1100">
        <f t="shared" si="301"/>
        <v>0</v>
      </c>
      <c r="CH256" s="1110">
        <f t="shared" si="302"/>
        <v>0</v>
      </c>
      <c r="CI256" s="1113" t="s">
        <v>164</v>
      </c>
      <c r="CJ256" s="1114">
        <v>0.3</v>
      </c>
      <c r="CK256" s="1115" t="s">
        <v>167</v>
      </c>
      <c r="CL256" s="1115" t="s">
        <v>161</v>
      </c>
      <c r="CM256" s="1119">
        <v>0.03</v>
      </c>
      <c r="CN256" s="1115" t="s">
        <v>588</v>
      </c>
      <c r="CO256" s="1092">
        <v>1</v>
      </c>
      <c r="CP256" s="1118">
        <f t="shared" si="303"/>
        <v>1.6890775714285714E-2</v>
      </c>
      <c r="CQ256" s="1118">
        <f t="shared" si="304"/>
        <v>1.6890775714285714E-2</v>
      </c>
      <c r="CR256" s="1118">
        <f t="shared" si="305"/>
        <v>1.6890775714285714E-2</v>
      </c>
      <c r="CS256" s="1118">
        <f t="shared" si="306"/>
        <v>0</v>
      </c>
      <c r="CT256" s="1109">
        <f t="shared" si="307"/>
        <v>0</v>
      </c>
      <c r="CU256" s="1101">
        <f t="shared" si="308"/>
        <v>2296.8571974156039</v>
      </c>
      <c r="CV256" s="1108">
        <f t="shared" si="309"/>
        <v>110.89760883852497</v>
      </c>
      <c r="CW256" s="1097">
        <f t="shared" si="310"/>
        <v>2296.8571974156039</v>
      </c>
      <c r="CX256" s="1097">
        <f t="shared" si="311"/>
        <v>2296.8571974156039</v>
      </c>
      <c r="CY256" s="1110">
        <f t="shared" si="312"/>
        <v>2296.8571974156039</v>
      </c>
      <c r="CZ256" s="437"/>
      <c r="DA256" s="438"/>
      <c r="DB256" s="439" t="s">
        <v>569</v>
      </c>
      <c r="DC256" s="439"/>
      <c r="DD256" s="443"/>
      <c r="DE256" s="411"/>
      <c r="DF256" s="411"/>
      <c r="DG256" s="1116">
        <f t="shared" si="313"/>
        <v>0</v>
      </c>
      <c r="DH256" s="1116">
        <f t="shared" si="314"/>
        <v>0</v>
      </c>
      <c r="DI256" s="1116">
        <f t="shared" si="315"/>
        <v>0</v>
      </c>
      <c r="DJ256" s="442">
        <f t="shared" si="316"/>
        <v>0</v>
      </c>
      <c r="DK256" s="1109">
        <f t="shared" si="317"/>
        <v>0</v>
      </c>
      <c r="DL256" s="1101">
        <f t="shared" si="318"/>
        <v>0</v>
      </c>
      <c r="DM256" s="1097">
        <f t="shared" si="319"/>
        <v>0</v>
      </c>
      <c r="DN256" s="1097">
        <f t="shared" si="320"/>
        <v>0</v>
      </c>
      <c r="DO256" s="1097">
        <f t="shared" si="321"/>
        <v>0</v>
      </c>
      <c r="DP256" s="1110">
        <f t="shared" si="322"/>
        <v>0</v>
      </c>
      <c r="DQ256" s="1113" t="s">
        <v>568</v>
      </c>
      <c r="DR256" s="1120">
        <f t="shared" si="323"/>
        <v>0.3</v>
      </c>
      <c r="DS256" s="1124">
        <v>10</v>
      </c>
      <c r="DT256" s="1093" t="s">
        <v>168</v>
      </c>
      <c r="DU256" s="1093" t="s">
        <v>560</v>
      </c>
      <c r="DV256" s="1098">
        <f>IF($P256="","N/A",IF(P256=-1,INDEX('卡片raw data'!AN:AN,MATCH(D256,'卡片raw data'!$F:$F,)),0)+IF(AND(L256&lt;&gt;"party卡",P256&lt;=2,P256&gt;=0),INDEX('卡片raw data'!AP:AP,MATCH(D256,'卡片raw data'!$F:$F,)),0)+IF(OR(AND(L256="party卡",P256&lt;=1),AND(P256&lt;=4,L256&lt;&gt;"party卡",P256&gt;=3)),INDEX('卡片raw data'!AQ:AQ,MATCH(D256,'卡片raw data'!$F:$F,)),0)+IF(OR(P256=5,AND(L256="party卡",P256&gt;=2)),INDEX('卡片raw data'!AR:AR,MATCH(D256,'卡片raw data'!$F:$F,)),0))</f>
        <v>7.0000000000000007E-2</v>
      </c>
      <c r="DW256" s="1098">
        <f t="shared" si="324"/>
        <v>0.3</v>
      </c>
      <c r="DX256" s="1098">
        <f t="shared" si="325"/>
        <v>0.3</v>
      </c>
      <c r="DY256" s="1098">
        <f t="shared" si="326"/>
        <v>7.0000000000000007E-2</v>
      </c>
      <c r="DZ256" s="1098">
        <f t="shared" si="327"/>
        <v>6.0550000000000007E-2</v>
      </c>
      <c r="EA256" s="1098">
        <f t="shared" si="328"/>
        <v>0</v>
      </c>
      <c r="EB256" s="1121">
        <f t="shared" si="329"/>
        <v>0</v>
      </c>
      <c r="EC256" s="1101">
        <f t="shared" si="330"/>
        <v>8192.2525111927516</v>
      </c>
      <c r="ED256" s="1097">
        <f t="shared" si="331"/>
        <v>490.2942181212656</v>
      </c>
      <c r="EE256" s="1110">
        <f t="shared" si="332"/>
        <v>8192.2525111927516</v>
      </c>
      <c r="EF256" s="1092" t="s">
        <v>711</v>
      </c>
      <c r="EG256" s="1120">
        <f t="shared" si="333"/>
        <v>0.3</v>
      </c>
      <c r="EH256" s="1124"/>
      <c r="EI256" s="1093"/>
      <c r="EJ256" s="1093"/>
      <c r="EK256" s="1097">
        <f>IF($P256="","N/A",IF(P256=-1,INDEX('卡片raw data'!AS:AS,MATCH(D256,'卡片raw data'!$F:$F,)),0)+IF(AND(L256&lt;&gt;"party卡",P256&lt;=2,P256&gt;=0),INDEX('卡片raw data'!AU:AU,MATCH(D256,'卡片raw data'!$F:$F,)),0)+IF(OR(AND(L256="party卡",P256&lt;=1),AND(P256&lt;=4,L256&lt;&gt;"party卡",P256&gt;=3)),INDEX('卡片raw data'!AV:AV,MATCH(D256,'卡片raw data'!$F:$F,)),0)+IF(OR(P256=5,AND(L256="party卡",P256&gt;=2)),INDEX('卡片raw data'!AW:AW,MATCH(D256,'卡片raw data'!$F:$F,)),0))</f>
        <v>0</v>
      </c>
      <c r="EL256" s="1098">
        <f t="shared" si="334"/>
        <v>0.3</v>
      </c>
      <c r="EM256" s="1098">
        <f t="shared" si="335"/>
        <v>0.3</v>
      </c>
      <c r="EN256" s="1125">
        <f t="shared" si="336"/>
        <v>0</v>
      </c>
      <c r="EO256" s="1125">
        <f t="shared" si="337"/>
        <v>0</v>
      </c>
      <c r="EP256" s="1098">
        <f t="shared" si="338"/>
        <v>0</v>
      </c>
      <c r="EQ256" s="1121">
        <f t="shared" si="339"/>
        <v>0</v>
      </c>
      <c r="ER256" s="1101">
        <f t="shared" si="340"/>
        <v>0</v>
      </c>
      <c r="ES256" s="1097">
        <f t="shared" si="341"/>
        <v>0</v>
      </c>
      <c r="ET256" s="1122">
        <f t="shared" si="342"/>
        <v>0</v>
      </c>
    </row>
    <row r="257" spans="2:150" ht="16.5" customHeight="1">
      <c r="B257" s="1123" t="str">
        <f>INDEX('卡片raw data'!B:B,MATCH($D257,'卡片raw data'!$F:$F,))</f>
        <v>学渣霞</v>
      </c>
      <c r="C257" s="449" t="s">
        <v>66</v>
      </c>
      <c r="D257" s="408">
        <v>254</v>
      </c>
      <c r="E257" s="1090">
        <v>302023002</v>
      </c>
      <c r="F257" s="1090" t="str">
        <f>INDEX('卡片raw data'!C:C,MATCH($D257,'卡片raw data'!$F:$F,))</f>
        <v>UR</v>
      </c>
      <c r="G257" s="1094" t="s">
        <v>43</v>
      </c>
      <c r="H257" s="411">
        <f>IFERROR(INDEX(绊状态确认!C:C,MATCH($G257,绊状态确认!$B:$B,)),"")</f>
        <v>202</v>
      </c>
      <c r="I257" s="450" t="str">
        <f>IFERROR(INDEX(绊状态确认!D:D,MATCH($G257,绊状态确认!$B:$B,)),"")</f>
        <v>虹</v>
      </c>
      <c r="J257" s="450" t="str">
        <f>IFERROR(INDEX(绊状态确认!E:E,MATCH($G257,绊状态确认!$B:$B,)),"")</f>
        <v>1年级</v>
      </c>
      <c r="K257" s="451" t="str">
        <f>IFERROR(INDEX(绊状态确认!F:F,MATCH($G257,绊状态确认!$B:$B,)),"")</f>
        <v>QU4RTZ</v>
      </c>
      <c r="L257" s="1094" t="str">
        <f>INDEX('卡片raw data'!E:E,MATCH($D257,'卡片raw data'!$F:$F,))</f>
        <v>卡池卡</v>
      </c>
      <c r="M257" s="415">
        <v>43997</v>
      </c>
      <c r="N257" s="416">
        <v>17.5</v>
      </c>
      <c r="O257" s="1091" t="str">
        <f>INDEX('卡片raw data'!D:D,MATCH($D257,'卡片raw data'!$F:$F,))</f>
        <v>gd</v>
      </c>
      <c r="P257" s="417">
        <v>5</v>
      </c>
      <c r="Q257" s="1095">
        <f t="shared" si="258"/>
        <v>32391.665385880748</v>
      </c>
      <c r="R257" s="1096">
        <f t="shared" si="259"/>
        <v>0.376</v>
      </c>
      <c r="S257" s="1097">
        <f t="shared" si="260"/>
        <v>16762.114370392916</v>
      </c>
      <c r="T257" s="1098">
        <f t="shared" si="261"/>
        <v>0.83799999999999997</v>
      </c>
      <c r="U257" s="1099">
        <f t="shared" si="262"/>
        <v>817.3819255797988</v>
      </c>
      <c r="V257" s="1100">
        <f t="shared" si="263"/>
        <v>84519.346971861058</v>
      </c>
      <c r="W257" s="1101">
        <f t="shared" si="264"/>
        <v>4765.5224614817371</v>
      </c>
      <c r="X257" s="1096">
        <f t="shared" si="265"/>
        <v>5.5E-2</v>
      </c>
      <c r="Y257" s="1097">
        <f t="shared" si="266"/>
        <v>2098.0557238389483</v>
      </c>
      <c r="Z257" s="1102">
        <f t="shared" si="267"/>
        <v>25.791833169942855</v>
      </c>
      <c r="AA257" s="1103">
        <f t="shared" si="268"/>
        <v>6863.5781853206854</v>
      </c>
      <c r="AB257" s="1101">
        <f t="shared" si="269"/>
        <v>4937.3897777188949</v>
      </c>
      <c r="AC257" s="1104">
        <f t="shared" si="270"/>
        <v>5.7000000000000002E-2</v>
      </c>
      <c r="AD257" s="1105">
        <f t="shared" si="271"/>
        <v>0</v>
      </c>
      <c r="AE257" s="1128">
        <f t="shared" si="272"/>
        <v>-6.25</v>
      </c>
      <c r="AF257" s="1130">
        <f t="shared" si="273"/>
        <v>10845.507557389439</v>
      </c>
      <c r="AG257" s="420">
        <f t="shared" si="274"/>
        <v>92360.097374720004</v>
      </c>
      <c r="AH257" s="420">
        <f t="shared" si="275"/>
        <v>8.5159774114759355</v>
      </c>
      <c r="AI257" s="1097">
        <f t="shared" si="276"/>
        <v>112412.18715560962</v>
      </c>
      <c r="AJ257" s="420">
        <f t="shared" si="277"/>
        <v>84519.346971861058</v>
      </c>
      <c r="AK257" s="518">
        <f t="shared" si="278"/>
        <v>27892.840183748558</v>
      </c>
      <c r="AL257" s="1106">
        <f>IF($P257="","N/A",(IF($P257=-1,INDEX('卡片raw data'!S:S,MATCH($D257,'卡片raw data'!$F:$F,)),0)+IF($P257=0,INDEX('卡片raw data'!V:V,MATCH($D257,'卡片raw data'!$F:$F,)),0)+IF($P257=1,INDEX('卡片raw data'!Y:Y,MATCH($D257,'卡片raw data'!$F:$F,)),0)+IF($P257=2,INDEX('卡片raw data'!AB:AB,MATCH($D257,'卡片raw data'!$F:$F,)),0)+IF($P257=3,INDEX('卡片raw data'!AE:AE,MATCH($D257,'卡片raw data'!$F:$F,)),0)+IF($P257=4,INDEX('卡片raw data'!AH:AH,MATCH($D257,'卡片raw data'!$F:$F,)),0)+IF($P257=5,INDEX('卡片raw data'!AK:AK,MATCH($D257,'卡片raw data'!$F:$F,)),0)+INDEX('卡片raw data'!S:S,MATCH($D257,'卡片raw data'!$F:$F,))*(IF($F257="UR",0.04,0.033))*(IF($F257="UR",INDEX(绊状态确认!$S:$S,MATCH($G257,绊状态确认!$B:$B,))/2-40)+IF($F257="SR",INDEX(绊状态确认!$R:$R,MATCH($G257,绊状态确认!$B:$B,))/4-15))+IF($F257="R",INDEX(绊状态确认!$Q:$Q,MATCH($G257,绊状态确认!$B:$B,))/6-40/6)))*(INDEX(绊状态确认!$H:$H,MATCH($G257,绊状态确认!$B:$B,))+INDEX(绊状态确认!J:J,MATCH($G257,绊状态确认!$B:$B,)))</f>
        <v>9422.3924159999988</v>
      </c>
      <c r="AM257" s="1106">
        <f>IF($P257="","N/A",(IF($P257=-1,INDEX('卡片raw data'!T:T,MATCH($D257,'卡片raw data'!$F:$F,)),0)+IF($P257=0,INDEX('卡片raw data'!W:W,MATCH($D257,'卡片raw data'!$F:$F,)),0)+IF($P257=1,INDEX('卡片raw data'!Z:Z,MATCH($D257,'卡片raw data'!$F:$F,)),0)+IF($P257=2,INDEX('卡片raw data'!AC:AC,MATCH($D257,'卡片raw data'!$F:$F,)),0)+IF($P257=3,INDEX('卡片raw data'!AF:AF,MATCH($D257,'卡片raw data'!$F:$F,)),0)+IF($P257=4,INDEX('卡片raw data'!AI:AI,MATCH($D257,'卡片raw data'!$F:$F,)),0)+IF($P257=5,INDEX('卡片raw data'!AL:AL,MATCH($D257,'卡片raw data'!$F:$F,)),0)+INDEX('卡片raw data'!T:T,MATCH($D257,'卡片raw data'!$F:$F,))*(IF($F257="UR",0.04,0.033))*(IF($F257="UR",INDEX(绊状态确认!$S:$S,MATCH($G257,绊状态确认!$B:$B,))/2-40)+IF($F257="SR",INDEX(绊状态确认!$R:$R,MATCH($G257,绊状态确认!$B:$B,))/4-15))+IF($F257="R",INDEX(绊状态确认!$Q:$Q,MATCH($G257,绊状态确认!$B:$B,))/6-40/6)))*(INDEX(绊状态确认!$H:$H,MATCH($G257,绊状态确认!$B:$B,))+INDEX(绊状态确认!K:K,MATCH($G257,绊状态确认!$B:$B,)))</f>
        <v>13973.719871999998</v>
      </c>
      <c r="AN257" s="1106">
        <f>IF($P257="","N/A",(IF($P257=-1,INDEX('卡片raw data'!U:U,MATCH($D257,'卡片raw data'!$F:$F,)),0)+IF($P257=0,INDEX('卡片raw data'!X:X,MATCH($D257,'卡片raw data'!$F:$F,)),0)+IF($P257=1,INDEX('卡片raw data'!AA:AA,MATCH($D257,'卡片raw data'!$F:$F,)),0)+IF($P257=2,INDEX('卡片raw data'!AD:AD,MATCH($D257,'卡片raw data'!$F:$F,)),0)+IF($P257=3,INDEX('卡片raw data'!AG:AG,MATCH($D257,'卡片raw data'!$F:$F,)),0)+IF($P257=4,INDEX('卡片raw data'!AJ:AJ,MATCH($D257,'卡片raw data'!$F:$F,)),0)+IF($P257=5,INDEX('卡片raw data'!AM:AM,MATCH($D257,'卡片raw data'!$F:$F,)),0)+INDEX('卡片raw data'!U:U,MATCH($D257,'卡片raw data'!$F:$F,))*(IF($F257="UR",0.04,0.033))*(IF($F257="UR",INDEX(绊状态确认!$S:$S,MATCH($G257,绊状态确认!$B:$B,))/2-40)+IF($F257="SR",INDEX(绊状态确认!$R:$R,MATCH($G257,绊状态确认!$B:$B,))/4-15))+IF($F257="R",INDEX(绊状态确认!$Q:$Q,MATCH($G257,绊状态确认!$B:$B,))/6-40/6)))*(INDEX(绊状态确认!$H:$H,MATCH($G257,绊状态确认!$B:$B,))+INDEX(绊状态确认!L:L,MATCH($G257,绊状态确认!$B:$B,)))</f>
        <v>9100.2911999999997</v>
      </c>
      <c r="AO257" s="1107">
        <f t="shared" si="279"/>
        <v>1</v>
      </c>
      <c r="AP257" s="1131">
        <f>1+(INDEX(绊状态确认!$T:$T,MATCH($G257,绊状态确认!$B:$B,))+0.2)*$AO257</f>
        <v>1.3</v>
      </c>
      <c r="AQ257" s="1108">
        <f t="shared" si="280"/>
        <v>27983.780091999997</v>
      </c>
      <c r="AR257" s="1097">
        <f>(AM257*(1+$EX$9)+$EX$35)*(1+(INDEX(绊状态确认!$T:$T,MATCH($G257,绊状态确认!$B:$B,))+0.2)*AO257)*IF(J257=$FF$17,1+$FE$17,1)*IF(I257=$FF$14,1+$FE$14,1)*(1+$FE$15)</f>
        <v>21778.127625279998</v>
      </c>
      <c r="AS257" s="1097">
        <f>(AN257*(1+$EX$10)+$EX$36)*(1+(INDEX(绊状态确认!$T:$T,MATCH($G257,绊状态确认!$B:$B,))+0.2)*AO257)*IF(J257=$FF$17,1+$FE$17,1)*IF(I257=$FF$14,1+$FE$14,1)*(1+$FE$15)</f>
        <v>17660.935343999998</v>
      </c>
      <c r="AT257" s="1093">
        <f>IF(AND(INDEX('卡片raw data'!AK:AK,MATCH($D257,'卡片raw data'!$F:$F,))&lt;INDEX('卡片raw data'!AM:AM,MATCH($D257,'卡片raw data'!$F:$F,)),INDEX('卡片raw data'!AL:AL,MATCH($D257,'卡片raw data'!$F:$F,))&lt;INDEX('卡片raw data'!AM:AM,MATCH($D257,'卡片raw data'!$F:$F,))),1,0)</f>
        <v>0</v>
      </c>
      <c r="AU257" s="1098">
        <f>MIN(AT257*0.15+AS257*0.00003+INDEX(绊状态确认!M:M,MATCH($G257,绊状态确认!$B:$B,)),1)</f>
        <v>0.55982806031999999</v>
      </c>
      <c r="AV257" s="1109">
        <f>(INDEX(绊状态确认!$N:$N,MATCH($G257,绊状态确认!$B:$B,))+1.5)*$EW$21</f>
        <v>2.6599999999999997</v>
      </c>
      <c r="AW257" s="1101">
        <f t="shared" si="281"/>
        <v>28039.275608161854</v>
      </c>
      <c r="AX257" s="1097">
        <f t="shared" si="282"/>
        <v>1905.718334542461</v>
      </c>
      <c r="AY257" s="1110">
        <f t="shared" si="283"/>
        <v>29944.993942704314</v>
      </c>
      <c r="AZ257" s="429">
        <f t="shared" si="284"/>
        <v>20973.665211199997</v>
      </c>
      <c r="BA257" s="431">
        <f t="shared" si="285"/>
        <v>25168.398253439995</v>
      </c>
      <c r="BB257" s="1097">
        <f>(AM257*(1+$FB$9)+$FB$35)*(1+(INDEX(绊状态确认!$T:$T,MATCH($G257,绊状态确认!$B:$B,))+0.2)*AO257)*IF(J257=$FF$17,1+$FE$17,1)*IF(I257=$FF$14,1+$FE$14,1)*(1+$FE$15)</f>
        <v>21778.127625279998</v>
      </c>
      <c r="BC257" s="1097">
        <f>(AN257*(1+$FB$10)+$FB$36)*(1+(INDEX(绊状态确认!$T:$T,MATCH($G257,绊状态确认!$B:$B,))+0.2)*AO257)*IF(J257=$FF$17,1+$FE$17,1)*IF(I257=$FF$14,1+$FE$14,1)*(1+$FE$15)</f>
        <v>17660.935343999998</v>
      </c>
      <c r="BD257" s="1104">
        <f>MIN(AT257*0.15+BC257*0.00003+INDEX(绊状态确认!M:M,MATCH($G257,绊状态确认!$B:$B,)),1)</f>
        <v>0.55982806031999999</v>
      </c>
      <c r="BE257" s="432">
        <f>(INDEX(绊状态确认!$N:$N,MATCH($G257,绊状态确认!$B:$B,))+1.5)</f>
        <v>1.9</v>
      </c>
      <c r="BF257" s="1139">
        <f t="array" ref="BF257">SUMPRODUCT(IF(AZ257*AP257*$FI$16:$FI$23*$FA$22&gt;=$FI$24,$FI$24,AZ257*AP257*$FI$16:$FI$23*$FA$22),$FJ$16:$FJ$23)</f>
        <v>41716.6201050768</v>
      </c>
      <c r="BG257" s="1125">
        <f t="array" ref="BG257">SUMPRODUCT(IF(BE257*AZ257*AP257*$FI$16:$FI$23*$FA$22&gt;=$FI$24,$FI$24,BE257*AZ257*AP257*$FI$16:$FI$23*$FA$22),$FJ$16:$FJ$23)</f>
        <v>60000</v>
      </c>
      <c r="BH257" s="1110">
        <f t="shared" si="286"/>
        <v>17317.389735915112</v>
      </c>
      <c r="BI257" s="1111">
        <f>IF(O257="vo",$EW$26/$EW$24*0.05,0)+IF(O257="sk",-$EW$26/$EW$24*(0.05-INDEX(绊状态确认!W:W,MATCH($G257,绊状态确认!$B:$B,)))+0.05*$EW$28,0)+IF(O257="sp",0.05*$EW$32*$EW$30*(1-$EW$33)-(0.05-INDEX(绊状态确认!V:V,MATCH($G257,绊状态确认!$B:$B,)))*$EW$28,0)+IF(O257="gd",-(0.05-INDEX(绊状态确认!X:X,MATCH($G257,绊状态确认!$B:$B,)))*$EW$32*$EW$30*(1-$EW$33),0)</f>
        <v>-585.00000000000011</v>
      </c>
      <c r="BJ257" s="1097">
        <f>IF(O257="vo",0.05*(1-$FI$26)*$FA$24,0)+IF(O257="sk",-(0.05-INDEX(绊状态确认!W:W,MATCH($G257,绊状态确认!$B:$B,)))*(1-$FI$26)*$FA$24+0.05*$FA$26,0)+IF(O257="sp",0.05*$FA$32*$FA$27*(1-$FA$33)/$FA$30+0.05*$FA$29/$FA$69*$FA$27*(1-$FA$33)-(0.05-INDEX(绊状态确认!V:V,MATCH($G257,绊状态确认!$B:$B,)))*$FA$26,0)+IF(O257="gd",-(0.05-INDEX(绊状态确认!X:X,MATCH($G257,绊状态确认!$B:$B,)))*$FA$32*$FA$27*(1-$FA$33)/$FA$30-(0.05-INDEX(绊状态确认!X:X,MATCH($G257,绊状态确认!$B:$B,)))*$FA$29/$FA$69*$FA$27*(1-$FA$33),0)</f>
        <v>-795.00000000000011</v>
      </c>
      <c r="BK257" s="1110">
        <f>IF(O257="vo",$EW$26/$EW$24*0.05+$EW$26*(-HP($EW$62,$EW$65,$EW$64)+HP($EW$62,$EW$65,(1.05-INDEX(绊状态确认!U:U,MATCH($G257,绊状态确认!$B:$B,)))*$EW$64)),0)+IF(O257="sk",-$EW$26/$EW$24*(0.05-INDEX(绊状态确认!W:W,MATCH($G257,绊状态确认!$B:$B,)))+0.05*$EW$29,0)+IF(O257="sp",0.05*$EW$32*$EW$30*(1-$EW$33)-(0.05-INDEX(绊状态确认!V:V,MATCH($G257,绊状态确认!$B:$B,)))*$EW$29,0)+IF(O257="gd",-(0.05-INDEX(绊状态确认!X:X,MATCH($G257,绊状态确认!$B:$B,)))*$EW$32*$EW$30*(1-$EW$33)+$EW$26*(-HP($EW$62,$EW$65,$EW$64)+HP($EW$62,$EW$65,0.95*$EW$64)),0)</f>
        <v>1009.5947725176144</v>
      </c>
      <c r="BL257" s="1111">
        <f t="shared" si="287"/>
        <v>0</v>
      </c>
      <c r="BM257" s="1110">
        <f t="shared" si="288"/>
        <v>0</v>
      </c>
      <c r="BN257" s="1113">
        <f t="shared" si="289"/>
        <v>3</v>
      </c>
      <c r="BO257" s="1097">
        <f t="shared" si="290"/>
        <v>4507.7214871259994</v>
      </c>
      <c r="BP257" s="1100">
        <f t="shared" si="291"/>
        <v>221.34103209030098</v>
      </c>
      <c r="BQ257" s="1113" t="s">
        <v>133</v>
      </c>
      <c r="BR257" s="1124" t="s">
        <v>168</v>
      </c>
      <c r="BS257" s="1098">
        <f>IF($P257="","N/A",IF($P257=-1,INDEX('卡片raw data'!AX:AX,MATCH($D257,'卡片raw data'!$F:$F,)),0)+IF($L257="party卡",IF($P257=5,INDEX('卡片raw data'!BD:BD,MATCH($D257,'卡片raw data'!$F:$F,)),IF($P257&gt;=3,INDEX('卡片raw data'!BC:BC,MATCH($D257,'卡片raw data'!$F:$F,)),INDEX('卡片raw data'!BB:BB,MATCH($D257,'卡片raw data'!$F:$F,)))),IF(OR(AND($F257="UR",$P257=0),AND($F257="SR",$P257&gt;=0,$P257&lt;=2),AND($F257="R",$P257&gt;=0,$P257&lt;4)),INDEX('卡片raw data'!AZ:AZ,MATCH($D257,'卡片raw data'!$F:$F,)),0)+IF(OR(AND($F257="UR",$P257&gt;=1,$P257&lt;=4),AND($F257="SR",$P257&lt;=4,$P257&gt;=3),AND($F257="R",$P257=4)),INDEX('卡片raw data'!BA:BA,MATCH($D257,'卡片raw data'!$F:$F,)),0)+IF($P257=5,INDEX('卡片raw data'!BB:BB,MATCH($D257,'卡片raw data'!$F:$F,)),0)))</f>
        <v>7.0000000000000007E-2</v>
      </c>
      <c r="BT257" s="1101">
        <f t="shared" si="292"/>
        <v>0</v>
      </c>
      <c r="BU257" s="1097">
        <f t="shared" si="293"/>
        <v>0</v>
      </c>
      <c r="BV257" s="1097">
        <f t="shared" si="294"/>
        <v>0</v>
      </c>
      <c r="BW257" s="1112">
        <f t="shared" si="295"/>
        <v>2.4581249999999999</v>
      </c>
      <c r="BX257" s="1100">
        <f t="shared" si="296"/>
        <v>192.3373892964872</v>
      </c>
      <c r="BY257" s="1110">
        <f t="shared" si="297"/>
        <v>192.3373892964872</v>
      </c>
      <c r="BZ257" s="1107" t="s">
        <v>569</v>
      </c>
      <c r="CA257" s="1124"/>
      <c r="CB257" s="1098">
        <f>IF($P257="","N/A",IF($P257=-1,INDEX('卡片raw data'!BE:BE,MATCH($D257,'卡片raw data'!$F:$F,)),0)+IF($L257="party卡",IF($P257=5,INDEX('卡片raw data'!BK:BK,MATCH($D257,'卡片raw data'!$F:$F,)),IF($P257&gt;=3,INDEX('卡片raw data'!BJ:BJ,MATCH($D257,'卡片raw data'!$F:$F,)),INDEX('卡片raw data'!BI:BI,MATCH($D257,'卡片raw data'!$F:$F,)))),IF(OR(AND($F257="UR",$P257=0),AND($F257="SR",$P257&gt;=0,$P257&lt;=2),AND($F257="R",$P257&gt;=0,$P257&lt;4)),INDEX('卡片raw data'!BG:BG,MATCH($D257,'卡片raw data'!$F:$F,)),0)+IF(OR(AND($F257="UR",$P257&gt;=1,$P257&lt;=4),AND($F257="SR",$P257&lt;=4,$P257&gt;=3),AND($F257="R",$P257=4)),INDEX('卡片raw data'!BH:BH,MATCH($D257,'卡片raw data'!$F:$F,)),0)+IF($P257=5,INDEX('卡片raw data'!BI:BI,MATCH($D257,'卡片raw data'!$F:$F,)),0)))</f>
        <v>0</v>
      </c>
      <c r="CC257" s="1101">
        <f t="shared" si="298"/>
        <v>0</v>
      </c>
      <c r="CD257" s="1097">
        <f>IF(BZ257="ap",CB257*(1-$FI$26)*$FB$5/$FB$11*(+IF(CA257="全员",$FA$24,0)+IF(CA257="同作战",$FA$24,0)+IF(CA257="仲间",$FA$24*2/3,0)+IF(CA257="同属性",$FA$24*$FA$37/3,0)+IF(CA257="同年级",$FA$24*$FA$40/3,0)+IF(CA257="同学校",$FA$24*$FA$43/3,0)+IF(CA257="同小队",$FA$24*$FA$46/3,0)+IF(CA257="同type",$FA$24*INDEX($FB$49:$FB$52,MATCH(X257,$FA$49:$FA$52,))/3,0)+IF(CA257="自身",#REF!/3,0)),0)+IF(BZ257="te",CB257*(1-$FI$27)*($FA$20-1)*$FB$7/$FB$13*(+IF(CA257="全员",$FA$19*$FA$24/(1+($FA$20-1)*$FA$19),0)+IF(CA257="同作战",$FA$19*$FA$24/(1+($FA$20-1)*$FA$19),0)+IF(CA257="仲间",$FA$19*$FA$24*2/3/(1+($FA$20-1)*$FA$19),0)+IF(CA257="同属性",$FA$19*$FA$24*$FA$37/3/(1+($FA$20-1)*$FA$19),0)+IF(CA257="同年级",$FA$19*$FA$24*$FA$40/3/(1+($FA$20-1)*$FA$19),0)+IF(CA257="同学校",$FA$19*$FA$24*$FA$43/3/(1+($FA$20-1)*$FA$19),0)+IF(CA257="同小队",$FA$19*$FA$24*$FA$46/3/(1+($FA$20-1)*$FA$19),0)+IF(CA257="同type",$FA$19*$FA$24*INDEX($FB$49:$FB$52,MATCH(X257,$FA$49:$FA$52,))/3/(1+($FA$20-1)*$FA$19),0)+IF(CA257="自身",$FA$19*#REF!/3/(1+(BH257-1)*$BD257),0)),0)</f>
        <v>0</v>
      </c>
      <c r="CE257" s="1097">
        <f t="shared" si="299"/>
        <v>0</v>
      </c>
      <c r="CF257" s="1112">
        <f t="shared" si="300"/>
        <v>0</v>
      </c>
      <c r="CG257" s="1100">
        <f t="shared" si="301"/>
        <v>0</v>
      </c>
      <c r="CH257" s="1110">
        <f t="shared" si="302"/>
        <v>0</v>
      </c>
      <c r="CI257" s="1113" t="s">
        <v>288</v>
      </c>
      <c r="CJ257" s="1114">
        <v>0.05</v>
      </c>
      <c r="CK257" s="1115" t="s">
        <v>221</v>
      </c>
      <c r="CL257" s="1115" t="s">
        <v>169</v>
      </c>
      <c r="CM257" s="1119">
        <v>7.0000000000000007E-2</v>
      </c>
      <c r="CN257" s="1115">
        <v>2</v>
      </c>
      <c r="CO257" s="1092"/>
      <c r="CP257" s="1118">
        <f t="shared" si="303"/>
        <v>2.5277777777777781E-3</v>
      </c>
      <c r="CQ257" s="1118">
        <f t="shared" si="304"/>
        <v>2.3333333333333331E-3</v>
      </c>
      <c r="CR257" s="1118">
        <f t="shared" si="305"/>
        <v>1.5166666666666666E-3</v>
      </c>
      <c r="CS257" s="1118">
        <f t="shared" si="306"/>
        <v>0</v>
      </c>
      <c r="CT257" s="1109">
        <f t="shared" si="307"/>
        <v>0</v>
      </c>
      <c r="CU257" s="1101">
        <f t="shared" si="308"/>
        <v>429.66829059289557</v>
      </c>
      <c r="CV257" s="1108">
        <f t="shared" si="309"/>
        <v>18.383602387499998</v>
      </c>
      <c r="CW257" s="1097">
        <f t="shared" si="310"/>
        <v>257.80097435573731</v>
      </c>
      <c r="CX257" s="1097">
        <f t="shared" si="311"/>
        <v>429.66829059289557</v>
      </c>
      <c r="CY257" s="1110">
        <f t="shared" si="312"/>
        <v>257.80097435573731</v>
      </c>
      <c r="CZ257" s="437"/>
      <c r="DA257" s="438"/>
      <c r="DB257" s="439" t="s">
        <v>569</v>
      </c>
      <c r="DC257" s="439"/>
      <c r="DD257" s="443"/>
      <c r="DE257" s="411"/>
      <c r="DF257" s="411"/>
      <c r="DG257" s="1116">
        <f t="shared" si="313"/>
        <v>0</v>
      </c>
      <c r="DH257" s="1116">
        <f t="shared" si="314"/>
        <v>0</v>
      </c>
      <c r="DI257" s="1116">
        <f t="shared" si="315"/>
        <v>0</v>
      </c>
      <c r="DJ257" s="442">
        <f t="shared" si="316"/>
        <v>0</v>
      </c>
      <c r="DK257" s="1109">
        <f t="shared" si="317"/>
        <v>0</v>
      </c>
      <c r="DL257" s="1101">
        <f t="shared" si="318"/>
        <v>0</v>
      </c>
      <c r="DM257" s="1097">
        <f t="shared" si="319"/>
        <v>0</v>
      </c>
      <c r="DN257" s="1097">
        <f t="shared" si="320"/>
        <v>0</v>
      </c>
      <c r="DO257" s="1097">
        <f t="shared" si="321"/>
        <v>0</v>
      </c>
      <c r="DP257" s="1110">
        <f t="shared" si="322"/>
        <v>0</v>
      </c>
      <c r="DQ257" s="1113" t="s">
        <v>635</v>
      </c>
      <c r="DR257" s="1120">
        <f t="shared" si="323"/>
        <v>0.33</v>
      </c>
      <c r="DS257" s="1124"/>
      <c r="DT257" s="1093" t="s">
        <v>133</v>
      </c>
      <c r="DU257" s="1093"/>
      <c r="DV257" s="1098">
        <f>IF($P257="","N/A",IF(P257=-1,INDEX('卡片raw data'!AN:AN,MATCH(D257,'卡片raw data'!$F:$F,)),0)+IF(AND(L257&lt;&gt;"party卡",P257&lt;=2,P257&gt;=0),INDEX('卡片raw data'!AP:AP,MATCH(D257,'卡片raw data'!$F:$F,)),0)+IF(OR(AND(L257="party卡",P257&lt;=1),AND(P257&lt;=4,L257&lt;&gt;"party卡",P257&gt;=3)),INDEX('卡片raw data'!AQ:AQ,MATCH(D257,'卡片raw data'!$F:$F,)),0)+IF(OR(P257=5,AND(L257="party卡",P257&gt;=2)),INDEX('卡片raw data'!AR:AR,MATCH(D257,'卡片raw data'!$F:$F,)),0))</f>
        <v>0.32</v>
      </c>
      <c r="DW257" s="1098">
        <f t="shared" si="324"/>
        <v>0.33</v>
      </c>
      <c r="DX257" s="1098">
        <f t="shared" si="325"/>
        <v>0.33</v>
      </c>
      <c r="DY257" s="1125">
        <f t="shared" si="326"/>
        <v>766.59009240985597</v>
      </c>
      <c r="DZ257" s="1125">
        <f t="shared" si="327"/>
        <v>663.10042993452544</v>
      </c>
      <c r="EA257" s="1098">
        <f t="shared" si="328"/>
        <v>0</v>
      </c>
      <c r="EB257" s="1121">
        <f t="shared" si="329"/>
        <v>0</v>
      </c>
      <c r="EC257" s="1101">
        <f t="shared" si="330"/>
        <v>0</v>
      </c>
      <c r="ED257" s="1097">
        <f t="shared" si="331"/>
        <v>0</v>
      </c>
      <c r="EE257" s="1110">
        <f t="shared" si="332"/>
        <v>48435.03108962375</v>
      </c>
      <c r="EF257" s="1092" t="s">
        <v>711</v>
      </c>
      <c r="EG257" s="1120">
        <f t="shared" si="333"/>
        <v>0.33</v>
      </c>
      <c r="EH257" s="1124"/>
      <c r="EI257" s="1093"/>
      <c r="EJ257" s="1093"/>
      <c r="EK257" s="1097">
        <f>IF($P257="","N/A",IF(P257=-1,INDEX('卡片raw data'!AS:AS,MATCH(D257,'卡片raw data'!$F:$F,)),0)+IF(AND(L257&lt;&gt;"party卡",P257&lt;=2,P257&gt;=0),INDEX('卡片raw data'!AU:AU,MATCH(D257,'卡片raw data'!$F:$F,)),0)+IF(OR(AND(L257="party卡",P257&lt;=1),AND(P257&lt;=4,L257&lt;&gt;"party卡",P257&gt;=3)),INDEX('卡片raw data'!AV:AV,MATCH(D257,'卡片raw data'!$F:$F,)),0)+IF(OR(P257=5,AND(L257="party卡",P257&gt;=2)),INDEX('卡片raw data'!AW:AW,MATCH(D257,'卡片raw data'!$F:$F,)),0))</f>
        <v>0</v>
      </c>
      <c r="EL257" s="1098">
        <f t="shared" si="334"/>
        <v>0.33</v>
      </c>
      <c r="EM257" s="1098">
        <f t="shared" si="335"/>
        <v>0.33</v>
      </c>
      <c r="EN257" s="1125">
        <f t="shared" si="336"/>
        <v>0</v>
      </c>
      <c r="EO257" s="1125">
        <f t="shared" si="337"/>
        <v>0</v>
      </c>
      <c r="EP257" s="1098">
        <f t="shared" si="338"/>
        <v>0</v>
      </c>
      <c r="EQ257" s="1121">
        <f t="shared" si="339"/>
        <v>0</v>
      </c>
      <c r="ER257" s="1101">
        <f t="shared" si="340"/>
        <v>0</v>
      </c>
      <c r="ES257" s="1097">
        <f t="shared" si="341"/>
        <v>0</v>
      </c>
      <c r="ET257" s="1122">
        <f t="shared" si="342"/>
        <v>0</v>
      </c>
    </row>
    <row r="258" spans="2:150" ht="16.5" customHeight="1">
      <c r="B258" s="1123" t="str">
        <f>INDEX('卡片raw data'!B:B,MATCH($D258,'卡片raw data'!$F:$F,))</f>
        <v>op2鸟</v>
      </c>
      <c r="C258" s="449" t="s">
        <v>1091</v>
      </c>
      <c r="D258" s="408">
        <v>255</v>
      </c>
      <c r="E258" s="1090">
        <v>300032001</v>
      </c>
      <c r="F258" s="1090" t="str">
        <f>INDEX('卡片raw data'!C:C,MATCH($D258,'卡片raw data'!$F:$F,))</f>
        <v>SR</v>
      </c>
      <c r="G258" s="1094" t="s">
        <v>333</v>
      </c>
      <c r="H258" s="411">
        <f>IFERROR(INDEX(绊状态确认!C:C,MATCH($G258,绊状态确认!$B:$B,)),"")</f>
        <v>3</v>
      </c>
      <c r="I258" s="450" t="str">
        <f>IFERROR(INDEX(绊状态确认!D:D,MATCH($G258,绊状态确认!$B:$B,)),"")</f>
        <v>缪</v>
      </c>
      <c r="J258" s="450" t="str">
        <f>IFERROR(INDEX(绊状态确认!E:E,MATCH($G258,绊状态确认!$B:$B,)),"")</f>
        <v>2年级</v>
      </c>
      <c r="K258" s="451" t="str">
        <f>IFERROR(INDEX(绊状态确认!F:F,MATCH($G258,绊状态确认!$B:$B,)),"")</f>
        <v>Printemps</v>
      </c>
      <c r="L258" s="1094" t="str">
        <f>INDEX('卡片raw data'!E:E,MATCH($D258,'卡片raw data'!$F:$F,))</f>
        <v>卡池卡</v>
      </c>
      <c r="M258" s="415">
        <v>43997</v>
      </c>
      <c r="N258" s="416">
        <v>17.5</v>
      </c>
      <c r="O258" s="1091" t="str">
        <f>INDEX('卡片raw data'!D:D,MATCH($D258,'卡片raw data'!$F:$F,))</f>
        <v>sk</v>
      </c>
      <c r="P258" s="417">
        <v>5</v>
      </c>
      <c r="Q258" s="1095">
        <f t="shared" si="258"/>
        <v>21962.178557663752</v>
      </c>
      <c r="R258" s="1096">
        <f t="shared" si="259"/>
        <v>0.255</v>
      </c>
      <c r="S258" s="1097">
        <f t="shared" si="260"/>
        <v>15694.46806372331</v>
      </c>
      <c r="T258" s="1098">
        <f t="shared" si="261"/>
        <v>0.78400000000000003</v>
      </c>
      <c r="U258" s="1099">
        <f t="shared" si="262"/>
        <v>480.27158362690705</v>
      </c>
      <c r="V258" s="1100">
        <f t="shared" si="263"/>
        <v>73183.832843106255</v>
      </c>
      <c r="W258" s="1101">
        <f t="shared" si="264"/>
        <v>5297.5426370399546</v>
      </c>
      <c r="X258" s="1096">
        <f t="shared" si="265"/>
        <v>6.0999999999999999E-2</v>
      </c>
      <c r="Y258" s="1097">
        <f t="shared" si="266"/>
        <v>786.62319581875363</v>
      </c>
      <c r="Z258" s="1102">
        <f t="shared" si="267"/>
        <v>9.9028351003028572</v>
      </c>
      <c r="AA258" s="1103">
        <f t="shared" si="268"/>
        <v>6084.1658328587082</v>
      </c>
      <c r="AB258" s="1101">
        <f t="shared" si="269"/>
        <v>6052.1661254995388</v>
      </c>
      <c r="AC258" s="1104">
        <f t="shared" si="270"/>
        <v>7.0000000000000007E-2</v>
      </c>
      <c r="AD258" s="1105">
        <f t="shared" si="271"/>
        <v>1.8994224431818179E-2</v>
      </c>
      <c r="AE258" s="1128">
        <f t="shared" si="272"/>
        <v>4.3537577047458456</v>
      </c>
      <c r="AF258" s="1130">
        <f t="shared" si="273"/>
        <v>6271.5833136880556</v>
      </c>
      <c r="AG258" s="420">
        <f t="shared" si="274"/>
        <v>107189.82890638401</v>
      </c>
      <c r="AH258" s="420">
        <f t="shared" si="275"/>
        <v>17.091350548184003</v>
      </c>
      <c r="AI258" s="1097">
        <f t="shared" si="276"/>
        <v>96289.645132167308</v>
      </c>
      <c r="AJ258" s="420">
        <f t="shared" si="277"/>
        <v>73183.832843106255</v>
      </c>
      <c r="AK258" s="518">
        <f t="shared" si="278"/>
        <v>23105.812289061054</v>
      </c>
      <c r="AL258" s="1106">
        <f>IF($P258="","N/A",(IF($P258=-1,INDEX('卡片raw data'!S:S,MATCH($D258,'卡片raw data'!$F:$F,)),0)+IF($P258=0,INDEX('卡片raw data'!V:V,MATCH($D258,'卡片raw data'!$F:$F,)),0)+IF($P258=1,INDEX('卡片raw data'!Y:Y,MATCH($D258,'卡片raw data'!$F:$F,)),0)+IF($P258=2,INDEX('卡片raw data'!AB:AB,MATCH($D258,'卡片raw data'!$F:$F,)),0)+IF($P258=3,INDEX('卡片raw data'!AE:AE,MATCH($D258,'卡片raw data'!$F:$F,)),0)+IF($P258=4,INDEX('卡片raw data'!AH:AH,MATCH($D258,'卡片raw data'!$F:$F,)),0)+IF($P258=5,INDEX('卡片raw data'!AK:AK,MATCH($D258,'卡片raw data'!$F:$F,)),0)+INDEX('卡片raw data'!S:S,MATCH($D258,'卡片raw data'!$F:$F,))*(IF($F258="UR",0.04,0.033))*(IF($F258="UR",INDEX(绊状态确认!$S:$S,MATCH($G258,绊状态确认!$B:$B,))/2-40)+IF($F258="SR",INDEX(绊状态确认!$R:$R,MATCH($G258,绊状态确认!$B:$B,))/4-15))+IF($F258="R",INDEX(绊状态确认!$Q:$Q,MATCH($G258,绊状态确认!$B:$B,))/6-40/6)))*(INDEX(绊状态确认!$H:$H,MATCH($G258,绊状态确认!$B:$B,))+INDEX(绊状态确认!J:J,MATCH($G258,绊状态确认!$B:$B,)))</f>
        <v>6786.2603351999987</v>
      </c>
      <c r="AM258" s="1106">
        <f>IF($P258="","N/A",(IF($P258=-1,INDEX('卡片raw data'!T:T,MATCH($D258,'卡片raw data'!$F:$F,)),0)+IF($P258=0,INDEX('卡片raw data'!W:W,MATCH($D258,'卡片raw data'!$F:$F,)),0)+IF($P258=1,INDEX('卡片raw data'!Z:Z,MATCH($D258,'卡片raw data'!$F:$F,)),0)+IF($P258=2,INDEX('卡片raw data'!AC:AC,MATCH($D258,'卡片raw data'!$F:$F,)),0)+IF($P258=3,INDEX('卡片raw data'!AF:AF,MATCH($D258,'卡片raw data'!$F:$F,)),0)+IF($P258=4,INDEX('卡片raw data'!AI:AI,MATCH($D258,'卡片raw data'!$F:$F,)),0)+IF($P258=5,INDEX('卡片raw data'!AL:AL,MATCH($D258,'卡片raw data'!$F:$F,)),0)+INDEX('卡片raw data'!T:T,MATCH($D258,'卡片raw data'!$F:$F,))*(IF($F258="UR",0.04,0.033))*(IF($F258="UR",INDEX(绊状态确认!$S:$S,MATCH($G258,绊状态确认!$B:$B,))/2-40)+IF($F258="SR",INDEX(绊状态确认!$R:$R,MATCH($G258,绊状态确认!$B:$B,))/4-15))+IF($F258="R",INDEX(绊状态确认!$Q:$Q,MATCH($G258,绊状态确认!$B:$B,))/6-40/6)))*(INDEX(绊状态确认!$H:$H,MATCH($G258,绊状态确认!$B:$B,))+INDEX(绊状态确认!K:K,MATCH($G258,绊状态确认!$B:$B,)))</f>
        <v>4790.2169183999995</v>
      </c>
      <c r="AN258" s="1106">
        <f>IF($P258="","N/A",(IF($P258=-1,INDEX('卡片raw data'!U:U,MATCH($D258,'卡片raw data'!$F:$F,)),0)+IF($P258=0,INDEX('卡片raw data'!X:X,MATCH($D258,'卡片raw data'!$F:$F,)),0)+IF($P258=1,INDEX('卡片raw data'!AA:AA,MATCH($D258,'卡片raw data'!$F:$F,)),0)+IF($P258=2,INDEX('卡片raw data'!AD:AD,MATCH($D258,'卡片raw data'!$F:$F,)),0)+IF($P258=3,INDEX('卡片raw data'!AG:AG,MATCH($D258,'卡片raw data'!$F:$F,)),0)+IF($P258=4,INDEX('卡片raw data'!AJ:AJ,MATCH($D258,'卡片raw data'!$F:$F,)),0)+IF($P258=5,INDEX('卡片raw data'!AM:AM,MATCH($D258,'卡片raw data'!$F:$F,)),0)+INDEX('卡片raw data'!U:U,MATCH($D258,'卡片raw data'!$F:$F,))*(IF($F258="UR",0.04,0.033))*(IF($F258="UR",INDEX(绊状态确认!$S:$S,MATCH($G258,绊状态确认!$B:$B,))/2-40)+IF($F258="SR",INDEX(绊状态确认!$R:$R,MATCH($G258,绊状态确认!$B:$B,))/4-15))+IF($F258="R",INDEX(绊状态确认!$Q:$Q,MATCH($G258,绊状态确认!$B:$B,))/6-40/6)))*(INDEX(绊状态确认!$H:$H,MATCH($G258,绊状态确认!$B:$B,))+INDEX(绊状态确认!L:L,MATCH($G258,绊状态确认!$B:$B,)))</f>
        <v>8384.9433095999993</v>
      </c>
      <c r="AO258" s="1107">
        <f t="shared" si="279"/>
        <v>1</v>
      </c>
      <c r="AP258" s="1131">
        <f>1+(INDEX(绊状态确认!$T:$T,MATCH($G258,绊状态确认!$B:$B,))+0.2)*$AO258</f>
        <v>1.3</v>
      </c>
      <c r="AQ258" s="1108">
        <f t="shared" si="280"/>
        <v>21063.933379900001</v>
      </c>
      <c r="AR258" s="1097">
        <f>(AM258*(1+$EX$9)+$EX$35)*(1+(INDEX(绊状态确认!$T:$T,MATCH($G258,绊状态确认!$B:$B,))+0.2)*AO258)*IF(J258=$FF$17,1+$FE$17,1)*IF(I258=$FF$14,1+$FE$14,1)</f>
        <v>9242.6460936160001</v>
      </c>
      <c r="AS258" s="1097">
        <f>(AN258*(1+$EX$10)+$EX$36)*(1+(INDEX(绊状态确认!$T:$T,MATCH($G258,绊状态确认!$B:$B,))+0.2)*AO258)*IF(J258=$FF$17,1+$FE$17,1)*IF(I258=$FF$14,1+$FE$14,1)</f>
        <v>16591.490247851998</v>
      </c>
      <c r="AT258" s="1093">
        <f>IF(AND(INDEX('卡片raw data'!AK:AK,MATCH($D258,'卡片raw data'!$F:$F,))&lt;INDEX('卡片raw data'!AM:AM,MATCH($D258,'卡片raw data'!$F:$F,)),INDEX('卡片raw data'!AL:AL,MATCH($D258,'卡片raw data'!$F:$F,))&lt;INDEX('卡片raw data'!AM:AM,MATCH($D258,'卡片raw data'!$F:$F,))),1,0)</f>
        <v>1</v>
      </c>
      <c r="AU258" s="1098">
        <f>MIN(AT258*0.15+AS258*0.00003+INDEX(绊状态确认!M:M,MATCH($G258,绊状态确认!$B:$B,)),1)</f>
        <v>0.67774470743555992</v>
      </c>
      <c r="AV258" s="1109">
        <f>(INDEX(绊状态确认!$N:$N,MATCH($G258,绊状态确认!$B:$B,))+1.5)*$EW$21</f>
        <v>2.6599999999999997</v>
      </c>
      <c r="AW258" s="1101">
        <f t="shared" si="281"/>
        <v>23247.018400467485</v>
      </c>
      <c r="AX258" s="1097">
        <f t="shared" si="282"/>
        <v>786.62319581875386</v>
      </c>
      <c r="AY258" s="1110">
        <f t="shared" si="283"/>
        <v>24033.641596286237</v>
      </c>
      <c r="AZ258" s="429">
        <f t="shared" si="284"/>
        <v>15833.207653639996</v>
      </c>
      <c r="BA258" s="431">
        <f t="shared" si="285"/>
        <v>18999.849184367995</v>
      </c>
      <c r="BB258" s="1097">
        <f>(AM258*(1+$FB$9)+$FB$35)*(1+(INDEX(绊状态确认!$T:$T,MATCH($G258,绊状态确认!$B:$B,))+0.2)*AO258)*IF(J258=$FF$17,1+$FE$17,1)*IF(I258=$FF$14,1+$FE$14,1)*(1+$FE$15)</f>
        <v>9242.6460936160001</v>
      </c>
      <c r="BC258" s="1097">
        <f>(AN258*(1+$FB$10)+$FB$36)*(1+(INDEX(绊状态确认!$T:$T,MATCH($G258,绊状态确认!$B:$B,))+0.2)*AO258)*IF(J258=$FF$17,1+$FE$17,1)*IF(I258=$FF$14,1+$FE$14,1)*(1+$FE$15)</f>
        <v>16591.490247851998</v>
      </c>
      <c r="BD258" s="1104">
        <f>MIN(AT258*0.15+BC258*0.00003+INDEX(绊状态确认!M:M,MATCH($G258,绊状态确认!$B:$B,)),1)</f>
        <v>0.67774470743555992</v>
      </c>
      <c r="BE258" s="432">
        <f>(INDEX(绊状态确认!$N:$N,MATCH($G258,绊状态确认!$B:$B,))+1.5)</f>
        <v>1.9</v>
      </c>
      <c r="BF258" s="1139">
        <f t="array" ref="BF258">SUMPRODUCT(IF(AZ258*AP258*$FI$16:$FI$23*$FA$22&gt;=$FI$24,$FI$24,AZ258*AP258*$FI$16:$FI$23*$FA$22),$FJ$16:$FJ$23)</f>
        <v>31492.25002308996</v>
      </c>
      <c r="BG258" s="1125">
        <f t="array" ref="BG258">SUMPRODUCT(IF(BE258*AZ258*AP258*$FI$16:$FI$23*$FA$22&gt;=$FI$24,$FI$24,BE258*AZ258*AP258*$FI$16:$FI$23*$FA$22),$FJ$16:$FJ$23)</f>
        <v>56459.659010727359</v>
      </c>
      <c r="BH258" s="1110">
        <f t="shared" si="286"/>
        <v>16137.926440946745</v>
      </c>
      <c r="BI258" s="1111">
        <f>IF(O258="vo",$EW$26/$EW$24*0.05,0)+IF(O258="sk",-$EW$26/$EW$24*(0.05-INDEX(绊状态确认!W:W,MATCH($G258,绊状态确认!$B:$B,)))+0.05*$EW$28,0)+IF(O258="sp",0.05*$EW$32*$EW$30*(1-$EW$33)-(0.05-INDEX(绊状态确认!V:V,MATCH($G258,绊状态确认!$B:$B,)))*$EW$28,0)+IF(O258="gd",-(0.05-INDEX(绊状态确认!X:X,MATCH($G258,绊状态确认!$B:$B,)))*$EW$32*$EW$30*(1-$EW$33),0)</f>
        <v>-6253.6726349699375</v>
      </c>
      <c r="BJ258" s="1097">
        <f>IF(O258="vo",0.05*(1-$FI$26)*$FA$24,0)+IF(O258="sk",-(0.05-INDEX(绊状态确认!W:W,MATCH($G258,绊状态确认!$B:$B,)))*(1-$FI$26)*$FA$24+0.05*$FA$26,0)+IF(O258="sp",0.05*$FA$32*$FA$27*(1-$FA$33)/$FA$30+0.05*$FA$29/$FA$69*$FA$27*(1-$FA$33)-(0.05-INDEX(绊状态确认!V:V,MATCH($G258,绊状态确认!$B:$B,)))*$FA$26,0)+IF(O258="gd",-(0.05-INDEX(绊状态确认!X:X,MATCH($G258,绊状态确认!$B:$B,)))*$FA$32*$FA$27*(1-$FA$33)/$FA$30-(0.05-INDEX(绊状态确认!X:X,MATCH($G258,绊状态确认!$B:$B,)))*$FA$29/$FA$69*$FA$27*(1-$FA$33),0)</f>
        <v>20.459096812499922</v>
      </c>
      <c r="BK258" s="1110">
        <f>IF(O258="vo",$EW$26/$EW$24*0.05+$EW$26*(-HP($EW$62,$EW$65,$EW$64)+HP($EW$62,$EW$65,(1.05-INDEX(绊状态确认!U:U,MATCH($G258,绊状态确认!$B:$B,)))*$EW$64)),0)+IF(O258="sk",-$EW$26/$EW$24*(0.05-INDEX(绊状态确认!W:W,MATCH($G258,绊状态确认!$B:$B,)))+0.05*$EW$29,0)+IF(O258="sp",0.05*$EW$32*$EW$30*(1-$EW$33)-(0.05-INDEX(绊状态确认!V:V,MATCH($G258,绊状态确认!$B:$B,)))*$EW$29,0)+IF(O258="gd",-(0.05-INDEX(绊状态确认!X:X,MATCH($G258,绊状态确认!$B:$B,)))*$EW$32*$EW$30*(1-$EW$33)+$EW$26*(-HP($EW$62,$EW$65,$EW$64)+HP($EW$62,$EW$65,0.95*$EW$64)),0)</f>
        <v>-4253.6726349699375</v>
      </c>
      <c r="BL258" s="1111">
        <f t="shared" si="287"/>
        <v>-1083.3333333333333</v>
      </c>
      <c r="BM258" s="1110">
        <f t="shared" si="288"/>
        <v>-830.55555555555543</v>
      </c>
      <c r="BN258" s="1113">
        <f t="shared" si="289"/>
        <v>3</v>
      </c>
      <c r="BO258" s="1097">
        <f t="shared" si="290"/>
        <v>4507.7214871259994</v>
      </c>
      <c r="BP258" s="1100">
        <f t="shared" si="291"/>
        <v>221.34103209030098</v>
      </c>
      <c r="BQ258" s="1113" t="s">
        <v>145</v>
      </c>
      <c r="BR258" s="1124" t="s">
        <v>171</v>
      </c>
      <c r="BS258" s="1098">
        <f>IF($P258="","N/A",IF($P258=-1,INDEX('卡片raw data'!AX:AX,MATCH($D258,'卡片raw data'!$F:$F,)),0)+IF($L258="party卡",IF($P258=5,INDEX('卡片raw data'!BD:BD,MATCH($D258,'卡片raw data'!$F:$F,)),IF($P258&gt;=3,INDEX('卡片raw data'!BC:BC,MATCH($D258,'卡片raw data'!$F:$F,)),INDEX('卡片raw data'!BB:BB,MATCH($D258,'卡片raw data'!$F:$F,)))),IF(OR(AND($F258="UR",$P258=0),AND($F258="SR",$P258&gt;=0,$P258&lt;=2),AND($F258="R",$P258&gt;=0,$P258&lt;4)),INDEX('卡片raw data'!AZ:AZ,MATCH($D258,'卡片raw data'!$F:$F,)),0)+IF(OR(AND($F258="UR",$P258&gt;=1,$P258&lt;=4),AND($F258="SR",$P258&lt;=4,$P258&gt;=3),AND($F258="R",$P258=4)),INDEX('卡片raw data'!BA:BA,MATCH($D258,'卡片raw data'!$F:$F,)),0)+IF($P258=5,INDEX('卡片raw data'!BB:BB,MATCH($D258,'卡片raw data'!$F:$F,)),0)))</f>
        <v>3.2000000000000001E-2</v>
      </c>
      <c r="BT258" s="1101">
        <f t="shared" si="292"/>
        <v>1509.2469769191675</v>
      </c>
      <c r="BU258" s="1097">
        <f t="shared" si="293"/>
        <v>95.522578685765595</v>
      </c>
      <c r="BV258" s="1097">
        <f t="shared" si="294"/>
        <v>754.62348845958354</v>
      </c>
      <c r="BW258" s="1112">
        <f t="shared" si="295"/>
        <v>0</v>
      </c>
      <c r="BX258" s="1100">
        <f t="shared" si="296"/>
        <v>1509.2469769191675</v>
      </c>
      <c r="BY258" s="1110">
        <f t="shared" si="297"/>
        <v>754.62348845958354</v>
      </c>
      <c r="BZ258" s="1107" t="s">
        <v>569</v>
      </c>
      <c r="CA258" s="1124"/>
      <c r="CB258" s="1098">
        <f>IF($P258="","N/A",IF($P258=-1,INDEX('卡片raw data'!BE:BE,MATCH($D258,'卡片raw data'!$F:$F,)),0)+IF($L258="party卡",IF($P258=5,INDEX('卡片raw data'!BK:BK,MATCH($D258,'卡片raw data'!$F:$F,)),IF($P258&gt;=3,INDEX('卡片raw data'!BJ:BJ,MATCH($D258,'卡片raw data'!$F:$F,)),INDEX('卡片raw data'!BI:BI,MATCH($D258,'卡片raw data'!$F:$F,)))),IF(OR(AND($F258="UR",$P258=0),AND($F258="SR",$P258&gt;=0,$P258&lt;=2),AND($F258="R",$P258&gt;=0,$P258&lt;4)),INDEX('卡片raw data'!BG:BG,MATCH($D258,'卡片raw data'!$F:$F,)),0)+IF(OR(AND($F258="UR",$P258&gt;=1,$P258&lt;=4),AND($F258="SR",$P258&lt;=4,$P258&gt;=3),AND($F258="R",$P258=4)),INDEX('卡片raw data'!BH:BH,MATCH($D258,'卡片raw data'!$F:$F,)),0)+IF($P258=5,INDEX('卡片raw data'!BI:BI,MATCH($D258,'卡片raw data'!$F:$F,)),0)))</f>
        <v>0</v>
      </c>
      <c r="CC258" s="1101">
        <f t="shared" si="298"/>
        <v>0</v>
      </c>
      <c r="CD258" s="1097">
        <f>IF(BZ258="ap",CB258*(1-$FI$26)*$FB$5/$FB$11*(+IF(CA258="全员",$FA$24,0)+IF(CA258="同作战",$FA$24,0)+IF(CA258="仲间",$FA$24*2/3,0)+IF(CA258="同属性",$FA$24*$FA$37/3,0)+IF(CA258="同年级",$FA$24*$FA$40/3,0)+IF(CA258="同学校",$FA$24*$FA$43/3,0)+IF(CA258="同小队",$FA$24*$FA$46/3,0)+IF(CA258="同type",$FA$24*INDEX($FB$49:$FB$52,MATCH(X258,$FA$49:$FA$52,))/3,0)+IF(CA258="自身",#REF!/3,0)),0)+IF(BZ258="te",CB258*(1-$FI$27)*($FA$20-1)*$FB$7/$FB$13*(+IF(CA258="全员",$FA$19*$FA$24/(1+($FA$20-1)*$FA$19),0)+IF(CA258="同作战",$FA$19*$FA$24/(1+($FA$20-1)*$FA$19),0)+IF(CA258="仲间",$FA$19*$FA$24*2/3/(1+($FA$20-1)*$FA$19),0)+IF(CA258="同属性",$FA$19*$FA$24*$FA$37/3/(1+($FA$20-1)*$FA$19),0)+IF(CA258="同年级",$FA$19*$FA$24*$FA$40/3/(1+($FA$20-1)*$FA$19),0)+IF(CA258="同学校",$FA$19*$FA$24*$FA$43/3/(1+($FA$20-1)*$FA$19),0)+IF(CA258="同小队",$FA$19*$FA$24*$FA$46/3/(1+($FA$20-1)*$FA$19),0)+IF(CA258="同type",$FA$19*$FA$24*INDEX($FB$49:$FB$52,MATCH(X258,$FA$49:$FA$52,))/3/(1+($FA$20-1)*$FA$19),0)+IF(CA258="自身",$FA$19*#REF!/3/(1+(BH258-1)*$BD258),0)),0)</f>
        <v>0</v>
      </c>
      <c r="CE258" s="1097">
        <f t="shared" si="299"/>
        <v>0</v>
      </c>
      <c r="CF258" s="1112">
        <f t="shared" si="300"/>
        <v>0</v>
      </c>
      <c r="CG258" s="1100">
        <f t="shared" si="301"/>
        <v>0</v>
      </c>
      <c r="CH258" s="1110">
        <f t="shared" si="302"/>
        <v>0</v>
      </c>
      <c r="CI258" s="1113" t="s">
        <v>164</v>
      </c>
      <c r="CJ258" s="1114">
        <v>0.3</v>
      </c>
      <c r="CK258" s="1115" t="s">
        <v>152</v>
      </c>
      <c r="CL258" s="1115" t="s">
        <v>1941</v>
      </c>
      <c r="CM258" s="1119">
        <v>0.3</v>
      </c>
      <c r="CN258" s="1115"/>
      <c r="CO258" s="1092"/>
      <c r="CP258" s="1116">
        <f t="shared" si="303"/>
        <v>31.997874049428848</v>
      </c>
      <c r="CQ258" s="1116">
        <f t="shared" si="304"/>
        <v>49.774470743555987</v>
      </c>
      <c r="CR258" s="1116">
        <f t="shared" si="305"/>
        <v>31.997874049428848</v>
      </c>
      <c r="CS258" s="1118">
        <f t="shared" si="306"/>
        <v>0</v>
      </c>
      <c r="CT258" s="1109">
        <f t="shared" si="307"/>
        <v>0</v>
      </c>
      <c r="CU258" s="1101">
        <f t="shared" si="308"/>
        <v>35.197661454371733</v>
      </c>
      <c r="CV258" s="1108">
        <f t="shared" si="309"/>
        <v>49.774470743555987</v>
      </c>
      <c r="CW258" s="1097">
        <f t="shared" si="310"/>
        <v>35.197661454371733</v>
      </c>
      <c r="CX258" s="1097">
        <f t="shared" si="311"/>
        <v>35.197661454371733</v>
      </c>
      <c r="CY258" s="1110">
        <f t="shared" si="312"/>
        <v>35.197661454371733</v>
      </c>
      <c r="CZ258" s="437"/>
      <c r="DA258" s="438"/>
      <c r="DB258" s="439" t="s">
        <v>569</v>
      </c>
      <c r="DC258" s="439"/>
      <c r="DD258" s="443"/>
      <c r="DE258" s="411"/>
      <c r="DF258" s="411"/>
      <c r="DG258" s="1116">
        <f t="shared" si="313"/>
        <v>0</v>
      </c>
      <c r="DH258" s="1116">
        <f t="shared" si="314"/>
        <v>0</v>
      </c>
      <c r="DI258" s="1116">
        <f t="shared" si="315"/>
        <v>0</v>
      </c>
      <c r="DJ258" s="442">
        <f t="shared" si="316"/>
        <v>0</v>
      </c>
      <c r="DK258" s="1109">
        <f t="shared" si="317"/>
        <v>0</v>
      </c>
      <c r="DL258" s="1101">
        <f t="shared" si="318"/>
        <v>0</v>
      </c>
      <c r="DM258" s="1097">
        <f t="shared" si="319"/>
        <v>0</v>
      </c>
      <c r="DN258" s="1097">
        <f t="shared" si="320"/>
        <v>0</v>
      </c>
      <c r="DO258" s="1097">
        <f t="shared" si="321"/>
        <v>0</v>
      </c>
      <c r="DP258" s="1110">
        <f t="shared" si="322"/>
        <v>0</v>
      </c>
      <c r="DQ258" s="1113" t="s">
        <v>636</v>
      </c>
      <c r="DR258" s="1120">
        <f t="shared" si="323"/>
        <v>0.3</v>
      </c>
      <c r="DS258" s="1124"/>
      <c r="DT258" s="1093" t="s">
        <v>567</v>
      </c>
      <c r="DU258" s="1093"/>
      <c r="DV258" s="1098">
        <f>IF($P258="","N/A",IF(P258=-1,INDEX('卡片raw data'!AN:AN,MATCH(D258,'卡片raw data'!$F:$F,)),0)+IF(AND(L258&lt;&gt;"party卡",P258&lt;=2,P258&gt;=0),INDEX('卡片raw data'!AP:AP,MATCH(D258,'卡片raw data'!$F:$F,)),0)+IF(OR(AND(L258="party卡",P258&lt;=1),AND(P258&lt;=4,L258&lt;&gt;"party卡",P258&gt;=3)),INDEX('卡片raw data'!AQ:AQ,MATCH(D258,'卡片raw data'!$F:$F,)),0)+IF(OR(P258=5,AND(L258="party卡",P258&gt;=2)),INDEX('卡片raw data'!AR:AR,MATCH(D258,'卡片raw data'!$F:$F,)),0))</f>
        <v>0.27</v>
      </c>
      <c r="DW258" s="1098">
        <f t="shared" si="324"/>
        <v>0.3</v>
      </c>
      <c r="DX258" s="1098">
        <f t="shared" si="325"/>
        <v>0.3</v>
      </c>
      <c r="DY258" s="1125">
        <f t="shared" si="326"/>
        <v>447.97023669200394</v>
      </c>
      <c r="DZ258" s="1125">
        <f t="shared" si="327"/>
        <v>387.49425473858338</v>
      </c>
      <c r="EA258" s="1098">
        <f t="shared" si="328"/>
        <v>0</v>
      </c>
      <c r="EB258" s="1121">
        <f t="shared" si="329"/>
        <v>0</v>
      </c>
      <c r="EC258" s="1101">
        <f t="shared" si="330"/>
        <v>0</v>
      </c>
      <c r="ED258" s="1097">
        <f t="shared" si="331"/>
        <v>0</v>
      </c>
      <c r="EE258" s="1110">
        <f t="shared" si="332"/>
        <v>48435.03108962375</v>
      </c>
      <c r="EF258" s="1092" t="s">
        <v>711</v>
      </c>
      <c r="EG258" s="1120">
        <f t="shared" si="333"/>
        <v>0.3</v>
      </c>
      <c r="EH258" s="1124"/>
      <c r="EI258" s="1093"/>
      <c r="EJ258" s="1093"/>
      <c r="EK258" s="1097">
        <f>IF($P258="","N/A",IF(P258=-1,INDEX('卡片raw data'!AS:AS,MATCH(D258,'卡片raw data'!$F:$F,)),0)+IF(AND(L258&lt;&gt;"party卡",P258&lt;=2,P258&gt;=0),INDEX('卡片raw data'!AU:AU,MATCH(D258,'卡片raw data'!$F:$F,)),0)+IF(OR(AND(L258="party卡",P258&lt;=1),AND(P258&lt;=4,L258&lt;&gt;"party卡",P258&gt;=3)),INDEX('卡片raw data'!AV:AV,MATCH(D258,'卡片raw data'!$F:$F,)),0)+IF(OR(P258=5,AND(L258="party卡",P258&gt;=2)),INDEX('卡片raw data'!AW:AW,MATCH(D258,'卡片raw data'!$F:$F,)),0))</f>
        <v>0</v>
      </c>
      <c r="EL258" s="1098">
        <f t="shared" si="334"/>
        <v>0.3</v>
      </c>
      <c r="EM258" s="1098">
        <f t="shared" si="335"/>
        <v>0.3</v>
      </c>
      <c r="EN258" s="1125">
        <f t="shared" si="336"/>
        <v>0</v>
      </c>
      <c r="EO258" s="1125">
        <f t="shared" si="337"/>
        <v>0</v>
      </c>
      <c r="EP258" s="1098">
        <f t="shared" si="338"/>
        <v>0</v>
      </c>
      <c r="EQ258" s="1121">
        <f t="shared" si="339"/>
        <v>0</v>
      </c>
      <c r="ER258" s="1101">
        <f t="shared" si="340"/>
        <v>0</v>
      </c>
      <c r="ES258" s="1097">
        <f t="shared" si="341"/>
        <v>0</v>
      </c>
      <c r="ET258" s="1122">
        <f t="shared" si="342"/>
        <v>0</v>
      </c>
    </row>
    <row r="259" spans="2:150" ht="16.5" customHeight="1">
      <c r="B259" s="1123" t="str">
        <f>INDEX('卡片raw data'!B:B,MATCH($D259,'卡片raw data'!$F:$F,))</f>
        <v>梅雨希</v>
      </c>
      <c r="C259" s="449" t="s">
        <v>123</v>
      </c>
      <c r="D259" s="408">
        <v>256</v>
      </c>
      <c r="E259" s="1090">
        <v>400073002</v>
      </c>
      <c r="F259" s="1090" t="str">
        <f>INDEX('卡片raw data'!C:C,MATCH($D259,'卡片raw data'!$F:$F,))</f>
        <v>UR</v>
      </c>
      <c r="G259" s="1094" t="s">
        <v>30</v>
      </c>
      <c r="H259" s="411">
        <f>IFERROR(INDEX(绊状态确认!C:C,MATCH($G259,绊状态确认!$B:$B,)),"")</f>
        <v>7</v>
      </c>
      <c r="I259" s="450" t="str">
        <f>IFERROR(INDEX(绊状态确认!D:D,MATCH($G259,绊状态确认!$B:$B,)),"")</f>
        <v>缪</v>
      </c>
      <c r="J259" s="450" t="str">
        <f>IFERROR(INDEX(绊状态确认!E:E,MATCH($G259,绊状态确认!$B:$B,)),"")</f>
        <v>3年级</v>
      </c>
      <c r="K259" s="451" t="str">
        <f>IFERROR(INDEX(绊状态确认!F:F,MATCH($G259,绊状态确认!$B:$B,)),"")</f>
        <v>lilywhite</v>
      </c>
      <c r="L259" s="1094" t="str">
        <f>INDEX('卡片raw data'!E:E,MATCH($D259,'卡片raw data'!$F:$F,))</f>
        <v>卡池卡</v>
      </c>
      <c r="M259" s="415">
        <v>44004</v>
      </c>
      <c r="N259" s="416">
        <v>18</v>
      </c>
      <c r="O259" s="1091" t="str">
        <f>INDEX('卡片raw data'!D:D,MATCH($D259,'卡片raw data'!$F:$F,))</f>
        <v>gd</v>
      </c>
      <c r="P259" s="417">
        <v>5</v>
      </c>
      <c r="Q259" s="1095">
        <f t="shared" si="258"/>
        <v>33456.820383776147</v>
      </c>
      <c r="R259" s="1096">
        <f t="shared" si="259"/>
        <v>0.38800000000000001</v>
      </c>
      <c r="S259" s="1097">
        <f t="shared" si="260"/>
        <v>17153.735323504789</v>
      </c>
      <c r="T259" s="1098">
        <f t="shared" si="261"/>
        <v>0.85699999999999998</v>
      </c>
      <c r="U259" s="1099">
        <f t="shared" si="262"/>
        <v>817.35851486551314</v>
      </c>
      <c r="V259" s="1100">
        <f t="shared" si="263"/>
        <v>85582.661221705348</v>
      </c>
      <c r="W259" s="1101">
        <f t="shared" si="264"/>
        <v>4585.5782933863757</v>
      </c>
      <c r="X259" s="1096">
        <f t="shared" si="265"/>
        <v>5.2999999999999999E-2</v>
      </c>
      <c r="Y259" s="1097">
        <f t="shared" si="266"/>
        <v>2096.214975787846</v>
      </c>
      <c r="Z259" s="1102">
        <f t="shared" si="267"/>
        <v>25.768422455657142</v>
      </c>
      <c r="AA259" s="1103">
        <f t="shared" si="268"/>
        <v>6681.7932691742217</v>
      </c>
      <c r="AB259" s="1101">
        <f t="shared" si="269"/>
        <v>4585.5782933863757</v>
      </c>
      <c r="AC259" s="1104">
        <f t="shared" si="270"/>
        <v>5.2999999999999999E-2</v>
      </c>
      <c r="AD259" s="1105">
        <f t="shared" si="271"/>
        <v>0</v>
      </c>
      <c r="AE259" s="1128">
        <f t="shared" si="272"/>
        <v>-6.25</v>
      </c>
      <c r="AF259" s="1130">
        <f t="shared" si="273"/>
        <v>10845.507557389439</v>
      </c>
      <c r="AG259" s="420">
        <f t="shared" si="274"/>
        <v>92381.94737472001</v>
      </c>
      <c r="AH259" s="420">
        <f t="shared" si="275"/>
        <v>8.5179920705303296</v>
      </c>
      <c r="AI259" s="1097">
        <f t="shared" si="276"/>
        <v>112428.74399378114</v>
      </c>
      <c r="AJ259" s="420">
        <f t="shared" si="277"/>
        <v>85582.661221705348</v>
      </c>
      <c r="AK259" s="518">
        <f t="shared" si="278"/>
        <v>26846.082772075795</v>
      </c>
      <c r="AL259" s="1106">
        <f>IF($P259="","N/A",(IF($P259=-1,INDEX('卡片raw data'!S:S,MATCH($D259,'卡片raw data'!$F:$F,)),0)+IF($P259=0,INDEX('卡片raw data'!V:V,MATCH($D259,'卡片raw data'!$F:$F,)),0)+IF($P259=1,INDEX('卡片raw data'!Y:Y,MATCH($D259,'卡片raw data'!$F:$F,)),0)+IF($P259=2,INDEX('卡片raw data'!AB:AB,MATCH($D259,'卡片raw data'!$F:$F,)),0)+IF($P259=3,INDEX('卡片raw data'!AE:AE,MATCH($D259,'卡片raw data'!$F:$F,)),0)+IF($P259=4,INDEX('卡片raw data'!AH:AH,MATCH($D259,'卡片raw data'!$F:$F,)),0)+IF($P259=5,INDEX('卡片raw data'!AK:AK,MATCH($D259,'卡片raw data'!$F:$F,)),0)+INDEX('卡片raw data'!S:S,MATCH($D259,'卡片raw data'!$F:$F,))*(IF($F259="UR",0.04,0.033))*(IF($F259="UR",INDEX(绊状态确认!$S:$S,MATCH($G259,绊状态确认!$B:$B,))/2-40)+IF($F259="SR",INDEX(绊状态确认!$R:$R,MATCH($G259,绊状态确认!$B:$B,))/4-15))+IF($F259="R",INDEX(绊状态确认!$Q:$Q,MATCH($G259,绊状态确认!$B:$B,))/6-40/6)))*(INDEX(绊状态确认!$H:$H,MATCH($G259,绊状态确认!$B:$B,))+INDEX(绊状态确认!J:J,MATCH($G259,绊状态确认!$B:$B,)))</f>
        <v>10400.332799999998</v>
      </c>
      <c r="AM259" s="1106">
        <f>IF($P259="","N/A",(IF($P259=-1,INDEX('卡片raw data'!T:T,MATCH($D259,'卡片raw data'!$F:$F,)),0)+IF($P259=0,INDEX('卡片raw data'!W:W,MATCH($D259,'卡片raw data'!$F:$F,)),0)+IF($P259=1,INDEX('卡片raw data'!Z:Z,MATCH($D259,'卡片raw data'!$F:$F,)),0)+IF($P259=2,INDEX('卡片raw data'!AC:AC,MATCH($D259,'卡片raw data'!$F:$F,)),0)+IF($P259=3,INDEX('卡片raw data'!AF:AF,MATCH($D259,'卡片raw data'!$F:$F,)),0)+IF($P259=4,INDEX('卡片raw data'!AI:AI,MATCH($D259,'卡片raw data'!$F:$F,)),0)+IF($P259=5,INDEX('卡片raw data'!AL:AL,MATCH($D259,'卡片raw data'!$F:$F,)),0)+INDEX('卡片raw data'!T:T,MATCH($D259,'卡片raw data'!$F:$F,))*(IF($F259="UR",0.04,0.033))*(IF($F259="UR",INDEX(绊状态确认!$S:$S,MATCH($G259,绊状态确认!$B:$B,))/2-40)+IF($F259="SR",INDEX(绊状态确认!$R:$R,MATCH($G259,绊状态确认!$B:$B,))/4-15))+IF($F259="R",INDEX(绊状态确认!$Q:$Q,MATCH($G259,绊状态确认!$B:$B,))/6-40/6)))*(INDEX(绊状态确认!$H:$H,MATCH($G259,绊状态确认!$B:$B,))+INDEX(绊状态确认!K:K,MATCH($G259,绊状态确认!$B:$B,)))</f>
        <v>13973.719871999998</v>
      </c>
      <c r="AN259" s="1106">
        <f>IF($P259="","N/A",(IF($P259=-1,INDEX('卡片raw data'!U:U,MATCH($D259,'卡片raw data'!$F:$F,)),0)+IF($P259=0,INDEX('卡片raw data'!X:X,MATCH($D259,'卡片raw data'!$F:$F,)),0)+IF($P259=1,INDEX('卡片raw data'!AA:AA,MATCH($D259,'卡片raw data'!$F:$F,)),0)+IF($P259=2,INDEX('卡片raw data'!AD:AD,MATCH($D259,'卡片raw data'!$F:$F,)),0)+IF($P259=3,INDEX('卡片raw data'!AG:AG,MATCH($D259,'卡片raw data'!$F:$F,)),0)+IF($P259=4,INDEX('卡片raw data'!AJ:AJ,MATCH($D259,'卡片raw data'!$F:$F,)),0)+IF($P259=5,INDEX('卡片raw data'!AM:AM,MATCH($D259,'卡片raw data'!$F:$F,)),0)+INDEX('卡片raw data'!U:U,MATCH($D259,'卡片raw data'!$F:$F,))*(IF($F259="UR",0.04,0.033))*(IF($F259="UR",INDEX(绊状态确认!$S:$S,MATCH($G259,绊状态确认!$B:$B,))/2-40)+IF($F259="SR",INDEX(绊状态确认!$R:$R,MATCH($G259,绊状态确认!$B:$B,))/4-15))+IF($F259="R",INDEX(绊状态确认!$Q:$Q,MATCH($G259,绊状态确认!$B:$B,))/6-40/6)))*(INDEX(绊状态确认!$H:$H,MATCH($G259,绊状态确认!$B:$B,))+INDEX(绊状态确认!L:L,MATCH($G259,绊状态确认!$B:$B,)))</f>
        <v>8122.3508159999983</v>
      </c>
      <c r="AO259" s="1107">
        <f t="shared" si="279"/>
        <v>1</v>
      </c>
      <c r="AP259" s="1131">
        <f>1+(INDEX(绊状态确认!$T:$T,MATCH($G259,绊状态确认!$B:$B,))+0.2)*$AO259</f>
        <v>1.3</v>
      </c>
      <c r="AQ259" s="1108">
        <f t="shared" si="280"/>
        <v>30550.873599999995</v>
      </c>
      <c r="AR259" s="1097">
        <f>(AM259*(1+$EX$9)+$EX$35)*(1+(INDEX(绊状态确认!$T:$T,MATCH($G259,绊状态确认!$B:$B,))+0.2)*AO259)*IF(J259=$FF$17,1+$FE$17,1)*IF(I259=$FF$14,1+$FE$14,1)*(1+$FE$15)</f>
        <v>21778.127625279998</v>
      </c>
      <c r="AS259" s="1097">
        <f>(AN259*(1+$EX$10)+$EX$36)*(1+(INDEX(绊状态确认!$T:$T,MATCH($G259,绊状态确认!$B:$B,))+0.2)*AO259)*IF(J259=$FF$17,1+$FE$17,1)*IF(I259=$FF$14,1+$FE$14,1)*(1+$FE$15)</f>
        <v>16198.914469919999</v>
      </c>
      <c r="AT259" s="1093">
        <f>IF(AND(INDEX('卡片raw data'!AK:AK,MATCH($D259,'卡片raw data'!$F:$F,))&lt;INDEX('卡片raw data'!AM:AM,MATCH($D259,'卡片raw data'!$F:$F,)),INDEX('卡片raw data'!AL:AL,MATCH($D259,'卡片raw data'!$F:$F,))&lt;INDEX('卡片raw data'!AM:AM,MATCH($D259,'卡片raw data'!$F:$F,))),1,0)</f>
        <v>0</v>
      </c>
      <c r="AU259" s="1098">
        <f>MIN(AT259*0.15+AS259*0.00003+INDEX(绊状态确认!M:M,MATCH($G259,绊状态确认!$B:$B,)),1)</f>
        <v>0.51596743409759993</v>
      </c>
      <c r="AV259" s="1109">
        <f>(INDEX(绊状态确认!$N:$N,MATCH($G259,绊状态确认!$B:$B,))+1.5)*$EW$21</f>
        <v>2.6599999999999997</v>
      </c>
      <c r="AW259" s="1101">
        <f t="shared" si="281"/>
        <v>29456.242090389773</v>
      </c>
      <c r="AX259" s="1097">
        <f t="shared" si="282"/>
        <v>1905.718334542461</v>
      </c>
      <c r="AY259" s="1110">
        <f t="shared" si="283"/>
        <v>31361.960424932233</v>
      </c>
      <c r="AZ259" s="429">
        <f t="shared" si="284"/>
        <v>22880.648959999995</v>
      </c>
      <c r="BA259" s="431">
        <f t="shared" si="285"/>
        <v>27456.778751999995</v>
      </c>
      <c r="BB259" s="1097">
        <f>(AM259*(1+$FB$9)+$FB$35)*(1+(INDEX(绊状态确认!$T:$T,MATCH($G259,绊状态确认!$B:$B,))+0.2)*AO259)*IF(J259=$FF$17,1+$FE$17,1)*IF(I259=$FF$14,1+$FE$14,1)*(1+$FE$15)</f>
        <v>21778.127625279998</v>
      </c>
      <c r="BC259" s="1097">
        <f>(AN259*(1+$FB$10)+$FB$36)*(1+(INDEX(绊状态确认!$T:$T,MATCH($G259,绊状态确认!$B:$B,))+0.2)*AO259)*IF(J259=$FF$17,1+$FE$17,1)*IF(I259=$FF$14,1+$FE$14,1)*(1+$FE$15)</f>
        <v>16198.914469919999</v>
      </c>
      <c r="BD259" s="1104">
        <f>MIN(AT259*0.15+BC259*0.00003+INDEX(绊状态确认!M:M,MATCH($G259,绊状态确认!$B:$B,)),1)</f>
        <v>0.51596743409759993</v>
      </c>
      <c r="BE259" s="432">
        <f>(INDEX(绊状态确认!$N:$N,MATCH($G259,绊状态确认!$B:$B,))+1.5)</f>
        <v>1.9</v>
      </c>
      <c r="BF259" s="1139">
        <f t="array" ref="BF259">SUMPRODUCT(IF(AZ259*AP259*$FI$16:$FI$23*$FA$22&gt;=$FI$24,$FI$24,AZ259*AP259*$FI$16:$FI$23*$FA$22),$FJ$16:$FJ$23)</f>
        <v>45509.610781439995</v>
      </c>
      <c r="BG259" s="1125">
        <f t="array" ref="BG259">SUMPRODUCT(IF(BE259*AZ259*AP259*$FI$16:$FI$23*$FA$22&gt;=$FI$24,$FI$24,BE259*AZ259*AP259*$FI$16:$FI$23*$FA$22),$FJ$16:$FJ$23)</f>
        <v>60000</v>
      </c>
      <c r="BH259" s="1110">
        <f t="shared" si="286"/>
        <v>17662.059908538646</v>
      </c>
      <c r="BI259" s="1111">
        <f>IF(O259="vo",$EW$26/$EW$24*0.05,0)+IF(O259="sk",-$EW$26/$EW$24*(0.05-INDEX(绊状态确认!W:W,MATCH($G259,绊状态确认!$B:$B,)))+0.05*$EW$28,0)+IF(O259="sp",0.05*$EW$32*$EW$30*(1-$EW$33)-(0.05-INDEX(绊状态确认!V:V,MATCH($G259,绊状态确认!$B:$B,)))*$EW$28,0)+IF(O259="gd",-(0.05-INDEX(绊状态确认!X:X,MATCH($G259,绊状态确认!$B:$B,)))*$EW$32*$EW$30*(1-$EW$33),0)</f>
        <v>-585.00000000000011</v>
      </c>
      <c r="BJ259" s="1097">
        <f>IF(O259="vo",0.05*(1-$FI$26)*$FA$24,0)+IF(O259="sk",-(0.05-INDEX(绊状态确认!W:W,MATCH($G259,绊状态确认!$B:$B,)))*(1-$FI$26)*$FA$24+0.05*$FA$26,0)+IF(O259="sp",0.05*$FA$32*$FA$27*(1-$FA$33)/$FA$30+0.05*$FA$29/$FA$69*$FA$27*(1-$FA$33)-(0.05-INDEX(绊状态确认!V:V,MATCH($G259,绊状态确认!$B:$B,)))*$FA$26,0)+IF(O259="gd",-(0.05-INDEX(绊状态确认!X:X,MATCH($G259,绊状态确认!$B:$B,)))*$FA$32*$FA$27*(1-$FA$33)/$FA$30-(0.05-INDEX(绊状态确认!X:X,MATCH($G259,绊状态确认!$B:$B,)))*$FA$29/$FA$69*$FA$27*(1-$FA$33),0)</f>
        <v>-795.00000000000011</v>
      </c>
      <c r="BK259" s="1110">
        <f>IF(O259="vo",$EW$26/$EW$24*0.05+$EW$26*(-HP($EW$62,$EW$65,$EW$64)+HP($EW$62,$EW$65,(1.05-INDEX(绊状态确认!U:U,MATCH($G259,绊状态确认!$B:$B,)))*$EW$64)),0)+IF(O259="sk",-$EW$26/$EW$24*(0.05-INDEX(绊状态确认!W:W,MATCH($G259,绊状态确认!$B:$B,)))+0.05*$EW$29,0)+IF(O259="sp",0.05*$EW$32*$EW$30*(1-$EW$33)-(0.05-INDEX(绊状态确认!V:V,MATCH($G259,绊状态确认!$B:$B,)))*$EW$29,0)+IF(O259="gd",-(0.05-INDEX(绊状态确认!X:X,MATCH($G259,绊状态确认!$B:$B,)))*$EW$32*$EW$30*(1-$EW$33)+$EW$26*(-HP($EW$62,$EW$65,$EW$64)+HP($EW$62,$EW$65,0.95*$EW$64)),0)</f>
        <v>1009.5947725176144</v>
      </c>
      <c r="BL259" s="1111">
        <f t="shared" si="287"/>
        <v>0</v>
      </c>
      <c r="BM259" s="1110">
        <f t="shared" si="288"/>
        <v>0</v>
      </c>
      <c r="BN259" s="1113">
        <f t="shared" si="289"/>
        <v>3</v>
      </c>
      <c r="BO259" s="1097">
        <f t="shared" si="290"/>
        <v>4507.7214871259994</v>
      </c>
      <c r="BP259" s="1100">
        <f t="shared" si="291"/>
        <v>221.34103209030098</v>
      </c>
      <c r="BQ259" s="1113" t="s">
        <v>287</v>
      </c>
      <c r="BR259" s="1124" t="s">
        <v>171</v>
      </c>
      <c r="BS259" s="1098">
        <f>IF($P259="","N/A",IF($P259=-1,INDEX('卡片raw data'!AX:AX,MATCH($D259,'卡片raw data'!$F:$F,)),0)+IF($L259="party卡",IF($P259=5,INDEX('卡片raw data'!BD:BD,MATCH($D259,'卡片raw data'!$F:$F,)),IF($P259&gt;=3,INDEX('卡片raw data'!BC:BC,MATCH($D259,'卡片raw data'!$F:$F,)),INDEX('卡片raw data'!BB:BB,MATCH($D259,'卡片raw data'!$F:$F,)))),IF(OR(AND($F259="UR",$P259=0),AND($F259="SR",$P259&gt;=0,$P259&lt;=2),AND($F259="R",$P259&gt;=0,$P259&lt;4)),INDEX('卡片raw data'!AZ:AZ,MATCH($D259,'卡片raw data'!$F:$F,)),0)+IF(OR(AND($F259="UR",$P259&gt;=1,$P259&lt;=4),AND($F259="SR",$P259&lt;=4,$P259&gt;=3),AND($F259="R",$P259=4)),INDEX('卡片raw data'!BA:BA,MATCH($D259,'卡片raw data'!$F:$F,)),0)+IF($P259=5,INDEX('卡片raw data'!BB:BB,MATCH($D259,'卡片raw data'!$F:$F,)),0)))</f>
        <v>5.1999999999999998E-2</v>
      </c>
      <c r="BT259" s="1101">
        <f t="shared" si="292"/>
        <v>0</v>
      </c>
      <c r="BU259" s="1097">
        <f t="shared" si="293"/>
        <v>0</v>
      </c>
      <c r="BV259" s="1097">
        <f t="shared" si="294"/>
        <v>0</v>
      </c>
      <c r="BW259" s="1112">
        <f t="shared" si="295"/>
        <v>2.4347142857142861</v>
      </c>
      <c r="BX259" s="1100">
        <f t="shared" si="296"/>
        <v>190.49664124538464</v>
      </c>
      <c r="BY259" s="1110">
        <f t="shared" si="297"/>
        <v>190.49664124538464</v>
      </c>
      <c r="BZ259" s="1107" t="s">
        <v>569</v>
      </c>
      <c r="CA259" s="1124"/>
      <c r="CB259" s="1098">
        <f>IF($P259="","N/A",IF($P259=-1,INDEX('卡片raw data'!BE:BE,MATCH($D259,'卡片raw data'!$F:$F,)),0)+IF($L259="party卡",IF($P259=5,INDEX('卡片raw data'!BK:BK,MATCH($D259,'卡片raw data'!$F:$F,)),IF($P259&gt;=3,INDEX('卡片raw data'!BJ:BJ,MATCH($D259,'卡片raw data'!$F:$F,)),INDEX('卡片raw data'!BI:BI,MATCH($D259,'卡片raw data'!$F:$F,)))),IF(OR(AND($F259="UR",$P259=0),AND($F259="SR",$P259&gt;=0,$P259&lt;=2),AND($F259="R",$P259&gt;=0,$P259&lt;4)),INDEX('卡片raw data'!BG:BG,MATCH($D259,'卡片raw data'!$F:$F,)),0)+IF(OR(AND($F259="UR",$P259&gt;=1,$P259&lt;=4),AND($F259="SR",$P259&lt;=4,$P259&gt;=3),AND($F259="R",$P259=4)),INDEX('卡片raw data'!BH:BH,MATCH($D259,'卡片raw data'!$F:$F,)),0)+IF($P259=5,INDEX('卡片raw data'!BI:BI,MATCH($D259,'卡片raw data'!$F:$F,)),0)))</f>
        <v>0</v>
      </c>
      <c r="CC259" s="1101">
        <f t="shared" si="298"/>
        <v>0</v>
      </c>
      <c r="CD259" s="1097">
        <f>IF(BZ259="ap",CB259*(1-$FI$26)*$FB$5/$FB$11*(+IF(CA259="全员",$FA$24,0)+IF(CA259="同作战",$FA$24,0)+IF(CA259="仲间",$FA$24*2/3,0)+IF(CA259="同属性",$FA$24*$FA$37/3,0)+IF(CA259="同年级",$FA$24*$FA$40/3,0)+IF(CA259="同学校",$FA$24*$FA$43/3,0)+IF(CA259="同小队",$FA$24*$FA$46/3,0)+IF(CA259="同type",$FA$24*INDEX($FB$49:$FB$52,MATCH(X259,$FA$49:$FA$52,))/3,0)+IF(CA259="自身",#REF!/3,0)),0)+IF(BZ259="te",CB259*(1-$FI$27)*($FA$20-1)*$FB$7/$FB$13*(+IF(CA259="全员",$FA$19*$FA$24/(1+($FA$20-1)*$FA$19),0)+IF(CA259="同作战",$FA$19*$FA$24/(1+($FA$20-1)*$FA$19),0)+IF(CA259="仲间",$FA$19*$FA$24*2/3/(1+($FA$20-1)*$FA$19),0)+IF(CA259="同属性",$FA$19*$FA$24*$FA$37/3/(1+($FA$20-1)*$FA$19),0)+IF(CA259="同年级",$FA$19*$FA$24*$FA$40/3/(1+($FA$20-1)*$FA$19),0)+IF(CA259="同学校",$FA$19*$FA$24*$FA$43/3/(1+($FA$20-1)*$FA$19),0)+IF(CA259="同小队",$FA$19*$FA$24*$FA$46/3/(1+($FA$20-1)*$FA$19),0)+IF(CA259="同type",$FA$19*$FA$24*INDEX($FB$49:$FB$52,MATCH(X259,$FA$49:$FA$52,))/3/(1+($FA$20-1)*$FA$19),0)+IF(CA259="自身",$FA$19*#REF!/3/(1+(BH259-1)*$BD259),0)),0)</f>
        <v>0</v>
      </c>
      <c r="CE259" s="1097">
        <f t="shared" si="299"/>
        <v>0</v>
      </c>
      <c r="CF259" s="1112">
        <f t="shared" si="300"/>
        <v>0</v>
      </c>
      <c r="CG259" s="1100">
        <f t="shared" si="301"/>
        <v>0</v>
      </c>
      <c r="CH259" s="1110">
        <f t="shared" si="302"/>
        <v>0</v>
      </c>
      <c r="CI259" s="1113" t="s">
        <v>288</v>
      </c>
      <c r="CJ259" s="1114">
        <v>0.05</v>
      </c>
      <c r="CK259" s="1115" t="s">
        <v>152</v>
      </c>
      <c r="CL259" s="1115" t="s">
        <v>1944</v>
      </c>
      <c r="CM259" s="1119">
        <v>0.1</v>
      </c>
      <c r="CN259" s="1115"/>
      <c r="CO259" s="1092"/>
      <c r="CP259" s="1116">
        <f t="shared" si="303"/>
        <v>70.778914782160001</v>
      </c>
      <c r="CQ259" s="1116">
        <f t="shared" si="304"/>
        <v>65.334382875839992</v>
      </c>
      <c r="CR259" s="1116">
        <f t="shared" si="305"/>
        <v>70.778914782160001</v>
      </c>
      <c r="CS259" s="1118">
        <f t="shared" si="306"/>
        <v>0</v>
      </c>
      <c r="CT259" s="1109">
        <f t="shared" si="307"/>
        <v>0</v>
      </c>
      <c r="CU259" s="1101">
        <f t="shared" si="308"/>
        <v>77.856806260376004</v>
      </c>
      <c r="CV259" s="1108">
        <f t="shared" si="309"/>
        <v>65.334382875839992</v>
      </c>
      <c r="CW259" s="1097">
        <f t="shared" si="310"/>
        <v>77.856806260376004</v>
      </c>
      <c r="CX259" s="1097">
        <f t="shared" si="311"/>
        <v>77.856806260376004</v>
      </c>
      <c r="CY259" s="1110">
        <f t="shared" si="312"/>
        <v>77.856806260376004</v>
      </c>
      <c r="CZ259" s="437"/>
      <c r="DA259" s="438"/>
      <c r="DB259" s="439" t="s">
        <v>569</v>
      </c>
      <c r="DC259" s="439"/>
      <c r="DD259" s="443"/>
      <c r="DE259" s="411"/>
      <c r="DF259" s="411"/>
      <c r="DG259" s="1116">
        <f t="shared" si="313"/>
        <v>0</v>
      </c>
      <c r="DH259" s="1116">
        <f t="shared" si="314"/>
        <v>0</v>
      </c>
      <c r="DI259" s="1116">
        <f t="shared" si="315"/>
        <v>0</v>
      </c>
      <c r="DJ259" s="442">
        <f t="shared" si="316"/>
        <v>0</v>
      </c>
      <c r="DK259" s="1109">
        <f t="shared" si="317"/>
        <v>0</v>
      </c>
      <c r="DL259" s="1101">
        <f t="shared" si="318"/>
        <v>0</v>
      </c>
      <c r="DM259" s="1097">
        <f t="shared" si="319"/>
        <v>0</v>
      </c>
      <c r="DN259" s="1097">
        <f t="shared" si="320"/>
        <v>0</v>
      </c>
      <c r="DO259" s="1097">
        <f t="shared" si="321"/>
        <v>0</v>
      </c>
      <c r="DP259" s="1110">
        <f t="shared" si="322"/>
        <v>0</v>
      </c>
      <c r="DQ259" s="1113" t="s">
        <v>636</v>
      </c>
      <c r="DR259" s="1120">
        <f t="shared" si="323"/>
        <v>0.33</v>
      </c>
      <c r="DS259" s="1124"/>
      <c r="DT259" s="1093" t="s">
        <v>287</v>
      </c>
      <c r="DU259" s="1093"/>
      <c r="DV259" s="1098">
        <f>IF($P259="","N/A",IF(P259=-1,INDEX('卡片raw data'!AN:AN,MATCH(D259,'卡片raw data'!$F:$F,)),0)+IF(AND(L259&lt;&gt;"party卡",P259&lt;=2,P259&gt;=0),INDEX('卡片raw data'!AP:AP,MATCH(D259,'卡片raw data'!$F:$F,)),0)+IF(OR(AND(L259="party卡",P259&lt;=1),AND(P259&lt;=4,L259&lt;&gt;"party卡",P259&gt;=3)),INDEX('卡片raw data'!AQ:AQ,MATCH(D259,'卡片raw data'!$F:$F,)),0)+IF(OR(P259=5,AND(L259="party卡",P259&gt;=2)),INDEX('卡片raw data'!AR:AR,MATCH(D259,'卡片raw data'!$F:$F,)),0))</f>
        <v>0.32</v>
      </c>
      <c r="DW259" s="1098">
        <f t="shared" si="324"/>
        <v>0.33</v>
      </c>
      <c r="DX259" s="1098">
        <f t="shared" si="325"/>
        <v>0.33</v>
      </c>
      <c r="DY259" s="1125">
        <f t="shared" si="326"/>
        <v>766.59009240985597</v>
      </c>
      <c r="DZ259" s="1125">
        <f t="shared" si="327"/>
        <v>663.10042993452544</v>
      </c>
      <c r="EA259" s="1098">
        <f t="shared" si="328"/>
        <v>0</v>
      </c>
      <c r="EB259" s="1121">
        <f t="shared" si="329"/>
        <v>0</v>
      </c>
      <c r="EC259" s="1101">
        <f t="shared" si="330"/>
        <v>0</v>
      </c>
      <c r="ED259" s="1097">
        <f t="shared" si="331"/>
        <v>0</v>
      </c>
      <c r="EE259" s="1110">
        <f t="shared" si="332"/>
        <v>48435.03108962375</v>
      </c>
      <c r="EF259" s="1092" t="s">
        <v>711</v>
      </c>
      <c r="EG259" s="1120">
        <f t="shared" si="333"/>
        <v>0.33</v>
      </c>
      <c r="EH259" s="1124"/>
      <c r="EI259" s="1093"/>
      <c r="EJ259" s="1093"/>
      <c r="EK259" s="1097">
        <f>IF($P259="","N/A",IF(P259=-1,INDEX('卡片raw data'!AS:AS,MATCH(D259,'卡片raw data'!$F:$F,)),0)+IF(AND(L259&lt;&gt;"party卡",P259&lt;=2,P259&gt;=0),INDEX('卡片raw data'!AU:AU,MATCH(D259,'卡片raw data'!$F:$F,)),0)+IF(OR(AND(L259="party卡",P259&lt;=1),AND(P259&lt;=4,L259&lt;&gt;"party卡",P259&gt;=3)),INDEX('卡片raw data'!AV:AV,MATCH(D259,'卡片raw data'!$F:$F,)),0)+IF(OR(P259=5,AND(L259="party卡",P259&gt;=2)),INDEX('卡片raw data'!AW:AW,MATCH(D259,'卡片raw data'!$F:$F,)),0))</f>
        <v>0</v>
      </c>
      <c r="EL259" s="1098">
        <f t="shared" si="334"/>
        <v>0.33</v>
      </c>
      <c r="EM259" s="1098">
        <f t="shared" si="335"/>
        <v>0.33</v>
      </c>
      <c r="EN259" s="1125">
        <f t="shared" si="336"/>
        <v>0</v>
      </c>
      <c r="EO259" s="1125">
        <f t="shared" si="337"/>
        <v>0</v>
      </c>
      <c r="EP259" s="1098">
        <f t="shared" si="338"/>
        <v>0</v>
      </c>
      <c r="EQ259" s="1121">
        <f t="shared" si="339"/>
        <v>0</v>
      </c>
      <c r="ER259" s="1101">
        <f t="shared" si="340"/>
        <v>0</v>
      </c>
      <c r="ES259" s="1097">
        <f t="shared" si="341"/>
        <v>0</v>
      </c>
      <c r="ET259" s="1122">
        <f t="shared" si="342"/>
        <v>0</v>
      </c>
    </row>
    <row r="260" spans="2:150" ht="16.5" customHeight="1">
      <c r="B260" s="1123" t="str">
        <f>INDEX('卡片raw data'!B:B,MATCH($D260,'卡片raw data'!$F:$F,))</f>
        <v>bm丸</v>
      </c>
      <c r="C260" s="449" t="s">
        <v>124</v>
      </c>
      <c r="D260" s="408">
        <v>257</v>
      </c>
      <c r="E260" s="1090">
        <v>401072002</v>
      </c>
      <c r="F260" s="1090" t="str">
        <f>INDEX('卡片raw data'!C:C,MATCH($D260,'卡片raw data'!$F:$F,))</f>
        <v>SR</v>
      </c>
      <c r="G260" s="1094" t="s">
        <v>344</v>
      </c>
      <c r="H260" s="411">
        <f>IFERROR(INDEX(绊状态确认!C:C,MATCH($G260,绊状态确认!$B:$B,)),"")</f>
        <v>107</v>
      </c>
      <c r="I260" s="450" t="str">
        <f>IFERROR(INDEX(绊状态确认!D:D,MATCH($G260,绊状态确认!$B:$B,)),"")</f>
        <v>水</v>
      </c>
      <c r="J260" s="450" t="str">
        <f>IFERROR(INDEX(绊状态确认!E:E,MATCH($G260,绊状态确认!$B:$B,)),"")</f>
        <v>1年级</v>
      </c>
      <c r="K260" s="451" t="str">
        <f>IFERROR(INDEX(绊状态确认!F:F,MATCH($G260,绊状态确认!$B:$B,)),"")</f>
        <v>AZALEA</v>
      </c>
      <c r="L260" s="1094" t="str">
        <f>INDEX('卡片raw data'!E:E,MATCH($D260,'卡片raw data'!$F:$F,))</f>
        <v>卡池卡</v>
      </c>
      <c r="M260" s="415">
        <v>44004</v>
      </c>
      <c r="N260" s="416">
        <v>18</v>
      </c>
      <c r="O260" s="1091" t="str">
        <f>INDEX('卡片raw data'!D:D,MATCH($D260,'卡片raw data'!$F:$F,))</f>
        <v>vo</v>
      </c>
      <c r="P260" s="417">
        <v>5</v>
      </c>
      <c r="Q260" s="1095">
        <f t="shared" ref="Q260:Q323" si="343">IF($P260="",0,AW260+BI260+BO260+BT260+CU260+EC260+ER260+CC260+DL260+BL260)</f>
        <v>37859.659524367606</v>
      </c>
      <c r="R260" s="1096">
        <f t="shared" ref="R260:R323" si="344">_xlfn.FLOOR.MATH(IF($P260="","N/A",Q260/$EW$81)*1000)/1000</f>
        <v>0.44</v>
      </c>
      <c r="S260" s="1097">
        <f t="shared" ref="S260:S323" si="345">IF($P260="",0,BH260+BJ260+BP260+BU260+CV260+ED260+ES260+CD260+DM260+BM260)</f>
        <v>15882.387530317064</v>
      </c>
      <c r="T260" s="1098">
        <f t="shared" ref="T260:T323" si="346">_xlfn.FLOOR.MATH(IF($P260="","N/A",S260/($FI$24/3))*1000)/1000</f>
        <v>0.79400000000000004</v>
      </c>
      <c r="U260" s="1099">
        <f t="shared" ref="U260:U323" si="347">$EW$64*(IF(O260="vo",-0.05)+IF(O260="gd",0.05))+CP260*(IF(CK260="减伤",$EW$64*(1-$EW$75))+IF(OR(CK260="加盾",AND(CK260="回血",OR(CI260&lt;&gt;"切队",CO260=""))),1))+DG260*(IF(DB260="减伤",$EW$64*(1-$EW$75))+IF(OR(DB260="加盾",AND(DB260="回血",OR(CZ260&lt;&gt;"切队",DF260=""))),1))+AR260*$EW$78/$EW$65+BW260+CF260+DY260*(1+IF(O260="sk",0.05)+IF(O260="sp",-0.05))*(IF(DQ260="减伤",$EW$64*(1-$EW$75))+IF(OR(DQ260="回血",DQ260="加盾"),1))+EN260*(1+IF(O260="sk",0.05)+IF(O260="sp",-0.05))*(IF(EF260="减伤",$EW$64*(1-$EW$75))+IF(OR(EF260="回血",EF260="加盾"),1))</f>
        <v>-14.804047253187141</v>
      </c>
      <c r="V260" s="1100">
        <f t="shared" ref="V260:V323" si="348">IF($P260="",0,AY260+BK260+BO260+BX260+CX260+EE260+ET260+CG260+DO260+BL260)</f>
        <v>37365.382497748666</v>
      </c>
      <c r="W260" s="1101">
        <f t="shared" ref="W260:W323" si="349">IF($P260="",0,BO260+BV260+CW260+CE260+DN260)</f>
        <v>5672.7305595847638</v>
      </c>
      <c r="X260" s="1096">
        <f t="shared" ref="X260:X323" si="350">_xlfn.FLOOR.MATH(IF($P260="","N/A",W260/$EW$81)*1000)/1000</f>
        <v>6.5000000000000002E-2</v>
      </c>
      <c r="Y260" s="1097">
        <f t="shared" ref="Y260:Y323" si="351">IF($P260="",0,AA260-W260)</f>
        <v>810.39142362276016</v>
      </c>
      <c r="Z260" s="1102">
        <f t="shared" ref="Z260:Z323" si="352">CP260*IF(OR(CI260="ap时",CI260="ct时"),0,1)*(IF(CK260="减伤",$EW$64*(1-$EW$75))+IF(OR(CK260="加盾",AND(CK260="回血",OR(CI260&lt;&gt;"切队",CO260=""))),1))+DG260*IF(OR(CZ260="ap时",CZ260="ct时"),0,1)*(IF(DB260="减伤",$EW$64*(1-$EW$75))+IF(OR(DB260="加盾",AND(DB260="回血",OR(CZ260&lt;&gt;"切队",DF260=""))),1))+AR260*$EW$78/$EW$65+BW260+CF260</f>
        <v>10.195952746812859</v>
      </c>
      <c r="AA260" s="1103">
        <f t="shared" ref="AA260:AA323" si="353">IF($P260="",0,BO260+BY260+CY260+AX260+CH260+DP260)</f>
        <v>6483.121983207524</v>
      </c>
      <c r="AB260" s="1101">
        <f t="shared" ref="AB260:AB323" si="354">IF($P260="",0,BT260+CU260+BO260+CC260+DL260)</f>
        <v>6474.1032684071633</v>
      </c>
      <c r="AC260" s="1104">
        <f t="shared" ref="AC260:AC323" si="355">_xlfn.FLOOR.MATH(IF($P260="","N/A",AB260/$EW$81)*1000)/1000</f>
        <v>7.4999999999999997E-2</v>
      </c>
      <c r="AD260" s="1105">
        <f t="shared" ref="AD260:AD323" si="356">CS260+DJ260+EA260+EP260+IF(O260="sp",-0.05*FM$14*FM$15/2)+IF(O260="sk",0.05*FM$14*FM$15/2)+IF(O260="sk",FM$11^2/(3-FM$11)*FM$12)-IF(O260="sk",FM$10,FM$9)*IF(O260="sk",FM$18,FM$17)*($FM$14-DR260)</f>
        <v>7.5681076388888855E-3</v>
      </c>
      <c r="AE260" s="1128">
        <f t="shared" ref="AE260:AE323" si="357">AD260/FM$18*FM$29+CT260+DK260+EB260+EQ260+IF(O260="sp",0.05*$FM$9*3*FM$26)-IF(O260="gd",0.05*$FM$9*3*FM$26)+IF(O260="sp",300*1/3*$FM$11/2)+IF(O260="sk",FM$11^2/(3-FM$11)*FM$13)+IF(F260="R",-100*IF(O260="sk",FM$10,FM$9))+IF(F260="SR",-50*IF(O260="sk",FM$10,FM$9))</f>
        <v>-6.735008952400257</v>
      </c>
      <c r="AF260" s="1130">
        <f t="shared" ref="AF260:AF323" si="358">IF(OR(DQ260="回血",DQ260="加盾"),EN260/EL260*3*2*IF(EG260=0.11,$EW$71,$EW$70)+DY260/DW260*3*2*IF(DR260=0.11,$EW$71,$EW$70)+IF(O260="gd",AR260*0.05)+IF(OR(CK260="回血",CK260="加盾"),-(CR260-CP260)*6)+IF(AND(CI260="切队",CO260=""),CP260/$EW$79*$EW$65*2),0)</f>
        <v>0</v>
      </c>
      <c r="AG260" s="420">
        <f t="shared" ref="AG260:AG323" si="359">IF(OR(DQ260="回血",DQ260="加盾"),MAX($EW$64*$EW$65*IF(CK260="减伤",(1-IF(CI260="切队",IF(CO260&lt;&gt;"",MAX(CO260/$EW$79,1),0),1)*CR260),1)-$EW$62*0.3+$EX$17-AR260-(BW260+CF260)/$EW$78*$EW$65-IF(OR(CK260="回血",CK260="加盾"),IF(CI260="切队",IF(CO260&lt;&gt;"",MAX(CO260/$EW$79,1),0),1)*CR260*$EW$65),0),0)</f>
        <v>0</v>
      </c>
      <c r="AH260" s="420">
        <f t="shared" ref="AH260:AH323" si="360">IFERROR(AG260/AF260,0)</f>
        <v>0</v>
      </c>
      <c r="AI260" s="1097">
        <f t="shared" ref="AI260:AI323" si="361">IF(OR(DQ260="回血",DQ260="加盾"),$EW$26*(1-$EW$66)/$EW$66-AH260*(($EW$26*IF(O260="sk",14/3-8/3*$EW$68,5-3*$EW$68)-2*3*Q260*$EW$69)/$EW$66)/$EW$65+($EW$26/3+$EW$26/$EW$24*0.05+$EW$61*4*$EW$26*$EX$5/$EX$11+$EW$28)-($EW$72-W260),0)</f>
        <v>0</v>
      </c>
      <c r="AJ260" s="420">
        <f t="shared" ref="AJ260:AJ323" si="362">IF(OR(DQ260="回血",DQ260="加盾"),V260,0)</f>
        <v>0</v>
      </c>
      <c r="AK260" s="518">
        <f t="shared" ref="AK260:AK323" si="363">IFERROR(AI260-AJ260,"")</f>
        <v>0</v>
      </c>
      <c r="AL260" s="1106">
        <f>IF($P260="","N/A",(IF($P260=-1,INDEX('卡片raw data'!S:S,MATCH($D260,'卡片raw data'!$F:$F,)),0)+IF($P260=0,INDEX('卡片raw data'!V:V,MATCH($D260,'卡片raw data'!$F:$F,)),0)+IF($P260=1,INDEX('卡片raw data'!Y:Y,MATCH($D260,'卡片raw data'!$F:$F,)),0)+IF($P260=2,INDEX('卡片raw data'!AB:AB,MATCH($D260,'卡片raw data'!$F:$F,)),0)+IF($P260=3,INDEX('卡片raw data'!AE:AE,MATCH($D260,'卡片raw data'!$F:$F,)),0)+IF($P260=4,INDEX('卡片raw data'!AH:AH,MATCH($D260,'卡片raw data'!$F:$F,)),0)+IF($P260=5,INDEX('卡片raw data'!AK:AK,MATCH($D260,'卡片raw data'!$F:$F,)),0)+INDEX('卡片raw data'!S:S,MATCH($D260,'卡片raw data'!$F:$F,))*(IF($F260="UR",0.04,0.033))*(IF($F260="UR",INDEX(绊状态确认!$S:$S,MATCH($G260,绊状态确认!$B:$B,))/2-40)+IF($F260="SR",INDEX(绊状态确认!$R:$R,MATCH($G260,绊状态确认!$B:$B,))/4-15))+IF($F260="R",INDEX(绊状态确认!$Q:$Q,MATCH($G260,绊状态确认!$B:$B,))/6-40/6)))*(INDEX(绊状态确认!$H:$H,MATCH($G260,绊状态确认!$B:$B,))+INDEX(绊状态确认!J:J,MATCH($G260,绊状态确认!$B:$B,)))</f>
        <v>7987.5828671999989</v>
      </c>
      <c r="AM260" s="1106">
        <f>IF($P260="","N/A",(IF($P260=-1,INDEX('卡片raw data'!T:T,MATCH($D260,'卡片raw data'!$F:$F,)),0)+IF($P260=0,INDEX('卡片raw data'!W:W,MATCH($D260,'卡片raw data'!$F:$F,)),0)+IF($P260=1,INDEX('卡片raw data'!Z:Z,MATCH($D260,'卡片raw data'!$F:$F,)),0)+IF($P260=2,INDEX('卡片raw data'!AC:AC,MATCH($D260,'卡片raw data'!$F:$F,)),0)+IF($P260=3,INDEX('卡片raw data'!AF:AF,MATCH($D260,'卡片raw data'!$F:$F,)),0)+IF($P260=4,INDEX('卡片raw data'!AI:AI,MATCH($D260,'卡片raw data'!$F:$F,)),0)+IF($P260=5,INDEX('卡片raw data'!AL:AL,MATCH($D260,'卡片raw data'!$F:$F,)),0)+INDEX('卡片raw data'!T:T,MATCH($D260,'卡片raw data'!$F:$F,))*(IF($F260="UR",0.04,0.033))*(IF($F260="UR",INDEX(绊状态确认!$S:$S,MATCH($G260,绊状态确认!$B:$B,))/2-40)+IF($F260="SR",INDEX(绊状态确认!$R:$R,MATCH($G260,绊状态确认!$B:$B,))/4-15))+IF($F260="R",INDEX(绊状态确认!$Q:$Q,MATCH($G260,绊状态确认!$B:$B,))/6-40/6)))*(INDEX(绊状态确认!$H:$H,MATCH($G260,绊状态确认!$B:$B,))+INDEX(绊状态确认!K:K,MATCH($G260,绊状态确认!$B:$B,)))</f>
        <v>4990.6392408000002</v>
      </c>
      <c r="AN260" s="1106">
        <f>IF($P260="","N/A",(IF($P260=-1,INDEX('卡片raw data'!U:U,MATCH($D260,'卡片raw data'!$F:$F,)),0)+IF($P260=0,INDEX('卡片raw data'!X:X,MATCH($D260,'卡片raw data'!$F:$F,)),0)+IF($P260=1,INDEX('卡片raw data'!AA:AA,MATCH($D260,'卡片raw data'!$F:$F,)),0)+IF($P260=2,INDEX('卡片raw data'!AD:AD,MATCH($D260,'卡片raw data'!$F:$F,)),0)+IF($P260=3,INDEX('卡片raw data'!AG:AG,MATCH($D260,'卡片raw data'!$F:$F,)),0)+IF($P260=4,INDEX('卡片raw data'!AJ:AJ,MATCH($D260,'卡片raw data'!$F:$F,)),0)+IF($P260=5,INDEX('卡片raw data'!AM:AM,MATCH($D260,'卡片raw data'!$F:$F,)),0)+INDEX('卡片raw data'!U:U,MATCH($D260,'卡片raw data'!$F:$F,))*(IF($F260="UR",0.04,0.033))*(IF($F260="UR",INDEX(绊状态确认!$S:$S,MATCH($G260,绊状态确认!$B:$B,))/2-40)+IF($F260="SR",INDEX(绊状态确认!$R:$R,MATCH($G260,绊状态确认!$B:$B,))/4-15))+IF($F260="R",INDEX(绊状态确认!$Q:$Q,MATCH($G260,绊状态确认!$B:$B,))/6-40/6)))*(INDEX(绊状态确认!$H:$H,MATCH($G260,绊状态确认!$B:$B,))+INDEX(绊状态确认!L:L,MATCH($G260,绊状态确认!$B:$B,)))</f>
        <v>6987.8190575999988</v>
      </c>
      <c r="AO260" s="1107">
        <f t="shared" ref="AO260:AO323" si="364">IF(OR($FE$5=C260,$FE$5="全"),1,0)</f>
        <v>1</v>
      </c>
      <c r="AP260" s="1131">
        <f>1+(INDEX(绊状态确认!$T:$T,MATCH($G260,绊状态确认!$B:$B,))+0.2)*$AO260</f>
        <v>1.3</v>
      </c>
      <c r="AQ260" s="1108">
        <f t="shared" ref="AQ260:AQ323" si="365">(AL260*(1+$EX$8)+$EX$34)*(1+$EW$15)*IF(AO260=0,1-$FE$6,1)*IF(AO260=1,1+$FE$7,1)*IF(O260="vo",1+$FE$8,1)*IF(O260="gd",1+$FE$9,1)*IF(O260="sp",1+$FE$10,1)*IF(O260="sk",1+$FE$11,1)*IF(I260=$FF$12,1+$FE$12,1)*IF(I260=$FF$13,1,1-$FE$13)*IF(I260=$FF$14,1+$FE$14,1)*IF(J260=$FF$16,1+$FE$16,1)*IF(J260=$FF$17,1+$FE$17,1)*IF(K260=$FF$18,1+$FE$18,1)*(1+$FE$15)</f>
        <v>24217.405026399996</v>
      </c>
      <c r="AR260" s="1097">
        <f>(AM260*(1+$EX$9)+$EX$35)*(1+(INDEX(绊状态确认!$T:$T,MATCH($G260,绊状态确认!$B:$B,))+0.2)*AO260)*IF(J260=$FF$17,1+$FE$17,1)*IF(I260=$FF$14,1+$FE$14,1)</f>
        <v>9516.2225636920011</v>
      </c>
      <c r="AS260" s="1097">
        <f>(AN260*(1+$EX$10)+$EX$36)*(1+(INDEX(绊状态确认!$T:$T,MATCH($G260,绊状态确认!$B:$B,))+0.2)*AO260)*IF(J260=$FF$17,1+$FE$17,1)*IF(I260=$FF$14,1+$FE$14,1)</f>
        <v>14502.789491111998</v>
      </c>
      <c r="AT260" s="1093">
        <f>IF(AND(INDEX('卡片raw data'!AK:AK,MATCH($D260,'卡片raw data'!$F:$F,))&lt;INDEX('卡片raw data'!AM:AM,MATCH($D260,'卡片raw data'!$F:$F,)),INDEX('卡片raw data'!AL:AL,MATCH($D260,'卡片raw data'!$F:$F,))&lt;INDEX('卡片raw data'!AM:AM,MATCH($D260,'卡片raw data'!$F:$F,))),1,0)</f>
        <v>0</v>
      </c>
      <c r="AU260" s="1098">
        <f>MIN(AT260*0.15+AS260*0.00003+INDEX(绊状态确认!M:M,MATCH($G260,绊状态确认!$B:$B,)),1)</f>
        <v>0.46508368473335998</v>
      </c>
      <c r="AV260" s="1109">
        <f>(INDEX(绊状态确认!$N:$N,MATCH($G260,绊状态确认!$B:$B,))+1.5)*$EW$21</f>
        <v>2.6599999999999997</v>
      </c>
      <c r="AW260" s="1101">
        <f t="shared" ref="AW260:AW323" si="366">AQ260*(1+(AV260-1)*AU260)*(AP260)*(1+EW$25)*EW$66/3*$EW$24</f>
        <v>22287.339286732866</v>
      </c>
      <c r="AX260" s="1097">
        <f t="shared" ref="AX260:AX323" si="367">$EW$26*(HP($EW$62,$EW$65,$EW$64-AR260*$EW$78/$EW$65)/$EW$66-1)</f>
        <v>810.3914236227597</v>
      </c>
      <c r="AY260" s="1110">
        <f t="shared" ref="AY260:AY323" si="368">AW260+AX260</f>
        <v>23097.730710355627</v>
      </c>
      <c r="AZ260" s="429">
        <f t="shared" ref="AZ260:AZ323" si="369">(AL260*(1+$FB$8)+$FB$34)*IF(AO260=0,1-$FE$6,1)*IF(AO260=1,1+$FE$7,1)*IF(O260="vo",1+$FE$8,1)*IF(O260="gd",1+$FE$9,1)*IF(O260="sp",1+$FE$10,1)*IF(O260="sk",1+$FE$11,1)*IF(I260=$FF$12,1+$FE$12,1)*IF(I260=$FF$13,1,1-$FE$13)*IF(I260=$FF$14,1+$FE$14,1)*IF(J260=$FF$16,1+$FE$16,1)*IF(J260=$FF$17,1+$FE$17,1)*IF(K260=$FF$18,1+$FE$18,1)*(1+$FE$15)</f>
        <v>18175.78659104</v>
      </c>
      <c r="BA260" s="431">
        <f t="shared" ref="BA260:BA323" si="370">AZ260*(1+$FA$15)</f>
        <v>21810.943909247999</v>
      </c>
      <c r="BB260" s="1097">
        <f>(AM260*(1+$FB$9)+$FB$35)*(1+(INDEX(绊状态确认!$T:$T,MATCH($G260,绊状态确认!$B:$B,))+0.2)*AO260)*IF(J260=$FF$17,1+$FE$17,1)*IF(I260=$FF$14,1+$FE$14,1)*(1+$FE$15)</f>
        <v>9516.2225636920011</v>
      </c>
      <c r="BC260" s="1097">
        <f>(AN260*(1+$FB$10)+$FB$36)*(1+(INDEX(绊状态确认!$T:$T,MATCH($G260,绊状态确认!$B:$B,))+0.2)*AO260)*IF(J260=$FF$17,1+$FE$17,1)*IF(I260=$FF$14,1+$FE$14,1)*(1+$FE$15)</f>
        <v>14502.789491111998</v>
      </c>
      <c r="BD260" s="1104">
        <f>MIN(AT260*0.15+BC260*0.00003+INDEX(绊状态确认!M:M,MATCH($G260,绊状态确认!$B:$B,)),1)</f>
        <v>0.46508368473335998</v>
      </c>
      <c r="BE260" s="432">
        <f>(INDEX(绊状态确认!$N:$N,MATCH($G260,绊状态确认!$B:$B,))+1.5)</f>
        <v>1.9</v>
      </c>
      <c r="BF260" s="1139">
        <f t="array" ref="BF260">SUMPRODUCT(IF(AZ260*AP260*$FI$16:$FI$23*$FA$22&gt;=$FI$24,$FI$24,AZ260*AP260*$FI$16:$FI$23*$FA$22),$FJ$16:$FJ$23)</f>
        <v>36151.639529578562</v>
      </c>
      <c r="BG260" s="1125">
        <f t="array" ref="BG260">SUMPRODUCT(IF(BE260*AZ260*AP260*$FI$16:$FI$23*$FA$22&gt;=$FI$24,$FI$24,BE260*AZ260*AP260*$FI$16:$FI$23*$FA$22),$FJ$16:$FJ$23)</f>
        <v>59223.548219967197</v>
      </c>
      <c r="BH260" s="1110">
        <f t="shared" ref="BH260:BH323" si="371">((1-$BD260)*BF260+$BD260*BG260)/3</f>
        <v>15627.335945712048</v>
      </c>
      <c r="BI260" s="1111">
        <f>IF(O260="vo",$EW$26/$EW$24*0.05,0)+IF(O260="sk",-$EW$26/$EW$24*(0.05-INDEX(绊状态确认!W:W,MATCH($G260,绊状态确认!$B:$B,)))+0.05*$EW$28,0)+IF(O260="sp",0.05*$EW$32*$EW$30*(1-$EW$33)-(0.05-INDEX(绊状态确认!V:V,MATCH($G260,绊状态确认!$B:$B,)))*$EW$28,0)+IF(O260="gd",-(0.05-INDEX(绊状态确认!X:X,MATCH($G260,绊状态确认!$B:$B,)))*$EW$32*$EW$30*(1-$EW$33),0)</f>
        <v>7726.3029277443748</v>
      </c>
      <c r="BJ260" s="1097">
        <f>IF(O260="vo",0.05*(1-$FI$26)*$FA$24,0)+IF(O260="sk",-(0.05-INDEX(绊状态确认!W:W,MATCH($G260,绊状态确认!$B:$B,)))*(1-$FI$26)*$FA$24+0.05*$FA$26,0)+IF(O260="sp",0.05*$FA$32*$FA$27*(1-$FA$33)/$FA$30+0.05*$FA$29/$FA$69*$FA$27*(1-$FA$33)-(0.05-INDEX(绊状态确认!V:V,MATCH($G260,绊状态确认!$B:$B,)))*$FA$26,0)+IF(O260="gd",-(0.05-INDEX(绊状态确认!X:X,MATCH($G260,绊状态确认!$B:$B,)))*$FA$32*$FA$27*(1-$FA$33)/$FA$30-(0.05-INDEX(绊状态确认!X:X,MATCH($G260,绊状态确认!$B:$B,)))*$FA$29/$FA$69*$FA$27*(1-$FA$33),0)</f>
        <v>393.93433687500004</v>
      </c>
      <c r="BK260" s="1110">
        <f>IF(O260="vo",$EW$26/$EW$24*0.05+$EW$26*(-HP($EW$62,$EW$65,$EW$64)+HP($EW$62,$EW$65,(1.05-INDEX(绊状态确认!U:U,MATCH($G260,绊状态确认!$B:$B,)))*$EW$64)),0)+IF(O260="sk",-$EW$26/$EW$24*(0.05-INDEX(绊状态确认!W:W,MATCH($G260,绊状态确认!$B:$B,)))+0.05*$EW$29,0)+IF(O260="sp",0.05*$EW$32*$EW$30*(1-$EW$33)-(0.05-INDEX(绊状态确认!V:V,MATCH($G260,绊状态确认!$B:$B,)))*$EW$29,0)+IF(O260="gd",-(0.05-INDEX(绊状态确认!X:X,MATCH($G260,绊状态确认!$B:$B,)))*$EW$32*$EW$30*(1-$EW$33)+$EW$26*(-HP($EW$62,$EW$65,$EW$64)+HP($EW$62,$EW$65,0.95*$EW$64)),0)</f>
        <v>6421.6344775026746</v>
      </c>
      <c r="BL260" s="1111">
        <f t="shared" ref="BL260:BL323" si="372">(IF(F260="UR",0)+IF(F260="SR",-1/4)+IF(F260="R",-1/2))*1/3*$EW$31/$EW$77*$EW$30</f>
        <v>-1083.3333333333333</v>
      </c>
      <c r="BM260" s="1110">
        <f t="shared" ref="BM260:BM323" si="373">(IF(F260="UR",0)+IF(F260="SR",-1/4)+IF(F260="R",-1/2))*1/3*$FA$31/$FA$69*$FA$27</f>
        <v>-830.55555555555543</v>
      </c>
      <c r="BN260" s="1113">
        <f t="shared" ref="BN260:BN323" si="374">IF($P260="","N/A",IF(P260=-1,IF(OR(L260="fes卡",L260="party卡"),2,1),IF(F260="UR",IF(L260="party卡",4-IF(P260=0,1),IF(L260="fes卡",4,3)-IF(P260&gt;=4,0,1)))+IF(F260="SR",IF(P260&gt;=4,3,2))+IF(F260="R",2)))</f>
        <v>3</v>
      </c>
      <c r="BO260" s="1097">
        <f t="shared" ref="BO260:BO323" si="375">$EW$61*$BN260*$EW$26*$EX$5/$EX$11</f>
        <v>4507.7214871259994</v>
      </c>
      <c r="BP260" s="1100">
        <f t="shared" ref="BP260:BP323" si="376">BN260*$FA$58*(1-$FI$26)*$FA$24*$FB$5/$FB$11</f>
        <v>221.34103209030098</v>
      </c>
      <c r="BQ260" s="1113" t="s">
        <v>143</v>
      </c>
      <c r="BR260" s="1124" t="s">
        <v>148</v>
      </c>
      <c r="BS260" s="1098">
        <f>IF($P260="","N/A",IF($P260=-1,INDEX('卡片raw data'!AX:AX,MATCH($D260,'卡片raw data'!$F:$F,)),0)+IF($L260="party卡",IF($P260=5,INDEX('卡片raw data'!BD:BD,MATCH($D260,'卡片raw data'!$F:$F,)),IF($P260&gt;=3,INDEX('卡片raw data'!BC:BC,MATCH($D260,'卡片raw data'!$F:$F,)),INDEX('卡片raw data'!BB:BB,MATCH($D260,'卡片raw data'!$F:$F,)))),IF(OR(AND($F260="UR",$P260=0),AND($F260="SR",$P260&gt;=0,$P260&lt;=2),AND($F260="R",$P260&gt;=0,$P260&lt;4)),INDEX('卡片raw data'!AZ:AZ,MATCH($D260,'卡片raw data'!$F:$F,)),0)+IF(OR(AND($F260="UR",$P260&gt;=1,$P260&lt;=4),AND($F260="SR",$P260&lt;=4,$P260&gt;=3),AND($F260="R",$P260=4)),INDEX('卡片raw data'!BA:BA,MATCH($D260,'卡片raw data'!$F:$F,)),0)+IF($P260=5,INDEX('卡片raw data'!BB:BB,MATCH($D260,'卡片raw data'!$F:$F,)),0)))</f>
        <v>3.2000000000000001E-2</v>
      </c>
      <c r="BT260" s="1101">
        <f t="shared" ref="BT260:BT323" si="377">IF(BQ260="ap",BS260*$EX$5/$EX$11*(+IF(BR260="全员",$EW$26,0)+IF(BR260="同作战",$EW$26,0)+IF(BR260="仲间",$EW$26*2/3,0)+IF(BR260="同属性",$EW$26*$EW$37/3,0)+IF(BR260="同年级",$EW$26*$EW$40/3,0)+IF(BR260="同学校",$EW$26*$EW$43/3,0)+IF(BR260="同小队",$EW$26*$EW$46/3,0)+IF(BR260="同type",$EW$26*INDEX($EX$49:$EX$52,MATCH(O260,$EW$49:$EW$52,))/3,0)+IF(BR260="自身",$AW260,0)),0)+IF(BQ260="te",BS260*($EW$22-1)*0.00003*$EX$7/$EX$13*(+IF(BR260="全员",$EX$18*$EW$26/(1+($EW$22-1)*$EW$19),0)+IF(BR260="同作战",$EX$18*$EW$26/(1+($EW$22-1)*$EW$19),0)+IF(BR260="仲间",$EX$18*$EW$26/(1+($EW$22-1)*$EW$19)*2/3,0)+IF(BR260="同属性",$EX$18*$EW$26/(1+($EW$22-1)*$EW$19)*$EW$37/3,0)+IF(BR260="同年级",$EX$18*$EW$26/(1+($EW$22-1)*$EW$19)*$EW$40/3,0)+IF(BR260="同学校",$EX$18*$EW$26/(1+($EW$22-1)*$EW$19)*$EW$43/3,0)+IF(BR260="同小队",$EX$18*$EW$26/(1+($EW$22-1)*$EW$19)*$EW$46/3,0)+IF(BR260="同type",$EX$18*$EW$26/(1+($EW$22-1)*$EW$19)*INDEX($EX$49:$EX$52,MATCH(O260,$EW$49:$EW$52,))/3,0)+IF(BR260="自身",$AS260*$AW260/(1+(AV260-1)*$AU260),0)),0)</f>
        <v>1602.7454176448</v>
      </c>
      <c r="BU260" s="1097">
        <f t="shared" ref="BU260:BU323" si="378">IF(BQ260="ap",BS260*(1-$FI$26)*$FB$5/$FB$11*(+IF(BR260="全员",$FA$24,0)+IF(BR260="同作战",$FA$24,0)+IF(BR260="仲间",$FA$24*2/3,0)+IF(BR260="同属性",$FA$24*$FA$37/3,0)+IF(BR260="同年级",$FA$24*$FA$40/3,0)+IF(BR260="同学校",$FA$24*$FA$43/3,0)+IF(BR260="同小队",$FA$24*$FA$46/3,0)+IF(BR260="同type",$FA$24*INDEX($FB$49:$FB$52,MATCH(O260,$FA$49:$FA$52,))/3,0)+IF(BR260="自身",BH260/3,0)),0)+IF(BQ260="te",BS260*(1-$FI$27)*($FA$20-1)*$FB$7/$FB$13*(+IF(BR260="全员",$FA$19*$FA$24/(1+($FA$20-1)*$FA$19),0)+IF(BR260="同作战",$FA$19*$FA$24/(1+($FA$20-1)*$FA$19),0)+IF(BR260="仲间",$FA$19*$FA$24*2/3/(1+($FA$20-1)*$FA$19),0)+IF(BR260="同属性",$FA$19*$FA$24*$FA$37/3/(1+($FA$20-1)*$FA$19),0)+IF(BR260="同年级",$FA$19*$FA$24*$FA$40/3/(1+($FA$20-1)*$FA$19),0)+IF(BR260="同学校",$FA$19*$FA$24*$FA$43/3/(1+($FA$20-1)*$FA$19),0)+IF(BR260="同小队",$FA$19*$FA$24*$FA$46/3/(1+($FA$20-1)*$FA$19),0)+IF(BR260="同type",$FA$19*$FA$24*INDEX($FB$49:$FB$52,MATCH(O260,$FA$49:$FA$52,))/3/(1+($FA$20-1)*$FA$19),0)+IF(BR260="自身",$FA$19*BH260/3/(1+(AV260-1)*$BD260),0)),0)</f>
        <v>68.861654428093644</v>
      </c>
      <c r="BV260" s="1097">
        <f t="shared" ref="BV260:BV323" si="379">IF(BQ260="ap",BS260*$EW$26*$EX$5/$EX$11*(+IF(BR260="全员",1,0)+IF(BR260="仲间",1,0)+IF(BR260="同属性",$EW$38/3,0)+IF(BR260="同年级",$EW$41/3,0)+IF(BR260="同学校",$EW$44/3,0)+IF(BR260="同小队",$EW$47/3,0)+IF(BR260="同type",INDEX($EX$53:$EX$56,MATCH(O260,$EW$53:$EW$56,))/3,0)),0)+IF(BQ260="te",BS260*($EW$22-1)*0.00003*$EX$18*$EW$26/(1+($EW$22-1)*$EW$19)*$EX$7/$EX$13*(+IF(BR260="全员",1,0)+IF(BR260="仲间",1,0)+IF(BR260="同属性",$EW$38/3,0)+IF(BR260="同年级",$EW$41/3,0)+IF(BR260="同学校",$EW$44/3,0)+IF(BR260="同小队",$EW$47/3,0)+IF(BR260="同type",INDEX($EX$53:$EX$56,MATCH(O260,$EW$53:$EW$56,))/3,0)),0)</f>
        <v>801.37270882240011</v>
      </c>
      <c r="BW260" s="1112">
        <f t="shared" ref="BW260:BW323" si="380">IF(BQ260="st",BS260*$EX$6/$EX$12*(+IF(BR260="全员",$EX$17*9,0)+IF(BR260="仲间",$EX$17*8,0)+IF(BR260="同作战",$EX$17*3,0)+IF(BR260="同属性",$EX$17*$EW$39,0)+IF(BR260="同年级",$EX$17*$EW$42,0)+IF(BR260="同学校",$EX$17*$EW$45,0)+IF(BR260="同小队",$EX$17*$EW$48,0)+IF(BR260="同type",$EX$17*INDEX($EX$57:$EX$60,MATCH(O260,$EW$57:$EW$60,)),0)+IF(BR260="自身",$AR260)),0)/$EW$65*$EW$78</f>
        <v>0</v>
      </c>
      <c r="BX260" s="1100">
        <f t="shared" ref="BX260:BX323" si="381">IF(BQ260="st",$EW$26*(HP($EW$62,$EW$65,$EW$64-BW260)/$EW$66-1),BT260)</f>
        <v>1602.7454176448</v>
      </c>
      <c r="BY260" s="1110">
        <f t="shared" ref="BY260:BY323" si="382">IF(BQ260="st",$EW$26*(HP($EW$62,$EW$65,$EW$64-BW260)/$EW$66-1),BV260)</f>
        <v>801.37270882240011</v>
      </c>
      <c r="BZ260" s="1107" t="s">
        <v>569</v>
      </c>
      <c r="CA260" s="1124"/>
      <c r="CB260" s="1098">
        <f>IF($P260="","N/A",IF($P260=-1,INDEX('卡片raw data'!BE:BE,MATCH($D260,'卡片raw data'!$F:$F,)),0)+IF($L260="party卡",IF($P260=5,INDEX('卡片raw data'!BK:BK,MATCH($D260,'卡片raw data'!$F:$F,)),IF($P260&gt;=3,INDEX('卡片raw data'!BJ:BJ,MATCH($D260,'卡片raw data'!$F:$F,)),INDEX('卡片raw data'!BI:BI,MATCH($D260,'卡片raw data'!$F:$F,)))),IF(OR(AND($F260="UR",$P260=0),AND($F260="SR",$P260&gt;=0,$P260&lt;=2),AND($F260="R",$P260&gt;=0,$P260&lt;4)),INDEX('卡片raw data'!BG:BG,MATCH($D260,'卡片raw data'!$F:$F,)),0)+IF(OR(AND($F260="UR",$P260&gt;=1,$P260&lt;=4),AND($F260="SR",$P260&lt;=4,$P260&gt;=3),AND($F260="R",$P260=4)),INDEX('卡片raw data'!BH:BH,MATCH($D260,'卡片raw data'!$F:$F,)),0)+IF($P260=5,INDEX('卡片raw data'!BI:BI,MATCH($D260,'卡片raw data'!$F:$F,)),0)))</f>
        <v>0</v>
      </c>
      <c r="CC260" s="1101">
        <f t="shared" ref="CC260:CC323" si="383">IF(BZ260="ap",CB260*$EX$5/$EX$11*(+IF(CA260="全员",$EW$26,0)+IF(CA260="同作战",$EW$26,0)+IF(CA260="仲间",$EW$26*2/3,0)+IF(CA260="同属性",$EW$26*$EW$37/3,0)+IF(CA260="同年级",$EW$26*$EW$40/3,0)+IF(CA260="同学校",$EW$26*$EW$43/3,0)+IF(CA260="同小队",$EW$26*$EW$46/3,0)+IF(CA260="同type",$EW$26*INDEX($EX$49:$EX$52,MATCH(O260,$EW$49:$EW$52,))/3,0)+IF(CA260="自身",$AW260,0)),0)+IF(BZ260="te",CB260*($EW$22-1)*0.00003*$EX$7/$EX$13*(+IF(CA260="全员",$EX$18*$EW$26/(1+($EW$22-1)*$EW$19),0)+IF(CA260="同作战",$EX$18*$EW$26/(1+($EW$22-1)*$EW$19),0)+IF(CA260="仲间",$EX$18*$EW$26/(1+($EW$22-1)*$EW$19)*2/3,0)+IF(CA260="同属性",$EX$18*$EW$26/(1+($EW$22-1)*$EW$19)*$EW$37/3,0)+IF(CA260="同年级",$EX$18*$EW$26/(1+($EW$22-1)*$EW$19)*$EW$40/3,0)+IF(CA260="同学校",$EX$18*$EW$26/(1+($EW$22-1)*$EW$19)*$EW$43/3,0)+IF(CA260="同小队",$EX$18*$EW$26/(1+($EW$22-1)*$EW$19)*$EW$46/3,0)+IF(CA260="同type",$EX$18*$EW$26/(1+($EW$22-1)*$EW$19)*INDEX($EX$49:$EX$52,MATCH(O260,$EW$49:$EW$52,))/3,0)+IF(CA260="自身",$AS260*$AW260/(1+(AV260-1)*$AU260),0)),0)</f>
        <v>0</v>
      </c>
      <c r="CD260" s="1097">
        <f>IF(BZ260="ap",CB260*(1-$FI$26)*$FB$5/$FB$11*(+IF(CA260="全员",$FA$24,0)+IF(CA260="同作战",$FA$24,0)+IF(CA260="仲间",$FA$24*2/3,0)+IF(CA260="同属性",$FA$24*$FA$37/3,0)+IF(CA260="同年级",$FA$24*$FA$40/3,0)+IF(CA260="同学校",$FA$24*$FA$43/3,0)+IF(CA260="同小队",$FA$24*$FA$46/3,0)+IF(CA260="同type",$FA$24*INDEX($FB$49:$FB$52,MATCH(X260,$FA$49:$FA$52,))/3,0)+IF(CA260="自身",#REF!/3,0)),0)+IF(BZ260="te",CB260*(1-$FI$27)*($FA$20-1)*$FB$7/$FB$13*(+IF(CA260="全员",$FA$19*$FA$24/(1+($FA$20-1)*$FA$19),0)+IF(CA260="同作战",$FA$19*$FA$24/(1+($FA$20-1)*$FA$19),0)+IF(CA260="仲间",$FA$19*$FA$24*2/3/(1+($FA$20-1)*$FA$19),0)+IF(CA260="同属性",$FA$19*$FA$24*$FA$37/3/(1+($FA$20-1)*$FA$19),0)+IF(CA260="同年级",$FA$19*$FA$24*$FA$40/3/(1+($FA$20-1)*$FA$19),0)+IF(CA260="同学校",$FA$19*$FA$24*$FA$43/3/(1+($FA$20-1)*$FA$19),0)+IF(CA260="同小队",$FA$19*$FA$24*$FA$46/3/(1+($FA$20-1)*$FA$19),0)+IF(CA260="同type",$FA$19*$FA$24*INDEX($FB$49:$FB$52,MATCH(X260,$FA$49:$FA$52,))/3/(1+($FA$20-1)*$FA$19),0)+IF(CA260="自身",$FA$19*#REF!/3/(1+(BH260-1)*$BD260),0)),0)</f>
        <v>0</v>
      </c>
      <c r="CE260" s="1097">
        <f t="shared" ref="CE260:CE323" si="384">IF(BZ260="ap",CB260*$EW$26*$EX$5/$EX$11*(+IF(CA260="全员",1,0)+IF(CA260="仲间",1,0)+IF(CA260="同属性",$EW$38/3,0)+IF(CA260="同年级",$EW$41/3,0)+IF(CA260="同学校",$EW$44/3,0)+IF(CA260="同小队",$EW$47/3,0)+IF(CA260="同type",INDEX($EX$53:$EX$56,MATCH(X260,$EW$53:$EW$56,))/3,0)),0)+IF(BZ260="te",CB260*($EW$22-1)*0.00003*$EX$18*$EW$26/(1+($EW$22-1)*$EW$19)*$EX$7/$EX$13*(+IF(CA260="全员",1,0)+IF(CA260="仲间",1,0)+IF(CA260="同属性",$EW$38/3,0)+IF(CA260="同年级",$EW$41/3,0)+IF(CA260="同学校",$EW$44/3,0)+IF(CA260="同小队",$EW$47/3,0)+IF(CA260="同type",INDEX($EX$53:$EX$56,MATCH(X260,$EW$53:$EW$56,))/3,0)),0)</f>
        <v>0</v>
      </c>
      <c r="CF260" s="1112">
        <f t="shared" ref="CF260:CF323" si="385">IF(BZ260="st",CB260*$EX$6/$EX$12*(+IF(CA260="全员",$EX$17*9,0)+IF(CA260="仲间",$EX$17*8,0)+IF(CA260="同作战",$EX$17*3,0)+IF(CA260="同属性",$EX$17*$EW$39,0)+IF(CA260="同年级",$EX$17*$EW$42,0)+IF(CA260="同学校",$EX$17*$EW$45,0)+IF(CA260="同小队",$EX$17*$EW$48,0)+IF(CA260="同type",$EX$17*INDEX($EX$57:$EX$60,MATCH(O260,$EW$57:$EW$60,)),0)+IF(CA260="自身",$AR260)),0)/$EW$65*$EW$78</f>
        <v>0</v>
      </c>
      <c r="CG260" s="1100">
        <f t="shared" ref="CG260:CG323" si="386">IF(BZ260="st",$EW$26*(HP($EW$62,$EW$65,$EW$64-CF260)/$EW$66-1),CC260)</f>
        <v>0</v>
      </c>
      <c r="CH260" s="1110">
        <f t="shared" ref="CH260:CH323" si="387">IF(BZ260="st",$EW$26*(HP($EW$62,$EW$65,$EW$64-CF260)/$EW$66-1),CE260)</f>
        <v>0</v>
      </c>
      <c r="CI260" s="1113" t="s">
        <v>164</v>
      </c>
      <c r="CJ260" s="1114">
        <v>0.5</v>
      </c>
      <c r="CK260" s="1115" t="s">
        <v>601</v>
      </c>
      <c r="CL260" s="1115" t="s">
        <v>161</v>
      </c>
      <c r="CM260" s="1119">
        <v>0.08</v>
      </c>
      <c r="CN260" s="1115">
        <v>10</v>
      </c>
      <c r="CO260" s="1092"/>
      <c r="CP260" s="1118">
        <f t="shared" ref="CP260:CP323" si="388">IF(OR(CK260="无",CI260="大量伤害",CI260="AC失败",CI260="低血量",CK260="复活",CK260="驱散",CK260="Gd切队效果up"),0,IF(AND(CK260="sp获得",CI260="AC成功"),0,IF(CK260="其他",0,IF(CN260=0,CM260*(IF(CL260="ap",AQ260*IF(CK260="vo获得",AP260,1))+IF(CL260="st",AR260)+IF(CL260="te",AS260)+IF(CL260="sp槽",$EW$77)+IF(CL260="",1))*(IF(CI260="曲开始",CJ260,0)+IF(CI260="切队",IF(CO260&lt;&gt;"",MIN(CO260,CJ260*$EW$79),CJ260*$EW$79))+IF(CI260="SP发动",IF(CO260&lt;&gt;"",MIN(CO260,CJ260*$EW$76),CJ260*$EW$76))+IF(CI260="ap时",IF(CO260&lt;&gt;"",MIN(CO260,CJ260*$EW$65/3),CJ260*$EW$65/3),0)+IF(CI260="伤害时",IF(CO260&lt;&gt;"",MIN(CO260,CJ260*$EW$65*(1-$EW$75)),CJ260*$EW$65*(1-$EW$75)),0)+IF(CI260="ct时",IF(CO260&lt;&gt;"",MIN(CO260,CJ260*$EW$65/3*$AU260),CJ260*$EW$65/3*$AU260),0)+IF(OR(CI260="AC时",CI260="AC成功"),IF(CO260&lt;&gt;"",MIN(CO260,CJ260*$EW$73),CJ260*$EW$73))),0)/$EW$65+IF(CN260="infty",IF(OR(CI260="曲开始",AND(CJ260=1,CO260=1)),CM260*CJ260,IF(CI260="SP发动",IF(CO260=1,CM260*(1-(1-(1-CJ260)^($EW$76+1))/(($EW$76+1)*CJ260)))+IF(CO260="",CJ260*CM260*$EW$76/2),0)+IF(CI260="AC时",IF(CO260=1,CM260*(1-(1-(1-CJ260)^($EW$73+1))/(($EW$73+1)*CJ260)))+IF(CO260="",CJ260*CM260*$EW$73/2),0)+IF(CI260="AC成功",IF(CO260=1,CM260*(1-(1-(1-CJ260)^($EW$73+1))/(($EW$73+1)*CJ260)))+IF(CO260="",CJ260*CM260*$EW$73/2),0)),0)*(IF(CL260="全员",1,0)+IF(CL260="同属性",$EW$37/3,0)+IF(CL260="同年级",$EW$40/3,0)+IF(CL260="同作战",1,0)+IF(CL260="自身",1/3,0)+IF(CL260="同type",INDEX($EX$49:$EX$52,MATCH($O260,$EW$49:$EW$52,))/3))+IF(AND(CN260&lt;&gt;0,CN260&lt;&gt;"infty"),IF(CN260="AC内",$EW$74,CN260)*CM260*(IF(CI260="曲开始",CJ260,0)+IF(CI260="切队",IF(CO260&lt;&gt;"",MIN(CO260,CJ260*$EW$79),CJ260*$EW$79))+IF(CI260="SP发动",IF(CO260&lt;&gt;"",MIN(CO260,CJ260*$EW$76),CJ260*$EW$76))+IF(CI260="ap时",IF(CO260&lt;&gt;"",MIN(CO260,CJ260*$EW$65/3),CJ260*$EW$65/3),0)+IF(CI260="伤害时",IF(CO260&lt;&gt;"",MIN(CO260,CJ260*$EW$65*(1-$EW$75)),CJ260*$EW$65*(1-$EW$75)),0)+IF(CI260="ct时",IF(CO260&lt;&gt;"",MIN(CO260,CJ260*$EW$65/3*$AU260),CJ260*$EW$65/3*$AU260),0)+IF(OR(CI260="AC时",CI260="AC成功"),IF(CO260&lt;&gt;"",MIN(CO260,CJ260*$EW$73),CJ260*$EW$73))),0)/$EW$65*(IF(CL260="全员",1,0)+IF(CL260="同属性",$EW$37/3,0)+IF(CL260="同年级",$EW$40/3,0)+IF(CL260="同学校",$EW$43/3,0)+IF(CL260="同作战",1,0)+IF(CL260="自身",1/3,0)+IF(CL260="同type",INDEX($EX$49:$EX$52,MATCH($O260,$EW$49:$EW$52,))/3)-IF(AND(CK260="ct+",CL260&lt;&gt;"仲间"),MAX(CM260+$AU260-1,0)/CM260/3)))))</f>
        <v>8.5714285714285719E-3</v>
      </c>
      <c r="CQ260" s="1118">
        <f t="shared" ref="CQ260:CQ323" si="389">IF(OR(CK260="无",CI260="大量伤害",CI260="AC失败",CI260="低血量",CK260="复活",CK260="驱散",CK260="Gd切队效果up"),0,IF(AND(CK260="sp获得",CI260="AC成功"),0,IF(CK260="其他",0,IF(CN260=0,CM260*(IF(CL260="ap",BA260*IF(CK260="vo获得",AP260,1))+IF(CL260="st",BB260)+IF(CL260="te",BC260)+IF(CL260="sp槽",$FA$69)+IF(CL260="",1))*(IF(CK260="sp获得",$FA$30,1))*(IF(CI260="曲开始",CJ260,0)+IF(CI260="切队",IF(CO260&lt;&gt;"",MIN(CO260,CJ260*$FA$71),CJ260*$FA$71))+IF(CI260="SP发动",IF(CO260&lt;&gt;"",MIN(CO260,CJ260*$FA$68),CJ260*$FA$68))+IF(CI260="ap时",IF(CO260&lt;&gt;"",MIN(CO260,CJ260*$FA$62/3),CJ260*$FA$62/3),0)+IF(CI260="伤害时",IF(CO260&lt;&gt;"",MIN(CO260,CJ260*$FA$62*(1-$FA$67)),CJ260*$FA$62*(1-$FA$67)),0)+IF(CI260="ct时",IF(CO260&lt;&gt;"",MIN(CO260,CJ260*$FA$62/3*$BD260),CJ260*$FA$62/3*$BD260),0)+IF(OR(CI260="AC时",CI260="AC成功"),IF(CO260&lt;&gt;"",MIN(CO260,CJ260*$FA$65),CJ260*$FA$65))),0)/$FA$62+IF(CN260="infty",IF(OR(CI260="曲开始",AND(CJ260=1,CO260=1)),CM260*CJ260,IF(CI260="SP发动",IF(CO260=1,CM260*(1-(1-(1-CJ260)^($FA$68+1))/(($FA$68+1)*CJ260)))+IF(CO260="",CJ260*CM260*$FA$68/2),0)+IF(CI260="AC时",IF(CO260=1,CM260*(1-(1-(1-CJ260)^($FA$65+1))/(($FA$65+1)*CJ260)))+IF(CO260="",CJ260*CM260*$FA$65/2),0)+IF(CI260="AC成功",IF(CO260=1,CM260*(1-(1-(1-CJ260)^($FA$65+1))/(($FA$65+1)*CJ260)))+IF(CO260="",CJ260*CM260*$FA$65/2),0)),0)*(IF(CL260="全员",1,0)+IF(CL260="同属性",$FA$37/3,0)+IF(CL260="同年级",$FA$40/3,0)+IF(CL260="同作战",1,0)+IF(CL260="自身",1/3,0)+IF(CL260="同type",INDEX($FB$49:$FB$52,MATCH($O260,$FA$49:$FA$52,))/3))+IF(AND(CN260&lt;&gt;0,CN260&lt;&gt;"infty"),IF(CN260="AC内",$FA$66,CN260)*CM260*(IF(CI260="曲开始",CJ260,0)+IF(CI260="切队",IF(CO260&lt;&gt;"",MIN(CO260,CJ260*$FA$71),CJ260*$FA$71))+IF(CI260="SP发动",IF(CO260&lt;&gt;"",MIN(CO260,CJ260*$FA$68),CJ260*$FA$68))+IF(CI260="ap时",IF(CO260&lt;&gt;"",MIN(CO260,CJ260*$FA$62/3),CJ260*$FA$62/3),0)+IF(CI260="伤害时",IF(CO260&lt;&gt;"",MIN(CO260,CJ260*$FA$62*(1-$FA$67)),CJ260*$FA$62*(1-$FA$67)),0)+IF(CI260="ct时",IF(CO260&lt;&gt;"",MIN(CO260,CJ260*$FA$62/3*$BD260),CJ260*$FA$62/3*$BD260),0)+IF(OR(CI260="AC时",CI260="AC成功"),IF(CO260&lt;&gt;"",MIN(CO260,CJ260*$FA$65),CJ260*$FA$65))),0)/$FA$62*(IF(CL260="全员",1,0)+IF(CL260="同属性",$FA$37/3,0)+IF(CL260="同年级",$FA$40/3,0)+IF(CL260="同学校",$FA$43/3,0)+IF(CL260="同作战",1,0)+IF(CL260="自身",1/3,0)+IF(CL260="同type",INDEX($FB$49:$FB$52,MATCH($O260,$FA$49:$FA$52,))/3)-IF(AND(CK260="ct+",CL260&lt;&gt;"仲间"),MAX(CM260+$BD260-1,0)/3/CM260)))))</f>
        <v>1.3333333333333336E-2</v>
      </c>
      <c r="CR260" s="1118">
        <f t="shared" ref="CR260:CR323" si="390">IF(OR(CK260="无",CI260="大量伤害",CI260="AC失败",CI260="低血量",CK260="复活",CK260="驱散",CK260="Gd切队效果up"),0,IF(AND(CK260="sp获得",CI260="AC成功"),0,IF(CK260="其他",0,IF(CN260=0,CM260*(IF(CL260="ap",AQ260*IF(CK260="vo获得",AP260,1))+IF(CL260="st",AR260)+IF(CL260="te",AS260)+IF(CL260="sp槽",$EW$77)+IF(CL260="",1))*(IF(CI260="曲开始",CJ260,0)+IF(CI260="切队",IF(CO260&lt;&gt;"",MIN(CO260,CJ260*$EW$79),CJ260*$EW$79))+IF(CI260="SP发动",IF(CO260&lt;&gt;"",MIN(CO260,CJ260*$EW$76),CJ260*$EW$76))+IF(CI260="ap时",0)+IF(CI260="伤害时",IF(CO260&lt;&gt;"",MIN(CO260,CJ260*$EW$65*(1-$EW$75)),CJ260*$EW$65*(1-$EW$75)),0)+IF(CI260="ct时",0)+IF(OR(CI260="AC时",CI260="AC成功"),IF(CO260&lt;&gt;"",MIN(CO260,CJ260*$EW$73),CJ260*$EW$73))),0)/$EW$65+IF(CN260="infty",IF(OR(CI260="曲开始",AND(CJ260=1,CO260=1)),CM260*CJ260,IF(CI260="SP发动",IF(CO260=1,CM260*(1-(1-(1-CJ260)^($EW$76+1))/(($EW$76+1)*CJ260)))+IF(CO260="",CJ260*CM260*$EW$76/2),0)+IF(CI260="AC时",IF(CO260=1,CM260*(1-(1-(1-CJ260)^($EW$73+1))/(($EW$73+1)*CJ260)))+IF(CO260="",CJ260*CM260*$EW$73/2),0)+IF(CI260="AC成功",IF(CO260=1,CM260*(1-(1-(1-CJ260)^($EW$73+1))/(($EW$73+1)*CJ260)))+IF(CO260="",CJ260*CM260*$EW$73/2),0)),0)*(IF(CL260="全员",1,0)+IF(CL260="同属性",$EW$38/3,0)+IF(CL260="同年级",$EW$41/3,0)+IF(CL260="同作战",0,0)+IF(CL260="自身",0,0)+IF(CL260="同type",INDEX($EX$53:$EX$56,MATCH($O260,$EW$53:$EW$56,))/3))+IF(AND(CN260&lt;&gt;0,CN260&lt;&gt;"infty"),IF(CN260="AC内",$EW$74,CN260)*(IF(CI260="曲开始",CM260*CJ260,0)+IF(CI260="切队",CM260*IF(CO260&lt;&gt;"",MIN(CO260,CJ260*$EW$79),CJ260*$EW$79))+IF(CI260="SP发动",CM260*IF(CO260&lt;&gt;"",MIN(CO260,CJ260*$EW$76),CJ260*$EW$76))+IF(CI260="ap时",0,0)+IF(CI260="伤害时",CM260*IF(CO260&lt;&gt;"",MIN(CO260,CJ260*$EW$65*(1-$EW$75)),CJ260*$EW$65*(1-$EW$75)),0)+IF(CI260="ct时",0,0)+IF(OR(CI260="AC时",CI260="AC成功"),CM260*IF(CO260&lt;&gt;"",MIN(CO260,CJ260*$EW$73),CJ260*$EW$73))),0)/$EW$65*(IF(CL260="全员",1,0)+IF(CL260="同属性",$EW$38/3,0)+IF(CL260="同年级",$EW$41/3,0)+IF(CL260="同学校",$EW$44/3,0)+IF(CL260="同作战",0,0)+IF(CL260="自身",0,0)+IF(CL260="同type",INDEX($EX$53:$EX$56,MATCH($O260,$EW$53:$EW$56,))/3)))))</f>
        <v>8.5714285714285719E-3</v>
      </c>
      <c r="CS260" s="1118">
        <f t="shared" ref="CS260:CS323" si="391">IF(CK260="技能+",IF(CN260="infty",(IF(CI260="曲开始",CM260*CJ260)+IF(OR(CI260="AC时",CI260="AC成功"),(1-(1-(1-CJ260)^($FM$20+1))/(($FM$20+1)*CJ260))*CM260))*(IF(CL260="全员",1)))+IF(CN260&lt;&gt;"infty",CM260*(IF(CI260="曲开始",CJ260*CN260/$FM$19)+IF(OR(CI260="AC时",CI260="AC成功"),CN260*IF(CO260&lt;&gt;"",MIN(CO260,CJ260*$FM$20),CJ260*$FM$20)/$FM$19)+IF(CI260="切队",CN260*IF(CO260&lt;&gt;"",MIN(CJ260*$FM$11,CO260/$FM$19),CJ260*$FM$11))+IF(CI260="ap时",IF(CO260&lt;&gt;"",MIN(CO260/$FM275,IF($O260="sk",$FM$10,$FM$9)*CJ260),IF($O260="sk",$FM$10,$FM$9)*CJ260)*CN260)+IF(CI260="ct时",IF(CO260&lt;&gt;"",MIN(CO260/$FM275,$AU260*IF($O260="sk",$FM$10,$FM$9)*CJ260),$AU260*IF($O260="sk",$FM$10,$FM$9)*CJ260)*CN260))*(IF(CL260="全员",1)+IF(CL260="同作战",IF($O260="sk",$FM$10*3,$FM$9*3))+IF(CL260="同属性",$FM$23/6)+IF(CL260="同年级",$FM$24/6)+IF(CL260="自身",IF($O260="sk",$FM$10,$FM$9)))),0)*$FM$16</f>
        <v>1.1388888888888888E-2</v>
      </c>
      <c r="CT260" s="1109">
        <f t="shared" ref="CT260:CT323" si="392">IF(CK260="sp+",IF(CN260="infty",(IF(CI260="曲开始",CM260*CJ260*$FM$28)+IF(OR(CI260="AC时",CI260="AC成功"),(1-(1-(1-CJ260)^($FM$20+1))/(($FM$20+1)*CJ260))*CM260*$FM$28))*(IF(CL260="全员",1)))+IF(CN260&lt;&gt;"infty",CM260*$FM$28*(IF(CI260="曲开始",CJ260*CN260/$FM$19)+IF(OR(CI260="AC时",CI260="AC成功"),CN260*IF(CO260&lt;&gt;"",MIN(CO260,CJ260*$FM$20),CJ260*$FM$20)/$FM$19)+IF(CI260="切队",CN260*IF(CO260&lt;&gt;"",MIN(CJ260*$FM$11,CO260/$FM$19),CJ260*$FM$11))+IF(CI260="ap时",IF(CO260&lt;&gt;"",MIN(CO260/$FM275,IF($O260="sk",$FM$10,$FM$9)*CJ260),IF($O260="sk",$FM$10,$FM$9)*CJ260)*CN260)+IF(CI260="ct时",IF(CO260&lt;&gt;"",MIN(CO260/$FM275,$AU260*IF($O260="sk",$FM$10,$FM$9)*CJ260),$AU260*IF($O260="sk",$FM$10,$FM$9)*CJ260)*CN260))*(IF(CL260="全员",1)+IF(CL260="同作战",IF($O260="sk",$FM$10*3,$FM$9*3))+IF(CL260="同属性",$FM$23/6)+IF(CL260="同年级",$FM$24/6)+IF(CL260="同type",IF(O260="sp",$FN$6*$FM$9)))),0)+IF(CK260="sp获得",IF(CI260="AC成功",0,CM260*(IF(CL260="ap",AQ260)+IF(CL260="st",AR260)+IF(CL260="te",AS260)+IF(CL260="sp槽",$EW$77)+IF(CL260="",1))*IF($O260="sk",1,1+(1+$FM$10/$FM$9)*($FM$27-1))*(IF(CI260="曲开始",CJ260/$FM$19)+IF(CI260="SP发动",IF(CO260&lt;&gt;"",MIN(CO260/$FM$19,CJ260*$FM$30/$FM$19),CJ260*$FM$30/$FM$19))+IF(CI260="切队",IF(CO260&lt;&gt;"",MIN(CO260/$FM$19,CJ260*$FM$11),CJ260*$FM$11))+IF(OR(CI260="AC时",CI260="AC成功"),IF(CO260&lt;&gt;"",MIN(CO260/$FM$19,CJ260*$FM$20/$FM$19),CJ260*$FM$20/$FM$19))+IF(CI260="ap时",IF(CO260&lt;&gt;"",MIN(CO260/$FM$19,CJ260*IF($O260="sk",$FM$10,$FM$9)),CJ260*IF($O260="sk",$FM$10,$FM$9)))+IF(CI260="ct时",IF(CO260&lt;&gt;"",MIN(CO260/$FM$19,CJ260*IF($O260="sk",$FM$10,$FM$9)*$AU260),CJ260*IF($O260="sk",$FM$10,$FM$9)*$AU260)))))</f>
        <v>0</v>
      </c>
      <c r="CU260" s="1101">
        <f t="shared" ref="CU260:CU323" si="393">IF(AND(CK260="技能+",CL260="自身",$DR260=0.11),0,IF(CK260="sp+",CP260*$EW$30*$EW$32*(1-$EW$33),0)+IF(CK260="ap+",CP260*$EW$26/(1+$EW$15),0)+IF(CK260="ap+元气",CP260*$EW$26/(1+$EW$15)*$EW$67,0)+IF(CK260="技能+",$EW$28*CP260/$EW$27,0)+IF(CK260="vo+",$EW$26*CP260,0)+IF(CK260="sp获得",CP260*(1-$EW$33)*$EW$30/$EW$77)+IF(CK260="vo获得",CP260*$EW$24)+IF(CK260="ct+",$EW$26/(1+($EW$22-1)*$EW$19)*($EW$22-1)*CP260)+IF(CK260="核弹",$EW$24*CP260*(1+$EW$23))+IF(CK260="ct值+",$EW$26/(1+($EW$22-1)*$EW$19)*$EW$19*CP260))</f>
        <v>363.63636363636363</v>
      </c>
      <c r="CV260" s="1108">
        <f t="shared" ref="CV260:CV323" si="394">IF(AND(CK260="技能+",CL260="自身",$DR260=0.11),0,IF(CK260="sp+",CQ260*$FA$27*$FA$32*(1-$FA$33),0)+IF(CK260="ap+",CQ260*$FA$24/(1+$FA$15)*(1-$FI$26),0)+IF(CK260="ap+元气",CQ260*$FA$24/(1+$FA$15)*(1-$FI$26)*$FA$64,0)+IF(CK260="技能+",$FA$26*CQ260/$FA$25,0)+IF(CK260="vo+",$FA$24*CQ260*(1-$FI$26),0)+IF(CK260="sp获得",CQ260*(1-$FA$33)*$FA$27/$FA$69)+IF(CK260="vo获得",CQ260*$FA$22)+IF(CK260="ct+",$FA$24/(1+($FA$20-1)*$FA$19)*($FA$20-1)*CQ260*(1-$FI$27))+IF(CK260="核弹",CQ260*(1+$FA$21)*(1-$FI$29))+IF(CK260="ct值+",$FA$24/(1+($FA$20-1)*$FA$19)*$FA$19*CQ260*(1-$FI$28))+IF(CK260="自身ct时上限突破",CQ260*$FI$24*$FI$26*BD260,0))</f>
        <v>303.03030303030306</v>
      </c>
      <c r="CW260" s="1097">
        <f t="shared" ref="CW260:CW323" si="395">IF(CK260="sp+",CR260*$EW$30*$EW$32*(1-$EW$33),0)+IF(CK260="ap+",CR260*$EW$26/(1+$EW$15),0)+IF(CK260="ap+元气",CR260*$EW$26/(1+$EW$15)*$EW$67,0)+IF(CK260="技能+",$EW$28*CR260/$EW$27,0)+IF(CK260="vo+",$EW$26*CR260,0)+IF(CK260="sp获得",CR260*(1-$EW$33)*$EW$30/$EW$77)+IF(CK260="vo获得",CR260*$EW$24)+IF(CK260="ct+",$EW$26/(1+($EW$22-1)*$EW$19)*($EW$22-1)*CR260)+IF(CK260="核弹",CR260*(1+$EW$23)*$EW$24)+IF(CK260="ct值+",$EW$26/(1+($EW$22-1)*$EW$19)*$EW$19*CR260)</f>
        <v>363.63636363636363</v>
      </c>
      <c r="CX260" s="1097">
        <f t="shared" ref="CX260:CX323" si="396">CU260+IF(OR(CK260="加盾",AND(CK260="回血",OR(CI260&lt;&gt;"切队",CO260=""))),MIN($EW$26/$EW$66*(1-$EW$66)-$EE260+$EC260-$ET260+$ER260, $EW$26*(HP($EW$62,$EW$65,$EW$64-CP260)/$EW$66-1)))+IF(CK260="减伤",MIN($EW$26/$EW$66*(1-$EW$66)-$EE260+$EC260-$ET260+$ER260, $EW$26*(HP($EW$62,$EW$65,$EW$64*(1-CP260))/$EW$66-1)))</f>
        <v>363.63636363636363</v>
      </c>
      <c r="CY260" s="1110">
        <f t="shared" ref="CY260:CY323" si="397">CW260+(IF(OR(CK260="加盾",AND(CK260="回血",OR(CI260&lt;&gt;"切队",CO260=""))),$EW$26*(HP($EW$62,$EW$65,$EW$64-CP260)/$EW$66-1))+IF(CK260="减伤",$EW$26*(HP($EW$62,$EW$65,$EW$64*(1-CP260))/$EW$66-1)))*IF(OR(CL260="自身",CL260="同作战"),0,1)*IF(OR(CI260="ap时",CI260="ct时"),0,1)</f>
        <v>363.63636363636363</v>
      </c>
      <c r="CZ260" s="437"/>
      <c r="DA260" s="438"/>
      <c r="DB260" s="439" t="s">
        <v>569</v>
      </c>
      <c r="DC260" s="439"/>
      <c r="DD260" s="443"/>
      <c r="DE260" s="411"/>
      <c r="DF260" s="411"/>
      <c r="DG260" s="1116">
        <f t="shared" ref="DG260:DG323" si="398">IF(OR(DB260="无",CZ260="大量伤害",CZ260="AC失败",CZ260="低血量",DB260="复活",DB260="驱散",DB260="Gd切队效果up"),0,IF(AND(DB260="sp获得",CZ260="AC成功"),0,IF(DB260="其他",0,IF(DE260=0,DD260*(IF(DC260="ap",BH260*IF(DB260="vo获得",BG260,1))+IF(DC260="st",BI260)+IF(DC260="te",BJ260)+IF(DC260="sp槽",$EW$77)+IF(DC260="",1))*(IF(CZ260="曲开始",DA260,0)+IF(CZ260="切队",IF(DF260&lt;&gt;"",MIN(DF260,DA260*$EW$79),DA260*$EW$79))+IF(CZ260="SP发动",IF(DF260&lt;&gt;"",MIN(DF260,DA260*$EW$76),DA260*$EW$76))+IF(CZ260="ap时",IF(DF260&lt;&gt;"",MIN(DF260,DA260*$EW$65/3),DA260*$EW$65/3),0)+IF(CZ260="伤害时",IF(DF260&lt;&gt;"",MIN(DF260,DA260*$EW$65*(1-$EW$75)),DA260*$EW$65*(1-$EW$75)),0)+IF(CZ260="ct时",IF(DF260&lt;&gt;"",MIN(DF260,DA260*$EW$65/3*$AU260),DA260*$EW$65/3*$AU260),0)+IF(OR(CZ260="AC时",CZ260="AC成功"),IF(DF260&lt;&gt;"",MIN(DF260,DA260*$EW$73),DA260*$EW$73))),0)/$EW$65+IF(DE260="infty",IF(OR(CZ260="曲开始",AND(DA260=1,DF260=1)),DD260*DA260,IF(CZ260="SP发动",IF(DF260=1,DD260*(1-(1-(1-DA260)^($EW$76+1))/(($EW$76+1)*DA260)))+IF(DF260="",DA260*DD260*$EW$76/2),0)+IF(CZ260="AC时",IF(DF260=1,DD260*(1-(1-(1-DA260)^($EW$73+1))/(($EW$73+1)*DA260)))+IF(DF260="",DA260*DD260*$EW$73/2),0)+IF(CZ260="AC成功",IF(DF260=1,DD260*(1-(1-(1-DA260)^($EW$73+1))/(($EW$73+1)*DA260)))+IF(DF260="",DA260*DD260*$EW$73/2),0)),0)*(IF(DC260="全员",1,0)+IF(DC260="同属性",$EW$37/3,0)+IF(DC260="同年级",$EW$40/3,0)+IF(DC260="同作战",1,0)+IF(DC260="自身",1/3,0)+IF(DC260="同type",INDEX($EX$49:$EX$52,MATCH($O260,$EW$49:$EW$52,))/3))+IF(AND(DE260&lt;&gt;0,DE260&lt;&gt;"infty"),IF(DE260="AC内",$EW$74,DE260)*DD260*(IF(CZ260="曲开始",DA260,0)+IF(CZ260="切队",IF(DF260&lt;&gt;"",MIN(DF260,DA260*$EW$79),DA260*$EW$79))+IF(CZ260="SP发动",IF(DF260&lt;&gt;"",MIN(DF260,DA260*$EW$76),DA260*$EW$76))+IF(CZ260="ap时",IF(DF260&lt;&gt;"",MIN(DF260,DA260*$EW$65/3),DA260*$EW$65/3),0)+IF(CZ260="伤害时",IF(DF260&lt;&gt;"",MIN(DF260,DA260*$EW$65*(1-$EW$75)),DA260*$EW$65*(1-$EW$75)),0)+IF(CZ260="ct时",IF(DF260&lt;&gt;"",MIN(DF260,DA260*$EW$65/3*$AU260),DA260*$EW$65/3*$AU260),0)+IF(OR(CZ260="AC时",CZ260="AC成功"),IF(DF260&lt;&gt;"",MIN(DF260,DA260*$EW$73),DA260*$EW$73))),0)/$EW$65*(IF(DC260="全员",1,0)+IF(DC260="同属性",$EW$37/3,0)+IF(DC260="同年级",$EW$40/3,0)+IF(DC260="同学校",$EW$43/3,0)+IF(DC260="同作战",1,0)+IF(DC260="自身",1/3,0)+IF(DC260="同type",INDEX($EX$49:$EX$52,MATCH($O260,$EW$49:$EW$52,))/3)-IF(AND(DB260="ct+",DC260&lt;&gt;"仲间"),MAX(DD260+$AU260-1,0)/DD260/3)))))</f>
        <v>0</v>
      </c>
      <c r="DH260" s="1116">
        <f t="shared" ref="DH260:DH323" si="399">IF(OR(DB260="无",CZ260="大量伤害",CZ260="AC失败",CZ260="低血量",DB260="复活",DB260="驱散",DB260="Gd切队效果up"),0,IF(AND(DB260="sp获得",CZ260="AC成功"),0,IF(DB260="其他",0,IF(DE260=0,DD260*(IF(DC260="ap",BR260*IF(DB260="vo获得",BG260,1))+IF(DC260="st",BS260)+IF(DC260="te",BT260)+IF(DC260="sp槽",$FA$69)+IF(DC260="",1))*(IF(DB260="sp获得",$FA$30,1))*(IF(CZ260="曲开始",DA260,0)+IF(CZ260="切队",IF(DF260&lt;&gt;"",MIN(DF260,DA260*$FA$71),DA260*$FA$71))+IF(CZ260="SP发动",IF(DF260&lt;&gt;"",MIN(DF260,DA260*$FA$68),DA260*$FA$68))+IF(CZ260="ap时",IF(DF260&lt;&gt;"",MIN(DF260,DA260*$FA$62/3),DA260*$FA$62/3),0)+IF(CZ260="伤害时",IF(DF260&lt;&gt;"",MIN(DF260,DA260*$FA$62*(1-$FA$67)),DA260*$FA$62*(1-$FA$67)),0)+IF(CZ260="ct时",IF(DF260&lt;&gt;"",MIN(DF260,DA260*$FA$62/3*$BD260),DA260*$FA$62/3*$BD260),0)+IF(OR(CZ260="AC时",CZ260="AC成功"),IF(DF260&lt;&gt;"",MIN(DF260,DA260*$FA$65),DA260*$FA$65))),0)/$FA$62+IF(DE260="infty",IF(OR(CZ260="曲开始",AND(DA260=1,DF260=1)),DD260*DA260,IF(CZ260="SP发动",IF(DF260=1,DD260*(1-(1-(1-DA260)^($FA$68+1))/(($FA$68+1)*DA260)))+IF(DF260="",DA260*DD260*$FA$68/2),0)+IF(CZ260="AC时",IF(DF260=1,DD260*(1-(1-(1-DA260)^($FA$65+1))/(($FA$65+1)*DA260)))+IF(DF260="",DA260*DD260*$FA$65/2),0)+IF(CZ260="AC成功",IF(DF260=1,DD260*(1-(1-(1-DA260)^($FA$65+1))/(($FA$65+1)*DA260)))+IF(DF260="",DA260*DD260*$FA$65/2),0)),0)*(IF(DC260="全员",1,0)+IF(DC260="同属性",$FA$37/3,0)+IF(DC260="同年级",$FA$40/3,0)+IF(DC260="同作战",1,0)+IF(DC260="自身",1/3,0)+IF(DC260="同type",INDEX($FB$49:$FB$52,MATCH($O260,$FA$49:$FA$52,))/3))+IF(AND(DE260&lt;&gt;0,DE260&lt;&gt;"infty"),IF(DE260="AC内",$FA$66,DE260)*DD260*(IF(CZ260="曲开始",DA260,0)+IF(CZ260="切队",IF(DF260&lt;&gt;"",MIN(DF260,DA260*$FA$71),DA260*$FA$71))+IF(CZ260="SP发动",IF(DF260&lt;&gt;"",MIN(DF260,DA260*$FA$68),DA260*$FA$68))+IF(CZ260="ap时",IF(DF260&lt;&gt;"",MIN(DF260,DA260*$FA$62/3),DA260*$FA$62/3),0)+IF(CZ260="伤害时",IF(DF260&lt;&gt;"",MIN(DF260,DA260*$FA$62*(1-$FA$67)),DA260*$FA$62*(1-$FA$67)),0)+IF(CZ260="ct时",IF(DF260&lt;&gt;"",MIN(DF260,DA260*$FA$62/3*$BD260),DA260*$FA$62/3*$BD260),0)+IF(OR(CZ260="AC时",CZ260="AC成功"),IF(DF260&lt;&gt;"",MIN(DF260,DA260*$FA$65),DA260*$FA$65))),0)/$FA$62*(IF(DC260="全员",1,0)+IF(DC260="同属性",$FA$37/3,0)+IF(DC260="同年级",$FA$40/3,0)+IF(DC260="同学校",$FA$43/3,0)+IF(DC260="同作战",1,0)+IF(DC260="自身",1/3,0)+IF(DC260="同type",INDEX($FB$49:$FB$52,MATCH($O260,$FA$49:$FA$52,))/3)-IF(AND(DB260="ct+",DC260&lt;&gt;"仲间"),MAX(DD260+$BD260-1,0)/3/DD260)))))</f>
        <v>0</v>
      </c>
      <c r="DI260" s="1116">
        <f t="shared" ref="DI260:DI323" si="400">IF(OR(DB260="无",CZ260="大量伤害",CZ260="AC失败",CZ260="低血量",DB260="复活",DB260="驱散",DB260="Gd切队效果up"),0,IF(AND(DB260="sp获得",CZ260="AC成功"),0,IF(DB260="其他",0,IF(DE260=0,DD260*(IF(DC260="ap",BH260*IF(DB260="vo获得",BG260,1))+IF(DC260="st",BI260)+IF(DC260="te",BJ260)+IF(DC260="sp槽",$EW$77)+IF(DC260="",1))*(IF(CZ260="曲开始",DA260,0)+IF(CZ260="切队",IF(DF260&lt;&gt;"",MIN(DF260,DA260*$EW$79),DA260*$EW$79))+IF(CZ260="SP发动",IF(DF260&lt;&gt;"",MIN(DF260,DA260*$EW$76),DA260*$EW$76))+IF(CZ260="ap时",0)+IF(CZ260="伤害时",IF(DF260&lt;&gt;"",MIN(DF260,DA260*$EW$65*(1-$EW$75)),DA260*$EW$65*(1-$EW$75)),0)+IF(CZ260="ct时",0)+IF(OR(CZ260="AC时",CZ260="AC成功"),IF(DF260&lt;&gt;"",MIN(DF260,DA260*$EW$73),DA260*$EW$73))),0)/$EW$65+IF(DE260="infty",IF(OR(CZ260="曲开始",AND(DA260=1,DF260=1)),DD260*DA260,IF(CZ260="SP发动",IF(DF260=1,DD260*(1-(1-(1-DA260)^($EW$76+1))/(($EW$76+1)*DA260)))+IF(DF260="",DA260*DD260*$EW$76/2),0)+IF(CZ260="AC时",IF(DF260=1,DD260*(1-(1-(1-DA260)^($EW$73+1))/(($EW$73+1)*DA260)))+IF(DF260="",DA260*DD260*$EW$73/2),0)+IF(CZ260="AC成功",IF(DF260=1,DD260*(1-(1-(1-DA260)^($EW$73+1))/(($EW$73+1)*DA260)))+IF(DF260="",DA260*DD260*$EW$73/2),0)),0)*(IF(DC260="全员",1,0)+IF(DC260="同属性",$EW$38/3,0)+IF(DC260="同年级",$EW$41/3,0)+IF(DC260="同作战",0,0)+IF(DC260="自身",0,0)+IF(DC260="同type",INDEX($EX$53:$EX$56,MATCH($O260,$EW$53:$EW$56,))/3))+IF(AND(DE260&lt;&gt;0,DE260&lt;&gt;"infty"),IF(DE260="AC内",$EW$74,DE260)*(IF(CZ260="曲开始",DD260*DA260,0)+IF(CZ260="切队",DD260*IF(DF260&lt;&gt;"",MIN(DF260,DA260*$EW$79),DA260*$EW$79))+IF(CZ260="SP发动",DD260*IF(DF260&lt;&gt;"",MIN(DF260,DA260*$EW$76),DA260*$EW$76))+IF(CZ260="ap时",0,0)+IF(CZ260="伤害时",DD260*IF(DF260&lt;&gt;"",MIN(DF260,DA260*$EW$65*(1-$EW$75)),DA260*$EW$65*(1-$EW$75)),0)+IF(CZ260="ct时",0,0)+IF(OR(CZ260="AC时",CZ260="AC成功"),DD260*IF(DF260&lt;&gt;"",MIN(DF260,DA260*$EW$73),DA260*$EW$73))),0)/$EW$65*(IF(DC260="全员",1,0)+IF(DC260="同属性",$EW$38/3,0)+IF(DC260="同年级",$EW$41/3,0)+IF(DC260="同学校",$EW$44/3,0)+IF(DC260="同作战",0,0)+IF(DC260="自身",0,0)+IF(DC260="同type",INDEX($EX$53:$EX$56,MATCH($O260,$EW$53:$EW$56,))/3)))))</f>
        <v>0</v>
      </c>
      <c r="DJ260" s="442">
        <f t="shared" ref="DJ260:DJ323" si="401">IF(DB260="技能+",IF(DE260="infty",(IF(CZ260="曲开始",DD260*DA260)+IF(OR(CZ260="AC时",CZ260="AC成功"),(1-(1-(1-DA260)^($FM$20+1))/(($FM$20+1)*DA260))*DD260))*(IF(DC260="全员",1)))+IF(DE260&lt;&gt;"infty",DD260*(IF(CZ260="曲开始",DA260*DE260/$FM$19)+IF(OR(CZ260="AC时",CZ260="AC成功"),DE260*IF(DF260&lt;&gt;"",MIN(DF260,DA260*$FM$20),DA260*$FM$20)/$FM$19)+IF(CZ260="切队",DE260*IF(DF260&lt;&gt;"",MIN(DA260*$FM$11,DF260/$FM$19),DA260*$FM$11))+IF(CZ260="ap时",IF(DF260&lt;&gt;"",MIN(DF260/$FM275,IF($O260="sk",$FM$10,$FM$9)*DA260),IF($O260="sk",$FM$10,$FM$9)*DA260)*DE260)+IF(CZ260="ct时",IF(DF260&lt;&gt;"",MIN(DF260/$FM275,$AU260*IF($O260="sk",$FM$10,$FM$9)*DA260),$AU260*IF($O260="sk",$FM$10,$FM$9)*DA260)*DE260))*(IF(DC260="全员",1)+IF(DC260="同作战",IF($O260="sk",$FM$10*3,$FM$9*3))+IF(DC260="同属性",$FM$23/6)+IF(DC260="同年级",$FM$24/6)+IF(DC260="自身",IF($O260="sk",$FM$10,$FM$9)))),0)*$FM$16</f>
        <v>0</v>
      </c>
      <c r="DK260" s="1109">
        <f t="shared" ref="DK260:DK323" si="402">IF(DB260="sp+",IF(DE260="infty",(IF(CZ260="曲开始",DD260*DA260*$FM$28)+IF(OR(CZ260="AC时",CZ260="AC成功"),(1-(1-(1-DA260)^($FM$20+1))/(($FM$20+1)*DA260))*DD260*$FM$28))*(IF(DC260="全员",1)))+IF(DE260&lt;&gt;"infty",DD260*$FM$28*(IF(CZ260="曲开始",DA260*DE260/$FM$19)+IF(OR(CZ260="AC时",CZ260="AC成功"),DE260*IF(DF260&lt;&gt;"",MIN(DF260,DA260*$FM$20),DA260*$FM$20)/$FM$19)+IF(CZ260="切队",DE260*IF(DF260&lt;&gt;"",MIN(DA260*$FM$11,DF260/$FM$19),DA260*$FM$11))+IF(CZ260="ap时",IF(DF260&lt;&gt;"",MIN(DF260/$FM275,IF($O260="sk",$FM$10,$FM$9)*DA260),IF($O260="sk",$FM$10,$FM$9)*DA260)*DE260)+IF(CZ260="ct时",IF(DF260&lt;&gt;"",MIN(DF260/$FM275,$AU260*IF($O260="sk",$FM$10,$FM$9)*DA260),$AU260*IF($O260="sk",$FM$10,$FM$9)*DA260)*DE260))*(IF(DC260="全员",1)+IF(DC260="同作战",IF($O260="sk",$FM$10*3,$FM$9*3))+IF(DC260="同属性",$FM$23/6)+IF(DC260="同年级",$FM$24/6)+IF(DC260="同type",IF(AF260="sp",$FN$6*$FM$9)))),0)+IF(DB260="sp获得",IF(CZ260="AC成功",0,DD260*(IF(DC260="ap",BI260)+IF(DC260="st",BJ260)+IF(DC260="te",BK260)+IF(DC260="sp槽",$EW$77)+IF(DC260="",1))*IF($O260="sk",1,1+(1+$FM$10/$FM$9)*($FM$27-1))*(IF(CZ260="曲开始",DA260/$FM$19)+IF(CZ260="SP发动",IF(DF260&lt;&gt;"",MIN(DF260/$FM$19,DA260*$FM$30/$FM$19),DA260*$FM$30/$FM$19))+IF(CZ260="切队",IF(DF260&lt;&gt;"",MIN(DF260/$FM$19,DA260*$FM$11),DA260*$FM$11))+IF(OR(CZ260="AC时",CZ260="AC成功"),IF(DF260&lt;&gt;"",MIN(DF260/$FM$19,DA260*$FM$20/$FM$19),DA260*$FM$20/$FM$19))+IF(CZ260="ap时",IF(DF260&lt;&gt;"",MIN(DF260/$FM$19,DA260*IF($O260="sk",$FM$10,$FM$9)),DA260*IF($O260="sk",$FM$10,$FM$9)))+IF(CZ260="ct时",IF(DF260&lt;&gt;"",MIN(DF260/$FM$19,DA260*IF($O260="sk",$FM$10,$FM$9)*$AU260),DA260*IF($O260="sk",$FM$10,$FM$9)*$AU260)))))</f>
        <v>0</v>
      </c>
      <c r="DL260" s="1101">
        <f t="shared" ref="DL260:DL323" si="403">IF(DB260="sp+",DG260*$EW$30*$EW$32*(1-$EW$33),0)+IF(DB260="ap+",DG260*$EW$26/(1+$EW$15),0)+IF(DB260="ap+元气",DG260*$EW$26/(1+$EW$15)*$EW$67,0)+IF(DB260="技能+",$EW$28*DG260/$EW$27,0)+IF(DB260="vo+",$EW$26*DG260,0)+IF(DB260="sp获得",DG260*(1-$EW$33)*$EW$30/$EW$77)+IF(DB260="vo获得",DG260*$EW$24)+IF(DB260="ct+",$EW$26/(1+($EW$22-1)*$EW$19)*($EW$22-1)*DG260)+IF(DB260="核弹",DG260*(1+$EW$23))+IF(DB260="ct值+",$EW$26/(1+($EW$22-1)*$EW$19)*$EW$19*DG260)</f>
        <v>0</v>
      </c>
      <c r="DM260" s="1097">
        <f t="shared" ref="DM260:DM323" si="404">IF(DB260="sp+",DH260*$FA$27*$FA$32*(1-$FA$33),0)+IF(DB260="ap+",DH260*$FA$24/(1+$FA$15)*(1-$FI$26),0)+IF(DB260="ap+元气",DH260*$FA$24/(1+$FA$15)*(1-$FI$26)*$FA$64,0)+IF(DB260="技能+",$FA$26*DH260/$FA$25,0)+IF(DB260="vo+",$FA$24*DH260*(1-$FI$26),0)+IF(DB260="sp获得",DH260*(1-$FA$33)*$FA$27/$FA$69)+IF(DB260="vo获得",DH260*$FA$22)+IF(DB260="ct+",$FA$24/(1+($FA$20-1)*$FA$19)*($FA$20-1)*DH260*(1-$FI$27))+IF(DB260="核弹",DH260*(1+$FA$21)*(1-$FI$29))+IF(DB260="ct值+",$FA$24/(1+($FA$20-1)*$FA$19)*$FA$19*DH260*(1-$FI$28))</f>
        <v>0</v>
      </c>
      <c r="DN260" s="1097">
        <f t="shared" ref="DN260:DN323" si="405">IF(DB260="sp+",DI260*$EW$30*$EW$32*(1-$EW$33),0)+IF(DB260="ap+",DI260*$EW$26/(1+$EW$15),0)+IF(DB260="ap+元气",DI260*$EW$26/(1+$EW$15)*$EW$67,0)+IF(DB260="技能+",$EW$28*DI260/$EW$27,0)+IF(DB260="vo+",$EW$26*DI260,0)+IF(DB260="sp获得",DI260*(1-$EW$33)*$EW$30/$EW$77)+IF(DB260="vo获得",DI260*$EW$24)+IF(DB260="ct+",$EW$26/(1+($EW$22-1)*$EW$19)*($EW$22-1)*DI260)+IF(DB260="核弹",DI260*(1+$EW$23))+IF(DB260="ct值+",$EW$26/(1+($EW$22-1)*$EW$19)*$EW$19*DI260)</f>
        <v>0</v>
      </c>
      <c r="DO260" s="1097">
        <f t="shared" ref="DO260:DO323" si="406">DL260+IF(OR(DB260="加盾",AND(DB260="回血",OR(CZ260&lt;&gt;"切队",DF260=""))),MIN($EW$26/$EW$66*(1-$EW$66)-$EE260+$EC260-$ET260+$ER260, $EW$26*(HP($EW$62,$EW$65,$EW$64-DG260)/$EW$66-1)))+IF(DB260="减伤",MIN($EW$26/$EW$66*(1-$EW$66)-$EE260+$EC260-$ET260+$ER260, $EW$26*(HP($EW$62,$EW$65,$EW$64*(1-DG260))/$EW$66-1)))</f>
        <v>0</v>
      </c>
      <c r="DP260" s="1110">
        <f t="shared" ref="DP260:DP323" si="407">DN260+(IF(OR(DB260="加盾",AND(DB260="回血",OR(CZ260&lt;&gt;"切队",DF260=""))),$EW$26*(HP($EW$62,$EW$65,$EW$64-DG260)/$EW$66-1))+IF(DB260="减伤",$EW$26*(HP($EW$62,$EW$65,$EW$64*(1-DG260))/$EW$66-1)))*IF(OR(DC260="自身",DC260="同作战"),0,1)*IF(OR(CZ260="ap时",CZ260="ct时"),0,1)</f>
        <v>0</v>
      </c>
      <c r="DQ260" s="1113" t="s">
        <v>562</v>
      </c>
      <c r="DR260" s="1120">
        <f t="shared" ref="DR260:DR323" si="408">IF(F260="UR",0.33,0.3)</f>
        <v>0.3</v>
      </c>
      <c r="DS260" s="1124">
        <v>5</v>
      </c>
      <c r="DT260" s="1093" t="s">
        <v>169</v>
      </c>
      <c r="DU260" s="1093" t="s">
        <v>560</v>
      </c>
      <c r="DV260" s="1098">
        <f>IF($P260="","N/A",IF(P260=-1,INDEX('卡片raw data'!AN:AN,MATCH(D260,'卡片raw data'!$F:$F,)),0)+IF(AND(L260&lt;&gt;"party卡",P260&lt;=2,P260&gt;=0),INDEX('卡片raw data'!AP:AP,MATCH(D260,'卡片raw data'!$F:$F,)),0)+IF(OR(AND(L260="party卡",P260&lt;=1),AND(P260&lt;=4,L260&lt;&gt;"party卡",P260&gt;=3)),INDEX('卡片raw data'!AQ:AQ,MATCH(D260,'卡片raw data'!$F:$F,)),0)+IF(OR(P260=5,AND(L260="party卡",P260&gt;=2)),INDEX('卡片raw data'!AR:AR,MATCH(D260,'卡片raw data'!$F:$F,)),0))</f>
        <v>5.1999999999999998E-2</v>
      </c>
      <c r="DW260" s="1098">
        <f t="shared" ref="DW260:DW323" si="409">DR260+IF(AND($CK260="技能+",$CL260="自身",DR260=0.11),$CP260*3)</f>
        <v>0.3</v>
      </c>
      <c r="DX260" s="1098">
        <f t="shared" ref="DX260:DX323" si="410">DR260+IF(AND($CK260="技能+",$CL260="自身",DR260=0.11),$CQ260*3)</f>
        <v>0.3</v>
      </c>
      <c r="DY260" s="1098">
        <f t="shared" ref="DY260:DY323" si="411">IF(DS260=0,IF(DT260="ap",DV260*$AQ260*DW260/3*IF(DQ260="vo获得",$AP260,1))+IF(DT260="st",DV260*$AR260*DW260/3)+IF(DT260="te",DV260*$AS260*DW260/3)+IF(DT260="sp槽",DV260*DW260/3)+IF(DT260="固定值",IF(DQ260="sp获得",DV260/3*DW260/$EW$77,DV260*DW260/3)),IF(DU260="百分比",IF(DT260="全员",DV260*DW260/3*DS260)+IF(DT260="仲间",DV260*DW260/3*DS260*2/3)+IF(DT260="同作战",DV260*DW260/3*DS260)+IF(DT260="同年级",DV260*DW260/3*DS260*$EW$40/3)+IF(DT260="同学校",DV260*DW260/3*DS260*$EW$43/3)+IF(DT260="同属性",DV260*DW260/3*DS260*$EW$37/3)+IF(DT260="同type",DV260*DW260/3*DS260*INDEX($EX$49:$EX$52,MATCH(O260,$EW$49:$EW$52,))/3),(IF(DQ260="ap+",DV260/$EX$16*DS260*DW260/3)+IF(DQ260="vo+",DV260*(1+$EW$23)/$EW$26*DS260*DW260/3))*(IF(DT260="全员",1)+IF(DT260="同作战",1)))-IF(AND(DQ260="ct+",DT260&lt;&gt;"仲间"),MAX(DV260+$AU260-1,0)*DW260/3*_xlfn.FLOOR.MATH(DS260/3)))</f>
        <v>1.4444444444444446E-2</v>
      </c>
      <c r="DZ260" s="1098">
        <f t="shared" ref="DZ260:DZ323" si="412">IF(DS260=0,IF(DT260="ap",IF(DQ260="vo获得",MIN(DV260*$BA260*$AP260,$FI$25)*$FA$22*DX260/3,DV260*$BA260*DX260/3))+IF(DT260="st",DV260*$BB260*DX260/3)+IF(DT260="te",DV260*$BC260*DX260/3)+IF(DT260="sp槽",DV260*DX260/3*$FA$30)+IF(DT260="固定值",IF(DQ260="sp获得",DV260/3*DX260/$FA$69*$FA$30,DV260*DX260/3)),IF(DU260="百分比",IF(DT260="全员",DV260*DX260/3*DS260)+IF(DT260="仲间",DV260*DX260/3*DS260*2/3)+IF(DT260="同作战",DV260*DX260/3*DS260)+IF(DT260="同年级",DV260*DX260/3*DS260*$FA$40/3)+IF(DT260="同学校",DV260*DX260/3*DS260*$FA$43/3)+IF(DT260="同属性",DV260*DX260/3*DS260*$FA$37/3)+IF(DT260="同type",DV260*DX260/3*DS260*INDEX($FB$49:$FB$52,MATCH(O260,$FA$49:$FA$52,))/3),(IF(DQ260="ap+",DV260/$FB$16*DS260*DX260/3)+IF(DQ260="vo+",DV260*(1+$FA$21)/$FA$24*DS260*DX260/3))*(IF(DT260="全员",1)+IF(DT260="同作战",1)))-IF(AND(DQ260="ct+",DT260&lt;&gt;"仲间"),MAX(DV260+$BD260-1,0)*DX260/3*_xlfn.FLOOR.MATH(DS260/3)))*$FA$57</f>
        <v>1.2494444444444445E-2</v>
      </c>
      <c r="EA260" s="1098">
        <f t="shared" ref="EA260:EA323" si="413">IF(DQ260="技能+",IF(O260="sk",FM$10,FM$9)*(1+0.1*$FM$31/$FM$19)*IF(O260="sk",$FM$18,$FM$17)*DR260/$FM$14*(IF(DT260="全员",DS260*DV260)+IF(DT260="同属性",DS260*DV260*$FM$23/6)+IF(DT260="同作战",DV260*IF(O260="sk",IF(AND(DS260&gt;1,DS260&lt;6),2),$FM$9*DS260*3))),0)*$FM$16</f>
        <v>0</v>
      </c>
      <c r="EB260" s="1121">
        <f t="shared" ref="EB260:EB323" si="414">IF(DQ260="sp+",1/6*(1+0.1*$FM$31/$FM$19)*IF(O260="sk",$FM$18,$FM$17)*DR260/$FM$14*$FM$28*(IF(DT260="全员",DS260*DV260)+IF(DT260="同属性",DS260*DV260*$FM$23/6)+IF(DT260="同年级",DS260*DV260*$FM$24/6)),0)+IF(DQ260="sp获得",1/6*(1+0.1*$FM$31/$FM$19)*IF(O260="sk",$FM$18,$FM$17)*DR260/$FM$14*IF(O260="sk",1,1+(1+$FM$10/$FM$9)*($FM$27-1))*IF(DT260="固定值",DV260,DV260*$FM$25))</f>
        <v>0</v>
      </c>
      <c r="EC260" s="1101">
        <f t="shared" ref="EC260:EC323" si="415">IF(DQ260="ap+",$EW$26/(1+$EW$15)*DY260)+IF(DQ260="vo+",$EW$26*DY260)+IF(DQ260="vo获得",DY260*$EW$24)+IF(DQ260="sp+",DY260*$EW$30*$EW$32*(1-$EW$33))+IF(DQ260="sp获得",DY260*$EW$30*(1-$EW$33))+IF(DQ260="技能+",DY260*$EW$28/$EW$27)+IF(DQ260="ct+",DY260*$EW$26/(1+($EW$22-1)*$EW$19)*($EW$22-1))+IF(DQ260="核弹",DY260*(1+$EW$23)*$EW$24)+IF(DQ260="ct值+",$EW$26/(1+($EW$22-1)*$EW$19)*$EW$19*DY260)</f>
        <v>2455.2473748165462</v>
      </c>
      <c r="ED260" s="1097">
        <f t="shared" ref="ED260:ED323" si="416">IF(DQ260="ap+",$FA$24/(1+$FA$15)*DZ260*(1-$FI$26))+IF(DQ260="vo+",$FA$24*DZ260*(1-$FI$26))+IF(DQ260="vo获得",DZ260)+IF(DQ260="sp+",DZ260*$FA$27*$FA$32*(1-$FA$33))+IF(DQ260="sp获得",DZ260*$FA$27*(1-$FA$33))+IF(DQ260="技能+",DZ260*$FA$26/$FA$25)+IF(DQ260="ct+",DZ260*$FA$24/(1+($FA$20-1)*$FA$19)*($FA$20-1)*(1-$FI$27))+IF(DQ260="核弹",DZ260*(1+$FA$21)*(1-$FI$29))+IF(DQ260="ct值+",$FA$24/(1+($FA$20-1)*$FA$19)*$FA$19*DZ260*(1-$FI$28))</f>
        <v>98.43981373687501</v>
      </c>
      <c r="EE260" s="1110">
        <f t="shared" ref="EE260:EE323" si="417">EC260+IF(OR(DQ260="回血",DQ260="加盾"),$EW$26*(HP($EW$62,$EW$65,$EW$64-DY260)/$EW$66-1))+IF(DQ260="减伤",$EW$26*(HP($EW$62,$EW$65,$EW$64*(1-DY260))/$EW$66-1))</f>
        <v>2455.2473748165462</v>
      </c>
      <c r="EF260" s="1092" t="s">
        <v>711</v>
      </c>
      <c r="EG260" s="1120">
        <f t="shared" ref="EG260:EG323" si="418">IF(F260="UR",0.33,0.3)</f>
        <v>0.3</v>
      </c>
      <c r="EH260" s="1124"/>
      <c r="EI260" s="1093"/>
      <c r="EJ260" s="1093"/>
      <c r="EK260" s="1097">
        <f>IF($P260="","N/A",IF(P260=-1,INDEX('卡片raw data'!AS:AS,MATCH(D260,'卡片raw data'!$F:$F,)),0)+IF(AND(L260&lt;&gt;"party卡",P260&lt;=2,P260&gt;=0),INDEX('卡片raw data'!AU:AU,MATCH(D260,'卡片raw data'!$F:$F,)),0)+IF(OR(AND(L260="party卡",P260&lt;=1),AND(P260&lt;=4,L260&lt;&gt;"party卡",P260&gt;=3)),INDEX('卡片raw data'!AV:AV,MATCH(D260,'卡片raw data'!$F:$F,)),0)+IF(OR(P260=5,AND(L260="party卡",P260&gt;=2)),INDEX('卡片raw data'!AW:AW,MATCH(D260,'卡片raw data'!$F:$F,)),0))</f>
        <v>0</v>
      </c>
      <c r="EL260" s="1098">
        <f t="shared" ref="EL260:EL323" si="419">EG260+IF(AND($CK260="技能+",$CL260="自身",EG260=0.11),$CP260*3)</f>
        <v>0.3</v>
      </c>
      <c r="EM260" s="1098">
        <f t="shared" ref="EM260:EM323" si="420">EG260+IF(AND($CK260="技能+",$CL260="自身",EG260=0.11),$CQ260*3)</f>
        <v>0.3</v>
      </c>
      <c r="EN260" s="1125">
        <f t="shared" ref="EN260:EN323" si="421">IF(EH260=0,IF(EI260="ap",EK260*$AQ260*EL260/3*IF(EF260="vo获得",$AP260,1))+IF(EI260="st",EK260*$AR260*EL260/3)+IF(EI260="te",EK260*$AS260*EL260/3)+IF(EI260="sp槽",EK260*EL260/3)+IF(EI260="固定值",IF(EF260="sp获得",EK260/3*EL260/$EW$77,EK260*EL260/3)),IF(EJ260="百分比",IF(EI260="全员",EK260*EL260/3*EH260)+IF(EI260="仲间",EK260*EL260/3*EH260*2/3)+IF(EI260="同作战",EK260*EL260/3*EH260)+IF(EI260="同年级",EK260*EL260/3*EH260*$EW$40/3)+IF(EI260="同学校",EK260*EL260/3*EH260*$EW$43/3)+IF(EI260="同属性",EK260*EL260/3*EH260*$EW$37/3)+IF(EI260="同type",EK260*EL260/3*EH260*INDEX($EX$49:$EX$52,MATCH(AD260,$EW$49:$EW$52,))/3),(IF(EF260="ap+",EK260/$EX$16*EH260*EL260/3)+IF(EF260="vo+",EK260*(1+$EW$23)/$EW$26*EH260*EL260/3))*(IF(EI260="全员",1)+IF(EI260="同作战",1)))-IF(AND(EF260="ct+",EI260&lt;&gt;"仲间"),MAX(EK260+$AU260-1,0)*EL260/3*_xlfn.FLOOR.MATH(EH260/3)))</f>
        <v>0</v>
      </c>
      <c r="EO260" s="1125">
        <f t="shared" ref="EO260:EO323" si="422">IF(EH260=0,IF(EI260="ap",IF(EF260="vo获得",MIN(EK260*$BA260*$AP260,$FI$25)*$FA$22*EM260/3,EK260*$BA260*EM260/3))+IF(EI260="st",EK260*$BB260*EM260/3)+IF(EI260="te",EK260*$BC260*EM260/3)+IF(EI260="sp槽",EK260*EM260/3*$FA$30)+IF(EI260="固定值",IF(EF260="sp获得",EK260/3*EM260/$FA$69*$FA$30,EK260*EM260/3)),IF(EJ260="百分比",IF(EI260="全员",EK260*EM260/3*EH260)+IF(EI260="仲间",EK260*EM260/3*EH260*2/3)+IF(EI260="同作战",EK260*EM260/3*EH260)+IF(EI260="同年级",EK260*EM260/3*EH260*$FA$40/3)+IF(EI260="同学校",EK260*EM260/3*EH260*$FA$43/3)+IF(EI260="同属性",EK260*EM260/3*EH260*$FA$37/3)+IF(EI260="同type",EK260*EM260/3*EH260*INDEX($FB$49:$FB$52,MATCH(AD260,$FA$49:$FA$52,))/3),(IF(EF260="ap+",EK260/$FB$16*EH260*EM260/3)+IF(EF260="vo+",EK260*(1+$FA$21)/$FA$24*EH260*EM260/3))*(IF(EI260="全员",1)+IF(EI260="同作战",1)))-IF(AND(EF260="ct+",EI260&lt;&gt;"仲间"),MAX(EK260+$BD260-1,0)*EM260/3*_xlfn.FLOOR.MATH(EH260/3)))*$FA$57</f>
        <v>0</v>
      </c>
      <c r="EP260" s="1098">
        <f t="shared" ref="EP260:EP323" si="423">IF(EF260="技能+",IF(AB260="sk",FZ$10,FZ$9)*(1+0.1*$FM$31/$FM$19)*IF(AB260="sk",$FM$18,$FM$17)*EG260/$FM$14*(IF(EI260="全员",EH260*EK260)+IF(EI260="同属性",EH260*EK260*$FM$23/6)+IF(EI260="同作战",EK260*IF(AB260="sk",IF(AND(EH260&gt;1,EH260&lt;6),2),$FM$9*EH260*3))),0)*$FM$16</f>
        <v>0</v>
      </c>
      <c r="EQ260" s="1121">
        <f t="shared" ref="EQ260:EQ323" si="424">IF(EF260="sp+",1/6*(1+0.1*$FM$31/$FM$19)*IF(AB260="sk",$FM$18,$FM$17)*EG260/$FM$14*$FM$28*(IF(EI260="全员",EH260*EK260)+IF(EI260="同属性",EH260*EK260*$FM$23/6)+IF(EI260="同年级",EH260*EK260*$FM$24/6)),0)+IF(EF260="sp获得",1/6*(1+0.1*$FM$31/$FM$19)*IF(AB260="sk",$FM$18,$FM$17)*EG260/$FM$14*IF(AB260="sk",1,1+(1+$FM$10/$FM$9)*($FM$27-1))*IF(EI260="固定值",EK260,EK260*$FM$25))</f>
        <v>0</v>
      </c>
      <c r="ER260" s="1101">
        <f t="shared" ref="ER260:ER323" si="425">IF(EF260="ap+",$EW$26/(1+$EW$15)*EN260)+IF(EF260="vo+",$EW$26*EN260)+IF(EF260="vo获得",EN260*$EW$24)+IF(EF260="sp+",EN260*$EW$30*$EW$32*(1-$EW$33))+IF(EF260="sp获得",EN260*$EW$30*(1-$EW$33))+IF(EF260="技能+",EN260*$EW$28/$EW$27)+IF(EF260="ct+",EN260*$EW$26/(1+($EW$22-1)*$EW$19)*($EW$22-1))+IF(EF260="核弹",EN260*(1+$EW$23)*$EW$24)+IF(EF260="ct值+",$EW$26/(1+($EW$22-1)*$EW$19)*$EW$19*EN260)</f>
        <v>0</v>
      </c>
      <c r="ES260" s="1097">
        <f t="shared" ref="ES260:ES323" si="426">IF(EF260="ap+",$FA$24/(1+$FA$15)*EO260*(1-$FI$26))+IF(EF260="vo+",$FA$24*EO260*(1-$FI$26))+IF(EF260="vo获得",EO260)+IF(EF260="sp+",EO260*$FA$27*$FA$32*(1-$FA$33))+IF(EF260="sp获得",EO260*$FA$27*(1-$FA$33))+IF(EF260="技能+",EO260*$FA$26/$FA$25)+IF(EF260="ct+",EO260*$FA$24/(1+($FA$20-1)*$FA$19)*($FA$20-1)*(1-$FI$27))+IF(EF260="核弹",EO260*(1+$FA$21)*(1-$FI$29))+IF(EF260="ct值+",$FA$24/(1+($FA$20-1)*$FA$19)*$FA$19*EO260*(1-$FI$28))</f>
        <v>0</v>
      </c>
      <c r="ET260" s="1122">
        <f t="shared" ref="ET260:ET323" si="427">ER260+IF(OR(EF260="回血",EF260="加盾"),$EW$26*(HP($EW$62,$EW$65,$EW$64-EN260)/$EW$66-1))+IF(EF260="减伤",$EW$26*(HP($EW$62,$EW$65,$EW$64*(1-EN260))/$EW$66-1))</f>
        <v>0</v>
      </c>
    </row>
    <row r="261" spans="2:150" ht="16.5" customHeight="1">
      <c r="B261" s="1123" t="str">
        <f>INDEX('卡片raw data'!B:B,MATCH($D261,'卡片raw data'!$F:$F,))</f>
        <v>梅雨南</v>
      </c>
      <c r="C261" s="449" t="s">
        <v>124</v>
      </c>
      <c r="D261" s="408">
        <v>258</v>
      </c>
      <c r="E261" s="1090">
        <v>401033002</v>
      </c>
      <c r="F261" s="1090" t="str">
        <f>INDEX('卡片raw data'!C:C,MATCH($D261,'卡片raw data'!$F:$F,))</f>
        <v>UR</v>
      </c>
      <c r="G261" s="1094" t="s">
        <v>290</v>
      </c>
      <c r="H261" s="411">
        <f>IFERROR(INDEX(绊状态确认!C:C,MATCH($G261,绊状态确认!$B:$B,)),"")</f>
        <v>103</v>
      </c>
      <c r="I261" s="450" t="str">
        <f>IFERROR(INDEX(绊状态确认!D:D,MATCH($G261,绊状态确认!$B:$B,)),"")</f>
        <v>水</v>
      </c>
      <c r="J261" s="450" t="str">
        <f>IFERROR(INDEX(绊状态确认!E:E,MATCH($G261,绊状态确认!$B:$B,)),"")</f>
        <v>3年级</v>
      </c>
      <c r="K261" s="451" t="str">
        <f>IFERROR(INDEX(绊状态确认!F:F,MATCH($G261,绊状态确认!$B:$B,)),"")</f>
        <v>AZALEA</v>
      </c>
      <c r="L261" s="1094" t="str">
        <f>INDEX('卡片raw data'!E:E,MATCH($D261,'卡片raw data'!$F:$F,))</f>
        <v>卡池卡</v>
      </c>
      <c r="M261" s="415">
        <v>44004</v>
      </c>
      <c r="N261" s="416">
        <v>18</v>
      </c>
      <c r="O261" s="1091" t="str">
        <f>INDEX('卡片raw data'!D:D,MATCH($D261,'卡片raw data'!$F:$F,))</f>
        <v>sk</v>
      </c>
      <c r="P261" s="417">
        <v>5</v>
      </c>
      <c r="Q261" s="1095">
        <f t="shared" si="343"/>
        <v>48312.56853381508</v>
      </c>
      <c r="R261" s="1096">
        <f t="shared" si="344"/>
        <v>0.56100000000000005</v>
      </c>
      <c r="S261" s="1097">
        <f t="shared" si="345"/>
        <v>22546.050645837036</v>
      </c>
      <c r="T261" s="1098">
        <f t="shared" si="346"/>
        <v>1.127</v>
      </c>
      <c r="U261" s="1099">
        <f t="shared" si="347"/>
        <v>15.253934852742857</v>
      </c>
      <c r="V261" s="1100">
        <f t="shared" si="348"/>
        <v>51537.627480563671</v>
      </c>
      <c r="W261" s="1101">
        <f t="shared" si="349"/>
        <v>5918.3772129053632</v>
      </c>
      <c r="X261" s="1096">
        <f t="shared" si="350"/>
        <v>6.8000000000000005E-2</v>
      </c>
      <c r="Y261" s="1097">
        <f t="shared" si="351"/>
        <v>1225.0589467485925</v>
      </c>
      <c r="Z261" s="1102">
        <f t="shared" si="352"/>
        <v>15.253934852742857</v>
      </c>
      <c r="AA261" s="1103">
        <f t="shared" si="353"/>
        <v>7143.4361596539557</v>
      </c>
      <c r="AB261" s="1101">
        <f t="shared" si="354"/>
        <v>10670.440353106565</v>
      </c>
      <c r="AC261" s="1104">
        <f t="shared" si="355"/>
        <v>0.124</v>
      </c>
      <c r="AD261" s="1105">
        <f t="shared" si="356"/>
        <v>2.1769318181818181E-2</v>
      </c>
      <c r="AE261" s="1128">
        <f t="shared" si="357"/>
        <v>73.786957704745831</v>
      </c>
      <c r="AF261" s="1130">
        <f t="shared" si="358"/>
        <v>0</v>
      </c>
      <c r="AG261" s="420">
        <f t="shared" si="359"/>
        <v>0</v>
      </c>
      <c r="AH261" s="420">
        <f t="shared" si="360"/>
        <v>0</v>
      </c>
      <c r="AI261" s="1097">
        <f t="shared" si="361"/>
        <v>0</v>
      </c>
      <c r="AJ261" s="420">
        <f t="shared" si="362"/>
        <v>0</v>
      </c>
      <c r="AK261" s="518">
        <f t="shared" si="363"/>
        <v>0</v>
      </c>
      <c r="AL261" s="1106">
        <f>IF($P261="","N/A",(IF($P261=-1,INDEX('卡片raw data'!S:S,MATCH($D261,'卡片raw data'!$F:$F,)),0)+IF($P261=0,INDEX('卡片raw data'!V:V,MATCH($D261,'卡片raw data'!$F:$F,)),0)+IF($P261=1,INDEX('卡片raw data'!Y:Y,MATCH($D261,'卡片raw data'!$F:$F,)),0)+IF($P261=2,INDEX('卡片raw data'!AB:AB,MATCH($D261,'卡片raw data'!$F:$F,)),0)+IF($P261=3,INDEX('卡片raw data'!AE:AE,MATCH($D261,'卡片raw data'!$F:$F,)),0)+IF($P261=4,INDEX('卡片raw data'!AH:AH,MATCH($D261,'卡片raw data'!$F:$F,)),0)+IF($P261=5,INDEX('卡片raw data'!AK:AK,MATCH($D261,'卡片raw data'!$F:$F,)),0)+INDEX('卡片raw data'!S:S,MATCH($D261,'卡片raw data'!$F:$F,))*(IF($F261="UR",0.04,0.033))*(IF($F261="UR",INDEX(绊状态确认!$S:$S,MATCH($G261,绊状态确认!$B:$B,))/2-40)+IF($F261="SR",INDEX(绊状态确认!$R:$R,MATCH($G261,绊状态确认!$B:$B,))/4-15))+IF($F261="R",INDEX(绊状态确认!$Q:$Q,MATCH($G261,绊状态确认!$B:$B,))/6-40/6)))*(INDEX(绊状态确认!$H:$H,MATCH($G261,绊状态确认!$B:$B,))+INDEX(绊状态确认!J:J,MATCH($G261,绊状态确认!$B:$B,)))</f>
        <v>10400.332799999998</v>
      </c>
      <c r="AM261" s="1106">
        <f>IF($P261="","N/A",(IF($P261=-1,INDEX('卡片raw data'!T:T,MATCH($D261,'卡片raw data'!$F:$F,)),0)+IF($P261=0,INDEX('卡片raw data'!W:W,MATCH($D261,'卡片raw data'!$F:$F,)),0)+IF($P261=1,INDEX('卡片raw data'!Z:Z,MATCH($D261,'卡片raw data'!$F:$F,)),0)+IF($P261=2,INDEX('卡片raw data'!AC:AC,MATCH($D261,'卡片raw data'!$F:$F,)),0)+IF($P261=3,INDEX('卡片raw data'!AF:AF,MATCH($D261,'卡片raw data'!$F:$F,)),0)+IF($P261=4,INDEX('卡片raw data'!AI:AI,MATCH($D261,'卡片raw data'!$F:$F,)),0)+IF($P261=5,INDEX('卡片raw data'!AL:AL,MATCH($D261,'卡片raw data'!$F:$F,)),0)+INDEX('卡片raw data'!T:T,MATCH($D261,'卡片raw data'!$F:$F,))*(IF($F261="UR",0.04,0.033))*(IF($F261="UR",INDEX(绊状态确认!$S:$S,MATCH($G261,绊状态确认!$B:$B,))/2-40)+IF($F261="SR",INDEX(绊状态确认!$R:$R,MATCH($G261,绊状态确认!$B:$B,))/4-15))+IF($F261="R",INDEX(绊状态确认!$Q:$Q,MATCH($G261,绊状态确认!$B:$B,))/6-40/6)))*(INDEX(绊状态确认!$H:$H,MATCH($G261,绊状态确认!$B:$B,))+INDEX(绊状态确认!K:K,MATCH($G261,绊状态确认!$B:$B,)))</f>
        <v>8449.0885439999984</v>
      </c>
      <c r="AN261" s="1106">
        <f>IF($P261="","N/A",(IF($P261=-1,INDEX('卡片raw data'!U:U,MATCH($D261,'卡片raw data'!$F:$F,)),0)+IF($P261=0,INDEX('卡片raw data'!X:X,MATCH($D261,'卡片raw data'!$F:$F,)),0)+IF($P261=1,INDEX('卡片raw data'!AA:AA,MATCH($D261,'卡片raw data'!$F:$F,)),0)+IF($P261=2,INDEX('卡片raw data'!AD:AD,MATCH($D261,'卡片raw data'!$F:$F,)),0)+IF($P261=3,INDEX('卡片raw data'!AG:AG,MATCH($D261,'卡片raw data'!$F:$F,)),0)+IF($P261=4,INDEX('卡片raw data'!AJ:AJ,MATCH($D261,'卡片raw data'!$F:$F,)),0)+IF($P261=5,INDEX('卡片raw data'!AM:AM,MATCH($D261,'卡片raw data'!$F:$F,)),0)+INDEX('卡片raw data'!U:U,MATCH($D261,'卡片raw data'!$F:$F,))*(IF($F261="UR",0.04,0.033))*(IF($F261="UR",INDEX(绊状态确认!$S:$S,MATCH($G261,绊状态确认!$B:$B,))/2-40)+IF($F261="SR",INDEX(绊状态确认!$R:$R,MATCH($G261,绊状态确认!$B:$B,))/4-15))+IF($F261="R",INDEX(绊状态确认!$Q:$Q,MATCH($G261,绊状态确认!$B:$B,))/6-40/6)))*(INDEX(绊状态确认!$H:$H,MATCH($G261,绊状态确认!$B:$B,))+INDEX(绊状态确认!L:L,MATCH($G261,绊状态确认!$B:$B,)))</f>
        <v>13649.254943999997</v>
      </c>
      <c r="AO261" s="1107">
        <f t="shared" si="364"/>
        <v>1</v>
      </c>
      <c r="AP261" s="1131">
        <f>1+(INDEX(绊状态确认!$T:$T,MATCH($G261,绊状态确认!$B:$B,))+0.2)*$AO261</f>
        <v>1.3</v>
      </c>
      <c r="AQ261" s="1108">
        <f t="shared" si="365"/>
        <v>30550.873599999995</v>
      </c>
      <c r="AR261" s="1097">
        <f>(AM261*(1+$EX$9)+$EX$35)*(1+(INDEX(绊状态确认!$T:$T,MATCH($G261,绊状态确认!$B:$B,))+0.2)*AO261)*IF(J261=$FF$17,1+$FE$17,1)*IF(I261=$FF$14,1+$FE$14,1)*(1+$FE$15)</f>
        <v>14237.00586256</v>
      </c>
      <c r="AS261" s="1097">
        <f>(AN261*(1+$EX$10)+$EX$36)*(1+(INDEX(绊状态确认!$T:$T,MATCH($G261,绊状态确认!$B:$B,))+0.2)*AO261)*IF(J261=$FF$17,1+$FE$17,1)*IF(I261=$FF$14,1+$FE$14,1)*(1+$FE$15)</f>
        <v>24461.636141279992</v>
      </c>
      <c r="AT261" s="1093">
        <f>IF(AND(INDEX('卡片raw data'!AK:AK,MATCH($D261,'卡片raw data'!$F:$F,))&lt;INDEX('卡片raw data'!AM:AM,MATCH($D261,'卡片raw data'!$F:$F,)),INDEX('卡片raw data'!AL:AL,MATCH($D261,'卡片raw data'!$F:$F,))&lt;INDEX('卡片raw data'!AM:AM,MATCH($D261,'卡片raw data'!$F:$F,))),1,0)</f>
        <v>1</v>
      </c>
      <c r="AU261" s="1098">
        <f>MIN(AT261*0.15+AS261*0.00003+INDEX(绊状态确认!M:M,MATCH($G261,绊状态确认!$B:$B,)),1)</f>
        <v>0.91384908423839983</v>
      </c>
      <c r="AV261" s="1109">
        <f>(INDEX(绊状态确认!$N:$N,MATCH($G261,绊状态确认!$B:$B,))+1.5)*$EW$21</f>
        <v>2.6599999999999997</v>
      </c>
      <c r="AW261" s="1101">
        <f t="shared" si="366"/>
        <v>39935.800815678449</v>
      </c>
      <c r="AX261" s="1097">
        <f t="shared" si="367"/>
        <v>1225.0589467485925</v>
      </c>
      <c r="AY261" s="1110">
        <f t="shared" si="368"/>
        <v>41160.859762427041</v>
      </c>
      <c r="AZ261" s="429">
        <f t="shared" si="369"/>
        <v>22880.648959999995</v>
      </c>
      <c r="BA261" s="431">
        <f t="shared" si="370"/>
        <v>27456.778751999995</v>
      </c>
      <c r="BB261" s="1097">
        <f>(AM261*(1+$FB$9)+$FB$35)*(1+(INDEX(绊状态确认!$T:$T,MATCH($G261,绊状态确认!$B:$B,))+0.2)*AO261)*IF(J261=$FF$17,1+$FE$17,1)*IF(I261=$FF$14,1+$FE$14,1)*(1+$FE$15)</f>
        <v>14237.00586256</v>
      </c>
      <c r="BC261" s="1097">
        <f>(AN261*(1+$FB$10)+$FB$36)*(1+(INDEX(绊状态确认!$T:$T,MATCH($G261,绊状态确认!$B:$B,))+0.2)*AO261)*IF(J261=$FF$17,1+$FE$17,1)*IF(I261=$FF$14,1+$FE$14,1)*(1+$FE$15)</f>
        <v>24461.636141279992</v>
      </c>
      <c r="BD261" s="1104">
        <f>MIN(AT261*0.15+BC261*0.00003+INDEX(绊状态确认!M:M,MATCH($G261,绊状态确认!$B:$B,)),1)</f>
        <v>0.91384908423839983</v>
      </c>
      <c r="BE261" s="432">
        <f>(INDEX(绊状态确认!$N:$N,MATCH($G261,绊状态确认!$B:$B,))+1.5)</f>
        <v>1.9</v>
      </c>
      <c r="BF261" s="1139">
        <f t="array" ref="BF261">SUMPRODUCT(IF(AZ261*AP261*$FI$16:$FI$23*$FA$22&gt;=$FI$24,$FI$24,AZ261*AP261*$FI$16:$FI$23*$FA$22),$FJ$16:$FJ$23)</f>
        <v>45509.610781439995</v>
      </c>
      <c r="BG261" s="1125">
        <f t="array" ref="BG261">SUMPRODUCT(IF(BE261*AZ261*AP261*$FI$16:$FI$23*$FA$22&gt;=$FI$24,$FI$24,BE261*AZ261*AP261*$FI$16:$FI$23*$FA$22),$FJ$16:$FJ$23)</f>
        <v>60000</v>
      </c>
      <c r="BH261" s="1110">
        <f t="shared" si="371"/>
        <v>19583.879899693013</v>
      </c>
      <c r="BI261" s="1111">
        <f>IF(O261="vo",$EW$26/$EW$24*0.05,0)+IF(O261="sk",-$EW$26/$EW$24*(0.05-INDEX(绊状态确认!W:W,MATCH($G261,绊状态确认!$B:$B,)))+0.05*$EW$28,0)+IF(O261="sp",0.05*$EW$32*$EW$30*(1-$EW$33)-(0.05-INDEX(绊状态确认!V:V,MATCH($G261,绊状态确认!$B:$B,)))*$EW$28,0)+IF(O261="gd",-(0.05-INDEX(绊状态确认!X:X,MATCH($G261,绊状态确认!$B:$B,)))*$EW$32*$EW$30*(1-$EW$33),0)</f>
        <v>-6253.6726349699375</v>
      </c>
      <c r="BJ261" s="1097">
        <f>IF(O261="vo",0.05*(1-$FI$26)*$FA$24,0)+IF(O261="sk",-(0.05-INDEX(绊状态确认!W:W,MATCH($G261,绊状态确认!$B:$B,)))*(1-$FI$26)*$FA$24+0.05*$FA$26,0)+IF(O261="sp",0.05*$FA$32*$FA$27*(1-$FA$33)/$FA$30+0.05*$FA$29/$FA$69*$FA$27*(1-$FA$33)-(0.05-INDEX(绊状态确认!V:V,MATCH($G261,绊状态确认!$B:$B,)))*$FA$26,0)+IF(O261="gd",-(0.05-INDEX(绊状态确认!X:X,MATCH($G261,绊状态确认!$B:$B,)))*$FA$32*$FA$27*(1-$FA$33)/$FA$30-(0.05-INDEX(绊状态确认!X:X,MATCH($G261,绊状态确认!$B:$B,)))*$FA$29/$FA$69*$FA$27*(1-$FA$33),0)</f>
        <v>20.459096812499922</v>
      </c>
      <c r="BK261" s="1110">
        <f>IF(O261="vo",$EW$26/$EW$24*0.05+$EW$26*(-HP($EW$62,$EW$65,$EW$64)+HP($EW$62,$EW$65,(1.05-INDEX(绊状态确认!U:U,MATCH($G261,绊状态确认!$B:$B,)))*$EW$64)),0)+IF(O261="sk",-$EW$26/$EW$24*(0.05-INDEX(绊状态确认!W:W,MATCH($G261,绊状态确认!$B:$B,)))+0.05*$EW$29,0)+IF(O261="sp",0.05*$EW$32*$EW$30*(1-$EW$33)-(0.05-INDEX(绊状态确认!V:V,MATCH($G261,绊状态确认!$B:$B,)))*$EW$29,0)+IF(O261="gd",-(0.05-INDEX(绊状态确认!X:X,MATCH($G261,绊状态确认!$B:$B,)))*$EW$32*$EW$30*(1-$EW$33)+$EW$26*(-HP($EW$62,$EW$65,$EW$64)+HP($EW$62,$EW$65,0.95*$EW$64)),0)</f>
        <v>-4253.6726349699375</v>
      </c>
      <c r="BL261" s="1111">
        <f t="shared" si="372"/>
        <v>0</v>
      </c>
      <c r="BM261" s="1110">
        <f t="shared" si="373"/>
        <v>0</v>
      </c>
      <c r="BN261" s="1113">
        <f t="shared" si="374"/>
        <v>3</v>
      </c>
      <c r="BO261" s="1097">
        <f t="shared" si="375"/>
        <v>4507.7214871259994</v>
      </c>
      <c r="BP261" s="1100">
        <f t="shared" si="376"/>
        <v>221.34103209030098</v>
      </c>
      <c r="BQ261" s="1113" t="s">
        <v>291</v>
      </c>
      <c r="BR261" s="1124" t="s">
        <v>168</v>
      </c>
      <c r="BS261" s="1098">
        <f>IF($P261="","N/A",IF($P261=-1,INDEX('卡片raw data'!AX:AX,MATCH($D261,'卡片raw data'!$F:$F,)),0)+IF($L261="party卡",IF($P261=5,INDEX('卡片raw data'!BD:BD,MATCH($D261,'卡片raw data'!$F:$F,)),IF($P261&gt;=3,INDEX('卡片raw data'!BC:BC,MATCH($D261,'卡片raw data'!$F:$F,)),INDEX('卡片raw data'!BB:BB,MATCH($D261,'卡片raw data'!$F:$F,)))),IF(OR(AND($F261="UR",$P261=0),AND($F261="SR",$P261&gt;=0,$P261&lt;=2),AND($F261="R",$P261&gt;=0,$P261&lt;4)),INDEX('卡片raw data'!AZ:AZ,MATCH($D261,'卡片raw data'!$F:$F,)),0)+IF(OR(AND($F261="UR",$P261&gt;=1,$P261&lt;=4),AND($F261="SR",$P261&lt;=4,$P261&gt;=3),AND($F261="R",$P261=4)),INDEX('卡片raw data'!BA:BA,MATCH($D261,'卡片raw data'!$F:$F,)),0)+IF($P261=5,INDEX('卡片raw data'!BB:BB,MATCH($D261,'卡片raw data'!$F:$F,)),0)))</f>
        <v>7.0000000000000007E-2</v>
      </c>
      <c r="BT261" s="1101">
        <f t="shared" si="377"/>
        <v>4952.2166430160187</v>
      </c>
      <c r="BU261" s="1097">
        <f t="shared" si="378"/>
        <v>358.20967007162113</v>
      </c>
      <c r="BV261" s="1097">
        <f t="shared" si="379"/>
        <v>0</v>
      </c>
      <c r="BW261" s="1112">
        <f t="shared" si="380"/>
        <v>0</v>
      </c>
      <c r="BX261" s="1100">
        <f t="shared" si="381"/>
        <v>4952.2166430160187</v>
      </c>
      <c r="BY261" s="1110">
        <f t="shared" si="382"/>
        <v>0</v>
      </c>
      <c r="BZ261" s="1107" t="s">
        <v>569</v>
      </c>
      <c r="CA261" s="1124"/>
      <c r="CB261" s="1098">
        <f>IF($P261="","N/A",IF($P261=-1,INDEX('卡片raw data'!BE:BE,MATCH($D261,'卡片raw data'!$F:$F,)),0)+IF($L261="party卡",IF($P261=5,INDEX('卡片raw data'!BK:BK,MATCH($D261,'卡片raw data'!$F:$F,)),IF($P261&gt;=3,INDEX('卡片raw data'!BJ:BJ,MATCH($D261,'卡片raw data'!$F:$F,)),INDEX('卡片raw data'!BI:BI,MATCH($D261,'卡片raw data'!$F:$F,)))),IF(OR(AND($F261="UR",$P261=0),AND($F261="SR",$P261&gt;=0,$P261&lt;=2),AND($F261="R",$P261&gt;=0,$P261&lt;4)),INDEX('卡片raw data'!BG:BG,MATCH($D261,'卡片raw data'!$F:$F,)),0)+IF(OR(AND($F261="UR",$P261&gt;=1,$P261&lt;=4),AND($F261="SR",$P261&lt;=4,$P261&gt;=3),AND($F261="R",$P261=4)),INDEX('卡片raw data'!BH:BH,MATCH($D261,'卡片raw data'!$F:$F,)),0)+IF($P261=5,INDEX('卡片raw data'!BI:BI,MATCH($D261,'卡片raw data'!$F:$F,)),0)))</f>
        <v>0</v>
      </c>
      <c r="CC261" s="1101">
        <f t="shared" si="383"/>
        <v>0</v>
      </c>
      <c r="CD261" s="1097">
        <f>IF(BZ261="ap",CB261*(1-$FI$26)*$FB$5/$FB$11*(+IF(CA261="全员",$FA$24,0)+IF(CA261="同作战",$FA$24,0)+IF(CA261="仲间",$FA$24*2/3,0)+IF(CA261="同属性",$FA$24*$FA$37/3,0)+IF(CA261="同年级",$FA$24*$FA$40/3,0)+IF(CA261="同学校",$FA$24*$FA$43/3,0)+IF(CA261="同小队",$FA$24*$FA$46/3,0)+IF(CA261="同type",$FA$24*INDEX($FB$49:$FB$52,MATCH(X261,$FA$49:$FA$52,))/3,0)+IF(CA261="自身",#REF!/3,0)),0)+IF(BZ261="te",CB261*(1-$FI$27)*($FA$20-1)*$FB$7/$FB$13*(+IF(CA261="全员",$FA$19*$FA$24/(1+($FA$20-1)*$FA$19),0)+IF(CA261="同作战",$FA$19*$FA$24/(1+($FA$20-1)*$FA$19),0)+IF(CA261="仲间",$FA$19*$FA$24*2/3/(1+($FA$20-1)*$FA$19),0)+IF(CA261="同属性",$FA$19*$FA$24*$FA$37/3/(1+($FA$20-1)*$FA$19),0)+IF(CA261="同年级",$FA$19*$FA$24*$FA$40/3/(1+($FA$20-1)*$FA$19),0)+IF(CA261="同学校",$FA$19*$FA$24*$FA$43/3/(1+($FA$20-1)*$FA$19),0)+IF(CA261="同小队",$FA$19*$FA$24*$FA$46/3/(1+($FA$20-1)*$FA$19),0)+IF(CA261="同type",$FA$19*$FA$24*INDEX($FB$49:$FB$52,MATCH(X261,$FA$49:$FA$52,))/3/(1+($FA$20-1)*$FA$19),0)+IF(CA261="自身",$FA$19*#REF!/3/(1+(BH261-1)*$BD261),0)),0)</f>
        <v>0</v>
      </c>
      <c r="CE261" s="1097">
        <f t="shared" si="384"/>
        <v>0</v>
      </c>
      <c r="CF261" s="1112">
        <f t="shared" si="385"/>
        <v>0</v>
      </c>
      <c r="CG261" s="1100">
        <f t="shared" si="386"/>
        <v>0</v>
      </c>
      <c r="CH261" s="1110">
        <f t="shared" si="387"/>
        <v>0</v>
      </c>
      <c r="CI261" s="1113" t="s">
        <v>160</v>
      </c>
      <c r="CJ261" s="1114">
        <v>0.5</v>
      </c>
      <c r="CK261" s="1115" t="s">
        <v>292</v>
      </c>
      <c r="CL261" s="1115" t="s">
        <v>161</v>
      </c>
      <c r="CM261" s="1119">
        <v>0.15</v>
      </c>
      <c r="CN261" s="1115">
        <v>3</v>
      </c>
      <c r="CO261" s="1092"/>
      <c r="CP261" s="1118">
        <f t="shared" si="388"/>
        <v>1.0343328100757145E-2</v>
      </c>
      <c r="CQ261" s="1118">
        <f t="shared" si="389"/>
        <v>2.145282865342223E-2</v>
      </c>
      <c r="CR261" s="1118">
        <f t="shared" si="390"/>
        <v>1.2053571428571429E-2</v>
      </c>
      <c r="CS261" s="1118">
        <f t="shared" si="391"/>
        <v>0</v>
      </c>
      <c r="CT261" s="1109">
        <f t="shared" si="392"/>
        <v>0</v>
      </c>
      <c r="CU261" s="1101">
        <f t="shared" si="393"/>
        <v>1210.5022229645465</v>
      </c>
      <c r="CV261" s="1108">
        <f t="shared" si="394"/>
        <v>173.71094716959757</v>
      </c>
      <c r="CW261" s="1097">
        <f t="shared" si="395"/>
        <v>1410.655725779364</v>
      </c>
      <c r="CX261" s="1097">
        <f t="shared" si="396"/>
        <v>1210.5022229645465</v>
      </c>
      <c r="CY261" s="1110">
        <f t="shared" si="397"/>
        <v>1410.655725779364</v>
      </c>
      <c r="CZ261" s="437"/>
      <c r="DA261" s="438"/>
      <c r="DB261" s="439" t="s">
        <v>569</v>
      </c>
      <c r="DC261" s="439"/>
      <c r="DD261" s="443"/>
      <c r="DE261" s="411"/>
      <c r="DF261" s="411"/>
      <c r="DG261" s="1116">
        <f t="shared" si="398"/>
        <v>0</v>
      </c>
      <c r="DH261" s="1116">
        <f t="shared" si="399"/>
        <v>0</v>
      </c>
      <c r="DI261" s="1116">
        <f t="shared" si="400"/>
        <v>0</v>
      </c>
      <c r="DJ261" s="442">
        <f t="shared" si="401"/>
        <v>0</v>
      </c>
      <c r="DK261" s="1109">
        <f t="shared" si="402"/>
        <v>0</v>
      </c>
      <c r="DL261" s="1101">
        <f t="shared" si="403"/>
        <v>0</v>
      </c>
      <c r="DM261" s="1097">
        <f t="shared" si="404"/>
        <v>0</v>
      </c>
      <c r="DN261" s="1097">
        <f t="shared" si="405"/>
        <v>0</v>
      </c>
      <c r="DO261" s="1097">
        <f t="shared" si="406"/>
        <v>0</v>
      </c>
      <c r="DP261" s="1110">
        <f t="shared" si="407"/>
        <v>0</v>
      </c>
      <c r="DQ261" s="1113" t="s">
        <v>156</v>
      </c>
      <c r="DR261" s="1120">
        <f t="shared" si="408"/>
        <v>0.33</v>
      </c>
      <c r="DS261" s="1124"/>
      <c r="DT261" s="1093" t="s">
        <v>179</v>
      </c>
      <c r="DU261" s="1093"/>
      <c r="DV261" s="1098">
        <f>IF($P261="","N/A",IF(P261=-1,INDEX('卡片raw data'!AN:AN,MATCH(D261,'卡片raw data'!$F:$F,)),0)+IF(AND(L261&lt;&gt;"party卡",P261&lt;=2,P261&gt;=0),INDEX('卡片raw data'!AP:AP,MATCH(D261,'卡片raw data'!$F:$F,)),0)+IF(OR(AND(L261="party卡",P261&lt;=1),AND(P261&lt;=4,L261&lt;&gt;"party卡",P261&gt;=3)),INDEX('卡片raw data'!AQ:AQ,MATCH(D261,'卡片raw data'!$F:$F,)),0)+IF(OR(P261=5,AND(L261="party卡",P261&gt;=2)),INDEX('卡片raw data'!AR:AR,MATCH(D261,'卡片raw data'!$F:$F,)),0))</f>
        <v>0.08</v>
      </c>
      <c r="DW261" s="1098">
        <f t="shared" si="409"/>
        <v>0.33</v>
      </c>
      <c r="DX261" s="1098">
        <f t="shared" si="410"/>
        <v>0.33</v>
      </c>
      <c r="DY261" s="1098">
        <f t="shared" si="411"/>
        <v>8.8000000000000005E-3</v>
      </c>
      <c r="DZ261" s="1098">
        <f t="shared" si="412"/>
        <v>8.7538000000000008E-3</v>
      </c>
      <c r="EA261" s="1098">
        <f t="shared" si="413"/>
        <v>0</v>
      </c>
      <c r="EB261" s="1121">
        <f t="shared" si="414"/>
        <v>61.833199999999991</v>
      </c>
      <c r="EC261" s="1101">
        <f t="shared" si="415"/>
        <v>3960.0000000000005</v>
      </c>
      <c r="ED261" s="1097">
        <f t="shared" si="416"/>
        <v>2188.4500000000003</v>
      </c>
      <c r="EE261" s="1110">
        <f t="shared" si="417"/>
        <v>3960.0000000000005</v>
      </c>
      <c r="EF261" s="1092" t="s">
        <v>711</v>
      </c>
      <c r="EG261" s="1120">
        <f t="shared" si="418"/>
        <v>0.33</v>
      </c>
      <c r="EH261" s="1124"/>
      <c r="EI261" s="1093"/>
      <c r="EJ261" s="1093"/>
      <c r="EK261" s="1097">
        <f>IF($P261="","N/A",IF(P261=-1,INDEX('卡片raw data'!AS:AS,MATCH(D261,'卡片raw data'!$F:$F,)),0)+IF(AND(L261&lt;&gt;"party卡",P261&lt;=2,P261&gt;=0),INDEX('卡片raw data'!AU:AU,MATCH(D261,'卡片raw data'!$F:$F,)),0)+IF(OR(AND(L261="party卡",P261&lt;=1),AND(P261&lt;=4,L261&lt;&gt;"party卡",P261&gt;=3)),INDEX('卡片raw data'!AV:AV,MATCH(D261,'卡片raw data'!$F:$F,)),0)+IF(OR(P261=5,AND(L261="party卡",P261&gt;=2)),INDEX('卡片raw data'!AW:AW,MATCH(D261,'卡片raw data'!$F:$F,)),0))</f>
        <v>0</v>
      </c>
      <c r="EL261" s="1098">
        <f t="shared" si="419"/>
        <v>0.33</v>
      </c>
      <c r="EM261" s="1098">
        <f t="shared" si="420"/>
        <v>0.33</v>
      </c>
      <c r="EN261" s="1125">
        <f t="shared" si="421"/>
        <v>0</v>
      </c>
      <c r="EO261" s="1125">
        <f t="shared" si="422"/>
        <v>0</v>
      </c>
      <c r="EP261" s="1098">
        <f t="shared" si="423"/>
        <v>0</v>
      </c>
      <c r="EQ261" s="1121">
        <f t="shared" si="424"/>
        <v>0</v>
      </c>
      <c r="ER261" s="1101">
        <f t="shared" si="425"/>
        <v>0</v>
      </c>
      <c r="ES261" s="1097">
        <f t="shared" si="426"/>
        <v>0</v>
      </c>
      <c r="ET261" s="1122">
        <f t="shared" si="427"/>
        <v>0</v>
      </c>
    </row>
    <row r="262" spans="2:150" ht="16.5" customHeight="1">
      <c r="B262" s="1123" t="str">
        <f>INDEX('卡片raw data'!B:B,MATCH($D262,'卡片raw data'!$F:$F,))</f>
        <v>梅雨艾</v>
      </c>
      <c r="C262" s="449" t="s">
        <v>67</v>
      </c>
      <c r="D262" s="408">
        <v>259</v>
      </c>
      <c r="E262" s="1090">
        <v>402083001</v>
      </c>
      <c r="F262" s="1090" t="str">
        <f>INDEX('卡片raw data'!C:C,MATCH($D262,'卡片raw data'!$F:$F,))</f>
        <v>UR</v>
      </c>
      <c r="G262" s="1094" t="s">
        <v>49</v>
      </c>
      <c r="H262" s="411">
        <f>IFERROR(INDEX(绊状态确认!C:C,MATCH($G262,绊状态确认!$B:$B,)),"")</f>
        <v>208</v>
      </c>
      <c r="I262" s="450" t="str">
        <f>IFERROR(INDEX(绊状态确认!D:D,MATCH($G262,绊状态确认!$B:$B,)),"")</f>
        <v>虹</v>
      </c>
      <c r="J262" s="450" t="str">
        <f>IFERROR(INDEX(绊状态确认!E:E,MATCH($G262,绊状态确认!$B:$B,)),"")</f>
        <v>3年级</v>
      </c>
      <c r="K262" s="451" t="str">
        <f>IFERROR(INDEX(绊状态确认!F:F,MATCH($G262,绊状态确认!$B:$B,)),"")</f>
        <v>QU4RTZ</v>
      </c>
      <c r="L262" s="1094" t="str">
        <f>INDEX('卡片raw data'!E:E,MATCH($D262,'卡片raw data'!$F:$F,))</f>
        <v>活动卡</v>
      </c>
      <c r="M262" s="415">
        <v>44004</v>
      </c>
      <c r="N262" s="416">
        <v>18</v>
      </c>
      <c r="O262" s="1091" t="str">
        <f>INDEX('卡片raw data'!D:D,MATCH($D262,'卡片raw data'!$F:$F,))</f>
        <v>vo</v>
      </c>
      <c r="P262" s="417">
        <v>5</v>
      </c>
      <c r="Q262" s="1095">
        <f t="shared" si="343"/>
        <v>46007.755815335935</v>
      </c>
      <c r="R262" s="1096">
        <f t="shared" si="344"/>
        <v>0.53400000000000003</v>
      </c>
      <c r="S262" s="1097">
        <f t="shared" si="345"/>
        <v>19375.880178539628</v>
      </c>
      <c r="T262" s="1098">
        <f t="shared" si="346"/>
        <v>0.96799999999999997</v>
      </c>
      <c r="U262" s="1099">
        <f t="shared" si="347"/>
        <v>-9.6579134628571435</v>
      </c>
      <c r="V262" s="1100">
        <f t="shared" si="348"/>
        <v>45935.449969533212</v>
      </c>
      <c r="W262" s="1101">
        <f t="shared" si="349"/>
        <v>4871.3578507623633</v>
      </c>
      <c r="X262" s="1096">
        <f t="shared" si="350"/>
        <v>5.6000000000000001E-2</v>
      </c>
      <c r="Y262" s="1097">
        <f t="shared" si="351"/>
        <v>1232.3626044389803</v>
      </c>
      <c r="Z262" s="1102">
        <f t="shared" si="352"/>
        <v>15.342086537142857</v>
      </c>
      <c r="AA262" s="1103">
        <f t="shared" si="353"/>
        <v>6103.7204552013436</v>
      </c>
      <c r="AB262" s="1101">
        <f t="shared" si="354"/>
        <v>9379.0793378883645</v>
      </c>
      <c r="AC262" s="1104">
        <f t="shared" si="355"/>
        <v>0.109</v>
      </c>
      <c r="AD262" s="1105">
        <f t="shared" si="356"/>
        <v>1.1388888888888888E-2</v>
      </c>
      <c r="AE262" s="1128">
        <f t="shared" si="357"/>
        <v>5.5403533664403231</v>
      </c>
      <c r="AF262" s="1130">
        <f t="shared" si="358"/>
        <v>0</v>
      </c>
      <c r="AG262" s="420">
        <f t="shared" si="359"/>
        <v>0</v>
      </c>
      <c r="AH262" s="420">
        <f t="shared" si="360"/>
        <v>0</v>
      </c>
      <c r="AI262" s="1097">
        <f t="shared" si="361"/>
        <v>0</v>
      </c>
      <c r="AJ262" s="420">
        <f t="shared" si="362"/>
        <v>0</v>
      </c>
      <c r="AK262" s="518">
        <f t="shared" si="363"/>
        <v>0</v>
      </c>
      <c r="AL262" s="1106">
        <f>IF($P262="","N/A",(IF($P262=-1,INDEX('卡片raw data'!S:S,MATCH($D262,'卡片raw data'!$F:$F,)),0)+IF($P262=0,INDEX('卡片raw data'!V:V,MATCH($D262,'卡片raw data'!$F:$F,)),0)+IF($P262=1,INDEX('卡片raw data'!Y:Y,MATCH($D262,'卡片raw data'!$F:$F,)),0)+IF($P262=2,INDEX('卡片raw data'!AB:AB,MATCH($D262,'卡片raw data'!$F:$F,)),0)+IF($P262=3,INDEX('卡片raw data'!AE:AE,MATCH($D262,'卡片raw data'!$F:$F,)),0)+IF($P262=4,INDEX('卡片raw data'!AH:AH,MATCH($D262,'卡片raw data'!$F:$F,)),0)+IF($P262=5,INDEX('卡片raw data'!AK:AK,MATCH($D262,'卡片raw data'!$F:$F,)),0)+INDEX('卡片raw data'!S:S,MATCH($D262,'卡片raw data'!$F:$F,))*(IF($F262="UR",0.04,0.033))*(IF($F262="UR",INDEX(绊状态确认!$S:$S,MATCH($G262,绊状态确认!$B:$B,))/2-40)+IF($F262="SR",INDEX(绊状态确认!$R:$R,MATCH($G262,绊状态确认!$B:$B,))/4-15))+IF($F262="R",INDEX(绊状态确认!$Q:$Q,MATCH($G262,绊状态确认!$B:$B,))/6-40/6)))*(INDEX(绊状态确认!$H:$H,MATCH($G262,绊状态确认!$B:$B,))+INDEX(绊状态确认!J:J,MATCH($G262,绊状态确认!$B:$B,)))</f>
        <v>9304.2068159999981</v>
      </c>
      <c r="AM262" s="1106">
        <f>IF($P262="","N/A",(IF($P262=-1,INDEX('卡片raw data'!T:T,MATCH($D262,'卡片raw data'!$F:$F,)),0)+IF($P262=0,INDEX('卡片raw data'!W:W,MATCH($D262,'卡片raw data'!$F:$F,)),0)+IF($P262=1,INDEX('卡片raw data'!Z:Z,MATCH($D262,'卡片raw data'!$F:$F,)),0)+IF($P262=2,INDEX('卡片raw data'!AC:AC,MATCH($D262,'卡片raw data'!$F:$F,)),0)+IF($P262=3,INDEX('卡片raw data'!AF:AF,MATCH($D262,'卡片raw data'!$F:$F,)),0)+IF($P262=4,INDEX('卡片raw data'!AI:AI,MATCH($D262,'卡片raw data'!$F:$F,)),0)+IF($P262=5,INDEX('卡片raw data'!AL:AL,MATCH($D262,'卡片raw data'!$F:$F,)),0)+INDEX('卡片raw data'!T:T,MATCH($D262,'卡片raw data'!$F:$F,))*(IF($F262="UR",0.04,0.033))*(IF($F262="UR",INDEX(绊状态确认!$S:$S,MATCH($G262,绊状态确认!$B:$B,))/2-40)+IF($F262="SR",INDEX(绊状态确认!$R:$R,MATCH($G262,绊状态确认!$B:$B,))/4-15))+IF($F262="R",INDEX(绊状态确认!$Q:$Q,MATCH($G262,绊状态确认!$B:$B,))/6-40/6)))*(INDEX(绊状态确认!$H:$H,MATCH($G262,绊状态确认!$B:$B,))+INDEX(绊状态确认!K:K,MATCH($G262,绊状态确认!$B:$B,)))</f>
        <v>8509.3631999999998</v>
      </c>
      <c r="AN262" s="1106">
        <f>IF($P262="","N/A",(IF($P262=-1,INDEX('卡片raw data'!U:U,MATCH($D262,'卡片raw data'!$F:$F,)),0)+IF($P262=0,INDEX('卡片raw data'!X:X,MATCH($D262,'卡片raw data'!$F:$F,)),0)+IF($P262=1,INDEX('卡片raw data'!AA:AA,MATCH($D262,'卡片raw data'!$F:$F,)),0)+IF($P262=2,INDEX('卡片raw data'!AD:AD,MATCH($D262,'卡片raw data'!$F:$F,)),0)+IF($P262=3,INDEX('卡片raw data'!AG:AG,MATCH($D262,'卡片raw data'!$F:$F,)),0)+IF($P262=4,INDEX('卡片raw data'!AJ:AJ,MATCH($D262,'卡片raw data'!$F:$F,)),0)+IF($P262=5,INDEX('卡片raw data'!AM:AM,MATCH($D262,'卡片raw data'!$F:$F,)),0)+INDEX('卡片raw data'!U:U,MATCH($D262,'卡片raw data'!$F:$F,))*(IF($F262="UR",0.04,0.033))*(IF($F262="UR",INDEX(绊状态确认!$S:$S,MATCH($G262,绊状态确认!$B:$B,))/2-40)+IF($F262="SR",INDEX(绊状态确认!$R:$R,MATCH($G262,绊状态确认!$B:$B,))/4-15))+IF($F262="R",INDEX(绊状态确认!$Q:$Q,MATCH($G262,绊状态确认!$B:$B,))/6-40/6)))*(INDEX(绊状态确认!$H:$H,MATCH($G262,绊状态确认!$B:$B,))+INDEX(绊状态确认!L:L,MATCH($G262,绊状态确认!$B:$B,)))</f>
        <v>8773.5534719999978</v>
      </c>
      <c r="AO262" s="1107">
        <f t="shared" si="364"/>
        <v>1</v>
      </c>
      <c r="AP262" s="1131">
        <f>1+(INDEX(绊状态确认!$T:$T,MATCH($G262,绊状态确认!$B:$B,))+0.2)*$AO262</f>
        <v>1.3</v>
      </c>
      <c r="AQ262" s="1108">
        <f t="shared" si="365"/>
        <v>27673.542891999998</v>
      </c>
      <c r="AR262" s="1097">
        <f>(AM262*(1+$EX$9)+$EX$35)*(1+(INDEX(绊状态确认!$T:$T,MATCH($G262,绊状态确认!$B:$B,))+0.2)*AO262)*IF(J262=$FF$17,1+$FE$17,1)*IF(I262=$FF$14,1+$FE$14,1)*(1+$FE$15)</f>
        <v>14319.280768000001</v>
      </c>
      <c r="AS262" s="1097">
        <f>(AN262*(1+$EX$10)+$EX$36)*(1+(INDEX(绊状态确认!$T:$T,MATCH($G262,绊状态确认!$B:$B,))+0.2)*AO262)*IF(J262=$FF$17,1+$FE$17,1)*IF(I262=$FF$14,1+$FE$14,1)*(1+$FE$15)</f>
        <v>17172.462440639996</v>
      </c>
      <c r="AT262" s="1093">
        <f>IF(AND(INDEX('卡片raw data'!AK:AK,MATCH($D262,'卡片raw data'!$F:$F,))&lt;INDEX('卡片raw data'!AM:AM,MATCH($D262,'卡片raw data'!$F:$F,)),INDEX('卡片raw data'!AL:AL,MATCH($D262,'卡片raw data'!$F:$F,))&lt;INDEX('卡片raw data'!AM:AM,MATCH($D262,'卡片raw data'!$F:$F,))),1,0)</f>
        <v>0</v>
      </c>
      <c r="AU262" s="1098">
        <f>MIN(AT262*0.15+AS262*0.00003+INDEX(绊状态确认!M:M,MATCH($G262,绊状态确认!$B:$B,)),1)</f>
        <v>0.54517387321919997</v>
      </c>
      <c r="AV262" s="1109">
        <f>(INDEX(绊状态确认!$N:$N,MATCH($G262,绊状态确认!$B:$B,))+1.5)*$EW$21</f>
        <v>2.6599999999999997</v>
      </c>
      <c r="AW262" s="1101">
        <f t="shared" si="366"/>
        <v>27378.806645784138</v>
      </c>
      <c r="AX262" s="1097">
        <f t="shared" si="367"/>
        <v>1232.36260443898</v>
      </c>
      <c r="AY262" s="1110">
        <f t="shared" si="368"/>
        <v>28611.169250223116</v>
      </c>
      <c r="AZ262" s="429">
        <f t="shared" si="369"/>
        <v>20743.203291199996</v>
      </c>
      <c r="BA262" s="431">
        <f t="shared" si="370"/>
        <v>24891.843949439994</v>
      </c>
      <c r="BB262" s="1097">
        <f>(AM262*(1+$FB$9)+$FB$35)*(1+(INDEX(绊状态确认!$T:$T,MATCH($G262,绊状态确认!$B:$B,))+0.2)*AO262)*IF(J262=$FF$17,1+$FE$17,1)*IF(I262=$FF$14,1+$FE$14,1)*(1+$FE$15)</f>
        <v>14319.280768000001</v>
      </c>
      <c r="BC262" s="1097">
        <f>(AN262*(1+$FB$10)+$FB$36)*(1+(INDEX(绊状态确认!$T:$T,MATCH($G262,绊状态确认!$B:$B,))+0.2)*AO262)*IF(J262=$FF$17,1+$FE$17,1)*IF(I262=$FF$14,1+$FE$14,1)*(1+$FE$15)</f>
        <v>17172.462440639996</v>
      </c>
      <c r="BD262" s="1104">
        <f>MIN(AT262*0.15+BC262*0.00003+INDEX(绊状态确认!M:M,MATCH($G262,绊状态确认!$B:$B,)),1)</f>
        <v>0.54517387321919997</v>
      </c>
      <c r="BE262" s="432">
        <f>(INDEX(绊状态确认!$N:$N,MATCH($G262,绊状态确认!$B:$B,))+1.5)</f>
        <v>1.9</v>
      </c>
      <c r="BF262" s="1139">
        <f t="array" ref="BF262">SUMPRODUCT(IF(AZ262*AP262*$FI$16:$FI$23*$FA$22&gt;=$FI$24,$FI$24,AZ262*AP262*$FI$16:$FI$23*$FA$22),$FJ$16:$FJ$23)</f>
        <v>41258.231346196786</v>
      </c>
      <c r="BG262" s="1125">
        <f t="array" ref="BG262">SUMPRODUCT(IF(BE262*AZ262*AP262*$FI$16:$FI$23*$FA$22&gt;=$FI$24,$FI$24,BE262*AZ262*AP262*$FI$16:$FI$23*$FA$22),$FJ$16:$FJ$23)</f>
        <v>60000</v>
      </c>
      <c r="BH262" s="1110">
        <f t="shared" si="371"/>
        <v>17158.584651389625</v>
      </c>
      <c r="BI262" s="1111">
        <f>IF(O262="vo",$EW$26/$EW$24*0.05,0)+IF(O262="sk",-$EW$26/$EW$24*(0.05-INDEX(绊状态确认!W:W,MATCH($G262,绊状态确认!$B:$B,)))+0.05*$EW$28,0)+IF(O262="sp",0.05*$EW$32*$EW$30*(1-$EW$33)-(0.05-INDEX(绊状态确认!V:V,MATCH($G262,绊状态确认!$B:$B,)))*$EW$28,0)+IF(O262="gd",-(0.05-INDEX(绊状态确认!X:X,MATCH($G262,绊状态确认!$B:$B,)))*$EW$32*$EW$30*(1-$EW$33),0)</f>
        <v>7726.3029277443748</v>
      </c>
      <c r="BJ262" s="1097">
        <f>IF(O262="vo",0.05*(1-$FI$26)*$FA$24,0)+IF(O262="sk",-(0.05-INDEX(绊状态确认!W:W,MATCH($G262,绊状态确认!$B:$B,)))*(1-$FI$26)*$FA$24+0.05*$FA$26,0)+IF(O262="sp",0.05*$FA$32*$FA$27*(1-$FA$33)/$FA$30+0.05*$FA$29/$FA$69*$FA$27*(1-$FA$33)-(0.05-INDEX(绊状态确认!V:V,MATCH($G262,绊状态确认!$B:$B,)))*$FA$26,0)+IF(O262="gd",-(0.05-INDEX(绊状态确认!X:X,MATCH($G262,绊状态确认!$B:$B,)))*$FA$32*$FA$27*(1-$FA$33)/$FA$30-(0.05-INDEX(绊状态确认!X:X,MATCH($G262,绊状态确认!$B:$B,)))*$FA$29/$FA$69*$FA$27*(1-$FA$33),0)</f>
        <v>393.93433687500004</v>
      </c>
      <c r="BK262" s="1110">
        <f>IF(O262="vo",$EW$26/$EW$24*0.05+$EW$26*(-HP($EW$62,$EW$65,$EW$64)+HP($EW$62,$EW$65,(1.05-INDEX(绊状态确认!U:U,MATCH($G262,绊状态确认!$B:$B,)))*$EW$64)),0)+IF(O262="sk",-$EW$26/$EW$24*(0.05-INDEX(绊状态确认!W:W,MATCH($G262,绊状态确认!$B:$B,)))+0.05*$EW$29,0)+IF(O262="sp",0.05*$EW$32*$EW$30*(1-$EW$33)-(0.05-INDEX(绊状态确认!V:V,MATCH($G262,绊状态确认!$B:$B,)))*$EW$29,0)+IF(O262="gd",-(0.05-INDEX(绊状态确认!X:X,MATCH($G262,绊状态确认!$B:$B,)))*$EW$32*$EW$30*(1-$EW$33)+$EW$26*(-HP($EW$62,$EW$65,$EW$64)+HP($EW$62,$EW$65,0.95*$EW$64)),0)</f>
        <v>6421.6344775026746</v>
      </c>
      <c r="BL262" s="1111">
        <f t="shared" si="372"/>
        <v>0</v>
      </c>
      <c r="BM262" s="1110">
        <f t="shared" si="373"/>
        <v>0</v>
      </c>
      <c r="BN262" s="1113">
        <f t="shared" si="374"/>
        <v>3</v>
      </c>
      <c r="BO262" s="1097">
        <f t="shared" si="375"/>
        <v>4507.7214871259994</v>
      </c>
      <c r="BP262" s="1100">
        <f t="shared" si="376"/>
        <v>221.34103209030098</v>
      </c>
      <c r="BQ262" s="1113" t="s">
        <v>294</v>
      </c>
      <c r="BR262" s="1124" t="s">
        <v>168</v>
      </c>
      <c r="BS262" s="1098">
        <f>IF($P262="","N/A",IF($P262=-1,INDEX('卡片raw data'!AX:AX,MATCH($D262,'卡片raw data'!$F:$F,)),0)+IF($L262="party卡",IF($P262=5,INDEX('卡片raw data'!BD:BD,MATCH($D262,'卡片raw data'!$F:$F,)),IF($P262&gt;=3,INDEX('卡片raw data'!BC:BC,MATCH($D262,'卡片raw data'!$F:$F,)),INDEX('卡片raw data'!BB:BB,MATCH($D262,'卡片raw data'!$F:$F,)))),IF(OR(AND($F262="UR",$P262=0),AND($F262="SR",$P262&gt;=0,$P262&lt;=2),AND($F262="R",$P262&gt;=0,$P262&lt;4)),INDEX('卡片raw data'!AZ:AZ,MATCH($D262,'卡片raw data'!$F:$F,)),0)+IF(OR(AND($F262="UR",$P262&gt;=1,$P262&lt;=4),AND($F262="SR",$P262&lt;=4,$P262&gt;=3),AND($F262="R",$P262=4)),INDEX('卡片raw data'!BA:BA,MATCH($D262,'卡片raw data'!$F:$F,)),0)+IF($P262=5,INDEX('卡片raw data'!BB:BB,MATCH($D262,'卡片raw data'!$F:$F,)),0)))</f>
        <v>0.06</v>
      </c>
      <c r="BT262" s="1101">
        <f t="shared" si="377"/>
        <v>4507.7214871260003</v>
      </c>
      <c r="BU262" s="1097">
        <f t="shared" si="378"/>
        <v>221.34103209030098</v>
      </c>
      <c r="BV262" s="1097">
        <f t="shared" si="379"/>
        <v>0</v>
      </c>
      <c r="BW262" s="1112">
        <f t="shared" si="380"/>
        <v>0</v>
      </c>
      <c r="BX262" s="1100">
        <f t="shared" si="381"/>
        <v>4507.7214871260003</v>
      </c>
      <c r="BY262" s="1110">
        <f t="shared" si="382"/>
        <v>0</v>
      </c>
      <c r="BZ262" s="1107" t="s">
        <v>569</v>
      </c>
      <c r="CA262" s="1124"/>
      <c r="CB262" s="1098">
        <f>IF($P262="","N/A",IF($P262=-1,INDEX('卡片raw data'!BE:BE,MATCH($D262,'卡片raw data'!$F:$F,)),0)+IF($L262="party卡",IF($P262=5,INDEX('卡片raw data'!BK:BK,MATCH($D262,'卡片raw data'!$F:$F,)),IF($P262&gt;=3,INDEX('卡片raw data'!BJ:BJ,MATCH($D262,'卡片raw data'!$F:$F,)),INDEX('卡片raw data'!BI:BI,MATCH($D262,'卡片raw data'!$F:$F,)))),IF(OR(AND($F262="UR",$P262=0),AND($F262="SR",$P262&gt;=0,$P262&lt;=2),AND($F262="R",$P262&gt;=0,$P262&lt;4)),INDEX('卡片raw data'!BG:BG,MATCH($D262,'卡片raw data'!$F:$F,)),0)+IF(OR(AND($F262="UR",$P262&gt;=1,$P262&lt;=4),AND($F262="SR",$P262&lt;=4,$P262&gt;=3),AND($F262="R",$P262=4)),INDEX('卡片raw data'!BH:BH,MATCH($D262,'卡片raw data'!$F:$F,)),0)+IF($P262=5,INDEX('卡片raw data'!BI:BI,MATCH($D262,'卡片raw data'!$F:$F,)),0)))</f>
        <v>0</v>
      </c>
      <c r="CC262" s="1101">
        <f t="shared" si="383"/>
        <v>0</v>
      </c>
      <c r="CD262" s="1097">
        <f>IF(BZ262="ap",CB262*(1-$FI$26)*$FB$5/$FB$11*(+IF(CA262="全员",$FA$24,0)+IF(CA262="同作战",$FA$24,0)+IF(CA262="仲间",$FA$24*2/3,0)+IF(CA262="同属性",$FA$24*$FA$37/3,0)+IF(CA262="同年级",$FA$24*$FA$40/3,0)+IF(CA262="同学校",$FA$24*$FA$43/3,0)+IF(CA262="同小队",$FA$24*$FA$46/3,0)+IF(CA262="同type",$FA$24*INDEX($FB$49:$FB$52,MATCH(X262,$FA$49:$FA$52,))/3,0)+IF(CA262="自身",#REF!/3,0)),0)+IF(BZ262="te",CB262*(1-$FI$27)*($FA$20-1)*$FB$7/$FB$13*(+IF(CA262="全员",$FA$19*$FA$24/(1+($FA$20-1)*$FA$19),0)+IF(CA262="同作战",$FA$19*$FA$24/(1+($FA$20-1)*$FA$19),0)+IF(CA262="仲间",$FA$19*$FA$24*2/3/(1+($FA$20-1)*$FA$19),0)+IF(CA262="同属性",$FA$19*$FA$24*$FA$37/3/(1+($FA$20-1)*$FA$19),0)+IF(CA262="同年级",$FA$19*$FA$24*$FA$40/3/(1+($FA$20-1)*$FA$19),0)+IF(CA262="同学校",$FA$19*$FA$24*$FA$43/3/(1+($FA$20-1)*$FA$19),0)+IF(CA262="同小队",$FA$19*$FA$24*$FA$46/3/(1+($FA$20-1)*$FA$19),0)+IF(CA262="同type",$FA$19*$FA$24*INDEX($FB$49:$FB$52,MATCH(X262,$FA$49:$FA$52,))/3/(1+($FA$20-1)*$FA$19),0)+IF(CA262="自身",$FA$19*#REF!/3/(1+(BH262-1)*$BD262),0)),0)</f>
        <v>0</v>
      </c>
      <c r="CE262" s="1097">
        <f t="shared" si="384"/>
        <v>0</v>
      </c>
      <c r="CF262" s="1112">
        <f t="shared" si="385"/>
        <v>0</v>
      </c>
      <c r="CG262" s="1100">
        <f t="shared" si="386"/>
        <v>0</v>
      </c>
      <c r="CH262" s="1110">
        <f t="shared" si="387"/>
        <v>0</v>
      </c>
      <c r="CI262" s="1113" t="s">
        <v>164</v>
      </c>
      <c r="CJ262" s="1114">
        <v>0.4</v>
      </c>
      <c r="CK262" s="1115" t="s">
        <v>295</v>
      </c>
      <c r="CL262" s="1115" t="s">
        <v>161</v>
      </c>
      <c r="CM262" s="1119">
        <v>0.1</v>
      </c>
      <c r="CN262" s="1115">
        <v>10</v>
      </c>
      <c r="CO262" s="1092"/>
      <c r="CP262" s="1118">
        <f t="shared" si="388"/>
        <v>8.5714285714285719E-3</v>
      </c>
      <c r="CQ262" s="1118">
        <f t="shared" si="389"/>
        <v>1.3333333333333336E-2</v>
      </c>
      <c r="CR262" s="1118">
        <f t="shared" si="390"/>
        <v>8.5714285714285719E-3</v>
      </c>
      <c r="CS262" s="1118">
        <f t="shared" si="391"/>
        <v>1.1388888888888888E-2</v>
      </c>
      <c r="CT262" s="1109">
        <f t="shared" si="392"/>
        <v>0</v>
      </c>
      <c r="CU262" s="1101">
        <f t="shared" si="393"/>
        <v>363.63636363636363</v>
      </c>
      <c r="CV262" s="1108">
        <f t="shared" si="394"/>
        <v>303.03030303030306</v>
      </c>
      <c r="CW262" s="1097">
        <f t="shared" si="395"/>
        <v>363.63636363636363</v>
      </c>
      <c r="CX262" s="1097">
        <f t="shared" si="396"/>
        <v>363.63636363636363</v>
      </c>
      <c r="CY262" s="1110">
        <f t="shared" si="397"/>
        <v>363.63636363636363</v>
      </c>
      <c r="CZ262" s="437"/>
      <c r="DA262" s="438"/>
      <c r="DB262" s="439" t="s">
        <v>569</v>
      </c>
      <c r="DC262" s="439"/>
      <c r="DD262" s="443"/>
      <c r="DE262" s="411"/>
      <c r="DF262" s="411"/>
      <c r="DG262" s="1116">
        <f t="shared" si="398"/>
        <v>0</v>
      </c>
      <c r="DH262" s="1116">
        <f t="shared" si="399"/>
        <v>0</v>
      </c>
      <c r="DI262" s="1116">
        <f t="shared" si="400"/>
        <v>0</v>
      </c>
      <c r="DJ262" s="442">
        <f t="shared" si="401"/>
        <v>0</v>
      </c>
      <c r="DK262" s="1109">
        <f t="shared" si="402"/>
        <v>0</v>
      </c>
      <c r="DL262" s="1101">
        <f t="shared" si="403"/>
        <v>0</v>
      </c>
      <c r="DM262" s="1097">
        <f t="shared" si="404"/>
        <v>0</v>
      </c>
      <c r="DN262" s="1097">
        <f t="shared" si="405"/>
        <v>0</v>
      </c>
      <c r="DO262" s="1097">
        <f t="shared" si="406"/>
        <v>0</v>
      </c>
      <c r="DP262" s="1110">
        <f t="shared" si="407"/>
        <v>0</v>
      </c>
      <c r="DQ262" s="1113" t="s">
        <v>152</v>
      </c>
      <c r="DR262" s="1120">
        <f t="shared" si="408"/>
        <v>0.33</v>
      </c>
      <c r="DS262" s="1124"/>
      <c r="DT262" s="1093" t="s">
        <v>132</v>
      </c>
      <c r="DU262" s="1093"/>
      <c r="DV262" s="1098">
        <f>IF($P262="","N/A",IF(P262=-1,INDEX('卡片raw data'!AN:AN,MATCH(D262,'卡片raw data'!$F:$F,)),0)+IF(AND(L262&lt;&gt;"party卡",P262&lt;=2,P262&gt;=0),INDEX('卡片raw data'!AP:AP,MATCH(D262,'卡片raw data'!$F:$F,)),0)+IF(OR(AND(L262="party卡",P262&lt;=1),AND(P262&lt;=4,L262&lt;&gt;"party卡",P262&gt;=3)),INDEX('卡片raw data'!AQ:AQ,MATCH(D262,'卡片raw data'!$F:$F,)),0)+IF(OR(P262=5,AND(L262="party卡",P262&gt;=2)),INDEX('卡片raw data'!AR:AR,MATCH(D262,'卡片raw data'!$F:$F,)),0))</f>
        <v>0.35</v>
      </c>
      <c r="DW262" s="1098">
        <f t="shared" si="409"/>
        <v>0.33</v>
      </c>
      <c r="DX262" s="1098">
        <f t="shared" si="410"/>
        <v>0.33</v>
      </c>
      <c r="DY262" s="1125">
        <f t="shared" si="411"/>
        <v>1385.0608217445999</v>
      </c>
      <c r="DZ262" s="1125">
        <f t="shared" si="412"/>
        <v>1077.648823064093</v>
      </c>
      <c r="EA262" s="1098">
        <f t="shared" si="413"/>
        <v>0</v>
      </c>
      <c r="EB262" s="1121">
        <f t="shared" si="414"/>
        <v>0</v>
      </c>
      <c r="EC262" s="1101">
        <f t="shared" si="415"/>
        <v>1523.56690391906</v>
      </c>
      <c r="ED262" s="1097">
        <f t="shared" si="416"/>
        <v>1077.648823064093</v>
      </c>
      <c r="EE262" s="1110">
        <f t="shared" si="417"/>
        <v>1523.56690391906</v>
      </c>
      <c r="EF262" s="1092" t="s">
        <v>711</v>
      </c>
      <c r="EG262" s="1120">
        <f t="shared" si="418"/>
        <v>0.33</v>
      </c>
      <c r="EH262" s="1124"/>
      <c r="EI262" s="1093"/>
      <c r="EJ262" s="1093"/>
      <c r="EK262" s="1097">
        <f>IF($P262="","N/A",IF(P262=-1,INDEX('卡片raw data'!AS:AS,MATCH(D262,'卡片raw data'!$F:$F,)),0)+IF(AND(L262&lt;&gt;"party卡",P262&lt;=2,P262&gt;=0),INDEX('卡片raw data'!AU:AU,MATCH(D262,'卡片raw data'!$F:$F,)),0)+IF(OR(AND(L262="party卡",P262&lt;=1),AND(P262&lt;=4,L262&lt;&gt;"party卡",P262&gt;=3)),INDEX('卡片raw data'!AV:AV,MATCH(D262,'卡片raw data'!$F:$F,)),0)+IF(OR(P262=5,AND(L262="party卡",P262&gt;=2)),INDEX('卡片raw data'!AW:AW,MATCH(D262,'卡片raw data'!$F:$F,)),0))</f>
        <v>0</v>
      </c>
      <c r="EL262" s="1098">
        <f t="shared" si="419"/>
        <v>0.33</v>
      </c>
      <c r="EM262" s="1098">
        <f t="shared" si="420"/>
        <v>0.33</v>
      </c>
      <c r="EN262" s="1125">
        <f t="shared" si="421"/>
        <v>0</v>
      </c>
      <c r="EO262" s="1125">
        <f t="shared" si="422"/>
        <v>0</v>
      </c>
      <c r="EP262" s="1098">
        <f t="shared" si="423"/>
        <v>0</v>
      </c>
      <c r="EQ262" s="1121">
        <f t="shared" si="424"/>
        <v>0</v>
      </c>
      <c r="ER262" s="1101">
        <f t="shared" si="425"/>
        <v>0</v>
      </c>
      <c r="ES262" s="1097">
        <f t="shared" si="426"/>
        <v>0</v>
      </c>
      <c r="ET262" s="1122">
        <f t="shared" si="427"/>
        <v>0</v>
      </c>
    </row>
    <row r="263" spans="2:150" ht="16.5" customHeight="1">
      <c r="B263" s="1123" t="str">
        <f>INDEX('卡片raw data'!B:B,MATCH($D263,'卡片raw data'!$F:$F,))</f>
        <v>乐器爱</v>
      </c>
      <c r="C263" s="449" t="s">
        <v>123</v>
      </c>
      <c r="D263" s="408">
        <v>260</v>
      </c>
      <c r="E263" s="1090">
        <v>402052002</v>
      </c>
      <c r="F263" s="1090" t="str">
        <f>INDEX('卡片raw data'!C:C,MATCH($D263,'卡片raw data'!$F:$F,))</f>
        <v>SR</v>
      </c>
      <c r="G263" s="1094" t="s">
        <v>354</v>
      </c>
      <c r="H263" s="411">
        <f>IFERROR(INDEX(绊状态确认!C:C,MATCH($G263,绊状态确认!$B:$B,)),"")</f>
        <v>205</v>
      </c>
      <c r="I263" s="450" t="str">
        <f>IFERROR(INDEX(绊状态确认!D:D,MATCH($G263,绊状态确认!$B:$B,)),"")</f>
        <v>虹</v>
      </c>
      <c r="J263" s="450" t="str">
        <f>IFERROR(INDEX(绊状态确认!E:E,MATCH($G263,绊状态确认!$B:$B,)),"")</f>
        <v>2年级</v>
      </c>
      <c r="K263" s="451" t="str">
        <f>IFERROR(INDEX(绊状态确认!F:F,MATCH($G263,绊状态确认!$B:$B,)),"")</f>
        <v>Diver Diva</v>
      </c>
      <c r="L263" s="1094" t="str">
        <f>INDEX('卡片raw data'!E:E,MATCH($D263,'卡片raw data'!$F:$F,))</f>
        <v>活动卡</v>
      </c>
      <c r="M263" s="415">
        <v>44004</v>
      </c>
      <c r="N263" s="416">
        <v>18</v>
      </c>
      <c r="O263" s="1091" t="str">
        <f>INDEX('卡片raw data'!D:D,MATCH($D263,'卡片raw data'!$F:$F,))</f>
        <v>gd</v>
      </c>
      <c r="P263" s="417">
        <v>5</v>
      </c>
      <c r="Q263" s="1095">
        <f t="shared" si="343"/>
        <v>14347.951337033874</v>
      </c>
      <c r="R263" s="1096">
        <f t="shared" si="344"/>
        <v>0.16600000000000001</v>
      </c>
      <c r="S263" s="1097">
        <f t="shared" si="345"/>
        <v>7742.4455171271011</v>
      </c>
      <c r="T263" s="1098">
        <f t="shared" si="346"/>
        <v>0.38700000000000001</v>
      </c>
      <c r="U263" s="1099">
        <f t="shared" si="347"/>
        <v>397.89634695135311</v>
      </c>
      <c r="V263" s="1100">
        <f t="shared" si="348"/>
        <v>60655.734633530235</v>
      </c>
      <c r="W263" s="1101">
        <f t="shared" si="349"/>
        <v>4507.7214871259994</v>
      </c>
      <c r="X263" s="1096">
        <f t="shared" si="350"/>
        <v>5.1999999999999998E-2</v>
      </c>
      <c r="Y263" s="1097">
        <f t="shared" si="351"/>
        <v>2198.7882171856736</v>
      </c>
      <c r="Z263" s="1102">
        <f t="shared" si="352"/>
        <v>27.537264177401138</v>
      </c>
      <c r="AA263" s="1103">
        <f t="shared" si="353"/>
        <v>6706.509704311673</v>
      </c>
      <c r="AB263" s="1101">
        <f t="shared" si="354"/>
        <v>4507.7214871259994</v>
      </c>
      <c r="AC263" s="1104">
        <f t="shared" si="355"/>
        <v>5.1999999999999998E-2</v>
      </c>
      <c r="AD263" s="1105">
        <f t="shared" si="356"/>
        <v>-3.8207812500000026E-3</v>
      </c>
      <c r="AE263" s="1128">
        <f t="shared" si="357"/>
        <v>-18.525362318840578</v>
      </c>
      <c r="AF263" s="1130">
        <f t="shared" si="358"/>
        <v>5474.5810158241275</v>
      </c>
      <c r="AG263" s="420">
        <f t="shared" si="359"/>
        <v>98789.407032484494</v>
      </c>
      <c r="AH263" s="420">
        <f t="shared" si="360"/>
        <v>18.045108246080641</v>
      </c>
      <c r="AI263" s="1097">
        <f t="shared" si="361"/>
        <v>89110.093799505572</v>
      </c>
      <c r="AJ263" s="420">
        <f t="shared" si="362"/>
        <v>60655.734633530235</v>
      </c>
      <c r="AK263" s="518">
        <f t="shared" si="363"/>
        <v>28454.359165975337</v>
      </c>
      <c r="AL263" s="1106">
        <f>IF($P263="","N/A",(IF($P263=-1,INDEX('卡片raw data'!S:S,MATCH($D263,'卡片raw data'!$F:$F,)),0)+IF($P263=0,INDEX('卡片raw data'!V:V,MATCH($D263,'卡片raw data'!$F:$F,)),0)+IF($P263=1,INDEX('卡片raw data'!Y:Y,MATCH($D263,'卡片raw data'!$F:$F,)),0)+IF($P263=2,INDEX('卡片raw data'!AB:AB,MATCH($D263,'卡片raw data'!$F:$F,)),0)+IF($P263=3,INDEX('卡片raw data'!AE:AE,MATCH($D263,'卡片raw data'!$F:$F,)),0)+IF($P263=4,INDEX('卡片raw data'!AH:AH,MATCH($D263,'卡片raw data'!$F:$F,)),0)+IF($P263=5,INDEX('卡片raw data'!AK:AK,MATCH($D263,'卡片raw data'!$F:$F,)),0)+INDEX('卡片raw data'!S:S,MATCH($D263,'卡片raw data'!$F:$F,))*(IF($F263="UR",0.04,0.033))*(IF($F263="UR",INDEX(绊状态确认!$S:$S,MATCH($G263,绊状态确认!$B:$B,))/2-40)+IF($F263="SR",INDEX(绊状态确认!$R:$R,MATCH($G263,绊状态确认!$B:$B,))/4-15))+IF($F263="R",INDEX(绊状态确认!$Q:$Q,MATCH($G263,绊状态确认!$B:$B,))/6-40/6)))*(INDEX(绊状态确认!$H:$H,MATCH($G263,绊状态确认!$B:$B,))+INDEX(绊状态确认!J:J,MATCH($G263,绊状态确认!$B:$B,)))</f>
        <v>3938.7623999999996</v>
      </c>
      <c r="AM263" s="1106">
        <f>IF($P263="","N/A",(IF($P263=-1,INDEX('卡片raw data'!T:T,MATCH($D263,'卡片raw data'!$F:$F,)),0)+IF($P263=0,INDEX('卡片raw data'!W:W,MATCH($D263,'卡片raw data'!$F:$F,)),0)+IF($P263=1,INDEX('卡片raw data'!Z:Z,MATCH($D263,'卡片raw data'!$F:$F,)),0)+IF($P263=2,INDEX('卡片raw data'!AC:AC,MATCH($D263,'卡片raw data'!$F:$F,)),0)+IF($P263=3,INDEX('卡片raw data'!AF:AF,MATCH($D263,'卡片raw data'!$F:$F,)),0)+IF($P263=4,INDEX('卡片raw data'!AI:AI,MATCH($D263,'卡片raw data'!$F:$F,)),0)+IF($P263=5,INDEX('卡片raw data'!AL:AL,MATCH($D263,'卡片raw data'!$F:$F,)),0)+INDEX('卡片raw data'!T:T,MATCH($D263,'卡片raw data'!$F:$F,))*(IF($F263="UR",0.04,0.033))*(IF($F263="UR",INDEX(绊状态确认!$S:$S,MATCH($G263,绊状态确认!$B:$B,))/2-40)+IF($F263="SR",INDEX(绊状态确认!$R:$R,MATCH($G263,绊状态确认!$B:$B,))/4-15))+IF($F263="R",INDEX(绊状态确认!$Q:$Q,MATCH($G263,绊状态确认!$B:$B,))/6-40/6)))*(INDEX(绊状态确认!$H:$H,MATCH($G263,绊状态确认!$B:$B,))+INDEX(绊状态确认!K:K,MATCH($G263,绊状态确认!$B:$B,)))</f>
        <v>7389.8001023999987</v>
      </c>
      <c r="AN263" s="1106">
        <f>IF($P263="","N/A",(IF($P263=-1,INDEX('卡片raw data'!U:U,MATCH($D263,'卡片raw data'!$F:$F,)),0)+IF($P263=0,INDEX('卡片raw data'!X:X,MATCH($D263,'卡片raw data'!$F:$F,)),0)+IF($P263=1,INDEX('卡片raw data'!AA:AA,MATCH($D263,'卡片raw data'!$F:$F,)),0)+IF($P263=2,INDEX('卡片raw data'!AD:AD,MATCH($D263,'卡片raw data'!$F:$F,)),0)+IF($P263=3,INDEX('卡片raw data'!AG:AG,MATCH($D263,'卡片raw data'!$F:$F,)),0)+IF($P263=4,INDEX('卡片raw data'!AJ:AJ,MATCH($D263,'卡片raw data'!$F:$F,)),0)+IF($P263=5,INDEX('卡片raw data'!AM:AM,MATCH($D263,'卡片raw data'!$F:$F,)),0)+INDEX('卡片raw data'!U:U,MATCH($D263,'卡片raw data'!$F:$F,))*(IF($F263="UR",0.04,0.033))*(IF($F263="UR",INDEX(绊状态确认!$S:$S,MATCH($G263,绊状态确认!$B:$B,))/2-40)+IF($F263="SR",INDEX(绊状态确认!$R:$R,MATCH($G263,绊状态确认!$B:$B,))/4-15))+IF($F263="R",INDEX(绊状态确认!$Q:$Q,MATCH($G263,绊状态确认!$B:$B,))/6-40/6)))*(INDEX(绊状态确认!$H:$H,MATCH($G263,绊状态确认!$B:$B,))+INDEX(绊状态确认!L:L,MATCH($G263,绊状态确认!$B:$B,)))</f>
        <v>5089.1083007999996</v>
      </c>
      <c r="AO263" s="1107">
        <f t="shared" si="364"/>
        <v>1</v>
      </c>
      <c r="AP263" s="1131">
        <f>1+(INDEX(绊状态确认!$T:$T,MATCH($G263,绊状态确认!$B:$B,))+0.2)*$AO263</f>
        <v>1.3</v>
      </c>
      <c r="AQ263" s="1108">
        <f t="shared" si="365"/>
        <v>13589.251299999998</v>
      </c>
      <c r="AR263" s="1097">
        <f>(AM263*(1+$EX$9)+$EX$35)*(1+(INDEX(绊状态确认!$T:$T,MATCH($G263,绊状态确认!$B:$B,))+0.2)*AO263)*IF(J263=$FF$17,1+$FE$17,1)*IF(I263=$FF$14,1+$FE$14,1)</f>
        <v>12791.077139775998</v>
      </c>
      <c r="AS263" s="1097">
        <f>(AN263*(1+$EX$10)+$EX$36)*(1+(INDEX(绊状态确认!$T:$T,MATCH($G263,绊状态确认!$B:$B,))+0.2)*AO263)*IF(J263=$FF$17,1+$FE$17,1)*IF(I263=$FF$14,1+$FE$14,1)</f>
        <v>11664.216909695999</v>
      </c>
      <c r="AT263" s="1093">
        <f>IF(AND(INDEX('卡片raw data'!AK:AK,MATCH($D263,'卡片raw data'!$F:$F,))&lt;INDEX('卡片raw data'!AM:AM,MATCH($D263,'卡片raw data'!$F:$F,)),INDEX('卡片raw data'!AL:AL,MATCH($D263,'卡片raw data'!$F:$F,))&lt;INDEX('卡片raw data'!AM:AM,MATCH($D263,'卡片raw data'!$F:$F,))),1,0)</f>
        <v>0</v>
      </c>
      <c r="AU263" s="1098">
        <f>MIN(AT263*0.15+AS263*0.00003+INDEX(绊状态确认!M:M,MATCH($G263,绊状态确认!$B:$B,)),1)</f>
        <v>0.37992650729088001</v>
      </c>
      <c r="AV263" s="1109">
        <f>(INDEX(绊状态确认!$N:$N,MATCH($G263,绊状态确认!$B:$B,))+1.5)*$EW$21</f>
        <v>2.6599999999999997</v>
      </c>
      <c r="AW263" s="1101">
        <f t="shared" si="366"/>
        <v>11508.563183241207</v>
      </c>
      <c r="AX263" s="1097">
        <f t="shared" si="367"/>
        <v>1097.1340243123809</v>
      </c>
      <c r="AY263" s="1110">
        <f t="shared" si="368"/>
        <v>12605.697207553589</v>
      </c>
      <c r="AZ263" s="429">
        <f t="shared" si="369"/>
        <v>10280.58668</v>
      </c>
      <c r="BA263" s="431">
        <f t="shared" si="370"/>
        <v>12336.704016</v>
      </c>
      <c r="BB263" s="1097">
        <f>(AM263*(1+$FB$9)+$FB$35)*(1+(INDEX(绊状态确认!$T:$T,MATCH($G263,绊状态确认!$B:$B,))+0.2)*AO263)*IF(J263=$FF$17,1+$FE$17,1)*IF(I263=$FF$14,1+$FE$14,1)*(1+$FE$15)</f>
        <v>12791.077139775998</v>
      </c>
      <c r="BC263" s="1097">
        <f>(AN263*(1+$FB$10)+$FB$36)*(1+(INDEX(绊状态确认!$T:$T,MATCH($G263,绊状态确认!$B:$B,))+0.2)*AO263)*IF(J263=$FF$17,1+$FE$17,1)*IF(I263=$FF$14,1+$FE$14,1)*(1+$FE$15)</f>
        <v>11664.216909695999</v>
      </c>
      <c r="BD263" s="1104">
        <f>MIN(AT263*0.15+BC263*0.00003+INDEX(绊状态确认!M:M,MATCH($G263,绊状态确认!$B:$B,)),1)</f>
        <v>0.37992650729088001</v>
      </c>
      <c r="BE263" s="432">
        <f>(INDEX(绊状态确认!$N:$N,MATCH($G263,绊状态确认!$B:$B,))+1.5)</f>
        <v>1.9</v>
      </c>
      <c r="BF263" s="1139">
        <f t="array" ref="BF263">SUMPRODUCT(IF(AZ263*AP263*$FI$16:$FI$23*$FA$22&gt;=$FI$24,$FI$24,AZ263*AP263*$FI$16:$FI$23*$FA$22),$FJ$16:$FJ$23)</f>
        <v>20448.086906520002</v>
      </c>
      <c r="BG263" s="1125">
        <f t="array" ref="BG263">SUMPRODUCT(IF(BE263*AZ263*AP263*$FI$16:$FI$23*$FA$22&gt;=$FI$24,$FI$24,BE263*AZ263*AP263*$FI$16:$FI$23*$FA$22),$FJ$16:$FJ$23)</f>
        <v>38851.365122388001</v>
      </c>
      <c r="BH263" s="1110">
        <f t="shared" si="371"/>
        <v>9146.6600405923564</v>
      </c>
      <c r="BI263" s="1111">
        <f>IF(O263="vo",$EW$26/$EW$24*0.05,0)+IF(O263="sk",-$EW$26/$EW$24*(0.05-INDEX(绊状态确认!W:W,MATCH($G263,绊状态确认!$B:$B,)))+0.05*$EW$28,0)+IF(O263="sp",0.05*$EW$32*$EW$30*(1-$EW$33)-(0.05-INDEX(绊状态确认!V:V,MATCH($G263,绊状态确认!$B:$B,)))*$EW$28,0)+IF(O263="gd",-(0.05-INDEX(绊状态确认!X:X,MATCH($G263,绊状态确认!$B:$B,)))*$EW$32*$EW$30*(1-$EW$33),0)</f>
        <v>-585.00000000000011</v>
      </c>
      <c r="BJ263" s="1097">
        <f>IF(O263="vo",0.05*(1-$FI$26)*$FA$24,0)+IF(O263="sk",-(0.05-INDEX(绊状态确认!W:W,MATCH($G263,绊状态确认!$B:$B,)))*(1-$FI$26)*$FA$24+0.05*$FA$26,0)+IF(O263="sp",0.05*$FA$32*$FA$27*(1-$FA$33)/$FA$30+0.05*$FA$29/$FA$69*$FA$27*(1-$FA$33)-(0.05-INDEX(绊状态确认!V:V,MATCH($G263,绊状态确认!$B:$B,)))*$FA$26,0)+IF(O263="gd",-(0.05-INDEX(绊状态确认!X:X,MATCH($G263,绊状态确认!$B:$B,)))*$FA$32*$FA$27*(1-$FA$33)/$FA$30-(0.05-INDEX(绊状态确认!X:X,MATCH($G263,绊状态确认!$B:$B,)))*$FA$29/$FA$69*$FA$27*(1-$FA$33),0)</f>
        <v>-795.00000000000011</v>
      </c>
      <c r="BK263" s="1110">
        <f>IF(O263="vo",$EW$26/$EW$24*0.05+$EW$26*(-HP($EW$62,$EW$65,$EW$64)+HP($EW$62,$EW$65,(1.05-INDEX(绊状态确认!U:U,MATCH($G263,绊状态确认!$B:$B,)))*$EW$64)),0)+IF(O263="sk",-$EW$26/$EW$24*(0.05-INDEX(绊状态确认!W:W,MATCH($G263,绊状态确认!$B:$B,)))+0.05*$EW$29,0)+IF(O263="sp",0.05*$EW$32*$EW$30*(1-$EW$33)-(0.05-INDEX(绊状态确认!V:V,MATCH($G263,绊状态确认!$B:$B,)))*$EW$29,0)+IF(O263="gd",-(0.05-INDEX(绊状态确认!X:X,MATCH($G263,绊状态确认!$B:$B,)))*$EW$32*$EW$30*(1-$EW$33)+$EW$26*(-HP($EW$62,$EW$65,$EW$64)+HP($EW$62,$EW$65,0.95*$EW$64)),0)</f>
        <v>1009.5947725176144</v>
      </c>
      <c r="BL263" s="1111">
        <f t="shared" si="372"/>
        <v>-1083.3333333333333</v>
      </c>
      <c r="BM263" s="1110">
        <f t="shared" si="373"/>
        <v>-830.55555555555543</v>
      </c>
      <c r="BN263" s="1113">
        <f t="shared" si="374"/>
        <v>3</v>
      </c>
      <c r="BO263" s="1097">
        <f t="shared" si="375"/>
        <v>4507.7214871259994</v>
      </c>
      <c r="BP263" s="1100">
        <f t="shared" si="376"/>
        <v>221.34103209030098</v>
      </c>
      <c r="BQ263" s="1113" t="s">
        <v>133</v>
      </c>
      <c r="BR263" s="1124" t="s">
        <v>171</v>
      </c>
      <c r="BS263" s="1098">
        <f>IF($P263="","N/A",IF($P263=-1,INDEX('卡片raw data'!AX:AX,MATCH($D263,'卡片raw data'!$F:$F,)),0)+IF($L263="party卡",IF($P263=5,INDEX('卡片raw data'!BD:BD,MATCH($D263,'卡片raw data'!$F:$F,)),IF($P263&gt;=3,INDEX('卡片raw data'!BC:BC,MATCH($D263,'卡片raw data'!$F:$F,)),INDEX('卡片raw data'!BB:BB,MATCH($D263,'卡片raw data'!$F:$F,)))),IF(OR(AND($F263="UR",$P263=0),AND($F263="SR",$P263&gt;=0,$P263&lt;=2),AND($F263="R",$P263&gt;=0,$P263&lt;4)),INDEX('卡片raw data'!AZ:AZ,MATCH($D263,'卡片raw data'!$F:$F,)),0)+IF(OR(AND($F263="UR",$P263&gt;=1,$P263&lt;=4),AND($F263="SR",$P263&lt;=4,$P263&gt;=3),AND($F263="R",$P263=4)),INDEX('卡片raw data'!BA:BA,MATCH($D263,'卡片raw data'!$F:$F,)),0)+IF($P263=5,INDEX('卡片raw data'!BB:BB,MATCH($D263,'卡片raw data'!$F:$F,)),0)))</f>
        <v>3.2000000000000001E-2</v>
      </c>
      <c r="BT263" s="1101">
        <f t="shared" si="377"/>
        <v>0</v>
      </c>
      <c r="BU263" s="1097">
        <f t="shared" si="378"/>
        <v>0</v>
      </c>
      <c r="BV263" s="1097">
        <f t="shared" si="379"/>
        <v>0</v>
      </c>
      <c r="BW263" s="1112">
        <f t="shared" si="380"/>
        <v>1.498285714285714</v>
      </c>
      <c r="BX263" s="1100">
        <f t="shared" si="381"/>
        <v>117.00848980993118</v>
      </c>
      <c r="BY263" s="1110">
        <f t="shared" si="382"/>
        <v>117.00848980993118</v>
      </c>
      <c r="BZ263" s="1107" t="s">
        <v>569</v>
      </c>
      <c r="CA263" s="1124"/>
      <c r="CB263" s="1098">
        <f>IF($P263="","N/A",IF($P263=-1,INDEX('卡片raw data'!BE:BE,MATCH($D263,'卡片raw data'!$F:$F,)),0)+IF($L263="party卡",IF($P263=5,INDEX('卡片raw data'!BK:BK,MATCH($D263,'卡片raw data'!$F:$F,)),IF($P263&gt;=3,INDEX('卡片raw data'!BJ:BJ,MATCH($D263,'卡片raw data'!$F:$F,)),INDEX('卡片raw data'!BI:BI,MATCH($D263,'卡片raw data'!$F:$F,)))),IF(OR(AND($F263="UR",$P263=0),AND($F263="SR",$P263&gt;=0,$P263&lt;=2),AND($F263="R",$P263&gt;=0,$P263&lt;4)),INDEX('卡片raw data'!BG:BG,MATCH($D263,'卡片raw data'!$F:$F,)),0)+IF(OR(AND($F263="UR",$P263&gt;=1,$P263&lt;=4),AND($F263="SR",$P263&lt;=4,$P263&gt;=3),AND($F263="R",$P263=4)),INDEX('卡片raw data'!BH:BH,MATCH($D263,'卡片raw data'!$F:$F,)),0)+IF($P263=5,INDEX('卡片raw data'!BI:BI,MATCH($D263,'卡片raw data'!$F:$F,)),0)))</f>
        <v>0</v>
      </c>
      <c r="CC263" s="1101">
        <f t="shared" si="383"/>
        <v>0</v>
      </c>
      <c r="CD263" s="1097">
        <f>IF(BZ263="ap",CB263*(1-$FI$26)*$FB$5/$FB$11*(+IF(CA263="全员",$FA$24,0)+IF(CA263="同作战",$FA$24,0)+IF(CA263="仲间",$FA$24*2/3,0)+IF(CA263="同属性",$FA$24*$FA$37/3,0)+IF(CA263="同年级",$FA$24*$FA$40/3,0)+IF(CA263="同学校",$FA$24*$FA$43/3,0)+IF(CA263="同小队",$FA$24*$FA$46/3,0)+IF(CA263="同type",$FA$24*INDEX($FB$49:$FB$52,MATCH(X263,$FA$49:$FA$52,))/3,0)+IF(CA263="自身",#REF!/3,0)),0)+IF(BZ263="te",CB263*(1-$FI$27)*($FA$20-1)*$FB$7/$FB$13*(+IF(CA263="全员",$FA$19*$FA$24/(1+($FA$20-1)*$FA$19),0)+IF(CA263="同作战",$FA$19*$FA$24/(1+($FA$20-1)*$FA$19),0)+IF(CA263="仲间",$FA$19*$FA$24*2/3/(1+($FA$20-1)*$FA$19),0)+IF(CA263="同属性",$FA$19*$FA$24*$FA$37/3/(1+($FA$20-1)*$FA$19),0)+IF(CA263="同年级",$FA$19*$FA$24*$FA$40/3/(1+($FA$20-1)*$FA$19),0)+IF(CA263="同学校",$FA$19*$FA$24*$FA$43/3/(1+($FA$20-1)*$FA$19),0)+IF(CA263="同小队",$FA$19*$FA$24*$FA$46/3/(1+($FA$20-1)*$FA$19),0)+IF(CA263="同type",$FA$19*$FA$24*INDEX($FB$49:$FB$52,MATCH(X263,$FA$49:$FA$52,))/3/(1+($FA$20-1)*$FA$19),0)+IF(CA263="自身",$FA$19*#REF!/3/(1+(BH263-1)*$BD263),0)),0)</f>
        <v>0</v>
      </c>
      <c r="CE263" s="1097">
        <f t="shared" si="384"/>
        <v>0</v>
      </c>
      <c r="CF263" s="1112">
        <f t="shared" si="385"/>
        <v>0</v>
      </c>
      <c r="CG263" s="1100">
        <f t="shared" si="386"/>
        <v>0</v>
      </c>
      <c r="CH263" s="1110">
        <f t="shared" si="387"/>
        <v>0</v>
      </c>
      <c r="CI263" s="1113" t="s">
        <v>162</v>
      </c>
      <c r="CJ263" s="1114">
        <v>0.3</v>
      </c>
      <c r="CK263" s="1115" t="s">
        <v>635</v>
      </c>
      <c r="CL263" s="1115" t="s">
        <v>1944</v>
      </c>
      <c r="CM263" s="1119">
        <v>0.15</v>
      </c>
      <c r="CN263" s="1115"/>
      <c r="CO263" s="1092"/>
      <c r="CP263" s="1116">
        <f t="shared" si="388"/>
        <v>12.334252956212568</v>
      </c>
      <c r="CQ263" s="1116">
        <f t="shared" si="389"/>
        <v>19.186615709663997</v>
      </c>
      <c r="CR263" s="1116">
        <f t="shared" si="390"/>
        <v>12.334252956212568</v>
      </c>
      <c r="CS263" s="1118">
        <f t="shared" si="391"/>
        <v>0</v>
      </c>
      <c r="CT263" s="1109">
        <f t="shared" si="392"/>
        <v>0</v>
      </c>
      <c r="CU263" s="1101">
        <f t="shared" si="393"/>
        <v>0</v>
      </c>
      <c r="CV263" s="1108">
        <f t="shared" si="394"/>
        <v>0</v>
      </c>
      <c r="CW263" s="1097">
        <f t="shared" si="395"/>
        <v>0</v>
      </c>
      <c r="CX263" s="1097">
        <f t="shared" si="396"/>
        <v>984.64570306336122</v>
      </c>
      <c r="CY263" s="1110">
        <f t="shared" si="397"/>
        <v>984.64570306336122</v>
      </c>
      <c r="CZ263" s="437"/>
      <c r="DA263" s="438"/>
      <c r="DB263" s="439" t="s">
        <v>569</v>
      </c>
      <c r="DC263" s="439"/>
      <c r="DD263" s="443"/>
      <c r="DE263" s="411"/>
      <c r="DF263" s="411"/>
      <c r="DG263" s="1116">
        <f t="shared" si="398"/>
        <v>0</v>
      </c>
      <c r="DH263" s="1116">
        <f t="shared" si="399"/>
        <v>0</v>
      </c>
      <c r="DI263" s="1116">
        <f t="shared" si="400"/>
        <v>0</v>
      </c>
      <c r="DJ263" s="442">
        <f t="shared" si="401"/>
        <v>0</v>
      </c>
      <c r="DK263" s="1109">
        <f t="shared" si="402"/>
        <v>0</v>
      </c>
      <c r="DL263" s="1101">
        <f t="shared" si="403"/>
        <v>0</v>
      </c>
      <c r="DM263" s="1097">
        <f t="shared" si="404"/>
        <v>0</v>
      </c>
      <c r="DN263" s="1097">
        <f t="shared" si="405"/>
        <v>0</v>
      </c>
      <c r="DO263" s="1097">
        <f t="shared" si="406"/>
        <v>0</v>
      </c>
      <c r="DP263" s="1110">
        <f t="shared" si="407"/>
        <v>0</v>
      </c>
      <c r="DQ263" s="1113" t="s">
        <v>636</v>
      </c>
      <c r="DR263" s="1120">
        <f t="shared" si="408"/>
        <v>0.3</v>
      </c>
      <c r="DS263" s="1124"/>
      <c r="DT263" s="1093" t="s">
        <v>564</v>
      </c>
      <c r="DU263" s="1093"/>
      <c r="DV263" s="1098">
        <f>IF($P263="","N/A",IF(P263=-1,INDEX('卡片raw data'!AN:AN,MATCH(D263,'卡片raw data'!$F:$F,)),0)+IF(AND(L263&lt;&gt;"party卡",P263&lt;=2,P263&gt;=0),INDEX('卡片raw data'!AP:AP,MATCH(D263,'卡片raw data'!$F:$F,)),0)+IF(OR(AND(L263="party卡",P263&lt;=1),AND(P263&lt;=4,L263&lt;&gt;"party卡",P263&gt;=3)),INDEX('卡片raw data'!AQ:AQ,MATCH(D263,'卡片raw data'!$F:$F,)),0)+IF(OR(P263=5,AND(L263="party卡",P263&gt;=2)),INDEX('卡片raw data'!AR:AR,MATCH(D263,'卡片raw data'!$F:$F,)),0))</f>
        <v>0.27</v>
      </c>
      <c r="DW263" s="1098">
        <f t="shared" si="409"/>
        <v>0.3</v>
      </c>
      <c r="DX263" s="1098">
        <f t="shared" si="410"/>
        <v>0.3</v>
      </c>
      <c r="DY263" s="1125">
        <f t="shared" si="411"/>
        <v>345.35908277395197</v>
      </c>
      <c r="DZ263" s="1125">
        <f t="shared" si="412"/>
        <v>298.73560659946844</v>
      </c>
      <c r="EA263" s="1098">
        <f t="shared" si="413"/>
        <v>0</v>
      </c>
      <c r="EB263" s="1121">
        <f t="shared" si="414"/>
        <v>0</v>
      </c>
      <c r="EC263" s="1101">
        <f t="shared" si="415"/>
        <v>0</v>
      </c>
      <c r="ED263" s="1097">
        <f t="shared" si="416"/>
        <v>0</v>
      </c>
      <c r="EE263" s="1110">
        <f t="shared" si="417"/>
        <v>42514.400306793075</v>
      </c>
      <c r="EF263" s="1092" t="s">
        <v>711</v>
      </c>
      <c r="EG263" s="1120">
        <f t="shared" si="418"/>
        <v>0.3</v>
      </c>
      <c r="EH263" s="1124"/>
      <c r="EI263" s="1093"/>
      <c r="EJ263" s="1093"/>
      <c r="EK263" s="1097">
        <f>IF($P263="","N/A",IF(P263=-1,INDEX('卡片raw data'!AS:AS,MATCH(D263,'卡片raw data'!$F:$F,)),0)+IF(AND(L263&lt;&gt;"party卡",P263&lt;=2,P263&gt;=0),INDEX('卡片raw data'!AU:AU,MATCH(D263,'卡片raw data'!$F:$F,)),0)+IF(OR(AND(L263="party卡",P263&lt;=1),AND(P263&lt;=4,L263&lt;&gt;"party卡",P263&gt;=3)),INDEX('卡片raw data'!AV:AV,MATCH(D263,'卡片raw data'!$F:$F,)),0)+IF(OR(P263=5,AND(L263="party卡",P263&gt;=2)),INDEX('卡片raw data'!AW:AW,MATCH(D263,'卡片raw data'!$F:$F,)),0))</f>
        <v>0</v>
      </c>
      <c r="EL263" s="1098">
        <f t="shared" si="419"/>
        <v>0.3</v>
      </c>
      <c r="EM263" s="1098">
        <f t="shared" si="420"/>
        <v>0.3</v>
      </c>
      <c r="EN263" s="1125">
        <f t="shared" si="421"/>
        <v>0</v>
      </c>
      <c r="EO263" s="1125">
        <f t="shared" si="422"/>
        <v>0</v>
      </c>
      <c r="EP263" s="1098">
        <f t="shared" si="423"/>
        <v>0</v>
      </c>
      <c r="EQ263" s="1121">
        <f t="shared" si="424"/>
        <v>0</v>
      </c>
      <c r="ER263" s="1101">
        <f t="shared" si="425"/>
        <v>0</v>
      </c>
      <c r="ES263" s="1097">
        <f t="shared" si="426"/>
        <v>0</v>
      </c>
      <c r="ET263" s="1122">
        <f t="shared" si="427"/>
        <v>0</v>
      </c>
    </row>
    <row r="264" spans="2:150" ht="16.5" customHeight="1">
      <c r="B264" s="1123" t="str">
        <f>INDEX('卡片raw data'!B:B,MATCH($D264,'卡片raw data'!$F:$F,))</f>
        <v>op2妮</v>
      </c>
      <c r="C264" s="449" t="s">
        <v>22</v>
      </c>
      <c r="D264" s="408">
        <v>261</v>
      </c>
      <c r="E264" s="1090">
        <v>400092002</v>
      </c>
      <c r="F264" s="1090" t="str">
        <f>INDEX('卡片raw data'!C:C,MATCH($D264,'卡片raw data'!$F:$F,))</f>
        <v>SR</v>
      </c>
      <c r="G264" s="1094" t="s">
        <v>338</v>
      </c>
      <c r="H264" s="411">
        <f>IFERROR(INDEX(绊状态确认!C:C,MATCH($G264,绊状态确认!$B:$B,)),"")</f>
        <v>9</v>
      </c>
      <c r="I264" s="450" t="str">
        <f>IFERROR(INDEX(绊状态确认!D:D,MATCH($G264,绊状态确认!$B:$B,)),"")</f>
        <v>缪</v>
      </c>
      <c r="J264" s="450" t="str">
        <f>IFERROR(INDEX(绊状态确认!E:E,MATCH($G264,绊状态确认!$B:$B,)),"")</f>
        <v>3年级</v>
      </c>
      <c r="K264" s="451" t="str">
        <f>IFERROR(INDEX(绊状态确认!F:F,MATCH($G264,绊状态确认!$B:$B,)),"")</f>
        <v>BiBi</v>
      </c>
      <c r="L264" s="1094" t="str">
        <f>INDEX('卡片raw data'!E:E,MATCH($D264,'卡片raw data'!$F:$F,))</f>
        <v>活动卡</v>
      </c>
      <c r="M264" s="415">
        <v>44004</v>
      </c>
      <c r="N264" s="416">
        <v>18</v>
      </c>
      <c r="O264" s="1091" t="str">
        <f>INDEX('卡片raw data'!D:D,MATCH($D264,'卡片raw data'!$F:$F,))</f>
        <v>sk</v>
      </c>
      <c r="P264" s="417">
        <v>5</v>
      </c>
      <c r="Q264" s="1095">
        <f t="shared" si="343"/>
        <v>18724.420939852906</v>
      </c>
      <c r="R264" s="1096">
        <f t="shared" si="344"/>
        <v>0.217</v>
      </c>
      <c r="S264" s="1097">
        <f t="shared" si="345"/>
        <v>12388.9095191706</v>
      </c>
      <c r="T264" s="1098">
        <f t="shared" si="346"/>
        <v>0.61899999999999999</v>
      </c>
      <c r="U264" s="1099">
        <f t="shared" si="347"/>
        <v>9.8605176382328548</v>
      </c>
      <c r="V264" s="1100">
        <f t="shared" si="348"/>
        <v>21507.615059507247</v>
      </c>
      <c r="W264" s="1101">
        <f t="shared" si="349"/>
        <v>5801.6800161245201</v>
      </c>
      <c r="X264" s="1096">
        <f t="shared" si="350"/>
        <v>6.7000000000000004E-2</v>
      </c>
      <c r="Y264" s="1097">
        <f t="shared" si="351"/>
        <v>783.1941196543421</v>
      </c>
      <c r="Z264" s="1102">
        <f t="shared" si="352"/>
        <v>9.8605176382328548</v>
      </c>
      <c r="AA264" s="1103">
        <f t="shared" si="353"/>
        <v>6584.8741357788622</v>
      </c>
      <c r="AB264" s="1101">
        <f t="shared" si="354"/>
        <v>6556.3035045841043</v>
      </c>
      <c r="AC264" s="1104">
        <f t="shared" si="355"/>
        <v>7.5999999999999998E-2</v>
      </c>
      <c r="AD264" s="1105">
        <f t="shared" si="356"/>
        <v>1.8994224431818179E-2</v>
      </c>
      <c r="AE264" s="1128">
        <f t="shared" si="357"/>
        <v>4.3537577047458456</v>
      </c>
      <c r="AF264" s="1130">
        <f t="shared" si="358"/>
        <v>0</v>
      </c>
      <c r="AG264" s="420">
        <f t="shared" si="359"/>
        <v>0</v>
      </c>
      <c r="AH264" s="420">
        <f t="shared" si="360"/>
        <v>0</v>
      </c>
      <c r="AI264" s="1097">
        <f t="shared" si="361"/>
        <v>0</v>
      </c>
      <c r="AJ264" s="420">
        <f t="shared" si="362"/>
        <v>0</v>
      </c>
      <c r="AK264" s="518">
        <f t="shared" si="363"/>
        <v>0</v>
      </c>
      <c r="AL264" s="1106">
        <f>IF($P264="","N/A",(IF($P264=-1,INDEX('卡片raw data'!S:S,MATCH($D264,'卡片raw data'!$F:$F,)),0)+IF($P264=0,INDEX('卡片raw data'!V:V,MATCH($D264,'卡片raw data'!$F:$F,)),0)+IF($P264=1,INDEX('卡片raw data'!Y:Y,MATCH($D264,'卡片raw data'!$F:$F,)),0)+IF($P264=2,INDEX('卡片raw data'!AB:AB,MATCH($D264,'卡片raw data'!$F:$F,)),0)+IF($P264=3,INDEX('卡片raw data'!AE:AE,MATCH($D264,'卡片raw data'!$F:$F,)),0)+IF($P264=4,INDEX('卡片raw data'!AH:AH,MATCH($D264,'卡片raw data'!$F:$F,)),0)+IF($P264=5,INDEX('卡片raw data'!AK:AK,MATCH($D264,'卡片raw data'!$F:$F,)),0)+INDEX('卡片raw data'!S:S,MATCH($D264,'卡片raw data'!$F:$F,))*(IF($F264="UR",0.04,0.033))*(IF($F264="UR",INDEX(绊状态确认!$S:$S,MATCH($G264,绊状态确认!$B:$B,))/2-40)+IF($F264="SR",INDEX(绊状态确认!$R:$R,MATCH($G264,绊状态确认!$B:$B,))/4-15))+IF($F264="R",INDEX(绊状态确认!$Q:$Q,MATCH($G264,绊状态确认!$B:$B,))/6-40/6)))*(INDEX(绊状态确认!$H:$H,MATCH($G264,绊状态确认!$B:$B,))+INDEX(绊状态确认!J:J,MATCH($G264,绊状态确认!$B:$B,)))</f>
        <v>5089.1083007999996</v>
      </c>
      <c r="AM264" s="1106">
        <f>IF($P264="","N/A",(IF($P264=-1,INDEX('卡片raw data'!T:T,MATCH($D264,'卡片raw data'!$F:$F,)),0)+IF($P264=0,INDEX('卡片raw data'!W:W,MATCH($D264,'卡片raw data'!$F:$F,)),0)+IF($P264=1,INDEX('卡片raw data'!Z:Z,MATCH($D264,'卡片raw data'!$F:$F,)),0)+IF($P264=2,INDEX('卡片raw data'!AC:AC,MATCH($D264,'卡片raw data'!$F:$F,)),0)+IF($P264=3,INDEX('卡片raw data'!AF:AF,MATCH($D264,'卡片raw data'!$F:$F,)),0)+IF($P264=4,INDEX('卡片raw data'!AI:AI,MATCH($D264,'卡片raw data'!$F:$F,)),0)+IF($P264=5,INDEX('卡片raw data'!AL:AL,MATCH($D264,'卡片raw data'!$F:$F,)),0)+INDEX('卡片raw data'!T:T,MATCH($D264,'卡片raw data'!$F:$F,))*(IF($F264="UR",0.04,0.033))*(IF($F264="UR",INDEX(绊状态确认!$S:$S,MATCH($G264,绊状态确认!$B:$B,))/2-40)+IF($F264="SR",INDEX(绊状态确认!$R:$R,MATCH($G264,绊状态确认!$B:$B,))/4-15))+IF($F264="R",INDEX(绊状态确认!$Q:$Q,MATCH($G264,绊状态确认!$B:$B,))/6-40/6)))*(INDEX(绊状态确认!$H:$H,MATCH($G264,绊状态确认!$B:$B,))+INDEX(绊状态确认!K:K,MATCH($G264,绊状态确认!$B:$B,)))</f>
        <v>4761.2819015999994</v>
      </c>
      <c r="AN264" s="1106">
        <f>IF($P264="","N/A",(IF($P264=-1,INDEX('卡片raw data'!U:U,MATCH($D264,'卡片raw data'!$F:$F,)),0)+IF($P264=0,INDEX('卡片raw data'!X:X,MATCH($D264,'卡片raw data'!$F:$F,)),0)+IF($P264=1,INDEX('卡片raw data'!AA:AA,MATCH($D264,'卡片raw data'!$F:$F,)),0)+IF($P264=2,INDEX('卡片raw data'!AD:AD,MATCH($D264,'卡片raw data'!$F:$F,)),0)+IF($P264=3,INDEX('卡片raw data'!AG:AG,MATCH($D264,'卡片raw data'!$F:$F,)),0)+IF($P264=4,INDEX('卡片raw data'!AJ:AJ,MATCH($D264,'卡片raw data'!$F:$F,)),0)+IF($P264=5,INDEX('卡片raw data'!AM:AM,MATCH($D264,'卡片raw data'!$F:$F,)),0)+INDEX('卡片raw data'!U:U,MATCH($D264,'卡片raw data'!$F:$F,))*(IF($F264="UR",0.04,0.033))*(IF($F264="UR",INDEX(绊状态确认!$S:$S,MATCH($G264,绊状态确认!$B:$B,))/2-40)+IF($F264="SR",INDEX(绊状态确认!$R:$R,MATCH($G264,绊状态确认!$B:$B,))/4-15))+IF($F264="R",INDEX(绊状态确认!$Q:$Q,MATCH($G264,绊状态确认!$B:$B,))/6-40/6)))*(INDEX(绊状态确认!$H:$H,MATCH($G264,绊状态确认!$B:$B,))+INDEX(绊状态确认!L:L,MATCH($G264,绊状态确认!$B:$B,)))</f>
        <v>6569.6284031999985</v>
      </c>
      <c r="AO264" s="1107">
        <f t="shared" si="364"/>
        <v>1</v>
      </c>
      <c r="AP264" s="1131">
        <f>1+(INDEX(绊状态确认!$T:$T,MATCH($G264,绊状态确认!$B:$B,))+0.2)*$AO264</f>
        <v>1.3</v>
      </c>
      <c r="AQ264" s="1108">
        <f t="shared" si="365"/>
        <v>16608.9092896</v>
      </c>
      <c r="AR264" s="1097">
        <f>(AM264*(1+$EX$9)+$EX$35)*(1+(INDEX(绊状态确认!$T:$T,MATCH($G264,绊状态确认!$B:$B,))+0.2)*AO264)*IF(J264=$FF$17,1+$FE$17,1)*IF(I264=$FF$14,1+$FE$14,1)</f>
        <v>9203.1497956839994</v>
      </c>
      <c r="AS264" s="1097">
        <f>(AN264*(1+$EX$10)+$EX$36)*(1+(INDEX(绊状态确认!$T:$T,MATCH($G264,绊状态确认!$B:$B,))+0.2)*AO264)*IF(J264=$FF$17,1+$FE$17,1)*IF(I264=$FF$14,1+$FE$14,1)</f>
        <v>13877.594462783996</v>
      </c>
      <c r="AT264" s="1093">
        <f>IF(AND(INDEX('卡片raw data'!AK:AK,MATCH($D264,'卡片raw data'!$F:$F,))&lt;INDEX('卡片raw data'!AM:AM,MATCH($D264,'卡片raw data'!$F:$F,)),INDEX('卡片raw data'!AL:AL,MATCH($D264,'卡片raw data'!$F:$F,))&lt;INDEX('卡片raw data'!AM:AM,MATCH($D264,'卡片raw data'!$F:$F,))),1,0)</f>
        <v>1</v>
      </c>
      <c r="AU264" s="1098">
        <f>MIN(AT264*0.15+AS264*0.00003+INDEX(绊状态确认!M:M,MATCH($G264,绊状态确认!$B:$B,)),1)</f>
        <v>0.59632783388351995</v>
      </c>
      <c r="AV264" s="1109">
        <f>(INDEX(绊状态确认!$N:$N,MATCH($G264,绊状态确认!$B:$B,))+1.5)*$EW$21</f>
        <v>2.6599999999999997</v>
      </c>
      <c r="AW264" s="1101">
        <f t="shared" si="366"/>
        <v>17164.479828945568</v>
      </c>
      <c r="AX264" s="1097">
        <f t="shared" si="367"/>
        <v>783.19411965434222</v>
      </c>
      <c r="AY264" s="1110">
        <f t="shared" si="368"/>
        <v>17947.67394859991</v>
      </c>
      <c r="AZ264" s="429">
        <f t="shared" si="369"/>
        <v>12523.761186559999</v>
      </c>
      <c r="BA264" s="431">
        <f t="shared" si="370"/>
        <v>15028.513423871998</v>
      </c>
      <c r="BB264" s="1097">
        <f>(AM264*(1+$FB$9)+$FB$35)*(1+(INDEX(绊状态确认!$T:$T,MATCH($G264,绊状态确认!$B:$B,))+0.2)*AO264)*IF(J264=$FF$17,1+$FE$17,1)*IF(I264=$FF$14,1+$FE$14,1)*(1+$FE$15)</f>
        <v>9203.1497956839994</v>
      </c>
      <c r="BC264" s="1097">
        <f>(AN264*(1+$FB$10)+$FB$36)*(1+(INDEX(绊状态确认!$T:$T,MATCH($G264,绊状态确认!$B:$B,))+0.2)*AO264)*IF(J264=$FF$17,1+$FE$17,1)*IF(I264=$FF$14,1+$FE$14,1)*(1+$FE$15)</f>
        <v>13877.594462783996</v>
      </c>
      <c r="BD264" s="1104">
        <f>MIN(AT264*0.15+BC264*0.00003+INDEX(绊状态确认!M:M,MATCH($G264,绊状态确认!$B:$B,)),1)</f>
        <v>0.59632783388351995</v>
      </c>
      <c r="BE264" s="432">
        <f>(INDEX(绊状态确认!$N:$N,MATCH($G264,绊状态确认!$B:$B,))+1.5)</f>
        <v>1.9</v>
      </c>
      <c r="BF264" s="1139">
        <f t="array" ref="BF264">SUMPRODUCT(IF(AZ264*AP264*$FI$16:$FI$23*$FA$22&gt;=$FI$24,$FI$24,AZ264*AP264*$FI$16:$FI$23*$FA$22),$FJ$16:$FJ$23)</f>
        <v>24909.76100006784</v>
      </c>
      <c r="BG264" s="1125">
        <f t="array" ref="BG264">SUMPRODUCT(IF(BE264*AZ264*AP264*$FI$16:$FI$23*$FA$22&gt;=$FI$24,$FI$24,BE264*AZ264*AP264*$FI$16:$FI$23*$FA$22),$FJ$16:$FJ$23)</f>
        <v>47328.545900128898</v>
      </c>
      <c r="BH264" s="1110">
        <f t="shared" si="371"/>
        <v>12759.568812607273</v>
      </c>
      <c r="BI264" s="1111">
        <f>IF(O264="vo",$EW$26/$EW$24*0.05,0)+IF(O264="sk",-$EW$26/$EW$24*(0.05-INDEX(绊状态确认!W:W,MATCH($G264,绊状态确认!$B:$B,)))+0.05*$EW$28,0)+IF(O264="sp",0.05*$EW$32*$EW$30*(1-$EW$33)-(0.05-INDEX(绊状态确认!V:V,MATCH($G264,绊状态确认!$B:$B,)))*$EW$28,0)+IF(O264="gd",-(0.05-INDEX(绊状态确认!X:X,MATCH($G264,绊状态确认!$B:$B,)))*$EW$32*$EW$30*(1-$EW$33),0)</f>
        <v>-6253.6726349699375</v>
      </c>
      <c r="BJ264" s="1097">
        <f>IF(O264="vo",0.05*(1-$FI$26)*$FA$24,0)+IF(O264="sk",-(0.05-INDEX(绊状态确认!W:W,MATCH($G264,绊状态确认!$B:$B,)))*(1-$FI$26)*$FA$24+0.05*$FA$26,0)+IF(O264="sp",0.05*$FA$32*$FA$27*(1-$FA$33)/$FA$30+0.05*$FA$29/$FA$69*$FA$27*(1-$FA$33)-(0.05-INDEX(绊状态确认!V:V,MATCH($G264,绊状态确认!$B:$B,)))*$FA$26,0)+IF(O264="gd",-(0.05-INDEX(绊状态确认!X:X,MATCH($G264,绊状态确认!$B:$B,)))*$FA$32*$FA$27*(1-$FA$33)/$FA$30-(0.05-INDEX(绊状态确认!X:X,MATCH($G264,绊状态确认!$B:$B,)))*$FA$29/$FA$69*$FA$27*(1-$FA$33),0)</f>
        <v>20.459096812499922</v>
      </c>
      <c r="BK264" s="1110">
        <f>IF(O264="vo",$EW$26/$EW$24*0.05+$EW$26*(-HP($EW$62,$EW$65,$EW$64)+HP($EW$62,$EW$65,(1.05-INDEX(绊状态确认!U:U,MATCH($G264,绊状态确认!$B:$B,)))*$EW$64)),0)+IF(O264="sk",-$EW$26/$EW$24*(0.05-INDEX(绊状态确认!W:W,MATCH($G264,绊状态确认!$B:$B,)))+0.05*$EW$29,0)+IF(O264="sp",0.05*$EW$32*$EW$30*(1-$EW$33)-(0.05-INDEX(绊状态确认!V:V,MATCH($G264,绊状态确认!$B:$B,)))*$EW$29,0)+IF(O264="gd",-(0.05-INDEX(绊状态确认!X:X,MATCH($G264,绊状态确认!$B:$B,)))*$EW$32*$EW$30*(1-$EW$33)+$EW$26*(-HP($EW$62,$EW$65,$EW$64)+HP($EW$62,$EW$65,0.95*$EW$64)),0)</f>
        <v>-4253.6726349699375</v>
      </c>
      <c r="BL264" s="1111">
        <f t="shared" si="372"/>
        <v>-1083.3333333333333</v>
      </c>
      <c r="BM264" s="1110">
        <f t="shared" si="373"/>
        <v>-830.55555555555543</v>
      </c>
      <c r="BN264" s="1113">
        <f t="shared" si="374"/>
        <v>3</v>
      </c>
      <c r="BO264" s="1097">
        <f t="shared" si="375"/>
        <v>4507.7214871259994</v>
      </c>
      <c r="BP264" s="1100">
        <f t="shared" si="376"/>
        <v>221.34103209030098</v>
      </c>
      <c r="BQ264" s="1113" t="s">
        <v>145</v>
      </c>
      <c r="BR264" s="1124" t="s">
        <v>171</v>
      </c>
      <c r="BS264" s="1098">
        <f>IF($P264="","N/A",IF($P264=-1,INDEX('卡片raw data'!AX:AX,MATCH($D264,'卡片raw data'!$F:$F,)),0)+IF($L264="party卡",IF($P264=5,INDEX('卡片raw data'!BD:BD,MATCH($D264,'卡片raw data'!$F:$F,)),IF($P264&gt;=3,INDEX('卡片raw data'!BC:BC,MATCH($D264,'卡片raw data'!$F:$F,)),INDEX('卡片raw data'!BB:BB,MATCH($D264,'卡片raw data'!$F:$F,)))),IF(OR(AND($F264="UR",$P264=0),AND($F264="SR",$P264&gt;=0,$P264&lt;=2),AND($F264="R",$P264&gt;=0,$P264&lt;4)),INDEX('卡片raw data'!AZ:AZ,MATCH($D264,'卡片raw data'!$F:$F,)),0)+IF(OR(AND($F264="UR",$P264&gt;=1,$P264&lt;=4),AND($F264="SR",$P264&lt;=4,$P264&gt;=3),AND($F264="R",$P264=4)),INDEX('卡片raw data'!BA:BA,MATCH($D264,'卡片raw data'!$F:$F,)),0)+IF($P264=5,INDEX('卡片raw data'!BB:BB,MATCH($D264,'卡片raw data'!$F:$F,)),0)))</f>
        <v>3.2000000000000001E-2</v>
      </c>
      <c r="BT264" s="1101">
        <f t="shared" si="377"/>
        <v>1509.2469769191675</v>
      </c>
      <c r="BU264" s="1097">
        <f t="shared" si="378"/>
        <v>95.522578685765595</v>
      </c>
      <c r="BV264" s="1097">
        <f t="shared" si="379"/>
        <v>754.62348845958354</v>
      </c>
      <c r="BW264" s="1112">
        <f t="shared" si="380"/>
        <v>0</v>
      </c>
      <c r="BX264" s="1100">
        <f t="shared" si="381"/>
        <v>1509.2469769191675</v>
      </c>
      <c r="BY264" s="1110">
        <f t="shared" si="382"/>
        <v>754.62348845958354</v>
      </c>
      <c r="BZ264" s="1107" t="s">
        <v>569</v>
      </c>
      <c r="CA264" s="1124"/>
      <c r="CB264" s="1098">
        <f>IF($P264="","N/A",IF($P264=-1,INDEX('卡片raw data'!BE:BE,MATCH($D264,'卡片raw data'!$F:$F,)),0)+IF($L264="party卡",IF($P264=5,INDEX('卡片raw data'!BK:BK,MATCH($D264,'卡片raw data'!$F:$F,)),IF($P264&gt;=3,INDEX('卡片raw data'!BJ:BJ,MATCH($D264,'卡片raw data'!$F:$F,)),INDEX('卡片raw data'!BI:BI,MATCH($D264,'卡片raw data'!$F:$F,)))),IF(OR(AND($F264="UR",$P264=0),AND($F264="SR",$P264&gt;=0,$P264&lt;=2),AND($F264="R",$P264&gt;=0,$P264&lt;4)),INDEX('卡片raw data'!BG:BG,MATCH($D264,'卡片raw data'!$F:$F,)),0)+IF(OR(AND($F264="UR",$P264&gt;=1,$P264&lt;=4),AND($F264="SR",$P264&lt;=4,$P264&gt;=3),AND($F264="R",$P264=4)),INDEX('卡片raw data'!BH:BH,MATCH($D264,'卡片raw data'!$F:$F,)),0)+IF($P264=5,INDEX('卡片raw data'!BI:BI,MATCH($D264,'卡片raw data'!$F:$F,)),0)))</f>
        <v>0</v>
      </c>
      <c r="CC264" s="1101">
        <f t="shared" si="383"/>
        <v>0</v>
      </c>
      <c r="CD264" s="1097">
        <f>IF(BZ264="ap",CB264*(1-$FI$26)*$FB$5/$FB$11*(+IF(CA264="全员",$FA$24,0)+IF(CA264="同作战",$FA$24,0)+IF(CA264="仲间",$FA$24*2/3,0)+IF(CA264="同属性",$FA$24*$FA$37/3,0)+IF(CA264="同年级",$FA$24*$FA$40/3,0)+IF(CA264="同学校",$FA$24*$FA$43/3,0)+IF(CA264="同小队",$FA$24*$FA$46/3,0)+IF(CA264="同type",$FA$24*INDEX($FB$49:$FB$52,MATCH(X264,$FA$49:$FA$52,))/3,0)+IF(CA264="自身",#REF!/3,0)),0)+IF(BZ264="te",CB264*(1-$FI$27)*($FA$20-1)*$FB$7/$FB$13*(+IF(CA264="全员",$FA$19*$FA$24/(1+($FA$20-1)*$FA$19),0)+IF(CA264="同作战",$FA$19*$FA$24/(1+($FA$20-1)*$FA$19),0)+IF(CA264="仲间",$FA$19*$FA$24*2/3/(1+($FA$20-1)*$FA$19),0)+IF(CA264="同属性",$FA$19*$FA$24*$FA$37/3/(1+($FA$20-1)*$FA$19),0)+IF(CA264="同年级",$FA$19*$FA$24*$FA$40/3/(1+($FA$20-1)*$FA$19),0)+IF(CA264="同学校",$FA$19*$FA$24*$FA$43/3/(1+($FA$20-1)*$FA$19),0)+IF(CA264="同小队",$FA$19*$FA$24*$FA$46/3/(1+($FA$20-1)*$FA$19),0)+IF(CA264="同type",$FA$19*$FA$24*INDEX($FB$49:$FB$52,MATCH(X264,$FA$49:$FA$52,))/3/(1+($FA$20-1)*$FA$19),0)+IF(CA264="自身",$FA$19*#REF!/3/(1+(BH264-1)*$BD264),0)),0)</f>
        <v>0</v>
      </c>
      <c r="CE264" s="1097">
        <f t="shared" si="384"/>
        <v>0</v>
      </c>
      <c r="CF264" s="1112">
        <f t="shared" si="385"/>
        <v>0</v>
      </c>
      <c r="CG264" s="1100">
        <f t="shared" si="386"/>
        <v>0</v>
      </c>
      <c r="CH264" s="1110">
        <f t="shared" si="387"/>
        <v>0</v>
      </c>
      <c r="CI264" s="1113" t="s">
        <v>165</v>
      </c>
      <c r="CJ264" s="1114">
        <v>0.3</v>
      </c>
      <c r="CK264" s="1115" t="s">
        <v>551</v>
      </c>
      <c r="CL264" s="1115" t="s">
        <v>161</v>
      </c>
      <c r="CM264" s="1119">
        <v>0.03</v>
      </c>
      <c r="CN264" s="1115" t="s">
        <v>602</v>
      </c>
      <c r="CO264" s="1092"/>
      <c r="CP264" s="1118">
        <f t="shared" si="388"/>
        <v>8.9999999999999993E-3</v>
      </c>
      <c r="CQ264" s="1118">
        <f t="shared" si="389"/>
        <v>8.9999999999999993E-3</v>
      </c>
      <c r="CR264" s="1118">
        <f t="shared" si="390"/>
        <v>8.9999999999999993E-3</v>
      </c>
      <c r="CS264" s="1118">
        <f t="shared" si="391"/>
        <v>0</v>
      </c>
      <c r="CT264" s="1109">
        <f t="shared" si="392"/>
        <v>0</v>
      </c>
      <c r="CU264" s="1101">
        <f t="shared" si="393"/>
        <v>539.33504053893762</v>
      </c>
      <c r="CV264" s="1108">
        <f t="shared" si="394"/>
        <v>0</v>
      </c>
      <c r="CW264" s="1097">
        <f t="shared" si="395"/>
        <v>539.33504053893762</v>
      </c>
      <c r="CX264" s="1097">
        <f t="shared" si="396"/>
        <v>539.33504053893762</v>
      </c>
      <c r="CY264" s="1110">
        <f t="shared" si="397"/>
        <v>539.33504053893762</v>
      </c>
      <c r="CZ264" s="437"/>
      <c r="DA264" s="438"/>
      <c r="DB264" s="439" t="s">
        <v>569</v>
      </c>
      <c r="DC264" s="439"/>
      <c r="DD264" s="443"/>
      <c r="DE264" s="411"/>
      <c r="DF264" s="411"/>
      <c r="DG264" s="1116">
        <f t="shared" si="398"/>
        <v>0</v>
      </c>
      <c r="DH264" s="1116">
        <f t="shared" si="399"/>
        <v>0</v>
      </c>
      <c r="DI264" s="1116">
        <f t="shared" si="400"/>
        <v>0</v>
      </c>
      <c r="DJ264" s="442">
        <f t="shared" si="401"/>
        <v>0</v>
      </c>
      <c r="DK264" s="1109">
        <f t="shared" si="402"/>
        <v>0</v>
      </c>
      <c r="DL264" s="1101">
        <f t="shared" si="403"/>
        <v>0</v>
      </c>
      <c r="DM264" s="1097">
        <f t="shared" si="404"/>
        <v>0</v>
      </c>
      <c r="DN264" s="1097">
        <f t="shared" si="405"/>
        <v>0</v>
      </c>
      <c r="DO264" s="1097">
        <f t="shared" si="406"/>
        <v>0</v>
      </c>
      <c r="DP264" s="1110">
        <f t="shared" si="407"/>
        <v>0</v>
      </c>
      <c r="DQ264" s="1113" t="s">
        <v>568</v>
      </c>
      <c r="DR264" s="1120">
        <f t="shared" si="408"/>
        <v>0.3</v>
      </c>
      <c r="DS264" s="1124">
        <v>3</v>
      </c>
      <c r="DT264" s="1093" t="s">
        <v>171</v>
      </c>
      <c r="DU264" s="1093" t="s">
        <v>560</v>
      </c>
      <c r="DV264" s="1098">
        <f>IF($P264="","N/A",IF(P264=-1,INDEX('卡片raw data'!AN:AN,MATCH(D264,'卡片raw data'!$F:$F,)),0)+IF(AND(L264&lt;&gt;"party卡",P264&lt;=2,P264&gt;=0),INDEX('卡片raw data'!AP:AP,MATCH(D264,'卡片raw data'!$F:$F,)),0)+IF(OR(AND(L264="party卡",P264&lt;=1),AND(P264&lt;=4,L264&lt;&gt;"party卡",P264&gt;=3)),INDEX('卡片raw data'!AQ:AQ,MATCH(D264,'卡片raw data'!$F:$F,)),0)+IF(OR(P264=5,AND(L264="party卡",P264&gt;=2)),INDEX('卡片raw data'!AR:AR,MATCH(D264,'卡片raw data'!$F:$F,)),0))</f>
        <v>0.1</v>
      </c>
      <c r="DW264" s="1098">
        <f t="shared" si="409"/>
        <v>0.3</v>
      </c>
      <c r="DX264" s="1098">
        <f t="shared" si="410"/>
        <v>0.3</v>
      </c>
      <c r="DY264" s="1098">
        <f t="shared" si="411"/>
        <v>0.02</v>
      </c>
      <c r="DZ264" s="1098">
        <f t="shared" si="412"/>
        <v>1.5137499999999998E-2</v>
      </c>
      <c r="EA264" s="1098">
        <f t="shared" si="413"/>
        <v>0</v>
      </c>
      <c r="EB264" s="1121">
        <f t="shared" si="414"/>
        <v>0</v>
      </c>
      <c r="EC264" s="1101">
        <f t="shared" si="415"/>
        <v>2340.6435746265001</v>
      </c>
      <c r="ED264" s="1097">
        <f t="shared" si="416"/>
        <v>122.57355453031639</v>
      </c>
      <c r="EE264" s="1110">
        <f t="shared" si="417"/>
        <v>2340.6435746265001</v>
      </c>
      <c r="EF264" s="1092" t="s">
        <v>711</v>
      </c>
      <c r="EG264" s="1120">
        <f t="shared" si="418"/>
        <v>0.3</v>
      </c>
      <c r="EH264" s="1124"/>
      <c r="EI264" s="1093"/>
      <c r="EJ264" s="1093"/>
      <c r="EK264" s="1097">
        <f>IF($P264="","N/A",IF(P264=-1,INDEX('卡片raw data'!AS:AS,MATCH(D264,'卡片raw data'!$F:$F,)),0)+IF(AND(L264&lt;&gt;"party卡",P264&lt;=2,P264&gt;=0),INDEX('卡片raw data'!AU:AU,MATCH(D264,'卡片raw data'!$F:$F,)),0)+IF(OR(AND(L264="party卡",P264&lt;=1),AND(P264&lt;=4,L264&lt;&gt;"party卡",P264&gt;=3)),INDEX('卡片raw data'!AV:AV,MATCH(D264,'卡片raw data'!$F:$F,)),0)+IF(OR(P264=5,AND(L264="party卡",P264&gt;=2)),INDEX('卡片raw data'!AW:AW,MATCH(D264,'卡片raw data'!$F:$F,)),0))</f>
        <v>0</v>
      </c>
      <c r="EL264" s="1098">
        <f t="shared" si="419"/>
        <v>0.3</v>
      </c>
      <c r="EM264" s="1098">
        <f t="shared" si="420"/>
        <v>0.3</v>
      </c>
      <c r="EN264" s="1125">
        <f t="shared" si="421"/>
        <v>0</v>
      </c>
      <c r="EO264" s="1125">
        <f t="shared" si="422"/>
        <v>0</v>
      </c>
      <c r="EP264" s="1098">
        <f t="shared" si="423"/>
        <v>0</v>
      </c>
      <c r="EQ264" s="1121">
        <f t="shared" si="424"/>
        <v>0</v>
      </c>
      <c r="ER264" s="1101">
        <f t="shared" si="425"/>
        <v>0</v>
      </c>
      <c r="ES264" s="1097">
        <f t="shared" si="426"/>
        <v>0</v>
      </c>
      <c r="ET264" s="1122">
        <f t="shared" si="427"/>
        <v>0</v>
      </c>
    </row>
    <row r="265" spans="2:150" ht="16.5" customHeight="1">
      <c r="B265" s="1123" t="str">
        <f>INDEX('卡片raw data'!B:B,MATCH($D265,'卡片raw data'!$F:$F,))</f>
        <v>fes1千</v>
      </c>
      <c r="C265" s="449" t="s">
        <v>123</v>
      </c>
      <c r="D265" s="408">
        <v>262</v>
      </c>
      <c r="E265" s="1090">
        <v>201013001</v>
      </c>
      <c r="F265" s="1090" t="str">
        <f>INDEX('卡片raw data'!C:C,MATCH($D265,'卡片raw data'!$F:$F,))</f>
        <v>UR</v>
      </c>
      <c r="G265" s="1094" t="s">
        <v>536</v>
      </c>
      <c r="H265" s="411">
        <f>IFERROR(INDEX(绊状态确认!C:C,MATCH($G265,绊状态确认!$B:$B,)),"")</f>
        <v>101</v>
      </c>
      <c r="I265" s="450" t="str">
        <f>IFERROR(INDEX(绊状态确认!D:D,MATCH($G265,绊状态确认!$B:$B,)),"")</f>
        <v>水</v>
      </c>
      <c r="J265" s="450" t="str">
        <f>IFERROR(INDEX(绊状态确认!E:E,MATCH($G265,绊状态确认!$B:$B,)),"")</f>
        <v>2年级</v>
      </c>
      <c r="K265" s="451" t="str">
        <f>IFERROR(INDEX(绊状态确认!F:F,MATCH($G265,绊状态确认!$B:$B,)),"")</f>
        <v>CYaRon!</v>
      </c>
      <c r="L265" s="1094" t="str">
        <f>INDEX('卡片raw data'!E:E,MATCH($D265,'卡片raw data'!$F:$F,))</f>
        <v>fes卡</v>
      </c>
      <c r="M265" s="415">
        <v>44012</v>
      </c>
      <c r="N265" s="416">
        <v>18.5</v>
      </c>
      <c r="O265" s="1091" t="str">
        <f>INDEX('卡片raw data'!D:D,MATCH($D265,'卡片raw data'!$F:$F,))</f>
        <v>vo</v>
      </c>
      <c r="P265" s="417">
        <v>5</v>
      </c>
      <c r="Q265" s="1095">
        <f t="shared" si="343"/>
        <v>73115.099670301279</v>
      </c>
      <c r="R265" s="1096">
        <f t="shared" si="344"/>
        <v>0.85</v>
      </c>
      <c r="S265" s="1097">
        <f t="shared" si="345"/>
        <v>20979.514671545112</v>
      </c>
      <c r="T265" s="1098">
        <f t="shared" si="346"/>
        <v>1.048</v>
      </c>
      <c r="U265" s="1099">
        <f t="shared" si="347"/>
        <v>-11.732070742857141</v>
      </c>
      <c r="V265" s="1100">
        <f t="shared" si="348"/>
        <v>72871.644255438732</v>
      </c>
      <c r="W265" s="1101">
        <f t="shared" si="349"/>
        <v>6017.210186681571</v>
      </c>
      <c r="X265" s="1096">
        <f t="shared" si="350"/>
        <v>6.9000000000000006E-2</v>
      </c>
      <c r="Y265" s="1097">
        <f t="shared" si="351"/>
        <v>1061.2130353791572</v>
      </c>
      <c r="Z265" s="1102">
        <f t="shared" si="352"/>
        <v>13.267929257142859</v>
      </c>
      <c r="AA265" s="1103">
        <f t="shared" si="353"/>
        <v>7078.4232220607282</v>
      </c>
      <c r="AB265" s="1101">
        <f t="shared" si="354"/>
        <v>11276.218588328571</v>
      </c>
      <c r="AC265" s="1104">
        <f t="shared" si="355"/>
        <v>0.13100000000000001</v>
      </c>
      <c r="AD265" s="1105">
        <f t="shared" si="356"/>
        <v>0</v>
      </c>
      <c r="AE265" s="1128">
        <f t="shared" si="357"/>
        <v>0</v>
      </c>
      <c r="AF265" s="1130">
        <f t="shared" si="358"/>
        <v>0</v>
      </c>
      <c r="AG265" s="420">
        <f t="shared" si="359"/>
        <v>0</v>
      </c>
      <c r="AH265" s="420">
        <f t="shared" si="360"/>
        <v>0</v>
      </c>
      <c r="AI265" s="1097">
        <f t="shared" si="361"/>
        <v>0</v>
      </c>
      <c r="AJ265" s="420">
        <f t="shared" si="362"/>
        <v>0</v>
      </c>
      <c r="AK265" s="518">
        <f t="shared" si="363"/>
        <v>0</v>
      </c>
      <c r="AL265" s="1106">
        <f>IF($P265="","N/A",(IF($P265=-1,INDEX('卡片raw data'!S:S,MATCH($D265,'卡片raw data'!$F:$F,)),0)+IF($P265=0,INDEX('卡片raw data'!V:V,MATCH($D265,'卡片raw data'!$F:$F,)),0)+IF($P265=1,INDEX('卡片raw data'!Y:Y,MATCH($D265,'卡片raw data'!$F:$F,)),0)+IF($P265=2,INDEX('卡片raw data'!AB:AB,MATCH($D265,'卡片raw data'!$F:$F,)),0)+IF($P265=3,INDEX('卡片raw data'!AE:AE,MATCH($D265,'卡片raw data'!$F:$F,)),0)+IF($P265=4,INDEX('卡片raw data'!AH:AH,MATCH($D265,'卡片raw data'!$F:$F,)),0)+IF($P265=5,INDEX('卡片raw data'!AK:AK,MATCH($D265,'卡片raw data'!$F:$F,)),0)+INDEX('卡片raw data'!S:S,MATCH($D265,'卡片raw data'!$F:$F,))*(IF($F265="UR",0.04,0.033))*(IF($F265="UR",INDEX(绊状态确认!$S:$S,MATCH($G265,绊状态确认!$B:$B,))/2-40)+IF($F265="SR",INDEX(绊状态确认!$R:$R,MATCH($G265,绊状态确认!$B:$B,))/4-15))+IF($F265="R",INDEX(绊状态确认!$Q:$Q,MATCH($G265,绊状态确认!$B:$B,))/6-40/6)))*(INDEX(绊状态确认!$H:$H,MATCH($G265,绊状态确认!$B:$B,))+INDEX(绊状态确认!J:J,MATCH($G265,绊状态确认!$B:$B,)))</f>
        <v>15955.055999999999</v>
      </c>
      <c r="AM265" s="1106">
        <f>IF($P265="","N/A",(IF($P265=-1,INDEX('卡片raw data'!T:T,MATCH($D265,'卡片raw data'!$F:$F,)),0)+IF($P265=0,INDEX('卡片raw data'!W:W,MATCH($D265,'卡片raw data'!$F:$F,)),0)+IF($P265=1,INDEX('卡片raw data'!Z:Z,MATCH($D265,'卡片raw data'!$F:$F,)),0)+IF($P265=2,INDEX('卡片raw data'!AC:AC,MATCH($D265,'卡片raw data'!$F:$F,)),0)+IF($P265=3,INDEX('卡片raw data'!AF:AF,MATCH($D265,'卡片raw data'!$F:$F,)),0)+IF($P265=4,INDEX('卡片raw data'!AI:AI,MATCH($D265,'卡片raw data'!$F:$F,)),0)+IF($P265=5,INDEX('卡片raw data'!AL:AL,MATCH($D265,'卡片raw data'!$F:$F,)),0)+INDEX('卡片raw data'!T:T,MATCH($D265,'卡片raw data'!$F:$F,))*(IF($F265="UR",0.04,0.033))*(IF($F265="UR",INDEX(绊状态确认!$S:$S,MATCH($G265,绊状态确认!$B:$B,))/2-40)+IF($F265="SR",INDEX(绊状态确认!$R:$R,MATCH($G265,绊状态确认!$B:$B,))/4-15))+IF($F265="R",INDEX(绊状态确认!$Q:$Q,MATCH($G265,绊状态确认!$B:$B,))/6-40/6)))*(INDEX(绊状态确认!$H:$H,MATCH($G265,绊状态确认!$B:$B,))+INDEX(绊状态确认!K:K,MATCH($G265,绊状态确认!$B:$B,)))</f>
        <v>7091.1359999999995</v>
      </c>
      <c r="AN265" s="1106">
        <f>IF($P265="","N/A",(IF($P265=-1,INDEX('卡片raw data'!U:U,MATCH($D265,'卡片raw data'!$F:$F,)),0)+IF($P265=0,INDEX('卡片raw data'!X:X,MATCH($D265,'卡片raw data'!$F:$F,)),0)+IF($P265=1,INDEX('卡片raw data'!AA:AA,MATCH($D265,'卡片raw data'!$F:$F,)),0)+IF($P265=2,INDEX('卡片raw data'!AD:AD,MATCH($D265,'卡片raw data'!$F:$F,)),0)+IF($P265=3,INDEX('卡片raw data'!AG:AG,MATCH($D265,'卡片raw data'!$F:$F,)),0)+IF($P265=4,INDEX('卡片raw data'!AJ:AJ,MATCH($D265,'卡片raw data'!$F:$F,)),0)+IF($P265=5,INDEX('卡片raw data'!AM:AM,MATCH($D265,'卡片raw data'!$F:$F,)),0)+INDEX('卡片raw data'!U:U,MATCH($D265,'卡片raw data'!$F:$F,))*(IF($F265="UR",0.04,0.033))*(IF($F265="UR",INDEX(绊状态确认!$S:$S,MATCH($G265,绊状态确认!$B:$B,))/2-40)+IF($F265="SR",INDEX(绊状态确认!$R:$R,MATCH($G265,绊状态确认!$B:$B,))/4-15))+IF($F265="R",INDEX(绊状态确认!$Q:$Q,MATCH($G265,绊状态确认!$B:$B,))/6-40/6)))*(INDEX(绊状态确认!$H:$H,MATCH($G265,绊状态确认!$B:$B,))+INDEX(绊状态确认!L:L,MATCH($G265,绊状态确认!$B:$B,)))</f>
        <v>12409.487999999998</v>
      </c>
      <c r="AO265" s="1107">
        <f t="shared" si="364"/>
        <v>1</v>
      </c>
      <c r="AP265" s="1131">
        <f>1+(INDEX(绊状态确认!$T:$T,MATCH($G265,绊状态确认!$B:$B,))+0.2)*$AO265</f>
        <v>1.3</v>
      </c>
      <c r="AQ265" s="1108">
        <f t="shared" si="365"/>
        <v>45132.021999999997</v>
      </c>
      <c r="AR265" s="1097">
        <f>(AM265*(1+$EX$9)+$EX$35)*(1+(INDEX(绊状态确认!$T:$T,MATCH($G265,绊状态确认!$B:$B,))+0.2)*AO265)*IF(J265=$FF$17,1+$FE$17,1)*IF(I265=$FF$14,1+$FE$14,1)*(1+$FE$15)</f>
        <v>12383.400640000002</v>
      </c>
      <c r="AS265" s="1097">
        <f>(AN265*(1+$EX$10)+$EX$36)*(1+(INDEX(绊状态确认!$T:$T,MATCH($G265,绊状态确认!$B:$B,))+0.2)*AO265)*IF(J265=$FF$17,1+$FE$17,1)*IF(I265=$FF$14,1+$FE$14,1)*(1+$FE$15)</f>
        <v>22608.184559999994</v>
      </c>
      <c r="AT265" s="1093">
        <f>IF(AND(INDEX('卡片raw data'!AK:AK,MATCH($D265,'卡片raw data'!$F:$F,))&lt;INDEX('卡片raw data'!AM:AM,MATCH($D265,'卡片raw data'!$F:$F,)),INDEX('卡片raw data'!AL:AL,MATCH($D265,'卡片raw data'!$F:$F,))&lt;INDEX('卡片raw data'!AM:AM,MATCH($D265,'卡片raw data'!$F:$F,))),1,0)</f>
        <v>0</v>
      </c>
      <c r="AU265" s="1098">
        <f>MIN(AT265*0.15+AS265*0.00003+INDEX(绊状态确认!M:M,MATCH($G265,绊状态确认!$B:$B,)),1)</f>
        <v>0.70824553679999991</v>
      </c>
      <c r="AV265" s="1109">
        <f>(INDEX(绊状态确认!$N:$N,MATCH($G265,绊状态确认!$B:$B,))+1.5)*$EW$21</f>
        <v>2.6599999999999997</v>
      </c>
      <c r="AW265" s="1101">
        <f t="shared" si="366"/>
        <v>50996.302640038099</v>
      </c>
      <c r="AX265" s="1097">
        <f t="shared" si="367"/>
        <v>1061.213035379157</v>
      </c>
      <c r="AY265" s="1110">
        <f t="shared" si="368"/>
        <v>52057.515675417257</v>
      </c>
      <c r="AZ265" s="429">
        <f t="shared" si="369"/>
        <v>33712.359199999992</v>
      </c>
      <c r="BA265" s="431">
        <f t="shared" si="370"/>
        <v>40454.83103999999</v>
      </c>
      <c r="BB265" s="1097">
        <f>(AM265*(1+$FB$9)+$FB$35)*(1+(INDEX(绊状态确认!$T:$T,MATCH($G265,绊状态确认!$B:$B,))+0.2)*AO265)*IF(J265=$FF$17,1+$FE$17,1)*IF(I265=$FF$14,1+$FE$14,1)*(1+$FE$15)</f>
        <v>12383.400640000002</v>
      </c>
      <c r="BC265" s="1097">
        <f>(AN265*(1+$FB$10)+$FB$36)*(1+(INDEX(绊状态确认!$T:$T,MATCH($G265,绊状态确认!$B:$B,))+0.2)*AO265)*IF(J265=$FF$17,1+$FE$17,1)*IF(I265=$FF$14,1+$FE$14,1)*(1+$FE$15)</f>
        <v>22608.184559999994</v>
      </c>
      <c r="BD265" s="1104">
        <f>MIN(AT265*0.15+BC265*0.00003+INDEX(绊状态确认!M:M,MATCH($G265,绊状态确认!$B:$B,)),1)</f>
        <v>0.70824553679999991</v>
      </c>
      <c r="BE265" s="432">
        <f>(INDEX(绊状态确认!$N:$N,MATCH($G265,绊状态确认!$B:$B,))+1.5)</f>
        <v>1.9</v>
      </c>
      <c r="BF265" s="1139">
        <f t="array" ref="BF265">SUMPRODUCT(IF(AZ265*AP265*$FI$16:$FI$23*$FA$22&gt;=$FI$24,$FI$24,AZ265*AP265*$FI$16:$FI$23*$FA$22),$FJ$16:$FJ$23)</f>
        <v>58956.516739999999</v>
      </c>
      <c r="BG265" s="1125">
        <f t="array" ref="BG265">SUMPRODUCT(IF(BE265*AZ265*AP265*$FI$16:$FI$23*$FA$22&gt;=$FI$24,$FI$24,BE265*AZ265*AP265*$FI$16:$FI$23*$FA$22),$FJ$16:$FJ$23)</f>
        <v>60000</v>
      </c>
      <c r="BH265" s="1110">
        <f t="shared" si="371"/>
        <v>19898.519700540171</v>
      </c>
      <c r="BI265" s="1111">
        <f>IF(O265="vo",$EW$26/$EW$24*0.05,0)+IF(O265="sk",-$EW$26/$EW$24*(0.05-INDEX(绊状态确认!W:W,MATCH($G265,绊状态确认!$B:$B,)))+0.05*$EW$28,0)+IF(O265="sp",0.05*$EW$32*$EW$30*(1-$EW$33)-(0.05-INDEX(绊状态确认!V:V,MATCH($G265,绊状态确认!$B:$B,)))*$EW$28,0)+IF(O265="gd",-(0.05-INDEX(绊状态确认!X:X,MATCH($G265,绊状态确认!$B:$B,)))*$EW$32*$EW$30*(1-$EW$33),0)</f>
        <v>7726.3029277443748</v>
      </c>
      <c r="BJ265" s="1097">
        <f>IF(O265="vo",0.05*(1-$FI$26)*$FA$24,0)+IF(O265="sk",-(0.05-INDEX(绊状态确认!W:W,MATCH($G265,绊状态确认!$B:$B,)))*(1-$FI$26)*$FA$24+0.05*$FA$26,0)+IF(O265="sp",0.05*$FA$32*$FA$27*(1-$FA$33)/$FA$30+0.05*$FA$29/$FA$69*$FA$27*(1-$FA$33)-(0.05-INDEX(绊状态确认!V:V,MATCH($G265,绊状态确认!$B:$B,)))*$FA$26,0)+IF(O265="gd",-(0.05-INDEX(绊状态确认!X:X,MATCH($G265,绊状态确认!$B:$B,)))*$FA$32*$FA$27*(1-$FA$33)/$FA$30-(0.05-INDEX(绊状态确认!X:X,MATCH($G265,绊状态确认!$B:$B,)))*$FA$29/$FA$69*$FA$27*(1-$FA$33),0)</f>
        <v>393.93433687500004</v>
      </c>
      <c r="BK265" s="1110">
        <f>IF(O265="vo",$EW$26/$EW$24*0.05+$EW$26*(-HP($EW$62,$EW$65,$EW$64)+HP($EW$62,$EW$65,(1.05-INDEX(绊状态确认!U:U,MATCH($G265,绊状态确认!$B:$B,)))*$EW$64)),0)+IF(O265="sk",-$EW$26/$EW$24*(0.05-INDEX(绊状态确认!W:W,MATCH($G265,绊状态确认!$B:$B,)))+0.05*$EW$29,0)+IF(O265="sp",0.05*$EW$32*$EW$30*(1-$EW$33)-(0.05-INDEX(绊状态确认!V:V,MATCH($G265,绊状态确认!$B:$B,)))*$EW$29,0)+IF(O265="gd",-(0.05-INDEX(绊状态确认!X:X,MATCH($G265,绊状态确认!$B:$B,)))*$EW$32*$EW$30*(1-$EW$33)+$EW$26*(-HP($EW$62,$EW$65,$EW$64)+HP($EW$62,$EW$65,0.95*$EW$64)),0)</f>
        <v>6421.6344775026746</v>
      </c>
      <c r="BL265" s="1111">
        <f t="shared" si="372"/>
        <v>0</v>
      </c>
      <c r="BM265" s="1110">
        <f t="shared" si="373"/>
        <v>0</v>
      </c>
      <c r="BN265" s="1113">
        <f t="shared" si="374"/>
        <v>4</v>
      </c>
      <c r="BO265" s="1097">
        <f t="shared" si="375"/>
        <v>6010.2953161679998</v>
      </c>
      <c r="BP265" s="1100">
        <f t="shared" si="376"/>
        <v>295.12137612040135</v>
      </c>
      <c r="BQ265" s="1113" t="s">
        <v>132</v>
      </c>
      <c r="BR265" s="1124" t="s">
        <v>146</v>
      </c>
      <c r="BS265" s="1098">
        <f>IF($P265="","N/A",IF($P265=-1,INDEX('卡片raw data'!AX:AX,MATCH($D265,'卡片raw data'!$F:$F,)),0)+IF($L265="party卡",IF($P265=5,INDEX('卡片raw data'!BD:BD,MATCH($D265,'卡片raw data'!$F:$F,)),IF($P265&gt;=3,INDEX('卡片raw data'!BC:BC,MATCH($D265,'卡片raw data'!$F:$F,)),INDEX('卡片raw data'!BB:BB,MATCH($D265,'卡片raw data'!$F:$F,)))),IF(OR(AND($F265="UR",$P265=0),AND($F265="SR",$P265&gt;=0,$P265&lt;=2),AND($F265="R",$P265&gt;=0,$P265&lt;4)),INDEX('卡片raw data'!AZ:AZ,MATCH($D265,'卡片raw data'!$F:$F,)),0)+IF(OR(AND($F265="UR",$P265&gt;=1,$P265&lt;=4),AND($F265="SR",$P265&lt;=4,$P265&gt;=3),AND($F265="R",$P265=4)),INDEX('卡片raw data'!BA:BA,MATCH($D265,'卡片raw data'!$F:$F,)),0)+IF($P265=5,INDEX('卡片raw data'!BB:BB,MATCH($D265,'卡片raw data'!$F:$F,)),0)))</f>
        <v>7.0000000000000007E-2</v>
      </c>
      <c r="BT265" s="1101">
        <f t="shared" si="377"/>
        <v>5259.008401647</v>
      </c>
      <c r="BU265" s="1097">
        <f t="shared" si="378"/>
        <v>258.2312041053512</v>
      </c>
      <c r="BV265" s="1097">
        <f t="shared" si="379"/>
        <v>0</v>
      </c>
      <c r="BW265" s="1112">
        <f t="shared" si="380"/>
        <v>0</v>
      </c>
      <c r="BX265" s="1100">
        <f t="shared" si="381"/>
        <v>5259.008401647</v>
      </c>
      <c r="BY265" s="1110">
        <f t="shared" si="382"/>
        <v>0</v>
      </c>
      <c r="BZ265" s="1107" t="s">
        <v>569</v>
      </c>
      <c r="CA265" s="1124"/>
      <c r="CB265" s="1098">
        <f>IF($P265="","N/A",IF($P265=-1,INDEX('卡片raw data'!BE:BE,MATCH($D265,'卡片raw data'!$F:$F,)),0)+IF($L265="party卡",IF($P265=5,INDEX('卡片raw data'!BK:BK,MATCH($D265,'卡片raw data'!$F:$F,)),IF($P265&gt;=3,INDEX('卡片raw data'!BJ:BJ,MATCH($D265,'卡片raw data'!$F:$F,)),INDEX('卡片raw data'!BI:BI,MATCH($D265,'卡片raw data'!$F:$F,)))),IF(OR(AND($F265="UR",$P265=0),AND($F265="SR",$P265&gt;=0,$P265&lt;=2),AND($F265="R",$P265&gt;=0,$P265&lt;4)),INDEX('卡片raw data'!BG:BG,MATCH($D265,'卡片raw data'!$F:$F,)),0)+IF(OR(AND($F265="UR",$P265&gt;=1,$P265&lt;=4),AND($F265="SR",$P265&lt;=4,$P265&gt;=3),AND($F265="R",$P265=4)),INDEX('卡片raw data'!BH:BH,MATCH($D265,'卡片raw data'!$F:$F,)),0)+IF($P265=5,INDEX('卡片raw data'!BI:BI,MATCH($D265,'卡片raw data'!$F:$F,)),0)))</f>
        <v>0</v>
      </c>
      <c r="CC265" s="1101">
        <f t="shared" si="383"/>
        <v>0</v>
      </c>
      <c r="CD265" s="1097">
        <f>IF(BZ265="ap",CB265*(1-$FI$26)*$FB$5/$FB$11*(+IF(CA265="全员",$FA$24,0)+IF(CA265="同作战",$FA$24,0)+IF(CA265="仲间",$FA$24*2/3,0)+IF(CA265="同属性",$FA$24*$FA$37/3,0)+IF(CA265="同年级",$FA$24*$FA$40/3,0)+IF(CA265="同学校",$FA$24*$FA$43/3,0)+IF(CA265="同小队",$FA$24*$FA$46/3,0)+IF(CA265="同type",$FA$24*INDEX($FB$49:$FB$52,MATCH(X265,$FA$49:$FA$52,))/3,0)+IF(CA265="自身",#REF!/3,0)),0)+IF(BZ265="te",CB265*(1-$FI$27)*($FA$20-1)*$FB$7/$FB$13*(+IF(CA265="全员",$FA$19*$FA$24/(1+($FA$20-1)*$FA$19),0)+IF(CA265="同作战",$FA$19*$FA$24/(1+($FA$20-1)*$FA$19),0)+IF(CA265="仲间",$FA$19*$FA$24*2/3/(1+($FA$20-1)*$FA$19),0)+IF(CA265="同属性",$FA$19*$FA$24*$FA$37/3/(1+($FA$20-1)*$FA$19),0)+IF(CA265="同年级",$FA$19*$FA$24*$FA$40/3/(1+($FA$20-1)*$FA$19),0)+IF(CA265="同学校",$FA$19*$FA$24*$FA$43/3/(1+($FA$20-1)*$FA$19),0)+IF(CA265="同小队",$FA$19*$FA$24*$FA$46/3/(1+($FA$20-1)*$FA$19),0)+IF(CA265="同type",$FA$19*$FA$24*INDEX($FB$49:$FB$52,MATCH(X265,$FA$49:$FA$52,))/3/(1+($FA$20-1)*$FA$19),0)+IF(CA265="自身",$FA$19*#REF!/3/(1+(BH265-1)*$BD265),0)),0)</f>
        <v>0</v>
      </c>
      <c r="CE265" s="1097">
        <f t="shared" si="384"/>
        <v>0</v>
      </c>
      <c r="CF265" s="1112">
        <f t="shared" si="385"/>
        <v>0</v>
      </c>
      <c r="CG265" s="1100">
        <f t="shared" si="386"/>
        <v>0</v>
      </c>
      <c r="CH265" s="1110">
        <f t="shared" si="387"/>
        <v>0</v>
      </c>
      <c r="CI265" s="1113" t="s">
        <v>170</v>
      </c>
      <c r="CJ265" s="1114">
        <v>0.05</v>
      </c>
      <c r="CK265" s="1115" t="s">
        <v>152</v>
      </c>
      <c r="CL265" s="1115" t="s">
        <v>1940</v>
      </c>
      <c r="CM265" s="1119">
        <v>0.6</v>
      </c>
      <c r="CN265" s="1115"/>
      <c r="CO265" s="1092"/>
      <c r="CP265" s="1116">
        <f t="shared" si="388"/>
        <v>6.2862459214285709</v>
      </c>
      <c r="CQ265" s="1116">
        <f t="shared" si="389"/>
        <v>8.7652133919999962</v>
      </c>
      <c r="CR265" s="1116">
        <f t="shared" si="390"/>
        <v>6.2862459214285709</v>
      </c>
      <c r="CS265" s="1118">
        <f t="shared" si="391"/>
        <v>0</v>
      </c>
      <c r="CT265" s="1109">
        <f t="shared" si="392"/>
        <v>0</v>
      </c>
      <c r="CU265" s="1101">
        <f t="shared" si="393"/>
        <v>6.9148705135714286</v>
      </c>
      <c r="CV265" s="1108">
        <f t="shared" si="394"/>
        <v>8.7652133919999962</v>
      </c>
      <c r="CW265" s="1097">
        <f t="shared" si="395"/>
        <v>6.9148705135714286</v>
      </c>
      <c r="CX265" s="1097">
        <f t="shared" si="396"/>
        <v>6.9148705135714286</v>
      </c>
      <c r="CY265" s="1110">
        <f t="shared" si="397"/>
        <v>6.9148705135714286</v>
      </c>
      <c r="CZ265" s="437"/>
      <c r="DA265" s="438"/>
      <c r="DB265" s="439" t="s">
        <v>569</v>
      </c>
      <c r="DC265" s="439"/>
      <c r="DD265" s="443"/>
      <c r="DE265" s="411"/>
      <c r="DF265" s="411"/>
      <c r="DG265" s="1116">
        <f t="shared" si="398"/>
        <v>0</v>
      </c>
      <c r="DH265" s="1116">
        <f t="shared" si="399"/>
        <v>0</v>
      </c>
      <c r="DI265" s="1116">
        <f t="shared" si="400"/>
        <v>0</v>
      </c>
      <c r="DJ265" s="442">
        <f t="shared" si="401"/>
        <v>0</v>
      </c>
      <c r="DK265" s="1109">
        <f t="shared" si="402"/>
        <v>0</v>
      </c>
      <c r="DL265" s="1101">
        <f t="shared" si="403"/>
        <v>0</v>
      </c>
      <c r="DM265" s="1097">
        <f t="shared" si="404"/>
        <v>0</v>
      </c>
      <c r="DN265" s="1097">
        <f t="shared" si="405"/>
        <v>0</v>
      </c>
      <c r="DO265" s="1097">
        <f t="shared" si="406"/>
        <v>0</v>
      </c>
      <c r="DP265" s="1110">
        <f t="shared" si="407"/>
        <v>0</v>
      </c>
      <c r="DQ265" s="1113" t="s">
        <v>537</v>
      </c>
      <c r="DR265" s="1120">
        <f t="shared" si="408"/>
        <v>0.33</v>
      </c>
      <c r="DS265" s="1124">
        <v>3</v>
      </c>
      <c r="DT265" s="1093" t="s">
        <v>169</v>
      </c>
      <c r="DU265" s="1093" t="s">
        <v>544</v>
      </c>
      <c r="DV265" s="1098">
        <f>IF($P265="","N/A",IF(P265=-1,INDEX('卡片raw data'!AN:AN,MATCH(D265,'卡片raw data'!$F:$F,)),0)+IF(AND(L265&lt;&gt;"party卡",P265&lt;=2,P265&gt;=0),INDEX('卡片raw data'!AP:AP,MATCH(D265,'卡片raw data'!$F:$F,)),0)+IF(OR(AND(L265="party卡",P265&lt;=1),AND(P265&lt;=4,L265&lt;&gt;"party卡",P265&gt;=3)),INDEX('卡片raw data'!AQ:AQ,MATCH(D265,'卡片raw data'!$F:$F,)),0)+IF(OR(P265=5,AND(L265="party卡",P265&gt;=2)),INDEX('卡片raw data'!AR:AR,MATCH(D265,'卡片raw data'!$F:$F,)),0))</f>
        <v>0.1</v>
      </c>
      <c r="DW265" s="1098">
        <f t="shared" si="409"/>
        <v>0.33</v>
      </c>
      <c r="DX265" s="1098">
        <f t="shared" si="410"/>
        <v>0.33</v>
      </c>
      <c r="DY265" s="1098">
        <f t="shared" si="411"/>
        <v>1.8333333333333337E-2</v>
      </c>
      <c r="DZ265" s="1098">
        <f t="shared" si="412"/>
        <v>1.5858333333333335E-2</v>
      </c>
      <c r="EA265" s="1098">
        <f t="shared" si="413"/>
        <v>0</v>
      </c>
      <c r="EB265" s="1121">
        <f t="shared" si="414"/>
        <v>0</v>
      </c>
      <c r="EC265" s="1101">
        <f t="shared" si="415"/>
        <v>3116.2755141902321</v>
      </c>
      <c r="ED265" s="1097">
        <f t="shared" si="416"/>
        <v>124.94284051218752</v>
      </c>
      <c r="EE265" s="1110">
        <f t="shared" si="417"/>
        <v>3116.2755141902321</v>
      </c>
      <c r="EF265" s="1092" t="s">
        <v>711</v>
      </c>
      <c r="EG265" s="1120">
        <f t="shared" si="418"/>
        <v>0.33</v>
      </c>
      <c r="EH265" s="1124"/>
      <c r="EI265" s="1093"/>
      <c r="EJ265" s="1093"/>
      <c r="EK265" s="1097">
        <f>IF($P265="","N/A",IF(P265=-1,INDEX('卡片raw data'!AS:AS,MATCH(D265,'卡片raw data'!$F:$F,)),0)+IF(AND(L265&lt;&gt;"party卡",P265&lt;=2,P265&gt;=0),INDEX('卡片raw data'!AU:AU,MATCH(D265,'卡片raw data'!$F:$F,)),0)+IF(OR(AND(L265="party卡",P265&lt;=1),AND(P265&lt;=4,L265&lt;&gt;"party卡",P265&gt;=3)),INDEX('卡片raw data'!AV:AV,MATCH(D265,'卡片raw data'!$F:$F,)),0)+IF(OR(P265=5,AND(L265="party卡",P265&gt;=2)),INDEX('卡片raw data'!AW:AW,MATCH(D265,'卡片raw data'!$F:$F,)),0))</f>
        <v>0</v>
      </c>
      <c r="EL265" s="1098">
        <f t="shared" si="419"/>
        <v>0.33</v>
      </c>
      <c r="EM265" s="1098">
        <f t="shared" si="420"/>
        <v>0.33</v>
      </c>
      <c r="EN265" s="1125">
        <f t="shared" si="421"/>
        <v>0</v>
      </c>
      <c r="EO265" s="1125">
        <f t="shared" si="422"/>
        <v>0</v>
      </c>
      <c r="EP265" s="1098">
        <f t="shared" si="423"/>
        <v>0</v>
      </c>
      <c r="EQ265" s="1121">
        <f t="shared" si="424"/>
        <v>0</v>
      </c>
      <c r="ER265" s="1101">
        <f t="shared" si="425"/>
        <v>0</v>
      </c>
      <c r="ES265" s="1097">
        <f t="shared" si="426"/>
        <v>0</v>
      </c>
      <c r="ET265" s="1122">
        <f t="shared" si="427"/>
        <v>0</v>
      </c>
    </row>
    <row r="266" spans="2:150" ht="16.5" customHeight="1">
      <c r="B266" s="1123" t="str">
        <f>INDEX('卡片raw data'!B:B,MATCH($D266,'卡片raw data'!$F:$F,))</f>
        <v>fes1凛</v>
      </c>
      <c r="C266" s="449" t="s">
        <v>66</v>
      </c>
      <c r="D266" s="408">
        <v>263</v>
      </c>
      <c r="E266" s="1090">
        <v>200053001</v>
      </c>
      <c r="F266" s="1090" t="str">
        <f>INDEX('卡片raw data'!C:C,MATCH($D266,'卡片raw data'!$F:$F,))</f>
        <v>UR</v>
      </c>
      <c r="G266" s="1094" t="s">
        <v>28</v>
      </c>
      <c r="H266" s="411">
        <f>IFERROR(INDEX(绊状态确认!C:C,MATCH($G266,绊状态确认!$B:$B,)),"")</f>
        <v>5</v>
      </c>
      <c r="I266" s="450" t="str">
        <f>IFERROR(INDEX(绊状态确认!D:D,MATCH($G266,绊状态确认!$B:$B,)),"")</f>
        <v>缪</v>
      </c>
      <c r="J266" s="450" t="str">
        <f>IFERROR(INDEX(绊状态确认!E:E,MATCH($G266,绊状态确认!$B:$B,)),"")</f>
        <v>1年级</v>
      </c>
      <c r="K266" s="451" t="str">
        <f>IFERROR(INDEX(绊状态确认!F:F,MATCH($G266,绊状态确认!$B:$B,)),"")</f>
        <v>lilywhite</v>
      </c>
      <c r="L266" s="1094" t="str">
        <f>INDEX('卡片raw data'!E:E,MATCH($D266,'卡片raw data'!$F:$F,))</f>
        <v>fes卡</v>
      </c>
      <c r="M266" s="415">
        <v>44012</v>
      </c>
      <c r="N266" s="416">
        <v>18.5</v>
      </c>
      <c r="O266" s="1091" t="str">
        <f>INDEX('卡片raw data'!D:D,MATCH($D266,'卡片raw data'!$F:$F,))</f>
        <v>sp</v>
      </c>
      <c r="P266" s="417">
        <v>5</v>
      </c>
      <c r="Q266" s="1095">
        <f t="shared" si="343"/>
        <v>58161.321946882963</v>
      </c>
      <c r="R266" s="1096">
        <f t="shared" si="344"/>
        <v>0.67600000000000005</v>
      </c>
      <c r="S266" s="1097">
        <f t="shared" si="345"/>
        <v>20832.794097097634</v>
      </c>
      <c r="T266" s="1098">
        <f t="shared" si="346"/>
        <v>1.0409999999999999</v>
      </c>
      <c r="U266" s="1099">
        <f t="shared" si="347"/>
        <v>17.126460112542855</v>
      </c>
      <c r="V266" s="1100">
        <f t="shared" si="348"/>
        <v>57742.099095605401</v>
      </c>
      <c r="W266" s="1101">
        <f t="shared" si="349"/>
        <v>7351.5259680044001</v>
      </c>
      <c r="X266" s="1096">
        <f t="shared" si="350"/>
        <v>8.5000000000000006E-2</v>
      </c>
      <c r="Y266" s="1097">
        <f t="shared" si="351"/>
        <v>1380.7771487224418</v>
      </c>
      <c r="Z266" s="1102">
        <f t="shared" si="352"/>
        <v>17.126460112542855</v>
      </c>
      <c r="AA266" s="1103">
        <f t="shared" si="353"/>
        <v>8732.3031167268418</v>
      </c>
      <c r="AB266" s="1101">
        <f t="shared" si="354"/>
        <v>8258.6797358953336</v>
      </c>
      <c r="AC266" s="1104">
        <f t="shared" si="355"/>
        <v>9.6000000000000002E-2</v>
      </c>
      <c r="AD266" s="1105">
        <f t="shared" si="356"/>
        <v>-1.6087500000000001E-2</v>
      </c>
      <c r="AE266" s="1128">
        <f t="shared" si="357"/>
        <v>11.926517210144926</v>
      </c>
      <c r="AF266" s="1130">
        <f t="shared" si="358"/>
        <v>0</v>
      </c>
      <c r="AG266" s="420">
        <f t="shared" si="359"/>
        <v>0</v>
      </c>
      <c r="AH266" s="420">
        <f t="shared" si="360"/>
        <v>0</v>
      </c>
      <c r="AI266" s="1097">
        <f t="shared" si="361"/>
        <v>0</v>
      </c>
      <c r="AJ266" s="420">
        <f t="shared" si="362"/>
        <v>0</v>
      </c>
      <c r="AK266" s="518">
        <f t="shared" si="363"/>
        <v>0</v>
      </c>
      <c r="AL266" s="1106">
        <f>IF($P266="","N/A",(IF($P266=-1,INDEX('卡片raw data'!S:S,MATCH($D266,'卡片raw data'!$F:$F,)),0)+IF($P266=0,INDEX('卡片raw data'!V:V,MATCH($D266,'卡片raw data'!$F:$F,)),0)+IF($P266=1,INDEX('卡片raw data'!Y:Y,MATCH($D266,'卡片raw data'!$F:$F,)),0)+IF($P266=2,INDEX('卡片raw data'!AB:AB,MATCH($D266,'卡片raw data'!$F:$F,)),0)+IF($P266=3,INDEX('卡片raw data'!AE:AE,MATCH($D266,'卡片raw data'!$F:$F,)),0)+IF($P266=4,INDEX('卡片raw data'!AH:AH,MATCH($D266,'卡片raw data'!$F:$F,)),0)+IF($P266=5,INDEX('卡片raw data'!AK:AK,MATCH($D266,'卡片raw data'!$F:$F,)),0)+INDEX('卡片raw data'!S:S,MATCH($D266,'卡片raw data'!$F:$F,))*(IF($F266="UR",0.04,0.033))*(IF($F266="UR",INDEX(绊状态确认!$S:$S,MATCH($G266,绊状态确认!$B:$B,))/2-40)+IF($F266="SR",INDEX(绊状态确认!$R:$R,MATCH($G266,绊状态确认!$B:$B,))/4-15))+IF($F266="R",INDEX(绊状态确认!$Q:$Q,MATCH($G266,绊状态确认!$B:$B,))/6-40/6)))*(INDEX(绊状态确认!$H:$H,MATCH($G266,绊状态确认!$B:$B,))+INDEX(绊状态确认!J:J,MATCH($G266,绊状态确认!$B:$B,)))</f>
        <v>12613.403616</v>
      </c>
      <c r="AM266" s="1106">
        <f>IF($P266="","N/A",(IF($P266=-1,INDEX('卡片raw data'!T:T,MATCH($D266,'卡片raw data'!$F:$F,)),0)+IF($P266=0,INDEX('卡片raw data'!W:W,MATCH($D266,'卡片raw data'!$F:$F,)),0)+IF($P266=1,INDEX('卡片raw data'!Z:Z,MATCH($D266,'卡片raw data'!$F:$F,)),0)+IF($P266=2,INDEX('卡片raw data'!AC:AC,MATCH($D266,'卡片raw data'!$F:$F,)),0)+IF($P266=3,INDEX('卡片raw data'!AF:AF,MATCH($D266,'卡片raw data'!$F:$F,)),0)+IF($P266=4,INDEX('卡片raw data'!AI:AI,MATCH($D266,'卡片raw data'!$F:$F,)),0)+IF($P266=5,INDEX('卡片raw data'!AL:AL,MATCH($D266,'卡片raw data'!$F:$F,)),0)+INDEX('卡片raw data'!T:T,MATCH($D266,'卡片raw data'!$F:$F,))*(IF($F266="UR",0.04,0.033))*(IF($F266="UR",INDEX(绊状态确认!$S:$S,MATCH($G266,绊状态确认!$B:$B,))/2-40)+IF($F266="SR",INDEX(绊状态确认!$R:$R,MATCH($G266,绊状态确认!$B:$B,))/4-15))+IF($F266="R",INDEX(绊状态确认!$Q:$Q,MATCH($G266,绊状态确认!$B:$B,))/6-40/6)))*(INDEX(绊状态确认!$H:$H,MATCH($G266,绊状态确认!$B:$B,))+INDEX(绊状态确认!K:K,MATCH($G266,绊状态确认!$B:$B,)))</f>
        <v>9729.4476959999974</v>
      </c>
      <c r="AN266" s="1106">
        <f>IF($P266="","N/A",(IF($P266=-1,INDEX('卡片raw data'!U:U,MATCH($D266,'卡片raw data'!$F:$F,)),0)+IF($P266=0,INDEX('卡片raw data'!X:X,MATCH($D266,'卡片raw data'!$F:$F,)),0)+IF($P266=1,INDEX('卡片raw data'!AA:AA,MATCH($D266,'卡片raw data'!$F:$F,)),0)+IF($P266=2,INDEX('卡片raw data'!AD:AD,MATCH($D266,'卡片raw data'!$F:$F,)),0)+IF($P266=3,INDEX('卡片raw data'!AG:AG,MATCH($D266,'卡片raw data'!$F:$F,)),0)+IF($P266=4,INDEX('卡片raw data'!AJ:AJ,MATCH($D266,'卡片raw data'!$F:$F,)),0)+IF($P266=5,INDEX('卡片raw data'!AM:AM,MATCH($D266,'卡片raw data'!$F:$F,)),0)+INDEX('卡片raw data'!U:U,MATCH($D266,'卡片raw data'!$F:$F,))*(IF($F266="UR",0.04,0.033))*(IF($F266="UR",INDEX(绊状态确认!$S:$S,MATCH($G266,绊状态确认!$B:$B,))/2-40)+IF($F266="SR",INDEX(绊状态确认!$R:$R,MATCH($G266,绊状态确认!$B:$B,))/4-15))+IF($F266="R",INDEX(绊状态确认!$Q:$Q,MATCH($G266,绊状态确认!$B:$B,))/6-40/6)))*(INDEX(绊状态确认!$H:$H,MATCH($G266,绊状态确认!$B:$B,))+INDEX(绊状态确认!L:L,MATCH($G266,绊状态确认!$B:$B,)))</f>
        <v>13695.620063999999</v>
      </c>
      <c r="AO266" s="1107">
        <f t="shared" si="364"/>
        <v>1</v>
      </c>
      <c r="AP266" s="1131">
        <f>1+(INDEX(绊状态确认!$T:$T,MATCH($G266,绊状态确认!$B:$B,))+0.2)*$AO266</f>
        <v>1.3</v>
      </c>
      <c r="AQ266" s="1108">
        <f t="shared" si="365"/>
        <v>36360.184492</v>
      </c>
      <c r="AR266" s="1097">
        <f>(AM266*(1+$EX$9)+$EX$35)*(1+(INDEX(绊状态确认!$T:$T,MATCH($G266,绊状态确认!$B:$B,))+0.2)*AO266)*IF(J266=$FF$17,1+$FE$17,1)*IF(I266=$FF$14,1+$FE$14,1)*(1+$FE$15)</f>
        <v>15984.696105039997</v>
      </c>
      <c r="AS266" s="1097">
        <f>(AN266*(1+$EX$10)+$EX$36)*(1+(INDEX(绊状态确认!$T:$T,MATCH($G266,绊状态确认!$B:$B,))+0.2)*AO266)*IF(J266=$FF$17,1+$FE$17,1)*IF(I266=$FF$14,1+$FE$14,1)*(1+$FE$15)</f>
        <v>24530.951995679996</v>
      </c>
      <c r="AT266" s="1093">
        <f>IF(AND(INDEX('卡片raw data'!AK:AK,MATCH($D266,'卡片raw data'!$F:$F,))&lt;INDEX('卡片raw data'!AM:AM,MATCH($D266,'卡片raw data'!$F:$F,)),INDEX('卡片raw data'!AL:AL,MATCH($D266,'卡片raw data'!$F:$F,))&lt;INDEX('卡片raw data'!AM:AM,MATCH($D266,'卡片raw data'!$F:$F,))),1,0)</f>
        <v>1</v>
      </c>
      <c r="AU266" s="1098">
        <f>MIN(AT266*0.15+AS266*0.00003+INDEX(绊状态确认!M:M,MATCH($G266,绊状态确认!$B:$B,)),1)</f>
        <v>0.91592855987039989</v>
      </c>
      <c r="AV266" s="1109">
        <f>(INDEX(绊状态确认!$N:$N,MATCH($G266,绊状态确认!$B:$B,))+1.5)*$EW$21</f>
        <v>2.6599999999999997</v>
      </c>
      <c r="AW266" s="1101">
        <f t="shared" si="366"/>
        <v>47594.85940275099</v>
      </c>
      <c r="AX266" s="1097">
        <f t="shared" si="367"/>
        <v>1380.7771487224416</v>
      </c>
      <c r="AY266" s="1110">
        <f t="shared" si="368"/>
        <v>48975.636551473428</v>
      </c>
      <c r="AZ266" s="429">
        <f t="shared" si="369"/>
        <v>27196.137051199999</v>
      </c>
      <c r="BA266" s="431">
        <f t="shared" si="370"/>
        <v>32635.364461439996</v>
      </c>
      <c r="BB266" s="1097">
        <f>(AM266*(1+$FB$9)+$FB$35)*(1+(INDEX(绊状态确认!$T:$T,MATCH($G266,绊状态确认!$B:$B,))+0.2)*AO266)*IF(J266=$FF$17,1+$FE$17,1)*IF(I266=$FF$14,1+$FE$14,1)*(1+$FE$15)</f>
        <v>15984.696105039997</v>
      </c>
      <c r="BC266" s="1097">
        <f>(AN266*(1+$FB$10)+$FB$36)*(1+(INDEX(绊状态确认!$T:$T,MATCH($G266,绊状态确认!$B:$B,))+0.2)*AO266)*IF(J266=$FF$17,1+$FE$17,1)*IF(I266=$FF$14,1+$FE$14,1)*(1+$FE$15)</f>
        <v>24530.951995679996</v>
      </c>
      <c r="BD266" s="1104">
        <f>MIN(AT266*0.15+BC266*0.00003+INDEX(绊状态确认!M:M,MATCH($G266,绊状态确认!$B:$B,)),1)</f>
        <v>0.91592855987039989</v>
      </c>
      <c r="BE266" s="432">
        <f>(INDEX(绊状态确认!$N:$N,MATCH($G266,绊状态确认!$B:$B,))+1.5)</f>
        <v>1.9</v>
      </c>
      <c r="BF266" s="1139">
        <f t="array" ref="BF266">SUMPRODUCT(IF(AZ266*AP266*$FI$16:$FI$23*$FA$22&gt;=$FI$24,$FI$24,AZ266*AP266*$FI$16:$FI$23*$FA$22),$FJ$16:$FJ$23)</f>
        <v>53001.428384894403</v>
      </c>
      <c r="BG266" s="1125">
        <f t="array" ref="BG266">SUMPRODUCT(IF(BE266*AZ266*AP266*$FI$16:$FI$23*$FA$22&gt;=$FI$24,$FI$24,BE266*AZ266*AP266*$FI$16:$FI$23*$FA$22),$FJ$16:$FJ$23)</f>
        <v>60000</v>
      </c>
      <c r="BH266" s="1110">
        <f t="shared" si="371"/>
        <v>19803.873335155975</v>
      </c>
      <c r="BI266" s="1111">
        <f>IF(O266="vo",$EW$26/$EW$24*0.05,0)+IF(O266="sk",-$EW$26/$EW$24*(0.05-INDEX(绊状态确认!W:W,MATCH($G266,绊状态确认!$B:$B,)))+0.05*$EW$28,0)+IF(O266="sp",0.05*$EW$32*$EW$30*(1-$EW$33)-(0.05-INDEX(绊状态确认!V:V,MATCH($G266,绊状态确认!$B:$B,)))*$EW$28,0)+IF(O266="gd",-(0.05-INDEX(绊状态确认!X:X,MATCH($G266,绊状态确认!$B:$B,)))*$EW$32*$EW$30*(1-$EW$33),0)</f>
        <v>19.999999999999886</v>
      </c>
      <c r="BJ266" s="1097">
        <f>IF(O266="vo",0.05*(1-$FI$26)*$FA$24,0)+IF(O266="sk",-(0.05-INDEX(绊状态确认!W:W,MATCH($G266,绊状态确认!$B:$B,)))*(1-$FI$26)*$FA$24+0.05*$FA$26,0)+IF(O266="sp",0.05*$FA$32*$FA$27*(1-$FA$33)/$FA$30+0.05*$FA$29/$FA$69*$FA$27*(1-$FA$33)-(0.05-INDEX(绊状态确认!V:V,MATCH($G266,绊状态确认!$B:$B,)))*$FA$26,0)+IF(O266="gd",-(0.05-INDEX(绊状态确认!X:X,MATCH($G266,绊状态确认!$B:$B,)))*$FA$32*$FA$27*(1-$FA$33)/$FA$30-(0.05-INDEX(绊状态确认!X:X,MATCH($G266,绊状态确认!$B:$B,)))*$FA$29/$FA$69*$FA$27*(1-$FA$33),0)</f>
        <v>545.83333333333326</v>
      </c>
      <c r="BK266" s="1110">
        <f>IF(O266="vo",$EW$26/$EW$24*0.05+$EW$26*(-HP($EW$62,$EW$65,$EW$64)+HP($EW$62,$EW$65,(1.05-INDEX(绊状态确认!U:U,MATCH($G266,绊状态确认!$B:$B,)))*$EW$64)),0)+IF(O266="sk",-$EW$26/$EW$24*(0.05-INDEX(绊状态确认!W:W,MATCH($G266,绊状态确认!$B:$B,)))+0.05*$EW$29,0)+IF(O266="sp",0.05*$EW$32*$EW$30*(1-$EW$33)-(0.05-INDEX(绊状态确认!V:V,MATCH($G266,绊状态确认!$B:$B,)))*$EW$29,0)+IF(O266="gd",-(0.05-INDEX(绊状态确认!X:X,MATCH($G266,绊状态确认!$B:$B,)))*$EW$32*$EW$30*(1-$EW$33)+$EW$26*(-HP($EW$62,$EW$65,$EW$64)+HP($EW$62,$EW$65,0.95*$EW$64)),0)</f>
        <v>-1780.0000000000005</v>
      </c>
      <c r="BL266" s="1111">
        <f t="shared" si="372"/>
        <v>0</v>
      </c>
      <c r="BM266" s="1110">
        <f t="shared" si="373"/>
        <v>0</v>
      </c>
      <c r="BN266" s="1113">
        <f t="shared" si="374"/>
        <v>4</v>
      </c>
      <c r="BO266" s="1097">
        <f t="shared" si="375"/>
        <v>6010.2953161679998</v>
      </c>
      <c r="BP266" s="1100">
        <f t="shared" si="376"/>
        <v>295.12137612040135</v>
      </c>
      <c r="BQ266" s="1113" t="s">
        <v>143</v>
      </c>
      <c r="BR266" s="1124" t="s">
        <v>151</v>
      </c>
      <c r="BS266" s="1098">
        <f>IF($P266="","N/A",IF($P266=-1,INDEX('卡片raw data'!AX:AX,MATCH($D266,'卡片raw data'!$F:$F,)),0)+IF($L266="party卡",IF($P266=5,INDEX('卡片raw data'!BD:BD,MATCH($D266,'卡片raw data'!$F:$F,)),IF($P266&gt;=3,INDEX('卡片raw data'!BC:BC,MATCH($D266,'卡片raw data'!$F:$F,)),INDEX('卡片raw data'!BB:BB,MATCH($D266,'卡片raw data'!$F:$F,)))),IF(OR(AND($F266="UR",$P266=0),AND($F266="SR",$P266&gt;=0,$P266&lt;=2),AND($F266="R",$P266&gt;=0,$P266&lt;4)),INDEX('卡片raw data'!AZ:AZ,MATCH($D266,'卡片raw data'!$F:$F,)),0)+IF(OR(AND($F266="UR",$P266&gt;=1,$P266&lt;=4),AND($F266="SR",$P266&lt;=4,$P266&gt;=3),AND($F266="R",$P266=4)),INDEX('卡片raw data'!BA:BA,MATCH($D266,'卡片raw data'!$F:$F,)),0)+IF($P266=5,INDEX('卡片raw data'!BB:BB,MATCH($D266,'卡片raw data'!$F:$F,)),0)))</f>
        <v>5.1999999999999998E-2</v>
      </c>
      <c r="BT266" s="1101">
        <f t="shared" si="377"/>
        <v>2170.3844197273338</v>
      </c>
      <c r="BU266" s="1097">
        <f t="shared" si="378"/>
        <v>106.57160804347826</v>
      </c>
      <c r="BV266" s="1097">
        <f t="shared" si="379"/>
        <v>1302.2306518363998</v>
      </c>
      <c r="BW266" s="1112">
        <f t="shared" si="380"/>
        <v>0</v>
      </c>
      <c r="BX266" s="1100">
        <f t="shared" si="381"/>
        <v>2170.3844197273338</v>
      </c>
      <c r="BY266" s="1110">
        <f t="shared" si="382"/>
        <v>1302.2306518363998</v>
      </c>
      <c r="BZ266" s="1107" t="s">
        <v>569</v>
      </c>
      <c r="CA266" s="1124"/>
      <c r="CB266" s="1098">
        <f>IF($P266="","N/A",IF($P266=-1,INDEX('卡片raw data'!BE:BE,MATCH($D266,'卡片raw data'!$F:$F,)),0)+IF($L266="party卡",IF($P266=5,INDEX('卡片raw data'!BK:BK,MATCH($D266,'卡片raw data'!$F:$F,)),IF($P266&gt;=3,INDEX('卡片raw data'!BJ:BJ,MATCH($D266,'卡片raw data'!$F:$F,)),INDEX('卡片raw data'!BI:BI,MATCH($D266,'卡片raw data'!$F:$F,)))),IF(OR(AND($F266="UR",$P266=0),AND($F266="SR",$P266&gt;=0,$P266&lt;=2),AND($F266="R",$P266&gt;=0,$P266&lt;4)),INDEX('卡片raw data'!BG:BG,MATCH($D266,'卡片raw data'!$F:$F,)),0)+IF(OR(AND($F266="UR",$P266&gt;=1,$P266&lt;=4),AND($F266="SR",$P266&lt;=4,$P266&gt;=3),AND($F266="R",$P266=4)),INDEX('卡片raw data'!BH:BH,MATCH($D266,'卡片raw data'!$F:$F,)),0)+IF($P266=5,INDEX('卡片raw data'!BI:BI,MATCH($D266,'卡片raw data'!$F:$F,)),0)))</f>
        <v>0</v>
      </c>
      <c r="CC266" s="1101">
        <f t="shared" si="383"/>
        <v>0</v>
      </c>
      <c r="CD266" s="1097">
        <f>IF(BZ266="ap",CB266*(1-$FI$26)*$FB$5/$FB$11*(+IF(CA266="全员",$FA$24,0)+IF(CA266="同作战",$FA$24,0)+IF(CA266="仲间",$FA$24*2/3,0)+IF(CA266="同属性",$FA$24*$FA$37/3,0)+IF(CA266="同年级",$FA$24*$FA$40/3,0)+IF(CA266="同学校",$FA$24*$FA$43/3,0)+IF(CA266="同小队",$FA$24*$FA$46/3,0)+IF(CA266="同type",$FA$24*INDEX($FB$49:$FB$52,MATCH(X266,$FA$49:$FA$52,))/3,0)+IF(CA266="自身",#REF!/3,0)),0)+IF(BZ266="te",CB266*(1-$FI$27)*($FA$20-1)*$FB$7/$FB$13*(+IF(CA266="全员",$FA$19*$FA$24/(1+($FA$20-1)*$FA$19),0)+IF(CA266="同作战",$FA$19*$FA$24/(1+($FA$20-1)*$FA$19),0)+IF(CA266="仲间",$FA$19*$FA$24*2/3/(1+($FA$20-1)*$FA$19),0)+IF(CA266="同属性",$FA$19*$FA$24*$FA$37/3/(1+($FA$20-1)*$FA$19),0)+IF(CA266="同年级",$FA$19*$FA$24*$FA$40/3/(1+($FA$20-1)*$FA$19),0)+IF(CA266="同学校",$FA$19*$FA$24*$FA$43/3/(1+($FA$20-1)*$FA$19),0)+IF(CA266="同小队",$FA$19*$FA$24*$FA$46/3/(1+($FA$20-1)*$FA$19),0)+IF(CA266="同type",$FA$19*$FA$24*INDEX($FB$49:$FB$52,MATCH(X266,$FA$49:$FA$52,))/3/(1+($FA$20-1)*$FA$19),0)+IF(CA266="自身",$FA$19*#REF!/3/(1+(BH266-1)*$BD266),0)),0)</f>
        <v>0</v>
      </c>
      <c r="CE266" s="1097">
        <f t="shared" si="384"/>
        <v>0</v>
      </c>
      <c r="CF266" s="1112">
        <f t="shared" si="385"/>
        <v>0</v>
      </c>
      <c r="CG266" s="1100">
        <f t="shared" si="386"/>
        <v>0</v>
      </c>
      <c r="CH266" s="1110">
        <f t="shared" si="387"/>
        <v>0</v>
      </c>
      <c r="CI266" s="1113" t="s">
        <v>162</v>
      </c>
      <c r="CJ266" s="1114">
        <v>0.35</v>
      </c>
      <c r="CK266" s="1115" t="s">
        <v>533</v>
      </c>
      <c r="CL266" s="1115" t="s">
        <v>171</v>
      </c>
      <c r="CM266" s="1119">
        <v>0.24</v>
      </c>
      <c r="CN266" s="1115">
        <v>5</v>
      </c>
      <c r="CO266" s="1092"/>
      <c r="CP266" s="1118">
        <f t="shared" si="388"/>
        <v>5.9999999999999993E-3</v>
      </c>
      <c r="CQ266" s="1118">
        <f t="shared" si="389"/>
        <v>8.1666666666666658E-3</v>
      </c>
      <c r="CR266" s="1118">
        <f t="shared" si="390"/>
        <v>2.9999999999999996E-3</v>
      </c>
      <c r="CS266" s="1118">
        <f t="shared" si="391"/>
        <v>0</v>
      </c>
      <c r="CT266" s="1109">
        <f t="shared" si="392"/>
        <v>1.0026041666666667</v>
      </c>
      <c r="CU266" s="1101">
        <f t="shared" si="393"/>
        <v>77.999999999999986</v>
      </c>
      <c r="CV266" s="1108">
        <f t="shared" si="394"/>
        <v>81.394444444444431</v>
      </c>
      <c r="CW266" s="1097">
        <f t="shared" si="395"/>
        <v>38.999999999999993</v>
      </c>
      <c r="CX266" s="1097">
        <f t="shared" si="396"/>
        <v>77.999999999999986</v>
      </c>
      <c r="CY266" s="1110">
        <f t="shared" si="397"/>
        <v>38.999999999999993</v>
      </c>
      <c r="CZ266" s="437"/>
      <c r="DA266" s="438"/>
      <c r="DB266" s="439" t="s">
        <v>569</v>
      </c>
      <c r="DC266" s="439"/>
      <c r="DD266" s="443"/>
      <c r="DE266" s="411"/>
      <c r="DF266" s="411"/>
      <c r="DG266" s="1116">
        <f t="shared" si="398"/>
        <v>0</v>
      </c>
      <c r="DH266" s="1116">
        <f t="shared" si="399"/>
        <v>0</v>
      </c>
      <c r="DI266" s="1116">
        <f t="shared" si="400"/>
        <v>0</v>
      </c>
      <c r="DJ266" s="442">
        <f t="shared" si="401"/>
        <v>0</v>
      </c>
      <c r="DK266" s="1109">
        <f t="shared" si="402"/>
        <v>0</v>
      </c>
      <c r="DL266" s="1101">
        <f t="shared" si="403"/>
        <v>0</v>
      </c>
      <c r="DM266" s="1097">
        <f t="shared" si="404"/>
        <v>0</v>
      </c>
      <c r="DN266" s="1097">
        <f t="shared" si="405"/>
        <v>0</v>
      </c>
      <c r="DO266" s="1097">
        <f t="shared" si="406"/>
        <v>0</v>
      </c>
      <c r="DP266" s="1110">
        <f t="shared" si="407"/>
        <v>0</v>
      </c>
      <c r="DQ266" s="1113" t="s">
        <v>256</v>
      </c>
      <c r="DR266" s="1120">
        <f t="shared" si="408"/>
        <v>0.33</v>
      </c>
      <c r="DS266" s="1124"/>
      <c r="DT266" s="1093" t="s">
        <v>534</v>
      </c>
      <c r="DU266" s="1093"/>
      <c r="DV266" s="1098">
        <f>IF($P266="","N/A",IF(P266=-1,INDEX('卡片raw data'!AN:AN,MATCH(D266,'卡片raw data'!$F:$F,)),0)+IF(AND(L266&lt;&gt;"party卡",P266&lt;=2,P266&gt;=0),INDEX('卡片raw data'!AP:AP,MATCH(D266,'卡片raw data'!$F:$F,)),0)+IF(OR(AND(L266="party卡",P266&lt;=1),AND(P266&lt;=4,L266&lt;&gt;"party卡",P266&gt;=3)),INDEX('卡片raw data'!AQ:AQ,MATCH(D266,'卡片raw data'!$F:$F,)),0)+IF(OR(P266=5,AND(L266="party卡",P266&gt;=2)),INDEX('卡片raw data'!AR:AR,MATCH(D266,'卡片raw data'!$F:$F,)),0))</f>
        <v>0.4</v>
      </c>
      <c r="DW266" s="1098">
        <f t="shared" si="409"/>
        <v>0.33</v>
      </c>
      <c r="DX266" s="1098">
        <f t="shared" si="410"/>
        <v>0.33</v>
      </c>
      <c r="DY266" s="1125">
        <f t="shared" si="411"/>
        <v>1599.8481176480002</v>
      </c>
      <c r="DZ266" s="1125">
        <f t="shared" si="412"/>
        <v>1242.1019714024064</v>
      </c>
      <c r="EA266" s="1098">
        <f t="shared" si="413"/>
        <v>0</v>
      </c>
      <c r="EB266" s="1121">
        <f t="shared" si="414"/>
        <v>0</v>
      </c>
      <c r="EC266" s="1101">
        <f t="shared" si="415"/>
        <v>2287.7828082366404</v>
      </c>
      <c r="ED266" s="1097">
        <f t="shared" si="416"/>
        <v>0</v>
      </c>
      <c r="EE266" s="1110">
        <f t="shared" si="417"/>
        <v>2287.7828082366404</v>
      </c>
      <c r="EF266" s="1092" t="s">
        <v>711</v>
      </c>
      <c r="EG266" s="1120">
        <f t="shared" si="418"/>
        <v>0.33</v>
      </c>
      <c r="EH266" s="1124"/>
      <c r="EI266" s="1093"/>
      <c r="EJ266" s="1093"/>
      <c r="EK266" s="1097">
        <f>IF($P266="","N/A",IF(P266=-1,INDEX('卡片raw data'!AS:AS,MATCH(D266,'卡片raw data'!$F:$F,)),0)+IF(AND(L266&lt;&gt;"party卡",P266&lt;=2,P266&gt;=0),INDEX('卡片raw data'!AU:AU,MATCH(D266,'卡片raw data'!$F:$F,)),0)+IF(OR(AND(L266="party卡",P266&lt;=1),AND(P266&lt;=4,L266&lt;&gt;"party卡",P266&gt;=3)),INDEX('卡片raw data'!AV:AV,MATCH(D266,'卡片raw data'!$F:$F,)),0)+IF(OR(P266=5,AND(L266="party卡",P266&gt;=2)),INDEX('卡片raw data'!AW:AW,MATCH(D266,'卡片raw data'!$F:$F,)),0))</f>
        <v>0</v>
      </c>
      <c r="EL266" s="1098">
        <f t="shared" si="419"/>
        <v>0.33</v>
      </c>
      <c r="EM266" s="1098">
        <f t="shared" si="420"/>
        <v>0.33</v>
      </c>
      <c r="EN266" s="1125">
        <f t="shared" si="421"/>
        <v>0</v>
      </c>
      <c r="EO266" s="1125">
        <f t="shared" si="422"/>
        <v>0</v>
      </c>
      <c r="EP266" s="1098">
        <f t="shared" si="423"/>
        <v>0</v>
      </c>
      <c r="EQ266" s="1121">
        <f t="shared" si="424"/>
        <v>0</v>
      </c>
      <c r="ER266" s="1101">
        <f t="shared" si="425"/>
        <v>0</v>
      </c>
      <c r="ES266" s="1097">
        <f t="shared" si="426"/>
        <v>0</v>
      </c>
      <c r="ET266" s="1122">
        <f t="shared" si="427"/>
        <v>0</v>
      </c>
    </row>
    <row r="267" spans="2:150" ht="16.5" customHeight="1">
      <c r="B267" s="1123" t="str">
        <f>INDEX('卡片raw data'!B:B,MATCH($D267,'卡片raw data'!$F:$F,))</f>
        <v>乐器彼</v>
      </c>
      <c r="C267" s="449" t="s">
        <v>578</v>
      </c>
      <c r="D267" s="408">
        <v>264</v>
      </c>
      <c r="E267" s="1090">
        <v>302062002</v>
      </c>
      <c r="F267" s="1090" t="str">
        <f>INDEX('卡片raw data'!C:C,MATCH($D267,'卡片raw data'!$F:$F,))</f>
        <v>SR</v>
      </c>
      <c r="G267" s="1094" t="s">
        <v>580</v>
      </c>
      <c r="H267" s="411">
        <f>IFERROR(INDEX(绊状态确认!C:C,MATCH($G267,绊状态确认!$B:$B,)),"")</f>
        <v>206</v>
      </c>
      <c r="I267" s="450" t="str">
        <f>IFERROR(INDEX(绊状态确认!D:D,MATCH($G267,绊状态确认!$B:$B,)),"")</f>
        <v>虹</v>
      </c>
      <c r="J267" s="450" t="str">
        <f>IFERROR(INDEX(绊状态确认!E:E,MATCH($G267,绊状态确认!$B:$B,)),"")</f>
        <v>3年级</v>
      </c>
      <c r="K267" s="451" t="str">
        <f>IFERROR(INDEX(绊状态确认!F:F,MATCH($G267,绊状态确认!$B:$B,)),"")</f>
        <v>QU4RTZ</v>
      </c>
      <c r="L267" s="1094" t="str">
        <f>INDEX('卡片raw data'!E:E,MATCH($D267,'卡片raw data'!$F:$F,))</f>
        <v>卡池卡</v>
      </c>
      <c r="M267" s="415">
        <v>44012</v>
      </c>
      <c r="N267" s="416">
        <v>18.5</v>
      </c>
      <c r="O267" s="1091" t="str">
        <f>INDEX('卡片raw data'!D:D,MATCH($D267,'卡片raw data'!$F:$F,))</f>
        <v>sk</v>
      </c>
      <c r="P267" s="417">
        <v>5</v>
      </c>
      <c r="Q267" s="1095">
        <f t="shared" si="343"/>
        <v>22297.642772703799</v>
      </c>
      <c r="R267" s="1096">
        <f t="shared" si="344"/>
        <v>0.25900000000000001</v>
      </c>
      <c r="S267" s="1097">
        <f t="shared" si="345"/>
        <v>15239.677772328692</v>
      </c>
      <c r="T267" s="1098">
        <f t="shared" si="346"/>
        <v>0.76100000000000001</v>
      </c>
      <c r="U267" s="1099">
        <f t="shared" si="347"/>
        <v>12.240908950362854</v>
      </c>
      <c r="V267" s="1100">
        <f t="shared" si="348"/>
        <v>25274.649797728234</v>
      </c>
      <c r="W267" s="1101">
        <f t="shared" si="349"/>
        <v>4507.7214871259994</v>
      </c>
      <c r="X267" s="1096">
        <f t="shared" si="350"/>
        <v>5.1999999999999998E-2</v>
      </c>
      <c r="Y267" s="1097">
        <f t="shared" si="351"/>
        <v>977.00702502443528</v>
      </c>
      <c r="Z267" s="1102">
        <f t="shared" si="352"/>
        <v>12.240908950362854</v>
      </c>
      <c r="AA267" s="1103">
        <f t="shared" si="353"/>
        <v>5484.7285121504347</v>
      </c>
      <c r="AB267" s="1101">
        <f t="shared" si="354"/>
        <v>8363.2009074621164</v>
      </c>
      <c r="AC267" s="1104">
        <f t="shared" si="355"/>
        <v>9.7000000000000003E-2</v>
      </c>
      <c r="AD267" s="1105">
        <f t="shared" si="356"/>
        <v>2.9933366098484845E-2</v>
      </c>
      <c r="AE267" s="1128">
        <f t="shared" si="357"/>
        <v>9.6753225167454406</v>
      </c>
      <c r="AF267" s="1130">
        <f t="shared" si="358"/>
        <v>0</v>
      </c>
      <c r="AG267" s="420">
        <f t="shared" si="359"/>
        <v>0</v>
      </c>
      <c r="AH267" s="420">
        <f t="shared" si="360"/>
        <v>0</v>
      </c>
      <c r="AI267" s="1097">
        <f t="shared" si="361"/>
        <v>0</v>
      </c>
      <c r="AJ267" s="420">
        <f t="shared" si="362"/>
        <v>0</v>
      </c>
      <c r="AK267" s="518">
        <f t="shared" si="363"/>
        <v>0</v>
      </c>
      <c r="AL267" s="1106">
        <f>IF($P267="","N/A",(IF($P267=-1,INDEX('卡片raw data'!S:S,MATCH($D267,'卡片raw data'!$F:$F,)),0)+IF($P267=0,INDEX('卡片raw data'!V:V,MATCH($D267,'卡片raw data'!$F:$F,)),0)+IF($P267=1,INDEX('卡片raw data'!Y:Y,MATCH($D267,'卡片raw data'!$F:$F,)),0)+IF($P267=2,INDEX('卡片raw data'!AB:AB,MATCH($D267,'卡片raw data'!$F:$F,)),0)+IF($P267=3,INDEX('卡片raw data'!AE:AE,MATCH($D267,'卡片raw data'!$F:$F,)),0)+IF($P267=4,INDEX('卡片raw data'!AH:AH,MATCH($D267,'卡片raw data'!$F:$F,)),0)+IF($P267=5,INDEX('卡片raw data'!AK:AK,MATCH($D267,'卡片raw data'!$F:$F,)),0)+INDEX('卡片raw data'!S:S,MATCH($D267,'卡片raw data'!$F:$F,))*(IF($F267="UR",0.04,0.033))*(IF($F267="UR",INDEX(绊状态确认!$S:$S,MATCH($G267,绊状态确认!$B:$B,))/2-40)+IF($F267="SR",INDEX(绊状态确认!$R:$R,MATCH($G267,绊状态确认!$B:$B,))/4-15))+IF($F267="R",INDEX(绊状态确认!$Q:$Q,MATCH($G267,绊状态确认!$B:$B,))/6-40/6)))*(INDEX(绊状态确认!$H:$H,MATCH($G267,绊状态确认!$B:$B,))+INDEX(绊状态确认!J:J,MATCH($G267,绊状态确认!$B:$B,)))</f>
        <v>7585.601822399999</v>
      </c>
      <c r="AM267" s="1106">
        <f>IF($P267="","N/A",(IF($P267=-1,INDEX('卡片raw data'!T:T,MATCH($D267,'卡片raw data'!$F:$F,)),0)+IF($P267=0,INDEX('卡片raw data'!W:W,MATCH($D267,'卡片raw data'!$F:$F,)),0)+IF($P267=1,INDEX('卡片raw data'!Z:Z,MATCH($D267,'卡片raw data'!$F:$F,)),0)+IF($P267=2,INDEX('卡片raw data'!AC:AC,MATCH($D267,'卡片raw data'!$F:$F,)),0)+IF($P267=3,INDEX('卡片raw data'!AF:AF,MATCH($D267,'卡片raw data'!$F:$F,)),0)+IF($P267=4,INDEX('卡片raw data'!AI:AI,MATCH($D267,'卡片raw data'!$F:$F,)),0)+IF($P267=5,INDEX('卡片raw data'!AL:AL,MATCH($D267,'卡片raw data'!$F:$F,)),0)+INDEX('卡片raw data'!T:T,MATCH($D267,'卡片raw data'!$F:$F,))*(IF($F267="UR",0.04,0.033))*(IF($F267="UR",INDEX(绊状态确认!$S:$S,MATCH($G267,绊状态确认!$B:$B,))/2-40)+IF($F267="SR",INDEX(绊状态确认!$R:$R,MATCH($G267,绊状态确认!$B:$B,))/4-15))+IF($F267="R",INDEX(绊状态确认!$Q:$Q,MATCH($G267,绊状态确认!$B:$B,))/6-40/6)))*(INDEX(绊状态确认!$H:$H,MATCH($G267,绊状态确认!$B:$B,))+INDEX(绊状态确认!K:K,MATCH($G267,绊状态确认!$B:$B,)))</f>
        <v>6388.8998927999992</v>
      </c>
      <c r="AN267" s="1106">
        <f>IF($P267="","N/A",(IF($P267=-1,INDEX('卡片raw data'!U:U,MATCH($D267,'卡片raw data'!$F:$F,)),0)+IF($P267=0,INDEX('卡片raw data'!X:X,MATCH($D267,'卡片raw data'!$F:$F,)),0)+IF($P267=1,INDEX('卡片raw data'!AA:AA,MATCH($D267,'卡片raw data'!$F:$F,)),0)+IF($P267=2,INDEX('卡片raw data'!AD:AD,MATCH($D267,'卡片raw data'!$F:$F,)),0)+IF($P267=3,INDEX('卡片raw data'!AG:AG,MATCH($D267,'卡片raw data'!$F:$F,)),0)+IF($P267=4,INDEX('卡片raw data'!AJ:AJ,MATCH($D267,'卡片raw data'!$F:$F,)),0)+IF($P267=5,INDEX('卡片raw data'!AM:AM,MATCH($D267,'卡片raw data'!$F:$F,)),0)+INDEX('卡片raw data'!U:U,MATCH($D267,'卡片raw data'!$F:$F,))*(IF($F267="UR",0.04,0.033))*(IF($F267="UR",INDEX(绊状态确认!$S:$S,MATCH($G267,绊状态确认!$B:$B,))/2-40)+IF($F267="SR",INDEX(绊状态确认!$R:$R,MATCH($G267,绊状态确认!$B:$B,))/4-15))+IF($F267="R",INDEX(绊状态确认!$Q:$Q,MATCH($G267,绊状态确认!$B:$B,))/6-40/6)))*(INDEX(绊状态确认!$H:$H,MATCH($G267,绊状态确认!$B:$B,))+INDEX(绊状态确认!L:L,MATCH($G267,绊状态确认!$B:$B,)))</f>
        <v>5990.4030503999993</v>
      </c>
      <c r="AO267" s="1107">
        <f t="shared" si="364"/>
        <v>1</v>
      </c>
      <c r="AP267" s="1131">
        <f>1+(INDEX(绊状态确认!$T:$T,MATCH($G267,绊状态确认!$B:$B,))+0.2)*$AO267</f>
        <v>1.3</v>
      </c>
      <c r="AQ267" s="1108">
        <f t="shared" si="365"/>
        <v>23162.2047838</v>
      </c>
      <c r="AR267" s="1097">
        <f>(AM267*(1+$EX$9)+$EX$35)*(1+(INDEX(绊状态确认!$T:$T,MATCH($G267,绊状态确认!$B:$B,))+0.2)*AO267)*IF(J267=$FF$17,1+$FE$17,1)*IF(I267=$FF$14,1+$FE$14,1)</f>
        <v>11424.848353671998</v>
      </c>
      <c r="AS267" s="1097">
        <f>(AN267*(1+$EX$10)+$EX$36)*(1+(INDEX(绊状态确认!$T:$T,MATCH($G267,绊状态确认!$B:$B,))+0.2)*AO267)*IF(J267=$FF$17,1+$FE$17,1)*IF(I267=$FF$14,1+$FE$14,1)</f>
        <v>13011.652560347997</v>
      </c>
      <c r="AT267" s="1093">
        <f>IF(AND(INDEX('卡片raw data'!AK:AK,MATCH($D267,'卡片raw data'!$F:$F,))&lt;INDEX('卡片raw data'!AM:AM,MATCH($D267,'卡片raw data'!$F:$F,)),INDEX('卡片raw data'!AL:AL,MATCH($D267,'卡片raw data'!$F:$F,))&lt;INDEX('卡片raw data'!AM:AM,MATCH($D267,'卡片raw data'!$F:$F,))),1,0)</f>
        <v>0</v>
      </c>
      <c r="AU267" s="1098">
        <f>MIN(AT267*0.15+AS267*0.00003+INDEX(绊状态确认!M:M,MATCH($G267,绊状态确认!$B:$B,)),1)</f>
        <v>0.42034957681043994</v>
      </c>
      <c r="AV267" s="1109">
        <f>(INDEX(绊状态确认!$N:$N,MATCH($G267,绊状态确认!$B:$B,))+1.5)*$EW$21</f>
        <v>2.6599999999999997</v>
      </c>
      <c r="AW267" s="1101">
        <f t="shared" si="366"/>
        <v>20422.962985060101</v>
      </c>
      <c r="AX267" s="1097">
        <f t="shared" si="367"/>
        <v>977.00702502443494</v>
      </c>
      <c r="AY267" s="1110">
        <f t="shared" si="368"/>
        <v>21399.970010084537</v>
      </c>
      <c r="AZ267" s="429">
        <f t="shared" si="369"/>
        <v>17391.923553679997</v>
      </c>
      <c r="BA267" s="431">
        <f t="shared" si="370"/>
        <v>20870.308264415995</v>
      </c>
      <c r="BB267" s="1097">
        <f>(AM267*(1+$FB$9)+$FB$35)*(1+(INDEX(绊状态确认!$T:$T,MATCH($G267,绊状态确认!$B:$B,))+0.2)*AO267)*IF(J267=$FF$17,1+$FE$17,1)*IF(I267=$FF$14,1+$FE$14,1)*(1+$FE$15)</f>
        <v>11424.848353671998</v>
      </c>
      <c r="BC267" s="1097">
        <f>(AN267*(1+$FB$10)+$FB$36)*(1+(INDEX(绊状态确认!$T:$T,MATCH($G267,绊状态确认!$B:$B,))+0.2)*AO267)*IF(J267=$FF$17,1+$FE$17,1)*IF(I267=$FF$14,1+$FE$14,1)*(1+$FE$15)</f>
        <v>13011.652560347997</v>
      </c>
      <c r="BD267" s="1104">
        <f>MIN(AT267*0.15+BC267*0.00003+INDEX(绊状态确认!M:M,MATCH($G267,绊状态确认!$B:$B,)),1)</f>
        <v>0.42034957681043994</v>
      </c>
      <c r="BE267" s="432">
        <f>(INDEX(绊状态确认!$N:$N,MATCH($G267,绊状态确认!$B:$B,))+1.5)</f>
        <v>1.9</v>
      </c>
      <c r="BF267" s="1139">
        <f t="array" ref="BF267">SUMPRODUCT(IF(AZ267*AP267*$FI$16:$FI$23*$FA$22&gt;=$FI$24,$FI$24,AZ267*AP267*$FI$16:$FI$23*$FA$22),$FJ$16:$FJ$23)</f>
        <v>34592.53594826952</v>
      </c>
      <c r="BG267" s="1125">
        <f t="array" ref="BG267">SUMPRODUCT(IF(BE267*AZ267*AP267*$FI$16:$FI$23*$FA$22&gt;=$FI$24,$FI$24,BE267*AZ267*AP267*$FI$16:$FI$23*$FA$22),$FJ$16:$FJ$23)</f>
        <v>58739.5127943974</v>
      </c>
      <c r="BH267" s="1110">
        <f t="shared" si="371"/>
        <v>14914.235815596956</v>
      </c>
      <c r="BI267" s="1111">
        <f>IF(O267="vo",$EW$26/$EW$24*0.05,0)+IF(O267="sk",-$EW$26/$EW$24*(0.05-INDEX(绊状态确认!W:W,MATCH($G267,绊状态确认!$B:$B,)))+0.05*$EW$28,0)+IF(O267="sp",0.05*$EW$32*$EW$30*(1-$EW$33)-(0.05-INDEX(绊状态确认!V:V,MATCH($G267,绊状态确认!$B:$B,)))*$EW$28,0)+IF(O267="gd",-(0.05-INDEX(绊状态确认!X:X,MATCH($G267,绊状态确认!$B:$B,)))*$EW$32*$EW$30*(1-$EW$33),0)</f>
        <v>-6253.6726349699375</v>
      </c>
      <c r="BJ267" s="1097">
        <f>IF(O267="vo",0.05*(1-$FI$26)*$FA$24,0)+IF(O267="sk",-(0.05-INDEX(绊状态确认!W:W,MATCH($G267,绊状态确认!$B:$B,)))*(1-$FI$26)*$FA$24+0.05*$FA$26,0)+IF(O267="sp",0.05*$FA$32*$FA$27*(1-$FA$33)/$FA$30+0.05*$FA$29/$FA$69*$FA$27*(1-$FA$33)-(0.05-INDEX(绊状态确认!V:V,MATCH($G267,绊状态确认!$B:$B,)))*$FA$26,0)+IF(O267="gd",-(0.05-INDEX(绊状态确认!X:X,MATCH($G267,绊状态确认!$B:$B,)))*$FA$32*$FA$27*(1-$FA$33)/$FA$30-(0.05-INDEX(绊状态确认!X:X,MATCH($G267,绊状态确认!$B:$B,)))*$FA$29/$FA$69*$FA$27*(1-$FA$33),0)</f>
        <v>20.459096812499922</v>
      </c>
      <c r="BK267" s="1110">
        <f>IF(O267="vo",$EW$26/$EW$24*0.05+$EW$26*(-HP($EW$62,$EW$65,$EW$64)+HP($EW$62,$EW$65,(1.05-INDEX(绊状态确认!U:U,MATCH($G267,绊状态确认!$B:$B,)))*$EW$64)),0)+IF(O267="sk",-$EW$26/$EW$24*(0.05-INDEX(绊状态确认!W:W,MATCH($G267,绊状态确认!$B:$B,)))+0.05*$EW$29,0)+IF(O267="sp",0.05*$EW$32*$EW$30*(1-$EW$33)-(0.05-INDEX(绊状态确认!V:V,MATCH($G267,绊状态确认!$B:$B,)))*$EW$29,0)+IF(O267="gd",-(0.05-INDEX(绊状态确认!X:X,MATCH($G267,绊状态确认!$B:$B,)))*$EW$32*$EW$30*(1-$EW$33)+$EW$26*(-HP($EW$62,$EW$65,$EW$64)+HP($EW$62,$EW$65,0.95*$EW$64)),0)</f>
        <v>-4253.6726349699375</v>
      </c>
      <c r="BL267" s="1111">
        <f t="shared" si="372"/>
        <v>-1083.3333333333333</v>
      </c>
      <c r="BM267" s="1110">
        <f t="shared" si="373"/>
        <v>-830.55555555555543</v>
      </c>
      <c r="BN267" s="1113">
        <f t="shared" si="374"/>
        <v>3</v>
      </c>
      <c r="BO267" s="1097">
        <f t="shared" si="375"/>
        <v>4507.7214871259994</v>
      </c>
      <c r="BP267" s="1100">
        <f t="shared" si="376"/>
        <v>221.34103209030098</v>
      </c>
      <c r="BQ267" s="1113" t="s">
        <v>134</v>
      </c>
      <c r="BR267" s="1124" t="s">
        <v>168</v>
      </c>
      <c r="BS267" s="1098">
        <f>IF($P267="","N/A",IF($P267=-1,INDEX('卡片raw data'!AX:AX,MATCH($D267,'卡片raw data'!$F:$F,)),0)+IF($L267="party卡",IF($P267=5,INDEX('卡片raw data'!BD:BD,MATCH($D267,'卡片raw data'!$F:$F,)),IF($P267&gt;=3,INDEX('卡片raw data'!BC:BC,MATCH($D267,'卡片raw data'!$F:$F,)),INDEX('卡片raw data'!BB:BB,MATCH($D267,'卡片raw data'!$F:$F,)))),IF(OR(AND($F267="UR",$P267=0),AND($F267="SR",$P267&gt;=0,$P267&lt;=2),AND($F267="R",$P267&gt;=0,$P267&lt;4)),INDEX('卡片raw data'!AZ:AZ,MATCH($D267,'卡片raw data'!$F:$F,)),0)+IF(OR(AND($F267="UR",$P267&gt;=1,$P267&lt;=4),AND($F267="SR",$P267&lt;=4,$P267&gt;=3),AND($F267="R",$P267=4)),INDEX('卡片raw data'!BA:BA,MATCH($D267,'卡片raw data'!$F:$F,)),0)+IF($P267=5,INDEX('卡片raw data'!BB:BB,MATCH($D267,'卡片raw data'!$F:$F,)),0)))</f>
        <v>0.05</v>
      </c>
      <c r="BT267" s="1101">
        <f t="shared" si="377"/>
        <v>3537.2976021542986</v>
      </c>
      <c r="BU267" s="1097">
        <f t="shared" si="378"/>
        <v>255.86405005115788</v>
      </c>
      <c r="BV267" s="1097">
        <f t="shared" si="379"/>
        <v>0</v>
      </c>
      <c r="BW267" s="1112">
        <f t="shared" si="380"/>
        <v>0</v>
      </c>
      <c r="BX267" s="1100">
        <f t="shared" si="381"/>
        <v>3537.2976021542986</v>
      </c>
      <c r="BY267" s="1110">
        <f t="shared" si="382"/>
        <v>0</v>
      </c>
      <c r="BZ267" s="1107" t="s">
        <v>569</v>
      </c>
      <c r="CA267" s="1124"/>
      <c r="CB267" s="1098">
        <f>IF($P267="","N/A",IF($P267=-1,INDEX('卡片raw data'!BE:BE,MATCH($D267,'卡片raw data'!$F:$F,)),0)+IF($L267="party卡",IF($P267=5,INDEX('卡片raw data'!BK:BK,MATCH($D267,'卡片raw data'!$F:$F,)),IF($P267&gt;=3,INDEX('卡片raw data'!BJ:BJ,MATCH($D267,'卡片raw data'!$F:$F,)),INDEX('卡片raw data'!BI:BI,MATCH($D267,'卡片raw data'!$F:$F,)))),IF(OR(AND($F267="UR",$P267=0),AND($F267="SR",$P267&gt;=0,$P267&lt;=2),AND($F267="R",$P267&gt;=0,$P267&lt;4)),INDEX('卡片raw data'!BG:BG,MATCH($D267,'卡片raw data'!$F:$F,)),0)+IF(OR(AND($F267="UR",$P267&gt;=1,$P267&lt;=4),AND($F267="SR",$P267&lt;=4,$P267&gt;=3),AND($F267="R",$P267=4)),INDEX('卡片raw data'!BH:BH,MATCH($D267,'卡片raw data'!$F:$F,)),0)+IF($P267=5,INDEX('卡片raw data'!BI:BI,MATCH($D267,'卡片raw data'!$F:$F,)),0)))</f>
        <v>0</v>
      </c>
      <c r="CC267" s="1101">
        <f t="shared" si="383"/>
        <v>0</v>
      </c>
      <c r="CD267" s="1097">
        <f>IF(BZ267="ap",CB267*(1-$FI$26)*$FB$5/$FB$11*(+IF(CA267="全员",$FA$24,0)+IF(CA267="同作战",$FA$24,0)+IF(CA267="仲间",$FA$24*2/3,0)+IF(CA267="同属性",$FA$24*$FA$37/3,0)+IF(CA267="同年级",$FA$24*$FA$40/3,0)+IF(CA267="同学校",$FA$24*$FA$43/3,0)+IF(CA267="同小队",$FA$24*$FA$46/3,0)+IF(CA267="同type",$FA$24*INDEX($FB$49:$FB$52,MATCH(X267,$FA$49:$FA$52,))/3,0)+IF(CA267="自身",#REF!/3,0)),0)+IF(BZ267="te",CB267*(1-$FI$27)*($FA$20-1)*$FB$7/$FB$13*(+IF(CA267="全员",$FA$19*$FA$24/(1+($FA$20-1)*$FA$19),0)+IF(CA267="同作战",$FA$19*$FA$24/(1+($FA$20-1)*$FA$19),0)+IF(CA267="仲间",$FA$19*$FA$24*2/3/(1+($FA$20-1)*$FA$19),0)+IF(CA267="同属性",$FA$19*$FA$24*$FA$37/3/(1+($FA$20-1)*$FA$19),0)+IF(CA267="同年级",$FA$19*$FA$24*$FA$40/3/(1+($FA$20-1)*$FA$19),0)+IF(CA267="同学校",$FA$19*$FA$24*$FA$43/3/(1+($FA$20-1)*$FA$19),0)+IF(CA267="同小队",$FA$19*$FA$24*$FA$46/3/(1+($FA$20-1)*$FA$19),0)+IF(CA267="同type",$FA$19*$FA$24*INDEX($FB$49:$FB$52,MATCH(X267,$FA$49:$FA$52,))/3/(1+($FA$20-1)*$FA$19),0)+IF(CA267="自身",$FA$19*#REF!/3/(1+(BH267-1)*$BD267),0)),0)</f>
        <v>0</v>
      </c>
      <c r="CE267" s="1097">
        <f t="shared" si="384"/>
        <v>0</v>
      </c>
      <c r="CF267" s="1112">
        <f t="shared" si="385"/>
        <v>0</v>
      </c>
      <c r="CG267" s="1100">
        <f t="shared" si="386"/>
        <v>0</v>
      </c>
      <c r="CH267" s="1110">
        <f t="shared" si="387"/>
        <v>0</v>
      </c>
      <c r="CI267" s="1113" t="s">
        <v>164</v>
      </c>
      <c r="CJ267" s="1114">
        <v>0.5</v>
      </c>
      <c r="CK267" s="1115" t="s">
        <v>295</v>
      </c>
      <c r="CL267" s="1115" t="s">
        <v>168</v>
      </c>
      <c r="CM267" s="1119">
        <v>0.14000000000000001</v>
      </c>
      <c r="CN267" s="1115">
        <v>5</v>
      </c>
      <c r="CO267" s="1092"/>
      <c r="CP267" s="1118">
        <f t="shared" si="388"/>
        <v>7.5000000000000006E-3</v>
      </c>
      <c r="CQ267" s="1118">
        <f t="shared" si="389"/>
        <v>1.1666666666666667E-2</v>
      </c>
      <c r="CR267" s="1118">
        <f t="shared" si="390"/>
        <v>0</v>
      </c>
      <c r="CS267" s="1118">
        <f t="shared" si="391"/>
        <v>3.7369791666666671E-3</v>
      </c>
      <c r="CT267" s="1109">
        <f t="shared" si="392"/>
        <v>0</v>
      </c>
      <c r="CU267" s="1101">
        <f t="shared" si="393"/>
        <v>318.18181818181819</v>
      </c>
      <c r="CV267" s="1108">
        <f t="shared" si="394"/>
        <v>265.15151515151513</v>
      </c>
      <c r="CW267" s="1097">
        <f t="shared" si="395"/>
        <v>0</v>
      </c>
      <c r="CX267" s="1097">
        <f t="shared" si="396"/>
        <v>318.18181818181819</v>
      </c>
      <c r="CY267" s="1110">
        <f t="shared" si="397"/>
        <v>0</v>
      </c>
      <c r="CZ267" s="437"/>
      <c r="DA267" s="438"/>
      <c r="DB267" s="439" t="s">
        <v>569</v>
      </c>
      <c r="DC267" s="439"/>
      <c r="DD267" s="443"/>
      <c r="DE267" s="411"/>
      <c r="DF267" s="411"/>
      <c r="DG267" s="1116">
        <f t="shared" si="398"/>
        <v>0</v>
      </c>
      <c r="DH267" s="1116">
        <f t="shared" si="399"/>
        <v>0</v>
      </c>
      <c r="DI267" s="1116">
        <f t="shared" si="400"/>
        <v>0</v>
      </c>
      <c r="DJ267" s="442">
        <f t="shared" si="401"/>
        <v>0</v>
      </c>
      <c r="DK267" s="1109">
        <f t="shared" si="402"/>
        <v>0</v>
      </c>
      <c r="DL267" s="1101">
        <f t="shared" si="403"/>
        <v>0</v>
      </c>
      <c r="DM267" s="1097">
        <f t="shared" si="404"/>
        <v>0</v>
      </c>
      <c r="DN267" s="1097">
        <f t="shared" si="405"/>
        <v>0</v>
      </c>
      <c r="DO267" s="1097">
        <f t="shared" si="406"/>
        <v>0</v>
      </c>
      <c r="DP267" s="1110">
        <f t="shared" si="407"/>
        <v>0</v>
      </c>
      <c r="DQ267" s="1113" t="s">
        <v>582</v>
      </c>
      <c r="DR267" s="1120">
        <f t="shared" si="408"/>
        <v>0.3</v>
      </c>
      <c r="DS267" s="1124">
        <v>5</v>
      </c>
      <c r="DT267" s="1093" t="s">
        <v>168</v>
      </c>
      <c r="DU267" s="1093" t="s">
        <v>583</v>
      </c>
      <c r="DV267" s="1098">
        <f>IF($P267="","N/A",IF(P267=-1,INDEX('卡片raw data'!AN:AN,MATCH(D267,'卡片raw data'!$F:$F,)),0)+IF(AND(L267&lt;&gt;"party卡",P267&lt;=2,P267&gt;=0),INDEX('卡片raw data'!AP:AP,MATCH(D267,'卡片raw data'!$F:$F,)),0)+IF(OR(AND(L267="party卡",P267&lt;=1),AND(P267&lt;=4,L267&lt;&gt;"party卡",P267&gt;=3)),INDEX('卡片raw data'!AQ:AQ,MATCH(D267,'卡片raw data'!$F:$F,)),0)+IF(OR(P267=5,AND(L267="party卡",P267&gt;=2)),INDEX('卡片raw data'!AR:AR,MATCH(D267,'卡片raw data'!$F:$F,)),0))</f>
        <v>0.04</v>
      </c>
      <c r="DW267" s="1098">
        <f t="shared" si="409"/>
        <v>0.3</v>
      </c>
      <c r="DX267" s="1098">
        <f t="shared" si="410"/>
        <v>0.3</v>
      </c>
      <c r="DY267" s="1098">
        <f t="shared" si="411"/>
        <v>0.02</v>
      </c>
      <c r="DZ267" s="1098">
        <f t="shared" si="412"/>
        <v>1.7299999999999999E-2</v>
      </c>
      <c r="EA267" s="1098">
        <f t="shared" si="413"/>
        <v>7.2021624999999987E-3</v>
      </c>
      <c r="EB267" s="1121">
        <f t="shared" si="414"/>
        <v>0</v>
      </c>
      <c r="EC267" s="1101">
        <f t="shared" si="415"/>
        <v>848.4848484848485</v>
      </c>
      <c r="ED267" s="1097">
        <f t="shared" si="416"/>
        <v>393.18181818181819</v>
      </c>
      <c r="EE267" s="1110">
        <f t="shared" si="417"/>
        <v>848.4848484848485</v>
      </c>
      <c r="EF267" s="1092" t="s">
        <v>711</v>
      </c>
      <c r="EG267" s="1120">
        <f t="shared" si="418"/>
        <v>0.3</v>
      </c>
      <c r="EH267" s="1124"/>
      <c r="EI267" s="1093"/>
      <c r="EJ267" s="1093"/>
      <c r="EK267" s="1097">
        <f>IF($P267="","N/A",IF(P267=-1,INDEX('卡片raw data'!AS:AS,MATCH(D267,'卡片raw data'!$F:$F,)),0)+IF(AND(L267&lt;&gt;"party卡",P267&lt;=2,P267&gt;=0),INDEX('卡片raw data'!AU:AU,MATCH(D267,'卡片raw data'!$F:$F,)),0)+IF(OR(AND(L267="party卡",P267&lt;=1),AND(P267&lt;=4,L267&lt;&gt;"party卡",P267&gt;=3)),INDEX('卡片raw data'!AV:AV,MATCH(D267,'卡片raw data'!$F:$F,)),0)+IF(OR(P267=5,AND(L267="party卡",P267&gt;=2)),INDEX('卡片raw data'!AW:AW,MATCH(D267,'卡片raw data'!$F:$F,)),0))</f>
        <v>0</v>
      </c>
      <c r="EL267" s="1098">
        <f t="shared" si="419"/>
        <v>0.3</v>
      </c>
      <c r="EM267" s="1098">
        <f t="shared" si="420"/>
        <v>0.3</v>
      </c>
      <c r="EN267" s="1125">
        <f t="shared" si="421"/>
        <v>0</v>
      </c>
      <c r="EO267" s="1125">
        <f t="shared" si="422"/>
        <v>0</v>
      </c>
      <c r="EP267" s="1098">
        <f t="shared" si="423"/>
        <v>0</v>
      </c>
      <c r="EQ267" s="1121">
        <f t="shared" si="424"/>
        <v>0</v>
      </c>
      <c r="ER267" s="1101">
        <f t="shared" si="425"/>
        <v>0</v>
      </c>
      <c r="ES267" s="1097">
        <f t="shared" si="426"/>
        <v>0</v>
      </c>
      <c r="ET267" s="1122">
        <f t="shared" si="427"/>
        <v>0</v>
      </c>
    </row>
    <row r="268" spans="2:150" ht="16.5" customHeight="1">
      <c r="B268" s="1123" t="str">
        <f>INDEX('卡片raw data'!B:B,MATCH($D268,'卡片raw data'!$F:$F,))</f>
        <v>bm露</v>
      </c>
      <c r="C268" s="449" t="s">
        <v>579</v>
      </c>
      <c r="D268" s="408">
        <v>265</v>
      </c>
      <c r="E268" s="1090">
        <v>301092001</v>
      </c>
      <c r="F268" s="1090" t="str">
        <f>INDEX('卡片raw data'!C:C,MATCH($D268,'卡片raw data'!$F:$F,))</f>
        <v>SR</v>
      </c>
      <c r="G268" s="1094" t="s">
        <v>581</v>
      </c>
      <c r="H268" s="411">
        <f>IFERROR(INDEX(绊状态确认!C:C,MATCH($G268,绊状态确认!$B:$B,)),"")</f>
        <v>109</v>
      </c>
      <c r="I268" s="450" t="str">
        <f>IFERROR(INDEX(绊状态确认!D:D,MATCH($G268,绊状态确认!$B:$B,)),"")</f>
        <v>水</v>
      </c>
      <c r="J268" s="450" t="str">
        <f>IFERROR(INDEX(绊状态确认!E:E,MATCH($G268,绊状态确认!$B:$B,)),"")</f>
        <v>1年级</v>
      </c>
      <c r="K268" s="451" t="str">
        <f>IFERROR(INDEX(绊状态确认!F:F,MATCH($G268,绊状态确认!$B:$B,)),"")</f>
        <v>CYaRon!</v>
      </c>
      <c r="L268" s="1094" t="str">
        <f>INDEX('卡片raw data'!E:E,MATCH($D268,'卡片raw data'!$F:$F,))</f>
        <v>卡池卡</v>
      </c>
      <c r="M268" s="415">
        <v>44012</v>
      </c>
      <c r="N268" s="416">
        <v>18.5</v>
      </c>
      <c r="O268" s="1091" t="str">
        <f>INDEX('卡片raw data'!D:D,MATCH($D268,'卡片raw data'!$F:$F,))</f>
        <v>sp</v>
      </c>
      <c r="P268" s="417">
        <v>5</v>
      </c>
      <c r="Q268" s="1095">
        <f t="shared" si="343"/>
        <v>29653.413118553548</v>
      </c>
      <c r="R268" s="1096">
        <f t="shared" si="344"/>
        <v>0.34399999999999997</v>
      </c>
      <c r="S268" s="1097">
        <f t="shared" si="345"/>
        <v>16459.164010005894</v>
      </c>
      <c r="T268" s="1098">
        <f t="shared" si="346"/>
        <v>0.82199999999999995</v>
      </c>
      <c r="U268" s="1099">
        <f t="shared" si="347"/>
        <v>9.6114891298028571</v>
      </c>
      <c r="V268" s="1100">
        <f t="shared" si="348"/>
        <v>28616.43990430707</v>
      </c>
      <c r="W268" s="1101">
        <f t="shared" si="349"/>
        <v>5470.2231269702988</v>
      </c>
      <c r="X268" s="1096">
        <f t="shared" si="350"/>
        <v>6.3E-2</v>
      </c>
      <c r="Y268" s="1097">
        <f t="shared" si="351"/>
        <v>763.02678575352184</v>
      </c>
      <c r="Z268" s="1102">
        <f t="shared" si="352"/>
        <v>9.6114891298028571</v>
      </c>
      <c r="AA268" s="1103">
        <f t="shared" si="353"/>
        <v>6233.2499127238207</v>
      </c>
      <c r="AB268" s="1101">
        <f t="shared" si="354"/>
        <v>6206.4843032008794</v>
      </c>
      <c r="AC268" s="1104">
        <f t="shared" si="355"/>
        <v>7.1999999999999995E-2</v>
      </c>
      <c r="AD268" s="1105">
        <f t="shared" si="356"/>
        <v>-1.9908281250000003E-2</v>
      </c>
      <c r="AE268" s="1128">
        <f t="shared" si="357"/>
        <v>-1.3514492753623202</v>
      </c>
      <c r="AF268" s="1130">
        <f t="shared" si="358"/>
        <v>0</v>
      </c>
      <c r="AG268" s="420">
        <f t="shared" si="359"/>
        <v>0</v>
      </c>
      <c r="AH268" s="420">
        <f t="shared" si="360"/>
        <v>0</v>
      </c>
      <c r="AI268" s="1097">
        <f t="shared" si="361"/>
        <v>0</v>
      </c>
      <c r="AJ268" s="420">
        <f t="shared" si="362"/>
        <v>0</v>
      </c>
      <c r="AK268" s="518">
        <f t="shared" si="363"/>
        <v>0</v>
      </c>
      <c r="AL268" s="1106">
        <f>IF($P268="","N/A",(IF($P268=-1,INDEX('卡片raw data'!S:S,MATCH($D268,'卡片raw data'!$F:$F,)),0)+IF($P268=0,INDEX('卡片raw data'!V:V,MATCH($D268,'卡片raw data'!$F:$F,)),0)+IF($P268=1,INDEX('卡片raw data'!Y:Y,MATCH($D268,'卡片raw data'!$F:$F,)),0)+IF($P268=2,INDEX('卡片raw data'!AB:AB,MATCH($D268,'卡片raw data'!$F:$F,)),0)+IF($P268=3,INDEX('卡片raw data'!AE:AE,MATCH($D268,'卡片raw data'!$F:$F,)),0)+IF($P268=4,INDEX('卡片raw data'!AH:AH,MATCH($D268,'卡片raw data'!$F:$F,)),0)+IF($P268=5,INDEX('卡片raw data'!AK:AK,MATCH($D268,'卡片raw data'!$F:$F,)),0)+INDEX('卡片raw data'!S:S,MATCH($D268,'卡片raw data'!$F:$F,))*(IF($F268="UR",0.04,0.033))*(IF($F268="UR",INDEX(绊状态确认!$S:$S,MATCH($G268,绊状态确认!$B:$B,))/2-40)+IF($F268="SR",INDEX(绊状态确认!$R:$R,MATCH($G268,绊状态确认!$B:$B,))/4-15))+IF($F268="R",INDEX(绊状态确认!$Q:$Q,MATCH($G268,绊状态确认!$B:$B,))/6-40/6)))*(INDEX(绊状态确认!$H:$H,MATCH($G268,绊状态确认!$B:$B,))+INDEX(绊状态确认!J:J,MATCH($G268,绊状态确认!$B:$B,)))</f>
        <v>6987.8190575999988</v>
      </c>
      <c r="AM268" s="1106">
        <f>IF($P268="","N/A",(IF($P268=-1,INDEX('卡片raw data'!T:T,MATCH($D268,'卡片raw data'!$F:$F,)),0)+IF($P268=0,INDEX('卡片raw data'!W:W,MATCH($D268,'卡片raw data'!$F:$F,)),0)+IF($P268=1,INDEX('卡片raw data'!Z:Z,MATCH($D268,'卡片raw data'!$F:$F,)),0)+IF($P268=2,INDEX('卡片raw data'!AC:AC,MATCH($D268,'卡片raw data'!$F:$F,)),0)+IF($P268=3,INDEX('卡片raw data'!AF:AF,MATCH($D268,'卡片raw data'!$F:$F,)),0)+IF($P268=4,INDEX('卡片raw data'!AI:AI,MATCH($D268,'卡片raw data'!$F:$F,)),0)+IF($P268=5,INDEX('卡片raw data'!AL:AL,MATCH($D268,'卡片raw data'!$F:$F,)),0)+INDEX('卡片raw data'!T:T,MATCH($D268,'卡片raw data'!$F:$F,))*(IF($F268="UR",0.04,0.033))*(IF($F268="UR",INDEX(绊状态确认!$S:$S,MATCH($G268,绊状态确认!$B:$B,))/2-40)+IF($F268="SR",INDEX(绊状态确认!$R:$R,MATCH($G268,绊状态确认!$B:$B,))/4-15))+IF($F268="R",INDEX(绊状态确认!$Q:$Q,MATCH($G268,绊状态确认!$B:$B,))/6-40/6)))*(INDEX(绊状态确认!$H:$H,MATCH($G268,绊状态确认!$B:$B,))+INDEX(绊状态确认!K:K,MATCH($G268,绊状态确认!$B:$B,)))</f>
        <v>4591.0059984</v>
      </c>
      <c r="AN268" s="1106">
        <f>IF($P268="","N/A",(IF($P268=-1,INDEX('卡片raw data'!U:U,MATCH($D268,'卡片raw data'!$F:$F,)),0)+IF($P268=0,INDEX('卡片raw data'!X:X,MATCH($D268,'卡片raw data'!$F:$F,)),0)+IF($P268=1,INDEX('卡片raw data'!AA:AA,MATCH($D268,'卡片raw data'!$F:$F,)),0)+IF($P268=2,INDEX('卡片raw data'!AD:AD,MATCH($D268,'卡片raw data'!$F:$F,)),0)+IF($P268=3,INDEX('卡片raw data'!AG:AG,MATCH($D268,'卡片raw data'!$F:$F,)),0)+IF($P268=4,INDEX('卡片raw data'!AJ:AJ,MATCH($D268,'卡片raw data'!$F:$F,)),0)+IF($P268=5,INDEX('卡片raw data'!AM:AM,MATCH($D268,'卡片raw data'!$F:$F,)),0)+INDEX('卡片raw data'!U:U,MATCH($D268,'卡片raw data'!$F:$F,))*(IF($F268="UR",0.04,0.033))*(IF($F268="UR",INDEX(绊状态确认!$S:$S,MATCH($G268,绊状态确认!$B:$B,))/2-40)+IF($F268="SR",INDEX(绊状态确认!$R:$R,MATCH($G268,绊状态确认!$B:$B,))/4-15))+IF($F268="R",INDEX(绊状态确认!$Q:$Q,MATCH($G268,绊状态确认!$B:$B,))/6-40/6)))*(INDEX(绊状态确认!$H:$H,MATCH($G268,绊状态确认!$B:$B,))+INDEX(绊状态确认!L:L,MATCH($G268,绊状态确认!$B:$B,)))</f>
        <v>8384.9433095999993</v>
      </c>
      <c r="AO268" s="1107">
        <f t="shared" si="364"/>
        <v>1</v>
      </c>
      <c r="AP268" s="1131">
        <f>1+(INDEX(绊状态确认!$T:$T,MATCH($G268,绊状态确认!$B:$B,))+0.2)*$AO268</f>
        <v>1.3</v>
      </c>
      <c r="AQ268" s="1108">
        <f t="shared" si="365"/>
        <v>21593.025026199997</v>
      </c>
      <c r="AR268" s="1097">
        <f>(AM268*(1+$EX$9)+$EX$35)*(1+(INDEX(绊状态确认!$T:$T,MATCH($G268,绊状态确认!$B:$B,))+0.2)*AO268)*IF(J268=$FF$17,1+$FE$17,1)*IF(I268=$FF$14,1+$FE$14,1)</f>
        <v>8970.7231878160001</v>
      </c>
      <c r="AS268" s="1097">
        <f>(AN268*(1+$EX$10)+$EX$36)*(1+(INDEX(绊状态确认!$T:$T,MATCH($G268,绊状态确认!$B:$B,))+0.2)*AO268)*IF(J268=$FF$17,1+$FE$17,1)*IF(I268=$FF$14,1+$FE$14,1)</f>
        <v>16591.490247851998</v>
      </c>
      <c r="AT268" s="1093">
        <f>IF(AND(INDEX('卡片raw data'!AK:AK,MATCH($D268,'卡片raw data'!$F:$F,))&lt;INDEX('卡片raw data'!AM:AM,MATCH($D268,'卡片raw data'!$F:$F,)),INDEX('卡片raw data'!AL:AL,MATCH($D268,'卡片raw data'!$F:$F,))&lt;INDEX('卡片raw data'!AM:AM,MATCH($D268,'卡片raw data'!$F:$F,))),1,0)</f>
        <v>1</v>
      </c>
      <c r="AU268" s="1098">
        <f>MIN(AT268*0.15+AS268*0.00003+INDEX(绊状态确认!M:M,MATCH($G268,绊状态确认!$B:$B,)),1)</f>
        <v>0.67774470743555992</v>
      </c>
      <c r="AV268" s="1109">
        <f>(INDEX(绊状态确认!$N:$N,MATCH($G268,绊状态确认!$B:$B,))+1.5)*$EW$21</f>
        <v>2.6599999999999997</v>
      </c>
      <c r="AW268" s="1101">
        <f t="shared" si="366"/>
        <v>23830.94558136175</v>
      </c>
      <c r="AX268" s="1097">
        <f t="shared" si="367"/>
        <v>763.02678575352218</v>
      </c>
      <c r="AY268" s="1110">
        <f t="shared" si="368"/>
        <v>24593.972367115271</v>
      </c>
      <c r="AZ268" s="429">
        <f t="shared" si="369"/>
        <v>16226.247162319998</v>
      </c>
      <c r="BA268" s="431">
        <f t="shared" si="370"/>
        <v>19471.496594783996</v>
      </c>
      <c r="BB268" s="1097">
        <f>(AM268*(1+$FB$9)+$FB$35)*(1+(INDEX(绊状态确认!$T:$T,MATCH($G268,绊状态确认!$B:$B,))+0.2)*AO268)*IF(J268=$FF$17,1+$FE$17,1)*IF(I268=$FF$14,1+$FE$14,1)*(1+$FE$15)</f>
        <v>8970.7231878160001</v>
      </c>
      <c r="BC268" s="1097">
        <f>(AN268*(1+$FB$10)+$FB$36)*(1+(INDEX(绊状态确认!$T:$T,MATCH($G268,绊状态确认!$B:$B,))+0.2)*AO268)*IF(J268=$FF$17,1+$FE$17,1)*IF(I268=$FF$14,1+$FE$14,1)*(1+$FE$15)</f>
        <v>16591.490247851998</v>
      </c>
      <c r="BD268" s="1104">
        <f>MIN(AT268*0.15+BC268*0.00003+INDEX(绊状态确认!M:M,MATCH($G268,绊状态确认!$B:$B,)),1)</f>
        <v>0.67774470743555992</v>
      </c>
      <c r="BE268" s="432">
        <f>(INDEX(绊状态确认!$N:$N,MATCH($G268,绊状态确认!$B:$B,))+1.5)</f>
        <v>1.9</v>
      </c>
      <c r="BF268" s="1139">
        <f t="array" ref="BF268">SUMPRODUCT(IF(AZ268*AP268*$FI$16:$FI$23*$FA$22&gt;=$FI$24,$FI$24,AZ268*AP268*$FI$16:$FI$23*$FA$22),$FJ$16:$FJ$23)</f>
        <v>32274.005605854483</v>
      </c>
      <c r="BG268" s="1125">
        <f t="array" ref="BG268">SUMPRODUCT(IF(BE268*AZ268*AP268*$FI$16:$FI$23*$FA$22&gt;=$FI$24,$FI$24,BE268*AZ268*AP268*$FI$16:$FI$23*$FA$22),$FJ$16:$FJ$23)</f>
        <v>57241.780160193113</v>
      </c>
      <c r="BH268" s="1110">
        <f t="shared" si="371"/>
        <v>16398.594222167245</v>
      </c>
      <c r="BI268" s="1111">
        <f>IF(O268="vo",$EW$26/$EW$24*0.05,0)+IF(O268="sk",-$EW$26/$EW$24*(0.05-INDEX(绊状态确认!W:W,MATCH($G268,绊状态确认!$B:$B,)))+0.05*$EW$28,0)+IF(O268="sp",0.05*$EW$32*$EW$30*(1-$EW$33)-(0.05-INDEX(绊状态确认!V:V,MATCH($G268,绊状态确认!$B:$B,)))*$EW$28,0)+IF(O268="gd",-(0.05-INDEX(绊状态确认!X:X,MATCH($G268,绊状态确认!$B:$B,)))*$EW$32*$EW$30*(1-$EW$33),0)</f>
        <v>19.999999999999886</v>
      </c>
      <c r="BJ268" s="1097">
        <f>IF(O268="vo",0.05*(1-$FI$26)*$FA$24,0)+IF(O268="sk",-(0.05-INDEX(绊状态确认!W:W,MATCH($G268,绊状态确认!$B:$B,)))*(1-$FI$26)*$FA$24+0.05*$FA$26,0)+IF(O268="sp",0.05*$FA$32*$FA$27*(1-$FA$33)/$FA$30+0.05*$FA$29/$FA$69*$FA$27*(1-$FA$33)-(0.05-INDEX(绊状态确认!V:V,MATCH($G268,绊状态确认!$B:$B,)))*$FA$26,0)+IF(O268="gd",-(0.05-INDEX(绊状态确认!X:X,MATCH($G268,绊状态确认!$B:$B,)))*$FA$32*$FA$27*(1-$FA$33)/$FA$30-(0.05-INDEX(绊状态确认!X:X,MATCH($G268,绊状态确认!$B:$B,)))*$FA$29/$FA$69*$FA$27*(1-$FA$33),0)</f>
        <v>545.83333333333326</v>
      </c>
      <c r="BK268" s="1110">
        <f>IF(O268="vo",$EW$26/$EW$24*0.05+$EW$26*(-HP($EW$62,$EW$65,$EW$64)+HP($EW$62,$EW$65,(1.05-INDEX(绊状态确认!U:U,MATCH($G268,绊状态确认!$B:$B,)))*$EW$64)),0)+IF(O268="sk",-$EW$26/$EW$24*(0.05-INDEX(绊状态确认!W:W,MATCH($G268,绊状态确认!$B:$B,)))+0.05*$EW$29,0)+IF(O268="sp",0.05*$EW$32*$EW$30*(1-$EW$33)-(0.05-INDEX(绊状态确认!V:V,MATCH($G268,绊状态确认!$B:$B,)))*$EW$29,0)+IF(O268="gd",-(0.05-INDEX(绊状态确认!X:X,MATCH($G268,绊状态确认!$B:$B,)))*$EW$32*$EW$30*(1-$EW$33)+$EW$26*(-HP($EW$62,$EW$65,$EW$64)+HP($EW$62,$EW$65,0.95*$EW$64)),0)</f>
        <v>-1780.0000000000005</v>
      </c>
      <c r="BL268" s="1111">
        <f t="shared" si="372"/>
        <v>-1083.3333333333333</v>
      </c>
      <c r="BM268" s="1110">
        <f t="shared" si="373"/>
        <v>-830.55555555555543</v>
      </c>
      <c r="BN268" s="1113">
        <f t="shared" si="374"/>
        <v>3</v>
      </c>
      <c r="BO268" s="1097">
        <f t="shared" si="375"/>
        <v>4507.7214871259994</v>
      </c>
      <c r="BP268" s="1100">
        <f t="shared" si="376"/>
        <v>221.34103209030098</v>
      </c>
      <c r="BQ268" s="1113" t="s">
        <v>623</v>
      </c>
      <c r="BR268" s="1124" t="s">
        <v>627</v>
      </c>
      <c r="BS268" s="1098">
        <f>IF($P268="","N/A",IF($P268=-1,INDEX('卡片raw data'!AX:AX,MATCH($D268,'卡片raw data'!$F:$F,)),0)+IF($L268="party卡",IF($P268=5,INDEX('卡片raw data'!BD:BD,MATCH($D268,'卡片raw data'!$F:$F,)),IF($P268&gt;=3,INDEX('卡片raw data'!BC:BC,MATCH($D268,'卡片raw data'!$F:$F,)),INDEX('卡片raw data'!BB:BB,MATCH($D268,'卡片raw data'!$F:$F,)))),IF(OR(AND($F268="UR",$P268=0),AND($F268="SR",$P268&gt;=0,$P268&lt;=2),AND($F268="R",$P268&gt;=0,$P268&lt;4)),INDEX('卡片raw data'!AZ:AZ,MATCH($D268,'卡片raw data'!$F:$F,)),0)+IF(OR(AND($F268="UR",$P268&gt;=1,$P268&lt;=4),AND($F268="SR",$P268&lt;=4,$P268&gt;=3),AND($F268="R",$P268=4)),INDEX('卡片raw data'!BA:BA,MATCH($D268,'卡片raw data'!$F:$F,)),0)+IF($P268=5,INDEX('卡片raw data'!BB:BB,MATCH($D268,'卡片raw data'!$F:$F,)),0)))</f>
        <v>4.2000000000000003E-2</v>
      </c>
      <c r="BT268" s="1101">
        <f t="shared" si="377"/>
        <v>1682.88268852704</v>
      </c>
      <c r="BU268" s="1097">
        <f t="shared" si="378"/>
        <v>123.95097797056857</v>
      </c>
      <c r="BV268" s="1097">
        <f t="shared" si="379"/>
        <v>946.62151229645997</v>
      </c>
      <c r="BW268" s="1112">
        <f t="shared" si="380"/>
        <v>0</v>
      </c>
      <c r="BX268" s="1100">
        <f t="shared" si="381"/>
        <v>1682.88268852704</v>
      </c>
      <c r="BY268" s="1110">
        <f t="shared" si="382"/>
        <v>946.62151229645997</v>
      </c>
      <c r="BZ268" s="1107" t="s">
        <v>569</v>
      </c>
      <c r="CA268" s="1124"/>
      <c r="CB268" s="1098">
        <f>IF($P268="","N/A",IF($P268=-1,INDEX('卡片raw data'!BE:BE,MATCH($D268,'卡片raw data'!$F:$F,)),0)+IF($L268="party卡",IF($P268=5,INDEX('卡片raw data'!BK:BK,MATCH($D268,'卡片raw data'!$F:$F,)),IF($P268&gt;=3,INDEX('卡片raw data'!BJ:BJ,MATCH($D268,'卡片raw data'!$F:$F,)),INDEX('卡片raw data'!BI:BI,MATCH($D268,'卡片raw data'!$F:$F,)))),IF(OR(AND($F268="UR",$P268=0),AND($F268="SR",$P268&gt;=0,$P268&lt;=2),AND($F268="R",$P268&gt;=0,$P268&lt;4)),INDEX('卡片raw data'!BG:BG,MATCH($D268,'卡片raw data'!$F:$F,)),0)+IF(OR(AND($F268="UR",$P268&gt;=1,$P268&lt;=4),AND($F268="SR",$P268&lt;=4,$P268&gt;=3),AND($F268="R",$P268=4)),INDEX('卡片raw data'!BH:BH,MATCH($D268,'卡片raw data'!$F:$F,)),0)+IF($P268=5,INDEX('卡片raw data'!BI:BI,MATCH($D268,'卡片raw data'!$F:$F,)),0)))</f>
        <v>0</v>
      </c>
      <c r="CC268" s="1101">
        <f t="shared" si="383"/>
        <v>0</v>
      </c>
      <c r="CD268" s="1097">
        <f>IF(BZ268="ap",CB268*(1-$FI$26)*$FB$5/$FB$11*(+IF(CA268="全员",$FA$24,0)+IF(CA268="同作战",$FA$24,0)+IF(CA268="仲间",$FA$24*2/3,0)+IF(CA268="同属性",$FA$24*$FA$37/3,0)+IF(CA268="同年级",$FA$24*$FA$40/3,0)+IF(CA268="同学校",$FA$24*$FA$43/3,0)+IF(CA268="同小队",$FA$24*$FA$46/3,0)+IF(CA268="同type",$FA$24*INDEX($FB$49:$FB$52,MATCH(X268,$FA$49:$FA$52,))/3,0)+IF(CA268="自身",#REF!/3,0)),0)+IF(BZ268="te",CB268*(1-$FI$27)*($FA$20-1)*$FB$7/$FB$13*(+IF(CA268="全员",$FA$19*$FA$24/(1+($FA$20-1)*$FA$19),0)+IF(CA268="同作战",$FA$19*$FA$24/(1+($FA$20-1)*$FA$19),0)+IF(CA268="仲间",$FA$19*$FA$24*2/3/(1+($FA$20-1)*$FA$19),0)+IF(CA268="同属性",$FA$19*$FA$24*$FA$37/3/(1+($FA$20-1)*$FA$19),0)+IF(CA268="同年级",$FA$19*$FA$24*$FA$40/3/(1+($FA$20-1)*$FA$19),0)+IF(CA268="同学校",$FA$19*$FA$24*$FA$43/3/(1+($FA$20-1)*$FA$19),0)+IF(CA268="同小队",$FA$19*$FA$24*$FA$46/3/(1+($FA$20-1)*$FA$19),0)+IF(CA268="同type",$FA$19*$FA$24*INDEX($FB$49:$FB$52,MATCH(X268,$FA$49:$FA$52,))/3/(1+($FA$20-1)*$FA$19),0)+IF(CA268="自身",$FA$19*#REF!/3/(1+(BH268-1)*$BD268),0)),0)</f>
        <v>0</v>
      </c>
      <c r="CE268" s="1097">
        <f t="shared" si="384"/>
        <v>0</v>
      </c>
      <c r="CF268" s="1112">
        <f t="shared" si="385"/>
        <v>0</v>
      </c>
      <c r="CG268" s="1100">
        <f t="shared" si="386"/>
        <v>0</v>
      </c>
      <c r="CH268" s="1110">
        <f t="shared" si="387"/>
        <v>0</v>
      </c>
      <c r="CI268" s="1113" t="s">
        <v>162</v>
      </c>
      <c r="CJ268" s="1114">
        <v>0.3</v>
      </c>
      <c r="CK268" s="1115" t="s">
        <v>256</v>
      </c>
      <c r="CL268" s="1115" t="s">
        <v>1940</v>
      </c>
      <c r="CM268" s="1119">
        <v>0.08</v>
      </c>
      <c r="CN268" s="1115"/>
      <c r="CO268" s="1092"/>
      <c r="CP268" s="1116">
        <f t="shared" si="388"/>
        <v>11.104984299188569</v>
      </c>
      <c r="CQ268" s="1116">
        <f t="shared" si="389"/>
        <v>15.577197275827196</v>
      </c>
      <c r="CR268" s="1116">
        <f t="shared" si="390"/>
        <v>11.104984299188569</v>
      </c>
      <c r="CS268" s="1118">
        <f t="shared" si="391"/>
        <v>0</v>
      </c>
      <c r="CT268" s="1109">
        <f t="shared" si="392"/>
        <v>0</v>
      </c>
      <c r="CU268" s="1101">
        <f t="shared" si="393"/>
        <v>15.880127547839654</v>
      </c>
      <c r="CV268" s="1108">
        <f t="shared" si="394"/>
        <v>0</v>
      </c>
      <c r="CW268" s="1097">
        <f t="shared" si="395"/>
        <v>15.880127547839656</v>
      </c>
      <c r="CX268" s="1097">
        <f t="shared" si="396"/>
        <v>15.880127547839654</v>
      </c>
      <c r="CY268" s="1110">
        <f t="shared" si="397"/>
        <v>15.880127547839656</v>
      </c>
      <c r="CZ268" s="437"/>
      <c r="DA268" s="438"/>
      <c r="DB268" s="439" t="s">
        <v>569</v>
      </c>
      <c r="DC268" s="439"/>
      <c r="DD268" s="443"/>
      <c r="DE268" s="411"/>
      <c r="DF268" s="411"/>
      <c r="DG268" s="1116">
        <f t="shared" si="398"/>
        <v>0</v>
      </c>
      <c r="DH268" s="1116">
        <f t="shared" si="399"/>
        <v>0</v>
      </c>
      <c r="DI268" s="1116">
        <f t="shared" si="400"/>
        <v>0</v>
      </c>
      <c r="DJ268" s="442">
        <f t="shared" si="401"/>
        <v>0</v>
      </c>
      <c r="DK268" s="1109">
        <f t="shared" si="402"/>
        <v>0</v>
      </c>
      <c r="DL268" s="1101">
        <f t="shared" si="403"/>
        <v>0</v>
      </c>
      <c r="DM268" s="1097">
        <f t="shared" si="404"/>
        <v>0</v>
      </c>
      <c r="DN268" s="1097">
        <f t="shared" si="405"/>
        <v>0</v>
      </c>
      <c r="DO268" s="1097">
        <f t="shared" si="406"/>
        <v>0</v>
      </c>
      <c r="DP268" s="1110">
        <f t="shared" si="407"/>
        <v>0</v>
      </c>
      <c r="DQ268" s="1113" t="s">
        <v>256</v>
      </c>
      <c r="DR268" s="1120">
        <f t="shared" si="408"/>
        <v>0.3</v>
      </c>
      <c r="DS268" s="1124"/>
      <c r="DT268" s="1093" t="s">
        <v>584</v>
      </c>
      <c r="DU268" s="1093"/>
      <c r="DV268" s="1098">
        <f>IF($P268="","N/A",IF(P268=-1,INDEX('卡片raw data'!AN:AN,MATCH(D268,'卡片raw data'!$F:$F,)),0)+IF(AND(L268&lt;&gt;"party卡",P268&lt;=2,P268&gt;=0),INDEX('卡片raw data'!AP:AP,MATCH(D268,'卡片raw data'!$F:$F,)),0)+IF(OR(AND(L268="party卡",P268&lt;=1),AND(P268&lt;=4,L268&lt;&gt;"party卡",P268&gt;=3)),INDEX('卡片raw data'!AQ:AQ,MATCH(D268,'卡片raw data'!$F:$F,)),0)+IF(OR(P268=5,AND(L268="party卡",P268&gt;=2)),INDEX('卡片raw data'!AR:AR,MATCH(D268,'卡片raw data'!$F:$F,)),0))</f>
        <v>0.22</v>
      </c>
      <c r="DW268" s="1098">
        <f t="shared" si="409"/>
        <v>0.3</v>
      </c>
      <c r="DX268" s="1098">
        <f t="shared" si="410"/>
        <v>0.3</v>
      </c>
      <c r="DY268" s="1125">
        <f t="shared" si="411"/>
        <v>475.04655057639997</v>
      </c>
      <c r="DZ268" s="1125">
        <f t="shared" si="412"/>
        <v>370.54258019873942</v>
      </c>
      <c r="EA268" s="1098">
        <f t="shared" si="413"/>
        <v>0</v>
      </c>
      <c r="EB268" s="1121">
        <f t="shared" si="414"/>
        <v>0</v>
      </c>
      <c r="EC268" s="1101">
        <f t="shared" si="415"/>
        <v>679.31656732425199</v>
      </c>
      <c r="ED268" s="1097">
        <f t="shared" si="416"/>
        <v>0</v>
      </c>
      <c r="EE268" s="1110">
        <f t="shared" si="417"/>
        <v>679.31656732425199</v>
      </c>
      <c r="EF268" s="1092" t="s">
        <v>711</v>
      </c>
      <c r="EG268" s="1120">
        <f t="shared" si="418"/>
        <v>0.3</v>
      </c>
      <c r="EH268" s="1124"/>
      <c r="EI268" s="1093"/>
      <c r="EJ268" s="1093"/>
      <c r="EK268" s="1097">
        <f>IF($P268="","N/A",IF(P268=-1,INDEX('卡片raw data'!AS:AS,MATCH(D268,'卡片raw data'!$F:$F,)),0)+IF(AND(L268&lt;&gt;"party卡",P268&lt;=2,P268&gt;=0),INDEX('卡片raw data'!AU:AU,MATCH(D268,'卡片raw data'!$F:$F,)),0)+IF(OR(AND(L268="party卡",P268&lt;=1),AND(P268&lt;=4,L268&lt;&gt;"party卡",P268&gt;=3)),INDEX('卡片raw data'!AV:AV,MATCH(D268,'卡片raw data'!$F:$F,)),0)+IF(OR(P268=5,AND(L268="party卡",P268&gt;=2)),INDEX('卡片raw data'!AW:AW,MATCH(D268,'卡片raw data'!$F:$F,)),0))</f>
        <v>0</v>
      </c>
      <c r="EL268" s="1098">
        <f t="shared" si="419"/>
        <v>0.3</v>
      </c>
      <c r="EM268" s="1098">
        <f t="shared" si="420"/>
        <v>0.3</v>
      </c>
      <c r="EN268" s="1125">
        <f t="shared" si="421"/>
        <v>0</v>
      </c>
      <c r="EO268" s="1125">
        <f t="shared" si="422"/>
        <v>0</v>
      </c>
      <c r="EP268" s="1098">
        <f t="shared" si="423"/>
        <v>0</v>
      </c>
      <c r="EQ268" s="1121">
        <f t="shared" si="424"/>
        <v>0</v>
      </c>
      <c r="ER268" s="1101">
        <f t="shared" si="425"/>
        <v>0</v>
      </c>
      <c r="ES268" s="1097">
        <f t="shared" si="426"/>
        <v>0</v>
      </c>
      <c r="ET268" s="1122">
        <f t="shared" si="427"/>
        <v>0</v>
      </c>
    </row>
    <row r="269" spans="2:150" ht="16.5" customHeight="1">
      <c r="B269" s="1123" t="str">
        <f>INDEX('卡片raw data'!B:B,MATCH($D269,'卡片raw data'!$F:$F,))</f>
        <v>怪盗花</v>
      </c>
      <c r="C269" s="449" t="s">
        <v>578</v>
      </c>
      <c r="D269" s="408">
        <v>266</v>
      </c>
      <c r="E269" s="1090">
        <v>400083002</v>
      </c>
      <c r="F269" s="1090" t="str">
        <f>INDEX('卡片raw data'!C:C,MATCH($D269,'卡片raw data'!$F:$F,))</f>
        <v>UR</v>
      </c>
      <c r="G269" s="1094" t="s">
        <v>31</v>
      </c>
      <c r="H269" s="411">
        <f>IFERROR(INDEX(绊状态确认!C:C,MATCH($G269,绊状态确认!$B:$B,)),"")</f>
        <v>8</v>
      </c>
      <c r="I269" s="450" t="str">
        <f>IFERROR(INDEX(绊状态确认!D:D,MATCH($G269,绊状态确认!$B:$B,)),"")</f>
        <v>缪</v>
      </c>
      <c r="J269" s="450" t="str">
        <f>IFERROR(INDEX(绊状态确认!E:E,MATCH($G269,绊状态确认!$B:$B,)),"")</f>
        <v>1年级</v>
      </c>
      <c r="K269" s="451" t="str">
        <f>IFERROR(INDEX(绊状态确认!F:F,MATCH($G269,绊状态确认!$B:$B,)),"")</f>
        <v>Printemps</v>
      </c>
      <c r="L269" s="1094" t="str">
        <f>INDEX('卡片raw data'!E:E,MATCH($D269,'卡片raw data'!$F:$F,))</f>
        <v>卡池卡</v>
      </c>
      <c r="M269" s="415">
        <v>44018</v>
      </c>
      <c r="N269" s="416">
        <v>19</v>
      </c>
      <c r="O269" s="1091" t="str">
        <f>INDEX('卡片raw data'!D:D,MATCH($D269,'卡片raw data'!$F:$F,))</f>
        <v>sp</v>
      </c>
      <c r="P269" s="417">
        <v>5</v>
      </c>
      <c r="Q269" s="1095">
        <f t="shared" si="343"/>
        <v>53305.208801485787</v>
      </c>
      <c r="R269" s="1096">
        <f t="shared" si="344"/>
        <v>0.61899999999999999</v>
      </c>
      <c r="S269" s="1097">
        <f t="shared" si="345"/>
        <v>23708.286768891106</v>
      </c>
      <c r="T269" s="1098">
        <f t="shared" si="346"/>
        <v>1.1850000000000001</v>
      </c>
      <c r="U269" s="1099">
        <f t="shared" si="347"/>
        <v>16.446974165142855</v>
      </c>
      <c r="V269" s="1100">
        <f t="shared" si="348"/>
        <v>52829.340848341177</v>
      </c>
      <c r="W269" s="1101">
        <f t="shared" si="349"/>
        <v>5733.9846558728223</v>
      </c>
      <c r="X269" s="1096">
        <f t="shared" si="350"/>
        <v>6.6000000000000003E-2</v>
      </c>
      <c r="Y269" s="1097">
        <f t="shared" si="351"/>
        <v>1324.1320468553886</v>
      </c>
      <c r="Z269" s="1102">
        <f t="shared" si="352"/>
        <v>16.446974165142855</v>
      </c>
      <c r="AA269" s="1103">
        <f t="shared" si="353"/>
        <v>7058.1167027282108</v>
      </c>
      <c r="AB269" s="1101">
        <f t="shared" si="354"/>
        <v>8031.0306657746423</v>
      </c>
      <c r="AC269" s="1104">
        <f t="shared" si="355"/>
        <v>9.2999999999999999E-2</v>
      </c>
      <c r="AD269" s="1105">
        <f t="shared" si="356"/>
        <v>-1.6087500000000001E-2</v>
      </c>
      <c r="AE269" s="1128">
        <f t="shared" si="357"/>
        <v>82.504910375605704</v>
      </c>
      <c r="AF269" s="1130">
        <f t="shared" si="358"/>
        <v>0</v>
      </c>
      <c r="AG269" s="420">
        <f t="shared" si="359"/>
        <v>0</v>
      </c>
      <c r="AH269" s="420">
        <f t="shared" si="360"/>
        <v>0</v>
      </c>
      <c r="AI269" s="1097">
        <f t="shared" si="361"/>
        <v>0</v>
      </c>
      <c r="AJ269" s="420">
        <f t="shared" si="362"/>
        <v>0</v>
      </c>
      <c r="AK269" s="518">
        <f t="shared" si="363"/>
        <v>0</v>
      </c>
      <c r="AL269" s="1106">
        <f>IF($P269="","N/A",(IF($P269=-1,INDEX('卡片raw data'!S:S,MATCH($D269,'卡片raw data'!$F:$F,)),0)+IF($P269=0,INDEX('卡片raw data'!V:V,MATCH($D269,'卡片raw data'!$F:$F,)),0)+IF($P269=1,INDEX('卡片raw data'!Y:Y,MATCH($D269,'卡片raw data'!$F:$F,)),0)+IF($P269=2,INDEX('卡片raw data'!AB:AB,MATCH($D269,'卡片raw data'!$F:$F,)),0)+IF($P269=3,INDEX('卡片raw data'!AE:AE,MATCH($D269,'卡片raw data'!$F:$F,)),0)+IF($P269=4,INDEX('卡片raw data'!AH:AH,MATCH($D269,'卡片raw data'!$F:$F,)),0)+IF($P269=5,INDEX('卡片raw data'!AK:AK,MATCH($D269,'卡片raw data'!$F:$F,)),0)+INDEX('卡片raw data'!S:S,MATCH($D269,'卡片raw data'!$F:$F,))*(IF($F269="UR",0.04,0.033))*(IF($F269="UR",INDEX(绊状态确认!$S:$S,MATCH($G269,绊状态确认!$B:$B,))/2-40)+IF($F269="SR",INDEX(绊状态确认!$R:$R,MATCH($G269,绊状态确认!$B:$B,))/4-15))+IF($F269="R",INDEX(绊状态确认!$Q:$Q,MATCH($G269,绊状态确认!$B:$B,))/6-40/6)))*(INDEX(绊状态确认!$H:$H,MATCH($G269,绊状态确认!$B:$B,))+INDEX(绊状态确认!J:J,MATCH($G269,绊状态确认!$B:$B,)))</f>
        <v>10919.440319999998</v>
      </c>
      <c r="AM269" s="1106">
        <f>IF($P269="","N/A",(IF($P269=-1,INDEX('卡片raw data'!T:T,MATCH($D269,'卡片raw data'!$F:$F,)),0)+IF($P269=0,INDEX('卡片raw data'!W:W,MATCH($D269,'卡片raw data'!$F:$F,)),0)+IF($P269=1,INDEX('卡片raw data'!Z:Z,MATCH($D269,'卡片raw data'!$F:$F,)),0)+IF($P269=2,INDEX('卡片raw data'!AC:AC,MATCH($D269,'卡片raw data'!$F:$F,)),0)+IF($P269=3,INDEX('卡片raw data'!AF:AF,MATCH($D269,'卡片raw data'!$F:$F,)),0)+IF($P269=4,INDEX('卡片raw data'!AI:AI,MATCH($D269,'卡片raw data'!$F:$F,)),0)+IF($P269=5,INDEX('卡片raw data'!AL:AL,MATCH($D269,'卡片raw data'!$F:$F,)),0)+INDEX('卡片raw data'!T:T,MATCH($D269,'卡片raw data'!$F:$F,))*(IF($F269="UR",0.04,0.033))*(IF($F269="UR",INDEX(绊状态确认!$S:$S,MATCH($G269,绊状态确认!$B:$B,))/2-40)+IF($F269="SR",INDEX(绊状态确认!$R:$R,MATCH($G269,绊状态确认!$B:$B,))/4-15))+IF($F269="R",INDEX(绊状态确认!$Q:$Q,MATCH($G269,绊状态确认!$B:$B,))/6-40/6)))*(INDEX(绊状态确认!$H:$H,MATCH($G269,绊状态确认!$B:$B,))+INDEX(绊状态确认!K:K,MATCH($G269,绊状态确认!$B:$B,)))</f>
        <v>9264.8419199999989</v>
      </c>
      <c r="AN269" s="1106">
        <f>IF($P269="","N/A",(IF($P269=-1,INDEX('卡片raw data'!U:U,MATCH($D269,'卡片raw data'!$F:$F,)),0)+IF($P269=0,INDEX('卡片raw data'!X:X,MATCH($D269,'卡片raw data'!$F:$F,)),0)+IF($P269=1,INDEX('卡片raw data'!AA:AA,MATCH($D269,'卡片raw data'!$F:$F,)),0)+IF($P269=2,INDEX('卡片raw data'!AD:AD,MATCH($D269,'卡片raw data'!$F:$F,)),0)+IF($P269=3,INDEX('卡片raw data'!AG:AG,MATCH($D269,'卡片raw data'!$F:$F,)),0)+IF($P269=4,INDEX('卡片raw data'!AJ:AJ,MATCH($D269,'卡片raw data'!$F:$F,)),0)+IF($P269=5,INDEX('卡片raw data'!AM:AM,MATCH($D269,'卡片raw data'!$F:$F,)),0)+INDEX('卡片raw data'!U:U,MATCH($D269,'卡片raw data'!$F:$F,))*(IF($F269="UR",0.04,0.033))*(IF($F269="UR",INDEX(绊状态确认!$S:$S,MATCH($G269,绊状态确认!$B:$B,))/2-40)+IF($F269="SR",INDEX(绊状态确认!$R:$R,MATCH($G269,绊状态确认!$B:$B,))/4-15))+IF($F269="R",INDEX(绊状态确认!$Q:$Q,MATCH($G269,绊状态确认!$B:$B,))/6-40/6)))*(INDEX(绊状态确认!$H:$H,MATCH($G269,绊状态确认!$B:$B,))+INDEX(绊状态确认!L:L,MATCH($G269,绊状态确认!$B:$B,)))</f>
        <v>12905.412959999998</v>
      </c>
      <c r="AO269" s="1107">
        <f t="shared" si="364"/>
        <v>1</v>
      </c>
      <c r="AP269" s="1131">
        <f>1+(INDEX(绊状态确认!$T:$T,MATCH($G269,绊状态确认!$B:$B,))+0.2)*$AO269</f>
        <v>1.3</v>
      </c>
      <c r="AQ269" s="1108">
        <f t="shared" si="365"/>
        <v>31913.530839999992</v>
      </c>
      <c r="AR269" s="1097">
        <f>(AM269*(1+$EX$9)+$EX$35)*(1+(INDEX(绊状态确认!$T:$T,MATCH($G269,绊状态确认!$B:$B,))+0.2)*AO269)*IF(J269=$FF$17,1+$FE$17,1)*IF(I269=$FF$14,1+$FE$14,1)*(1+$FE$15)</f>
        <v>15350.509220799999</v>
      </c>
      <c r="AS269" s="1097">
        <f>(AN269*(1+$EX$10)+$EX$36)*(1+(INDEX(绊状态确认!$T:$T,MATCH($G269,绊状态确认!$B:$B,))+0.2)*AO269)*IF(J269=$FF$17,1+$FE$17,1)*IF(I269=$FF$14,1+$FE$14,1)*(1+$FE$15)</f>
        <v>23349.592375199994</v>
      </c>
      <c r="AT269" s="1093">
        <f>IF(AND(INDEX('卡片raw data'!AK:AK,MATCH($D269,'卡片raw data'!$F:$F,))&lt;INDEX('卡片raw data'!AM:AM,MATCH($D269,'卡片raw data'!$F:$F,)),INDEX('卡片raw data'!AL:AL,MATCH($D269,'卡片raw data'!$F:$F,))&lt;INDEX('卡片raw data'!AM:AM,MATCH($D269,'卡片raw data'!$F:$F,))),1,0)</f>
        <v>1</v>
      </c>
      <c r="AU269" s="1098">
        <f>MIN(AT269*0.15+AS269*0.00003+INDEX(绊状态确认!M:M,MATCH($G269,绊状态确认!$B:$B,)),1)</f>
        <v>0.88048777125599986</v>
      </c>
      <c r="AV269" s="1109">
        <f>(INDEX(绊状态确认!$N:$N,MATCH($G269,绊状态确认!$B:$B,))+1.5)*$EW$21</f>
        <v>2.6599999999999997</v>
      </c>
      <c r="AW269" s="1101">
        <f t="shared" si="366"/>
        <v>40799.178135711139</v>
      </c>
      <c r="AX269" s="1097">
        <f t="shared" si="367"/>
        <v>1324.1320468553886</v>
      </c>
      <c r="AY269" s="1110">
        <f t="shared" si="368"/>
        <v>42123.310182566529</v>
      </c>
      <c r="AZ269" s="429">
        <f t="shared" si="369"/>
        <v>23892.908623999996</v>
      </c>
      <c r="BA269" s="431">
        <f t="shared" si="370"/>
        <v>28671.490348799995</v>
      </c>
      <c r="BB269" s="1097">
        <f>(AM269*(1+$FB$9)+$FB$35)*(1+(INDEX(绊状态确认!$T:$T,MATCH($G269,绊状态确认!$B:$B,))+0.2)*AO269)*IF(J269=$FF$17,1+$FE$17,1)*IF(I269=$FF$14,1+$FE$14,1)*(1+$FE$15)</f>
        <v>15350.509220799999</v>
      </c>
      <c r="BC269" s="1097">
        <f>(AN269*(1+$FB$10)+$FB$36)*(1+(INDEX(绊状态确认!$T:$T,MATCH($G269,绊状态确认!$B:$B,))+0.2)*AO269)*IF(J269=$FF$17,1+$FE$17,1)*IF(I269=$FF$14,1+$FE$14,1)*(1+$FE$15)</f>
        <v>23349.592375199994</v>
      </c>
      <c r="BD269" s="1104">
        <f>MIN(AT269*0.15+BC269*0.00003+INDEX(绊状态确认!M:M,MATCH($G269,绊状态确认!$B:$B,)),1)</f>
        <v>0.88048777125599986</v>
      </c>
      <c r="BE269" s="432">
        <f>(INDEX(绊状态确认!$N:$N,MATCH($G269,绊状态确认!$B:$B,))+1.5)</f>
        <v>1.9</v>
      </c>
      <c r="BF269" s="1139">
        <f t="array" ref="BF269">SUMPRODUCT(IF(AZ269*AP269*$FI$16:$FI$23*$FA$22&gt;=$FI$24,$FI$24,AZ269*AP269*$FI$16:$FI$23*$FA$22),$FJ$16:$FJ$23)</f>
        <v>47522.995253135996</v>
      </c>
      <c r="BG269" s="1125">
        <f t="array" ref="BG269">SUMPRODUCT(IF(BE269*AZ269*AP269*$FI$16:$FI$23*$FA$22&gt;=$FI$24,$FI$24,BE269*AZ269*AP269*$FI$16:$FI$23*$FA$22),$FJ$16:$FJ$23)</f>
        <v>60000</v>
      </c>
      <c r="BH269" s="1110">
        <f t="shared" si="371"/>
        <v>19502.948451550939</v>
      </c>
      <c r="BI269" s="1111">
        <f>IF(O269="vo",$EW$26/$EW$24*0.05,0)+IF(O269="sk",-$EW$26/$EW$24*(0.05-INDEX(绊状态确认!W:W,MATCH($G269,绊状态确认!$B:$B,)))+0.05*$EW$28,0)+IF(O269="sp",0.05*$EW$32*$EW$30*(1-$EW$33)-(0.05-INDEX(绊状态确认!V:V,MATCH($G269,绊状态确认!$B:$B,)))*$EW$28,0)+IF(O269="gd",-(0.05-INDEX(绊状态确认!X:X,MATCH($G269,绊状态确认!$B:$B,)))*$EW$32*$EW$30*(1-$EW$33),0)</f>
        <v>19.999999999999886</v>
      </c>
      <c r="BJ269" s="1097">
        <f>IF(O269="vo",0.05*(1-$FI$26)*$FA$24,0)+IF(O269="sk",-(0.05-INDEX(绊状态确认!W:W,MATCH($G269,绊状态确认!$B:$B,)))*(1-$FI$26)*$FA$24+0.05*$FA$26,0)+IF(O269="sp",0.05*$FA$32*$FA$27*(1-$FA$33)/$FA$30+0.05*$FA$29/$FA$69*$FA$27*(1-$FA$33)-(0.05-INDEX(绊状态确认!V:V,MATCH($G269,绊状态确认!$B:$B,)))*$FA$26,0)+IF(O269="gd",-(0.05-INDEX(绊状态确认!X:X,MATCH($G269,绊状态确认!$B:$B,)))*$FA$32*$FA$27*(1-$FA$33)/$FA$30-(0.05-INDEX(绊状态确认!X:X,MATCH($G269,绊状态确认!$B:$B,)))*$FA$29/$FA$69*$FA$27*(1-$FA$33),0)</f>
        <v>545.83333333333326</v>
      </c>
      <c r="BK269" s="1110">
        <f>IF(O269="vo",$EW$26/$EW$24*0.05+$EW$26*(-HP($EW$62,$EW$65,$EW$64)+HP($EW$62,$EW$65,(1.05-INDEX(绊状态确认!U:U,MATCH($G269,绊状态确认!$B:$B,)))*$EW$64)),0)+IF(O269="sk",-$EW$26/$EW$24*(0.05-INDEX(绊状态确认!W:W,MATCH($G269,绊状态确认!$B:$B,)))+0.05*$EW$29,0)+IF(O269="sp",0.05*$EW$32*$EW$30*(1-$EW$33)-(0.05-INDEX(绊状态确认!V:V,MATCH($G269,绊状态确认!$B:$B,)))*$EW$29,0)+IF(O269="gd",-(0.05-INDEX(绊状态确认!X:X,MATCH($G269,绊状态确认!$B:$B,)))*$EW$32*$EW$30*(1-$EW$33)+$EW$26*(-HP($EW$62,$EW$65,$EW$64)+HP($EW$62,$EW$65,0.95*$EW$64)),0)</f>
        <v>-1780.0000000000005</v>
      </c>
      <c r="BL269" s="1111">
        <f t="shared" si="372"/>
        <v>0</v>
      </c>
      <c r="BM269" s="1110">
        <f t="shared" si="373"/>
        <v>0</v>
      </c>
      <c r="BN269" s="1113">
        <f t="shared" si="374"/>
        <v>3</v>
      </c>
      <c r="BO269" s="1097">
        <f t="shared" si="375"/>
        <v>4507.7214871259994</v>
      </c>
      <c r="BP269" s="1100">
        <f t="shared" si="376"/>
        <v>221.34103209030098</v>
      </c>
      <c r="BQ269" s="1113" t="s">
        <v>664</v>
      </c>
      <c r="BR269" s="1124" t="s">
        <v>171</v>
      </c>
      <c r="BS269" s="1098">
        <f>IF($P269="","N/A",IF($P269=-1,INDEX('卡片raw data'!AX:AX,MATCH($D269,'卡片raw data'!$F:$F,)),0)+IF($L269="party卡",IF($P269=5,INDEX('卡片raw data'!BD:BD,MATCH($D269,'卡片raw data'!$F:$F,)),IF($P269&gt;=3,INDEX('卡片raw data'!BC:BC,MATCH($D269,'卡片raw data'!$F:$F,)),INDEX('卡片raw data'!BB:BB,MATCH($D269,'卡片raw data'!$F:$F,)))),IF(OR(AND($F269="UR",$P269=0),AND($F269="SR",$P269&gt;=0,$P269&lt;=2),AND($F269="R",$P269&gt;=0,$P269&lt;4)),INDEX('卡片raw data'!AZ:AZ,MATCH($D269,'卡片raw data'!$F:$F,)),0)+IF(OR(AND($F269="UR",$P269&gt;=1,$P269&lt;=4),AND($F269="SR",$P269&lt;=4,$P269&gt;=3),AND($F269="R",$P269=4)),INDEX('卡片raw data'!BA:BA,MATCH($D269,'卡片raw data'!$F:$F,)),0)+IF($P269=5,INDEX('卡片raw data'!BB:BB,MATCH($D269,'卡片raw data'!$F:$F,)),0)))</f>
        <v>5.1999999999999998E-2</v>
      </c>
      <c r="BT269" s="1101">
        <f t="shared" si="377"/>
        <v>2452.5263374936467</v>
      </c>
      <c r="BU269" s="1097">
        <f t="shared" si="378"/>
        <v>155.22419036436909</v>
      </c>
      <c r="BV269" s="1097">
        <f t="shared" si="379"/>
        <v>1226.2631687468233</v>
      </c>
      <c r="BW269" s="1112">
        <f t="shared" si="380"/>
        <v>0</v>
      </c>
      <c r="BX269" s="1100">
        <f t="shared" si="381"/>
        <v>2452.5263374936467</v>
      </c>
      <c r="BY269" s="1110">
        <f t="shared" si="382"/>
        <v>1226.2631687468233</v>
      </c>
      <c r="BZ269" s="1107" t="s">
        <v>569</v>
      </c>
      <c r="CA269" s="1124"/>
      <c r="CB269" s="1098">
        <f>IF($P269="","N/A",IF($P269=-1,INDEX('卡片raw data'!BE:BE,MATCH($D269,'卡片raw data'!$F:$F,)),0)+IF($L269="party卡",IF($P269=5,INDEX('卡片raw data'!BK:BK,MATCH($D269,'卡片raw data'!$F:$F,)),IF($P269&gt;=3,INDEX('卡片raw data'!BJ:BJ,MATCH($D269,'卡片raw data'!$F:$F,)),INDEX('卡片raw data'!BI:BI,MATCH($D269,'卡片raw data'!$F:$F,)))),IF(OR(AND($F269="UR",$P269=0),AND($F269="SR",$P269&gt;=0,$P269&lt;=2),AND($F269="R",$P269&gt;=0,$P269&lt;4)),INDEX('卡片raw data'!BG:BG,MATCH($D269,'卡片raw data'!$F:$F,)),0)+IF(OR(AND($F269="UR",$P269&gt;=1,$P269&lt;=4),AND($F269="SR",$P269&lt;=4,$P269&gt;=3),AND($F269="R",$P269=4)),INDEX('卡片raw data'!BH:BH,MATCH($D269,'卡片raw data'!$F:$F,)),0)+IF($P269=5,INDEX('卡片raw data'!BI:BI,MATCH($D269,'卡片raw data'!$F:$F,)),0)))</f>
        <v>0</v>
      </c>
      <c r="CC269" s="1101">
        <f t="shared" si="383"/>
        <v>0</v>
      </c>
      <c r="CD269" s="1097">
        <f>IF(BZ269="ap",CB269*(1-$FI$26)*$FB$5/$FB$11*(+IF(CA269="全员",$FA$24,0)+IF(CA269="同作战",$FA$24,0)+IF(CA269="仲间",$FA$24*2/3,0)+IF(CA269="同属性",$FA$24*$FA$37/3,0)+IF(CA269="同年级",$FA$24*$FA$40/3,0)+IF(CA269="同学校",$FA$24*$FA$43/3,0)+IF(CA269="同小队",$FA$24*$FA$46/3,0)+IF(CA269="同type",$FA$24*INDEX($FB$49:$FB$52,MATCH(X269,$FA$49:$FA$52,))/3,0)+IF(CA269="自身",#REF!/3,0)),0)+IF(BZ269="te",CB269*(1-$FI$27)*($FA$20-1)*$FB$7/$FB$13*(+IF(CA269="全员",$FA$19*$FA$24/(1+($FA$20-1)*$FA$19),0)+IF(CA269="同作战",$FA$19*$FA$24/(1+($FA$20-1)*$FA$19),0)+IF(CA269="仲间",$FA$19*$FA$24*2/3/(1+($FA$20-1)*$FA$19),0)+IF(CA269="同属性",$FA$19*$FA$24*$FA$37/3/(1+($FA$20-1)*$FA$19),0)+IF(CA269="同年级",$FA$19*$FA$24*$FA$40/3/(1+($FA$20-1)*$FA$19),0)+IF(CA269="同学校",$FA$19*$FA$24*$FA$43/3/(1+($FA$20-1)*$FA$19),0)+IF(CA269="同小队",$FA$19*$FA$24*$FA$46/3/(1+($FA$20-1)*$FA$19),0)+IF(CA269="同type",$FA$19*$FA$24*INDEX($FB$49:$FB$52,MATCH(X269,$FA$49:$FA$52,))/3/(1+($FA$20-1)*$FA$19),0)+IF(CA269="自身",$FA$19*#REF!/3/(1+(BH269-1)*$BD269),0)),0)</f>
        <v>0</v>
      </c>
      <c r="CE269" s="1097">
        <f t="shared" si="384"/>
        <v>0</v>
      </c>
      <c r="CF269" s="1112">
        <f t="shared" si="385"/>
        <v>0</v>
      </c>
      <c r="CG269" s="1100">
        <f t="shared" si="386"/>
        <v>0</v>
      </c>
      <c r="CH269" s="1110">
        <f t="shared" si="387"/>
        <v>0</v>
      </c>
      <c r="CI269" s="1113" t="s">
        <v>173</v>
      </c>
      <c r="CJ269" s="1114">
        <v>0.25</v>
      </c>
      <c r="CK269" s="1115" t="s">
        <v>156</v>
      </c>
      <c r="CL269" s="1115" t="s">
        <v>1941</v>
      </c>
      <c r="CM269" s="1119">
        <v>0.01</v>
      </c>
      <c r="CN269" s="1115"/>
      <c r="CO269" s="1092"/>
      <c r="CP269" s="1116">
        <f t="shared" si="388"/>
        <v>17.132525458479943</v>
      </c>
      <c r="CQ269" s="1116">
        <f t="shared" si="389"/>
        <v>19.702404277251933</v>
      </c>
      <c r="CR269" s="1116">
        <f t="shared" si="390"/>
        <v>0</v>
      </c>
      <c r="CS269" s="1118">
        <f t="shared" si="391"/>
        <v>0</v>
      </c>
      <c r="CT269" s="1109">
        <f t="shared" si="392"/>
        <v>11.243219832127462</v>
      </c>
      <c r="CU269" s="1101">
        <f t="shared" si="393"/>
        <v>1070.7828411549965</v>
      </c>
      <c r="CV269" s="1108">
        <f t="shared" si="394"/>
        <v>820.93351155216385</v>
      </c>
      <c r="CW269" s="1097">
        <f t="shared" si="395"/>
        <v>0</v>
      </c>
      <c r="CX269" s="1097">
        <f t="shared" si="396"/>
        <v>1070.7828411549965</v>
      </c>
      <c r="CY269" s="1110">
        <f t="shared" si="397"/>
        <v>0</v>
      </c>
      <c r="CZ269" s="437"/>
      <c r="DA269" s="438"/>
      <c r="DB269" s="439" t="s">
        <v>569</v>
      </c>
      <c r="DC269" s="439"/>
      <c r="DD269" s="443"/>
      <c r="DE269" s="411"/>
      <c r="DF269" s="411"/>
      <c r="DG269" s="1116">
        <f t="shared" si="398"/>
        <v>0</v>
      </c>
      <c r="DH269" s="1116">
        <f t="shared" si="399"/>
        <v>0</v>
      </c>
      <c r="DI269" s="1116">
        <f t="shared" si="400"/>
        <v>0</v>
      </c>
      <c r="DJ269" s="442">
        <f t="shared" si="401"/>
        <v>0</v>
      </c>
      <c r="DK269" s="1109">
        <f t="shared" si="402"/>
        <v>0</v>
      </c>
      <c r="DL269" s="1101">
        <f t="shared" si="403"/>
        <v>0</v>
      </c>
      <c r="DM269" s="1097">
        <f t="shared" si="404"/>
        <v>0</v>
      </c>
      <c r="DN269" s="1097">
        <f t="shared" si="405"/>
        <v>0</v>
      </c>
      <c r="DO269" s="1097">
        <f t="shared" si="406"/>
        <v>0</v>
      </c>
      <c r="DP269" s="1110">
        <f t="shared" si="407"/>
        <v>0</v>
      </c>
      <c r="DQ269" s="1113" t="s">
        <v>156</v>
      </c>
      <c r="DR269" s="1120">
        <f t="shared" si="408"/>
        <v>0.33</v>
      </c>
      <c r="DS269" s="1124"/>
      <c r="DT269" s="1093" t="s">
        <v>179</v>
      </c>
      <c r="DU269" s="1093"/>
      <c r="DV269" s="1098">
        <f>IF($P269="","N/A",IF(P269=-1,INDEX('卡片raw data'!AN:AN,MATCH(D269,'卡片raw data'!$F:$F,)),0)+IF(AND(L269&lt;&gt;"party卡",P269&lt;=2,P269&gt;=0),INDEX('卡片raw data'!AP:AP,MATCH(D269,'卡片raw data'!$F:$F,)),0)+IF(OR(AND(L269="party卡",P269&lt;=1),AND(P269&lt;=4,L269&lt;&gt;"party卡",P269&gt;=3)),INDEX('卡片raw data'!AQ:AQ,MATCH(D269,'卡片raw data'!$F:$F,)),0)+IF(OR(P269=5,AND(L269="party卡",P269&gt;=2)),INDEX('卡片raw data'!AR:AR,MATCH(D269,'卡片raw data'!$F:$F,)),0))</f>
        <v>0.09</v>
      </c>
      <c r="DW269" s="1098">
        <f t="shared" si="409"/>
        <v>0.33</v>
      </c>
      <c r="DX269" s="1098">
        <f t="shared" si="410"/>
        <v>0.33</v>
      </c>
      <c r="DY269" s="1098">
        <f t="shared" si="411"/>
        <v>9.9000000000000008E-3</v>
      </c>
      <c r="DZ269" s="1098">
        <f t="shared" si="412"/>
        <v>9.8480249999999998E-3</v>
      </c>
      <c r="EA269" s="1098">
        <f t="shared" si="413"/>
        <v>0</v>
      </c>
      <c r="EB269" s="1121">
        <f t="shared" si="414"/>
        <v>60.337777499999987</v>
      </c>
      <c r="EC269" s="1101">
        <f t="shared" si="415"/>
        <v>4455</v>
      </c>
      <c r="ED269" s="1097">
        <f t="shared" si="416"/>
        <v>2462.0062499999999</v>
      </c>
      <c r="EE269" s="1110">
        <f t="shared" si="417"/>
        <v>4455</v>
      </c>
      <c r="EF269" s="1092" t="s">
        <v>711</v>
      </c>
      <c r="EG269" s="1120">
        <f t="shared" si="418"/>
        <v>0.33</v>
      </c>
      <c r="EH269" s="1124"/>
      <c r="EI269" s="1093"/>
      <c r="EJ269" s="1093"/>
      <c r="EK269" s="1097">
        <f>IF($P269="","N/A",IF(P269=-1,INDEX('卡片raw data'!AS:AS,MATCH(D269,'卡片raw data'!$F:$F,)),0)+IF(AND(L269&lt;&gt;"party卡",P269&lt;=2,P269&gt;=0),INDEX('卡片raw data'!AU:AU,MATCH(D269,'卡片raw data'!$F:$F,)),0)+IF(OR(AND(L269="party卡",P269&lt;=1),AND(P269&lt;=4,L269&lt;&gt;"party卡",P269&gt;=3)),INDEX('卡片raw data'!AV:AV,MATCH(D269,'卡片raw data'!$F:$F,)),0)+IF(OR(P269=5,AND(L269="party卡",P269&gt;=2)),INDEX('卡片raw data'!AW:AW,MATCH(D269,'卡片raw data'!$F:$F,)),0))</f>
        <v>0</v>
      </c>
      <c r="EL269" s="1098">
        <f t="shared" si="419"/>
        <v>0.33</v>
      </c>
      <c r="EM269" s="1098">
        <f t="shared" si="420"/>
        <v>0.33</v>
      </c>
      <c r="EN269" s="1125">
        <f t="shared" si="421"/>
        <v>0</v>
      </c>
      <c r="EO269" s="1125">
        <f t="shared" si="422"/>
        <v>0</v>
      </c>
      <c r="EP269" s="1098">
        <f t="shared" si="423"/>
        <v>0</v>
      </c>
      <c r="EQ269" s="1121">
        <f t="shared" si="424"/>
        <v>0</v>
      </c>
      <c r="ER269" s="1101">
        <f t="shared" si="425"/>
        <v>0</v>
      </c>
      <c r="ES269" s="1097">
        <f t="shared" si="426"/>
        <v>0</v>
      </c>
      <c r="ET269" s="1122">
        <f t="shared" si="427"/>
        <v>0</v>
      </c>
    </row>
    <row r="270" spans="2:150" ht="16.5" customHeight="1">
      <c r="B270" s="1123" t="str">
        <f>INDEX('卡片raw data'!B:B,MATCH($D270,'卡片raw data'!$F:$F,))</f>
        <v>二单南</v>
      </c>
      <c r="C270" s="449" t="s">
        <v>657</v>
      </c>
      <c r="D270" s="408">
        <v>267</v>
      </c>
      <c r="E270" s="1090">
        <v>401032003</v>
      </c>
      <c r="F270" s="1090" t="str">
        <f>INDEX('卡片raw data'!C:C,MATCH($D270,'卡片raw data'!$F:$F,))</f>
        <v>SR</v>
      </c>
      <c r="G270" s="1094" t="s">
        <v>661</v>
      </c>
      <c r="H270" s="411">
        <f>IFERROR(INDEX(绊状态确认!C:C,MATCH($G270,绊状态确认!$B:$B,)),"")</f>
        <v>103</v>
      </c>
      <c r="I270" s="450" t="str">
        <f>IFERROR(INDEX(绊状态确认!D:D,MATCH($G270,绊状态确认!$B:$B,)),"")</f>
        <v>水</v>
      </c>
      <c r="J270" s="450" t="str">
        <f>IFERROR(INDEX(绊状态确认!E:E,MATCH($G270,绊状态确认!$B:$B,)),"")</f>
        <v>3年级</v>
      </c>
      <c r="K270" s="451" t="str">
        <f>IFERROR(INDEX(绊状态确认!F:F,MATCH($G270,绊状态确认!$B:$B,)),"")</f>
        <v>AZALEA</v>
      </c>
      <c r="L270" s="1094" t="str">
        <f>INDEX('卡片raw data'!E:E,MATCH($D270,'卡片raw data'!$F:$F,))</f>
        <v>卡池卡</v>
      </c>
      <c r="M270" s="415">
        <v>44018</v>
      </c>
      <c r="N270" s="416">
        <v>19</v>
      </c>
      <c r="O270" s="1091" t="str">
        <f>INDEX('卡片raw data'!D:D,MATCH($D270,'卡片raw data'!$F:$F,))</f>
        <v>sk</v>
      </c>
      <c r="P270" s="417">
        <v>5</v>
      </c>
      <c r="Q270" s="1095">
        <f t="shared" si="343"/>
        <v>26605.032550903928</v>
      </c>
      <c r="R270" s="1096">
        <f t="shared" si="344"/>
        <v>0.309</v>
      </c>
      <c r="S270" s="1097">
        <f t="shared" si="345"/>
        <v>16139.968406751424</v>
      </c>
      <c r="T270" s="1098">
        <f t="shared" si="346"/>
        <v>0.80600000000000005</v>
      </c>
      <c r="U270" s="1099">
        <f t="shared" si="347"/>
        <v>10.328110470042857</v>
      </c>
      <c r="V270" s="1100">
        <f t="shared" si="348"/>
        <v>29426.149643800731</v>
      </c>
      <c r="W270" s="1101">
        <f t="shared" si="349"/>
        <v>4507.7214871259994</v>
      </c>
      <c r="X270" s="1096">
        <f t="shared" si="350"/>
        <v>5.1999999999999998E-2</v>
      </c>
      <c r="Y270" s="1097">
        <f t="shared" si="351"/>
        <v>821.1170928968013</v>
      </c>
      <c r="Z270" s="1102">
        <f t="shared" si="352"/>
        <v>10.328110470042857</v>
      </c>
      <c r="AA270" s="1103">
        <f t="shared" si="353"/>
        <v>5328.8385800228007</v>
      </c>
      <c r="AB270" s="1101">
        <f t="shared" si="354"/>
        <v>5121.1818737505982</v>
      </c>
      <c r="AC270" s="1104">
        <f t="shared" si="355"/>
        <v>5.8999999999999997E-2</v>
      </c>
      <c r="AD270" s="1105">
        <f t="shared" si="356"/>
        <v>1.8994224431818179E-2</v>
      </c>
      <c r="AE270" s="1128">
        <f t="shared" si="357"/>
        <v>5.1894441018184878</v>
      </c>
      <c r="AF270" s="1130">
        <f t="shared" si="358"/>
        <v>0</v>
      </c>
      <c r="AG270" s="420">
        <f t="shared" si="359"/>
        <v>0</v>
      </c>
      <c r="AH270" s="420">
        <f t="shared" si="360"/>
        <v>0</v>
      </c>
      <c r="AI270" s="1097">
        <f t="shared" si="361"/>
        <v>0</v>
      </c>
      <c r="AJ270" s="420">
        <f t="shared" si="362"/>
        <v>0</v>
      </c>
      <c r="AK270" s="518">
        <f t="shared" si="363"/>
        <v>0</v>
      </c>
      <c r="AL270" s="1106">
        <f>IF($P270="","N/A",(IF($P270=-1,INDEX('卡片raw data'!S:S,MATCH($D270,'卡片raw data'!$F:$F,)),0)+IF($P270=0,INDEX('卡片raw data'!V:V,MATCH($D270,'卡片raw data'!$F:$F,)),0)+IF($P270=1,INDEX('卡片raw data'!Y:Y,MATCH($D270,'卡片raw data'!$F:$F,)),0)+IF($P270=2,INDEX('卡片raw data'!AB:AB,MATCH($D270,'卡片raw data'!$F:$F,)),0)+IF($P270=3,INDEX('卡片raw data'!AE:AE,MATCH($D270,'卡片raw data'!$F:$F,)),0)+IF($P270=4,INDEX('卡片raw data'!AH:AH,MATCH($D270,'卡片raw data'!$F:$F,)),0)+IF($P270=5,INDEX('卡片raw data'!AK:AK,MATCH($D270,'卡片raw data'!$F:$F,)),0)+INDEX('卡片raw data'!S:S,MATCH($D270,'卡片raw data'!$F:$F,))*(IF($F270="UR",0.04,0.033))*(IF($F270="UR",INDEX(绊状态确认!$S:$S,MATCH($G270,绊状态确认!$B:$B,))/2-40)+IF($F270="SR",INDEX(绊状态确认!$R:$R,MATCH($G270,绊状态确认!$B:$B,))/4-15))+IF($F270="R",INDEX(绊状态确认!$Q:$Q,MATCH($G270,绊状态确认!$B:$B,))/6-40/6)))*(INDEX(绊状态确认!$H:$H,MATCH($G270,绊状态确认!$B:$B,))+INDEX(绊状态确认!J:J,MATCH($G270,绊状态确认!$B:$B,)))</f>
        <v>6907.9074095999995</v>
      </c>
      <c r="AM270" s="1106">
        <f>IF($P270="","N/A",(IF($P270=-1,INDEX('卡片raw data'!T:T,MATCH($D270,'卡片raw data'!$F:$F,)),0)+IF($P270=0,INDEX('卡片raw data'!W:W,MATCH($D270,'卡片raw data'!$F:$F,)),0)+IF($P270=1,INDEX('卡片raw data'!Z:Z,MATCH($D270,'卡片raw data'!$F:$F,)),0)+IF($P270=2,INDEX('卡片raw data'!AC:AC,MATCH($D270,'卡片raw data'!$F:$F,)),0)+IF($P270=3,INDEX('卡片raw data'!AF:AF,MATCH($D270,'卡片raw data'!$F:$F,)),0)+IF($P270=4,INDEX('卡片raw data'!AI:AI,MATCH($D270,'卡片raw data'!$F:$F,)),0)+IF($P270=5,INDEX('卡片raw data'!AL:AL,MATCH($D270,'卡片raw data'!$F:$F,)),0)+INDEX('卡片raw data'!T:T,MATCH($D270,'卡片raw data'!$F:$F,))*(IF($F270="UR",0.04,0.033))*(IF($F270="UR",INDEX(绊状态确认!$S:$S,MATCH($G270,绊状态确认!$B:$B,))/2-40)+IF($F270="SR",INDEX(绊状态确认!$R:$R,MATCH($G270,绊状态确认!$B:$B,))/4-15))+IF($F270="R",INDEX(绊状态确认!$Q:$Q,MATCH($G270,绊状态确认!$B:$B,))/6-40/6)))*(INDEX(绊状态确认!$H:$H,MATCH($G270,绊状态确认!$B:$B,))+INDEX(绊状态确认!K:K,MATCH($G270,绊状态确认!$B:$B,)))</f>
        <v>5081.0034959999994</v>
      </c>
      <c r="AN270" s="1106">
        <f>IF($P270="","N/A",(IF($P270=-1,INDEX('卡片raw data'!U:U,MATCH($D270,'卡片raw data'!$F:$F,)),0)+IF($P270=0,INDEX('卡片raw data'!X:X,MATCH($D270,'卡片raw data'!$F:$F,)),0)+IF($P270=1,INDEX('卡片raw data'!AA:AA,MATCH($D270,'卡片raw data'!$F:$F,)),0)+IF($P270=2,INDEX('卡片raw data'!AD:AD,MATCH($D270,'卡片raw data'!$F:$F,)),0)+IF($P270=3,INDEX('卡片raw data'!AG:AG,MATCH($D270,'卡片raw data'!$F:$F,)),0)+IF($P270=4,INDEX('卡片raw data'!AJ:AJ,MATCH($D270,'卡片raw data'!$F:$F,)),0)+IF($P270=5,INDEX('卡片raw data'!AM:AM,MATCH($D270,'卡片raw data'!$F:$F,)),0)+INDEX('卡片raw data'!U:U,MATCH($D270,'卡片raw data'!$F:$F,))*(IF($F270="UR",0.04,0.033))*(IF($F270="UR",INDEX(绊状态确认!$S:$S,MATCH($G270,绊状态确认!$B:$B,))/2-40)+IF($F270="SR",INDEX(绊状态确认!$R:$R,MATCH($G270,绊状态确认!$B:$B,))/4-15))+IF($F270="R",INDEX(绊状态确认!$Q:$Q,MATCH($G270,绊状态确认!$B:$B,))/6-40/6)))*(INDEX(绊状态确认!$H:$H,MATCH($G270,绊状态确认!$B:$B,))+INDEX(绊状态确认!L:L,MATCH($G270,绊状态确认!$B:$B,)))</f>
        <v>8330.4824759999992</v>
      </c>
      <c r="AO270" s="1107">
        <f t="shared" si="364"/>
        <v>1</v>
      </c>
      <c r="AP270" s="1131">
        <f>1+(INDEX(绊状态确认!$T:$T,MATCH($G270,绊状态确认!$B:$B,))+0.2)*$AO270</f>
        <v>1.3</v>
      </c>
      <c r="AQ270" s="1108">
        <f t="shared" si="365"/>
        <v>21383.256950200004</v>
      </c>
      <c r="AR270" s="1097">
        <f>(AM270*(1+$EX$9)+$EX$35)*(1+(INDEX(绊状态确认!$T:$T,MATCH($G270,绊状态确认!$B:$B,))+0.2)*AO270)*IF(J270=$FF$17,1+$FE$17,1)*IF(I270=$FF$14,1+$FE$14,1)</f>
        <v>9639.5697720400003</v>
      </c>
      <c r="AS270" s="1097">
        <f>(AN270*(1+$EX$10)+$EX$36)*(1+(INDEX(绊状态确认!$T:$T,MATCH($G270,绊状态确认!$B:$B,))+0.2)*AO270)*IF(J270=$FF$17,1+$FE$17,1)*IF(I270=$FF$14,1+$FE$14,1)</f>
        <v>16510.071301619999</v>
      </c>
      <c r="AT270" s="1093">
        <f>IF(AND(INDEX('卡片raw data'!AK:AK,MATCH($D270,'卡片raw data'!$F:$F,))&lt;INDEX('卡片raw data'!AM:AM,MATCH($D270,'卡片raw data'!$F:$F,)),INDEX('卡片raw data'!AL:AL,MATCH($D270,'卡片raw data'!$F:$F,))&lt;INDEX('卡片raw data'!AM:AM,MATCH($D270,'卡片raw data'!$F:$F,))),1,0)</f>
        <v>1</v>
      </c>
      <c r="AU270" s="1098">
        <f>MIN(AT270*0.15+AS270*0.00003+INDEX(绊状态确认!M:M,MATCH($G270,绊状态确认!$B:$B,)),1)</f>
        <v>0.67530213904860004</v>
      </c>
      <c r="AV270" s="1109">
        <f>(INDEX(绊状态确认!$N:$N,MATCH($G270,绊状态确认!$B:$B,))+1.5)*$EW$21</f>
        <v>2.6599999999999997</v>
      </c>
      <c r="AW270" s="1101">
        <f t="shared" si="366"/>
        <v>23554.408602546973</v>
      </c>
      <c r="AX270" s="1097">
        <f t="shared" si="367"/>
        <v>821.11709289680175</v>
      </c>
      <c r="AY270" s="1110">
        <f t="shared" si="368"/>
        <v>24375.525695443775</v>
      </c>
      <c r="AZ270" s="429">
        <f t="shared" si="369"/>
        <v>16070.419448719998</v>
      </c>
      <c r="BA270" s="431">
        <f t="shared" si="370"/>
        <v>19284.503338463997</v>
      </c>
      <c r="BB270" s="1097">
        <f>(AM270*(1+$FB$9)+$FB$35)*(1+(INDEX(绊状态确认!$T:$T,MATCH($G270,绊状态确认!$B:$B,))+0.2)*AO270)*IF(J270=$FF$17,1+$FE$17,1)*IF(I270=$FF$14,1+$FE$14,1)*(1+$FE$15)</f>
        <v>9639.5697720400003</v>
      </c>
      <c r="BC270" s="1097">
        <f>(AN270*(1+$FB$10)+$FB$36)*(1+(INDEX(绊状态确认!$T:$T,MATCH($G270,绊状态确认!$B:$B,))+0.2)*AO270)*IF(J270=$FF$17,1+$FE$17,1)*IF(I270=$FF$14,1+$FE$14,1)*(1+$FE$15)</f>
        <v>16510.071301619999</v>
      </c>
      <c r="BD270" s="1104">
        <f>MIN(AT270*0.15+BC270*0.00003+INDEX(绊状态确认!M:M,MATCH($G270,绊状态确认!$B:$B,)),1)</f>
        <v>0.67530213904860004</v>
      </c>
      <c r="BE270" s="432">
        <f>(INDEX(绊状态确认!$N:$N,MATCH($G270,绊状态确认!$B:$B,))+1.5)</f>
        <v>1.9</v>
      </c>
      <c r="BF270" s="1139">
        <f t="array" ref="BF270">SUMPRODUCT(IF(AZ270*AP270*$FI$16:$FI$23*$FA$22&gt;=$FI$24,$FI$24,AZ270*AP270*$FI$16:$FI$23*$FA$22),$FJ$16:$FJ$23)</f>
        <v>31964.064283504078</v>
      </c>
      <c r="BG270" s="1125">
        <f t="array" ref="BG270">SUMPRODUCT(IF(BE270*AZ270*AP270*$FI$16:$FI$23*$FA$22&gt;=$FI$24,$FI$24,BE270*AZ270*AP270*$FI$16:$FI$23*$FA$22),$FJ$16:$FJ$23)</f>
        <v>56945.966911820869</v>
      </c>
      <c r="BH270" s="1110">
        <f t="shared" si="371"/>
        <v>16278.13218863675</v>
      </c>
      <c r="BI270" s="1111">
        <f>IF(O270="vo",$EW$26/$EW$24*0.05,0)+IF(O270="sk",-$EW$26/$EW$24*(0.05-INDEX(绊状态确认!W:W,MATCH($G270,绊状态确认!$B:$B,)))+0.05*$EW$28,0)+IF(O270="sp",0.05*$EW$32*$EW$30*(1-$EW$33)-(0.05-INDEX(绊状态确认!V:V,MATCH($G270,绊状态确认!$B:$B,)))*$EW$28,0)+IF(O270="gd",-(0.05-INDEX(绊状态确认!X:X,MATCH($G270,绊状态确认!$B:$B,)))*$EW$32*$EW$30*(1-$EW$33),0)</f>
        <v>-6253.6726349699375</v>
      </c>
      <c r="BJ270" s="1097">
        <f>IF(O270="vo",0.05*(1-$FI$26)*$FA$24,0)+IF(O270="sk",-(0.05-INDEX(绊状态确认!W:W,MATCH($G270,绊状态确认!$B:$B,)))*(1-$FI$26)*$FA$24+0.05*$FA$26,0)+IF(O270="sp",0.05*$FA$32*$FA$27*(1-$FA$33)/$FA$30+0.05*$FA$29/$FA$69*$FA$27*(1-$FA$33)-(0.05-INDEX(绊状态确认!V:V,MATCH($G270,绊状态确认!$B:$B,)))*$FA$26,0)+IF(O270="gd",-(0.05-INDEX(绊状态确认!X:X,MATCH($G270,绊状态确认!$B:$B,)))*$FA$32*$FA$27*(1-$FA$33)/$FA$30-(0.05-INDEX(绊状态确认!X:X,MATCH($G270,绊状态确认!$B:$B,)))*$FA$29/$FA$69*$FA$27*(1-$FA$33),0)</f>
        <v>20.459096812499922</v>
      </c>
      <c r="BK270" s="1110">
        <f>IF(O270="vo",$EW$26/$EW$24*0.05+$EW$26*(-HP($EW$62,$EW$65,$EW$64)+HP($EW$62,$EW$65,(1.05-INDEX(绊状态确认!U:U,MATCH($G270,绊状态确认!$B:$B,)))*$EW$64)),0)+IF(O270="sk",-$EW$26/$EW$24*(0.05-INDEX(绊状态确认!W:W,MATCH($G270,绊状态确认!$B:$B,)))+0.05*$EW$29,0)+IF(O270="sp",0.05*$EW$32*$EW$30*(1-$EW$33)-(0.05-INDEX(绊状态确认!V:V,MATCH($G270,绊状态确认!$B:$B,)))*$EW$29,0)+IF(O270="gd",-(0.05-INDEX(绊状态确认!X:X,MATCH($G270,绊状态确认!$B:$B,)))*$EW$32*$EW$30*(1-$EW$33)+$EW$26*(-HP($EW$62,$EW$65,$EW$64)+HP($EW$62,$EW$65,0.95*$EW$64)),0)</f>
        <v>-4253.6726349699375</v>
      </c>
      <c r="BL270" s="1111">
        <f t="shared" si="372"/>
        <v>-1083.3333333333333</v>
      </c>
      <c r="BM270" s="1110">
        <f t="shared" si="373"/>
        <v>-830.55555555555543</v>
      </c>
      <c r="BN270" s="1113">
        <f t="shared" si="374"/>
        <v>3</v>
      </c>
      <c r="BO270" s="1097">
        <f t="shared" si="375"/>
        <v>4507.7214871259994</v>
      </c>
      <c r="BP270" s="1100">
        <f t="shared" si="376"/>
        <v>221.34103209030098</v>
      </c>
      <c r="BQ270" s="1113" t="s">
        <v>664</v>
      </c>
      <c r="BR270" s="1124" t="s">
        <v>665</v>
      </c>
      <c r="BS270" s="1098">
        <f>IF($P270="","N/A",IF($P270=-1,INDEX('卡片raw data'!AX:AX,MATCH($D270,'卡片raw data'!$F:$F,)),0)+IF($L270="party卡",IF($P270=5,INDEX('卡片raw data'!BD:BD,MATCH($D270,'卡片raw data'!$F:$F,)),IF($P270&gt;=3,INDEX('卡片raw data'!BC:BC,MATCH($D270,'卡片raw data'!$F:$F,)),INDEX('卡片raw data'!BB:BB,MATCH($D270,'卡片raw data'!$F:$F,)))),IF(OR(AND($F270="UR",$P270=0),AND($F270="SR",$P270&gt;=0,$P270&lt;=2),AND($F270="R",$P270&gt;=0,$P270&lt;4)),INDEX('卡片raw data'!AZ:AZ,MATCH($D270,'卡片raw data'!$F:$F,)),0)+IF(OR(AND($F270="UR",$P270&gt;=1,$P270&lt;=4),AND($F270="SR",$P270&lt;=4,$P270&gt;=3),AND($F270="R",$P270=4)),INDEX('卡片raw data'!BA:BA,MATCH($D270,'卡片raw data'!$F:$F,)),0)+IF($P270=5,INDEX('卡片raw data'!BB:BB,MATCH($D270,'卡片raw data'!$F:$F,)),0)))</f>
        <v>7.0000000000000007E-2</v>
      </c>
      <c r="BT270" s="1101">
        <f t="shared" si="377"/>
        <v>472.99754170248985</v>
      </c>
      <c r="BU270" s="1097">
        <f t="shared" si="378"/>
        <v>27.714323439663335</v>
      </c>
      <c r="BV270" s="1097">
        <f t="shared" si="379"/>
        <v>0</v>
      </c>
      <c r="BW270" s="1112">
        <f t="shared" si="380"/>
        <v>0</v>
      </c>
      <c r="BX270" s="1100">
        <f t="shared" si="381"/>
        <v>472.99754170248985</v>
      </c>
      <c r="BY270" s="1110">
        <f t="shared" si="382"/>
        <v>0</v>
      </c>
      <c r="BZ270" s="1107" t="s">
        <v>569</v>
      </c>
      <c r="CA270" s="1124"/>
      <c r="CB270" s="1098">
        <f>IF($P270="","N/A",IF($P270=-1,INDEX('卡片raw data'!BE:BE,MATCH($D270,'卡片raw data'!$F:$F,)),0)+IF($L270="party卡",IF($P270=5,INDEX('卡片raw data'!BK:BK,MATCH($D270,'卡片raw data'!$F:$F,)),IF($P270&gt;=3,INDEX('卡片raw data'!BJ:BJ,MATCH($D270,'卡片raw data'!$F:$F,)),INDEX('卡片raw data'!BI:BI,MATCH($D270,'卡片raw data'!$F:$F,)))),IF(OR(AND($F270="UR",$P270=0),AND($F270="SR",$P270&gt;=0,$P270&lt;=2),AND($F270="R",$P270&gt;=0,$P270&lt;4)),INDEX('卡片raw data'!BG:BG,MATCH($D270,'卡片raw data'!$F:$F,)),0)+IF(OR(AND($F270="UR",$P270&gt;=1,$P270&lt;=4),AND($F270="SR",$P270&lt;=4,$P270&gt;=3),AND($F270="R",$P270=4)),INDEX('卡片raw data'!BH:BH,MATCH($D270,'卡片raw data'!$F:$F,)),0)+IF($P270=5,INDEX('卡片raw data'!BI:BI,MATCH($D270,'卡片raw data'!$F:$F,)),0)))</f>
        <v>0</v>
      </c>
      <c r="CC270" s="1101">
        <f t="shared" si="383"/>
        <v>0</v>
      </c>
      <c r="CD270" s="1097">
        <f>IF(BZ270="ap",CB270*(1-$FI$26)*$FB$5/$FB$11*(+IF(CA270="全员",$FA$24,0)+IF(CA270="同作战",$FA$24,0)+IF(CA270="仲间",$FA$24*2/3,0)+IF(CA270="同属性",$FA$24*$FA$37/3,0)+IF(CA270="同年级",$FA$24*$FA$40/3,0)+IF(CA270="同学校",$FA$24*$FA$43/3,0)+IF(CA270="同小队",$FA$24*$FA$46/3,0)+IF(CA270="同type",$FA$24*INDEX($FB$49:$FB$52,MATCH(X270,$FA$49:$FA$52,))/3,0)+IF(CA270="自身",#REF!/3,0)),0)+IF(BZ270="te",CB270*(1-$FI$27)*($FA$20-1)*$FB$7/$FB$13*(+IF(CA270="全员",$FA$19*$FA$24/(1+($FA$20-1)*$FA$19),0)+IF(CA270="同作战",$FA$19*$FA$24/(1+($FA$20-1)*$FA$19),0)+IF(CA270="仲间",$FA$19*$FA$24*2/3/(1+($FA$20-1)*$FA$19),0)+IF(CA270="同属性",$FA$19*$FA$24*$FA$37/3/(1+($FA$20-1)*$FA$19),0)+IF(CA270="同年级",$FA$19*$FA$24*$FA$40/3/(1+($FA$20-1)*$FA$19),0)+IF(CA270="同学校",$FA$19*$FA$24*$FA$43/3/(1+($FA$20-1)*$FA$19),0)+IF(CA270="同小队",$FA$19*$FA$24*$FA$46/3/(1+($FA$20-1)*$FA$19),0)+IF(CA270="同type",$FA$19*$FA$24*INDEX($FB$49:$FB$52,MATCH(X270,$FA$49:$FA$52,))/3/(1+($FA$20-1)*$FA$19),0)+IF(CA270="自身",$FA$19*#REF!/3/(1+(BH270-1)*$BD270),0)),0)</f>
        <v>0</v>
      </c>
      <c r="CE270" s="1097">
        <f t="shared" si="384"/>
        <v>0</v>
      </c>
      <c r="CF270" s="1112">
        <f t="shared" si="385"/>
        <v>0</v>
      </c>
      <c r="CG270" s="1100">
        <f t="shared" si="386"/>
        <v>0</v>
      </c>
      <c r="CH270" s="1110">
        <f t="shared" si="387"/>
        <v>0</v>
      </c>
      <c r="CI270" s="1113" t="s">
        <v>173</v>
      </c>
      <c r="CJ270" s="1114">
        <v>0.2</v>
      </c>
      <c r="CK270" s="1115" t="s">
        <v>668</v>
      </c>
      <c r="CL270" s="1115" t="s">
        <v>161</v>
      </c>
      <c r="CM270" s="1119">
        <v>0.08</v>
      </c>
      <c r="CN270" s="1115">
        <v>3</v>
      </c>
      <c r="CO270" s="1092"/>
      <c r="CP270" s="1118">
        <f t="shared" si="388"/>
        <v>1.08048342247776E-2</v>
      </c>
      <c r="CQ270" s="1118">
        <f t="shared" si="389"/>
        <v>1.08048342247776E-2</v>
      </c>
      <c r="CR270" s="1118">
        <f t="shared" si="390"/>
        <v>0</v>
      </c>
      <c r="CS270" s="1118">
        <f t="shared" si="391"/>
        <v>0</v>
      </c>
      <c r="CT270" s="1109">
        <f t="shared" si="392"/>
        <v>0.83568639707264258</v>
      </c>
      <c r="CU270" s="1101">
        <f t="shared" si="393"/>
        <v>140.46284492210879</v>
      </c>
      <c r="CV270" s="1108">
        <f t="shared" si="394"/>
        <v>107.68818110695007</v>
      </c>
      <c r="CW270" s="1097">
        <f t="shared" si="395"/>
        <v>0</v>
      </c>
      <c r="CX270" s="1097">
        <f t="shared" si="396"/>
        <v>140.46284492210879</v>
      </c>
      <c r="CY270" s="1110">
        <f t="shared" si="397"/>
        <v>0</v>
      </c>
      <c r="CZ270" s="437"/>
      <c r="DA270" s="438"/>
      <c r="DB270" s="439" t="s">
        <v>569</v>
      </c>
      <c r="DC270" s="439"/>
      <c r="DD270" s="443"/>
      <c r="DE270" s="411"/>
      <c r="DF270" s="411"/>
      <c r="DG270" s="1116">
        <f t="shared" si="398"/>
        <v>0</v>
      </c>
      <c r="DH270" s="1116">
        <f t="shared" si="399"/>
        <v>0</v>
      </c>
      <c r="DI270" s="1116">
        <f t="shared" si="400"/>
        <v>0</v>
      </c>
      <c r="DJ270" s="442">
        <f t="shared" si="401"/>
        <v>0</v>
      </c>
      <c r="DK270" s="1109">
        <f t="shared" si="402"/>
        <v>0</v>
      </c>
      <c r="DL270" s="1101">
        <f t="shared" si="403"/>
        <v>0</v>
      </c>
      <c r="DM270" s="1097">
        <f t="shared" si="404"/>
        <v>0</v>
      </c>
      <c r="DN270" s="1097">
        <f t="shared" si="405"/>
        <v>0</v>
      </c>
      <c r="DO270" s="1097">
        <f t="shared" si="406"/>
        <v>0</v>
      </c>
      <c r="DP270" s="1110">
        <f t="shared" si="407"/>
        <v>0</v>
      </c>
      <c r="DQ270" s="1113" t="s">
        <v>670</v>
      </c>
      <c r="DR270" s="1120">
        <f t="shared" si="408"/>
        <v>0.3</v>
      </c>
      <c r="DS270" s="1124">
        <v>3</v>
      </c>
      <c r="DT270" s="1093" t="s">
        <v>168</v>
      </c>
      <c r="DU270" s="1093" t="s">
        <v>671</v>
      </c>
      <c r="DV270" s="1098">
        <f>IF($P270="","N/A",IF(P270=-1,INDEX('卡片raw data'!AN:AN,MATCH(D270,'卡片raw data'!$F:$F,)),0)+IF(AND(L270&lt;&gt;"party卡",P270&lt;=2,P270&gt;=0),INDEX('卡片raw data'!AP:AP,MATCH(D270,'卡片raw data'!$F:$F,)),0)+IF(OR(AND(L270="party卡",P270&lt;=1),AND(P270&lt;=4,L270&lt;&gt;"party卡",P270&gt;=3)),INDEX('卡片raw data'!AQ:AQ,MATCH(D270,'卡片raw data'!$F:$F,)),0)+IF(OR(P270=5,AND(L270="party卡",P270&gt;=2)),INDEX('卡片raw data'!AR:AR,MATCH(D270,'卡片raw data'!$F:$F,)),0))</f>
        <v>0.15</v>
      </c>
      <c r="DW270" s="1098">
        <f t="shared" si="409"/>
        <v>0.3</v>
      </c>
      <c r="DX270" s="1098">
        <f t="shared" si="410"/>
        <v>0.3</v>
      </c>
      <c r="DY270" s="1098">
        <f t="shared" si="411"/>
        <v>4.4999999999999998E-2</v>
      </c>
      <c r="DZ270" s="1098">
        <f t="shared" si="412"/>
        <v>3.8925000000000001E-2</v>
      </c>
      <c r="EA270" s="1098">
        <f t="shared" si="413"/>
        <v>0</v>
      </c>
      <c r="EB270" s="1121">
        <f t="shared" si="414"/>
        <v>0</v>
      </c>
      <c r="EC270" s="1101">
        <f t="shared" si="415"/>
        <v>5266.4480429096247</v>
      </c>
      <c r="ED270" s="1097">
        <f t="shared" si="416"/>
        <v>315.18914022081356</v>
      </c>
      <c r="EE270" s="1110">
        <f t="shared" si="417"/>
        <v>5266.4480429096247</v>
      </c>
      <c r="EF270" s="1092" t="s">
        <v>711</v>
      </c>
      <c r="EG270" s="1120">
        <f t="shared" si="418"/>
        <v>0.3</v>
      </c>
      <c r="EH270" s="1124"/>
      <c r="EI270" s="1093"/>
      <c r="EJ270" s="1093"/>
      <c r="EK270" s="1097">
        <f>IF($P270="","N/A",IF(P270=-1,INDEX('卡片raw data'!AS:AS,MATCH(D270,'卡片raw data'!$F:$F,)),0)+IF(AND(L270&lt;&gt;"party卡",P270&lt;=2,P270&gt;=0),INDEX('卡片raw data'!AU:AU,MATCH(D270,'卡片raw data'!$F:$F,)),0)+IF(OR(AND(L270="party卡",P270&lt;=1),AND(P270&lt;=4,L270&lt;&gt;"party卡",P270&gt;=3)),INDEX('卡片raw data'!AV:AV,MATCH(D270,'卡片raw data'!$F:$F,)),0)+IF(OR(P270=5,AND(L270="party卡",P270&gt;=2)),INDEX('卡片raw data'!AW:AW,MATCH(D270,'卡片raw data'!$F:$F,)),0))</f>
        <v>0</v>
      </c>
      <c r="EL270" s="1098">
        <f t="shared" si="419"/>
        <v>0.3</v>
      </c>
      <c r="EM270" s="1098">
        <f t="shared" si="420"/>
        <v>0.3</v>
      </c>
      <c r="EN270" s="1125">
        <f t="shared" si="421"/>
        <v>0</v>
      </c>
      <c r="EO270" s="1125">
        <f t="shared" si="422"/>
        <v>0</v>
      </c>
      <c r="EP270" s="1098">
        <f t="shared" si="423"/>
        <v>0</v>
      </c>
      <c r="EQ270" s="1121">
        <f t="shared" si="424"/>
        <v>0</v>
      </c>
      <c r="ER270" s="1101">
        <f t="shared" si="425"/>
        <v>0</v>
      </c>
      <c r="ES270" s="1097">
        <f t="shared" si="426"/>
        <v>0</v>
      </c>
      <c r="ET270" s="1122">
        <f t="shared" si="427"/>
        <v>0</v>
      </c>
    </row>
    <row r="271" spans="2:150" ht="16.5" customHeight="1">
      <c r="B271" s="1123" t="str">
        <f>INDEX('卡片raw data'!B:B,MATCH($D271,'卡片raw data'!$F:$F,))</f>
        <v>怪盗善</v>
      </c>
      <c r="C271" s="449" t="s">
        <v>658</v>
      </c>
      <c r="D271" s="408">
        <v>268</v>
      </c>
      <c r="E271" s="1090">
        <v>401063001</v>
      </c>
      <c r="F271" s="1090" t="str">
        <f>INDEX('卡片raw data'!C:C,MATCH($D271,'卡片raw data'!$F:$F,))</f>
        <v>UR</v>
      </c>
      <c r="G271" s="1094" t="s">
        <v>662</v>
      </c>
      <c r="H271" s="411">
        <f>IFERROR(INDEX(绊状态确认!C:C,MATCH($G271,绊状态确认!$B:$B,)),"")</f>
        <v>106</v>
      </c>
      <c r="I271" s="450" t="str">
        <f>IFERROR(INDEX(绊状态确认!D:D,MATCH($G271,绊状态确认!$B:$B,)),"")</f>
        <v>水</v>
      </c>
      <c r="J271" s="450" t="str">
        <f>IFERROR(INDEX(绊状态确认!E:E,MATCH($G271,绊状态确认!$B:$B,)),"")</f>
        <v>1年级</v>
      </c>
      <c r="K271" s="451" t="str">
        <f>IFERROR(INDEX(绊状态确认!F:F,MATCH($G271,绊状态确认!$B:$B,)),"")</f>
        <v>Guilty Kiss</v>
      </c>
      <c r="L271" s="1094" t="str">
        <f>INDEX('卡片raw data'!E:E,MATCH($D271,'卡片raw data'!$F:$F,))</f>
        <v>活动卡</v>
      </c>
      <c r="M271" s="415">
        <v>44018</v>
      </c>
      <c r="N271" s="416">
        <v>19</v>
      </c>
      <c r="O271" s="1091" t="str">
        <f>INDEX('卡片raw data'!D:D,MATCH($D271,'卡片raw data'!$F:$F,))</f>
        <v>gd</v>
      </c>
      <c r="P271" s="417">
        <v>5</v>
      </c>
      <c r="Q271" s="1095">
        <f t="shared" si="343"/>
        <v>24738.859583852838</v>
      </c>
      <c r="R271" s="1096">
        <f t="shared" si="344"/>
        <v>0.28699999999999998</v>
      </c>
      <c r="S271" s="1097">
        <f t="shared" si="345"/>
        <v>14473.065039971254</v>
      </c>
      <c r="T271" s="1098">
        <f t="shared" si="346"/>
        <v>0.72299999999999998</v>
      </c>
      <c r="U271" s="1099">
        <f t="shared" si="347"/>
        <v>96.644735218457157</v>
      </c>
      <c r="V271" s="1100">
        <f t="shared" si="348"/>
        <v>34943.455249715109</v>
      </c>
      <c r="W271" s="1101">
        <f t="shared" si="349"/>
        <v>4507.7214871259994</v>
      </c>
      <c r="X271" s="1096">
        <f t="shared" si="350"/>
        <v>5.1999999999999998E-2</v>
      </c>
      <c r="Y271" s="1097">
        <f t="shared" si="351"/>
        <v>2114.0219706097696</v>
      </c>
      <c r="Z271" s="1102">
        <f t="shared" si="352"/>
        <v>25.169735218457141</v>
      </c>
      <c r="AA271" s="1103">
        <f t="shared" si="353"/>
        <v>6621.743457735769</v>
      </c>
      <c r="AB271" s="1101">
        <f t="shared" si="354"/>
        <v>4507.7214871259994</v>
      </c>
      <c r="AC271" s="1104">
        <f t="shared" si="355"/>
        <v>5.1999999999999998E-2</v>
      </c>
      <c r="AD271" s="1105">
        <f t="shared" si="356"/>
        <v>0</v>
      </c>
      <c r="AE271" s="1128">
        <f t="shared" si="357"/>
        <v>-6.25</v>
      </c>
      <c r="AF271" s="1130">
        <f t="shared" si="358"/>
        <v>0</v>
      </c>
      <c r="AG271" s="420">
        <f t="shared" si="359"/>
        <v>0</v>
      </c>
      <c r="AH271" s="420">
        <f t="shared" si="360"/>
        <v>0</v>
      </c>
      <c r="AI271" s="1097">
        <f t="shared" si="361"/>
        <v>0</v>
      </c>
      <c r="AJ271" s="420">
        <f t="shared" si="362"/>
        <v>0</v>
      </c>
      <c r="AK271" s="518">
        <f t="shared" si="363"/>
        <v>0</v>
      </c>
      <c r="AL271" s="1106">
        <f>IF($P271="","N/A",(IF($P271=-1,INDEX('卡片raw data'!S:S,MATCH($D271,'卡片raw data'!$F:$F,)),0)+IF($P271=0,INDEX('卡片raw data'!V:V,MATCH($D271,'卡片raw data'!$F:$F,)),0)+IF($P271=1,INDEX('卡片raw data'!Y:Y,MATCH($D271,'卡片raw data'!$F:$F,)),0)+IF($P271=2,INDEX('卡片raw data'!AB:AB,MATCH($D271,'卡片raw data'!$F:$F,)),0)+IF($P271=3,INDEX('卡片raw data'!AE:AE,MATCH($D271,'卡片raw data'!$F:$F,)),0)+IF($P271=4,INDEX('卡片raw data'!AH:AH,MATCH($D271,'卡片raw data'!$F:$F,)),0)+IF($P271=5,INDEX('卡片raw data'!AK:AK,MATCH($D271,'卡片raw data'!$F:$F,)),0)+INDEX('卡片raw data'!S:S,MATCH($D271,'卡片raw data'!$F:$F,))*(IF($F271="UR",0.04,0.033))*(IF($F271="UR",INDEX(绊状态确认!$S:$S,MATCH($G271,绊状态确认!$B:$B,))/2-40)+IF($F271="SR",INDEX(绊状态确认!$R:$R,MATCH($G271,绊状态确认!$B:$B,))/4-15))+IF($F271="R",INDEX(绊状态确认!$Q:$Q,MATCH($G271,绊状态确认!$B:$B,))/6-40/6)))*(INDEX(绊状态确认!$H:$H,MATCH($G271,绊状态确认!$B:$B,))+INDEX(绊状态确认!J:J,MATCH($G271,绊状态确认!$B:$B,)))</f>
        <v>7066.8170399999999</v>
      </c>
      <c r="AM271" s="1106">
        <f>IF($P271="","N/A",(IF($P271=-1,INDEX('卡片raw data'!T:T,MATCH($D271,'卡片raw data'!$F:$F,)),0)+IF($P271=0,INDEX('卡片raw data'!W:W,MATCH($D271,'卡片raw data'!$F:$F,)),0)+IF($P271=1,INDEX('卡片raw data'!Z:Z,MATCH($D271,'卡片raw data'!$F:$F,)),0)+IF($P271=2,INDEX('卡片raw data'!AC:AC,MATCH($D271,'卡片raw data'!$F:$F,)),0)+IF($P271=3,INDEX('卡片raw data'!AF:AF,MATCH($D271,'卡片raw data'!$F:$F,)),0)+IF($P271=4,INDEX('卡片raw data'!AI:AI,MATCH($D271,'卡片raw data'!$F:$F,)),0)+IF($P271=5,INDEX('卡片raw data'!AL:AL,MATCH($D271,'卡片raw data'!$F:$F,)),0)+INDEX('卡片raw data'!T:T,MATCH($D271,'卡片raw data'!$F:$F,))*(IF($F271="UR",0.04,0.033))*(IF($F271="UR",INDEX(绊状态确认!$S:$S,MATCH($G271,绊状态确认!$B:$B,))/2-40)+IF($F271="SR",INDEX(绊状态确认!$R:$R,MATCH($G271,绊状态确认!$B:$B,))/4-15))+IF($F271="R",INDEX(绊状态确认!$Q:$Q,MATCH($G271,绊状态确认!$B:$B,))/6-40/6)))*(INDEX(绊状态确认!$H:$H,MATCH($G271,绊状态确认!$B:$B,))+INDEX(绊状态确认!K:K,MATCH($G271,绊状态确认!$B:$B,)))</f>
        <v>12231.027743999997</v>
      </c>
      <c r="AN271" s="1106">
        <f>IF($P271="","N/A",(IF($P271=-1,INDEX('卡片raw data'!U:U,MATCH($D271,'卡片raw data'!$F:$F,)),0)+IF($P271=0,INDEX('卡片raw data'!X:X,MATCH($D271,'卡片raw data'!$F:$F,)),0)+IF($P271=1,INDEX('卡片raw data'!AA:AA,MATCH($D271,'卡片raw data'!$F:$F,)),0)+IF($P271=2,INDEX('卡片raw data'!AD:AD,MATCH($D271,'卡片raw data'!$F:$F,)),0)+IF($P271=3,INDEX('卡片raw data'!AG:AG,MATCH($D271,'卡片raw data'!$F:$F,)),0)+IF($P271=4,INDEX('卡片raw data'!AJ:AJ,MATCH($D271,'卡片raw data'!$F:$F,)),0)+IF($P271=5,INDEX('卡片raw data'!AM:AM,MATCH($D271,'卡片raw data'!$F:$F,)),0)+INDEX('卡片raw data'!U:U,MATCH($D271,'卡片raw data'!$F:$F,))*(IF($F271="UR",0.04,0.033))*(IF($F271="UR",INDEX(绊状态确认!$S:$S,MATCH($G271,绊状态确认!$B:$B,))/2-40)+IF($F271="SR",INDEX(绊状态确认!$R:$R,MATCH($G271,绊状态确认!$B:$B,))/4-15))+IF($F271="R",INDEX(绊状态确认!$Q:$Q,MATCH($G271,绊状态确认!$B:$B,))/6-40/6)))*(INDEX(绊状态确认!$H:$H,MATCH($G271,绊状态确认!$B:$B,))+INDEX(绊状态确认!L:L,MATCH($G271,绊状态确认!$B:$B,)))</f>
        <v>7881.3431039999987</v>
      </c>
      <c r="AO271" s="1107">
        <f t="shared" si="364"/>
        <v>1</v>
      </c>
      <c r="AP271" s="1131">
        <f>1+(INDEX(绊状态确认!$T:$T,MATCH($G271,绊状态确认!$B:$B,))+0.2)*$AO271</f>
        <v>1.3</v>
      </c>
      <c r="AQ271" s="1108">
        <f t="shared" si="365"/>
        <v>21800.39473</v>
      </c>
      <c r="AR271" s="1097">
        <f>(AM271*(1+$EX$9)+$EX$35)*(1+(INDEX(绊状态确认!$T:$T,MATCH($G271,绊状态确认!$B:$B,))+0.2)*AO271)*IF(J271=$FF$17,1+$FE$17,1)*IF(I271=$FF$14,1+$FE$14,1)*(1+$FE$15)</f>
        <v>19399.35287056</v>
      </c>
      <c r="AS271" s="1097">
        <f>(AN271*(1+$EX$10)+$EX$36)*(1+(INDEX(绊状态确认!$T:$T,MATCH($G271,绊状态确认!$B:$B,))+0.2)*AO271)*IF(J271=$FF$17,1+$FE$17,1)*IF(I271=$FF$14,1+$FE$14,1)*(1+$FE$15)</f>
        <v>15838.607940479997</v>
      </c>
      <c r="AT271" s="1093">
        <f>IF(AND(INDEX('卡片raw data'!AK:AK,MATCH($D271,'卡片raw data'!$F:$F,))&lt;INDEX('卡片raw data'!AM:AM,MATCH($D271,'卡片raw data'!$F:$F,)),INDEX('卡片raw data'!AL:AL,MATCH($D271,'卡片raw data'!$F:$F,))&lt;INDEX('卡片raw data'!AM:AM,MATCH($D271,'卡片raw data'!$F:$F,))),1,0)</f>
        <v>0</v>
      </c>
      <c r="AU271" s="1098">
        <f>MIN(AT271*0.15+AS271*0.00003+INDEX(绊状态确认!M:M,MATCH($G271,绊状态确认!$B:$B,)),1)</f>
        <v>0.50515823821439987</v>
      </c>
      <c r="AV271" s="1109">
        <f>(INDEX(绊状态确认!$N:$N,MATCH($G271,绊状态确认!$B:$B,))+1.5)*$EW$21</f>
        <v>2.6599999999999997</v>
      </c>
      <c r="AW271" s="1101">
        <f t="shared" si="366"/>
        <v>20816.138096726838</v>
      </c>
      <c r="AX271" s="1097">
        <f t="shared" si="367"/>
        <v>1688.5326908711747</v>
      </c>
      <c r="AY271" s="1110">
        <f t="shared" si="368"/>
        <v>22504.670787598014</v>
      </c>
      <c r="AZ271" s="429">
        <f t="shared" si="369"/>
        <v>16380.293227999999</v>
      </c>
      <c r="BA271" s="431">
        <f t="shared" si="370"/>
        <v>19656.351873599997</v>
      </c>
      <c r="BB271" s="1097">
        <f>(AM271*(1+$FB$9)+$FB$35)*(1+(INDEX(绊状态确认!$T:$T,MATCH($G271,绊状态确认!$B:$B,))+0.2)*AO271)*IF(J271=$FF$17,1+$FE$17,1)*IF(I271=$FF$14,1+$FE$14,1)*(1+$FE$15)</f>
        <v>19399.35287056</v>
      </c>
      <c r="BC271" s="1097">
        <f>(AN271*(1+$FB$10)+$FB$36)*(1+(INDEX(绊状态确认!$T:$T,MATCH($G271,绊状态确认!$B:$B,))+0.2)*AO271)*IF(J271=$FF$17,1+$FE$17,1)*IF(I271=$FF$14,1+$FE$14,1)*(1+$FE$15)</f>
        <v>15838.607940479997</v>
      </c>
      <c r="BD271" s="1104">
        <f>MIN(AT271*0.15+BC271*0.00003+INDEX(绊状态确认!M:M,MATCH($G271,绊状态确认!$B:$B,)),1)</f>
        <v>0.50515823821439987</v>
      </c>
      <c r="BE271" s="432">
        <f>(INDEX(绊状态确认!$N:$N,MATCH($G271,绊状态确认!$B:$B,))+1.5)</f>
        <v>1.9</v>
      </c>
      <c r="BF271" s="1139">
        <f t="array" ref="BF271">SUMPRODUCT(IF(AZ271*AP271*$FI$16:$FI$23*$FA$22&gt;=$FI$24,$FI$24,AZ271*AP271*$FI$16:$FI$23*$FA$22),$FJ$16:$FJ$23)</f>
        <v>32580.403230492004</v>
      </c>
      <c r="BG271" s="1125">
        <f t="array" ref="BG271">SUMPRODUCT(IF(BE271*AZ271*AP271*$FI$16:$FI$23*$FA$22&gt;=$FI$24,$FI$24,BE271*AZ271*AP271*$FI$16:$FI$23*$FA$22),$FJ$16:$FJ$23)</f>
        <v>57443.441864774795</v>
      </c>
      <c r="BH271" s="1110">
        <f t="shared" si="371"/>
        <v>15046.724007880954</v>
      </c>
      <c r="BI271" s="1111">
        <f>IF(O271="vo",$EW$26/$EW$24*0.05,0)+IF(O271="sk",-$EW$26/$EW$24*(0.05-INDEX(绊状态确认!W:W,MATCH($G271,绊状态确认!$B:$B,)))+0.05*$EW$28,0)+IF(O271="sp",0.05*$EW$32*$EW$30*(1-$EW$33)-(0.05-INDEX(绊状态确认!V:V,MATCH($G271,绊状态确认!$B:$B,)))*$EW$28,0)+IF(O271="gd",-(0.05-INDEX(绊状态确认!X:X,MATCH($G271,绊状态确认!$B:$B,)))*$EW$32*$EW$30*(1-$EW$33),0)</f>
        <v>-585.00000000000011</v>
      </c>
      <c r="BJ271" s="1097">
        <f>IF(O271="vo",0.05*(1-$FI$26)*$FA$24,0)+IF(O271="sk",-(0.05-INDEX(绊状态确认!W:W,MATCH($G271,绊状态确认!$B:$B,)))*(1-$FI$26)*$FA$24+0.05*$FA$26,0)+IF(O271="sp",0.05*$FA$32*$FA$27*(1-$FA$33)/$FA$30+0.05*$FA$29/$FA$69*$FA$27*(1-$FA$33)-(0.05-INDEX(绊状态确认!V:V,MATCH($G271,绊状态确认!$B:$B,)))*$FA$26,0)+IF(O271="gd",-(0.05-INDEX(绊状态确认!X:X,MATCH($G271,绊状态确认!$B:$B,)))*$FA$32*$FA$27*(1-$FA$33)/$FA$30-(0.05-INDEX(绊状态确认!X:X,MATCH($G271,绊状态确认!$B:$B,)))*$FA$29/$FA$69*$FA$27*(1-$FA$33),0)</f>
        <v>-795.00000000000011</v>
      </c>
      <c r="BK271" s="1110">
        <f>IF(O271="vo",$EW$26/$EW$24*0.05+$EW$26*(-HP($EW$62,$EW$65,$EW$64)+HP($EW$62,$EW$65,(1.05-INDEX(绊状态确认!U:U,MATCH($G271,绊状态确认!$B:$B,)))*$EW$64)),0)+IF(O271="sk",-$EW$26/$EW$24*(0.05-INDEX(绊状态确认!W:W,MATCH($G271,绊状态确认!$B:$B,)))+0.05*$EW$29,0)+IF(O271="sp",0.05*$EW$32*$EW$30*(1-$EW$33)-(0.05-INDEX(绊状态确认!V:V,MATCH($G271,绊状态确认!$B:$B,)))*$EW$29,0)+IF(O271="gd",-(0.05-INDEX(绊状态确认!X:X,MATCH($G271,绊状态确认!$B:$B,)))*$EW$32*$EW$30*(1-$EW$33)+$EW$26*(-HP($EW$62,$EW$65,$EW$64)+HP($EW$62,$EW$65,0.95*$EW$64)),0)</f>
        <v>1009.5947725176144</v>
      </c>
      <c r="BL271" s="1111">
        <f t="shared" si="372"/>
        <v>0</v>
      </c>
      <c r="BM271" s="1110">
        <f t="shared" si="373"/>
        <v>0</v>
      </c>
      <c r="BN271" s="1113">
        <f t="shared" si="374"/>
        <v>3</v>
      </c>
      <c r="BO271" s="1097">
        <f t="shared" si="375"/>
        <v>4507.7214871259994</v>
      </c>
      <c r="BP271" s="1100">
        <f t="shared" si="376"/>
        <v>221.34103209030098</v>
      </c>
      <c r="BQ271" s="1113" t="s">
        <v>666</v>
      </c>
      <c r="BR271" s="1124" t="s">
        <v>171</v>
      </c>
      <c r="BS271" s="1098">
        <f>IF($P271="","N/A",IF($P271=-1,INDEX('卡片raw data'!AX:AX,MATCH($D271,'卡片raw data'!$F:$F,)),0)+IF($L271="party卡",IF($P271=5,INDEX('卡片raw data'!BD:BD,MATCH($D271,'卡片raw data'!$F:$F,)),IF($P271&gt;=3,INDEX('卡片raw data'!BC:BC,MATCH($D271,'卡片raw data'!$F:$F,)),INDEX('卡片raw data'!BB:BB,MATCH($D271,'卡片raw data'!$F:$F,)))),IF(OR(AND($F271="UR",$P271=0),AND($F271="SR",$P271&gt;=0,$P271&lt;=2),AND($F271="R",$P271&gt;=0,$P271&lt;4)),INDEX('卡片raw data'!AZ:AZ,MATCH($D271,'卡片raw data'!$F:$F,)),0)+IF(OR(AND($F271="UR",$P271&gt;=1,$P271&lt;=4),AND($F271="SR",$P271&lt;=4,$P271&gt;=3),AND($F271="R",$P271=4)),INDEX('卡片raw data'!BA:BA,MATCH($D271,'卡片raw data'!$F:$F,)),0)+IF($P271=5,INDEX('卡片raw data'!BB:BB,MATCH($D271,'卡片raw data'!$F:$F,)),0)))</f>
        <v>5.1999999999999998E-2</v>
      </c>
      <c r="BT271" s="1101">
        <f t="shared" si="377"/>
        <v>0</v>
      </c>
      <c r="BU271" s="1097">
        <f t="shared" si="378"/>
        <v>0</v>
      </c>
      <c r="BV271" s="1097">
        <f t="shared" si="379"/>
        <v>0</v>
      </c>
      <c r="BW271" s="1112">
        <f t="shared" si="380"/>
        <v>2.4347142857142861</v>
      </c>
      <c r="BX271" s="1100">
        <f t="shared" si="381"/>
        <v>190.49664124538464</v>
      </c>
      <c r="BY271" s="1110">
        <f t="shared" si="382"/>
        <v>190.49664124538464</v>
      </c>
      <c r="BZ271" s="1107" t="s">
        <v>569</v>
      </c>
      <c r="CA271" s="1124"/>
      <c r="CB271" s="1098">
        <f>IF($P271="","N/A",IF($P271=-1,INDEX('卡片raw data'!BE:BE,MATCH($D271,'卡片raw data'!$F:$F,)),0)+IF($L271="party卡",IF($P271=5,INDEX('卡片raw data'!BK:BK,MATCH($D271,'卡片raw data'!$F:$F,)),IF($P271&gt;=3,INDEX('卡片raw data'!BJ:BJ,MATCH($D271,'卡片raw data'!$F:$F,)),INDEX('卡片raw data'!BI:BI,MATCH($D271,'卡片raw data'!$F:$F,)))),IF(OR(AND($F271="UR",$P271=0),AND($F271="SR",$P271&gt;=0,$P271&lt;=2),AND($F271="R",$P271&gt;=0,$P271&lt;4)),INDEX('卡片raw data'!BG:BG,MATCH($D271,'卡片raw data'!$F:$F,)),0)+IF(OR(AND($F271="UR",$P271&gt;=1,$P271&lt;=4),AND($F271="SR",$P271&lt;=4,$P271&gt;=3),AND($F271="R",$P271=4)),INDEX('卡片raw data'!BH:BH,MATCH($D271,'卡片raw data'!$F:$F,)),0)+IF($P271=5,INDEX('卡片raw data'!BI:BI,MATCH($D271,'卡片raw data'!$F:$F,)),0)))</f>
        <v>0</v>
      </c>
      <c r="CC271" s="1101">
        <f t="shared" si="383"/>
        <v>0</v>
      </c>
      <c r="CD271" s="1097">
        <f>IF(BZ271="ap",CB271*(1-$FI$26)*$FB$5/$FB$11*(+IF(CA271="全员",$FA$24,0)+IF(CA271="同作战",$FA$24,0)+IF(CA271="仲间",$FA$24*2/3,0)+IF(CA271="同属性",$FA$24*$FA$37/3,0)+IF(CA271="同年级",$FA$24*$FA$40/3,0)+IF(CA271="同学校",$FA$24*$FA$43/3,0)+IF(CA271="同小队",$FA$24*$FA$46/3,0)+IF(CA271="同type",$FA$24*INDEX($FB$49:$FB$52,MATCH(X271,$FA$49:$FA$52,))/3,0)+IF(CA271="自身",#REF!/3,0)),0)+IF(BZ271="te",CB271*(1-$FI$27)*($FA$20-1)*$FB$7/$FB$13*(+IF(CA271="全员",$FA$19*$FA$24/(1+($FA$20-1)*$FA$19),0)+IF(CA271="同作战",$FA$19*$FA$24/(1+($FA$20-1)*$FA$19),0)+IF(CA271="仲间",$FA$19*$FA$24*2/3/(1+($FA$20-1)*$FA$19),0)+IF(CA271="同属性",$FA$19*$FA$24*$FA$37/3/(1+($FA$20-1)*$FA$19),0)+IF(CA271="同年级",$FA$19*$FA$24*$FA$40/3/(1+($FA$20-1)*$FA$19),0)+IF(CA271="同学校",$FA$19*$FA$24*$FA$43/3/(1+($FA$20-1)*$FA$19),0)+IF(CA271="同小队",$FA$19*$FA$24*$FA$46/3/(1+($FA$20-1)*$FA$19),0)+IF(CA271="同type",$FA$19*$FA$24*INDEX($FB$49:$FB$52,MATCH(X271,$FA$49:$FA$52,))/3/(1+($FA$20-1)*$FA$19),0)+IF(CA271="自身",$FA$19*#REF!/3/(1+(BH271-1)*$BD271),0)),0)</f>
        <v>0</v>
      </c>
      <c r="CE271" s="1097">
        <f t="shared" si="384"/>
        <v>0</v>
      </c>
      <c r="CF271" s="1112">
        <f t="shared" si="385"/>
        <v>0</v>
      </c>
      <c r="CG271" s="1100">
        <f t="shared" si="386"/>
        <v>0</v>
      </c>
      <c r="CH271" s="1110">
        <f t="shared" si="387"/>
        <v>0</v>
      </c>
      <c r="CI271" s="1113" t="s">
        <v>165</v>
      </c>
      <c r="CJ271" s="1114">
        <v>0.3</v>
      </c>
      <c r="CK271" s="1115" t="s">
        <v>556</v>
      </c>
      <c r="CL271" s="1115" t="s">
        <v>161</v>
      </c>
      <c r="CM271" s="1119">
        <v>0.02</v>
      </c>
      <c r="CN271" s="1115" t="s">
        <v>669</v>
      </c>
      <c r="CO271" s="1092"/>
      <c r="CP271" s="1118">
        <f t="shared" si="388"/>
        <v>6.0000000000000001E-3</v>
      </c>
      <c r="CQ271" s="1118">
        <f t="shared" si="389"/>
        <v>6.0000000000000001E-3</v>
      </c>
      <c r="CR271" s="1118">
        <f t="shared" si="390"/>
        <v>6.0000000000000001E-3</v>
      </c>
      <c r="CS271" s="1118">
        <f t="shared" si="391"/>
        <v>0</v>
      </c>
      <c r="CT271" s="1109">
        <f t="shared" si="392"/>
        <v>0</v>
      </c>
      <c r="CU271" s="1101">
        <f t="shared" si="393"/>
        <v>0</v>
      </c>
      <c r="CV271" s="1108">
        <f t="shared" si="394"/>
        <v>0</v>
      </c>
      <c r="CW271" s="1097">
        <f t="shared" si="395"/>
        <v>0</v>
      </c>
      <c r="CX271" s="1097">
        <f t="shared" si="396"/>
        <v>234.9926384932092</v>
      </c>
      <c r="CY271" s="1110">
        <f t="shared" si="397"/>
        <v>234.9926384932092</v>
      </c>
      <c r="CZ271" s="437"/>
      <c r="DA271" s="438"/>
      <c r="DB271" s="439" t="s">
        <v>569</v>
      </c>
      <c r="DC271" s="439"/>
      <c r="DD271" s="443"/>
      <c r="DE271" s="411"/>
      <c r="DF271" s="411"/>
      <c r="DG271" s="1116">
        <f t="shared" si="398"/>
        <v>0</v>
      </c>
      <c r="DH271" s="1116">
        <f t="shared" si="399"/>
        <v>0</v>
      </c>
      <c r="DI271" s="1116">
        <f t="shared" si="400"/>
        <v>0</v>
      </c>
      <c r="DJ271" s="442">
        <f t="shared" si="401"/>
        <v>0</v>
      </c>
      <c r="DK271" s="1109">
        <f t="shared" si="402"/>
        <v>0</v>
      </c>
      <c r="DL271" s="1101">
        <f t="shared" si="403"/>
        <v>0</v>
      </c>
      <c r="DM271" s="1097">
        <f t="shared" si="404"/>
        <v>0</v>
      </c>
      <c r="DN271" s="1097">
        <f t="shared" si="405"/>
        <v>0</v>
      </c>
      <c r="DO271" s="1097">
        <f t="shared" si="406"/>
        <v>0</v>
      </c>
      <c r="DP271" s="1110">
        <f t="shared" si="407"/>
        <v>0</v>
      </c>
      <c r="DQ271" s="1113" t="s">
        <v>556</v>
      </c>
      <c r="DR271" s="1120">
        <f t="shared" si="408"/>
        <v>0.33</v>
      </c>
      <c r="DS271" s="1124">
        <v>5</v>
      </c>
      <c r="DT271" s="1093" t="s">
        <v>161</v>
      </c>
      <c r="DU271" s="1093" t="s">
        <v>671</v>
      </c>
      <c r="DV271" s="1098">
        <f>IF($P271="","N/A",IF(P271=-1,INDEX('卡片raw data'!AN:AN,MATCH(D271,'卡片raw data'!$F:$F,)),0)+IF(AND(L271&lt;&gt;"party卡",P271&lt;=2,P271&gt;=0),INDEX('卡片raw data'!AP:AP,MATCH(D271,'卡片raw data'!$F:$F,)),0)+IF(OR(AND(L271="party卡",P271&lt;=1),AND(P271&lt;=4,L271&lt;&gt;"party卡",P271&gt;=3)),INDEX('卡片raw data'!AQ:AQ,MATCH(D271,'卡片raw data'!$F:$F,)),0)+IF(OR(P271=5,AND(L271="party卡",P271&gt;=2)),INDEX('卡片raw data'!AR:AR,MATCH(D271,'卡片raw data'!$F:$F,)),0))</f>
        <v>0.26</v>
      </c>
      <c r="DW271" s="1098">
        <f t="shared" si="409"/>
        <v>0.33</v>
      </c>
      <c r="DX271" s="1098">
        <f t="shared" si="410"/>
        <v>0.33</v>
      </c>
      <c r="DY271" s="1098">
        <f t="shared" si="411"/>
        <v>0.14300000000000002</v>
      </c>
      <c r="DZ271" s="1098">
        <f t="shared" si="412"/>
        <v>0.12369500000000001</v>
      </c>
      <c r="EA271" s="1098">
        <f t="shared" si="413"/>
        <v>0</v>
      </c>
      <c r="EB271" s="1121">
        <f t="shared" si="414"/>
        <v>0</v>
      </c>
      <c r="EC271" s="1101">
        <f t="shared" si="415"/>
        <v>0</v>
      </c>
      <c r="ED271" s="1097">
        <f t="shared" si="416"/>
        <v>0</v>
      </c>
      <c r="EE271" s="1110">
        <f t="shared" si="417"/>
        <v>6495.9789227348883</v>
      </c>
      <c r="EF271" s="1092" t="s">
        <v>711</v>
      </c>
      <c r="EG271" s="1120">
        <f t="shared" si="418"/>
        <v>0.33</v>
      </c>
      <c r="EH271" s="1124"/>
      <c r="EI271" s="1093"/>
      <c r="EJ271" s="1093"/>
      <c r="EK271" s="1097">
        <f>IF($P271="","N/A",IF(P271=-1,INDEX('卡片raw data'!AS:AS,MATCH(D271,'卡片raw data'!$F:$F,)),0)+IF(AND(L271&lt;&gt;"party卡",P271&lt;=2,P271&gt;=0),INDEX('卡片raw data'!AU:AU,MATCH(D271,'卡片raw data'!$F:$F,)),0)+IF(OR(AND(L271="party卡",P271&lt;=1),AND(P271&lt;=4,L271&lt;&gt;"party卡",P271&gt;=3)),INDEX('卡片raw data'!AV:AV,MATCH(D271,'卡片raw data'!$F:$F,)),0)+IF(OR(P271=5,AND(L271="party卡",P271&gt;=2)),INDEX('卡片raw data'!AW:AW,MATCH(D271,'卡片raw data'!$F:$F,)),0))</f>
        <v>0</v>
      </c>
      <c r="EL271" s="1098">
        <f t="shared" si="419"/>
        <v>0.33</v>
      </c>
      <c r="EM271" s="1098">
        <f t="shared" si="420"/>
        <v>0.33</v>
      </c>
      <c r="EN271" s="1125">
        <f t="shared" si="421"/>
        <v>0</v>
      </c>
      <c r="EO271" s="1125">
        <f t="shared" si="422"/>
        <v>0</v>
      </c>
      <c r="EP271" s="1098">
        <f t="shared" si="423"/>
        <v>0</v>
      </c>
      <c r="EQ271" s="1121">
        <f t="shared" si="424"/>
        <v>0</v>
      </c>
      <c r="ER271" s="1101">
        <f t="shared" si="425"/>
        <v>0</v>
      </c>
      <c r="ES271" s="1097">
        <f t="shared" si="426"/>
        <v>0</v>
      </c>
      <c r="ET271" s="1122">
        <f t="shared" si="427"/>
        <v>0</v>
      </c>
    </row>
    <row r="272" spans="2:150" ht="16.5" customHeight="1">
      <c r="B272" s="1123" t="str">
        <f>INDEX('卡片raw data'!B:B,MATCH($D272,'卡片raw data'!$F:$F,))</f>
        <v>怪盗彼</v>
      </c>
      <c r="C272" s="449" t="s">
        <v>657</v>
      </c>
      <c r="D272" s="408">
        <v>269</v>
      </c>
      <c r="E272" s="1090">
        <v>402063001</v>
      </c>
      <c r="F272" s="1090" t="str">
        <f>INDEX('卡片raw data'!C:C,MATCH($D272,'卡片raw data'!$F:$F,))</f>
        <v>UR</v>
      </c>
      <c r="G272" s="1094" t="s">
        <v>663</v>
      </c>
      <c r="H272" s="411">
        <f>IFERROR(INDEX(绊状态确认!C:C,MATCH($G272,绊状态确认!$B:$B,)),"")</f>
        <v>206</v>
      </c>
      <c r="I272" s="450" t="str">
        <f>IFERROR(INDEX(绊状态确认!D:D,MATCH($G272,绊状态确认!$B:$B,)),"")</f>
        <v>虹</v>
      </c>
      <c r="J272" s="450" t="str">
        <f>IFERROR(INDEX(绊状态确认!E:E,MATCH($G272,绊状态确认!$B:$B,)),"")</f>
        <v>3年级</v>
      </c>
      <c r="K272" s="451" t="str">
        <f>IFERROR(INDEX(绊状态确认!F:F,MATCH($G272,绊状态确认!$B:$B,)),"")</f>
        <v>QU4RTZ</v>
      </c>
      <c r="L272" s="1094" t="str">
        <f>INDEX('卡片raw data'!E:E,MATCH($D272,'卡片raw data'!$F:$F,))</f>
        <v>卡池卡</v>
      </c>
      <c r="M272" s="415">
        <v>44018</v>
      </c>
      <c r="N272" s="416">
        <v>19</v>
      </c>
      <c r="O272" s="1091" t="str">
        <f>INDEX('卡片raw data'!D:D,MATCH($D272,'卡片raw data'!$F:$F,))</f>
        <v>sk</v>
      </c>
      <c r="P272" s="417">
        <v>5</v>
      </c>
      <c r="Q272" s="1095">
        <f t="shared" si="343"/>
        <v>51735.146703613442</v>
      </c>
      <c r="R272" s="1096">
        <f t="shared" si="344"/>
        <v>0.60099999999999998</v>
      </c>
      <c r="S272" s="1097">
        <f t="shared" si="345"/>
        <v>20346.650492378245</v>
      </c>
      <c r="T272" s="1098">
        <f t="shared" si="346"/>
        <v>1.0169999999999999</v>
      </c>
      <c r="U272" s="1099">
        <f t="shared" si="347"/>
        <v>15.253934852742857</v>
      </c>
      <c r="V272" s="1100">
        <f t="shared" si="348"/>
        <v>54960.205650362033</v>
      </c>
      <c r="W272" s="1101">
        <f t="shared" si="349"/>
        <v>4507.7214871259994</v>
      </c>
      <c r="X272" s="1096">
        <f t="shared" si="350"/>
        <v>5.1999999999999998E-2</v>
      </c>
      <c r="Y272" s="1097">
        <f t="shared" si="351"/>
        <v>1225.0589467485925</v>
      </c>
      <c r="Z272" s="1102">
        <f t="shared" si="352"/>
        <v>15.253934852742857</v>
      </c>
      <c r="AA272" s="1103">
        <f t="shared" si="353"/>
        <v>5732.7804338745918</v>
      </c>
      <c r="AB272" s="1101">
        <f t="shared" si="354"/>
        <v>10839.524860476813</v>
      </c>
      <c r="AC272" s="1104">
        <f t="shared" si="355"/>
        <v>0.126</v>
      </c>
      <c r="AD272" s="1105">
        <f t="shared" si="356"/>
        <v>2.1769318181818181E-2</v>
      </c>
      <c r="AE272" s="1128">
        <f t="shared" si="357"/>
        <v>11.953757704745847</v>
      </c>
      <c r="AF272" s="1130">
        <f t="shared" si="358"/>
        <v>0</v>
      </c>
      <c r="AG272" s="420">
        <f t="shared" si="359"/>
        <v>0</v>
      </c>
      <c r="AH272" s="420">
        <f t="shared" si="360"/>
        <v>0</v>
      </c>
      <c r="AI272" s="1097">
        <f t="shared" si="361"/>
        <v>0</v>
      </c>
      <c r="AJ272" s="420">
        <f t="shared" si="362"/>
        <v>0</v>
      </c>
      <c r="AK272" s="518">
        <f t="shared" si="363"/>
        <v>0</v>
      </c>
      <c r="AL272" s="1106">
        <f>IF($P272="","N/A",(IF($P272=-1,INDEX('卡片raw data'!S:S,MATCH($D272,'卡片raw data'!$F:$F,)),0)+IF($P272=0,INDEX('卡片raw data'!V:V,MATCH($D272,'卡片raw data'!$F:$F,)),0)+IF($P272=1,INDEX('卡片raw data'!Y:Y,MATCH($D272,'卡片raw data'!$F:$F,)),0)+IF($P272=2,INDEX('卡片raw data'!AB:AB,MATCH($D272,'卡片raw data'!$F:$F,)),0)+IF($P272=3,INDEX('卡片raw data'!AE:AE,MATCH($D272,'卡片raw data'!$F:$F,)),0)+IF($P272=4,INDEX('卡片raw data'!AH:AH,MATCH($D272,'卡片raw data'!$F:$F,)),0)+IF($P272=5,INDEX('卡片raw data'!AK:AK,MATCH($D272,'卡片raw data'!$F:$F,)),0)+INDEX('卡片raw data'!S:S,MATCH($D272,'卡片raw data'!$F:$F,))*(IF($F272="UR",0.04,0.033))*(IF($F272="UR",INDEX(绊状态确认!$S:$S,MATCH($G272,绊状态确认!$B:$B,))/2-40)+IF($F272="SR",INDEX(绊状态确认!$R:$R,MATCH($G272,绊状态确认!$B:$B,))/4-15))+IF($F272="R",INDEX(绊状态确认!$Q:$Q,MATCH($G272,绊状态确认!$B:$B,))/6-40/6)))*(INDEX(绊状态确认!$H:$H,MATCH($G272,绊状态确认!$B:$B,))+INDEX(绊状态确认!J:J,MATCH($G272,绊状态确认!$B:$B,)))</f>
        <v>11049.171743999997</v>
      </c>
      <c r="AM272" s="1106">
        <f>IF($P272="","N/A",(IF($P272=-1,INDEX('卡片raw data'!T:T,MATCH($D272,'卡片raw data'!$F:$F,)),0)+IF($P272=0,INDEX('卡片raw data'!W:W,MATCH($D272,'卡片raw data'!$F:$F,)),0)+IF($P272=1,INDEX('卡片raw data'!Z:Z,MATCH($D272,'卡片raw data'!$F:$F,)),0)+IF($P272=2,INDEX('卡片raw data'!AC:AC,MATCH($D272,'卡片raw data'!$F:$F,)),0)+IF($P272=3,INDEX('卡片raw data'!AF:AF,MATCH($D272,'卡片raw data'!$F:$F,)),0)+IF($P272=4,INDEX('卡片raw data'!AI:AI,MATCH($D272,'卡片raw data'!$F:$F,)),0)+IF($P272=5,INDEX('卡片raw data'!AL:AL,MATCH($D272,'卡片raw data'!$F:$F,)),0)+INDEX('卡片raw data'!T:T,MATCH($D272,'卡片raw data'!$F:$F,))*(IF($F272="UR",0.04,0.033))*(IF($F272="UR",INDEX(绊状态确认!$S:$S,MATCH($G272,绊状态确认!$B:$B,))/2-40)+IF($F272="SR",INDEX(绊状态确认!$R:$R,MATCH($G272,绊状态确认!$B:$B,))/4-15))+IF($F272="R",INDEX(绊状态确认!$Q:$Q,MATCH($G272,绊状态确认!$B:$B,))/6-40/6)))*(INDEX(绊状态确认!$H:$H,MATCH($G272,绊状态确认!$B:$B,))+INDEX(绊状态确认!K:K,MATCH($G272,绊状态确认!$B:$B,)))</f>
        <v>8449.0885439999984</v>
      </c>
      <c r="AN272" s="1106">
        <f>IF($P272="","N/A",(IF($P272=-1,INDEX('卡片raw data'!U:U,MATCH($D272,'卡片raw data'!$F:$F,)),0)+IF($P272=0,INDEX('卡片raw data'!X:X,MATCH($D272,'卡片raw data'!$F:$F,)),0)+IF($P272=1,INDEX('卡片raw data'!AA:AA,MATCH($D272,'卡片raw data'!$F:$F,)),0)+IF($P272=2,INDEX('卡片raw data'!AD:AD,MATCH($D272,'卡片raw data'!$F:$F,)),0)+IF($P272=3,INDEX('卡片raw data'!AG:AG,MATCH($D272,'卡片raw data'!$F:$F,)),0)+IF($P272=4,INDEX('卡片raw data'!AJ:AJ,MATCH($D272,'卡片raw data'!$F:$F,)),0)+IF($P272=5,INDEX('卡片raw data'!AM:AM,MATCH($D272,'卡片raw data'!$F:$F,)),0)+INDEX('卡片raw data'!U:U,MATCH($D272,'卡片raw data'!$F:$F,))*(IF($F272="UR",0.04,0.033))*(IF($F272="UR",INDEX(绊状态确认!$S:$S,MATCH($G272,绊状态确认!$B:$B,))/2-40)+IF($F272="SR",INDEX(绊状态确认!$R:$R,MATCH($G272,绊状态确认!$B:$B,))/4-15))+IF($F272="R",INDEX(绊状态确认!$Q:$Q,MATCH($G272,绊状态确认!$B:$B,))/6-40/6)))*(INDEX(绊状态确认!$H:$H,MATCH($G272,绊状态确认!$B:$B,))+INDEX(绊状态确认!L:L,MATCH($G272,绊状态确认!$B:$B,)))</f>
        <v>13000.415999999997</v>
      </c>
      <c r="AO272" s="1107">
        <f t="shared" si="364"/>
        <v>1</v>
      </c>
      <c r="AP272" s="1131">
        <f>1+(INDEX(绊状态确认!$T:$T,MATCH($G272,绊状态确认!$B:$B,))+0.2)*$AO272</f>
        <v>1.3</v>
      </c>
      <c r="AQ272" s="1108">
        <f t="shared" si="365"/>
        <v>32254.075827999994</v>
      </c>
      <c r="AR272" s="1097">
        <f>(AM272*(1+$EX$9)+$EX$35)*(1+(INDEX(绊状态确认!$T:$T,MATCH($G272,绊状态确认!$B:$B,))+0.2)*AO272)*IF(J272=$FF$17,1+$FE$17,1)*IF(I272=$FF$14,1+$FE$14,1)*(1+$FE$15)</f>
        <v>14237.00586256</v>
      </c>
      <c r="AS272" s="1097">
        <f>(AN272*(1+$EX$10)+$EX$36)*(1+(INDEX(绊状态确认!$T:$T,MATCH($G272,绊状态确认!$B:$B,))+0.2)*AO272)*IF(J272=$FF$17,1+$FE$17,1)*IF(I272=$FF$14,1+$FE$14,1)*(1+$FE$15)</f>
        <v>23491.621919999998</v>
      </c>
      <c r="AT272" s="1093">
        <f>IF(AND(INDEX('卡片raw data'!AK:AK,MATCH($D272,'卡片raw data'!$F:$F,))&lt;INDEX('卡片raw data'!AM:AM,MATCH($D272,'卡片raw data'!$F:$F,)),INDEX('卡片raw data'!AL:AL,MATCH($D272,'卡片raw data'!$F:$F,))&lt;INDEX('卡片raw data'!AM:AM,MATCH($D272,'卡片raw data'!$F:$F,))),1,0)</f>
        <v>1</v>
      </c>
      <c r="AU272" s="1098">
        <f>MIN(AT272*0.15+AS272*0.00003+INDEX(绊状态确认!M:M,MATCH($G272,绊状态确认!$B:$B,)),1)</f>
        <v>0.88474865759999999</v>
      </c>
      <c r="AV272" s="1109">
        <f>(INDEX(绊状态确认!$N:$N,MATCH($G272,绊状态确认!$B:$B,))+1.5)*$EW$21</f>
        <v>2.6599999999999997</v>
      </c>
      <c r="AW272" s="1101">
        <f t="shared" si="366"/>
        <v>41353.022021712735</v>
      </c>
      <c r="AX272" s="1097">
        <f t="shared" si="367"/>
        <v>1225.0589467485925</v>
      </c>
      <c r="AY272" s="1110">
        <f t="shared" si="368"/>
        <v>42578.080968461327</v>
      </c>
      <c r="AZ272" s="429">
        <f t="shared" si="369"/>
        <v>24145.884900799996</v>
      </c>
      <c r="BA272" s="431">
        <f t="shared" si="370"/>
        <v>28975.061880959995</v>
      </c>
      <c r="BB272" s="1097">
        <f>(AM272*(1+$FB$9)+$FB$35)*(1+(INDEX(绊状态确认!$T:$T,MATCH($G272,绊状态确认!$B:$B,))+0.2)*AO272)*IF(J272=$FF$17,1+$FE$17,1)*IF(I272=$FF$14,1+$FE$14,1)*(1+$FE$15)</f>
        <v>14237.00586256</v>
      </c>
      <c r="BC272" s="1097">
        <f>(AN272*(1+$FB$10)+$FB$36)*(1+(INDEX(绊状态确认!$T:$T,MATCH($G272,绊状态确认!$B:$B,))+0.2)*AO272)*IF(J272=$FF$17,1+$FE$17,1)*IF(I272=$FF$14,1+$FE$14,1)*(1+$FE$15)</f>
        <v>23491.621919999998</v>
      </c>
      <c r="BD272" s="1104">
        <f>MIN(AT272*0.15+BC272*0.00003+INDEX(绊状态确认!M:M,MATCH($G272,绊状态确认!$B:$B,)),1)</f>
        <v>0.88474865759999999</v>
      </c>
      <c r="BE272" s="432">
        <f>(INDEX(绊状态确认!$N:$N,MATCH($G272,绊状态确认!$B:$B,))+1.5)</f>
        <v>1.9</v>
      </c>
      <c r="BF272" s="1139">
        <f t="array" ref="BF272">SUMPRODUCT(IF(AZ272*AP272*$FI$16:$FI$23*$FA$22&gt;=$FI$24,$FI$24,AZ272*AP272*$FI$16:$FI$23*$FA$22),$FJ$16:$FJ$23)</f>
        <v>48026.165067691196</v>
      </c>
      <c r="BG272" s="1125">
        <f t="array" ref="BG272">SUMPRODUCT(IF(BE272*AZ272*AP272*$FI$16:$FI$23*$FA$22&gt;=$FI$24,$FI$24,BE272*AZ272*AP272*$FI$16:$FI$23*$FA$22),$FJ$16:$FJ$23)</f>
        <v>60000</v>
      </c>
      <c r="BH272" s="1110">
        <f t="shared" si="371"/>
        <v>19539.999816791798</v>
      </c>
      <c r="BI272" s="1111">
        <f>IF(O272="vo",$EW$26/$EW$24*0.05,0)+IF(O272="sk",-$EW$26/$EW$24*(0.05-INDEX(绊状态确认!W:W,MATCH($G272,绊状态确认!$B:$B,)))+0.05*$EW$28,0)+IF(O272="sp",0.05*$EW$32*$EW$30*(1-$EW$33)-(0.05-INDEX(绊状态确认!V:V,MATCH($G272,绊状态确认!$B:$B,)))*$EW$28,0)+IF(O272="gd",-(0.05-INDEX(绊状态确认!X:X,MATCH($G272,绊状态确认!$B:$B,)))*$EW$32*$EW$30*(1-$EW$33),0)</f>
        <v>-6253.6726349699375</v>
      </c>
      <c r="BJ272" s="1097">
        <f>IF(O272="vo",0.05*(1-$FI$26)*$FA$24,0)+IF(O272="sk",-(0.05-INDEX(绊状态确认!W:W,MATCH($G272,绊状态确认!$B:$B,)))*(1-$FI$26)*$FA$24+0.05*$FA$26,0)+IF(O272="sp",0.05*$FA$32*$FA$27*(1-$FA$33)/$FA$30+0.05*$FA$29/$FA$69*$FA$27*(1-$FA$33)-(0.05-INDEX(绊状态确认!V:V,MATCH($G272,绊状态确认!$B:$B,)))*$FA$26,0)+IF(O272="gd",-(0.05-INDEX(绊状态确认!X:X,MATCH($G272,绊状态确认!$B:$B,)))*$FA$32*$FA$27*(1-$FA$33)/$FA$30-(0.05-INDEX(绊状态确认!X:X,MATCH($G272,绊状态确认!$B:$B,)))*$FA$29/$FA$69*$FA$27*(1-$FA$33),0)</f>
        <v>20.459096812499922</v>
      </c>
      <c r="BK272" s="1110">
        <f>IF(O272="vo",$EW$26/$EW$24*0.05+$EW$26*(-HP($EW$62,$EW$65,$EW$64)+HP($EW$62,$EW$65,(1.05-INDEX(绊状态确认!U:U,MATCH($G272,绊状态确认!$B:$B,)))*$EW$64)),0)+IF(O272="sk",-$EW$26/$EW$24*(0.05-INDEX(绊状态确认!W:W,MATCH($G272,绊状态确认!$B:$B,)))+0.05*$EW$29,0)+IF(O272="sp",0.05*$EW$32*$EW$30*(1-$EW$33)-(0.05-INDEX(绊状态确认!V:V,MATCH($G272,绊状态确认!$B:$B,)))*$EW$29,0)+IF(O272="gd",-(0.05-INDEX(绊状态确认!X:X,MATCH($G272,绊状态确认!$B:$B,)))*$EW$32*$EW$30*(1-$EW$33)+$EW$26*(-HP($EW$62,$EW$65,$EW$64)+HP($EW$62,$EW$65,0.95*$EW$64)),0)</f>
        <v>-4253.6726349699375</v>
      </c>
      <c r="BL272" s="1111">
        <f t="shared" si="372"/>
        <v>0</v>
      </c>
      <c r="BM272" s="1110">
        <f t="shared" si="373"/>
        <v>0</v>
      </c>
      <c r="BN272" s="1113">
        <f t="shared" si="374"/>
        <v>3</v>
      </c>
      <c r="BO272" s="1097">
        <f t="shared" si="375"/>
        <v>4507.7214871259994</v>
      </c>
      <c r="BP272" s="1100">
        <f t="shared" si="376"/>
        <v>221.34103209030098</v>
      </c>
      <c r="BQ272" s="1113" t="s">
        <v>667</v>
      </c>
      <c r="BR272" s="1124" t="s">
        <v>168</v>
      </c>
      <c r="BS272" s="1098">
        <f>IF($P272="","N/A",IF($P272=-1,INDEX('卡片raw data'!AX:AX,MATCH($D272,'卡片raw data'!$F:$F,)),0)+IF($L272="party卡",IF($P272=5,INDEX('卡片raw data'!BD:BD,MATCH($D272,'卡片raw data'!$F:$F,)),IF($P272&gt;=3,INDEX('卡片raw data'!BC:BC,MATCH($D272,'卡片raw data'!$F:$F,)),INDEX('卡片raw data'!BB:BB,MATCH($D272,'卡片raw data'!$F:$F,)))),IF(OR(AND($F272="UR",$P272=0),AND($F272="SR",$P272&gt;=0,$P272&lt;=2),AND($F272="R",$P272&gt;=0,$P272&lt;4)),INDEX('卡片raw data'!AZ:AZ,MATCH($D272,'卡片raw data'!$F:$F,)),0)+IF(OR(AND($F272="UR",$P272&gt;=1,$P272&lt;=4),AND($F272="SR",$P272&lt;=4,$P272&gt;=3),AND($F272="R",$P272=4)),INDEX('卡片raw data'!BA:BA,MATCH($D272,'卡片raw data'!$F:$F,)),0)+IF($P272=5,INDEX('卡片raw data'!BB:BB,MATCH($D272,'卡片raw data'!$F:$F,)),0)))</f>
        <v>7.0000000000000007E-2</v>
      </c>
      <c r="BT272" s="1101">
        <f t="shared" si="377"/>
        <v>5259.008401647</v>
      </c>
      <c r="BU272" s="1097">
        <f t="shared" si="378"/>
        <v>258.2312041053512</v>
      </c>
      <c r="BV272" s="1097">
        <f t="shared" si="379"/>
        <v>0</v>
      </c>
      <c r="BW272" s="1112">
        <f t="shared" si="380"/>
        <v>0</v>
      </c>
      <c r="BX272" s="1100">
        <f t="shared" si="381"/>
        <v>5259.008401647</v>
      </c>
      <c r="BY272" s="1110">
        <f t="shared" si="382"/>
        <v>0</v>
      </c>
      <c r="BZ272" s="1107" t="s">
        <v>569</v>
      </c>
      <c r="CA272" s="1124"/>
      <c r="CB272" s="1098">
        <f>IF($P272="","N/A",IF($P272=-1,INDEX('卡片raw data'!BE:BE,MATCH($D272,'卡片raw data'!$F:$F,)),0)+IF($L272="party卡",IF($P272=5,INDEX('卡片raw data'!BK:BK,MATCH($D272,'卡片raw data'!$F:$F,)),IF($P272&gt;=3,INDEX('卡片raw data'!BJ:BJ,MATCH($D272,'卡片raw data'!$F:$F,)),INDEX('卡片raw data'!BI:BI,MATCH($D272,'卡片raw data'!$F:$F,)))),IF(OR(AND($F272="UR",$P272=0),AND($F272="SR",$P272&gt;=0,$P272&lt;=2),AND($F272="R",$P272&gt;=0,$P272&lt;4)),INDEX('卡片raw data'!BG:BG,MATCH($D272,'卡片raw data'!$F:$F,)),0)+IF(OR(AND($F272="UR",$P272&gt;=1,$P272&lt;=4),AND($F272="SR",$P272&lt;=4,$P272&gt;=3),AND($F272="R",$P272=4)),INDEX('卡片raw data'!BH:BH,MATCH($D272,'卡片raw data'!$F:$F,)),0)+IF($P272=5,INDEX('卡片raw data'!BI:BI,MATCH($D272,'卡片raw data'!$F:$F,)),0)))</f>
        <v>0</v>
      </c>
      <c r="CC272" s="1101">
        <f t="shared" si="383"/>
        <v>0</v>
      </c>
      <c r="CD272" s="1097">
        <f>IF(BZ272="ap",CB272*(1-$FI$26)*$FB$5/$FB$11*(+IF(CA272="全员",$FA$24,0)+IF(CA272="同作战",$FA$24,0)+IF(CA272="仲间",$FA$24*2/3,0)+IF(CA272="同属性",$FA$24*$FA$37/3,0)+IF(CA272="同年级",$FA$24*$FA$40/3,0)+IF(CA272="同学校",$FA$24*$FA$43/3,0)+IF(CA272="同小队",$FA$24*$FA$46/3,0)+IF(CA272="同type",$FA$24*INDEX($FB$49:$FB$52,MATCH(X272,$FA$49:$FA$52,))/3,0)+IF(CA272="自身",#REF!/3,0)),0)+IF(BZ272="te",CB272*(1-$FI$27)*($FA$20-1)*$FB$7/$FB$13*(+IF(CA272="全员",$FA$19*$FA$24/(1+($FA$20-1)*$FA$19),0)+IF(CA272="同作战",$FA$19*$FA$24/(1+($FA$20-1)*$FA$19),0)+IF(CA272="仲间",$FA$19*$FA$24*2/3/(1+($FA$20-1)*$FA$19),0)+IF(CA272="同属性",$FA$19*$FA$24*$FA$37/3/(1+($FA$20-1)*$FA$19),0)+IF(CA272="同年级",$FA$19*$FA$24*$FA$40/3/(1+($FA$20-1)*$FA$19),0)+IF(CA272="同学校",$FA$19*$FA$24*$FA$43/3/(1+($FA$20-1)*$FA$19),0)+IF(CA272="同小队",$FA$19*$FA$24*$FA$46/3/(1+($FA$20-1)*$FA$19),0)+IF(CA272="同type",$FA$19*$FA$24*INDEX($FB$49:$FB$52,MATCH(X272,$FA$49:$FA$52,))/3/(1+($FA$20-1)*$FA$19),0)+IF(CA272="自身",$FA$19*#REF!/3/(1+(BH272-1)*$BD272),0)),0)</f>
        <v>0</v>
      </c>
      <c r="CE272" s="1097">
        <f t="shared" si="384"/>
        <v>0</v>
      </c>
      <c r="CF272" s="1112">
        <f t="shared" si="385"/>
        <v>0</v>
      </c>
      <c r="CG272" s="1100">
        <f t="shared" si="386"/>
        <v>0</v>
      </c>
      <c r="CH272" s="1110">
        <f t="shared" si="387"/>
        <v>0</v>
      </c>
      <c r="CI272" s="1113" t="s">
        <v>172</v>
      </c>
      <c r="CJ272" s="1114">
        <v>0.1</v>
      </c>
      <c r="CK272" s="1115" t="s">
        <v>670</v>
      </c>
      <c r="CL272" s="1115" t="s">
        <v>161</v>
      </c>
      <c r="CM272" s="1119">
        <v>5.5E-2</v>
      </c>
      <c r="CN272" s="1115">
        <v>5</v>
      </c>
      <c r="CO272" s="1092"/>
      <c r="CP272" s="1118">
        <f t="shared" si="388"/>
        <v>9.1666666666666667E-3</v>
      </c>
      <c r="CQ272" s="1118">
        <f t="shared" si="389"/>
        <v>9.1666666666666667E-3</v>
      </c>
      <c r="CR272" s="1118">
        <f t="shared" si="390"/>
        <v>0</v>
      </c>
      <c r="CS272" s="1118">
        <f t="shared" si="391"/>
        <v>0</v>
      </c>
      <c r="CT272" s="1109">
        <f t="shared" si="392"/>
        <v>0</v>
      </c>
      <c r="CU272" s="1101">
        <f t="shared" si="393"/>
        <v>1072.7949717038125</v>
      </c>
      <c r="CV272" s="1108">
        <f t="shared" si="394"/>
        <v>74.225659225625122</v>
      </c>
      <c r="CW272" s="1097">
        <f t="shared" si="395"/>
        <v>0</v>
      </c>
      <c r="CX272" s="1097">
        <f t="shared" si="396"/>
        <v>1072.7949717038125</v>
      </c>
      <c r="CY272" s="1110">
        <f t="shared" si="397"/>
        <v>0</v>
      </c>
      <c r="CZ272" s="437"/>
      <c r="DA272" s="438"/>
      <c r="DB272" s="439" t="s">
        <v>569</v>
      </c>
      <c r="DC272" s="439"/>
      <c r="DD272" s="443"/>
      <c r="DE272" s="411"/>
      <c r="DF272" s="411"/>
      <c r="DG272" s="1116">
        <f t="shared" si="398"/>
        <v>0</v>
      </c>
      <c r="DH272" s="1116">
        <f t="shared" si="399"/>
        <v>0</v>
      </c>
      <c r="DI272" s="1116">
        <f t="shared" si="400"/>
        <v>0</v>
      </c>
      <c r="DJ272" s="442">
        <f t="shared" si="401"/>
        <v>0</v>
      </c>
      <c r="DK272" s="1109">
        <f t="shared" si="402"/>
        <v>0</v>
      </c>
      <c r="DL272" s="1101">
        <f t="shared" si="403"/>
        <v>0</v>
      </c>
      <c r="DM272" s="1097">
        <f t="shared" si="404"/>
        <v>0</v>
      </c>
      <c r="DN272" s="1097">
        <f t="shared" si="405"/>
        <v>0</v>
      </c>
      <c r="DO272" s="1097">
        <f t="shared" si="406"/>
        <v>0</v>
      </c>
      <c r="DP272" s="1110">
        <f t="shared" si="407"/>
        <v>0</v>
      </c>
      <c r="DQ272" s="1113" t="s">
        <v>221</v>
      </c>
      <c r="DR272" s="1120">
        <f t="shared" si="408"/>
        <v>0.33</v>
      </c>
      <c r="DS272" s="1124">
        <v>5</v>
      </c>
      <c r="DT272" s="1093" t="s">
        <v>161</v>
      </c>
      <c r="DU272" s="1093" t="s">
        <v>671</v>
      </c>
      <c r="DV272" s="1098">
        <f>IF($P272="","N/A",IF(P272=-1,INDEX('卡片raw data'!AN:AN,MATCH(D272,'卡片raw data'!$F:$F,)),0)+IF(AND(L272&lt;&gt;"party卡",P272&lt;=2,P272&gt;=0),INDEX('卡片raw data'!AP:AP,MATCH(D272,'卡片raw data'!$F:$F,)),0)+IF(OR(AND(L272="party卡",P272&lt;=1),AND(P272&lt;=4,L272&lt;&gt;"party卡",P272&gt;=3)),INDEX('卡片raw data'!AQ:AQ,MATCH(D272,'卡片raw data'!$F:$F,)),0)+IF(OR(P272=5,AND(L272="party卡",P272&gt;=2)),INDEX('卡片raw data'!AR:AR,MATCH(D272,'卡片raw data'!$F:$F,)),0))</f>
        <v>6.2E-2</v>
      </c>
      <c r="DW272" s="1098">
        <f t="shared" si="409"/>
        <v>0.33</v>
      </c>
      <c r="DX272" s="1098">
        <f t="shared" si="410"/>
        <v>0.33</v>
      </c>
      <c r="DY272" s="1098">
        <f t="shared" si="411"/>
        <v>3.4100000000000005E-2</v>
      </c>
      <c r="DZ272" s="1098">
        <f t="shared" si="412"/>
        <v>2.9496500000000005E-2</v>
      </c>
      <c r="EA272" s="1098">
        <f t="shared" si="413"/>
        <v>0</v>
      </c>
      <c r="EB272" s="1121">
        <f t="shared" si="414"/>
        <v>0</v>
      </c>
      <c r="EC272" s="1101">
        <f t="shared" si="415"/>
        <v>5796.2724563938309</v>
      </c>
      <c r="ED272" s="1097">
        <f t="shared" si="416"/>
        <v>232.39368335266883</v>
      </c>
      <c r="EE272" s="1110">
        <f t="shared" si="417"/>
        <v>5796.2724563938309</v>
      </c>
      <c r="EF272" s="1092" t="s">
        <v>711</v>
      </c>
      <c r="EG272" s="1120">
        <f t="shared" si="418"/>
        <v>0.33</v>
      </c>
      <c r="EH272" s="1124"/>
      <c r="EI272" s="1093"/>
      <c r="EJ272" s="1093"/>
      <c r="EK272" s="1097">
        <f>IF($P272="","N/A",IF(P272=-1,INDEX('卡片raw data'!AS:AS,MATCH(D272,'卡片raw data'!$F:$F,)),0)+IF(AND(L272&lt;&gt;"party卡",P272&lt;=2,P272&gt;=0),INDEX('卡片raw data'!AU:AU,MATCH(D272,'卡片raw data'!$F:$F,)),0)+IF(OR(AND(L272="party卡",P272&lt;=1),AND(P272&lt;=4,L272&lt;&gt;"party卡",P272&gt;=3)),INDEX('卡片raw data'!AV:AV,MATCH(D272,'卡片raw data'!$F:$F,)),0)+IF(OR(P272=5,AND(L272="party卡",P272&gt;=2)),INDEX('卡片raw data'!AW:AW,MATCH(D272,'卡片raw data'!$F:$F,)),0))</f>
        <v>0</v>
      </c>
      <c r="EL272" s="1098">
        <f t="shared" si="419"/>
        <v>0.33</v>
      </c>
      <c r="EM272" s="1098">
        <f t="shared" si="420"/>
        <v>0.33</v>
      </c>
      <c r="EN272" s="1125">
        <f t="shared" si="421"/>
        <v>0</v>
      </c>
      <c r="EO272" s="1125">
        <f t="shared" si="422"/>
        <v>0</v>
      </c>
      <c r="EP272" s="1098">
        <f t="shared" si="423"/>
        <v>0</v>
      </c>
      <c r="EQ272" s="1121">
        <f t="shared" si="424"/>
        <v>0</v>
      </c>
      <c r="ER272" s="1101">
        <f t="shared" si="425"/>
        <v>0</v>
      </c>
      <c r="ES272" s="1097">
        <f t="shared" si="426"/>
        <v>0</v>
      </c>
      <c r="ET272" s="1122">
        <f t="shared" si="427"/>
        <v>0</v>
      </c>
    </row>
    <row r="273" spans="2:150" ht="16.5" customHeight="1">
      <c r="B273" s="1123" t="str">
        <f>INDEX('卡片raw data'!B:B,MATCH($D273,'卡片raw data'!$F:$F,))</f>
        <v>五单绘</v>
      </c>
      <c r="C273" s="449" t="s">
        <v>659</v>
      </c>
      <c r="D273" s="408">
        <v>270</v>
      </c>
      <c r="E273" s="1090">
        <v>400022002</v>
      </c>
      <c r="F273" s="1090" t="str">
        <f>INDEX('卡片raw data'!C:C,MATCH($D273,'卡片raw data'!$F:$F,))</f>
        <v>SR</v>
      </c>
      <c r="G273" s="1094" t="s">
        <v>25</v>
      </c>
      <c r="H273" s="411">
        <f>IFERROR(INDEX(绊状态确认!C:C,MATCH($G273,绊状态确认!$B:$B,)),"")</f>
        <v>2</v>
      </c>
      <c r="I273" s="450" t="str">
        <f>IFERROR(INDEX(绊状态确认!D:D,MATCH($G273,绊状态确认!$B:$B,)),"")</f>
        <v>缪</v>
      </c>
      <c r="J273" s="450" t="str">
        <f>IFERROR(INDEX(绊状态确认!E:E,MATCH($G273,绊状态确认!$B:$B,)),"")</f>
        <v>3年级</v>
      </c>
      <c r="K273" s="451" t="str">
        <f>IFERROR(INDEX(绊状态确认!F:F,MATCH($G273,绊状态确认!$B:$B,)),"")</f>
        <v>BiBi</v>
      </c>
      <c r="L273" s="1094" t="str">
        <f>INDEX('卡片raw data'!E:E,MATCH($D273,'卡片raw data'!$F:$F,))</f>
        <v>活动卡</v>
      </c>
      <c r="M273" s="415">
        <v>44018</v>
      </c>
      <c r="N273" s="416">
        <v>19</v>
      </c>
      <c r="O273" s="1091" t="str">
        <f>INDEX('卡片raw data'!D:D,MATCH($D273,'卡片raw data'!$F:$F,))</f>
        <v>gd</v>
      </c>
      <c r="P273" s="417">
        <v>5</v>
      </c>
      <c r="Q273" s="1095">
        <f t="shared" si="343"/>
        <v>16746.273340087024</v>
      </c>
      <c r="R273" s="1096">
        <f t="shared" si="344"/>
        <v>0.19400000000000001</v>
      </c>
      <c r="S273" s="1097">
        <f t="shared" si="345"/>
        <v>9623.27327832419</v>
      </c>
      <c r="T273" s="1098">
        <f t="shared" si="346"/>
        <v>0.48099999999999998</v>
      </c>
      <c r="U273" s="1099">
        <f t="shared" si="347"/>
        <v>71.967739014611425</v>
      </c>
      <c r="V273" s="1100">
        <f t="shared" si="348"/>
        <v>23819.246245738887</v>
      </c>
      <c r="W273" s="1101">
        <f t="shared" si="349"/>
        <v>4507.7214871259994</v>
      </c>
      <c r="X273" s="1096">
        <f t="shared" si="350"/>
        <v>5.1999999999999998E-2</v>
      </c>
      <c r="Y273" s="1097">
        <f t="shared" si="351"/>
        <v>1152.7728986480033</v>
      </c>
      <c r="Z273" s="1102">
        <f t="shared" si="352"/>
        <v>14.467739014611427</v>
      </c>
      <c r="AA273" s="1103">
        <f t="shared" si="353"/>
        <v>5660.4943857740027</v>
      </c>
      <c r="AB273" s="1101">
        <f t="shared" si="354"/>
        <v>4507.7214871259994</v>
      </c>
      <c r="AC273" s="1104">
        <f t="shared" si="355"/>
        <v>5.1999999999999998E-2</v>
      </c>
      <c r="AD273" s="1105">
        <f t="shared" si="356"/>
        <v>-3.8207812500000026E-3</v>
      </c>
      <c r="AE273" s="1128">
        <f t="shared" si="357"/>
        <v>-18.525362318840578</v>
      </c>
      <c r="AF273" s="1130">
        <f t="shared" si="358"/>
        <v>0</v>
      </c>
      <c r="AG273" s="420">
        <f t="shared" si="359"/>
        <v>0</v>
      </c>
      <c r="AH273" s="420">
        <f t="shared" si="360"/>
        <v>0</v>
      </c>
      <c r="AI273" s="1097">
        <f t="shared" si="361"/>
        <v>0</v>
      </c>
      <c r="AJ273" s="420">
        <f t="shared" si="362"/>
        <v>0</v>
      </c>
      <c r="AK273" s="518">
        <f t="shared" si="363"/>
        <v>0</v>
      </c>
      <c r="AL273" s="1106">
        <f>IF($P273="","N/A",(IF($P273=-1,INDEX('卡片raw data'!S:S,MATCH($D273,'卡片raw data'!$F:$F,)),0)+IF($P273=0,INDEX('卡片raw data'!V:V,MATCH($D273,'卡片raw data'!$F:$F,)),0)+IF($P273=1,INDEX('卡片raw data'!Y:Y,MATCH($D273,'卡片raw data'!$F:$F,)),0)+IF($P273=2,INDEX('卡片raw data'!AB:AB,MATCH($D273,'卡片raw data'!$F:$F,)),0)+IF($P273=3,INDEX('卡片raw data'!AE:AE,MATCH($D273,'卡片raw data'!$F:$F,)),0)+IF($P273=4,INDEX('卡片raw data'!AH:AH,MATCH($D273,'卡片raw data'!$F:$F,)),0)+IF($P273=5,INDEX('卡片raw data'!AK:AK,MATCH($D273,'卡片raw data'!$F:$F,)),0)+INDEX('卡片raw data'!S:S,MATCH($D273,'卡片raw data'!$F:$F,))*(IF($F273="UR",0.04,0.033))*(IF($F273="UR",INDEX(绊状态确认!$S:$S,MATCH($G273,绊状态确认!$B:$B,))/2-40)+IF($F273="SR",INDEX(绊状态确认!$R:$R,MATCH($G273,绊状态确认!$B:$B,))/4-15))+IF($F273="R",INDEX(绊状态确认!$Q:$Q,MATCH($G273,绊状态确认!$B:$B,))/6-40/6)))*(INDEX(绊状态确认!$H:$H,MATCH($G273,绊状态确认!$B:$B,))+INDEX(绊状态确认!J:J,MATCH($G273,绊状态确认!$B:$B,)))</f>
        <v>5033.5110671999992</v>
      </c>
      <c r="AM273" s="1106">
        <f>IF($P273="","N/A",(IF($P273=-1,INDEX('卡片raw data'!T:T,MATCH($D273,'卡片raw data'!$F:$F,)),0)+IF($P273=0,INDEX('卡片raw data'!W:W,MATCH($D273,'卡片raw data'!$F:$F,)),0)+IF($P273=1,INDEX('卡片raw data'!Z:Z,MATCH($D273,'卡片raw data'!$F:$F,)),0)+IF($P273=2,INDEX('卡片raw data'!AC:AC,MATCH($D273,'卡片raw data'!$F:$F,)),0)+IF($P273=3,INDEX('卡片raw data'!AF:AF,MATCH($D273,'卡片raw data'!$F:$F,)),0)+IF($P273=4,INDEX('卡片raw data'!AI:AI,MATCH($D273,'卡片raw data'!$F:$F,)),0)+IF($P273=5,INDEX('卡片raw data'!AL:AL,MATCH($D273,'卡片raw data'!$F:$F,)),0)+INDEX('卡片raw data'!T:T,MATCH($D273,'卡片raw data'!$F:$F,))*(IF($F273="UR",0.04,0.033))*(IF($F273="UR",INDEX(绊状态确认!$S:$S,MATCH($G273,绊状态确认!$B:$B,))/2-40)+IF($F273="SR",INDEX(绊状态确认!$R:$R,MATCH($G273,绊状态确认!$B:$B,))/4-15))+IF($F273="R",INDEX(绊状态确认!$Q:$Q,MATCH($G273,绊状态确认!$B:$B,))/6-40/6)))*(INDEX(绊状态确认!$H:$H,MATCH($G273,绊状态确认!$B:$B,))+INDEX(绊状态确认!K:K,MATCH($G273,绊状态确认!$B:$B,)))</f>
        <v>6710.9692895999988</v>
      </c>
      <c r="AN273" s="1106">
        <f>IF($P273="","N/A",(IF($P273=-1,INDEX('卡片raw data'!U:U,MATCH($D273,'卡片raw data'!$F:$F,)),0)+IF($P273=0,INDEX('卡片raw data'!X:X,MATCH($D273,'卡片raw data'!$F:$F,)),0)+IF($P273=1,INDEX('卡片raw data'!AA:AA,MATCH($D273,'卡片raw data'!$F:$F,)),0)+IF($P273=2,INDEX('卡片raw data'!AD:AD,MATCH($D273,'卡片raw data'!$F:$F,)),0)+IF($P273=3,INDEX('卡片raw data'!AG:AG,MATCH($D273,'卡片raw data'!$F:$F,)),0)+IF($P273=4,INDEX('卡片raw data'!AJ:AJ,MATCH($D273,'卡片raw data'!$F:$F,)),0)+IF($P273=5,INDEX('卡片raw data'!AM:AM,MATCH($D273,'卡片raw data'!$F:$F,)),0)+INDEX('卡片raw data'!U:U,MATCH($D273,'卡片raw data'!$F:$F,))*(IF($F273="UR",0.04,0.033))*(IF($F273="UR",INDEX(绊状态确认!$S:$S,MATCH($G273,绊状态确认!$B:$B,))/2-40)+IF($F273="SR",INDEX(绊状态确认!$R:$R,MATCH($G273,绊状态确认!$B:$B,))/4-15))+IF($F273="R",INDEX(绊状态确认!$Q:$Q,MATCH($G273,绊状态确认!$B:$B,))/6-40/6)))*(INDEX(绊状态确认!$H:$H,MATCH($G273,绊状态确认!$B:$B,))+INDEX(绊状态确认!L:L,MATCH($G273,绊状态确认!$B:$B,)))</f>
        <v>5033.5110671999992</v>
      </c>
      <c r="AO273" s="1107">
        <f t="shared" si="364"/>
        <v>1</v>
      </c>
      <c r="AP273" s="1131">
        <f>1+(INDEX(绊状态确认!$T:$T,MATCH($G273,绊状态确认!$B:$B,))+0.2)*$AO273</f>
        <v>1.3</v>
      </c>
      <c r="AQ273" s="1108">
        <f t="shared" si="365"/>
        <v>16462.966551399997</v>
      </c>
      <c r="AR273" s="1097">
        <f>(AM273*(1+$EX$9)+$EX$35)*(1+(INDEX(绊状态确认!$T:$T,MATCH($G273,绊状态确认!$B:$B,))+0.2)*AO273)*IF(J273=$FF$17,1+$FE$17,1)*IF(I273=$FF$14,1+$FE$14,1)</f>
        <v>11864.473080304</v>
      </c>
      <c r="AS273" s="1097">
        <f>(AN273*(1+$EX$10)+$EX$36)*(1+(INDEX(绊状态确认!$T:$T,MATCH($G273,绊状态确认!$B:$B,))+0.2)*AO273)*IF(J273=$FF$17,1+$FE$17,1)*IF(I273=$FF$14,1+$FE$14,1)</f>
        <v>11581.099045464</v>
      </c>
      <c r="AT273" s="1093">
        <f>IF(AND(INDEX('卡片raw data'!AK:AK,MATCH($D273,'卡片raw data'!$F:$F,))&lt;INDEX('卡片raw data'!AM:AM,MATCH($D273,'卡片raw data'!$F:$F,)),INDEX('卡片raw data'!AL:AL,MATCH($D273,'卡片raw data'!$F:$F,))&lt;INDEX('卡片raw data'!AM:AM,MATCH($D273,'卡片raw data'!$F:$F,))),1,0)</f>
        <v>0</v>
      </c>
      <c r="AU273" s="1098">
        <f>MIN(AT273*0.15+AS273*0.00003+INDEX(绊状态确认!M:M,MATCH($G273,绊状态确认!$B:$B,)),1)</f>
        <v>0.37743297136392001</v>
      </c>
      <c r="AV273" s="1109">
        <f>(INDEX(绊状态确认!$N:$N,MATCH($G273,绊状态确认!$B:$B,))+1.5)*$EW$21</f>
        <v>2.6599999999999997</v>
      </c>
      <c r="AW273" s="1101">
        <f t="shared" si="366"/>
        <v>13906.885186294356</v>
      </c>
      <c r="AX273" s="1097">
        <f t="shared" si="367"/>
        <v>1015.5827044346614</v>
      </c>
      <c r="AY273" s="1110">
        <f t="shared" si="368"/>
        <v>14922.467890729016</v>
      </c>
      <c r="AZ273" s="429">
        <f t="shared" si="369"/>
        <v>12415.346581039998</v>
      </c>
      <c r="BA273" s="431">
        <f t="shared" si="370"/>
        <v>14898.415897247996</v>
      </c>
      <c r="BB273" s="1097">
        <f>(AM273*(1+$FB$9)+$FB$35)*(1+(INDEX(绊状态确认!$T:$T,MATCH($G273,绊状态确认!$B:$B,))+0.2)*AO273)*IF(J273=$FF$17,1+$FE$17,1)*IF(I273=$FF$14,1+$FE$14,1)*(1+$FE$15)</f>
        <v>11864.473080304</v>
      </c>
      <c r="BC273" s="1097">
        <f>(AN273*(1+$FB$10)+$FB$36)*(1+(INDEX(绊状态确认!$T:$T,MATCH($G273,绊状态确认!$B:$B,))+0.2)*AO273)*IF(J273=$FF$17,1+$FE$17,1)*IF(I273=$FF$14,1+$FE$14,1)*(1+$FE$15)</f>
        <v>11581.099045464</v>
      </c>
      <c r="BD273" s="1104">
        <f>MIN(AT273*0.15+BC273*0.00003+INDEX(绊状态确认!M:M,MATCH($G273,绊状态确认!$B:$B,)),1)</f>
        <v>0.37743297136392001</v>
      </c>
      <c r="BE273" s="432">
        <f>(INDEX(绊状态确认!$N:$N,MATCH($G273,绊状态确认!$B:$B,))+1.5)</f>
        <v>1.9</v>
      </c>
      <c r="BF273" s="1139">
        <f t="array" ref="BF273">SUMPRODUCT(IF(AZ273*AP273*$FI$16:$FI$23*$FA$22&gt;=$FI$24,$FI$24,AZ273*AP273*$FI$16:$FI$23*$FA$22),$FJ$16:$FJ$23)</f>
        <v>24694.124349688558</v>
      </c>
      <c r="BG273" s="1125">
        <f t="array" ref="BG273">SUMPRODUCT(IF(BE273*AZ273*AP273*$FI$16:$FI$23*$FA$22&gt;=$FI$24,$FI$24,BE273*AZ273*AP273*$FI$16:$FI$23*$FA$22),$FJ$16:$FJ$23)</f>
        <v>46918.836264408259</v>
      </c>
      <c r="BH273" s="1110">
        <f t="shared" si="371"/>
        <v>11027.487801789444</v>
      </c>
      <c r="BI273" s="1111">
        <f>IF(O273="vo",$EW$26/$EW$24*0.05,0)+IF(O273="sk",-$EW$26/$EW$24*(0.05-INDEX(绊状态确认!W:W,MATCH($G273,绊状态确认!$B:$B,)))+0.05*$EW$28,0)+IF(O273="sp",0.05*$EW$32*$EW$30*(1-$EW$33)-(0.05-INDEX(绊状态确认!V:V,MATCH($G273,绊状态确认!$B:$B,)))*$EW$28,0)+IF(O273="gd",-(0.05-INDEX(绊状态确认!X:X,MATCH($G273,绊状态确认!$B:$B,)))*$EW$32*$EW$30*(1-$EW$33),0)</f>
        <v>-585.00000000000011</v>
      </c>
      <c r="BJ273" s="1097">
        <f>IF(O273="vo",0.05*(1-$FI$26)*$FA$24,0)+IF(O273="sk",-(0.05-INDEX(绊状态确认!W:W,MATCH($G273,绊状态确认!$B:$B,)))*(1-$FI$26)*$FA$24+0.05*$FA$26,0)+IF(O273="sp",0.05*$FA$32*$FA$27*(1-$FA$33)/$FA$30+0.05*$FA$29/$FA$69*$FA$27*(1-$FA$33)-(0.05-INDEX(绊状态确认!V:V,MATCH($G273,绊状态确认!$B:$B,)))*$FA$26,0)+IF(O273="gd",-(0.05-INDEX(绊状态确认!X:X,MATCH($G273,绊状态确认!$B:$B,)))*$FA$32*$FA$27*(1-$FA$33)/$FA$30-(0.05-INDEX(绊状态确认!X:X,MATCH($G273,绊状态确认!$B:$B,)))*$FA$29/$FA$69*$FA$27*(1-$FA$33),0)</f>
        <v>-795.00000000000011</v>
      </c>
      <c r="BK273" s="1110">
        <f>IF(O273="vo",$EW$26/$EW$24*0.05+$EW$26*(-HP($EW$62,$EW$65,$EW$64)+HP($EW$62,$EW$65,(1.05-INDEX(绊状态确认!U:U,MATCH($G273,绊状态确认!$B:$B,)))*$EW$64)),0)+IF(O273="sk",-$EW$26/$EW$24*(0.05-INDEX(绊状态确认!W:W,MATCH($G273,绊状态确认!$B:$B,)))+0.05*$EW$29,0)+IF(O273="sp",0.05*$EW$32*$EW$30*(1-$EW$33)-(0.05-INDEX(绊状态确认!V:V,MATCH($G273,绊状态确认!$B:$B,)))*$EW$29,0)+IF(O273="gd",-(0.05-INDEX(绊状态确认!X:X,MATCH($G273,绊状态确认!$B:$B,)))*$EW$32*$EW$30*(1-$EW$33)+$EW$26*(-HP($EW$62,$EW$65,$EW$64)+HP($EW$62,$EW$65,0.95*$EW$64)),0)</f>
        <v>1009.5947725176144</v>
      </c>
      <c r="BL273" s="1111">
        <f t="shared" si="372"/>
        <v>-1083.3333333333333</v>
      </c>
      <c r="BM273" s="1110">
        <f t="shared" si="373"/>
        <v>-830.55555555555543</v>
      </c>
      <c r="BN273" s="1113">
        <f t="shared" si="374"/>
        <v>3</v>
      </c>
      <c r="BO273" s="1097">
        <f t="shared" si="375"/>
        <v>4507.7214871259994</v>
      </c>
      <c r="BP273" s="1100">
        <f t="shared" si="376"/>
        <v>221.34103209030098</v>
      </c>
      <c r="BQ273" s="1113" t="s">
        <v>666</v>
      </c>
      <c r="BR273" s="1124" t="s">
        <v>168</v>
      </c>
      <c r="BS273" s="1098">
        <f>IF($P273="","N/A",IF($P273=-1,INDEX('卡片raw data'!AX:AX,MATCH($D273,'卡片raw data'!$F:$F,)),0)+IF($L273="party卡",IF($P273=5,INDEX('卡片raw data'!BD:BD,MATCH($D273,'卡片raw data'!$F:$F,)),IF($P273&gt;=3,INDEX('卡片raw data'!BC:BC,MATCH($D273,'卡片raw data'!$F:$F,)),INDEX('卡片raw data'!BB:BB,MATCH($D273,'卡片raw data'!$F:$F,)))),IF(OR(AND($F273="UR",$P273=0),AND($F273="SR",$P273&gt;=0,$P273&lt;=2),AND($F273="R",$P273&gt;=0,$P273&lt;4)),INDEX('卡片raw data'!AZ:AZ,MATCH($D273,'卡片raw data'!$F:$F,)),0)+IF(OR(AND($F273="UR",$P273&gt;=1,$P273&lt;=4),AND($F273="SR",$P273&lt;=4,$P273&gt;=3),AND($F273="R",$P273=4)),INDEX('卡片raw data'!BA:BA,MATCH($D273,'卡片raw data'!$F:$F,)),0)+IF($P273=5,INDEX('卡片raw data'!BB:BB,MATCH($D273,'卡片raw data'!$F:$F,)),0)))</f>
        <v>0.05</v>
      </c>
      <c r="BT273" s="1101">
        <f t="shared" si="377"/>
        <v>0</v>
      </c>
      <c r="BU273" s="1097">
        <f t="shared" si="378"/>
        <v>0</v>
      </c>
      <c r="BV273" s="1097">
        <f t="shared" si="379"/>
        <v>0</v>
      </c>
      <c r="BW273" s="1112">
        <f t="shared" si="380"/>
        <v>1.7558035714285711</v>
      </c>
      <c r="BX273" s="1100">
        <f t="shared" si="381"/>
        <v>137.19019421334193</v>
      </c>
      <c r="BY273" s="1110">
        <f t="shared" si="382"/>
        <v>137.19019421334193</v>
      </c>
      <c r="BZ273" s="1107" t="s">
        <v>569</v>
      </c>
      <c r="CA273" s="1124"/>
      <c r="CB273" s="1098">
        <f>IF($P273="","N/A",IF($P273=-1,INDEX('卡片raw data'!BE:BE,MATCH($D273,'卡片raw data'!$F:$F,)),0)+IF($L273="party卡",IF($P273=5,INDEX('卡片raw data'!BK:BK,MATCH($D273,'卡片raw data'!$F:$F,)),IF($P273&gt;=3,INDEX('卡片raw data'!BJ:BJ,MATCH($D273,'卡片raw data'!$F:$F,)),INDEX('卡片raw data'!BI:BI,MATCH($D273,'卡片raw data'!$F:$F,)))),IF(OR(AND($F273="UR",$P273=0),AND($F273="SR",$P273&gt;=0,$P273&lt;=2),AND($F273="R",$P273&gt;=0,$P273&lt;4)),INDEX('卡片raw data'!BG:BG,MATCH($D273,'卡片raw data'!$F:$F,)),0)+IF(OR(AND($F273="UR",$P273&gt;=1,$P273&lt;=4),AND($F273="SR",$P273&lt;=4,$P273&gt;=3),AND($F273="R",$P273=4)),INDEX('卡片raw data'!BH:BH,MATCH($D273,'卡片raw data'!$F:$F,)),0)+IF($P273=5,INDEX('卡片raw data'!BI:BI,MATCH($D273,'卡片raw data'!$F:$F,)),0)))</f>
        <v>0</v>
      </c>
      <c r="CC273" s="1101">
        <f t="shared" si="383"/>
        <v>0</v>
      </c>
      <c r="CD273" s="1097">
        <f>IF(BZ273="ap",CB273*(1-$FI$26)*$FB$5/$FB$11*(+IF(CA273="全员",$FA$24,0)+IF(CA273="同作战",$FA$24,0)+IF(CA273="仲间",$FA$24*2/3,0)+IF(CA273="同属性",$FA$24*$FA$37/3,0)+IF(CA273="同年级",$FA$24*$FA$40/3,0)+IF(CA273="同学校",$FA$24*$FA$43/3,0)+IF(CA273="同小队",$FA$24*$FA$46/3,0)+IF(CA273="同type",$FA$24*INDEX($FB$49:$FB$52,MATCH(X273,$FA$49:$FA$52,))/3,0)+IF(CA273="自身",#REF!/3,0)),0)+IF(BZ273="te",CB273*(1-$FI$27)*($FA$20-1)*$FB$7/$FB$13*(+IF(CA273="全员",$FA$19*$FA$24/(1+($FA$20-1)*$FA$19),0)+IF(CA273="同作战",$FA$19*$FA$24/(1+($FA$20-1)*$FA$19),0)+IF(CA273="仲间",$FA$19*$FA$24*2/3/(1+($FA$20-1)*$FA$19),0)+IF(CA273="同属性",$FA$19*$FA$24*$FA$37/3/(1+($FA$20-1)*$FA$19),0)+IF(CA273="同年级",$FA$19*$FA$24*$FA$40/3/(1+($FA$20-1)*$FA$19),0)+IF(CA273="同学校",$FA$19*$FA$24*$FA$43/3/(1+($FA$20-1)*$FA$19),0)+IF(CA273="同小队",$FA$19*$FA$24*$FA$46/3/(1+($FA$20-1)*$FA$19),0)+IF(CA273="同type",$FA$19*$FA$24*INDEX($FB$49:$FB$52,MATCH(X273,$FA$49:$FA$52,))/3/(1+($FA$20-1)*$FA$19),0)+IF(CA273="自身",$FA$19*#REF!/3/(1+(BH273-1)*$BD273),0)),0)</f>
        <v>0</v>
      </c>
      <c r="CE273" s="1097">
        <f t="shared" si="384"/>
        <v>0</v>
      </c>
      <c r="CF273" s="1112">
        <f t="shared" si="385"/>
        <v>0</v>
      </c>
      <c r="CG273" s="1100">
        <f t="shared" si="386"/>
        <v>0</v>
      </c>
      <c r="CH273" s="1110">
        <f t="shared" si="387"/>
        <v>0</v>
      </c>
      <c r="CI273" s="1113" t="s">
        <v>165</v>
      </c>
      <c r="CJ273" s="1114">
        <v>0.25</v>
      </c>
      <c r="CK273" s="1115" t="s">
        <v>312</v>
      </c>
      <c r="CL273" s="1115" t="s">
        <v>1946</v>
      </c>
      <c r="CM273" s="1119">
        <v>0.1</v>
      </c>
      <c r="CN273" s="1115"/>
      <c r="CO273" s="1092"/>
      <c r="CP273" s="1118">
        <f t="shared" si="388"/>
        <v>0</v>
      </c>
      <c r="CQ273" s="1118">
        <f t="shared" si="389"/>
        <v>0</v>
      </c>
      <c r="CR273" s="1118">
        <f t="shared" si="390"/>
        <v>0</v>
      </c>
      <c r="CS273" s="1118">
        <f t="shared" si="391"/>
        <v>0</v>
      </c>
      <c r="CT273" s="1109">
        <f t="shared" si="392"/>
        <v>0</v>
      </c>
      <c r="CU273" s="1101">
        <f t="shared" si="393"/>
        <v>0</v>
      </c>
      <c r="CV273" s="1108">
        <f t="shared" si="394"/>
        <v>0</v>
      </c>
      <c r="CW273" s="1097">
        <f t="shared" si="395"/>
        <v>0</v>
      </c>
      <c r="CX273" s="1097">
        <f t="shared" si="396"/>
        <v>0</v>
      </c>
      <c r="CY273" s="1110">
        <f t="shared" si="397"/>
        <v>0</v>
      </c>
      <c r="CZ273" s="437"/>
      <c r="DA273" s="438"/>
      <c r="DB273" s="439" t="s">
        <v>569</v>
      </c>
      <c r="DC273" s="439"/>
      <c r="DD273" s="443"/>
      <c r="DE273" s="411"/>
      <c r="DF273" s="411"/>
      <c r="DG273" s="1116">
        <f t="shared" si="398"/>
        <v>0</v>
      </c>
      <c r="DH273" s="1116">
        <f t="shared" si="399"/>
        <v>0</v>
      </c>
      <c r="DI273" s="1116">
        <f t="shared" si="400"/>
        <v>0</v>
      </c>
      <c r="DJ273" s="442">
        <f t="shared" si="401"/>
        <v>0</v>
      </c>
      <c r="DK273" s="1109">
        <f t="shared" si="402"/>
        <v>0</v>
      </c>
      <c r="DL273" s="1101">
        <f t="shared" si="403"/>
        <v>0</v>
      </c>
      <c r="DM273" s="1097">
        <f t="shared" si="404"/>
        <v>0</v>
      </c>
      <c r="DN273" s="1097">
        <f t="shared" si="405"/>
        <v>0</v>
      </c>
      <c r="DO273" s="1097">
        <f t="shared" si="406"/>
        <v>0</v>
      </c>
      <c r="DP273" s="1110">
        <f t="shared" si="407"/>
        <v>0</v>
      </c>
      <c r="DQ273" s="1113" t="s">
        <v>556</v>
      </c>
      <c r="DR273" s="1120">
        <f t="shared" si="408"/>
        <v>0.3</v>
      </c>
      <c r="DS273" s="1124">
        <v>10</v>
      </c>
      <c r="DT273" s="1093" t="s">
        <v>161</v>
      </c>
      <c r="DU273" s="1093" t="s">
        <v>671</v>
      </c>
      <c r="DV273" s="1098">
        <f>IF($P273="","N/A",IF(P273=-1,INDEX('卡片raw data'!AN:AN,MATCH(D273,'卡片raw data'!$F:$F,)),0)+IF(AND(L273&lt;&gt;"party卡",P273&lt;=2,P273&gt;=0),INDEX('卡片raw data'!AP:AP,MATCH(D273,'卡片raw data'!$F:$F,)),0)+IF(OR(AND(L273="party卡",P273&lt;=1),AND(P273&lt;=4,L273&lt;&gt;"party卡",P273&gt;=3)),INDEX('卡片raw data'!AQ:AQ,MATCH(D273,'卡片raw data'!$F:$F,)),0)+IF(OR(P273=5,AND(L273="party卡",P273&gt;=2)),INDEX('卡片raw data'!AR:AR,MATCH(D273,'卡片raw data'!$F:$F,)),0))</f>
        <v>0.1</v>
      </c>
      <c r="DW273" s="1098">
        <f t="shared" si="409"/>
        <v>0.3</v>
      </c>
      <c r="DX273" s="1098">
        <f t="shared" si="410"/>
        <v>0.3</v>
      </c>
      <c r="DY273" s="1098">
        <f t="shared" si="411"/>
        <v>0.1</v>
      </c>
      <c r="DZ273" s="1098">
        <f t="shared" si="412"/>
        <v>8.6500000000000007E-2</v>
      </c>
      <c r="EA273" s="1098">
        <f t="shared" si="413"/>
        <v>0</v>
      </c>
      <c r="EB273" s="1121">
        <f t="shared" si="414"/>
        <v>0</v>
      </c>
      <c r="EC273" s="1101">
        <f t="shared" si="415"/>
        <v>0</v>
      </c>
      <c r="ED273" s="1097">
        <f t="shared" si="416"/>
        <v>0</v>
      </c>
      <c r="EE273" s="1110">
        <f t="shared" si="417"/>
        <v>4325.6052344862483</v>
      </c>
      <c r="EF273" s="1092" t="s">
        <v>711</v>
      </c>
      <c r="EG273" s="1120">
        <f t="shared" si="418"/>
        <v>0.3</v>
      </c>
      <c r="EH273" s="1124"/>
      <c r="EI273" s="1093"/>
      <c r="EJ273" s="1093"/>
      <c r="EK273" s="1097">
        <f>IF($P273="","N/A",IF(P273=-1,INDEX('卡片raw data'!AS:AS,MATCH(D273,'卡片raw data'!$F:$F,)),0)+IF(AND(L273&lt;&gt;"party卡",P273&lt;=2,P273&gt;=0),INDEX('卡片raw data'!AU:AU,MATCH(D273,'卡片raw data'!$F:$F,)),0)+IF(OR(AND(L273="party卡",P273&lt;=1),AND(P273&lt;=4,L273&lt;&gt;"party卡",P273&gt;=3)),INDEX('卡片raw data'!AV:AV,MATCH(D273,'卡片raw data'!$F:$F,)),0)+IF(OR(P273=5,AND(L273="party卡",P273&gt;=2)),INDEX('卡片raw data'!AW:AW,MATCH(D273,'卡片raw data'!$F:$F,)),0))</f>
        <v>0</v>
      </c>
      <c r="EL273" s="1098">
        <f t="shared" si="419"/>
        <v>0.3</v>
      </c>
      <c r="EM273" s="1098">
        <f t="shared" si="420"/>
        <v>0.3</v>
      </c>
      <c r="EN273" s="1125">
        <f t="shared" si="421"/>
        <v>0</v>
      </c>
      <c r="EO273" s="1125">
        <f t="shared" si="422"/>
        <v>0</v>
      </c>
      <c r="EP273" s="1098">
        <f t="shared" si="423"/>
        <v>0</v>
      </c>
      <c r="EQ273" s="1121">
        <f t="shared" si="424"/>
        <v>0</v>
      </c>
      <c r="ER273" s="1101">
        <f t="shared" si="425"/>
        <v>0</v>
      </c>
      <c r="ES273" s="1097">
        <f t="shared" si="426"/>
        <v>0</v>
      </c>
      <c r="ET273" s="1122">
        <f t="shared" si="427"/>
        <v>0</v>
      </c>
    </row>
    <row r="274" spans="2:150" ht="16.5" customHeight="1">
      <c r="B274" s="1123" t="str">
        <f>INDEX('卡片raw data'!B:B,MATCH($D274,'卡片raw data'!$F:$F,))</f>
        <v>二专步</v>
      </c>
      <c r="C274" s="449" t="s">
        <v>660</v>
      </c>
      <c r="D274" s="408">
        <v>271</v>
      </c>
      <c r="E274" s="1090">
        <v>402012002</v>
      </c>
      <c r="F274" s="1090" t="str">
        <f>INDEX('卡片raw data'!C:C,MATCH($D274,'卡片raw data'!$F:$F,))</f>
        <v>SR</v>
      </c>
      <c r="G274" s="1094" t="s">
        <v>42</v>
      </c>
      <c r="H274" s="411">
        <f>IFERROR(INDEX(绊状态确认!C:C,MATCH($G274,绊状态确认!$B:$B,)),"")</f>
        <v>201</v>
      </c>
      <c r="I274" s="450" t="str">
        <f>IFERROR(INDEX(绊状态确认!D:D,MATCH($G274,绊状态确认!$B:$B,)),"")</f>
        <v>虹</v>
      </c>
      <c r="J274" s="450" t="str">
        <f>IFERROR(INDEX(绊状态确认!E:E,MATCH($G274,绊状态确认!$B:$B,)),"")</f>
        <v>2年级</v>
      </c>
      <c r="K274" s="451" t="str">
        <f>IFERROR(INDEX(绊状态确认!F:F,MATCH($G274,绊状态确认!$B:$B,)),"")</f>
        <v>A·ZU·NA</v>
      </c>
      <c r="L274" s="1094" t="str">
        <f>INDEX('卡片raw data'!E:E,MATCH($D274,'卡片raw data'!$F:$F,))</f>
        <v>活动卡</v>
      </c>
      <c r="M274" s="415">
        <v>44018</v>
      </c>
      <c r="N274" s="416">
        <v>19</v>
      </c>
      <c r="O274" s="1091" t="str">
        <f>INDEX('卡片raw data'!D:D,MATCH($D274,'卡片raw data'!$F:$F,))</f>
        <v>vo</v>
      </c>
      <c r="P274" s="417">
        <v>5</v>
      </c>
      <c r="Q274" s="1095">
        <f t="shared" si="343"/>
        <v>34666.918363327008</v>
      </c>
      <c r="R274" s="1096">
        <f t="shared" si="344"/>
        <v>0.40300000000000002</v>
      </c>
      <c r="S274" s="1097">
        <f t="shared" si="345"/>
        <v>13818.374134373438</v>
      </c>
      <c r="T274" s="1098">
        <f t="shared" si="346"/>
        <v>0.69</v>
      </c>
      <c r="U274" s="1099">
        <f t="shared" si="347"/>
        <v>-14.253371791227146</v>
      </c>
      <c r="V274" s="1100">
        <f t="shared" si="348"/>
        <v>34217.371339361387</v>
      </c>
      <c r="W274" s="1101">
        <f t="shared" si="349"/>
        <v>5449.0954529933751</v>
      </c>
      <c r="X274" s="1096">
        <f t="shared" si="350"/>
        <v>6.3E-2</v>
      </c>
      <c r="Y274" s="1097">
        <f t="shared" si="351"/>
        <v>855.12142627607682</v>
      </c>
      <c r="Z274" s="1102">
        <f t="shared" si="352"/>
        <v>10.746628208772854</v>
      </c>
      <c r="AA274" s="1103">
        <f t="shared" si="353"/>
        <v>6304.216879269452</v>
      </c>
      <c r="AB274" s="1101">
        <f t="shared" si="354"/>
        <v>6142.405783015618</v>
      </c>
      <c r="AC274" s="1104">
        <f t="shared" si="355"/>
        <v>7.0999999999999994E-2</v>
      </c>
      <c r="AD274" s="1105">
        <f t="shared" si="356"/>
        <v>-3.8207812500000026E-3</v>
      </c>
      <c r="AE274" s="1128">
        <f t="shared" si="357"/>
        <v>-12.27536231884058</v>
      </c>
      <c r="AF274" s="1130">
        <f t="shared" si="358"/>
        <v>0</v>
      </c>
      <c r="AG274" s="420">
        <f t="shared" si="359"/>
        <v>0</v>
      </c>
      <c r="AH274" s="420">
        <f t="shared" si="360"/>
        <v>0</v>
      </c>
      <c r="AI274" s="1097">
        <f t="shared" si="361"/>
        <v>0</v>
      </c>
      <c r="AJ274" s="420">
        <f t="shared" si="362"/>
        <v>0</v>
      </c>
      <c r="AK274" s="518">
        <f t="shared" si="363"/>
        <v>0</v>
      </c>
      <c r="AL274" s="1106">
        <f>IF($P274="","N/A",(IF($P274=-1,INDEX('卡片raw data'!S:S,MATCH($D274,'卡片raw data'!$F:$F,)),0)+IF($P274=0,INDEX('卡片raw data'!V:V,MATCH($D274,'卡片raw data'!$F:$F,)),0)+IF($P274=1,INDEX('卡片raw data'!Y:Y,MATCH($D274,'卡片raw data'!$F:$F,)),0)+IF($P274=2,INDEX('卡片raw data'!AB:AB,MATCH($D274,'卡片raw data'!$F:$F,)),0)+IF($P274=3,INDEX('卡片raw data'!AE:AE,MATCH($D274,'卡片raw data'!$F:$F,)),0)+IF($P274=4,INDEX('卡片raw data'!AH:AH,MATCH($D274,'卡片raw data'!$F:$F,)),0)+IF($P274=5,INDEX('卡片raw data'!AK:AK,MATCH($D274,'卡片raw data'!$F:$F,)),0)+INDEX('卡片raw data'!S:S,MATCH($D274,'卡片raw data'!$F:$F,))*(IF($F274="UR",0.04,0.033))*(IF($F274="UR",INDEX(绊状态确认!$S:$S,MATCH($G274,绊状态确认!$B:$B,))/2-40)+IF($F274="SR",INDEX(绊状态确认!$R:$R,MATCH($G274,绊状态确认!$B:$B,))/4-15))+IF($F274="R",INDEX(绊状态确认!$Q:$Q,MATCH($G274,绊状态确认!$B:$B,))/6-40/6)))*(INDEX(绊状态确认!$H:$H,MATCH($G274,绊状态确认!$B:$B,))+INDEX(绊状态确认!J:J,MATCH($G274,绊状态确认!$B:$B,)))</f>
        <v>7045.7640935999989</v>
      </c>
      <c r="AM274" s="1106">
        <f>IF($P274="","N/A",(IF($P274=-1,INDEX('卡片raw data'!T:T,MATCH($D274,'卡片raw data'!$F:$F,)),0)+IF($P274=0,INDEX('卡片raw data'!W:W,MATCH($D274,'卡片raw data'!$F:$F,)),0)+IF($P274=1,INDEX('卡片raw data'!Z:Z,MATCH($D274,'卡片raw data'!$F:$F,)),0)+IF($P274=2,INDEX('卡片raw data'!AC:AC,MATCH($D274,'卡片raw data'!$F:$F,)),0)+IF($P274=3,INDEX('卡片raw data'!AF:AF,MATCH($D274,'卡片raw data'!$F:$F,)),0)+IF($P274=4,INDEX('卡片raw data'!AI:AI,MATCH($D274,'卡片raw data'!$F:$F,)),0)+IF($P274=5,INDEX('卡片raw data'!AL:AL,MATCH($D274,'卡片raw data'!$F:$F,)),0)+INDEX('卡片raw data'!T:T,MATCH($D274,'卡片raw data'!$F:$F,))*(IF($F274="UR",0.04,0.033))*(IF($F274="UR",INDEX(绊状态确认!$S:$S,MATCH($G274,绊状态确认!$B:$B,))/2-40)+IF($F274="SR",INDEX(绊状态确认!$R:$R,MATCH($G274,绊状态确认!$B:$B,))/4-15))+IF($F274="R",INDEX(绊状态确认!$Q:$Q,MATCH($G274,绊状态确认!$B:$B,))/6-40/6)))*(INDEX(绊状态确认!$H:$H,MATCH($G274,绊状态确认!$B:$B,))+INDEX(绊状态确认!K:K,MATCH($G274,绊状态确认!$B:$B,)))</f>
        <v>5367.169471199999</v>
      </c>
      <c r="AN274" s="1106">
        <f>IF($P274="","N/A",(IF($P274=-1,INDEX('卡片raw data'!U:U,MATCH($D274,'卡片raw data'!$F:$F,)),0)+IF($P274=0,INDEX('卡片raw data'!X:X,MATCH($D274,'卡片raw data'!$F:$F,)),0)+IF($P274=1,INDEX('卡片raw data'!AA:AA,MATCH($D274,'卡片raw data'!$F:$F,)),0)+IF($P274=2,INDEX('卡片raw data'!AD:AD,MATCH($D274,'卡片raw data'!$F:$F,)),0)+IF($P274=3,INDEX('卡片raw data'!AG:AG,MATCH($D274,'卡片raw data'!$F:$F,)),0)+IF($P274=4,INDEX('卡片raw data'!AJ:AJ,MATCH($D274,'卡片raw data'!$F:$F,)),0)+IF($P274=5,INDEX('卡片raw data'!AM:AM,MATCH($D274,'卡片raw data'!$F:$F,)),0)+INDEX('卡片raw data'!U:U,MATCH($D274,'卡片raw data'!$F:$F,))*(IF($F274="UR",0.04,0.033))*(IF($F274="UR",INDEX(绊状态确认!$S:$S,MATCH($G274,绊状态确认!$B:$B,))/2-40)+IF($F274="SR",INDEX(绊状态确认!$R:$R,MATCH($G274,绊状态确认!$B:$B,))/4-15))+IF($F274="R",INDEX(绊状态确认!$Q:$Q,MATCH($G274,绊状态确认!$B:$B,))/6-40/6)))*(INDEX(绊状态确认!$H:$H,MATCH($G274,绊状态确认!$B:$B,))+INDEX(绊状态确认!L:L,MATCH($G274,绊状态确认!$B:$B,)))</f>
        <v>4359.3008567999996</v>
      </c>
      <c r="AO274" s="1107">
        <f t="shared" si="364"/>
        <v>1</v>
      </c>
      <c r="AP274" s="1131">
        <f>1+(INDEX(绊状态确认!$T:$T,MATCH($G274,绊状态确认!$B:$B,))+0.2)*$AO274</f>
        <v>1.3</v>
      </c>
      <c r="AQ274" s="1108">
        <f t="shared" si="365"/>
        <v>21745.1307457</v>
      </c>
      <c r="AR274" s="1097">
        <f>(AM274*(1+$EX$9)+$EX$35)*(1+(INDEX(绊状态确认!$T:$T,MATCH($G274,绊状态确认!$B:$B,))+0.2)*AO274)*IF(J274=$FF$17,1+$FE$17,1)*IF(I274=$FF$14,1+$FE$14,1)</f>
        <v>10030.186328187998</v>
      </c>
      <c r="AS274" s="1097">
        <f>(AN274*(1+$EX$10)+$EX$36)*(1+(INDEX(绊状态确认!$T:$T,MATCH($G274,绊状态确认!$B:$B,))+0.2)*AO274)*IF(J274=$FF$17,1+$FE$17,1)*IF(I274=$FF$14,1+$FE$14,1)</f>
        <v>10573.154780915998</v>
      </c>
      <c r="AT274" s="1093">
        <f>IF(AND(INDEX('卡片raw data'!AK:AK,MATCH($D274,'卡片raw data'!$F:$F,))&lt;INDEX('卡片raw data'!AM:AM,MATCH($D274,'卡片raw data'!$F:$F,)),INDEX('卡片raw data'!AL:AL,MATCH($D274,'卡片raw data'!$F:$F,))&lt;INDEX('卡片raw data'!AM:AM,MATCH($D274,'卡片raw data'!$F:$F,))),1,0)</f>
        <v>0</v>
      </c>
      <c r="AU274" s="1098">
        <f>MIN(AT274*0.15+AS274*0.00003+INDEX(绊状态确认!M:M,MATCH($G274,绊状态确认!$B:$B,)),1)</f>
        <v>0.34719464342747997</v>
      </c>
      <c r="AV274" s="1109">
        <f>(INDEX(绊状态确认!$N:$N,MATCH($G274,绊状态确认!$B:$B,))+1.5)*$EW$21</f>
        <v>2.6599999999999997</v>
      </c>
      <c r="AW274" s="1101">
        <f t="shared" si="366"/>
        <v>17802.055040051324</v>
      </c>
      <c r="AX274" s="1097">
        <f t="shared" si="367"/>
        <v>855.12142627607648</v>
      </c>
      <c r="AY274" s="1110">
        <f t="shared" si="368"/>
        <v>18657.176466327401</v>
      </c>
      <c r="AZ274" s="429">
        <f t="shared" si="369"/>
        <v>16339.239982519997</v>
      </c>
      <c r="BA274" s="431">
        <f t="shared" si="370"/>
        <v>19607.087979023996</v>
      </c>
      <c r="BB274" s="1097">
        <f>(AM274*(1+$FB$9)+$FB$35)*(1+(INDEX(绊状态确认!$T:$T,MATCH($G274,绊状态确认!$B:$B,))+0.2)*AO274)*IF(J274=$FF$17,1+$FE$17,1)*IF(I274=$FF$14,1+$FE$14,1)*(1+$FE$15)</f>
        <v>10030.186328187998</v>
      </c>
      <c r="BC274" s="1097">
        <f>(AN274*(1+$FB$10)+$FB$36)*(1+(INDEX(绊状态确认!$T:$T,MATCH($G274,绊状态确认!$B:$B,))+0.2)*AO274)*IF(J274=$FF$17,1+$FE$17,1)*IF(I274=$FF$14,1+$FE$14,1)*(1+$FE$15)</f>
        <v>10573.154780915998</v>
      </c>
      <c r="BD274" s="1104">
        <f>MIN(AT274*0.15+BC274*0.00003+INDEX(绊状态确认!M:M,MATCH($G274,绊状态确认!$B:$B,)),1)</f>
        <v>0.34719464342747997</v>
      </c>
      <c r="BE274" s="432">
        <f>(INDEX(绊状态确认!$N:$N,MATCH($G274,绊状态确认!$B:$B,))+1.5)</f>
        <v>1.9</v>
      </c>
      <c r="BF274" s="1139">
        <f t="array" ref="BF274">SUMPRODUCT(IF(AZ274*AP274*$FI$16:$FI$23*$FA$22&gt;=$FI$24,$FI$24,AZ274*AP274*$FI$16:$FI$23*$FA$22),$FJ$16:$FJ$23)</f>
        <v>32498.748325232282</v>
      </c>
      <c r="BG274" s="1125">
        <f t="array" ref="BG274">SUMPRODUCT(IF(BE274*AZ274*AP274*$FI$16:$FI$23*$FA$22&gt;=$FI$24,$FI$24,BE274*AZ274*AP274*$FI$16:$FI$23*$FA$22),$FJ$16:$FJ$23)</f>
        <v>57389.699061116931</v>
      </c>
      <c r="BH274" s="1110">
        <f t="shared" si="371"/>
        <v>13713.58436351624</v>
      </c>
      <c r="BI274" s="1111">
        <f>IF(O274="vo",$EW$26/$EW$24*0.05,0)+IF(O274="sk",-$EW$26/$EW$24*(0.05-INDEX(绊状态确认!W:W,MATCH($G274,绊状态确认!$B:$B,)))+0.05*$EW$28,0)+IF(O274="sp",0.05*$EW$32*$EW$30*(1-$EW$33)-(0.05-INDEX(绊状态确认!V:V,MATCH($G274,绊状态确认!$B:$B,)))*$EW$28,0)+IF(O274="gd",-(0.05-INDEX(绊状态确认!X:X,MATCH($G274,绊状态确认!$B:$B,)))*$EW$32*$EW$30*(1-$EW$33),0)</f>
        <v>7726.3029277443748</v>
      </c>
      <c r="BJ274" s="1097">
        <f>IF(O274="vo",0.05*(1-$FI$26)*$FA$24,0)+IF(O274="sk",-(0.05-INDEX(绊状态确认!W:W,MATCH($G274,绊状态确认!$B:$B,)))*(1-$FI$26)*$FA$24+0.05*$FA$26,0)+IF(O274="sp",0.05*$FA$32*$FA$27*(1-$FA$33)/$FA$30+0.05*$FA$29/$FA$69*$FA$27*(1-$FA$33)-(0.05-INDEX(绊状态确认!V:V,MATCH($G274,绊状态确认!$B:$B,)))*$FA$26,0)+IF(O274="gd",-(0.05-INDEX(绊状态确认!X:X,MATCH($G274,绊状态确认!$B:$B,)))*$FA$32*$FA$27*(1-$FA$33)/$FA$30-(0.05-INDEX(绊状态确认!X:X,MATCH($G274,绊状态确认!$B:$B,)))*$FA$29/$FA$69*$FA$27*(1-$FA$33),0)</f>
        <v>393.93433687500004</v>
      </c>
      <c r="BK274" s="1110">
        <f>IF(O274="vo",$EW$26/$EW$24*0.05+$EW$26*(-HP($EW$62,$EW$65,$EW$64)+HP($EW$62,$EW$65,(1.05-INDEX(绊状态确认!U:U,MATCH($G274,绊状态确认!$B:$B,)))*$EW$64)),0)+IF(O274="sk",-$EW$26/$EW$24*(0.05-INDEX(绊状态确认!W:W,MATCH($G274,绊状态确认!$B:$B,)))+0.05*$EW$29,0)+IF(O274="sp",0.05*$EW$32*$EW$30*(1-$EW$33)-(0.05-INDEX(绊状态确认!V:V,MATCH($G274,绊状态确认!$B:$B,)))*$EW$29,0)+IF(O274="gd",-(0.05-INDEX(绊状态确认!X:X,MATCH($G274,绊状态确认!$B:$B,)))*$EW$32*$EW$30*(1-$EW$33)+$EW$26*(-HP($EW$62,$EW$65,$EW$64)+HP($EW$62,$EW$65,0.95*$EW$64)),0)</f>
        <v>6421.6344775026746</v>
      </c>
      <c r="BL274" s="1111">
        <f t="shared" si="372"/>
        <v>-1083.3333333333333</v>
      </c>
      <c r="BM274" s="1110">
        <f t="shared" si="373"/>
        <v>-830.55555555555543</v>
      </c>
      <c r="BN274" s="1113">
        <f t="shared" si="374"/>
        <v>3</v>
      </c>
      <c r="BO274" s="1097">
        <f t="shared" si="375"/>
        <v>4507.7214871259994</v>
      </c>
      <c r="BP274" s="1100">
        <f t="shared" si="376"/>
        <v>221.34103209030098</v>
      </c>
      <c r="BQ274" s="1113" t="s">
        <v>664</v>
      </c>
      <c r="BR274" s="1124" t="s">
        <v>557</v>
      </c>
      <c r="BS274" s="1098">
        <f>IF($P274="","N/A",IF($P274=-1,INDEX('卡片raw data'!AX:AX,MATCH($D274,'卡片raw data'!$F:$F,)),0)+IF($L274="party卡",IF($P274=5,INDEX('卡片raw data'!BD:BD,MATCH($D274,'卡片raw data'!$F:$F,)),IF($P274&gt;=3,INDEX('卡片raw data'!BC:BC,MATCH($D274,'卡片raw data'!$F:$F,)),INDEX('卡片raw data'!BB:BB,MATCH($D274,'卡片raw data'!$F:$F,)))),IF(OR(AND($F274="UR",$P274=0),AND($F274="SR",$P274&gt;=0,$P274&lt;=2),AND($F274="R",$P274&gt;=0,$P274&lt;4)),INDEX('卡片raw data'!AZ:AZ,MATCH($D274,'卡片raw data'!$F:$F,)),0)+IF(OR(AND($F274="UR",$P274&gt;=1,$P274&lt;=4),AND($F274="SR",$P274&lt;=4,$P274&gt;=3),AND($F274="R",$P274=4)),INDEX('卡片raw data'!BA:BA,MATCH($D274,'卡片raw data'!$F:$F,)),0)+IF($P274=5,INDEX('卡片raw data'!BB:BB,MATCH($D274,'卡片raw data'!$F:$F,)),0)))</f>
        <v>4.2000000000000003E-2</v>
      </c>
      <c r="BT274" s="1101">
        <f t="shared" si="377"/>
        <v>1584.7093257651256</v>
      </c>
      <c r="BU274" s="1097">
        <f t="shared" si="378"/>
        <v>85.970320817189048</v>
      </c>
      <c r="BV274" s="1097">
        <f t="shared" si="379"/>
        <v>891.39899574288302</v>
      </c>
      <c r="BW274" s="1112">
        <f t="shared" si="380"/>
        <v>0</v>
      </c>
      <c r="BX274" s="1100">
        <f t="shared" si="381"/>
        <v>1584.7093257651256</v>
      </c>
      <c r="BY274" s="1110">
        <f t="shared" si="382"/>
        <v>891.39899574288302</v>
      </c>
      <c r="BZ274" s="1107" t="s">
        <v>569</v>
      </c>
      <c r="CA274" s="1124"/>
      <c r="CB274" s="1098">
        <f>IF($P274="","N/A",IF($P274=-1,INDEX('卡片raw data'!BE:BE,MATCH($D274,'卡片raw data'!$F:$F,)),0)+IF($L274="party卡",IF($P274=5,INDEX('卡片raw data'!BK:BK,MATCH($D274,'卡片raw data'!$F:$F,)),IF($P274&gt;=3,INDEX('卡片raw data'!BJ:BJ,MATCH($D274,'卡片raw data'!$F:$F,)),INDEX('卡片raw data'!BI:BI,MATCH($D274,'卡片raw data'!$F:$F,)))),IF(OR(AND($F274="UR",$P274=0),AND($F274="SR",$P274&gt;=0,$P274&lt;=2),AND($F274="R",$P274&gt;=0,$P274&lt;4)),INDEX('卡片raw data'!BG:BG,MATCH($D274,'卡片raw data'!$F:$F,)),0)+IF(OR(AND($F274="UR",$P274&gt;=1,$P274&lt;=4),AND($F274="SR",$P274&lt;=4,$P274&gt;=3),AND($F274="R",$P274=4)),INDEX('卡片raw data'!BH:BH,MATCH($D274,'卡片raw data'!$F:$F,)),0)+IF($P274=5,INDEX('卡片raw data'!BI:BI,MATCH($D274,'卡片raw data'!$F:$F,)),0)))</f>
        <v>0</v>
      </c>
      <c r="CC274" s="1101">
        <f t="shared" si="383"/>
        <v>0</v>
      </c>
      <c r="CD274" s="1097">
        <f>IF(BZ274="ap",CB274*(1-$FI$26)*$FB$5/$FB$11*(+IF(CA274="全员",$FA$24,0)+IF(CA274="同作战",$FA$24,0)+IF(CA274="仲间",$FA$24*2/3,0)+IF(CA274="同属性",$FA$24*$FA$37/3,0)+IF(CA274="同年级",$FA$24*$FA$40/3,0)+IF(CA274="同学校",$FA$24*$FA$43/3,0)+IF(CA274="同小队",$FA$24*$FA$46/3,0)+IF(CA274="同type",$FA$24*INDEX($FB$49:$FB$52,MATCH(X274,$FA$49:$FA$52,))/3,0)+IF(CA274="自身",#REF!/3,0)),0)+IF(BZ274="te",CB274*(1-$FI$27)*($FA$20-1)*$FB$7/$FB$13*(+IF(CA274="全员",$FA$19*$FA$24/(1+($FA$20-1)*$FA$19),0)+IF(CA274="同作战",$FA$19*$FA$24/(1+($FA$20-1)*$FA$19),0)+IF(CA274="仲间",$FA$19*$FA$24*2/3/(1+($FA$20-1)*$FA$19),0)+IF(CA274="同属性",$FA$19*$FA$24*$FA$37/3/(1+($FA$20-1)*$FA$19),0)+IF(CA274="同年级",$FA$19*$FA$24*$FA$40/3/(1+($FA$20-1)*$FA$19),0)+IF(CA274="同学校",$FA$19*$FA$24*$FA$43/3/(1+($FA$20-1)*$FA$19),0)+IF(CA274="同小队",$FA$19*$FA$24*$FA$46/3/(1+($FA$20-1)*$FA$19),0)+IF(CA274="同type",$FA$19*$FA$24*INDEX($FB$49:$FB$52,MATCH(X274,$FA$49:$FA$52,))/3/(1+($FA$20-1)*$FA$19),0)+IF(CA274="自身",$FA$19*#REF!/3/(1+(BH274-1)*$BD274),0)),0)</f>
        <v>0</v>
      </c>
      <c r="CE274" s="1097">
        <f t="shared" si="384"/>
        <v>0</v>
      </c>
      <c r="CF274" s="1112">
        <f t="shared" si="385"/>
        <v>0</v>
      </c>
      <c r="CG274" s="1100">
        <f t="shared" si="386"/>
        <v>0</v>
      </c>
      <c r="CH274" s="1110">
        <f t="shared" si="387"/>
        <v>0</v>
      </c>
      <c r="CI274" s="1113" t="s">
        <v>164</v>
      </c>
      <c r="CJ274" s="1114">
        <v>0.3</v>
      </c>
      <c r="CK274" s="1115" t="s">
        <v>545</v>
      </c>
      <c r="CL274" s="1115" t="s">
        <v>1940</v>
      </c>
      <c r="CM274" s="1119">
        <v>0.25</v>
      </c>
      <c r="CN274" s="1115"/>
      <c r="CO274" s="1092"/>
      <c r="CP274" s="1116">
        <f t="shared" si="388"/>
        <v>45.431791022266069</v>
      </c>
      <c r="CQ274" s="1116">
        <f t="shared" si="389"/>
        <v>63.72303593182798</v>
      </c>
      <c r="CR274" s="1116">
        <f t="shared" si="390"/>
        <v>45.431791022266069</v>
      </c>
      <c r="CS274" s="1118">
        <f t="shared" si="391"/>
        <v>0</v>
      </c>
      <c r="CT274" s="1109">
        <f t="shared" si="392"/>
        <v>0</v>
      </c>
      <c r="CU274" s="1101">
        <f t="shared" si="393"/>
        <v>49.974970124492678</v>
      </c>
      <c r="CV274" s="1108">
        <f t="shared" si="394"/>
        <v>63.72303593182798</v>
      </c>
      <c r="CW274" s="1097">
        <f t="shared" si="395"/>
        <v>49.974970124492678</v>
      </c>
      <c r="CX274" s="1097">
        <f t="shared" si="396"/>
        <v>49.974970124492678</v>
      </c>
      <c r="CY274" s="1110">
        <f t="shared" si="397"/>
        <v>49.974970124492678</v>
      </c>
      <c r="CZ274" s="437"/>
      <c r="DA274" s="438"/>
      <c r="DB274" s="439" t="s">
        <v>569</v>
      </c>
      <c r="DC274" s="439"/>
      <c r="DD274" s="443"/>
      <c r="DE274" s="411"/>
      <c r="DF274" s="411"/>
      <c r="DG274" s="1116">
        <f t="shared" si="398"/>
        <v>0</v>
      </c>
      <c r="DH274" s="1116">
        <f t="shared" si="399"/>
        <v>0</v>
      </c>
      <c r="DI274" s="1116">
        <f t="shared" si="400"/>
        <v>0</v>
      </c>
      <c r="DJ274" s="442">
        <f t="shared" si="401"/>
        <v>0</v>
      </c>
      <c r="DK274" s="1109">
        <f t="shared" si="402"/>
        <v>0</v>
      </c>
      <c r="DL274" s="1101">
        <f t="shared" si="403"/>
        <v>0</v>
      </c>
      <c r="DM274" s="1097">
        <f t="shared" si="404"/>
        <v>0</v>
      </c>
      <c r="DN274" s="1097">
        <f t="shared" si="405"/>
        <v>0</v>
      </c>
      <c r="DO274" s="1097">
        <f t="shared" si="406"/>
        <v>0</v>
      </c>
      <c r="DP274" s="1110">
        <f t="shared" si="407"/>
        <v>0</v>
      </c>
      <c r="DQ274" s="1113" t="s">
        <v>672</v>
      </c>
      <c r="DR274" s="1120">
        <f t="shared" si="408"/>
        <v>0.3</v>
      </c>
      <c r="DS274" s="1124">
        <v>5</v>
      </c>
      <c r="DT274" s="1093" t="s">
        <v>168</v>
      </c>
      <c r="DU274" s="1093" t="s">
        <v>671</v>
      </c>
      <c r="DV274" s="1098">
        <f>IF($P274="","N/A",IF(P274=-1,INDEX('卡片raw data'!AN:AN,MATCH(D274,'卡片raw data'!$F:$F,)),0)+IF(AND(L274&lt;&gt;"party卡",P274&lt;=2,P274&gt;=0),INDEX('卡片raw data'!AP:AP,MATCH(D274,'卡片raw data'!$F:$F,)),0)+IF(OR(AND(L274="party卡",P274&lt;=1),AND(P274&lt;=4,L274&lt;&gt;"party卡",P274&gt;=3)),INDEX('卡片raw data'!AQ:AQ,MATCH(D274,'卡片raw data'!$F:$F,)),0)+IF(OR(P274=5,AND(L274="party卡",P274&gt;=2)),INDEX('卡片raw data'!AR:AR,MATCH(D274,'卡片raw data'!$F:$F,)),0))</f>
        <v>0.06</v>
      </c>
      <c r="DW274" s="1098">
        <f t="shared" si="409"/>
        <v>0.3</v>
      </c>
      <c r="DX274" s="1098">
        <f t="shared" si="410"/>
        <v>0.3</v>
      </c>
      <c r="DY274" s="1098">
        <f t="shared" si="411"/>
        <v>2.9999999999999995E-2</v>
      </c>
      <c r="DZ274" s="1098">
        <f t="shared" si="412"/>
        <v>2.5949999999999997E-2</v>
      </c>
      <c r="EA274" s="1098">
        <f t="shared" si="413"/>
        <v>0</v>
      </c>
      <c r="EB274" s="1121">
        <f t="shared" si="414"/>
        <v>0</v>
      </c>
      <c r="EC274" s="1101">
        <f t="shared" si="415"/>
        <v>4079.4879458490295</v>
      </c>
      <c r="ED274" s="1097">
        <f t="shared" si="416"/>
        <v>170.3766006984375</v>
      </c>
      <c r="EE274" s="1110">
        <f t="shared" si="417"/>
        <v>4079.4879458490295</v>
      </c>
      <c r="EF274" s="1092" t="s">
        <v>711</v>
      </c>
      <c r="EG274" s="1120">
        <f t="shared" si="418"/>
        <v>0.3</v>
      </c>
      <c r="EH274" s="1124"/>
      <c r="EI274" s="1093"/>
      <c r="EJ274" s="1093"/>
      <c r="EK274" s="1097">
        <f>IF($P274="","N/A",IF(P274=-1,INDEX('卡片raw data'!AS:AS,MATCH(D274,'卡片raw data'!$F:$F,)),0)+IF(AND(L274&lt;&gt;"party卡",P274&lt;=2,P274&gt;=0),INDEX('卡片raw data'!AU:AU,MATCH(D274,'卡片raw data'!$F:$F,)),0)+IF(OR(AND(L274="party卡",P274&lt;=1),AND(P274&lt;=4,L274&lt;&gt;"party卡",P274&gt;=3)),INDEX('卡片raw data'!AV:AV,MATCH(D274,'卡片raw data'!$F:$F,)),0)+IF(OR(P274=5,AND(L274="party卡",P274&gt;=2)),INDEX('卡片raw data'!AW:AW,MATCH(D274,'卡片raw data'!$F:$F,)),0))</f>
        <v>0</v>
      </c>
      <c r="EL274" s="1098">
        <f t="shared" si="419"/>
        <v>0.3</v>
      </c>
      <c r="EM274" s="1098">
        <f t="shared" si="420"/>
        <v>0.3</v>
      </c>
      <c r="EN274" s="1125">
        <f t="shared" si="421"/>
        <v>0</v>
      </c>
      <c r="EO274" s="1125">
        <f t="shared" si="422"/>
        <v>0</v>
      </c>
      <c r="EP274" s="1098">
        <f t="shared" si="423"/>
        <v>0</v>
      </c>
      <c r="EQ274" s="1121">
        <f t="shared" si="424"/>
        <v>0</v>
      </c>
      <c r="ER274" s="1101">
        <f t="shared" si="425"/>
        <v>0</v>
      </c>
      <c r="ES274" s="1097">
        <f t="shared" si="426"/>
        <v>0</v>
      </c>
      <c r="ET274" s="1122">
        <f t="shared" si="427"/>
        <v>0</v>
      </c>
    </row>
    <row r="275" spans="2:150" ht="16.5" customHeight="1">
      <c r="B275" s="1123" t="str">
        <f>INDEX('卡片raw data'!B:B,MATCH($D275,'卡片raw data'!$F:$F,))</f>
        <v>提琴姬</v>
      </c>
      <c r="C275" s="449" t="s">
        <v>579</v>
      </c>
      <c r="D275" s="408">
        <v>272</v>
      </c>
      <c r="E275" s="1090">
        <v>300063002</v>
      </c>
      <c r="F275" s="1090" t="str">
        <f>INDEX('卡片raw data'!C:C,MATCH($D275,'卡片raw data'!$F:$F,))</f>
        <v>UR</v>
      </c>
      <c r="G275" s="1094" t="s">
        <v>29</v>
      </c>
      <c r="H275" s="411">
        <f>IFERROR(INDEX(绊状态确认!C:C,MATCH($G275,绊状态确认!$B:$B,)),"")</f>
        <v>6</v>
      </c>
      <c r="I275" s="450" t="str">
        <f>IFERROR(INDEX(绊状态确认!D:D,MATCH($G275,绊状态确认!$B:$B,)),"")</f>
        <v>缪</v>
      </c>
      <c r="J275" s="450" t="str">
        <f>IFERROR(INDEX(绊状态确认!E:E,MATCH($G275,绊状态确认!$B:$B,)),"")</f>
        <v>1年级</v>
      </c>
      <c r="K275" s="451" t="str">
        <f>IFERROR(INDEX(绊状态确认!F:F,MATCH($G275,绊状态确认!$B:$B,)),"")</f>
        <v>BiBi</v>
      </c>
      <c r="L275" s="1094" t="str">
        <f>INDEX('卡片raw data'!E:E,MATCH($D275,'卡片raw data'!$F:$F,))</f>
        <v>卡池卡</v>
      </c>
      <c r="M275" s="415">
        <v>44027</v>
      </c>
      <c r="N275" s="416">
        <v>19.5</v>
      </c>
      <c r="O275" s="1091" t="str">
        <f>INDEX('卡片raw data'!D:D,MATCH($D275,'卡片raw data'!$F:$F,))</f>
        <v>sp</v>
      </c>
      <c r="P275" s="417">
        <v>5</v>
      </c>
      <c r="Q275" s="1095">
        <f t="shared" si="343"/>
        <v>49199.131119853992</v>
      </c>
      <c r="R275" s="1096">
        <f t="shared" si="344"/>
        <v>0.57099999999999995</v>
      </c>
      <c r="S275" s="1097">
        <f t="shared" si="345"/>
        <v>21868.986513583975</v>
      </c>
      <c r="T275" s="1098">
        <f t="shared" si="346"/>
        <v>1.093</v>
      </c>
      <c r="U275" s="1099">
        <f t="shared" si="347"/>
        <v>15.479366498142859</v>
      </c>
      <c r="V275" s="1100">
        <f t="shared" si="348"/>
        <v>48642.873113673071</v>
      </c>
      <c r="W275" s="1101">
        <f t="shared" si="349"/>
        <v>4507.7214871259994</v>
      </c>
      <c r="X275" s="1096">
        <f t="shared" si="350"/>
        <v>5.1999999999999998E-2</v>
      </c>
      <c r="Y275" s="1097">
        <f t="shared" si="351"/>
        <v>1243.7419938190806</v>
      </c>
      <c r="Z275" s="1102">
        <f t="shared" si="352"/>
        <v>15.479366498142859</v>
      </c>
      <c r="AA275" s="1103">
        <f t="shared" si="353"/>
        <v>5751.4634809450799</v>
      </c>
      <c r="AB275" s="1101">
        <f t="shared" si="354"/>
        <v>5824.3140694012054</v>
      </c>
      <c r="AC275" s="1104">
        <f t="shared" si="355"/>
        <v>6.7000000000000004E-2</v>
      </c>
      <c r="AD275" s="1105">
        <f t="shared" si="356"/>
        <v>-1.6087500000000001E-2</v>
      </c>
      <c r="AE275" s="1128">
        <f t="shared" si="357"/>
        <v>44.444900543478255</v>
      </c>
      <c r="AF275" s="1130">
        <f t="shared" si="358"/>
        <v>0</v>
      </c>
      <c r="AG275" s="420">
        <f t="shared" si="359"/>
        <v>0</v>
      </c>
      <c r="AH275" s="420">
        <f t="shared" si="360"/>
        <v>0</v>
      </c>
      <c r="AI275" s="1097">
        <f t="shared" si="361"/>
        <v>0</v>
      </c>
      <c r="AJ275" s="420">
        <f t="shared" si="362"/>
        <v>0</v>
      </c>
      <c r="AK275" s="518">
        <f t="shared" si="363"/>
        <v>0</v>
      </c>
      <c r="AL275" s="1106">
        <f>IF($P275="","N/A",(IF($P275=-1,INDEX('卡片raw data'!S:S,MATCH($D275,'卡片raw data'!$F:$F,)),0)+IF($P275=0,INDEX('卡片raw data'!V:V,MATCH($D275,'卡片raw data'!$F:$F,)),0)+IF($P275=1,INDEX('卡片raw data'!Y:Y,MATCH($D275,'卡片raw data'!$F:$F,)),0)+IF($P275=2,INDEX('卡片raw data'!AB:AB,MATCH($D275,'卡片raw data'!$F:$F,)),0)+IF($P275=3,INDEX('卡片raw data'!AE:AE,MATCH($D275,'卡片raw data'!$F:$F,)),0)+IF($P275=4,INDEX('卡片raw data'!AH:AH,MATCH($D275,'卡片raw data'!$F:$F,)),0)+IF($P275=5,INDEX('卡片raw data'!AK:AK,MATCH($D275,'卡片raw data'!$F:$F,)),0)+INDEX('卡片raw data'!S:S,MATCH($D275,'卡片raw data'!$F:$F,))*(IF($F275="UR",0.04,0.033))*(IF($F275="UR",INDEX(绊状态确认!$S:$S,MATCH($G275,绊状态确认!$B:$B,))/2-40)+IF($F275="SR",INDEX(绊状态确认!$R:$R,MATCH($G275,绊状态确认!$B:$B,))/4-15))+IF($F275="R",INDEX(绊状态确认!$Q:$Q,MATCH($G275,绊状态确认!$B:$B,))/6-40/6)))*(INDEX(绊状态确认!$H:$H,MATCH($G275,绊状态确认!$B:$B,))+INDEX(绊状态确认!J:J,MATCH($G275,绊状态确认!$B:$B,)))</f>
        <v>10257.828239999999</v>
      </c>
      <c r="AM275" s="1106">
        <f>IF($P275="","N/A",(IF($P275=-1,INDEX('卡片raw data'!T:T,MATCH($D275,'卡片raw data'!$F:$F,)),0)+IF($P275=0,INDEX('卡片raw data'!W:W,MATCH($D275,'卡片raw data'!$F:$F,)),0)+IF($P275=1,INDEX('卡片raw data'!Z:Z,MATCH($D275,'卡片raw data'!$F:$F,)),0)+IF($P275=2,INDEX('卡片raw data'!AC:AC,MATCH($D275,'卡片raw data'!$F:$F,)),0)+IF($P275=3,INDEX('卡片raw data'!AF:AF,MATCH($D275,'卡片raw data'!$F:$F,)),0)+IF($P275=4,INDEX('卡片raw data'!AI:AI,MATCH($D275,'卡片raw data'!$F:$F,)),0)+IF($P275=5,INDEX('卡片raw data'!AL:AL,MATCH($D275,'卡片raw data'!$F:$F,)),0)+INDEX('卡片raw data'!T:T,MATCH($D275,'卡片raw data'!$F:$F,))*(IF($F275="UR",0.04,0.033))*(IF($F275="UR",INDEX(绊状态确认!$S:$S,MATCH($G275,绊状态确认!$B:$B,))/2-40)+IF($F275="SR",INDEX(绊状态确认!$R:$R,MATCH($G275,绊状态确认!$B:$B,))/4-15))+IF($F275="R",INDEX(绊状态确认!$Q:$Q,MATCH($G275,绊状态确认!$B:$B,))/6-40/6)))*(INDEX(绊状态确认!$H:$H,MATCH($G275,绊状态确认!$B:$B,))+INDEX(绊状态确认!K:K,MATCH($G275,绊状态确认!$B:$B,)))</f>
        <v>8603.22984</v>
      </c>
      <c r="AN275" s="1106">
        <f>IF($P275="","N/A",(IF($P275=-1,INDEX('卡片raw data'!U:U,MATCH($D275,'卡片raw data'!$F:$F,)),0)+IF($P275=0,INDEX('卡片raw data'!X:X,MATCH($D275,'卡片raw data'!$F:$F,)),0)+IF($P275=1,INDEX('卡片raw data'!AA:AA,MATCH($D275,'卡片raw data'!$F:$F,)),0)+IF($P275=2,INDEX('卡片raw data'!AD:AD,MATCH($D275,'卡片raw data'!$F:$F,)),0)+IF($P275=3,INDEX('卡片raw data'!AG:AG,MATCH($D275,'卡片raw data'!$F:$F,)),0)+IF($P275=4,INDEX('卡片raw data'!AJ:AJ,MATCH($D275,'卡片raw data'!$F:$F,)),0)+IF($P275=5,INDEX('卡片raw data'!AM:AM,MATCH($D275,'卡片raw data'!$F:$F,)),0)+INDEX('卡片raw data'!U:U,MATCH($D275,'卡片raw data'!$F:$F,))*(IF($F275="UR",0.04,0.033))*(IF($F275="UR",INDEX(绊状态确认!$S:$S,MATCH($G275,绊状态确认!$B:$B,))/2-40)+IF($F275="SR",INDEX(绊状态确认!$R:$R,MATCH($G275,绊状态确认!$B:$B,))/4-15))+IF($F275="R",INDEX(绊状态确认!$Q:$Q,MATCH($G275,绊状态确认!$B:$B,))/6-40/6)))*(INDEX(绊状态确认!$H:$H,MATCH($G275,绊状态确认!$B:$B,))+INDEX(绊状态确认!L:L,MATCH($G275,绊状态确认!$B:$B,)))</f>
        <v>14228.637119999998</v>
      </c>
      <c r="AO275" s="1107">
        <f t="shared" si="364"/>
        <v>1</v>
      </c>
      <c r="AP275" s="1131">
        <f>1+(INDEX(绊状态确认!$T:$T,MATCH($G275,绊状态确认!$B:$B,))+0.2)*$AO275</f>
        <v>1.3</v>
      </c>
      <c r="AQ275" s="1108">
        <f t="shared" si="365"/>
        <v>30176.799129999999</v>
      </c>
      <c r="AR275" s="1097">
        <f>(AM275*(1+$EX$9)+$EX$35)*(1+(INDEX(绊状态确认!$T:$T,MATCH($G275,绊状态确认!$B:$B,))+0.2)*AO275)*IF(J275=$FF$17,1+$FE$17,1)*IF(I275=$FF$14,1+$FE$14,1)*(1+$FE$15)</f>
        <v>14447.408731600002</v>
      </c>
      <c r="AS275" s="1097">
        <f>(AN275*(1+$EX$10)+$EX$36)*(1+(INDEX(绊状态确认!$T:$T,MATCH($G275,绊状态确认!$B:$B,))+0.2)*AO275)*IF(J275=$FF$17,1+$FE$17,1)*IF(I275=$FF$14,1+$FE$14,1)*(1+$FE$15)</f>
        <v>25327.812494399994</v>
      </c>
      <c r="AT275" s="1093">
        <f>IF(AND(INDEX('卡片raw data'!AK:AK,MATCH($D275,'卡片raw data'!$F:$F,))&lt;INDEX('卡片raw data'!AM:AM,MATCH($D275,'卡片raw data'!$F:$F,)),INDEX('卡片raw data'!AL:AL,MATCH($D275,'卡片raw data'!$F:$F,))&lt;INDEX('卡片raw data'!AM:AM,MATCH($D275,'卡片raw data'!$F:$F,))),1,0)</f>
        <v>1</v>
      </c>
      <c r="AU275" s="1098">
        <f>MIN(AT275*0.15+AS275*0.00003+INDEX(绊状态确认!M:M,MATCH($G275,绊状态确认!$B:$B,)),1)</f>
        <v>0.93983437483199983</v>
      </c>
      <c r="AV275" s="1109">
        <f>(INDEX(绊状态确认!$N:$N,MATCH($G275,绊状态确认!$B:$B,))+1.5)*$EW$21</f>
        <v>2.6599999999999997</v>
      </c>
      <c r="AW275" s="1101">
        <f t="shared" si="366"/>
        <v>40122.844718432658</v>
      </c>
      <c r="AX275" s="1097">
        <f t="shared" si="367"/>
        <v>1243.7419938190808</v>
      </c>
      <c r="AY275" s="1110">
        <f t="shared" si="368"/>
        <v>41366.586712251737</v>
      </c>
      <c r="AZ275" s="429">
        <f t="shared" si="369"/>
        <v>22602.765067999997</v>
      </c>
      <c r="BA275" s="431">
        <f t="shared" si="370"/>
        <v>27123.318081599995</v>
      </c>
      <c r="BB275" s="1097">
        <f>(AM275*(1+$FB$9)+$FB$35)*(1+(INDEX(绊状态确认!$T:$T,MATCH($G275,绊状态确认!$B:$B,))+0.2)*AO275)*IF(J275=$FF$17,1+$FE$17,1)*IF(I275=$FF$14,1+$FE$14,1)*(1+$FE$15)</f>
        <v>14447.408731600002</v>
      </c>
      <c r="BC275" s="1097">
        <f>(AN275*(1+$FB$10)+$FB$36)*(1+(INDEX(绊状态确认!$T:$T,MATCH($G275,绊状态确认!$B:$B,))+0.2)*AO275)*IF(J275=$FF$17,1+$FE$17,1)*IF(I275=$FF$14,1+$FE$14,1)*(1+$FE$15)</f>
        <v>25327.812494399994</v>
      </c>
      <c r="BD275" s="1104">
        <f>MIN(AT275*0.15+BC275*0.00003+INDEX(绊状态确认!M:M,MATCH($G275,绊状态确认!$B:$B,)),1)</f>
        <v>0.93983437483199983</v>
      </c>
      <c r="BE275" s="432">
        <f>(INDEX(绊状态确认!$N:$N,MATCH($G275,绊状态确认!$B:$B,))+1.5)</f>
        <v>1.9</v>
      </c>
      <c r="BF275" s="1139">
        <f t="array" ref="BF275">SUMPRODUCT(IF(AZ275*AP275*$FI$16:$FI$23*$FA$22&gt;=$FI$24,$FI$24,AZ275*AP275*$FI$16:$FI$23*$FA$22),$FJ$16:$FJ$23)</f>
        <v>44956.899720251997</v>
      </c>
      <c r="BG275" s="1125">
        <f t="array" ref="BG275">SUMPRODUCT(IF(BE275*AZ275*AP275*$FI$16:$FI$23*$FA$22&gt;=$FI$24,$FI$24,BE275*AZ275*AP275*$FI$16:$FI$23*$FA$22),$FJ$16:$FJ$23)</f>
        <v>60000</v>
      </c>
      <c r="BH275" s="1110">
        <f t="shared" si="371"/>
        <v>19698.307489068015</v>
      </c>
      <c r="BI275" s="1111">
        <f>IF(O275="vo",$EW$26/$EW$24*0.05,0)+IF(O275="sk",-$EW$26/$EW$24*(0.05-INDEX(绊状态确认!W:W,MATCH($G275,绊状态确认!$B:$B,)))+0.05*$EW$28,0)+IF(O275="sp",0.05*$EW$32*$EW$30*(1-$EW$33)-(0.05-INDEX(绊状态确认!V:V,MATCH($G275,绊状态确认!$B:$B,)))*$EW$28,0)+IF(O275="gd",-(0.05-INDEX(绊状态确认!X:X,MATCH($G275,绊状态确认!$B:$B,)))*$EW$32*$EW$30*(1-$EW$33),0)</f>
        <v>19.999999999999886</v>
      </c>
      <c r="BJ275" s="1097">
        <f>IF(O275="vo",0.05*(1-$FI$26)*$FA$24,0)+IF(O275="sk",-(0.05-INDEX(绊状态确认!W:W,MATCH($G275,绊状态确认!$B:$B,)))*(1-$FI$26)*$FA$24+0.05*$FA$26,0)+IF(O275="sp",0.05*$FA$32*$FA$27*(1-$FA$33)/$FA$30+0.05*$FA$29/$FA$69*$FA$27*(1-$FA$33)-(0.05-INDEX(绊状态确认!V:V,MATCH($G275,绊状态确认!$B:$B,)))*$FA$26,0)+IF(O275="gd",-(0.05-INDEX(绊状态确认!X:X,MATCH($G275,绊状态确认!$B:$B,)))*$FA$32*$FA$27*(1-$FA$33)/$FA$30-(0.05-INDEX(绊状态确认!X:X,MATCH($G275,绊状态确认!$B:$B,)))*$FA$29/$FA$69*$FA$27*(1-$FA$33),0)</f>
        <v>545.83333333333326</v>
      </c>
      <c r="BK275" s="1110">
        <f>IF(O275="vo",$EW$26/$EW$24*0.05+$EW$26*(-HP($EW$62,$EW$65,$EW$64)+HP($EW$62,$EW$65,(1.05-INDEX(绊状态确认!U:U,MATCH($G275,绊状态确认!$B:$B,)))*$EW$64)),0)+IF(O275="sk",-$EW$26/$EW$24*(0.05-INDEX(绊状态确认!W:W,MATCH($G275,绊状态确认!$B:$B,)))+0.05*$EW$29,0)+IF(O275="sp",0.05*$EW$32*$EW$30*(1-$EW$33)-(0.05-INDEX(绊状态确认!V:V,MATCH($G275,绊状态确认!$B:$B,)))*$EW$29,0)+IF(O275="gd",-(0.05-INDEX(绊状态确认!X:X,MATCH($G275,绊状态确认!$B:$B,)))*$EW$32*$EW$30*(1-$EW$33)+$EW$26*(-HP($EW$62,$EW$65,$EW$64)+HP($EW$62,$EW$65,0.95*$EW$64)),0)</f>
        <v>-1780.0000000000005</v>
      </c>
      <c r="BL275" s="1111">
        <f t="shared" si="372"/>
        <v>0</v>
      </c>
      <c r="BM275" s="1110">
        <f t="shared" si="373"/>
        <v>0</v>
      </c>
      <c r="BN275" s="1113">
        <f t="shared" si="374"/>
        <v>3</v>
      </c>
      <c r="BO275" s="1097">
        <f t="shared" si="375"/>
        <v>4507.7214871259994</v>
      </c>
      <c r="BP275" s="1100">
        <f t="shared" si="376"/>
        <v>221.34103209030098</v>
      </c>
      <c r="BQ275" s="1113" t="s">
        <v>726</v>
      </c>
      <c r="BR275" s="1124" t="s">
        <v>727</v>
      </c>
      <c r="BS275" s="1098">
        <f>IF($P275="","N/A",IF($P275=-1,INDEX('卡片raw data'!AX:AX,MATCH($D275,'卡片raw data'!$F:$F,)),0)+IF($L275="party卡",IF($P275=5,INDEX('卡片raw data'!BD:BD,MATCH($D275,'卡片raw data'!$F:$F,)),IF($P275&gt;=3,INDEX('卡片raw data'!BC:BC,MATCH($D275,'卡片raw data'!$F:$F,)),INDEX('卡片raw data'!BB:BB,MATCH($D275,'卡片raw data'!$F:$F,)))),IF(OR(AND($F275="UR",$P275=0),AND($F275="SR",$P275&gt;=0,$P275&lt;=2),AND($F275="R",$P275&gt;=0,$P275&lt;4)),INDEX('卡片raw data'!AZ:AZ,MATCH($D275,'卡片raw data'!$F:$F,)),0)+IF(OR(AND($F275="UR",$P275&gt;=1,$P275&lt;=4),AND($F275="SR",$P275&lt;=4,$P275&gt;=3),AND($F275="R",$P275=4)),INDEX('卡片raw data'!BA:BA,MATCH($D275,'卡片raw data'!$F:$F,)),0)+IF($P275=5,INDEX('卡片raw data'!BB:BB,MATCH($D275,'卡片raw data'!$F:$F,)),0)))</f>
        <v>0.09</v>
      </c>
      <c r="BT275" s="1101">
        <f t="shared" si="377"/>
        <v>1316.5925822752056</v>
      </c>
      <c r="BU275" s="1097">
        <f t="shared" si="378"/>
        <v>35.723409092327408</v>
      </c>
      <c r="BV275" s="1097">
        <f t="shared" si="379"/>
        <v>0</v>
      </c>
      <c r="BW275" s="1112">
        <f t="shared" si="380"/>
        <v>0</v>
      </c>
      <c r="BX275" s="1100">
        <f t="shared" si="381"/>
        <v>1316.5925822752056</v>
      </c>
      <c r="BY275" s="1110">
        <f t="shared" si="382"/>
        <v>0</v>
      </c>
      <c r="BZ275" s="1107" t="s">
        <v>569</v>
      </c>
      <c r="CA275" s="1124"/>
      <c r="CB275" s="1098">
        <f>IF($P275="","N/A",IF($P275=-1,INDEX('卡片raw data'!BE:BE,MATCH($D275,'卡片raw data'!$F:$F,)),0)+IF($L275="party卡",IF($P275=5,INDEX('卡片raw data'!BK:BK,MATCH($D275,'卡片raw data'!$F:$F,)),IF($P275&gt;=3,INDEX('卡片raw data'!BJ:BJ,MATCH($D275,'卡片raw data'!$F:$F,)),INDEX('卡片raw data'!BI:BI,MATCH($D275,'卡片raw data'!$F:$F,)))),IF(OR(AND($F275="UR",$P275=0),AND($F275="SR",$P275&gt;=0,$P275&lt;=2),AND($F275="R",$P275&gt;=0,$P275&lt;4)),INDEX('卡片raw data'!BG:BG,MATCH($D275,'卡片raw data'!$F:$F,)),0)+IF(OR(AND($F275="UR",$P275&gt;=1,$P275&lt;=4),AND($F275="SR",$P275&lt;=4,$P275&gt;=3),AND($F275="R",$P275=4)),INDEX('卡片raw data'!BH:BH,MATCH($D275,'卡片raw data'!$F:$F,)),0)+IF($P275=5,INDEX('卡片raw data'!BI:BI,MATCH($D275,'卡片raw data'!$F:$F,)),0)))</f>
        <v>0</v>
      </c>
      <c r="CC275" s="1101">
        <f t="shared" si="383"/>
        <v>0</v>
      </c>
      <c r="CD275" s="1097">
        <f>IF(BZ275="ap",CB275*(1-$FI$26)*$FB$5/$FB$11*(+IF(CA275="全员",$FA$24,0)+IF(CA275="同作战",$FA$24,0)+IF(CA275="仲间",$FA$24*2/3,0)+IF(CA275="同属性",$FA$24*$FA$37/3,0)+IF(CA275="同年级",$FA$24*$FA$40/3,0)+IF(CA275="同学校",$FA$24*$FA$43/3,0)+IF(CA275="同小队",$FA$24*$FA$46/3,0)+IF(CA275="同type",$FA$24*INDEX($FB$49:$FB$52,MATCH(X275,$FA$49:$FA$52,))/3,0)+IF(CA275="自身",#REF!/3,0)),0)+IF(BZ275="te",CB275*(1-$FI$27)*($FA$20-1)*$FB$7/$FB$13*(+IF(CA275="全员",$FA$19*$FA$24/(1+($FA$20-1)*$FA$19),0)+IF(CA275="同作战",$FA$19*$FA$24/(1+($FA$20-1)*$FA$19),0)+IF(CA275="仲间",$FA$19*$FA$24*2/3/(1+($FA$20-1)*$FA$19),0)+IF(CA275="同属性",$FA$19*$FA$24*$FA$37/3/(1+($FA$20-1)*$FA$19),0)+IF(CA275="同年级",$FA$19*$FA$24*$FA$40/3/(1+($FA$20-1)*$FA$19),0)+IF(CA275="同学校",$FA$19*$FA$24*$FA$43/3/(1+($FA$20-1)*$FA$19),0)+IF(CA275="同小队",$FA$19*$FA$24*$FA$46/3/(1+($FA$20-1)*$FA$19),0)+IF(CA275="同type",$FA$19*$FA$24*INDEX($FB$49:$FB$52,MATCH(X275,$FA$49:$FA$52,))/3/(1+($FA$20-1)*$FA$19),0)+IF(CA275="自身",$FA$19*#REF!/3/(1+(BH275-1)*$BD275),0)),0)</f>
        <v>0</v>
      </c>
      <c r="CE275" s="1097">
        <f t="shared" si="384"/>
        <v>0</v>
      </c>
      <c r="CF275" s="1112">
        <f t="shared" si="385"/>
        <v>0</v>
      </c>
      <c r="CG275" s="1100">
        <f t="shared" si="386"/>
        <v>0</v>
      </c>
      <c r="CH275" s="1110">
        <f t="shared" si="387"/>
        <v>0</v>
      </c>
      <c r="CI275" s="1113" t="s">
        <v>164</v>
      </c>
      <c r="CJ275" s="1114">
        <v>0.3</v>
      </c>
      <c r="CK275" s="1115" t="s">
        <v>156</v>
      </c>
      <c r="CL275" s="1115" t="s">
        <v>1941</v>
      </c>
      <c r="CM275" s="1119">
        <v>0.08</v>
      </c>
      <c r="CN275" s="1115"/>
      <c r="CO275" s="1092"/>
      <c r="CP275" s="1116">
        <f t="shared" si="388"/>
        <v>0</v>
      </c>
      <c r="CQ275" s="1116">
        <f t="shared" si="389"/>
        <v>0</v>
      </c>
      <c r="CR275" s="1116">
        <f t="shared" si="390"/>
        <v>0</v>
      </c>
      <c r="CS275" s="1118">
        <f t="shared" si="391"/>
        <v>0</v>
      </c>
      <c r="CT275" s="1109">
        <f t="shared" si="392"/>
        <v>0</v>
      </c>
      <c r="CU275" s="1101">
        <f t="shared" si="393"/>
        <v>0</v>
      </c>
      <c r="CV275" s="1108">
        <f t="shared" si="394"/>
        <v>0</v>
      </c>
      <c r="CW275" s="1097">
        <f t="shared" si="395"/>
        <v>0</v>
      </c>
      <c r="CX275" s="1097">
        <f t="shared" si="396"/>
        <v>0</v>
      </c>
      <c r="CY275" s="1110">
        <f t="shared" si="397"/>
        <v>0</v>
      </c>
      <c r="CZ275" s="437"/>
      <c r="DA275" s="438"/>
      <c r="DB275" s="439" t="s">
        <v>569</v>
      </c>
      <c r="DC275" s="439"/>
      <c r="DD275" s="443"/>
      <c r="DE275" s="411"/>
      <c r="DF275" s="411"/>
      <c r="DG275" s="1116">
        <f t="shared" si="398"/>
        <v>0</v>
      </c>
      <c r="DH275" s="1116">
        <f t="shared" si="399"/>
        <v>0</v>
      </c>
      <c r="DI275" s="1116">
        <f t="shared" si="400"/>
        <v>0</v>
      </c>
      <c r="DJ275" s="442">
        <f t="shared" si="401"/>
        <v>0</v>
      </c>
      <c r="DK275" s="1109">
        <f t="shared" si="402"/>
        <v>0</v>
      </c>
      <c r="DL275" s="1101">
        <f t="shared" si="403"/>
        <v>0</v>
      </c>
      <c r="DM275" s="1097">
        <f t="shared" si="404"/>
        <v>0</v>
      </c>
      <c r="DN275" s="1097">
        <f t="shared" si="405"/>
        <v>0</v>
      </c>
      <c r="DO275" s="1097">
        <f t="shared" si="406"/>
        <v>0</v>
      </c>
      <c r="DP275" s="1110">
        <f t="shared" si="407"/>
        <v>0</v>
      </c>
      <c r="DQ275" s="1113" t="s">
        <v>549</v>
      </c>
      <c r="DR275" s="1120">
        <f t="shared" si="408"/>
        <v>0.33</v>
      </c>
      <c r="DS275" s="1124"/>
      <c r="DT275" s="1093" t="s">
        <v>179</v>
      </c>
      <c r="DU275" s="1093"/>
      <c r="DV275" s="1098">
        <f>IF($P275="","N/A",IF(P275=-1,INDEX('卡片raw data'!AN:AN,MATCH(D275,'卡片raw data'!$F:$F,)),0)+IF(AND(L275&lt;&gt;"party卡",P275&lt;=2,P275&gt;=0),INDEX('卡片raw data'!AP:AP,MATCH(D275,'卡片raw data'!$F:$F,)),0)+IF(OR(AND(L275="party卡",P275&lt;=1),AND(P275&lt;=4,L275&lt;&gt;"party卡",P275&gt;=3)),INDEX('卡片raw data'!AQ:AQ,MATCH(D275,'卡片raw data'!$F:$F,)),0)+IF(OR(P275=5,AND(L275="party卡",P275&gt;=2)),INDEX('卡片raw data'!AR:AR,MATCH(D275,'卡片raw data'!$F:$F,)),0))</f>
        <v>0.05</v>
      </c>
      <c r="DW275" s="1098">
        <f t="shared" si="409"/>
        <v>0.33</v>
      </c>
      <c r="DX275" s="1098">
        <f t="shared" si="410"/>
        <v>0.33</v>
      </c>
      <c r="DY275" s="1098">
        <f t="shared" si="411"/>
        <v>5.5000000000000005E-3</v>
      </c>
      <c r="DZ275" s="1098">
        <f t="shared" si="412"/>
        <v>5.4711249999999994E-3</v>
      </c>
      <c r="EA275" s="1098">
        <f t="shared" si="413"/>
        <v>0</v>
      </c>
      <c r="EB275" s="1121">
        <f t="shared" si="414"/>
        <v>33.520987499999997</v>
      </c>
      <c r="EC275" s="1101">
        <f t="shared" si="415"/>
        <v>2475.0000000000005</v>
      </c>
      <c r="ED275" s="1097">
        <f t="shared" si="416"/>
        <v>1367.7812499999998</v>
      </c>
      <c r="EE275" s="1110">
        <f t="shared" si="417"/>
        <v>2475.0000000000005</v>
      </c>
      <c r="EF275" s="1115" t="s">
        <v>256</v>
      </c>
      <c r="EG275" s="1120">
        <f t="shared" si="418"/>
        <v>0.33</v>
      </c>
      <c r="EH275" s="1124"/>
      <c r="EI275" s="1093" t="s">
        <v>726</v>
      </c>
      <c r="EJ275" s="1093"/>
      <c r="EK275" s="1098">
        <f>IF($P275="","N/A",IF(P275=-1,INDEX('卡片raw data'!AS:AS,MATCH(D275,'卡片raw data'!$F:$F,)),0)+IF(AND(L275&lt;&gt;"party卡",P275&lt;=2,P275&gt;=0),INDEX('卡片raw data'!AU:AU,MATCH(D275,'卡片raw data'!$F:$F,)),0)+IF(OR(AND(L275="party卡",P275&lt;=1),AND(P275&lt;=4,L275&lt;&gt;"party卡",P275&gt;=3)),INDEX('卡片raw data'!AV:AV,MATCH(D275,'卡片raw data'!$F:$F,)),0)+IF(OR(P275=5,AND(L275="party卡",P275&gt;=2)),INDEX('卡片raw data'!AW:AW,MATCH(D275,'卡片raw data'!$F:$F,)),0))</f>
        <v>0.19</v>
      </c>
      <c r="EL275" s="1098">
        <f t="shared" si="419"/>
        <v>0.33</v>
      </c>
      <c r="EM275" s="1098">
        <f t="shared" si="420"/>
        <v>0.33</v>
      </c>
      <c r="EN275" s="1125">
        <f t="shared" si="421"/>
        <v>529.35128113295991</v>
      </c>
      <c r="EO275" s="1125">
        <f t="shared" si="422"/>
        <v>457.88885818001035</v>
      </c>
      <c r="EP275" s="1098">
        <f t="shared" si="423"/>
        <v>0</v>
      </c>
      <c r="EQ275" s="1121">
        <f t="shared" si="424"/>
        <v>0</v>
      </c>
      <c r="ER275" s="1101">
        <f t="shared" si="425"/>
        <v>756.97233202013274</v>
      </c>
      <c r="ES275" s="1097">
        <f t="shared" si="426"/>
        <v>0</v>
      </c>
      <c r="ET275" s="1122">
        <f t="shared" si="427"/>
        <v>756.97233202013274</v>
      </c>
    </row>
    <row r="276" spans="2:150" ht="16.5" customHeight="1">
      <c r="B276" s="1123" t="str">
        <f>INDEX('卡片raw data'!B:B,MATCH($D276,'卡片raw data'!$F:$F,))</f>
        <v>二专菜</v>
      </c>
      <c r="C276" s="449" t="s">
        <v>579</v>
      </c>
      <c r="D276" s="408">
        <v>273</v>
      </c>
      <c r="E276" s="1090">
        <v>302072002</v>
      </c>
      <c r="F276" s="1090" t="str">
        <f>INDEX('卡片raw data'!C:C,MATCH($D276,'卡片raw data'!$F:$F,))</f>
        <v>SR</v>
      </c>
      <c r="G276" s="1094" t="s">
        <v>725</v>
      </c>
      <c r="H276" s="411">
        <f>IFERROR(INDEX(绊状态确认!C:C,MATCH($G276,绊状态确认!$B:$B,)),"")</f>
        <v>207</v>
      </c>
      <c r="I276" s="450" t="str">
        <f>IFERROR(INDEX(绊状态确认!D:D,MATCH($G276,绊状态确认!$B:$B,)),"")</f>
        <v>虹</v>
      </c>
      <c r="J276" s="450" t="str">
        <f>IFERROR(INDEX(绊状态确认!E:E,MATCH($G276,绊状态确认!$B:$B,)),"")</f>
        <v>2年级</v>
      </c>
      <c r="K276" s="451" t="str">
        <f>IFERROR(INDEX(绊状态确认!F:F,MATCH($G276,绊状态确认!$B:$B,)),"")</f>
        <v>A·ZU·NA</v>
      </c>
      <c r="L276" s="1094" t="str">
        <f>INDEX('卡片raw data'!E:E,MATCH($D276,'卡片raw data'!$F:$F,))</f>
        <v>卡池卡</v>
      </c>
      <c r="M276" s="415">
        <v>44027</v>
      </c>
      <c r="N276" s="416">
        <v>19.5</v>
      </c>
      <c r="O276" s="1091" t="str">
        <f>INDEX('卡片raw data'!D:D,MATCH($D276,'卡片raw data'!$F:$F,))</f>
        <v>sk</v>
      </c>
      <c r="P276" s="417">
        <v>5</v>
      </c>
      <c r="Q276" s="1095">
        <f t="shared" si="343"/>
        <v>30489.749555349048</v>
      </c>
      <c r="R276" s="1096">
        <f t="shared" si="344"/>
        <v>0.35399999999999998</v>
      </c>
      <c r="S276" s="1097">
        <f t="shared" si="345"/>
        <v>16612.234790467326</v>
      </c>
      <c r="T276" s="1098">
        <f t="shared" si="346"/>
        <v>0.83</v>
      </c>
      <c r="U276" s="1099">
        <f t="shared" si="347"/>
        <v>12.083914041471427</v>
      </c>
      <c r="V276" s="1100">
        <f t="shared" si="348"/>
        <v>33448.056842459191</v>
      </c>
      <c r="W276" s="1101">
        <f t="shared" si="349"/>
        <v>4857.3918824844877</v>
      </c>
      <c r="X276" s="1096">
        <f t="shared" si="350"/>
        <v>5.6000000000000001E-2</v>
      </c>
      <c r="Y276" s="1097">
        <f t="shared" si="351"/>
        <v>958.30728711014308</v>
      </c>
      <c r="Z276" s="1102">
        <f t="shared" si="352"/>
        <v>12.083914041471427</v>
      </c>
      <c r="AA276" s="1103">
        <f t="shared" si="353"/>
        <v>5815.6991695946308</v>
      </c>
      <c r="AB276" s="1101">
        <f t="shared" si="354"/>
        <v>4857.3918824844877</v>
      </c>
      <c r="AC276" s="1104">
        <f t="shared" si="355"/>
        <v>5.6000000000000001E-2</v>
      </c>
      <c r="AD276" s="1105">
        <f t="shared" si="356"/>
        <v>1.8994224431818179E-2</v>
      </c>
      <c r="AE276" s="1128">
        <f t="shared" si="357"/>
        <v>4.3537577047458456</v>
      </c>
      <c r="AF276" s="1130">
        <f t="shared" si="358"/>
        <v>0</v>
      </c>
      <c r="AG276" s="420">
        <f t="shared" si="359"/>
        <v>0</v>
      </c>
      <c r="AH276" s="420">
        <f t="shared" si="360"/>
        <v>0</v>
      </c>
      <c r="AI276" s="1097">
        <f t="shared" si="361"/>
        <v>0</v>
      </c>
      <c r="AJ276" s="420">
        <f t="shared" si="362"/>
        <v>0</v>
      </c>
      <c r="AK276" s="518">
        <f t="shared" si="363"/>
        <v>0</v>
      </c>
      <c r="AL276" s="1106">
        <f>IF($P276="","N/A",(IF($P276=-1,INDEX('卡片raw data'!S:S,MATCH($D276,'卡片raw data'!$F:$F,)),0)+IF($P276=0,INDEX('卡片raw data'!V:V,MATCH($D276,'卡片raw data'!$F:$F,)),0)+IF($P276=1,INDEX('卡片raw data'!Y:Y,MATCH($D276,'卡片raw data'!$F:$F,)),0)+IF($P276=2,INDEX('卡片raw data'!AB:AB,MATCH($D276,'卡片raw data'!$F:$F,)),0)+IF($P276=3,INDEX('卡片raw data'!AE:AE,MATCH($D276,'卡片raw data'!$F:$F,)),0)+IF($P276=4,INDEX('卡片raw data'!AH:AH,MATCH($D276,'卡片raw data'!$F:$F,)),0)+IF($P276=5,INDEX('卡片raw data'!AK:AK,MATCH($D276,'卡片raw data'!$F:$F,)),0)+INDEX('卡片raw data'!S:S,MATCH($D276,'卡片raw data'!$F:$F,))*(IF($F276="UR",0.04,0.033))*(IF($F276="UR",INDEX(绊状态确认!$S:$S,MATCH($G276,绊状态确认!$B:$B,))/2-40)+IF($F276="SR",INDEX(绊状态确认!$R:$R,MATCH($G276,绊状态确认!$B:$B,))/4-15))+IF($F276="R",INDEX(绊状态确认!$Q:$Q,MATCH($G276,绊状态确认!$B:$B,))/6-40/6)))*(INDEX(绊状态确认!$H:$H,MATCH($G276,绊状态确认!$B:$B,))+INDEX(绊状态确认!J:J,MATCH($G276,绊状态确认!$B:$B,)))</f>
        <v>7518.4155815999984</v>
      </c>
      <c r="AM276" s="1106">
        <f>IF($P276="","N/A",(IF($P276=-1,INDEX('卡片raw data'!T:T,MATCH($D276,'卡片raw data'!$F:$F,)),0)+IF($P276=0,INDEX('卡片raw data'!W:W,MATCH($D276,'卡片raw data'!$F:$F,)),0)+IF($P276=1,INDEX('卡片raw data'!Z:Z,MATCH($D276,'卡片raw data'!$F:$F,)),0)+IF($P276=2,INDEX('卡片raw data'!AC:AC,MATCH($D276,'卡片raw data'!$F:$F,)),0)+IF($P276=3,INDEX('卡片raw data'!AF:AF,MATCH($D276,'卡片raw data'!$F:$F,)),0)+IF($P276=4,INDEX('卡片raw data'!AI:AI,MATCH($D276,'卡片raw data'!$F:$F,)),0)+IF($P276=5,INDEX('卡片raw data'!AL:AL,MATCH($D276,'卡片raw data'!$F:$F,)),0)+INDEX('卡片raw data'!T:T,MATCH($D276,'卡片raw data'!$F:$F,))*(IF($F276="UR",0.04,0.033))*(IF($F276="UR",INDEX(绊状态确认!$S:$S,MATCH($G276,绊状态确认!$B:$B,))/2-40)+IF($F276="SR",INDEX(绊状态确认!$R:$R,MATCH($G276,绊状态确认!$B:$B,))/4-15))+IF($F276="R",INDEX(绊状态确认!$Q:$Q,MATCH($G276,绊状态确认!$B:$B,))/6-40/6)))*(INDEX(绊状态确认!$H:$H,MATCH($G276,绊状态确认!$B:$B,))+INDEX(绊状态确认!K:K,MATCH($G276,绊状态确认!$B:$B,)))</f>
        <v>5081.0034959999994</v>
      </c>
      <c r="AN276" s="1106">
        <f>IF($P276="","N/A",(IF($P276=-1,INDEX('卡片raw data'!U:U,MATCH($D276,'卡片raw data'!$F:$F,)),0)+IF($P276=0,INDEX('卡片raw data'!X:X,MATCH($D276,'卡片raw data'!$F:$F,)),0)+IF($P276=1,INDEX('卡片raw data'!AA:AA,MATCH($D276,'卡片raw data'!$F:$F,)),0)+IF($P276=2,INDEX('卡片raw data'!AD:AD,MATCH($D276,'卡片raw data'!$F:$F,)),0)+IF($P276=3,INDEX('卡片raw data'!AG:AG,MATCH($D276,'卡片raw data'!$F:$F,)),0)+IF($P276=4,INDEX('卡片raw data'!AJ:AJ,MATCH($D276,'卡片raw data'!$F:$F,)),0)+IF($P276=5,INDEX('卡片raw data'!AM:AM,MATCH($D276,'卡片raw data'!$F:$F,)),0)+INDEX('卡片raw data'!U:U,MATCH($D276,'卡片raw data'!$F:$F,))*(IF($F276="UR",0.04,0.033))*(IF($F276="UR",INDEX(绊状态确认!$S:$S,MATCH($G276,绊状态确认!$B:$B,))/2-40)+IF($F276="SR",INDEX(绊状态确认!$R:$R,MATCH($G276,绊状态确认!$B:$B,))/4-15))+IF($F276="R",INDEX(绊状态确认!$Q:$Q,MATCH($G276,绊状态确认!$B:$B,))/6-40/6)))*(INDEX(绊状态确认!$H:$H,MATCH($G276,绊状态确认!$B:$B,))+INDEX(绊状态确认!L:L,MATCH($G276,绊状态确认!$B:$B,)))</f>
        <v>7719.9743039999985</v>
      </c>
      <c r="AO276" s="1107">
        <f t="shared" si="364"/>
        <v>1</v>
      </c>
      <c r="AP276" s="1131">
        <f>1+(INDEX(绊状态确认!$T:$T,MATCH($G276,绊状态确认!$B:$B,))+0.2)*$AO276</f>
        <v>1.3</v>
      </c>
      <c r="AQ276" s="1108">
        <f t="shared" si="365"/>
        <v>22985.840901699994</v>
      </c>
      <c r="AR276" s="1097">
        <f>(AM276*(1+$EX$9)+$EX$35)*(1+(INDEX(绊状态确认!$T:$T,MATCH($G276,绊状态确认!$B:$B,))+0.2)*AO276)*IF(J276=$FF$17,1+$FE$17,1)*IF(I276=$FF$14,1+$FE$14,1)</f>
        <v>9639.5697720400003</v>
      </c>
      <c r="AS276" s="1097">
        <f>(AN276*(1+$EX$10)+$EX$36)*(1+(INDEX(绊状态确认!$T:$T,MATCH($G276,绊状态确认!$B:$B,))+0.2)*AO276)*IF(J276=$FF$17,1+$FE$17,1)*IF(I276=$FF$14,1+$FE$14,1)</f>
        <v>15597.361584479997</v>
      </c>
      <c r="AT276" s="1093">
        <f>IF(AND(INDEX('卡片raw data'!AK:AK,MATCH($D276,'卡片raw data'!$F:$F,))&lt;INDEX('卡片raw data'!AM:AM,MATCH($D276,'卡片raw data'!$F:$F,)),INDEX('卡片raw data'!AL:AL,MATCH($D276,'卡片raw data'!$F:$F,))&lt;INDEX('卡片raw data'!AM:AM,MATCH($D276,'卡片raw data'!$F:$F,))),1,0)</f>
        <v>1</v>
      </c>
      <c r="AU276" s="1098">
        <f>MIN(AT276*0.15+AS276*0.00003+INDEX(绊状态确认!M:M,MATCH($G276,绊状态确认!$B:$B,)),1)</f>
        <v>0.64792084753439994</v>
      </c>
      <c r="AV276" s="1109">
        <f>(INDEX(绊状态确认!$N:$N,MATCH($G276,绊状态确认!$B:$B,))+1.5)*$EW$21</f>
        <v>2.6599999999999997</v>
      </c>
      <c r="AW276" s="1101">
        <f t="shared" si="366"/>
        <v>24777.111129975081</v>
      </c>
      <c r="AX276" s="1097">
        <f t="shared" si="367"/>
        <v>821.11709289680175</v>
      </c>
      <c r="AY276" s="1110">
        <f t="shared" si="368"/>
        <v>25598.228222871883</v>
      </c>
      <c r="AZ276" s="429">
        <f t="shared" si="369"/>
        <v>17260.910384119998</v>
      </c>
      <c r="BA276" s="431">
        <f t="shared" si="370"/>
        <v>20713.092460943997</v>
      </c>
      <c r="BB276" s="1097">
        <f>(AM276*(1+$FB$9)+$FB$35)*(1+(INDEX(绊状态确认!$T:$T,MATCH($G276,绊状态确认!$B:$B,))+0.2)*AO276)*IF(J276=$FF$17,1+$FE$17,1)*IF(I276=$FF$14,1+$FE$14,1)*(1+$FE$15)</f>
        <v>9639.5697720400003</v>
      </c>
      <c r="BC276" s="1097">
        <f>(AN276*(1+$FB$10)+$FB$36)*(1+(INDEX(绊状态确认!$T:$T,MATCH($G276,绊状态确认!$B:$B,))+0.2)*AO276)*IF(J276=$FF$17,1+$FE$17,1)*IF(I276=$FF$14,1+$FE$14,1)*(1+$FE$15)</f>
        <v>15597.361584479997</v>
      </c>
      <c r="BD276" s="1104">
        <f>MIN(AT276*0.15+BC276*0.00003+INDEX(绊状态确认!M:M,MATCH($G276,绊状态确认!$B:$B,)),1)</f>
        <v>0.64792084753439994</v>
      </c>
      <c r="BE276" s="432">
        <f>(INDEX(绊状态确认!$N:$N,MATCH($G276,绊状态确认!$B:$B,))+1.5)</f>
        <v>1.9</v>
      </c>
      <c r="BF276" s="1139">
        <f t="array" ref="BF276">SUMPRODUCT(IF(AZ276*AP276*$FI$16:$FI$23*$FA$22&gt;=$FI$24,$FI$24,AZ276*AP276*$FI$16:$FI$23*$FA$22),$FJ$16:$FJ$23)</f>
        <v>34331.950754014673</v>
      </c>
      <c r="BG276" s="1125">
        <f t="array" ref="BG276">SUMPRODUCT(IF(BE276*AZ276*AP276*$FI$16:$FI$23*$FA$22&gt;=$FI$24,$FI$24,BE276*AZ276*AP276*$FI$16:$FI$23*$FA$22),$FJ$16:$FJ$23)</f>
        <v>58596.257783851484</v>
      </c>
      <c r="BH276" s="1110">
        <f t="shared" si="371"/>
        <v>16684.433709873814</v>
      </c>
      <c r="BI276" s="1111">
        <f>IF(O276="vo",$EW$26/$EW$24*0.05,0)+IF(O276="sk",-$EW$26/$EW$24*(0.05-INDEX(绊状态确认!W:W,MATCH($G276,绊状态确认!$B:$B,)))+0.05*$EW$28,0)+IF(O276="sp",0.05*$EW$32*$EW$30*(1-$EW$33)-(0.05-INDEX(绊状态确认!V:V,MATCH($G276,绊状态确认!$B:$B,)))*$EW$28,0)+IF(O276="gd",-(0.05-INDEX(绊状态确认!X:X,MATCH($G276,绊状态确认!$B:$B,)))*$EW$32*$EW$30*(1-$EW$33),0)</f>
        <v>-6253.6726349699375</v>
      </c>
      <c r="BJ276" s="1097">
        <f>IF(O276="vo",0.05*(1-$FI$26)*$FA$24,0)+IF(O276="sk",-(0.05-INDEX(绊状态确认!W:W,MATCH($G276,绊状态确认!$B:$B,)))*(1-$FI$26)*$FA$24+0.05*$FA$26,0)+IF(O276="sp",0.05*$FA$32*$FA$27*(1-$FA$33)/$FA$30+0.05*$FA$29/$FA$69*$FA$27*(1-$FA$33)-(0.05-INDEX(绊状态确认!V:V,MATCH($G276,绊状态确认!$B:$B,)))*$FA$26,0)+IF(O276="gd",-(0.05-INDEX(绊状态确认!X:X,MATCH($G276,绊状态确认!$B:$B,)))*$FA$32*$FA$27*(1-$FA$33)/$FA$30-(0.05-INDEX(绊状态确认!X:X,MATCH($G276,绊状态确认!$B:$B,)))*$FA$29/$FA$69*$FA$27*(1-$FA$33),0)</f>
        <v>20.459096812499922</v>
      </c>
      <c r="BK276" s="1110">
        <f>IF(O276="vo",$EW$26/$EW$24*0.05+$EW$26*(-HP($EW$62,$EW$65,$EW$64)+HP($EW$62,$EW$65,(1.05-INDEX(绊状态确认!U:U,MATCH($G276,绊状态确认!$B:$B,)))*$EW$64)),0)+IF(O276="sk",-$EW$26/$EW$24*(0.05-INDEX(绊状态确认!W:W,MATCH($G276,绊状态确认!$B:$B,)))+0.05*$EW$29,0)+IF(O276="sp",0.05*$EW$32*$EW$30*(1-$EW$33)-(0.05-INDEX(绊状态确认!V:V,MATCH($G276,绊状态确认!$B:$B,)))*$EW$29,0)+IF(O276="gd",-(0.05-INDEX(绊状态确认!X:X,MATCH($G276,绊状态确认!$B:$B,)))*$EW$32*$EW$30*(1-$EW$33)+$EW$26*(-HP($EW$62,$EW$65,$EW$64)+HP($EW$62,$EW$65,0.95*$EW$64)),0)</f>
        <v>-4253.6726349699375</v>
      </c>
      <c r="BL276" s="1111">
        <f t="shared" si="372"/>
        <v>-1083.3333333333333</v>
      </c>
      <c r="BM276" s="1110">
        <f t="shared" si="373"/>
        <v>-830.55555555555543</v>
      </c>
      <c r="BN276" s="1113">
        <f t="shared" si="374"/>
        <v>3</v>
      </c>
      <c r="BO276" s="1097">
        <f t="shared" si="375"/>
        <v>4507.7214871259994</v>
      </c>
      <c r="BP276" s="1100">
        <f t="shared" si="376"/>
        <v>221.34103209030098</v>
      </c>
      <c r="BQ276" s="1113" t="s">
        <v>728</v>
      </c>
      <c r="BR276" s="1124" t="s">
        <v>168</v>
      </c>
      <c r="BS276" s="1098">
        <f>IF($P276="","N/A",IF($P276=-1,INDEX('卡片raw data'!AX:AX,MATCH($D276,'卡片raw data'!$F:$F,)),0)+IF($L276="party卡",IF($P276=5,INDEX('卡片raw data'!BD:BD,MATCH($D276,'卡片raw data'!$F:$F,)),IF($P276&gt;=3,INDEX('卡片raw data'!BC:BC,MATCH($D276,'卡片raw data'!$F:$F,)),INDEX('卡片raw data'!BB:BB,MATCH($D276,'卡片raw data'!$F:$F,)))),IF(OR(AND($F276="UR",$P276=0),AND($F276="SR",$P276&gt;=0,$P276&lt;=2),AND($F276="R",$P276&gt;=0,$P276&lt;4)),INDEX('卡片raw data'!AZ:AZ,MATCH($D276,'卡片raw data'!$F:$F,)),0)+IF(OR(AND($F276="UR",$P276&gt;=1,$P276&lt;=4),AND($F276="SR",$P276&lt;=4,$P276&gt;=3),AND($F276="R",$P276=4)),INDEX('卡片raw data'!BA:BA,MATCH($D276,'卡片raw data'!$F:$F,)),0)+IF($P276=5,INDEX('卡片raw data'!BB:BB,MATCH($D276,'卡片raw data'!$F:$F,)),0)))</f>
        <v>0.05</v>
      </c>
      <c r="BT276" s="1101">
        <f t="shared" si="377"/>
        <v>0</v>
      </c>
      <c r="BU276" s="1097">
        <f t="shared" si="378"/>
        <v>0</v>
      </c>
      <c r="BV276" s="1097">
        <f t="shared" si="379"/>
        <v>0</v>
      </c>
      <c r="BW276" s="1112">
        <f t="shared" si="380"/>
        <v>1.7558035714285711</v>
      </c>
      <c r="BX276" s="1100">
        <f t="shared" si="381"/>
        <v>137.19019421334193</v>
      </c>
      <c r="BY276" s="1110">
        <f t="shared" si="382"/>
        <v>137.19019421334193</v>
      </c>
      <c r="BZ276" s="1107" t="s">
        <v>569</v>
      </c>
      <c r="CA276" s="1124"/>
      <c r="CB276" s="1098">
        <f>IF($P276="","N/A",IF($P276=-1,INDEX('卡片raw data'!BE:BE,MATCH($D276,'卡片raw data'!$F:$F,)),0)+IF($L276="party卡",IF($P276=5,INDEX('卡片raw data'!BK:BK,MATCH($D276,'卡片raw data'!$F:$F,)),IF($P276&gt;=3,INDEX('卡片raw data'!BJ:BJ,MATCH($D276,'卡片raw data'!$F:$F,)),INDEX('卡片raw data'!BI:BI,MATCH($D276,'卡片raw data'!$F:$F,)))),IF(OR(AND($F276="UR",$P276=0),AND($F276="SR",$P276&gt;=0,$P276&lt;=2),AND($F276="R",$P276&gt;=0,$P276&lt;4)),INDEX('卡片raw data'!BG:BG,MATCH($D276,'卡片raw data'!$F:$F,)),0)+IF(OR(AND($F276="UR",$P276&gt;=1,$P276&lt;=4),AND($F276="SR",$P276&lt;=4,$P276&gt;=3),AND($F276="R",$P276=4)),INDEX('卡片raw data'!BH:BH,MATCH($D276,'卡片raw data'!$F:$F,)),0)+IF($P276=5,INDEX('卡片raw data'!BI:BI,MATCH($D276,'卡片raw data'!$F:$F,)),0)))</f>
        <v>0</v>
      </c>
      <c r="CC276" s="1101">
        <f t="shared" si="383"/>
        <v>0</v>
      </c>
      <c r="CD276" s="1097">
        <f>IF(BZ276="ap",CB276*(1-$FI$26)*$FB$5/$FB$11*(+IF(CA276="全员",$FA$24,0)+IF(CA276="同作战",$FA$24,0)+IF(CA276="仲间",$FA$24*2/3,0)+IF(CA276="同属性",$FA$24*$FA$37/3,0)+IF(CA276="同年级",$FA$24*$FA$40/3,0)+IF(CA276="同学校",$FA$24*$FA$43/3,0)+IF(CA276="同小队",$FA$24*$FA$46/3,0)+IF(CA276="同type",$FA$24*INDEX($FB$49:$FB$52,MATCH(X276,$FA$49:$FA$52,))/3,0)+IF(CA276="自身",#REF!/3,0)),0)+IF(BZ276="te",CB276*(1-$FI$27)*($FA$20-1)*$FB$7/$FB$13*(+IF(CA276="全员",$FA$19*$FA$24/(1+($FA$20-1)*$FA$19),0)+IF(CA276="同作战",$FA$19*$FA$24/(1+($FA$20-1)*$FA$19),0)+IF(CA276="仲间",$FA$19*$FA$24*2/3/(1+($FA$20-1)*$FA$19),0)+IF(CA276="同属性",$FA$19*$FA$24*$FA$37/3/(1+($FA$20-1)*$FA$19),0)+IF(CA276="同年级",$FA$19*$FA$24*$FA$40/3/(1+($FA$20-1)*$FA$19),0)+IF(CA276="同学校",$FA$19*$FA$24*$FA$43/3/(1+($FA$20-1)*$FA$19),0)+IF(CA276="同小队",$FA$19*$FA$24*$FA$46/3/(1+($FA$20-1)*$FA$19),0)+IF(CA276="同type",$FA$19*$FA$24*INDEX($FB$49:$FB$52,MATCH(X276,$FA$49:$FA$52,))/3/(1+($FA$20-1)*$FA$19),0)+IF(CA276="自身",$FA$19*#REF!/3/(1+(BH276-1)*$BD276),0)),0)</f>
        <v>0</v>
      </c>
      <c r="CE276" s="1097">
        <f t="shared" si="384"/>
        <v>0</v>
      </c>
      <c r="CF276" s="1112">
        <f t="shared" si="385"/>
        <v>0</v>
      </c>
      <c r="CG276" s="1100">
        <f t="shared" si="386"/>
        <v>0</v>
      </c>
      <c r="CH276" s="1110">
        <f t="shared" si="387"/>
        <v>0</v>
      </c>
      <c r="CI276" s="1113" t="s">
        <v>162</v>
      </c>
      <c r="CJ276" s="1114">
        <v>0.3</v>
      </c>
      <c r="CK276" s="1115" t="s">
        <v>729</v>
      </c>
      <c r="CL276" s="1115" t="s">
        <v>161</v>
      </c>
      <c r="CM276" s="1119">
        <v>0.04</v>
      </c>
      <c r="CN276" s="1115">
        <v>10</v>
      </c>
      <c r="CO276" s="1092"/>
      <c r="CP276" s="1118">
        <f t="shared" si="388"/>
        <v>2.5714285714285713E-3</v>
      </c>
      <c r="CQ276" s="1118">
        <f t="shared" si="389"/>
        <v>4.0000000000000001E-3</v>
      </c>
      <c r="CR276" s="1118">
        <f t="shared" si="390"/>
        <v>2.5714285714285713E-3</v>
      </c>
      <c r="CS276" s="1118">
        <f t="shared" si="391"/>
        <v>0</v>
      </c>
      <c r="CT276" s="1109">
        <f t="shared" si="392"/>
        <v>0</v>
      </c>
      <c r="CU276" s="1101">
        <f t="shared" si="393"/>
        <v>349.67039535848824</v>
      </c>
      <c r="CV276" s="1108">
        <f t="shared" si="394"/>
        <v>26.262289125000006</v>
      </c>
      <c r="CW276" s="1097">
        <f t="shared" si="395"/>
        <v>349.67039535848824</v>
      </c>
      <c r="CX276" s="1097">
        <f t="shared" si="396"/>
        <v>349.67039535848824</v>
      </c>
      <c r="CY276" s="1110">
        <f t="shared" si="397"/>
        <v>349.67039535848824</v>
      </c>
      <c r="CZ276" s="437"/>
      <c r="DA276" s="438"/>
      <c r="DB276" s="439" t="s">
        <v>569</v>
      </c>
      <c r="DC276" s="439"/>
      <c r="DD276" s="443"/>
      <c r="DE276" s="411"/>
      <c r="DF276" s="411"/>
      <c r="DG276" s="1116">
        <f t="shared" si="398"/>
        <v>0</v>
      </c>
      <c r="DH276" s="1116">
        <f t="shared" si="399"/>
        <v>0</v>
      </c>
      <c r="DI276" s="1116">
        <f t="shared" si="400"/>
        <v>0</v>
      </c>
      <c r="DJ276" s="442">
        <f t="shared" si="401"/>
        <v>0</v>
      </c>
      <c r="DK276" s="1109">
        <f t="shared" si="402"/>
        <v>0</v>
      </c>
      <c r="DL276" s="1101">
        <f t="shared" si="403"/>
        <v>0</v>
      </c>
      <c r="DM276" s="1097">
        <f t="shared" si="404"/>
        <v>0</v>
      </c>
      <c r="DN276" s="1097">
        <f t="shared" si="405"/>
        <v>0</v>
      </c>
      <c r="DO276" s="1097">
        <f t="shared" si="406"/>
        <v>0</v>
      </c>
      <c r="DP276" s="1110">
        <f t="shared" si="407"/>
        <v>0</v>
      </c>
      <c r="DQ276" s="1113" t="s">
        <v>730</v>
      </c>
      <c r="DR276" s="1120">
        <f t="shared" si="408"/>
        <v>0.3</v>
      </c>
      <c r="DS276" s="1124">
        <v>10</v>
      </c>
      <c r="DT276" s="1093" t="s">
        <v>168</v>
      </c>
      <c r="DU276" s="1093" t="s">
        <v>731</v>
      </c>
      <c r="DV276" s="1098">
        <f>IF($P276="","N/A",IF(P276=-1,INDEX('卡片raw data'!AN:AN,MATCH(D276,'卡片raw data'!$F:$F,)),0)+IF(AND(L276&lt;&gt;"party卡",P276&lt;=2,P276&gt;=0),INDEX('卡片raw data'!AP:AP,MATCH(D276,'卡片raw data'!$F:$F,)),0)+IF(OR(AND(L276="party卡",P276&lt;=1),AND(P276&lt;=4,L276&lt;&gt;"party卡",P276&gt;=3)),INDEX('卡片raw data'!AQ:AQ,MATCH(D276,'卡片raw data'!$F:$F,)),0)+IF(OR(P276=5,AND(L276="party卡",P276&gt;=2)),INDEX('卡片raw data'!AR:AR,MATCH(D276,'卡片raw data'!$F:$F,)),0))</f>
        <v>7.0000000000000007E-2</v>
      </c>
      <c r="DW276" s="1098">
        <f t="shared" si="409"/>
        <v>0.3</v>
      </c>
      <c r="DX276" s="1098">
        <f t="shared" si="410"/>
        <v>0.3</v>
      </c>
      <c r="DY276" s="1098">
        <f t="shared" si="411"/>
        <v>7.0000000000000007E-2</v>
      </c>
      <c r="DZ276" s="1098">
        <f t="shared" si="412"/>
        <v>6.0550000000000007E-2</v>
      </c>
      <c r="EA276" s="1098">
        <f t="shared" si="413"/>
        <v>0</v>
      </c>
      <c r="EB276" s="1121">
        <f t="shared" si="414"/>
        <v>0</v>
      </c>
      <c r="EC276" s="1101">
        <f t="shared" si="415"/>
        <v>8192.2525111927516</v>
      </c>
      <c r="ED276" s="1097">
        <f t="shared" si="416"/>
        <v>490.2942181212656</v>
      </c>
      <c r="EE276" s="1110">
        <f t="shared" si="417"/>
        <v>8192.2525111927516</v>
      </c>
      <c r="EF276" s="1092" t="s">
        <v>569</v>
      </c>
      <c r="EG276" s="1120">
        <f t="shared" si="418"/>
        <v>0.3</v>
      </c>
      <c r="EH276" s="1124"/>
      <c r="EI276" s="1093"/>
      <c r="EJ276" s="1093"/>
      <c r="EK276" s="1097">
        <f>IF($P276="","N/A",IF(P276=-1,INDEX('卡片raw data'!AS:AS,MATCH(D276,'卡片raw data'!$F:$F,)),0)+IF(AND(L276&lt;&gt;"party卡",P276&lt;=2,P276&gt;=0),INDEX('卡片raw data'!AU:AU,MATCH(D276,'卡片raw data'!$F:$F,)),0)+IF(OR(AND(L276="party卡",P276&lt;=1),AND(P276&lt;=4,L276&lt;&gt;"party卡",P276&gt;=3)),INDEX('卡片raw data'!AV:AV,MATCH(D276,'卡片raw data'!$F:$F,)),0)+IF(OR(P276=5,AND(L276="party卡",P276&gt;=2)),INDEX('卡片raw data'!AW:AW,MATCH(D276,'卡片raw data'!$F:$F,)),0))</f>
        <v>0</v>
      </c>
      <c r="EL276" s="1098">
        <f t="shared" si="419"/>
        <v>0.3</v>
      </c>
      <c r="EM276" s="1098">
        <f t="shared" si="420"/>
        <v>0.3</v>
      </c>
      <c r="EN276" s="1125">
        <f t="shared" si="421"/>
        <v>0</v>
      </c>
      <c r="EO276" s="1125">
        <f t="shared" si="422"/>
        <v>0</v>
      </c>
      <c r="EP276" s="1098">
        <f t="shared" si="423"/>
        <v>0</v>
      </c>
      <c r="EQ276" s="1121">
        <f t="shared" si="424"/>
        <v>0</v>
      </c>
      <c r="ER276" s="1101">
        <f t="shared" si="425"/>
        <v>0</v>
      </c>
      <c r="ES276" s="1097">
        <f t="shared" si="426"/>
        <v>0</v>
      </c>
      <c r="ET276" s="1122">
        <f t="shared" si="427"/>
        <v>0</v>
      </c>
    </row>
    <row r="277" spans="2:150" ht="16.5" customHeight="1">
      <c r="B277" s="1123" t="str">
        <f>INDEX('卡片raw data'!B:B,MATCH($D277,'卡片raw data'!$F:$F,))</f>
        <v>鬼屋璃</v>
      </c>
      <c r="C277" s="449" t="s">
        <v>746</v>
      </c>
      <c r="D277" s="408">
        <v>274</v>
      </c>
      <c r="E277" s="1090">
        <v>402093001</v>
      </c>
      <c r="F277" s="1090" t="str">
        <f>INDEX('卡片raw data'!C:C,MATCH($D277,'卡片raw data'!$F:$F,))</f>
        <v>UR</v>
      </c>
      <c r="G277" s="1094" t="s">
        <v>736</v>
      </c>
      <c r="H277" s="411">
        <f>IFERROR(INDEX(绊状态确认!C:C,MATCH($G277,绊状态确认!$B:$B,)),"")</f>
        <v>209</v>
      </c>
      <c r="I277" s="450" t="str">
        <f>IFERROR(INDEX(绊状态确认!D:D,MATCH($G277,绊状态确认!$B:$B,)),"")</f>
        <v>虹</v>
      </c>
      <c r="J277" s="450" t="str">
        <f>IFERROR(INDEX(绊状态确认!E:E,MATCH($G277,绊状态确认!$B:$B,)),"")</f>
        <v>1年级</v>
      </c>
      <c r="K277" s="451" t="str">
        <f>IFERROR(INDEX(绊状态确认!F:F,MATCH($G277,绊状态确认!$B:$B,)),"")</f>
        <v>QU4RTZ</v>
      </c>
      <c r="L277" s="1094" t="str">
        <f>INDEX('卡片raw data'!E:E,MATCH($D277,'卡片raw data'!$F:$F,))</f>
        <v>卡池卡</v>
      </c>
      <c r="M277" s="415">
        <v>44034</v>
      </c>
      <c r="N277" s="416">
        <v>20</v>
      </c>
      <c r="O277" s="1091" t="str">
        <f>INDEX('卡片raw data'!D:D,MATCH($D277,'卡片raw data'!$F:$F,))</f>
        <v>vo</v>
      </c>
      <c r="P277" s="417">
        <v>5</v>
      </c>
      <c r="Q277" s="1095">
        <f t="shared" si="343"/>
        <v>61211.753348797494</v>
      </c>
      <c r="R277" s="1096">
        <f t="shared" si="344"/>
        <v>0.71099999999999997</v>
      </c>
      <c r="S277" s="1097">
        <f t="shared" si="345"/>
        <v>21941.548960083361</v>
      </c>
      <c r="T277" s="1098">
        <f t="shared" si="346"/>
        <v>1.097</v>
      </c>
      <c r="U277" s="1099">
        <f t="shared" si="347"/>
        <v>-11.647375987257146</v>
      </c>
      <c r="V277" s="1100">
        <f t="shared" si="348"/>
        <v>60975.257971221108</v>
      </c>
      <c r="W277" s="1101">
        <f t="shared" si="349"/>
        <v>5733.9846558728223</v>
      </c>
      <c r="X277" s="1096">
        <f t="shared" si="350"/>
        <v>6.6000000000000003E-2</v>
      </c>
      <c r="Y277" s="1097">
        <f t="shared" si="351"/>
        <v>1068.1730726653186</v>
      </c>
      <c r="Z277" s="1102">
        <f t="shared" si="352"/>
        <v>13.352624012742854</v>
      </c>
      <c r="AA277" s="1103">
        <f t="shared" si="353"/>
        <v>6802.1577285381409</v>
      </c>
      <c r="AB277" s="1101">
        <f t="shared" si="354"/>
        <v>8125.3853042133387</v>
      </c>
      <c r="AC277" s="1104">
        <f t="shared" si="355"/>
        <v>9.4E-2</v>
      </c>
      <c r="AD277" s="1105">
        <f t="shared" si="356"/>
        <v>0</v>
      </c>
      <c r="AE277" s="1128">
        <f t="shared" si="357"/>
        <v>0</v>
      </c>
      <c r="AF277" s="1130">
        <f t="shared" si="358"/>
        <v>0</v>
      </c>
      <c r="AG277" s="420">
        <f t="shared" si="359"/>
        <v>0</v>
      </c>
      <c r="AH277" s="420">
        <f t="shared" si="360"/>
        <v>0</v>
      </c>
      <c r="AI277" s="1097">
        <f t="shared" si="361"/>
        <v>0</v>
      </c>
      <c r="AJ277" s="420">
        <f t="shared" si="362"/>
        <v>0</v>
      </c>
      <c r="AK277" s="518">
        <f t="shared" si="363"/>
        <v>0</v>
      </c>
      <c r="AL277" s="1106">
        <f>IF($P277="","N/A",(IF($P277=-1,INDEX('卡片raw data'!S:S,MATCH($D277,'卡片raw data'!$F:$F,)),0)+IF($P277=0,INDEX('卡片raw data'!V:V,MATCH($D277,'卡片raw data'!$F:$F,)),0)+IF($P277=1,INDEX('卡片raw data'!Y:Y,MATCH($D277,'卡片raw data'!$F:$F,)),0)+IF($P277=2,INDEX('卡片raw data'!AB:AB,MATCH($D277,'卡片raw data'!$F:$F,)),0)+IF($P277=3,INDEX('卡片raw data'!AE:AE,MATCH($D277,'卡片raw data'!$F:$F,)),0)+IF($P277=4,INDEX('卡片raw data'!AH:AH,MATCH($D277,'卡片raw data'!$F:$F,)),0)+IF($P277=5,INDEX('卡片raw data'!AK:AK,MATCH($D277,'卡片raw data'!$F:$F,)),0)+INDEX('卡片raw data'!S:S,MATCH($D277,'卡片raw data'!$F:$F,))*(IF($F277="UR",0.04,0.033))*(IF($F277="UR",INDEX(绊状态确认!$S:$S,MATCH($G277,绊状态确认!$B:$B,))/2-40)+IF($F277="SR",INDEX(绊状态确认!$R:$R,MATCH($G277,绊状态确认!$B:$B,))/4-15))+IF($F277="R",INDEX(绊状态确认!$Q:$Q,MATCH($G277,绊状态确认!$B:$B,))/6-40/6)))*(INDEX(绊状态确认!$H:$H,MATCH($G277,绊状态确认!$B:$B,))+INDEX(绊状态确认!J:J,MATCH($G277,绊状态确认!$B:$B,)))</f>
        <v>13649.254943999997</v>
      </c>
      <c r="AM277" s="1106">
        <f>IF($P277="","N/A",(IF($P277=-1,INDEX('卡片raw data'!T:T,MATCH($D277,'卡片raw data'!$F:$F,)),0)+IF($P277=0,INDEX('卡片raw data'!W:W,MATCH($D277,'卡片raw data'!$F:$F,)),0)+IF($P277=1,INDEX('卡片raw data'!Z:Z,MATCH($D277,'卡片raw data'!$F:$F,)),0)+IF($P277=2,INDEX('卡片raw data'!AC:AC,MATCH($D277,'卡片raw data'!$F:$F,)),0)+IF($P277=3,INDEX('卡片raw data'!AF:AF,MATCH($D277,'卡片raw data'!$F:$F,)),0)+IF($P277=4,INDEX('卡片raw data'!AI:AI,MATCH($D277,'卡片raw data'!$F:$F,)),0)+IF($P277=5,INDEX('卡片raw data'!AL:AL,MATCH($D277,'卡片raw data'!$F:$F,)),0)+INDEX('卡片raw data'!T:T,MATCH($D277,'卡片raw data'!$F:$F,))*(IF($F277="UR",0.04,0.033))*(IF($F277="UR",INDEX(绊状态确认!$S:$S,MATCH($G277,绊状态确认!$B:$B,))/2-40)+IF($F277="SR",INDEX(绊状态确认!$R:$R,MATCH($G277,绊状态确认!$B:$B,))/4-15))+IF($F277="R",INDEX(绊状态确认!$Q:$Q,MATCH($G277,绊状态确认!$B:$B,))/6-40/6)))*(INDEX(绊状态确认!$H:$H,MATCH($G277,绊状态确认!$B:$B,))+INDEX(绊状态确认!K:K,MATCH($G277,绊状态确认!$B:$B,)))</f>
        <v>7149.0469439999988</v>
      </c>
      <c r="AN277" s="1106">
        <f>IF($P277="","N/A",(IF($P277=-1,INDEX('卡片raw data'!U:U,MATCH($D277,'卡片raw data'!$F:$F,)),0)+IF($P277=0,INDEX('卡片raw data'!X:X,MATCH($D277,'卡片raw data'!$F:$F,)),0)+IF($P277=1,INDEX('卡片raw data'!AA:AA,MATCH($D277,'卡片raw data'!$F:$F,)),0)+IF($P277=2,INDEX('卡片raw data'!AD:AD,MATCH($D277,'卡片raw data'!$F:$F,)),0)+IF($P277=3,INDEX('卡片raw data'!AG:AG,MATCH($D277,'卡片raw data'!$F:$F,)),0)+IF($P277=4,INDEX('卡片raw data'!AJ:AJ,MATCH($D277,'卡片raw data'!$F:$F,)),0)+IF($P277=5,INDEX('卡片raw data'!AM:AM,MATCH($D277,'卡片raw data'!$F:$F,)),0)+INDEX('卡片raw data'!U:U,MATCH($D277,'卡片raw data'!$F:$F,))*(IF($F277="UR",0.04,0.033))*(IF($F277="UR",INDEX(绊状态确认!$S:$S,MATCH($G277,绊状态确认!$B:$B,))/2-40)+IF($F277="SR",INDEX(绊状态确认!$R:$R,MATCH($G277,绊状态确认!$B:$B,))/4-15))+IF($F277="R",INDEX(绊状态确认!$Q:$Q,MATCH($G277,绊状态确认!$B:$B,))/6-40/6)))*(INDEX(绊状态确认!$H:$H,MATCH($G277,绊状态确认!$B:$B,))+INDEX(绊状态确认!L:L,MATCH($G277,绊状态确认!$B:$B,)))</f>
        <v>11700.374399999999</v>
      </c>
      <c r="AO277" s="1107">
        <f t="shared" si="364"/>
        <v>1</v>
      </c>
      <c r="AP277" s="1131">
        <f>1+(INDEX(绊状态确认!$T:$T,MATCH($G277,绊状态确认!$B:$B,))+0.2)*$AO277</f>
        <v>1.3</v>
      </c>
      <c r="AQ277" s="1108">
        <f t="shared" si="365"/>
        <v>39079.294227999992</v>
      </c>
      <c r="AR277" s="1097">
        <f>(AM277*(1+$EX$9)+$EX$35)*(1+(INDEX(绊状态确认!$T:$T,MATCH($G277,绊状态确认!$B:$B,))+0.2)*AO277)*IF(J277=$FF$17,1+$FE$17,1)*IF(I277=$FF$14,1+$FE$14,1)*(1+$FE$15)</f>
        <v>12462.449078559997</v>
      </c>
      <c r="AS277" s="1097">
        <f>(AN277*(1+$EX$10)+$EX$36)*(1+(INDEX(绊状态确认!$T:$T,MATCH($G277,绊状态确认!$B:$B,))+0.2)*AO277)*IF(J277=$FF$17,1+$FE$17,1)*IF(I277=$FF$14,1+$FE$14,1)*(1+$FE$15)</f>
        <v>21548.059727999997</v>
      </c>
      <c r="AT277" s="1093">
        <f>IF(AND(INDEX('卡片raw data'!AK:AK,MATCH($D277,'卡片raw data'!$F:$F,))&lt;INDEX('卡片raw data'!AM:AM,MATCH($D277,'卡片raw data'!$F:$F,)),INDEX('卡片raw data'!AL:AL,MATCH($D277,'卡片raw data'!$F:$F,))&lt;INDEX('卡片raw data'!AM:AM,MATCH($D277,'卡片raw data'!$F:$F,))),1,0)</f>
        <v>0</v>
      </c>
      <c r="AU277" s="1098">
        <f>MIN(AT277*0.15+AS277*0.00003+INDEX(绊状态确认!M:M,MATCH($G277,绊状态确认!$B:$B,)),1)</f>
        <v>0.67644179183999997</v>
      </c>
      <c r="AV277" s="1109">
        <f>(INDEX(绊状态确认!$N:$N,MATCH($G277,绊状态确认!$B:$B,))+1.5)*$EW$21</f>
        <v>2.6599999999999997</v>
      </c>
      <c r="AW277" s="1101">
        <f t="shared" si="366"/>
        <v>43085.611113475949</v>
      </c>
      <c r="AX277" s="1097">
        <f t="shared" si="367"/>
        <v>1068.1730726653186</v>
      </c>
      <c r="AY277" s="1110">
        <f t="shared" si="368"/>
        <v>44153.784186141267</v>
      </c>
      <c r="AZ277" s="429">
        <f t="shared" si="369"/>
        <v>29216.047140799994</v>
      </c>
      <c r="BA277" s="431">
        <f t="shared" si="370"/>
        <v>35059.256568959994</v>
      </c>
      <c r="BB277" s="1097">
        <f>(AM277*(1+$FB$9)+$FB$35)*(1+(INDEX(绊状态确认!$T:$T,MATCH($G277,绊状态确认!$B:$B,))+0.2)*AO277)*IF(J277=$FF$17,1+$FE$17,1)*IF(I277=$FF$14,1+$FE$14,1)*(1+$FE$15)</f>
        <v>12462.449078559997</v>
      </c>
      <c r="BC277" s="1097">
        <f>(AN277*(1+$FB$10)+$FB$36)*(1+(INDEX(绊状态确认!$T:$T,MATCH($G277,绊状态确认!$B:$B,))+0.2)*AO277)*IF(J277=$FF$17,1+$FE$17,1)*IF(I277=$FF$14,1+$FE$14,1)*(1+$FE$15)</f>
        <v>21548.059727999997</v>
      </c>
      <c r="BD277" s="1104">
        <f>MIN(AT277*0.15+BC277*0.00003+INDEX(绊状态确认!M:M,MATCH($G277,绊状态确认!$B:$B,)),1)</f>
        <v>0.67644179183999997</v>
      </c>
      <c r="BE277" s="432">
        <f>(INDEX(绊状态确认!$N:$N,MATCH($G277,绊状态确认!$B:$B,))+1.5)</f>
        <v>1.9</v>
      </c>
      <c r="BF277" s="1139">
        <f t="array" ref="BF277">SUMPRODUCT(IF(AZ277*AP277*$FI$16:$FI$23*$FA$22&gt;=$FI$24,$FI$24,AZ277*AP277*$FI$16:$FI$23*$FA$22),$FJ$16:$FJ$23)</f>
        <v>55524.114864923198</v>
      </c>
      <c r="BG277" s="1125">
        <f t="array" ref="BG277">SUMPRODUCT(IF(BE277*AZ277*AP277*$FI$16:$FI$23*$FA$22&gt;=$FI$24,$FI$24,BE277*AZ277*AP277*$FI$16:$FI$23*$FA$22),$FJ$16:$FJ$23)</f>
        <v>60000</v>
      </c>
      <c r="BH277" s="1110">
        <f t="shared" si="371"/>
        <v>19517.263541921522</v>
      </c>
      <c r="BI277" s="1111">
        <f>IF(O277="vo",$EW$26/$EW$24*0.05,0)+IF(O277="sk",-$EW$26/$EW$24*(0.05-INDEX(绊状态确认!W:W,MATCH($G277,绊状态确认!$B:$B,)))+0.05*$EW$28,0)+IF(O277="sp",0.05*$EW$32*$EW$30*(1-$EW$33)-(0.05-INDEX(绊状态确认!V:V,MATCH($G277,绊状态确认!$B:$B,)))*$EW$28,0)+IF(O277="gd",-(0.05-INDEX(绊状态确认!X:X,MATCH($G277,绊状态确认!$B:$B,)))*$EW$32*$EW$30*(1-$EW$33),0)</f>
        <v>7726.3029277443748</v>
      </c>
      <c r="BJ277" s="1097">
        <f>IF(O277="vo",0.05*(1-$FI$26)*$FA$24,0)+IF(O277="sk",-(0.05-INDEX(绊状态确认!W:W,MATCH($G277,绊状态确认!$B:$B,)))*(1-$FI$26)*$FA$24+0.05*$FA$26,0)+IF(O277="sp",0.05*$FA$32*$FA$27*(1-$FA$33)/$FA$30+0.05*$FA$29/$FA$69*$FA$27*(1-$FA$33)-(0.05-INDEX(绊状态确认!V:V,MATCH($G277,绊状态确认!$B:$B,)))*$FA$26,0)+IF(O277="gd",-(0.05-INDEX(绊状态确认!X:X,MATCH($G277,绊状态确认!$B:$B,)))*$FA$32*$FA$27*(1-$FA$33)/$FA$30-(0.05-INDEX(绊状态确认!X:X,MATCH($G277,绊状态确认!$B:$B,)))*$FA$29/$FA$69*$FA$27*(1-$FA$33),0)</f>
        <v>393.93433687500004</v>
      </c>
      <c r="BK277" s="1110">
        <f>IF(O277="vo",$EW$26/$EW$24*0.05+$EW$26*(-HP($EW$62,$EW$65,$EW$64)+HP($EW$62,$EW$65,(1.05-INDEX(绊状态确认!U:U,MATCH($G277,绊状态确认!$B:$B,)))*$EW$64)),0)+IF(O277="sk",-$EW$26/$EW$24*(0.05-INDEX(绊状态确认!W:W,MATCH($G277,绊状态确认!$B:$B,)))+0.05*$EW$29,0)+IF(O277="sp",0.05*$EW$32*$EW$30*(1-$EW$33)-(0.05-INDEX(绊状态确认!V:V,MATCH($G277,绊状态确认!$B:$B,)))*$EW$29,0)+IF(O277="gd",-(0.05-INDEX(绊状态确认!X:X,MATCH($G277,绊状态确认!$B:$B,)))*$EW$32*$EW$30*(1-$EW$33)+$EW$26*(-HP($EW$62,$EW$65,$EW$64)+HP($EW$62,$EW$65,0.95*$EW$64)),0)</f>
        <v>6421.6344775026746</v>
      </c>
      <c r="BL277" s="1111">
        <f t="shared" si="372"/>
        <v>0</v>
      </c>
      <c r="BM277" s="1110">
        <f t="shared" si="373"/>
        <v>0</v>
      </c>
      <c r="BN277" s="1113">
        <f t="shared" si="374"/>
        <v>3</v>
      </c>
      <c r="BO277" s="1097">
        <f t="shared" si="375"/>
        <v>4507.7214871259994</v>
      </c>
      <c r="BP277" s="1100">
        <f t="shared" si="376"/>
        <v>221.34103209030098</v>
      </c>
      <c r="BQ277" s="1113" t="s">
        <v>748</v>
      </c>
      <c r="BR277" s="1124" t="s">
        <v>171</v>
      </c>
      <c r="BS277" s="1098">
        <f>IF($P277="","N/A",IF($P277=-1,INDEX('卡片raw data'!AX:AX,MATCH($D277,'卡片raw data'!$F:$F,)),0)+IF($L277="party卡",IF($P277=5,INDEX('卡片raw data'!BD:BD,MATCH($D277,'卡片raw data'!$F:$F,)),IF($P277&gt;=3,INDEX('卡片raw data'!BC:BC,MATCH($D277,'卡片raw data'!$F:$F,)),INDEX('卡片raw data'!BB:BB,MATCH($D277,'卡片raw data'!$F:$F,)))),IF(OR(AND($F277="UR",$P277=0),AND($F277="SR",$P277&gt;=0,$P277&lt;=2),AND($F277="R",$P277&gt;=0,$P277&lt;4)),INDEX('卡片raw data'!AZ:AZ,MATCH($D277,'卡片raw data'!$F:$F,)),0)+IF(OR(AND($F277="UR",$P277&gt;=1,$P277&lt;=4),AND($F277="SR",$P277&lt;=4,$P277&gt;=3),AND($F277="R",$P277=4)),INDEX('卡片raw data'!BA:BA,MATCH($D277,'卡片raw data'!$F:$F,)),0)+IF($P277=5,INDEX('卡片raw data'!BB:BB,MATCH($D277,'卡片raw data'!$F:$F,)),0)))</f>
        <v>5.1999999999999998E-2</v>
      </c>
      <c r="BT277" s="1101">
        <f t="shared" si="377"/>
        <v>2452.5263374936467</v>
      </c>
      <c r="BU277" s="1097">
        <f t="shared" si="378"/>
        <v>155.22419036436909</v>
      </c>
      <c r="BV277" s="1097">
        <f t="shared" si="379"/>
        <v>1226.2631687468233</v>
      </c>
      <c r="BW277" s="1112">
        <f t="shared" si="380"/>
        <v>0</v>
      </c>
      <c r="BX277" s="1100">
        <f t="shared" si="381"/>
        <v>2452.5263374936467</v>
      </c>
      <c r="BY277" s="1110">
        <f t="shared" si="382"/>
        <v>1226.2631687468233</v>
      </c>
      <c r="BZ277" s="1107" t="s">
        <v>569</v>
      </c>
      <c r="CA277" s="1124"/>
      <c r="CB277" s="1098">
        <f>IF($P277="","N/A",IF($P277=-1,INDEX('卡片raw data'!BE:BE,MATCH($D277,'卡片raw data'!$F:$F,)),0)+IF($L277="party卡",IF($P277=5,INDEX('卡片raw data'!BK:BK,MATCH($D277,'卡片raw data'!$F:$F,)),IF($P277&gt;=3,INDEX('卡片raw data'!BJ:BJ,MATCH($D277,'卡片raw data'!$F:$F,)),INDEX('卡片raw data'!BI:BI,MATCH($D277,'卡片raw data'!$F:$F,)))),IF(OR(AND($F277="UR",$P277=0),AND($F277="SR",$P277&gt;=0,$P277&lt;=2),AND($F277="R",$P277&gt;=0,$P277&lt;4)),INDEX('卡片raw data'!BG:BG,MATCH($D277,'卡片raw data'!$F:$F,)),0)+IF(OR(AND($F277="UR",$P277&gt;=1,$P277&lt;=4),AND($F277="SR",$P277&lt;=4,$P277&gt;=3),AND($F277="R",$P277=4)),INDEX('卡片raw data'!BH:BH,MATCH($D277,'卡片raw data'!$F:$F,)),0)+IF($P277=5,INDEX('卡片raw data'!BI:BI,MATCH($D277,'卡片raw data'!$F:$F,)),0)))</f>
        <v>0</v>
      </c>
      <c r="CC277" s="1101">
        <f t="shared" si="383"/>
        <v>0</v>
      </c>
      <c r="CD277" s="1097">
        <f>IF(BZ277="ap",CB277*(1-$FI$26)*$FB$5/$FB$11*(+IF(CA277="全员",$FA$24,0)+IF(CA277="同作战",$FA$24,0)+IF(CA277="仲间",$FA$24*2/3,0)+IF(CA277="同属性",$FA$24*$FA$37/3,0)+IF(CA277="同年级",$FA$24*$FA$40/3,0)+IF(CA277="同学校",$FA$24*$FA$43/3,0)+IF(CA277="同小队",$FA$24*$FA$46/3,0)+IF(CA277="同type",$FA$24*INDEX($FB$49:$FB$52,MATCH(X277,$FA$49:$FA$52,))/3,0)+IF(CA277="自身",#REF!/3,0)),0)+IF(BZ277="te",CB277*(1-$FI$27)*($FA$20-1)*$FB$7/$FB$13*(+IF(CA277="全员",$FA$19*$FA$24/(1+($FA$20-1)*$FA$19),0)+IF(CA277="同作战",$FA$19*$FA$24/(1+($FA$20-1)*$FA$19),0)+IF(CA277="仲间",$FA$19*$FA$24*2/3/(1+($FA$20-1)*$FA$19),0)+IF(CA277="同属性",$FA$19*$FA$24*$FA$37/3/(1+($FA$20-1)*$FA$19),0)+IF(CA277="同年级",$FA$19*$FA$24*$FA$40/3/(1+($FA$20-1)*$FA$19),0)+IF(CA277="同学校",$FA$19*$FA$24*$FA$43/3/(1+($FA$20-1)*$FA$19),0)+IF(CA277="同小队",$FA$19*$FA$24*$FA$46/3/(1+($FA$20-1)*$FA$19),0)+IF(CA277="同type",$FA$19*$FA$24*INDEX($FB$49:$FB$52,MATCH(X277,$FA$49:$FA$52,))/3/(1+($FA$20-1)*$FA$19),0)+IF(CA277="自身",$FA$19*#REF!/3/(1+(BH277-1)*$BD277),0)),0)</f>
        <v>0</v>
      </c>
      <c r="CE277" s="1097">
        <f t="shared" si="384"/>
        <v>0</v>
      </c>
      <c r="CF277" s="1112">
        <f t="shared" si="385"/>
        <v>0</v>
      </c>
      <c r="CG277" s="1100">
        <f t="shared" si="386"/>
        <v>0</v>
      </c>
      <c r="CH277" s="1110">
        <f t="shared" si="387"/>
        <v>0</v>
      </c>
      <c r="CI277" s="1113" t="s">
        <v>173</v>
      </c>
      <c r="CJ277" s="1114">
        <v>0.3</v>
      </c>
      <c r="CK277" s="1115" t="s">
        <v>749</v>
      </c>
      <c r="CL277" s="1115" t="s">
        <v>171</v>
      </c>
      <c r="CM277" s="1119">
        <v>9.5000000000000001E-2</v>
      </c>
      <c r="CN277" s="1115">
        <v>2</v>
      </c>
      <c r="CO277" s="1092"/>
      <c r="CP277" s="1118">
        <f t="shared" si="388"/>
        <v>8.5682626966399975E-3</v>
      </c>
      <c r="CQ277" s="1118">
        <f t="shared" si="389"/>
        <v>7.4972298595600007E-3</v>
      </c>
      <c r="CR277" s="1118">
        <f t="shared" si="390"/>
        <v>0</v>
      </c>
      <c r="CS277" s="1118">
        <f t="shared" si="391"/>
        <v>0</v>
      </c>
      <c r="CT277" s="1109">
        <f t="shared" si="392"/>
        <v>0</v>
      </c>
      <c r="CU277" s="1101">
        <f t="shared" si="393"/>
        <v>1165.1374795936924</v>
      </c>
      <c r="CV277" s="1108">
        <f t="shared" si="394"/>
        <v>49.223604552086975</v>
      </c>
      <c r="CW277" s="1097">
        <f t="shared" si="395"/>
        <v>0</v>
      </c>
      <c r="CX277" s="1097">
        <f t="shared" si="396"/>
        <v>1165.1374795936924</v>
      </c>
      <c r="CY277" s="1110">
        <f t="shared" si="397"/>
        <v>0</v>
      </c>
      <c r="CZ277" s="437"/>
      <c r="DA277" s="438"/>
      <c r="DB277" s="439" t="s">
        <v>569</v>
      </c>
      <c r="DC277" s="439"/>
      <c r="DD277" s="443"/>
      <c r="DE277" s="411"/>
      <c r="DF277" s="411"/>
      <c r="DG277" s="1116">
        <f t="shared" si="398"/>
        <v>0</v>
      </c>
      <c r="DH277" s="1116">
        <f t="shared" si="399"/>
        <v>0</v>
      </c>
      <c r="DI277" s="1116">
        <f t="shared" si="400"/>
        <v>0</v>
      </c>
      <c r="DJ277" s="442">
        <f t="shared" si="401"/>
        <v>0</v>
      </c>
      <c r="DK277" s="1109">
        <f t="shared" si="402"/>
        <v>0</v>
      </c>
      <c r="DL277" s="1101">
        <f t="shared" si="403"/>
        <v>0</v>
      </c>
      <c r="DM277" s="1097">
        <f t="shared" si="404"/>
        <v>0</v>
      </c>
      <c r="DN277" s="1097">
        <f t="shared" si="405"/>
        <v>0</v>
      </c>
      <c r="DO277" s="1097">
        <f t="shared" si="406"/>
        <v>0</v>
      </c>
      <c r="DP277" s="1110">
        <f t="shared" si="407"/>
        <v>0</v>
      </c>
      <c r="DQ277" s="1113" t="s">
        <v>545</v>
      </c>
      <c r="DR277" s="1120">
        <f t="shared" si="408"/>
        <v>0.33</v>
      </c>
      <c r="DS277" s="1124"/>
      <c r="DT277" s="1093" t="s">
        <v>750</v>
      </c>
      <c r="DU277" s="1093"/>
      <c r="DV277" s="1098">
        <f>IF($P277="","N/A",IF(P277=-1,INDEX('卡片raw data'!AN:AN,MATCH(D277,'卡片raw data'!$F:$F,)),0)+IF(AND(L277&lt;&gt;"party卡",P277&lt;=2,P277&gt;=0),INDEX('卡片raw data'!AP:AP,MATCH(D277,'卡片raw data'!$F:$F,)),0)+IF(OR(AND(L277="party卡",P277&lt;=1),AND(P277&lt;=4,L277&lt;&gt;"party卡",P277&gt;=3)),INDEX('卡片raw data'!AQ:AQ,MATCH(D277,'卡片raw data'!$F:$F,)),0)+IF(OR(P277=5,AND(L277="party卡",P277&gt;=2)),INDEX('卡片raw data'!AR:AR,MATCH(D277,'卡片raw data'!$F:$F,)),0))</f>
        <v>0.37</v>
      </c>
      <c r="DW277" s="1098">
        <f t="shared" si="409"/>
        <v>0.33</v>
      </c>
      <c r="DX277" s="1098">
        <f t="shared" si="410"/>
        <v>0.33</v>
      </c>
      <c r="DY277" s="1125">
        <f t="shared" si="411"/>
        <v>2067.6854576034793</v>
      </c>
      <c r="DZ277" s="1125">
        <f t="shared" si="412"/>
        <v>1604.5622542800775</v>
      </c>
      <c r="EA277" s="1098">
        <f t="shared" si="413"/>
        <v>0</v>
      </c>
      <c r="EB277" s="1121">
        <f t="shared" si="414"/>
        <v>0</v>
      </c>
      <c r="EC277" s="1101">
        <f t="shared" si="415"/>
        <v>2274.4540033638273</v>
      </c>
      <c r="ED277" s="1097">
        <f t="shared" si="416"/>
        <v>1604.5622542800775</v>
      </c>
      <c r="EE277" s="1110">
        <f t="shared" si="417"/>
        <v>2274.4540033638273</v>
      </c>
      <c r="EF277" s="1092" t="s">
        <v>569</v>
      </c>
      <c r="EG277" s="1120">
        <f t="shared" si="418"/>
        <v>0.33</v>
      </c>
      <c r="EH277" s="1124"/>
      <c r="EI277" s="1093"/>
      <c r="EJ277" s="1093"/>
      <c r="EK277" s="1097">
        <f>IF($P277="","N/A",IF(P277=-1,INDEX('卡片raw data'!AS:AS,MATCH(D277,'卡片raw data'!$F:$F,)),0)+IF(AND(L277&lt;&gt;"party卡",P277&lt;=2,P277&gt;=0),INDEX('卡片raw data'!AU:AU,MATCH(D277,'卡片raw data'!$F:$F,)),0)+IF(OR(AND(L277="party卡",P277&lt;=1),AND(P277&lt;=4,L277&lt;&gt;"party卡",P277&gt;=3)),INDEX('卡片raw data'!AV:AV,MATCH(D277,'卡片raw data'!$F:$F,)),0)+IF(OR(P277=5,AND(L277="party卡",P277&gt;=2)),INDEX('卡片raw data'!AW:AW,MATCH(D277,'卡片raw data'!$F:$F,)),0))</f>
        <v>0</v>
      </c>
      <c r="EL277" s="1098">
        <f t="shared" si="419"/>
        <v>0.33</v>
      </c>
      <c r="EM277" s="1098">
        <f t="shared" si="420"/>
        <v>0.33</v>
      </c>
      <c r="EN277" s="1125">
        <f t="shared" si="421"/>
        <v>0</v>
      </c>
      <c r="EO277" s="1125">
        <f t="shared" si="422"/>
        <v>0</v>
      </c>
      <c r="EP277" s="1098">
        <f t="shared" si="423"/>
        <v>0</v>
      </c>
      <c r="EQ277" s="1121">
        <f t="shared" si="424"/>
        <v>0</v>
      </c>
      <c r="ER277" s="1101">
        <f t="shared" si="425"/>
        <v>0</v>
      </c>
      <c r="ES277" s="1097">
        <f t="shared" si="426"/>
        <v>0</v>
      </c>
      <c r="ET277" s="1122">
        <f t="shared" si="427"/>
        <v>0</v>
      </c>
    </row>
    <row r="278" spans="2:150" ht="16.5" customHeight="1">
      <c r="B278" s="1123" t="str">
        <f>INDEX('卡片raw data'!B:B,MATCH($D278,'卡片raw data'!$F:$F,))</f>
        <v>五单鸟</v>
      </c>
      <c r="C278" s="449" t="s">
        <v>752</v>
      </c>
      <c r="D278" s="408">
        <v>275</v>
      </c>
      <c r="E278" s="1090">
        <v>400032002</v>
      </c>
      <c r="F278" s="1090" t="str">
        <f>INDEX('卡片raw data'!C:C,MATCH($D278,'卡片raw data'!$F:$F,))</f>
        <v>SR</v>
      </c>
      <c r="G278" s="1094" t="s">
        <v>26</v>
      </c>
      <c r="H278" s="411">
        <f>IFERROR(INDEX(绊状态确认!C:C,MATCH($G278,绊状态确认!$B:$B,)),"")</f>
        <v>3</v>
      </c>
      <c r="I278" s="450" t="str">
        <f>IFERROR(INDEX(绊状态确认!D:D,MATCH($G278,绊状态确认!$B:$B,)),"")</f>
        <v>缪</v>
      </c>
      <c r="J278" s="450" t="str">
        <f>IFERROR(INDEX(绊状态确认!E:E,MATCH($G278,绊状态确认!$B:$B,)),"")</f>
        <v>2年级</v>
      </c>
      <c r="K278" s="451" t="str">
        <f>IFERROR(INDEX(绊状态确认!F:F,MATCH($G278,绊状态确认!$B:$B,)),"")</f>
        <v>Printemps</v>
      </c>
      <c r="L278" s="1094" t="str">
        <f>INDEX('卡片raw data'!E:E,MATCH($D278,'卡片raw data'!$F:$F,))</f>
        <v>卡池卡</v>
      </c>
      <c r="M278" s="415">
        <v>44034</v>
      </c>
      <c r="N278" s="416">
        <v>20</v>
      </c>
      <c r="O278" s="1091" t="str">
        <f>INDEX('卡片raw data'!D:D,MATCH($D278,'卡片raw data'!$F:$F,))</f>
        <v>gd</v>
      </c>
      <c r="P278" s="417">
        <v>5</v>
      </c>
      <c r="Q278" s="1095">
        <f t="shared" si="343"/>
        <v>18888.123739120878</v>
      </c>
      <c r="R278" s="1096">
        <f t="shared" si="344"/>
        <v>0.219</v>
      </c>
      <c r="S278" s="1097">
        <f t="shared" si="345"/>
        <v>10964.071459030441</v>
      </c>
      <c r="T278" s="1098">
        <f t="shared" si="346"/>
        <v>0.54800000000000004</v>
      </c>
      <c r="U278" s="1099">
        <f t="shared" si="347"/>
        <v>489.29785198828097</v>
      </c>
      <c r="V278" s="1100">
        <f t="shared" si="348"/>
        <v>70167.667600530069</v>
      </c>
      <c r="W278" s="1101">
        <f t="shared" si="349"/>
        <v>4507.7214871259994</v>
      </c>
      <c r="X278" s="1096">
        <f t="shared" si="350"/>
        <v>5.1999999999999998E-2</v>
      </c>
      <c r="Y278" s="1097">
        <f t="shared" si="351"/>
        <v>1810.4636589188476</v>
      </c>
      <c r="Z278" s="1102">
        <f t="shared" si="352"/>
        <v>22.698462431032951</v>
      </c>
      <c r="AA278" s="1103">
        <f t="shared" si="353"/>
        <v>6318.185146044847</v>
      </c>
      <c r="AB278" s="1101">
        <f t="shared" si="354"/>
        <v>4507.7214871259994</v>
      </c>
      <c r="AC278" s="1104">
        <f t="shared" si="355"/>
        <v>5.1999999999999998E-2</v>
      </c>
      <c r="AD278" s="1105">
        <f t="shared" si="356"/>
        <v>-3.8207812500000026E-3</v>
      </c>
      <c r="AE278" s="1128">
        <f t="shared" si="357"/>
        <v>-18.525362318840578</v>
      </c>
      <c r="AF278" s="1130">
        <f t="shared" si="358"/>
        <v>6872.3904999846718</v>
      </c>
      <c r="AG278" s="420">
        <f t="shared" si="359"/>
        <v>99884.036988053689</v>
      </c>
      <c r="AH278" s="420">
        <f t="shared" si="360"/>
        <v>14.534103815590292</v>
      </c>
      <c r="AI278" s="1097">
        <f t="shared" si="361"/>
        <v>97807.184733088157</v>
      </c>
      <c r="AJ278" s="420">
        <f t="shared" si="362"/>
        <v>70167.667600530069</v>
      </c>
      <c r="AK278" s="518">
        <f t="shared" si="363"/>
        <v>27639.517132558089</v>
      </c>
      <c r="AL278" s="1106">
        <f>IF($P278="","N/A",(IF($P278=-1,INDEX('卡片raw data'!S:S,MATCH($D278,'卡片raw data'!$F:$F,)),0)+IF($P278=0,INDEX('卡片raw data'!V:V,MATCH($D278,'卡片raw data'!$F:$F,)),0)+IF($P278=1,INDEX('卡片raw data'!Y:Y,MATCH($D278,'卡片raw data'!$F:$F,)),0)+IF($P278=2,INDEX('卡片raw data'!AB:AB,MATCH($D278,'卡片raw data'!$F:$F,)),0)+IF($P278=3,INDEX('卡片raw data'!AE:AE,MATCH($D278,'卡片raw data'!$F:$F,)),0)+IF($P278=4,INDEX('卡片raw data'!AH:AH,MATCH($D278,'卡片raw data'!$F:$F,)),0)+IF($P278=5,INDEX('卡片raw data'!AK:AK,MATCH($D278,'卡片raw data'!$F:$F,)),0)+INDEX('卡片raw data'!S:S,MATCH($D278,'卡片raw data'!$F:$F,))*(IF($F278="UR",0.04,0.033))*(IF($F278="UR",INDEX(绊状态确认!$S:$S,MATCH($G278,绊状态确认!$B:$B,))/2-40)+IF($F278="SR",INDEX(绊状态确认!$R:$R,MATCH($G278,绊状态确认!$B:$B,))/4-15))+IF($F278="R",INDEX(绊状态确认!$Q:$Q,MATCH($G278,绊状态确认!$B:$B,))/6-40/6)))*(INDEX(绊状态确认!$H:$H,MATCH($G278,绊状态确认!$B:$B,))+INDEX(绊状态确认!J:J,MATCH($G278,绊状态确认!$B:$B,)))</f>
        <v>5485.3323431999997</v>
      </c>
      <c r="AM278" s="1106">
        <f>IF($P278="","N/A",(IF($P278=-1,INDEX('卡片raw data'!T:T,MATCH($D278,'卡片raw data'!$F:$F,)),0)+IF($P278=0,INDEX('卡片raw data'!W:W,MATCH($D278,'卡片raw data'!$F:$F,)),0)+IF($P278=1,INDEX('卡片raw data'!Z:Z,MATCH($D278,'卡片raw data'!$F:$F,)),0)+IF($P278=2,INDEX('卡片raw data'!AC:AC,MATCH($D278,'卡片raw data'!$F:$F,)),0)+IF($P278=3,INDEX('卡片raw data'!AF:AF,MATCH($D278,'卡片raw data'!$F:$F,)),0)+IF($P278=4,INDEX('卡片raw data'!AI:AI,MATCH($D278,'卡片raw data'!$F:$F,)),0)+IF($P278=5,INDEX('卡片raw data'!AL:AL,MATCH($D278,'卡片raw data'!$F:$F,)),0)+INDEX('卡片raw data'!T:T,MATCH($D278,'卡片raw data'!$F:$F,))*(IF($F278="UR",0.04,0.033))*(IF($F278="UR",INDEX(绊状态确认!$S:$S,MATCH($G278,绊状态确认!$B:$B,))/2-40)+IF($F278="SR",INDEX(绊状态确认!$R:$R,MATCH($G278,绊状态确认!$B:$B,))/4-15))+IF($F278="R",INDEX(绊状态确认!$Q:$Q,MATCH($G278,绊状态确认!$B:$B,))/6-40/6)))*(INDEX(绊状态确认!$H:$H,MATCH($G278,绊状态确认!$B:$B,))+INDEX(绊状态确认!K:K,MATCH($G278,绊状态确认!$B:$B,)))</f>
        <v>8128.9237535999991</v>
      </c>
      <c r="AN278" s="1106">
        <f>IF($P278="","N/A",(IF($P278=-1,INDEX('卡片raw data'!U:U,MATCH($D278,'卡片raw data'!$F:$F,)),0)+IF($P278=0,INDEX('卡片raw data'!X:X,MATCH($D278,'卡片raw data'!$F:$F,)),0)+IF($P278=1,INDEX('卡片raw data'!AA:AA,MATCH($D278,'卡片raw data'!$F:$F,)),0)+IF($P278=2,INDEX('卡片raw data'!AD:AD,MATCH($D278,'卡片raw data'!$F:$F,)),0)+IF($P278=3,INDEX('卡片raw data'!AG:AG,MATCH($D278,'卡片raw data'!$F:$F,)),0)+IF($P278=4,INDEX('卡片raw data'!AJ:AJ,MATCH($D278,'卡片raw data'!$F:$F,)),0)+IF($P278=5,INDEX('卡片raw data'!AM:AM,MATCH($D278,'卡片raw data'!$F:$F,)),0)+INDEX('卡片raw data'!U:U,MATCH($D278,'卡片raw data'!$F:$F,))*(IF($F278="UR",0.04,0.033))*(IF($F278="UR",INDEX(绊状态确认!$S:$S,MATCH($G278,绊状态确认!$B:$B,))/2-40)+IF($F278="SR",INDEX(绊状态确认!$R:$R,MATCH($G278,绊状态确认!$B:$B,))/4-15))+IF($F278="R",INDEX(绊状态确认!$Q:$Q,MATCH($G278,绊状态确认!$B:$B,))/6-40/6)))*(INDEX(绊状态确认!$H:$H,MATCH($G278,绊状态确认!$B:$B,))+INDEX(绊状态确认!L:L,MATCH($G278,绊状态确认!$B:$B,)))</f>
        <v>6704.0008847999998</v>
      </c>
      <c r="AO278" s="1107">
        <f t="shared" si="364"/>
        <v>1</v>
      </c>
      <c r="AP278" s="1131">
        <f>1+(INDEX(绊状态确认!$T:$T,MATCH($G278,绊状态确认!$B:$B,))+0.2)*$AO278</f>
        <v>1.3</v>
      </c>
      <c r="AQ278" s="1108">
        <f t="shared" si="365"/>
        <v>17648.9974009</v>
      </c>
      <c r="AR278" s="1097">
        <f>(AM278*(1+$EX$9)+$EX$35)*(1+(INDEX(绊状态确认!$T:$T,MATCH($G278,绊状态确认!$B:$B,))+0.2)*AO278)*IF(J278=$FF$17,1+$FE$17,1)*IF(I278=$FF$14,1+$FE$14,1)</f>
        <v>13799.980923663999</v>
      </c>
      <c r="AS278" s="1097">
        <f>(AN278*(1+$EX$10)+$EX$36)*(1+(INDEX(绊状态确认!$T:$T,MATCH($G278,绊状态确认!$B:$B,))+0.2)*AO278)*IF(J278=$FF$17,1+$FE$17,1)*IF(I278=$FF$14,1+$FE$14,1)</f>
        <v>14078.481322775999</v>
      </c>
      <c r="AT278" s="1093">
        <f>IF(AND(INDEX('卡片raw data'!AK:AK,MATCH($D278,'卡片raw data'!$F:$F,))&lt;INDEX('卡片raw data'!AM:AM,MATCH($D278,'卡片raw data'!$F:$F,)),INDEX('卡片raw data'!AL:AL,MATCH($D278,'卡片raw data'!$F:$F,))&lt;INDEX('卡片raw data'!AM:AM,MATCH($D278,'卡片raw data'!$F:$F,))),1,0)</f>
        <v>0</v>
      </c>
      <c r="AU278" s="1098">
        <f>MIN(AT278*0.15+AS278*0.00003+INDEX(绊状态确认!M:M,MATCH($G278,绊状态确认!$B:$B,)),1)</f>
        <v>0.45235443968327999</v>
      </c>
      <c r="AV278" s="1109">
        <f>(INDEX(绊状态确认!$N:$N,MATCH($G278,绊状态确认!$B:$B,))+1.5)*$EW$21</f>
        <v>2.6599999999999997</v>
      </c>
      <c r="AW278" s="1101">
        <f t="shared" si="366"/>
        <v>16048.735585328212</v>
      </c>
      <c r="AX278" s="1097">
        <f t="shared" si="367"/>
        <v>1186.3081219840024</v>
      </c>
      <c r="AY278" s="1110">
        <f t="shared" si="368"/>
        <v>17235.043707312216</v>
      </c>
      <c r="AZ278" s="429">
        <f t="shared" si="369"/>
        <v>13296.39806924</v>
      </c>
      <c r="BA278" s="431">
        <f t="shared" si="370"/>
        <v>15955.677683087999</v>
      </c>
      <c r="BB278" s="1097">
        <f>(AM278*(1+$FB$9)+$FB$35)*(1+(INDEX(绊状态确认!$T:$T,MATCH($G278,绊状态确认!$B:$B,))+0.2)*AO278)*IF(J278=$FF$17,1+$FE$17,1)*IF(I278=$FF$14,1+$FE$14,1)*(1+$FE$15)</f>
        <v>13799.980923663999</v>
      </c>
      <c r="BC278" s="1097">
        <f>(AN278*(1+$FB$10)+$FB$36)*(1+(INDEX(绊状态确认!$T:$T,MATCH($G278,绊状态确认!$B:$B,))+0.2)*AO278)*IF(J278=$FF$17,1+$FE$17,1)*IF(I278=$FF$14,1+$FE$14,1)*(1+$FE$15)</f>
        <v>14078.481322775999</v>
      </c>
      <c r="BD278" s="1104">
        <f>MIN(AT278*0.15+BC278*0.00003+INDEX(绊状态确认!M:M,MATCH($G278,绊状态确认!$B:$B,)),1)</f>
        <v>0.45235443968327999</v>
      </c>
      <c r="BE278" s="432">
        <f>(INDEX(绊状态确认!$N:$N,MATCH($G278,绊状态确认!$B:$B,))+1.5)</f>
        <v>1.9</v>
      </c>
      <c r="BF278" s="1139">
        <f t="array" ref="BF278">SUMPRODUCT(IF(AZ278*AP278*$FI$16:$FI$23*$FA$22&gt;=$FI$24,$FI$24,AZ278*AP278*$FI$16:$FI$23*$FA$22),$FJ$16:$FJ$23)</f>
        <v>26446.535759718357</v>
      </c>
      <c r="BG278" s="1125">
        <f t="array" ref="BG278">SUMPRODUCT(IF(BE278*AZ278*AP278*$FI$16:$FI$23*$FA$22&gt;=$FI$24,$FI$24,BE278*AZ278*AP278*$FI$16:$FI$23*$FA$22),$FJ$16:$FJ$23)</f>
        <v>50008.418329570544</v>
      </c>
      <c r="BH278" s="1110">
        <f t="shared" si="371"/>
        <v>12368.285982495696</v>
      </c>
      <c r="BI278" s="1111">
        <f>IF(O278="vo",$EW$26/$EW$24*0.05,0)+IF(O278="sk",-$EW$26/$EW$24*(0.05-INDEX(绊状态确认!W:W,MATCH($G278,绊状态确认!$B:$B,)))+0.05*$EW$28,0)+IF(O278="sp",0.05*$EW$32*$EW$30*(1-$EW$33)-(0.05-INDEX(绊状态确认!V:V,MATCH($G278,绊状态确认!$B:$B,)))*$EW$28,0)+IF(O278="gd",-(0.05-INDEX(绊状态确认!X:X,MATCH($G278,绊状态确认!$B:$B,)))*$EW$32*$EW$30*(1-$EW$33),0)</f>
        <v>-585.00000000000011</v>
      </c>
      <c r="BJ278" s="1097">
        <f>IF(O278="vo",0.05*(1-$FI$26)*$FA$24,0)+IF(O278="sk",-(0.05-INDEX(绊状态确认!W:W,MATCH($G278,绊状态确认!$B:$B,)))*(1-$FI$26)*$FA$24+0.05*$FA$26,0)+IF(O278="sp",0.05*$FA$32*$FA$27*(1-$FA$33)/$FA$30+0.05*$FA$29/$FA$69*$FA$27*(1-$FA$33)-(0.05-INDEX(绊状态确认!V:V,MATCH($G278,绊状态确认!$B:$B,)))*$FA$26,0)+IF(O278="gd",-(0.05-INDEX(绊状态确认!X:X,MATCH($G278,绊状态确认!$B:$B,)))*$FA$32*$FA$27*(1-$FA$33)/$FA$30-(0.05-INDEX(绊状态确认!X:X,MATCH($G278,绊状态确认!$B:$B,)))*$FA$29/$FA$69*$FA$27*(1-$FA$33),0)</f>
        <v>-795.00000000000011</v>
      </c>
      <c r="BK278" s="1110">
        <f>IF(O278="vo",$EW$26/$EW$24*0.05+$EW$26*(-HP($EW$62,$EW$65,$EW$64)+HP($EW$62,$EW$65,(1.05-INDEX(绊状态确认!U:U,MATCH($G278,绊状态确认!$B:$B,)))*$EW$64)),0)+IF(O278="sk",-$EW$26/$EW$24*(0.05-INDEX(绊状态确认!W:W,MATCH($G278,绊状态确认!$B:$B,)))+0.05*$EW$29,0)+IF(O278="sp",0.05*$EW$32*$EW$30*(1-$EW$33)-(0.05-INDEX(绊状态确认!V:V,MATCH($G278,绊状态确认!$B:$B,)))*$EW$29,0)+IF(O278="gd",-(0.05-INDEX(绊状态确认!X:X,MATCH($G278,绊状态确认!$B:$B,)))*$EW$32*$EW$30*(1-$EW$33)+$EW$26*(-HP($EW$62,$EW$65,$EW$64)+HP($EW$62,$EW$65,0.95*$EW$64)),0)</f>
        <v>1009.5947725176144</v>
      </c>
      <c r="BL278" s="1111">
        <f t="shared" si="372"/>
        <v>-1083.3333333333333</v>
      </c>
      <c r="BM278" s="1110">
        <f t="shared" si="373"/>
        <v>-830.55555555555543</v>
      </c>
      <c r="BN278" s="1113">
        <f t="shared" si="374"/>
        <v>3</v>
      </c>
      <c r="BO278" s="1097">
        <f t="shared" si="375"/>
        <v>4507.7214871259994</v>
      </c>
      <c r="BP278" s="1100">
        <f t="shared" si="376"/>
        <v>221.34103209030098</v>
      </c>
      <c r="BQ278" s="1113" t="s">
        <v>753</v>
      </c>
      <c r="BR278" s="1124" t="s">
        <v>756</v>
      </c>
      <c r="BS278" s="1098">
        <f>IF($P278="","N/A",IF($P278=-1,INDEX('卡片raw data'!AX:AX,MATCH($D278,'卡片raw data'!$F:$F,)),0)+IF($L278="party卡",IF($P278=5,INDEX('卡片raw data'!BD:BD,MATCH($D278,'卡片raw data'!$F:$F,)),IF($P278&gt;=3,INDEX('卡片raw data'!BC:BC,MATCH($D278,'卡片raw data'!$F:$F,)),INDEX('卡片raw data'!BB:BB,MATCH($D278,'卡片raw data'!$F:$F,)))),IF(OR(AND($F278="UR",$P278=0),AND($F278="SR",$P278&gt;=0,$P278&lt;=2),AND($F278="R",$P278&gt;=0,$P278&lt;4)),INDEX('卡片raw data'!AZ:AZ,MATCH($D278,'卡片raw data'!$F:$F,)),0)+IF(OR(AND($F278="UR",$P278&gt;=1,$P278&lt;=4),AND($F278="SR",$P278&lt;=4,$P278&gt;=3),AND($F278="R",$P278=4)),INDEX('卡片raw data'!BA:BA,MATCH($D278,'卡片raw data'!$F:$F,)),0)+IF($P278=5,INDEX('卡片raw data'!BB:BB,MATCH($D278,'卡片raw data'!$F:$F,)),0)))</f>
        <v>7.0000000000000007E-2</v>
      </c>
      <c r="BT278" s="1101">
        <f t="shared" si="377"/>
        <v>0</v>
      </c>
      <c r="BU278" s="1097">
        <f t="shared" si="378"/>
        <v>0</v>
      </c>
      <c r="BV278" s="1097">
        <f t="shared" si="379"/>
        <v>0</v>
      </c>
      <c r="BW278" s="1112">
        <f t="shared" si="380"/>
        <v>0.81563553779432607</v>
      </c>
      <c r="BX278" s="1100">
        <f t="shared" si="381"/>
        <v>63.609877283815649</v>
      </c>
      <c r="BY278" s="1110">
        <f t="shared" si="382"/>
        <v>63.609877283815649</v>
      </c>
      <c r="BZ278" s="1107" t="s">
        <v>569</v>
      </c>
      <c r="CA278" s="1124"/>
      <c r="CB278" s="1098">
        <f>IF($P278="","N/A",IF($P278=-1,INDEX('卡片raw data'!BE:BE,MATCH($D278,'卡片raw data'!$F:$F,)),0)+IF($L278="party卡",IF($P278=5,INDEX('卡片raw data'!BK:BK,MATCH($D278,'卡片raw data'!$F:$F,)),IF($P278&gt;=3,INDEX('卡片raw data'!BJ:BJ,MATCH($D278,'卡片raw data'!$F:$F,)),INDEX('卡片raw data'!BI:BI,MATCH($D278,'卡片raw data'!$F:$F,)))),IF(OR(AND($F278="UR",$P278=0),AND($F278="SR",$P278&gt;=0,$P278&lt;=2),AND($F278="R",$P278&gt;=0,$P278&lt;4)),INDEX('卡片raw data'!BG:BG,MATCH($D278,'卡片raw data'!$F:$F,)),0)+IF(OR(AND($F278="UR",$P278&gt;=1,$P278&lt;=4),AND($F278="SR",$P278&lt;=4,$P278&gt;=3),AND($F278="R",$P278=4)),INDEX('卡片raw data'!BH:BH,MATCH($D278,'卡片raw data'!$F:$F,)),0)+IF($P278=5,INDEX('卡片raw data'!BI:BI,MATCH($D278,'卡片raw data'!$F:$F,)),0)))</f>
        <v>0</v>
      </c>
      <c r="CC278" s="1101">
        <f t="shared" si="383"/>
        <v>0</v>
      </c>
      <c r="CD278" s="1097">
        <f>IF(BZ278="ap",CB278*(1-$FI$26)*$FB$5/$FB$11*(+IF(CA278="全员",$FA$24,0)+IF(CA278="同作战",$FA$24,0)+IF(CA278="仲间",$FA$24*2/3,0)+IF(CA278="同属性",$FA$24*$FA$37/3,0)+IF(CA278="同年级",$FA$24*$FA$40/3,0)+IF(CA278="同学校",$FA$24*$FA$43/3,0)+IF(CA278="同小队",$FA$24*$FA$46/3,0)+IF(CA278="同type",$FA$24*INDEX($FB$49:$FB$52,MATCH(X278,$FA$49:$FA$52,))/3,0)+IF(CA278="自身",#REF!/3,0)),0)+IF(BZ278="te",CB278*(1-$FI$27)*($FA$20-1)*$FB$7/$FB$13*(+IF(CA278="全员",$FA$19*$FA$24/(1+($FA$20-1)*$FA$19),0)+IF(CA278="同作战",$FA$19*$FA$24/(1+($FA$20-1)*$FA$19),0)+IF(CA278="仲间",$FA$19*$FA$24*2/3/(1+($FA$20-1)*$FA$19),0)+IF(CA278="同属性",$FA$19*$FA$24*$FA$37/3/(1+($FA$20-1)*$FA$19),0)+IF(CA278="同年级",$FA$19*$FA$24*$FA$40/3/(1+($FA$20-1)*$FA$19),0)+IF(CA278="同学校",$FA$19*$FA$24*$FA$43/3/(1+($FA$20-1)*$FA$19),0)+IF(CA278="同小队",$FA$19*$FA$24*$FA$46/3/(1+($FA$20-1)*$FA$19),0)+IF(CA278="同type",$FA$19*$FA$24*INDEX($FB$49:$FB$52,MATCH(X278,$FA$49:$FA$52,))/3/(1+($FA$20-1)*$FA$19),0)+IF(CA278="自身",$FA$19*#REF!/3/(1+(BH278-1)*$BD278),0)),0)</f>
        <v>0</v>
      </c>
      <c r="CE278" s="1097">
        <f t="shared" si="384"/>
        <v>0</v>
      </c>
      <c r="CF278" s="1112">
        <f t="shared" si="385"/>
        <v>0</v>
      </c>
      <c r="CG278" s="1100">
        <f t="shared" si="386"/>
        <v>0</v>
      </c>
      <c r="CH278" s="1110">
        <f t="shared" si="387"/>
        <v>0</v>
      </c>
      <c r="CI278" s="1113" t="s">
        <v>162</v>
      </c>
      <c r="CJ278" s="1114">
        <v>0.4</v>
      </c>
      <c r="CK278" s="1115" t="s">
        <v>754</v>
      </c>
      <c r="CL278" s="1115" t="s">
        <v>1944</v>
      </c>
      <c r="CM278" s="1119">
        <v>0.06</v>
      </c>
      <c r="CN278" s="1115"/>
      <c r="CO278" s="1092"/>
      <c r="CP278" s="1116">
        <f t="shared" si="388"/>
        <v>7.097133046455772</v>
      </c>
      <c r="CQ278" s="1116">
        <f t="shared" si="389"/>
        <v>11.039984738931201</v>
      </c>
      <c r="CR278" s="1116">
        <f t="shared" si="390"/>
        <v>7.097133046455772</v>
      </c>
      <c r="CS278" s="1118">
        <f t="shared" si="391"/>
        <v>0</v>
      </c>
      <c r="CT278" s="1109">
        <f t="shared" si="392"/>
        <v>0</v>
      </c>
      <c r="CU278" s="1101">
        <f t="shared" si="393"/>
        <v>0</v>
      </c>
      <c r="CV278" s="1108">
        <f t="shared" si="394"/>
        <v>0</v>
      </c>
      <c r="CW278" s="1097">
        <f t="shared" si="395"/>
        <v>0</v>
      </c>
      <c r="CX278" s="1097">
        <f t="shared" si="396"/>
        <v>0</v>
      </c>
      <c r="CY278" s="1110">
        <f t="shared" si="397"/>
        <v>560.54565965102915</v>
      </c>
      <c r="CZ278" s="437"/>
      <c r="DA278" s="438"/>
      <c r="DB278" s="439" t="s">
        <v>569</v>
      </c>
      <c r="DC278" s="439"/>
      <c r="DD278" s="443"/>
      <c r="DE278" s="411"/>
      <c r="DF278" s="411"/>
      <c r="DG278" s="1116">
        <f t="shared" si="398"/>
        <v>0</v>
      </c>
      <c r="DH278" s="1116">
        <f t="shared" si="399"/>
        <v>0</v>
      </c>
      <c r="DI278" s="1116">
        <f t="shared" si="400"/>
        <v>0</v>
      </c>
      <c r="DJ278" s="442">
        <f t="shared" si="401"/>
        <v>0</v>
      </c>
      <c r="DK278" s="1109">
        <f t="shared" si="402"/>
        <v>0</v>
      </c>
      <c r="DL278" s="1101">
        <f t="shared" si="403"/>
        <v>0</v>
      </c>
      <c r="DM278" s="1097">
        <f t="shared" si="404"/>
        <v>0</v>
      </c>
      <c r="DN278" s="1097">
        <f t="shared" si="405"/>
        <v>0</v>
      </c>
      <c r="DO278" s="1097">
        <f t="shared" si="406"/>
        <v>0</v>
      </c>
      <c r="DP278" s="1110">
        <f t="shared" si="407"/>
        <v>0</v>
      </c>
      <c r="DQ278" s="1113" t="s">
        <v>755</v>
      </c>
      <c r="DR278" s="1120">
        <f t="shared" si="408"/>
        <v>0.3</v>
      </c>
      <c r="DS278" s="1124"/>
      <c r="DT278" s="1093" t="s">
        <v>753</v>
      </c>
      <c r="DU278" s="1093"/>
      <c r="DV278" s="1098">
        <f>IF($P278="","N/A",IF(P278=-1,INDEX('卡片raw data'!AN:AN,MATCH(D278,'卡片raw data'!$F:$F,)),0)+IF(AND(L278&lt;&gt;"party卡",P278&lt;=2,P278&gt;=0),INDEX('卡片raw data'!AP:AP,MATCH(D278,'卡片raw data'!$F:$F,)),0)+IF(OR(AND(L278="party卡",P278&lt;=1),AND(P278&lt;=4,L278&lt;&gt;"party卡",P278&gt;=3)),INDEX('卡片raw data'!AQ:AQ,MATCH(D278,'卡片raw data'!$F:$F,)),0)+IF(OR(P278=5,AND(L278="party卡",P278&gt;=2)),INDEX('卡片raw data'!AR:AR,MATCH(D278,'卡片raw data'!$F:$F,)),0))</f>
        <v>0.32</v>
      </c>
      <c r="DW278" s="1098">
        <f t="shared" si="409"/>
        <v>0.3</v>
      </c>
      <c r="DX278" s="1098">
        <f t="shared" si="410"/>
        <v>0.3</v>
      </c>
      <c r="DY278" s="1125">
        <f t="shared" si="411"/>
        <v>441.599389557248</v>
      </c>
      <c r="DZ278" s="1125">
        <f t="shared" si="412"/>
        <v>381.98347196701951</v>
      </c>
      <c r="EA278" s="1098">
        <f t="shared" si="413"/>
        <v>0</v>
      </c>
      <c r="EB278" s="1121">
        <f t="shared" si="414"/>
        <v>0</v>
      </c>
      <c r="EC278" s="1101">
        <f t="shared" si="415"/>
        <v>0</v>
      </c>
      <c r="ED278" s="1097">
        <f t="shared" si="416"/>
        <v>0</v>
      </c>
      <c r="EE278" s="1110">
        <f t="shared" si="417"/>
        <v>48435.03108962375</v>
      </c>
      <c r="EF278" s="1092" t="s">
        <v>569</v>
      </c>
      <c r="EG278" s="1120">
        <f t="shared" si="418"/>
        <v>0.3</v>
      </c>
      <c r="EH278" s="1124"/>
      <c r="EI278" s="1093"/>
      <c r="EJ278" s="1093"/>
      <c r="EK278" s="1097">
        <f>IF($P278="","N/A",IF(P278=-1,INDEX('卡片raw data'!AS:AS,MATCH(D278,'卡片raw data'!$F:$F,)),0)+IF(AND(L278&lt;&gt;"party卡",P278&lt;=2,P278&gt;=0),INDEX('卡片raw data'!AU:AU,MATCH(D278,'卡片raw data'!$F:$F,)),0)+IF(OR(AND(L278="party卡",P278&lt;=1),AND(P278&lt;=4,L278&lt;&gt;"party卡",P278&gt;=3)),INDEX('卡片raw data'!AV:AV,MATCH(D278,'卡片raw data'!$F:$F,)),0)+IF(OR(P278=5,AND(L278="party卡",P278&gt;=2)),INDEX('卡片raw data'!AW:AW,MATCH(D278,'卡片raw data'!$F:$F,)),0))</f>
        <v>0</v>
      </c>
      <c r="EL278" s="1098">
        <f t="shared" si="419"/>
        <v>0.3</v>
      </c>
      <c r="EM278" s="1098">
        <f t="shared" si="420"/>
        <v>0.3</v>
      </c>
      <c r="EN278" s="1125">
        <f t="shared" si="421"/>
        <v>0</v>
      </c>
      <c r="EO278" s="1125">
        <f t="shared" si="422"/>
        <v>0</v>
      </c>
      <c r="EP278" s="1098">
        <f t="shared" si="423"/>
        <v>0</v>
      </c>
      <c r="EQ278" s="1121">
        <f t="shared" si="424"/>
        <v>0</v>
      </c>
      <c r="ER278" s="1101">
        <f t="shared" si="425"/>
        <v>0</v>
      </c>
      <c r="ES278" s="1097">
        <f t="shared" si="426"/>
        <v>0</v>
      </c>
      <c r="ET278" s="1122">
        <f t="shared" si="427"/>
        <v>0</v>
      </c>
    </row>
    <row r="279" spans="2:150" ht="16.5" customHeight="1">
      <c r="B279" s="1123" t="str">
        <f>INDEX('卡片raw data'!B:B,MATCH($D279,'卡片raw data'!$F:$F,))</f>
        <v>鬼屋海</v>
      </c>
      <c r="C279" s="449" t="s">
        <v>752</v>
      </c>
      <c r="D279" s="408">
        <v>276</v>
      </c>
      <c r="E279" s="1090">
        <v>400043002</v>
      </c>
      <c r="F279" s="1090" t="str">
        <f>INDEX('卡片raw data'!C:C,MATCH($D279,'卡片raw data'!$F:$F,))</f>
        <v>UR</v>
      </c>
      <c r="G279" s="1094" t="s">
        <v>737</v>
      </c>
      <c r="H279" s="411">
        <f>IFERROR(INDEX(绊状态确认!C:C,MATCH($G279,绊状态确认!$B:$B,)),"")</f>
        <v>4</v>
      </c>
      <c r="I279" s="450" t="str">
        <f>IFERROR(INDEX(绊状态确认!D:D,MATCH($G279,绊状态确认!$B:$B,)),"")</f>
        <v>缪</v>
      </c>
      <c r="J279" s="450" t="str">
        <f>IFERROR(INDEX(绊状态确认!E:E,MATCH($G279,绊状态确认!$B:$B,)),"")</f>
        <v>2年级</v>
      </c>
      <c r="K279" s="451" t="str">
        <f>IFERROR(INDEX(绊状态确认!F:F,MATCH($G279,绊状态确认!$B:$B,)),"")</f>
        <v>lilywhite</v>
      </c>
      <c r="L279" s="1094" t="str">
        <f>INDEX('卡片raw data'!E:E,MATCH($D279,'卡片raw data'!$F:$F,))</f>
        <v>卡池卡</v>
      </c>
      <c r="M279" s="415">
        <v>44034</v>
      </c>
      <c r="N279" s="416">
        <v>20</v>
      </c>
      <c r="O279" s="1091" t="str">
        <f>INDEX('卡片raw data'!D:D,MATCH($D279,'卡片raw data'!$F:$F,))</f>
        <v>gd</v>
      </c>
      <c r="P279" s="417">
        <v>5</v>
      </c>
      <c r="Q279" s="1095">
        <f t="shared" si="343"/>
        <v>27899.860373154232</v>
      </c>
      <c r="R279" s="1096">
        <f t="shared" si="344"/>
        <v>0.32400000000000001</v>
      </c>
      <c r="S279" s="1097">
        <f t="shared" si="345"/>
        <v>15817.522655961084</v>
      </c>
      <c r="T279" s="1098">
        <f t="shared" si="346"/>
        <v>0.79</v>
      </c>
      <c r="U279" s="1099">
        <f t="shared" si="347"/>
        <v>864.46106755908568</v>
      </c>
      <c r="V279" s="1100">
        <f t="shared" si="348"/>
        <v>80142.843579532011</v>
      </c>
      <c r="W279" s="1101">
        <f t="shared" si="349"/>
        <v>4507.7214871259994</v>
      </c>
      <c r="X279" s="1096">
        <f t="shared" si="350"/>
        <v>5.1999999999999998E-2</v>
      </c>
      <c r="Y279" s="1097">
        <f t="shared" si="351"/>
        <v>2341.8654434648624</v>
      </c>
      <c r="Z279" s="1102">
        <f t="shared" si="352"/>
        <v>28.778972250285712</v>
      </c>
      <c r="AA279" s="1103">
        <f t="shared" si="353"/>
        <v>6849.5869305908618</v>
      </c>
      <c r="AB279" s="1101">
        <f t="shared" si="354"/>
        <v>4507.7214871259994</v>
      </c>
      <c r="AC279" s="1104">
        <f t="shared" si="355"/>
        <v>5.1999999999999998E-2</v>
      </c>
      <c r="AD279" s="1105">
        <f t="shared" si="356"/>
        <v>0</v>
      </c>
      <c r="AE279" s="1128">
        <f t="shared" si="357"/>
        <v>-6.25</v>
      </c>
      <c r="AF279" s="1130">
        <f t="shared" si="358"/>
        <v>12390.538843072</v>
      </c>
      <c r="AG279" s="420">
        <f t="shared" si="359"/>
        <v>91107.483656000011</v>
      </c>
      <c r="AH279" s="420">
        <f t="shared" si="360"/>
        <v>7.3529880185107137</v>
      </c>
      <c r="AI279" s="1097">
        <f t="shared" si="361"/>
        <v>113363.96910202823</v>
      </c>
      <c r="AJ279" s="420">
        <f t="shared" si="362"/>
        <v>80142.843579532011</v>
      </c>
      <c r="AK279" s="518">
        <f t="shared" si="363"/>
        <v>33221.125522496222</v>
      </c>
      <c r="AL279" s="1106">
        <f>IF($P279="","N/A",(IF($P279=-1,INDEX('卡片raw data'!S:S,MATCH($D279,'卡片raw data'!$F:$F,)),0)+IF($P279=0,INDEX('卡片raw data'!V:V,MATCH($D279,'卡片raw data'!$F:$F,)),0)+IF($P279=1,INDEX('卡片raw data'!Y:Y,MATCH($D279,'卡片raw data'!$F:$F,)),0)+IF($P279=2,INDEX('卡片raw data'!AB:AB,MATCH($D279,'卡片raw data'!$F:$F,)),0)+IF($P279=3,INDEX('卡片raw data'!AE:AE,MATCH($D279,'卡片raw data'!$F:$F,)),0)+IF($P279=4,INDEX('卡片raw data'!AH:AH,MATCH($D279,'卡片raw data'!$F:$F,)),0)+IF($P279=5,INDEX('卡片raw data'!AK:AK,MATCH($D279,'卡片raw data'!$F:$F,)),0)+INDEX('卡片raw data'!S:S,MATCH($D279,'卡片raw data'!$F:$F,))*(IF($F279="UR",0.04,0.033))*(IF($F279="UR",INDEX(绊状态确认!$S:$S,MATCH($G279,绊状态确认!$B:$B,))/2-40)+IF($F279="SR",INDEX(绊状态确认!$R:$R,MATCH($G279,绊状态确认!$B:$B,))/4-15))+IF($F279="R",INDEX(绊状态确认!$Q:$Q,MATCH($G279,绊状态确认!$B:$B,))/6-40/6)))*(INDEX(绊状态确认!$H:$H,MATCH($G279,绊状态确认!$B:$B,))+INDEX(绊状态确认!J:J,MATCH($G279,绊状态确认!$B:$B,)))</f>
        <v>7280.0056799999993</v>
      </c>
      <c r="AM279" s="1106">
        <f>IF($P279="","N/A",(IF($P279=-1,INDEX('卡片raw data'!T:T,MATCH($D279,'卡片raw data'!$F:$F,)),0)+IF($P279=0,INDEX('卡片raw data'!W:W,MATCH($D279,'卡片raw data'!$F:$F,)),0)+IF($P279=1,INDEX('卡片raw data'!Z:Z,MATCH($D279,'卡片raw data'!$F:$F,)),0)+IF($P279=2,INDEX('卡片raw data'!AC:AC,MATCH($D279,'卡片raw data'!$F:$F,)),0)+IF($P279=3,INDEX('卡片raw data'!AF:AF,MATCH($D279,'卡片raw data'!$F:$F,)),0)+IF($P279=4,INDEX('卡片raw data'!AI:AI,MATCH($D279,'卡片raw data'!$F:$F,)),0)+IF($P279=5,INDEX('卡片raw data'!AL:AL,MATCH($D279,'卡片raw data'!$F:$F,)),0)+INDEX('卡片raw data'!T:T,MATCH($D279,'卡片raw data'!$F:$F,))*(IF($F279="UR",0.04,0.033))*(IF($F279="UR",INDEX(绊状态确认!$S:$S,MATCH($G279,绊状态确认!$B:$B,))/2-40)+IF($F279="SR",INDEX(绊状态确认!$R:$R,MATCH($G279,绊状态确认!$B:$B,))/4-15))+IF($F279="R",INDEX(绊状态确认!$Q:$Q,MATCH($G279,绊状态确认!$B:$B,))/6-40/6)))*(INDEX(绊状态确认!$H:$H,MATCH($G279,绊状态确认!$B:$B,))+INDEX(绊状态确认!K:K,MATCH($G279,绊状态确认!$B:$B,)))</f>
        <v>14891.385599999998</v>
      </c>
      <c r="AN279" s="1106">
        <f>IF($P279="","N/A",(IF($P279=-1,INDEX('卡片raw data'!U:U,MATCH($D279,'卡片raw data'!$F:$F,)),0)+IF($P279=0,INDEX('卡片raw data'!X:X,MATCH($D279,'卡片raw data'!$F:$F,)),0)+IF($P279=1,INDEX('卡片raw data'!AA:AA,MATCH($D279,'卡片raw data'!$F:$F,)),0)+IF($P279=2,INDEX('卡片raw data'!AD:AD,MATCH($D279,'卡片raw data'!$F:$F,)),0)+IF($P279=3,INDEX('卡片raw data'!AG:AG,MATCH($D279,'卡片raw data'!$F:$F,)),0)+IF($P279=4,INDEX('卡片raw data'!AJ:AJ,MATCH($D279,'卡片raw data'!$F:$F,)),0)+IF($P279=5,INDEX('卡片raw data'!AM:AM,MATCH($D279,'卡片raw data'!$F:$F,)),0)+INDEX('卡片raw data'!U:U,MATCH($D279,'卡片raw data'!$F:$F,))*(IF($F279="UR",0.04,0.033))*(IF($F279="UR",INDEX(绊状态确认!$S:$S,MATCH($G279,绊状态确认!$B:$B,))/2-40)+IF($F279="SR",INDEX(绊状态确认!$R:$R,MATCH($G279,绊状态确认!$B:$B,))/4-15))+IF($F279="R",INDEX(绊状态确认!$Q:$Q,MATCH($G279,绊状态确认!$B:$B,))/6-40/6)))*(INDEX(绊状态确认!$H:$H,MATCH($G279,绊状态确认!$B:$B,))+INDEX(绊状态确认!L:L,MATCH($G279,绊状态确认!$B:$B,)))</f>
        <v>10919.440319999998</v>
      </c>
      <c r="AO279" s="1107">
        <f t="shared" si="364"/>
        <v>1</v>
      </c>
      <c r="AP279" s="1131">
        <f>1+(INDEX(绊状态确认!$T:$T,MATCH($G279,绊状态确认!$B:$B,))+0.2)*$AO279</f>
        <v>1.3</v>
      </c>
      <c r="AQ279" s="1108">
        <f t="shared" si="365"/>
        <v>22360.014909999998</v>
      </c>
      <c r="AR279" s="1097">
        <f>(AM279*(1+$EX$9)+$EX$35)*(1+(INDEX(绊状态确认!$T:$T,MATCH($G279,绊状态确认!$B:$B,))+0.2)*AO279)*IF(J279=$FF$17,1+$FE$17,1)*IF(I279=$FF$14,1+$FE$14,1)*(1+$FE$15)</f>
        <v>23030.741343999998</v>
      </c>
      <c r="AS279" s="1097">
        <f>(AN279*(1+$EX$10)+$EX$36)*(1+(INDEX(绊状态确认!$T:$T,MATCH($G279,绊状态确认!$B:$B,))+0.2)*AO279)*IF(J279=$FF$17,1+$FE$17,1)*IF(I279=$FF$14,1+$FE$14,1)*(1+$FE$15)</f>
        <v>20380.563278399997</v>
      </c>
      <c r="AT279" s="1093">
        <f>IF(AND(INDEX('卡片raw data'!AK:AK,MATCH($D279,'卡片raw data'!$F:$F,))&lt;INDEX('卡片raw data'!AM:AM,MATCH($D279,'卡片raw data'!$F:$F,)),INDEX('卡片raw data'!AL:AL,MATCH($D279,'卡片raw data'!$F:$F,))&lt;INDEX('卡片raw data'!AM:AM,MATCH($D279,'卡片raw data'!$F:$F,))),1,0)</f>
        <v>0</v>
      </c>
      <c r="AU279" s="1098">
        <f>MIN(AT279*0.15+AS279*0.00003+INDEX(绊状态确认!M:M,MATCH($G279,绊状态确认!$B:$B,)),1)</f>
        <v>0.641416898352</v>
      </c>
      <c r="AV279" s="1109">
        <f>(INDEX(绊状态确认!$N:$N,MATCH($G279,绊状态确认!$B:$B,))+1.5)*$EW$21</f>
        <v>2.6599999999999997</v>
      </c>
      <c r="AW279" s="1101">
        <f t="shared" si="366"/>
        <v>23977.138886028231</v>
      </c>
      <c r="AX279" s="1097">
        <f t="shared" si="367"/>
        <v>2021.0199549399224</v>
      </c>
      <c r="AY279" s="1110">
        <f t="shared" si="368"/>
        <v>25998.158840968154</v>
      </c>
      <c r="AZ279" s="429">
        <f t="shared" si="369"/>
        <v>16796.011075999999</v>
      </c>
      <c r="BA279" s="431">
        <f t="shared" si="370"/>
        <v>20155.213291199998</v>
      </c>
      <c r="BB279" s="1097">
        <f>(AM279*(1+$FB$9)+$FB$35)*(1+(INDEX(绊状态确认!$T:$T,MATCH($G279,绊状态确认!$B:$B,))+0.2)*AO279)*IF(J279=$FF$17,1+$FE$17,1)*IF(I279=$FF$14,1+$FE$14,1)*(1+$FE$15)</f>
        <v>23030.741343999998</v>
      </c>
      <c r="BC279" s="1097">
        <f>(AN279*(1+$FB$10)+$FB$36)*(1+(INDEX(绊状态确认!$T:$T,MATCH($G279,绊状态确认!$B:$B,))+0.2)*AO279)*IF(J279=$FF$17,1+$FE$17,1)*IF(I279=$FF$14,1+$FE$14,1)*(1+$FE$15)</f>
        <v>20380.563278399997</v>
      </c>
      <c r="BD279" s="1104">
        <f>MIN(AT279*0.15+BC279*0.00003+INDEX(绊状态确认!M:M,MATCH($G279,绊状态确认!$B:$B,)),1)</f>
        <v>0.641416898352</v>
      </c>
      <c r="BE279" s="432">
        <f>(INDEX(绊状态确认!$N:$N,MATCH($G279,绊状态确认!$B:$B,))+1.5)</f>
        <v>1.9</v>
      </c>
      <c r="BF279" s="1139">
        <f t="array" ref="BF279">SUMPRODUCT(IF(AZ279*AP279*$FI$16:$FI$23*$FA$22&gt;=$FI$24,$FI$24,AZ279*AP279*$FI$16:$FI$23*$FA$22),$FJ$16:$FJ$23)</f>
        <v>33407.266030163999</v>
      </c>
      <c r="BG279" s="1125">
        <f t="array" ref="BG279">SUMPRODUCT(IF(BE279*AZ279*AP279*$FI$16:$FI$23*$FA$22&gt;=$FI$24,$FI$24,BE279*AZ279*AP279*$FI$16:$FI$23*$FA$22),$FJ$16:$FJ$23)</f>
        <v>57987.658099591601</v>
      </c>
      <c r="BH279" s="1110">
        <f t="shared" si="371"/>
        <v>16391.181623870783</v>
      </c>
      <c r="BI279" s="1111">
        <f>IF(O279="vo",$EW$26/$EW$24*0.05,0)+IF(O279="sk",-$EW$26/$EW$24*(0.05-INDEX(绊状态确认!W:W,MATCH($G279,绊状态确认!$B:$B,)))+0.05*$EW$28,0)+IF(O279="sp",0.05*$EW$32*$EW$30*(1-$EW$33)-(0.05-INDEX(绊状态确认!V:V,MATCH($G279,绊状态确认!$B:$B,)))*$EW$28,0)+IF(O279="gd",-(0.05-INDEX(绊状态确认!X:X,MATCH($G279,绊状态确认!$B:$B,)))*$EW$32*$EW$30*(1-$EW$33),0)</f>
        <v>-585.00000000000011</v>
      </c>
      <c r="BJ279" s="1097">
        <f>IF(O279="vo",0.05*(1-$FI$26)*$FA$24,0)+IF(O279="sk",-(0.05-INDEX(绊状态确认!W:W,MATCH($G279,绊状态确认!$B:$B,)))*(1-$FI$26)*$FA$24+0.05*$FA$26,0)+IF(O279="sp",0.05*$FA$32*$FA$27*(1-$FA$33)/$FA$30+0.05*$FA$29/$FA$69*$FA$27*(1-$FA$33)-(0.05-INDEX(绊状态确认!V:V,MATCH($G279,绊状态确认!$B:$B,)))*$FA$26,0)+IF(O279="gd",-(0.05-INDEX(绊状态确认!X:X,MATCH($G279,绊状态确认!$B:$B,)))*$FA$32*$FA$27*(1-$FA$33)/$FA$30-(0.05-INDEX(绊状态确认!X:X,MATCH($G279,绊状态确认!$B:$B,)))*$FA$29/$FA$69*$FA$27*(1-$FA$33),0)</f>
        <v>-795.00000000000011</v>
      </c>
      <c r="BK279" s="1110">
        <f>IF(O279="vo",$EW$26/$EW$24*0.05+$EW$26*(-HP($EW$62,$EW$65,$EW$64)+HP($EW$62,$EW$65,(1.05-INDEX(绊状态确认!U:U,MATCH($G279,绊状态确认!$B:$B,)))*$EW$64)),0)+IF(O279="sk",-$EW$26/$EW$24*(0.05-INDEX(绊状态确认!W:W,MATCH($G279,绊状态确认!$B:$B,)))+0.05*$EW$29,0)+IF(O279="sp",0.05*$EW$32*$EW$30*(1-$EW$33)-(0.05-INDEX(绊状态确认!V:V,MATCH($G279,绊状态确认!$B:$B,)))*$EW$29,0)+IF(O279="gd",-(0.05-INDEX(绊状态确认!X:X,MATCH($G279,绊状态确认!$B:$B,)))*$EW$32*$EW$30*(1-$EW$33)+$EW$26*(-HP($EW$62,$EW$65,$EW$64)+HP($EW$62,$EW$65,0.95*$EW$64)),0)</f>
        <v>1009.5947725176144</v>
      </c>
      <c r="BL279" s="1111">
        <f t="shared" si="372"/>
        <v>0</v>
      </c>
      <c r="BM279" s="1110">
        <f t="shared" si="373"/>
        <v>0</v>
      </c>
      <c r="BN279" s="1113">
        <f t="shared" si="374"/>
        <v>3</v>
      </c>
      <c r="BO279" s="1097">
        <f t="shared" si="375"/>
        <v>4507.7214871259994</v>
      </c>
      <c r="BP279" s="1100">
        <f t="shared" si="376"/>
        <v>221.34103209030098</v>
      </c>
      <c r="BQ279" s="1113" t="s">
        <v>753</v>
      </c>
      <c r="BR279" s="1124" t="s">
        <v>168</v>
      </c>
      <c r="BS279" s="1098">
        <f>IF($P279="","N/A",IF($P279=-1,INDEX('卡片raw data'!AX:AX,MATCH($D279,'卡片raw data'!$F:$F,)),0)+IF($L279="party卡",IF($P279=5,INDEX('卡片raw data'!BD:BD,MATCH($D279,'卡片raw data'!$F:$F,)),IF($P279&gt;=3,INDEX('卡片raw data'!BC:BC,MATCH($D279,'卡片raw data'!$F:$F,)),INDEX('卡片raw data'!BB:BB,MATCH($D279,'卡片raw data'!$F:$F,)))),IF(OR(AND($F279="UR",$P279=0),AND($F279="SR",$P279&gt;=0,$P279&lt;=2),AND($F279="R",$P279&gt;=0,$P279&lt;4)),INDEX('卡片raw data'!AZ:AZ,MATCH($D279,'卡片raw data'!$F:$F,)),0)+IF(OR(AND($F279="UR",$P279&gt;=1,$P279&lt;=4),AND($F279="SR",$P279&lt;=4,$P279&gt;=3),AND($F279="R",$P279=4)),INDEX('卡片raw data'!BA:BA,MATCH($D279,'卡片raw data'!$F:$F,)),0)+IF($P279=5,INDEX('卡片raw data'!BB:BB,MATCH($D279,'卡片raw data'!$F:$F,)),0)))</f>
        <v>7.0000000000000007E-2</v>
      </c>
      <c r="BT279" s="1101">
        <f t="shared" si="377"/>
        <v>0</v>
      </c>
      <c r="BU279" s="1097">
        <f t="shared" si="378"/>
        <v>0</v>
      </c>
      <c r="BV279" s="1097">
        <f t="shared" si="379"/>
        <v>0</v>
      </c>
      <c r="BW279" s="1112">
        <f t="shared" si="380"/>
        <v>2.4581249999999999</v>
      </c>
      <c r="BX279" s="1100">
        <f t="shared" si="381"/>
        <v>192.3373892964872</v>
      </c>
      <c r="BY279" s="1110">
        <f t="shared" si="382"/>
        <v>192.3373892964872</v>
      </c>
      <c r="BZ279" s="1107" t="s">
        <v>569</v>
      </c>
      <c r="CA279" s="1124"/>
      <c r="CB279" s="1098">
        <f>IF($P279="","N/A",IF($P279=-1,INDEX('卡片raw data'!BE:BE,MATCH($D279,'卡片raw data'!$F:$F,)),0)+IF($L279="party卡",IF($P279=5,INDEX('卡片raw data'!BK:BK,MATCH($D279,'卡片raw data'!$F:$F,)),IF($P279&gt;=3,INDEX('卡片raw data'!BJ:BJ,MATCH($D279,'卡片raw data'!$F:$F,)),INDEX('卡片raw data'!BI:BI,MATCH($D279,'卡片raw data'!$F:$F,)))),IF(OR(AND($F279="UR",$P279=0),AND($F279="SR",$P279&gt;=0,$P279&lt;=2),AND($F279="R",$P279&gt;=0,$P279&lt;4)),INDEX('卡片raw data'!BG:BG,MATCH($D279,'卡片raw data'!$F:$F,)),0)+IF(OR(AND($F279="UR",$P279&gt;=1,$P279&lt;=4),AND($F279="SR",$P279&lt;=4,$P279&gt;=3),AND($F279="R",$P279=4)),INDEX('卡片raw data'!BH:BH,MATCH($D279,'卡片raw data'!$F:$F,)),0)+IF($P279=5,INDEX('卡片raw data'!BI:BI,MATCH($D279,'卡片raw data'!$F:$F,)),0)))</f>
        <v>0</v>
      </c>
      <c r="CC279" s="1101">
        <f t="shared" si="383"/>
        <v>0</v>
      </c>
      <c r="CD279" s="1097">
        <f>IF(BZ279="ap",CB279*(1-$FI$26)*$FB$5/$FB$11*(+IF(CA279="全员",$FA$24,0)+IF(CA279="同作战",$FA$24,0)+IF(CA279="仲间",$FA$24*2/3,0)+IF(CA279="同属性",$FA$24*$FA$37/3,0)+IF(CA279="同年级",$FA$24*$FA$40/3,0)+IF(CA279="同学校",$FA$24*$FA$43/3,0)+IF(CA279="同小队",$FA$24*$FA$46/3,0)+IF(CA279="同type",$FA$24*INDEX($FB$49:$FB$52,MATCH(X279,$FA$49:$FA$52,))/3,0)+IF(CA279="自身",#REF!/3,0)),0)+IF(BZ279="te",CB279*(1-$FI$27)*($FA$20-1)*$FB$7/$FB$13*(+IF(CA279="全员",$FA$19*$FA$24/(1+($FA$20-1)*$FA$19),0)+IF(CA279="同作战",$FA$19*$FA$24/(1+($FA$20-1)*$FA$19),0)+IF(CA279="仲间",$FA$19*$FA$24*2/3/(1+($FA$20-1)*$FA$19),0)+IF(CA279="同属性",$FA$19*$FA$24*$FA$37/3/(1+($FA$20-1)*$FA$19),0)+IF(CA279="同年级",$FA$19*$FA$24*$FA$40/3/(1+($FA$20-1)*$FA$19),0)+IF(CA279="同学校",$FA$19*$FA$24*$FA$43/3/(1+($FA$20-1)*$FA$19),0)+IF(CA279="同小队",$FA$19*$FA$24*$FA$46/3/(1+($FA$20-1)*$FA$19),0)+IF(CA279="同type",$FA$19*$FA$24*INDEX($FB$49:$FB$52,MATCH(X279,$FA$49:$FA$52,))/3/(1+($FA$20-1)*$FA$19),0)+IF(CA279="自身",$FA$19*#REF!/3/(1+(BH279-1)*$BD279),0)),0)</f>
        <v>0</v>
      </c>
      <c r="CE279" s="1097">
        <f t="shared" si="384"/>
        <v>0</v>
      </c>
      <c r="CF279" s="1112">
        <f t="shared" si="385"/>
        <v>0</v>
      </c>
      <c r="CG279" s="1100">
        <f t="shared" si="386"/>
        <v>0</v>
      </c>
      <c r="CH279" s="1110">
        <f t="shared" si="387"/>
        <v>0</v>
      </c>
      <c r="CI279" s="1113" t="s">
        <v>170</v>
      </c>
      <c r="CJ279" s="1114">
        <v>0.2</v>
      </c>
      <c r="CK279" s="1115" t="s">
        <v>754</v>
      </c>
      <c r="CL279" s="1115" t="s">
        <v>1944</v>
      </c>
      <c r="CM279" s="1119">
        <v>0.1</v>
      </c>
      <c r="CN279" s="1115"/>
      <c r="CO279" s="1092"/>
      <c r="CP279" s="1116">
        <f t="shared" si="388"/>
        <v>1.6450529531428573</v>
      </c>
      <c r="CQ279" s="1116">
        <f t="shared" si="389"/>
        <v>2.5589712604444443</v>
      </c>
      <c r="CR279" s="1116">
        <f t="shared" si="390"/>
        <v>1.6450529531428573</v>
      </c>
      <c r="CS279" s="1118">
        <f t="shared" si="391"/>
        <v>0</v>
      </c>
      <c r="CT279" s="1109">
        <f t="shared" si="392"/>
        <v>0</v>
      </c>
      <c r="CU279" s="1101">
        <f t="shared" si="393"/>
        <v>0</v>
      </c>
      <c r="CV279" s="1108">
        <f t="shared" si="394"/>
        <v>0</v>
      </c>
      <c r="CW279" s="1097">
        <f t="shared" si="395"/>
        <v>0</v>
      </c>
      <c r="CX279" s="1097">
        <f t="shared" si="396"/>
        <v>0</v>
      </c>
      <c r="CY279" s="1110">
        <f t="shared" si="397"/>
        <v>128.5080992284532</v>
      </c>
      <c r="CZ279" s="437"/>
      <c r="DA279" s="438"/>
      <c r="DB279" s="439" t="s">
        <v>569</v>
      </c>
      <c r="DC279" s="439"/>
      <c r="DD279" s="443"/>
      <c r="DE279" s="411"/>
      <c r="DF279" s="411"/>
      <c r="DG279" s="1116">
        <f t="shared" si="398"/>
        <v>0</v>
      </c>
      <c r="DH279" s="1116">
        <f t="shared" si="399"/>
        <v>0</v>
      </c>
      <c r="DI279" s="1116">
        <f t="shared" si="400"/>
        <v>0</v>
      </c>
      <c r="DJ279" s="442">
        <f t="shared" si="401"/>
        <v>0</v>
      </c>
      <c r="DK279" s="1109">
        <f t="shared" si="402"/>
        <v>0</v>
      </c>
      <c r="DL279" s="1101">
        <f t="shared" si="403"/>
        <v>0</v>
      </c>
      <c r="DM279" s="1097">
        <f t="shared" si="404"/>
        <v>0</v>
      </c>
      <c r="DN279" s="1097">
        <f t="shared" si="405"/>
        <v>0</v>
      </c>
      <c r="DO279" s="1097">
        <f t="shared" si="406"/>
        <v>0</v>
      </c>
      <c r="DP279" s="1110">
        <f t="shared" si="407"/>
        <v>0</v>
      </c>
      <c r="DQ279" s="1113" t="s">
        <v>755</v>
      </c>
      <c r="DR279" s="1120">
        <f t="shared" si="408"/>
        <v>0.33</v>
      </c>
      <c r="DS279" s="1124"/>
      <c r="DT279" s="1093" t="s">
        <v>753</v>
      </c>
      <c r="DU279" s="1093"/>
      <c r="DV279" s="1098">
        <f>IF($P279="","N/A",IF(P279=-1,INDEX('卡片raw data'!AN:AN,MATCH(D279,'卡片raw data'!$F:$F,)),0)+IF(AND(L279&lt;&gt;"party卡",P279&lt;=2,P279&gt;=0),INDEX('卡片raw data'!AP:AP,MATCH(D279,'卡片raw data'!$F:$F,)),0)+IF(OR(AND(L279="party卡",P279&lt;=1),AND(P279&lt;=4,L279&lt;&gt;"party卡",P279&gt;=3)),INDEX('卡片raw data'!AQ:AQ,MATCH(D279,'卡片raw data'!$F:$F,)),0)+IF(OR(P279=5,AND(L279="party卡",P279&gt;=2)),INDEX('卡片raw data'!AR:AR,MATCH(D279,'卡片raw data'!$F:$F,)),0))</f>
        <v>0.32</v>
      </c>
      <c r="DW279" s="1098">
        <f t="shared" si="409"/>
        <v>0.33</v>
      </c>
      <c r="DX279" s="1098">
        <f t="shared" si="410"/>
        <v>0.33</v>
      </c>
      <c r="DY279" s="1125">
        <f t="shared" si="411"/>
        <v>810.68209530879994</v>
      </c>
      <c r="DZ279" s="1125">
        <f t="shared" si="412"/>
        <v>701.24001244211195</v>
      </c>
      <c r="EA279" s="1098">
        <f t="shared" si="413"/>
        <v>0</v>
      </c>
      <c r="EB279" s="1121">
        <f t="shared" si="414"/>
        <v>0</v>
      </c>
      <c r="EC279" s="1101">
        <f t="shared" si="415"/>
        <v>0</v>
      </c>
      <c r="ED279" s="1097">
        <f t="shared" si="416"/>
        <v>0</v>
      </c>
      <c r="EE279" s="1110">
        <f t="shared" si="417"/>
        <v>48435.03108962375</v>
      </c>
      <c r="EF279" s="1092" t="s">
        <v>569</v>
      </c>
      <c r="EG279" s="1120">
        <f t="shared" si="418"/>
        <v>0.33</v>
      </c>
      <c r="EH279" s="1124"/>
      <c r="EI279" s="1093"/>
      <c r="EJ279" s="1093"/>
      <c r="EK279" s="1097">
        <f>IF($P279="","N/A",IF(P279=-1,INDEX('卡片raw data'!AS:AS,MATCH(D279,'卡片raw data'!$F:$F,)),0)+IF(AND(L279&lt;&gt;"party卡",P279&lt;=2,P279&gt;=0),INDEX('卡片raw data'!AU:AU,MATCH(D279,'卡片raw data'!$F:$F,)),0)+IF(OR(AND(L279="party卡",P279&lt;=1),AND(P279&lt;=4,L279&lt;&gt;"party卡",P279&gt;=3)),INDEX('卡片raw data'!AV:AV,MATCH(D279,'卡片raw data'!$F:$F,)),0)+IF(OR(P279=5,AND(L279="party卡",P279&gt;=2)),INDEX('卡片raw data'!AW:AW,MATCH(D279,'卡片raw data'!$F:$F,)),0))</f>
        <v>0</v>
      </c>
      <c r="EL279" s="1098">
        <f t="shared" si="419"/>
        <v>0.33</v>
      </c>
      <c r="EM279" s="1098">
        <f t="shared" si="420"/>
        <v>0.33</v>
      </c>
      <c r="EN279" s="1125">
        <f t="shared" si="421"/>
        <v>0</v>
      </c>
      <c r="EO279" s="1125">
        <f t="shared" si="422"/>
        <v>0</v>
      </c>
      <c r="EP279" s="1098">
        <f t="shared" si="423"/>
        <v>0</v>
      </c>
      <c r="EQ279" s="1121">
        <f t="shared" si="424"/>
        <v>0</v>
      </c>
      <c r="ER279" s="1101">
        <f t="shared" si="425"/>
        <v>0</v>
      </c>
      <c r="ES279" s="1097">
        <f t="shared" si="426"/>
        <v>0</v>
      </c>
      <c r="ET279" s="1122">
        <f t="shared" si="427"/>
        <v>0</v>
      </c>
    </row>
    <row r="280" spans="2:150" ht="16.5" customHeight="1">
      <c r="B280" s="1123" t="str">
        <f>INDEX('卡片raw data'!B:B,MATCH($D280,'卡片raw data'!$F:$F,))</f>
        <v>鬼屋露</v>
      </c>
      <c r="C280" s="449" t="s">
        <v>579</v>
      </c>
      <c r="D280" s="408">
        <v>277</v>
      </c>
      <c r="E280" s="1090">
        <v>401093002</v>
      </c>
      <c r="F280" s="1090" t="str">
        <f>INDEX('卡片raw data'!C:C,MATCH($D280,'卡片raw data'!$F:$F,))</f>
        <v>UR</v>
      </c>
      <c r="G280" s="1094" t="s">
        <v>738</v>
      </c>
      <c r="H280" s="411">
        <f>IFERROR(INDEX(绊状态确认!C:C,MATCH($G280,绊状态确认!$B:$B,)),"")</f>
        <v>109</v>
      </c>
      <c r="I280" s="450" t="str">
        <f>IFERROR(INDEX(绊状态确认!D:D,MATCH($G280,绊状态确认!$B:$B,)),"")</f>
        <v>水</v>
      </c>
      <c r="J280" s="450" t="str">
        <f>IFERROR(INDEX(绊状态确认!E:E,MATCH($G280,绊状态确认!$B:$B,)),"")</f>
        <v>1年级</v>
      </c>
      <c r="K280" s="451" t="str">
        <f>IFERROR(INDEX(绊状态确认!F:F,MATCH($G280,绊状态确认!$B:$B,)),"")</f>
        <v>CYaRon!</v>
      </c>
      <c r="L280" s="1094" t="str">
        <f>INDEX('卡片raw data'!E:E,MATCH($D280,'卡片raw data'!$F:$F,))</f>
        <v>活动卡</v>
      </c>
      <c r="M280" s="415">
        <v>44034</v>
      </c>
      <c r="N280" s="416">
        <v>20</v>
      </c>
      <c r="O280" s="1091" t="str">
        <f>INDEX('卡片raw data'!D:D,MATCH($D280,'卡片raw data'!$F:$F,))</f>
        <v>sk</v>
      </c>
      <c r="P280" s="417">
        <v>5</v>
      </c>
      <c r="Q280" s="1095">
        <f t="shared" si="343"/>
        <v>33703.216364057138</v>
      </c>
      <c r="R280" s="1096">
        <f t="shared" si="344"/>
        <v>0.39100000000000001</v>
      </c>
      <c r="S280" s="1097">
        <f t="shared" si="345"/>
        <v>18961.929725778988</v>
      </c>
      <c r="T280" s="1098">
        <f t="shared" si="346"/>
        <v>0.94799999999999995</v>
      </c>
      <c r="U280" s="1099">
        <f t="shared" si="347"/>
        <v>13.862951166094922</v>
      </c>
      <c r="V280" s="1100">
        <f t="shared" si="348"/>
        <v>36809.517289452328</v>
      </c>
      <c r="W280" s="1101">
        <f t="shared" si="349"/>
        <v>5226.8348745112498</v>
      </c>
      <c r="X280" s="1096">
        <f t="shared" si="350"/>
        <v>0.06</v>
      </c>
      <c r="Y280" s="1097">
        <f t="shared" si="351"/>
        <v>1106.3009253951905</v>
      </c>
      <c r="Z280" s="1102">
        <f t="shared" si="352"/>
        <v>13.862951166094922</v>
      </c>
      <c r="AA280" s="1103">
        <f t="shared" si="353"/>
        <v>6333.1357999064403</v>
      </c>
      <c r="AB280" s="1101">
        <f t="shared" si="354"/>
        <v>5226.8348745112498</v>
      </c>
      <c r="AC280" s="1104">
        <f t="shared" si="355"/>
        <v>0.06</v>
      </c>
      <c r="AD280" s="1105">
        <f t="shared" si="356"/>
        <v>2.1769318181818181E-2</v>
      </c>
      <c r="AE280" s="1128">
        <f t="shared" si="357"/>
        <v>11.953757704745847</v>
      </c>
      <c r="AF280" s="1130">
        <f t="shared" si="358"/>
        <v>0</v>
      </c>
      <c r="AG280" s="420">
        <f t="shared" si="359"/>
        <v>0</v>
      </c>
      <c r="AH280" s="420">
        <f t="shared" si="360"/>
        <v>0</v>
      </c>
      <c r="AI280" s="1097">
        <f t="shared" si="361"/>
        <v>0</v>
      </c>
      <c r="AJ280" s="420">
        <f t="shared" si="362"/>
        <v>0</v>
      </c>
      <c r="AK280" s="518">
        <f t="shared" si="363"/>
        <v>0</v>
      </c>
      <c r="AL280" s="1106">
        <f>IF($P280="","N/A",(IF($P280=-1,INDEX('卡片raw data'!S:S,MATCH($D280,'卡片raw data'!$F:$F,)),0)+IF($P280=0,INDEX('卡片raw data'!V:V,MATCH($D280,'卡片raw data'!$F:$F,)),0)+IF($P280=1,INDEX('卡片raw data'!Y:Y,MATCH($D280,'卡片raw data'!$F:$F,)),0)+IF($P280=2,INDEX('卡片raw data'!AB:AB,MATCH($D280,'卡片raw data'!$F:$F,)),0)+IF($P280=3,INDEX('卡片raw data'!AE:AE,MATCH($D280,'卡片raw data'!$F:$F,)),0)+IF($P280=4,INDEX('卡片raw data'!AH:AH,MATCH($D280,'卡片raw data'!$F:$F,)),0)+IF($P280=5,INDEX('卡片raw data'!AK:AK,MATCH($D280,'卡片raw data'!$F:$F,)),0)+INDEX('卡片raw data'!S:S,MATCH($D280,'卡片raw data'!$F:$F,))*(IF($F280="UR",0.04,0.033))*(IF($F280="UR",INDEX(绊状态确认!$S:$S,MATCH($G280,绊状态确认!$B:$B,))/2-40)+IF($F280="SR",INDEX(绊状态确认!$R:$R,MATCH($G280,绊状态确认!$B:$B,))/4-15))+IF($F280="R",INDEX(绊状态确认!$Q:$Q,MATCH($G280,绊状态确认!$B:$B,))/6-40/6)))*(INDEX(绊状态确认!$H:$H,MATCH($G280,绊状态确认!$B:$B,))+INDEX(绊状态确认!J:J,MATCH($G280,绊状态确认!$B:$B,)))</f>
        <v>9512.7589439999974</v>
      </c>
      <c r="AM280" s="1106">
        <f>IF($P280="","N/A",(IF($P280=-1,INDEX('卡片raw data'!T:T,MATCH($D280,'卡片raw data'!$F:$F,)),0)+IF($P280=0,INDEX('卡片raw data'!W:W,MATCH($D280,'卡片raw data'!$F:$F,)),0)+IF($P280=1,INDEX('卡片raw data'!Z:Z,MATCH($D280,'卡片raw data'!$F:$F,)),0)+IF($P280=2,INDEX('卡片raw data'!AC:AC,MATCH($D280,'卡片raw data'!$F:$F,)),0)+IF($P280=3,INDEX('卡片raw data'!AF:AF,MATCH($D280,'卡片raw data'!$F:$F,)),0)+IF($P280=4,INDEX('卡片raw data'!AI:AI,MATCH($D280,'卡片raw data'!$F:$F,)),0)+IF($P280=5,INDEX('卡片raw data'!AL:AL,MATCH($D280,'卡片raw data'!$F:$F,)),0)+INDEX('卡片raw data'!T:T,MATCH($D280,'卡片raw data'!$F:$F,))*(IF($F280="UR",0.04,0.033))*(IF($F280="UR",INDEX(绊状态确认!$S:$S,MATCH($G280,绊状态确认!$B:$B,))/2-40)+IF($F280="SR",INDEX(绊状态确认!$R:$R,MATCH($G280,绊状态确认!$B:$B,))/4-15))+IF($F280="R",INDEX(绊状态确认!$Q:$Q,MATCH($G280,绊状态确认!$B:$B,))/6-40/6)))*(INDEX(绊状态确认!$H:$H,MATCH($G280,绊状态确认!$B:$B,))+INDEX(绊状态确认!K:K,MATCH($G280,绊状态确认!$B:$B,)))</f>
        <v>6870.2198399999997</v>
      </c>
      <c r="AN280" s="1106">
        <f>IF($P280="","N/A",(IF($P280=-1,INDEX('卡片raw data'!U:U,MATCH($D280,'卡片raw data'!$F:$F,)),0)+IF($P280=0,INDEX('卡片raw data'!X:X,MATCH($D280,'卡片raw data'!$F:$F,)),0)+IF($P280=1,INDEX('卡片raw data'!AA:AA,MATCH($D280,'卡片raw data'!$F:$F,)),0)+IF($P280=2,INDEX('卡片raw data'!AD:AD,MATCH($D280,'卡片raw data'!$F:$F,)),0)+IF($P280=3,INDEX('卡片raw data'!AG:AG,MATCH($D280,'卡片raw data'!$F:$F,)),0)+IF($P280=4,INDEX('卡片raw data'!AJ:AJ,MATCH($D280,'卡片raw data'!$F:$F,)),0)+IF($P280=5,INDEX('卡片raw data'!AM:AM,MATCH($D280,'卡片raw data'!$F:$F,)),0)+INDEX('卡片raw data'!U:U,MATCH($D280,'卡片raw data'!$F:$F,))*(IF($F280="UR",0.04,0.033))*(IF($F280="UR",INDEX(绊状态确认!$S:$S,MATCH($G280,绊状态确认!$B:$B,))/2-40)+IF($F280="SR",INDEX(绊状态确认!$R:$R,MATCH($G280,绊状态确认!$B:$B,))/4-15))+IF($F280="R",INDEX(绊状态确认!$Q:$Q,MATCH($G280,绊状态确认!$B:$B,))/6-40/6)))*(INDEX(绊状态确认!$H:$H,MATCH($G280,绊状态确认!$B:$B,))+INDEX(绊状态确认!L:L,MATCH($G280,绊状态确认!$B:$B,)))</f>
        <v>10796.209104</v>
      </c>
      <c r="AO280" s="1107">
        <f t="shared" si="364"/>
        <v>1</v>
      </c>
      <c r="AP280" s="1131">
        <f>1+(INDEX(绊状态确认!$T:$T,MATCH($G280,绊状态确认!$B:$B,))+0.2)*$AO280</f>
        <v>1.3</v>
      </c>
      <c r="AQ280" s="1108">
        <f t="shared" si="365"/>
        <v>28220.992227999996</v>
      </c>
      <c r="AR280" s="1097">
        <f>(AM280*(1+$EX$9)+$EX$35)*(1+(INDEX(绊状态确认!$T:$T,MATCH($G280,绊状态确认!$B:$B,))+0.2)*AO280)*IF(J280=$FF$17,1+$FE$17,1)*IF(I280=$FF$14,1+$FE$14,1)*(1+$FE$15)</f>
        <v>12081.850081600001</v>
      </c>
      <c r="AS280" s="1097">
        <f>(AN280*(1+$EX$10)+$EX$36)*(1+(INDEX(绊状态确认!$T:$T,MATCH($G280,绊状态确认!$B:$B,))+0.2)*AO280)*IF(J280=$FF$17,1+$FE$17,1)*IF(I280=$FF$14,1+$FE$14,1)*(1+$FE$15)</f>
        <v>20196.33261048</v>
      </c>
      <c r="AT280" s="1093">
        <f>IF(AND(INDEX('卡片raw data'!AK:AK,MATCH($D280,'卡片raw data'!$F:$F,))&lt;INDEX('卡片raw data'!AM:AM,MATCH($D280,'卡片raw data'!$F:$F,)),INDEX('卡片raw data'!AL:AL,MATCH($D280,'卡片raw data'!$F:$F,))&lt;INDEX('卡片raw data'!AM:AM,MATCH($D280,'卡片raw data'!$F:$F,))),1,0)</f>
        <v>1</v>
      </c>
      <c r="AU280" s="1098">
        <f>MIN(AT280*0.15+AS280*0.00003+INDEX(绊状态确认!M:M,MATCH($G280,绊状态确认!$B:$B,)),1)</f>
        <v>0.78588997831440011</v>
      </c>
      <c r="AV280" s="1109">
        <f>(INDEX(绊状态确认!$N:$N,MATCH($G280,绊状态确认!$B:$B,))+1.5)*$EW$21</f>
        <v>2.6599999999999997</v>
      </c>
      <c r="AW280" s="1101">
        <f t="shared" si="366"/>
        <v>33776.989188627274</v>
      </c>
      <c r="AX280" s="1097">
        <f t="shared" si="367"/>
        <v>1034.6844162781495</v>
      </c>
      <c r="AY280" s="1110">
        <f t="shared" si="368"/>
        <v>34811.673604905423</v>
      </c>
      <c r="AZ280" s="429">
        <f t="shared" si="369"/>
        <v>21149.879940799994</v>
      </c>
      <c r="BA280" s="431">
        <f t="shared" si="370"/>
        <v>25379.855928959991</v>
      </c>
      <c r="BB280" s="1097">
        <f>(AM280*(1+$FB$9)+$FB$35)*(1+(INDEX(绊状态确认!$T:$T,MATCH($G280,绊状态确认!$B:$B,))+0.2)*AO280)*IF(J280=$FF$17,1+$FE$17,1)*IF(I280=$FF$14,1+$FE$14,1)*(1+$FE$15)</f>
        <v>12081.850081600001</v>
      </c>
      <c r="BC280" s="1097">
        <f>(AN280*(1+$FB$10)+$FB$36)*(1+(INDEX(绊状态确认!$T:$T,MATCH($G280,绊状态确认!$B:$B,))+0.2)*AO280)*IF(J280=$FF$17,1+$FE$17,1)*IF(I280=$FF$14,1+$FE$14,1)*(1+$FE$15)</f>
        <v>20196.33261048</v>
      </c>
      <c r="BD280" s="1104">
        <f>MIN(AT280*0.15+BC280*0.00003+INDEX(绊状态确认!M:M,MATCH($G280,绊状态确认!$B:$B,)),1)</f>
        <v>0.78588997831440011</v>
      </c>
      <c r="BE280" s="432">
        <f>(INDEX(绊状态确认!$N:$N,MATCH($G280,绊状态确认!$B:$B,))+1.5)</f>
        <v>1.9</v>
      </c>
      <c r="BF280" s="1139">
        <f t="array" ref="BF280">SUMPRODUCT(IF(AZ280*AP280*$FI$16:$FI$23*$FA$22&gt;=$FI$24,$FI$24,AZ280*AP280*$FI$16:$FI$23*$FA$22),$FJ$16:$FJ$23)</f>
        <v>42067.111202251188</v>
      </c>
      <c r="BG280" s="1125">
        <f t="array" ref="BG280">SUMPRODUCT(IF(BE280*AZ280*AP280*$FI$16:$FI$23*$FA$22&gt;=$FI$24,$FI$24,BE280*AZ280*AP280*$FI$16:$FI$23*$FA$22),$FJ$16:$FJ$23)</f>
        <v>60000</v>
      </c>
      <c r="BH280" s="1110">
        <f t="shared" si="371"/>
        <v>18720.129596876184</v>
      </c>
      <c r="BI280" s="1111">
        <f>IF(O280="vo",$EW$26/$EW$24*0.05,0)+IF(O280="sk",-$EW$26/$EW$24*(0.05-INDEX(绊状态确认!W:W,MATCH($G280,绊状态确认!$B:$B,)))+0.05*$EW$28,0)+IF(O280="sp",0.05*$EW$32*$EW$30*(1-$EW$33)-(0.05-INDEX(绊状态确认!V:V,MATCH($G280,绊状态确认!$B:$B,)))*$EW$28,0)+IF(O280="gd",-(0.05-INDEX(绊状态确认!X:X,MATCH($G280,绊状态确认!$B:$B,)))*$EW$32*$EW$30*(1-$EW$33),0)</f>
        <v>-6253.6726349699375</v>
      </c>
      <c r="BJ280" s="1097">
        <f>IF(O280="vo",0.05*(1-$FI$26)*$FA$24,0)+IF(O280="sk",-(0.05-INDEX(绊状态确认!W:W,MATCH($G280,绊状态确认!$B:$B,)))*(1-$FI$26)*$FA$24+0.05*$FA$26,0)+IF(O280="sp",0.05*$FA$32*$FA$27*(1-$FA$33)/$FA$30+0.05*$FA$29/$FA$69*$FA$27*(1-$FA$33)-(0.05-INDEX(绊状态确认!V:V,MATCH($G280,绊状态确认!$B:$B,)))*$FA$26,0)+IF(O280="gd",-(0.05-INDEX(绊状态确认!X:X,MATCH($G280,绊状态确认!$B:$B,)))*$FA$32*$FA$27*(1-$FA$33)/$FA$30-(0.05-INDEX(绊状态确认!X:X,MATCH($G280,绊状态确认!$B:$B,)))*$FA$29/$FA$69*$FA$27*(1-$FA$33),0)</f>
        <v>20.459096812499922</v>
      </c>
      <c r="BK280" s="1110">
        <f>IF(O280="vo",$EW$26/$EW$24*0.05+$EW$26*(-HP($EW$62,$EW$65,$EW$64)+HP($EW$62,$EW$65,(1.05-INDEX(绊状态确认!U:U,MATCH($G280,绊状态确认!$B:$B,)))*$EW$64)),0)+IF(O280="sk",-$EW$26/$EW$24*(0.05-INDEX(绊状态确认!W:W,MATCH($G280,绊状态确认!$B:$B,)))+0.05*$EW$29,0)+IF(O280="sp",0.05*$EW$32*$EW$30*(1-$EW$33)-(0.05-INDEX(绊状态确认!V:V,MATCH($G280,绊状态确认!$B:$B,)))*$EW$29,0)+IF(O280="gd",-(0.05-INDEX(绊状态确认!X:X,MATCH($G280,绊状态确认!$B:$B,)))*$EW$32*$EW$30*(1-$EW$33)+$EW$26*(-HP($EW$62,$EW$65,$EW$64)+HP($EW$62,$EW$65,0.95*$EW$64)),0)</f>
        <v>-4253.6726349699375</v>
      </c>
      <c r="BL280" s="1111">
        <f t="shared" si="372"/>
        <v>0</v>
      </c>
      <c r="BM280" s="1110">
        <f t="shared" si="373"/>
        <v>0</v>
      </c>
      <c r="BN280" s="1113">
        <f t="shared" si="374"/>
        <v>3</v>
      </c>
      <c r="BO280" s="1097">
        <f t="shared" si="375"/>
        <v>4507.7214871259994</v>
      </c>
      <c r="BP280" s="1100">
        <f t="shared" si="376"/>
        <v>221.34103209030098</v>
      </c>
      <c r="BQ280" s="1113" t="s">
        <v>753</v>
      </c>
      <c r="BR280" s="1124" t="s">
        <v>756</v>
      </c>
      <c r="BS280" s="1098">
        <f>IF($P280="","N/A",IF($P280=-1,INDEX('卡片raw data'!AX:AX,MATCH($D280,'卡片raw data'!$F:$F,)),0)+IF($L280="party卡",IF($P280=5,INDEX('卡片raw data'!BD:BD,MATCH($D280,'卡片raw data'!$F:$F,)),IF($P280&gt;=3,INDEX('卡片raw data'!BC:BC,MATCH($D280,'卡片raw data'!$F:$F,)),INDEX('卡片raw data'!BB:BB,MATCH($D280,'卡片raw data'!$F:$F,)))),IF(OR(AND($F280="UR",$P280=0),AND($F280="SR",$P280&gt;=0,$P280&lt;=2),AND($F280="R",$P280&gt;=0,$P280&lt;4)),INDEX('卡片raw data'!AZ:AZ,MATCH($D280,'卡片raw data'!$F:$F,)),0)+IF(OR(AND($F280="UR",$P280&gt;=1,$P280&lt;=4),AND($F280="SR",$P280&lt;=4,$P280&gt;=3),AND($F280="R",$P280=4)),INDEX('卡片raw data'!BA:BA,MATCH($D280,'卡片raw data'!$F:$F,)),0)+IF($P280=5,INDEX('卡片raw data'!BB:BB,MATCH($D280,'卡片raw data'!$F:$F,)),0)))</f>
        <v>0.09</v>
      </c>
      <c r="BT280" s="1101">
        <f t="shared" si="377"/>
        <v>0</v>
      </c>
      <c r="BU280" s="1097">
        <f t="shared" si="378"/>
        <v>0</v>
      </c>
      <c r="BV280" s="1097">
        <f t="shared" si="379"/>
        <v>0</v>
      </c>
      <c r="BW280" s="1112">
        <f t="shared" si="380"/>
        <v>0.9181117929520648</v>
      </c>
      <c r="BX280" s="1100">
        <f t="shared" si="381"/>
        <v>71.61650911704173</v>
      </c>
      <c r="BY280" s="1110">
        <f t="shared" si="382"/>
        <v>71.61650911704173</v>
      </c>
      <c r="BZ280" s="1107" t="s">
        <v>569</v>
      </c>
      <c r="CA280" s="1124"/>
      <c r="CB280" s="1098">
        <f>IF($P280="","N/A",IF($P280=-1,INDEX('卡片raw data'!BE:BE,MATCH($D280,'卡片raw data'!$F:$F,)),0)+IF($L280="party卡",IF($P280=5,INDEX('卡片raw data'!BK:BK,MATCH($D280,'卡片raw data'!$F:$F,)),IF($P280&gt;=3,INDEX('卡片raw data'!BJ:BJ,MATCH($D280,'卡片raw data'!$F:$F,)),INDEX('卡片raw data'!BI:BI,MATCH($D280,'卡片raw data'!$F:$F,)))),IF(OR(AND($F280="UR",$P280=0),AND($F280="SR",$P280&gt;=0,$P280&lt;=2),AND($F280="R",$P280&gt;=0,$P280&lt;4)),INDEX('卡片raw data'!BG:BG,MATCH($D280,'卡片raw data'!$F:$F,)),0)+IF(OR(AND($F280="UR",$P280&gt;=1,$P280&lt;=4),AND($F280="SR",$P280&lt;=4,$P280&gt;=3),AND($F280="R",$P280=4)),INDEX('卡片raw data'!BH:BH,MATCH($D280,'卡片raw data'!$F:$F,)),0)+IF($P280=5,INDEX('卡片raw data'!BI:BI,MATCH($D280,'卡片raw data'!$F:$F,)),0)))</f>
        <v>0</v>
      </c>
      <c r="CC280" s="1101">
        <f t="shared" si="383"/>
        <v>0</v>
      </c>
      <c r="CD280" s="1097">
        <f>IF(BZ280="ap",CB280*(1-$FI$26)*$FB$5/$FB$11*(+IF(CA280="全员",$FA$24,0)+IF(CA280="同作战",$FA$24,0)+IF(CA280="仲间",$FA$24*2/3,0)+IF(CA280="同属性",$FA$24*$FA$37/3,0)+IF(CA280="同年级",$FA$24*$FA$40/3,0)+IF(CA280="同学校",$FA$24*$FA$43/3,0)+IF(CA280="同小队",$FA$24*$FA$46/3,0)+IF(CA280="同type",$FA$24*INDEX($FB$49:$FB$52,MATCH(X280,$FA$49:$FA$52,))/3,0)+IF(CA280="自身",#REF!/3,0)),0)+IF(BZ280="te",CB280*(1-$FI$27)*($FA$20-1)*$FB$7/$FB$13*(+IF(CA280="全员",$FA$19*$FA$24/(1+($FA$20-1)*$FA$19),0)+IF(CA280="同作战",$FA$19*$FA$24/(1+($FA$20-1)*$FA$19),0)+IF(CA280="仲间",$FA$19*$FA$24*2/3/(1+($FA$20-1)*$FA$19),0)+IF(CA280="同属性",$FA$19*$FA$24*$FA$37/3/(1+($FA$20-1)*$FA$19),0)+IF(CA280="同年级",$FA$19*$FA$24*$FA$40/3/(1+($FA$20-1)*$FA$19),0)+IF(CA280="同学校",$FA$19*$FA$24*$FA$43/3/(1+($FA$20-1)*$FA$19),0)+IF(CA280="同小队",$FA$19*$FA$24*$FA$46/3/(1+($FA$20-1)*$FA$19),0)+IF(CA280="同type",$FA$19*$FA$24*INDEX($FB$49:$FB$52,MATCH(X280,$FA$49:$FA$52,))/3/(1+($FA$20-1)*$FA$19),0)+IF(CA280="自身",$FA$19*#REF!/3/(1+(BH280-1)*$BD280),0)),0)</f>
        <v>0</v>
      </c>
      <c r="CE280" s="1097">
        <f t="shared" si="384"/>
        <v>0</v>
      </c>
      <c r="CF280" s="1112">
        <f t="shared" si="385"/>
        <v>0</v>
      </c>
      <c r="CG280" s="1100">
        <f t="shared" si="386"/>
        <v>0</v>
      </c>
      <c r="CH280" s="1110">
        <f t="shared" si="387"/>
        <v>0</v>
      </c>
      <c r="CI280" s="1113" t="s">
        <v>165</v>
      </c>
      <c r="CJ280" s="1114">
        <v>0.3</v>
      </c>
      <c r="CK280" s="1115" t="s">
        <v>551</v>
      </c>
      <c r="CL280" s="1115" t="s">
        <v>161</v>
      </c>
      <c r="CM280" s="1119">
        <v>0.04</v>
      </c>
      <c r="CN280" s="1115" t="s">
        <v>163</v>
      </c>
      <c r="CO280" s="1092"/>
      <c r="CP280" s="1118">
        <f t="shared" si="388"/>
        <v>1.2E-2</v>
      </c>
      <c r="CQ280" s="1118">
        <f t="shared" si="389"/>
        <v>1.2E-2</v>
      </c>
      <c r="CR280" s="1118">
        <f t="shared" si="390"/>
        <v>1.2E-2</v>
      </c>
      <c r="CS280" s="1118">
        <f t="shared" si="391"/>
        <v>0</v>
      </c>
      <c r="CT280" s="1109">
        <f t="shared" si="392"/>
        <v>0</v>
      </c>
      <c r="CU280" s="1101">
        <f t="shared" si="393"/>
        <v>719.11338738525012</v>
      </c>
      <c r="CV280" s="1108">
        <f t="shared" si="394"/>
        <v>0</v>
      </c>
      <c r="CW280" s="1097">
        <f t="shared" si="395"/>
        <v>719.11338738525012</v>
      </c>
      <c r="CX280" s="1097">
        <f t="shared" si="396"/>
        <v>719.11338738525012</v>
      </c>
      <c r="CY280" s="1110">
        <f t="shared" si="397"/>
        <v>719.11338738525012</v>
      </c>
      <c r="CZ280" s="437"/>
      <c r="DA280" s="438"/>
      <c r="DB280" s="439" t="s">
        <v>569</v>
      </c>
      <c r="DC280" s="439"/>
      <c r="DD280" s="443"/>
      <c r="DE280" s="411"/>
      <c r="DF280" s="411"/>
      <c r="DG280" s="1116">
        <f t="shared" si="398"/>
        <v>0</v>
      </c>
      <c r="DH280" s="1116">
        <f t="shared" si="399"/>
        <v>0</v>
      </c>
      <c r="DI280" s="1116">
        <f t="shared" si="400"/>
        <v>0</v>
      </c>
      <c r="DJ280" s="442">
        <f t="shared" si="401"/>
        <v>0</v>
      </c>
      <c r="DK280" s="1109">
        <f t="shared" si="402"/>
        <v>0</v>
      </c>
      <c r="DL280" s="1101">
        <f t="shared" si="403"/>
        <v>0</v>
      </c>
      <c r="DM280" s="1097">
        <f t="shared" si="404"/>
        <v>0</v>
      </c>
      <c r="DN280" s="1097">
        <f t="shared" si="405"/>
        <v>0</v>
      </c>
      <c r="DO280" s="1097">
        <f t="shared" si="406"/>
        <v>0</v>
      </c>
      <c r="DP280" s="1110">
        <f t="shared" si="407"/>
        <v>0</v>
      </c>
      <c r="DQ280" s="1113" t="s">
        <v>256</v>
      </c>
      <c r="DR280" s="1120">
        <f t="shared" si="408"/>
        <v>0.33</v>
      </c>
      <c r="DS280" s="1124"/>
      <c r="DT280" s="1093" t="s">
        <v>748</v>
      </c>
      <c r="DU280" s="1093"/>
      <c r="DV280" s="1098">
        <f>IF($P280="","N/A",IF(P280=-1,INDEX('卡片raw data'!AN:AN,MATCH(D280,'卡片raw data'!$F:$F,)),0)+IF(AND(L280&lt;&gt;"party卡",P280&lt;=2,P280&gt;=0),INDEX('卡片raw data'!AP:AP,MATCH(D280,'卡片raw data'!$F:$F,)),0)+IF(OR(AND(L280="party卡",P280&lt;=1),AND(P280&lt;=4,L280&lt;&gt;"party卡",P280&gt;=3)),INDEX('卡片raw data'!AQ:AQ,MATCH(D280,'卡片raw data'!$F:$F,)),0)+IF(OR(P280=5,AND(L280="party卡",P280&gt;=2)),INDEX('卡片raw data'!AR:AR,MATCH(D280,'卡片raw data'!$F:$F,)),0))</f>
        <v>0.3</v>
      </c>
      <c r="DW280" s="1098">
        <f t="shared" si="409"/>
        <v>0.33</v>
      </c>
      <c r="DX280" s="1098">
        <f t="shared" si="410"/>
        <v>0.33</v>
      </c>
      <c r="DY280" s="1125">
        <f t="shared" si="411"/>
        <v>666.47897614584008</v>
      </c>
      <c r="DZ280" s="1125">
        <f t="shared" si="412"/>
        <v>576.50431436615168</v>
      </c>
      <c r="EA280" s="1098">
        <f t="shared" si="413"/>
        <v>0</v>
      </c>
      <c r="EB280" s="1121">
        <f t="shared" si="414"/>
        <v>0</v>
      </c>
      <c r="EC280" s="1101">
        <f t="shared" si="415"/>
        <v>953.06493588855142</v>
      </c>
      <c r="ED280" s="1097">
        <f t="shared" si="416"/>
        <v>0</v>
      </c>
      <c r="EE280" s="1110">
        <f t="shared" si="417"/>
        <v>953.06493588855142</v>
      </c>
      <c r="EF280" s="1092" t="s">
        <v>569</v>
      </c>
      <c r="EG280" s="1120">
        <f t="shared" si="418"/>
        <v>0.33</v>
      </c>
      <c r="EH280" s="1124"/>
      <c r="EI280" s="1093"/>
      <c r="EJ280" s="1093"/>
      <c r="EK280" s="1097">
        <f>IF($P280="","N/A",IF(P280=-1,INDEX('卡片raw data'!AS:AS,MATCH(D280,'卡片raw data'!$F:$F,)),0)+IF(AND(L280&lt;&gt;"party卡",P280&lt;=2,P280&gt;=0),INDEX('卡片raw data'!AU:AU,MATCH(D280,'卡片raw data'!$F:$F,)),0)+IF(OR(AND(L280="party卡",P280&lt;=1),AND(P280&lt;=4,L280&lt;&gt;"party卡",P280&gt;=3)),INDEX('卡片raw data'!AV:AV,MATCH(D280,'卡片raw data'!$F:$F,)),0)+IF(OR(P280=5,AND(L280="party卡",P280&gt;=2)),INDEX('卡片raw data'!AW:AW,MATCH(D280,'卡片raw data'!$F:$F,)),0))</f>
        <v>0</v>
      </c>
      <c r="EL280" s="1098">
        <f t="shared" si="419"/>
        <v>0.33</v>
      </c>
      <c r="EM280" s="1098">
        <f t="shared" si="420"/>
        <v>0.33</v>
      </c>
      <c r="EN280" s="1125">
        <f t="shared" si="421"/>
        <v>0</v>
      </c>
      <c r="EO280" s="1125">
        <f t="shared" si="422"/>
        <v>0</v>
      </c>
      <c r="EP280" s="1098">
        <f t="shared" si="423"/>
        <v>0</v>
      </c>
      <c r="EQ280" s="1121">
        <f t="shared" si="424"/>
        <v>0</v>
      </c>
      <c r="ER280" s="1101">
        <f t="shared" si="425"/>
        <v>0</v>
      </c>
      <c r="ES280" s="1097">
        <f t="shared" si="426"/>
        <v>0</v>
      </c>
      <c r="ET280" s="1122">
        <f t="shared" si="427"/>
        <v>0</v>
      </c>
    </row>
    <row r="281" spans="2:150" ht="16.5" customHeight="1">
      <c r="B281" s="1123" t="str">
        <f>INDEX('卡片raw data'!B:B,MATCH($D281,'卡片raw data'!$F:$F,))</f>
        <v>二单梨</v>
      </c>
      <c r="C281" s="449" t="s">
        <v>746</v>
      </c>
      <c r="D281" s="408">
        <v>278</v>
      </c>
      <c r="E281" s="1090">
        <v>401022002</v>
      </c>
      <c r="F281" s="1090" t="str">
        <f>INDEX('卡片raw data'!C:C,MATCH($D281,'卡片raw data'!$F:$F,))</f>
        <v>SR</v>
      </c>
      <c r="G281" s="1094" t="s">
        <v>739</v>
      </c>
      <c r="H281" s="411">
        <f>IFERROR(INDEX(绊状态确认!C:C,MATCH($G281,绊状态确认!$B:$B,)),"")</f>
        <v>102</v>
      </c>
      <c r="I281" s="1124" t="str">
        <f>IFERROR(INDEX(绊状态确认!D:D,MATCH($G281,绊状态确认!$B:$B,)),"")</f>
        <v>水</v>
      </c>
      <c r="J281" s="1124" t="str">
        <f>IFERROR(INDEX(绊状态确认!E:E,MATCH($G281,绊状态确认!$B:$B,)),"")</f>
        <v>2年级</v>
      </c>
      <c r="K281" s="451" t="str">
        <f>IFERROR(INDEX(绊状态确认!F:F,MATCH($G281,绊状态确认!$B:$B,)),"")</f>
        <v>Guilty Kiss</v>
      </c>
      <c r="L281" s="1094" t="str">
        <f>INDEX('卡片raw data'!E:E,MATCH($D281,'卡片raw data'!$F:$F,))</f>
        <v>活动卡</v>
      </c>
      <c r="M281" s="415">
        <v>44034</v>
      </c>
      <c r="N281" s="416">
        <v>20</v>
      </c>
      <c r="O281" s="1091" t="str">
        <f>INDEX('卡片raw data'!D:D,MATCH($D281,'卡片raw data'!$F:$F,))</f>
        <v>sp</v>
      </c>
      <c r="P281" s="417">
        <v>5</v>
      </c>
      <c r="Q281" s="1095">
        <f t="shared" si="343"/>
        <v>24261.112972809235</v>
      </c>
      <c r="R281" s="1096">
        <f t="shared" si="344"/>
        <v>0.28199999999999997</v>
      </c>
      <c r="S281" s="1097">
        <f t="shared" si="345"/>
        <v>14485.219375047571</v>
      </c>
      <c r="T281" s="1098">
        <f t="shared" si="346"/>
        <v>0.72399999999999998</v>
      </c>
      <c r="U281" s="1099">
        <f t="shared" si="347"/>
        <v>9.4737069923614268</v>
      </c>
      <c r="V281" s="1100">
        <f t="shared" si="348"/>
        <v>23210.428040159899</v>
      </c>
      <c r="W281" s="1101">
        <f t="shared" si="349"/>
        <v>4648.7870597039355</v>
      </c>
      <c r="X281" s="1096">
        <f t="shared" si="350"/>
        <v>5.3999999999999999E-2</v>
      </c>
      <c r="Y281" s="1097">
        <f t="shared" si="351"/>
        <v>749.31506735066341</v>
      </c>
      <c r="Z281" s="1102">
        <f t="shared" si="352"/>
        <v>9.4737069923614268</v>
      </c>
      <c r="AA281" s="1103">
        <f t="shared" si="353"/>
        <v>5398.1021270545989</v>
      </c>
      <c r="AB281" s="1101">
        <f t="shared" si="354"/>
        <v>4758.5047272645534</v>
      </c>
      <c r="AC281" s="1104">
        <f t="shared" si="355"/>
        <v>5.5E-2</v>
      </c>
      <c r="AD281" s="1105">
        <f t="shared" si="356"/>
        <v>-1.9908281250000003E-2</v>
      </c>
      <c r="AE281" s="1128">
        <f t="shared" si="357"/>
        <v>-1.3514492753623202</v>
      </c>
      <c r="AF281" s="1130">
        <f t="shared" si="358"/>
        <v>0</v>
      </c>
      <c r="AG281" s="420">
        <f t="shared" si="359"/>
        <v>0</v>
      </c>
      <c r="AH281" s="420">
        <f t="shared" si="360"/>
        <v>0</v>
      </c>
      <c r="AI281" s="1097">
        <f t="shared" si="361"/>
        <v>0</v>
      </c>
      <c r="AJ281" s="420">
        <f t="shared" si="362"/>
        <v>0</v>
      </c>
      <c r="AK281" s="518">
        <f t="shared" si="363"/>
        <v>0</v>
      </c>
      <c r="AL281" s="1106">
        <f>IF($P281="","N/A",(IF($P281=-1,INDEX('卡片raw data'!S:S,MATCH($D281,'卡片raw data'!$F:$F,)),0)+IF($P281=0,INDEX('卡片raw data'!V:V,MATCH($D281,'卡片raw data'!$F:$F,)),0)+IF($P281=1,INDEX('卡片raw data'!Y:Y,MATCH($D281,'卡片raw data'!$F:$F,)),0)+IF($P281=2,INDEX('卡片raw data'!AB:AB,MATCH($D281,'卡片raw data'!$F:$F,)),0)+IF($P281=3,INDEX('卡片raw data'!AE:AE,MATCH($D281,'卡片raw data'!$F:$F,)),0)+IF($P281=4,INDEX('卡片raw data'!AH:AH,MATCH($D281,'卡片raw data'!$F:$F,)),0)+IF($P281=5,INDEX('卡片raw data'!AK:AK,MATCH($D281,'卡片raw data'!$F:$F,)),0)+INDEX('卡片raw data'!S:S,MATCH($D281,'卡片raw data'!$F:$F,))*(IF($F281="UR",0.04,0.033))*(IF($F281="UR",INDEX(绊状态确认!$S:$S,MATCH($G281,绊状态确认!$B:$B,))/2-40)+IF($F281="SR",INDEX(绊状态确认!$R:$R,MATCH($G281,绊状态确认!$B:$B,))/4-15))+IF($F281="R",INDEX(绊状态确认!$Q:$Q,MATCH($G281,绊状态确认!$B:$B,))/6-40/6)))*(INDEX(绊状态确认!$H:$H,MATCH($G281,绊状态确认!$B:$B,))+INDEX(绊状态确认!J:J,MATCH($G281,绊状态确认!$B:$B,)))</f>
        <v>6037.8954791999995</v>
      </c>
      <c r="AM281" s="1106">
        <f>IF($P281="","N/A",(IF($P281=-1,INDEX('卡片raw data'!T:T,MATCH($D281,'卡片raw data'!$F:$F,)),0)+IF($P281=0,INDEX('卡片raw data'!W:W,MATCH($D281,'卡片raw data'!$F:$F,)),0)+IF($P281=1,INDEX('卡片raw data'!Z:Z,MATCH($D281,'卡片raw data'!$F:$F,)),0)+IF($P281=2,INDEX('卡片raw data'!AC:AC,MATCH($D281,'卡片raw data'!$F:$F,)),0)+IF($P281=3,INDEX('卡片raw data'!AF:AF,MATCH($D281,'卡片raw data'!$F:$F,)),0)+IF($P281=4,INDEX('卡片raw data'!AI:AI,MATCH($D281,'卡片raw data'!$F:$F,)),0)+IF($P281=5,INDEX('卡片raw data'!AL:AL,MATCH($D281,'卡片raw data'!$F:$F,)),0)+INDEX('卡片raw data'!T:T,MATCH($D281,'卡片raw data'!$F:$F,))*(IF($F281="UR",0.04,0.033))*(IF($F281="UR",INDEX(绊状态确认!$S:$S,MATCH($G281,绊状态确认!$B:$B,))/2-40)+IF($F281="SR",INDEX(绊状态确认!$R:$R,MATCH($G281,绊状态确认!$B:$B,))/4-15))+IF($F281="R",INDEX(绊状态确认!$Q:$Q,MATCH($G281,绊状态确认!$B:$B,))/6-40/6)))*(INDEX(绊状态确认!$H:$H,MATCH($G281,绊状态确认!$B:$B,))+INDEX(绊状态确认!K:K,MATCH($G281,绊状态确认!$B:$B,)))</f>
        <v>3856.5029495999997</v>
      </c>
      <c r="AN281" s="1106">
        <f>IF($P281="","N/A",(IF($P281=-1,INDEX('卡片raw data'!U:U,MATCH($D281,'卡片raw data'!$F:$F,)),0)+IF($P281=0,INDEX('卡片raw data'!X:X,MATCH($D281,'卡片raw data'!$F:$F,)),0)+IF($P281=1,INDEX('卡片raw data'!AA:AA,MATCH($D281,'卡片raw data'!$F:$F,)),0)+IF($P281=2,INDEX('卡片raw data'!AD:AD,MATCH($D281,'卡片raw data'!$F:$F,)),0)+IF($P281=3,INDEX('卡片raw data'!AG:AG,MATCH($D281,'卡片raw data'!$F:$F,)),0)+IF($P281=4,INDEX('卡片raw data'!AJ:AJ,MATCH($D281,'卡片raw data'!$F:$F,)),0)+IF($P281=5,INDEX('卡片raw data'!AM:AM,MATCH($D281,'卡片raw data'!$F:$F,)),0)+INDEX('卡片raw data'!U:U,MATCH($D281,'卡片raw data'!$F:$F,))*(IF($F281="UR",0.04,0.033))*(IF($F281="UR",INDEX(绊状态确认!$S:$S,MATCH($G281,绊状态确认!$B:$B,))/2-40)+IF($F281="SR",INDEX(绊状态确认!$R:$R,MATCH($G281,绊状态确认!$B:$B,))/4-15))+IF($F281="R",INDEX(绊状态确认!$Q:$Q,MATCH($G281,绊状态确认!$B:$B,))/6-40/6)))*(INDEX(绊状态确认!$H:$H,MATCH($G281,绊状态确认!$B:$B,))+INDEX(绊状态确认!L:L,MATCH($G281,绊状态确认!$B:$B,)))</f>
        <v>6876.6245903999989</v>
      </c>
      <c r="AO281" s="1107">
        <f t="shared" si="364"/>
        <v>1</v>
      </c>
      <c r="AP281" s="1131">
        <f>1+(INDEX(绊状态确认!$T:$T,MATCH($G281,绊状态确认!$B:$B,))+0.2)*$AO281</f>
        <v>1.3</v>
      </c>
      <c r="AQ281" s="1108">
        <f t="shared" si="365"/>
        <v>19099.475632899997</v>
      </c>
      <c r="AR281" s="1097">
        <f>(AM281*(1+$EX$9)+$EX$35)*(1+(INDEX(绊状态确认!$T:$T,MATCH($G281,绊状态确认!$B:$B,))+0.2)*AO281)*IF(J281=$FF$17,1+$FE$17,1)*IF(I281=$FF$14,1+$FE$14,1)</f>
        <v>7968.1265262039997</v>
      </c>
      <c r="AS281" s="1097">
        <f>(AN281*(1+$EX$10)+$EX$36)*(1+(INDEX(绊状态确认!$T:$T,MATCH($G281,绊状态确认!$B:$B,))+0.2)*AO281)*IF(J281=$FF$17,1+$FE$17,1)*IF(I281=$FF$14,1+$FE$14,1)</f>
        <v>14336.553762647998</v>
      </c>
      <c r="AT281" s="1093">
        <f>IF(AND(INDEX('卡片raw data'!AK:AK,MATCH($D281,'卡片raw data'!$F:$F,))&lt;INDEX('卡片raw data'!AM:AM,MATCH($D281,'卡片raw data'!$F:$F,)),INDEX('卡片raw data'!AL:AL,MATCH($D281,'卡片raw data'!$F:$F,))&lt;INDEX('卡片raw data'!AM:AM,MATCH($D281,'卡片raw data'!$F:$F,))),1,0)</f>
        <v>1</v>
      </c>
      <c r="AU281" s="1098">
        <f>MIN(AT281*0.15+AS281*0.00003+INDEX(绊状态确认!M:M,MATCH($G281,绊状态确认!$B:$B,)),1)</f>
        <v>0.61009661287943995</v>
      </c>
      <c r="AV281" s="1109">
        <f>(INDEX(绊状态确认!$N:$N,MATCH($G281,绊状态确认!$B:$B,))+1.5)*$EW$21</f>
        <v>2.6599999999999997</v>
      </c>
      <c r="AW281" s="1101">
        <f t="shared" si="366"/>
        <v>19965.072075466978</v>
      </c>
      <c r="AX281" s="1097">
        <f t="shared" si="367"/>
        <v>676.26709298481387</v>
      </c>
      <c r="AY281" s="1110">
        <f t="shared" si="368"/>
        <v>20641.339168451792</v>
      </c>
      <c r="AZ281" s="429">
        <f t="shared" si="369"/>
        <v>14373.896184439998</v>
      </c>
      <c r="BA281" s="431">
        <f t="shared" si="370"/>
        <v>17248.675421327996</v>
      </c>
      <c r="BB281" s="1097">
        <f>(AM281*(1+$FB$9)+$FB$35)*(1+(INDEX(绊状态确认!$T:$T,MATCH($G281,绊状态确认!$B:$B,))+0.2)*AO281)*IF(J281=$FF$17,1+$FE$17,1)*IF(I281=$FF$14,1+$FE$14,1)*(1+$FE$15)</f>
        <v>7968.1265262039997</v>
      </c>
      <c r="BC281" s="1097">
        <f>(AN281*(1+$FB$10)+$FB$36)*(1+(INDEX(绊状态确认!$T:$T,MATCH($G281,绊状态确认!$B:$B,))+0.2)*AO281)*IF(J281=$FF$17,1+$FE$17,1)*IF(I281=$FF$14,1+$FE$14,1)*(1+$FE$15)</f>
        <v>14336.553762647998</v>
      </c>
      <c r="BD281" s="1104">
        <f>MIN(AT281*0.15+BC281*0.00003+INDEX(绊状态确认!M:M,MATCH($G281,绊状态确认!$B:$B,)),1)</f>
        <v>0.61009661287943995</v>
      </c>
      <c r="BE281" s="432">
        <f>(INDEX(绊状态确认!$N:$N,MATCH($G281,绊状态确认!$B:$B,))+1.5)</f>
        <v>1.9</v>
      </c>
      <c r="BF281" s="1139">
        <f t="array" ref="BF281">SUMPRODUCT(IF(AZ281*AP281*$FI$16:$FI$23*$FA$22&gt;=$FI$24,$FI$24,AZ281*AP281*$FI$16:$FI$23*$FA$22),$FJ$16:$FJ$23)</f>
        <v>28589.679510851158</v>
      </c>
      <c r="BG281" s="1125">
        <f t="array" ref="BG281">SUMPRODUCT(IF(BE281*AZ281*AP281*$FI$16:$FI$23*$FA$22&gt;=$FI$24,$FI$24,BE281*AZ281*AP281*$FI$16:$FI$23*$FA$22),$FJ$16:$FJ$23)</f>
        <v>53148.488339811127</v>
      </c>
      <c r="BH281" s="1110">
        <f t="shared" si="371"/>
        <v>14524.308531251105</v>
      </c>
      <c r="BI281" s="1111">
        <f>IF(O281="vo",$EW$26/$EW$24*0.05,0)+IF(O281="sk",-$EW$26/$EW$24*(0.05-INDEX(绊状态确认!W:W,MATCH($G281,绊状态确认!$B:$B,)))+0.05*$EW$28,0)+IF(O281="sp",0.05*$EW$32*$EW$30*(1-$EW$33)-(0.05-INDEX(绊状态确认!V:V,MATCH($G281,绊状态确认!$B:$B,)))*$EW$28,0)+IF(O281="gd",-(0.05-INDEX(绊状态确认!X:X,MATCH($G281,绊状态确认!$B:$B,)))*$EW$32*$EW$30*(1-$EW$33),0)</f>
        <v>19.999999999999886</v>
      </c>
      <c r="BJ281" s="1097">
        <f>IF(O281="vo",0.05*(1-$FI$26)*$FA$24,0)+IF(O281="sk",-(0.05-INDEX(绊状态确认!W:W,MATCH($G281,绊状态确认!$B:$B,)))*(1-$FI$26)*$FA$24+0.05*$FA$26,0)+IF(O281="sp",0.05*$FA$32*$FA$27*(1-$FA$33)/$FA$30+0.05*$FA$29/$FA$69*$FA$27*(1-$FA$33)-(0.05-INDEX(绊状态确认!V:V,MATCH($G281,绊状态确认!$B:$B,)))*$FA$26,0)+IF(O281="gd",-(0.05-INDEX(绊状态确认!X:X,MATCH($G281,绊状态确认!$B:$B,)))*$FA$32*$FA$27*(1-$FA$33)/$FA$30-(0.05-INDEX(绊状态确认!X:X,MATCH($G281,绊状态确认!$B:$B,)))*$FA$29/$FA$69*$FA$27*(1-$FA$33),0)</f>
        <v>545.83333333333326</v>
      </c>
      <c r="BK281" s="1110">
        <f>IF(O281="vo",$EW$26/$EW$24*0.05+$EW$26*(-HP($EW$62,$EW$65,$EW$64)+HP($EW$62,$EW$65,(1.05-INDEX(绊状态确认!U:U,MATCH($G281,绊状态确认!$B:$B,)))*$EW$64)),0)+IF(O281="sk",-$EW$26/$EW$24*(0.05-INDEX(绊状态确认!W:W,MATCH($G281,绊状态确认!$B:$B,)))+0.05*$EW$29,0)+IF(O281="sp",0.05*$EW$32*$EW$30*(1-$EW$33)-(0.05-INDEX(绊状态确认!V:V,MATCH($G281,绊状态确认!$B:$B,)))*$EW$29,0)+IF(O281="gd",-(0.05-INDEX(绊状态确认!X:X,MATCH($G281,绊状态确认!$B:$B,)))*$EW$32*$EW$30*(1-$EW$33)+$EW$26*(-HP($EW$62,$EW$65,$EW$64)+HP($EW$62,$EW$65,0.95*$EW$64)),0)</f>
        <v>-1780.0000000000005</v>
      </c>
      <c r="BL281" s="1111">
        <f t="shared" si="372"/>
        <v>-1083.3333333333333</v>
      </c>
      <c r="BM281" s="1110">
        <f t="shared" si="373"/>
        <v>-830.55555555555543</v>
      </c>
      <c r="BN281" s="1113">
        <f t="shared" si="374"/>
        <v>3</v>
      </c>
      <c r="BO281" s="1097">
        <f t="shared" si="375"/>
        <v>4507.7214871259994</v>
      </c>
      <c r="BP281" s="1100">
        <f t="shared" si="376"/>
        <v>221.34103209030098</v>
      </c>
      <c r="BQ281" s="1113" t="s">
        <v>753</v>
      </c>
      <c r="BR281" s="1124" t="s">
        <v>761</v>
      </c>
      <c r="BS281" s="1098">
        <f>IF($P281="","N/A",IF($P281=-1,INDEX('卡片raw data'!AX:AX,MATCH($D281,'卡片raw data'!$F:$F,)),0)+IF($L281="party卡",IF($P281=5,INDEX('卡片raw data'!BD:BD,MATCH($D281,'卡片raw data'!$F:$F,)),IF($P281&gt;=3,INDEX('卡片raw data'!BC:BC,MATCH($D281,'卡片raw data'!$F:$F,)),INDEX('卡片raw data'!BB:BB,MATCH($D281,'卡片raw data'!$F:$F,)))),IF(OR(AND($F281="UR",$P281=0),AND($F281="SR",$P281&gt;=0,$P281&lt;=2),AND($F281="R",$P281&gt;=0,$P281&lt;4)),INDEX('卡片raw data'!AZ:AZ,MATCH($D281,'卡片raw data'!$F:$F,)),0)+IF(OR(AND($F281="UR",$P281&gt;=1,$P281&lt;=4),AND($F281="SR",$P281&lt;=4,$P281&gt;=3),AND($F281="R",$P281=4)),INDEX('卡片raw data'!BA:BA,MATCH($D281,'卡片raw data'!$F:$F,)),0)+IF($P281=5,INDEX('卡片raw data'!BB:BB,MATCH($D281,'卡片raw data'!$F:$F,)),0)))</f>
        <v>3.2000000000000001E-2</v>
      </c>
      <c r="BT281" s="1101">
        <f t="shared" si="377"/>
        <v>0</v>
      </c>
      <c r="BU281" s="1097">
        <f t="shared" si="378"/>
        <v>0</v>
      </c>
      <c r="BV281" s="1097">
        <f t="shared" si="379"/>
        <v>0</v>
      </c>
      <c r="BW281" s="1112">
        <f t="shared" si="380"/>
        <v>0.93642857142857128</v>
      </c>
      <c r="BX281" s="1100">
        <f t="shared" si="381"/>
        <v>73.047974365849768</v>
      </c>
      <c r="BY281" s="1110">
        <f t="shared" si="382"/>
        <v>73.047974365849768</v>
      </c>
      <c r="BZ281" s="1107" t="s">
        <v>569</v>
      </c>
      <c r="CA281" s="1124"/>
      <c r="CB281" s="1098">
        <f>IF($P281="","N/A",IF($P281=-1,INDEX('卡片raw data'!BE:BE,MATCH($D281,'卡片raw data'!$F:$F,)),0)+IF($L281="party卡",IF($P281=5,INDEX('卡片raw data'!BK:BK,MATCH($D281,'卡片raw data'!$F:$F,)),IF($P281&gt;=3,INDEX('卡片raw data'!BJ:BJ,MATCH($D281,'卡片raw data'!$F:$F,)),INDEX('卡片raw data'!BI:BI,MATCH($D281,'卡片raw data'!$F:$F,)))),IF(OR(AND($F281="UR",$P281=0),AND($F281="SR",$P281&gt;=0,$P281&lt;=2),AND($F281="R",$P281&gt;=0,$P281&lt;4)),INDEX('卡片raw data'!BG:BG,MATCH($D281,'卡片raw data'!$F:$F,)),0)+IF(OR(AND($F281="UR",$P281&gt;=1,$P281&lt;=4),AND($F281="SR",$P281&lt;=4,$P281&gt;=3),AND($F281="R",$P281=4)),INDEX('卡片raw data'!BH:BH,MATCH($D281,'卡片raw data'!$F:$F,)),0)+IF($P281=5,INDEX('卡片raw data'!BI:BI,MATCH($D281,'卡片raw data'!$F:$F,)),0)))</f>
        <v>0</v>
      </c>
      <c r="CC281" s="1101">
        <f t="shared" si="383"/>
        <v>0</v>
      </c>
      <c r="CD281" s="1097">
        <f>IF(BZ281="ap",CB281*(1-$FI$26)*$FB$5/$FB$11*(+IF(CA281="全员",$FA$24,0)+IF(CA281="同作战",$FA$24,0)+IF(CA281="仲间",$FA$24*2/3,0)+IF(CA281="同属性",$FA$24*$FA$37/3,0)+IF(CA281="同年级",$FA$24*$FA$40/3,0)+IF(CA281="同学校",$FA$24*$FA$43/3,0)+IF(CA281="同小队",$FA$24*$FA$46/3,0)+IF(CA281="同type",$FA$24*INDEX($FB$49:$FB$52,MATCH(X281,$FA$49:$FA$52,))/3,0)+IF(CA281="自身",#REF!/3,0)),0)+IF(BZ281="te",CB281*(1-$FI$27)*($FA$20-1)*$FB$7/$FB$13*(+IF(CA281="全员",$FA$19*$FA$24/(1+($FA$20-1)*$FA$19),0)+IF(CA281="同作战",$FA$19*$FA$24/(1+($FA$20-1)*$FA$19),0)+IF(CA281="仲间",$FA$19*$FA$24*2/3/(1+($FA$20-1)*$FA$19),0)+IF(CA281="同属性",$FA$19*$FA$24*$FA$37/3/(1+($FA$20-1)*$FA$19),0)+IF(CA281="同年级",$FA$19*$FA$24*$FA$40/3/(1+($FA$20-1)*$FA$19),0)+IF(CA281="同学校",$FA$19*$FA$24*$FA$43/3/(1+($FA$20-1)*$FA$19),0)+IF(CA281="同小队",$FA$19*$FA$24*$FA$46/3/(1+($FA$20-1)*$FA$19),0)+IF(CA281="同type",$FA$19*$FA$24*INDEX($FB$49:$FB$52,MATCH(X281,$FA$49:$FA$52,))/3/(1+($FA$20-1)*$FA$19),0)+IF(CA281="自身",$FA$19*#REF!/3/(1+(BH281-1)*$BD281),0)),0)</f>
        <v>0</v>
      </c>
      <c r="CE281" s="1097">
        <f t="shared" si="384"/>
        <v>0</v>
      </c>
      <c r="CF281" s="1112">
        <f t="shared" si="385"/>
        <v>0</v>
      </c>
      <c r="CG281" s="1100">
        <f t="shared" si="386"/>
        <v>0</v>
      </c>
      <c r="CH281" s="1110">
        <f t="shared" si="387"/>
        <v>0</v>
      </c>
      <c r="CI281" s="1113" t="s">
        <v>162</v>
      </c>
      <c r="CJ281" s="1114">
        <v>0.15</v>
      </c>
      <c r="CK281" s="1115" t="s">
        <v>762</v>
      </c>
      <c r="CL281" s="1115" t="s">
        <v>150</v>
      </c>
      <c r="CM281" s="1119">
        <v>0.05</v>
      </c>
      <c r="CN281" s="1115" t="s">
        <v>1948</v>
      </c>
      <c r="CO281" s="1092"/>
      <c r="CP281" s="1118">
        <f t="shared" si="388"/>
        <v>2.1428571428571425E-3</v>
      </c>
      <c r="CQ281" s="1118">
        <f t="shared" si="389"/>
        <v>2.9999999999999992E-3</v>
      </c>
      <c r="CR281" s="1118">
        <f t="shared" si="390"/>
        <v>1.2053571428571428E-3</v>
      </c>
      <c r="CS281" s="1118">
        <f t="shared" si="391"/>
        <v>0</v>
      </c>
      <c r="CT281" s="1109">
        <f t="shared" si="392"/>
        <v>0</v>
      </c>
      <c r="CU281" s="1101">
        <f t="shared" si="393"/>
        <v>250.78324013855357</v>
      </c>
      <c r="CV281" s="1108">
        <f t="shared" si="394"/>
        <v>24.292033928386395</v>
      </c>
      <c r="CW281" s="1097">
        <f t="shared" si="395"/>
        <v>141.06557257793639</v>
      </c>
      <c r="CX281" s="1097">
        <f t="shared" si="396"/>
        <v>250.78324013855357</v>
      </c>
      <c r="CY281" s="1110">
        <f t="shared" si="397"/>
        <v>141.06557257793639</v>
      </c>
      <c r="CZ281" s="437"/>
      <c r="DA281" s="438"/>
      <c r="DB281" s="439" t="s">
        <v>569</v>
      </c>
      <c r="DC281" s="439"/>
      <c r="DD281" s="443"/>
      <c r="DE281" s="411"/>
      <c r="DF281" s="411"/>
      <c r="DG281" s="1116">
        <f t="shared" si="398"/>
        <v>0</v>
      </c>
      <c r="DH281" s="1116">
        <f t="shared" si="399"/>
        <v>0</v>
      </c>
      <c r="DI281" s="1116">
        <f t="shared" si="400"/>
        <v>0</v>
      </c>
      <c r="DJ281" s="442">
        <f t="shared" si="401"/>
        <v>0</v>
      </c>
      <c r="DK281" s="1109">
        <f t="shared" si="402"/>
        <v>0</v>
      </c>
      <c r="DL281" s="1101">
        <f t="shared" si="403"/>
        <v>0</v>
      </c>
      <c r="DM281" s="1097">
        <f t="shared" si="404"/>
        <v>0</v>
      </c>
      <c r="DN281" s="1097">
        <f t="shared" si="405"/>
        <v>0</v>
      </c>
      <c r="DO281" s="1097">
        <f t="shared" si="406"/>
        <v>0</v>
      </c>
      <c r="DP281" s="1110">
        <f t="shared" si="407"/>
        <v>0</v>
      </c>
      <c r="DQ281" s="1113" t="s">
        <v>256</v>
      </c>
      <c r="DR281" s="1120">
        <f t="shared" si="408"/>
        <v>0.3</v>
      </c>
      <c r="DS281" s="1124"/>
      <c r="DT281" s="1093" t="s">
        <v>750</v>
      </c>
      <c r="DU281" s="1093"/>
      <c r="DV281" s="1098">
        <f>IF($P281="","N/A",IF(P281=-1,INDEX('卡片raw data'!AN:AN,MATCH(D281,'卡片raw data'!$F:$F,)),0)+IF(AND(L281&lt;&gt;"party卡",P281&lt;=2,P281&gt;=0),INDEX('卡片raw data'!AP:AP,MATCH(D281,'卡片raw data'!$F:$F,)),0)+IF(OR(AND(L281="party卡",P281&lt;=1),AND(P281&lt;=4,L281&lt;&gt;"party卡",P281&gt;=3)),INDEX('卡片raw data'!AQ:AQ,MATCH(D281,'卡片raw data'!$F:$F,)),0)+IF(OR(P281=5,AND(L281="party卡",P281&gt;=2)),INDEX('卡片raw data'!AR:AR,MATCH(D281,'卡片raw data'!$F:$F,)),0))</f>
        <v>0.22</v>
      </c>
      <c r="DW281" s="1098">
        <f t="shared" si="409"/>
        <v>0.3</v>
      </c>
      <c r="DX281" s="1098">
        <f t="shared" si="410"/>
        <v>0.3</v>
      </c>
      <c r="DY281" s="1125">
        <f t="shared" si="411"/>
        <v>420.18846392379987</v>
      </c>
      <c r="DZ281" s="1125">
        <f t="shared" si="412"/>
        <v>328.24229326787173</v>
      </c>
      <c r="EA281" s="1098">
        <f t="shared" si="413"/>
        <v>0</v>
      </c>
      <c r="EB281" s="1121">
        <f t="shared" si="414"/>
        <v>0</v>
      </c>
      <c r="EC281" s="1101">
        <f t="shared" si="415"/>
        <v>600.86950341103386</v>
      </c>
      <c r="ED281" s="1097">
        <f t="shared" si="416"/>
        <v>0</v>
      </c>
      <c r="EE281" s="1110">
        <f t="shared" si="417"/>
        <v>600.86950341103386</v>
      </c>
      <c r="EF281" s="1092" t="s">
        <v>569</v>
      </c>
      <c r="EG281" s="1120">
        <f t="shared" si="418"/>
        <v>0.3</v>
      </c>
      <c r="EH281" s="1124"/>
      <c r="EI281" s="1093"/>
      <c r="EJ281" s="1093"/>
      <c r="EK281" s="1097">
        <f>IF($P281="","N/A",IF(P281=-1,INDEX('卡片raw data'!AS:AS,MATCH(D281,'卡片raw data'!$F:$F,)),0)+IF(AND(L281&lt;&gt;"party卡",P281&lt;=2,P281&gt;=0),INDEX('卡片raw data'!AU:AU,MATCH(D281,'卡片raw data'!$F:$F,)),0)+IF(OR(AND(L281="party卡",P281&lt;=1),AND(P281&lt;=4,L281&lt;&gt;"party卡",P281&gt;=3)),INDEX('卡片raw data'!AV:AV,MATCH(D281,'卡片raw data'!$F:$F,)),0)+IF(OR(P281=5,AND(L281="party卡",P281&gt;=2)),INDEX('卡片raw data'!AW:AW,MATCH(D281,'卡片raw data'!$F:$F,)),0))</f>
        <v>0</v>
      </c>
      <c r="EL281" s="1098">
        <f t="shared" si="419"/>
        <v>0.3</v>
      </c>
      <c r="EM281" s="1098">
        <f t="shared" si="420"/>
        <v>0.3</v>
      </c>
      <c r="EN281" s="1125">
        <f t="shared" si="421"/>
        <v>0</v>
      </c>
      <c r="EO281" s="1125">
        <f t="shared" si="422"/>
        <v>0</v>
      </c>
      <c r="EP281" s="1098">
        <f t="shared" si="423"/>
        <v>0</v>
      </c>
      <c r="EQ281" s="1121">
        <f t="shared" si="424"/>
        <v>0</v>
      </c>
      <c r="ER281" s="1101">
        <f t="shared" si="425"/>
        <v>0</v>
      </c>
      <c r="ES281" s="1097">
        <f t="shared" si="426"/>
        <v>0</v>
      </c>
      <c r="ET281" s="1122">
        <f t="shared" si="427"/>
        <v>0</v>
      </c>
    </row>
    <row r="282" spans="2:150" ht="16.5" customHeight="1">
      <c r="B282" s="1123" t="str">
        <f>INDEX('卡片raw data'!B:B,MATCH($D282,'卡片raw data'!$F:$F,))</f>
        <v>二专霞</v>
      </c>
      <c r="C282" s="449" t="s">
        <v>578</v>
      </c>
      <c r="D282" s="408">
        <v>279</v>
      </c>
      <c r="E282" s="1090">
        <v>402022002</v>
      </c>
      <c r="F282" s="1090" t="str">
        <f>INDEX('卡片raw data'!C:C,MATCH($D282,'卡片raw data'!$F:$F,))</f>
        <v>SR</v>
      </c>
      <c r="G282" s="1094" t="s">
        <v>740</v>
      </c>
      <c r="H282" s="411">
        <f>IFERROR(INDEX(绊状态确认!C:C,MATCH($G282,绊状态确认!$B:$B,)),"")</f>
        <v>202</v>
      </c>
      <c r="I282" s="450" t="str">
        <f>IFERROR(INDEX(绊状态确认!D:D,MATCH($G282,绊状态确认!$B:$B,)),"")</f>
        <v>虹</v>
      </c>
      <c r="J282" s="450" t="str">
        <f>IFERROR(INDEX(绊状态确认!E:E,MATCH($G282,绊状态确认!$B:$B,)),"")</f>
        <v>1年级</v>
      </c>
      <c r="K282" s="451" t="str">
        <f>IFERROR(INDEX(绊状态确认!F:F,MATCH($G282,绊状态确认!$B:$B,)),"")</f>
        <v>QU4RTZ</v>
      </c>
      <c r="L282" s="1094" t="str">
        <f>INDEX('卡片raw data'!E:E,MATCH($D282,'卡片raw data'!$F:$F,))</f>
        <v>活动卡</v>
      </c>
      <c r="M282" s="415">
        <v>44034</v>
      </c>
      <c r="N282" s="416">
        <v>20</v>
      </c>
      <c r="O282" s="1091" t="str">
        <f>INDEX('卡片raw data'!D:D,MATCH($D282,'卡片raw data'!$F:$F,))</f>
        <v>gd</v>
      </c>
      <c r="P282" s="417">
        <v>5</v>
      </c>
      <c r="Q282" s="1095">
        <f t="shared" si="343"/>
        <v>15059.070920856635</v>
      </c>
      <c r="R282" s="1096">
        <f t="shared" si="344"/>
        <v>0.17499999999999999</v>
      </c>
      <c r="S282" s="1097">
        <f t="shared" si="345"/>
        <v>8355.0348983632412</v>
      </c>
      <c r="T282" s="1098">
        <f t="shared" si="346"/>
        <v>0.41699999999999998</v>
      </c>
      <c r="U282" s="1099">
        <f t="shared" si="347"/>
        <v>73.179133360018568</v>
      </c>
      <c r="V282" s="1100">
        <f t="shared" si="348"/>
        <v>22232.642067387296</v>
      </c>
      <c r="W282" s="1101">
        <f t="shared" si="349"/>
        <v>4507.7214871259994</v>
      </c>
      <c r="X282" s="1096">
        <f t="shared" si="350"/>
        <v>5.1999999999999998E-2</v>
      </c>
      <c r="Y282" s="1097">
        <f t="shared" si="351"/>
        <v>1253.3711395267992</v>
      </c>
      <c r="Z282" s="1102">
        <f t="shared" si="352"/>
        <v>15.67913336001857</v>
      </c>
      <c r="AA282" s="1103">
        <f t="shared" si="353"/>
        <v>5761.0926266527986</v>
      </c>
      <c r="AB282" s="1101">
        <f t="shared" si="354"/>
        <v>4507.7214871259994</v>
      </c>
      <c r="AC282" s="1104">
        <f t="shared" si="355"/>
        <v>5.1999999999999998E-2</v>
      </c>
      <c r="AD282" s="1105">
        <f t="shared" si="356"/>
        <v>-3.8207812500000026E-3</v>
      </c>
      <c r="AE282" s="1128">
        <f t="shared" si="357"/>
        <v>-18.525362318840578</v>
      </c>
      <c r="AF282" s="1130">
        <f t="shared" si="358"/>
        <v>0</v>
      </c>
      <c r="AG282" s="420">
        <f t="shared" si="359"/>
        <v>0</v>
      </c>
      <c r="AH282" s="420">
        <f t="shared" si="360"/>
        <v>0</v>
      </c>
      <c r="AI282" s="1097">
        <f t="shared" si="361"/>
        <v>0</v>
      </c>
      <c r="AJ282" s="420">
        <f t="shared" si="362"/>
        <v>0</v>
      </c>
      <c r="AK282" s="518">
        <f t="shared" si="363"/>
        <v>0</v>
      </c>
      <c r="AL282" s="1106">
        <f>IF($P282="","N/A",(IF($P282=-1,INDEX('卡片raw data'!S:S,MATCH($D282,'卡片raw data'!$F:$F,)),0)+IF($P282=0,INDEX('卡片raw data'!V:V,MATCH($D282,'卡片raw data'!$F:$F,)),0)+IF($P282=1,INDEX('卡片raw data'!Y:Y,MATCH($D282,'卡片raw data'!$F:$F,)),0)+IF($P282=2,INDEX('卡片raw data'!AB:AB,MATCH($D282,'卡片raw data'!$F:$F,)),0)+IF($P282=3,INDEX('卡片raw data'!AE:AE,MATCH($D282,'卡片raw data'!$F:$F,)),0)+IF($P282=4,INDEX('卡片raw data'!AH:AH,MATCH($D282,'卡片raw data'!$F:$F,)),0)+IF($P282=5,INDEX('卡片raw data'!AK:AK,MATCH($D282,'卡片raw data'!$F:$F,)),0)+INDEX('卡片raw data'!S:S,MATCH($D282,'卡片raw data'!$F:$F,))*(IF($F282="UR",0.04,0.033))*(IF($F282="UR",INDEX(绊状态确认!$S:$S,MATCH($G282,绊状态确认!$B:$B,))/2-40)+IF($F282="SR",INDEX(绊状态确认!$R:$R,MATCH($G282,绊状态确认!$B:$B,))/4-15))+IF($F282="R",INDEX(绊状态确认!$Q:$Q,MATCH($G282,绊状态确认!$B:$B,))/6-40/6)))*(INDEX(绊状态确认!$H:$H,MATCH($G282,绊状态确认!$B:$B,))+INDEX(绊状态确认!J:J,MATCH($G282,绊状态确认!$B:$B,)))</f>
        <v>4359.3008567999996</v>
      </c>
      <c r="AM282" s="1106">
        <f>IF($P282="","N/A",(IF($P282=-1,INDEX('卡片raw data'!T:T,MATCH($D282,'卡片raw data'!$F:$F,)),0)+IF($P282=0,INDEX('卡片raw data'!W:W,MATCH($D282,'卡片raw data'!$F:$F,)),0)+IF($P282=1,INDEX('卡片raw data'!Z:Z,MATCH($D282,'卡片raw data'!$F:$F,)),0)+IF($P282=2,INDEX('卡片raw data'!AC:AC,MATCH($D282,'卡片raw data'!$F:$F,)),0)+IF($P282=3,INDEX('卡片raw data'!AF:AF,MATCH($D282,'卡片raw data'!$F:$F,)),0)+IF($P282=4,INDEX('卡片raw data'!AI:AI,MATCH($D282,'卡片raw data'!$F:$F,)),0)+IF($P282=5,INDEX('卡片raw data'!AL:AL,MATCH($D282,'卡片raw data'!$F:$F,)),0)+INDEX('卡片raw data'!T:T,MATCH($D282,'卡片raw data'!$F:$F,))*(IF($F282="UR",0.04,0.033))*(IF($F282="UR",INDEX(绊状态确认!$S:$S,MATCH($G282,绊状态确认!$B:$B,))/2-40)+IF($F282="SR",INDEX(绊状态确认!$R:$R,MATCH($G282,绊状态确认!$B:$B,))/4-15))+IF($F282="R",INDEX(绊状态确认!$Q:$Q,MATCH($G282,绊状态确认!$B:$B,))/6-40/6)))*(INDEX(绊状态确认!$H:$H,MATCH($G282,绊状态确认!$B:$B,))+INDEX(绊状态确认!K:K,MATCH($G282,绊状态确认!$B:$B,)))</f>
        <v>7715.3537015999991</v>
      </c>
      <c r="AN282" s="1106">
        <f>IF($P282="","N/A",(IF($P282=-1,INDEX('卡片raw data'!U:U,MATCH($D282,'卡片raw data'!$F:$F,)),0)+IF($P282=0,INDEX('卡片raw data'!X:X,MATCH($D282,'卡片raw data'!$F:$F,)),0)+IF($P282=1,INDEX('卡片raw data'!AA:AA,MATCH($D282,'卡片raw data'!$F:$F,)),0)+IF($P282=2,INDEX('卡片raw data'!AD:AD,MATCH($D282,'卡片raw data'!$F:$F,)),0)+IF($P282=3,INDEX('卡片raw data'!AG:AG,MATCH($D282,'卡片raw data'!$F:$F,)),0)+IF($P282=4,INDEX('卡片raw data'!AJ:AJ,MATCH($D282,'卡片raw data'!$F:$F,)),0)+IF($P282=5,INDEX('卡片raw data'!AM:AM,MATCH($D282,'卡片raw data'!$F:$F,)),0)+INDEX('卡片raw data'!U:U,MATCH($D282,'卡片raw data'!$F:$F,))*(IF($F282="UR",0.04,0.033))*(IF($F282="UR",INDEX(绊状态确认!$S:$S,MATCH($G282,绊状态确认!$B:$B,))/2-40)+IF($F282="SR",INDEX(绊状态确认!$R:$R,MATCH($G282,绊状态确认!$B:$B,))/4-15))+IF($F282="R",INDEX(绊状态确认!$Q:$Q,MATCH($G282,绊状态确认!$B:$B,))/6-40/6)))*(INDEX(绊状态确认!$H:$H,MATCH($G282,绊状态确认!$B:$B,))+INDEX(绊状态确认!L:L,MATCH($G282,绊状态确认!$B:$B,)))</f>
        <v>4695.2320607999991</v>
      </c>
      <c r="AO282" s="1107">
        <f t="shared" si="364"/>
        <v>1</v>
      </c>
      <c r="AP282" s="1131">
        <f>1+(INDEX(绊状态确认!$T:$T,MATCH($G282,绊状态确认!$B:$B,))+0.2)*$AO282</f>
        <v>1.3</v>
      </c>
      <c r="AQ282" s="1108">
        <f t="shared" si="365"/>
        <v>14693.164749099999</v>
      </c>
      <c r="AR282" s="1097">
        <f>(AM282*(1+$EX$9)+$EX$35)*(1+(INDEX(绊状态确认!$T:$T,MATCH($G282,绊状态确认!$B:$B,))+0.2)*AO282)*IF(J282=$FF$17,1+$FE$17,1)*IF(I282=$FF$14,1+$FE$14,1)</f>
        <v>13235.457802683999</v>
      </c>
      <c r="AS282" s="1097">
        <f>(AN282*(1+$EX$10)+$EX$36)*(1+(INDEX(绊状态确认!$T:$T,MATCH($G282,绊状态确认!$B:$B,))+0.2)*AO282)*IF(J282=$FF$17,1+$FE$17,1)*IF(I282=$FF$14,1+$FE$14,1)</f>
        <v>11075.371930895999</v>
      </c>
      <c r="AT282" s="1093">
        <f>IF(AND(INDEX('卡片raw data'!AK:AK,MATCH($D282,'卡片raw data'!$F:$F,))&lt;INDEX('卡片raw data'!AM:AM,MATCH($D282,'卡片raw data'!$F:$F,)),INDEX('卡片raw data'!AL:AL,MATCH($D282,'卡片raw data'!$F:$F,))&lt;INDEX('卡片raw data'!AM:AM,MATCH($D282,'卡片raw data'!$F:$F,))),1,0)</f>
        <v>0</v>
      </c>
      <c r="AU282" s="1098">
        <f>MIN(AT282*0.15+AS282*0.00003+INDEX(绊状态确认!M:M,MATCH($G282,绊状态确认!$B:$B,)),1)</f>
        <v>0.36226115792688002</v>
      </c>
      <c r="AV282" s="1109">
        <f>(INDEX(绊状态确认!$N:$N,MATCH($G282,绊状态确认!$B:$B,))+1.5)*$EW$21</f>
        <v>2.6599999999999997</v>
      </c>
      <c r="AW282" s="1101">
        <f t="shared" si="366"/>
        <v>12219.682767063969</v>
      </c>
      <c r="AX282" s="1097">
        <f t="shared" si="367"/>
        <v>1136.3626497168684</v>
      </c>
      <c r="AY282" s="1110">
        <f t="shared" si="368"/>
        <v>13356.045416780837</v>
      </c>
      <c r="AZ282" s="429">
        <f t="shared" si="369"/>
        <v>11100.636670759999</v>
      </c>
      <c r="BA282" s="431">
        <f t="shared" si="370"/>
        <v>13320.764004911998</v>
      </c>
      <c r="BB282" s="1097">
        <f>(AM282*(1+$FB$9)+$FB$35)*(1+(INDEX(绊状态确认!$T:$T,MATCH($G282,绊状态确认!$B:$B,))+0.2)*AO282)*IF(J282=$FF$17,1+$FE$17,1)*IF(I282=$FF$14,1+$FE$14,1)*(1+$FE$15)</f>
        <v>13235.457802683999</v>
      </c>
      <c r="BC282" s="1097">
        <f>(AN282*(1+$FB$10)+$FB$36)*(1+(INDEX(绊状态确认!$T:$T,MATCH($G282,绊状态确认!$B:$B,))+0.2)*AO282)*IF(J282=$FF$17,1+$FE$17,1)*IF(I282=$FF$14,1+$FE$14,1)*(1+$FE$15)</f>
        <v>11075.371930895999</v>
      </c>
      <c r="BD282" s="1104">
        <f>MIN(AT282*0.15+BC282*0.00003+INDEX(绊状态确认!M:M,MATCH($G282,绊状态确认!$B:$B,)),1)</f>
        <v>0.36226115792688002</v>
      </c>
      <c r="BE282" s="432">
        <f>(INDEX(绊状态确认!$N:$N,MATCH($G282,绊状态确认!$B:$B,))+1.5)</f>
        <v>1.9</v>
      </c>
      <c r="BF282" s="1139">
        <f t="array" ref="BF282">SUMPRODUCT(IF(AZ282*AP282*$FI$16:$FI$23*$FA$22&gt;=$FI$24,$FI$24,AZ282*AP282*$FI$16:$FI$23*$FA$22),$FJ$16:$FJ$23)</f>
        <v>22079.16633814164</v>
      </c>
      <c r="BG282" s="1125">
        <f t="array" ref="BG282">SUMPRODUCT(IF(BE282*AZ282*AP282*$FI$16:$FI$23*$FA$22&gt;=$FI$24,$FI$24,BE282*AZ282*AP282*$FI$16:$FI$23*$FA$22),$FJ$16:$FJ$23)</f>
        <v>41950.416042469122</v>
      </c>
      <c r="BH282" s="1110">
        <f t="shared" si="371"/>
        <v>9759.2494218284955</v>
      </c>
      <c r="BI282" s="1111">
        <f>IF(O282="vo",$EW$26/$EW$24*0.05,0)+IF(O282="sk",-$EW$26/$EW$24*(0.05-INDEX(绊状态确认!W:W,MATCH($G282,绊状态确认!$B:$B,)))+0.05*$EW$28,0)+IF(O282="sp",0.05*$EW$32*$EW$30*(1-$EW$33)-(0.05-INDEX(绊状态确认!V:V,MATCH($G282,绊状态确认!$B:$B,)))*$EW$28,0)+IF(O282="gd",-(0.05-INDEX(绊状态确认!X:X,MATCH($G282,绊状态确认!$B:$B,)))*$EW$32*$EW$30*(1-$EW$33),0)</f>
        <v>-585.00000000000011</v>
      </c>
      <c r="BJ282" s="1097">
        <f>IF(O282="vo",0.05*(1-$FI$26)*$FA$24,0)+IF(O282="sk",-(0.05-INDEX(绊状态确认!W:W,MATCH($G282,绊状态确认!$B:$B,)))*(1-$FI$26)*$FA$24+0.05*$FA$26,0)+IF(O282="sp",0.05*$FA$32*$FA$27*(1-$FA$33)/$FA$30+0.05*$FA$29/$FA$69*$FA$27*(1-$FA$33)-(0.05-INDEX(绊状态确认!V:V,MATCH($G282,绊状态确认!$B:$B,)))*$FA$26,0)+IF(O282="gd",-(0.05-INDEX(绊状态确认!X:X,MATCH($G282,绊状态确认!$B:$B,)))*$FA$32*$FA$27*(1-$FA$33)/$FA$30-(0.05-INDEX(绊状态确认!X:X,MATCH($G282,绊状态确认!$B:$B,)))*$FA$29/$FA$69*$FA$27*(1-$FA$33),0)</f>
        <v>-795.00000000000011</v>
      </c>
      <c r="BK282" s="1110">
        <f>IF(O282="vo",$EW$26/$EW$24*0.05+$EW$26*(-HP($EW$62,$EW$65,$EW$64)+HP($EW$62,$EW$65,(1.05-INDEX(绊状态确认!U:U,MATCH($G282,绊状态确认!$B:$B,)))*$EW$64)),0)+IF(O282="sk",-$EW$26/$EW$24*(0.05-INDEX(绊状态确认!W:W,MATCH($G282,绊状态确认!$B:$B,)))+0.05*$EW$29,0)+IF(O282="sp",0.05*$EW$32*$EW$30*(1-$EW$33)-(0.05-INDEX(绊状态确认!V:V,MATCH($G282,绊状态确认!$B:$B,)))*$EW$29,0)+IF(O282="gd",-(0.05-INDEX(绊状态确认!X:X,MATCH($G282,绊状态确认!$B:$B,)))*$EW$32*$EW$30*(1-$EW$33)+$EW$26*(-HP($EW$62,$EW$65,$EW$64)+HP($EW$62,$EW$65,0.95*$EW$64)),0)</f>
        <v>1009.5947725176144</v>
      </c>
      <c r="BL282" s="1111">
        <f t="shared" si="372"/>
        <v>-1083.3333333333333</v>
      </c>
      <c r="BM282" s="1110">
        <f t="shared" si="373"/>
        <v>-830.55555555555543</v>
      </c>
      <c r="BN282" s="1113">
        <f t="shared" si="374"/>
        <v>3</v>
      </c>
      <c r="BO282" s="1097">
        <f t="shared" si="375"/>
        <v>4507.7214871259994</v>
      </c>
      <c r="BP282" s="1100">
        <f t="shared" si="376"/>
        <v>221.34103209030098</v>
      </c>
      <c r="BQ282" s="1113" t="s">
        <v>753</v>
      </c>
      <c r="BR282" s="1124" t="s">
        <v>171</v>
      </c>
      <c r="BS282" s="1098">
        <f>IF($P282="","N/A",IF($P282=-1,INDEX('卡片raw data'!AX:AX,MATCH($D282,'卡片raw data'!$F:$F,)),0)+IF($L282="party卡",IF($P282=5,INDEX('卡片raw data'!BD:BD,MATCH($D282,'卡片raw data'!$F:$F,)),IF($P282&gt;=3,INDEX('卡片raw data'!BC:BC,MATCH($D282,'卡片raw data'!$F:$F,)),INDEX('卡片raw data'!BB:BB,MATCH($D282,'卡片raw data'!$F:$F,)))),IF(OR(AND($F282="UR",$P282=0),AND($F282="SR",$P282&gt;=0,$P282&lt;=2),AND($F282="R",$P282&gt;=0,$P282&lt;4)),INDEX('卡片raw data'!AZ:AZ,MATCH($D282,'卡片raw data'!$F:$F,)),0)+IF(OR(AND($F282="UR",$P282&gt;=1,$P282&lt;=4),AND($F282="SR",$P282&lt;=4,$P282&gt;=3),AND($F282="R",$P282=4)),INDEX('卡片raw data'!BA:BA,MATCH($D282,'卡片raw data'!$F:$F,)),0)+IF($P282=5,INDEX('卡片raw data'!BB:BB,MATCH($D282,'卡片raw data'!$F:$F,)),0)))</f>
        <v>3.2000000000000001E-2</v>
      </c>
      <c r="BT282" s="1101">
        <f t="shared" si="377"/>
        <v>0</v>
      </c>
      <c r="BU282" s="1097">
        <f t="shared" si="378"/>
        <v>0</v>
      </c>
      <c r="BV282" s="1097">
        <f t="shared" si="379"/>
        <v>0</v>
      </c>
      <c r="BW282" s="1112">
        <f t="shared" si="380"/>
        <v>1.498285714285714</v>
      </c>
      <c r="BX282" s="1100">
        <f t="shared" si="381"/>
        <v>117.00848980993118</v>
      </c>
      <c r="BY282" s="1110">
        <f t="shared" si="382"/>
        <v>117.00848980993118</v>
      </c>
      <c r="BZ282" s="1107" t="s">
        <v>569</v>
      </c>
      <c r="CA282" s="1124"/>
      <c r="CB282" s="1098">
        <f>IF($P282="","N/A",IF($P282=-1,INDEX('卡片raw data'!BE:BE,MATCH($D282,'卡片raw data'!$F:$F,)),0)+IF($L282="party卡",IF($P282=5,INDEX('卡片raw data'!BK:BK,MATCH($D282,'卡片raw data'!$F:$F,)),IF($P282&gt;=3,INDEX('卡片raw data'!BJ:BJ,MATCH($D282,'卡片raw data'!$F:$F,)),INDEX('卡片raw data'!BI:BI,MATCH($D282,'卡片raw data'!$F:$F,)))),IF(OR(AND($F282="UR",$P282=0),AND($F282="SR",$P282&gt;=0,$P282&lt;=2),AND($F282="R",$P282&gt;=0,$P282&lt;4)),INDEX('卡片raw data'!BG:BG,MATCH($D282,'卡片raw data'!$F:$F,)),0)+IF(OR(AND($F282="UR",$P282&gt;=1,$P282&lt;=4),AND($F282="SR",$P282&lt;=4,$P282&gt;=3),AND($F282="R",$P282=4)),INDEX('卡片raw data'!BH:BH,MATCH($D282,'卡片raw data'!$F:$F,)),0)+IF($P282=5,INDEX('卡片raw data'!BI:BI,MATCH($D282,'卡片raw data'!$F:$F,)),0)))</f>
        <v>0</v>
      </c>
      <c r="CC282" s="1101">
        <f t="shared" si="383"/>
        <v>0</v>
      </c>
      <c r="CD282" s="1097">
        <f>IF(BZ282="ap",CB282*(1-$FI$26)*$FB$5/$FB$11*(+IF(CA282="全员",$FA$24,0)+IF(CA282="同作战",$FA$24,0)+IF(CA282="仲间",$FA$24*2/3,0)+IF(CA282="同属性",$FA$24*$FA$37/3,0)+IF(CA282="同年级",$FA$24*$FA$40/3,0)+IF(CA282="同学校",$FA$24*$FA$43/3,0)+IF(CA282="同小队",$FA$24*$FA$46/3,0)+IF(CA282="同type",$FA$24*INDEX($FB$49:$FB$52,MATCH(X282,$FA$49:$FA$52,))/3,0)+IF(CA282="自身",#REF!/3,0)),0)+IF(BZ282="te",CB282*(1-$FI$27)*($FA$20-1)*$FB$7/$FB$13*(+IF(CA282="全员",$FA$19*$FA$24/(1+($FA$20-1)*$FA$19),0)+IF(CA282="同作战",$FA$19*$FA$24/(1+($FA$20-1)*$FA$19),0)+IF(CA282="仲间",$FA$19*$FA$24*2/3/(1+($FA$20-1)*$FA$19),0)+IF(CA282="同属性",$FA$19*$FA$24*$FA$37/3/(1+($FA$20-1)*$FA$19),0)+IF(CA282="同年级",$FA$19*$FA$24*$FA$40/3/(1+($FA$20-1)*$FA$19),0)+IF(CA282="同学校",$FA$19*$FA$24*$FA$43/3/(1+($FA$20-1)*$FA$19),0)+IF(CA282="同小队",$FA$19*$FA$24*$FA$46/3/(1+($FA$20-1)*$FA$19),0)+IF(CA282="同type",$FA$19*$FA$24*INDEX($FB$49:$FB$52,MATCH(X282,$FA$49:$FA$52,))/3/(1+($FA$20-1)*$FA$19),0)+IF(CA282="自身",$FA$19*#REF!/3/(1+(BH282-1)*$BD282),0)),0)</f>
        <v>0</v>
      </c>
      <c r="CE282" s="1097">
        <f t="shared" si="384"/>
        <v>0</v>
      </c>
      <c r="CF282" s="1112">
        <f t="shared" si="385"/>
        <v>0</v>
      </c>
      <c r="CG282" s="1100">
        <f t="shared" si="386"/>
        <v>0</v>
      </c>
      <c r="CH282" s="1110">
        <f t="shared" si="387"/>
        <v>0</v>
      </c>
      <c r="CI282" s="1113" t="s">
        <v>764</v>
      </c>
      <c r="CJ282" s="1114">
        <v>1</v>
      </c>
      <c r="CK282" s="1115" t="s">
        <v>755</v>
      </c>
      <c r="CL282" s="1115" t="s">
        <v>1944</v>
      </c>
      <c r="CM282" s="1119">
        <v>0.2</v>
      </c>
      <c r="CN282" s="1115"/>
      <c r="CO282" s="1092"/>
      <c r="CP282" s="1116">
        <f t="shared" si="388"/>
        <v>0</v>
      </c>
      <c r="CQ282" s="1116">
        <f t="shared" si="389"/>
        <v>0</v>
      </c>
      <c r="CR282" s="1116">
        <f t="shared" si="390"/>
        <v>0</v>
      </c>
      <c r="CS282" s="1118">
        <f t="shared" si="391"/>
        <v>0</v>
      </c>
      <c r="CT282" s="1109">
        <f t="shared" si="392"/>
        <v>0</v>
      </c>
      <c r="CU282" s="1101">
        <f t="shared" si="393"/>
        <v>0</v>
      </c>
      <c r="CV282" s="1108">
        <f t="shared" si="394"/>
        <v>0</v>
      </c>
      <c r="CW282" s="1097">
        <f t="shared" si="395"/>
        <v>0</v>
      </c>
      <c r="CX282" s="1097">
        <f t="shared" si="396"/>
        <v>0</v>
      </c>
      <c r="CY282" s="1110">
        <f t="shared" si="397"/>
        <v>0</v>
      </c>
      <c r="CZ282" s="437"/>
      <c r="DA282" s="438"/>
      <c r="DB282" s="439" t="s">
        <v>569</v>
      </c>
      <c r="DC282" s="439"/>
      <c r="DD282" s="443"/>
      <c r="DE282" s="411"/>
      <c r="DF282" s="411"/>
      <c r="DG282" s="1116">
        <f t="shared" si="398"/>
        <v>0</v>
      </c>
      <c r="DH282" s="1116">
        <f t="shared" si="399"/>
        <v>0</v>
      </c>
      <c r="DI282" s="1116">
        <f t="shared" si="400"/>
        <v>0</v>
      </c>
      <c r="DJ282" s="442">
        <f t="shared" si="401"/>
        <v>0</v>
      </c>
      <c r="DK282" s="1109">
        <f t="shared" si="402"/>
        <v>0</v>
      </c>
      <c r="DL282" s="1101">
        <f t="shared" si="403"/>
        <v>0</v>
      </c>
      <c r="DM282" s="1097">
        <f t="shared" si="404"/>
        <v>0</v>
      </c>
      <c r="DN282" s="1097">
        <f t="shared" si="405"/>
        <v>0</v>
      </c>
      <c r="DO282" s="1097">
        <f t="shared" si="406"/>
        <v>0</v>
      </c>
      <c r="DP282" s="1110">
        <f t="shared" si="407"/>
        <v>0</v>
      </c>
      <c r="DQ282" s="1113" t="s">
        <v>556</v>
      </c>
      <c r="DR282" s="1120">
        <f t="shared" si="408"/>
        <v>0.3</v>
      </c>
      <c r="DS282" s="1124">
        <v>10</v>
      </c>
      <c r="DT282" s="1093" t="s">
        <v>161</v>
      </c>
      <c r="DU282" s="1093" t="s">
        <v>544</v>
      </c>
      <c r="DV282" s="1098">
        <f>IF($P282="","N/A",IF(P282=-1,INDEX('卡片raw data'!AN:AN,MATCH(D282,'卡片raw data'!$F:$F,)),0)+IF(AND(L282&lt;&gt;"party卡",P282&lt;=2,P282&gt;=0),INDEX('卡片raw data'!AP:AP,MATCH(D282,'卡片raw data'!$F:$F,)),0)+IF(OR(AND(L282="party卡",P282&lt;=1),AND(P282&lt;=4,L282&lt;&gt;"party卡",P282&gt;=3)),INDEX('卡片raw data'!AQ:AQ,MATCH(D282,'卡片raw data'!$F:$F,)),0)+IF(OR(P282=5,AND(L282="party卡",P282&gt;=2)),INDEX('卡片raw data'!AR:AR,MATCH(D282,'卡片raw data'!$F:$F,)),0))</f>
        <v>0.1</v>
      </c>
      <c r="DW282" s="1098">
        <f t="shared" si="409"/>
        <v>0.3</v>
      </c>
      <c r="DX282" s="1098">
        <f t="shared" si="410"/>
        <v>0.3</v>
      </c>
      <c r="DY282" s="1098">
        <f t="shared" si="411"/>
        <v>0.1</v>
      </c>
      <c r="DZ282" s="1098">
        <f t="shared" si="412"/>
        <v>8.6500000000000007E-2</v>
      </c>
      <c r="EA282" s="1098">
        <f t="shared" si="413"/>
        <v>0</v>
      </c>
      <c r="EB282" s="1121">
        <f t="shared" si="414"/>
        <v>0</v>
      </c>
      <c r="EC282" s="1101">
        <f t="shared" si="415"/>
        <v>0</v>
      </c>
      <c r="ED282" s="1097">
        <f t="shared" si="416"/>
        <v>0</v>
      </c>
      <c r="EE282" s="1110">
        <f t="shared" si="417"/>
        <v>4325.6052344862483</v>
      </c>
      <c r="EF282" s="1092" t="s">
        <v>569</v>
      </c>
      <c r="EG282" s="1120">
        <f t="shared" si="418"/>
        <v>0.3</v>
      </c>
      <c r="EH282" s="1124"/>
      <c r="EI282" s="1093"/>
      <c r="EJ282" s="1093"/>
      <c r="EK282" s="1097">
        <f>IF($P282="","N/A",IF(P282=-1,INDEX('卡片raw data'!AS:AS,MATCH(D282,'卡片raw data'!$F:$F,)),0)+IF(AND(L282&lt;&gt;"party卡",P282&lt;=2,P282&gt;=0),INDEX('卡片raw data'!AU:AU,MATCH(D282,'卡片raw data'!$F:$F,)),0)+IF(OR(AND(L282="party卡",P282&lt;=1),AND(P282&lt;=4,L282&lt;&gt;"party卡",P282&gt;=3)),INDEX('卡片raw data'!AV:AV,MATCH(D282,'卡片raw data'!$F:$F,)),0)+IF(OR(P282=5,AND(L282="party卡",P282&gt;=2)),INDEX('卡片raw data'!AW:AW,MATCH(D282,'卡片raw data'!$F:$F,)),0))</f>
        <v>0</v>
      </c>
      <c r="EL282" s="1098">
        <f t="shared" si="419"/>
        <v>0.3</v>
      </c>
      <c r="EM282" s="1098">
        <f t="shared" si="420"/>
        <v>0.3</v>
      </c>
      <c r="EN282" s="1125">
        <f t="shared" si="421"/>
        <v>0</v>
      </c>
      <c r="EO282" s="1125">
        <f t="shared" si="422"/>
        <v>0</v>
      </c>
      <c r="EP282" s="1098">
        <f t="shared" si="423"/>
        <v>0</v>
      </c>
      <c r="EQ282" s="1121">
        <f t="shared" si="424"/>
        <v>0</v>
      </c>
      <c r="ER282" s="1101">
        <f t="shared" si="425"/>
        <v>0</v>
      </c>
      <c r="ES282" s="1097">
        <f t="shared" si="426"/>
        <v>0</v>
      </c>
      <c r="ET282" s="1122">
        <f t="shared" si="427"/>
        <v>0</v>
      </c>
    </row>
    <row r="283" spans="2:150" ht="16.5" customHeight="1">
      <c r="B283" s="1123" t="str">
        <f>INDEX('卡片raw data'!B:B,MATCH($D283,'卡片raw data'!$F:$F,))</f>
        <v>fes1雫</v>
      </c>
      <c r="C283" s="449" t="s">
        <v>659</v>
      </c>
      <c r="D283" s="408">
        <v>280</v>
      </c>
      <c r="E283" s="1090">
        <v>202033001</v>
      </c>
      <c r="F283" s="1090" t="str">
        <f>INDEX('卡片raw data'!C:C,MATCH($D283,'卡片raw data'!$F:$F,))</f>
        <v>UR</v>
      </c>
      <c r="G283" s="1094" t="s">
        <v>44</v>
      </c>
      <c r="H283" s="411">
        <f>IFERROR(INDEX(绊状态确认!C:C,MATCH($G283,绊状态确认!$B:$B,)),"")</f>
        <v>203</v>
      </c>
      <c r="I283" s="450" t="str">
        <f>IFERROR(INDEX(绊状态确认!D:D,MATCH($G283,绊状态确认!$B:$B,)),"")</f>
        <v>虹</v>
      </c>
      <c r="J283" s="450" t="str">
        <f>IFERROR(INDEX(绊状态确认!E:E,MATCH($G283,绊状态确认!$B:$B,)),"")</f>
        <v>1年级</v>
      </c>
      <c r="K283" s="451" t="str">
        <f>IFERROR(INDEX(绊状态确认!F:F,MATCH($G283,绊状态确认!$B:$B,)),"")</f>
        <v>A·ZU·NA</v>
      </c>
      <c r="L283" s="1094" t="str">
        <f>INDEX('卡片raw data'!E:E,MATCH($D283,'卡片raw data'!$F:$F,))</f>
        <v>fes卡</v>
      </c>
      <c r="M283" s="415">
        <v>44040</v>
      </c>
      <c r="N283" s="416">
        <v>20.5</v>
      </c>
      <c r="O283" s="1091" t="str">
        <f>INDEX('卡片raw data'!D:D,MATCH($D283,'卡片raw data'!$F:$F,))</f>
        <v>gd</v>
      </c>
      <c r="P283" s="417">
        <v>5</v>
      </c>
      <c r="Q283" s="1095">
        <f t="shared" si="343"/>
        <v>31117.401742706235</v>
      </c>
      <c r="R283" s="1096">
        <f t="shared" si="344"/>
        <v>0.36099999999999999</v>
      </c>
      <c r="S283" s="1097">
        <f t="shared" si="345"/>
        <v>16287.155224941198</v>
      </c>
      <c r="T283" s="1098">
        <f t="shared" si="346"/>
        <v>0.81399999999999995</v>
      </c>
      <c r="U283" s="1099">
        <f t="shared" si="347"/>
        <v>1196.3424520868571</v>
      </c>
      <c r="V283" s="1100">
        <f t="shared" si="348"/>
        <v>83628.358211793544</v>
      </c>
      <c r="W283" s="1101">
        <f t="shared" si="349"/>
        <v>6520.2313093991288</v>
      </c>
      <c r="X283" s="1096">
        <f t="shared" si="350"/>
        <v>7.4999999999999997E-2</v>
      </c>
      <c r="Y283" s="1097">
        <f t="shared" si="351"/>
        <v>2481.3306069459413</v>
      </c>
      <c r="Z283" s="1102">
        <f t="shared" si="352"/>
        <v>30.221744502857145</v>
      </c>
      <c r="AA283" s="1103">
        <f t="shared" si="353"/>
        <v>9001.5619163450701</v>
      </c>
      <c r="AB283" s="1101">
        <f t="shared" si="354"/>
        <v>6520.2313093991288</v>
      </c>
      <c r="AC283" s="1104">
        <f t="shared" si="355"/>
        <v>7.4999999999999997E-2</v>
      </c>
      <c r="AD283" s="1105">
        <f t="shared" si="356"/>
        <v>0</v>
      </c>
      <c r="AE283" s="1128">
        <f t="shared" si="357"/>
        <v>-6.25</v>
      </c>
      <c r="AF283" s="1130">
        <f t="shared" si="358"/>
        <v>15820.082536959999</v>
      </c>
      <c r="AG283" s="420">
        <f t="shared" si="359"/>
        <v>88225.513464000018</v>
      </c>
      <c r="AH283" s="420">
        <f t="shared" si="360"/>
        <v>5.5768048780960093</v>
      </c>
      <c r="AI283" s="1097">
        <f t="shared" si="361"/>
        <v>118905.95219192715</v>
      </c>
      <c r="AJ283" s="420">
        <f t="shared" si="362"/>
        <v>83628.358211793544</v>
      </c>
      <c r="AK283" s="518">
        <f t="shared" si="363"/>
        <v>35277.593980133606</v>
      </c>
      <c r="AL283" s="1106">
        <f>IF($P283="","N/A",(IF($P283=-1,INDEX('卡片raw data'!S:S,MATCH($D283,'卡片raw data'!$F:$F,)),0)+IF($P283=0,INDEX('卡片raw data'!V:V,MATCH($D283,'卡片raw data'!$F:$F,)),0)+IF($P283=1,INDEX('卡片raw data'!Y:Y,MATCH($D283,'卡片raw data'!$F:$F,)),0)+IF($P283=2,INDEX('卡片raw data'!AB:AB,MATCH($D283,'卡片raw data'!$F:$F,)),0)+IF($P283=3,INDEX('卡片raw data'!AE:AE,MATCH($D283,'卡片raw data'!$F:$F,)),0)+IF($P283=4,INDEX('卡片raw data'!AH:AH,MATCH($D283,'卡片raw data'!$F:$F,)),0)+IF($P283=5,INDEX('卡片raw data'!AK:AK,MATCH($D283,'卡片raw data'!$F:$F,)),0)+INDEX('卡片raw data'!S:S,MATCH($D283,'卡片raw data'!$F:$F,))*(IF($F283="UR",0.04,0.033))*(IF($F283="UR",INDEX(绊状态确认!$S:$S,MATCH($G283,绊状态确认!$B:$B,))/2-40)+IF($F283="SR",INDEX(绊状态确认!$R:$R,MATCH($G283,绊状态确认!$B:$B,))/4-15))+IF($F283="R",INDEX(绊状态确认!$Q:$Q,MATCH($G283,绊状态确认!$B:$B,))/6-40/6)))*(INDEX(绊状态确认!$H:$H,MATCH($G283,绊状态确认!$B:$B,))+INDEX(绊状态确认!J:J,MATCH($G283,绊状态确认!$B:$B,)))</f>
        <v>7800.2495999999992</v>
      </c>
      <c r="AM283" s="1106">
        <f>IF($P283="","N/A",(IF($P283=-1,INDEX('卡片raw data'!T:T,MATCH($D283,'卡片raw data'!$F:$F,)),0)+IF($P283=0,INDEX('卡片raw data'!W:W,MATCH($D283,'卡片raw data'!$F:$F,)),0)+IF($P283=1,INDEX('卡片raw data'!Z:Z,MATCH($D283,'卡片raw data'!$F:$F,)),0)+IF($P283=2,INDEX('卡片raw data'!AC:AC,MATCH($D283,'卡片raw data'!$F:$F,)),0)+IF($P283=3,INDEX('卡片raw data'!AF:AF,MATCH($D283,'卡片raw data'!$F:$F,)),0)+IF($P283=4,INDEX('卡片raw data'!AI:AI,MATCH($D283,'卡片raw data'!$F:$F,)),0)+IF($P283=5,INDEX('卡片raw data'!AL:AL,MATCH($D283,'卡片raw data'!$F:$F,)),0)+INDEX('卡片raw data'!T:T,MATCH($D283,'卡片raw data'!$F:$F,))*(IF($F283="UR",0.04,0.033))*(IF($F283="UR",INDEX(绊状态确认!$S:$S,MATCH($G283,绊状态确认!$B:$B,))/2-40)+IF($F283="SR",INDEX(绊状态确认!$R:$R,MATCH($G283,绊状态确认!$B:$B,))/4-15))+IF($F283="R",INDEX(绊状态确认!$Q:$Q,MATCH($G283,绊状态确认!$B:$B,))/6-40/6)))*(INDEX(绊状态确认!$H:$H,MATCH($G283,绊状态确认!$B:$B,))+INDEX(绊状态确认!K:K,MATCH($G283,绊状态确认!$B:$B,)))</f>
        <v>17018.7264</v>
      </c>
      <c r="AN283" s="1106">
        <f>IF($P283="","N/A",(IF($P283=-1,INDEX('卡片raw data'!U:U,MATCH($D283,'卡片raw data'!$F:$F,)),0)+IF($P283=0,INDEX('卡片raw data'!X:X,MATCH($D283,'卡片raw data'!$F:$F,)),0)+IF($P283=1,INDEX('卡片raw data'!AA:AA,MATCH($D283,'卡片raw data'!$F:$F,)),0)+IF($P283=2,INDEX('卡片raw data'!AD:AD,MATCH($D283,'卡片raw data'!$F:$F,)),0)+IF($P283=3,INDEX('卡片raw data'!AG:AG,MATCH($D283,'卡片raw data'!$F:$F,)),0)+IF($P283=4,INDEX('卡片raw data'!AJ:AJ,MATCH($D283,'卡片raw data'!$F:$F,)),0)+IF($P283=5,INDEX('卡片raw data'!AM:AM,MATCH($D283,'卡片raw data'!$F:$F,)),0)+INDEX('卡片raw data'!U:U,MATCH($D283,'卡片raw data'!$F:$F,))*(IF($F283="UR",0.04,0.033))*(IF($F283="UR",INDEX(绊状态确认!$S:$S,MATCH($G283,绊状态确认!$B:$B,))/2-40)+IF($F283="SR",INDEX(绊状态确认!$R:$R,MATCH($G283,绊状态确认!$B:$B,))/4-15))+IF($F283="R",INDEX(绊状态确认!$Q:$Q,MATCH($G283,绊状态确认!$B:$B,))/6-40/6)))*(INDEX(绊状态确认!$H:$H,MATCH($G283,绊状态确认!$B:$B,))+INDEX(绊状态确认!L:L,MATCH($G283,绊状态确认!$B:$B,)))</f>
        <v>10636.703999999998</v>
      </c>
      <c r="AO283" s="1107">
        <f t="shared" si="364"/>
        <v>1</v>
      </c>
      <c r="AP283" s="1131">
        <f>1+(INDEX(绊状态确认!$T:$T,MATCH($G283,绊状态确认!$B:$B,))+0.2)*$AO283</f>
        <v>1.3</v>
      </c>
      <c r="AQ283" s="1108">
        <f t="shared" si="365"/>
        <v>23725.655200000001</v>
      </c>
      <c r="AR283" s="1097">
        <f>(AM283*(1+$EX$9)+$EX$35)*(1+(INDEX(绊状态确认!$T:$T,MATCH($G283,绊状态确认!$B:$B,))+0.2)*AO283)*IF(J283=$FF$17,1+$FE$17,1)*IF(I283=$FF$14,1+$FE$14,1)*(1+$FE$15)</f>
        <v>25934.561536000001</v>
      </c>
      <c r="AS283" s="1097">
        <f>(AN283*(1+$EX$10)+$EX$36)*(1+(INDEX(绊状态确认!$T:$T,MATCH($G283,绊状态确认!$B:$B,))+0.2)*AO283)*IF(J283=$FF$17,1+$FE$17,1)*IF(I283=$FF$14,1+$FE$14,1)*(1+$FE$15)</f>
        <v>19957.872479999995</v>
      </c>
      <c r="AT283" s="1093">
        <f>IF(AND(INDEX('卡片raw data'!AK:AK,MATCH($D283,'卡片raw data'!$F:$F,))&lt;INDEX('卡片raw data'!AM:AM,MATCH($D283,'卡片raw data'!$F:$F,)),INDEX('卡片raw data'!AL:AL,MATCH($D283,'卡片raw data'!$F:$F,))&lt;INDEX('卡片raw data'!AM:AM,MATCH($D283,'卡片raw data'!$F:$F,))),1,0)</f>
        <v>0</v>
      </c>
      <c r="AU283" s="1098">
        <f>MIN(AT283*0.15+AS283*0.00003+INDEX(绊状态确认!M:M,MATCH($G283,绊状态确认!$B:$B,)),1)</f>
        <v>0.62873617439999985</v>
      </c>
      <c r="AV283" s="1109">
        <f>(INDEX(绊状态确认!$N:$N,MATCH($G283,绊状态确认!$B:$B,))+1.5)*$EW$21</f>
        <v>2.6599999999999997</v>
      </c>
      <c r="AW283" s="1101">
        <f t="shared" si="366"/>
        <v>25182.170433307107</v>
      </c>
      <c r="AX283" s="1097">
        <f t="shared" si="367"/>
        <v>2290.8339657005567</v>
      </c>
      <c r="AY283" s="1110">
        <f t="shared" si="368"/>
        <v>27473.004399007663</v>
      </c>
      <c r="AZ283" s="429">
        <f t="shared" si="369"/>
        <v>17810.486720000001</v>
      </c>
      <c r="BA283" s="431">
        <f t="shared" si="370"/>
        <v>21372.584063999999</v>
      </c>
      <c r="BB283" s="1097">
        <f>(AM283*(1+$FB$9)+$FB$35)*(1+(INDEX(绊状态确认!$T:$T,MATCH($G283,绊状态确认!$B:$B,))+0.2)*AO283)*IF(J283=$FF$17,1+$FE$17,1)*IF(I283=$FF$14,1+$FE$14,1)*(1+$FE$15)</f>
        <v>25934.561536000001</v>
      </c>
      <c r="BC283" s="1097">
        <f>(AN283*(1+$FB$10)+$FB$36)*(1+(INDEX(绊状态确认!$T:$T,MATCH($G283,绊状态确认!$B:$B,))+0.2)*AO283)*IF(J283=$FF$17,1+$FE$17,1)*IF(I283=$FF$14,1+$FE$14,1)*(1+$FE$15)</f>
        <v>19957.872479999995</v>
      </c>
      <c r="BD283" s="1104">
        <f>MIN(AT283*0.15+BC283*0.00003+INDEX(绊状态确认!M:M,MATCH($G283,绊状态确认!$B:$B,)),1)</f>
        <v>0.62873617439999985</v>
      </c>
      <c r="BE283" s="432">
        <f>(INDEX(绊状态确认!$N:$N,MATCH($G283,绊状态确认!$B:$B,))+1.5)</f>
        <v>1.9</v>
      </c>
      <c r="BF283" s="1139">
        <f t="array" ref="BF283">SUMPRODUCT(IF(AZ283*AP283*$FI$16:$FI$23*$FA$22&gt;=$FI$24,$FI$24,AZ283*AP283*$FI$16:$FI$23*$FA$22),$FJ$16:$FJ$23)</f>
        <v>35425.058086080011</v>
      </c>
      <c r="BG283" s="1125">
        <f t="array" ref="BG283">SUMPRODUCT(IF(BE283*AZ283*AP283*$FI$16:$FI$23*$FA$22&gt;=$FI$24,$FI$24,BE283*AZ283*AP283*$FI$16:$FI$23*$FA$22),$FJ$16:$FJ$23)</f>
        <v>58997.9755496</v>
      </c>
      <c r="BH283" s="1110">
        <f t="shared" si="371"/>
        <v>16748.734677180171</v>
      </c>
      <c r="BI283" s="1111">
        <f>IF(O283="vo",$EW$26/$EW$24*0.05,0)+IF(O283="sk",-$EW$26/$EW$24*(0.05-INDEX(绊状态确认!W:W,MATCH($G283,绊状态确认!$B:$B,)))+0.05*$EW$28,0)+IF(O283="sp",0.05*$EW$32*$EW$30*(1-$EW$33)-(0.05-INDEX(绊状态确认!V:V,MATCH($G283,绊状态确认!$B:$B,)))*$EW$28,0)+IF(O283="gd",-(0.05-INDEX(绊状态确认!X:X,MATCH($G283,绊状态确认!$B:$B,)))*$EW$32*$EW$30*(1-$EW$33),0)</f>
        <v>-585.00000000000011</v>
      </c>
      <c r="BJ283" s="1097">
        <f>IF(O283="vo",0.05*(1-$FI$26)*$FA$24,0)+IF(O283="sk",-(0.05-INDEX(绊状态确认!W:W,MATCH($G283,绊状态确认!$B:$B,)))*(1-$FI$26)*$FA$24+0.05*$FA$26,0)+IF(O283="sp",0.05*$FA$32*$FA$27*(1-$FA$33)/$FA$30+0.05*$FA$29/$FA$69*$FA$27*(1-$FA$33)-(0.05-INDEX(绊状态确认!V:V,MATCH($G283,绊状态确认!$B:$B,)))*$FA$26,0)+IF(O283="gd",-(0.05-INDEX(绊状态确认!X:X,MATCH($G283,绊状态确认!$B:$B,)))*$FA$32*$FA$27*(1-$FA$33)/$FA$30-(0.05-INDEX(绊状态确认!X:X,MATCH($G283,绊状态确认!$B:$B,)))*$FA$29/$FA$69*$FA$27*(1-$FA$33),0)</f>
        <v>-795.00000000000011</v>
      </c>
      <c r="BK283" s="1110">
        <f>IF(O283="vo",$EW$26/$EW$24*0.05+$EW$26*(-HP($EW$62,$EW$65,$EW$64)+HP($EW$62,$EW$65,(1.05-INDEX(绊状态确认!U:U,MATCH($G283,绊状态确认!$B:$B,)))*$EW$64)),0)+IF(O283="sk",-$EW$26/$EW$24*(0.05-INDEX(绊状态确认!W:W,MATCH($G283,绊状态确认!$B:$B,)))+0.05*$EW$29,0)+IF(O283="sp",0.05*$EW$32*$EW$30*(1-$EW$33)-(0.05-INDEX(绊状态确认!V:V,MATCH($G283,绊状态确认!$B:$B,)))*$EW$29,0)+IF(O283="gd",-(0.05-INDEX(绊状态确认!X:X,MATCH($G283,绊状态确认!$B:$B,)))*$EW$32*$EW$30*(1-$EW$33)+$EW$26*(-HP($EW$62,$EW$65,$EW$64)+HP($EW$62,$EW$65,0.95*$EW$64)),0)</f>
        <v>1009.5947725176144</v>
      </c>
      <c r="BL283" s="1111">
        <f t="shared" si="372"/>
        <v>0</v>
      </c>
      <c r="BM283" s="1110">
        <f t="shared" si="373"/>
        <v>0</v>
      </c>
      <c r="BN283" s="1113">
        <f t="shared" si="374"/>
        <v>4</v>
      </c>
      <c r="BO283" s="1097">
        <f t="shared" si="375"/>
        <v>6010.2953161679998</v>
      </c>
      <c r="BP283" s="1100">
        <f t="shared" si="376"/>
        <v>295.12137612040135</v>
      </c>
      <c r="BQ283" s="1113" t="s">
        <v>133</v>
      </c>
      <c r="BR283" s="1124" t="s">
        <v>171</v>
      </c>
      <c r="BS283" s="1098">
        <f>IF($P283="","N/A",IF($P283=-1,INDEX('卡片raw data'!AX:AX,MATCH($D283,'卡片raw data'!$F:$F,)),0)+IF($L283="party卡",IF($P283=5,INDEX('卡片raw data'!BD:BD,MATCH($D283,'卡片raw data'!$F:$F,)),IF($P283&gt;=3,INDEX('卡片raw data'!BC:BC,MATCH($D283,'卡片raw data'!$F:$F,)),INDEX('卡片raw data'!BB:BB,MATCH($D283,'卡片raw data'!$F:$F,)))),IF(OR(AND($F283="UR",$P283=0),AND($F283="SR",$P283&gt;=0,$P283&lt;=2),AND($F283="R",$P283&gt;=0,$P283&lt;4)),INDEX('卡片raw data'!AZ:AZ,MATCH($D283,'卡片raw data'!$F:$F,)),0)+IF(OR(AND($F283="UR",$P283&gt;=1,$P283&lt;=4),AND($F283="SR",$P283&lt;=4,$P283&gt;=3),AND($F283="R",$P283=4)),INDEX('卡片raw data'!BA:BA,MATCH($D283,'卡片raw data'!$F:$F,)),0)+IF($P283=5,INDEX('卡片raw data'!BB:BB,MATCH($D283,'卡片raw data'!$F:$F,)),0)))</f>
        <v>5.1999999999999998E-2</v>
      </c>
      <c r="BT283" s="1101">
        <f t="shared" si="377"/>
        <v>0</v>
      </c>
      <c r="BU283" s="1097">
        <f t="shared" si="378"/>
        <v>0</v>
      </c>
      <c r="BV283" s="1097">
        <f t="shared" si="379"/>
        <v>0</v>
      </c>
      <c r="BW283" s="1112">
        <f t="shared" si="380"/>
        <v>2.4347142857142861</v>
      </c>
      <c r="BX283" s="1100">
        <f t="shared" si="381"/>
        <v>190.49664124538464</v>
      </c>
      <c r="BY283" s="1110">
        <f t="shared" si="382"/>
        <v>190.49664124538464</v>
      </c>
      <c r="BZ283" s="1107" t="s">
        <v>569</v>
      </c>
      <c r="CA283" s="1124"/>
      <c r="CB283" s="1098">
        <f>IF($P283="","N/A",IF($P283=-1,INDEX('卡片raw data'!BE:BE,MATCH($D283,'卡片raw data'!$F:$F,)),0)+IF($L283="party卡",IF($P283=5,INDEX('卡片raw data'!BK:BK,MATCH($D283,'卡片raw data'!$F:$F,)),IF($P283&gt;=3,INDEX('卡片raw data'!BJ:BJ,MATCH($D283,'卡片raw data'!$F:$F,)),INDEX('卡片raw data'!BI:BI,MATCH($D283,'卡片raw data'!$F:$F,)))),IF(OR(AND($F283="UR",$P283=0),AND($F283="SR",$P283&gt;=0,$P283&lt;=2),AND($F283="R",$P283&gt;=0,$P283&lt;4)),INDEX('卡片raw data'!BG:BG,MATCH($D283,'卡片raw data'!$F:$F,)),0)+IF(OR(AND($F283="UR",$P283&gt;=1,$P283&lt;=4),AND($F283="SR",$P283&lt;=4,$P283&gt;=3),AND($F283="R",$P283=4)),INDEX('卡片raw data'!BH:BH,MATCH($D283,'卡片raw data'!$F:$F,)),0)+IF($P283=5,INDEX('卡片raw data'!BI:BI,MATCH($D283,'卡片raw data'!$F:$F,)),0)))</f>
        <v>0</v>
      </c>
      <c r="CC283" s="1101">
        <f t="shared" si="383"/>
        <v>0</v>
      </c>
      <c r="CD283" s="1097">
        <f>IF(BZ283="ap",CB283*(1-$FI$26)*$FB$5/$FB$11*(+IF(CA283="全员",$FA$24,0)+IF(CA283="同作战",$FA$24,0)+IF(CA283="仲间",$FA$24*2/3,0)+IF(CA283="同属性",$FA$24*$FA$37/3,0)+IF(CA283="同年级",$FA$24*$FA$40/3,0)+IF(CA283="同学校",$FA$24*$FA$43/3,0)+IF(CA283="同小队",$FA$24*$FA$46/3,0)+IF(CA283="同type",$FA$24*INDEX($FB$49:$FB$52,MATCH(X283,$FA$49:$FA$52,))/3,0)+IF(CA283="自身",#REF!/3,0)),0)+IF(BZ283="te",CB283*(1-$FI$27)*($FA$20-1)*$FB$7/$FB$13*(+IF(CA283="全员",$FA$19*$FA$24/(1+($FA$20-1)*$FA$19),0)+IF(CA283="同作战",$FA$19*$FA$24/(1+($FA$20-1)*$FA$19),0)+IF(CA283="仲间",$FA$19*$FA$24*2/3/(1+($FA$20-1)*$FA$19),0)+IF(CA283="同属性",$FA$19*$FA$24*$FA$37/3/(1+($FA$20-1)*$FA$19),0)+IF(CA283="同年级",$FA$19*$FA$24*$FA$40/3/(1+($FA$20-1)*$FA$19),0)+IF(CA283="同学校",$FA$19*$FA$24*$FA$43/3/(1+($FA$20-1)*$FA$19),0)+IF(CA283="同小队",$FA$19*$FA$24*$FA$46/3/(1+($FA$20-1)*$FA$19),0)+IF(CA283="同type",$FA$19*$FA$24*INDEX($FB$49:$FB$52,MATCH(X283,$FA$49:$FA$52,))/3/(1+($FA$20-1)*$FA$19),0)+IF(CA283="自身",$FA$19*#REF!/3/(1+(BH283-1)*$BD283),0)),0)</f>
        <v>0</v>
      </c>
      <c r="CE283" s="1097">
        <f t="shared" si="384"/>
        <v>0</v>
      </c>
      <c r="CF283" s="1112">
        <f t="shared" si="385"/>
        <v>0</v>
      </c>
      <c r="CG283" s="1100">
        <f t="shared" si="386"/>
        <v>0</v>
      </c>
      <c r="CH283" s="1110">
        <f t="shared" si="387"/>
        <v>0</v>
      </c>
      <c r="CI283" s="1113" t="s">
        <v>164</v>
      </c>
      <c r="CJ283" s="1114">
        <v>1</v>
      </c>
      <c r="CK283" s="1115" t="s">
        <v>771</v>
      </c>
      <c r="CL283" s="1115" t="s">
        <v>161</v>
      </c>
      <c r="CM283" s="1119">
        <v>3.5000000000000003E-2</v>
      </c>
      <c r="CN283" s="1115">
        <v>5</v>
      </c>
      <c r="CO283" s="1092"/>
      <c r="CP283" s="1118">
        <f t="shared" si="388"/>
        <v>3.7500000000000003E-3</v>
      </c>
      <c r="CQ283" s="1118">
        <f t="shared" si="389"/>
        <v>5.8333333333333336E-3</v>
      </c>
      <c r="CR283" s="1118">
        <f t="shared" si="390"/>
        <v>3.7500000000000003E-3</v>
      </c>
      <c r="CS283" s="1118">
        <f t="shared" si="391"/>
        <v>0</v>
      </c>
      <c r="CT283" s="1109">
        <f t="shared" si="392"/>
        <v>0</v>
      </c>
      <c r="CU283" s="1101">
        <f t="shared" si="393"/>
        <v>509.93599323112875</v>
      </c>
      <c r="CV283" s="1108">
        <f t="shared" si="394"/>
        <v>38.299171640625005</v>
      </c>
      <c r="CW283" s="1097">
        <f t="shared" si="395"/>
        <v>509.93599323112875</v>
      </c>
      <c r="CX283" s="1097">
        <f t="shared" si="396"/>
        <v>509.93599323112875</v>
      </c>
      <c r="CY283" s="1110">
        <f t="shared" si="397"/>
        <v>509.93599323112875</v>
      </c>
      <c r="CZ283" s="437"/>
      <c r="DA283" s="438"/>
      <c r="DB283" s="439" t="s">
        <v>569</v>
      </c>
      <c r="DC283" s="439"/>
      <c r="DD283" s="443"/>
      <c r="DE283" s="411"/>
      <c r="DF283" s="411"/>
      <c r="DG283" s="1116">
        <f t="shared" si="398"/>
        <v>0</v>
      </c>
      <c r="DH283" s="1116">
        <f t="shared" si="399"/>
        <v>0</v>
      </c>
      <c r="DI283" s="1116">
        <f t="shared" si="400"/>
        <v>0</v>
      </c>
      <c r="DJ283" s="442">
        <f t="shared" si="401"/>
        <v>0</v>
      </c>
      <c r="DK283" s="1109">
        <f t="shared" si="402"/>
        <v>0</v>
      </c>
      <c r="DL283" s="1101">
        <f t="shared" si="403"/>
        <v>0</v>
      </c>
      <c r="DM283" s="1097">
        <f t="shared" si="404"/>
        <v>0</v>
      </c>
      <c r="DN283" s="1097">
        <f t="shared" si="405"/>
        <v>0</v>
      </c>
      <c r="DO283" s="1097">
        <f t="shared" si="406"/>
        <v>0</v>
      </c>
      <c r="DP283" s="1110">
        <f t="shared" si="407"/>
        <v>0</v>
      </c>
      <c r="DQ283" s="1113" t="s">
        <v>636</v>
      </c>
      <c r="DR283" s="1120">
        <f t="shared" si="408"/>
        <v>0.33</v>
      </c>
      <c r="DS283" s="1124"/>
      <c r="DT283" s="1093" t="s">
        <v>133</v>
      </c>
      <c r="DU283" s="1093"/>
      <c r="DV283" s="1098">
        <f>IF($P283="","N/A",IF(P283=-1,INDEX('卡片raw data'!AN:AN,MATCH(D283,'卡片raw data'!$F:$F,)),0)+IF(AND(L283&lt;&gt;"party卡",P283&lt;=2,P283&gt;=0),INDEX('卡片raw data'!AP:AP,MATCH(D283,'卡片raw data'!$F:$F,)),0)+IF(OR(AND(L283="party卡",P283&lt;=1),AND(P283&lt;=4,L283&lt;&gt;"party卡",P283&gt;=3)),INDEX('卡片raw data'!AQ:AQ,MATCH(D283,'卡片raw data'!$F:$F,)),0)+IF(OR(P283=5,AND(L283="party卡",P283&gt;=2)),INDEX('卡片raw data'!AR:AR,MATCH(D283,'卡片raw data'!$F:$F,)),0))</f>
        <v>0.4</v>
      </c>
      <c r="DW283" s="1098">
        <f t="shared" si="409"/>
        <v>0.33</v>
      </c>
      <c r="DX283" s="1098">
        <f t="shared" si="410"/>
        <v>0.33</v>
      </c>
      <c r="DY283" s="1125">
        <f t="shared" si="411"/>
        <v>1141.120707584</v>
      </c>
      <c r="DZ283" s="1125">
        <f t="shared" si="412"/>
        <v>987.06941206015995</v>
      </c>
      <c r="EA283" s="1098">
        <f t="shared" si="413"/>
        <v>0</v>
      </c>
      <c r="EB283" s="1121">
        <f t="shared" si="414"/>
        <v>0</v>
      </c>
      <c r="EC283" s="1101">
        <f t="shared" si="415"/>
        <v>0</v>
      </c>
      <c r="ED283" s="1097">
        <f t="shared" si="416"/>
        <v>0</v>
      </c>
      <c r="EE283" s="1110">
        <f t="shared" si="417"/>
        <v>48435.03108962375</v>
      </c>
      <c r="EF283" s="1092" t="s">
        <v>569</v>
      </c>
      <c r="EG283" s="1120">
        <f t="shared" si="418"/>
        <v>0.33</v>
      </c>
      <c r="EH283" s="1124"/>
      <c r="EI283" s="1093"/>
      <c r="EJ283" s="1093"/>
      <c r="EK283" s="1097">
        <f>IF($P283="","N/A",IF(P283=-1,INDEX('卡片raw data'!AS:AS,MATCH(D283,'卡片raw data'!$F:$F,)),0)+IF(AND(L283&lt;&gt;"party卡",P283&lt;=2,P283&gt;=0),INDEX('卡片raw data'!AU:AU,MATCH(D283,'卡片raw data'!$F:$F,)),0)+IF(OR(AND(L283="party卡",P283&lt;=1),AND(P283&lt;=4,L283&lt;&gt;"party卡",P283&gt;=3)),INDEX('卡片raw data'!AV:AV,MATCH(D283,'卡片raw data'!$F:$F,)),0)+IF(OR(P283=5,AND(L283="party卡",P283&gt;=2)),INDEX('卡片raw data'!AW:AW,MATCH(D283,'卡片raw data'!$F:$F,)),0))</f>
        <v>0</v>
      </c>
      <c r="EL283" s="1098">
        <f t="shared" si="419"/>
        <v>0.33</v>
      </c>
      <c r="EM283" s="1098">
        <f t="shared" si="420"/>
        <v>0.33</v>
      </c>
      <c r="EN283" s="1125">
        <f t="shared" si="421"/>
        <v>0</v>
      </c>
      <c r="EO283" s="1125">
        <f t="shared" si="422"/>
        <v>0</v>
      </c>
      <c r="EP283" s="1098">
        <f t="shared" si="423"/>
        <v>0</v>
      </c>
      <c r="EQ283" s="1121">
        <f t="shared" si="424"/>
        <v>0</v>
      </c>
      <c r="ER283" s="1101">
        <f t="shared" si="425"/>
        <v>0</v>
      </c>
      <c r="ES283" s="1097">
        <f t="shared" si="426"/>
        <v>0</v>
      </c>
      <c r="ET283" s="1122">
        <f t="shared" si="427"/>
        <v>0</v>
      </c>
    </row>
    <row r="284" spans="2:150" ht="16.5" customHeight="1">
      <c r="B284" s="1123" t="str">
        <f>INDEX('卡片raw data'!B:B,MATCH($D284,'卡片raw data'!$F:$F,))</f>
        <v>fes1黛</v>
      </c>
      <c r="C284" s="449" t="s">
        <v>578</v>
      </c>
      <c r="D284" s="408">
        <v>281</v>
      </c>
      <c r="E284" s="1090">
        <v>201043001</v>
      </c>
      <c r="F284" s="1090" t="str">
        <f>INDEX('卡片raw data'!C:C,MATCH($D284,'卡片raw data'!$F:$F,))</f>
        <v>UR</v>
      </c>
      <c r="G284" s="1094" t="s">
        <v>36</v>
      </c>
      <c r="H284" s="411">
        <f>IFERROR(INDEX(绊状态确认!C:C,MATCH($G284,绊状态确认!$B:$B,)),"")</f>
        <v>104</v>
      </c>
      <c r="I284" s="450" t="str">
        <f>IFERROR(INDEX(绊状态确认!D:D,MATCH($G284,绊状态确认!$B:$B,)),"")</f>
        <v>水</v>
      </c>
      <c r="J284" s="450" t="str">
        <f>IFERROR(INDEX(绊状态确认!E:E,MATCH($G284,绊状态确认!$B:$B,)),"")</f>
        <v>3年级</v>
      </c>
      <c r="K284" s="451" t="str">
        <f>IFERROR(INDEX(绊状态确认!F:F,MATCH($G284,绊状态确认!$B:$B,)),"")</f>
        <v>AZALEA</v>
      </c>
      <c r="L284" s="1094" t="str">
        <f>INDEX('卡片raw data'!E:E,MATCH($D284,'卡片raw data'!$F:$F,))</f>
        <v>fes卡</v>
      </c>
      <c r="M284" s="415">
        <v>44040</v>
      </c>
      <c r="N284" s="416">
        <v>20.5</v>
      </c>
      <c r="O284" s="1091" t="str">
        <f>INDEX('卡片raw data'!D:D,MATCH($D284,'卡片raw data'!$F:$F,))</f>
        <v>sk</v>
      </c>
      <c r="P284" s="417">
        <v>5</v>
      </c>
      <c r="Q284" s="1095">
        <f t="shared" si="343"/>
        <v>59525.447875941078</v>
      </c>
      <c r="R284" s="1096">
        <f t="shared" si="344"/>
        <v>0.69199999999999995</v>
      </c>
      <c r="S284" s="1097">
        <f t="shared" si="345"/>
        <v>20662.298708868137</v>
      </c>
      <c r="T284" s="1098">
        <f t="shared" si="346"/>
        <v>1.0329999999999999</v>
      </c>
      <c r="U284" s="1099">
        <f t="shared" si="347"/>
        <v>14.493078119742854</v>
      </c>
      <c r="V284" s="1100">
        <f t="shared" si="348"/>
        <v>62687.577571274975</v>
      </c>
      <c r="W284" s="1101">
        <f t="shared" si="349"/>
        <v>7555.3526314477949</v>
      </c>
      <c r="X284" s="1096">
        <f t="shared" si="350"/>
        <v>8.6999999999999994E-2</v>
      </c>
      <c r="Y284" s="1097">
        <f t="shared" si="351"/>
        <v>1162.129695333897</v>
      </c>
      <c r="Z284" s="1102">
        <f t="shared" si="352"/>
        <v>14.493078119742854</v>
      </c>
      <c r="AA284" s="1103">
        <f t="shared" si="353"/>
        <v>8717.4823267816919</v>
      </c>
      <c r="AB284" s="1101">
        <f t="shared" si="354"/>
        <v>8585.3908416343256</v>
      </c>
      <c r="AC284" s="1104">
        <f t="shared" si="355"/>
        <v>9.9000000000000005E-2</v>
      </c>
      <c r="AD284" s="1105">
        <f t="shared" si="356"/>
        <v>2.1769318181818181E-2</v>
      </c>
      <c r="AE284" s="1128">
        <f t="shared" si="357"/>
        <v>11.953757704745847</v>
      </c>
      <c r="AF284" s="1130">
        <f t="shared" si="358"/>
        <v>0</v>
      </c>
      <c r="AG284" s="420">
        <f t="shared" si="359"/>
        <v>0</v>
      </c>
      <c r="AH284" s="420">
        <f t="shared" si="360"/>
        <v>0</v>
      </c>
      <c r="AI284" s="1097">
        <f t="shared" si="361"/>
        <v>0</v>
      </c>
      <c r="AJ284" s="420">
        <f t="shared" si="362"/>
        <v>0</v>
      </c>
      <c r="AK284" s="518">
        <f t="shared" si="363"/>
        <v>0</v>
      </c>
      <c r="AL284" s="1106">
        <f>IF($P284="","N/A",(IF($P284=-1,INDEX('卡片raw data'!S:S,MATCH($D284,'卡片raw data'!$F:$F,)),0)+IF($P284=0,INDEX('卡片raw data'!V:V,MATCH($D284,'卡片raw data'!$F:$F,)),0)+IF($P284=1,INDEX('卡片raw data'!Y:Y,MATCH($D284,'卡片raw data'!$F:$F,)),0)+IF($P284=2,INDEX('卡片raw data'!AB:AB,MATCH($D284,'卡片raw data'!$F:$F,)),0)+IF($P284=3,INDEX('卡片raw data'!AE:AE,MATCH($D284,'卡片raw data'!$F:$F,)),0)+IF($P284=4,INDEX('卡片raw data'!AH:AH,MATCH($D284,'卡片raw data'!$F:$F,)),0)+IF($P284=5,INDEX('卡片raw data'!AK:AK,MATCH($D284,'卡片raw data'!$F:$F,)),0)+INDEX('卡片raw data'!S:S,MATCH($D284,'卡片raw data'!$F:$F,))*(IF($F284="UR",0.04,0.033))*(IF($F284="UR",INDEX(绊状态确认!$S:$S,MATCH($G284,绊状态确认!$B:$B,))/2-40)+IF($F284="SR",INDEX(绊状态确认!$R:$R,MATCH($G284,绊状态确认!$B:$B,))/4-15))+IF($F284="R",INDEX(绊状态确认!$Q:$Q,MATCH($G284,绊状态确认!$B:$B,))/6-40/6)))*(INDEX(绊状态确认!$H:$H,MATCH($G284,绊状态确认!$B:$B,))+INDEX(绊状态确认!J:J,MATCH($G284,绊状态确认!$B:$B,)))</f>
        <v>13695.620063999999</v>
      </c>
      <c r="AM284" s="1106">
        <f>IF($P284="","N/A",(IF($P284=-1,INDEX('卡片raw data'!T:T,MATCH($D284,'卡片raw data'!$F:$F,)),0)+IF($P284=0,INDEX('卡片raw data'!W:W,MATCH($D284,'卡片raw data'!$F:$F,)),0)+IF($P284=1,INDEX('卡片raw data'!Z:Z,MATCH($D284,'卡片raw data'!$F:$F,)),0)+IF($P284=2,INDEX('卡片raw data'!AC:AC,MATCH($D284,'卡片raw data'!$F:$F,)),0)+IF($P284=3,INDEX('卡片raw data'!AF:AF,MATCH($D284,'卡片raw data'!$F:$F,)),0)+IF($P284=4,INDEX('卡片raw data'!AI:AI,MATCH($D284,'卡片raw data'!$F:$F,)),0)+IF($P284=5,INDEX('卡片raw data'!AL:AL,MATCH($D284,'卡片raw data'!$F:$F,)),0)+INDEX('卡片raw data'!T:T,MATCH($D284,'卡片raw data'!$F:$F,))*(IF($F284="UR",0.04,0.033))*(IF($F284="UR",INDEX(绊状态确认!$S:$S,MATCH($G284,绊状态确认!$B:$B,))/2-40)+IF($F284="SR",INDEX(绊状态确认!$R:$R,MATCH($G284,绊状态确认!$B:$B,))/4-15))+IF($F284="R",INDEX(绊状态确认!$Q:$Q,MATCH($G284,绊状态确认!$B:$B,))/6-40/6)))*(INDEX(绊状态确认!$H:$H,MATCH($G284,绊状态确认!$B:$B,))+INDEX(绊状态确认!K:K,MATCH($G284,绊状态确认!$B:$B,)))</f>
        <v>7928.8446239999985</v>
      </c>
      <c r="AN284" s="1106">
        <f>IF($P284="","N/A",(IF($P284=-1,INDEX('卡片raw data'!U:U,MATCH($D284,'卡片raw data'!$F:$F,)),0)+IF($P284=0,INDEX('卡片raw data'!X:X,MATCH($D284,'卡片raw data'!$F:$F,)),0)+IF($P284=1,INDEX('卡片raw data'!AA:AA,MATCH($D284,'卡片raw data'!$F:$F,)),0)+IF($P284=2,INDEX('卡片raw data'!AD:AD,MATCH($D284,'卡片raw data'!$F:$F,)),0)+IF($P284=3,INDEX('卡片raw data'!AG:AG,MATCH($D284,'卡片raw data'!$F:$F,)),0)+IF($P284=4,INDEX('卡片raw data'!AJ:AJ,MATCH($D284,'卡片raw data'!$F:$F,)),0)+IF($P284=5,INDEX('卡片raw data'!AM:AM,MATCH($D284,'卡片raw data'!$F:$F,)),0)+INDEX('卡片raw data'!U:U,MATCH($D284,'卡片raw data'!$F:$F,))*(IF($F284="UR",0.04,0.033))*(IF($F284="UR",INDEX(绊状态确认!$S:$S,MATCH($G284,绊状态确认!$B:$B,))/2-40)+IF($F284="SR",INDEX(绊状态确认!$R:$R,MATCH($G284,绊状态确认!$B:$B,))/4-15))+IF($F284="R",INDEX(绊状态确认!$Q:$Q,MATCH($G284,绊状态确认!$B:$B,))/6-40/6)))*(INDEX(绊状态确认!$H:$H,MATCH($G284,绊状态确认!$B:$B,))+INDEX(绊状态确认!L:L,MATCH($G284,绊状态确认!$B:$B,)))</f>
        <v>14418.643199999999</v>
      </c>
      <c r="AO284" s="1107">
        <f t="shared" si="364"/>
        <v>1</v>
      </c>
      <c r="AP284" s="1131">
        <f>1+(INDEX(绊状态确认!$T:$T,MATCH($G284,绊状态确认!$B:$B,))+0.2)*$AO284</f>
        <v>1.3</v>
      </c>
      <c r="AQ284" s="1108">
        <f t="shared" si="365"/>
        <v>39201.002667999994</v>
      </c>
      <c r="AR284" s="1097">
        <f>(AM284*(1+$EX$9)+$EX$35)*(1+(INDEX(绊状态确认!$T:$T,MATCH($G284,绊状态确认!$B:$B,))+0.2)*AO284)*IF(J284=$FF$17,1+$FE$17,1)*IF(I284=$FF$14,1+$FE$14,1)*(1+$FE$15)</f>
        <v>13526.872911759998</v>
      </c>
      <c r="AS284" s="1097">
        <f>(AN284*(1+$EX$10)+$EX$36)*(1+(INDEX(绊状态确认!$T:$T,MATCH($G284,绊状态确认!$B:$B,))+0.2)*AO284)*IF(J284=$FF$17,1+$FE$17,1)*IF(I284=$FF$14,1+$FE$14,1)*(1+$FE$15)</f>
        <v>25611.871583999997</v>
      </c>
      <c r="AT284" s="1093">
        <f>IF(AND(INDEX('卡片raw data'!AK:AK,MATCH($D284,'卡片raw data'!$F:$F,))&lt;INDEX('卡片raw data'!AM:AM,MATCH($D284,'卡片raw data'!$F:$F,)),INDEX('卡片raw data'!AL:AL,MATCH($D284,'卡片raw data'!$F:$F,))&lt;INDEX('卡片raw data'!AM:AM,MATCH($D284,'卡片raw data'!$F:$F,))),1,0)</f>
        <v>1</v>
      </c>
      <c r="AU284" s="1098">
        <f>MIN(AT284*0.15+AS284*0.00003+INDEX(绊状态确认!M:M,MATCH($G284,绊状态确认!$B:$B,)),1)</f>
        <v>0.94835614751999997</v>
      </c>
      <c r="AV284" s="1109">
        <f>(INDEX(绊状态确认!$N:$N,MATCH($G284,绊状态确认!$B:$B,))+1.5)*$EW$21</f>
        <v>2.6599999999999997</v>
      </c>
      <c r="AW284" s="1101">
        <f t="shared" si="366"/>
        <v>52409.357794814561</v>
      </c>
      <c r="AX284" s="1097">
        <f t="shared" si="367"/>
        <v>1162.1296953338965</v>
      </c>
      <c r="AY284" s="1110">
        <f t="shared" si="368"/>
        <v>53571.487490148458</v>
      </c>
      <c r="AZ284" s="429">
        <f t="shared" si="369"/>
        <v>29306.459124799996</v>
      </c>
      <c r="BA284" s="431">
        <f t="shared" si="370"/>
        <v>35167.750949759997</v>
      </c>
      <c r="BB284" s="1097">
        <f>(AM284*(1+$FB$9)+$FB$35)*(1+(INDEX(绊状态确认!$T:$T,MATCH($G284,绊状态确认!$B:$B,))+0.2)*AO284)*IF(J284=$FF$17,1+$FE$17,1)*IF(I284=$FF$14,1+$FE$14,1)*(1+$FE$15)</f>
        <v>13526.872911759998</v>
      </c>
      <c r="BC284" s="1097">
        <f>(AN284*(1+$FB$10)+$FB$36)*(1+(INDEX(绊状态确认!$T:$T,MATCH($G284,绊状态确认!$B:$B,))+0.2)*AO284)*IF(J284=$FF$17,1+$FE$17,1)*IF(I284=$FF$14,1+$FE$14,1)*(1+$FE$15)</f>
        <v>25611.871583999997</v>
      </c>
      <c r="BD284" s="1104">
        <f>MIN(AT284*0.15+BC284*0.00003+INDEX(绊状态确认!M:M,MATCH($G284,绊状态确认!$B:$B,)),1)</f>
        <v>0.94835614751999997</v>
      </c>
      <c r="BE284" s="432">
        <f>(INDEX(绊状态确认!$N:$N,MATCH($G284,绊状态确认!$B:$B,))+1.5)</f>
        <v>1.9</v>
      </c>
      <c r="BF284" s="1139">
        <f t="array" ref="BF284">SUMPRODUCT(IF(AZ284*AP284*$FI$16:$FI$23*$FA$22&gt;=$FI$24,$FI$24,AZ284*AP284*$FI$16:$FI$23*$FA$22),$FJ$16:$FJ$23)</f>
        <v>55621.669395659199</v>
      </c>
      <c r="BG284" s="1125">
        <f t="array" ref="BG284">SUMPRODUCT(IF(BE284*AZ284*AP284*$FI$16:$FI$23*$FA$22&gt;=$FI$24,$FI$24,BE284*AZ284*AP284*$FI$16:$FI$23*$FA$22),$FJ$16:$FJ$23)</f>
        <v>60000</v>
      </c>
      <c r="BH284" s="1110">
        <f t="shared" si="371"/>
        <v>19924.628713386919</v>
      </c>
      <c r="BI284" s="1111">
        <f>IF(O284="vo",$EW$26/$EW$24*0.05,0)+IF(O284="sk",-$EW$26/$EW$24*(0.05-INDEX(绊状态确认!W:W,MATCH($G284,绊状态确认!$B:$B,)))+0.05*$EW$28,0)+IF(O284="sp",0.05*$EW$32*$EW$30*(1-$EW$33)-(0.05-INDEX(绊状态确认!V:V,MATCH($G284,绊状态确认!$B:$B,)))*$EW$28,0)+IF(O284="gd",-(0.05-INDEX(绊状态确认!X:X,MATCH($G284,绊状态确认!$B:$B,)))*$EW$32*$EW$30*(1-$EW$33),0)</f>
        <v>-6253.6726349699375</v>
      </c>
      <c r="BJ284" s="1097">
        <f>IF(O284="vo",0.05*(1-$FI$26)*$FA$24,0)+IF(O284="sk",-(0.05-INDEX(绊状态确认!W:W,MATCH($G284,绊状态确认!$B:$B,)))*(1-$FI$26)*$FA$24+0.05*$FA$26,0)+IF(O284="sp",0.05*$FA$32*$FA$27*(1-$FA$33)/$FA$30+0.05*$FA$29/$FA$69*$FA$27*(1-$FA$33)-(0.05-INDEX(绊状态确认!V:V,MATCH($G284,绊状态确认!$B:$B,)))*$FA$26,0)+IF(O284="gd",-(0.05-INDEX(绊状态确认!X:X,MATCH($G284,绊状态确认!$B:$B,)))*$FA$32*$FA$27*(1-$FA$33)/$FA$30-(0.05-INDEX(绊状态确认!X:X,MATCH($G284,绊状态确认!$B:$B,)))*$FA$29/$FA$69*$FA$27*(1-$FA$33),0)</f>
        <v>20.459096812499922</v>
      </c>
      <c r="BK284" s="1110">
        <f>IF(O284="vo",$EW$26/$EW$24*0.05+$EW$26*(-HP($EW$62,$EW$65,$EW$64)+HP($EW$62,$EW$65,(1.05-INDEX(绊状态确认!U:U,MATCH($G284,绊状态确认!$B:$B,)))*$EW$64)),0)+IF(O284="sk",-$EW$26/$EW$24*(0.05-INDEX(绊状态确认!W:W,MATCH($G284,绊状态确认!$B:$B,)))+0.05*$EW$29,0)+IF(O284="sp",0.05*$EW$32*$EW$30*(1-$EW$33)-(0.05-INDEX(绊状态确认!V:V,MATCH($G284,绊状态确认!$B:$B,)))*$EW$29,0)+IF(O284="gd",-(0.05-INDEX(绊状态确认!X:X,MATCH($G284,绊状态确认!$B:$B,)))*$EW$32*$EW$30*(1-$EW$33)+$EW$26*(-HP($EW$62,$EW$65,$EW$64)+HP($EW$62,$EW$65,0.95*$EW$64)),0)</f>
        <v>-4253.6726349699375</v>
      </c>
      <c r="BL284" s="1111">
        <f t="shared" si="372"/>
        <v>0</v>
      </c>
      <c r="BM284" s="1110">
        <f t="shared" si="373"/>
        <v>0</v>
      </c>
      <c r="BN284" s="1113">
        <f t="shared" si="374"/>
        <v>4</v>
      </c>
      <c r="BO284" s="1097">
        <f t="shared" si="375"/>
        <v>6010.2953161679998</v>
      </c>
      <c r="BP284" s="1100">
        <f t="shared" si="376"/>
        <v>295.12137612040135</v>
      </c>
      <c r="BQ284" s="1113" t="s">
        <v>143</v>
      </c>
      <c r="BR284" s="1124" t="s">
        <v>151</v>
      </c>
      <c r="BS284" s="1098">
        <f>IF($P284="","N/A",IF($P284=-1,INDEX('卡片raw data'!AX:AX,MATCH($D284,'卡片raw data'!$F:$F,)),0)+IF($L284="party卡",IF($P284=5,INDEX('卡片raw data'!BD:BD,MATCH($D284,'卡片raw data'!$F:$F,)),IF($P284&gt;=3,INDEX('卡片raw data'!BC:BC,MATCH($D284,'卡片raw data'!$F:$F,)),INDEX('卡片raw data'!BB:BB,MATCH($D284,'卡片raw data'!$F:$F,)))),IF(OR(AND($F284="UR",$P284=0),AND($F284="SR",$P284&gt;=0,$P284&lt;=2),AND($F284="R",$P284&gt;=0,$P284&lt;4)),INDEX('卡片raw data'!AZ:AZ,MATCH($D284,'卡片raw data'!$F:$F,)),0)+IF(OR(AND($F284="UR",$P284&gt;=1,$P284&lt;=4),AND($F284="SR",$P284&lt;=4,$P284&gt;=3),AND($F284="R",$P284=4)),INDEX('卡片raw data'!BA:BA,MATCH($D284,'卡片raw data'!$F:$F,)),0)+IF($P284=5,INDEX('卡片raw data'!BB:BB,MATCH($D284,'卡片raw data'!$F:$F,)),0)))</f>
        <v>5.1999999999999998E-2</v>
      </c>
      <c r="BT284" s="1101">
        <f t="shared" si="377"/>
        <v>2170.3844197273338</v>
      </c>
      <c r="BU284" s="1097">
        <f t="shared" si="378"/>
        <v>106.57160804347826</v>
      </c>
      <c r="BV284" s="1097">
        <f t="shared" si="379"/>
        <v>1302.2306518363998</v>
      </c>
      <c r="BW284" s="1112">
        <f t="shared" si="380"/>
        <v>0</v>
      </c>
      <c r="BX284" s="1100">
        <f t="shared" si="381"/>
        <v>2170.3844197273338</v>
      </c>
      <c r="BY284" s="1110">
        <f t="shared" si="382"/>
        <v>1302.2306518363998</v>
      </c>
      <c r="BZ284" s="1107" t="s">
        <v>569</v>
      </c>
      <c r="CA284" s="1124"/>
      <c r="CB284" s="1098">
        <f>IF($P284="","N/A",IF($P284=-1,INDEX('卡片raw data'!BE:BE,MATCH($D284,'卡片raw data'!$F:$F,)),0)+IF($L284="party卡",IF($P284=5,INDEX('卡片raw data'!BK:BK,MATCH($D284,'卡片raw data'!$F:$F,)),IF($P284&gt;=3,INDEX('卡片raw data'!BJ:BJ,MATCH($D284,'卡片raw data'!$F:$F,)),INDEX('卡片raw data'!BI:BI,MATCH($D284,'卡片raw data'!$F:$F,)))),IF(OR(AND($F284="UR",$P284=0),AND($F284="SR",$P284&gt;=0,$P284&lt;=2),AND($F284="R",$P284&gt;=0,$P284&lt;4)),INDEX('卡片raw data'!BG:BG,MATCH($D284,'卡片raw data'!$F:$F,)),0)+IF(OR(AND($F284="UR",$P284&gt;=1,$P284&lt;=4),AND($F284="SR",$P284&lt;=4,$P284&gt;=3),AND($F284="R",$P284=4)),INDEX('卡片raw data'!BH:BH,MATCH($D284,'卡片raw data'!$F:$F,)),0)+IF($P284=5,INDEX('卡片raw data'!BI:BI,MATCH($D284,'卡片raw data'!$F:$F,)),0)))</f>
        <v>0</v>
      </c>
      <c r="CC284" s="1101">
        <f t="shared" si="383"/>
        <v>0</v>
      </c>
      <c r="CD284" s="1097">
        <f>IF(BZ284="ap",CB284*(1-$FI$26)*$FB$5/$FB$11*(+IF(CA284="全员",$FA$24,0)+IF(CA284="同作战",$FA$24,0)+IF(CA284="仲间",$FA$24*2/3,0)+IF(CA284="同属性",$FA$24*$FA$37/3,0)+IF(CA284="同年级",$FA$24*$FA$40/3,0)+IF(CA284="同学校",$FA$24*$FA$43/3,0)+IF(CA284="同小队",$FA$24*$FA$46/3,0)+IF(CA284="同type",$FA$24*INDEX($FB$49:$FB$52,MATCH(X284,$FA$49:$FA$52,))/3,0)+IF(CA284="自身",#REF!/3,0)),0)+IF(BZ284="te",CB284*(1-$FI$27)*($FA$20-1)*$FB$7/$FB$13*(+IF(CA284="全员",$FA$19*$FA$24/(1+($FA$20-1)*$FA$19),0)+IF(CA284="同作战",$FA$19*$FA$24/(1+($FA$20-1)*$FA$19),0)+IF(CA284="仲间",$FA$19*$FA$24*2/3/(1+($FA$20-1)*$FA$19),0)+IF(CA284="同属性",$FA$19*$FA$24*$FA$37/3/(1+($FA$20-1)*$FA$19),0)+IF(CA284="同年级",$FA$19*$FA$24*$FA$40/3/(1+($FA$20-1)*$FA$19),0)+IF(CA284="同学校",$FA$19*$FA$24*$FA$43/3/(1+($FA$20-1)*$FA$19),0)+IF(CA284="同小队",$FA$19*$FA$24*$FA$46/3/(1+($FA$20-1)*$FA$19),0)+IF(CA284="同type",$FA$19*$FA$24*INDEX($FB$49:$FB$52,MATCH(X284,$FA$49:$FA$52,))/3/(1+($FA$20-1)*$FA$19),0)+IF(CA284="自身",$FA$19*#REF!/3/(1+(BH284-1)*$BD284),0)),0)</f>
        <v>0</v>
      </c>
      <c r="CE284" s="1097">
        <f t="shared" si="384"/>
        <v>0</v>
      </c>
      <c r="CF284" s="1112">
        <f t="shared" si="385"/>
        <v>0</v>
      </c>
      <c r="CG284" s="1100">
        <f t="shared" si="386"/>
        <v>0</v>
      </c>
      <c r="CH284" s="1110">
        <f t="shared" si="387"/>
        <v>0</v>
      </c>
      <c r="CI284" s="1113" t="s">
        <v>164</v>
      </c>
      <c r="CJ284" s="1114">
        <v>0.5</v>
      </c>
      <c r="CK284" s="1115" t="s">
        <v>772</v>
      </c>
      <c r="CL284" s="1115" t="s">
        <v>169</v>
      </c>
      <c r="CM284" s="1119">
        <v>0.08</v>
      </c>
      <c r="CN284" s="1115">
        <v>5</v>
      </c>
      <c r="CO284" s="1092"/>
      <c r="CP284" s="1118">
        <f t="shared" si="388"/>
        <v>2.3809523809523812E-3</v>
      </c>
      <c r="CQ284" s="1118">
        <f t="shared" si="389"/>
        <v>3.7037037037037047E-3</v>
      </c>
      <c r="CR284" s="1118">
        <f t="shared" si="390"/>
        <v>1.4285714285714286E-3</v>
      </c>
      <c r="CS284" s="1118">
        <f t="shared" si="391"/>
        <v>0</v>
      </c>
      <c r="CT284" s="1109">
        <f t="shared" si="392"/>
        <v>0</v>
      </c>
      <c r="CU284" s="1101">
        <f t="shared" si="393"/>
        <v>404.71110573899114</v>
      </c>
      <c r="CV284" s="1108">
        <f t="shared" si="394"/>
        <v>29.180321250000013</v>
      </c>
      <c r="CW284" s="1097">
        <f t="shared" si="395"/>
        <v>242.82666344339464</v>
      </c>
      <c r="CX284" s="1097">
        <f t="shared" si="396"/>
        <v>404.71110573899114</v>
      </c>
      <c r="CY284" s="1110">
        <f t="shared" si="397"/>
        <v>242.82666344339464</v>
      </c>
      <c r="CZ284" s="437"/>
      <c r="DA284" s="438"/>
      <c r="DB284" s="439" t="s">
        <v>569</v>
      </c>
      <c r="DC284" s="439"/>
      <c r="DD284" s="443"/>
      <c r="DE284" s="411"/>
      <c r="DF284" s="411"/>
      <c r="DG284" s="1116">
        <f t="shared" si="398"/>
        <v>0</v>
      </c>
      <c r="DH284" s="1116">
        <f t="shared" si="399"/>
        <v>0</v>
      </c>
      <c r="DI284" s="1116">
        <f t="shared" si="400"/>
        <v>0</v>
      </c>
      <c r="DJ284" s="442">
        <f t="shared" si="401"/>
        <v>0</v>
      </c>
      <c r="DK284" s="1109">
        <f t="shared" si="402"/>
        <v>0</v>
      </c>
      <c r="DL284" s="1101">
        <f t="shared" si="403"/>
        <v>0</v>
      </c>
      <c r="DM284" s="1097">
        <f t="shared" si="404"/>
        <v>0</v>
      </c>
      <c r="DN284" s="1097">
        <f t="shared" si="405"/>
        <v>0</v>
      </c>
      <c r="DO284" s="1097">
        <f t="shared" si="406"/>
        <v>0</v>
      </c>
      <c r="DP284" s="1110">
        <f t="shared" si="407"/>
        <v>0</v>
      </c>
      <c r="DQ284" s="1113" t="s">
        <v>773</v>
      </c>
      <c r="DR284" s="1120">
        <f t="shared" si="408"/>
        <v>0.33</v>
      </c>
      <c r="DS284" s="1124">
        <v>5</v>
      </c>
      <c r="DT284" s="1093" t="s">
        <v>169</v>
      </c>
      <c r="DU284" s="1093" t="s">
        <v>544</v>
      </c>
      <c r="DV284" s="1098">
        <f>IF($P284="","N/A",IF(P284=-1,INDEX('卡片raw data'!AN:AN,MATCH(D284,'卡片raw data'!$F:$F,)),0)+IF(AND(L284&lt;&gt;"party卡",P284&lt;=2,P284&gt;=0),INDEX('卡片raw data'!AP:AP,MATCH(D284,'卡片raw data'!$F:$F,)),0)+IF(OR(AND(L284="party卡",P284&lt;=1),AND(P284&lt;=4,L284&lt;&gt;"party卡",P284&gt;=3)),INDEX('卡片raw data'!AQ:AQ,MATCH(D284,'卡片raw data'!$F:$F,)),0)+IF(OR(P284=5,AND(L284="party卡",P284&gt;=2)),INDEX('卡片raw data'!AR:AR,MATCH(D284,'卡片raw data'!$F:$F,)),0))</f>
        <v>0.18</v>
      </c>
      <c r="DW284" s="1098">
        <f t="shared" si="409"/>
        <v>0.33</v>
      </c>
      <c r="DX284" s="1098">
        <f t="shared" si="410"/>
        <v>0.33</v>
      </c>
      <c r="DY284" s="1098">
        <f t="shared" si="411"/>
        <v>4.0880823772800008E-2</v>
      </c>
      <c r="DZ284" s="1098">
        <f t="shared" si="412"/>
        <v>3.5361912563472007E-2</v>
      </c>
      <c r="EA284" s="1098">
        <f t="shared" si="413"/>
        <v>0</v>
      </c>
      <c r="EB284" s="1121">
        <f t="shared" si="414"/>
        <v>0</v>
      </c>
      <c r="EC284" s="1101">
        <f t="shared" si="415"/>
        <v>4784.371874462131</v>
      </c>
      <c r="ED284" s="1097">
        <f t="shared" si="416"/>
        <v>286.33759325483186</v>
      </c>
      <c r="EE284" s="1110">
        <f t="shared" si="417"/>
        <v>4784.371874462131</v>
      </c>
      <c r="EF284" s="1092" t="s">
        <v>569</v>
      </c>
      <c r="EG284" s="1120">
        <f t="shared" si="418"/>
        <v>0.33</v>
      </c>
      <c r="EH284" s="1124"/>
      <c r="EI284" s="1093"/>
      <c r="EJ284" s="1093"/>
      <c r="EK284" s="1097">
        <f>IF($P284="","N/A",IF(P284=-1,INDEX('卡片raw data'!AS:AS,MATCH(D284,'卡片raw data'!$F:$F,)),0)+IF(AND(L284&lt;&gt;"party卡",P284&lt;=2,P284&gt;=0),INDEX('卡片raw data'!AU:AU,MATCH(D284,'卡片raw data'!$F:$F,)),0)+IF(OR(AND(L284="party卡",P284&lt;=1),AND(P284&lt;=4,L284&lt;&gt;"party卡",P284&gt;=3)),INDEX('卡片raw data'!AV:AV,MATCH(D284,'卡片raw data'!$F:$F,)),0)+IF(OR(P284=5,AND(L284="party卡",P284&gt;=2)),INDEX('卡片raw data'!AW:AW,MATCH(D284,'卡片raw data'!$F:$F,)),0))</f>
        <v>0</v>
      </c>
      <c r="EL284" s="1098">
        <f t="shared" si="419"/>
        <v>0.33</v>
      </c>
      <c r="EM284" s="1098">
        <f t="shared" si="420"/>
        <v>0.33</v>
      </c>
      <c r="EN284" s="1125">
        <f t="shared" si="421"/>
        <v>0</v>
      </c>
      <c r="EO284" s="1125">
        <f t="shared" si="422"/>
        <v>0</v>
      </c>
      <c r="EP284" s="1098">
        <f t="shared" si="423"/>
        <v>0</v>
      </c>
      <c r="EQ284" s="1121">
        <f t="shared" si="424"/>
        <v>0</v>
      </c>
      <c r="ER284" s="1101">
        <f t="shared" si="425"/>
        <v>0</v>
      </c>
      <c r="ES284" s="1097">
        <f t="shared" si="426"/>
        <v>0</v>
      </c>
      <c r="ET284" s="1122">
        <f t="shared" si="427"/>
        <v>0</v>
      </c>
    </row>
    <row r="285" spans="2:150" ht="16.5" customHeight="1">
      <c r="B285" s="1123" t="str">
        <f>INDEX('卡片raw data'!B:B,MATCH($D285,'卡片raw data'!$F:$F,))</f>
        <v>二单曜</v>
      </c>
      <c r="C285" s="449" t="s">
        <v>779</v>
      </c>
      <c r="D285" s="408">
        <v>282</v>
      </c>
      <c r="E285" s="1090">
        <v>301052002</v>
      </c>
      <c r="F285" s="1090" t="str">
        <f>INDEX('卡片raw data'!C:C,MATCH($D285,'卡片raw data'!$F:$F,))</f>
        <v>SR</v>
      </c>
      <c r="G285" s="1094" t="s">
        <v>37</v>
      </c>
      <c r="H285" s="411">
        <f>IFERROR(INDEX(绊状态确认!C:C,MATCH($G285,绊状态确认!$B:$B,)),"")</f>
        <v>105</v>
      </c>
      <c r="I285" s="450" t="str">
        <f>IFERROR(INDEX(绊状态确认!D:D,MATCH($G285,绊状态确认!$B:$B,)),"")</f>
        <v>水</v>
      </c>
      <c r="J285" s="450" t="str">
        <f>IFERROR(INDEX(绊状态确认!E:E,MATCH($G285,绊状态确认!$B:$B,)),"")</f>
        <v>2年级</v>
      </c>
      <c r="K285" s="451" t="str">
        <f>IFERROR(INDEX(绊状态确认!F:F,MATCH($G285,绊状态确认!$B:$B,)),"")</f>
        <v>CYaRon!</v>
      </c>
      <c r="L285" s="1094" t="str">
        <f>INDEX('卡片raw data'!E:E,MATCH($D285,'卡片raw data'!$F:$F,))</f>
        <v>卡池卡</v>
      </c>
      <c r="M285" s="415">
        <v>44040</v>
      </c>
      <c r="N285" s="416">
        <v>20.5</v>
      </c>
      <c r="O285" s="1091" t="str">
        <f>INDEX('卡片raw data'!D:D,MATCH($D285,'卡片raw data'!$F:$F,))</f>
        <v>vo</v>
      </c>
      <c r="P285" s="417">
        <v>5</v>
      </c>
      <c r="Q285" s="1095">
        <f t="shared" si="343"/>
        <v>36143.473990505685</v>
      </c>
      <c r="R285" s="1096">
        <f t="shared" si="344"/>
        <v>0.42</v>
      </c>
      <c r="S285" s="1097">
        <f t="shared" si="345"/>
        <v>15173.971577771656</v>
      </c>
      <c r="T285" s="1098">
        <f t="shared" si="346"/>
        <v>0.75800000000000001</v>
      </c>
      <c r="U285" s="1099">
        <f t="shared" si="347"/>
        <v>-13.186028404377142</v>
      </c>
      <c r="V285" s="1100">
        <f t="shared" si="348"/>
        <v>35780.911970204506</v>
      </c>
      <c r="W285" s="1101">
        <f t="shared" si="349"/>
        <v>5817.9793630588229</v>
      </c>
      <c r="X285" s="1096">
        <f t="shared" si="350"/>
        <v>6.7000000000000004E-2</v>
      </c>
      <c r="Y285" s="1097">
        <f t="shared" si="351"/>
        <v>942.10642994051523</v>
      </c>
      <c r="Z285" s="1102">
        <f t="shared" si="352"/>
        <v>11.813971595622858</v>
      </c>
      <c r="AA285" s="1103">
        <f t="shared" si="353"/>
        <v>6760.0857929993381</v>
      </c>
      <c r="AB285" s="1101">
        <f t="shared" si="354"/>
        <v>6554.2405392894034</v>
      </c>
      <c r="AC285" s="1104">
        <f t="shared" si="355"/>
        <v>7.5999999999999998E-2</v>
      </c>
      <c r="AD285" s="1105">
        <f t="shared" si="356"/>
        <v>7.5681076388888855E-3</v>
      </c>
      <c r="AE285" s="1128">
        <f t="shared" si="357"/>
        <v>-6.735008952400257</v>
      </c>
      <c r="AF285" s="1130">
        <f t="shared" si="358"/>
        <v>0</v>
      </c>
      <c r="AG285" s="420">
        <f t="shared" si="359"/>
        <v>0</v>
      </c>
      <c r="AH285" s="420">
        <f t="shared" si="360"/>
        <v>0</v>
      </c>
      <c r="AI285" s="1097">
        <f t="shared" si="361"/>
        <v>0</v>
      </c>
      <c r="AJ285" s="420">
        <f t="shared" si="362"/>
        <v>0</v>
      </c>
      <c r="AK285" s="518">
        <f t="shared" si="363"/>
        <v>0</v>
      </c>
      <c r="AL285" s="1106">
        <f>IF($P285="","N/A",(IF($P285=-1,INDEX('卡片raw data'!S:S,MATCH($D285,'卡片raw data'!$F:$F,)),0)+IF($P285=0,INDEX('卡片raw data'!V:V,MATCH($D285,'卡片raw data'!$F:$F,)),0)+IF($P285=1,INDEX('卡片raw data'!Y:Y,MATCH($D285,'卡片raw data'!$F:$F,)),0)+IF($P285=2,INDEX('卡片raw data'!AB:AB,MATCH($D285,'卡片raw data'!$F:$F,)),0)+IF($P285=3,INDEX('卡片raw data'!AE:AE,MATCH($D285,'卡片raw data'!$F:$F,)),0)+IF($P285=4,INDEX('卡片raw data'!AH:AH,MATCH($D285,'卡片raw data'!$F:$F,)),0)+IF($P285=5,INDEX('卡片raw data'!AK:AK,MATCH($D285,'卡片raw data'!$F:$F,)),0)+INDEX('卡片raw data'!S:S,MATCH($D285,'卡片raw data'!$F:$F,))*(IF($F285="UR",0.04,0.033))*(IF($F285="UR",INDEX(绊状态确认!$S:$S,MATCH($G285,绊状态确认!$B:$B,))/2-40)+IF($F285="SR",INDEX(绊状态确认!$R:$R,MATCH($G285,绊状态确认!$B:$B,))/4-15))+IF($F285="R",INDEX(绊状态确认!$Q:$Q,MATCH($G285,绊状态确认!$B:$B,))/6-40/6)))*(INDEX(绊状态确认!$H:$H,MATCH($G285,绊状态确认!$B:$B,))+INDEX(绊状态确认!J:J,MATCH($G285,绊状态确认!$B:$B,)))</f>
        <v>7313.3726567999993</v>
      </c>
      <c r="AM285" s="1106">
        <f>IF($P285="","N/A",(IF($P285=-1,INDEX('卡片raw data'!T:T,MATCH($D285,'卡片raw data'!$F:$F,)),0)+IF($P285=0,INDEX('卡片raw data'!W:W,MATCH($D285,'卡片raw data'!$F:$F,)),0)+IF($P285=1,INDEX('卡片raw data'!Z:Z,MATCH($D285,'卡片raw data'!$F:$F,)),0)+IF($P285=2,INDEX('卡片raw data'!AC:AC,MATCH($D285,'卡片raw data'!$F:$F,)),0)+IF($P285=3,INDEX('卡片raw data'!AF:AF,MATCH($D285,'卡片raw data'!$F:$F,)),0)+IF($P285=4,INDEX('卡片raw data'!AI:AI,MATCH($D285,'卡片raw data'!$F:$F,)),0)+IF($P285=5,INDEX('卡片raw data'!AL:AL,MATCH($D285,'卡片raw data'!$F:$F,)),0)+INDEX('卡片raw data'!T:T,MATCH($D285,'卡片raw data'!$F:$F,))*(IF($F285="UR",0.04,0.033))*(IF($F285="UR",INDEX(绊状态确认!$S:$S,MATCH($G285,绊状态确认!$B:$B,))/2-40)+IF($F285="SR",INDEX(绊状态确认!$R:$R,MATCH($G285,绊状态确认!$B:$B,))/4-15))+IF($F285="R",INDEX(绊状态确认!$Q:$Q,MATCH($G285,绊状态确认!$B:$B,))/6-40/6)))*(INDEX(绊状态确认!$H:$H,MATCH($G285,绊状态确认!$B:$B,))+INDEX(绊状态确认!K:K,MATCH($G285,绊状态确认!$B:$B,)))</f>
        <v>6096.976915199999</v>
      </c>
      <c r="AN285" s="1106">
        <f>IF($P285="","N/A",(IF($P285=-1,INDEX('卡片raw data'!U:U,MATCH($D285,'卡片raw data'!$F:$F,)),0)+IF($P285=0,INDEX('卡片raw data'!X:X,MATCH($D285,'卡片raw data'!$F:$F,)),0)+IF($P285=1,INDEX('卡片raw data'!AA:AA,MATCH($D285,'卡片raw data'!$F:$F,)),0)+IF($P285=2,INDEX('卡片raw data'!AD:AD,MATCH($D285,'卡片raw data'!$F:$F,)),0)+IF($P285=3,INDEX('卡片raw data'!AG:AG,MATCH($D285,'卡片raw data'!$F:$F,)),0)+IF($P285=4,INDEX('卡片raw data'!AJ:AJ,MATCH($D285,'卡片raw data'!$F:$F,)),0)+IF($P285=5,INDEX('卡片raw data'!AM:AM,MATCH($D285,'卡片raw data'!$F:$F,)),0)+INDEX('卡片raw data'!U:U,MATCH($D285,'卡片raw data'!$F:$F,))*(IF($F285="UR",0.04,0.033))*(IF($F285="UR",INDEX(绊状态确认!$S:$S,MATCH($G285,绊状态确认!$B:$B,))/2-40)+IF($F285="SR",INDEX(绊状态确认!$R:$R,MATCH($G285,绊状态确认!$B:$B,))/4-15))+IF($F285="R",INDEX(绊状态确认!$Q:$Q,MATCH($G285,绊状态确认!$B:$B,))/6-40/6)))*(INDEX(绊状态确认!$H:$H,MATCH($G285,绊状态确认!$B:$B,))+INDEX(绊状态确认!L:L,MATCH($G285,绊状态确认!$B:$B,)))</f>
        <v>6907.9074095999995</v>
      </c>
      <c r="AO285" s="1107">
        <f t="shared" si="364"/>
        <v>1</v>
      </c>
      <c r="AP285" s="1131">
        <f>1+(INDEX(绊状态确认!$T:$T,MATCH($G285,绊状态确认!$B:$B,))+0.2)*$AO285</f>
        <v>1.3</v>
      </c>
      <c r="AQ285" s="1108">
        <f t="shared" si="365"/>
        <v>22447.603224099999</v>
      </c>
      <c r="AR285" s="1097">
        <f>(AM285*(1+$EX$9)+$EX$35)*(1+(INDEX(绊状态确认!$T:$T,MATCH($G285,绊状态确认!$B:$B,))+0.2)*AO285)*IF(J285=$FF$17,1+$FE$17,1)*IF(I285=$FF$14,1+$FE$14,1)</f>
        <v>11026.373489248001</v>
      </c>
      <c r="AS285" s="1097">
        <f>(AN285*(1+$EX$10)+$EX$36)*(1+(INDEX(绊状态确认!$T:$T,MATCH($G285,绊状态确认!$B:$B,))+0.2)*AO285)*IF(J285=$FF$17,1+$FE$17,1)*IF(I285=$FF$14,1+$FE$14,1)</f>
        <v>14383.321577351999</v>
      </c>
      <c r="AT285" s="1093">
        <f>IF(AND(INDEX('卡片raw data'!AK:AK,MATCH($D285,'卡片raw data'!$F:$F,))&lt;INDEX('卡片raw data'!AM:AM,MATCH($D285,'卡片raw data'!$F:$F,)),INDEX('卡片raw data'!AL:AL,MATCH($D285,'卡片raw data'!$F:$F,))&lt;INDEX('卡片raw data'!AM:AM,MATCH($D285,'卡片raw data'!$F:$F,))),1,0)</f>
        <v>0</v>
      </c>
      <c r="AU285" s="1098">
        <f>MIN(AT285*0.15+AS285*0.00003+INDEX(绊状态确认!M:M,MATCH($G285,绊状态确认!$B:$B,)),1)</f>
        <v>0.46149964732055998</v>
      </c>
      <c r="AV285" s="1109">
        <f>(INDEX(绊状态确认!$N:$N,MATCH($G285,绊状态确认!$B:$B,))+1.5)*$EW$21</f>
        <v>2.6599999999999997</v>
      </c>
      <c r="AW285" s="1101">
        <f t="shared" si="366"/>
        <v>20589.226376981365</v>
      </c>
      <c r="AX285" s="1097">
        <f t="shared" si="367"/>
        <v>942.10642994051477</v>
      </c>
      <c r="AY285" s="1110">
        <f t="shared" si="368"/>
        <v>21531.332806921881</v>
      </c>
      <c r="AZ285" s="429">
        <f t="shared" si="369"/>
        <v>16861.076680759998</v>
      </c>
      <c r="BA285" s="431">
        <f t="shared" si="370"/>
        <v>20233.292016911997</v>
      </c>
      <c r="BB285" s="1097">
        <f>(AM285*(1+$FB$9)+$FB$35)*(1+(INDEX(绊状态确认!$T:$T,MATCH($G285,绊状态确认!$B:$B,))+0.2)*AO285)*IF(J285=$FF$17,1+$FE$17,1)*IF(I285=$FF$14,1+$FE$14,1)*(1+$FE$15)</f>
        <v>11026.373489248001</v>
      </c>
      <c r="BC285" s="1097">
        <f>(AN285*(1+$FB$10)+$FB$36)*(1+(INDEX(绊状态确认!$T:$T,MATCH($G285,绊状态确认!$B:$B,))+0.2)*AO285)*IF(J285=$FF$17,1+$FE$17,1)*IF(I285=$FF$14,1+$FE$14,1)*(1+$FE$15)</f>
        <v>14383.321577351999</v>
      </c>
      <c r="BD285" s="1104">
        <f>MIN(AT285*0.15+BC285*0.00003+INDEX(绊状态确认!M:M,MATCH($G285,绊状态确认!$B:$B,)),1)</f>
        <v>0.46149964732055998</v>
      </c>
      <c r="BE285" s="432">
        <f>(INDEX(绊状态确认!$N:$N,MATCH($G285,绊状态确认!$B:$B,))+1.5)</f>
        <v>1.9</v>
      </c>
      <c r="BF285" s="1139">
        <f t="array" ref="BF285">SUMPRODUCT(IF(AZ285*AP285*$FI$16:$FI$23*$FA$22&gt;=$FI$24,$FI$24,AZ285*AP285*$FI$16:$FI$23*$FA$22),$FJ$16:$FJ$23)</f>
        <v>33536.681518031641</v>
      </c>
      <c r="BG285" s="1125">
        <f t="array" ref="BG285">SUMPRODUCT(IF(BE285*AZ285*AP285*$FI$16:$FI$23*$FA$22&gt;=$FI$24,$FI$24,BE285*AZ285*AP285*$FI$16:$FI$23*$FA$22),$FJ$16:$FJ$23)</f>
        <v>58072.835482782917</v>
      </c>
      <c r="BH285" s="1110">
        <f t="shared" si="371"/>
        <v>14953.369306455772</v>
      </c>
      <c r="BI285" s="1111">
        <f>IF(O285="vo",$EW$26/$EW$24*0.05,0)+IF(O285="sk",-$EW$26/$EW$24*(0.05-INDEX(绊状态确认!W:W,MATCH($G285,绊状态确认!$B:$B,)))+0.05*$EW$28,0)+IF(O285="sp",0.05*$EW$32*$EW$30*(1-$EW$33)-(0.05-INDEX(绊状态确认!V:V,MATCH($G285,绊状态确认!$B:$B,)))*$EW$28,0)+IF(O285="gd",-(0.05-INDEX(绊状态确认!X:X,MATCH($G285,绊状态确认!$B:$B,)))*$EW$32*$EW$30*(1-$EW$33),0)</f>
        <v>7726.3029277443748</v>
      </c>
      <c r="BJ285" s="1097">
        <f>IF(O285="vo",0.05*(1-$FI$26)*$FA$24,0)+IF(O285="sk",-(0.05-INDEX(绊状态确认!W:W,MATCH($G285,绊状态确认!$B:$B,)))*(1-$FI$26)*$FA$24+0.05*$FA$26,0)+IF(O285="sp",0.05*$FA$32*$FA$27*(1-$FA$33)/$FA$30+0.05*$FA$29/$FA$69*$FA$27*(1-$FA$33)-(0.05-INDEX(绊状态确认!V:V,MATCH($G285,绊状态确认!$B:$B,)))*$FA$26,0)+IF(O285="gd",-(0.05-INDEX(绊状态确认!X:X,MATCH($G285,绊状态确认!$B:$B,)))*$FA$32*$FA$27*(1-$FA$33)/$FA$30-(0.05-INDEX(绊状态确认!X:X,MATCH($G285,绊状态确认!$B:$B,)))*$FA$29/$FA$69*$FA$27*(1-$FA$33),0)</f>
        <v>393.93433687500004</v>
      </c>
      <c r="BK285" s="1110">
        <f>IF(O285="vo",$EW$26/$EW$24*0.05+$EW$26*(-HP($EW$62,$EW$65,$EW$64)+HP($EW$62,$EW$65,(1.05-INDEX(绊状态确认!U:U,MATCH($G285,绊状态确认!$B:$B,)))*$EW$64)),0)+IF(O285="sk",-$EW$26/$EW$24*(0.05-INDEX(绊状态确认!W:W,MATCH($G285,绊状态确认!$B:$B,)))+0.05*$EW$29,0)+IF(O285="sp",0.05*$EW$32*$EW$30*(1-$EW$33)-(0.05-INDEX(绊状态确认!V:V,MATCH($G285,绊状态确认!$B:$B,)))*$EW$29,0)+IF(O285="gd",-(0.05-INDEX(绊状态确认!X:X,MATCH($G285,绊状态确认!$B:$B,)))*$EW$32*$EW$30*(1-$EW$33)+$EW$26*(-HP($EW$62,$EW$65,$EW$64)+HP($EW$62,$EW$65,0.95*$EW$64)),0)</f>
        <v>6421.6344775026746</v>
      </c>
      <c r="BL285" s="1111">
        <f t="shared" si="372"/>
        <v>-1083.3333333333333</v>
      </c>
      <c r="BM285" s="1110">
        <f t="shared" si="373"/>
        <v>-830.55555555555543</v>
      </c>
      <c r="BN285" s="1113">
        <f t="shared" si="374"/>
        <v>3</v>
      </c>
      <c r="BO285" s="1097">
        <f t="shared" si="375"/>
        <v>4507.7214871259994</v>
      </c>
      <c r="BP285" s="1100">
        <f t="shared" si="376"/>
        <v>221.34103209030098</v>
      </c>
      <c r="BQ285" s="1113" t="s">
        <v>132</v>
      </c>
      <c r="BR285" s="1124" t="s">
        <v>557</v>
      </c>
      <c r="BS285" s="1098">
        <f>IF($P285="","N/A",IF($P285=-1,INDEX('卡片raw data'!AX:AX,MATCH($D285,'卡片raw data'!$F:$F,)),0)+IF($L285="party卡",IF($P285=5,INDEX('卡片raw data'!BD:BD,MATCH($D285,'卡片raw data'!$F:$F,)),IF($P285&gt;=3,INDEX('卡片raw data'!BC:BC,MATCH($D285,'卡片raw data'!$F:$F,)),INDEX('卡片raw data'!BB:BB,MATCH($D285,'卡片raw data'!$F:$F,)))),IF(OR(AND($F285="UR",$P285=0),AND($F285="SR",$P285&gt;=0,$P285&lt;=2),AND($F285="R",$P285&gt;=0,$P285&lt;4)),INDEX('卡片raw data'!AZ:AZ,MATCH($D285,'卡片raw data'!$F:$F,)),0)+IF(OR(AND($F285="UR",$P285&gt;=1,$P285&lt;=4),AND($F285="SR",$P285&lt;=4,$P285&gt;=3),AND($F285="R",$P285=4)),INDEX('卡片raw data'!BA:BA,MATCH($D285,'卡片raw data'!$F:$F,)),0)+IF($P285=5,INDEX('卡片raw data'!BB:BB,MATCH($D285,'卡片raw data'!$F:$F,)),0)))</f>
        <v>4.2000000000000003E-2</v>
      </c>
      <c r="BT285" s="1101">
        <f t="shared" si="377"/>
        <v>1682.88268852704</v>
      </c>
      <c r="BU285" s="1097">
        <f t="shared" si="378"/>
        <v>61.975488985284287</v>
      </c>
      <c r="BV285" s="1097">
        <f t="shared" si="379"/>
        <v>946.62151229645997</v>
      </c>
      <c r="BW285" s="1112">
        <f t="shared" si="380"/>
        <v>0</v>
      </c>
      <c r="BX285" s="1100">
        <f t="shared" si="381"/>
        <v>1682.88268852704</v>
      </c>
      <c r="BY285" s="1110">
        <f t="shared" si="382"/>
        <v>946.62151229645997</v>
      </c>
      <c r="BZ285" s="1107" t="s">
        <v>569</v>
      </c>
      <c r="CA285" s="1124"/>
      <c r="CB285" s="1098">
        <f>IF($P285="","N/A",IF($P285=-1,INDEX('卡片raw data'!BE:BE,MATCH($D285,'卡片raw data'!$F:$F,)),0)+IF($L285="party卡",IF($P285=5,INDEX('卡片raw data'!BK:BK,MATCH($D285,'卡片raw data'!$F:$F,)),IF($P285&gt;=3,INDEX('卡片raw data'!BJ:BJ,MATCH($D285,'卡片raw data'!$F:$F,)),INDEX('卡片raw data'!BI:BI,MATCH($D285,'卡片raw data'!$F:$F,)))),IF(OR(AND($F285="UR",$P285=0),AND($F285="SR",$P285&gt;=0,$P285&lt;=2),AND($F285="R",$P285&gt;=0,$P285&lt;4)),INDEX('卡片raw data'!BG:BG,MATCH($D285,'卡片raw data'!$F:$F,)),0)+IF(OR(AND($F285="UR",$P285&gt;=1,$P285&lt;=4),AND($F285="SR",$P285&lt;=4,$P285&gt;=3),AND($F285="R",$P285=4)),INDEX('卡片raw data'!BH:BH,MATCH($D285,'卡片raw data'!$F:$F,)),0)+IF($P285=5,INDEX('卡片raw data'!BI:BI,MATCH($D285,'卡片raw data'!$F:$F,)),0)))</f>
        <v>0</v>
      </c>
      <c r="CC285" s="1101">
        <f t="shared" si="383"/>
        <v>0</v>
      </c>
      <c r="CD285" s="1097">
        <f>IF(BZ285="ap",CB285*(1-$FI$26)*$FB$5/$FB$11*(+IF(CA285="全员",$FA$24,0)+IF(CA285="同作战",$FA$24,0)+IF(CA285="仲间",$FA$24*2/3,0)+IF(CA285="同属性",$FA$24*$FA$37/3,0)+IF(CA285="同年级",$FA$24*$FA$40/3,0)+IF(CA285="同学校",$FA$24*$FA$43/3,0)+IF(CA285="同小队",$FA$24*$FA$46/3,0)+IF(CA285="同type",$FA$24*INDEX($FB$49:$FB$52,MATCH(X285,$FA$49:$FA$52,))/3,0)+IF(CA285="自身",#REF!/3,0)),0)+IF(BZ285="te",CB285*(1-$FI$27)*($FA$20-1)*$FB$7/$FB$13*(+IF(CA285="全员",$FA$19*$FA$24/(1+($FA$20-1)*$FA$19),0)+IF(CA285="同作战",$FA$19*$FA$24/(1+($FA$20-1)*$FA$19),0)+IF(CA285="仲间",$FA$19*$FA$24*2/3/(1+($FA$20-1)*$FA$19),0)+IF(CA285="同属性",$FA$19*$FA$24*$FA$37/3/(1+($FA$20-1)*$FA$19),0)+IF(CA285="同年级",$FA$19*$FA$24*$FA$40/3/(1+($FA$20-1)*$FA$19),0)+IF(CA285="同学校",$FA$19*$FA$24*$FA$43/3/(1+($FA$20-1)*$FA$19),0)+IF(CA285="同小队",$FA$19*$FA$24*$FA$46/3/(1+($FA$20-1)*$FA$19),0)+IF(CA285="同type",$FA$19*$FA$24*INDEX($FB$49:$FB$52,MATCH(X285,$FA$49:$FA$52,))/3/(1+($FA$20-1)*$FA$19),0)+IF(CA285="自身",$FA$19*#REF!/3/(1+(BH285-1)*$BD285),0)),0)</f>
        <v>0</v>
      </c>
      <c r="CE285" s="1097">
        <f t="shared" si="384"/>
        <v>0</v>
      </c>
      <c r="CF285" s="1112">
        <f t="shared" si="385"/>
        <v>0</v>
      </c>
      <c r="CG285" s="1100">
        <f t="shared" si="386"/>
        <v>0</v>
      </c>
      <c r="CH285" s="1110">
        <f t="shared" si="387"/>
        <v>0</v>
      </c>
      <c r="CI285" s="1113" t="s">
        <v>164</v>
      </c>
      <c r="CJ285" s="1114">
        <v>0.5</v>
      </c>
      <c r="CK285" s="1115" t="s">
        <v>295</v>
      </c>
      <c r="CL285" s="1115" t="s">
        <v>161</v>
      </c>
      <c r="CM285" s="1119">
        <v>0.08</v>
      </c>
      <c r="CN285" s="1115">
        <v>10</v>
      </c>
      <c r="CO285" s="1092"/>
      <c r="CP285" s="1118">
        <f t="shared" si="388"/>
        <v>8.5714285714285719E-3</v>
      </c>
      <c r="CQ285" s="1118">
        <f t="shared" si="389"/>
        <v>1.3333333333333336E-2</v>
      </c>
      <c r="CR285" s="1118">
        <f t="shared" si="390"/>
        <v>8.5714285714285719E-3</v>
      </c>
      <c r="CS285" s="1118">
        <f t="shared" si="391"/>
        <v>1.1388888888888888E-2</v>
      </c>
      <c r="CT285" s="1109">
        <f t="shared" si="392"/>
        <v>0</v>
      </c>
      <c r="CU285" s="1101">
        <f t="shared" si="393"/>
        <v>363.63636363636363</v>
      </c>
      <c r="CV285" s="1108">
        <f t="shared" si="394"/>
        <v>303.03030303030306</v>
      </c>
      <c r="CW285" s="1097">
        <f t="shared" si="395"/>
        <v>363.63636363636363</v>
      </c>
      <c r="CX285" s="1097">
        <f t="shared" si="396"/>
        <v>363.63636363636363</v>
      </c>
      <c r="CY285" s="1110">
        <f t="shared" si="397"/>
        <v>363.63636363636363</v>
      </c>
      <c r="CZ285" s="437"/>
      <c r="DA285" s="438"/>
      <c r="DB285" s="439" t="s">
        <v>569</v>
      </c>
      <c r="DC285" s="439"/>
      <c r="DD285" s="443"/>
      <c r="DE285" s="411"/>
      <c r="DF285" s="411"/>
      <c r="DG285" s="1116">
        <f t="shared" si="398"/>
        <v>0</v>
      </c>
      <c r="DH285" s="1116">
        <f t="shared" si="399"/>
        <v>0</v>
      </c>
      <c r="DI285" s="1116">
        <f t="shared" si="400"/>
        <v>0</v>
      </c>
      <c r="DJ285" s="442">
        <f t="shared" si="401"/>
        <v>0</v>
      </c>
      <c r="DK285" s="1109">
        <f t="shared" si="402"/>
        <v>0</v>
      </c>
      <c r="DL285" s="1101">
        <f t="shared" si="403"/>
        <v>0</v>
      </c>
      <c r="DM285" s="1097">
        <f t="shared" si="404"/>
        <v>0</v>
      </c>
      <c r="DN285" s="1097">
        <f t="shared" si="405"/>
        <v>0</v>
      </c>
      <c r="DO285" s="1097">
        <f t="shared" si="406"/>
        <v>0</v>
      </c>
      <c r="DP285" s="1110">
        <f t="shared" si="407"/>
        <v>0</v>
      </c>
      <c r="DQ285" s="1113" t="s">
        <v>780</v>
      </c>
      <c r="DR285" s="1120">
        <f t="shared" si="408"/>
        <v>0.3</v>
      </c>
      <c r="DS285" s="1124">
        <v>5</v>
      </c>
      <c r="DT285" s="1093" t="s">
        <v>781</v>
      </c>
      <c r="DU285" s="1093" t="s">
        <v>544</v>
      </c>
      <c r="DV285" s="1098">
        <f>IF($P285="","N/A",IF(P285=-1,INDEX('卡片raw data'!AN:AN,MATCH(D285,'卡片raw data'!$F:$F,)),0)+IF(AND(L285&lt;&gt;"party卡",P285&lt;=2,P285&gt;=0),INDEX('卡片raw data'!AP:AP,MATCH(D285,'卡片raw data'!$F:$F,)),0)+IF(OR(AND(L285="party卡",P285&lt;=1),AND(P285&lt;=4,L285&lt;&gt;"party卡",P285&gt;=3)),INDEX('卡片raw data'!AQ:AQ,MATCH(D285,'卡片raw data'!$F:$F,)),0)+IF(OR(P285=5,AND(L285="party卡",P285&gt;=2)),INDEX('卡片raw data'!AR:AR,MATCH(D285,'卡片raw data'!$F:$F,)),0))</f>
        <v>5.1999999999999998E-2</v>
      </c>
      <c r="DW285" s="1098">
        <f t="shared" si="409"/>
        <v>0.3</v>
      </c>
      <c r="DX285" s="1098">
        <f t="shared" si="410"/>
        <v>0.3</v>
      </c>
      <c r="DY285" s="1098">
        <f t="shared" si="411"/>
        <v>1.3866666666666666E-2</v>
      </c>
      <c r="DZ285" s="1098">
        <f t="shared" si="412"/>
        <v>8.9959999999999988E-3</v>
      </c>
      <c r="EA285" s="1098">
        <f t="shared" si="413"/>
        <v>0</v>
      </c>
      <c r="EB285" s="1121">
        <f t="shared" si="414"/>
        <v>0</v>
      </c>
      <c r="EC285" s="1101">
        <f t="shared" si="415"/>
        <v>2357.037479823884</v>
      </c>
      <c r="ED285" s="1097">
        <f t="shared" si="416"/>
        <v>70.876665890550001</v>
      </c>
      <c r="EE285" s="1110">
        <f t="shared" si="417"/>
        <v>2357.037479823884</v>
      </c>
      <c r="EF285" s="1092" t="s">
        <v>569</v>
      </c>
      <c r="EG285" s="1120">
        <f t="shared" si="418"/>
        <v>0.3</v>
      </c>
      <c r="EH285" s="1124"/>
      <c r="EI285" s="1093"/>
      <c r="EJ285" s="1093"/>
      <c r="EK285" s="1097">
        <f>IF($P285="","N/A",IF(P285=-1,INDEX('卡片raw data'!AS:AS,MATCH(D285,'卡片raw data'!$F:$F,)),0)+IF(AND(L285&lt;&gt;"party卡",P285&lt;=2,P285&gt;=0),INDEX('卡片raw data'!AU:AU,MATCH(D285,'卡片raw data'!$F:$F,)),0)+IF(OR(AND(L285="party卡",P285&lt;=1),AND(P285&lt;=4,L285&lt;&gt;"party卡",P285&gt;=3)),INDEX('卡片raw data'!AV:AV,MATCH(D285,'卡片raw data'!$F:$F,)),0)+IF(OR(P285=5,AND(L285="party卡",P285&gt;=2)),INDEX('卡片raw data'!AW:AW,MATCH(D285,'卡片raw data'!$F:$F,)),0))</f>
        <v>0</v>
      </c>
      <c r="EL285" s="1098">
        <f t="shared" si="419"/>
        <v>0.3</v>
      </c>
      <c r="EM285" s="1098">
        <f t="shared" si="420"/>
        <v>0.3</v>
      </c>
      <c r="EN285" s="1125">
        <f t="shared" si="421"/>
        <v>0</v>
      </c>
      <c r="EO285" s="1125">
        <f t="shared" si="422"/>
        <v>0</v>
      </c>
      <c r="EP285" s="1098">
        <f t="shared" si="423"/>
        <v>0</v>
      </c>
      <c r="EQ285" s="1121">
        <f t="shared" si="424"/>
        <v>0</v>
      </c>
      <c r="ER285" s="1101">
        <f t="shared" si="425"/>
        <v>0</v>
      </c>
      <c r="ES285" s="1097">
        <f t="shared" si="426"/>
        <v>0</v>
      </c>
      <c r="ET285" s="1122">
        <f t="shared" si="427"/>
        <v>0</v>
      </c>
    </row>
    <row r="286" spans="2:150" ht="16.5" customHeight="1">
      <c r="B286" s="1123" t="str">
        <f>INDEX('卡片raw data'!B:B,MATCH($D286,'卡片raw data'!$F:$F,))</f>
        <v>五单妮</v>
      </c>
      <c r="C286" s="449" t="s">
        <v>579</v>
      </c>
      <c r="D286" s="408">
        <v>283</v>
      </c>
      <c r="E286" s="1090">
        <v>300092002</v>
      </c>
      <c r="F286" s="1090" t="str">
        <f>INDEX('卡片raw data'!C:C,MATCH($D286,'卡片raw data'!$F:$F,))</f>
        <v>SR</v>
      </c>
      <c r="G286" s="1094" t="s">
        <v>32</v>
      </c>
      <c r="H286" s="411">
        <f>IFERROR(INDEX(绊状态确认!C:C,MATCH($G286,绊状态确认!$B:$B,)),"")</f>
        <v>9</v>
      </c>
      <c r="I286" s="450" t="str">
        <f>IFERROR(INDEX(绊状态确认!D:D,MATCH($G286,绊状态确认!$B:$B,)),"")</f>
        <v>缪</v>
      </c>
      <c r="J286" s="450" t="str">
        <f>IFERROR(INDEX(绊状态确认!E:E,MATCH($G286,绊状态确认!$B:$B,)),"")</f>
        <v>3年级</v>
      </c>
      <c r="K286" s="451" t="str">
        <f>IFERROR(INDEX(绊状态确认!F:F,MATCH($G286,绊状态确认!$B:$B,)),"")</f>
        <v>BiBi</v>
      </c>
      <c r="L286" s="1094" t="str">
        <f>INDEX('卡片raw data'!E:E,MATCH($D286,'卡片raw data'!$F:$F,))</f>
        <v>卡池卡</v>
      </c>
      <c r="M286" s="415">
        <v>44040</v>
      </c>
      <c r="N286" s="416">
        <v>20.5</v>
      </c>
      <c r="O286" s="1091" t="str">
        <f>INDEX('卡片raw data'!D:D,MATCH($D286,'卡片raw data'!$F:$F,))</f>
        <v>sp</v>
      </c>
      <c r="P286" s="417">
        <v>5</v>
      </c>
      <c r="Q286" s="1095">
        <f t="shared" si="343"/>
        <v>28723.472304687381</v>
      </c>
      <c r="R286" s="1096">
        <f t="shared" si="344"/>
        <v>0.33300000000000002</v>
      </c>
      <c r="S286" s="1097">
        <f t="shared" si="345"/>
        <v>16571.765688301708</v>
      </c>
      <c r="T286" s="1098">
        <f t="shared" si="346"/>
        <v>0.82799999999999996</v>
      </c>
      <c r="U286" s="1099">
        <f t="shared" si="347"/>
        <v>10.328110470042857</v>
      </c>
      <c r="V286" s="1100">
        <f t="shared" si="348"/>
        <v>27744.589397584183</v>
      </c>
      <c r="W286" s="1101">
        <f t="shared" si="349"/>
        <v>5295.7735470141542</v>
      </c>
      <c r="X286" s="1096">
        <f t="shared" si="350"/>
        <v>6.0999999999999999E-2</v>
      </c>
      <c r="Y286" s="1097">
        <f t="shared" si="351"/>
        <v>821.11709289680221</v>
      </c>
      <c r="Z286" s="1102">
        <f t="shared" si="352"/>
        <v>10.328110470042857</v>
      </c>
      <c r="AA286" s="1103">
        <f t="shared" si="353"/>
        <v>6116.8906399109565</v>
      </c>
      <c r="AB286" s="1101">
        <f t="shared" si="354"/>
        <v>6076.3970354737385</v>
      </c>
      <c r="AC286" s="1104">
        <f t="shared" si="355"/>
        <v>7.0000000000000007E-2</v>
      </c>
      <c r="AD286" s="1105">
        <f t="shared" si="356"/>
        <v>-1.9908281250000003E-2</v>
      </c>
      <c r="AE286" s="1128">
        <f t="shared" si="357"/>
        <v>-0.7785326086956541</v>
      </c>
      <c r="AF286" s="1130">
        <f t="shared" si="358"/>
        <v>0</v>
      </c>
      <c r="AG286" s="420">
        <f t="shared" si="359"/>
        <v>0</v>
      </c>
      <c r="AH286" s="420">
        <f t="shared" si="360"/>
        <v>0</v>
      </c>
      <c r="AI286" s="1097">
        <f t="shared" si="361"/>
        <v>0</v>
      </c>
      <c r="AJ286" s="420">
        <f t="shared" si="362"/>
        <v>0</v>
      </c>
      <c r="AK286" s="518">
        <f t="shared" si="363"/>
        <v>0</v>
      </c>
      <c r="AL286" s="1106">
        <f>IF($P286="","N/A",(IF($P286=-1,INDEX('卡片raw data'!S:S,MATCH($D286,'卡片raw data'!$F:$F,)),0)+IF($P286=0,INDEX('卡片raw data'!V:V,MATCH($D286,'卡片raw data'!$F:$F,)),0)+IF($P286=1,INDEX('卡片raw data'!Y:Y,MATCH($D286,'卡片raw data'!$F:$F,)),0)+IF($P286=2,INDEX('卡片raw data'!AB:AB,MATCH($D286,'卡片raw data'!$F:$F,)),0)+IF($P286=3,INDEX('卡片raw data'!AE:AE,MATCH($D286,'卡片raw data'!$F:$F,)),0)+IF($P286=4,INDEX('卡片raw data'!AH:AH,MATCH($D286,'卡片raw data'!$F:$F,)),0)+IF($P286=5,INDEX('卡片raw data'!AK:AK,MATCH($D286,'卡片raw data'!$F:$F,)),0)+INDEX('卡片raw data'!S:S,MATCH($D286,'卡片raw data'!$F:$F,))*(IF($F286="UR",0.04,0.033))*(IF($F286="UR",INDEX(绊状态确认!$S:$S,MATCH($G286,绊状态确认!$B:$B,))/2-40)+IF($F286="SR",INDEX(绊状态确认!$R:$R,MATCH($G286,绊状态确认!$B:$B,))/4-15))+IF($F286="R",INDEX(绊状态确认!$Q:$Q,MATCH($G286,绊状态确认!$B:$B,))/6-40/6)))*(INDEX(绊状态确认!$H:$H,MATCH($G286,绊状态确认!$B:$B,))+INDEX(绊状态确认!J:J,MATCH($G286,绊状态确认!$B:$B,)))</f>
        <v>6907.9074095999995</v>
      </c>
      <c r="AM286" s="1106">
        <f>IF($P286="","N/A",(IF($P286=-1,INDEX('卡片raw data'!T:T,MATCH($D286,'卡片raw data'!$F:$F,)),0)+IF($P286=0,INDEX('卡片raw data'!W:W,MATCH($D286,'卡片raw data'!$F:$F,)),0)+IF($P286=1,INDEX('卡片raw data'!Z:Z,MATCH($D286,'卡片raw data'!$F:$F,)),0)+IF($P286=2,INDEX('卡片raw data'!AC:AC,MATCH($D286,'卡片raw data'!$F:$F,)),0)+IF($P286=3,INDEX('卡片raw data'!AF:AF,MATCH($D286,'卡片raw data'!$F:$F,)),0)+IF($P286=4,INDEX('卡片raw data'!AI:AI,MATCH($D286,'卡片raw data'!$F:$F,)),0)+IF($P286=5,INDEX('卡片raw data'!AL:AL,MATCH($D286,'卡片raw data'!$F:$F,)),0)+INDEX('卡片raw data'!T:T,MATCH($D286,'卡片raw data'!$F:$F,))*(IF($F286="UR",0.04,0.033))*(IF($F286="UR",INDEX(绊状态确认!$S:$S,MATCH($G286,绊状态确认!$B:$B,))/2-40)+IF($F286="SR",INDEX(绊状态确认!$R:$R,MATCH($G286,绊状态确认!$B:$B,))/4-15))+IF($F286="R",INDEX(绊状态确认!$Q:$Q,MATCH($G286,绊状态确认!$B:$B,))/6-40/6)))*(INDEX(绊状态确认!$H:$H,MATCH($G286,绊状态确认!$B:$B,))+INDEX(绊状态确认!K:K,MATCH($G286,绊状态确认!$B:$B,)))</f>
        <v>5081.0034959999994</v>
      </c>
      <c r="AN286" s="1106">
        <f>IF($P286="","N/A",(IF($P286=-1,INDEX('卡片raw data'!U:U,MATCH($D286,'卡片raw data'!$F:$F,)),0)+IF($P286=0,INDEX('卡片raw data'!X:X,MATCH($D286,'卡片raw data'!$F:$F,)),0)+IF($P286=1,INDEX('卡片raw data'!AA:AA,MATCH($D286,'卡片raw data'!$F:$F,)),0)+IF($P286=2,INDEX('卡片raw data'!AD:AD,MATCH($D286,'卡片raw data'!$F:$F,)),0)+IF($P286=3,INDEX('卡片raw data'!AG:AG,MATCH($D286,'卡片raw data'!$F:$F,)),0)+IF($P286=4,INDEX('卡片raw data'!AJ:AJ,MATCH($D286,'卡片raw data'!$F:$F,)),0)+IF($P286=5,INDEX('卡片raw data'!AM:AM,MATCH($D286,'卡片raw data'!$F:$F,)),0)+INDEX('卡片raw data'!U:U,MATCH($D286,'卡片raw data'!$F:$F,))*(IF($F286="UR",0.04,0.033))*(IF($F286="UR",INDEX(绊状态确认!$S:$S,MATCH($G286,绊状态确认!$B:$B,))/2-40)+IF($F286="SR",INDEX(绊状态确认!$R:$R,MATCH($G286,绊状态确认!$B:$B,))/4-15))+IF($F286="R",INDEX(绊状态确认!$Q:$Q,MATCH($G286,绊状态确认!$B:$B,))/6-40/6)))*(INDEX(绊状态确认!$H:$H,MATCH($G286,绊状态确认!$B:$B,))+INDEX(绊状态确认!L:L,MATCH($G286,绊状态确认!$B:$B,)))</f>
        <v>8330.4824759999992</v>
      </c>
      <c r="AO286" s="1107">
        <f t="shared" si="364"/>
        <v>1</v>
      </c>
      <c r="AP286" s="1131">
        <f>1+(INDEX(绊状态确认!$T:$T,MATCH($G286,绊状态确认!$B:$B,))+0.2)*$AO286</f>
        <v>1.3</v>
      </c>
      <c r="AQ286" s="1108">
        <f t="shared" si="365"/>
        <v>21383.256950200004</v>
      </c>
      <c r="AR286" s="1097">
        <f>(AM286*(1+$EX$9)+$EX$35)*(1+(INDEX(绊状态确认!$T:$T,MATCH($G286,绊状态确认!$B:$B,))+0.2)*AO286)*IF(J286=$FF$17,1+$FE$17,1)*IF(I286=$FF$14,1+$FE$14,1)</f>
        <v>9639.5697720400003</v>
      </c>
      <c r="AS286" s="1097">
        <f>(AN286*(1+$EX$10)+$EX$36)*(1+(INDEX(绊状态确认!$T:$T,MATCH($G286,绊状态确认!$B:$B,))+0.2)*AO286)*IF(J286=$FF$17,1+$FE$17,1)*IF(I286=$FF$14,1+$FE$14,1)</f>
        <v>16510.071301619999</v>
      </c>
      <c r="AT286" s="1093">
        <f>IF(AND(INDEX('卡片raw data'!AK:AK,MATCH($D286,'卡片raw data'!$F:$F,))&lt;INDEX('卡片raw data'!AM:AM,MATCH($D286,'卡片raw data'!$F:$F,)),INDEX('卡片raw data'!AL:AL,MATCH($D286,'卡片raw data'!$F:$F,))&lt;INDEX('卡片raw data'!AM:AM,MATCH($D286,'卡片raw data'!$F:$F,))),1,0)</f>
        <v>1</v>
      </c>
      <c r="AU286" s="1098">
        <f>MIN(AT286*0.15+AS286*0.00003+INDEX(绊状态确认!M:M,MATCH($G286,绊状态确认!$B:$B,)),1)</f>
        <v>0.67530213904860004</v>
      </c>
      <c r="AV286" s="1109">
        <f>(INDEX(绊状态确认!$N:$N,MATCH($G286,绊状态确认!$B:$B,))+1.5)*$EW$21</f>
        <v>2.6599999999999997</v>
      </c>
      <c r="AW286" s="1101">
        <f t="shared" si="366"/>
        <v>23554.408602546973</v>
      </c>
      <c r="AX286" s="1097">
        <f t="shared" si="367"/>
        <v>821.11709289680175</v>
      </c>
      <c r="AY286" s="1110">
        <f t="shared" si="368"/>
        <v>24375.525695443775</v>
      </c>
      <c r="AZ286" s="429">
        <f t="shared" si="369"/>
        <v>16070.419448719998</v>
      </c>
      <c r="BA286" s="431">
        <f t="shared" si="370"/>
        <v>19284.503338463997</v>
      </c>
      <c r="BB286" s="1097">
        <f>(AM286*(1+$FB$9)+$FB$35)*(1+(INDEX(绊状态确认!$T:$T,MATCH($G286,绊状态确认!$B:$B,))+0.2)*AO286)*IF(J286=$FF$17,1+$FE$17,1)*IF(I286=$FF$14,1+$FE$14,1)*(1+$FE$15)</f>
        <v>9639.5697720400003</v>
      </c>
      <c r="BC286" s="1097">
        <f>(AN286*(1+$FB$10)+$FB$36)*(1+(INDEX(绊状态确认!$T:$T,MATCH($G286,绊状态确认!$B:$B,))+0.2)*AO286)*IF(J286=$FF$17,1+$FE$17,1)*IF(I286=$FF$14,1+$FE$14,1)*(1+$FE$15)</f>
        <v>16510.071301619999</v>
      </c>
      <c r="BD286" s="1104">
        <f>MIN(AT286*0.15+BC286*0.00003+INDEX(绊状态确认!M:M,MATCH($G286,绊状态确认!$B:$B,)),1)</f>
        <v>0.67530213904860004</v>
      </c>
      <c r="BE286" s="432">
        <f>(INDEX(绊状态确认!$N:$N,MATCH($G286,绊状态确认!$B:$B,))+1.5)</f>
        <v>1.9</v>
      </c>
      <c r="BF286" s="1139">
        <f t="array" ref="BF286">SUMPRODUCT(IF(AZ286*AP286*$FI$16:$FI$23*$FA$22&gt;=$FI$24,$FI$24,AZ286*AP286*$FI$16:$FI$23*$FA$22),$FJ$16:$FJ$23)</f>
        <v>31964.064283504078</v>
      </c>
      <c r="BG286" s="1125">
        <f t="array" ref="BG286">SUMPRODUCT(IF(BE286*AZ286*AP286*$FI$16:$FI$23*$FA$22&gt;=$FI$24,$FI$24,BE286*AZ286*AP286*$FI$16:$FI$23*$FA$22),$FJ$16:$FJ$23)</f>
        <v>56945.966911820869</v>
      </c>
      <c r="BH286" s="1110">
        <f t="shared" si="371"/>
        <v>16278.13218863675</v>
      </c>
      <c r="BI286" s="1111">
        <f>IF(O286="vo",$EW$26/$EW$24*0.05,0)+IF(O286="sk",-$EW$26/$EW$24*(0.05-INDEX(绊状态确认!W:W,MATCH($G286,绊状态确认!$B:$B,)))+0.05*$EW$28,0)+IF(O286="sp",0.05*$EW$32*$EW$30*(1-$EW$33)-(0.05-INDEX(绊状态确认!V:V,MATCH($G286,绊状态确认!$B:$B,)))*$EW$28,0)+IF(O286="gd",-(0.05-INDEX(绊状态确认!X:X,MATCH($G286,绊状态确认!$B:$B,)))*$EW$32*$EW$30*(1-$EW$33),0)</f>
        <v>19.999999999999886</v>
      </c>
      <c r="BJ286" s="1097">
        <f>IF(O286="vo",0.05*(1-$FI$26)*$FA$24,0)+IF(O286="sk",-(0.05-INDEX(绊状态确认!W:W,MATCH($G286,绊状态确认!$B:$B,)))*(1-$FI$26)*$FA$24+0.05*$FA$26,0)+IF(O286="sp",0.05*$FA$32*$FA$27*(1-$FA$33)/$FA$30+0.05*$FA$29/$FA$69*$FA$27*(1-$FA$33)-(0.05-INDEX(绊状态确认!V:V,MATCH($G286,绊状态确认!$B:$B,)))*$FA$26,0)+IF(O286="gd",-(0.05-INDEX(绊状态确认!X:X,MATCH($G286,绊状态确认!$B:$B,)))*$FA$32*$FA$27*(1-$FA$33)/$FA$30-(0.05-INDEX(绊状态确认!X:X,MATCH($G286,绊状态确认!$B:$B,)))*$FA$29/$FA$69*$FA$27*(1-$FA$33),0)</f>
        <v>545.83333333333326</v>
      </c>
      <c r="BK286" s="1110">
        <f>IF(O286="vo",$EW$26/$EW$24*0.05+$EW$26*(-HP($EW$62,$EW$65,$EW$64)+HP($EW$62,$EW$65,(1.05-INDEX(绊状态确认!U:U,MATCH($G286,绊状态确认!$B:$B,)))*$EW$64)),0)+IF(O286="sk",-$EW$26/$EW$24*(0.05-INDEX(绊状态确认!W:W,MATCH($G286,绊状态确认!$B:$B,)))+0.05*$EW$29,0)+IF(O286="sp",0.05*$EW$32*$EW$30*(1-$EW$33)-(0.05-INDEX(绊状态确认!V:V,MATCH($G286,绊状态确认!$B:$B,)))*$EW$29,0)+IF(O286="gd",-(0.05-INDEX(绊状态确认!X:X,MATCH($G286,绊状态确认!$B:$B,)))*$EW$32*$EW$30*(1-$EW$33)+$EW$26*(-HP($EW$62,$EW$65,$EW$64)+HP($EW$62,$EW$65,0.95*$EW$64)),0)</f>
        <v>-1780.0000000000005</v>
      </c>
      <c r="BL286" s="1111">
        <f t="shared" si="372"/>
        <v>-1083.3333333333333</v>
      </c>
      <c r="BM286" s="1110">
        <f t="shared" si="373"/>
        <v>-830.55555555555543</v>
      </c>
      <c r="BN286" s="1113">
        <f t="shared" si="374"/>
        <v>3</v>
      </c>
      <c r="BO286" s="1097">
        <f t="shared" si="375"/>
        <v>4507.7214871259994</v>
      </c>
      <c r="BP286" s="1100">
        <f t="shared" si="376"/>
        <v>221.34103209030098</v>
      </c>
      <c r="BQ286" s="1113" t="s">
        <v>134</v>
      </c>
      <c r="BR286" s="1124" t="s">
        <v>171</v>
      </c>
      <c r="BS286" s="1098">
        <f>IF($P286="","N/A",IF($P286=-1,INDEX('卡片raw data'!AX:AX,MATCH($D286,'卡片raw data'!$F:$F,)),0)+IF($L286="party卡",IF($P286=5,INDEX('卡片raw data'!BD:BD,MATCH($D286,'卡片raw data'!$F:$F,)),IF($P286&gt;=3,INDEX('卡片raw data'!BC:BC,MATCH($D286,'卡片raw data'!$F:$F,)),INDEX('卡片raw data'!BB:BB,MATCH($D286,'卡片raw data'!$F:$F,)))),IF(OR(AND($F286="UR",$P286=0),AND($F286="SR",$P286&gt;=0,$P286&lt;=2),AND($F286="R",$P286&gt;=0,$P286&lt;4)),INDEX('卡片raw data'!AZ:AZ,MATCH($D286,'卡片raw data'!$F:$F,)),0)+IF(OR(AND($F286="UR",$P286&gt;=1,$P286&lt;=4),AND($F286="SR",$P286&lt;=4,$P286&gt;=3),AND($F286="R",$P286=4)),INDEX('卡片raw data'!BA:BA,MATCH($D286,'卡片raw data'!$F:$F,)),0)+IF($P286=5,INDEX('卡片raw data'!BB:BB,MATCH($D286,'卡片raw data'!$F:$F,)),0)))</f>
        <v>3.2000000000000001E-2</v>
      </c>
      <c r="BT286" s="1101">
        <f t="shared" si="377"/>
        <v>1509.2469769191675</v>
      </c>
      <c r="BU286" s="1097">
        <f t="shared" si="378"/>
        <v>95.522578685765595</v>
      </c>
      <c r="BV286" s="1097">
        <f t="shared" si="379"/>
        <v>754.62348845958354</v>
      </c>
      <c r="BW286" s="1112">
        <f t="shared" si="380"/>
        <v>0</v>
      </c>
      <c r="BX286" s="1100">
        <f t="shared" si="381"/>
        <v>1509.2469769191675</v>
      </c>
      <c r="BY286" s="1110">
        <f t="shared" si="382"/>
        <v>754.62348845958354</v>
      </c>
      <c r="BZ286" s="1107" t="s">
        <v>569</v>
      </c>
      <c r="CA286" s="1124"/>
      <c r="CB286" s="1098">
        <f>IF($P286="","N/A",IF($P286=-1,INDEX('卡片raw data'!BE:BE,MATCH($D286,'卡片raw data'!$F:$F,)),0)+IF($L286="party卡",IF($P286=5,INDEX('卡片raw data'!BK:BK,MATCH($D286,'卡片raw data'!$F:$F,)),IF($P286&gt;=3,INDEX('卡片raw data'!BJ:BJ,MATCH($D286,'卡片raw data'!$F:$F,)),INDEX('卡片raw data'!BI:BI,MATCH($D286,'卡片raw data'!$F:$F,)))),IF(OR(AND($F286="UR",$P286=0),AND($F286="SR",$P286&gt;=0,$P286&lt;=2),AND($F286="R",$P286&gt;=0,$P286&lt;4)),INDEX('卡片raw data'!BG:BG,MATCH($D286,'卡片raw data'!$F:$F,)),0)+IF(OR(AND($F286="UR",$P286&gt;=1,$P286&lt;=4),AND($F286="SR",$P286&lt;=4,$P286&gt;=3),AND($F286="R",$P286=4)),INDEX('卡片raw data'!BH:BH,MATCH($D286,'卡片raw data'!$F:$F,)),0)+IF($P286=5,INDEX('卡片raw data'!BI:BI,MATCH($D286,'卡片raw data'!$F:$F,)),0)))</f>
        <v>0</v>
      </c>
      <c r="CC286" s="1101">
        <f t="shared" si="383"/>
        <v>0</v>
      </c>
      <c r="CD286" s="1097">
        <f>IF(BZ286="ap",CB286*(1-$FI$26)*$FB$5/$FB$11*(+IF(CA286="全员",$FA$24,0)+IF(CA286="同作战",$FA$24,0)+IF(CA286="仲间",$FA$24*2/3,0)+IF(CA286="同属性",$FA$24*$FA$37/3,0)+IF(CA286="同年级",$FA$24*$FA$40/3,0)+IF(CA286="同学校",$FA$24*$FA$43/3,0)+IF(CA286="同小队",$FA$24*$FA$46/3,0)+IF(CA286="同type",$FA$24*INDEX($FB$49:$FB$52,MATCH(X286,$FA$49:$FA$52,))/3,0)+IF(CA286="自身",#REF!/3,0)),0)+IF(BZ286="te",CB286*(1-$FI$27)*($FA$20-1)*$FB$7/$FB$13*(+IF(CA286="全员",$FA$19*$FA$24/(1+($FA$20-1)*$FA$19),0)+IF(CA286="同作战",$FA$19*$FA$24/(1+($FA$20-1)*$FA$19),0)+IF(CA286="仲间",$FA$19*$FA$24*2/3/(1+($FA$20-1)*$FA$19),0)+IF(CA286="同属性",$FA$19*$FA$24*$FA$37/3/(1+($FA$20-1)*$FA$19),0)+IF(CA286="同年级",$FA$19*$FA$24*$FA$40/3/(1+($FA$20-1)*$FA$19),0)+IF(CA286="同学校",$FA$19*$FA$24*$FA$43/3/(1+($FA$20-1)*$FA$19),0)+IF(CA286="同小队",$FA$19*$FA$24*$FA$46/3/(1+($FA$20-1)*$FA$19),0)+IF(CA286="同type",$FA$19*$FA$24*INDEX($FB$49:$FB$52,MATCH(X286,$FA$49:$FA$52,))/3/(1+($FA$20-1)*$FA$19),0)+IF(CA286="自身",$FA$19*#REF!/3/(1+(BH286-1)*$BD286),0)),0)</f>
        <v>0</v>
      </c>
      <c r="CE286" s="1097">
        <f t="shared" si="384"/>
        <v>0</v>
      </c>
      <c r="CF286" s="1112">
        <f t="shared" si="385"/>
        <v>0</v>
      </c>
      <c r="CG286" s="1100">
        <f t="shared" si="386"/>
        <v>0</v>
      </c>
      <c r="CH286" s="1110">
        <f t="shared" si="387"/>
        <v>0</v>
      </c>
      <c r="CI286" s="1113" t="s">
        <v>170</v>
      </c>
      <c r="CJ286" s="1114">
        <v>1</v>
      </c>
      <c r="CK286" s="1115" t="s">
        <v>533</v>
      </c>
      <c r="CL286" s="1115" t="s">
        <v>557</v>
      </c>
      <c r="CM286" s="1119">
        <v>0.08</v>
      </c>
      <c r="CN286" s="1115">
        <v>30</v>
      </c>
      <c r="CO286" s="1092">
        <v>1</v>
      </c>
      <c r="CP286" s="1118">
        <f t="shared" si="388"/>
        <v>4.5714285714285718E-3</v>
      </c>
      <c r="CQ286" s="1118">
        <f t="shared" si="389"/>
        <v>1.0666666666666665E-2</v>
      </c>
      <c r="CR286" s="1118">
        <f t="shared" si="390"/>
        <v>2.5714285714285713E-3</v>
      </c>
      <c r="CS286" s="1118">
        <f t="shared" si="391"/>
        <v>0</v>
      </c>
      <c r="CT286" s="1109">
        <f t="shared" si="392"/>
        <v>0.57291666666666674</v>
      </c>
      <c r="CU286" s="1101">
        <f t="shared" si="393"/>
        <v>59.428571428571431</v>
      </c>
      <c r="CV286" s="1108">
        <f t="shared" si="394"/>
        <v>106.31111111111107</v>
      </c>
      <c r="CW286" s="1097">
        <f t="shared" si="395"/>
        <v>33.428571428571423</v>
      </c>
      <c r="CX286" s="1097">
        <f t="shared" si="396"/>
        <v>59.428571428571431</v>
      </c>
      <c r="CY286" s="1110">
        <f t="shared" si="397"/>
        <v>33.428571428571423</v>
      </c>
      <c r="CZ286" s="437"/>
      <c r="DA286" s="438"/>
      <c r="DB286" s="439" t="s">
        <v>569</v>
      </c>
      <c r="DC286" s="439"/>
      <c r="DD286" s="443"/>
      <c r="DE286" s="411"/>
      <c r="DF286" s="411"/>
      <c r="DG286" s="1116">
        <f t="shared" si="398"/>
        <v>0</v>
      </c>
      <c r="DH286" s="1116">
        <f t="shared" si="399"/>
        <v>0</v>
      </c>
      <c r="DI286" s="1116">
        <f t="shared" si="400"/>
        <v>0</v>
      </c>
      <c r="DJ286" s="442">
        <f t="shared" si="401"/>
        <v>0</v>
      </c>
      <c r="DK286" s="1109">
        <f t="shared" si="402"/>
        <v>0</v>
      </c>
      <c r="DL286" s="1101">
        <f t="shared" si="403"/>
        <v>0</v>
      </c>
      <c r="DM286" s="1097">
        <f t="shared" si="404"/>
        <v>0</v>
      </c>
      <c r="DN286" s="1097">
        <f t="shared" si="405"/>
        <v>0</v>
      </c>
      <c r="DO286" s="1097">
        <f t="shared" si="406"/>
        <v>0</v>
      </c>
      <c r="DP286" s="1110">
        <f t="shared" si="407"/>
        <v>0</v>
      </c>
      <c r="DQ286" s="1113" t="s">
        <v>782</v>
      </c>
      <c r="DR286" s="1120">
        <f t="shared" si="408"/>
        <v>0.3</v>
      </c>
      <c r="DS286" s="1124">
        <v>5</v>
      </c>
      <c r="DT286" s="1093" t="s">
        <v>781</v>
      </c>
      <c r="DU286" s="1093" t="s">
        <v>544</v>
      </c>
      <c r="DV286" s="1098">
        <f>IF($P286="","N/A",IF(P286=-1,INDEX('卡片raw data'!AN:AN,MATCH(D286,'卡片raw data'!$F:$F,)),0)+IF(AND(L286&lt;&gt;"party卡",P286&lt;=2,P286&gt;=0),INDEX('卡片raw data'!AP:AP,MATCH(D286,'卡片raw data'!$F:$F,)),0)+IF(OR(AND(L286="party卡",P286&lt;=1),AND(P286&lt;=4,L286&lt;&gt;"party卡",P286&gt;=3)),INDEX('卡片raw data'!AQ:AQ,MATCH(D286,'卡片raw data'!$F:$F,)),0)+IF(OR(P286=5,AND(L286="party卡",P286&gt;=2)),INDEX('卡片raw data'!AR:AR,MATCH(D286,'卡片raw data'!$F:$F,)),0))</f>
        <v>4.4999999999999998E-2</v>
      </c>
      <c r="DW286" s="1098">
        <f t="shared" si="409"/>
        <v>0.3</v>
      </c>
      <c r="DX286" s="1098">
        <f t="shared" si="410"/>
        <v>0.3</v>
      </c>
      <c r="DY286" s="1098">
        <f t="shared" si="411"/>
        <v>1.1999999999999999E-2</v>
      </c>
      <c r="DZ286" s="1098">
        <f t="shared" si="412"/>
        <v>1.5569999999999999E-2</v>
      </c>
      <c r="EA286" s="1098">
        <f t="shared" si="413"/>
        <v>0</v>
      </c>
      <c r="EB286" s="1121">
        <f t="shared" si="414"/>
        <v>0</v>
      </c>
      <c r="EC286" s="1101">
        <f t="shared" si="415"/>
        <v>155.99999999999997</v>
      </c>
      <c r="ED286" s="1097">
        <f t="shared" si="416"/>
        <v>155.18099999999995</v>
      </c>
      <c r="EE286" s="1110">
        <f t="shared" si="417"/>
        <v>155.99999999999997</v>
      </c>
      <c r="EF286" s="1092" t="s">
        <v>569</v>
      </c>
      <c r="EG286" s="1120">
        <f t="shared" si="418"/>
        <v>0.3</v>
      </c>
      <c r="EH286" s="1124"/>
      <c r="EI286" s="1093"/>
      <c r="EJ286" s="1093"/>
      <c r="EK286" s="1097">
        <f>IF($P286="","N/A",IF(P286=-1,INDEX('卡片raw data'!AS:AS,MATCH(D286,'卡片raw data'!$F:$F,)),0)+IF(AND(L286&lt;&gt;"party卡",P286&lt;=2,P286&gt;=0),INDEX('卡片raw data'!AU:AU,MATCH(D286,'卡片raw data'!$F:$F,)),0)+IF(OR(AND(L286="party卡",P286&lt;=1),AND(P286&lt;=4,L286&lt;&gt;"party卡",P286&gt;=3)),INDEX('卡片raw data'!AV:AV,MATCH(D286,'卡片raw data'!$F:$F,)),0)+IF(OR(P286=5,AND(L286="party卡",P286&gt;=2)),INDEX('卡片raw data'!AW:AW,MATCH(D286,'卡片raw data'!$F:$F,)),0))</f>
        <v>0</v>
      </c>
      <c r="EL286" s="1098">
        <f t="shared" si="419"/>
        <v>0.3</v>
      </c>
      <c r="EM286" s="1098">
        <f t="shared" si="420"/>
        <v>0.3</v>
      </c>
      <c r="EN286" s="1125">
        <f t="shared" si="421"/>
        <v>0</v>
      </c>
      <c r="EO286" s="1125">
        <f t="shared" si="422"/>
        <v>0</v>
      </c>
      <c r="EP286" s="1098">
        <f t="shared" si="423"/>
        <v>0</v>
      </c>
      <c r="EQ286" s="1121">
        <f t="shared" si="424"/>
        <v>0</v>
      </c>
      <c r="ER286" s="1101">
        <f t="shared" si="425"/>
        <v>0</v>
      </c>
      <c r="ES286" s="1097">
        <f t="shared" si="426"/>
        <v>0</v>
      </c>
      <c r="ET286" s="1122">
        <f t="shared" si="427"/>
        <v>0</v>
      </c>
    </row>
    <row r="287" spans="2:150" ht="16.5" customHeight="1">
      <c r="B287" s="1123" t="str">
        <f>INDEX('卡片raw data'!B:B,MATCH($D287,'卡片raw data'!$F:$F,))</f>
        <v>校服栞</v>
      </c>
      <c r="C287" s="449" t="s">
        <v>810</v>
      </c>
      <c r="D287" s="408">
        <v>284</v>
      </c>
      <c r="E287" s="1090">
        <v>102101001</v>
      </c>
      <c r="F287" s="1090" t="str">
        <f>INDEX('卡片raw data'!C:C,MATCH($D287,'卡片raw data'!$F:$F,))</f>
        <v>R</v>
      </c>
      <c r="G287" s="1094" t="s">
        <v>785</v>
      </c>
      <c r="H287" s="411">
        <f>IFERROR(INDEX(绊状态确认!C:C,MATCH($G287,绊状态确认!$B:$B,)),"")</f>
        <v>210</v>
      </c>
      <c r="I287" s="450" t="str">
        <f>IFERROR(INDEX(绊状态确认!D:D,MATCH($G287,绊状态确认!$B:$B,)),"")</f>
        <v>虹</v>
      </c>
      <c r="J287" s="450" t="str">
        <f>IFERROR(INDEX(绊状态确认!E:E,MATCH($G287,绊状态确认!$B:$B,)),"")</f>
        <v>1年级</v>
      </c>
      <c r="K287" s="451" t="str">
        <f>IFERROR(INDEX(绊状态确认!F:F,MATCH($G287,绊状态确认!$B:$B,)),"")</f>
        <v>R3BIRTH</v>
      </c>
      <c r="L287" s="1094" t="str">
        <f>INDEX('卡片raw data'!E:E,MATCH($D287,'卡片raw data'!$F:$F,))</f>
        <v>卡池卡</v>
      </c>
      <c r="M287" s="415">
        <v>44048</v>
      </c>
      <c r="N287" s="416">
        <v>21</v>
      </c>
      <c r="O287" s="1091" t="str">
        <f>INDEX('卡片raw data'!D:D,MATCH($D287,'卡片raw data'!$F:$F,))</f>
        <v>vo</v>
      </c>
      <c r="P287" s="417">
        <v>5</v>
      </c>
      <c r="Q287" s="1095">
        <f t="shared" si="343"/>
        <v>25571.365134386826</v>
      </c>
      <c r="R287" s="1096">
        <f t="shared" si="344"/>
        <v>0.29699999999999999</v>
      </c>
      <c r="S287" s="1097">
        <f t="shared" si="345"/>
        <v>10199.59693086126</v>
      </c>
      <c r="T287" s="1098">
        <f t="shared" si="346"/>
        <v>0.50900000000000001</v>
      </c>
      <c r="U287" s="1099">
        <f t="shared" si="347"/>
        <v>-18.414912427857143</v>
      </c>
      <c r="V287" s="1100">
        <f t="shared" si="348"/>
        <v>24786.260233984103</v>
      </c>
      <c r="W287" s="1101">
        <f t="shared" si="349"/>
        <v>3005.1476580839999</v>
      </c>
      <c r="X287" s="1096">
        <f t="shared" si="350"/>
        <v>3.4000000000000002E-2</v>
      </c>
      <c r="Y287" s="1097">
        <f t="shared" si="351"/>
        <v>519.56354983897745</v>
      </c>
      <c r="Z287" s="1102">
        <f t="shared" si="352"/>
        <v>6.5850875721428572</v>
      </c>
      <c r="AA287" s="1103">
        <f t="shared" si="353"/>
        <v>3524.7112079229773</v>
      </c>
      <c r="AB287" s="1101">
        <f t="shared" si="354"/>
        <v>6010.2953161679998</v>
      </c>
      <c r="AC287" s="1104">
        <f t="shared" si="355"/>
        <v>6.9000000000000006E-2</v>
      </c>
      <c r="AD287" s="1105">
        <f t="shared" si="356"/>
        <v>-3.8207812500000026E-3</v>
      </c>
      <c r="AE287" s="1128">
        <f t="shared" si="357"/>
        <v>-22.692028985507246</v>
      </c>
      <c r="AF287" s="1130">
        <f t="shared" si="358"/>
        <v>0</v>
      </c>
      <c r="AG287" s="420">
        <f t="shared" si="359"/>
        <v>0</v>
      </c>
      <c r="AH287" s="420">
        <f t="shared" si="360"/>
        <v>0</v>
      </c>
      <c r="AI287" s="1097">
        <f t="shared" si="361"/>
        <v>0</v>
      </c>
      <c r="AJ287" s="420">
        <f t="shared" si="362"/>
        <v>0</v>
      </c>
      <c r="AK287" s="518">
        <f t="shared" si="363"/>
        <v>0</v>
      </c>
      <c r="AL287" s="1106">
        <f>IF($P287="","N/A",(IF($P287=-1,INDEX('卡片raw data'!S:S,MATCH($D287,'卡片raw data'!$F:$F,)),0)+IF($P287=0,INDEX('卡片raw data'!V:V,MATCH($D287,'卡片raw data'!$F:$F,)),0)+IF($P287=1,INDEX('卡片raw data'!Y:Y,MATCH($D287,'卡片raw data'!$F:$F,)),0)+IF($P287=2,INDEX('卡片raw data'!AB:AB,MATCH($D287,'卡片raw data'!$F:$F,)),0)+IF($P287=3,INDEX('卡片raw data'!AE:AE,MATCH($D287,'卡片raw data'!$F:$F,)),0)+IF($P287=4,INDEX('卡片raw data'!AH:AH,MATCH($D287,'卡片raw data'!$F:$F,)),0)+IF($P287=5,INDEX('卡片raw data'!AK:AK,MATCH($D287,'卡片raw data'!$F:$F,)),0)+INDEX('卡片raw data'!S:S,MATCH($D287,'卡片raw data'!$F:$F,))*(IF($F287="UR",0.04,0.033))*(IF($F287="UR",INDEX(绊状态确认!$S:$S,MATCH($G287,绊状态确认!$B:$B,))/2-40)+IF($F287="SR",INDEX(绊状态确认!$R:$R,MATCH($G287,绊状态确认!$B:$B,))/4-15))+IF($F287="R",INDEX(绊状态确认!$Q:$Q,MATCH($G287,绊状态确认!$B:$B,))/6-40/6)))*(INDEX(绊状态确认!$H:$H,MATCH($G287,绊状态确认!$B:$B,))+INDEX(绊状态确认!J:J,MATCH($G287,绊状态确认!$B:$B,)))</f>
        <v>5280.8507999999993</v>
      </c>
      <c r="AM287" s="1106">
        <f>IF($P287="","N/A",(IF($P287=-1,INDEX('卡片raw data'!T:T,MATCH($D287,'卡片raw data'!$F:$F,)),0)+IF($P287=0,INDEX('卡片raw data'!W:W,MATCH($D287,'卡片raw data'!$F:$F,)),0)+IF($P287=1,INDEX('卡片raw data'!Z:Z,MATCH($D287,'卡片raw data'!$F:$F,)),0)+IF($P287=2,INDEX('卡片raw data'!AC:AC,MATCH($D287,'卡片raw data'!$F:$F,)),0)+IF($P287=3,INDEX('卡片raw data'!AF:AF,MATCH($D287,'卡片raw data'!$F:$F,)),0)+IF($P287=4,INDEX('卡片raw data'!AI:AI,MATCH($D287,'卡片raw data'!$F:$F,)),0)+IF($P287=5,INDEX('卡片raw data'!AL:AL,MATCH($D287,'卡片raw data'!$F:$F,)),0)+INDEX('卡片raw data'!T:T,MATCH($D287,'卡片raw data'!$F:$F,))*(IF($F287="UR",0.04,0.033))*(IF($F287="UR",INDEX(绊状态确认!$S:$S,MATCH($G287,绊状态确认!$B:$B,))/2-40)+IF($F287="SR",INDEX(绊状态确认!$R:$R,MATCH($G287,绊状态确认!$B:$B,))/4-15))+IF($F287="R",INDEX(绊状态确认!$Q:$Q,MATCH($G287,绊状态确认!$B:$B,))/6-40/6)))*(INDEX(绊状态确认!$H:$H,MATCH($G287,绊状态确认!$B:$B,))+INDEX(绊状态确认!K:K,MATCH($G287,绊状态确认!$B:$B,)))</f>
        <v>2521.6715999999997</v>
      </c>
      <c r="AN287" s="1106">
        <f>IF($P287="","N/A",(IF($P287=-1,INDEX('卡片raw data'!U:U,MATCH($D287,'卡片raw data'!$F:$F,)),0)+IF($P287=0,INDEX('卡片raw data'!X:X,MATCH($D287,'卡片raw data'!$F:$F,)),0)+IF($P287=1,INDEX('卡片raw data'!AA:AA,MATCH($D287,'卡片raw data'!$F:$F,)),0)+IF($P287=2,INDEX('卡片raw data'!AD:AD,MATCH($D287,'卡片raw data'!$F:$F,)),0)+IF($P287=3,INDEX('卡片raw data'!AG:AG,MATCH($D287,'卡片raw data'!$F:$F,)),0)+IF($P287=4,INDEX('卡片raw data'!AJ:AJ,MATCH($D287,'卡片raw data'!$F:$F,)),0)+IF($P287=5,INDEX('卡片raw data'!AM:AM,MATCH($D287,'卡片raw data'!$F:$F,)),0)+INDEX('卡片raw data'!U:U,MATCH($D287,'卡片raw data'!$F:$F,))*(IF($F287="UR",0.04,0.033))*(IF($F287="UR",INDEX(绊状态确认!$S:$S,MATCH($G287,绊状态确认!$B:$B,))/2-40)+IF($F287="SR",INDEX(绊状态确认!$R:$R,MATCH($G287,绊状态确认!$B:$B,))/4-15))+IF($F287="R",INDEX(绊状态确认!$Q:$Q,MATCH($G287,绊状态确认!$B:$B,))/6-40/6)))*(INDEX(绊状态确认!$H:$H,MATCH($G287,绊状态确认!$B:$B,))+INDEX(绊状态确认!L:L,MATCH($G287,绊状态确认!$B:$B,)))</f>
        <v>4200.1343999999999</v>
      </c>
      <c r="AO287" s="1107">
        <f t="shared" si="364"/>
        <v>1</v>
      </c>
      <c r="AP287" s="1131">
        <f>1+(INDEX(绊状态确认!$T:$T,MATCH($G287,绊状态确认!$B:$B,))+0.2)*$AO287</f>
        <v>1.3</v>
      </c>
      <c r="AQ287" s="1108">
        <f t="shared" si="365"/>
        <v>17112.233349999999</v>
      </c>
      <c r="AR287" s="1097">
        <f>(AM287*(1+$EX$9)+$EX$35)*(1+(INDEX(绊状态确认!$T:$T,MATCH($G287,绊状态确认!$B:$B,))+0.2)*AO287)*IF(J287=$FF$17,1+$FE$17,1)*IF(I287=$FF$14,1+$FE$14,1)</f>
        <v>6146.0817340000003</v>
      </c>
      <c r="AS287" s="1097">
        <f>(AN287*(1+$EX$10)+$EX$36)*(1+(INDEX(绊状态确认!$T:$T,MATCH($G287,绊状态确认!$B:$B,))+0.2)*AO287)*IF(J287=$FF$17,1+$FE$17,1)*IF(I287=$FF$14,1+$FE$14,1)</f>
        <v>10335.200928</v>
      </c>
      <c r="AT287" s="1093">
        <f>IF(AND(INDEX('卡片raw data'!AK:AK,MATCH($D287,'卡片raw data'!$F:$F,))&lt;INDEX('卡片raw data'!AM:AM,MATCH($D287,'卡片raw data'!$F:$F,)),INDEX('卡片raw data'!AL:AL,MATCH($D287,'卡片raw data'!$F:$F,))&lt;INDEX('卡片raw data'!AM:AM,MATCH($D287,'卡片raw data'!$F:$F,))),1,0)</f>
        <v>0</v>
      </c>
      <c r="AU287" s="1098">
        <f>MIN(AT287*0.15+AS287*0.00003+INDEX(绊状态确认!M:M,MATCH($G287,绊状态确认!$B:$B,)),1)</f>
        <v>0.34005602784000005</v>
      </c>
      <c r="AV287" s="1109">
        <f>(INDEX(绊状态确认!$N:$N,MATCH($G287,绊状态确认!$B:$B,))+1.5)*$EW$21</f>
        <v>2.6599999999999997</v>
      </c>
      <c r="AW287" s="1101">
        <f t="shared" si="366"/>
        <v>13903.933557141121</v>
      </c>
      <c r="AX287" s="1097">
        <f t="shared" si="367"/>
        <v>519.56354983897745</v>
      </c>
      <c r="AY287" s="1110">
        <f t="shared" si="368"/>
        <v>14423.497106980099</v>
      </c>
      <c r="AZ287" s="429">
        <f t="shared" si="369"/>
        <v>12897.659059999998</v>
      </c>
      <c r="BA287" s="431">
        <f t="shared" si="370"/>
        <v>15477.190871999997</v>
      </c>
      <c r="BB287" s="1097">
        <f>(AM287*(1+$FB$9)+$FB$35)*(1+(INDEX(绊状态确认!$T:$T,MATCH($G287,绊状态确认!$B:$B,))+0.2)*AO287)*IF(J287=$FF$17,1+$FE$17,1)*IF(I287=$FF$14,1+$FE$14,1)*(1+$FE$15)</f>
        <v>6146.0817340000003</v>
      </c>
      <c r="BC287" s="1097">
        <f>(AN287*(1+$FB$10)+$FB$36)*(1+(INDEX(绊状态确认!$T:$T,MATCH($G287,绊状态确认!$B:$B,))+0.2)*AO287)*IF(J287=$FF$17,1+$FE$17,1)*IF(I287=$FF$14,1+$FE$14,1)*(1+$FE$15)</f>
        <v>10335.200928</v>
      </c>
      <c r="BD287" s="1104">
        <f>MIN(AT287*0.15+BC287*0.00003+INDEX(绊状态确认!M:M,MATCH($G287,绊状态确认!$B:$B,)),1)</f>
        <v>0.34005602784000005</v>
      </c>
      <c r="BE287" s="432">
        <f>(INDEX(绊状态确认!$N:$N,MATCH($G287,绊状态确认!$B:$B,))+1.5)</f>
        <v>1.9</v>
      </c>
      <c r="BF287" s="1139">
        <f t="array" ref="BF287">SUMPRODUCT(IF(AZ287*AP287*$FI$16:$FI$23*$FA$22&gt;=$FI$24,$FI$24,AZ287*AP287*$FI$16:$FI$23*$FA$22),$FJ$16:$FJ$23)</f>
        <v>25653.443870340001</v>
      </c>
      <c r="BG287" s="1125">
        <f t="array" ref="BG287">SUMPRODUCT(IF(BE287*AZ287*AP287*$FI$16:$FI$23*$FA$22&gt;=$FI$24,$FI$24,BE287*AZ287*AP287*$FI$16:$FI$23*$FA$22),$FJ$16:$FJ$23)</f>
        <v>48688.671956787992</v>
      </c>
      <c r="BH287" s="1110">
        <f t="shared" si="371"/>
        <v>11162.23734460197</v>
      </c>
      <c r="BI287" s="1111">
        <f>IF(O287="vo",$EW$26/$EW$24*0.05,0)+IF(O287="sk",-$EW$26/$EW$24*(0.05-INDEX(绊状态确认!W:W,MATCH($G287,绊状态确认!$B:$B,)))+0.05*$EW$28,0)+IF(O287="sp",0.05*$EW$32*$EW$30*(1-$EW$33)-(0.05-INDEX(绊状态确认!V:V,MATCH($G287,绊状态确认!$B:$B,)))*$EW$28,0)+IF(O287="gd",-(0.05-INDEX(绊状态确认!X:X,MATCH($G287,绊状态确认!$B:$B,)))*$EW$32*$EW$30*(1-$EW$33),0)</f>
        <v>7726.3029277443748</v>
      </c>
      <c r="BJ287" s="1097">
        <f>IF(O287="vo",0.05*(1-$FI$26)*$FA$24,0)+IF(O287="sk",-(0.05-INDEX(绊状态确认!W:W,MATCH($G287,绊状态确认!$B:$B,)))*(1-$FI$26)*$FA$24+0.05*$FA$26,0)+IF(O287="sp",0.05*$FA$32*$FA$27*(1-$FA$33)/$FA$30+0.05*$FA$29/$FA$69*$FA$27*(1-$FA$33)-(0.05-INDEX(绊状态确认!V:V,MATCH($G287,绊状态确认!$B:$B,)))*$FA$26,0)+IF(O287="gd",-(0.05-INDEX(绊状态确认!X:X,MATCH($G287,绊状态确认!$B:$B,)))*$FA$32*$FA$27*(1-$FA$33)/$FA$30-(0.05-INDEX(绊状态确认!X:X,MATCH($G287,绊状态确认!$B:$B,)))*$FA$29/$FA$69*$FA$27*(1-$FA$33),0)</f>
        <v>393.93433687500004</v>
      </c>
      <c r="BK287" s="1110">
        <f>IF(O287="vo",$EW$26/$EW$24*0.05+$EW$26*(-HP($EW$62,$EW$65,$EW$64)+HP($EW$62,$EW$65,(1.05-INDEX(绊状态确认!U:U,MATCH($G287,绊状态确认!$B:$B,)))*$EW$64)),0)+IF(O287="sk",-$EW$26/$EW$24*(0.05-INDEX(绊状态确认!W:W,MATCH($G287,绊状态确认!$B:$B,)))+0.05*$EW$29,0)+IF(O287="sp",0.05*$EW$32*$EW$30*(1-$EW$33)-(0.05-INDEX(绊状态确认!V:V,MATCH($G287,绊状态确认!$B:$B,)))*$EW$29,0)+IF(O287="gd",-(0.05-INDEX(绊状态确认!X:X,MATCH($G287,绊状态确认!$B:$B,)))*$EW$32*$EW$30*(1-$EW$33)+$EW$26*(-HP($EW$62,$EW$65,$EW$64)+HP($EW$62,$EW$65,0.95*$EW$64)),0)</f>
        <v>6421.6344775026746</v>
      </c>
      <c r="BL287" s="1111">
        <f t="shared" si="372"/>
        <v>-2166.6666666666665</v>
      </c>
      <c r="BM287" s="1110">
        <f t="shared" si="373"/>
        <v>-1661.1111111111109</v>
      </c>
      <c r="BN287" s="1113">
        <f t="shared" si="374"/>
        <v>2</v>
      </c>
      <c r="BO287" s="1097">
        <f t="shared" si="375"/>
        <v>3005.1476580839999</v>
      </c>
      <c r="BP287" s="1100">
        <f t="shared" si="376"/>
        <v>147.56068806020068</v>
      </c>
      <c r="BQ287" s="1113" t="s">
        <v>811</v>
      </c>
      <c r="BR287" s="1124" t="s">
        <v>168</v>
      </c>
      <c r="BS287" s="1098">
        <f>IF($P287="","N/A",IF($P287=-1,INDEX('卡片raw data'!AX:AX,MATCH($D287,'卡片raw data'!$F:$F,)),0)+IF($L287="party卡",IF($P287=5,INDEX('卡片raw data'!BD:BD,MATCH($D287,'卡片raw data'!$F:$F,)),IF($P287&gt;=3,INDEX('卡片raw data'!BC:BC,MATCH($D287,'卡片raw data'!$F:$F,)),INDEX('卡片raw data'!BB:BB,MATCH($D287,'卡片raw data'!$F:$F,)))),IF(OR(AND($F287="UR",$P287=0),AND($F287="SR",$P287&gt;=0,$P287&lt;=2),AND($F287="R",$P287&gt;=0,$P287&lt;4)),INDEX('卡片raw data'!AZ:AZ,MATCH($D287,'卡片raw data'!$F:$F,)),0)+IF(OR(AND($F287="UR",$P287&gt;=1,$P287&lt;=4),AND($F287="SR",$P287&lt;=4,$P287&gt;=3),AND($F287="R",$P287=4)),INDEX('卡片raw data'!BA:BA,MATCH($D287,'卡片raw data'!$F:$F,)),0)+IF($P287=5,INDEX('卡片raw data'!BB:BB,MATCH($D287,'卡片raw data'!$F:$F,)),0)))</f>
        <v>0.04</v>
      </c>
      <c r="BT287" s="1101">
        <f t="shared" si="377"/>
        <v>3005.1476580840003</v>
      </c>
      <c r="BU287" s="1097">
        <f t="shared" si="378"/>
        <v>147.56068806020068</v>
      </c>
      <c r="BV287" s="1097">
        <f t="shared" si="379"/>
        <v>0</v>
      </c>
      <c r="BW287" s="1112">
        <f t="shared" si="380"/>
        <v>0</v>
      </c>
      <c r="BX287" s="1100">
        <f t="shared" si="381"/>
        <v>3005.1476580840003</v>
      </c>
      <c r="BY287" s="1110">
        <f t="shared" si="382"/>
        <v>0</v>
      </c>
      <c r="BZ287" s="1107" t="s">
        <v>569</v>
      </c>
      <c r="CA287" s="1124"/>
      <c r="CB287" s="1098">
        <f>IF($P287="","N/A",IF($P287=-1,INDEX('卡片raw data'!BE:BE,MATCH($D287,'卡片raw data'!$F:$F,)),0)+IF($L287="party卡",IF($P287=5,INDEX('卡片raw data'!BK:BK,MATCH($D287,'卡片raw data'!$F:$F,)),IF($P287&gt;=3,INDEX('卡片raw data'!BJ:BJ,MATCH($D287,'卡片raw data'!$F:$F,)),INDEX('卡片raw data'!BI:BI,MATCH($D287,'卡片raw data'!$F:$F,)))),IF(OR(AND($F287="UR",$P287=0),AND($F287="SR",$P287&gt;=0,$P287&lt;=2),AND($F287="R",$P287&gt;=0,$P287&lt;4)),INDEX('卡片raw data'!BG:BG,MATCH($D287,'卡片raw data'!$F:$F,)),0)+IF(OR(AND($F287="UR",$P287&gt;=1,$P287&lt;=4),AND($F287="SR",$P287&lt;=4,$P287&gt;=3),AND($F287="R",$P287=4)),INDEX('卡片raw data'!BH:BH,MATCH($D287,'卡片raw data'!$F:$F,)),0)+IF($P287=5,INDEX('卡片raw data'!BI:BI,MATCH($D287,'卡片raw data'!$F:$F,)),0)))</f>
        <v>0</v>
      </c>
      <c r="CC287" s="1101">
        <f t="shared" si="383"/>
        <v>0</v>
      </c>
      <c r="CD287" s="1097">
        <f>IF(BZ287="ap",CB287*(1-$FI$26)*$FB$5/$FB$11*(+IF(CA287="全员",$FA$24,0)+IF(CA287="同作战",$FA$24,0)+IF(CA287="仲间",$FA$24*2/3,0)+IF(CA287="同属性",$FA$24*$FA$37/3,0)+IF(CA287="同年级",$FA$24*$FA$40/3,0)+IF(CA287="同学校",$FA$24*$FA$43/3,0)+IF(CA287="同小队",$FA$24*$FA$46/3,0)+IF(CA287="同type",$FA$24*INDEX($FB$49:$FB$52,MATCH(X287,$FA$49:$FA$52,))/3,0)+IF(CA287="自身",#REF!/3,0)),0)+IF(BZ287="te",CB287*(1-$FI$27)*($FA$20-1)*$FB$7/$FB$13*(+IF(CA287="全员",$FA$19*$FA$24/(1+($FA$20-1)*$FA$19),0)+IF(CA287="同作战",$FA$19*$FA$24/(1+($FA$20-1)*$FA$19),0)+IF(CA287="仲间",$FA$19*$FA$24*2/3/(1+($FA$20-1)*$FA$19),0)+IF(CA287="同属性",$FA$19*$FA$24*$FA$37/3/(1+($FA$20-1)*$FA$19),0)+IF(CA287="同年级",$FA$19*$FA$24*$FA$40/3/(1+($FA$20-1)*$FA$19),0)+IF(CA287="同学校",$FA$19*$FA$24*$FA$43/3/(1+($FA$20-1)*$FA$19),0)+IF(CA287="同小队",$FA$19*$FA$24*$FA$46/3/(1+($FA$20-1)*$FA$19),0)+IF(CA287="同type",$FA$19*$FA$24*INDEX($FB$49:$FB$52,MATCH(X287,$FA$49:$FA$52,))/3/(1+($FA$20-1)*$FA$19),0)+IF(CA287="自身",$FA$19*#REF!/3/(1+(BH287-1)*$BD287),0)),0)</f>
        <v>0</v>
      </c>
      <c r="CE287" s="1097">
        <f t="shared" si="384"/>
        <v>0</v>
      </c>
      <c r="CF287" s="1112">
        <f t="shared" si="385"/>
        <v>0</v>
      </c>
      <c r="CG287" s="1100">
        <f t="shared" si="386"/>
        <v>0</v>
      </c>
      <c r="CH287" s="1110">
        <f t="shared" si="387"/>
        <v>0</v>
      </c>
      <c r="CI287" s="1113"/>
      <c r="CJ287" s="1114"/>
      <c r="CK287" s="1115" t="s">
        <v>569</v>
      </c>
      <c r="CL287" s="1115"/>
      <c r="CM287" s="1119"/>
      <c r="CN287" s="1115"/>
      <c r="CO287" s="1092"/>
      <c r="CP287" s="1117">
        <f t="shared" si="388"/>
        <v>0</v>
      </c>
      <c r="CQ287" s="1117">
        <f t="shared" si="389"/>
        <v>0</v>
      </c>
      <c r="CR287" s="1117">
        <f t="shared" si="390"/>
        <v>0</v>
      </c>
      <c r="CS287" s="1118">
        <f t="shared" si="391"/>
        <v>0</v>
      </c>
      <c r="CT287" s="1109">
        <f t="shared" si="392"/>
        <v>0</v>
      </c>
      <c r="CU287" s="1101">
        <f t="shared" si="393"/>
        <v>0</v>
      </c>
      <c r="CV287" s="1108">
        <f t="shared" si="394"/>
        <v>0</v>
      </c>
      <c r="CW287" s="1097">
        <f t="shared" si="395"/>
        <v>0</v>
      </c>
      <c r="CX287" s="1097">
        <f t="shared" si="396"/>
        <v>0</v>
      </c>
      <c r="CY287" s="1110">
        <f t="shared" si="397"/>
        <v>0</v>
      </c>
      <c r="CZ287" s="437"/>
      <c r="DA287" s="438"/>
      <c r="DB287" s="439" t="s">
        <v>569</v>
      </c>
      <c r="DC287" s="439"/>
      <c r="DD287" s="443"/>
      <c r="DE287" s="411"/>
      <c r="DF287" s="411"/>
      <c r="DG287" s="1116">
        <f t="shared" si="398"/>
        <v>0</v>
      </c>
      <c r="DH287" s="1116">
        <f t="shared" si="399"/>
        <v>0</v>
      </c>
      <c r="DI287" s="1116">
        <f t="shared" si="400"/>
        <v>0</v>
      </c>
      <c r="DJ287" s="442">
        <f t="shared" si="401"/>
        <v>0</v>
      </c>
      <c r="DK287" s="1109">
        <f t="shared" si="402"/>
        <v>0</v>
      </c>
      <c r="DL287" s="1101">
        <f t="shared" si="403"/>
        <v>0</v>
      </c>
      <c r="DM287" s="1097">
        <f t="shared" si="404"/>
        <v>0</v>
      </c>
      <c r="DN287" s="1097">
        <f t="shared" si="405"/>
        <v>0</v>
      </c>
      <c r="DO287" s="1097">
        <f t="shared" si="406"/>
        <v>0</v>
      </c>
      <c r="DP287" s="1110">
        <f t="shared" si="407"/>
        <v>0</v>
      </c>
      <c r="DQ287" s="1113" t="s">
        <v>812</v>
      </c>
      <c r="DR287" s="1120">
        <f t="shared" si="408"/>
        <v>0.3</v>
      </c>
      <c r="DS287" s="1124">
        <v>5</v>
      </c>
      <c r="DT287" s="1093" t="s">
        <v>161</v>
      </c>
      <c r="DU287" s="1093" t="s">
        <v>546</v>
      </c>
      <c r="DV287" s="1097">
        <f>IF($P287="","N/A",IF(P287=-1,INDEX('卡片raw data'!AN:AN,MATCH(D287,'卡片raw data'!$F:$F,)),0)+IF(AND(L287&lt;&gt;"party卡",P287&lt;=2,P287&gt;=0),INDEX('卡片raw data'!AP:AP,MATCH(D287,'卡片raw data'!$F:$F,)),0)+IF(OR(AND(L287="party卡",P287&lt;=1),AND(P287&lt;=4,L287&lt;&gt;"party卡",P287&gt;=3)),INDEX('卡片raw data'!AQ:AQ,MATCH(D287,'卡片raw data'!$F:$F,)),0)+IF(OR(P287=5,AND(L287="party卡",P287&gt;=2)),INDEX('卡片raw data'!AR:AR,MATCH(D287,'卡片raw data'!$F:$F,)),0))</f>
        <v>150</v>
      </c>
      <c r="DW287" s="1098">
        <f t="shared" si="409"/>
        <v>0.3</v>
      </c>
      <c r="DX287" s="1098">
        <f t="shared" si="410"/>
        <v>0.3</v>
      </c>
      <c r="DY287" s="1098">
        <f t="shared" si="411"/>
        <v>5.7360140072996221E-4</v>
      </c>
      <c r="DZ287" s="1098">
        <f t="shared" si="412"/>
        <v>1.1949941263926284E-3</v>
      </c>
      <c r="EA287" s="1098">
        <f t="shared" si="413"/>
        <v>0</v>
      </c>
      <c r="EB287" s="1121">
        <f t="shared" si="414"/>
        <v>0</v>
      </c>
      <c r="EC287" s="1101">
        <f t="shared" si="415"/>
        <v>97.5</v>
      </c>
      <c r="ED287" s="1097">
        <f t="shared" si="416"/>
        <v>9.4149843749999995</v>
      </c>
      <c r="EE287" s="1110">
        <f t="shared" si="417"/>
        <v>97.5</v>
      </c>
      <c r="EF287" s="1092" t="s">
        <v>569</v>
      </c>
      <c r="EG287" s="1120">
        <f t="shared" si="418"/>
        <v>0.3</v>
      </c>
      <c r="EH287" s="1124"/>
      <c r="EI287" s="1093"/>
      <c r="EJ287" s="1093"/>
      <c r="EK287" s="1097">
        <f>IF($P287="","N/A",IF(P287=-1,INDEX('卡片raw data'!AS:AS,MATCH(D287,'卡片raw data'!$F:$F,)),0)+IF(AND(L287&lt;&gt;"party卡",P287&lt;=2,P287&gt;=0),INDEX('卡片raw data'!AU:AU,MATCH(D287,'卡片raw data'!$F:$F,)),0)+IF(OR(AND(L287="party卡",P287&lt;=1),AND(P287&lt;=4,L287&lt;&gt;"party卡",P287&gt;=3)),INDEX('卡片raw data'!AV:AV,MATCH(D287,'卡片raw data'!$F:$F,)),0)+IF(OR(P287=5,AND(L287="party卡",P287&gt;=2)),INDEX('卡片raw data'!AW:AW,MATCH(D287,'卡片raw data'!$F:$F,)),0))</f>
        <v>0</v>
      </c>
      <c r="EL287" s="1098">
        <f t="shared" si="419"/>
        <v>0.3</v>
      </c>
      <c r="EM287" s="1098">
        <f t="shared" si="420"/>
        <v>0.3</v>
      </c>
      <c r="EN287" s="1125">
        <f t="shared" si="421"/>
        <v>0</v>
      </c>
      <c r="EO287" s="1125">
        <f t="shared" si="422"/>
        <v>0</v>
      </c>
      <c r="EP287" s="1098">
        <f t="shared" si="423"/>
        <v>0</v>
      </c>
      <c r="EQ287" s="1121">
        <f t="shared" si="424"/>
        <v>0</v>
      </c>
      <c r="ER287" s="1101">
        <f t="shared" si="425"/>
        <v>0</v>
      </c>
      <c r="ES287" s="1097">
        <f t="shared" si="426"/>
        <v>0</v>
      </c>
      <c r="ET287" s="1122">
        <f t="shared" si="427"/>
        <v>0</v>
      </c>
    </row>
    <row r="288" spans="2:150" ht="16.5" customHeight="1">
      <c r="B288" s="1123" t="str">
        <f>INDEX('卡片raw data'!B:B,MATCH($D288,'卡片raw data'!$F:$F,))</f>
        <v>练习栞</v>
      </c>
      <c r="C288" s="449" t="s">
        <v>659</v>
      </c>
      <c r="D288" s="408">
        <v>285</v>
      </c>
      <c r="E288" s="1090">
        <v>102101002</v>
      </c>
      <c r="F288" s="1090" t="str">
        <f>INDEX('卡片raw data'!C:C,MATCH($D288,'卡片raw data'!$F:$F,))</f>
        <v>R</v>
      </c>
      <c r="G288" s="1094" t="s">
        <v>785</v>
      </c>
      <c r="H288" s="411">
        <f>IFERROR(INDEX(绊状态确认!C:C,MATCH($G288,绊状态确认!$B:$B,)),"")</f>
        <v>210</v>
      </c>
      <c r="I288" s="450" t="str">
        <f>IFERROR(INDEX(绊状态确认!D:D,MATCH($G288,绊状态确认!$B:$B,)),"")</f>
        <v>虹</v>
      </c>
      <c r="J288" s="450" t="str">
        <f>IFERROR(INDEX(绊状态确认!E:E,MATCH($G288,绊状态确认!$B:$B,)),"")</f>
        <v>1年级</v>
      </c>
      <c r="K288" s="451" t="str">
        <f>IFERROR(INDEX(绊状态确认!F:F,MATCH($G288,绊状态确认!$B:$B,)),"")</f>
        <v>R3BIRTH</v>
      </c>
      <c r="L288" s="1094" t="str">
        <f>INDEX('卡片raw data'!E:E,MATCH($D288,'卡片raw data'!$F:$F,))</f>
        <v>卡池卡</v>
      </c>
      <c r="M288" s="415">
        <v>44048</v>
      </c>
      <c r="N288" s="416">
        <v>21</v>
      </c>
      <c r="O288" s="1091" t="str">
        <f>INDEX('卡片raw data'!D:D,MATCH($D288,'卡片raw data'!$F:$F,))</f>
        <v>sk</v>
      </c>
      <c r="P288" s="417">
        <v>5</v>
      </c>
      <c r="Q288" s="1095">
        <f t="shared" si="343"/>
        <v>10313.76407047569</v>
      </c>
      <c r="R288" s="1096">
        <f t="shared" si="344"/>
        <v>0.11899999999999999</v>
      </c>
      <c r="S288" s="1097">
        <f t="shared" si="345"/>
        <v>8134.0513477346722</v>
      </c>
      <c r="T288" s="1098">
        <f t="shared" si="346"/>
        <v>0.40600000000000003</v>
      </c>
      <c r="U288" s="1099">
        <f t="shared" si="347"/>
        <v>9.9306633771428565</v>
      </c>
      <c r="V288" s="1100">
        <f t="shared" si="348"/>
        <v>13102.642574972559</v>
      </c>
      <c r="W288" s="1101">
        <f t="shared" si="349"/>
        <v>3523.9513063999639</v>
      </c>
      <c r="X288" s="1096">
        <f t="shared" si="350"/>
        <v>0.04</v>
      </c>
      <c r="Y288" s="1097">
        <f t="shared" si="351"/>
        <v>788.87850449686994</v>
      </c>
      <c r="Z288" s="1102">
        <f t="shared" si="352"/>
        <v>9.9306633771428565</v>
      </c>
      <c r="AA288" s="1103">
        <f t="shared" si="353"/>
        <v>4312.8298108968338</v>
      </c>
      <c r="AB288" s="1101">
        <f t="shared" si="354"/>
        <v>4042.7549547159269</v>
      </c>
      <c r="AC288" s="1104">
        <f t="shared" si="355"/>
        <v>4.7E-2</v>
      </c>
      <c r="AD288" s="1105">
        <f t="shared" si="356"/>
        <v>1.8994224431818179E-2</v>
      </c>
      <c r="AE288" s="1128">
        <f t="shared" si="357"/>
        <v>-1.8962422952541544</v>
      </c>
      <c r="AF288" s="1130">
        <f t="shared" si="358"/>
        <v>0</v>
      </c>
      <c r="AG288" s="420">
        <f t="shared" si="359"/>
        <v>0</v>
      </c>
      <c r="AH288" s="420">
        <f t="shared" si="360"/>
        <v>0</v>
      </c>
      <c r="AI288" s="1097">
        <f t="shared" si="361"/>
        <v>0</v>
      </c>
      <c r="AJ288" s="420">
        <f t="shared" si="362"/>
        <v>0</v>
      </c>
      <c r="AK288" s="518">
        <f t="shared" si="363"/>
        <v>0</v>
      </c>
      <c r="AL288" s="1106">
        <f>IF($P288="","N/A",(IF($P288=-1,INDEX('卡片raw data'!S:S,MATCH($D288,'卡片raw data'!$F:$F,)),0)+IF($P288=0,INDEX('卡片raw data'!V:V,MATCH($D288,'卡片raw data'!$F:$F,)),0)+IF($P288=1,INDEX('卡片raw data'!Y:Y,MATCH($D288,'卡片raw data'!$F:$F,)),0)+IF($P288=2,INDEX('卡片raw data'!AB:AB,MATCH($D288,'卡片raw data'!$F:$F,)),0)+IF($P288=3,INDEX('卡片raw data'!AE:AE,MATCH($D288,'卡片raw data'!$F:$F,)),0)+IF($P288=4,INDEX('卡片raw data'!AH:AH,MATCH($D288,'卡片raw data'!$F:$F,)),0)+IF($P288=5,INDEX('卡片raw data'!AK:AK,MATCH($D288,'卡片raw data'!$F:$F,)),0)+INDEX('卡片raw data'!S:S,MATCH($D288,'卡片raw data'!$F:$F,))*(IF($F288="UR",0.04,0.033))*(IF($F288="UR",INDEX(绊状态确认!$S:$S,MATCH($G288,绊状态确认!$B:$B,))/2-40)+IF($F288="SR",INDEX(绊状态确认!$R:$R,MATCH($G288,绊状态确认!$B:$B,))/4-15))+IF($F288="R",INDEX(绊状态确认!$Q:$Q,MATCH($G288,绊状态确认!$B:$B,))/6-40/6)))*(INDEX(绊状态确认!$H:$H,MATCH($G288,绊状态确认!$B:$B,))+INDEX(绊状态确认!J:J,MATCH($G288,绊状态确认!$B:$B,)))</f>
        <v>4122.8591999999999</v>
      </c>
      <c r="AM288" s="1106">
        <f>IF($P288="","N/A",(IF($P288=-1,INDEX('卡片raw data'!T:T,MATCH($D288,'卡片raw data'!$F:$F,)),0)+IF($P288=0,INDEX('卡片raw data'!W:W,MATCH($D288,'卡片raw data'!$F:$F,)),0)+IF($P288=1,INDEX('卡片raw data'!Z:Z,MATCH($D288,'卡片raw data'!$F:$F,)),0)+IF($P288=2,INDEX('卡片raw data'!AC:AC,MATCH($D288,'卡片raw data'!$F:$F,)),0)+IF($P288=3,INDEX('卡片raw data'!AF:AF,MATCH($D288,'卡片raw data'!$F:$F,)),0)+IF($P288=4,INDEX('卡片raw data'!AI:AI,MATCH($D288,'卡片raw data'!$F:$F,)),0)+IF($P288=5,INDEX('卡片raw data'!AL:AL,MATCH($D288,'卡片raw data'!$F:$F,)),0)+INDEX('卡片raw data'!T:T,MATCH($D288,'卡片raw data'!$F:$F,))*(IF($F288="UR",0.04,0.033))*(IF($F288="UR",INDEX(绊状态确认!$S:$S,MATCH($G288,绊状态确认!$B:$B,))/2-40)+IF($F288="SR",INDEX(绊状态确认!$R:$R,MATCH($G288,绊状态确认!$B:$B,))/4-15))+IF($F288="R",INDEX(绊状态确认!$Q:$Q,MATCH($G288,绊状态确认!$B:$B,))/6-40/6)))*(INDEX(绊状态确认!$H:$H,MATCH($G288,绊状态确认!$B:$B,))+INDEX(绊状态确认!K:K,MATCH($G288,绊状态确认!$B:$B,)))</f>
        <v>4809.2447999999995</v>
      </c>
      <c r="AN288" s="1106">
        <f>IF($P288="","N/A",(IF($P288=-1,INDEX('卡片raw data'!U:U,MATCH($D288,'卡片raw data'!$F:$F,)),0)+IF($P288=0,INDEX('卡片raw data'!X:X,MATCH($D288,'卡片raw data'!$F:$F,)),0)+IF($P288=1,INDEX('卡片raw data'!AA:AA,MATCH($D288,'卡片raw data'!$F:$F,)),0)+IF($P288=2,INDEX('卡片raw data'!AD:AD,MATCH($D288,'卡片raw data'!$F:$F,)),0)+IF($P288=3,INDEX('卡片raw data'!AG:AG,MATCH($D288,'卡片raw data'!$F:$F,)),0)+IF($P288=4,INDEX('卡片raw data'!AJ:AJ,MATCH($D288,'卡片raw data'!$F:$F,)),0)+IF($P288=5,INDEX('卡片raw data'!AM:AM,MATCH($D288,'卡片raw data'!$F:$F,)),0)+INDEX('卡片raw data'!U:U,MATCH($D288,'卡片raw data'!$F:$F,))*(IF($F288="UR",0.04,0.033))*(IF($F288="UR",INDEX(绊状态确认!$S:$S,MATCH($G288,绊状态确认!$B:$B,))/2-40)+IF($F288="SR",INDEX(绊状态确认!$R:$R,MATCH($G288,绊状态确认!$B:$B,))/4-15))+IF($F288="R",INDEX(绊状态确认!$Q:$Q,MATCH($G288,绊状态确认!$B:$B,))/6-40/6)))*(INDEX(绊状态确认!$H:$H,MATCH($G288,绊状态确认!$B:$B,))+INDEX(绊状态确认!L:L,MATCH($G288,绊状态确认!$B:$B,)))</f>
        <v>4809.2447999999995</v>
      </c>
      <c r="AO288" s="1107">
        <f t="shared" si="364"/>
        <v>1</v>
      </c>
      <c r="AP288" s="1131">
        <f>1+(INDEX(绊状态确认!$T:$T,MATCH($G288,绊状态确认!$B:$B,))+0.2)*$AO288</f>
        <v>1.3</v>
      </c>
      <c r="AQ288" s="1108">
        <f t="shared" si="365"/>
        <v>14072.5054</v>
      </c>
      <c r="AR288" s="1097">
        <f>(AM288*(1+$EX$9)+$EX$35)*(1+(INDEX(绊状态确认!$T:$T,MATCH($G288,绊状态确认!$B:$B,))+0.2)*AO288)*IF(J288=$FF$17,1+$FE$17,1)*IF(I288=$FF$14,1+$FE$14,1)</f>
        <v>9268.6191519999993</v>
      </c>
      <c r="AS288" s="1097">
        <f>(AN288*(1+$EX$10)+$EX$36)*(1+(INDEX(绊状态确认!$T:$T,MATCH($G288,绊状态确认!$B:$B,))+0.2)*AO288)*IF(J288=$FF$17,1+$FE$17,1)*IF(I288=$FF$14,1+$FE$14,1)</f>
        <v>11245.820975999999</v>
      </c>
      <c r="AT288" s="1093">
        <f>IF(AND(INDEX('卡片raw data'!AK:AK,MATCH($D288,'卡片raw data'!$F:$F,))&lt;INDEX('卡片raw data'!AM:AM,MATCH($D288,'卡片raw data'!$F:$F,)),INDEX('卡片raw data'!AL:AL,MATCH($D288,'卡片raw data'!$F:$F,))&lt;INDEX('卡片raw data'!AM:AM,MATCH($D288,'卡片raw data'!$F:$F,))),1,0)</f>
        <v>0</v>
      </c>
      <c r="AU288" s="1098">
        <f>MIN(AT288*0.15+AS288*0.00003+INDEX(绊状态确认!M:M,MATCH($G288,绊状态确认!$B:$B,)),1)</f>
        <v>0.36737462928000003</v>
      </c>
      <c r="AV288" s="1109">
        <f>(INDEX(绊状态确认!$N:$N,MATCH($G288,绊状态确认!$B:$B,))+1.5)*$EW$21</f>
        <v>2.6599999999999997</v>
      </c>
      <c r="AW288" s="1101">
        <f t="shared" si="366"/>
        <v>11765.54394911324</v>
      </c>
      <c r="AX288" s="1097">
        <f t="shared" si="367"/>
        <v>788.87850449686971</v>
      </c>
      <c r="AY288" s="1110">
        <f t="shared" si="368"/>
        <v>12554.42245361011</v>
      </c>
      <c r="AZ288" s="429">
        <f t="shared" si="369"/>
        <v>10639.575440000001</v>
      </c>
      <c r="BA288" s="431">
        <f t="shared" si="370"/>
        <v>12767.490528</v>
      </c>
      <c r="BB288" s="1097">
        <f>(AM288*(1+$FB$9)+$FB$35)*(1+(INDEX(绊状态确认!$T:$T,MATCH($G288,绊状态确认!$B:$B,))+0.2)*AO288)*IF(J288=$FF$17,1+$FE$17,1)*IF(I288=$FF$14,1+$FE$14,1)*(1+$FE$15)</f>
        <v>9268.6191519999993</v>
      </c>
      <c r="BC288" s="1097">
        <f>(AN288*(1+$FB$10)+$FB$36)*(1+(INDEX(绊状态确认!$T:$T,MATCH($G288,绊状态确认!$B:$B,))+0.2)*AO288)*IF(J288=$FF$17,1+$FE$17,1)*IF(I288=$FF$14,1+$FE$14,1)*(1+$FE$15)</f>
        <v>11245.820975999999</v>
      </c>
      <c r="BD288" s="1104">
        <f>MIN(AT288*0.15+BC288*0.00003+INDEX(绊状态确认!M:M,MATCH($G288,绊状态确认!$B:$B,)),1)</f>
        <v>0.36737462928000003</v>
      </c>
      <c r="BE288" s="432">
        <f>(INDEX(绊状态确认!$N:$N,MATCH($G288,绊状态确认!$B:$B,))+1.5)</f>
        <v>1.9</v>
      </c>
      <c r="BF288" s="1139">
        <f t="array" ref="BF288">SUMPRODUCT(IF(AZ288*AP288*$FI$16:$FI$23*$FA$22&gt;=$FI$24,$FI$24,AZ288*AP288*$FI$16:$FI$23*$FA$22),$FJ$16:$FJ$23)</f>
        <v>21162.115550160001</v>
      </c>
      <c r="BG288" s="1125">
        <f t="array" ref="BG288">SUMPRODUCT(IF(BE288*AZ288*AP288*$FI$16:$FI$23*$FA$22&gt;=$FI$24,$FI$24,BE288*AZ288*AP288*$FI$16:$FI$23*$FA$22),$FJ$16:$FJ$23)</f>
        <v>40208.019545304</v>
      </c>
      <c r="BH288" s="1110">
        <f t="shared" si="371"/>
        <v>9386.365823226166</v>
      </c>
      <c r="BI288" s="1111">
        <f>IF(O288="vo",$EW$26/$EW$24*0.05,0)+IF(O288="sk",-$EW$26/$EW$24*(0.05-INDEX(绊状态确认!W:W,MATCH($G288,绊状态确认!$B:$B,)))+0.05*$EW$28,0)+IF(O288="sp",0.05*$EW$32*$EW$30*(1-$EW$33)-(0.05-INDEX(绊状态确认!V:V,MATCH($G288,绊状态确认!$B:$B,)))*$EW$28,0)+IF(O288="gd",-(0.05-INDEX(绊状态确认!X:X,MATCH($G288,绊状态确认!$B:$B,)))*$EW$32*$EW$30*(1-$EW$33),0)</f>
        <v>-6253.6726349699375</v>
      </c>
      <c r="BJ288" s="1097">
        <f>IF(O288="vo",0.05*(1-$FI$26)*$FA$24,0)+IF(O288="sk",-(0.05-INDEX(绊状态确认!W:W,MATCH($G288,绊状态确认!$B:$B,)))*(1-$FI$26)*$FA$24+0.05*$FA$26,0)+IF(O288="sp",0.05*$FA$32*$FA$27*(1-$FA$33)/$FA$30+0.05*$FA$29/$FA$69*$FA$27*(1-$FA$33)-(0.05-INDEX(绊状态确认!V:V,MATCH($G288,绊状态确认!$B:$B,)))*$FA$26,0)+IF(O288="gd",-(0.05-INDEX(绊状态确认!X:X,MATCH($G288,绊状态确认!$B:$B,)))*$FA$32*$FA$27*(1-$FA$33)/$FA$30-(0.05-INDEX(绊状态确认!X:X,MATCH($G288,绊状态确认!$B:$B,)))*$FA$29/$FA$69*$FA$27*(1-$FA$33),0)</f>
        <v>20.459096812499922</v>
      </c>
      <c r="BK288" s="1110">
        <f>IF(O288="vo",$EW$26/$EW$24*0.05+$EW$26*(-HP($EW$62,$EW$65,$EW$64)+HP($EW$62,$EW$65,(1.05-INDEX(绊状态确认!U:U,MATCH($G288,绊状态确认!$B:$B,)))*$EW$64)),0)+IF(O288="sk",-$EW$26/$EW$24*(0.05-INDEX(绊状态确认!W:W,MATCH($G288,绊状态确认!$B:$B,)))+0.05*$EW$29,0)+IF(O288="sp",0.05*$EW$32*$EW$30*(1-$EW$33)-(0.05-INDEX(绊状态确认!V:V,MATCH($G288,绊状态确认!$B:$B,)))*$EW$29,0)+IF(O288="gd",-(0.05-INDEX(绊状态确认!X:X,MATCH($G288,绊状态确认!$B:$B,)))*$EW$32*$EW$30*(1-$EW$33)+$EW$26*(-HP($EW$62,$EW$65,$EW$64)+HP($EW$62,$EW$65,0.95*$EW$64)),0)</f>
        <v>-4253.6726349699375</v>
      </c>
      <c r="BL288" s="1111">
        <f t="shared" si="372"/>
        <v>-2166.6666666666665</v>
      </c>
      <c r="BM288" s="1110">
        <f t="shared" si="373"/>
        <v>-1661.1111111111109</v>
      </c>
      <c r="BN288" s="1113">
        <f t="shared" si="374"/>
        <v>2</v>
      </c>
      <c r="BO288" s="1097">
        <f t="shared" si="375"/>
        <v>3005.1476580839999</v>
      </c>
      <c r="BP288" s="1100">
        <f t="shared" si="376"/>
        <v>147.56068806020068</v>
      </c>
      <c r="BQ288" s="1113" t="s">
        <v>813</v>
      </c>
      <c r="BR288" s="1124" t="s">
        <v>171</v>
      </c>
      <c r="BS288" s="1098">
        <f>IF($P288="","N/A",IF($P288=-1,INDEX('卡片raw data'!AX:AX,MATCH($D288,'卡片raw data'!$F:$F,)),0)+IF($L288="party卡",IF($P288=5,INDEX('卡片raw data'!BD:BD,MATCH($D288,'卡片raw data'!$F:$F,)),IF($P288&gt;=3,INDEX('卡片raw data'!BC:BC,MATCH($D288,'卡片raw data'!$F:$F,)),INDEX('卡片raw data'!BB:BB,MATCH($D288,'卡片raw data'!$F:$F,)))),IF(OR(AND($F288="UR",$P288=0),AND($F288="SR",$P288&gt;=0,$P288&lt;=2),AND($F288="R",$P288&gt;=0,$P288&lt;4)),INDEX('卡片raw data'!AZ:AZ,MATCH($D288,'卡片raw data'!$F:$F,)),0)+IF(OR(AND($F288="UR",$P288&gt;=1,$P288&lt;=4),AND($F288="SR",$P288&lt;=4,$P288&gt;=3),AND($F288="R",$P288=4)),INDEX('卡片raw data'!BA:BA,MATCH($D288,'卡片raw data'!$F:$F,)),0)+IF($P288=5,INDEX('卡片raw data'!BB:BB,MATCH($D288,'卡片raw data'!$F:$F,)),0)))</f>
        <v>2.1999999999999999E-2</v>
      </c>
      <c r="BT288" s="1101">
        <f t="shared" si="377"/>
        <v>1037.6072966319273</v>
      </c>
      <c r="BU288" s="1097">
        <f t="shared" si="378"/>
        <v>65.671772846463853</v>
      </c>
      <c r="BV288" s="1097">
        <f t="shared" si="379"/>
        <v>518.80364831596376</v>
      </c>
      <c r="BW288" s="1112">
        <f t="shared" si="380"/>
        <v>0</v>
      </c>
      <c r="BX288" s="1100">
        <f t="shared" si="381"/>
        <v>1037.6072966319273</v>
      </c>
      <c r="BY288" s="1110">
        <f t="shared" si="382"/>
        <v>518.80364831596376</v>
      </c>
      <c r="BZ288" s="1107" t="s">
        <v>569</v>
      </c>
      <c r="CA288" s="1124"/>
      <c r="CB288" s="1098">
        <f>IF($P288="","N/A",IF($P288=-1,INDEX('卡片raw data'!BE:BE,MATCH($D288,'卡片raw data'!$F:$F,)),0)+IF($L288="party卡",IF($P288=5,INDEX('卡片raw data'!BK:BK,MATCH($D288,'卡片raw data'!$F:$F,)),IF($P288&gt;=3,INDEX('卡片raw data'!BJ:BJ,MATCH($D288,'卡片raw data'!$F:$F,)),INDEX('卡片raw data'!BI:BI,MATCH($D288,'卡片raw data'!$F:$F,)))),IF(OR(AND($F288="UR",$P288=0),AND($F288="SR",$P288&gt;=0,$P288&lt;=2),AND($F288="R",$P288&gt;=0,$P288&lt;4)),INDEX('卡片raw data'!BG:BG,MATCH($D288,'卡片raw data'!$F:$F,)),0)+IF(OR(AND($F288="UR",$P288&gt;=1,$P288&lt;=4),AND($F288="SR",$P288&lt;=4,$P288&gt;=3),AND($F288="R",$P288=4)),INDEX('卡片raw data'!BH:BH,MATCH($D288,'卡片raw data'!$F:$F,)),0)+IF($P288=5,INDEX('卡片raw data'!BI:BI,MATCH($D288,'卡片raw data'!$F:$F,)),0)))</f>
        <v>0</v>
      </c>
      <c r="CC288" s="1101">
        <f t="shared" si="383"/>
        <v>0</v>
      </c>
      <c r="CD288" s="1097">
        <f>IF(BZ288="ap",CB288*(1-$FI$26)*$FB$5/$FB$11*(+IF(CA288="全员",$FA$24,0)+IF(CA288="同作战",$FA$24,0)+IF(CA288="仲间",$FA$24*2/3,0)+IF(CA288="同属性",$FA$24*$FA$37/3,0)+IF(CA288="同年级",$FA$24*$FA$40/3,0)+IF(CA288="同学校",$FA$24*$FA$43/3,0)+IF(CA288="同小队",$FA$24*$FA$46/3,0)+IF(CA288="同type",$FA$24*INDEX($FB$49:$FB$52,MATCH(X288,$FA$49:$FA$52,))/3,0)+IF(CA288="自身",#REF!/3,0)),0)+IF(BZ288="te",CB288*(1-$FI$27)*($FA$20-1)*$FB$7/$FB$13*(+IF(CA288="全员",$FA$19*$FA$24/(1+($FA$20-1)*$FA$19),0)+IF(CA288="同作战",$FA$19*$FA$24/(1+($FA$20-1)*$FA$19),0)+IF(CA288="仲间",$FA$19*$FA$24*2/3/(1+($FA$20-1)*$FA$19),0)+IF(CA288="同属性",$FA$19*$FA$24*$FA$37/3/(1+($FA$20-1)*$FA$19),0)+IF(CA288="同年级",$FA$19*$FA$24*$FA$40/3/(1+($FA$20-1)*$FA$19),0)+IF(CA288="同学校",$FA$19*$FA$24*$FA$43/3/(1+($FA$20-1)*$FA$19),0)+IF(CA288="同小队",$FA$19*$FA$24*$FA$46/3/(1+($FA$20-1)*$FA$19),0)+IF(CA288="同type",$FA$19*$FA$24*INDEX($FB$49:$FB$52,MATCH(X288,$FA$49:$FA$52,))/3/(1+($FA$20-1)*$FA$19),0)+IF(CA288="自身",$FA$19*#REF!/3/(1+(BH288-1)*$BD288),0)),0)</f>
        <v>0</v>
      </c>
      <c r="CE288" s="1097">
        <f t="shared" si="384"/>
        <v>0</v>
      </c>
      <c r="CF288" s="1112">
        <f t="shared" si="385"/>
        <v>0</v>
      </c>
      <c r="CG288" s="1100">
        <f t="shared" si="386"/>
        <v>0</v>
      </c>
      <c r="CH288" s="1110">
        <f t="shared" si="387"/>
        <v>0</v>
      </c>
      <c r="CI288" s="1113"/>
      <c r="CJ288" s="1114"/>
      <c r="CK288" s="1115" t="s">
        <v>569</v>
      </c>
      <c r="CL288" s="1115"/>
      <c r="CM288" s="1119"/>
      <c r="CN288" s="1115"/>
      <c r="CO288" s="1092"/>
      <c r="CP288" s="1117">
        <f t="shared" si="388"/>
        <v>0</v>
      </c>
      <c r="CQ288" s="1117">
        <f t="shared" si="389"/>
        <v>0</v>
      </c>
      <c r="CR288" s="1117">
        <f t="shared" si="390"/>
        <v>0</v>
      </c>
      <c r="CS288" s="1118">
        <f t="shared" si="391"/>
        <v>0</v>
      </c>
      <c r="CT288" s="1109">
        <f t="shared" si="392"/>
        <v>0</v>
      </c>
      <c r="CU288" s="1101">
        <f t="shared" si="393"/>
        <v>0</v>
      </c>
      <c r="CV288" s="1108">
        <f t="shared" si="394"/>
        <v>0</v>
      </c>
      <c r="CW288" s="1097">
        <f t="shared" si="395"/>
        <v>0</v>
      </c>
      <c r="CX288" s="1097">
        <f t="shared" si="396"/>
        <v>0</v>
      </c>
      <c r="CY288" s="1110">
        <f t="shared" si="397"/>
        <v>0</v>
      </c>
      <c r="CZ288" s="437"/>
      <c r="DA288" s="438"/>
      <c r="DB288" s="439" t="s">
        <v>569</v>
      </c>
      <c r="DC288" s="439"/>
      <c r="DD288" s="443"/>
      <c r="DE288" s="411"/>
      <c r="DF288" s="411"/>
      <c r="DG288" s="1116">
        <f t="shared" si="398"/>
        <v>0</v>
      </c>
      <c r="DH288" s="1116">
        <f t="shared" si="399"/>
        <v>0</v>
      </c>
      <c r="DI288" s="1116">
        <f t="shared" si="400"/>
        <v>0</v>
      </c>
      <c r="DJ288" s="442">
        <f t="shared" si="401"/>
        <v>0</v>
      </c>
      <c r="DK288" s="1109">
        <f t="shared" si="402"/>
        <v>0</v>
      </c>
      <c r="DL288" s="1101">
        <f t="shared" si="403"/>
        <v>0</v>
      </c>
      <c r="DM288" s="1097">
        <f t="shared" si="404"/>
        <v>0</v>
      </c>
      <c r="DN288" s="1097">
        <f t="shared" si="405"/>
        <v>0</v>
      </c>
      <c r="DO288" s="1097">
        <f t="shared" si="406"/>
        <v>0</v>
      </c>
      <c r="DP288" s="1110">
        <f t="shared" si="407"/>
        <v>0</v>
      </c>
      <c r="DQ288" s="1113" t="s">
        <v>814</v>
      </c>
      <c r="DR288" s="1120">
        <f t="shared" si="408"/>
        <v>0.3</v>
      </c>
      <c r="DS288" s="1124">
        <v>5</v>
      </c>
      <c r="DT288" s="1093" t="s">
        <v>168</v>
      </c>
      <c r="DU288" s="1093" t="s">
        <v>815</v>
      </c>
      <c r="DV288" s="1098">
        <f>IF($P288="","N/A",IF(P288=-1,INDEX('卡片raw data'!AN:AN,MATCH(D288,'卡片raw data'!$F:$F,)),0)+IF(AND(L288&lt;&gt;"party卡",P288&lt;=2,P288&gt;=0),INDEX('卡片raw data'!AP:AP,MATCH(D288,'卡片raw data'!$F:$F,)),0)+IF(OR(AND(L288="party卡",P288&lt;=1),AND(P288&lt;=4,L288&lt;&gt;"party卡",P288&gt;=3)),INDEX('卡片raw data'!AQ:AQ,MATCH(D288,'卡片raw data'!$F:$F,)),0)+IF(OR(P288=5,AND(L288="party卡",P288&gt;=2)),INDEX('卡片raw data'!AR:AR,MATCH(D288,'卡片raw data'!$F:$F,)),0))</f>
        <v>0.05</v>
      </c>
      <c r="DW288" s="1098">
        <f t="shared" si="409"/>
        <v>0.3</v>
      </c>
      <c r="DX288" s="1098">
        <f t="shared" si="410"/>
        <v>0.3</v>
      </c>
      <c r="DY288" s="1098">
        <f t="shared" si="411"/>
        <v>2.5000000000000001E-2</v>
      </c>
      <c r="DZ288" s="1098">
        <f t="shared" si="412"/>
        <v>2.1625000000000002E-2</v>
      </c>
      <c r="EA288" s="1098">
        <f t="shared" si="413"/>
        <v>0</v>
      </c>
      <c r="EB288" s="1121">
        <f t="shared" si="414"/>
        <v>0</v>
      </c>
      <c r="EC288" s="1101">
        <f t="shared" si="415"/>
        <v>2925.8044682831251</v>
      </c>
      <c r="ED288" s="1097">
        <f t="shared" si="416"/>
        <v>175.10507790045199</v>
      </c>
      <c r="EE288" s="1110">
        <f t="shared" si="417"/>
        <v>2925.8044682831251</v>
      </c>
      <c r="EF288" s="1092" t="s">
        <v>569</v>
      </c>
      <c r="EG288" s="1120">
        <f t="shared" si="418"/>
        <v>0.3</v>
      </c>
      <c r="EH288" s="1124"/>
      <c r="EI288" s="1093"/>
      <c r="EJ288" s="1093"/>
      <c r="EK288" s="1097">
        <f>IF($P288="","N/A",IF(P288=-1,INDEX('卡片raw data'!AS:AS,MATCH(D288,'卡片raw data'!$F:$F,)),0)+IF(AND(L288&lt;&gt;"party卡",P288&lt;=2,P288&gt;=0),INDEX('卡片raw data'!AU:AU,MATCH(D288,'卡片raw data'!$F:$F,)),0)+IF(OR(AND(L288="party卡",P288&lt;=1),AND(P288&lt;=4,L288&lt;&gt;"party卡",P288&gt;=3)),INDEX('卡片raw data'!AV:AV,MATCH(D288,'卡片raw data'!$F:$F,)),0)+IF(OR(P288=5,AND(L288="party卡",P288&gt;=2)),INDEX('卡片raw data'!AW:AW,MATCH(D288,'卡片raw data'!$F:$F,)),0))</f>
        <v>0</v>
      </c>
      <c r="EL288" s="1098">
        <f t="shared" si="419"/>
        <v>0.3</v>
      </c>
      <c r="EM288" s="1098">
        <f t="shared" si="420"/>
        <v>0.3</v>
      </c>
      <c r="EN288" s="1125">
        <f t="shared" si="421"/>
        <v>0</v>
      </c>
      <c r="EO288" s="1125">
        <f t="shared" si="422"/>
        <v>0</v>
      </c>
      <c r="EP288" s="1098">
        <f t="shared" si="423"/>
        <v>0</v>
      </c>
      <c r="EQ288" s="1121">
        <f t="shared" si="424"/>
        <v>0</v>
      </c>
      <c r="ER288" s="1101">
        <f t="shared" si="425"/>
        <v>0</v>
      </c>
      <c r="ES288" s="1097">
        <f t="shared" si="426"/>
        <v>0</v>
      </c>
      <c r="ET288" s="1122">
        <f t="shared" si="427"/>
        <v>0</v>
      </c>
    </row>
    <row r="289" spans="2:150" ht="16.5" customHeight="1">
      <c r="B289" s="1123" t="str">
        <f>INDEX('卡片raw data'!B:B,MATCH($D289,'卡片raw data'!$F:$F,))</f>
        <v>三专栞</v>
      </c>
      <c r="C289" s="449" t="s">
        <v>578</v>
      </c>
      <c r="D289" s="408">
        <v>286</v>
      </c>
      <c r="E289" s="1090">
        <v>102102001</v>
      </c>
      <c r="F289" s="1090" t="str">
        <f>INDEX('卡片raw data'!C:C,MATCH($D289,'卡片raw data'!$F:$F,))</f>
        <v>SR</v>
      </c>
      <c r="G289" s="1094" t="s">
        <v>785</v>
      </c>
      <c r="H289" s="411">
        <f>IFERROR(INDEX(绊状态确认!C:C,MATCH($G289,绊状态确认!$B:$B,)),"")</f>
        <v>210</v>
      </c>
      <c r="I289" s="450" t="str">
        <f>IFERROR(INDEX(绊状态确认!D:D,MATCH($G289,绊状态确认!$B:$B,)),"")</f>
        <v>虹</v>
      </c>
      <c r="J289" s="450" t="str">
        <f>IFERROR(INDEX(绊状态确认!E:E,MATCH($G289,绊状态确认!$B:$B,)),"")</f>
        <v>1年级</v>
      </c>
      <c r="K289" s="451" t="str">
        <f>IFERROR(INDEX(绊状态确认!F:F,MATCH($G289,绊状态确认!$B:$B,)),"")</f>
        <v>R3BIRTH</v>
      </c>
      <c r="L289" s="1094" t="str">
        <f>INDEX('卡片raw data'!E:E,MATCH($D289,'卡片raw data'!$F:$F,))</f>
        <v>卡池卡</v>
      </c>
      <c r="M289" s="415">
        <v>44048</v>
      </c>
      <c r="N289" s="416">
        <v>21</v>
      </c>
      <c r="O289" s="1091" t="str">
        <f>INDEX('卡片raw data'!D:D,MATCH($D289,'卡片raw data'!$F:$F,))</f>
        <v>sp</v>
      </c>
      <c r="P289" s="417">
        <v>5</v>
      </c>
      <c r="Q289" s="1095">
        <f t="shared" si="343"/>
        <v>27447.580808210405</v>
      </c>
      <c r="R289" s="1096">
        <f t="shared" si="344"/>
        <v>0.31900000000000001</v>
      </c>
      <c r="S289" s="1097">
        <f t="shared" si="345"/>
        <v>15695.512242954657</v>
      </c>
      <c r="T289" s="1098">
        <f t="shared" si="346"/>
        <v>0.78400000000000003</v>
      </c>
      <c r="U289" s="1099">
        <f t="shared" si="347"/>
        <v>11.215883025582857</v>
      </c>
      <c r="V289" s="1100">
        <f t="shared" si="348"/>
        <v>26540.898176267343</v>
      </c>
      <c r="W289" s="1101">
        <f t="shared" si="349"/>
        <v>5274.2653468324233</v>
      </c>
      <c r="X289" s="1096">
        <f t="shared" si="350"/>
        <v>6.0999999999999999E-2</v>
      </c>
      <c r="Y289" s="1097">
        <f t="shared" si="351"/>
        <v>893.31736805693617</v>
      </c>
      <c r="Z289" s="1102">
        <f t="shared" si="352"/>
        <v>11.215883025582857</v>
      </c>
      <c r="AA289" s="1103">
        <f t="shared" si="353"/>
        <v>6167.5827148893595</v>
      </c>
      <c r="AB289" s="1101">
        <f t="shared" si="354"/>
        <v>5777.3476724721459</v>
      </c>
      <c r="AC289" s="1104">
        <f t="shared" si="355"/>
        <v>6.7000000000000004E-2</v>
      </c>
      <c r="AD289" s="1105">
        <f t="shared" si="356"/>
        <v>-1.9908281250000003E-2</v>
      </c>
      <c r="AE289" s="1128">
        <f t="shared" si="357"/>
        <v>-1.3514492753623202</v>
      </c>
      <c r="AF289" s="1130">
        <f t="shared" si="358"/>
        <v>0</v>
      </c>
      <c r="AG289" s="420">
        <f t="shared" si="359"/>
        <v>0</v>
      </c>
      <c r="AH289" s="420">
        <f t="shared" si="360"/>
        <v>0</v>
      </c>
      <c r="AI289" s="1097">
        <f t="shared" si="361"/>
        <v>0</v>
      </c>
      <c r="AJ289" s="420">
        <f t="shared" si="362"/>
        <v>0</v>
      </c>
      <c r="AK289" s="518">
        <f t="shared" si="363"/>
        <v>0</v>
      </c>
      <c r="AL289" s="1106">
        <f>IF($P289="","N/A",(IF($P289=-1,INDEX('卡片raw data'!S:S,MATCH($D289,'卡片raw data'!$F:$F,)),0)+IF($P289=0,INDEX('卡片raw data'!V:V,MATCH($D289,'卡片raw data'!$F:$F,)),0)+IF($P289=1,INDEX('卡片raw data'!Y:Y,MATCH($D289,'卡片raw data'!$F:$F,)),0)+IF($P289=2,INDEX('卡片raw data'!AB:AB,MATCH($D289,'卡片raw data'!$F:$F,)),0)+IF($P289=3,INDEX('卡片raw data'!AE:AE,MATCH($D289,'卡片raw data'!$F:$F,)),0)+IF($P289=4,INDEX('卡片raw data'!AH:AH,MATCH($D289,'卡片raw data'!$F:$F,)),0)+IF($P289=5,INDEX('卡片raw data'!AK:AK,MATCH($D289,'卡片raw data'!$F:$F,)),0)+INDEX('卡片raw data'!S:S,MATCH($D289,'卡片raw data'!$F:$F,))*(IF($F289="UR",0.04,0.033))*(IF($F289="UR",INDEX(绊状态确认!$S:$S,MATCH($G289,绊状态确认!$B:$B,))/2-40)+IF($F289="SR",INDEX(绊状态确认!$R:$R,MATCH($G289,绊状态确认!$B:$B,))/4-15))+IF($F289="R",INDEX(绊状态确认!$Q:$Q,MATCH($G289,绊状态确认!$B:$B,))/6-40/6)))*(INDEX(绊状态确认!$H:$H,MATCH($G289,绊状态确认!$B:$B,))+INDEX(绊状态确认!J:J,MATCH($G289,绊状态确认!$B:$B,)))</f>
        <v>6502.4421623999997</v>
      </c>
      <c r="AM289" s="1106">
        <f>IF($P289="","N/A",(IF($P289=-1,INDEX('卡片raw data'!T:T,MATCH($D289,'卡片raw data'!$F:$F,)),0)+IF($P289=0,INDEX('卡片raw data'!W:W,MATCH($D289,'卡片raw data'!$F:$F,)),0)+IF($P289=1,INDEX('卡片raw data'!Z:Z,MATCH($D289,'卡片raw data'!$F:$F,)),0)+IF($P289=2,INDEX('卡片raw data'!AC:AC,MATCH($D289,'卡片raw data'!$F:$F,)),0)+IF($P289=3,INDEX('卡片raw data'!AF:AF,MATCH($D289,'卡片raw data'!$F:$F,)),0)+IF($P289=4,INDEX('卡片raw data'!AI:AI,MATCH($D289,'卡片raw data'!$F:$F,)),0)+IF($P289=5,INDEX('卡片raw data'!AL:AL,MATCH($D289,'卡片raw data'!$F:$F,)),0)+INDEX('卡片raw data'!T:T,MATCH($D289,'卡片raw data'!$F:$F,))*(IF($F289="UR",0.04,0.033))*(IF($F289="UR",INDEX(绊状态确认!$S:$S,MATCH($G289,绊状态确认!$B:$B,))/2-40)+IF($F289="SR",INDEX(绊状态确认!$R:$R,MATCH($G289,绊状态确认!$B:$B,))/4-15))+IF($F289="R",INDEX(绊状态确认!$Q:$Q,MATCH($G289,绊状态确认!$B:$B,))/6-40/6)))*(INDEX(绊状态确认!$H:$H,MATCH($G289,绊状态确认!$B:$B,))+INDEX(绊状态确认!K:K,MATCH($G289,绊状态确认!$B:$B,)))</f>
        <v>5688.0274655999992</v>
      </c>
      <c r="AN289" s="1106">
        <f>IF($P289="","N/A",(IF($P289=-1,INDEX('卡片raw data'!U:U,MATCH($D289,'卡片raw data'!$F:$F,)),0)+IF($P289=0,INDEX('卡片raw data'!X:X,MATCH($D289,'卡片raw data'!$F:$F,)),0)+IF($P289=1,INDEX('卡片raw data'!AA:AA,MATCH($D289,'卡片raw data'!$F:$F,)),0)+IF($P289=2,INDEX('卡片raw data'!AD:AD,MATCH($D289,'卡片raw data'!$F:$F,)),0)+IF($P289=3,INDEX('卡片raw data'!AG:AG,MATCH($D289,'卡片raw data'!$F:$F,)),0)+IF($P289=4,INDEX('卡片raw data'!AJ:AJ,MATCH($D289,'卡片raw data'!$F:$F,)),0)+IF($P289=5,INDEX('卡片raw data'!AM:AM,MATCH($D289,'卡片raw data'!$F:$F,)),0)+INDEX('卡片raw data'!U:U,MATCH($D289,'卡片raw data'!$F:$F,))*(IF($F289="UR",0.04,0.033))*(IF($F289="UR",INDEX(绊状态确认!$S:$S,MATCH($G289,绊状态确认!$B:$B,))/2-40)+IF($F289="SR",INDEX(绊状态确认!$R:$R,MATCH($G289,绊状态确认!$B:$B,))/4-15))+IF($F289="R",INDEX(绊状态确认!$Q:$Q,MATCH($G289,绊状态确认!$B:$B,))/6-40/6)))*(INDEX(绊状态确认!$H:$H,MATCH($G289,绊状态确认!$B:$B,))+INDEX(绊状态确认!L:L,MATCH($G289,绊状态确认!$B:$B,)))</f>
        <v>8128.9237535999991</v>
      </c>
      <c r="AO289" s="1107">
        <f t="shared" si="364"/>
        <v>1</v>
      </c>
      <c r="AP289" s="1131">
        <f>1+(INDEX(绊状态确认!$T:$T,MATCH($G289,绊状态确认!$B:$B,))+0.2)*$AO289</f>
        <v>1.3</v>
      </c>
      <c r="AQ289" s="1108">
        <f t="shared" si="365"/>
        <v>20318.910676299998</v>
      </c>
      <c r="AR289" s="1097">
        <f>(AM289*(1+$EX$9)+$EX$35)*(1+(INDEX(绊状态确认!$T:$T,MATCH($G289,绊状态确认!$B:$B,))+0.2)*AO289)*IF(J289=$FF$17,1+$FE$17,1)*IF(I289=$FF$14,1+$FE$14,1)</f>
        <v>10468.157490543999</v>
      </c>
      <c r="AS289" s="1097">
        <f>(AN289*(1+$EX$10)+$EX$36)*(1+(INDEX(绊状态确认!$T:$T,MATCH($G289,绊状态确认!$B:$B,))+0.2)*AO289)*IF(J289=$FF$17,1+$FE$17,1)*IF(I289=$FF$14,1+$FE$14,1)</f>
        <v>16208.741011631999</v>
      </c>
      <c r="AT289" s="1093">
        <f>IF(AND(INDEX('卡片raw data'!AK:AK,MATCH($D289,'卡片raw data'!$F:$F,))&lt;INDEX('卡片raw data'!AM:AM,MATCH($D289,'卡片raw data'!$F:$F,)),INDEX('卡片raw data'!AL:AL,MATCH($D289,'卡片raw data'!$F:$F,))&lt;INDEX('卡片raw data'!AM:AM,MATCH($D289,'卡片raw data'!$F:$F,))),1,0)</f>
        <v>1</v>
      </c>
      <c r="AU289" s="1098">
        <f>MIN(AT289*0.15+AS289*0.00003+INDEX(绊状态确认!M:M,MATCH($G289,绊状态确认!$B:$B,)),1)</f>
        <v>0.66626223034896004</v>
      </c>
      <c r="AV289" s="1109">
        <f>(INDEX(绊状态确认!$N:$N,MATCH($G289,绊状态确认!$B:$B,))+1.5)*$EW$21</f>
        <v>2.6599999999999997</v>
      </c>
      <c r="AW289" s="1101">
        <f t="shared" si="366"/>
        <v>22223.639476845645</v>
      </c>
      <c r="AX289" s="1097">
        <f t="shared" si="367"/>
        <v>893.3173680569364</v>
      </c>
      <c r="AY289" s="1110">
        <f t="shared" si="368"/>
        <v>23116.956844902583</v>
      </c>
      <c r="AZ289" s="429">
        <f t="shared" si="369"/>
        <v>15279.762216679999</v>
      </c>
      <c r="BA289" s="431">
        <f t="shared" si="370"/>
        <v>18335.714660015998</v>
      </c>
      <c r="BB289" s="1097">
        <f>(AM289*(1+$FB$9)+$FB$35)*(1+(INDEX(绊状态确认!$T:$T,MATCH($G289,绊状态确认!$B:$B,))+0.2)*AO289)*IF(J289=$FF$17,1+$FE$17,1)*IF(I289=$FF$14,1+$FE$14,1)*(1+$FE$15)</f>
        <v>10468.157490543999</v>
      </c>
      <c r="BC289" s="1097">
        <f>(AN289*(1+$FB$10)+$FB$36)*(1+(INDEX(绊状态确认!$T:$T,MATCH($G289,绊状态确认!$B:$B,))+0.2)*AO289)*IF(J289=$FF$17,1+$FE$17,1)*IF(I289=$FF$14,1+$FE$14,1)*(1+$FE$15)</f>
        <v>16208.741011631999</v>
      </c>
      <c r="BD289" s="1104">
        <f>MIN(AT289*0.15+BC289*0.00003+INDEX(绊状态确认!M:M,MATCH($G289,绊状态确认!$B:$B,)),1)</f>
        <v>0.66626223034896004</v>
      </c>
      <c r="BE289" s="432">
        <f>(INDEX(绊状态确认!$N:$N,MATCH($G289,绊状态确认!$B:$B,))+1.5)</f>
        <v>1.9</v>
      </c>
      <c r="BF289" s="1139">
        <f t="array" ref="BF289">SUMPRODUCT(IF(AZ289*AP289*$FI$16:$FI$23*$FA$22&gt;=$FI$24,$FI$24,AZ289*AP289*$FI$16:$FI$23*$FA$22),$FJ$16:$FJ$23)</f>
        <v>30391.447048976523</v>
      </c>
      <c r="BG289" s="1125">
        <f t="array" ref="BG289">SUMPRODUCT(IF(BE289*AZ289*AP289*$FI$16:$FI$23*$FA$22&gt;=$FI$24,$FI$24,BE289*AZ289*AP289*$FI$16:$FI$23*$FA$22),$FJ$16:$FJ$23)</f>
        <v>55325.040520415663</v>
      </c>
      <c r="BH289" s="1110">
        <f t="shared" si="371"/>
        <v>15667.919548623942</v>
      </c>
      <c r="BI289" s="1111">
        <f>IF(O289="vo",$EW$26/$EW$24*0.05,0)+IF(O289="sk",-$EW$26/$EW$24*(0.05-INDEX(绊状态确认!W:W,MATCH($G289,绊状态确认!$B:$B,)))+0.05*$EW$28,0)+IF(O289="sp",0.05*$EW$32*$EW$30*(1-$EW$33)-(0.05-INDEX(绊状态确认!V:V,MATCH($G289,绊状态确认!$B:$B,)))*$EW$28,0)+IF(O289="gd",-(0.05-INDEX(绊状态确认!X:X,MATCH($G289,绊状态确认!$B:$B,)))*$EW$32*$EW$30*(1-$EW$33),0)</f>
        <v>19.999999999999886</v>
      </c>
      <c r="BJ289" s="1097">
        <f>IF(O289="vo",0.05*(1-$FI$26)*$FA$24,0)+IF(O289="sk",-(0.05-INDEX(绊状态确认!W:W,MATCH($G289,绊状态确认!$B:$B,)))*(1-$FI$26)*$FA$24+0.05*$FA$26,0)+IF(O289="sp",0.05*$FA$32*$FA$27*(1-$FA$33)/$FA$30+0.05*$FA$29/$FA$69*$FA$27*(1-$FA$33)-(0.05-INDEX(绊状态确认!V:V,MATCH($G289,绊状态确认!$B:$B,)))*$FA$26,0)+IF(O289="gd",-(0.05-INDEX(绊状态确认!X:X,MATCH($G289,绊状态确认!$B:$B,)))*$FA$32*$FA$27*(1-$FA$33)/$FA$30-(0.05-INDEX(绊状态确认!X:X,MATCH($G289,绊状态确认!$B:$B,)))*$FA$29/$FA$69*$FA$27*(1-$FA$33),0)</f>
        <v>545.83333333333326</v>
      </c>
      <c r="BK289" s="1110">
        <f>IF(O289="vo",$EW$26/$EW$24*0.05+$EW$26*(-HP($EW$62,$EW$65,$EW$64)+HP($EW$62,$EW$65,(1.05-INDEX(绊状态确认!U:U,MATCH($G289,绊状态确认!$B:$B,)))*$EW$64)),0)+IF(O289="sk",-$EW$26/$EW$24*(0.05-INDEX(绊状态确认!W:W,MATCH($G289,绊状态确认!$B:$B,)))+0.05*$EW$29,0)+IF(O289="sp",0.05*$EW$32*$EW$30*(1-$EW$33)-(0.05-INDEX(绊状态确认!V:V,MATCH($G289,绊状态确认!$B:$B,)))*$EW$29,0)+IF(O289="gd",-(0.05-INDEX(绊状态确认!X:X,MATCH($G289,绊状态确认!$B:$B,)))*$EW$32*$EW$30*(1-$EW$33)+$EW$26*(-HP($EW$62,$EW$65,$EW$64)+HP($EW$62,$EW$65,0.95*$EW$64)),0)</f>
        <v>-1780.0000000000005</v>
      </c>
      <c r="BL289" s="1111">
        <f t="shared" si="372"/>
        <v>-1083.3333333333333</v>
      </c>
      <c r="BM289" s="1110">
        <f t="shared" si="373"/>
        <v>-830.55555555555543</v>
      </c>
      <c r="BN289" s="1113">
        <f t="shared" si="374"/>
        <v>3</v>
      </c>
      <c r="BO289" s="1097">
        <f t="shared" si="375"/>
        <v>4507.7214871259994</v>
      </c>
      <c r="BP289" s="1100">
        <f t="shared" si="376"/>
        <v>221.34103209030098</v>
      </c>
      <c r="BQ289" s="1113" t="s">
        <v>813</v>
      </c>
      <c r="BR289" s="1124" t="s">
        <v>617</v>
      </c>
      <c r="BS289" s="1098">
        <f>IF($P289="","N/A",IF($P289=-1,INDEX('卡片raw data'!AX:AX,MATCH($D289,'卡片raw data'!$F:$F,)),0)+IF($L289="party卡",IF($P289=5,INDEX('卡片raw data'!BD:BD,MATCH($D289,'卡片raw data'!$F:$F,)),IF($P289&gt;=3,INDEX('卡片raw data'!BC:BC,MATCH($D289,'卡片raw data'!$F:$F,)),INDEX('卡片raw data'!BB:BB,MATCH($D289,'卡片raw data'!$F:$F,)))),IF(OR(AND($F289="UR",$P289=0),AND($F289="SR",$P289&gt;=0,$P289&lt;=2),AND($F289="R",$P289&gt;=0,$P289&lt;4)),INDEX('卡片raw data'!AZ:AZ,MATCH($D289,'卡片raw data'!$F:$F,)),0)+IF(OR(AND($F289="UR",$P289&gt;=1,$P289&lt;=4),AND($F289="SR",$P289&lt;=4,$P289&gt;=3),AND($F289="R",$P289=4)),INDEX('卡片raw data'!BA:BA,MATCH($D289,'卡片raw data'!$F:$F,)),0)+IF($P289=5,INDEX('卡片raw data'!BB:BB,MATCH($D289,'卡片raw data'!$F:$F,)),0)))</f>
        <v>3.2000000000000001E-2</v>
      </c>
      <c r="BT289" s="1101">
        <f t="shared" si="377"/>
        <v>1257.7058140993063</v>
      </c>
      <c r="BU289" s="1097">
        <f t="shared" si="378"/>
        <v>90.97388446263389</v>
      </c>
      <c r="BV289" s="1097">
        <f t="shared" si="379"/>
        <v>754.62348845958354</v>
      </c>
      <c r="BW289" s="1112">
        <f t="shared" si="380"/>
        <v>0</v>
      </c>
      <c r="BX289" s="1100">
        <f t="shared" si="381"/>
        <v>1257.7058140993063</v>
      </c>
      <c r="BY289" s="1110">
        <f t="shared" si="382"/>
        <v>754.62348845958354</v>
      </c>
      <c r="BZ289" s="1107" t="s">
        <v>569</v>
      </c>
      <c r="CA289" s="1124"/>
      <c r="CB289" s="1098">
        <f>IF($P289="","N/A",IF($P289=-1,INDEX('卡片raw data'!BE:BE,MATCH($D289,'卡片raw data'!$F:$F,)),0)+IF($L289="party卡",IF($P289=5,INDEX('卡片raw data'!BK:BK,MATCH($D289,'卡片raw data'!$F:$F,)),IF($P289&gt;=3,INDEX('卡片raw data'!BJ:BJ,MATCH($D289,'卡片raw data'!$F:$F,)),INDEX('卡片raw data'!BI:BI,MATCH($D289,'卡片raw data'!$F:$F,)))),IF(OR(AND($F289="UR",$P289=0),AND($F289="SR",$P289&gt;=0,$P289&lt;=2),AND($F289="R",$P289&gt;=0,$P289&lt;4)),INDEX('卡片raw data'!BG:BG,MATCH($D289,'卡片raw data'!$F:$F,)),0)+IF(OR(AND($F289="UR",$P289&gt;=1,$P289&lt;=4),AND($F289="SR",$P289&lt;=4,$P289&gt;=3),AND($F289="R",$P289=4)),INDEX('卡片raw data'!BH:BH,MATCH($D289,'卡片raw data'!$F:$F,)),0)+IF($P289=5,INDEX('卡片raw data'!BI:BI,MATCH($D289,'卡片raw data'!$F:$F,)),0)))</f>
        <v>0</v>
      </c>
      <c r="CC289" s="1101">
        <f t="shared" si="383"/>
        <v>0</v>
      </c>
      <c r="CD289" s="1097">
        <f>IF(BZ289="ap",CB289*(1-$FI$26)*$FB$5/$FB$11*(+IF(CA289="全员",$FA$24,0)+IF(CA289="同作战",$FA$24,0)+IF(CA289="仲间",$FA$24*2/3,0)+IF(CA289="同属性",$FA$24*$FA$37/3,0)+IF(CA289="同年级",$FA$24*$FA$40/3,0)+IF(CA289="同学校",$FA$24*$FA$43/3,0)+IF(CA289="同小队",$FA$24*$FA$46/3,0)+IF(CA289="同type",$FA$24*INDEX($FB$49:$FB$52,MATCH(X289,$FA$49:$FA$52,))/3,0)+IF(CA289="自身",#REF!/3,0)),0)+IF(BZ289="te",CB289*(1-$FI$27)*($FA$20-1)*$FB$7/$FB$13*(+IF(CA289="全员",$FA$19*$FA$24/(1+($FA$20-1)*$FA$19),0)+IF(CA289="同作战",$FA$19*$FA$24/(1+($FA$20-1)*$FA$19),0)+IF(CA289="仲间",$FA$19*$FA$24*2/3/(1+($FA$20-1)*$FA$19),0)+IF(CA289="同属性",$FA$19*$FA$24*$FA$37/3/(1+($FA$20-1)*$FA$19),0)+IF(CA289="同年级",$FA$19*$FA$24*$FA$40/3/(1+($FA$20-1)*$FA$19),0)+IF(CA289="同学校",$FA$19*$FA$24*$FA$43/3/(1+($FA$20-1)*$FA$19),0)+IF(CA289="同小队",$FA$19*$FA$24*$FA$46/3/(1+($FA$20-1)*$FA$19),0)+IF(CA289="同type",$FA$19*$FA$24*INDEX($FB$49:$FB$52,MATCH(X289,$FA$49:$FA$52,))/3/(1+($FA$20-1)*$FA$19),0)+IF(CA289="自身",$FA$19*#REF!/3/(1+(BH289-1)*$BD289),0)),0)</f>
        <v>0</v>
      </c>
      <c r="CE289" s="1097">
        <f t="shared" si="384"/>
        <v>0</v>
      </c>
      <c r="CF289" s="1112">
        <f t="shared" si="385"/>
        <v>0</v>
      </c>
      <c r="CG289" s="1100">
        <f t="shared" si="386"/>
        <v>0</v>
      </c>
      <c r="CH289" s="1110">
        <f t="shared" si="387"/>
        <v>0</v>
      </c>
      <c r="CI289" s="1113" t="s">
        <v>162</v>
      </c>
      <c r="CJ289" s="1114">
        <v>0.3</v>
      </c>
      <c r="CK289" s="1115" t="s">
        <v>256</v>
      </c>
      <c r="CL289" s="1115" t="s">
        <v>1941</v>
      </c>
      <c r="CM289" s="1119">
        <v>0.08</v>
      </c>
      <c r="CN289" s="1115"/>
      <c r="CO289" s="1092"/>
      <c r="CP289" s="1116">
        <f t="shared" si="388"/>
        <v>8.335923948839314</v>
      </c>
      <c r="CQ289" s="1116">
        <f t="shared" si="389"/>
        <v>12.966992809305598</v>
      </c>
      <c r="CR289" s="1116">
        <f t="shared" si="390"/>
        <v>8.335923948839314</v>
      </c>
      <c r="CS289" s="1118">
        <f t="shared" si="391"/>
        <v>0</v>
      </c>
      <c r="CT289" s="1109">
        <f t="shared" si="392"/>
        <v>0</v>
      </c>
      <c r="CU289" s="1101">
        <f t="shared" si="393"/>
        <v>11.920371246840222</v>
      </c>
      <c r="CV289" s="1108">
        <f t="shared" si="394"/>
        <v>0</v>
      </c>
      <c r="CW289" s="1097">
        <f t="shared" si="395"/>
        <v>11.920371246840221</v>
      </c>
      <c r="CX289" s="1097">
        <f t="shared" si="396"/>
        <v>11.920371246840222</v>
      </c>
      <c r="CY289" s="1110">
        <f t="shared" si="397"/>
        <v>11.920371246840221</v>
      </c>
      <c r="CZ289" s="437"/>
      <c r="DA289" s="438"/>
      <c r="DB289" s="439" t="s">
        <v>569</v>
      </c>
      <c r="DC289" s="439"/>
      <c r="DD289" s="443"/>
      <c r="DE289" s="411"/>
      <c r="DF289" s="411"/>
      <c r="DG289" s="1116">
        <f t="shared" si="398"/>
        <v>0</v>
      </c>
      <c r="DH289" s="1116">
        <f t="shared" si="399"/>
        <v>0</v>
      </c>
      <c r="DI289" s="1116">
        <f t="shared" si="400"/>
        <v>0</v>
      </c>
      <c r="DJ289" s="442">
        <f t="shared" si="401"/>
        <v>0</v>
      </c>
      <c r="DK289" s="1109">
        <f t="shared" si="402"/>
        <v>0</v>
      </c>
      <c r="DL289" s="1101">
        <f t="shared" si="403"/>
        <v>0</v>
      </c>
      <c r="DM289" s="1097">
        <f t="shared" si="404"/>
        <v>0</v>
      </c>
      <c r="DN289" s="1097">
        <f t="shared" si="405"/>
        <v>0</v>
      </c>
      <c r="DO289" s="1097">
        <f t="shared" si="406"/>
        <v>0</v>
      </c>
      <c r="DP289" s="1110">
        <f t="shared" si="407"/>
        <v>0</v>
      </c>
      <c r="DQ289" s="1113" t="s">
        <v>256</v>
      </c>
      <c r="DR289" s="1120">
        <f t="shared" si="408"/>
        <v>0.3</v>
      </c>
      <c r="DS289" s="1124"/>
      <c r="DT289" s="1093" t="s">
        <v>813</v>
      </c>
      <c r="DU289" s="1093"/>
      <c r="DV289" s="1098">
        <f>IF($P289="","N/A",IF(P289=-1,INDEX('卡片raw data'!AN:AN,MATCH(D289,'卡片raw data'!$F:$F,)),0)+IF(AND(L289&lt;&gt;"party卡",P289&lt;=2,P289&gt;=0),INDEX('卡片raw data'!AP:AP,MATCH(D289,'卡片raw data'!$F:$F,)),0)+IF(OR(AND(L289="party卡",P289&lt;=1),AND(P289&lt;=4,L289&lt;&gt;"party卡",P289&gt;=3)),INDEX('卡片raw data'!AQ:AQ,MATCH(D289,'卡片raw data'!$F:$F,)),0)+IF(OR(P289=5,AND(L289="party卡",P289&gt;=2)),INDEX('卡片raw data'!AR:AR,MATCH(D289,'卡片raw data'!$F:$F,)),0))</f>
        <v>0.22</v>
      </c>
      <c r="DW289" s="1098">
        <f t="shared" si="409"/>
        <v>0.3</v>
      </c>
      <c r="DX289" s="1098">
        <f t="shared" si="410"/>
        <v>0.3</v>
      </c>
      <c r="DY289" s="1125">
        <f t="shared" si="411"/>
        <v>356.59230225590403</v>
      </c>
      <c r="DZ289" s="1125">
        <f t="shared" si="412"/>
        <v>308.45234145135697</v>
      </c>
      <c r="EA289" s="1098">
        <f t="shared" si="413"/>
        <v>0</v>
      </c>
      <c r="EB289" s="1121">
        <f t="shared" si="414"/>
        <v>0</v>
      </c>
      <c r="EC289" s="1101">
        <f t="shared" si="415"/>
        <v>509.9269922259428</v>
      </c>
      <c r="ED289" s="1097">
        <f t="shared" si="416"/>
        <v>0</v>
      </c>
      <c r="EE289" s="1110">
        <f t="shared" si="417"/>
        <v>509.9269922259428</v>
      </c>
      <c r="EF289" s="1092" t="s">
        <v>569</v>
      </c>
      <c r="EG289" s="1120">
        <f t="shared" si="418"/>
        <v>0.3</v>
      </c>
      <c r="EH289" s="1124"/>
      <c r="EI289" s="1093"/>
      <c r="EJ289" s="1093"/>
      <c r="EK289" s="1097">
        <f>IF($P289="","N/A",IF(P289=-1,INDEX('卡片raw data'!AS:AS,MATCH(D289,'卡片raw data'!$F:$F,)),0)+IF(AND(L289&lt;&gt;"party卡",P289&lt;=2,P289&gt;=0),INDEX('卡片raw data'!AU:AU,MATCH(D289,'卡片raw data'!$F:$F,)),0)+IF(OR(AND(L289="party卡",P289&lt;=1),AND(P289&lt;=4,L289&lt;&gt;"party卡",P289&gt;=3)),INDEX('卡片raw data'!AV:AV,MATCH(D289,'卡片raw data'!$F:$F,)),0)+IF(OR(P289=5,AND(L289="party卡",P289&gt;=2)),INDEX('卡片raw data'!AW:AW,MATCH(D289,'卡片raw data'!$F:$F,)),0))</f>
        <v>0</v>
      </c>
      <c r="EL289" s="1098">
        <f t="shared" si="419"/>
        <v>0.3</v>
      </c>
      <c r="EM289" s="1098">
        <f t="shared" si="420"/>
        <v>0.3</v>
      </c>
      <c r="EN289" s="1125">
        <f t="shared" si="421"/>
        <v>0</v>
      </c>
      <c r="EO289" s="1125">
        <f t="shared" si="422"/>
        <v>0</v>
      </c>
      <c r="EP289" s="1098">
        <f t="shared" si="423"/>
        <v>0</v>
      </c>
      <c r="EQ289" s="1121">
        <f t="shared" si="424"/>
        <v>0</v>
      </c>
      <c r="ER289" s="1101">
        <f t="shared" si="425"/>
        <v>0</v>
      </c>
      <c r="ES289" s="1097">
        <f t="shared" si="426"/>
        <v>0</v>
      </c>
      <c r="ET289" s="1122">
        <f t="shared" si="427"/>
        <v>0</v>
      </c>
    </row>
    <row r="290" spans="2:150" ht="16.5" customHeight="1">
      <c r="B290" s="1123" t="str">
        <f>INDEX('卡片raw data'!B:B,MATCH($D290,'卡片raw data'!$F:$F,))</f>
        <v>运动鞠</v>
      </c>
      <c r="C290" s="449" t="s">
        <v>579</v>
      </c>
      <c r="D290" s="408">
        <v>287</v>
      </c>
      <c r="E290" s="1090">
        <v>401083002</v>
      </c>
      <c r="F290" s="1090" t="str">
        <f>INDEX('卡片raw data'!C:C,MATCH($D290,'卡片raw data'!$F:$F,))</f>
        <v>UR</v>
      </c>
      <c r="G290" s="1094" t="s">
        <v>789</v>
      </c>
      <c r="H290" s="411">
        <f>IFERROR(INDEX(绊状态确认!C:C,MATCH($G290,绊状态确认!$B:$B,)),"")</f>
        <v>108</v>
      </c>
      <c r="I290" s="450" t="str">
        <f>IFERROR(INDEX(绊状态确认!D:D,MATCH($G290,绊状态确认!$B:$B,)),"")</f>
        <v>水</v>
      </c>
      <c r="J290" s="450" t="str">
        <f>IFERROR(INDEX(绊状态确认!E:E,MATCH($G290,绊状态确认!$B:$B,)),"")</f>
        <v>3年级</v>
      </c>
      <c r="K290" s="451" t="str">
        <f>IFERROR(INDEX(绊状态确认!F:F,MATCH($G290,绊状态确认!$B:$B,)),"")</f>
        <v>Guilty Kiss</v>
      </c>
      <c r="L290" s="1094" t="str">
        <f>INDEX('卡片raw data'!E:E,MATCH($D290,'卡片raw data'!$F:$F,))</f>
        <v>卡池卡</v>
      </c>
      <c r="M290" s="415">
        <v>44049</v>
      </c>
      <c r="N290" s="416">
        <v>21</v>
      </c>
      <c r="O290" s="1091" t="str">
        <f>INDEX('卡片raw data'!D:D,MATCH($D290,'卡片raw data'!$F:$F,))</f>
        <v>sk</v>
      </c>
      <c r="P290" s="417">
        <v>5</v>
      </c>
      <c r="Q290" s="1095">
        <f t="shared" si="343"/>
        <v>47190.540634731216</v>
      </c>
      <c r="R290" s="1096">
        <f t="shared" si="344"/>
        <v>0.54800000000000004</v>
      </c>
      <c r="S290" s="1097">
        <f t="shared" si="345"/>
        <v>20259.251095971071</v>
      </c>
      <c r="T290" s="1098">
        <f t="shared" si="346"/>
        <v>1.012</v>
      </c>
      <c r="U290" s="1099">
        <f t="shared" si="347"/>
        <v>14.996393657142857</v>
      </c>
      <c r="V290" s="1100">
        <f t="shared" si="348"/>
        <v>50394.276653351815</v>
      </c>
      <c r="W290" s="1101">
        <f t="shared" si="349"/>
        <v>6298.9794572325782</v>
      </c>
      <c r="X290" s="1096">
        <f t="shared" si="350"/>
        <v>7.2999999999999995E-2</v>
      </c>
      <c r="Y290" s="1097">
        <f t="shared" si="351"/>
        <v>1203.7360186206006</v>
      </c>
      <c r="Z290" s="1102">
        <f t="shared" si="352"/>
        <v>14.996393657142857</v>
      </c>
      <c r="AA290" s="1103">
        <f t="shared" si="353"/>
        <v>7502.7154758531788</v>
      </c>
      <c r="AB290" s="1101">
        <f t="shared" si="354"/>
        <v>7160.8151432516452</v>
      </c>
      <c r="AC290" s="1104">
        <f t="shared" si="355"/>
        <v>8.3000000000000004E-2</v>
      </c>
      <c r="AD290" s="1105">
        <f t="shared" si="356"/>
        <v>2.1769318181818181E-2</v>
      </c>
      <c r="AE290" s="1128">
        <f t="shared" si="357"/>
        <v>11.953757704745847</v>
      </c>
      <c r="AF290" s="1130">
        <f t="shared" si="358"/>
        <v>0</v>
      </c>
      <c r="AG290" s="420">
        <f t="shared" si="359"/>
        <v>0</v>
      </c>
      <c r="AH290" s="420">
        <f t="shared" si="360"/>
        <v>0</v>
      </c>
      <c r="AI290" s="1097">
        <f t="shared" si="361"/>
        <v>0</v>
      </c>
      <c r="AJ290" s="420">
        <f t="shared" si="362"/>
        <v>0</v>
      </c>
      <c r="AK290" s="518">
        <f t="shared" si="363"/>
        <v>0</v>
      </c>
      <c r="AL290" s="1106">
        <f>IF($P290="","N/A",(IF($P290=-1,INDEX('卡片raw data'!S:S,MATCH($D290,'卡片raw data'!$F:$F,)),0)+IF($P290=0,INDEX('卡片raw data'!V:V,MATCH($D290,'卡片raw data'!$F:$F,)),0)+IF($P290=1,INDEX('卡片raw data'!Y:Y,MATCH($D290,'卡片raw data'!$F:$F,)),0)+IF($P290=2,INDEX('卡片raw data'!AB:AB,MATCH($D290,'卡片raw data'!$F:$F,)),0)+IF($P290=3,INDEX('卡片raw data'!AE:AE,MATCH($D290,'卡片raw data'!$F:$F,)),0)+IF($P290=4,INDEX('卡片raw data'!AH:AH,MATCH($D290,'卡片raw data'!$F:$F,)),0)+IF($P290=5,INDEX('卡片raw data'!AK:AK,MATCH($D290,'卡片raw data'!$F:$F,)),0)+INDEX('卡片raw data'!S:S,MATCH($D290,'卡片raw data'!$F:$F,))*(IF($F290="UR",0.04,0.033))*(IF($F290="UR",INDEX(绊状态确认!$S:$S,MATCH($G290,绊状态确认!$B:$B,))/2-40)+IF($F290="SR",INDEX(绊状态确认!$R:$R,MATCH($G290,绊状态确认!$B:$B,))/4-15))+IF($F290="R",INDEX(绊状态确认!$Q:$Q,MATCH($G290,绊状态确认!$B:$B,))/6-40/6)))*(INDEX(绊状态确认!$H:$H,MATCH($G290,绊状态确认!$B:$B,))+INDEX(绊状态确认!J:J,MATCH($G290,绊状态确认!$B:$B,)))</f>
        <v>10919.440319999998</v>
      </c>
      <c r="AM290" s="1106">
        <f>IF($P290="","N/A",(IF($P290=-1,INDEX('卡片raw data'!T:T,MATCH($D290,'卡片raw data'!$F:$F,)),0)+IF($P290=0,INDEX('卡片raw data'!W:W,MATCH($D290,'卡片raw data'!$F:$F,)),0)+IF($P290=1,INDEX('卡片raw data'!Z:Z,MATCH($D290,'卡片raw data'!$F:$F,)),0)+IF($P290=2,INDEX('卡片raw data'!AC:AC,MATCH($D290,'卡片raw data'!$F:$F,)),0)+IF($P290=3,INDEX('卡片raw data'!AF:AF,MATCH($D290,'卡片raw data'!$F:$F,)),0)+IF($P290=4,INDEX('卡片raw data'!AI:AI,MATCH($D290,'卡片raw data'!$F:$F,)),0)+IF($P290=5,INDEX('卡片raw data'!AL:AL,MATCH($D290,'卡片raw data'!$F:$F,)),0)+INDEX('卡片raw data'!T:T,MATCH($D290,'卡片raw data'!$F:$F,))*(IF($F290="UR",0.04,0.033))*(IF($F290="UR",INDEX(绊状态确认!$S:$S,MATCH($G290,绊状态确认!$B:$B,))/2-40)+IF($F290="SR",INDEX(绊状态确认!$R:$R,MATCH($G290,绊状态确认!$B:$B,))/4-15))+IF($F290="R",INDEX(绊状态确认!$Q:$Q,MATCH($G290,绊状态确认!$B:$B,))/6-40/6)))*(INDEX(绊状态确认!$H:$H,MATCH($G290,绊状态确认!$B:$B,))+INDEX(绊状态确认!K:K,MATCH($G290,绊状态确认!$B:$B,)))</f>
        <v>8272.9919999999984</v>
      </c>
      <c r="AN290" s="1106">
        <f>IF($P290="","N/A",(IF($P290=-1,INDEX('卡片raw data'!U:U,MATCH($D290,'卡片raw data'!$F:$F,)),0)+IF($P290=0,INDEX('卡片raw data'!X:X,MATCH($D290,'卡片raw data'!$F:$F,)),0)+IF($P290=1,INDEX('卡片raw data'!AA:AA,MATCH($D290,'卡片raw data'!$F:$F,)),0)+IF($P290=2,INDEX('卡片raw data'!AD:AD,MATCH($D290,'卡片raw data'!$F:$F,)),0)+IF($P290=3,INDEX('卡片raw data'!AG:AG,MATCH($D290,'卡片raw data'!$F:$F,)),0)+IF($P290=4,INDEX('卡片raw data'!AJ:AJ,MATCH($D290,'卡片raw data'!$F:$F,)),0)+IF($P290=5,INDEX('卡片raw data'!AM:AM,MATCH($D290,'卡片raw data'!$F:$F,)),0)+INDEX('卡片raw data'!U:U,MATCH($D290,'卡片raw data'!$F:$F,))*(IF($F290="UR",0.04,0.033))*(IF($F290="UR",INDEX(绊状态确认!$S:$S,MATCH($G290,绊状态确认!$B:$B,))/2-40)+IF($F290="SR",INDEX(绊状态确认!$R:$R,MATCH($G290,绊状态确认!$B:$B,))/4-15))+IF($F290="R",INDEX(绊状态确认!$Q:$Q,MATCH($G290,绊状态确认!$B:$B,))/6-40/6)))*(INDEX(绊状态确认!$H:$H,MATCH($G290,绊状态确认!$B:$B,))+INDEX(绊状态确认!L:L,MATCH($G290,绊状态确认!$B:$B,)))</f>
        <v>13898.39928</v>
      </c>
      <c r="AO290" s="1107">
        <f t="shared" si="364"/>
        <v>1</v>
      </c>
      <c r="AP290" s="1131">
        <f>1+(INDEX(绊状态确认!$T:$T,MATCH($G290,绊状态确认!$B:$B,))+0.2)*$AO290</f>
        <v>1.3</v>
      </c>
      <c r="AQ290" s="1108">
        <f t="shared" si="365"/>
        <v>31913.530839999992</v>
      </c>
      <c r="AR290" s="1097">
        <f>(AM290*(1+$EX$9)+$EX$35)*(1+(INDEX(绊状态确认!$T:$T,MATCH($G290,绊状态确认!$B:$B,))+0.2)*AO290)*IF(J290=$FF$17,1+$FE$17,1)*IF(I290=$FF$14,1+$FE$14,1)*(1+$FE$15)</f>
        <v>13996.63408</v>
      </c>
      <c r="AS290" s="1097">
        <f>(AN290*(1+$EX$10)+$EX$36)*(1+(INDEX(绊状态确认!$T:$T,MATCH($G290,绊状态确认!$B:$B,))+0.2)*AO290)*IF(J290=$FF$17,1+$FE$17,1)*IF(I290=$FF$14,1+$FE$14,1)*(1+$FE$15)</f>
        <v>24834.1069236</v>
      </c>
      <c r="AT290" s="1093">
        <f>IF(AND(INDEX('卡片raw data'!AK:AK,MATCH($D290,'卡片raw data'!$F:$F,))&lt;INDEX('卡片raw data'!AM:AM,MATCH($D290,'卡片raw data'!$F:$F,)),INDEX('卡片raw data'!AL:AL,MATCH($D290,'卡片raw data'!$F:$F,))&lt;INDEX('卡片raw data'!AM:AM,MATCH($D290,'卡片raw data'!$F:$F,))),1,0)</f>
        <v>1</v>
      </c>
      <c r="AU290" s="1098">
        <f>MIN(AT290*0.15+AS290*0.00003+INDEX(绊状态确认!M:M,MATCH($G290,绊状态确认!$B:$B,)),1)</f>
        <v>0.92502320770800006</v>
      </c>
      <c r="AV290" s="1109">
        <f>(INDEX(绊状态确认!$N:$N,MATCH($G290,绊状态确认!$B:$B,))+1.5)*$EW$21</f>
        <v>2.6599999999999997</v>
      </c>
      <c r="AW290" s="1101">
        <f t="shared" si="366"/>
        <v>42024.488257056189</v>
      </c>
      <c r="AX290" s="1097">
        <f t="shared" si="367"/>
        <v>1203.7360186206006</v>
      </c>
      <c r="AY290" s="1110">
        <f t="shared" si="368"/>
        <v>43228.224275676788</v>
      </c>
      <c r="AZ290" s="429">
        <f t="shared" si="369"/>
        <v>23892.908623999996</v>
      </c>
      <c r="BA290" s="431">
        <f t="shared" si="370"/>
        <v>28671.490348799995</v>
      </c>
      <c r="BB290" s="1097">
        <f>(AM290*(1+$FB$9)+$FB$35)*(1+(INDEX(绊状态确认!$T:$T,MATCH($G290,绊状态确认!$B:$B,))+0.2)*AO290)*IF(J290=$FF$17,1+$FE$17,1)*IF(I290=$FF$14,1+$FE$14,1)*(1+$FE$15)</f>
        <v>13996.63408</v>
      </c>
      <c r="BC290" s="1097">
        <f>(AN290*(1+$FB$10)+$FB$36)*(1+(INDEX(绊状态确认!$T:$T,MATCH($G290,绊状态确认!$B:$B,))+0.2)*AO290)*IF(J290=$FF$17,1+$FE$17,1)*IF(I290=$FF$14,1+$FE$14,1)*(1+$FE$15)</f>
        <v>24834.1069236</v>
      </c>
      <c r="BD290" s="1104">
        <f>MIN(AT290*0.15+BC290*0.00003+INDEX(绊状态确认!M:M,MATCH($G290,绊状态确认!$B:$B,)),1)</f>
        <v>0.92502320770800006</v>
      </c>
      <c r="BE290" s="432">
        <f>(INDEX(绊状态确认!$N:$N,MATCH($G290,绊状态确认!$B:$B,))+1.5)</f>
        <v>1.9</v>
      </c>
      <c r="BF290" s="1139">
        <f t="array" ref="BF290">SUMPRODUCT(IF(AZ290*AP290*$FI$16:$FI$23*$FA$22&gt;=$FI$24,$FI$24,AZ290*AP290*$FI$16:$FI$23*$FA$22),$FJ$16:$FJ$23)</f>
        <v>47522.995253135996</v>
      </c>
      <c r="BG290" s="1125">
        <f t="array" ref="BG290">SUMPRODUCT(IF(BE290*AZ290*AP290*$FI$16:$FI$23*$FA$22&gt;=$FI$24,$FI$24,BE290*AZ290*AP290*$FI$16:$FI$23*$FA$22),$FJ$16:$FJ$23)</f>
        <v>60000</v>
      </c>
      <c r="BH290" s="1110">
        <f t="shared" si="371"/>
        <v>19688.171402222695</v>
      </c>
      <c r="BI290" s="1111">
        <f>IF(O290="vo",$EW$26/$EW$24*0.05,0)+IF(O290="sk",-$EW$26/$EW$24*(0.05-INDEX(绊状态确认!W:W,MATCH($G290,绊状态确认!$B:$B,)))+0.05*$EW$28,0)+IF(O290="sp",0.05*$EW$32*$EW$30*(1-$EW$33)-(0.05-INDEX(绊状态确认!V:V,MATCH($G290,绊状态确认!$B:$B,)))*$EW$28,0)+IF(O290="gd",-(0.05-INDEX(绊状态确认!X:X,MATCH($G290,绊状态确认!$B:$B,)))*$EW$32*$EW$30*(1-$EW$33),0)</f>
        <v>-6253.6726349699375</v>
      </c>
      <c r="BJ290" s="1097">
        <f>IF(O290="vo",0.05*(1-$FI$26)*$FA$24,0)+IF(O290="sk",-(0.05-INDEX(绊状态确认!W:W,MATCH($G290,绊状态确认!$B:$B,)))*(1-$FI$26)*$FA$24+0.05*$FA$26,0)+IF(O290="sp",0.05*$FA$32*$FA$27*(1-$FA$33)/$FA$30+0.05*$FA$29/$FA$69*$FA$27*(1-$FA$33)-(0.05-INDEX(绊状态确认!V:V,MATCH($G290,绊状态确认!$B:$B,)))*$FA$26,0)+IF(O290="gd",-(0.05-INDEX(绊状态确认!X:X,MATCH($G290,绊状态确认!$B:$B,)))*$FA$32*$FA$27*(1-$FA$33)/$FA$30-(0.05-INDEX(绊状态确认!X:X,MATCH($G290,绊状态确认!$B:$B,)))*$FA$29/$FA$69*$FA$27*(1-$FA$33),0)</f>
        <v>20.459096812499922</v>
      </c>
      <c r="BK290" s="1110">
        <f>IF(O290="vo",$EW$26/$EW$24*0.05+$EW$26*(-HP($EW$62,$EW$65,$EW$64)+HP($EW$62,$EW$65,(1.05-INDEX(绊状态确认!U:U,MATCH($G290,绊状态确认!$B:$B,)))*$EW$64)),0)+IF(O290="sk",-$EW$26/$EW$24*(0.05-INDEX(绊状态确认!W:W,MATCH($G290,绊状态确认!$B:$B,)))+0.05*$EW$29,0)+IF(O290="sp",0.05*$EW$32*$EW$30*(1-$EW$33)-(0.05-INDEX(绊状态确认!V:V,MATCH($G290,绊状态确认!$B:$B,)))*$EW$29,0)+IF(O290="gd",-(0.05-INDEX(绊状态确认!X:X,MATCH($G290,绊状态确认!$B:$B,)))*$EW$32*$EW$30*(1-$EW$33)+$EW$26*(-HP($EW$62,$EW$65,$EW$64)+HP($EW$62,$EW$65,0.95*$EW$64)),0)</f>
        <v>-4253.6726349699375</v>
      </c>
      <c r="BL290" s="1111">
        <f t="shared" si="372"/>
        <v>0</v>
      </c>
      <c r="BM290" s="1110">
        <f t="shared" si="373"/>
        <v>0</v>
      </c>
      <c r="BN290" s="1113">
        <f t="shared" si="374"/>
        <v>3</v>
      </c>
      <c r="BO290" s="1097">
        <f t="shared" si="375"/>
        <v>4507.7214871259994</v>
      </c>
      <c r="BP290" s="1100">
        <f t="shared" si="376"/>
        <v>221.34103209030098</v>
      </c>
      <c r="BQ290" s="1113" t="s">
        <v>790</v>
      </c>
      <c r="BR290" s="1124" t="s">
        <v>617</v>
      </c>
      <c r="BS290" s="1098">
        <f>IF($P290="","N/A",IF($P290=-1,INDEX('卡片raw data'!AX:AX,MATCH($D290,'卡片raw data'!$F:$F,)),0)+IF($L290="party卡",IF($P290=5,INDEX('卡片raw data'!BD:BD,MATCH($D290,'卡片raw data'!$F:$F,)),IF($P290&gt;=3,INDEX('卡片raw data'!BC:BC,MATCH($D290,'卡片raw data'!$F:$F,)),INDEX('卡片raw data'!BB:BB,MATCH($D290,'卡片raw data'!$F:$F,)))),IF(OR(AND($F290="UR",$P290=0),AND($F290="SR",$P290&gt;=0,$P290&lt;=2),AND($F290="R",$P290&gt;=0,$P290&lt;4)),INDEX('卡片raw data'!AZ:AZ,MATCH($D290,'卡片raw data'!$F:$F,)),0)+IF(OR(AND($F290="UR",$P290&gt;=1,$P290&lt;=4),AND($F290="SR",$P290&lt;=4,$P290&gt;=3),AND($F290="R",$P290=4)),INDEX('卡片raw data'!BA:BA,MATCH($D290,'卡片raw data'!$F:$F,)),0)+IF($P290=5,INDEX('卡片raw data'!BB:BB,MATCH($D290,'卡片raw data'!$F:$F,)),0)))</f>
        <v>5.1999999999999998E-2</v>
      </c>
      <c r="BT290" s="1101">
        <f t="shared" si="377"/>
        <v>2170.3844197273338</v>
      </c>
      <c r="BU290" s="1097">
        <f t="shared" si="378"/>
        <v>106.57160804347826</v>
      </c>
      <c r="BV290" s="1097">
        <f t="shared" si="379"/>
        <v>1302.2306518363998</v>
      </c>
      <c r="BW290" s="1112">
        <f t="shared" si="380"/>
        <v>0</v>
      </c>
      <c r="BX290" s="1100">
        <f t="shared" si="381"/>
        <v>2170.3844197273338</v>
      </c>
      <c r="BY290" s="1110">
        <f t="shared" si="382"/>
        <v>1302.2306518363998</v>
      </c>
      <c r="BZ290" s="1107" t="s">
        <v>569</v>
      </c>
      <c r="CA290" s="1124"/>
      <c r="CB290" s="1098">
        <f>IF($P290="","N/A",IF($P290=-1,INDEX('卡片raw data'!BE:BE,MATCH($D290,'卡片raw data'!$F:$F,)),0)+IF($L290="party卡",IF($P290=5,INDEX('卡片raw data'!BK:BK,MATCH($D290,'卡片raw data'!$F:$F,)),IF($P290&gt;=3,INDEX('卡片raw data'!BJ:BJ,MATCH($D290,'卡片raw data'!$F:$F,)),INDEX('卡片raw data'!BI:BI,MATCH($D290,'卡片raw data'!$F:$F,)))),IF(OR(AND($F290="UR",$P290=0),AND($F290="SR",$P290&gt;=0,$P290&lt;=2),AND($F290="R",$P290&gt;=0,$P290&lt;4)),INDEX('卡片raw data'!BG:BG,MATCH($D290,'卡片raw data'!$F:$F,)),0)+IF(OR(AND($F290="UR",$P290&gt;=1,$P290&lt;=4),AND($F290="SR",$P290&lt;=4,$P290&gt;=3),AND($F290="R",$P290=4)),INDEX('卡片raw data'!BH:BH,MATCH($D290,'卡片raw data'!$F:$F,)),0)+IF($P290=5,INDEX('卡片raw data'!BI:BI,MATCH($D290,'卡片raw data'!$F:$F,)),0)))</f>
        <v>0</v>
      </c>
      <c r="CC290" s="1101">
        <f t="shared" si="383"/>
        <v>0</v>
      </c>
      <c r="CD290" s="1097">
        <f>IF(BZ290="ap",CB290*(1-$FI$26)*$FB$5/$FB$11*(+IF(CA290="全员",$FA$24,0)+IF(CA290="同作战",$FA$24,0)+IF(CA290="仲间",$FA$24*2/3,0)+IF(CA290="同属性",$FA$24*$FA$37/3,0)+IF(CA290="同年级",$FA$24*$FA$40/3,0)+IF(CA290="同学校",$FA$24*$FA$43/3,0)+IF(CA290="同小队",$FA$24*$FA$46/3,0)+IF(CA290="同type",$FA$24*INDEX($FB$49:$FB$52,MATCH(X290,$FA$49:$FA$52,))/3,0)+IF(CA290="自身",#REF!/3,0)),0)+IF(BZ290="te",CB290*(1-$FI$27)*($FA$20-1)*$FB$7/$FB$13*(+IF(CA290="全员",$FA$19*$FA$24/(1+($FA$20-1)*$FA$19),0)+IF(CA290="同作战",$FA$19*$FA$24/(1+($FA$20-1)*$FA$19),0)+IF(CA290="仲间",$FA$19*$FA$24*2/3/(1+($FA$20-1)*$FA$19),0)+IF(CA290="同属性",$FA$19*$FA$24*$FA$37/3/(1+($FA$20-1)*$FA$19),0)+IF(CA290="同年级",$FA$19*$FA$24*$FA$40/3/(1+($FA$20-1)*$FA$19),0)+IF(CA290="同学校",$FA$19*$FA$24*$FA$43/3/(1+($FA$20-1)*$FA$19),0)+IF(CA290="同小队",$FA$19*$FA$24*$FA$46/3/(1+($FA$20-1)*$FA$19),0)+IF(CA290="同type",$FA$19*$FA$24*INDEX($FB$49:$FB$52,MATCH(X290,$FA$49:$FA$52,))/3/(1+($FA$20-1)*$FA$19),0)+IF(CA290="自身",$FA$19*#REF!/3/(1+(BH290-1)*$BD290),0)),0)</f>
        <v>0</v>
      </c>
      <c r="CE290" s="1097">
        <f t="shared" si="384"/>
        <v>0</v>
      </c>
      <c r="CF290" s="1112">
        <f t="shared" si="385"/>
        <v>0</v>
      </c>
      <c r="CG290" s="1100">
        <f t="shared" si="386"/>
        <v>0</v>
      </c>
      <c r="CH290" s="1110">
        <f t="shared" si="387"/>
        <v>0</v>
      </c>
      <c r="CI290" s="1113" t="s">
        <v>791</v>
      </c>
      <c r="CJ290" s="1114">
        <v>0.5</v>
      </c>
      <c r="CK290" s="1115" t="s">
        <v>792</v>
      </c>
      <c r="CL290" s="1115" t="s">
        <v>161</v>
      </c>
      <c r="CM290" s="1119">
        <v>7.8E-2</v>
      </c>
      <c r="CN290" s="1115">
        <v>5</v>
      </c>
      <c r="CO290" s="1092"/>
      <c r="CP290" s="1118">
        <f t="shared" si="388"/>
        <v>4.1245855766428542E-3</v>
      </c>
      <c r="CQ290" s="1118">
        <f t="shared" si="389"/>
        <v>6.4160220081111077E-3</v>
      </c>
      <c r="CR290" s="1118">
        <f t="shared" si="390"/>
        <v>4.1785714285714282E-3</v>
      </c>
      <c r="CS290" s="1118">
        <f t="shared" si="391"/>
        <v>0</v>
      </c>
      <c r="CT290" s="1109">
        <f t="shared" si="392"/>
        <v>0</v>
      </c>
      <c r="CU290" s="1101">
        <f t="shared" si="393"/>
        <v>482.70923639831176</v>
      </c>
      <c r="CV290" s="1108">
        <f t="shared" si="394"/>
        <v>51.952741435436295</v>
      </c>
      <c r="CW290" s="1097">
        <f t="shared" si="395"/>
        <v>489.02731827017948</v>
      </c>
      <c r="CX290" s="1097">
        <f t="shared" si="396"/>
        <v>482.70923639831176</v>
      </c>
      <c r="CY290" s="1110">
        <f t="shared" si="397"/>
        <v>489.02731827017948</v>
      </c>
      <c r="CZ290" s="437"/>
      <c r="DA290" s="438"/>
      <c r="DB290" s="439" t="s">
        <v>569</v>
      </c>
      <c r="DC290" s="439"/>
      <c r="DD290" s="443"/>
      <c r="DE290" s="411"/>
      <c r="DF290" s="411"/>
      <c r="DG290" s="1116">
        <f t="shared" si="398"/>
        <v>0</v>
      </c>
      <c r="DH290" s="1116">
        <f t="shared" si="399"/>
        <v>0</v>
      </c>
      <c r="DI290" s="1116">
        <f t="shared" si="400"/>
        <v>0</v>
      </c>
      <c r="DJ290" s="442">
        <f t="shared" si="401"/>
        <v>0</v>
      </c>
      <c r="DK290" s="1109">
        <f t="shared" si="402"/>
        <v>0</v>
      </c>
      <c r="DL290" s="1101">
        <f t="shared" si="403"/>
        <v>0</v>
      </c>
      <c r="DM290" s="1097">
        <f t="shared" si="404"/>
        <v>0</v>
      </c>
      <c r="DN290" s="1097">
        <f t="shared" si="405"/>
        <v>0</v>
      </c>
      <c r="DO290" s="1097">
        <f t="shared" si="406"/>
        <v>0</v>
      </c>
      <c r="DP290" s="1110">
        <f t="shared" si="407"/>
        <v>0</v>
      </c>
      <c r="DQ290" s="1113" t="s">
        <v>793</v>
      </c>
      <c r="DR290" s="1120">
        <f t="shared" si="408"/>
        <v>0.33</v>
      </c>
      <c r="DS290" s="1124">
        <v>5</v>
      </c>
      <c r="DT290" s="1093" t="s">
        <v>617</v>
      </c>
      <c r="DU290" s="1093" t="s">
        <v>544</v>
      </c>
      <c r="DV290" s="1098">
        <f>IF($P290="","N/A",IF(P290=-1,INDEX('卡片raw data'!AN:AN,MATCH(D290,'卡片raw data'!$F:$F,)),0)+IF(AND(L290&lt;&gt;"party卡",P290&lt;=2,P290&gt;=0),INDEX('卡片raw data'!AP:AP,MATCH(D290,'卡片raw data'!$F:$F,)),0)+IF(OR(AND(L290="party卡",P290&lt;=1),AND(P290&lt;=4,L290&lt;&gt;"party卡",P290&gt;=3)),INDEX('卡片raw data'!AQ:AQ,MATCH(D290,'卡片raw data'!$F:$F,)),0)+IF(OR(P290=5,AND(L290="party卡",P290&gt;=2)),INDEX('卡片raw data'!AR:AR,MATCH(D290,'卡片raw data'!$F:$F,)),0))</f>
        <v>8.2000000000000003E-2</v>
      </c>
      <c r="DW290" s="1098">
        <f t="shared" si="409"/>
        <v>0.33</v>
      </c>
      <c r="DX290" s="1098">
        <f t="shared" si="410"/>
        <v>0.33</v>
      </c>
      <c r="DY290" s="1098">
        <f t="shared" si="411"/>
        <v>2.5055555555555557E-2</v>
      </c>
      <c r="DZ290" s="1098">
        <f t="shared" si="412"/>
        <v>2.1673055555555557E-2</v>
      </c>
      <c r="EA290" s="1098">
        <f t="shared" si="413"/>
        <v>0</v>
      </c>
      <c r="EB290" s="1121">
        <f t="shared" si="414"/>
        <v>0</v>
      </c>
      <c r="EC290" s="1101">
        <f t="shared" si="415"/>
        <v>4258.9098693933165</v>
      </c>
      <c r="ED290" s="1097">
        <f t="shared" si="416"/>
        <v>170.7552153666563</v>
      </c>
      <c r="EE290" s="1110">
        <f t="shared" si="417"/>
        <v>4258.9098693933165</v>
      </c>
      <c r="EF290" s="1092" t="s">
        <v>569</v>
      </c>
      <c r="EG290" s="1120">
        <f t="shared" si="418"/>
        <v>0.33</v>
      </c>
      <c r="EH290" s="1124"/>
      <c r="EI290" s="1093"/>
      <c r="EJ290" s="1093"/>
      <c r="EK290" s="1097">
        <f>IF($P290="","N/A",IF(P290=-1,INDEX('卡片raw data'!AS:AS,MATCH(D290,'卡片raw data'!$F:$F,)),0)+IF(AND(L290&lt;&gt;"party卡",P290&lt;=2,P290&gt;=0),INDEX('卡片raw data'!AU:AU,MATCH(D290,'卡片raw data'!$F:$F,)),0)+IF(OR(AND(L290="party卡",P290&lt;=1),AND(P290&lt;=4,L290&lt;&gt;"party卡",P290&gt;=3)),INDEX('卡片raw data'!AV:AV,MATCH(D290,'卡片raw data'!$F:$F,)),0)+IF(OR(P290=5,AND(L290="party卡",P290&gt;=2)),INDEX('卡片raw data'!AW:AW,MATCH(D290,'卡片raw data'!$F:$F,)),0))</f>
        <v>0</v>
      </c>
      <c r="EL290" s="1098">
        <f t="shared" si="419"/>
        <v>0.33</v>
      </c>
      <c r="EM290" s="1098">
        <f t="shared" si="420"/>
        <v>0.33</v>
      </c>
      <c r="EN290" s="1125">
        <f t="shared" si="421"/>
        <v>0</v>
      </c>
      <c r="EO290" s="1125">
        <f t="shared" si="422"/>
        <v>0</v>
      </c>
      <c r="EP290" s="1098">
        <f t="shared" si="423"/>
        <v>0</v>
      </c>
      <c r="EQ290" s="1121">
        <f t="shared" si="424"/>
        <v>0</v>
      </c>
      <c r="ER290" s="1101">
        <f t="shared" si="425"/>
        <v>0</v>
      </c>
      <c r="ES290" s="1097">
        <f t="shared" si="426"/>
        <v>0</v>
      </c>
      <c r="ET290" s="1122">
        <f t="shared" si="427"/>
        <v>0</v>
      </c>
    </row>
    <row r="291" spans="2:150" ht="16.5" customHeight="1">
      <c r="B291" s="1123" t="str">
        <f>INDEX('卡片raw data'!B:B,MATCH($D291,'卡片raw data'!$F:$F,))</f>
        <v>二专璃</v>
      </c>
      <c r="C291" s="449" t="s">
        <v>660</v>
      </c>
      <c r="D291" s="408">
        <v>288</v>
      </c>
      <c r="E291" s="1090">
        <v>402092003</v>
      </c>
      <c r="F291" s="1090" t="str">
        <f>INDEX('卡片raw data'!C:C,MATCH($D291,'卡片raw data'!$F:$F,))</f>
        <v>SR</v>
      </c>
      <c r="G291" s="1094" t="s">
        <v>818</v>
      </c>
      <c r="H291" s="411">
        <f>IFERROR(INDEX(绊状态确认!C:C,MATCH($G291,绊状态确认!$B:$B,)),"")</f>
        <v>209</v>
      </c>
      <c r="I291" s="450" t="str">
        <f>IFERROR(INDEX(绊状态确认!D:D,MATCH($G291,绊状态确认!$B:$B,)),"")</f>
        <v>虹</v>
      </c>
      <c r="J291" s="450" t="str">
        <f>IFERROR(INDEX(绊状态确认!E:E,MATCH($G291,绊状态确认!$B:$B,)),"")</f>
        <v>1年级</v>
      </c>
      <c r="K291" s="451" t="str">
        <f>IFERROR(INDEX(绊状态确认!F:F,MATCH($G291,绊状态确认!$B:$B,)),"")</f>
        <v>QU4RTZ</v>
      </c>
      <c r="L291" s="1094" t="str">
        <f>INDEX('卡片raw data'!E:E,MATCH($D291,'卡片raw data'!$F:$F,))</f>
        <v>卡池卡</v>
      </c>
      <c r="M291" s="415">
        <v>44049</v>
      </c>
      <c r="N291" s="416">
        <v>21</v>
      </c>
      <c r="O291" s="1091" t="str">
        <f>INDEX('卡片raw data'!D:D,MATCH($D291,'卡片raw data'!$F:$F,))</f>
        <v>gd</v>
      </c>
      <c r="P291" s="417">
        <v>5</v>
      </c>
      <c r="Q291" s="1095">
        <f t="shared" si="343"/>
        <v>19371.954402052877</v>
      </c>
      <c r="R291" s="1096">
        <f t="shared" si="344"/>
        <v>0.22500000000000001</v>
      </c>
      <c r="S291" s="1097">
        <f t="shared" si="345"/>
        <v>11291.678682724632</v>
      </c>
      <c r="T291" s="1098">
        <f t="shared" si="346"/>
        <v>0.56399999999999995</v>
      </c>
      <c r="U291" s="1099">
        <f t="shared" si="347"/>
        <v>423.45525290108799</v>
      </c>
      <c r="V291" s="1100">
        <f t="shared" si="348"/>
        <v>70680.256214452369</v>
      </c>
      <c r="W291" s="1101">
        <f t="shared" si="349"/>
        <v>4507.7214871259994</v>
      </c>
      <c r="X291" s="1096">
        <f t="shared" si="350"/>
        <v>5.1999999999999998E-2</v>
      </c>
      <c r="Y291" s="1097">
        <f t="shared" si="351"/>
        <v>2681.0461249361742</v>
      </c>
      <c r="Z291" s="1102">
        <f t="shared" si="352"/>
        <v>33.37074293366399</v>
      </c>
      <c r="AA291" s="1103">
        <f t="shared" si="353"/>
        <v>7188.7676120621736</v>
      </c>
      <c r="AB291" s="1101">
        <f t="shared" si="354"/>
        <v>4507.7214871259994</v>
      </c>
      <c r="AC291" s="1104">
        <f t="shared" si="355"/>
        <v>5.1999999999999998E-2</v>
      </c>
      <c r="AD291" s="1105">
        <f t="shared" si="356"/>
        <v>-3.8207812500000026E-3</v>
      </c>
      <c r="AE291" s="1128">
        <f t="shared" si="357"/>
        <v>-18.525362318840578</v>
      </c>
      <c r="AF291" s="1130">
        <f t="shared" si="358"/>
        <v>5787.2655654095361</v>
      </c>
      <c r="AG291" s="420">
        <f t="shared" si="359"/>
        <v>96644.633016455686</v>
      </c>
      <c r="AH291" s="420">
        <f t="shared" si="360"/>
        <v>16.699533125644049</v>
      </c>
      <c r="AI291" s="1097">
        <f t="shared" si="361"/>
        <v>93734.235043909648</v>
      </c>
      <c r="AJ291" s="420">
        <f t="shared" si="362"/>
        <v>70680.256214452369</v>
      </c>
      <c r="AK291" s="518">
        <f t="shared" si="363"/>
        <v>23053.978829457279</v>
      </c>
      <c r="AL291" s="1106">
        <f>IF($P291="","N/A",(IF($P291=-1,INDEX('卡片raw data'!S:S,MATCH($D291,'卡片raw data'!$F:$F,)),0)+IF($P291=0,INDEX('卡片raw data'!V:V,MATCH($D291,'卡片raw data'!$F:$F,)),0)+IF($P291=1,INDEX('卡片raw data'!Y:Y,MATCH($D291,'卡片raw data'!$F:$F,)),0)+IF($P291=2,INDEX('卡片raw data'!AB:AB,MATCH($D291,'卡片raw data'!$F:$F,)),0)+IF($P291=3,INDEX('卡片raw data'!AE:AE,MATCH($D291,'卡片raw data'!$F:$F,)),0)+IF($P291=4,INDEX('卡片raw data'!AH:AH,MATCH($D291,'卡片raw data'!$F:$F,)),0)+IF($P291=5,INDEX('卡片raw data'!AK:AK,MATCH($D291,'卡片raw data'!$F:$F,)),0)+INDEX('卡片raw data'!S:S,MATCH($D291,'卡片raw data'!$F:$F,))*(IF($F291="UR",0.04,0.033))*(IF($F291="UR",INDEX(绊状态确认!$S:$S,MATCH($G291,绊状态确认!$B:$B,))/2-40)+IF($F291="SR",INDEX(绊状态确认!$R:$R,MATCH($G291,绊状态确认!$B:$B,))/4-15))+IF($F291="R",INDEX(绊状态确认!$Q:$Q,MATCH($G291,绊状态确认!$B:$B,))/6-40/6)))*(INDEX(绊状态确认!$H:$H,MATCH($G291,绊状态确认!$B:$B,))+INDEX(绊状态确认!J:J,MATCH($G291,绊状态确认!$B:$B,)))</f>
        <v>5688.0274655999992</v>
      </c>
      <c r="AM291" s="1106">
        <f>IF($P291="","N/A",(IF($P291=-1,INDEX('卡片raw data'!T:T,MATCH($D291,'卡片raw data'!$F:$F,)),0)+IF($P291=0,INDEX('卡片raw data'!W:W,MATCH($D291,'卡片raw data'!$F:$F,)),0)+IF($P291=1,INDEX('卡片raw data'!Z:Z,MATCH($D291,'卡片raw data'!$F:$F,)),0)+IF($P291=2,INDEX('卡片raw data'!AC:AC,MATCH($D291,'卡片raw data'!$F:$F,)),0)+IF($P291=3,INDEX('卡片raw data'!AF:AF,MATCH($D291,'卡片raw data'!$F:$F,)),0)+IF($P291=4,INDEX('卡片raw data'!AI:AI,MATCH($D291,'卡片raw data'!$F:$F,)),0)+IF($P291=5,INDEX('卡片raw data'!AL:AL,MATCH($D291,'卡片raw data'!$F:$F,)),0)+INDEX('卡片raw data'!T:T,MATCH($D291,'卡片raw data'!$F:$F,))*(IF($F291="UR",0.04,0.033))*(IF($F291="UR",INDEX(绊状态确认!$S:$S,MATCH($G291,绊状态确认!$B:$B,))/2-40)+IF($F291="SR",INDEX(绊状态确认!$R:$R,MATCH($G291,绊状态确认!$B:$B,))/4-15))+IF($F291="R",INDEX(绊状态确认!$Q:$Q,MATCH($G291,绊状态确认!$B:$B,))/6-40/6)))*(INDEX(绊状态确认!$H:$H,MATCH($G291,绊状态确认!$B:$B,))+INDEX(绊状态确认!K:K,MATCH($G291,绊状态确认!$B:$B,)))</f>
        <v>7925.0172287999994</v>
      </c>
      <c r="AN291" s="1106">
        <f>IF($P291="","N/A",(IF($P291=-1,INDEX('卡片raw data'!U:U,MATCH($D291,'卡片raw data'!$F:$F,)),0)+IF($P291=0,INDEX('卡片raw data'!X:X,MATCH($D291,'卡片raw data'!$F:$F,)),0)+IF($P291=1,INDEX('卡片raw data'!AA:AA,MATCH($D291,'卡片raw data'!$F:$F,)),0)+IF($P291=2,INDEX('卡片raw data'!AD:AD,MATCH($D291,'卡片raw data'!$F:$F,)),0)+IF($P291=3,INDEX('卡片raw data'!AG:AG,MATCH($D291,'卡片raw data'!$F:$F,)),0)+IF($P291=4,INDEX('卡片raw data'!AJ:AJ,MATCH($D291,'卡片raw data'!$F:$F,)),0)+IF($P291=5,INDEX('卡片raw data'!AM:AM,MATCH($D291,'卡片raw data'!$F:$F,)),0)+INDEX('卡片raw data'!U:U,MATCH($D291,'卡片raw data'!$F:$F,))*(IF($F291="UR",0.04,0.033))*(IF($F291="UR",INDEX(绊状态确认!$S:$S,MATCH($G291,绊状态确认!$B:$B,))/2-40)+IF($F291="SR",INDEX(绊状态确认!$R:$R,MATCH($G291,绊状态确认!$B:$B,))/4-15))+IF($F291="R",INDEX(绊状态确认!$Q:$Q,MATCH($G291,绊状态确认!$B:$B,))/6-40/6)))*(INDEX(绊状态确认!$H:$H,MATCH($G291,绊状态确认!$B:$B,))+INDEX(绊状态确认!L:L,MATCH($G291,绊状态确认!$B:$B,)))</f>
        <v>6704.0008847999998</v>
      </c>
      <c r="AO291" s="1107">
        <f t="shared" si="364"/>
        <v>1</v>
      </c>
      <c r="AP291" s="1131">
        <f>1+(INDEX(绊状态确认!$T:$T,MATCH($G291,绊状态确认!$B:$B,))+0.2)*$AO291</f>
        <v>1.3</v>
      </c>
      <c r="AQ291" s="1108">
        <f t="shared" si="365"/>
        <v>18181.072097199998</v>
      </c>
      <c r="AR291" s="1097">
        <f>(AM291*(1+$EX$9)+$EX$35)*(1+(INDEX(绊状态确认!$T:$T,MATCH($G291,绊状态确认!$B:$B,))+0.2)*AO291)*IF(J291=$FF$17,1+$FE$17,1)*IF(I291=$FF$14,1+$FE$14,1)</f>
        <v>13521.648517311998</v>
      </c>
      <c r="AS291" s="1097">
        <f>(AN291*(1+$EX$10)+$EX$36)*(1+(INDEX(绊状态确认!$T:$T,MATCH($G291,绊状态确认!$B:$B,))+0.2)*AO291)*IF(J291=$FF$17,1+$FE$17,1)*IF(I291=$FF$14,1+$FE$14,1)</f>
        <v>14078.481322775999</v>
      </c>
      <c r="AT291" s="1093">
        <f>IF(AND(INDEX('卡片raw data'!AK:AK,MATCH($D291,'卡片raw data'!$F:$F,))&lt;INDEX('卡片raw data'!AM:AM,MATCH($D291,'卡片raw data'!$F:$F,)),INDEX('卡片raw data'!AL:AL,MATCH($D291,'卡片raw data'!$F:$F,))&lt;INDEX('卡片raw data'!AM:AM,MATCH($D291,'卡片raw data'!$F:$F,))),1,0)</f>
        <v>0</v>
      </c>
      <c r="AU291" s="1098">
        <f>MIN(AT291*0.15+AS291*0.00003+INDEX(绊状态确认!M:M,MATCH($G291,绊状态确认!$B:$B,)),1)</f>
        <v>0.45235443968327999</v>
      </c>
      <c r="AV291" s="1109">
        <f>(INDEX(绊状态确认!$N:$N,MATCH($G291,绊状态确认!$B:$B,))+1.5)*$EW$21</f>
        <v>2.6599999999999997</v>
      </c>
      <c r="AW291" s="1101">
        <f t="shared" si="366"/>
        <v>16532.566248260209</v>
      </c>
      <c r="AX291" s="1097">
        <f t="shared" si="367"/>
        <v>1161.6674604481893</v>
      </c>
      <c r="AY291" s="1110">
        <f t="shared" si="368"/>
        <v>17694.233708708398</v>
      </c>
      <c r="AZ291" s="429">
        <f t="shared" si="369"/>
        <v>13691.653557919999</v>
      </c>
      <c r="BA291" s="431">
        <f t="shared" si="370"/>
        <v>16429.984269503999</v>
      </c>
      <c r="BB291" s="1097">
        <f>(AM291*(1+$FB$9)+$FB$35)*(1+(INDEX(绊状态确认!$T:$T,MATCH($G291,绊状态确认!$B:$B,))+0.2)*AO291)*IF(J291=$FF$17,1+$FE$17,1)*IF(I291=$FF$14,1+$FE$14,1)*(1+$FE$15)</f>
        <v>13521.648517311998</v>
      </c>
      <c r="BC291" s="1097">
        <f>(AN291*(1+$FB$10)+$FB$36)*(1+(INDEX(绊状态确认!$T:$T,MATCH($G291,绊状态确认!$B:$B,))+0.2)*AO291)*IF(J291=$FF$17,1+$FE$17,1)*IF(I291=$FF$14,1+$FE$14,1)*(1+$FE$15)</f>
        <v>14078.481322775999</v>
      </c>
      <c r="BD291" s="1104">
        <f>MIN(AT291*0.15+BC291*0.00003+INDEX(绊状态确认!M:M,MATCH($G291,绊状态确认!$B:$B,)),1)</f>
        <v>0.45235443968327999</v>
      </c>
      <c r="BE291" s="432">
        <f>(INDEX(绊状态确认!$N:$N,MATCH($G291,绊状态确认!$B:$B,))+1.5)</f>
        <v>1.9</v>
      </c>
      <c r="BF291" s="1139">
        <f t="array" ref="BF291">SUMPRODUCT(IF(AZ291*AP291*$FI$16:$FI$23*$FA$22&gt;=$FI$24,$FI$24,AZ291*AP291*$FI$16:$FI$23*$FA$22),$FJ$16:$FJ$23)</f>
        <v>27232.69892670288</v>
      </c>
      <c r="BG291" s="1125">
        <f t="array" ref="BG291">SUMPRODUCT(IF(BE291*AZ291*AP291*$FI$16:$FI$23*$FA$22&gt;=$FI$24,$FI$24,BE291*AZ291*AP291*$FI$16:$FI$23*$FA$22),$FJ$16:$FJ$23)</f>
        <v>51229.325774152385</v>
      </c>
      <c r="BH291" s="1110">
        <f t="shared" si="371"/>
        <v>12695.893206189887</v>
      </c>
      <c r="BI291" s="1111">
        <f>IF(O291="vo",$EW$26/$EW$24*0.05,0)+IF(O291="sk",-$EW$26/$EW$24*(0.05-INDEX(绊状态确认!W:W,MATCH($G291,绊状态确认!$B:$B,)))+0.05*$EW$28,0)+IF(O291="sp",0.05*$EW$32*$EW$30*(1-$EW$33)-(0.05-INDEX(绊状态确认!V:V,MATCH($G291,绊状态确认!$B:$B,)))*$EW$28,0)+IF(O291="gd",-(0.05-INDEX(绊状态确认!X:X,MATCH($G291,绊状态确认!$B:$B,)))*$EW$32*$EW$30*(1-$EW$33),0)</f>
        <v>-585.00000000000011</v>
      </c>
      <c r="BJ291" s="1097">
        <f>IF(O291="vo",0.05*(1-$FI$26)*$FA$24,0)+IF(O291="sk",-(0.05-INDEX(绊状态确认!W:W,MATCH($G291,绊状态确认!$B:$B,)))*(1-$FI$26)*$FA$24+0.05*$FA$26,0)+IF(O291="sp",0.05*$FA$32*$FA$27*(1-$FA$33)/$FA$30+0.05*$FA$29/$FA$69*$FA$27*(1-$FA$33)-(0.05-INDEX(绊状态确认!V:V,MATCH($G291,绊状态确认!$B:$B,)))*$FA$26,0)+IF(O291="gd",-(0.05-INDEX(绊状态确认!X:X,MATCH($G291,绊状态确认!$B:$B,)))*$FA$32*$FA$27*(1-$FA$33)/$FA$30-(0.05-INDEX(绊状态确认!X:X,MATCH($G291,绊状态确认!$B:$B,)))*$FA$29/$FA$69*$FA$27*(1-$FA$33),0)</f>
        <v>-795.00000000000011</v>
      </c>
      <c r="BK291" s="1110">
        <f>IF(O291="vo",$EW$26/$EW$24*0.05+$EW$26*(-HP($EW$62,$EW$65,$EW$64)+HP($EW$62,$EW$65,(1.05-INDEX(绊状态确认!U:U,MATCH($G291,绊状态确认!$B:$B,)))*$EW$64)),0)+IF(O291="sk",-$EW$26/$EW$24*(0.05-INDEX(绊状态确认!W:W,MATCH($G291,绊状态确认!$B:$B,)))+0.05*$EW$29,0)+IF(O291="sp",0.05*$EW$32*$EW$30*(1-$EW$33)-(0.05-INDEX(绊状态确认!V:V,MATCH($G291,绊状态确认!$B:$B,)))*$EW$29,0)+IF(O291="gd",-(0.05-INDEX(绊状态确认!X:X,MATCH($G291,绊状态确认!$B:$B,)))*$EW$32*$EW$30*(1-$EW$33)+$EW$26*(-HP($EW$62,$EW$65,$EW$64)+HP($EW$62,$EW$65,0.95*$EW$64)),0)</f>
        <v>1009.5947725176144</v>
      </c>
      <c r="BL291" s="1111">
        <f t="shared" si="372"/>
        <v>-1083.3333333333333</v>
      </c>
      <c r="BM291" s="1110">
        <f t="shared" si="373"/>
        <v>-830.55555555555543</v>
      </c>
      <c r="BN291" s="1113">
        <f t="shared" si="374"/>
        <v>3</v>
      </c>
      <c r="BO291" s="1097">
        <f t="shared" si="375"/>
        <v>4507.7214871259994</v>
      </c>
      <c r="BP291" s="1100">
        <f t="shared" si="376"/>
        <v>221.34103209030098</v>
      </c>
      <c r="BQ291" s="1113" t="s">
        <v>819</v>
      </c>
      <c r="BR291" s="1124" t="s">
        <v>171</v>
      </c>
      <c r="BS291" s="1098">
        <f>IF($P291="","N/A",IF($P291=-1,INDEX('卡片raw data'!AX:AX,MATCH($D291,'卡片raw data'!$F:$F,)),0)+IF($L291="party卡",IF($P291=5,INDEX('卡片raw data'!BD:BD,MATCH($D291,'卡片raw data'!$F:$F,)),IF($P291&gt;=3,INDEX('卡片raw data'!BC:BC,MATCH($D291,'卡片raw data'!$F:$F,)),INDEX('卡片raw data'!BB:BB,MATCH($D291,'卡片raw data'!$F:$F,)))),IF(OR(AND($F291="UR",$P291=0),AND($F291="SR",$P291&gt;=0,$P291&lt;=2),AND($F291="R",$P291&gt;=0,$P291&lt;4)),INDEX('卡片raw data'!AZ:AZ,MATCH($D291,'卡片raw data'!$F:$F,)),0)+IF(OR(AND($F291="UR",$P291&gt;=1,$P291&lt;=4),AND($F291="SR",$P291&lt;=4,$P291&gt;=3),AND($F291="R",$P291=4)),INDEX('卡片raw data'!BA:BA,MATCH($D291,'卡片raw data'!$F:$F,)),0)+IF($P291=5,INDEX('卡片raw data'!BB:BB,MATCH($D291,'卡片raw data'!$F:$F,)),0)))</f>
        <v>3.2000000000000001E-2</v>
      </c>
      <c r="BT291" s="1101">
        <f t="shared" si="377"/>
        <v>0</v>
      </c>
      <c r="BU291" s="1097">
        <f t="shared" si="378"/>
        <v>0</v>
      </c>
      <c r="BV291" s="1097">
        <f t="shared" si="379"/>
        <v>0</v>
      </c>
      <c r="BW291" s="1112">
        <f t="shared" si="380"/>
        <v>1.498285714285714</v>
      </c>
      <c r="BX291" s="1100">
        <f t="shared" si="381"/>
        <v>117.00848980993118</v>
      </c>
      <c r="BY291" s="1110">
        <f t="shared" si="382"/>
        <v>117.00848980993118</v>
      </c>
      <c r="BZ291" s="1107" t="s">
        <v>569</v>
      </c>
      <c r="CA291" s="1124"/>
      <c r="CB291" s="1098">
        <f>IF($P291="","N/A",IF($P291=-1,INDEX('卡片raw data'!BE:BE,MATCH($D291,'卡片raw data'!$F:$F,)),0)+IF($L291="party卡",IF($P291=5,INDEX('卡片raw data'!BK:BK,MATCH($D291,'卡片raw data'!$F:$F,)),IF($P291&gt;=3,INDEX('卡片raw data'!BJ:BJ,MATCH($D291,'卡片raw data'!$F:$F,)),INDEX('卡片raw data'!BI:BI,MATCH($D291,'卡片raw data'!$F:$F,)))),IF(OR(AND($F291="UR",$P291=0),AND($F291="SR",$P291&gt;=0,$P291&lt;=2),AND($F291="R",$P291&gt;=0,$P291&lt;4)),INDEX('卡片raw data'!BG:BG,MATCH($D291,'卡片raw data'!$F:$F,)),0)+IF(OR(AND($F291="UR",$P291&gt;=1,$P291&lt;=4),AND($F291="SR",$P291&lt;=4,$P291&gt;=3),AND($F291="R",$P291=4)),INDEX('卡片raw data'!BH:BH,MATCH($D291,'卡片raw data'!$F:$F,)),0)+IF($P291=5,INDEX('卡片raw data'!BI:BI,MATCH($D291,'卡片raw data'!$F:$F,)),0)))</f>
        <v>0</v>
      </c>
      <c r="CC291" s="1101">
        <f t="shared" si="383"/>
        <v>0</v>
      </c>
      <c r="CD291" s="1097">
        <f>IF(BZ291="ap",CB291*(1-$FI$26)*$FB$5/$FB$11*(+IF(CA291="全员",$FA$24,0)+IF(CA291="同作战",$FA$24,0)+IF(CA291="仲间",$FA$24*2/3,0)+IF(CA291="同属性",$FA$24*$FA$37/3,0)+IF(CA291="同年级",$FA$24*$FA$40/3,0)+IF(CA291="同学校",$FA$24*$FA$43/3,0)+IF(CA291="同小队",$FA$24*$FA$46/3,0)+IF(CA291="同type",$FA$24*INDEX($FB$49:$FB$52,MATCH(X291,$FA$49:$FA$52,))/3,0)+IF(CA291="自身",#REF!/3,0)),0)+IF(BZ291="te",CB291*(1-$FI$27)*($FA$20-1)*$FB$7/$FB$13*(+IF(CA291="全员",$FA$19*$FA$24/(1+($FA$20-1)*$FA$19),0)+IF(CA291="同作战",$FA$19*$FA$24/(1+($FA$20-1)*$FA$19),0)+IF(CA291="仲间",$FA$19*$FA$24*2/3/(1+($FA$20-1)*$FA$19),0)+IF(CA291="同属性",$FA$19*$FA$24*$FA$37/3/(1+($FA$20-1)*$FA$19),0)+IF(CA291="同年级",$FA$19*$FA$24*$FA$40/3/(1+($FA$20-1)*$FA$19),0)+IF(CA291="同学校",$FA$19*$FA$24*$FA$43/3/(1+($FA$20-1)*$FA$19),0)+IF(CA291="同小队",$FA$19*$FA$24*$FA$46/3/(1+($FA$20-1)*$FA$19),0)+IF(CA291="同type",$FA$19*$FA$24*INDEX($FB$49:$FB$52,MATCH(X291,$FA$49:$FA$52,))/3/(1+($FA$20-1)*$FA$19),0)+IF(CA291="自身",$FA$19*#REF!/3/(1+(BH291-1)*$BD291),0)),0)</f>
        <v>0</v>
      </c>
      <c r="CE291" s="1097">
        <f t="shared" si="384"/>
        <v>0</v>
      </c>
      <c r="CF291" s="1112">
        <f t="shared" si="385"/>
        <v>0</v>
      </c>
      <c r="CG291" s="1100">
        <f t="shared" si="386"/>
        <v>0</v>
      </c>
      <c r="CH291" s="1110">
        <f t="shared" si="387"/>
        <v>0</v>
      </c>
      <c r="CI291" s="1113" t="s">
        <v>162</v>
      </c>
      <c r="CJ291" s="1114">
        <v>0.3</v>
      </c>
      <c r="CK291" s="1115" t="s">
        <v>635</v>
      </c>
      <c r="CL291" s="1115" t="s">
        <v>1944</v>
      </c>
      <c r="CM291" s="1119">
        <v>0.2</v>
      </c>
      <c r="CN291" s="1115"/>
      <c r="CO291" s="1092"/>
      <c r="CP291" s="1116">
        <f t="shared" si="388"/>
        <v>17.384976665115424</v>
      </c>
      <c r="CQ291" s="1116">
        <f t="shared" si="389"/>
        <v>27.043297034623993</v>
      </c>
      <c r="CR291" s="1116">
        <f t="shared" si="390"/>
        <v>17.384976665115424</v>
      </c>
      <c r="CS291" s="1118">
        <f t="shared" si="391"/>
        <v>0</v>
      </c>
      <c r="CT291" s="1109">
        <f t="shared" si="392"/>
        <v>0</v>
      </c>
      <c r="CU291" s="1101">
        <f t="shared" si="393"/>
        <v>0</v>
      </c>
      <c r="CV291" s="1108">
        <f t="shared" si="394"/>
        <v>0</v>
      </c>
      <c r="CW291" s="1097">
        <f t="shared" si="395"/>
        <v>0</v>
      </c>
      <c r="CX291" s="1097">
        <f t="shared" si="396"/>
        <v>399.59151519377338</v>
      </c>
      <c r="CY291" s="1110">
        <f t="shared" si="397"/>
        <v>1402.3701746780532</v>
      </c>
      <c r="CZ291" s="437"/>
      <c r="DA291" s="438"/>
      <c r="DB291" s="439" t="s">
        <v>569</v>
      </c>
      <c r="DC291" s="439"/>
      <c r="DD291" s="443"/>
      <c r="DE291" s="411"/>
      <c r="DF291" s="411"/>
      <c r="DG291" s="1116">
        <f t="shared" si="398"/>
        <v>0</v>
      </c>
      <c r="DH291" s="1116">
        <f t="shared" si="399"/>
        <v>0</v>
      </c>
      <c r="DI291" s="1116">
        <f t="shared" si="400"/>
        <v>0</v>
      </c>
      <c r="DJ291" s="442">
        <f t="shared" si="401"/>
        <v>0</v>
      </c>
      <c r="DK291" s="1109">
        <f t="shared" si="402"/>
        <v>0</v>
      </c>
      <c r="DL291" s="1101">
        <f t="shared" si="403"/>
        <v>0</v>
      </c>
      <c r="DM291" s="1097">
        <f t="shared" si="404"/>
        <v>0</v>
      </c>
      <c r="DN291" s="1097">
        <f t="shared" si="405"/>
        <v>0</v>
      </c>
      <c r="DO291" s="1097">
        <f t="shared" si="406"/>
        <v>0</v>
      </c>
      <c r="DP291" s="1110">
        <f t="shared" si="407"/>
        <v>0</v>
      </c>
      <c r="DQ291" s="1113" t="s">
        <v>636</v>
      </c>
      <c r="DR291" s="1120">
        <f t="shared" si="408"/>
        <v>0.3</v>
      </c>
      <c r="DS291" s="1124"/>
      <c r="DT291" s="1093" t="s">
        <v>819</v>
      </c>
      <c r="DU291" s="1093"/>
      <c r="DV291" s="1098">
        <f>IF($P291="","N/A",IF(P291=-1,INDEX('卡片raw data'!AN:AN,MATCH(D291,'卡片raw data'!$F:$F,)),0)+IF(AND(L291&lt;&gt;"party卡",P291&lt;=2,P291&gt;=0),INDEX('卡片raw data'!AP:AP,MATCH(D291,'卡片raw data'!$F:$F,)),0)+IF(OR(AND(L291="party卡",P291&lt;=1),AND(P291&lt;=4,L291&lt;&gt;"party卡",P291&gt;=3)),INDEX('卡片raw data'!AQ:AQ,MATCH(D291,'卡片raw data'!$F:$F,)),0)+IF(OR(P291=5,AND(L291="party卡",P291&gt;=2)),INDEX('卡片raw data'!AR:AR,MATCH(D291,'卡片raw data'!$F:$F,)),0))</f>
        <v>0.27</v>
      </c>
      <c r="DW291" s="1098">
        <f t="shared" si="409"/>
        <v>0.3</v>
      </c>
      <c r="DX291" s="1098">
        <f t="shared" si="410"/>
        <v>0.3</v>
      </c>
      <c r="DY291" s="1125">
        <f t="shared" si="411"/>
        <v>365.08450996742403</v>
      </c>
      <c r="DZ291" s="1125">
        <f t="shared" si="412"/>
        <v>315.79810112182179</v>
      </c>
      <c r="EA291" s="1098">
        <f t="shared" si="413"/>
        <v>0</v>
      </c>
      <c r="EB291" s="1121">
        <f t="shared" si="414"/>
        <v>0</v>
      </c>
      <c r="EC291" s="1101">
        <f t="shared" si="415"/>
        <v>0</v>
      </c>
      <c r="ED291" s="1097">
        <f t="shared" si="416"/>
        <v>0</v>
      </c>
      <c r="EE291" s="1110">
        <f t="shared" si="417"/>
        <v>48035.439574429976</v>
      </c>
      <c r="EF291" s="1092" t="s">
        <v>569</v>
      </c>
      <c r="EG291" s="1120">
        <f t="shared" si="418"/>
        <v>0.3</v>
      </c>
      <c r="EH291" s="1124"/>
      <c r="EI291" s="1093"/>
      <c r="EJ291" s="1093"/>
      <c r="EK291" s="1097">
        <f>IF($P291="","N/A",IF(P291=-1,INDEX('卡片raw data'!AS:AS,MATCH(D291,'卡片raw data'!$F:$F,)),0)+IF(AND(L291&lt;&gt;"party卡",P291&lt;=2,P291&gt;=0),INDEX('卡片raw data'!AU:AU,MATCH(D291,'卡片raw data'!$F:$F,)),0)+IF(OR(AND(L291="party卡",P291&lt;=1),AND(P291&lt;=4,L291&lt;&gt;"party卡",P291&gt;=3)),INDEX('卡片raw data'!AV:AV,MATCH(D291,'卡片raw data'!$F:$F,)),0)+IF(OR(P291=5,AND(L291="party卡",P291&gt;=2)),INDEX('卡片raw data'!AW:AW,MATCH(D291,'卡片raw data'!$F:$F,)),0))</f>
        <v>0</v>
      </c>
      <c r="EL291" s="1098">
        <f t="shared" si="419"/>
        <v>0.3</v>
      </c>
      <c r="EM291" s="1098">
        <f t="shared" si="420"/>
        <v>0.3</v>
      </c>
      <c r="EN291" s="1125">
        <f t="shared" si="421"/>
        <v>0</v>
      </c>
      <c r="EO291" s="1125">
        <f t="shared" si="422"/>
        <v>0</v>
      </c>
      <c r="EP291" s="1098">
        <f t="shared" si="423"/>
        <v>0</v>
      </c>
      <c r="EQ291" s="1121">
        <f t="shared" si="424"/>
        <v>0</v>
      </c>
      <c r="ER291" s="1101">
        <f t="shared" si="425"/>
        <v>0</v>
      </c>
      <c r="ES291" s="1097">
        <f t="shared" si="426"/>
        <v>0</v>
      </c>
      <c r="ET291" s="1122">
        <f t="shared" si="427"/>
        <v>0</v>
      </c>
    </row>
    <row r="292" spans="2:150" ht="16.5" customHeight="1">
      <c r="B292" s="1123" t="str">
        <f>INDEX('卡片raw data'!B:B,MATCH($D292,'卡片raw data'!$F:$F,))</f>
        <v>运动绘</v>
      </c>
      <c r="C292" s="449" t="s">
        <v>659</v>
      </c>
      <c r="D292" s="408">
        <v>289</v>
      </c>
      <c r="E292" s="1090">
        <v>400023002</v>
      </c>
      <c r="F292" s="1090" t="str">
        <f>INDEX('卡片raw data'!C:C,MATCH($D292,'卡片raw data'!$F:$F,))</f>
        <v>UR</v>
      </c>
      <c r="G292" s="1094" t="s">
        <v>25</v>
      </c>
      <c r="H292" s="411">
        <f>IFERROR(INDEX(绊状态确认!C:C,MATCH($G292,绊状态确认!$B:$B,)),"")</f>
        <v>2</v>
      </c>
      <c r="I292" s="450" t="str">
        <f>IFERROR(INDEX(绊状态确认!D:D,MATCH($G292,绊状态确认!$B:$B,)),"")</f>
        <v>缪</v>
      </c>
      <c r="J292" s="450" t="str">
        <f>IFERROR(INDEX(绊状态确认!E:E,MATCH($G292,绊状态确认!$B:$B,)),"")</f>
        <v>3年级</v>
      </c>
      <c r="K292" s="451" t="str">
        <f>IFERROR(INDEX(绊状态确认!F:F,MATCH($G292,绊状态确认!$B:$B,)),"")</f>
        <v>BiBi</v>
      </c>
      <c r="L292" s="1094" t="str">
        <f>INDEX('卡片raw data'!E:E,MATCH($D292,'卡片raw data'!$F:$F,))</f>
        <v>卡池卡</v>
      </c>
      <c r="M292" s="415">
        <v>44049</v>
      </c>
      <c r="N292" s="416">
        <v>21</v>
      </c>
      <c r="O292" s="1091" t="str">
        <f>INDEX('卡片raw data'!D:D,MATCH($D292,'卡片raw data'!$F:$F,))</f>
        <v>vo</v>
      </c>
      <c r="P292" s="417">
        <v>5</v>
      </c>
      <c r="Q292" s="1095">
        <f t="shared" si="343"/>
        <v>62254.642761894742</v>
      </c>
      <c r="R292" s="1096">
        <f t="shared" si="344"/>
        <v>0.72299999999999998</v>
      </c>
      <c r="S292" s="1097">
        <f t="shared" si="345"/>
        <v>20601.537990790257</v>
      </c>
      <c r="T292" s="1098">
        <f t="shared" si="346"/>
        <v>1.03</v>
      </c>
      <c r="U292" s="1099">
        <f t="shared" si="347"/>
        <v>-11.455848835857143</v>
      </c>
      <c r="V292" s="1100">
        <f t="shared" si="348"/>
        <v>62033.895620878611</v>
      </c>
      <c r="W292" s="1101">
        <f t="shared" si="349"/>
        <v>5937.7940256313241</v>
      </c>
      <c r="X292" s="1096">
        <f t="shared" si="350"/>
        <v>6.9000000000000006E-2</v>
      </c>
      <c r="Y292" s="1097">
        <f t="shared" si="351"/>
        <v>1083.9213092255732</v>
      </c>
      <c r="Z292" s="1102">
        <f t="shared" si="352"/>
        <v>13.544151164142857</v>
      </c>
      <c r="AA292" s="1103">
        <f t="shared" si="353"/>
        <v>7021.7153348568972</v>
      </c>
      <c r="AB292" s="1101">
        <f t="shared" si="354"/>
        <v>6805.9477935222585</v>
      </c>
      <c r="AC292" s="1104">
        <f t="shared" si="355"/>
        <v>7.9000000000000001E-2</v>
      </c>
      <c r="AD292" s="1105">
        <f t="shared" si="356"/>
        <v>0</v>
      </c>
      <c r="AE292" s="1128">
        <f t="shared" si="357"/>
        <v>0</v>
      </c>
      <c r="AF292" s="1130">
        <f t="shared" si="358"/>
        <v>0</v>
      </c>
      <c r="AG292" s="420">
        <f t="shared" si="359"/>
        <v>0</v>
      </c>
      <c r="AH292" s="420">
        <f t="shared" si="360"/>
        <v>0</v>
      </c>
      <c r="AI292" s="1097">
        <f t="shared" si="361"/>
        <v>0</v>
      </c>
      <c r="AJ292" s="420">
        <f t="shared" si="362"/>
        <v>0</v>
      </c>
      <c r="AK292" s="518">
        <f t="shared" si="363"/>
        <v>0</v>
      </c>
      <c r="AL292" s="1106">
        <f>IF($P292="","N/A",(IF($P292=-1,INDEX('卡片raw data'!S:S,MATCH($D292,'卡片raw data'!$F:$F,)),0)+IF($P292=0,INDEX('卡片raw data'!V:V,MATCH($D292,'卡片raw data'!$F:$F,)),0)+IF($P292=1,INDEX('卡片raw data'!Y:Y,MATCH($D292,'卡片raw data'!$F:$F,)),0)+IF($P292=2,INDEX('卡片raw data'!AB:AB,MATCH($D292,'卡片raw data'!$F:$F,)),0)+IF($P292=3,INDEX('卡片raw data'!AE:AE,MATCH($D292,'卡片raw data'!$F:$F,)),0)+IF($P292=4,INDEX('卡片raw data'!AH:AH,MATCH($D292,'卡片raw data'!$F:$F,)),0)+IF($P292=5,INDEX('卡片raw data'!AK:AK,MATCH($D292,'卡片raw data'!$F:$F,)),0)+INDEX('卡片raw data'!S:S,MATCH($D292,'卡片raw data'!$F:$F,))*(IF($F292="UR",0.04,0.033))*(IF($F292="UR",INDEX(绊状态确认!$S:$S,MATCH($G292,绊状态确认!$B:$B,))/2-40)+IF($F292="SR",INDEX(绊状态确认!$R:$R,MATCH($G292,绊状态确认!$B:$B,))/4-15))+IF($F292="R",INDEX(绊状态确认!$Q:$Q,MATCH($G292,绊状态确认!$B:$B,))/6-40/6)))*(INDEX(绊状态确认!$H:$H,MATCH($G292,绊状态确认!$B:$B,))+INDEX(绊状态确认!J:J,MATCH($G292,绊状态确认!$B:$B,)))</f>
        <v>13898.39928</v>
      </c>
      <c r="AM292" s="1106">
        <f>IF($P292="","N/A",(IF($P292=-1,INDEX('卡片raw data'!T:T,MATCH($D292,'卡片raw data'!$F:$F,)),0)+IF($P292=0,INDEX('卡片raw data'!W:W,MATCH($D292,'卡片raw data'!$F:$F,)),0)+IF($P292=1,INDEX('卡片raw data'!Z:Z,MATCH($D292,'卡片raw data'!$F:$F,)),0)+IF($P292=2,INDEX('卡片raw data'!AC:AC,MATCH($D292,'卡片raw data'!$F:$F,)),0)+IF($P292=3,INDEX('卡片raw data'!AF:AF,MATCH($D292,'卡片raw data'!$F:$F,)),0)+IF($P292=4,INDEX('卡片raw data'!AI:AI,MATCH($D292,'卡片raw data'!$F:$F,)),0)+IF($P292=5,INDEX('卡片raw data'!AL:AL,MATCH($D292,'卡片raw data'!$F:$F,)),0)+INDEX('卡片raw data'!T:T,MATCH($D292,'卡片raw data'!$F:$F,))*(IF($F292="UR",0.04,0.033))*(IF($F292="UR",INDEX(绊状态确认!$S:$S,MATCH($G292,绊状态确认!$B:$B,))/2-40)+IF($F292="SR",INDEX(绊状态确认!$R:$R,MATCH($G292,绊状态确认!$B:$B,))/4-15))+IF($F292="R",INDEX(绊状态确认!$Q:$Q,MATCH($G292,绊状态确认!$B:$B,))/6-40/6)))*(INDEX(绊状态确认!$H:$H,MATCH($G292,绊状态确认!$B:$B,))+INDEX(绊状态确认!K:K,MATCH($G292,绊状态确认!$B:$B,)))</f>
        <v>7280.0056799999993</v>
      </c>
      <c r="AN292" s="1106">
        <f>IF($P292="","N/A",(IF($P292=-1,INDEX('卡片raw data'!U:U,MATCH($D292,'卡片raw data'!$F:$F,)),0)+IF($P292=0,INDEX('卡片raw data'!X:X,MATCH($D292,'卡片raw data'!$F:$F,)),0)+IF($P292=1,INDEX('卡片raw data'!AA:AA,MATCH($D292,'卡片raw data'!$F:$F,)),0)+IF($P292=2,INDEX('卡片raw data'!AD:AD,MATCH($D292,'卡片raw data'!$F:$F,)),0)+IF($P292=3,INDEX('卡片raw data'!AG:AG,MATCH($D292,'卡片raw data'!$F:$F,)),0)+IF($P292=4,INDEX('卡片raw data'!AJ:AJ,MATCH($D292,'卡片raw data'!$F:$F,)),0)+IF($P292=5,INDEX('卡片raw data'!AM:AM,MATCH($D292,'卡片raw data'!$F:$F,)),0)+INDEX('卡片raw data'!U:U,MATCH($D292,'卡片raw data'!$F:$F,))*(IF($F292="UR",0.04,0.033))*(IF($F292="UR",INDEX(绊状态确认!$S:$S,MATCH($G292,绊状态确认!$B:$B,))/2-40)+IF($F292="SR",INDEX(绊状态确认!$R:$R,MATCH($G292,绊状态确认!$B:$B,))/4-15))+IF($F292="R",INDEX(绊状态确认!$Q:$Q,MATCH($G292,绊状态确认!$B:$B,))/6-40/6)))*(INDEX(绊状态确认!$H:$H,MATCH($G292,绊状态确认!$B:$B,))+INDEX(绊状态确认!L:L,MATCH($G292,绊状态确认!$B:$B,)))</f>
        <v>11912.42664</v>
      </c>
      <c r="AO292" s="1107">
        <f t="shared" si="364"/>
        <v>1</v>
      </c>
      <c r="AP292" s="1131">
        <f>1+(INDEX(绊状态确认!$T:$T,MATCH($G292,绊状态确认!$B:$B,))+0.2)*$AO292</f>
        <v>1.3</v>
      </c>
      <c r="AQ292" s="1108">
        <f t="shared" si="365"/>
        <v>39733.298110000003</v>
      </c>
      <c r="AR292" s="1097">
        <f>(AM292*(1+$EX$9)+$EX$35)*(1+(INDEX(绊状态确认!$T:$T,MATCH($G292,绊状态确认!$B:$B,))+0.2)*AO292)*IF(J292=$FF$17,1+$FE$17,1)*IF(I292=$FF$14,1+$FE$14,1)*(1+$FE$15)</f>
        <v>12641.2077532</v>
      </c>
      <c r="AS292" s="1097">
        <f>(AN292*(1+$EX$10)+$EX$36)*(1+(INDEX(绊状态确认!$T:$T,MATCH($G292,绊状态确认!$B:$B,))+0.2)*AO292)*IF(J292=$FF$17,1+$FE$17,1)*IF(I292=$FF$14,1+$FE$14,1)*(1+$FE$15)</f>
        <v>21865.077826799999</v>
      </c>
      <c r="AT292" s="1093">
        <f>IF(AND(INDEX('卡片raw data'!AK:AK,MATCH($D292,'卡片raw data'!$F:$F,))&lt;INDEX('卡片raw data'!AM:AM,MATCH($D292,'卡片raw data'!$F:$F,)),INDEX('卡片raw data'!AL:AL,MATCH($D292,'卡片raw data'!$F:$F,))&lt;INDEX('卡片raw data'!AM:AM,MATCH($D292,'卡片raw data'!$F:$F,))),1,0)</f>
        <v>0</v>
      </c>
      <c r="AU292" s="1098">
        <f>MIN(AT292*0.15+AS292*0.00003+INDEX(绊状态确认!M:M,MATCH($G292,绊状态确认!$B:$B,)),1)</f>
        <v>0.68595233480399997</v>
      </c>
      <c r="AV292" s="1109">
        <f>(INDEX(绊状态确认!$N:$N,MATCH($G292,绊状态确认!$B:$B,))+1.5)*$EW$21</f>
        <v>2.6599999999999997</v>
      </c>
      <c r="AW292" s="1101">
        <f t="shared" si="366"/>
        <v>44132.442648280958</v>
      </c>
      <c r="AX292" s="1097">
        <f t="shared" si="367"/>
        <v>1083.9213092255736</v>
      </c>
      <c r="AY292" s="1110">
        <f t="shared" si="368"/>
        <v>45216.363957506532</v>
      </c>
      <c r="AZ292" s="429">
        <f t="shared" si="369"/>
        <v>29701.878595999999</v>
      </c>
      <c r="BA292" s="431">
        <f t="shared" si="370"/>
        <v>35642.2543152</v>
      </c>
      <c r="BB292" s="1097">
        <f>(AM292*(1+$FB$9)+$FB$35)*(1+(INDEX(绊状态确认!$T:$T,MATCH($G292,绊状态确认!$B:$B,))+0.2)*AO292)*IF(J292=$FF$17,1+$FE$17,1)*IF(I292=$FF$14,1+$FE$14,1)*(1+$FE$15)</f>
        <v>12641.2077532</v>
      </c>
      <c r="BC292" s="1097">
        <f>(AN292*(1+$FB$10)+$FB$36)*(1+(INDEX(绊状态确认!$T:$T,MATCH($G292,绊状态确认!$B:$B,))+0.2)*AO292)*IF(J292=$FF$17,1+$FE$17,1)*IF(I292=$FF$14,1+$FE$14,1)*(1+$FE$15)</f>
        <v>21865.077826799999</v>
      </c>
      <c r="BD292" s="1104">
        <f>MIN(AT292*0.15+BC292*0.00003+INDEX(绊状态确认!M:M,MATCH($G292,绊状态确认!$B:$B,)),1)</f>
        <v>0.68595233480399997</v>
      </c>
      <c r="BE292" s="432">
        <f>(INDEX(绊状态确认!$N:$N,MATCH($G292,绊状态确认!$B:$B,))+1.5)</f>
        <v>1.9</v>
      </c>
      <c r="BF292" s="1139">
        <f t="array" ref="BF292">SUMPRODUCT(IF(AZ292*AP292*$FI$16:$FI$23*$FA$22&gt;=$FI$24,$FI$24,AZ292*AP292*$FI$16:$FI$23*$FA$22),$FJ$16:$FJ$23)</f>
        <v>56048.327005084007</v>
      </c>
      <c r="BG292" s="1125">
        <f t="array" ref="BG292">SUMPRODUCT(IF(BE292*AZ292*AP292*$FI$16:$FI$23*$FA$22&gt;=$FI$24,$FI$24,BE292*AZ292*AP292*$FI$16:$FI$23*$FA$22),$FJ$16:$FJ$23)</f>
        <v>60000</v>
      </c>
      <c r="BH292" s="1110">
        <f t="shared" si="371"/>
        <v>19586.328774109516</v>
      </c>
      <c r="BI292" s="1111">
        <f>IF(O292="vo",$EW$26/$EW$24*0.05,0)+IF(O292="sk",-$EW$26/$EW$24*(0.05-INDEX(绊状态确认!W:W,MATCH($G292,绊状态确认!$B:$B,)))+0.05*$EW$28,0)+IF(O292="sp",0.05*$EW$32*$EW$30*(1-$EW$33)-(0.05-INDEX(绊状态确认!V:V,MATCH($G292,绊状态确认!$B:$B,)))*$EW$28,0)+IF(O292="gd",-(0.05-INDEX(绊状态确认!X:X,MATCH($G292,绊状态确认!$B:$B,)))*$EW$32*$EW$30*(1-$EW$33),0)</f>
        <v>7726.3029277443748</v>
      </c>
      <c r="BJ292" s="1097">
        <f>IF(O292="vo",0.05*(1-$FI$26)*$FA$24,0)+IF(O292="sk",-(0.05-INDEX(绊状态确认!W:W,MATCH($G292,绊状态确认!$B:$B,)))*(1-$FI$26)*$FA$24+0.05*$FA$26,0)+IF(O292="sp",0.05*$FA$32*$FA$27*(1-$FA$33)/$FA$30+0.05*$FA$29/$FA$69*$FA$27*(1-$FA$33)-(0.05-INDEX(绊状态确认!V:V,MATCH($G292,绊状态确认!$B:$B,)))*$FA$26,0)+IF(O292="gd",-(0.05-INDEX(绊状态确认!X:X,MATCH($G292,绊状态确认!$B:$B,)))*$FA$32*$FA$27*(1-$FA$33)/$FA$30-(0.05-INDEX(绊状态确认!X:X,MATCH($G292,绊状态确认!$B:$B,)))*$FA$29/$FA$69*$FA$27*(1-$FA$33),0)</f>
        <v>393.93433687500004</v>
      </c>
      <c r="BK292" s="1110">
        <f>IF(O292="vo",$EW$26/$EW$24*0.05+$EW$26*(-HP($EW$62,$EW$65,$EW$64)+HP($EW$62,$EW$65,(1.05-INDEX(绊状态确认!U:U,MATCH($G292,绊状态确认!$B:$B,)))*$EW$64)),0)+IF(O292="sk",-$EW$26/$EW$24*(0.05-INDEX(绊状态确认!W:W,MATCH($G292,绊状态确认!$B:$B,)))+0.05*$EW$29,0)+IF(O292="sp",0.05*$EW$32*$EW$30*(1-$EW$33)-(0.05-INDEX(绊状态确认!V:V,MATCH($G292,绊状态确认!$B:$B,)))*$EW$29,0)+IF(O292="gd",-(0.05-INDEX(绊状态确认!X:X,MATCH($G292,绊状态确认!$B:$B,)))*$EW$32*$EW$30*(1-$EW$33)+$EW$26*(-HP($EW$62,$EW$65,$EW$64)+HP($EW$62,$EW$65,0.95*$EW$64)),0)</f>
        <v>6421.6344775026746</v>
      </c>
      <c r="BL292" s="1111">
        <f t="shared" si="372"/>
        <v>0</v>
      </c>
      <c r="BM292" s="1110">
        <f t="shared" si="373"/>
        <v>0</v>
      </c>
      <c r="BN292" s="1113">
        <f t="shared" si="374"/>
        <v>3</v>
      </c>
      <c r="BO292" s="1097">
        <f t="shared" si="375"/>
        <v>4507.7214871259994</v>
      </c>
      <c r="BP292" s="1100">
        <f t="shared" si="376"/>
        <v>221.34103209030098</v>
      </c>
      <c r="BQ292" s="1113" t="s">
        <v>143</v>
      </c>
      <c r="BR292" s="1124" t="s">
        <v>151</v>
      </c>
      <c r="BS292" s="1098">
        <f>IF($P292="","N/A",IF($P292=-1,INDEX('卡片raw data'!AX:AX,MATCH($D292,'卡片raw data'!$F:$F,)),0)+IF($L292="party卡",IF($P292=5,INDEX('卡片raw data'!BD:BD,MATCH($D292,'卡片raw data'!$F:$F,)),IF($P292&gt;=3,INDEX('卡片raw data'!BC:BC,MATCH($D292,'卡片raw data'!$F:$F,)),INDEX('卡片raw data'!BB:BB,MATCH($D292,'卡片raw data'!$F:$F,)))),IF(OR(AND($F292="UR",$P292=0),AND($F292="SR",$P292&gt;=0,$P292&lt;=2),AND($F292="R",$P292&gt;=0,$P292&lt;4)),INDEX('卡片raw data'!AZ:AZ,MATCH($D292,'卡片raw data'!$F:$F,)),0)+IF(OR(AND($F292="UR",$P292&gt;=1,$P292&lt;=4),AND($F292="SR",$P292&lt;=4,$P292&gt;=3),AND($F292="R",$P292=4)),INDEX('卡片raw data'!BA:BA,MATCH($D292,'卡片raw data'!$F:$F,)),0)+IF($P292=5,INDEX('卡片raw data'!BB:BB,MATCH($D292,'卡片raw data'!$F:$F,)),0)))</f>
        <v>5.1999999999999998E-2</v>
      </c>
      <c r="BT292" s="1101">
        <f t="shared" si="377"/>
        <v>2170.3844197273338</v>
      </c>
      <c r="BU292" s="1097">
        <f t="shared" si="378"/>
        <v>106.57160804347826</v>
      </c>
      <c r="BV292" s="1097">
        <f t="shared" si="379"/>
        <v>1302.2306518363998</v>
      </c>
      <c r="BW292" s="1112">
        <f t="shared" si="380"/>
        <v>0</v>
      </c>
      <c r="BX292" s="1100">
        <f t="shared" si="381"/>
        <v>2170.3844197273338</v>
      </c>
      <c r="BY292" s="1110">
        <f t="shared" si="382"/>
        <v>1302.2306518363998</v>
      </c>
      <c r="BZ292" s="1107" t="s">
        <v>569</v>
      </c>
      <c r="CA292" s="1124"/>
      <c r="CB292" s="1098">
        <f>IF($P292="","N/A",IF($P292=-1,INDEX('卡片raw data'!BE:BE,MATCH($D292,'卡片raw data'!$F:$F,)),0)+IF($L292="party卡",IF($P292=5,INDEX('卡片raw data'!BK:BK,MATCH($D292,'卡片raw data'!$F:$F,)),IF($P292&gt;=3,INDEX('卡片raw data'!BJ:BJ,MATCH($D292,'卡片raw data'!$F:$F,)),INDEX('卡片raw data'!BI:BI,MATCH($D292,'卡片raw data'!$F:$F,)))),IF(OR(AND($F292="UR",$P292=0),AND($F292="SR",$P292&gt;=0,$P292&lt;=2),AND($F292="R",$P292&gt;=0,$P292&lt;4)),INDEX('卡片raw data'!BG:BG,MATCH($D292,'卡片raw data'!$F:$F,)),0)+IF(OR(AND($F292="UR",$P292&gt;=1,$P292&lt;=4),AND($F292="SR",$P292&lt;=4,$P292&gt;=3),AND($F292="R",$P292=4)),INDEX('卡片raw data'!BH:BH,MATCH($D292,'卡片raw data'!$F:$F,)),0)+IF($P292=5,INDEX('卡片raw data'!BI:BI,MATCH($D292,'卡片raw data'!$F:$F,)),0)))</f>
        <v>0</v>
      </c>
      <c r="CC292" s="1101">
        <f t="shared" si="383"/>
        <v>0</v>
      </c>
      <c r="CD292" s="1097">
        <f>IF(BZ292="ap",CB292*(1-$FI$26)*$FB$5/$FB$11*(+IF(CA292="全员",$FA$24,0)+IF(CA292="同作战",$FA$24,0)+IF(CA292="仲间",$FA$24*2/3,0)+IF(CA292="同属性",$FA$24*$FA$37/3,0)+IF(CA292="同年级",$FA$24*$FA$40/3,0)+IF(CA292="同学校",$FA$24*$FA$43/3,0)+IF(CA292="同小队",$FA$24*$FA$46/3,0)+IF(CA292="同type",$FA$24*INDEX($FB$49:$FB$52,MATCH(X292,$FA$49:$FA$52,))/3,0)+IF(CA292="自身",#REF!/3,0)),0)+IF(BZ292="te",CB292*(1-$FI$27)*($FA$20-1)*$FB$7/$FB$13*(+IF(CA292="全员",$FA$19*$FA$24/(1+($FA$20-1)*$FA$19),0)+IF(CA292="同作战",$FA$19*$FA$24/(1+($FA$20-1)*$FA$19),0)+IF(CA292="仲间",$FA$19*$FA$24*2/3/(1+($FA$20-1)*$FA$19),0)+IF(CA292="同属性",$FA$19*$FA$24*$FA$37/3/(1+($FA$20-1)*$FA$19),0)+IF(CA292="同年级",$FA$19*$FA$24*$FA$40/3/(1+($FA$20-1)*$FA$19),0)+IF(CA292="同学校",$FA$19*$FA$24*$FA$43/3/(1+($FA$20-1)*$FA$19),0)+IF(CA292="同小队",$FA$19*$FA$24*$FA$46/3/(1+($FA$20-1)*$FA$19),0)+IF(CA292="同type",$FA$19*$FA$24*INDEX($FB$49:$FB$52,MATCH(X292,$FA$49:$FA$52,))/3/(1+($FA$20-1)*$FA$19),0)+IF(CA292="自身",$FA$19*#REF!/3/(1+(BH292-1)*$BD292),0)),0)</f>
        <v>0</v>
      </c>
      <c r="CE292" s="1097">
        <f t="shared" si="384"/>
        <v>0</v>
      </c>
      <c r="CF292" s="1112">
        <f t="shared" si="385"/>
        <v>0</v>
      </c>
      <c r="CG292" s="1100">
        <f t="shared" si="386"/>
        <v>0</v>
      </c>
      <c r="CH292" s="1110">
        <f t="shared" si="387"/>
        <v>0</v>
      </c>
      <c r="CI292" s="1113" t="s">
        <v>791</v>
      </c>
      <c r="CJ292" s="1114">
        <v>0.3</v>
      </c>
      <c r="CK292" s="1115" t="s">
        <v>545</v>
      </c>
      <c r="CL292" s="1115" t="s">
        <v>1940</v>
      </c>
      <c r="CM292" s="1119">
        <v>0.35</v>
      </c>
      <c r="CN292" s="1115"/>
      <c r="CO292" s="1092"/>
      <c r="CP292" s="1116">
        <f t="shared" si="388"/>
        <v>116.21989697174999</v>
      </c>
      <c r="CQ292" s="1116">
        <f t="shared" si="389"/>
        <v>162.17225713415999</v>
      </c>
      <c r="CR292" s="1116">
        <f t="shared" si="390"/>
        <v>116.21989697174999</v>
      </c>
      <c r="CS292" s="1118">
        <f t="shared" si="391"/>
        <v>0</v>
      </c>
      <c r="CT292" s="1109">
        <f t="shared" si="392"/>
        <v>0</v>
      </c>
      <c r="CU292" s="1101">
        <f t="shared" si="393"/>
        <v>127.841886668925</v>
      </c>
      <c r="CV292" s="1108">
        <f t="shared" si="394"/>
        <v>162.17225713415999</v>
      </c>
      <c r="CW292" s="1097">
        <f t="shared" si="395"/>
        <v>127.841886668925</v>
      </c>
      <c r="CX292" s="1097">
        <f t="shared" si="396"/>
        <v>127.841886668925</v>
      </c>
      <c r="CY292" s="1110">
        <f t="shared" si="397"/>
        <v>127.841886668925</v>
      </c>
      <c r="CZ292" s="437"/>
      <c r="DA292" s="438"/>
      <c r="DB292" s="439" t="s">
        <v>569</v>
      </c>
      <c r="DC292" s="439"/>
      <c r="DD292" s="443"/>
      <c r="DE292" s="411"/>
      <c r="DF292" s="411"/>
      <c r="DG292" s="1116">
        <f t="shared" si="398"/>
        <v>0</v>
      </c>
      <c r="DH292" s="1116">
        <f t="shared" si="399"/>
        <v>0</v>
      </c>
      <c r="DI292" s="1116">
        <f t="shared" si="400"/>
        <v>0</v>
      </c>
      <c r="DJ292" s="442">
        <f t="shared" si="401"/>
        <v>0</v>
      </c>
      <c r="DK292" s="1109">
        <f t="shared" si="402"/>
        <v>0</v>
      </c>
      <c r="DL292" s="1101">
        <f t="shared" si="403"/>
        <v>0</v>
      </c>
      <c r="DM292" s="1097">
        <f t="shared" si="404"/>
        <v>0</v>
      </c>
      <c r="DN292" s="1097">
        <f t="shared" si="405"/>
        <v>0</v>
      </c>
      <c r="DO292" s="1097">
        <f t="shared" si="406"/>
        <v>0</v>
      </c>
      <c r="DP292" s="1110">
        <f t="shared" si="407"/>
        <v>0</v>
      </c>
      <c r="DQ292" s="1113" t="s">
        <v>796</v>
      </c>
      <c r="DR292" s="1120">
        <f t="shared" si="408"/>
        <v>0.33</v>
      </c>
      <c r="DS292" s="1124">
        <v>5</v>
      </c>
      <c r="DT292" s="1093" t="s">
        <v>171</v>
      </c>
      <c r="DU292" s="1093" t="s">
        <v>544</v>
      </c>
      <c r="DV292" s="1098">
        <f>IF($P292="","N/A",IF(P292=-1,INDEX('卡片raw data'!AN:AN,MATCH(D292,'卡片raw data'!$F:$F,)),0)+IF(AND(L292&lt;&gt;"party卡",P292&lt;=2,P292&gt;=0),INDEX('卡片raw data'!AP:AP,MATCH(D292,'卡片raw data'!$F:$F,)),0)+IF(OR(AND(L292="party卡",P292&lt;=1),AND(P292&lt;=4,L292&lt;&gt;"party卡",P292&gt;=3)),INDEX('卡片raw data'!AQ:AQ,MATCH(D292,'卡片raw data'!$F:$F,)),0)+IF(OR(P292=5,AND(L292="party卡",P292&gt;=2)),INDEX('卡片raw data'!AR:AR,MATCH(D292,'卡片raw data'!$F:$F,)),0))</f>
        <v>7.1999999999999995E-2</v>
      </c>
      <c r="DW292" s="1098">
        <f t="shared" si="409"/>
        <v>0.33</v>
      </c>
      <c r="DX292" s="1098">
        <f t="shared" si="410"/>
        <v>0.33</v>
      </c>
      <c r="DY292" s="1098">
        <f t="shared" si="411"/>
        <v>2.6399999999999996E-2</v>
      </c>
      <c r="DZ292" s="1098">
        <f t="shared" si="412"/>
        <v>1.9981499999999999E-2</v>
      </c>
      <c r="EA292" s="1098">
        <f t="shared" si="413"/>
        <v>0</v>
      </c>
      <c r="EB292" s="1121">
        <f t="shared" si="414"/>
        <v>0</v>
      </c>
      <c r="EC292" s="1101">
        <f t="shared" si="415"/>
        <v>3589.9493923471459</v>
      </c>
      <c r="ED292" s="1097">
        <f t="shared" si="416"/>
        <v>131.18998253779688</v>
      </c>
      <c r="EE292" s="1110">
        <f t="shared" si="417"/>
        <v>3589.9493923471459</v>
      </c>
      <c r="EF292" s="1092" t="s">
        <v>569</v>
      </c>
      <c r="EG292" s="1120">
        <f t="shared" si="418"/>
        <v>0.33</v>
      </c>
      <c r="EH292" s="1124"/>
      <c r="EI292" s="1093"/>
      <c r="EJ292" s="1093"/>
      <c r="EK292" s="1097">
        <f>IF($P292="","N/A",IF(P292=-1,INDEX('卡片raw data'!AS:AS,MATCH(D292,'卡片raw data'!$F:$F,)),0)+IF(AND(L292&lt;&gt;"party卡",P292&lt;=2,P292&gt;=0),INDEX('卡片raw data'!AU:AU,MATCH(D292,'卡片raw data'!$F:$F,)),0)+IF(OR(AND(L292="party卡",P292&lt;=1),AND(P292&lt;=4,L292&lt;&gt;"party卡",P292&gt;=3)),INDEX('卡片raw data'!AV:AV,MATCH(D292,'卡片raw data'!$F:$F,)),0)+IF(OR(P292=5,AND(L292="party卡",P292&gt;=2)),INDEX('卡片raw data'!AW:AW,MATCH(D292,'卡片raw data'!$F:$F,)),0))</f>
        <v>0</v>
      </c>
      <c r="EL292" s="1098">
        <f t="shared" si="419"/>
        <v>0.33</v>
      </c>
      <c r="EM292" s="1098">
        <f t="shared" si="420"/>
        <v>0.33</v>
      </c>
      <c r="EN292" s="1125">
        <f t="shared" si="421"/>
        <v>0</v>
      </c>
      <c r="EO292" s="1125">
        <f t="shared" si="422"/>
        <v>0</v>
      </c>
      <c r="EP292" s="1098">
        <f t="shared" si="423"/>
        <v>0</v>
      </c>
      <c r="EQ292" s="1121">
        <f t="shared" si="424"/>
        <v>0</v>
      </c>
      <c r="ER292" s="1101">
        <f t="shared" si="425"/>
        <v>0</v>
      </c>
      <c r="ES292" s="1097">
        <f t="shared" si="426"/>
        <v>0</v>
      </c>
      <c r="ET292" s="1122">
        <f t="shared" si="427"/>
        <v>0</v>
      </c>
    </row>
    <row r="293" spans="2:150" ht="16.5" customHeight="1">
      <c r="B293" s="1123" t="str">
        <f>INDEX('卡片raw data'!B:B,MATCH($D293,'卡片raw data'!$F:$F,))</f>
        <v>运动菜</v>
      </c>
      <c r="C293" s="449" t="s">
        <v>578</v>
      </c>
      <c r="D293" s="408">
        <v>290</v>
      </c>
      <c r="E293" s="1090">
        <v>402073001</v>
      </c>
      <c r="F293" s="1090" t="str">
        <f>INDEX('卡片raw data'!C:C,MATCH($D293,'卡片raw data'!$F:$F,))</f>
        <v>UR</v>
      </c>
      <c r="G293" s="1094" t="s">
        <v>799</v>
      </c>
      <c r="H293" s="411">
        <f>IFERROR(INDEX(绊状态确认!C:C,MATCH($G293,绊状态确认!$B:$B,)),"")</f>
        <v>207</v>
      </c>
      <c r="I293" s="450" t="str">
        <f>IFERROR(INDEX(绊状态确认!D:D,MATCH($G293,绊状态确认!$B:$B,)),"")</f>
        <v>虹</v>
      </c>
      <c r="J293" s="450" t="str">
        <f>IFERROR(INDEX(绊状态确认!E:E,MATCH($G293,绊状态确认!$B:$B,)),"")</f>
        <v>2年级</v>
      </c>
      <c r="K293" s="451" t="str">
        <f>IFERROR(INDEX(绊状态确认!F:F,MATCH($G293,绊状态确认!$B:$B,)),"")</f>
        <v>A·ZU·NA</v>
      </c>
      <c r="L293" s="1094" t="str">
        <f>INDEX('卡片raw data'!E:E,MATCH($D293,'卡片raw data'!$F:$F,))</f>
        <v>活动卡</v>
      </c>
      <c r="M293" s="415">
        <v>44049</v>
      </c>
      <c r="N293" s="416">
        <v>21</v>
      </c>
      <c r="O293" s="1091" t="str">
        <f>INDEX('卡片raw data'!D:D,MATCH($D293,'卡片raw data'!$F:$F,))</f>
        <v>sp</v>
      </c>
      <c r="P293" s="417">
        <v>5</v>
      </c>
      <c r="Q293" s="1095">
        <f t="shared" si="343"/>
        <v>40129.256123015053</v>
      </c>
      <c r="R293" s="1096">
        <f t="shared" si="344"/>
        <v>0.46600000000000003</v>
      </c>
      <c r="S293" s="1097">
        <f t="shared" si="345"/>
        <v>20082.974550103496</v>
      </c>
      <c r="T293" s="1098">
        <f t="shared" si="346"/>
        <v>1.004</v>
      </c>
      <c r="U293" s="1099">
        <f t="shared" si="347"/>
        <v>13.786468577142855</v>
      </c>
      <c r="V293" s="1100">
        <f t="shared" si="348"/>
        <v>39433.11965435421</v>
      </c>
      <c r="W293" s="1101">
        <f t="shared" si="349"/>
        <v>5900.7671688380005</v>
      </c>
      <c r="X293" s="1096">
        <f t="shared" si="350"/>
        <v>6.8000000000000005E-2</v>
      </c>
      <c r="Y293" s="1097">
        <f t="shared" si="351"/>
        <v>1103.8635313391569</v>
      </c>
      <c r="Z293" s="1102">
        <f t="shared" si="352"/>
        <v>13.786468577142855</v>
      </c>
      <c r="AA293" s="1103">
        <f t="shared" si="353"/>
        <v>7004.6307001771575</v>
      </c>
      <c r="AB293" s="1101">
        <f t="shared" si="354"/>
        <v>7127.0303375848252</v>
      </c>
      <c r="AC293" s="1104">
        <f t="shared" si="355"/>
        <v>8.2000000000000003E-2</v>
      </c>
      <c r="AD293" s="1105">
        <f t="shared" si="356"/>
        <v>-1.6087500000000001E-2</v>
      </c>
      <c r="AE293" s="1128">
        <f t="shared" si="357"/>
        <v>28.890420736468258</v>
      </c>
      <c r="AF293" s="1130">
        <f t="shared" si="358"/>
        <v>0</v>
      </c>
      <c r="AG293" s="420">
        <f t="shared" si="359"/>
        <v>0</v>
      </c>
      <c r="AH293" s="420">
        <f t="shared" si="360"/>
        <v>0</v>
      </c>
      <c r="AI293" s="1097">
        <f t="shared" si="361"/>
        <v>0</v>
      </c>
      <c r="AJ293" s="420">
        <f t="shared" si="362"/>
        <v>0</v>
      </c>
      <c r="AK293" s="518">
        <f t="shared" si="363"/>
        <v>0</v>
      </c>
      <c r="AL293" s="1106">
        <f>IF($P293="","N/A",(IF($P293=-1,INDEX('卡片raw data'!S:S,MATCH($D293,'卡片raw data'!$F:$F,)),0)+IF($P293=0,INDEX('卡片raw data'!V:V,MATCH($D293,'卡片raw data'!$F:$F,)),0)+IF($P293=1,INDEX('卡片raw data'!Y:Y,MATCH($D293,'卡片raw data'!$F:$F,)),0)+IF($P293=2,INDEX('卡片raw data'!AB:AB,MATCH($D293,'卡片raw data'!$F:$F,)),0)+IF($P293=3,INDEX('卡片raw data'!AE:AE,MATCH($D293,'卡片raw data'!$F:$F,)),0)+IF($P293=4,INDEX('卡片raw data'!AH:AH,MATCH($D293,'卡片raw data'!$F:$F,)),0)+IF($P293=5,INDEX('卡片raw data'!AK:AK,MATCH($D293,'卡片raw data'!$F:$F,)),0)+INDEX('卡片raw data'!S:S,MATCH($D293,'卡片raw data'!$F:$F,))*(IF($F293="UR",0.04,0.033))*(IF($F293="UR",INDEX(绊状态确认!$S:$S,MATCH($G293,绊状态确认!$B:$B,))/2-40)+IF($F293="SR",INDEX(绊状态确认!$R:$R,MATCH($G293,绊状态确认!$B:$B,))/4-15))+IF($F293="R",INDEX(绊状态确认!$Q:$Q,MATCH($G293,绊状态确认!$B:$B,))/6-40/6)))*(INDEX(绊状态确认!$H:$H,MATCH($G293,绊状态确认!$B:$B,))+INDEX(绊状态确认!J:J,MATCH($G293,绊状态确认!$B:$B,)))</f>
        <v>9304.2068159999981</v>
      </c>
      <c r="AM293" s="1106">
        <f>IF($P293="","N/A",(IF($P293=-1,INDEX('卡片raw data'!T:T,MATCH($D293,'卡片raw data'!$F:$F,)),0)+IF($P293=0,INDEX('卡片raw data'!W:W,MATCH($D293,'卡片raw data'!$F:$F,)),0)+IF($P293=1,INDEX('卡片raw data'!Z:Z,MATCH($D293,'卡片raw data'!$F:$F,)),0)+IF($P293=2,INDEX('卡片raw data'!AC:AC,MATCH($D293,'卡片raw data'!$F:$F,)),0)+IF($P293=3,INDEX('卡片raw data'!AF:AF,MATCH($D293,'卡片raw data'!$F:$F,)),0)+IF($P293=4,INDEX('卡片raw data'!AI:AI,MATCH($D293,'卡片raw data'!$F:$F,)),0)+IF($P293=5,INDEX('卡片raw data'!AL:AL,MATCH($D293,'卡片raw data'!$F:$F,)),0)+INDEX('卡片raw data'!T:T,MATCH($D293,'卡片raw data'!$F:$F,))*(IF($F293="UR",0.04,0.033))*(IF($F293="UR",INDEX(绊状态确认!$S:$S,MATCH($G293,绊状态确认!$B:$B,))/2-40)+IF($F293="SR",INDEX(绊状态确认!$R:$R,MATCH($G293,绊状态确认!$B:$B,))/4-15))+IF($F293="R",INDEX(绊状态确认!$Q:$Q,MATCH($G293,绊状态确认!$B:$B,))/6-40/6)))*(INDEX(绊状态确认!$H:$H,MATCH($G293,绊状态确认!$B:$B,))+INDEX(绊状态确认!K:K,MATCH($G293,绊状态确认!$B:$B,)))</f>
        <v>7445.6927999999989</v>
      </c>
      <c r="AN293" s="1106">
        <f>IF($P293="","N/A",(IF($P293=-1,INDEX('卡片raw data'!U:U,MATCH($D293,'卡片raw data'!$F:$F,)),0)+IF($P293=0,INDEX('卡片raw data'!X:X,MATCH($D293,'卡片raw data'!$F:$F,)),0)+IF($P293=1,INDEX('卡片raw data'!AA:AA,MATCH($D293,'卡片raw data'!$F:$F,)),0)+IF($P293=2,INDEX('卡片raw data'!AD:AD,MATCH($D293,'卡片raw data'!$F:$F,)),0)+IF($P293=3,INDEX('卡片raw data'!AG:AG,MATCH($D293,'卡片raw data'!$F:$F,)),0)+IF($P293=4,INDEX('卡片raw data'!AJ:AJ,MATCH($D293,'卡片raw data'!$F:$F,)),0)+IF($P293=5,INDEX('卡片raw data'!AM:AM,MATCH($D293,'卡片raw data'!$F:$F,)),0)+INDEX('卡片raw data'!U:U,MATCH($D293,'卡片raw data'!$F:$F,))*(IF($F293="UR",0.04,0.033))*(IF($F293="UR",INDEX(绊状态确认!$S:$S,MATCH($G293,绊状态确认!$B:$B,))/2-40)+IF($F293="SR",INDEX(绊状态确认!$R:$R,MATCH($G293,绊状态确认!$B:$B,))/4-15))+IF($F293="R",INDEX(绊状态确认!$Q:$Q,MATCH($G293,绊状态确认!$B:$B,))/6-40/6)))*(INDEX(绊状态确认!$H:$H,MATCH($G293,绊状态确认!$B:$B,))+INDEX(绊状态确认!L:L,MATCH($G293,绊状态确认!$B:$B,)))</f>
        <v>9837.2238719999987</v>
      </c>
      <c r="AO293" s="1107">
        <f t="shared" si="364"/>
        <v>1</v>
      </c>
      <c r="AP293" s="1131">
        <f>1+(INDEX(绊状态确认!$T:$T,MATCH($G293,绊状态确认!$B:$B,))+0.2)*$AO293</f>
        <v>1.3</v>
      </c>
      <c r="AQ293" s="1108">
        <f t="shared" si="365"/>
        <v>27673.542891999998</v>
      </c>
      <c r="AR293" s="1097">
        <f>(AM293*(1+$EX$9)+$EX$35)*(1+(INDEX(绊状态确认!$T:$T,MATCH($G293,绊状态确认!$B:$B,))+0.2)*AO293)*IF(J293=$FF$17,1+$FE$17,1)*IF(I293=$FF$14,1+$FE$14,1)*(1+$FE$15)</f>
        <v>12867.370671999999</v>
      </c>
      <c r="AS293" s="1097">
        <f>(AN293*(1+$EX$10)+$EX$36)*(1+(INDEX(绊状态确认!$T:$T,MATCH($G293,绊状态确认!$B:$B,))+0.2)*AO293)*IF(J293=$FF$17,1+$FE$17,1)*IF(I293=$FF$14,1+$FE$14,1)*(1+$FE$15)</f>
        <v>18762.649688639998</v>
      </c>
      <c r="AT293" s="1093">
        <f>IF(AND(INDEX('卡片raw data'!AK:AK,MATCH($D293,'卡片raw data'!$F:$F,))&lt;INDEX('卡片raw data'!AM:AM,MATCH($D293,'卡片raw data'!$F:$F,)),INDEX('卡片raw data'!AL:AL,MATCH($D293,'卡片raw data'!$F:$F,))&lt;INDEX('卡片raw data'!AM:AM,MATCH($D293,'卡片raw data'!$F:$F,))),1,0)</f>
        <v>1</v>
      </c>
      <c r="AU293" s="1098">
        <f>MIN(AT293*0.15+AS293*0.00003+INDEX(绊状态确认!M:M,MATCH($G293,绊状态确认!$B:$B,)),1)</f>
        <v>0.7428794906592</v>
      </c>
      <c r="AV293" s="1109">
        <f>(INDEX(绊状态确认!$N:$N,MATCH($G293,绊状态确认!$B:$B,))+1.5)*$EW$21</f>
        <v>2.6599999999999997</v>
      </c>
      <c r="AW293" s="1101">
        <f t="shared" si="366"/>
        <v>32095.625785430231</v>
      </c>
      <c r="AX293" s="1097">
        <f t="shared" si="367"/>
        <v>1103.8635313391569</v>
      </c>
      <c r="AY293" s="1110">
        <f t="shared" si="368"/>
        <v>33199.489316769388</v>
      </c>
      <c r="AZ293" s="429">
        <f t="shared" si="369"/>
        <v>20743.203291199996</v>
      </c>
      <c r="BA293" s="431">
        <f t="shared" si="370"/>
        <v>24891.843949439994</v>
      </c>
      <c r="BB293" s="1097">
        <f>(AM293*(1+$FB$9)+$FB$35)*(1+(INDEX(绊状态确认!$T:$T,MATCH($G293,绊状态确认!$B:$B,))+0.2)*AO293)*IF(J293=$FF$17,1+$FE$17,1)*IF(I293=$FF$14,1+$FE$14,1)*(1+$FE$15)</f>
        <v>12867.370671999999</v>
      </c>
      <c r="BC293" s="1097">
        <f>(AN293*(1+$FB$10)+$FB$36)*(1+(INDEX(绊状态确认!$T:$T,MATCH($G293,绊状态确认!$B:$B,))+0.2)*AO293)*IF(J293=$FF$17,1+$FE$17,1)*IF(I293=$FF$14,1+$FE$14,1)*(1+$FE$15)</f>
        <v>18762.649688639998</v>
      </c>
      <c r="BD293" s="1104">
        <f>MIN(AT293*0.15+BC293*0.00003+INDEX(绊状态确认!M:M,MATCH($G293,绊状态确认!$B:$B,)),1)</f>
        <v>0.7428794906592</v>
      </c>
      <c r="BE293" s="432">
        <f>(INDEX(绊状态确认!$N:$N,MATCH($G293,绊状态确认!$B:$B,))+1.5)</f>
        <v>1.9</v>
      </c>
      <c r="BF293" s="1139">
        <f t="array" ref="BF293">SUMPRODUCT(IF(AZ293*AP293*$FI$16:$FI$23*$FA$22&gt;=$FI$24,$FI$24,AZ293*AP293*$FI$16:$FI$23*$FA$22),$FJ$16:$FJ$23)</f>
        <v>41258.231346196786</v>
      </c>
      <c r="BG293" s="1125">
        <f t="array" ref="BG293">SUMPRODUCT(IF(BE293*AZ293*AP293*$FI$16:$FI$23*$FA$22&gt;=$FI$24,$FI$24,BE293*AZ293*AP293*$FI$16:$FI$23*$FA$22),$FJ$16:$FJ$23)</f>
        <v>60000</v>
      </c>
      <c r="BH293" s="1110">
        <f t="shared" si="371"/>
        <v>18393.702299262226</v>
      </c>
      <c r="BI293" s="1111">
        <f>IF(O293="vo",$EW$26/$EW$24*0.05,0)+IF(O293="sk",-$EW$26/$EW$24*(0.05-INDEX(绊状态确认!W:W,MATCH($G293,绊状态确认!$B:$B,)))+0.05*$EW$28,0)+IF(O293="sp",0.05*$EW$32*$EW$30*(1-$EW$33)-(0.05-INDEX(绊状态确认!V:V,MATCH($G293,绊状态确认!$B:$B,)))*$EW$28,0)+IF(O293="gd",-(0.05-INDEX(绊状态确认!X:X,MATCH($G293,绊状态确认!$B:$B,)))*$EW$32*$EW$30*(1-$EW$33),0)</f>
        <v>19.999999999999886</v>
      </c>
      <c r="BJ293" s="1097">
        <f>IF(O293="vo",0.05*(1-$FI$26)*$FA$24,0)+IF(O293="sk",-(0.05-INDEX(绊状态确认!W:W,MATCH($G293,绊状态确认!$B:$B,)))*(1-$FI$26)*$FA$24+0.05*$FA$26,0)+IF(O293="sp",0.05*$FA$32*$FA$27*(1-$FA$33)/$FA$30+0.05*$FA$29/$FA$69*$FA$27*(1-$FA$33)-(0.05-INDEX(绊状态确认!V:V,MATCH($G293,绊状态确认!$B:$B,)))*$FA$26,0)+IF(O293="gd",-(0.05-INDEX(绊状态确认!X:X,MATCH($G293,绊状态确认!$B:$B,)))*$FA$32*$FA$27*(1-$FA$33)/$FA$30-(0.05-INDEX(绊状态确认!X:X,MATCH($G293,绊状态确认!$B:$B,)))*$FA$29/$FA$69*$FA$27*(1-$FA$33),0)</f>
        <v>545.83333333333326</v>
      </c>
      <c r="BK293" s="1110">
        <f>IF(O293="vo",$EW$26/$EW$24*0.05+$EW$26*(-HP($EW$62,$EW$65,$EW$64)+HP($EW$62,$EW$65,(1.05-INDEX(绊状态确认!U:U,MATCH($G293,绊状态确认!$B:$B,)))*$EW$64)),0)+IF(O293="sk",-$EW$26/$EW$24*(0.05-INDEX(绊状态确认!W:W,MATCH($G293,绊状态确认!$B:$B,)))+0.05*$EW$29,0)+IF(O293="sp",0.05*$EW$32*$EW$30*(1-$EW$33)-(0.05-INDEX(绊状态确认!V:V,MATCH($G293,绊状态确认!$B:$B,)))*$EW$29,0)+IF(O293="gd",-(0.05-INDEX(绊状态确认!X:X,MATCH($G293,绊状态确认!$B:$B,)))*$EW$32*$EW$30*(1-$EW$33)+$EW$26*(-HP($EW$62,$EW$65,$EW$64)+HP($EW$62,$EW$65,0.95*$EW$64)),0)</f>
        <v>-1780.0000000000005</v>
      </c>
      <c r="BL293" s="1111">
        <f t="shared" si="372"/>
        <v>0</v>
      </c>
      <c r="BM293" s="1110">
        <f t="shared" si="373"/>
        <v>0</v>
      </c>
      <c r="BN293" s="1113">
        <f t="shared" si="374"/>
        <v>3</v>
      </c>
      <c r="BO293" s="1097">
        <f t="shared" si="375"/>
        <v>4507.7214871259994</v>
      </c>
      <c r="BP293" s="1100">
        <f t="shared" si="376"/>
        <v>221.34103209030098</v>
      </c>
      <c r="BQ293" s="1113" t="s">
        <v>800</v>
      </c>
      <c r="BR293" s="1124" t="s">
        <v>171</v>
      </c>
      <c r="BS293" s="1098">
        <f>IF($P293="","N/A",IF($P293=-1,INDEX('卡片raw data'!AX:AX,MATCH($D293,'卡片raw data'!$F:$F,)),0)+IF($L293="party卡",IF($P293=5,INDEX('卡片raw data'!BD:BD,MATCH($D293,'卡片raw data'!$F:$F,)),IF($P293&gt;=3,INDEX('卡片raw data'!BC:BC,MATCH($D293,'卡片raw data'!$F:$F,)),INDEX('卡片raw data'!BB:BB,MATCH($D293,'卡片raw data'!$F:$F,)))),IF(OR(AND($F293="UR",$P293=0),AND($F293="SR",$P293&gt;=0,$P293&lt;=2),AND($F293="R",$P293&gt;=0,$P293&lt;4)),INDEX('卡片raw data'!AZ:AZ,MATCH($D293,'卡片raw data'!$F:$F,)),0)+IF(OR(AND($F293="UR",$P293&gt;=1,$P293&lt;=4),AND($F293="SR",$P293&lt;=4,$P293&gt;=3),AND($F293="R",$P293=4)),INDEX('卡片raw data'!BA:BA,MATCH($D293,'卡片raw data'!$F:$F,)),0)+IF($P293=5,INDEX('卡片raw data'!BB:BB,MATCH($D293,'卡片raw data'!$F:$F,)),0)))</f>
        <v>5.1999999999999998E-2</v>
      </c>
      <c r="BT293" s="1101">
        <f t="shared" si="377"/>
        <v>2452.5263374936467</v>
      </c>
      <c r="BU293" s="1097">
        <f t="shared" si="378"/>
        <v>155.22419036436909</v>
      </c>
      <c r="BV293" s="1097">
        <f t="shared" si="379"/>
        <v>1226.2631687468233</v>
      </c>
      <c r="BW293" s="1112">
        <f t="shared" si="380"/>
        <v>0</v>
      </c>
      <c r="BX293" s="1100">
        <f t="shared" si="381"/>
        <v>2452.5263374936467</v>
      </c>
      <c r="BY293" s="1110">
        <f t="shared" si="382"/>
        <v>1226.2631687468233</v>
      </c>
      <c r="BZ293" s="1107" t="s">
        <v>569</v>
      </c>
      <c r="CA293" s="1124"/>
      <c r="CB293" s="1098">
        <f>IF($P293="","N/A",IF($P293=-1,INDEX('卡片raw data'!BE:BE,MATCH($D293,'卡片raw data'!$F:$F,)),0)+IF($L293="party卡",IF($P293=5,INDEX('卡片raw data'!BK:BK,MATCH($D293,'卡片raw data'!$F:$F,)),IF($P293&gt;=3,INDEX('卡片raw data'!BJ:BJ,MATCH($D293,'卡片raw data'!$F:$F,)),INDEX('卡片raw data'!BI:BI,MATCH($D293,'卡片raw data'!$F:$F,)))),IF(OR(AND($F293="UR",$P293=0),AND($F293="SR",$P293&gt;=0,$P293&lt;=2),AND($F293="R",$P293&gt;=0,$P293&lt;4)),INDEX('卡片raw data'!BG:BG,MATCH($D293,'卡片raw data'!$F:$F,)),0)+IF(OR(AND($F293="UR",$P293&gt;=1,$P293&lt;=4),AND($F293="SR",$P293&lt;=4,$P293&gt;=3),AND($F293="R",$P293=4)),INDEX('卡片raw data'!BH:BH,MATCH($D293,'卡片raw data'!$F:$F,)),0)+IF($P293=5,INDEX('卡片raw data'!BI:BI,MATCH($D293,'卡片raw data'!$F:$F,)),0)))</f>
        <v>0</v>
      </c>
      <c r="CC293" s="1101">
        <f t="shared" si="383"/>
        <v>0</v>
      </c>
      <c r="CD293" s="1097">
        <f>IF(BZ293="ap",CB293*(1-$FI$26)*$FB$5/$FB$11*(+IF(CA293="全员",$FA$24,0)+IF(CA293="同作战",$FA$24,0)+IF(CA293="仲间",$FA$24*2/3,0)+IF(CA293="同属性",$FA$24*$FA$37/3,0)+IF(CA293="同年级",$FA$24*$FA$40/3,0)+IF(CA293="同学校",$FA$24*$FA$43/3,0)+IF(CA293="同小队",$FA$24*$FA$46/3,0)+IF(CA293="同type",$FA$24*INDEX($FB$49:$FB$52,MATCH(X293,$FA$49:$FA$52,))/3,0)+IF(CA293="自身",#REF!/3,0)),0)+IF(BZ293="te",CB293*(1-$FI$27)*($FA$20-1)*$FB$7/$FB$13*(+IF(CA293="全员",$FA$19*$FA$24/(1+($FA$20-1)*$FA$19),0)+IF(CA293="同作战",$FA$19*$FA$24/(1+($FA$20-1)*$FA$19),0)+IF(CA293="仲间",$FA$19*$FA$24*2/3/(1+($FA$20-1)*$FA$19),0)+IF(CA293="同属性",$FA$19*$FA$24*$FA$37/3/(1+($FA$20-1)*$FA$19),0)+IF(CA293="同年级",$FA$19*$FA$24*$FA$40/3/(1+($FA$20-1)*$FA$19),0)+IF(CA293="同学校",$FA$19*$FA$24*$FA$43/3/(1+($FA$20-1)*$FA$19),0)+IF(CA293="同小队",$FA$19*$FA$24*$FA$46/3/(1+($FA$20-1)*$FA$19),0)+IF(CA293="同type",$FA$19*$FA$24*INDEX($FB$49:$FB$52,MATCH(X293,$FA$49:$FA$52,))/3/(1+($FA$20-1)*$FA$19),0)+IF(CA293="自身",$FA$19*#REF!/3/(1+(BH293-1)*$BD293),0)),0)</f>
        <v>0</v>
      </c>
      <c r="CE293" s="1097">
        <f t="shared" si="384"/>
        <v>0</v>
      </c>
      <c r="CF293" s="1112">
        <f t="shared" si="385"/>
        <v>0</v>
      </c>
      <c r="CG293" s="1100">
        <f t="shared" si="386"/>
        <v>0</v>
      </c>
      <c r="CH293" s="1110">
        <f t="shared" si="387"/>
        <v>0</v>
      </c>
      <c r="CI293" s="1113" t="s">
        <v>165</v>
      </c>
      <c r="CJ293" s="1114">
        <v>0.3</v>
      </c>
      <c r="CK293" s="1115" t="s">
        <v>156</v>
      </c>
      <c r="CL293" s="1115" t="s">
        <v>1940</v>
      </c>
      <c r="CM293" s="1119">
        <v>0.09</v>
      </c>
      <c r="CN293" s="1115"/>
      <c r="CO293" s="1092"/>
      <c r="CP293" s="1116">
        <f t="shared" si="388"/>
        <v>2.6685202074428567</v>
      </c>
      <c r="CQ293" s="1116">
        <f t="shared" si="389"/>
        <v>4.2938430812783981</v>
      </c>
      <c r="CR293" s="1116">
        <f t="shared" si="390"/>
        <v>2.6685202074428567</v>
      </c>
      <c r="CS293" s="1118">
        <f t="shared" si="391"/>
        <v>0</v>
      </c>
      <c r="CT293" s="1109">
        <f t="shared" si="392"/>
        <v>4.3585830054899999</v>
      </c>
      <c r="CU293" s="1101">
        <f t="shared" si="393"/>
        <v>166.78251296517854</v>
      </c>
      <c r="CV293" s="1108">
        <f t="shared" si="394"/>
        <v>178.91012838659989</v>
      </c>
      <c r="CW293" s="1097">
        <f t="shared" si="395"/>
        <v>166.78251296517854</v>
      </c>
      <c r="CX293" s="1097">
        <f t="shared" si="396"/>
        <v>166.78251296517854</v>
      </c>
      <c r="CY293" s="1110">
        <f t="shared" si="397"/>
        <v>166.78251296517854</v>
      </c>
      <c r="CZ293" s="437"/>
      <c r="DA293" s="438"/>
      <c r="DB293" s="439" t="s">
        <v>569</v>
      </c>
      <c r="DC293" s="439"/>
      <c r="DD293" s="443"/>
      <c r="DE293" s="411"/>
      <c r="DF293" s="411"/>
      <c r="DG293" s="1116">
        <f t="shared" si="398"/>
        <v>0</v>
      </c>
      <c r="DH293" s="1116">
        <f t="shared" si="399"/>
        <v>0</v>
      </c>
      <c r="DI293" s="1116">
        <f t="shared" si="400"/>
        <v>0</v>
      </c>
      <c r="DJ293" s="442">
        <f t="shared" si="401"/>
        <v>0</v>
      </c>
      <c r="DK293" s="1109">
        <f t="shared" si="402"/>
        <v>0</v>
      </c>
      <c r="DL293" s="1101">
        <f t="shared" si="403"/>
        <v>0</v>
      </c>
      <c r="DM293" s="1097">
        <f t="shared" si="404"/>
        <v>0</v>
      </c>
      <c r="DN293" s="1097">
        <f t="shared" si="405"/>
        <v>0</v>
      </c>
      <c r="DO293" s="1097">
        <f t="shared" si="406"/>
        <v>0</v>
      </c>
      <c r="DP293" s="1110">
        <f t="shared" si="407"/>
        <v>0</v>
      </c>
      <c r="DQ293" s="1113" t="s">
        <v>801</v>
      </c>
      <c r="DR293" s="1120">
        <f t="shared" si="408"/>
        <v>0.33</v>
      </c>
      <c r="DS293" s="1124">
        <v>10</v>
      </c>
      <c r="DT293" s="1093" t="s">
        <v>161</v>
      </c>
      <c r="DU293" s="1093" t="s">
        <v>802</v>
      </c>
      <c r="DV293" s="1098">
        <f>IF($P293="","N/A",IF(P293=-1,INDEX('卡片raw data'!AN:AN,MATCH(D293,'卡片raw data'!$F:$F,)),0)+IF(AND(L293&lt;&gt;"party卡",P293&lt;=2,P293&gt;=0),INDEX('卡片raw data'!AP:AP,MATCH(D293,'卡片raw data'!$F:$F,)),0)+IF(OR(AND(L293="party卡",P293&lt;=1),AND(P293&lt;=4,L293&lt;&gt;"party卡",P293&gt;=3)),INDEX('卡片raw data'!AQ:AQ,MATCH(D293,'卡片raw data'!$F:$F,)),0)+IF(OR(P293=5,AND(L293="party卡",P293&gt;=2)),INDEX('卡片raw data'!AR:AR,MATCH(D293,'卡片raw data'!$F:$F,)),0))</f>
        <v>6.2E-2</v>
      </c>
      <c r="DW293" s="1098">
        <f t="shared" si="409"/>
        <v>0.33</v>
      </c>
      <c r="DX293" s="1098">
        <f t="shared" si="410"/>
        <v>0.33</v>
      </c>
      <c r="DY293" s="1098">
        <f t="shared" si="411"/>
        <v>6.8200000000000011E-2</v>
      </c>
      <c r="DZ293" s="1098">
        <f t="shared" si="412"/>
        <v>5.8993000000000011E-2</v>
      </c>
      <c r="EA293" s="1098">
        <f t="shared" si="413"/>
        <v>0</v>
      </c>
      <c r="EB293" s="1121">
        <f t="shared" si="414"/>
        <v>13.607924687499997</v>
      </c>
      <c r="EC293" s="1101">
        <f t="shared" si="415"/>
        <v>886.6</v>
      </c>
      <c r="ED293" s="1097">
        <f t="shared" si="416"/>
        <v>587.96356666666668</v>
      </c>
      <c r="EE293" s="1110">
        <f t="shared" si="417"/>
        <v>886.6</v>
      </c>
      <c r="EF293" s="1092" t="s">
        <v>569</v>
      </c>
      <c r="EG293" s="1120">
        <f t="shared" si="418"/>
        <v>0.33</v>
      </c>
      <c r="EH293" s="1124"/>
      <c r="EI293" s="1093"/>
      <c r="EJ293" s="1093"/>
      <c r="EK293" s="1097">
        <f>IF($P293="","N/A",IF(P293=-1,INDEX('卡片raw data'!AS:AS,MATCH(D293,'卡片raw data'!$F:$F,)),0)+IF(AND(L293&lt;&gt;"party卡",P293&lt;=2,P293&gt;=0),INDEX('卡片raw data'!AU:AU,MATCH(D293,'卡片raw data'!$F:$F,)),0)+IF(OR(AND(L293="party卡",P293&lt;=1),AND(P293&lt;=4,L293&lt;&gt;"party卡",P293&gt;=3)),INDEX('卡片raw data'!AV:AV,MATCH(D293,'卡片raw data'!$F:$F,)),0)+IF(OR(P293=5,AND(L293="party卡",P293&gt;=2)),INDEX('卡片raw data'!AW:AW,MATCH(D293,'卡片raw data'!$F:$F,)),0))</f>
        <v>0</v>
      </c>
      <c r="EL293" s="1098">
        <f t="shared" si="419"/>
        <v>0.33</v>
      </c>
      <c r="EM293" s="1098">
        <f t="shared" si="420"/>
        <v>0.33</v>
      </c>
      <c r="EN293" s="1125">
        <f t="shared" si="421"/>
        <v>0</v>
      </c>
      <c r="EO293" s="1125">
        <f t="shared" si="422"/>
        <v>0</v>
      </c>
      <c r="EP293" s="1098">
        <f t="shared" si="423"/>
        <v>0</v>
      </c>
      <c r="EQ293" s="1121">
        <f t="shared" si="424"/>
        <v>0</v>
      </c>
      <c r="ER293" s="1101">
        <f t="shared" si="425"/>
        <v>0</v>
      </c>
      <c r="ES293" s="1097">
        <f t="shared" si="426"/>
        <v>0</v>
      </c>
      <c r="ET293" s="1122">
        <f t="shared" si="427"/>
        <v>0</v>
      </c>
    </row>
    <row r="294" spans="2:150" ht="16.5" customHeight="1">
      <c r="B294" s="1123" t="str">
        <f>INDEX('卡片raw data'!B:B,MATCH($D294,'卡片raw data'!$F:$F,))</f>
        <v>五单凛</v>
      </c>
      <c r="C294" s="449" t="s">
        <v>579</v>
      </c>
      <c r="D294" s="408">
        <v>291</v>
      </c>
      <c r="E294" s="1090">
        <v>400052002</v>
      </c>
      <c r="F294" s="1090" t="str">
        <f>INDEX('卡片raw data'!C:C,MATCH($D294,'卡片raw data'!$F:$F,))</f>
        <v>SR</v>
      </c>
      <c r="G294" s="1094" t="s">
        <v>28</v>
      </c>
      <c r="H294" s="411">
        <f>IFERROR(INDEX(绊状态确认!C:C,MATCH($G294,绊状态确认!$B:$B,)),"")</f>
        <v>5</v>
      </c>
      <c r="I294" s="450" t="str">
        <f>IFERROR(INDEX(绊状态确认!D:D,MATCH($G294,绊状态确认!$B:$B,)),"")</f>
        <v>缪</v>
      </c>
      <c r="J294" s="450" t="str">
        <f>IFERROR(INDEX(绊状态确认!E:E,MATCH($G294,绊状态确认!$B:$B,)),"")</f>
        <v>1年级</v>
      </c>
      <c r="K294" s="451" t="str">
        <f>IFERROR(INDEX(绊状态确认!F:F,MATCH($G294,绊状态确认!$B:$B,)),"")</f>
        <v>lilywhite</v>
      </c>
      <c r="L294" s="1094" t="str">
        <f>INDEX('卡片raw data'!E:E,MATCH($D294,'卡片raw data'!$F:$F,))</f>
        <v>活动卡</v>
      </c>
      <c r="M294" s="415">
        <v>44049</v>
      </c>
      <c r="N294" s="416">
        <v>21</v>
      </c>
      <c r="O294" s="1091" t="str">
        <f>INDEX('卡片raw data'!D:D,MATCH($D294,'卡片raw data'!$F:$F,))</f>
        <v>sp</v>
      </c>
      <c r="P294" s="417">
        <v>5</v>
      </c>
      <c r="Q294" s="1095">
        <f t="shared" si="343"/>
        <v>20724.782558941111</v>
      </c>
      <c r="R294" s="1096">
        <f t="shared" si="344"/>
        <v>0.24</v>
      </c>
      <c r="S294" s="1097">
        <f t="shared" si="345"/>
        <v>12858.143613784172</v>
      </c>
      <c r="T294" s="1098">
        <f t="shared" si="346"/>
        <v>0.64200000000000002</v>
      </c>
      <c r="U294" s="1099">
        <f t="shared" si="347"/>
        <v>17.214997606508494</v>
      </c>
      <c r="V294" s="1100">
        <f t="shared" si="348"/>
        <v>20289.853486200776</v>
      </c>
      <c r="W294" s="1101">
        <f t="shared" si="349"/>
        <v>4507.7214871259994</v>
      </c>
      <c r="X294" s="1096">
        <f t="shared" si="350"/>
        <v>5.1999999999999998E-2</v>
      </c>
      <c r="Y294" s="1097">
        <f t="shared" si="351"/>
        <v>1365.0709272596623</v>
      </c>
      <c r="Z294" s="1102">
        <f t="shared" si="352"/>
        <v>17.214997606508494</v>
      </c>
      <c r="AA294" s="1103">
        <f t="shared" si="353"/>
        <v>5872.7924143856617</v>
      </c>
      <c r="AB294" s="1101">
        <f t="shared" si="354"/>
        <v>4507.7214871259994</v>
      </c>
      <c r="AC294" s="1104">
        <f t="shared" si="355"/>
        <v>5.1999999999999998E-2</v>
      </c>
      <c r="AD294" s="1105">
        <f t="shared" si="356"/>
        <v>-1.9908281250000003E-2</v>
      </c>
      <c r="AE294" s="1128">
        <f t="shared" si="357"/>
        <v>2.8386741621376803</v>
      </c>
      <c r="AF294" s="1130">
        <f t="shared" si="358"/>
        <v>0</v>
      </c>
      <c r="AG294" s="420">
        <f t="shared" si="359"/>
        <v>0</v>
      </c>
      <c r="AH294" s="420">
        <f t="shared" si="360"/>
        <v>0</v>
      </c>
      <c r="AI294" s="1097">
        <f t="shared" si="361"/>
        <v>0</v>
      </c>
      <c r="AJ294" s="420">
        <f t="shared" si="362"/>
        <v>0</v>
      </c>
      <c r="AK294" s="518">
        <f t="shared" si="363"/>
        <v>0</v>
      </c>
      <c r="AL294" s="1106">
        <f>IF($P294="","N/A",(IF($P294=-1,INDEX('卡片raw data'!S:S,MATCH($D294,'卡片raw data'!$F:$F,)),0)+IF($P294=0,INDEX('卡片raw data'!V:V,MATCH($D294,'卡片raw data'!$F:$F,)),0)+IF($P294=1,INDEX('卡片raw data'!Y:Y,MATCH($D294,'卡片raw data'!$F:$F,)),0)+IF($P294=2,INDEX('卡片raw data'!AB:AB,MATCH($D294,'卡片raw data'!$F:$F,)),0)+IF($P294=3,INDEX('卡片raw data'!AE:AE,MATCH($D294,'卡片raw data'!$F:$F,)),0)+IF($P294=4,INDEX('卡片raw data'!AH:AH,MATCH($D294,'卡片raw data'!$F:$F,)),0)+IF($P294=5,INDEX('卡片raw data'!AK:AK,MATCH($D294,'卡片raw data'!$F:$F,)),0)+INDEX('卡片raw data'!S:S,MATCH($D294,'卡片raw data'!$F:$F,))*(IF($F294="UR",0.04,0.033))*(IF($F294="UR",INDEX(绊状态确认!$S:$S,MATCH($G294,绊状态确认!$B:$B,))/2-40)+IF($F294="SR",INDEX(绊状态确认!$R:$R,MATCH($G294,绊状态确认!$B:$B,))/4-15))+IF($F294="R",INDEX(绊状态确认!$Q:$Q,MATCH($G294,绊状态确认!$B:$B,))/6-40/6)))*(INDEX(绊状态确认!$H:$H,MATCH($G294,绊状态确认!$B:$B,))+INDEX(绊状态确认!J:J,MATCH($G294,绊状态确认!$B:$B,)))</f>
        <v>5199.1663679999992</v>
      </c>
      <c r="AM294" s="1106">
        <f>IF($P294="","N/A",(IF($P294=-1,INDEX('卡片raw data'!T:T,MATCH($D294,'卡片raw data'!$F:$F,)),0)+IF($P294=0,INDEX('卡片raw data'!W:W,MATCH($D294,'卡片raw data'!$F:$F,)),0)+IF($P294=1,INDEX('卡片raw data'!Z:Z,MATCH($D294,'卡片raw data'!$F:$F,)),0)+IF($P294=2,INDEX('卡片raw data'!AC:AC,MATCH($D294,'卡片raw data'!$F:$F,)),0)+IF($P294=3,INDEX('卡片raw data'!AF:AF,MATCH($D294,'卡片raw data'!$F:$F,)),0)+IF($P294=4,INDEX('卡片raw data'!AI:AI,MATCH($D294,'卡片raw data'!$F:$F,)),0)+IF($P294=5,INDEX('卡片raw data'!AL:AL,MATCH($D294,'卡片raw data'!$F:$F,)),0)+INDEX('卡片raw data'!T:T,MATCH($D294,'卡片raw data'!$F:$F,))*(IF($F294="UR",0.04,0.033))*(IF($F294="UR",INDEX(绊状态确认!$S:$S,MATCH($G294,绊状态确认!$B:$B,))/2-40)+IF($F294="SR",INDEX(绊状态确认!$R:$R,MATCH($G294,绊状态确认!$B:$B,))/4-15))+IF($F294="R",INDEX(绊状态确认!$Q:$Q,MATCH($G294,绊状态确认!$B:$B,))/6-40/6)))*(INDEX(绊状态确认!$H:$H,MATCH($G294,绊状态确认!$B:$B,))+INDEX(绊状态确认!K:K,MATCH($G294,绊状态确认!$B:$B,)))</f>
        <v>5703.1006751999994</v>
      </c>
      <c r="AN294" s="1106">
        <f>IF($P294="","N/A",(IF($P294=-1,INDEX('卡片raw data'!U:U,MATCH($D294,'卡片raw data'!$F:$F,)),0)+IF($P294=0,INDEX('卡片raw data'!X:X,MATCH($D294,'卡片raw data'!$F:$F,)),0)+IF($P294=1,INDEX('卡片raw data'!AA:AA,MATCH($D294,'卡片raw data'!$F:$F,)),0)+IF($P294=2,INDEX('卡片raw data'!AD:AD,MATCH($D294,'卡片raw data'!$F:$F,)),0)+IF($P294=3,INDEX('卡片raw data'!AG:AG,MATCH($D294,'卡片raw data'!$F:$F,)),0)+IF($P294=4,INDEX('卡片raw data'!AJ:AJ,MATCH($D294,'卡片raw data'!$F:$F,)),0)+IF($P294=5,INDEX('卡片raw data'!AM:AM,MATCH($D294,'卡片raw data'!$F:$F,)),0)+INDEX('卡片raw data'!U:U,MATCH($D294,'卡片raw data'!$F:$F,))*(IF($F294="UR",0.04,0.033))*(IF($F294="UR",INDEX(绊状态确认!$S:$S,MATCH($G294,绊状态确认!$B:$B,))/2-40)+IF($F294="SR",INDEX(绊状态确认!$R:$R,MATCH($G294,绊状态确认!$B:$B,))/4-15))+IF($F294="R",INDEX(绊状态确认!$Q:$Q,MATCH($G294,绊状态确认!$B:$B,))/6-40/6)))*(INDEX(绊状态确认!$H:$H,MATCH($G294,绊状态确认!$B:$B,))+INDEX(绊状态确认!L:L,MATCH($G294,绊状态确认!$B:$B,)))</f>
        <v>5872.2401783999994</v>
      </c>
      <c r="AO294" s="1107">
        <f t="shared" si="364"/>
        <v>1</v>
      </c>
      <c r="AP294" s="1131">
        <f>1+(INDEX(绊状态确认!$T:$T,MATCH($G294,绊状态确认!$B:$B,))+0.2)*$AO294</f>
        <v>1.3</v>
      </c>
      <c r="AQ294" s="1108">
        <f t="shared" si="365"/>
        <v>16897.811716</v>
      </c>
      <c r="AR294" s="1097">
        <f>(AM294*(1+$EX$9)+$EX$35)*(1+(INDEX(绊状态确认!$T:$T,MATCH($G294,绊状态确认!$B:$B,))+0.2)*AO294)*IF(J294=$FF$17,1+$FE$17,1)*IF(I294=$FF$14,1+$FE$14,1)</f>
        <v>10488.732421647999</v>
      </c>
      <c r="AS294" s="1097">
        <f>(AN294*(1+$EX$10)+$EX$36)*(1+(INDEX(绊状态确认!$T:$T,MATCH($G294,绊状态确认!$B:$B,))+0.2)*AO294)*IF(J294=$FF$17,1+$FE$17,1)*IF(I294=$FF$14,1+$FE$14,1)</f>
        <v>12834.999066708</v>
      </c>
      <c r="AT294" s="1093">
        <f>IF(AND(INDEX('卡片raw data'!AK:AK,MATCH($D294,'卡片raw data'!$F:$F,))&lt;INDEX('卡片raw data'!AM:AM,MATCH($D294,'卡片raw data'!$F:$F,)),INDEX('卡片raw data'!AL:AL,MATCH($D294,'卡片raw data'!$F:$F,))&lt;INDEX('卡片raw data'!AM:AM,MATCH($D294,'卡片raw data'!$F:$F,))),1,0)</f>
        <v>1</v>
      </c>
      <c r="AU294" s="1098">
        <f>MIN(AT294*0.15+AS294*0.00003+INDEX(绊状态确认!M:M,MATCH($G294,绊状态确认!$B:$B,)),1)</f>
        <v>0.56504997200124008</v>
      </c>
      <c r="AV294" s="1109">
        <f>(INDEX(绊状态确认!$N:$N,MATCH($G294,绊状态确认!$B:$B,))+1.5)*$EW$21</f>
        <v>2.6599999999999997</v>
      </c>
      <c r="AW294" s="1101">
        <f t="shared" si="366"/>
        <v>17007.394405148443</v>
      </c>
      <c r="AX294" s="1097">
        <f t="shared" si="367"/>
        <v>895.11353387062127</v>
      </c>
      <c r="AY294" s="1110">
        <f t="shared" si="368"/>
        <v>17902.507939019066</v>
      </c>
      <c r="AZ294" s="429">
        <f t="shared" si="369"/>
        <v>12738.374417599998</v>
      </c>
      <c r="BA294" s="431">
        <f t="shared" si="370"/>
        <v>15286.049301119998</v>
      </c>
      <c r="BB294" s="1097">
        <f>(AM294*(1+$FB$9)+$FB$35)*(1+(INDEX(绊状态确认!$T:$T,MATCH($G294,绊状态确认!$B:$B,))+0.2)*AO294)*IF(J294=$FF$17,1+$FE$17,1)*IF(I294=$FF$14,1+$FE$14,1)*(1+$FE$15)</f>
        <v>10488.732421647999</v>
      </c>
      <c r="BC294" s="1097">
        <f>(AN294*(1+$FB$10)+$FB$36)*(1+(INDEX(绊状态确认!$T:$T,MATCH($G294,绊状态确认!$B:$B,))+0.2)*AO294)*IF(J294=$FF$17,1+$FE$17,1)*IF(I294=$FF$14,1+$FE$14,1)*(1+$FE$15)</f>
        <v>12834.999066708</v>
      </c>
      <c r="BD294" s="1104">
        <f>MIN(AT294*0.15+BC294*0.00003+INDEX(绊状态确认!M:M,MATCH($G294,绊状态确认!$B:$B,)),1)</f>
        <v>0.56504997200124008</v>
      </c>
      <c r="BE294" s="432">
        <f>(INDEX(绊状态确认!$N:$N,MATCH($G294,绊状态确认!$B:$B,))+1.5)</f>
        <v>1.9</v>
      </c>
      <c r="BF294" s="1139">
        <f t="array" ref="BF294">SUMPRODUCT(IF(AZ294*AP294*$FI$16:$FI$23*$FA$22&gt;=$FI$24,$FI$24,AZ294*AP294*$FI$16:$FI$23*$FA$22),$FJ$16:$FJ$23)</f>
        <v>25336.626716606399</v>
      </c>
      <c r="BG294" s="1125">
        <f t="array" ref="BG294">SUMPRODUCT(IF(BE294*AZ294*AP294*$FI$16:$FI$23*$FA$22&gt;=$FI$24,$FI$24,BE294*AZ294*AP294*$FI$16:$FI$23*$FA$22),$FJ$16:$FJ$23)</f>
        <v>48139.59076155215</v>
      </c>
      <c r="BH294" s="1110">
        <f t="shared" si="371"/>
        <v>12740.480303916092</v>
      </c>
      <c r="BI294" s="1111">
        <f>IF(O294="vo",$EW$26/$EW$24*0.05,0)+IF(O294="sk",-$EW$26/$EW$24*(0.05-INDEX(绊状态确认!W:W,MATCH($G294,绊状态确认!$B:$B,)))+0.05*$EW$28,0)+IF(O294="sp",0.05*$EW$32*$EW$30*(1-$EW$33)-(0.05-INDEX(绊状态确认!V:V,MATCH($G294,绊状态确认!$B:$B,)))*$EW$28,0)+IF(O294="gd",-(0.05-INDEX(绊状态确认!X:X,MATCH($G294,绊状态确认!$B:$B,)))*$EW$32*$EW$30*(1-$EW$33),0)</f>
        <v>19.999999999999886</v>
      </c>
      <c r="BJ294" s="1097">
        <f>IF(O294="vo",0.05*(1-$FI$26)*$FA$24,0)+IF(O294="sk",-(0.05-INDEX(绊状态确认!W:W,MATCH($G294,绊状态确认!$B:$B,)))*(1-$FI$26)*$FA$24+0.05*$FA$26,0)+IF(O294="sp",0.05*$FA$32*$FA$27*(1-$FA$33)/$FA$30+0.05*$FA$29/$FA$69*$FA$27*(1-$FA$33)-(0.05-INDEX(绊状态确认!V:V,MATCH($G294,绊状态确认!$B:$B,)))*$FA$26,0)+IF(O294="gd",-(0.05-INDEX(绊状态确认!X:X,MATCH($G294,绊状态确认!$B:$B,)))*$FA$32*$FA$27*(1-$FA$33)/$FA$30-(0.05-INDEX(绊状态确认!X:X,MATCH($G294,绊状态确认!$B:$B,)))*$FA$29/$FA$69*$FA$27*(1-$FA$33),0)</f>
        <v>545.83333333333326</v>
      </c>
      <c r="BK294" s="1110">
        <f>IF(O294="vo",$EW$26/$EW$24*0.05+$EW$26*(-HP($EW$62,$EW$65,$EW$64)+HP($EW$62,$EW$65,(1.05-INDEX(绊状态确认!U:U,MATCH($G294,绊状态确认!$B:$B,)))*$EW$64)),0)+IF(O294="sk",-$EW$26/$EW$24*(0.05-INDEX(绊状态确认!W:W,MATCH($G294,绊状态确认!$B:$B,)))+0.05*$EW$29,0)+IF(O294="sp",0.05*$EW$32*$EW$30*(1-$EW$33)-(0.05-INDEX(绊状态确认!V:V,MATCH($G294,绊状态确认!$B:$B,)))*$EW$29,0)+IF(O294="gd",-(0.05-INDEX(绊状态确认!X:X,MATCH($G294,绊状态确认!$B:$B,)))*$EW$32*$EW$30*(1-$EW$33)+$EW$26*(-HP($EW$62,$EW$65,$EW$64)+HP($EW$62,$EW$65,0.95*$EW$64)),0)</f>
        <v>-1780.0000000000005</v>
      </c>
      <c r="BL294" s="1111">
        <f t="shared" si="372"/>
        <v>-1083.3333333333333</v>
      </c>
      <c r="BM294" s="1110">
        <f t="shared" si="373"/>
        <v>-830.55555555555543</v>
      </c>
      <c r="BN294" s="1113">
        <f t="shared" si="374"/>
        <v>3</v>
      </c>
      <c r="BO294" s="1097">
        <f t="shared" si="375"/>
        <v>4507.7214871259994</v>
      </c>
      <c r="BP294" s="1100">
        <f t="shared" si="376"/>
        <v>221.34103209030098</v>
      </c>
      <c r="BQ294" s="1113" t="s">
        <v>819</v>
      </c>
      <c r="BR294" s="1124" t="s">
        <v>823</v>
      </c>
      <c r="BS294" s="1098">
        <f>IF($P294="","N/A",IF($P294=-1,INDEX('卡片raw data'!AX:AX,MATCH($D294,'卡片raw data'!$F:$F,)),0)+IF($L294="party卡",IF($P294=5,INDEX('卡片raw data'!BD:BD,MATCH($D294,'卡片raw data'!$F:$F,)),IF($P294&gt;=3,INDEX('卡片raw data'!BC:BC,MATCH($D294,'卡片raw data'!$F:$F,)),INDEX('卡片raw data'!BB:BB,MATCH($D294,'卡片raw data'!$F:$F,)))),IF(OR(AND($F294="UR",$P294=0),AND($F294="SR",$P294&gt;=0,$P294&lt;=2),AND($F294="R",$P294&gt;=0,$P294&lt;4)),INDEX('卡片raw data'!AZ:AZ,MATCH($D294,'卡片raw data'!$F:$F,)),0)+IF(OR(AND($F294="UR",$P294&gt;=1,$P294&lt;=4),AND($F294="SR",$P294&lt;=4,$P294&gt;=3),AND($F294="R",$P294=4)),INDEX('卡片raw data'!BA:BA,MATCH($D294,'卡片raw data'!$F:$F,)),0)+IF($P294=5,INDEX('卡片raw data'!BB:BB,MATCH($D294,'卡片raw data'!$F:$F,)),0)))</f>
        <v>7.0000000000000007E-2</v>
      </c>
      <c r="BT294" s="1101">
        <f t="shared" si="377"/>
        <v>0</v>
      </c>
      <c r="BU294" s="1097">
        <f t="shared" si="378"/>
        <v>0</v>
      </c>
      <c r="BV294" s="1097">
        <f t="shared" si="379"/>
        <v>0</v>
      </c>
      <c r="BW294" s="1112">
        <f t="shared" si="380"/>
        <v>0.61992715474277893</v>
      </c>
      <c r="BX294" s="1100">
        <f t="shared" si="381"/>
        <v>48.328002301924045</v>
      </c>
      <c r="BY294" s="1110">
        <f t="shared" si="382"/>
        <v>48.328002301924045</v>
      </c>
      <c r="BZ294" s="1107" t="s">
        <v>569</v>
      </c>
      <c r="CA294" s="1124"/>
      <c r="CB294" s="1098">
        <f>IF($P294="","N/A",IF($P294=-1,INDEX('卡片raw data'!BE:BE,MATCH($D294,'卡片raw data'!$F:$F,)),0)+IF($L294="party卡",IF($P294=5,INDEX('卡片raw data'!BK:BK,MATCH($D294,'卡片raw data'!$F:$F,)),IF($P294&gt;=3,INDEX('卡片raw data'!BJ:BJ,MATCH($D294,'卡片raw data'!$F:$F,)),INDEX('卡片raw data'!BI:BI,MATCH($D294,'卡片raw data'!$F:$F,)))),IF(OR(AND($F294="UR",$P294=0),AND($F294="SR",$P294&gt;=0,$P294&lt;=2),AND($F294="R",$P294&gt;=0,$P294&lt;4)),INDEX('卡片raw data'!BG:BG,MATCH($D294,'卡片raw data'!$F:$F,)),0)+IF(OR(AND($F294="UR",$P294&gt;=1,$P294&lt;=4),AND($F294="SR",$P294&lt;=4,$P294&gt;=3),AND($F294="R",$P294=4)),INDEX('卡片raw data'!BH:BH,MATCH($D294,'卡片raw data'!$F:$F,)),0)+IF($P294=5,INDEX('卡片raw data'!BI:BI,MATCH($D294,'卡片raw data'!$F:$F,)),0)))</f>
        <v>0</v>
      </c>
      <c r="CC294" s="1101">
        <f t="shared" si="383"/>
        <v>0</v>
      </c>
      <c r="CD294" s="1097">
        <f>IF(BZ294="ap",CB294*(1-$FI$26)*$FB$5/$FB$11*(+IF(CA294="全员",$FA$24,0)+IF(CA294="同作战",$FA$24,0)+IF(CA294="仲间",$FA$24*2/3,0)+IF(CA294="同属性",$FA$24*$FA$37/3,0)+IF(CA294="同年级",$FA$24*$FA$40/3,0)+IF(CA294="同学校",$FA$24*$FA$43/3,0)+IF(CA294="同小队",$FA$24*$FA$46/3,0)+IF(CA294="同type",$FA$24*INDEX($FB$49:$FB$52,MATCH(X294,$FA$49:$FA$52,))/3,0)+IF(CA294="自身",#REF!/3,0)),0)+IF(BZ294="te",CB294*(1-$FI$27)*($FA$20-1)*$FB$7/$FB$13*(+IF(CA294="全员",$FA$19*$FA$24/(1+($FA$20-1)*$FA$19),0)+IF(CA294="同作战",$FA$19*$FA$24/(1+($FA$20-1)*$FA$19),0)+IF(CA294="仲间",$FA$19*$FA$24*2/3/(1+($FA$20-1)*$FA$19),0)+IF(CA294="同属性",$FA$19*$FA$24*$FA$37/3/(1+($FA$20-1)*$FA$19),0)+IF(CA294="同年级",$FA$19*$FA$24*$FA$40/3/(1+($FA$20-1)*$FA$19),0)+IF(CA294="同学校",$FA$19*$FA$24*$FA$43/3/(1+($FA$20-1)*$FA$19),0)+IF(CA294="同小队",$FA$19*$FA$24*$FA$46/3/(1+($FA$20-1)*$FA$19),0)+IF(CA294="同type",$FA$19*$FA$24*INDEX($FB$49:$FB$52,MATCH(X294,$FA$49:$FA$52,))/3/(1+($FA$20-1)*$FA$19),0)+IF(CA294="自身",$FA$19*#REF!/3/(1+(BH294-1)*$BD294),0)),0)</f>
        <v>0</v>
      </c>
      <c r="CE294" s="1097">
        <f t="shared" si="384"/>
        <v>0</v>
      </c>
      <c r="CF294" s="1112">
        <f t="shared" si="385"/>
        <v>0</v>
      </c>
      <c r="CG294" s="1100">
        <f t="shared" si="386"/>
        <v>0</v>
      </c>
      <c r="CH294" s="1110">
        <f t="shared" si="387"/>
        <v>0</v>
      </c>
      <c r="CI294" s="1113" t="s">
        <v>160</v>
      </c>
      <c r="CJ294" s="1114">
        <v>0.5</v>
      </c>
      <c r="CK294" s="1115" t="s">
        <v>824</v>
      </c>
      <c r="CL294" s="1115"/>
      <c r="CM294" s="462">
        <v>200</v>
      </c>
      <c r="CN294" s="1115"/>
      <c r="CO294" s="1092"/>
      <c r="CP294" s="1116">
        <f t="shared" si="388"/>
        <v>5.3571428571428568</v>
      </c>
      <c r="CQ294" s="1116">
        <f t="shared" si="389"/>
        <v>11.111111111111111</v>
      </c>
      <c r="CR294" s="1116">
        <f t="shared" si="390"/>
        <v>5.3571428571428568</v>
      </c>
      <c r="CS294" s="1118">
        <f t="shared" si="391"/>
        <v>0</v>
      </c>
      <c r="CT294" s="1109">
        <f t="shared" si="392"/>
        <v>0</v>
      </c>
      <c r="CU294" s="1101">
        <f t="shared" si="393"/>
        <v>0</v>
      </c>
      <c r="CV294" s="1108">
        <f t="shared" si="394"/>
        <v>0</v>
      </c>
      <c r="CW294" s="1097">
        <f t="shared" si="395"/>
        <v>0</v>
      </c>
      <c r="CX294" s="1097">
        <f t="shared" si="396"/>
        <v>421.62939108711703</v>
      </c>
      <c r="CY294" s="1110">
        <f t="shared" si="397"/>
        <v>421.62939108711703</v>
      </c>
      <c r="CZ294" s="437"/>
      <c r="DA294" s="438"/>
      <c r="DB294" s="439" t="s">
        <v>569</v>
      </c>
      <c r="DC294" s="439"/>
      <c r="DD294" s="443"/>
      <c r="DE294" s="411"/>
      <c r="DF294" s="411"/>
      <c r="DG294" s="1116">
        <f t="shared" si="398"/>
        <v>0</v>
      </c>
      <c r="DH294" s="1116">
        <f t="shared" si="399"/>
        <v>0</v>
      </c>
      <c r="DI294" s="1116">
        <f t="shared" si="400"/>
        <v>0</v>
      </c>
      <c r="DJ294" s="442">
        <f t="shared" si="401"/>
        <v>0</v>
      </c>
      <c r="DK294" s="1109">
        <f t="shared" si="402"/>
        <v>0</v>
      </c>
      <c r="DL294" s="1101">
        <f t="shared" si="403"/>
        <v>0</v>
      </c>
      <c r="DM294" s="1097">
        <f t="shared" si="404"/>
        <v>0</v>
      </c>
      <c r="DN294" s="1097">
        <f t="shared" si="405"/>
        <v>0</v>
      </c>
      <c r="DO294" s="1097">
        <f t="shared" si="406"/>
        <v>0</v>
      </c>
      <c r="DP294" s="1110">
        <f t="shared" si="407"/>
        <v>0</v>
      </c>
      <c r="DQ294" s="1113" t="s">
        <v>825</v>
      </c>
      <c r="DR294" s="1120">
        <f t="shared" si="408"/>
        <v>0.3</v>
      </c>
      <c r="DS294" s="1124">
        <v>5</v>
      </c>
      <c r="DT294" s="1093" t="s">
        <v>161</v>
      </c>
      <c r="DU294" s="1093" t="s">
        <v>815</v>
      </c>
      <c r="DV294" s="1098">
        <f>IF($P294="","N/A",IF(P294=-1,INDEX('卡片raw data'!AN:AN,MATCH(D294,'卡片raw data'!$F:$F,)),0)+IF(AND(L294&lt;&gt;"party卡",P294&lt;=2,P294&gt;=0),INDEX('卡片raw data'!AP:AP,MATCH(D294,'卡片raw data'!$F:$F,)),0)+IF(OR(AND(L294="party卡",P294&lt;=1),AND(P294&lt;=4,L294&lt;&gt;"party卡",P294&gt;=3)),INDEX('卡片raw data'!AQ:AQ,MATCH(D294,'卡片raw data'!$F:$F,)),0)+IF(OR(P294=5,AND(L294="party卡",P294&gt;=2)),INDEX('卡片raw data'!AR:AR,MATCH(D294,'卡片raw data'!$F:$F,)),0))</f>
        <v>4.2000000000000003E-2</v>
      </c>
      <c r="DW294" s="1098">
        <f t="shared" si="409"/>
        <v>0.3</v>
      </c>
      <c r="DX294" s="1098">
        <f t="shared" si="410"/>
        <v>0.3</v>
      </c>
      <c r="DY294" s="1098">
        <f t="shared" si="411"/>
        <v>2.0999999999999998E-2</v>
      </c>
      <c r="DZ294" s="1098">
        <f t="shared" si="412"/>
        <v>1.8164999999999997E-2</v>
      </c>
      <c r="EA294" s="1098">
        <f t="shared" si="413"/>
        <v>0</v>
      </c>
      <c r="EB294" s="1121">
        <f t="shared" si="414"/>
        <v>4.1901234374999996</v>
      </c>
      <c r="EC294" s="1101">
        <f t="shared" si="415"/>
        <v>272.99999999999994</v>
      </c>
      <c r="ED294" s="1097">
        <f t="shared" si="416"/>
        <v>181.04449999999994</v>
      </c>
      <c r="EE294" s="1110">
        <f t="shared" si="417"/>
        <v>272.99999999999994</v>
      </c>
      <c r="EF294" s="1092" t="s">
        <v>569</v>
      </c>
      <c r="EG294" s="1120">
        <f t="shared" si="418"/>
        <v>0.3</v>
      </c>
      <c r="EH294" s="1124"/>
      <c r="EI294" s="1093"/>
      <c r="EJ294" s="1093"/>
      <c r="EK294" s="1097">
        <f>IF($P294="","N/A",IF(P294=-1,INDEX('卡片raw data'!AS:AS,MATCH(D294,'卡片raw data'!$F:$F,)),0)+IF(AND(L294&lt;&gt;"party卡",P294&lt;=2,P294&gt;=0),INDEX('卡片raw data'!AU:AU,MATCH(D294,'卡片raw data'!$F:$F,)),0)+IF(OR(AND(L294="party卡",P294&lt;=1),AND(P294&lt;=4,L294&lt;&gt;"party卡",P294&gt;=3)),INDEX('卡片raw data'!AV:AV,MATCH(D294,'卡片raw data'!$F:$F,)),0)+IF(OR(P294=5,AND(L294="party卡",P294&gt;=2)),INDEX('卡片raw data'!AW:AW,MATCH(D294,'卡片raw data'!$F:$F,)),0))</f>
        <v>0</v>
      </c>
      <c r="EL294" s="1098">
        <f t="shared" si="419"/>
        <v>0.3</v>
      </c>
      <c r="EM294" s="1098">
        <f t="shared" si="420"/>
        <v>0.3</v>
      </c>
      <c r="EN294" s="1125">
        <f t="shared" si="421"/>
        <v>0</v>
      </c>
      <c r="EO294" s="1125">
        <f t="shared" si="422"/>
        <v>0</v>
      </c>
      <c r="EP294" s="1098">
        <f t="shared" si="423"/>
        <v>0</v>
      </c>
      <c r="EQ294" s="1121">
        <f t="shared" si="424"/>
        <v>0</v>
      </c>
      <c r="ER294" s="1101">
        <f t="shared" si="425"/>
        <v>0</v>
      </c>
      <c r="ES294" s="1097">
        <f t="shared" si="426"/>
        <v>0</v>
      </c>
      <c r="ET294" s="1122">
        <f t="shared" si="427"/>
        <v>0</v>
      </c>
    </row>
    <row r="295" spans="2:150" ht="16.5" customHeight="1">
      <c r="B295" s="1123" t="str">
        <f>INDEX('卡片raw data'!B:B,MATCH($D295,'卡片raw data'!$F:$F,))</f>
        <v>二单丸</v>
      </c>
      <c r="C295" s="449" t="s">
        <v>658</v>
      </c>
      <c r="D295" s="408">
        <v>292</v>
      </c>
      <c r="E295" s="1090">
        <v>401072003</v>
      </c>
      <c r="F295" s="1090" t="str">
        <f>INDEX('卡片raw data'!C:C,MATCH($D295,'卡片raw data'!$F:$F,))</f>
        <v>SR</v>
      </c>
      <c r="G295" s="1094" t="s">
        <v>822</v>
      </c>
      <c r="H295" s="411">
        <f>IFERROR(INDEX(绊状态确认!C:C,MATCH($G295,绊状态确认!$B:$B,)),"")</f>
        <v>107</v>
      </c>
      <c r="I295" s="1124" t="str">
        <f>IFERROR(INDEX(绊状态确认!D:D,MATCH($G295,绊状态确认!$B:$B,)),"")</f>
        <v>水</v>
      </c>
      <c r="J295" s="1124" t="str">
        <f>IFERROR(INDEX(绊状态确认!E:E,MATCH($G295,绊状态确认!$B:$B,)),"")</f>
        <v>1年级</v>
      </c>
      <c r="K295" s="451" t="str">
        <f>IFERROR(INDEX(绊状态确认!F:F,MATCH($G295,绊状态确认!$B:$B,)),"")</f>
        <v>AZALEA</v>
      </c>
      <c r="L295" s="1094" t="str">
        <f>INDEX('卡片raw data'!E:E,MATCH($D295,'卡片raw data'!$F:$F,))</f>
        <v>活动卡</v>
      </c>
      <c r="M295" s="415">
        <v>44049</v>
      </c>
      <c r="N295" s="416">
        <v>21</v>
      </c>
      <c r="O295" s="1091" t="str">
        <f>INDEX('卡片raw data'!D:D,MATCH($D295,'卡片raw data'!$F:$F,))</f>
        <v>sk</v>
      </c>
      <c r="P295" s="417">
        <v>5</v>
      </c>
      <c r="Q295" s="1095">
        <f t="shared" si="343"/>
        <v>19055.215958475277</v>
      </c>
      <c r="R295" s="1096">
        <f t="shared" si="344"/>
        <v>0.221</v>
      </c>
      <c r="S295" s="1097">
        <f t="shared" si="345"/>
        <v>13549.185810253312</v>
      </c>
      <c r="T295" s="1098">
        <f t="shared" si="346"/>
        <v>0.67700000000000005</v>
      </c>
      <c r="U295" s="1099">
        <f t="shared" si="347"/>
        <v>11.519723317491428</v>
      </c>
      <c r="V295" s="1100">
        <f t="shared" si="348"/>
        <v>21967.774952690361</v>
      </c>
      <c r="W295" s="1101">
        <f t="shared" si="349"/>
        <v>4509.2931730933451</v>
      </c>
      <c r="X295" s="1096">
        <f t="shared" si="350"/>
        <v>5.1999999999999998E-2</v>
      </c>
      <c r="Y295" s="1097">
        <f t="shared" si="351"/>
        <v>912.5589942150873</v>
      </c>
      <c r="Z295" s="1102">
        <f t="shared" si="352"/>
        <v>11.519723317491428</v>
      </c>
      <c r="AA295" s="1103">
        <f t="shared" si="353"/>
        <v>5421.8521673084324</v>
      </c>
      <c r="AB295" s="1101">
        <f t="shared" si="354"/>
        <v>4509.2931730933451</v>
      </c>
      <c r="AC295" s="1104">
        <f t="shared" si="355"/>
        <v>5.1999999999999998E-2</v>
      </c>
      <c r="AD295" s="1105">
        <f t="shared" si="356"/>
        <v>1.8994224431818179E-2</v>
      </c>
      <c r="AE295" s="1128">
        <f t="shared" si="357"/>
        <v>4.3537577047458456</v>
      </c>
      <c r="AF295" s="1130">
        <f t="shared" si="358"/>
        <v>0</v>
      </c>
      <c r="AG295" s="420">
        <f t="shared" si="359"/>
        <v>0</v>
      </c>
      <c r="AH295" s="420">
        <f t="shared" si="360"/>
        <v>0</v>
      </c>
      <c r="AI295" s="1097">
        <f t="shared" si="361"/>
        <v>0</v>
      </c>
      <c r="AJ295" s="420">
        <f t="shared" si="362"/>
        <v>0</v>
      </c>
      <c r="AK295" s="518">
        <f t="shared" si="363"/>
        <v>0</v>
      </c>
      <c r="AL295" s="1106">
        <f>IF($P295="","N/A",(IF($P295=-1,INDEX('卡片raw data'!S:S,MATCH($D295,'卡片raw data'!$F:$F,)),0)+IF($P295=0,INDEX('卡片raw data'!V:V,MATCH($D295,'卡片raw data'!$F:$F,)),0)+IF($P295=1,INDEX('卡片raw data'!Y:Y,MATCH($D295,'卡片raw data'!$F:$F,)),0)+IF($P295=2,INDEX('卡片raw data'!AB:AB,MATCH($D295,'卡片raw data'!$F:$F,)),0)+IF($P295=3,INDEX('卡片raw data'!AE:AE,MATCH($D295,'卡片raw data'!$F:$F,)),0)+IF($P295=4,INDEX('卡片raw data'!AH:AH,MATCH($D295,'卡片raw data'!$F:$F,)),0)+IF($P295=5,INDEX('卡片raw data'!AK:AK,MATCH($D295,'卡片raw data'!$F:$F,)),0)+INDEX('卡片raw data'!S:S,MATCH($D295,'卡片raw data'!$F:$F,))*(IF($F295="UR",0.04,0.033))*(IF($F295="UR",INDEX(绊状态确认!$S:$S,MATCH($G295,绊状态确认!$B:$B,))/2-40)+IF($F295="SR",INDEX(绊状态确认!$R:$R,MATCH($G295,绊状态确认!$B:$B,))/4-15))+IF($F295="R",INDEX(绊状态确认!$Q:$Q,MATCH($G295,绊状态确认!$B:$B,))/6-40/6)))*(INDEX(绊状态确认!$H:$H,MATCH($G295,绊状态确认!$B:$B,))+INDEX(绊状态确认!J:J,MATCH($G295,绊状态确认!$B:$B,)))</f>
        <v>5872.2401783999994</v>
      </c>
      <c r="AM295" s="1106">
        <f>IF($P295="","N/A",(IF($P295=-1,INDEX('卡片raw data'!T:T,MATCH($D295,'卡片raw data'!$F:$F,)),0)+IF($P295=0,INDEX('卡片raw data'!W:W,MATCH($D295,'卡片raw data'!$F:$F,)),0)+IF($P295=1,INDEX('卡片raw data'!Z:Z,MATCH($D295,'卡片raw data'!$F:$F,)),0)+IF($P295=2,INDEX('卡片raw data'!AC:AC,MATCH($D295,'卡片raw data'!$F:$F,)),0)+IF($P295=3,INDEX('卡片raw data'!AF:AF,MATCH($D295,'卡片raw data'!$F:$F,)),0)+IF($P295=4,INDEX('卡片raw data'!AI:AI,MATCH($D295,'卡片raw data'!$F:$F,)),0)+IF($P295=5,INDEX('卡片raw data'!AL:AL,MATCH($D295,'卡片raw data'!$F:$F,)),0)+INDEX('卡片raw data'!T:T,MATCH($D295,'卡片raw data'!$F:$F,))*(IF($F295="UR",0.04,0.033))*(IF($F295="UR",INDEX(绊状态确认!$S:$S,MATCH($G295,绊状态确认!$B:$B,))/2-40)+IF($F295="SR",INDEX(绊状态确认!$R:$R,MATCH($G295,绊状态确认!$B:$B,))/4-15))+IF($F295="R",INDEX(绊状态确认!$Q:$Q,MATCH($G295,绊状态确认!$B:$B,))/6-40/6)))*(INDEX(绊状态确认!$H:$H,MATCH($G295,绊状态确认!$B:$B,))+INDEX(绊状态确认!K:K,MATCH($G295,绊状态确认!$B:$B,)))</f>
        <v>4695.2320607999991</v>
      </c>
      <c r="AN295" s="1106">
        <f>IF($P295="","N/A",(IF($P295=-1,INDEX('卡片raw data'!U:U,MATCH($D295,'卡片raw data'!$F:$F,)),0)+IF($P295=0,INDEX('卡片raw data'!X:X,MATCH($D295,'卡片raw data'!$F:$F,)),0)+IF($P295=1,INDEX('卡片raw data'!AA:AA,MATCH($D295,'卡片raw data'!$F:$F,)),0)+IF($P295=2,INDEX('卡片raw data'!AD:AD,MATCH($D295,'卡片raw data'!$F:$F,)),0)+IF($P295=3,INDEX('卡片raw data'!AG:AG,MATCH($D295,'卡片raw data'!$F:$F,)),0)+IF($P295=4,INDEX('卡片raw data'!AJ:AJ,MATCH($D295,'卡片raw data'!$F:$F,)),0)+IF($P295=5,INDEX('卡片raw data'!AM:AM,MATCH($D295,'卡片raw data'!$F:$F,)),0)+INDEX('卡片raw data'!U:U,MATCH($D295,'卡片raw data'!$F:$F,))*(IF($F295="UR",0.04,0.033))*(IF($F295="UR",INDEX(绊状态确认!$S:$S,MATCH($G295,绊状态确认!$B:$B,))/2-40)+IF($F295="SR",INDEX(绊状态确认!$R:$R,MATCH($G295,绊状态确认!$B:$B,))/4-15))+IF($F295="R",INDEX(绊状态确认!$Q:$Q,MATCH($G295,绊状态确认!$B:$B,))/6-40/6)))*(INDEX(绊状态确认!$H:$H,MATCH($G295,绊状态确认!$B:$B,))+INDEX(绊状态确认!L:L,MATCH($G295,绊状态确认!$B:$B,)))</f>
        <v>6207.0349823999986</v>
      </c>
      <c r="AO295" s="1107">
        <f t="shared" si="364"/>
        <v>1</v>
      </c>
      <c r="AP295" s="1131">
        <f>1+(INDEX(绊状态确认!$T:$T,MATCH($G295,绊状态确认!$B:$B,))+0.2)*$AO295</f>
        <v>1.3</v>
      </c>
      <c r="AQ295" s="1108">
        <f t="shared" si="365"/>
        <v>18664.630468299998</v>
      </c>
      <c r="AR295" s="1097">
        <f>(AM295*(1+$EX$9)+$EX$35)*(1+(INDEX(绊状态确认!$T:$T,MATCH($G295,绊状态确认!$B:$B,))+0.2)*AO295)*IF(J295=$FF$17,1+$FE$17,1)*IF(I295=$FF$14,1+$FE$14,1)</f>
        <v>9112.9917629920001</v>
      </c>
      <c r="AS295" s="1097">
        <f>(AN295*(1+$EX$10)+$EX$36)*(1+(INDEX(绊状态确认!$T:$T,MATCH($G295,绊状态确认!$B:$B,))+0.2)*AO295)*IF(J295=$FF$17,1+$FE$17,1)*IF(I295=$FF$14,1+$FE$14,1)</f>
        <v>13335.517298687997</v>
      </c>
      <c r="AT295" s="1093">
        <f>IF(AND(INDEX('卡片raw data'!AK:AK,MATCH($D295,'卡片raw data'!$F:$F,))&lt;INDEX('卡片raw data'!AM:AM,MATCH($D295,'卡片raw data'!$F:$F,)),INDEX('卡片raw data'!AL:AL,MATCH($D295,'卡片raw data'!$F:$F,))&lt;INDEX('卡片raw data'!AM:AM,MATCH($D295,'卡片raw data'!$F:$F,))),1,0)</f>
        <v>1</v>
      </c>
      <c r="AU295" s="1098">
        <f>MIN(AT295*0.15+AS295*0.00003+INDEX(绊状态确认!M:M,MATCH($G295,绊状态确认!$B:$B,)),1)</f>
        <v>0.58006551896063996</v>
      </c>
      <c r="AV295" s="1109">
        <f>(INDEX(绊状态确认!$N:$N,MATCH($G295,绊状态确认!$B:$B,))+1.5)*$EW$21</f>
        <v>2.6599999999999997</v>
      </c>
      <c r="AW295" s="1101">
        <f t="shared" si="366"/>
        <v>19027.28719159088</v>
      </c>
      <c r="AX295" s="1097">
        <f t="shared" si="367"/>
        <v>775.36880000174597</v>
      </c>
      <c r="AY295" s="1110">
        <f t="shared" si="368"/>
        <v>19802.655991592626</v>
      </c>
      <c r="AZ295" s="429">
        <f t="shared" si="369"/>
        <v>14050.868347879999</v>
      </c>
      <c r="BA295" s="431">
        <f t="shared" si="370"/>
        <v>16861.042017455999</v>
      </c>
      <c r="BB295" s="1097">
        <f>(AM295*(1+$FB$9)+$FB$35)*(1+(INDEX(绊状态确认!$T:$T,MATCH($G295,绊状态确认!$B:$B,))+0.2)*AO295)*IF(J295=$FF$17,1+$FE$17,1)*IF(I295=$FF$14,1+$FE$14,1)*(1+$FE$15)</f>
        <v>9112.9917629920001</v>
      </c>
      <c r="BC295" s="1097">
        <f>(AN295*(1+$FB$10)+$FB$36)*(1+(INDEX(绊状态确认!$T:$T,MATCH($G295,绊状态确认!$B:$B,))+0.2)*AO295)*IF(J295=$FF$17,1+$FE$17,1)*IF(I295=$FF$14,1+$FE$14,1)*(1+$FE$15)</f>
        <v>13335.517298687997</v>
      </c>
      <c r="BD295" s="1104">
        <f>MIN(AT295*0.15+BC295*0.00003+INDEX(绊状态确认!M:M,MATCH($G295,绊状态确认!$B:$B,)),1)</f>
        <v>0.58006551896063996</v>
      </c>
      <c r="BE295" s="432">
        <f>(INDEX(绊状态确认!$N:$N,MATCH($G295,绊状态确认!$B:$B,))+1.5)</f>
        <v>1.9</v>
      </c>
      <c r="BF295" s="1139">
        <f t="array" ref="BF295">SUMPRODUCT(IF(AZ295*AP295*$FI$16:$FI$23*$FA$22&gt;=$FI$24,$FI$24,AZ295*AP295*$FI$16:$FI$23*$FA$22),$FJ$16:$FJ$23)</f>
        <v>27947.177143933324</v>
      </c>
      <c r="BG295" s="1125">
        <f t="array" ref="BG295">SUMPRODUCT(IF(BE295*AZ295*AP295*$FI$16:$FI$23*$FA$22&gt;=$FI$24,$FI$24,BE295*AZ295*AP295*$FI$16:$FI$23*$FA$22),$FJ$16:$FJ$23)</f>
        <v>52258.547990345774</v>
      </c>
      <c r="BH295" s="1110">
        <f t="shared" si="371"/>
        <v>14016.455030200712</v>
      </c>
      <c r="BI295" s="1111">
        <f>IF(O295="vo",$EW$26/$EW$24*0.05,0)+IF(O295="sk",-$EW$26/$EW$24*(0.05-INDEX(绊状态确认!W:W,MATCH($G295,绊状态确认!$B:$B,)))+0.05*$EW$28,0)+IF(O295="sp",0.05*$EW$32*$EW$30*(1-$EW$33)-(0.05-INDEX(绊状态确认!V:V,MATCH($G295,绊状态确认!$B:$B,)))*$EW$28,0)+IF(O295="gd",-(0.05-INDEX(绊状态确认!X:X,MATCH($G295,绊状态确认!$B:$B,)))*$EW$32*$EW$30*(1-$EW$33),0)</f>
        <v>-6253.6726349699375</v>
      </c>
      <c r="BJ295" s="1097">
        <f>IF(O295="vo",0.05*(1-$FI$26)*$FA$24,0)+IF(O295="sk",-(0.05-INDEX(绊状态确认!W:W,MATCH($G295,绊状态确认!$B:$B,)))*(1-$FI$26)*$FA$24+0.05*$FA$26,0)+IF(O295="sp",0.05*$FA$32*$FA$27*(1-$FA$33)/$FA$30+0.05*$FA$29/$FA$69*$FA$27*(1-$FA$33)-(0.05-INDEX(绊状态确认!V:V,MATCH($G295,绊状态确认!$B:$B,)))*$FA$26,0)+IF(O295="gd",-(0.05-INDEX(绊状态确认!X:X,MATCH($G295,绊状态确认!$B:$B,)))*$FA$32*$FA$27*(1-$FA$33)/$FA$30-(0.05-INDEX(绊状态确认!X:X,MATCH($G295,绊状态确认!$B:$B,)))*$FA$29/$FA$69*$FA$27*(1-$FA$33),0)</f>
        <v>20.459096812499922</v>
      </c>
      <c r="BK295" s="1110">
        <f>IF(O295="vo",$EW$26/$EW$24*0.05+$EW$26*(-HP($EW$62,$EW$65,$EW$64)+HP($EW$62,$EW$65,(1.05-INDEX(绊状态确认!U:U,MATCH($G295,绊状态确认!$B:$B,)))*$EW$64)),0)+IF(O295="sk",-$EW$26/$EW$24*(0.05-INDEX(绊状态确认!W:W,MATCH($G295,绊状态确认!$B:$B,)))+0.05*$EW$29,0)+IF(O295="sp",0.05*$EW$32*$EW$30*(1-$EW$33)-(0.05-INDEX(绊状态确认!V:V,MATCH($G295,绊状态确认!$B:$B,)))*$EW$29,0)+IF(O295="gd",-(0.05-INDEX(绊状态确认!X:X,MATCH($G295,绊状态确认!$B:$B,)))*$EW$32*$EW$30*(1-$EW$33)+$EW$26*(-HP($EW$62,$EW$65,$EW$64)+HP($EW$62,$EW$65,0.95*$EW$64)),0)</f>
        <v>-4253.6726349699375</v>
      </c>
      <c r="BL295" s="1111">
        <f t="shared" si="372"/>
        <v>-1083.3333333333333</v>
      </c>
      <c r="BM295" s="1110">
        <f t="shared" si="373"/>
        <v>-830.55555555555543</v>
      </c>
      <c r="BN295" s="1113">
        <f t="shared" si="374"/>
        <v>3</v>
      </c>
      <c r="BO295" s="1097">
        <f t="shared" si="375"/>
        <v>4507.7214871259994</v>
      </c>
      <c r="BP295" s="1100">
        <f t="shared" si="376"/>
        <v>221.34103209030098</v>
      </c>
      <c r="BQ295" s="1113" t="s">
        <v>819</v>
      </c>
      <c r="BR295" s="1124" t="s">
        <v>168</v>
      </c>
      <c r="BS295" s="1098">
        <f>IF($P295="","N/A",IF($P295=-1,INDEX('卡片raw data'!AX:AX,MATCH($D295,'卡片raw data'!$F:$F,)),0)+IF($L295="party卡",IF($P295=5,INDEX('卡片raw data'!BD:BD,MATCH($D295,'卡片raw data'!$F:$F,)),IF($P295&gt;=3,INDEX('卡片raw data'!BC:BC,MATCH($D295,'卡片raw data'!$F:$F,)),INDEX('卡片raw data'!BB:BB,MATCH($D295,'卡片raw data'!$F:$F,)))),IF(OR(AND($F295="UR",$P295=0),AND($F295="SR",$P295&gt;=0,$P295&lt;=2),AND($F295="R",$P295&gt;=0,$P295&lt;4)),INDEX('卡片raw data'!AZ:AZ,MATCH($D295,'卡片raw data'!$F:$F,)),0)+IF(OR(AND($F295="UR",$P295&gt;=1,$P295&lt;=4),AND($F295="SR",$P295&lt;=4,$P295&gt;=3),AND($F295="R",$P295=4)),INDEX('卡片raw data'!BA:BA,MATCH($D295,'卡片raw data'!$F:$F,)),0)+IF($P295=5,INDEX('卡片raw data'!BB:BB,MATCH($D295,'卡片raw data'!$F:$F,)),0)))</f>
        <v>0.05</v>
      </c>
      <c r="BT295" s="1101">
        <f t="shared" si="377"/>
        <v>0</v>
      </c>
      <c r="BU295" s="1097">
        <f t="shared" si="378"/>
        <v>0</v>
      </c>
      <c r="BV295" s="1097">
        <f t="shared" si="379"/>
        <v>0</v>
      </c>
      <c r="BW295" s="1112">
        <f t="shared" si="380"/>
        <v>1.7558035714285711</v>
      </c>
      <c r="BX295" s="1100">
        <f t="shared" si="381"/>
        <v>137.19019421334193</v>
      </c>
      <c r="BY295" s="1110">
        <f t="shared" si="382"/>
        <v>137.19019421334193</v>
      </c>
      <c r="BZ295" s="1107" t="s">
        <v>569</v>
      </c>
      <c r="CA295" s="1124"/>
      <c r="CB295" s="1098">
        <f>IF($P295="","N/A",IF($P295=-1,INDEX('卡片raw data'!BE:BE,MATCH($D295,'卡片raw data'!$F:$F,)),0)+IF($L295="party卡",IF($P295=5,INDEX('卡片raw data'!BK:BK,MATCH($D295,'卡片raw data'!$F:$F,)),IF($P295&gt;=3,INDEX('卡片raw data'!BJ:BJ,MATCH($D295,'卡片raw data'!$F:$F,)),INDEX('卡片raw data'!BI:BI,MATCH($D295,'卡片raw data'!$F:$F,)))),IF(OR(AND($F295="UR",$P295=0),AND($F295="SR",$P295&gt;=0,$P295&lt;=2),AND($F295="R",$P295&gt;=0,$P295&lt;4)),INDEX('卡片raw data'!BG:BG,MATCH($D295,'卡片raw data'!$F:$F,)),0)+IF(OR(AND($F295="UR",$P295&gt;=1,$P295&lt;=4),AND($F295="SR",$P295&lt;=4,$P295&gt;=3),AND($F295="R",$P295=4)),INDEX('卡片raw data'!BH:BH,MATCH($D295,'卡片raw data'!$F:$F,)),0)+IF($P295=5,INDEX('卡片raw data'!BI:BI,MATCH($D295,'卡片raw data'!$F:$F,)),0)))</f>
        <v>0</v>
      </c>
      <c r="CC295" s="1101">
        <f t="shared" si="383"/>
        <v>0</v>
      </c>
      <c r="CD295" s="1097">
        <f>IF(BZ295="ap",CB295*(1-$FI$26)*$FB$5/$FB$11*(+IF(CA295="全员",$FA$24,0)+IF(CA295="同作战",$FA$24,0)+IF(CA295="仲间",$FA$24*2/3,0)+IF(CA295="同属性",$FA$24*$FA$37/3,0)+IF(CA295="同年级",$FA$24*$FA$40/3,0)+IF(CA295="同学校",$FA$24*$FA$43/3,0)+IF(CA295="同小队",$FA$24*$FA$46/3,0)+IF(CA295="同type",$FA$24*INDEX($FB$49:$FB$52,MATCH(X295,$FA$49:$FA$52,))/3,0)+IF(CA295="自身",#REF!/3,0)),0)+IF(BZ295="te",CB295*(1-$FI$27)*($FA$20-1)*$FB$7/$FB$13*(+IF(CA295="全员",$FA$19*$FA$24/(1+($FA$20-1)*$FA$19),0)+IF(CA295="同作战",$FA$19*$FA$24/(1+($FA$20-1)*$FA$19),0)+IF(CA295="仲间",$FA$19*$FA$24*2/3/(1+($FA$20-1)*$FA$19),0)+IF(CA295="同属性",$FA$19*$FA$24*$FA$37/3/(1+($FA$20-1)*$FA$19),0)+IF(CA295="同年级",$FA$19*$FA$24*$FA$40/3/(1+($FA$20-1)*$FA$19),0)+IF(CA295="同学校",$FA$19*$FA$24*$FA$43/3/(1+($FA$20-1)*$FA$19),0)+IF(CA295="同小队",$FA$19*$FA$24*$FA$46/3/(1+($FA$20-1)*$FA$19),0)+IF(CA295="同type",$FA$19*$FA$24*INDEX($FB$49:$FB$52,MATCH(X295,$FA$49:$FA$52,))/3/(1+($FA$20-1)*$FA$19),0)+IF(CA295="自身",$FA$19*#REF!/3/(1+(BH295-1)*$BD295),0)),0)</f>
        <v>0</v>
      </c>
      <c r="CE295" s="1097">
        <f t="shared" si="384"/>
        <v>0</v>
      </c>
      <c r="CF295" s="1112">
        <f t="shared" si="385"/>
        <v>0</v>
      </c>
      <c r="CG295" s="1100">
        <f t="shared" si="386"/>
        <v>0</v>
      </c>
      <c r="CH295" s="1110">
        <f t="shared" si="387"/>
        <v>0</v>
      </c>
      <c r="CI295" s="1113" t="s">
        <v>170</v>
      </c>
      <c r="CJ295" s="1114">
        <v>0.15</v>
      </c>
      <c r="CK295" s="1115" t="s">
        <v>545</v>
      </c>
      <c r="CL295" s="1115" t="s">
        <v>1941</v>
      </c>
      <c r="CM295" s="1119">
        <v>0.2</v>
      </c>
      <c r="CN295" s="1115"/>
      <c r="CO295" s="1092"/>
      <c r="CP295" s="1116">
        <f t="shared" si="388"/>
        <v>1.4288054248594284</v>
      </c>
      <c r="CQ295" s="1116">
        <f t="shared" si="389"/>
        <v>2.2225862164479997</v>
      </c>
      <c r="CR295" s="1116">
        <f t="shared" si="390"/>
        <v>1.4288054248594284</v>
      </c>
      <c r="CS295" s="1118">
        <f t="shared" si="391"/>
        <v>0</v>
      </c>
      <c r="CT295" s="1109">
        <f t="shared" si="392"/>
        <v>0</v>
      </c>
      <c r="CU295" s="1101">
        <f t="shared" si="393"/>
        <v>1.5716859673453714</v>
      </c>
      <c r="CV295" s="1108">
        <f t="shared" si="394"/>
        <v>2.2225862164479997</v>
      </c>
      <c r="CW295" s="1097">
        <f t="shared" si="395"/>
        <v>1.5716859673453714</v>
      </c>
      <c r="CX295" s="1097">
        <f t="shared" si="396"/>
        <v>1.5716859673453714</v>
      </c>
      <c r="CY295" s="1110">
        <f t="shared" si="397"/>
        <v>1.5716859673453714</v>
      </c>
      <c r="CZ295" s="437"/>
      <c r="DA295" s="438"/>
      <c r="DB295" s="439" t="s">
        <v>569</v>
      </c>
      <c r="DC295" s="439"/>
      <c r="DD295" s="443"/>
      <c r="DE295" s="411"/>
      <c r="DF295" s="411"/>
      <c r="DG295" s="1116">
        <f t="shared" si="398"/>
        <v>0</v>
      </c>
      <c r="DH295" s="1116">
        <f t="shared" si="399"/>
        <v>0</v>
      </c>
      <c r="DI295" s="1116">
        <f t="shared" si="400"/>
        <v>0</v>
      </c>
      <c r="DJ295" s="442">
        <f t="shared" si="401"/>
        <v>0</v>
      </c>
      <c r="DK295" s="1109">
        <f t="shared" si="402"/>
        <v>0</v>
      </c>
      <c r="DL295" s="1101">
        <f t="shared" si="403"/>
        <v>0</v>
      </c>
      <c r="DM295" s="1097">
        <f t="shared" si="404"/>
        <v>0</v>
      </c>
      <c r="DN295" s="1097">
        <f t="shared" si="405"/>
        <v>0</v>
      </c>
      <c r="DO295" s="1097">
        <f t="shared" si="406"/>
        <v>0</v>
      </c>
      <c r="DP295" s="1110">
        <f t="shared" si="407"/>
        <v>0</v>
      </c>
      <c r="DQ295" s="1113" t="s">
        <v>826</v>
      </c>
      <c r="DR295" s="1120">
        <f t="shared" si="408"/>
        <v>0.3</v>
      </c>
      <c r="DS295" s="1124">
        <v>5</v>
      </c>
      <c r="DT295" s="1093" t="s">
        <v>168</v>
      </c>
      <c r="DU295" s="1093" t="s">
        <v>815</v>
      </c>
      <c r="DV295" s="1098">
        <f>IF($P295="","N/A",IF(P295=-1,INDEX('卡片raw data'!AN:AN,MATCH(D295,'卡片raw data'!$F:$F,)),0)+IF(AND(L295&lt;&gt;"party卡",P295&lt;=2,P295&gt;=0),INDEX('卡片raw data'!AP:AP,MATCH(D295,'卡片raw data'!$F:$F,)),0)+IF(OR(AND(L295="party卡",P295&lt;=1),AND(P295&lt;=4,L295&lt;&gt;"party卡",P295&gt;=3)),INDEX('卡片raw data'!AQ:AQ,MATCH(D295,'卡片raw data'!$F:$F,)),0)+IF(OR(P295=5,AND(L295="party卡",P295&gt;=2)),INDEX('卡片raw data'!AR:AR,MATCH(D295,'卡片raw data'!$F:$F,)),0))</f>
        <v>4.2000000000000003E-2</v>
      </c>
      <c r="DW295" s="1098">
        <f t="shared" si="409"/>
        <v>0.3</v>
      </c>
      <c r="DX295" s="1098">
        <f t="shared" si="410"/>
        <v>0.3</v>
      </c>
      <c r="DY295" s="1098">
        <f t="shared" si="411"/>
        <v>2.0999999999999998E-2</v>
      </c>
      <c r="DZ295" s="1098">
        <f t="shared" si="412"/>
        <v>1.8164999999999997E-2</v>
      </c>
      <c r="EA295" s="1098">
        <f t="shared" si="413"/>
        <v>0</v>
      </c>
      <c r="EB295" s="1121">
        <f t="shared" si="414"/>
        <v>0</v>
      </c>
      <c r="EC295" s="1101">
        <f t="shared" si="415"/>
        <v>2855.6415620943208</v>
      </c>
      <c r="ED295" s="1097">
        <f t="shared" si="416"/>
        <v>119.26362048890624</v>
      </c>
      <c r="EE295" s="1110">
        <f t="shared" si="417"/>
        <v>2855.6415620943208</v>
      </c>
      <c r="EF295" s="1092" t="s">
        <v>569</v>
      </c>
      <c r="EG295" s="1120">
        <f t="shared" si="418"/>
        <v>0.3</v>
      </c>
      <c r="EH295" s="1124"/>
      <c r="EI295" s="1093"/>
      <c r="EJ295" s="1093"/>
      <c r="EK295" s="1097">
        <f>IF($P295="","N/A",IF(P295=-1,INDEX('卡片raw data'!AS:AS,MATCH(D295,'卡片raw data'!$F:$F,)),0)+IF(AND(L295&lt;&gt;"party卡",P295&lt;=2,P295&gt;=0),INDEX('卡片raw data'!AU:AU,MATCH(D295,'卡片raw data'!$F:$F,)),0)+IF(OR(AND(L295="party卡",P295&lt;=1),AND(P295&lt;=4,L295&lt;&gt;"party卡",P295&gt;=3)),INDEX('卡片raw data'!AV:AV,MATCH(D295,'卡片raw data'!$F:$F,)),0)+IF(OR(P295=5,AND(L295="party卡",P295&gt;=2)),INDEX('卡片raw data'!AW:AW,MATCH(D295,'卡片raw data'!$F:$F,)),0))</f>
        <v>0</v>
      </c>
      <c r="EL295" s="1098">
        <f t="shared" si="419"/>
        <v>0.3</v>
      </c>
      <c r="EM295" s="1098">
        <f t="shared" si="420"/>
        <v>0.3</v>
      </c>
      <c r="EN295" s="1125">
        <f t="shared" si="421"/>
        <v>0</v>
      </c>
      <c r="EO295" s="1125">
        <f t="shared" si="422"/>
        <v>0</v>
      </c>
      <c r="EP295" s="1098">
        <f t="shared" si="423"/>
        <v>0</v>
      </c>
      <c r="EQ295" s="1121">
        <f t="shared" si="424"/>
        <v>0</v>
      </c>
      <c r="ER295" s="1101">
        <f t="shared" si="425"/>
        <v>0</v>
      </c>
      <c r="ES295" s="1097">
        <f t="shared" si="426"/>
        <v>0</v>
      </c>
      <c r="ET295" s="1122">
        <f t="shared" si="427"/>
        <v>0</v>
      </c>
    </row>
    <row r="296" spans="2:150" ht="16.5" customHeight="1">
      <c r="B296" s="1123" t="str">
        <f>INDEX('卡片raw data'!B:B,MATCH($D296,'卡片raw data'!$F:$F,))</f>
        <v>泳池步</v>
      </c>
      <c r="C296" s="449" t="s">
        <v>844</v>
      </c>
      <c r="D296" s="408">
        <v>293</v>
      </c>
      <c r="E296" s="1090">
        <v>302013002</v>
      </c>
      <c r="F296" s="1090" t="str">
        <f>INDEX('卡片raw data'!C:C,MATCH($D296,'卡片raw data'!$F:$F,))</f>
        <v>UR</v>
      </c>
      <c r="G296" s="1094" t="s">
        <v>42</v>
      </c>
      <c r="H296" s="411">
        <f>IFERROR(INDEX(绊状态确认!C:C,MATCH($G296,绊状态确认!$B:$B,)),"")</f>
        <v>201</v>
      </c>
      <c r="I296" s="450" t="str">
        <f>IFERROR(INDEX(绊状态确认!D:D,MATCH($G296,绊状态确认!$B:$B,)),"")</f>
        <v>虹</v>
      </c>
      <c r="J296" s="450" t="str">
        <f>IFERROR(INDEX(绊状态确认!E:E,MATCH($G296,绊状态确认!$B:$B,)),"")</f>
        <v>2年级</v>
      </c>
      <c r="K296" s="451" t="str">
        <f>IFERROR(INDEX(绊状态确认!F:F,MATCH($G296,绊状态确认!$B:$B,)),"")</f>
        <v>A·ZU·NA</v>
      </c>
      <c r="L296" s="1094" t="str">
        <f>INDEX('卡片raw data'!E:E,MATCH($D296,'卡片raw data'!$F:$F,))</f>
        <v>卡池卡</v>
      </c>
      <c r="M296" s="415">
        <v>44057</v>
      </c>
      <c r="N296" s="416">
        <v>21.5</v>
      </c>
      <c r="O296" s="1091" t="str">
        <f>INDEX('卡片raw data'!D:D,MATCH($D296,'卡片raw data'!$F:$F,))</f>
        <v>sp</v>
      </c>
      <c r="P296" s="417">
        <v>5</v>
      </c>
      <c r="Q296" s="1095">
        <f t="shared" si="343"/>
        <v>51195.416493590128</v>
      </c>
      <c r="R296" s="1096">
        <f t="shared" si="344"/>
        <v>0.59499999999999997</v>
      </c>
      <c r="S296" s="1097">
        <f t="shared" si="345"/>
        <v>21222.595733441791</v>
      </c>
      <c r="T296" s="1098">
        <f t="shared" si="346"/>
        <v>1.0609999999999999</v>
      </c>
      <c r="U296" s="1099">
        <f t="shared" si="347"/>
        <v>15.044511112799997</v>
      </c>
      <c r="V296" s="1100">
        <f t="shared" si="348"/>
        <v>50597.646149893924</v>
      </c>
      <c r="W296" s="1101">
        <f t="shared" si="349"/>
        <v>5987.4819714280984</v>
      </c>
      <c r="X296" s="1096">
        <f t="shared" si="350"/>
        <v>6.9000000000000006E-2</v>
      </c>
      <c r="Y296" s="1097">
        <f t="shared" si="351"/>
        <v>1202.2296563037953</v>
      </c>
      <c r="Z296" s="1102">
        <f t="shared" si="352"/>
        <v>15.044511112799997</v>
      </c>
      <c r="AA296" s="1103">
        <f t="shared" si="353"/>
        <v>7189.7116277318937</v>
      </c>
      <c r="AB296" s="1101">
        <f t="shared" si="354"/>
        <v>7289.7126232644996</v>
      </c>
      <c r="AC296" s="1104">
        <f t="shared" si="355"/>
        <v>8.4000000000000005E-2</v>
      </c>
      <c r="AD296" s="1105">
        <f t="shared" si="356"/>
        <v>-1.6087500000000001E-2</v>
      </c>
      <c r="AE296" s="1128">
        <f t="shared" si="357"/>
        <v>16.776783876811592</v>
      </c>
      <c r="AF296" s="1130">
        <f t="shared" si="358"/>
        <v>0</v>
      </c>
      <c r="AG296" s="420">
        <f t="shared" si="359"/>
        <v>0</v>
      </c>
      <c r="AH296" s="420">
        <f t="shared" si="360"/>
        <v>0</v>
      </c>
      <c r="AI296" s="1097">
        <f t="shared" si="361"/>
        <v>0</v>
      </c>
      <c r="AJ296" s="420">
        <f t="shared" si="362"/>
        <v>0</v>
      </c>
      <c r="AK296" s="518">
        <f t="shared" si="363"/>
        <v>0</v>
      </c>
      <c r="AL296" s="1106">
        <f>IF($P296="","N/A",(IF($P296=-1,INDEX('卡片raw data'!S:S,MATCH($D296,'卡片raw data'!$F:$F,)),0)+IF($P296=0,INDEX('卡片raw data'!V:V,MATCH($D296,'卡片raw data'!$F:$F,)),0)+IF($P296=1,INDEX('卡片raw data'!Y:Y,MATCH($D296,'卡片raw data'!$F:$F,)),0)+IF($P296=2,INDEX('卡片raw data'!AB:AB,MATCH($D296,'卡片raw data'!$F:$F,)),0)+IF($P296=3,INDEX('卡片raw data'!AE:AE,MATCH($D296,'卡片raw data'!$F:$F,)),0)+IF($P296=4,INDEX('卡片raw data'!AH:AH,MATCH($D296,'卡片raw data'!$F:$F,)),0)+IF($P296=5,INDEX('卡片raw data'!AK:AK,MATCH($D296,'卡片raw data'!$F:$F,)),0)+INDEX('卡片raw data'!S:S,MATCH($D296,'卡片raw data'!$F:$F,))*(IF($F296="UR",0.04,0.033))*(IF($F296="UR",INDEX(绊状态确认!$S:$S,MATCH($G296,绊状态确认!$B:$B,))/2-40)+IF($F296="SR",INDEX(绊状态确认!$R:$R,MATCH($G296,绊状态确认!$B:$B,))/4-15))+IF($F296="R",INDEX(绊状态确认!$Q:$Q,MATCH($G296,绊状态确认!$B:$B,))/6-40/6)))*(INDEX(绊状态确认!$H:$H,MATCH($G296,绊状态确认!$B:$B,))+INDEX(绊状态确认!J:J,MATCH($G296,绊状态确认!$B:$B,)))</f>
        <v>11373.636671999999</v>
      </c>
      <c r="AM296" s="1106">
        <f>IF($P296="","N/A",(IF($P296=-1,INDEX('卡片raw data'!T:T,MATCH($D296,'卡片raw data'!$F:$F,)),0)+IF($P296=0,INDEX('卡片raw data'!W:W,MATCH($D296,'卡片raw data'!$F:$F,)),0)+IF($P296=1,INDEX('卡片raw data'!Z:Z,MATCH($D296,'卡片raw data'!$F:$F,)),0)+IF($P296=2,INDEX('卡片raw data'!AC:AC,MATCH($D296,'卡片raw data'!$F:$F,)),0)+IF($P296=3,INDEX('卡片raw data'!AF:AF,MATCH($D296,'卡片raw data'!$F:$F,)),0)+IF($P296=4,INDEX('卡片raw data'!AI:AI,MATCH($D296,'卡片raw data'!$F:$F,)),0)+IF($P296=5,INDEX('卡片raw data'!AL:AL,MATCH($D296,'卡片raw data'!$F:$F,)),0)+INDEX('卡片raw data'!T:T,MATCH($D296,'卡片raw data'!$F:$F,))*(IF($F296="UR",0.04,0.033))*(IF($F296="UR",INDEX(绊状态确认!$S:$S,MATCH($G296,绊状态确认!$B:$B,))/2-40)+IF($F296="SR",INDEX(绊状态确认!$R:$R,MATCH($G296,绊状态确认!$B:$B,))/4-15))+IF($F296="R",INDEX(绊状态确认!$Q:$Q,MATCH($G296,绊状态确认!$B:$B,))/6-40/6)))*(INDEX(绊状态确认!$H:$H,MATCH($G296,绊状态确认!$B:$B,))+INDEX(绊状态确认!K:K,MATCH($G296,绊状态确认!$B:$B,)))</f>
        <v>7473.5118719999982</v>
      </c>
      <c r="AN296" s="1106">
        <f>IF($P296="","N/A",(IF($P296=-1,INDEX('卡片raw data'!U:U,MATCH($D296,'卡片raw data'!$F:$F,)),0)+IF($P296=0,INDEX('卡片raw data'!X:X,MATCH($D296,'卡片raw data'!$F:$F,)),0)+IF($P296=1,INDEX('卡片raw data'!AA:AA,MATCH($D296,'卡片raw data'!$F:$F,)),0)+IF($P296=2,INDEX('卡片raw data'!AD:AD,MATCH($D296,'卡片raw data'!$F:$F,)),0)+IF($P296=3,INDEX('卡片raw data'!AG:AG,MATCH($D296,'卡片raw data'!$F:$F,)),0)+IF($P296=4,INDEX('卡片raw data'!AJ:AJ,MATCH($D296,'卡片raw data'!$F:$F,)),0)+IF($P296=5,INDEX('卡片raw data'!AM:AM,MATCH($D296,'卡片raw data'!$F:$F,)),0)+INDEX('卡片raw data'!U:U,MATCH($D296,'卡片raw data'!$F:$F,))*(IF($F296="UR",0.04,0.033))*(IF($F296="UR",INDEX(绊状态确认!$S:$S,MATCH($G296,绊状态确认!$B:$B,))/2-40)+IF($F296="SR",INDEX(绊状态确认!$R:$R,MATCH($G296,绊状态确认!$B:$B,))/4-15))+IF($F296="R",INDEX(绊状态确认!$Q:$Q,MATCH($G296,绊状态确认!$B:$B,))/6-40/6)))*(INDEX(绊状态确认!$H:$H,MATCH($G296,绊状态确认!$B:$B,))+INDEX(绊状态确认!L:L,MATCH($G296,绊状态确认!$B:$B,)))</f>
        <v>13649.254943999997</v>
      </c>
      <c r="AO296" s="1107">
        <f t="shared" si="364"/>
        <v>1</v>
      </c>
      <c r="AP296" s="1131">
        <f>1+(INDEX(绊状态确认!$T:$T,MATCH($G296,绊状态确认!$B:$B,))+0.2)*$AO296</f>
        <v>1.3</v>
      </c>
      <c r="AQ296" s="1108">
        <f t="shared" si="365"/>
        <v>33105.796263999997</v>
      </c>
      <c r="AR296" s="1097">
        <f>(AM296*(1+$EX$9)+$EX$35)*(1+(INDEX(绊状态确认!$T:$T,MATCH($G296,绊状态确认!$B:$B,))+0.2)*AO296)*IF(J296=$FF$17,1+$FE$17,1)*IF(I296=$FF$14,1+$FE$14,1)*(1+$FE$15)</f>
        <v>12905.343705279998</v>
      </c>
      <c r="AS296" s="1097">
        <f>(AN296*(1+$EX$10)+$EX$36)*(1+(INDEX(绊状态确认!$T:$T,MATCH($G296,绊状态确认!$B:$B,))+0.2)*AO296)*IF(J296=$FF$17,1+$FE$17,1)*IF(I296=$FF$14,1+$FE$14,1)*(1+$FE$15)</f>
        <v>24461.636141279992</v>
      </c>
      <c r="AT296" s="1093">
        <f>IF(AND(INDEX('卡片raw data'!AK:AK,MATCH($D296,'卡片raw data'!$F:$F,))&lt;INDEX('卡片raw data'!AM:AM,MATCH($D296,'卡片raw data'!$F:$F,)),INDEX('卡片raw data'!AL:AL,MATCH($D296,'卡片raw data'!$F:$F,))&lt;INDEX('卡片raw data'!AM:AM,MATCH($D296,'卡片raw data'!$F:$F,))),1,0)</f>
        <v>1</v>
      </c>
      <c r="AU296" s="1098">
        <f>MIN(AT296*0.15+AS296*0.00003+INDEX(绊状态确认!M:M,MATCH($G296,绊状态确认!$B:$B,)),1)</f>
        <v>0.91384908423839983</v>
      </c>
      <c r="AV296" s="1109">
        <f>(INDEX(绊状态确认!$N:$N,MATCH($G296,绊状态确认!$B:$B,))+1.5)*$EW$21</f>
        <v>2.6599999999999997</v>
      </c>
      <c r="AW296" s="1101">
        <f t="shared" si="366"/>
        <v>43275.570536992302</v>
      </c>
      <c r="AX296" s="1097">
        <f t="shared" si="367"/>
        <v>1107.2138041222572</v>
      </c>
      <c r="AY296" s="1110">
        <f t="shared" si="368"/>
        <v>44382.784341114559</v>
      </c>
      <c r="AZ296" s="429">
        <f t="shared" si="369"/>
        <v>24778.591510399998</v>
      </c>
      <c r="BA296" s="431">
        <f t="shared" si="370"/>
        <v>29734.309812479994</v>
      </c>
      <c r="BB296" s="1097">
        <f>(AM296*(1+$FB$9)+$FB$35)*(1+(INDEX(绊状态确认!$T:$T,MATCH($G296,绊状态确认!$B:$B,))+0.2)*AO296)*IF(J296=$FF$17,1+$FE$17,1)*IF(I296=$FF$14,1+$FE$14,1)*(1+$FE$15)</f>
        <v>12905.343705279998</v>
      </c>
      <c r="BC296" s="1097">
        <f>(AN296*(1+$FB$10)+$FB$36)*(1+(INDEX(绊状态确认!$T:$T,MATCH($G296,绊状态确认!$B:$B,))+0.2)*AO296)*IF(J296=$FF$17,1+$FE$17,1)*IF(I296=$FF$14,1+$FE$14,1)*(1+$FE$15)</f>
        <v>24461.636141279992</v>
      </c>
      <c r="BD296" s="1104">
        <f>MIN(AT296*0.15+BC296*0.00003+INDEX(绊状态确认!M:M,MATCH($G296,绊状态确认!$B:$B,)),1)</f>
        <v>0.91384908423839983</v>
      </c>
      <c r="BE296" s="432">
        <f>(INDEX(绊状态确认!$N:$N,MATCH($G296,绊状态确认!$B:$B,))+1.5)</f>
        <v>1.9</v>
      </c>
      <c r="BF296" s="1139">
        <f t="array" ref="BF296">SUMPRODUCT(IF(AZ296*AP296*$FI$16:$FI$23*$FA$22&gt;=$FI$24,$FI$24,AZ296*AP296*$FI$16:$FI$23*$FA$22),$FJ$16:$FJ$23)</f>
        <v>49164.306411116799</v>
      </c>
      <c r="BG296" s="1125">
        <f t="array" ref="BG296">SUMPRODUCT(IF(BE296*AZ296*AP296*$FI$16:$FI$23*$FA$22&gt;=$FI$24,$FI$24,BE296*AZ296*AP296*$FI$16:$FI$23*$FA$22),$FJ$16:$FJ$23)</f>
        <v>60000</v>
      </c>
      <c r="BH296" s="1110">
        <f t="shared" si="371"/>
        <v>19688.831691468538</v>
      </c>
      <c r="BI296" s="1111">
        <f>IF(O296="vo",$EW$26/$EW$24*0.05,0)+IF(O296="sk",-$EW$26/$EW$24*(0.05-INDEX(绊状态确认!W:W,MATCH($G296,绊状态确认!$B:$B,)))+0.05*$EW$28,0)+IF(O296="sp",0.05*$EW$32*$EW$30*(1-$EW$33)-(0.05-INDEX(绊状态确认!V:V,MATCH($G296,绊状态确认!$B:$B,)))*$EW$28,0)+IF(O296="gd",-(0.05-INDEX(绊状态确认!X:X,MATCH($G296,绊状态确认!$B:$B,)))*$EW$32*$EW$30*(1-$EW$33),0)</f>
        <v>19.999999999999886</v>
      </c>
      <c r="BJ296" s="1097">
        <f>IF(O296="vo",0.05*(1-$FI$26)*$FA$24,0)+IF(O296="sk",-(0.05-INDEX(绊状态确认!W:W,MATCH($G296,绊状态确认!$B:$B,)))*(1-$FI$26)*$FA$24+0.05*$FA$26,0)+IF(O296="sp",0.05*$FA$32*$FA$27*(1-$FA$33)/$FA$30+0.05*$FA$29/$FA$69*$FA$27*(1-$FA$33)-(0.05-INDEX(绊状态确认!V:V,MATCH($G296,绊状态确认!$B:$B,)))*$FA$26,0)+IF(O296="gd",-(0.05-INDEX(绊状态确认!X:X,MATCH($G296,绊状态确认!$B:$B,)))*$FA$32*$FA$27*(1-$FA$33)/$FA$30-(0.05-INDEX(绊状态确认!X:X,MATCH($G296,绊状态确认!$B:$B,)))*$FA$29/$FA$69*$FA$27*(1-$FA$33),0)</f>
        <v>545.83333333333326</v>
      </c>
      <c r="BK296" s="1110">
        <f>IF(O296="vo",$EW$26/$EW$24*0.05+$EW$26*(-HP($EW$62,$EW$65,$EW$64)+HP($EW$62,$EW$65,(1.05-INDEX(绊状态确认!U:U,MATCH($G296,绊状态确认!$B:$B,)))*$EW$64)),0)+IF(O296="sk",-$EW$26/$EW$24*(0.05-INDEX(绊状态确认!W:W,MATCH($G296,绊状态确认!$B:$B,)))+0.05*$EW$29,0)+IF(O296="sp",0.05*$EW$32*$EW$30*(1-$EW$33)-(0.05-INDEX(绊状态确认!V:V,MATCH($G296,绊状态确认!$B:$B,)))*$EW$29,0)+IF(O296="gd",-(0.05-INDEX(绊状态确认!X:X,MATCH($G296,绊状态确认!$B:$B,)))*$EW$32*$EW$30*(1-$EW$33)+$EW$26*(-HP($EW$62,$EW$65,$EW$64)+HP($EW$62,$EW$65,0.95*$EW$64)),0)</f>
        <v>-1780.0000000000005</v>
      </c>
      <c r="BL296" s="1111">
        <f t="shared" si="372"/>
        <v>0</v>
      </c>
      <c r="BM296" s="1110">
        <f t="shared" si="373"/>
        <v>0</v>
      </c>
      <c r="BN296" s="1113">
        <f t="shared" si="374"/>
        <v>3</v>
      </c>
      <c r="BO296" s="1097">
        <f t="shared" si="375"/>
        <v>4507.7214871259994</v>
      </c>
      <c r="BP296" s="1100">
        <f t="shared" si="376"/>
        <v>221.34103209030098</v>
      </c>
      <c r="BQ296" s="1113" t="s">
        <v>845</v>
      </c>
      <c r="BR296" s="1124" t="s">
        <v>171</v>
      </c>
      <c r="BS296" s="1098">
        <f>IF($P296="","N/A",IF($P296=-1,INDEX('卡片raw data'!AX:AX,MATCH($D296,'卡片raw data'!$F:$F,)),0)+IF($L296="party卡",IF($P296=5,INDEX('卡片raw data'!BD:BD,MATCH($D296,'卡片raw data'!$F:$F,)),IF($P296&gt;=3,INDEX('卡片raw data'!BC:BC,MATCH($D296,'卡片raw data'!$F:$F,)),INDEX('卡片raw data'!BB:BB,MATCH($D296,'卡片raw data'!$F:$F,)))),IF(OR(AND($F296="UR",$P296=0),AND($F296="SR",$P296&gt;=0,$P296&lt;=2),AND($F296="R",$P296&gt;=0,$P296&lt;4)),INDEX('卡片raw data'!AZ:AZ,MATCH($D296,'卡片raw data'!$F:$F,)),0)+IF(OR(AND($F296="UR",$P296&gt;=1,$P296&lt;=4),AND($F296="SR",$P296&lt;=4,$P296&gt;=3),AND($F296="R",$P296=4)),INDEX('卡片raw data'!BA:BA,MATCH($D296,'卡片raw data'!$F:$F,)),0)+IF($P296=5,INDEX('卡片raw data'!BB:BB,MATCH($D296,'卡片raw data'!$F:$F,)),0)))</f>
        <v>5.1999999999999998E-2</v>
      </c>
      <c r="BT296" s="1101">
        <f t="shared" si="377"/>
        <v>2604.4613036728001</v>
      </c>
      <c r="BU296" s="1097">
        <f t="shared" si="378"/>
        <v>111.90018844565216</v>
      </c>
      <c r="BV296" s="1097">
        <f t="shared" si="379"/>
        <v>1302.2306518363998</v>
      </c>
      <c r="BW296" s="1112">
        <f t="shared" si="380"/>
        <v>0</v>
      </c>
      <c r="BX296" s="1100">
        <f t="shared" si="381"/>
        <v>2604.4613036728001</v>
      </c>
      <c r="BY296" s="1110">
        <f t="shared" si="382"/>
        <v>1302.2306518363998</v>
      </c>
      <c r="BZ296" s="1113" t="s">
        <v>846</v>
      </c>
      <c r="CA296" s="1124" t="s">
        <v>171</v>
      </c>
      <c r="CB296" s="1098">
        <f>IF($P296="","N/A",IF($P296=-1,INDEX('卡片raw data'!BE:BE,MATCH($D296,'卡片raw data'!$F:$F,)),0)+IF($L296="party卡",IF($P296=5,INDEX('卡片raw data'!BK:BK,MATCH($D296,'卡片raw data'!$F:$F,)),IF($P296&gt;=3,INDEX('卡片raw data'!BJ:BJ,MATCH($D296,'卡片raw data'!$F:$F,)),INDEX('卡片raw data'!BI:BI,MATCH($D296,'卡片raw data'!$F:$F,)))),IF(OR(AND($F296="UR",$P296=0),AND($F296="SR",$P296&gt;=0,$P296&lt;=2),AND($F296="R",$P296&gt;=0,$P296&lt;4)),INDEX('卡片raw data'!BG:BG,MATCH($D296,'卡片raw data'!$F:$F,)),0)+IF(OR(AND($F296="UR",$P296&gt;=1,$P296&lt;=4),AND($F296="SR",$P296&lt;=4,$P296&gt;=3),AND($F296="R",$P296=4)),INDEX('卡片raw data'!BH:BH,MATCH($D296,'卡片raw data'!$F:$F,)),0)+IF($P296=5,INDEX('卡片raw data'!BI:BI,MATCH($D296,'卡片raw data'!$F:$F,)),0)))</f>
        <v>2.5999999999999999E-2</v>
      </c>
      <c r="CC296" s="1101">
        <f t="shared" si="383"/>
        <v>0</v>
      </c>
      <c r="CD296" s="1097">
        <f>IF(BZ296="ap",CB296*(1-$FI$26)*$FB$5/$FB$11*(+IF(CA296="全员",$FA$24,0)+IF(CA296="同作战",$FA$24,0)+IF(CA296="仲间",$FA$24*2/3,0)+IF(CA296="同属性",$FA$24*$FA$37/3,0)+IF(CA296="同年级",$FA$24*$FA$40/3,0)+IF(CA296="同学校",$FA$24*$FA$43/3,0)+IF(CA296="同小队",$FA$24*$FA$46/3,0)+IF(CA296="同type",$FA$24*INDEX($FB$49:$FB$52,MATCH(X296,$FA$49:$FA$52,))/3,0)+IF(CA296="自身",#REF!/3,0)),0)+IF(BZ296="te",CB296*(1-$FI$27)*($FA$20-1)*$FB$7/$FB$13*(+IF(CA296="全员",$FA$19*$FA$24/(1+($FA$20-1)*$FA$19),0)+IF(CA296="同作战",$FA$19*$FA$24/(1+($FA$20-1)*$FA$19),0)+IF(CA296="仲间",$FA$19*$FA$24*2/3/(1+($FA$20-1)*$FA$19),0)+IF(CA296="同属性",$FA$19*$FA$24*$FA$37/3/(1+($FA$20-1)*$FA$19),0)+IF(CA296="同年级",$FA$19*$FA$24*$FA$40/3/(1+($FA$20-1)*$FA$19),0)+IF(CA296="同学校",$FA$19*$FA$24*$FA$43/3/(1+($FA$20-1)*$FA$19),0)+IF(CA296="同小队",$FA$19*$FA$24*$FA$46/3/(1+($FA$20-1)*$FA$19),0)+IF(CA296="同type",$FA$19*$FA$24*INDEX($FB$49:$FB$52,MATCH(X296,$FA$49:$FA$52,))/3/(1+($FA$20-1)*$FA$19),0)+IF(CA296="自身",$FA$19*#REF!/3/(1+(BH296-1)*$BD296),0)),0)</f>
        <v>0</v>
      </c>
      <c r="CE296" s="1097">
        <f t="shared" si="384"/>
        <v>0</v>
      </c>
      <c r="CF296" s="1112">
        <f t="shared" si="385"/>
        <v>1.217357142857143</v>
      </c>
      <c r="CG296" s="1100">
        <f t="shared" si="386"/>
        <v>95.01585218153852</v>
      </c>
      <c r="CH296" s="1110">
        <f t="shared" si="387"/>
        <v>95.01585218153852</v>
      </c>
      <c r="CI296" s="1113" t="s">
        <v>160</v>
      </c>
      <c r="CJ296" s="1114">
        <v>1</v>
      </c>
      <c r="CK296" s="1115" t="s">
        <v>152</v>
      </c>
      <c r="CL296" s="1115" t="s">
        <v>1940</v>
      </c>
      <c r="CM296" s="1119">
        <v>7.0000000000000007E-2</v>
      </c>
      <c r="CN296" s="1115"/>
      <c r="CO296" s="1092"/>
      <c r="CP296" s="1116">
        <f t="shared" si="388"/>
        <v>161.39075678699999</v>
      </c>
      <c r="CQ296" s="1116">
        <f t="shared" si="389"/>
        <v>300.64691032618663</v>
      </c>
      <c r="CR296" s="1116">
        <f t="shared" si="390"/>
        <v>161.39075678699999</v>
      </c>
      <c r="CS296" s="1118">
        <f t="shared" si="391"/>
        <v>0</v>
      </c>
      <c r="CT296" s="1109">
        <f t="shared" si="392"/>
        <v>0</v>
      </c>
      <c r="CU296" s="1101">
        <f t="shared" si="393"/>
        <v>177.5298324657</v>
      </c>
      <c r="CV296" s="1108">
        <f t="shared" si="394"/>
        <v>300.64691032618663</v>
      </c>
      <c r="CW296" s="1097">
        <f t="shared" si="395"/>
        <v>177.5298324657</v>
      </c>
      <c r="CX296" s="1097">
        <f t="shared" si="396"/>
        <v>177.5298324657</v>
      </c>
      <c r="CY296" s="1110">
        <f t="shared" si="397"/>
        <v>177.5298324657</v>
      </c>
      <c r="CZ296" s="437"/>
      <c r="DA296" s="438"/>
      <c r="DB296" s="439" t="s">
        <v>569</v>
      </c>
      <c r="DC296" s="439"/>
      <c r="DD296" s="443"/>
      <c r="DE296" s="411"/>
      <c r="DF296" s="411"/>
      <c r="DG296" s="1116">
        <f t="shared" si="398"/>
        <v>0</v>
      </c>
      <c r="DH296" s="1116">
        <f t="shared" si="399"/>
        <v>0</v>
      </c>
      <c r="DI296" s="1116">
        <f t="shared" si="400"/>
        <v>0</v>
      </c>
      <c r="DJ296" s="442">
        <f t="shared" si="401"/>
        <v>0</v>
      </c>
      <c r="DK296" s="1109">
        <f t="shared" si="402"/>
        <v>0</v>
      </c>
      <c r="DL296" s="1101">
        <f t="shared" si="403"/>
        <v>0</v>
      </c>
      <c r="DM296" s="1097">
        <f t="shared" si="404"/>
        <v>0</v>
      </c>
      <c r="DN296" s="1097">
        <f t="shared" si="405"/>
        <v>0</v>
      </c>
      <c r="DO296" s="1097">
        <f t="shared" si="406"/>
        <v>0</v>
      </c>
      <c r="DP296" s="1110">
        <f t="shared" si="407"/>
        <v>0</v>
      </c>
      <c r="DQ296" s="1113" t="s">
        <v>848</v>
      </c>
      <c r="DR296" s="1120">
        <f t="shared" si="408"/>
        <v>0.33</v>
      </c>
      <c r="DS296" s="1124">
        <v>10</v>
      </c>
      <c r="DT296" s="1093" t="s">
        <v>171</v>
      </c>
      <c r="DU296" s="1093" t="s">
        <v>544</v>
      </c>
      <c r="DV296" s="1098">
        <f>IF($P296="","N/A",IF(P296=-1,INDEX('卡片raw data'!AN:AN,MATCH(D296,'卡片raw data'!$F:$F,)),0)+IF(AND(L296&lt;&gt;"party卡",P296&lt;=2,P296&gt;=0),INDEX('卡片raw data'!AP:AP,MATCH(D296,'卡片raw data'!$F:$F,)),0)+IF(OR(AND(L296="party卡",P296&lt;=1),AND(P296&lt;=4,L296&lt;&gt;"party卡",P296&gt;=3)),INDEX('卡片raw data'!AQ:AQ,MATCH(D296,'卡片raw data'!$F:$F,)),0)+IF(OR(P296=5,AND(L296="party卡",P296&gt;=2)),INDEX('卡片raw data'!AR:AR,MATCH(D296,'卡片raw data'!$F:$F,)),0))</f>
        <v>6.4000000000000001E-2</v>
      </c>
      <c r="DW296" s="1098">
        <f t="shared" si="409"/>
        <v>0.33</v>
      </c>
      <c r="DX296" s="1098">
        <f t="shared" si="410"/>
        <v>0.33</v>
      </c>
      <c r="DY296" s="1098">
        <f t="shared" si="411"/>
        <v>4.6933333333333334E-2</v>
      </c>
      <c r="DZ296" s="1098">
        <f t="shared" si="412"/>
        <v>3.5522666666666668E-2</v>
      </c>
      <c r="EA296" s="1098">
        <f t="shared" si="413"/>
        <v>0</v>
      </c>
      <c r="EB296" s="1121">
        <f t="shared" si="414"/>
        <v>5.8528708333333315</v>
      </c>
      <c r="EC296" s="1101">
        <f t="shared" si="415"/>
        <v>610.13333333333333</v>
      </c>
      <c r="ED296" s="1097">
        <f t="shared" si="416"/>
        <v>354.04257777777769</v>
      </c>
      <c r="EE296" s="1110">
        <f t="shared" si="417"/>
        <v>610.13333333333333</v>
      </c>
      <c r="EF296" s="1092" t="s">
        <v>569</v>
      </c>
      <c r="EG296" s="1120">
        <f t="shared" si="418"/>
        <v>0.33</v>
      </c>
      <c r="EH296" s="1124"/>
      <c r="EI296" s="1093"/>
      <c r="EJ296" s="1093"/>
      <c r="EK296" s="1097">
        <f>IF($P296="","N/A",IF(P296=-1,INDEX('卡片raw data'!AS:AS,MATCH(D296,'卡片raw data'!$F:$F,)),0)+IF(AND(L296&lt;&gt;"party卡",P296&lt;=2,P296&gt;=0),INDEX('卡片raw data'!AU:AU,MATCH(D296,'卡片raw data'!$F:$F,)),0)+IF(OR(AND(L296="party卡",P296&lt;=1),AND(P296&lt;=4,L296&lt;&gt;"party卡",P296&gt;=3)),INDEX('卡片raw data'!AV:AV,MATCH(D296,'卡片raw data'!$F:$F,)),0)+IF(OR(P296=5,AND(L296="party卡",P296&gt;=2)),INDEX('卡片raw data'!AW:AW,MATCH(D296,'卡片raw data'!$F:$F,)),0))</f>
        <v>0</v>
      </c>
      <c r="EL296" s="1098">
        <f t="shared" si="419"/>
        <v>0.33</v>
      </c>
      <c r="EM296" s="1098">
        <f t="shared" si="420"/>
        <v>0.33</v>
      </c>
      <c r="EN296" s="1125">
        <f t="shared" si="421"/>
        <v>0</v>
      </c>
      <c r="EO296" s="1125">
        <f t="shared" si="422"/>
        <v>0</v>
      </c>
      <c r="EP296" s="1098">
        <f t="shared" si="423"/>
        <v>0</v>
      </c>
      <c r="EQ296" s="1121">
        <f t="shared" si="424"/>
        <v>0</v>
      </c>
      <c r="ER296" s="1101">
        <f t="shared" si="425"/>
        <v>0</v>
      </c>
      <c r="ES296" s="1097">
        <f t="shared" si="426"/>
        <v>0</v>
      </c>
      <c r="ET296" s="1122">
        <f t="shared" si="427"/>
        <v>0</v>
      </c>
    </row>
    <row r="297" spans="2:150" ht="16.5" customHeight="1">
      <c r="B297" s="1123" t="str">
        <f>INDEX('卡片raw data'!B:B,MATCH($D297,'卡片raw data'!$F:$F,))</f>
        <v>二单千</v>
      </c>
      <c r="C297" s="449" t="s">
        <v>579</v>
      </c>
      <c r="D297" s="408">
        <v>294</v>
      </c>
      <c r="E297" s="1090">
        <v>301012001</v>
      </c>
      <c r="F297" s="1090" t="str">
        <f>INDEX('卡片raw data'!C:C,MATCH($D297,'卡片raw data'!$F:$F,))</f>
        <v>SR</v>
      </c>
      <c r="G297" s="1094" t="s">
        <v>843</v>
      </c>
      <c r="H297" s="411">
        <f>IFERROR(INDEX(绊状态确认!C:C,MATCH($G297,绊状态确认!$B:$B,)),"")</f>
        <v>101</v>
      </c>
      <c r="I297" s="450" t="str">
        <f>IFERROR(INDEX(绊状态确认!D:D,MATCH($G297,绊状态确认!$B:$B,)),"")</f>
        <v>水</v>
      </c>
      <c r="J297" s="450" t="str">
        <f>IFERROR(INDEX(绊状态确认!E:E,MATCH($G297,绊状态确认!$B:$B,)),"")</f>
        <v>2年级</v>
      </c>
      <c r="K297" s="451" t="str">
        <f>IFERROR(INDEX(绊状态确认!F:F,MATCH($G297,绊状态确认!$B:$B,)),"")</f>
        <v>CYaRon!</v>
      </c>
      <c r="L297" s="1094" t="str">
        <f>INDEX('卡片raw data'!E:E,MATCH($D297,'卡片raw data'!$F:$F,))</f>
        <v>卡池卡</v>
      </c>
      <c r="M297" s="415">
        <v>44057</v>
      </c>
      <c r="N297" s="416">
        <v>21.5</v>
      </c>
      <c r="O297" s="1091" t="str">
        <f>INDEX('卡片raw data'!D:D,MATCH($D297,'卡片raw data'!$F:$F,))</f>
        <v>vo</v>
      </c>
      <c r="P297" s="417">
        <v>5</v>
      </c>
      <c r="Q297" s="1095">
        <f t="shared" si="343"/>
        <v>38533.262445616027</v>
      </c>
      <c r="R297" s="1096">
        <f t="shared" si="344"/>
        <v>0.44700000000000001</v>
      </c>
      <c r="S297" s="1097">
        <f t="shared" si="345"/>
        <v>16489.054463520271</v>
      </c>
      <c r="T297" s="1098">
        <f t="shared" si="346"/>
        <v>0.82399999999999995</v>
      </c>
      <c r="U297" s="1099">
        <f t="shared" si="347"/>
        <v>-13.784116974417143</v>
      </c>
      <c r="V297" s="1100">
        <f t="shared" si="348"/>
        <v>38121.91136343126</v>
      </c>
      <c r="W297" s="1101">
        <f t="shared" si="349"/>
        <v>4665.5588183642058</v>
      </c>
      <c r="X297" s="1096">
        <f t="shared" si="350"/>
        <v>5.3999999999999999E-2</v>
      </c>
      <c r="Y297" s="1097">
        <f t="shared" si="351"/>
        <v>893.31736805693617</v>
      </c>
      <c r="Z297" s="1102">
        <f t="shared" si="352"/>
        <v>11.215883025582857</v>
      </c>
      <c r="AA297" s="1103">
        <f t="shared" si="353"/>
        <v>5558.8761864211419</v>
      </c>
      <c r="AB297" s="1101">
        <f t="shared" si="354"/>
        <v>8421.9933909692063</v>
      </c>
      <c r="AC297" s="1104">
        <f t="shared" si="355"/>
        <v>9.7000000000000003E-2</v>
      </c>
      <c r="AD297" s="1105">
        <f t="shared" si="356"/>
        <v>-3.8207812500000026E-3</v>
      </c>
      <c r="AE297" s="1128">
        <f t="shared" si="357"/>
        <v>-12.27536231884058</v>
      </c>
      <c r="AF297" s="1130">
        <f t="shared" si="358"/>
        <v>0</v>
      </c>
      <c r="AG297" s="420">
        <f t="shared" si="359"/>
        <v>0</v>
      </c>
      <c r="AH297" s="420">
        <f t="shared" si="360"/>
        <v>0</v>
      </c>
      <c r="AI297" s="1097">
        <f t="shared" si="361"/>
        <v>0</v>
      </c>
      <c r="AJ297" s="420">
        <f t="shared" si="362"/>
        <v>0</v>
      </c>
      <c r="AK297" s="518">
        <f t="shared" si="363"/>
        <v>0</v>
      </c>
      <c r="AL297" s="1106">
        <f>IF($P297="","N/A",(IF($P297=-1,INDEX('卡片raw data'!S:S,MATCH($D297,'卡片raw data'!$F:$F,)),0)+IF($P297=0,INDEX('卡片raw data'!V:V,MATCH($D297,'卡片raw data'!$F:$F,)),0)+IF($P297=1,INDEX('卡片raw data'!Y:Y,MATCH($D297,'卡片raw data'!$F:$F,)),0)+IF($P297=2,INDEX('卡片raw data'!AB:AB,MATCH($D297,'卡片raw data'!$F:$F,)),0)+IF($P297=3,INDEX('卡片raw data'!AE:AE,MATCH($D297,'卡片raw data'!$F:$F,)),0)+IF($P297=4,INDEX('卡片raw data'!AH:AH,MATCH($D297,'卡片raw data'!$F:$F,)),0)+IF($P297=5,INDEX('卡片raw data'!AK:AK,MATCH($D297,'卡片raw data'!$F:$F,)),0)+INDEX('卡片raw data'!S:S,MATCH($D297,'卡片raw data'!$F:$F,))*(IF($F297="UR",0.04,0.033))*(IF($F297="UR",INDEX(绊状态确认!$S:$S,MATCH($G297,绊状态确认!$B:$B,))/2-40)+IF($F297="SR",INDEX(绊状态确认!$R:$R,MATCH($G297,绊状态确认!$B:$B,))/4-15))+IF($F297="R",INDEX(绊状态确认!$Q:$Q,MATCH($G297,绊状态确认!$B:$B,))/6-40/6)))*(INDEX(绊状态确认!$H:$H,MATCH($G297,绊状态确认!$B:$B,))+INDEX(绊状态确认!J:J,MATCH($G297,绊状态确认!$B:$B,)))</f>
        <v>8128.9237535999991</v>
      </c>
      <c r="AM297" s="1106">
        <f>IF($P297="","N/A",(IF($P297=-1,INDEX('卡片raw data'!T:T,MATCH($D297,'卡片raw data'!$F:$F,)),0)+IF($P297=0,INDEX('卡片raw data'!W:W,MATCH($D297,'卡片raw data'!$F:$F,)),0)+IF($P297=1,INDEX('卡片raw data'!Z:Z,MATCH($D297,'卡片raw data'!$F:$F,)),0)+IF($P297=2,INDEX('卡片raw data'!AC:AC,MATCH($D297,'卡片raw data'!$F:$F,)),0)+IF($P297=3,INDEX('卡片raw data'!AF:AF,MATCH($D297,'卡片raw data'!$F:$F,)),0)+IF($P297=4,INDEX('卡片raw data'!AI:AI,MATCH($D297,'卡片raw data'!$F:$F,)),0)+IF($P297=5,INDEX('卡片raw data'!AL:AL,MATCH($D297,'卡片raw data'!$F:$F,)),0)+INDEX('卡片raw data'!T:T,MATCH($D297,'卡片raw data'!$F:$F,))*(IF($F297="UR",0.04,0.033))*(IF($F297="UR",INDEX(绊状态确认!$S:$S,MATCH($G297,绊状态确认!$B:$B,))/2-40)+IF($F297="SR",INDEX(绊状态确认!$R:$R,MATCH($G297,绊状态确认!$B:$B,))/4-15))+IF($F297="R",INDEX(绊状态确认!$Q:$Q,MATCH($G297,绊状态确认!$B:$B,))/6-40/6)))*(INDEX(绊状态确认!$H:$H,MATCH($G297,绊状态确认!$B:$B,))+INDEX(绊状态确认!K:K,MATCH($G297,绊状态确认!$B:$B,)))</f>
        <v>5688.0274655999992</v>
      </c>
      <c r="AN297" s="1106">
        <f>IF($P297="","N/A",(IF($P297=-1,INDEX('卡片raw data'!U:U,MATCH($D297,'卡片raw data'!$F:$F,)),0)+IF($P297=0,INDEX('卡片raw data'!X:X,MATCH($D297,'卡片raw data'!$F:$F,)),0)+IF($P297=1,INDEX('卡片raw data'!AA:AA,MATCH($D297,'卡片raw data'!$F:$F,)),0)+IF($P297=2,INDEX('卡片raw data'!AD:AD,MATCH($D297,'卡片raw data'!$F:$F,)),0)+IF($P297=3,INDEX('卡片raw data'!AG:AG,MATCH($D297,'卡片raw data'!$F:$F,)),0)+IF($P297=4,INDEX('卡片raw data'!AJ:AJ,MATCH($D297,'卡片raw data'!$F:$F,)),0)+IF($P297=5,INDEX('卡片raw data'!AM:AM,MATCH($D297,'卡片raw data'!$F:$F,)),0)+INDEX('卡片raw data'!U:U,MATCH($D297,'卡片raw data'!$F:$F,))*(IF($F297="UR",0.04,0.033))*(IF($F297="UR",INDEX(绊状态确认!$S:$S,MATCH($G297,绊状态确认!$B:$B,))/2-40)+IF($F297="SR",INDEX(绊状态确认!$R:$R,MATCH($G297,绊状态确认!$B:$B,))/4-15))+IF($F297="R",INDEX(绊状态确认!$Q:$Q,MATCH($G297,绊状态确认!$B:$B,))/6-40/6)))*(INDEX(绊状态确认!$H:$H,MATCH($G297,绊状态确认!$B:$B,))+INDEX(绊状态确认!L:L,MATCH($G297,绊状态确认!$B:$B,)))</f>
        <v>6502.4421623999997</v>
      </c>
      <c r="AO297" s="1107">
        <f t="shared" si="364"/>
        <v>1</v>
      </c>
      <c r="AP297" s="1131">
        <f>1+(INDEX(绊状态确认!$T:$T,MATCH($G297,绊状态确认!$B:$B,))+0.2)*$AO297</f>
        <v>1.3</v>
      </c>
      <c r="AQ297" s="1108">
        <f t="shared" si="365"/>
        <v>24588.424853199998</v>
      </c>
      <c r="AR297" s="1097">
        <f>(AM297*(1+$EX$9)+$EX$35)*(1+(INDEX(绊状态确认!$T:$T,MATCH($G297,绊状态确认!$B:$B,))+0.2)*AO297)*IF(J297=$FF$17,1+$FE$17,1)*IF(I297=$FF$14,1+$FE$14,1)</f>
        <v>10468.157490543999</v>
      </c>
      <c r="AS297" s="1097">
        <f>(AN297*(1+$EX$10)+$EX$36)*(1+(INDEX(绊状态确认!$T:$T,MATCH($G297,绊状态确认!$B:$B,))+0.2)*AO297)*IF(J297=$FF$17,1+$FE$17,1)*IF(I297=$FF$14,1+$FE$14,1)</f>
        <v>13777.151032787999</v>
      </c>
      <c r="AT297" s="1093">
        <f>IF(AND(INDEX('卡片raw data'!AK:AK,MATCH($D297,'卡片raw data'!$F:$F,))&lt;INDEX('卡片raw data'!AM:AM,MATCH($D297,'卡片raw data'!$F:$F,)),INDEX('卡片raw data'!AL:AL,MATCH($D297,'卡片raw data'!$F:$F,))&lt;INDEX('卡片raw data'!AM:AM,MATCH($D297,'卡片raw data'!$F:$F,))),1,0)</f>
        <v>0</v>
      </c>
      <c r="AU297" s="1098">
        <f>MIN(AT297*0.15+AS297*0.00003+INDEX(绊状态确认!M:M,MATCH($G297,绊状态确认!$B:$B,)),1)</f>
        <v>0.44331453098363999</v>
      </c>
      <c r="AV297" s="1109">
        <f>(INDEX(绊状态确认!$N:$N,MATCH($G297,绊状态确认!$B:$B,))+1.5)*$EW$21</f>
        <v>2.6599999999999997</v>
      </c>
      <c r="AW297" s="1101">
        <f t="shared" si="366"/>
        <v>22167.325901252963</v>
      </c>
      <c r="AX297" s="1097">
        <f t="shared" si="367"/>
        <v>893.3173680569364</v>
      </c>
      <c r="AY297" s="1110">
        <f t="shared" si="368"/>
        <v>23060.643269309901</v>
      </c>
      <c r="AZ297" s="429">
        <f t="shared" si="369"/>
        <v>18451.401319519999</v>
      </c>
      <c r="BA297" s="431">
        <f t="shared" si="370"/>
        <v>22141.681583423997</v>
      </c>
      <c r="BB297" s="1097">
        <f>(AM297*(1+$FB$9)+$FB$35)*(1+(INDEX(绊状态确认!$T:$T,MATCH($G297,绊状态确认!$B:$B,))+0.2)*AO297)*IF(J297=$FF$17,1+$FE$17,1)*IF(I297=$FF$14,1+$FE$14,1)*(1+$FE$15)</f>
        <v>10468.157490543999</v>
      </c>
      <c r="BC297" s="1097">
        <f>(AN297*(1+$FB$10)+$FB$36)*(1+(INDEX(绊状态确认!$T:$T,MATCH($G297,绊状态确认!$B:$B,))+0.2)*AO297)*IF(J297=$FF$17,1+$FE$17,1)*IF(I297=$FF$14,1+$FE$14,1)*(1+$FE$15)</f>
        <v>13777.151032787999</v>
      </c>
      <c r="BD297" s="1104">
        <f>MIN(AT297*0.15+BC297*0.00003+INDEX(绊状态确认!M:M,MATCH($G297,绊状态确认!$B:$B,)),1)</f>
        <v>0.44331453098363999</v>
      </c>
      <c r="BE297" s="432">
        <f>(INDEX(绊状态确认!$N:$N,MATCH($G297,绊状态确认!$B:$B,))+1.5)</f>
        <v>1.9</v>
      </c>
      <c r="BF297" s="1139">
        <f t="array" ref="BF297">SUMPRODUCT(IF(AZ297*AP297*$FI$16:$FI$23*$FA$22&gt;=$FI$24,$FI$24,AZ297*AP297*$FI$16:$FI$23*$FA$22),$FJ$16:$FJ$23)</f>
        <v>36699.837224525283</v>
      </c>
      <c r="BG297" s="1125">
        <f t="array" ref="BG297">SUMPRODUCT(IF(BE297*AZ297*AP297*$FI$16:$FI$23*$FA$22&gt;=$FI$24,$FI$24,BE297*AZ297*AP297*$FI$16:$FI$23*$FA$22),$FJ$16:$FJ$23)</f>
        <v>59393.740314803596</v>
      </c>
      <c r="BH297" s="1110">
        <f t="shared" si="371"/>
        <v>15586.791409726729</v>
      </c>
      <c r="BI297" s="1111">
        <f>IF(O297="vo",$EW$26/$EW$24*0.05,0)+IF(O297="sk",-$EW$26/$EW$24*(0.05-INDEX(绊状态确认!W:W,MATCH($G297,绊状态确认!$B:$B,)))+0.05*$EW$28,0)+IF(O297="sp",0.05*$EW$32*$EW$30*(1-$EW$33)-(0.05-INDEX(绊状态确认!V:V,MATCH($G297,绊状态确认!$B:$B,)))*$EW$28,0)+IF(O297="gd",-(0.05-INDEX(绊状态确认!X:X,MATCH($G297,绊状态确认!$B:$B,)))*$EW$32*$EW$30*(1-$EW$33),0)</f>
        <v>7726.3029277443748</v>
      </c>
      <c r="BJ297" s="1097">
        <f>IF(O297="vo",0.05*(1-$FI$26)*$FA$24,0)+IF(O297="sk",-(0.05-INDEX(绊状态确认!W:W,MATCH($G297,绊状态确认!$B:$B,)))*(1-$FI$26)*$FA$24+0.05*$FA$26,0)+IF(O297="sp",0.05*$FA$32*$FA$27*(1-$FA$33)/$FA$30+0.05*$FA$29/$FA$69*$FA$27*(1-$FA$33)-(0.05-INDEX(绊状态确认!V:V,MATCH($G297,绊状态确认!$B:$B,)))*$FA$26,0)+IF(O297="gd",-(0.05-INDEX(绊状态确认!X:X,MATCH($G297,绊状态确认!$B:$B,)))*$FA$32*$FA$27*(1-$FA$33)/$FA$30-(0.05-INDEX(绊状态确认!X:X,MATCH($G297,绊状态确认!$B:$B,)))*$FA$29/$FA$69*$FA$27*(1-$FA$33),0)</f>
        <v>393.93433687500004</v>
      </c>
      <c r="BK297" s="1110">
        <f>IF(O297="vo",$EW$26/$EW$24*0.05+$EW$26*(-HP($EW$62,$EW$65,$EW$64)+HP($EW$62,$EW$65,(1.05-INDEX(绊状态确认!U:U,MATCH($G297,绊状态确认!$B:$B,)))*$EW$64)),0)+IF(O297="sk",-$EW$26/$EW$24*(0.05-INDEX(绊状态确认!W:W,MATCH($G297,绊状态确认!$B:$B,)))+0.05*$EW$29,0)+IF(O297="sp",0.05*$EW$32*$EW$30*(1-$EW$33)-(0.05-INDEX(绊状态确认!V:V,MATCH($G297,绊状态确认!$B:$B,)))*$EW$29,0)+IF(O297="gd",-(0.05-INDEX(绊状态确认!X:X,MATCH($G297,绊状态确认!$B:$B,)))*$EW$32*$EW$30*(1-$EW$33)+$EW$26*(-HP($EW$62,$EW$65,$EW$64)+HP($EW$62,$EW$65,0.95*$EW$64)),0)</f>
        <v>6421.6344775026746</v>
      </c>
      <c r="BL297" s="1111">
        <f t="shared" si="372"/>
        <v>-1083.3333333333333</v>
      </c>
      <c r="BM297" s="1110">
        <f t="shared" si="373"/>
        <v>-830.55555555555543</v>
      </c>
      <c r="BN297" s="1113">
        <f t="shared" si="374"/>
        <v>3</v>
      </c>
      <c r="BO297" s="1097">
        <f t="shared" si="375"/>
        <v>4507.7214871259994</v>
      </c>
      <c r="BP297" s="1100">
        <f t="shared" si="376"/>
        <v>221.34103209030098</v>
      </c>
      <c r="BQ297" s="1113" t="s">
        <v>845</v>
      </c>
      <c r="BR297" s="1124" t="s">
        <v>168</v>
      </c>
      <c r="BS297" s="1098">
        <f>IF($P297="","N/A",IF($P297=-1,INDEX('卡片raw data'!AX:AX,MATCH($D297,'卡片raw data'!$F:$F,)),0)+IF($L297="party卡",IF($P297=5,INDEX('卡片raw data'!BD:BD,MATCH($D297,'卡片raw data'!$F:$F,)),IF($P297&gt;=3,INDEX('卡片raw data'!BC:BC,MATCH($D297,'卡片raw data'!$F:$F,)),INDEX('卡片raw data'!BB:BB,MATCH($D297,'卡片raw data'!$F:$F,)))),IF(OR(AND($F297="UR",$P297=0),AND($F297="SR",$P297&gt;=0,$P297&lt;=2),AND($F297="R",$P297&gt;=0,$P297&lt;4)),INDEX('卡片raw data'!AZ:AZ,MATCH($D297,'卡片raw data'!$F:$F,)),0)+IF(OR(AND($F297="UR",$P297&gt;=1,$P297&lt;=4),AND($F297="SR",$P297&lt;=4,$P297&gt;=3),AND($F297="R",$P297=4)),INDEX('卡片raw data'!BA:BA,MATCH($D297,'卡片raw data'!$F:$F,)),0)+IF($P297=5,INDEX('卡片raw data'!BB:BB,MATCH($D297,'卡片raw data'!$F:$F,)),0)))</f>
        <v>0.05</v>
      </c>
      <c r="BT297" s="1101">
        <f t="shared" si="377"/>
        <v>3756.4345726050001</v>
      </c>
      <c r="BU297" s="1097">
        <f t="shared" si="378"/>
        <v>184.45086007525089</v>
      </c>
      <c r="BV297" s="1097">
        <f t="shared" si="379"/>
        <v>0</v>
      </c>
      <c r="BW297" s="1112">
        <f t="shared" si="380"/>
        <v>0</v>
      </c>
      <c r="BX297" s="1100">
        <f t="shared" si="381"/>
        <v>3756.4345726050001</v>
      </c>
      <c r="BY297" s="1110">
        <f t="shared" si="382"/>
        <v>0</v>
      </c>
      <c r="BZ297" s="1107" t="s">
        <v>569</v>
      </c>
      <c r="CA297" s="1124"/>
      <c r="CB297" s="1098">
        <f>IF($P297="","N/A",IF($P297=-1,INDEX('卡片raw data'!BE:BE,MATCH($D297,'卡片raw data'!$F:$F,)),0)+IF($L297="party卡",IF($P297=5,INDEX('卡片raw data'!BK:BK,MATCH($D297,'卡片raw data'!$F:$F,)),IF($P297&gt;=3,INDEX('卡片raw data'!BJ:BJ,MATCH($D297,'卡片raw data'!$F:$F,)),INDEX('卡片raw data'!BI:BI,MATCH($D297,'卡片raw data'!$F:$F,)))),IF(OR(AND($F297="UR",$P297=0),AND($F297="SR",$P297&gt;=0,$P297&lt;=2),AND($F297="R",$P297&gt;=0,$P297&lt;4)),INDEX('卡片raw data'!BG:BG,MATCH($D297,'卡片raw data'!$F:$F,)),0)+IF(OR(AND($F297="UR",$P297&gt;=1,$P297&lt;=4),AND($F297="SR",$P297&lt;=4,$P297&gt;=3),AND($F297="R",$P297=4)),INDEX('卡片raw data'!BH:BH,MATCH($D297,'卡片raw data'!$F:$F,)),0)+IF($P297=5,INDEX('卡片raw data'!BI:BI,MATCH($D297,'卡片raw data'!$F:$F,)),0)))</f>
        <v>0</v>
      </c>
      <c r="CC297" s="1101">
        <f t="shared" si="383"/>
        <v>0</v>
      </c>
      <c r="CD297" s="1097">
        <f>IF(BZ297="ap",CB297*(1-$FI$26)*$FB$5/$FB$11*(+IF(CA297="全员",$FA$24,0)+IF(CA297="同作战",$FA$24,0)+IF(CA297="仲间",$FA$24*2/3,0)+IF(CA297="同属性",$FA$24*$FA$37/3,0)+IF(CA297="同年级",$FA$24*$FA$40/3,0)+IF(CA297="同学校",$FA$24*$FA$43/3,0)+IF(CA297="同小队",$FA$24*$FA$46/3,0)+IF(CA297="同type",$FA$24*INDEX($FB$49:$FB$52,MATCH(X297,$FA$49:$FA$52,))/3,0)+IF(CA297="自身",#REF!/3,0)),0)+IF(BZ297="te",CB297*(1-$FI$27)*($FA$20-1)*$FB$7/$FB$13*(+IF(CA297="全员",$FA$19*$FA$24/(1+($FA$20-1)*$FA$19),0)+IF(CA297="同作战",$FA$19*$FA$24/(1+($FA$20-1)*$FA$19),0)+IF(CA297="仲间",$FA$19*$FA$24*2/3/(1+($FA$20-1)*$FA$19),0)+IF(CA297="同属性",$FA$19*$FA$24*$FA$37/3/(1+($FA$20-1)*$FA$19),0)+IF(CA297="同年级",$FA$19*$FA$24*$FA$40/3/(1+($FA$20-1)*$FA$19),0)+IF(CA297="同学校",$FA$19*$FA$24*$FA$43/3/(1+($FA$20-1)*$FA$19),0)+IF(CA297="同小队",$FA$19*$FA$24*$FA$46/3/(1+($FA$20-1)*$FA$19),0)+IF(CA297="同type",$FA$19*$FA$24*INDEX($FB$49:$FB$52,MATCH(X297,$FA$49:$FA$52,))/3/(1+($FA$20-1)*$FA$19),0)+IF(CA297="自身",$FA$19*#REF!/3/(1+(BH297-1)*$BD297),0)),0)</f>
        <v>0</v>
      </c>
      <c r="CE297" s="1097">
        <f t="shared" si="384"/>
        <v>0</v>
      </c>
      <c r="CF297" s="1112">
        <f t="shared" si="385"/>
        <v>0</v>
      </c>
      <c r="CG297" s="1100">
        <f t="shared" si="386"/>
        <v>0</v>
      </c>
      <c r="CH297" s="1110">
        <f t="shared" si="387"/>
        <v>0</v>
      </c>
      <c r="CI297" s="1113" t="s">
        <v>165</v>
      </c>
      <c r="CJ297" s="1114">
        <v>1</v>
      </c>
      <c r="CK297" s="1115" t="s">
        <v>847</v>
      </c>
      <c r="CL297" s="1115" t="s">
        <v>161</v>
      </c>
      <c r="CM297" s="1119">
        <v>6.5000000000000002E-2</v>
      </c>
      <c r="CN297" s="1115">
        <v>5</v>
      </c>
      <c r="CO297" s="1092"/>
      <c r="CP297" s="1118">
        <f t="shared" si="388"/>
        <v>1.1607142857142858E-3</v>
      </c>
      <c r="CQ297" s="1118">
        <f t="shared" si="389"/>
        <v>1.8055555555555557E-3</v>
      </c>
      <c r="CR297" s="1118">
        <f t="shared" si="390"/>
        <v>1.1607142857142858E-3</v>
      </c>
      <c r="CS297" s="1118">
        <f t="shared" si="391"/>
        <v>0</v>
      </c>
      <c r="CT297" s="1109">
        <f t="shared" si="392"/>
        <v>0</v>
      </c>
      <c r="CU297" s="1101">
        <f t="shared" si="393"/>
        <v>157.83733123820653</v>
      </c>
      <c r="CV297" s="1108">
        <f t="shared" si="394"/>
        <v>11.854505507812501</v>
      </c>
      <c r="CW297" s="1097">
        <f t="shared" si="395"/>
        <v>157.83733123820653</v>
      </c>
      <c r="CX297" s="1097">
        <f t="shared" si="396"/>
        <v>157.83733123820653</v>
      </c>
      <c r="CY297" s="1110">
        <f t="shared" si="397"/>
        <v>157.83733123820653</v>
      </c>
      <c r="CZ297" s="437"/>
      <c r="DA297" s="438"/>
      <c r="DB297" s="439" t="s">
        <v>569</v>
      </c>
      <c r="DC297" s="439"/>
      <c r="DD297" s="443"/>
      <c r="DE297" s="411"/>
      <c r="DF297" s="411"/>
      <c r="DG297" s="1116">
        <f t="shared" si="398"/>
        <v>0</v>
      </c>
      <c r="DH297" s="1116">
        <f t="shared" si="399"/>
        <v>0</v>
      </c>
      <c r="DI297" s="1116">
        <f t="shared" si="400"/>
        <v>0</v>
      </c>
      <c r="DJ297" s="442">
        <f t="shared" si="401"/>
        <v>0</v>
      </c>
      <c r="DK297" s="1109">
        <f t="shared" si="402"/>
        <v>0</v>
      </c>
      <c r="DL297" s="1101">
        <f t="shared" si="403"/>
        <v>0</v>
      </c>
      <c r="DM297" s="1097">
        <f t="shared" si="404"/>
        <v>0</v>
      </c>
      <c r="DN297" s="1097">
        <f t="shared" si="405"/>
        <v>0</v>
      </c>
      <c r="DO297" s="1097">
        <f t="shared" si="406"/>
        <v>0</v>
      </c>
      <c r="DP297" s="1110">
        <f t="shared" si="407"/>
        <v>0</v>
      </c>
      <c r="DQ297" s="1113" t="s">
        <v>545</v>
      </c>
      <c r="DR297" s="1120">
        <f t="shared" si="408"/>
        <v>0.3</v>
      </c>
      <c r="DS297" s="1124"/>
      <c r="DT297" s="1093" t="s">
        <v>845</v>
      </c>
      <c r="DU297" s="1093"/>
      <c r="DV297" s="1098">
        <f>IF($P297="","N/A",IF(P297=-1,INDEX('卡片raw data'!AN:AN,MATCH(D297,'卡片raw data'!$F:$F,)),0)+IF(AND(L297&lt;&gt;"party卡",P297&lt;=2,P297&gt;=0),INDEX('卡片raw data'!AP:AP,MATCH(D297,'卡片raw data'!$F:$F,)),0)+IF(OR(AND(L297="party卡",P297&lt;=1),AND(P297&lt;=4,L297&lt;&gt;"party卡",P297&gt;=3)),INDEX('卡片raw data'!AQ:AQ,MATCH(D297,'卡片raw data'!$F:$F,)),0)+IF(OR(P297=5,AND(L297="party卡",P297&gt;=2)),INDEX('卡片raw data'!AR:AR,MATCH(D297,'卡片raw data'!$F:$F,)),0))</f>
        <v>0.37</v>
      </c>
      <c r="DW297" s="1098">
        <f t="shared" si="409"/>
        <v>0.3</v>
      </c>
      <c r="DX297" s="1098">
        <f t="shared" si="410"/>
        <v>0.3</v>
      </c>
      <c r="DY297" s="1125">
        <f t="shared" si="411"/>
        <v>1182.70323543892</v>
      </c>
      <c r="DZ297" s="1125">
        <f t="shared" si="412"/>
        <v>921.23787480073054</v>
      </c>
      <c r="EA297" s="1098">
        <f t="shared" si="413"/>
        <v>0</v>
      </c>
      <c r="EB297" s="1121">
        <f t="shared" si="414"/>
        <v>0</v>
      </c>
      <c r="EC297" s="1101">
        <f t="shared" si="415"/>
        <v>1300.9735589828122</v>
      </c>
      <c r="ED297" s="1097">
        <f t="shared" si="416"/>
        <v>921.23787480073054</v>
      </c>
      <c r="EE297" s="1110">
        <f t="shared" si="417"/>
        <v>1300.9735589828122</v>
      </c>
      <c r="EF297" s="1092" t="s">
        <v>569</v>
      </c>
      <c r="EG297" s="1120">
        <f t="shared" si="418"/>
        <v>0.3</v>
      </c>
      <c r="EH297" s="1124"/>
      <c r="EI297" s="1093"/>
      <c r="EJ297" s="1093"/>
      <c r="EK297" s="1097">
        <f>IF($P297="","N/A",IF(P297=-1,INDEX('卡片raw data'!AS:AS,MATCH(D297,'卡片raw data'!$F:$F,)),0)+IF(AND(L297&lt;&gt;"party卡",P297&lt;=2,P297&gt;=0),INDEX('卡片raw data'!AU:AU,MATCH(D297,'卡片raw data'!$F:$F,)),0)+IF(OR(AND(L297="party卡",P297&lt;=1),AND(P297&lt;=4,L297&lt;&gt;"party卡",P297&gt;=3)),INDEX('卡片raw data'!AV:AV,MATCH(D297,'卡片raw data'!$F:$F,)),0)+IF(OR(P297=5,AND(L297="party卡",P297&gt;=2)),INDEX('卡片raw data'!AW:AW,MATCH(D297,'卡片raw data'!$F:$F,)),0))</f>
        <v>0</v>
      </c>
      <c r="EL297" s="1098">
        <f t="shared" si="419"/>
        <v>0.3</v>
      </c>
      <c r="EM297" s="1098">
        <f t="shared" si="420"/>
        <v>0.3</v>
      </c>
      <c r="EN297" s="1125">
        <f t="shared" si="421"/>
        <v>0</v>
      </c>
      <c r="EO297" s="1125">
        <f t="shared" si="422"/>
        <v>0</v>
      </c>
      <c r="EP297" s="1098">
        <f t="shared" si="423"/>
        <v>0</v>
      </c>
      <c r="EQ297" s="1121">
        <f t="shared" si="424"/>
        <v>0</v>
      </c>
      <c r="ER297" s="1101">
        <f t="shared" si="425"/>
        <v>0</v>
      </c>
      <c r="ES297" s="1097">
        <f t="shared" si="426"/>
        <v>0</v>
      </c>
      <c r="ET297" s="1122">
        <f t="shared" si="427"/>
        <v>0</v>
      </c>
    </row>
    <row r="298" spans="2:150" ht="16.5" customHeight="1">
      <c r="B298" s="1123" t="str">
        <f>INDEX('卡片raw data'!B:B,MATCH($D298,'卡片raw data'!$F:$F,))</f>
        <v>玩具曜</v>
      </c>
      <c r="C298" s="449" t="s">
        <v>901</v>
      </c>
      <c r="D298" s="408">
        <v>295</v>
      </c>
      <c r="E298" s="1090">
        <v>401053002</v>
      </c>
      <c r="F298" s="1090" t="str">
        <f>INDEX('卡片raw data'!C:C,MATCH($D298,'卡片raw data'!$F:$F,))</f>
        <v>UR</v>
      </c>
      <c r="G298" s="1094" t="s">
        <v>895</v>
      </c>
      <c r="H298" s="411">
        <f>IFERROR(INDEX(绊状态确认!C:C,MATCH($G298,绊状态确认!$B:$B,)),"")</f>
        <v>105</v>
      </c>
      <c r="I298" s="450" t="str">
        <f>IFERROR(INDEX(绊状态确认!D:D,MATCH($G298,绊状态确认!$B:$B,)),"")</f>
        <v>水</v>
      </c>
      <c r="J298" s="450" t="str">
        <f>IFERROR(INDEX(绊状态确认!E:E,MATCH($G298,绊状态确认!$B:$B,)),"")</f>
        <v>2年级</v>
      </c>
      <c r="K298" s="451" t="str">
        <f>IFERROR(INDEX(绊状态确认!F:F,MATCH($G298,绊状态确认!$B:$B,)),"")</f>
        <v>CYaRon!</v>
      </c>
      <c r="L298" s="1094" t="str">
        <f>INDEX('卡片raw data'!E:E,MATCH($D298,'卡片raw data'!$F:$F,))</f>
        <v>卡池卡</v>
      </c>
      <c r="M298" s="415">
        <v>44061</v>
      </c>
      <c r="N298" s="416">
        <v>22</v>
      </c>
      <c r="O298" s="1091" t="str">
        <f>INDEX('卡片raw data'!D:D,MATCH($D298,'卡片raw data'!$F:$F,))</f>
        <v>vo</v>
      </c>
      <c r="P298" s="417">
        <v>5</v>
      </c>
      <c r="Q298" s="1095">
        <f t="shared" si="343"/>
        <v>63278.667249708044</v>
      </c>
      <c r="R298" s="1096">
        <f t="shared" si="344"/>
        <v>0.73499999999999999</v>
      </c>
      <c r="S298" s="1097">
        <f t="shared" si="345"/>
        <v>20499.358629266633</v>
      </c>
      <c r="T298" s="1098">
        <f t="shared" si="346"/>
        <v>1.024</v>
      </c>
      <c r="U298" s="1099">
        <f t="shared" si="347"/>
        <v>-10.972875994857143</v>
      </c>
      <c r="V298" s="1100">
        <f t="shared" si="348"/>
        <v>63097.687458169763</v>
      </c>
      <c r="W298" s="1101">
        <f t="shared" si="349"/>
        <v>5898.9885822249771</v>
      </c>
      <c r="X298" s="1096">
        <f t="shared" si="350"/>
        <v>6.8000000000000005E-2</v>
      </c>
      <c r="Y298" s="1097">
        <f t="shared" si="351"/>
        <v>1123.6886587034223</v>
      </c>
      <c r="Z298" s="1102">
        <f t="shared" si="352"/>
        <v>14.027124005142857</v>
      </c>
      <c r="AA298" s="1103">
        <f t="shared" si="353"/>
        <v>7022.6772409283994</v>
      </c>
      <c r="AB298" s="1101">
        <f t="shared" si="354"/>
        <v>7290.2556773239558</v>
      </c>
      <c r="AC298" s="1104">
        <f t="shared" si="355"/>
        <v>8.4000000000000005E-2</v>
      </c>
      <c r="AD298" s="1105">
        <f t="shared" si="356"/>
        <v>0</v>
      </c>
      <c r="AE298" s="1128">
        <f t="shared" si="357"/>
        <v>0</v>
      </c>
      <c r="AF298" s="1130">
        <f t="shared" si="358"/>
        <v>0</v>
      </c>
      <c r="AG298" s="420">
        <f t="shared" si="359"/>
        <v>0</v>
      </c>
      <c r="AH298" s="420">
        <f t="shared" si="360"/>
        <v>0</v>
      </c>
      <c r="AI298" s="1097">
        <f t="shared" si="361"/>
        <v>0</v>
      </c>
      <c r="AJ298" s="420">
        <f t="shared" si="362"/>
        <v>0</v>
      </c>
      <c r="AK298" s="518">
        <f t="shared" si="363"/>
        <v>0</v>
      </c>
      <c r="AL298" s="1106">
        <f>IF($P298="","N/A",(IF($P298=-1,INDEX('卡片raw data'!S:S,MATCH($D298,'卡片raw data'!$F:$F,)),0)+IF($P298=0,INDEX('卡片raw data'!V:V,MATCH($D298,'卡片raw data'!$F:$F,)),0)+IF($P298=1,INDEX('卡片raw data'!Y:Y,MATCH($D298,'卡片raw data'!$F:$F,)),0)+IF($P298=2,INDEX('卡片raw data'!AB:AB,MATCH($D298,'卡片raw data'!$F:$F,)),0)+IF($P298=3,INDEX('卡片raw data'!AE:AE,MATCH($D298,'卡片raw data'!$F:$F,)),0)+IF($P298=4,INDEX('卡片raw data'!AH:AH,MATCH($D298,'卡片raw data'!$F:$F,)),0)+IF($P298=5,INDEX('卡片raw data'!AK:AK,MATCH($D298,'卡片raw data'!$F:$F,)),0)+INDEX('卡片raw data'!S:S,MATCH($D298,'卡片raw data'!$F:$F,))*(IF($F298="UR",0.04,0.033))*(IF($F298="UR",INDEX(绊状态确认!$S:$S,MATCH($G298,绊状态确认!$B:$B,))/2-40)+IF($F298="SR",INDEX(绊状态确认!$R:$R,MATCH($G298,绊状态确认!$B:$B,))/4-15))+IF($F298="R",INDEX(绊状态确认!$Q:$Q,MATCH($G298,绊状态确认!$B:$B,))/6-40/6)))*(INDEX(绊状态确认!$H:$H,MATCH($G298,绊状态确认!$B:$B,))+INDEX(绊状态确认!J:J,MATCH($G298,绊状态确认!$B:$B,)))</f>
        <v>13898.39928</v>
      </c>
      <c r="AM298" s="1106">
        <f>IF($P298="","N/A",(IF($P298=-1,INDEX('卡片raw data'!T:T,MATCH($D298,'卡片raw data'!$F:$F,)),0)+IF($P298=0,INDEX('卡片raw data'!W:W,MATCH($D298,'卡片raw data'!$F:$F,)),0)+IF($P298=1,INDEX('卡片raw data'!Z:Z,MATCH($D298,'卡片raw data'!$F:$F,)),0)+IF($P298=2,INDEX('卡片raw data'!AC:AC,MATCH($D298,'卡片raw data'!$F:$F,)),0)+IF($P298=3,INDEX('卡片raw data'!AF:AF,MATCH($D298,'卡片raw data'!$F:$F,)),0)+IF($P298=4,INDEX('卡片raw data'!AI:AI,MATCH($D298,'卡片raw data'!$F:$F,)),0)+IF($P298=5,INDEX('卡片raw data'!AL:AL,MATCH($D298,'卡片raw data'!$F:$F,)),0)+INDEX('卡片raw data'!T:T,MATCH($D298,'卡片raw data'!$F:$F,))*(IF($F298="UR",0.04,0.033))*(IF($F298="UR",INDEX(绊状态确认!$S:$S,MATCH($G298,绊状态确认!$B:$B,))/2-40)+IF($F298="SR",INDEX(绊状态确认!$R:$R,MATCH($G298,绊状态确认!$B:$B,))/4-15))+IF($F298="R",INDEX(绊状态确认!$Q:$Q,MATCH($G298,绊状态确认!$B:$B,))/6-40/6)))*(INDEX(绊状态确认!$H:$H,MATCH($G298,绊状态确认!$B:$B,))+INDEX(绊状态确认!K:K,MATCH($G298,绊状态确认!$B:$B,)))</f>
        <v>7610.2435199999991</v>
      </c>
      <c r="AN298" s="1106">
        <f>IF($P298="","N/A",(IF($P298=-1,INDEX('卡片raw data'!U:U,MATCH($D298,'卡片raw data'!$F:$F,)),0)+IF($P298=0,INDEX('卡片raw data'!X:X,MATCH($D298,'卡片raw data'!$F:$F,)),0)+IF($P298=1,INDEX('卡片raw data'!AA:AA,MATCH($D298,'卡片raw data'!$F:$F,)),0)+IF($P298=2,INDEX('卡片raw data'!AD:AD,MATCH($D298,'卡片raw data'!$F:$F,)),0)+IF($P298=3,INDEX('卡片raw data'!AG:AG,MATCH($D298,'卡片raw data'!$F:$F,)),0)+IF($P298=4,INDEX('卡片raw data'!AJ:AJ,MATCH($D298,'卡片raw data'!$F:$F,)),0)+IF($P298=5,INDEX('卡片raw data'!AM:AM,MATCH($D298,'卡片raw data'!$F:$F,)),0)+INDEX('卡片raw data'!U:U,MATCH($D298,'卡片raw data'!$F:$F,))*(IF($F298="UR",0.04,0.033))*(IF($F298="UR",INDEX(绊状态确认!$S:$S,MATCH($G298,绊状态确认!$B:$B,))/2-40)+IF($F298="SR",INDEX(绊状态确认!$R:$R,MATCH($G298,绊状态确认!$B:$B,))/4-15))+IF($F298="R",INDEX(绊状态确认!$Q:$Q,MATCH($G298,绊状态确认!$B:$B,))/6-40/6)))*(INDEX(绊状态确认!$H:$H,MATCH($G298,绊状态确认!$B:$B,))+INDEX(绊状态确认!L:L,MATCH($G298,绊状态确认!$B:$B,)))</f>
        <v>11582.188799999998</v>
      </c>
      <c r="AO298" s="1107">
        <f t="shared" si="364"/>
        <v>1</v>
      </c>
      <c r="AP298" s="1131">
        <f>1+(INDEX(绊状态确认!$T:$T,MATCH($G298,绊状态确认!$B:$B,))+0.2)*$AO298</f>
        <v>1.3</v>
      </c>
      <c r="AQ298" s="1108">
        <f t="shared" si="365"/>
        <v>39733.298110000003</v>
      </c>
      <c r="AR298" s="1097">
        <f>(AM298*(1+$EX$9)+$EX$35)*(1+(INDEX(绊状态确认!$T:$T,MATCH($G298,绊状态确认!$B:$B,))+0.2)*AO298)*IF(J298=$FF$17,1+$FE$17,1)*IF(I298=$FF$14,1+$FE$14,1)*(1+$FE$15)</f>
        <v>13091.982404800001</v>
      </c>
      <c r="AS298" s="1097">
        <f>(AN298*(1+$EX$10)+$EX$36)*(1+(INDEX(绊状态确认!$T:$T,MATCH($G298,绊状态确认!$B:$B,))+0.2)*AO298)*IF(J298=$FF$17,1+$FE$17,1)*IF(I298=$FF$14,1+$FE$14,1)*(1+$FE$15)</f>
        <v>21371.372255999995</v>
      </c>
      <c r="AT298" s="1093">
        <f>IF(AND(INDEX('卡片raw data'!AK:AK,MATCH($D298,'卡片raw data'!$F:$F,))&lt;INDEX('卡片raw data'!AM:AM,MATCH($D298,'卡片raw data'!$F:$F,)),INDEX('卡片raw data'!AL:AL,MATCH($D298,'卡片raw data'!$F:$F,))&lt;INDEX('卡片raw data'!AM:AM,MATCH($D298,'卡片raw data'!$F:$F,))),1,0)</f>
        <v>0</v>
      </c>
      <c r="AU298" s="1098">
        <f>MIN(AT298*0.15+AS298*0.00003+INDEX(绊状态确认!M:M,MATCH($G298,绊状态确认!$B:$B,)),1)</f>
        <v>0.67114116767999987</v>
      </c>
      <c r="AV298" s="1109">
        <f>(INDEX(绊状态确认!$N:$N,MATCH($G298,绊状态确认!$B:$B,))+1.5)*$EW$21</f>
        <v>2.6599999999999997</v>
      </c>
      <c r="AW298" s="1101">
        <f t="shared" si="366"/>
        <v>43625.090679524648</v>
      </c>
      <c r="AX298" s="1097">
        <f t="shared" si="367"/>
        <v>1123.6886587034221</v>
      </c>
      <c r="AY298" s="1110">
        <f t="shared" si="368"/>
        <v>44748.779338228072</v>
      </c>
      <c r="AZ298" s="429">
        <f t="shared" si="369"/>
        <v>29701.878595999999</v>
      </c>
      <c r="BA298" s="431">
        <f t="shared" si="370"/>
        <v>35642.2543152</v>
      </c>
      <c r="BB298" s="1097">
        <f>(AM298*(1+$FB$9)+$FB$35)*(1+(INDEX(绊状态确认!$T:$T,MATCH($G298,绊状态确认!$B:$B,))+0.2)*AO298)*IF(J298=$FF$17,1+$FE$17,1)*IF(I298=$FF$14,1+$FE$14,1)*(1+$FE$15)</f>
        <v>13091.982404800001</v>
      </c>
      <c r="BC298" s="1097">
        <f>(AN298*(1+$FB$10)+$FB$36)*(1+(INDEX(绊状态确认!$T:$T,MATCH($G298,绊状态确认!$B:$B,))+0.2)*AO298)*IF(J298=$FF$17,1+$FE$17,1)*IF(I298=$FF$14,1+$FE$14,1)*(1+$FE$15)</f>
        <v>21371.372255999995</v>
      </c>
      <c r="BD298" s="1104">
        <f>MIN(AT298*0.15+BC298*0.00003+INDEX(绊状态确认!M:M,MATCH($G298,绊状态确认!$B:$B,)),1)</f>
        <v>0.67114116767999987</v>
      </c>
      <c r="BE298" s="432">
        <f>(INDEX(绊状态确认!$N:$N,MATCH($G298,绊状态确认!$B:$B,))+1.5)</f>
        <v>1.9</v>
      </c>
      <c r="BF298" s="1139">
        <f t="array" ref="BF298">SUMPRODUCT(IF(AZ298*AP298*$FI$16:$FI$23*$FA$22&gt;=$FI$24,$FI$24,AZ298*AP298*$FI$16:$FI$23*$FA$22),$FJ$16:$FJ$23)</f>
        <v>56048.327005084007</v>
      </c>
      <c r="BG298" s="1125">
        <f t="array" ref="BG298">SUMPRODUCT(IF(BE298*AZ298*AP298*$FI$16:$FI$23*$FA$22&gt;=$FI$24,$FI$24,BE298*AZ298*AP298*$FI$16:$FI$23*$FA$22),$FJ$16:$FJ$23)</f>
        <v>60000</v>
      </c>
      <c r="BH298" s="1110">
        <f t="shared" si="371"/>
        <v>19566.819144393816</v>
      </c>
      <c r="BI298" s="1111">
        <f>IF(O298="vo",$EW$26/$EW$24*0.05,0)+IF(O298="sk",-$EW$26/$EW$24*(0.05-INDEX(绊状态确认!W:W,MATCH($G298,绊状态确认!$B:$B,)))+0.05*$EW$28,0)+IF(O298="sp",0.05*$EW$32*$EW$30*(1-$EW$33)-(0.05-INDEX(绊状态确认!V:V,MATCH($G298,绊状态确认!$B:$B,)))*$EW$28,0)+IF(O298="gd",-(0.05-INDEX(绊状态确认!X:X,MATCH($G298,绊状态确认!$B:$B,)))*$EW$32*$EW$30*(1-$EW$33),0)</f>
        <v>7726.3029277443748</v>
      </c>
      <c r="BJ298" s="1097">
        <f>IF(O298="vo",0.05*(1-$FI$26)*$FA$24,0)+IF(O298="sk",-(0.05-INDEX(绊状态确认!W:W,MATCH($G298,绊状态确认!$B:$B,)))*(1-$FI$26)*$FA$24+0.05*$FA$26,0)+IF(O298="sp",0.05*$FA$32*$FA$27*(1-$FA$33)/$FA$30+0.05*$FA$29/$FA$69*$FA$27*(1-$FA$33)-(0.05-INDEX(绊状态确认!V:V,MATCH($G298,绊状态确认!$B:$B,)))*$FA$26,0)+IF(O298="gd",-(0.05-INDEX(绊状态确认!X:X,MATCH($G298,绊状态确认!$B:$B,)))*$FA$32*$FA$27*(1-$FA$33)/$FA$30-(0.05-INDEX(绊状态确认!X:X,MATCH($G298,绊状态确认!$B:$B,)))*$FA$29/$FA$69*$FA$27*(1-$FA$33),0)</f>
        <v>393.93433687500004</v>
      </c>
      <c r="BK298" s="1110">
        <f>IF(O298="vo",$EW$26/$EW$24*0.05+$EW$26*(-HP($EW$62,$EW$65,$EW$64)+HP($EW$62,$EW$65,(1.05-INDEX(绊状态确认!U:U,MATCH($G298,绊状态确认!$B:$B,)))*$EW$64)),0)+IF(O298="sk",-$EW$26/$EW$24*(0.05-INDEX(绊状态确认!W:W,MATCH($G298,绊状态确认!$B:$B,)))+0.05*$EW$29,0)+IF(O298="sp",0.05*$EW$32*$EW$30*(1-$EW$33)-(0.05-INDEX(绊状态确认!V:V,MATCH($G298,绊状态确认!$B:$B,)))*$EW$29,0)+IF(O298="gd",-(0.05-INDEX(绊状态确认!X:X,MATCH($G298,绊状态确认!$B:$B,)))*$EW$32*$EW$30*(1-$EW$33)+$EW$26*(-HP($EW$62,$EW$65,$EW$64)+HP($EW$62,$EW$65,0.95*$EW$64)),0)</f>
        <v>6421.6344775026746</v>
      </c>
      <c r="BL298" s="1111">
        <f t="shared" si="372"/>
        <v>0</v>
      </c>
      <c r="BM298" s="1110">
        <f t="shared" si="373"/>
        <v>0</v>
      </c>
      <c r="BN298" s="1113">
        <f t="shared" si="374"/>
        <v>3</v>
      </c>
      <c r="BO298" s="1097">
        <f t="shared" si="375"/>
        <v>4507.7214871259994</v>
      </c>
      <c r="BP298" s="1100">
        <f t="shared" si="376"/>
        <v>221.34103209030098</v>
      </c>
      <c r="BQ298" s="1113" t="s">
        <v>132</v>
      </c>
      <c r="BR298" s="1124" t="s">
        <v>171</v>
      </c>
      <c r="BS298" s="1098">
        <f>IF($P298="","N/A",IF($P298=-1,INDEX('卡片raw data'!AX:AX,MATCH($D298,'卡片raw data'!$F:$F,)),0)+IF($L298="party卡",IF($P298=5,INDEX('卡片raw data'!BD:BD,MATCH($D298,'卡片raw data'!$F:$F,)),IF($P298&gt;=3,INDEX('卡片raw data'!BC:BC,MATCH($D298,'卡片raw data'!$F:$F,)),INDEX('卡片raw data'!BB:BB,MATCH($D298,'卡片raw data'!$F:$F,)))),IF(OR(AND($F298="UR",$P298=0),AND($F298="SR",$P298&gt;=0,$P298&lt;=2),AND($F298="R",$P298&gt;=0,$P298&lt;4)),INDEX('卡片raw data'!AZ:AZ,MATCH($D298,'卡片raw data'!$F:$F,)),0)+IF(OR(AND($F298="UR",$P298&gt;=1,$P298&lt;=4),AND($F298="SR",$P298&lt;=4,$P298&gt;=3),AND($F298="R",$P298=4)),INDEX('卡片raw data'!BA:BA,MATCH($D298,'卡片raw data'!$F:$F,)),0)+IF($P298=5,INDEX('卡片raw data'!BB:BB,MATCH($D298,'卡片raw data'!$F:$F,)),0)))</f>
        <v>5.1999999999999998E-2</v>
      </c>
      <c r="BT298" s="1101">
        <f t="shared" si="377"/>
        <v>2604.4613036728001</v>
      </c>
      <c r="BU298" s="1097">
        <f t="shared" si="378"/>
        <v>111.90018844565216</v>
      </c>
      <c r="BV298" s="1097">
        <f t="shared" si="379"/>
        <v>1302.2306518363998</v>
      </c>
      <c r="BW298" s="1112">
        <f t="shared" si="380"/>
        <v>0</v>
      </c>
      <c r="BX298" s="1100">
        <f t="shared" si="381"/>
        <v>2604.4613036728001</v>
      </c>
      <c r="BY298" s="1110">
        <f t="shared" si="382"/>
        <v>1302.2306518363998</v>
      </c>
      <c r="BZ298" s="1107" t="s">
        <v>569</v>
      </c>
      <c r="CA298" s="1124"/>
      <c r="CB298" s="1098">
        <f>IF($P298="","N/A",IF($P298=-1,INDEX('卡片raw data'!BE:BE,MATCH($D298,'卡片raw data'!$F:$F,)),0)+IF($L298="party卡",IF($P298=5,INDEX('卡片raw data'!BK:BK,MATCH($D298,'卡片raw data'!$F:$F,)),IF($P298&gt;=3,INDEX('卡片raw data'!BJ:BJ,MATCH($D298,'卡片raw data'!$F:$F,)),INDEX('卡片raw data'!BI:BI,MATCH($D298,'卡片raw data'!$F:$F,)))),IF(OR(AND($F298="UR",$P298=0),AND($F298="SR",$P298&gt;=0,$P298&lt;=2),AND($F298="R",$P298&gt;=0,$P298&lt;4)),INDEX('卡片raw data'!BG:BG,MATCH($D298,'卡片raw data'!$F:$F,)),0)+IF(OR(AND($F298="UR",$P298&gt;=1,$P298&lt;=4),AND($F298="SR",$P298&lt;=4,$P298&gt;=3),AND($F298="R",$P298=4)),INDEX('卡片raw data'!BH:BH,MATCH($D298,'卡片raw data'!$F:$F,)),0)+IF($P298=5,INDEX('卡片raw data'!BI:BI,MATCH($D298,'卡片raw data'!$F:$F,)),0)))</f>
        <v>0</v>
      </c>
      <c r="CC298" s="1101">
        <f t="shared" si="383"/>
        <v>0</v>
      </c>
      <c r="CD298" s="1097">
        <f>IF(BZ298="ap",CB298*(1-$FI$26)*$FB$5/$FB$11*(+IF(CA298="全员",$FA$24,0)+IF(CA298="同作战",$FA$24,0)+IF(CA298="仲间",$FA$24*2/3,0)+IF(CA298="同属性",$FA$24*$FA$37/3,0)+IF(CA298="同年级",$FA$24*$FA$40/3,0)+IF(CA298="同学校",$FA$24*$FA$43/3,0)+IF(CA298="同小队",$FA$24*$FA$46/3,0)+IF(CA298="同type",$FA$24*INDEX($FB$49:$FB$52,MATCH(X298,$FA$49:$FA$52,))/3,0)+IF(CA298="自身",#REF!/3,0)),0)+IF(BZ298="te",CB298*(1-$FI$27)*($FA$20-1)*$FB$7/$FB$13*(+IF(CA298="全员",$FA$19*$FA$24/(1+($FA$20-1)*$FA$19),0)+IF(CA298="同作战",$FA$19*$FA$24/(1+($FA$20-1)*$FA$19),0)+IF(CA298="仲间",$FA$19*$FA$24*2/3/(1+($FA$20-1)*$FA$19),0)+IF(CA298="同属性",$FA$19*$FA$24*$FA$37/3/(1+($FA$20-1)*$FA$19),0)+IF(CA298="同年级",$FA$19*$FA$24*$FA$40/3/(1+($FA$20-1)*$FA$19),0)+IF(CA298="同学校",$FA$19*$FA$24*$FA$43/3/(1+($FA$20-1)*$FA$19),0)+IF(CA298="同小队",$FA$19*$FA$24*$FA$46/3/(1+($FA$20-1)*$FA$19),0)+IF(CA298="同type",$FA$19*$FA$24*INDEX($FB$49:$FB$52,MATCH(X298,$FA$49:$FA$52,))/3/(1+($FA$20-1)*$FA$19),0)+IF(CA298="自身",$FA$19*#REF!/3/(1+(BH298-1)*$BD298),0)),0)</f>
        <v>0</v>
      </c>
      <c r="CE298" s="1097">
        <f t="shared" si="384"/>
        <v>0</v>
      </c>
      <c r="CF298" s="1112">
        <f t="shared" si="385"/>
        <v>0</v>
      </c>
      <c r="CG298" s="1100">
        <f t="shared" si="386"/>
        <v>0</v>
      </c>
      <c r="CH298" s="1110">
        <f t="shared" si="387"/>
        <v>0</v>
      </c>
      <c r="CI298" s="1113" t="s">
        <v>170</v>
      </c>
      <c r="CJ298" s="1114">
        <v>1</v>
      </c>
      <c r="CK298" s="1115" t="s">
        <v>167</v>
      </c>
      <c r="CL298" s="1115" t="s">
        <v>171</v>
      </c>
      <c r="CM298" s="1119">
        <f>0.01*$EX$57</f>
        <v>5.5E-2</v>
      </c>
      <c r="CN298" s="1115">
        <v>10</v>
      </c>
      <c r="CO298" s="1092">
        <v>1</v>
      </c>
      <c r="CP298" s="1118">
        <f t="shared" si="388"/>
        <v>1.3095238095238095E-3</v>
      </c>
      <c r="CQ298" s="1118">
        <f t="shared" si="389"/>
        <v>1.7824074074074077E-3</v>
      </c>
      <c r="CR298" s="1118">
        <f t="shared" si="390"/>
        <v>6.5476190476190473E-4</v>
      </c>
      <c r="CS298" s="1118">
        <f t="shared" si="391"/>
        <v>0</v>
      </c>
      <c r="CT298" s="1109">
        <f t="shared" si="392"/>
        <v>0</v>
      </c>
      <c r="CU298" s="1101">
        <f t="shared" si="393"/>
        <v>178.07288652515606</v>
      </c>
      <c r="CV298" s="1108">
        <f t="shared" si="394"/>
        <v>11.702524667968753</v>
      </c>
      <c r="CW298" s="1097">
        <f t="shared" si="395"/>
        <v>89.036443262578032</v>
      </c>
      <c r="CX298" s="1097">
        <f t="shared" si="396"/>
        <v>178.07288652515606</v>
      </c>
      <c r="CY298" s="1110">
        <f t="shared" si="397"/>
        <v>89.036443262578032</v>
      </c>
      <c r="CZ298" s="437"/>
      <c r="DA298" s="438"/>
      <c r="DB298" s="439" t="s">
        <v>569</v>
      </c>
      <c r="DC298" s="439"/>
      <c r="DD298" s="443"/>
      <c r="DE298" s="411"/>
      <c r="DF298" s="411"/>
      <c r="DG298" s="1116">
        <f t="shared" si="398"/>
        <v>0</v>
      </c>
      <c r="DH298" s="1116">
        <f t="shared" si="399"/>
        <v>0</v>
      </c>
      <c r="DI298" s="1116">
        <f t="shared" si="400"/>
        <v>0</v>
      </c>
      <c r="DJ298" s="442">
        <f t="shared" si="401"/>
        <v>0</v>
      </c>
      <c r="DK298" s="1109">
        <f t="shared" si="402"/>
        <v>0</v>
      </c>
      <c r="DL298" s="1101">
        <f t="shared" si="403"/>
        <v>0</v>
      </c>
      <c r="DM298" s="1097">
        <f t="shared" si="404"/>
        <v>0</v>
      </c>
      <c r="DN298" s="1097">
        <f t="shared" si="405"/>
        <v>0</v>
      </c>
      <c r="DO298" s="1097">
        <f t="shared" si="406"/>
        <v>0</v>
      </c>
      <c r="DP298" s="1110">
        <f t="shared" si="407"/>
        <v>0</v>
      </c>
      <c r="DQ298" s="1113" t="s">
        <v>167</v>
      </c>
      <c r="DR298" s="1120">
        <f t="shared" si="408"/>
        <v>0.33</v>
      </c>
      <c r="DS298" s="1124">
        <v>5</v>
      </c>
      <c r="DT298" s="1093" t="s">
        <v>904</v>
      </c>
      <c r="DU298" s="1093" t="s">
        <v>905</v>
      </c>
      <c r="DV298" s="1098">
        <f>IF($P298="","N/A",IF(P298=-1,INDEX('卡片raw data'!AN:AN,MATCH(D298,'卡片raw data'!$F:$F,)),0)+IF(AND(L298&lt;&gt;"party卡",P298&lt;=2,P298&gt;=0),INDEX('卡片raw data'!AP:AP,MATCH(D298,'卡片raw data'!$F:$F,)),0)+IF(OR(AND(L298="party卡",P298&lt;=1),AND(P298&lt;=4,L298&lt;&gt;"party卡",P298&gt;=3)),INDEX('卡片raw data'!AQ:AQ,MATCH(D298,'卡片raw data'!$F:$F,)),0)+IF(OR(P298=5,AND(L298="party卡",P298&gt;=2)),INDEX('卡片raw data'!AR:AR,MATCH(D298,'卡片raw data'!$F:$F,)),0))</f>
        <v>6.2E-2</v>
      </c>
      <c r="DW298" s="1098">
        <f t="shared" si="409"/>
        <v>0.33</v>
      </c>
      <c r="DX298" s="1098">
        <f t="shared" si="410"/>
        <v>0.33</v>
      </c>
      <c r="DY298" s="1098">
        <f t="shared" si="411"/>
        <v>3.4100000000000005E-2</v>
      </c>
      <c r="DZ298" s="1098">
        <f t="shared" si="412"/>
        <v>2.9496500000000005E-2</v>
      </c>
      <c r="EA298" s="1098">
        <f t="shared" si="413"/>
        <v>0</v>
      </c>
      <c r="EB298" s="1121">
        <f t="shared" si="414"/>
        <v>0</v>
      </c>
      <c r="EC298" s="1101">
        <f t="shared" si="415"/>
        <v>4637.0179651150647</v>
      </c>
      <c r="ED298" s="1097">
        <f t="shared" si="416"/>
        <v>193.66140279389066</v>
      </c>
      <c r="EE298" s="1110">
        <f t="shared" si="417"/>
        <v>4637.0179651150647</v>
      </c>
      <c r="EF298" s="1092" t="s">
        <v>569</v>
      </c>
      <c r="EG298" s="1120">
        <f t="shared" si="418"/>
        <v>0.33</v>
      </c>
      <c r="EH298" s="1124"/>
      <c r="EI298" s="1093"/>
      <c r="EJ298" s="1093"/>
      <c r="EK298" s="1097">
        <f>IF($P298="","N/A",IF(P298=-1,INDEX('卡片raw data'!AS:AS,MATCH(D298,'卡片raw data'!$F:$F,)),0)+IF(AND(L298&lt;&gt;"party卡",P298&lt;=2,P298&gt;=0),INDEX('卡片raw data'!AU:AU,MATCH(D298,'卡片raw data'!$F:$F,)),0)+IF(OR(AND(L298="party卡",P298&lt;=1),AND(P298&lt;=4,L298&lt;&gt;"party卡",P298&gt;=3)),INDEX('卡片raw data'!AV:AV,MATCH(D298,'卡片raw data'!$F:$F,)),0)+IF(OR(P298=5,AND(L298="party卡",P298&gt;=2)),INDEX('卡片raw data'!AW:AW,MATCH(D298,'卡片raw data'!$F:$F,)),0))</f>
        <v>0</v>
      </c>
      <c r="EL298" s="1098">
        <f t="shared" si="419"/>
        <v>0.33</v>
      </c>
      <c r="EM298" s="1098">
        <f t="shared" si="420"/>
        <v>0.33</v>
      </c>
      <c r="EN298" s="1125">
        <f t="shared" si="421"/>
        <v>0</v>
      </c>
      <c r="EO298" s="1125">
        <f t="shared" si="422"/>
        <v>0</v>
      </c>
      <c r="EP298" s="1098">
        <f t="shared" si="423"/>
        <v>0</v>
      </c>
      <c r="EQ298" s="1121">
        <f t="shared" si="424"/>
        <v>0</v>
      </c>
      <c r="ER298" s="1101">
        <f t="shared" si="425"/>
        <v>0</v>
      </c>
      <c r="ES298" s="1097">
        <f t="shared" si="426"/>
        <v>0</v>
      </c>
      <c r="ET298" s="1122">
        <f t="shared" si="427"/>
        <v>0</v>
      </c>
    </row>
    <row r="299" spans="2:150" ht="16.5" customHeight="1">
      <c r="B299" s="1123" t="str">
        <f>INDEX('卡片raw data'!B:B,MATCH($D299,'卡片raw data'!$F:$F,))</f>
        <v>二专林</v>
      </c>
      <c r="C299" s="449" t="s">
        <v>902</v>
      </c>
      <c r="D299" s="408">
        <v>296</v>
      </c>
      <c r="E299" s="1090">
        <v>402042002</v>
      </c>
      <c r="F299" s="1090" t="str">
        <f>INDEX('卡片raw data'!C:C,MATCH($D299,'卡片raw data'!$F:$F,))</f>
        <v>SR</v>
      </c>
      <c r="G299" s="1094" t="s">
        <v>896</v>
      </c>
      <c r="H299" s="411">
        <f>IFERROR(INDEX(绊状态确认!C:C,MATCH($G299,绊状态确认!$B:$B,)),"")</f>
        <v>204</v>
      </c>
      <c r="I299" s="450" t="str">
        <f>IFERROR(INDEX(绊状态确认!D:D,MATCH($G299,绊状态确认!$B:$B,)),"")</f>
        <v>虹</v>
      </c>
      <c r="J299" s="450" t="str">
        <f>IFERROR(INDEX(绊状态确认!E:E,MATCH($G299,绊状态确认!$B:$B,)),"")</f>
        <v>3年级</v>
      </c>
      <c r="K299" s="451" t="str">
        <f>IFERROR(INDEX(绊状态确认!F:F,MATCH($G299,绊状态确认!$B:$B,)),"")</f>
        <v>Diver Diva</v>
      </c>
      <c r="L299" s="1094" t="str">
        <f>INDEX('卡片raw data'!E:E,MATCH($D299,'卡片raw data'!$F:$F,))</f>
        <v>卡池卡</v>
      </c>
      <c r="M299" s="415">
        <v>44061</v>
      </c>
      <c r="N299" s="416">
        <v>22</v>
      </c>
      <c r="O299" s="1091" t="str">
        <f>INDEX('卡片raw data'!D:D,MATCH($D299,'卡片raw data'!$F:$F,))</f>
        <v>sp</v>
      </c>
      <c r="P299" s="417">
        <v>5</v>
      </c>
      <c r="Q299" s="1095">
        <f t="shared" si="343"/>
        <v>32978.954195650309</v>
      </c>
      <c r="R299" s="1096">
        <f t="shared" si="344"/>
        <v>0.38300000000000001</v>
      </c>
      <c r="S299" s="1097">
        <f t="shared" si="345"/>
        <v>17746.605004583049</v>
      </c>
      <c r="T299" s="1098">
        <f t="shared" si="346"/>
        <v>0.88700000000000001</v>
      </c>
      <c r="U299" s="1099">
        <f t="shared" si="347"/>
        <v>7.6495058653928565</v>
      </c>
      <c r="V299" s="1100">
        <f t="shared" si="348"/>
        <v>31783.805185059031</v>
      </c>
      <c r="W299" s="1101">
        <f t="shared" si="349"/>
        <v>5477.1054240284402</v>
      </c>
      <c r="X299" s="1096">
        <f t="shared" si="350"/>
        <v>6.3E-2</v>
      </c>
      <c r="Y299" s="1097">
        <f t="shared" si="351"/>
        <v>604.85098940872467</v>
      </c>
      <c r="Z299" s="1102">
        <f t="shared" si="352"/>
        <v>7.6495058653928565</v>
      </c>
      <c r="AA299" s="1103">
        <f t="shared" si="353"/>
        <v>6081.9564134371649</v>
      </c>
      <c r="AB299" s="1101">
        <f t="shared" si="354"/>
        <v>6231.7289124880244</v>
      </c>
      <c r="AC299" s="1104">
        <f t="shared" si="355"/>
        <v>7.1999999999999995E-2</v>
      </c>
      <c r="AD299" s="1105">
        <f t="shared" si="356"/>
        <v>-1.9908281250000003E-2</v>
      </c>
      <c r="AE299" s="1128">
        <f t="shared" si="357"/>
        <v>4.2609571106110131</v>
      </c>
      <c r="AF299" s="1130">
        <f t="shared" si="358"/>
        <v>0</v>
      </c>
      <c r="AG299" s="420">
        <f t="shared" si="359"/>
        <v>0</v>
      </c>
      <c r="AH299" s="420">
        <f t="shared" si="360"/>
        <v>0</v>
      </c>
      <c r="AI299" s="1097">
        <f t="shared" si="361"/>
        <v>0</v>
      </c>
      <c r="AJ299" s="420">
        <f t="shared" si="362"/>
        <v>0</v>
      </c>
      <c r="AK299" s="518">
        <f t="shared" si="363"/>
        <v>0</v>
      </c>
      <c r="AL299" s="1106">
        <f>IF($P299="","N/A",(IF($P299=-1,INDEX('卡片raw data'!S:S,MATCH($D299,'卡片raw data'!$F:$F,)),0)+IF($P299=0,INDEX('卡片raw data'!V:V,MATCH($D299,'卡片raw data'!$F:$F,)),0)+IF($P299=1,INDEX('卡片raw data'!Y:Y,MATCH($D299,'卡片raw data'!$F:$F,)),0)+IF($P299=2,INDEX('卡片raw data'!AB:AB,MATCH($D299,'卡片raw data'!$F:$F,)),0)+IF($P299=3,INDEX('卡片raw data'!AE:AE,MATCH($D299,'卡片raw data'!$F:$F,)),0)+IF($P299=4,INDEX('卡片raw data'!AH:AH,MATCH($D299,'卡片raw data'!$F:$F,)),0)+IF($P299=5,INDEX('卡片raw data'!AK:AK,MATCH($D299,'卡片raw data'!$F:$F,)),0)+INDEX('卡片raw data'!S:S,MATCH($D299,'卡片raw data'!$F:$F,))*(IF($F299="UR",0.04,0.033))*(IF($F299="UR",INDEX(绊状态确认!$S:$S,MATCH($G299,绊状态确认!$B:$B,))/2-40)+IF($F299="SR",INDEX(绊状态确认!$R:$R,MATCH($G299,绊状态确认!$B:$B,))/4-15))+IF($F299="R",INDEX(绊状态确认!$Q:$Q,MATCH($G299,绊状态确认!$B:$B,))/6-40/6)))*(INDEX(绊状态确认!$H:$H,MATCH($G299,绊状态确认!$B:$B,))+INDEX(绊状态确认!J:J,MATCH($G299,绊状态确认!$B:$B,)))</f>
        <v>7925.0172287999994</v>
      </c>
      <c r="AM299" s="1106">
        <f>IF($P299="","N/A",(IF($P299=-1,INDEX('卡片raw data'!T:T,MATCH($D299,'卡片raw data'!$F:$F,)),0)+IF($P299=0,INDEX('卡片raw data'!W:W,MATCH($D299,'卡片raw data'!$F:$F,)),0)+IF($P299=1,INDEX('卡片raw data'!Z:Z,MATCH($D299,'卡片raw data'!$F:$F,)),0)+IF($P299=2,INDEX('卡片raw data'!AC:AC,MATCH($D299,'卡片raw data'!$F:$F,)),0)+IF($P299=3,INDEX('卡片raw data'!AF:AF,MATCH($D299,'卡片raw data'!$F:$F,)),0)+IF($P299=4,INDEX('卡片raw data'!AI:AI,MATCH($D299,'卡片raw data'!$F:$F,)),0)+IF($P299=5,INDEX('卡片raw data'!AL:AL,MATCH($D299,'卡片raw data'!$F:$F,)),0)+INDEX('卡片raw data'!T:T,MATCH($D299,'卡片raw data'!$F:$F,))*(IF($F299="UR",0.04,0.033))*(IF($F299="UR",INDEX(绊状态确认!$S:$S,MATCH($G299,绊状态确认!$B:$B,))/2-40)+IF($F299="SR",INDEX(绊状态确认!$R:$R,MATCH($G299,绊状态确认!$B:$B,))/4-15))+IF($F299="R",INDEX(绊状态确认!$Q:$Q,MATCH($G299,绊状态确认!$B:$B,))/6-40/6)))*(INDEX(绊状态确认!$H:$H,MATCH($G299,绊状态确认!$B:$B,))+INDEX(绊状态确认!K:K,MATCH($G299,绊状态确认!$B:$B,)))</f>
        <v>3249.4789799999994</v>
      </c>
      <c r="AN299" s="1106">
        <f>IF($P299="","N/A",(IF($P299=-1,INDEX('卡片raw data'!U:U,MATCH($D299,'卡片raw data'!$F:$F,)),0)+IF($P299=0,INDEX('卡片raw data'!X:X,MATCH($D299,'卡片raw data'!$F:$F,)),0)+IF($P299=1,INDEX('卡片raw data'!AA:AA,MATCH($D299,'卡片raw data'!$F:$F,)),0)+IF($P299=2,INDEX('卡片raw data'!AD:AD,MATCH($D299,'卡片raw data'!$F:$F,)),0)+IF($P299=3,INDEX('卡片raw data'!AG:AG,MATCH($D299,'卡片raw data'!$F:$F,)),0)+IF($P299=4,INDEX('卡片raw data'!AJ:AJ,MATCH($D299,'卡片raw data'!$F:$F,)),0)+IF($P299=5,INDEX('卡片raw data'!AM:AM,MATCH($D299,'卡片raw data'!$F:$F,)),0)+INDEX('卡片raw data'!U:U,MATCH($D299,'卡片raw data'!$F:$F,))*(IF($F299="UR",0.04,0.033))*(IF($F299="UR",INDEX(绊状态确认!$S:$S,MATCH($G299,绊状态确认!$B:$B,))/2-40)+IF($F299="SR",INDEX(绊状态确认!$R:$R,MATCH($G299,绊状态确认!$B:$B,))/4-15))+IF($F299="R",INDEX(绊状态确认!$Q:$Q,MATCH($G299,绊状态确认!$B:$B,))/6-40/6)))*(INDEX(绊状态确认!$H:$H,MATCH($G299,绊状态确认!$B:$B,))+INDEX(绊状态确认!L:L,MATCH($G299,绊状态确认!$B:$B,)))</f>
        <v>9144.8971727999997</v>
      </c>
      <c r="AO299" s="1107">
        <f t="shared" si="364"/>
        <v>1</v>
      </c>
      <c r="AP299" s="1131">
        <f>1+(INDEX(绊状态确认!$T:$T,MATCH($G299,绊状态确认!$B:$B,))+0.2)*$AO299</f>
        <v>1.3</v>
      </c>
      <c r="AQ299" s="1108">
        <f t="shared" si="365"/>
        <v>24053.170225599999</v>
      </c>
      <c r="AR299" s="1097">
        <f>(AM299*(1+$EX$9)+$EX$35)*(1+(INDEX(绊状态确认!$T:$T,MATCH($G299,绊状态确认!$B:$B,))+0.2)*AO299)*IF(J299=$FF$17,1+$FE$17,1)*IF(I299=$FF$14,1+$FE$14,1)</f>
        <v>7139.5388076999989</v>
      </c>
      <c r="AS299" s="1097">
        <f>(AN299*(1+$EX$10)+$EX$36)*(1+(INDEX(绊状态确认!$T:$T,MATCH($G299,绊状态确认!$B:$B,))+0.2)*AO299)*IF(J299=$FF$17,1+$FE$17,1)*IF(I299=$FF$14,1+$FE$14,1)</f>
        <v>17727.621273336001</v>
      </c>
      <c r="AT299" s="1093">
        <f>IF(AND(INDEX('卡片raw data'!AK:AK,MATCH($D299,'卡片raw data'!$F:$F,))&lt;INDEX('卡片raw data'!AM:AM,MATCH($D299,'卡片raw data'!$F:$F,)),INDEX('卡片raw data'!AL:AL,MATCH($D299,'卡片raw data'!$F:$F,))&lt;INDEX('卡片raw data'!AM:AM,MATCH($D299,'卡片raw data'!$F:$F,))),1,0)</f>
        <v>1</v>
      </c>
      <c r="AU299" s="1098">
        <f>MIN(AT299*0.15+AS299*0.00003+INDEX(绊状态确认!M:M,MATCH($G299,绊状态确认!$B:$B,)),1)</f>
        <v>0.71182863820008013</v>
      </c>
      <c r="AV299" s="1109">
        <f>(INDEX(绊状态确认!$N:$N,MATCH($G299,绊状态确认!$B:$B,))+1.5)*$EW$21</f>
        <v>2.6599999999999997</v>
      </c>
      <c r="AW299" s="1101">
        <f t="shared" si="366"/>
        <v>27252.847651236465</v>
      </c>
      <c r="AX299" s="1097">
        <f t="shared" si="367"/>
        <v>604.85098940872513</v>
      </c>
      <c r="AY299" s="1110">
        <f t="shared" si="368"/>
        <v>27857.698640645191</v>
      </c>
      <c r="AZ299" s="429">
        <f t="shared" si="369"/>
        <v>18053.783596159999</v>
      </c>
      <c r="BA299" s="431">
        <f t="shared" si="370"/>
        <v>21664.540315391998</v>
      </c>
      <c r="BB299" s="1097">
        <f>(AM299*(1+$FB$9)+$FB$35)*(1+(INDEX(绊状态确认!$T:$T,MATCH($G299,绊状态确认!$B:$B,))+0.2)*AO299)*IF(J299=$FF$17,1+$FE$17,1)*IF(I299=$FF$14,1+$FE$14,1)*(1+$FE$15)</f>
        <v>7139.5388076999989</v>
      </c>
      <c r="BC299" s="1097">
        <f>(AN299*(1+$FB$10)+$FB$36)*(1+(INDEX(绊状态确认!$T:$T,MATCH($G299,绊状态确认!$B:$B,))+0.2)*AO299)*IF(J299=$FF$17,1+$FE$17,1)*IF(I299=$FF$14,1+$FE$14,1)*(1+$FE$15)</f>
        <v>17727.621273336001</v>
      </c>
      <c r="BD299" s="1104">
        <f>MIN(AT299*0.15+BC299*0.00003+INDEX(绊状态确认!M:M,MATCH($G299,绊状态确认!$B:$B,)),1)</f>
        <v>0.71182863820008013</v>
      </c>
      <c r="BE299" s="432">
        <f>(INDEX(绊状态确认!$N:$N,MATCH($G299,绊状态确认!$B:$B,))+1.5)</f>
        <v>1.9</v>
      </c>
      <c r="BF299" s="1139">
        <f t="array" ref="BF299">SUMPRODUCT(IF(AZ299*AP299*$FI$16:$FI$23*$FA$22&gt;=$FI$24,$FI$24,AZ299*AP299*$FI$16:$FI$23*$FA$22),$FJ$16:$FJ$23)</f>
        <v>35908.975572762247</v>
      </c>
      <c r="BG299" s="1125">
        <f t="array" ref="BG299">SUMPRODUCT(IF(BE299*AZ299*AP299*$FI$16:$FI$23*$FA$22&gt;=$FI$24,$FI$24,BE299*AZ299*AP299*$FI$16:$FI$23*$FA$22),$FJ$16:$FJ$23)</f>
        <v>59148.2113706288</v>
      </c>
      <c r="BH299" s="1110">
        <f t="shared" si="371"/>
        <v>17483.776381189382</v>
      </c>
      <c r="BI299" s="1111">
        <f>IF(O299="vo",$EW$26/$EW$24*0.05,0)+IF(O299="sk",-$EW$26/$EW$24*(0.05-INDEX(绊状态确认!W:W,MATCH($G299,绊状态确认!$B:$B,)))+0.05*$EW$28,0)+IF(O299="sp",0.05*$EW$32*$EW$30*(1-$EW$33)-(0.05-INDEX(绊状态确认!V:V,MATCH($G299,绊状态确认!$B:$B,)))*$EW$28,0)+IF(O299="gd",-(0.05-INDEX(绊状态确认!X:X,MATCH($G299,绊状态确认!$B:$B,)))*$EW$32*$EW$30*(1-$EW$33),0)</f>
        <v>19.999999999999886</v>
      </c>
      <c r="BJ299" s="1097">
        <f>IF(O299="vo",0.05*(1-$FI$26)*$FA$24,0)+IF(O299="sk",-(0.05-INDEX(绊状态确认!W:W,MATCH($G299,绊状态确认!$B:$B,)))*(1-$FI$26)*$FA$24+0.05*$FA$26,0)+IF(O299="sp",0.05*$FA$32*$FA$27*(1-$FA$33)/$FA$30+0.05*$FA$29/$FA$69*$FA$27*(1-$FA$33)-(0.05-INDEX(绊状态确认!V:V,MATCH($G299,绊状态确认!$B:$B,)))*$FA$26,0)+IF(O299="gd",-(0.05-INDEX(绊状态确认!X:X,MATCH($G299,绊状态确认!$B:$B,)))*$FA$32*$FA$27*(1-$FA$33)/$FA$30-(0.05-INDEX(绊状态确认!X:X,MATCH($G299,绊状态确认!$B:$B,)))*$FA$29/$FA$69*$FA$27*(1-$FA$33),0)</f>
        <v>545.83333333333326</v>
      </c>
      <c r="BK299" s="1110">
        <f>IF(O299="vo",$EW$26/$EW$24*0.05+$EW$26*(-HP($EW$62,$EW$65,$EW$64)+HP($EW$62,$EW$65,(1.05-INDEX(绊状态确认!U:U,MATCH($G299,绊状态确认!$B:$B,)))*$EW$64)),0)+IF(O299="sk",-$EW$26/$EW$24*(0.05-INDEX(绊状态确认!W:W,MATCH($G299,绊状态确认!$B:$B,)))+0.05*$EW$29,0)+IF(O299="sp",0.05*$EW$32*$EW$30*(1-$EW$33)-(0.05-INDEX(绊状态确认!V:V,MATCH($G299,绊状态确认!$B:$B,)))*$EW$29,0)+IF(O299="gd",-(0.05-INDEX(绊状态确认!X:X,MATCH($G299,绊状态确认!$B:$B,)))*$EW$32*$EW$30*(1-$EW$33)+$EW$26*(-HP($EW$62,$EW$65,$EW$64)+HP($EW$62,$EW$65,0.95*$EW$64)),0)</f>
        <v>-1780.0000000000005</v>
      </c>
      <c r="BL299" s="1111">
        <f t="shared" si="372"/>
        <v>-1083.3333333333333</v>
      </c>
      <c r="BM299" s="1110">
        <f t="shared" si="373"/>
        <v>-830.55555555555543</v>
      </c>
      <c r="BN299" s="1113">
        <f t="shared" si="374"/>
        <v>3</v>
      </c>
      <c r="BO299" s="1097">
        <f t="shared" si="375"/>
        <v>4507.7214871259994</v>
      </c>
      <c r="BP299" s="1100">
        <f t="shared" si="376"/>
        <v>221.34103209030098</v>
      </c>
      <c r="BQ299" s="1113" t="s">
        <v>134</v>
      </c>
      <c r="BR299" s="1124" t="s">
        <v>171</v>
      </c>
      <c r="BS299" s="1098">
        <f>IF($P299="","N/A",IF($P299=-1,INDEX('卡片raw data'!AX:AX,MATCH($D299,'卡片raw data'!$F:$F,)),0)+IF($L299="party卡",IF($P299=5,INDEX('卡片raw data'!BD:BD,MATCH($D299,'卡片raw data'!$F:$F,)),IF($P299&gt;=3,INDEX('卡片raw data'!BC:BC,MATCH($D299,'卡片raw data'!$F:$F,)),INDEX('卡片raw data'!BB:BB,MATCH($D299,'卡片raw data'!$F:$F,)))),IF(OR(AND($F299="UR",$P299=0),AND($F299="SR",$P299&gt;=0,$P299&lt;=2),AND($F299="R",$P299&gt;=0,$P299&lt;4)),INDEX('卡片raw data'!AZ:AZ,MATCH($D299,'卡片raw data'!$F:$F,)),0)+IF(OR(AND($F299="UR",$P299&gt;=1,$P299&lt;=4),AND($F299="SR",$P299&lt;=4,$P299&gt;=3),AND($F299="R",$P299=4)),INDEX('卡片raw data'!BA:BA,MATCH($D299,'卡片raw data'!$F:$F,)),0)+IF($P299=5,INDEX('卡片raw data'!BB:BB,MATCH($D299,'卡片raw data'!$F:$F,)),0)))</f>
        <v>3.2000000000000001E-2</v>
      </c>
      <c r="BT299" s="1101">
        <f t="shared" si="377"/>
        <v>1509.2469769191675</v>
      </c>
      <c r="BU299" s="1097">
        <f t="shared" si="378"/>
        <v>95.522578685765595</v>
      </c>
      <c r="BV299" s="1097">
        <f t="shared" si="379"/>
        <v>754.62348845958354</v>
      </c>
      <c r="BW299" s="1112">
        <f t="shared" si="380"/>
        <v>0</v>
      </c>
      <c r="BX299" s="1100">
        <f t="shared" si="381"/>
        <v>1509.2469769191675</v>
      </c>
      <c r="BY299" s="1110">
        <f t="shared" si="382"/>
        <v>754.62348845958354</v>
      </c>
      <c r="BZ299" s="1107" t="s">
        <v>569</v>
      </c>
      <c r="CA299" s="1124"/>
      <c r="CB299" s="1098">
        <f>IF($P299="","N/A",IF($P299=-1,INDEX('卡片raw data'!BE:BE,MATCH($D299,'卡片raw data'!$F:$F,)),0)+IF($L299="party卡",IF($P299=5,INDEX('卡片raw data'!BK:BK,MATCH($D299,'卡片raw data'!$F:$F,)),IF($P299&gt;=3,INDEX('卡片raw data'!BJ:BJ,MATCH($D299,'卡片raw data'!$F:$F,)),INDEX('卡片raw data'!BI:BI,MATCH($D299,'卡片raw data'!$F:$F,)))),IF(OR(AND($F299="UR",$P299=0),AND($F299="SR",$P299&gt;=0,$P299&lt;=2),AND($F299="R",$P299&gt;=0,$P299&lt;4)),INDEX('卡片raw data'!BG:BG,MATCH($D299,'卡片raw data'!$F:$F,)),0)+IF(OR(AND($F299="UR",$P299&gt;=1,$P299&lt;=4),AND($F299="SR",$P299&lt;=4,$P299&gt;=3),AND($F299="R",$P299=4)),INDEX('卡片raw data'!BH:BH,MATCH($D299,'卡片raw data'!$F:$F,)),0)+IF($P299=5,INDEX('卡片raw data'!BI:BI,MATCH($D299,'卡片raw data'!$F:$F,)),0)))</f>
        <v>0</v>
      </c>
      <c r="CC299" s="1101">
        <f t="shared" si="383"/>
        <v>0</v>
      </c>
      <c r="CD299" s="1097">
        <f>IF(BZ299="ap",CB299*(1-$FI$26)*$FB$5/$FB$11*(+IF(CA299="全员",$FA$24,0)+IF(CA299="同作战",$FA$24,0)+IF(CA299="仲间",$FA$24*2/3,0)+IF(CA299="同属性",$FA$24*$FA$37/3,0)+IF(CA299="同年级",$FA$24*$FA$40/3,0)+IF(CA299="同学校",$FA$24*$FA$43/3,0)+IF(CA299="同小队",$FA$24*$FA$46/3,0)+IF(CA299="同type",$FA$24*INDEX($FB$49:$FB$52,MATCH(X299,$FA$49:$FA$52,))/3,0)+IF(CA299="自身",#REF!/3,0)),0)+IF(BZ299="te",CB299*(1-$FI$27)*($FA$20-1)*$FB$7/$FB$13*(+IF(CA299="全员",$FA$19*$FA$24/(1+($FA$20-1)*$FA$19),0)+IF(CA299="同作战",$FA$19*$FA$24/(1+($FA$20-1)*$FA$19),0)+IF(CA299="仲间",$FA$19*$FA$24*2/3/(1+($FA$20-1)*$FA$19),0)+IF(CA299="同属性",$FA$19*$FA$24*$FA$37/3/(1+($FA$20-1)*$FA$19),0)+IF(CA299="同年级",$FA$19*$FA$24*$FA$40/3/(1+($FA$20-1)*$FA$19),0)+IF(CA299="同学校",$FA$19*$FA$24*$FA$43/3/(1+($FA$20-1)*$FA$19),0)+IF(CA299="同小队",$FA$19*$FA$24*$FA$46/3/(1+($FA$20-1)*$FA$19),0)+IF(CA299="同type",$FA$19*$FA$24*INDEX($FB$49:$FB$52,MATCH(X299,$FA$49:$FA$52,))/3/(1+($FA$20-1)*$FA$19),0)+IF(CA299="自身",$FA$19*#REF!/3/(1+(BH299-1)*$BD299),0)),0)</f>
        <v>0</v>
      </c>
      <c r="CE299" s="1097">
        <f t="shared" si="384"/>
        <v>0</v>
      </c>
      <c r="CF299" s="1112">
        <f t="shared" si="385"/>
        <v>0</v>
      </c>
      <c r="CG299" s="1100">
        <f t="shared" si="386"/>
        <v>0</v>
      </c>
      <c r="CH299" s="1110">
        <f t="shared" si="387"/>
        <v>0</v>
      </c>
      <c r="CI299" s="1113" t="s">
        <v>165</v>
      </c>
      <c r="CJ299" s="1114">
        <v>1</v>
      </c>
      <c r="CK299" s="1115" t="s">
        <v>549</v>
      </c>
      <c r="CL299" s="1115" t="s">
        <v>1940</v>
      </c>
      <c r="CM299" s="1119">
        <v>0.04</v>
      </c>
      <c r="CN299" s="1115"/>
      <c r="CO299" s="1092"/>
      <c r="CP299" s="1116">
        <f t="shared" si="388"/>
        <v>3.4361671750857141</v>
      </c>
      <c r="CQ299" s="1116">
        <f t="shared" si="389"/>
        <v>5.5364936361557318</v>
      </c>
      <c r="CR299" s="1116">
        <f t="shared" si="390"/>
        <v>3.4361671750857141</v>
      </c>
      <c r="CS299" s="1118">
        <f t="shared" si="391"/>
        <v>0</v>
      </c>
      <c r="CT299" s="1109">
        <f t="shared" si="392"/>
        <v>5.6124063859733333</v>
      </c>
      <c r="CU299" s="1101">
        <f t="shared" si="393"/>
        <v>214.76044844285715</v>
      </c>
      <c r="CV299" s="1108">
        <f t="shared" si="394"/>
        <v>230.68723483982217</v>
      </c>
      <c r="CW299" s="1097">
        <f t="shared" si="395"/>
        <v>214.76044844285715</v>
      </c>
      <c r="CX299" s="1097">
        <f t="shared" si="396"/>
        <v>214.76044844285715</v>
      </c>
      <c r="CY299" s="1110">
        <f t="shared" si="397"/>
        <v>214.76044844285715</v>
      </c>
      <c r="CZ299" s="437"/>
      <c r="DA299" s="438"/>
      <c r="DB299" s="439" t="s">
        <v>569</v>
      </c>
      <c r="DC299" s="439"/>
      <c r="DD299" s="443"/>
      <c r="DE299" s="411"/>
      <c r="DF299" s="411"/>
      <c r="DG299" s="1116">
        <f t="shared" si="398"/>
        <v>0</v>
      </c>
      <c r="DH299" s="1116">
        <f t="shared" si="399"/>
        <v>0</v>
      </c>
      <c r="DI299" s="1116">
        <f t="shared" si="400"/>
        <v>0</v>
      </c>
      <c r="DJ299" s="442">
        <f t="shared" si="401"/>
        <v>0</v>
      </c>
      <c r="DK299" s="1109">
        <f t="shared" si="402"/>
        <v>0</v>
      </c>
      <c r="DL299" s="1101">
        <f t="shared" si="403"/>
        <v>0</v>
      </c>
      <c r="DM299" s="1097">
        <f t="shared" si="404"/>
        <v>0</v>
      </c>
      <c r="DN299" s="1097">
        <f t="shared" si="405"/>
        <v>0</v>
      </c>
      <c r="DO299" s="1097">
        <f t="shared" si="406"/>
        <v>0</v>
      </c>
      <c r="DP299" s="1110">
        <f t="shared" si="407"/>
        <v>0</v>
      </c>
      <c r="DQ299" s="1113" t="s">
        <v>906</v>
      </c>
      <c r="DR299" s="1120">
        <f t="shared" si="408"/>
        <v>0.3</v>
      </c>
      <c r="DS299" s="1124"/>
      <c r="DT299" s="1093" t="s">
        <v>907</v>
      </c>
      <c r="DU299" s="1093"/>
      <c r="DV299" s="1098">
        <f>IF($P299="","N/A",IF(P299=-1,INDEX('卡片raw data'!AN:AN,MATCH(D299,'卡片raw data'!$F:$F,)),0)+IF(AND(L299&lt;&gt;"party卡",P299&lt;=2,P299&gt;=0),INDEX('卡片raw data'!AP:AP,MATCH(D299,'卡片raw data'!$F:$F,)),0)+IF(OR(AND(L299="party卡",P299&lt;=1),AND(P299&lt;=4,L299&lt;&gt;"party卡",P299&gt;=3)),INDEX('卡片raw data'!AQ:AQ,MATCH(D299,'卡片raw data'!$F:$F,)),0)+IF(OR(P299=5,AND(L299="party卡",P299&gt;=2)),INDEX('卡片raw data'!AR:AR,MATCH(D299,'卡片raw data'!$F:$F,)),0))</f>
        <v>0.22</v>
      </c>
      <c r="DW299" s="1098">
        <f t="shared" si="409"/>
        <v>0.3</v>
      </c>
      <c r="DX299" s="1098">
        <f t="shared" si="410"/>
        <v>0.3</v>
      </c>
      <c r="DY299" s="1125">
        <f t="shared" si="411"/>
        <v>390.00766801339199</v>
      </c>
      <c r="DZ299" s="1125">
        <f t="shared" si="412"/>
        <v>337.35663283158408</v>
      </c>
      <c r="EA299" s="1098">
        <f t="shared" si="413"/>
        <v>0</v>
      </c>
      <c r="EB299" s="1121">
        <f t="shared" si="414"/>
        <v>0</v>
      </c>
      <c r="EC299" s="1101">
        <f t="shared" si="415"/>
        <v>557.71096525915061</v>
      </c>
      <c r="ED299" s="1097">
        <f t="shared" si="416"/>
        <v>0</v>
      </c>
      <c r="EE299" s="1110">
        <f t="shared" si="417"/>
        <v>557.71096525915061</v>
      </c>
      <c r="EF299" s="1092" t="s">
        <v>569</v>
      </c>
      <c r="EG299" s="1120">
        <f t="shared" si="418"/>
        <v>0.3</v>
      </c>
      <c r="EH299" s="1124"/>
      <c r="EI299" s="1093"/>
      <c r="EJ299" s="1093"/>
      <c r="EK299" s="1097">
        <f>IF($P299="","N/A",IF(P299=-1,INDEX('卡片raw data'!AS:AS,MATCH(D299,'卡片raw data'!$F:$F,)),0)+IF(AND(L299&lt;&gt;"party卡",P299&lt;=2,P299&gt;=0),INDEX('卡片raw data'!AU:AU,MATCH(D299,'卡片raw data'!$F:$F,)),0)+IF(OR(AND(L299="party卡",P299&lt;=1),AND(P299&lt;=4,L299&lt;&gt;"party卡",P299&gt;=3)),INDEX('卡片raw data'!AV:AV,MATCH(D299,'卡片raw data'!$F:$F,)),0)+IF(OR(P299=5,AND(L299="party卡",P299&gt;=2)),INDEX('卡片raw data'!AW:AW,MATCH(D299,'卡片raw data'!$F:$F,)),0))</f>
        <v>0</v>
      </c>
      <c r="EL299" s="1098">
        <f t="shared" si="419"/>
        <v>0.3</v>
      </c>
      <c r="EM299" s="1098">
        <f t="shared" si="420"/>
        <v>0.3</v>
      </c>
      <c r="EN299" s="1125">
        <f t="shared" si="421"/>
        <v>0</v>
      </c>
      <c r="EO299" s="1125">
        <f t="shared" si="422"/>
        <v>0</v>
      </c>
      <c r="EP299" s="1098">
        <f t="shared" si="423"/>
        <v>0</v>
      </c>
      <c r="EQ299" s="1121">
        <f t="shared" si="424"/>
        <v>0</v>
      </c>
      <c r="ER299" s="1101">
        <f t="shared" si="425"/>
        <v>0</v>
      </c>
      <c r="ES299" s="1097">
        <f t="shared" si="426"/>
        <v>0</v>
      </c>
      <c r="ET299" s="1122">
        <f t="shared" si="427"/>
        <v>0</v>
      </c>
    </row>
    <row r="300" spans="2:150" ht="16.5" customHeight="1">
      <c r="B300" s="1123" t="str">
        <f>INDEX('卡片raw data'!B:B,MATCH($D300,'卡片raw data'!$F:$F,))</f>
        <v>玩具妮</v>
      </c>
      <c r="C300" s="449" t="s">
        <v>902</v>
      </c>
      <c r="D300" s="408">
        <v>297</v>
      </c>
      <c r="E300" s="1090">
        <v>400093002</v>
      </c>
      <c r="F300" s="1090" t="str">
        <f>INDEX('卡片raw data'!C:C,MATCH($D300,'卡片raw data'!$F:$F,))</f>
        <v>UR</v>
      </c>
      <c r="G300" s="1094" t="s">
        <v>897</v>
      </c>
      <c r="H300" s="411">
        <f>IFERROR(INDEX(绊状态确认!C:C,MATCH($G300,绊状态确认!$B:$B,)),"")</f>
        <v>9</v>
      </c>
      <c r="I300" s="450" t="str">
        <f>IFERROR(INDEX(绊状态确认!D:D,MATCH($G300,绊状态确认!$B:$B,)),"")</f>
        <v>缪</v>
      </c>
      <c r="J300" s="450" t="str">
        <f>IFERROR(INDEX(绊状态确认!E:E,MATCH($G300,绊状态确认!$B:$B,)),"")</f>
        <v>3年级</v>
      </c>
      <c r="K300" s="451" t="str">
        <f>IFERROR(INDEX(绊状态确认!F:F,MATCH($G300,绊状态确认!$B:$B,)),"")</f>
        <v>BiBi</v>
      </c>
      <c r="L300" s="1094" t="str">
        <f>INDEX('卡片raw data'!E:E,MATCH($D300,'卡片raw data'!$F:$F,))</f>
        <v>卡池卡</v>
      </c>
      <c r="M300" s="415">
        <v>44061</v>
      </c>
      <c r="N300" s="416">
        <v>22</v>
      </c>
      <c r="O300" s="1091" t="str">
        <f>INDEX('卡片raw data'!D:D,MATCH($D300,'卡片raw data'!$F:$F,))</f>
        <v>gd</v>
      </c>
      <c r="P300" s="417">
        <v>5</v>
      </c>
      <c r="Q300" s="1095">
        <f t="shared" si="343"/>
        <v>31370.980029754948</v>
      </c>
      <c r="R300" s="1096">
        <f t="shared" si="344"/>
        <v>0.36399999999999999</v>
      </c>
      <c r="S300" s="1097">
        <f t="shared" si="345"/>
        <v>16607.270545699655</v>
      </c>
      <c r="T300" s="1098">
        <f t="shared" si="346"/>
        <v>0.83</v>
      </c>
      <c r="U300" s="1099">
        <f t="shared" si="347"/>
        <v>100.37300858285715</v>
      </c>
      <c r="V300" s="1100">
        <f t="shared" si="348"/>
        <v>41966.488222757209</v>
      </c>
      <c r="W300" s="1101">
        <f t="shared" si="349"/>
        <v>4507.7214871259994</v>
      </c>
      <c r="X300" s="1096">
        <f t="shared" si="350"/>
        <v>5.1999999999999998E-2</v>
      </c>
      <c r="Y300" s="1097">
        <f t="shared" si="351"/>
        <v>2211.5165961853072</v>
      </c>
      <c r="Z300" s="1102">
        <f t="shared" si="352"/>
        <v>27.11050858285714</v>
      </c>
      <c r="AA300" s="1103">
        <f t="shared" si="353"/>
        <v>6719.2380833113066</v>
      </c>
      <c r="AB300" s="1101">
        <f t="shared" si="354"/>
        <v>4507.7214871259994</v>
      </c>
      <c r="AC300" s="1104">
        <f t="shared" si="355"/>
        <v>5.1999999999999998E-2</v>
      </c>
      <c r="AD300" s="1105">
        <f t="shared" si="356"/>
        <v>0</v>
      </c>
      <c r="AE300" s="1128">
        <f t="shared" si="357"/>
        <v>-6.25</v>
      </c>
      <c r="AF300" s="1130">
        <f t="shared" si="358"/>
        <v>0</v>
      </c>
      <c r="AG300" s="420">
        <f t="shared" si="359"/>
        <v>0</v>
      </c>
      <c r="AH300" s="420">
        <f t="shared" si="360"/>
        <v>0</v>
      </c>
      <c r="AI300" s="1097">
        <f t="shared" si="361"/>
        <v>0</v>
      </c>
      <c r="AJ300" s="420">
        <f t="shared" si="362"/>
        <v>0</v>
      </c>
      <c r="AK300" s="518">
        <f t="shared" si="363"/>
        <v>0</v>
      </c>
      <c r="AL300" s="1106">
        <f>IF($P300="","N/A",(IF($P300=-1,INDEX('卡片raw data'!S:S,MATCH($D300,'卡片raw data'!$F:$F,)),0)+IF($P300=0,INDEX('卡片raw data'!V:V,MATCH($D300,'卡片raw data'!$F:$F,)),0)+IF($P300=1,INDEX('卡片raw data'!Y:Y,MATCH($D300,'卡片raw data'!$F:$F,)),0)+IF($P300=2,INDEX('卡片raw data'!AB:AB,MATCH($D300,'卡片raw data'!$F:$F,)),0)+IF($P300=3,INDEX('卡片raw data'!AE:AE,MATCH($D300,'卡片raw data'!$F:$F,)),0)+IF($P300=4,INDEX('卡片raw data'!AH:AH,MATCH($D300,'卡片raw data'!$F:$F,)),0)+IF($P300=5,INDEX('卡片raw data'!AK:AK,MATCH($D300,'卡片raw data'!$F:$F,)),0)+INDEX('卡片raw data'!S:S,MATCH($D300,'卡片raw data'!$F:$F,))*(IF($F300="UR",0.04,0.033))*(IF($F300="UR",INDEX(绊状态确认!$S:$S,MATCH($G300,绊状态确认!$B:$B,))/2-40)+IF($F300="SR",INDEX(绊状态确认!$R:$R,MATCH($G300,绊状态确认!$B:$B,))/4-15))+IF($F300="R",INDEX(绊状态确认!$Q:$Q,MATCH($G300,绊状态确认!$B:$B,))/6-40/6)))*(INDEX(绊状态确认!$H:$H,MATCH($G300,绊状态确认!$B:$B,))+INDEX(绊状态确认!J:J,MATCH($G300,绊状态确认!$B:$B,)))</f>
        <v>9264.8419199999989</v>
      </c>
      <c r="AM300" s="1106">
        <f>IF($P300="","N/A",(IF($P300=-1,INDEX('卡片raw data'!T:T,MATCH($D300,'卡片raw data'!$F:$F,)),0)+IF($P300=0,INDEX('卡片raw data'!W:W,MATCH($D300,'卡片raw data'!$F:$F,)),0)+IF($P300=1,INDEX('卡片raw data'!Z:Z,MATCH($D300,'卡片raw data'!$F:$F,)),0)+IF($P300=2,INDEX('卡片raw data'!AC:AC,MATCH($D300,'卡片raw data'!$F:$F,)),0)+IF($P300=3,INDEX('卡片raw data'!AF:AF,MATCH($D300,'卡片raw data'!$F:$F,)),0)+IF($P300=4,INDEX('卡片raw data'!AI:AI,MATCH($D300,'卡片raw data'!$F:$F,)),0)+IF($P300=5,INDEX('卡片raw data'!AL:AL,MATCH($D300,'卡片raw data'!$F:$F,)),0)+INDEX('卡片raw data'!T:T,MATCH($D300,'卡片raw data'!$F:$F,))*(IF($F300="UR",0.04,0.033))*(IF($F300="UR",INDEX(绊状态确认!$S:$S,MATCH($G300,绊状态确认!$B:$B,))/2-40)+IF($F300="SR",INDEX(绊状态确认!$R:$R,MATCH($G300,绊状态确认!$B:$B,))/4-15))+IF($F300="R",INDEX(绊状态确认!$Q:$Q,MATCH($G300,绊状态确认!$B:$B,))/6-40/6)))*(INDEX(绊状态确认!$H:$H,MATCH($G300,绊状态确认!$B:$B,))+INDEX(绊状态确认!K:K,MATCH($G300,绊状态确认!$B:$B,)))</f>
        <v>14891.385599999998</v>
      </c>
      <c r="AN300" s="1106">
        <f>IF($P300="","N/A",(IF($P300=-1,INDEX('卡片raw data'!U:U,MATCH($D300,'卡片raw data'!$F:$F,)),0)+IF($P300=0,INDEX('卡片raw data'!X:X,MATCH($D300,'卡片raw data'!$F:$F,)),0)+IF($P300=1,INDEX('卡片raw data'!AA:AA,MATCH($D300,'卡片raw data'!$F:$F,)),0)+IF($P300=2,INDEX('卡片raw data'!AD:AD,MATCH($D300,'卡片raw data'!$F:$F,)),0)+IF($P300=3,INDEX('卡片raw data'!AG:AG,MATCH($D300,'卡片raw data'!$F:$F,)),0)+IF($P300=4,INDEX('卡片raw data'!AJ:AJ,MATCH($D300,'卡片raw data'!$F:$F,)),0)+IF($P300=5,INDEX('卡片raw data'!AM:AM,MATCH($D300,'卡片raw data'!$F:$F,)),0)+INDEX('卡片raw data'!U:U,MATCH($D300,'卡片raw data'!$F:$F,))*(IF($F300="UR",0.04,0.033))*(IF($F300="UR",INDEX(绊状态确认!$S:$S,MATCH($G300,绊状态确认!$B:$B,))/2-40)+IF($F300="SR",INDEX(绊状态确认!$R:$R,MATCH($G300,绊状态确认!$B:$B,))/4-15))+IF($F300="R",INDEX(绊状态确认!$Q:$Q,MATCH($G300,绊状态确认!$B:$B,))/6-40/6)))*(INDEX(绊状态确认!$H:$H,MATCH($G300,绊状态确认!$B:$B,))+INDEX(绊状态确认!L:L,MATCH($G300,绊状态确认!$B:$B,)))</f>
        <v>8934.6040799999992</v>
      </c>
      <c r="AO300" s="1107">
        <f t="shared" si="364"/>
        <v>1</v>
      </c>
      <c r="AP300" s="1131">
        <f>1+(INDEX(绊状态确认!$T:$T,MATCH($G300,绊状态确认!$B:$B,))+0.2)*$AO300</f>
        <v>1.3</v>
      </c>
      <c r="AQ300" s="1108">
        <f t="shared" si="365"/>
        <v>27570.210039999998</v>
      </c>
      <c r="AR300" s="1097">
        <f>(AM300*(1+$EX$9)+$EX$35)*(1+(INDEX(绊状态确认!$T:$T,MATCH($G300,绊状态确认!$B:$B,))+0.2)*AO300)*IF(J300=$FF$17,1+$FE$17,1)*IF(I300=$FF$14,1+$FE$14,1)*(1+$FE$15)</f>
        <v>23030.741343999998</v>
      </c>
      <c r="AS300" s="1097">
        <f>(AN300*(1+$EX$10)+$EX$36)*(1+(INDEX(绊状态确认!$T:$T,MATCH($G300,绊状态确认!$B:$B,))+0.2)*AO300)*IF(J300=$FF$17,1+$FE$17,1)*IF(I300=$FF$14,1+$FE$14,1)*(1+$FE$15)</f>
        <v>17413.233099599998</v>
      </c>
      <c r="AT300" s="1093">
        <f>IF(AND(INDEX('卡片raw data'!AK:AK,MATCH($D300,'卡片raw data'!$F:$F,))&lt;INDEX('卡片raw data'!AM:AM,MATCH($D300,'卡片raw data'!$F:$F,)),INDEX('卡片raw data'!AL:AL,MATCH($D300,'卡片raw data'!$F:$F,))&lt;INDEX('卡片raw data'!AM:AM,MATCH($D300,'卡片raw data'!$F:$F,))),1,0)</f>
        <v>0</v>
      </c>
      <c r="AU300" s="1098">
        <f>MIN(AT300*0.15+AS300*0.00003+INDEX(绊状态确认!M:M,MATCH($G300,绊状态确认!$B:$B,)),1)</f>
        <v>0.55239699298799994</v>
      </c>
      <c r="AV300" s="1109">
        <f>(INDEX(绊状态确认!$N:$N,MATCH($G300,绊状态确认!$B:$B,))+1.5)*$EW$21</f>
        <v>2.6599999999999997</v>
      </c>
      <c r="AW300" s="1101">
        <f t="shared" si="366"/>
        <v>27448.258542628948</v>
      </c>
      <c r="AX300" s="1097">
        <f t="shared" si="367"/>
        <v>2021.0199549399224</v>
      </c>
      <c r="AY300" s="1110">
        <f t="shared" si="368"/>
        <v>29469.27849756887</v>
      </c>
      <c r="AZ300" s="429">
        <f t="shared" si="369"/>
        <v>20666.441743999996</v>
      </c>
      <c r="BA300" s="431">
        <f t="shared" si="370"/>
        <v>24799.730092799993</v>
      </c>
      <c r="BB300" s="1097">
        <f>(AM300*(1+$FB$9)+$FB$35)*(1+(INDEX(绊状态确认!$T:$T,MATCH($G300,绊状态确认!$B:$B,))+0.2)*AO300)*IF(J300=$FF$17,1+$FE$17,1)*IF(I300=$FF$14,1+$FE$14,1)*(1+$FE$15)</f>
        <v>23030.741343999998</v>
      </c>
      <c r="BC300" s="1097">
        <f>(AN300*(1+$FB$10)+$FB$36)*(1+(INDEX(绊状态确认!$T:$T,MATCH($G300,绊状态确认!$B:$B,))+0.2)*AO300)*IF(J300=$FF$17,1+$FE$17,1)*IF(I300=$FF$14,1+$FE$14,1)*(1+$FE$15)</f>
        <v>17413.233099599998</v>
      </c>
      <c r="BD300" s="1104">
        <f>MIN(AT300*0.15+BC300*0.00003+INDEX(绊状态确认!M:M,MATCH($G300,绊状态确认!$B:$B,)),1)</f>
        <v>0.55239699298799994</v>
      </c>
      <c r="BE300" s="432">
        <f>(INDEX(绊状态确认!$N:$N,MATCH($G300,绊状态确认!$B:$B,))+1.5)</f>
        <v>1.9</v>
      </c>
      <c r="BF300" s="1139">
        <f t="array" ref="BF300">SUMPRODUCT(IF(AZ300*AP300*$FI$16:$FI$23*$FA$22&gt;=$FI$24,$FI$24,AZ300*AP300*$FI$16:$FI$23*$FA$22),$FJ$16:$FJ$23)</f>
        <v>41105.552628815989</v>
      </c>
      <c r="BG300" s="1125">
        <f t="array" ref="BG300">SUMPRODUCT(IF(BE300*AZ300*AP300*$FI$16:$FI$23*$FA$22&gt;=$FI$24,$FI$24,BE300*AZ300*AP300*$FI$16:$FI$23*$FA$22),$FJ$16:$FJ$23)</f>
        <v>60000</v>
      </c>
      <c r="BH300" s="1110">
        <f t="shared" si="371"/>
        <v>17180.929513609353</v>
      </c>
      <c r="BI300" s="1111">
        <f>IF(O300="vo",$EW$26/$EW$24*0.05,0)+IF(O300="sk",-$EW$26/$EW$24*(0.05-INDEX(绊状态确认!W:W,MATCH($G300,绊状态确认!$B:$B,)))+0.05*$EW$28,0)+IF(O300="sp",0.05*$EW$32*$EW$30*(1-$EW$33)-(0.05-INDEX(绊状态确认!V:V,MATCH($G300,绊状态确认!$B:$B,)))*$EW$28,0)+IF(O300="gd",-(0.05-INDEX(绊状态确认!X:X,MATCH($G300,绊状态确认!$B:$B,)))*$EW$32*$EW$30*(1-$EW$33),0)</f>
        <v>-585.00000000000011</v>
      </c>
      <c r="BJ300" s="1097">
        <f>IF(O300="vo",0.05*(1-$FI$26)*$FA$24,0)+IF(O300="sk",-(0.05-INDEX(绊状态确认!W:W,MATCH($G300,绊状态确认!$B:$B,)))*(1-$FI$26)*$FA$24+0.05*$FA$26,0)+IF(O300="sp",0.05*$FA$32*$FA$27*(1-$FA$33)/$FA$30+0.05*$FA$29/$FA$69*$FA$27*(1-$FA$33)-(0.05-INDEX(绊状态确认!V:V,MATCH($G300,绊状态确认!$B:$B,)))*$FA$26,0)+IF(O300="gd",-(0.05-INDEX(绊状态确认!X:X,MATCH($G300,绊状态确认!$B:$B,)))*$FA$32*$FA$27*(1-$FA$33)/$FA$30-(0.05-INDEX(绊状态确认!X:X,MATCH($G300,绊状态确认!$B:$B,)))*$FA$29/$FA$69*$FA$27*(1-$FA$33),0)</f>
        <v>-795.00000000000011</v>
      </c>
      <c r="BK300" s="1110">
        <f>IF(O300="vo",$EW$26/$EW$24*0.05+$EW$26*(-HP($EW$62,$EW$65,$EW$64)+HP($EW$62,$EW$65,(1.05-INDEX(绊状态确认!U:U,MATCH($G300,绊状态确认!$B:$B,)))*$EW$64)),0)+IF(O300="sk",-$EW$26/$EW$24*(0.05-INDEX(绊状态确认!W:W,MATCH($G300,绊状态确认!$B:$B,)))+0.05*$EW$29,0)+IF(O300="sp",0.05*$EW$32*$EW$30*(1-$EW$33)-(0.05-INDEX(绊状态确认!V:V,MATCH($G300,绊状态确认!$B:$B,)))*$EW$29,0)+IF(O300="gd",-(0.05-INDEX(绊状态确认!X:X,MATCH($G300,绊状态确认!$B:$B,)))*$EW$32*$EW$30*(1-$EW$33)+$EW$26*(-HP($EW$62,$EW$65,$EW$64)+HP($EW$62,$EW$65,0.95*$EW$64)),0)</f>
        <v>1009.5947725176144</v>
      </c>
      <c r="BL300" s="1111">
        <f t="shared" si="372"/>
        <v>0</v>
      </c>
      <c r="BM300" s="1110">
        <f t="shared" si="373"/>
        <v>0</v>
      </c>
      <c r="BN300" s="1113">
        <f t="shared" si="374"/>
        <v>3</v>
      </c>
      <c r="BO300" s="1097">
        <f t="shared" si="375"/>
        <v>4507.7214871259994</v>
      </c>
      <c r="BP300" s="1100">
        <f t="shared" si="376"/>
        <v>221.34103209030098</v>
      </c>
      <c r="BQ300" s="1113" t="s">
        <v>908</v>
      </c>
      <c r="BR300" s="1124" t="s">
        <v>171</v>
      </c>
      <c r="BS300" s="1098">
        <f>IF($P300="","N/A",IF($P300=-1,INDEX('卡片raw data'!AX:AX,MATCH($D300,'卡片raw data'!$F:$F,)),0)+IF($L300="party卡",IF($P300=5,INDEX('卡片raw data'!BD:BD,MATCH($D300,'卡片raw data'!$F:$F,)),IF($P300&gt;=3,INDEX('卡片raw data'!BC:BC,MATCH($D300,'卡片raw data'!$F:$F,)),INDEX('卡片raw data'!BB:BB,MATCH($D300,'卡片raw data'!$F:$F,)))),IF(OR(AND($F300="UR",$P300=0),AND($F300="SR",$P300&gt;=0,$P300&lt;=2),AND($F300="R",$P300&gt;=0,$P300&lt;4)),INDEX('卡片raw data'!AZ:AZ,MATCH($D300,'卡片raw data'!$F:$F,)),0)+IF(OR(AND($F300="UR",$P300&gt;=1,$P300&lt;=4),AND($F300="SR",$P300&lt;=4,$P300&gt;=3),AND($F300="R",$P300=4)),INDEX('卡片raw data'!BA:BA,MATCH($D300,'卡片raw data'!$F:$F,)),0)+IF($P300=5,INDEX('卡片raw data'!BB:BB,MATCH($D300,'卡片raw data'!$F:$F,)),0)))</f>
        <v>5.1999999999999998E-2</v>
      </c>
      <c r="BT300" s="1101">
        <f t="shared" si="377"/>
        <v>0</v>
      </c>
      <c r="BU300" s="1097">
        <f t="shared" si="378"/>
        <v>0</v>
      </c>
      <c r="BV300" s="1097">
        <f t="shared" si="379"/>
        <v>0</v>
      </c>
      <c r="BW300" s="1112">
        <f t="shared" si="380"/>
        <v>2.4347142857142861</v>
      </c>
      <c r="BX300" s="1100">
        <f t="shared" si="381"/>
        <v>190.49664124538464</v>
      </c>
      <c r="BY300" s="1110">
        <f t="shared" si="382"/>
        <v>190.49664124538464</v>
      </c>
      <c r="BZ300" s="1107" t="s">
        <v>569</v>
      </c>
      <c r="CA300" s="1124"/>
      <c r="CB300" s="1098">
        <f>IF($P300="","N/A",IF($P300=-1,INDEX('卡片raw data'!BE:BE,MATCH($D300,'卡片raw data'!$F:$F,)),0)+IF($L300="party卡",IF($P300=5,INDEX('卡片raw data'!BK:BK,MATCH($D300,'卡片raw data'!$F:$F,)),IF($P300&gt;=3,INDEX('卡片raw data'!BJ:BJ,MATCH($D300,'卡片raw data'!$F:$F,)),INDEX('卡片raw data'!BI:BI,MATCH($D300,'卡片raw data'!$F:$F,)))),IF(OR(AND($F300="UR",$P300=0),AND($F300="SR",$P300&gt;=0,$P300&lt;=2),AND($F300="R",$P300&gt;=0,$P300&lt;4)),INDEX('卡片raw data'!BG:BG,MATCH($D300,'卡片raw data'!$F:$F,)),0)+IF(OR(AND($F300="UR",$P300&gt;=1,$P300&lt;=4),AND($F300="SR",$P300&lt;=4,$P300&gt;=3),AND($F300="R",$P300=4)),INDEX('卡片raw data'!BH:BH,MATCH($D300,'卡片raw data'!$F:$F,)),0)+IF($P300=5,INDEX('卡片raw data'!BI:BI,MATCH($D300,'卡片raw data'!$F:$F,)),0)))</f>
        <v>0</v>
      </c>
      <c r="CC300" s="1101">
        <f t="shared" si="383"/>
        <v>0</v>
      </c>
      <c r="CD300" s="1097">
        <f>IF(BZ300="ap",CB300*(1-$FI$26)*$FB$5/$FB$11*(+IF(CA300="全员",$FA$24,0)+IF(CA300="同作战",$FA$24,0)+IF(CA300="仲间",$FA$24*2/3,0)+IF(CA300="同属性",$FA$24*$FA$37/3,0)+IF(CA300="同年级",$FA$24*$FA$40/3,0)+IF(CA300="同学校",$FA$24*$FA$43/3,0)+IF(CA300="同小队",$FA$24*$FA$46/3,0)+IF(CA300="同type",$FA$24*INDEX($FB$49:$FB$52,MATCH(X300,$FA$49:$FA$52,))/3,0)+IF(CA300="自身",#REF!/3,0)),0)+IF(BZ300="te",CB300*(1-$FI$27)*($FA$20-1)*$FB$7/$FB$13*(+IF(CA300="全员",$FA$19*$FA$24/(1+($FA$20-1)*$FA$19),0)+IF(CA300="同作战",$FA$19*$FA$24/(1+($FA$20-1)*$FA$19),0)+IF(CA300="仲间",$FA$19*$FA$24*2/3/(1+($FA$20-1)*$FA$19),0)+IF(CA300="同属性",$FA$19*$FA$24*$FA$37/3/(1+($FA$20-1)*$FA$19),0)+IF(CA300="同年级",$FA$19*$FA$24*$FA$40/3/(1+($FA$20-1)*$FA$19),0)+IF(CA300="同学校",$FA$19*$FA$24*$FA$43/3/(1+($FA$20-1)*$FA$19),0)+IF(CA300="同小队",$FA$19*$FA$24*$FA$46/3/(1+($FA$20-1)*$FA$19),0)+IF(CA300="同type",$FA$19*$FA$24*INDEX($FB$49:$FB$52,MATCH(X300,$FA$49:$FA$52,))/3/(1+($FA$20-1)*$FA$19),0)+IF(CA300="自身",$FA$19*#REF!/3/(1+(BH300-1)*$BD300),0)),0)</f>
        <v>0</v>
      </c>
      <c r="CE300" s="1097">
        <f t="shared" si="384"/>
        <v>0</v>
      </c>
      <c r="CF300" s="1112">
        <f t="shared" si="385"/>
        <v>0</v>
      </c>
      <c r="CG300" s="1100">
        <f t="shared" si="386"/>
        <v>0</v>
      </c>
      <c r="CH300" s="1110">
        <f t="shared" si="387"/>
        <v>0</v>
      </c>
      <c r="CI300" s="1113" t="s">
        <v>170</v>
      </c>
      <c r="CJ300" s="1114">
        <v>1</v>
      </c>
      <c r="CK300" s="1115" t="s">
        <v>635</v>
      </c>
      <c r="CL300" s="1115" t="s">
        <v>1944</v>
      </c>
      <c r="CM300" s="1119">
        <v>0.3</v>
      </c>
      <c r="CN300" s="1115"/>
      <c r="CO300" s="1092">
        <v>2</v>
      </c>
      <c r="CP300" s="1116">
        <f t="shared" si="388"/>
        <v>24.675794297142854</v>
      </c>
      <c r="CQ300" s="1116">
        <f t="shared" si="389"/>
        <v>38.384568906666665</v>
      </c>
      <c r="CR300" s="1116">
        <f t="shared" si="390"/>
        <v>24.675794297142854</v>
      </c>
      <c r="CS300" s="1118">
        <f t="shared" si="391"/>
        <v>0</v>
      </c>
      <c r="CT300" s="1109">
        <f t="shared" si="392"/>
        <v>0</v>
      </c>
      <c r="CU300" s="1101">
        <f t="shared" si="393"/>
        <v>0</v>
      </c>
      <c r="CV300" s="1108">
        <f t="shared" si="394"/>
        <v>0</v>
      </c>
      <c r="CW300" s="1097">
        <f t="shared" si="395"/>
        <v>0</v>
      </c>
      <c r="CX300" s="1097">
        <f t="shared" si="396"/>
        <v>0</v>
      </c>
      <c r="CY300" s="1110">
        <f t="shared" si="397"/>
        <v>0</v>
      </c>
      <c r="CZ300" s="437"/>
      <c r="DA300" s="438"/>
      <c r="DB300" s="439" t="s">
        <v>569</v>
      </c>
      <c r="DC300" s="439"/>
      <c r="DD300" s="443"/>
      <c r="DE300" s="411"/>
      <c r="DF300" s="411"/>
      <c r="DG300" s="1116">
        <f t="shared" si="398"/>
        <v>0</v>
      </c>
      <c r="DH300" s="1116">
        <f t="shared" si="399"/>
        <v>0</v>
      </c>
      <c r="DI300" s="1116">
        <f t="shared" si="400"/>
        <v>0</v>
      </c>
      <c r="DJ300" s="442">
        <f t="shared" si="401"/>
        <v>0</v>
      </c>
      <c r="DK300" s="1109">
        <f t="shared" si="402"/>
        <v>0</v>
      </c>
      <c r="DL300" s="1101">
        <f t="shared" si="403"/>
        <v>0</v>
      </c>
      <c r="DM300" s="1097">
        <f t="shared" si="404"/>
        <v>0</v>
      </c>
      <c r="DN300" s="1097">
        <f t="shared" si="405"/>
        <v>0</v>
      </c>
      <c r="DO300" s="1097">
        <f t="shared" si="406"/>
        <v>0</v>
      </c>
      <c r="DP300" s="1110">
        <f t="shared" si="407"/>
        <v>0</v>
      </c>
      <c r="DQ300" s="1113" t="s">
        <v>909</v>
      </c>
      <c r="DR300" s="1120">
        <f t="shared" si="408"/>
        <v>0.33</v>
      </c>
      <c r="DS300" s="1124">
        <v>5</v>
      </c>
      <c r="DT300" s="1093" t="s">
        <v>904</v>
      </c>
      <c r="DU300" s="1093" t="s">
        <v>905</v>
      </c>
      <c r="DV300" s="1098">
        <f>IF($P300="","N/A",IF(P300=-1,INDEX('卡片raw data'!AN:AN,MATCH(D300,'卡片raw data'!$F:$F,)),0)+IF(AND(L300&lt;&gt;"party卡",P300&lt;=2,P300&gt;=0),INDEX('卡片raw data'!AP:AP,MATCH(D300,'卡片raw data'!$F:$F,)),0)+IF(OR(AND(L300="party卡",P300&lt;=1),AND(P300&lt;=4,L300&lt;&gt;"party卡",P300&gt;=3)),INDEX('卡片raw data'!AQ:AQ,MATCH(D300,'卡片raw data'!$F:$F,)),0)+IF(OR(P300=5,AND(L300="party卡",P300&gt;=2)),INDEX('卡片raw data'!AR:AR,MATCH(D300,'卡片raw data'!$F:$F,)),0))</f>
        <v>0.27</v>
      </c>
      <c r="DW300" s="1098">
        <f t="shared" si="409"/>
        <v>0.33</v>
      </c>
      <c r="DX300" s="1098">
        <f t="shared" si="410"/>
        <v>0.33</v>
      </c>
      <c r="DY300" s="1098">
        <f t="shared" si="411"/>
        <v>0.14850000000000002</v>
      </c>
      <c r="DZ300" s="1098">
        <f t="shared" si="412"/>
        <v>0.12845250000000002</v>
      </c>
      <c r="EA300" s="1098">
        <f t="shared" si="413"/>
        <v>0</v>
      </c>
      <c r="EB300" s="1121">
        <f t="shared" si="414"/>
        <v>0</v>
      </c>
      <c r="EC300" s="1101">
        <f t="shared" si="415"/>
        <v>0</v>
      </c>
      <c r="ED300" s="1097">
        <f t="shared" si="416"/>
        <v>0</v>
      </c>
      <c r="EE300" s="1110">
        <f t="shared" si="417"/>
        <v>6789.3968242993333</v>
      </c>
      <c r="EF300" s="1092" t="s">
        <v>569</v>
      </c>
      <c r="EG300" s="1120">
        <f t="shared" si="418"/>
        <v>0.33</v>
      </c>
      <c r="EH300" s="1124"/>
      <c r="EI300" s="1093"/>
      <c r="EJ300" s="1093"/>
      <c r="EK300" s="1097">
        <f>IF($P300="","N/A",IF(P300=-1,INDEX('卡片raw data'!AS:AS,MATCH(D300,'卡片raw data'!$F:$F,)),0)+IF(AND(L300&lt;&gt;"party卡",P300&lt;=2,P300&gt;=0),INDEX('卡片raw data'!AU:AU,MATCH(D300,'卡片raw data'!$F:$F,)),0)+IF(OR(AND(L300="party卡",P300&lt;=1),AND(P300&lt;=4,L300&lt;&gt;"party卡",P300&gt;=3)),INDEX('卡片raw data'!AV:AV,MATCH(D300,'卡片raw data'!$F:$F,)),0)+IF(OR(P300=5,AND(L300="party卡",P300&gt;=2)),INDEX('卡片raw data'!AW:AW,MATCH(D300,'卡片raw data'!$F:$F,)),0))</f>
        <v>0</v>
      </c>
      <c r="EL300" s="1098">
        <f t="shared" si="419"/>
        <v>0.33</v>
      </c>
      <c r="EM300" s="1098">
        <f t="shared" si="420"/>
        <v>0.33</v>
      </c>
      <c r="EN300" s="1125">
        <f t="shared" si="421"/>
        <v>0</v>
      </c>
      <c r="EO300" s="1125">
        <f t="shared" si="422"/>
        <v>0</v>
      </c>
      <c r="EP300" s="1098">
        <f t="shared" si="423"/>
        <v>0</v>
      </c>
      <c r="EQ300" s="1121">
        <f t="shared" si="424"/>
        <v>0</v>
      </c>
      <c r="ER300" s="1101">
        <f t="shared" si="425"/>
        <v>0</v>
      </c>
      <c r="ES300" s="1097">
        <f t="shared" si="426"/>
        <v>0</v>
      </c>
      <c r="ET300" s="1122">
        <f t="shared" si="427"/>
        <v>0</v>
      </c>
    </row>
    <row r="301" spans="2:150" ht="16.5" customHeight="1">
      <c r="B301" s="1123" t="str">
        <f>INDEX('卡片raw data'!B:B,MATCH($D301,'卡片raw data'!$F:$F,))</f>
        <v>玩具爱</v>
      </c>
      <c r="C301" s="449" t="s">
        <v>903</v>
      </c>
      <c r="D301" s="408">
        <v>298</v>
      </c>
      <c r="E301" s="1090">
        <v>402053002</v>
      </c>
      <c r="F301" s="1090" t="str">
        <f>INDEX('卡片raw data'!C:C,MATCH($D301,'卡片raw data'!$F:$F,))</f>
        <v>UR</v>
      </c>
      <c r="G301" s="1094" t="s">
        <v>898</v>
      </c>
      <c r="H301" s="411">
        <f>IFERROR(INDEX(绊状态确认!C:C,MATCH($G301,绊状态确认!$B:$B,)),"")</f>
        <v>205</v>
      </c>
      <c r="I301" s="450" t="str">
        <f>IFERROR(INDEX(绊状态确认!D:D,MATCH($G301,绊状态确认!$B:$B,)),"")</f>
        <v>虹</v>
      </c>
      <c r="J301" s="450" t="str">
        <f>IFERROR(INDEX(绊状态确认!E:E,MATCH($G301,绊状态确认!$B:$B,)),"")</f>
        <v>2年级</v>
      </c>
      <c r="K301" s="451" t="str">
        <f>IFERROR(INDEX(绊状态确认!F:F,MATCH($G301,绊状态确认!$B:$B,)),"")</f>
        <v>Diver Diva</v>
      </c>
      <c r="L301" s="1094" t="str">
        <f>INDEX('卡片raw data'!E:E,MATCH($D301,'卡片raw data'!$F:$F,))</f>
        <v>活动卡</v>
      </c>
      <c r="M301" s="415">
        <v>44061</v>
      </c>
      <c r="N301" s="416">
        <v>22</v>
      </c>
      <c r="O301" s="1091" t="str">
        <f>INDEX('卡片raw data'!D:D,MATCH($D301,'卡片raw data'!$F:$F,))</f>
        <v>sp</v>
      </c>
      <c r="P301" s="417">
        <v>5</v>
      </c>
      <c r="Q301" s="1095">
        <f t="shared" si="343"/>
        <v>39953.154329090568</v>
      </c>
      <c r="R301" s="1096">
        <f t="shared" si="344"/>
        <v>0.46400000000000002</v>
      </c>
      <c r="S301" s="1097">
        <f t="shared" si="345"/>
        <v>19573.589051831685</v>
      </c>
      <c r="T301" s="1098">
        <f t="shared" si="346"/>
        <v>0.97799999999999998</v>
      </c>
      <c r="U301" s="1099">
        <f t="shared" si="347"/>
        <v>13.393309405542857</v>
      </c>
      <c r="V301" s="1100">
        <f t="shared" si="348"/>
        <v>39224.671703437423</v>
      </c>
      <c r="W301" s="1101">
        <f t="shared" si="349"/>
        <v>4871.3578507623633</v>
      </c>
      <c r="X301" s="1096">
        <f t="shared" si="350"/>
        <v>5.6000000000000001E-2</v>
      </c>
      <c r="Y301" s="1097">
        <f t="shared" si="351"/>
        <v>1071.5173743468486</v>
      </c>
      <c r="Z301" s="1102">
        <f t="shared" si="352"/>
        <v>13.393309405542857</v>
      </c>
      <c r="AA301" s="1103">
        <f t="shared" si="353"/>
        <v>5942.8752251092119</v>
      </c>
      <c r="AB301" s="1101">
        <f t="shared" si="354"/>
        <v>6159.431768763845</v>
      </c>
      <c r="AC301" s="1104">
        <f t="shared" si="355"/>
        <v>7.0999999999999994E-2</v>
      </c>
      <c r="AD301" s="1105">
        <f t="shared" si="356"/>
        <v>-4.6986111111111135E-3</v>
      </c>
      <c r="AE301" s="1128">
        <f t="shared" si="357"/>
        <v>16.464266409918583</v>
      </c>
      <c r="AF301" s="1130">
        <f t="shared" si="358"/>
        <v>0</v>
      </c>
      <c r="AG301" s="420">
        <f t="shared" si="359"/>
        <v>0</v>
      </c>
      <c r="AH301" s="420">
        <f t="shared" si="360"/>
        <v>0</v>
      </c>
      <c r="AI301" s="1097">
        <f t="shared" si="361"/>
        <v>0</v>
      </c>
      <c r="AJ301" s="420">
        <f t="shared" si="362"/>
        <v>0</v>
      </c>
      <c r="AK301" s="518">
        <f t="shared" si="363"/>
        <v>0</v>
      </c>
      <c r="AL301" s="1106">
        <f>IF($P301="","N/A",(IF($P301=-1,INDEX('卡片raw data'!S:S,MATCH($D301,'卡片raw data'!$F:$F,)),0)+IF($P301=0,INDEX('卡片raw data'!V:V,MATCH($D301,'卡片raw data'!$F:$F,)),0)+IF($P301=1,INDEX('卡片raw data'!Y:Y,MATCH($D301,'卡片raw data'!$F:$F,)),0)+IF($P301=2,INDEX('卡片raw data'!AB:AB,MATCH($D301,'卡片raw data'!$F:$F,)),0)+IF($P301=3,INDEX('卡片raw data'!AE:AE,MATCH($D301,'卡片raw data'!$F:$F,)),0)+IF($P301=4,INDEX('卡片raw data'!AH:AH,MATCH($D301,'卡片raw data'!$F:$F,)),0)+IF($P301=5,INDEX('卡片raw data'!AK:AK,MATCH($D301,'卡片raw data'!$F:$F,)),0)+INDEX('卡片raw data'!S:S,MATCH($D301,'卡片raw data'!$F:$F,))*(IF($F301="UR",0.04,0.033))*(IF($F301="UR",INDEX(绊状态确认!$S:$S,MATCH($G301,绊状态确认!$B:$B,))/2-40)+IF($F301="SR",INDEX(绊状态确认!$R:$R,MATCH($G301,绊状态确认!$B:$B,))/4-15))+IF($F301="R",INDEX(绊状态确认!$Q:$Q,MATCH($G301,绊状态确认!$B:$B,))/6-40/6)))*(INDEX(绊状态确认!$H:$H,MATCH($G301,绊状态确认!$B:$B,))+INDEX(绊状态确认!J:J,MATCH($G301,绊状态确认!$B:$B,)))</f>
        <v>9304.2068159999981</v>
      </c>
      <c r="AM301" s="1106">
        <f>IF($P301="","N/A",(IF($P301=-1,INDEX('卡片raw data'!T:T,MATCH($D301,'卡片raw data'!$F:$F,)),0)+IF($P301=0,INDEX('卡片raw data'!W:W,MATCH($D301,'卡片raw data'!$F:$F,)),0)+IF($P301=1,INDEX('卡片raw data'!Z:Z,MATCH($D301,'卡片raw data'!$F:$F,)),0)+IF($P301=2,INDEX('卡片raw data'!AC:AC,MATCH($D301,'卡片raw data'!$F:$F,)),0)+IF($P301=3,INDEX('卡片raw data'!AF:AF,MATCH($D301,'卡片raw data'!$F:$F,)),0)+IF($P301=4,INDEX('卡片raw data'!AI:AI,MATCH($D301,'卡片raw data'!$F:$F,)),0)+IF($P301=5,INDEX('卡片raw data'!AL:AL,MATCH($D301,'卡片raw data'!$F:$F,)),0)+INDEX('卡片raw data'!T:T,MATCH($D301,'卡片raw data'!$F:$F,))*(IF($F301="UR",0.04,0.033))*(IF($F301="UR",INDEX(绊状态确认!$S:$S,MATCH($G301,绊状态确认!$B:$B,))/2-40)+IF($F301="SR",INDEX(绊状态确认!$R:$R,MATCH($G301,绊状态确认!$B:$B,))/4-15))+IF($F301="R",INDEX(绊状态确认!$Q:$Q,MATCH($G301,绊状态确认!$B:$B,))/6-40/6)))*(INDEX(绊状态确认!$H:$H,MATCH($G301,绊状态确认!$B:$B,))+INDEX(绊状态确认!K:K,MATCH($G301,绊状态确认!$B:$B,)))</f>
        <v>7176.866015999999</v>
      </c>
      <c r="AN301" s="1106">
        <f>IF($P301="","N/A",(IF($P301=-1,INDEX('卡片raw data'!U:U,MATCH($D301,'卡片raw data'!$F:$F,)),0)+IF($P301=0,INDEX('卡片raw data'!X:X,MATCH($D301,'卡片raw data'!$F:$F,)),0)+IF($P301=1,INDEX('卡片raw data'!AA:AA,MATCH($D301,'卡片raw data'!$F:$F,)),0)+IF($P301=2,INDEX('卡片raw data'!AD:AD,MATCH($D301,'卡片raw data'!$F:$F,)),0)+IF($P301=3,INDEX('卡片raw data'!AG:AG,MATCH($D301,'卡片raw data'!$F:$F,)),0)+IF($P301=4,INDEX('卡片raw data'!AJ:AJ,MATCH($D301,'卡片raw data'!$F:$F,)),0)+IF($P301=5,INDEX('卡片raw data'!AM:AM,MATCH($D301,'卡片raw data'!$F:$F,)),0)+INDEX('卡片raw data'!U:U,MATCH($D301,'卡片raw data'!$F:$F,))*(IF($F301="UR",0.04,0.033))*(IF($F301="UR",INDEX(绊状态确认!$S:$S,MATCH($G301,绊状态确认!$B:$B,))/2-40)+IF($F301="SR",INDEX(绊状态确认!$R:$R,MATCH($G301,绊状态确认!$B:$B,))/4-15))+IF($F301="R",INDEX(绊状态确认!$Q:$Q,MATCH($G301,绊状态确认!$B:$B,))/6-40/6)))*(INDEX(绊状态确认!$H:$H,MATCH($G301,绊状态确认!$B:$B,))+INDEX(绊状态确认!L:L,MATCH($G301,绊状态确认!$B:$B,)))</f>
        <v>10103.686943999997</v>
      </c>
      <c r="AO301" s="1107">
        <f t="shared" si="364"/>
        <v>1</v>
      </c>
      <c r="AP301" s="1131">
        <f>1+(INDEX(绊状态确认!$T:$T,MATCH($G301,绊状态确认!$B:$B,))+0.2)*$AO301</f>
        <v>1.3</v>
      </c>
      <c r="AQ301" s="1108">
        <f t="shared" si="365"/>
        <v>27673.542891999998</v>
      </c>
      <c r="AR301" s="1097">
        <f>(AM301*(1+$EX$9)+$EX$35)*(1+(INDEX(绊状态确认!$T:$T,MATCH($G301,绊状态确认!$B:$B,))+0.2)*AO301)*IF(J301=$FF$17,1+$FE$17,1)*IF(I301=$FF$14,1+$FE$14,1)*(1+$FE$15)</f>
        <v>12500.42211184</v>
      </c>
      <c r="AS301" s="1097">
        <f>(AN301*(1+$EX$10)+$EX$36)*(1+(INDEX(绊状态确认!$T:$T,MATCH($G301,绊状态确认!$B:$B,))+0.2)*AO301)*IF(J301=$FF$17,1+$FE$17,1)*IF(I301=$FF$14,1+$FE$14,1)*(1+$FE$15)</f>
        <v>19161.011981279997</v>
      </c>
      <c r="AT301" s="1093">
        <f>IF(AND(INDEX('卡片raw data'!AK:AK,MATCH($D301,'卡片raw data'!$F:$F,))&lt;INDEX('卡片raw data'!AM:AM,MATCH($D301,'卡片raw data'!$F:$F,)),INDEX('卡片raw data'!AL:AL,MATCH($D301,'卡片raw data'!$F:$F,))&lt;INDEX('卡片raw data'!AM:AM,MATCH($D301,'卡片raw data'!$F:$F,))),1,0)</f>
        <v>1</v>
      </c>
      <c r="AU301" s="1098">
        <f>MIN(AT301*0.15+AS301*0.00003+INDEX(绊状态确认!M:M,MATCH($G301,绊状态确认!$B:$B,)),1)</f>
        <v>0.75483035943839993</v>
      </c>
      <c r="AV301" s="1109">
        <f>(INDEX(绊状态确认!$N:$N,MATCH($G301,绊状态确认!$B:$B,))+1.5)*$EW$21</f>
        <v>2.6599999999999997</v>
      </c>
      <c r="AW301" s="1101">
        <f t="shared" si="366"/>
        <v>32380.747105315018</v>
      </c>
      <c r="AX301" s="1097">
        <f t="shared" si="367"/>
        <v>1071.5173743468488</v>
      </c>
      <c r="AY301" s="1110">
        <f t="shared" si="368"/>
        <v>33452.26447966187</v>
      </c>
      <c r="AZ301" s="429">
        <f t="shared" si="369"/>
        <v>20743.203291199996</v>
      </c>
      <c r="BA301" s="431">
        <f t="shared" si="370"/>
        <v>24891.843949439994</v>
      </c>
      <c r="BB301" s="1097">
        <f>(AM301*(1+$FB$9)+$FB$35)*(1+(INDEX(绊状态确认!$T:$T,MATCH($G301,绊状态确认!$B:$B,))+0.2)*AO301)*IF(J301=$FF$17,1+$FE$17,1)*IF(I301=$FF$14,1+$FE$14,1)*(1+$FE$15)</f>
        <v>12500.42211184</v>
      </c>
      <c r="BC301" s="1097">
        <f>(AN301*(1+$FB$10)+$FB$36)*(1+(INDEX(绊状态确认!$T:$T,MATCH($G301,绊状态确认!$B:$B,))+0.2)*AO301)*IF(J301=$FF$17,1+$FE$17,1)*IF(I301=$FF$14,1+$FE$14,1)*(1+$FE$15)</f>
        <v>19161.011981279997</v>
      </c>
      <c r="BD301" s="1104">
        <f>MIN(AT301*0.15+BC301*0.00003+INDEX(绊状态确认!M:M,MATCH($G301,绊状态确认!$B:$B,)),1)</f>
        <v>0.75483035943839993</v>
      </c>
      <c r="BE301" s="432">
        <f>(INDEX(绊状态确认!$N:$N,MATCH($G301,绊状态确认!$B:$B,))+1.5)</f>
        <v>1.9</v>
      </c>
      <c r="BF301" s="1139">
        <f t="array" ref="BF301">SUMPRODUCT(IF(AZ301*AP301*$FI$16:$FI$23*$FA$22&gt;=$FI$24,$FI$24,AZ301*AP301*$FI$16:$FI$23*$FA$22),$FJ$16:$FJ$23)</f>
        <v>41258.231346196786</v>
      </c>
      <c r="BG301" s="1125">
        <f t="array" ref="BG301">SUMPRODUCT(IF(BE301*AZ301*AP301*$FI$16:$FI$23*$FA$22&gt;=$FI$24,$FI$24,BE301*AZ301*AP301*$FI$16:$FI$23*$FA$22),$FJ$16:$FJ$23)</f>
        <v>60000</v>
      </c>
      <c r="BH301" s="1110">
        <f t="shared" si="371"/>
        <v>18468.362438552798</v>
      </c>
      <c r="BI301" s="1111">
        <f>IF(O301="vo",$EW$26/$EW$24*0.05,0)+IF(O301="sk",-$EW$26/$EW$24*(0.05-INDEX(绊状态确认!W:W,MATCH($G301,绊状态确认!$B:$B,)))+0.05*$EW$28,0)+IF(O301="sp",0.05*$EW$32*$EW$30*(1-$EW$33)-(0.05-INDEX(绊状态确认!V:V,MATCH($G301,绊状态确认!$B:$B,)))*$EW$28,0)+IF(O301="gd",-(0.05-INDEX(绊状态确认!X:X,MATCH($G301,绊状态确认!$B:$B,)))*$EW$32*$EW$30*(1-$EW$33),0)</f>
        <v>19.999999999999886</v>
      </c>
      <c r="BJ301" s="1097">
        <f>IF(O301="vo",0.05*(1-$FI$26)*$FA$24,0)+IF(O301="sk",-(0.05-INDEX(绊状态确认!W:W,MATCH($G301,绊状态确认!$B:$B,)))*(1-$FI$26)*$FA$24+0.05*$FA$26,0)+IF(O301="sp",0.05*$FA$32*$FA$27*(1-$FA$33)/$FA$30+0.05*$FA$29/$FA$69*$FA$27*(1-$FA$33)-(0.05-INDEX(绊状态确认!V:V,MATCH($G301,绊状态确认!$B:$B,)))*$FA$26,0)+IF(O301="gd",-(0.05-INDEX(绊状态确认!X:X,MATCH($G301,绊状态确认!$B:$B,)))*$FA$32*$FA$27*(1-$FA$33)/$FA$30-(0.05-INDEX(绊状态确认!X:X,MATCH($G301,绊状态确认!$B:$B,)))*$FA$29/$FA$69*$FA$27*(1-$FA$33),0)</f>
        <v>545.83333333333326</v>
      </c>
      <c r="BK301" s="1110">
        <f>IF(O301="vo",$EW$26/$EW$24*0.05+$EW$26*(-HP($EW$62,$EW$65,$EW$64)+HP($EW$62,$EW$65,(1.05-INDEX(绊状态确认!U:U,MATCH($G301,绊状态确认!$B:$B,)))*$EW$64)),0)+IF(O301="sk",-$EW$26/$EW$24*(0.05-INDEX(绊状态确认!W:W,MATCH($G301,绊状态确认!$B:$B,)))+0.05*$EW$29,0)+IF(O301="sp",0.05*$EW$32*$EW$30*(1-$EW$33)-(0.05-INDEX(绊状态确认!V:V,MATCH($G301,绊状态确认!$B:$B,)))*$EW$29,0)+IF(O301="gd",-(0.05-INDEX(绊状态确认!X:X,MATCH($G301,绊状态确认!$B:$B,)))*$EW$32*$EW$30*(1-$EW$33)+$EW$26*(-HP($EW$62,$EW$65,$EW$64)+HP($EW$62,$EW$65,0.95*$EW$64)),0)</f>
        <v>-1780.0000000000005</v>
      </c>
      <c r="BL301" s="1111">
        <f t="shared" si="372"/>
        <v>0</v>
      </c>
      <c r="BM301" s="1110">
        <f t="shared" si="373"/>
        <v>0</v>
      </c>
      <c r="BN301" s="1113">
        <f t="shared" si="374"/>
        <v>3</v>
      </c>
      <c r="BO301" s="1097">
        <f t="shared" si="375"/>
        <v>4507.7214871259994</v>
      </c>
      <c r="BP301" s="1100">
        <f t="shared" si="376"/>
        <v>221.34103209030098</v>
      </c>
      <c r="BQ301" s="1113" t="s">
        <v>910</v>
      </c>
      <c r="BR301" s="1124" t="s">
        <v>911</v>
      </c>
      <c r="BS301" s="1098">
        <f>IF($P301="","N/A",IF($P301=-1,INDEX('卡片raw data'!AX:AX,MATCH($D301,'卡片raw data'!$F:$F,)),0)+IF($L301="party卡",IF($P301=5,INDEX('卡片raw data'!BD:BD,MATCH($D301,'卡片raw data'!$F:$F,)),IF($P301&gt;=3,INDEX('卡片raw data'!BC:BC,MATCH($D301,'卡片raw data'!$F:$F,)),INDEX('卡片raw data'!BB:BB,MATCH($D301,'卡片raw data'!$F:$F,)))),IF(OR(AND($F301="UR",$P301=0),AND($F301="SR",$P301&gt;=0,$P301&lt;=2),AND($F301="R",$P301&gt;=0,$P301&lt;4)),INDEX('卡片raw data'!AZ:AZ,MATCH($D301,'卡片raw data'!$F:$F,)),0)+IF(OR(AND($F301="UR",$P301&gt;=1,$P301&lt;=4),AND($F301="SR",$P301&lt;=4,$P301&gt;=3),AND($F301="R",$P301=4)),INDEX('卡片raw data'!BA:BA,MATCH($D301,'卡片raw data'!$F:$F,)),0)+IF($P301=5,INDEX('卡片raw data'!BB:BB,MATCH($D301,'卡片raw data'!$F:$F,)),0)))</f>
        <v>0.09</v>
      </c>
      <c r="BT301" s="1101">
        <f t="shared" si="377"/>
        <v>1288.0739180014814</v>
      </c>
      <c r="BU301" s="1097">
        <f t="shared" si="378"/>
        <v>35.021944824947951</v>
      </c>
      <c r="BV301" s="1097">
        <f t="shared" si="379"/>
        <v>0</v>
      </c>
      <c r="BW301" s="1112">
        <f t="shared" si="380"/>
        <v>0</v>
      </c>
      <c r="BX301" s="1100">
        <f t="shared" si="381"/>
        <v>1288.0739180014814</v>
      </c>
      <c r="BY301" s="1110">
        <f t="shared" si="382"/>
        <v>0</v>
      </c>
      <c r="BZ301" s="1107" t="s">
        <v>569</v>
      </c>
      <c r="CA301" s="1124"/>
      <c r="CB301" s="1098">
        <f>IF($P301="","N/A",IF($P301=-1,INDEX('卡片raw data'!BE:BE,MATCH($D301,'卡片raw data'!$F:$F,)),0)+IF($L301="party卡",IF($P301=5,INDEX('卡片raw data'!BK:BK,MATCH($D301,'卡片raw data'!$F:$F,)),IF($P301&gt;=3,INDEX('卡片raw data'!BJ:BJ,MATCH($D301,'卡片raw data'!$F:$F,)),INDEX('卡片raw data'!BI:BI,MATCH($D301,'卡片raw data'!$F:$F,)))),IF(OR(AND($F301="UR",$P301=0),AND($F301="SR",$P301&gt;=0,$P301&lt;=2),AND($F301="R",$P301&gt;=0,$P301&lt;4)),INDEX('卡片raw data'!BG:BG,MATCH($D301,'卡片raw data'!$F:$F,)),0)+IF(OR(AND($F301="UR",$P301&gt;=1,$P301&lt;=4),AND($F301="SR",$P301&lt;=4,$P301&gt;=3),AND($F301="R",$P301=4)),INDEX('卡片raw data'!BH:BH,MATCH($D301,'卡片raw data'!$F:$F,)),0)+IF($P301=5,INDEX('卡片raw data'!BI:BI,MATCH($D301,'卡片raw data'!$F:$F,)),0)))</f>
        <v>0</v>
      </c>
      <c r="CC301" s="1101">
        <f t="shared" si="383"/>
        <v>0</v>
      </c>
      <c r="CD301" s="1097">
        <f>IF(BZ301="ap",CB301*(1-$FI$26)*$FB$5/$FB$11*(+IF(CA301="全员",$FA$24,0)+IF(CA301="同作战",$FA$24,0)+IF(CA301="仲间",$FA$24*2/3,0)+IF(CA301="同属性",$FA$24*$FA$37/3,0)+IF(CA301="同年级",$FA$24*$FA$40/3,0)+IF(CA301="同学校",$FA$24*$FA$43/3,0)+IF(CA301="同小队",$FA$24*$FA$46/3,0)+IF(CA301="同type",$FA$24*INDEX($FB$49:$FB$52,MATCH(X301,$FA$49:$FA$52,))/3,0)+IF(CA301="自身",#REF!/3,0)),0)+IF(BZ301="te",CB301*(1-$FI$27)*($FA$20-1)*$FB$7/$FB$13*(+IF(CA301="全员",$FA$19*$FA$24/(1+($FA$20-1)*$FA$19),0)+IF(CA301="同作战",$FA$19*$FA$24/(1+($FA$20-1)*$FA$19),0)+IF(CA301="仲间",$FA$19*$FA$24*2/3/(1+($FA$20-1)*$FA$19),0)+IF(CA301="同属性",$FA$19*$FA$24*$FA$37/3/(1+($FA$20-1)*$FA$19),0)+IF(CA301="同年级",$FA$19*$FA$24*$FA$40/3/(1+($FA$20-1)*$FA$19),0)+IF(CA301="同学校",$FA$19*$FA$24*$FA$43/3/(1+($FA$20-1)*$FA$19),0)+IF(CA301="同小队",$FA$19*$FA$24*$FA$46/3/(1+($FA$20-1)*$FA$19),0)+IF(CA301="同type",$FA$19*$FA$24*INDEX($FB$49:$FB$52,MATCH(X301,$FA$49:$FA$52,))/3/(1+($FA$20-1)*$FA$19),0)+IF(CA301="自身",$FA$19*#REF!/3/(1+(BH301-1)*$BD301),0)),0)</f>
        <v>0</v>
      </c>
      <c r="CE301" s="1097">
        <f t="shared" si="384"/>
        <v>0</v>
      </c>
      <c r="CF301" s="1112">
        <f t="shared" si="385"/>
        <v>0</v>
      </c>
      <c r="CG301" s="1100">
        <f t="shared" si="386"/>
        <v>0</v>
      </c>
      <c r="CH301" s="1110">
        <f t="shared" si="387"/>
        <v>0</v>
      </c>
      <c r="CI301" s="1113" t="s">
        <v>912</v>
      </c>
      <c r="CJ301" s="1114">
        <v>0.4</v>
      </c>
      <c r="CK301" s="1115" t="s">
        <v>295</v>
      </c>
      <c r="CL301" s="1115" t="s">
        <v>904</v>
      </c>
      <c r="CM301" s="1119">
        <v>0.1</v>
      </c>
      <c r="CN301" s="1115">
        <v>10</v>
      </c>
      <c r="CO301" s="1092"/>
      <c r="CP301" s="1118">
        <f t="shared" si="388"/>
        <v>8.5714285714285719E-3</v>
      </c>
      <c r="CQ301" s="1118">
        <f t="shared" si="389"/>
        <v>1.3333333333333336E-2</v>
      </c>
      <c r="CR301" s="1118">
        <f t="shared" si="390"/>
        <v>8.5714285714285719E-3</v>
      </c>
      <c r="CS301" s="1118">
        <f t="shared" si="391"/>
        <v>1.1388888888888888E-2</v>
      </c>
      <c r="CT301" s="1109">
        <f t="shared" si="392"/>
        <v>0</v>
      </c>
      <c r="CU301" s="1101">
        <f t="shared" si="393"/>
        <v>363.63636363636363</v>
      </c>
      <c r="CV301" s="1108">
        <f t="shared" si="394"/>
        <v>303.03030303030306</v>
      </c>
      <c r="CW301" s="1097">
        <f t="shared" si="395"/>
        <v>363.63636363636363</v>
      </c>
      <c r="CX301" s="1097">
        <f t="shared" si="396"/>
        <v>363.63636363636363</v>
      </c>
      <c r="CY301" s="1110">
        <f t="shared" si="397"/>
        <v>363.63636363636363</v>
      </c>
      <c r="CZ301" s="437"/>
      <c r="DA301" s="438"/>
      <c r="DB301" s="439" t="s">
        <v>569</v>
      </c>
      <c r="DC301" s="439"/>
      <c r="DD301" s="443"/>
      <c r="DE301" s="411"/>
      <c r="DF301" s="411"/>
      <c r="DG301" s="1116">
        <f t="shared" si="398"/>
        <v>0</v>
      </c>
      <c r="DH301" s="1116">
        <f t="shared" si="399"/>
        <v>0</v>
      </c>
      <c r="DI301" s="1116">
        <f t="shared" si="400"/>
        <v>0</v>
      </c>
      <c r="DJ301" s="442">
        <f t="shared" si="401"/>
        <v>0</v>
      </c>
      <c r="DK301" s="1109">
        <f t="shared" si="402"/>
        <v>0</v>
      </c>
      <c r="DL301" s="1101">
        <f t="shared" si="403"/>
        <v>0</v>
      </c>
      <c r="DM301" s="1097">
        <f t="shared" si="404"/>
        <v>0</v>
      </c>
      <c r="DN301" s="1097">
        <f t="shared" si="405"/>
        <v>0</v>
      </c>
      <c r="DO301" s="1097">
        <f t="shared" si="406"/>
        <v>0</v>
      </c>
      <c r="DP301" s="1110">
        <f t="shared" si="407"/>
        <v>0</v>
      </c>
      <c r="DQ301" s="1113" t="s">
        <v>906</v>
      </c>
      <c r="DR301" s="1120">
        <f t="shared" si="408"/>
        <v>0.33</v>
      </c>
      <c r="DS301" s="1124"/>
      <c r="DT301" s="1093" t="s">
        <v>910</v>
      </c>
      <c r="DU301" s="1093"/>
      <c r="DV301" s="1098">
        <f>IF($P301="","N/A",IF(P301=-1,INDEX('卡片raw data'!AN:AN,MATCH(D301,'卡片raw data'!$F:$F,)),0)+IF(AND(L301&lt;&gt;"party卡",P301&lt;=2,P301&gt;=0),INDEX('卡片raw data'!AP:AP,MATCH(D301,'卡片raw data'!$F:$F,)),0)+IF(OR(AND(L301="party卡",P301&lt;=1),AND(P301&lt;=4,L301&lt;&gt;"party卡",P301&gt;=3)),INDEX('卡片raw data'!AQ:AQ,MATCH(D301,'卡片raw data'!$F:$F,)),0)+IF(OR(P301=5,AND(L301="party卡",P301&gt;=2)),INDEX('卡片raw data'!AR:AR,MATCH(D301,'卡片raw data'!$F:$F,)),0))</f>
        <v>0.32</v>
      </c>
      <c r="DW301" s="1098">
        <f t="shared" si="409"/>
        <v>0.33</v>
      </c>
      <c r="DX301" s="1098">
        <f t="shared" si="410"/>
        <v>0.33</v>
      </c>
      <c r="DY301" s="1125">
        <f t="shared" si="411"/>
        <v>974.10870979840001</v>
      </c>
      <c r="DZ301" s="1125">
        <f t="shared" si="412"/>
        <v>757.9068645725489</v>
      </c>
      <c r="EA301" s="1098">
        <f t="shared" si="413"/>
        <v>0</v>
      </c>
      <c r="EB301" s="1121">
        <f t="shared" si="414"/>
        <v>0</v>
      </c>
      <c r="EC301" s="1101">
        <f t="shared" si="415"/>
        <v>1392.9754550117123</v>
      </c>
      <c r="ED301" s="1097">
        <f t="shared" si="416"/>
        <v>0</v>
      </c>
      <c r="EE301" s="1110">
        <f t="shared" si="417"/>
        <v>1392.9754550117123</v>
      </c>
      <c r="EF301" s="1092" t="s">
        <v>569</v>
      </c>
      <c r="EG301" s="1120">
        <f t="shared" si="418"/>
        <v>0.33</v>
      </c>
      <c r="EH301" s="1124"/>
      <c r="EI301" s="1093"/>
      <c r="EJ301" s="1093"/>
      <c r="EK301" s="1097">
        <f>IF($P301="","N/A",IF(P301=-1,INDEX('卡片raw data'!AS:AS,MATCH(D301,'卡片raw data'!$F:$F,)),0)+IF(AND(L301&lt;&gt;"party卡",P301&lt;=2,P301&gt;=0),INDEX('卡片raw data'!AU:AU,MATCH(D301,'卡片raw data'!$F:$F,)),0)+IF(OR(AND(L301="party卡",P301&lt;=1),AND(P301&lt;=4,L301&lt;&gt;"party卡",P301&gt;=3)),INDEX('卡片raw data'!AV:AV,MATCH(D301,'卡片raw data'!$F:$F,)),0)+IF(OR(P301=5,AND(L301="party卡",P301&gt;=2)),INDEX('卡片raw data'!AW:AW,MATCH(D301,'卡片raw data'!$F:$F,)),0))</f>
        <v>0</v>
      </c>
      <c r="EL301" s="1098">
        <f t="shared" si="419"/>
        <v>0.33</v>
      </c>
      <c r="EM301" s="1098">
        <f t="shared" si="420"/>
        <v>0.33</v>
      </c>
      <c r="EN301" s="1125">
        <f t="shared" si="421"/>
        <v>0</v>
      </c>
      <c r="EO301" s="1125">
        <f t="shared" si="422"/>
        <v>0</v>
      </c>
      <c r="EP301" s="1098">
        <f t="shared" si="423"/>
        <v>0</v>
      </c>
      <c r="EQ301" s="1121">
        <f t="shared" si="424"/>
        <v>0</v>
      </c>
      <c r="ER301" s="1101">
        <f t="shared" si="425"/>
        <v>0</v>
      </c>
      <c r="ES301" s="1097">
        <f t="shared" si="426"/>
        <v>0</v>
      </c>
      <c r="ET301" s="1122">
        <f t="shared" si="427"/>
        <v>0</v>
      </c>
    </row>
    <row r="302" spans="2:150" ht="16.5" customHeight="1">
      <c r="B302" s="1123" t="str">
        <f>INDEX('卡片raw data'!B:B,MATCH($D302,'卡片raw data'!$F:$F,))</f>
        <v>二单黛</v>
      </c>
      <c r="C302" s="449" t="s">
        <v>903</v>
      </c>
      <c r="D302" s="408">
        <v>299</v>
      </c>
      <c r="E302" s="1090">
        <v>401042002</v>
      </c>
      <c r="F302" s="1090" t="str">
        <f>INDEX('卡片raw data'!C:C,MATCH($D302,'卡片raw data'!$F:$F,))</f>
        <v>SR</v>
      </c>
      <c r="G302" s="1094" t="s">
        <v>899</v>
      </c>
      <c r="H302" s="411">
        <f>IFERROR(INDEX(绊状态确认!C:C,MATCH($G302,绊状态确认!$B:$B,)),"")</f>
        <v>104</v>
      </c>
      <c r="I302" s="450" t="str">
        <f>IFERROR(INDEX(绊状态确认!D:D,MATCH($G302,绊状态确认!$B:$B,)),"")</f>
        <v>水</v>
      </c>
      <c r="J302" s="450" t="str">
        <f>IFERROR(INDEX(绊状态确认!E:E,MATCH($G302,绊状态确认!$B:$B,)),"")</f>
        <v>3年级</v>
      </c>
      <c r="K302" s="451" t="str">
        <f>IFERROR(INDEX(绊状态确认!F:F,MATCH($G302,绊状态确认!$B:$B,)),"")</f>
        <v>AZALEA</v>
      </c>
      <c r="L302" s="1094" t="str">
        <f>INDEX('卡片raw data'!E:E,MATCH($D302,'卡片raw data'!$F:$F,))</f>
        <v>活动卡</v>
      </c>
      <c r="M302" s="415">
        <v>44061</v>
      </c>
      <c r="N302" s="416">
        <v>22</v>
      </c>
      <c r="O302" s="1091" t="str">
        <f>INDEX('卡片raw data'!D:D,MATCH($D302,'卡片raw data'!$F:$F,))</f>
        <v>vo</v>
      </c>
      <c r="P302" s="417">
        <v>5</v>
      </c>
      <c r="Q302" s="1095">
        <f t="shared" si="343"/>
        <v>31855.765221723017</v>
      </c>
      <c r="R302" s="1096">
        <f t="shared" si="344"/>
        <v>0.37</v>
      </c>
      <c r="S302" s="1097">
        <f t="shared" si="345"/>
        <v>13662.323058808139</v>
      </c>
      <c r="T302" s="1098">
        <f t="shared" si="346"/>
        <v>0.68300000000000005</v>
      </c>
      <c r="U302" s="1099">
        <f t="shared" si="347"/>
        <v>-15.236080253937143</v>
      </c>
      <c r="V302" s="1100">
        <f t="shared" si="348"/>
        <v>31326.465571483059</v>
      </c>
      <c r="W302" s="1101">
        <f t="shared" si="349"/>
        <v>4587.6468468693101</v>
      </c>
      <c r="X302" s="1096">
        <f t="shared" si="350"/>
        <v>5.2999999999999999E-2</v>
      </c>
      <c r="Y302" s="1097">
        <f t="shared" si="351"/>
        <v>775.36880000174551</v>
      </c>
      <c r="Z302" s="1102">
        <f t="shared" si="352"/>
        <v>9.7639197460628573</v>
      </c>
      <c r="AA302" s="1103">
        <f t="shared" si="353"/>
        <v>5363.0156468710557</v>
      </c>
      <c r="AB302" s="1101">
        <f t="shared" si="354"/>
        <v>5141.3272461487486</v>
      </c>
      <c r="AC302" s="1104">
        <f t="shared" si="355"/>
        <v>5.8999999999999997E-2</v>
      </c>
      <c r="AD302" s="1105">
        <f t="shared" si="356"/>
        <v>-3.8207812500000026E-3</v>
      </c>
      <c r="AE302" s="1128">
        <f t="shared" si="357"/>
        <v>-12.27536231884058</v>
      </c>
      <c r="AF302" s="1130">
        <f t="shared" si="358"/>
        <v>0</v>
      </c>
      <c r="AG302" s="420">
        <f t="shared" si="359"/>
        <v>0</v>
      </c>
      <c r="AH302" s="420">
        <f t="shared" si="360"/>
        <v>0</v>
      </c>
      <c r="AI302" s="1097">
        <f t="shared" si="361"/>
        <v>0</v>
      </c>
      <c r="AJ302" s="420">
        <f t="shared" si="362"/>
        <v>0</v>
      </c>
      <c r="AK302" s="518">
        <f t="shared" si="363"/>
        <v>0</v>
      </c>
      <c r="AL302" s="1106">
        <f>IF($P302="","N/A",(IF($P302=-1,INDEX('卡片raw data'!S:S,MATCH($D302,'卡片raw data'!$F:$F,)),0)+IF($P302=0,INDEX('卡片raw data'!V:V,MATCH($D302,'卡片raw data'!$F:$F,)),0)+IF($P302=1,INDEX('卡片raw data'!Y:Y,MATCH($D302,'卡片raw data'!$F:$F,)),0)+IF($P302=2,INDEX('卡片raw data'!AB:AB,MATCH($D302,'卡片raw data'!$F:$F,)),0)+IF($P302=3,INDEX('卡片raw data'!AE:AE,MATCH($D302,'卡片raw data'!$F:$F,)),0)+IF($P302=4,INDEX('卡片raw data'!AH:AH,MATCH($D302,'卡片raw data'!$F:$F,)),0)+IF($P302=5,INDEX('卡片raw data'!AK:AK,MATCH($D302,'卡片raw data'!$F:$F,)),0)+INDEX('卡片raw data'!S:S,MATCH($D302,'卡片raw data'!$F:$F,))*(IF($F302="UR",0.04,0.033))*(IF($F302="UR",INDEX(绊状态确认!$S:$S,MATCH($G302,绊状态确认!$B:$B,))/2-40)+IF($F302="SR",INDEX(绊状态确认!$R:$R,MATCH($G302,绊状态确认!$B:$B,))/4-15))+IF($F302="R",INDEX(绊状态确认!$Q:$Q,MATCH($G302,绊状态确认!$B:$B,))/6-40/6)))*(INDEX(绊状态确认!$H:$H,MATCH($G302,绊状态确认!$B:$B,))+INDEX(绊状态确认!J:J,MATCH($G302,绊状态确认!$B:$B,)))</f>
        <v>6710.9692895999988</v>
      </c>
      <c r="AM302" s="1106">
        <f>IF($P302="","N/A",(IF($P302=-1,INDEX('卡片raw data'!T:T,MATCH($D302,'卡片raw data'!$F:$F,)),0)+IF($P302=0,INDEX('卡片raw data'!W:W,MATCH($D302,'卡片raw data'!$F:$F,)),0)+IF($P302=1,INDEX('卡片raw data'!Z:Z,MATCH($D302,'卡片raw data'!$F:$F,)),0)+IF($P302=2,INDEX('卡片raw data'!AC:AC,MATCH($D302,'卡片raw data'!$F:$F,)),0)+IF($P302=3,INDEX('卡片raw data'!AF:AF,MATCH($D302,'卡片raw data'!$F:$F,)),0)+IF($P302=4,INDEX('卡片raw data'!AI:AI,MATCH($D302,'卡片raw data'!$F:$F,)),0)+IF($P302=5,INDEX('卡片raw data'!AL:AL,MATCH($D302,'卡片raw data'!$F:$F,)),0)+INDEX('卡片raw data'!T:T,MATCH($D302,'卡片raw data'!$F:$F,))*(IF($F302="UR",0.04,0.033))*(IF($F302="UR",INDEX(绊状态确认!$S:$S,MATCH($G302,绊状态确认!$B:$B,))/2-40)+IF($F302="SR",INDEX(绊状态确认!$R:$R,MATCH($G302,绊状态确认!$B:$B,))/4-15))+IF($F302="R",INDEX(绊状态确认!$Q:$Q,MATCH($G302,绊状态确认!$B:$B,))/6-40/6)))*(INDEX(绊状态确认!$H:$H,MATCH($G302,绊状态确认!$B:$B,))+INDEX(绊状态确认!K:K,MATCH($G302,绊状态确认!$B:$B,)))</f>
        <v>4695.2320607999991</v>
      </c>
      <c r="AN302" s="1106">
        <f>IF($P302="","N/A",(IF($P302=-1,INDEX('卡片raw data'!U:U,MATCH($D302,'卡片raw data'!$F:$F,)),0)+IF($P302=0,INDEX('卡片raw data'!X:X,MATCH($D302,'卡片raw data'!$F:$F,)),0)+IF($P302=1,INDEX('卡片raw data'!AA:AA,MATCH($D302,'卡片raw data'!$F:$F,)),0)+IF($P302=2,INDEX('卡片raw data'!AD:AD,MATCH($D302,'卡片raw data'!$F:$F,)),0)+IF($P302=3,INDEX('卡片raw data'!AG:AG,MATCH($D302,'卡片raw data'!$F:$F,)),0)+IF($P302=4,INDEX('卡片raw data'!AJ:AJ,MATCH($D302,'卡片raw data'!$F:$F,)),0)+IF($P302=5,INDEX('卡片raw data'!AM:AM,MATCH($D302,'卡片raw data'!$F:$F,)),0)+INDEX('卡片raw data'!U:U,MATCH($D302,'卡片raw data'!$F:$F,))*(IF($F302="UR",0.04,0.033))*(IF($F302="UR",INDEX(绊状态确认!$S:$S,MATCH($G302,绊状态确认!$B:$B,))/2-40)+IF($F302="SR",INDEX(绊状态确认!$R:$R,MATCH($G302,绊状态确认!$B:$B,))/4-15))+IF($F302="R",INDEX(绊状态确认!$Q:$Q,MATCH($G302,绊状态确认!$B:$B,))/6-40/6)))*(INDEX(绊状态确认!$H:$H,MATCH($G302,绊状态确认!$B:$B,))+INDEX(绊状态确认!L:L,MATCH($G302,绊状态确认!$B:$B,)))</f>
        <v>5367.169471199999</v>
      </c>
      <c r="AO302" s="1107">
        <f t="shared" si="364"/>
        <v>1</v>
      </c>
      <c r="AP302" s="1131">
        <f>1+(INDEX(绊状态确认!$T:$T,MATCH($G302,绊状态确认!$B:$B,))+0.2)*$AO302</f>
        <v>1.3</v>
      </c>
      <c r="AQ302" s="1108">
        <f t="shared" si="365"/>
        <v>20866.294385199999</v>
      </c>
      <c r="AR302" s="1097">
        <f>(AM302*(1+$EX$9)+$EX$35)*(1+(INDEX(绊状态确认!$T:$T,MATCH($G302,绊状态确认!$B:$B,))+0.2)*AO302)*IF(J302=$FF$17,1+$FE$17,1)*IF(I302=$FF$14,1+$FE$14,1)</f>
        <v>9112.9917629920001</v>
      </c>
      <c r="AS302" s="1097">
        <f>(AN302*(1+$EX$10)+$EX$36)*(1+(INDEX(绊状态确认!$T:$T,MATCH($G302,绊状态确认!$B:$B,))+0.2)*AO302)*IF(J302=$FF$17,1+$FE$17,1)*IF(I302=$FF$14,1+$FE$14,1)</f>
        <v>12079.918359443998</v>
      </c>
      <c r="AT302" s="1093">
        <f>IF(AND(INDEX('卡片raw data'!AK:AK,MATCH($D302,'卡片raw data'!$F:$F,))&lt;INDEX('卡片raw data'!AM:AM,MATCH($D302,'卡片raw data'!$F:$F,)),INDEX('卡片raw data'!AL:AL,MATCH($D302,'卡片raw data'!$F:$F,))&lt;INDEX('卡片raw data'!AM:AM,MATCH($D302,'卡片raw data'!$F:$F,))),1,0)</f>
        <v>0</v>
      </c>
      <c r="AU302" s="1098">
        <f>MIN(AT302*0.15+AS302*0.00003+INDEX(绊状态确认!M:M,MATCH($G302,绊状态确认!$B:$B,)),1)</f>
        <v>0.39239755078332</v>
      </c>
      <c r="AV302" s="1109">
        <f>(INDEX(绊状态确认!$N:$N,MATCH($G302,绊状态确认!$B:$B,))+1.5)*$EW$21</f>
        <v>2.6599999999999997</v>
      </c>
      <c r="AW302" s="1101">
        <f t="shared" si="366"/>
        <v>17895.741476710409</v>
      </c>
      <c r="AX302" s="1097">
        <f t="shared" si="367"/>
        <v>775.36880000174597</v>
      </c>
      <c r="AY302" s="1110">
        <f t="shared" si="368"/>
        <v>18671.110276712156</v>
      </c>
      <c r="AZ302" s="429">
        <f t="shared" si="369"/>
        <v>15686.390114719998</v>
      </c>
      <c r="BA302" s="431">
        <f t="shared" si="370"/>
        <v>18823.668137663997</v>
      </c>
      <c r="BB302" s="1097">
        <f>(AM302*(1+$FB$9)+$FB$35)*(1+(INDEX(绊状态确认!$T:$T,MATCH($G302,绊状态确认!$B:$B,))+0.2)*AO302)*IF(J302=$FF$17,1+$FE$17,1)*IF(I302=$FF$14,1+$FE$14,1)*(1+$FE$15)</f>
        <v>9112.9917629920001</v>
      </c>
      <c r="BC302" s="1097">
        <f>(AN302*(1+$FB$10)+$FB$36)*(1+(INDEX(绊状态确认!$T:$T,MATCH($G302,绊状态确认!$B:$B,))+0.2)*AO302)*IF(J302=$FF$17,1+$FE$17,1)*IF(I302=$FF$14,1+$FE$14,1)*(1+$FE$15)</f>
        <v>12079.918359443998</v>
      </c>
      <c r="BD302" s="1104">
        <f>MIN(AT302*0.15+BC302*0.00003+INDEX(绊状态确认!M:M,MATCH($G302,绊状态确认!$B:$B,)),1)</f>
        <v>0.39239755078332</v>
      </c>
      <c r="BE302" s="432">
        <f>(INDEX(绊状态确认!$N:$N,MATCH($G302,绊状态确认!$B:$B,))+1.5)</f>
        <v>1.9</v>
      </c>
      <c r="BF302" s="1139">
        <f t="array" ref="BF302">SUMPRODUCT(IF(AZ302*AP302*$FI$16:$FI$23*$FA$22&gt;=$FI$24,$FI$24,AZ302*AP302*$FI$16:$FI$23*$FA$22),$FJ$16:$FJ$23)</f>
        <v>31200.229938178076</v>
      </c>
      <c r="BG302" s="1125">
        <f t="array" ref="BG302">SUMPRODUCT(IF(BE302*AZ302*AP302*$FI$16:$FI$23*$FA$22&gt;=$FI$24,$FI$24,BE302*AZ302*AP302*$FI$16:$FI$23*$FA$22),$FJ$16:$FJ$23)</f>
        <v>56158.668374187466</v>
      </c>
      <c r="BH302" s="1110">
        <f t="shared" si="371"/>
        <v>13664.620017281481</v>
      </c>
      <c r="BI302" s="1111">
        <f>IF(O302="vo",$EW$26/$EW$24*0.05,0)+IF(O302="sk",-$EW$26/$EW$24*(0.05-INDEX(绊状态确认!W:W,MATCH($G302,绊状态确认!$B:$B,)))+0.05*$EW$28,0)+IF(O302="sp",0.05*$EW$32*$EW$30*(1-$EW$33)-(0.05-INDEX(绊状态确认!V:V,MATCH($G302,绊状态确认!$B:$B,)))*$EW$28,0)+IF(O302="gd",-(0.05-INDEX(绊状态确认!X:X,MATCH($G302,绊状态确认!$B:$B,)))*$EW$32*$EW$30*(1-$EW$33),0)</f>
        <v>7726.3029277443748</v>
      </c>
      <c r="BJ302" s="1097">
        <f>IF(O302="vo",0.05*(1-$FI$26)*$FA$24,0)+IF(O302="sk",-(0.05-INDEX(绊状态确认!W:W,MATCH($G302,绊状态确认!$B:$B,)))*(1-$FI$26)*$FA$24+0.05*$FA$26,0)+IF(O302="sp",0.05*$FA$32*$FA$27*(1-$FA$33)/$FA$30+0.05*$FA$29/$FA$69*$FA$27*(1-$FA$33)-(0.05-INDEX(绊状态确认!V:V,MATCH($G302,绊状态确认!$B:$B,)))*$FA$26,0)+IF(O302="gd",-(0.05-INDEX(绊状态确认!X:X,MATCH($G302,绊状态确认!$B:$B,)))*$FA$32*$FA$27*(1-$FA$33)/$FA$30-(0.05-INDEX(绊状态确认!X:X,MATCH($G302,绊状态确认!$B:$B,)))*$FA$29/$FA$69*$FA$27*(1-$FA$33),0)</f>
        <v>393.93433687500004</v>
      </c>
      <c r="BK302" s="1110">
        <f>IF(O302="vo",$EW$26/$EW$24*0.05+$EW$26*(-HP($EW$62,$EW$65,$EW$64)+HP($EW$62,$EW$65,(1.05-INDEX(绊状态确认!U:U,MATCH($G302,绊状态确认!$B:$B,)))*$EW$64)),0)+IF(O302="sk",-$EW$26/$EW$24*(0.05-INDEX(绊状态确认!W:W,MATCH($G302,绊状态确认!$B:$B,)))+0.05*$EW$29,0)+IF(O302="sp",0.05*$EW$32*$EW$30*(1-$EW$33)-(0.05-INDEX(绊状态确认!V:V,MATCH($G302,绊状态确认!$B:$B,)))*$EW$29,0)+IF(O302="gd",-(0.05-INDEX(绊状态确认!X:X,MATCH($G302,绊状态确认!$B:$B,)))*$EW$32*$EW$30*(1-$EW$33)+$EW$26*(-HP($EW$62,$EW$65,$EW$64)+HP($EW$62,$EW$65,0.95*$EW$64)),0)</f>
        <v>6421.6344775026746</v>
      </c>
      <c r="BL302" s="1111">
        <f t="shared" si="372"/>
        <v>-1083.3333333333333</v>
      </c>
      <c r="BM302" s="1110">
        <f t="shared" si="373"/>
        <v>-830.55555555555543</v>
      </c>
      <c r="BN302" s="1113">
        <f t="shared" si="374"/>
        <v>3</v>
      </c>
      <c r="BO302" s="1097">
        <f t="shared" si="375"/>
        <v>4507.7214871259994</v>
      </c>
      <c r="BP302" s="1100">
        <f t="shared" si="376"/>
        <v>221.34103209030098</v>
      </c>
      <c r="BQ302" s="1113" t="s">
        <v>910</v>
      </c>
      <c r="BR302" s="1124" t="s">
        <v>911</v>
      </c>
      <c r="BS302" s="1098">
        <f>IF($P302="","N/A",IF($P302=-1,INDEX('卡片raw data'!AX:AX,MATCH($D302,'卡片raw data'!$F:$F,)),0)+IF($L302="party卡",IF($P302=5,INDEX('卡片raw data'!BD:BD,MATCH($D302,'卡片raw data'!$F:$F,)),IF($P302&gt;=3,INDEX('卡片raw data'!BC:BC,MATCH($D302,'卡片raw data'!$F:$F,)),INDEX('卡片raw data'!BB:BB,MATCH($D302,'卡片raw data'!$F:$F,)))),IF(OR(AND($F302="UR",$P302=0),AND($F302="SR",$P302&gt;=0,$P302&lt;=2),AND($F302="R",$P302&gt;=0,$P302&lt;4)),INDEX('卡片raw data'!AZ:AZ,MATCH($D302,'卡片raw data'!$F:$F,)),0)+IF(OR(AND($F302="UR",$P302&gt;=1,$P302&lt;=4),AND($F302="SR",$P302&lt;=4,$P302&gt;=3),AND($F302="R",$P302=4)),INDEX('卡片raw data'!BA:BA,MATCH($D302,'卡片raw data'!$F:$F,)),0)+IF($P302=5,INDEX('卡片raw data'!BB:BB,MATCH($D302,'卡片raw data'!$F:$F,)),0)))</f>
        <v>7.0000000000000007E-2</v>
      </c>
      <c r="BT302" s="1101">
        <f t="shared" si="377"/>
        <v>553.68039927943812</v>
      </c>
      <c r="BU302" s="1097">
        <f t="shared" si="378"/>
        <v>20.154171998732885</v>
      </c>
      <c r="BV302" s="1097">
        <f t="shared" si="379"/>
        <v>0</v>
      </c>
      <c r="BW302" s="1112">
        <f t="shared" si="380"/>
        <v>0</v>
      </c>
      <c r="BX302" s="1100">
        <f t="shared" si="381"/>
        <v>553.68039927943812</v>
      </c>
      <c r="BY302" s="1110">
        <f t="shared" si="382"/>
        <v>0</v>
      </c>
      <c r="BZ302" s="1107" t="s">
        <v>569</v>
      </c>
      <c r="CA302" s="1124"/>
      <c r="CB302" s="1098">
        <f>IF($P302="","N/A",IF($P302=-1,INDEX('卡片raw data'!BE:BE,MATCH($D302,'卡片raw data'!$F:$F,)),0)+IF($L302="party卡",IF($P302=5,INDEX('卡片raw data'!BK:BK,MATCH($D302,'卡片raw data'!$F:$F,)),IF($P302&gt;=3,INDEX('卡片raw data'!BJ:BJ,MATCH($D302,'卡片raw data'!$F:$F,)),INDEX('卡片raw data'!BI:BI,MATCH($D302,'卡片raw data'!$F:$F,)))),IF(OR(AND($F302="UR",$P302=0),AND($F302="SR",$P302&gt;=0,$P302&lt;=2),AND($F302="R",$P302&gt;=0,$P302&lt;4)),INDEX('卡片raw data'!BG:BG,MATCH($D302,'卡片raw data'!$F:$F,)),0)+IF(OR(AND($F302="UR",$P302&gt;=1,$P302&lt;=4),AND($F302="SR",$P302&lt;=4,$P302&gt;=3),AND($F302="R",$P302=4)),INDEX('卡片raw data'!BH:BH,MATCH($D302,'卡片raw data'!$F:$F,)),0)+IF($P302=5,INDEX('卡片raw data'!BI:BI,MATCH($D302,'卡片raw data'!$F:$F,)),0)))</f>
        <v>0</v>
      </c>
      <c r="CC302" s="1101">
        <f t="shared" si="383"/>
        <v>0</v>
      </c>
      <c r="CD302" s="1097">
        <f>IF(BZ302="ap",CB302*(1-$FI$26)*$FB$5/$FB$11*(+IF(CA302="全员",$FA$24,0)+IF(CA302="同作战",$FA$24,0)+IF(CA302="仲间",$FA$24*2/3,0)+IF(CA302="同属性",$FA$24*$FA$37/3,0)+IF(CA302="同年级",$FA$24*$FA$40/3,0)+IF(CA302="同学校",$FA$24*$FA$43/3,0)+IF(CA302="同小队",$FA$24*$FA$46/3,0)+IF(CA302="同type",$FA$24*INDEX($FB$49:$FB$52,MATCH(X302,$FA$49:$FA$52,))/3,0)+IF(CA302="自身",#REF!/3,0)),0)+IF(BZ302="te",CB302*(1-$FI$27)*($FA$20-1)*$FB$7/$FB$13*(+IF(CA302="全员",$FA$19*$FA$24/(1+($FA$20-1)*$FA$19),0)+IF(CA302="同作战",$FA$19*$FA$24/(1+($FA$20-1)*$FA$19),0)+IF(CA302="仲间",$FA$19*$FA$24*2/3/(1+($FA$20-1)*$FA$19),0)+IF(CA302="同属性",$FA$19*$FA$24*$FA$37/3/(1+($FA$20-1)*$FA$19),0)+IF(CA302="同年级",$FA$19*$FA$24*$FA$40/3/(1+($FA$20-1)*$FA$19),0)+IF(CA302="同学校",$FA$19*$FA$24*$FA$43/3/(1+($FA$20-1)*$FA$19),0)+IF(CA302="同小队",$FA$19*$FA$24*$FA$46/3/(1+($FA$20-1)*$FA$19),0)+IF(CA302="同type",$FA$19*$FA$24*INDEX($FB$49:$FB$52,MATCH(X302,$FA$49:$FA$52,))/3/(1+($FA$20-1)*$FA$19),0)+IF(CA302="自身",$FA$19*#REF!/3/(1+(BH302-1)*$BD302),0)),0)</f>
        <v>0</v>
      </c>
      <c r="CE302" s="1097">
        <f t="shared" si="384"/>
        <v>0</v>
      </c>
      <c r="CF302" s="1112">
        <f t="shared" si="385"/>
        <v>0</v>
      </c>
      <c r="CG302" s="1100">
        <f t="shared" si="386"/>
        <v>0</v>
      </c>
      <c r="CH302" s="1110">
        <f t="shared" si="387"/>
        <v>0</v>
      </c>
      <c r="CI302" s="1113" t="s">
        <v>162</v>
      </c>
      <c r="CJ302" s="1114">
        <v>1</v>
      </c>
      <c r="CK302" s="1115" t="s">
        <v>545</v>
      </c>
      <c r="CL302" s="1115" t="s">
        <v>1940</v>
      </c>
      <c r="CM302" s="1119">
        <v>0.75</v>
      </c>
      <c r="CN302" s="1115"/>
      <c r="CO302" s="1092">
        <v>1</v>
      </c>
      <c r="CP302" s="1116">
        <f t="shared" si="388"/>
        <v>72.659417948464295</v>
      </c>
      <c r="CQ302" s="1116">
        <f t="shared" si="389"/>
        <v>101.96153574568</v>
      </c>
      <c r="CR302" s="1116">
        <f t="shared" si="390"/>
        <v>72.659417948464295</v>
      </c>
      <c r="CS302" s="1118">
        <f t="shared" si="391"/>
        <v>0</v>
      </c>
      <c r="CT302" s="1109">
        <f t="shared" si="392"/>
        <v>0</v>
      </c>
      <c r="CU302" s="1101">
        <f t="shared" si="393"/>
        <v>79.925359743310736</v>
      </c>
      <c r="CV302" s="1108">
        <f t="shared" si="394"/>
        <v>101.96153574568</v>
      </c>
      <c r="CW302" s="1097">
        <f t="shared" si="395"/>
        <v>79.925359743310736</v>
      </c>
      <c r="CX302" s="1097">
        <f t="shared" si="396"/>
        <v>79.925359743310736</v>
      </c>
      <c r="CY302" s="1110">
        <f t="shared" si="397"/>
        <v>79.925359743310736</v>
      </c>
      <c r="CZ302" s="437"/>
      <c r="DA302" s="438"/>
      <c r="DB302" s="439" t="s">
        <v>569</v>
      </c>
      <c r="DC302" s="439"/>
      <c r="DD302" s="443"/>
      <c r="DE302" s="411"/>
      <c r="DF302" s="411"/>
      <c r="DG302" s="1116">
        <f t="shared" si="398"/>
        <v>0</v>
      </c>
      <c r="DH302" s="1116">
        <f t="shared" si="399"/>
        <v>0</v>
      </c>
      <c r="DI302" s="1116">
        <f t="shared" si="400"/>
        <v>0</v>
      </c>
      <c r="DJ302" s="442">
        <f t="shared" si="401"/>
        <v>0</v>
      </c>
      <c r="DK302" s="1109">
        <f t="shared" si="402"/>
        <v>0</v>
      </c>
      <c r="DL302" s="1101">
        <f t="shared" si="403"/>
        <v>0</v>
      </c>
      <c r="DM302" s="1097">
        <f t="shared" si="404"/>
        <v>0</v>
      </c>
      <c r="DN302" s="1097">
        <f t="shared" si="405"/>
        <v>0</v>
      </c>
      <c r="DO302" s="1097">
        <f t="shared" si="406"/>
        <v>0</v>
      </c>
      <c r="DP302" s="1110">
        <f t="shared" si="407"/>
        <v>0</v>
      </c>
      <c r="DQ302" s="1113" t="s">
        <v>167</v>
      </c>
      <c r="DR302" s="1120">
        <f t="shared" si="408"/>
        <v>0.3</v>
      </c>
      <c r="DS302" s="1124">
        <v>5</v>
      </c>
      <c r="DT302" s="1093" t="s">
        <v>904</v>
      </c>
      <c r="DU302" s="1093" t="s">
        <v>905</v>
      </c>
      <c r="DV302" s="1098">
        <f>IF($P302="","N/A",IF(P302=-1,INDEX('卡片raw data'!AN:AN,MATCH(D302,'卡片raw data'!$F:$F,)),0)+IF(AND(L302&lt;&gt;"party卡",P302&lt;=2,P302&gt;=0),INDEX('卡片raw data'!AP:AP,MATCH(D302,'卡片raw data'!$F:$F,)),0)+IF(OR(AND(L302="party卡",P302&lt;=1),AND(P302&lt;=4,L302&lt;&gt;"party卡",P302&gt;=3)),INDEX('卡片raw data'!AQ:AQ,MATCH(D302,'卡片raw data'!$F:$F,)),0)+IF(OR(P302=5,AND(L302="party卡",P302&gt;=2)),INDEX('卡片raw data'!AR:AR,MATCH(D302,'卡片raw data'!$F:$F,)),0))</f>
        <v>3.2000000000000001E-2</v>
      </c>
      <c r="DW302" s="1098">
        <f t="shared" si="409"/>
        <v>0.3</v>
      </c>
      <c r="DX302" s="1098">
        <f t="shared" si="410"/>
        <v>0.3</v>
      </c>
      <c r="DY302" s="1098">
        <f t="shared" si="411"/>
        <v>1.6E-2</v>
      </c>
      <c r="DZ302" s="1098">
        <f t="shared" si="412"/>
        <v>1.384E-2</v>
      </c>
      <c r="EA302" s="1098">
        <f t="shared" si="413"/>
        <v>0</v>
      </c>
      <c r="EB302" s="1121">
        <f t="shared" si="414"/>
        <v>0</v>
      </c>
      <c r="EC302" s="1101">
        <f t="shared" si="415"/>
        <v>2175.7269044528161</v>
      </c>
      <c r="ED302" s="1097">
        <f t="shared" si="416"/>
        <v>90.86752037250001</v>
      </c>
      <c r="EE302" s="1110">
        <f t="shared" si="417"/>
        <v>2175.7269044528161</v>
      </c>
      <c r="EF302" s="1092" t="s">
        <v>569</v>
      </c>
      <c r="EG302" s="1120">
        <f t="shared" si="418"/>
        <v>0.3</v>
      </c>
      <c r="EH302" s="1124"/>
      <c r="EI302" s="1093"/>
      <c r="EJ302" s="1093"/>
      <c r="EK302" s="1097">
        <f>IF($P302="","N/A",IF(P302=-1,INDEX('卡片raw data'!AS:AS,MATCH(D302,'卡片raw data'!$F:$F,)),0)+IF(AND(L302&lt;&gt;"party卡",P302&lt;=2,P302&gt;=0),INDEX('卡片raw data'!AU:AU,MATCH(D302,'卡片raw data'!$F:$F,)),0)+IF(OR(AND(L302="party卡",P302&lt;=1),AND(P302&lt;=4,L302&lt;&gt;"party卡",P302&gt;=3)),INDEX('卡片raw data'!AV:AV,MATCH(D302,'卡片raw data'!$F:$F,)),0)+IF(OR(P302=5,AND(L302="party卡",P302&gt;=2)),INDEX('卡片raw data'!AW:AW,MATCH(D302,'卡片raw data'!$F:$F,)),0))</f>
        <v>0</v>
      </c>
      <c r="EL302" s="1098">
        <f t="shared" si="419"/>
        <v>0.3</v>
      </c>
      <c r="EM302" s="1098">
        <f t="shared" si="420"/>
        <v>0.3</v>
      </c>
      <c r="EN302" s="1125">
        <f t="shared" si="421"/>
        <v>0</v>
      </c>
      <c r="EO302" s="1125">
        <f t="shared" si="422"/>
        <v>0</v>
      </c>
      <c r="EP302" s="1098">
        <f t="shared" si="423"/>
        <v>0</v>
      </c>
      <c r="EQ302" s="1121">
        <f t="shared" si="424"/>
        <v>0</v>
      </c>
      <c r="ER302" s="1101">
        <f t="shared" si="425"/>
        <v>0</v>
      </c>
      <c r="ES302" s="1097">
        <f t="shared" si="426"/>
        <v>0</v>
      </c>
      <c r="ET302" s="1122">
        <f t="shared" si="427"/>
        <v>0</v>
      </c>
    </row>
    <row r="303" spans="2:150" ht="16.5" customHeight="1">
      <c r="B303" s="1123" t="str">
        <f>INDEX('卡片raw data'!B:B,MATCH($D303,'卡片raw data'!$F:$F,))</f>
        <v>五单花</v>
      </c>
      <c r="C303" s="449" t="s">
        <v>901</v>
      </c>
      <c r="D303" s="408">
        <v>300</v>
      </c>
      <c r="E303" s="1090">
        <v>400082002</v>
      </c>
      <c r="F303" s="1090" t="str">
        <f>INDEX('卡片raw data'!C:C,MATCH($D303,'卡片raw data'!$F:$F,))</f>
        <v>SR</v>
      </c>
      <c r="G303" s="1094" t="s">
        <v>900</v>
      </c>
      <c r="H303" s="411">
        <f>IFERROR(INDEX(绊状态确认!C:C,MATCH($G303,绊状态确认!$B:$B,)),"")</f>
        <v>8</v>
      </c>
      <c r="I303" s="1124" t="str">
        <f>IFERROR(INDEX(绊状态确认!D:D,MATCH($G303,绊状态确认!$B:$B,)),"")</f>
        <v>缪</v>
      </c>
      <c r="J303" s="1124" t="str">
        <f>IFERROR(INDEX(绊状态确认!E:E,MATCH($G303,绊状态确认!$B:$B,)),"")</f>
        <v>1年级</v>
      </c>
      <c r="K303" s="451" t="str">
        <f>IFERROR(INDEX(绊状态确认!F:F,MATCH($G303,绊状态确认!$B:$B,)),"")</f>
        <v>Printemps</v>
      </c>
      <c r="L303" s="1094" t="str">
        <f>INDEX('卡片raw data'!E:E,MATCH($D303,'卡片raw data'!$F:$F,))</f>
        <v>活动卡</v>
      </c>
      <c r="M303" s="415">
        <v>44061</v>
      </c>
      <c r="N303" s="416">
        <v>22</v>
      </c>
      <c r="O303" s="1091" t="str">
        <f>INDEX('卡片raw data'!D:D,MATCH($D303,'卡片raw data'!$F:$F,))</f>
        <v>gd</v>
      </c>
      <c r="P303" s="417">
        <v>5</v>
      </c>
      <c r="Q303" s="1095">
        <f t="shared" si="343"/>
        <v>17003.092889152125</v>
      </c>
      <c r="R303" s="1096">
        <f t="shared" si="344"/>
        <v>0.19700000000000001</v>
      </c>
      <c r="S303" s="1097">
        <f t="shared" si="345"/>
        <v>9852.5308211494739</v>
      </c>
      <c r="T303" s="1098">
        <f t="shared" si="346"/>
        <v>0.49199999999999999</v>
      </c>
      <c r="U303" s="1099">
        <f t="shared" si="347"/>
        <v>383.8044226291417</v>
      </c>
      <c r="V303" s="1100">
        <f t="shared" si="348"/>
        <v>61984.616687935006</v>
      </c>
      <c r="W303" s="1101">
        <f t="shared" si="349"/>
        <v>4507.7214871259994</v>
      </c>
      <c r="X303" s="1096">
        <f t="shared" si="350"/>
        <v>5.1999999999999998E-2</v>
      </c>
      <c r="Y303" s="1097">
        <f t="shared" si="351"/>
        <v>1184.7777699186354</v>
      </c>
      <c r="Z303" s="1102">
        <f t="shared" si="352"/>
        <v>14.734703300325712</v>
      </c>
      <c r="AA303" s="1103">
        <f t="shared" si="353"/>
        <v>5692.4992570446348</v>
      </c>
      <c r="AB303" s="1101">
        <f t="shared" si="354"/>
        <v>4507.7214871259994</v>
      </c>
      <c r="AC303" s="1104">
        <f t="shared" si="355"/>
        <v>5.1999999999999998E-2</v>
      </c>
      <c r="AD303" s="1105">
        <f t="shared" si="356"/>
        <v>-3.8207812500000026E-3</v>
      </c>
      <c r="AE303" s="1128">
        <f t="shared" si="357"/>
        <v>-18.525362318840578</v>
      </c>
      <c r="AF303" s="1130">
        <f t="shared" si="358"/>
        <v>5410.1997246186238</v>
      </c>
      <c r="AG303" s="420">
        <f t="shared" si="359"/>
        <v>102699.25191969601</v>
      </c>
      <c r="AH303" s="420">
        <f t="shared" si="360"/>
        <v>18.982525072479739</v>
      </c>
      <c r="AI303" s="1097">
        <f t="shared" si="361"/>
        <v>88286.335054824638</v>
      </c>
      <c r="AJ303" s="420">
        <f t="shared" si="362"/>
        <v>61984.616687935006</v>
      </c>
      <c r="AK303" s="518">
        <f t="shared" si="363"/>
        <v>26301.718366889632</v>
      </c>
      <c r="AL303" s="1106">
        <f>IF($P303="","N/A",(IF($P303=-1,INDEX('卡片raw data'!S:S,MATCH($D303,'卡片raw data'!$F:$F,)),0)+IF($P303=0,INDEX('卡片raw data'!V:V,MATCH($D303,'卡片raw data'!$F:$F,)),0)+IF($P303=1,INDEX('卡片raw data'!Y:Y,MATCH($D303,'卡片raw data'!$F:$F,)),0)+IF($P303=2,INDEX('卡片raw data'!AB:AB,MATCH($D303,'卡片raw data'!$F:$F,)),0)+IF($P303=3,INDEX('卡片raw data'!AE:AE,MATCH($D303,'卡片raw data'!$F:$F,)),0)+IF($P303=4,INDEX('卡片raw data'!AH:AH,MATCH($D303,'卡片raw data'!$F:$F,)),0)+IF($P303=5,INDEX('卡片raw data'!AK:AK,MATCH($D303,'卡片raw data'!$F:$F,)),0)+INDEX('卡片raw data'!S:S,MATCH($D303,'卡片raw data'!$F:$F,))*(IF($F303="UR",0.04,0.033))*(IF($F303="UR",INDEX(绊状态确认!$S:$S,MATCH($G303,绊状态确认!$B:$B,))/2-40)+IF($F303="SR",INDEX(绊状态确认!$R:$R,MATCH($G303,绊状态确认!$B:$B,))/4-15))+IF($F303="R",INDEX(绊状态确认!$Q:$Q,MATCH($G303,绊状态确认!$B:$B,))/6-40/6)))*(INDEX(绊状态确认!$H:$H,MATCH($G303,绊状态确认!$B:$B,))+INDEX(绊状态确认!J:J,MATCH($G303,绊状态确认!$B:$B,)))</f>
        <v>5199.1663679999992</v>
      </c>
      <c r="AM303" s="1106">
        <f>IF($P303="","N/A",(IF($P303=-1,INDEX('卡片raw data'!T:T,MATCH($D303,'卡片raw data'!$F:$F,)),0)+IF($P303=0,INDEX('卡片raw data'!W:W,MATCH($D303,'卡片raw data'!$F:$F,)),0)+IF($P303=1,INDEX('卡片raw data'!Z:Z,MATCH($D303,'卡片raw data'!$F:$F,)),0)+IF($P303=2,INDEX('卡片raw data'!AC:AC,MATCH($D303,'卡片raw data'!$F:$F,)),0)+IF($P303=3,INDEX('卡片raw data'!AF:AF,MATCH($D303,'卡片raw data'!$F:$F,)),0)+IF($P303=4,INDEX('卡片raw data'!AI:AI,MATCH($D303,'卡片raw data'!$F:$F,)),0)+IF($P303=5,INDEX('卡片raw data'!AL:AL,MATCH($D303,'卡片raw data'!$F:$F,)),0)+INDEX('卡片raw data'!T:T,MATCH($D303,'卡片raw data'!$F:$F,))*(IF($F303="UR",0.04,0.033))*(IF($F303="UR",INDEX(绊状态确认!$S:$S,MATCH($G303,绊状态确认!$B:$B,))/2-40)+IF($F303="SR",INDEX(绊状态确认!$R:$R,MATCH($G303,绊状态确认!$B:$B,))/4-15))+IF($F303="R",INDEX(绊状态确认!$Q:$Q,MATCH($G303,绊状态确认!$B:$B,))/6-40/6)))*(INDEX(绊状态确认!$H:$H,MATCH($G303,绊状态确认!$B:$B,))+INDEX(绊状态确认!K:K,MATCH($G303,绊状态确认!$B:$B,)))</f>
        <v>6710.9692895999988</v>
      </c>
      <c r="AN303" s="1106">
        <f>IF($P303="","N/A",(IF($P303=-1,INDEX('卡片raw data'!U:U,MATCH($D303,'卡片raw data'!$F:$F,)),0)+IF($P303=0,INDEX('卡片raw data'!X:X,MATCH($D303,'卡片raw data'!$F:$F,)),0)+IF($P303=1,INDEX('卡片raw data'!AA:AA,MATCH($D303,'卡片raw data'!$F:$F,)),0)+IF($P303=2,INDEX('卡片raw data'!AD:AD,MATCH($D303,'卡片raw data'!$F:$F,)),0)+IF($P303=3,INDEX('卡片raw data'!AG:AG,MATCH($D303,'卡片raw data'!$F:$F,)),0)+IF($P303=4,INDEX('卡片raw data'!AJ:AJ,MATCH($D303,'卡片raw data'!$F:$F,)),0)+IF($P303=5,INDEX('卡片raw data'!AM:AM,MATCH($D303,'卡片raw data'!$F:$F,)),0)+INDEX('卡片raw data'!U:U,MATCH($D303,'卡片raw data'!$F:$F,))*(IF($F303="UR",0.04,0.033))*(IF($F303="UR",INDEX(绊状态确认!$S:$S,MATCH($G303,绊状态确认!$B:$B,))/2-40)+IF($F303="SR",INDEX(绊状态确认!$R:$R,MATCH($G303,绊状态确认!$B:$B,))/4-15))+IF($F303="R",INDEX(绊状态确认!$Q:$Q,MATCH($G303,绊状态确认!$B:$B,))/6-40/6)))*(INDEX(绊状态确认!$H:$H,MATCH($G303,绊状态确认!$B:$B,))+INDEX(绊状态确认!L:L,MATCH($G303,绊状态确认!$B:$B,)))</f>
        <v>4864.371564</v>
      </c>
      <c r="AO303" s="1107">
        <f t="shared" si="364"/>
        <v>1</v>
      </c>
      <c r="AP303" s="1131">
        <f>1+(INDEX(绊状态确认!$T:$T,MATCH($G303,绊状态确认!$B:$B,))+0.2)*$AO303</f>
        <v>1.3</v>
      </c>
      <c r="AQ303" s="1108">
        <f t="shared" si="365"/>
        <v>16897.811716</v>
      </c>
      <c r="AR303" s="1097">
        <f>(AM303*(1+$EX$9)+$EX$35)*(1+(INDEX(绊状态确认!$T:$T,MATCH($G303,绊状态确认!$B:$B,))+0.2)*AO303)*IF(J303=$FF$17,1+$FE$17,1)*IF(I303=$FF$14,1+$FE$14,1)</f>
        <v>11864.473080304</v>
      </c>
      <c r="AS303" s="1097">
        <f>(AN303*(1+$EX$10)+$EX$36)*(1+(INDEX(绊状态确认!$T:$T,MATCH($G303,绊状态确认!$B:$B,))+0.2)*AO303)*IF(J303=$FF$17,1+$FE$17,1)*IF(I303=$FF$14,1+$FE$14,1)</f>
        <v>11328.23548818</v>
      </c>
      <c r="AT303" s="1093">
        <f>IF(AND(INDEX('卡片raw data'!AK:AK,MATCH($D303,'卡片raw data'!$F:$F,))&lt;INDEX('卡片raw data'!AM:AM,MATCH($D303,'卡片raw data'!$F:$F,)),INDEX('卡片raw data'!AL:AL,MATCH($D303,'卡片raw data'!$F:$F,))&lt;INDEX('卡片raw data'!AM:AM,MATCH($D303,'卡片raw data'!$F:$F,))),1,0)</f>
        <v>0</v>
      </c>
      <c r="AU303" s="1098">
        <f>MIN(AT303*0.15+AS303*0.00003+INDEX(绊状态确认!M:M,MATCH($G303,绊状态确认!$B:$B,)),1)</f>
        <v>0.36984706464540001</v>
      </c>
      <c r="AV303" s="1109">
        <f>(INDEX(绊状态确认!$N:$N,MATCH($G303,绊状态确认!$B:$B,))+1.5)*$EW$21</f>
        <v>2.6599999999999997</v>
      </c>
      <c r="AW303" s="1101">
        <f t="shared" si="366"/>
        <v>14163.704735359459</v>
      </c>
      <c r="AX303" s="1097">
        <f t="shared" si="367"/>
        <v>1015.5827044346614</v>
      </c>
      <c r="AY303" s="1110">
        <f t="shared" si="368"/>
        <v>15179.28743979412</v>
      </c>
      <c r="AZ303" s="429">
        <f t="shared" si="369"/>
        <v>12738.374417599998</v>
      </c>
      <c r="BA303" s="431">
        <f t="shared" si="370"/>
        <v>15286.049301119998</v>
      </c>
      <c r="BB303" s="1097">
        <f>(AM303*(1+$FB$9)+$FB$35)*(1+(INDEX(绊状态确认!$T:$T,MATCH($G303,绊状态确认!$B:$B,))+0.2)*AO303)*IF(J303=$FF$17,1+$FE$17,1)*IF(I303=$FF$14,1+$FE$14,1)*(1+$FE$15)</f>
        <v>11864.473080304</v>
      </c>
      <c r="BC303" s="1097">
        <f>(AN303*(1+$FB$10)+$FB$36)*(1+(INDEX(绊状态确认!$T:$T,MATCH($G303,绊状态确认!$B:$B,))+0.2)*AO303)*IF(J303=$FF$17,1+$FE$17,1)*IF(I303=$FF$14,1+$FE$14,1)*(1+$FE$15)</f>
        <v>11328.23548818</v>
      </c>
      <c r="BD303" s="1104">
        <f>MIN(AT303*0.15+BC303*0.00003+INDEX(绊状态确认!M:M,MATCH($G303,绊状态确认!$B:$B,)),1)</f>
        <v>0.36984706464540001</v>
      </c>
      <c r="BE303" s="432">
        <f>(INDEX(绊状态确认!$N:$N,MATCH($G303,绊状态确认!$B:$B,))+1.5)</f>
        <v>1.9</v>
      </c>
      <c r="BF303" s="1139">
        <f t="array" ref="BF303">SUMPRODUCT(IF(AZ303*AP303*$FI$16:$FI$23*$FA$22&gt;=$FI$24,$FI$24,AZ303*AP303*$FI$16:$FI$23*$FA$22),$FJ$16:$FJ$23)</f>
        <v>25336.626716606399</v>
      </c>
      <c r="BG303" s="1125">
        <f t="array" ref="BG303">SUMPRODUCT(IF(BE303*AZ303*AP303*$FI$16:$FI$23*$FA$22&gt;=$FI$24,$FI$24,BE303*AZ303*AP303*$FI$16:$FI$23*$FA$22),$FJ$16:$FJ$23)</f>
        <v>48139.59076155215</v>
      </c>
      <c r="BH303" s="1110">
        <f t="shared" si="371"/>
        <v>11256.745344614728</v>
      </c>
      <c r="BI303" s="1111">
        <f>IF(O303="vo",$EW$26/$EW$24*0.05,0)+IF(O303="sk",-$EW$26/$EW$24*(0.05-INDEX(绊状态确认!W:W,MATCH($G303,绊状态确认!$B:$B,)))+0.05*$EW$28,0)+IF(O303="sp",0.05*$EW$32*$EW$30*(1-$EW$33)-(0.05-INDEX(绊状态确认!V:V,MATCH($G303,绊状态确认!$B:$B,)))*$EW$28,0)+IF(O303="gd",-(0.05-INDEX(绊状态确认!X:X,MATCH($G303,绊状态确认!$B:$B,)))*$EW$32*$EW$30*(1-$EW$33),0)</f>
        <v>-585.00000000000011</v>
      </c>
      <c r="BJ303" s="1097">
        <f>IF(O303="vo",0.05*(1-$FI$26)*$FA$24,0)+IF(O303="sk",-(0.05-INDEX(绊状态确认!W:W,MATCH($G303,绊状态确认!$B:$B,)))*(1-$FI$26)*$FA$24+0.05*$FA$26,0)+IF(O303="sp",0.05*$FA$32*$FA$27*(1-$FA$33)/$FA$30+0.05*$FA$29/$FA$69*$FA$27*(1-$FA$33)-(0.05-INDEX(绊状态确认!V:V,MATCH($G303,绊状态确认!$B:$B,)))*$FA$26,0)+IF(O303="gd",-(0.05-INDEX(绊状态确认!X:X,MATCH($G303,绊状态确认!$B:$B,)))*$FA$32*$FA$27*(1-$FA$33)/$FA$30-(0.05-INDEX(绊状态确认!X:X,MATCH($G303,绊状态确认!$B:$B,)))*$FA$29/$FA$69*$FA$27*(1-$FA$33),0)</f>
        <v>-795.00000000000011</v>
      </c>
      <c r="BK303" s="1110">
        <f>IF(O303="vo",$EW$26/$EW$24*0.05+$EW$26*(-HP($EW$62,$EW$65,$EW$64)+HP($EW$62,$EW$65,(1.05-INDEX(绊状态确认!U:U,MATCH($G303,绊状态确认!$B:$B,)))*$EW$64)),0)+IF(O303="sk",-$EW$26/$EW$24*(0.05-INDEX(绊状态确认!W:W,MATCH($G303,绊状态确认!$B:$B,)))+0.05*$EW$29,0)+IF(O303="sp",0.05*$EW$32*$EW$30*(1-$EW$33)-(0.05-INDEX(绊状态确认!V:V,MATCH($G303,绊状态确认!$B:$B,)))*$EW$29,0)+IF(O303="gd",-(0.05-INDEX(绊状态确认!X:X,MATCH($G303,绊状态确认!$B:$B,)))*$EW$32*$EW$30*(1-$EW$33)+$EW$26*(-HP($EW$62,$EW$65,$EW$64)+HP($EW$62,$EW$65,0.95*$EW$64)),0)</f>
        <v>1009.5947725176144</v>
      </c>
      <c r="BL303" s="1111">
        <f t="shared" si="372"/>
        <v>-1083.3333333333333</v>
      </c>
      <c r="BM303" s="1110">
        <f t="shared" si="373"/>
        <v>-830.55555555555543</v>
      </c>
      <c r="BN303" s="1113">
        <f t="shared" si="374"/>
        <v>3</v>
      </c>
      <c r="BO303" s="1097">
        <f t="shared" si="375"/>
        <v>4507.7214871259994</v>
      </c>
      <c r="BP303" s="1100">
        <f t="shared" si="376"/>
        <v>221.34103209030098</v>
      </c>
      <c r="BQ303" s="1113" t="s">
        <v>133</v>
      </c>
      <c r="BR303" s="1124" t="s">
        <v>168</v>
      </c>
      <c r="BS303" s="1098">
        <f>IF($P303="","N/A",IF($P303=-1,INDEX('卡片raw data'!AX:AX,MATCH($D303,'卡片raw data'!$F:$F,)),0)+IF($L303="party卡",IF($P303=5,INDEX('卡片raw data'!BD:BD,MATCH($D303,'卡片raw data'!$F:$F,)),IF($P303&gt;=3,INDEX('卡片raw data'!BC:BC,MATCH($D303,'卡片raw data'!$F:$F,)),INDEX('卡片raw data'!BB:BB,MATCH($D303,'卡片raw data'!$F:$F,)))),IF(OR(AND($F303="UR",$P303=0),AND($F303="SR",$P303&gt;=0,$P303&lt;=2),AND($F303="R",$P303&gt;=0,$P303&lt;4)),INDEX('卡片raw data'!AZ:AZ,MATCH($D303,'卡片raw data'!$F:$F,)),0)+IF(OR(AND($F303="UR",$P303&gt;=1,$P303&lt;=4),AND($F303="SR",$P303&lt;=4,$P303&gt;=3),AND($F303="R",$P303=4)),INDEX('卡片raw data'!BA:BA,MATCH($D303,'卡片raw data'!$F:$F,)),0)+IF($P303=5,INDEX('卡片raw data'!BB:BB,MATCH($D303,'卡片raw data'!$F:$F,)),0)))</f>
        <v>0.05</v>
      </c>
      <c r="BT303" s="1101">
        <f t="shared" si="377"/>
        <v>0</v>
      </c>
      <c r="BU303" s="1097">
        <f t="shared" si="378"/>
        <v>0</v>
      </c>
      <c r="BV303" s="1097">
        <f t="shared" si="379"/>
        <v>0</v>
      </c>
      <c r="BW303" s="1112">
        <f t="shared" si="380"/>
        <v>1.7558035714285711</v>
      </c>
      <c r="BX303" s="1100">
        <f t="shared" si="381"/>
        <v>137.19019421334193</v>
      </c>
      <c r="BY303" s="1110">
        <f t="shared" si="382"/>
        <v>137.19019421334193</v>
      </c>
      <c r="BZ303" s="1107" t="s">
        <v>569</v>
      </c>
      <c r="CA303" s="1124"/>
      <c r="CB303" s="1098">
        <f>IF($P303="","N/A",IF($P303=-1,INDEX('卡片raw data'!BE:BE,MATCH($D303,'卡片raw data'!$F:$F,)),0)+IF($L303="party卡",IF($P303=5,INDEX('卡片raw data'!BK:BK,MATCH($D303,'卡片raw data'!$F:$F,)),IF($P303&gt;=3,INDEX('卡片raw data'!BJ:BJ,MATCH($D303,'卡片raw data'!$F:$F,)),INDEX('卡片raw data'!BI:BI,MATCH($D303,'卡片raw data'!$F:$F,)))),IF(OR(AND($F303="UR",$P303=0),AND($F303="SR",$P303&gt;=0,$P303&lt;=2),AND($F303="R",$P303&gt;=0,$P303&lt;4)),INDEX('卡片raw data'!BG:BG,MATCH($D303,'卡片raw data'!$F:$F,)),0)+IF(OR(AND($F303="UR",$P303&gt;=1,$P303&lt;=4),AND($F303="SR",$P303&lt;=4,$P303&gt;=3),AND($F303="R",$P303=4)),INDEX('卡片raw data'!BH:BH,MATCH($D303,'卡片raw data'!$F:$F,)),0)+IF($P303=5,INDEX('卡片raw data'!BI:BI,MATCH($D303,'卡片raw data'!$F:$F,)),0)))</f>
        <v>0</v>
      </c>
      <c r="CC303" s="1101">
        <f t="shared" si="383"/>
        <v>0</v>
      </c>
      <c r="CD303" s="1097">
        <f>IF(BZ303="ap",CB303*(1-$FI$26)*$FB$5/$FB$11*(+IF(CA303="全员",$FA$24,0)+IF(CA303="同作战",$FA$24,0)+IF(CA303="仲间",$FA$24*2/3,0)+IF(CA303="同属性",$FA$24*$FA$37/3,0)+IF(CA303="同年级",$FA$24*$FA$40/3,0)+IF(CA303="同学校",$FA$24*$FA$43/3,0)+IF(CA303="同小队",$FA$24*$FA$46/3,0)+IF(CA303="同type",$FA$24*INDEX($FB$49:$FB$52,MATCH(X303,$FA$49:$FA$52,))/3,0)+IF(CA303="自身",#REF!/3,0)),0)+IF(BZ303="te",CB303*(1-$FI$27)*($FA$20-1)*$FB$7/$FB$13*(+IF(CA303="全员",$FA$19*$FA$24/(1+($FA$20-1)*$FA$19),0)+IF(CA303="同作战",$FA$19*$FA$24/(1+($FA$20-1)*$FA$19),0)+IF(CA303="仲间",$FA$19*$FA$24*2/3/(1+($FA$20-1)*$FA$19),0)+IF(CA303="同属性",$FA$19*$FA$24*$FA$37/3/(1+($FA$20-1)*$FA$19),0)+IF(CA303="同年级",$FA$19*$FA$24*$FA$40/3/(1+($FA$20-1)*$FA$19),0)+IF(CA303="同学校",$FA$19*$FA$24*$FA$43/3/(1+($FA$20-1)*$FA$19),0)+IF(CA303="同小队",$FA$19*$FA$24*$FA$46/3/(1+($FA$20-1)*$FA$19),0)+IF(CA303="同type",$FA$19*$FA$24*INDEX($FB$49:$FB$52,MATCH(X303,$FA$49:$FA$52,))/3/(1+($FA$20-1)*$FA$19),0)+IF(CA303="自身",$FA$19*#REF!/3/(1+(BH303-1)*$BD303),0)),0)</f>
        <v>0</v>
      </c>
      <c r="CE303" s="1097">
        <f t="shared" si="384"/>
        <v>0</v>
      </c>
      <c r="CF303" s="1112">
        <f t="shared" si="385"/>
        <v>0</v>
      </c>
      <c r="CG303" s="1100">
        <f t="shared" si="386"/>
        <v>0</v>
      </c>
      <c r="CH303" s="1110">
        <f t="shared" si="387"/>
        <v>0</v>
      </c>
      <c r="CI303" s="1113" t="s">
        <v>170</v>
      </c>
      <c r="CJ303" s="1114">
        <v>1</v>
      </c>
      <c r="CK303" s="1115" t="s">
        <v>909</v>
      </c>
      <c r="CL303" s="1115" t="s">
        <v>904</v>
      </c>
      <c r="CM303" s="1119">
        <v>0.23</v>
      </c>
      <c r="CN303" s="1115">
        <v>1</v>
      </c>
      <c r="CO303" s="1092">
        <v>2</v>
      </c>
      <c r="CP303" s="1118">
        <f t="shared" si="388"/>
        <v>8.2142857142857148E-4</v>
      </c>
      <c r="CQ303" s="1118">
        <f t="shared" si="389"/>
        <v>1.2777777777777779E-3</v>
      </c>
      <c r="CR303" s="1118">
        <f t="shared" si="390"/>
        <v>8.2142857142857148E-4</v>
      </c>
      <c r="CS303" s="1118">
        <f t="shared" si="391"/>
        <v>0</v>
      </c>
      <c r="CT303" s="1109">
        <f t="shared" si="392"/>
        <v>0</v>
      </c>
      <c r="CU303" s="1101">
        <f t="shared" si="393"/>
        <v>0</v>
      </c>
      <c r="CV303" s="1108">
        <f t="shared" si="394"/>
        <v>0</v>
      </c>
      <c r="CW303" s="1097">
        <f t="shared" si="395"/>
        <v>0</v>
      </c>
      <c r="CX303" s="1097">
        <f t="shared" si="396"/>
        <v>32.004871270631774</v>
      </c>
      <c r="CY303" s="1110">
        <f t="shared" si="397"/>
        <v>32.004871270631774</v>
      </c>
      <c r="CZ303" s="437"/>
      <c r="DA303" s="438"/>
      <c r="DB303" s="439" t="s">
        <v>569</v>
      </c>
      <c r="DC303" s="439"/>
      <c r="DD303" s="443"/>
      <c r="DE303" s="411"/>
      <c r="DF303" s="411"/>
      <c r="DG303" s="1116">
        <f t="shared" si="398"/>
        <v>0</v>
      </c>
      <c r="DH303" s="1116">
        <f t="shared" si="399"/>
        <v>0</v>
      </c>
      <c r="DI303" s="1116">
        <f t="shared" si="400"/>
        <v>0</v>
      </c>
      <c r="DJ303" s="442">
        <f t="shared" si="401"/>
        <v>0</v>
      </c>
      <c r="DK303" s="1109">
        <f t="shared" si="402"/>
        <v>0</v>
      </c>
      <c r="DL303" s="1101">
        <f t="shared" si="403"/>
        <v>0</v>
      </c>
      <c r="DM303" s="1097">
        <f t="shared" si="404"/>
        <v>0</v>
      </c>
      <c r="DN303" s="1097">
        <f t="shared" si="405"/>
        <v>0</v>
      </c>
      <c r="DO303" s="1097">
        <f t="shared" si="406"/>
        <v>0</v>
      </c>
      <c r="DP303" s="1110">
        <f t="shared" si="407"/>
        <v>0</v>
      </c>
      <c r="DQ303" s="1113" t="s">
        <v>913</v>
      </c>
      <c r="DR303" s="1120">
        <f t="shared" si="408"/>
        <v>0.3</v>
      </c>
      <c r="DS303" s="1124"/>
      <c r="DT303" s="1093" t="s">
        <v>908</v>
      </c>
      <c r="DU303" s="1093"/>
      <c r="DV303" s="1098">
        <f>IF($P303="","N/A",IF(P303=-1,INDEX('卡片raw data'!AN:AN,MATCH(D303,'卡片raw data'!$F:$F,)),0)+IF(AND(L303&lt;&gt;"party卡",P303&lt;=2,P303&gt;=0),INDEX('卡片raw data'!AP:AP,MATCH(D303,'卡片raw data'!$F:$F,)),0)+IF(OR(AND(L303="party卡",P303&lt;=1),AND(P303&lt;=4,L303&lt;&gt;"party卡",P303&gt;=3)),INDEX('卡片raw data'!AQ:AQ,MATCH(D303,'卡片raw data'!$F:$F,)),0)+IF(OR(P303=5,AND(L303="party卡",P303&gt;=2)),INDEX('卡片raw data'!AR:AR,MATCH(D303,'卡片raw data'!$F:$F,)),0))</f>
        <v>0.28999999999999998</v>
      </c>
      <c r="DW303" s="1098">
        <f t="shared" si="409"/>
        <v>0.3</v>
      </c>
      <c r="DX303" s="1098">
        <f t="shared" si="410"/>
        <v>0.3</v>
      </c>
      <c r="DY303" s="1125">
        <f t="shared" si="411"/>
        <v>344.06971932881601</v>
      </c>
      <c r="DZ303" s="1125">
        <f t="shared" si="412"/>
        <v>297.62030721942585</v>
      </c>
      <c r="EA303" s="1098">
        <f t="shared" si="413"/>
        <v>0</v>
      </c>
      <c r="EB303" s="1121">
        <f t="shared" si="414"/>
        <v>0</v>
      </c>
      <c r="EC303" s="1101">
        <f t="shared" si="415"/>
        <v>0</v>
      </c>
      <c r="ED303" s="1097">
        <f t="shared" si="416"/>
        <v>0</v>
      </c>
      <c r="EE303" s="1110">
        <f t="shared" si="417"/>
        <v>42202.151256346639</v>
      </c>
      <c r="EF303" s="1092" t="s">
        <v>569</v>
      </c>
      <c r="EG303" s="1120">
        <f t="shared" si="418"/>
        <v>0.3</v>
      </c>
      <c r="EH303" s="1124"/>
      <c r="EI303" s="1093"/>
      <c r="EJ303" s="1093"/>
      <c r="EK303" s="1097">
        <f>IF($P303="","N/A",IF(P303=-1,INDEX('卡片raw data'!AS:AS,MATCH(D303,'卡片raw data'!$F:$F,)),0)+IF(AND(L303&lt;&gt;"party卡",P303&lt;=2,P303&gt;=0),INDEX('卡片raw data'!AU:AU,MATCH(D303,'卡片raw data'!$F:$F,)),0)+IF(OR(AND(L303="party卡",P303&lt;=1),AND(P303&lt;=4,L303&lt;&gt;"party卡",P303&gt;=3)),INDEX('卡片raw data'!AV:AV,MATCH(D303,'卡片raw data'!$F:$F,)),0)+IF(OR(P303=5,AND(L303="party卡",P303&gt;=2)),INDEX('卡片raw data'!AW:AW,MATCH(D303,'卡片raw data'!$F:$F,)),0))</f>
        <v>0</v>
      </c>
      <c r="EL303" s="1098">
        <f t="shared" si="419"/>
        <v>0.3</v>
      </c>
      <c r="EM303" s="1098">
        <f t="shared" si="420"/>
        <v>0.3</v>
      </c>
      <c r="EN303" s="1125">
        <f t="shared" si="421"/>
        <v>0</v>
      </c>
      <c r="EO303" s="1125">
        <f t="shared" si="422"/>
        <v>0</v>
      </c>
      <c r="EP303" s="1098">
        <f t="shared" si="423"/>
        <v>0</v>
      </c>
      <c r="EQ303" s="1121">
        <f t="shared" si="424"/>
        <v>0</v>
      </c>
      <c r="ER303" s="1101">
        <f t="shared" si="425"/>
        <v>0</v>
      </c>
      <c r="ES303" s="1097">
        <f t="shared" si="426"/>
        <v>0</v>
      </c>
      <c r="ET303" s="1122">
        <f t="shared" si="427"/>
        <v>0</v>
      </c>
    </row>
    <row r="304" spans="2:150" ht="16.5" customHeight="1">
      <c r="B304" s="1123" t="str">
        <f>INDEX('卡片raw data'!B:B,MATCH($D304,'卡片raw data'!$F:$F,))</f>
        <v>fes1果</v>
      </c>
      <c r="C304" s="449" t="s">
        <v>124</v>
      </c>
      <c r="D304" s="408">
        <v>301</v>
      </c>
      <c r="E304" s="1090">
        <v>200013001</v>
      </c>
      <c r="F304" s="1090" t="str">
        <f>INDEX('卡片raw data'!C:C,MATCH($D304,'卡片raw data'!$F:$F,))</f>
        <v>UR</v>
      </c>
      <c r="G304" s="1094" t="s">
        <v>331</v>
      </c>
      <c r="H304" s="411">
        <f>IFERROR(INDEX(绊状态确认!C:C,MATCH($G304,绊状态确认!$B:$B,)),"")</f>
        <v>1</v>
      </c>
      <c r="I304" s="450" t="str">
        <f>IFERROR(INDEX(绊状态确认!D:D,MATCH($G304,绊状态确认!$B:$B,)),"")</f>
        <v>缪</v>
      </c>
      <c r="J304" s="450" t="str">
        <f>IFERROR(INDEX(绊状态确认!E:E,MATCH($G304,绊状态确认!$B:$B,)),"")</f>
        <v>2年级</v>
      </c>
      <c r="K304" s="451" t="str">
        <f>IFERROR(INDEX(绊状态确认!F:F,MATCH($G304,绊状态确认!$B:$B,)),"")</f>
        <v>Printemps</v>
      </c>
      <c r="L304" s="1094" t="str">
        <f>INDEX('卡片raw data'!E:E,MATCH($D304,'卡片raw data'!$F:$F,))</f>
        <v>fes卡</v>
      </c>
      <c r="M304" s="415">
        <v>44069</v>
      </c>
      <c r="N304" s="416">
        <v>22.5</v>
      </c>
      <c r="O304" s="1091" t="str">
        <f>INDEX('卡片raw data'!D:D,MATCH($D304,'卡片raw data'!$F:$F,))</f>
        <v>vo</v>
      </c>
      <c r="P304" s="417">
        <v>5</v>
      </c>
      <c r="Q304" s="1095">
        <f t="shared" si="343"/>
        <v>73847.052803020269</v>
      </c>
      <c r="R304" s="1096">
        <f t="shared" si="344"/>
        <v>0.85799999999999998</v>
      </c>
      <c r="S304" s="1097">
        <f t="shared" si="345"/>
        <v>21256.307734725335</v>
      </c>
      <c r="T304" s="1098">
        <f t="shared" si="346"/>
        <v>1.0620000000000001</v>
      </c>
      <c r="U304" s="1099">
        <f t="shared" si="347"/>
        <v>-9.9816016614571446</v>
      </c>
      <c r="V304" s="1100">
        <f t="shared" si="348"/>
        <v>73747.941347514497</v>
      </c>
      <c r="W304" s="1101">
        <f t="shared" si="349"/>
        <v>6220.1934658537139</v>
      </c>
      <c r="X304" s="1096">
        <f t="shared" si="350"/>
        <v>7.1999999999999995E-2</v>
      </c>
      <c r="Y304" s="1097">
        <f t="shared" si="351"/>
        <v>1205.5569947359336</v>
      </c>
      <c r="Z304" s="1102">
        <f t="shared" si="352"/>
        <v>15.018398338542855</v>
      </c>
      <c r="AA304" s="1103">
        <f t="shared" si="353"/>
        <v>7425.7504605896474</v>
      </c>
      <c r="AB304" s="1101">
        <f t="shared" si="354"/>
        <v>11479.201867500713</v>
      </c>
      <c r="AC304" s="1104">
        <f t="shared" si="355"/>
        <v>0.13300000000000001</v>
      </c>
      <c r="AD304" s="1105">
        <f t="shared" si="356"/>
        <v>0</v>
      </c>
      <c r="AE304" s="1128">
        <f t="shared" si="357"/>
        <v>0</v>
      </c>
      <c r="AF304" s="1130">
        <f t="shared" si="358"/>
        <v>0</v>
      </c>
      <c r="AG304" s="420">
        <f t="shared" si="359"/>
        <v>0</v>
      </c>
      <c r="AH304" s="420">
        <f t="shared" si="360"/>
        <v>0</v>
      </c>
      <c r="AI304" s="1097">
        <f t="shared" si="361"/>
        <v>0</v>
      </c>
      <c r="AJ304" s="420">
        <f t="shared" si="362"/>
        <v>0</v>
      </c>
      <c r="AK304" s="518">
        <f t="shared" si="363"/>
        <v>0</v>
      </c>
      <c r="AL304" s="1106">
        <f>IF($P304="","N/A",(IF($P304=-1,INDEX('卡片raw data'!S:S,MATCH($D304,'卡片raw data'!$F:$F,)),0)+IF($P304=0,INDEX('卡片raw data'!V:V,MATCH($D304,'卡片raw data'!$F:$F,)),0)+IF($P304=1,INDEX('卡片raw data'!Y:Y,MATCH($D304,'卡片raw data'!$F:$F,)),0)+IF($P304=2,INDEX('卡片raw data'!AB:AB,MATCH($D304,'卡片raw data'!$F:$F,)),0)+IF($P304=3,INDEX('卡片raw data'!AE:AE,MATCH($D304,'卡片raw data'!$F:$F,)),0)+IF($P304=4,INDEX('卡片raw data'!AH:AH,MATCH($D304,'卡片raw data'!$F:$F,)),0)+IF($P304=5,INDEX('卡片raw data'!AK:AK,MATCH($D304,'卡片raw data'!$F:$F,)),0)+INDEX('卡片raw data'!S:S,MATCH($D304,'卡片raw data'!$F:$F,))*(IF($F304="UR",0.04,0.033))*(IF($F304="UR",INDEX(绊状态确认!$S:$S,MATCH($G304,绊状态确认!$B:$B,))/2-40)+IF($F304="SR",INDEX(绊状态确认!$R:$R,MATCH($G304,绊状态确认!$B:$B,))/4-15))+IF($F304="R",INDEX(绊状态确认!$Q:$Q,MATCH($G304,绊状态确认!$B:$B,))/6-40/6)))*(INDEX(绊状态确认!$H:$H,MATCH($G304,绊状态确认!$B:$B,))+INDEX(绊状态确认!J:J,MATCH($G304,绊状态确认!$B:$B,)))</f>
        <v>14418.643199999999</v>
      </c>
      <c r="AM304" s="1106">
        <f>IF($P304="","N/A",(IF($P304=-1,INDEX('卡片raw data'!T:T,MATCH($D304,'卡片raw data'!$F:$F,)),0)+IF($P304=0,INDEX('卡片raw data'!W:W,MATCH($D304,'卡片raw data'!$F:$F,)),0)+IF($P304=1,INDEX('卡片raw data'!Z:Z,MATCH($D304,'卡片raw data'!$F:$F,)),0)+IF($P304=2,INDEX('卡片raw data'!AC:AC,MATCH($D304,'卡片raw data'!$F:$F,)),0)+IF($P304=3,INDEX('卡片raw data'!AF:AF,MATCH($D304,'卡片raw data'!$F:$F,)),0)+IF($P304=4,INDEX('卡片raw data'!AI:AI,MATCH($D304,'卡片raw data'!$F:$F,)),0)+IF($P304=5,INDEX('卡片raw data'!AL:AL,MATCH($D304,'卡片raw data'!$F:$F,)),0)+INDEX('卡片raw data'!T:T,MATCH($D304,'卡片raw data'!$F:$F,))*(IF($F304="UR",0.04,0.033))*(IF($F304="UR",INDEX(绊状态确认!$S:$S,MATCH($G304,绊状态确认!$B:$B,))/2-40)+IF($F304="SR",INDEX(绊状态确认!$R:$R,MATCH($G304,绊状态确认!$B:$B,))/4-15))+IF($F304="R",INDEX(绊状态确认!$Q:$Q,MATCH($G304,绊状态确认!$B:$B,))/6-40/6)))*(INDEX(绊状态确认!$H:$H,MATCH($G304,绊状态确认!$B:$B,))+INDEX(绊状态确认!K:K,MATCH($G304,绊状态确认!$B:$B,)))</f>
        <v>8288.0379359999988</v>
      </c>
      <c r="AN304" s="1106">
        <f>IF($P304="","N/A",(IF($P304=-1,INDEX('卡片raw data'!U:U,MATCH($D304,'卡片raw data'!$F:$F,)),0)+IF($P304=0,INDEX('卡片raw data'!X:X,MATCH($D304,'卡片raw data'!$F:$F,)),0)+IF($P304=1,INDEX('卡片raw data'!AA:AA,MATCH($D304,'卡片raw data'!$F:$F,)),0)+IF($P304=2,INDEX('卡片raw data'!AD:AD,MATCH($D304,'卡片raw data'!$F:$F,)),0)+IF($P304=3,INDEX('卡片raw data'!AG:AG,MATCH($D304,'卡片raw data'!$F:$F,)),0)+IF($P304=4,INDEX('卡片raw data'!AJ:AJ,MATCH($D304,'卡片raw data'!$F:$F,)),0)+IF($P304=5,INDEX('卡片raw data'!AM:AM,MATCH($D304,'卡片raw data'!$F:$F,)),0)+INDEX('卡片raw data'!U:U,MATCH($D304,'卡片raw data'!$F:$F,))*(IF($F304="UR",0.04,0.033))*(IF($F304="UR",INDEX(绊状态确认!$S:$S,MATCH($G304,绊状态确认!$B:$B,))/2-40)+IF($F304="SR",INDEX(绊状态确认!$R:$R,MATCH($G304,绊状态确认!$B:$B,))/4-15))+IF($F304="R",INDEX(绊状态确认!$Q:$Q,MATCH($G304,绊状态确认!$B:$B,))/6-40/6)))*(INDEX(绊状态确认!$H:$H,MATCH($G304,绊状态确认!$B:$B,))+INDEX(绊状态确认!L:L,MATCH($G304,绊状态确认!$B:$B,)))</f>
        <v>13335.290351999998</v>
      </c>
      <c r="AO304" s="1107">
        <f t="shared" si="364"/>
        <v>1</v>
      </c>
      <c r="AP304" s="1131">
        <f>1+(INDEX(绊状态确认!$T:$T,MATCH($G304,绊状态确认!$B:$B,))+0.2)*$AO304</f>
        <v>1.3</v>
      </c>
      <c r="AQ304" s="1108">
        <f t="shared" si="365"/>
        <v>41098.938399999999</v>
      </c>
      <c r="AR304" s="1097">
        <f>(AM304*(1+$EX$9)+$EX$35)*(1+(INDEX(绊状态确认!$T:$T,MATCH($G304,绊状态确认!$B:$B,))+0.2)*AO304)*IF(J304=$FF$17,1+$FE$17,1)*IF(I304=$FF$14,1+$FE$14,1)*(1+$FE$15)</f>
        <v>14017.171782639998</v>
      </c>
      <c r="AS304" s="1097">
        <f>(AN304*(1+$EX$10)+$EX$36)*(1+(INDEX(绊状态确认!$T:$T,MATCH($G304,绊状态确认!$B:$B,))+0.2)*AO304)*IF(J304=$FF$17,1+$FE$17,1)*IF(I304=$FF$14,1+$FE$14,1)*(1+$FE$15)</f>
        <v>23992.25907624</v>
      </c>
      <c r="AT304" s="1093">
        <f>IF(AND(INDEX('卡片raw data'!AK:AK,MATCH($D304,'卡片raw data'!$F:$F,))&lt;INDEX('卡片raw data'!AM:AM,MATCH($D304,'卡片raw data'!$F:$F,)),INDEX('卡片raw data'!AL:AL,MATCH($D304,'卡片raw data'!$F:$F,))&lt;INDEX('卡片raw data'!AM:AM,MATCH($D304,'卡片raw data'!$F:$F,))),1,0)</f>
        <v>0</v>
      </c>
      <c r="AU304" s="1098">
        <f>MIN(AT304*0.15+AS304*0.00003+INDEX(绊状态确认!M:M,MATCH($G304,绊状态确认!$B:$B,)),1)</f>
        <v>0.74976777228720004</v>
      </c>
      <c r="AV304" s="1109">
        <f>(INDEX(绊状态确认!$N:$N,MATCH($G304,绊状态确认!$B:$B,))+1.5)*$EW$21</f>
        <v>2.6599999999999997</v>
      </c>
      <c r="AW304" s="1101">
        <f t="shared" si="366"/>
        <v>47910.392897124279</v>
      </c>
      <c r="AX304" s="1097">
        <f t="shared" si="367"/>
        <v>1205.5569947359334</v>
      </c>
      <c r="AY304" s="1110">
        <f t="shared" si="368"/>
        <v>49115.949891860211</v>
      </c>
      <c r="AZ304" s="429">
        <f t="shared" si="369"/>
        <v>30716.354239999997</v>
      </c>
      <c r="BA304" s="431">
        <f t="shared" si="370"/>
        <v>36859.625087999993</v>
      </c>
      <c r="BB304" s="1097">
        <f>(AM304*(1+$FB$9)+$FB$35)*(1+(INDEX(绊状态确认!$T:$T,MATCH($G304,绊状态确认!$B:$B,))+0.2)*AO304)*IF(J304=$FF$17,1+$FE$17,1)*IF(I304=$FF$14,1+$FE$14,1)*(1+$FE$15)</f>
        <v>14017.171782639998</v>
      </c>
      <c r="BC304" s="1097">
        <f>(AN304*(1+$FB$10)+$FB$36)*(1+(INDEX(绊状态确认!$T:$T,MATCH($G304,绊状态确认!$B:$B,))+0.2)*AO304)*IF(J304=$FF$17,1+$FE$17,1)*IF(I304=$FF$14,1+$FE$14,1)*(1+$FE$15)</f>
        <v>23992.25907624</v>
      </c>
      <c r="BD304" s="1104">
        <f>MIN(AT304*0.15+BC304*0.00003+INDEX(绊状态确认!M:M,MATCH($G304,绊状态确认!$B:$B,)),1)</f>
        <v>0.74976777228720004</v>
      </c>
      <c r="BE304" s="432">
        <f>(INDEX(绊状态确认!$N:$N,MATCH($G304,绊状态确认!$B:$B,))+1.5)</f>
        <v>1.9</v>
      </c>
      <c r="BF304" s="1139">
        <f t="array" ref="BF304">SUMPRODUCT(IF(AZ304*AP304*$FI$16:$FI$23*$FA$22&gt;=$FI$24,$FI$24,AZ304*AP304*$FI$16:$FI$23*$FA$22),$FJ$16:$FJ$23)</f>
        <v>57142.946224960004</v>
      </c>
      <c r="BG304" s="1125">
        <f t="array" ref="BG304">SUMPRODUCT(IF(BE304*AZ304*AP304*$FI$16:$FI$23*$FA$22&gt;=$FI$24,$FI$24,BE304*AZ304*AP304*$FI$16:$FI$23*$FA$22),$FJ$16:$FJ$23)</f>
        <v>60000</v>
      </c>
      <c r="BH304" s="1110">
        <f t="shared" si="371"/>
        <v>19761.691023058826</v>
      </c>
      <c r="BI304" s="1111">
        <f>IF(O304="vo",$EW$26/$EW$24*0.05,0)+IF(O304="sk",-$EW$26/$EW$24*(0.05-INDEX(绊状态确认!W:W,MATCH($G304,绊状态确认!$B:$B,)))+0.05*$EW$28,0)+IF(O304="sp",0.05*$EW$32*$EW$30*(1-$EW$33)-(0.05-INDEX(绊状态确认!V:V,MATCH($G304,绊状态确认!$B:$B,)))*$EW$28,0)+IF(O304="gd",-(0.05-INDEX(绊状态确认!X:X,MATCH($G304,绊状态确认!$B:$B,)))*$EW$32*$EW$30*(1-$EW$33),0)</f>
        <v>7726.3029277443748</v>
      </c>
      <c r="BJ304" s="1097">
        <f>IF(O304="vo",0.05*(1-$FI$26)*$FA$24,0)+IF(O304="sk",-(0.05-INDEX(绊状态确认!W:W,MATCH($G304,绊状态确认!$B:$B,)))*(1-$FI$26)*$FA$24+0.05*$FA$26,0)+IF(O304="sp",0.05*$FA$32*$FA$27*(1-$FA$33)/$FA$30+0.05*$FA$29/$FA$69*$FA$27*(1-$FA$33)-(0.05-INDEX(绊状态确认!V:V,MATCH($G304,绊状态确认!$B:$B,)))*$FA$26,0)+IF(O304="gd",-(0.05-INDEX(绊状态确认!X:X,MATCH($G304,绊状态确认!$B:$B,)))*$FA$32*$FA$27*(1-$FA$33)/$FA$30-(0.05-INDEX(绊状态确认!X:X,MATCH($G304,绊状态确认!$B:$B,)))*$FA$29/$FA$69*$FA$27*(1-$FA$33),0)</f>
        <v>393.93433687500004</v>
      </c>
      <c r="BK304" s="1110">
        <f>IF(O304="vo",$EW$26/$EW$24*0.05+$EW$26*(-HP($EW$62,$EW$65,$EW$64)+HP($EW$62,$EW$65,(1.05-INDEX(绊状态确认!U:U,MATCH($G304,绊状态确认!$B:$B,)))*$EW$64)),0)+IF(O304="sk",-$EW$26/$EW$24*(0.05-INDEX(绊状态确认!W:W,MATCH($G304,绊状态确认!$B:$B,)))+0.05*$EW$29,0)+IF(O304="sp",0.05*$EW$32*$EW$30*(1-$EW$33)-(0.05-INDEX(绊状态确认!V:V,MATCH($G304,绊状态确认!$B:$B,)))*$EW$29,0)+IF(O304="gd",-(0.05-INDEX(绊状态确认!X:X,MATCH($G304,绊状态确认!$B:$B,)))*$EW$32*$EW$30*(1-$EW$33)+$EW$26*(-HP($EW$62,$EW$65,$EW$64)+HP($EW$62,$EW$65,0.95*$EW$64)),0)</f>
        <v>6421.6344775026746</v>
      </c>
      <c r="BL304" s="1111">
        <f t="shared" si="372"/>
        <v>0</v>
      </c>
      <c r="BM304" s="1110">
        <f t="shared" si="373"/>
        <v>0</v>
      </c>
      <c r="BN304" s="1113">
        <f t="shared" si="374"/>
        <v>4</v>
      </c>
      <c r="BO304" s="1097">
        <f t="shared" si="375"/>
        <v>6010.2953161679998</v>
      </c>
      <c r="BP304" s="1100">
        <f t="shared" si="376"/>
        <v>295.12137612040135</v>
      </c>
      <c r="BQ304" s="1113" t="s">
        <v>934</v>
      </c>
      <c r="BR304" s="1124" t="s">
        <v>935</v>
      </c>
      <c r="BS304" s="1098">
        <f>IF($P304="","N/A",IF($P304=-1,INDEX('卡片raw data'!AX:AX,MATCH($D304,'卡片raw data'!$F:$F,)),0)+IF($L304="party卡",IF($P304=5,INDEX('卡片raw data'!BD:BD,MATCH($D304,'卡片raw data'!$F:$F,)),IF($P304&gt;=3,INDEX('卡片raw data'!BC:BC,MATCH($D304,'卡片raw data'!$F:$F,)),INDEX('卡片raw data'!BB:BB,MATCH($D304,'卡片raw data'!$F:$F,)))),IF(OR(AND($F304="UR",$P304=0),AND($F304="SR",$P304&gt;=0,$P304&lt;=2),AND($F304="R",$P304&gt;=0,$P304&lt;4)),INDEX('卡片raw data'!AZ:AZ,MATCH($D304,'卡片raw data'!$F:$F,)),0)+IF(OR(AND($F304="UR",$P304&gt;=1,$P304&lt;=4),AND($F304="SR",$P304&lt;=4,$P304&gt;=3),AND($F304="R",$P304=4)),INDEX('卡片raw data'!BA:BA,MATCH($D304,'卡片raw data'!$F:$F,)),0)+IF($P304=5,INDEX('卡片raw data'!BB:BB,MATCH($D304,'卡片raw data'!$F:$F,)),0)))</f>
        <v>7.0000000000000007E-2</v>
      </c>
      <c r="BT304" s="1101">
        <f t="shared" si="377"/>
        <v>5259.008401647</v>
      </c>
      <c r="BU304" s="1097">
        <f t="shared" si="378"/>
        <v>258.2312041053512</v>
      </c>
      <c r="BV304" s="1097">
        <f t="shared" si="379"/>
        <v>0</v>
      </c>
      <c r="BW304" s="1112">
        <f t="shared" si="380"/>
        <v>0</v>
      </c>
      <c r="BX304" s="1100">
        <f t="shared" si="381"/>
        <v>5259.008401647</v>
      </c>
      <c r="BY304" s="1110">
        <f t="shared" si="382"/>
        <v>0</v>
      </c>
      <c r="BZ304" s="1107" t="s">
        <v>569</v>
      </c>
      <c r="CA304" s="1124"/>
      <c r="CB304" s="1098">
        <f>IF($P304="","N/A",IF($P304=-1,INDEX('卡片raw data'!BE:BE,MATCH($D304,'卡片raw data'!$F:$F,)),0)+IF($L304="party卡",IF($P304=5,INDEX('卡片raw data'!BK:BK,MATCH($D304,'卡片raw data'!$F:$F,)),IF($P304&gt;=3,INDEX('卡片raw data'!BJ:BJ,MATCH($D304,'卡片raw data'!$F:$F,)),INDEX('卡片raw data'!BI:BI,MATCH($D304,'卡片raw data'!$F:$F,)))),IF(OR(AND($F304="UR",$P304=0),AND($F304="SR",$P304&gt;=0,$P304&lt;=2),AND($F304="R",$P304&gt;=0,$P304&lt;4)),INDEX('卡片raw data'!BG:BG,MATCH($D304,'卡片raw data'!$F:$F,)),0)+IF(OR(AND($F304="UR",$P304&gt;=1,$P304&lt;=4),AND($F304="SR",$P304&lt;=4,$P304&gt;=3),AND($F304="R",$P304=4)),INDEX('卡片raw data'!BH:BH,MATCH($D304,'卡片raw data'!$F:$F,)),0)+IF($P304=5,INDEX('卡片raw data'!BI:BI,MATCH($D304,'卡片raw data'!$F:$F,)),0)))</f>
        <v>0</v>
      </c>
      <c r="CC304" s="1101">
        <f t="shared" si="383"/>
        <v>0</v>
      </c>
      <c r="CD304" s="1097">
        <f>IF(BZ304="ap",CB304*(1-$FI$26)*$FB$5/$FB$11*(+IF(CA304="全员",$FA$24,0)+IF(CA304="同作战",$FA$24,0)+IF(CA304="仲间",$FA$24*2/3,0)+IF(CA304="同属性",$FA$24*$FA$37/3,0)+IF(CA304="同年级",$FA$24*$FA$40/3,0)+IF(CA304="同学校",$FA$24*$FA$43/3,0)+IF(CA304="同小队",$FA$24*$FA$46/3,0)+IF(CA304="同type",$FA$24*INDEX($FB$49:$FB$52,MATCH(X304,$FA$49:$FA$52,))/3,0)+IF(CA304="自身",#REF!/3,0)),0)+IF(BZ304="te",CB304*(1-$FI$27)*($FA$20-1)*$FB$7/$FB$13*(+IF(CA304="全员",$FA$19*$FA$24/(1+($FA$20-1)*$FA$19),0)+IF(CA304="同作战",$FA$19*$FA$24/(1+($FA$20-1)*$FA$19),0)+IF(CA304="仲间",$FA$19*$FA$24*2/3/(1+($FA$20-1)*$FA$19),0)+IF(CA304="同属性",$FA$19*$FA$24*$FA$37/3/(1+($FA$20-1)*$FA$19),0)+IF(CA304="同年级",$FA$19*$FA$24*$FA$40/3/(1+($FA$20-1)*$FA$19),0)+IF(CA304="同学校",$FA$19*$FA$24*$FA$43/3/(1+($FA$20-1)*$FA$19),0)+IF(CA304="同小队",$FA$19*$FA$24*$FA$46/3/(1+($FA$20-1)*$FA$19),0)+IF(CA304="同type",$FA$19*$FA$24*INDEX($FB$49:$FB$52,MATCH(X304,$FA$49:$FA$52,))/3/(1+($FA$20-1)*$FA$19),0)+IF(CA304="自身",$FA$19*#REF!/3/(1+(BH304-1)*$BD304),0)),0)</f>
        <v>0</v>
      </c>
      <c r="CE304" s="1097">
        <f t="shared" si="384"/>
        <v>0</v>
      </c>
      <c r="CF304" s="1112">
        <f t="shared" si="385"/>
        <v>0</v>
      </c>
      <c r="CG304" s="1100">
        <f t="shared" si="386"/>
        <v>0</v>
      </c>
      <c r="CH304" s="1110">
        <f t="shared" si="387"/>
        <v>0</v>
      </c>
      <c r="CI304" s="1113" t="s">
        <v>165</v>
      </c>
      <c r="CJ304" s="1114">
        <v>1</v>
      </c>
      <c r="CK304" s="1115" t="s">
        <v>936</v>
      </c>
      <c r="CL304" s="1115" t="s">
        <v>1940</v>
      </c>
      <c r="CM304" s="1119">
        <v>1</v>
      </c>
      <c r="CN304" s="1115"/>
      <c r="CO304" s="1092"/>
      <c r="CP304" s="1116">
        <f t="shared" si="388"/>
        <v>190.8164997142857</v>
      </c>
      <c r="CQ304" s="1116">
        <f t="shared" si="389"/>
        <v>266.20840341333331</v>
      </c>
      <c r="CR304" s="1116">
        <f t="shared" si="390"/>
        <v>190.8164997142857</v>
      </c>
      <c r="CS304" s="1118">
        <f t="shared" si="391"/>
        <v>0</v>
      </c>
      <c r="CT304" s="1109">
        <f t="shared" si="392"/>
        <v>0</v>
      </c>
      <c r="CU304" s="1101">
        <f t="shared" si="393"/>
        <v>209.89814968571429</v>
      </c>
      <c r="CV304" s="1108">
        <f t="shared" si="394"/>
        <v>266.20840341333331</v>
      </c>
      <c r="CW304" s="1097">
        <f t="shared" si="395"/>
        <v>209.89814968571429</v>
      </c>
      <c r="CX304" s="1097">
        <f t="shared" si="396"/>
        <v>209.89814968571429</v>
      </c>
      <c r="CY304" s="1110">
        <f t="shared" si="397"/>
        <v>209.89814968571429</v>
      </c>
      <c r="CZ304" s="437"/>
      <c r="DA304" s="438"/>
      <c r="DB304" s="439" t="s">
        <v>569</v>
      </c>
      <c r="DC304" s="439"/>
      <c r="DD304" s="443"/>
      <c r="DE304" s="411"/>
      <c r="DF304" s="411"/>
      <c r="DG304" s="1116">
        <f t="shared" si="398"/>
        <v>0</v>
      </c>
      <c r="DH304" s="1116">
        <f t="shared" si="399"/>
        <v>0</v>
      </c>
      <c r="DI304" s="1116">
        <f t="shared" si="400"/>
        <v>0</v>
      </c>
      <c r="DJ304" s="442">
        <f t="shared" si="401"/>
        <v>0</v>
      </c>
      <c r="DK304" s="1109">
        <f t="shared" si="402"/>
        <v>0</v>
      </c>
      <c r="DL304" s="1101">
        <f t="shared" si="403"/>
        <v>0</v>
      </c>
      <c r="DM304" s="1097">
        <f t="shared" si="404"/>
        <v>0</v>
      </c>
      <c r="DN304" s="1097">
        <f t="shared" si="405"/>
        <v>0</v>
      </c>
      <c r="DO304" s="1097">
        <f t="shared" si="406"/>
        <v>0</v>
      </c>
      <c r="DP304" s="1110">
        <f t="shared" si="407"/>
        <v>0</v>
      </c>
      <c r="DQ304" s="1113" t="s">
        <v>153</v>
      </c>
      <c r="DR304" s="1120">
        <f t="shared" si="408"/>
        <v>0.33</v>
      </c>
      <c r="DS304" s="1124">
        <v>5</v>
      </c>
      <c r="DT304" s="1093" t="s">
        <v>146</v>
      </c>
      <c r="DU304" s="1093" t="s">
        <v>941</v>
      </c>
      <c r="DV304" s="1098">
        <f>IF($P304="","N/A",IF(P304=-1,INDEX('卡片raw data'!AN:AN,MATCH(D304,'卡片raw data'!$F:$F,)),0)+IF(AND(L304&lt;&gt;"party卡",P304&lt;=2,P304&gt;=0),INDEX('卡片raw data'!AP:AP,MATCH(D304,'卡片raw data'!$F:$F,)),0)+IF(OR(AND(L304="party卡",P304&lt;=1),AND(P304&lt;=4,L304&lt;&gt;"party卡",P304&gt;=3)),INDEX('卡片raw data'!AQ:AQ,MATCH(D304,'卡片raw data'!$F:$F,)),0)+IF(OR(P304=5,AND(L304="party卡",P304&gt;=2)),INDEX('卡片raw data'!AR:AR,MATCH(D304,'卡片raw data'!$F:$F,)),0))</f>
        <v>0.09</v>
      </c>
      <c r="DW304" s="1098">
        <f t="shared" si="409"/>
        <v>0.33</v>
      </c>
      <c r="DX304" s="1098">
        <f t="shared" si="410"/>
        <v>0.33</v>
      </c>
      <c r="DY304" s="1098">
        <f t="shared" si="411"/>
        <v>4.9500000000000002E-2</v>
      </c>
      <c r="DZ304" s="1098">
        <f t="shared" si="412"/>
        <v>4.2817500000000001E-2</v>
      </c>
      <c r="EA304" s="1098">
        <f t="shared" si="413"/>
        <v>0</v>
      </c>
      <c r="EB304" s="1121">
        <f t="shared" si="414"/>
        <v>0</v>
      </c>
      <c r="EC304" s="1101">
        <f t="shared" si="415"/>
        <v>6731.1551106509005</v>
      </c>
      <c r="ED304" s="1097">
        <f t="shared" si="416"/>
        <v>281.12139115242189</v>
      </c>
      <c r="EE304" s="1110">
        <f t="shared" si="417"/>
        <v>6731.1551106509005</v>
      </c>
      <c r="EF304" s="1092" t="s">
        <v>569</v>
      </c>
      <c r="EG304" s="1120">
        <f t="shared" si="418"/>
        <v>0.33</v>
      </c>
      <c r="EH304" s="1124"/>
      <c r="EI304" s="1093"/>
      <c r="EJ304" s="1093"/>
      <c r="EK304" s="1097">
        <f>IF($P304="","N/A",IF(P304=-1,INDEX('卡片raw data'!AS:AS,MATCH(D304,'卡片raw data'!$F:$F,)),0)+IF(AND(L304&lt;&gt;"party卡",P304&lt;=2,P304&gt;=0),INDEX('卡片raw data'!AU:AU,MATCH(D304,'卡片raw data'!$F:$F,)),0)+IF(OR(AND(L304="party卡",P304&lt;=1),AND(P304&lt;=4,L304&lt;&gt;"party卡",P304&gt;=3)),INDEX('卡片raw data'!AV:AV,MATCH(D304,'卡片raw data'!$F:$F,)),0)+IF(OR(P304=5,AND(L304="party卡",P304&gt;=2)),INDEX('卡片raw data'!AW:AW,MATCH(D304,'卡片raw data'!$F:$F,)),0))</f>
        <v>0</v>
      </c>
      <c r="EL304" s="1098">
        <f t="shared" si="419"/>
        <v>0.33</v>
      </c>
      <c r="EM304" s="1098">
        <f t="shared" si="420"/>
        <v>0.33</v>
      </c>
      <c r="EN304" s="1125">
        <f t="shared" si="421"/>
        <v>0</v>
      </c>
      <c r="EO304" s="1125">
        <f t="shared" si="422"/>
        <v>0</v>
      </c>
      <c r="EP304" s="1098">
        <f t="shared" si="423"/>
        <v>0</v>
      </c>
      <c r="EQ304" s="1121">
        <f t="shared" si="424"/>
        <v>0</v>
      </c>
      <c r="ER304" s="1101">
        <f t="shared" si="425"/>
        <v>0</v>
      </c>
      <c r="ES304" s="1097">
        <f t="shared" si="426"/>
        <v>0</v>
      </c>
      <c r="ET304" s="1122">
        <f t="shared" si="427"/>
        <v>0</v>
      </c>
    </row>
    <row r="305" spans="2:150" ht="16.5" customHeight="1">
      <c r="B305" s="1123" t="str">
        <f>INDEX('卡片raw data'!B:B,MATCH($D305,'卡片raw data'!$F:$F,))</f>
        <v>fes1梨</v>
      </c>
      <c r="C305" s="449" t="s">
        <v>67</v>
      </c>
      <c r="D305" s="408">
        <v>302</v>
      </c>
      <c r="E305" s="1090">
        <v>201023001</v>
      </c>
      <c r="F305" s="1090" t="str">
        <f>INDEX('卡片raw data'!C:C,MATCH($D305,'卡片raw data'!$F:$F,))</f>
        <v>UR</v>
      </c>
      <c r="G305" s="1094" t="s">
        <v>340</v>
      </c>
      <c r="H305" s="411">
        <f>IFERROR(INDEX(绊状态确认!C:C,MATCH($G305,绊状态确认!$B:$B,)),"")</f>
        <v>102</v>
      </c>
      <c r="I305" s="450" t="str">
        <f>IFERROR(INDEX(绊状态确认!D:D,MATCH($G305,绊状态确认!$B:$B,)),"")</f>
        <v>水</v>
      </c>
      <c r="J305" s="450" t="str">
        <f>IFERROR(INDEX(绊状态确认!E:E,MATCH($G305,绊状态确认!$B:$B,)),"")</f>
        <v>2年级</v>
      </c>
      <c r="K305" s="451" t="str">
        <f>IFERROR(INDEX(绊状态确认!F:F,MATCH($G305,绊状态确认!$B:$B,)),"")</f>
        <v>Guilty Kiss</v>
      </c>
      <c r="L305" s="1094" t="str">
        <f>INDEX('卡片raw data'!E:E,MATCH($D305,'卡片raw data'!$F:$F,))</f>
        <v>fes卡</v>
      </c>
      <c r="M305" s="415">
        <v>44069</v>
      </c>
      <c r="N305" s="416">
        <v>22.5</v>
      </c>
      <c r="O305" s="1091" t="str">
        <f>INDEX('卡片raw data'!D:D,MATCH($D305,'卡片raw data'!$F:$F,))</f>
        <v>gd</v>
      </c>
      <c r="P305" s="417">
        <v>5</v>
      </c>
      <c r="Q305" s="1095">
        <f t="shared" si="343"/>
        <v>39109.264782016005</v>
      </c>
      <c r="R305" s="1096">
        <f t="shared" si="344"/>
        <v>0.45400000000000001</v>
      </c>
      <c r="S305" s="1097">
        <f t="shared" si="345"/>
        <v>17805.743586404387</v>
      </c>
      <c r="T305" s="1098">
        <f t="shared" si="346"/>
        <v>0.89</v>
      </c>
      <c r="U305" s="1099">
        <f t="shared" si="347"/>
        <v>1058.4773039523773</v>
      </c>
      <c r="V305" s="1100">
        <f t="shared" si="348"/>
        <v>91336.104891898518</v>
      </c>
      <c r="W305" s="1101">
        <f t="shared" si="349"/>
        <v>6010.2953161679998</v>
      </c>
      <c r="X305" s="1096">
        <f t="shared" si="350"/>
        <v>6.9000000000000006E-2</v>
      </c>
      <c r="Y305" s="1097">
        <f t="shared" si="351"/>
        <v>2197.2142477411398</v>
      </c>
      <c r="Z305" s="1102">
        <f t="shared" si="352"/>
        <v>26.944443041657138</v>
      </c>
      <c r="AA305" s="1103">
        <f t="shared" si="353"/>
        <v>8207.5095639091396</v>
      </c>
      <c r="AB305" s="1101">
        <f t="shared" si="354"/>
        <v>6916.8481930233393</v>
      </c>
      <c r="AC305" s="1104">
        <f t="shared" si="355"/>
        <v>0.08</v>
      </c>
      <c r="AD305" s="1105">
        <f t="shared" si="356"/>
        <v>0</v>
      </c>
      <c r="AE305" s="1128">
        <f t="shared" si="357"/>
        <v>-6.25</v>
      </c>
      <c r="AF305" s="1130">
        <f t="shared" si="358"/>
        <v>13954.205571716799</v>
      </c>
      <c r="AG305" s="420">
        <f t="shared" si="359"/>
        <v>91284.328161120007</v>
      </c>
      <c r="AH305" s="420">
        <f t="shared" si="360"/>
        <v>6.5417072789969808</v>
      </c>
      <c r="AI305" s="1097">
        <f t="shared" si="361"/>
        <v>117913.37230517554</v>
      </c>
      <c r="AJ305" s="420">
        <f t="shared" si="362"/>
        <v>91336.104891898518</v>
      </c>
      <c r="AK305" s="518">
        <f t="shared" si="363"/>
        <v>26577.267413277019</v>
      </c>
      <c r="AL305" s="1106">
        <f>IF($P305="","N/A",(IF($P305=-1,INDEX('卡片raw data'!S:S,MATCH($D305,'卡片raw data'!$F:$F,)),0)+IF($P305=0,INDEX('卡片raw data'!V:V,MATCH($D305,'卡片raw data'!$F:$F,)),0)+IF($P305=1,INDEX('卡片raw data'!Y:Y,MATCH($D305,'卡片raw data'!$F:$F,)),0)+IF($P305=2,INDEX('卡片raw data'!AB:AB,MATCH($D305,'卡片raw data'!$F:$F,)),0)+IF($P305=3,INDEX('卡片raw data'!AE:AE,MATCH($D305,'卡片raw data'!$F:$F,)),0)+IF($P305=4,INDEX('卡片raw data'!AH:AH,MATCH($D305,'卡片raw data'!$F:$F,)),0)+IF($P305=5,INDEX('卡片raw data'!AK:AK,MATCH($D305,'卡片raw data'!$F:$F,)),0)+INDEX('卡片raw data'!S:S,MATCH($D305,'卡片raw data'!$F:$F,))*(IF($F305="UR",0.04,0.033))*(IF($F305="UR",INDEX(绊状态确认!$S:$S,MATCH($G305,绊状态确认!$B:$B,))/2-40)+IF($F305="SR",INDEX(绊状态确认!$R:$R,MATCH($G305,绊状态确认!$B:$B,))/4-15))+IF($F305="R",INDEX(绊状态确认!$Q:$Q,MATCH($G305,绊状态确认!$B:$B,))/6-40/6)))*(INDEX(绊状态确认!$H:$H,MATCH($G305,绊状态确认!$B:$B,))+INDEX(绊状态确认!J:J,MATCH($G305,绊状态确认!$B:$B,)))</f>
        <v>10451.334431999998</v>
      </c>
      <c r="AM305" s="1106">
        <f>IF($P305="","N/A",(IF($P305=-1,INDEX('卡片raw data'!T:T,MATCH($D305,'卡片raw data'!$F:$F,)),0)+IF($P305=0,INDEX('卡片raw data'!W:W,MATCH($D305,'卡片raw data'!$F:$F,)),0)+IF($P305=1,INDEX('卡片raw data'!Z:Z,MATCH($D305,'卡片raw data'!$F:$F,)),0)+IF($P305=2,INDEX('卡片raw data'!AC:AC,MATCH($D305,'卡片raw data'!$F:$F,)),0)+IF($P305=3,INDEX('卡片raw data'!AF:AF,MATCH($D305,'卡片raw data'!$F:$F,)),0)+IF($P305=4,INDEX('卡片raw data'!AI:AI,MATCH($D305,'卡片raw data'!$F:$F,)),0)+IF($P305=5,INDEX('卡片raw data'!AL:AL,MATCH($D305,'卡片raw data'!$F:$F,)),0)+INDEX('卡片raw data'!T:T,MATCH($D305,'卡片raw data'!$F:$F,))*(IF($F305="UR",0.04,0.033))*(IF($F305="UR",INDEX(绊状态确认!$S:$S,MATCH($G305,绊状态确认!$B:$B,))/2-40)+IF($F305="SR",INDEX(绊状态确认!$R:$R,MATCH($G305,绊状态确认!$B:$B,))/4-15))+IF($F305="R",INDEX(绊状态确认!$Q:$Q,MATCH($G305,绊状态确认!$B:$B,))/6-40/6)))*(INDEX(绊状态确认!$H:$H,MATCH($G305,绊状态确认!$B:$B,))+INDEX(绊状态确认!K:K,MATCH($G305,绊状态确认!$B:$B,)))</f>
        <v>14777.836511999998</v>
      </c>
      <c r="AN305" s="1106">
        <f>IF($P305="","N/A",(IF($P305=-1,INDEX('卡片raw data'!U:U,MATCH($D305,'卡片raw data'!$F:$F,)),0)+IF($P305=0,INDEX('卡片raw data'!X:X,MATCH($D305,'卡片raw data'!$F:$F,)),0)+IF($P305=1,INDEX('卡片raw data'!AA:AA,MATCH($D305,'卡片raw data'!$F:$F,)),0)+IF($P305=2,INDEX('卡片raw data'!AD:AD,MATCH($D305,'卡片raw data'!$F:$F,)),0)+IF($P305=3,INDEX('卡片raw data'!AG:AG,MATCH($D305,'卡片raw data'!$F:$F,)),0)+IF($P305=4,INDEX('卡片raw data'!AJ:AJ,MATCH($D305,'卡片raw data'!$F:$F,)),0)+IF($P305=5,INDEX('卡片raw data'!AM:AM,MATCH($D305,'卡片raw data'!$F:$F,)),0)+INDEX('卡片raw data'!U:U,MATCH($D305,'卡片raw data'!$F:$F,))*(IF($F305="UR",0.04,0.033))*(IF($F305="UR",INDEX(绊状态确认!$S:$S,MATCH($G305,绊状态确认!$B:$B,))/2-40)+IF($F305="SR",INDEX(绊状态确认!$R:$R,MATCH($G305,绊状态确认!$B:$B,))/4-15))+IF($F305="R",INDEX(绊状态确认!$Q:$Q,MATCH($G305,绊状态确认!$B:$B,))/6-40/6)))*(INDEX(绊状态确认!$H:$H,MATCH($G305,绊状态确认!$B:$B,))+INDEX(绊状态确认!L:L,MATCH($G305,绊状态确认!$B:$B,)))</f>
        <v>10812.800543999998</v>
      </c>
      <c r="AO305" s="1107">
        <f t="shared" si="364"/>
        <v>1</v>
      </c>
      <c r="AP305" s="1131">
        <f>1+(INDEX(绊状态确认!$T:$T,MATCH($G305,绊状态确认!$B:$B,))+0.2)*$AO305</f>
        <v>1.3</v>
      </c>
      <c r="AQ305" s="1108">
        <f t="shared" si="365"/>
        <v>30684.752883999994</v>
      </c>
      <c r="AR305" s="1097">
        <f>(AM305*(1+$EX$9)+$EX$35)*(1+(INDEX(绊状态确认!$T:$T,MATCH($G305,绊状态确认!$B:$B,))+0.2)*AO305)*IF(J305=$FF$17,1+$FE$17,1)*IF(I305=$FF$14,1+$FE$14,1)*(1+$FE$15)</f>
        <v>22875.746838879997</v>
      </c>
      <c r="AS305" s="1097">
        <f>(AN305*(1+$EX$10)+$EX$36)*(1+(INDEX(绊状态确认!$T:$T,MATCH($G305,绊状态确认!$B:$B,))+0.2)*AO305)*IF(J305=$FF$17,1+$FE$17,1)*IF(I305=$FF$14,1+$FE$14,1)*(1+$FE$15)</f>
        <v>20221.136813279998</v>
      </c>
      <c r="AT305" s="1093">
        <f>IF(AND(INDEX('卡片raw data'!AK:AK,MATCH($D305,'卡片raw data'!$F:$F,))&lt;INDEX('卡片raw data'!AM:AM,MATCH($D305,'卡片raw data'!$F:$F,)),INDEX('卡片raw data'!AL:AL,MATCH($D305,'卡片raw data'!$F:$F,))&lt;INDEX('卡片raw data'!AM:AM,MATCH($D305,'卡片raw data'!$F:$F,))),1,0)</f>
        <v>0</v>
      </c>
      <c r="AU305" s="1098">
        <f>MIN(AT305*0.15+AS305*0.00003+INDEX(绊状态确认!M:M,MATCH($G305,绊状态确认!$B:$B,)),1)</f>
        <v>0.63663410439839996</v>
      </c>
      <c r="AV305" s="1109">
        <f>(INDEX(绊状态确认!$N:$N,MATCH($G305,绊状态确认!$B:$B,))+1.5)*$EW$21</f>
        <v>2.6599999999999997</v>
      </c>
      <c r="AW305" s="1101">
        <f t="shared" si="366"/>
        <v>32777.416588992666</v>
      </c>
      <c r="AX305" s="1097">
        <f t="shared" si="367"/>
        <v>2006.7176064957541</v>
      </c>
      <c r="AY305" s="1110">
        <f t="shared" si="368"/>
        <v>34784.134195488419</v>
      </c>
      <c r="AZ305" s="429">
        <f t="shared" si="369"/>
        <v>22980.102142399996</v>
      </c>
      <c r="BA305" s="431">
        <f t="shared" si="370"/>
        <v>27576.122570879994</v>
      </c>
      <c r="BB305" s="1097">
        <f>(AM305*(1+$FB$9)+$FB$35)*(1+(INDEX(绊状态确认!$T:$T,MATCH($G305,绊状态确认!$B:$B,))+0.2)*AO305)*IF(J305=$FF$17,1+$FE$17,1)*IF(I305=$FF$14,1+$FE$14,1)*(1+$FE$15)</f>
        <v>22875.746838879997</v>
      </c>
      <c r="BC305" s="1097">
        <f>(AN305*(1+$FB$10)+$FB$36)*(1+(INDEX(绊状态确认!$T:$T,MATCH($G305,绊状态确认!$B:$B,))+0.2)*AO305)*IF(J305=$FF$17,1+$FE$17,1)*IF(I305=$FF$14,1+$FE$14,1)*(1+$FE$15)</f>
        <v>20221.136813279998</v>
      </c>
      <c r="BD305" s="1104">
        <f>MIN(AT305*0.15+BC305*0.00003+INDEX(绊状态确认!M:M,MATCH($G305,绊状态确认!$B:$B,)),1)</f>
        <v>0.63663410439839996</v>
      </c>
      <c r="BE305" s="432">
        <f>(INDEX(绊状态确认!$N:$N,MATCH($G305,绊状态确认!$B:$B,))+1.5)</f>
        <v>1.9</v>
      </c>
      <c r="BF305" s="1139">
        <f t="array" ref="BF305">SUMPRODUCT(IF(AZ305*AP305*$FI$16:$FI$23*$FA$22&gt;=$FI$24,$FI$24,AZ305*AP305*$FI$16:$FI$23*$FA$22),$FJ$16:$FJ$23)</f>
        <v>45707.423161233593</v>
      </c>
      <c r="BG305" s="1125">
        <f t="array" ref="BG305">SUMPRODUCT(IF(BE305*AZ305*AP305*$FI$16:$FI$23*$FA$22&gt;=$FI$24,$FI$24,BE305*AZ305*AP305*$FI$16:$FI$23*$FA$22),$FJ$16:$FJ$23)</f>
        <v>60000</v>
      </c>
      <c r="BH305" s="1110">
        <f t="shared" si="371"/>
        <v>18268.855005508987</v>
      </c>
      <c r="BI305" s="1111">
        <f>IF(O305="vo",$EW$26/$EW$24*0.05,0)+IF(O305="sk",-$EW$26/$EW$24*(0.05-INDEX(绊状态确认!W:W,MATCH($G305,绊状态确认!$B:$B,)))+0.05*$EW$28,0)+IF(O305="sp",0.05*$EW$32*$EW$30*(1-$EW$33)-(0.05-INDEX(绊状态确认!V:V,MATCH($G305,绊状态确认!$B:$B,)))*$EW$28,0)+IF(O305="gd",-(0.05-INDEX(绊状态确认!X:X,MATCH($G305,绊状态确认!$B:$B,)))*$EW$32*$EW$30*(1-$EW$33),0)</f>
        <v>-585.00000000000011</v>
      </c>
      <c r="BJ305" s="1097">
        <f>IF(O305="vo",0.05*(1-$FI$26)*$FA$24,0)+IF(O305="sk",-(0.05-INDEX(绊状态确认!W:W,MATCH($G305,绊状态确认!$B:$B,)))*(1-$FI$26)*$FA$24+0.05*$FA$26,0)+IF(O305="sp",0.05*$FA$32*$FA$27*(1-$FA$33)/$FA$30+0.05*$FA$29/$FA$69*$FA$27*(1-$FA$33)-(0.05-INDEX(绊状态确认!V:V,MATCH($G305,绊状态确认!$B:$B,)))*$FA$26,0)+IF(O305="gd",-(0.05-INDEX(绊状态确认!X:X,MATCH($G305,绊状态确认!$B:$B,)))*$FA$32*$FA$27*(1-$FA$33)/$FA$30-(0.05-INDEX(绊状态确认!X:X,MATCH($G305,绊状态确认!$B:$B,)))*$FA$29/$FA$69*$FA$27*(1-$FA$33),0)</f>
        <v>-795.00000000000011</v>
      </c>
      <c r="BK305" s="1110">
        <f>IF(O305="vo",$EW$26/$EW$24*0.05+$EW$26*(-HP($EW$62,$EW$65,$EW$64)+HP($EW$62,$EW$65,(1.05-INDEX(绊状态确认!U:U,MATCH($G305,绊状态确认!$B:$B,)))*$EW$64)),0)+IF(O305="sk",-$EW$26/$EW$24*(0.05-INDEX(绊状态确认!W:W,MATCH($G305,绊状态确认!$B:$B,)))+0.05*$EW$29,0)+IF(O305="sp",0.05*$EW$32*$EW$30*(1-$EW$33)-(0.05-INDEX(绊状态确认!V:V,MATCH($G305,绊状态确认!$B:$B,)))*$EW$29,0)+IF(O305="gd",-(0.05-INDEX(绊状态确认!X:X,MATCH($G305,绊状态确认!$B:$B,)))*$EW$32*$EW$30*(1-$EW$33)+$EW$26*(-HP($EW$62,$EW$65,$EW$64)+HP($EW$62,$EW$65,0.95*$EW$64)),0)</f>
        <v>1009.5947725176144</v>
      </c>
      <c r="BL305" s="1111">
        <f t="shared" si="372"/>
        <v>0</v>
      </c>
      <c r="BM305" s="1110">
        <f t="shared" si="373"/>
        <v>0</v>
      </c>
      <c r="BN305" s="1113">
        <f t="shared" si="374"/>
        <v>4</v>
      </c>
      <c r="BO305" s="1097">
        <f t="shared" si="375"/>
        <v>6010.2953161679998</v>
      </c>
      <c r="BP305" s="1100">
        <f t="shared" si="376"/>
        <v>295.12137612040135</v>
      </c>
      <c r="BQ305" s="1113" t="s">
        <v>133</v>
      </c>
      <c r="BR305" s="1124" t="s">
        <v>171</v>
      </c>
      <c r="BS305" s="1098">
        <f>IF($P305="","N/A",IF($P305=-1,INDEX('卡片raw data'!AX:AX,MATCH($D305,'卡片raw data'!$F:$F,)),0)+IF($L305="party卡",IF($P305=5,INDEX('卡片raw data'!BD:BD,MATCH($D305,'卡片raw data'!$F:$F,)),IF($P305&gt;=3,INDEX('卡片raw data'!BC:BC,MATCH($D305,'卡片raw data'!$F:$F,)),INDEX('卡片raw data'!BB:BB,MATCH($D305,'卡片raw data'!$F:$F,)))),IF(OR(AND($F305="UR",$P305=0),AND($F305="SR",$P305&gt;=0,$P305&lt;=2),AND($F305="R",$P305&gt;=0,$P305&lt;4)),INDEX('卡片raw data'!AZ:AZ,MATCH($D305,'卡片raw data'!$F:$F,)),0)+IF(OR(AND($F305="UR",$P305&gt;=1,$P305&lt;=4),AND($F305="SR",$P305&lt;=4,$P305&gt;=3),AND($F305="R",$P305=4)),INDEX('卡片raw data'!BA:BA,MATCH($D305,'卡片raw data'!$F:$F,)),0)+IF($P305=5,INDEX('卡片raw data'!BB:BB,MATCH($D305,'卡片raw data'!$F:$F,)),0)))</f>
        <v>5.1999999999999998E-2</v>
      </c>
      <c r="BT305" s="1101">
        <f t="shared" si="377"/>
        <v>0</v>
      </c>
      <c r="BU305" s="1097">
        <f t="shared" si="378"/>
        <v>0</v>
      </c>
      <c r="BV305" s="1097">
        <f t="shared" si="379"/>
        <v>0</v>
      </c>
      <c r="BW305" s="1112">
        <f t="shared" si="380"/>
        <v>2.4347142857142861</v>
      </c>
      <c r="BX305" s="1100">
        <f t="shared" si="381"/>
        <v>190.49664124538464</v>
      </c>
      <c r="BY305" s="1110">
        <f t="shared" si="382"/>
        <v>190.49664124538464</v>
      </c>
      <c r="BZ305" s="1107" t="s">
        <v>569</v>
      </c>
      <c r="CA305" s="1124"/>
      <c r="CB305" s="1098">
        <f>IF($P305="","N/A",IF($P305=-1,INDEX('卡片raw data'!BE:BE,MATCH($D305,'卡片raw data'!$F:$F,)),0)+IF($L305="party卡",IF($P305=5,INDEX('卡片raw data'!BK:BK,MATCH($D305,'卡片raw data'!$F:$F,)),IF($P305&gt;=3,INDEX('卡片raw data'!BJ:BJ,MATCH($D305,'卡片raw data'!$F:$F,)),INDEX('卡片raw data'!BI:BI,MATCH($D305,'卡片raw data'!$F:$F,)))),IF(OR(AND($F305="UR",$P305=0),AND($F305="SR",$P305&gt;=0,$P305&lt;=2),AND($F305="R",$P305&gt;=0,$P305&lt;4)),INDEX('卡片raw data'!BG:BG,MATCH($D305,'卡片raw data'!$F:$F,)),0)+IF(OR(AND($F305="UR",$P305&gt;=1,$P305&lt;=4),AND($F305="SR",$P305&lt;=4,$P305&gt;=3),AND($F305="R",$P305=4)),INDEX('卡片raw data'!BH:BH,MATCH($D305,'卡片raw data'!$F:$F,)),0)+IF($P305=5,INDEX('卡片raw data'!BI:BI,MATCH($D305,'卡片raw data'!$F:$F,)),0)))</f>
        <v>0</v>
      </c>
      <c r="CC305" s="1101">
        <f t="shared" si="383"/>
        <v>0</v>
      </c>
      <c r="CD305" s="1097">
        <f>IF(BZ305="ap",CB305*(1-$FI$26)*$FB$5/$FB$11*(+IF(CA305="全员",$FA$24,0)+IF(CA305="同作战",$FA$24,0)+IF(CA305="仲间",$FA$24*2/3,0)+IF(CA305="同属性",$FA$24*$FA$37/3,0)+IF(CA305="同年级",$FA$24*$FA$40/3,0)+IF(CA305="同学校",$FA$24*$FA$43/3,0)+IF(CA305="同小队",$FA$24*$FA$46/3,0)+IF(CA305="同type",$FA$24*INDEX($FB$49:$FB$52,MATCH(X305,$FA$49:$FA$52,))/3,0)+IF(CA305="自身",#REF!/3,0)),0)+IF(BZ305="te",CB305*(1-$FI$27)*($FA$20-1)*$FB$7/$FB$13*(+IF(CA305="全员",$FA$19*$FA$24/(1+($FA$20-1)*$FA$19),0)+IF(CA305="同作战",$FA$19*$FA$24/(1+($FA$20-1)*$FA$19),0)+IF(CA305="仲间",$FA$19*$FA$24*2/3/(1+($FA$20-1)*$FA$19),0)+IF(CA305="同属性",$FA$19*$FA$24*$FA$37/3/(1+($FA$20-1)*$FA$19),0)+IF(CA305="同年级",$FA$19*$FA$24*$FA$40/3/(1+($FA$20-1)*$FA$19),0)+IF(CA305="同学校",$FA$19*$FA$24*$FA$43/3/(1+($FA$20-1)*$FA$19),0)+IF(CA305="同小队",$FA$19*$FA$24*$FA$46/3/(1+($FA$20-1)*$FA$19),0)+IF(CA305="同type",$FA$19*$FA$24*INDEX($FB$49:$FB$52,MATCH(X305,$FA$49:$FA$52,))/3/(1+($FA$20-1)*$FA$19),0)+IF(CA305="自身",$FA$19*#REF!/3/(1+(BH305-1)*$BD305),0)),0)</f>
        <v>0</v>
      </c>
      <c r="CE305" s="1097">
        <f t="shared" si="384"/>
        <v>0</v>
      </c>
      <c r="CF305" s="1112">
        <f t="shared" si="385"/>
        <v>0</v>
      </c>
      <c r="CG305" s="1100">
        <f t="shared" si="386"/>
        <v>0</v>
      </c>
      <c r="CH305" s="1110">
        <f t="shared" si="387"/>
        <v>0</v>
      </c>
      <c r="CI305" s="1113" t="s">
        <v>172</v>
      </c>
      <c r="CJ305" s="1114">
        <v>0.15</v>
      </c>
      <c r="CK305" s="1115" t="s">
        <v>221</v>
      </c>
      <c r="CL305" s="1115" t="s">
        <v>171</v>
      </c>
      <c r="CM305" s="1119">
        <v>0.08</v>
      </c>
      <c r="CN305" s="1115">
        <v>2</v>
      </c>
      <c r="CO305" s="1092"/>
      <c r="CP305" s="1118">
        <f t="shared" si="388"/>
        <v>5.3333333333333332E-3</v>
      </c>
      <c r="CQ305" s="1118">
        <f t="shared" si="389"/>
        <v>4.6666666666666671E-3</v>
      </c>
      <c r="CR305" s="1118">
        <f t="shared" si="390"/>
        <v>0</v>
      </c>
      <c r="CS305" s="1118">
        <f t="shared" si="391"/>
        <v>0</v>
      </c>
      <c r="CT305" s="1109">
        <f t="shared" si="392"/>
        <v>0</v>
      </c>
      <c r="CU305" s="1101">
        <f t="shared" si="393"/>
        <v>906.55287685533995</v>
      </c>
      <c r="CV305" s="1108">
        <f t="shared" si="394"/>
        <v>36.767204775000003</v>
      </c>
      <c r="CW305" s="1097">
        <f t="shared" si="395"/>
        <v>0</v>
      </c>
      <c r="CX305" s="1097">
        <f t="shared" si="396"/>
        <v>906.55287685533995</v>
      </c>
      <c r="CY305" s="1110">
        <f t="shared" si="397"/>
        <v>0</v>
      </c>
      <c r="CZ305" s="437"/>
      <c r="DA305" s="438"/>
      <c r="DB305" s="439" t="s">
        <v>569</v>
      </c>
      <c r="DC305" s="439"/>
      <c r="DD305" s="443"/>
      <c r="DE305" s="411"/>
      <c r="DF305" s="411"/>
      <c r="DG305" s="1116">
        <f t="shared" si="398"/>
        <v>0</v>
      </c>
      <c r="DH305" s="1116">
        <f t="shared" si="399"/>
        <v>0</v>
      </c>
      <c r="DI305" s="1116">
        <f t="shared" si="400"/>
        <v>0</v>
      </c>
      <c r="DJ305" s="442">
        <f t="shared" si="401"/>
        <v>0</v>
      </c>
      <c r="DK305" s="1109">
        <f t="shared" si="402"/>
        <v>0</v>
      </c>
      <c r="DL305" s="1101">
        <f t="shared" si="403"/>
        <v>0</v>
      </c>
      <c r="DM305" s="1097">
        <f t="shared" si="404"/>
        <v>0</v>
      </c>
      <c r="DN305" s="1097">
        <f t="shared" si="405"/>
        <v>0</v>
      </c>
      <c r="DO305" s="1097">
        <f t="shared" si="406"/>
        <v>0</v>
      </c>
      <c r="DP305" s="1110">
        <f t="shared" si="407"/>
        <v>0</v>
      </c>
      <c r="DQ305" s="1113" t="s">
        <v>942</v>
      </c>
      <c r="DR305" s="1120">
        <f t="shared" si="408"/>
        <v>0.33</v>
      </c>
      <c r="DS305" s="1124"/>
      <c r="DT305" s="1093" t="s">
        <v>144</v>
      </c>
      <c r="DU305" s="1093"/>
      <c r="DV305" s="1098">
        <f>IF($P305="","N/A",IF(P305=-1,INDEX('卡片raw data'!AN:AN,MATCH(D305,'卡片raw data'!$F:$F,)),0)+IF(AND(L305&lt;&gt;"party卡",P305&lt;=2,P305&gt;=0),INDEX('卡片raw data'!AP:AP,MATCH(D305,'卡片raw data'!$F:$F,)),0)+IF(OR(AND(L305="party卡",P305&lt;=1),AND(P305&lt;=4,L305&lt;&gt;"party卡",P305&gt;=3)),INDEX('卡片raw data'!AQ:AQ,MATCH(D305,'卡片raw data'!$F:$F,)),0)+IF(OR(P305=5,AND(L305="party卡",P305&gt;=2)),INDEX('卡片raw data'!AR:AR,MATCH(D305,'卡片raw data'!$F:$F,)),0))</f>
        <v>0.4</v>
      </c>
      <c r="DW305" s="1098">
        <f t="shared" si="409"/>
        <v>0.33</v>
      </c>
      <c r="DX305" s="1098">
        <f t="shared" si="410"/>
        <v>0.33</v>
      </c>
      <c r="DY305" s="1125">
        <f t="shared" si="411"/>
        <v>1006.53286091072</v>
      </c>
      <c r="DZ305" s="1125">
        <f t="shared" si="412"/>
        <v>870.65092468777289</v>
      </c>
      <c r="EA305" s="1098">
        <f t="shared" si="413"/>
        <v>0</v>
      </c>
      <c r="EB305" s="1121">
        <f t="shared" si="414"/>
        <v>0</v>
      </c>
      <c r="EC305" s="1101">
        <f t="shared" si="415"/>
        <v>0</v>
      </c>
      <c r="ED305" s="1097">
        <f t="shared" si="416"/>
        <v>0</v>
      </c>
      <c r="EE305" s="1110">
        <f t="shared" si="417"/>
        <v>48435.03108962375</v>
      </c>
      <c r="EF305" s="1092" t="s">
        <v>569</v>
      </c>
      <c r="EG305" s="1120">
        <f t="shared" si="418"/>
        <v>0.33</v>
      </c>
      <c r="EH305" s="1124"/>
      <c r="EI305" s="1093"/>
      <c r="EJ305" s="1093"/>
      <c r="EK305" s="1097">
        <f>IF($P305="","N/A",IF(P305=-1,INDEX('卡片raw data'!AS:AS,MATCH(D305,'卡片raw data'!$F:$F,)),0)+IF(AND(L305&lt;&gt;"party卡",P305&lt;=2,P305&gt;=0),INDEX('卡片raw data'!AU:AU,MATCH(D305,'卡片raw data'!$F:$F,)),0)+IF(OR(AND(L305="party卡",P305&lt;=1),AND(P305&lt;=4,L305&lt;&gt;"party卡",P305&gt;=3)),INDEX('卡片raw data'!AV:AV,MATCH(D305,'卡片raw data'!$F:$F,)),0)+IF(OR(P305=5,AND(L305="party卡",P305&gt;=2)),INDEX('卡片raw data'!AW:AW,MATCH(D305,'卡片raw data'!$F:$F,)),0))</f>
        <v>0</v>
      </c>
      <c r="EL305" s="1098">
        <f t="shared" si="419"/>
        <v>0.33</v>
      </c>
      <c r="EM305" s="1098">
        <f t="shared" si="420"/>
        <v>0.33</v>
      </c>
      <c r="EN305" s="1125">
        <f t="shared" si="421"/>
        <v>0</v>
      </c>
      <c r="EO305" s="1125">
        <f t="shared" si="422"/>
        <v>0</v>
      </c>
      <c r="EP305" s="1098">
        <f t="shared" si="423"/>
        <v>0</v>
      </c>
      <c r="EQ305" s="1121">
        <f t="shared" si="424"/>
        <v>0</v>
      </c>
      <c r="ER305" s="1101">
        <f t="shared" si="425"/>
        <v>0</v>
      </c>
      <c r="ES305" s="1097">
        <f t="shared" si="426"/>
        <v>0</v>
      </c>
      <c r="ET305" s="1122">
        <f t="shared" si="427"/>
        <v>0</v>
      </c>
    </row>
    <row r="306" spans="2:150" ht="16.5" customHeight="1">
      <c r="B306" s="1123" t="str">
        <f>INDEX('卡片raw data'!B:B,MATCH($D306,'卡片raw data'!$F:$F,))</f>
        <v>五单希</v>
      </c>
      <c r="C306" s="449" t="s">
        <v>124</v>
      </c>
      <c r="D306" s="408">
        <v>303</v>
      </c>
      <c r="E306" s="1090">
        <v>300072003</v>
      </c>
      <c r="F306" s="1090" t="str">
        <f>INDEX('卡片raw data'!C:C,MATCH($D306,'卡片raw data'!$F:$F,))</f>
        <v>SR</v>
      </c>
      <c r="G306" s="1094" t="s">
        <v>140</v>
      </c>
      <c r="H306" s="411">
        <f>IFERROR(INDEX(绊状态确认!C:C,MATCH($G306,绊状态确认!$B:$B,)),"")</f>
        <v>7</v>
      </c>
      <c r="I306" s="450" t="str">
        <f>IFERROR(INDEX(绊状态确认!D:D,MATCH($G306,绊状态确认!$B:$B,)),"")</f>
        <v>缪</v>
      </c>
      <c r="J306" s="450" t="str">
        <f>IFERROR(INDEX(绊状态确认!E:E,MATCH($G306,绊状态确认!$B:$B,)),"")</f>
        <v>3年级</v>
      </c>
      <c r="K306" s="451" t="str">
        <f>IFERROR(INDEX(绊状态确认!F:F,MATCH($G306,绊状态确认!$B:$B,)),"")</f>
        <v>lilywhite</v>
      </c>
      <c r="L306" s="1094" t="str">
        <f>INDEX('卡片raw data'!E:E,MATCH($D306,'卡片raw data'!$F:$F,))</f>
        <v>卡池卡</v>
      </c>
      <c r="M306" s="415">
        <v>44069</v>
      </c>
      <c r="N306" s="416">
        <v>22.5</v>
      </c>
      <c r="O306" s="1091" t="str">
        <f>INDEX('卡片raw data'!D:D,MATCH($D306,'卡片raw data'!$F:$F,))</f>
        <v>sk</v>
      </c>
      <c r="P306" s="417">
        <v>5</v>
      </c>
      <c r="Q306" s="1095">
        <f t="shared" si="343"/>
        <v>28616.843853544757</v>
      </c>
      <c r="R306" s="1096">
        <f t="shared" si="344"/>
        <v>0.33200000000000002</v>
      </c>
      <c r="S306" s="1097">
        <f t="shared" si="345"/>
        <v>15492.084872099576</v>
      </c>
      <c r="T306" s="1098">
        <f t="shared" si="346"/>
        <v>0.77400000000000002</v>
      </c>
      <c r="U306" s="1099">
        <f t="shared" si="347"/>
        <v>11.514096318102858</v>
      </c>
      <c r="V306" s="1100">
        <f t="shared" si="348"/>
        <v>31534.473030470977</v>
      </c>
      <c r="W306" s="1101">
        <f t="shared" si="349"/>
        <v>4507.7214871259994</v>
      </c>
      <c r="X306" s="1096">
        <f t="shared" si="350"/>
        <v>5.1999999999999998E-2</v>
      </c>
      <c r="Y306" s="1097">
        <f t="shared" si="351"/>
        <v>917.62917692622068</v>
      </c>
      <c r="Z306" s="1102">
        <f t="shared" si="352"/>
        <v>11.514096318102858</v>
      </c>
      <c r="AA306" s="1103">
        <f t="shared" si="353"/>
        <v>5425.3506640522201</v>
      </c>
      <c r="AB306" s="1101">
        <f t="shared" si="354"/>
        <v>8943.910823511862</v>
      </c>
      <c r="AC306" s="1104">
        <f t="shared" si="355"/>
        <v>0.10299999999999999</v>
      </c>
      <c r="AD306" s="1105">
        <f t="shared" si="356"/>
        <v>1.8994224431818179E-2</v>
      </c>
      <c r="AE306" s="1128">
        <f t="shared" si="357"/>
        <v>4.3537577047458456</v>
      </c>
      <c r="AF306" s="1130">
        <f t="shared" si="358"/>
        <v>0</v>
      </c>
      <c r="AG306" s="420">
        <f t="shared" si="359"/>
        <v>0</v>
      </c>
      <c r="AH306" s="420">
        <f t="shared" si="360"/>
        <v>0</v>
      </c>
      <c r="AI306" s="1097">
        <f t="shared" si="361"/>
        <v>0</v>
      </c>
      <c r="AJ306" s="420">
        <f t="shared" si="362"/>
        <v>0</v>
      </c>
      <c r="AK306" s="518">
        <f t="shared" si="363"/>
        <v>0</v>
      </c>
      <c r="AL306" s="1106">
        <f>IF($P306="","N/A",(IF($P306=-1,INDEX('卡片raw data'!S:S,MATCH($D306,'卡片raw data'!$F:$F,)),0)+IF($P306=0,INDEX('卡片raw data'!V:V,MATCH($D306,'卡片raw data'!$F:$F,)),0)+IF($P306=1,INDEX('卡片raw data'!Y:Y,MATCH($D306,'卡片raw data'!$F:$F,)),0)+IF($P306=2,INDEX('卡片raw data'!AB:AB,MATCH($D306,'卡片raw data'!$F:$F,)),0)+IF($P306=3,INDEX('卡片raw data'!AE:AE,MATCH($D306,'卡片raw data'!$F:$F,)),0)+IF($P306=4,INDEX('卡片raw data'!AH:AH,MATCH($D306,'卡片raw data'!$F:$F,)),0)+IF($P306=5,INDEX('卡片raw data'!AK:AK,MATCH($D306,'卡片raw data'!$F:$F,)),0)+INDEX('卡片raw data'!S:S,MATCH($D306,'卡片raw data'!$F:$F,))*(IF($F306="UR",0.04,0.033))*(IF($F306="UR",INDEX(绊状态确认!$S:$S,MATCH($G306,绊状态确认!$B:$B,))/2-40)+IF($F306="SR",INDEX(绊状态确认!$R:$R,MATCH($G306,绊状态确认!$B:$B,))/4-15))+IF($F306="R",INDEX(绊状态确认!$Q:$Q,MATCH($G306,绊状态确认!$B:$B,))/6-40/6)))*(INDEX(绊状态确认!$H:$H,MATCH($G306,绊状态确认!$B:$B,))+INDEX(绊状态确认!J:J,MATCH($G306,绊状态确认!$B:$B,)))</f>
        <v>8330.4824759999992</v>
      </c>
      <c r="AM306" s="1106">
        <f>IF($P306="","N/A",(IF($P306=-1,INDEX('卡片raw data'!T:T,MATCH($D306,'卡片raw data'!$F:$F,)),0)+IF($P306=0,INDEX('卡片raw data'!W:W,MATCH($D306,'卡片raw data'!$F:$F,)),0)+IF($P306=1,INDEX('卡片raw data'!Z:Z,MATCH($D306,'卡片raw data'!$F:$F,)),0)+IF($P306=2,INDEX('卡片raw data'!AC:AC,MATCH($D306,'卡片raw data'!$F:$F,)),0)+IF($P306=3,INDEX('卡片raw data'!AF:AF,MATCH($D306,'卡片raw data'!$F:$F,)),0)+IF($P306=4,INDEX('卡片raw data'!AI:AI,MATCH($D306,'卡片raw data'!$F:$F,)),0)+IF($P306=5,INDEX('卡片raw data'!AL:AL,MATCH($D306,'卡片raw data'!$F:$F,)),0)+INDEX('卡片raw data'!T:T,MATCH($D306,'卡片raw data'!$F:$F,))*(IF($F306="UR",0.04,0.033))*(IF($F306="UR",INDEX(绊状态确认!$S:$S,MATCH($G306,绊状态确认!$B:$B,))/2-40)+IF($F306="SR",INDEX(绊状态确认!$R:$R,MATCH($G306,绊状态确认!$B:$B,))/4-15))+IF($F306="R",INDEX(绊状态确认!$Q:$Q,MATCH($G306,绊状态确认!$B:$B,))/6-40/6)))*(INDEX(绊状态确认!$H:$H,MATCH($G306,绊状态确认!$B:$B,))+INDEX(绊状态确认!K:K,MATCH($G306,绊状态确认!$B:$B,)))</f>
        <v>5891.9339903999989</v>
      </c>
      <c r="AN306" s="1106">
        <f>IF($P306="","N/A",(IF($P306=-1,INDEX('卡片raw data'!U:U,MATCH($D306,'卡片raw data'!$F:$F,)),0)+IF($P306=0,INDEX('卡片raw data'!X:X,MATCH($D306,'卡片raw data'!$F:$F,)),0)+IF($P306=1,INDEX('卡片raw data'!AA:AA,MATCH($D306,'卡片raw data'!$F:$F,)),0)+IF($P306=2,INDEX('卡片raw data'!AD:AD,MATCH($D306,'卡片raw data'!$F:$F,)),0)+IF($P306=3,INDEX('卡片raw data'!AG:AG,MATCH($D306,'卡片raw data'!$F:$F,)),0)+IF($P306=4,INDEX('卡片raw data'!AJ:AJ,MATCH($D306,'卡片raw data'!$F:$F,)),0)+IF($P306=5,INDEX('卡片raw data'!AM:AM,MATCH($D306,'卡片raw data'!$F:$F,)),0)+INDEX('卡片raw data'!U:U,MATCH($D306,'卡片raw data'!$F:$F,))*(IF($F306="UR",0.04,0.033))*(IF($F306="UR",INDEX(绊状态确认!$S:$S,MATCH($G306,绊状态确认!$B:$B,))/2-40)+IF($F306="SR",INDEX(绊状态确认!$R:$R,MATCH($G306,绊状态确认!$B:$B,))/4-15))+IF($F306="R",INDEX(绊状态确认!$Q:$Q,MATCH($G306,绊状态确认!$B:$B,))/6-40/6)))*(INDEX(绊状态确认!$H:$H,MATCH($G306,绊状态确认!$B:$B,))+INDEX(绊状态确认!L:L,MATCH($G306,绊状态确认!$B:$B,)))</f>
        <v>6096.976915199999</v>
      </c>
      <c r="AO306" s="1107">
        <f t="shared" si="364"/>
        <v>1</v>
      </c>
      <c r="AP306" s="1131">
        <f>1+(INDEX(绊状态确认!$T:$T,MATCH($G306,绊状态确认!$B:$B,))+0.2)*$AO306</f>
        <v>1.3</v>
      </c>
      <c r="AQ306" s="1108">
        <f t="shared" si="365"/>
        <v>25117.516499499998</v>
      </c>
      <c r="AR306" s="1097">
        <f>(AM306*(1+$EX$9)+$EX$35)*(1+(INDEX(绊状态确认!$T:$T,MATCH($G306,绊状态确认!$B:$B,))+0.2)*AO306)*IF(J306=$FF$17,1+$FE$17,1)*IF(I306=$FF$14,1+$FE$14,1)</f>
        <v>10746.489896896001</v>
      </c>
      <c r="AS306" s="1097">
        <f>(AN306*(1+$EX$10)+$EX$36)*(1+(INDEX(绊状态确认!$T:$T,MATCH($G306,绊状态确认!$B:$B,))+0.2)*AO306)*IF(J306=$FF$17,1+$FE$17,1)*IF(I306=$FF$14,1+$FE$14,1)</f>
        <v>13170.980488223999</v>
      </c>
      <c r="AT306" s="1093">
        <f>IF(AND(INDEX('卡片raw data'!AK:AK,MATCH($D306,'卡片raw data'!$F:$F,))&lt;INDEX('卡片raw data'!AM:AM,MATCH($D306,'卡片raw data'!$F:$F,)),INDEX('卡片raw data'!AL:AL,MATCH($D306,'卡片raw data'!$F:$F,))&lt;INDEX('卡片raw data'!AM:AM,MATCH($D306,'卡片raw data'!$F:$F,))),1,0)</f>
        <v>0</v>
      </c>
      <c r="AU306" s="1098">
        <f>MIN(AT306*0.15+AS306*0.00003+INDEX(绊状态确认!M:M,MATCH($G306,绊状态确认!$B:$B,)),1)</f>
        <v>0.42512941464671999</v>
      </c>
      <c r="AV306" s="1109">
        <f>(INDEX(绊状态确认!$N:$N,MATCH($G306,绊状态确认!$B:$B,))+1.5)*$EW$21</f>
        <v>2.6599999999999997</v>
      </c>
      <c r="AW306" s="1101">
        <f t="shared" si="366"/>
        <v>22250.536394845629</v>
      </c>
      <c r="AX306" s="1097">
        <f t="shared" si="367"/>
        <v>917.62917692622068</v>
      </c>
      <c r="AY306" s="1110">
        <f t="shared" si="368"/>
        <v>23168.165571771849</v>
      </c>
      <c r="AZ306" s="429">
        <f t="shared" si="369"/>
        <v>18844.4408282</v>
      </c>
      <c r="BA306" s="431">
        <f t="shared" si="370"/>
        <v>22613.328993840001</v>
      </c>
      <c r="BB306" s="1097">
        <f>(AM306*(1+$FB$9)+$FB$35)*(1+(INDEX(绊状态确认!$T:$T,MATCH($G306,绊状态确认!$B:$B,))+0.2)*AO306)*IF(J306=$FF$17,1+$FE$17,1)*IF(I306=$FF$14,1+$FE$14,1)*(1+$FE$15)</f>
        <v>10746.489896896001</v>
      </c>
      <c r="BC306" s="1097">
        <f>(AN306*(1+$FB$10)+$FB$36)*(1+(INDEX(绊状态确认!$T:$T,MATCH($G306,绊状态确认!$B:$B,))+0.2)*AO306)*IF(J306=$FF$17,1+$FE$17,1)*IF(I306=$FF$14,1+$FE$14,1)*(1+$FE$15)</f>
        <v>13170.980488223999</v>
      </c>
      <c r="BD306" s="1104">
        <f>MIN(AT306*0.15+BC306*0.00003+INDEX(绊状态确认!M:M,MATCH($G306,绊状态确认!$B:$B,)),1)</f>
        <v>0.42512941464671999</v>
      </c>
      <c r="BE306" s="432">
        <f>(INDEX(绊状态确认!$N:$N,MATCH($G306,绊状态确认!$B:$B,))+1.5)</f>
        <v>1.9</v>
      </c>
      <c r="BF306" s="1139">
        <f t="array" ref="BF306">SUMPRODUCT(IF(AZ306*AP306*$FI$16:$FI$23*$FA$22&gt;=$FI$24,$FI$24,AZ306*AP306*$FI$16:$FI$23*$FA$22),$FJ$16:$FJ$23)</f>
        <v>37481.592807289802</v>
      </c>
      <c r="BG306" s="1125">
        <f t="array" ref="BG306">SUMPRODUCT(IF(BE306*AZ306*AP306*$FI$16:$FI$23*$FA$22&gt;=$FI$24,$FI$24,BE306*AZ306*AP306*$FI$16:$FI$23*$FA$22),$FJ$16:$FJ$23)</f>
        <v>59585.492261478481</v>
      </c>
      <c r="BH306" s="1110">
        <f t="shared" si="371"/>
        <v>15626.203547886331</v>
      </c>
      <c r="BI306" s="1111">
        <f>IF(O306="vo",$EW$26/$EW$24*0.05,0)+IF(O306="sk",-$EW$26/$EW$24*(0.05-INDEX(绊状态确认!W:W,MATCH($G306,绊状态确认!$B:$B,)))+0.05*$EW$28,0)+IF(O306="sp",0.05*$EW$32*$EW$30*(1-$EW$33)-(0.05-INDEX(绊状态确认!V:V,MATCH($G306,绊状态确认!$B:$B,)))*$EW$28,0)+IF(O306="gd",-(0.05-INDEX(绊状态确认!X:X,MATCH($G306,绊状态确认!$B:$B,)))*$EW$32*$EW$30*(1-$EW$33),0)</f>
        <v>-6253.6726349699375</v>
      </c>
      <c r="BJ306" s="1097">
        <f>IF(O306="vo",0.05*(1-$FI$26)*$FA$24,0)+IF(O306="sk",-(0.05-INDEX(绊状态确认!W:W,MATCH($G306,绊状态确认!$B:$B,)))*(1-$FI$26)*$FA$24+0.05*$FA$26,0)+IF(O306="sp",0.05*$FA$32*$FA$27*(1-$FA$33)/$FA$30+0.05*$FA$29/$FA$69*$FA$27*(1-$FA$33)-(0.05-INDEX(绊状态确认!V:V,MATCH($G306,绊状态确认!$B:$B,)))*$FA$26,0)+IF(O306="gd",-(0.05-INDEX(绊状态确认!X:X,MATCH($G306,绊状态确认!$B:$B,)))*$FA$32*$FA$27*(1-$FA$33)/$FA$30-(0.05-INDEX(绊状态确认!X:X,MATCH($G306,绊状态确认!$B:$B,)))*$FA$29/$FA$69*$FA$27*(1-$FA$33),0)</f>
        <v>20.459096812499922</v>
      </c>
      <c r="BK306" s="1110">
        <f>IF(O306="vo",$EW$26/$EW$24*0.05+$EW$26*(-HP($EW$62,$EW$65,$EW$64)+HP($EW$62,$EW$65,(1.05-INDEX(绊状态确认!U:U,MATCH($G306,绊状态确认!$B:$B,)))*$EW$64)),0)+IF(O306="sk",-$EW$26/$EW$24*(0.05-INDEX(绊状态确认!W:W,MATCH($G306,绊状态确认!$B:$B,)))+0.05*$EW$29,0)+IF(O306="sp",0.05*$EW$32*$EW$30*(1-$EW$33)-(0.05-INDEX(绊状态确认!V:V,MATCH($G306,绊状态确认!$B:$B,)))*$EW$29,0)+IF(O306="gd",-(0.05-INDEX(绊状态确认!X:X,MATCH($G306,绊状态确认!$B:$B,)))*$EW$32*$EW$30*(1-$EW$33)+$EW$26*(-HP($EW$62,$EW$65,$EW$64)+HP($EW$62,$EW$65,0.95*$EW$64)),0)</f>
        <v>-4253.6726349699375</v>
      </c>
      <c r="BL306" s="1111">
        <f t="shared" si="372"/>
        <v>-1083.3333333333333</v>
      </c>
      <c r="BM306" s="1110">
        <f t="shared" si="373"/>
        <v>-830.55555555555543</v>
      </c>
      <c r="BN306" s="1113">
        <f t="shared" si="374"/>
        <v>3</v>
      </c>
      <c r="BO306" s="1097">
        <f t="shared" si="375"/>
        <v>4507.7214871259994</v>
      </c>
      <c r="BP306" s="1100">
        <f t="shared" si="376"/>
        <v>221.34103209030098</v>
      </c>
      <c r="BQ306" s="1113" t="s">
        <v>134</v>
      </c>
      <c r="BR306" s="1124" t="s">
        <v>168</v>
      </c>
      <c r="BS306" s="1098">
        <f>IF($P306="","N/A",IF($P306=-1,INDEX('卡片raw data'!AX:AX,MATCH($D306,'卡片raw data'!$F:$F,)),0)+IF($L306="party卡",IF($P306=5,INDEX('卡片raw data'!BD:BD,MATCH($D306,'卡片raw data'!$F:$F,)),IF($P306&gt;=3,INDEX('卡片raw data'!BC:BC,MATCH($D306,'卡片raw data'!$F:$F,)),INDEX('卡片raw data'!BB:BB,MATCH($D306,'卡片raw data'!$F:$F,)))),IF(OR(AND($F306="UR",$P306=0),AND($F306="SR",$P306&gt;=0,$P306&lt;=2),AND($F306="R",$P306&gt;=0,$P306&lt;4)),INDEX('卡片raw data'!AZ:AZ,MATCH($D306,'卡片raw data'!$F:$F,)),0)+IF(OR(AND($F306="UR",$P306&gt;=1,$P306&lt;=4),AND($F306="SR",$P306&lt;=4,$P306&gt;=3),AND($F306="R",$P306=4)),INDEX('卡片raw data'!BA:BA,MATCH($D306,'卡片raw data'!$F:$F,)),0)+IF($P306=5,INDEX('卡片raw data'!BB:BB,MATCH($D306,'卡片raw data'!$F:$F,)),0)))</f>
        <v>0.05</v>
      </c>
      <c r="BT306" s="1101">
        <f t="shared" si="377"/>
        <v>3537.2976021542986</v>
      </c>
      <c r="BU306" s="1097">
        <f t="shared" si="378"/>
        <v>255.86405005115788</v>
      </c>
      <c r="BV306" s="1097">
        <f t="shared" si="379"/>
        <v>0</v>
      </c>
      <c r="BW306" s="1112">
        <f t="shared" si="380"/>
        <v>0</v>
      </c>
      <c r="BX306" s="1100">
        <f t="shared" si="381"/>
        <v>3537.2976021542986</v>
      </c>
      <c r="BY306" s="1110">
        <f t="shared" si="382"/>
        <v>0</v>
      </c>
      <c r="BZ306" s="1107" t="s">
        <v>569</v>
      </c>
      <c r="CA306" s="1124"/>
      <c r="CB306" s="1098">
        <f>IF($P306="","N/A",IF($P306=-1,INDEX('卡片raw data'!BE:BE,MATCH($D306,'卡片raw data'!$F:$F,)),0)+IF($L306="party卡",IF($P306=5,INDEX('卡片raw data'!BK:BK,MATCH($D306,'卡片raw data'!$F:$F,)),IF($P306&gt;=3,INDEX('卡片raw data'!BJ:BJ,MATCH($D306,'卡片raw data'!$F:$F,)),INDEX('卡片raw data'!BI:BI,MATCH($D306,'卡片raw data'!$F:$F,)))),IF(OR(AND($F306="UR",$P306=0),AND($F306="SR",$P306&gt;=0,$P306&lt;=2),AND($F306="R",$P306&gt;=0,$P306&lt;4)),INDEX('卡片raw data'!BG:BG,MATCH($D306,'卡片raw data'!$F:$F,)),0)+IF(OR(AND($F306="UR",$P306&gt;=1,$P306&lt;=4),AND($F306="SR",$P306&lt;=4,$P306&gt;=3),AND($F306="R",$P306=4)),INDEX('卡片raw data'!BH:BH,MATCH($D306,'卡片raw data'!$F:$F,)),0)+IF($P306=5,INDEX('卡片raw data'!BI:BI,MATCH($D306,'卡片raw data'!$F:$F,)),0)))</f>
        <v>0</v>
      </c>
      <c r="CC306" s="1101">
        <f t="shared" si="383"/>
        <v>0</v>
      </c>
      <c r="CD306" s="1097">
        <f>IF(BZ306="ap",CB306*(1-$FI$26)*$FB$5/$FB$11*(+IF(CA306="全员",$FA$24,0)+IF(CA306="同作战",$FA$24,0)+IF(CA306="仲间",$FA$24*2/3,0)+IF(CA306="同属性",$FA$24*$FA$37/3,0)+IF(CA306="同年级",$FA$24*$FA$40/3,0)+IF(CA306="同学校",$FA$24*$FA$43/3,0)+IF(CA306="同小队",$FA$24*$FA$46/3,0)+IF(CA306="同type",$FA$24*INDEX($FB$49:$FB$52,MATCH(X306,$FA$49:$FA$52,))/3,0)+IF(CA306="自身",#REF!/3,0)),0)+IF(BZ306="te",CB306*(1-$FI$27)*($FA$20-1)*$FB$7/$FB$13*(+IF(CA306="全员",$FA$19*$FA$24/(1+($FA$20-1)*$FA$19),0)+IF(CA306="同作战",$FA$19*$FA$24/(1+($FA$20-1)*$FA$19),0)+IF(CA306="仲间",$FA$19*$FA$24*2/3/(1+($FA$20-1)*$FA$19),0)+IF(CA306="同属性",$FA$19*$FA$24*$FA$37/3/(1+($FA$20-1)*$FA$19),0)+IF(CA306="同年级",$FA$19*$FA$24*$FA$40/3/(1+($FA$20-1)*$FA$19),0)+IF(CA306="同学校",$FA$19*$FA$24*$FA$43/3/(1+($FA$20-1)*$FA$19),0)+IF(CA306="同小队",$FA$19*$FA$24*$FA$46/3/(1+($FA$20-1)*$FA$19),0)+IF(CA306="同type",$FA$19*$FA$24*INDEX($FB$49:$FB$52,MATCH(X306,$FA$49:$FA$52,))/3/(1+($FA$20-1)*$FA$19),0)+IF(CA306="自身",$FA$19*#REF!/3/(1+(BH306-1)*$BD306),0)),0)</f>
        <v>0</v>
      </c>
      <c r="CE306" s="1097">
        <f t="shared" si="384"/>
        <v>0</v>
      </c>
      <c r="CF306" s="1112">
        <f t="shared" si="385"/>
        <v>0</v>
      </c>
      <c r="CG306" s="1100">
        <f t="shared" si="386"/>
        <v>0</v>
      </c>
      <c r="CH306" s="1110">
        <f t="shared" si="387"/>
        <v>0</v>
      </c>
      <c r="CI306" s="1113" t="s">
        <v>165</v>
      </c>
      <c r="CJ306" s="1114">
        <v>1</v>
      </c>
      <c r="CK306" s="1115" t="s">
        <v>551</v>
      </c>
      <c r="CL306" s="1115" t="s">
        <v>168</v>
      </c>
      <c r="CM306" s="1119">
        <v>1.4999999999999999E-2</v>
      </c>
      <c r="CN306" s="1115" t="s">
        <v>940</v>
      </c>
      <c r="CO306" s="1092"/>
      <c r="CP306" s="1118">
        <f t="shared" si="388"/>
        <v>1.4999999999999999E-2</v>
      </c>
      <c r="CQ306" s="1118">
        <f t="shared" si="389"/>
        <v>1.4999999999999999E-2</v>
      </c>
      <c r="CR306" s="1118">
        <f t="shared" si="390"/>
        <v>0</v>
      </c>
      <c r="CS306" s="1118">
        <f t="shared" si="391"/>
        <v>0</v>
      </c>
      <c r="CT306" s="1109">
        <f t="shared" si="392"/>
        <v>0</v>
      </c>
      <c r="CU306" s="1101">
        <f t="shared" si="393"/>
        <v>898.89173423156262</v>
      </c>
      <c r="CV306" s="1108">
        <f t="shared" si="394"/>
        <v>0</v>
      </c>
      <c r="CW306" s="1097">
        <f t="shared" si="395"/>
        <v>0</v>
      </c>
      <c r="CX306" s="1097">
        <f t="shared" si="396"/>
        <v>898.89173423156262</v>
      </c>
      <c r="CY306" s="1110">
        <f t="shared" si="397"/>
        <v>0</v>
      </c>
      <c r="CZ306" s="437"/>
      <c r="DA306" s="438"/>
      <c r="DB306" s="439" t="s">
        <v>569</v>
      </c>
      <c r="DC306" s="439"/>
      <c r="DD306" s="443"/>
      <c r="DE306" s="411"/>
      <c r="DF306" s="411"/>
      <c r="DG306" s="1116">
        <f t="shared" si="398"/>
        <v>0</v>
      </c>
      <c r="DH306" s="1116">
        <f t="shared" si="399"/>
        <v>0</v>
      </c>
      <c r="DI306" s="1116">
        <f t="shared" si="400"/>
        <v>0</v>
      </c>
      <c r="DJ306" s="442">
        <f t="shared" si="401"/>
        <v>0</v>
      </c>
      <c r="DK306" s="1109">
        <f t="shared" si="402"/>
        <v>0</v>
      </c>
      <c r="DL306" s="1101">
        <f t="shared" si="403"/>
        <v>0</v>
      </c>
      <c r="DM306" s="1097">
        <f t="shared" si="404"/>
        <v>0</v>
      </c>
      <c r="DN306" s="1097">
        <f t="shared" si="405"/>
        <v>0</v>
      </c>
      <c r="DO306" s="1097">
        <f t="shared" si="406"/>
        <v>0</v>
      </c>
      <c r="DP306" s="1110">
        <f t="shared" si="407"/>
        <v>0</v>
      </c>
      <c r="DQ306" s="1113" t="s">
        <v>167</v>
      </c>
      <c r="DR306" s="1120">
        <f t="shared" si="408"/>
        <v>0.3</v>
      </c>
      <c r="DS306" s="1124">
        <v>5</v>
      </c>
      <c r="DT306" s="1093" t="s">
        <v>168</v>
      </c>
      <c r="DU306" s="1093" t="s">
        <v>544</v>
      </c>
      <c r="DV306" s="1098">
        <f>IF($P306="","N/A",IF(P306=-1,INDEX('卡片raw data'!AN:AN,MATCH(D306,'卡片raw data'!$F:$F,)),0)+IF(AND(L306&lt;&gt;"party卡",P306&lt;=2,P306&gt;=0),INDEX('卡片raw data'!AP:AP,MATCH(D306,'卡片raw data'!$F:$F,)),0)+IF(OR(AND(L306="party卡",P306&lt;=1),AND(P306&lt;=4,L306&lt;&gt;"party卡",P306&gt;=3)),INDEX('卡片raw data'!AQ:AQ,MATCH(D306,'卡片raw data'!$F:$F,)),0)+IF(OR(P306=5,AND(L306="party卡",P306&gt;=2)),INDEX('卡片raw data'!AR:AR,MATCH(D306,'卡片raw data'!$F:$F,)),0))</f>
        <v>7.0000000000000007E-2</v>
      </c>
      <c r="DW306" s="1098">
        <f t="shared" si="409"/>
        <v>0.3</v>
      </c>
      <c r="DX306" s="1098">
        <f t="shared" si="410"/>
        <v>0.3</v>
      </c>
      <c r="DY306" s="1098">
        <f t="shared" si="411"/>
        <v>3.5000000000000003E-2</v>
      </c>
      <c r="DZ306" s="1098">
        <f t="shared" si="412"/>
        <v>3.0275000000000003E-2</v>
      </c>
      <c r="EA306" s="1098">
        <f t="shared" si="413"/>
        <v>0</v>
      </c>
      <c r="EB306" s="1121">
        <f t="shared" si="414"/>
        <v>0</v>
      </c>
      <c r="EC306" s="1101">
        <f t="shared" si="415"/>
        <v>4759.4026034905355</v>
      </c>
      <c r="ED306" s="1097">
        <f t="shared" si="416"/>
        <v>198.7727008148438</v>
      </c>
      <c r="EE306" s="1110">
        <f t="shared" si="417"/>
        <v>4759.4026034905355</v>
      </c>
      <c r="EF306" s="1092" t="s">
        <v>569</v>
      </c>
      <c r="EG306" s="1120">
        <f t="shared" si="418"/>
        <v>0.3</v>
      </c>
      <c r="EH306" s="1124"/>
      <c r="EI306" s="1093"/>
      <c r="EJ306" s="1093"/>
      <c r="EK306" s="1097">
        <f>IF($P306="","N/A",IF(P306=-1,INDEX('卡片raw data'!AS:AS,MATCH(D306,'卡片raw data'!$F:$F,)),0)+IF(AND(L306&lt;&gt;"party卡",P306&lt;=2,P306&gt;=0),INDEX('卡片raw data'!AU:AU,MATCH(D306,'卡片raw data'!$F:$F,)),0)+IF(OR(AND(L306="party卡",P306&lt;=1),AND(P306&lt;=4,L306&lt;&gt;"party卡",P306&gt;=3)),INDEX('卡片raw data'!AV:AV,MATCH(D306,'卡片raw data'!$F:$F,)),0)+IF(OR(P306=5,AND(L306="party卡",P306&gt;=2)),INDEX('卡片raw data'!AW:AW,MATCH(D306,'卡片raw data'!$F:$F,)),0))</f>
        <v>0</v>
      </c>
      <c r="EL306" s="1098">
        <f t="shared" si="419"/>
        <v>0.3</v>
      </c>
      <c r="EM306" s="1098">
        <f t="shared" si="420"/>
        <v>0.3</v>
      </c>
      <c r="EN306" s="1125">
        <f t="shared" si="421"/>
        <v>0</v>
      </c>
      <c r="EO306" s="1125">
        <f t="shared" si="422"/>
        <v>0</v>
      </c>
      <c r="EP306" s="1098">
        <f t="shared" si="423"/>
        <v>0</v>
      </c>
      <c r="EQ306" s="1121">
        <f t="shared" si="424"/>
        <v>0</v>
      </c>
      <c r="ER306" s="1101">
        <f t="shared" si="425"/>
        <v>0</v>
      </c>
      <c r="ES306" s="1097">
        <f t="shared" si="426"/>
        <v>0</v>
      </c>
      <c r="ET306" s="1122">
        <f t="shared" si="427"/>
        <v>0</v>
      </c>
    </row>
    <row r="307" spans="2:150" ht="16.5" customHeight="1">
      <c r="B307" s="1123" t="str">
        <f>INDEX('卡片raw data'!B:B,MATCH($D307,'卡片raw data'!$F:$F,))</f>
        <v>二专艾</v>
      </c>
      <c r="C307" s="449" t="s">
        <v>66</v>
      </c>
      <c r="D307" s="408">
        <v>304</v>
      </c>
      <c r="E307" s="1090">
        <v>302082003</v>
      </c>
      <c r="F307" s="1090" t="str">
        <f>INDEX('卡片raw data'!C:C,MATCH($D307,'卡片raw data'!$F:$F,))</f>
        <v>SR</v>
      </c>
      <c r="G307" s="1094" t="s">
        <v>351</v>
      </c>
      <c r="H307" s="411">
        <f>IFERROR(INDEX(绊状态确认!C:C,MATCH($G307,绊状态确认!$B:$B,)),"")</f>
        <v>208</v>
      </c>
      <c r="I307" s="450" t="str">
        <f>IFERROR(INDEX(绊状态确认!D:D,MATCH($G307,绊状态确认!$B:$B,)),"")</f>
        <v>虹</v>
      </c>
      <c r="J307" s="450" t="str">
        <f>IFERROR(INDEX(绊状态确认!E:E,MATCH($G307,绊状态确认!$B:$B,)),"")</f>
        <v>3年级</v>
      </c>
      <c r="K307" s="451" t="str">
        <f>IFERROR(INDEX(绊状态确认!F:F,MATCH($G307,绊状态确认!$B:$B,)),"")</f>
        <v>QU4RTZ</v>
      </c>
      <c r="L307" s="1094" t="str">
        <f>INDEX('卡片raw data'!E:E,MATCH($D307,'卡片raw data'!$F:$F,))</f>
        <v>卡池卡</v>
      </c>
      <c r="M307" s="415">
        <v>44069</v>
      </c>
      <c r="N307" s="416">
        <v>22.5</v>
      </c>
      <c r="O307" s="1091" t="str">
        <f>INDEX('卡片raw data'!D:D,MATCH($D307,'卡片raw data'!$F:$F,))</f>
        <v>gd</v>
      </c>
      <c r="P307" s="417">
        <v>5</v>
      </c>
      <c r="Q307" s="1095">
        <f t="shared" si="343"/>
        <v>19896.18538973869</v>
      </c>
      <c r="R307" s="1096">
        <f t="shared" si="344"/>
        <v>0.23100000000000001</v>
      </c>
      <c r="S307" s="1097">
        <f t="shared" si="345"/>
        <v>11689.735741276454</v>
      </c>
      <c r="T307" s="1098">
        <f t="shared" si="346"/>
        <v>0.58399999999999996</v>
      </c>
      <c r="U307" s="1099">
        <f t="shared" si="347"/>
        <v>77.033979561068577</v>
      </c>
      <c r="V307" s="1100">
        <f t="shared" si="348"/>
        <v>27605.72506859112</v>
      </c>
      <c r="W307" s="1101">
        <f t="shared" si="349"/>
        <v>4507.7214871259994</v>
      </c>
      <c r="X307" s="1096">
        <f t="shared" si="350"/>
        <v>5.1999999999999998E-2</v>
      </c>
      <c r="Y307" s="1097">
        <f t="shared" si="351"/>
        <v>1303.3166117939336</v>
      </c>
      <c r="Z307" s="1102">
        <f t="shared" si="352"/>
        <v>16.283979561068566</v>
      </c>
      <c r="AA307" s="1103">
        <f t="shared" si="353"/>
        <v>5811.038098919933</v>
      </c>
      <c r="AB307" s="1101">
        <f t="shared" si="354"/>
        <v>4507.7214871259994</v>
      </c>
      <c r="AC307" s="1104">
        <f t="shared" si="355"/>
        <v>5.1999999999999998E-2</v>
      </c>
      <c r="AD307" s="1105">
        <f t="shared" si="356"/>
        <v>-3.8207812500000026E-3</v>
      </c>
      <c r="AE307" s="1128">
        <f t="shared" si="357"/>
        <v>-18.525362318840578</v>
      </c>
      <c r="AF307" s="1130">
        <f t="shared" si="358"/>
        <v>0</v>
      </c>
      <c r="AG307" s="420">
        <f t="shared" si="359"/>
        <v>0</v>
      </c>
      <c r="AH307" s="420">
        <f t="shared" si="360"/>
        <v>0</v>
      </c>
      <c r="AI307" s="1097">
        <f t="shared" si="361"/>
        <v>0</v>
      </c>
      <c r="AJ307" s="420">
        <f t="shared" si="362"/>
        <v>0</v>
      </c>
      <c r="AK307" s="518">
        <f t="shared" si="363"/>
        <v>0</v>
      </c>
      <c r="AL307" s="1106">
        <f>IF($P307="","N/A",(IF($P307=-1,INDEX('卡片raw data'!S:S,MATCH($D307,'卡片raw data'!$F:$F,)),0)+IF($P307=0,INDEX('卡片raw data'!V:V,MATCH($D307,'卡片raw data'!$F:$F,)),0)+IF($P307=1,INDEX('卡片raw data'!Y:Y,MATCH($D307,'卡片raw data'!$F:$F,)),0)+IF($P307=2,INDEX('卡片raw data'!AB:AB,MATCH($D307,'卡片raw data'!$F:$F,)),0)+IF($P307=3,INDEX('卡片raw data'!AE:AE,MATCH($D307,'卡片raw data'!$F:$F,)),0)+IF($P307=4,INDEX('卡片raw data'!AH:AH,MATCH($D307,'卡片raw data'!$F:$F,)),0)+IF($P307=5,INDEX('卡片raw data'!AK:AK,MATCH($D307,'卡片raw data'!$F:$F,)),0)+INDEX('卡片raw data'!S:S,MATCH($D307,'卡片raw data'!$F:$F,))*(IF($F307="UR",0.04,0.033))*(IF($F307="UR",INDEX(绊状态确认!$S:$S,MATCH($G307,绊状态确认!$B:$B,))/2-40)+IF($F307="SR",INDEX(绊状态确认!$R:$R,MATCH($G307,绊状态确认!$B:$B,))/4-15))+IF($F307="R",INDEX(绊状态确认!$Q:$Q,MATCH($G307,绊状态确认!$B:$B,))/6-40/6)))*(INDEX(绊状态确认!$H:$H,MATCH($G307,绊状态确认!$B:$B,))+INDEX(绊状态确认!J:J,MATCH($G307,绊状态确认!$B:$B,)))</f>
        <v>6096.976915199999</v>
      </c>
      <c r="AM307" s="1106">
        <f>IF($P307="","N/A",(IF($P307=-1,INDEX('卡片raw data'!T:T,MATCH($D307,'卡片raw data'!$F:$F,)),0)+IF($P307=0,INDEX('卡片raw data'!W:W,MATCH($D307,'卡片raw data'!$F:$F,)),0)+IF($P307=1,INDEX('卡片raw data'!Z:Z,MATCH($D307,'卡片raw data'!$F:$F,)),0)+IF($P307=2,INDEX('卡片raw data'!AC:AC,MATCH($D307,'卡片raw data'!$F:$F,)),0)+IF($P307=3,INDEX('卡片raw data'!AF:AF,MATCH($D307,'卡片raw data'!$F:$F,)),0)+IF($P307=4,INDEX('卡片raw data'!AI:AI,MATCH($D307,'卡片raw data'!$F:$F,)),0)+IF($P307=5,INDEX('卡片raw data'!AL:AL,MATCH($D307,'卡片raw data'!$F:$F,)),0)+INDEX('卡片raw data'!T:T,MATCH($D307,'卡片raw data'!$F:$F,))*(IF($F307="UR",0.04,0.033))*(IF($F307="UR",INDEX(绊状态确认!$S:$S,MATCH($G307,绊状态确认!$B:$B,))/2-40)+IF($F307="SR",INDEX(绊状态确认!$R:$R,MATCH($G307,绊状态确认!$B:$B,))/4-15))+IF($F307="R",INDEX(绊状态确认!$Q:$Q,MATCH($G307,绊状态确认!$B:$B,))/6-40/6)))*(INDEX(绊状态确认!$H:$H,MATCH($G307,绊状态确认!$B:$B,))+INDEX(绊状态确认!K:K,MATCH($G307,绊状态确认!$B:$B,)))</f>
        <v>8128.9237535999991</v>
      </c>
      <c r="AN307" s="1106">
        <f>IF($P307="","N/A",(IF($P307=-1,INDEX('卡片raw data'!U:U,MATCH($D307,'卡片raw data'!$F:$F,)),0)+IF($P307=0,INDEX('卡片raw data'!X:X,MATCH($D307,'卡片raw data'!$F:$F,)),0)+IF($P307=1,INDEX('卡片raw data'!AA:AA,MATCH($D307,'卡片raw data'!$F:$F,)),0)+IF($P307=2,INDEX('卡片raw data'!AD:AD,MATCH($D307,'卡片raw data'!$F:$F,)),0)+IF($P307=3,INDEX('卡片raw data'!AG:AG,MATCH($D307,'卡片raw data'!$F:$F,)),0)+IF($P307=4,INDEX('卡片raw data'!AJ:AJ,MATCH($D307,'卡片raw data'!$F:$F,)),0)+IF($P307=5,INDEX('卡片raw data'!AM:AM,MATCH($D307,'卡片raw data'!$F:$F,)),0)+INDEX('卡片raw data'!U:U,MATCH($D307,'卡片raw data'!$F:$F,))*(IF($F307="UR",0.04,0.033))*(IF($F307="UR",INDEX(绊状态确认!$S:$S,MATCH($G307,绊状态确认!$B:$B,))/2-40)+IF($F307="SR",INDEX(绊状态确认!$R:$R,MATCH($G307,绊状态确认!$B:$B,))/4-15))+IF($F307="R",INDEX(绊状态确认!$Q:$Q,MATCH($G307,绊状态确认!$B:$B,))/6-40/6)))*(INDEX(绊状态确认!$H:$H,MATCH($G307,绊状态确认!$B:$B,))+INDEX(绊状态确认!L:L,MATCH($G307,绊状态确认!$B:$B,)))</f>
        <v>6096.976915199999</v>
      </c>
      <c r="AO307" s="1107">
        <f t="shared" si="364"/>
        <v>1</v>
      </c>
      <c r="AP307" s="1131">
        <f>1+(INDEX(绊状态确认!$T:$T,MATCH($G307,绊状态确认!$B:$B,))+0.2)*$AO307</f>
        <v>1.3</v>
      </c>
      <c r="AQ307" s="1108">
        <f t="shared" si="365"/>
        <v>19254.564402399999</v>
      </c>
      <c r="AR307" s="1097">
        <f>(AM307*(1+$EX$9)+$EX$35)*(1+(INDEX(绊状态确认!$T:$T,MATCH($G307,绊状态确认!$B:$B,))+0.2)*AO307)*IF(J307=$FF$17,1+$FE$17,1)*IF(I307=$FF$14,1+$FE$14,1)</f>
        <v>13799.980923663999</v>
      </c>
      <c r="AS307" s="1097">
        <f>(AN307*(1+$EX$10)+$EX$36)*(1+(INDEX(绊状态确认!$T:$T,MATCH($G307,绊状态确认!$B:$B,))+0.2)*AO307)*IF(J307=$FF$17,1+$FE$17,1)*IF(I307=$FF$14,1+$FE$14,1)</f>
        <v>13170.980488223999</v>
      </c>
      <c r="AT307" s="1093">
        <f>IF(AND(INDEX('卡片raw data'!AK:AK,MATCH($D307,'卡片raw data'!$F:$F,))&lt;INDEX('卡片raw data'!AM:AM,MATCH($D307,'卡片raw data'!$F:$F,)),INDEX('卡片raw data'!AL:AL,MATCH($D307,'卡片raw data'!$F:$F,))&lt;INDEX('卡片raw data'!AM:AM,MATCH($D307,'卡片raw data'!$F:$F,))),1,0)</f>
        <v>0</v>
      </c>
      <c r="AU307" s="1098">
        <f>MIN(AT307*0.15+AS307*0.00003+INDEX(绊状态确认!M:M,MATCH($G307,绊状态确认!$B:$B,)),1)</f>
        <v>0.42512941464671999</v>
      </c>
      <c r="AV307" s="1109">
        <f>(INDEX(绊状态确认!$N:$N,MATCH($G307,绊状态确认!$B:$B,))+1.5)*$EW$21</f>
        <v>2.6599999999999997</v>
      </c>
      <c r="AW307" s="1101">
        <f t="shared" si="366"/>
        <v>17056.797235946022</v>
      </c>
      <c r="AX307" s="1097">
        <f t="shared" si="367"/>
        <v>1186.3081219840024</v>
      </c>
      <c r="AY307" s="1110">
        <f t="shared" si="368"/>
        <v>18243.105357930024</v>
      </c>
      <c r="AZ307" s="429">
        <f t="shared" si="369"/>
        <v>14489.104984639998</v>
      </c>
      <c r="BA307" s="431">
        <f t="shared" si="370"/>
        <v>17386.925981567998</v>
      </c>
      <c r="BB307" s="1097">
        <f>(AM307*(1+$FB$9)+$FB$35)*(1+(INDEX(绊状态确认!$T:$T,MATCH($G307,绊状态确认!$B:$B,))+0.2)*AO307)*IF(J307=$FF$17,1+$FE$17,1)*IF(I307=$FF$14,1+$FE$14,1)*(1+$FE$15)</f>
        <v>13799.980923663999</v>
      </c>
      <c r="BC307" s="1097">
        <f>(AN307*(1+$FB$10)+$FB$36)*(1+(INDEX(绊状态确认!$T:$T,MATCH($G307,绊状态确认!$B:$B,))+0.2)*AO307)*IF(J307=$FF$17,1+$FE$17,1)*IF(I307=$FF$14,1+$FE$14,1)*(1+$FE$15)</f>
        <v>13170.980488223999</v>
      </c>
      <c r="BD307" s="1104">
        <f>MIN(AT307*0.15+BC307*0.00003+INDEX(绊状态确认!M:M,MATCH($G307,绊状态确认!$B:$B,)),1)</f>
        <v>0.42512941464671999</v>
      </c>
      <c r="BE307" s="432">
        <f>(INDEX(绊状态确认!$N:$N,MATCH($G307,绊状态确认!$B:$B,))+1.5)</f>
        <v>1.9</v>
      </c>
      <c r="BF307" s="1139">
        <f t="array" ref="BF307">SUMPRODUCT(IF(AZ307*AP307*$FI$16:$FI$23*$FA$22&gt;=$FI$24,$FI$24,AZ307*AP307*$FI$16:$FI$23*$FA$22),$FJ$16:$FJ$23)</f>
        <v>28818.82981444896</v>
      </c>
      <c r="BG307" s="1125">
        <f t="array" ref="BG307">SUMPRODUCT(IF(BE307*AZ307*AP307*$FI$16:$FI$23*$FA$22&gt;=$FI$24,$FI$24,BE307*AZ307*AP307*$FI$16:$FI$23*$FA$22),$FJ$16:$FJ$23)</f>
        <v>53430.208418940187</v>
      </c>
      <c r="BH307" s="1110">
        <f t="shared" si="371"/>
        <v>13093.950264741708</v>
      </c>
      <c r="BI307" s="1111">
        <f>IF(O307="vo",$EW$26/$EW$24*0.05,0)+IF(O307="sk",-$EW$26/$EW$24*(0.05-INDEX(绊状态确认!W:W,MATCH($G307,绊状态确认!$B:$B,)))+0.05*$EW$28,0)+IF(O307="sp",0.05*$EW$32*$EW$30*(1-$EW$33)-(0.05-INDEX(绊状态确认!V:V,MATCH($G307,绊状态确认!$B:$B,)))*$EW$28,0)+IF(O307="gd",-(0.05-INDEX(绊状态确认!X:X,MATCH($G307,绊状态确认!$B:$B,)))*$EW$32*$EW$30*(1-$EW$33),0)</f>
        <v>-585.00000000000011</v>
      </c>
      <c r="BJ307" s="1097">
        <f>IF(O307="vo",0.05*(1-$FI$26)*$FA$24,0)+IF(O307="sk",-(0.05-INDEX(绊状态确认!W:W,MATCH($G307,绊状态确认!$B:$B,)))*(1-$FI$26)*$FA$24+0.05*$FA$26,0)+IF(O307="sp",0.05*$FA$32*$FA$27*(1-$FA$33)/$FA$30+0.05*$FA$29/$FA$69*$FA$27*(1-$FA$33)-(0.05-INDEX(绊状态确认!V:V,MATCH($G307,绊状态确认!$B:$B,)))*$FA$26,0)+IF(O307="gd",-(0.05-INDEX(绊状态确认!X:X,MATCH($G307,绊状态确认!$B:$B,)))*$FA$32*$FA$27*(1-$FA$33)/$FA$30-(0.05-INDEX(绊状态确认!X:X,MATCH($G307,绊状态确认!$B:$B,)))*$FA$29/$FA$69*$FA$27*(1-$FA$33),0)</f>
        <v>-795.00000000000011</v>
      </c>
      <c r="BK307" s="1110">
        <f>IF(O307="vo",$EW$26/$EW$24*0.05+$EW$26*(-HP($EW$62,$EW$65,$EW$64)+HP($EW$62,$EW$65,(1.05-INDEX(绊状态确认!U:U,MATCH($G307,绊状态确认!$B:$B,)))*$EW$64)),0)+IF(O307="sk",-$EW$26/$EW$24*(0.05-INDEX(绊状态确认!W:W,MATCH($G307,绊状态确认!$B:$B,)))+0.05*$EW$29,0)+IF(O307="sp",0.05*$EW$32*$EW$30*(1-$EW$33)-(0.05-INDEX(绊状态确认!V:V,MATCH($G307,绊状态确认!$B:$B,)))*$EW$29,0)+IF(O307="gd",-(0.05-INDEX(绊状态确认!X:X,MATCH($G307,绊状态确认!$B:$B,)))*$EW$32*$EW$30*(1-$EW$33)+$EW$26*(-HP($EW$62,$EW$65,$EW$64)+HP($EW$62,$EW$65,0.95*$EW$64)),0)</f>
        <v>1009.5947725176144</v>
      </c>
      <c r="BL307" s="1111">
        <f t="shared" si="372"/>
        <v>-1083.3333333333333</v>
      </c>
      <c r="BM307" s="1110">
        <f t="shared" si="373"/>
        <v>-830.55555555555543</v>
      </c>
      <c r="BN307" s="1113">
        <f t="shared" si="374"/>
        <v>3</v>
      </c>
      <c r="BO307" s="1097">
        <f t="shared" si="375"/>
        <v>4507.7214871259994</v>
      </c>
      <c r="BP307" s="1100">
        <f t="shared" si="376"/>
        <v>221.34103209030098</v>
      </c>
      <c r="BQ307" s="1113" t="s">
        <v>133</v>
      </c>
      <c r="BR307" s="1124" t="s">
        <v>171</v>
      </c>
      <c r="BS307" s="1098">
        <f>IF($P307="","N/A",IF($P307=-1,INDEX('卡片raw data'!AX:AX,MATCH($D307,'卡片raw data'!$F:$F,)),0)+IF($L307="party卡",IF($P307=5,INDEX('卡片raw data'!BD:BD,MATCH($D307,'卡片raw data'!$F:$F,)),IF($P307&gt;=3,INDEX('卡片raw data'!BC:BC,MATCH($D307,'卡片raw data'!$F:$F,)),INDEX('卡片raw data'!BB:BB,MATCH($D307,'卡片raw data'!$F:$F,)))),IF(OR(AND($F307="UR",$P307=0),AND($F307="SR",$P307&gt;=0,$P307&lt;=2),AND($F307="R",$P307&gt;=0,$P307&lt;4)),INDEX('卡片raw data'!AZ:AZ,MATCH($D307,'卡片raw data'!$F:$F,)),0)+IF(OR(AND($F307="UR",$P307&gt;=1,$P307&lt;=4),AND($F307="SR",$P307&lt;=4,$P307&gt;=3),AND($F307="R",$P307=4)),INDEX('卡片raw data'!BA:BA,MATCH($D307,'卡片raw data'!$F:$F,)),0)+IF($P307=5,INDEX('卡片raw data'!BB:BB,MATCH($D307,'卡片raw data'!$F:$F,)),0)))</f>
        <v>3.2000000000000001E-2</v>
      </c>
      <c r="BT307" s="1101">
        <f t="shared" si="377"/>
        <v>0</v>
      </c>
      <c r="BU307" s="1097">
        <f t="shared" si="378"/>
        <v>0</v>
      </c>
      <c r="BV307" s="1097">
        <f t="shared" si="379"/>
        <v>0</v>
      </c>
      <c r="BW307" s="1112">
        <f t="shared" si="380"/>
        <v>1.498285714285714</v>
      </c>
      <c r="BX307" s="1100">
        <f t="shared" si="381"/>
        <v>117.00848980993118</v>
      </c>
      <c r="BY307" s="1110">
        <f t="shared" si="382"/>
        <v>117.00848980993118</v>
      </c>
      <c r="BZ307" s="1107" t="s">
        <v>569</v>
      </c>
      <c r="CA307" s="1124"/>
      <c r="CB307" s="1098">
        <f>IF($P307="","N/A",IF($P307=-1,INDEX('卡片raw data'!BE:BE,MATCH($D307,'卡片raw data'!$F:$F,)),0)+IF($L307="party卡",IF($P307=5,INDEX('卡片raw data'!BK:BK,MATCH($D307,'卡片raw data'!$F:$F,)),IF($P307&gt;=3,INDEX('卡片raw data'!BJ:BJ,MATCH($D307,'卡片raw data'!$F:$F,)),INDEX('卡片raw data'!BI:BI,MATCH($D307,'卡片raw data'!$F:$F,)))),IF(OR(AND($F307="UR",$P307=0),AND($F307="SR",$P307&gt;=0,$P307&lt;=2),AND($F307="R",$P307&gt;=0,$P307&lt;4)),INDEX('卡片raw data'!BG:BG,MATCH($D307,'卡片raw data'!$F:$F,)),0)+IF(OR(AND($F307="UR",$P307&gt;=1,$P307&lt;=4),AND($F307="SR",$P307&lt;=4,$P307&gt;=3),AND($F307="R",$P307=4)),INDEX('卡片raw data'!BH:BH,MATCH($D307,'卡片raw data'!$F:$F,)),0)+IF($P307=5,INDEX('卡片raw data'!BI:BI,MATCH($D307,'卡片raw data'!$F:$F,)),0)))</f>
        <v>0</v>
      </c>
      <c r="CC307" s="1101">
        <f t="shared" si="383"/>
        <v>0</v>
      </c>
      <c r="CD307" s="1097">
        <f>IF(BZ307="ap",CB307*(1-$FI$26)*$FB$5/$FB$11*(+IF(CA307="全员",$FA$24,0)+IF(CA307="同作战",$FA$24,0)+IF(CA307="仲间",$FA$24*2/3,0)+IF(CA307="同属性",$FA$24*$FA$37/3,0)+IF(CA307="同年级",$FA$24*$FA$40/3,0)+IF(CA307="同学校",$FA$24*$FA$43/3,0)+IF(CA307="同小队",$FA$24*$FA$46/3,0)+IF(CA307="同type",$FA$24*INDEX($FB$49:$FB$52,MATCH(X307,$FA$49:$FA$52,))/3,0)+IF(CA307="自身",#REF!/3,0)),0)+IF(BZ307="te",CB307*(1-$FI$27)*($FA$20-1)*$FB$7/$FB$13*(+IF(CA307="全员",$FA$19*$FA$24/(1+($FA$20-1)*$FA$19),0)+IF(CA307="同作战",$FA$19*$FA$24/(1+($FA$20-1)*$FA$19),0)+IF(CA307="仲间",$FA$19*$FA$24*2/3/(1+($FA$20-1)*$FA$19),0)+IF(CA307="同属性",$FA$19*$FA$24*$FA$37/3/(1+($FA$20-1)*$FA$19),0)+IF(CA307="同年级",$FA$19*$FA$24*$FA$40/3/(1+($FA$20-1)*$FA$19),0)+IF(CA307="同学校",$FA$19*$FA$24*$FA$43/3/(1+($FA$20-1)*$FA$19),0)+IF(CA307="同小队",$FA$19*$FA$24*$FA$46/3/(1+($FA$20-1)*$FA$19),0)+IF(CA307="同type",$FA$19*$FA$24*INDEX($FB$49:$FB$52,MATCH(X307,$FA$49:$FA$52,))/3/(1+($FA$20-1)*$FA$19),0)+IF(CA307="自身",$FA$19*#REF!/3/(1+(BH307-1)*$BD307),0)),0)</f>
        <v>0</v>
      </c>
      <c r="CE307" s="1097">
        <f t="shared" si="384"/>
        <v>0</v>
      </c>
      <c r="CF307" s="1112">
        <f t="shared" si="385"/>
        <v>0</v>
      </c>
      <c r="CG307" s="1100">
        <f t="shared" si="386"/>
        <v>0</v>
      </c>
      <c r="CH307" s="1110">
        <f t="shared" si="387"/>
        <v>0</v>
      </c>
      <c r="CI307" s="1113" t="s">
        <v>170</v>
      </c>
      <c r="CJ307" s="1114">
        <v>0.23</v>
      </c>
      <c r="CK307" s="1115" t="s">
        <v>311</v>
      </c>
      <c r="CL307" s="1115" t="s">
        <v>161</v>
      </c>
      <c r="CM307" s="1119"/>
      <c r="CN307" s="1115"/>
      <c r="CO307" s="1092"/>
      <c r="CP307" s="1118">
        <f t="shared" si="388"/>
        <v>0</v>
      </c>
      <c r="CQ307" s="1118">
        <f t="shared" si="389"/>
        <v>0</v>
      </c>
      <c r="CR307" s="1118">
        <f t="shared" si="390"/>
        <v>0</v>
      </c>
      <c r="CS307" s="1118">
        <f t="shared" si="391"/>
        <v>0</v>
      </c>
      <c r="CT307" s="1109">
        <f t="shared" si="392"/>
        <v>0</v>
      </c>
      <c r="CU307" s="1101">
        <f t="shared" si="393"/>
        <v>0</v>
      </c>
      <c r="CV307" s="1108">
        <f t="shared" si="394"/>
        <v>0</v>
      </c>
      <c r="CW307" s="1097">
        <f t="shared" si="395"/>
        <v>0</v>
      </c>
      <c r="CX307" s="1097">
        <f t="shared" si="396"/>
        <v>0</v>
      </c>
      <c r="CY307" s="1110">
        <f t="shared" si="397"/>
        <v>0</v>
      </c>
      <c r="CZ307" s="437"/>
      <c r="DA307" s="438"/>
      <c r="DB307" s="439" t="s">
        <v>569</v>
      </c>
      <c r="DC307" s="439"/>
      <c r="DD307" s="443"/>
      <c r="DE307" s="411"/>
      <c r="DF307" s="411"/>
      <c r="DG307" s="1116">
        <f t="shared" si="398"/>
        <v>0</v>
      </c>
      <c r="DH307" s="1116">
        <f t="shared" si="399"/>
        <v>0</v>
      </c>
      <c r="DI307" s="1116">
        <f t="shared" si="400"/>
        <v>0</v>
      </c>
      <c r="DJ307" s="442">
        <f t="shared" si="401"/>
        <v>0</v>
      </c>
      <c r="DK307" s="1109">
        <f t="shared" si="402"/>
        <v>0</v>
      </c>
      <c r="DL307" s="1101">
        <f t="shared" si="403"/>
        <v>0</v>
      </c>
      <c r="DM307" s="1097">
        <f t="shared" si="404"/>
        <v>0</v>
      </c>
      <c r="DN307" s="1097">
        <f t="shared" si="405"/>
        <v>0</v>
      </c>
      <c r="DO307" s="1097">
        <f t="shared" si="406"/>
        <v>0</v>
      </c>
      <c r="DP307" s="1110">
        <f t="shared" si="407"/>
        <v>0</v>
      </c>
      <c r="DQ307" s="1113" t="s">
        <v>556</v>
      </c>
      <c r="DR307" s="1120">
        <f t="shared" si="408"/>
        <v>0.3</v>
      </c>
      <c r="DS307" s="1124">
        <v>10</v>
      </c>
      <c r="DT307" s="1093" t="s">
        <v>161</v>
      </c>
      <c r="DU307" s="1093" t="s">
        <v>544</v>
      </c>
      <c r="DV307" s="1098">
        <f>IF($P307="","N/A",IF(P307=-1,INDEX('卡片raw data'!AN:AN,MATCH(D307,'卡片raw data'!$F:$F,)),0)+IF(AND(L307&lt;&gt;"party卡",P307&lt;=2,P307&gt;=0),INDEX('卡片raw data'!AP:AP,MATCH(D307,'卡片raw data'!$F:$F,)),0)+IF(OR(AND(L307="party卡",P307&lt;=1),AND(P307&lt;=4,L307&lt;&gt;"party卡",P307&gt;=3)),INDEX('卡片raw data'!AQ:AQ,MATCH(D307,'卡片raw data'!$F:$F,)),0)+IF(OR(P307=5,AND(L307="party卡",P307&gt;=2)),INDEX('卡片raw data'!AR:AR,MATCH(D307,'卡片raw data'!$F:$F,)),0))</f>
        <v>0.11</v>
      </c>
      <c r="DW307" s="1098">
        <f t="shared" si="409"/>
        <v>0.3</v>
      </c>
      <c r="DX307" s="1098">
        <f t="shared" si="410"/>
        <v>0.3</v>
      </c>
      <c r="DY307" s="1098">
        <f t="shared" si="411"/>
        <v>0.11000000000000001</v>
      </c>
      <c r="DZ307" s="1098">
        <f t="shared" si="412"/>
        <v>9.5150000000000012E-2</v>
      </c>
      <c r="EA307" s="1098">
        <f t="shared" si="413"/>
        <v>0</v>
      </c>
      <c r="EB307" s="1121">
        <f t="shared" si="414"/>
        <v>0</v>
      </c>
      <c r="EC307" s="1101">
        <f t="shared" si="415"/>
        <v>0</v>
      </c>
      <c r="ED307" s="1097">
        <f t="shared" si="416"/>
        <v>0</v>
      </c>
      <c r="EE307" s="1110">
        <f t="shared" si="417"/>
        <v>4811.6282945408811</v>
      </c>
      <c r="EF307" s="1092" t="s">
        <v>569</v>
      </c>
      <c r="EG307" s="1120">
        <f t="shared" si="418"/>
        <v>0.3</v>
      </c>
      <c r="EH307" s="1124"/>
      <c r="EI307" s="1093"/>
      <c r="EJ307" s="1093"/>
      <c r="EK307" s="1097">
        <f>IF($P307="","N/A",IF(P307=-1,INDEX('卡片raw data'!AS:AS,MATCH(D307,'卡片raw data'!$F:$F,)),0)+IF(AND(L307&lt;&gt;"party卡",P307&lt;=2,P307&gt;=0),INDEX('卡片raw data'!AU:AU,MATCH(D307,'卡片raw data'!$F:$F,)),0)+IF(OR(AND(L307="party卡",P307&lt;=1),AND(P307&lt;=4,L307&lt;&gt;"party卡",P307&gt;=3)),INDEX('卡片raw data'!AV:AV,MATCH(D307,'卡片raw data'!$F:$F,)),0)+IF(OR(P307=5,AND(L307="party卡",P307&gt;=2)),INDEX('卡片raw data'!AW:AW,MATCH(D307,'卡片raw data'!$F:$F,)),0))</f>
        <v>0</v>
      </c>
      <c r="EL307" s="1098">
        <f t="shared" si="419"/>
        <v>0.3</v>
      </c>
      <c r="EM307" s="1098">
        <f t="shared" si="420"/>
        <v>0.3</v>
      </c>
      <c r="EN307" s="1125">
        <f t="shared" si="421"/>
        <v>0</v>
      </c>
      <c r="EO307" s="1125">
        <f t="shared" si="422"/>
        <v>0</v>
      </c>
      <c r="EP307" s="1098">
        <f t="shared" si="423"/>
        <v>0</v>
      </c>
      <c r="EQ307" s="1121">
        <f t="shared" si="424"/>
        <v>0</v>
      </c>
      <c r="ER307" s="1101">
        <f t="shared" si="425"/>
        <v>0</v>
      </c>
      <c r="ES307" s="1097">
        <f t="shared" si="426"/>
        <v>0</v>
      </c>
      <c r="ET307" s="1122">
        <f t="shared" si="427"/>
        <v>0</v>
      </c>
    </row>
    <row r="308" spans="2:150" ht="16.5" customHeight="1">
      <c r="B308" s="1123" t="str">
        <f>INDEX('卡片raw data'!B:B,MATCH($D308,'卡片raw data'!$F:$F,))</f>
        <v>不良鸟</v>
      </c>
      <c r="C308" s="449" t="s">
        <v>1066</v>
      </c>
      <c r="D308" s="408">
        <v>305</v>
      </c>
      <c r="E308" s="1090">
        <v>400033002</v>
      </c>
      <c r="F308" s="1090" t="str">
        <f>INDEX('卡片raw data'!C:C,MATCH($D308,'卡片raw data'!$F:$F,))</f>
        <v>UR</v>
      </c>
      <c r="G308" s="1094" t="s">
        <v>1054</v>
      </c>
      <c r="H308" s="411">
        <f>IFERROR(INDEX(绊状态确认!C:C,MATCH($G308,绊状态确认!$B:$B,)),"")</f>
        <v>3</v>
      </c>
      <c r="I308" s="450" t="str">
        <f>IFERROR(INDEX(绊状态确认!D:D,MATCH($G308,绊状态确认!$B:$B,)),"")</f>
        <v>缪</v>
      </c>
      <c r="J308" s="450" t="str">
        <f>IFERROR(INDEX(绊状态确认!E:E,MATCH($G308,绊状态确认!$B:$B,)),"")</f>
        <v>2年级</v>
      </c>
      <c r="K308" s="451" t="str">
        <f>IFERROR(INDEX(绊状态确认!F:F,MATCH($G308,绊状态确认!$B:$B,)),"")</f>
        <v>Printemps</v>
      </c>
      <c r="L308" s="1094" t="str">
        <f>INDEX('卡片raw data'!E:E,MATCH($D308,'卡片raw data'!$F:$F,))</f>
        <v>卡池卡</v>
      </c>
      <c r="M308" s="415">
        <v>44078</v>
      </c>
      <c r="N308" s="416">
        <v>23</v>
      </c>
      <c r="O308" s="1091" t="str">
        <f>INDEX('卡片raw data'!D:D,MATCH($D308,'卡片raw data'!$F:$F,))</f>
        <v>sp</v>
      </c>
      <c r="P308" s="417">
        <v>5</v>
      </c>
      <c r="Q308" s="1095">
        <f t="shared" si="343"/>
        <v>51299.429578418851</v>
      </c>
      <c r="R308" s="1096">
        <f t="shared" si="344"/>
        <v>0.59599999999999997</v>
      </c>
      <c r="S308" s="1097">
        <f t="shared" si="345"/>
        <v>22611.552126201252</v>
      </c>
      <c r="T308" s="1098">
        <f t="shared" si="346"/>
        <v>1.1299999999999999</v>
      </c>
      <c r="U308" s="1099">
        <f t="shared" si="347"/>
        <v>16.446974165142855</v>
      </c>
      <c r="V308" s="1100">
        <f t="shared" si="348"/>
        <v>50823.56162527424</v>
      </c>
      <c r="W308" s="1101">
        <f t="shared" si="349"/>
        <v>7968.0787912057885</v>
      </c>
      <c r="X308" s="1096">
        <f t="shared" si="350"/>
        <v>9.1999999999999998E-2</v>
      </c>
      <c r="Y308" s="1097">
        <f t="shared" si="351"/>
        <v>1324.1320468553886</v>
      </c>
      <c r="Z308" s="1102">
        <f t="shared" si="352"/>
        <v>16.446974165142855</v>
      </c>
      <c r="AA308" s="1103">
        <f t="shared" si="353"/>
        <v>9292.2108380611771</v>
      </c>
      <c r="AB308" s="1101">
        <f t="shared" si="354"/>
        <v>7968.0787912057895</v>
      </c>
      <c r="AC308" s="1104">
        <f t="shared" si="355"/>
        <v>9.1999999999999998E-2</v>
      </c>
      <c r="AD308" s="1105">
        <f t="shared" si="356"/>
        <v>-1.6087500000000001E-2</v>
      </c>
      <c r="AE308" s="1128">
        <f t="shared" si="357"/>
        <v>71.261690543478238</v>
      </c>
      <c r="AF308" s="1130">
        <f t="shared" si="358"/>
        <v>0</v>
      </c>
      <c r="AG308" s="420">
        <f t="shared" si="359"/>
        <v>0</v>
      </c>
      <c r="AH308" s="420">
        <f t="shared" si="360"/>
        <v>0</v>
      </c>
      <c r="AI308" s="1097">
        <f t="shared" si="361"/>
        <v>0</v>
      </c>
      <c r="AJ308" s="420">
        <f t="shared" si="362"/>
        <v>0</v>
      </c>
      <c r="AK308" s="518">
        <f t="shared" si="363"/>
        <v>0</v>
      </c>
      <c r="AL308" s="1106">
        <f>IF($P308="","N/A",(IF($P308=-1,INDEX('卡片raw data'!S:S,MATCH($D308,'卡片raw data'!$F:$F,)),0)+IF($P308=0,INDEX('卡片raw data'!V:V,MATCH($D308,'卡片raw data'!$F:$F,)),0)+IF($P308=1,INDEX('卡片raw data'!Y:Y,MATCH($D308,'卡片raw data'!$F:$F,)),0)+IF($P308=2,INDEX('卡片raw data'!AB:AB,MATCH($D308,'卡片raw data'!$F:$F,)),0)+IF($P308=3,INDEX('卡片raw data'!AE:AE,MATCH($D308,'卡片raw data'!$F:$F,)),0)+IF($P308=4,INDEX('卡片raw data'!AH:AH,MATCH($D308,'卡片raw data'!$F:$F,)),0)+IF($P308=5,INDEX('卡片raw data'!AK:AK,MATCH($D308,'卡片raw data'!$F:$F,)),0)+INDEX('卡片raw data'!S:S,MATCH($D308,'卡片raw data'!$F:$F,))*(IF($F308="UR",0.04,0.033))*(IF($F308="UR",INDEX(绊状态确认!$S:$S,MATCH($G308,绊状态确认!$B:$B,))/2-40)+IF($F308="SR",INDEX(绊状态确认!$R:$R,MATCH($G308,绊状态确认!$B:$B,))/4-15))+IF($F308="R",INDEX(绊状态确认!$Q:$Q,MATCH($G308,绊状态确认!$B:$B,))/6-40/6)))*(INDEX(绊状态确认!$H:$H,MATCH($G308,绊状态确认!$B:$B,))+INDEX(绊状态确认!J:J,MATCH($G308,绊状态确认!$B:$B,)))</f>
        <v>12243.800879999999</v>
      </c>
      <c r="AM308" s="1106">
        <f>IF($P308="","N/A",(IF($P308=-1,INDEX('卡片raw data'!T:T,MATCH($D308,'卡片raw data'!$F:$F,)),0)+IF($P308=0,INDEX('卡片raw data'!W:W,MATCH($D308,'卡片raw data'!$F:$F,)),0)+IF($P308=1,INDEX('卡片raw data'!Z:Z,MATCH($D308,'卡片raw data'!$F:$F,)),0)+IF($P308=2,INDEX('卡片raw data'!AC:AC,MATCH($D308,'卡片raw data'!$F:$F,)),0)+IF($P308=3,INDEX('卡片raw data'!AF:AF,MATCH($D308,'卡片raw data'!$F:$F,)),0)+IF($P308=4,INDEX('卡片raw data'!AI:AI,MATCH($D308,'卡片raw data'!$F:$F,)),0)+IF($P308=5,INDEX('卡片raw data'!AL:AL,MATCH($D308,'卡片raw data'!$F:$F,)),0)+INDEX('卡片raw data'!T:T,MATCH($D308,'卡片raw data'!$F:$F,))*(IF($F308="UR",0.04,0.033))*(IF($F308="UR",INDEX(绊状态确认!$S:$S,MATCH($G308,绊状态确认!$B:$B,))/2-40)+IF($F308="SR",INDEX(绊状态确认!$R:$R,MATCH($G308,绊状态确认!$B:$B,))/4-15))+IF($F308="R",INDEX(绊状态确认!$Q:$Q,MATCH($G308,绊状态确认!$B:$B,))/6-40/6)))*(INDEX(绊状态确认!$H:$H,MATCH($G308,绊状态确认!$B:$B,))+INDEX(绊状态确认!K:K,MATCH($G308,绊状态确认!$B:$B,)))</f>
        <v>9264.8419199999989</v>
      </c>
      <c r="AN308" s="1106">
        <f>IF($P308="","N/A",(IF($P308=-1,INDEX('卡片raw data'!U:U,MATCH($D308,'卡片raw data'!$F:$F,)),0)+IF($P308=0,INDEX('卡片raw data'!X:X,MATCH($D308,'卡片raw data'!$F:$F,)),0)+IF($P308=1,INDEX('卡片raw data'!AA:AA,MATCH($D308,'卡片raw data'!$F:$F,)),0)+IF($P308=2,INDEX('卡片raw data'!AD:AD,MATCH($D308,'卡片raw data'!$F:$F,)),0)+IF($P308=3,INDEX('卡片raw data'!AG:AG,MATCH($D308,'卡片raw data'!$F:$F,)),0)+IF($P308=4,INDEX('卡片raw data'!AJ:AJ,MATCH($D308,'卡片raw data'!$F:$F,)),0)+IF($P308=5,INDEX('卡片raw data'!AM:AM,MATCH($D308,'卡片raw data'!$F:$F,)),0)+INDEX('卡片raw data'!U:U,MATCH($D308,'卡片raw data'!$F:$F,))*(IF($F308="UR",0.04,0.033))*(IF($F308="UR",INDEX(绊状态确认!$S:$S,MATCH($G308,绊状态确认!$B:$B,))/2-40)+IF($F308="SR",INDEX(绊状态确认!$R:$R,MATCH($G308,绊状态确认!$B:$B,))/4-15))+IF($F308="R",INDEX(绊状态确认!$Q:$Q,MATCH($G308,绊状态确认!$B:$B,))/6-40/6)))*(INDEX(绊状态确认!$H:$H,MATCH($G308,绊状态确认!$B:$B,))+INDEX(绊状态确认!L:L,MATCH($G308,绊状态确认!$B:$B,)))</f>
        <v>11582.188799999998</v>
      </c>
      <c r="AO308" s="1107">
        <f t="shared" si="364"/>
        <v>1</v>
      </c>
      <c r="AP308" s="1131">
        <f>1+(INDEX(绊状态确认!$T:$T,MATCH($G308,绊状态确认!$B:$B,))+0.2)*$AO308</f>
        <v>1.3</v>
      </c>
      <c r="AQ308" s="1108">
        <f t="shared" si="365"/>
        <v>35389.977310000002</v>
      </c>
      <c r="AR308" s="1097">
        <f>(AM308*(1+$EX$9)+$EX$35)*(1+(INDEX(绊状态确认!$T:$T,MATCH($G308,绊状态确认!$B:$B,))+0.2)*AO308)*IF(J308=$FF$17,1+$FE$17,1)*IF(I308=$FF$14,1+$FE$14,1)*(1+$FE$15)</f>
        <v>15350.509220799999</v>
      </c>
      <c r="AS308" s="1097">
        <f>(AN308*(1+$EX$10)+$EX$36)*(1+(INDEX(绊状态确认!$T:$T,MATCH($G308,绊状态确认!$B:$B,))+0.2)*AO308)*IF(J308=$FF$17,1+$FE$17,1)*IF(I308=$FF$14,1+$FE$14,1)*(1+$FE$15)</f>
        <v>21371.372255999995</v>
      </c>
      <c r="AT308" s="1093">
        <f>IF(AND(INDEX('卡片raw data'!AK:AK,MATCH($D308,'卡片raw data'!$F:$F,))&lt;INDEX('卡片raw data'!AM:AM,MATCH($D308,'卡片raw data'!$F:$F,)),INDEX('卡片raw data'!AL:AL,MATCH($D308,'卡片raw data'!$F:$F,))&lt;INDEX('卡片raw data'!AM:AM,MATCH($D308,'卡片raw data'!$F:$F,))),1,0)</f>
        <v>0</v>
      </c>
      <c r="AU308" s="1098">
        <f>MIN(AT308*0.15+AS308*0.00003+INDEX(绊状态确认!M:M,MATCH($G308,绊状态确认!$B:$B,)),1)</f>
        <v>0.67114116767999987</v>
      </c>
      <c r="AV308" s="1109">
        <f>(INDEX(绊状态确认!$N:$N,MATCH($G308,绊状态确认!$B:$B,))+1.5)*$EW$21</f>
        <v>2.6599999999999997</v>
      </c>
      <c r="AW308" s="1101">
        <f t="shared" si="366"/>
        <v>38856.350787213065</v>
      </c>
      <c r="AX308" s="1097">
        <f t="shared" si="367"/>
        <v>1324.1320468553886</v>
      </c>
      <c r="AY308" s="1110">
        <f t="shared" si="368"/>
        <v>40180.482834068454</v>
      </c>
      <c r="AZ308" s="429">
        <f t="shared" si="369"/>
        <v>26475.411715999999</v>
      </c>
      <c r="BA308" s="431">
        <f t="shared" si="370"/>
        <v>31770.494059199998</v>
      </c>
      <c r="BB308" s="1097">
        <f>(AM308*(1+$FB$9)+$FB$35)*(1+(INDEX(绊状态确认!$T:$T,MATCH($G308,绊状态确认!$B:$B,))+0.2)*AO308)*IF(J308=$FF$17,1+$FE$17,1)*IF(I308=$FF$14,1+$FE$14,1)*(1+$FE$15)</f>
        <v>15350.509220799999</v>
      </c>
      <c r="BC308" s="1097">
        <f>(AN308*(1+$FB$10)+$FB$36)*(1+(INDEX(绊状态确认!$T:$T,MATCH($G308,绊状态确认!$B:$B,))+0.2)*AO308)*IF(J308=$FF$17,1+$FE$17,1)*IF(I308=$FF$14,1+$FE$14,1)*(1+$FE$15)</f>
        <v>21371.372255999995</v>
      </c>
      <c r="BD308" s="1104">
        <f>MIN(AT308*0.15+BC308*0.00003+INDEX(绊状态确认!M:M,MATCH($G308,绊状态确认!$B:$B,)),1)</f>
        <v>0.67114116767999987</v>
      </c>
      <c r="BE308" s="432">
        <f>(INDEX(绊状态确认!$N:$N,MATCH($G308,绊状态确认!$B:$B,))+1.5)</f>
        <v>1.9</v>
      </c>
      <c r="BF308" s="1139">
        <f t="array" ref="BF308">SUMPRODUCT(IF(AZ308*AP308*$FI$16:$FI$23*$FA$22&gt;=$FI$24,$FI$24,AZ308*AP308*$FI$16:$FI$23*$FA$22),$FJ$16:$FJ$23)</f>
        <v>51924.920867727997</v>
      </c>
      <c r="BG308" s="1125">
        <f t="array" ref="BG308">SUMPRODUCT(IF(BE308*AZ308*AP308*$FI$16:$FI$23*$FA$22&gt;=$FI$24,$FI$24,BE308*AZ308*AP308*$FI$16:$FI$23*$FA$22),$FJ$16:$FJ$23)</f>
        <v>60000</v>
      </c>
      <c r="BH308" s="1110">
        <f t="shared" si="371"/>
        <v>19114.812968556475</v>
      </c>
      <c r="BI308" s="1111">
        <f>IF(O308="vo",$EW$26/$EW$24*0.05,0)+IF(O308="sk",-$EW$26/$EW$24*(0.05-INDEX(绊状态确认!W:W,MATCH($G308,绊状态确认!$B:$B,)))+0.05*$EW$28,0)+IF(O308="sp",0.05*$EW$32*$EW$30*(1-$EW$33)-(0.05-INDEX(绊状态确认!V:V,MATCH($G308,绊状态确认!$B:$B,)))*$EW$28,0)+IF(O308="gd",-(0.05-INDEX(绊状态确认!X:X,MATCH($G308,绊状态确认!$B:$B,)))*$EW$32*$EW$30*(1-$EW$33),0)</f>
        <v>19.999999999999886</v>
      </c>
      <c r="BJ308" s="1097">
        <f>IF(O308="vo",0.05*(1-$FI$26)*$FA$24,0)+IF(O308="sk",-(0.05-INDEX(绊状态确认!W:W,MATCH($G308,绊状态确认!$B:$B,)))*(1-$FI$26)*$FA$24+0.05*$FA$26,0)+IF(O308="sp",0.05*$FA$32*$FA$27*(1-$FA$33)/$FA$30+0.05*$FA$29/$FA$69*$FA$27*(1-$FA$33)-(0.05-INDEX(绊状态确认!V:V,MATCH($G308,绊状态确认!$B:$B,)))*$FA$26,0)+IF(O308="gd",-(0.05-INDEX(绊状态确认!X:X,MATCH($G308,绊状态确认!$B:$B,)))*$FA$32*$FA$27*(1-$FA$33)/$FA$30-(0.05-INDEX(绊状态确认!X:X,MATCH($G308,绊状态确认!$B:$B,)))*$FA$29/$FA$69*$FA$27*(1-$FA$33),0)</f>
        <v>545.83333333333326</v>
      </c>
      <c r="BK308" s="1110">
        <f>IF(O308="vo",$EW$26/$EW$24*0.05+$EW$26*(-HP($EW$62,$EW$65,$EW$64)+HP($EW$62,$EW$65,(1.05-INDEX(绊状态确认!U:U,MATCH($G308,绊状态确认!$B:$B,)))*$EW$64)),0)+IF(O308="sk",-$EW$26/$EW$24*(0.05-INDEX(绊状态确认!W:W,MATCH($G308,绊状态确认!$B:$B,)))+0.05*$EW$29,0)+IF(O308="sp",0.05*$EW$32*$EW$30*(1-$EW$33)-(0.05-INDEX(绊状态确认!V:V,MATCH($G308,绊状态确认!$B:$B,)))*$EW$29,0)+IF(O308="gd",-(0.05-INDEX(绊状态确认!X:X,MATCH($G308,绊状态确认!$B:$B,)))*$EW$32*$EW$30*(1-$EW$33)+$EW$26*(-HP($EW$62,$EW$65,$EW$64)+HP($EW$62,$EW$65,0.95*$EW$64)),0)</f>
        <v>-1780.0000000000005</v>
      </c>
      <c r="BL308" s="1111">
        <f t="shared" si="372"/>
        <v>0</v>
      </c>
      <c r="BM308" s="1110">
        <f t="shared" si="373"/>
        <v>0</v>
      </c>
      <c r="BN308" s="1113">
        <f t="shared" si="374"/>
        <v>3</v>
      </c>
      <c r="BO308" s="1097">
        <f t="shared" si="375"/>
        <v>4507.7214871259994</v>
      </c>
      <c r="BP308" s="1100">
        <f t="shared" si="376"/>
        <v>221.34103209030098</v>
      </c>
      <c r="BQ308" s="1113" t="s">
        <v>1056</v>
      </c>
      <c r="BR308" s="1124" t="s">
        <v>1057</v>
      </c>
      <c r="BS308" s="1098">
        <f>IF($P308="","N/A",IF($P308=-1,INDEX('卡片raw data'!AX:AX,MATCH($D308,'卡片raw data'!$F:$F,)),0)+IF($L308="party卡",IF($P308=5,INDEX('卡片raw data'!BD:BD,MATCH($D308,'卡片raw data'!$F:$F,)),IF($P308&gt;=3,INDEX('卡片raw data'!BC:BC,MATCH($D308,'卡片raw data'!$F:$F,)),INDEX('卡片raw data'!BB:BB,MATCH($D308,'卡片raw data'!$F:$F,)))),IF(OR(AND($F308="UR",$P308=0),AND($F308="SR",$P308&gt;=0,$P308&lt;=2),AND($F308="R",$P308&gt;=0,$P308&lt;4)),INDEX('卡片raw data'!AZ:AZ,MATCH($D308,'卡片raw data'!$F:$F,)),0)+IF(OR(AND($F308="UR",$P308&gt;=1,$P308&lt;=4),AND($F308="SR",$P308&lt;=4,$P308&gt;=3),AND($F308="R",$P308=4)),INDEX('卡片raw data'!BA:BA,MATCH($D308,'卡片raw data'!$F:$F,)),0)+IF($P308=5,INDEX('卡片raw data'!BB:BB,MATCH($D308,'卡片raw data'!$F:$F,)),0)))</f>
        <v>4.2000000000000003E-2</v>
      </c>
      <c r="BT308" s="1101">
        <f t="shared" si="377"/>
        <v>2971.3299858096102</v>
      </c>
      <c r="BU308" s="1097">
        <f t="shared" si="378"/>
        <v>214.92580204297263</v>
      </c>
      <c r="BV308" s="1097">
        <f t="shared" si="379"/>
        <v>2971.3299858096102</v>
      </c>
      <c r="BW308" s="1112">
        <f t="shared" si="380"/>
        <v>0</v>
      </c>
      <c r="BX308" s="1100">
        <f t="shared" si="381"/>
        <v>2971.3299858096102</v>
      </c>
      <c r="BY308" s="1110">
        <f t="shared" si="382"/>
        <v>2971.3299858096102</v>
      </c>
      <c r="BZ308" s="1107" t="s">
        <v>569</v>
      </c>
      <c r="CA308" s="1124"/>
      <c r="CB308" s="1098">
        <f>IF($P308="","N/A",IF($P308=-1,INDEX('卡片raw data'!BE:BE,MATCH($D308,'卡片raw data'!$F:$F,)),0)+IF($L308="party卡",IF($P308=5,INDEX('卡片raw data'!BK:BK,MATCH($D308,'卡片raw data'!$F:$F,)),IF($P308&gt;=3,INDEX('卡片raw data'!BJ:BJ,MATCH($D308,'卡片raw data'!$F:$F,)),INDEX('卡片raw data'!BI:BI,MATCH($D308,'卡片raw data'!$F:$F,)))),IF(OR(AND($F308="UR",$P308=0),AND($F308="SR",$P308&gt;=0,$P308&lt;=2),AND($F308="R",$P308&gt;=0,$P308&lt;4)),INDEX('卡片raw data'!BG:BG,MATCH($D308,'卡片raw data'!$F:$F,)),0)+IF(OR(AND($F308="UR",$P308&gt;=1,$P308&lt;=4),AND($F308="SR",$P308&lt;=4,$P308&gt;=3),AND($F308="R",$P308=4)),INDEX('卡片raw data'!BH:BH,MATCH($D308,'卡片raw data'!$F:$F,)),0)+IF($P308=5,INDEX('卡片raw data'!BI:BI,MATCH($D308,'卡片raw data'!$F:$F,)),0)))</f>
        <v>0</v>
      </c>
      <c r="CC308" s="1101">
        <f t="shared" si="383"/>
        <v>0</v>
      </c>
      <c r="CD308" s="1097">
        <f>IF(BZ308="ap",CB308*(1-$FI$26)*$FB$5/$FB$11*(+IF(CA308="全员",$FA$24,0)+IF(CA308="同作战",$FA$24,0)+IF(CA308="仲间",$FA$24*2/3,0)+IF(CA308="同属性",$FA$24*$FA$37/3,0)+IF(CA308="同年级",$FA$24*$FA$40/3,0)+IF(CA308="同学校",$FA$24*$FA$43/3,0)+IF(CA308="同小队",$FA$24*$FA$46/3,0)+IF(CA308="同type",$FA$24*INDEX($FB$49:$FB$52,MATCH(X308,$FA$49:$FA$52,))/3,0)+IF(CA308="自身",#REF!/3,0)),0)+IF(BZ308="te",CB308*(1-$FI$27)*($FA$20-1)*$FB$7/$FB$13*(+IF(CA308="全员",$FA$19*$FA$24/(1+($FA$20-1)*$FA$19),0)+IF(CA308="同作战",$FA$19*$FA$24/(1+($FA$20-1)*$FA$19),0)+IF(CA308="仲间",$FA$19*$FA$24*2/3/(1+($FA$20-1)*$FA$19),0)+IF(CA308="同属性",$FA$19*$FA$24*$FA$37/3/(1+($FA$20-1)*$FA$19),0)+IF(CA308="同年级",$FA$19*$FA$24*$FA$40/3/(1+($FA$20-1)*$FA$19),0)+IF(CA308="同学校",$FA$19*$FA$24*$FA$43/3/(1+($FA$20-1)*$FA$19),0)+IF(CA308="同小队",$FA$19*$FA$24*$FA$46/3/(1+($FA$20-1)*$FA$19),0)+IF(CA308="同type",$FA$19*$FA$24*INDEX($FB$49:$FB$52,MATCH(X308,$FA$49:$FA$52,))/3/(1+($FA$20-1)*$FA$19),0)+IF(CA308="自身",$FA$19*#REF!/3/(1+(BH308-1)*$BD308),0)),0)</f>
        <v>0</v>
      </c>
      <c r="CE308" s="1097">
        <f t="shared" si="384"/>
        <v>0</v>
      </c>
      <c r="CF308" s="1112">
        <f t="shared" si="385"/>
        <v>0</v>
      </c>
      <c r="CG308" s="1100">
        <f t="shared" si="386"/>
        <v>0</v>
      </c>
      <c r="CH308" s="1110">
        <f t="shared" si="387"/>
        <v>0</v>
      </c>
      <c r="CI308" s="1113" t="s">
        <v>1058</v>
      </c>
      <c r="CJ308" s="1114">
        <v>1</v>
      </c>
      <c r="CK308" s="1115" t="s">
        <v>1059</v>
      </c>
      <c r="CL308" s="1115" t="s">
        <v>1057</v>
      </c>
      <c r="CM308" s="1119">
        <v>3.9E-2</v>
      </c>
      <c r="CN308" s="1115">
        <v>5</v>
      </c>
      <c r="CO308" s="1092"/>
      <c r="CP308" s="1118">
        <f t="shared" si="388"/>
        <v>4.1785714285714282E-3</v>
      </c>
      <c r="CQ308" s="1118">
        <f t="shared" si="389"/>
        <v>6.4999999999999997E-3</v>
      </c>
      <c r="CR308" s="1118">
        <f t="shared" si="390"/>
        <v>4.1785714285714282E-3</v>
      </c>
      <c r="CS308" s="1118">
        <f t="shared" si="391"/>
        <v>0</v>
      </c>
      <c r="CT308" s="1109">
        <f t="shared" si="392"/>
        <v>0</v>
      </c>
      <c r="CU308" s="1101">
        <f t="shared" si="393"/>
        <v>489.02731827017948</v>
      </c>
      <c r="CV308" s="1108">
        <f t="shared" si="394"/>
        <v>52.632740178170529</v>
      </c>
      <c r="CW308" s="1097">
        <f t="shared" si="395"/>
        <v>489.02731827017948</v>
      </c>
      <c r="CX308" s="1097">
        <f t="shared" si="396"/>
        <v>489.02731827017948</v>
      </c>
      <c r="CY308" s="1110">
        <f t="shared" si="397"/>
        <v>489.02731827017948</v>
      </c>
      <c r="CZ308" s="437"/>
      <c r="DA308" s="438"/>
      <c r="DB308" s="439" t="s">
        <v>569</v>
      </c>
      <c r="DC308" s="439"/>
      <c r="DD308" s="443"/>
      <c r="DE308" s="411"/>
      <c r="DF308" s="411"/>
      <c r="DG308" s="1116">
        <f t="shared" si="398"/>
        <v>0</v>
      </c>
      <c r="DH308" s="1116">
        <f t="shared" si="399"/>
        <v>0</v>
      </c>
      <c r="DI308" s="1116">
        <f t="shared" si="400"/>
        <v>0</v>
      </c>
      <c r="DJ308" s="442">
        <f t="shared" si="401"/>
        <v>0</v>
      </c>
      <c r="DK308" s="1109">
        <f t="shared" si="402"/>
        <v>0</v>
      </c>
      <c r="DL308" s="1101">
        <f t="shared" si="403"/>
        <v>0</v>
      </c>
      <c r="DM308" s="1097">
        <f t="shared" si="404"/>
        <v>0</v>
      </c>
      <c r="DN308" s="1097">
        <f t="shared" si="405"/>
        <v>0</v>
      </c>
      <c r="DO308" s="1097">
        <f t="shared" si="406"/>
        <v>0</v>
      </c>
      <c r="DP308" s="1110">
        <f t="shared" si="407"/>
        <v>0</v>
      </c>
      <c r="DQ308" s="1113" t="s">
        <v>549</v>
      </c>
      <c r="DR308" s="1120">
        <f t="shared" si="408"/>
        <v>0.33</v>
      </c>
      <c r="DS308" s="1124"/>
      <c r="DT308" s="1093" t="s">
        <v>179</v>
      </c>
      <c r="DU308" s="1093"/>
      <c r="DV308" s="1098">
        <f>IF($P308="","N/A",IF(P308=-1,INDEX('卡片raw data'!AN:AN,MATCH(D308,'卡片raw data'!$F:$F,)),0)+IF(AND(L308&lt;&gt;"party卡",P308&lt;=2,P308&gt;=0),INDEX('卡片raw data'!AP:AP,MATCH(D308,'卡片raw data'!$F:$F,)),0)+IF(OR(AND(L308="party卡",P308&lt;=1),AND(P308&lt;=4,L308&lt;&gt;"party卡",P308&gt;=3)),INDEX('卡片raw data'!AQ:AQ,MATCH(D308,'卡片raw data'!$F:$F,)),0)+IF(OR(P308=5,AND(L308="party卡",P308&gt;=2)),INDEX('卡片raw data'!AR:AR,MATCH(D308,'卡片raw data'!$F:$F,)),0))</f>
        <v>0.09</v>
      </c>
      <c r="DW308" s="1098">
        <f t="shared" si="409"/>
        <v>0.33</v>
      </c>
      <c r="DX308" s="1098">
        <f t="shared" si="410"/>
        <v>0.33</v>
      </c>
      <c r="DY308" s="1098">
        <f t="shared" si="411"/>
        <v>9.9000000000000008E-3</v>
      </c>
      <c r="DZ308" s="1098">
        <f t="shared" si="412"/>
        <v>9.8480249999999998E-3</v>
      </c>
      <c r="EA308" s="1098">
        <f t="shared" si="413"/>
        <v>0</v>
      </c>
      <c r="EB308" s="1121">
        <f t="shared" si="414"/>
        <v>60.337777499999987</v>
      </c>
      <c r="EC308" s="1101">
        <f t="shared" si="415"/>
        <v>4455</v>
      </c>
      <c r="ED308" s="1097">
        <f t="shared" si="416"/>
        <v>2462.0062499999999</v>
      </c>
      <c r="EE308" s="1110">
        <f t="shared" si="417"/>
        <v>4455</v>
      </c>
      <c r="EF308" s="1092" t="s">
        <v>569</v>
      </c>
      <c r="EG308" s="1120">
        <f t="shared" si="418"/>
        <v>0.33</v>
      </c>
      <c r="EH308" s="1124"/>
      <c r="EI308" s="1093"/>
      <c r="EJ308" s="1093"/>
      <c r="EK308" s="1097">
        <f>IF($P308="","N/A",IF(P308=-1,INDEX('卡片raw data'!AS:AS,MATCH(D308,'卡片raw data'!$F:$F,)),0)+IF(AND(L308&lt;&gt;"party卡",P308&lt;=2,P308&gt;=0),INDEX('卡片raw data'!AU:AU,MATCH(D308,'卡片raw data'!$F:$F,)),0)+IF(OR(AND(L308="party卡",P308&lt;=1),AND(P308&lt;=4,L308&lt;&gt;"party卡",P308&gt;=3)),INDEX('卡片raw data'!AV:AV,MATCH(D308,'卡片raw data'!$F:$F,)),0)+IF(OR(P308=5,AND(L308="party卡",P308&gt;=2)),INDEX('卡片raw data'!AW:AW,MATCH(D308,'卡片raw data'!$F:$F,)),0))</f>
        <v>0</v>
      </c>
      <c r="EL308" s="1098">
        <f t="shared" si="419"/>
        <v>0.33</v>
      </c>
      <c r="EM308" s="1098">
        <f t="shared" si="420"/>
        <v>0.33</v>
      </c>
      <c r="EN308" s="1125">
        <f t="shared" si="421"/>
        <v>0</v>
      </c>
      <c r="EO308" s="1125">
        <f t="shared" si="422"/>
        <v>0</v>
      </c>
      <c r="EP308" s="1098">
        <f t="shared" si="423"/>
        <v>0</v>
      </c>
      <c r="EQ308" s="1121">
        <f t="shared" si="424"/>
        <v>0</v>
      </c>
      <c r="ER308" s="1101">
        <f t="shared" si="425"/>
        <v>0</v>
      </c>
      <c r="ES308" s="1097">
        <f t="shared" si="426"/>
        <v>0</v>
      </c>
      <c r="ET308" s="1122">
        <f t="shared" si="427"/>
        <v>0</v>
      </c>
    </row>
    <row r="309" spans="2:150" ht="16.5" customHeight="1">
      <c r="B309" s="1123" t="str">
        <f>INDEX('卡片raw data'!B:B,MATCH($D309,'卡片raw data'!$F:$F,))</f>
        <v>二专雫</v>
      </c>
      <c r="C309" s="449" t="s">
        <v>579</v>
      </c>
      <c r="D309" s="408">
        <v>306</v>
      </c>
      <c r="E309" s="1090">
        <v>402032003</v>
      </c>
      <c r="F309" s="1090" t="str">
        <f>INDEX('卡片raw data'!C:C,MATCH($D309,'卡片raw data'!$F:$F,))</f>
        <v>SR</v>
      </c>
      <c r="G309" s="1094" t="s">
        <v>1062</v>
      </c>
      <c r="H309" s="411">
        <f>IFERROR(INDEX(绊状态确认!C:C,MATCH($G309,绊状态确认!$B:$B,)),"")</f>
        <v>203</v>
      </c>
      <c r="I309" s="450" t="str">
        <f>IFERROR(INDEX(绊状态确认!D:D,MATCH($G309,绊状态确认!$B:$B,)),"")</f>
        <v>虹</v>
      </c>
      <c r="J309" s="450" t="str">
        <f>IFERROR(INDEX(绊状态确认!E:E,MATCH($G309,绊状态确认!$B:$B,)),"")</f>
        <v>1年级</v>
      </c>
      <c r="K309" s="451" t="str">
        <f>IFERROR(INDEX(绊状态确认!F:F,MATCH($G309,绊状态确认!$B:$B,)),"")</f>
        <v>A·ZU·NA</v>
      </c>
      <c r="L309" s="1094" t="str">
        <f>INDEX('卡片raw data'!E:E,MATCH($D309,'卡片raw data'!$F:$F,))</f>
        <v>卡池卡</v>
      </c>
      <c r="M309" s="415">
        <v>44078</v>
      </c>
      <c r="N309" s="416">
        <v>23</v>
      </c>
      <c r="O309" s="1091" t="str">
        <f>INDEX('卡片raw data'!D:D,MATCH($D309,'卡片raw data'!$F:$F,))</f>
        <v>sk</v>
      </c>
      <c r="P309" s="417">
        <v>5</v>
      </c>
      <c r="Q309" s="1095">
        <f t="shared" si="343"/>
        <v>33447.668670073232</v>
      </c>
      <c r="R309" s="1096">
        <f t="shared" si="344"/>
        <v>0.38800000000000001</v>
      </c>
      <c r="S309" s="1097">
        <f t="shared" si="345"/>
        <v>16925.100439326707</v>
      </c>
      <c r="T309" s="1098">
        <f t="shared" si="346"/>
        <v>0.84599999999999997</v>
      </c>
      <c r="U309" s="1099">
        <f t="shared" si="347"/>
        <v>9.7300219000028569</v>
      </c>
      <c r="V309" s="1100">
        <f t="shared" si="348"/>
        <v>36220.29216300838</v>
      </c>
      <c r="W309" s="1101">
        <f t="shared" si="349"/>
        <v>4734.9942143987264</v>
      </c>
      <c r="X309" s="1096">
        <f t="shared" si="350"/>
        <v>5.5E-2</v>
      </c>
      <c r="Y309" s="1097">
        <f t="shared" si="351"/>
        <v>772.62349293514671</v>
      </c>
      <c r="Z309" s="1102">
        <f t="shared" si="352"/>
        <v>9.7300219000028569</v>
      </c>
      <c r="AA309" s="1103">
        <f t="shared" si="353"/>
        <v>5507.6177073338731</v>
      </c>
      <c r="AB309" s="1101">
        <f t="shared" si="354"/>
        <v>8272.2918165530245</v>
      </c>
      <c r="AC309" s="1104">
        <f t="shared" si="355"/>
        <v>9.6000000000000002E-2</v>
      </c>
      <c r="AD309" s="1105">
        <f t="shared" si="356"/>
        <v>2.6112279987373737E-2</v>
      </c>
      <c r="AE309" s="1128">
        <f t="shared" si="357"/>
        <v>7.816478558771049</v>
      </c>
      <c r="AF309" s="1130">
        <f t="shared" si="358"/>
        <v>0</v>
      </c>
      <c r="AG309" s="420">
        <f t="shared" si="359"/>
        <v>0</v>
      </c>
      <c r="AH309" s="420">
        <f t="shared" si="360"/>
        <v>0</v>
      </c>
      <c r="AI309" s="1097">
        <f t="shared" si="361"/>
        <v>0</v>
      </c>
      <c r="AJ309" s="420">
        <f t="shared" si="362"/>
        <v>0</v>
      </c>
      <c r="AK309" s="518">
        <f t="shared" si="363"/>
        <v>0</v>
      </c>
      <c r="AL309" s="1106">
        <f>IF($P309="","N/A",(IF($P309=-1,INDEX('卡片raw data'!S:S,MATCH($D309,'卡片raw data'!$F:$F,)),0)+IF($P309=0,INDEX('卡片raw data'!V:V,MATCH($D309,'卡片raw data'!$F:$F,)),0)+IF($P309=1,INDEX('卡片raw data'!Y:Y,MATCH($D309,'卡片raw data'!$F:$F,)),0)+IF($P309=2,INDEX('卡片raw data'!AB:AB,MATCH($D309,'卡片raw data'!$F:$F,)),0)+IF($P309=3,INDEX('卡片raw data'!AE:AE,MATCH($D309,'卡片raw data'!$F:$F,)),0)+IF($P309=4,INDEX('卡片raw data'!AH:AH,MATCH($D309,'卡片raw data'!$F:$F,)),0)+IF($P309=5,INDEX('卡片raw data'!AK:AK,MATCH($D309,'卡片raw data'!$F:$F,)),0)+INDEX('卡片raw data'!S:S,MATCH($D309,'卡片raw data'!$F:$F,))*(IF($F309="UR",0.04,0.033))*(IF($F309="UR",INDEX(绊状态确认!$S:$S,MATCH($G309,绊状态确认!$B:$B,))/2-40)+IF($F309="SR",INDEX(绊状态确认!$R:$R,MATCH($G309,绊状态确认!$B:$B,))/4-15))+IF($F309="R",INDEX(绊状态确认!$Q:$Q,MATCH($G309,绊状态确认!$B:$B,))/6-40/6)))*(INDEX(绊状态确认!$H:$H,MATCH($G309,绊状态确认!$B:$B,))+INDEX(绊状态确认!J:J,MATCH($G309,绊状态确认!$B:$B,)))</f>
        <v>7112.9503343999986</v>
      </c>
      <c r="AM309" s="1106">
        <f>IF($P309="","N/A",(IF($P309=-1,INDEX('卡片raw data'!T:T,MATCH($D309,'卡片raw data'!$F:$F,)),0)+IF($P309=0,INDEX('卡片raw data'!W:W,MATCH($D309,'卡片raw data'!$F:$F,)),0)+IF($P309=1,INDEX('卡片raw data'!Z:Z,MATCH($D309,'卡片raw data'!$F:$F,)),0)+IF($P309=2,INDEX('卡片raw data'!AC:AC,MATCH($D309,'卡片raw data'!$F:$F,)),0)+IF($P309=3,INDEX('卡片raw data'!AF:AF,MATCH($D309,'卡片raw data'!$F:$F,)),0)+IF($P309=4,INDEX('卡片raw data'!AI:AI,MATCH($D309,'卡片raw data'!$F:$F,)),0)+IF($P309=5,INDEX('卡片raw data'!AL:AL,MATCH($D309,'卡片raw data'!$F:$F,)),0)+INDEX('卡片raw data'!T:T,MATCH($D309,'卡片raw data'!$F:$F,))*(IF($F309="UR",0.04,0.033))*(IF($F309="UR",INDEX(绊状态确认!$S:$S,MATCH($G309,绊状态确认!$B:$B,))/2-40)+IF($F309="SR",INDEX(绊状态确认!$R:$R,MATCH($G309,绊状态确认!$B:$B,))/4-15))+IF($F309="R",INDEX(绊状态确认!$Q:$Q,MATCH($G309,绊状态确认!$B:$B,))/6-40/6)))*(INDEX(绊状态确认!$H:$H,MATCH($G309,绊状态确认!$B:$B,))+INDEX(绊状态确认!K:K,MATCH($G309,绊状态确认!$B:$B,)))</f>
        <v>4672.0540463999996</v>
      </c>
      <c r="AN309" s="1106">
        <f>IF($P309="","N/A",(IF($P309=-1,INDEX('卡片raw data'!U:U,MATCH($D309,'卡片raw data'!$F:$F,)),0)+IF($P309=0,INDEX('卡片raw data'!X:X,MATCH($D309,'卡片raw data'!$F:$F,)),0)+IF($P309=1,INDEX('卡片raw data'!AA:AA,MATCH($D309,'卡片raw data'!$F:$F,)),0)+IF($P309=2,INDEX('卡片raw data'!AD:AD,MATCH($D309,'卡片raw data'!$F:$F,)),0)+IF($P309=3,INDEX('卡片raw data'!AG:AG,MATCH($D309,'卡片raw data'!$F:$F,)),0)+IF($P309=4,INDEX('卡片raw data'!AJ:AJ,MATCH($D309,'卡片raw data'!$F:$F,)),0)+IF($P309=5,INDEX('卡片raw data'!AM:AM,MATCH($D309,'卡片raw data'!$F:$F,)),0)+INDEX('卡片raw data'!U:U,MATCH($D309,'卡片raw data'!$F:$F,))*(IF($F309="UR",0.04,0.033))*(IF($F309="UR",INDEX(绊状态确认!$S:$S,MATCH($G309,绊状态确认!$B:$B,))/2-40)+IF($F309="SR",INDEX(绊状态确认!$R:$R,MATCH($G309,绊状态确认!$B:$B,))/4-15))+IF($F309="R",INDEX(绊状态确认!$Q:$Q,MATCH($G309,绊状态确认!$B:$B,))/6-40/6)))*(INDEX(绊状态确认!$H:$H,MATCH($G309,绊状态确认!$B:$B,))+INDEX(绊状态确认!L:L,MATCH($G309,绊状态确认!$B:$B,)))</f>
        <v>8534.389000799998</v>
      </c>
      <c r="AO309" s="1107">
        <f t="shared" si="364"/>
        <v>1</v>
      </c>
      <c r="AP309" s="1131">
        <f>1+(INDEX(绊状态确认!$T:$T,MATCH($G309,绊状态确认!$B:$B,))+0.2)*$AO309</f>
        <v>1.3</v>
      </c>
      <c r="AQ309" s="1108">
        <f t="shared" si="365"/>
        <v>21921.494627799999</v>
      </c>
      <c r="AR309" s="1097">
        <f>(AM309*(1+$EX$9)+$EX$35)*(1+(INDEX(绊状态确认!$T:$T,MATCH($G309,绊状态确认!$B:$B,))+0.2)*AO309)*IF(J309=$FF$17,1+$FE$17,1)*IF(I309=$FF$14,1+$FE$14,1)</f>
        <v>9081.3537733360008</v>
      </c>
      <c r="AS309" s="1097">
        <f>(AN309*(1+$EX$10)+$EX$36)*(1+(INDEX(绊状态确认!$T:$T,MATCH($G309,绊状态确认!$B:$B,))+0.2)*AO309)*IF(J309=$FF$17,1+$FE$17,1)*IF(I309=$FF$14,1+$FE$14,1)</f>
        <v>16814.911556195995</v>
      </c>
      <c r="AT309" s="1093">
        <f>IF(AND(INDEX('卡片raw data'!AK:AK,MATCH($D309,'卡片raw data'!$F:$F,))&lt;INDEX('卡片raw data'!AM:AM,MATCH($D309,'卡片raw data'!$F:$F,)),INDEX('卡片raw data'!AL:AL,MATCH($D309,'卡片raw data'!$F:$F,))&lt;INDEX('卡片raw data'!AM:AM,MATCH($D309,'卡片raw data'!$F:$F,))),1,0)</f>
        <v>1</v>
      </c>
      <c r="AU309" s="1098">
        <f>MIN(AT309*0.15+AS309*0.00003+INDEX(绊状态确认!M:M,MATCH($G309,绊状态确认!$B:$B,)),1)</f>
        <v>0.68444734668587992</v>
      </c>
      <c r="AV309" s="1109">
        <f>(INDEX(绊状态确认!$N:$N,MATCH($G309,绊状态确认!$B:$B,))+1.5)*$EW$21</f>
        <v>2.6599999999999997</v>
      </c>
      <c r="AW309" s="1101">
        <f t="shared" si="366"/>
        <v>24320.130310630728</v>
      </c>
      <c r="AX309" s="1097">
        <f t="shared" si="367"/>
        <v>772.62349293514694</v>
      </c>
      <c r="AY309" s="1110">
        <f t="shared" si="368"/>
        <v>25092.753803565876</v>
      </c>
      <c r="AZ309" s="429">
        <f t="shared" si="369"/>
        <v>16470.253152079997</v>
      </c>
      <c r="BA309" s="431">
        <f t="shared" si="370"/>
        <v>19764.303782495994</v>
      </c>
      <c r="BB309" s="1097">
        <f>(AM309*(1+$FB$9)+$FB$35)*(1+(INDEX(绊状态确认!$T:$T,MATCH($G309,绊状态确认!$B:$B,))+0.2)*AO309)*IF(J309=$FF$17,1+$FE$17,1)*IF(I309=$FF$14,1+$FE$14,1)*(1+$FE$15)</f>
        <v>9081.3537733360008</v>
      </c>
      <c r="BC309" s="1097">
        <f>(AN309*(1+$FB$10)+$FB$36)*(1+(INDEX(绊状态确认!$T:$T,MATCH($G309,绊状态确认!$B:$B,))+0.2)*AO309)*IF(J309=$FF$17,1+$FE$17,1)*IF(I309=$FF$14,1+$FE$14,1)*(1+$FE$15)</f>
        <v>16814.911556195995</v>
      </c>
      <c r="BD309" s="1104">
        <f>MIN(AT309*0.15+BC309*0.00003+INDEX(绊状态确认!M:M,MATCH($G309,绊状态确认!$B:$B,)),1)</f>
        <v>0.68444734668587992</v>
      </c>
      <c r="BE309" s="432">
        <f>(INDEX(绊状态确认!$N:$N,MATCH($G309,绊状态确认!$B:$B,))+1.5)</f>
        <v>1.9</v>
      </c>
      <c r="BF309" s="1139">
        <f t="array" ref="BF309">SUMPRODUCT(IF(AZ309*AP309*$FI$16:$FI$23*$FA$22&gt;=$FI$24,$FI$24,AZ309*AP309*$FI$16:$FI$23*$FA$22),$FJ$16:$FJ$23)</f>
        <v>32759.333519487118</v>
      </c>
      <c r="BG309" s="1125">
        <f t="array" ref="BG309">SUMPRODUCT(IF(BE309*AZ309*AP309*$FI$16:$FI$23*$FA$22&gt;=$FI$24,$FI$24,BE309*AZ309*AP309*$FI$16:$FI$23*$FA$22),$FJ$16:$FJ$23)</f>
        <v>57561.208401387921</v>
      </c>
      <c r="BH309" s="1110">
        <f t="shared" si="371"/>
        <v>16578.303658413097</v>
      </c>
      <c r="BI309" s="1111">
        <f>IF(O309="vo",$EW$26/$EW$24*0.05,0)+IF(O309="sk",-$EW$26/$EW$24*(0.05-INDEX(绊状态确认!W:W,MATCH($G309,绊状态确认!$B:$B,)))+0.05*$EW$28,0)+IF(O309="sp",0.05*$EW$32*$EW$30*(1-$EW$33)-(0.05-INDEX(绊状态确认!V:V,MATCH($G309,绊状态确认!$B:$B,)))*$EW$28,0)+IF(O309="gd",-(0.05-INDEX(绊状态确认!X:X,MATCH($G309,绊状态确认!$B:$B,)))*$EW$32*$EW$30*(1-$EW$33),0)</f>
        <v>-6253.6726349699375</v>
      </c>
      <c r="BJ309" s="1097">
        <f>IF(O309="vo",0.05*(1-$FI$26)*$FA$24,0)+IF(O309="sk",-(0.05-INDEX(绊状态确认!W:W,MATCH($G309,绊状态确认!$B:$B,)))*(1-$FI$26)*$FA$24+0.05*$FA$26,0)+IF(O309="sp",0.05*$FA$32*$FA$27*(1-$FA$33)/$FA$30+0.05*$FA$29/$FA$69*$FA$27*(1-$FA$33)-(0.05-INDEX(绊状态确认!V:V,MATCH($G309,绊状态确认!$B:$B,)))*$FA$26,0)+IF(O309="gd",-(0.05-INDEX(绊状态确认!X:X,MATCH($G309,绊状态确认!$B:$B,)))*$FA$32*$FA$27*(1-$FA$33)/$FA$30-(0.05-INDEX(绊状态确认!X:X,MATCH($G309,绊状态确认!$B:$B,)))*$FA$29/$FA$69*$FA$27*(1-$FA$33),0)</f>
        <v>20.459096812499922</v>
      </c>
      <c r="BK309" s="1110">
        <f>IF(O309="vo",$EW$26/$EW$24*0.05+$EW$26*(-HP($EW$62,$EW$65,$EW$64)+HP($EW$62,$EW$65,(1.05-INDEX(绊状态确认!U:U,MATCH($G309,绊状态确认!$B:$B,)))*$EW$64)),0)+IF(O309="sk",-$EW$26/$EW$24*(0.05-INDEX(绊状态确认!W:W,MATCH($G309,绊状态确认!$B:$B,)))+0.05*$EW$29,0)+IF(O309="sp",0.05*$EW$32*$EW$30*(1-$EW$33)-(0.05-INDEX(绊状态确认!V:V,MATCH($G309,绊状态确认!$B:$B,)))*$EW$29,0)+IF(O309="gd",-(0.05-INDEX(绊状态确认!X:X,MATCH($G309,绊状态确认!$B:$B,)))*$EW$32*$EW$30*(1-$EW$33)+$EW$26*(-HP($EW$62,$EW$65,$EW$64)+HP($EW$62,$EW$65,0.95*$EW$64)),0)</f>
        <v>-4253.6726349699375</v>
      </c>
      <c r="BL309" s="1111">
        <f t="shared" si="372"/>
        <v>-1083.3333333333333</v>
      </c>
      <c r="BM309" s="1110">
        <f t="shared" si="373"/>
        <v>-830.55555555555543</v>
      </c>
      <c r="BN309" s="1113">
        <f t="shared" si="374"/>
        <v>3</v>
      </c>
      <c r="BO309" s="1097">
        <f t="shared" si="375"/>
        <v>4507.7214871259994</v>
      </c>
      <c r="BP309" s="1100">
        <f t="shared" si="376"/>
        <v>221.34103209030098</v>
      </c>
      <c r="BQ309" s="1113" t="s">
        <v>1056</v>
      </c>
      <c r="BR309" s="1124" t="s">
        <v>1063</v>
      </c>
      <c r="BS309" s="1098">
        <f>IF($P309="","N/A",IF($P309=-1,INDEX('卡片raw data'!AX:AX,MATCH($D309,'卡片raw data'!$F:$F,)),0)+IF($L309="party卡",IF($P309=5,INDEX('卡片raw data'!BD:BD,MATCH($D309,'卡片raw data'!$F:$F,)),IF($P309&gt;=3,INDEX('卡片raw data'!BC:BC,MATCH($D309,'卡片raw data'!$F:$F,)),INDEX('卡片raw data'!BB:BB,MATCH($D309,'卡片raw data'!$F:$F,)))),IF(OR(AND($F309="UR",$P309=0),AND($F309="SR",$P309&gt;=0,$P309&lt;=2),AND($F309="R",$P309&gt;=0,$P309&lt;4)),INDEX('卡片raw data'!AZ:AZ,MATCH($D309,'卡片raw data'!$F:$F,)),0)+IF(OR(AND($F309="UR",$P309&gt;=1,$P309&lt;=4),AND($F309="SR",$P309&lt;=4,$P309&gt;=3),AND($F309="R",$P309=4)),INDEX('卡片raw data'!BA:BA,MATCH($D309,'卡片raw data'!$F:$F,)),0)+IF($P309=5,INDEX('卡片raw data'!BB:BB,MATCH($D309,'卡片raw data'!$F:$F,)),0)))</f>
        <v>0.05</v>
      </c>
      <c r="BT309" s="1101">
        <f t="shared" si="377"/>
        <v>3537.2976021542986</v>
      </c>
      <c r="BU309" s="1097">
        <f t="shared" si="378"/>
        <v>255.86405005115788</v>
      </c>
      <c r="BV309" s="1097">
        <f t="shared" si="379"/>
        <v>0</v>
      </c>
      <c r="BW309" s="1112">
        <f t="shared" si="380"/>
        <v>0</v>
      </c>
      <c r="BX309" s="1100">
        <f t="shared" si="381"/>
        <v>3537.2976021542986</v>
      </c>
      <c r="BY309" s="1110">
        <f t="shared" si="382"/>
        <v>0</v>
      </c>
      <c r="BZ309" s="1107" t="s">
        <v>569</v>
      </c>
      <c r="CA309" s="1124"/>
      <c r="CB309" s="1098">
        <f>IF($P309="","N/A",IF($P309=-1,INDEX('卡片raw data'!BE:BE,MATCH($D309,'卡片raw data'!$F:$F,)),0)+IF($L309="party卡",IF($P309=5,INDEX('卡片raw data'!BK:BK,MATCH($D309,'卡片raw data'!$F:$F,)),IF($P309&gt;=3,INDEX('卡片raw data'!BJ:BJ,MATCH($D309,'卡片raw data'!$F:$F,)),INDEX('卡片raw data'!BI:BI,MATCH($D309,'卡片raw data'!$F:$F,)))),IF(OR(AND($F309="UR",$P309=0),AND($F309="SR",$P309&gt;=0,$P309&lt;=2),AND($F309="R",$P309&gt;=0,$P309&lt;4)),INDEX('卡片raw data'!BG:BG,MATCH($D309,'卡片raw data'!$F:$F,)),0)+IF(OR(AND($F309="UR",$P309&gt;=1,$P309&lt;=4),AND($F309="SR",$P309&lt;=4,$P309&gt;=3),AND($F309="R",$P309=4)),INDEX('卡片raw data'!BH:BH,MATCH($D309,'卡片raw data'!$F:$F,)),0)+IF($P309=5,INDEX('卡片raw data'!BI:BI,MATCH($D309,'卡片raw data'!$F:$F,)),0)))</f>
        <v>0</v>
      </c>
      <c r="CC309" s="1101">
        <f t="shared" si="383"/>
        <v>0</v>
      </c>
      <c r="CD309" s="1097">
        <f>IF(BZ309="ap",CB309*(1-$FI$26)*$FB$5/$FB$11*(+IF(CA309="全员",$FA$24,0)+IF(CA309="同作战",$FA$24,0)+IF(CA309="仲间",$FA$24*2/3,0)+IF(CA309="同属性",$FA$24*$FA$37/3,0)+IF(CA309="同年级",$FA$24*$FA$40/3,0)+IF(CA309="同学校",$FA$24*$FA$43/3,0)+IF(CA309="同小队",$FA$24*$FA$46/3,0)+IF(CA309="同type",$FA$24*INDEX($FB$49:$FB$52,MATCH(X309,$FA$49:$FA$52,))/3,0)+IF(CA309="自身",#REF!/3,0)),0)+IF(BZ309="te",CB309*(1-$FI$27)*($FA$20-1)*$FB$7/$FB$13*(+IF(CA309="全员",$FA$19*$FA$24/(1+($FA$20-1)*$FA$19),0)+IF(CA309="同作战",$FA$19*$FA$24/(1+($FA$20-1)*$FA$19),0)+IF(CA309="仲间",$FA$19*$FA$24*2/3/(1+($FA$20-1)*$FA$19),0)+IF(CA309="同属性",$FA$19*$FA$24*$FA$37/3/(1+($FA$20-1)*$FA$19),0)+IF(CA309="同年级",$FA$19*$FA$24*$FA$40/3/(1+($FA$20-1)*$FA$19),0)+IF(CA309="同学校",$FA$19*$FA$24*$FA$43/3/(1+($FA$20-1)*$FA$19),0)+IF(CA309="同小队",$FA$19*$FA$24*$FA$46/3/(1+($FA$20-1)*$FA$19),0)+IF(CA309="同type",$FA$19*$FA$24*INDEX($FB$49:$FB$52,MATCH(X309,$FA$49:$FA$52,))/3/(1+($FA$20-1)*$FA$19),0)+IF(CA309="自身",$FA$19*#REF!/3/(1+(BH309-1)*$BD309),0)),0)</f>
        <v>0</v>
      </c>
      <c r="CE309" s="1097">
        <f t="shared" si="384"/>
        <v>0</v>
      </c>
      <c r="CF309" s="1112">
        <f t="shared" si="385"/>
        <v>0</v>
      </c>
      <c r="CG309" s="1100">
        <f t="shared" si="386"/>
        <v>0</v>
      </c>
      <c r="CH309" s="1110">
        <f t="shared" si="387"/>
        <v>0</v>
      </c>
      <c r="CI309" s="1113" t="s">
        <v>1058</v>
      </c>
      <c r="CJ309" s="1114">
        <v>1</v>
      </c>
      <c r="CK309" s="1115" t="s">
        <v>295</v>
      </c>
      <c r="CL309" s="1115" t="s">
        <v>1057</v>
      </c>
      <c r="CM309" s="1119">
        <v>0.05</v>
      </c>
      <c r="CN309" s="1115">
        <v>5</v>
      </c>
      <c r="CO309" s="1092"/>
      <c r="CP309" s="1118">
        <f t="shared" si="388"/>
        <v>5.3571428571428572E-3</v>
      </c>
      <c r="CQ309" s="1118">
        <f t="shared" si="389"/>
        <v>8.3333333333333332E-3</v>
      </c>
      <c r="CR309" s="1118">
        <f t="shared" si="390"/>
        <v>5.3571428571428581E-3</v>
      </c>
      <c r="CS309" s="1118">
        <f t="shared" si="391"/>
        <v>7.1180555555555554E-3</v>
      </c>
      <c r="CT309" s="1109">
        <f t="shared" si="392"/>
        <v>0</v>
      </c>
      <c r="CU309" s="1101">
        <f t="shared" si="393"/>
        <v>227.27272727272725</v>
      </c>
      <c r="CV309" s="1108">
        <f t="shared" si="394"/>
        <v>189.39393939393938</v>
      </c>
      <c r="CW309" s="1097">
        <f t="shared" si="395"/>
        <v>227.27272727272731</v>
      </c>
      <c r="CX309" s="1097">
        <f t="shared" si="396"/>
        <v>227.27272727272725</v>
      </c>
      <c r="CY309" s="1110">
        <f t="shared" si="397"/>
        <v>227.27272727272731</v>
      </c>
      <c r="CZ309" s="437"/>
      <c r="DA309" s="438"/>
      <c r="DB309" s="439" t="s">
        <v>569</v>
      </c>
      <c r="DC309" s="439"/>
      <c r="DD309" s="443"/>
      <c r="DE309" s="411"/>
      <c r="DF309" s="411"/>
      <c r="DG309" s="1116">
        <f t="shared" si="398"/>
        <v>0</v>
      </c>
      <c r="DH309" s="1116">
        <f t="shared" si="399"/>
        <v>0</v>
      </c>
      <c r="DI309" s="1116">
        <f t="shared" si="400"/>
        <v>0</v>
      </c>
      <c r="DJ309" s="442">
        <f t="shared" si="401"/>
        <v>0</v>
      </c>
      <c r="DK309" s="1109">
        <f t="shared" si="402"/>
        <v>0</v>
      </c>
      <c r="DL309" s="1101">
        <f t="shared" si="403"/>
        <v>0</v>
      </c>
      <c r="DM309" s="1097">
        <f t="shared" si="404"/>
        <v>0</v>
      </c>
      <c r="DN309" s="1097">
        <f t="shared" si="405"/>
        <v>0</v>
      </c>
      <c r="DO309" s="1097">
        <f t="shared" si="406"/>
        <v>0</v>
      </c>
      <c r="DP309" s="1110">
        <f t="shared" si="407"/>
        <v>0</v>
      </c>
      <c r="DQ309" s="1113" t="s">
        <v>1059</v>
      </c>
      <c r="DR309" s="1120">
        <f t="shared" si="408"/>
        <v>0.3</v>
      </c>
      <c r="DS309" s="1124">
        <v>10</v>
      </c>
      <c r="DT309" s="1093" t="s">
        <v>1063</v>
      </c>
      <c r="DU309" s="1093" t="s">
        <v>1064</v>
      </c>
      <c r="DV309" s="1098">
        <f>IF($P309="","N/A",IF(P309=-1,INDEX('卡片raw data'!AN:AN,MATCH(D309,'卡片raw data'!$F:$F,)),0)+IF(AND(L309&lt;&gt;"party卡",P309&lt;=2,P309&gt;=0),INDEX('卡片raw data'!AP:AP,MATCH(D309,'卡片raw data'!$F:$F,)),0)+IF(OR(AND(L309="party卡",P309&lt;=1),AND(P309&lt;=4,L309&lt;&gt;"party卡",P309&gt;=3)),INDEX('卡片raw data'!AQ:AQ,MATCH(D309,'卡片raw data'!$F:$F,)),0)+IF(OR(P309=5,AND(L309="party卡",P309&gt;=2)),INDEX('卡片raw data'!AR:AR,MATCH(D309,'卡片raw data'!$F:$F,)),0))</f>
        <v>7.0000000000000007E-2</v>
      </c>
      <c r="DW309" s="1098">
        <f t="shared" si="409"/>
        <v>0.3</v>
      </c>
      <c r="DX309" s="1098">
        <f t="shared" si="410"/>
        <v>0.3</v>
      </c>
      <c r="DY309" s="1098">
        <f t="shared" si="411"/>
        <v>7.0000000000000007E-2</v>
      </c>
      <c r="DZ309" s="1098">
        <f t="shared" si="412"/>
        <v>6.0550000000000007E-2</v>
      </c>
      <c r="EA309" s="1098">
        <f t="shared" si="413"/>
        <v>0</v>
      </c>
      <c r="EB309" s="1121">
        <f t="shared" si="414"/>
        <v>0</v>
      </c>
      <c r="EC309" s="1101">
        <f t="shared" si="415"/>
        <v>8192.2525111927516</v>
      </c>
      <c r="ED309" s="1097">
        <f t="shared" si="416"/>
        <v>490.2942181212656</v>
      </c>
      <c r="EE309" s="1110">
        <f t="shared" si="417"/>
        <v>8192.2525111927516</v>
      </c>
      <c r="EF309" s="1092" t="s">
        <v>569</v>
      </c>
      <c r="EG309" s="1120">
        <f t="shared" si="418"/>
        <v>0.3</v>
      </c>
      <c r="EH309" s="1124"/>
      <c r="EI309" s="1093"/>
      <c r="EJ309" s="1093"/>
      <c r="EK309" s="1097">
        <f>IF($P309="","N/A",IF(P309=-1,INDEX('卡片raw data'!AS:AS,MATCH(D309,'卡片raw data'!$F:$F,)),0)+IF(AND(L309&lt;&gt;"party卡",P309&lt;=2,P309&gt;=0),INDEX('卡片raw data'!AU:AU,MATCH(D309,'卡片raw data'!$F:$F,)),0)+IF(OR(AND(L309="party卡",P309&lt;=1),AND(P309&lt;=4,L309&lt;&gt;"party卡",P309&gt;=3)),INDEX('卡片raw data'!AV:AV,MATCH(D309,'卡片raw data'!$F:$F,)),0)+IF(OR(P309=5,AND(L309="party卡",P309&gt;=2)),INDEX('卡片raw data'!AW:AW,MATCH(D309,'卡片raw data'!$F:$F,)),0))</f>
        <v>0</v>
      </c>
      <c r="EL309" s="1098">
        <f t="shared" si="419"/>
        <v>0.3</v>
      </c>
      <c r="EM309" s="1098">
        <f t="shared" si="420"/>
        <v>0.3</v>
      </c>
      <c r="EN309" s="1125">
        <f t="shared" si="421"/>
        <v>0</v>
      </c>
      <c r="EO309" s="1125">
        <f t="shared" si="422"/>
        <v>0</v>
      </c>
      <c r="EP309" s="1098">
        <f t="shared" si="423"/>
        <v>0</v>
      </c>
      <c r="EQ309" s="1121">
        <f t="shared" si="424"/>
        <v>0</v>
      </c>
      <c r="ER309" s="1101">
        <f t="shared" si="425"/>
        <v>0</v>
      </c>
      <c r="ES309" s="1097">
        <f t="shared" si="426"/>
        <v>0</v>
      </c>
      <c r="ET309" s="1122">
        <f t="shared" si="427"/>
        <v>0</v>
      </c>
    </row>
    <row r="310" spans="2:150" ht="16.5" customHeight="1">
      <c r="B310" s="1123" t="str">
        <f>INDEX('卡片raw data'!B:B,MATCH($D310,'卡片raw data'!$F:$F,))</f>
        <v>不良千</v>
      </c>
      <c r="C310" s="449" t="s">
        <v>579</v>
      </c>
      <c r="D310" s="408">
        <v>307</v>
      </c>
      <c r="E310" s="1090">
        <v>401013002</v>
      </c>
      <c r="F310" s="1090" t="str">
        <f>INDEX('卡片raw data'!C:C,MATCH($D310,'卡片raw data'!$F:$F,))</f>
        <v>UR</v>
      </c>
      <c r="G310" s="1094" t="s">
        <v>1067</v>
      </c>
      <c r="H310" s="411">
        <f>IFERROR(INDEX(绊状态确认!C:C,MATCH($G310,绊状态确认!$B:$B,)),"")</f>
        <v>101</v>
      </c>
      <c r="I310" s="450" t="str">
        <f>IFERROR(INDEX(绊状态确认!D:D,MATCH($G310,绊状态确认!$B:$B,)),"")</f>
        <v>水</v>
      </c>
      <c r="J310" s="450" t="str">
        <f>IFERROR(INDEX(绊状态确认!E:E,MATCH($G310,绊状态确认!$B:$B,)),"")</f>
        <v>2年级</v>
      </c>
      <c r="K310" s="451" t="str">
        <f>IFERROR(INDEX(绊状态确认!F:F,MATCH($G310,绊状态确认!$B:$B,)),"")</f>
        <v>CYaRon!</v>
      </c>
      <c r="L310" s="1094" t="str">
        <f>INDEX('卡片raw data'!E:E,MATCH($D310,'卡片raw data'!$F:$F,))</f>
        <v>活动卡</v>
      </c>
      <c r="M310" s="415">
        <v>44078</v>
      </c>
      <c r="N310" s="416">
        <v>23</v>
      </c>
      <c r="O310" s="1091" t="str">
        <f>INDEX('卡片raw data'!D:D,MATCH($D310,'卡片raw data'!$F:$F,))</f>
        <v>gd</v>
      </c>
      <c r="P310" s="417">
        <v>5</v>
      </c>
      <c r="Q310" s="1095">
        <f t="shared" si="343"/>
        <v>24969.370395805301</v>
      </c>
      <c r="R310" s="1096">
        <f t="shared" si="344"/>
        <v>0.28999999999999998</v>
      </c>
      <c r="S310" s="1097">
        <f t="shared" si="345"/>
        <v>14574.712010949173</v>
      </c>
      <c r="T310" s="1098">
        <f t="shared" si="346"/>
        <v>0.72799999999999998</v>
      </c>
      <c r="U310" s="1099">
        <f t="shared" si="347"/>
        <v>656.84789462610286</v>
      </c>
      <c r="V310" s="1100">
        <f t="shared" si="348"/>
        <v>77001.531316289256</v>
      </c>
      <c r="W310" s="1101">
        <f t="shared" si="349"/>
        <v>4507.7214871259994</v>
      </c>
      <c r="X310" s="1096">
        <f t="shared" si="350"/>
        <v>5.1999999999999998E-2</v>
      </c>
      <c r="Y310" s="1097">
        <f t="shared" si="351"/>
        <v>2002.5350583425952</v>
      </c>
      <c r="Z310" s="1102">
        <f t="shared" si="352"/>
        <v>24.813162791142858</v>
      </c>
      <c r="AA310" s="1103">
        <f t="shared" si="353"/>
        <v>6510.2565454685946</v>
      </c>
      <c r="AB310" s="1101">
        <f t="shared" si="354"/>
        <v>4507.7214871259994</v>
      </c>
      <c r="AC310" s="1104">
        <f t="shared" si="355"/>
        <v>5.1999999999999998E-2</v>
      </c>
      <c r="AD310" s="1105">
        <f t="shared" si="356"/>
        <v>0</v>
      </c>
      <c r="AE310" s="1128">
        <f t="shared" si="357"/>
        <v>-6.25</v>
      </c>
      <c r="AF310" s="1130">
        <f t="shared" si="358"/>
        <v>8677.3616839103979</v>
      </c>
      <c r="AG310" s="420">
        <f t="shared" si="359"/>
        <v>81855.94189856002</v>
      </c>
      <c r="AH310" s="420">
        <f t="shared" si="360"/>
        <v>9.4332753295667811</v>
      </c>
      <c r="AI310" s="1097">
        <f t="shared" si="361"/>
        <v>109084.1997918617</v>
      </c>
      <c r="AJ310" s="420">
        <f t="shared" si="362"/>
        <v>77001.531316289256</v>
      </c>
      <c r="AK310" s="518">
        <f t="shared" si="363"/>
        <v>32082.668475572442</v>
      </c>
      <c r="AL310" s="1106">
        <f>IF($P310="","N/A",(IF($P310=-1,INDEX('卡片raw data'!S:S,MATCH($D310,'卡片raw data'!$F:$F,)),0)+IF($P310=0,INDEX('卡片raw data'!V:V,MATCH($D310,'卡片raw data'!$F:$F,)),0)+IF($P310=1,INDEX('卡片raw data'!Y:Y,MATCH($D310,'卡片raw data'!$F:$F,)),0)+IF($P310=2,INDEX('卡片raw data'!AB:AB,MATCH($D310,'卡片raw data'!$F:$F,)),0)+IF($P310=3,INDEX('卡片raw data'!AE:AE,MATCH($D310,'卡片raw data'!$F:$F,)),0)+IF($P310=4,INDEX('卡片raw data'!AH:AH,MATCH($D310,'卡片raw data'!$F:$F,)),0)+IF($P310=5,INDEX('卡片raw data'!AK:AK,MATCH($D310,'卡片raw data'!$F:$F,)),0)+INDEX('卡片raw data'!S:S,MATCH($D310,'卡片raw data'!$F:$F,))*(IF($F310="UR",0.04,0.033))*(IF($F310="UR",INDEX(绊状态确认!$S:$S,MATCH($G310,绊状态确认!$B:$B,))/2-40)+IF($F310="SR",INDEX(绊状态确认!$R:$R,MATCH($G310,绊状态确认!$B:$B,))/4-15))+IF($F310="R",INDEX(绊状态确认!$Q:$Q,MATCH($G310,绊状态确认!$B:$B,))/6-40/6)))*(INDEX(绊状态确认!$H:$H,MATCH($G310,绊状态确认!$B:$B,))+INDEX(绊状态确认!J:J,MATCH($G310,绊状态确认!$B:$B,)))</f>
        <v>7066.8170399999999</v>
      </c>
      <c r="AM310" s="1106">
        <f>IF($P310="","N/A",(IF($P310=-1,INDEX('卡片raw data'!T:T,MATCH($D310,'卡片raw data'!$F:$F,)),0)+IF($P310=0,INDEX('卡片raw data'!W:W,MATCH($D310,'卡片raw data'!$F:$F,)),0)+IF($P310=1,INDEX('卡片raw data'!Z:Z,MATCH($D310,'卡片raw data'!$F:$F,)),0)+IF($P310=2,INDEX('卡片raw data'!AC:AC,MATCH($D310,'卡片raw data'!$F:$F,)),0)+IF($P310=3,INDEX('卡片raw data'!AF:AF,MATCH($D310,'卡片raw data'!$F:$F,)),0)+IF($P310=4,INDEX('卡片raw data'!AI:AI,MATCH($D310,'卡片raw data'!$F:$F,)),0)+IF($P310=5,INDEX('卡片raw data'!AL:AL,MATCH($D310,'卡片raw data'!$F:$F,)),0)+INDEX('卡片raw data'!T:T,MATCH($D310,'卡片raw data'!$F:$F,))*(IF($F310="UR",0.04,0.033))*(IF($F310="UR",INDEX(绊状态确认!$S:$S,MATCH($G310,绊状态确认!$B:$B,))/2-40)+IF($F310="SR",INDEX(绊状态确认!$R:$R,MATCH($G310,绊状态确认!$B:$B,))/4-15))+IF($F310="R",INDEX(绊状态确认!$Q:$Q,MATCH($G310,绊状态确认!$B:$B,))/6-40/6)))*(INDEX(绊状态确认!$H:$H,MATCH($G310,绊状态确认!$B:$B,))+INDEX(绊状态确认!K:K,MATCH($G310,绊状态确认!$B:$B,)))</f>
        <v>11959.928159999998</v>
      </c>
      <c r="AN310" s="1106">
        <f>IF($P310="","N/A",(IF($P310=-1,INDEX('卡片raw data'!U:U,MATCH($D310,'卡片raw data'!$F:$F,)),0)+IF($P310=0,INDEX('卡片raw data'!X:X,MATCH($D310,'卡片raw data'!$F:$F,)),0)+IF($P310=1,INDEX('卡片raw data'!AA:AA,MATCH($D310,'卡片raw data'!$F:$F,)),0)+IF($P310=2,INDEX('卡片raw data'!AD:AD,MATCH($D310,'卡片raw data'!$F:$F,)),0)+IF($P310=3,INDEX('卡片raw data'!AG:AG,MATCH($D310,'卡片raw data'!$F:$F,)),0)+IF($P310=4,INDEX('卡片raw data'!AJ:AJ,MATCH($D310,'卡片raw data'!$F:$F,)),0)+IF($P310=5,INDEX('卡片raw data'!AM:AM,MATCH($D310,'卡片raw data'!$F:$F,)),0)+INDEX('卡片raw data'!U:U,MATCH($D310,'卡片raw data'!$F:$F,))*(IF($F310="UR",0.04,0.033))*(IF($F310="UR",INDEX(绊状态确认!$S:$S,MATCH($G310,绊状态确认!$B:$B,))/2-40)+IF($F310="SR",INDEX(绊状态确认!$R:$R,MATCH($G310,绊状态确认!$B:$B,))/4-15))+IF($F310="R",INDEX(绊状态确认!$Q:$Q,MATCH($G310,绊状态确认!$B:$B,))/6-40/6)))*(INDEX(绊状态确认!$H:$H,MATCH($G310,绊状态确认!$B:$B,))+INDEX(绊状态确认!L:L,MATCH($G310,绊状态确认!$B:$B,)))</f>
        <v>8154.8063999999986</v>
      </c>
      <c r="AO310" s="1107">
        <f t="shared" si="364"/>
        <v>1</v>
      </c>
      <c r="AP310" s="1131">
        <f>1+(INDEX(绊状态确认!$T:$T,MATCH($G310,绊状态确认!$B:$B,))+0.2)*$AO310</f>
        <v>1.3</v>
      </c>
      <c r="AQ310" s="1108">
        <f t="shared" si="365"/>
        <v>21800.39473</v>
      </c>
      <c r="AR310" s="1097">
        <f>(AM310*(1+$EX$9)+$EX$35)*(1+(INDEX(绊状态确认!$T:$T,MATCH($G310,绊状态确认!$B:$B,))+0.2)*AO310)*IF(J310=$FF$17,1+$FE$17,1)*IF(I310=$FF$14,1+$FE$14,1)*(1+$FE$15)</f>
        <v>19029.3019384</v>
      </c>
      <c r="AS310" s="1097">
        <f>(AN310*(1+$EX$10)+$EX$36)*(1+(INDEX(绊状态确认!$T:$T,MATCH($G310,绊状态确认!$B:$B,))+0.2)*AO310)*IF(J310=$FF$17,1+$FE$17,1)*IF(I310=$FF$14,1+$FE$14,1)*(1+$FE$15)</f>
        <v>16247.435567999999</v>
      </c>
      <c r="AT310" s="1093">
        <f>IF(AND(INDEX('卡片raw data'!AK:AK,MATCH($D310,'卡片raw data'!$F:$F,))&lt;INDEX('卡片raw data'!AM:AM,MATCH($D310,'卡片raw data'!$F:$F,)),INDEX('卡片raw data'!AL:AL,MATCH($D310,'卡片raw data'!$F:$F,))&lt;INDEX('卡片raw data'!AM:AM,MATCH($D310,'卡片raw data'!$F:$F,))),1,0)</f>
        <v>0</v>
      </c>
      <c r="AU310" s="1098">
        <f>MIN(AT310*0.15+AS310*0.00003+INDEX(绊状态确认!M:M,MATCH($G310,绊状态确认!$B:$B,)),1)</f>
        <v>0.51742306703999996</v>
      </c>
      <c r="AV310" s="1109">
        <f>(INDEX(绊状态确认!$N:$N,MATCH($G310,绊状态确认!$B:$B,))+1.5)*$EW$21</f>
        <v>2.6599999999999997</v>
      </c>
      <c r="AW310" s="1101">
        <f t="shared" si="366"/>
        <v>21046.648908679301</v>
      </c>
      <c r="AX310" s="1097">
        <f t="shared" si="367"/>
        <v>1654.9539672810026</v>
      </c>
      <c r="AY310" s="1110">
        <f t="shared" si="368"/>
        <v>22701.602875960303</v>
      </c>
      <c r="AZ310" s="429">
        <f t="shared" si="369"/>
        <v>16380.293227999999</v>
      </c>
      <c r="BA310" s="431">
        <f t="shared" si="370"/>
        <v>19656.351873599997</v>
      </c>
      <c r="BB310" s="1097">
        <f>(AM310*(1+$FB$9)+$FB$35)*(1+(INDEX(绊状态确认!$T:$T,MATCH($G310,绊状态确认!$B:$B,))+0.2)*AO310)*IF(J310=$FF$17,1+$FE$17,1)*IF(I310=$FF$14,1+$FE$14,1)*(1+$FE$15)</f>
        <v>19029.3019384</v>
      </c>
      <c r="BC310" s="1097">
        <f>(AN310*(1+$FB$10)+$FB$36)*(1+(INDEX(绊状态确认!$T:$T,MATCH($G310,绊状态确认!$B:$B,))+0.2)*AO310)*IF(J310=$FF$17,1+$FE$17,1)*IF(I310=$FF$14,1+$FE$14,1)*(1+$FE$15)</f>
        <v>16247.435567999999</v>
      </c>
      <c r="BD310" s="1104">
        <f>MIN(AT310*0.15+BC310*0.00003+INDEX(绊状态确认!M:M,MATCH($G310,绊状态确认!$B:$B,)),1)</f>
        <v>0.51742306703999996</v>
      </c>
      <c r="BE310" s="432">
        <f>(INDEX(绊状态确认!$N:$N,MATCH($G310,绊状态确认!$B:$B,))+1.5)</f>
        <v>1.9</v>
      </c>
      <c r="BF310" s="1139">
        <f t="array" ref="BF310">SUMPRODUCT(IF(AZ310*AP310*$FI$16:$FI$23*$FA$22&gt;=$FI$24,$FI$24,AZ310*AP310*$FI$16:$FI$23*$FA$22),$FJ$16:$FJ$23)</f>
        <v>32580.403230492004</v>
      </c>
      <c r="BG310" s="1125">
        <f t="array" ref="BG310">SUMPRODUCT(IF(BE310*AZ310*AP310*$FI$16:$FI$23*$FA$22&gt;=$FI$24,$FI$24,BE310*AZ310*AP310*$FI$16:$FI$23*$FA$22),$FJ$16:$FJ$23)</f>
        <v>57443.441864774795</v>
      </c>
      <c r="BH310" s="1110">
        <f t="shared" si="371"/>
        <v>15148.370978858873</v>
      </c>
      <c r="BI310" s="1111">
        <f>IF(O310="vo",$EW$26/$EW$24*0.05,0)+IF(O310="sk",-$EW$26/$EW$24*(0.05-INDEX(绊状态确认!W:W,MATCH($G310,绊状态确认!$B:$B,)))+0.05*$EW$28,0)+IF(O310="sp",0.05*$EW$32*$EW$30*(1-$EW$33)-(0.05-INDEX(绊状态确认!V:V,MATCH($G310,绊状态确认!$B:$B,)))*$EW$28,0)+IF(O310="gd",-(0.05-INDEX(绊状态确认!X:X,MATCH($G310,绊状态确认!$B:$B,)))*$EW$32*$EW$30*(1-$EW$33),0)</f>
        <v>-585.00000000000011</v>
      </c>
      <c r="BJ310" s="1097">
        <f>IF(O310="vo",0.05*(1-$FI$26)*$FA$24,0)+IF(O310="sk",-(0.05-INDEX(绊状态确认!W:W,MATCH($G310,绊状态确认!$B:$B,)))*(1-$FI$26)*$FA$24+0.05*$FA$26,0)+IF(O310="sp",0.05*$FA$32*$FA$27*(1-$FA$33)/$FA$30+0.05*$FA$29/$FA$69*$FA$27*(1-$FA$33)-(0.05-INDEX(绊状态确认!V:V,MATCH($G310,绊状态确认!$B:$B,)))*$FA$26,0)+IF(O310="gd",-(0.05-INDEX(绊状态确认!X:X,MATCH($G310,绊状态确认!$B:$B,)))*$FA$32*$FA$27*(1-$FA$33)/$FA$30-(0.05-INDEX(绊状态确认!X:X,MATCH($G310,绊状态确认!$B:$B,)))*$FA$29/$FA$69*$FA$27*(1-$FA$33),0)</f>
        <v>-795.00000000000011</v>
      </c>
      <c r="BK310" s="1110">
        <f>IF(O310="vo",$EW$26/$EW$24*0.05+$EW$26*(-HP($EW$62,$EW$65,$EW$64)+HP($EW$62,$EW$65,(1.05-INDEX(绊状态确认!U:U,MATCH($G310,绊状态确认!$B:$B,)))*$EW$64)),0)+IF(O310="sk",-$EW$26/$EW$24*(0.05-INDEX(绊状态确认!W:W,MATCH($G310,绊状态确认!$B:$B,)))+0.05*$EW$29,0)+IF(O310="sp",0.05*$EW$32*$EW$30*(1-$EW$33)-(0.05-INDEX(绊状态确认!V:V,MATCH($G310,绊状态确认!$B:$B,)))*$EW$29,0)+IF(O310="gd",-(0.05-INDEX(绊状态确认!X:X,MATCH($G310,绊状态确认!$B:$B,)))*$EW$32*$EW$30*(1-$EW$33)+$EW$26*(-HP($EW$62,$EW$65,$EW$64)+HP($EW$62,$EW$65,0.95*$EW$64)),0)</f>
        <v>1009.5947725176144</v>
      </c>
      <c r="BL310" s="1111">
        <f t="shared" si="372"/>
        <v>0</v>
      </c>
      <c r="BM310" s="1110">
        <f t="shared" si="373"/>
        <v>0</v>
      </c>
      <c r="BN310" s="1113">
        <f t="shared" si="374"/>
        <v>3</v>
      </c>
      <c r="BO310" s="1097">
        <f t="shared" si="375"/>
        <v>4507.7214871259994</v>
      </c>
      <c r="BP310" s="1100">
        <f t="shared" si="376"/>
        <v>221.34103209030098</v>
      </c>
      <c r="BQ310" s="1113" t="s">
        <v>1068</v>
      </c>
      <c r="BR310" s="1124" t="s">
        <v>1057</v>
      </c>
      <c r="BS310" s="1098">
        <f>IF($P310="","N/A",IF($P310=-1,INDEX('卡片raw data'!AX:AX,MATCH($D310,'卡片raw data'!$F:$F,)),0)+IF($L310="party卡",IF($P310=5,INDEX('卡片raw data'!BD:BD,MATCH($D310,'卡片raw data'!$F:$F,)),IF($P310&gt;=3,INDEX('卡片raw data'!BC:BC,MATCH($D310,'卡片raw data'!$F:$F,)),INDEX('卡片raw data'!BB:BB,MATCH($D310,'卡片raw data'!$F:$F,)))),IF(OR(AND($F310="UR",$P310=0),AND($F310="SR",$P310&gt;=0,$P310&lt;=2),AND($F310="R",$P310&gt;=0,$P310&lt;4)),INDEX('卡片raw data'!AZ:AZ,MATCH($D310,'卡片raw data'!$F:$F,)),0)+IF(OR(AND($F310="UR",$P310&gt;=1,$P310&lt;=4),AND($F310="SR",$P310&lt;=4,$P310&gt;=3),AND($F310="R",$P310=4)),INDEX('卡片raw data'!BA:BA,MATCH($D310,'卡片raw data'!$F:$F,)),0)+IF($P310=5,INDEX('卡片raw data'!BB:BB,MATCH($D310,'卡片raw data'!$F:$F,)),0)))</f>
        <v>4.2000000000000003E-2</v>
      </c>
      <c r="BT310" s="1101">
        <f t="shared" si="377"/>
        <v>0</v>
      </c>
      <c r="BU310" s="1097">
        <f t="shared" si="378"/>
        <v>0</v>
      </c>
      <c r="BV310" s="1097">
        <f t="shared" si="379"/>
        <v>0</v>
      </c>
      <c r="BW310" s="1112">
        <f t="shared" si="380"/>
        <v>4.4246249999999989</v>
      </c>
      <c r="BX310" s="1100">
        <f t="shared" si="381"/>
        <v>347.58109106159276</v>
      </c>
      <c r="BY310" s="1110">
        <f t="shared" si="382"/>
        <v>347.58109106159276</v>
      </c>
      <c r="BZ310" s="1107" t="s">
        <v>569</v>
      </c>
      <c r="CA310" s="1124"/>
      <c r="CB310" s="1098">
        <f>IF($P310="","N/A",IF($P310=-1,INDEX('卡片raw data'!BE:BE,MATCH($D310,'卡片raw data'!$F:$F,)),0)+IF($L310="party卡",IF($P310=5,INDEX('卡片raw data'!BK:BK,MATCH($D310,'卡片raw data'!$F:$F,)),IF($P310&gt;=3,INDEX('卡片raw data'!BJ:BJ,MATCH($D310,'卡片raw data'!$F:$F,)),INDEX('卡片raw data'!BI:BI,MATCH($D310,'卡片raw data'!$F:$F,)))),IF(OR(AND($F310="UR",$P310=0),AND($F310="SR",$P310&gt;=0,$P310&lt;=2),AND($F310="R",$P310&gt;=0,$P310&lt;4)),INDEX('卡片raw data'!BG:BG,MATCH($D310,'卡片raw data'!$F:$F,)),0)+IF(OR(AND($F310="UR",$P310&gt;=1,$P310&lt;=4),AND($F310="SR",$P310&lt;=4,$P310&gt;=3),AND($F310="R",$P310=4)),INDEX('卡片raw data'!BH:BH,MATCH($D310,'卡片raw data'!$F:$F,)),0)+IF($P310=5,INDEX('卡片raw data'!BI:BI,MATCH($D310,'卡片raw data'!$F:$F,)),0)))</f>
        <v>0</v>
      </c>
      <c r="CC310" s="1101">
        <f t="shared" si="383"/>
        <v>0</v>
      </c>
      <c r="CD310" s="1097">
        <f>IF(BZ310="ap",CB310*(1-$FI$26)*$FB$5/$FB$11*(+IF(CA310="全员",$FA$24,0)+IF(CA310="同作战",$FA$24,0)+IF(CA310="仲间",$FA$24*2/3,0)+IF(CA310="同属性",$FA$24*$FA$37/3,0)+IF(CA310="同年级",$FA$24*$FA$40/3,0)+IF(CA310="同学校",$FA$24*$FA$43/3,0)+IF(CA310="同小队",$FA$24*$FA$46/3,0)+IF(CA310="同type",$FA$24*INDEX($FB$49:$FB$52,MATCH(X310,$FA$49:$FA$52,))/3,0)+IF(CA310="自身",#REF!/3,0)),0)+IF(BZ310="te",CB310*(1-$FI$27)*($FA$20-1)*$FB$7/$FB$13*(+IF(CA310="全员",$FA$19*$FA$24/(1+($FA$20-1)*$FA$19),0)+IF(CA310="同作战",$FA$19*$FA$24/(1+($FA$20-1)*$FA$19),0)+IF(CA310="仲间",$FA$19*$FA$24*2/3/(1+($FA$20-1)*$FA$19),0)+IF(CA310="同属性",$FA$19*$FA$24*$FA$37/3/(1+($FA$20-1)*$FA$19),0)+IF(CA310="同年级",$FA$19*$FA$24*$FA$40/3/(1+($FA$20-1)*$FA$19),0)+IF(CA310="同学校",$FA$19*$FA$24*$FA$43/3/(1+($FA$20-1)*$FA$19),0)+IF(CA310="同小队",$FA$19*$FA$24*$FA$46/3/(1+($FA$20-1)*$FA$19),0)+IF(CA310="同type",$FA$19*$FA$24*INDEX($FB$49:$FB$52,MATCH(X310,$FA$49:$FA$52,))/3/(1+($FA$20-1)*$FA$19),0)+IF(CA310="自身",$FA$19*#REF!/3/(1+(BH310-1)*$BD310),0)),0)</f>
        <v>0</v>
      </c>
      <c r="CE310" s="1097">
        <f t="shared" si="384"/>
        <v>0</v>
      </c>
      <c r="CF310" s="1112">
        <f t="shared" si="385"/>
        <v>0</v>
      </c>
      <c r="CG310" s="1100">
        <f t="shared" si="386"/>
        <v>0</v>
      </c>
      <c r="CH310" s="1110">
        <f t="shared" si="387"/>
        <v>0</v>
      </c>
      <c r="CI310" s="1113" t="s">
        <v>170</v>
      </c>
      <c r="CJ310" s="1114">
        <v>1</v>
      </c>
      <c r="CK310" s="1115" t="s">
        <v>1069</v>
      </c>
      <c r="CL310" s="1115" t="s">
        <v>1944</v>
      </c>
      <c r="CM310" s="1119">
        <v>0.6</v>
      </c>
      <c r="CN310" s="1115"/>
      <c r="CO310" s="1092">
        <v>1</v>
      </c>
      <c r="CP310" s="1116">
        <f t="shared" si="388"/>
        <v>40.777075582285718</v>
      </c>
      <c r="CQ310" s="1116">
        <f t="shared" si="389"/>
        <v>63.431006461333332</v>
      </c>
      <c r="CR310" s="1116">
        <f t="shared" si="390"/>
        <v>40.777075582285718</v>
      </c>
      <c r="CS310" s="1118">
        <f t="shared" si="391"/>
        <v>0</v>
      </c>
      <c r="CT310" s="1109">
        <f t="shared" si="392"/>
        <v>0</v>
      </c>
      <c r="CU310" s="1101">
        <f t="shared" si="393"/>
        <v>0</v>
      </c>
      <c r="CV310" s="1108">
        <f t="shared" si="394"/>
        <v>0</v>
      </c>
      <c r="CW310" s="1097">
        <f t="shared" si="395"/>
        <v>0</v>
      </c>
      <c r="CX310" s="1097">
        <f t="shared" si="396"/>
        <v>0</v>
      </c>
      <c r="CY310" s="1110">
        <f t="shared" si="397"/>
        <v>0</v>
      </c>
      <c r="CZ310" s="437"/>
      <c r="DA310" s="438"/>
      <c r="DB310" s="439" t="s">
        <v>569</v>
      </c>
      <c r="DC310" s="439"/>
      <c r="DD310" s="443"/>
      <c r="DE310" s="411"/>
      <c r="DF310" s="411"/>
      <c r="DG310" s="1116">
        <f t="shared" si="398"/>
        <v>0</v>
      </c>
      <c r="DH310" s="1116">
        <f t="shared" si="399"/>
        <v>0</v>
      </c>
      <c r="DI310" s="1116">
        <f t="shared" si="400"/>
        <v>0</v>
      </c>
      <c r="DJ310" s="442">
        <f t="shared" si="401"/>
        <v>0</v>
      </c>
      <c r="DK310" s="1109">
        <f t="shared" si="402"/>
        <v>0</v>
      </c>
      <c r="DL310" s="1101">
        <f t="shared" si="403"/>
        <v>0</v>
      </c>
      <c r="DM310" s="1097">
        <f t="shared" si="404"/>
        <v>0</v>
      </c>
      <c r="DN310" s="1097">
        <f t="shared" si="405"/>
        <v>0</v>
      </c>
      <c r="DO310" s="1097">
        <f t="shared" si="406"/>
        <v>0</v>
      </c>
      <c r="DP310" s="1110">
        <f t="shared" si="407"/>
        <v>0</v>
      </c>
      <c r="DQ310" s="1113" t="s">
        <v>636</v>
      </c>
      <c r="DR310" s="1120">
        <f t="shared" si="408"/>
        <v>0.33</v>
      </c>
      <c r="DS310" s="1124"/>
      <c r="DT310" s="1093" t="s">
        <v>1068</v>
      </c>
      <c r="DU310" s="1093"/>
      <c r="DV310" s="1098">
        <f>IF($P310="","N/A",IF(P310=-1,INDEX('卡片raw data'!AN:AN,MATCH(D310,'卡片raw data'!$F:$F,)),0)+IF(AND(L310&lt;&gt;"party卡",P310&lt;=2,P310&gt;=0),INDEX('卡片raw data'!AP:AP,MATCH(D310,'卡片raw data'!$F:$F,)),0)+IF(OR(AND(L310="party卡",P310&lt;=1),AND(P310&lt;=4,L310&lt;&gt;"party卡",P310&gt;=3)),INDEX('卡片raw data'!AQ:AQ,MATCH(D310,'卡片raw data'!$F:$F,)),0)+IF(OR(P310=5,AND(L310="party卡",P310&gt;=2)),INDEX('卡片raw data'!AR:AR,MATCH(D310,'卡片raw data'!$F:$F,)),0))</f>
        <v>0.28999999999999998</v>
      </c>
      <c r="DW310" s="1098">
        <f t="shared" si="409"/>
        <v>0.33</v>
      </c>
      <c r="DX310" s="1098">
        <f t="shared" si="410"/>
        <v>0.33</v>
      </c>
      <c r="DY310" s="1125">
        <f t="shared" si="411"/>
        <v>607.03473183495998</v>
      </c>
      <c r="DZ310" s="1125">
        <f t="shared" si="412"/>
        <v>525.08504303724033</v>
      </c>
      <c r="EA310" s="1098">
        <f t="shared" si="413"/>
        <v>0</v>
      </c>
      <c r="EB310" s="1121">
        <f t="shared" si="414"/>
        <v>0</v>
      </c>
      <c r="EC310" s="1101">
        <f t="shared" si="415"/>
        <v>0</v>
      </c>
      <c r="ED310" s="1097">
        <f t="shared" si="416"/>
        <v>0</v>
      </c>
      <c r="EE310" s="1110">
        <f t="shared" si="417"/>
        <v>48435.03108962375</v>
      </c>
      <c r="EF310" s="1092" t="s">
        <v>569</v>
      </c>
      <c r="EG310" s="1120">
        <f t="shared" si="418"/>
        <v>0.33</v>
      </c>
      <c r="EH310" s="1124"/>
      <c r="EI310" s="1093"/>
      <c r="EJ310" s="1093"/>
      <c r="EK310" s="1097">
        <f>IF($P310="","N/A",IF(P310=-1,INDEX('卡片raw data'!AS:AS,MATCH(D310,'卡片raw data'!$F:$F,)),0)+IF(AND(L310&lt;&gt;"party卡",P310&lt;=2,P310&gt;=0),INDEX('卡片raw data'!AU:AU,MATCH(D310,'卡片raw data'!$F:$F,)),0)+IF(OR(AND(L310="party卡",P310&lt;=1),AND(P310&lt;=4,L310&lt;&gt;"party卡",P310&gt;=3)),INDEX('卡片raw data'!AV:AV,MATCH(D310,'卡片raw data'!$F:$F,)),0)+IF(OR(P310=5,AND(L310="party卡",P310&gt;=2)),INDEX('卡片raw data'!AW:AW,MATCH(D310,'卡片raw data'!$F:$F,)),0))</f>
        <v>0</v>
      </c>
      <c r="EL310" s="1098">
        <f t="shared" si="419"/>
        <v>0.33</v>
      </c>
      <c r="EM310" s="1098">
        <f t="shared" si="420"/>
        <v>0.33</v>
      </c>
      <c r="EN310" s="1125">
        <f t="shared" si="421"/>
        <v>0</v>
      </c>
      <c r="EO310" s="1125">
        <f t="shared" si="422"/>
        <v>0</v>
      </c>
      <c r="EP310" s="1098">
        <f t="shared" si="423"/>
        <v>0</v>
      </c>
      <c r="EQ310" s="1121">
        <f t="shared" si="424"/>
        <v>0</v>
      </c>
      <c r="ER310" s="1101">
        <f t="shared" si="425"/>
        <v>0</v>
      </c>
      <c r="ES310" s="1097">
        <f t="shared" si="426"/>
        <v>0</v>
      </c>
      <c r="ET310" s="1122">
        <f t="shared" si="427"/>
        <v>0</v>
      </c>
    </row>
    <row r="311" spans="2:150" ht="16.5" customHeight="1">
      <c r="B311" s="1123" t="str">
        <f>INDEX('卡片raw data'!B:B,MATCH($D311,'卡片raw data'!$F:$F,))</f>
        <v>不良菜</v>
      </c>
      <c r="C311" s="449" t="s">
        <v>1070</v>
      </c>
      <c r="D311" s="408">
        <v>308</v>
      </c>
      <c r="E311" s="1090">
        <v>402073002</v>
      </c>
      <c r="F311" s="1090" t="str">
        <f>INDEX('卡片raw data'!C:C,MATCH($D311,'卡片raw data'!$F:$F,))</f>
        <v>UR</v>
      </c>
      <c r="G311" s="1094" t="s">
        <v>1071</v>
      </c>
      <c r="H311" s="411">
        <f>IFERROR(INDEX(绊状态确认!C:C,MATCH($G311,绊状态确认!$B:$B,)),"")</f>
        <v>207</v>
      </c>
      <c r="I311" s="450" t="str">
        <f>IFERROR(INDEX(绊状态确认!D:D,MATCH($G311,绊状态确认!$B:$B,)),"")</f>
        <v>虹</v>
      </c>
      <c r="J311" s="450" t="str">
        <f>IFERROR(INDEX(绊状态确认!E:E,MATCH($G311,绊状态确认!$B:$B,)),"")</f>
        <v>2年级</v>
      </c>
      <c r="K311" s="451" t="str">
        <f>IFERROR(INDEX(绊状态确认!F:F,MATCH($G311,绊状态确认!$B:$B,)),"")</f>
        <v>A·ZU·NA</v>
      </c>
      <c r="L311" s="1094" t="str">
        <f>INDEX('卡片raw data'!E:E,MATCH($D311,'卡片raw data'!$F:$F,))</f>
        <v>卡池卡</v>
      </c>
      <c r="M311" s="415">
        <v>44078</v>
      </c>
      <c r="N311" s="416">
        <v>23</v>
      </c>
      <c r="O311" s="1091" t="str">
        <f>INDEX('卡片raw data'!D:D,MATCH($D311,'卡片raw data'!$F:$F,))</f>
        <v>sk</v>
      </c>
      <c r="P311" s="417">
        <v>5</v>
      </c>
      <c r="Q311" s="1095">
        <f t="shared" si="343"/>
        <v>42784.195644108506</v>
      </c>
      <c r="R311" s="1096">
        <f t="shared" si="344"/>
        <v>0.497</v>
      </c>
      <c r="S311" s="1097">
        <f t="shared" si="345"/>
        <v>19981.233385137239</v>
      </c>
      <c r="T311" s="1098">
        <f t="shared" si="346"/>
        <v>0.999</v>
      </c>
      <c r="U311" s="1099">
        <f t="shared" si="347"/>
        <v>898.72732791058297</v>
      </c>
      <c r="V311" s="1100">
        <f t="shared" si="348"/>
        <v>94624.210117648268</v>
      </c>
      <c r="W311" s="1101">
        <f t="shared" si="349"/>
        <v>5809.9521389623987</v>
      </c>
      <c r="X311" s="1096">
        <f t="shared" si="350"/>
        <v>6.7000000000000004E-2</v>
      </c>
      <c r="Y311" s="1097">
        <f t="shared" si="351"/>
        <v>1404.9833839160119</v>
      </c>
      <c r="Z311" s="1102">
        <f t="shared" si="352"/>
        <v>17.416243817142856</v>
      </c>
      <c r="AA311" s="1103">
        <f t="shared" si="353"/>
        <v>7214.9355228784107</v>
      </c>
      <c r="AB311" s="1101">
        <f t="shared" si="354"/>
        <v>11191.670736647829</v>
      </c>
      <c r="AC311" s="1104">
        <f t="shared" si="355"/>
        <v>0.13</v>
      </c>
      <c r="AD311" s="1105">
        <f t="shared" si="356"/>
        <v>2.1769318181818181E-2</v>
      </c>
      <c r="AE311" s="1128">
        <f t="shared" si="357"/>
        <v>11.953757704745847</v>
      </c>
      <c r="AF311" s="1130">
        <f t="shared" si="358"/>
        <v>10682.558595072</v>
      </c>
      <c r="AG311" s="420">
        <f t="shared" si="359"/>
        <v>100177.314104</v>
      </c>
      <c r="AH311" s="420">
        <f t="shared" si="360"/>
        <v>9.3776517313195988</v>
      </c>
      <c r="AI311" s="1097">
        <f t="shared" si="361"/>
        <v>115021.56358145429</v>
      </c>
      <c r="AJ311" s="420">
        <f t="shared" si="362"/>
        <v>94624.210117648268</v>
      </c>
      <c r="AK311" s="518">
        <f t="shared" si="363"/>
        <v>20397.353463806023</v>
      </c>
      <c r="AL311" s="1106">
        <f>IF($P311="","N/A",(IF($P311=-1,INDEX('卡片raw data'!S:S,MATCH($D311,'卡片raw data'!$F:$F,)),0)+IF($P311=0,INDEX('卡片raw data'!V:V,MATCH($D311,'卡片raw data'!$F:$F,)),0)+IF($P311=1,INDEX('卡片raw data'!Y:Y,MATCH($D311,'卡片raw data'!$F:$F,)),0)+IF($P311=2,INDEX('卡片raw data'!AB:AB,MATCH($D311,'卡片raw data'!$F:$F,)),0)+IF($P311=3,INDEX('卡片raw data'!AE:AE,MATCH($D311,'卡片raw data'!$F:$F,)),0)+IF($P311=4,INDEX('卡片raw data'!AH:AH,MATCH($D311,'卡片raw data'!$F:$F,)),0)+IF($P311=5,INDEX('卡片raw data'!AK:AK,MATCH($D311,'卡片raw data'!$F:$F,)),0)+INDEX('卡片raw data'!S:S,MATCH($D311,'卡片raw data'!$F:$F,))*(IF($F311="UR",0.04,0.033))*(IF($F311="UR",INDEX(绊状态确认!$S:$S,MATCH($G311,绊状态确认!$B:$B,))/2-40)+IF($F311="SR",INDEX(绊状态确认!$R:$R,MATCH($G311,绊状态确认!$B:$B,))/4-15))+IF($F311="R",INDEX(绊状态确认!$Q:$Q,MATCH($G311,绊状态确认!$B:$B,))/6-40/6)))*(INDEX(绊状态确认!$H:$H,MATCH($G311,绊状态确认!$B:$B,))+INDEX(绊状态确认!J:J,MATCH($G311,绊状态确认!$B:$B,)))</f>
        <v>9927.5903999999991</v>
      </c>
      <c r="AM311" s="1106">
        <f>IF($P311="","N/A",(IF($P311=-1,INDEX('卡片raw data'!T:T,MATCH($D311,'卡片raw data'!$F:$F,)),0)+IF($P311=0,INDEX('卡片raw data'!W:W,MATCH($D311,'卡片raw data'!$F:$F,)),0)+IF($P311=1,INDEX('卡片raw data'!Z:Z,MATCH($D311,'卡片raw data'!$F:$F,)),0)+IF($P311=2,INDEX('卡片raw data'!AC:AC,MATCH($D311,'卡片raw data'!$F:$F,)),0)+IF($P311=3,INDEX('卡片raw data'!AF:AF,MATCH($D311,'卡片raw data'!$F:$F,)),0)+IF($P311=4,INDEX('卡片raw data'!AI:AI,MATCH($D311,'卡片raw data'!$F:$F,)),0)+IF($P311=5,INDEX('卡片raw data'!AL:AL,MATCH($D311,'卡片raw data'!$F:$F,)),0)+INDEX('卡片raw data'!T:T,MATCH($D311,'卡片raw data'!$F:$F,))*(IF($F311="UR",0.04,0.033))*(IF($F311="UR",INDEX(绊状态确认!$S:$S,MATCH($G311,绊状态确认!$B:$B,))/2-40)+IF($F311="SR",INDEX(绊状态确认!$R:$R,MATCH($G311,绊状态确认!$B:$B,))/4-15))+IF($F311="R",INDEX(绊状态确认!$Q:$Q,MATCH($G311,绊状态确认!$B:$B,))/6-40/6)))*(INDEX(绊状态确认!$H:$H,MATCH($G311,绊状态确认!$B:$B,))+INDEX(绊状态确认!K:K,MATCH($G311,绊状态确认!$B:$B,)))</f>
        <v>9927.5903999999991</v>
      </c>
      <c r="AN311" s="1106">
        <f>IF($P311="","N/A",(IF($P311=-1,INDEX('卡片raw data'!U:U,MATCH($D311,'卡片raw data'!$F:$F,)),0)+IF($P311=0,INDEX('卡片raw data'!X:X,MATCH($D311,'卡片raw data'!$F:$F,)),0)+IF($P311=1,INDEX('卡片raw data'!AA:AA,MATCH($D311,'卡片raw data'!$F:$F,)),0)+IF($P311=2,INDEX('卡片raw data'!AD:AD,MATCH($D311,'卡片raw data'!$F:$F,)),0)+IF($P311=3,INDEX('卡片raw data'!AG:AG,MATCH($D311,'卡片raw data'!$F:$F,)),0)+IF($P311=4,INDEX('卡片raw data'!AJ:AJ,MATCH($D311,'卡片raw data'!$F:$F,)),0)+IF($P311=5,INDEX('卡片raw data'!AM:AM,MATCH($D311,'卡片raw data'!$F:$F,)),0)+INDEX('卡片raw data'!U:U,MATCH($D311,'卡片raw data'!$F:$F,))*(IF($F311="UR",0.04,0.033))*(IF($F311="UR",INDEX(绊状态确认!$S:$S,MATCH($G311,绊状态确认!$B:$B,))/2-40)+IF($F311="SR",INDEX(绊状态确认!$R:$R,MATCH($G311,绊状态确认!$B:$B,))/4-15))+IF($F311="R",INDEX(绊状态确认!$Q:$Q,MATCH($G311,绊状态确认!$B:$B,))/6-40/6)))*(INDEX(绊状态确认!$H:$H,MATCH($G311,绊状态确认!$B:$B,))+INDEX(绊状态确认!L:L,MATCH($G311,绊状态确认!$B:$B,)))</f>
        <v>13236.787199999999</v>
      </c>
      <c r="AO311" s="1107">
        <f t="shared" si="364"/>
        <v>1</v>
      </c>
      <c r="AP311" s="1131">
        <f>1+(INDEX(绊状态确认!$T:$T,MATCH($G311,绊状态确认!$B:$B,))+0.2)*$AO311</f>
        <v>1.3</v>
      </c>
      <c r="AQ311" s="1108">
        <f t="shared" si="365"/>
        <v>29309.924800000001</v>
      </c>
      <c r="AR311" s="1097">
        <f>(AM311*(1+$EX$9)+$EX$35)*(1+(INDEX(绊状态确认!$T:$T,MATCH($G311,绊状态确认!$B:$B,))+0.2)*AO311)*IF(J311=$FF$17,1+$FE$17,1)*IF(I311=$FF$14,1+$FE$14,1)*(1+$FE$15)</f>
        <v>16255.160895999999</v>
      </c>
      <c r="AS311" s="1097">
        <f>(AN311*(1+$EX$10)+$EX$36)*(1+(INDEX(绊状态确认!$T:$T,MATCH($G311,绊状态确认!$B:$B,))+0.2)*AO311)*IF(J311=$FF$17,1+$FE$17,1)*IF(I311=$FF$14,1+$FE$14,1)*(1+$FE$15)</f>
        <v>23844.996863999997</v>
      </c>
      <c r="AT311" s="1093">
        <f>IF(AND(INDEX('卡片raw data'!AK:AK,MATCH($D311,'卡片raw data'!$F:$F,))&lt;INDEX('卡片raw data'!AM:AM,MATCH($D311,'卡片raw data'!$F:$F,)),INDEX('卡片raw data'!AL:AL,MATCH($D311,'卡片raw data'!$F:$F,))&lt;INDEX('卡片raw data'!AM:AM,MATCH($D311,'卡片raw data'!$F:$F,))),1,0)</f>
        <v>1</v>
      </c>
      <c r="AU311" s="1098">
        <f>MIN(AT311*0.15+AS311*0.00003+INDEX(绊状态确认!M:M,MATCH($G311,绊状态确认!$B:$B,)),1)</f>
        <v>0.89534990591999997</v>
      </c>
      <c r="AV311" s="1109">
        <f>(INDEX(绊状态确认!$N:$N,MATCH($G311,绊状态确认!$B:$B,))+1.5)*$EW$21</f>
        <v>2.6599999999999997</v>
      </c>
      <c r="AW311" s="1101">
        <f t="shared" si="366"/>
        <v>37846.197542430615</v>
      </c>
      <c r="AX311" s="1097">
        <f t="shared" si="367"/>
        <v>1404.9833839160119</v>
      </c>
      <c r="AY311" s="1110">
        <f t="shared" si="368"/>
        <v>39251.180926346628</v>
      </c>
      <c r="AZ311" s="429">
        <f t="shared" si="369"/>
        <v>21958.80128</v>
      </c>
      <c r="BA311" s="431">
        <f t="shared" si="370"/>
        <v>26350.561535999997</v>
      </c>
      <c r="BB311" s="1097">
        <f>(AM311*(1+$FB$9)+$FB$35)*(1+(INDEX(绊状态确认!$T:$T,MATCH($G311,绊状态确认!$B:$B,))+0.2)*AO311)*IF(J311=$FF$17,1+$FE$17,1)*IF(I311=$FF$14,1+$FE$14,1)*(1+$FE$15)</f>
        <v>16255.160895999999</v>
      </c>
      <c r="BC311" s="1097">
        <f>(AN311*(1+$FB$10)+$FB$36)*(1+(INDEX(绊状态确认!$T:$T,MATCH($G311,绊状态确认!$B:$B,))+0.2)*AO311)*IF(J311=$FF$17,1+$FE$17,1)*IF(I311=$FF$14,1+$FE$14,1)*(1+$FE$15)</f>
        <v>23844.996863999997</v>
      </c>
      <c r="BD311" s="1104">
        <f>MIN(AT311*0.15+BC311*0.00003+INDEX(绊状态确认!M:M,MATCH($G311,绊状态确认!$B:$B,)),1)</f>
        <v>0.89534990591999997</v>
      </c>
      <c r="BE311" s="432">
        <f>(INDEX(绊状态确认!$N:$N,MATCH($G311,绊状态确认!$B:$B,))+1.5)</f>
        <v>1.9</v>
      </c>
      <c r="BF311" s="1139">
        <f t="array" ref="BF311">SUMPRODUCT(IF(AZ311*AP311*$FI$16:$FI$23*$FA$22&gt;=$FI$24,$FI$24,AZ311*AP311*$FI$16:$FI$23*$FA$22),$FJ$16:$FJ$23)</f>
        <v>43676.055745919999</v>
      </c>
      <c r="BG311" s="1125">
        <f t="array" ref="BG311">SUMPRODUCT(IF(BE311*AZ311*AP311*$FI$16:$FI$23*$FA$22&gt;=$FI$24,$FI$24,BE311*AZ311*AP311*$FI$16:$FI$23*$FA$22),$FJ$16:$FJ$23)</f>
        <v>60000</v>
      </c>
      <c r="BH311" s="1110">
        <f t="shared" si="371"/>
        <v>19430.565899351284</v>
      </c>
      <c r="BI311" s="1111">
        <f>IF(O311="vo",$EW$26/$EW$24*0.05,0)+IF(O311="sk",-$EW$26/$EW$24*(0.05-INDEX(绊状态确认!W:W,MATCH($G311,绊状态确认!$B:$B,)))+0.05*$EW$28,0)+IF(O311="sp",0.05*$EW$32*$EW$30*(1-$EW$33)-(0.05-INDEX(绊状态确认!V:V,MATCH($G311,绊状态确认!$B:$B,)))*$EW$28,0)+IF(O311="gd",-(0.05-INDEX(绊状态确认!X:X,MATCH($G311,绊状态确认!$B:$B,)))*$EW$32*$EW$30*(1-$EW$33),0)</f>
        <v>-6253.6726349699375</v>
      </c>
      <c r="BJ311" s="1097">
        <f>IF(O311="vo",0.05*(1-$FI$26)*$FA$24,0)+IF(O311="sk",-(0.05-INDEX(绊状态确认!W:W,MATCH($G311,绊状态确认!$B:$B,)))*(1-$FI$26)*$FA$24+0.05*$FA$26,0)+IF(O311="sp",0.05*$FA$32*$FA$27*(1-$FA$33)/$FA$30+0.05*$FA$29/$FA$69*$FA$27*(1-$FA$33)-(0.05-INDEX(绊状态确认!V:V,MATCH($G311,绊状态确认!$B:$B,)))*$FA$26,0)+IF(O311="gd",-(0.05-INDEX(绊状态确认!X:X,MATCH($G311,绊状态确认!$B:$B,)))*$FA$32*$FA$27*(1-$FA$33)/$FA$30-(0.05-INDEX(绊状态确认!X:X,MATCH($G311,绊状态确认!$B:$B,)))*$FA$29/$FA$69*$FA$27*(1-$FA$33),0)</f>
        <v>20.459096812499922</v>
      </c>
      <c r="BK311" s="1110">
        <f>IF(O311="vo",$EW$26/$EW$24*0.05+$EW$26*(-HP($EW$62,$EW$65,$EW$64)+HP($EW$62,$EW$65,(1.05-INDEX(绊状态确认!U:U,MATCH($G311,绊状态确认!$B:$B,)))*$EW$64)),0)+IF(O311="sk",-$EW$26/$EW$24*(0.05-INDEX(绊状态确认!W:W,MATCH($G311,绊状态确认!$B:$B,)))+0.05*$EW$29,0)+IF(O311="sp",0.05*$EW$32*$EW$30*(1-$EW$33)-(0.05-INDEX(绊状态确认!V:V,MATCH($G311,绊状态确认!$B:$B,)))*$EW$29,0)+IF(O311="gd",-(0.05-INDEX(绊状态确认!X:X,MATCH($G311,绊状态确认!$B:$B,)))*$EW$32*$EW$30*(1-$EW$33)+$EW$26*(-HP($EW$62,$EW$65,$EW$64)+HP($EW$62,$EW$65,0.95*$EW$64)),0)</f>
        <v>-4253.6726349699375</v>
      </c>
      <c r="BL311" s="1111">
        <f t="shared" si="372"/>
        <v>0</v>
      </c>
      <c r="BM311" s="1110">
        <f t="shared" si="373"/>
        <v>0</v>
      </c>
      <c r="BN311" s="1113">
        <f t="shared" si="374"/>
        <v>3</v>
      </c>
      <c r="BO311" s="1097">
        <f t="shared" si="375"/>
        <v>4507.7214871259994</v>
      </c>
      <c r="BP311" s="1100">
        <f t="shared" si="376"/>
        <v>221.34103209030098</v>
      </c>
      <c r="BQ311" s="1113" t="s">
        <v>1072</v>
      </c>
      <c r="BR311" s="1124" t="s">
        <v>1073</v>
      </c>
      <c r="BS311" s="1098">
        <f>IF($P311="","N/A",IF($P311=-1,INDEX('卡片raw data'!AX:AX,MATCH($D311,'卡片raw data'!$F:$F,)),0)+IF($L311="party卡",IF($P311=5,INDEX('卡片raw data'!BD:BD,MATCH($D311,'卡片raw data'!$F:$F,)),IF($P311&gt;=3,INDEX('卡片raw data'!BC:BC,MATCH($D311,'卡片raw data'!$F:$F,)),INDEX('卡片raw data'!BB:BB,MATCH($D311,'卡片raw data'!$F:$F,)))),IF(OR(AND($F311="UR",$P311=0),AND($F311="SR",$P311&gt;=0,$P311&lt;=2),AND($F311="R",$P311&gt;=0,$P311&lt;4)),INDEX('卡片raw data'!AZ:AZ,MATCH($D311,'卡片raw data'!$F:$F,)),0)+IF(OR(AND($F311="UR",$P311&gt;=1,$P311&lt;=4),AND($F311="SR",$P311&lt;=4,$P311&gt;=3),AND($F311="R",$P311=4)),INDEX('卡片raw data'!BA:BA,MATCH($D311,'卡片raw data'!$F:$F,)),0)+IF($P311=5,INDEX('卡片raw data'!BB:BB,MATCH($D311,'卡片raw data'!$F:$F,)),0)))</f>
        <v>5.1999999999999998E-2</v>
      </c>
      <c r="BT311" s="1101">
        <f t="shared" si="377"/>
        <v>2604.4613036728001</v>
      </c>
      <c r="BU311" s="1097">
        <f t="shared" si="378"/>
        <v>111.90018844565216</v>
      </c>
      <c r="BV311" s="1097">
        <f t="shared" si="379"/>
        <v>1302.2306518363998</v>
      </c>
      <c r="BW311" s="1112">
        <f t="shared" si="380"/>
        <v>0</v>
      </c>
      <c r="BX311" s="1100">
        <f t="shared" si="381"/>
        <v>2604.4613036728001</v>
      </c>
      <c r="BY311" s="1110">
        <f t="shared" si="382"/>
        <v>1302.2306518363998</v>
      </c>
      <c r="BZ311" s="1107" t="s">
        <v>569</v>
      </c>
      <c r="CA311" s="1124"/>
      <c r="CB311" s="1098">
        <f>IF($P311="","N/A",IF($P311=-1,INDEX('卡片raw data'!BE:BE,MATCH($D311,'卡片raw data'!$F:$F,)),0)+IF($L311="party卡",IF($P311=5,INDEX('卡片raw data'!BK:BK,MATCH($D311,'卡片raw data'!$F:$F,)),IF($P311&gt;=3,INDEX('卡片raw data'!BJ:BJ,MATCH($D311,'卡片raw data'!$F:$F,)),INDEX('卡片raw data'!BI:BI,MATCH($D311,'卡片raw data'!$F:$F,)))),IF(OR(AND($F311="UR",$P311=0),AND($F311="SR",$P311&gt;=0,$P311&lt;=2),AND($F311="R",$P311&gt;=0,$P311&lt;4)),INDEX('卡片raw data'!BG:BG,MATCH($D311,'卡片raw data'!$F:$F,)),0)+IF(OR(AND($F311="UR",$P311&gt;=1,$P311&lt;=4),AND($F311="SR",$P311&lt;=4,$P311&gt;=3),AND($F311="R",$P311=4)),INDEX('卡片raw data'!BH:BH,MATCH($D311,'卡片raw data'!$F:$F,)),0)+IF($P311=5,INDEX('卡片raw data'!BI:BI,MATCH($D311,'卡片raw data'!$F:$F,)),0)))</f>
        <v>0</v>
      </c>
      <c r="CC311" s="1101">
        <f t="shared" si="383"/>
        <v>0</v>
      </c>
      <c r="CD311" s="1097">
        <f>IF(BZ311="ap",CB311*(1-$FI$26)*$FB$5/$FB$11*(+IF(CA311="全员",$FA$24,0)+IF(CA311="同作战",$FA$24,0)+IF(CA311="仲间",$FA$24*2/3,0)+IF(CA311="同属性",$FA$24*$FA$37/3,0)+IF(CA311="同年级",$FA$24*$FA$40/3,0)+IF(CA311="同学校",$FA$24*$FA$43/3,0)+IF(CA311="同小队",$FA$24*$FA$46/3,0)+IF(CA311="同type",$FA$24*INDEX($FB$49:$FB$52,MATCH(X311,$FA$49:$FA$52,))/3,0)+IF(CA311="自身",#REF!/3,0)),0)+IF(BZ311="te",CB311*(1-$FI$27)*($FA$20-1)*$FB$7/$FB$13*(+IF(CA311="全员",$FA$19*$FA$24/(1+($FA$20-1)*$FA$19),0)+IF(CA311="同作战",$FA$19*$FA$24/(1+($FA$20-1)*$FA$19),0)+IF(CA311="仲间",$FA$19*$FA$24*2/3/(1+($FA$20-1)*$FA$19),0)+IF(CA311="同属性",$FA$19*$FA$24*$FA$37/3/(1+($FA$20-1)*$FA$19),0)+IF(CA311="同年级",$FA$19*$FA$24*$FA$40/3/(1+($FA$20-1)*$FA$19),0)+IF(CA311="同学校",$FA$19*$FA$24*$FA$43/3/(1+($FA$20-1)*$FA$19),0)+IF(CA311="同小队",$FA$19*$FA$24*$FA$46/3/(1+($FA$20-1)*$FA$19),0)+IF(CA311="同type",$FA$19*$FA$24*INDEX($FB$49:$FB$52,MATCH(X311,$FA$49:$FA$52,))/3/(1+($FA$20-1)*$FA$19),0)+IF(CA311="自身",$FA$19*#REF!/3/(1+(BH311-1)*$BD311),0)),0)</f>
        <v>0</v>
      </c>
      <c r="CE311" s="1097">
        <f t="shared" si="384"/>
        <v>0</v>
      </c>
      <c r="CF311" s="1112">
        <f t="shared" si="385"/>
        <v>0</v>
      </c>
      <c r="CG311" s="1100">
        <f t="shared" si="386"/>
        <v>0</v>
      </c>
      <c r="CH311" s="1110">
        <f t="shared" si="387"/>
        <v>0</v>
      </c>
      <c r="CI311" s="1113" t="s">
        <v>160</v>
      </c>
      <c r="CJ311" s="1114">
        <v>1</v>
      </c>
      <c r="CK311" s="1115" t="s">
        <v>1074</v>
      </c>
      <c r="CL311" s="1115" t="s">
        <v>1063</v>
      </c>
      <c r="CM311" s="1119">
        <v>0.03</v>
      </c>
      <c r="CN311" s="1115" t="s">
        <v>1075</v>
      </c>
      <c r="CO311" s="1092">
        <v>1</v>
      </c>
      <c r="CP311" s="1118">
        <f t="shared" si="388"/>
        <v>0.03</v>
      </c>
      <c r="CQ311" s="1118">
        <f t="shared" si="389"/>
        <v>0.03</v>
      </c>
      <c r="CR311" s="1118">
        <f t="shared" si="390"/>
        <v>0</v>
      </c>
      <c r="CS311" s="1118">
        <f t="shared" si="391"/>
        <v>0</v>
      </c>
      <c r="CT311" s="1109">
        <f t="shared" si="392"/>
        <v>0</v>
      </c>
      <c r="CU311" s="1101">
        <f t="shared" si="393"/>
        <v>4079.48794584903</v>
      </c>
      <c r="CV311" s="1108">
        <f t="shared" si="394"/>
        <v>196.96716843750002</v>
      </c>
      <c r="CW311" s="1097">
        <f t="shared" si="395"/>
        <v>0</v>
      </c>
      <c r="CX311" s="1097">
        <f t="shared" si="396"/>
        <v>4079.48794584903</v>
      </c>
      <c r="CY311" s="1110">
        <f t="shared" si="397"/>
        <v>0</v>
      </c>
      <c r="CZ311" s="437"/>
      <c r="DA311" s="438"/>
      <c r="DB311" s="439" t="s">
        <v>569</v>
      </c>
      <c r="DC311" s="439"/>
      <c r="DD311" s="443"/>
      <c r="DE311" s="411"/>
      <c r="DF311" s="411"/>
      <c r="DG311" s="1116">
        <f t="shared" si="398"/>
        <v>0</v>
      </c>
      <c r="DH311" s="1116">
        <f t="shared" si="399"/>
        <v>0</v>
      </c>
      <c r="DI311" s="1116">
        <f t="shared" si="400"/>
        <v>0</v>
      </c>
      <c r="DJ311" s="442">
        <f t="shared" si="401"/>
        <v>0</v>
      </c>
      <c r="DK311" s="1109">
        <f t="shared" si="402"/>
        <v>0</v>
      </c>
      <c r="DL311" s="1101">
        <f t="shared" si="403"/>
        <v>0</v>
      </c>
      <c r="DM311" s="1097">
        <f t="shared" si="404"/>
        <v>0</v>
      </c>
      <c r="DN311" s="1097">
        <f t="shared" si="405"/>
        <v>0</v>
      </c>
      <c r="DO311" s="1097">
        <f t="shared" si="406"/>
        <v>0</v>
      </c>
      <c r="DP311" s="1110">
        <f t="shared" si="407"/>
        <v>0</v>
      </c>
      <c r="DQ311" s="1113" t="s">
        <v>1069</v>
      </c>
      <c r="DR311" s="1120">
        <f t="shared" si="408"/>
        <v>0.33</v>
      </c>
      <c r="DS311" s="1124"/>
      <c r="DT311" s="1093" t="s">
        <v>1056</v>
      </c>
      <c r="DU311" s="1093"/>
      <c r="DV311" s="1098">
        <f>IF($P311="","N/A",IF(P311=-1,INDEX('卡片raw data'!AN:AN,MATCH(D311,'卡片raw data'!$F:$F,)),0)+IF(AND(L311&lt;&gt;"party卡",P311&lt;=2,P311&gt;=0),INDEX('卡片raw data'!AP:AP,MATCH(D311,'卡片raw data'!$F:$F,)),0)+IF(OR(AND(L311="party卡",P311&lt;=1),AND(P311&lt;=4,L311&lt;&gt;"party卡",P311&gt;=3)),INDEX('卡片raw data'!AQ:AQ,MATCH(D311,'卡片raw data'!$F:$F,)),0)+IF(OR(P311=5,AND(L311="party卡",P311&gt;=2)),INDEX('卡片raw data'!AR:AR,MATCH(D311,'卡片raw data'!$F:$F,)),0))</f>
        <v>0.32</v>
      </c>
      <c r="DW311" s="1098">
        <f t="shared" si="409"/>
        <v>0.33</v>
      </c>
      <c r="DX311" s="1098">
        <f t="shared" si="410"/>
        <v>0.33</v>
      </c>
      <c r="DY311" s="1125">
        <f t="shared" si="411"/>
        <v>839.34388961280001</v>
      </c>
      <c r="DZ311" s="1125">
        <f t="shared" si="412"/>
        <v>726.03246451507198</v>
      </c>
      <c r="EA311" s="1098">
        <f t="shared" si="413"/>
        <v>0</v>
      </c>
      <c r="EB311" s="1121">
        <f t="shared" si="414"/>
        <v>0</v>
      </c>
      <c r="EC311" s="1101">
        <f t="shared" si="415"/>
        <v>0</v>
      </c>
      <c r="ED311" s="1097">
        <f t="shared" si="416"/>
        <v>0</v>
      </c>
      <c r="EE311" s="1110">
        <f t="shared" si="417"/>
        <v>48435.03108962375</v>
      </c>
      <c r="EF311" s="1092" t="s">
        <v>569</v>
      </c>
      <c r="EG311" s="1120">
        <f t="shared" si="418"/>
        <v>0.33</v>
      </c>
      <c r="EH311" s="1124"/>
      <c r="EI311" s="1093"/>
      <c r="EJ311" s="1093"/>
      <c r="EK311" s="1097">
        <f>IF($P311="","N/A",IF(P311=-1,INDEX('卡片raw data'!AS:AS,MATCH(D311,'卡片raw data'!$F:$F,)),0)+IF(AND(L311&lt;&gt;"party卡",P311&lt;=2,P311&gt;=0),INDEX('卡片raw data'!AU:AU,MATCH(D311,'卡片raw data'!$F:$F,)),0)+IF(OR(AND(L311="party卡",P311&lt;=1),AND(P311&lt;=4,L311&lt;&gt;"party卡",P311&gt;=3)),INDEX('卡片raw data'!AV:AV,MATCH(D311,'卡片raw data'!$F:$F,)),0)+IF(OR(P311=5,AND(L311="party卡",P311&gt;=2)),INDEX('卡片raw data'!AW:AW,MATCH(D311,'卡片raw data'!$F:$F,)),0))</f>
        <v>0</v>
      </c>
      <c r="EL311" s="1098">
        <f t="shared" si="419"/>
        <v>0.33</v>
      </c>
      <c r="EM311" s="1098">
        <f t="shared" si="420"/>
        <v>0.33</v>
      </c>
      <c r="EN311" s="1125">
        <f t="shared" si="421"/>
        <v>0</v>
      </c>
      <c r="EO311" s="1125">
        <f t="shared" si="422"/>
        <v>0</v>
      </c>
      <c r="EP311" s="1098">
        <f t="shared" si="423"/>
        <v>0</v>
      </c>
      <c r="EQ311" s="1121">
        <f t="shared" si="424"/>
        <v>0</v>
      </c>
      <c r="ER311" s="1101">
        <f t="shared" si="425"/>
        <v>0</v>
      </c>
      <c r="ES311" s="1097">
        <f t="shared" si="426"/>
        <v>0</v>
      </c>
      <c r="ET311" s="1122">
        <f t="shared" si="427"/>
        <v>0</v>
      </c>
    </row>
    <row r="312" spans="2:150" ht="16.5" customHeight="1">
      <c r="B312" s="1123" t="str">
        <f>INDEX('卡片raw data'!B:B,MATCH($D312,'卡片raw data'!$F:$F,))</f>
        <v>五单姬</v>
      </c>
      <c r="C312" s="449" t="s">
        <v>1078</v>
      </c>
      <c r="D312" s="408">
        <v>309</v>
      </c>
      <c r="E312" s="1090">
        <v>400062003</v>
      </c>
      <c r="F312" s="1090" t="str">
        <f>INDEX('卡片raw data'!C:C,MATCH($D312,'卡片raw data'!$F:$F,))</f>
        <v>SR</v>
      </c>
      <c r="G312" s="1094" t="s">
        <v>1079</v>
      </c>
      <c r="H312" s="411">
        <f>IFERROR(INDEX(绊状态确认!C:C,MATCH($G312,绊状态确认!$B:$B,)),"")</f>
        <v>6</v>
      </c>
      <c r="I312" s="450" t="str">
        <f>IFERROR(INDEX(绊状态确认!D:D,MATCH($G312,绊状态确认!$B:$B,)),"")</f>
        <v>缪</v>
      </c>
      <c r="J312" s="450" t="str">
        <f>IFERROR(INDEX(绊状态确认!E:E,MATCH($G312,绊状态确认!$B:$B,)),"")</f>
        <v>1年级</v>
      </c>
      <c r="K312" s="451" t="str">
        <f>IFERROR(INDEX(绊状态确认!F:F,MATCH($G312,绊状态确认!$B:$B,)),"")</f>
        <v>BiBi</v>
      </c>
      <c r="L312" s="1094" t="str">
        <f>INDEX('卡片raw data'!E:E,MATCH($D312,'卡片raw data'!$F:$F,))</f>
        <v>活动卡</v>
      </c>
      <c r="M312" s="415">
        <v>44078</v>
      </c>
      <c r="N312" s="416">
        <v>23</v>
      </c>
      <c r="O312" s="1091" t="str">
        <f>INDEX('卡片raw data'!D:D,MATCH($D312,'卡片raw data'!$F:$F,))</f>
        <v>vo</v>
      </c>
      <c r="P312" s="417">
        <v>5</v>
      </c>
      <c r="Q312" s="1095">
        <f t="shared" si="343"/>
        <v>32775.866772198999</v>
      </c>
      <c r="R312" s="1096">
        <f t="shared" si="344"/>
        <v>0.38100000000000001</v>
      </c>
      <c r="S312" s="1097">
        <f t="shared" si="345"/>
        <v>13627.499597002579</v>
      </c>
      <c r="T312" s="1098">
        <f t="shared" si="346"/>
        <v>0.68100000000000005</v>
      </c>
      <c r="U312" s="1099">
        <f t="shared" si="347"/>
        <v>-13.762072405377143</v>
      </c>
      <c r="V312" s="1100">
        <f t="shared" si="348"/>
        <v>32366.31185582792</v>
      </c>
      <c r="W312" s="1101">
        <f t="shared" si="349"/>
        <v>5430.3063171605208</v>
      </c>
      <c r="X312" s="1096">
        <f t="shared" si="350"/>
        <v>6.3E-2</v>
      </c>
      <c r="Y312" s="1097">
        <f t="shared" si="351"/>
        <v>895.11353387062081</v>
      </c>
      <c r="Z312" s="1102">
        <f t="shared" si="352"/>
        <v>11.237927594622857</v>
      </c>
      <c r="AA312" s="1103">
        <f t="shared" si="353"/>
        <v>6325.4198510311417</v>
      </c>
      <c r="AB312" s="1101">
        <f t="shared" si="354"/>
        <v>6231.6790259829204</v>
      </c>
      <c r="AC312" s="1104">
        <f t="shared" si="355"/>
        <v>7.1999999999999995E-2</v>
      </c>
      <c r="AD312" s="1105">
        <f t="shared" si="356"/>
        <v>7.3477430555555232E-4</v>
      </c>
      <c r="AE312" s="1128">
        <f t="shared" si="357"/>
        <v>-10.059220972264452</v>
      </c>
      <c r="AF312" s="1130">
        <f t="shared" si="358"/>
        <v>0</v>
      </c>
      <c r="AG312" s="420">
        <f t="shared" si="359"/>
        <v>0</v>
      </c>
      <c r="AH312" s="420">
        <f t="shared" si="360"/>
        <v>0</v>
      </c>
      <c r="AI312" s="1097">
        <f t="shared" si="361"/>
        <v>0</v>
      </c>
      <c r="AJ312" s="420">
        <f t="shared" si="362"/>
        <v>0</v>
      </c>
      <c r="AK312" s="518">
        <f t="shared" si="363"/>
        <v>0</v>
      </c>
      <c r="AL312" s="1106">
        <f>IF($P312="","N/A",(IF($P312=-1,INDEX('卡片raw data'!S:S,MATCH($D312,'卡片raw data'!$F:$F,)),0)+IF($P312=0,INDEX('卡片raw data'!V:V,MATCH($D312,'卡片raw data'!$F:$F,)),0)+IF($P312=1,INDEX('卡片raw data'!Y:Y,MATCH($D312,'卡片raw data'!$F:$F,)),0)+IF($P312=2,INDEX('卡片raw data'!AB:AB,MATCH($D312,'卡片raw data'!$F:$F,)),0)+IF($P312=3,INDEX('卡片raw data'!AE:AE,MATCH($D312,'卡片raw data'!$F:$F,)),0)+IF($P312=4,INDEX('卡片raw data'!AH:AH,MATCH($D312,'卡片raw data'!$F:$F,)),0)+IF($P312=5,INDEX('卡片raw data'!AK:AK,MATCH($D312,'卡片raw data'!$F:$F,)),0)+INDEX('卡片raw data'!S:S,MATCH($D312,'卡片raw data'!$F:$F,))*(IF($F312="UR",0.04,0.033))*(IF($F312="UR",INDEX(绊状态确认!$S:$S,MATCH($G312,绊状态确认!$B:$B,))/2-40)+IF($F312="SR",INDEX(绊状态确认!$R:$R,MATCH($G312,绊状态确认!$B:$B,))/4-15))+IF($F312="R",INDEX(绊状态确认!$Q:$Q,MATCH($G312,绊状态确认!$B:$B,))/6-40/6)))*(INDEX(绊状态确认!$H:$H,MATCH($G312,绊状态确认!$B:$B,))+INDEX(绊状态确认!J:J,MATCH($G312,绊状态确认!$B:$B,)))</f>
        <v>7045.7640935999989</v>
      </c>
      <c r="AM312" s="1106">
        <f>IF($P312="","N/A",(IF($P312=-1,INDEX('卡片raw data'!T:T,MATCH($D312,'卡片raw data'!$F:$F,)),0)+IF($P312=0,INDEX('卡片raw data'!W:W,MATCH($D312,'卡片raw data'!$F:$F,)),0)+IF($P312=1,INDEX('卡片raw data'!Z:Z,MATCH($D312,'卡片raw data'!$F:$F,)),0)+IF($P312=2,INDEX('卡片raw data'!AC:AC,MATCH($D312,'卡片raw data'!$F:$F,)),0)+IF($P312=3,INDEX('卡片raw data'!AF:AF,MATCH($D312,'卡片raw data'!$F:$F,)),0)+IF($P312=4,INDEX('卡片raw data'!AI:AI,MATCH($D312,'卡片raw data'!$F:$F,)),0)+IF($P312=5,INDEX('卡片raw data'!AL:AL,MATCH($D312,'卡片raw data'!$F:$F,)),0)+INDEX('卡片raw data'!T:T,MATCH($D312,'卡片raw data'!$F:$F,))*(IF($F312="UR",0.04,0.033))*(IF($F312="UR",INDEX(绊状态确认!$S:$S,MATCH($G312,绊状态确认!$B:$B,))/2-40)+IF($F312="SR",INDEX(绊状态确认!$R:$R,MATCH($G312,绊状态确认!$B:$B,))/4-15))+IF($F312="R",INDEX(绊状态确认!$Q:$Q,MATCH($G312,绊状态确认!$B:$B,))/6-40/6)))*(INDEX(绊状态确认!$H:$H,MATCH($G312,绊状态确认!$B:$B,))+INDEX(绊状态确认!K:K,MATCH($G312,绊状态确认!$B:$B,)))</f>
        <v>5703.1006751999994</v>
      </c>
      <c r="AN312" s="1106">
        <f>IF($P312="","N/A",(IF($P312=-1,INDEX('卡片raw data'!U:U,MATCH($D312,'卡片raw data'!$F:$F,)),0)+IF($P312=0,INDEX('卡片raw data'!X:X,MATCH($D312,'卡片raw data'!$F:$F,)),0)+IF($P312=1,INDEX('卡片raw data'!AA:AA,MATCH($D312,'卡片raw data'!$F:$F,)),0)+IF($P312=2,INDEX('卡片raw data'!AD:AD,MATCH($D312,'卡片raw data'!$F:$F,)),0)+IF($P312=3,INDEX('卡片raw data'!AG:AG,MATCH($D312,'卡片raw data'!$F:$F,)),0)+IF($P312=4,INDEX('卡片raw data'!AJ:AJ,MATCH($D312,'卡片raw data'!$F:$F,)),0)+IF($P312=5,INDEX('卡片raw data'!AM:AM,MATCH($D312,'卡片raw data'!$F:$F,)),0)+INDEX('卡片raw data'!U:U,MATCH($D312,'卡片raw data'!$F:$F,))*(IF($F312="UR",0.04,0.033))*(IF($F312="UR",INDEX(绊状态确认!$S:$S,MATCH($G312,绊状态确认!$B:$B,))/2-40)+IF($F312="SR",INDEX(绊状态确认!$R:$R,MATCH($G312,绊状态确认!$B:$B,))/4-15))+IF($F312="R",INDEX(绊状态确认!$Q:$Q,MATCH($G312,绊状态确认!$B:$B,))/6-40/6)))*(INDEX(绊状态确认!$H:$H,MATCH($G312,绊状态确认!$B:$B,))+INDEX(绊状态确认!L:L,MATCH($G312,绊状态确认!$B:$B,)))</f>
        <v>4025.6424527999998</v>
      </c>
      <c r="AO312" s="1107">
        <f t="shared" si="364"/>
        <v>1</v>
      </c>
      <c r="AP312" s="1131">
        <f>1+(INDEX(绊状态确认!$T:$T,MATCH($G312,绊状态确认!$B:$B,))+0.2)*$AO312</f>
        <v>1.3</v>
      </c>
      <c r="AQ312" s="1108">
        <f t="shared" si="365"/>
        <v>21745.1307457</v>
      </c>
      <c r="AR312" s="1097">
        <f>(AM312*(1+$EX$9)+$EX$35)*(1+(INDEX(绊状态确认!$T:$T,MATCH($G312,绊状态确认!$B:$B,))+0.2)*AO312)*IF(J312=$FF$17,1+$FE$17,1)*IF(I312=$FF$14,1+$FE$14,1)</f>
        <v>10488.732421647999</v>
      </c>
      <c r="AS312" s="1097">
        <f>(AN312*(1+$EX$10)+$EX$36)*(1+(INDEX(绊状态确认!$T:$T,MATCH($G312,绊状态确认!$B:$B,))+0.2)*AO312)*IF(J312=$FF$17,1+$FE$17,1)*IF(I312=$FF$14,1+$FE$14,1)</f>
        <v>10074.335466936</v>
      </c>
      <c r="AT312" s="1093">
        <f>IF(AND(INDEX('卡片raw data'!AK:AK,MATCH($D312,'卡片raw data'!$F:$F,))&lt;INDEX('卡片raw data'!AM:AM,MATCH($D312,'卡片raw data'!$F:$F,)),INDEX('卡片raw data'!AL:AL,MATCH($D312,'卡片raw data'!$F:$F,))&lt;INDEX('卡片raw data'!AM:AM,MATCH($D312,'卡片raw data'!$F:$F,))),1,0)</f>
        <v>0</v>
      </c>
      <c r="AU312" s="1098">
        <f>MIN(AT312*0.15+AS312*0.00003+INDEX(绊状态确认!M:M,MATCH($G312,绊状态确认!$B:$B,)),1)</f>
        <v>0.33223006400808003</v>
      </c>
      <c r="AV312" s="1109">
        <f>(INDEX(绊状态确认!$N:$N,MATCH($G312,绊状态确认!$B:$B,))+1.5)*$EW$21</f>
        <v>2.6599999999999997</v>
      </c>
      <c r="AW312" s="1101">
        <f t="shared" si="366"/>
        <v>17521.516850059768</v>
      </c>
      <c r="AX312" s="1097">
        <f t="shared" si="367"/>
        <v>895.11353387062127</v>
      </c>
      <c r="AY312" s="1110">
        <f t="shared" si="368"/>
        <v>18416.630383930391</v>
      </c>
      <c r="AZ312" s="429">
        <f t="shared" si="369"/>
        <v>16339.239982519997</v>
      </c>
      <c r="BA312" s="431">
        <f t="shared" si="370"/>
        <v>19607.087979023996</v>
      </c>
      <c r="BB312" s="1097">
        <f>(AM312*(1+$FB$9)+$FB$35)*(1+(INDEX(绊状态确认!$T:$T,MATCH($G312,绊状态确认!$B:$B,))+0.2)*AO312)*IF(J312=$FF$17,1+$FE$17,1)*IF(I312=$FF$14,1+$FE$14,1)*(1+$FE$15)</f>
        <v>10488.732421647999</v>
      </c>
      <c r="BC312" s="1097">
        <f>(AN312*(1+$FB$10)+$FB$36)*(1+(INDEX(绊状态确认!$T:$T,MATCH($G312,绊状态确认!$B:$B,))+0.2)*AO312)*IF(J312=$FF$17,1+$FE$17,1)*IF(I312=$FF$14,1+$FE$14,1)*(1+$FE$15)</f>
        <v>10074.335466936</v>
      </c>
      <c r="BD312" s="1104">
        <f>MIN(AT312*0.15+BC312*0.00003+INDEX(绊状态确认!M:M,MATCH($G312,绊状态确认!$B:$B,)),1)</f>
        <v>0.33223006400808003</v>
      </c>
      <c r="BE312" s="432">
        <f>(INDEX(绊状态确认!$N:$N,MATCH($G312,绊状态确认!$B:$B,))+1.5)</f>
        <v>1.9</v>
      </c>
      <c r="BF312" s="1139">
        <f t="array" ref="BF312">SUMPRODUCT(IF(AZ312*AP312*$FI$16:$FI$23*$FA$22&gt;=$FI$24,$FI$24,AZ312*AP312*$FI$16:$FI$23*$FA$22),$FJ$16:$FJ$23)</f>
        <v>32498.748325232282</v>
      </c>
      <c r="BG312" s="1125">
        <f t="array" ref="BG312">SUMPRODUCT(IF(BE312*AZ312*AP312*$FI$16:$FI$23*$FA$22&gt;=$FI$24,$FI$24,BE312*AZ312*AP312*$FI$16:$FI$23*$FA$22),$FJ$16:$FJ$23)</f>
        <v>57389.699061116931</v>
      </c>
      <c r="BH312" s="1110">
        <f t="shared" si="371"/>
        <v>13589.423493812405</v>
      </c>
      <c r="BI312" s="1111">
        <f>IF(O312="vo",$EW$26/$EW$24*0.05,0)+IF(O312="sk",-$EW$26/$EW$24*(0.05-INDEX(绊状态确认!W:W,MATCH($G312,绊状态确认!$B:$B,)))+0.05*$EW$28,0)+IF(O312="sp",0.05*$EW$32*$EW$30*(1-$EW$33)-(0.05-INDEX(绊状态确认!V:V,MATCH($G312,绊状态确认!$B:$B,)))*$EW$28,0)+IF(O312="gd",-(0.05-INDEX(绊状态确认!X:X,MATCH($G312,绊状态确认!$B:$B,)))*$EW$32*$EW$30*(1-$EW$33),0)</f>
        <v>7726.3029277443748</v>
      </c>
      <c r="BJ312" s="1097">
        <f>IF(O312="vo",0.05*(1-$FI$26)*$FA$24,0)+IF(O312="sk",-(0.05-INDEX(绊状态确认!W:W,MATCH($G312,绊状态确认!$B:$B,)))*(1-$FI$26)*$FA$24+0.05*$FA$26,0)+IF(O312="sp",0.05*$FA$32*$FA$27*(1-$FA$33)/$FA$30+0.05*$FA$29/$FA$69*$FA$27*(1-$FA$33)-(0.05-INDEX(绊状态确认!V:V,MATCH($G312,绊状态确认!$B:$B,)))*$FA$26,0)+IF(O312="gd",-(0.05-INDEX(绊状态确认!X:X,MATCH($G312,绊状态确认!$B:$B,)))*$FA$32*$FA$27*(1-$FA$33)/$FA$30-(0.05-INDEX(绊状态确认!X:X,MATCH($G312,绊状态确认!$B:$B,)))*$FA$29/$FA$69*$FA$27*(1-$FA$33),0)</f>
        <v>393.93433687500004</v>
      </c>
      <c r="BK312" s="1110">
        <f>IF(O312="vo",$EW$26/$EW$24*0.05+$EW$26*(-HP($EW$62,$EW$65,$EW$64)+HP($EW$62,$EW$65,(1.05-INDEX(绊状态确认!U:U,MATCH($G312,绊状态确认!$B:$B,)))*$EW$64)),0)+IF(O312="sk",-$EW$26/$EW$24*(0.05-INDEX(绊状态确认!W:W,MATCH($G312,绊状态确认!$B:$B,)))+0.05*$EW$29,0)+IF(O312="sp",0.05*$EW$32*$EW$30*(1-$EW$33)-(0.05-INDEX(绊状态确认!V:V,MATCH($G312,绊状态确认!$B:$B,)))*$EW$29,0)+IF(O312="gd",-(0.05-INDEX(绊状态确认!X:X,MATCH($G312,绊状态确认!$B:$B,)))*$EW$32*$EW$30*(1-$EW$33)+$EW$26*(-HP($EW$62,$EW$65,$EW$64)+HP($EW$62,$EW$65,0.95*$EW$64)),0)</f>
        <v>6421.6344775026746</v>
      </c>
      <c r="BL312" s="1111">
        <f t="shared" si="372"/>
        <v>-1083.3333333333333</v>
      </c>
      <c r="BM312" s="1110">
        <f t="shared" si="373"/>
        <v>-830.55555555555543</v>
      </c>
      <c r="BN312" s="1113">
        <f t="shared" si="374"/>
        <v>3</v>
      </c>
      <c r="BO312" s="1097">
        <f t="shared" si="375"/>
        <v>4507.7214871259994</v>
      </c>
      <c r="BP312" s="1100">
        <f t="shared" si="376"/>
        <v>221.34103209030098</v>
      </c>
      <c r="BQ312" s="1113" t="s">
        <v>1072</v>
      </c>
      <c r="BR312" s="1124" t="s">
        <v>1073</v>
      </c>
      <c r="BS312" s="1098">
        <f>IF($P312="","N/A",IF($P312=-1,INDEX('卡片raw data'!AX:AX,MATCH($D312,'卡片raw data'!$F:$F,)),0)+IF($L312="party卡",IF($P312=5,INDEX('卡片raw data'!BD:BD,MATCH($D312,'卡片raw data'!$F:$F,)),IF($P312&gt;=3,INDEX('卡片raw data'!BC:BC,MATCH($D312,'卡片raw data'!$F:$F,)),INDEX('卡片raw data'!BB:BB,MATCH($D312,'卡片raw data'!$F:$F,)))),IF(OR(AND($F312="UR",$P312=0),AND($F312="SR",$P312&gt;=0,$P312&lt;=2),AND($F312="R",$P312&gt;=0,$P312&lt;4)),INDEX('卡片raw data'!AZ:AZ,MATCH($D312,'卡片raw data'!$F:$F,)),0)+IF(OR(AND($F312="UR",$P312&gt;=1,$P312&lt;=4),AND($F312="SR",$P312&lt;=4,$P312&gt;=3),AND($F312="R",$P312=4)),INDEX('卡片raw data'!BA:BA,MATCH($D312,'卡片raw data'!$F:$F,)),0)+IF($P312=5,INDEX('卡片raw data'!BB:BB,MATCH($D312,'卡片raw data'!$F:$F,)),0)))</f>
        <v>3.2000000000000001E-2</v>
      </c>
      <c r="BT312" s="1101">
        <f t="shared" si="377"/>
        <v>1602.7454176448</v>
      </c>
      <c r="BU312" s="1097">
        <f t="shared" si="378"/>
        <v>68.861654428093644</v>
      </c>
      <c r="BV312" s="1097">
        <f t="shared" si="379"/>
        <v>801.37270882240011</v>
      </c>
      <c r="BW312" s="1112">
        <f t="shared" si="380"/>
        <v>0</v>
      </c>
      <c r="BX312" s="1100">
        <f t="shared" si="381"/>
        <v>1602.7454176448</v>
      </c>
      <c r="BY312" s="1110">
        <f t="shared" si="382"/>
        <v>801.37270882240011</v>
      </c>
      <c r="BZ312" s="1107" t="s">
        <v>569</v>
      </c>
      <c r="CA312" s="1124"/>
      <c r="CB312" s="1098">
        <f>IF($P312="","N/A",IF($P312=-1,INDEX('卡片raw data'!BE:BE,MATCH($D312,'卡片raw data'!$F:$F,)),0)+IF($L312="party卡",IF($P312=5,INDEX('卡片raw data'!BK:BK,MATCH($D312,'卡片raw data'!$F:$F,)),IF($P312&gt;=3,INDEX('卡片raw data'!BJ:BJ,MATCH($D312,'卡片raw data'!$F:$F,)),INDEX('卡片raw data'!BI:BI,MATCH($D312,'卡片raw data'!$F:$F,)))),IF(OR(AND($F312="UR",$P312=0),AND($F312="SR",$P312&gt;=0,$P312&lt;=2),AND($F312="R",$P312&gt;=0,$P312&lt;4)),INDEX('卡片raw data'!BG:BG,MATCH($D312,'卡片raw data'!$F:$F,)),0)+IF(OR(AND($F312="UR",$P312&gt;=1,$P312&lt;=4),AND($F312="SR",$P312&lt;=4,$P312&gt;=3),AND($F312="R",$P312=4)),INDEX('卡片raw data'!BH:BH,MATCH($D312,'卡片raw data'!$F:$F,)),0)+IF($P312=5,INDEX('卡片raw data'!BI:BI,MATCH($D312,'卡片raw data'!$F:$F,)),0)))</f>
        <v>0</v>
      </c>
      <c r="CC312" s="1101">
        <f t="shared" si="383"/>
        <v>0</v>
      </c>
      <c r="CD312" s="1097">
        <f>IF(BZ312="ap",CB312*(1-$FI$26)*$FB$5/$FB$11*(+IF(CA312="全员",$FA$24,0)+IF(CA312="同作战",$FA$24,0)+IF(CA312="仲间",$FA$24*2/3,0)+IF(CA312="同属性",$FA$24*$FA$37/3,0)+IF(CA312="同年级",$FA$24*$FA$40/3,0)+IF(CA312="同学校",$FA$24*$FA$43/3,0)+IF(CA312="同小队",$FA$24*$FA$46/3,0)+IF(CA312="同type",$FA$24*INDEX($FB$49:$FB$52,MATCH(X312,$FA$49:$FA$52,))/3,0)+IF(CA312="自身",#REF!/3,0)),0)+IF(BZ312="te",CB312*(1-$FI$27)*($FA$20-1)*$FB$7/$FB$13*(+IF(CA312="全员",$FA$19*$FA$24/(1+($FA$20-1)*$FA$19),0)+IF(CA312="同作战",$FA$19*$FA$24/(1+($FA$20-1)*$FA$19),0)+IF(CA312="仲间",$FA$19*$FA$24*2/3/(1+($FA$20-1)*$FA$19),0)+IF(CA312="同属性",$FA$19*$FA$24*$FA$37/3/(1+($FA$20-1)*$FA$19),0)+IF(CA312="同年级",$FA$19*$FA$24*$FA$40/3/(1+($FA$20-1)*$FA$19),0)+IF(CA312="同学校",$FA$19*$FA$24*$FA$43/3/(1+($FA$20-1)*$FA$19),0)+IF(CA312="同小队",$FA$19*$FA$24*$FA$46/3/(1+($FA$20-1)*$FA$19),0)+IF(CA312="同type",$FA$19*$FA$24*INDEX($FB$49:$FB$52,MATCH(X312,$FA$49:$FA$52,))/3/(1+($FA$20-1)*$FA$19),0)+IF(CA312="自身",$FA$19*#REF!/3/(1+(BH312-1)*$BD312),0)),0)</f>
        <v>0</v>
      </c>
      <c r="CE312" s="1097">
        <f t="shared" si="384"/>
        <v>0</v>
      </c>
      <c r="CF312" s="1112">
        <f t="shared" si="385"/>
        <v>0</v>
      </c>
      <c r="CG312" s="1100">
        <f t="shared" si="386"/>
        <v>0</v>
      </c>
      <c r="CH312" s="1110">
        <f t="shared" si="387"/>
        <v>0</v>
      </c>
      <c r="CI312" s="1113" t="s">
        <v>1080</v>
      </c>
      <c r="CJ312" s="1114">
        <v>1</v>
      </c>
      <c r="CK312" s="1115" t="s">
        <v>295</v>
      </c>
      <c r="CL312" s="1115" t="s">
        <v>1057</v>
      </c>
      <c r="CM312" s="1119">
        <v>0.08</v>
      </c>
      <c r="CN312" s="1115">
        <v>10</v>
      </c>
      <c r="CO312" s="1092"/>
      <c r="CP312" s="1118">
        <f t="shared" si="388"/>
        <v>2.8571428571428571E-3</v>
      </c>
      <c r="CQ312" s="1118">
        <f t="shared" si="389"/>
        <v>4.4444444444444444E-3</v>
      </c>
      <c r="CR312" s="1118">
        <f t="shared" si="390"/>
        <v>2.8571428571428571E-3</v>
      </c>
      <c r="CS312" s="1118">
        <f t="shared" si="391"/>
        <v>4.5555555555555549E-3</v>
      </c>
      <c r="CT312" s="1109">
        <f t="shared" si="392"/>
        <v>0</v>
      </c>
      <c r="CU312" s="1101">
        <f t="shared" si="393"/>
        <v>121.2121212121212</v>
      </c>
      <c r="CV312" s="1108">
        <f t="shared" si="394"/>
        <v>101.01010101010101</v>
      </c>
      <c r="CW312" s="1097">
        <f t="shared" si="395"/>
        <v>121.2121212121212</v>
      </c>
      <c r="CX312" s="1097">
        <f t="shared" si="396"/>
        <v>121.2121212121212</v>
      </c>
      <c r="CY312" s="1110">
        <f t="shared" si="397"/>
        <v>121.2121212121212</v>
      </c>
      <c r="CZ312" s="437"/>
      <c r="DA312" s="438"/>
      <c r="DB312" s="439" t="s">
        <v>569</v>
      </c>
      <c r="DC312" s="439"/>
      <c r="DD312" s="443"/>
      <c r="DE312" s="411"/>
      <c r="DF312" s="411"/>
      <c r="DG312" s="1116">
        <f t="shared" si="398"/>
        <v>0</v>
      </c>
      <c r="DH312" s="1116">
        <f t="shared" si="399"/>
        <v>0</v>
      </c>
      <c r="DI312" s="1116">
        <f t="shared" si="400"/>
        <v>0</v>
      </c>
      <c r="DJ312" s="442">
        <f t="shared" si="401"/>
        <v>0</v>
      </c>
      <c r="DK312" s="1109">
        <f t="shared" si="402"/>
        <v>0</v>
      </c>
      <c r="DL312" s="1101">
        <f t="shared" si="403"/>
        <v>0</v>
      </c>
      <c r="DM312" s="1097">
        <f t="shared" si="404"/>
        <v>0</v>
      </c>
      <c r="DN312" s="1097">
        <f t="shared" si="405"/>
        <v>0</v>
      </c>
      <c r="DO312" s="1097">
        <f t="shared" si="406"/>
        <v>0</v>
      </c>
      <c r="DP312" s="1110">
        <f t="shared" si="407"/>
        <v>0</v>
      </c>
      <c r="DQ312" s="1113" t="s">
        <v>1081</v>
      </c>
      <c r="DR312" s="1120">
        <f t="shared" si="408"/>
        <v>0.3</v>
      </c>
      <c r="DS312" s="1124">
        <v>5</v>
      </c>
      <c r="DT312" s="1093" t="s">
        <v>1073</v>
      </c>
      <c r="DU312" s="1093" t="s">
        <v>1064</v>
      </c>
      <c r="DV312" s="1098">
        <f>IF($P312="","N/A",IF(P312=-1,INDEX('卡片raw data'!AN:AN,MATCH(D312,'卡片raw data'!$F:$F,)),0)+IF(AND(L312&lt;&gt;"party卡",P312&lt;=2,P312&gt;=0),INDEX('卡片raw data'!AP:AP,MATCH(D312,'卡片raw data'!$F:$F,)),0)+IF(OR(AND(L312="party卡",P312&lt;=1),AND(P312&lt;=4,L312&lt;&gt;"party卡",P312&gt;=3)),INDEX('卡片raw data'!AQ:AQ,MATCH(D312,'卡片raw data'!$F:$F,)),0)+IF(OR(P312=5,AND(L312="party卡",P312&gt;=2)),INDEX('卡片raw data'!AR:AR,MATCH(D312,'卡片raw data'!$F:$F,)),0))</f>
        <v>4.2000000000000003E-2</v>
      </c>
      <c r="DW312" s="1098">
        <f t="shared" si="409"/>
        <v>0.3</v>
      </c>
      <c r="DX312" s="1098">
        <f t="shared" si="410"/>
        <v>0.3</v>
      </c>
      <c r="DY312" s="1098">
        <f t="shared" si="411"/>
        <v>1.3999999999999999E-2</v>
      </c>
      <c r="DZ312" s="1098">
        <f t="shared" si="412"/>
        <v>1.0596249999999998E-2</v>
      </c>
      <c r="EA312" s="1098">
        <f t="shared" si="413"/>
        <v>0</v>
      </c>
      <c r="EB312" s="1121">
        <f t="shared" si="414"/>
        <v>0</v>
      </c>
      <c r="EC312" s="1101">
        <f t="shared" si="415"/>
        <v>2379.7013017452673</v>
      </c>
      <c r="ED312" s="1097">
        <f t="shared" si="416"/>
        <v>83.484534342234369</v>
      </c>
      <c r="EE312" s="1110">
        <f t="shared" si="417"/>
        <v>2379.7013017452673</v>
      </c>
      <c r="EF312" s="1092" t="s">
        <v>569</v>
      </c>
      <c r="EG312" s="1120">
        <f t="shared" si="418"/>
        <v>0.3</v>
      </c>
      <c r="EH312" s="1124"/>
      <c r="EI312" s="1093"/>
      <c r="EJ312" s="1093"/>
      <c r="EK312" s="1097">
        <f>IF($P312="","N/A",IF(P312=-1,INDEX('卡片raw data'!AS:AS,MATCH(D312,'卡片raw data'!$F:$F,)),0)+IF(AND(L312&lt;&gt;"party卡",P312&lt;=2,P312&gt;=0),INDEX('卡片raw data'!AU:AU,MATCH(D312,'卡片raw data'!$F:$F,)),0)+IF(OR(AND(L312="party卡",P312&lt;=1),AND(P312&lt;=4,L312&lt;&gt;"party卡",P312&gt;=3)),INDEX('卡片raw data'!AV:AV,MATCH(D312,'卡片raw data'!$F:$F,)),0)+IF(OR(P312=5,AND(L312="party卡",P312&gt;=2)),INDEX('卡片raw data'!AW:AW,MATCH(D312,'卡片raw data'!$F:$F,)),0))</f>
        <v>0</v>
      </c>
      <c r="EL312" s="1098">
        <f t="shared" si="419"/>
        <v>0.3</v>
      </c>
      <c r="EM312" s="1098">
        <f t="shared" si="420"/>
        <v>0.3</v>
      </c>
      <c r="EN312" s="1125">
        <f t="shared" si="421"/>
        <v>0</v>
      </c>
      <c r="EO312" s="1125">
        <f t="shared" si="422"/>
        <v>0</v>
      </c>
      <c r="EP312" s="1098">
        <f t="shared" si="423"/>
        <v>0</v>
      </c>
      <c r="EQ312" s="1121">
        <f t="shared" si="424"/>
        <v>0</v>
      </c>
      <c r="ER312" s="1101">
        <f t="shared" si="425"/>
        <v>0</v>
      </c>
      <c r="ES312" s="1097">
        <f t="shared" si="426"/>
        <v>0</v>
      </c>
      <c r="ET312" s="1122">
        <f t="shared" si="427"/>
        <v>0</v>
      </c>
    </row>
    <row r="313" spans="2:150" ht="16.5" customHeight="1">
      <c r="B313" s="1123" t="str">
        <f>INDEX('卡片raw data'!B:B,MATCH($D313,'卡片raw data'!$F:$F,))</f>
        <v>二单善</v>
      </c>
      <c r="C313" s="449" t="s">
        <v>1083</v>
      </c>
      <c r="D313" s="408">
        <v>310</v>
      </c>
      <c r="E313" s="1090">
        <v>401062002</v>
      </c>
      <c r="F313" s="1090" t="str">
        <f>INDEX('卡片raw data'!C:C,MATCH($D313,'卡片raw data'!$F:$F,))</f>
        <v>SR</v>
      </c>
      <c r="G313" s="1094" t="s">
        <v>1084</v>
      </c>
      <c r="H313" s="411">
        <f>IFERROR(INDEX(绊状态确认!C:C,MATCH($G313,绊状态确认!$B:$B,)),"")</f>
        <v>106</v>
      </c>
      <c r="I313" s="450" t="str">
        <f>IFERROR(INDEX(绊状态确认!D:D,MATCH($G313,绊状态确认!$B:$B,)),"")</f>
        <v>水</v>
      </c>
      <c r="J313" s="450" t="str">
        <f>IFERROR(INDEX(绊状态确认!E:E,MATCH($G313,绊状态确认!$B:$B,)),"")</f>
        <v>1年级</v>
      </c>
      <c r="K313" s="451" t="str">
        <f>IFERROR(INDEX(绊状态确认!F:F,MATCH($G313,绊状态确认!$B:$B,)),"")</f>
        <v>Guilty Kiss</v>
      </c>
      <c r="L313" s="1094" t="str">
        <f>INDEX('卡片raw data'!E:E,MATCH($D313,'卡片raw data'!$F:$F,))</f>
        <v>活动卡</v>
      </c>
      <c r="M313" s="415">
        <v>44078</v>
      </c>
      <c r="N313" s="416">
        <v>23</v>
      </c>
      <c r="O313" s="1091" t="str">
        <f>INDEX('卡片raw data'!D:D,MATCH($D313,'卡片raw data'!$F:$F,))</f>
        <v>sp</v>
      </c>
      <c r="P313" s="417">
        <v>5</v>
      </c>
      <c r="Q313" s="1095">
        <f t="shared" si="343"/>
        <v>23256.946425946011</v>
      </c>
      <c r="R313" s="1096">
        <f t="shared" si="344"/>
        <v>0.27</v>
      </c>
      <c r="S313" s="1097">
        <f t="shared" si="345"/>
        <v>13940.040668756332</v>
      </c>
      <c r="T313" s="1098">
        <f t="shared" si="346"/>
        <v>0.69699999999999995</v>
      </c>
      <c r="U313" s="1099">
        <f t="shared" si="347"/>
        <v>29.334888235296418</v>
      </c>
      <c r="V313" s="1100">
        <f t="shared" si="348"/>
        <v>23819.038163608875</v>
      </c>
      <c r="W313" s="1101">
        <f t="shared" si="349"/>
        <v>5262.3449755855827</v>
      </c>
      <c r="X313" s="1096">
        <f t="shared" si="350"/>
        <v>6.0999999999999999E-2</v>
      </c>
      <c r="Y313" s="1097">
        <f t="shared" si="351"/>
        <v>2362.0917376628659</v>
      </c>
      <c r="Z313" s="1102">
        <f t="shared" si="352"/>
        <v>29.334888235296418</v>
      </c>
      <c r="AA313" s="1103">
        <f t="shared" si="353"/>
        <v>7624.4367132484485</v>
      </c>
      <c r="AB313" s="1101">
        <f t="shared" si="354"/>
        <v>6016.9684640451669</v>
      </c>
      <c r="AC313" s="1104">
        <f t="shared" si="355"/>
        <v>6.9000000000000006E-2</v>
      </c>
      <c r="AD313" s="1105">
        <f t="shared" si="356"/>
        <v>-1.9908281250000003E-2</v>
      </c>
      <c r="AE313" s="1128">
        <f t="shared" si="357"/>
        <v>2.8386741621376803</v>
      </c>
      <c r="AF313" s="1130">
        <f t="shared" si="358"/>
        <v>0</v>
      </c>
      <c r="AG313" s="420">
        <f t="shared" si="359"/>
        <v>0</v>
      </c>
      <c r="AH313" s="420">
        <f t="shared" si="360"/>
        <v>0</v>
      </c>
      <c r="AI313" s="1097">
        <f t="shared" si="361"/>
        <v>0</v>
      </c>
      <c r="AJ313" s="420">
        <f t="shared" si="362"/>
        <v>0</v>
      </c>
      <c r="AK313" s="518">
        <f t="shared" si="363"/>
        <v>0</v>
      </c>
      <c r="AL313" s="1106">
        <f>IF($P313="","N/A",(IF($P313=-1,INDEX('卡片raw data'!S:S,MATCH($D313,'卡片raw data'!$F:$F,)),0)+IF($P313=0,INDEX('卡片raw data'!V:V,MATCH($D313,'卡片raw data'!$F:$F,)),0)+IF($P313=1,INDEX('卡片raw data'!Y:Y,MATCH($D313,'卡片raw data'!$F:$F,)),0)+IF($P313=2,INDEX('卡片raw data'!AB:AB,MATCH($D313,'卡片raw data'!$F:$F,)),0)+IF($P313=3,INDEX('卡片raw data'!AE:AE,MATCH($D313,'卡片raw data'!$F:$F,)),0)+IF($P313=4,INDEX('卡片raw data'!AH:AH,MATCH($D313,'卡片raw data'!$F:$F,)),0)+IF($P313=5,INDEX('卡片raw data'!AK:AK,MATCH($D313,'卡片raw data'!$F:$F,)),0)+INDEX('卡片raw data'!S:S,MATCH($D313,'卡片raw data'!$F:$F,))*(IF($F313="UR",0.04,0.033))*(IF($F313="UR",INDEX(绊状态确认!$S:$S,MATCH($G313,绊状态确认!$B:$B,))/2-40)+IF($F313="SR",INDEX(绊状态确认!$R:$R,MATCH($G313,绊状态确认!$B:$B,))/4-15))+IF($F313="R",INDEX(绊状态确认!$Q:$Q,MATCH($G313,绊状态确认!$B:$B,))/6-40/6)))*(INDEX(绊状态确认!$H:$H,MATCH($G313,绊状态确认!$B:$B,))+INDEX(绊状态确认!J:J,MATCH($G313,绊状态确认!$B:$B,)))</f>
        <v>6710.9692895999988</v>
      </c>
      <c r="AM313" s="1106">
        <f>IF($P313="","N/A",(IF($P313=-1,INDEX('卡片raw data'!T:T,MATCH($D313,'卡片raw data'!$F:$F,)),0)+IF($P313=0,INDEX('卡片raw data'!W:W,MATCH($D313,'卡片raw data'!$F:$F,)),0)+IF($P313=1,INDEX('卡片raw data'!Z:Z,MATCH($D313,'卡片raw data'!$F:$F,)),0)+IF($P313=2,INDEX('卡片raw data'!AC:AC,MATCH($D313,'卡片raw data'!$F:$F,)),0)+IF($P313=3,INDEX('卡片raw data'!AF:AF,MATCH($D313,'卡片raw data'!$F:$F,)),0)+IF($P313=4,INDEX('卡片raw data'!AI:AI,MATCH($D313,'卡片raw data'!$F:$F,)),0)+IF($P313=5,INDEX('卡片raw data'!AL:AL,MATCH($D313,'卡片raw data'!$F:$F,)),0)+INDEX('卡片raw data'!T:T,MATCH($D313,'卡片raw data'!$F:$F,))*(IF($F313="UR",0.04,0.033))*(IF($F313="UR",INDEX(绊状态确认!$S:$S,MATCH($G313,绊状态确认!$B:$B,))/2-40)+IF($F313="SR",INDEX(绊状态确认!$R:$R,MATCH($G313,绊状态确认!$B:$B,))/4-15))+IF($F313="R",INDEX(绊状态确认!$Q:$Q,MATCH($G313,绊状态确认!$B:$B,))/6-40/6)))*(INDEX(绊状态确认!$H:$H,MATCH($G313,绊状态确认!$B:$B,))+INDEX(绊状态确认!K:K,MATCH($G313,绊状态确认!$B:$B,)))</f>
        <v>4528.4403599999996</v>
      </c>
      <c r="AN313" s="1106">
        <f>IF($P313="","N/A",(IF($P313=-1,INDEX('卡片raw data'!U:U,MATCH($D313,'卡片raw data'!$F:$F,)),0)+IF($P313=0,INDEX('卡片raw data'!X:X,MATCH($D313,'卡片raw data'!$F:$F,)),0)+IF($P313=1,INDEX('卡片raw data'!AA:AA,MATCH($D313,'卡片raw data'!$F:$F,)),0)+IF($P313=2,INDEX('卡片raw data'!AD:AD,MATCH($D313,'卡片raw data'!$F:$F,)),0)+IF($P313=3,INDEX('卡片raw data'!AG:AG,MATCH($D313,'卡片raw data'!$F:$F,)),0)+IF($P313=4,INDEX('卡片raw data'!AJ:AJ,MATCH($D313,'卡片raw data'!$F:$F,)),0)+IF($P313=5,INDEX('卡片raw data'!AM:AM,MATCH($D313,'卡片raw data'!$F:$F,)),0)+INDEX('卡片raw data'!U:U,MATCH($D313,'卡片raw data'!$F:$F,))*(IF($F313="UR",0.04,0.033))*(IF($F313="UR",INDEX(绊状态确认!$S:$S,MATCH($G313,绊状态确认!$B:$B,))/2-40)+IF($F313="SR",INDEX(绊状态确认!$R:$R,MATCH($G313,绊状态确认!$B:$B,))/4-15))+IF($F313="R",INDEX(绊状态确认!$Q:$Q,MATCH($G313,绊状态确认!$B:$B,))/6-40/6)))*(INDEX(绊状态确认!$H:$H,MATCH($G313,绊状态确认!$B:$B,))+INDEX(绊状态确认!L:L,MATCH($G313,绊状态确认!$B:$B,)))</f>
        <v>5533.9611719999984</v>
      </c>
      <c r="AO313" s="1107">
        <f t="shared" si="364"/>
        <v>1</v>
      </c>
      <c r="AP313" s="1131">
        <f>1+(INDEX(绊状态确认!$T:$T,MATCH($G313,绊状态确认!$B:$B,))+0.2)*$AO313</f>
        <v>1.3</v>
      </c>
      <c r="AQ313" s="1108">
        <f t="shared" si="365"/>
        <v>20866.294385199999</v>
      </c>
      <c r="AR313" s="1097">
        <f>(AM313*(1+$EX$9)+$EX$35)*(1+(INDEX(绊状态确认!$T:$T,MATCH($G313,绊状态确认!$B:$B,))+0.2)*AO313)*IF(J313=$FF$17,1+$FE$17,1)*IF(I313=$FF$14,1+$FE$14,1)</f>
        <v>8885.3210913999992</v>
      </c>
      <c r="AS313" s="1097">
        <f>(AN313*(1+$EX$10)+$EX$36)*(1+(INDEX(绊状态确认!$T:$T,MATCH($G313,绊状态确认!$B:$B,))+0.2)*AO313)*IF(J313=$FF$17,1+$FE$17,1)*IF(I313=$FF$14,1+$FE$14,1)</f>
        <v>12329.271952139996</v>
      </c>
      <c r="AT313" s="1093">
        <f>IF(AND(INDEX('卡片raw data'!AK:AK,MATCH($D313,'卡片raw data'!$F:$F,))&lt;INDEX('卡片raw data'!AM:AM,MATCH($D313,'卡片raw data'!$F:$F,)),INDEX('卡片raw data'!AL:AL,MATCH($D313,'卡片raw data'!$F:$F,))&lt;INDEX('卡片raw data'!AM:AM,MATCH($D313,'卡片raw data'!$F:$F,))),1,0)</f>
        <v>0</v>
      </c>
      <c r="AU313" s="1098">
        <f>MIN(AT313*0.15+AS313*0.00003+INDEX(绊状态确认!M:M,MATCH($G313,绊状态确认!$B:$B,)),1)</f>
        <v>0.39987815856419989</v>
      </c>
      <c r="AV313" s="1109">
        <f>(INDEX(绊状态确认!$N:$N,MATCH($G313,绊状态确认!$B:$B,))+1.5)*$EW$21</f>
        <v>2.6599999999999997</v>
      </c>
      <c r="AW313" s="1101">
        <f t="shared" si="366"/>
        <v>18030.311295234176</v>
      </c>
      <c r="AX313" s="1097">
        <f t="shared" si="367"/>
        <v>755.6217092524314</v>
      </c>
      <c r="AY313" s="1110">
        <f t="shared" si="368"/>
        <v>18785.933004486607</v>
      </c>
      <c r="AZ313" s="429">
        <f t="shared" si="369"/>
        <v>15686.390114719998</v>
      </c>
      <c r="BA313" s="431">
        <f t="shared" si="370"/>
        <v>18823.668137663997</v>
      </c>
      <c r="BB313" s="1097">
        <f>(AM313*(1+$FB$9)+$FB$35)*(1+(INDEX(绊状态确认!$T:$T,MATCH($G313,绊状态确认!$B:$B,))+0.2)*AO313)*IF(J313=$FF$17,1+$FE$17,1)*IF(I313=$FF$14,1+$FE$14,1)*(1+$FE$15)</f>
        <v>8885.3210913999992</v>
      </c>
      <c r="BC313" s="1097">
        <f>(AN313*(1+$FB$10)+$FB$36)*(1+(INDEX(绊状态确认!$T:$T,MATCH($G313,绊状态确认!$B:$B,))+0.2)*AO313)*IF(J313=$FF$17,1+$FE$17,1)*IF(I313=$FF$14,1+$FE$14,1)*(1+$FE$15)</f>
        <v>12329.271952139996</v>
      </c>
      <c r="BD313" s="1104">
        <f>MIN(AT313*0.15+BC313*0.00003+INDEX(绊状态确认!M:M,MATCH($G313,绊状态确认!$B:$B,)),1)</f>
        <v>0.39987815856419989</v>
      </c>
      <c r="BE313" s="432">
        <f>(INDEX(绊状态确认!$N:$N,MATCH($G313,绊状态确认!$B:$B,))+1.5)</f>
        <v>1.9</v>
      </c>
      <c r="BF313" s="1139">
        <f t="array" ref="BF313">SUMPRODUCT(IF(AZ313*AP313*$FI$16:$FI$23*$FA$22&gt;=$FI$24,$FI$24,AZ313*AP313*$FI$16:$FI$23*$FA$22),$FJ$16:$FJ$23)</f>
        <v>31200.229938178076</v>
      </c>
      <c r="BG313" s="1125">
        <f t="array" ref="BG313">SUMPRODUCT(IF(BE313*AZ313*AP313*$FI$16:$FI$23*$FA$22&gt;=$FI$24,$FI$24,BE313*AZ313*AP313*$FI$16:$FI$23*$FA$22),$FJ$16:$FJ$23)</f>
        <v>56158.668374187466</v>
      </c>
      <c r="BH313" s="1110">
        <f t="shared" si="371"/>
        <v>13726.854780202486</v>
      </c>
      <c r="BI313" s="1111">
        <f>IF(O313="vo",$EW$26/$EW$24*0.05,0)+IF(O313="sk",-$EW$26/$EW$24*(0.05-INDEX(绊状态确认!W:W,MATCH($G313,绊状态确认!$B:$B,)))+0.05*$EW$28,0)+IF(O313="sp",0.05*$EW$32*$EW$30*(1-$EW$33)-(0.05-INDEX(绊状态确认!V:V,MATCH($G313,绊状态确认!$B:$B,)))*$EW$28,0)+IF(O313="gd",-(0.05-INDEX(绊状态确认!X:X,MATCH($G313,绊状态确认!$B:$B,)))*$EW$32*$EW$30*(1-$EW$33),0)</f>
        <v>19.999999999999886</v>
      </c>
      <c r="BJ313" s="1097">
        <f>IF(O313="vo",0.05*(1-$FI$26)*$FA$24,0)+IF(O313="sk",-(0.05-INDEX(绊状态确认!W:W,MATCH($G313,绊状态确认!$B:$B,)))*(1-$FI$26)*$FA$24+0.05*$FA$26,0)+IF(O313="sp",0.05*$FA$32*$FA$27*(1-$FA$33)/$FA$30+0.05*$FA$29/$FA$69*$FA$27*(1-$FA$33)-(0.05-INDEX(绊状态确认!V:V,MATCH($G313,绊状态确认!$B:$B,)))*$FA$26,0)+IF(O313="gd",-(0.05-INDEX(绊状态确认!X:X,MATCH($G313,绊状态确认!$B:$B,)))*$FA$32*$FA$27*(1-$FA$33)/$FA$30-(0.05-INDEX(绊状态确认!X:X,MATCH($G313,绊状态确认!$B:$B,)))*$FA$29/$FA$69*$FA$27*(1-$FA$33),0)</f>
        <v>545.83333333333326</v>
      </c>
      <c r="BK313" s="1110">
        <f>IF(O313="vo",$EW$26/$EW$24*0.05+$EW$26*(-HP($EW$62,$EW$65,$EW$64)+HP($EW$62,$EW$65,(1.05-INDEX(绊状态确认!U:U,MATCH($G313,绊状态确认!$B:$B,)))*$EW$64)),0)+IF(O313="sk",-$EW$26/$EW$24*(0.05-INDEX(绊状态确认!W:W,MATCH($G313,绊状态确认!$B:$B,)))+0.05*$EW$29,0)+IF(O313="sp",0.05*$EW$32*$EW$30*(1-$EW$33)-(0.05-INDEX(绊状态确认!V:V,MATCH($G313,绊状态确认!$B:$B,)))*$EW$29,0)+IF(O313="gd",-(0.05-INDEX(绊状态确认!X:X,MATCH($G313,绊状态确认!$B:$B,)))*$EW$32*$EW$30*(1-$EW$33)+$EW$26*(-HP($EW$62,$EW$65,$EW$64)+HP($EW$62,$EW$65,0.95*$EW$64)),0)</f>
        <v>-1780.0000000000005</v>
      </c>
      <c r="BL313" s="1111">
        <f t="shared" si="372"/>
        <v>-1083.3333333333333</v>
      </c>
      <c r="BM313" s="1110">
        <f t="shared" si="373"/>
        <v>-830.55555555555543</v>
      </c>
      <c r="BN313" s="1113">
        <f t="shared" si="374"/>
        <v>3</v>
      </c>
      <c r="BO313" s="1097">
        <f t="shared" si="375"/>
        <v>4507.7214871259994</v>
      </c>
      <c r="BP313" s="1100">
        <f t="shared" si="376"/>
        <v>221.34103209030098</v>
      </c>
      <c r="BQ313" s="1113" t="s">
        <v>1056</v>
      </c>
      <c r="BR313" s="1124" t="s">
        <v>1073</v>
      </c>
      <c r="BS313" s="1098">
        <f>IF($P313="","N/A",IF($P313=-1,INDEX('卡片raw data'!AX:AX,MATCH($D313,'卡片raw data'!$F:$F,)),0)+IF($L313="party卡",IF($P313=5,INDEX('卡片raw data'!BD:BD,MATCH($D313,'卡片raw data'!$F:$F,)),IF($P313&gt;=3,INDEX('卡片raw data'!BC:BC,MATCH($D313,'卡片raw data'!$F:$F,)),INDEX('卡片raw data'!BB:BB,MATCH($D313,'卡片raw data'!$F:$F,)))),IF(OR(AND($F313="UR",$P313=0),AND($F313="SR",$P313&gt;=0,$P313&lt;=2),AND($F313="R",$P313&gt;=0,$P313&lt;4)),INDEX('卡片raw data'!AZ:AZ,MATCH($D313,'卡片raw data'!$F:$F,)),0)+IF(OR(AND($F313="UR",$P313&gt;=1,$P313&lt;=4),AND($F313="SR",$P313&lt;=4,$P313&gt;=3),AND($F313="R",$P313=4)),INDEX('卡片raw data'!BA:BA,MATCH($D313,'卡片raw data'!$F:$F,)),0)+IF($P313=5,INDEX('卡片raw data'!BB:BB,MATCH($D313,'卡片raw data'!$F:$F,)),0)))</f>
        <v>3.2000000000000001E-2</v>
      </c>
      <c r="BT313" s="1101">
        <f t="shared" si="377"/>
        <v>1509.2469769191675</v>
      </c>
      <c r="BU313" s="1097">
        <f t="shared" si="378"/>
        <v>95.522578685765595</v>
      </c>
      <c r="BV313" s="1097">
        <f t="shared" si="379"/>
        <v>754.62348845958354</v>
      </c>
      <c r="BW313" s="1112">
        <f t="shared" si="380"/>
        <v>0</v>
      </c>
      <c r="BX313" s="1100">
        <f t="shared" si="381"/>
        <v>1509.2469769191675</v>
      </c>
      <c r="BY313" s="1110">
        <f t="shared" si="382"/>
        <v>754.62348845958354</v>
      </c>
      <c r="BZ313" s="1107" t="s">
        <v>569</v>
      </c>
      <c r="CA313" s="1124"/>
      <c r="CB313" s="1098">
        <f>IF($P313="","N/A",IF($P313=-1,INDEX('卡片raw data'!BE:BE,MATCH($D313,'卡片raw data'!$F:$F,)),0)+IF($L313="party卡",IF($P313=5,INDEX('卡片raw data'!BK:BK,MATCH($D313,'卡片raw data'!$F:$F,)),IF($P313&gt;=3,INDEX('卡片raw data'!BJ:BJ,MATCH($D313,'卡片raw data'!$F:$F,)),INDEX('卡片raw data'!BI:BI,MATCH($D313,'卡片raw data'!$F:$F,)))),IF(OR(AND($F313="UR",$P313=0),AND($F313="SR",$P313&gt;=0,$P313&lt;=2),AND($F313="R",$P313&gt;=0,$P313&lt;4)),INDEX('卡片raw data'!BG:BG,MATCH($D313,'卡片raw data'!$F:$F,)),0)+IF(OR(AND($F313="UR",$P313&gt;=1,$P313&lt;=4),AND($F313="SR",$P313&lt;=4,$P313&gt;=3),AND($F313="R",$P313=4)),INDEX('卡片raw data'!BH:BH,MATCH($D313,'卡片raw data'!$F:$F,)),0)+IF($P313=5,INDEX('卡片raw data'!BI:BI,MATCH($D313,'卡片raw data'!$F:$F,)),0)))</f>
        <v>0</v>
      </c>
      <c r="CC313" s="1101">
        <f t="shared" si="383"/>
        <v>0</v>
      </c>
      <c r="CD313" s="1097">
        <f>IF(BZ313="ap",CB313*(1-$FI$26)*$FB$5/$FB$11*(+IF(CA313="全员",$FA$24,0)+IF(CA313="同作战",$FA$24,0)+IF(CA313="仲间",$FA$24*2/3,0)+IF(CA313="同属性",$FA$24*$FA$37/3,0)+IF(CA313="同年级",$FA$24*$FA$40/3,0)+IF(CA313="同学校",$FA$24*$FA$43/3,0)+IF(CA313="同小队",$FA$24*$FA$46/3,0)+IF(CA313="同type",$FA$24*INDEX($FB$49:$FB$52,MATCH(X313,$FA$49:$FA$52,))/3,0)+IF(CA313="自身",#REF!/3,0)),0)+IF(BZ313="te",CB313*(1-$FI$27)*($FA$20-1)*$FB$7/$FB$13*(+IF(CA313="全员",$FA$19*$FA$24/(1+($FA$20-1)*$FA$19),0)+IF(CA313="同作战",$FA$19*$FA$24/(1+($FA$20-1)*$FA$19),0)+IF(CA313="仲间",$FA$19*$FA$24*2/3/(1+($FA$20-1)*$FA$19),0)+IF(CA313="同属性",$FA$19*$FA$24*$FA$37/3/(1+($FA$20-1)*$FA$19),0)+IF(CA313="同年级",$FA$19*$FA$24*$FA$40/3/(1+($FA$20-1)*$FA$19),0)+IF(CA313="同学校",$FA$19*$FA$24*$FA$43/3/(1+($FA$20-1)*$FA$19),0)+IF(CA313="同小队",$FA$19*$FA$24*$FA$46/3/(1+($FA$20-1)*$FA$19),0)+IF(CA313="同type",$FA$19*$FA$24*INDEX($FB$49:$FB$52,MATCH(X313,$FA$49:$FA$52,))/3/(1+($FA$20-1)*$FA$19),0)+IF(CA313="自身",$FA$19*#REF!/3/(1+(BH313-1)*$BD313),0)),0)</f>
        <v>0</v>
      </c>
      <c r="CE313" s="1097">
        <f t="shared" si="384"/>
        <v>0</v>
      </c>
      <c r="CF313" s="1112">
        <f t="shared" si="385"/>
        <v>0</v>
      </c>
      <c r="CG313" s="1100">
        <f t="shared" si="386"/>
        <v>0</v>
      </c>
      <c r="CH313" s="1110">
        <f t="shared" si="387"/>
        <v>0</v>
      </c>
      <c r="CI313" s="1113" t="s">
        <v>160</v>
      </c>
      <c r="CJ313" s="1114">
        <v>1</v>
      </c>
      <c r="CK313" s="1115" t="s">
        <v>1069</v>
      </c>
      <c r="CL313" s="1115" t="s">
        <v>1941</v>
      </c>
      <c r="CM313" s="1119">
        <v>0.03</v>
      </c>
      <c r="CN313" s="1115"/>
      <c r="CO313" s="1092"/>
      <c r="CP313" s="1116">
        <f t="shared" si="388"/>
        <v>19.814901351653564</v>
      </c>
      <c r="CQ313" s="1116">
        <f t="shared" si="389"/>
        <v>41.097573173799979</v>
      </c>
      <c r="CR313" s="1116">
        <f t="shared" si="390"/>
        <v>19.814901351653564</v>
      </c>
      <c r="CS313" s="1118">
        <f t="shared" si="391"/>
        <v>0</v>
      </c>
      <c r="CT313" s="1109">
        <f t="shared" si="392"/>
        <v>0</v>
      </c>
      <c r="CU313" s="1101">
        <f t="shared" si="393"/>
        <v>0</v>
      </c>
      <c r="CV313" s="1108">
        <f t="shared" si="394"/>
        <v>0</v>
      </c>
      <c r="CW313" s="1097">
        <f t="shared" si="395"/>
        <v>0</v>
      </c>
      <c r="CX313" s="1097">
        <f t="shared" si="396"/>
        <v>1606.4700284104345</v>
      </c>
      <c r="CY313" s="1110">
        <f t="shared" si="397"/>
        <v>1606.4700284104345</v>
      </c>
      <c r="CZ313" s="437"/>
      <c r="DA313" s="438"/>
      <c r="DB313" s="439" t="s">
        <v>569</v>
      </c>
      <c r="DC313" s="439"/>
      <c r="DD313" s="443"/>
      <c r="DE313" s="411"/>
      <c r="DF313" s="411"/>
      <c r="DG313" s="1116">
        <f t="shared" si="398"/>
        <v>0</v>
      </c>
      <c r="DH313" s="1116">
        <f t="shared" si="399"/>
        <v>0</v>
      </c>
      <c r="DI313" s="1116">
        <f t="shared" si="400"/>
        <v>0</v>
      </c>
      <c r="DJ313" s="442">
        <f t="shared" si="401"/>
        <v>0</v>
      </c>
      <c r="DK313" s="1109">
        <f t="shared" si="402"/>
        <v>0</v>
      </c>
      <c r="DL313" s="1101">
        <f t="shared" si="403"/>
        <v>0</v>
      </c>
      <c r="DM313" s="1097">
        <f t="shared" si="404"/>
        <v>0</v>
      </c>
      <c r="DN313" s="1097">
        <f t="shared" si="405"/>
        <v>0</v>
      </c>
      <c r="DO313" s="1097">
        <f t="shared" si="406"/>
        <v>0</v>
      </c>
      <c r="DP313" s="1110">
        <f t="shared" si="407"/>
        <v>0</v>
      </c>
      <c r="DQ313" s="1113" t="s">
        <v>1085</v>
      </c>
      <c r="DR313" s="1120">
        <f t="shared" si="408"/>
        <v>0.3</v>
      </c>
      <c r="DS313" s="1124">
        <v>5</v>
      </c>
      <c r="DT313" s="1093" t="s">
        <v>1057</v>
      </c>
      <c r="DU313" s="1093" t="s">
        <v>1064</v>
      </c>
      <c r="DV313" s="1098">
        <f>IF($P313="","N/A",IF(P313=-1,INDEX('卡片raw data'!AN:AN,MATCH(D313,'卡片raw data'!$F:$F,)),0)+IF(AND(L313&lt;&gt;"party卡",P313&lt;=2,P313&gt;=0),INDEX('卡片raw data'!AP:AP,MATCH(D313,'卡片raw data'!$F:$F,)),0)+IF(OR(AND(L313="party卡",P313&lt;=1),AND(P313&lt;=4,L313&lt;&gt;"party卡",P313&gt;=3)),INDEX('卡片raw data'!AQ:AQ,MATCH(D313,'卡片raw data'!$F:$F,)),0)+IF(OR(P313=5,AND(L313="party卡",P313&gt;=2)),INDEX('卡片raw data'!AR:AR,MATCH(D313,'卡片raw data'!$F:$F,)),0))</f>
        <v>4.2000000000000003E-2</v>
      </c>
      <c r="DW313" s="1098">
        <f t="shared" si="409"/>
        <v>0.3</v>
      </c>
      <c r="DX313" s="1098">
        <f t="shared" si="410"/>
        <v>0.3</v>
      </c>
      <c r="DY313" s="1098">
        <f t="shared" si="411"/>
        <v>2.0999999999999998E-2</v>
      </c>
      <c r="DZ313" s="1098">
        <f t="shared" si="412"/>
        <v>1.8164999999999997E-2</v>
      </c>
      <c r="EA313" s="1098">
        <f t="shared" si="413"/>
        <v>0</v>
      </c>
      <c r="EB313" s="1121">
        <f t="shared" si="414"/>
        <v>4.1901234374999996</v>
      </c>
      <c r="EC313" s="1101">
        <f t="shared" si="415"/>
        <v>272.99999999999994</v>
      </c>
      <c r="ED313" s="1097">
        <f t="shared" si="416"/>
        <v>181.04449999999994</v>
      </c>
      <c r="EE313" s="1110">
        <f t="shared" si="417"/>
        <v>272.99999999999994</v>
      </c>
      <c r="EF313" s="1092" t="s">
        <v>569</v>
      </c>
      <c r="EG313" s="1120">
        <f t="shared" si="418"/>
        <v>0.3</v>
      </c>
      <c r="EH313" s="1124"/>
      <c r="EI313" s="1093"/>
      <c r="EJ313" s="1093"/>
      <c r="EK313" s="1097">
        <f>IF($P313="","N/A",IF(P313=-1,INDEX('卡片raw data'!AS:AS,MATCH(D313,'卡片raw data'!$F:$F,)),0)+IF(AND(L313&lt;&gt;"party卡",P313&lt;=2,P313&gt;=0),INDEX('卡片raw data'!AU:AU,MATCH(D313,'卡片raw data'!$F:$F,)),0)+IF(OR(AND(L313="party卡",P313&lt;=1),AND(P313&lt;=4,L313&lt;&gt;"party卡",P313&gt;=3)),INDEX('卡片raw data'!AV:AV,MATCH(D313,'卡片raw data'!$F:$F,)),0)+IF(OR(P313=5,AND(L313="party卡",P313&gt;=2)),INDEX('卡片raw data'!AW:AW,MATCH(D313,'卡片raw data'!$F:$F,)),0))</f>
        <v>0</v>
      </c>
      <c r="EL313" s="1098">
        <f t="shared" si="419"/>
        <v>0.3</v>
      </c>
      <c r="EM313" s="1098">
        <f t="shared" si="420"/>
        <v>0.3</v>
      </c>
      <c r="EN313" s="1125">
        <f t="shared" si="421"/>
        <v>0</v>
      </c>
      <c r="EO313" s="1125">
        <f t="shared" si="422"/>
        <v>0</v>
      </c>
      <c r="EP313" s="1098">
        <f t="shared" si="423"/>
        <v>0</v>
      </c>
      <c r="EQ313" s="1121">
        <f t="shared" si="424"/>
        <v>0</v>
      </c>
      <c r="ER313" s="1101">
        <f t="shared" si="425"/>
        <v>0</v>
      </c>
      <c r="ES313" s="1097">
        <f t="shared" si="426"/>
        <v>0</v>
      </c>
      <c r="ET313" s="1122">
        <f t="shared" si="427"/>
        <v>0</v>
      </c>
    </row>
    <row r="314" spans="2:150" ht="16.5" customHeight="1">
      <c r="B314" s="1123" t="str">
        <f>INDEX('卡片raw data'!B:B,MATCH($D314,'卡片raw data'!$F:$F,))</f>
        <v>糖果希</v>
      </c>
      <c r="C314" s="449" t="s">
        <v>658</v>
      </c>
      <c r="D314" s="408">
        <v>311</v>
      </c>
      <c r="E314" s="1090">
        <v>300073002</v>
      </c>
      <c r="F314" s="1090" t="str">
        <f>INDEX('卡片raw data'!C:C,MATCH($D314,'卡片raw data'!$F:$F,))</f>
        <v>UR</v>
      </c>
      <c r="G314" s="1094" t="s">
        <v>30</v>
      </c>
      <c r="H314" s="411">
        <f>IFERROR(INDEX(绊状态确认!C:C,MATCH($G314,绊状态确认!$B:$B,)),"")</f>
        <v>7</v>
      </c>
      <c r="I314" s="450" t="str">
        <f>IFERROR(INDEX(绊状态确认!D:D,MATCH($G314,绊状态确认!$B:$B,)),"")</f>
        <v>缪</v>
      </c>
      <c r="J314" s="450" t="str">
        <f>IFERROR(INDEX(绊状态确认!E:E,MATCH($G314,绊状态确认!$B:$B,)),"")</f>
        <v>3年级</v>
      </c>
      <c r="K314" s="451" t="str">
        <f>IFERROR(INDEX(绊状态确认!F:F,MATCH($G314,绊状态确认!$B:$B,)),"")</f>
        <v>lilywhite</v>
      </c>
      <c r="L314" s="1094" t="str">
        <f>INDEX('卡片raw data'!E:E,MATCH($D314,'卡片raw data'!$F:$F,))</f>
        <v>卡池卡</v>
      </c>
      <c r="M314" s="415">
        <v>44087</v>
      </c>
      <c r="N314" s="416">
        <v>23.5</v>
      </c>
      <c r="O314" s="1091" t="str">
        <f>INDEX('卡片raw data'!D:D,MATCH($D314,'卡片raw data'!$F:$F,))</f>
        <v>sk</v>
      </c>
      <c r="P314" s="417">
        <v>5</v>
      </c>
      <c r="Q314" s="1095">
        <f t="shared" si="343"/>
        <v>42669.029240607364</v>
      </c>
      <c r="R314" s="1096">
        <f t="shared" si="344"/>
        <v>0.496</v>
      </c>
      <c r="S314" s="1097">
        <f t="shared" si="345"/>
        <v>20602.206432336607</v>
      </c>
      <c r="T314" s="1098">
        <f t="shared" si="346"/>
        <v>1.03</v>
      </c>
      <c r="U314" s="1099">
        <f t="shared" si="347"/>
        <v>17.416243817142856</v>
      </c>
      <c r="V314" s="1100">
        <f t="shared" si="348"/>
        <v>46074.012624523377</v>
      </c>
      <c r="W314" s="1101">
        <f t="shared" si="349"/>
        <v>5809.9521389623987</v>
      </c>
      <c r="X314" s="1096">
        <f t="shared" si="350"/>
        <v>6.7000000000000004E-2</v>
      </c>
      <c r="Y314" s="1097">
        <f t="shared" si="351"/>
        <v>1404.9833839160119</v>
      </c>
      <c r="Z314" s="1102">
        <f t="shared" si="352"/>
        <v>17.416243817142856</v>
      </c>
      <c r="AA314" s="1103">
        <f t="shared" si="353"/>
        <v>7214.9355228784107</v>
      </c>
      <c r="AB314" s="1101">
        <f t="shared" si="354"/>
        <v>6678.1059068533332</v>
      </c>
      <c r="AC314" s="1104">
        <f t="shared" si="355"/>
        <v>7.6999999999999999E-2</v>
      </c>
      <c r="AD314" s="1105">
        <f t="shared" si="356"/>
        <v>2.1769318181818181E-2</v>
      </c>
      <c r="AE314" s="1128">
        <f t="shared" si="357"/>
        <v>11.953757704745847</v>
      </c>
      <c r="AF314" s="1130">
        <f t="shared" si="358"/>
        <v>0</v>
      </c>
      <c r="AG314" s="420">
        <f t="shared" si="359"/>
        <v>0</v>
      </c>
      <c r="AH314" s="420">
        <f t="shared" si="360"/>
        <v>0</v>
      </c>
      <c r="AI314" s="1097">
        <f t="shared" si="361"/>
        <v>0</v>
      </c>
      <c r="AJ314" s="420">
        <f t="shared" si="362"/>
        <v>0</v>
      </c>
      <c r="AK314" s="518">
        <f t="shared" si="363"/>
        <v>0</v>
      </c>
      <c r="AL314" s="1106">
        <f>IF($P314="","N/A",(IF($P314=-1,INDEX('卡片raw data'!S:S,MATCH($D314,'卡片raw data'!$F:$F,)),0)+IF($P314=0,INDEX('卡片raw data'!V:V,MATCH($D314,'卡片raw data'!$F:$F,)),0)+IF($P314=1,INDEX('卡片raw data'!Y:Y,MATCH($D314,'卡片raw data'!$F:$F,)),0)+IF($P314=2,INDEX('卡片raw data'!AB:AB,MATCH($D314,'卡片raw data'!$F:$F,)),0)+IF($P314=3,INDEX('卡片raw data'!AE:AE,MATCH($D314,'卡片raw data'!$F:$F,)),0)+IF($P314=4,INDEX('卡片raw data'!AH:AH,MATCH($D314,'卡片raw data'!$F:$F,)),0)+IF($P314=5,INDEX('卡片raw data'!AK:AK,MATCH($D314,'卡片raw data'!$F:$F,)),0)+INDEX('卡片raw data'!S:S,MATCH($D314,'卡片raw data'!$F:$F,))*(IF($F314="UR",0.04,0.033))*(IF($F314="UR",INDEX(绊状态确认!$S:$S,MATCH($G314,绊状态确认!$B:$B,))/2-40)+IF($F314="SR",INDEX(绊状态确认!$R:$R,MATCH($G314,绊状态确认!$B:$B,))/4-15))+IF($F314="R",INDEX(绊状态确认!$Q:$Q,MATCH($G314,绊状态确认!$B:$B,))/6-40/6)))*(INDEX(绊状态确认!$H:$H,MATCH($G314,绊状态确认!$B:$B,))+INDEX(绊状态确认!J:J,MATCH($G314,绊状态确认!$B:$B,)))</f>
        <v>10589.20248</v>
      </c>
      <c r="AM314" s="1106">
        <f>IF($P314="","N/A",(IF($P314=-1,INDEX('卡片raw data'!T:T,MATCH($D314,'卡片raw data'!$F:$F,)),0)+IF($P314=0,INDEX('卡片raw data'!W:W,MATCH($D314,'卡片raw data'!$F:$F,)),0)+IF($P314=1,INDEX('卡片raw data'!Z:Z,MATCH($D314,'卡片raw data'!$F:$F,)),0)+IF($P314=2,INDEX('卡片raw data'!AC:AC,MATCH($D314,'卡片raw data'!$F:$F,)),0)+IF($P314=3,INDEX('卡片raw data'!AF:AF,MATCH($D314,'卡片raw data'!$F:$F,)),0)+IF($P314=4,INDEX('卡片raw data'!AI:AI,MATCH($D314,'卡片raw data'!$F:$F,)),0)+IF($P314=5,INDEX('卡片raw data'!AL:AL,MATCH($D314,'卡片raw data'!$F:$F,)),0)+INDEX('卡片raw data'!T:T,MATCH($D314,'卡片raw data'!$F:$F,))*(IF($F314="UR",0.04,0.033))*(IF($F314="UR",INDEX(绊状态确认!$S:$S,MATCH($G314,绊状态确认!$B:$B,))/2-40)+IF($F314="SR",INDEX(绊状态确认!$R:$R,MATCH($G314,绊状态确认!$B:$B,))/4-15))+IF($F314="R",INDEX(绊状态确认!$Q:$Q,MATCH($G314,绊状态确认!$B:$B,))/6-40/6)))*(INDEX(绊状态确认!$H:$H,MATCH($G314,绊状态确认!$B:$B,))+INDEX(绊状态确认!K:K,MATCH($G314,绊状态确认!$B:$B,)))</f>
        <v>9927.5903999999991</v>
      </c>
      <c r="AN314" s="1106">
        <f>IF($P314="","N/A",(IF($P314=-1,INDEX('卡片raw data'!U:U,MATCH($D314,'卡片raw data'!$F:$F,)),0)+IF($P314=0,INDEX('卡片raw data'!X:X,MATCH($D314,'卡片raw data'!$F:$F,)),0)+IF($P314=1,INDEX('卡片raw data'!AA:AA,MATCH($D314,'卡片raw data'!$F:$F,)),0)+IF($P314=2,INDEX('卡片raw data'!AD:AD,MATCH($D314,'卡片raw data'!$F:$F,)),0)+IF($P314=3,INDEX('卡片raw data'!AG:AG,MATCH($D314,'卡片raw data'!$F:$F,)),0)+IF($P314=4,INDEX('卡片raw data'!AJ:AJ,MATCH($D314,'卡片raw data'!$F:$F,)),0)+IF($P314=5,INDEX('卡片raw data'!AM:AM,MATCH($D314,'卡片raw data'!$F:$F,)),0)+INDEX('卡片raw data'!U:U,MATCH($D314,'卡片raw data'!$F:$F,))*(IF($F314="UR",0.04,0.033))*(IF($F314="UR",INDEX(绊状态确认!$S:$S,MATCH($G314,绊状态确认!$B:$B,))/2-40)+IF($F314="SR",INDEX(绊状态确认!$R:$R,MATCH($G314,绊状态确认!$B:$B,))/4-15))+IF($F314="R",INDEX(绊状态确认!$Q:$Q,MATCH($G314,绊状态确认!$B:$B,))/6-40/6)))*(INDEX(绊状态确认!$H:$H,MATCH($G314,绊状态确认!$B:$B,))+INDEX(绊状态确认!L:L,MATCH($G314,绊状态确认!$B:$B,)))</f>
        <v>12574.038719999997</v>
      </c>
      <c r="AO314" s="1107">
        <f t="shared" si="364"/>
        <v>1</v>
      </c>
      <c r="AP314" s="1131">
        <f>1+(INDEX(绊状态确认!$T:$T,MATCH($G314,绊状态确认!$B:$B,))+0.2)*$AO314</f>
        <v>1.3</v>
      </c>
      <c r="AQ314" s="1108">
        <f t="shared" si="365"/>
        <v>31046.656510000001</v>
      </c>
      <c r="AR314" s="1097">
        <f>(AM314*(1+$EX$9)+$EX$35)*(1+(INDEX(绊状态确认!$T:$T,MATCH($G314,绊状态确认!$B:$B,))+0.2)*AO314)*IF(J314=$FF$17,1+$FE$17,1)*IF(I314=$FF$14,1+$FE$14,1)*(1+$FE$15)</f>
        <v>16255.160895999999</v>
      </c>
      <c r="AS314" s="1097">
        <f>(AN314*(1+$EX$10)+$EX$36)*(1+(INDEX(绊状态确认!$T:$T,MATCH($G314,绊状态确认!$B:$B,))+0.2)*AO314)*IF(J314=$FF$17,1+$FE$17,1)*IF(I314=$FF$14,1+$FE$14,1)*(1+$FE$15)</f>
        <v>22854.187886399995</v>
      </c>
      <c r="AT314" s="1093">
        <f>IF(AND(INDEX('卡片raw data'!AK:AK,MATCH($D314,'卡片raw data'!$F:$F,))&lt;INDEX('卡片raw data'!AM:AM,MATCH($D314,'卡片raw data'!$F:$F,)),INDEX('卡片raw data'!AL:AL,MATCH($D314,'卡片raw data'!$F:$F,))&lt;INDEX('卡片raw data'!AM:AM,MATCH($D314,'卡片raw data'!$F:$F,))),1,0)</f>
        <v>1</v>
      </c>
      <c r="AU314" s="1098">
        <f>MIN(AT314*0.15+AS314*0.00003+INDEX(绊状态确认!M:M,MATCH($G314,绊状态确认!$B:$B,)),1)</f>
        <v>0.86562563659199998</v>
      </c>
      <c r="AV314" s="1109">
        <f>(INDEX(绊状态确认!$N:$N,MATCH($G314,绊状态确认!$B:$B,))+1.5)*$EW$21</f>
        <v>2.6599999999999997</v>
      </c>
      <c r="AW314" s="1101">
        <f t="shared" si="366"/>
        <v>39293.144014523736</v>
      </c>
      <c r="AX314" s="1097">
        <f t="shared" si="367"/>
        <v>1404.9833839160119</v>
      </c>
      <c r="AY314" s="1110">
        <f t="shared" si="368"/>
        <v>40698.127398439749</v>
      </c>
      <c r="AZ314" s="429">
        <f t="shared" si="369"/>
        <v>23248.944835999999</v>
      </c>
      <c r="BA314" s="431">
        <f t="shared" si="370"/>
        <v>27898.733803199997</v>
      </c>
      <c r="BB314" s="1097">
        <f>(AM314*(1+$FB$9)+$FB$35)*(1+(INDEX(绊状态确认!$T:$T,MATCH($G314,绊状态确认!$B:$B,))+0.2)*AO314)*IF(J314=$FF$17,1+$FE$17,1)*IF(I314=$FF$14,1+$FE$14,1)*(1+$FE$15)</f>
        <v>16255.160895999999</v>
      </c>
      <c r="BC314" s="1097">
        <f>(AN314*(1+$FB$10)+$FB$36)*(1+(INDEX(绊状态确认!$T:$T,MATCH($G314,绊状态确认!$B:$B,))+0.2)*AO314)*IF(J314=$FF$17,1+$FE$17,1)*IF(I314=$FF$14,1+$FE$14,1)*(1+$FE$15)</f>
        <v>22854.187886399995</v>
      </c>
      <c r="BD314" s="1104">
        <f>MIN(AT314*0.15+BC314*0.00003+INDEX(绊状态确认!M:M,MATCH($G314,绊状态确认!$B:$B,)),1)</f>
        <v>0.86562563659199998</v>
      </c>
      <c r="BE314" s="432">
        <f>(INDEX(绊状态确认!$N:$N,MATCH($G314,绊状态确认!$B:$B,))+1.5)</f>
        <v>1.9</v>
      </c>
      <c r="BF314" s="1139">
        <f t="array" ref="BF314">SUMPRODUCT(IF(AZ314*AP314*$FI$16:$FI$23*$FA$22&gt;=$FI$24,$FI$24,AZ314*AP314*$FI$16:$FI$23*$FA$22),$FJ$16:$FJ$23)</f>
        <v>46242.151278803991</v>
      </c>
      <c r="BG314" s="1125">
        <f t="array" ref="BG314">SUMPRODUCT(IF(BE314*AZ314*AP314*$FI$16:$FI$23*$FA$22&gt;=$FI$24,$FI$24,BE314*AZ314*AP314*$FI$16:$FI$23*$FA$22),$FJ$16:$FJ$23)</f>
        <v>60000</v>
      </c>
      <c r="BH314" s="1110">
        <f t="shared" si="371"/>
        <v>19383.765945408573</v>
      </c>
      <c r="BI314" s="1111">
        <f>IF(O314="vo",$EW$26/$EW$24*0.05,0)+IF(O314="sk",-$EW$26/$EW$24*(0.05-INDEX(绊状态确认!W:W,MATCH($G314,绊状态确认!$B:$B,)))+0.05*$EW$28,0)+IF(O314="sp",0.05*$EW$32*$EW$30*(1-$EW$33)-(0.05-INDEX(绊状态确认!V:V,MATCH($G314,绊状态确认!$B:$B,)))*$EW$28,0)+IF(O314="gd",-(0.05-INDEX(绊状态确认!X:X,MATCH($G314,绊状态确认!$B:$B,)))*$EW$32*$EW$30*(1-$EW$33),0)</f>
        <v>-6253.6726349699375</v>
      </c>
      <c r="BJ314" s="1097">
        <f>IF(O314="vo",0.05*(1-$FI$26)*$FA$24,0)+IF(O314="sk",-(0.05-INDEX(绊状态确认!W:W,MATCH($G314,绊状态确认!$B:$B,)))*(1-$FI$26)*$FA$24+0.05*$FA$26,0)+IF(O314="sp",0.05*$FA$32*$FA$27*(1-$FA$33)/$FA$30+0.05*$FA$29/$FA$69*$FA$27*(1-$FA$33)-(0.05-INDEX(绊状态确认!V:V,MATCH($G314,绊状态确认!$B:$B,)))*$FA$26,0)+IF(O314="gd",-(0.05-INDEX(绊状态确认!X:X,MATCH($G314,绊状态确认!$B:$B,)))*$FA$32*$FA$27*(1-$FA$33)/$FA$30-(0.05-INDEX(绊状态确认!X:X,MATCH($G314,绊状态确认!$B:$B,)))*$FA$29/$FA$69*$FA$27*(1-$FA$33),0)</f>
        <v>20.459096812499922</v>
      </c>
      <c r="BK314" s="1110">
        <f>IF(O314="vo",$EW$26/$EW$24*0.05+$EW$26*(-HP($EW$62,$EW$65,$EW$64)+HP($EW$62,$EW$65,(1.05-INDEX(绊状态确认!U:U,MATCH($G314,绊状态确认!$B:$B,)))*$EW$64)),0)+IF(O314="sk",-$EW$26/$EW$24*(0.05-INDEX(绊状态确认!W:W,MATCH($G314,绊状态确认!$B:$B,)))+0.05*$EW$29,0)+IF(O314="sp",0.05*$EW$32*$EW$30*(1-$EW$33)-(0.05-INDEX(绊状态确认!V:V,MATCH($G314,绊状态确认!$B:$B,)))*$EW$29,0)+IF(O314="gd",-(0.05-INDEX(绊状态确认!X:X,MATCH($G314,绊状态确认!$B:$B,)))*$EW$32*$EW$30*(1-$EW$33)+$EW$26*(-HP($EW$62,$EW$65,$EW$64)+HP($EW$62,$EW$65,0.95*$EW$64)),0)</f>
        <v>-4253.6726349699375</v>
      </c>
      <c r="BL314" s="1111">
        <f t="shared" si="372"/>
        <v>0</v>
      </c>
      <c r="BM314" s="1110">
        <f t="shared" si="373"/>
        <v>0</v>
      </c>
      <c r="BN314" s="1113">
        <f t="shared" si="374"/>
        <v>3</v>
      </c>
      <c r="BO314" s="1097">
        <f t="shared" si="375"/>
        <v>4507.7214871259994</v>
      </c>
      <c r="BP314" s="1100">
        <f t="shared" si="376"/>
        <v>221.34103209030098</v>
      </c>
      <c r="BQ314" s="1113" t="s">
        <v>132</v>
      </c>
      <c r="BR314" s="1124" t="s">
        <v>169</v>
      </c>
      <c r="BS314" s="1098">
        <f>IF($P314="","N/A",IF($P314=-1,INDEX('卡片raw data'!AX:AX,MATCH($D314,'卡片raw data'!$F:$F,)),0)+IF($L314="party卡",IF($P314=5,INDEX('卡片raw data'!BD:BD,MATCH($D314,'卡片raw data'!$F:$F,)),IF($P314&gt;=3,INDEX('卡片raw data'!BC:BC,MATCH($D314,'卡片raw data'!$F:$F,)),INDEX('卡片raw data'!BB:BB,MATCH($D314,'卡片raw data'!$F:$F,)))),IF(OR(AND($F314="UR",$P314=0),AND($F314="SR",$P314&gt;=0,$P314&lt;=2),AND($F314="R",$P314&gt;=0,$P314&lt;4)),INDEX('卡片raw data'!AZ:AZ,MATCH($D314,'卡片raw data'!$F:$F,)),0)+IF(OR(AND($F314="UR",$P314&gt;=1,$P314&lt;=4),AND($F314="SR",$P314&lt;=4,$P314&gt;=3),AND($F314="R",$P314=4)),INDEX('卡片raw data'!BA:BA,MATCH($D314,'卡片raw data'!$F:$F,)),0)+IF($P314=5,INDEX('卡片raw data'!BB:BB,MATCH($D314,'卡片raw data'!$F:$F,)),0)))</f>
        <v>5.1999999999999998E-2</v>
      </c>
      <c r="BT314" s="1101">
        <f t="shared" si="377"/>
        <v>2170.3844197273338</v>
      </c>
      <c r="BU314" s="1097">
        <f t="shared" si="378"/>
        <v>106.57160804347826</v>
      </c>
      <c r="BV314" s="1097">
        <f t="shared" si="379"/>
        <v>1302.2306518363998</v>
      </c>
      <c r="BW314" s="1112">
        <f t="shared" si="380"/>
        <v>0</v>
      </c>
      <c r="BX314" s="1100">
        <f t="shared" si="381"/>
        <v>2170.3844197273338</v>
      </c>
      <c r="BY314" s="1110">
        <f t="shared" si="382"/>
        <v>1302.2306518363998</v>
      </c>
      <c r="BZ314" s="1107" t="s">
        <v>569</v>
      </c>
      <c r="CA314" s="1124"/>
      <c r="CB314" s="1098">
        <f>IF($P314="","N/A",IF($P314=-1,INDEX('卡片raw data'!BE:BE,MATCH($D314,'卡片raw data'!$F:$F,)),0)+IF($L314="party卡",IF($P314=5,INDEX('卡片raw data'!BK:BK,MATCH($D314,'卡片raw data'!$F:$F,)),IF($P314&gt;=3,INDEX('卡片raw data'!BJ:BJ,MATCH($D314,'卡片raw data'!$F:$F,)),INDEX('卡片raw data'!BI:BI,MATCH($D314,'卡片raw data'!$F:$F,)))),IF(OR(AND($F314="UR",$P314=0),AND($F314="SR",$P314&gt;=0,$P314&lt;=2),AND($F314="R",$P314&gt;=0,$P314&lt;4)),INDEX('卡片raw data'!BG:BG,MATCH($D314,'卡片raw data'!$F:$F,)),0)+IF(OR(AND($F314="UR",$P314&gt;=1,$P314&lt;=4),AND($F314="SR",$P314&lt;=4,$P314&gt;=3),AND($F314="R",$P314=4)),INDEX('卡片raw data'!BH:BH,MATCH($D314,'卡片raw data'!$F:$F,)),0)+IF($P314=5,INDEX('卡片raw data'!BI:BI,MATCH($D314,'卡片raw data'!$F:$F,)),0)))</f>
        <v>0</v>
      </c>
      <c r="CC314" s="1101">
        <f t="shared" si="383"/>
        <v>0</v>
      </c>
      <c r="CD314" s="1097">
        <f>IF(BZ314="ap",CB314*(1-$FI$26)*$FB$5/$FB$11*(+IF(CA314="全员",$FA$24,0)+IF(CA314="同作战",$FA$24,0)+IF(CA314="仲间",$FA$24*2/3,0)+IF(CA314="同属性",$FA$24*$FA$37/3,0)+IF(CA314="同年级",$FA$24*$FA$40/3,0)+IF(CA314="同学校",$FA$24*$FA$43/3,0)+IF(CA314="同小队",$FA$24*$FA$46/3,0)+IF(CA314="同type",$FA$24*INDEX($FB$49:$FB$52,MATCH(X314,$FA$49:$FA$52,))/3,0)+IF(CA314="自身",#REF!/3,0)),0)+IF(BZ314="te",CB314*(1-$FI$27)*($FA$20-1)*$FB$7/$FB$13*(+IF(CA314="全员",$FA$19*$FA$24/(1+($FA$20-1)*$FA$19),0)+IF(CA314="同作战",$FA$19*$FA$24/(1+($FA$20-1)*$FA$19),0)+IF(CA314="仲间",$FA$19*$FA$24*2/3/(1+($FA$20-1)*$FA$19),0)+IF(CA314="同属性",$FA$19*$FA$24*$FA$37/3/(1+($FA$20-1)*$FA$19),0)+IF(CA314="同年级",$FA$19*$FA$24*$FA$40/3/(1+($FA$20-1)*$FA$19),0)+IF(CA314="同学校",$FA$19*$FA$24*$FA$43/3/(1+($FA$20-1)*$FA$19),0)+IF(CA314="同小队",$FA$19*$FA$24*$FA$46/3/(1+($FA$20-1)*$FA$19),0)+IF(CA314="同type",$FA$19*$FA$24*INDEX($FB$49:$FB$52,MATCH(X314,$FA$49:$FA$52,))/3/(1+($FA$20-1)*$FA$19),0)+IF(CA314="自身",$FA$19*#REF!/3/(1+(BH314-1)*$BD314),0)),0)</f>
        <v>0</v>
      </c>
      <c r="CE314" s="1097">
        <f t="shared" si="384"/>
        <v>0</v>
      </c>
      <c r="CF314" s="1112">
        <f t="shared" si="385"/>
        <v>0</v>
      </c>
      <c r="CG314" s="1100">
        <f t="shared" si="386"/>
        <v>0</v>
      </c>
      <c r="CH314" s="1110">
        <f t="shared" si="387"/>
        <v>0</v>
      </c>
      <c r="CI314" s="1113" t="s">
        <v>164</v>
      </c>
      <c r="CJ314" s="1114">
        <v>1</v>
      </c>
      <c r="CK314" s="1115" t="s">
        <v>549</v>
      </c>
      <c r="CL314" s="1115" t="s">
        <v>1940</v>
      </c>
      <c r="CM314" s="1119">
        <v>2.5999999999999999E-2</v>
      </c>
      <c r="CN314" s="1115"/>
      <c r="CO314" s="1092"/>
      <c r="CP314" s="1116">
        <f t="shared" si="388"/>
        <v>0</v>
      </c>
      <c r="CQ314" s="1116">
        <f t="shared" si="389"/>
        <v>0</v>
      </c>
      <c r="CR314" s="1116">
        <f t="shared" si="390"/>
        <v>0</v>
      </c>
      <c r="CS314" s="1118">
        <f t="shared" si="391"/>
        <v>0</v>
      </c>
      <c r="CT314" s="1109">
        <f t="shared" si="392"/>
        <v>0</v>
      </c>
      <c r="CU314" s="1101">
        <f t="shared" si="393"/>
        <v>0</v>
      </c>
      <c r="CV314" s="1108">
        <f t="shared" si="394"/>
        <v>0</v>
      </c>
      <c r="CW314" s="1097">
        <f t="shared" si="395"/>
        <v>0</v>
      </c>
      <c r="CX314" s="1097">
        <f t="shared" si="396"/>
        <v>0</v>
      </c>
      <c r="CY314" s="1110">
        <f t="shared" si="397"/>
        <v>0</v>
      </c>
      <c r="CZ314" s="437"/>
      <c r="DA314" s="438"/>
      <c r="DB314" s="439" t="s">
        <v>569</v>
      </c>
      <c r="DC314" s="439"/>
      <c r="DD314" s="443"/>
      <c r="DE314" s="411"/>
      <c r="DF314" s="411"/>
      <c r="DG314" s="1116">
        <f t="shared" si="398"/>
        <v>0</v>
      </c>
      <c r="DH314" s="1116">
        <f t="shared" si="399"/>
        <v>0</v>
      </c>
      <c r="DI314" s="1116">
        <f t="shared" si="400"/>
        <v>0</v>
      </c>
      <c r="DJ314" s="442">
        <f t="shared" si="401"/>
        <v>0</v>
      </c>
      <c r="DK314" s="1109">
        <f t="shared" si="402"/>
        <v>0</v>
      </c>
      <c r="DL314" s="1101">
        <f t="shared" si="403"/>
        <v>0</v>
      </c>
      <c r="DM314" s="1097">
        <f t="shared" si="404"/>
        <v>0</v>
      </c>
      <c r="DN314" s="1097">
        <f t="shared" si="405"/>
        <v>0</v>
      </c>
      <c r="DO314" s="1097">
        <f t="shared" si="406"/>
        <v>0</v>
      </c>
      <c r="DP314" s="1110">
        <f t="shared" si="407"/>
        <v>0</v>
      </c>
      <c r="DQ314" s="1113" t="s">
        <v>545</v>
      </c>
      <c r="DR314" s="1120">
        <f t="shared" si="408"/>
        <v>0.33</v>
      </c>
      <c r="DS314" s="1124"/>
      <c r="DT314" s="1093" t="s">
        <v>132</v>
      </c>
      <c r="DU314" s="1093"/>
      <c r="DV314" s="1098">
        <f>IF($P314="","N/A",IF(P314=-1,INDEX('卡片raw data'!AN:AN,MATCH(D314,'卡片raw data'!$F:$F,)),0)+IF(AND(L314&lt;&gt;"party卡",P314&lt;=2,P314&gt;=0),INDEX('卡片raw data'!AP:AP,MATCH(D314,'卡片raw data'!$F:$F,)),0)+IF(OR(AND(L314="party卡",P314&lt;=1),AND(P314&lt;=4,L314&lt;&gt;"party卡",P314&gt;=3)),INDEX('卡片raw data'!AQ:AQ,MATCH(D314,'卡片raw data'!$F:$F,)),0)+IF(OR(P314=5,AND(L314="party卡",P314&gt;=2)),INDEX('卡片raw data'!AR:AR,MATCH(D314,'卡片raw data'!$F:$F,)),0))</f>
        <v>0.23</v>
      </c>
      <c r="DW314" s="1098">
        <f t="shared" si="409"/>
        <v>0.33</v>
      </c>
      <c r="DX314" s="1098">
        <f t="shared" si="410"/>
        <v>0.33</v>
      </c>
      <c r="DY314" s="1125">
        <f t="shared" si="411"/>
        <v>1021.1245326139001</v>
      </c>
      <c r="DZ314" s="1125">
        <f t="shared" si="412"/>
        <v>793.71479189096954</v>
      </c>
      <c r="EA314" s="1098">
        <f t="shared" si="413"/>
        <v>0</v>
      </c>
      <c r="EB314" s="1121">
        <f t="shared" si="414"/>
        <v>0</v>
      </c>
      <c r="EC314" s="1101">
        <f t="shared" si="415"/>
        <v>1123.2369858752902</v>
      </c>
      <c r="ED314" s="1097">
        <f t="shared" si="416"/>
        <v>793.71479189096954</v>
      </c>
      <c r="EE314" s="1110">
        <f t="shared" si="417"/>
        <v>1123.2369858752902</v>
      </c>
      <c r="EF314" s="1115" t="s">
        <v>167</v>
      </c>
      <c r="EG314" s="1120">
        <f t="shared" si="418"/>
        <v>0.33</v>
      </c>
      <c r="EH314" s="1124">
        <v>5</v>
      </c>
      <c r="EI314" s="1093" t="s">
        <v>169</v>
      </c>
      <c r="EJ314" s="1093" t="s">
        <v>544</v>
      </c>
      <c r="EK314" s="1098">
        <f>IF($P314="","N/A",IF(P314=-1,INDEX('卡片raw data'!AS:AS,MATCH(D314,'卡片raw data'!$F:$F,)),0)+IF(AND(L314&lt;&gt;"party卡",P314&lt;=2,P314&gt;=0),INDEX('卡片raw data'!AU:AU,MATCH(D314,'卡片raw data'!$F:$F,)),0)+IF(OR(AND(L314="party卡",P314&lt;=1),AND(P314&lt;=4,L314&lt;&gt;"party卡",P314&gt;=3)),INDEX('卡片raw data'!AV:AV,MATCH(D314,'卡片raw data'!$F:$F,)),0)+IF(OR(P314=5,AND(L314="party卡",P314&gt;=2)),INDEX('卡片raw data'!AW:AW,MATCH(D314,'卡片raw data'!$F:$F,)),0))</f>
        <v>4.3999999999999997E-2</v>
      </c>
      <c r="EL314" s="1098">
        <f t="shared" si="419"/>
        <v>0.33</v>
      </c>
      <c r="EM314" s="1098">
        <f t="shared" si="420"/>
        <v>0.33</v>
      </c>
      <c r="EN314" s="1098">
        <f t="shared" si="421"/>
        <v>1.3444444444444445E-2</v>
      </c>
      <c r="EO314" s="1098">
        <f t="shared" si="422"/>
        <v>1.1629444444444444E-2</v>
      </c>
      <c r="EP314" s="1098">
        <f t="shared" si="423"/>
        <v>0</v>
      </c>
      <c r="EQ314" s="1121">
        <f t="shared" si="424"/>
        <v>0</v>
      </c>
      <c r="ER314" s="1101">
        <f t="shared" si="425"/>
        <v>1828.2149683249359</v>
      </c>
      <c r="ES314" s="1097">
        <f t="shared" si="426"/>
        <v>76.353958090781262</v>
      </c>
      <c r="ET314" s="1122">
        <f t="shared" si="427"/>
        <v>1828.2149683249359</v>
      </c>
    </row>
    <row r="315" spans="2:150" ht="16.5" customHeight="1">
      <c r="B315" s="1123" t="str">
        <f>INDEX('卡片raw data'!B:B,MATCH($D315,'卡片raw data'!$F:$F,))</f>
        <v>二专爱</v>
      </c>
      <c r="C315" s="449" t="s">
        <v>658</v>
      </c>
      <c r="D315" s="408">
        <v>312</v>
      </c>
      <c r="E315" s="1090">
        <v>302052002</v>
      </c>
      <c r="F315" s="1090" t="str">
        <f>INDEX('卡片raw data'!C:C,MATCH($D315,'卡片raw data'!$F:$F,))</f>
        <v>SR</v>
      </c>
      <c r="G315" s="1094" t="s">
        <v>47</v>
      </c>
      <c r="H315" s="411">
        <f>IFERROR(INDEX(绊状态确认!C:C,MATCH($G315,绊状态确认!$B:$B,)),"")</f>
        <v>205</v>
      </c>
      <c r="I315" s="450" t="str">
        <f>IFERROR(INDEX(绊状态确认!D:D,MATCH($G315,绊状态确认!$B:$B,)),"")</f>
        <v>虹</v>
      </c>
      <c r="J315" s="450" t="str">
        <f>IFERROR(INDEX(绊状态确认!E:E,MATCH($G315,绊状态确认!$B:$B,)),"")</f>
        <v>2年级</v>
      </c>
      <c r="K315" s="451" t="str">
        <f>IFERROR(INDEX(绊状态确认!F:F,MATCH($G315,绊状态确认!$B:$B,)),"")</f>
        <v>Diver Diva</v>
      </c>
      <c r="L315" s="1094" t="str">
        <f>INDEX('卡片raw data'!E:E,MATCH($D315,'卡片raw data'!$F:$F,))</f>
        <v>卡池卡</v>
      </c>
      <c r="M315" s="415">
        <v>44087</v>
      </c>
      <c r="N315" s="416">
        <v>23.5</v>
      </c>
      <c r="O315" s="1091" t="str">
        <f>INDEX('卡片raw data'!D:D,MATCH($D315,'卡片raw data'!$F:$F,))</f>
        <v>vo</v>
      </c>
      <c r="P315" s="417">
        <v>5</v>
      </c>
      <c r="Q315" s="1095">
        <f t="shared" si="343"/>
        <v>34852.660488576854</v>
      </c>
      <c r="R315" s="1096">
        <f t="shared" si="344"/>
        <v>0.40500000000000003</v>
      </c>
      <c r="S315" s="1097">
        <f t="shared" si="345"/>
        <v>16021.204205134472</v>
      </c>
      <c r="T315" s="1098">
        <f t="shared" si="346"/>
        <v>0.80100000000000005</v>
      </c>
      <c r="U315" s="1099">
        <f t="shared" si="347"/>
        <v>-11.407049632287142</v>
      </c>
      <c r="V315" s="1100">
        <f t="shared" si="348"/>
        <v>34635.927823320701</v>
      </c>
      <c r="W315" s="1101">
        <f t="shared" si="349"/>
        <v>5486.3685874162747</v>
      </c>
      <c r="X315" s="1096">
        <f t="shared" si="350"/>
        <v>6.3E-2</v>
      </c>
      <c r="Y315" s="1097">
        <f t="shared" si="351"/>
        <v>1087.9357849855478</v>
      </c>
      <c r="Z315" s="1102">
        <f t="shared" si="352"/>
        <v>13.592950367712858</v>
      </c>
      <c r="AA315" s="1103">
        <f t="shared" si="353"/>
        <v>6574.3043724018225</v>
      </c>
      <c r="AB315" s="1101">
        <f t="shared" si="354"/>
        <v>6287.7412962386743</v>
      </c>
      <c r="AC315" s="1104">
        <f t="shared" si="355"/>
        <v>7.2999999999999995E-2</v>
      </c>
      <c r="AD315" s="1105">
        <f t="shared" si="356"/>
        <v>-3.8207812500000026E-3</v>
      </c>
      <c r="AE315" s="1128">
        <f t="shared" si="357"/>
        <v>-7.6425915551467813</v>
      </c>
      <c r="AF315" s="1130">
        <f t="shared" si="358"/>
        <v>0</v>
      </c>
      <c r="AG315" s="420">
        <f t="shared" si="359"/>
        <v>0</v>
      </c>
      <c r="AH315" s="420">
        <f t="shared" si="360"/>
        <v>0</v>
      </c>
      <c r="AI315" s="1097">
        <f t="shared" si="361"/>
        <v>0</v>
      </c>
      <c r="AJ315" s="420">
        <f t="shared" si="362"/>
        <v>0</v>
      </c>
      <c r="AK315" s="518">
        <f t="shared" si="363"/>
        <v>0</v>
      </c>
      <c r="AL315" s="1106">
        <f>IF($P315="","N/A",(IF($P315=-1,INDEX('卡片raw data'!S:S,MATCH($D315,'卡片raw data'!$F:$F,)),0)+IF($P315=0,INDEX('卡片raw data'!V:V,MATCH($D315,'卡片raw data'!$F:$F,)),0)+IF($P315=1,INDEX('卡片raw data'!Y:Y,MATCH($D315,'卡片raw data'!$F:$F,)),0)+IF($P315=2,INDEX('卡片raw data'!AB:AB,MATCH($D315,'卡片raw data'!$F:$F,)),0)+IF($P315=3,INDEX('卡片raw data'!AE:AE,MATCH($D315,'卡片raw data'!$F:$F,)),0)+IF($P315=4,INDEX('卡片raw data'!AH:AH,MATCH($D315,'卡片raw data'!$F:$F,)),0)+IF($P315=5,INDEX('卡片raw data'!AK:AK,MATCH($D315,'卡片raw data'!$F:$F,)),0)+INDEX('卡片raw data'!S:S,MATCH($D315,'卡片raw data'!$F:$F,))*(IF($F315="UR",0.04,0.033))*(IF($F315="UR",INDEX(绊状态确认!$S:$S,MATCH($G315,绊状态确认!$B:$B,))/2-40)+IF($F315="SR",INDEX(绊状态确认!$R:$R,MATCH($G315,绊状态确认!$B:$B,))/4-15))+IF($F315="R",INDEX(绊状态确认!$Q:$Q,MATCH($G315,绊状态确认!$B:$B,))/6-40/6)))*(INDEX(绊状态确认!$H:$H,MATCH($G315,绊状态确认!$B:$B,))+INDEX(绊状态确认!J:J,MATCH($G315,绊状态确认!$B:$B,)))</f>
        <v>8128.9237535999991</v>
      </c>
      <c r="AM315" s="1106">
        <f>IF($P315="","N/A",(IF($P315=-1,INDEX('卡片raw data'!T:T,MATCH($D315,'卡片raw data'!$F:$F,)),0)+IF($P315=0,INDEX('卡片raw data'!W:W,MATCH($D315,'卡片raw data'!$F:$F,)),0)+IF($P315=1,INDEX('卡片raw data'!Z:Z,MATCH($D315,'卡片raw data'!$F:$F,)),0)+IF($P315=2,INDEX('卡片raw data'!AC:AC,MATCH($D315,'卡片raw data'!$F:$F,)),0)+IF($P315=3,INDEX('卡片raw data'!AF:AF,MATCH($D315,'卡片raw data'!$F:$F,)),0)+IF($P315=4,INDEX('卡片raw data'!AI:AI,MATCH($D315,'卡片raw data'!$F:$F,)),0)+IF($P315=5,INDEX('卡片raw data'!AL:AL,MATCH($D315,'卡片raw data'!$F:$F,)),0)+INDEX('卡片raw data'!T:T,MATCH($D315,'卡片raw data'!$F:$F,))*(IF($F315="UR",0.04,0.033))*(IF($F315="UR",INDEX(绊状态确认!$S:$S,MATCH($G315,绊状态确认!$B:$B,))/2-40)+IF($F315="SR",INDEX(绊状态确认!$R:$R,MATCH($G315,绊状态确认!$B:$B,))/4-15))+IF($F315="R",INDEX(绊状态确认!$Q:$Q,MATCH($G315,绊状态确认!$B:$B,))/6-40/6)))*(INDEX(绊状态确认!$H:$H,MATCH($G315,绊状态确认!$B:$B,))+INDEX(绊状态确认!K:K,MATCH($G315,绊状态确认!$B:$B,)))</f>
        <v>7313.3726567999993</v>
      </c>
      <c r="AN315" s="1106">
        <f>IF($P315="","N/A",(IF($P315=-1,INDEX('卡片raw data'!U:U,MATCH($D315,'卡片raw data'!$F:$F,)),0)+IF($P315=0,INDEX('卡片raw data'!X:X,MATCH($D315,'卡片raw data'!$F:$F,)),0)+IF($P315=1,INDEX('卡片raw data'!AA:AA,MATCH($D315,'卡片raw data'!$F:$F,)),0)+IF($P315=2,INDEX('卡片raw data'!AD:AD,MATCH($D315,'卡片raw data'!$F:$F,)),0)+IF($P315=3,INDEX('卡片raw data'!AG:AG,MATCH($D315,'卡片raw data'!$F:$F,)),0)+IF($P315=4,INDEX('卡片raw data'!AJ:AJ,MATCH($D315,'卡片raw data'!$F:$F,)),0)+IF($P315=5,INDEX('卡片raw data'!AM:AM,MATCH($D315,'卡片raw data'!$F:$F,)),0)+INDEX('卡片raw data'!U:U,MATCH($D315,'卡片raw data'!$F:$F,))*(IF($F315="UR",0.04,0.033))*(IF($F315="UR",INDEX(绊状态确认!$S:$S,MATCH($G315,绊状态确认!$B:$B,))/2-40)+IF($F315="SR",INDEX(绊状态确认!$R:$R,MATCH($G315,绊状态确认!$B:$B,))/4-15))+IF($F315="R",INDEX(绊状态确认!$Q:$Q,MATCH($G315,绊状态确认!$B:$B,))/6-40/6)))*(INDEX(绊状态确认!$H:$H,MATCH($G315,绊状态确认!$B:$B,))+INDEX(绊状态确认!L:L,MATCH($G315,绊状态确认!$B:$B,)))</f>
        <v>4875.9605711999993</v>
      </c>
      <c r="AO315" s="1107">
        <f t="shared" si="364"/>
        <v>1</v>
      </c>
      <c r="AP315" s="1131">
        <f>1+(INDEX(绊状态确认!$T:$T,MATCH($G315,绊状态确认!$B:$B,))+0.2)*$AO315</f>
        <v>1.3</v>
      </c>
      <c r="AQ315" s="1108">
        <f t="shared" si="365"/>
        <v>24588.424853199998</v>
      </c>
      <c r="AR315" s="1097">
        <f>(AM315*(1+$EX$9)+$EX$35)*(1+(INDEX(绊状态确认!$T:$T,MATCH($G315,绊状态确认!$B:$B,))+0.2)*AO315)*IF(J315=$FF$17,1+$FE$17,1)*IF(I315=$FF$14,1+$FE$14,1)</f>
        <v>12686.753676532</v>
      </c>
      <c r="AS315" s="1097">
        <f>(AN315*(1+$EX$10)+$EX$36)*(1+(INDEX(绊状态确认!$T:$T,MATCH($G315,绊状态确认!$B:$B,))+0.2)*AO315)*IF(J315=$FF$17,1+$FE$17,1)*IF(I315=$FF$14,1+$FE$14,1)</f>
        <v>11345.561053943997</v>
      </c>
      <c r="AT315" s="1093">
        <f>IF(AND(INDEX('卡片raw data'!AK:AK,MATCH($D315,'卡片raw data'!$F:$F,))&lt;INDEX('卡片raw data'!AM:AM,MATCH($D315,'卡片raw data'!$F:$F,)),INDEX('卡片raw data'!AL:AL,MATCH($D315,'卡片raw data'!$F:$F,))&lt;INDEX('卡片raw data'!AM:AM,MATCH($D315,'卡片raw data'!$F:$F,))),1,0)</f>
        <v>0</v>
      </c>
      <c r="AU315" s="1098">
        <f>MIN(AT315*0.15+AS315*0.00003+INDEX(绊状态确认!M:M,MATCH($G315,绊状态确认!$B:$B,)),1)</f>
        <v>0.37036683161831996</v>
      </c>
      <c r="AV315" s="1109">
        <f>(INDEX(绊状态确认!$N:$N,MATCH($G315,绊状态确认!$B:$B,))+1.5)*$EW$21</f>
        <v>2.6599999999999997</v>
      </c>
      <c r="AW315" s="1101">
        <f t="shared" si="366"/>
        <v>20620.976038944329</v>
      </c>
      <c r="AX315" s="1097">
        <f t="shared" si="367"/>
        <v>1087.9357849855473</v>
      </c>
      <c r="AY315" s="1110">
        <f t="shared" si="368"/>
        <v>21708.911823929877</v>
      </c>
      <c r="AZ315" s="429">
        <f t="shared" si="369"/>
        <v>18451.401319519999</v>
      </c>
      <c r="BA315" s="431">
        <f t="shared" si="370"/>
        <v>22141.681583423997</v>
      </c>
      <c r="BB315" s="1097">
        <f>(AM315*(1+$FB$9)+$FB$35)*(1+(INDEX(绊状态确认!$T:$T,MATCH($G315,绊状态确认!$B:$B,))+0.2)*AO315)*IF(J315=$FF$17,1+$FE$17,1)*IF(I315=$FF$14,1+$FE$14,1)*(1+$FE$15)</f>
        <v>12686.753676532</v>
      </c>
      <c r="BC315" s="1097">
        <f>(AN315*(1+$FB$10)+$FB$36)*(1+(INDEX(绊状态确认!$T:$T,MATCH($G315,绊状态确认!$B:$B,))+0.2)*AO315)*IF(J315=$FF$17,1+$FE$17,1)*IF(I315=$FF$14,1+$FE$14,1)*(1+$FE$15)</f>
        <v>11345.561053943997</v>
      </c>
      <c r="BD315" s="1104">
        <f>MIN(AT315*0.15+BC315*0.00003+INDEX(绊状态确认!M:M,MATCH($G315,绊状态确认!$B:$B,)),1)</f>
        <v>0.37036683161831996</v>
      </c>
      <c r="BE315" s="432">
        <f>(INDEX(绊状态确认!$N:$N,MATCH($G315,绊状态确认!$B:$B,))+1.5)</f>
        <v>1.9</v>
      </c>
      <c r="BF315" s="1139">
        <f t="array" ref="BF315">SUMPRODUCT(IF(AZ315*AP315*$FI$16:$FI$23*$FA$22&gt;=$FI$24,$FI$24,AZ315*AP315*$FI$16:$FI$23*$FA$22),$FJ$16:$FJ$23)</f>
        <v>36699.837224525283</v>
      </c>
      <c r="BG315" s="1125">
        <f t="array" ref="BG315">SUMPRODUCT(IF(BE315*AZ315*AP315*$FI$16:$FI$23*$FA$22&gt;=$FI$24,$FI$24,BE315*AZ315*AP315*$FI$16:$FI$23*$FA$22),$FJ$16:$FJ$23)</f>
        <v>59393.740314803596</v>
      </c>
      <c r="BH315" s="1110">
        <f t="shared" si="371"/>
        <v>15034.968736374954</v>
      </c>
      <c r="BI315" s="1111">
        <f>IF(O315="vo",$EW$26/$EW$24*0.05,0)+IF(O315="sk",-$EW$26/$EW$24*(0.05-INDEX(绊状态确认!W:W,MATCH($G315,绊状态确认!$B:$B,)))+0.05*$EW$28,0)+IF(O315="sp",0.05*$EW$32*$EW$30*(1-$EW$33)-(0.05-INDEX(绊状态确认!V:V,MATCH($G315,绊状态确认!$B:$B,)))*$EW$28,0)+IF(O315="gd",-(0.05-INDEX(绊状态确认!X:X,MATCH($G315,绊状态确认!$B:$B,)))*$EW$32*$EW$30*(1-$EW$33),0)</f>
        <v>7726.3029277443748</v>
      </c>
      <c r="BJ315" s="1097">
        <f>IF(O315="vo",0.05*(1-$FI$26)*$FA$24,0)+IF(O315="sk",-(0.05-INDEX(绊状态确认!W:W,MATCH($G315,绊状态确认!$B:$B,)))*(1-$FI$26)*$FA$24+0.05*$FA$26,0)+IF(O315="sp",0.05*$FA$32*$FA$27*(1-$FA$33)/$FA$30+0.05*$FA$29/$FA$69*$FA$27*(1-$FA$33)-(0.05-INDEX(绊状态确认!V:V,MATCH($G315,绊状态确认!$B:$B,)))*$FA$26,0)+IF(O315="gd",-(0.05-INDEX(绊状态确认!X:X,MATCH($G315,绊状态确认!$B:$B,)))*$FA$32*$FA$27*(1-$FA$33)/$FA$30-(0.05-INDEX(绊状态确认!X:X,MATCH($G315,绊状态确认!$B:$B,)))*$FA$29/$FA$69*$FA$27*(1-$FA$33),0)</f>
        <v>393.93433687500004</v>
      </c>
      <c r="BK315" s="1110">
        <f>IF(O315="vo",$EW$26/$EW$24*0.05+$EW$26*(-HP($EW$62,$EW$65,$EW$64)+HP($EW$62,$EW$65,(1.05-INDEX(绊状态确认!U:U,MATCH($G315,绊状态确认!$B:$B,)))*$EW$64)),0)+IF(O315="sk",-$EW$26/$EW$24*(0.05-INDEX(绊状态确认!W:W,MATCH($G315,绊状态确认!$B:$B,)))+0.05*$EW$29,0)+IF(O315="sp",0.05*$EW$32*$EW$30*(1-$EW$33)-(0.05-INDEX(绊状态确认!V:V,MATCH($G315,绊状态确认!$B:$B,)))*$EW$29,0)+IF(O315="gd",-(0.05-INDEX(绊状态确认!X:X,MATCH($G315,绊状态确认!$B:$B,)))*$EW$32*$EW$30*(1-$EW$33)+$EW$26*(-HP($EW$62,$EW$65,$EW$64)+HP($EW$62,$EW$65,0.95*$EW$64)),0)</f>
        <v>6421.6344775026746</v>
      </c>
      <c r="BL315" s="1111">
        <f t="shared" si="372"/>
        <v>-1083.3333333333333</v>
      </c>
      <c r="BM315" s="1110">
        <f t="shared" si="373"/>
        <v>-830.55555555555543</v>
      </c>
      <c r="BN315" s="1113">
        <f t="shared" si="374"/>
        <v>3</v>
      </c>
      <c r="BO315" s="1097">
        <f t="shared" si="375"/>
        <v>4507.7214871259994</v>
      </c>
      <c r="BP315" s="1100">
        <f t="shared" si="376"/>
        <v>221.34103209030098</v>
      </c>
      <c r="BQ315" s="1113" t="s">
        <v>132</v>
      </c>
      <c r="BR315" s="1124" t="s">
        <v>171</v>
      </c>
      <c r="BS315" s="1098">
        <f>IF($P315="","N/A",IF($P315=-1,INDEX('卡片raw data'!AX:AX,MATCH($D315,'卡片raw data'!$F:$F,)),0)+IF($L315="party卡",IF($P315=5,INDEX('卡片raw data'!BD:BD,MATCH($D315,'卡片raw data'!$F:$F,)),IF($P315&gt;=3,INDEX('卡片raw data'!BC:BC,MATCH($D315,'卡片raw data'!$F:$F,)),INDEX('卡片raw data'!BB:BB,MATCH($D315,'卡片raw data'!$F:$F,)))),IF(OR(AND($F315="UR",$P315=0),AND($F315="SR",$P315&gt;=0,$P315&lt;=2),AND($F315="R",$P315&gt;=0,$P315&lt;4)),INDEX('卡片raw data'!AZ:AZ,MATCH($D315,'卡片raw data'!$F:$F,)),0)+IF(OR(AND($F315="UR",$P315&gt;=1,$P315&lt;=4),AND($F315="SR",$P315&lt;=4,$P315&gt;=3),AND($F315="R",$P315=4)),INDEX('卡片raw data'!BA:BA,MATCH($D315,'卡片raw data'!$F:$F,)),0)+IF($P315=5,INDEX('卡片raw data'!BB:BB,MATCH($D315,'卡片raw data'!$F:$F,)),0)))</f>
        <v>3.2000000000000001E-2</v>
      </c>
      <c r="BT315" s="1101">
        <f t="shared" si="377"/>
        <v>1602.7454176448</v>
      </c>
      <c r="BU315" s="1097">
        <f t="shared" si="378"/>
        <v>68.861654428093644</v>
      </c>
      <c r="BV315" s="1097">
        <f t="shared" si="379"/>
        <v>801.37270882240011</v>
      </c>
      <c r="BW315" s="1112">
        <f t="shared" si="380"/>
        <v>0</v>
      </c>
      <c r="BX315" s="1100">
        <f t="shared" si="381"/>
        <v>1602.7454176448</v>
      </c>
      <c r="BY315" s="1110">
        <f t="shared" si="382"/>
        <v>801.37270882240011</v>
      </c>
      <c r="BZ315" s="1107" t="s">
        <v>569</v>
      </c>
      <c r="CA315" s="1124"/>
      <c r="CB315" s="1098">
        <f>IF($P315="","N/A",IF($P315=-1,INDEX('卡片raw data'!BE:BE,MATCH($D315,'卡片raw data'!$F:$F,)),0)+IF($L315="party卡",IF($P315=5,INDEX('卡片raw data'!BK:BK,MATCH($D315,'卡片raw data'!$F:$F,)),IF($P315&gt;=3,INDEX('卡片raw data'!BJ:BJ,MATCH($D315,'卡片raw data'!$F:$F,)),INDEX('卡片raw data'!BI:BI,MATCH($D315,'卡片raw data'!$F:$F,)))),IF(OR(AND($F315="UR",$P315=0),AND($F315="SR",$P315&gt;=0,$P315&lt;=2),AND($F315="R",$P315&gt;=0,$P315&lt;4)),INDEX('卡片raw data'!BG:BG,MATCH($D315,'卡片raw data'!$F:$F,)),0)+IF(OR(AND($F315="UR",$P315&gt;=1,$P315&lt;=4),AND($F315="SR",$P315&lt;=4,$P315&gt;=3),AND($F315="R",$P315=4)),INDEX('卡片raw data'!BH:BH,MATCH($D315,'卡片raw data'!$F:$F,)),0)+IF($P315=5,INDEX('卡片raw data'!BI:BI,MATCH($D315,'卡片raw data'!$F:$F,)),0)))</f>
        <v>0</v>
      </c>
      <c r="CC315" s="1101">
        <f t="shared" si="383"/>
        <v>0</v>
      </c>
      <c r="CD315" s="1097">
        <f>IF(BZ315="ap",CB315*(1-$FI$26)*$FB$5/$FB$11*(+IF(CA315="全员",$FA$24,0)+IF(CA315="同作战",$FA$24,0)+IF(CA315="仲间",$FA$24*2/3,0)+IF(CA315="同属性",$FA$24*$FA$37/3,0)+IF(CA315="同年级",$FA$24*$FA$40/3,0)+IF(CA315="同学校",$FA$24*$FA$43/3,0)+IF(CA315="同小队",$FA$24*$FA$46/3,0)+IF(CA315="同type",$FA$24*INDEX($FB$49:$FB$52,MATCH(X315,$FA$49:$FA$52,))/3,0)+IF(CA315="自身",#REF!/3,0)),0)+IF(BZ315="te",CB315*(1-$FI$27)*($FA$20-1)*$FB$7/$FB$13*(+IF(CA315="全员",$FA$19*$FA$24/(1+($FA$20-1)*$FA$19),0)+IF(CA315="同作战",$FA$19*$FA$24/(1+($FA$20-1)*$FA$19),0)+IF(CA315="仲间",$FA$19*$FA$24*2/3/(1+($FA$20-1)*$FA$19),0)+IF(CA315="同属性",$FA$19*$FA$24*$FA$37/3/(1+($FA$20-1)*$FA$19),0)+IF(CA315="同年级",$FA$19*$FA$24*$FA$40/3/(1+($FA$20-1)*$FA$19),0)+IF(CA315="同学校",$FA$19*$FA$24*$FA$43/3/(1+($FA$20-1)*$FA$19),0)+IF(CA315="同小队",$FA$19*$FA$24*$FA$46/3/(1+($FA$20-1)*$FA$19),0)+IF(CA315="同type",$FA$19*$FA$24*INDEX($FB$49:$FB$52,MATCH(X315,$FA$49:$FA$52,))/3/(1+($FA$20-1)*$FA$19),0)+IF(CA315="自身",$FA$19*#REF!/3/(1+(BH315-1)*$BD315),0)),0)</f>
        <v>0</v>
      </c>
      <c r="CE315" s="1097">
        <f t="shared" si="384"/>
        <v>0</v>
      </c>
      <c r="CF315" s="1112">
        <f t="shared" si="385"/>
        <v>0</v>
      </c>
      <c r="CG315" s="1100">
        <f t="shared" si="386"/>
        <v>0</v>
      </c>
      <c r="CH315" s="1110">
        <f t="shared" si="387"/>
        <v>0</v>
      </c>
      <c r="CI315" s="1113" t="s">
        <v>160</v>
      </c>
      <c r="CJ315" s="1114">
        <v>1</v>
      </c>
      <c r="CK315" s="1115" t="s">
        <v>549</v>
      </c>
      <c r="CL315" s="1115" t="s">
        <v>1945</v>
      </c>
      <c r="CM315" s="1119">
        <v>7.0000000000000007E-2</v>
      </c>
      <c r="CN315" s="1115"/>
      <c r="CO315" s="1092">
        <v>1</v>
      </c>
      <c r="CP315" s="1116">
        <f t="shared" si="388"/>
        <v>2.8363902634859994</v>
      </c>
      <c r="CQ315" s="1116">
        <f t="shared" si="389"/>
        <v>5.0739870269027323</v>
      </c>
      <c r="CR315" s="1116">
        <f t="shared" si="390"/>
        <v>2.8363902634859994</v>
      </c>
      <c r="CS315" s="1118">
        <f t="shared" si="391"/>
        <v>0</v>
      </c>
      <c r="CT315" s="1109">
        <f t="shared" si="392"/>
        <v>4.6327707636937996</v>
      </c>
      <c r="CU315" s="1101">
        <f t="shared" si="393"/>
        <v>177.27439146787498</v>
      </c>
      <c r="CV315" s="1108">
        <f t="shared" si="394"/>
        <v>211.41612612094718</v>
      </c>
      <c r="CW315" s="1097">
        <f t="shared" si="395"/>
        <v>177.27439146787498</v>
      </c>
      <c r="CX315" s="1097">
        <f t="shared" si="396"/>
        <v>177.27439146787498</v>
      </c>
      <c r="CY315" s="1110">
        <f t="shared" si="397"/>
        <v>177.27439146787498</v>
      </c>
      <c r="CZ315" s="437"/>
      <c r="DA315" s="438"/>
      <c r="DB315" s="439" t="s">
        <v>569</v>
      </c>
      <c r="DC315" s="439"/>
      <c r="DD315" s="443"/>
      <c r="DE315" s="411"/>
      <c r="DF315" s="411"/>
      <c r="DG315" s="1116">
        <f t="shared" si="398"/>
        <v>0</v>
      </c>
      <c r="DH315" s="1116">
        <f t="shared" si="399"/>
        <v>0</v>
      </c>
      <c r="DI315" s="1116">
        <f t="shared" si="400"/>
        <v>0</v>
      </c>
      <c r="DJ315" s="442">
        <f t="shared" si="401"/>
        <v>0</v>
      </c>
      <c r="DK315" s="1109">
        <f t="shared" si="402"/>
        <v>0</v>
      </c>
      <c r="DL315" s="1101">
        <f t="shared" si="403"/>
        <v>0</v>
      </c>
      <c r="DM315" s="1097">
        <f t="shared" si="404"/>
        <v>0</v>
      </c>
      <c r="DN315" s="1097">
        <f t="shared" si="405"/>
        <v>0</v>
      </c>
      <c r="DO315" s="1097">
        <f t="shared" si="406"/>
        <v>0</v>
      </c>
      <c r="DP315" s="1110">
        <f t="shared" si="407"/>
        <v>0</v>
      </c>
      <c r="DQ315" s="1113" t="s">
        <v>545</v>
      </c>
      <c r="DR315" s="1120">
        <f t="shared" si="408"/>
        <v>0.3</v>
      </c>
      <c r="DS315" s="1124"/>
      <c r="DT315" s="1093" t="s">
        <v>132</v>
      </c>
      <c r="DU315" s="1093"/>
      <c r="DV315" s="1098">
        <f>IF($P315="","N/A",IF(P315=-1,INDEX('卡片raw data'!AN:AN,MATCH(D315,'卡片raw data'!$F:$F,)),0)+IF(AND(L315&lt;&gt;"party卡",P315&lt;=2,P315&gt;=0),INDEX('卡片raw data'!AP:AP,MATCH(D315,'卡片raw data'!$F:$F,)),0)+IF(OR(AND(L315="party卡",P315&lt;=1),AND(P315&lt;=4,L315&lt;&gt;"party卡",P315&gt;=3)),INDEX('卡片raw data'!AQ:AQ,MATCH(D315,'卡片raw data'!$F:$F,)),0)+IF(OR(P315=5,AND(L315="party卡",P315&gt;=2)),INDEX('卡片raw data'!AR:AR,MATCH(D315,'卡片raw data'!$F:$F,)),0))</f>
        <v>0.37</v>
      </c>
      <c r="DW315" s="1098">
        <f t="shared" si="409"/>
        <v>0.3</v>
      </c>
      <c r="DX315" s="1098">
        <f t="shared" si="410"/>
        <v>0.3</v>
      </c>
      <c r="DY315" s="1125">
        <f t="shared" si="411"/>
        <v>1182.70323543892</v>
      </c>
      <c r="DZ315" s="1125">
        <f t="shared" si="412"/>
        <v>921.23787480073054</v>
      </c>
      <c r="EA315" s="1098">
        <f t="shared" si="413"/>
        <v>0</v>
      </c>
      <c r="EB315" s="1121">
        <f t="shared" si="414"/>
        <v>0</v>
      </c>
      <c r="EC315" s="1101">
        <f t="shared" si="415"/>
        <v>1300.9735589828122</v>
      </c>
      <c r="ED315" s="1097">
        <f t="shared" si="416"/>
        <v>921.23787480073054</v>
      </c>
      <c r="EE315" s="1110">
        <f t="shared" si="417"/>
        <v>1300.9735589828122</v>
      </c>
      <c r="EF315" s="1115" t="s">
        <v>569</v>
      </c>
      <c r="EG315" s="1120">
        <f t="shared" si="418"/>
        <v>0.3</v>
      </c>
      <c r="EH315" s="1124"/>
      <c r="EI315" s="1093"/>
      <c r="EJ315" s="1093"/>
      <c r="EK315" s="1097">
        <f>IF($P315="","N/A",IF(P315=-1,INDEX('卡片raw data'!AS:AS,MATCH(D315,'卡片raw data'!$F:$F,)),0)+IF(AND(L315&lt;&gt;"party卡",P315&lt;=2,P315&gt;=0),INDEX('卡片raw data'!AU:AU,MATCH(D315,'卡片raw data'!$F:$F,)),0)+IF(OR(AND(L315="party卡",P315&lt;=1),AND(P315&lt;=4,L315&lt;&gt;"party卡",P315&gt;=3)),INDEX('卡片raw data'!AV:AV,MATCH(D315,'卡片raw data'!$F:$F,)),0)+IF(OR(P315=5,AND(L315="party卡",P315&gt;=2)),INDEX('卡片raw data'!AW:AW,MATCH(D315,'卡片raw data'!$F:$F,)),0))</f>
        <v>0</v>
      </c>
      <c r="EL315" s="1098">
        <f t="shared" si="419"/>
        <v>0.3</v>
      </c>
      <c r="EM315" s="1098">
        <f t="shared" si="420"/>
        <v>0.3</v>
      </c>
      <c r="EN315" s="1125">
        <f t="shared" si="421"/>
        <v>0</v>
      </c>
      <c r="EO315" s="1125">
        <f t="shared" si="422"/>
        <v>0</v>
      </c>
      <c r="EP315" s="1098">
        <f t="shared" si="423"/>
        <v>0</v>
      </c>
      <c r="EQ315" s="1121">
        <f t="shared" si="424"/>
        <v>0</v>
      </c>
      <c r="ER315" s="1101">
        <f t="shared" si="425"/>
        <v>0</v>
      </c>
      <c r="ES315" s="1097">
        <f t="shared" si="426"/>
        <v>0</v>
      </c>
      <c r="ET315" s="1122">
        <f t="shared" si="427"/>
        <v>0</v>
      </c>
    </row>
    <row r="316" spans="2:150" ht="16.5" customHeight="1">
      <c r="B316" s="1123" t="str">
        <f>INDEX('卡片raw data'!B:B,MATCH($D316,'卡片raw data'!$F:$F,))</f>
        <v>秋收丸</v>
      </c>
      <c r="C316" s="449" t="s">
        <v>124</v>
      </c>
      <c r="D316" s="408">
        <v>313</v>
      </c>
      <c r="E316" s="1090">
        <v>401073002</v>
      </c>
      <c r="F316" s="1090" t="str">
        <f>INDEX('卡片raw data'!C:C,MATCH($D316,'卡片raw data'!$F:$F,))</f>
        <v>UR</v>
      </c>
      <c r="G316" s="1094" t="s">
        <v>344</v>
      </c>
      <c r="H316" s="411">
        <v>107</v>
      </c>
      <c r="I316" s="450" t="s">
        <v>1123</v>
      </c>
      <c r="J316" s="450" t="s">
        <v>16</v>
      </c>
      <c r="K316" s="451" t="s">
        <v>62</v>
      </c>
      <c r="L316" s="1094" t="str">
        <f>INDEX('卡片raw data'!E:E,MATCH($D316,'卡片raw data'!$F:$F,))</f>
        <v>卡池卡</v>
      </c>
      <c r="M316" s="415">
        <v>44092</v>
      </c>
      <c r="N316" s="416">
        <v>24</v>
      </c>
      <c r="O316" s="1091" t="str">
        <f>INDEX('卡片raw data'!D:D,MATCH($D316,'卡片raw data'!$F:$F,))</f>
        <v>gd</v>
      </c>
      <c r="P316" s="417">
        <v>5</v>
      </c>
      <c r="Q316" s="1095">
        <f t="shared" si="343"/>
        <v>31017.726330295285</v>
      </c>
      <c r="R316" s="1096">
        <f t="shared" si="344"/>
        <v>0.36</v>
      </c>
      <c r="S316" s="1097">
        <f t="shared" si="345"/>
        <v>16513.666605288858</v>
      </c>
      <c r="T316" s="1098">
        <f t="shared" si="346"/>
        <v>0.82499999999999996</v>
      </c>
      <c r="U316" s="1099">
        <f t="shared" si="347"/>
        <v>88.854195709571428</v>
      </c>
      <c r="V316" s="1100">
        <f t="shared" si="348"/>
        <v>39738.391452903656</v>
      </c>
      <c r="W316" s="1101">
        <f t="shared" si="349"/>
        <v>4507.7214871259994</v>
      </c>
      <c r="X316" s="1096">
        <f t="shared" si="350"/>
        <v>5.1999999999999998E-2</v>
      </c>
      <c r="Y316" s="1097">
        <f t="shared" si="351"/>
        <v>2314.44205554987</v>
      </c>
      <c r="Z316" s="1102">
        <f t="shared" si="352"/>
        <v>28.104195709571428</v>
      </c>
      <c r="AA316" s="1103">
        <f t="shared" si="353"/>
        <v>6822.1635426758694</v>
      </c>
      <c r="AB316" s="1101">
        <f t="shared" si="354"/>
        <v>4507.7214871259994</v>
      </c>
      <c r="AC316" s="1104">
        <f t="shared" si="355"/>
        <v>5.1999999999999998E-2</v>
      </c>
      <c r="AD316" s="1105">
        <f t="shared" si="356"/>
        <v>0</v>
      </c>
      <c r="AE316" s="1128">
        <f t="shared" si="357"/>
        <v>-6.25</v>
      </c>
      <c r="AF316" s="1130">
        <f t="shared" si="358"/>
        <v>0</v>
      </c>
      <c r="AG316" s="420">
        <f t="shared" si="359"/>
        <v>0</v>
      </c>
      <c r="AH316" s="420">
        <f t="shared" si="360"/>
        <v>0</v>
      </c>
      <c r="AI316" s="1097">
        <f t="shared" si="361"/>
        <v>0</v>
      </c>
      <c r="AJ316" s="420">
        <f t="shared" si="362"/>
        <v>0</v>
      </c>
      <c r="AK316" s="518">
        <f t="shared" si="363"/>
        <v>0</v>
      </c>
      <c r="AL316" s="1106">
        <f>IF($P316="","N/A",(IF($P316=-1,INDEX('卡片raw data'!S:S,MATCH($D316,'卡片raw data'!$F:$F,)),0)+IF($P316=0,INDEX('卡片raw data'!V:V,MATCH($D316,'卡片raw data'!$F:$F,)),0)+IF($P316=1,INDEX('卡片raw data'!Y:Y,MATCH($D316,'卡片raw data'!$F:$F,)),0)+IF($P316=2,INDEX('卡片raw data'!AB:AB,MATCH($D316,'卡片raw data'!$F:$F,)),0)+IF($P316=3,INDEX('卡片raw data'!AE:AE,MATCH($D316,'卡片raw data'!$F:$F,)),0)+IF($P316=4,INDEX('卡片raw data'!AH:AH,MATCH($D316,'卡片raw data'!$F:$F,)),0)+IF($P316=5,INDEX('卡片raw data'!AK:AK,MATCH($D316,'卡片raw data'!$F:$F,)),0)+INDEX('卡片raw data'!S:S,MATCH($D316,'卡片raw data'!$F:$F,))*(IF($F316="UR",0.04,0.033))*(IF($F316="UR",INDEX(绊状态确认!$S:$S,MATCH($G316,绊状态确认!$B:$B,))/2-40)+IF($F316="SR",INDEX(绊状态确认!$R:$R,MATCH($G316,绊状态确认!$B:$B,))/4-15))+IF($F316="R",INDEX(绊状态确认!$Q:$Q,MATCH($G316,绊状态确认!$B:$B,))/6-40/6)))*(INDEX(绊状态确认!$H:$H,MATCH($G316,绊状态确认!$B:$B,))+INDEX(绊状态确认!J:J,MATCH($G316,绊状态确认!$B:$B,)))</f>
        <v>9264.8419199999989</v>
      </c>
      <c r="AM316" s="1106">
        <f>IF($P316="","N/A",(IF($P316=-1,INDEX('卡片raw data'!T:T,MATCH($D316,'卡片raw data'!$F:$F,)),0)+IF($P316=0,INDEX('卡片raw data'!W:W,MATCH($D316,'卡片raw data'!$F:$F,)),0)+IF($P316=1,INDEX('卡片raw data'!Z:Z,MATCH($D316,'卡片raw data'!$F:$F,)),0)+IF($P316=2,INDEX('卡片raw data'!AC:AC,MATCH($D316,'卡片raw data'!$F:$F,)),0)+IF($P316=3,INDEX('卡片raw data'!AF:AF,MATCH($D316,'卡片raw data'!$F:$F,)),0)+IF($P316=4,INDEX('卡片raw data'!AI:AI,MATCH($D316,'卡片raw data'!$F:$F,)),0)+IF($P316=5,INDEX('卡片raw data'!AL:AL,MATCH($D316,'卡片raw data'!$F:$F,)),0)+INDEX('卡片raw data'!T:T,MATCH($D316,'卡片raw data'!$F:$F,))*(IF($F316="UR",0.04,0.033))*(IF($F316="UR",INDEX(绊状态确认!$S:$S,MATCH($G316,绊状态确认!$B:$B,))/2-40)+IF($F316="SR",INDEX(绊状态确认!$R:$R,MATCH($G316,绊状态确认!$B:$B,))/4-15))+IF($F316="R",INDEX(绊状态确认!$Q:$Q,MATCH($G316,绊状态确认!$B:$B,))/6-40/6)))*(INDEX(绊状态确认!$H:$H,MATCH($G316,绊状态确认!$B:$B,))+INDEX(绊状态确认!K:K,MATCH($G316,绊状态确认!$B:$B,)))</f>
        <v>15221.623439999998</v>
      </c>
      <c r="AN316" s="1106">
        <f>IF($P316="","N/A",(IF($P316=-1,INDEX('卡片raw data'!U:U,MATCH($D316,'卡片raw data'!$F:$F,)),0)+IF($P316=0,INDEX('卡片raw data'!X:X,MATCH($D316,'卡片raw data'!$F:$F,)),0)+IF($P316=1,INDEX('卡片raw data'!AA:AA,MATCH($D316,'卡片raw data'!$F:$F,)),0)+IF($P316=2,INDEX('卡片raw data'!AD:AD,MATCH($D316,'卡片raw data'!$F:$F,)),0)+IF($P316=3,INDEX('卡片raw data'!AG:AG,MATCH($D316,'卡片raw data'!$F:$F,)),0)+IF($P316=4,INDEX('卡片raw data'!AJ:AJ,MATCH($D316,'卡片raw data'!$F:$F,)),0)+IF($P316=5,INDEX('卡片raw data'!AM:AM,MATCH($D316,'卡片raw data'!$F:$F,)),0)+INDEX('卡片raw data'!U:U,MATCH($D316,'卡片raw data'!$F:$F,))*(IF($F316="UR",0.04,0.033))*(IF($F316="UR",INDEX(绊状态确认!$S:$S,MATCH($G316,绊状态确认!$B:$B,))/2-40)+IF($F316="SR",INDEX(绊状态确认!$R:$R,MATCH($G316,绊状态确认!$B:$B,))/4-15))+IF($F316="R",INDEX(绊状态确认!$Q:$Q,MATCH($G316,绊状态确认!$B:$B,))/6-40/6)))*(INDEX(绊状态确认!$H:$H,MATCH($G316,绊状态确认!$B:$B,))+INDEX(绊状态确认!L:L,MATCH($G316,绊状态确认!$B:$B,)))</f>
        <v>8603.22984</v>
      </c>
      <c r="AO316" s="1107">
        <f t="shared" si="364"/>
        <v>1</v>
      </c>
      <c r="AP316" s="1131">
        <f>1+(INDEX(绊状态确认!$T:$T,MATCH($G316,绊状态确认!$B:$B,))+0.2)*$AO316</f>
        <v>1.3</v>
      </c>
      <c r="AQ316" s="1108">
        <f t="shared" si="365"/>
        <v>27570.210039999998</v>
      </c>
      <c r="AR316" s="1097">
        <f>(AM316*(1+$EX$9)+$EX$35)*(1+(INDEX(绊状态确认!$T:$T,MATCH($G316,绊状态确认!$B:$B,))+0.2)*AO316)*IF(J316=$FF$17,1+$FE$17,1)*IF(I316=$FF$14,1+$FE$14,1)*(1+$FE$15)</f>
        <v>23481.515995599999</v>
      </c>
      <c r="AS316" s="1097">
        <f>(AN316*(1+$EX$10)+$EX$36)*(1+(INDEX(绊状态确认!$T:$T,MATCH($G316,绊状态确认!$B:$B,))+0.2)*AO316)*IF(J316=$FF$17,1+$FE$17,1)*IF(I316=$FF$14,1+$FE$14,1)*(1+$FE$15)</f>
        <v>16917.828610799999</v>
      </c>
      <c r="AT316" s="1093">
        <f>IF(AND(INDEX('卡片raw data'!AK:AK,MATCH($D316,'卡片raw data'!$F:$F,))&lt;INDEX('卡片raw data'!AM:AM,MATCH($D316,'卡片raw data'!$F:$F,)),INDEX('卡片raw data'!AL:AL,MATCH($D316,'卡片raw data'!$F:$F,))&lt;INDEX('卡片raw data'!AM:AM,MATCH($D316,'卡片raw data'!$F:$F,))),1,0)</f>
        <v>0</v>
      </c>
      <c r="AU316" s="1098">
        <f>MIN(AT316*0.15+AS316*0.00003+INDEX(绊状态确认!M:M,MATCH($G316,绊状态确认!$B:$B,)),1)</f>
        <v>0.53753485832400005</v>
      </c>
      <c r="AV316" s="1109">
        <f>(INDEX(绊状态确认!$N:$N,MATCH($G316,绊状态确认!$B:$B,))+1.5)*$EW$21</f>
        <v>2.6599999999999997</v>
      </c>
      <c r="AW316" s="1101">
        <f t="shared" si="366"/>
        <v>27095.004843169285</v>
      </c>
      <c r="AX316" s="1097">
        <f t="shared" si="367"/>
        <v>2062.6727117412879</v>
      </c>
      <c r="AY316" s="1110">
        <f t="shared" si="368"/>
        <v>29157.677554910573</v>
      </c>
      <c r="AZ316" s="429">
        <f t="shared" si="369"/>
        <v>20666.441743999996</v>
      </c>
      <c r="BA316" s="431">
        <f t="shared" si="370"/>
        <v>24799.730092799993</v>
      </c>
      <c r="BB316" s="1097">
        <f>(AM316*(1+$FB$9)+$FB$35)*(1+(INDEX(绊状态确认!$T:$T,MATCH($G316,绊状态确认!$B:$B,))+0.2)*AO316)*IF(J316=$FF$17,1+$FE$17,1)*IF(I316=$FF$14,1+$FE$14,1)*(1+$FE$15)</f>
        <v>23481.515995599999</v>
      </c>
      <c r="BC316" s="1097">
        <f>(AN316*(1+$FB$10)+$FB$36)*(1+(INDEX(绊状态确认!$T:$T,MATCH($G316,绊状态确认!$B:$B,))+0.2)*AO316)*IF(J316=$FF$17,1+$FE$17,1)*IF(I316=$FF$14,1+$FE$14,1)*(1+$FE$15)</f>
        <v>16917.828610799999</v>
      </c>
      <c r="BD316" s="1104">
        <f>MIN(AT316*0.15+BC316*0.00003+INDEX(绊状态确认!M:M,MATCH($G316,绊状态确认!$B:$B,)),1)</f>
        <v>0.53753485832400005</v>
      </c>
      <c r="BE316" s="432">
        <f>(INDEX(绊状态确认!$N:$N,MATCH($G316,绊状态确认!$B:$B,))+1.5)</f>
        <v>1.9</v>
      </c>
      <c r="BF316" s="1139">
        <f t="array" ref="BF316">SUMPRODUCT(IF(AZ316*AP316*$FI$16:$FI$23*$FA$22&gt;=$FI$24,$FI$24,AZ316*AP316*$FI$16:$FI$23*$FA$22),$FJ$16:$FJ$23)</f>
        <v>41105.552628815989</v>
      </c>
      <c r="BG316" s="1125">
        <f t="array" ref="BG316">SUMPRODUCT(IF(BE316*AZ316*AP316*$FI$16:$FI$23*$FA$22&gt;=$FI$24,$FI$24,BE316*AZ316*AP316*$FI$16:$FI$23*$FA$22),$FJ$16:$FJ$23)</f>
        <v>60000</v>
      </c>
      <c r="BH316" s="1110">
        <f t="shared" si="371"/>
        <v>17087.325573198556</v>
      </c>
      <c r="BI316" s="1111">
        <f>IF(O316="vo",$EW$26/$EW$24*0.05,0)+IF(O316="sk",-$EW$26/$EW$24*(0.05-INDEX(绊状态确认!W:W,MATCH($G316,绊状态确认!$B:$B,)))+0.05*$EW$28,0)+IF(O316="sp",0.05*$EW$32*$EW$30*(1-$EW$33)-(0.05-INDEX(绊状态确认!V:V,MATCH($G316,绊状态确认!$B:$B,)))*$EW$28,0)+IF(O316="gd",-(0.05-INDEX(绊状态确认!X:X,MATCH($G316,绊状态确认!$B:$B,)))*$EW$32*$EW$30*(1-$EW$33),0)</f>
        <v>-585.00000000000011</v>
      </c>
      <c r="BJ316" s="1097">
        <f>IF(O316="vo",0.05*(1-$FI$26)*$FA$24,0)+IF(O316="sk",-(0.05-INDEX(绊状态确认!W:W,MATCH($G316,绊状态确认!$B:$B,)))*(1-$FI$26)*$FA$24+0.05*$FA$26,0)+IF(O316="sp",0.05*$FA$32*$FA$27*(1-$FA$33)/$FA$30+0.05*$FA$29/$FA$69*$FA$27*(1-$FA$33)-(0.05-INDEX(绊状态确认!V:V,MATCH($G316,绊状态确认!$B:$B,)))*$FA$26,0)+IF(O316="gd",-(0.05-INDEX(绊状态确认!X:X,MATCH($G316,绊状态确认!$B:$B,)))*$FA$32*$FA$27*(1-$FA$33)/$FA$30-(0.05-INDEX(绊状态确认!X:X,MATCH($G316,绊状态确认!$B:$B,)))*$FA$29/$FA$69*$FA$27*(1-$FA$33),0)</f>
        <v>-795.00000000000011</v>
      </c>
      <c r="BK316" s="1110">
        <f>IF(O316="vo",$EW$26/$EW$24*0.05+$EW$26*(-HP($EW$62,$EW$65,$EW$64)+HP($EW$62,$EW$65,(1.05-INDEX(绊状态确认!U:U,MATCH($G316,绊状态确认!$B:$B,)))*$EW$64)),0)+IF(O316="sk",-$EW$26/$EW$24*(0.05-INDEX(绊状态确认!W:W,MATCH($G316,绊状态确认!$B:$B,)))+0.05*$EW$29,0)+IF(O316="sp",0.05*$EW$32*$EW$30*(1-$EW$33)-(0.05-INDEX(绊状态确认!V:V,MATCH($G316,绊状态确认!$B:$B,)))*$EW$29,0)+IF(O316="gd",-(0.05-INDEX(绊状态确认!X:X,MATCH($G316,绊状态确认!$B:$B,)))*$EW$32*$EW$30*(1-$EW$33)+$EW$26*(-HP($EW$62,$EW$65,$EW$64)+HP($EW$62,$EW$65,0.95*$EW$64)),0)</f>
        <v>1009.5947725176144</v>
      </c>
      <c r="BL316" s="1111">
        <f t="shared" si="372"/>
        <v>0</v>
      </c>
      <c r="BM316" s="1110">
        <f t="shared" si="373"/>
        <v>0</v>
      </c>
      <c r="BN316" s="1113">
        <f t="shared" si="374"/>
        <v>3</v>
      </c>
      <c r="BO316" s="1097">
        <f t="shared" si="375"/>
        <v>4507.7214871259994</v>
      </c>
      <c r="BP316" s="1100">
        <f t="shared" si="376"/>
        <v>221.34103209030098</v>
      </c>
      <c r="BQ316" s="1113" t="s">
        <v>133</v>
      </c>
      <c r="BR316" s="1124" t="s">
        <v>171</v>
      </c>
      <c r="BS316" s="1098">
        <f>IF($P316="","N/A",IF($P316=-1,INDEX('卡片raw data'!AX:AX,MATCH($D316,'卡片raw data'!$F:$F,)),0)+IF($L316="party卡",IF($P316=5,INDEX('卡片raw data'!BD:BD,MATCH($D316,'卡片raw data'!$F:$F,)),IF($P316&gt;=3,INDEX('卡片raw data'!BC:BC,MATCH($D316,'卡片raw data'!$F:$F,)),INDEX('卡片raw data'!BB:BB,MATCH($D316,'卡片raw data'!$F:$F,)))),IF(OR(AND($F316="UR",$P316=0),AND($F316="SR",$P316&gt;=0,$P316&lt;=2),AND($F316="R",$P316&gt;=0,$P316&lt;4)),INDEX('卡片raw data'!AZ:AZ,MATCH($D316,'卡片raw data'!$F:$F,)),0)+IF(OR(AND($F316="UR",$P316&gt;=1,$P316&lt;=4),AND($F316="SR",$P316&lt;=4,$P316&gt;=3),AND($F316="R",$P316=4)),INDEX('卡片raw data'!BA:BA,MATCH($D316,'卡片raw data'!$F:$F,)),0)+IF($P316=5,INDEX('卡片raw data'!BB:BB,MATCH($D316,'卡片raw data'!$F:$F,)),0)))</f>
        <v>5.1999999999999998E-2</v>
      </c>
      <c r="BT316" s="1101">
        <f t="shared" si="377"/>
        <v>0</v>
      </c>
      <c r="BU316" s="1097">
        <f t="shared" si="378"/>
        <v>0</v>
      </c>
      <c r="BV316" s="1097">
        <f t="shared" si="379"/>
        <v>0</v>
      </c>
      <c r="BW316" s="1112">
        <f t="shared" si="380"/>
        <v>2.4347142857142861</v>
      </c>
      <c r="BX316" s="1100">
        <f t="shared" si="381"/>
        <v>190.49664124538464</v>
      </c>
      <c r="BY316" s="1110">
        <f t="shared" si="382"/>
        <v>190.49664124538464</v>
      </c>
      <c r="BZ316" s="1107" t="s">
        <v>569</v>
      </c>
      <c r="CA316" s="1124"/>
      <c r="CB316" s="1098">
        <f>IF($P316="","N/A",IF($P316=-1,INDEX('卡片raw data'!BE:BE,MATCH($D316,'卡片raw data'!$F:$F,)),0)+IF($L316="party卡",IF($P316=5,INDEX('卡片raw data'!BK:BK,MATCH($D316,'卡片raw data'!$F:$F,)),IF($P316&gt;=3,INDEX('卡片raw data'!BJ:BJ,MATCH($D316,'卡片raw data'!$F:$F,)),INDEX('卡片raw data'!BI:BI,MATCH($D316,'卡片raw data'!$F:$F,)))),IF(OR(AND($F316="UR",$P316=0),AND($F316="SR",$P316&gt;=0,$P316&lt;=2),AND($F316="R",$P316&gt;=0,$P316&lt;4)),INDEX('卡片raw data'!BG:BG,MATCH($D316,'卡片raw data'!$F:$F,)),0)+IF(OR(AND($F316="UR",$P316&gt;=1,$P316&lt;=4),AND($F316="SR",$P316&lt;=4,$P316&gt;=3),AND($F316="R",$P316=4)),INDEX('卡片raw data'!BH:BH,MATCH($D316,'卡片raw data'!$F:$F,)),0)+IF($P316=5,INDEX('卡片raw data'!BI:BI,MATCH($D316,'卡片raw data'!$F:$F,)),0)))</f>
        <v>0</v>
      </c>
      <c r="CC316" s="1101">
        <f t="shared" si="383"/>
        <v>0</v>
      </c>
      <c r="CD316" s="1097">
        <f>IF(BZ316="ap",CB316*(1-$FI$26)*$FB$5/$FB$11*(+IF(CA316="全员",$FA$24,0)+IF(CA316="同作战",$FA$24,0)+IF(CA316="仲间",$FA$24*2/3,0)+IF(CA316="同属性",$FA$24*$FA$37/3,0)+IF(CA316="同年级",$FA$24*$FA$40/3,0)+IF(CA316="同学校",$FA$24*$FA$43/3,0)+IF(CA316="同小队",$FA$24*$FA$46/3,0)+IF(CA316="同type",$FA$24*INDEX($FB$49:$FB$52,MATCH(X316,$FA$49:$FA$52,))/3,0)+IF(CA316="自身",#REF!/3,0)),0)+IF(BZ316="te",CB316*(1-$FI$27)*($FA$20-1)*$FB$7/$FB$13*(+IF(CA316="全员",$FA$19*$FA$24/(1+($FA$20-1)*$FA$19),0)+IF(CA316="同作战",$FA$19*$FA$24/(1+($FA$20-1)*$FA$19),0)+IF(CA316="仲间",$FA$19*$FA$24*2/3/(1+($FA$20-1)*$FA$19),0)+IF(CA316="同属性",$FA$19*$FA$24*$FA$37/3/(1+($FA$20-1)*$FA$19),0)+IF(CA316="同年级",$FA$19*$FA$24*$FA$40/3/(1+($FA$20-1)*$FA$19),0)+IF(CA316="同学校",$FA$19*$FA$24*$FA$43/3/(1+($FA$20-1)*$FA$19),0)+IF(CA316="同小队",$FA$19*$FA$24*$FA$46/3/(1+($FA$20-1)*$FA$19),0)+IF(CA316="同type",$FA$19*$FA$24*INDEX($FB$49:$FB$52,MATCH(X316,$FA$49:$FA$52,))/3/(1+($FA$20-1)*$FA$19),0)+IF(CA316="自身",$FA$19*#REF!/3/(1+(BH316-1)*$BD316),0)),0)</f>
        <v>0</v>
      </c>
      <c r="CE316" s="1097">
        <f t="shared" si="384"/>
        <v>0</v>
      </c>
      <c r="CF316" s="1112">
        <f t="shared" si="385"/>
        <v>0</v>
      </c>
      <c r="CG316" s="1100">
        <f t="shared" si="386"/>
        <v>0</v>
      </c>
      <c r="CH316" s="1110">
        <f t="shared" si="387"/>
        <v>0</v>
      </c>
      <c r="CI316" s="1113" t="s">
        <v>170</v>
      </c>
      <c r="CJ316" s="1114">
        <v>1</v>
      </c>
      <c r="CK316" s="1115" t="s">
        <v>556</v>
      </c>
      <c r="CL316" s="1115" t="s">
        <v>1126</v>
      </c>
      <c r="CM316" s="1119">
        <v>0.44</v>
      </c>
      <c r="CN316" s="1115">
        <v>1</v>
      </c>
      <c r="CO316" s="1092">
        <v>2</v>
      </c>
      <c r="CP316" s="1118">
        <f t="shared" si="388"/>
        <v>1.5714285714285715E-3</v>
      </c>
      <c r="CQ316" s="1118">
        <f t="shared" si="389"/>
        <v>2.4444444444444444E-3</v>
      </c>
      <c r="CR316" s="1118">
        <f t="shared" si="390"/>
        <v>1.5714285714285715E-3</v>
      </c>
      <c r="CS316" s="1118">
        <f t="shared" si="391"/>
        <v>0</v>
      </c>
      <c r="CT316" s="1109">
        <f t="shared" si="392"/>
        <v>0</v>
      </c>
      <c r="CU316" s="1101">
        <f t="shared" si="393"/>
        <v>0</v>
      </c>
      <c r="CV316" s="1108">
        <f t="shared" si="394"/>
        <v>0</v>
      </c>
      <c r="CW316" s="1097">
        <f t="shared" si="395"/>
        <v>0</v>
      </c>
      <c r="CX316" s="1097">
        <f t="shared" si="396"/>
        <v>61.27270256319634</v>
      </c>
      <c r="CY316" s="1110">
        <f t="shared" si="397"/>
        <v>61.27270256319634</v>
      </c>
      <c r="CZ316" s="437"/>
      <c r="DA316" s="438"/>
      <c r="DB316" s="439" t="s">
        <v>569</v>
      </c>
      <c r="DC316" s="439"/>
      <c r="DD316" s="443"/>
      <c r="DE316" s="411"/>
      <c r="DF316" s="411"/>
      <c r="DG316" s="1116">
        <f t="shared" si="398"/>
        <v>0</v>
      </c>
      <c r="DH316" s="1116">
        <f t="shared" si="399"/>
        <v>0</v>
      </c>
      <c r="DI316" s="1116">
        <f t="shared" si="400"/>
        <v>0</v>
      </c>
      <c r="DJ316" s="442">
        <f t="shared" si="401"/>
        <v>0</v>
      </c>
      <c r="DK316" s="1109">
        <f t="shared" si="402"/>
        <v>0</v>
      </c>
      <c r="DL316" s="1101">
        <f t="shared" si="403"/>
        <v>0</v>
      </c>
      <c r="DM316" s="1097">
        <f t="shared" si="404"/>
        <v>0</v>
      </c>
      <c r="DN316" s="1097">
        <f t="shared" si="405"/>
        <v>0</v>
      </c>
      <c r="DO316" s="1097">
        <f t="shared" si="406"/>
        <v>0</v>
      </c>
      <c r="DP316" s="1110">
        <f t="shared" si="407"/>
        <v>0</v>
      </c>
      <c r="DQ316" s="1113" t="s">
        <v>556</v>
      </c>
      <c r="DR316" s="1120">
        <f t="shared" si="408"/>
        <v>0.33</v>
      </c>
      <c r="DS316" s="1124">
        <v>2</v>
      </c>
      <c r="DT316" s="1093" t="s">
        <v>1126</v>
      </c>
      <c r="DU316" s="1093" t="s">
        <v>1127</v>
      </c>
      <c r="DV316" s="1098">
        <f>IF($P316="","N/A",IF(P316=-1,INDEX('卡片raw data'!AN:AN,MATCH(D316,'卡片raw data'!$F:$F,)),0)+IF(AND(L316&lt;&gt;"party卡",P316&lt;=2,P316&gt;=0),INDEX('卡片raw data'!AP:AP,MATCH(D316,'卡片raw data'!$F:$F,)),0)+IF(OR(AND(L316="party卡",P316&lt;=1),AND(P316&lt;=4,L316&lt;&gt;"party卡",P316&gt;=3)),INDEX('卡片raw data'!AQ:AQ,MATCH(D316,'卡片raw data'!$F:$F,)),0)+IF(OR(P316=5,AND(L316="party卡",P316&gt;=2)),INDEX('卡片raw data'!AR:AR,MATCH(D316,'卡片raw data'!$F:$F,)),0))</f>
        <v>0.5</v>
      </c>
      <c r="DW316" s="1098">
        <f t="shared" si="409"/>
        <v>0.33</v>
      </c>
      <c r="DX316" s="1098">
        <f t="shared" si="410"/>
        <v>0.33</v>
      </c>
      <c r="DY316" s="1098">
        <f t="shared" si="411"/>
        <v>0.11</v>
      </c>
      <c r="DZ316" s="1098">
        <f t="shared" si="412"/>
        <v>9.5149999999999998E-2</v>
      </c>
      <c r="EA316" s="1098">
        <f t="shared" si="413"/>
        <v>0</v>
      </c>
      <c r="EB316" s="1121">
        <f t="shared" si="414"/>
        <v>0</v>
      </c>
      <c r="EC316" s="1101">
        <f t="shared" si="415"/>
        <v>0</v>
      </c>
      <c r="ED316" s="1097">
        <f t="shared" si="416"/>
        <v>0</v>
      </c>
      <c r="EE316" s="1110">
        <f t="shared" si="417"/>
        <v>4811.6282945408811</v>
      </c>
      <c r="EF316" s="1115" t="s">
        <v>569</v>
      </c>
      <c r="EG316" s="1120">
        <f t="shared" si="418"/>
        <v>0.33</v>
      </c>
      <c r="EH316" s="1124"/>
      <c r="EI316" s="1093"/>
      <c r="EJ316" s="1093"/>
      <c r="EK316" s="1097">
        <f>IF($P316="","N/A",IF(P316=-1,INDEX('卡片raw data'!AS:AS,MATCH(D316,'卡片raw data'!$F:$F,)),0)+IF(AND(L316&lt;&gt;"party卡",P316&lt;=2,P316&gt;=0),INDEX('卡片raw data'!AU:AU,MATCH(D316,'卡片raw data'!$F:$F,)),0)+IF(OR(AND(L316="party卡",P316&lt;=1),AND(P316&lt;=4,L316&lt;&gt;"party卡",P316&gt;=3)),INDEX('卡片raw data'!AV:AV,MATCH(D316,'卡片raw data'!$F:$F,)),0)+IF(OR(P316=5,AND(L316="party卡",P316&gt;=2)),INDEX('卡片raw data'!AW:AW,MATCH(D316,'卡片raw data'!$F:$F,)),0))</f>
        <v>0</v>
      </c>
      <c r="EL316" s="1098">
        <f t="shared" si="419"/>
        <v>0.33</v>
      </c>
      <c r="EM316" s="1098">
        <f t="shared" si="420"/>
        <v>0.33</v>
      </c>
      <c r="EN316" s="1125">
        <f t="shared" si="421"/>
        <v>0</v>
      </c>
      <c r="EO316" s="1125">
        <f t="shared" si="422"/>
        <v>0</v>
      </c>
      <c r="EP316" s="1098">
        <f t="shared" si="423"/>
        <v>0</v>
      </c>
      <c r="EQ316" s="1121">
        <f t="shared" si="424"/>
        <v>0</v>
      </c>
      <c r="ER316" s="1101">
        <f t="shared" si="425"/>
        <v>0</v>
      </c>
      <c r="ES316" s="1097">
        <f t="shared" si="426"/>
        <v>0</v>
      </c>
      <c r="ET316" s="1122">
        <f t="shared" si="427"/>
        <v>0</v>
      </c>
    </row>
    <row r="317" spans="2:150" ht="16.5" customHeight="1">
      <c r="B317" s="1123" t="str">
        <f>INDEX('卡片raw data'!B:B,MATCH($D317,'卡片raw data'!$F:$F,))</f>
        <v>五单海</v>
      </c>
      <c r="C317" s="449" t="s">
        <v>1118</v>
      </c>
      <c r="D317" s="408">
        <v>314</v>
      </c>
      <c r="E317" s="1090">
        <v>400042002</v>
      </c>
      <c r="F317" s="1090" t="str">
        <f>INDEX('卡片raw data'!C:C,MATCH($D317,'卡片raw data'!$F:$F,))</f>
        <v>SR</v>
      </c>
      <c r="G317" s="1094" t="s">
        <v>334</v>
      </c>
      <c r="H317" s="411">
        <v>4</v>
      </c>
      <c r="I317" s="450" t="s">
        <v>15</v>
      </c>
      <c r="J317" s="450" t="s">
        <v>17</v>
      </c>
      <c r="K317" s="451" t="s">
        <v>61</v>
      </c>
      <c r="L317" s="1094" t="str">
        <f>INDEX('卡片raw data'!E:E,MATCH($D317,'卡片raw data'!$F:$F,))</f>
        <v>卡池卡</v>
      </c>
      <c r="M317" s="415">
        <v>44092</v>
      </c>
      <c r="N317" s="416">
        <v>24</v>
      </c>
      <c r="O317" s="1091" t="str">
        <f>INDEX('卡片raw data'!D:D,MATCH($D317,'卡片raw data'!$F:$F,))</f>
        <v>vo</v>
      </c>
      <c r="P317" s="417">
        <v>5</v>
      </c>
      <c r="Q317" s="1095">
        <f t="shared" si="343"/>
        <v>36886.568079205856</v>
      </c>
      <c r="R317" s="1096">
        <f t="shared" si="344"/>
        <v>0.42799999999999999</v>
      </c>
      <c r="S317" s="1097">
        <f t="shared" si="345"/>
        <v>15128.951332942112</v>
      </c>
      <c r="T317" s="1098">
        <f t="shared" si="346"/>
        <v>0.75600000000000001</v>
      </c>
      <c r="U317" s="1099">
        <f t="shared" si="347"/>
        <v>-12.000042556317142</v>
      </c>
      <c r="V317" s="1100">
        <f t="shared" si="348"/>
        <v>36621.107250059817</v>
      </c>
      <c r="W317" s="1101">
        <f t="shared" si="349"/>
        <v>5074.3170351605868</v>
      </c>
      <c r="X317" s="1096">
        <f t="shared" si="350"/>
        <v>5.8000000000000003E-2</v>
      </c>
      <c r="Y317" s="1097">
        <f t="shared" si="351"/>
        <v>1039.2076210956602</v>
      </c>
      <c r="Z317" s="1102">
        <f t="shared" si="352"/>
        <v>12.999957443682858</v>
      </c>
      <c r="AA317" s="1103">
        <f t="shared" si="353"/>
        <v>6113.524656256247</v>
      </c>
      <c r="AB317" s="1101">
        <f t="shared" si="354"/>
        <v>6290.8363703880514</v>
      </c>
      <c r="AC317" s="1104">
        <f t="shared" si="355"/>
        <v>7.2999999999999995E-2</v>
      </c>
      <c r="AD317" s="1105">
        <f t="shared" si="356"/>
        <v>-3.8207812500000026E-3</v>
      </c>
      <c r="AE317" s="1128">
        <f t="shared" si="357"/>
        <v>-12.27536231884058</v>
      </c>
      <c r="AF317" s="1130">
        <f t="shared" si="358"/>
        <v>0</v>
      </c>
      <c r="AG317" s="420">
        <f t="shared" si="359"/>
        <v>0</v>
      </c>
      <c r="AH317" s="420">
        <f t="shared" si="360"/>
        <v>0</v>
      </c>
      <c r="AI317" s="1097">
        <f t="shared" si="361"/>
        <v>0</v>
      </c>
      <c r="AJ317" s="420">
        <f t="shared" si="362"/>
        <v>0</v>
      </c>
      <c r="AK317" s="518">
        <f t="shared" si="363"/>
        <v>0</v>
      </c>
      <c r="AL317" s="1106">
        <f>IF($P317="","N/A",(IF($P317=-1,INDEX('卡片raw data'!S:S,MATCH($D317,'卡片raw data'!$F:$F,)),0)+IF($P317=0,INDEX('卡片raw data'!V:V,MATCH($D317,'卡片raw data'!$F:$F,)),0)+IF($P317=1,INDEX('卡片raw data'!Y:Y,MATCH($D317,'卡片raw data'!$F:$F,)),0)+IF($P317=2,INDEX('卡片raw data'!AB:AB,MATCH($D317,'卡片raw data'!$F:$F,)),0)+IF($P317=3,INDEX('卡片raw data'!AE:AE,MATCH($D317,'卡片raw data'!$F:$F,)),0)+IF($P317=4,INDEX('卡片raw data'!AH:AH,MATCH($D317,'卡片raw data'!$F:$F,)),0)+IF($P317=5,INDEX('卡片raw data'!AK:AK,MATCH($D317,'卡片raw data'!$F:$F,)),0)+INDEX('卡片raw data'!S:S,MATCH($D317,'卡片raw data'!$F:$F,))*(IF($F317="UR",0.04,0.033))*(IF($F317="UR",INDEX(绊状态确认!$S:$S,MATCH($G317,绊状态确认!$B:$B,))/2-40)+IF($F317="SR",INDEX(绊状态确认!$R:$R,MATCH($G317,绊状态确认!$B:$B,))/4-15))+IF($F317="R",INDEX(绊状态确认!$Q:$Q,MATCH($G317,绊状态确认!$B:$B,))/6-40/6)))*(INDEX(绊状态确认!$H:$H,MATCH($G317,绊状态确认!$B:$B,))+INDEX(绊状态确认!J:J,MATCH($G317,绊状态确认!$B:$B,)))</f>
        <v>8128.9237535999991</v>
      </c>
      <c r="AM317" s="1106">
        <f>IF($P317="","N/A",(IF($P317=-1,INDEX('卡片raw data'!T:T,MATCH($D317,'卡片raw data'!$F:$F,)),0)+IF($P317=0,INDEX('卡片raw data'!W:W,MATCH($D317,'卡片raw data'!$F:$F,)),0)+IF($P317=1,INDEX('卡片raw data'!Z:Z,MATCH($D317,'卡片raw data'!$F:$F,)),0)+IF($P317=2,INDEX('卡片raw data'!AC:AC,MATCH($D317,'卡片raw data'!$F:$F,)),0)+IF($P317=3,INDEX('卡片raw data'!AF:AF,MATCH($D317,'卡片raw data'!$F:$F,)),0)+IF($P317=4,INDEX('卡片raw data'!AI:AI,MATCH($D317,'卡片raw data'!$F:$F,)),0)+IF($P317=5,INDEX('卡片raw data'!AL:AL,MATCH($D317,'卡片raw data'!$F:$F,)),0)+INDEX('卡片raw data'!T:T,MATCH($D317,'卡片raw data'!$F:$F,))*(IF($F317="UR",0.04,0.033))*(IF($F317="UR",INDEX(绊状态确认!$S:$S,MATCH($G317,绊状态确认!$B:$B,))/2-40)+IF($F317="SR",INDEX(绊状态确认!$R:$R,MATCH($G317,绊状态确认!$B:$B,))/4-15))+IF($F317="R",INDEX(绊状态确认!$Q:$Q,MATCH($G317,绊状态确认!$B:$B,))/6-40/6)))*(INDEX(绊状态确认!$H:$H,MATCH($G317,绊状态确认!$B:$B,))+INDEX(绊状态确认!K:K,MATCH($G317,绊状态确认!$B:$B,)))</f>
        <v>6907.9074095999995</v>
      </c>
      <c r="AN317" s="1106">
        <f>IF($P317="","N/A",(IF($P317=-1,INDEX('卡片raw data'!U:U,MATCH($D317,'卡片raw data'!$F:$F,)),0)+IF($P317=0,INDEX('卡片raw data'!X:X,MATCH($D317,'卡片raw data'!$F:$F,)),0)+IF($P317=1,INDEX('卡片raw data'!AA:AA,MATCH($D317,'卡片raw data'!$F:$F,)),0)+IF($P317=2,INDEX('卡片raw data'!AD:AD,MATCH($D317,'卡片raw data'!$F:$F,)),0)+IF($P317=3,INDEX('卡片raw data'!AG:AG,MATCH($D317,'卡片raw data'!$F:$F,)),0)+IF($P317=4,INDEX('卡片raw data'!AJ:AJ,MATCH($D317,'卡片raw data'!$F:$F,)),0)+IF($P317=5,INDEX('卡片raw data'!AM:AM,MATCH($D317,'卡片raw data'!$F:$F,)),0)+INDEX('卡片raw data'!U:U,MATCH($D317,'卡片raw data'!$F:$F,))*(IF($F317="UR",0.04,0.033))*(IF($F317="UR",INDEX(绊状态确认!$S:$S,MATCH($G317,绊状态确认!$B:$B,))/2-40)+IF($F317="SR",INDEX(绊状态确认!$R:$R,MATCH($G317,绊状态确认!$B:$B,))/4-15))+IF($F317="R",INDEX(绊状态确认!$Q:$Q,MATCH($G317,绊状态确认!$B:$B,))/6-40/6)))*(INDEX(绊状态确认!$H:$H,MATCH($G317,绊状态确认!$B:$B,))+INDEX(绊状态确认!L:L,MATCH($G317,绊状态确认!$B:$B,)))</f>
        <v>5281.4258184</v>
      </c>
      <c r="AO317" s="1107">
        <f t="shared" si="364"/>
        <v>1</v>
      </c>
      <c r="AP317" s="1131">
        <f>1+(INDEX(绊状态确认!$T:$T,MATCH($G317,绊状态确认!$B:$B,))+0.2)*$AO317</f>
        <v>1.3</v>
      </c>
      <c r="AQ317" s="1108">
        <f t="shared" si="365"/>
        <v>24588.424853199998</v>
      </c>
      <c r="AR317" s="1097">
        <f>(AM317*(1+$EX$9)+$EX$35)*(1+(INDEX(绊状态确认!$T:$T,MATCH($G317,绊状态确认!$B:$B,))+0.2)*AO317)*IF(J317=$FF$17,1+$FE$17,1)*IF(I317=$FF$14,1+$FE$14,1)</f>
        <v>12133.293614104001</v>
      </c>
      <c r="AS317" s="1097">
        <f>(AN317*(1+$EX$10)+$EX$36)*(1+(INDEX(绊状态确认!$T:$T,MATCH($G317,绊状态确认!$B:$B,))+0.2)*AO317)*IF(J317=$FF$17,1+$FE$17,1)*IF(I317=$FF$14,1+$FE$14,1)</f>
        <v>11951.731598507999</v>
      </c>
      <c r="AT317" s="1093">
        <f>IF(AND(INDEX('卡片raw data'!AK:AK,MATCH($D317,'卡片raw data'!$F:$F,))&lt;INDEX('卡片raw data'!AM:AM,MATCH($D317,'卡片raw data'!$F:$F,)),INDEX('卡片raw data'!AL:AL,MATCH($D317,'卡片raw data'!$F:$F,))&lt;INDEX('卡片raw data'!AM:AM,MATCH($D317,'卡片raw data'!$F:$F,))),1,0)</f>
        <v>0</v>
      </c>
      <c r="AU317" s="1098">
        <f>MIN(AT317*0.15+AS317*0.00003+INDEX(绊状态确认!M:M,MATCH($G317,绊状态确认!$B:$B,)),1)</f>
        <v>0.38855194795524001</v>
      </c>
      <c r="AV317" s="1109">
        <f>(INDEX(绊状态确认!$N:$N,MATCH($G317,绊状态确认!$B:$B,))+1.5)*$EW$21</f>
        <v>2.6599999999999997</v>
      </c>
      <c r="AW317" s="1101">
        <f t="shared" si="366"/>
        <v>21006.465264626906</v>
      </c>
      <c r="AX317" s="1097">
        <f t="shared" si="367"/>
        <v>1039.2076210956602</v>
      </c>
      <c r="AY317" s="1110">
        <f t="shared" si="368"/>
        <v>22045.672885722568</v>
      </c>
      <c r="AZ317" s="429">
        <f t="shared" si="369"/>
        <v>18451.401319519999</v>
      </c>
      <c r="BA317" s="431">
        <f t="shared" si="370"/>
        <v>22141.681583423997</v>
      </c>
      <c r="BB317" s="1097">
        <f>(AM317*(1+$FB$9)+$FB$35)*(1+(INDEX(绊状态确认!$T:$T,MATCH($G317,绊状态确认!$B:$B,))+0.2)*AO317)*IF(J317=$FF$17,1+$FE$17,1)*IF(I317=$FF$14,1+$FE$14,1)*(1+$FE$15)</f>
        <v>12133.293614104001</v>
      </c>
      <c r="BC317" s="1097">
        <f>(AN317*(1+$FB$10)+$FB$36)*(1+(INDEX(绊状态确认!$T:$T,MATCH($G317,绊状态确认!$B:$B,))+0.2)*AO317)*IF(J317=$FF$17,1+$FE$17,1)*IF(I317=$FF$14,1+$FE$14,1)*(1+$FE$15)</f>
        <v>11951.731598507999</v>
      </c>
      <c r="BD317" s="1104">
        <f>MIN(AT317*0.15+BC317*0.00003+INDEX(绊状态确认!M:M,MATCH($G317,绊状态确认!$B:$B,)),1)</f>
        <v>0.38855194795524001</v>
      </c>
      <c r="BE317" s="432">
        <f>(INDEX(绊状态确认!$N:$N,MATCH($G317,绊状态确认!$B:$B,))+1.5)</f>
        <v>1.9</v>
      </c>
      <c r="BF317" s="1139">
        <f t="array" ref="BF317">SUMPRODUCT(IF(AZ317*AP317*$FI$16:$FI$23*$FA$22&gt;=$FI$24,$FI$24,AZ317*AP317*$FI$16:$FI$23*$FA$22),$FJ$16:$FJ$23)</f>
        <v>36699.837224525283</v>
      </c>
      <c r="BG317" s="1125">
        <f t="array" ref="BG317">SUMPRODUCT(IF(BE317*AZ317*AP317*$FI$16:$FI$23*$FA$22&gt;=$FI$24,$FI$24,BE317*AZ317*AP317*$FI$16:$FI$23*$FA$22),$FJ$16:$FJ$23)</f>
        <v>59393.740314803596</v>
      </c>
      <c r="BH317" s="1110">
        <f t="shared" si="371"/>
        <v>15172.532492320121</v>
      </c>
      <c r="BI317" s="1111">
        <f>IF(O317="vo",$EW$26/$EW$24*0.05,0)+IF(O317="sk",-$EW$26/$EW$24*(0.05-INDEX(绊状态确认!W:W,MATCH($G317,绊状态确认!$B:$B,)))+0.05*$EW$28,0)+IF(O317="sp",0.05*$EW$32*$EW$30*(1-$EW$33)-(0.05-INDEX(绊状态确认!V:V,MATCH($G317,绊状态确认!$B:$B,)))*$EW$28,0)+IF(O317="gd",-(0.05-INDEX(绊状态确认!X:X,MATCH($G317,绊状态确认!$B:$B,)))*$EW$32*$EW$30*(1-$EW$33),0)</f>
        <v>7726.3029277443748</v>
      </c>
      <c r="BJ317" s="1097">
        <f>IF(O317="vo",0.05*(1-$FI$26)*$FA$24,0)+IF(O317="sk",-(0.05-INDEX(绊状态确认!W:W,MATCH($G317,绊状态确认!$B:$B,)))*(1-$FI$26)*$FA$24+0.05*$FA$26,0)+IF(O317="sp",0.05*$FA$32*$FA$27*(1-$FA$33)/$FA$30+0.05*$FA$29/$FA$69*$FA$27*(1-$FA$33)-(0.05-INDEX(绊状态确认!V:V,MATCH($G317,绊状态确认!$B:$B,)))*$FA$26,0)+IF(O317="gd",-(0.05-INDEX(绊状态确认!X:X,MATCH($G317,绊状态确认!$B:$B,)))*$FA$32*$FA$27*(1-$FA$33)/$FA$30-(0.05-INDEX(绊状态确认!X:X,MATCH($G317,绊状态确认!$B:$B,)))*$FA$29/$FA$69*$FA$27*(1-$FA$33),0)</f>
        <v>393.93433687500004</v>
      </c>
      <c r="BK317" s="1110">
        <f>IF(O317="vo",$EW$26/$EW$24*0.05+$EW$26*(-HP($EW$62,$EW$65,$EW$64)+HP($EW$62,$EW$65,(1.05-INDEX(绊状态确认!U:U,MATCH($G317,绊状态确认!$B:$B,)))*$EW$64)),0)+IF(O317="sk",-$EW$26/$EW$24*(0.05-INDEX(绊状态确认!W:W,MATCH($G317,绊状态确认!$B:$B,)))+0.05*$EW$29,0)+IF(O317="sp",0.05*$EW$32*$EW$30*(1-$EW$33)-(0.05-INDEX(绊状态确认!V:V,MATCH($G317,绊状态确认!$B:$B,)))*$EW$29,0)+IF(O317="gd",-(0.05-INDEX(绊状态确认!X:X,MATCH($G317,绊状态确认!$B:$B,)))*$EW$32*$EW$30*(1-$EW$33)+$EW$26*(-HP($EW$62,$EW$65,$EW$64)+HP($EW$62,$EW$65,0.95*$EW$64)),0)</f>
        <v>6421.6344775026746</v>
      </c>
      <c r="BL317" s="1111">
        <f t="shared" si="372"/>
        <v>-1083.3333333333333</v>
      </c>
      <c r="BM317" s="1110">
        <f t="shared" si="373"/>
        <v>-830.55555555555543</v>
      </c>
      <c r="BN317" s="1113">
        <f t="shared" si="374"/>
        <v>3</v>
      </c>
      <c r="BO317" s="1097">
        <f t="shared" si="375"/>
        <v>4507.7214871259994</v>
      </c>
      <c r="BP317" s="1100">
        <f t="shared" si="376"/>
        <v>221.34103209030098</v>
      </c>
      <c r="BQ317" s="1113" t="s">
        <v>132</v>
      </c>
      <c r="BR317" s="1124" t="s">
        <v>166</v>
      </c>
      <c r="BS317" s="1098">
        <f>IF($P317="","N/A",IF($P317=-1,INDEX('卡片raw data'!AX:AX,MATCH($D317,'卡片raw data'!$F:$F,)),0)+IF($L317="party卡",IF($P317=5,INDEX('卡片raw data'!BD:BD,MATCH($D317,'卡片raw data'!$F:$F,)),IF($P317&gt;=3,INDEX('卡片raw data'!BC:BC,MATCH($D317,'卡片raw data'!$F:$F,)),INDEX('卡片raw data'!BB:BB,MATCH($D317,'卡片raw data'!$F:$F,)))),IF(OR(AND($F317="UR",$P317=0),AND($F317="SR",$P317&gt;=0,$P317&lt;=2),AND($F317="R",$P317&gt;=0,$P317&lt;4)),INDEX('卡片raw data'!AZ:AZ,MATCH($D317,'卡片raw data'!$F:$F,)),0)+IF(OR(AND($F317="UR",$P317&gt;=1,$P317&lt;=4),AND($F317="SR",$P317&lt;=4,$P317&gt;=3),AND($F317="R",$P317=4)),INDEX('卡片raw data'!BA:BA,MATCH($D317,'卡片raw data'!$F:$F,)),0)+IF($P317=5,INDEX('卡片raw data'!BB:BB,MATCH($D317,'卡片raw data'!$F:$F,)),0)))</f>
        <v>7.0000000000000007E-2</v>
      </c>
      <c r="BT317" s="1101">
        <f t="shared" si="377"/>
        <v>649.92378719287672</v>
      </c>
      <c r="BU317" s="1097">
        <f t="shared" si="378"/>
        <v>22.378216819776497</v>
      </c>
      <c r="BV317" s="1097">
        <f t="shared" si="379"/>
        <v>0</v>
      </c>
      <c r="BW317" s="1112">
        <f t="shared" si="380"/>
        <v>0</v>
      </c>
      <c r="BX317" s="1100">
        <f t="shared" si="381"/>
        <v>649.92378719287672</v>
      </c>
      <c r="BY317" s="1110">
        <f t="shared" si="382"/>
        <v>0</v>
      </c>
      <c r="BZ317" s="1107" t="s">
        <v>569</v>
      </c>
      <c r="CA317" s="1124"/>
      <c r="CB317" s="1098">
        <f>IF($P317="","N/A",IF($P317=-1,INDEX('卡片raw data'!BE:BE,MATCH($D317,'卡片raw data'!$F:$F,)),0)+IF($L317="party卡",IF($P317=5,INDEX('卡片raw data'!BK:BK,MATCH($D317,'卡片raw data'!$F:$F,)),IF($P317&gt;=3,INDEX('卡片raw data'!BJ:BJ,MATCH($D317,'卡片raw data'!$F:$F,)),INDEX('卡片raw data'!BI:BI,MATCH($D317,'卡片raw data'!$F:$F,)))),IF(OR(AND($F317="UR",$P317=0),AND($F317="SR",$P317&gt;=0,$P317&lt;=2),AND($F317="R",$P317&gt;=0,$P317&lt;4)),INDEX('卡片raw data'!BG:BG,MATCH($D317,'卡片raw data'!$F:$F,)),0)+IF(OR(AND($F317="UR",$P317&gt;=1,$P317&lt;=4),AND($F317="SR",$P317&lt;=4,$P317&gt;=3),AND($F317="R",$P317=4)),INDEX('卡片raw data'!BH:BH,MATCH($D317,'卡片raw data'!$F:$F,)),0)+IF($P317=5,INDEX('卡片raw data'!BI:BI,MATCH($D317,'卡片raw data'!$F:$F,)),0)))</f>
        <v>0</v>
      </c>
      <c r="CC317" s="1101">
        <f t="shared" si="383"/>
        <v>0</v>
      </c>
      <c r="CD317" s="1097">
        <f>IF(BZ317="ap",CB317*(1-$FI$26)*$FB$5/$FB$11*(+IF(CA317="全员",$FA$24,0)+IF(CA317="同作战",$FA$24,0)+IF(CA317="仲间",$FA$24*2/3,0)+IF(CA317="同属性",$FA$24*$FA$37/3,0)+IF(CA317="同年级",$FA$24*$FA$40/3,0)+IF(CA317="同学校",$FA$24*$FA$43/3,0)+IF(CA317="同小队",$FA$24*$FA$46/3,0)+IF(CA317="同type",$FA$24*INDEX($FB$49:$FB$52,MATCH(X317,$FA$49:$FA$52,))/3,0)+IF(CA317="自身",#REF!/3,0)),0)+IF(BZ317="te",CB317*(1-$FI$27)*($FA$20-1)*$FB$7/$FB$13*(+IF(CA317="全员",$FA$19*$FA$24/(1+($FA$20-1)*$FA$19),0)+IF(CA317="同作战",$FA$19*$FA$24/(1+($FA$20-1)*$FA$19),0)+IF(CA317="仲间",$FA$19*$FA$24*2/3/(1+($FA$20-1)*$FA$19),0)+IF(CA317="同属性",$FA$19*$FA$24*$FA$37/3/(1+($FA$20-1)*$FA$19),0)+IF(CA317="同年级",$FA$19*$FA$24*$FA$40/3/(1+($FA$20-1)*$FA$19),0)+IF(CA317="同学校",$FA$19*$FA$24*$FA$43/3/(1+($FA$20-1)*$FA$19),0)+IF(CA317="同小队",$FA$19*$FA$24*$FA$46/3/(1+($FA$20-1)*$FA$19),0)+IF(CA317="同type",$FA$19*$FA$24*INDEX($FB$49:$FB$52,MATCH(X317,$FA$49:$FA$52,))/3/(1+($FA$20-1)*$FA$19),0)+IF(CA317="自身",$FA$19*#REF!/3/(1+(BH317-1)*$BD317),0)),0)</f>
        <v>0</v>
      </c>
      <c r="CE317" s="1097">
        <f t="shared" si="384"/>
        <v>0</v>
      </c>
      <c r="CF317" s="1112">
        <f t="shared" si="385"/>
        <v>0</v>
      </c>
      <c r="CG317" s="1100">
        <f t="shared" si="386"/>
        <v>0</v>
      </c>
      <c r="CH317" s="1110">
        <f t="shared" si="387"/>
        <v>0</v>
      </c>
      <c r="CI317" s="1113" t="s">
        <v>165</v>
      </c>
      <c r="CJ317" s="1114">
        <v>1</v>
      </c>
      <c r="CK317" s="1115" t="s">
        <v>221</v>
      </c>
      <c r="CL317" s="1115" t="s">
        <v>1128</v>
      </c>
      <c r="CM317" s="1119">
        <v>0.01</v>
      </c>
      <c r="CN317" s="1115" t="s">
        <v>1129</v>
      </c>
      <c r="CO317" s="1092"/>
      <c r="CP317" s="1118">
        <f t="shared" si="388"/>
        <v>6.6666666666666662E-3</v>
      </c>
      <c r="CQ317" s="1118">
        <f t="shared" si="389"/>
        <v>5.8333333333333336E-3</v>
      </c>
      <c r="CR317" s="1118">
        <f t="shared" si="390"/>
        <v>3.3333333333333331E-3</v>
      </c>
      <c r="CS317" s="1118">
        <f t="shared" si="391"/>
        <v>0</v>
      </c>
      <c r="CT317" s="1109">
        <f t="shared" si="392"/>
        <v>0</v>
      </c>
      <c r="CU317" s="1101">
        <f t="shared" si="393"/>
        <v>1133.191096069175</v>
      </c>
      <c r="CV317" s="1108">
        <f t="shared" si="394"/>
        <v>45.959005968750006</v>
      </c>
      <c r="CW317" s="1097">
        <f t="shared" si="395"/>
        <v>566.59554803458752</v>
      </c>
      <c r="CX317" s="1097">
        <f t="shared" si="396"/>
        <v>1133.191096069175</v>
      </c>
      <c r="CY317" s="1110">
        <f t="shared" si="397"/>
        <v>566.59554803458752</v>
      </c>
      <c r="CZ317" s="437"/>
      <c r="DA317" s="438"/>
      <c r="DB317" s="439" t="s">
        <v>569</v>
      </c>
      <c r="DC317" s="439"/>
      <c r="DD317" s="443"/>
      <c r="DE317" s="411"/>
      <c r="DF317" s="411"/>
      <c r="DG317" s="1116">
        <f t="shared" si="398"/>
        <v>0</v>
      </c>
      <c r="DH317" s="1116">
        <f t="shared" si="399"/>
        <v>0</v>
      </c>
      <c r="DI317" s="1116">
        <f t="shared" si="400"/>
        <v>0</v>
      </c>
      <c r="DJ317" s="442">
        <f t="shared" si="401"/>
        <v>0</v>
      </c>
      <c r="DK317" s="1109">
        <f t="shared" si="402"/>
        <v>0</v>
      </c>
      <c r="DL317" s="1101">
        <f t="shared" si="403"/>
        <v>0</v>
      </c>
      <c r="DM317" s="1097">
        <f t="shared" si="404"/>
        <v>0</v>
      </c>
      <c r="DN317" s="1097">
        <f t="shared" si="405"/>
        <v>0</v>
      </c>
      <c r="DO317" s="1097">
        <f t="shared" si="406"/>
        <v>0</v>
      </c>
      <c r="DP317" s="1110">
        <f t="shared" si="407"/>
        <v>0</v>
      </c>
      <c r="DQ317" s="1113" t="s">
        <v>221</v>
      </c>
      <c r="DR317" s="1120">
        <f t="shared" si="408"/>
        <v>0.3</v>
      </c>
      <c r="DS317" s="1124">
        <v>5</v>
      </c>
      <c r="DT317" s="1093" t="s">
        <v>171</v>
      </c>
      <c r="DU317" s="1093" t="s">
        <v>1127</v>
      </c>
      <c r="DV317" s="1098">
        <f>IF($P317="","N/A",IF(P317=-1,INDEX('卡片raw data'!AN:AN,MATCH(D317,'卡片raw data'!$F:$F,)),0)+IF(AND(L317&lt;&gt;"party卡",P317&lt;=2,P317&gt;=0),INDEX('卡片raw data'!AP:AP,MATCH(D317,'卡片raw data'!$F:$F,)),0)+IF(OR(AND(L317="party卡",P317&lt;=1),AND(P317&lt;=4,L317&lt;&gt;"party卡",P317&gt;=3)),INDEX('卡片raw data'!AQ:AQ,MATCH(D317,'卡片raw data'!$F:$F,)),0)+IF(OR(P317=5,AND(L317="party卡",P317&gt;=2)),INDEX('卡片raw data'!AR:AR,MATCH(D317,'卡片raw data'!$F:$F,)),0))</f>
        <v>5.1999999999999998E-2</v>
      </c>
      <c r="DW317" s="1098">
        <f t="shared" si="409"/>
        <v>0.3</v>
      </c>
      <c r="DX317" s="1098">
        <f t="shared" si="410"/>
        <v>0.3</v>
      </c>
      <c r="DY317" s="1098">
        <f t="shared" si="411"/>
        <v>1.7333333333333333E-2</v>
      </c>
      <c r="DZ317" s="1098">
        <f t="shared" si="412"/>
        <v>1.3119166666666666E-2</v>
      </c>
      <c r="EA317" s="1098">
        <f t="shared" si="413"/>
        <v>0</v>
      </c>
      <c r="EB317" s="1121">
        <f t="shared" si="414"/>
        <v>0</v>
      </c>
      <c r="EC317" s="1101">
        <f t="shared" si="415"/>
        <v>2946.2968497798547</v>
      </c>
      <c r="ED317" s="1097">
        <f t="shared" si="416"/>
        <v>103.36180442371877</v>
      </c>
      <c r="EE317" s="1110">
        <f t="shared" si="417"/>
        <v>2946.2968497798547</v>
      </c>
      <c r="EF317" s="1115" t="s">
        <v>569</v>
      </c>
      <c r="EG317" s="1120">
        <f t="shared" si="418"/>
        <v>0.3</v>
      </c>
      <c r="EH317" s="1124"/>
      <c r="EI317" s="1093"/>
      <c r="EJ317" s="1093"/>
      <c r="EK317" s="1097">
        <f>IF($P317="","N/A",IF(P317=-1,INDEX('卡片raw data'!AS:AS,MATCH(D317,'卡片raw data'!$F:$F,)),0)+IF(AND(L317&lt;&gt;"party卡",P317&lt;=2,P317&gt;=0),INDEX('卡片raw data'!AU:AU,MATCH(D317,'卡片raw data'!$F:$F,)),0)+IF(OR(AND(L317="party卡",P317&lt;=1),AND(P317&lt;=4,L317&lt;&gt;"party卡",P317&gt;=3)),INDEX('卡片raw data'!AV:AV,MATCH(D317,'卡片raw data'!$F:$F,)),0)+IF(OR(P317=5,AND(L317="party卡",P317&gt;=2)),INDEX('卡片raw data'!AW:AW,MATCH(D317,'卡片raw data'!$F:$F,)),0))</f>
        <v>0</v>
      </c>
      <c r="EL317" s="1098">
        <f t="shared" si="419"/>
        <v>0.3</v>
      </c>
      <c r="EM317" s="1098">
        <f t="shared" si="420"/>
        <v>0.3</v>
      </c>
      <c r="EN317" s="1125">
        <f t="shared" si="421"/>
        <v>0</v>
      </c>
      <c r="EO317" s="1125">
        <f t="shared" si="422"/>
        <v>0</v>
      </c>
      <c r="EP317" s="1098">
        <f t="shared" si="423"/>
        <v>0</v>
      </c>
      <c r="EQ317" s="1121">
        <f t="shared" si="424"/>
        <v>0</v>
      </c>
      <c r="ER317" s="1101">
        <f t="shared" si="425"/>
        <v>0</v>
      </c>
      <c r="ES317" s="1097">
        <f t="shared" si="426"/>
        <v>0</v>
      </c>
      <c r="ET317" s="1122">
        <f t="shared" si="427"/>
        <v>0</v>
      </c>
    </row>
    <row r="318" spans="2:150" ht="16.5" customHeight="1">
      <c r="B318" s="1123" t="str">
        <f>INDEX('卡片raw data'!B:B,MATCH($D318,'卡片raw data'!$F:$F,))</f>
        <v>秋收艾</v>
      </c>
      <c r="C318" s="449" t="s">
        <v>1119</v>
      </c>
      <c r="D318" s="408">
        <v>315</v>
      </c>
      <c r="E318" s="1090">
        <v>402083002</v>
      </c>
      <c r="F318" s="1090" t="str">
        <f>INDEX('卡片raw data'!C:C,MATCH($D318,'卡片raw data'!$F:$F,))</f>
        <v>UR</v>
      </c>
      <c r="G318" s="1094" t="s">
        <v>351</v>
      </c>
      <c r="H318" s="411">
        <v>208</v>
      </c>
      <c r="I318" s="450" t="s">
        <v>1124</v>
      </c>
      <c r="J318" s="450" t="s">
        <v>1125</v>
      </c>
      <c r="K318" s="451" t="s">
        <v>58</v>
      </c>
      <c r="L318" s="1094" t="str">
        <f>INDEX('卡片raw data'!E:E,MATCH($D318,'卡片raw data'!$F:$F,))</f>
        <v>卡池卡</v>
      </c>
      <c r="M318" s="415">
        <v>44092</v>
      </c>
      <c r="N318" s="416">
        <v>24</v>
      </c>
      <c r="O318" s="1091" t="str">
        <f>INDEX('卡片raw data'!D:D,MATCH($D318,'卡片raw data'!$F:$F,))</f>
        <v>sk</v>
      </c>
      <c r="P318" s="417">
        <v>5</v>
      </c>
      <c r="Q318" s="1095">
        <f t="shared" si="343"/>
        <v>39510.655269678682</v>
      </c>
      <c r="R318" s="1096">
        <f t="shared" si="344"/>
        <v>0.45900000000000002</v>
      </c>
      <c r="S318" s="1097">
        <f t="shared" si="345"/>
        <v>19541.990122048475</v>
      </c>
      <c r="T318" s="1098">
        <f t="shared" si="346"/>
        <v>0.97699999999999998</v>
      </c>
      <c r="U318" s="1099">
        <f t="shared" si="347"/>
        <v>19.836093977142855</v>
      </c>
      <c r="V318" s="1100">
        <f t="shared" si="348"/>
        <v>43118.914444863018</v>
      </c>
      <c r="W318" s="1101">
        <f t="shared" si="349"/>
        <v>5990.6938087956132</v>
      </c>
      <c r="X318" s="1096">
        <f t="shared" si="350"/>
        <v>6.9000000000000006E-2</v>
      </c>
      <c r="Y318" s="1097">
        <f t="shared" si="351"/>
        <v>1608.259175184332</v>
      </c>
      <c r="Z318" s="1102">
        <f t="shared" si="352"/>
        <v>19.836093977142855</v>
      </c>
      <c r="AA318" s="1103">
        <f t="shared" si="353"/>
        <v>7598.9529839799452</v>
      </c>
      <c r="AB318" s="1101">
        <f t="shared" si="354"/>
        <v>6858.8475766865477</v>
      </c>
      <c r="AC318" s="1104">
        <f t="shared" si="355"/>
        <v>7.9000000000000001E-2</v>
      </c>
      <c r="AD318" s="1105">
        <f t="shared" si="356"/>
        <v>2.1769318181818181E-2</v>
      </c>
      <c r="AE318" s="1128">
        <f t="shared" si="357"/>
        <v>11.953757704745847</v>
      </c>
      <c r="AF318" s="1130">
        <f t="shared" si="358"/>
        <v>0</v>
      </c>
      <c r="AG318" s="420">
        <f t="shared" si="359"/>
        <v>0</v>
      </c>
      <c r="AH318" s="420">
        <f t="shared" si="360"/>
        <v>0</v>
      </c>
      <c r="AI318" s="1097">
        <f t="shared" si="361"/>
        <v>0</v>
      </c>
      <c r="AJ318" s="420">
        <f t="shared" si="362"/>
        <v>0</v>
      </c>
      <c r="AK318" s="518">
        <f t="shared" si="363"/>
        <v>0</v>
      </c>
      <c r="AL318" s="1106">
        <f>IF($P318="","N/A",(IF($P318=-1,INDEX('卡片raw data'!S:S,MATCH($D318,'卡片raw data'!$F:$F,)),0)+IF($P318=0,INDEX('卡片raw data'!V:V,MATCH($D318,'卡片raw data'!$F:$F,)),0)+IF($P318=1,INDEX('卡片raw data'!Y:Y,MATCH($D318,'卡片raw data'!$F:$F,)),0)+IF($P318=2,INDEX('卡片raw data'!AB:AB,MATCH($D318,'卡片raw data'!$F:$F,)),0)+IF($P318=3,INDEX('卡片raw data'!AE:AE,MATCH($D318,'卡片raw data'!$F:$F,)),0)+IF($P318=4,INDEX('卡片raw data'!AH:AH,MATCH($D318,'卡片raw data'!$F:$F,)),0)+IF($P318=5,INDEX('卡片raw data'!AK:AK,MATCH($D318,'卡片raw data'!$F:$F,)),0)+INDEX('卡片raw data'!S:S,MATCH($D318,'卡片raw data'!$F:$F,))*(IF($F318="UR",0.04,0.033))*(IF($F318="UR",INDEX(绊状态确认!$S:$S,MATCH($G318,绊状态确认!$B:$B,))/2-40)+IF($F318="SR",INDEX(绊状态确认!$R:$R,MATCH($G318,绊状态确认!$B:$B,))/4-15))+IF($F318="R",INDEX(绊状态确认!$Q:$Q,MATCH($G318,绊状态确认!$B:$B,))/6-40/6)))*(INDEX(绊状态确认!$H:$H,MATCH($G318,绊状态确认!$B:$B,))+INDEX(绊状态确认!J:J,MATCH($G318,绊状态确认!$B:$B,)))</f>
        <v>12243.800879999999</v>
      </c>
      <c r="AM318" s="1106">
        <f>IF($P318="","N/A",(IF($P318=-1,INDEX('卡片raw data'!T:T,MATCH($D318,'卡片raw data'!$F:$F,)),0)+IF($P318=0,INDEX('卡片raw data'!W:W,MATCH($D318,'卡片raw data'!$F:$F,)),0)+IF($P318=1,INDEX('卡片raw data'!Z:Z,MATCH($D318,'卡片raw data'!$F:$F,)),0)+IF($P318=2,INDEX('卡片raw data'!AC:AC,MATCH($D318,'卡片raw data'!$F:$F,)),0)+IF($P318=3,INDEX('卡片raw data'!AF:AF,MATCH($D318,'卡片raw data'!$F:$F,)),0)+IF($P318=4,INDEX('卡片raw data'!AI:AI,MATCH($D318,'卡片raw data'!$F:$F,)),0)+IF($P318=5,INDEX('卡片raw data'!AL:AL,MATCH($D318,'卡片raw data'!$F:$F,)),0)+INDEX('卡片raw data'!T:T,MATCH($D318,'卡片raw data'!$F:$F,))*(IF($F318="UR",0.04,0.033))*(IF($F318="UR",INDEX(绊状态确认!$S:$S,MATCH($G318,绊状态确认!$B:$B,))/2-40)+IF($F318="SR",INDEX(绊状态确认!$R:$R,MATCH($G318,绊状态确认!$B:$B,))/4-15))+IF($F318="R",INDEX(绊状态确认!$Q:$Q,MATCH($G318,绊状态确认!$B:$B,))/6-40/6)))*(INDEX(绊状态确认!$H:$H,MATCH($G318,绊状态确认!$B:$B,))+INDEX(绊状态确认!K:K,MATCH($G318,绊状态确认!$B:$B,)))</f>
        <v>11582.188799999998</v>
      </c>
      <c r="AN318" s="1106">
        <f>IF($P318="","N/A",(IF($P318=-1,INDEX('卡片raw data'!U:U,MATCH($D318,'卡片raw data'!$F:$F,)),0)+IF($P318=0,INDEX('卡片raw data'!X:X,MATCH($D318,'卡片raw data'!$F:$F,)),0)+IF($P318=1,INDEX('卡片raw data'!AA:AA,MATCH($D318,'卡片raw data'!$F:$F,)),0)+IF($P318=2,INDEX('卡片raw data'!AD:AD,MATCH($D318,'卡片raw data'!$F:$F,)),0)+IF($P318=3,INDEX('卡片raw data'!AG:AG,MATCH($D318,'卡片raw data'!$F:$F,)),0)+IF($P318=4,INDEX('卡片raw data'!AJ:AJ,MATCH($D318,'卡片raw data'!$F:$F,)),0)+IF($P318=5,INDEX('卡片raw data'!AM:AM,MATCH($D318,'卡片raw data'!$F:$F,)),0)+INDEX('卡片raw data'!U:U,MATCH($D318,'卡片raw data'!$F:$F,))*(IF($F318="UR",0.04,0.033))*(IF($F318="UR",INDEX(绊状态确认!$S:$S,MATCH($G318,绊状态确认!$B:$B,))/2-40)+IF($F318="SR",INDEX(绊状态确认!$R:$R,MATCH($G318,绊状态确认!$B:$B,))/4-15))+IF($F318="R",INDEX(绊状态确认!$Q:$Q,MATCH($G318,绊状态确认!$B:$B,))/6-40/6)))*(INDEX(绊状态确认!$H:$H,MATCH($G318,绊状态确认!$B:$B,))+INDEX(绊状态确认!L:L,MATCH($G318,绊状态确认!$B:$B,)))</f>
        <v>9264.8419199999989</v>
      </c>
      <c r="AO318" s="1107">
        <f t="shared" si="364"/>
        <v>1</v>
      </c>
      <c r="AP318" s="1131">
        <f>1+(INDEX(绊状态确认!$T:$T,MATCH($G318,绊状态确认!$B:$B,))+0.2)*$AO318</f>
        <v>1.3</v>
      </c>
      <c r="AQ318" s="1108">
        <f t="shared" si="365"/>
        <v>35389.977310000002</v>
      </c>
      <c r="AR318" s="1097">
        <f>(AM318*(1+$EX$9)+$EX$35)*(1+(INDEX(绊状态确认!$T:$T,MATCH($G318,绊状态确认!$B:$B,))+0.2)*AO318)*IF(J318=$FF$17,1+$FE$17,1)*IF(I318=$FF$14,1+$FE$14,1)*(1+$FE$15)</f>
        <v>18513.687711999999</v>
      </c>
      <c r="AS318" s="1097">
        <f>(AN318*(1+$EX$10)+$EX$36)*(1+(INDEX(绊状态确认!$T:$T,MATCH($G318,绊状态确认!$B:$B,))+0.2)*AO318)*IF(J318=$FF$17,1+$FE$17,1)*IF(I318=$FF$14,1+$FE$14,1)*(1+$FE$15)</f>
        <v>17906.938670399999</v>
      </c>
      <c r="AT318" s="1093">
        <f>IF(AND(INDEX('卡片raw data'!AK:AK,MATCH($D318,'卡片raw data'!$F:$F,))&lt;INDEX('卡片raw data'!AM:AM,MATCH($D318,'卡片raw data'!$F:$F,)),INDEX('卡片raw data'!AL:AL,MATCH($D318,'卡片raw data'!$F:$F,))&lt;INDEX('卡片raw data'!AM:AM,MATCH($D318,'卡片raw data'!$F:$F,))),1,0)</f>
        <v>0</v>
      </c>
      <c r="AU318" s="1098">
        <f>MIN(AT318*0.15+AS318*0.00003+INDEX(绊状态确认!M:M,MATCH($G318,绊状态确认!$B:$B,)),1)</f>
        <v>0.56720816011200004</v>
      </c>
      <c r="AV318" s="1109">
        <f>(INDEX(绊状态确认!$N:$N,MATCH($G318,绊状态确认!$B:$B,))+1.5)*$EW$21</f>
        <v>2.6599999999999997</v>
      </c>
      <c r="AW318" s="1101">
        <f t="shared" si="366"/>
        <v>35685.328963298831</v>
      </c>
      <c r="AX318" s="1097">
        <f t="shared" si="367"/>
        <v>1608.2591751843322</v>
      </c>
      <c r="AY318" s="1110">
        <f t="shared" si="368"/>
        <v>37293.588138483166</v>
      </c>
      <c r="AZ318" s="429">
        <f t="shared" si="369"/>
        <v>26475.411715999999</v>
      </c>
      <c r="BA318" s="431">
        <f t="shared" si="370"/>
        <v>31770.494059199998</v>
      </c>
      <c r="BB318" s="1097">
        <f>(AM318*(1+$FB$9)+$FB$35)*(1+(INDEX(绊状态确认!$T:$T,MATCH($G318,绊状态确认!$B:$B,))+0.2)*AO318)*IF(J318=$FF$17,1+$FE$17,1)*IF(I318=$FF$14,1+$FE$14,1)*(1+$FE$15)</f>
        <v>18513.687711999999</v>
      </c>
      <c r="BC318" s="1097">
        <f>(AN318*(1+$FB$10)+$FB$36)*(1+(INDEX(绊状态确认!$T:$T,MATCH($G318,绊状态确认!$B:$B,))+0.2)*AO318)*IF(J318=$FF$17,1+$FE$17,1)*IF(I318=$FF$14,1+$FE$14,1)*(1+$FE$15)</f>
        <v>17906.938670399999</v>
      </c>
      <c r="BD318" s="1104">
        <f>MIN(AT318*0.15+BC318*0.00003+INDEX(绊状态确认!M:M,MATCH($G318,绊状态确认!$B:$B,)),1)</f>
        <v>0.56720816011200004</v>
      </c>
      <c r="BE318" s="432">
        <f>(INDEX(绊状态确认!$N:$N,MATCH($G318,绊状态确认!$B:$B,))+1.5)</f>
        <v>1.9</v>
      </c>
      <c r="BF318" s="1139">
        <f t="array" ref="BF318">SUMPRODUCT(IF(AZ318*AP318*$FI$16:$FI$23*$FA$22&gt;=$FI$24,$FI$24,AZ318*AP318*$FI$16:$FI$23*$FA$22),$FJ$16:$FJ$23)</f>
        <v>51924.920867727997</v>
      </c>
      <c r="BG318" s="1125">
        <f t="array" ref="BG318">SUMPRODUCT(IF(BE318*AZ318*AP318*$FI$16:$FI$23*$FA$22&gt;=$FI$24,$FI$24,BE318*AZ318*AP318*$FI$16:$FI$23*$FA$22),$FJ$16:$FJ$23)</f>
        <v>60000</v>
      </c>
      <c r="BH318" s="1110">
        <f t="shared" si="371"/>
        <v>18835.057215034267</v>
      </c>
      <c r="BI318" s="1111">
        <f>IF(O318="vo",$EW$26/$EW$24*0.05,0)+IF(O318="sk",-$EW$26/$EW$24*(0.05-INDEX(绊状态确认!W:W,MATCH($G318,绊状态确认!$B:$B,)))+0.05*$EW$28,0)+IF(O318="sp",0.05*$EW$32*$EW$30*(1-$EW$33)-(0.05-INDEX(绊状态确认!V:V,MATCH($G318,绊状态确认!$B:$B,)))*$EW$28,0)+IF(O318="gd",-(0.05-INDEX(绊状态确认!X:X,MATCH($G318,绊状态确认!$B:$B,)))*$EW$32*$EW$30*(1-$EW$33),0)</f>
        <v>-6253.6726349699375</v>
      </c>
      <c r="BJ318" s="1097">
        <f>IF(O318="vo",0.05*(1-$FI$26)*$FA$24,0)+IF(O318="sk",-(0.05-INDEX(绊状态确认!W:W,MATCH($G318,绊状态确认!$B:$B,)))*(1-$FI$26)*$FA$24+0.05*$FA$26,0)+IF(O318="sp",0.05*$FA$32*$FA$27*(1-$FA$33)/$FA$30+0.05*$FA$29/$FA$69*$FA$27*(1-$FA$33)-(0.05-INDEX(绊状态确认!V:V,MATCH($G318,绊状态确认!$B:$B,)))*$FA$26,0)+IF(O318="gd",-(0.05-INDEX(绊状态确认!X:X,MATCH($G318,绊状态确认!$B:$B,)))*$FA$32*$FA$27*(1-$FA$33)/$FA$30-(0.05-INDEX(绊状态确认!X:X,MATCH($G318,绊状态确认!$B:$B,)))*$FA$29/$FA$69*$FA$27*(1-$FA$33),0)</f>
        <v>20.459096812499922</v>
      </c>
      <c r="BK318" s="1110">
        <f>IF(O318="vo",$EW$26/$EW$24*0.05+$EW$26*(-HP($EW$62,$EW$65,$EW$64)+HP($EW$62,$EW$65,(1.05-INDEX(绊状态确认!U:U,MATCH($G318,绊状态确认!$B:$B,)))*$EW$64)),0)+IF(O318="sk",-$EW$26/$EW$24*(0.05-INDEX(绊状态确认!W:W,MATCH($G318,绊状态确认!$B:$B,)))+0.05*$EW$29,0)+IF(O318="sp",0.05*$EW$32*$EW$30*(1-$EW$33)-(0.05-INDEX(绊状态确认!V:V,MATCH($G318,绊状态确认!$B:$B,)))*$EW$29,0)+IF(O318="gd",-(0.05-INDEX(绊状态确认!X:X,MATCH($G318,绊状态确认!$B:$B,)))*$EW$32*$EW$30*(1-$EW$33)+$EW$26*(-HP($EW$62,$EW$65,$EW$64)+HP($EW$62,$EW$65,0.95*$EW$64)),0)</f>
        <v>-4253.6726349699375</v>
      </c>
      <c r="BL318" s="1111">
        <f t="shared" si="372"/>
        <v>0</v>
      </c>
      <c r="BM318" s="1110">
        <f t="shared" si="373"/>
        <v>0</v>
      </c>
      <c r="BN318" s="1113">
        <f t="shared" si="374"/>
        <v>3</v>
      </c>
      <c r="BO318" s="1097">
        <f t="shared" si="375"/>
        <v>4507.7214871259994</v>
      </c>
      <c r="BP318" s="1100">
        <f t="shared" si="376"/>
        <v>221.34103209030098</v>
      </c>
      <c r="BQ318" s="1113" t="s">
        <v>132</v>
      </c>
      <c r="BR318" s="1124" t="s">
        <v>169</v>
      </c>
      <c r="BS318" s="1098">
        <f>IF($P318="","N/A",IF($P318=-1,INDEX('卡片raw data'!AX:AX,MATCH($D318,'卡片raw data'!$F:$F,)),0)+IF($L318="party卡",IF($P318=5,INDEX('卡片raw data'!BD:BD,MATCH($D318,'卡片raw data'!$F:$F,)),IF($P318&gt;=3,INDEX('卡片raw data'!BC:BC,MATCH($D318,'卡片raw data'!$F:$F,)),INDEX('卡片raw data'!BB:BB,MATCH($D318,'卡片raw data'!$F:$F,)))),IF(OR(AND($F318="UR",$P318=0),AND($F318="SR",$P318&gt;=0,$P318&lt;=2),AND($F318="R",$P318&gt;=0,$P318&lt;4)),INDEX('卡片raw data'!AZ:AZ,MATCH($D318,'卡片raw data'!$F:$F,)),0)+IF(OR(AND($F318="UR",$P318&gt;=1,$P318&lt;=4),AND($F318="SR",$P318&lt;=4,$P318&gt;=3),AND($F318="R",$P318=4)),INDEX('卡片raw data'!BA:BA,MATCH($D318,'卡片raw data'!$F:$F,)),0)+IF($P318=5,INDEX('卡片raw data'!BB:BB,MATCH($D318,'卡片raw data'!$F:$F,)),0)))</f>
        <v>5.1999999999999998E-2</v>
      </c>
      <c r="BT318" s="1101">
        <f t="shared" si="377"/>
        <v>2170.3844197273338</v>
      </c>
      <c r="BU318" s="1097">
        <f t="shared" si="378"/>
        <v>106.57160804347826</v>
      </c>
      <c r="BV318" s="1097">
        <f t="shared" si="379"/>
        <v>1302.2306518363998</v>
      </c>
      <c r="BW318" s="1112">
        <f t="shared" si="380"/>
        <v>0</v>
      </c>
      <c r="BX318" s="1100">
        <f t="shared" si="381"/>
        <v>2170.3844197273338</v>
      </c>
      <c r="BY318" s="1110">
        <f t="shared" si="382"/>
        <v>1302.2306518363998</v>
      </c>
      <c r="BZ318" s="1107" t="s">
        <v>569</v>
      </c>
      <c r="CA318" s="1124"/>
      <c r="CB318" s="1098">
        <f>IF($P318="","N/A",IF($P318=-1,INDEX('卡片raw data'!BE:BE,MATCH($D318,'卡片raw data'!$F:$F,)),0)+IF($L318="party卡",IF($P318=5,INDEX('卡片raw data'!BK:BK,MATCH($D318,'卡片raw data'!$F:$F,)),IF($P318&gt;=3,INDEX('卡片raw data'!BJ:BJ,MATCH($D318,'卡片raw data'!$F:$F,)),INDEX('卡片raw data'!BI:BI,MATCH($D318,'卡片raw data'!$F:$F,)))),IF(OR(AND($F318="UR",$P318=0),AND($F318="SR",$P318&gt;=0,$P318&lt;=2),AND($F318="R",$P318&gt;=0,$P318&lt;4)),INDEX('卡片raw data'!BG:BG,MATCH($D318,'卡片raw data'!$F:$F,)),0)+IF(OR(AND($F318="UR",$P318&gt;=1,$P318&lt;=4),AND($F318="SR",$P318&lt;=4,$P318&gt;=3),AND($F318="R",$P318=4)),INDEX('卡片raw data'!BH:BH,MATCH($D318,'卡片raw data'!$F:$F,)),0)+IF($P318=5,INDEX('卡片raw data'!BI:BI,MATCH($D318,'卡片raw data'!$F:$F,)),0)))</f>
        <v>0</v>
      </c>
      <c r="CC318" s="1101">
        <f t="shared" si="383"/>
        <v>0</v>
      </c>
      <c r="CD318" s="1097">
        <f>IF(BZ318="ap",CB318*(1-$FI$26)*$FB$5/$FB$11*(+IF(CA318="全员",$FA$24,0)+IF(CA318="同作战",$FA$24,0)+IF(CA318="仲间",$FA$24*2/3,0)+IF(CA318="同属性",$FA$24*$FA$37/3,0)+IF(CA318="同年级",$FA$24*$FA$40/3,0)+IF(CA318="同学校",$FA$24*$FA$43/3,0)+IF(CA318="同小队",$FA$24*$FA$46/3,0)+IF(CA318="同type",$FA$24*INDEX($FB$49:$FB$52,MATCH(X318,$FA$49:$FA$52,))/3,0)+IF(CA318="自身",#REF!/3,0)),0)+IF(BZ318="te",CB318*(1-$FI$27)*($FA$20-1)*$FB$7/$FB$13*(+IF(CA318="全员",$FA$19*$FA$24/(1+($FA$20-1)*$FA$19),0)+IF(CA318="同作战",$FA$19*$FA$24/(1+($FA$20-1)*$FA$19),0)+IF(CA318="仲间",$FA$19*$FA$24*2/3/(1+($FA$20-1)*$FA$19),0)+IF(CA318="同属性",$FA$19*$FA$24*$FA$37/3/(1+($FA$20-1)*$FA$19),0)+IF(CA318="同年级",$FA$19*$FA$24*$FA$40/3/(1+($FA$20-1)*$FA$19),0)+IF(CA318="同学校",$FA$19*$FA$24*$FA$43/3/(1+($FA$20-1)*$FA$19),0)+IF(CA318="同小队",$FA$19*$FA$24*$FA$46/3/(1+($FA$20-1)*$FA$19),0)+IF(CA318="同type",$FA$19*$FA$24*INDEX($FB$49:$FB$52,MATCH(X318,$FA$49:$FA$52,))/3/(1+($FA$20-1)*$FA$19),0)+IF(CA318="自身",$FA$19*#REF!/3/(1+(BH318-1)*$BD318),0)),0)</f>
        <v>0</v>
      </c>
      <c r="CE318" s="1097">
        <f t="shared" si="384"/>
        <v>0</v>
      </c>
      <c r="CF318" s="1112">
        <f t="shared" si="385"/>
        <v>0</v>
      </c>
      <c r="CG318" s="1100">
        <f t="shared" si="386"/>
        <v>0</v>
      </c>
      <c r="CH318" s="1110">
        <f t="shared" si="387"/>
        <v>0</v>
      </c>
      <c r="CI318" s="1113" t="s">
        <v>170</v>
      </c>
      <c r="CJ318" s="1114">
        <v>1</v>
      </c>
      <c r="CK318" s="1115" t="s">
        <v>545</v>
      </c>
      <c r="CL318" s="1115" t="s">
        <v>1940</v>
      </c>
      <c r="CM318" s="1119">
        <v>1</v>
      </c>
      <c r="CN318" s="1115"/>
      <c r="CO318" s="1092">
        <v>1</v>
      </c>
      <c r="CP318" s="1116">
        <f t="shared" si="388"/>
        <v>164.31060893928574</v>
      </c>
      <c r="CQ318" s="1116">
        <f t="shared" si="389"/>
        <v>229.45356820533331</v>
      </c>
      <c r="CR318" s="1116">
        <f t="shared" si="390"/>
        <v>164.31060893928574</v>
      </c>
      <c r="CS318" s="1118">
        <f t="shared" si="391"/>
        <v>0</v>
      </c>
      <c r="CT318" s="1109">
        <f t="shared" si="392"/>
        <v>0</v>
      </c>
      <c r="CU318" s="1101">
        <f t="shared" si="393"/>
        <v>180.74166983321433</v>
      </c>
      <c r="CV318" s="1108">
        <f t="shared" si="394"/>
        <v>229.45356820533331</v>
      </c>
      <c r="CW318" s="1097">
        <f t="shared" si="395"/>
        <v>180.74166983321433</v>
      </c>
      <c r="CX318" s="1097">
        <f t="shared" si="396"/>
        <v>180.74166983321433</v>
      </c>
      <c r="CY318" s="1110">
        <f t="shared" si="397"/>
        <v>180.74166983321433</v>
      </c>
      <c r="CZ318" s="437"/>
      <c r="DA318" s="438"/>
      <c r="DB318" s="439" t="s">
        <v>569</v>
      </c>
      <c r="DC318" s="439"/>
      <c r="DD318" s="443"/>
      <c r="DE318" s="411"/>
      <c r="DF318" s="411"/>
      <c r="DG318" s="1116">
        <f t="shared" si="398"/>
        <v>0</v>
      </c>
      <c r="DH318" s="1116">
        <f t="shared" si="399"/>
        <v>0</v>
      </c>
      <c r="DI318" s="1116">
        <f t="shared" si="400"/>
        <v>0</v>
      </c>
      <c r="DJ318" s="442">
        <f t="shared" si="401"/>
        <v>0</v>
      </c>
      <c r="DK318" s="1109">
        <f t="shared" si="402"/>
        <v>0</v>
      </c>
      <c r="DL318" s="1101">
        <f t="shared" si="403"/>
        <v>0</v>
      </c>
      <c r="DM318" s="1097">
        <f t="shared" si="404"/>
        <v>0</v>
      </c>
      <c r="DN318" s="1097">
        <f t="shared" si="405"/>
        <v>0</v>
      </c>
      <c r="DO318" s="1097">
        <f t="shared" si="406"/>
        <v>0</v>
      </c>
      <c r="DP318" s="1110">
        <f t="shared" si="407"/>
        <v>0</v>
      </c>
      <c r="DQ318" s="1113" t="s">
        <v>221</v>
      </c>
      <c r="DR318" s="1120">
        <f t="shared" si="408"/>
        <v>0.33</v>
      </c>
      <c r="DS318" s="1124">
        <v>5</v>
      </c>
      <c r="DT318" s="1093" t="s">
        <v>169</v>
      </c>
      <c r="DU318" s="1093" t="s">
        <v>1127</v>
      </c>
      <c r="DV318" s="1098">
        <f>IF($P318="","N/A",IF(P318=-1,INDEX('卡片raw data'!AN:AN,MATCH(D318,'卡片raw data'!$F:$F,)),0)+IF(AND(L318&lt;&gt;"party卡",P318&lt;=2,P318&gt;=0),INDEX('卡片raw data'!AP:AP,MATCH(D318,'卡片raw data'!$F:$F,)),0)+IF(OR(AND(L318="party卡",P318&lt;=1),AND(P318&lt;=4,L318&lt;&gt;"party卡",P318&gt;=3)),INDEX('卡片raw data'!AQ:AQ,MATCH(D318,'卡片raw data'!$F:$F,)),0)+IF(OR(P318=5,AND(L318="party卡",P318&gt;=2)),INDEX('卡片raw data'!AR:AR,MATCH(D318,'卡片raw data'!$F:$F,)),0))</f>
        <v>6.2E-2</v>
      </c>
      <c r="DW318" s="1098">
        <f t="shared" si="409"/>
        <v>0.33</v>
      </c>
      <c r="DX318" s="1098">
        <f t="shared" si="410"/>
        <v>0.33</v>
      </c>
      <c r="DY318" s="1098">
        <f t="shared" si="411"/>
        <v>1.8944444444444448E-2</v>
      </c>
      <c r="DZ318" s="1098">
        <f t="shared" si="412"/>
        <v>1.6386944444444447E-2</v>
      </c>
      <c r="EA318" s="1098">
        <f t="shared" si="413"/>
        <v>0</v>
      </c>
      <c r="EB318" s="1121">
        <f t="shared" si="414"/>
        <v>0</v>
      </c>
      <c r="EC318" s="1101">
        <f t="shared" si="415"/>
        <v>3220.1513646632397</v>
      </c>
      <c r="ED318" s="1097">
        <f t="shared" si="416"/>
        <v>129.10760186259378</v>
      </c>
      <c r="EE318" s="1110">
        <f t="shared" si="417"/>
        <v>3220.1513646632397</v>
      </c>
      <c r="EF318" s="1115" t="s">
        <v>569</v>
      </c>
      <c r="EG318" s="1120">
        <f t="shared" si="418"/>
        <v>0.33</v>
      </c>
      <c r="EH318" s="1124"/>
      <c r="EI318" s="1093"/>
      <c r="EJ318" s="1093"/>
      <c r="EK318" s="1097">
        <f>IF($P318="","N/A",IF(P318=-1,INDEX('卡片raw data'!AS:AS,MATCH(D318,'卡片raw data'!$F:$F,)),0)+IF(AND(L318&lt;&gt;"party卡",P318&lt;=2,P318&gt;=0),INDEX('卡片raw data'!AU:AU,MATCH(D318,'卡片raw data'!$F:$F,)),0)+IF(OR(AND(L318="party卡",P318&lt;=1),AND(P318&lt;=4,L318&lt;&gt;"party卡",P318&gt;=3)),INDEX('卡片raw data'!AV:AV,MATCH(D318,'卡片raw data'!$F:$F,)),0)+IF(OR(P318=5,AND(L318="party卡",P318&gt;=2)),INDEX('卡片raw data'!AW:AW,MATCH(D318,'卡片raw data'!$F:$F,)),0))</f>
        <v>0</v>
      </c>
      <c r="EL318" s="1098">
        <f t="shared" si="419"/>
        <v>0.33</v>
      </c>
      <c r="EM318" s="1098">
        <f t="shared" si="420"/>
        <v>0.33</v>
      </c>
      <c r="EN318" s="1125">
        <f t="shared" si="421"/>
        <v>0</v>
      </c>
      <c r="EO318" s="1125">
        <f t="shared" si="422"/>
        <v>0</v>
      </c>
      <c r="EP318" s="1098">
        <f t="shared" si="423"/>
        <v>0</v>
      </c>
      <c r="EQ318" s="1121">
        <f t="shared" si="424"/>
        <v>0</v>
      </c>
      <c r="ER318" s="1101">
        <f t="shared" si="425"/>
        <v>0</v>
      </c>
      <c r="ES318" s="1097">
        <f t="shared" si="426"/>
        <v>0</v>
      </c>
      <c r="ET318" s="1122">
        <f t="shared" si="427"/>
        <v>0</v>
      </c>
    </row>
    <row r="319" spans="2:150" ht="16.5" customHeight="1">
      <c r="B319" s="1123" t="str">
        <f>INDEX('卡片raw data'!B:B,MATCH($D319,'卡片raw data'!$F:$F,))</f>
        <v>秋收花</v>
      </c>
      <c r="C319" s="449" t="s">
        <v>1120</v>
      </c>
      <c r="D319" s="408">
        <v>316</v>
      </c>
      <c r="E319" s="1090">
        <v>400083003</v>
      </c>
      <c r="F319" s="1090" t="str">
        <f>INDEX('卡片raw data'!C:C,MATCH($D319,'卡片raw data'!$F:$F,))</f>
        <v>UR</v>
      </c>
      <c r="G319" s="1094" t="s">
        <v>337</v>
      </c>
      <c r="H319" s="411">
        <v>8</v>
      </c>
      <c r="I319" s="450" t="s">
        <v>15</v>
      </c>
      <c r="J319" s="450" t="s">
        <v>16</v>
      </c>
      <c r="K319" s="451" t="s">
        <v>18</v>
      </c>
      <c r="L319" s="1094" t="str">
        <f>INDEX('卡片raw data'!E:E,MATCH($D319,'卡片raw data'!$F:$F,))</f>
        <v>活动卡</v>
      </c>
      <c r="M319" s="415">
        <v>44092</v>
      </c>
      <c r="N319" s="416">
        <v>24</v>
      </c>
      <c r="O319" s="1091" t="str">
        <f>INDEX('卡片raw data'!D:D,MATCH($D319,'卡片raw data'!$F:$F,))</f>
        <v>vo</v>
      </c>
      <c r="P319" s="417">
        <v>5</v>
      </c>
      <c r="Q319" s="1095">
        <f t="shared" si="343"/>
        <v>49378.527803356592</v>
      </c>
      <c r="R319" s="1096">
        <f t="shared" si="344"/>
        <v>0.57399999999999995</v>
      </c>
      <c r="S319" s="1097">
        <f t="shared" si="345"/>
        <v>18596.360123470738</v>
      </c>
      <c r="T319" s="1098">
        <f t="shared" si="346"/>
        <v>0.92900000000000005</v>
      </c>
      <c r="U319" s="1099">
        <f t="shared" si="347"/>
        <v>-8.7022056084571418</v>
      </c>
      <c r="V319" s="1100">
        <f t="shared" si="348"/>
        <v>49385.576387312838</v>
      </c>
      <c r="W319" s="1101">
        <f t="shared" si="349"/>
        <v>6459.2269573570939</v>
      </c>
      <c r="X319" s="1096">
        <f t="shared" si="350"/>
        <v>7.4999999999999997E-2</v>
      </c>
      <c r="Y319" s="1097">
        <f t="shared" si="351"/>
        <v>1311.717034197949</v>
      </c>
      <c r="Z319" s="1102">
        <f t="shared" si="352"/>
        <v>16.297794391542858</v>
      </c>
      <c r="AA319" s="1103">
        <f t="shared" si="353"/>
        <v>7770.9439915550429</v>
      </c>
      <c r="AB319" s="1101">
        <f t="shared" si="354"/>
        <v>8410.7324275881911</v>
      </c>
      <c r="AC319" s="1104">
        <f t="shared" si="355"/>
        <v>9.7000000000000003E-2</v>
      </c>
      <c r="AD319" s="1105">
        <f t="shared" si="356"/>
        <v>0</v>
      </c>
      <c r="AE319" s="1128">
        <f t="shared" si="357"/>
        <v>0</v>
      </c>
      <c r="AF319" s="1130">
        <f t="shared" si="358"/>
        <v>0</v>
      </c>
      <c r="AG319" s="420">
        <f t="shared" si="359"/>
        <v>0</v>
      </c>
      <c r="AH319" s="420">
        <f t="shared" si="360"/>
        <v>0</v>
      </c>
      <c r="AI319" s="1097">
        <f t="shared" si="361"/>
        <v>0</v>
      </c>
      <c r="AJ319" s="420">
        <f t="shared" si="362"/>
        <v>0</v>
      </c>
      <c r="AK319" s="518">
        <f t="shared" si="363"/>
        <v>0</v>
      </c>
      <c r="AL319" s="1106">
        <f>IF($P319="","N/A",(IF($P319=-1,INDEX('卡片raw data'!S:S,MATCH($D319,'卡片raw data'!$F:$F,)),0)+IF($P319=0,INDEX('卡片raw data'!V:V,MATCH($D319,'卡片raw data'!$F:$F,)),0)+IF($P319=1,INDEX('卡片raw data'!Y:Y,MATCH($D319,'卡片raw data'!$F:$F,)),0)+IF($P319=2,INDEX('卡片raw data'!AB:AB,MATCH($D319,'卡片raw data'!$F:$F,)),0)+IF($P319=3,INDEX('卡片raw data'!AE:AE,MATCH($D319,'卡片raw data'!$F:$F,)),0)+IF($P319=4,INDEX('卡片raw data'!AH:AH,MATCH($D319,'卡片raw data'!$F:$F,)),0)+IF($P319=5,INDEX('卡片raw data'!AK:AK,MATCH($D319,'卡片raw data'!$F:$F,)),0)+INDEX('卡片raw data'!S:S,MATCH($D319,'卡片raw data'!$F:$F,))*(IF($F319="UR",0.04,0.033))*(IF($F319="UR",INDEX(绊状态确认!$S:$S,MATCH($G319,绊状态确认!$B:$B,))/2-40)+IF($F319="SR",INDEX(绊状态确认!$R:$R,MATCH($G319,绊状态确认!$B:$B,))/4-15))+IF($F319="R",INDEX(绊状态确认!$Q:$Q,MATCH($G319,绊状态确认!$B:$B,))/6-40/6)))*(INDEX(绊状态确认!$H:$H,MATCH($G319,绊状态确认!$B:$B,))+INDEX(绊状态确认!J:J,MATCH($G319,绊状态确认!$B:$B,)))</f>
        <v>10272.874175999999</v>
      </c>
      <c r="AM319" s="1106">
        <f>IF($P319="","N/A",(IF($P319=-1,INDEX('卡片raw data'!T:T,MATCH($D319,'卡片raw data'!$F:$F,)),0)+IF($P319=0,INDEX('卡片raw data'!W:W,MATCH($D319,'卡片raw data'!$F:$F,)),0)+IF($P319=1,INDEX('卡片raw data'!Z:Z,MATCH($D319,'卡片raw data'!$F:$F,)),0)+IF($P319=2,INDEX('卡片raw data'!AC:AC,MATCH($D319,'卡片raw data'!$F:$F,)),0)+IF($P319=3,INDEX('卡片raw data'!AF:AF,MATCH($D319,'卡片raw data'!$F:$F,)),0)+IF($P319=4,INDEX('卡片raw data'!AI:AI,MATCH($D319,'卡片raw data'!$F:$F,)),0)+IF($P319=5,INDEX('卡片raw data'!AL:AL,MATCH($D319,'卡片raw data'!$F:$F,)),0)+INDEX('卡片raw data'!T:T,MATCH($D319,'卡片raw data'!$F:$F,))*(IF($F319="UR",0.04,0.033))*(IF($F319="UR",INDEX(绊状态确认!$S:$S,MATCH($G319,绊状态确认!$B:$B,))/2-40)+IF($F319="SR",INDEX(绊状态确认!$R:$R,MATCH($G319,绊状态确认!$B:$B,))/4-15))+IF($F319="R",INDEX(绊状态确认!$Q:$Q,MATCH($G319,绊状态确认!$B:$B,))/6-40/6)))*(INDEX(绊状态确认!$H:$H,MATCH($G319,绊状态确认!$B:$B,))+INDEX(绊状态确认!K:K,MATCH($G319,绊状态确认!$B:$B,)))</f>
        <v>9162.8386559999981</v>
      </c>
      <c r="AN319" s="1106">
        <f>IF($P319="","N/A",(IF($P319=-1,INDEX('卡片raw data'!U:U,MATCH($D319,'卡片raw data'!$F:$F,)),0)+IF($P319=0,INDEX('卡片raw data'!X:X,MATCH($D319,'卡片raw data'!$F:$F,)),0)+IF($P319=1,INDEX('卡片raw data'!AA:AA,MATCH($D319,'卡片raw data'!$F:$F,)),0)+IF($P319=2,INDEX('卡片raw data'!AD:AD,MATCH($D319,'卡片raw data'!$F:$F,)),0)+IF($P319=3,INDEX('卡片raw data'!AG:AG,MATCH($D319,'卡片raw data'!$F:$F,)),0)+IF($P319=4,INDEX('卡片raw data'!AJ:AJ,MATCH($D319,'卡片raw data'!$F:$F,)),0)+IF($P319=5,INDEX('卡片raw data'!AM:AM,MATCH($D319,'卡片raw data'!$F:$F,)),0)+INDEX('卡片raw data'!U:U,MATCH($D319,'卡片raw data'!$F:$F,))*(IF($F319="UR",0.04,0.033))*(IF($F319="UR",INDEX(绊状态确认!$S:$S,MATCH($G319,绊状态确认!$B:$B,))/2-40)+IF($F319="SR",INDEX(绊状态确认!$R:$R,MATCH($G319,绊状态确认!$B:$B,))/4-15))+IF($F319="R",INDEX(绊状态确认!$Q:$Q,MATCH($G319,绊状态确认!$B:$B,))/6-40/6)))*(INDEX(绊状态确认!$H:$H,MATCH($G319,绊状态确认!$B:$B,))+INDEX(绊状态确认!L:L,MATCH($G319,绊状态确认!$B:$B,)))</f>
        <v>8330.9029439999995</v>
      </c>
      <c r="AO319" s="1107">
        <f t="shared" si="364"/>
        <v>1</v>
      </c>
      <c r="AP319" s="1131">
        <f>1+(INDEX(绊状态确认!$T:$T,MATCH($G319,绊状态确认!$B:$B,))+0.2)*$AO319</f>
        <v>1.3</v>
      </c>
      <c r="AQ319" s="1108">
        <f t="shared" si="365"/>
        <v>30216.294711999999</v>
      </c>
      <c r="AR319" s="1097">
        <f>(AM319*(1+$EX$9)+$EX$35)*(1+(INDEX(绊状态确认!$T:$T,MATCH($G319,绊状态确认!$B:$B,))+0.2)*AO319)*IF(J319=$FF$17,1+$FE$17,1)*IF(I319=$FF$14,1+$FE$14,1)*(1+$FE$15)</f>
        <v>15211.274765439999</v>
      </c>
      <c r="AS319" s="1097">
        <f>(AN319*(1+$EX$10)+$EX$36)*(1+(INDEX(绊状态确认!$T:$T,MATCH($G319,绊状态确认!$B:$B,))+0.2)*AO319)*IF(J319=$FF$17,1+$FE$17,1)*IF(I319=$FF$14,1+$FE$14,1)*(1+$FE$15)</f>
        <v>16510.699901280001</v>
      </c>
      <c r="AT319" s="1093">
        <f>IF(AND(INDEX('卡片raw data'!AK:AK,MATCH($D319,'卡片raw data'!$F:$F,))&lt;INDEX('卡片raw data'!AM:AM,MATCH($D319,'卡片raw data'!$F:$F,)),INDEX('卡片raw data'!AL:AL,MATCH($D319,'卡片raw data'!$F:$F,))&lt;INDEX('卡片raw data'!AM:AM,MATCH($D319,'卡片raw data'!$F:$F,))),1,0)</f>
        <v>0</v>
      </c>
      <c r="AU319" s="1098">
        <f>MIN(AT319*0.15+AS319*0.00003+INDEX(绊状态确认!M:M,MATCH($G319,绊状态确认!$B:$B,)),1)</f>
        <v>0.52532099703840007</v>
      </c>
      <c r="AV319" s="1109">
        <f>(INDEX(绊状态确认!$N:$N,MATCH($G319,绊状态确认!$B:$B,))+1.5)*$EW$21</f>
        <v>2.6599999999999997</v>
      </c>
      <c r="AW319" s="1101">
        <f t="shared" si="366"/>
        <v>29377.310810428135</v>
      </c>
      <c r="AX319" s="1097">
        <f t="shared" si="367"/>
        <v>1311.7170341979493</v>
      </c>
      <c r="AY319" s="1110">
        <f t="shared" si="368"/>
        <v>30689.027844626085</v>
      </c>
      <c r="AZ319" s="429">
        <f t="shared" si="369"/>
        <v>22632.104643199997</v>
      </c>
      <c r="BA319" s="431">
        <f t="shared" si="370"/>
        <v>27158.525571839997</v>
      </c>
      <c r="BB319" s="1097">
        <f>(AM319*(1+$FB$9)+$FB$35)*(1+(INDEX(绊状态确认!$T:$T,MATCH($G319,绊状态确认!$B:$B,))+0.2)*AO319)*IF(J319=$FF$17,1+$FE$17,1)*IF(I319=$FF$14,1+$FE$14,1)*(1+$FE$15)</f>
        <v>15211.274765439999</v>
      </c>
      <c r="BC319" s="1097">
        <f>(AN319*(1+$FB$10)+$FB$36)*(1+(INDEX(绊状态确认!$T:$T,MATCH($G319,绊状态确认!$B:$B,))+0.2)*AO319)*IF(J319=$FF$17,1+$FE$17,1)*IF(I319=$FF$14,1+$FE$14,1)*(1+$FE$15)</f>
        <v>16510.699901280001</v>
      </c>
      <c r="BD319" s="1104">
        <f>MIN(AT319*0.15+BC319*0.00003+INDEX(绊状态确认!M:M,MATCH($G319,绊状态确认!$B:$B,)),1)</f>
        <v>0.52532099703840007</v>
      </c>
      <c r="BE319" s="432">
        <f>(INDEX(绊状态确认!$N:$N,MATCH($G319,绊状态确认!$B:$B,))+1.5)</f>
        <v>1.9</v>
      </c>
      <c r="BF319" s="1139">
        <f t="array" ref="BF319">SUMPRODUCT(IF(AZ319*AP319*$FI$16:$FI$23*$FA$22&gt;=$FI$24,$FI$24,AZ319*AP319*$FI$16:$FI$23*$FA$22),$FJ$16:$FJ$23)</f>
        <v>45015.256135324795</v>
      </c>
      <c r="BG319" s="1125">
        <f t="array" ref="BG319">SUMPRODUCT(IF(BE319*AZ319*AP319*$FI$16:$FI$23*$FA$22&gt;=$FI$24,$FI$24,BE319*AZ319*AP319*$FI$16:$FI$23*$FA$22),$FJ$16:$FJ$23)</f>
        <v>60000</v>
      </c>
      <c r="BH319" s="1110">
        <f t="shared" si="371"/>
        <v>17629.018907560341</v>
      </c>
      <c r="BI319" s="1111">
        <f>IF(O319="vo",$EW$26/$EW$24*0.05,0)+IF(O319="sk",-$EW$26/$EW$24*(0.05-INDEX(绊状态确认!W:W,MATCH($G319,绊状态确认!$B:$B,)))+0.05*$EW$28,0)+IF(O319="sp",0.05*$EW$32*$EW$30*(1-$EW$33)-(0.05-INDEX(绊状态确认!V:V,MATCH($G319,绊状态确认!$B:$B,)))*$EW$28,0)+IF(O319="gd",-(0.05-INDEX(绊状态确认!X:X,MATCH($G319,绊状态确认!$B:$B,)))*$EW$32*$EW$30*(1-$EW$33),0)</f>
        <v>7726.3029277443748</v>
      </c>
      <c r="BJ319" s="1097">
        <f>IF(O319="vo",0.05*(1-$FI$26)*$FA$24,0)+IF(O319="sk",-(0.05-INDEX(绊状态确认!W:W,MATCH($G319,绊状态确认!$B:$B,)))*(1-$FI$26)*$FA$24+0.05*$FA$26,0)+IF(O319="sp",0.05*$FA$32*$FA$27*(1-$FA$33)/$FA$30+0.05*$FA$29/$FA$69*$FA$27*(1-$FA$33)-(0.05-INDEX(绊状态确认!V:V,MATCH($G319,绊状态确认!$B:$B,)))*$FA$26,0)+IF(O319="gd",-(0.05-INDEX(绊状态确认!X:X,MATCH($G319,绊状态确认!$B:$B,)))*$FA$32*$FA$27*(1-$FA$33)/$FA$30-(0.05-INDEX(绊状态确认!X:X,MATCH($G319,绊状态确认!$B:$B,)))*$FA$29/$FA$69*$FA$27*(1-$FA$33),0)</f>
        <v>393.93433687500004</v>
      </c>
      <c r="BK319" s="1110">
        <f>IF(O319="vo",$EW$26/$EW$24*0.05+$EW$26*(-HP($EW$62,$EW$65,$EW$64)+HP($EW$62,$EW$65,(1.05-INDEX(绊状态确认!U:U,MATCH($G319,绊状态确认!$B:$B,)))*$EW$64)),0)+IF(O319="sk",-$EW$26/$EW$24*(0.05-INDEX(绊状态确认!W:W,MATCH($G319,绊状态确认!$B:$B,)))+0.05*$EW$29,0)+IF(O319="sp",0.05*$EW$32*$EW$30*(1-$EW$33)-(0.05-INDEX(绊状态确认!V:V,MATCH($G319,绊状态确认!$B:$B,)))*$EW$29,0)+IF(O319="gd",-(0.05-INDEX(绊状态确认!X:X,MATCH($G319,绊状态确认!$B:$B,)))*$EW$32*$EW$30*(1-$EW$33)+$EW$26*(-HP($EW$62,$EW$65,$EW$64)+HP($EW$62,$EW$65,0.95*$EW$64)),0)</f>
        <v>6421.6344775026746</v>
      </c>
      <c r="BL319" s="1111">
        <f t="shared" si="372"/>
        <v>0</v>
      </c>
      <c r="BM319" s="1110">
        <f t="shared" si="373"/>
        <v>0</v>
      </c>
      <c r="BN319" s="1113">
        <f t="shared" si="374"/>
        <v>3</v>
      </c>
      <c r="BO319" s="1097">
        <f t="shared" si="375"/>
        <v>4507.7214871259994</v>
      </c>
      <c r="BP319" s="1100">
        <f t="shared" si="376"/>
        <v>221.34103209030098</v>
      </c>
      <c r="BQ319" s="1113" t="s">
        <v>134</v>
      </c>
      <c r="BR319" s="1124" t="s">
        <v>171</v>
      </c>
      <c r="BS319" s="1098">
        <f>IF($P319="","N/A",IF($P319=-1,INDEX('卡片raw data'!AX:AX,MATCH($D319,'卡片raw data'!$F:$F,)),0)+IF($L319="party卡",IF($P319=5,INDEX('卡片raw data'!BD:BD,MATCH($D319,'卡片raw data'!$F:$F,)),IF($P319&gt;=3,INDEX('卡片raw data'!BC:BC,MATCH($D319,'卡片raw data'!$F:$F,)),INDEX('卡片raw data'!BB:BB,MATCH($D319,'卡片raw data'!$F:$F,)))),IF(OR(AND($F319="UR",$P319=0),AND($F319="SR",$P319&gt;=0,$P319&lt;=2),AND($F319="R",$P319&gt;=0,$P319&lt;4)),INDEX('卡片raw data'!AZ:AZ,MATCH($D319,'卡片raw data'!$F:$F,)),0)+IF(OR(AND($F319="UR",$P319&gt;=1,$P319&lt;=4),AND($F319="SR",$P319&lt;=4,$P319&gt;=3),AND($F319="R",$P319=4)),INDEX('卡片raw data'!BA:BA,MATCH($D319,'卡片raw data'!$F:$F,)),0)+IF($P319=5,INDEX('卡片raw data'!BB:BB,MATCH($D319,'卡片raw data'!$F:$F,)),0)))</f>
        <v>5.1999999999999998E-2</v>
      </c>
      <c r="BT319" s="1101">
        <f t="shared" si="377"/>
        <v>2452.5263374936467</v>
      </c>
      <c r="BU319" s="1097">
        <f t="shared" si="378"/>
        <v>155.22419036436909</v>
      </c>
      <c r="BV319" s="1097">
        <f t="shared" si="379"/>
        <v>1226.2631687468233</v>
      </c>
      <c r="BW319" s="1112">
        <f t="shared" si="380"/>
        <v>0</v>
      </c>
      <c r="BX319" s="1100">
        <f t="shared" si="381"/>
        <v>2452.5263374936467</v>
      </c>
      <c r="BY319" s="1110">
        <f t="shared" si="382"/>
        <v>1226.2631687468233</v>
      </c>
      <c r="BZ319" s="1107" t="s">
        <v>569</v>
      </c>
      <c r="CA319" s="1124"/>
      <c r="CB319" s="1098">
        <f>IF($P319="","N/A",IF($P319=-1,INDEX('卡片raw data'!BE:BE,MATCH($D319,'卡片raw data'!$F:$F,)),0)+IF($L319="party卡",IF($P319=5,INDEX('卡片raw data'!BK:BK,MATCH($D319,'卡片raw data'!$F:$F,)),IF($P319&gt;=3,INDEX('卡片raw data'!BJ:BJ,MATCH($D319,'卡片raw data'!$F:$F,)),INDEX('卡片raw data'!BI:BI,MATCH($D319,'卡片raw data'!$F:$F,)))),IF(OR(AND($F319="UR",$P319=0),AND($F319="SR",$P319&gt;=0,$P319&lt;=2),AND($F319="R",$P319&gt;=0,$P319&lt;4)),INDEX('卡片raw data'!BG:BG,MATCH($D319,'卡片raw data'!$F:$F,)),0)+IF(OR(AND($F319="UR",$P319&gt;=1,$P319&lt;=4),AND($F319="SR",$P319&lt;=4,$P319&gt;=3),AND($F319="R",$P319=4)),INDEX('卡片raw data'!BH:BH,MATCH($D319,'卡片raw data'!$F:$F,)),0)+IF($P319=5,INDEX('卡片raw data'!BI:BI,MATCH($D319,'卡片raw data'!$F:$F,)),0)))</f>
        <v>0</v>
      </c>
      <c r="CC319" s="1101">
        <f t="shared" si="383"/>
        <v>0</v>
      </c>
      <c r="CD319" s="1097">
        <f>IF(BZ319="ap",CB319*(1-$FI$26)*$FB$5/$FB$11*(+IF(CA319="全员",$FA$24,0)+IF(CA319="同作战",$FA$24,0)+IF(CA319="仲间",$FA$24*2/3,0)+IF(CA319="同属性",$FA$24*$FA$37/3,0)+IF(CA319="同年级",$FA$24*$FA$40/3,0)+IF(CA319="同学校",$FA$24*$FA$43/3,0)+IF(CA319="同小队",$FA$24*$FA$46/3,0)+IF(CA319="同type",$FA$24*INDEX($FB$49:$FB$52,MATCH(X319,$FA$49:$FA$52,))/3,0)+IF(CA319="自身",#REF!/3,0)),0)+IF(BZ319="te",CB319*(1-$FI$27)*($FA$20-1)*$FB$7/$FB$13*(+IF(CA319="全员",$FA$19*$FA$24/(1+($FA$20-1)*$FA$19),0)+IF(CA319="同作战",$FA$19*$FA$24/(1+($FA$20-1)*$FA$19),0)+IF(CA319="仲间",$FA$19*$FA$24*2/3/(1+($FA$20-1)*$FA$19),0)+IF(CA319="同属性",$FA$19*$FA$24*$FA$37/3/(1+($FA$20-1)*$FA$19),0)+IF(CA319="同年级",$FA$19*$FA$24*$FA$40/3/(1+($FA$20-1)*$FA$19),0)+IF(CA319="同学校",$FA$19*$FA$24*$FA$43/3/(1+($FA$20-1)*$FA$19),0)+IF(CA319="同小队",$FA$19*$FA$24*$FA$46/3/(1+($FA$20-1)*$FA$19),0)+IF(CA319="同type",$FA$19*$FA$24*INDEX($FB$49:$FB$52,MATCH(X319,$FA$49:$FA$52,))/3/(1+($FA$20-1)*$FA$19),0)+IF(CA319="自身",$FA$19*#REF!/3/(1+(BH319-1)*$BD319),0)),0)</f>
        <v>0</v>
      </c>
      <c r="CE319" s="1097">
        <f t="shared" si="384"/>
        <v>0</v>
      </c>
      <c r="CF319" s="1112">
        <f t="shared" si="385"/>
        <v>0</v>
      </c>
      <c r="CG319" s="1100">
        <f t="shared" si="386"/>
        <v>0</v>
      </c>
      <c r="CH319" s="1110">
        <f t="shared" si="387"/>
        <v>0</v>
      </c>
      <c r="CI319" s="1113" t="s">
        <v>164</v>
      </c>
      <c r="CJ319" s="1114">
        <v>1</v>
      </c>
      <c r="CK319" s="1115" t="s">
        <v>167</v>
      </c>
      <c r="CL319" s="1115" t="s">
        <v>1128</v>
      </c>
      <c r="CM319" s="1119">
        <v>1.6E-2</v>
      </c>
      <c r="CN319" s="1115" t="s">
        <v>1129</v>
      </c>
      <c r="CO319" s="1092">
        <v>1</v>
      </c>
      <c r="CP319" s="1118">
        <f t="shared" si="388"/>
        <v>1.0666666666666666E-2</v>
      </c>
      <c r="CQ319" s="1118">
        <f t="shared" si="389"/>
        <v>9.3333333333333341E-3</v>
      </c>
      <c r="CR319" s="1118">
        <f t="shared" si="390"/>
        <v>5.3333333333333332E-3</v>
      </c>
      <c r="CS319" s="1118">
        <f t="shared" si="391"/>
        <v>0</v>
      </c>
      <c r="CT319" s="1109">
        <f t="shared" si="392"/>
        <v>0</v>
      </c>
      <c r="CU319" s="1101">
        <f t="shared" si="393"/>
        <v>1450.4846029685439</v>
      </c>
      <c r="CV319" s="1108">
        <f t="shared" si="394"/>
        <v>61.278674625000015</v>
      </c>
      <c r="CW319" s="1097">
        <f t="shared" si="395"/>
        <v>725.24230148427193</v>
      </c>
      <c r="CX319" s="1097">
        <f t="shared" si="396"/>
        <v>1450.4846029685439</v>
      </c>
      <c r="CY319" s="1110">
        <f t="shared" si="397"/>
        <v>725.24230148427193</v>
      </c>
      <c r="CZ319" s="437"/>
      <c r="DA319" s="438"/>
      <c r="DB319" s="439" t="s">
        <v>569</v>
      </c>
      <c r="DC319" s="439"/>
      <c r="DD319" s="443"/>
      <c r="DE319" s="411"/>
      <c r="DF319" s="411"/>
      <c r="DG319" s="1116">
        <f t="shared" si="398"/>
        <v>0</v>
      </c>
      <c r="DH319" s="1116">
        <f t="shared" si="399"/>
        <v>0</v>
      </c>
      <c r="DI319" s="1116">
        <f t="shared" si="400"/>
        <v>0</v>
      </c>
      <c r="DJ319" s="442">
        <f t="shared" si="401"/>
        <v>0</v>
      </c>
      <c r="DK319" s="1109">
        <f t="shared" si="402"/>
        <v>0</v>
      </c>
      <c r="DL319" s="1101">
        <f t="shared" si="403"/>
        <v>0</v>
      </c>
      <c r="DM319" s="1097">
        <f t="shared" si="404"/>
        <v>0</v>
      </c>
      <c r="DN319" s="1097">
        <f t="shared" si="405"/>
        <v>0</v>
      </c>
      <c r="DO319" s="1097">
        <f t="shared" si="406"/>
        <v>0</v>
      </c>
      <c r="DP319" s="1110">
        <f t="shared" si="407"/>
        <v>0</v>
      </c>
      <c r="DQ319" s="1113" t="s">
        <v>221</v>
      </c>
      <c r="DR319" s="1120">
        <f t="shared" si="408"/>
        <v>0.33</v>
      </c>
      <c r="DS319" s="1124">
        <v>5</v>
      </c>
      <c r="DT319" s="1093" t="s">
        <v>171</v>
      </c>
      <c r="DU319" s="1093" t="s">
        <v>1127</v>
      </c>
      <c r="DV319" s="1098">
        <f>IF($P319="","N/A",IF(P319=-1,INDEX('卡片raw data'!AN:AN,MATCH(D319,'卡片raw data'!$F:$F,)),0)+IF(AND(L319&lt;&gt;"party卡",P319&lt;=2,P319&gt;=0),INDEX('卡片raw data'!AP:AP,MATCH(D319,'卡片raw data'!$F:$F,)),0)+IF(OR(AND(L319="party卡",P319&lt;=1),AND(P319&lt;=4,L319&lt;&gt;"party卡",P319&gt;=3)),INDEX('卡片raw data'!AQ:AQ,MATCH(D319,'卡片raw data'!$F:$F,)),0)+IF(OR(P319=5,AND(L319="party卡",P319&gt;=2)),INDEX('卡片raw data'!AR:AR,MATCH(D319,'卡片raw data'!$F:$F,)),0))</f>
        <v>6.2E-2</v>
      </c>
      <c r="DW319" s="1098">
        <f t="shared" si="409"/>
        <v>0.33</v>
      </c>
      <c r="DX319" s="1098">
        <f t="shared" si="410"/>
        <v>0.33</v>
      </c>
      <c r="DY319" s="1098">
        <f t="shared" si="411"/>
        <v>2.2733333333333338E-2</v>
      </c>
      <c r="DZ319" s="1098">
        <f t="shared" si="412"/>
        <v>1.7206291666666668E-2</v>
      </c>
      <c r="EA319" s="1098">
        <f t="shared" si="413"/>
        <v>0</v>
      </c>
      <c r="EB319" s="1121">
        <f t="shared" si="414"/>
        <v>0</v>
      </c>
      <c r="EC319" s="1101">
        <f t="shared" si="415"/>
        <v>3864.1816375958874</v>
      </c>
      <c r="ED319" s="1097">
        <f t="shared" si="416"/>
        <v>135.56298195572344</v>
      </c>
      <c r="EE319" s="1110">
        <f t="shared" si="417"/>
        <v>3864.1816375958874</v>
      </c>
      <c r="EF319" s="1115" t="s">
        <v>569</v>
      </c>
      <c r="EG319" s="1120">
        <f t="shared" si="418"/>
        <v>0.33</v>
      </c>
      <c r="EH319" s="1124"/>
      <c r="EI319" s="1093"/>
      <c r="EJ319" s="1093"/>
      <c r="EK319" s="1097">
        <f>IF($P319="","N/A",IF(P319=-1,INDEX('卡片raw data'!AS:AS,MATCH(D319,'卡片raw data'!$F:$F,)),0)+IF(AND(L319&lt;&gt;"party卡",P319&lt;=2,P319&gt;=0),INDEX('卡片raw data'!AU:AU,MATCH(D319,'卡片raw data'!$F:$F,)),0)+IF(OR(AND(L319="party卡",P319&lt;=1),AND(P319&lt;=4,L319&lt;&gt;"party卡",P319&gt;=3)),INDEX('卡片raw data'!AV:AV,MATCH(D319,'卡片raw data'!$F:$F,)),0)+IF(OR(P319=5,AND(L319="party卡",P319&gt;=2)),INDEX('卡片raw data'!AW:AW,MATCH(D319,'卡片raw data'!$F:$F,)),0))</f>
        <v>0</v>
      </c>
      <c r="EL319" s="1098">
        <f t="shared" si="419"/>
        <v>0.33</v>
      </c>
      <c r="EM319" s="1098">
        <f t="shared" si="420"/>
        <v>0.33</v>
      </c>
      <c r="EN319" s="1125">
        <f t="shared" si="421"/>
        <v>0</v>
      </c>
      <c r="EO319" s="1125">
        <f t="shared" si="422"/>
        <v>0</v>
      </c>
      <c r="EP319" s="1098">
        <f t="shared" si="423"/>
        <v>0</v>
      </c>
      <c r="EQ319" s="1121">
        <f t="shared" si="424"/>
        <v>0</v>
      </c>
      <c r="ER319" s="1101">
        <f t="shared" si="425"/>
        <v>0</v>
      </c>
      <c r="ES319" s="1097">
        <f t="shared" si="426"/>
        <v>0</v>
      </c>
      <c r="ET319" s="1122">
        <f t="shared" si="427"/>
        <v>0</v>
      </c>
    </row>
    <row r="320" spans="2:150" ht="16.5" customHeight="1">
      <c r="B320" s="1123" t="str">
        <f>INDEX('卡片raw data'!B:B,MATCH($D320,'卡片raw data'!$F:$F,))</f>
        <v>二单露</v>
      </c>
      <c r="C320" s="449" t="s">
        <v>1121</v>
      </c>
      <c r="D320" s="408">
        <v>317</v>
      </c>
      <c r="E320" s="1090">
        <v>401092002</v>
      </c>
      <c r="F320" s="1090" t="str">
        <f>INDEX('卡片raw data'!C:C,MATCH($D320,'卡片raw data'!$F:$F,))</f>
        <v>SR</v>
      </c>
      <c r="G320" s="1094" t="s">
        <v>346</v>
      </c>
      <c r="H320" s="411">
        <v>109</v>
      </c>
      <c r="I320" s="450" t="s">
        <v>1123</v>
      </c>
      <c r="J320" s="450" t="s">
        <v>16</v>
      </c>
      <c r="K320" s="451" t="s">
        <v>60</v>
      </c>
      <c r="L320" s="1094" t="str">
        <f>INDEX('卡片raw data'!E:E,MATCH($D320,'卡片raw data'!$F:$F,))</f>
        <v>活动卡</v>
      </c>
      <c r="M320" s="415">
        <v>44092</v>
      </c>
      <c r="N320" s="416">
        <v>24</v>
      </c>
      <c r="O320" s="1091" t="str">
        <f>INDEX('卡片raw data'!D:D,MATCH($D320,'卡片raw data'!$F:$F,))</f>
        <v>sk</v>
      </c>
      <c r="P320" s="417">
        <v>5</v>
      </c>
      <c r="Q320" s="1095">
        <f t="shared" si="343"/>
        <v>22199.699958920737</v>
      </c>
      <c r="R320" s="1096">
        <f t="shared" si="344"/>
        <v>0.25800000000000001</v>
      </c>
      <c r="S320" s="1097">
        <f t="shared" si="345"/>
        <v>12847.959439182878</v>
      </c>
      <c r="T320" s="1098">
        <f t="shared" si="346"/>
        <v>0.64200000000000002</v>
      </c>
      <c r="U320" s="1099">
        <f t="shared" si="347"/>
        <v>10.746628208772854</v>
      </c>
      <c r="V320" s="1100">
        <f t="shared" si="348"/>
        <v>25054.821385196814</v>
      </c>
      <c r="W320" s="1101">
        <f t="shared" si="349"/>
        <v>4507.7214871259994</v>
      </c>
      <c r="X320" s="1096">
        <f t="shared" si="350"/>
        <v>5.1999999999999998E-2</v>
      </c>
      <c r="Y320" s="1097">
        <f t="shared" si="351"/>
        <v>855.12142627607682</v>
      </c>
      <c r="Z320" s="1102">
        <f t="shared" si="352"/>
        <v>10.746628208772854</v>
      </c>
      <c r="AA320" s="1103">
        <f t="shared" si="353"/>
        <v>5362.8429134020762</v>
      </c>
      <c r="AB320" s="1101">
        <f t="shared" si="354"/>
        <v>8097.4086215251436</v>
      </c>
      <c r="AC320" s="1104">
        <f t="shared" si="355"/>
        <v>9.4E-2</v>
      </c>
      <c r="AD320" s="1105">
        <f t="shared" si="356"/>
        <v>1.8994224431818179E-2</v>
      </c>
      <c r="AE320" s="1128">
        <f t="shared" si="357"/>
        <v>4.3537577047458456</v>
      </c>
      <c r="AF320" s="1130">
        <f t="shared" si="358"/>
        <v>0</v>
      </c>
      <c r="AG320" s="420">
        <f t="shared" si="359"/>
        <v>0</v>
      </c>
      <c r="AH320" s="420">
        <f t="shared" si="360"/>
        <v>0</v>
      </c>
      <c r="AI320" s="1097">
        <f t="shared" si="361"/>
        <v>0</v>
      </c>
      <c r="AJ320" s="420">
        <f t="shared" si="362"/>
        <v>0</v>
      </c>
      <c r="AK320" s="518">
        <f t="shared" si="363"/>
        <v>0</v>
      </c>
      <c r="AL320" s="1106">
        <f>IF($P320="","N/A",(IF($P320=-1,INDEX('卡片raw data'!S:S,MATCH($D320,'卡片raw data'!$F:$F,)),0)+IF($P320=0,INDEX('卡片raw data'!V:V,MATCH($D320,'卡片raw data'!$F:$F,)),0)+IF($P320=1,INDEX('卡片raw data'!Y:Y,MATCH($D320,'卡片raw data'!$F:$F,)),0)+IF($P320=2,INDEX('卡片raw data'!AB:AB,MATCH($D320,'卡片raw data'!$F:$F,)),0)+IF($P320=3,INDEX('卡片raw data'!AE:AE,MATCH($D320,'卡片raw data'!$F:$F,)),0)+IF($P320=4,INDEX('卡片raw data'!AH:AH,MATCH($D320,'卡片raw data'!$F:$F,)),0)+IF($P320=5,INDEX('卡片raw data'!AK:AK,MATCH($D320,'卡片raw data'!$F:$F,)),0)+INDEX('卡片raw data'!S:S,MATCH($D320,'卡片raw data'!$F:$F,))*(IF($F320="UR",0.04,0.033))*(IF($F320="UR",INDEX(绊状态确认!$S:$S,MATCH($G320,绊状态确认!$B:$B,))/2-40)+IF($F320="SR",INDEX(绊状态确认!$R:$R,MATCH($G320,绊状态确认!$B:$B,))/4-15))+IF($F320="R",INDEX(绊状态确认!$Q:$Q,MATCH($G320,绊状态确认!$B:$B,))/6-40/6)))*(INDEX(绊状态确认!$H:$H,MATCH($G320,绊状态确认!$B:$B,))+INDEX(绊状态确认!J:J,MATCH($G320,绊状态确认!$B:$B,)))</f>
        <v>5199.1663679999992</v>
      </c>
      <c r="AM320" s="1106">
        <f>IF($P320="","N/A",(IF($P320=-1,INDEX('卡片raw data'!T:T,MATCH($D320,'卡片raw data'!$F:$F,)),0)+IF($P320=0,INDEX('卡片raw data'!W:W,MATCH($D320,'卡片raw data'!$F:$F,)),0)+IF($P320=1,INDEX('卡片raw data'!Z:Z,MATCH($D320,'卡片raw data'!$F:$F,)),0)+IF($P320=2,INDEX('卡片raw data'!AC:AC,MATCH($D320,'卡片raw data'!$F:$F,)),0)+IF($P320=3,INDEX('卡片raw data'!AF:AF,MATCH($D320,'卡片raw data'!$F:$F,)),0)+IF($P320=4,INDEX('卡片raw data'!AI:AI,MATCH($D320,'卡片raw data'!$F:$F,)),0)+IF($P320=5,INDEX('卡片raw data'!AL:AL,MATCH($D320,'卡片raw data'!$F:$F,)),0)+INDEX('卡片raw data'!T:T,MATCH($D320,'卡片raw data'!$F:$F,))*(IF($F320="UR",0.04,0.033))*(IF($F320="UR",INDEX(绊状态确认!$S:$S,MATCH($G320,绊状态确认!$B:$B,))/2-40)+IF($F320="SR",INDEX(绊状态确认!$R:$R,MATCH($G320,绊状态确认!$B:$B,))/4-15))+IF($F320="R",INDEX(绊状态确认!$Q:$Q,MATCH($G320,绊状态确认!$B:$B,))/6-40/6)))*(INDEX(绊状态确认!$H:$H,MATCH($G320,绊状态确认!$B:$B,))+INDEX(绊状态确认!K:K,MATCH($G320,绊状态确认!$B:$B,)))</f>
        <v>5367.169471199999</v>
      </c>
      <c r="AN320" s="1106">
        <f>IF($P320="","N/A",(IF($P320=-1,INDEX('卡片raw data'!U:U,MATCH($D320,'卡片raw data'!$F:$F,)),0)+IF($P320=0,INDEX('卡片raw data'!X:X,MATCH($D320,'卡片raw data'!$F:$F,)),0)+IF($P320=1,INDEX('卡片raw data'!AA:AA,MATCH($D320,'卡片raw data'!$F:$F,)),0)+IF($P320=2,INDEX('卡片raw data'!AD:AD,MATCH($D320,'卡片raw data'!$F:$F,)),0)+IF($P320=3,INDEX('卡片raw data'!AG:AG,MATCH($D320,'卡片raw data'!$F:$F,)),0)+IF($P320=4,INDEX('卡片raw data'!AJ:AJ,MATCH($D320,'卡片raw data'!$F:$F,)),0)+IF($P320=5,INDEX('卡片raw data'!AM:AM,MATCH($D320,'卡片raw data'!$F:$F,)),0)+INDEX('卡片raw data'!U:U,MATCH($D320,'卡片raw data'!$F:$F,))*(IF($F320="UR",0.04,0.033))*(IF($F320="UR",INDEX(绊状态确认!$S:$S,MATCH($G320,绊状态确认!$B:$B,))/2-40)+IF($F320="SR",INDEX(绊状态确认!$R:$R,MATCH($G320,绊状态确认!$B:$B,))/4-15))+IF($F320="R",INDEX(绊状态确认!$Q:$Q,MATCH($G320,绊状态确认!$B:$B,))/6-40/6)))*(INDEX(绊状态确认!$H:$H,MATCH($G320,绊状态确认!$B:$B,))+INDEX(绊状态确认!L:L,MATCH($G320,绊状态确认!$B:$B,)))</f>
        <v>6207.0349823999986</v>
      </c>
      <c r="AO320" s="1107">
        <f t="shared" si="364"/>
        <v>1</v>
      </c>
      <c r="AP320" s="1131">
        <f>1+(INDEX(绊状态确认!$T:$T,MATCH($G320,绊状态确认!$B:$B,))+0.2)*$AO320</f>
        <v>1.3</v>
      </c>
      <c r="AQ320" s="1108">
        <f t="shared" si="365"/>
        <v>16897.811716</v>
      </c>
      <c r="AR320" s="1097">
        <f>(AM320*(1+$EX$9)+$EX$35)*(1+(INDEX(绊状态确认!$T:$T,MATCH($G320,绊状态确认!$B:$B,))+0.2)*AO320)*IF(J320=$FF$17,1+$FE$17,1)*IF(I320=$FF$14,1+$FE$14,1)</f>
        <v>10030.186328187998</v>
      </c>
      <c r="AS320" s="1097">
        <f>(AN320*(1+$EX$10)+$EX$36)*(1+(INDEX(绊状态确认!$T:$T,MATCH($G320,绊状态确认!$B:$B,))+0.2)*AO320)*IF(J320=$FF$17,1+$FE$17,1)*IF(I320=$FF$14,1+$FE$14,1)</f>
        <v>13335.517298687997</v>
      </c>
      <c r="AT320" s="1093">
        <f>IF(AND(INDEX('卡片raw data'!AK:AK,MATCH($D320,'卡片raw data'!$F:$F,))&lt;INDEX('卡片raw data'!AM:AM,MATCH($D320,'卡片raw data'!$F:$F,)),INDEX('卡片raw data'!AL:AL,MATCH($D320,'卡片raw data'!$F:$F,))&lt;INDEX('卡片raw data'!AM:AM,MATCH($D320,'卡片raw data'!$F:$F,))),1,0)</f>
        <v>1</v>
      </c>
      <c r="AU320" s="1098">
        <f>MIN(AT320*0.15+AS320*0.00003+INDEX(绊状态确认!M:M,MATCH($G320,绊状态确认!$B:$B,)),1)</f>
        <v>0.58006551896063996</v>
      </c>
      <c r="AV320" s="1109">
        <f>(INDEX(绊状态确认!$N:$N,MATCH($G320,绊状态确认!$B:$B,))+1.5)*$EW$21</f>
        <v>2.6599999999999997</v>
      </c>
      <c r="AW320" s="1101">
        <f t="shared" si="366"/>
        <v>17226.138871371164</v>
      </c>
      <c r="AX320" s="1097">
        <f t="shared" si="367"/>
        <v>855.12142627607648</v>
      </c>
      <c r="AY320" s="1110">
        <f t="shared" si="368"/>
        <v>18081.260297647241</v>
      </c>
      <c r="AZ320" s="429">
        <f t="shared" si="369"/>
        <v>12738.374417599998</v>
      </c>
      <c r="BA320" s="431">
        <f t="shared" si="370"/>
        <v>15286.049301119998</v>
      </c>
      <c r="BB320" s="1097">
        <f>(AM320*(1+$FB$9)+$FB$35)*(1+(INDEX(绊状态确认!$T:$T,MATCH($G320,绊状态确认!$B:$B,))+0.2)*AO320)*IF(J320=$FF$17,1+$FE$17,1)*IF(I320=$FF$14,1+$FE$14,1)*(1+$FE$15)</f>
        <v>10030.186328187998</v>
      </c>
      <c r="BC320" s="1097">
        <f>(AN320*(1+$FB$10)+$FB$36)*(1+(INDEX(绊状态确认!$T:$T,MATCH($G320,绊状态确认!$B:$B,))+0.2)*AO320)*IF(J320=$FF$17,1+$FE$17,1)*IF(I320=$FF$14,1+$FE$14,1)*(1+$FE$15)</f>
        <v>13335.517298687997</v>
      </c>
      <c r="BD320" s="1104">
        <f>MIN(AT320*0.15+BC320*0.00003+INDEX(绊状态确认!M:M,MATCH($G320,绊状态确认!$B:$B,)),1)</f>
        <v>0.58006551896063996</v>
      </c>
      <c r="BE320" s="432">
        <f>(INDEX(绊状态确认!$N:$N,MATCH($G320,绊状态确认!$B:$B,))+1.5)</f>
        <v>1.9</v>
      </c>
      <c r="BF320" s="1139">
        <f t="array" ref="BF320">SUMPRODUCT(IF(AZ320*AP320*$FI$16:$FI$23*$FA$22&gt;=$FI$24,$FI$24,AZ320*AP320*$FI$16:$FI$23*$FA$22),$FJ$16:$FJ$23)</f>
        <v>25336.626716606399</v>
      </c>
      <c r="BG320" s="1125">
        <f t="array" ref="BG320">SUMPRODUCT(IF(BE320*AZ320*AP320*$FI$16:$FI$23*$FA$22&gt;=$FI$24,$FI$24,BE320*AZ320*AP320*$FI$16:$FI$23*$FA$22),$FJ$16:$FJ$23)</f>
        <v>48139.59076155215</v>
      </c>
      <c r="BH320" s="1110">
        <f t="shared" si="371"/>
        <v>12854.61329639289</v>
      </c>
      <c r="BI320" s="1111">
        <f>IF(O320="vo",$EW$26/$EW$24*0.05,0)+IF(O320="sk",-$EW$26/$EW$24*(0.05-INDEX(绊状态确认!W:W,MATCH($G320,绊状态确认!$B:$B,)))+0.05*$EW$28,0)+IF(O320="sp",0.05*$EW$32*$EW$30*(1-$EW$33)-(0.05-INDEX(绊状态确认!V:V,MATCH($G320,绊状态确认!$B:$B,)))*$EW$28,0)+IF(O320="gd",-(0.05-INDEX(绊状态确认!X:X,MATCH($G320,绊状态确认!$B:$B,)))*$EW$32*$EW$30*(1-$EW$33),0)</f>
        <v>-6253.6726349699375</v>
      </c>
      <c r="BJ320" s="1097">
        <f>IF(O320="vo",0.05*(1-$FI$26)*$FA$24,0)+IF(O320="sk",-(0.05-INDEX(绊状态确认!W:W,MATCH($G320,绊状态确认!$B:$B,)))*(1-$FI$26)*$FA$24+0.05*$FA$26,0)+IF(O320="sp",0.05*$FA$32*$FA$27*(1-$FA$33)/$FA$30+0.05*$FA$29/$FA$69*$FA$27*(1-$FA$33)-(0.05-INDEX(绊状态确认!V:V,MATCH($G320,绊状态确认!$B:$B,)))*$FA$26,0)+IF(O320="gd",-(0.05-INDEX(绊状态确认!X:X,MATCH($G320,绊状态确认!$B:$B,)))*$FA$32*$FA$27*(1-$FA$33)/$FA$30-(0.05-INDEX(绊状态确认!X:X,MATCH($G320,绊状态确认!$B:$B,)))*$FA$29/$FA$69*$FA$27*(1-$FA$33),0)</f>
        <v>20.459096812499922</v>
      </c>
      <c r="BK320" s="1110">
        <f>IF(O320="vo",$EW$26/$EW$24*0.05+$EW$26*(-HP($EW$62,$EW$65,$EW$64)+HP($EW$62,$EW$65,(1.05-INDEX(绊状态确认!U:U,MATCH($G320,绊状态确认!$B:$B,)))*$EW$64)),0)+IF(O320="sk",-$EW$26/$EW$24*(0.05-INDEX(绊状态确认!W:W,MATCH($G320,绊状态确认!$B:$B,)))+0.05*$EW$29,0)+IF(O320="sp",0.05*$EW$32*$EW$30*(1-$EW$33)-(0.05-INDEX(绊状态确认!V:V,MATCH($G320,绊状态确认!$B:$B,)))*$EW$29,0)+IF(O320="gd",-(0.05-INDEX(绊状态确认!X:X,MATCH($G320,绊状态确认!$B:$B,)))*$EW$32*$EW$30*(1-$EW$33)+$EW$26*(-HP($EW$62,$EW$65,$EW$64)+HP($EW$62,$EW$65,0.95*$EW$64)),0)</f>
        <v>-4253.6726349699375</v>
      </c>
      <c r="BL320" s="1111">
        <f t="shared" si="372"/>
        <v>-1083.3333333333333</v>
      </c>
      <c r="BM320" s="1110">
        <f t="shared" si="373"/>
        <v>-830.55555555555543</v>
      </c>
      <c r="BN320" s="1113">
        <f t="shared" si="374"/>
        <v>3</v>
      </c>
      <c r="BO320" s="1097">
        <f t="shared" si="375"/>
        <v>4507.7214871259994</v>
      </c>
      <c r="BP320" s="1100">
        <f t="shared" si="376"/>
        <v>221.34103209030098</v>
      </c>
      <c r="BQ320" s="1113" t="s">
        <v>134</v>
      </c>
      <c r="BR320" s="1124" t="s">
        <v>168</v>
      </c>
      <c r="BS320" s="1098">
        <f>IF($P320="","N/A",IF($P320=-1,INDEX('卡片raw data'!AX:AX,MATCH($D320,'卡片raw data'!$F:$F,)),0)+IF($L320="party卡",IF($P320=5,INDEX('卡片raw data'!BD:BD,MATCH($D320,'卡片raw data'!$F:$F,)),IF($P320&gt;=3,INDEX('卡片raw data'!BC:BC,MATCH($D320,'卡片raw data'!$F:$F,)),INDEX('卡片raw data'!BB:BB,MATCH($D320,'卡片raw data'!$F:$F,)))),IF(OR(AND($F320="UR",$P320=0),AND($F320="SR",$P320&gt;=0,$P320&lt;=2),AND($F320="R",$P320&gt;=0,$P320&lt;4)),INDEX('卡片raw data'!AZ:AZ,MATCH($D320,'卡片raw data'!$F:$F,)),0)+IF(OR(AND($F320="UR",$P320&gt;=1,$P320&lt;=4),AND($F320="SR",$P320&lt;=4,$P320&gt;=3),AND($F320="R",$P320=4)),INDEX('卡片raw data'!BA:BA,MATCH($D320,'卡片raw data'!$F:$F,)),0)+IF($P320=5,INDEX('卡片raw data'!BB:BB,MATCH($D320,'卡片raw data'!$F:$F,)),0)))</f>
        <v>0.05</v>
      </c>
      <c r="BT320" s="1101">
        <f t="shared" si="377"/>
        <v>3537.2976021542986</v>
      </c>
      <c r="BU320" s="1097">
        <f t="shared" si="378"/>
        <v>255.86405005115788</v>
      </c>
      <c r="BV320" s="1097">
        <f t="shared" si="379"/>
        <v>0</v>
      </c>
      <c r="BW320" s="1112">
        <f t="shared" si="380"/>
        <v>0</v>
      </c>
      <c r="BX320" s="1100">
        <f t="shared" si="381"/>
        <v>3537.2976021542986</v>
      </c>
      <c r="BY320" s="1110">
        <f t="shared" si="382"/>
        <v>0</v>
      </c>
      <c r="BZ320" s="1107" t="s">
        <v>569</v>
      </c>
      <c r="CA320" s="1124"/>
      <c r="CB320" s="1098">
        <f>IF($P320="","N/A",IF($P320=-1,INDEX('卡片raw data'!BE:BE,MATCH($D320,'卡片raw data'!$F:$F,)),0)+IF($L320="party卡",IF($P320=5,INDEX('卡片raw data'!BK:BK,MATCH($D320,'卡片raw data'!$F:$F,)),IF($P320&gt;=3,INDEX('卡片raw data'!BJ:BJ,MATCH($D320,'卡片raw data'!$F:$F,)),INDEX('卡片raw data'!BI:BI,MATCH($D320,'卡片raw data'!$F:$F,)))),IF(OR(AND($F320="UR",$P320=0),AND($F320="SR",$P320&gt;=0,$P320&lt;=2),AND($F320="R",$P320&gt;=0,$P320&lt;4)),INDEX('卡片raw data'!BG:BG,MATCH($D320,'卡片raw data'!$F:$F,)),0)+IF(OR(AND($F320="UR",$P320&gt;=1,$P320&lt;=4),AND($F320="SR",$P320&lt;=4,$P320&gt;=3),AND($F320="R",$P320=4)),INDEX('卡片raw data'!BH:BH,MATCH($D320,'卡片raw data'!$F:$F,)),0)+IF($P320=5,INDEX('卡片raw data'!BI:BI,MATCH($D320,'卡片raw data'!$F:$F,)),0)))</f>
        <v>0</v>
      </c>
      <c r="CC320" s="1101">
        <f t="shared" si="383"/>
        <v>0</v>
      </c>
      <c r="CD320" s="1097">
        <f>IF(BZ320="ap",CB320*(1-$FI$26)*$FB$5/$FB$11*(+IF(CA320="全员",$FA$24,0)+IF(CA320="同作战",$FA$24,0)+IF(CA320="仲间",$FA$24*2/3,0)+IF(CA320="同属性",$FA$24*$FA$37/3,0)+IF(CA320="同年级",$FA$24*$FA$40/3,0)+IF(CA320="同学校",$FA$24*$FA$43/3,0)+IF(CA320="同小队",$FA$24*$FA$46/3,0)+IF(CA320="同type",$FA$24*INDEX($FB$49:$FB$52,MATCH(X320,$FA$49:$FA$52,))/3,0)+IF(CA320="自身",#REF!/3,0)),0)+IF(BZ320="te",CB320*(1-$FI$27)*($FA$20-1)*$FB$7/$FB$13*(+IF(CA320="全员",$FA$19*$FA$24/(1+($FA$20-1)*$FA$19),0)+IF(CA320="同作战",$FA$19*$FA$24/(1+($FA$20-1)*$FA$19),0)+IF(CA320="仲间",$FA$19*$FA$24*2/3/(1+($FA$20-1)*$FA$19),0)+IF(CA320="同属性",$FA$19*$FA$24*$FA$37/3/(1+($FA$20-1)*$FA$19),0)+IF(CA320="同年级",$FA$19*$FA$24*$FA$40/3/(1+($FA$20-1)*$FA$19),0)+IF(CA320="同学校",$FA$19*$FA$24*$FA$43/3/(1+($FA$20-1)*$FA$19),0)+IF(CA320="同小队",$FA$19*$FA$24*$FA$46/3/(1+($FA$20-1)*$FA$19),0)+IF(CA320="同type",$FA$19*$FA$24*INDEX($FB$49:$FB$52,MATCH(X320,$FA$49:$FA$52,))/3/(1+($FA$20-1)*$FA$19),0)+IF(CA320="自身",$FA$19*#REF!/3/(1+(BH320-1)*$BD320),0)),0)</f>
        <v>0</v>
      </c>
      <c r="CE320" s="1097">
        <f t="shared" si="384"/>
        <v>0</v>
      </c>
      <c r="CF320" s="1112">
        <f t="shared" si="385"/>
        <v>0</v>
      </c>
      <c r="CG320" s="1100">
        <f t="shared" si="386"/>
        <v>0</v>
      </c>
      <c r="CH320" s="1110">
        <f t="shared" si="387"/>
        <v>0</v>
      </c>
      <c r="CI320" s="1113" t="s">
        <v>173</v>
      </c>
      <c r="CJ320" s="1114">
        <v>1</v>
      </c>
      <c r="CK320" s="1115" t="s">
        <v>545</v>
      </c>
      <c r="CL320" s="1115" t="s">
        <v>1941</v>
      </c>
      <c r="CM320" s="1119">
        <v>0.1</v>
      </c>
      <c r="CN320" s="1115"/>
      <c r="CO320" s="1092">
        <v>10</v>
      </c>
      <c r="CP320" s="1116">
        <f t="shared" si="388"/>
        <v>47.62684749531428</v>
      </c>
      <c r="CQ320" s="1116">
        <f t="shared" si="389"/>
        <v>74.086207214933324</v>
      </c>
      <c r="CR320" s="1116">
        <f t="shared" si="390"/>
        <v>0</v>
      </c>
      <c r="CS320" s="1118">
        <f t="shared" si="391"/>
        <v>0</v>
      </c>
      <c r="CT320" s="1109">
        <f t="shared" si="392"/>
        <v>0</v>
      </c>
      <c r="CU320" s="1101">
        <f t="shared" si="393"/>
        <v>52.389532244845711</v>
      </c>
      <c r="CV320" s="1108">
        <f t="shared" si="394"/>
        <v>74.086207214933324</v>
      </c>
      <c r="CW320" s="1097">
        <f t="shared" si="395"/>
        <v>0</v>
      </c>
      <c r="CX320" s="1097">
        <f t="shared" si="396"/>
        <v>52.389532244845711</v>
      </c>
      <c r="CY320" s="1110">
        <f t="shared" si="397"/>
        <v>0</v>
      </c>
      <c r="CZ320" s="437"/>
      <c r="DA320" s="438"/>
      <c r="DB320" s="439" t="s">
        <v>569</v>
      </c>
      <c r="DC320" s="439"/>
      <c r="DD320" s="443"/>
      <c r="DE320" s="411"/>
      <c r="DF320" s="411"/>
      <c r="DG320" s="1116">
        <f t="shared" si="398"/>
        <v>0</v>
      </c>
      <c r="DH320" s="1116">
        <f t="shared" si="399"/>
        <v>0</v>
      </c>
      <c r="DI320" s="1116">
        <f t="shared" si="400"/>
        <v>0</v>
      </c>
      <c r="DJ320" s="442">
        <f t="shared" si="401"/>
        <v>0</v>
      </c>
      <c r="DK320" s="1109">
        <f t="shared" si="402"/>
        <v>0</v>
      </c>
      <c r="DL320" s="1101">
        <f t="shared" si="403"/>
        <v>0</v>
      </c>
      <c r="DM320" s="1097">
        <f t="shared" si="404"/>
        <v>0</v>
      </c>
      <c r="DN320" s="1097">
        <f t="shared" si="405"/>
        <v>0</v>
      </c>
      <c r="DO320" s="1097">
        <f t="shared" si="406"/>
        <v>0</v>
      </c>
      <c r="DP320" s="1110">
        <f t="shared" si="407"/>
        <v>0</v>
      </c>
      <c r="DQ320" s="1113" t="s">
        <v>292</v>
      </c>
      <c r="DR320" s="1120">
        <f t="shared" si="408"/>
        <v>0.3</v>
      </c>
      <c r="DS320" s="1124">
        <v>3</v>
      </c>
      <c r="DT320" s="1093" t="s">
        <v>168</v>
      </c>
      <c r="DU320" s="1093" t="s">
        <v>1130</v>
      </c>
      <c r="DV320" s="1098">
        <f>IF($P320="","N/A",IF(P320=-1,INDEX('卡片raw data'!AN:AN,MATCH(D320,'卡片raw data'!$F:$F,)),0)+IF(AND(L320&lt;&gt;"party卡",P320&lt;=2,P320&gt;=0),INDEX('卡片raw data'!AP:AP,MATCH(D320,'卡片raw data'!$F:$F,)),0)+IF(OR(AND(L320="party卡",P320&lt;=1),AND(P320&lt;=4,L320&lt;&gt;"party卡",P320&gt;=3)),INDEX('卡片raw data'!AQ:AQ,MATCH(D320,'卡片raw data'!$F:$F,)),0)+IF(OR(P320=5,AND(L320="party卡",P320&gt;=2)),INDEX('卡片raw data'!AR:AR,MATCH(D320,'卡片raw data'!$F:$F,)),0))</f>
        <v>0.12</v>
      </c>
      <c r="DW320" s="1098">
        <f t="shared" si="409"/>
        <v>0.3</v>
      </c>
      <c r="DX320" s="1098">
        <f t="shared" si="410"/>
        <v>0.3</v>
      </c>
      <c r="DY320" s="1098">
        <f t="shared" si="411"/>
        <v>3.5999999999999997E-2</v>
      </c>
      <c r="DZ320" s="1098">
        <f t="shared" si="412"/>
        <v>3.1139999999999998E-2</v>
      </c>
      <c r="EA320" s="1098">
        <f t="shared" si="413"/>
        <v>0</v>
      </c>
      <c r="EB320" s="1121">
        <f t="shared" si="414"/>
        <v>0</v>
      </c>
      <c r="EC320" s="1101">
        <f t="shared" si="415"/>
        <v>4213.1584343277</v>
      </c>
      <c r="ED320" s="1097">
        <f t="shared" si="416"/>
        <v>252.1513121766508</v>
      </c>
      <c r="EE320" s="1110">
        <f t="shared" si="417"/>
        <v>4213.1584343277</v>
      </c>
      <c r="EF320" s="1115" t="s">
        <v>569</v>
      </c>
      <c r="EG320" s="1120">
        <f t="shared" si="418"/>
        <v>0.3</v>
      </c>
      <c r="EH320" s="1124"/>
      <c r="EI320" s="1093"/>
      <c r="EJ320" s="1093"/>
      <c r="EK320" s="1097">
        <f>IF($P320="","N/A",IF(P320=-1,INDEX('卡片raw data'!AS:AS,MATCH(D320,'卡片raw data'!$F:$F,)),0)+IF(AND(L320&lt;&gt;"party卡",P320&lt;=2,P320&gt;=0),INDEX('卡片raw data'!AU:AU,MATCH(D320,'卡片raw data'!$F:$F,)),0)+IF(OR(AND(L320="party卡",P320&lt;=1),AND(P320&lt;=4,L320&lt;&gt;"party卡",P320&gt;=3)),INDEX('卡片raw data'!AV:AV,MATCH(D320,'卡片raw data'!$F:$F,)),0)+IF(OR(P320=5,AND(L320="party卡",P320&gt;=2)),INDEX('卡片raw data'!AW:AW,MATCH(D320,'卡片raw data'!$F:$F,)),0))</f>
        <v>0</v>
      </c>
      <c r="EL320" s="1098">
        <f t="shared" si="419"/>
        <v>0.3</v>
      </c>
      <c r="EM320" s="1098">
        <f t="shared" si="420"/>
        <v>0.3</v>
      </c>
      <c r="EN320" s="1125">
        <f t="shared" si="421"/>
        <v>0</v>
      </c>
      <c r="EO320" s="1125">
        <f t="shared" si="422"/>
        <v>0</v>
      </c>
      <c r="EP320" s="1098">
        <f t="shared" si="423"/>
        <v>0</v>
      </c>
      <c r="EQ320" s="1121">
        <f t="shared" si="424"/>
        <v>0</v>
      </c>
      <c r="ER320" s="1101">
        <f t="shared" si="425"/>
        <v>0</v>
      </c>
      <c r="ES320" s="1097">
        <f t="shared" si="426"/>
        <v>0</v>
      </c>
      <c r="ET320" s="1122">
        <f t="shared" si="427"/>
        <v>0</v>
      </c>
    </row>
    <row r="321" spans="2:150" ht="16.5" customHeight="1">
      <c r="B321" s="1123" t="str">
        <f>INDEX('卡片raw data'!B:B,MATCH($D321,'卡片raw data'!$F:$F,))</f>
        <v>二专彼</v>
      </c>
      <c r="C321" s="449" t="s">
        <v>1122</v>
      </c>
      <c r="D321" s="408">
        <v>318</v>
      </c>
      <c r="E321" s="1090">
        <v>402062002</v>
      </c>
      <c r="F321" s="1090" t="str">
        <f>INDEX('卡片raw data'!C:C,MATCH($D321,'卡片raw data'!$F:$F,))</f>
        <v>SR</v>
      </c>
      <c r="G321" s="1094" t="s">
        <v>355</v>
      </c>
      <c r="H321" s="411">
        <v>206</v>
      </c>
      <c r="I321" s="450" t="s">
        <v>1124</v>
      </c>
      <c r="J321" s="450" t="s">
        <v>1125</v>
      </c>
      <c r="K321" s="451" t="s">
        <v>58</v>
      </c>
      <c r="L321" s="1094" t="str">
        <f>INDEX('卡片raw data'!E:E,MATCH($D321,'卡片raw data'!$F:$F,))</f>
        <v>活动卡</v>
      </c>
      <c r="M321" s="415">
        <v>44092</v>
      </c>
      <c r="N321" s="416">
        <v>24</v>
      </c>
      <c r="O321" s="1091" t="str">
        <f>INDEX('卡片raw data'!D:D,MATCH($D321,'卡片raw data'!$F:$F,))</f>
        <v>sp</v>
      </c>
      <c r="P321" s="417">
        <v>5</v>
      </c>
      <c r="Q321" s="1095">
        <f t="shared" si="343"/>
        <v>23348.23527158433</v>
      </c>
      <c r="R321" s="1096">
        <f t="shared" si="344"/>
        <v>0.27100000000000002</v>
      </c>
      <c r="S321" s="1097">
        <f t="shared" si="345"/>
        <v>14154.791439293936</v>
      </c>
      <c r="T321" s="1098">
        <f t="shared" si="346"/>
        <v>0.70699999999999996</v>
      </c>
      <c r="U321" s="1099">
        <f t="shared" si="347"/>
        <v>9.7639197460628573</v>
      </c>
      <c r="V321" s="1100">
        <f t="shared" si="348"/>
        <v>22323.604071586076</v>
      </c>
      <c r="W321" s="1101">
        <f t="shared" si="349"/>
        <v>4522.5918648576717</v>
      </c>
      <c r="X321" s="1096">
        <f t="shared" si="350"/>
        <v>5.1999999999999998E-2</v>
      </c>
      <c r="Y321" s="1097">
        <f t="shared" si="351"/>
        <v>775.36880000174642</v>
      </c>
      <c r="Z321" s="1102">
        <f t="shared" si="352"/>
        <v>9.7639197460628573</v>
      </c>
      <c r="AA321" s="1103">
        <f t="shared" si="353"/>
        <v>5297.9606648594181</v>
      </c>
      <c r="AB321" s="1101">
        <f t="shared" si="354"/>
        <v>5111.2814133267821</v>
      </c>
      <c r="AC321" s="1104">
        <f t="shared" si="355"/>
        <v>5.8999999999999997E-2</v>
      </c>
      <c r="AD321" s="1105">
        <f t="shared" si="356"/>
        <v>-1.9908281250000003E-2</v>
      </c>
      <c r="AE321" s="1128">
        <f t="shared" si="357"/>
        <v>2.8386741621376803</v>
      </c>
      <c r="AF321" s="1130">
        <f t="shared" si="358"/>
        <v>0</v>
      </c>
      <c r="AG321" s="420">
        <f t="shared" si="359"/>
        <v>0</v>
      </c>
      <c r="AH321" s="420">
        <f t="shared" si="360"/>
        <v>0</v>
      </c>
      <c r="AI321" s="1097">
        <f t="shared" si="361"/>
        <v>0</v>
      </c>
      <c r="AJ321" s="420">
        <f t="shared" si="362"/>
        <v>0</v>
      </c>
      <c r="AK321" s="518">
        <f t="shared" si="363"/>
        <v>0</v>
      </c>
      <c r="AL321" s="1106">
        <f>IF($P321="","N/A",(IF($P321=-1,INDEX('卡片raw data'!S:S,MATCH($D321,'卡片raw data'!$F:$F,)),0)+IF($P321=0,INDEX('卡片raw data'!V:V,MATCH($D321,'卡片raw data'!$F:$F,)),0)+IF($P321=1,INDEX('卡片raw data'!Y:Y,MATCH($D321,'卡片raw data'!$F:$F,)),0)+IF($P321=2,INDEX('卡片raw data'!AB:AB,MATCH($D321,'卡片raw data'!$F:$F,)),0)+IF($P321=3,INDEX('卡片raw data'!AE:AE,MATCH($D321,'卡片raw data'!$F:$F,)),0)+IF($P321=4,INDEX('卡片raw data'!AH:AH,MATCH($D321,'卡片raw data'!$F:$F,)),0)+IF($P321=5,INDEX('卡片raw data'!AK:AK,MATCH($D321,'卡片raw data'!$F:$F,)),0)+INDEX('卡片raw data'!S:S,MATCH($D321,'卡片raw data'!$F:$F,))*(IF($F321="UR",0.04,0.033))*(IF($F321="UR",INDEX(绊状态确认!$S:$S,MATCH($G321,绊状态确认!$B:$B,))/2-40)+IF($F321="SR",INDEX(绊状态确认!$R:$R,MATCH($G321,绊状态确认!$B:$B,))/4-15))+IF($F321="R",INDEX(绊状态确认!$Q:$Q,MATCH($G321,绊状态确认!$B:$B,))/6-40/6)))*(INDEX(绊状态确认!$H:$H,MATCH($G321,绊状态确认!$B:$B,))+INDEX(绊状态确认!J:J,MATCH($G321,绊状态确认!$B:$B,)))</f>
        <v>5872.2401783999994</v>
      </c>
      <c r="AM321" s="1106">
        <f>IF($P321="","N/A",(IF($P321=-1,INDEX('卡片raw data'!T:T,MATCH($D321,'卡片raw data'!$F:$F,)),0)+IF($P321=0,INDEX('卡片raw data'!W:W,MATCH($D321,'卡片raw data'!$F:$F,)),0)+IF($P321=1,INDEX('卡片raw data'!Z:Z,MATCH($D321,'卡片raw data'!$F:$F,)),0)+IF($P321=2,INDEX('卡片raw data'!AC:AC,MATCH($D321,'卡片raw data'!$F:$F,)),0)+IF($P321=3,INDEX('卡片raw data'!AF:AF,MATCH($D321,'卡片raw data'!$F:$F,)),0)+IF($P321=4,INDEX('卡片raw data'!AI:AI,MATCH($D321,'卡片raw data'!$F:$F,)),0)+IF($P321=5,INDEX('卡片raw data'!AL:AL,MATCH($D321,'卡片raw data'!$F:$F,)),0)+INDEX('卡片raw data'!T:T,MATCH($D321,'卡片raw data'!$F:$F,))*(IF($F321="UR",0.04,0.033))*(IF($F321="UR",INDEX(绊状态确认!$S:$S,MATCH($G321,绊状态确认!$B:$B,))/2-40)+IF($F321="SR",INDEX(绊状态确认!$R:$R,MATCH($G321,绊状态确认!$B:$B,))/4-15))+IF($F321="R",INDEX(绊状态确认!$Q:$Q,MATCH($G321,绊状态确认!$B:$B,))/6-40/6)))*(INDEX(绊状态确认!$H:$H,MATCH($G321,绊状态确认!$B:$B,))+INDEX(绊状态确认!K:K,MATCH($G321,绊状态确认!$B:$B,)))</f>
        <v>4695.2320607999991</v>
      </c>
      <c r="AN321" s="1106">
        <f>IF($P321="","N/A",(IF($P321=-1,INDEX('卡片raw data'!U:U,MATCH($D321,'卡片raw data'!$F:$F,)),0)+IF($P321=0,INDEX('卡片raw data'!X:X,MATCH($D321,'卡片raw data'!$F:$F,)),0)+IF($P321=1,INDEX('卡片raw data'!AA:AA,MATCH($D321,'卡片raw data'!$F:$F,)),0)+IF($P321=2,INDEX('卡片raw data'!AD:AD,MATCH($D321,'卡片raw data'!$F:$F,)),0)+IF($P321=3,INDEX('卡片raw data'!AG:AG,MATCH($D321,'卡片raw data'!$F:$F,)),0)+IF($P321=4,INDEX('卡片raw data'!AJ:AJ,MATCH($D321,'卡片raw data'!$F:$F,)),0)+IF($P321=5,INDEX('卡片raw data'!AM:AM,MATCH($D321,'卡片raw data'!$F:$F,)),0)+INDEX('卡片raw data'!U:U,MATCH($D321,'卡片raw data'!$F:$F,))*(IF($F321="UR",0.04,0.033))*(IF($F321="UR",INDEX(绊状态确认!$S:$S,MATCH($G321,绊状态确认!$B:$B,))/2-40)+IF($F321="SR",INDEX(绊状态确认!$R:$R,MATCH($G321,绊状态确认!$B:$B,))/4-15))+IF($F321="R",INDEX(绊状态确认!$Q:$Q,MATCH($G321,绊状态确认!$B:$B,))/6-40/6)))*(INDEX(绊状态确认!$H:$H,MATCH($G321,绊状态确认!$B:$B,))+INDEX(绊状态确认!L:L,MATCH($G321,绊状态确认!$B:$B,)))</f>
        <v>6207.0349823999986</v>
      </c>
      <c r="AO321" s="1107">
        <f t="shared" si="364"/>
        <v>1</v>
      </c>
      <c r="AP321" s="1131">
        <f>1+(INDEX(绊状态确认!$T:$T,MATCH($G321,绊状态确认!$B:$B,))+0.2)*$AO321</f>
        <v>1.3</v>
      </c>
      <c r="AQ321" s="1108">
        <f t="shared" si="365"/>
        <v>18664.630468299998</v>
      </c>
      <c r="AR321" s="1097">
        <f>(AM321*(1+$EX$9)+$EX$35)*(1+(INDEX(绊状态确认!$T:$T,MATCH($G321,绊状态确认!$B:$B,))+0.2)*AO321)*IF(J321=$FF$17,1+$FE$17,1)*IF(I321=$FF$14,1+$FE$14,1)</f>
        <v>9112.9917629920001</v>
      </c>
      <c r="AS321" s="1097">
        <f>(AN321*(1+$EX$10)+$EX$36)*(1+(INDEX(绊状态确认!$T:$T,MATCH($G321,绊状态确认!$B:$B,))+0.2)*AO321)*IF(J321=$FF$17,1+$FE$17,1)*IF(I321=$FF$14,1+$FE$14,1)</f>
        <v>13335.517298687997</v>
      </c>
      <c r="AT321" s="1093">
        <f>IF(AND(INDEX('卡片raw data'!AK:AK,MATCH($D321,'卡片raw data'!$F:$F,))&lt;INDEX('卡片raw data'!AM:AM,MATCH($D321,'卡片raw data'!$F:$F,)),INDEX('卡片raw data'!AL:AL,MATCH($D321,'卡片raw data'!$F:$F,))&lt;INDEX('卡片raw data'!AM:AM,MATCH($D321,'卡片raw data'!$F:$F,))),1,0)</f>
        <v>1</v>
      </c>
      <c r="AU321" s="1098">
        <f>MIN(AT321*0.15+AS321*0.00003+INDEX(绊状态确认!M:M,MATCH($G321,绊状态确认!$B:$B,)),1)</f>
        <v>0.58006551896063996</v>
      </c>
      <c r="AV321" s="1109">
        <f>(INDEX(绊状态确认!$N:$N,MATCH($G321,绊状态确认!$B:$B,))+1.5)*$EW$21</f>
        <v>2.6599999999999997</v>
      </c>
      <c r="AW321" s="1101">
        <f t="shared" si="366"/>
        <v>19027.28719159088</v>
      </c>
      <c r="AX321" s="1097">
        <f t="shared" si="367"/>
        <v>775.36880000174597</v>
      </c>
      <c r="AY321" s="1110">
        <f t="shared" si="368"/>
        <v>19802.655991592626</v>
      </c>
      <c r="AZ321" s="429">
        <f t="shared" si="369"/>
        <v>14050.868347879999</v>
      </c>
      <c r="BA321" s="431">
        <f t="shared" si="370"/>
        <v>16861.042017455999</v>
      </c>
      <c r="BB321" s="1097">
        <f>(AM321*(1+$FB$9)+$FB$35)*(1+(INDEX(绊状态确认!$T:$T,MATCH($G321,绊状态确认!$B:$B,))+0.2)*AO321)*IF(J321=$FF$17,1+$FE$17,1)*IF(I321=$FF$14,1+$FE$14,1)*(1+$FE$15)</f>
        <v>9112.9917629920001</v>
      </c>
      <c r="BC321" s="1097">
        <f>(AN321*(1+$FB$10)+$FB$36)*(1+(INDEX(绊状态确认!$T:$T,MATCH($G321,绊状态确认!$B:$B,))+0.2)*AO321)*IF(J321=$FF$17,1+$FE$17,1)*IF(I321=$FF$14,1+$FE$14,1)*(1+$FE$15)</f>
        <v>13335.517298687997</v>
      </c>
      <c r="BD321" s="1104">
        <f>MIN(AT321*0.15+BC321*0.00003+INDEX(绊状态确认!M:M,MATCH($G321,绊状态确认!$B:$B,)),1)</f>
        <v>0.58006551896063996</v>
      </c>
      <c r="BE321" s="432">
        <f>(INDEX(绊状态确认!$N:$N,MATCH($G321,绊状态确认!$B:$B,))+1.5)</f>
        <v>1.9</v>
      </c>
      <c r="BF321" s="1139">
        <f t="array" ref="BF321">SUMPRODUCT(IF(AZ321*AP321*$FI$16:$FI$23*$FA$22&gt;=$FI$24,$FI$24,AZ321*AP321*$FI$16:$FI$23*$FA$22),$FJ$16:$FJ$23)</f>
        <v>27947.177143933324</v>
      </c>
      <c r="BG321" s="1125">
        <f t="array" ref="BG321">SUMPRODUCT(IF(BE321*AZ321*AP321*$FI$16:$FI$23*$FA$22&gt;=$FI$24,$FI$24,BE321*AZ321*AP321*$FI$16:$FI$23*$FA$22),$FJ$16:$FJ$23)</f>
        <v>52258.547990345774</v>
      </c>
      <c r="BH321" s="1110">
        <f t="shared" si="371"/>
        <v>14016.455030200712</v>
      </c>
      <c r="BI321" s="1111">
        <f>IF(O321="vo",$EW$26/$EW$24*0.05,0)+IF(O321="sk",-$EW$26/$EW$24*(0.05-INDEX(绊状态确认!W:W,MATCH($G321,绊状态确认!$B:$B,)))+0.05*$EW$28,0)+IF(O321="sp",0.05*$EW$32*$EW$30*(1-$EW$33)-(0.05-INDEX(绊状态确认!V:V,MATCH($G321,绊状态确认!$B:$B,)))*$EW$28,0)+IF(O321="gd",-(0.05-INDEX(绊状态确认!X:X,MATCH($G321,绊状态确认!$B:$B,)))*$EW$32*$EW$30*(1-$EW$33),0)</f>
        <v>19.999999999999886</v>
      </c>
      <c r="BJ321" s="1097">
        <f>IF(O321="vo",0.05*(1-$FI$26)*$FA$24,0)+IF(O321="sk",-(0.05-INDEX(绊状态确认!W:W,MATCH($G321,绊状态确认!$B:$B,)))*(1-$FI$26)*$FA$24+0.05*$FA$26,0)+IF(O321="sp",0.05*$FA$32*$FA$27*(1-$FA$33)/$FA$30+0.05*$FA$29/$FA$69*$FA$27*(1-$FA$33)-(0.05-INDEX(绊状态确认!V:V,MATCH($G321,绊状态确认!$B:$B,)))*$FA$26,0)+IF(O321="gd",-(0.05-INDEX(绊状态确认!X:X,MATCH($G321,绊状态确认!$B:$B,)))*$FA$32*$FA$27*(1-$FA$33)/$FA$30-(0.05-INDEX(绊状态确认!X:X,MATCH($G321,绊状态确认!$B:$B,)))*$FA$29/$FA$69*$FA$27*(1-$FA$33),0)</f>
        <v>545.83333333333326</v>
      </c>
      <c r="BK321" s="1110">
        <f>IF(O321="vo",$EW$26/$EW$24*0.05+$EW$26*(-HP($EW$62,$EW$65,$EW$64)+HP($EW$62,$EW$65,(1.05-INDEX(绊状态确认!U:U,MATCH($G321,绊状态确认!$B:$B,)))*$EW$64)),0)+IF(O321="sk",-$EW$26/$EW$24*(0.05-INDEX(绊状态确认!W:W,MATCH($G321,绊状态确认!$B:$B,)))+0.05*$EW$29,0)+IF(O321="sp",0.05*$EW$32*$EW$30*(1-$EW$33)-(0.05-INDEX(绊状态确认!V:V,MATCH($G321,绊状态确认!$B:$B,)))*$EW$29,0)+IF(O321="gd",-(0.05-INDEX(绊状态确认!X:X,MATCH($G321,绊状态确认!$B:$B,)))*$EW$32*$EW$30*(1-$EW$33)+$EW$26*(-HP($EW$62,$EW$65,$EW$64)+HP($EW$62,$EW$65,0.95*$EW$64)),0)</f>
        <v>-1780.0000000000005</v>
      </c>
      <c r="BL321" s="1111">
        <f t="shared" si="372"/>
        <v>-1083.3333333333333</v>
      </c>
      <c r="BM321" s="1110">
        <f t="shared" si="373"/>
        <v>-830.55555555555543</v>
      </c>
      <c r="BN321" s="1113">
        <f t="shared" si="374"/>
        <v>3</v>
      </c>
      <c r="BO321" s="1097">
        <f t="shared" si="375"/>
        <v>4507.7214871259994</v>
      </c>
      <c r="BP321" s="1100">
        <f t="shared" si="376"/>
        <v>221.34103209030098</v>
      </c>
      <c r="BQ321" s="1113" t="s">
        <v>132</v>
      </c>
      <c r="BR321" s="1124" t="s">
        <v>166</v>
      </c>
      <c r="BS321" s="1098">
        <f>IF($P321="","N/A",IF($P321=-1,INDEX('卡片raw data'!AX:AX,MATCH($D321,'卡片raw data'!$F:$F,)),0)+IF($L321="party卡",IF($P321=5,INDEX('卡片raw data'!BD:BD,MATCH($D321,'卡片raw data'!$F:$F,)),IF($P321&gt;=3,INDEX('卡片raw data'!BC:BC,MATCH($D321,'卡片raw data'!$F:$F,)),INDEX('卡片raw data'!BB:BB,MATCH($D321,'卡片raw data'!$F:$F,)))),IF(OR(AND($F321="UR",$P321=0),AND($F321="SR",$P321&gt;=0,$P321&lt;=2),AND($F321="R",$P321&gt;=0,$P321&lt;4)),INDEX('卡片raw data'!AZ:AZ,MATCH($D321,'卡片raw data'!$F:$F,)),0)+IF(OR(AND($F321="UR",$P321&gt;=1,$P321&lt;=4),AND($F321="SR",$P321&lt;=4,$P321&gt;=3),AND($F321="R",$P321=4)),INDEX('卡片raw data'!BA:BA,MATCH($D321,'卡片raw data'!$F:$F,)),0)+IF($P321=5,INDEX('卡片raw data'!BB:BB,MATCH($D321,'卡片raw data'!$F:$F,)),0)))</f>
        <v>7.0000000000000007E-2</v>
      </c>
      <c r="BT321" s="1101">
        <f t="shared" si="377"/>
        <v>588.68954846911015</v>
      </c>
      <c r="BU321" s="1097">
        <f t="shared" si="378"/>
        <v>20.673099225145531</v>
      </c>
      <c r="BV321" s="1097">
        <f t="shared" si="379"/>
        <v>0</v>
      </c>
      <c r="BW321" s="1112">
        <f t="shared" si="380"/>
        <v>0</v>
      </c>
      <c r="BX321" s="1100">
        <f t="shared" si="381"/>
        <v>588.68954846911015</v>
      </c>
      <c r="BY321" s="1110">
        <f t="shared" si="382"/>
        <v>0</v>
      </c>
      <c r="BZ321" s="1107" t="s">
        <v>569</v>
      </c>
      <c r="CA321" s="1124"/>
      <c r="CB321" s="1098">
        <f>IF($P321="","N/A",IF($P321=-1,INDEX('卡片raw data'!BE:BE,MATCH($D321,'卡片raw data'!$F:$F,)),0)+IF($L321="party卡",IF($P321=5,INDEX('卡片raw data'!BK:BK,MATCH($D321,'卡片raw data'!$F:$F,)),IF($P321&gt;=3,INDEX('卡片raw data'!BJ:BJ,MATCH($D321,'卡片raw data'!$F:$F,)),INDEX('卡片raw data'!BI:BI,MATCH($D321,'卡片raw data'!$F:$F,)))),IF(OR(AND($F321="UR",$P321=0),AND($F321="SR",$P321&gt;=0,$P321&lt;=2),AND($F321="R",$P321&gt;=0,$P321&lt;4)),INDEX('卡片raw data'!BG:BG,MATCH($D321,'卡片raw data'!$F:$F,)),0)+IF(OR(AND($F321="UR",$P321&gt;=1,$P321&lt;=4),AND($F321="SR",$P321&lt;=4,$P321&gt;=3),AND($F321="R",$P321=4)),INDEX('卡片raw data'!BH:BH,MATCH($D321,'卡片raw data'!$F:$F,)),0)+IF($P321=5,INDEX('卡片raw data'!BI:BI,MATCH($D321,'卡片raw data'!$F:$F,)),0)))</f>
        <v>0</v>
      </c>
      <c r="CC321" s="1101">
        <f t="shared" si="383"/>
        <v>0</v>
      </c>
      <c r="CD321" s="1097">
        <f>IF(BZ321="ap",CB321*(1-$FI$26)*$FB$5/$FB$11*(+IF(CA321="全员",$FA$24,0)+IF(CA321="同作战",$FA$24,0)+IF(CA321="仲间",$FA$24*2/3,0)+IF(CA321="同属性",$FA$24*$FA$37/3,0)+IF(CA321="同年级",$FA$24*$FA$40/3,0)+IF(CA321="同学校",$FA$24*$FA$43/3,0)+IF(CA321="同小队",$FA$24*$FA$46/3,0)+IF(CA321="同type",$FA$24*INDEX($FB$49:$FB$52,MATCH(X321,$FA$49:$FA$52,))/3,0)+IF(CA321="自身",#REF!/3,0)),0)+IF(BZ321="te",CB321*(1-$FI$27)*($FA$20-1)*$FB$7/$FB$13*(+IF(CA321="全员",$FA$19*$FA$24/(1+($FA$20-1)*$FA$19),0)+IF(CA321="同作战",$FA$19*$FA$24/(1+($FA$20-1)*$FA$19),0)+IF(CA321="仲间",$FA$19*$FA$24*2/3/(1+($FA$20-1)*$FA$19),0)+IF(CA321="同属性",$FA$19*$FA$24*$FA$37/3/(1+($FA$20-1)*$FA$19),0)+IF(CA321="同年级",$FA$19*$FA$24*$FA$40/3/(1+($FA$20-1)*$FA$19),0)+IF(CA321="同学校",$FA$19*$FA$24*$FA$43/3/(1+($FA$20-1)*$FA$19),0)+IF(CA321="同小队",$FA$19*$FA$24*$FA$46/3/(1+($FA$20-1)*$FA$19),0)+IF(CA321="同type",$FA$19*$FA$24*INDEX($FB$49:$FB$52,MATCH(X321,$FA$49:$FA$52,))/3/(1+($FA$20-1)*$FA$19),0)+IF(CA321="自身",$FA$19*#REF!/3/(1+(BH321-1)*$BD321),0)),0)</f>
        <v>0</v>
      </c>
      <c r="CE321" s="1097">
        <f t="shared" si="384"/>
        <v>0</v>
      </c>
      <c r="CF321" s="1112">
        <f t="shared" si="385"/>
        <v>0</v>
      </c>
      <c r="CG321" s="1100">
        <f t="shared" si="386"/>
        <v>0</v>
      </c>
      <c r="CH321" s="1110">
        <f t="shared" si="387"/>
        <v>0</v>
      </c>
      <c r="CI321" s="1113" t="s">
        <v>162</v>
      </c>
      <c r="CJ321" s="1114">
        <v>1</v>
      </c>
      <c r="CK321" s="1115" t="s">
        <v>256</v>
      </c>
      <c r="CL321" s="1115" t="s">
        <v>1940</v>
      </c>
      <c r="CM321" s="1119">
        <v>2.5999999999999999E-2</v>
      </c>
      <c r="CN321" s="1115"/>
      <c r="CO321" s="1092"/>
      <c r="CP321" s="1116">
        <f t="shared" si="388"/>
        <v>10.398865546624284</v>
      </c>
      <c r="CQ321" s="1116">
        <f t="shared" si="389"/>
        <v>14.612903081795197</v>
      </c>
      <c r="CR321" s="1116">
        <f t="shared" si="390"/>
        <v>10.398865546624284</v>
      </c>
      <c r="CS321" s="1118">
        <f t="shared" si="391"/>
        <v>0</v>
      </c>
      <c r="CT321" s="1109">
        <f t="shared" si="392"/>
        <v>0</v>
      </c>
      <c r="CU321" s="1101">
        <f t="shared" si="393"/>
        <v>14.870377731672727</v>
      </c>
      <c r="CV321" s="1108">
        <f t="shared" si="394"/>
        <v>0</v>
      </c>
      <c r="CW321" s="1097">
        <f t="shared" si="395"/>
        <v>14.870377731672727</v>
      </c>
      <c r="CX321" s="1097">
        <f t="shared" si="396"/>
        <v>14.870377731672727</v>
      </c>
      <c r="CY321" s="1110">
        <f t="shared" si="397"/>
        <v>14.870377731672727</v>
      </c>
      <c r="CZ321" s="437"/>
      <c r="DA321" s="438"/>
      <c r="DB321" s="439" t="s">
        <v>569</v>
      </c>
      <c r="DC321" s="439"/>
      <c r="DD321" s="443"/>
      <c r="DE321" s="411"/>
      <c r="DF321" s="411"/>
      <c r="DG321" s="1116">
        <f t="shared" si="398"/>
        <v>0</v>
      </c>
      <c r="DH321" s="1116">
        <f t="shared" si="399"/>
        <v>0</v>
      </c>
      <c r="DI321" s="1116">
        <f t="shared" si="400"/>
        <v>0</v>
      </c>
      <c r="DJ321" s="442">
        <f t="shared" si="401"/>
        <v>0</v>
      </c>
      <c r="DK321" s="1109">
        <f t="shared" si="402"/>
        <v>0</v>
      </c>
      <c r="DL321" s="1101">
        <f t="shared" si="403"/>
        <v>0</v>
      </c>
      <c r="DM321" s="1097">
        <f t="shared" si="404"/>
        <v>0</v>
      </c>
      <c r="DN321" s="1097">
        <f t="shared" si="405"/>
        <v>0</v>
      </c>
      <c r="DO321" s="1097">
        <f t="shared" si="406"/>
        <v>0</v>
      </c>
      <c r="DP321" s="1110">
        <f t="shared" si="407"/>
        <v>0</v>
      </c>
      <c r="DQ321" s="1113" t="s">
        <v>533</v>
      </c>
      <c r="DR321" s="1120">
        <f t="shared" si="408"/>
        <v>0.3</v>
      </c>
      <c r="DS321" s="1124">
        <v>5</v>
      </c>
      <c r="DT321" s="1093" t="s">
        <v>1126</v>
      </c>
      <c r="DU321" s="1093" t="s">
        <v>1127</v>
      </c>
      <c r="DV321" s="1098">
        <f>IF($P321="","N/A",IF(P321=-1,INDEX('卡片raw data'!AN:AN,MATCH(D321,'卡片raw data'!$F:$F,)),0)+IF(AND(L321&lt;&gt;"party卡",P321&lt;=2,P321&gt;=0),INDEX('卡片raw data'!AP:AP,MATCH(D321,'卡片raw data'!$F:$F,)),0)+IF(OR(AND(L321="party卡",P321&lt;=1),AND(P321&lt;=4,L321&lt;&gt;"party卡",P321&gt;=3)),INDEX('卡片raw data'!AQ:AQ,MATCH(D321,'卡片raw data'!$F:$F,)),0)+IF(OR(P321=5,AND(L321="party卡",P321&gt;=2)),INDEX('卡片raw data'!AR:AR,MATCH(D321,'卡片raw data'!$F:$F,)),0))</f>
        <v>4.2000000000000003E-2</v>
      </c>
      <c r="DW321" s="1098">
        <f t="shared" si="409"/>
        <v>0.3</v>
      </c>
      <c r="DX321" s="1098">
        <f t="shared" si="410"/>
        <v>0.3</v>
      </c>
      <c r="DY321" s="1098">
        <f t="shared" si="411"/>
        <v>2.0999999999999998E-2</v>
      </c>
      <c r="DZ321" s="1098">
        <f t="shared" si="412"/>
        <v>1.8164999999999997E-2</v>
      </c>
      <c r="EA321" s="1098">
        <f t="shared" si="413"/>
        <v>0</v>
      </c>
      <c r="EB321" s="1121">
        <f t="shared" si="414"/>
        <v>4.1901234374999996</v>
      </c>
      <c r="EC321" s="1101">
        <f t="shared" si="415"/>
        <v>272.99999999999994</v>
      </c>
      <c r="ED321" s="1097">
        <f t="shared" si="416"/>
        <v>181.04449999999994</v>
      </c>
      <c r="EE321" s="1110">
        <f t="shared" si="417"/>
        <v>272.99999999999994</v>
      </c>
      <c r="EF321" s="1115" t="s">
        <v>569</v>
      </c>
      <c r="EG321" s="1120">
        <f t="shared" si="418"/>
        <v>0.3</v>
      </c>
      <c r="EH321" s="1124"/>
      <c r="EI321" s="1093"/>
      <c r="EJ321" s="1093"/>
      <c r="EK321" s="1097">
        <f>IF($P321="","N/A",IF(P321=-1,INDEX('卡片raw data'!AS:AS,MATCH(D321,'卡片raw data'!$F:$F,)),0)+IF(AND(L321&lt;&gt;"party卡",P321&lt;=2,P321&gt;=0),INDEX('卡片raw data'!AU:AU,MATCH(D321,'卡片raw data'!$F:$F,)),0)+IF(OR(AND(L321="party卡",P321&lt;=1),AND(P321&lt;=4,L321&lt;&gt;"party卡",P321&gt;=3)),INDEX('卡片raw data'!AV:AV,MATCH(D321,'卡片raw data'!$F:$F,)),0)+IF(OR(P321=5,AND(L321="party卡",P321&gt;=2)),INDEX('卡片raw data'!AW:AW,MATCH(D321,'卡片raw data'!$F:$F,)),0))</f>
        <v>0</v>
      </c>
      <c r="EL321" s="1098">
        <f t="shared" si="419"/>
        <v>0.3</v>
      </c>
      <c r="EM321" s="1098">
        <f t="shared" si="420"/>
        <v>0.3</v>
      </c>
      <c r="EN321" s="1125">
        <f t="shared" si="421"/>
        <v>0</v>
      </c>
      <c r="EO321" s="1125">
        <f t="shared" si="422"/>
        <v>0</v>
      </c>
      <c r="EP321" s="1098">
        <f t="shared" si="423"/>
        <v>0</v>
      </c>
      <c r="EQ321" s="1121">
        <f t="shared" si="424"/>
        <v>0</v>
      </c>
      <c r="ER321" s="1101">
        <f t="shared" si="425"/>
        <v>0</v>
      </c>
      <c r="ES321" s="1097">
        <f t="shared" si="426"/>
        <v>0</v>
      </c>
      <c r="ET321" s="1122">
        <f t="shared" si="427"/>
        <v>0</v>
      </c>
    </row>
    <row r="322" spans="2:150" ht="16.5" customHeight="1">
      <c r="B322" s="1123" t="str">
        <f>INDEX('卡片raw data'!B:B,MATCH($D322,'卡片raw data'!$F:$F,))</f>
        <v>fes1南</v>
      </c>
      <c r="C322" s="449" t="s">
        <v>1137</v>
      </c>
      <c r="D322" s="408">
        <v>319</v>
      </c>
      <c r="E322" s="1090">
        <v>201033001</v>
      </c>
      <c r="F322" s="1090" t="str">
        <f>INDEX('卡片raw data'!C:C,MATCH($D322,'卡片raw data'!$F:$F,))</f>
        <v>UR</v>
      </c>
      <c r="G322" s="1094" t="s">
        <v>1142</v>
      </c>
      <c r="H322" s="411">
        <f>IFERROR(INDEX(绊状态确认!C:C,MATCH($G322,绊状态确认!$B:$B,)),"")</f>
        <v>103</v>
      </c>
      <c r="I322" s="450" t="str">
        <f>IFERROR(INDEX(绊状态确认!D:D,MATCH($G322,绊状态确认!$B:$B,)),"")</f>
        <v>水</v>
      </c>
      <c r="J322" s="450" t="str">
        <f>IFERROR(INDEX(绊状态确认!E:E,MATCH($G322,绊状态确认!$B:$B,)),"")</f>
        <v>3年级</v>
      </c>
      <c r="K322" s="451" t="str">
        <f>IFERROR(INDEX(绊状态确认!F:F,MATCH($G322,绊状态确认!$B:$B,)),"")</f>
        <v>AZALEA</v>
      </c>
      <c r="L322" s="1094" t="str">
        <f>INDEX('卡片raw data'!E:E,MATCH($D322,'卡片raw data'!$F:$F,))</f>
        <v>fes卡</v>
      </c>
      <c r="M322" s="415">
        <v>44104</v>
      </c>
      <c r="N322" s="416">
        <v>24.5</v>
      </c>
      <c r="O322" s="1091" t="str">
        <f>INDEX('卡片raw data'!D:D,MATCH($D322,'卡片raw data'!$F:$F,))</f>
        <v>vo</v>
      </c>
      <c r="P322" s="1126">
        <v>5</v>
      </c>
      <c r="Q322" s="1095">
        <f t="shared" si="343"/>
        <v>80529.154044473631</v>
      </c>
      <c r="R322" s="1096">
        <f t="shared" si="344"/>
        <v>0.93600000000000005</v>
      </c>
      <c r="S322" s="1097">
        <f t="shared" si="345"/>
        <v>23403.664960217255</v>
      </c>
      <c r="T322" s="1098">
        <f t="shared" si="346"/>
        <v>1.17</v>
      </c>
      <c r="U322" s="1099">
        <f t="shared" si="347"/>
        <v>-11.559224302857144</v>
      </c>
      <c r="V322" s="1100">
        <f t="shared" si="348"/>
        <v>80299.905360756311</v>
      </c>
      <c r="W322" s="1101">
        <f t="shared" si="349"/>
        <v>6010.2953161679998</v>
      </c>
      <c r="X322" s="1096">
        <f t="shared" si="350"/>
        <v>6.9000000000000006E-2</v>
      </c>
      <c r="Y322" s="1097">
        <f t="shared" si="351"/>
        <v>1075.4197665243782</v>
      </c>
      <c r="Z322" s="1102">
        <f t="shared" si="352"/>
        <v>13.440775697142856</v>
      </c>
      <c r="AA322" s="1103">
        <f t="shared" si="353"/>
        <v>7085.715082692378</v>
      </c>
      <c r="AB322" s="1101">
        <f t="shared" si="354"/>
        <v>17144.985327530536</v>
      </c>
      <c r="AC322" s="1104">
        <f t="shared" si="355"/>
        <v>0.19900000000000001</v>
      </c>
      <c r="AD322" s="1105">
        <f t="shared" si="356"/>
        <v>0</v>
      </c>
      <c r="AE322" s="1128">
        <f t="shared" si="357"/>
        <v>0</v>
      </c>
      <c r="AF322" s="1130">
        <f t="shared" si="358"/>
        <v>0</v>
      </c>
      <c r="AG322" s="420">
        <f t="shared" si="359"/>
        <v>0</v>
      </c>
      <c r="AH322" s="420">
        <f t="shared" si="360"/>
        <v>0</v>
      </c>
      <c r="AI322" s="1097">
        <f t="shared" si="361"/>
        <v>0</v>
      </c>
      <c r="AJ322" s="420">
        <f t="shared" si="362"/>
        <v>0</v>
      </c>
      <c r="AK322" s="518">
        <f t="shared" si="363"/>
        <v>0</v>
      </c>
      <c r="AL322" s="1106">
        <f>IF($P322="","N/A",(IF($P322=-1,INDEX('卡片raw data'!S:S,MATCH($D322,'卡片raw data'!$F:$F,)),0)+IF($P322=0,INDEX('卡片raw data'!V:V,MATCH($D322,'卡片raw data'!$F:$F,)),0)+IF($P322=1,INDEX('卡片raw data'!Y:Y,MATCH($D322,'卡片raw data'!$F:$F,)),0)+IF($P322=2,INDEX('卡片raw data'!AB:AB,MATCH($D322,'卡片raw data'!$F:$F,)),0)+IF($P322=3,INDEX('卡片raw data'!AE:AE,MATCH($D322,'卡片raw data'!$F:$F,)),0)+IF($P322=4,INDEX('卡片raw data'!AH:AH,MATCH($D322,'卡片raw data'!$F:$F,)),0)+IF($P322=5,INDEX('卡片raw data'!AK:AK,MATCH($D322,'卡片raw data'!$F:$F,)),0)+INDEX('卡片raw data'!S:S,MATCH($D322,'卡片raw data'!$F:$F,))*(IF($F322="UR",0.04,0.033))*(IF($F322="UR",INDEX(绊状态确认!$S:$S,MATCH($G322,绊状态确认!$B:$B,))/2-40)+IF($F322="SR",INDEX(绊状态确认!$R:$R,MATCH($G322,绊状态确认!$B:$B,))/4-15))+IF($F322="R",INDEX(绊状态确认!$Q:$Q,MATCH($G322,绊状态确认!$B:$B,))/6-40/6)))*(INDEX(绊状态确认!$H:$H,MATCH($G322,绊状态确认!$B:$B,))+INDEX(绊状态确认!J:J,MATCH($G322,绊状态确认!$B:$B,)))</f>
        <v>16579.575983999996</v>
      </c>
      <c r="AM322" s="1106">
        <f>IF($P322="","N/A",(IF($P322=-1,INDEX('卡片raw data'!T:T,MATCH($D322,'卡片raw data'!$F:$F,)),0)+IF($P322=0,INDEX('卡片raw data'!W:W,MATCH($D322,'卡片raw data'!$F:$F,)),0)+IF($P322=1,INDEX('卡片raw data'!Z:Z,MATCH($D322,'卡片raw data'!$F:$F,)),0)+IF($P322=2,INDEX('卡片raw data'!AC:AC,MATCH($D322,'卡片raw data'!$F:$F,)),0)+IF($P322=3,INDEX('卡片raw data'!AF:AF,MATCH($D322,'卡片raw data'!$F:$F,)),0)+IF($P322=4,INDEX('卡片raw data'!AI:AI,MATCH($D322,'卡片raw data'!$F:$F,)),0)+IF($P322=5,INDEX('卡片raw data'!AL:AL,MATCH($D322,'卡片raw data'!$F:$F,)),0)+INDEX('卡片raw data'!T:T,MATCH($D322,'卡片raw data'!$F:$F,))*(IF($F322="UR",0.04,0.033))*(IF($F322="UR",INDEX(绊状态确认!$S:$S,MATCH($G322,绊状态确认!$B:$B,))/2-40)+IF($F322="SR",INDEX(绊状态确认!$R:$R,MATCH($G322,绊状态确认!$B:$B,))/4-15))+IF($F322="R",INDEX(绊状态确认!$Q:$Q,MATCH($G322,绊状态确认!$B:$B,))/6-40/6)))*(INDEX(绊状态确认!$H:$H,MATCH($G322,绊状态确认!$B:$B,))+INDEX(绊状态确认!K:K,MATCH($G322,绊状态确认!$B:$B,)))</f>
        <v>7209.3215999999993</v>
      </c>
      <c r="AN322" s="1106">
        <f>IF($P322="","N/A",(IF($P322=-1,INDEX('卡片raw data'!U:U,MATCH($D322,'卡片raw data'!$F:$F,)),0)+IF($P322=0,INDEX('卡片raw data'!X:X,MATCH($D322,'卡片raw data'!$F:$F,)),0)+IF($P322=1,INDEX('卡片raw data'!AA:AA,MATCH($D322,'卡片raw data'!$F:$F,)),0)+IF($P322=2,INDEX('卡片raw data'!AD:AD,MATCH($D322,'卡片raw data'!$F:$F,)),0)+IF($P322=3,INDEX('卡片raw data'!AG:AG,MATCH($D322,'卡片raw data'!$F:$F,)),0)+IF($P322=4,INDEX('卡片raw data'!AJ:AJ,MATCH($D322,'卡片raw data'!$F:$F,)),0)+IF($P322=5,INDEX('卡片raw data'!AM:AM,MATCH($D322,'卡片raw data'!$F:$F,)),0)+INDEX('卡片raw data'!U:U,MATCH($D322,'卡片raw data'!$F:$F,))*(IF($F322="UR",0.04,0.033))*(IF($F322="UR",INDEX(绊状态确认!$S:$S,MATCH($G322,绊状态确认!$B:$B,))/2-40)+IF($F322="SR",INDEX(绊状态确认!$R:$R,MATCH($G322,绊状态确认!$B:$B,))/4-15))+IF($F322="R",INDEX(绊状态确认!$Q:$Q,MATCH($G322,绊状态确认!$B:$B,))/6-40/6)))*(INDEX(绊状态确认!$H:$H,MATCH($G322,绊状态确认!$B:$B,))+INDEX(绊状态确认!L:L,MATCH($G322,绊状态确认!$B:$B,)))</f>
        <v>12254.210303999998</v>
      </c>
      <c r="AO322" s="1107">
        <f t="shared" si="364"/>
        <v>1</v>
      </c>
      <c r="AP322" s="1131">
        <f>1+(INDEX(绊状态确认!$T:$T,MATCH($G322,绊状态确认!$B:$B,))+0.2)*$AO322</f>
        <v>1.3</v>
      </c>
      <c r="AQ322" s="1108">
        <f t="shared" si="365"/>
        <v>46771.386957999996</v>
      </c>
      <c r="AR322" s="1097">
        <f>(AM322*(1+$EX$9)+$EX$35)*(1+(INDEX(绊状态确认!$T:$T,MATCH($G322,绊状态确认!$B:$B,))+0.2)*AO322)*IF(J322=$FF$17,1+$FE$17,1)*IF(I322=$FF$14,1+$FE$14,1)*(1+$FE$15)</f>
        <v>12544.723984</v>
      </c>
      <c r="AS322" s="1097">
        <f>(AN322*(1+$EX$10)+$EX$36)*(1+(INDEX(绊状态确认!$T:$T,MATCH($G322,绊状态确认!$B:$B,))+0.2)*AO322)*IF(J322=$FF$17,1+$FE$17,1)*IF(I322=$FF$14,1+$FE$14,1)*(1+$FE$15)</f>
        <v>22376.044404479999</v>
      </c>
      <c r="AT322" s="1093">
        <f>IF(AND(INDEX('卡片raw data'!AK:AK,MATCH($D322,'卡片raw data'!$F:$F,))&lt;INDEX('卡片raw data'!AM:AM,MATCH($D322,'卡片raw data'!$F:$F,)),INDEX('卡片raw data'!AL:AL,MATCH($D322,'卡片raw data'!$F:$F,))&lt;INDEX('卡片raw data'!AM:AM,MATCH($D322,'卡片raw data'!$F:$F,))),1,0)</f>
        <v>0</v>
      </c>
      <c r="AU322" s="1098">
        <f>MIN(AT322*0.15+AS322*0.00003+INDEX(绊状态确认!M:M,MATCH($G322,绊状态确认!$B:$B,)),1)</f>
        <v>0.70128133213440003</v>
      </c>
      <c r="AV322" s="1109">
        <f>(INDEX(绊状态确认!$N:$N,MATCH($G322,绊状态确认!$B:$B,))+1.5)*$EW$21</f>
        <v>2.6599999999999997</v>
      </c>
      <c r="AW322" s="1101">
        <f t="shared" si="366"/>
        <v>52567.867338431475</v>
      </c>
      <c r="AX322" s="1097">
        <f t="shared" si="367"/>
        <v>1075.4197665243782</v>
      </c>
      <c r="AY322" s="1110">
        <f t="shared" si="368"/>
        <v>53643.287104955853</v>
      </c>
      <c r="AZ322" s="429">
        <f t="shared" si="369"/>
        <v>34930.173168799985</v>
      </c>
      <c r="BA322" s="431">
        <f t="shared" si="370"/>
        <v>41916.207802559984</v>
      </c>
      <c r="BB322" s="1097">
        <f>(AM322*(1+$FB$9)+$FB$35)*(1+(INDEX(绊状态确认!$T:$T,MATCH($G322,绊状态确认!$B:$B,))+0.2)*AO322)*IF(J322=$FF$17,1+$FE$17,1)*IF(I322=$FF$14,1+$FE$14,1)*(1+$FE$15)</f>
        <v>12544.723984</v>
      </c>
      <c r="BC322" s="1097">
        <f>(AN322*(1+$FB$10)+$FB$36)*(1+(INDEX(绊状态确认!$T:$T,MATCH($G322,绊状态确认!$B:$B,))+0.2)*AO322)*IF(J322=$FF$17,1+$FE$17,1)*IF(I322=$FF$14,1+$FE$14,1)*(1+$FE$15)</f>
        <v>22376.044404479999</v>
      </c>
      <c r="BD322" s="1104">
        <f>MIN(AT322*0.15+BC322*0.00003+INDEX(绊状态确认!M:M,MATCH($G322,绊状态确认!$B:$B,)),1)</f>
        <v>0.70128133213440003</v>
      </c>
      <c r="BE322" s="432">
        <f>(INDEX(绊状态确认!$N:$N,MATCH($G322,绊状态确认!$B:$B,))+1.5)</f>
        <v>1.9</v>
      </c>
      <c r="BF322" s="1139">
        <f t="array" ref="BF322">SUMPRODUCT(IF(AZ322*AP322*$FI$16:$FI$23*$FA$22&gt;=$FI$24,$FI$24,AZ322*AP322*$FI$16:$FI$23*$FA$22),$FJ$16:$FJ$23)</f>
        <v>59352.30627986</v>
      </c>
      <c r="BG322" s="1125">
        <f t="array" ref="BG322">SUMPRODUCT(IF(BE322*AZ322*AP322*$FI$16:$FI$23*$FA$22&gt;=$FI$24,$FI$24,BE322*AZ322*AP322*$FI$16:$FI$23*$FA$22),$FJ$16:$FJ$23)</f>
        <v>60000</v>
      </c>
      <c r="BH322" s="1110">
        <f t="shared" si="371"/>
        <v>19935.507264911623</v>
      </c>
      <c r="BI322" s="1111">
        <f>IF(O322="vo",$EW$26/$EW$24*0.05,0)+IF(O322="sk",-$EW$26/$EW$24*(0.05-INDEX(绊状态确认!W:W,MATCH($G322,绊状态确认!$B:$B,)))+0.05*$EW$28,0)+IF(O322="sp",0.05*$EW$32*$EW$30*(1-$EW$33)-(0.05-INDEX(绊状态确认!V:V,MATCH($G322,绊状态确认!$B:$B,)))*$EW$28,0)+IF(O322="gd",-(0.05-INDEX(绊状态确认!X:X,MATCH($G322,绊状态确认!$B:$B,)))*$EW$32*$EW$30*(1-$EW$33),0)</f>
        <v>7726.3029277443748</v>
      </c>
      <c r="BJ322" s="1097">
        <f>IF(O322="vo",0.05*(1-$FI$26)*$FA$24,0)+IF(O322="sk",-(0.05-INDEX(绊状态确认!W:W,MATCH($G322,绊状态确认!$B:$B,)))*(1-$FI$26)*$FA$24+0.05*$FA$26,0)+IF(O322="sp",0.05*$FA$32*$FA$27*(1-$FA$33)/$FA$30+0.05*$FA$29/$FA$69*$FA$27*(1-$FA$33)-(0.05-INDEX(绊状态确认!V:V,MATCH($G322,绊状态确认!$B:$B,)))*$FA$26,0)+IF(O322="gd",-(0.05-INDEX(绊状态确认!X:X,MATCH($G322,绊状态确认!$B:$B,)))*$FA$32*$FA$27*(1-$FA$33)/$FA$30-(0.05-INDEX(绊状态确认!X:X,MATCH($G322,绊状态确认!$B:$B,)))*$FA$29/$FA$69*$FA$27*(1-$FA$33),0)</f>
        <v>393.93433687500004</v>
      </c>
      <c r="BK322" s="1110">
        <f>IF(O322="vo",$EW$26/$EW$24*0.05+$EW$26*(-HP($EW$62,$EW$65,$EW$64)+HP($EW$62,$EW$65,(1.05-INDEX(绊状态确认!U:U,MATCH($G322,绊状态确认!$B:$B,)))*$EW$64)),0)+IF(O322="sk",-$EW$26/$EW$24*(0.05-INDEX(绊状态确认!W:W,MATCH($G322,绊状态确认!$B:$B,)))+0.05*$EW$29,0)+IF(O322="sp",0.05*$EW$32*$EW$30*(1-$EW$33)-(0.05-INDEX(绊状态确认!V:V,MATCH($G322,绊状态确认!$B:$B,)))*$EW$29,0)+IF(O322="gd",-(0.05-INDEX(绊状态确认!X:X,MATCH($G322,绊状态确认!$B:$B,)))*$EW$32*$EW$30*(1-$EW$33)+$EW$26*(-HP($EW$62,$EW$65,$EW$64)+HP($EW$62,$EW$65,0.95*$EW$64)),0)</f>
        <v>6421.6344775026746</v>
      </c>
      <c r="BL322" s="1111">
        <f t="shared" si="372"/>
        <v>0</v>
      </c>
      <c r="BM322" s="1110">
        <f t="shared" si="373"/>
        <v>0</v>
      </c>
      <c r="BN322" s="1113">
        <f t="shared" si="374"/>
        <v>4</v>
      </c>
      <c r="BO322" s="1108">
        <f t="shared" si="375"/>
        <v>6010.2953161679998</v>
      </c>
      <c r="BP322" s="1100">
        <f t="shared" si="376"/>
        <v>295.12137612040135</v>
      </c>
      <c r="BQ322" s="1113" t="s">
        <v>132</v>
      </c>
      <c r="BR322" s="1124" t="s">
        <v>168</v>
      </c>
      <c r="BS322" s="1098">
        <f>IF($P322="","N/A",IF($P322=-1,INDEX('卡片raw data'!AX:AX,MATCH($D322,'卡片raw data'!$F:$F,)),0)+IF($L322="party卡",IF($P322=5,INDEX('卡片raw data'!BD:BD,MATCH($D322,'卡片raw data'!$F:$F,)),IF($P322&gt;=3,INDEX('卡片raw data'!BC:BC,MATCH($D322,'卡片raw data'!$F:$F,)),INDEX('卡片raw data'!BB:BB,MATCH($D322,'卡片raw data'!$F:$F,)))),IF(OR(AND($F322="UR",$P322=0),AND($F322="SR",$P322&gt;=0,$P322&lt;=2),AND($F322="R",$P322&gt;=0,$P322&lt;4)),INDEX('卡片raw data'!AZ:AZ,MATCH($D322,'卡片raw data'!$F:$F,)),0)+IF(OR(AND($F322="UR",$P322&gt;=1,$P322&lt;=4),AND($F322="SR",$P322&lt;=4,$P322&gt;=3),AND($F322="R",$P322=4)),INDEX('卡片raw data'!BA:BA,MATCH($D322,'卡片raw data'!$F:$F,)),0)+IF($P322=5,INDEX('卡片raw data'!BB:BB,MATCH($D322,'卡片raw data'!$F:$F,)),0)))</f>
        <v>7.0000000000000007E-2</v>
      </c>
      <c r="BT322" s="1101">
        <f t="shared" si="377"/>
        <v>5259.008401647</v>
      </c>
      <c r="BU322" s="1097">
        <f t="shared" si="378"/>
        <v>258.2312041053512</v>
      </c>
      <c r="BV322" s="1097">
        <f t="shared" si="379"/>
        <v>0</v>
      </c>
      <c r="BW322" s="1112">
        <f t="shared" si="380"/>
        <v>0</v>
      </c>
      <c r="BX322" s="1100">
        <f t="shared" si="381"/>
        <v>5259.008401647</v>
      </c>
      <c r="BY322" s="1110">
        <f t="shared" si="382"/>
        <v>0</v>
      </c>
      <c r="BZ322" s="1113" t="s">
        <v>134</v>
      </c>
      <c r="CA322" s="1124" t="s">
        <v>1155</v>
      </c>
      <c r="CB322" s="1098">
        <f>IF($P322="","N/A",IF($P322=-1,INDEX('卡片raw data'!BE:BE,MATCH($D322,'卡片raw data'!$F:$F,)),0)+IF($L322="party卡",IF($P322=5,INDEX('卡片raw data'!BK:BK,MATCH($D322,'卡片raw data'!$F:$F,)),IF($P322&gt;=3,INDEX('卡片raw data'!BJ:BJ,MATCH($D322,'卡片raw data'!$F:$F,)),INDEX('卡片raw data'!BI:BI,MATCH($D322,'卡片raw data'!$F:$F,)))),IF(OR(AND($F322="UR",$P322=0),AND($F322="SR",$P322&gt;=0,$P322&lt;=2),AND($F322="R",$P322&gt;=0,$P322&lt;4)),INDEX('卡片raw data'!BG:BG,MATCH($D322,'卡片raw data'!$F:$F,)),0)+IF(OR(AND($F322="UR",$P322&gt;=1,$P322&lt;=4),AND($F322="SR",$P322&lt;=4,$P322&gt;=3),AND($F322="R",$P322=4)),INDEX('卡片raw data'!BH:BH,MATCH($D322,'卡片raw data'!$F:$F,)),0)+IF($P322=5,INDEX('卡片raw data'!BI:BI,MATCH($D322,'卡片raw data'!$F:$F,)),0)))</f>
        <v>3.5000000000000003E-2</v>
      </c>
      <c r="CC322" s="1101">
        <f t="shared" si="383"/>
        <v>2476.1083215080093</v>
      </c>
      <c r="CD322" s="1097">
        <f>IF(BZ322="ap",CB322*(1-$FI$26)*$FB$5/$FB$11*(+IF(CA322="全员",$FA$24,0)+IF(CA322="同作战",$FA$24,0)+IF(CA322="仲间",$FA$24*2/3,0)+IF(CA322="同属性",$FA$24*$FA$37/3,0)+IF(CA322="同年级",$FA$24*$FA$40/3,0)+IF(CA322="同学校",$FA$24*$FA$43/3,0)+IF(CA322="同小队",$FA$24*$FA$46/3,0)+IF(CA322="同type",$FA$24*INDEX($FB$49:$FB$52,MATCH(X322,$FA$49:$FA$52,))/3,0)+IF(CA322="自身",#REF!/3,0)),0)+IF(BZ322="te",CB322*(1-$FI$27)*($FA$20-1)*$FB$7/$FB$13*(+IF(CA322="全员",$FA$19*$FA$24/(1+($FA$20-1)*$FA$19),0)+IF(CA322="同作战",$FA$19*$FA$24/(1+($FA$20-1)*$FA$19),0)+IF(CA322="仲间",$FA$19*$FA$24*2/3/(1+($FA$20-1)*$FA$19),0)+IF(CA322="同属性",$FA$19*$FA$24*$FA$37/3/(1+($FA$20-1)*$FA$19),0)+IF(CA322="同年级",$FA$19*$FA$24*$FA$40/3/(1+($FA$20-1)*$FA$19),0)+IF(CA322="同学校",$FA$19*$FA$24*$FA$43/3/(1+($FA$20-1)*$FA$19),0)+IF(CA322="同小队",$FA$19*$FA$24*$FA$46/3/(1+($FA$20-1)*$FA$19),0)+IF(CA322="同type",$FA$19*$FA$24*INDEX($FB$49:$FB$52,MATCH(X322,$FA$49:$FA$52,))/3/(1+($FA$20-1)*$FA$19),0)+IF(CA322="自身",$FA$19*#REF!/3/(1+(BH322-1)*$BD322),0)),0)</f>
        <v>179.10483503581057</v>
      </c>
      <c r="CE322" s="1097">
        <f t="shared" si="384"/>
        <v>0</v>
      </c>
      <c r="CF322" s="1112">
        <f t="shared" si="385"/>
        <v>0</v>
      </c>
      <c r="CG322" s="1100">
        <f t="shared" si="386"/>
        <v>2476.1083215080093</v>
      </c>
      <c r="CH322" s="1110">
        <f t="shared" si="387"/>
        <v>0</v>
      </c>
      <c r="CI322" s="1113" t="s">
        <v>165</v>
      </c>
      <c r="CJ322" s="1114">
        <v>1</v>
      </c>
      <c r="CK322" s="1115" t="s">
        <v>167</v>
      </c>
      <c r="CL322" s="1115" t="s">
        <v>1155</v>
      </c>
      <c r="CM322" s="1119">
        <v>2.5000000000000001E-2</v>
      </c>
      <c r="CN322" s="1115" t="s">
        <v>1154</v>
      </c>
      <c r="CO322" s="1092"/>
      <c r="CP322" s="1118">
        <f t="shared" si="388"/>
        <v>2.5000000000000001E-2</v>
      </c>
      <c r="CQ322" s="1118">
        <f t="shared" si="389"/>
        <v>2.5000000000000001E-2</v>
      </c>
      <c r="CR322" s="1118">
        <f t="shared" si="390"/>
        <v>0</v>
      </c>
      <c r="CS322" s="1118">
        <f t="shared" si="391"/>
        <v>0</v>
      </c>
      <c r="CT322" s="1109">
        <f t="shared" si="392"/>
        <v>0</v>
      </c>
      <c r="CU322" s="1101">
        <f t="shared" si="393"/>
        <v>3399.5732882075254</v>
      </c>
      <c r="CV322" s="1108">
        <f t="shared" si="394"/>
        <v>164.13930703125001</v>
      </c>
      <c r="CW322" s="1097">
        <f t="shared" si="395"/>
        <v>0</v>
      </c>
      <c r="CX322" s="1097">
        <f t="shared" si="396"/>
        <v>3399.5732882075254</v>
      </c>
      <c r="CY322" s="1110">
        <f t="shared" si="397"/>
        <v>0</v>
      </c>
      <c r="CZ322" s="437"/>
      <c r="DA322" s="438"/>
      <c r="DB322" s="439" t="s">
        <v>569</v>
      </c>
      <c r="DC322" s="439"/>
      <c r="DD322" s="443"/>
      <c r="DE322" s="411"/>
      <c r="DF322" s="411"/>
      <c r="DG322" s="1116">
        <f t="shared" si="398"/>
        <v>0</v>
      </c>
      <c r="DH322" s="1116">
        <f t="shared" si="399"/>
        <v>0</v>
      </c>
      <c r="DI322" s="1116">
        <f t="shared" si="400"/>
        <v>0</v>
      </c>
      <c r="DJ322" s="442">
        <f t="shared" si="401"/>
        <v>0</v>
      </c>
      <c r="DK322" s="1109">
        <f t="shared" si="402"/>
        <v>0</v>
      </c>
      <c r="DL322" s="1101">
        <f t="shared" si="403"/>
        <v>0</v>
      </c>
      <c r="DM322" s="1097">
        <f t="shared" si="404"/>
        <v>0</v>
      </c>
      <c r="DN322" s="1097">
        <f t="shared" si="405"/>
        <v>0</v>
      </c>
      <c r="DO322" s="1097">
        <f t="shared" si="406"/>
        <v>0</v>
      </c>
      <c r="DP322" s="1110">
        <f t="shared" si="407"/>
        <v>0</v>
      </c>
      <c r="DQ322" s="1113" t="s">
        <v>545</v>
      </c>
      <c r="DR322" s="1120">
        <f t="shared" si="408"/>
        <v>0.33</v>
      </c>
      <c r="DS322" s="1124"/>
      <c r="DT322" s="1093" t="s">
        <v>132</v>
      </c>
      <c r="DU322" s="1093"/>
      <c r="DV322" s="1098">
        <f>IF($P322="","N/A",IF(P322=-1,INDEX('卡片raw data'!AN:AN,MATCH(D322,'卡片raw data'!$F:$F,)),0)+IF(AND(L322&lt;&gt;"party卡",P322&lt;=2,P322&gt;=0),INDEX('卡片raw data'!AP:AP,MATCH(D322,'卡片raw data'!$F:$F,)),0)+IF(OR(AND(L322="party卡",P322&lt;=1),AND(P322&lt;=4,L322&lt;&gt;"party卡",P322&gt;=3)),INDEX('卡片raw data'!AQ:AQ,MATCH(D322,'卡片raw data'!$F:$F,)),0)+IF(OR(P322=5,AND(L322="party卡",P322&gt;=2)),INDEX('卡片raw data'!AR:AR,MATCH(D322,'卡片raw data'!$F:$F,)),0))</f>
        <v>0.42</v>
      </c>
      <c r="DW322" s="1098">
        <f t="shared" si="409"/>
        <v>0.33</v>
      </c>
      <c r="DX322" s="1098">
        <f t="shared" si="410"/>
        <v>0.33</v>
      </c>
      <c r="DY322" s="1097">
        <f t="shared" si="411"/>
        <v>2809.0895006974797</v>
      </c>
      <c r="DZ322" s="1125">
        <f t="shared" si="412"/>
        <v>2177.6266361378161</v>
      </c>
      <c r="EA322" s="1098">
        <f t="shared" si="413"/>
        <v>0</v>
      </c>
      <c r="EB322" s="1121">
        <f t="shared" si="414"/>
        <v>0</v>
      </c>
      <c r="EC322" s="1101">
        <f t="shared" si="415"/>
        <v>3089.998450767228</v>
      </c>
      <c r="ED322" s="1097">
        <f t="shared" si="416"/>
        <v>2177.6266361378161</v>
      </c>
      <c r="EE322" s="1110">
        <f t="shared" si="417"/>
        <v>3089.998450767228</v>
      </c>
      <c r="EF322" s="1115" t="s">
        <v>569</v>
      </c>
      <c r="EG322" s="1120">
        <f t="shared" si="418"/>
        <v>0.33</v>
      </c>
      <c r="EH322" s="1124"/>
      <c r="EI322" s="1093"/>
      <c r="EJ322" s="1093"/>
      <c r="EK322" s="1097">
        <f>IF($P322="","N/A",IF(P322=-1,INDEX('卡片raw data'!AS:AS,MATCH(D322,'卡片raw data'!$F:$F,)),0)+IF(AND(L322&lt;&gt;"party卡",P322&lt;=2,P322&gt;=0),INDEX('卡片raw data'!AU:AU,MATCH(D322,'卡片raw data'!$F:$F,)),0)+IF(OR(AND(L322="party卡",P322&lt;=1),AND(P322&lt;=4,L322&lt;&gt;"party卡",P322&gt;=3)),INDEX('卡片raw data'!AV:AV,MATCH(D322,'卡片raw data'!$F:$F,)),0)+IF(OR(P322=5,AND(L322="party卡",P322&gt;=2)),INDEX('卡片raw data'!AW:AW,MATCH(D322,'卡片raw data'!$F:$F,)),0))</f>
        <v>0</v>
      </c>
      <c r="EL322" s="1098">
        <f t="shared" si="419"/>
        <v>0.33</v>
      </c>
      <c r="EM322" s="1098">
        <f t="shared" si="420"/>
        <v>0.33</v>
      </c>
      <c r="EN322" s="1097">
        <f t="shared" si="421"/>
        <v>0</v>
      </c>
      <c r="EO322" s="1125">
        <f t="shared" si="422"/>
        <v>0</v>
      </c>
      <c r="EP322" s="1098">
        <f t="shared" si="423"/>
        <v>0</v>
      </c>
      <c r="EQ322" s="1121">
        <f t="shared" si="424"/>
        <v>0</v>
      </c>
      <c r="ER322" s="1101">
        <f t="shared" si="425"/>
        <v>0</v>
      </c>
      <c r="ES322" s="1097">
        <f t="shared" si="426"/>
        <v>0</v>
      </c>
      <c r="ET322" s="1122">
        <f t="shared" si="427"/>
        <v>0</v>
      </c>
    </row>
    <row r="323" spans="2:150" ht="16.5" customHeight="1">
      <c r="B323" s="1123" t="str">
        <f>INDEX('卡片raw data'!B:B,MATCH($D323,'卡片raw data'!$F:$F,))</f>
        <v>fes1霞</v>
      </c>
      <c r="C323" s="449" t="s">
        <v>1138</v>
      </c>
      <c r="D323" s="408">
        <v>320</v>
      </c>
      <c r="E323" s="1090">
        <v>202023001</v>
      </c>
      <c r="F323" s="1090" t="str">
        <f>INDEX('卡片raw data'!C:C,MATCH($D323,'卡片raw data'!$F:$F,))</f>
        <v>UR</v>
      </c>
      <c r="G323" s="1094" t="s">
        <v>1143</v>
      </c>
      <c r="H323" s="411">
        <f>IFERROR(INDEX(绊状态确认!C:C,MATCH($G323,绊状态确认!$B:$B,)),"")</f>
        <v>202</v>
      </c>
      <c r="I323" s="450" t="str">
        <f>IFERROR(INDEX(绊状态确认!D:D,MATCH($G323,绊状态确认!$B:$B,)),"")</f>
        <v>虹</v>
      </c>
      <c r="J323" s="450" t="str">
        <f>IFERROR(INDEX(绊状态确认!E:E,MATCH($G323,绊状态确认!$B:$B,)),"")</f>
        <v>1年级</v>
      </c>
      <c r="K323" s="451" t="str">
        <f>IFERROR(INDEX(绊状态确认!F:F,MATCH($G323,绊状态确认!$B:$B,)),"")</f>
        <v>QU4RTZ</v>
      </c>
      <c r="L323" s="1094" t="str">
        <f>INDEX('卡片raw data'!E:E,MATCH($D323,'卡片raw data'!$F:$F,))</f>
        <v>fes卡</v>
      </c>
      <c r="M323" s="415">
        <v>44104</v>
      </c>
      <c r="N323" s="416">
        <v>24.5</v>
      </c>
      <c r="O323" s="1091" t="str">
        <f>INDEX('卡片raw data'!D:D,MATCH($D323,'卡片raw data'!$F:$F,))</f>
        <v>sp</v>
      </c>
      <c r="P323" s="1126">
        <v>5</v>
      </c>
      <c r="Q323" s="1095">
        <f t="shared" si="343"/>
        <v>63617.954378051312</v>
      </c>
      <c r="R323" s="1096">
        <f t="shared" si="344"/>
        <v>0.73899999999999999</v>
      </c>
      <c r="S323" s="1097">
        <f t="shared" si="345"/>
        <v>23342.746747153757</v>
      </c>
      <c r="T323" s="1098">
        <f t="shared" si="346"/>
        <v>1.167</v>
      </c>
      <c r="U323" s="1099">
        <f t="shared" si="347"/>
        <v>15.018398338542855</v>
      </c>
      <c r="V323" s="1100">
        <f t="shared" si="348"/>
        <v>63023.511372787245</v>
      </c>
      <c r="W323" s="1101">
        <f t="shared" si="349"/>
        <v>7438.2949180550213</v>
      </c>
      <c r="X323" s="1096">
        <f t="shared" si="350"/>
        <v>8.5999999999999993E-2</v>
      </c>
      <c r="Y323" s="1097">
        <f t="shared" si="351"/>
        <v>1205.5569947359336</v>
      </c>
      <c r="Z323" s="1102">
        <f t="shared" si="352"/>
        <v>15.018398338542855</v>
      </c>
      <c r="AA323" s="1103">
        <f t="shared" si="353"/>
        <v>8643.8519127909549</v>
      </c>
      <c r="AB323" s="1101">
        <f t="shared" si="354"/>
        <v>8740.5255698914225</v>
      </c>
      <c r="AC323" s="1104">
        <f t="shared" si="355"/>
        <v>0.10100000000000001</v>
      </c>
      <c r="AD323" s="1105">
        <f t="shared" si="356"/>
        <v>-1.6087500000000001E-2</v>
      </c>
      <c r="AE323" s="1128">
        <f t="shared" si="357"/>
        <v>71.261690543478238</v>
      </c>
      <c r="AF323" s="1130">
        <f t="shared" si="358"/>
        <v>0</v>
      </c>
      <c r="AG323" s="420">
        <f t="shared" si="359"/>
        <v>0</v>
      </c>
      <c r="AH323" s="420">
        <f t="shared" si="360"/>
        <v>0</v>
      </c>
      <c r="AI323" s="1097">
        <f t="shared" si="361"/>
        <v>0</v>
      </c>
      <c r="AJ323" s="420">
        <f t="shared" si="362"/>
        <v>0</v>
      </c>
      <c r="AK323" s="518">
        <f t="shared" si="363"/>
        <v>0</v>
      </c>
      <c r="AL323" s="1106">
        <f>IF($P323="","N/A",(IF($P323=-1,INDEX('卡片raw data'!S:S,MATCH($D323,'卡片raw data'!$F:$F,)),0)+IF($P323=0,INDEX('卡片raw data'!V:V,MATCH($D323,'卡片raw data'!$F:$F,)),0)+IF($P323=1,INDEX('卡片raw data'!Y:Y,MATCH($D323,'卡片raw data'!$F:$F,)),0)+IF($P323=2,INDEX('卡片raw data'!AB:AB,MATCH($D323,'卡片raw data'!$F:$F,)),0)+IF($P323=3,INDEX('卡片raw data'!AE:AE,MATCH($D323,'卡片raw data'!$F:$F,)),0)+IF($P323=4,INDEX('卡片raw data'!AH:AH,MATCH($D323,'卡片raw data'!$F:$F,)),0)+IF($P323=5,INDEX('卡片raw data'!AK:AK,MATCH($D323,'卡片raw data'!$F:$F,)),0)+INDEX('卡片raw data'!S:S,MATCH($D323,'卡片raw data'!$F:$F,))*(IF($F323="UR",0.04,0.033))*(IF($F323="UR",INDEX(绊状态确认!$S:$S,MATCH($G323,绊状态确认!$B:$B,))/2-40)+IF($F323="SR",INDEX(绊状态确认!$R:$R,MATCH($G323,绊状态确认!$B:$B,))/4-15))+IF($F323="R",INDEX(绊状态确认!$Q:$Q,MATCH($G323,绊状态确认!$B:$B,))/6-40/6)))*(INDEX(绊状态确认!$H:$H,MATCH($G323,绊状态确认!$B:$B,))+INDEX(绊状态确认!J:J,MATCH($G323,绊状态确认!$B:$B,)))</f>
        <v>12976.097039999999</v>
      </c>
      <c r="AM323" s="1106">
        <f>IF($P323="","N/A",(IF($P323=-1,INDEX('卡片raw data'!T:T,MATCH($D323,'卡片raw data'!$F:$F,)),0)+IF($P323=0,INDEX('卡片raw data'!W:W,MATCH($D323,'卡片raw data'!$F:$F,)),0)+IF($P323=1,INDEX('卡片raw data'!Z:Z,MATCH($D323,'卡片raw data'!$F:$F,)),0)+IF($P323=2,INDEX('卡片raw data'!AC:AC,MATCH($D323,'卡片raw data'!$F:$F,)),0)+IF($P323=3,INDEX('卡片raw data'!AF:AF,MATCH($D323,'卡片raw data'!$F:$F,)),0)+IF($P323=4,INDEX('卡片raw data'!AI:AI,MATCH($D323,'卡片raw data'!$F:$F,)),0)+IF($P323=5,INDEX('卡片raw data'!AL:AL,MATCH($D323,'卡片raw data'!$F:$F,)),0)+INDEX('卡片raw data'!T:T,MATCH($D323,'卡片raw data'!$F:$F,))*(IF($F323="UR",0.04,0.033))*(IF($F323="UR",INDEX(绊状态确认!$S:$S,MATCH($G323,绊状态确认!$B:$B,))/2-40)+IF($F323="SR",INDEX(绊状态确认!$R:$R,MATCH($G323,绊状态确认!$B:$B,))/4-15))+IF($F323="R",INDEX(绊状态确认!$Q:$Q,MATCH($G323,绊状态确认!$B:$B,))/6-40/6)))*(INDEX(绊状态确认!$H:$H,MATCH($G323,绊状态确认!$B:$B,))+INDEX(绊状态确认!K:K,MATCH($G323,绊状态确认!$B:$B,)))</f>
        <v>8288.0379359999988</v>
      </c>
      <c r="AN323" s="1106">
        <f>IF($P323="","N/A",(IF($P323=-1,INDEX('卡片raw data'!U:U,MATCH($D323,'卡片raw data'!$F:$F,)),0)+IF($P323=0,INDEX('卡片raw data'!X:X,MATCH($D323,'卡片raw data'!$F:$F,)),0)+IF($P323=1,INDEX('卡片raw data'!AA:AA,MATCH($D323,'卡片raw data'!$F:$F,)),0)+IF($P323=2,INDEX('卡片raw data'!AD:AD,MATCH($D323,'卡片raw data'!$F:$F,)),0)+IF($P323=3,INDEX('卡片raw data'!AG:AG,MATCH($D323,'卡片raw data'!$F:$F,)),0)+IF($P323=4,INDEX('卡片raw data'!AJ:AJ,MATCH($D323,'卡片raw data'!$F:$F,)),0)+IF($P323=5,INDEX('卡片raw data'!AM:AM,MATCH($D323,'卡片raw data'!$F:$F,)),0)+INDEX('卡片raw data'!U:U,MATCH($D323,'卡片raw data'!$F:$F,))*(IF($F323="UR",0.04,0.033))*(IF($F323="UR",INDEX(绊状态确认!$S:$S,MATCH($G323,绊状态确认!$B:$B,))/2-40)+IF($F323="SR",INDEX(绊状态确认!$R:$R,MATCH($G323,绊状态确认!$B:$B,))/4-15))+IF($F323="R",INDEX(绊状态确认!$Q:$Q,MATCH($G323,绊状态确认!$B:$B,))/6-40/6)))*(INDEX(绊状态确认!$H:$H,MATCH($G323,绊状态确认!$B:$B,))+INDEX(绊状态确认!L:L,MATCH($G323,绊状态确认!$B:$B,)))</f>
        <v>14777.836511999998</v>
      </c>
      <c r="AO323" s="1107">
        <f t="shared" si="364"/>
        <v>1</v>
      </c>
      <c r="AP323" s="1131">
        <f>1+(INDEX(绊状态确认!$T:$T,MATCH($G323,绊状态确认!$B:$B,))+0.2)*$AO323</f>
        <v>1.3</v>
      </c>
      <c r="AQ323" s="1108">
        <f t="shared" si="365"/>
        <v>37312.254730000001</v>
      </c>
      <c r="AR323" s="1097">
        <f>(AM323*(1+$EX$9)+$EX$35)*(1+(INDEX(绊状态确认!$T:$T,MATCH($G323,绊状态确认!$B:$B,))+0.2)*AO323)*IF(J323=$FF$17,1+$FE$17,1)*IF(I323=$FF$14,1+$FE$14,1)*(1+$FE$15)</f>
        <v>14017.171782639998</v>
      </c>
      <c r="AS323" s="1097">
        <f>(AN323*(1+$EX$10)+$EX$36)*(1+(INDEX(绊状态确认!$T:$T,MATCH($G323,绊状态确认!$B:$B,))+0.2)*AO323)*IF(J323=$FF$17,1+$FE$17,1)*IF(I323=$FF$14,1+$FE$14,1)*(1+$FE$15)</f>
        <v>26148.865585439999</v>
      </c>
      <c r="AT323" s="1093">
        <f>IF(AND(INDEX('卡片raw data'!AK:AK,MATCH($D323,'卡片raw data'!$F:$F,))&lt;INDEX('卡片raw data'!AM:AM,MATCH($D323,'卡片raw data'!$F:$F,)),INDEX('卡片raw data'!AL:AL,MATCH($D323,'卡片raw data'!$F:$F,))&lt;INDEX('卡片raw data'!AM:AM,MATCH($D323,'卡片raw data'!$F:$F,))),1,0)</f>
        <v>1</v>
      </c>
      <c r="AU323" s="1098">
        <f>MIN(AT323*0.15+AS323*0.00003+INDEX(绊状态确认!M:M,MATCH($G323,绊状态确认!$B:$B,)),1)</f>
        <v>0.96446596756320002</v>
      </c>
      <c r="AV323" s="1109">
        <f>(INDEX(绊状态确认!$N:$N,MATCH($G323,绊状态确认!$B:$B,))+1.5)*$EW$21</f>
        <v>2.6599999999999997</v>
      </c>
      <c r="AW323" s="1101">
        <f t="shared" si="366"/>
        <v>50402.428808159893</v>
      </c>
      <c r="AX323" s="1097">
        <f t="shared" si="367"/>
        <v>1205.5569947359334</v>
      </c>
      <c r="AY323" s="1110">
        <f t="shared" si="368"/>
        <v>51607.985802895826</v>
      </c>
      <c r="AZ323" s="429">
        <f t="shared" si="369"/>
        <v>27903.389227999996</v>
      </c>
      <c r="BA323" s="431">
        <f t="shared" si="370"/>
        <v>33484.067073599996</v>
      </c>
      <c r="BB323" s="1097">
        <f>(AM323*(1+$FB$9)+$FB$35)*(1+(INDEX(绊状态确认!$T:$T,MATCH($G323,绊状态确认!$B:$B,))+0.2)*AO323)*IF(J323=$FF$17,1+$FE$17,1)*IF(I323=$FF$14,1+$FE$14,1)*(1+$FE$15)</f>
        <v>14017.171782639998</v>
      </c>
      <c r="BC323" s="1097">
        <f>(AN323*(1+$FB$10)+$FB$36)*(1+(INDEX(绊状态确认!$T:$T,MATCH($G323,绊状态确认!$B:$B,))+0.2)*AO323)*IF(J323=$FF$17,1+$FE$17,1)*IF(I323=$FF$14,1+$FE$14,1)*(1+$FE$15)</f>
        <v>26148.865585439999</v>
      </c>
      <c r="BD323" s="1104">
        <f>MIN(AT323*0.15+BC323*0.00003+INDEX(绊状态确认!M:M,MATCH($G323,绊状态确认!$B:$B,)),1)</f>
        <v>0.96446596756320002</v>
      </c>
      <c r="BE323" s="432">
        <f>(INDEX(绊状态确认!$N:$N,MATCH($G323,绊状态确认!$B:$B,))+1.5)</f>
        <v>1.9</v>
      </c>
      <c r="BF323" s="1139">
        <f t="array" ref="BF323">SUMPRODUCT(IF(AZ323*AP323*$FI$16:$FI$23*$FA$22&gt;=$FI$24,$FI$24,AZ323*AP323*$FI$16:$FI$23*$FA$22),$FJ$16:$FJ$23)</f>
        <v>53911.661936435994</v>
      </c>
      <c r="BG323" s="1125">
        <f t="array" ref="BG323">SUMPRODUCT(IF(BE323*AZ323*AP323*$FI$16:$FI$23*$FA$22&gt;=$FI$24,$FI$24,BE323*AZ323*AP323*$FI$16:$FI$23*$FA$22),$FJ$16:$FJ$23)</f>
        <v>60000</v>
      </c>
      <c r="BH323" s="1110">
        <f t="shared" si="371"/>
        <v>19927.885599254372</v>
      </c>
      <c r="BI323" s="1111">
        <f>IF(O323="vo",$EW$26/$EW$24*0.05,0)+IF(O323="sk",-$EW$26/$EW$24*(0.05-INDEX(绊状态确认!W:W,MATCH($G323,绊状态确认!$B:$B,)))+0.05*$EW$28,0)+IF(O323="sp",0.05*$EW$32*$EW$30*(1-$EW$33)-(0.05-INDEX(绊状态确认!V:V,MATCH($G323,绊状态确认!$B:$B,)))*$EW$28,0)+IF(O323="gd",-(0.05-INDEX(绊状态确认!X:X,MATCH($G323,绊状态确认!$B:$B,)))*$EW$32*$EW$30*(1-$EW$33),0)</f>
        <v>19.999999999999886</v>
      </c>
      <c r="BJ323" s="1097">
        <f>IF(O323="vo",0.05*(1-$FI$26)*$FA$24,0)+IF(O323="sk",-(0.05-INDEX(绊状态确认!W:W,MATCH($G323,绊状态确认!$B:$B,)))*(1-$FI$26)*$FA$24+0.05*$FA$26,0)+IF(O323="sp",0.05*$FA$32*$FA$27*(1-$FA$33)/$FA$30+0.05*$FA$29/$FA$69*$FA$27*(1-$FA$33)-(0.05-INDEX(绊状态确认!V:V,MATCH($G323,绊状态确认!$B:$B,)))*$FA$26,0)+IF(O323="gd",-(0.05-INDEX(绊状态确认!X:X,MATCH($G323,绊状态确认!$B:$B,)))*$FA$32*$FA$27*(1-$FA$33)/$FA$30-(0.05-INDEX(绊状态确认!X:X,MATCH($G323,绊状态确认!$B:$B,)))*$FA$29/$FA$69*$FA$27*(1-$FA$33),0)</f>
        <v>545.83333333333326</v>
      </c>
      <c r="BK323" s="1110">
        <f>IF(O323="vo",$EW$26/$EW$24*0.05+$EW$26*(-HP($EW$62,$EW$65,$EW$64)+HP($EW$62,$EW$65,(1.05-INDEX(绊状态确认!U:U,MATCH($G323,绊状态确认!$B:$B,)))*$EW$64)),0)+IF(O323="sk",-$EW$26/$EW$24*(0.05-INDEX(绊状态确认!W:W,MATCH($G323,绊状态确认!$B:$B,)))+0.05*$EW$29,0)+IF(O323="sp",0.05*$EW$32*$EW$30*(1-$EW$33)-(0.05-INDEX(绊状态确认!V:V,MATCH($G323,绊状态确认!$B:$B,)))*$EW$29,0)+IF(O323="gd",-(0.05-INDEX(绊状态确认!X:X,MATCH($G323,绊状态确认!$B:$B,)))*$EW$32*$EW$30*(1-$EW$33)+$EW$26*(-HP($EW$62,$EW$65,$EW$64)+HP($EW$62,$EW$65,0.95*$EW$64)),0)</f>
        <v>-1780.0000000000005</v>
      </c>
      <c r="BL323" s="1111">
        <f t="shared" si="372"/>
        <v>0</v>
      </c>
      <c r="BM323" s="1110">
        <f t="shared" si="373"/>
        <v>0</v>
      </c>
      <c r="BN323" s="1113">
        <f t="shared" si="374"/>
        <v>4</v>
      </c>
      <c r="BO323" s="1108">
        <f t="shared" si="375"/>
        <v>6010.2953161679998</v>
      </c>
      <c r="BP323" s="1100">
        <f t="shared" si="376"/>
        <v>295.12137612040135</v>
      </c>
      <c r="BQ323" s="1113" t="s">
        <v>132</v>
      </c>
      <c r="BR323" s="1124" t="s">
        <v>171</v>
      </c>
      <c r="BS323" s="1098">
        <f>IF($P323="","N/A",IF($P323=-1,INDEX('卡片raw data'!AX:AX,MATCH($D323,'卡片raw data'!$F:$F,)),0)+IF($L323="party卡",IF($P323=5,INDEX('卡片raw data'!BD:BD,MATCH($D323,'卡片raw data'!$F:$F,)),IF($P323&gt;=3,INDEX('卡片raw data'!BC:BC,MATCH($D323,'卡片raw data'!$F:$F,)),INDEX('卡片raw data'!BB:BB,MATCH($D323,'卡片raw data'!$F:$F,)))),IF(OR(AND($F323="UR",$P323=0),AND($F323="SR",$P323&gt;=0,$P323&lt;=2),AND($F323="R",$P323&gt;=0,$P323&lt;4)),INDEX('卡片raw data'!AZ:AZ,MATCH($D323,'卡片raw data'!$F:$F,)),0)+IF(OR(AND($F323="UR",$P323&gt;=1,$P323&lt;=4),AND($F323="SR",$P323&lt;=4,$P323&gt;=3),AND($F323="R",$P323=4)),INDEX('卡片raw data'!BA:BA,MATCH($D323,'卡片raw data'!$F:$F,)),0)+IF($P323=5,INDEX('卡片raw data'!BB:BB,MATCH($D323,'卡片raw data'!$F:$F,)),0)))</f>
        <v>5.1999999999999998E-2</v>
      </c>
      <c r="BT323" s="1101">
        <f t="shared" si="377"/>
        <v>2604.4613036728001</v>
      </c>
      <c r="BU323" s="1097">
        <f t="shared" si="378"/>
        <v>111.90018844565216</v>
      </c>
      <c r="BV323" s="1097">
        <f t="shared" si="379"/>
        <v>1302.2306518363998</v>
      </c>
      <c r="BW323" s="1112">
        <f t="shared" si="380"/>
        <v>0</v>
      </c>
      <c r="BX323" s="1100">
        <f t="shared" si="381"/>
        <v>2604.4613036728001</v>
      </c>
      <c r="BY323" s="1110">
        <f t="shared" si="382"/>
        <v>1302.2306518363998</v>
      </c>
      <c r="BZ323" s="1113" t="s">
        <v>569</v>
      </c>
      <c r="CA323" s="1124"/>
      <c r="CB323" s="1098">
        <f>IF($P323="","N/A",IF($P323=-1,INDEX('卡片raw data'!BE:BE,MATCH($D323,'卡片raw data'!$F:$F,)),0)+IF($L323="party卡",IF($P323=5,INDEX('卡片raw data'!BK:BK,MATCH($D323,'卡片raw data'!$F:$F,)),IF($P323&gt;=3,INDEX('卡片raw data'!BJ:BJ,MATCH($D323,'卡片raw data'!$F:$F,)),INDEX('卡片raw data'!BI:BI,MATCH($D323,'卡片raw data'!$F:$F,)))),IF(OR(AND($F323="UR",$P323=0),AND($F323="SR",$P323&gt;=0,$P323&lt;=2),AND($F323="R",$P323&gt;=0,$P323&lt;4)),INDEX('卡片raw data'!BG:BG,MATCH($D323,'卡片raw data'!$F:$F,)),0)+IF(OR(AND($F323="UR",$P323&gt;=1,$P323&lt;=4),AND($F323="SR",$P323&lt;=4,$P323&gt;=3),AND($F323="R",$P323=4)),INDEX('卡片raw data'!BH:BH,MATCH($D323,'卡片raw data'!$F:$F,)),0)+IF($P323=5,INDEX('卡片raw data'!BI:BI,MATCH($D323,'卡片raw data'!$F:$F,)),0)))</f>
        <v>0</v>
      </c>
      <c r="CC323" s="1101">
        <f t="shared" si="383"/>
        <v>0</v>
      </c>
      <c r="CD323" s="1097">
        <f>IF(BZ323="ap",CB323*(1-$FI$26)*$FB$5/$FB$11*(+IF(CA323="全员",$FA$24,0)+IF(CA323="同作战",$FA$24,0)+IF(CA323="仲间",$FA$24*2/3,0)+IF(CA323="同属性",$FA$24*$FA$37/3,0)+IF(CA323="同年级",$FA$24*$FA$40/3,0)+IF(CA323="同学校",$FA$24*$FA$43/3,0)+IF(CA323="同小队",$FA$24*$FA$46/3,0)+IF(CA323="同type",$FA$24*INDEX($FB$49:$FB$52,MATCH(X323,$FA$49:$FA$52,))/3,0)+IF(CA323="自身",#REF!/3,0)),0)+IF(BZ323="te",CB323*(1-$FI$27)*($FA$20-1)*$FB$7/$FB$13*(+IF(CA323="全员",$FA$19*$FA$24/(1+($FA$20-1)*$FA$19),0)+IF(CA323="同作战",$FA$19*$FA$24/(1+($FA$20-1)*$FA$19),0)+IF(CA323="仲间",$FA$19*$FA$24*2/3/(1+($FA$20-1)*$FA$19),0)+IF(CA323="同属性",$FA$19*$FA$24*$FA$37/3/(1+($FA$20-1)*$FA$19),0)+IF(CA323="同年级",$FA$19*$FA$24*$FA$40/3/(1+($FA$20-1)*$FA$19),0)+IF(CA323="同学校",$FA$19*$FA$24*$FA$43/3/(1+($FA$20-1)*$FA$19),0)+IF(CA323="同小队",$FA$19*$FA$24*$FA$46/3/(1+($FA$20-1)*$FA$19),0)+IF(CA323="同type",$FA$19*$FA$24*INDEX($FB$49:$FB$52,MATCH(X323,$FA$49:$FA$52,))/3/(1+($FA$20-1)*$FA$19),0)+IF(CA323="自身",$FA$19*#REF!/3/(1+(BH323-1)*$BD323),0)),0)</f>
        <v>0</v>
      </c>
      <c r="CE323" s="1097">
        <f t="shared" si="384"/>
        <v>0</v>
      </c>
      <c r="CF323" s="1112">
        <f t="shared" si="385"/>
        <v>0</v>
      </c>
      <c r="CG323" s="1100">
        <f t="shared" si="386"/>
        <v>0</v>
      </c>
      <c r="CH323" s="1110">
        <f t="shared" si="387"/>
        <v>0</v>
      </c>
      <c r="CI323" s="1113" t="s">
        <v>160</v>
      </c>
      <c r="CJ323" s="1114">
        <v>1</v>
      </c>
      <c r="CK323" s="1115" t="s">
        <v>256</v>
      </c>
      <c r="CL323" s="1115" t="s">
        <v>1940</v>
      </c>
      <c r="CM323" s="1119">
        <v>6.6000000000000003E-2</v>
      </c>
      <c r="CN323" s="1115"/>
      <c r="CO323" s="1092">
        <v>10</v>
      </c>
      <c r="CP323" s="1116">
        <f t="shared" si="388"/>
        <v>87.950314720714303</v>
      </c>
      <c r="CQ323" s="1116">
        <f t="shared" si="389"/>
        <v>122.77491260319999</v>
      </c>
      <c r="CR323" s="1116">
        <f t="shared" si="390"/>
        <v>87.950314720714303</v>
      </c>
      <c r="CS323" s="1118">
        <f t="shared" si="391"/>
        <v>0</v>
      </c>
      <c r="CT323" s="1109">
        <f t="shared" si="392"/>
        <v>0</v>
      </c>
      <c r="CU323" s="1101">
        <f t="shared" si="393"/>
        <v>125.76895005062147</v>
      </c>
      <c r="CV323" s="1108">
        <f t="shared" si="394"/>
        <v>0</v>
      </c>
      <c r="CW323" s="1097">
        <f t="shared" si="395"/>
        <v>125.76895005062147</v>
      </c>
      <c r="CX323" s="1097">
        <f t="shared" si="396"/>
        <v>125.76895005062147</v>
      </c>
      <c r="CY323" s="1110">
        <f t="shared" si="397"/>
        <v>125.76895005062147</v>
      </c>
      <c r="CZ323" s="437"/>
      <c r="DA323" s="438"/>
      <c r="DB323" s="439" t="s">
        <v>569</v>
      </c>
      <c r="DC323" s="439"/>
      <c r="DD323" s="443"/>
      <c r="DE323" s="411"/>
      <c r="DF323" s="411"/>
      <c r="DG323" s="1116">
        <f t="shared" si="398"/>
        <v>0</v>
      </c>
      <c r="DH323" s="1116">
        <f t="shared" si="399"/>
        <v>0</v>
      </c>
      <c r="DI323" s="1116">
        <f t="shared" si="400"/>
        <v>0</v>
      </c>
      <c r="DJ323" s="442">
        <f t="shared" si="401"/>
        <v>0</v>
      </c>
      <c r="DK323" s="1109">
        <f t="shared" si="402"/>
        <v>0</v>
      </c>
      <c r="DL323" s="1101">
        <f t="shared" si="403"/>
        <v>0</v>
      </c>
      <c r="DM323" s="1097">
        <f t="shared" si="404"/>
        <v>0</v>
      </c>
      <c r="DN323" s="1097">
        <f t="shared" si="405"/>
        <v>0</v>
      </c>
      <c r="DO323" s="1097">
        <f t="shared" si="406"/>
        <v>0</v>
      </c>
      <c r="DP323" s="1110">
        <f t="shared" si="407"/>
        <v>0</v>
      </c>
      <c r="DQ323" s="1113" t="s">
        <v>549</v>
      </c>
      <c r="DR323" s="1120">
        <f t="shared" si="408"/>
        <v>0.33</v>
      </c>
      <c r="DS323" s="1124"/>
      <c r="DT323" s="1093" t="s">
        <v>179</v>
      </c>
      <c r="DU323" s="1093"/>
      <c r="DV323" s="1098">
        <f>IF($P323="","N/A",IF(P323=-1,INDEX('卡片raw data'!AN:AN,MATCH(D323,'卡片raw data'!$F:$F,)),0)+IF(AND(L323&lt;&gt;"party卡",P323&lt;=2,P323&gt;=0),INDEX('卡片raw data'!AP:AP,MATCH(D323,'卡片raw data'!$F:$F,)),0)+IF(OR(AND(L323="party卡",P323&lt;=1),AND(P323&lt;=4,L323&lt;&gt;"party卡",P323&gt;=3)),INDEX('卡片raw data'!AQ:AQ,MATCH(D323,'卡片raw data'!$F:$F,)),0)+IF(OR(P323=5,AND(L323="party卡",P323&gt;=2)),INDEX('卡片raw data'!AR:AR,MATCH(D323,'卡片raw data'!$F:$F,)),0))</f>
        <v>0.09</v>
      </c>
      <c r="DW323" s="1098">
        <f t="shared" si="409"/>
        <v>0.33</v>
      </c>
      <c r="DX323" s="1098">
        <f t="shared" si="410"/>
        <v>0.33</v>
      </c>
      <c r="DY323" s="1098">
        <f t="shared" si="411"/>
        <v>9.9000000000000008E-3</v>
      </c>
      <c r="DZ323" s="1098">
        <f t="shared" si="412"/>
        <v>9.8480249999999998E-3</v>
      </c>
      <c r="EA323" s="1098">
        <f t="shared" si="413"/>
        <v>0</v>
      </c>
      <c r="EB323" s="1121">
        <f t="shared" si="414"/>
        <v>60.337777499999987</v>
      </c>
      <c r="EC323" s="1101">
        <f t="shared" si="415"/>
        <v>4455</v>
      </c>
      <c r="ED323" s="1097">
        <f t="shared" si="416"/>
        <v>2462.0062499999999</v>
      </c>
      <c r="EE323" s="1110">
        <f t="shared" si="417"/>
        <v>4455</v>
      </c>
      <c r="EF323" s="1115" t="s">
        <v>569</v>
      </c>
      <c r="EG323" s="1120">
        <f t="shared" si="418"/>
        <v>0.33</v>
      </c>
      <c r="EH323" s="1124"/>
      <c r="EI323" s="1093"/>
      <c r="EJ323" s="1093"/>
      <c r="EK323" s="1097">
        <f>IF($P323="","N/A",IF(P323=-1,INDEX('卡片raw data'!AS:AS,MATCH(D323,'卡片raw data'!$F:$F,)),0)+IF(AND(L323&lt;&gt;"party卡",P323&lt;=2,P323&gt;=0),INDEX('卡片raw data'!AU:AU,MATCH(D323,'卡片raw data'!$F:$F,)),0)+IF(OR(AND(L323="party卡",P323&lt;=1),AND(P323&lt;=4,L323&lt;&gt;"party卡",P323&gt;=3)),INDEX('卡片raw data'!AV:AV,MATCH(D323,'卡片raw data'!$F:$F,)),0)+IF(OR(P323=5,AND(L323="party卡",P323&gt;=2)),INDEX('卡片raw data'!AW:AW,MATCH(D323,'卡片raw data'!$F:$F,)),0))</f>
        <v>0</v>
      </c>
      <c r="EL323" s="1098">
        <f t="shared" si="419"/>
        <v>0.33</v>
      </c>
      <c r="EM323" s="1098">
        <f t="shared" si="420"/>
        <v>0.33</v>
      </c>
      <c r="EN323" s="1097">
        <f t="shared" si="421"/>
        <v>0</v>
      </c>
      <c r="EO323" s="1125">
        <f t="shared" si="422"/>
        <v>0</v>
      </c>
      <c r="EP323" s="1098">
        <f t="shared" si="423"/>
        <v>0</v>
      </c>
      <c r="EQ323" s="1121">
        <f t="shared" si="424"/>
        <v>0</v>
      </c>
      <c r="ER323" s="1101">
        <f t="shared" si="425"/>
        <v>0</v>
      </c>
      <c r="ES323" s="1097">
        <f t="shared" si="426"/>
        <v>0</v>
      </c>
      <c r="ET323" s="1122">
        <f t="shared" si="427"/>
        <v>0</v>
      </c>
    </row>
    <row r="324" spans="2:150" ht="16.5" customHeight="1">
      <c r="B324" s="1123" t="str">
        <f>INDEX('卡片raw data'!B:B,MATCH($D324,'卡片raw data'!$F:$F,))</f>
        <v>五单果</v>
      </c>
      <c r="C324" s="449" t="s">
        <v>1138</v>
      </c>
      <c r="D324" s="408">
        <v>321</v>
      </c>
      <c r="E324" s="1090">
        <v>300012002</v>
      </c>
      <c r="F324" s="1090" t="str">
        <f>INDEX('卡片raw data'!C:C,MATCH($D324,'卡片raw data'!$F:$F,))</f>
        <v>SR</v>
      </c>
      <c r="G324" s="1094" t="s">
        <v>1152</v>
      </c>
      <c r="H324" s="411">
        <f>IFERROR(INDEX(绊状态确认!C:C,MATCH($G324,绊状态确认!$B:$B,)),"")</f>
        <v>1</v>
      </c>
      <c r="I324" s="1124" t="str">
        <f>IFERROR(INDEX(绊状态确认!D:D,MATCH($G324,绊状态确认!$B:$B,)),"")</f>
        <v>缪</v>
      </c>
      <c r="J324" s="1124" t="str">
        <f>IFERROR(INDEX(绊状态确认!E:E,MATCH($G324,绊状态确认!$B:$B,)),"")</f>
        <v>2年级</v>
      </c>
      <c r="K324" s="451" t="str">
        <f>IFERROR(INDEX(绊状态确认!F:F,MATCH($G324,绊状态确认!$B:$B,)),"")</f>
        <v>Printemps</v>
      </c>
      <c r="L324" s="1094" t="str">
        <f>INDEX('卡片raw data'!E:E,MATCH($D324,'卡片raw data'!$F:$F,))</f>
        <v>卡池卡</v>
      </c>
      <c r="M324" s="415">
        <v>44104</v>
      </c>
      <c r="N324" s="416">
        <v>24.5</v>
      </c>
      <c r="O324" s="1091" t="str">
        <f>INDEX('卡片raw data'!D:D,MATCH($D324,'卡片raw data'!$F:$F,))</f>
        <v>gd</v>
      </c>
      <c r="P324" s="1126">
        <v>5</v>
      </c>
      <c r="Q324" s="1095">
        <f t="shared" ref="Q324:Q387" si="428">IF($P324="",0,AW324+BI324+BO324+BT324+CU324+EC324+ER324+CC324+DL324+BL324)</f>
        <v>19591.724701144663</v>
      </c>
      <c r="R324" s="1096">
        <f t="shared" ref="R324:R387" si="429">_xlfn.FLOOR.MATH(IF($P324="","N/A",Q324/$EW$81)*1000)/1000</f>
        <v>0.22700000000000001</v>
      </c>
      <c r="S324" s="1097">
        <f t="shared" ref="S324:S387" si="430">IF($P324="",0,BH324+BJ324+BP324+BU324+CV324+ED324+ES324+CD324+DM324+BM324)</f>
        <v>11539.266835750106</v>
      </c>
      <c r="T324" s="1098">
        <f t="shared" ref="T324:T387" si="431">_xlfn.FLOOR.MATH(IF($P324="","N/A",S324/($FI$24/3))*1000)/1000</f>
        <v>0.57599999999999996</v>
      </c>
      <c r="U324" s="1099">
        <f t="shared" ref="U324:U387" si="432">$EW$64*(IF(O324="vo",-0.05)+IF(O324="gd",0.05))+CP324*(IF(CK324="减伤",$EW$64*(1-$EW$75))+IF(OR(CK324="加盾",AND(CK324="回血",OR(CI324&lt;&gt;"切队",CO324=""))),1))+DG324*(IF(DB324="减伤",$EW$64*(1-$EW$75))+IF(OR(DB324="加盾",AND(DB324="回血",OR(CZ324&lt;&gt;"切队",DF324=""))),1))+AR324*$EW$78/$EW$65+BW324+CF324+DY324*(1+IF(O324="sk",0.05)+IF(O324="sp",-0.05))*(IF(DQ324="减伤",$EW$64*(1-$EW$75))+IF(OR(DQ324="回血",DQ324="加盾"),1))+EN324*(1+IF(O324="sk",0.05)+IF(O324="sp",-0.05))*(IF(EF324="减伤",$EW$64*(1-$EW$75))+IF(OR(EF324="回血",EF324="加盾"),1))</f>
        <v>521.7444684346583</v>
      </c>
      <c r="V324" s="1100">
        <f t="shared" ref="V324:V387" si="433">IF($P324="",0,AY324+BK324+BO324+BX324+CX324+EE324+ET324+CG324+DO324+BL324)</f>
        <v>70993.936592587284</v>
      </c>
      <c r="W324" s="1101">
        <f t="shared" ref="W324:W387" si="434">IF($P324="",0,BO324+BV324+CW324+CE324+DN324)</f>
        <v>4507.7214871259994</v>
      </c>
      <c r="X324" s="1096">
        <f t="shared" ref="X324:X387" si="435">_xlfn.FLOOR.MATH(IF($P324="","N/A",W324/$EW$81)*1000)/1000</f>
        <v>5.1999999999999998E-2</v>
      </c>
      <c r="Y324" s="1097">
        <f t="shared" ref="Y324:Y387" si="436">IF($P324="",0,AA324-W324)</f>
        <v>3020.0378965342943</v>
      </c>
      <c r="Z324" s="1102">
        <f t="shared" ref="Z324:Z387" si="437">CP324*IF(OR(CI324="ap时",CI324="ct时"),0,1)*(IF(CK324="减伤",$EW$64*(1-$EW$75))+IF(OR(CK324="加盾",AND(CK324="回血",OR(CI324&lt;&gt;"切队",CO324=""))),1))+DG324*IF(OR(CZ324="ap时",CZ324="ct时"),0,1)*(IF(DB324="减伤",$EW$64*(1-$EW$75))+IF(OR(DB324="加盾",AND(DB324="回血",OR(CZ324&lt;&gt;"切队",DF324=""))),1))+AR324*$EW$78/$EW$65+BW324+CF324</f>
        <v>37.434356879714393</v>
      </c>
      <c r="AA324" s="1103">
        <f t="shared" ref="AA324:AA387" si="438">IF($P324="",0,BO324+BY324+CY324+AX324+CH324+DP324)</f>
        <v>7527.7593836602937</v>
      </c>
      <c r="AB324" s="1101">
        <f t="shared" ref="AB324:AB387" si="439">IF($P324="",0,BT324+CU324+BO324+CC324+DL324)</f>
        <v>4507.7214871259994</v>
      </c>
      <c r="AC324" s="1104">
        <f t="shared" ref="AC324:AC387" si="440">_xlfn.FLOOR.MATH(IF($P324="","N/A",AB324/$EW$81)*1000)/1000</f>
        <v>5.1999999999999998E-2</v>
      </c>
      <c r="AD324" s="1105">
        <f t="shared" ref="AD324:AD387" si="441">CS324+DJ324+EA324+EP324+IF(O324="sp",-0.05*FM$14*FM$15/2)+IF(O324="sk",0.05*FM$14*FM$15/2)+IF(O324="sk",FM$11^2/(3-FM$11)*FM$12)-IF(O324="sk",FM$10,FM$9)*IF(O324="sk",FM$18,FM$17)*($FM$14-DR324)</f>
        <v>-3.8207812500000026E-3</v>
      </c>
      <c r="AE324" s="1128">
        <f t="shared" ref="AE324:AE387" si="442">AD324/FM$18*FM$29+CT324+DK324+EB324+EQ324+IF(O324="sp",0.05*$FM$9*3*FM$26)-IF(O324="gd",0.05*$FM$9*3*FM$26)+IF(O324="sp",300*1/3*$FM$11/2)+IF(O324="sk",FM$11^2/(3-FM$11)*FM$13)+IF(F324="R",-100*IF(O324="sk",FM$10,FM$9))+IF(F324="SR",-50*IF(O324="sk",FM$10,FM$9))</f>
        <v>-18.525362318840578</v>
      </c>
      <c r="AF324" s="1130">
        <f t="shared" ref="AF324:AF387" si="443">IF(OR(DQ324="回血",DQ324="加盾"),EN324/EL324*3*2*IF(EG324=0.11,$EW$71,$EW$70)+DY324/DW324*3*2*IF(DR324=0.11,$EW$71,$EW$70)+IF(O324="gd",AR324*0.05)+IF(OR(CK324="回血",CK324="加盾"),-(CR324-CP324)*6)+IF(AND(CI324="切队",CO324=""),CP324/$EW$79*$EW$65*2),0)</f>
        <v>7148.0136110738149</v>
      </c>
      <c r="AG324" s="420">
        <f t="shared" ref="AG324:AG387" si="444">IF(OR(DQ324="回血",DQ324="加盾"),MAX($EW$64*$EW$65*IF(CK324="减伤",(1-IF(CI324="切队",IF(CO324&lt;&gt;"",MAX(CO324/$EW$79,1),0),1)*CR324),1)-$EW$62*0.3+$EX$17-AR324-(BW324+CF324)/$EW$78*$EW$65-IF(OR(CK324="回血",CK324="加盾"),IF(CI324="切队",IF(CO324&lt;&gt;"",MAX(CO324/$EW$79,1),0),1)*CR324*$EW$65),0),0)</f>
        <v>94756.321383415576</v>
      </c>
      <c r="AH324" s="420">
        <f t="shared" ref="AH324:AH387" si="445">IFERROR(AG324/AF324,0)</f>
        <v>13.256315186168308</v>
      </c>
      <c r="AI324" s="1097">
        <f t="shared" ref="AI324:AI387" si="446">IF(OR(DQ324="回血",DQ324="加盾"),$EW$26*(1-$EW$66)/$EW$66-AH324*(($EW$26*IF(O324="sk",14/3-8/3*$EW$68,5-3*$EW$68)-2*3*Q324*$EW$69)/$EW$66)/$EW$65+($EW$26/3+$EW$26/$EW$24*0.05+$EW$61*4*$EW$26*$EX$5/$EX$11+$EW$28)-($EW$72-W324),0)</f>
        <v>100521.05147898619</v>
      </c>
      <c r="AJ324" s="420">
        <f t="shared" ref="AJ324:AJ387" si="447">IF(OR(DQ324="回血",DQ324="加盾"),V324,0)</f>
        <v>70993.936592587284</v>
      </c>
      <c r="AK324" s="518">
        <f t="shared" ref="AK324:AK387" si="448">IFERROR(AI324-AJ324,"")</f>
        <v>29527.114886398907</v>
      </c>
      <c r="AL324" s="1106">
        <f>IF($P324="","N/A",(IF($P324=-1,INDEX('卡片raw data'!S:S,MATCH($D324,'卡片raw data'!$F:$F,)),0)+IF($P324=0,INDEX('卡片raw data'!V:V,MATCH($D324,'卡片raw data'!$F:$F,)),0)+IF($P324=1,INDEX('卡片raw data'!Y:Y,MATCH($D324,'卡片raw data'!$F:$F,)),0)+IF($P324=2,INDEX('卡片raw data'!AB:AB,MATCH($D324,'卡片raw data'!$F:$F,)),0)+IF($P324=3,INDEX('卡片raw data'!AE:AE,MATCH($D324,'卡片raw data'!$F:$F,)),0)+IF($P324=4,INDEX('卡片raw data'!AH:AH,MATCH($D324,'卡片raw data'!$F:$F,)),0)+IF($P324=5,INDEX('卡片raw data'!AK:AK,MATCH($D324,'卡片raw data'!$F:$F,)),0)+INDEX('卡片raw data'!S:S,MATCH($D324,'卡片raw data'!$F:$F,))*(IF($F324="UR",0.04,0.033))*(IF($F324="UR",INDEX(绊状态确认!$S:$S,MATCH($G324,绊状态确认!$B:$B,))/2-40)+IF($F324="SR",INDEX(绊状态确认!$R:$R,MATCH($G324,绊状态确认!$B:$B,))/4-15))+IF($F324="R",INDEX(绊状态确认!$Q:$Q,MATCH($G324,绊状态确认!$B:$B,))/6-40/6)))*(INDEX(绊状态确认!$H:$H,MATCH($G324,绊状态确认!$B:$B,))+INDEX(绊状态确认!J:J,MATCH($G324,绊状态确认!$B:$B,)))</f>
        <v>6096.976915199999</v>
      </c>
      <c r="AM324" s="1106">
        <f>IF($P324="","N/A",(IF($P324=-1,INDEX('卡片raw data'!T:T,MATCH($D324,'卡片raw data'!$F:$F,)),0)+IF($P324=0,INDEX('卡片raw data'!W:W,MATCH($D324,'卡片raw data'!$F:$F,)),0)+IF($P324=1,INDEX('卡片raw data'!Z:Z,MATCH($D324,'卡片raw data'!$F:$F,)),0)+IF($P324=2,INDEX('卡片raw data'!AC:AC,MATCH($D324,'卡片raw data'!$F:$F,)),0)+IF($P324=3,INDEX('卡片raw data'!AF:AF,MATCH($D324,'卡片raw data'!$F:$F,)),0)+IF($P324=4,INDEX('卡片raw data'!AI:AI,MATCH($D324,'卡片raw data'!$F:$F,)),0)+IF($P324=5,INDEX('卡片raw data'!AL:AL,MATCH($D324,'卡片raw data'!$F:$F,)),0)+INDEX('卡片raw data'!T:T,MATCH($D324,'卡片raw data'!$F:$F,))*(IF($F324="UR",0.04,0.033))*(IF($F324="UR",INDEX(绊状态确认!$S:$S,MATCH($G324,绊状态确认!$B:$B,))/2-40)+IF($F324="SR",INDEX(绊状态确认!$R:$R,MATCH($G324,绊状态确认!$B:$B,))/4-15))+IF($F324="R",INDEX(绊状态确认!$Q:$Q,MATCH($G324,绊状态确认!$B:$B,))/6-40/6)))*(INDEX(绊状态确认!$H:$H,MATCH($G324,绊状态确认!$B:$B,))+INDEX(绊状态确认!K:K,MATCH($G324,绊状态确认!$B:$B,)))</f>
        <v>8534.389000799998</v>
      </c>
      <c r="AN324" s="1106">
        <f>IF($P324="","N/A",(IF($P324=-1,INDEX('卡片raw data'!U:U,MATCH($D324,'卡片raw data'!$F:$F,)),0)+IF($P324=0,INDEX('卡片raw data'!X:X,MATCH($D324,'卡片raw data'!$F:$F,)),0)+IF($P324=1,INDEX('卡片raw data'!AA:AA,MATCH($D324,'卡片raw data'!$F:$F,)),0)+IF($P324=2,INDEX('卡片raw data'!AD:AD,MATCH($D324,'卡片raw data'!$F:$F,)),0)+IF($P324=3,INDEX('卡片raw data'!AG:AG,MATCH($D324,'卡片raw data'!$F:$F,)),0)+IF($P324=4,INDEX('卡片raw data'!AJ:AJ,MATCH($D324,'卡片raw data'!$F:$F,)),0)+IF($P324=5,INDEX('卡片raw data'!AM:AM,MATCH($D324,'卡片raw data'!$F:$F,)),0)+INDEX('卡片raw data'!U:U,MATCH($D324,'卡片raw data'!$F:$F,))*(IF($F324="UR",0.04,0.033))*(IF($F324="UR",INDEX(绊状态确认!$S:$S,MATCH($G324,绊状态确认!$B:$B,))/2-40)+IF($F324="SR",INDEX(绊状态确认!$R:$R,MATCH($G324,绊状态确认!$B:$B,))/4-15))+IF($F324="R",INDEX(绊状态确认!$Q:$Q,MATCH($G324,绊状态确认!$B:$B,))/6-40/6)))*(INDEX(绊状态确认!$H:$H,MATCH($G324,绊状态确认!$B:$B,))+INDEX(绊状态确认!L:L,MATCH($G324,绊状态确认!$B:$B,)))</f>
        <v>5688.0274655999992</v>
      </c>
      <c r="AO324" s="1107">
        <f t="shared" ref="AO324:AO387" si="449">IF(OR($FE$5=C324,$FE$5="全"),1,0)</f>
        <v>1</v>
      </c>
      <c r="AP324" s="1131">
        <f>1+(INDEX(绊状态确认!$T:$T,MATCH($G324,绊状态确认!$B:$B,))+0.2)*$AO324</f>
        <v>1.3</v>
      </c>
      <c r="AQ324" s="1108">
        <f t="shared" ref="AQ324:AQ387" si="450">(AL324*(1+$EX$8)+$EX$34)*(1+$EW$15)*IF(AO324=0,1-$FE$6,1)*IF(AO324=1,1+$FE$7,1)*IF(O324="vo",1+$FE$8,1)*IF(O324="gd",1+$FE$9,1)*IF(O324="sp",1+$FE$10,1)*IF(O324="sk",1+$FE$11,1)*IF(I324=$FF$12,1+$FE$12,1)*IF(I324=$FF$13,1,1-$FE$13)*IF(I324=$FF$14,1+$FE$14,1)*IF(J324=$FF$16,1+$FE$16,1)*IF(J324=$FF$17,1+$FE$17,1)*IF(K324=$FF$18,1+$FE$18,1)*(1+$FE$15)</f>
        <v>19254.564402399999</v>
      </c>
      <c r="AR324" s="1097">
        <f>(AM324*(1+$EX$9)+$EX$35)*(1+(INDEX(绊状态确认!$T:$T,MATCH($G324,绊状态确认!$B:$B,))+0.2)*AO324)*IF(J324=$FF$17,1+$FE$17,1)*IF(I324=$FF$14,1+$FE$14,1)</f>
        <v>14353.440986091999</v>
      </c>
      <c r="AS324" s="1097">
        <f>(AN324*(1+$EX$10)+$EX$36)*(1+(INDEX(绊状态确认!$T:$T,MATCH($G324,绊状态确认!$B:$B,))+0.2)*AO324)*IF(J324=$FF$17,1+$FE$17,1)*IF(I324=$FF$14,1+$FE$14,1)</f>
        <v>12559.601061071999</v>
      </c>
      <c r="AT324" s="1093">
        <f>IF(AND(INDEX('卡片raw data'!AK:AK,MATCH($D324,'卡片raw data'!$F:$F,))&lt;INDEX('卡片raw data'!AM:AM,MATCH($D324,'卡片raw data'!$F:$F,)),INDEX('卡片raw data'!AL:AL,MATCH($D324,'卡片raw data'!$F:$F,))&lt;INDEX('卡片raw data'!AM:AM,MATCH($D324,'卡片raw data'!$F:$F,))),1,0)</f>
        <v>0</v>
      </c>
      <c r="AU324" s="1098">
        <f>MIN(AT324*0.15+AS324*0.00003+INDEX(绊状态确认!M:M,MATCH($G324,绊状态确认!$B:$B,)),1)</f>
        <v>0.40678803183216</v>
      </c>
      <c r="AV324" s="1109">
        <f>(INDEX(绊状态确认!$N:$N,MATCH($G324,绊状态确认!$B:$B,))+1.5)*$EW$21</f>
        <v>2.6599999999999997</v>
      </c>
      <c r="AW324" s="1101">
        <f t="shared" ref="AW324:AW387" si="451">AQ324*(1+(AV324-1)*AU324)*(AP324)*(1+EW$25)*EW$66/3*$EW$24</f>
        <v>16752.336547351995</v>
      </c>
      <c r="AX324" s="1097">
        <f t="shared" ref="AX324:AX387" si="452">$EW$26*(HP($EW$62,$EW$65,$EW$64-AR324*$EW$78/$EW$65)/$EW$66-1)</f>
        <v>1235.3958350879068</v>
      </c>
      <c r="AY324" s="1110">
        <f t="shared" ref="AY324:AY387" si="453">AW324+AX324</f>
        <v>17987.732382439903</v>
      </c>
      <c r="AZ324" s="429">
        <f t="shared" ref="AZ324:AZ387" si="454">(AL324*(1+$FB$8)+$FB$34)*IF(AO324=0,1-$FE$6,1)*IF(AO324=1,1+$FE$7,1)*IF(O324="vo",1+$FE$8,1)*IF(O324="gd",1+$FE$9,1)*IF(O324="sp",1+$FE$10,1)*IF(O324="sk",1+$FE$11,1)*IF(I324=$FF$12,1+$FE$12,1)*IF(I324=$FF$13,1,1-$FE$13)*IF(I324=$FF$14,1+$FE$14,1)*IF(J324=$FF$16,1+$FE$16,1)*IF(J324=$FF$17,1+$FE$17,1)*IF(K324=$FF$18,1+$FE$18,1)*(1+$FE$15)</f>
        <v>14489.104984639998</v>
      </c>
      <c r="BA324" s="431">
        <f t="shared" ref="BA324:BA387" si="455">AZ324*(1+$FA$15)</f>
        <v>17386.925981567998</v>
      </c>
      <c r="BB324" s="1097">
        <f>(AM324*(1+$FB$9)+$FB$35)*(1+(INDEX(绊状态确认!$T:$T,MATCH($G324,绊状态确认!$B:$B,))+0.2)*AO324)*IF(J324=$FF$17,1+$FE$17,1)*IF(I324=$FF$14,1+$FE$14,1)*(1+$FE$15)</f>
        <v>14353.440986091999</v>
      </c>
      <c r="BC324" s="1097">
        <f>(AN324*(1+$FB$10)+$FB$36)*(1+(INDEX(绊状态确认!$T:$T,MATCH($G324,绊状态确认!$B:$B,))+0.2)*AO324)*IF(J324=$FF$17,1+$FE$17,1)*IF(I324=$FF$14,1+$FE$14,1)*(1+$FE$15)</f>
        <v>12559.601061071999</v>
      </c>
      <c r="BD324" s="1104">
        <f>MIN(AT324*0.15+BC324*0.00003+INDEX(绊状态确认!M:M,MATCH($G324,绊状态确认!$B:$B,)),1)</f>
        <v>0.40678803183216</v>
      </c>
      <c r="BE324" s="432">
        <f>(INDEX(绊状态确认!$N:$N,MATCH($G324,绊状态确认!$B:$B,))+1.5)</f>
        <v>1.9</v>
      </c>
      <c r="BF324" s="1139">
        <f t="array" ref="BF324">SUMPRODUCT(IF(AZ324*AP324*$FI$16:$FI$23*$FA$22&gt;=$FI$24,$FI$24,AZ324*AP324*$FI$16:$FI$23*$FA$22),$FJ$16:$FJ$23)</f>
        <v>28818.82981444896</v>
      </c>
      <c r="BG324" s="1125">
        <f t="array" ref="BG324">SUMPRODUCT(IF(BE324*AZ324*AP324*$FI$16:$FI$23*$FA$22&gt;=$FI$24,$FI$24,BE324*AZ324*AP324*$FI$16:$FI$23*$FA$22),$FJ$16:$FJ$23)</f>
        <v>53430.208418940187</v>
      </c>
      <c r="BH324" s="1110">
        <f t="shared" ref="BH324:BH387" si="456">((1-$BD324)*BF324+$BD324*BG324)/3</f>
        <v>12943.48135921536</v>
      </c>
      <c r="BI324" s="1111">
        <f>IF(O324="vo",$EW$26/$EW$24*0.05,0)+IF(O324="sk",-$EW$26/$EW$24*(0.05-INDEX(绊状态确认!W:W,MATCH($G324,绊状态确认!$B:$B,)))+0.05*$EW$28,0)+IF(O324="sp",0.05*$EW$32*$EW$30*(1-$EW$33)-(0.05-INDEX(绊状态确认!V:V,MATCH($G324,绊状态确认!$B:$B,)))*$EW$28,0)+IF(O324="gd",-(0.05-INDEX(绊状态确认!X:X,MATCH($G324,绊状态确认!$B:$B,)))*$EW$32*$EW$30*(1-$EW$33),0)</f>
        <v>-585.00000000000011</v>
      </c>
      <c r="BJ324" s="1097">
        <f>IF(O324="vo",0.05*(1-$FI$26)*$FA$24,0)+IF(O324="sk",-(0.05-INDEX(绊状态确认!W:W,MATCH($G324,绊状态确认!$B:$B,)))*(1-$FI$26)*$FA$24+0.05*$FA$26,0)+IF(O324="sp",0.05*$FA$32*$FA$27*(1-$FA$33)/$FA$30+0.05*$FA$29/$FA$69*$FA$27*(1-$FA$33)-(0.05-INDEX(绊状态确认!V:V,MATCH($G324,绊状态确认!$B:$B,)))*$FA$26,0)+IF(O324="gd",-(0.05-INDEX(绊状态确认!X:X,MATCH($G324,绊状态确认!$B:$B,)))*$FA$32*$FA$27*(1-$FA$33)/$FA$30-(0.05-INDEX(绊状态确认!X:X,MATCH($G324,绊状态确认!$B:$B,)))*$FA$29/$FA$69*$FA$27*(1-$FA$33),0)</f>
        <v>-795.00000000000011</v>
      </c>
      <c r="BK324" s="1110">
        <f>IF(O324="vo",$EW$26/$EW$24*0.05+$EW$26*(-HP($EW$62,$EW$65,$EW$64)+HP($EW$62,$EW$65,(1.05-INDEX(绊状态确认!U:U,MATCH($G324,绊状态确认!$B:$B,)))*$EW$64)),0)+IF(O324="sk",-$EW$26/$EW$24*(0.05-INDEX(绊状态确认!W:W,MATCH($G324,绊状态确认!$B:$B,)))+0.05*$EW$29,0)+IF(O324="sp",0.05*$EW$32*$EW$30*(1-$EW$33)-(0.05-INDEX(绊状态确认!V:V,MATCH($G324,绊状态确认!$B:$B,)))*$EW$29,0)+IF(O324="gd",-(0.05-INDEX(绊状态确认!X:X,MATCH($G324,绊状态确认!$B:$B,)))*$EW$32*$EW$30*(1-$EW$33)+$EW$26*(-HP($EW$62,$EW$65,$EW$64)+HP($EW$62,$EW$65,0.95*$EW$64)),0)</f>
        <v>1009.5947725176144</v>
      </c>
      <c r="BL324" s="1111">
        <f t="shared" ref="BL324:BL387" si="457">(IF(F324="UR",0)+IF(F324="SR",-1/4)+IF(F324="R",-1/2))*1/3*$EW$31/$EW$77*$EW$30</f>
        <v>-1083.3333333333333</v>
      </c>
      <c r="BM324" s="1110">
        <f t="shared" ref="BM324:BM387" si="458">(IF(F324="UR",0)+IF(F324="SR",-1/4)+IF(F324="R",-1/2))*1/3*$FA$31/$FA$69*$FA$27</f>
        <v>-830.55555555555543</v>
      </c>
      <c r="BN324" s="1113">
        <f t="shared" ref="BN324:BN387" si="459">IF($P324="","N/A",IF(P324=-1,IF(OR(L324="fes卡",L324="party卡"),2,1),IF(F324="UR",IF(L324="party卡",4-IF(P324=0,1),IF(L324="fes卡",4,3)-IF(P324&gt;=4,0,1)))+IF(F324="SR",IF(P324&gt;=4,3,2))+IF(F324="R",2)))</f>
        <v>3</v>
      </c>
      <c r="BO324" s="1108">
        <f t="shared" ref="BO324:BO387" si="460">$EW$61*$BN324*$EW$26*$EX$5/$EX$11</f>
        <v>4507.7214871259994</v>
      </c>
      <c r="BP324" s="1100">
        <f t="shared" ref="BP324:BP387" si="461">BN324*$FA$58*(1-$FI$26)*$FA$24*$FB$5/$FB$11</f>
        <v>221.34103209030098</v>
      </c>
      <c r="BQ324" s="1113" t="s">
        <v>133</v>
      </c>
      <c r="BR324" s="1124" t="s">
        <v>168</v>
      </c>
      <c r="BS324" s="1098">
        <f>IF($P324="","N/A",IF($P324=-1,INDEX('卡片raw data'!AX:AX,MATCH($D324,'卡片raw data'!$F:$F,)),0)+IF($L324="party卡",IF($P324=5,INDEX('卡片raw data'!BD:BD,MATCH($D324,'卡片raw data'!$F:$F,)),IF($P324&gt;=3,INDEX('卡片raw data'!BC:BC,MATCH($D324,'卡片raw data'!$F:$F,)),INDEX('卡片raw data'!BB:BB,MATCH($D324,'卡片raw data'!$F:$F,)))),IF(OR(AND($F324="UR",$P324=0),AND($F324="SR",$P324&gt;=0,$P324&lt;=2),AND($F324="R",$P324&gt;=0,$P324&lt;4)),INDEX('卡片raw data'!AZ:AZ,MATCH($D324,'卡片raw data'!$F:$F,)),0)+IF(OR(AND($F324="UR",$P324&gt;=1,$P324&lt;=4),AND($F324="SR",$P324&lt;=4,$P324&gt;=3),AND($F324="R",$P324=4)),INDEX('卡片raw data'!BA:BA,MATCH($D324,'卡片raw data'!$F:$F,)),0)+IF($P324=5,INDEX('卡片raw data'!BB:BB,MATCH($D324,'卡片raw data'!$F:$F,)),0)))</f>
        <v>0.05</v>
      </c>
      <c r="BT324" s="1101">
        <f t="shared" ref="BT324:BT387" si="462">IF(BQ324="ap",BS324*$EX$5/$EX$11*(+IF(BR324="全员",$EW$26,0)+IF(BR324="同作战",$EW$26,0)+IF(BR324="仲间",$EW$26*2/3,0)+IF(BR324="同属性",$EW$26*$EW$37/3,0)+IF(BR324="同年级",$EW$26*$EW$40/3,0)+IF(BR324="同学校",$EW$26*$EW$43/3,0)+IF(BR324="同小队",$EW$26*$EW$46/3,0)+IF(BR324="同type",$EW$26*INDEX($EX$49:$EX$52,MATCH(O324,$EW$49:$EW$52,))/3,0)+IF(BR324="自身",$AW324,0)),0)+IF(BQ324="te",BS324*($EW$22-1)*0.00003*$EX$7/$EX$13*(+IF(BR324="全员",$EX$18*$EW$26/(1+($EW$22-1)*$EW$19),0)+IF(BR324="同作战",$EX$18*$EW$26/(1+($EW$22-1)*$EW$19),0)+IF(BR324="仲间",$EX$18*$EW$26/(1+($EW$22-1)*$EW$19)*2/3,0)+IF(BR324="同属性",$EX$18*$EW$26/(1+($EW$22-1)*$EW$19)*$EW$37/3,0)+IF(BR324="同年级",$EX$18*$EW$26/(1+($EW$22-1)*$EW$19)*$EW$40/3,0)+IF(BR324="同学校",$EX$18*$EW$26/(1+($EW$22-1)*$EW$19)*$EW$43/3,0)+IF(BR324="同小队",$EX$18*$EW$26/(1+($EW$22-1)*$EW$19)*$EW$46/3,0)+IF(BR324="同type",$EX$18*$EW$26/(1+($EW$22-1)*$EW$19)*INDEX($EX$49:$EX$52,MATCH(O324,$EW$49:$EW$52,))/3,0)+IF(BR324="自身",$AS324*$AW324/(1+(AV324-1)*$AU324),0)),0)</f>
        <v>0</v>
      </c>
      <c r="BU324" s="1097">
        <f t="shared" ref="BU324:BU387" si="463">IF(BQ324="ap",BS324*(1-$FI$26)*$FB$5/$FB$11*(+IF(BR324="全员",$FA$24,0)+IF(BR324="同作战",$FA$24,0)+IF(BR324="仲间",$FA$24*2/3,0)+IF(BR324="同属性",$FA$24*$FA$37/3,0)+IF(BR324="同年级",$FA$24*$FA$40/3,0)+IF(BR324="同学校",$FA$24*$FA$43/3,0)+IF(BR324="同小队",$FA$24*$FA$46/3,0)+IF(BR324="同type",$FA$24*INDEX($FB$49:$FB$52,MATCH(O324,$FA$49:$FA$52,))/3,0)+IF(BR324="自身",BH324/3,0)),0)+IF(BQ324="te",BS324*(1-$FI$27)*($FA$20-1)*$FB$7/$FB$13*(+IF(BR324="全员",$FA$19*$FA$24/(1+($FA$20-1)*$FA$19),0)+IF(BR324="同作战",$FA$19*$FA$24/(1+($FA$20-1)*$FA$19),0)+IF(BR324="仲间",$FA$19*$FA$24*2/3/(1+($FA$20-1)*$FA$19),0)+IF(BR324="同属性",$FA$19*$FA$24*$FA$37/3/(1+($FA$20-1)*$FA$19),0)+IF(BR324="同年级",$FA$19*$FA$24*$FA$40/3/(1+($FA$20-1)*$FA$19),0)+IF(BR324="同学校",$FA$19*$FA$24*$FA$43/3/(1+($FA$20-1)*$FA$19),0)+IF(BR324="同小队",$FA$19*$FA$24*$FA$46/3/(1+($FA$20-1)*$FA$19),0)+IF(BR324="同type",$FA$19*$FA$24*INDEX($FB$49:$FB$52,MATCH(O324,$FA$49:$FA$52,))/3/(1+($FA$20-1)*$FA$19),0)+IF(BR324="自身",$FA$19*BH324/3/(1+(AV324-1)*$BD324),0)),0)</f>
        <v>0</v>
      </c>
      <c r="BV324" s="1097">
        <f t="shared" ref="BV324:BV387" si="464">IF(BQ324="ap",BS324*$EW$26*$EX$5/$EX$11*(+IF(BR324="全员",1,0)+IF(BR324="仲间",1,0)+IF(BR324="同属性",$EW$38/3,0)+IF(BR324="同年级",$EW$41/3,0)+IF(BR324="同学校",$EW$44/3,0)+IF(BR324="同小队",$EW$47/3,0)+IF(BR324="同type",INDEX($EX$53:$EX$56,MATCH(O324,$EW$53:$EW$56,))/3,0)),0)+IF(BQ324="te",BS324*($EW$22-1)*0.00003*$EX$18*$EW$26/(1+($EW$22-1)*$EW$19)*$EX$7/$EX$13*(+IF(BR324="全员",1,0)+IF(BR324="仲间",1,0)+IF(BR324="同属性",$EW$38/3,0)+IF(BR324="同年级",$EW$41/3,0)+IF(BR324="同学校",$EW$44/3,0)+IF(BR324="同小队",$EW$47/3,0)+IF(BR324="同type",INDEX($EX$53:$EX$56,MATCH(O324,$EW$53:$EW$56,))/3,0)),0)</f>
        <v>0</v>
      </c>
      <c r="BW324" s="1112">
        <f t="shared" ref="BW324:BW387" si="465">IF(BQ324="st",BS324*$EX$6/$EX$12*(+IF(BR324="全员",$EX$17*9,0)+IF(BR324="仲间",$EX$17*8,0)+IF(BR324="同作战",$EX$17*3,0)+IF(BR324="同属性",$EX$17*$EW$39,0)+IF(BR324="同年级",$EX$17*$EW$42,0)+IF(BR324="同学校",$EX$17*$EW$45,0)+IF(BR324="同小队",$EX$17*$EW$48,0)+IF(BR324="同type",$EX$17*INDEX($EX$57:$EX$60,MATCH(O324,$EW$57:$EW$60,)),0)+IF(BR324="自身",$AR324)),0)/$EW$65*$EW$78</f>
        <v>1.7558035714285711</v>
      </c>
      <c r="BX324" s="1100">
        <f t="shared" ref="BX324:BX387" si="466">IF(BQ324="st",$EW$26*(HP($EW$62,$EW$65,$EW$64-BW324)/$EW$66-1),BT324)</f>
        <v>137.19019421334193</v>
      </c>
      <c r="BY324" s="1110">
        <f t="shared" ref="BY324:BY387" si="467">IF(BQ324="st",$EW$26*(HP($EW$62,$EW$65,$EW$64-BW324)/$EW$66-1),BV324)</f>
        <v>137.19019421334193</v>
      </c>
      <c r="BZ324" s="1113" t="s">
        <v>569</v>
      </c>
      <c r="CA324" s="1124"/>
      <c r="CB324" s="1098">
        <f>IF($P324="","N/A",IF($P324=-1,INDEX('卡片raw data'!BE:BE,MATCH($D324,'卡片raw data'!$F:$F,)),0)+IF($L324="party卡",IF($P324=5,INDEX('卡片raw data'!BK:BK,MATCH($D324,'卡片raw data'!$F:$F,)),IF($P324&gt;=3,INDEX('卡片raw data'!BJ:BJ,MATCH($D324,'卡片raw data'!$F:$F,)),INDEX('卡片raw data'!BI:BI,MATCH($D324,'卡片raw data'!$F:$F,)))),IF(OR(AND($F324="UR",$P324=0),AND($F324="SR",$P324&gt;=0,$P324&lt;=2),AND($F324="R",$P324&gt;=0,$P324&lt;4)),INDEX('卡片raw data'!BG:BG,MATCH($D324,'卡片raw data'!$F:$F,)),0)+IF(OR(AND($F324="UR",$P324&gt;=1,$P324&lt;=4),AND($F324="SR",$P324&lt;=4,$P324&gt;=3),AND($F324="R",$P324=4)),INDEX('卡片raw data'!BH:BH,MATCH($D324,'卡片raw data'!$F:$F,)),0)+IF($P324=5,INDEX('卡片raw data'!BI:BI,MATCH($D324,'卡片raw data'!$F:$F,)),0)))</f>
        <v>0</v>
      </c>
      <c r="CC324" s="1101">
        <f t="shared" ref="CC324:CC387" si="468">IF(BZ324="ap",CB324*$EX$5/$EX$11*(+IF(CA324="全员",$EW$26,0)+IF(CA324="同作战",$EW$26,0)+IF(CA324="仲间",$EW$26*2/3,0)+IF(CA324="同属性",$EW$26*$EW$37/3,0)+IF(CA324="同年级",$EW$26*$EW$40/3,0)+IF(CA324="同学校",$EW$26*$EW$43/3,0)+IF(CA324="同小队",$EW$26*$EW$46/3,0)+IF(CA324="同type",$EW$26*INDEX($EX$49:$EX$52,MATCH(O324,$EW$49:$EW$52,))/3,0)+IF(CA324="自身",$AW324,0)),0)+IF(BZ324="te",CB324*($EW$22-1)*0.00003*$EX$7/$EX$13*(+IF(CA324="全员",$EX$18*$EW$26/(1+($EW$22-1)*$EW$19),0)+IF(CA324="同作战",$EX$18*$EW$26/(1+($EW$22-1)*$EW$19),0)+IF(CA324="仲间",$EX$18*$EW$26/(1+($EW$22-1)*$EW$19)*2/3,0)+IF(CA324="同属性",$EX$18*$EW$26/(1+($EW$22-1)*$EW$19)*$EW$37/3,0)+IF(CA324="同年级",$EX$18*$EW$26/(1+($EW$22-1)*$EW$19)*$EW$40/3,0)+IF(CA324="同学校",$EX$18*$EW$26/(1+($EW$22-1)*$EW$19)*$EW$43/3,0)+IF(CA324="同小队",$EX$18*$EW$26/(1+($EW$22-1)*$EW$19)*$EW$46/3,0)+IF(CA324="同type",$EX$18*$EW$26/(1+($EW$22-1)*$EW$19)*INDEX($EX$49:$EX$52,MATCH(O324,$EW$49:$EW$52,))/3,0)+IF(CA324="自身",$AS324*$AW324/(1+(AV324-1)*$AU324),0)),0)</f>
        <v>0</v>
      </c>
      <c r="CD324" s="1097">
        <f>IF(BZ324="ap",CB324*(1-$FI$26)*$FB$5/$FB$11*(+IF(CA324="全员",$FA$24,0)+IF(CA324="同作战",$FA$24,0)+IF(CA324="仲间",$FA$24*2/3,0)+IF(CA324="同属性",$FA$24*$FA$37/3,0)+IF(CA324="同年级",$FA$24*$FA$40/3,0)+IF(CA324="同学校",$FA$24*$FA$43/3,0)+IF(CA324="同小队",$FA$24*$FA$46/3,0)+IF(CA324="同type",$FA$24*INDEX($FB$49:$FB$52,MATCH(X324,$FA$49:$FA$52,))/3,0)+IF(CA324="自身",#REF!/3,0)),0)+IF(BZ324="te",CB324*(1-$FI$27)*($FA$20-1)*$FB$7/$FB$13*(+IF(CA324="全员",$FA$19*$FA$24/(1+($FA$20-1)*$FA$19),0)+IF(CA324="同作战",$FA$19*$FA$24/(1+($FA$20-1)*$FA$19),0)+IF(CA324="仲间",$FA$19*$FA$24*2/3/(1+($FA$20-1)*$FA$19),0)+IF(CA324="同属性",$FA$19*$FA$24*$FA$37/3/(1+($FA$20-1)*$FA$19),0)+IF(CA324="同年级",$FA$19*$FA$24*$FA$40/3/(1+($FA$20-1)*$FA$19),0)+IF(CA324="同学校",$FA$19*$FA$24*$FA$43/3/(1+($FA$20-1)*$FA$19),0)+IF(CA324="同小队",$FA$19*$FA$24*$FA$46/3/(1+($FA$20-1)*$FA$19),0)+IF(CA324="同type",$FA$19*$FA$24*INDEX($FB$49:$FB$52,MATCH(X324,$FA$49:$FA$52,))/3/(1+($FA$20-1)*$FA$19),0)+IF(CA324="自身",$FA$19*#REF!/3/(1+(BH324-1)*$BD324),0)),0)</f>
        <v>0</v>
      </c>
      <c r="CE324" s="1097">
        <f t="shared" ref="CE324:CE387" si="469">IF(BZ324="ap",CB324*$EW$26*$EX$5/$EX$11*(+IF(CA324="全员",1,0)+IF(CA324="仲间",1,0)+IF(CA324="同属性",$EW$38/3,0)+IF(CA324="同年级",$EW$41/3,0)+IF(CA324="同学校",$EW$44/3,0)+IF(CA324="同小队",$EW$47/3,0)+IF(CA324="同type",INDEX($EX$53:$EX$56,MATCH(X324,$EW$53:$EW$56,))/3,0)),0)+IF(BZ324="te",CB324*($EW$22-1)*0.00003*$EX$18*$EW$26/(1+($EW$22-1)*$EW$19)*$EX$7/$EX$13*(+IF(CA324="全员",1,0)+IF(CA324="仲间",1,0)+IF(CA324="同属性",$EW$38/3,0)+IF(CA324="同年级",$EW$41/3,0)+IF(CA324="同学校",$EW$44/3,0)+IF(CA324="同小队",$EW$47/3,0)+IF(CA324="同type",INDEX($EX$53:$EX$56,MATCH(X324,$EW$53:$EW$56,))/3,0)),0)</f>
        <v>0</v>
      </c>
      <c r="CF324" s="1112">
        <f t="shared" ref="CF324:CF387" si="470">IF(BZ324="st",CB324*$EX$6/$EX$12*(+IF(CA324="全员",$EX$17*9,0)+IF(CA324="仲间",$EX$17*8,0)+IF(CA324="同作战",$EX$17*3,0)+IF(CA324="同属性",$EX$17*$EW$39,0)+IF(CA324="同年级",$EX$17*$EW$42,0)+IF(CA324="同学校",$EX$17*$EW$45,0)+IF(CA324="同小队",$EX$17*$EW$48,0)+IF(CA324="同type",$EX$17*INDEX($EX$57:$EX$60,MATCH(O324,$EW$57:$EW$60,)),0)+IF(CA324="自身",$AR324)),0)/$EW$65*$EW$78</f>
        <v>0</v>
      </c>
      <c r="CG324" s="1100">
        <f t="shared" ref="CG324:CG387" si="471">IF(BZ324="st",$EW$26*(HP($EW$62,$EW$65,$EW$64-CF324)/$EW$66-1),CC324)</f>
        <v>0</v>
      </c>
      <c r="CH324" s="1110">
        <f t="shared" ref="CH324:CH387" si="472">IF(BZ324="st",$EW$26*(HP($EW$62,$EW$65,$EW$64-CF324)/$EW$66-1),CE324)</f>
        <v>0</v>
      </c>
      <c r="CI324" s="1113" t="s">
        <v>164</v>
      </c>
      <c r="CJ324" s="1114">
        <v>1</v>
      </c>
      <c r="CK324" s="1115" t="s">
        <v>635</v>
      </c>
      <c r="CL324" s="1115" t="s">
        <v>1944</v>
      </c>
      <c r="CM324" s="1119">
        <v>6.6000000000000003E-2</v>
      </c>
      <c r="CN324" s="1115"/>
      <c r="CO324" s="1092"/>
      <c r="CP324" s="1116">
        <f t="shared" ref="CP324:CP387" si="473">IF(OR(CK324="无",CI324="大量伤害",CI324="AC失败",CI324="低血量",CK324="复活",CK324="驱散",CK324="Gd切队效果up"),0,IF(AND(CK324="sp获得",CI324="AC成功"),0,IF(CK324="其他",0,IF(CN324=0,CM324*(IF(CL324="ap",AQ324*IF(CK324="vo获得",AP324,1))+IF(CL324="st",AR324)+IF(CL324="te",AS324)+IF(CL324="sp槽",$EW$77)+IF(CL324="",1))*(IF(CI324="曲开始",CJ324,0)+IF(CI324="切队",IF(CO324&lt;&gt;"",MIN(CO324,CJ324*$EW$79),CJ324*$EW$79))+IF(CI324="SP发动",IF(CO324&lt;&gt;"",MIN(CO324,CJ324*$EW$76),CJ324*$EW$76))+IF(CI324="ap时",IF(CO324&lt;&gt;"",MIN(CO324,CJ324*$EW$65/3),CJ324*$EW$65/3),0)+IF(CI324="伤害时",IF(CO324&lt;&gt;"",MIN(CO324,CJ324*$EW$65*(1-$EW$75)),CJ324*$EW$65*(1-$EW$75)),0)+IF(CI324="ct时",IF(CO324&lt;&gt;"",MIN(CO324,CJ324*$EW$65/3*$AU324),CJ324*$EW$65/3*$AU324),0)+IF(OR(CI324="AC时",CI324="AC成功"),IF(CO324&lt;&gt;"",MIN(CO324,CJ324*$EW$73),CJ324*$EW$73))),0)/$EW$65+IF(CN324="infty",IF(OR(CI324="曲开始",AND(CJ324=1,CO324=1)),CM324*CJ324,IF(CI324="SP发动",IF(CO324=1,CM324*(1-(1-(1-CJ324)^($EW$76+1))/(($EW$76+1)*CJ324)))+IF(CO324="",CJ324*CM324*$EW$76/2),0)+IF(CI324="AC时",IF(CO324=1,CM324*(1-(1-(1-CJ324)^($EW$73+1))/(($EW$73+1)*CJ324)))+IF(CO324="",CJ324*CM324*$EW$73/2),0)+IF(CI324="AC成功",IF(CO324=1,CM324*(1-(1-(1-CJ324)^($EW$73+1))/(($EW$73+1)*CJ324)))+IF(CO324="",CJ324*CM324*$EW$73/2),0)),0)*(IF(CL324="全员",1,0)+IF(CL324="同属性",$EW$37/3,0)+IF(CL324="同年级",$EW$40/3,0)+IF(CL324="同作战",1,0)+IF(CL324="自身",1/3,0)+IF(CL324="同type",INDEX($EX$49:$EX$52,MATCH($O324,$EW$49:$EW$52,))/3))+IF(AND(CN324&lt;&gt;0,CN324&lt;&gt;"infty"),IF(CN324="AC内",$EW$74,CN324)*CM324*(IF(CI324="曲开始",CJ324,0)+IF(CI324="切队",IF(CO324&lt;&gt;"",MIN(CO324,CJ324*$EW$79),CJ324*$EW$79))+IF(CI324="SP发动",IF(CO324&lt;&gt;"",MIN(CO324,CJ324*$EW$76),CJ324*$EW$76))+IF(CI324="ap时",IF(CO324&lt;&gt;"",MIN(CO324,CJ324*$EW$65/3),CJ324*$EW$65/3),0)+IF(CI324="伤害时",IF(CO324&lt;&gt;"",MIN(CO324,CJ324*$EW$65*(1-$EW$75)),CJ324*$EW$65*(1-$EW$75)),0)+IF(CI324="ct时",IF(CO324&lt;&gt;"",MIN(CO324,CJ324*$EW$65/3*$AU324),CJ324*$EW$65/3*$AU324),0)+IF(OR(CI324="AC时",CI324="AC成功"),IF(CO324&lt;&gt;"",MIN(CO324,CJ324*$EW$73),CJ324*$EW$73))),0)/$EW$65*(IF(CL324="全员",1,0)+IF(CL324="同属性",$EW$37/3,0)+IF(CL324="同年级",$EW$40/3,0)+IF(CL324="同学校",$EW$43/3,0)+IF(CL324="同作战",1,0)+IF(CL324="自身",1/3,0)+IF(CL324="同type",INDEX($EX$49:$EX$52,MATCH($O324,$EW$49:$EW$52,))/3)-IF(AND(CK324="ct+",CL324&lt;&gt;"仲间"),MAX(CM324+$AU324-1,0)/CM324/3)))))</f>
        <v>20.299866537472969</v>
      </c>
      <c r="CQ324" s="1116">
        <f t="shared" ref="CQ324:CQ387" si="474">IF(OR(CK324="无",CI324="大量伤害",CI324="AC失败",CI324="低血量",CK324="复活",CK324="驱散",CK324="Gd切队效果up"),0,IF(AND(CK324="sp获得",CI324="AC成功"),0,IF(CK324="其他",0,IF(CN324=0,CM324*(IF(CL324="ap",BA324*IF(CK324="vo获得",AP324,1))+IF(CL324="st",BB324)+IF(CL324="te",BC324)+IF(CL324="sp槽",$FA$69)+IF(CL324="",1))*(IF(CK324="sp获得",$FA$30,1))*(IF(CI324="曲开始",CJ324,0)+IF(CI324="切队",IF(CO324&lt;&gt;"",MIN(CO324,CJ324*$FA$71),CJ324*$FA$71))+IF(CI324="SP发动",IF(CO324&lt;&gt;"",MIN(CO324,CJ324*$FA$68),CJ324*$FA$68))+IF(CI324="ap时",IF(CO324&lt;&gt;"",MIN(CO324,CJ324*$FA$62/3),CJ324*$FA$62/3),0)+IF(CI324="伤害时",IF(CO324&lt;&gt;"",MIN(CO324,CJ324*$FA$62*(1-$FA$67)),CJ324*$FA$62*(1-$FA$67)),0)+IF(CI324="ct时",IF(CO324&lt;&gt;"",MIN(CO324,CJ324*$FA$62/3*$BD324),CJ324*$FA$62/3*$BD324),0)+IF(OR(CI324="AC时",CI324="AC成功"),IF(CO324&lt;&gt;"",MIN(CO324,CJ324*$FA$65),CJ324*$FA$65))),0)/$FA$62+IF(CN324="infty",IF(OR(CI324="曲开始",AND(CJ324=1,CO324=1)),CM324*CJ324,IF(CI324="SP发动",IF(CO324=1,CM324*(1-(1-(1-CJ324)^($FA$68+1))/(($FA$68+1)*CJ324)))+IF(CO324="",CJ324*CM324*$FA$68/2),0)+IF(CI324="AC时",IF(CO324=1,CM324*(1-(1-(1-CJ324)^($FA$65+1))/(($FA$65+1)*CJ324)))+IF(CO324="",CJ324*CM324*$FA$65/2),0)+IF(CI324="AC成功",IF(CO324=1,CM324*(1-(1-(1-CJ324)^($FA$65+1))/(($FA$65+1)*CJ324)))+IF(CO324="",CJ324*CM324*$FA$65/2),0)),0)*(IF(CL324="全员",1,0)+IF(CL324="同属性",$FA$37/3,0)+IF(CL324="同年级",$FA$40/3,0)+IF(CL324="同作战",1,0)+IF(CL324="自身",1/3,0)+IF(CL324="同type",INDEX($FB$49:$FB$52,MATCH($O324,$FA$49:$FA$52,))/3))+IF(AND(CN324&lt;&gt;0,CN324&lt;&gt;"infty"),IF(CN324="AC内",$FA$66,CN324)*CM324*(IF(CI324="曲开始",CJ324,0)+IF(CI324="切队",IF(CO324&lt;&gt;"",MIN(CO324,CJ324*$FA$71),CJ324*$FA$71))+IF(CI324="SP发动",IF(CO324&lt;&gt;"",MIN(CO324,CJ324*$FA$68),CJ324*$FA$68))+IF(CI324="ap时",IF(CO324&lt;&gt;"",MIN(CO324,CJ324*$FA$62/3),CJ324*$FA$62/3),0)+IF(CI324="伤害时",IF(CO324&lt;&gt;"",MIN(CO324,CJ324*$FA$62*(1-$FA$67)),CJ324*$FA$62*(1-$FA$67)),0)+IF(CI324="ct时",IF(CO324&lt;&gt;"",MIN(CO324,CJ324*$FA$62/3*$BD324),CJ324*$FA$62/3*$BD324),0)+IF(OR(CI324="AC时",CI324="AC成功"),IF(CO324&lt;&gt;"",MIN(CO324,CJ324*$FA$65),CJ324*$FA$65))),0)/$FA$62*(IF(CL324="全员",1,0)+IF(CL324="同属性",$FA$37/3,0)+IF(CL324="同年级",$FA$40/3,0)+IF(CL324="同学校",$FA$43/3,0)+IF(CL324="同作战",1,0)+IF(CL324="自身",1/3,0)+IF(CL324="同type",INDEX($FB$49:$FB$52,MATCH($O324,$FA$49:$FA$52,))/3)-IF(AND(CK324="ct+",CL324&lt;&gt;"仲间"),MAX(CM324+$BD324-1,0)/3/CM324)))))</f>
        <v>31.577570169402396</v>
      </c>
      <c r="CR324" s="1116">
        <f t="shared" ref="CR324:CR387" si="475">IF(OR(CK324="无",CI324="大量伤害",CI324="AC失败",CI324="低血量",CK324="复活",CK324="驱散",CK324="Gd切队效果up"),0,IF(AND(CK324="sp获得",CI324="AC成功"),0,IF(CK324="其他",0,IF(CN324=0,CM324*(IF(CL324="ap",AQ324*IF(CK324="vo获得",AP324,1))+IF(CL324="st",AR324)+IF(CL324="te",AS324)+IF(CL324="sp槽",$EW$77)+IF(CL324="",1))*(IF(CI324="曲开始",CJ324,0)+IF(CI324="切队",IF(CO324&lt;&gt;"",MIN(CO324,CJ324*$EW$79),CJ324*$EW$79))+IF(CI324="SP发动",IF(CO324&lt;&gt;"",MIN(CO324,CJ324*$EW$76),CJ324*$EW$76))+IF(CI324="ap时",0)+IF(CI324="伤害时",IF(CO324&lt;&gt;"",MIN(CO324,CJ324*$EW$65*(1-$EW$75)),CJ324*$EW$65*(1-$EW$75)),0)+IF(CI324="ct时",0)+IF(OR(CI324="AC时",CI324="AC成功"),IF(CO324&lt;&gt;"",MIN(CO324,CJ324*$EW$73),CJ324*$EW$73))),0)/$EW$65+IF(CN324="infty",IF(OR(CI324="曲开始",AND(CJ324=1,CO324=1)),CM324*CJ324,IF(CI324="SP发动",IF(CO324=1,CM324*(1-(1-(1-CJ324)^($EW$76+1))/(($EW$76+1)*CJ324)))+IF(CO324="",CJ324*CM324*$EW$76/2),0)+IF(CI324="AC时",IF(CO324=1,CM324*(1-(1-(1-CJ324)^($EW$73+1))/(($EW$73+1)*CJ324)))+IF(CO324="",CJ324*CM324*$EW$73/2),0)+IF(CI324="AC成功",IF(CO324=1,CM324*(1-(1-(1-CJ324)^($EW$73+1))/(($EW$73+1)*CJ324)))+IF(CO324="",CJ324*CM324*$EW$73/2),0)),0)*(IF(CL324="全员",1,0)+IF(CL324="同属性",$EW$38/3,0)+IF(CL324="同年级",$EW$41/3,0)+IF(CL324="同作战",0,0)+IF(CL324="自身",0,0)+IF(CL324="同type",INDEX($EX$53:$EX$56,MATCH($O324,$EW$53:$EW$56,))/3))+IF(AND(CN324&lt;&gt;0,CN324&lt;&gt;"infty"),IF(CN324="AC内",$EW$74,CN324)*(IF(CI324="曲开始",CM324*CJ324,0)+IF(CI324="切队",CM324*IF(CO324&lt;&gt;"",MIN(CO324,CJ324*$EW$79),CJ324*$EW$79))+IF(CI324="SP发动",CM324*IF(CO324&lt;&gt;"",MIN(CO324,CJ324*$EW$76),CJ324*$EW$76))+IF(CI324="ap时",0,0)+IF(CI324="伤害时",CM324*IF(CO324&lt;&gt;"",MIN(CO324,CJ324*$EW$65*(1-$EW$75)),CJ324*$EW$65*(1-$EW$75)),0)+IF(CI324="ct时",0,0)+IF(OR(CI324="AC时",CI324="AC成功"),CM324*IF(CO324&lt;&gt;"",MIN(CO324,CJ324*$EW$73),CJ324*$EW$73))),0)/$EW$65*(IF(CL324="全员",1,0)+IF(CL324="同属性",$EW$38/3,0)+IF(CL324="同年级",$EW$41/3,0)+IF(CL324="同学校",$EW$44/3,0)+IF(CL324="同作战",0,0)+IF(CL324="自身",0,0)+IF(CL324="同type",INDEX($EX$53:$EX$56,MATCH($O324,$EW$53:$EW$56,))/3)))))</f>
        <v>20.299866537472969</v>
      </c>
      <c r="CS324" s="1118">
        <f t="shared" ref="CS324:CS387" si="476">IF(CK324="技能+",IF(CN324="infty",(IF(CI324="曲开始",CM324*CJ324)+IF(OR(CI324="AC时",CI324="AC成功"),(1-(1-(1-CJ324)^($FM$20+1))/(($FM$20+1)*CJ324))*CM324))*(IF(CL324="全员",1)))+IF(CN324&lt;&gt;"infty",CM324*(IF(CI324="曲开始",CJ324*CN324/$FM$19)+IF(OR(CI324="AC时",CI324="AC成功"),CN324*IF(CO324&lt;&gt;"",MIN(CO324,CJ324*$FM$20),CJ324*$FM$20)/$FM$19)+IF(CI324="切队",CN324*IF(CO324&lt;&gt;"",MIN(CJ324*$FM$11,CO324/$FM$19),CJ324*$FM$11))+IF(CI324="ap时",IF(CO324&lt;&gt;"",MIN(CO324/$FM339,IF($O324="sk",$FM$10,$FM$9)*CJ324),IF($O324="sk",$FM$10,$FM$9)*CJ324)*CN324)+IF(CI324="ct时",IF(CO324&lt;&gt;"",MIN(CO324/$FM339,$AU324*IF($O324="sk",$FM$10,$FM$9)*CJ324),$AU324*IF($O324="sk",$FM$10,$FM$9)*CJ324)*CN324))*(IF(CL324="全员",1)+IF(CL324="同作战",IF($O324="sk",$FM$10*3,$FM$9*3))+IF(CL324="同属性",$FM$23/6)+IF(CL324="同年级",$FM$24/6)+IF(CL324="自身",IF($O324="sk",$FM$10,$FM$9)))),0)*$FM$16</f>
        <v>0</v>
      </c>
      <c r="CT324" s="1109">
        <f t="shared" ref="CT324:CT387" si="477">IF(CK324="sp+",IF(CN324="infty",(IF(CI324="曲开始",CM324*CJ324*$FM$28)+IF(OR(CI324="AC时",CI324="AC成功"),(1-(1-(1-CJ324)^($FM$20+1))/(($FM$20+1)*CJ324))*CM324*$FM$28))*(IF(CL324="全员",1)))+IF(CN324&lt;&gt;"infty",CM324*$FM$28*(IF(CI324="曲开始",CJ324*CN324/$FM$19)+IF(OR(CI324="AC时",CI324="AC成功"),CN324*IF(CO324&lt;&gt;"",MIN(CO324,CJ324*$FM$20),CJ324*$FM$20)/$FM$19)+IF(CI324="切队",CN324*IF(CO324&lt;&gt;"",MIN(CJ324*$FM$11,CO324/$FM$19),CJ324*$FM$11))+IF(CI324="ap时",IF(CO324&lt;&gt;"",MIN(CO324/$FM339,IF($O324="sk",$FM$10,$FM$9)*CJ324),IF($O324="sk",$FM$10,$FM$9)*CJ324)*CN324)+IF(CI324="ct时",IF(CO324&lt;&gt;"",MIN(CO324/$FM339,$AU324*IF($O324="sk",$FM$10,$FM$9)*CJ324),$AU324*IF($O324="sk",$FM$10,$FM$9)*CJ324)*CN324))*(IF(CL324="全员",1)+IF(CL324="同作战",IF($O324="sk",$FM$10*3,$FM$9*3))+IF(CL324="同属性",$FM$23/6)+IF(CL324="同年级",$FM$24/6)+IF(CL324="同type",IF(O324="sp",$FN$6*$FM$9)))),0)+IF(CK324="sp获得",IF(CI324="AC成功",0,CM324*(IF(CL324="ap",AQ324)+IF(CL324="st",AR324)+IF(CL324="te",AS324)+IF(CL324="sp槽",$EW$77)+IF(CL324="",1))*IF($O324="sk",1,1+(1+$FM$10/$FM$9)*($FM$27-1))*(IF(CI324="曲开始",CJ324/$FM$19)+IF(CI324="SP发动",IF(CO324&lt;&gt;"",MIN(CO324/$FM$19,CJ324*$FM$30/$FM$19),CJ324*$FM$30/$FM$19))+IF(CI324="切队",IF(CO324&lt;&gt;"",MIN(CO324/$FM$19,CJ324*$FM$11),CJ324*$FM$11))+IF(OR(CI324="AC时",CI324="AC成功"),IF(CO324&lt;&gt;"",MIN(CO324/$FM$19,CJ324*$FM$20/$FM$19),CJ324*$FM$20/$FM$19))+IF(CI324="ap时",IF(CO324&lt;&gt;"",MIN(CO324/$FM$19,CJ324*IF($O324="sk",$FM$10,$FM$9)),CJ324*IF($O324="sk",$FM$10,$FM$9)))+IF(CI324="ct时",IF(CO324&lt;&gt;"",MIN(CO324/$FM$19,CJ324*IF($O324="sk",$FM$10,$FM$9)*$AU324),CJ324*IF($O324="sk",$FM$10,$FM$9)*$AU324)))))</f>
        <v>0</v>
      </c>
      <c r="CU324" s="1101">
        <f t="shared" ref="CU324:CU387" si="478">IF(AND(CK324="技能+",CL324="自身",$DR324=0.11),0,IF(CK324="sp+",CP324*$EW$30*$EW$32*(1-$EW$33),0)+IF(CK324="ap+",CP324*$EW$26/(1+$EW$15),0)+IF(CK324="ap+元气",CP324*$EW$26/(1+$EW$15)*$EW$67,0)+IF(CK324="技能+",$EW$28*CP324/$EW$27,0)+IF(CK324="vo+",$EW$26*CP324,0)+IF(CK324="sp获得",CP324*(1-$EW$33)*$EW$30/$EW$77)+IF(CK324="vo获得",CP324*$EW$24)+IF(CK324="ct+",$EW$26/(1+($EW$22-1)*$EW$19)*($EW$22-1)*CP324)+IF(CK324="核弹",$EW$24*CP324*(1+$EW$23))+IF(CK324="ct值+",$EW$26/(1+($EW$22-1)*$EW$19)*$EW$19*CP324))</f>
        <v>0</v>
      </c>
      <c r="CV324" s="1108">
        <f t="shared" ref="CV324:CV387" si="479">IF(AND(CK324="技能+",CL324="自身",$DR324=0.11),0,IF(CK324="sp+",CQ324*$FA$27*$FA$32*(1-$FA$33),0)+IF(CK324="ap+",CQ324*$FA$24/(1+$FA$15)*(1-$FI$26),0)+IF(CK324="ap+元气",CQ324*$FA$24/(1+$FA$15)*(1-$FI$26)*$FA$64,0)+IF(CK324="技能+",$FA$26*CQ324/$FA$25,0)+IF(CK324="vo+",$FA$24*CQ324*(1-$FI$26),0)+IF(CK324="sp获得",CQ324*(1-$FA$33)*$FA$27/$FA$69)+IF(CK324="vo获得",CQ324*$FA$22)+IF(CK324="ct+",$FA$24/(1+($FA$20-1)*$FA$19)*($FA$20-1)*CQ324*(1-$FI$27))+IF(CK324="核弹",CQ324*(1+$FA$21)*(1-$FI$29))+IF(CK324="ct值+",$FA$24/(1+($FA$20-1)*$FA$19)*$FA$19*CQ324*(1-$FI$28))+IF(CK324="自身ct时上限突破",CQ324*$FI$24*$FI$26*BD324,0))</f>
        <v>0</v>
      </c>
      <c r="CW324" s="1097">
        <f t="shared" ref="CW324:CW387" si="480">IF(CK324="sp+",CR324*$EW$30*$EW$32*(1-$EW$33),0)+IF(CK324="ap+",CR324*$EW$26/(1+$EW$15),0)+IF(CK324="ap+元气",CR324*$EW$26/(1+$EW$15)*$EW$67,0)+IF(CK324="技能+",$EW$28*CR324/$EW$27,0)+IF(CK324="vo+",$EW$26*CR324,0)+IF(CK324="sp获得",CR324*(1-$EW$33)*$EW$30/$EW$77)+IF(CK324="vo获得",CR324*$EW$24)+IF(CK324="ct+",$EW$26/(1+($EW$22-1)*$EW$19)*($EW$22-1)*CR324)+IF(CK324="核弹",CR324*(1+$EW$23)*$EW$24)+IF(CK324="ct值+",$EW$26/(1+($EW$22-1)*$EW$19)*$EW$19*CR324)</f>
        <v>0</v>
      </c>
      <c r="CX324" s="1097">
        <f t="shared" ref="CX324:CX387" si="481">CU324+IF(OR(CK324="加盾",AND(CK324="回血",OR(CI324&lt;&gt;"切队",CO324=""))),MIN($EW$26/$EW$66*(1-$EW$66)-$EE324+$EC324-$ET324+$ER324, $EW$26*(HP($EW$62,$EW$65,$EW$64-CP324)/$EW$66-1)))+IF(CK324="减伤",MIN($EW$26/$EW$66*(1-$EW$66)-$EE324+$EC324-$ET324+$ER324, $EW$26*(HP($EW$62,$EW$65,$EW$64*(1-CP324))/$EW$66-1)))</f>
        <v>0</v>
      </c>
      <c r="CY324" s="1110">
        <f t="shared" ref="CY324:CY387" si="482">CW324+(IF(OR(CK324="加盾",AND(CK324="回血",OR(CI324&lt;&gt;"切队",CO324=""))),$EW$26*(HP($EW$62,$EW$65,$EW$64-CP324)/$EW$66-1))+IF(CK324="减伤",$EW$26*(HP($EW$62,$EW$65,$EW$64*(1-CP324))/$EW$66-1)))*IF(OR(CL324="自身",CL324="同作战"),0,1)*IF(OR(CI324="ap时",CI324="ct时"),0,1)</f>
        <v>1647.4518672330457</v>
      </c>
      <c r="CZ324" s="437"/>
      <c r="DA324" s="438"/>
      <c r="DB324" s="439" t="s">
        <v>569</v>
      </c>
      <c r="DC324" s="439"/>
      <c r="DD324" s="443"/>
      <c r="DE324" s="411"/>
      <c r="DF324" s="411"/>
      <c r="DG324" s="1116">
        <f t="shared" ref="DG324:DG387" si="483">IF(OR(DB324="无",CZ324="大量伤害",CZ324="AC失败",CZ324="低血量",DB324="复活",DB324="驱散",DB324="Gd切队效果up"),0,IF(AND(DB324="sp获得",CZ324="AC成功"),0,IF(DB324="其他",0,IF(DE324=0,DD324*(IF(DC324="ap",BH324*IF(DB324="vo获得",BG324,1))+IF(DC324="st",BI324)+IF(DC324="te",BJ324)+IF(DC324="sp槽",$EW$77)+IF(DC324="",1))*(IF(CZ324="曲开始",DA324,0)+IF(CZ324="切队",IF(DF324&lt;&gt;"",MIN(DF324,DA324*$EW$79),DA324*$EW$79))+IF(CZ324="SP发动",IF(DF324&lt;&gt;"",MIN(DF324,DA324*$EW$76),DA324*$EW$76))+IF(CZ324="ap时",IF(DF324&lt;&gt;"",MIN(DF324,DA324*$EW$65/3),DA324*$EW$65/3),0)+IF(CZ324="伤害时",IF(DF324&lt;&gt;"",MIN(DF324,DA324*$EW$65*(1-$EW$75)),DA324*$EW$65*(1-$EW$75)),0)+IF(CZ324="ct时",IF(DF324&lt;&gt;"",MIN(DF324,DA324*$EW$65/3*$AU324),DA324*$EW$65/3*$AU324),0)+IF(OR(CZ324="AC时",CZ324="AC成功"),IF(DF324&lt;&gt;"",MIN(DF324,DA324*$EW$73),DA324*$EW$73))),0)/$EW$65+IF(DE324="infty",IF(OR(CZ324="曲开始",AND(DA324=1,DF324=1)),DD324*DA324,IF(CZ324="SP发动",IF(DF324=1,DD324*(1-(1-(1-DA324)^($EW$76+1))/(($EW$76+1)*DA324)))+IF(DF324="",DA324*DD324*$EW$76/2),0)+IF(CZ324="AC时",IF(DF324=1,DD324*(1-(1-(1-DA324)^($EW$73+1))/(($EW$73+1)*DA324)))+IF(DF324="",DA324*DD324*$EW$73/2),0)+IF(CZ324="AC成功",IF(DF324=1,DD324*(1-(1-(1-DA324)^($EW$73+1))/(($EW$73+1)*DA324)))+IF(DF324="",DA324*DD324*$EW$73/2),0)),0)*(IF(DC324="全员",1,0)+IF(DC324="同属性",$EW$37/3,0)+IF(DC324="同年级",$EW$40/3,0)+IF(DC324="同作战",1,0)+IF(DC324="自身",1/3,0)+IF(DC324="同type",INDEX($EX$49:$EX$52,MATCH($O324,$EW$49:$EW$52,))/3))+IF(AND(DE324&lt;&gt;0,DE324&lt;&gt;"infty"),IF(DE324="AC内",$EW$74,DE324)*DD324*(IF(CZ324="曲开始",DA324,0)+IF(CZ324="切队",IF(DF324&lt;&gt;"",MIN(DF324,DA324*$EW$79),DA324*$EW$79))+IF(CZ324="SP发动",IF(DF324&lt;&gt;"",MIN(DF324,DA324*$EW$76),DA324*$EW$76))+IF(CZ324="ap时",IF(DF324&lt;&gt;"",MIN(DF324,DA324*$EW$65/3),DA324*$EW$65/3),0)+IF(CZ324="伤害时",IF(DF324&lt;&gt;"",MIN(DF324,DA324*$EW$65*(1-$EW$75)),DA324*$EW$65*(1-$EW$75)),0)+IF(CZ324="ct时",IF(DF324&lt;&gt;"",MIN(DF324,DA324*$EW$65/3*$AU324),DA324*$EW$65/3*$AU324),0)+IF(OR(CZ324="AC时",CZ324="AC成功"),IF(DF324&lt;&gt;"",MIN(DF324,DA324*$EW$73),DA324*$EW$73))),0)/$EW$65*(IF(DC324="全员",1,0)+IF(DC324="同属性",$EW$37/3,0)+IF(DC324="同年级",$EW$40/3,0)+IF(DC324="同学校",$EW$43/3,0)+IF(DC324="同作战",1,0)+IF(DC324="自身",1/3,0)+IF(DC324="同type",INDEX($EX$49:$EX$52,MATCH($O324,$EW$49:$EW$52,))/3)-IF(AND(DB324="ct+",DC324&lt;&gt;"仲间"),MAX(DD324+$AU324-1,0)/DD324/3)))))</f>
        <v>0</v>
      </c>
      <c r="DH324" s="1116">
        <f t="shared" ref="DH324:DH387" si="484">IF(OR(DB324="无",CZ324="大量伤害",CZ324="AC失败",CZ324="低血量",DB324="复活",DB324="驱散",DB324="Gd切队效果up"),0,IF(AND(DB324="sp获得",CZ324="AC成功"),0,IF(DB324="其他",0,IF(DE324=0,DD324*(IF(DC324="ap",BR324*IF(DB324="vo获得",BG324,1))+IF(DC324="st",BS324)+IF(DC324="te",BT324)+IF(DC324="sp槽",$FA$69)+IF(DC324="",1))*(IF(DB324="sp获得",$FA$30,1))*(IF(CZ324="曲开始",DA324,0)+IF(CZ324="切队",IF(DF324&lt;&gt;"",MIN(DF324,DA324*$FA$71),DA324*$FA$71))+IF(CZ324="SP发动",IF(DF324&lt;&gt;"",MIN(DF324,DA324*$FA$68),DA324*$FA$68))+IF(CZ324="ap时",IF(DF324&lt;&gt;"",MIN(DF324,DA324*$FA$62/3),DA324*$FA$62/3),0)+IF(CZ324="伤害时",IF(DF324&lt;&gt;"",MIN(DF324,DA324*$FA$62*(1-$FA$67)),DA324*$FA$62*(1-$FA$67)),0)+IF(CZ324="ct时",IF(DF324&lt;&gt;"",MIN(DF324,DA324*$FA$62/3*$BD324),DA324*$FA$62/3*$BD324),0)+IF(OR(CZ324="AC时",CZ324="AC成功"),IF(DF324&lt;&gt;"",MIN(DF324,DA324*$FA$65),DA324*$FA$65))),0)/$FA$62+IF(DE324="infty",IF(OR(CZ324="曲开始",AND(DA324=1,DF324=1)),DD324*DA324,IF(CZ324="SP发动",IF(DF324=1,DD324*(1-(1-(1-DA324)^($FA$68+1))/(($FA$68+1)*DA324)))+IF(DF324="",DA324*DD324*$FA$68/2),0)+IF(CZ324="AC时",IF(DF324=1,DD324*(1-(1-(1-DA324)^($FA$65+1))/(($FA$65+1)*DA324)))+IF(DF324="",DA324*DD324*$FA$65/2),0)+IF(CZ324="AC成功",IF(DF324=1,DD324*(1-(1-(1-DA324)^($FA$65+1))/(($FA$65+1)*DA324)))+IF(DF324="",DA324*DD324*$FA$65/2),0)),0)*(IF(DC324="全员",1,0)+IF(DC324="同属性",$FA$37/3,0)+IF(DC324="同年级",$FA$40/3,0)+IF(DC324="同作战",1,0)+IF(DC324="自身",1/3,0)+IF(DC324="同type",INDEX($FB$49:$FB$52,MATCH($O324,$FA$49:$FA$52,))/3))+IF(AND(DE324&lt;&gt;0,DE324&lt;&gt;"infty"),IF(DE324="AC内",$FA$66,DE324)*DD324*(IF(CZ324="曲开始",DA324,0)+IF(CZ324="切队",IF(DF324&lt;&gt;"",MIN(DF324,DA324*$FA$71),DA324*$FA$71))+IF(CZ324="SP发动",IF(DF324&lt;&gt;"",MIN(DF324,DA324*$FA$68),DA324*$FA$68))+IF(CZ324="ap时",IF(DF324&lt;&gt;"",MIN(DF324,DA324*$FA$62/3),DA324*$FA$62/3),0)+IF(CZ324="伤害时",IF(DF324&lt;&gt;"",MIN(DF324,DA324*$FA$62*(1-$FA$67)),DA324*$FA$62*(1-$FA$67)),0)+IF(CZ324="ct时",IF(DF324&lt;&gt;"",MIN(DF324,DA324*$FA$62/3*$BD324),DA324*$FA$62/3*$BD324),0)+IF(OR(CZ324="AC时",CZ324="AC成功"),IF(DF324&lt;&gt;"",MIN(DF324,DA324*$FA$65),DA324*$FA$65))),0)/$FA$62*(IF(DC324="全员",1,0)+IF(DC324="同属性",$FA$37/3,0)+IF(DC324="同年级",$FA$40/3,0)+IF(DC324="同学校",$FA$43/3,0)+IF(DC324="同作战",1,0)+IF(DC324="自身",1/3,0)+IF(DC324="同type",INDEX($FB$49:$FB$52,MATCH($O324,$FA$49:$FA$52,))/3)-IF(AND(DB324="ct+",DC324&lt;&gt;"仲间"),MAX(DD324+$BD324-1,0)/3/DD324)))))</f>
        <v>0</v>
      </c>
      <c r="DI324" s="1116">
        <f t="shared" ref="DI324:DI387" si="485">IF(OR(DB324="无",CZ324="大量伤害",CZ324="AC失败",CZ324="低血量",DB324="复活",DB324="驱散",DB324="Gd切队效果up"),0,IF(AND(DB324="sp获得",CZ324="AC成功"),0,IF(DB324="其他",0,IF(DE324=0,DD324*(IF(DC324="ap",BH324*IF(DB324="vo获得",BG324,1))+IF(DC324="st",BI324)+IF(DC324="te",BJ324)+IF(DC324="sp槽",$EW$77)+IF(DC324="",1))*(IF(CZ324="曲开始",DA324,0)+IF(CZ324="切队",IF(DF324&lt;&gt;"",MIN(DF324,DA324*$EW$79),DA324*$EW$79))+IF(CZ324="SP发动",IF(DF324&lt;&gt;"",MIN(DF324,DA324*$EW$76),DA324*$EW$76))+IF(CZ324="ap时",0)+IF(CZ324="伤害时",IF(DF324&lt;&gt;"",MIN(DF324,DA324*$EW$65*(1-$EW$75)),DA324*$EW$65*(1-$EW$75)),0)+IF(CZ324="ct时",0)+IF(OR(CZ324="AC时",CZ324="AC成功"),IF(DF324&lt;&gt;"",MIN(DF324,DA324*$EW$73),DA324*$EW$73))),0)/$EW$65+IF(DE324="infty",IF(OR(CZ324="曲开始",AND(DA324=1,DF324=1)),DD324*DA324,IF(CZ324="SP发动",IF(DF324=1,DD324*(1-(1-(1-DA324)^($EW$76+1))/(($EW$76+1)*DA324)))+IF(DF324="",DA324*DD324*$EW$76/2),0)+IF(CZ324="AC时",IF(DF324=1,DD324*(1-(1-(1-DA324)^($EW$73+1))/(($EW$73+1)*DA324)))+IF(DF324="",DA324*DD324*$EW$73/2),0)+IF(CZ324="AC成功",IF(DF324=1,DD324*(1-(1-(1-DA324)^($EW$73+1))/(($EW$73+1)*DA324)))+IF(DF324="",DA324*DD324*$EW$73/2),0)),0)*(IF(DC324="全员",1,0)+IF(DC324="同属性",$EW$38/3,0)+IF(DC324="同年级",$EW$41/3,0)+IF(DC324="同作战",0,0)+IF(DC324="自身",0,0)+IF(DC324="同type",INDEX($EX$53:$EX$56,MATCH($O324,$EW$53:$EW$56,))/3))+IF(AND(DE324&lt;&gt;0,DE324&lt;&gt;"infty"),IF(DE324="AC内",$EW$74,DE324)*(IF(CZ324="曲开始",DD324*DA324,0)+IF(CZ324="切队",DD324*IF(DF324&lt;&gt;"",MIN(DF324,DA324*$EW$79),DA324*$EW$79))+IF(CZ324="SP发动",DD324*IF(DF324&lt;&gt;"",MIN(DF324,DA324*$EW$76),DA324*$EW$76))+IF(CZ324="ap时",0,0)+IF(CZ324="伤害时",DD324*IF(DF324&lt;&gt;"",MIN(DF324,DA324*$EW$65*(1-$EW$75)),DA324*$EW$65*(1-$EW$75)),0)+IF(CZ324="ct时",0,0)+IF(OR(CZ324="AC时",CZ324="AC成功"),DD324*IF(DF324&lt;&gt;"",MIN(DF324,DA324*$EW$73),DA324*$EW$73))),0)/$EW$65*(IF(DC324="全员",1,0)+IF(DC324="同属性",$EW$38/3,0)+IF(DC324="同年级",$EW$41/3,0)+IF(DC324="同学校",$EW$44/3,0)+IF(DC324="同作战",0,0)+IF(DC324="自身",0,0)+IF(DC324="同type",INDEX($EX$53:$EX$56,MATCH($O324,$EW$53:$EW$56,))/3)))))</f>
        <v>0</v>
      </c>
      <c r="DJ324" s="442">
        <f t="shared" ref="DJ324:DJ387" si="486">IF(DB324="技能+",IF(DE324="infty",(IF(CZ324="曲开始",DD324*DA324)+IF(OR(CZ324="AC时",CZ324="AC成功"),(1-(1-(1-DA324)^($FM$20+1))/(($FM$20+1)*DA324))*DD324))*(IF(DC324="全员",1)))+IF(DE324&lt;&gt;"infty",DD324*(IF(CZ324="曲开始",DA324*DE324/$FM$19)+IF(OR(CZ324="AC时",CZ324="AC成功"),DE324*IF(DF324&lt;&gt;"",MIN(DF324,DA324*$FM$20),DA324*$FM$20)/$FM$19)+IF(CZ324="切队",DE324*IF(DF324&lt;&gt;"",MIN(DA324*$FM$11,DF324/$FM$19),DA324*$FM$11))+IF(CZ324="ap时",IF(DF324&lt;&gt;"",MIN(DF324/$FM339,IF($O324="sk",$FM$10,$FM$9)*DA324),IF($O324="sk",$FM$10,$FM$9)*DA324)*DE324)+IF(CZ324="ct时",IF(DF324&lt;&gt;"",MIN(DF324/$FM339,$AU324*IF($O324="sk",$FM$10,$FM$9)*DA324),$AU324*IF($O324="sk",$FM$10,$FM$9)*DA324)*DE324))*(IF(DC324="全员",1)+IF(DC324="同作战",IF($O324="sk",$FM$10*3,$FM$9*3))+IF(DC324="同属性",$FM$23/6)+IF(DC324="同年级",$FM$24/6)+IF(DC324="自身",IF($O324="sk",$FM$10,$FM$9)))),0)*$FM$16</f>
        <v>0</v>
      </c>
      <c r="DK324" s="1109">
        <f t="shared" ref="DK324:DK387" si="487">IF(DB324="sp+",IF(DE324="infty",(IF(CZ324="曲开始",DD324*DA324*$FM$28)+IF(OR(CZ324="AC时",CZ324="AC成功"),(1-(1-(1-DA324)^($FM$20+1))/(($FM$20+1)*DA324))*DD324*$FM$28))*(IF(DC324="全员",1)))+IF(DE324&lt;&gt;"infty",DD324*$FM$28*(IF(CZ324="曲开始",DA324*DE324/$FM$19)+IF(OR(CZ324="AC时",CZ324="AC成功"),DE324*IF(DF324&lt;&gt;"",MIN(DF324,DA324*$FM$20),DA324*$FM$20)/$FM$19)+IF(CZ324="切队",DE324*IF(DF324&lt;&gt;"",MIN(DA324*$FM$11,DF324/$FM$19),DA324*$FM$11))+IF(CZ324="ap时",IF(DF324&lt;&gt;"",MIN(DF324/$FM339,IF($O324="sk",$FM$10,$FM$9)*DA324),IF($O324="sk",$FM$10,$FM$9)*DA324)*DE324)+IF(CZ324="ct时",IF(DF324&lt;&gt;"",MIN(DF324/$FM339,$AU324*IF($O324="sk",$FM$10,$FM$9)*DA324),$AU324*IF($O324="sk",$FM$10,$FM$9)*DA324)*DE324))*(IF(DC324="全员",1)+IF(DC324="同作战",IF($O324="sk",$FM$10*3,$FM$9*3))+IF(DC324="同属性",$FM$23/6)+IF(DC324="同年级",$FM$24/6)+IF(DC324="同type",IF(AF324="sp",$FN$6*$FM$9)))),0)+IF(DB324="sp获得",IF(CZ324="AC成功",0,DD324*(IF(DC324="ap",BI324)+IF(DC324="st",BJ324)+IF(DC324="te",BK324)+IF(DC324="sp槽",$EW$77)+IF(DC324="",1))*IF($O324="sk",1,1+(1+$FM$10/$FM$9)*($FM$27-1))*(IF(CZ324="曲开始",DA324/$FM$19)+IF(CZ324="SP发动",IF(DF324&lt;&gt;"",MIN(DF324/$FM$19,DA324*$FM$30/$FM$19),DA324*$FM$30/$FM$19))+IF(CZ324="切队",IF(DF324&lt;&gt;"",MIN(DF324/$FM$19,DA324*$FM$11),DA324*$FM$11))+IF(OR(CZ324="AC时",CZ324="AC成功"),IF(DF324&lt;&gt;"",MIN(DF324/$FM$19,DA324*$FM$20/$FM$19),DA324*$FM$20/$FM$19))+IF(CZ324="ap时",IF(DF324&lt;&gt;"",MIN(DF324/$FM$19,DA324*IF($O324="sk",$FM$10,$FM$9)),DA324*IF($O324="sk",$FM$10,$FM$9)))+IF(CZ324="ct时",IF(DF324&lt;&gt;"",MIN(DF324/$FM$19,DA324*IF($O324="sk",$FM$10,$FM$9)*$AU324),DA324*IF($O324="sk",$FM$10,$FM$9)*$AU324)))))</f>
        <v>0</v>
      </c>
      <c r="DL324" s="1101">
        <f t="shared" ref="DL324:DL387" si="488">IF(DB324="sp+",DG324*$EW$30*$EW$32*(1-$EW$33),0)+IF(DB324="ap+",DG324*$EW$26/(1+$EW$15),0)+IF(DB324="ap+元气",DG324*$EW$26/(1+$EW$15)*$EW$67,0)+IF(DB324="技能+",$EW$28*DG324/$EW$27,0)+IF(DB324="vo+",$EW$26*DG324,0)+IF(DB324="sp获得",DG324*(1-$EW$33)*$EW$30/$EW$77)+IF(DB324="vo获得",DG324*$EW$24)+IF(DB324="ct+",$EW$26/(1+($EW$22-1)*$EW$19)*($EW$22-1)*DG324)+IF(DB324="核弹",DG324*(1+$EW$23))+IF(DB324="ct值+",$EW$26/(1+($EW$22-1)*$EW$19)*$EW$19*DG324)</f>
        <v>0</v>
      </c>
      <c r="DM324" s="1097">
        <f t="shared" ref="DM324:DM387" si="489">IF(DB324="sp+",DH324*$FA$27*$FA$32*(1-$FA$33),0)+IF(DB324="ap+",DH324*$FA$24/(1+$FA$15)*(1-$FI$26),0)+IF(DB324="ap+元气",DH324*$FA$24/(1+$FA$15)*(1-$FI$26)*$FA$64,0)+IF(DB324="技能+",$FA$26*DH324/$FA$25,0)+IF(DB324="vo+",$FA$24*DH324*(1-$FI$26),0)+IF(DB324="sp获得",DH324*(1-$FA$33)*$FA$27/$FA$69)+IF(DB324="vo获得",DH324*$FA$22)+IF(DB324="ct+",$FA$24/(1+($FA$20-1)*$FA$19)*($FA$20-1)*DH324*(1-$FI$27))+IF(DB324="核弹",DH324*(1+$FA$21)*(1-$FI$29))+IF(DB324="ct值+",$FA$24/(1+($FA$20-1)*$FA$19)*$FA$19*DH324*(1-$FI$28))</f>
        <v>0</v>
      </c>
      <c r="DN324" s="1097">
        <f t="shared" ref="DN324:DN387" si="490">IF(DB324="sp+",DI324*$EW$30*$EW$32*(1-$EW$33),0)+IF(DB324="ap+",DI324*$EW$26/(1+$EW$15),0)+IF(DB324="ap+元气",DI324*$EW$26/(1+$EW$15)*$EW$67,0)+IF(DB324="技能+",$EW$28*DI324/$EW$27,0)+IF(DB324="vo+",$EW$26*DI324,0)+IF(DB324="sp获得",DI324*(1-$EW$33)*$EW$30/$EW$77)+IF(DB324="vo获得",DI324*$EW$24)+IF(DB324="ct+",$EW$26/(1+($EW$22-1)*$EW$19)*($EW$22-1)*DI324)+IF(DB324="核弹",DI324*(1+$EW$23))+IF(DB324="ct值+",$EW$26/(1+($EW$22-1)*$EW$19)*$EW$19*DI324)</f>
        <v>0</v>
      </c>
      <c r="DO324" s="1097">
        <f t="shared" ref="DO324:DO387" si="491">DL324+IF(OR(DB324="加盾",AND(DB324="回血",OR(CZ324&lt;&gt;"切队",DF324=""))),MIN($EW$26/$EW$66*(1-$EW$66)-$EE324+$EC324-$ET324+$ER324, $EW$26*(HP($EW$62,$EW$65,$EW$64-DG324)/$EW$66-1)))+IF(DB324="减伤",MIN($EW$26/$EW$66*(1-$EW$66)-$EE324+$EC324-$ET324+$ER324, $EW$26*(HP($EW$62,$EW$65,$EW$64*(1-DG324))/$EW$66-1)))</f>
        <v>0</v>
      </c>
      <c r="DP324" s="1110">
        <f t="shared" ref="DP324:DP387" si="492">DN324+(IF(OR(DB324="加盾",AND(DB324="回血",OR(CZ324&lt;&gt;"切队",DF324=""))),$EW$26*(HP($EW$62,$EW$65,$EW$64-DG324)/$EW$66-1))+IF(DB324="减伤",$EW$26*(HP($EW$62,$EW$65,$EW$64*(1-DG324))/$EW$66-1)))*IF(OR(DC324="自身",DC324="同作战"),0,1)*IF(OR(CZ324="ap时",CZ324="ct时"),0,1)</f>
        <v>0</v>
      </c>
      <c r="DQ324" s="1113" t="s">
        <v>635</v>
      </c>
      <c r="DR324" s="1120">
        <f t="shared" ref="DR324:DR387" si="493">IF(F324="UR",0.33,0.3)</f>
        <v>0.3</v>
      </c>
      <c r="DS324" s="1124"/>
      <c r="DT324" s="1093" t="s">
        <v>133</v>
      </c>
      <c r="DU324" s="1093"/>
      <c r="DV324" s="1098">
        <f>IF($P324="","N/A",IF(P324=-1,INDEX('卡片raw data'!AN:AN,MATCH(D324,'卡片raw data'!$F:$F,)),0)+IF(AND(L324&lt;&gt;"party卡",P324&lt;=2,P324&gt;=0),INDEX('卡片raw data'!AP:AP,MATCH(D324,'卡片raw data'!$F:$F,)),0)+IF(OR(AND(L324="party卡",P324&lt;=1),AND(P324&lt;=4,L324&lt;&gt;"party卡",P324&gt;=3)),INDEX('卡片raw data'!AQ:AQ,MATCH(D324,'卡片raw data'!$F:$F,)),0)+IF(OR(P324=5,AND(L324="party卡",P324&gt;=2)),INDEX('卡片raw data'!AR:AR,MATCH(D324,'卡片raw data'!$F:$F,)),0))</f>
        <v>0.32</v>
      </c>
      <c r="DW324" s="1098">
        <f t="shared" ref="DW324:DW387" si="494">DR324+IF(AND($CK324="技能+",$CL324="自身",DR324=0.11),$CP324*3)</f>
        <v>0.3</v>
      </c>
      <c r="DX324" s="1098">
        <f t="shared" ref="DX324:DX387" si="495">DR324+IF(AND($CK324="技能+",$CL324="自身",DR324=0.11),$CQ324*3)</f>
        <v>0.3</v>
      </c>
      <c r="DY324" s="1097">
        <f t="shared" ref="DY324:DY387" si="496">IF(DS324=0,IF(DT324="ap",DV324*$AQ324*DW324/3*IF(DQ324="vo获得",$AP324,1))+IF(DT324="st",DV324*$AR324*DW324/3)+IF(DT324="te",DV324*$AS324*DW324/3)+IF(DT324="sp槽",DV324*DW324/3)+IF(DT324="固定值",IF(DQ324="sp获得",DV324/3*DW324/$EW$77,DV324*DW324/3)),IF(DU324="百分比",IF(DT324="全员",DV324*DW324/3*DS324)+IF(DT324="仲间",DV324*DW324/3*DS324*2/3)+IF(DT324="同作战",DV324*DW324/3*DS324)+IF(DT324="同年级",DV324*DW324/3*DS324*$EW$40/3)+IF(DT324="同学校",DV324*DW324/3*DS324*$EW$43/3)+IF(DT324="同属性",DV324*DW324/3*DS324*$EW$37/3)+IF(DT324="同type",DV324*DW324/3*DS324*INDEX($EX$49:$EX$52,MATCH(O324,$EW$49:$EW$52,))/3),(IF(DQ324="ap+",DV324/$EX$16*DS324*DW324/3)+IF(DQ324="vo+",DV324*(1+$EW$23)/$EW$26*DS324*DW324/3))*(IF(DT324="全员",1)+IF(DT324="同作战",1)))-IF(AND(DQ324="ct+",DT324&lt;&gt;"仲间"),MAX(DV324+$AU324-1,0)*DW324/3*_xlfn.FLOOR.MATH(DS324/3)))</f>
        <v>459.31011155494394</v>
      </c>
      <c r="DZ324" s="1097">
        <f t="shared" ref="DZ324:DZ387" si="497">IF(DS324=0,IF(DT324="ap",IF(DQ324="vo获得",MIN(DV324*$BA324*$AP324,$FI$25)*$FA$22*DX324/3,DV324*$BA324*DX324/3))+IF(DT324="st",DV324*$BB324*DX324/3)+IF(DT324="te",DV324*$BC324*DX324/3)+IF(DT324="sp槽",DV324*DX324/3*$FA$30)+IF(DT324="固定值",IF(DQ324="sp获得",DV324/3*DX324/$FA$69*$FA$30,DV324*DX324/3)),IF(DU324="百分比",IF(DT324="全员",DV324*DX324/3*DS324)+IF(DT324="仲间",DV324*DX324/3*DS324*2/3)+IF(DT324="同作战",DV324*DX324/3*DS324)+IF(DT324="同年级",DV324*DX324/3*DS324*$FA$40/3)+IF(DT324="同学校",DV324*DX324/3*DS324*$FA$43/3)+IF(DT324="同属性",DV324*DX324/3*DS324*$FA$37/3)+IF(DT324="同type",DV324*DX324/3*DS324*INDEX($FB$49:$FB$52,MATCH(O324,$FA$49:$FA$52,))/3),(IF(DQ324="ap+",DV324/$FB$16*DS324*DX324/3)+IF(DQ324="vo+",DV324*(1+$FA$21)/$FA$24*DS324*DX324/3))*(IF(DT324="全员",1)+IF(DT324="同作战",1)))-IF(AND(DQ324="ct+",DT324&lt;&gt;"仲间"),MAX(DV324+$BD324-1,0)*DX324/3*_xlfn.FLOOR.MATH(DS324/3)))*$FA$57</f>
        <v>397.30324649502649</v>
      </c>
      <c r="EA324" s="1098">
        <f t="shared" ref="EA324:EA387" si="498">IF(DQ324="技能+",IF(O324="sk",FM$10,FM$9)*(1+0.1*$FM$31/$FM$19)*IF(O324="sk",$FM$18,$FM$17)*DR324/$FM$14*(IF(DT324="全员",DS324*DV324)+IF(DT324="同属性",DS324*DV324*$FM$23/6)+IF(DT324="同作战",DV324*IF(O324="sk",IF(AND(DS324&gt;1,DS324&lt;6),2),$FM$9*DS324*3))),0)*$FM$16</f>
        <v>0</v>
      </c>
      <c r="EB324" s="1121">
        <f t="shared" ref="EB324:EB387" si="499">IF(DQ324="sp+",1/6*(1+0.1*$FM$31/$FM$19)*IF(O324="sk",$FM$18,$FM$17)*DR324/$FM$14*$FM$28*(IF(DT324="全员",DS324*DV324)+IF(DT324="同属性",DS324*DV324*$FM$23/6)+IF(DT324="同年级",DS324*DV324*$FM$24/6)),0)+IF(DQ324="sp获得",1/6*(1+0.1*$FM$31/$FM$19)*IF(O324="sk",$FM$18,$FM$17)*DR324/$FM$14*IF(O324="sk",1,1+(1+$FM$10/$FM$9)*($FM$27-1))*IF(DT324="固定值",DV324,DV324*$FM$25))</f>
        <v>0</v>
      </c>
      <c r="EC324" s="1101">
        <f t="shared" ref="EC324:EC387" si="500">IF(DQ324="ap+",$EW$26/(1+$EW$15)*DY324)+IF(DQ324="vo+",$EW$26*DY324)+IF(DQ324="vo获得",DY324*$EW$24)+IF(DQ324="sp+",DY324*$EW$30*$EW$32*(1-$EW$33))+IF(DQ324="sp获得",DY324*$EW$30*(1-$EW$33))+IF(DQ324="技能+",DY324*$EW$28/$EW$27)+IF(DQ324="ct+",DY324*$EW$26/(1+($EW$22-1)*$EW$19)*($EW$22-1))+IF(DQ324="核弹",DY324*(1+$EW$23)*$EW$24)+IF(DQ324="ct值+",$EW$26/(1+($EW$22-1)*$EW$19)*$EW$19*DY324)</f>
        <v>0</v>
      </c>
      <c r="ED324" s="1097">
        <f t="shared" ref="ED324:ED387" si="501">IF(DQ324="ap+",$FA$24/(1+$FA$15)*DZ324*(1-$FI$26))+IF(DQ324="vo+",$FA$24*DZ324*(1-$FI$26))+IF(DQ324="vo获得",DZ324)+IF(DQ324="sp+",DZ324*$FA$27*$FA$32*(1-$FA$33))+IF(DQ324="sp获得",DZ324*$FA$27*(1-$FA$33))+IF(DQ324="技能+",DZ324*$FA$26/$FA$25)+IF(DQ324="ct+",DZ324*$FA$24/(1+($FA$20-1)*$FA$19)*($FA$20-1)*(1-$FI$27))+IF(DQ324="核弹",DZ324*(1+$FA$21)*(1-$FI$29))+IF(DQ324="ct值+",$FA$24/(1+($FA$20-1)*$FA$19)*$FA$19*DZ324*(1-$FI$28))</f>
        <v>0</v>
      </c>
      <c r="EE324" s="1110">
        <f t="shared" ref="EE324:EE349" si="502">EC324+IF(OR(DQ324="回血",DQ324="加盾"),$EW$26*(HP($EW$62,$EW$65,$EW$64-DY324)/$EW$66-1))+IF(DQ324="减伤",$EW$26*(HP($EW$62,$EW$65,$EW$64*(1-DY324))/$EW$66-1))</f>
        <v>48435.03108962375</v>
      </c>
      <c r="EF324" s="1115" t="s">
        <v>569</v>
      </c>
      <c r="EG324" s="1120">
        <f t="shared" ref="EG324:EG387" si="503">IF(F324="UR",0.33,0.3)</f>
        <v>0.3</v>
      </c>
      <c r="EH324" s="1124"/>
      <c r="EI324" s="1093"/>
      <c r="EJ324" s="1093"/>
      <c r="EK324" s="1097">
        <f>IF($P324="","N/A",IF(P324=-1,INDEX('卡片raw data'!AS:AS,MATCH(D324,'卡片raw data'!$F:$F,)),0)+IF(AND(L324&lt;&gt;"party卡",P324&lt;=2,P324&gt;=0),INDEX('卡片raw data'!AU:AU,MATCH(D324,'卡片raw data'!$F:$F,)),0)+IF(OR(AND(L324="party卡",P324&lt;=1),AND(P324&lt;=4,L324&lt;&gt;"party卡",P324&gt;=3)),INDEX('卡片raw data'!AV:AV,MATCH(D324,'卡片raw data'!$F:$F,)),0)+IF(OR(P324=5,AND(L324="party卡",P324&gt;=2)),INDEX('卡片raw data'!AW:AW,MATCH(D324,'卡片raw data'!$F:$F,)),0))</f>
        <v>0</v>
      </c>
      <c r="EL324" s="1098">
        <f t="shared" ref="EL324:EL387" si="504">EG324+IF(AND($CK324="技能+",$CL324="自身",EG324=0.11),$CP324*3)</f>
        <v>0.3</v>
      </c>
      <c r="EM324" s="1098">
        <f t="shared" ref="EM324:EM387" si="505">EG324+IF(AND($CK324="技能+",$CL324="自身",EG324=0.11),$CQ324*3)</f>
        <v>0.3</v>
      </c>
      <c r="EN324" s="1097">
        <f t="shared" ref="EN324:EN387" si="506">IF(EH324=0,IF(EI324="ap",EK324*$AQ324*EL324/3*IF(EF324="vo获得",$AP324,1))+IF(EI324="st",EK324*$AR324*EL324/3)+IF(EI324="te",EK324*$AS324*EL324/3)+IF(EI324="sp槽",EK324*EL324/3)+IF(EI324="固定值",IF(EF324="sp获得",EK324/3*EL324/$EW$77,EK324*EL324/3)),IF(EJ324="百分比",IF(EI324="全员",EK324*EL324/3*EH324)+IF(EI324="仲间",EK324*EL324/3*EH324*2/3)+IF(EI324="同作战",EK324*EL324/3*EH324)+IF(EI324="同年级",EK324*EL324/3*EH324*$EW$40/3)+IF(EI324="同学校",EK324*EL324/3*EH324*$EW$43/3)+IF(EI324="同属性",EK324*EL324/3*EH324*$EW$37/3)+IF(EI324="同type",EK324*EL324/3*EH324*INDEX($EX$49:$EX$52,MATCH(AD324,$EW$49:$EW$52,))/3),(IF(EF324="ap+",EK324/$EX$16*EH324*EL324/3)+IF(EF324="vo+",EK324*(1+$EW$23)/$EW$26*EH324*EL324/3))*(IF(EI324="全员",1)+IF(EI324="同作战",1)))-IF(AND(EF324="ct+",EI324&lt;&gt;"仲间"),MAX(EK324+$AU324-1,0)*EL324/3*_xlfn.FLOOR.MATH(EH324/3)))</f>
        <v>0</v>
      </c>
      <c r="EO324" s="1125">
        <f t="shared" ref="EO324:EO387" si="507">IF(EH324=0,IF(EI324="ap",IF(EF324="vo获得",MIN(EK324*$BA324*$AP324,$FI$25)*$FA$22*EM324/3,EK324*$BA324*EM324/3))+IF(EI324="st",EK324*$BB324*EM324/3)+IF(EI324="te",EK324*$BC324*EM324/3)+IF(EI324="sp槽",EK324*EM324/3*$FA$30)+IF(EI324="固定值",IF(EF324="sp获得",EK324/3*EM324/$FA$69*$FA$30,EK324*EM324/3)),IF(EJ324="百分比",IF(EI324="全员",EK324*EM324/3*EH324)+IF(EI324="仲间",EK324*EM324/3*EH324*2/3)+IF(EI324="同作战",EK324*EM324/3*EH324)+IF(EI324="同年级",EK324*EM324/3*EH324*$FA$40/3)+IF(EI324="同学校",EK324*EM324/3*EH324*$FA$43/3)+IF(EI324="同属性",EK324*EM324/3*EH324*$FA$37/3)+IF(EI324="同type",EK324*EM324/3*EH324*INDEX($FB$49:$FB$52,MATCH(AD324,$FA$49:$FA$52,))/3),(IF(EF324="ap+",EK324/$FB$16*EH324*EM324/3)+IF(EF324="vo+",EK324*(1+$FA$21)/$FA$24*EH324*EM324/3))*(IF(EI324="全员",1)+IF(EI324="同作战",1)))-IF(AND(EF324="ct+",EI324&lt;&gt;"仲间"),MAX(EK324+$BD324-1,0)*EM324/3*_xlfn.FLOOR.MATH(EH324/3)))*$FA$57</f>
        <v>0</v>
      </c>
      <c r="EP324" s="1098">
        <f t="shared" ref="EP324:EP387" si="508">IF(EF324="技能+",IF(AB324="sk",FZ$10,FZ$9)*(1+0.1*$FM$31/$FM$19)*IF(AB324="sk",$FM$18,$FM$17)*EG324/$FM$14*(IF(EI324="全员",EH324*EK324)+IF(EI324="同属性",EH324*EK324*$FM$23/6)+IF(EI324="同作战",EK324*IF(AB324="sk",IF(AND(EH324&gt;1,EH324&lt;6),2),$FM$9*EH324*3))),0)*$FM$16</f>
        <v>0</v>
      </c>
      <c r="EQ324" s="1121">
        <f t="shared" ref="EQ324:EQ387" si="509">IF(EF324="sp+",1/6*(1+0.1*$FM$31/$FM$19)*IF(AB324="sk",$FM$18,$FM$17)*EG324/$FM$14*$FM$28*(IF(EI324="全员",EH324*EK324)+IF(EI324="同属性",EH324*EK324*$FM$23/6)+IF(EI324="同年级",EH324*EK324*$FM$24/6)),0)+IF(EF324="sp获得",1/6*(1+0.1*$FM$31/$FM$19)*IF(AB324="sk",$FM$18,$FM$17)*EG324/$FM$14*IF(AB324="sk",1,1+(1+$FM$10/$FM$9)*($FM$27-1))*IF(EI324="固定值",EK324,EK324*$FM$25))</f>
        <v>0</v>
      </c>
      <c r="ER324" s="1101">
        <f t="shared" ref="ER324:ER387" si="510">IF(EF324="ap+",$EW$26/(1+$EW$15)*EN324)+IF(EF324="vo+",$EW$26*EN324)+IF(EF324="vo获得",EN324*$EW$24)+IF(EF324="sp+",EN324*$EW$30*$EW$32*(1-$EW$33))+IF(EF324="sp获得",EN324*$EW$30*(1-$EW$33))+IF(EF324="技能+",EN324*$EW$28/$EW$27)+IF(EF324="ct+",EN324*$EW$26/(1+($EW$22-1)*$EW$19)*($EW$22-1))+IF(EF324="核弹",EN324*(1+$EW$23)*$EW$24)+IF(EF324="ct值+",$EW$26/(1+($EW$22-1)*$EW$19)*$EW$19*EN324)</f>
        <v>0</v>
      </c>
      <c r="ES324" s="1097">
        <f t="shared" ref="ES324:ES387" si="511">IF(EF324="ap+",$FA$24/(1+$FA$15)*EO324*(1-$FI$26))+IF(EF324="vo+",$FA$24*EO324*(1-$FI$26))+IF(EF324="vo获得",EO324)+IF(EF324="sp+",EO324*$FA$27*$FA$32*(1-$FA$33))+IF(EF324="sp获得",EO324*$FA$27*(1-$FA$33))+IF(EF324="技能+",EO324*$FA$26/$FA$25)+IF(EF324="ct+",EO324*$FA$24/(1+($FA$20-1)*$FA$19)*($FA$20-1)*(1-$FI$27))+IF(EF324="核弹",EO324*(1+$FA$21)*(1-$FI$29))+IF(EF324="ct值+",$FA$24/(1+($FA$20-1)*$FA$19)*$FA$19*EO324*(1-$FI$28))</f>
        <v>0</v>
      </c>
      <c r="ET324" s="1122">
        <f t="shared" ref="ET324:ET349" si="512">ER324+IF(OR(EF324="回血",EF324="加盾"),$EW$26*(HP($EW$62,$EW$65,$EW$64-EN324)/$EW$66-1))+IF(EF324="减伤",$EW$26*(HP($EW$62,$EW$65,$EW$64*(1-EN324))/$EW$66-1))</f>
        <v>0</v>
      </c>
    </row>
    <row r="325" spans="2:150" ht="16.5" customHeight="1">
      <c r="B325" s="1123" t="str">
        <f>INDEX('卡片raw data'!B:B,MATCH($D325,'卡片raw data'!$F:$F,))</f>
        <v>二单鞠</v>
      </c>
      <c r="C325" s="449" t="s">
        <v>1151</v>
      </c>
      <c r="D325" s="408">
        <v>322</v>
      </c>
      <c r="E325" s="1090">
        <v>301082002</v>
      </c>
      <c r="F325" s="1090" t="str">
        <f>INDEX('卡片raw data'!C:C,MATCH($D325,'卡片raw data'!$F:$F,))</f>
        <v>SR</v>
      </c>
      <c r="G325" s="1094" t="s">
        <v>1153</v>
      </c>
      <c r="H325" s="411">
        <f>IFERROR(INDEX(绊状态确认!C:C,MATCH($G325,绊状态确认!$B:$B,)),"")</f>
        <v>108</v>
      </c>
      <c r="I325" s="450" t="str">
        <f>IFERROR(INDEX(绊状态确认!D:D,MATCH($G325,绊状态确认!$B:$B,)),"")</f>
        <v>水</v>
      </c>
      <c r="J325" s="450" t="str">
        <f>IFERROR(INDEX(绊状态确认!E:E,MATCH($G325,绊状态确认!$B:$B,)),"")</f>
        <v>3年级</v>
      </c>
      <c r="K325" s="451" t="str">
        <f>IFERROR(INDEX(绊状态确认!F:F,MATCH($G325,绊状态确认!$B:$B,)),"")</f>
        <v>Guilty Kiss</v>
      </c>
      <c r="L325" s="1094" t="str">
        <f>INDEX('卡片raw data'!E:E,MATCH($D325,'卡片raw data'!$F:$F,))</f>
        <v>卡池卡</v>
      </c>
      <c r="M325" s="415">
        <v>44104</v>
      </c>
      <c r="N325" s="416">
        <v>24.5</v>
      </c>
      <c r="O325" s="1091" t="str">
        <f>INDEX('卡片raw data'!D:D,MATCH($D325,'卡片raw data'!$F:$F,))</f>
        <v>sk</v>
      </c>
      <c r="P325" s="1126">
        <v>5</v>
      </c>
      <c r="Q325" s="1095">
        <f t="shared" si="428"/>
        <v>23253.92869259536</v>
      </c>
      <c r="R325" s="1096">
        <f t="shared" si="429"/>
        <v>0.27</v>
      </c>
      <c r="S325" s="1097">
        <f t="shared" si="430"/>
        <v>15079.814133475429</v>
      </c>
      <c r="T325" s="1098">
        <f t="shared" si="431"/>
        <v>0.753</v>
      </c>
      <c r="U325" s="1099">
        <f t="shared" si="432"/>
        <v>445.74957644098106</v>
      </c>
      <c r="V325" s="1100">
        <f t="shared" si="433"/>
        <v>74655.020954678694</v>
      </c>
      <c r="W325" s="1101">
        <f t="shared" si="434"/>
        <v>4507.7214871259994</v>
      </c>
      <c r="X325" s="1096">
        <f t="shared" si="435"/>
        <v>5.1999999999999998E-2</v>
      </c>
      <c r="Y325" s="1097">
        <f t="shared" si="436"/>
        <v>966.06117245957375</v>
      </c>
      <c r="Z325" s="1102">
        <f t="shared" si="437"/>
        <v>12.107089242132856</v>
      </c>
      <c r="AA325" s="1103">
        <f t="shared" si="438"/>
        <v>5473.7826595855731</v>
      </c>
      <c r="AB325" s="1101">
        <f t="shared" si="439"/>
        <v>8846.9400519951469</v>
      </c>
      <c r="AC325" s="1104">
        <f t="shared" si="440"/>
        <v>0.10199999999999999</v>
      </c>
      <c r="AD325" s="1105">
        <f t="shared" si="441"/>
        <v>1.8994224431818179E-2</v>
      </c>
      <c r="AE325" s="1128">
        <f t="shared" si="442"/>
        <v>4.3537577047458456</v>
      </c>
      <c r="AF325" s="1130">
        <f t="shared" si="443"/>
        <v>5781.8998293179766</v>
      </c>
      <c r="AG325" s="420">
        <f t="shared" si="444"/>
        <v>105132.525040676</v>
      </c>
      <c r="AH325" s="420">
        <f t="shared" si="445"/>
        <v>18.18304158567155</v>
      </c>
      <c r="AI325" s="1097">
        <f t="shared" si="446"/>
        <v>94047.396737743824</v>
      </c>
      <c r="AJ325" s="420">
        <f t="shared" si="447"/>
        <v>74655.020954678694</v>
      </c>
      <c r="AK325" s="518">
        <f t="shared" si="448"/>
        <v>19392.37578306513</v>
      </c>
      <c r="AL325" s="1106">
        <f>IF($P325="","N/A",(IF($P325=-1,INDEX('卡片raw data'!S:S,MATCH($D325,'卡片raw data'!$F:$F,)),0)+IF($P325=0,INDEX('卡片raw data'!V:V,MATCH($D325,'卡片raw data'!$F:$F,)),0)+IF($P325=1,INDEX('卡片raw data'!Y:Y,MATCH($D325,'卡片raw data'!$F:$F,)),0)+IF($P325=2,INDEX('卡片raw data'!AB:AB,MATCH($D325,'卡片raw data'!$F:$F,)),0)+IF($P325=3,INDEX('卡片raw data'!AE:AE,MATCH($D325,'卡片raw data'!$F:$F,)),0)+IF($P325=4,INDEX('卡片raw data'!AH:AH,MATCH($D325,'卡片raw data'!$F:$F,)),0)+IF($P325=5,INDEX('卡片raw data'!AK:AK,MATCH($D325,'卡片raw data'!$F:$F,)),0)+INDEX('卡片raw data'!S:S,MATCH($D325,'卡片raw data'!$F:$F,))*(IF($F325="UR",0.04,0.033))*(IF($F325="UR",INDEX(绊状态确认!$S:$S,MATCH($G325,绊状态确认!$B:$B,))/2-40)+IF($F325="SR",INDEX(绊状态确认!$R:$R,MATCH($G325,绊状态确认!$B:$B,))/4-15))+IF($F325="R",INDEX(绊状态确认!$Q:$Q,MATCH($G325,绊状态确认!$B:$B,))/6-40/6)))*(INDEX(绊状态确认!$H:$H,MATCH($G325,绊状态确认!$B:$B,))+INDEX(绊状态确认!J:J,MATCH($G325,绊状态确认!$B:$B,)))</f>
        <v>6502.4421623999997</v>
      </c>
      <c r="AM325" s="1106">
        <f>IF($P325="","N/A",(IF($P325=-1,INDEX('卡片raw data'!T:T,MATCH($D325,'卡片raw data'!$F:$F,)),0)+IF($P325=0,INDEX('卡片raw data'!W:W,MATCH($D325,'卡片raw data'!$F:$F,)),0)+IF($P325=1,INDEX('卡片raw data'!Z:Z,MATCH($D325,'卡片raw data'!$F:$F,)),0)+IF($P325=2,INDEX('卡片raw data'!AC:AC,MATCH($D325,'卡片raw data'!$F:$F,)),0)+IF($P325=3,INDEX('卡片raw data'!AF:AF,MATCH($D325,'卡片raw data'!$F:$F,)),0)+IF($P325=4,INDEX('卡片raw data'!AI:AI,MATCH($D325,'卡片raw data'!$F:$F,)),0)+IF($P325=5,INDEX('卡片raw data'!AL:AL,MATCH($D325,'卡片raw data'!$F:$F,)),0)+INDEX('卡片raw data'!T:T,MATCH($D325,'卡片raw data'!$F:$F,))*(IF($F325="UR",0.04,0.033))*(IF($F325="UR",INDEX(绊状态确认!$S:$S,MATCH($G325,绊状态确认!$B:$B,))/2-40)+IF($F325="SR",INDEX(绊状态确认!$R:$R,MATCH($G325,绊状态确认!$B:$B,))/4-15))+IF($F325="R",INDEX(绊状态确认!$Q:$Q,MATCH($G325,绊状态确认!$B:$B,))/6-40/6)))*(INDEX(绊状态确认!$H:$H,MATCH($G325,绊状态确认!$B:$B,))+INDEX(绊状态确认!K:K,MATCH($G325,绊状态确认!$B:$B,)))</f>
        <v>6297.3992375999987</v>
      </c>
      <c r="AN325" s="1106">
        <f>IF($P325="","N/A",(IF($P325=-1,INDEX('卡片raw data'!U:U,MATCH($D325,'卡片raw data'!$F:$F,)),0)+IF($P325=0,INDEX('卡片raw data'!X:X,MATCH($D325,'卡片raw data'!$F:$F,)),0)+IF($P325=1,INDEX('卡片raw data'!AA:AA,MATCH($D325,'卡片raw data'!$F:$F,)),0)+IF($P325=2,INDEX('卡片raw data'!AD:AD,MATCH($D325,'卡片raw data'!$F:$F,)),0)+IF($P325=3,INDEX('卡片raw data'!AG:AG,MATCH($D325,'卡片raw data'!$F:$F,)),0)+IF($P325=4,INDEX('卡片raw data'!AJ:AJ,MATCH($D325,'卡片raw data'!$F:$F,)),0)+IF($P325=5,INDEX('卡片raw data'!AM:AM,MATCH($D325,'卡片raw data'!$F:$F,)),0)+INDEX('卡片raw data'!U:U,MATCH($D325,'卡片raw data'!$F:$F,))*(IF($F325="UR",0.04,0.033))*(IF($F325="UR",INDEX(绊状态确认!$S:$S,MATCH($G325,绊状态确认!$B:$B,))/2-40)+IF($F325="SR",INDEX(绊状态确认!$R:$R,MATCH($G325,绊状态确认!$B:$B,))/4-15))+IF($F325="R",INDEX(绊状态确认!$Q:$Q,MATCH($G325,绊状态确认!$B:$B,))/6-40/6)))*(INDEX(绊状态确认!$H:$H,MATCH($G325,绊状态确认!$B:$B,))+INDEX(绊状态确认!L:L,MATCH($G325,绊状态确认!$B:$B,)))</f>
        <v>7518.4155815999984</v>
      </c>
      <c r="AO325" s="1107">
        <f t="shared" si="449"/>
        <v>1</v>
      </c>
      <c r="AP325" s="1131">
        <f>1+(INDEX(绊状态确认!$T:$T,MATCH($G325,绊状态确认!$B:$B,))+0.2)*$AO325</f>
        <v>1.3</v>
      </c>
      <c r="AQ325" s="1108">
        <f t="shared" si="450"/>
        <v>20318.910676299998</v>
      </c>
      <c r="AR325" s="1097">
        <f>(AM325*(1+$EX$9)+$EX$35)*(1+(INDEX(绊状态确认!$T:$T,MATCH($G325,绊状态确认!$B:$B,))+0.2)*AO325)*IF(J325=$FF$17,1+$FE$17,1)*IF(I325=$FF$14,1+$FE$14,1)</f>
        <v>11299.949959324</v>
      </c>
      <c r="AS325" s="1097">
        <f>(AN325*(1+$EX$10)+$EX$36)*(1+(INDEX(绊状态确认!$T:$T,MATCH($G325,绊状态确认!$B:$B,))+0.2)*AO325)*IF(J325=$FF$17,1+$FE$17,1)*IF(I325=$FF$14,1+$FE$14,1)</f>
        <v>15296.031294491997</v>
      </c>
      <c r="AT325" s="1093">
        <f>IF(AND(INDEX('卡片raw data'!AK:AK,MATCH($D325,'卡片raw data'!$F:$F,))&lt;INDEX('卡片raw data'!AM:AM,MATCH($D325,'卡片raw data'!$F:$F,)),INDEX('卡片raw data'!AL:AL,MATCH($D325,'卡片raw data'!$F:$F,))&lt;INDEX('卡片raw data'!AM:AM,MATCH($D325,'卡片raw data'!$F:$F,))),1,0)</f>
        <v>1</v>
      </c>
      <c r="AU325" s="1098">
        <f>MIN(AT325*0.15+AS325*0.00003+INDEX(绊状态确认!M:M,MATCH($G325,绊状态确认!$B:$B,)),1)</f>
        <v>0.63888093883475994</v>
      </c>
      <c r="AV325" s="1109">
        <f>(INDEX(绊状态确认!$N:$N,MATCH($G325,绊状态确认!$B:$B,))+1.5)*$EW$21</f>
        <v>2.6599999999999997</v>
      </c>
      <c r="AW325" s="1101">
        <f t="shared" si="451"/>
        <v>21743.994608903482</v>
      </c>
      <c r="AX325" s="1097">
        <f t="shared" si="452"/>
        <v>966.0611724595733</v>
      </c>
      <c r="AY325" s="1110">
        <f t="shared" si="453"/>
        <v>22710.055781363055</v>
      </c>
      <c r="AZ325" s="429">
        <f t="shared" si="454"/>
        <v>15279.762216679999</v>
      </c>
      <c r="BA325" s="431">
        <f t="shared" si="455"/>
        <v>18335.714660015998</v>
      </c>
      <c r="BB325" s="1097">
        <f>(AM325*(1+$FB$9)+$FB$35)*(1+(INDEX(绊状态确认!$T:$T,MATCH($G325,绊状态确认!$B:$B,))+0.2)*AO325)*IF(J325=$FF$17,1+$FE$17,1)*IF(I325=$FF$14,1+$FE$14,1)*(1+$FE$15)</f>
        <v>11299.949959324</v>
      </c>
      <c r="BC325" s="1097">
        <f>(AN325*(1+$FB$10)+$FB$36)*(1+(INDEX(绊状态确认!$T:$T,MATCH($G325,绊状态确认!$B:$B,))+0.2)*AO325)*IF(J325=$FF$17,1+$FE$17,1)*IF(I325=$FF$14,1+$FE$14,1)*(1+$FE$15)</f>
        <v>15296.031294491997</v>
      </c>
      <c r="BD325" s="1104">
        <f>MIN(AT325*0.15+BC325*0.00003+INDEX(绊状态确认!M:M,MATCH($G325,绊状态确认!$B:$B,)),1)</f>
        <v>0.63888093883475994</v>
      </c>
      <c r="BE325" s="432">
        <f>(INDEX(绊状态确认!$N:$N,MATCH($G325,绊状态确认!$B:$B,))+1.5)</f>
        <v>1.9</v>
      </c>
      <c r="BF325" s="1139">
        <f t="array" ref="BF325">SUMPRODUCT(IF(AZ325*AP325*$FI$16:$FI$23*$FA$22&gt;=$FI$24,$FI$24,AZ325*AP325*$FI$16:$FI$23*$FA$22),$FJ$16:$FJ$23)</f>
        <v>30391.447048976523</v>
      </c>
      <c r="BG325" s="1125">
        <f t="array" ref="BG325">SUMPRODUCT(IF(BE325*AZ325*AP325*$FI$16:$FI$23*$FA$22&gt;=$FI$24,$FI$24,BE325*AZ325*AP325*$FI$16:$FI$23*$FA$22),$FJ$16:$FJ$23)</f>
        <v>55325.040520415663</v>
      </c>
      <c r="BH325" s="1110">
        <f t="shared" si="456"/>
        <v>15440.348218177933</v>
      </c>
      <c r="BI325" s="1111">
        <f>IF(O325="vo",$EW$26/$EW$24*0.05,0)+IF(O325="sk",-$EW$26/$EW$24*(0.05-INDEX(绊状态确认!W:W,MATCH($G325,绊状态确认!$B:$B,)))+0.05*$EW$28,0)+IF(O325="sp",0.05*$EW$32*$EW$30*(1-$EW$33)-(0.05-INDEX(绊状态确认!V:V,MATCH($G325,绊状态确认!$B:$B,)))*$EW$28,0)+IF(O325="gd",-(0.05-INDEX(绊状态确认!X:X,MATCH($G325,绊状态确认!$B:$B,)))*$EW$32*$EW$30*(1-$EW$33),0)</f>
        <v>-6253.6726349699375</v>
      </c>
      <c r="BJ325" s="1097">
        <f>IF(O325="vo",0.05*(1-$FI$26)*$FA$24,0)+IF(O325="sk",-(0.05-INDEX(绊状态确认!W:W,MATCH($G325,绊状态确认!$B:$B,)))*(1-$FI$26)*$FA$24+0.05*$FA$26,0)+IF(O325="sp",0.05*$FA$32*$FA$27*(1-$FA$33)/$FA$30+0.05*$FA$29/$FA$69*$FA$27*(1-$FA$33)-(0.05-INDEX(绊状态确认!V:V,MATCH($G325,绊状态确认!$B:$B,)))*$FA$26,0)+IF(O325="gd",-(0.05-INDEX(绊状态确认!X:X,MATCH($G325,绊状态确认!$B:$B,)))*$FA$32*$FA$27*(1-$FA$33)/$FA$30-(0.05-INDEX(绊状态确认!X:X,MATCH($G325,绊状态确认!$B:$B,)))*$FA$29/$FA$69*$FA$27*(1-$FA$33),0)</f>
        <v>20.459096812499922</v>
      </c>
      <c r="BK325" s="1110">
        <f>IF(O325="vo",$EW$26/$EW$24*0.05+$EW$26*(-HP($EW$62,$EW$65,$EW$64)+HP($EW$62,$EW$65,(1.05-INDEX(绊状态确认!U:U,MATCH($G325,绊状态确认!$B:$B,)))*$EW$64)),0)+IF(O325="sk",-$EW$26/$EW$24*(0.05-INDEX(绊状态确认!W:W,MATCH($G325,绊状态确认!$B:$B,)))+0.05*$EW$29,0)+IF(O325="sp",0.05*$EW$32*$EW$30*(1-$EW$33)-(0.05-INDEX(绊状态确认!V:V,MATCH($G325,绊状态确认!$B:$B,)))*$EW$29,0)+IF(O325="gd",-(0.05-INDEX(绊状态确认!X:X,MATCH($G325,绊状态确认!$B:$B,)))*$EW$32*$EW$30*(1-$EW$33)+$EW$26*(-HP($EW$62,$EW$65,$EW$64)+HP($EW$62,$EW$65,0.95*$EW$64)),0)</f>
        <v>-4253.6726349699375</v>
      </c>
      <c r="BL325" s="1111">
        <f t="shared" si="457"/>
        <v>-1083.3333333333333</v>
      </c>
      <c r="BM325" s="1110">
        <f t="shared" si="458"/>
        <v>-830.55555555555543</v>
      </c>
      <c r="BN325" s="1113">
        <f t="shared" si="459"/>
        <v>3</v>
      </c>
      <c r="BO325" s="1108">
        <f t="shared" si="460"/>
        <v>4507.7214871259994</v>
      </c>
      <c r="BP325" s="1100">
        <f t="shared" si="461"/>
        <v>221.34103209030098</v>
      </c>
      <c r="BQ325" s="1113" t="s">
        <v>132</v>
      </c>
      <c r="BR325" s="1124" t="s">
        <v>168</v>
      </c>
      <c r="BS325" s="1098">
        <f>IF($P325="","N/A",IF($P325=-1,INDEX('卡片raw data'!AX:AX,MATCH($D325,'卡片raw data'!$F:$F,)),0)+IF($L325="party卡",IF($P325=5,INDEX('卡片raw data'!BD:BD,MATCH($D325,'卡片raw data'!$F:$F,)),IF($P325&gt;=3,INDEX('卡片raw data'!BC:BC,MATCH($D325,'卡片raw data'!$F:$F,)),INDEX('卡片raw data'!BB:BB,MATCH($D325,'卡片raw data'!$F:$F,)))),IF(OR(AND($F325="UR",$P325=0),AND($F325="SR",$P325&gt;=0,$P325&lt;=2),AND($F325="R",$P325&gt;=0,$P325&lt;4)),INDEX('卡片raw data'!AZ:AZ,MATCH($D325,'卡片raw data'!$F:$F,)),0)+IF(OR(AND($F325="UR",$P325&gt;=1,$P325&lt;=4),AND($F325="SR",$P325&lt;=4,$P325&gt;=3),AND($F325="R",$P325=4)),INDEX('卡片raw data'!BA:BA,MATCH($D325,'卡片raw data'!$F:$F,)),0)+IF($P325=5,INDEX('卡片raw data'!BB:BB,MATCH($D325,'卡片raw data'!$F:$F,)),0)))</f>
        <v>0.05</v>
      </c>
      <c r="BT325" s="1101">
        <f t="shared" si="462"/>
        <v>3756.4345726050001</v>
      </c>
      <c r="BU325" s="1097">
        <f t="shared" si="463"/>
        <v>184.45086007525089</v>
      </c>
      <c r="BV325" s="1097">
        <f t="shared" si="464"/>
        <v>0</v>
      </c>
      <c r="BW325" s="1112">
        <f t="shared" si="465"/>
        <v>0</v>
      </c>
      <c r="BX325" s="1100">
        <f t="shared" si="466"/>
        <v>3756.4345726050001</v>
      </c>
      <c r="BY325" s="1110">
        <f t="shared" si="467"/>
        <v>0</v>
      </c>
      <c r="BZ325" s="1113" t="s">
        <v>569</v>
      </c>
      <c r="CA325" s="1124"/>
      <c r="CB325" s="1098">
        <f>IF($P325="","N/A",IF($P325=-1,INDEX('卡片raw data'!BE:BE,MATCH($D325,'卡片raw data'!$F:$F,)),0)+IF($L325="party卡",IF($P325=5,INDEX('卡片raw data'!BK:BK,MATCH($D325,'卡片raw data'!$F:$F,)),IF($P325&gt;=3,INDEX('卡片raw data'!BJ:BJ,MATCH($D325,'卡片raw data'!$F:$F,)),INDEX('卡片raw data'!BI:BI,MATCH($D325,'卡片raw data'!$F:$F,)))),IF(OR(AND($F325="UR",$P325=0),AND($F325="SR",$P325&gt;=0,$P325&lt;=2),AND($F325="R",$P325&gt;=0,$P325&lt;4)),INDEX('卡片raw data'!BG:BG,MATCH($D325,'卡片raw data'!$F:$F,)),0)+IF(OR(AND($F325="UR",$P325&gt;=1,$P325&lt;=4),AND($F325="SR",$P325&lt;=4,$P325&gt;=3),AND($F325="R",$P325=4)),INDEX('卡片raw data'!BH:BH,MATCH($D325,'卡片raw data'!$F:$F,)),0)+IF($P325=5,INDEX('卡片raw data'!BI:BI,MATCH($D325,'卡片raw data'!$F:$F,)),0)))</f>
        <v>0</v>
      </c>
      <c r="CC325" s="1101">
        <f t="shared" si="468"/>
        <v>0</v>
      </c>
      <c r="CD325" s="1097">
        <f>IF(BZ325="ap",CB325*(1-$FI$26)*$FB$5/$FB$11*(+IF(CA325="全员",$FA$24,0)+IF(CA325="同作战",$FA$24,0)+IF(CA325="仲间",$FA$24*2/3,0)+IF(CA325="同属性",$FA$24*$FA$37/3,0)+IF(CA325="同年级",$FA$24*$FA$40/3,0)+IF(CA325="同学校",$FA$24*$FA$43/3,0)+IF(CA325="同小队",$FA$24*$FA$46/3,0)+IF(CA325="同type",$FA$24*INDEX($FB$49:$FB$52,MATCH(X325,$FA$49:$FA$52,))/3,0)+IF(CA325="自身",#REF!/3,0)),0)+IF(BZ325="te",CB325*(1-$FI$27)*($FA$20-1)*$FB$7/$FB$13*(+IF(CA325="全员",$FA$19*$FA$24/(1+($FA$20-1)*$FA$19),0)+IF(CA325="同作战",$FA$19*$FA$24/(1+($FA$20-1)*$FA$19),0)+IF(CA325="仲间",$FA$19*$FA$24*2/3/(1+($FA$20-1)*$FA$19),0)+IF(CA325="同属性",$FA$19*$FA$24*$FA$37/3/(1+($FA$20-1)*$FA$19),0)+IF(CA325="同年级",$FA$19*$FA$24*$FA$40/3/(1+($FA$20-1)*$FA$19),0)+IF(CA325="同学校",$FA$19*$FA$24*$FA$43/3/(1+($FA$20-1)*$FA$19),0)+IF(CA325="同小队",$FA$19*$FA$24*$FA$46/3/(1+($FA$20-1)*$FA$19),0)+IF(CA325="同type",$FA$19*$FA$24*INDEX($FB$49:$FB$52,MATCH(X325,$FA$49:$FA$52,))/3/(1+($FA$20-1)*$FA$19),0)+IF(CA325="自身",$FA$19*#REF!/3/(1+(BH325-1)*$BD325),0)),0)</f>
        <v>0</v>
      </c>
      <c r="CE325" s="1097">
        <f t="shared" si="469"/>
        <v>0</v>
      </c>
      <c r="CF325" s="1112">
        <f t="shared" si="470"/>
        <v>0</v>
      </c>
      <c r="CG325" s="1100">
        <f t="shared" si="471"/>
        <v>0</v>
      </c>
      <c r="CH325" s="1110">
        <f t="shared" si="472"/>
        <v>0</v>
      </c>
      <c r="CI325" s="1113" t="s">
        <v>162</v>
      </c>
      <c r="CJ325" s="1114">
        <v>1</v>
      </c>
      <c r="CK325" s="1115" t="s">
        <v>167</v>
      </c>
      <c r="CL325" s="1115" t="s">
        <v>1155</v>
      </c>
      <c r="CM325" s="1119">
        <f>0.04</f>
        <v>0.04</v>
      </c>
      <c r="CN325" s="1115">
        <v>5</v>
      </c>
      <c r="CO325" s="1092"/>
      <c r="CP325" s="1118">
        <f t="shared" si="473"/>
        <v>4.2857142857142859E-3</v>
      </c>
      <c r="CQ325" s="1118">
        <f t="shared" si="474"/>
        <v>6.666666666666668E-3</v>
      </c>
      <c r="CR325" s="1118">
        <f t="shared" si="475"/>
        <v>0</v>
      </c>
      <c r="CS325" s="1118">
        <f t="shared" si="476"/>
        <v>0</v>
      </c>
      <c r="CT325" s="1109">
        <f t="shared" si="477"/>
        <v>0</v>
      </c>
      <c r="CU325" s="1101">
        <f t="shared" si="478"/>
        <v>582.78399226414717</v>
      </c>
      <c r="CV325" s="1108">
        <f t="shared" si="479"/>
        <v>43.770481875000016</v>
      </c>
      <c r="CW325" s="1097">
        <f t="shared" si="480"/>
        <v>0</v>
      </c>
      <c r="CX325" s="1097">
        <f t="shared" si="481"/>
        <v>582.78399226414717</v>
      </c>
      <c r="CY325" s="1110">
        <f t="shared" si="482"/>
        <v>0</v>
      </c>
      <c r="CZ325" s="437"/>
      <c r="DA325" s="438"/>
      <c r="DB325" s="439" t="s">
        <v>569</v>
      </c>
      <c r="DC325" s="439"/>
      <c r="DD325" s="443"/>
      <c r="DE325" s="411"/>
      <c r="DF325" s="411"/>
      <c r="DG325" s="1116">
        <f t="shared" si="483"/>
        <v>0</v>
      </c>
      <c r="DH325" s="1116">
        <f t="shared" si="484"/>
        <v>0</v>
      </c>
      <c r="DI325" s="1116">
        <f t="shared" si="485"/>
        <v>0</v>
      </c>
      <c r="DJ325" s="442">
        <f t="shared" si="486"/>
        <v>0</v>
      </c>
      <c r="DK325" s="1109">
        <f t="shared" si="487"/>
        <v>0</v>
      </c>
      <c r="DL325" s="1101">
        <f t="shared" si="488"/>
        <v>0</v>
      </c>
      <c r="DM325" s="1097">
        <f t="shared" si="489"/>
        <v>0</v>
      </c>
      <c r="DN325" s="1097">
        <f t="shared" si="490"/>
        <v>0</v>
      </c>
      <c r="DO325" s="1097">
        <f t="shared" si="491"/>
        <v>0</v>
      </c>
      <c r="DP325" s="1110">
        <f t="shared" si="492"/>
        <v>0</v>
      </c>
      <c r="DQ325" s="1113" t="s">
        <v>636</v>
      </c>
      <c r="DR325" s="1120">
        <f t="shared" si="493"/>
        <v>0.3</v>
      </c>
      <c r="DS325" s="1124"/>
      <c r="DT325" s="1093" t="s">
        <v>134</v>
      </c>
      <c r="DU325" s="1093"/>
      <c r="DV325" s="1098">
        <f>IF($P325="","N/A",IF(P325=-1,INDEX('卡片raw data'!AN:AN,MATCH(D325,'卡片raw data'!$F:$F,)),0)+IF(AND(L325&lt;&gt;"party卡",P325&lt;=2,P325&gt;=0),INDEX('卡片raw data'!AP:AP,MATCH(D325,'卡片raw data'!$F:$F,)),0)+IF(OR(AND(L325="party卡",P325&lt;=1),AND(P325&lt;=4,L325&lt;&gt;"party卡",P325&gt;=3)),INDEX('卡片raw data'!AQ:AQ,MATCH(D325,'卡片raw data'!$F:$F,)),0)+IF(OR(P325=5,AND(L325="party卡",P325&gt;=2)),INDEX('卡片raw data'!AR:AR,MATCH(D325,'卡片raw data'!$F:$F,)),0))</f>
        <v>0.27</v>
      </c>
      <c r="DW325" s="1098">
        <f t="shared" si="494"/>
        <v>0.3</v>
      </c>
      <c r="DX325" s="1098">
        <f t="shared" si="495"/>
        <v>0.3</v>
      </c>
      <c r="DY325" s="1097">
        <f t="shared" si="496"/>
        <v>412.99284495128398</v>
      </c>
      <c r="DZ325" s="1097">
        <f t="shared" si="497"/>
        <v>357.23881088286066</v>
      </c>
      <c r="EA325" s="1098">
        <f t="shared" si="498"/>
        <v>0</v>
      </c>
      <c r="EB325" s="1121">
        <f t="shared" si="499"/>
        <v>0</v>
      </c>
      <c r="EC325" s="1101">
        <f t="shared" si="500"/>
        <v>0</v>
      </c>
      <c r="ED325" s="1097">
        <f t="shared" si="501"/>
        <v>0</v>
      </c>
      <c r="EE325" s="1110">
        <f t="shared" si="502"/>
        <v>48435.03108962375</v>
      </c>
      <c r="EF325" s="1115" t="s">
        <v>569</v>
      </c>
      <c r="EG325" s="1120">
        <f t="shared" si="503"/>
        <v>0.3</v>
      </c>
      <c r="EH325" s="1124"/>
      <c r="EI325" s="1093"/>
      <c r="EJ325" s="1093"/>
      <c r="EK325" s="1097">
        <f>IF($P325="","N/A",IF(P325=-1,INDEX('卡片raw data'!AS:AS,MATCH(D325,'卡片raw data'!$F:$F,)),0)+IF(AND(L325&lt;&gt;"party卡",P325&lt;=2,P325&gt;=0),INDEX('卡片raw data'!AU:AU,MATCH(D325,'卡片raw data'!$F:$F,)),0)+IF(OR(AND(L325="party卡",P325&lt;=1),AND(P325&lt;=4,L325&lt;&gt;"party卡",P325&gt;=3)),INDEX('卡片raw data'!AV:AV,MATCH(D325,'卡片raw data'!$F:$F,)),0)+IF(OR(P325=5,AND(L325="party卡",P325&gt;=2)),INDEX('卡片raw data'!AW:AW,MATCH(D325,'卡片raw data'!$F:$F,)),0))</f>
        <v>0</v>
      </c>
      <c r="EL325" s="1098">
        <f t="shared" si="504"/>
        <v>0.3</v>
      </c>
      <c r="EM325" s="1098">
        <f t="shared" si="505"/>
        <v>0.3</v>
      </c>
      <c r="EN325" s="1097">
        <f t="shared" si="506"/>
        <v>0</v>
      </c>
      <c r="EO325" s="1125">
        <f t="shared" si="507"/>
        <v>0</v>
      </c>
      <c r="EP325" s="1098">
        <f t="shared" si="508"/>
        <v>0</v>
      </c>
      <c r="EQ325" s="1121">
        <f t="shared" si="509"/>
        <v>0</v>
      </c>
      <c r="ER325" s="1101">
        <f t="shared" si="510"/>
        <v>0</v>
      </c>
      <c r="ES325" s="1097">
        <f t="shared" si="511"/>
        <v>0</v>
      </c>
      <c r="ET325" s="1122">
        <f t="shared" si="512"/>
        <v>0</v>
      </c>
    </row>
    <row r="326" spans="2:150" ht="16.5" customHeight="1">
      <c r="B326" s="1123" t="str">
        <f>INDEX('卡片raw data'!B:B,MATCH($D326,'卡片raw data'!$F:$F,))</f>
        <v>中秋雫</v>
      </c>
      <c r="C326" s="449" t="s">
        <v>1268</v>
      </c>
      <c r="D326" s="408">
        <v>323</v>
      </c>
      <c r="E326" s="1090">
        <v>402033002</v>
      </c>
      <c r="F326" s="1090" t="str">
        <f>INDEX('卡片raw data'!C:C,MATCH($D326,'卡片raw data'!$F:$F,))</f>
        <v>UR</v>
      </c>
      <c r="G326" s="1094" t="s">
        <v>1269</v>
      </c>
      <c r="H326" s="411">
        <f>IFERROR(INDEX(绊状态确认!C:C,MATCH($G326,绊状态确认!$B:$B,)),"")</f>
        <v>203</v>
      </c>
      <c r="I326" s="450" t="str">
        <f>IFERROR(INDEX(绊状态确认!D:D,MATCH($G326,绊状态确认!$B:$B,)),"")</f>
        <v>虹</v>
      </c>
      <c r="J326" s="450" t="str">
        <f>IFERROR(INDEX(绊状态确认!E:E,MATCH($G326,绊状态确认!$B:$B,)),"")</f>
        <v>1年级</v>
      </c>
      <c r="K326" s="451" t="str">
        <f>IFERROR(INDEX(绊状态确认!F:F,MATCH($G326,绊状态确认!$B:$B,)),"")</f>
        <v>A·ZU·NA</v>
      </c>
      <c r="L326" s="1094" t="str">
        <f>INDEX('卡片raw data'!E:E,MATCH($D326,'卡片raw data'!$F:$F,))</f>
        <v>卡池卡</v>
      </c>
      <c r="M326" s="415">
        <v>44108</v>
      </c>
      <c r="N326" s="416">
        <v>25</v>
      </c>
      <c r="O326" s="1091" t="str">
        <f>INDEX('卡片raw data'!D:D,MATCH($D326,'卡片raw data'!$F:$F,))</f>
        <v>vo</v>
      </c>
      <c r="P326" s="1126">
        <v>5</v>
      </c>
      <c r="Q326" s="1095">
        <f t="shared" si="428"/>
        <v>60954.679043551703</v>
      </c>
      <c r="R326" s="1096">
        <f t="shared" si="429"/>
        <v>0.70799999999999996</v>
      </c>
      <c r="S326" s="1097">
        <f t="shared" si="430"/>
        <v>22180.998926581342</v>
      </c>
      <c r="T326" s="1098">
        <f t="shared" si="431"/>
        <v>1.109</v>
      </c>
      <c r="U326" s="1099">
        <f t="shared" si="432"/>
        <v>-10.972875994857143</v>
      </c>
      <c r="V326" s="1100">
        <f t="shared" si="433"/>
        <v>60773.69925201343</v>
      </c>
      <c r="W326" s="1101">
        <f t="shared" si="434"/>
        <v>5940.5831937880985</v>
      </c>
      <c r="X326" s="1096">
        <f t="shared" si="435"/>
        <v>6.9000000000000006E-2</v>
      </c>
      <c r="Y326" s="1097">
        <f t="shared" si="436"/>
        <v>1123.6886587034223</v>
      </c>
      <c r="Z326" s="1102">
        <f t="shared" si="437"/>
        <v>14.027124005142857</v>
      </c>
      <c r="AA326" s="1103">
        <f t="shared" si="438"/>
        <v>7064.2718524915208</v>
      </c>
      <c r="AB326" s="1101">
        <f t="shared" si="439"/>
        <v>6808.7369616790329</v>
      </c>
      <c r="AC326" s="1104">
        <f t="shared" si="440"/>
        <v>7.9000000000000001E-2</v>
      </c>
      <c r="AD326" s="1105">
        <f t="shared" si="441"/>
        <v>0</v>
      </c>
      <c r="AE326" s="1128">
        <f t="shared" si="442"/>
        <v>0</v>
      </c>
      <c r="AF326" s="1130">
        <f t="shared" si="443"/>
        <v>0</v>
      </c>
      <c r="AG326" s="420">
        <f t="shared" si="444"/>
        <v>0</v>
      </c>
      <c r="AH326" s="420">
        <f t="shared" si="445"/>
        <v>0</v>
      </c>
      <c r="AI326" s="1097">
        <f t="shared" si="446"/>
        <v>0</v>
      </c>
      <c r="AJ326" s="420">
        <f t="shared" si="447"/>
        <v>0</v>
      </c>
      <c r="AK326" s="518">
        <f t="shared" si="448"/>
        <v>0</v>
      </c>
      <c r="AL326" s="1106">
        <f>IF($P326="","N/A",(IF($P326=-1,INDEX('卡片raw data'!S:S,MATCH($D326,'卡片raw data'!$F:$F,)),0)+IF($P326=0,INDEX('卡片raw data'!V:V,MATCH($D326,'卡片raw data'!$F:$F,)),0)+IF($P326=1,INDEX('卡片raw data'!Y:Y,MATCH($D326,'卡片raw data'!$F:$F,)),0)+IF($P326=2,INDEX('卡片raw data'!AB:AB,MATCH($D326,'卡片raw data'!$F:$F,)),0)+IF($P326=3,INDEX('卡片raw data'!AE:AE,MATCH($D326,'卡片raw data'!$F:$F,)),0)+IF($P326=4,INDEX('卡片raw data'!AH:AH,MATCH($D326,'卡片raw data'!$F:$F,)),0)+IF($P326=5,INDEX('卡片raw data'!AK:AK,MATCH($D326,'卡片raw data'!$F:$F,)),0)+INDEX('卡片raw data'!S:S,MATCH($D326,'卡片raw data'!$F:$F,))*(IF($F326="UR",0.04,0.033))*(IF($F326="UR",INDEX(绊状态确认!$S:$S,MATCH($G326,绊状态确认!$B:$B,))/2-40)+IF($F326="SR",INDEX(绊状态确认!$R:$R,MATCH($G326,绊状态确认!$B:$B,))/4-15))+IF($F326="R",INDEX(绊状态确认!$Q:$Q,MATCH($G326,绊状态确认!$B:$B,))/6-40/6)))*(INDEX(绊状态确认!$H:$H,MATCH($G326,绊状态确认!$B:$B,))+INDEX(绊状态确认!J:J,MATCH($G326,绊状态确认!$B:$B,)))</f>
        <v>14228.637119999998</v>
      </c>
      <c r="AM326" s="1106">
        <f>IF($P326="","N/A",(IF($P326=-1,INDEX('卡片raw data'!T:T,MATCH($D326,'卡片raw data'!$F:$F,)),0)+IF($P326=0,INDEX('卡片raw data'!W:W,MATCH($D326,'卡片raw data'!$F:$F,)),0)+IF($P326=1,INDEX('卡片raw data'!Z:Z,MATCH($D326,'卡片raw data'!$F:$F,)),0)+IF($P326=2,INDEX('卡片raw data'!AC:AC,MATCH($D326,'卡片raw data'!$F:$F,)),0)+IF($P326=3,INDEX('卡片raw data'!AF:AF,MATCH($D326,'卡片raw data'!$F:$F,)),0)+IF($P326=4,INDEX('卡片raw data'!AI:AI,MATCH($D326,'卡片raw data'!$F:$F,)),0)+IF($P326=5,INDEX('卡片raw data'!AL:AL,MATCH($D326,'卡片raw data'!$F:$F,)),0)+INDEX('卡片raw data'!T:T,MATCH($D326,'卡片raw data'!$F:$F,))*(IF($F326="UR",0.04,0.033))*(IF($F326="UR",INDEX(绊状态确认!$S:$S,MATCH($G326,绊状态确认!$B:$B,))/2-40)+IF($F326="SR",INDEX(绊状态确认!$R:$R,MATCH($G326,绊状态确认!$B:$B,))/4-15))+IF($F326="R",INDEX(绊状态确认!$Q:$Q,MATCH($G326,绊状态确认!$B:$B,))/6-40/6)))*(INDEX(绊状态确认!$H:$H,MATCH($G326,绊状态确认!$B:$B,))+INDEX(绊状态确认!K:K,MATCH($G326,绊状态确认!$B:$B,)))</f>
        <v>7610.2435199999991</v>
      </c>
      <c r="AN326" s="1106">
        <f>IF($P326="","N/A",(IF($P326=-1,INDEX('卡片raw data'!U:U,MATCH($D326,'卡片raw data'!$F:$F,)),0)+IF($P326=0,INDEX('卡片raw data'!X:X,MATCH($D326,'卡片raw data'!$F:$F,)),0)+IF($P326=1,INDEX('卡片raw data'!AA:AA,MATCH($D326,'卡片raw data'!$F:$F,)),0)+IF($P326=2,INDEX('卡片raw data'!AD:AD,MATCH($D326,'卡片raw data'!$F:$F,)),0)+IF($P326=3,INDEX('卡片raw data'!AG:AG,MATCH($D326,'卡片raw data'!$F:$F,)),0)+IF($P326=4,INDEX('卡片raw data'!AJ:AJ,MATCH($D326,'卡片raw data'!$F:$F,)),0)+IF($P326=5,INDEX('卡片raw data'!AM:AM,MATCH($D326,'卡片raw data'!$F:$F,)),0)+INDEX('卡片raw data'!U:U,MATCH($D326,'卡片raw data'!$F:$F,))*(IF($F326="UR",0.04,0.033))*(IF($F326="UR",INDEX(绊状态确认!$S:$S,MATCH($G326,绊状态确认!$B:$B,))/2-40)+IF($F326="SR",INDEX(绊状态确认!$R:$R,MATCH($G326,绊状态确认!$B:$B,))/4-15))+IF($F326="R",INDEX(绊状态确认!$Q:$Q,MATCH($G326,绊状态确认!$B:$B,))/6-40/6)))*(INDEX(绊状态确认!$H:$H,MATCH($G326,绊状态确认!$B:$B,))+INDEX(绊状态确认!L:L,MATCH($G326,绊状态确认!$B:$B,)))</f>
        <v>11250.814559999999</v>
      </c>
      <c r="AO326" s="1107">
        <f t="shared" si="449"/>
        <v>1</v>
      </c>
      <c r="AP326" s="1131">
        <f>1+(INDEX(绊状态确认!$T:$T,MATCH($G326,绊状态确认!$B:$B,))+0.2)*$AO326</f>
        <v>1.3</v>
      </c>
      <c r="AQ326" s="1108">
        <f t="shared" si="450"/>
        <v>40600.172439999995</v>
      </c>
      <c r="AR326" s="1097">
        <f>(AM326*(1+$EX$9)+$EX$35)*(1+(INDEX(绊状态确认!$T:$T,MATCH($G326,绊状态确认!$B:$B,))+0.2)*AO326)*IF(J326=$FF$17,1+$FE$17,1)*IF(I326=$FF$14,1+$FE$14,1)</f>
        <v>13091.982404800001</v>
      </c>
      <c r="AS326" s="1097">
        <f>(AN326*(1+$EX$10)+$EX$36)*(1+(INDEX(绊状态确认!$T:$T,MATCH($G326,绊状态确认!$B:$B,))+0.2)*AO326)*IF(J326=$FF$17,1+$FE$17,1)*IF(I326=$FF$14,1+$FE$14,1)</f>
        <v>20875.967767199996</v>
      </c>
      <c r="AT326" s="1093">
        <f>IF(AND(INDEX('卡片raw data'!AK:AK,MATCH($D326,'卡片raw data'!$F:$F,))&lt;INDEX('卡片raw data'!AM:AM,MATCH($D326,'卡片raw data'!$F:$F,)),INDEX('卡片raw data'!AL:AL,MATCH($D326,'卡片raw data'!$F:$F,))&lt;INDEX('卡片raw data'!AM:AM,MATCH($D326,'卡片raw data'!$F:$F,))),1,0)</f>
        <v>0</v>
      </c>
      <c r="AU326" s="1098">
        <f>MIN(AT326*0.15+AS326*0.00003+INDEX(绊状态确认!M:M,MATCH($G326,绊状态确认!$B:$B,)),1)</f>
        <v>0.65627903301599988</v>
      </c>
      <c r="AV326" s="1109">
        <f>(INDEX(绊状态确认!$N:$N,MATCH($G326,绊状态确认!$B:$B,))+1.5)*$EW$21</f>
        <v>2.6599999999999997</v>
      </c>
      <c r="AW326" s="1101">
        <f t="shared" si="451"/>
        <v>44056.668517947852</v>
      </c>
      <c r="AX326" s="1097">
        <f t="shared" si="452"/>
        <v>1123.6886587034221</v>
      </c>
      <c r="AY326" s="1110">
        <f t="shared" si="453"/>
        <v>45180.357176651276</v>
      </c>
      <c r="AZ326" s="429">
        <f t="shared" si="454"/>
        <v>30345.842383999996</v>
      </c>
      <c r="BA326" s="431">
        <f t="shared" si="455"/>
        <v>36415.010860799994</v>
      </c>
      <c r="BB326" s="1097">
        <f>(AM326*(1+$FB$9)+$FB$35)*(1+(INDEX(绊状态确认!$T:$T,MATCH($G326,绊状态确认!$B:$B,))+0.2)*AO326)*IF(J326=$FF$17,1+$FE$17,1)*IF(I326=$FF$14,1+$FE$14,1)*(1+$FE$15)</f>
        <v>13091.982404800001</v>
      </c>
      <c r="BC326" s="1097">
        <f>(AN326*(1+$FB$10)+$FB$36)*(1+(INDEX(绊状态确认!$T:$T,MATCH($G326,绊状态确认!$B:$B,))+0.2)*AO326)*IF(J326=$FF$17,1+$FE$17,1)*IF(I326=$FF$14,1+$FE$14,1)*(1+$FE$15)</f>
        <v>20875.967767199996</v>
      </c>
      <c r="BD326" s="1104">
        <f>MIN(AT326*0.15+BC326*0.00003+INDEX(绊状态确认!M:M,MATCH($G326,绊状态确认!$B:$B,)),1)</f>
        <v>0.65627903301599988</v>
      </c>
      <c r="BE326" s="432">
        <f>(INDEX(绊状态确认!$N:$N,MATCH($G326,绊状态确认!$B:$B,))+1.5)</f>
        <v>1.9</v>
      </c>
      <c r="BF326" s="1139">
        <f t="array" ref="BF326">SUMPRODUCT(IF(AZ326*AP326*$FI$16:$FI$23*$FA$22&gt;=$FI$24,$FI$24,AZ326*AP326*$FI$16:$FI$23*$FA$22),$FJ$16:$FJ$23)</f>
        <v>56743.163932335992</v>
      </c>
      <c r="BG326" s="1125">
        <f t="array" ref="BG326">SUMPRODUCT(IF(BE326*AZ326*AP326*$FI$16:$FI$23*$FA$22&gt;=$FI$24,$FI$24,BE326*AZ326*AP326*$FI$16:$FI$23*$FA$22),$FJ$16:$FJ$23)</f>
        <v>60000</v>
      </c>
      <c r="BH326" s="1110">
        <f t="shared" si="456"/>
        <v>19626.852385838054</v>
      </c>
      <c r="BI326" s="1111">
        <f>IF(O326="vo",$EW$26/$EW$24*0.05,0)+IF(O326="sk",-$EW$26/$EW$24*(0.05-INDEX(绊状态确认!W:W,MATCH($G326,绊状态确认!$B:$B,)))+0.05*$EW$28,0)+IF(O326="sp",0.05*$EW$32*$EW$30*(1-$EW$33)-(0.05-INDEX(绊状态确认!V:V,MATCH($G326,绊状态确认!$B:$B,)))*$EW$28,0)+IF(O326="gd",-(0.05-INDEX(绊状态确认!X:X,MATCH($G326,绊状态确认!$B:$B,)))*$EW$32*$EW$30*(1-$EW$33),0)</f>
        <v>7726.3029277443748</v>
      </c>
      <c r="BJ326" s="1097">
        <f>IF(O326="vo",0.05*(1-$FI$26)*$FA$24,0)+IF(O326="sk",-(0.05-INDEX(绊状态确认!W:W,MATCH($G326,绊状态确认!$B:$B,)))*(1-$FI$26)*$FA$24+0.05*$FA$26,0)+IF(O326="sp",0.05*$FA$32*$FA$27*(1-$FA$33)/$FA$30+0.05*$FA$29/$FA$69*$FA$27*(1-$FA$33)-(0.05-INDEX(绊状态确认!V:V,MATCH($G326,绊状态确认!$B:$B,)))*$FA$26,0)+IF(O326="gd",-(0.05-INDEX(绊状态确认!X:X,MATCH($G326,绊状态确认!$B:$B,)))*$FA$32*$FA$27*(1-$FA$33)/$FA$30-(0.05-INDEX(绊状态确认!X:X,MATCH($G326,绊状态确认!$B:$B,)))*$FA$29/$FA$69*$FA$27*(1-$FA$33),0)</f>
        <v>393.93433687500004</v>
      </c>
      <c r="BK326" s="1110">
        <f>IF(O326="vo",$EW$26/$EW$24*0.05+$EW$26*(-HP($EW$62,$EW$65,$EW$64)+HP($EW$62,$EW$65,(1.05-INDEX(绊状态确认!U:U,MATCH($G326,绊状态确认!$B:$B,)))*$EW$64)),0)+IF(O326="sk",-$EW$26/$EW$24*(0.05-INDEX(绊状态确认!W:W,MATCH($G326,绊状态确认!$B:$B,)))+0.05*$EW$29,0)+IF(O326="sp",0.05*$EW$32*$EW$30*(1-$EW$33)-(0.05-INDEX(绊状态确认!V:V,MATCH($G326,绊状态确认!$B:$B,)))*$EW$29,0)+IF(O326="gd",-(0.05-INDEX(绊状态确认!X:X,MATCH($G326,绊状态确认!$B:$B,)))*$EW$32*$EW$30*(1-$EW$33)+$EW$26*(-HP($EW$62,$EW$65,$EW$64)+HP($EW$62,$EW$65,0.95*$EW$64)),0)</f>
        <v>6421.6344775026746</v>
      </c>
      <c r="BL326" s="1111">
        <f t="shared" si="457"/>
        <v>0</v>
      </c>
      <c r="BM326" s="1110">
        <f t="shared" si="458"/>
        <v>0</v>
      </c>
      <c r="BN326" s="1113">
        <f t="shared" si="459"/>
        <v>3</v>
      </c>
      <c r="BO326" s="1108">
        <f t="shared" si="460"/>
        <v>4507.7214871259994</v>
      </c>
      <c r="BP326" s="1100">
        <f t="shared" si="461"/>
        <v>221.34103209030098</v>
      </c>
      <c r="BQ326" s="1113" t="s">
        <v>132</v>
      </c>
      <c r="BR326" s="1124" t="s">
        <v>617</v>
      </c>
      <c r="BS326" s="1098">
        <f>IF($P326="","N/A",IF($P326=-1,INDEX('卡片raw data'!AX:AX,MATCH($D326,'卡片raw data'!$F:$F,)),0)+IF($L326="party卡",IF($P326=5,INDEX('卡片raw data'!BD:BD,MATCH($D326,'卡片raw data'!$F:$F,)),IF($P326&gt;=3,INDEX('卡片raw data'!BC:BC,MATCH($D326,'卡片raw data'!$F:$F,)),INDEX('卡片raw data'!BB:BB,MATCH($D326,'卡片raw data'!$F:$F,)))),IF(OR(AND($F326="UR",$P326=0),AND($F326="SR",$P326&gt;=0,$P326&lt;=2),AND($F326="R",$P326&gt;=0,$P326&lt;4)),INDEX('卡片raw data'!AZ:AZ,MATCH($D326,'卡片raw data'!$F:$F,)),0)+IF(OR(AND($F326="UR",$P326&gt;=1,$P326&lt;=4),AND($F326="SR",$P326&lt;=4,$P326&gt;=3),AND($F326="R",$P326=4)),INDEX('卡片raw data'!BA:BA,MATCH($D326,'卡片raw data'!$F:$F,)),0)+IF($P326=5,INDEX('卡片raw data'!BB:BB,MATCH($D326,'卡片raw data'!$F:$F,)),0)))</f>
        <v>5.1999999999999998E-2</v>
      </c>
      <c r="BT326" s="1101">
        <f t="shared" si="462"/>
        <v>2170.3844197273338</v>
      </c>
      <c r="BU326" s="1097">
        <f t="shared" si="463"/>
        <v>106.57160804347826</v>
      </c>
      <c r="BV326" s="1097">
        <f t="shared" si="464"/>
        <v>1302.2306518363998</v>
      </c>
      <c r="BW326" s="1112">
        <f t="shared" si="465"/>
        <v>0</v>
      </c>
      <c r="BX326" s="1100">
        <f t="shared" si="466"/>
        <v>2170.3844197273338</v>
      </c>
      <c r="BY326" s="1110">
        <f t="shared" si="467"/>
        <v>1302.2306518363998</v>
      </c>
      <c r="BZ326" s="1113" t="s">
        <v>569</v>
      </c>
      <c r="CA326" s="1124"/>
      <c r="CB326" s="1098">
        <f>IF($P326="","N/A",IF($P326=-1,INDEX('卡片raw data'!BE:BE,MATCH($D326,'卡片raw data'!$F:$F,)),0)+IF($L326="party卡",IF($P326=5,INDEX('卡片raw data'!BK:BK,MATCH($D326,'卡片raw data'!$F:$F,)),IF($P326&gt;=3,INDEX('卡片raw data'!BJ:BJ,MATCH($D326,'卡片raw data'!$F:$F,)),INDEX('卡片raw data'!BI:BI,MATCH($D326,'卡片raw data'!$F:$F,)))),IF(OR(AND($F326="UR",$P326=0),AND($F326="SR",$P326&gt;=0,$P326&lt;=2),AND($F326="R",$P326&gt;=0,$P326&lt;4)),INDEX('卡片raw data'!BG:BG,MATCH($D326,'卡片raw data'!$F:$F,)),0)+IF(OR(AND($F326="UR",$P326&gt;=1,$P326&lt;=4),AND($F326="SR",$P326&lt;=4,$P326&gt;=3),AND($F326="R",$P326=4)),INDEX('卡片raw data'!BH:BH,MATCH($D326,'卡片raw data'!$F:$F,)),0)+IF($P326=5,INDEX('卡片raw data'!BI:BI,MATCH($D326,'卡片raw data'!$F:$F,)),0)))</f>
        <v>0</v>
      </c>
      <c r="CC326" s="1101">
        <f t="shared" si="468"/>
        <v>0</v>
      </c>
      <c r="CD326" s="1097">
        <f>IF(BZ326="ap",CB326*(1-$FI$26)*$FB$5/$FB$11*(+IF(CA326="全员",$FA$24,0)+IF(CA326="同作战",$FA$24,0)+IF(CA326="仲间",$FA$24*2/3,0)+IF(CA326="同属性",$FA$24*$FA$37/3,0)+IF(CA326="同年级",$FA$24*$FA$40/3,0)+IF(CA326="同学校",$FA$24*$FA$43/3,0)+IF(CA326="同小队",$FA$24*$FA$46/3,0)+IF(CA326="同type",$FA$24*INDEX($FB$49:$FB$52,MATCH(X326,$FA$49:$FA$52,))/3,0)+IF(CA326="自身",#REF!/3,0)),0)+IF(BZ326="te",CB326*(1-$FI$27)*($FA$20-1)*$FB$7/$FB$13*(+IF(CA326="全员",$FA$19*$FA$24/(1+($FA$20-1)*$FA$19),0)+IF(CA326="同作战",$FA$19*$FA$24/(1+($FA$20-1)*$FA$19),0)+IF(CA326="仲间",$FA$19*$FA$24*2/3/(1+($FA$20-1)*$FA$19),0)+IF(CA326="同属性",$FA$19*$FA$24*$FA$37/3/(1+($FA$20-1)*$FA$19),0)+IF(CA326="同年级",$FA$19*$FA$24*$FA$40/3/(1+($FA$20-1)*$FA$19),0)+IF(CA326="同学校",$FA$19*$FA$24*$FA$43/3/(1+($FA$20-1)*$FA$19),0)+IF(CA326="同小队",$FA$19*$FA$24*$FA$46/3/(1+($FA$20-1)*$FA$19),0)+IF(CA326="同type",$FA$19*$FA$24*INDEX($FB$49:$FB$52,MATCH(X326,$FA$49:$FA$52,))/3/(1+($FA$20-1)*$FA$19),0)+IF(CA326="自身",$FA$19*#REF!/3/(1+(BH326-1)*$BD326),0)),0)</f>
        <v>0</v>
      </c>
      <c r="CE326" s="1097">
        <f t="shared" si="469"/>
        <v>0</v>
      </c>
      <c r="CF326" s="1112">
        <f t="shared" si="470"/>
        <v>0</v>
      </c>
      <c r="CG326" s="1100">
        <f t="shared" si="471"/>
        <v>0</v>
      </c>
      <c r="CH326" s="1110">
        <f t="shared" si="472"/>
        <v>0</v>
      </c>
      <c r="CI326" s="1113" t="s">
        <v>164</v>
      </c>
      <c r="CJ326" s="1114">
        <v>1</v>
      </c>
      <c r="CK326" s="1115" t="s">
        <v>545</v>
      </c>
      <c r="CL326" s="1115" t="s">
        <v>1940</v>
      </c>
      <c r="CM326" s="1119">
        <v>0.105</v>
      </c>
      <c r="CN326" s="1115"/>
      <c r="CO326" s="1092"/>
      <c r="CP326" s="1116">
        <f t="shared" si="473"/>
        <v>118.75550438699997</v>
      </c>
      <c r="CQ326" s="1116">
        <f t="shared" si="474"/>
        <v>165.68829941664001</v>
      </c>
      <c r="CR326" s="1116">
        <f t="shared" si="475"/>
        <v>118.75550438699997</v>
      </c>
      <c r="CS326" s="1118">
        <f t="shared" si="476"/>
        <v>0</v>
      </c>
      <c r="CT326" s="1109">
        <f t="shared" si="477"/>
        <v>0</v>
      </c>
      <c r="CU326" s="1101">
        <f t="shared" si="478"/>
        <v>130.63105482569998</v>
      </c>
      <c r="CV326" s="1108">
        <f t="shared" si="479"/>
        <v>165.68829941664001</v>
      </c>
      <c r="CW326" s="1097">
        <f t="shared" si="480"/>
        <v>130.63105482569998</v>
      </c>
      <c r="CX326" s="1097">
        <f t="shared" si="481"/>
        <v>130.63105482569998</v>
      </c>
      <c r="CY326" s="1110">
        <f t="shared" si="482"/>
        <v>130.63105482569998</v>
      </c>
      <c r="CZ326" s="437"/>
      <c r="DA326" s="438"/>
      <c r="DB326" s="439" t="s">
        <v>569</v>
      </c>
      <c r="DC326" s="439"/>
      <c r="DD326" s="443"/>
      <c r="DE326" s="411"/>
      <c r="DF326" s="411"/>
      <c r="DG326" s="1116">
        <f t="shared" si="483"/>
        <v>0</v>
      </c>
      <c r="DH326" s="1116">
        <f t="shared" si="484"/>
        <v>0</v>
      </c>
      <c r="DI326" s="1116">
        <f t="shared" si="485"/>
        <v>0</v>
      </c>
      <c r="DJ326" s="442">
        <f t="shared" si="486"/>
        <v>0</v>
      </c>
      <c r="DK326" s="1109">
        <f t="shared" si="487"/>
        <v>0</v>
      </c>
      <c r="DL326" s="1101">
        <f t="shared" si="488"/>
        <v>0</v>
      </c>
      <c r="DM326" s="1097">
        <f t="shared" si="489"/>
        <v>0</v>
      </c>
      <c r="DN326" s="1097">
        <f t="shared" si="490"/>
        <v>0</v>
      </c>
      <c r="DO326" s="1097">
        <f t="shared" si="491"/>
        <v>0</v>
      </c>
      <c r="DP326" s="1110">
        <f t="shared" si="492"/>
        <v>0</v>
      </c>
      <c r="DQ326" s="1113" t="s">
        <v>545</v>
      </c>
      <c r="DR326" s="1120">
        <f t="shared" si="493"/>
        <v>0.33</v>
      </c>
      <c r="DS326" s="1124"/>
      <c r="DT326" s="1093" t="s">
        <v>132</v>
      </c>
      <c r="DU326" s="1093"/>
      <c r="DV326" s="1098">
        <f>IF($P326="","N/A",IF(P326=-1,INDEX('卡片raw data'!AN:AN,MATCH(D326,'卡片raw data'!$F:$F,)),0)+IF(AND(L326&lt;&gt;"party卡",P326&lt;=2,P326&gt;=0),INDEX('卡片raw data'!AP:AP,MATCH(D326,'卡片raw data'!$F:$F,)),0)+IF(OR(AND(L326="party卡",P326&lt;=1),AND(P326&lt;=4,L326&lt;&gt;"party卡",P326&gt;=3)),INDEX('卡片raw data'!AQ:AQ,MATCH(D326,'卡片raw data'!$F:$F,)),0)+IF(OR(P326=5,AND(L326="party卡",P326&gt;=2)),INDEX('卡片raw data'!AR:AR,MATCH(D326,'卡片raw data'!$F:$F,)),0))</f>
        <v>0.37</v>
      </c>
      <c r="DW326" s="1098">
        <f t="shared" si="494"/>
        <v>0.33</v>
      </c>
      <c r="DX326" s="1098">
        <f t="shared" si="495"/>
        <v>0.33</v>
      </c>
      <c r="DY326" s="1097">
        <f t="shared" si="496"/>
        <v>2148.1551238003999</v>
      </c>
      <c r="DZ326" s="1097">
        <f t="shared" si="497"/>
        <v>1666.6112643178624</v>
      </c>
      <c r="EA326" s="1098">
        <f t="shared" si="498"/>
        <v>0</v>
      </c>
      <c r="EB326" s="1121">
        <f t="shared" si="499"/>
        <v>0</v>
      </c>
      <c r="EC326" s="1101">
        <f t="shared" si="500"/>
        <v>2362.9706361804401</v>
      </c>
      <c r="ED326" s="1097">
        <f t="shared" si="501"/>
        <v>1666.6112643178624</v>
      </c>
      <c r="EE326" s="1110">
        <f t="shared" si="502"/>
        <v>2362.9706361804401</v>
      </c>
      <c r="EF326" s="1115" t="s">
        <v>569</v>
      </c>
      <c r="EG326" s="1120">
        <f t="shared" si="503"/>
        <v>0.33</v>
      </c>
      <c r="EH326" s="1124"/>
      <c r="EI326" s="1093"/>
      <c r="EJ326" s="1093"/>
      <c r="EK326" s="1097">
        <f>IF($P326="","N/A",IF(P326=-1,INDEX('卡片raw data'!AS:AS,MATCH(D326,'卡片raw data'!$F:$F,)),0)+IF(AND(L326&lt;&gt;"party卡",P326&lt;=2,P326&gt;=0),INDEX('卡片raw data'!AU:AU,MATCH(D326,'卡片raw data'!$F:$F,)),0)+IF(OR(AND(L326="party卡",P326&lt;=1),AND(P326&lt;=4,L326&lt;&gt;"party卡",P326&gt;=3)),INDEX('卡片raw data'!AV:AV,MATCH(D326,'卡片raw data'!$F:$F,)),0)+IF(OR(P326=5,AND(L326="party卡",P326&gt;=2)),INDEX('卡片raw data'!AW:AW,MATCH(D326,'卡片raw data'!$F:$F,)),0))</f>
        <v>0</v>
      </c>
      <c r="EL326" s="1098">
        <f t="shared" si="504"/>
        <v>0.33</v>
      </c>
      <c r="EM326" s="1098">
        <f t="shared" si="505"/>
        <v>0.33</v>
      </c>
      <c r="EN326" s="1097">
        <f t="shared" si="506"/>
        <v>0</v>
      </c>
      <c r="EO326" s="1125">
        <f t="shared" si="507"/>
        <v>0</v>
      </c>
      <c r="EP326" s="1098">
        <f t="shared" si="508"/>
        <v>0</v>
      </c>
      <c r="EQ326" s="1121">
        <f t="shared" si="509"/>
        <v>0</v>
      </c>
      <c r="ER326" s="1101">
        <f t="shared" si="510"/>
        <v>0</v>
      </c>
      <c r="ES326" s="1097">
        <f t="shared" si="511"/>
        <v>0</v>
      </c>
      <c r="ET326" s="1122">
        <f t="shared" si="512"/>
        <v>0</v>
      </c>
    </row>
    <row r="327" spans="2:150" ht="16.5" customHeight="1">
      <c r="B327" s="1123" t="str">
        <f>INDEX('卡片raw data'!B:B,MATCH($D327,'卡片raw data'!$F:$F,))</f>
        <v>梦门妮</v>
      </c>
      <c r="C327" s="449" t="s">
        <v>1281</v>
      </c>
      <c r="D327" s="408">
        <v>324</v>
      </c>
      <c r="E327" s="1090">
        <v>400092003</v>
      </c>
      <c r="F327" s="1090" t="str">
        <f>INDEX('卡片raw data'!C:C,MATCH($D327,'卡片raw data'!$F:$F,))</f>
        <v>SR</v>
      </c>
      <c r="G327" s="1094" t="s">
        <v>1282</v>
      </c>
      <c r="H327" s="411">
        <f>IFERROR(INDEX(绊状态确认!C:C,MATCH($G327,绊状态确认!$B:$B,)),"")</f>
        <v>9</v>
      </c>
      <c r="I327" s="450" t="str">
        <f>IFERROR(INDEX(绊状态确认!D:D,MATCH($G327,绊状态确认!$B:$B,)),"")</f>
        <v>缪</v>
      </c>
      <c r="J327" s="450" t="str">
        <f>IFERROR(INDEX(绊状态确认!E:E,MATCH($G327,绊状态确认!$B:$B,)),"")</f>
        <v>3年级</v>
      </c>
      <c r="K327" s="451" t="str">
        <f>IFERROR(INDEX(绊状态确认!F:F,MATCH($G327,绊状态确认!$B:$B,)),"")</f>
        <v>BiBi</v>
      </c>
      <c r="L327" s="1094" t="str">
        <f>INDEX('卡片raw data'!E:E,MATCH($D327,'卡片raw data'!$F:$F,))</f>
        <v>卡池卡</v>
      </c>
      <c r="M327" s="415">
        <v>44108</v>
      </c>
      <c r="N327" s="416">
        <v>25</v>
      </c>
      <c r="O327" s="1091" t="str">
        <f>INDEX('卡片raw data'!D:D,MATCH($D327,'卡片raw data'!$F:$F,))</f>
        <v>gd</v>
      </c>
      <c r="P327" s="1126">
        <v>5</v>
      </c>
      <c r="Q327" s="1095">
        <f t="shared" si="428"/>
        <v>19199.352760735233</v>
      </c>
      <c r="R327" s="1096">
        <f t="shared" si="429"/>
        <v>0.223</v>
      </c>
      <c r="S327" s="1097">
        <f t="shared" si="430"/>
        <v>11167.731252807806</v>
      </c>
      <c r="T327" s="1098">
        <f t="shared" si="431"/>
        <v>0.55800000000000005</v>
      </c>
      <c r="U327" s="1099">
        <f t="shared" si="432"/>
        <v>509.10731829877716</v>
      </c>
      <c r="V327" s="1100">
        <f t="shared" si="433"/>
        <v>70549.530590622337</v>
      </c>
      <c r="W327" s="1101">
        <f t="shared" si="434"/>
        <v>4507.7214871259994</v>
      </c>
      <c r="X327" s="1096">
        <f t="shared" si="435"/>
        <v>5.1999999999999998E-2</v>
      </c>
      <c r="Y327" s="1097">
        <f t="shared" si="436"/>
        <v>2925.1029756496855</v>
      </c>
      <c r="Z327" s="1102">
        <f t="shared" si="437"/>
        <v>36.284520871577143</v>
      </c>
      <c r="AA327" s="1103">
        <f t="shared" si="438"/>
        <v>7432.8244627756849</v>
      </c>
      <c r="AB327" s="1101">
        <f t="shared" si="439"/>
        <v>4507.7214871259994</v>
      </c>
      <c r="AC327" s="1104">
        <f t="shared" si="440"/>
        <v>5.1999999999999998E-2</v>
      </c>
      <c r="AD327" s="1105">
        <f t="shared" si="441"/>
        <v>-3.8207812500000026E-3</v>
      </c>
      <c r="AE327" s="1128">
        <f t="shared" si="442"/>
        <v>-18.525362318840578</v>
      </c>
      <c r="AF327" s="1130">
        <f t="shared" si="443"/>
        <v>6969.2422849608001</v>
      </c>
      <c r="AG327" s="420">
        <f t="shared" si="444"/>
        <v>95497.805462238422</v>
      </c>
      <c r="AH327" s="420">
        <f t="shared" si="445"/>
        <v>13.702752976219074</v>
      </c>
      <c r="AI327" s="1097">
        <f t="shared" si="446"/>
        <v>99533.140668913984</v>
      </c>
      <c r="AJ327" s="420">
        <f t="shared" si="447"/>
        <v>70549.530590622337</v>
      </c>
      <c r="AK327" s="518">
        <f t="shared" si="448"/>
        <v>28983.610078291647</v>
      </c>
      <c r="AL327" s="1106">
        <f>IF($P327="","N/A",(IF($P327=-1,INDEX('卡片raw data'!S:S,MATCH($D327,'卡片raw data'!$F:$F,)),0)+IF($P327=0,INDEX('卡片raw data'!V:V,MATCH($D327,'卡片raw data'!$F:$F,)),0)+IF($P327=1,INDEX('卡片raw data'!Y:Y,MATCH($D327,'卡片raw data'!$F:$F,)),0)+IF($P327=2,INDEX('卡片raw data'!AB:AB,MATCH($D327,'卡片raw data'!$F:$F,)),0)+IF($P327=3,INDEX('卡片raw data'!AE:AE,MATCH($D327,'卡片raw data'!$F:$F,)),0)+IF($P327=4,INDEX('卡片raw data'!AH:AH,MATCH($D327,'卡片raw data'!$F:$F,)),0)+IF($P327=5,INDEX('卡片raw data'!AK:AK,MATCH($D327,'卡片raw data'!$F:$F,)),0)+INDEX('卡片raw data'!S:S,MATCH($D327,'卡片raw data'!$F:$F,))*(IF($F327="UR",0.04,0.033))*(IF($F327="UR",INDEX(绊状态确认!$S:$S,MATCH($G327,绊状态确认!$B:$B,))/2-40)+IF($F327="SR",INDEX(绊状态确认!$R:$R,MATCH($G327,绊状态确认!$B:$B,))/4-15))+IF($F327="R",INDEX(绊状态确认!$Q:$Q,MATCH($G327,绊状态确认!$B:$B,))/6-40/6)))*(INDEX(绊状态确认!$H:$H,MATCH($G327,绊状态确认!$B:$B,))+INDEX(绊状态确认!J:J,MATCH($G327,绊状态确认!$B:$B,)))</f>
        <v>5581.4536007999995</v>
      </c>
      <c r="AM327" s="1106">
        <f>IF($P327="","N/A",(IF($P327=-1,INDEX('卡片raw data'!T:T,MATCH($D327,'卡片raw data'!$F:$F,)),0)+IF($P327=0,INDEX('卡片raw data'!W:W,MATCH($D327,'卡片raw data'!$F:$F,)),0)+IF($P327=1,INDEX('卡片raw data'!Z:Z,MATCH($D327,'卡片raw data'!$F:$F,)),0)+IF($P327=2,INDEX('卡片raw data'!AC:AC,MATCH($D327,'卡片raw data'!$F:$F,)),0)+IF($P327=3,INDEX('卡片raw data'!AF:AF,MATCH($D327,'卡片raw data'!$F:$F,)),0)+IF($P327=4,INDEX('卡片raw data'!AI:AI,MATCH($D327,'卡片raw data'!$F:$F,)),0)+IF($P327=5,INDEX('卡片raw data'!AL:AL,MATCH($D327,'卡片raw data'!$F:$F,)),0)+INDEX('卡片raw data'!T:T,MATCH($D327,'卡片raw data'!$F:$F,))*(IF($F327="UR",0.04,0.033))*(IF($F327="UR",INDEX(绊状态确认!$S:$S,MATCH($G327,绊状态确认!$B:$B,))/2-40)+IF($F327="SR",INDEX(绊状态确认!$R:$R,MATCH($G327,绊状态确认!$B:$B,))/4-15))+IF($F327="R",INDEX(绊状态确认!$Q:$Q,MATCH($G327,绊状态确认!$B:$B,))/6-40/6)))*(INDEX(绊状态确认!$H:$H,MATCH($G327,绊状态确认!$B:$B,))+INDEX(绊状态确认!K:K,MATCH($G327,绊状态确认!$B:$B,)))</f>
        <v>8271.4010399999988</v>
      </c>
      <c r="AN327" s="1106">
        <f>IF($P327="","N/A",(IF($P327=-1,INDEX('卡片raw data'!U:U,MATCH($D327,'卡片raw data'!$F:$F,)),0)+IF($P327=0,INDEX('卡片raw data'!X:X,MATCH($D327,'卡片raw data'!$F:$F,)),0)+IF($P327=1,INDEX('卡片raw data'!AA:AA,MATCH($D327,'卡片raw data'!$F:$F,)),0)+IF($P327=2,INDEX('卡片raw data'!AD:AD,MATCH($D327,'卡片raw data'!$F:$F,)),0)+IF($P327=3,INDEX('卡片raw data'!AG:AG,MATCH($D327,'卡片raw data'!$F:$F,)),0)+IF($P327=4,INDEX('卡片raw data'!AJ:AJ,MATCH($D327,'卡片raw data'!$F:$F,)),0)+IF($P327=5,INDEX('卡片raw data'!AM:AM,MATCH($D327,'卡片raw data'!$F:$F,)),0)+INDEX('卡片raw data'!U:U,MATCH($D327,'卡片raw data'!$F:$F,))*(IF($F327="UR",0.04,0.033))*(IF($F327="UR",INDEX(绊状态确认!$S:$S,MATCH($G327,绊状态确认!$B:$B,))/2-40)+IF($F327="SR",INDEX(绊状态确认!$R:$R,MATCH($G327,绊状态确认!$B:$B,))/4-15))+IF($F327="R",INDEX(绊状态确认!$Q:$Q,MATCH($G327,绊状态确认!$B:$B,))/6-40/6)))*(INDEX(绊状态确认!$H:$H,MATCH($G327,绊状态确认!$B:$B,))+INDEX(绊状态确认!L:L,MATCH($G327,绊状态确认!$B:$B,)))</f>
        <v>6822.1637567999987</v>
      </c>
      <c r="AO327" s="1107">
        <f t="shared" si="449"/>
        <v>1</v>
      </c>
      <c r="AP327" s="1131">
        <f>1+(INDEX(绊状态确认!$T:$T,MATCH($G327,绊状态确认!$B:$B,))+0.2)*$AO327</f>
        <v>1.3</v>
      </c>
      <c r="AQ327" s="1108">
        <f t="shared" si="450"/>
        <v>17901.315702099997</v>
      </c>
      <c r="AR327" s="1097">
        <f>(AM327*(1+$EX$9)+$EX$35)*(1+(INDEX(绊状态确认!$T:$T,MATCH($G327,绊状态确认!$B:$B,))+0.2)*AO327)*IF(J327=$FF$17,1+$FE$17,1)*IF(I327=$FF$14,1+$FE$14,1)</f>
        <v>13994.4624196</v>
      </c>
      <c r="AS327" s="1097">
        <f>(AN327*(1+$EX$10)+$EX$36)*(1+(INDEX(绊状态确认!$T:$T,MATCH($G327,绊状态确认!$B:$B,))+0.2)*AO327)*IF(J327=$FF$17,1+$FE$17,1)*IF(I327=$FF$14,1+$FE$14,1)</f>
        <v>14255.134816415997</v>
      </c>
      <c r="AT327" s="1093">
        <f>IF(AND(INDEX('卡片raw data'!AK:AK,MATCH($D327,'卡片raw data'!$F:$F,))&lt;INDEX('卡片raw data'!AM:AM,MATCH($D327,'卡片raw data'!$F:$F,)),INDEX('卡片raw data'!AL:AL,MATCH($D327,'卡片raw data'!$F:$F,))&lt;INDEX('卡片raw data'!AM:AM,MATCH($D327,'卡片raw data'!$F:$F,))),1,0)</f>
        <v>0</v>
      </c>
      <c r="AU327" s="1098">
        <f>MIN(AT327*0.15+AS327*0.00003+INDEX(绊状态确认!M:M,MATCH($G327,绊状态确认!$B:$B,)),1)</f>
        <v>0.45765404449247993</v>
      </c>
      <c r="AV327" s="1109">
        <f>(INDEX(绊状态确认!$N:$N,MATCH($G327,绊状态确认!$B:$B,))+1.5)*$EW$21</f>
        <v>2.6599999999999997</v>
      </c>
      <c r="AW327" s="1101">
        <f t="shared" si="451"/>
        <v>16359.964606942567</v>
      </c>
      <c r="AX327" s="1097">
        <f t="shared" si="452"/>
        <v>1203.543477935807</v>
      </c>
      <c r="AY327" s="1110">
        <f t="shared" si="453"/>
        <v>17563.508084878373</v>
      </c>
      <c r="AZ327" s="429">
        <f t="shared" si="454"/>
        <v>13483.834521559998</v>
      </c>
      <c r="BA327" s="431">
        <f t="shared" si="455"/>
        <v>16180.601425871997</v>
      </c>
      <c r="BB327" s="1097">
        <f>(AM327*(1+$FB$9)+$FB$35)*(1+(INDEX(绊状态确认!$T:$T,MATCH($G327,绊状态确认!$B:$B,))+0.2)*AO327)*IF(J327=$FF$17,1+$FE$17,1)*IF(I327=$FF$14,1+$FE$14,1)*(1+$FE$15)</f>
        <v>13994.4624196</v>
      </c>
      <c r="BC327" s="1097">
        <f>(AN327*(1+$FB$10)+$FB$36)*(1+(INDEX(绊状态确认!$T:$T,MATCH($G327,绊状态确认!$B:$B,))+0.2)*AO327)*IF(J327=$FF$17,1+$FE$17,1)*IF(I327=$FF$14,1+$FE$14,1)*(1+$FE$15)</f>
        <v>14255.134816415997</v>
      </c>
      <c r="BD327" s="1104">
        <f>MIN(AT327*0.15+BC327*0.00003+INDEX(绊状态确认!M:M,MATCH($G327,绊状态确认!$B:$B,)),1)</f>
        <v>0.45765404449247993</v>
      </c>
      <c r="BE327" s="432">
        <f>(INDEX(绊状态确认!$N:$N,MATCH($G327,绊状态确认!$B:$B,))+1.5)</f>
        <v>1.9</v>
      </c>
      <c r="BF327" s="1139">
        <f t="array" ref="BF327">SUMPRODUCT(IF(AZ327*AP327*$FI$16:$FI$23*$FA$22&gt;=$FI$24,$FI$24,AZ327*AP327*$FI$16:$FI$23*$FA$22),$FJ$16:$FJ$23)</f>
        <v>26819.346863382842</v>
      </c>
      <c r="BG327" s="1125">
        <f t="array" ref="BG327">SUMPRODUCT(IF(BE327*AZ327*AP327*$FI$16:$FI$23*$FA$22&gt;=$FI$24,$FI$24,BE327*AZ327*AP327*$FI$16:$FI$23*$FA$22),$FJ$16:$FJ$23)</f>
        <v>50628.79549945928</v>
      </c>
      <c r="BH327" s="1110">
        <f t="shared" si="456"/>
        <v>12571.94577627306</v>
      </c>
      <c r="BI327" s="1111">
        <f>IF(O327="vo",$EW$26/$EW$24*0.05,0)+IF(O327="sk",-$EW$26/$EW$24*(0.05-INDEX(绊状态确认!W:W,MATCH($G327,绊状态确认!$B:$B,)))+0.05*$EW$28,0)+IF(O327="sp",0.05*$EW$32*$EW$30*(1-$EW$33)-(0.05-INDEX(绊状态确认!V:V,MATCH($G327,绊状态确认!$B:$B,)))*$EW$28,0)+IF(O327="gd",-(0.05-INDEX(绊状态确认!X:X,MATCH($G327,绊状态确认!$B:$B,)))*$EW$32*$EW$30*(1-$EW$33),0)</f>
        <v>-585.00000000000011</v>
      </c>
      <c r="BJ327" s="1097">
        <f>IF(O327="vo",0.05*(1-$FI$26)*$FA$24,0)+IF(O327="sk",-(0.05-INDEX(绊状态确认!W:W,MATCH($G327,绊状态确认!$B:$B,)))*(1-$FI$26)*$FA$24+0.05*$FA$26,0)+IF(O327="sp",0.05*$FA$32*$FA$27*(1-$FA$33)/$FA$30+0.05*$FA$29/$FA$69*$FA$27*(1-$FA$33)-(0.05-INDEX(绊状态确认!V:V,MATCH($G327,绊状态确认!$B:$B,)))*$FA$26,0)+IF(O327="gd",-(0.05-INDEX(绊状态确认!X:X,MATCH($G327,绊状态确认!$B:$B,)))*$FA$32*$FA$27*(1-$FA$33)/$FA$30-(0.05-INDEX(绊状态确认!X:X,MATCH($G327,绊状态确认!$B:$B,)))*$FA$29/$FA$69*$FA$27*(1-$FA$33),0)</f>
        <v>-795.00000000000011</v>
      </c>
      <c r="BK327" s="1110">
        <f>IF(O327="vo",$EW$26/$EW$24*0.05+$EW$26*(-HP($EW$62,$EW$65,$EW$64)+HP($EW$62,$EW$65,(1.05-INDEX(绊状态确认!U:U,MATCH($G327,绊状态确认!$B:$B,)))*$EW$64)),0)+IF(O327="sk",-$EW$26/$EW$24*(0.05-INDEX(绊状态确认!W:W,MATCH($G327,绊状态确认!$B:$B,)))+0.05*$EW$29,0)+IF(O327="sp",0.05*$EW$32*$EW$30*(1-$EW$33)-(0.05-INDEX(绊状态确认!V:V,MATCH($G327,绊状态确认!$B:$B,)))*$EW$29,0)+IF(O327="gd",-(0.05-INDEX(绊状态确认!X:X,MATCH($G327,绊状态确认!$B:$B,)))*$EW$32*$EW$30*(1-$EW$33)+$EW$26*(-HP($EW$62,$EW$65,$EW$64)+HP($EW$62,$EW$65,0.95*$EW$64)),0)</f>
        <v>1009.5947725176144</v>
      </c>
      <c r="BL327" s="1111">
        <f t="shared" si="457"/>
        <v>-1083.3333333333333</v>
      </c>
      <c r="BM327" s="1110">
        <f t="shared" si="458"/>
        <v>-830.55555555555543</v>
      </c>
      <c r="BN327" s="1113">
        <f t="shared" si="459"/>
        <v>3</v>
      </c>
      <c r="BO327" s="1108">
        <f t="shared" si="460"/>
        <v>4507.7214871259994</v>
      </c>
      <c r="BP327" s="1100">
        <f t="shared" si="461"/>
        <v>221.34103209030098</v>
      </c>
      <c r="BQ327" s="1113" t="s">
        <v>133</v>
      </c>
      <c r="BR327" s="1124" t="s">
        <v>171</v>
      </c>
      <c r="BS327" s="1098">
        <f>IF($P327="","N/A",IF($P327=-1,INDEX('卡片raw data'!AX:AX,MATCH($D327,'卡片raw data'!$F:$F,)),0)+IF($L327="party卡",IF($P327=5,INDEX('卡片raw data'!BD:BD,MATCH($D327,'卡片raw data'!$F:$F,)),IF($P327&gt;=3,INDEX('卡片raw data'!BC:BC,MATCH($D327,'卡片raw data'!$F:$F,)),INDEX('卡片raw data'!BB:BB,MATCH($D327,'卡片raw data'!$F:$F,)))),IF(OR(AND($F327="UR",$P327=0),AND($F327="SR",$P327&gt;=0,$P327&lt;=2),AND($F327="R",$P327&gt;=0,$P327&lt;4)),INDEX('卡片raw data'!AZ:AZ,MATCH($D327,'卡片raw data'!$F:$F,)),0)+IF(OR(AND($F327="UR",$P327&gt;=1,$P327&lt;=4),AND($F327="SR",$P327&lt;=4,$P327&gt;=3),AND($F327="R",$P327=4)),INDEX('卡片raw data'!BA:BA,MATCH($D327,'卡片raw data'!$F:$F,)),0)+IF($P327=5,INDEX('卡片raw data'!BB:BB,MATCH($D327,'卡片raw data'!$F:$F,)),0)))</f>
        <v>3.2000000000000001E-2</v>
      </c>
      <c r="BT327" s="1101">
        <f t="shared" si="462"/>
        <v>0</v>
      </c>
      <c r="BU327" s="1097">
        <f t="shared" si="463"/>
        <v>0</v>
      </c>
      <c r="BV327" s="1097">
        <f t="shared" si="464"/>
        <v>0</v>
      </c>
      <c r="BW327" s="1112">
        <f t="shared" si="465"/>
        <v>1.498285714285714</v>
      </c>
      <c r="BX327" s="1100">
        <f t="shared" si="466"/>
        <v>117.00848980993118</v>
      </c>
      <c r="BY327" s="1110">
        <f t="shared" si="467"/>
        <v>117.00848980993118</v>
      </c>
      <c r="BZ327" s="1107" t="s">
        <v>569</v>
      </c>
      <c r="CA327" s="1124"/>
      <c r="CB327" s="1098">
        <f>IF($P327="","N/A",IF($P327=-1,INDEX('卡片raw data'!BE:BE,MATCH($D327,'卡片raw data'!$F:$F,)),0)+IF($L327="party卡",IF($P327=5,INDEX('卡片raw data'!BK:BK,MATCH($D327,'卡片raw data'!$F:$F,)),IF($P327&gt;=3,INDEX('卡片raw data'!BJ:BJ,MATCH($D327,'卡片raw data'!$F:$F,)),INDEX('卡片raw data'!BI:BI,MATCH($D327,'卡片raw data'!$F:$F,)))),IF(OR(AND($F327="UR",$P327=0),AND($F327="SR",$P327&gt;=0,$P327&lt;=2),AND($F327="R",$P327&gt;=0,$P327&lt;4)),INDEX('卡片raw data'!BG:BG,MATCH($D327,'卡片raw data'!$F:$F,)),0)+IF(OR(AND($F327="UR",$P327&gt;=1,$P327&lt;=4),AND($F327="SR",$P327&lt;=4,$P327&gt;=3),AND($F327="R",$P327=4)),INDEX('卡片raw data'!BH:BH,MATCH($D327,'卡片raw data'!$F:$F,)),0)+IF($P327=5,INDEX('卡片raw data'!BI:BI,MATCH($D327,'卡片raw data'!$F:$F,)),0)))</f>
        <v>0</v>
      </c>
      <c r="CC327" s="1101">
        <f t="shared" si="468"/>
        <v>0</v>
      </c>
      <c r="CD327" s="1097">
        <f>IF(BZ327="ap",CB327*(1-$FI$26)*$FB$5/$FB$11*(+IF(CA327="全员",$FA$24,0)+IF(CA327="同作战",$FA$24,0)+IF(CA327="仲间",$FA$24*2/3,0)+IF(CA327="同属性",$FA$24*$FA$37/3,0)+IF(CA327="同年级",$FA$24*$FA$40/3,0)+IF(CA327="同学校",$FA$24*$FA$43/3,0)+IF(CA327="同小队",$FA$24*$FA$46/3,0)+IF(CA327="同type",$FA$24*INDEX($FB$49:$FB$52,MATCH(X327,$FA$49:$FA$52,))/3,0)+IF(CA327="自身",#REF!/3,0)),0)+IF(BZ327="te",CB327*(1-$FI$27)*($FA$20-1)*$FB$7/$FB$13*(+IF(CA327="全员",$FA$19*$FA$24/(1+($FA$20-1)*$FA$19),0)+IF(CA327="同作战",$FA$19*$FA$24/(1+($FA$20-1)*$FA$19),0)+IF(CA327="仲间",$FA$19*$FA$24*2/3/(1+($FA$20-1)*$FA$19),0)+IF(CA327="同属性",$FA$19*$FA$24*$FA$37/3/(1+($FA$20-1)*$FA$19),0)+IF(CA327="同年级",$FA$19*$FA$24*$FA$40/3/(1+($FA$20-1)*$FA$19),0)+IF(CA327="同学校",$FA$19*$FA$24*$FA$43/3/(1+($FA$20-1)*$FA$19),0)+IF(CA327="同小队",$FA$19*$FA$24*$FA$46/3/(1+($FA$20-1)*$FA$19),0)+IF(CA327="同type",$FA$19*$FA$24*INDEX($FB$49:$FB$52,MATCH(X327,$FA$49:$FA$52,))/3/(1+($FA$20-1)*$FA$19),0)+IF(CA327="自身",$FA$19*#REF!/3/(1+(BH327-1)*$BD327),0)),0)</f>
        <v>0</v>
      </c>
      <c r="CE327" s="1097">
        <f t="shared" si="469"/>
        <v>0</v>
      </c>
      <c r="CF327" s="1112">
        <f t="shared" si="470"/>
        <v>0</v>
      </c>
      <c r="CG327" s="1100">
        <f t="shared" si="471"/>
        <v>0</v>
      </c>
      <c r="CH327" s="1110">
        <f t="shared" si="472"/>
        <v>0</v>
      </c>
      <c r="CI327" s="1113" t="s">
        <v>162</v>
      </c>
      <c r="CJ327" s="1114">
        <v>1</v>
      </c>
      <c r="CK327" s="1115" t="s">
        <v>635</v>
      </c>
      <c r="CL327" s="1115" t="s">
        <v>1944</v>
      </c>
      <c r="CM327" s="1119">
        <v>6.6000000000000003E-2</v>
      </c>
      <c r="CN327" s="1115"/>
      <c r="CO327" s="1092"/>
      <c r="CP327" s="1116">
        <f t="shared" si="473"/>
        <v>19.792168279148573</v>
      </c>
      <c r="CQ327" s="1116">
        <f t="shared" si="474"/>
        <v>30.787817323120002</v>
      </c>
      <c r="CR327" s="1116">
        <f t="shared" si="475"/>
        <v>19.792168279148573</v>
      </c>
      <c r="CS327" s="1118">
        <f t="shared" si="476"/>
        <v>0</v>
      </c>
      <c r="CT327" s="1109">
        <f t="shared" si="477"/>
        <v>0</v>
      </c>
      <c r="CU327" s="1101">
        <f t="shared" si="478"/>
        <v>0</v>
      </c>
      <c r="CV327" s="1108">
        <f t="shared" si="479"/>
        <v>0</v>
      </c>
      <c r="CW327" s="1097">
        <f t="shared" si="480"/>
        <v>0</v>
      </c>
      <c r="CX327" s="1097">
        <f t="shared" si="481"/>
        <v>0</v>
      </c>
      <c r="CY327" s="1110">
        <f t="shared" si="482"/>
        <v>1604.5510079039468</v>
      </c>
      <c r="CZ327" s="437"/>
      <c r="DA327" s="438"/>
      <c r="DB327" s="439" t="s">
        <v>569</v>
      </c>
      <c r="DC327" s="439"/>
      <c r="DD327" s="443"/>
      <c r="DE327" s="411"/>
      <c r="DF327" s="411"/>
      <c r="DG327" s="1116">
        <f t="shared" si="483"/>
        <v>0</v>
      </c>
      <c r="DH327" s="1116">
        <f t="shared" si="484"/>
        <v>0</v>
      </c>
      <c r="DI327" s="1116">
        <f t="shared" si="485"/>
        <v>0</v>
      </c>
      <c r="DJ327" s="442">
        <f t="shared" si="486"/>
        <v>0</v>
      </c>
      <c r="DK327" s="1109">
        <f t="shared" si="487"/>
        <v>0</v>
      </c>
      <c r="DL327" s="1101">
        <f t="shared" si="488"/>
        <v>0</v>
      </c>
      <c r="DM327" s="1097">
        <f t="shared" si="489"/>
        <v>0</v>
      </c>
      <c r="DN327" s="1097">
        <f t="shared" si="490"/>
        <v>0</v>
      </c>
      <c r="DO327" s="1097">
        <f t="shared" si="491"/>
        <v>0</v>
      </c>
      <c r="DP327" s="1110">
        <f t="shared" si="492"/>
        <v>0</v>
      </c>
      <c r="DQ327" s="1113" t="s">
        <v>635</v>
      </c>
      <c r="DR327" s="1120">
        <f t="shared" si="493"/>
        <v>0.3</v>
      </c>
      <c r="DS327" s="1124"/>
      <c r="DT327" s="1093" t="s">
        <v>133</v>
      </c>
      <c r="DU327" s="1093"/>
      <c r="DV327" s="1098">
        <f>IF($P327="","N/A",IF(P327=-1,INDEX('卡片raw data'!AN:AN,MATCH(D327,'卡片raw data'!$F:$F,)),0)+IF(AND(L327&lt;&gt;"party卡",P327&lt;=2,P327&gt;=0),INDEX('卡片raw data'!AP:AP,MATCH(D327,'卡片raw data'!$F:$F,)),0)+IF(OR(AND(L327="party卡",P327&lt;=1),AND(P327&lt;=4,L327&lt;&gt;"party卡",P327&gt;=3)),INDEX('卡片raw data'!AQ:AQ,MATCH(D327,'卡片raw data'!$F:$F,)),0)+IF(OR(P327=5,AND(L327="party卡",P327&gt;=2)),INDEX('卡片raw data'!AR:AR,MATCH(D327,'卡片raw data'!$F:$F,)),0))</f>
        <v>0.32</v>
      </c>
      <c r="DW327" s="1098">
        <f t="shared" si="494"/>
        <v>0.3</v>
      </c>
      <c r="DX327" s="1098">
        <f t="shared" si="495"/>
        <v>0.3</v>
      </c>
      <c r="DY327" s="1097">
        <f t="shared" si="496"/>
        <v>447.82279742719999</v>
      </c>
      <c r="DZ327" s="1097">
        <f t="shared" si="497"/>
        <v>387.36671977452801</v>
      </c>
      <c r="EA327" s="1098">
        <f t="shared" si="498"/>
        <v>0</v>
      </c>
      <c r="EB327" s="1121">
        <f t="shared" si="499"/>
        <v>0</v>
      </c>
      <c r="EC327" s="1101">
        <f t="shared" si="500"/>
        <v>0</v>
      </c>
      <c r="ED327" s="1097">
        <f t="shared" si="501"/>
        <v>0</v>
      </c>
      <c r="EE327" s="1110">
        <f t="shared" si="502"/>
        <v>48435.03108962375</v>
      </c>
      <c r="EF327" s="1115" t="s">
        <v>569</v>
      </c>
      <c r="EG327" s="1120">
        <f t="shared" si="503"/>
        <v>0.3</v>
      </c>
      <c r="EH327" s="1124"/>
      <c r="EI327" s="1093"/>
      <c r="EJ327" s="1093"/>
      <c r="EK327" s="1097">
        <f>IF($P327="","N/A",IF(P327=-1,INDEX('卡片raw data'!AS:AS,MATCH(D327,'卡片raw data'!$F:$F,)),0)+IF(AND(L327&lt;&gt;"party卡",P327&lt;=2,P327&gt;=0),INDEX('卡片raw data'!AU:AU,MATCH(D327,'卡片raw data'!$F:$F,)),0)+IF(OR(AND(L327="party卡",P327&lt;=1),AND(P327&lt;=4,L327&lt;&gt;"party卡",P327&gt;=3)),INDEX('卡片raw data'!AV:AV,MATCH(D327,'卡片raw data'!$F:$F,)),0)+IF(OR(P327=5,AND(L327="party卡",P327&gt;=2)),INDEX('卡片raw data'!AW:AW,MATCH(D327,'卡片raw data'!$F:$F,)),0))</f>
        <v>0</v>
      </c>
      <c r="EL327" s="1098">
        <f t="shared" si="504"/>
        <v>0.3</v>
      </c>
      <c r="EM327" s="1098">
        <f t="shared" si="505"/>
        <v>0.3</v>
      </c>
      <c r="EN327" s="1097">
        <f t="shared" si="506"/>
        <v>0</v>
      </c>
      <c r="EO327" s="1125">
        <f t="shared" si="507"/>
        <v>0</v>
      </c>
      <c r="EP327" s="1098">
        <f t="shared" si="508"/>
        <v>0</v>
      </c>
      <c r="EQ327" s="1121">
        <f t="shared" si="509"/>
        <v>0</v>
      </c>
      <c r="ER327" s="1101">
        <f t="shared" si="510"/>
        <v>0</v>
      </c>
      <c r="ES327" s="1097">
        <f t="shared" si="511"/>
        <v>0</v>
      </c>
      <c r="ET327" s="1122">
        <f t="shared" si="512"/>
        <v>0</v>
      </c>
    </row>
    <row r="328" spans="2:150" ht="16.5" customHeight="1">
      <c r="B328" s="1123" t="str">
        <f>INDEX('卡片raw data'!B:B,MATCH($D328,'卡片raw data'!$F:$F,))</f>
        <v>中秋梨</v>
      </c>
      <c r="C328" s="449" t="s">
        <v>1273</v>
      </c>
      <c r="D328" s="408">
        <v>325</v>
      </c>
      <c r="E328" s="1090">
        <v>401023003</v>
      </c>
      <c r="F328" s="1090" t="str">
        <f>INDEX('卡片raw data'!C:C,MATCH($D328,'卡片raw data'!$F:$F,))</f>
        <v>UR</v>
      </c>
      <c r="G328" s="1094" t="s">
        <v>340</v>
      </c>
      <c r="H328" s="411">
        <f>IFERROR(INDEX(绊状态确认!C:C,MATCH($G328,绊状态确认!$B:$B,)),"")</f>
        <v>102</v>
      </c>
      <c r="I328" s="450" t="str">
        <f>IFERROR(INDEX(绊状态确认!D:D,MATCH($G328,绊状态确认!$B:$B,)),"")</f>
        <v>水</v>
      </c>
      <c r="J328" s="450" t="str">
        <f>IFERROR(INDEX(绊状态确认!E:E,MATCH($G328,绊状态确认!$B:$B,)),"")</f>
        <v>2年级</v>
      </c>
      <c r="K328" s="451" t="str">
        <f>IFERROR(INDEX(绊状态确认!F:F,MATCH($G328,绊状态确认!$B:$B,)),"")</f>
        <v>Guilty Kiss</v>
      </c>
      <c r="L328" s="1094" t="str">
        <f>INDEX('卡片raw data'!E:E,MATCH($D328,'卡片raw data'!$F:$F,))</f>
        <v>卡池卡</v>
      </c>
      <c r="M328" s="415">
        <v>44108</v>
      </c>
      <c r="N328" s="416">
        <v>25</v>
      </c>
      <c r="O328" s="1091" t="str">
        <f>INDEX('卡片raw data'!D:D,MATCH($D328,'卡片raw data'!$F:$F,))</f>
        <v>sk</v>
      </c>
      <c r="P328" s="1126">
        <v>5</v>
      </c>
      <c r="Q328" s="1095">
        <f t="shared" si="428"/>
        <v>43373.658432584409</v>
      </c>
      <c r="R328" s="1096">
        <f t="shared" si="429"/>
        <v>0.504</v>
      </c>
      <c r="S328" s="1097">
        <f t="shared" si="430"/>
        <v>19712.624554016496</v>
      </c>
      <c r="T328" s="1098">
        <f t="shared" si="431"/>
        <v>0.98499999999999999</v>
      </c>
      <c r="U328" s="1099">
        <f t="shared" si="432"/>
        <v>854.11960991382921</v>
      </c>
      <c r="V328" s="1100">
        <f t="shared" si="433"/>
        <v>95070.982990019605</v>
      </c>
      <c r="W328" s="1101">
        <f t="shared" si="434"/>
        <v>6716.5050158177391</v>
      </c>
      <c r="X328" s="1096">
        <f t="shared" si="435"/>
        <v>7.8E-2</v>
      </c>
      <c r="Y328" s="1097">
        <f t="shared" si="436"/>
        <v>1262.2934678114461</v>
      </c>
      <c r="Z328" s="1102">
        <f t="shared" si="437"/>
        <v>15.703003199742856</v>
      </c>
      <c r="AA328" s="1103">
        <f t="shared" si="438"/>
        <v>7978.7984836291853</v>
      </c>
      <c r="AB328" s="1101">
        <f t="shared" si="439"/>
        <v>8925.2885445094798</v>
      </c>
      <c r="AC328" s="1104">
        <f t="shared" si="440"/>
        <v>0.10299999999999999</v>
      </c>
      <c r="AD328" s="1105">
        <f t="shared" si="441"/>
        <v>2.1769318181818181E-2</v>
      </c>
      <c r="AE328" s="1128">
        <f t="shared" si="442"/>
        <v>11.953757704745847</v>
      </c>
      <c r="AF328" s="1130">
        <f t="shared" si="443"/>
        <v>10162.625535928317</v>
      </c>
      <c r="AG328" s="420">
        <f t="shared" si="444"/>
        <v>101776.33868024001</v>
      </c>
      <c r="AH328" s="420">
        <f t="shared" si="445"/>
        <v>10.014768164036571</v>
      </c>
      <c r="AI328" s="1097">
        <f t="shared" si="446"/>
        <v>115200.78104371818</v>
      </c>
      <c r="AJ328" s="420">
        <f t="shared" si="447"/>
        <v>95070.982990019605</v>
      </c>
      <c r="AK328" s="518">
        <f t="shared" si="448"/>
        <v>20129.798053698571</v>
      </c>
      <c r="AL328" s="1106">
        <f>IF($P328="","N/A",(IF($P328=-1,INDEX('卡片raw data'!S:S,MATCH($D328,'卡片raw data'!$F:$F,)),0)+IF($P328=0,INDEX('卡片raw data'!V:V,MATCH($D328,'卡片raw data'!$F:$F,)),0)+IF($P328=1,INDEX('卡片raw data'!Y:Y,MATCH($D328,'卡片raw data'!$F:$F,)),0)+IF($P328=2,INDEX('卡片raw data'!AB:AB,MATCH($D328,'卡片raw data'!$F:$F,)),0)+IF($P328=3,INDEX('卡片raw data'!AE:AE,MATCH($D328,'卡片raw data'!$F:$F,)),0)+IF($P328=4,INDEX('卡片raw data'!AH:AH,MATCH($D328,'卡片raw data'!$F:$F,)),0)+IF($P328=5,INDEX('卡片raw data'!AK:AK,MATCH($D328,'卡片raw data'!$F:$F,)),0)+INDEX('卡片raw data'!S:S,MATCH($D328,'卡片raw data'!$F:$F,))*(IF($F328="UR",0.04,0.033))*(IF($F328="UR",INDEX(绊状态确认!$S:$S,MATCH($G328,绊状态确认!$B:$B,))/2-40)+IF($F328="SR",INDEX(绊状态确认!$R:$R,MATCH($G328,绊状态确认!$B:$B,))/4-15))+IF($F328="R",INDEX(绊状态确认!$Q:$Q,MATCH($G328,绊状态确认!$B:$B,))/6-40/6)))*(INDEX(绊状态确认!$H:$H,MATCH($G328,绊状态确认!$B:$B,))+INDEX(绊状态确认!J:J,MATCH($G328,绊状态确认!$B:$B,)))</f>
        <v>12460.489631999997</v>
      </c>
      <c r="AM328" s="1106">
        <f>IF($P328="","N/A",(IF($P328=-1,INDEX('卡片raw data'!T:T,MATCH($D328,'卡片raw data'!$F:$F,)),0)+IF($P328=0,INDEX('卡片raw data'!W:W,MATCH($D328,'卡片raw data'!$F:$F,)),0)+IF($P328=1,INDEX('卡片raw data'!Z:Z,MATCH($D328,'卡片raw data'!$F:$F,)),0)+IF($P328=2,INDEX('卡片raw data'!AC:AC,MATCH($D328,'卡片raw data'!$F:$F,)),0)+IF($P328=3,INDEX('卡片raw data'!AF:AF,MATCH($D328,'卡片raw data'!$F:$F,)),0)+IF($P328=4,INDEX('卡片raw data'!AI:AI,MATCH($D328,'卡片raw data'!$F:$F,)),0)+IF($P328=5,INDEX('卡片raw data'!AL:AL,MATCH($D328,'卡片raw data'!$F:$F,)),0)+INDEX('卡片raw data'!T:T,MATCH($D328,'卡片raw data'!$F:$F,))*(IF($F328="UR",0.04,0.033))*(IF($F328="UR",INDEX(绊状态确认!$S:$S,MATCH($G328,绊状态确认!$B:$B,))/2-40)+IF($F328="SR",INDEX(绊状态确认!$R:$R,MATCH($G328,绊状态确认!$B:$B,))/4-15))+IF($F328="R",INDEX(绊状态确认!$Q:$Q,MATCH($G328,绊状态确认!$B:$B,))/6-40/6)))*(INDEX(绊状态确认!$H:$H,MATCH($G328,绊状态确认!$B:$B,))+INDEX(绊状态确认!K:K,MATCH($G328,绊状态确认!$B:$B,)))</f>
        <v>8756.1438239999989</v>
      </c>
      <c r="AN328" s="1106">
        <f>IF($P328="","N/A",(IF($P328=-1,INDEX('卡片raw data'!U:U,MATCH($D328,'卡片raw data'!$F:$F,)),0)+IF($P328=0,INDEX('卡片raw data'!X:X,MATCH($D328,'卡片raw data'!$F:$F,)),0)+IF($P328=1,INDEX('卡片raw data'!AA:AA,MATCH($D328,'卡片raw data'!$F:$F,)),0)+IF($P328=2,INDEX('卡片raw data'!AD:AD,MATCH($D328,'卡片raw data'!$F:$F,)),0)+IF($P328=3,INDEX('卡片raw data'!AG:AG,MATCH($D328,'卡片raw data'!$F:$F,)),0)+IF($P328=4,INDEX('卡片raw data'!AJ:AJ,MATCH($D328,'卡片raw data'!$F:$F,)),0)+IF($P328=5,INDEX('卡片raw data'!AM:AM,MATCH($D328,'卡片raw data'!$F:$F,)),0)+INDEX('卡片raw data'!U:U,MATCH($D328,'卡片raw data'!$F:$F,))*(IF($F328="UR",0.04,0.033))*(IF($F328="UR",INDEX(绊状态确认!$S:$S,MATCH($G328,绊状态确认!$B:$B,))/2-40)+IF($F328="SR",INDEX(绊状态确认!$R:$R,MATCH($G328,绊状态确认!$B:$B,))/4-15))+IF($F328="R",INDEX(绊状态确认!$Q:$Q,MATCH($G328,绊状态确认!$B:$B,))/6-40/6)))*(INDEX(绊状态确认!$H:$H,MATCH($G328,绊状态确认!$B:$B,))+INDEX(绊状态确认!L:L,MATCH($G328,绊状态确认!$B:$B,)))</f>
        <v>12460.489631999997</v>
      </c>
      <c r="AO328" s="1107">
        <f t="shared" si="449"/>
        <v>1</v>
      </c>
      <c r="AP328" s="1131">
        <f>1+(INDEX(绊状态确认!$T:$T,MATCH($G328,绊状态确认!$B:$B,))+0.2)*$AO328</f>
        <v>1.3</v>
      </c>
      <c r="AQ328" s="1108">
        <f t="shared" si="450"/>
        <v>35958.785283999998</v>
      </c>
      <c r="AR328" s="1097">
        <f>(AM328*(1+$EX$9)+$EX$35)*(1+(INDEX(绊状态确认!$T:$T,MATCH($G328,绊状态确认!$B:$B,))+0.2)*AO328)*IF(J328=$FF$17,1+$FE$17,1)*IF(I328=$FF$14,1+$FE$14,1)</f>
        <v>14656.136319759999</v>
      </c>
      <c r="AS328" s="1097">
        <f>(AN328*(1+$EX$10)+$EX$36)*(1+(INDEX(绊状态确认!$T:$T,MATCH($G328,绊状态确认!$B:$B,))+0.2)*AO328)*IF(J328=$FF$17,1+$FE$17,1)*IF(I328=$FF$14,1+$FE$14,1)</f>
        <v>22684.431999839999</v>
      </c>
      <c r="AT328" s="1093">
        <f>IF(AND(INDEX('卡片raw data'!AK:AK,MATCH($D328,'卡片raw data'!$F:$F,))&lt;INDEX('卡片raw data'!AM:AM,MATCH($D328,'卡片raw data'!$F:$F,)),INDEX('卡片raw data'!AL:AL,MATCH($D328,'卡片raw data'!$F:$F,))&lt;INDEX('卡片raw data'!AM:AM,MATCH($D328,'卡片raw data'!$F:$F,))),1,0)</f>
        <v>0</v>
      </c>
      <c r="AU328" s="1098">
        <f>MIN(AT328*0.15+AS328*0.00003+INDEX(绊状态确认!M:M,MATCH($G328,绊状态确认!$B:$B,)),1)</f>
        <v>0.71053295999520005</v>
      </c>
      <c r="AV328" s="1109">
        <f>(INDEX(绊状态确认!$N:$N,MATCH($G328,绊状态确认!$B:$B,))+1.5)*$EW$21</f>
        <v>2.6599999999999997</v>
      </c>
      <c r="AW328" s="1101">
        <f t="shared" si="451"/>
        <v>40702.042523044867</v>
      </c>
      <c r="AX328" s="1097">
        <f t="shared" si="452"/>
        <v>1262.2934678114464</v>
      </c>
      <c r="AY328" s="1110">
        <f t="shared" si="453"/>
        <v>41964.335990856314</v>
      </c>
      <c r="AZ328" s="429">
        <f t="shared" si="454"/>
        <v>26897.954782399993</v>
      </c>
      <c r="BA328" s="431">
        <f t="shared" si="455"/>
        <v>32277.545738879991</v>
      </c>
      <c r="BB328" s="1097">
        <f>(AM328*(1+$FB$9)+$FB$35)*(1+(INDEX(绊状态确认!$T:$T,MATCH($G328,绊状态确认!$B:$B,))+0.2)*AO328)*IF(J328=$FF$17,1+$FE$17,1)*IF(I328=$FF$14,1+$FE$14,1)*(1+$FE$15)</f>
        <v>14656.136319759999</v>
      </c>
      <c r="BC328" s="1097">
        <f>(AN328*(1+$FB$10)+$FB$36)*(1+(INDEX(绊状态确认!$T:$T,MATCH($G328,绊状态确认!$B:$B,))+0.2)*AO328)*IF(J328=$FF$17,1+$FE$17,1)*IF(I328=$FF$14,1+$FE$14,1)*(1+$FE$15)</f>
        <v>22684.431999839999</v>
      </c>
      <c r="BD328" s="1104">
        <f>MIN(AT328*0.15+BC328*0.00003+INDEX(绊状态确认!M:M,MATCH($G328,绊状态确认!$B:$B,)),1)</f>
        <v>0.71053295999520005</v>
      </c>
      <c r="BE328" s="432">
        <f>(INDEX(绊状态确认!$N:$N,MATCH($G328,绊状态确认!$B:$B,))+1.5)</f>
        <v>1.9</v>
      </c>
      <c r="BF328" s="1139">
        <f t="array" ref="BF328">SUMPRODUCT(IF(AZ328*AP328*$FI$16:$FI$23*$FA$22&gt;=$FI$24,$FI$24,AZ328*AP328*$FI$16:$FI$23*$FA$22),$FJ$16:$FJ$23)</f>
        <v>52562.115811859192</v>
      </c>
      <c r="BG328" s="1125">
        <f t="array" ref="BG328">SUMPRODUCT(IF(BE328*AZ328*AP328*$FI$16:$FI$23*$FA$22&gt;=$FI$24,$FI$24,BE328*AZ328*AP328*$FI$16:$FI$23*$FA$22),$FJ$16:$FJ$23)</f>
        <v>60000</v>
      </c>
      <c r="BH328" s="1110">
        <f t="shared" si="456"/>
        <v>19282.325893386791</v>
      </c>
      <c r="BI328" s="1111">
        <f>IF(O328="vo",$EW$26/$EW$24*0.05,0)+IF(O328="sk",-$EW$26/$EW$24*(0.05-INDEX(绊状态确认!W:W,MATCH($G328,绊状态确认!$B:$B,)))+0.05*$EW$28,0)+IF(O328="sp",0.05*$EW$32*$EW$30*(1-$EW$33)-(0.05-INDEX(绊状态确认!V:V,MATCH($G328,绊状态确认!$B:$B,)))*$EW$28,0)+IF(O328="gd",-(0.05-INDEX(绊状态确认!X:X,MATCH($G328,绊状态确认!$B:$B,)))*$EW$32*$EW$30*(1-$EW$33),0)</f>
        <v>-6253.6726349699375</v>
      </c>
      <c r="BJ328" s="1097">
        <f>IF(O328="vo",0.05*(1-$FI$26)*$FA$24,0)+IF(O328="sk",-(0.05-INDEX(绊状态确认!W:W,MATCH($G328,绊状态确认!$B:$B,)))*(1-$FI$26)*$FA$24+0.05*$FA$26,0)+IF(O328="sp",0.05*$FA$32*$FA$27*(1-$FA$33)/$FA$30+0.05*$FA$29/$FA$69*$FA$27*(1-$FA$33)-(0.05-INDEX(绊状态确认!V:V,MATCH($G328,绊状态确认!$B:$B,)))*$FA$26,0)+IF(O328="gd",-(0.05-INDEX(绊状态确认!X:X,MATCH($G328,绊状态确认!$B:$B,)))*$FA$32*$FA$27*(1-$FA$33)/$FA$30-(0.05-INDEX(绊状态确认!X:X,MATCH($G328,绊状态确认!$B:$B,)))*$FA$29/$FA$69*$FA$27*(1-$FA$33),0)</f>
        <v>20.459096812499922</v>
      </c>
      <c r="BK328" s="1110">
        <f>IF(O328="vo",$EW$26/$EW$24*0.05+$EW$26*(-HP($EW$62,$EW$65,$EW$64)+HP($EW$62,$EW$65,(1.05-INDEX(绊状态确认!U:U,MATCH($G328,绊状态确认!$B:$B,)))*$EW$64)),0)+IF(O328="sk",-$EW$26/$EW$24*(0.05-INDEX(绊状态确认!W:W,MATCH($G328,绊状态确认!$B:$B,)))+0.05*$EW$29,0)+IF(O328="sp",0.05*$EW$32*$EW$30*(1-$EW$33)-(0.05-INDEX(绊状态确认!V:V,MATCH($G328,绊状态确认!$B:$B,)))*$EW$29,0)+IF(O328="gd",-(0.05-INDEX(绊状态确认!X:X,MATCH($G328,绊状态确认!$B:$B,)))*$EW$32*$EW$30*(1-$EW$33)+$EW$26*(-HP($EW$62,$EW$65,$EW$64)+HP($EW$62,$EW$65,0.95*$EW$64)),0)</f>
        <v>-4253.6726349699375</v>
      </c>
      <c r="BL328" s="1111">
        <f t="shared" si="457"/>
        <v>0</v>
      </c>
      <c r="BM328" s="1110">
        <f t="shared" si="458"/>
        <v>0</v>
      </c>
      <c r="BN328" s="1113">
        <f t="shared" si="459"/>
        <v>3</v>
      </c>
      <c r="BO328" s="1108">
        <f t="shared" si="460"/>
        <v>4507.7214871259994</v>
      </c>
      <c r="BP328" s="1100">
        <f t="shared" si="461"/>
        <v>221.34103209030098</v>
      </c>
      <c r="BQ328" s="1113" t="s">
        <v>132</v>
      </c>
      <c r="BR328" s="1124" t="s">
        <v>171</v>
      </c>
      <c r="BS328" s="1098">
        <f>IF($P328="","N/A",IF($P328=-1,INDEX('卡片raw data'!AX:AX,MATCH($D328,'卡片raw data'!$F:$F,)),0)+IF($L328="party卡",IF($P328=5,INDEX('卡片raw data'!BD:BD,MATCH($D328,'卡片raw data'!$F:$F,)),IF($P328&gt;=3,INDEX('卡片raw data'!BC:BC,MATCH($D328,'卡片raw data'!$F:$F,)),INDEX('卡片raw data'!BB:BB,MATCH($D328,'卡片raw data'!$F:$F,)))),IF(OR(AND($F328="UR",$P328=0),AND($F328="SR",$P328&gt;=0,$P328&lt;=2),AND($F328="R",$P328&gt;=0,$P328&lt;4)),INDEX('卡片raw data'!AZ:AZ,MATCH($D328,'卡片raw data'!$F:$F,)),0)+IF(OR(AND($F328="UR",$P328&gt;=1,$P328&lt;=4),AND($F328="SR",$P328&lt;=4,$P328&gt;=3),AND($F328="R",$P328=4)),INDEX('卡片raw data'!BA:BA,MATCH($D328,'卡片raw data'!$F:$F,)),0)+IF($P328=5,INDEX('卡片raw data'!BB:BB,MATCH($D328,'卡片raw data'!$F:$F,)),0)))</f>
        <v>5.1999999999999998E-2</v>
      </c>
      <c r="BT328" s="1101">
        <f t="shared" si="462"/>
        <v>2604.4613036728001</v>
      </c>
      <c r="BU328" s="1097">
        <f t="shared" si="463"/>
        <v>111.90018844565216</v>
      </c>
      <c r="BV328" s="1097">
        <f t="shared" si="464"/>
        <v>1302.2306518363998</v>
      </c>
      <c r="BW328" s="1112">
        <f t="shared" si="465"/>
        <v>0</v>
      </c>
      <c r="BX328" s="1100">
        <f t="shared" si="466"/>
        <v>2604.4613036728001</v>
      </c>
      <c r="BY328" s="1110">
        <f t="shared" si="467"/>
        <v>1302.2306518363998</v>
      </c>
      <c r="BZ328" s="1113" t="s">
        <v>569</v>
      </c>
      <c r="CA328" s="1124"/>
      <c r="CB328" s="1098">
        <f>IF($P328="","N/A",IF($P328=-1,INDEX('卡片raw data'!BE:BE,MATCH($D328,'卡片raw data'!$F:$F,)),0)+IF($L328="party卡",IF($P328=5,INDEX('卡片raw data'!BK:BK,MATCH($D328,'卡片raw data'!$F:$F,)),IF($P328&gt;=3,INDEX('卡片raw data'!BJ:BJ,MATCH($D328,'卡片raw data'!$F:$F,)),INDEX('卡片raw data'!BI:BI,MATCH($D328,'卡片raw data'!$F:$F,)))),IF(OR(AND($F328="UR",$P328=0),AND($F328="SR",$P328&gt;=0,$P328&lt;=2),AND($F328="R",$P328&gt;=0,$P328&lt;4)),INDEX('卡片raw data'!BG:BG,MATCH($D328,'卡片raw data'!$F:$F,)),0)+IF(OR(AND($F328="UR",$P328&gt;=1,$P328&lt;=4),AND($F328="SR",$P328&lt;=4,$P328&gt;=3),AND($F328="R",$P328=4)),INDEX('卡片raw data'!BH:BH,MATCH($D328,'卡片raw data'!$F:$F,)),0)+IF($P328=5,INDEX('卡片raw data'!BI:BI,MATCH($D328,'卡片raw data'!$F:$F,)),0)))</f>
        <v>0</v>
      </c>
      <c r="CC328" s="1101">
        <f t="shared" si="468"/>
        <v>0</v>
      </c>
      <c r="CD328" s="1097">
        <f>IF(BZ328="ap",CB328*(1-$FI$26)*$FB$5/$FB$11*(+IF(CA328="全员",$FA$24,0)+IF(CA328="同作战",$FA$24,0)+IF(CA328="仲间",$FA$24*2/3,0)+IF(CA328="同属性",$FA$24*$FA$37/3,0)+IF(CA328="同年级",$FA$24*$FA$40/3,0)+IF(CA328="同学校",$FA$24*$FA$43/3,0)+IF(CA328="同小队",$FA$24*$FA$46/3,0)+IF(CA328="同type",$FA$24*INDEX($FB$49:$FB$52,MATCH(X328,$FA$49:$FA$52,))/3,0)+IF(CA328="自身",#REF!/3,0)),0)+IF(BZ328="te",CB328*(1-$FI$27)*($FA$20-1)*$FB$7/$FB$13*(+IF(CA328="全员",$FA$19*$FA$24/(1+($FA$20-1)*$FA$19),0)+IF(CA328="同作战",$FA$19*$FA$24/(1+($FA$20-1)*$FA$19),0)+IF(CA328="仲间",$FA$19*$FA$24*2/3/(1+($FA$20-1)*$FA$19),0)+IF(CA328="同属性",$FA$19*$FA$24*$FA$37/3/(1+($FA$20-1)*$FA$19),0)+IF(CA328="同年级",$FA$19*$FA$24*$FA$40/3/(1+($FA$20-1)*$FA$19),0)+IF(CA328="同学校",$FA$19*$FA$24*$FA$43/3/(1+($FA$20-1)*$FA$19),0)+IF(CA328="同小队",$FA$19*$FA$24*$FA$46/3/(1+($FA$20-1)*$FA$19),0)+IF(CA328="同type",$FA$19*$FA$24*INDEX($FB$49:$FB$52,MATCH(X328,$FA$49:$FA$52,))/3/(1+($FA$20-1)*$FA$19),0)+IF(CA328="自身",$FA$19*#REF!/3/(1+(BH328-1)*$BD328),0)),0)</f>
        <v>0</v>
      </c>
      <c r="CE328" s="1097">
        <f t="shared" si="469"/>
        <v>0</v>
      </c>
      <c r="CF328" s="1112">
        <f t="shared" si="470"/>
        <v>0</v>
      </c>
      <c r="CG328" s="1100">
        <f t="shared" si="471"/>
        <v>0</v>
      </c>
      <c r="CH328" s="1110">
        <f t="shared" si="472"/>
        <v>0</v>
      </c>
      <c r="CI328" s="1113" t="s">
        <v>165</v>
      </c>
      <c r="CJ328" s="1114">
        <v>1</v>
      </c>
      <c r="CK328" s="1115" t="s">
        <v>167</v>
      </c>
      <c r="CL328" s="1115" t="s">
        <v>171</v>
      </c>
      <c r="CM328" s="1119">
        <v>0.02</v>
      </c>
      <c r="CN328" s="1115" t="s">
        <v>163</v>
      </c>
      <c r="CO328" s="1092"/>
      <c r="CP328" s="1118">
        <f t="shared" si="473"/>
        <v>1.3333333333333332E-2</v>
      </c>
      <c r="CQ328" s="1118">
        <f t="shared" si="474"/>
        <v>1.1666666666666667E-2</v>
      </c>
      <c r="CR328" s="1118">
        <f t="shared" si="475"/>
        <v>6.6666666666666662E-3</v>
      </c>
      <c r="CS328" s="1118">
        <f t="shared" si="476"/>
        <v>0</v>
      </c>
      <c r="CT328" s="1109">
        <f t="shared" si="477"/>
        <v>0</v>
      </c>
      <c r="CU328" s="1101">
        <f t="shared" si="478"/>
        <v>1813.1057537106801</v>
      </c>
      <c r="CV328" s="1108">
        <f t="shared" si="479"/>
        <v>76.59834328125001</v>
      </c>
      <c r="CW328" s="1097">
        <f t="shared" si="480"/>
        <v>906.55287685534006</v>
      </c>
      <c r="CX328" s="1097">
        <f t="shared" si="481"/>
        <v>1813.1057537106801</v>
      </c>
      <c r="CY328" s="1110">
        <f t="shared" si="482"/>
        <v>906.55287685534006</v>
      </c>
      <c r="CZ328" s="437"/>
      <c r="DA328" s="438"/>
      <c r="DB328" s="439" t="s">
        <v>569</v>
      </c>
      <c r="DC328" s="439"/>
      <c r="DD328" s="443"/>
      <c r="DE328" s="411"/>
      <c r="DF328" s="411"/>
      <c r="DG328" s="1116">
        <f t="shared" si="483"/>
        <v>0</v>
      </c>
      <c r="DH328" s="1116">
        <f t="shared" si="484"/>
        <v>0</v>
      </c>
      <c r="DI328" s="1116">
        <f t="shared" si="485"/>
        <v>0</v>
      </c>
      <c r="DJ328" s="442">
        <f t="shared" si="486"/>
        <v>0</v>
      </c>
      <c r="DK328" s="1109">
        <f t="shared" si="487"/>
        <v>0</v>
      </c>
      <c r="DL328" s="1101">
        <f t="shared" si="488"/>
        <v>0</v>
      </c>
      <c r="DM328" s="1097">
        <f t="shared" si="489"/>
        <v>0</v>
      </c>
      <c r="DN328" s="1097">
        <f t="shared" si="490"/>
        <v>0</v>
      </c>
      <c r="DO328" s="1097">
        <f t="shared" si="491"/>
        <v>0</v>
      </c>
      <c r="DP328" s="1110">
        <f t="shared" si="492"/>
        <v>0</v>
      </c>
      <c r="DQ328" s="1113" t="s">
        <v>635</v>
      </c>
      <c r="DR328" s="1120">
        <f t="shared" si="493"/>
        <v>0.33</v>
      </c>
      <c r="DS328" s="1124"/>
      <c r="DT328" s="1093" t="s">
        <v>134</v>
      </c>
      <c r="DU328" s="1093"/>
      <c r="DV328" s="1098">
        <f>IF($P328="","N/A",IF(P328=-1,INDEX('卡片raw data'!AN:AN,MATCH(D328,'卡片raw data'!$F:$F,)),0)+IF(AND(L328&lt;&gt;"party卡",P328&lt;=2,P328&gt;=0),INDEX('卡片raw data'!AP:AP,MATCH(D328,'卡片raw data'!$F:$F,)),0)+IF(OR(AND(L328="party卡",P328&lt;=1),AND(P328&lt;=4,L328&lt;&gt;"party卡",P328&gt;=3)),INDEX('卡片raw data'!AQ:AQ,MATCH(D328,'卡片raw data'!$F:$F,)),0)+IF(OR(P328=5,AND(L328="party卡",P328&gt;=2)),INDEX('卡片raw data'!AR:AR,MATCH(D328,'卡片raw data'!$F:$F,)),0))</f>
        <v>0.32</v>
      </c>
      <c r="DW328" s="1098">
        <f t="shared" si="494"/>
        <v>0.33</v>
      </c>
      <c r="DX328" s="1098">
        <f t="shared" si="495"/>
        <v>0.33</v>
      </c>
      <c r="DY328" s="1097">
        <f t="shared" si="496"/>
        <v>798.49200639436788</v>
      </c>
      <c r="DZ328" s="1097">
        <f t="shared" si="497"/>
        <v>690.69558553112824</v>
      </c>
      <c r="EA328" s="1098">
        <f t="shared" si="498"/>
        <v>0</v>
      </c>
      <c r="EB328" s="1121">
        <f t="shared" si="499"/>
        <v>0</v>
      </c>
      <c r="EC328" s="1101">
        <f t="shared" si="500"/>
        <v>0</v>
      </c>
      <c r="ED328" s="1097">
        <f t="shared" si="501"/>
        <v>0</v>
      </c>
      <c r="EE328" s="1110">
        <f t="shared" si="502"/>
        <v>48435.03108962375</v>
      </c>
      <c r="EF328" s="1115" t="s">
        <v>569</v>
      </c>
      <c r="EG328" s="1120">
        <f t="shared" si="503"/>
        <v>0.33</v>
      </c>
      <c r="EH328" s="1124"/>
      <c r="EI328" s="1093"/>
      <c r="EJ328" s="1093"/>
      <c r="EK328" s="1097">
        <f>IF($P328="","N/A",IF(P328=-1,INDEX('卡片raw data'!AS:AS,MATCH(D328,'卡片raw data'!$F:$F,)),0)+IF(AND(L328&lt;&gt;"party卡",P328&lt;=2,P328&gt;=0),INDEX('卡片raw data'!AU:AU,MATCH(D328,'卡片raw data'!$F:$F,)),0)+IF(OR(AND(L328="party卡",P328&lt;=1),AND(P328&lt;=4,L328&lt;&gt;"party卡",P328&gt;=3)),INDEX('卡片raw data'!AV:AV,MATCH(D328,'卡片raw data'!$F:$F,)),0)+IF(OR(P328=5,AND(L328="party卡",P328&gt;=2)),INDEX('卡片raw data'!AW:AW,MATCH(D328,'卡片raw data'!$F:$F,)),0))</f>
        <v>0</v>
      </c>
      <c r="EL328" s="1098">
        <f t="shared" si="504"/>
        <v>0.33</v>
      </c>
      <c r="EM328" s="1098">
        <f t="shared" si="505"/>
        <v>0.33</v>
      </c>
      <c r="EN328" s="1097">
        <f t="shared" si="506"/>
        <v>0</v>
      </c>
      <c r="EO328" s="1125">
        <f t="shared" si="507"/>
        <v>0</v>
      </c>
      <c r="EP328" s="1098">
        <f t="shared" si="508"/>
        <v>0</v>
      </c>
      <c r="EQ328" s="1121">
        <f t="shared" si="509"/>
        <v>0</v>
      </c>
      <c r="ER328" s="1101">
        <f t="shared" si="510"/>
        <v>0</v>
      </c>
      <c r="ES328" s="1097">
        <f t="shared" si="511"/>
        <v>0</v>
      </c>
      <c r="ET328" s="1122">
        <f t="shared" si="512"/>
        <v>0</v>
      </c>
    </row>
    <row r="329" spans="2:150" ht="16.5" customHeight="1">
      <c r="B329" s="1123" t="str">
        <f>INDEX('卡片raw data'!B:B,MATCH($D329,'卡片raw data'!$F:$F,))</f>
        <v>中秋凛</v>
      </c>
      <c r="C329" s="449" t="s">
        <v>1276</v>
      </c>
      <c r="D329" s="408">
        <v>326</v>
      </c>
      <c r="E329" s="1090">
        <v>400053002</v>
      </c>
      <c r="F329" s="1090" t="str">
        <f>INDEX('卡片raw data'!C:C,MATCH($D329,'卡片raw data'!$F:$F,))</f>
        <v>UR</v>
      </c>
      <c r="G329" s="1094" t="s">
        <v>1277</v>
      </c>
      <c r="H329" s="411">
        <f>IFERROR(INDEX(绊状态确认!C:C,MATCH($G329,绊状态确认!$B:$B,)),"")</f>
        <v>5</v>
      </c>
      <c r="I329" s="450" t="str">
        <f>IFERROR(INDEX(绊状态确认!D:D,MATCH($G329,绊状态确认!$B:$B,)),"")</f>
        <v>缪</v>
      </c>
      <c r="J329" s="450" t="str">
        <f>IFERROR(INDEX(绊状态确认!E:E,MATCH($G329,绊状态确认!$B:$B,)),"")</f>
        <v>1年级</v>
      </c>
      <c r="K329" s="451" t="str">
        <f>IFERROR(INDEX(绊状态确认!F:F,MATCH($G329,绊状态确认!$B:$B,)),"")</f>
        <v>lilywhite</v>
      </c>
      <c r="L329" s="1094" t="str">
        <f>INDEX('卡片raw data'!E:E,MATCH($D329,'卡片raw data'!$F:$F,))</f>
        <v>活动卡</v>
      </c>
      <c r="M329" s="415">
        <v>44108</v>
      </c>
      <c r="N329" s="416">
        <v>25</v>
      </c>
      <c r="O329" s="1091" t="str">
        <f>INDEX('卡片raw data'!D:D,MATCH($D329,'卡片raw data'!$F:$F,))</f>
        <v>gd</v>
      </c>
      <c r="P329" s="1126">
        <v>5</v>
      </c>
      <c r="Q329" s="1095">
        <f t="shared" si="428"/>
        <v>24791.933808106114</v>
      </c>
      <c r="R329" s="1096">
        <f t="shared" si="429"/>
        <v>0.28799999999999998</v>
      </c>
      <c r="S329" s="1097">
        <f t="shared" si="430"/>
        <v>14494.813256747229</v>
      </c>
      <c r="T329" s="1098">
        <f t="shared" si="431"/>
        <v>0.72399999999999998</v>
      </c>
      <c r="U329" s="1099">
        <f t="shared" si="432"/>
        <v>705.30064955728574</v>
      </c>
      <c r="V329" s="1100">
        <f t="shared" si="433"/>
        <v>76802.542825419514</v>
      </c>
      <c r="W329" s="1101">
        <f t="shared" si="434"/>
        <v>4507.7214871259994</v>
      </c>
      <c r="X329" s="1096">
        <f t="shared" si="435"/>
        <v>5.1999999999999998E-2</v>
      </c>
      <c r="Y329" s="1097">
        <f t="shared" si="436"/>
        <v>2083.9603911991799</v>
      </c>
      <c r="Z329" s="1102">
        <f t="shared" si="437"/>
        <v>25.738645898293711</v>
      </c>
      <c r="AA329" s="1103">
        <f t="shared" si="438"/>
        <v>6591.6818783251792</v>
      </c>
      <c r="AB329" s="1101">
        <f t="shared" si="439"/>
        <v>4507.7214871259994</v>
      </c>
      <c r="AC329" s="1104">
        <f t="shared" si="440"/>
        <v>5.1999999999999998E-2</v>
      </c>
      <c r="AD329" s="1105">
        <f t="shared" si="441"/>
        <v>0</v>
      </c>
      <c r="AE329" s="1128">
        <f t="shared" si="442"/>
        <v>-6.25</v>
      </c>
      <c r="AF329" s="1130">
        <f t="shared" si="443"/>
        <v>10095.43905329856</v>
      </c>
      <c r="AG329" s="420">
        <f t="shared" si="444"/>
        <v>93640.889932320017</v>
      </c>
      <c r="AH329" s="420">
        <f t="shared" si="445"/>
        <v>9.2755638895887351</v>
      </c>
      <c r="AI329" s="1097">
        <f t="shared" si="446"/>
        <v>109336.42114938461</v>
      </c>
      <c r="AJ329" s="420">
        <f t="shared" si="447"/>
        <v>76802.542825419514</v>
      </c>
      <c r="AK329" s="518">
        <f t="shared" si="448"/>
        <v>32533.878323965095</v>
      </c>
      <c r="AL329" s="1106">
        <f>IF($P329="","N/A",(IF($P329=-1,INDEX('卡片raw data'!S:S,MATCH($D329,'卡片raw data'!$F:$F,)),0)+IF($P329=0,INDEX('卡片raw data'!V:V,MATCH($D329,'卡片raw data'!$F:$F,)),0)+IF($P329=1,INDEX('卡片raw data'!Y:Y,MATCH($D329,'卡片raw data'!$F:$F,)),0)+IF($P329=2,INDEX('卡片raw data'!AB:AB,MATCH($D329,'卡片raw data'!$F:$F,)),0)+IF($P329=3,INDEX('卡片raw data'!AE:AE,MATCH($D329,'卡片raw data'!$F:$F,)),0)+IF($P329=4,INDEX('卡片raw data'!AH:AH,MATCH($D329,'卡片raw data'!$F:$F,)),0)+IF($P329=5,INDEX('卡片raw data'!AK:AK,MATCH($D329,'卡片raw data'!$F:$F,)),0)+INDEX('卡片raw data'!S:S,MATCH($D329,'卡片raw data'!$F:$F,))*(IF($F329="UR",0.04,0.033))*(IF($F329="UR",INDEX(绊状态确认!$S:$S,MATCH($G329,绊状态确认!$B:$B,))/2-40)+IF($F329="SR",INDEX(绊状态确认!$R:$R,MATCH($G329,绊状态确认!$B:$B,))/4-15))+IF($F329="R",INDEX(绊状态确认!$Q:$Q,MATCH($G329,绊状态确认!$B:$B,))/6-40/6)))*(INDEX(绊状态确认!$H:$H,MATCH($G329,绊状态确认!$B:$B,))+INDEX(绊状态确认!J:J,MATCH($G329,绊状态确认!$B:$B,)))</f>
        <v>7219.7310239999988</v>
      </c>
      <c r="AM329" s="1106">
        <f>IF($P329="","N/A",(IF($P329=-1,INDEX('卡片raw data'!T:T,MATCH($D329,'卡片raw data'!$F:$F,)),0)+IF($P329=0,INDEX('卡片raw data'!W:W,MATCH($D329,'卡片raw data'!$F:$F,)),0)+IF($P329=1,INDEX('卡片raw data'!Z:Z,MATCH($D329,'卡片raw data'!$F:$F,)),0)+IF($P329=2,INDEX('卡片raw data'!AC:AC,MATCH($D329,'卡片raw data'!$F:$F,)),0)+IF($P329=3,INDEX('卡片raw data'!AF:AF,MATCH($D329,'卡片raw data'!$F:$F,)),0)+IF($P329=4,INDEX('卡片raw data'!AI:AI,MATCH($D329,'卡片raw data'!$F:$F,)),0)+IF($P329=5,INDEX('卡片raw data'!AL:AL,MATCH($D329,'卡片raw data'!$F:$F,)),0)+INDEX('卡片raw data'!T:T,MATCH($D329,'卡片raw data'!$F:$F,))*(IF($F329="UR",0.04,0.033))*(IF($F329="UR",INDEX(绊状态确认!$S:$S,MATCH($G329,绊状态确认!$B:$B,))/2-40)+IF($F329="SR",INDEX(绊状态确认!$R:$R,MATCH($G329,绊状态确认!$B:$B,))/4-15))+IF($F329="R",INDEX(绊状态确认!$Q:$Q,MATCH($G329,绊状态确认!$B:$B,))/6-40/6)))*(INDEX(绊状态确认!$H:$H,MATCH($G329,绊状态确认!$B:$B,))+INDEX(绊状态确认!K:K,MATCH($G329,绊状态确认!$B:$B,)))</f>
        <v>13051.417631999997</v>
      </c>
      <c r="AN329" s="1106">
        <f>IF($P329="","N/A",(IF($P329=-1,INDEX('卡片raw data'!U:U,MATCH($D329,'卡片raw data'!$F:$F,)),0)+IF($P329=0,INDEX('卡片raw data'!X:X,MATCH($D329,'卡片raw data'!$F:$F,)),0)+IF($P329=1,INDEX('卡片raw data'!AA:AA,MATCH($D329,'卡片raw data'!$F:$F,)),0)+IF($P329=2,INDEX('卡片raw data'!AD:AD,MATCH($D329,'卡片raw data'!$F:$F,)),0)+IF($P329=3,INDEX('卡片raw data'!AG:AG,MATCH($D329,'卡片raw data'!$F:$F,)),0)+IF($P329=4,INDEX('卡片raw data'!AJ:AJ,MATCH($D329,'卡片raw data'!$F:$F,)),0)+IF($P329=5,INDEX('卡片raw data'!AM:AM,MATCH($D329,'卡片raw data'!$F:$F,)),0)+INDEX('卡片raw data'!U:U,MATCH($D329,'卡片raw data'!$F:$F,))*(IF($F329="UR",0.04,0.033))*(IF($F329="UR",INDEX(绊状态确认!$S:$S,MATCH($G329,绊状态确认!$B:$B,))/2-40)+IF($F329="SR",INDEX(绊状态确认!$R:$R,MATCH($G329,绊状态确认!$B:$B,))/4-15))+IF($F329="R",INDEX(绊状态确认!$Q:$Q,MATCH($G329,绊状态确认!$B:$B,))/6-40/6)))*(INDEX(绊状态确认!$H:$H,MATCH($G329,绊状态确认!$B:$B,))+INDEX(绊状态确认!L:L,MATCH($G329,绊状态确认!$B:$B,)))</f>
        <v>7496.6944319999993</v>
      </c>
      <c r="AO329" s="1107">
        <f t="shared" si="449"/>
        <v>1</v>
      </c>
      <c r="AP329" s="1131">
        <f>1+(INDEX(绊状态确认!$T:$T,MATCH($G329,绊状态确认!$B:$B,))+0.2)*$AO329</f>
        <v>1.3</v>
      </c>
      <c r="AQ329" s="1108">
        <f t="shared" si="450"/>
        <v>22201.793938000003</v>
      </c>
      <c r="AR329" s="1097">
        <f>(AM329*(1+$EX$9)+$EX$35)*(1+(INDEX(绊状态确认!$T:$T,MATCH($G329,绊状态确认!$B:$B,))+0.2)*AO329)*IF(J329=$FF$17,1+$FE$17,1)*IF(I329=$FF$14,1+$FE$14,1)</f>
        <v>20519.185067679999</v>
      </c>
      <c r="AS329" s="1097">
        <f>(AN329*(1+$EX$10)+$EX$36)*(1+(INDEX(绊状态确认!$T:$T,MATCH($G329,绊状态确认!$B:$B,))+0.2)*AO329)*IF(J329=$FF$17,1+$FE$17,1)*IF(I329=$FF$14,1+$FE$14,1)</f>
        <v>15263.558175839999</v>
      </c>
      <c r="AT329" s="1093">
        <f>IF(AND(INDEX('卡片raw data'!AK:AK,MATCH($D329,'卡片raw data'!$F:$F,))&lt;INDEX('卡片raw data'!AM:AM,MATCH($D329,'卡片raw data'!$F:$F,)),INDEX('卡片raw data'!AL:AL,MATCH($D329,'卡片raw data'!$F:$F,))&lt;INDEX('卡片raw data'!AM:AM,MATCH($D329,'卡片raw data'!$F:$F,))),1,0)</f>
        <v>0</v>
      </c>
      <c r="AU329" s="1098">
        <f>MIN(AT329*0.15+AS329*0.00003+INDEX(绊状态确认!M:M,MATCH($G329,绊状态确认!$B:$B,)),1)</f>
        <v>0.4879067452752</v>
      </c>
      <c r="AV329" s="1109">
        <f>(INDEX(绊状态确认!$N:$N,MATCH($G329,绊状态确认!$B:$B,))+1.5)*$EW$21</f>
        <v>2.6599999999999997</v>
      </c>
      <c r="AW329" s="1101">
        <f t="shared" si="451"/>
        <v>20869.212320980114</v>
      </c>
      <c r="AX329" s="1097">
        <f t="shared" si="452"/>
        <v>1790.4865139266494</v>
      </c>
      <c r="AY329" s="1110">
        <f t="shared" si="453"/>
        <v>22659.698834906761</v>
      </c>
      <c r="AZ329" s="429">
        <f t="shared" si="454"/>
        <v>16678.475496799998</v>
      </c>
      <c r="BA329" s="431">
        <f t="shared" si="455"/>
        <v>20014.170596159998</v>
      </c>
      <c r="BB329" s="1097">
        <f>(AM329*(1+$FB$9)+$FB$35)*(1+(INDEX(绊状态确认!$T:$T,MATCH($G329,绊状态确认!$B:$B,))+0.2)*AO329)*IF(J329=$FF$17,1+$FE$17,1)*IF(I329=$FF$14,1+$FE$14,1)*(1+$FE$15)</f>
        <v>20519.185067679999</v>
      </c>
      <c r="BC329" s="1097">
        <f>(AN329*(1+$FB$10)+$FB$36)*(1+(INDEX(绊状态确认!$T:$T,MATCH($G329,绊状态确认!$B:$B,))+0.2)*AO329)*IF(J329=$FF$17,1+$FE$17,1)*IF(I329=$FF$14,1+$FE$14,1)*(1+$FE$15)</f>
        <v>15263.558175839999</v>
      </c>
      <c r="BD329" s="1104">
        <f>MIN(AT329*0.15+BC329*0.00003+INDEX(绊状态确认!M:M,MATCH($G329,绊状态确认!$B:$B,)),1)</f>
        <v>0.4879067452752</v>
      </c>
      <c r="BE329" s="432">
        <f>(INDEX(绊状态确认!$N:$N,MATCH($G329,绊状态确认!$B:$B,))+1.5)</f>
        <v>1.9</v>
      </c>
      <c r="BF329" s="1139">
        <f t="array" ref="BF329">SUMPRODUCT(IF(AZ329*AP329*$FI$16:$FI$23*$FA$22&gt;=$FI$24,$FI$24,AZ329*AP329*$FI$16:$FI$23*$FA$22),$FJ$16:$FJ$23)</f>
        <v>33173.487763135192</v>
      </c>
      <c r="BG329" s="1125">
        <f t="array" ref="BG329">SUMPRODUCT(IF(BE329*AZ329*AP329*$FI$16:$FI$23*$FA$22&gt;=$FI$24,$FI$24,BE329*AZ329*AP329*$FI$16:$FI$23*$FA$22),$FJ$16:$FJ$23)</f>
        <v>57833.792272860876</v>
      </c>
      <c r="BH329" s="1110">
        <f t="shared" si="456"/>
        <v>15068.472224656929</v>
      </c>
      <c r="BI329" s="1111">
        <f>IF(O329="vo",$EW$26/$EW$24*0.05,0)+IF(O329="sk",-$EW$26/$EW$24*(0.05-INDEX(绊状态确认!W:W,MATCH($G329,绊状态确认!$B:$B,)))+0.05*$EW$28,0)+IF(O329="sp",0.05*$EW$32*$EW$30*(1-$EW$33)-(0.05-INDEX(绊状态确认!V:V,MATCH($G329,绊状态确认!$B:$B,)))*$EW$28,0)+IF(O329="gd",-(0.05-INDEX(绊状态确认!X:X,MATCH($G329,绊状态确认!$B:$B,)))*$EW$32*$EW$30*(1-$EW$33),0)</f>
        <v>-585.00000000000011</v>
      </c>
      <c r="BJ329" s="1097">
        <f>IF(O329="vo",0.05*(1-$FI$26)*$FA$24,0)+IF(O329="sk",-(0.05-INDEX(绊状态确认!W:W,MATCH($G329,绊状态确认!$B:$B,)))*(1-$FI$26)*$FA$24+0.05*$FA$26,0)+IF(O329="sp",0.05*$FA$32*$FA$27*(1-$FA$33)/$FA$30+0.05*$FA$29/$FA$69*$FA$27*(1-$FA$33)-(0.05-INDEX(绊状态确认!V:V,MATCH($G329,绊状态确认!$B:$B,)))*$FA$26,0)+IF(O329="gd",-(0.05-INDEX(绊状态确认!X:X,MATCH($G329,绊状态确认!$B:$B,)))*$FA$32*$FA$27*(1-$FA$33)/$FA$30-(0.05-INDEX(绊状态确认!X:X,MATCH($G329,绊状态确认!$B:$B,)))*$FA$29/$FA$69*$FA$27*(1-$FA$33),0)</f>
        <v>-795.00000000000011</v>
      </c>
      <c r="BK329" s="1110">
        <f>IF(O329="vo",$EW$26/$EW$24*0.05+$EW$26*(-HP($EW$62,$EW$65,$EW$64)+HP($EW$62,$EW$65,(1.05-INDEX(绊状态确认!U:U,MATCH($G329,绊状态确认!$B:$B,)))*$EW$64)),0)+IF(O329="sk",-$EW$26/$EW$24*(0.05-INDEX(绊状态确认!W:W,MATCH($G329,绊状态确认!$B:$B,)))+0.05*$EW$29,0)+IF(O329="sp",0.05*$EW$32*$EW$30*(1-$EW$33)-(0.05-INDEX(绊状态确认!V:V,MATCH($G329,绊状态确认!$B:$B,)))*$EW$29,0)+IF(O329="gd",-(0.05-INDEX(绊状态确认!X:X,MATCH($G329,绊状态确认!$B:$B,)))*$EW$32*$EW$30*(1-$EW$33)+$EW$26*(-HP($EW$62,$EW$65,$EW$64)+HP($EW$62,$EW$65,0.95*$EW$64)),0)</f>
        <v>1009.5947725176144</v>
      </c>
      <c r="BL329" s="1111">
        <f t="shared" si="457"/>
        <v>0</v>
      </c>
      <c r="BM329" s="1110">
        <f t="shared" si="458"/>
        <v>0</v>
      </c>
      <c r="BN329" s="1113">
        <f t="shared" si="459"/>
        <v>3</v>
      </c>
      <c r="BO329" s="1108">
        <f t="shared" si="460"/>
        <v>4507.7214871259994</v>
      </c>
      <c r="BP329" s="1100">
        <f t="shared" si="461"/>
        <v>221.34103209030098</v>
      </c>
      <c r="BQ329" s="1113" t="s">
        <v>133</v>
      </c>
      <c r="BR329" s="1124" t="s">
        <v>171</v>
      </c>
      <c r="BS329" s="1098">
        <f>IF($P329="","N/A",IF($P329=-1,INDEX('卡片raw data'!AX:AX,MATCH($D329,'卡片raw data'!$F:$F,)),0)+IF($L329="party卡",IF($P329=5,INDEX('卡片raw data'!BD:BD,MATCH($D329,'卡片raw data'!$F:$F,)),IF($P329&gt;=3,INDEX('卡片raw data'!BC:BC,MATCH($D329,'卡片raw data'!$F:$F,)),INDEX('卡片raw data'!BB:BB,MATCH($D329,'卡片raw data'!$F:$F,)))),IF(OR(AND($F329="UR",$P329=0),AND($F329="SR",$P329&gt;=0,$P329&lt;=2),AND($F329="R",$P329&gt;=0,$P329&lt;4)),INDEX('卡片raw data'!AZ:AZ,MATCH($D329,'卡片raw data'!$F:$F,)),0)+IF(OR(AND($F329="UR",$P329&gt;=1,$P329&lt;=4),AND($F329="SR",$P329&lt;=4,$P329&gt;=3),AND($F329="R",$P329=4)),INDEX('卡片raw data'!BA:BA,MATCH($D329,'卡片raw data'!$F:$F,)),0)+IF($P329=5,INDEX('卡片raw data'!BB:BB,MATCH($D329,'卡片raw data'!$F:$F,)),0)))</f>
        <v>5.1999999999999998E-2</v>
      </c>
      <c r="BT329" s="1101">
        <f t="shared" si="462"/>
        <v>0</v>
      </c>
      <c r="BU329" s="1097">
        <f t="shared" si="463"/>
        <v>0</v>
      </c>
      <c r="BV329" s="1097">
        <f t="shared" si="464"/>
        <v>0</v>
      </c>
      <c r="BW329" s="1112">
        <f t="shared" si="465"/>
        <v>2.4347142857142861</v>
      </c>
      <c r="BX329" s="1100">
        <f t="shared" si="466"/>
        <v>190.49664124538464</v>
      </c>
      <c r="BY329" s="1110">
        <f t="shared" si="467"/>
        <v>190.49664124538464</v>
      </c>
      <c r="BZ329" s="1113" t="s">
        <v>569</v>
      </c>
      <c r="CA329" s="1124"/>
      <c r="CB329" s="1098">
        <f>IF($P329="","N/A",IF($P329=-1,INDEX('卡片raw data'!BE:BE,MATCH($D329,'卡片raw data'!$F:$F,)),0)+IF($L329="party卡",IF($P329=5,INDEX('卡片raw data'!BK:BK,MATCH($D329,'卡片raw data'!$F:$F,)),IF($P329&gt;=3,INDEX('卡片raw data'!BJ:BJ,MATCH($D329,'卡片raw data'!$F:$F,)),INDEX('卡片raw data'!BI:BI,MATCH($D329,'卡片raw data'!$F:$F,)))),IF(OR(AND($F329="UR",$P329=0),AND($F329="SR",$P329&gt;=0,$P329&lt;=2),AND($F329="R",$P329&gt;=0,$P329&lt;4)),INDEX('卡片raw data'!BG:BG,MATCH($D329,'卡片raw data'!$F:$F,)),0)+IF(OR(AND($F329="UR",$P329&gt;=1,$P329&lt;=4),AND($F329="SR",$P329&lt;=4,$P329&gt;=3),AND($F329="R",$P329=4)),INDEX('卡片raw data'!BH:BH,MATCH($D329,'卡片raw data'!$F:$F,)),0)+IF($P329=5,INDEX('卡片raw data'!BI:BI,MATCH($D329,'卡片raw data'!$F:$F,)),0)))</f>
        <v>0</v>
      </c>
      <c r="CC329" s="1101">
        <f t="shared" si="468"/>
        <v>0</v>
      </c>
      <c r="CD329" s="1097">
        <f>IF(BZ329="ap",CB329*(1-$FI$26)*$FB$5/$FB$11*(+IF(CA329="全员",$FA$24,0)+IF(CA329="同作战",$FA$24,0)+IF(CA329="仲间",$FA$24*2/3,0)+IF(CA329="同属性",$FA$24*$FA$37/3,0)+IF(CA329="同年级",$FA$24*$FA$40/3,0)+IF(CA329="同学校",$FA$24*$FA$43/3,0)+IF(CA329="同小队",$FA$24*$FA$46/3,0)+IF(CA329="同type",$FA$24*INDEX($FB$49:$FB$52,MATCH(X329,$FA$49:$FA$52,))/3,0)+IF(CA329="自身",#REF!/3,0)),0)+IF(BZ329="te",CB329*(1-$FI$27)*($FA$20-1)*$FB$7/$FB$13*(+IF(CA329="全员",$FA$19*$FA$24/(1+($FA$20-1)*$FA$19),0)+IF(CA329="同作战",$FA$19*$FA$24/(1+($FA$20-1)*$FA$19),0)+IF(CA329="仲间",$FA$19*$FA$24*2/3/(1+($FA$20-1)*$FA$19),0)+IF(CA329="同属性",$FA$19*$FA$24*$FA$37/3/(1+($FA$20-1)*$FA$19),0)+IF(CA329="同年级",$FA$19*$FA$24*$FA$40/3/(1+($FA$20-1)*$FA$19),0)+IF(CA329="同学校",$FA$19*$FA$24*$FA$43/3/(1+($FA$20-1)*$FA$19),0)+IF(CA329="同小队",$FA$19*$FA$24*$FA$46/3/(1+($FA$20-1)*$FA$19),0)+IF(CA329="同type",$FA$19*$FA$24*INDEX($FB$49:$FB$52,MATCH(X329,$FA$49:$FA$52,))/3/(1+($FA$20-1)*$FA$19),0)+IF(CA329="自身",$FA$19*#REF!/3/(1+(BH329-1)*$BD329),0)),0)</f>
        <v>0</v>
      </c>
      <c r="CE329" s="1097">
        <f t="shared" si="469"/>
        <v>0</v>
      </c>
      <c r="CF329" s="1112">
        <f t="shared" si="470"/>
        <v>0</v>
      </c>
      <c r="CG329" s="1100">
        <f t="shared" si="471"/>
        <v>0</v>
      </c>
      <c r="CH329" s="1110">
        <f t="shared" si="472"/>
        <v>0</v>
      </c>
      <c r="CI329" s="1113" t="s">
        <v>170</v>
      </c>
      <c r="CJ329" s="1114">
        <v>1</v>
      </c>
      <c r="CK329" s="1115" t="s">
        <v>636</v>
      </c>
      <c r="CL329" s="1115" t="s">
        <v>1944</v>
      </c>
      <c r="CM329" s="1119">
        <v>1.7999999999999999E-2</v>
      </c>
      <c r="CN329" s="1115"/>
      <c r="CO329" s="1092"/>
      <c r="CP329" s="1116">
        <f t="shared" si="473"/>
        <v>1.3190904686365712</v>
      </c>
      <c r="CQ329" s="1116">
        <f t="shared" si="474"/>
        <v>2.0519185067679997</v>
      </c>
      <c r="CR329" s="1116">
        <f t="shared" si="475"/>
        <v>1.3190904686365712</v>
      </c>
      <c r="CS329" s="1118">
        <f t="shared" si="476"/>
        <v>0</v>
      </c>
      <c r="CT329" s="1109">
        <f t="shared" si="477"/>
        <v>0</v>
      </c>
      <c r="CU329" s="1101">
        <f t="shared" si="478"/>
        <v>0</v>
      </c>
      <c r="CV329" s="1108">
        <f t="shared" si="479"/>
        <v>0</v>
      </c>
      <c r="CW329" s="1097">
        <f t="shared" si="480"/>
        <v>0</v>
      </c>
      <c r="CX329" s="1097">
        <f t="shared" si="481"/>
        <v>0</v>
      </c>
      <c r="CY329" s="1110">
        <f t="shared" si="482"/>
        <v>102.97723602714539</v>
      </c>
      <c r="CZ329" s="437"/>
      <c r="DA329" s="438"/>
      <c r="DB329" s="439" t="s">
        <v>569</v>
      </c>
      <c r="DC329" s="439"/>
      <c r="DD329" s="443"/>
      <c r="DE329" s="411"/>
      <c r="DF329" s="411"/>
      <c r="DG329" s="1116">
        <f t="shared" si="483"/>
        <v>0</v>
      </c>
      <c r="DH329" s="1116">
        <f t="shared" si="484"/>
        <v>0</v>
      </c>
      <c r="DI329" s="1116">
        <f t="shared" si="485"/>
        <v>0</v>
      </c>
      <c r="DJ329" s="442">
        <f t="shared" si="486"/>
        <v>0</v>
      </c>
      <c r="DK329" s="1109">
        <f t="shared" si="487"/>
        <v>0</v>
      </c>
      <c r="DL329" s="1101">
        <f t="shared" si="488"/>
        <v>0</v>
      </c>
      <c r="DM329" s="1097">
        <f t="shared" si="489"/>
        <v>0</v>
      </c>
      <c r="DN329" s="1097">
        <f t="shared" si="490"/>
        <v>0</v>
      </c>
      <c r="DO329" s="1097">
        <f t="shared" si="491"/>
        <v>0</v>
      </c>
      <c r="DP329" s="1110">
        <f t="shared" si="492"/>
        <v>0</v>
      </c>
      <c r="DQ329" s="1113" t="s">
        <v>636</v>
      </c>
      <c r="DR329" s="1120">
        <f t="shared" si="493"/>
        <v>0.33</v>
      </c>
      <c r="DS329" s="1124"/>
      <c r="DT329" s="1093" t="s">
        <v>133</v>
      </c>
      <c r="DU329" s="1093"/>
      <c r="DV329" s="1098">
        <f>IF($P329="","N/A",IF(P329=-1,INDEX('卡片raw data'!AN:AN,MATCH(D329,'卡片raw data'!$F:$F,)),0)+IF(AND(L329&lt;&gt;"party卡",P329&lt;=2,P329&gt;=0),INDEX('卡片raw data'!AP:AP,MATCH(D329,'卡片raw data'!$F:$F,)),0)+IF(OR(AND(L329="party卡",P329&lt;=1),AND(P329&lt;=4,L329&lt;&gt;"party卡",P329&gt;=3)),INDEX('卡片raw data'!AQ:AQ,MATCH(D329,'卡片raw data'!$F:$F,)),0)+IF(OR(P329=5,AND(L329="party卡",P329&gt;=2)),INDEX('卡片raw data'!AR:AR,MATCH(D329,'卡片raw data'!$F:$F,)),0))</f>
        <v>0.28999999999999998</v>
      </c>
      <c r="DW329" s="1098">
        <f t="shared" si="494"/>
        <v>0.33</v>
      </c>
      <c r="DX329" s="1098">
        <f t="shared" si="495"/>
        <v>0.33</v>
      </c>
      <c r="DY329" s="1125">
        <f t="shared" si="496"/>
        <v>654.56200365899201</v>
      </c>
      <c r="DZ329" s="1125">
        <f t="shared" si="497"/>
        <v>566.19613316502807</v>
      </c>
      <c r="EA329" s="1098">
        <f t="shared" si="498"/>
        <v>0</v>
      </c>
      <c r="EB329" s="1121">
        <f t="shared" si="499"/>
        <v>0</v>
      </c>
      <c r="EC329" s="1101">
        <f t="shared" si="500"/>
        <v>0</v>
      </c>
      <c r="ED329" s="1097">
        <f t="shared" si="501"/>
        <v>0</v>
      </c>
      <c r="EE329" s="1110">
        <f t="shared" si="502"/>
        <v>48435.03108962375</v>
      </c>
      <c r="EF329" s="1115" t="s">
        <v>569</v>
      </c>
      <c r="EG329" s="1120">
        <f t="shared" si="503"/>
        <v>0.33</v>
      </c>
      <c r="EH329" s="1124"/>
      <c r="EI329" s="1093"/>
      <c r="EJ329" s="1093"/>
      <c r="EK329" s="1097">
        <f>IF($P329="","N/A",IF(P329=-1,INDEX('卡片raw data'!AS:AS,MATCH(D329,'卡片raw data'!$F:$F,)),0)+IF(AND(L329&lt;&gt;"party卡",P329&lt;=2,P329&gt;=0),INDEX('卡片raw data'!AU:AU,MATCH(D329,'卡片raw data'!$F:$F,)),0)+IF(OR(AND(L329="party卡",P329&lt;=1),AND(P329&lt;=4,L329&lt;&gt;"party卡",P329&gt;=3)),INDEX('卡片raw data'!AV:AV,MATCH(D329,'卡片raw data'!$F:$F,)),0)+IF(OR(P329=5,AND(L329="party卡",P329&gt;=2)),INDEX('卡片raw data'!AW:AW,MATCH(D329,'卡片raw data'!$F:$F,)),0))</f>
        <v>0</v>
      </c>
      <c r="EL329" s="1098">
        <f t="shared" si="504"/>
        <v>0.33</v>
      </c>
      <c r="EM329" s="1098">
        <f t="shared" si="505"/>
        <v>0.33</v>
      </c>
      <c r="EN329" s="1097">
        <f t="shared" si="506"/>
        <v>0</v>
      </c>
      <c r="EO329" s="1125">
        <f t="shared" si="507"/>
        <v>0</v>
      </c>
      <c r="EP329" s="1098">
        <f t="shared" si="508"/>
        <v>0</v>
      </c>
      <c r="EQ329" s="1121">
        <f t="shared" si="509"/>
        <v>0</v>
      </c>
      <c r="ER329" s="1101">
        <f t="shared" si="510"/>
        <v>0</v>
      </c>
      <c r="ES329" s="1097">
        <f t="shared" si="511"/>
        <v>0</v>
      </c>
      <c r="ET329" s="1122">
        <f t="shared" si="512"/>
        <v>0</v>
      </c>
    </row>
    <row r="330" spans="2:150" ht="16.5" customHeight="1">
      <c r="B330" s="1123" t="str">
        <f>INDEX('卡片raw data'!B:B,MATCH($D330,'卡片raw data'!$F:$F,))</f>
        <v>三专艾</v>
      </c>
      <c r="C330" s="449" t="s">
        <v>1286</v>
      </c>
      <c r="D330" s="408">
        <v>327</v>
      </c>
      <c r="E330" s="1090">
        <v>402082002</v>
      </c>
      <c r="F330" s="1090" t="str">
        <f>INDEX('卡片raw data'!C:C,MATCH($D330,'卡片raw data'!$F:$F,))</f>
        <v>SR</v>
      </c>
      <c r="G330" s="1094" t="s">
        <v>1287</v>
      </c>
      <c r="H330" s="411">
        <f>IFERROR(INDEX(绊状态确认!C:C,MATCH($G330,绊状态确认!$B:$B,)),"")</f>
        <v>208</v>
      </c>
      <c r="I330" s="450" t="str">
        <f>IFERROR(INDEX(绊状态确认!D:D,MATCH($G330,绊状态确认!$B:$B,)),"")</f>
        <v>虹</v>
      </c>
      <c r="J330" s="450" t="str">
        <f>IFERROR(INDEX(绊状态确认!E:E,MATCH($G330,绊状态确认!$B:$B,)),"")</f>
        <v>3年级</v>
      </c>
      <c r="K330" s="451" t="str">
        <f>IFERROR(INDEX(绊状态确认!F:F,MATCH($G330,绊状态确认!$B:$B,)),"")</f>
        <v>QU4RTZ</v>
      </c>
      <c r="L330" s="1094" t="str">
        <f>INDEX('卡片raw data'!E:E,MATCH($D330,'卡片raw data'!$F:$F,))</f>
        <v>活动卡</v>
      </c>
      <c r="M330" s="415">
        <v>44108</v>
      </c>
      <c r="N330" s="416">
        <v>25</v>
      </c>
      <c r="O330" s="1091" t="str">
        <f>INDEX('卡片raw data'!D:D,MATCH($D330,'卡片raw data'!$F:$F,))</f>
        <v>vo</v>
      </c>
      <c r="P330" s="1126">
        <v>5</v>
      </c>
      <c r="Q330" s="1095">
        <f t="shared" si="428"/>
        <v>35227.160570856191</v>
      </c>
      <c r="R330" s="1096">
        <f t="shared" si="429"/>
        <v>0.40899999999999997</v>
      </c>
      <c r="S330" s="1097">
        <f t="shared" si="430"/>
        <v>14782.612872214453</v>
      </c>
      <c r="T330" s="1098">
        <f t="shared" si="431"/>
        <v>0.73899999999999999</v>
      </c>
      <c r="U330" s="1099">
        <f t="shared" si="432"/>
        <v>-15.588464285547143</v>
      </c>
      <c r="V330" s="1100">
        <f t="shared" si="433"/>
        <v>34669.340691325408</v>
      </c>
      <c r="W330" s="1101">
        <f t="shared" si="434"/>
        <v>4563.4688511242066</v>
      </c>
      <c r="X330" s="1096">
        <f t="shared" si="435"/>
        <v>5.2999999999999999E-2</v>
      </c>
      <c r="Y330" s="1097">
        <f t="shared" si="436"/>
        <v>746.84857071091301</v>
      </c>
      <c r="Z330" s="1102">
        <f t="shared" si="437"/>
        <v>9.4115357144528566</v>
      </c>
      <c r="AA330" s="1103">
        <f t="shared" si="438"/>
        <v>5310.3174218351196</v>
      </c>
      <c r="AB330" s="1101">
        <f t="shared" si="439"/>
        <v>5182.3243360536562</v>
      </c>
      <c r="AC330" s="1104">
        <f t="shared" si="440"/>
        <v>0.06</v>
      </c>
      <c r="AD330" s="1105">
        <f t="shared" si="441"/>
        <v>-3.8207812500000026E-3</v>
      </c>
      <c r="AE330" s="1128">
        <f t="shared" si="442"/>
        <v>-12.27536231884058</v>
      </c>
      <c r="AF330" s="1130">
        <f t="shared" si="443"/>
        <v>0</v>
      </c>
      <c r="AG330" s="420">
        <f t="shared" si="444"/>
        <v>0</v>
      </c>
      <c r="AH330" s="420">
        <f t="shared" si="445"/>
        <v>0</v>
      </c>
      <c r="AI330" s="1097">
        <f t="shared" si="446"/>
        <v>0</v>
      </c>
      <c r="AJ330" s="420">
        <f t="shared" si="447"/>
        <v>0</v>
      </c>
      <c r="AK330" s="518">
        <f t="shared" si="448"/>
        <v>0</v>
      </c>
      <c r="AL330" s="1106">
        <f>IF($P330="","N/A",(IF($P330=-1,INDEX('卡片raw data'!S:S,MATCH($D330,'卡片raw data'!$F:$F,)),0)+IF($P330=0,INDEX('卡片raw data'!V:V,MATCH($D330,'卡片raw data'!$F:$F,)),0)+IF($P330=1,INDEX('卡片raw data'!Y:Y,MATCH($D330,'卡片raw data'!$F:$F,)),0)+IF($P330=2,INDEX('卡片raw data'!AB:AB,MATCH($D330,'卡片raw data'!$F:$F,)),0)+IF($P330=3,INDEX('卡片raw data'!AE:AE,MATCH($D330,'卡片raw data'!$F:$F,)),0)+IF($P330=4,INDEX('卡片raw data'!AH:AH,MATCH($D330,'卡片raw data'!$F:$F,)),0)+IF($P330=5,INDEX('卡片raw data'!AK:AK,MATCH($D330,'卡片raw data'!$F:$F,)),0)+INDEX('卡片raw data'!S:S,MATCH($D330,'卡片raw data'!$F:$F,))*(IF($F330="UR",0.04,0.033))*(IF($F330="UR",INDEX(绊状态确认!$S:$S,MATCH($G330,绊状态确认!$B:$B,))/2-40)+IF($F330="SR",INDEX(绊状态确认!$R:$R,MATCH($G330,绊状态确认!$B:$B,))/4-15))+IF($F330="R",INDEX(绊状态确认!$Q:$Q,MATCH($G330,绊状态确认!$B:$B,))/6-40/6)))*(INDEX(绊状态确认!$H:$H,MATCH($G330,绊状态确认!$B:$B,))+INDEX(绊状态确认!J:J,MATCH($G330,绊状态确认!$B:$B,)))</f>
        <v>7881.0090023999992</v>
      </c>
      <c r="AM330" s="1106">
        <f>IF($P330="","N/A",(IF($P330=-1,INDEX('卡片raw data'!T:T,MATCH($D330,'卡片raw data'!$F:$F,)),0)+IF($P330=0,INDEX('卡片raw data'!W:W,MATCH($D330,'卡片raw data'!$F:$F,)),0)+IF($P330=1,INDEX('卡片raw data'!Z:Z,MATCH($D330,'卡片raw data'!$F:$F,)),0)+IF($P330=2,INDEX('卡片raw data'!AC:AC,MATCH($D330,'卡片raw data'!$F:$F,)),0)+IF($P330=3,INDEX('卡片raw data'!AF:AF,MATCH($D330,'卡片raw data'!$F:$F,)),0)+IF($P330=4,INDEX('卡片raw data'!AI:AI,MATCH($D330,'卡片raw data'!$F:$F,)),0)+IF($P330=5,INDEX('卡片raw data'!AL:AL,MATCH($D330,'卡片raw data'!$F:$F,)),0)+INDEX('卡片raw data'!T:T,MATCH($D330,'卡片raw data'!$F:$F,))*(IF($F330="UR",0.04,0.033))*(IF($F330="UR",INDEX(绊状态确认!$S:$S,MATCH($G330,绊状态确认!$B:$B,))/2-40)+IF($F330="SR",INDEX(绊状态确认!$R:$R,MATCH($G330,绊状态确认!$B:$B,))/4-15))+IF($F330="R",INDEX(绊状态确认!$Q:$Q,MATCH($G330,绊状态确认!$B:$B,))/6-40/6)))*(INDEX(绊状态确认!$H:$H,MATCH($G330,绊状态确认!$B:$B,))+INDEX(绊状态确认!K:K,MATCH($G330,绊状态确认!$B:$B,)))</f>
        <v>4454.2857144</v>
      </c>
      <c r="AN330" s="1106">
        <f>IF($P330="","N/A",(IF($P330=-1,INDEX('卡片raw data'!U:U,MATCH($D330,'卡片raw data'!$F:$F,)),0)+IF($P330=0,INDEX('卡片raw data'!X:X,MATCH($D330,'卡片raw data'!$F:$F,)),0)+IF($P330=1,INDEX('卡片raw data'!AA:AA,MATCH($D330,'卡片raw data'!$F:$F,)),0)+IF($P330=2,INDEX('卡片raw data'!AD:AD,MATCH($D330,'卡片raw data'!$F:$F,)),0)+IF($P330=3,INDEX('卡片raw data'!AG:AG,MATCH($D330,'卡片raw data'!$F:$F,)),0)+IF($P330=4,INDEX('卡片raw data'!AJ:AJ,MATCH($D330,'卡片raw data'!$F:$F,)),0)+IF($P330=5,INDEX('卡片raw data'!AM:AM,MATCH($D330,'卡片raw data'!$F:$F,)),0)+INDEX('卡片raw data'!U:U,MATCH($D330,'卡片raw data'!$F:$F,))*(IF($F330="UR",0.04,0.033))*(IF($F330="UR",INDEX(绊状态确认!$S:$S,MATCH($G330,绊状态确认!$B:$B,))/2-40)+IF($F330="SR",INDEX(绊状态确认!$R:$R,MATCH($G330,绊状态确认!$B:$B,))/4-15))+IF($F330="R",INDEX(绊状态确认!$Q:$Q,MATCH($G330,绊状态确认!$B:$B,))/6-40/6)))*(INDEX(绊状态确认!$H:$H,MATCH($G330,绊状态确认!$B:$B,))+INDEX(绊状态确认!L:L,MATCH($G330,绊状态确认!$B:$B,)))</f>
        <v>4797.1853231999994</v>
      </c>
      <c r="AO330" s="1107">
        <f t="shared" si="449"/>
        <v>1</v>
      </c>
      <c r="AP330" s="1131">
        <f>1+(INDEX(绊状态确认!$T:$T,MATCH($G330,绊状态确认!$B:$B,))+0.2)*$AO330</f>
        <v>1.3</v>
      </c>
      <c r="AQ330" s="1108">
        <f t="shared" si="450"/>
        <v>23937.648631299999</v>
      </c>
      <c r="AR330" s="1097">
        <f>(AM330*(1+$EX$9)+$EX$35)*(1+(INDEX(绊状态确认!$T:$T,MATCH($G330,绊状态确认!$B:$B,))+0.2)*AO330)*IF(J330=$FF$17,1+$FE$17,1)*IF(I330=$FF$14,1+$FE$14,1)</f>
        <v>8784.1000001560005</v>
      </c>
      <c r="AS330" s="1097">
        <f>(AN330*(1+$EX$10)+$EX$36)*(1+(INDEX(绊状态确认!$T:$T,MATCH($G330,绊状态确认!$B:$B,))+0.2)*AO330)*IF(J330=$FF$17,1+$FE$17,1)*IF(I330=$FF$14,1+$FE$14,1)</f>
        <v>11227.792058184001</v>
      </c>
      <c r="AT330" s="1093">
        <f>IF(AND(INDEX('卡片raw data'!AK:AK,MATCH($D330,'卡片raw data'!$F:$F,))&lt;INDEX('卡片raw data'!AM:AM,MATCH($D330,'卡片raw data'!$F:$F,)),INDEX('卡片raw data'!AL:AL,MATCH($D330,'卡片raw data'!$F:$F,))&lt;INDEX('卡片raw data'!AM:AM,MATCH($D330,'卡片raw data'!$F:$F,))),1,0)</f>
        <v>0</v>
      </c>
      <c r="AU330" s="1098">
        <f>MIN(AT330*0.15+AS330*0.00003+INDEX(绊状态确认!M:M,MATCH($G330,绊状态确认!$B:$B,)),1)</f>
        <v>0.36683376174552007</v>
      </c>
      <c r="AV330" s="1109">
        <f>(INDEX(绊状态确认!$N:$N,MATCH($G330,绊状态确认!$B:$B,))+1.5)*$EW$21</f>
        <v>2.6599999999999997</v>
      </c>
      <c r="AW330" s="1101">
        <f t="shared" si="451"/>
        <v>20002.293352183973</v>
      </c>
      <c r="AX330" s="1097">
        <f t="shared" si="452"/>
        <v>746.84857071091324</v>
      </c>
      <c r="AY330" s="1110">
        <f t="shared" si="453"/>
        <v>20749.141922894887</v>
      </c>
      <c r="AZ330" s="429">
        <f t="shared" si="454"/>
        <v>17967.967554679999</v>
      </c>
      <c r="BA330" s="431">
        <f t="shared" si="455"/>
        <v>21561.561065615999</v>
      </c>
      <c r="BB330" s="1097">
        <f>(AM330*(1+$FB$9)+$FB$35)*(1+(INDEX(绊状态确认!$T:$T,MATCH($G330,绊状态确认!$B:$B,))+0.2)*AO330)*IF(J330=$FF$17,1+$FE$17,1)*IF(I330=$FF$14,1+$FE$14,1)*(1+$FE$15)</f>
        <v>8784.1000001560005</v>
      </c>
      <c r="BC330" s="1097">
        <f>(AN330*(1+$FB$10)+$FB$36)*(1+(INDEX(绊状态确认!$T:$T,MATCH($G330,绊状态确认!$B:$B,))+0.2)*AO330)*IF(J330=$FF$17,1+$FE$17,1)*IF(I330=$FF$14,1+$FE$14,1)*(1+$FE$15)</f>
        <v>11227.792058184001</v>
      </c>
      <c r="BD330" s="1104">
        <f>MIN(AT330*0.15+BC330*0.00003+INDEX(绊状态确认!M:M,MATCH($G330,绊状态确认!$B:$B,)),1)</f>
        <v>0.36683376174552007</v>
      </c>
      <c r="BE330" s="432">
        <f>(INDEX(绊状态确认!$N:$N,MATCH($G330,绊状态确认!$B:$B,))+1.5)</f>
        <v>1.9</v>
      </c>
      <c r="BF330" s="1139">
        <f t="array" ref="BF330">SUMPRODUCT(IF(AZ330*AP330*$FI$16:$FI$23*$FA$22&gt;=$FI$24,$FI$24,AZ330*AP330*$FI$16:$FI$23*$FA$22),$FJ$16:$FJ$23)</f>
        <v>35738.287466258516</v>
      </c>
      <c r="BG330" s="1125">
        <f t="array" ref="BG330">SUMPRODUCT(IF(BE330*AZ330*AP330*$FI$16:$FI$23*$FA$22&gt;=$FI$24,$FI$24,BE330*AZ330*AP330*$FI$16:$FI$23*$FA$22),$FJ$16:$FJ$23)</f>
        <v>59095.219965014898</v>
      </c>
      <c r="BH330" s="1110">
        <f t="shared" si="456"/>
        <v>14768.79962587117</v>
      </c>
      <c r="BI330" s="1111">
        <f>IF(O330="vo",$EW$26/$EW$24*0.05,0)+IF(O330="sk",-$EW$26/$EW$24*(0.05-INDEX(绊状态确认!W:W,MATCH($G330,绊状态确认!$B:$B,)))+0.05*$EW$28,0)+IF(O330="sp",0.05*$EW$32*$EW$30*(1-$EW$33)-(0.05-INDEX(绊状态确认!V:V,MATCH($G330,绊状态确认!$B:$B,)))*$EW$28,0)+IF(O330="gd",-(0.05-INDEX(绊状态确认!X:X,MATCH($G330,绊状态确认!$B:$B,)))*$EW$32*$EW$30*(1-$EW$33),0)</f>
        <v>7726.3029277443748</v>
      </c>
      <c r="BJ330" s="1097">
        <f>IF(O330="vo",0.05*(1-$FI$26)*$FA$24,0)+IF(O330="sk",-(0.05-INDEX(绊状态确认!W:W,MATCH($G330,绊状态确认!$B:$B,)))*(1-$FI$26)*$FA$24+0.05*$FA$26,0)+IF(O330="sp",0.05*$FA$32*$FA$27*(1-$FA$33)/$FA$30+0.05*$FA$29/$FA$69*$FA$27*(1-$FA$33)-(0.05-INDEX(绊状态确认!V:V,MATCH($G330,绊状态确认!$B:$B,)))*$FA$26,0)+IF(O330="gd",-(0.05-INDEX(绊状态确认!X:X,MATCH($G330,绊状态确认!$B:$B,)))*$FA$32*$FA$27*(1-$FA$33)/$FA$30-(0.05-INDEX(绊状态确认!X:X,MATCH($G330,绊状态确认!$B:$B,)))*$FA$29/$FA$69*$FA$27*(1-$FA$33),0)</f>
        <v>393.93433687500004</v>
      </c>
      <c r="BK330" s="1110">
        <f>IF(O330="vo",$EW$26/$EW$24*0.05+$EW$26*(-HP($EW$62,$EW$65,$EW$64)+HP($EW$62,$EW$65,(1.05-INDEX(绊状态确认!U:U,MATCH($G330,绊状态确认!$B:$B,)))*$EW$64)),0)+IF(O330="sk",-$EW$26/$EW$24*(0.05-INDEX(绊状态确认!W:W,MATCH($G330,绊状态确认!$B:$B,)))+0.05*$EW$29,0)+IF(O330="sp",0.05*$EW$32*$EW$30*(1-$EW$33)-(0.05-INDEX(绊状态确认!V:V,MATCH($G330,绊状态确认!$B:$B,)))*$EW$29,0)+IF(O330="gd",-(0.05-INDEX(绊状态确认!X:X,MATCH($G330,绊状态确认!$B:$B,)))*$EW$32*$EW$30*(1-$EW$33)+$EW$26*(-HP($EW$62,$EW$65,$EW$64)+HP($EW$62,$EW$65,0.95*$EW$64)),0)</f>
        <v>6421.6344775026746</v>
      </c>
      <c r="BL330" s="1111">
        <f t="shared" si="457"/>
        <v>-1083.3333333333333</v>
      </c>
      <c r="BM330" s="1110">
        <f t="shared" si="458"/>
        <v>-830.55555555555543</v>
      </c>
      <c r="BN330" s="1113">
        <f t="shared" si="459"/>
        <v>3</v>
      </c>
      <c r="BO330" s="1108">
        <f t="shared" si="460"/>
        <v>4507.7214871259994</v>
      </c>
      <c r="BP330" s="1100">
        <f t="shared" si="461"/>
        <v>221.34103209030098</v>
      </c>
      <c r="BQ330" s="1113" t="s">
        <v>132</v>
      </c>
      <c r="BR330" s="1124" t="s">
        <v>166</v>
      </c>
      <c r="BS330" s="1098">
        <f>IF($P330="","N/A",IF($P330=-1,INDEX('卡片raw data'!AX:AX,MATCH($D330,'卡片raw data'!$F:$F,)),0)+IF($L330="party卡",IF($P330=5,INDEX('卡片raw data'!BD:BD,MATCH($D330,'卡片raw data'!$F:$F,)),IF($P330&gt;=3,INDEX('卡片raw data'!BC:BC,MATCH($D330,'卡片raw data'!$F:$F,)),INDEX('卡片raw data'!BB:BB,MATCH($D330,'卡片raw data'!$F:$F,)))),IF(OR(AND($F330="UR",$P330=0),AND($F330="SR",$P330&gt;=0,$P330&lt;=2),AND($F330="R",$P330&gt;=0,$P330&lt;4)),INDEX('卡片raw data'!AZ:AZ,MATCH($D330,'卡片raw data'!$F:$F,)),0)+IF(OR(AND($F330="UR",$P330&gt;=1,$P330&lt;=4),AND($F330="SR",$P330&lt;=4,$P330&gt;=3),AND($F330="R",$P330=4)),INDEX('卡片raw data'!BA:BA,MATCH($D330,'卡片raw data'!$F:$F,)),0)+IF($P330=5,INDEX('卡片raw data'!BB:BB,MATCH($D330,'卡片raw data'!$F:$F,)),0)))</f>
        <v>7.0000000000000007E-2</v>
      </c>
      <c r="BT330" s="1101">
        <f t="shared" si="462"/>
        <v>618.85548492944895</v>
      </c>
      <c r="BU330" s="1097">
        <f t="shared" si="463"/>
        <v>21.782744598692933</v>
      </c>
      <c r="BV330" s="1097">
        <f t="shared" si="464"/>
        <v>0</v>
      </c>
      <c r="BW330" s="1112">
        <f t="shared" si="465"/>
        <v>0</v>
      </c>
      <c r="BX330" s="1100">
        <f t="shared" si="466"/>
        <v>618.85548492944895</v>
      </c>
      <c r="BY330" s="1110">
        <f t="shared" si="467"/>
        <v>0</v>
      </c>
      <c r="BZ330" s="1107" t="s">
        <v>569</v>
      </c>
      <c r="CA330" s="1124"/>
      <c r="CB330" s="1098">
        <f>IF($P330="","N/A",IF($P330=-1,INDEX('卡片raw data'!BE:BE,MATCH($D330,'卡片raw data'!$F:$F,)),0)+IF($L330="party卡",IF($P330=5,INDEX('卡片raw data'!BK:BK,MATCH($D330,'卡片raw data'!$F:$F,)),IF($P330&gt;=3,INDEX('卡片raw data'!BJ:BJ,MATCH($D330,'卡片raw data'!$F:$F,)),INDEX('卡片raw data'!BI:BI,MATCH($D330,'卡片raw data'!$F:$F,)))),IF(OR(AND($F330="UR",$P330=0),AND($F330="SR",$P330&gt;=0,$P330&lt;=2),AND($F330="R",$P330&gt;=0,$P330&lt;4)),INDEX('卡片raw data'!BG:BG,MATCH($D330,'卡片raw data'!$F:$F,)),0)+IF(OR(AND($F330="UR",$P330&gt;=1,$P330&lt;=4),AND($F330="SR",$P330&lt;=4,$P330&gt;=3),AND($F330="R",$P330=4)),INDEX('卡片raw data'!BH:BH,MATCH($D330,'卡片raw data'!$F:$F,)),0)+IF($P330=5,INDEX('卡片raw data'!BI:BI,MATCH($D330,'卡片raw data'!$F:$F,)),0)))</f>
        <v>0</v>
      </c>
      <c r="CC330" s="1101">
        <f t="shared" si="468"/>
        <v>0</v>
      </c>
      <c r="CD330" s="1097">
        <f>IF(BZ330="ap",CB330*(1-$FI$26)*$FB$5/$FB$11*(+IF(CA330="全员",$FA$24,0)+IF(CA330="同作战",$FA$24,0)+IF(CA330="仲间",$FA$24*2/3,0)+IF(CA330="同属性",$FA$24*$FA$37/3,0)+IF(CA330="同年级",$FA$24*$FA$40/3,0)+IF(CA330="同学校",$FA$24*$FA$43/3,0)+IF(CA330="同小队",$FA$24*$FA$46/3,0)+IF(CA330="同type",$FA$24*INDEX($FB$49:$FB$52,MATCH(X330,$FA$49:$FA$52,))/3,0)+IF(CA330="自身",#REF!/3,0)),0)+IF(BZ330="te",CB330*(1-$FI$27)*($FA$20-1)*$FB$7/$FB$13*(+IF(CA330="全员",$FA$19*$FA$24/(1+($FA$20-1)*$FA$19),0)+IF(CA330="同作战",$FA$19*$FA$24/(1+($FA$20-1)*$FA$19),0)+IF(CA330="仲间",$FA$19*$FA$24*2/3/(1+($FA$20-1)*$FA$19),0)+IF(CA330="同属性",$FA$19*$FA$24*$FA$37/3/(1+($FA$20-1)*$FA$19),0)+IF(CA330="同年级",$FA$19*$FA$24*$FA$40/3/(1+($FA$20-1)*$FA$19),0)+IF(CA330="同学校",$FA$19*$FA$24*$FA$43/3/(1+($FA$20-1)*$FA$19),0)+IF(CA330="同小队",$FA$19*$FA$24*$FA$46/3/(1+($FA$20-1)*$FA$19),0)+IF(CA330="同type",$FA$19*$FA$24*INDEX($FB$49:$FB$52,MATCH(X330,$FA$49:$FA$52,))/3/(1+($FA$20-1)*$FA$19),0)+IF(CA330="自身",$FA$19*#REF!/3/(1+(BH330-1)*$BD330),0)),0)</f>
        <v>0</v>
      </c>
      <c r="CE330" s="1097">
        <f t="shared" si="469"/>
        <v>0</v>
      </c>
      <c r="CF330" s="1112">
        <f t="shared" si="470"/>
        <v>0</v>
      </c>
      <c r="CG330" s="1100">
        <f t="shared" si="471"/>
        <v>0</v>
      </c>
      <c r="CH330" s="1110">
        <f t="shared" si="472"/>
        <v>0</v>
      </c>
      <c r="CI330" s="1113" t="s">
        <v>164</v>
      </c>
      <c r="CJ330" s="1114">
        <v>1</v>
      </c>
      <c r="CK330" s="1115" t="s">
        <v>545</v>
      </c>
      <c r="CL330" s="1115" t="s">
        <v>1940</v>
      </c>
      <c r="CM330" s="1119">
        <v>7.5999999999999998E-2</v>
      </c>
      <c r="CN330" s="1115"/>
      <c r="CO330" s="1092"/>
      <c r="CP330" s="1116">
        <f t="shared" si="473"/>
        <v>50.679421816552278</v>
      </c>
      <c r="CQ330" s="1116">
        <f t="shared" si="474"/>
        <v>71.009407776095358</v>
      </c>
      <c r="CR330" s="1116">
        <f t="shared" si="475"/>
        <v>50.679421816552278</v>
      </c>
      <c r="CS330" s="1118">
        <f t="shared" si="476"/>
        <v>0</v>
      </c>
      <c r="CT330" s="1109">
        <f t="shared" si="477"/>
        <v>0</v>
      </c>
      <c r="CU330" s="1101">
        <f t="shared" si="478"/>
        <v>55.747363998207511</v>
      </c>
      <c r="CV330" s="1108">
        <f t="shared" si="479"/>
        <v>71.009407776095358</v>
      </c>
      <c r="CW330" s="1097">
        <f t="shared" si="480"/>
        <v>55.747363998207511</v>
      </c>
      <c r="CX330" s="1097">
        <f t="shared" si="481"/>
        <v>55.747363998207511</v>
      </c>
      <c r="CY330" s="1110">
        <f t="shared" si="482"/>
        <v>55.747363998207511</v>
      </c>
      <c r="CZ330" s="437"/>
      <c r="DA330" s="438"/>
      <c r="DB330" s="439" t="s">
        <v>569</v>
      </c>
      <c r="DC330" s="439"/>
      <c r="DD330" s="443"/>
      <c r="DE330" s="411"/>
      <c r="DF330" s="411"/>
      <c r="DG330" s="1116">
        <f t="shared" si="483"/>
        <v>0</v>
      </c>
      <c r="DH330" s="1116">
        <f t="shared" si="484"/>
        <v>0</v>
      </c>
      <c r="DI330" s="1116">
        <f t="shared" si="485"/>
        <v>0</v>
      </c>
      <c r="DJ330" s="442">
        <f t="shared" si="486"/>
        <v>0</v>
      </c>
      <c r="DK330" s="1109">
        <f t="shared" si="487"/>
        <v>0</v>
      </c>
      <c r="DL330" s="1101">
        <f t="shared" si="488"/>
        <v>0</v>
      </c>
      <c r="DM330" s="1097">
        <f t="shared" si="489"/>
        <v>0</v>
      </c>
      <c r="DN330" s="1097">
        <f t="shared" si="490"/>
        <v>0</v>
      </c>
      <c r="DO330" s="1097">
        <f t="shared" si="491"/>
        <v>0</v>
      </c>
      <c r="DP330" s="1110">
        <f t="shared" si="492"/>
        <v>0</v>
      </c>
      <c r="DQ330" s="1113" t="s">
        <v>221</v>
      </c>
      <c r="DR330" s="1120">
        <f t="shared" si="493"/>
        <v>0.3</v>
      </c>
      <c r="DS330" s="1124">
        <v>5</v>
      </c>
      <c r="DT330" s="1093" t="s">
        <v>161</v>
      </c>
      <c r="DU330" s="1093" t="s">
        <v>544</v>
      </c>
      <c r="DV330" s="1098">
        <f>IF($P330="","N/A",IF(P330=-1,INDEX('卡片raw data'!AN:AN,MATCH(D330,'卡片raw data'!$F:$F,)),0)+IF(AND(L330&lt;&gt;"party卡",P330&lt;=2,P330&gt;=0),INDEX('卡片raw data'!AP:AP,MATCH(D330,'卡片raw data'!$F:$F,)),0)+IF(OR(AND(L330="party卡",P330&lt;=1),AND(P330&lt;=4,L330&lt;&gt;"party卡",P330&gt;=3)),INDEX('卡片raw data'!AQ:AQ,MATCH(D330,'卡片raw data'!$F:$F,)),0)+IF(OR(P330=5,AND(L330="party卡",P330&gt;=2)),INDEX('卡片raw data'!AR:AR,MATCH(D330,'卡片raw data'!$F:$F,)),0))</f>
        <v>0.04</v>
      </c>
      <c r="DW330" s="1098">
        <f t="shared" si="494"/>
        <v>0.3</v>
      </c>
      <c r="DX330" s="1098">
        <f t="shared" si="495"/>
        <v>0.3</v>
      </c>
      <c r="DY330" s="1098">
        <f t="shared" si="496"/>
        <v>0.02</v>
      </c>
      <c r="DZ330" s="1098">
        <f t="shared" si="497"/>
        <v>1.7299999999999999E-2</v>
      </c>
      <c r="EA330" s="1098">
        <f t="shared" si="498"/>
        <v>0</v>
      </c>
      <c r="EB330" s="1121">
        <f t="shared" si="499"/>
        <v>0</v>
      </c>
      <c r="EC330" s="1101">
        <f t="shared" si="500"/>
        <v>3399.5732882075249</v>
      </c>
      <c r="ED330" s="1097">
        <f t="shared" si="501"/>
        <v>136.30128055875002</v>
      </c>
      <c r="EE330" s="1110">
        <f t="shared" si="502"/>
        <v>3399.5732882075249</v>
      </c>
      <c r="EF330" s="1115" t="s">
        <v>569</v>
      </c>
      <c r="EG330" s="1120">
        <f t="shared" si="503"/>
        <v>0.3</v>
      </c>
      <c r="EH330" s="1124"/>
      <c r="EI330" s="1093"/>
      <c r="EJ330" s="1093"/>
      <c r="EK330" s="1097">
        <f>IF($P330="","N/A",IF(P330=-1,INDEX('卡片raw data'!AS:AS,MATCH(D330,'卡片raw data'!$F:$F,)),0)+IF(AND(L330&lt;&gt;"party卡",P330&lt;=2,P330&gt;=0),INDEX('卡片raw data'!AU:AU,MATCH(D330,'卡片raw data'!$F:$F,)),0)+IF(OR(AND(L330="party卡",P330&lt;=1),AND(P330&lt;=4,L330&lt;&gt;"party卡",P330&gt;=3)),INDEX('卡片raw data'!AV:AV,MATCH(D330,'卡片raw data'!$F:$F,)),0)+IF(OR(P330=5,AND(L330="party卡",P330&gt;=2)),INDEX('卡片raw data'!AW:AW,MATCH(D330,'卡片raw data'!$F:$F,)),0))</f>
        <v>0</v>
      </c>
      <c r="EL330" s="1098">
        <f t="shared" si="504"/>
        <v>0.3</v>
      </c>
      <c r="EM330" s="1098">
        <f t="shared" si="505"/>
        <v>0.3</v>
      </c>
      <c r="EN330" s="1125">
        <f t="shared" si="506"/>
        <v>0</v>
      </c>
      <c r="EO330" s="1125">
        <f t="shared" si="507"/>
        <v>0</v>
      </c>
      <c r="EP330" s="1098">
        <f t="shared" si="508"/>
        <v>0</v>
      </c>
      <c r="EQ330" s="1121">
        <f t="shared" si="509"/>
        <v>0</v>
      </c>
      <c r="ER330" s="1101">
        <f t="shared" si="510"/>
        <v>0</v>
      </c>
      <c r="ES330" s="1097">
        <f t="shared" si="511"/>
        <v>0</v>
      </c>
      <c r="ET330" s="1122">
        <f t="shared" si="512"/>
        <v>0</v>
      </c>
    </row>
    <row r="331" spans="2:150" ht="16.5" customHeight="1">
      <c r="B331" s="1123" t="str">
        <f>INDEX('卡片raw data'!B:B,MATCH($D331,'卡片raw data'!$F:$F,))</f>
        <v>四单南</v>
      </c>
      <c r="C331" s="449" t="s">
        <v>1289</v>
      </c>
      <c r="D331" s="408">
        <v>328</v>
      </c>
      <c r="E331" s="1090">
        <v>401032004</v>
      </c>
      <c r="F331" s="1090" t="str">
        <f>INDEX('卡片raw data'!C:C,MATCH($D331,'卡片raw data'!$F:$F,))</f>
        <v>SR</v>
      </c>
      <c r="G331" s="1094" t="s">
        <v>1290</v>
      </c>
      <c r="H331" s="411">
        <f>IFERROR(INDEX(绊状态确认!C:C,MATCH($G331,绊状态确认!$B:$B,)),"")</f>
        <v>103</v>
      </c>
      <c r="I331" s="450" t="str">
        <f>IFERROR(INDEX(绊状态确认!D:D,MATCH($G331,绊状态确认!$B:$B,)),"")</f>
        <v>水</v>
      </c>
      <c r="J331" s="450" t="str">
        <f>IFERROR(INDEX(绊状态确认!E:E,MATCH($G331,绊状态确认!$B:$B,)),"")</f>
        <v>3年级</v>
      </c>
      <c r="K331" s="451" t="str">
        <f>IFERROR(INDEX(绊状态确认!F:F,MATCH($G331,绊状态确认!$B:$B,)),"")</f>
        <v>AZALEA</v>
      </c>
      <c r="L331" s="1094" t="str">
        <f>INDEX('卡片raw data'!E:E,MATCH($D331,'卡片raw data'!$F:$F,))</f>
        <v>活动卡</v>
      </c>
      <c r="M331" s="415">
        <v>44108</v>
      </c>
      <c r="N331" s="416">
        <v>25</v>
      </c>
      <c r="O331" s="1091" t="str">
        <f>INDEX('卡片raw data'!D:D,MATCH($D331,'卡片raw data'!$F:$F,))</f>
        <v>sp</v>
      </c>
      <c r="P331" s="1126">
        <v>5</v>
      </c>
      <c r="Q331" s="1095">
        <f t="shared" si="428"/>
        <v>23890.312731309987</v>
      </c>
      <c r="R331" s="1096">
        <f t="shared" si="429"/>
        <v>0.27700000000000002</v>
      </c>
      <c r="S331" s="1097">
        <f t="shared" si="430"/>
        <v>14196.8118003243</v>
      </c>
      <c r="T331" s="1098">
        <f t="shared" si="431"/>
        <v>0.70899999999999996</v>
      </c>
      <c r="U331" s="1099">
        <f t="shared" si="432"/>
        <v>9.1590735450128591</v>
      </c>
      <c r="V331" s="1100">
        <f t="shared" si="433"/>
        <v>22816.75343542856</v>
      </c>
      <c r="W331" s="1101">
        <f t="shared" si="434"/>
        <v>4524.0075202002508</v>
      </c>
      <c r="X331" s="1096">
        <f t="shared" si="435"/>
        <v>5.1999999999999998E-2</v>
      </c>
      <c r="Y331" s="1097">
        <f t="shared" si="436"/>
        <v>726.44070411857319</v>
      </c>
      <c r="Z331" s="1102">
        <f t="shared" si="437"/>
        <v>9.1590735450128591</v>
      </c>
      <c r="AA331" s="1103">
        <f t="shared" si="438"/>
        <v>5250.448224318824</v>
      </c>
      <c r="AB331" s="1101">
        <f t="shared" si="439"/>
        <v>4885.5423747271298</v>
      </c>
      <c r="AC331" s="1104">
        <f t="shared" si="440"/>
        <v>5.6000000000000001E-2</v>
      </c>
      <c r="AD331" s="1105">
        <f t="shared" si="441"/>
        <v>-1.9908281250000003E-2</v>
      </c>
      <c r="AE331" s="1128">
        <f t="shared" si="442"/>
        <v>-1.3514492753623202</v>
      </c>
      <c r="AF331" s="1130">
        <f t="shared" si="443"/>
        <v>0</v>
      </c>
      <c r="AG331" s="420">
        <f t="shared" si="444"/>
        <v>0</v>
      </c>
      <c r="AH331" s="420">
        <f t="shared" si="445"/>
        <v>0</v>
      </c>
      <c r="AI331" s="1097">
        <f t="shared" si="446"/>
        <v>0</v>
      </c>
      <c r="AJ331" s="420">
        <f t="shared" si="447"/>
        <v>0</v>
      </c>
      <c r="AK331" s="518">
        <f t="shared" si="448"/>
        <v>0</v>
      </c>
      <c r="AL331" s="1106">
        <f>IF($P331="","N/A",(IF($P331=-1,INDEX('卡片raw data'!S:S,MATCH($D331,'卡片raw data'!$F:$F,)),0)+IF($P331=0,INDEX('卡片raw data'!V:V,MATCH($D331,'卡片raw data'!$F:$F,)),0)+IF($P331=1,INDEX('卡片raw data'!Y:Y,MATCH($D331,'卡片raw data'!$F:$F,)),0)+IF($P331=2,INDEX('卡片raw data'!AB:AB,MATCH($D331,'卡片raw data'!$F:$F,)),0)+IF($P331=3,INDEX('卡片raw data'!AE:AE,MATCH($D331,'卡片raw data'!$F:$F,)),0)+IF($P331=4,INDEX('卡片raw data'!AH:AH,MATCH($D331,'卡片raw data'!$F:$F,)),0)+IF($P331=5,INDEX('卡片raw data'!AK:AK,MATCH($D331,'卡片raw data'!$F:$F,)),0)+INDEX('卡片raw data'!S:S,MATCH($D331,'卡片raw data'!$F:$F,))*(IF($F331="UR",0.04,0.033))*(IF($F331="UR",INDEX(绊状态确认!$S:$S,MATCH($G331,绊状态确认!$B:$B,))/2-40)+IF($F331="SR",INDEX(绊状态确认!$R:$R,MATCH($G331,绊状态确认!$B:$B,))/4-15))+IF($F331="R",INDEX(绊状态确认!$Q:$Q,MATCH($G331,绊状态确认!$B:$B,))/6-40/6)))*(INDEX(绊状态确认!$H:$H,MATCH($G331,绊状态确认!$B:$B,))+INDEX(绊状态确认!J:J,MATCH($G331,绊状态确认!$B:$B,)))</f>
        <v>5824.7477495999992</v>
      </c>
      <c r="AM331" s="1106">
        <f>IF($P331="","N/A",(IF($P331=-1,INDEX('卡片raw data'!T:T,MATCH($D331,'卡片raw data'!$F:$F,)),0)+IF($P331=0,INDEX('卡片raw data'!W:W,MATCH($D331,'卡片raw data'!$F:$F,)),0)+IF($P331=1,INDEX('卡片raw data'!Z:Z,MATCH($D331,'卡片raw data'!$F:$F,)),0)+IF($P331=2,INDEX('卡片raw data'!AC:AC,MATCH($D331,'卡片raw data'!$F:$F,)),0)+IF($P331=3,INDEX('卡片raw data'!AF:AF,MATCH($D331,'卡片raw data'!$F:$F,)),0)+IF($P331=4,INDEX('卡片raw data'!AI:AI,MATCH($D331,'卡片raw data'!$F:$F,)),0)+IF($P331=5,INDEX('卡片raw data'!AL:AL,MATCH($D331,'卡片raw data'!$F:$F,)),0)+INDEX('卡片raw data'!T:T,MATCH($D331,'卡片raw data'!$F:$F,))*(IF($F331="UR",0.04,0.033))*(IF($F331="UR",INDEX(绊状态确认!$S:$S,MATCH($G331,绊状态确认!$B:$B,))/2-40)+IF($F331="SR",INDEX(绊状态确认!$R:$R,MATCH($G331,绊状态确认!$B:$B,))/4-15))+IF($F331="R",INDEX(绊状态确认!$Q:$Q,MATCH($G331,绊状态确认!$B:$B,))/6-40/6)))*(INDEX(绊状态确认!$H:$H,MATCH($G331,绊状态确认!$B:$B,))+INDEX(绊状态确认!K:K,MATCH($G331,绊状态确认!$B:$B,)))</f>
        <v>4281.6620088</v>
      </c>
      <c r="AN331" s="1106">
        <f>IF($P331="","N/A",(IF($P331=-1,INDEX('卡片raw data'!U:U,MATCH($D331,'卡片raw data'!$F:$F,)),0)+IF($P331=0,INDEX('卡片raw data'!X:X,MATCH($D331,'卡片raw data'!$F:$F,)),0)+IF($P331=1,INDEX('卡片raw data'!AA:AA,MATCH($D331,'卡片raw data'!$F:$F,)),0)+IF($P331=2,INDEX('卡片raw data'!AD:AD,MATCH($D331,'卡片raw data'!$F:$F,)),0)+IF($P331=3,INDEX('卡片raw data'!AG:AG,MATCH($D331,'卡片raw data'!$F:$F,)),0)+IF($P331=4,INDEX('卡片raw data'!AJ:AJ,MATCH($D331,'卡片raw data'!$F:$F,)),0)+IF($P331=5,INDEX('卡片raw data'!AM:AM,MATCH($D331,'卡片raw data'!$F:$F,)),0)+INDEX('卡片raw data'!U:U,MATCH($D331,'卡片raw data'!$F:$F,))*(IF($F331="UR",0.04,0.033))*(IF($F331="UR",INDEX(绊状态确认!$S:$S,MATCH($G331,绊状态确认!$B:$B,))/2-40)+IF($F331="SR",INDEX(绊状态确认!$R:$R,MATCH($G331,绊状态确认!$B:$B,))/4-15))+IF($F331="R",INDEX(绊状态确认!$Q:$Q,MATCH($G331,绊状态确认!$B:$B,))/6-40/6)))*(INDEX(绊状态确认!$H:$H,MATCH($G331,绊状态确认!$B:$B,))+INDEX(绊状态确认!L:L,MATCH($G331,绊状态确认!$B:$B,)))</f>
        <v>7022.5860791999994</v>
      </c>
      <c r="AO331" s="1107">
        <f t="shared" si="449"/>
        <v>1</v>
      </c>
      <c r="AP331" s="1131">
        <f>1+(INDEX(绊状态确认!$T:$T,MATCH($G331,绊状态确认!$B:$B,))+0.2)*$AO331</f>
        <v>1.3</v>
      </c>
      <c r="AQ331" s="1108">
        <f t="shared" si="450"/>
        <v>18539.962842699999</v>
      </c>
      <c r="AR331" s="1097">
        <f>(AM331*(1+$EX$9)+$EX$35)*(1+(INDEX(绊状态确认!$T:$T,MATCH($G331,绊状态确认!$B:$B,))+0.2)*AO331)*IF(J331=$FF$17,1+$FE$17,1)*IF(I331=$FF$14,1+$FE$14,1)</f>
        <v>8548.4686420120015</v>
      </c>
      <c r="AS331" s="1097">
        <f>(AN331*(1+$EX$10)+$EX$36)*(1+(INDEX(绊状态确认!$T:$T,MATCH($G331,绊状态确认!$B:$B,))+0.2)*AO331)*IF(J331=$FF$17,1+$FE$17,1)*IF(I331=$FF$14,1+$FE$14,1)</f>
        <v>14554.766188403997</v>
      </c>
      <c r="AT331" s="1093">
        <f>IF(AND(INDEX('卡片raw data'!AK:AK,MATCH($D331,'卡片raw data'!$F:$F,))&lt;INDEX('卡片raw data'!AM:AM,MATCH($D331,'卡片raw data'!$F:$F,)),INDEX('卡片raw data'!AL:AL,MATCH($D331,'卡片raw data'!$F:$F,))&lt;INDEX('卡片raw data'!AM:AM,MATCH($D331,'卡片raw data'!$F:$F,))),1,0)</f>
        <v>1</v>
      </c>
      <c r="AU331" s="1098">
        <f>MIN(AT331*0.15+AS331*0.00003+INDEX(绊状态确认!M:M,MATCH($G331,绊状态确认!$B:$B,)),1)</f>
        <v>0.61664298565211995</v>
      </c>
      <c r="AV331" s="1109">
        <f>(INDEX(绊状态确认!$N:$N,MATCH($G331,绊状态确认!$B:$B,))+1.5)*$EW$21</f>
        <v>2.6599999999999997</v>
      </c>
      <c r="AW331" s="1101">
        <f t="shared" si="451"/>
        <v>19484.836458884845</v>
      </c>
      <c r="AX331" s="1097">
        <f t="shared" si="452"/>
        <v>726.44070411857342</v>
      </c>
      <c r="AY331" s="1110">
        <f t="shared" si="453"/>
        <v>20211.277163003419</v>
      </c>
      <c r="AZ331" s="429">
        <f t="shared" si="454"/>
        <v>13958.258111719999</v>
      </c>
      <c r="BA331" s="431">
        <f t="shared" si="455"/>
        <v>16749.909734063996</v>
      </c>
      <c r="BB331" s="1097">
        <f>(AM331*(1+$FB$9)+$FB$35)*(1+(INDEX(绊状态确认!$T:$T,MATCH($G331,绊状态确认!$B:$B,))+0.2)*AO331)*IF(J331=$FF$17,1+$FE$17,1)*IF(I331=$FF$14,1+$FE$14,1)*(1+$FE$15)</f>
        <v>8548.4686420120015</v>
      </c>
      <c r="BC331" s="1097">
        <f>(AN331*(1+$FB$10)+$FB$36)*(1+(INDEX(绊状态确认!$T:$T,MATCH($G331,绊状态确认!$B:$B,))+0.2)*AO331)*IF(J331=$FF$17,1+$FE$17,1)*IF(I331=$FF$14,1+$FE$14,1)*(1+$FE$15)</f>
        <v>14554.766188403997</v>
      </c>
      <c r="BD331" s="1104">
        <f>MIN(AT331*0.15+BC331*0.00003+INDEX(绊状态确认!M:M,MATCH($G331,绊状态确认!$B:$B,)),1)</f>
        <v>0.61664298565211995</v>
      </c>
      <c r="BE331" s="432">
        <f>(INDEX(绊状态确认!$N:$N,MATCH($G331,绊状态确认!$B:$B,))+1.5)</f>
        <v>1.9</v>
      </c>
      <c r="BF331" s="1139">
        <f t="array" ref="BF331">SUMPRODUCT(IF(AZ331*AP331*$FI$16:$FI$23*$FA$22&gt;=$FI$24,$FI$24,AZ331*AP331*$FI$16:$FI$23*$FA$22),$FJ$16:$FJ$23)</f>
        <v>27762.975384211077</v>
      </c>
      <c r="BG331" s="1125">
        <f t="array" ref="BG331">SUMPRODUCT(IF(BE331*AZ331*AP331*$FI$16:$FI$23*$FA$22&gt;=$FI$24,$FI$24,BE331*AZ331*AP331*$FI$16:$FI$23*$FA$22),$FJ$16:$FJ$23)</f>
        <v>51993.201141700141</v>
      </c>
      <c r="BH331" s="1110">
        <f t="shared" si="456"/>
        <v>14234.791379444678</v>
      </c>
      <c r="BI331" s="1111">
        <f>IF(O331="vo",$EW$26/$EW$24*0.05,0)+IF(O331="sk",-$EW$26/$EW$24*(0.05-INDEX(绊状态确认!W:W,MATCH($G331,绊状态确认!$B:$B,)))+0.05*$EW$28,0)+IF(O331="sp",0.05*$EW$32*$EW$30*(1-$EW$33)-(0.05-INDEX(绊状态确认!V:V,MATCH($G331,绊状态确认!$B:$B,)))*$EW$28,0)+IF(O331="gd",-(0.05-INDEX(绊状态确认!X:X,MATCH($G331,绊状态确认!$B:$B,)))*$EW$32*$EW$30*(1-$EW$33),0)</f>
        <v>19.999999999999886</v>
      </c>
      <c r="BJ331" s="1097">
        <f>IF(O331="vo",0.05*(1-$FI$26)*$FA$24,0)+IF(O331="sk",-(0.05-INDEX(绊状态确认!W:W,MATCH($G331,绊状态确认!$B:$B,)))*(1-$FI$26)*$FA$24+0.05*$FA$26,0)+IF(O331="sp",0.05*$FA$32*$FA$27*(1-$FA$33)/$FA$30+0.05*$FA$29/$FA$69*$FA$27*(1-$FA$33)-(0.05-INDEX(绊状态确认!V:V,MATCH($G331,绊状态确认!$B:$B,)))*$FA$26,0)+IF(O331="gd",-(0.05-INDEX(绊状态确认!X:X,MATCH($G331,绊状态确认!$B:$B,)))*$FA$32*$FA$27*(1-$FA$33)/$FA$30-(0.05-INDEX(绊状态确认!X:X,MATCH($G331,绊状态确认!$B:$B,)))*$FA$29/$FA$69*$FA$27*(1-$FA$33),0)</f>
        <v>545.83333333333326</v>
      </c>
      <c r="BK331" s="1110">
        <f>IF(O331="vo",$EW$26/$EW$24*0.05+$EW$26*(-HP($EW$62,$EW$65,$EW$64)+HP($EW$62,$EW$65,(1.05-INDEX(绊状态确认!U:U,MATCH($G331,绊状态确认!$B:$B,)))*$EW$64)),0)+IF(O331="sk",-$EW$26/$EW$24*(0.05-INDEX(绊状态确认!W:W,MATCH($G331,绊状态确认!$B:$B,)))+0.05*$EW$29,0)+IF(O331="sp",0.05*$EW$32*$EW$30*(1-$EW$33)-(0.05-INDEX(绊状态确认!V:V,MATCH($G331,绊状态确认!$B:$B,)))*$EW$29,0)+IF(O331="gd",-(0.05-INDEX(绊状态确认!X:X,MATCH($G331,绊状态确认!$B:$B,)))*$EW$32*$EW$30*(1-$EW$33)+$EW$26*(-HP($EW$62,$EW$65,$EW$64)+HP($EW$62,$EW$65,0.95*$EW$64)),0)</f>
        <v>-1780.0000000000005</v>
      </c>
      <c r="BL331" s="1111">
        <f t="shared" si="457"/>
        <v>-1083.3333333333333</v>
      </c>
      <c r="BM331" s="1110">
        <f t="shared" si="458"/>
        <v>-830.55555555555543</v>
      </c>
      <c r="BN331" s="1113">
        <f t="shared" si="459"/>
        <v>3</v>
      </c>
      <c r="BO331" s="1108">
        <f t="shared" si="460"/>
        <v>4507.7214871259994</v>
      </c>
      <c r="BP331" s="1100">
        <f t="shared" si="461"/>
        <v>221.34103209030098</v>
      </c>
      <c r="BQ331" s="1113" t="s">
        <v>134</v>
      </c>
      <c r="BR331" s="1124" t="s">
        <v>166</v>
      </c>
      <c r="BS331" s="1098">
        <f>IF($P331="","N/A",IF($P331=-1,INDEX('卡片raw data'!AX:AX,MATCH($D331,'卡片raw data'!$F:$F,)),0)+IF($L331="party卡",IF($P331=5,INDEX('卡片raw data'!BD:BD,MATCH($D331,'卡片raw data'!$F:$F,)),IF($P331&gt;=3,INDEX('卡片raw data'!BC:BC,MATCH($D331,'卡片raw data'!$F:$F,)),INDEX('卡片raw data'!BB:BB,MATCH($D331,'卡片raw data'!$F:$F,)))),IF(OR(AND($F331="UR",$P331=0),AND($F331="SR",$P331&gt;=0,$P331&lt;=2),AND($F331="R",$P331&gt;=0,$P331&lt;4)),INDEX('卡片raw data'!AZ:AZ,MATCH($D331,'卡片raw data'!$F:$F,)),0)+IF(OR(AND($F331="UR",$P331&gt;=1,$P331&lt;=4),AND($F331="SR",$P331&lt;=4,$P331&gt;=3),AND($F331="R",$P331=4)),INDEX('卡片raw data'!BA:BA,MATCH($D331,'卡片raw data'!$F:$F,)),0)+IF($P331=5,INDEX('卡片raw data'!BB:BB,MATCH($D331,'卡片raw data'!$F:$F,)),0)))</f>
        <v>7.0000000000000007E-2</v>
      </c>
      <c r="BT331" s="1101">
        <f t="shared" si="462"/>
        <v>361.53485452687829</v>
      </c>
      <c r="BU331" s="1097">
        <f t="shared" si="463"/>
        <v>25.401611011542354</v>
      </c>
      <c r="BV331" s="1097">
        <f t="shared" si="464"/>
        <v>0</v>
      </c>
      <c r="BW331" s="1112">
        <f t="shared" si="465"/>
        <v>0</v>
      </c>
      <c r="BX331" s="1100">
        <f t="shared" si="466"/>
        <v>361.53485452687829</v>
      </c>
      <c r="BY331" s="1110">
        <f t="shared" si="467"/>
        <v>0</v>
      </c>
      <c r="BZ331" s="1107" t="s">
        <v>569</v>
      </c>
      <c r="CA331" s="1124"/>
      <c r="CB331" s="1098">
        <f>IF($P331="","N/A",IF($P331=-1,INDEX('卡片raw data'!BE:BE,MATCH($D331,'卡片raw data'!$F:$F,)),0)+IF($L331="party卡",IF($P331=5,INDEX('卡片raw data'!BK:BK,MATCH($D331,'卡片raw data'!$F:$F,)),IF($P331&gt;=3,INDEX('卡片raw data'!BJ:BJ,MATCH($D331,'卡片raw data'!$F:$F,)),INDEX('卡片raw data'!BI:BI,MATCH($D331,'卡片raw data'!$F:$F,)))),IF(OR(AND($F331="UR",$P331=0),AND($F331="SR",$P331&gt;=0,$P331&lt;=2),AND($F331="R",$P331&gt;=0,$P331&lt;4)),INDEX('卡片raw data'!BG:BG,MATCH($D331,'卡片raw data'!$F:$F,)),0)+IF(OR(AND($F331="UR",$P331&gt;=1,$P331&lt;=4),AND($F331="SR",$P331&lt;=4,$P331&gt;=3),AND($F331="R",$P331=4)),INDEX('卡片raw data'!BH:BH,MATCH($D331,'卡片raw data'!$F:$F,)),0)+IF($P331=5,INDEX('卡片raw data'!BI:BI,MATCH($D331,'卡片raw data'!$F:$F,)),0)))</f>
        <v>0</v>
      </c>
      <c r="CC331" s="1101">
        <f t="shared" si="468"/>
        <v>0</v>
      </c>
      <c r="CD331" s="1097">
        <f>IF(BZ331="ap",CB331*(1-$FI$26)*$FB$5/$FB$11*(+IF(CA331="全员",$FA$24,0)+IF(CA331="同作战",$FA$24,0)+IF(CA331="仲间",$FA$24*2/3,0)+IF(CA331="同属性",$FA$24*$FA$37/3,0)+IF(CA331="同年级",$FA$24*$FA$40/3,0)+IF(CA331="同学校",$FA$24*$FA$43/3,0)+IF(CA331="同小队",$FA$24*$FA$46/3,0)+IF(CA331="同type",$FA$24*INDEX($FB$49:$FB$52,MATCH(X331,$FA$49:$FA$52,))/3,0)+IF(CA331="自身",#REF!/3,0)),0)+IF(BZ331="te",CB331*(1-$FI$27)*($FA$20-1)*$FB$7/$FB$13*(+IF(CA331="全员",$FA$19*$FA$24/(1+($FA$20-1)*$FA$19),0)+IF(CA331="同作战",$FA$19*$FA$24/(1+($FA$20-1)*$FA$19),0)+IF(CA331="仲间",$FA$19*$FA$24*2/3/(1+($FA$20-1)*$FA$19),0)+IF(CA331="同属性",$FA$19*$FA$24*$FA$37/3/(1+($FA$20-1)*$FA$19),0)+IF(CA331="同年级",$FA$19*$FA$24*$FA$40/3/(1+($FA$20-1)*$FA$19),0)+IF(CA331="同学校",$FA$19*$FA$24*$FA$43/3/(1+($FA$20-1)*$FA$19),0)+IF(CA331="同小队",$FA$19*$FA$24*$FA$46/3/(1+($FA$20-1)*$FA$19),0)+IF(CA331="同type",$FA$19*$FA$24*INDEX($FB$49:$FB$52,MATCH(X331,$FA$49:$FA$52,))/3/(1+($FA$20-1)*$FA$19),0)+IF(CA331="自身",$FA$19*#REF!/3/(1+(BH331-1)*$BD331),0)),0)</f>
        <v>0</v>
      </c>
      <c r="CE331" s="1097">
        <f t="shared" si="469"/>
        <v>0</v>
      </c>
      <c r="CF331" s="1112">
        <f t="shared" si="470"/>
        <v>0</v>
      </c>
      <c r="CG331" s="1100">
        <f t="shared" si="471"/>
        <v>0</v>
      </c>
      <c r="CH331" s="1110">
        <f t="shared" si="472"/>
        <v>0</v>
      </c>
      <c r="CI331" s="1113" t="s">
        <v>162</v>
      </c>
      <c r="CJ331" s="1114">
        <v>1</v>
      </c>
      <c r="CK331" s="1115" t="s">
        <v>256</v>
      </c>
      <c r="CL331" s="1115" t="s">
        <v>1940</v>
      </c>
      <c r="CM331" s="1119">
        <v>8.5999999999999993E-2</v>
      </c>
      <c r="CN331" s="1115"/>
      <c r="CO331" s="1092">
        <v>2</v>
      </c>
      <c r="CP331" s="1116">
        <f t="shared" si="473"/>
        <v>11.388834317658571</v>
      </c>
      <c r="CQ331" s="1116">
        <f t="shared" si="474"/>
        <v>16.005469301438929</v>
      </c>
      <c r="CR331" s="1116">
        <f t="shared" si="475"/>
        <v>11.388834317658571</v>
      </c>
      <c r="CS331" s="1118">
        <f t="shared" si="476"/>
        <v>0</v>
      </c>
      <c r="CT331" s="1109">
        <f t="shared" si="477"/>
        <v>0</v>
      </c>
      <c r="CU331" s="1101">
        <f t="shared" si="478"/>
        <v>16.286033074251758</v>
      </c>
      <c r="CV331" s="1108">
        <f t="shared" si="479"/>
        <v>0</v>
      </c>
      <c r="CW331" s="1097">
        <f t="shared" si="480"/>
        <v>16.286033074251758</v>
      </c>
      <c r="CX331" s="1097">
        <f t="shared" si="481"/>
        <v>16.286033074251758</v>
      </c>
      <c r="CY331" s="1110">
        <f t="shared" si="482"/>
        <v>16.286033074251758</v>
      </c>
      <c r="CZ331" s="437"/>
      <c r="DA331" s="438"/>
      <c r="DB331" s="439" t="s">
        <v>569</v>
      </c>
      <c r="DC331" s="439"/>
      <c r="DD331" s="443"/>
      <c r="DE331" s="411"/>
      <c r="DF331" s="411"/>
      <c r="DG331" s="1116">
        <f t="shared" si="483"/>
        <v>0</v>
      </c>
      <c r="DH331" s="1116">
        <f t="shared" si="484"/>
        <v>0</v>
      </c>
      <c r="DI331" s="1116">
        <f t="shared" si="485"/>
        <v>0</v>
      </c>
      <c r="DJ331" s="442">
        <f t="shared" si="486"/>
        <v>0</v>
      </c>
      <c r="DK331" s="1109">
        <f t="shared" si="487"/>
        <v>0</v>
      </c>
      <c r="DL331" s="1101">
        <f t="shared" si="488"/>
        <v>0</v>
      </c>
      <c r="DM331" s="1097">
        <f t="shared" si="489"/>
        <v>0</v>
      </c>
      <c r="DN331" s="1097">
        <f t="shared" si="490"/>
        <v>0</v>
      </c>
      <c r="DO331" s="1097">
        <f t="shared" si="491"/>
        <v>0</v>
      </c>
      <c r="DP331" s="1110">
        <f t="shared" si="492"/>
        <v>0</v>
      </c>
      <c r="DQ331" s="1113" t="s">
        <v>256</v>
      </c>
      <c r="DR331" s="1120">
        <f t="shared" si="493"/>
        <v>0.3</v>
      </c>
      <c r="DS331" s="1124"/>
      <c r="DT331" s="1093" t="s">
        <v>132</v>
      </c>
      <c r="DU331" s="1093"/>
      <c r="DV331" s="1098">
        <f>IF($P331="","N/A",IF(P331=-1,INDEX('卡片raw data'!AN:AN,MATCH(D331,'卡片raw data'!$F:$F,)),0)+IF(AND(L331&lt;&gt;"party卡",P331&lt;=2,P331&gt;=0),INDEX('卡片raw data'!AP:AP,MATCH(D331,'卡片raw data'!$F:$F,)),0)+IF(OR(AND(L331="party卡",P331&lt;=1),AND(P331&lt;=4,L331&lt;&gt;"party卡",P331&gt;=3)),INDEX('卡片raw data'!AQ:AQ,MATCH(D331,'卡片raw data'!$F:$F,)),0)+IF(OR(P331=5,AND(L331="party卡",P331&gt;=2)),INDEX('卡片raw data'!AR:AR,MATCH(D331,'卡片raw data'!$F:$F,)),0))</f>
        <v>0.22</v>
      </c>
      <c r="DW331" s="1098">
        <f t="shared" si="494"/>
        <v>0.3</v>
      </c>
      <c r="DX331" s="1098">
        <f t="shared" si="495"/>
        <v>0.3</v>
      </c>
      <c r="DY331" s="1125">
        <f t="shared" si="496"/>
        <v>407.87918253940001</v>
      </c>
      <c r="DZ331" s="1125">
        <f t="shared" si="497"/>
        <v>318.75078223923788</v>
      </c>
      <c r="EA331" s="1098">
        <f t="shared" si="498"/>
        <v>0</v>
      </c>
      <c r="EB331" s="1121">
        <f t="shared" si="499"/>
        <v>0</v>
      </c>
      <c r="EC331" s="1101">
        <f t="shared" si="500"/>
        <v>583.26723103134213</v>
      </c>
      <c r="ED331" s="1097">
        <f t="shared" si="501"/>
        <v>0</v>
      </c>
      <c r="EE331" s="1110">
        <f t="shared" si="502"/>
        <v>583.26723103134213</v>
      </c>
      <c r="EF331" s="1092" t="s">
        <v>569</v>
      </c>
      <c r="EG331" s="1120">
        <f t="shared" si="503"/>
        <v>0.3</v>
      </c>
      <c r="EH331" s="1124"/>
      <c r="EI331" s="1093"/>
      <c r="EJ331" s="1093"/>
      <c r="EK331" s="1097">
        <f>IF($P331="","N/A",IF(P331=-1,INDEX('卡片raw data'!AS:AS,MATCH(D331,'卡片raw data'!$F:$F,)),0)+IF(AND(L331&lt;&gt;"party卡",P331&lt;=2,P331&gt;=0),INDEX('卡片raw data'!AU:AU,MATCH(D331,'卡片raw data'!$F:$F,)),0)+IF(OR(AND(L331="party卡",P331&lt;=1),AND(P331&lt;=4,L331&lt;&gt;"party卡",P331&gt;=3)),INDEX('卡片raw data'!AV:AV,MATCH(D331,'卡片raw data'!$F:$F,)),0)+IF(OR(P331=5,AND(L331="party卡",P331&gt;=2)),INDEX('卡片raw data'!AW:AW,MATCH(D331,'卡片raw data'!$F:$F,)),0))</f>
        <v>0</v>
      </c>
      <c r="EL331" s="1098">
        <f t="shared" si="504"/>
        <v>0.3</v>
      </c>
      <c r="EM331" s="1098">
        <f t="shared" si="505"/>
        <v>0.3</v>
      </c>
      <c r="EN331" s="1125">
        <f t="shared" si="506"/>
        <v>0</v>
      </c>
      <c r="EO331" s="1125">
        <f t="shared" si="507"/>
        <v>0</v>
      </c>
      <c r="EP331" s="1098">
        <f t="shared" si="508"/>
        <v>0</v>
      </c>
      <c r="EQ331" s="1121">
        <f t="shared" si="509"/>
        <v>0</v>
      </c>
      <c r="ER331" s="1101">
        <f t="shared" si="510"/>
        <v>0</v>
      </c>
      <c r="ES331" s="1097">
        <f t="shared" si="511"/>
        <v>0</v>
      </c>
      <c r="ET331" s="1122">
        <f t="shared" si="512"/>
        <v>0</v>
      </c>
    </row>
    <row r="332" spans="2:150" ht="16.5" customHeight="1">
      <c r="B332" s="1123" t="str">
        <f>INDEX('卡片raw data'!B:B,MATCH($D332,'卡片raw data'!$F:$F,))</f>
        <v>购物露</v>
      </c>
      <c r="C332" s="449" t="s">
        <v>1332</v>
      </c>
      <c r="D332" s="408">
        <v>329</v>
      </c>
      <c r="E332" s="1090">
        <v>301093002</v>
      </c>
      <c r="F332" s="1090" t="str">
        <f>INDEX('卡片raw data'!C:C,MATCH($D332,'卡片raw data'!$F:$F,))</f>
        <v>UR</v>
      </c>
      <c r="G332" s="1094" t="s">
        <v>346</v>
      </c>
      <c r="H332" s="411">
        <f>IFERROR(INDEX(绊状态确认!C:C,MATCH($G332,绊状态确认!$B:$B,)),"")</f>
        <v>109</v>
      </c>
      <c r="I332" s="450" t="str">
        <f>IFERROR(INDEX(绊状态确认!D:D,MATCH($G332,绊状态确认!$B:$B,)),"")</f>
        <v>水</v>
      </c>
      <c r="J332" s="450" t="str">
        <f>IFERROR(INDEX(绊状态确认!E:E,MATCH($G332,绊状态确认!$B:$B,)),"")</f>
        <v>1年级</v>
      </c>
      <c r="K332" s="451" t="str">
        <f>IFERROR(INDEX(绊状态确认!F:F,MATCH($G332,绊状态确认!$B:$B,)),"")</f>
        <v>CYaRon!</v>
      </c>
      <c r="L332" s="1094" t="str">
        <f>INDEX('卡片raw data'!E:E,MATCH($D332,'卡片raw data'!$F:$F,))</f>
        <v>卡池卡</v>
      </c>
      <c r="M332" s="415">
        <v>44116</v>
      </c>
      <c r="N332" s="416">
        <v>25.5</v>
      </c>
      <c r="O332" s="1091" t="str">
        <f>INDEX('卡片raw data'!D:D,MATCH($D332,'卡片raw data'!$F:$F,))</f>
        <v>sp</v>
      </c>
      <c r="P332" s="1126">
        <v>5</v>
      </c>
      <c r="Q332" s="1095">
        <f t="shared" si="428"/>
        <v>60066.065901088987</v>
      </c>
      <c r="R332" s="1096">
        <f t="shared" si="429"/>
        <v>0.69799999999999995</v>
      </c>
      <c r="S332" s="1097">
        <f t="shared" si="430"/>
        <v>23713.81069158934</v>
      </c>
      <c r="T332" s="1098">
        <f t="shared" si="431"/>
        <v>1.1850000000000001</v>
      </c>
      <c r="U332" s="1099">
        <f t="shared" si="432"/>
        <v>13.239143676942858</v>
      </c>
      <c r="V332" s="1100">
        <f t="shared" si="433"/>
        <v>59324.913949379501</v>
      </c>
      <c r="W332" s="1101">
        <f t="shared" si="434"/>
        <v>6729.368464345308</v>
      </c>
      <c r="X332" s="1096">
        <f t="shared" si="435"/>
        <v>7.8E-2</v>
      </c>
      <c r="Y332" s="1097">
        <f t="shared" si="436"/>
        <v>1058.8480482905152</v>
      </c>
      <c r="Z332" s="1102">
        <f t="shared" si="437"/>
        <v>13.239143676942858</v>
      </c>
      <c r="AA332" s="1103">
        <f t="shared" si="438"/>
        <v>7788.2165126358232</v>
      </c>
      <c r="AB332" s="1101">
        <f t="shared" si="439"/>
        <v>8606.7469590103319</v>
      </c>
      <c r="AC332" s="1104">
        <f t="shared" si="440"/>
        <v>0.1</v>
      </c>
      <c r="AD332" s="1105">
        <f t="shared" si="441"/>
        <v>-1.6087500000000001E-2</v>
      </c>
      <c r="AE332" s="1128">
        <f t="shared" si="442"/>
        <v>78.759093052438246</v>
      </c>
      <c r="AF332" s="1130">
        <f t="shared" si="443"/>
        <v>0</v>
      </c>
      <c r="AG332" s="420">
        <f t="shared" si="444"/>
        <v>0</v>
      </c>
      <c r="AH332" s="420">
        <f t="shared" si="445"/>
        <v>0</v>
      </c>
      <c r="AI332" s="1097">
        <f t="shared" si="446"/>
        <v>0</v>
      </c>
      <c r="AJ332" s="420">
        <f t="shared" si="447"/>
        <v>0</v>
      </c>
      <c r="AK332" s="518">
        <f t="shared" si="448"/>
        <v>0</v>
      </c>
      <c r="AL332" s="1106">
        <f>IF($P332="","N/A",(IF($P332=-1,INDEX('卡片raw data'!S:S,MATCH($D332,'卡片raw data'!$F:$F,)),0)+IF($P332=0,INDEX('卡片raw data'!V:V,MATCH($D332,'卡片raw data'!$F:$F,)),0)+IF($P332=1,INDEX('卡片raw data'!Y:Y,MATCH($D332,'卡片raw data'!$F:$F,)),0)+IF($P332=2,INDEX('卡片raw data'!AB:AB,MATCH($D332,'卡片raw data'!$F:$F,)),0)+IF($P332=3,INDEX('卡片raw data'!AE:AE,MATCH($D332,'卡片raw data'!$F:$F,)),0)+IF($P332=4,INDEX('卡片raw data'!AH:AH,MATCH($D332,'卡片raw data'!$F:$F,)),0)+IF($P332=5,INDEX('卡片raw data'!AK:AK,MATCH($D332,'卡片raw data'!$F:$F,)),0)+INDEX('卡片raw data'!S:S,MATCH($D332,'卡片raw data'!$F:$F,))*(IF($F332="UR",0.04,0.033))*(IF($F332="UR",INDEX(绊状态确认!$S:$S,MATCH($G332,绊状态确认!$B:$B,))/2-40)+IF($F332="SR",INDEX(绊状态确认!$R:$R,MATCH($G332,绊状态确认!$B:$B,))/4-15))+IF($F332="R",INDEX(绊状态确认!$Q:$Q,MATCH($G332,绊状态确认!$B:$B,))/6-40/6)))*(INDEX(绊状态确认!$H:$H,MATCH($G332,绊状态确认!$B:$B,))+INDEX(绊状态确认!J:J,MATCH($G332,绊状态确认!$B:$B,)))</f>
        <v>12125.61528</v>
      </c>
      <c r="AM332" s="1106">
        <f>IF($P332="","N/A",(IF($P332=-1,INDEX('卡片raw data'!T:T,MATCH($D332,'卡片raw data'!$F:$F,)),0)+IF($P332=0,INDEX('卡片raw data'!W:W,MATCH($D332,'卡片raw data'!$F:$F,)),0)+IF($P332=1,INDEX('卡片raw data'!Z:Z,MATCH($D332,'卡片raw data'!$F:$F,)),0)+IF($P332=2,INDEX('卡片raw data'!AC:AC,MATCH($D332,'卡片raw data'!$F:$F,)),0)+IF($P332=3,INDEX('卡片raw data'!AF:AF,MATCH($D332,'卡片raw data'!$F:$F,)),0)+IF($P332=4,INDEX('卡片raw data'!AI:AI,MATCH($D332,'卡片raw data'!$F:$F,)),0)+IF($P332=5,INDEX('卡片raw data'!AL:AL,MATCH($D332,'卡片raw data'!$F:$F,)),0)+INDEX('卡片raw data'!T:T,MATCH($D332,'卡片raw data'!$F:$F,))*(IF($F332="UR",0.04,0.033))*(IF($F332="UR",INDEX(绊状态确认!$S:$S,MATCH($G332,绊状态确认!$B:$B,))/2-40)+IF($F332="SR",INDEX(绊状态确认!$R:$R,MATCH($G332,绊状态确认!$B:$B,))/4-15))+IF($F332="R",INDEX(绊状态确认!$Q:$Q,MATCH($G332,绊状态确认!$B:$B,))/6-40/6)))*(INDEX(绊状态确认!$H:$H,MATCH($G332,绊状态确认!$B:$B,))+INDEX(绊状态确认!K:K,MATCH($G332,绊状态确认!$B:$B,)))</f>
        <v>7071.453551999999</v>
      </c>
      <c r="AN332" s="1106">
        <f>IF($P332="","N/A",(IF($P332=-1,INDEX('卡片raw data'!U:U,MATCH($D332,'卡片raw data'!$F:$F,)),0)+IF($P332=0,INDEX('卡片raw data'!X:X,MATCH($D332,'卡片raw data'!$F:$F,)),0)+IF($P332=1,INDEX('卡片raw data'!AA:AA,MATCH($D332,'卡片raw data'!$F:$F,)),0)+IF($P332=2,INDEX('卡片raw data'!AD:AD,MATCH($D332,'卡片raw data'!$F:$F,)),0)+IF($P332=3,INDEX('卡片raw data'!AG:AG,MATCH($D332,'卡片raw data'!$F:$F,)),0)+IF($P332=4,INDEX('卡片raw data'!AJ:AJ,MATCH($D332,'卡片raw data'!$F:$F,)),0)+IF($P332=5,INDEX('卡片raw data'!AM:AM,MATCH($D332,'卡片raw data'!$F:$F,)),0)+INDEX('卡片raw data'!U:U,MATCH($D332,'卡片raw data'!$F:$F,))*(IF($F332="UR",0.04,0.033))*(IF($F332="UR",INDEX(绊状态确认!$S:$S,MATCH($G332,绊状态确认!$B:$B,))/2-40)+IF($F332="SR",INDEX(绊状态确认!$R:$R,MATCH($G332,绊状态确认!$B:$B,))/4-15))+IF($F332="R",INDEX(绊状态确认!$Q:$Q,MATCH($G332,绊状态确认!$B:$B,))/6-40/6)))*(INDEX(绊状态确认!$H:$H,MATCH($G332,绊状态确认!$B:$B,))+INDEX(绊状态确认!L:L,MATCH($G332,绊状态确认!$B:$B,)))</f>
        <v>14481.190655999999</v>
      </c>
      <c r="AO332" s="1107">
        <f t="shared" si="449"/>
        <v>1</v>
      </c>
      <c r="AP332" s="1131">
        <f>1+(INDEX(绊状态确认!$T:$T,MATCH($G332,绊状态确认!$B:$B,))+0.2)*$AO332</f>
        <v>1.3</v>
      </c>
      <c r="AQ332" s="1108">
        <f t="shared" si="450"/>
        <v>35079.740109999999</v>
      </c>
      <c r="AR332" s="1097">
        <f>(AM332*(1+$EX$9)+$EX$35)*(1+(INDEX(绊状态确认!$T:$T,MATCH($G332,绊状态确认!$B:$B,))+0.2)*AO332)*IF(J332=$FF$17,1+$FE$17,1)*IF(I332=$FF$14,1+$FE$14,1)</f>
        <v>12356.53409848</v>
      </c>
      <c r="AS332" s="1097">
        <f>(AN332*(1+$EX$10)+$EX$36)*(1+(INDEX(绊状态确认!$T:$T,MATCH($G332,绊状态确认!$B:$B,))+0.2)*AO332)*IF(J332=$FF$17,1+$FE$17,1)*IF(I332=$FF$14,1+$FE$14,1)</f>
        <v>25705.380030719996</v>
      </c>
      <c r="AT332" s="1093">
        <f>IF(AND(INDEX('卡片raw data'!AK:AK,MATCH($D332,'卡片raw data'!$F:$F,))&lt;INDEX('卡片raw data'!AM:AM,MATCH($D332,'卡片raw data'!$F:$F,)),INDEX('卡片raw data'!AL:AL,MATCH($D332,'卡片raw data'!$F:$F,))&lt;INDEX('卡片raw data'!AM:AM,MATCH($D332,'卡片raw data'!$F:$F,))),1,0)</f>
        <v>1</v>
      </c>
      <c r="AU332" s="1098">
        <f>MIN(AT332*0.15+AS332*0.00003+INDEX(绊状态确认!M:M,MATCH($G332,绊状态确认!$B:$B,)),1)</f>
        <v>0.95116140092159995</v>
      </c>
      <c r="AV332" s="1109">
        <f>(INDEX(绊状态确认!$N:$N,MATCH($G332,绊状态确认!$B:$B,))+1.5)*$EW$21</f>
        <v>2.6599999999999997</v>
      </c>
      <c r="AW332" s="1101">
        <f t="shared" si="451"/>
        <v>46984.318942078651</v>
      </c>
      <c r="AX332" s="1097">
        <f t="shared" si="452"/>
        <v>1058.848048290515</v>
      </c>
      <c r="AY332" s="1110">
        <f t="shared" si="453"/>
        <v>48043.166990369165</v>
      </c>
      <c r="AZ332" s="429">
        <f t="shared" si="454"/>
        <v>26244.949796000001</v>
      </c>
      <c r="BA332" s="431">
        <f t="shared" si="455"/>
        <v>31493.939755200001</v>
      </c>
      <c r="BB332" s="1097">
        <f>(AM332*(1+$FB$9)+$FB$35)*(1+(INDEX(绊状态确认!$T:$T,MATCH($G332,绊状态确认!$B:$B,))+0.2)*AO332)*IF(J332=$FF$17,1+$FE$17,1)*IF(I332=$FF$14,1+$FE$14,1)*(1+$FE$15)</f>
        <v>12356.53409848</v>
      </c>
      <c r="BC332" s="1097">
        <f>(AN332*(1+$FB$10)+$FB$36)*(1+(INDEX(绊状态确认!$T:$T,MATCH($G332,绊状态确认!$B:$B,))+0.2)*AO332)*IF(J332=$FF$17,1+$FE$17,1)*IF(I332=$FF$14,1+$FE$14,1)*(1+$FE$15)</f>
        <v>25705.380030719996</v>
      </c>
      <c r="BD332" s="1104">
        <f>MIN(AT332*0.15+BC332*0.00003+INDEX(绊状态确认!M:M,MATCH($G332,绊状态确认!$B:$B,)),1)</f>
        <v>0.95116140092159995</v>
      </c>
      <c r="BE332" s="432">
        <f>(INDEX(绊状态确认!$N:$N,MATCH($G332,绊状态确认!$B:$B,))+1.5)</f>
        <v>1.9</v>
      </c>
      <c r="BF332" s="1139">
        <f t="array" ref="BF332">SUMPRODUCT(IF(AZ332*AP332*$FI$16:$FI$23*$FA$22&gt;=$FI$24,$FI$24,AZ332*AP332*$FI$16:$FI$23*$FA$22),$FJ$16:$FJ$23)</f>
        <v>51577.384292368006</v>
      </c>
      <c r="BG332" s="1125">
        <f t="array" ref="BG332">SUMPRODUCT(IF(BE332*AZ332*AP332*$FI$16:$FI$23*$FA$22&gt;=$FI$24,$FI$24,BE332*AZ332*AP332*$FI$16:$FI$23*$FA$22),$FJ$16:$FJ$23)</f>
        <v>60000</v>
      </c>
      <c r="BH332" s="1110">
        <f t="shared" si="456"/>
        <v>19862.883749421177</v>
      </c>
      <c r="BI332" s="1111">
        <f>IF(O332="vo",$EW$26/$EW$24*0.05,0)+IF(O332="sk",-$EW$26/$EW$24*(0.05-INDEX(绊状态确认!W:W,MATCH($G332,绊状态确认!$B:$B,)))+0.05*$EW$28,0)+IF(O332="sp",0.05*$EW$32*$EW$30*(1-$EW$33)-(0.05-INDEX(绊状态确认!V:V,MATCH($G332,绊状态确认!$B:$B,)))*$EW$28,0)+IF(O332="gd",-(0.05-INDEX(绊状态确认!X:X,MATCH($G332,绊状态确认!$B:$B,)))*$EW$32*$EW$30*(1-$EW$33),0)</f>
        <v>19.999999999999886</v>
      </c>
      <c r="BJ332" s="1097">
        <f>IF(O332="vo",0.05*(1-$FI$26)*$FA$24,0)+IF(O332="sk",-(0.05-INDEX(绊状态确认!W:W,MATCH($G332,绊状态确认!$B:$B,)))*(1-$FI$26)*$FA$24+0.05*$FA$26,0)+IF(O332="sp",0.05*$FA$32*$FA$27*(1-$FA$33)/$FA$30+0.05*$FA$29/$FA$69*$FA$27*(1-$FA$33)-(0.05-INDEX(绊状态确认!V:V,MATCH($G332,绊状态确认!$B:$B,)))*$FA$26,0)+IF(O332="gd",-(0.05-INDEX(绊状态确认!X:X,MATCH($G332,绊状态确认!$B:$B,)))*$FA$32*$FA$27*(1-$FA$33)/$FA$30-(0.05-INDEX(绊状态确认!X:X,MATCH($G332,绊状态确认!$B:$B,)))*$FA$29/$FA$69*$FA$27*(1-$FA$33),0)</f>
        <v>545.83333333333326</v>
      </c>
      <c r="BK332" s="1110">
        <f>IF(O332="vo",$EW$26/$EW$24*0.05+$EW$26*(-HP($EW$62,$EW$65,$EW$64)+HP($EW$62,$EW$65,(1.05-INDEX(绊状态确认!U:U,MATCH($G332,绊状态确认!$B:$B,)))*$EW$64)),0)+IF(O332="sk",-$EW$26/$EW$24*(0.05-INDEX(绊状态确认!W:W,MATCH($G332,绊状态确认!$B:$B,)))+0.05*$EW$29,0)+IF(O332="sp",0.05*$EW$32*$EW$30*(1-$EW$33)-(0.05-INDEX(绊状态确认!V:V,MATCH($G332,绊状态确认!$B:$B,)))*$EW$29,0)+IF(O332="gd",-(0.05-INDEX(绊状态确认!X:X,MATCH($G332,绊状态确认!$B:$B,)))*$EW$32*$EW$30*(1-$EW$33)+$EW$26*(-HP($EW$62,$EW$65,$EW$64)+HP($EW$62,$EW$65,0.95*$EW$64)),0)</f>
        <v>-1780.0000000000005</v>
      </c>
      <c r="BL332" s="1111">
        <f t="shared" si="457"/>
        <v>0</v>
      </c>
      <c r="BM332" s="1110">
        <f t="shared" si="458"/>
        <v>0</v>
      </c>
      <c r="BN332" s="1113">
        <f t="shared" si="459"/>
        <v>3</v>
      </c>
      <c r="BO332" s="1108">
        <f t="shared" si="460"/>
        <v>4507.7214871259994</v>
      </c>
      <c r="BP332" s="1100">
        <f t="shared" si="461"/>
        <v>221.34103209030098</v>
      </c>
      <c r="BQ332" s="1113" t="s">
        <v>134</v>
      </c>
      <c r="BR332" s="1124" t="s">
        <v>171</v>
      </c>
      <c r="BS332" s="1098">
        <f>IF($P332="","N/A",IF($P332=-1,INDEX('卡片raw data'!AX:AX,MATCH($D332,'卡片raw data'!$F:$F,)),0)+IF($L332="party卡",IF($P332=5,INDEX('卡片raw data'!BD:BD,MATCH($D332,'卡片raw data'!$F:$F,)),IF($P332&gt;=3,INDEX('卡片raw data'!BC:BC,MATCH($D332,'卡片raw data'!$F:$F,)),INDEX('卡片raw data'!BB:BB,MATCH($D332,'卡片raw data'!$F:$F,)))),IF(OR(AND($F332="UR",$P332=0),AND($F332="SR",$P332&gt;=0,$P332&lt;=2),AND($F332="R",$P332&gt;=0,$P332&lt;4)),INDEX('卡片raw data'!AZ:AZ,MATCH($D332,'卡片raw data'!$F:$F,)),0)+IF(OR(AND($F332="UR",$P332&gt;=1,$P332&lt;=4),AND($F332="SR",$P332&lt;=4,$P332&gt;=3),AND($F332="R",$P332=4)),INDEX('卡片raw data'!BA:BA,MATCH($D332,'卡片raw data'!$F:$F,)),0)+IF($P332=5,INDEX('卡片raw data'!BB:BB,MATCH($D332,'卡片raw data'!$F:$F,)),0)))</f>
        <v>5.1999999999999998E-2</v>
      </c>
      <c r="BT332" s="1101">
        <f t="shared" si="462"/>
        <v>2452.5263374936467</v>
      </c>
      <c r="BU332" s="1097">
        <f t="shared" si="463"/>
        <v>155.22419036436909</v>
      </c>
      <c r="BV332" s="1097">
        <f t="shared" si="464"/>
        <v>1226.2631687468233</v>
      </c>
      <c r="BW332" s="1112">
        <f t="shared" si="465"/>
        <v>0</v>
      </c>
      <c r="BX332" s="1100">
        <f t="shared" si="466"/>
        <v>2452.5263374936467</v>
      </c>
      <c r="BY332" s="1110">
        <f t="shared" si="467"/>
        <v>1226.2631687468233</v>
      </c>
      <c r="BZ332" s="1113" t="s">
        <v>1333</v>
      </c>
      <c r="CA332" s="1124" t="s">
        <v>1334</v>
      </c>
      <c r="CB332" s="1098">
        <f>IF($P332="","N/A",IF($P332=-1,INDEX('卡片raw data'!BE:BE,MATCH($D332,'卡片raw data'!$F:$F,)),0)+IF($L332="party卡",IF($P332=5,INDEX('卡片raw data'!BK:BK,MATCH($D332,'卡片raw data'!$F:$F,)),IF($P332&gt;=3,INDEX('卡片raw data'!BJ:BJ,MATCH($D332,'卡片raw data'!$F:$F,)),INDEX('卡片raw data'!BI:BI,MATCH($D332,'卡片raw data'!$F:$F,)))),IF(OR(AND($F332="UR",$P332=0),AND($F332="SR",$P332&gt;=0,$P332&lt;=2),AND($F332="R",$P332&gt;=0,$P332&lt;4)),INDEX('卡片raw data'!BG:BG,MATCH($D332,'卡片raw data'!$F:$F,)),0)+IF(OR(AND($F332="UR",$P332&gt;=1,$P332&lt;=4),AND($F332="SR",$P332&lt;=4,$P332&gt;=3),AND($F332="R",$P332=4)),INDEX('卡片raw data'!BH:BH,MATCH($D332,'卡片raw data'!$F:$F,)),0)+IF($P332=5,INDEX('卡片raw data'!BI:BI,MATCH($D332,'卡片raw data'!$F:$F,)),0)))</f>
        <v>2.5999999999999999E-2</v>
      </c>
      <c r="CC332" s="1101">
        <f t="shared" si="468"/>
        <v>1302.2306518364001</v>
      </c>
      <c r="CD332" s="1097">
        <f>IF(BZ332="ap",CB332*(1-$FI$26)*$FB$5/$FB$11*(+IF(CA332="全员",$FA$24,0)+IF(CA332="同作战",$FA$24,0)+IF(CA332="仲间",$FA$24*2/3,0)+IF(CA332="同属性",$FA$24*$FA$37/3,0)+IF(CA332="同年级",$FA$24*$FA$40/3,0)+IF(CA332="同学校",$FA$24*$FA$43/3,0)+IF(CA332="同小队",$FA$24*$FA$46/3,0)+IF(CA332="同type",$FA$24*INDEX($FB$49:$FB$52,MATCH(X332,$FA$49:$FA$52,))/3,0)+IF(CA332="自身",#REF!/3,0)),0)+IF(BZ332="te",CB332*(1-$FI$27)*($FA$20-1)*$FB$7/$FB$13*(+IF(CA332="全员",$FA$19*$FA$24/(1+($FA$20-1)*$FA$19),0)+IF(CA332="同作战",$FA$19*$FA$24/(1+($FA$20-1)*$FA$19),0)+IF(CA332="仲间",$FA$19*$FA$24*2/3/(1+($FA$20-1)*$FA$19),0)+IF(CA332="同属性",$FA$19*$FA$24*$FA$37/3/(1+($FA$20-1)*$FA$19),0)+IF(CA332="同年级",$FA$19*$FA$24*$FA$40/3/(1+($FA$20-1)*$FA$19),0)+IF(CA332="同学校",$FA$19*$FA$24*$FA$43/3/(1+($FA$20-1)*$FA$19),0)+IF(CA332="同小队",$FA$19*$FA$24*$FA$46/3/(1+($FA$20-1)*$FA$19),0)+IF(CA332="同type",$FA$19*$FA$24*INDEX($FB$49:$FB$52,MATCH(X332,$FA$49:$FA$52,))/3/(1+($FA$20-1)*$FA$19),0)+IF(CA332="自身",$FA$19*#REF!/3/(1+(BH332-1)*$BD332),0)),0)</f>
        <v>55.950094222826081</v>
      </c>
      <c r="CE332" s="1097">
        <f t="shared" si="469"/>
        <v>651.11532591819991</v>
      </c>
      <c r="CF332" s="1112">
        <f t="shared" si="470"/>
        <v>0</v>
      </c>
      <c r="CG332" s="1100">
        <f t="shared" si="471"/>
        <v>1302.2306518364001</v>
      </c>
      <c r="CH332" s="1110">
        <f t="shared" si="472"/>
        <v>651.11532591819991</v>
      </c>
      <c r="CI332" s="1113" t="s">
        <v>162</v>
      </c>
      <c r="CJ332" s="1114">
        <v>1</v>
      </c>
      <c r="CK332" s="1115" t="s">
        <v>156</v>
      </c>
      <c r="CL332" s="1115" t="s">
        <v>1941</v>
      </c>
      <c r="CM332" s="1119">
        <v>0.01</v>
      </c>
      <c r="CN332" s="1115"/>
      <c r="CO332" s="1092"/>
      <c r="CP332" s="1116">
        <f t="shared" si="473"/>
        <v>5.5082957208685714</v>
      </c>
      <c r="CQ332" s="1116">
        <f t="shared" si="474"/>
        <v>9.8537290117760001</v>
      </c>
      <c r="CR332" s="1116">
        <f t="shared" si="475"/>
        <v>5.5082957208685714</v>
      </c>
      <c r="CS332" s="1118">
        <f t="shared" si="476"/>
        <v>0</v>
      </c>
      <c r="CT332" s="1109">
        <f t="shared" si="477"/>
        <v>7.4974025089599996</v>
      </c>
      <c r="CU332" s="1101">
        <f t="shared" si="478"/>
        <v>344.2684825542857</v>
      </c>
      <c r="CV332" s="1108">
        <f t="shared" si="479"/>
        <v>410.57204215733333</v>
      </c>
      <c r="CW332" s="1097">
        <f t="shared" si="480"/>
        <v>344.2684825542857</v>
      </c>
      <c r="CX332" s="1097">
        <f t="shared" si="481"/>
        <v>344.2684825542857</v>
      </c>
      <c r="CY332" s="1110">
        <f t="shared" si="482"/>
        <v>344.2684825542857</v>
      </c>
      <c r="CZ332" s="437"/>
      <c r="DA332" s="438"/>
      <c r="DB332" s="439" t="s">
        <v>569</v>
      </c>
      <c r="DC332" s="439"/>
      <c r="DD332" s="443"/>
      <c r="DE332" s="411"/>
      <c r="DF332" s="411"/>
      <c r="DG332" s="1116">
        <f t="shared" si="483"/>
        <v>0</v>
      </c>
      <c r="DH332" s="1116">
        <f t="shared" si="484"/>
        <v>0</v>
      </c>
      <c r="DI332" s="1116">
        <f t="shared" si="485"/>
        <v>0</v>
      </c>
      <c r="DJ332" s="442">
        <f t="shared" si="486"/>
        <v>0</v>
      </c>
      <c r="DK332" s="1109">
        <f t="shared" si="487"/>
        <v>0</v>
      </c>
      <c r="DL332" s="1101">
        <f t="shared" si="488"/>
        <v>0</v>
      </c>
      <c r="DM332" s="1097">
        <f t="shared" si="489"/>
        <v>0</v>
      </c>
      <c r="DN332" s="1097">
        <f t="shared" si="490"/>
        <v>0</v>
      </c>
      <c r="DO332" s="1097">
        <f t="shared" si="491"/>
        <v>0</v>
      </c>
      <c r="DP332" s="1110">
        <f t="shared" si="492"/>
        <v>0</v>
      </c>
      <c r="DQ332" s="1113" t="s">
        <v>549</v>
      </c>
      <c r="DR332" s="1120">
        <f t="shared" si="493"/>
        <v>0.33</v>
      </c>
      <c r="DS332" s="1124"/>
      <c r="DT332" s="1093" t="s">
        <v>179</v>
      </c>
      <c r="DU332" s="1093"/>
      <c r="DV332" s="1098">
        <f>IF($P332="","N/A",IF(P332=-1,INDEX('卡片raw data'!AN:AN,MATCH(D332,'卡片raw data'!$F:$F,)),0)+IF(AND(L332&lt;&gt;"party卡",P332&lt;=2,P332&gt;=0),INDEX('卡片raw data'!AP:AP,MATCH(D332,'卡片raw data'!$F:$F,)),0)+IF(OR(AND(L332="party卡",P332&lt;=1),AND(P332&lt;=4,L332&lt;&gt;"party卡",P332&gt;=3)),INDEX('卡片raw data'!AQ:AQ,MATCH(D332,'卡片raw data'!$F:$F,)),0)+IF(OR(P332=5,AND(L332="party卡",P332&gt;=2)),INDEX('卡片raw data'!AR:AR,MATCH(D332,'卡片raw data'!$F:$F,)),0))</f>
        <v>0.09</v>
      </c>
      <c r="DW332" s="1098">
        <f t="shared" si="494"/>
        <v>0.33</v>
      </c>
      <c r="DX332" s="1098">
        <f t="shared" si="495"/>
        <v>0.33</v>
      </c>
      <c r="DY332" s="1098">
        <f t="shared" si="496"/>
        <v>9.9000000000000008E-3</v>
      </c>
      <c r="DZ332" s="1098">
        <f t="shared" si="497"/>
        <v>9.8480249999999998E-3</v>
      </c>
      <c r="EA332" s="1098">
        <f t="shared" si="498"/>
        <v>0</v>
      </c>
      <c r="EB332" s="1121">
        <f t="shared" si="499"/>
        <v>60.337777499999987</v>
      </c>
      <c r="EC332" s="1101">
        <f t="shared" si="500"/>
        <v>4455</v>
      </c>
      <c r="ED332" s="1097">
        <f t="shared" si="501"/>
        <v>2462.0062499999999</v>
      </c>
      <c r="EE332" s="1110">
        <f t="shared" si="502"/>
        <v>4455</v>
      </c>
      <c r="EF332" s="1115" t="s">
        <v>569</v>
      </c>
      <c r="EG332" s="1120">
        <f t="shared" si="503"/>
        <v>0.33</v>
      </c>
      <c r="EH332" s="1124"/>
      <c r="EI332" s="1093"/>
      <c r="EJ332" s="1093"/>
      <c r="EK332" s="1097">
        <f>IF($P332="","N/A",IF(P332=-1,INDEX('卡片raw data'!AS:AS,MATCH(D332,'卡片raw data'!$F:$F,)),0)+IF(AND(L332&lt;&gt;"party卡",P332&lt;=2,P332&gt;=0),INDEX('卡片raw data'!AU:AU,MATCH(D332,'卡片raw data'!$F:$F,)),0)+IF(OR(AND(L332="party卡",P332&lt;=1),AND(P332&lt;=4,L332&lt;&gt;"party卡",P332&gt;=3)),INDEX('卡片raw data'!AV:AV,MATCH(D332,'卡片raw data'!$F:$F,)),0)+IF(OR(P332=5,AND(L332="party卡",P332&gt;=2)),INDEX('卡片raw data'!AW:AW,MATCH(D332,'卡片raw data'!$F:$F,)),0))</f>
        <v>0</v>
      </c>
      <c r="EL332" s="1098">
        <f t="shared" si="504"/>
        <v>0.33</v>
      </c>
      <c r="EM332" s="1098">
        <f t="shared" si="505"/>
        <v>0.33</v>
      </c>
      <c r="EN332" s="1097">
        <f t="shared" si="506"/>
        <v>0</v>
      </c>
      <c r="EO332" s="1125">
        <f t="shared" si="507"/>
        <v>0</v>
      </c>
      <c r="EP332" s="1098">
        <f t="shared" si="508"/>
        <v>0</v>
      </c>
      <c r="EQ332" s="1121">
        <f t="shared" si="509"/>
        <v>0</v>
      </c>
      <c r="ER332" s="1101">
        <f t="shared" si="510"/>
        <v>0</v>
      </c>
      <c r="ES332" s="1097">
        <f t="shared" si="511"/>
        <v>0</v>
      </c>
      <c r="ET332" s="1122">
        <f t="shared" si="512"/>
        <v>0</v>
      </c>
    </row>
    <row r="333" spans="2:150" ht="16.5" customHeight="1">
      <c r="B333" s="1123" t="str">
        <f>INDEX('卡片raw data'!B:B,MATCH($D333,'卡片raw data'!$F:$F,))</f>
        <v>梦门绘</v>
      </c>
      <c r="C333" s="449" t="s">
        <v>1335</v>
      </c>
      <c r="D333" s="408">
        <v>330</v>
      </c>
      <c r="E333" s="1090">
        <v>300022003</v>
      </c>
      <c r="F333" s="1090" t="str">
        <f>INDEX('卡片raw data'!C:C,MATCH($D333,'卡片raw data'!$F:$F,))</f>
        <v>SR</v>
      </c>
      <c r="G333" s="1094" t="s">
        <v>25</v>
      </c>
      <c r="H333" s="411">
        <f>IFERROR(INDEX(绊状态确认!C:C,MATCH($G333,绊状态确认!$B:$B,)),"")</f>
        <v>2</v>
      </c>
      <c r="I333" s="450" t="str">
        <f>IFERROR(INDEX(绊状态确认!D:D,MATCH($G333,绊状态确认!$B:$B,)),"")</f>
        <v>缪</v>
      </c>
      <c r="J333" s="450" t="str">
        <f>IFERROR(INDEX(绊状态确认!E:E,MATCH($G333,绊状态确认!$B:$B,)),"")</f>
        <v>3年级</v>
      </c>
      <c r="K333" s="451" t="str">
        <f>IFERROR(INDEX(绊状态确认!F:F,MATCH($G333,绊状态确认!$B:$B,)),"")</f>
        <v>BiBi</v>
      </c>
      <c r="L333" s="1094" t="str">
        <f>INDEX('卡片raw data'!E:E,MATCH($D333,'卡片raw data'!$F:$F,))</f>
        <v>卡池卡</v>
      </c>
      <c r="M333" s="415">
        <v>44116</v>
      </c>
      <c r="N333" s="416">
        <v>25.5</v>
      </c>
      <c r="O333" s="1091" t="str">
        <f>INDEX('卡片raw data'!D:D,MATCH($D333,'卡片raw data'!$F:$F,))</f>
        <v>sp</v>
      </c>
      <c r="P333" s="1126">
        <v>5</v>
      </c>
      <c r="Q333" s="1095">
        <f t="shared" si="428"/>
        <v>33366.446622292751</v>
      </c>
      <c r="R333" s="1096">
        <f t="shared" si="429"/>
        <v>0.38700000000000001</v>
      </c>
      <c r="S333" s="1097">
        <f t="shared" si="430"/>
        <v>18851.520169138494</v>
      </c>
      <c r="T333" s="1098">
        <f t="shared" si="431"/>
        <v>0.94199999999999995</v>
      </c>
      <c r="U333" s="1099">
        <f t="shared" si="432"/>
        <v>10.155297269742855</v>
      </c>
      <c r="V333" s="1100">
        <f t="shared" si="433"/>
        <v>32373.539688822431</v>
      </c>
      <c r="W333" s="1101">
        <f t="shared" si="434"/>
        <v>5294.7620675854014</v>
      </c>
      <c r="X333" s="1096">
        <f t="shared" si="435"/>
        <v>6.0999999999999999E-2</v>
      </c>
      <c r="Y333" s="1097">
        <f t="shared" si="436"/>
        <v>807.09306652967462</v>
      </c>
      <c r="Z333" s="1102">
        <f t="shared" si="437"/>
        <v>10.155297269742855</v>
      </c>
      <c r="AA333" s="1103">
        <f t="shared" si="438"/>
        <v>6101.855134115076</v>
      </c>
      <c r="AB333" s="1101">
        <f t="shared" si="439"/>
        <v>5822.9985095071097</v>
      </c>
      <c r="AC333" s="1104">
        <f t="shared" si="440"/>
        <v>6.7000000000000004E-2</v>
      </c>
      <c r="AD333" s="1105">
        <f t="shared" si="441"/>
        <v>-1.9908281250000003E-2</v>
      </c>
      <c r="AE333" s="1128">
        <f t="shared" si="442"/>
        <v>44.13087511207398</v>
      </c>
      <c r="AF333" s="1130">
        <f t="shared" si="443"/>
        <v>0</v>
      </c>
      <c r="AG333" s="420">
        <f t="shared" si="444"/>
        <v>0</v>
      </c>
      <c r="AH333" s="420">
        <f t="shared" si="445"/>
        <v>0</v>
      </c>
      <c r="AI333" s="1097">
        <f t="shared" si="446"/>
        <v>0</v>
      </c>
      <c r="AJ333" s="420">
        <f t="shared" si="447"/>
        <v>0</v>
      </c>
      <c r="AK333" s="518">
        <f t="shared" si="448"/>
        <v>0</v>
      </c>
      <c r="AL333" s="1106">
        <f>IF($P333="","N/A",(IF($P333=-1,INDEX('卡片raw data'!S:S,MATCH($D333,'卡片raw data'!$F:$F,)),0)+IF($P333=0,INDEX('卡片raw data'!V:V,MATCH($D333,'卡片raw data'!$F:$F,)),0)+IF($P333=1,INDEX('卡片raw data'!Y:Y,MATCH($D333,'卡片raw data'!$F:$F,)),0)+IF($P333=2,INDEX('卡片raw data'!AB:AB,MATCH($D333,'卡片raw data'!$F:$F,)),0)+IF($P333=3,INDEX('卡片raw data'!AE:AE,MATCH($D333,'卡片raw data'!$F:$F,)),0)+IF($P333=4,INDEX('卡片raw data'!AH:AH,MATCH($D333,'卡片raw data'!$F:$F,)),0)+IF($P333=5,INDEX('卡片raw data'!AK:AK,MATCH($D333,'卡片raw data'!$F:$F,)),0)+INDEX('卡片raw data'!S:S,MATCH($D333,'卡片raw data'!$F:$F,))*(IF($F333="UR",0.04,0.033))*(IF($F333="UR",INDEX(绊状态确认!$S:$S,MATCH($G333,绊状态确认!$B:$B,))/2-40)+IF($F333="SR",INDEX(绊状态确认!$R:$R,MATCH($G333,绊状态确认!$B:$B,))/4-15))+IF($F333="R",INDEX(绊状态确认!$Q:$Q,MATCH($G333,绊状态确认!$B:$B,))/6-40/6)))*(INDEX(绊状态确认!$H:$H,MATCH($G333,绊状态确认!$B:$B,))+INDEX(绊状态确认!J:J,MATCH($G333,绊状态确认!$B:$B,)))</f>
        <v>7649.3038607999988</v>
      </c>
      <c r="AM333" s="1106">
        <f>IF($P333="","N/A",(IF($P333=-1,INDEX('卡片raw data'!T:T,MATCH($D333,'卡片raw data'!$F:$F,)),0)+IF($P333=0,INDEX('卡片raw data'!W:W,MATCH($D333,'卡片raw data'!$F:$F,)),0)+IF($P333=1,INDEX('卡片raw data'!Z:Z,MATCH($D333,'卡片raw data'!$F:$F,)),0)+IF($P333=2,INDEX('卡片raw data'!AC:AC,MATCH($D333,'卡片raw data'!$F:$F,)),0)+IF($P333=3,INDEX('卡片raw data'!AF:AF,MATCH($D333,'卡片raw data'!$F:$F,)),0)+IF($P333=4,INDEX('卡片raw data'!AI:AI,MATCH($D333,'卡片raw data'!$F:$F,)),0)+IF($P333=5,INDEX('卡片raw data'!AL:AL,MATCH($D333,'卡片raw data'!$F:$F,)),0)+INDEX('卡片raw data'!T:T,MATCH($D333,'卡片raw data'!$F:$F,))*(IF($F333="UR",0.04,0.033))*(IF($F333="UR",INDEX(绊状态确认!$S:$S,MATCH($G333,绊状态确认!$B:$B,))/2-40)+IF($F333="SR",INDEX(绊状态确认!$R:$R,MATCH($G333,绊状态确认!$B:$B,))/4-15))+IF($F333="R",INDEX(绊状态确认!$Q:$Q,MATCH($G333,绊状态确认!$B:$B,))/6-40/6)))*(INDEX(绊状态确认!$H:$H,MATCH($G333,绊状态确认!$B:$B,))+INDEX(绊状态确认!K:K,MATCH($G333,绊状态确认!$B:$B,)))</f>
        <v>4962.8406239999995</v>
      </c>
      <c r="AN333" s="1106">
        <f>IF($P333="","N/A",(IF($P333=-1,INDEX('卡片raw data'!U:U,MATCH($D333,'卡片raw data'!$F:$F,)),0)+IF($P333=0,INDEX('卡片raw data'!X:X,MATCH($D333,'卡片raw data'!$F:$F,)),0)+IF($P333=1,INDEX('卡片raw data'!AA:AA,MATCH($D333,'卡片raw data'!$F:$F,)),0)+IF($P333=2,INDEX('卡片raw data'!AD:AD,MATCH($D333,'卡片raw data'!$F:$F,)),0)+IF($P333=3,INDEX('卡片raw data'!AG:AG,MATCH($D333,'卡片raw data'!$F:$F,)),0)+IF($P333=4,INDEX('卡片raw data'!AJ:AJ,MATCH($D333,'卡片raw data'!$F:$F,)),0)+IF($P333=5,INDEX('卡片raw data'!AM:AM,MATCH($D333,'卡片raw data'!$F:$F,)),0)+INDEX('卡片raw data'!U:U,MATCH($D333,'卡片raw data'!$F:$F,))*(IF($F333="UR",0.04,0.033))*(IF($F333="UR",INDEX(绊状态确认!$S:$S,MATCH($G333,绊状态确认!$B:$B,))/2-40)+IF($F333="SR",INDEX(绊状态确认!$R:$R,MATCH($G333,绊状态确认!$B:$B,))/4-15))+IF($F333="R",INDEX(绊状态确认!$Q:$Q,MATCH($G333,绊状态确认!$B:$B,))/6-40/6)))*(INDEX(绊状态确认!$H:$H,MATCH($G333,绊状态确认!$B:$B,))+INDEX(绊状态确认!L:L,MATCH($G333,绊状态确认!$B:$B,)))</f>
        <v>8062.8739127999988</v>
      </c>
      <c r="AO333" s="1107">
        <f t="shared" si="449"/>
        <v>1</v>
      </c>
      <c r="AP333" s="1131">
        <f>1+(INDEX(绊状态确认!$T:$T,MATCH($G333,绊状态确认!$B:$B,))+0.2)*$AO333</f>
        <v>1.3</v>
      </c>
      <c r="AQ333" s="1108">
        <f t="shared" si="450"/>
        <v>23329.422634599996</v>
      </c>
      <c r="AR333" s="1097">
        <f>(AM333*(1+$EX$9)+$EX$35)*(1+(INDEX(绊状态确认!$T:$T,MATCH($G333,绊状态确认!$B:$B,))+0.2)*AO333)*IF(J333=$FF$17,1+$FE$17,1)*IF(I333=$FF$14,1+$FE$14,1)</f>
        <v>9478.2774517599992</v>
      </c>
      <c r="AS333" s="1097">
        <f>(AN333*(1+$EX$10)+$EX$36)*(1+(INDEX(绊状态确认!$T:$T,MATCH($G333,绊状态确认!$B:$B,))+0.2)*AO333)*IF(J333=$FF$17,1+$FE$17,1)*IF(I333=$FF$14,1+$FE$14,1)</f>
        <v>16109.996499635998</v>
      </c>
      <c r="AT333" s="1093">
        <f>IF(AND(INDEX('卡片raw data'!AK:AK,MATCH($D333,'卡片raw data'!$F:$F,))&lt;INDEX('卡片raw data'!AM:AM,MATCH($D333,'卡片raw data'!$F:$F,)),INDEX('卡片raw data'!AL:AL,MATCH($D333,'卡片raw data'!$F:$F,))&lt;INDEX('卡片raw data'!AM:AM,MATCH($D333,'卡片raw data'!$F:$F,))),1,0)</f>
        <v>1</v>
      </c>
      <c r="AU333" s="1098">
        <f>MIN(AT333*0.15+AS333*0.00003+INDEX(绊状态确认!M:M,MATCH($G333,绊状态确认!$B:$B,)),1)</f>
        <v>0.66329989498907993</v>
      </c>
      <c r="AV333" s="1109">
        <f>(INDEX(绊状态确认!$N:$N,MATCH($G333,绊状态确认!$B:$B,))+1.5)*$EW$21</f>
        <v>2.6599999999999997</v>
      </c>
      <c r="AW333" s="1101">
        <f t="shared" si="451"/>
        <v>25456.781446118981</v>
      </c>
      <c r="AX333" s="1097">
        <f t="shared" si="452"/>
        <v>807.0930665296745</v>
      </c>
      <c r="AY333" s="1110">
        <f t="shared" si="453"/>
        <v>26263.874512648654</v>
      </c>
      <c r="AZ333" s="429">
        <f t="shared" si="454"/>
        <v>17516.142528559998</v>
      </c>
      <c r="BA333" s="431">
        <f t="shared" si="455"/>
        <v>21019.371034271997</v>
      </c>
      <c r="BB333" s="1097">
        <f>(AM333*(1+$FB$9)+$FB$35)*(1+(INDEX(绊状态确认!$T:$T,MATCH($G333,绊状态确认!$B:$B,))+0.2)*AO333)*IF(J333=$FF$17,1+$FE$17,1)*IF(I333=$FF$14,1+$FE$14,1)*(1+$FE$15)</f>
        <v>9478.2774517599992</v>
      </c>
      <c r="BC333" s="1097">
        <f>(AN333*(1+$FB$10)+$FB$36)*(1+(INDEX(绊状态确认!$T:$T,MATCH($G333,绊状态确认!$B:$B,))+0.2)*AO333)*IF(J333=$FF$17,1+$FE$17,1)*IF(I333=$FF$14,1+$FE$14,1)*(1+$FE$15)</f>
        <v>16109.996499635998</v>
      </c>
      <c r="BD333" s="1104">
        <f>MIN(AT333*0.15+BC333*0.00003+INDEX(绊状态确认!M:M,MATCH($G333,绊状态确认!$B:$B,)),1)</f>
        <v>0.66329989498907993</v>
      </c>
      <c r="BE333" s="432">
        <f>(INDEX(绊状态确认!$N:$N,MATCH($G333,绊状态确认!$B:$B,))+1.5)</f>
        <v>1.9</v>
      </c>
      <c r="BF333" s="1139">
        <f t="array" ref="BF333">SUMPRODUCT(IF(AZ333*AP333*$FI$16:$FI$23*$FA$22&gt;=$FI$24,$FI$24,AZ333*AP333*$FI$16:$FI$23*$FA$22),$FJ$16:$FJ$23)</f>
        <v>34839.607489305839</v>
      </c>
      <c r="BG333" s="1125">
        <f t="array" ref="BG333">SUMPRODUCT(IF(BE333*AZ333*AP333*$FI$16:$FI$23*$FA$22&gt;=$FI$24,$FI$24,BE333*AZ333*AP333*$FI$16:$FI$23*$FA$22),$FJ$16:$FJ$23)</f>
        <v>58816.218011385805</v>
      </c>
      <c r="BH333" s="1110">
        <f t="shared" si="456"/>
        <v>16914.430243598516</v>
      </c>
      <c r="BI333" s="1111">
        <f>IF(O333="vo",$EW$26/$EW$24*0.05,0)+IF(O333="sk",-$EW$26/$EW$24*(0.05-INDEX(绊状态确认!W:W,MATCH($G333,绊状态确认!$B:$B,)))+0.05*$EW$28,0)+IF(O333="sp",0.05*$EW$32*$EW$30*(1-$EW$33)-(0.05-INDEX(绊状态确认!V:V,MATCH($G333,绊状态确认!$B:$B,)))*$EW$28,0)+IF(O333="gd",-(0.05-INDEX(绊状态确认!X:X,MATCH($G333,绊状态确认!$B:$B,)))*$EW$32*$EW$30*(1-$EW$33),0)</f>
        <v>19.999999999999886</v>
      </c>
      <c r="BJ333" s="1097">
        <f>IF(O333="vo",0.05*(1-$FI$26)*$FA$24,0)+IF(O333="sk",-(0.05-INDEX(绊状态确认!W:W,MATCH($G333,绊状态确认!$B:$B,)))*(1-$FI$26)*$FA$24+0.05*$FA$26,0)+IF(O333="sp",0.05*$FA$32*$FA$27*(1-$FA$33)/$FA$30+0.05*$FA$29/$FA$69*$FA$27*(1-$FA$33)-(0.05-INDEX(绊状态确认!V:V,MATCH($G333,绊状态确认!$B:$B,)))*$FA$26,0)+IF(O333="gd",-(0.05-INDEX(绊状态确认!X:X,MATCH($G333,绊状态确认!$B:$B,)))*$FA$32*$FA$27*(1-$FA$33)/$FA$30-(0.05-INDEX(绊状态确认!X:X,MATCH($G333,绊状态确认!$B:$B,)))*$FA$29/$FA$69*$FA$27*(1-$FA$33),0)</f>
        <v>545.83333333333326</v>
      </c>
      <c r="BK333" s="1110">
        <f>IF(O333="vo",$EW$26/$EW$24*0.05+$EW$26*(-HP($EW$62,$EW$65,$EW$64)+HP($EW$62,$EW$65,(1.05-INDEX(绊状态确认!U:U,MATCH($G333,绊状态确认!$B:$B,)))*$EW$64)),0)+IF(O333="sk",-$EW$26/$EW$24*(0.05-INDEX(绊状态确认!W:W,MATCH($G333,绊状态确认!$B:$B,)))+0.05*$EW$29,0)+IF(O333="sp",0.05*$EW$32*$EW$30*(1-$EW$33)-(0.05-INDEX(绊状态确认!V:V,MATCH($G333,绊状态确认!$B:$B,)))*$EW$29,0)+IF(O333="gd",-(0.05-INDEX(绊状态确认!X:X,MATCH($G333,绊状态确认!$B:$B,)))*$EW$32*$EW$30*(1-$EW$33)+$EW$26*(-HP($EW$62,$EW$65,$EW$64)+HP($EW$62,$EW$65,0.95*$EW$64)),0)</f>
        <v>-1780.0000000000005</v>
      </c>
      <c r="BL333" s="1111">
        <f t="shared" si="457"/>
        <v>-1083.3333333333333</v>
      </c>
      <c r="BM333" s="1110">
        <f t="shared" si="458"/>
        <v>-830.55555555555543</v>
      </c>
      <c r="BN333" s="1113">
        <f t="shared" si="459"/>
        <v>3</v>
      </c>
      <c r="BO333" s="1108">
        <f t="shared" si="460"/>
        <v>4507.7214871259994</v>
      </c>
      <c r="BP333" s="1100">
        <f t="shared" si="461"/>
        <v>221.34103209030098</v>
      </c>
      <c r="BQ333" s="1113" t="s">
        <v>1336</v>
      </c>
      <c r="BR333" s="1124" t="s">
        <v>557</v>
      </c>
      <c r="BS333" s="1098">
        <f>IF($P333="","N/A",IF($P333=-1,INDEX('卡片raw data'!AX:AX,MATCH($D333,'卡片raw data'!$F:$F,)),0)+IF($L333="party卡",IF($P333=5,INDEX('卡片raw data'!BD:BD,MATCH($D333,'卡片raw data'!$F:$F,)),IF($P333&gt;=3,INDEX('卡片raw data'!BC:BC,MATCH($D333,'卡片raw data'!$F:$F,)),INDEX('卡片raw data'!BB:BB,MATCH($D333,'卡片raw data'!$F:$F,)))),IF(OR(AND($F333="UR",$P333=0),AND($F333="SR",$P333&gt;=0,$P333&lt;=2),AND($F333="R",$P333&gt;=0,$P333&lt;4)),INDEX('卡片raw data'!AZ:AZ,MATCH($D333,'卡片raw data'!$F:$F,)),0)+IF(OR(AND($F333="UR",$P333&gt;=1,$P333&lt;=4),AND($F333="SR",$P333&lt;=4,$P333&gt;=3),AND($F333="R",$P333=4)),INDEX('卡片raw data'!BA:BA,MATCH($D333,'卡片raw data'!$F:$F,)),0)+IF($P333=5,INDEX('卡片raw data'!BB:BB,MATCH($D333,'卡片raw data'!$F:$F,)),0)))</f>
        <v>3.2000000000000001E-2</v>
      </c>
      <c r="BT333" s="1101">
        <f t="shared" si="462"/>
        <v>1207.397581535334</v>
      </c>
      <c r="BU333" s="1097">
        <f t="shared" si="463"/>
        <v>131.0023936261928</v>
      </c>
      <c r="BV333" s="1097">
        <f t="shared" si="464"/>
        <v>679.16113961362521</v>
      </c>
      <c r="BW333" s="1112">
        <f t="shared" si="465"/>
        <v>0</v>
      </c>
      <c r="BX333" s="1100">
        <f t="shared" si="466"/>
        <v>1207.397581535334</v>
      </c>
      <c r="BY333" s="1110">
        <f t="shared" si="467"/>
        <v>679.16113961362521</v>
      </c>
      <c r="BZ333" s="1107" t="s">
        <v>569</v>
      </c>
      <c r="CA333" s="1124"/>
      <c r="CB333" s="1098">
        <f>IF($P333="","N/A",IF($P333=-1,INDEX('卡片raw data'!BE:BE,MATCH($D333,'卡片raw data'!$F:$F,)),0)+IF($L333="party卡",IF($P333=5,INDEX('卡片raw data'!BK:BK,MATCH($D333,'卡片raw data'!$F:$F,)),IF($P333&gt;=3,INDEX('卡片raw data'!BJ:BJ,MATCH($D333,'卡片raw data'!$F:$F,)),INDEX('卡片raw data'!BI:BI,MATCH($D333,'卡片raw data'!$F:$F,)))),IF(OR(AND($F333="UR",$P333=0),AND($F333="SR",$P333&gt;=0,$P333&lt;=2),AND($F333="R",$P333&gt;=0,$P333&lt;4)),INDEX('卡片raw data'!BG:BG,MATCH($D333,'卡片raw data'!$F:$F,)),0)+IF(OR(AND($F333="UR",$P333&gt;=1,$P333&lt;=4),AND($F333="SR",$P333&lt;=4,$P333&gt;=3),AND($F333="R",$P333=4)),INDEX('卡片raw data'!BH:BH,MATCH($D333,'卡片raw data'!$F:$F,)),0)+IF($P333=5,INDEX('卡片raw data'!BI:BI,MATCH($D333,'卡片raw data'!$F:$F,)),0)))</f>
        <v>0</v>
      </c>
      <c r="CC333" s="1101">
        <f t="shared" si="468"/>
        <v>0</v>
      </c>
      <c r="CD333" s="1097">
        <f>IF(BZ333="ap",CB333*(1-$FI$26)*$FB$5/$FB$11*(+IF(CA333="全员",$FA$24,0)+IF(CA333="同作战",$FA$24,0)+IF(CA333="仲间",$FA$24*2/3,0)+IF(CA333="同属性",$FA$24*$FA$37/3,0)+IF(CA333="同年级",$FA$24*$FA$40/3,0)+IF(CA333="同学校",$FA$24*$FA$43/3,0)+IF(CA333="同小队",$FA$24*$FA$46/3,0)+IF(CA333="同type",$FA$24*INDEX($FB$49:$FB$52,MATCH(X333,$FA$49:$FA$52,))/3,0)+IF(CA333="自身",#REF!/3,0)),0)+IF(BZ333="te",CB333*(1-$FI$27)*($FA$20-1)*$FB$7/$FB$13*(+IF(CA333="全员",$FA$19*$FA$24/(1+($FA$20-1)*$FA$19),0)+IF(CA333="同作战",$FA$19*$FA$24/(1+($FA$20-1)*$FA$19),0)+IF(CA333="仲间",$FA$19*$FA$24*2/3/(1+($FA$20-1)*$FA$19),0)+IF(CA333="同属性",$FA$19*$FA$24*$FA$37/3/(1+($FA$20-1)*$FA$19),0)+IF(CA333="同年级",$FA$19*$FA$24*$FA$40/3/(1+($FA$20-1)*$FA$19),0)+IF(CA333="同学校",$FA$19*$FA$24*$FA$43/3/(1+($FA$20-1)*$FA$19),0)+IF(CA333="同小队",$FA$19*$FA$24*$FA$46/3/(1+($FA$20-1)*$FA$19),0)+IF(CA333="同type",$FA$19*$FA$24*INDEX($FB$49:$FB$52,MATCH(X333,$FA$49:$FA$52,))/3/(1+($FA$20-1)*$FA$19),0)+IF(CA333="自身",$FA$19*#REF!/3/(1+(BH333-1)*$BD333),0)),0)</f>
        <v>0</v>
      </c>
      <c r="CE333" s="1097">
        <f t="shared" si="469"/>
        <v>0</v>
      </c>
      <c r="CF333" s="1112">
        <f t="shared" si="470"/>
        <v>0</v>
      </c>
      <c r="CG333" s="1100">
        <f t="shared" si="471"/>
        <v>0</v>
      </c>
      <c r="CH333" s="1110">
        <f t="shared" si="472"/>
        <v>0</v>
      </c>
      <c r="CI333" s="1113" t="s">
        <v>165</v>
      </c>
      <c r="CJ333" s="1114">
        <v>1</v>
      </c>
      <c r="CK333" s="1115" t="s">
        <v>549</v>
      </c>
      <c r="CL333" s="1115" t="s">
        <v>1945</v>
      </c>
      <c r="CM333" s="1119">
        <v>0.03</v>
      </c>
      <c r="CN333" s="1115"/>
      <c r="CO333" s="1092"/>
      <c r="CP333" s="1116">
        <f t="shared" si="473"/>
        <v>1.7260710535324282</v>
      </c>
      <c r="CQ333" s="1116">
        <f t="shared" si="474"/>
        <v>3.0877493290968991</v>
      </c>
      <c r="CR333" s="1116">
        <f t="shared" si="475"/>
        <v>1.7260710535324282</v>
      </c>
      <c r="CS333" s="1118">
        <f t="shared" si="476"/>
        <v>0</v>
      </c>
      <c r="CT333" s="1109">
        <f t="shared" si="477"/>
        <v>2.8192493874362996</v>
      </c>
      <c r="CU333" s="1101">
        <f t="shared" si="478"/>
        <v>107.87944084577677</v>
      </c>
      <c r="CV333" s="1108">
        <f t="shared" si="479"/>
        <v>128.65622204570414</v>
      </c>
      <c r="CW333" s="1097">
        <f t="shared" si="480"/>
        <v>107.87944084577677</v>
      </c>
      <c r="CX333" s="1097">
        <f t="shared" si="481"/>
        <v>107.87944084577677</v>
      </c>
      <c r="CY333" s="1110">
        <f t="shared" si="482"/>
        <v>107.87944084577677</v>
      </c>
      <c r="CZ333" s="437"/>
      <c r="DA333" s="438"/>
      <c r="DB333" s="439" t="s">
        <v>569</v>
      </c>
      <c r="DC333" s="439"/>
      <c r="DD333" s="443"/>
      <c r="DE333" s="411"/>
      <c r="DF333" s="411"/>
      <c r="DG333" s="1116">
        <f t="shared" si="483"/>
        <v>0</v>
      </c>
      <c r="DH333" s="1116">
        <f t="shared" si="484"/>
        <v>0</v>
      </c>
      <c r="DI333" s="1116">
        <f t="shared" si="485"/>
        <v>0</v>
      </c>
      <c r="DJ333" s="442">
        <f t="shared" si="486"/>
        <v>0</v>
      </c>
      <c r="DK333" s="1109">
        <f t="shared" si="487"/>
        <v>0</v>
      </c>
      <c r="DL333" s="1101">
        <f t="shared" si="488"/>
        <v>0</v>
      </c>
      <c r="DM333" s="1097">
        <f t="shared" si="489"/>
        <v>0</v>
      </c>
      <c r="DN333" s="1097">
        <f t="shared" si="490"/>
        <v>0</v>
      </c>
      <c r="DO333" s="1097">
        <f t="shared" si="491"/>
        <v>0</v>
      </c>
      <c r="DP333" s="1110">
        <f t="shared" si="492"/>
        <v>0</v>
      </c>
      <c r="DQ333" s="1113" t="s">
        <v>549</v>
      </c>
      <c r="DR333" s="1120">
        <f t="shared" si="493"/>
        <v>0.3</v>
      </c>
      <c r="DS333" s="1124"/>
      <c r="DT333" s="1093" t="s">
        <v>179</v>
      </c>
      <c r="DU333" s="1093"/>
      <c r="DV333" s="1098">
        <f>IF($P333="","N/A",IF(P333=-1,INDEX('卡片raw data'!AN:AN,MATCH(D333,'卡片raw data'!$F:$F,)),0)+IF(AND(L333&lt;&gt;"party卡",P333&lt;=2,P333&gt;=0),INDEX('卡片raw data'!AP:AP,MATCH(D333,'卡片raw data'!$F:$F,)),0)+IF(OR(AND(L333="party卡",P333&lt;=1),AND(P333&lt;=4,L333&lt;&gt;"party卡",P333&gt;=3)),INDEX('卡片raw data'!AQ:AQ,MATCH(D333,'卡片raw data'!$F:$F,)),0)+IF(OR(P333=5,AND(L333="party卡",P333&gt;=2)),INDEX('卡片raw data'!AR:AR,MATCH(D333,'卡片raw data'!$F:$F,)),0))</f>
        <v>7.0000000000000007E-2</v>
      </c>
      <c r="DW333" s="1098">
        <f t="shared" si="494"/>
        <v>0.3</v>
      </c>
      <c r="DX333" s="1098">
        <f t="shared" si="495"/>
        <v>0.3</v>
      </c>
      <c r="DY333" s="1098">
        <f t="shared" si="496"/>
        <v>7.0000000000000001E-3</v>
      </c>
      <c r="DZ333" s="1098">
        <f t="shared" si="497"/>
        <v>6.9632499999999998E-3</v>
      </c>
      <c r="EA333" s="1098">
        <f t="shared" si="498"/>
        <v>0</v>
      </c>
      <c r="EB333" s="1121">
        <f t="shared" si="499"/>
        <v>42.663074999999999</v>
      </c>
      <c r="EC333" s="1101">
        <f t="shared" si="500"/>
        <v>3150</v>
      </c>
      <c r="ED333" s="1097">
        <f t="shared" si="501"/>
        <v>1740.8125</v>
      </c>
      <c r="EE333" s="1110">
        <f t="shared" si="502"/>
        <v>3150</v>
      </c>
      <c r="EF333" s="1115" t="s">
        <v>569</v>
      </c>
      <c r="EG333" s="1120">
        <f t="shared" si="503"/>
        <v>0.3</v>
      </c>
      <c r="EH333" s="1124"/>
      <c r="EI333" s="1093"/>
      <c r="EJ333" s="1093"/>
      <c r="EK333" s="1097">
        <f>IF($P333="","N/A",IF(P333=-1,INDEX('卡片raw data'!AS:AS,MATCH(D333,'卡片raw data'!$F:$F,)),0)+IF(AND(L333&lt;&gt;"party卡",P333&lt;=2,P333&gt;=0),INDEX('卡片raw data'!AU:AU,MATCH(D333,'卡片raw data'!$F:$F,)),0)+IF(OR(AND(L333="party卡",P333&lt;=1),AND(P333&lt;=4,L333&lt;&gt;"party卡",P333&gt;=3)),INDEX('卡片raw data'!AV:AV,MATCH(D333,'卡片raw data'!$F:$F,)),0)+IF(OR(P333=5,AND(L333="party卡",P333&gt;=2)),INDEX('卡片raw data'!AW:AW,MATCH(D333,'卡片raw data'!$F:$F,)),0))</f>
        <v>0</v>
      </c>
      <c r="EL333" s="1098">
        <f t="shared" si="504"/>
        <v>0.3</v>
      </c>
      <c r="EM333" s="1098">
        <f t="shared" si="505"/>
        <v>0.3</v>
      </c>
      <c r="EN333" s="1097">
        <f t="shared" si="506"/>
        <v>0</v>
      </c>
      <c r="EO333" s="1125">
        <f t="shared" si="507"/>
        <v>0</v>
      </c>
      <c r="EP333" s="1098">
        <f t="shared" si="508"/>
        <v>0</v>
      </c>
      <c r="EQ333" s="1121">
        <f t="shared" si="509"/>
        <v>0</v>
      </c>
      <c r="ER333" s="1101">
        <f t="shared" si="510"/>
        <v>0</v>
      </c>
      <c r="ES333" s="1097">
        <f t="shared" si="511"/>
        <v>0</v>
      </c>
      <c r="ET333" s="1122">
        <f t="shared" si="512"/>
        <v>0</v>
      </c>
    </row>
    <row r="334" spans="2:150" ht="16.5" customHeight="1">
      <c r="B334" s="1123" t="str">
        <f>INDEX('卡片raw data'!B:B,MATCH($D334,'卡片raw data'!$F:$F,))</f>
        <v>万圣鞠</v>
      </c>
      <c r="C334" s="449" t="s">
        <v>1528</v>
      </c>
      <c r="D334" s="408">
        <v>331</v>
      </c>
      <c r="E334" s="1090">
        <v>401083003</v>
      </c>
      <c r="F334" s="1090" t="str">
        <f>INDEX('卡片raw data'!C:C,MATCH($D334,'卡片raw data'!$F:$F,))</f>
        <v>UR</v>
      </c>
      <c r="G334" s="1094" t="s">
        <v>1529</v>
      </c>
      <c r="H334" s="411">
        <f>IFERROR(INDEX(绊状态确认!C:C,MATCH($G334,绊状态确认!$B:$B,)),"")</f>
        <v>108</v>
      </c>
      <c r="I334" s="450" t="str">
        <f>IFERROR(INDEX(绊状态确认!D:D,MATCH($G334,绊状态确认!$B:$B,)),"")</f>
        <v>水</v>
      </c>
      <c r="J334" s="450" t="str">
        <f>IFERROR(INDEX(绊状态确认!E:E,MATCH($G334,绊状态确认!$B:$B,)),"")</f>
        <v>3年级</v>
      </c>
      <c r="K334" s="451" t="str">
        <f>IFERROR(INDEX(绊状态确认!F:F,MATCH($G334,绊状态确认!$B:$B,)),"")</f>
        <v>Guilty Kiss</v>
      </c>
      <c r="L334" s="1094" t="str">
        <f>INDEX('卡片raw data'!E:E,MATCH($D334,'卡片raw data'!$F:$F,))</f>
        <v>卡池卡</v>
      </c>
      <c r="M334" s="415">
        <v>44123</v>
      </c>
      <c r="N334" s="416">
        <v>26</v>
      </c>
      <c r="O334" s="1091" t="str">
        <f>INDEX('卡片raw data'!D:D,MATCH($D334,'卡片raw data'!$F:$F,))</f>
        <v>vo</v>
      </c>
      <c r="P334" s="1126">
        <v>5</v>
      </c>
      <c r="Q334" s="1095">
        <f t="shared" si="428"/>
        <v>63800.348339499695</v>
      </c>
      <c r="R334" s="1096">
        <f t="shared" si="429"/>
        <v>0.74099999999999999</v>
      </c>
      <c r="S334" s="1097">
        <f t="shared" si="430"/>
        <v>22167.01133558216</v>
      </c>
      <c r="T334" s="1098">
        <f t="shared" si="431"/>
        <v>1.1080000000000001</v>
      </c>
      <c r="U334" s="1099">
        <f t="shared" si="432"/>
        <v>-11.760856323057142</v>
      </c>
      <c r="V334" s="1100">
        <f t="shared" si="433"/>
        <v>63554.527937548504</v>
      </c>
      <c r="W334" s="1101">
        <f t="shared" si="434"/>
        <v>6004.2134697171141</v>
      </c>
      <c r="X334" s="1096">
        <f t="shared" si="435"/>
        <v>6.9000000000000006E-2</v>
      </c>
      <c r="Y334" s="1097">
        <f t="shared" si="436"/>
        <v>1058.8480482905152</v>
      </c>
      <c r="Z334" s="1102">
        <f t="shared" si="437"/>
        <v>13.239143676942858</v>
      </c>
      <c r="AA334" s="1103">
        <f t="shared" si="438"/>
        <v>7063.0615180076293</v>
      </c>
      <c r="AB334" s="1101">
        <f t="shared" si="439"/>
        <v>7500.7054523082315</v>
      </c>
      <c r="AC334" s="1104">
        <f t="shared" si="440"/>
        <v>8.6999999999999994E-2</v>
      </c>
      <c r="AD334" s="1105">
        <f t="shared" si="441"/>
        <v>0</v>
      </c>
      <c r="AE334" s="1128">
        <f t="shared" si="442"/>
        <v>0</v>
      </c>
      <c r="AF334" s="1130">
        <f t="shared" si="443"/>
        <v>0</v>
      </c>
      <c r="AG334" s="420">
        <f t="shared" si="444"/>
        <v>0</v>
      </c>
      <c r="AH334" s="420">
        <f t="shared" si="445"/>
        <v>0</v>
      </c>
      <c r="AI334" s="1097">
        <f t="shared" si="446"/>
        <v>0</v>
      </c>
      <c r="AJ334" s="420">
        <f t="shared" si="447"/>
        <v>0</v>
      </c>
      <c r="AK334" s="518">
        <f t="shared" si="448"/>
        <v>0</v>
      </c>
      <c r="AL334" s="1106">
        <f>IF($P334="","N/A",(IF($P334=-1,INDEX('卡片raw data'!S:S,MATCH($D334,'卡片raw data'!$F:$F,)),0)+IF($P334=0,INDEX('卡片raw data'!V:V,MATCH($D334,'卡片raw data'!$F:$F,)),0)+IF($P334=1,INDEX('卡片raw data'!Y:Y,MATCH($D334,'卡片raw data'!$F:$F,)),0)+IF($P334=2,INDEX('卡片raw data'!AB:AB,MATCH($D334,'卡片raw data'!$F:$F,)),0)+IF($P334=3,INDEX('卡片raw data'!AE:AE,MATCH($D334,'卡片raw data'!$F:$F,)),0)+IF($P334=4,INDEX('卡片raw data'!AH:AH,MATCH($D334,'卡片raw data'!$F:$F,)),0)+IF($P334=5,INDEX('卡片raw data'!AK:AK,MATCH($D334,'卡片raw data'!$F:$F,)),0)+INDEX('卡片raw data'!S:S,MATCH($D334,'卡片raw data'!$F:$F,))*(IF($F334="UR",0.04,0.033))*(IF($F334="UR",INDEX(绊状态确认!$S:$S,MATCH($G334,绊状态确认!$B:$B,))/2-40)+IF($F334="SR",INDEX(绊状态确认!$R:$R,MATCH($G334,绊状态确认!$B:$B,))/4-15))+IF($F334="R",INDEX(绊状态确认!$Q:$Q,MATCH($G334,绊状态确认!$B:$B,))/6-40/6)))*(INDEX(绊状态确认!$H:$H,MATCH($G334,绊状态确认!$B:$B,))+INDEX(绊状态确认!J:J,MATCH($G334,绊状态确认!$B:$B,)))</f>
        <v>14481.190655999999</v>
      </c>
      <c r="AM334" s="1106">
        <f>IF($P334="","N/A",(IF($P334=-1,INDEX('卡片raw data'!T:T,MATCH($D334,'卡片raw data'!$F:$F,)),0)+IF($P334=0,INDEX('卡片raw data'!W:W,MATCH($D334,'卡片raw data'!$F:$F,)),0)+IF($P334=1,INDEX('卡片raw data'!Z:Z,MATCH($D334,'卡片raw data'!$F:$F,)),0)+IF($P334=2,INDEX('卡片raw data'!AC:AC,MATCH($D334,'卡片raw data'!$F:$F,)),0)+IF($P334=3,INDEX('卡片raw data'!AF:AF,MATCH($D334,'卡片raw data'!$F:$F,)),0)+IF($P334=4,INDEX('卡片raw data'!AI:AI,MATCH($D334,'卡片raw data'!$F:$F,)),0)+IF($P334=5,INDEX('卡片raw data'!AL:AL,MATCH($D334,'卡片raw data'!$F:$F,)),0)+INDEX('卡片raw data'!T:T,MATCH($D334,'卡片raw data'!$F:$F,))*(IF($F334="UR",0.04,0.033))*(IF($F334="UR",INDEX(绊状态确认!$S:$S,MATCH($G334,绊状态确认!$B:$B,))/2-40)+IF($F334="SR",INDEX(绊状态确认!$R:$R,MATCH($G334,绊状态确认!$B:$B,))/4-15))+IF($F334="R",INDEX(绊状态确认!$Q:$Q,MATCH($G334,绊状态确认!$B:$B,))/6-40/6)))*(INDEX(绊状态确认!$H:$H,MATCH($G334,绊状态确认!$B:$B,))+INDEX(绊状态确认!K:K,MATCH($G334,绊状态确认!$B:$B,)))</f>
        <v>7071.453551999999</v>
      </c>
      <c r="AN334" s="1106">
        <f>IF($P334="","N/A",(IF($P334=-1,INDEX('卡片raw data'!U:U,MATCH($D334,'卡片raw data'!$F:$F,)),0)+IF($P334=0,INDEX('卡片raw data'!X:X,MATCH($D334,'卡片raw data'!$F:$F,)),0)+IF($P334=1,INDEX('卡片raw data'!AA:AA,MATCH($D334,'卡片raw data'!$F:$F,)),0)+IF($P334=2,INDEX('卡片raw data'!AD:AD,MATCH($D334,'卡片raw data'!$F:$F,)),0)+IF($P334=3,INDEX('卡片raw data'!AG:AG,MATCH($D334,'卡片raw data'!$F:$F,)),0)+IF($P334=4,INDEX('卡片raw data'!AJ:AJ,MATCH($D334,'卡片raw data'!$F:$F,)),0)+IF($P334=5,INDEX('卡片raw data'!AM:AM,MATCH($D334,'卡片raw data'!$F:$F,)),0)+INDEX('卡片raw data'!U:U,MATCH($D334,'卡片raw data'!$F:$F,))*(IF($F334="UR",0.04,0.033))*(IF($F334="UR",INDEX(绊状态确认!$S:$S,MATCH($G334,绊状态确认!$B:$B,))/2-40)+IF($F334="SR",INDEX(绊状态确认!$R:$R,MATCH($G334,绊状态确认!$B:$B,))/4-15))+IF($F334="R",INDEX(绊状态确认!$Q:$Q,MATCH($G334,绊状态确认!$B:$B,))/6-40/6)))*(INDEX(绊状态确认!$H:$H,MATCH($G334,绊状态确认!$B:$B,))+INDEX(绊状态确认!L:L,MATCH($G334,绊状态确认!$B:$B,)))</f>
        <v>12125.61528</v>
      </c>
      <c r="AO334" s="1107">
        <f t="shared" si="449"/>
        <v>1</v>
      </c>
      <c r="AP334" s="1131">
        <f>1+(INDEX(绊状态确认!$T:$T,MATCH($G334,绊状态确认!$B:$B,))+0.2)*$AO334</f>
        <v>1.3</v>
      </c>
      <c r="AQ334" s="1108">
        <f t="shared" si="450"/>
        <v>41263.125471999992</v>
      </c>
      <c r="AR334" s="1097">
        <f>(AM334*(1+$EX$9)+$EX$35)*(1+(INDEX(绊状态确认!$T:$T,MATCH($G334,绊状态确认!$B:$B,))+0.2)*AO334)*IF(J334=$FF$17,1+$FE$17,1)*IF(I334=$FF$14,1+$FE$14,1)</f>
        <v>12356.53409848</v>
      </c>
      <c r="AS334" s="1097">
        <f>(AN334*(1+$EX$10)+$EX$36)*(1+(INDEX(绊状态确认!$T:$T,MATCH($G334,绊状态确认!$B:$B,))+0.2)*AO334)*IF(J334=$FF$17,1+$FE$17,1)*IF(I334=$FF$14,1+$FE$14,1)</f>
        <v>22183.794843600001</v>
      </c>
      <c r="AT334" s="1093">
        <f>IF(AND(INDEX('卡片raw data'!AK:AK,MATCH($D334,'卡片raw data'!$F:$F,))&lt;INDEX('卡片raw data'!AM:AM,MATCH($D334,'卡片raw data'!$F:$F,)),INDEX('卡片raw data'!AL:AL,MATCH($D334,'卡片raw data'!$F:$F,))&lt;INDEX('卡片raw data'!AM:AM,MATCH($D334,'卡片raw data'!$F:$F,))),1,0)</f>
        <v>0</v>
      </c>
      <c r="AU334" s="1098">
        <f>MIN(AT334*0.15+AS334*0.00003+INDEX(绊状态确认!M:M,MATCH($G334,绊状态确认!$B:$B,)),1)</f>
        <v>0.69551384530800009</v>
      </c>
      <c r="AV334" s="1109">
        <f>(INDEX(绊状态确认!$N:$N,MATCH($G334,绊状态确认!$B:$B,))+1.5)*$EW$21</f>
        <v>2.6599999999999997</v>
      </c>
      <c r="AW334" s="1101">
        <f t="shared" si="451"/>
        <v>46171.78479385122</v>
      </c>
      <c r="AX334" s="1097">
        <f t="shared" si="452"/>
        <v>1058.848048290515</v>
      </c>
      <c r="AY334" s="1110">
        <f t="shared" si="453"/>
        <v>47230.632842141735</v>
      </c>
      <c r="AZ334" s="429">
        <f t="shared" si="454"/>
        <v>30838.321779199996</v>
      </c>
      <c r="BA334" s="431">
        <f t="shared" si="455"/>
        <v>37005.986135039995</v>
      </c>
      <c r="BB334" s="1097">
        <f>(AM334*(1+$FB$9)+$FB$35)*(1+(INDEX(绊状态确认!$T:$T,MATCH($G334,绊状态确认!$B:$B,))+0.2)*AO334)*IF(J334=$FF$17,1+$FE$17,1)*IF(I334=$FF$14,1+$FE$14,1)*(1+$FE$15)</f>
        <v>12356.53409848</v>
      </c>
      <c r="BC334" s="1097">
        <f>(AN334*(1+$FB$10)+$FB$36)*(1+(INDEX(绊状态确认!$T:$T,MATCH($G334,绊状态确认!$B:$B,))+0.2)*AO334)*IF(J334=$FF$17,1+$FE$17,1)*IF(I334=$FF$14,1+$FE$14,1)*(1+$FE$15)</f>
        <v>22183.794843600001</v>
      </c>
      <c r="BD334" s="1104">
        <f>MIN(AT334*0.15+BC334*0.00003+INDEX(绊状态确认!M:M,MATCH($G334,绊状态确认!$B:$B,)),1)</f>
        <v>0.69551384530800009</v>
      </c>
      <c r="BE334" s="432">
        <f>(INDEX(绊状态确认!$N:$N,MATCH($G334,绊状态确认!$B:$B,))+1.5)</f>
        <v>1.9</v>
      </c>
      <c r="BF334" s="1139">
        <f t="array" ref="BF334">SUMPRODUCT(IF(AZ334*AP334*$FI$16:$FI$23*$FA$22&gt;=$FI$24,$FI$24,AZ334*AP334*$FI$16:$FI$23*$FA$22),$FJ$16:$FJ$23)</f>
        <v>57247.603705868794</v>
      </c>
      <c r="BG334" s="1125">
        <f t="array" ref="BG334">SUMPRODUCT(IF(BE334*AZ334*AP334*$FI$16:$FI$23*$FA$22&gt;=$FI$24,$FI$24,BE334*AZ334*AP334*$FI$16:$FI$23*$FA$22),$FJ$16:$FJ$23)</f>
        <v>60000</v>
      </c>
      <c r="BH334" s="1110">
        <f t="shared" si="456"/>
        <v>19720.644478737158</v>
      </c>
      <c r="BI334" s="1111">
        <f>IF(O334="vo",$EW$26/$EW$24*0.05,0)+IF(O334="sk",-$EW$26/$EW$24*(0.05-INDEX(绊状态确认!W:W,MATCH($G334,绊状态确认!$B:$B,)))+0.05*$EW$28,0)+IF(O334="sp",0.05*$EW$32*$EW$30*(1-$EW$33)-(0.05-INDEX(绊状态确认!V:V,MATCH($G334,绊状态确认!$B:$B,)))*$EW$28,0)+IF(O334="gd",-(0.05-INDEX(绊状态确认!X:X,MATCH($G334,绊状态确认!$B:$B,)))*$EW$32*$EW$30*(1-$EW$33),0)</f>
        <v>7726.3029277443748</v>
      </c>
      <c r="BJ334" s="1097">
        <f>IF(O334="vo",0.05*(1-$FI$26)*$FA$24,0)+IF(O334="sk",-(0.05-INDEX(绊状态确认!W:W,MATCH($G334,绊状态确认!$B:$B,)))*(1-$FI$26)*$FA$24+0.05*$FA$26,0)+IF(O334="sp",0.05*$FA$32*$FA$27*(1-$FA$33)/$FA$30+0.05*$FA$29/$FA$69*$FA$27*(1-$FA$33)-(0.05-INDEX(绊状态确认!V:V,MATCH($G334,绊状态确认!$B:$B,)))*$FA$26,0)+IF(O334="gd",-(0.05-INDEX(绊状态确认!X:X,MATCH($G334,绊状态确认!$B:$B,)))*$FA$32*$FA$27*(1-$FA$33)/$FA$30-(0.05-INDEX(绊状态确认!X:X,MATCH($G334,绊状态确认!$B:$B,)))*$FA$29/$FA$69*$FA$27*(1-$FA$33),0)</f>
        <v>393.93433687500004</v>
      </c>
      <c r="BK334" s="1110">
        <f>IF(O334="vo",$EW$26/$EW$24*0.05+$EW$26*(-HP($EW$62,$EW$65,$EW$64)+HP($EW$62,$EW$65,(1.05-INDEX(绊状态确认!U:U,MATCH($G334,绊状态确认!$B:$B,)))*$EW$64)),0)+IF(O334="sk",-$EW$26/$EW$24*(0.05-INDEX(绊状态确认!W:W,MATCH($G334,绊状态确认!$B:$B,)))+0.05*$EW$29,0)+IF(O334="sp",0.05*$EW$32*$EW$30*(1-$EW$33)-(0.05-INDEX(绊状态确认!V:V,MATCH($G334,绊状态确认!$B:$B,)))*$EW$29,0)+IF(O334="gd",-(0.05-INDEX(绊状态确认!X:X,MATCH($G334,绊状态确认!$B:$B,)))*$EW$32*$EW$30*(1-$EW$33)+$EW$26*(-HP($EW$62,$EW$65,$EW$64)+HP($EW$62,$EW$65,0.95*$EW$64)),0)</f>
        <v>6421.6344775026746</v>
      </c>
      <c r="BL334" s="1111">
        <f t="shared" si="457"/>
        <v>0</v>
      </c>
      <c r="BM334" s="1110">
        <f t="shared" si="458"/>
        <v>0</v>
      </c>
      <c r="BN334" s="1113">
        <f t="shared" si="459"/>
        <v>3</v>
      </c>
      <c r="BO334" s="1108">
        <f t="shared" si="460"/>
        <v>4507.7214871259994</v>
      </c>
      <c r="BP334" s="1100">
        <f t="shared" si="461"/>
        <v>221.34103209030098</v>
      </c>
      <c r="BQ334" s="1113" t="s">
        <v>1530</v>
      </c>
      <c r="BR334" s="1124" t="s">
        <v>171</v>
      </c>
      <c r="BS334" s="1098">
        <f>IF($P334="","N/A",IF($P334=-1,INDEX('卡片raw data'!AX:AX,MATCH($D334,'卡片raw data'!$F:$F,)),0)+IF($L334="party卡",IF($P334=5,INDEX('卡片raw data'!BD:BD,MATCH($D334,'卡片raw data'!$F:$F,)),IF($P334&gt;=3,INDEX('卡片raw data'!BC:BC,MATCH($D334,'卡片raw data'!$F:$F,)),INDEX('卡片raw data'!BB:BB,MATCH($D334,'卡片raw data'!$F:$F,)))),IF(OR(AND($F334="UR",$P334=0),AND($F334="SR",$P334&gt;=0,$P334&lt;=2),AND($F334="R",$P334&gt;=0,$P334&lt;4)),INDEX('卡片raw data'!AZ:AZ,MATCH($D334,'卡片raw data'!$F:$F,)),0)+IF(OR(AND($F334="UR",$P334&gt;=1,$P334&lt;=4),AND($F334="SR",$P334&lt;=4,$P334&gt;=3),AND($F334="R",$P334=4)),INDEX('卡片raw data'!BA:BA,MATCH($D334,'卡片raw data'!$F:$F,)),0)+IF($P334=5,INDEX('卡片raw data'!BB:BB,MATCH($D334,'卡片raw data'!$F:$F,)),0)))</f>
        <v>5.1999999999999998E-2</v>
      </c>
      <c r="BT334" s="1101">
        <f t="shared" si="462"/>
        <v>2604.4613036728001</v>
      </c>
      <c r="BU334" s="1097">
        <f t="shared" si="463"/>
        <v>111.90018844565216</v>
      </c>
      <c r="BV334" s="1097">
        <f t="shared" si="464"/>
        <v>1302.2306518363998</v>
      </c>
      <c r="BW334" s="1112">
        <f t="shared" si="465"/>
        <v>0</v>
      </c>
      <c r="BX334" s="1100">
        <f t="shared" si="466"/>
        <v>2604.4613036728001</v>
      </c>
      <c r="BY334" s="1110">
        <f t="shared" si="467"/>
        <v>1302.2306518363998</v>
      </c>
      <c r="BZ334" s="1107" t="s">
        <v>569</v>
      </c>
      <c r="CA334" s="1124"/>
      <c r="CB334" s="1098">
        <f>IF($P334="","N/A",IF($P334=-1,INDEX('卡片raw data'!BE:BE,MATCH($D334,'卡片raw data'!$F:$F,)),0)+IF($L334="party卡",IF($P334=5,INDEX('卡片raw data'!BK:BK,MATCH($D334,'卡片raw data'!$F:$F,)),IF($P334&gt;=3,INDEX('卡片raw data'!BJ:BJ,MATCH($D334,'卡片raw data'!$F:$F,)),INDEX('卡片raw data'!BI:BI,MATCH($D334,'卡片raw data'!$F:$F,)))),IF(OR(AND($F334="UR",$P334=0),AND($F334="SR",$P334&gt;=0,$P334&lt;=2),AND($F334="R",$P334&gt;=0,$P334&lt;4)),INDEX('卡片raw data'!BG:BG,MATCH($D334,'卡片raw data'!$F:$F,)),0)+IF(OR(AND($F334="UR",$P334&gt;=1,$P334&lt;=4),AND($F334="SR",$P334&lt;=4,$P334&gt;=3),AND($F334="R",$P334=4)),INDEX('卡片raw data'!BH:BH,MATCH($D334,'卡片raw data'!$F:$F,)),0)+IF($P334=5,INDEX('卡片raw data'!BI:BI,MATCH($D334,'卡片raw data'!$F:$F,)),0)))</f>
        <v>0</v>
      </c>
      <c r="CC334" s="1101">
        <f t="shared" si="468"/>
        <v>0</v>
      </c>
      <c r="CD334" s="1097">
        <f>IF(BZ334="ap",CB334*(1-$FI$26)*$FB$5/$FB$11*(+IF(CA334="全员",$FA$24,0)+IF(CA334="同作战",$FA$24,0)+IF(CA334="仲间",$FA$24*2/3,0)+IF(CA334="同属性",$FA$24*$FA$37/3,0)+IF(CA334="同年级",$FA$24*$FA$40/3,0)+IF(CA334="同学校",$FA$24*$FA$43/3,0)+IF(CA334="同小队",$FA$24*$FA$46/3,0)+IF(CA334="同type",$FA$24*INDEX($FB$49:$FB$52,MATCH(X334,$FA$49:$FA$52,))/3,0)+IF(CA334="自身",#REF!/3,0)),0)+IF(BZ334="te",CB334*(1-$FI$27)*($FA$20-1)*$FB$7/$FB$13*(+IF(CA334="全员",$FA$19*$FA$24/(1+($FA$20-1)*$FA$19),0)+IF(CA334="同作战",$FA$19*$FA$24/(1+($FA$20-1)*$FA$19),0)+IF(CA334="仲间",$FA$19*$FA$24*2/3/(1+($FA$20-1)*$FA$19),0)+IF(CA334="同属性",$FA$19*$FA$24*$FA$37/3/(1+($FA$20-1)*$FA$19),0)+IF(CA334="同年级",$FA$19*$FA$24*$FA$40/3/(1+($FA$20-1)*$FA$19),0)+IF(CA334="同学校",$FA$19*$FA$24*$FA$43/3/(1+($FA$20-1)*$FA$19),0)+IF(CA334="同小队",$FA$19*$FA$24*$FA$46/3/(1+($FA$20-1)*$FA$19),0)+IF(CA334="同type",$FA$19*$FA$24*INDEX($FB$49:$FB$52,MATCH(X334,$FA$49:$FA$52,))/3/(1+($FA$20-1)*$FA$19),0)+IF(CA334="自身",$FA$19*#REF!/3/(1+(BH334-1)*$BD334),0)),0)</f>
        <v>0</v>
      </c>
      <c r="CE334" s="1097">
        <f t="shared" si="469"/>
        <v>0</v>
      </c>
      <c r="CF334" s="1112">
        <f t="shared" si="470"/>
        <v>0</v>
      </c>
      <c r="CG334" s="1100">
        <f t="shared" si="471"/>
        <v>0</v>
      </c>
      <c r="CH334" s="1110">
        <f t="shared" si="472"/>
        <v>0</v>
      </c>
      <c r="CI334" s="1113" t="s">
        <v>1533</v>
      </c>
      <c r="CJ334" s="1114">
        <v>1</v>
      </c>
      <c r="CK334" s="1115" t="s">
        <v>1531</v>
      </c>
      <c r="CL334" s="1115" t="s">
        <v>1532</v>
      </c>
      <c r="CM334" s="1119">
        <v>0.04</v>
      </c>
      <c r="CN334" s="1115">
        <v>5</v>
      </c>
      <c r="CO334" s="1092"/>
      <c r="CP334" s="1118">
        <f t="shared" si="473"/>
        <v>2.8571428571428571E-3</v>
      </c>
      <c r="CQ334" s="1118">
        <f t="shared" si="474"/>
        <v>3.8888888888888901E-3</v>
      </c>
      <c r="CR334" s="1118">
        <f t="shared" si="475"/>
        <v>1.4285714285714286E-3</v>
      </c>
      <c r="CS334" s="1118">
        <f t="shared" si="476"/>
        <v>0</v>
      </c>
      <c r="CT334" s="1109">
        <f t="shared" si="477"/>
        <v>0</v>
      </c>
      <c r="CU334" s="1101">
        <f t="shared" si="478"/>
        <v>388.52266150943143</v>
      </c>
      <c r="CV334" s="1108">
        <f t="shared" si="479"/>
        <v>25.53278109375001</v>
      </c>
      <c r="CW334" s="1097">
        <f t="shared" si="480"/>
        <v>194.26133075471571</v>
      </c>
      <c r="CX334" s="1097">
        <f t="shared" si="481"/>
        <v>388.52266150943143</v>
      </c>
      <c r="CY334" s="1110">
        <f t="shared" si="482"/>
        <v>194.26133075471571</v>
      </c>
      <c r="CZ334" s="437"/>
      <c r="DA334" s="438"/>
      <c r="DB334" s="439" t="s">
        <v>569</v>
      </c>
      <c r="DC334" s="439"/>
      <c r="DD334" s="443"/>
      <c r="DE334" s="411"/>
      <c r="DF334" s="411"/>
      <c r="DG334" s="1116">
        <f t="shared" si="483"/>
        <v>0</v>
      </c>
      <c r="DH334" s="1116">
        <f t="shared" si="484"/>
        <v>0</v>
      </c>
      <c r="DI334" s="1116">
        <f t="shared" si="485"/>
        <v>0</v>
      </c>
      <c r="DJ334" s="442">
        <f t="shared" si="486"/>
        <v>0</v>
      </c>
      <c r="DK334" s="1109">
        <f t="shared" si="487"/>
        <v>0</v>
      </c>
      <c r="DL334" s="1101">
        <f t="shared" si="488"/>
        <v>0</v>
      </c>
      <c r="DM334" s="1097">
        <f t="shared" si="489"/>
        <v>0</v>
      </c>
      <c r="DN334" s="1097">
        <f t="shared" si="490"/>
        <v>0</v>
      </c>
      <c r="DO334" s="1097">
        <f t="shared" si="491"/>
        <v>0</v>
      </c>
      <c r="DP334" s="1110">
        <f t="shared" si="492"/>
        <v>0</v>
      </c>
      <c r="DQ334" s="1113" t="s">
        <v>545</v>
      </c>
      <c r="DR334" s="1120">
        <f t="shared" si="493"/>
        <v>0.33</v>
      </c>
      <c r="DS334" s="1124"/>
      <c r="DT334" s="1093" t="s">
        <v>132</v>
      </c>
      <c r="DU334" s="1093"/>
      <c r="DV334" s="1098">
        <f>IF($P334="","N/A",IF(P334=-1,INDEX('卡片raw data'!AN:AN,MATCH(D334,'卡片raw data'!$F:$F,)),0)+IF(AND(L334&lt;&gt;"party卡",P334&lt;=2,P334&gt;=0),INDEX('卡片raw data'!AP:AP,MATCH(D334,'卡片raw data'!$F:$F,)),0)+IF(OR(AND(L334="party卡",P334&lt;=1),AND(P334&lt;=4,L334&lt;&gt;"party卡",P334&gt;=3)),INDEX('卡片raw data'!AQ:AQ,MATCH(D334,'卡片raw data'!$F:$F,)),0)+IF(OR(P334=5,AND(L334="party卡",P334&gt;=2)),INDEX('卡片raw data'!AR:AR,MATCH(D334,'卡片raw data'!$F:$F,)),0))</f>
        <v>0.37</v>
      </c>
      <c r="DW334" s="1098">
        <f t="shared" si="494"/>
        <v>0.33</v>
      </c>
      <c r="DX334" s="1098">
        <f t="shared" si="495"/>
        <v>0.33</v>
      </c>
      <c r="DY334" s="1097">
        <f t="shared" si="496"/>
        <v>2183.2319687235195</v>
      </c>
      <c r="DZ334" s="1097">
        <f t="shared" si="497"/>
        <v>1693.6585183402958</v>
      </c>
      <c r="EA334" s="1098">
        <f t="shared" si="498"/>
        <v>0</v>
      </c>
      <c r="EB334" s="1121">
        <f t="shared" si="499"/>
        <v>0</v>
      </c>
      <c r="EC334" s="1101">
        <f t="shared" si="500"/>
        <v>2401.5551655958716</v>
      </c>
      <c r="ED334" s="1097">
        <f t="shared" si="501"/>
        <v>1693.6585183402958</v>
      </c>
      <c r="EE334" s="1110">
        <f t="shared" si="502"/>
        <v>2401.5551655958716</v>
      </c>
      <c r="EF334" s="1115" t="s">
        <v>569</v>
      </c>
      <c r="EG334" s="1120">
        <f t="shared" si="503"/>
        <v>0.33</v>
      </c>
      <c r="EH334" s="1124"/>
      <c r="EI334" s="1093"/>
      <c r="EJ334" s="1093"/>
      <c r="EK334" s="1097">
        <f>IF($P334="","N/A",IF(P334=-1,INDEX('卡片raw data'!AS:AS,MATCH(D334,'卡片raw data'!$F:$F,)),0)+IF(AND(L334&lt;&gt;"party卡",P334&lt;=2,P334&gt;=0),INDEX('卡片raw data'!AU:AU,MATCH(D334,'卡片raw data'!$F:$F,)),0)+IF(OR(AND(L334="party卡",P334&lt;=1),AND(P334&lt;=4,L334&lt;&gt;"party卡",P334&gt;=3)),INDEX('卡片raw data'!AV:AV,MATCH(D334,'卡片raw data'!$F:$F,)),0)+IF(OR(P334=5,AND(L334="party卡",P334&gt;=2)),INDEX('卡片raw data'!AW:AW,MATCH(D334,'卡片raw data'!$F:$F,)),0))</f>
        <v>0</v>
      </c>
      <c r="EL334" s="1098">
        <f t="shared" si="504"/>
        <v>0.33</v>
      </c>
      <c r="EM334" s="1098">
        <f t="shared" si="505"/>
        <v>0.33</v>
      </c>
      <c r="EN334" s="1097">
        <f t="shared" si="506"/>
        <v>0</v>
      </c>
      <c r="EO334" s="1125">
        <f t="shared" si="507"/>
        <v>0</v>
      </c>
      <c r="EP334" s="1098">
        <f t="shared" si="508"/>
        <v>0</v>
      </c>
      <c r="EQ334" s="1121">
        <f t="shared" si="509"/>
        <v>0</v>
      </c>
      <c r="ER334" s="1101">
        <f t="shared" si="510"/>
        <v>0</v>
      </c>
      <c r="ES334" s="1097">
        <f t="shared" si="511"/>
        <v>0</v>
      </c>
      <c r="ET334" s="1122">
        <f t="shared" si="512"/>
        <v>0</v>
      </c>
    </row>
    <row r="335" spans="2:150" ht="16.5" customHeight="1">
      <c r="B335" s="1123" t="str">
        <f>INDEX('卡片raw data'!B:B,MATCH($D335,'卡片raw data'!$F:$F,))</f>
        <v>三专彼</v>
      </c>
      <c r="C335" s="449" t="s">
        <v>1540</v>
      </c>
      <c r="D335" s="408">
        <v>332</v>
      </c>
      <c r="E335" s="1090">
        <v>402062003</v>
      </c>
      <c r="F335" s="1090" t="str">
        <f>INDEX('卡片raw data'!C:C,MATCH($D335,'卡片raw data'!$F:$F,))</f>
        <v>SR</v>
      </c>
      <c r="G335" s="1094" t="s">
        <v>1541</v>
      </c>
      <c r="H335" s="411">
        <f>IFERROR(INDEX(绊状态确认!C:C,MATCH($G335,绊状态确认!$B:$B,)),"")</f>
        <v>206</v>
      </c>
      <c r="I335" s="450" t="str">
        <f>IFERROR(INDEX(绊状态确认!D:D,MATCH($G335,绊状态确认!$B:$B,)),"")</f>
        <v>虹</v>
      </c>
      <c r="J335" s="450" t="str">
        <f>IFERROR(INDEX(绊状态确认!E:E,MATCH($G335,绊状态确认!$B:$B,)),"")</f>
        <v>3年级</v>
      </c>
      <c r="K335" s="451" t="str">
        <f>IFERROR(INDEX(绊状态确认!F:F,MATCH($G335,绊状态确认!$B:$B,)),"")</f>
        <v>QU4RTZ</v>
      </c>
      <c r="L335" s="1094" t="str">
        <f>INDEX('卡片raw data'!E:E,MATCH($D335,'卡片raw data'!$F:$F,))</f>
        <v>卡池卡</v>
      </c>
      <c r="M335" s="415">
        <v>44123</v>
      </c>
      <c r="N335" s="416">
        <v>26</v>
      </c>
      <c r="O335" s="1091" t="str">
        <f>INDEX('卡片raw data'!D:D,MATCH($D335,'卡片raw data'!$F:$F,))</f>
        <v>gd</v>
      </c>
      <c r="P335" s="1126">
        <v>5</v>
      </c>
      <c r="Q335" s="1095">
        <f t="shared" si="428"/>
        <v>20536.880434704322</v>
      </c>
      <c r="R335" s="1096">
        <f t="shared" si="429"/>
        <v>0.23799999999999999</v>
      </c>
      <c r="S335" s="1097">
        <f t="shared" si="430"/>
        <v>12033.077000727784</v>
      </c>
      <c r="T335" s="1098">
        <f t="shared" si="431"/>
        <v>0.60099999999999998</v>
      </c>
      <c r="U335" s="1099">
        <f t="shared" si="432"/>
        <v>83.801850173526006</v>
      </c>
      <c r="V335" s="1100">
        <f t="shared" si="433"/>
        <v>28779.153089342897</v>
      </c>
      <c r="W335" s="1101">
        <f t="shared" si="434"/>
        <v>4507.7214871259994</v>
      </c>
      <c r="X335" s="1096">
        <f t="shared" si="435"/>
        <v>5.1999999999999998E-2</v>
      </c>
      <c r="Y335" s="1097">
        <f t="shared" si="436"/>
        <v>1836.0495875800752</v>
      </c>
      <c r="Z335" s="1102">
        <f t="shared" si="437"/>
        <v>23.051850173525999</v>
      </c>
      <c r="AA335" s="1103">
        <f t="shared" si="438"/>
        <v>6343.7710747060746</v>
      </c>
      <c r="AB335" s="1101">
        <f t="shared" si="439"/>
        <v>4507.7214871259994</v>
      </c>
      <c r="AC335" s="1104">
        <f t="shared" si="440"/>
        <v>5.1999999999999998E-2</v>
      </c>
      <c r="AD335" s="1105">
        <f t="shared" si="441"/>
        <v>-3.8207812500000026E-3</v>
      </c>
      <c r="AE335" s="1128">
        <f t="shared" si="442"/>
        <v>-18.525362318840578</v>
      </c>
      <c r="AF335" s="1130">
        <f t="shared" si="443"/>
        <v>0</v>
      </c>
      <c r="AG335" s="420">
        <f t="shared" si="444"/>
        <v>0</v>
      </c>
      <c r="AH335" s="420">
        <f t="shared" si="445"/>
        <v>0</v>
      </c>
      <c r="AI335" s="1097">
        <f t="shared" si="446"/>
        <v>0</v>
      </c>
      <c r="AJ335" s="420">
        <f t="shared" si="447"/>
        <v>0</v>
      </c>
      <c r="AK335" s="518">
        <f t="shared" si="448"/>
        <v>0</v>
      </c>
      <c r="AL335" s="1106">
        <f>IF($P335="","N/A",(IF($P335=-1,INDEX('卡片raw data'!S:S,MATCH($D335,'卡片raw data'!$F:$F,)),0)+IF($P335=0,INDEX('卡片raw data'!V:V,MATCH($D335,'卡片raw data'!$F:$F,)),0)+IF($P335=1,INDEX('卡片raw data'!Y:Y,MATCH($D335,'卡片raw data'!$F:$F,)),0)+IF($P335=2,INDEX('卡片raw data'!AB:AB,MATCH($D335,'卡片raw data'!$F:$F,)),0)+IF($P335=3,INDEX('卡片raw data'!AE:AE,MATCH($D335,'卡片raw data'!$F:$F,)),0)+IF($P335=4,INDEX('卡片raw data'!AH:AH,MATCH($D335,'卡片raw data'!$F:$F,)),0)+IF($P335=5,INDEX('卡片raw data'!AK:AK,MATCH($D335,'卡片raw data'!$F:$F,)),0)+INDEX('卡片raw data'!S:S,MATCH($D335,'卡片raw data'!$F:$F,))*(IF($F335="UR",0.04,0.033))*(IF($F335="UR",INDEX(绊状态确认!$S:$S,MATCH($G335,绊状态确认!$B:$B,))/2-40)+IF($F335="SR",INDEX(绊状态确认!$R:$R,MATCH($G335,绊状态确认!$B:$B,))/4-15))+IF($F335="R",INDEX(绊状态确认!$Q:$Q,MATCH($G335,绊状态确认!$B:$B,))/6-40/6)))*(INDEX(绊状态确认!$H:$H,MATCH($G335,绊状态确认!$B:$B,))+INDEX(绊状态确认!J:J,MATCH($G335,绊状态确认!$B:$B,)))</f>
        <v>6203.5507799999987</v>
      </c>
      <c r="AM335" s="1106">
        <f>IF($P335="","N/A",(IF($P335=-1,INDEX('卡片raw data'!T:T,MATCH($D335,'卡片raw data'!$F:$F,)),0)+IF($P335=0,INDEX('卡片raw data'!W:W,MATCH($D335,'卡片raw data'!$F:$F,)),0)+IF($P335=1,INDEX('卡片raw data'!Z:Z,MATCH($D335,'卡片raw data'!$F:$F,)),0)+IF($P335=2,INDEX('卡片raw data'!AC:AC,MATCH($D335,'卡片raw data'!$F:$F,)),0)+IF($P335=3,INDEX('卡片raw data'!AF:AF,MATCH($D335,'卡片raw data'!$F:$F,)),0)+IF($P335=4,INDEX('卡片raw data'!AI:AI,MATCH($D335,'卡片raw data'!$F:$F,)),0)+IF($P335=5,INDEX('卡片raw data'!AL:AL,MATCH($D335,'卡片raw data'!$F:$F,)),0)+INDEX('卡片raw data'!T:T,MATCH($D335,'卡片raw data'!$F:$F,))*(IF($F335="UR",0.04,0.033))*(IF($F335="UR",INDEX(绊状态确认!$S:$S,MATCH($G335,绊状态确认!$B:$B,))/2-40)+IF($F335="SR",INDEX(绊状态确认!$R:$R,MATCH($G335,绊状态确认!$B:$B,))/4-15))+IF($F335="R",INDEX(绊状态确认!$Q:$Q,MATCH($G335,绊状态确认!$B:$B,))/6-40/6)))*(INDEX(绊状态确认!$H:$H,MATCH($G335,绊状态确认!$B:$B,))+INDEX(绊状态确认!K:K,MATCH($G335,绊状态确认!$B:$B,)))</f>
        <v>7857.8309879999988</v>
      </c>
      <c r="AN335" s="1106">
        <f>IF($P335="","N/A",(IF($P335=-1,INDEX('卡片raw data'!U:U,MATCH($D335,'卡片raw data'!$F:$F,)),0)+IF($P335=0,INDEX('卡片raw data'!X:X,MATCH($D335,'卡片raw data'!$F:$F,)),0)+IF($P335=1,INDEX('卡片raw data'!AA:AA,MATCH($D335,'卡片raw data'!$F:$F,)),0)+IF($P335=2,INDEX('卡片raw data'!AD:AD,MATCH($D335,'卡片raw data'!$F:$F,)),0)+IF($P335=3,INDEX('卡片raw data'!AG:AG,MATCH($D335,'卡片raw data'!$F:$F,)),0)+IF($P335=4,INDEX('卡片raw data'!AJ:AJ,MATCH($D335,'卡片raw data'!$F:$F,)),0)+IF($P335=5,INDEX('卡片raw data'!AM:AM,MATCH($D335,'卡片raw data'!$F:$F,)),0)+INDEX('卡片raw data'!U:U,MATCH($D335,'卡片raw data'!$F:$F,))*(IF($F335="UR",0.04,0.033))*(IF($F335="UR",INDEX(绊状态确认!$S:$S,MATCH($G335,绊状态确认!$B:$B,))/2-40)+IF($F335="SR",INDEX(绊状态确认!$R:$R,MATCH($G335,绊状态确认!$B:$B,))/4-15))+IF($F335="R",INDEX(绊状态确认!$Q:$Q,MATCH($G335,绊状态确认!$B:$B,))/6-40/6)))*(INDEX(绊状态确认!$H:$H,MATCH($G335,绊状态确认!$B:$B,))+INDEX(绊状态确认!L:L,MATCH($G335,绊状态确认!$B:$B,)))</f>
        <v>6617.1208319999996</v>
      </c>
      <c r="AO335" s="1107">
        <f t="shared" si="449"/>
        <v>1</v>
      </c>
      <c r="AP335" s="1131">
        <f>1+(INDEX(绊状态确认!$T:$T,MATCH($G335,绊状态确认!$B:$B,))+0.2)*$AO335</f>
        <v>1.3</v>
      </c>
      <c r="AQ335" s="1108">
        <f t="shared" si="450"/>
        <v>19534.320797499997</v>
      </c>
      <c r="AR335" s="1097">
        <f>(AM335*(1+$EX$9)+$EX$35)*(1+(INDEX(绊状态确认!$T:$T,MATCH($G335,绊状态确认!$B:$B,))+0.2)*AO335)*IF(J335=$FF$17,1+$FE$17,1)*IF(I335=$FF$14,1+$FE$14,1)</f>
        <v>13429.93929862</v>
      </c>
      <c r="AS335" s="1097">
        <f>(AN335*(1+$EX$10)+$EX$36)*(1+(INDEX(绊状态确认!$T:$T,MATCH($G335,绊状态确认!$B:$B,))+0.2)*AO335)*IF(J335=$FF$17,1+$FE$17,1)*IF(I335=$FF$14,1+$FE$14,1)</f>
        <v>13948.595643839999</v>
      </c>
      <c r="AT335" s="1093">
        <f>IF(AND(INDEX('卡片raw data'!AK:AK,MATCH($D335,'卡片raw data'!$F:$F,))&lt;INDEX('卡片raw data'!AM:AM,MATCH($D335,'卡片raw data'!$F:$F,)),INDEX('卡片raw data'!AL:AL,MATCH($D335,'卡片raw data'!$F:$F,))&lt;INDEX('卡片raw data'!AM:AM,MATCH($D335,'卡片raw data'!$F:$F,))),1,0)</f>
        <v>0</v>
      </c>
      <c r="AU335" s="1098">
        <f>MIN(AT335*0.15+AS335*0.00003+INDEX(绊状态确认!M:M,MATCH($G335,绊状态确认!$B:$B,)),1)</f>
        <v>0.44845786931519999</v>
      </c>
      <c r="AV335" s="1109">
        <f>(INDEX(绊状态确认!$N:$N,MATCH($G335,绊状态确认!$B:$B,))+1.5)*$EW$21</f>
        <v>2.6599999999999997</v>
      </c>
      <c r="AW335" s="1101">
        <f t="shared" si="451"/>
        <v>17697.492280911654</v>
      </c>
      <c r="AX335" s="1097">
        <f t="shared" si="452"/>
        <v>1153.5551070553838</v>
      </c>
      <c r="AY335" s="1110">
        <f t="shared" si="453"/>
        <v>18851.047387967039</v>
      </c>
      <c r="AZ335" s="429">
        <f t="shared" si="454"/>
        <v>14696.924020999997</v>
      </c>
      <c r="BA335" s="431">
        <f t="shared" si="455"/>
        <v>17636.308825199994</v>
      </c>
      <c r="BB335" s="1097">
        <f>(AM335*(1+$FB$9)+$FB$35)*(1+(INDEX(绊状态确认!$T:$T,MATCH($G335,绊状态确认!$B:$B,))+0.2)*AO335)*IF(J335=$FF$17,1+$FE$17,1)*IF(I335=$FF$14,1+$FE$14,1)*(1+$FE$15)</f>
        <v>13429.93929862</v>
      </c>
      <c r="BC335" s="1097">
        <f>(AN335*(1+$FB$10)+$FB$36)*(1+(INDEX(绊状态确认!$T:$T,MATCH($G335,绊状态确认!$B:$B,))+0.2)*AO335)*IF(J335=$FF$17,1+$FE$17,1)*IF(I335=$FF$14,1+$FE$14,1)*(1+$FE$15)</f>
        <v>13948.595643839999</v>
      </c>
      <c r="BD335" s="1104">
        <f>MIN(AT335*0.15+BC335*0.00003+INDEX(绊状态确认!M:M,MATCH($G335,绊状态确认!$B:$B,)),1)</f>
        <v>0.44845786931519999</v>
      </c>
      <c r="BE335" s="432">
        <f>(INDEX(绊状态确认!$N:$N,MATCH($G335,绊状态确认!$B:$B,))+1.5)</f>
        <v>1.9</v>
      </c>
      <c r="BF335" s="1139">
        <f t="array" ref="BF335">SUMPRODUCT(IF(AZ335*AP335*$FI$16:$FI$23*$FA$22&gt;=$FI$24,$FI$24,AZ335*AP335*$FI$16:$FI$23*$FA$22),$FJ$16:$FJ$23)</f>
        <v>29232.181877768991</v>
      </c>
      <c r="BG335" s="1125">
        <f t="array" ref="BG335">SUMPRODUCT(IF(BE335*AZ335*AP335*$FI$16:$FI$23*$FA$22&gt;=$FI$24,$FI$24,BE335*AZ335*AP335*$FI$16:$FI$23*$FA$22),$FJ$16:$FJ$23)</f>
        <v>53938.388308551293</v>
      </c>
      <c r="BH335" s="1110">
        <f t="shared" si="456"/>
        <v>13437.291524193039</v>
      </c>
      <c r="BI335" s="1111">
        <f>IF(O335="vo",$EW$26/$EW$24*0.05,0)+IF(O335="sk",-$EW$26/$EW$24*(0.05-INDEX(绊状态确认!W:W,MATCH($G335,绊状态确认!$B:$B,)))+0.05*$EW$28,0)+IF(O335="sp",0.05*$EW$32*$EW$30*(1-$EW$33)-(0.05-INDEX(绊状态确认!V:V,MATCH($G335,绊状态确认!$B:$B,)))*$EW$28,0)+IF(O335="gd",-(0.05-INDEX(绊状态确认!X:X,MATCH($G335,绊状态确认!$B:$B,)))*$EW$32*$EW$30*(1-$EW$33),0)</f>
        <v>-585.00000000000011</v>
      </c>
      <c r="BJ335" s="1097">
        <f>IF(O335="vo",0.05*(1-$FI$26)*$FA$24,0)+IF(O335="sk",-(0.05-INDEX(绊状态确认!W:W,MATCH($G335,绊状态确认!$B:$B,)))*(1-$FI$26)*$FA$24+0.05*$FA$26,0)+IF(O335="sp",0.05*$FA$32*$FA$27*(1-$FA$33)/$FA$30+0.05*$FA$29/$FA$69*$FA$27*(1-$FA$33)-(0.05-INDEX(绊状态确认!V:V,MATCH($G335,绊状态确认!$B:$B,)))*$FA$26,0)+IF(O335="gd",-(0.05-INDEX(绊状态确认!X:X,MATCH($G335,绊状态确认!$B:$B,)))*$FA$32*$FA$27*(1-$FA$33)/$FA$30-(0.05-INDEX(绊状态确认!X:X,MATCH($G335,绊状态确认!$B:$B,)))*$FA$29/$FA$69*$FA$27*(1-$FA$33),0)</f>
        <v>-795.00000000000011</v>
      </c>
      <c r="BK335" s="1110">
        <f>IF(O335="vo",$EW$26/$EW$24*0.05+$EW$26*(-HP($EW$62,$EW$65,$EW$64)+HP($EW$62,$EW$65,(1.05-INDEX(绊状态确认!U:U,MATCH($G335,绊状态确认!$B:$B,)))*$EW$64)),0)+IF(O335="sk",-$EW$26/$EW$24*(0.05-INDEX(绊状态确认!W:W,MATCH($G335,绊状态确认!$B:$B,)))+0.05*$EW$29,0)+IF(O335="sp",0.05*$EW$32*$EW$30*(1-$EW$33)-(0.05-INDEX(绊状态确认!V:V,MATCH($G335,绊状态确认!$B:$B,)))*$EW$29,0)+IF(O335="gd",-(0.05-INDEX(绊状态确认!X:X,MATCH($G335,绊状态确认!$B:$B,)))*$EW$32*$EW$30*(1-$EW$33)+$EW$26*(-HP($EW$62,$EW$65,$EW$64)+HP($EW$62,$EW$65,0.95*$EW$64)),0)</f>
        <v>1009.5947725176144</v>
      </c>
      <c r="BL335" s="1111">
        <f t="shared" si="457"/>
        <v>-1083.3333333333333</v>
      </c>
      <c r="BM335" s="1110">
        <f t="shared" si="458"/>
        <v>-830.55555555555543</v>
      </c>
      <c r="BN335" s="1113">
        <f t="shared" si="459"/>
        <v>3</v>
      </c>
      <c r="BO335" s="1108">
        <f t="shared" si="460"/>
        <v>4507.7214871259994</v>
      </c>
      <c r="BP335" s="1100">
        <f t="shared" si="461"/>
        <v>221.34103209030098</v>
      </c>
      <c r="BQ335" s="1113" t="s">
        <v>133</v>
      </c>
      <c r="BR335" s="1124" t="s">
        <v>168</v>
      </c>
      <c r="BS335" s="1098">
        <f>IF($P335="","N/A",IF($P335=-1,INDEX('卡片raw data'!AX:AX,MATCH($D335,'卡片raw data'!$F:$F,)),0)+IF($L335="party卡",IF($P335=5,INDEX('卡片raw data'!BD:BD,MATCH($D335,'卡片raw data'!$F:$F,)),IF($P335&gt;=3,INDEX('卡片raw data'!BC:BC,MATCH($D335,'卡片raw data'!$F:$F,)),INDEX('卡片raw data'!BB:BB,MATCH($D335,'卡片raw data'!$F:$F,)))),IF(OR(AND($F335="UR",$P335=0),AND($F335="SR",$P335&gt;=0,$P335&lt;=2),AND($F335="R",$P335&gt;=0,$P335&lt;4)),INDEX('卡片raw data'!AZ:AZ,MATCH($D335,'卡片raw data'!$F:$F,)),0)+IF(OR(AND($F335="UR",$P335&gt;=1,$P335&lt;=4),AND($F335="SR",$P335&lt;=4,$P335&gt;=3),AND($F335="R",$P335=4)),INDEX('卡片raw data'!BA:BA,MATCH($D335,'卡片raw data'!$F:$F,)),0)+IF($P335=5,INDEX('卡片raw data'!BB:BB,MATCH($D335,'卡片raw data'!$F:$F,)),0)))</f>
        <v>0.05</v>
      </c>
      <c r="BT335" s="1101">
        <f t="shared" si="462"/>
        <v>0</v>
      </c>
      <c r="BU335" s="1097">
        <f t="shared" si="463"/>
        <v>0</v>
      </c>
      <c r="BV335" s="1097">
        <f t="shared" si="464"/>
        <v>0</v>
      </c>
      <c r="BW335" s="1112">
        <f t="shared" si="465"/>
        <v>1.7558035714285711</v>
      </c>
      <c r="BX335" s="1100">
        <f t="shared" si="466"/>
        <v>137.19019421334193</v>
      </c>
      <c r="BY335" s="1110">
        <f t="shared" si="467"/>
        <v>137.19019421334193</v>
      </c>
      <c r="BZ335" s="1107" t="s">
        <v>569</v>
      </c>
      <c r="CA335" s="1124"/>
      <c r="CB335" s="1098">
        <f>IF($P335="","N/A",IF($P335=-1,INDEX('卡片raw data'!BE:BE,MATCH($D335,'卡片raw data'!$F:$F,)),0)+IF($L335="party卡",IF($P335=5,INDEX('卡片raw data'!BK:BK,MATCH($D335,'卡片raw data'!$F:$F,)),IF($P335&gt;=3,INDEX('卡片raw data'!BJ:BJ,MATCH($D335,'卡片raw data'!$F:$F,)),INDEX('卡片raw data'!BI:BI,MATCH($D335,'卡片raw data'!$F:$F,)))),IF(OR(AND($F335="UR",$P335=0),AND($F335="SR",$P335&gt;=0,$P335&lt;=2),AND($F335="R",$P335&gt;=0,$P335&lt;4)),INDEX('卡片raw data'!BG:BG,MATCH($D335,'卡片raw data'!$F:$F,)),0)+IF(OR(AND($F335="UR",$P335&gt;=1,$P335&lt;=4),AND($F335="SR",$P335&lt;=4,$P335&gt;=3),AND($F335="R",$P335=4)),INDEX('卡片raw data'!BH:BH,MATCH($D335,'卡片raw data'!$F:$F,)),0)+IF($P335=5,INDEX('卡片raw data'!BI:BI,MATCH($D335,'卡片raw data'!$F:$F,)),0)))</f>
        <v>0</v>
      </c>
      <c r="CC335" s="1101">
        <f t="shared" si="468"/>
        <v>0</v>
      </c>
      <c r="CD335" s="1097">
        <f>IF(BZ335="ap",CB335*(1-$FI$26)*$FB$5/$FB$11*(+IF(CA335="全员",$FA$24,0)+IF(CA335="同作战",$FA$24,0)+IF(CA335="仲间",$FA$24*2/3,0)+IF(CA335="同属性",$FA$24*$FA$37/3,0)+IF(CA335="同年级",$FA$24*$FA$40/3,0)+IF(CA335="同学校",$FA$24*$FA$43/3,0)+IF(CA335="同小队",$FA$24*$FA$46/3,0)+IF(CA335="同type",$FA$24*INDEX($FB$49:$FB$52,MATCH(X335,$FA$49:$FA$52,))/3,0)+IF(CA335="自身",#REF!/3,0)),0)+IF(BZ335="te",CB335*(1-$FI$27)*($FA$20-1)*$FB$7/$FB$13*(+IF(CA335="全员",$FA$19*$FA$24/(1+($FA$20-1)*$FA$19),0)+IF(CA335="同作战",$FA$19*$FA$24/(1+($FA$20-1)*$FA$19),0)+IF(CA335="仲间",$FA$19*$FA$24*2/3/(1+($FA$20-1)*$FA$19),0)+IF(CA335="同属性",$FA$19*$FA$24*$FA$37/3/(1+($FA$20-1)*$FA$19),0)+IF(CA335="同年级",$FA$19*$FA$24*$FA$40/3/(1+($FA$20-1)*$FA$19),0)+IF(CA335="同学校",$FA$19*$FA$24*$FA$43/3/(1+($FA$20-1)*$FA$19),0)+IF(CA335="同小队",$FA$19*$FA$24*$FA$46/3/(1+($FA$20-1)*$FA$19),0)+IF(CA335="同type",$FA$19*$FA$24*INDEX($FB$49:$FB$52,MATCH(X335,$FA$49:$FA$52,))/3/(1+($FA$20-1)*$FA$19),0)+IF(CA335="自身",$FA$19*#REF!/3/(1+(BH335-1)*$BD335),0)),0)</f>
        <v>0</v>
      </c>
      <c r="CE335" s="1097">
        <f t="shared" si="469"/>
        <v>0</v>
      </c>
      <c r="CF335" s="1112">
        <f t="shared" si="470"/>
        <v>0</v>
      </c>
      <c r="CG335" s="1100">
        <f t="shared" si="471"/>
        <v>0</v>
      </c>
      <c r="CH335" s="1110">
        <f t="shared" si="472"/>
        <v>0</v>
      </c>
      <c r="CI335" s="1113" t="s">
        <v>162</v>
      </c>
      <c r="CJ335" s="1114">
        <v>1</v>
      </c>
      <c r="CK335" s="1115" t="s">
        <v>636</v>
      </c>
      <c r="CL335" s="1115" t="s">
        <v>1944</v>
      </c>
      <c r="CM335" s="1119">
        <v>2.4E-2</v>
      </c>
      <c r="CN335" s="1115"/>
      <c r="CO335" s="1092"/>
      <c r="CP335" s="1116">
        <f t="shared" si="473"/>
        <v>6.906825925004572</v>
      </c>
      <c r="CQ335" s="1116">
        <f t="shared" si="474"/>
        <v>10.743951438896001</v>
      </c>
      <c r="CR335" s="1116">
        <f t="shared" si="475"/>
        <v>6.906825925004572</v>
      </c>
      <c r="CS335" s="1118">
        <f t="shared" si="476"/>
        <v>0</v>
      </c>
      <c r="CT335" s="1109">
        <f t="shared" si="477"/>
        <v>0</v>
      </c>
      <c r="CU335" s="1101">
        <f t="shared" si="478"/>
        <v>0</v>
      </c>
      <c r="CV335" s="1108">
        <f t="shared" si="479"/>
        <v>0</v>
      </c>
      <c r="CW335" s="1097">
        <f t="shared" si="480"/>
        <v>0</v>
      </c>
      <c r="CX335" s="1097">
        <f t="shared" si="481"/>
        <v>545.30428631134976</v>
      </c>
      <c r="CY335" s="1110">
        <f t="shared" si="482"/>
        <v>545.30428631134976</v>
      </c>
      <c r="CZ335" s="437"/>
      <c r="DA335" s="438"/>
      <c r="DB335" s="439" t="s">
        <v>569</v>
      </c>
      <c r="DC335" s="439"/>
      <c r="DD335" s="443"/>
      <c r="DE335" s="411"/>
      <c r="DF335" s="411"/>
      <c r="DG335" s="1116">
        <f t="shared" si="483"/>
        <v>0</v>
      </c>
      <c r="DH335" s="1116">
        <f t="shared" si="484"/>
        <v>0</v>
      </c>
      <c r="DI335" s="1116">
        <f t="shared" si="485"/>
        <v>0</v>
      </c>
      <c r="DJ335" s="442">
        <f t="shared" si="486"/>
        <v>0</v>
      </c>
      <c r="DK335" s="1109">
        <f t="shared" si="487"/>
        <v>0</v>
      </c>
      <c r="DL335" s="1101">
        <f t="shared" si="488"/>
        <v>0</v>
      </c>
      <c r="DM335" s="1097">
        <f t="shared" si="489"/>
        <v>0</v>
      </c>
      <c r="DN335" s="1097">
        <f t="shared" si="490"/>
        <v>0</v>
      </c>
      <c r="DO335" s="1097">
        <f t="shared" si="491"/>
        <v>0</v>
      </c>
      <c r="DP335" s="1110">
        <f t="shared" si="492"/>
        <v>0</v>
      </c>
      <c r="DQ335" s="1113" t="s">
        <v>556</v>
      </c>
      <c r="DR335" s="1120">
        <f t="shared" si="493"/>
        <v>0.3</v>
      </c>
      <c r="DS335" s="1124">
        <v>5</v>
      </c>
      <c r="DT335" s="1093" t="s">
        <v>161</v>
      </c>
      <c r="DU335" s="1093" t="s">
        <v>544</v>
      </c>
      <c r="DV335" s="1098">
        <f>IF($P335="","N/A",IF(P335=-1,INDEX('卡片raw data'!AN:AN,MATCH(D335,'卡片raw data'!$F:$F,)),0)+IF(AND(L335&lt;&gt;"party卡",P335&lt;=2,P335&gt;=0),INDEX('卡片raw data'!AP:AP,MATCH(D335,'卡片raw data'!$F:$F,)),0)+IF(OR(AND(L335="party卡",P335&lt;=1),AND(P335&lt;=4,L335&lt;&gt;"party卡",P335&gt;=3)),INDEX('卡片raw data'!AQ:AQ,MATCH(D335,'卡片raw data'!$F:$F,)),0)+IF(OR(P335=5,AND(L335="party卡",P335&gt;=2)),INDEX('卡片raw data'!AR:AR,MATCH(D335,'卡片raw data'!$F:$F,)),0))</f>
        <v>0.22</v>
      </c>
      <c r="DW335" s="1098">
        <f t="shared" si="494"/>
        <v>0.3</v>
      </c>
      <c r="DX335" s="1098">
        <f t="shared" si="495"/>
        <v>0.3</v>
      </c>
      <c r="DY335" s="1098">
        <f t="shared" si="496"/>
        <v>0.11000000000000001</v>
      </c>
      <c r="DZ335" s="1098">
        <f t="shared" si="497"/>
        <v>9.5150000000000012E-2</v>
      </c>
      <c r="EA335" s="1098">
        <f t="shared" si="498"/>
        <v>0</v>
      </c>
      <c r="EB335" s="1121">
        <f t="shared" si="499"/>
        <v>0</v>
      </c>
      <c r="EC335" s="1101">
        <f t="shared" si="500"/>
        <v>0</v>
      </c>
      <c r="ED335" s="1097">
        <f t="shared" si="501"/>
        <v>0</v>
      </c>
      <c r="EE335" s="1110">
        <f t="shared" si="502"/>
        <v>4811.6282945408811</v>
      </c>
      <c r="EF335" s="1115" t="s">
        <v>569</v>
      </c>
      <c r="EG335" s="1120">
        <f t="shared" si="503"/>
        <v>0.3</v>
      </c>
      <c r="EH335" s="1124"/>
      <c r="EI335" s="1093"/>
      <c r="EJ335" s="1093"/>
      <c r="EK335" s="1097">
        <f>IF($P335="","N/A",IF(P335=-1,INDEX('卡片raw data'!AS:AS,MATCH(D335,'卡片raw data'!$F:$F,)),0)+IF(AND(L335&lt;&gt;"party卡",P335&lt;=2,P335&gt;=0),INDEX('卡片raw data'!AU:AU,MATCH(D335,'卡片raw data'!$F:$F,)),0)+IF(OR(AND(L335="party卡",P335&lt;=1),AND(P335&lt;=4,L335&lt;&gt;"party卡",P335&gt;=3)),INDEX('卡片raw data'!AV:AV,MATCH(D335,'卡片raw data'!$F:$F,)),0)+IF(OR(P335=5,AND(L335="party卡",P335&gt;=2)),INDEX('卡片raw data'!AW:AW,MATCH(D335,'卡片raw data'!$F:$F,)),0))</f>
        <v>0</v>
      </c>
      <c r="EL335" s="1098">
        <f t="shared" si="504"/>
        <v>0.3</v>
      </c>
      <c r="EM335" s="1098">
        <f t="shared" si="505"/>
        <v>0.3</v>
      </c>
      <c r="EN335" s="1097">
        <f t="shared" si="506"/>
        <v>0</v>
      </c>
      <c r="EO335" s="1125">
        <f t="shared" si="507"/>
        <v>0</v>
      </c>
      <c r="EP335" s="1098">
        <f t="shared" si="508"/>
        <v>0</v>
      </c>
      <c r="EQ335" s="1121">
        <f t="shared" si="509"/>
        <v>0</v>
      </c>
      <c r="ER335" s="1101">
        <f t="shared" si="510"/>
        <v>0</v>
      </c>
      <c r="ES335" s="1097">
        <f t="shared" si="511"/>
        <v>0</v>
      </c>
      <c r="ET335" s="1122">
        <f t="shared" si="512"/>
        <v>0</v>
      </c>
    </row>
    <row r="336" spans="2:150" ht="16.5" customHeight="1">
      <c r="B336" s="1123" t="str">
        <f>INDEX('卡片raw data'!B:B,MATCH($D336,'卡片raw data'!$F:$F,))</f>
        <v>万圣海</v>
      </c>
      <c r="C336" s="449" t="s">
        <v>1535</v>
      </c>
      <c r="D336" s="408">
        <v>333</v>
      </c>
      <c r="E336" s="1090">
        <v>400043003</v>
      </c>
      <c r="F336" s="1090" t="str">
        <f>INDEX('卡片raw data'!C:C,MATCH($D336,'卡片raw data'!$F:$F,))</f>
        <v>UR</v>
      </c>
      <c r="G336" s="1094" t="s">
        <v>1536</v>
      </c>
      <c r="H336" s="411">
        <f>IFERROR(INDEX(绊状态确认!C:C,MATCH($G336,绊状态确认!$B:$B,)),"")</f>
        <v>4</v>
      </c>
      <c r="I336" s="450" t="str">
        <f>IFERROR(INDEX(绊状态确认!D:D,MATCH($G336,绊状态确认!$B:$B,)),"")</f>
        <v>缪</v>
      </c>
      <c r="J336" s="450" t="str">
        <f>IFERROR(INDEX(绊状态确认!E:E,MATCH($G336,绊状态确认!$B:$B,)),"")</f>
        <v>2年级</v>
      </c>
      <c r="K336" s="451" t="str">
        <f>IFERROR(INDEX(绊状态确认!F:F,MATCH($G336,绊状态确认!$B:$B,)),"")</f>
        <v>lilywhite</v>
      </c>
      <c r="L336" s="1094" t="str">
        <f>INDEX('卡片raw data'!E:E,MATCH($D336,'卡片raw data'!$F:$F,))</f>
        <v>卡池卡</v>
      </c>
      <c r="M336" s="415">
        <v>44123</v>
      </c>
      <c r="N336" s="416">
        <v>26</v>
      </c>
      <c r="O336" s="1091" t="str">
        <f>INDEX('卡片raw data'!D:D,MATCH($D336,'卡片raw data'!$F:$F,))</f>
        <v>sk</v>
      </c>
      <c r="P336" s="1126">
        <v>5</v>
      </c>
      <c r="Q336" s="1095">
        <f t="shared" si="428"/>
        <v>40155.381460373086</v>
      </c>
      <c r="R336" s="1096">
        <f t="shared" si="429"/>
        <v>0.46600000000000003</v>
      </c>
      <c r="S336" s="1097">
        <f t="shared" si="430"/>
        <v>19555.325674572883</v>
      </c>
      <c r="T336" s="1098">
        <f t="shared" si="431"/>
        <v>0.97699999999999998</v>
      </c>
      <c r="U336" s="1099">
        <f t="shared" si="432"/>
        <v>644.73297156026115</v>
      </c>
      <c r="V336" s="1100">
        <f t="shared" si="433"/>
        <v>92057.953389294154</v>
      </c>
      <c r="W336" s="1101">
        <f t="shared" si="434"/>
        <v>6046.7081358197083</v>
      </c>
      <c r="X336" s="1096">
        <f t="shared" si="435"/>
        <v>7.0000000000000007E-2</v>
      </c>
      <c r="Y336" s="1097">
        <f t="shared" si="436"/>
        <v>1467.5408392973104</v>
      </c>
      <c r="Z336" s="1102">
        <f t="shared" si="437"/>
        <v>18.163538752542856</v>
      </c>
      <c r="AA336" s="1103">
        <f t="shared" si="438"/>
        <v>7514.2489751170187</v>
      </c>
      <c r="AB336" s="1101">
        <f t="shared" si="439"/>
        <v>7585.6947845134191</v>
      </c>
      <c r="AC336" s="1104">
        <f t="shared" si="440"/>
        <v>8.7999999999999995E-2</v>
      </c>
      <c r="AD336" s="1105">
        <f t="shared" si="441"/>
        <v>2.1769318181818181E-2</v>
      </c>
      <c r="AE336" s="1128">
        <f t="shared" si="442"/>
        <v>11.953757704745847</v>
      </c>
      <c r="AF336" s="1130">
        <f t="shared" si="443"/>
        <v>7594.7810037299168</v>
      </c>
      <c r="AG336" s="420">
        <f t="shared" si="444"/>
        <v>99479.838830960012</v>
      </c>
      <c r="AH336" s="420">
        <f t="shared" si="445"/>
        <v>13.098447312977674</v>
      </c>
      <c r="AI336" s="1097">
        <f t="shared" si="446"/>
        <v>109492.7310812777</v>
      </c>
      <c r="AJ336" s="420">
        <f t="shared" si="447"/>
        <v>92057.953389294154</v>
      </c>
      <c r="AK336" s="518">
        <f t="shared" si="448"/>
        <v>17434.777691983545</v>
      </c>
      <c r="AL336" s="1106">
        <f>IF($P336="","N/A",(IF($P336=-1,INDEX('卡片raw data'!S:S,MATCH($D336,'卡片raw data'!$F:$F,)),0)+IF($P336=0,INDEX('卡片raw data'!V:V,MATCH($D336,'卡片raw data'!$F:$F,)),0)+IF($P336=1,INDEX('卡片raw data'!Y:Y,MATCH($D336,'卡片raw data'!$F:$F,)),0)+IF($P336=2,INDEX('卡片raw data'!AB:AB,MATCH($D336,'卡片raw data'!$F:$F,)),0)+IF($P336=3,INDEX('卡片raw data'!AE:AE,MATCH($D336,'卡片raw data'!$F:$F,)),0)+IF($P336=4,INDEX('卡片raw data'!AH:AH,MATCH($D336,'卡片raw data'!$F:$F,)),0)+IF($P336=5,INDEX('卡片raw data'!AK:AK,MATCH($D336,'卡片raw data'!$F:$F,)),0)+INDEX('卡片raw data'!S:S,MATCH($D336,'卡片raw data'!$F:$F,))*(IF($F336="UR",0.04,0.033))*(IF($F336="UR",INDEX(绊状态确认!$S:$S,MATCH($G336,绊状态确认!$B:$B,))/2-40)+IF($F336="SR",INDEX(绊状态确认!$R:$R,MATCH($G336,绊状态确认!$B:$B,))/4-15))+IF($F336="R",INDEX(绊状态确认!$Q:$Q,MATCH($G336,绊状态确认!$B:$B,))/6-40/6)))*(INDEX(绊状态确认!$H:$H,MATCH($G336,绊状态确认!$B:$B,))+INDEX(绊状态确认!J:J,MATCH($G336,绊状态确认!$B:$B,)))</f>
        <v>12797.636783999998</v>
      </c>
      <c r="AM336" s="1106">
        <f>IF($P336="","N/A",(IF($P336=-1,INDEX('卡片raw data'!T:T,MATCH($D336,'卡片raw data'!$F:$F,)),0)+IF($P336=0,INDEX('卡片raw data'!W:W,MATCH($D336,'卡片raw data'!$F:$F,)),0)+IF($P336=1,INDEX('卡片raw data'!Z:Z,MATCH($D336,'卡片raw data'!$F:$F,)),0)+IF($P336=2,INDEX('卡片raw data'!AC:AC,MATCH($D336,'卡片raw data'!$F:$F,)),0)+IF($P336=3,INDEX('卡片raw data'!AF:AF,MATCH($D336,'卡片raw data'!$F:$F,)),0)+IF($P336=4,INDEX('卡片raw data'!AI:AI,MATCH($D336,'卡片raw data'!$F:$F,)),0)+IF($P336=5,INDEX('卡片raw data'!AL:AL,MATCH($D336,'卡片raw data'!$F:$F,)),0)+INDEX('卡片raw data'!T:T,MATCH($D336,'卡片raw data'!$F:$F,))*(IF($F336="UR",0.04,0.033))*(IF($F336="UR",INDEX(绊状态确认!$S:$S,MATCH($G336,绊状态确认!$B:$B,))/2-40)+IF($F336="SR",INDEX(绊状态确认!$R:$R,MATCH($G336,绊状态确认!$B:$B,))/4-15))+IF($F336="R",INDEX(绊状态确认!$Q:$Q,MATCH($G336,绊状态确认!$B:$B,))/6-40/6)))*(INDEX(绊状态确认!$H:$H,MATCH($G336,绊状态确认!$B:$B,))+INDEX(绊状态确认!K:K,MATCH($G336,绊状态确认!$B:$B,)))</f>
        <v>10438.561295999998</v>
      </c>
      <c r="AN336" s="1106">
        <f>IF($P336="","N/A",(IF($P336=-1,INDEX('卡片raw data'!U:U,MATCH($D336,'卡片raw data'!$F:$F,)),0)+IF($P336=0,INDEX('卡片raw data'!X:X,MATCH($D336,'卡片raw data'!$F:$F,)),0)+IF($P336=1,INDEX('卡片raw data'!AA:AA,MATCH($D336,'卡片raw data'!$F:$F,)),0)+IF($P336=2,INDEX('卡片raw data'!AD:AD,MATCH($D336,'卡片raw data'!$F:$F,)),0)+IF($P336=3,INDEX('卡片raw data'!AG:AG,MATCH($D336,'卡片raw data'!$F:$F,)),0)+IF($P336=4,INDEX('卡片raw data'!AJ:AJ,MATCH($D336,'卡片raw data'!$F:$F,)),0)+IF($P336=5,INDEX('卡片raw data'!AM:AM,MATCH($D336,'卡片raw data'!$F:$F,)),0)+INDEX('卡片raw data'!U:U,MATCH($D336,'卡片raw data'!$F:$F,))*(IF($F336="UR",0.04,0.033))*(IF($F336="UR",INDEX(绊状态确认!$S:$S,MATCH($G336,绊状态确认!$B:$B,))/2-40)+IF($F336="SR",INDEX(绊状态确认!$R:$R,MATCH($G336,绊状态确认!$B:$B,))/4-15))+IF($F336="R",INDEX(绊状态确认!$Q:$Q,MATCH($G336,绊状态确认!$B:$B,))/6-40/6)))*(INDEX(绊状态确认!$H:$H,MATCH($G336,绊状态确认!$B:$B,))+INDEX(绊状态确认!L:L,MATCH($G336,绊状态确认!$B:$B,)))</f>
        <v>10438.561295999998</v>
      </c>
      <c r="AO336" s="1107">
        <f t="shared" si="449"/>
        <v>1</v>
      </c>
      <c r="AP336" s="1131">
        <f>1+(INDEX(绊状态确认!$T:$T,MATCH($G336,绊状态确认!$B:$B,))+0.2)*$AO336</f>
        <v>1.3</v>
      </c>
      <c r="AQ336" s="1108">
        <f t="shared" si="450"/>
        <v>36843.796558000002</v>
      </c>
      <c r="AR336" s="1097">
        <f>(AM336*(1+$EX$9)+$EX$35)*(1+(INDEX(绊状态确认!$T:$T,MATCH($G336,绊状态确认!$B:$B,))+0.2)*AO336)*IF(J336=$FF$17,1+$FE$17,1)*IF(I336=$FF$14,1+$FE$14,1)</f>
        <v>16952.636169039997</v>
      </c>
      <c r="AS336" s="1097">
        <f>(AN336*(1+$EX$10)+$EX$36)*(1+(INDEX(绊状态确认!$T:$T,MATCH($G336,绊状态确认!$B:$B,))+0.2)*AO336)*IF(J336=$FF$17,1+$FE$17,1)*IF(I336=$FF$14,1+$FE$14,1)</f>
        <v>19661.649137519998</v>
      </c>
      <c r="AT336" s="1093">
        <f>IF(AND(INDEX('卡片raw data'!AK:AK,MATCH($D336,'卡片raw data'!$F:$F,))&lt;INDEX('卡片raw data'!AM:AM,MATCH($D336,'卡片raw data'!$F:$F,)),INDEX('卡片raw data'!AL:AL,MATCH($D336,'卡片raw data'!$F:$F,))&lt;INDEX('卡片raw data'!AM:AM,MATCH($D336,'卡片raw data'!$F:$F,))),1,0)</f>
        <v>0</v>
      </c>
      <c r="AU336" s="1098">
        <f>MIN(AT336*0.15+AS336*0.00003+INDEX(绊状态确认!M:M,MATCH($G336,绊状态确认!$B:$B,)),1)</f>
        <v>0.61984947412559999</v>
      </c>
      <c r="AV336" s="1109">
        <f>(INDEX(绊状态确认!$N:$N,MATCH($G336,绊状态确认!$B:$B,))+1.5)*$EW$21</f>
        <v>2.6599999999999997</v>
      </c>
      <c r="AW336" s="1101">
        <f t="shared" si="451"/>
        <v>38823.359310829605</v>
      </c>
      <c r="AX336" s="1097">
        <f t="shared" si="452"/>
        <v>1467.5408392973106</v>
      </c>
      <c r="AY336" s="1110">
        <f t="shared" si="453"/>
        <v>40290.900150126916</v>
      </c>
      <c r="AZ336" s="429">
        <f t="shared" si="454"/>
        <v>27555.391728799998</v>
      </c>
      <c r="BA336" s="431">
        <f t="shared" si="455"/>
        <v>33066.470074559998</v>
      </c>
      <c r="BB336" s="1097">
        <f>(AM336*(1+$FB$9)+$FB$35)*(1+(INDEX(绊状态确认!$T:$T,MATCH($G336,绊状态确认!$B:$B,))+0.2)*AO336)*IF(J336=$FF$17,1+$FE$17,1)*IF(I336=$FF$14,1+$FE$14,1)*(1+$FE$15)</f>
        <v>16952.636169039997</v>
      </c>
      <c r="BC336" s="1097">
        <f>(AN336*(1+$FB$10)+$FB$36)*(1+(INDEX(绊状态确认!$T:$T,MATCH($G336,绊状态确认!$B:$B,))+0.2)*AO336)*IF(J336=$FF$17,1+$FE$17,1)*IF(I336=$FF$14,1+$FE$14,1)*(1+$FE$15)</f>
        <v>19661.649137519998</v>
      </c>
      <c r="BD336" s="1104">
        <f>MIN(AT336*0.15+BC336*0.00003+INDEX(绊状态确认!M:M,MATCH($G336,绊状态确认!$B:$B,)),1)</f>
        <v>0.61984947412559999</v>
      </c>
      <c r="BE336" s="432">
        <f>(INDEX(绊状态确认!$N:$N,MATCH($G336,绊状态确认!$B:$B,))+1.5)</f>
        <v>1.9</v>
      </c>
      <c r="BF336" s="1139">
        <f t="array" ref="BF336">SUMPRODUCT(IF(AZ336*AP336*$FI$16:$FI$23*$FA$22&gt;=$FI$24,$FI$24,AZ336*AP336*$FI$16:$FI$23*$FA$22),$FJ$16:$FJ$23)</f>
        <v>53463.789154965605</v>
      </c>
      <c r="BG336" s="1125">
        <f t="array" ref="BG336">SUMPRODUCT(IF(BE336*AZ336*AP336*$FI$16:$FI$23*$FA$22&gt;=$FI$24,$FI$24,BE336*AZ336*AP336*$FI$16:$FI$23*$FA$22),$FJ$16:$FJ$23)</f>
        <v>60000</v>
      </c>
      <c r="BH336" s="1110">
        <f t="shared" si="456"/>
        <v>19171.75200334474</v>
      </c>
      <c r="BI336" s="1111">
        <f>IF(O336="vo",$EW$26/$EW$24*0.05,0)+IF(O336="sk",-$EW$26/$EW$24*(0.05-INDEX(绊状态确认!W:W,MATCH($G336,绊状态确认!$B:$B,)))+0.05*$EW$28,0)+IF(O336="sp",0.05*$EW$32*$EW$30*(1-$EW$33)-(0.05-INDEX(绊状态确认!V:V,MATCH($G336,绊状态确认!$B:$B,)))*$EW$28,0)+IF(O336="gd",-(0.05-INDEX(绊状态确认!X:X,MATCH($G336,绊状态确认!$B:$B,)))*$EW$32*$EW$30*(1-$EW$33),0)</f>
        <v>-6253.6726349699375</v>
      </c>
      <c r="BJ336" s="1097">
        <f>IF(O336="vo",0.05*(1-$FI$26)*$FA$24,0)+IF(O336="sk",-(0.05-INDEX(绊状态确认!W:W,MATCH($G336,绊状态确认!$B:$B,)))*(1-$FI$26)*$FA$24+0.05*$FA$26,0)+IF(O336="sp",0.05*$FA$32*$FA$27*(1-$FA$33)/$FA$30+0.05*$FA$29/$FA$69*$FA$27*(1-$FA$33)-(0.05-INDEX(绊状态确认!V:V,MATCH($G336,绊状态确认!$B:$B,)))*$FA$26,0)+IF(O336="gd",-(0.05-INDEX(绊状态确认!X:X,MATCH($G336,绊状态确认!$B:$B,)))*$FA$32*$FA$27*(1-$FA$33)/$FA$30-(0.05-INDEX(绊状态确认!X:X,MATCH($G336,绊状态确认!$B:$B,)))*$FA$29/$FA$69*$FA$27*(1-$FA$33),0)</f>
        <v>20.459096812499922</v>
      </c>
      <c r="BK336" s="1110">
        <f>IF(O336="vo",$EW$26/$EW$24*0.05+$EW$26*(-HP($EW$62,$EW$65,$EW$64)+HP($EW$62,$EW$65,(1.05-INDEX(绊状态确认!U:U,MATCH($G336,绊状态确认!$B:$B,)))*$EW$64)),0)+IF(O336="sk",-$EW$26/$EW$24*(0.05-INDEX(绊状态确认!W:W,MATCH($G336,绊状态确认!$B:$B,)))+0.05*$EW$29,0)+IF(O336="sp",0.05*$EW$32*$EW$30*(1-$EW$33)-(0.05-INDEX(绊状态确认!V:V,MATCH($G336,绊状态确认!$B:$B,)))*$EW$29,0)+IF(O336="gd",-(0.05-INDEX(绊状态确认!X:X,MATCH($G336,绊状态确认!$B:$B,)))*$EW$32*$EW$30*(1-$EW$33)+$EW$26*(-HP($EW$62,$EW$65,$EW$64)+HP($EW$62,$EW$65,0.95*$EW$64)),0)</f>
        <v>-4253.6726349699375</v>
      </c>
      <c r="BL336" s="1111">
        <f t="shared" si="457"/>
        <v>0</v>
      </c>
      <c r="BM336" s="1110">
        <f t="shared" si="458"/>
        <v>0</v>
      </c>
      <c r="BN336" s="1113">
        <f t="shared" si="459"/>
        <v>3</v>
      </c>
      <c r="BO336" s="1108">
        <f t="shared" si="460"/>
        <v>4507.7214871259994</v>
      </c>
      <c r="BP336" s="1100">
        <f t="shared" si="461"/>
        <v>221.34103209030098</v>
      </c>
      <c r="BQ336" s="1113" t="s">
        <v>1530</v>
      </c>
      <c r="BR336" s="1124" t="s">
        <v>171</v>
      </c>
      <c r="BS336" s="1098">
        <f>IF($P336="","N/A",IF($P336=-1,INDEX('卡片raw data'!AX:AX,MATCH($D336,'卡片raw data'!$F:$F,)),0)+IF($L336="party卡",IF($P336=5,INDEX('卡片raw data'!BD:BD,MATCH($D336,'卡片raw data'!$F:$F,)),IF($P336&gt;=3,INDEX('卡片raw data'!BC:BC,MATCH($D336,'卡片raw data'!$F:$F,)),INDEX('卡片raw data'!BB:BB,MATCH($D336,'卡片raw data'!$F:$F,)))),IF(OR(AND($F336="UR",$P336=0),AND($F336="SR",$P336&gt;=0,$P336&lt;=2),AND($F336="R",$P336&gt;=0,$P336&lt;4)),INDEX('卡片raw data'!AZ:AZ,MATCH($D336,'卡片raw data'!$F:$F,)),0)+IF(OR(AND($F336="UR",$P336&gt;=1,$P336&lt;=4),AND($F336="SR",$P336&lt;=4,$P336&gt;=3),AND($F336="R",$P336=4)),INDEX('卡片raw data'!BA:BA,MATCH($D336,'卡片raw data'!$F:$F,)),0)+IF($P336=5,INDEX('卡片raw data'!BB:BB,MATCH($D336,'卡片raw data'!$F:$F,)),0)))</f>
        <v>5.1999999999999998E-2</v>
      </c>
      <c r="BT336" s="1101">
        <f t="shared" si="462"/>
        <v>2604.4613036728001</v>
      </c>
      <c r="BU336" s="1097">
        <f t="shared" si="463"/>
        <v>111.90018844565216</v>
      </c>
      <c r="BV336" s="1097">
        <f t="shared" si="464"/>
        <v>1302.2306518363998</v>
      </c>
      <c r="BW336" s="1112">
        <f t="shared" si="465"/>
        <v>0</v>
      </c>
      <c r="BX336" s="1100">
        <f t="shared" si="466"/>
        <v>2604.4613036728001</v>
      </c>
      <c r="BY336" s="1110">
        <f t="shared" si="467"/>
        <v>1302.2306518363998</v>
      </c>
      <c r="BZ336" s="1107" t="s">
        <v>569</v>
      </c>
      <c r="CA336" s="1124"/>
      <c r="CB336" s="1098">
        <f>IF($P336="","N/A",IF($P336=-1,INDEX('卡片raw data'!BE:BE,MATCH($D336,'卡片raw data'!$F:$F,)),0)+IF($L336="party卡",IF($P336=5,INDEX('卡片raw data'!BK:BK,MATCH($D336,'卡片raw data'!$F:$F,)),IF($P336&gt;=3,INDEX('卡片raw data'!BJ:BJ,MATCH($D336,'卡片raw data'!$F:$F,)),INDEX('卡片raw data'!BI:BI,MATCH($D336,'卡片raw data'!$F:$F,)))),IF(OR(AND($F336="UR",$P336=0),AND($F336="SR",$P336&gt;=0,$P336&lt;=2),AND($F336="R",$P336&gt;=0,$P336&lt;4)),INDEX('卡片raw data'!BG:BG,MATCH($D336,'卡片raw data'!$F:$F,)),0)+IF(OR(AND($F336="UR",$P336&gt;=1,$P336&lt;=4),AND($F336="SR",$P336&lt;=4,$P336&gt;=3),AND($F336="R",$P336=4)),INDEX('卡片raw data'!BH:BH,MATCH($D336,'卡片raw data'!$F:$F,)),0)+IF($P336=5,INDEX('卡片raw data'!BI:BI,MATCH($D336,'卡片raw data'!$F:$F,)),0)))</f>
        <v>0</v>
      </c>
      <c r="CC336" s="1101">
        <f t="shared" si="468"/>
        <v>0</v>
      </c>
      <c r="CD336" s="1097">
        <f>IF(BZ336="ap",CB336*(1-$FI$26)*$FB$5/$FB$11*(+IF(CA336="全员",$FA$24,0)+IF(CA336="同作战",$FA$24,0)+IF(CA336="仲间",$FA$24*2/3,0)+IF(CA336="同属性",$FA$24*$FA$37/3,0)+IF(CA336="同年级",$FA$24*$FA$40/3,0)+IF(CA336="同学校",$FA$24*$FA$43/3,0)+IF(CA336="同小队",$FA$24*$FA$46/3,0)+IF(CA336="同type",$FA$24*INDEX($FB$49:$FB$52,MATCH(X336,$FA$49:$FA$52,))/3,0)+IF(CA336="自身",#REF!/3,0)),0)+IF(BZ336="te",CB336*(1-$FI$27)*($FA$20-1)*$FB$7/$FB$13*(+IF(CA336="全员",$FA$19*$FA$24/(1+($FA$20-1)*$FA$19),0)+IF(CA336="同作战",$FA$19*$FA$24/(1+($FA$20-1)*$FA$19),0)+IF(CA336="仲间",$FA$19*$FA$24*2/3/(1+($FA$20-1)*$FA$19),0)+IF(CA336="同属性",$FA$19*$FA$24*$FA$37/3/(1+($FA$20-1)*$FA$19),0)+IF(CA336="同年级",$FA$19*$FA$24*$FA$40/3/(1+($FA$20-1)*$FA$19),0)+IF(CA336="同学校",$FA$19*$FA$24*$FA$43/3/(1+($FA$20-1)*$FA$19),0)+IF(CA336="同小队",$FA$19*$FA$24*$FA$46/3/(1+($FA$20-1)*$FA$19),0)+IF(CA336="同type",$FA$19*$FA$24*INDEX($FB$49:$FB$52,MATCH(X336,$FA$49:$FA$52,))/3/(1+($FA$20-1)*$FA$19),0)+IF(CA336="自身",$FA$19*#REF!/3/(1+(BH336-1)*$BD336),0)),0)</f>
        <v>0</v>
      </c>
      <c r="CE336" s="1097">
        <f t="shared" si="469"/>
        <v>0</v>
      </c>
      <c r="CF336" s="1112">
        <f t="shared" si="470"/>
        <v>0</v>
      </c>
      <c r="CG336" s="1100">
        <f t="shared" si="471"/>
        <v>0</v>
      </c>
      <c r="CH336" s="1110">
        <f t="shared" si="472"/>
        <v>0</v>
      </c>
      <c r="CI336" s="1113" t="s">
        <v>1533</v>
      </c>
      <c r="CJ336" s="1114">
        <v>1</v>
      </c>
      <c r="CK336" s="1115" t="s">
        <v>1537</v>
      </c>
      <c r="CL336" s="1115" t="s">
        <v>1532</v>
      </c>
      <c r="CM336" s="1119">
        <v>3.9E-2</v>
      </c>
      <c r="CN336" s="1115">
        <v>5</v>
      </c>
      <c r="CO336" s="1092"/>
      <c r="CP336" s="1118">
        <f t="shared" si="473"/>
        <v>2.7857142857142855E-3</v>
      </c>
      <c r="CQ336" s="1118">
        <f t="shared" si="474"/>
        <v>3.7916666666666667E-3</v>
      </c>
      <c r="CR336" s="1118">
        <f t="shared" si="475"/>
        <v>1.3928571428571427E-3</v>
      </c>
      <c r="CS336" s="1118">
        <f t="shared" si="476"/>
        <v>0</v>
      </c>
      <c r="CT336" s="1109">
        <f t="shared" si="477"/>
        <v>0</v>
      </c>
      <c r="CU336" s="1101">
        <f t="shared" si="478"/>
        <v>473.51199371461951</v>
      </c>
      <c r="CV336" s="1108">
        <f t="shared" si="479"/>
        <v>29.873353879687503</v>
      </c>
      <c r="CW336" s="1097">
        <f t="shared" si="480"/>
        <v>236.75599685730975</v>
      </c>
      <c r="CX336" s="1097">
        <f t="shared" si="481"/>
        <v>473.51199371461951</v>
      </c>
      <c r="CY336" s="1110">
        <f t="shared" si="482"/>
        <v>236.75599685730975</v>
      </c>
      <c r="CZ336" s="437"/>
      <c r="DA336" s="438"/>
      <c r="DB336" s="439" t="s">
        <v>569</v>
      </c>
      <c r="DC336" s="439"/>
      <c r="DD336" s="443"/>
      <c r="DE336" s="411"/>
      <c r="DF336" s="411"/>
      <c r="DG336" s="1116">
        <f t="shared" si="483"/>
        <v>0</v>
      </c>
      <c r="DH336" s="1116">
        <f t="shared" si="484"/>
        <v>0</v>
      </c>
      <c r="DI336" s="1116">
        <f t="shared" si="485"/>
        <v>0</v>
      </c>
      <c r="DJ336" s="442">
        <f t="shared" si="486"/>
        <v>0</v>
      </c>
      <c r="DK336" s="1109">
        <f t="shared" si="487"/>
        <v>0</v>
      </c>
      <c r="DL336" s="1101">
        <f t="shared" si="488"/>
        <v>0</v>
      </c>
      <c r="DM336" s="1097">
        <f t="shared" si="489"/>
        <v>0</v>
      </c>
      <c r="DN336" s="1097">
        <f t="shared" si="490"/>
        <v>0</v>
      </c>
      <c r="DO336" s="1097">
        <f t="shared" si="491"/>
        <v>0</v>
      </c>
      <c r="DP336" s="1110">
        <f t="shared" si="492"/>
        <v>0</v>
      </c>
      <c r="DQ336" s="1113" t="s">
        <v>636</v>
      </c>
      <c r="DR336" s="1120">
        <f t="shared" si="493"/>
        <v>0.33</v>
      </c>
      <c r="DS336" s="1124"/>
      <c r="DT336" s="1093" t="s">
        <v>133</v>
      </c>
      <c r="DU336" s="1093"/>
      <c r="DV336" s="1098">
        <f>IF($P336="","N/A",IF(P336=-1,INDEX('卡片raw data'!AN:AN,MATCH(D336,'卡片raw data'!$F:$F,)),0)+IF(AND(L336&lt;&gt;"party卡",P336&lt;=2,P336&gt;=0),INDEX('卡片raw data'!AP:AP,MATCH(D336,'卡片raw data'!$F:$F,)),0)+IF(OR(AND(L336="party卡",P336&lt;=1),AND(P336&lt;=4,L336&lt;&gt;"party卡",P336&gt;=3)),INDEX('卡片raw data'!AQ:AQ,MATCH(D336,'卡片raw data'!$F:$F,)),0)+IF(OR(P336=5,AND(L336="party卡",P336&gt;=2)),INDEX('卡片raw data'!AR:AR,MATCH(D336,'卡片raw data'!$F:$F,)),0))</f>
        <v>0.32</v>
      </c>
      <c r="DW336" s="1098">
        <f t="shared" si="494"/>
        <v>0.33</v>
      </c>
      <c r="DX336" s="1098">
        <f t="shared" si="495"/>
        <v>0.33</v>
      </c>
      <c r="DY336" s="1097">
        <f t="shared" si="496"/>
        <v>596.73279315020784</v>
      </c>
      <c r="DZ336" s="1097">
        <f t="shared" si="497"/>
        <v>516.17386607492972</v>
      </c>
      <c r="EA336" s="1098">
        <f t="shared" si="498"/>
        <v>0</v>
      </c>
      <c r="EB336" s="1121">
        <f t="shared" si="499"/>
        <v>0</v>
      </c>
      <c r="EC336" s="1101">
        <f t="shared" si="500"/>
        <v>0</v>
      </c>
      <c r="ED336" s="1097">
        <f t="shared" si="501"/>
        <v>0</v>
      </c>
      <c r="EE336" s="1110">
        <f t="shared" si="502"/>
        <v>48435.03108962375</v>
      </c>
      <c r="EF336" s="1115" t="s">
        <v>569</v>
      </c>
      <c r="EG336" s="1120">
        <f t="shared" si="503"/>
        <v>0.33</v>
      </c>
      <c r="EH336" s="1124"/>
      <c r="EI336" s="1093"/>
      <c r="EJ336" s="1093"/>
      <c r="EK336" s="1097">
        <f>IF($P336="","N/A",IF(P336=-1,INDEX('卡片raw data'!AS:AS,MATCH(D336,'卡片raw data'!$F:$F,)),0)+IF(AND(L336&lt;&gt;"party卡",P336&lt;=2,P336&gt;=0),INDEX('卡片raw data'!AU:AU,MATCH(D336,'卡片raw data'!$F:$F,)),0)+IF(OR(AND(L336="party卡",P336&lt;=1),AND(P336&lt;=4,L336&lt;&gt;"party卡",P336&gt;=3)),INDEX('卡片raw data'!AV:AV,MATCH(D336,'卡片raw data'!$F:$F,)),0)+IF(OR(P336=5,AND(L336="party卡",P336&gt;=2)),INDEX('卡片raw data'!AW:AW,MATCH(D336,'卡片raw data'!$F:$F,)),0))</f>
        <v>0</v>
      </c>
      <c r="EL336" s="1098">
        <f t="shared" si="504"/>
        <v>0.33</v>
      </c>
      <c r="EM336" s="1098">
        <f t="shared" si="505"/>
        <v>0.33</v>
      </c>
      <c r="EN336" s="1097">
        <f t="shared" si="506"/>
        <v>0</v>
      </c>
      <c r="EO336" s="1125">
        <f t="shared" si="507"/>
        <v>0</v>
      </c>
      <c r="EP336" s="1098">
        <f t="shared" si="508"/>
        <v>0</v>
      </c>
      <c r="EQ336" s="1121">
        <f t="shared" si="509"/>
        <v>0</v>
      </c>
      <c r="ER336" s="1101">
        <f t="shared" si="510"/>
        <v>0</v>
      </c>
      <c r="ES336" s="1097">
        <f t="shared" si="511"/>
        <v>0</v>
      </c>
      <c r="ET336" s="1122">
        <f t="shared" si="512"/>
        <v>0</v>
      </c>
    </row>
    <row r="337" spans="2:150" ht="16.5" customHeight="1">
      <c r="B337" s="1123" t="str">
        <f>INDEX('卡片raw data'!B:B,MATCH($D337,'卡片raw data'!$F:$F,))</f>
        <v>万圣林</v>
      </c>
      <c r="C337" s="449" t="s">
        <v>1543</v>
      </c>
      <c r="D337" s="408">
        <v>334</v>
      </c>
      <c r="E337" s="1090">
        <v>402043002</v>
      </c>
      <c r="F337" s="1090" t="str">
        <f>INDEX('卡片raw data'!C:C,MATCH($D337,'卡片raw data'!$F:$F,))</f>
        <v>UR</v>
      </c>
      <c r="G337" s="1094" t="s">
        <v>1544</v>
      </c>
      <c r="H337" s="411">
        <f>IFERROR(INDEX(绊状态确认!C:C,MATCH($G337,绊状态确认!$B:$B,)),"")</f>
        <v>204</v>
      </c>
      <c r="I337" s="450" t="str">
        <f>IFERROR(INDEX(绊状态确认!D:D,MATCH($G337,绊状态确认!$B:$B,)),"")</f>
        <v>虹</v>
      </c>
      <c r="J337" s="450" t="str">
        <f>IFERROR(INDEX(绊状态确认!E:E,MATCH($G337,绊状态确认!$B:$B,)),"")</f>
        <v>3年级</v>
      </c>
      <c r="K337" s="451" t="str">
        <f>IFERROR(INDEX(绊状态确认!F:F,MATCH($G337,绊状态确认!$B:$B,)),"")</f>
        <v>Diver Diva</v>
      </c>
      <c r="L337" s="1094" t="str">
        <f>INDEX('卡片raw data'!E:E,MATCH($D337,'卡片raw data'!$F:$F,))</f>
        <v>活动卡</v>
      </c>
      <c r="M337" s="415">
        <v>44123</v>
      </c>
      <c r="N337" s="416">
        <v>26</v>
      </c>
      <c r="O337" s="1091" t="str">
        <f>INDEX('卡片raw data'!D:D,MATCH($D337,'卡片raw data'!$F:$F,))</f>
        <v>gd</v>
      </c>
      <c r="P337" s="1126">
        <v>5</v>
      </c>
      <c r="Q337" s="1095">
        <f t="shared" si="428"/>
        <v>23835.251297608593</v>
      </c>
      <c r="R337" s="1096">
        <f t="shared" si="429"/>
        <v>0.27700000000000002</v>
      </c>
      <c r="S337" s="1097">
        <f t="shared" si="430"/>
        <v>14037.531482254331</v>
      </c>
      <c r="T337" s="1098">
        <f t="shared" si="431"/>
        <v>0.70099999999999996</v>
      </c>
      <c r="U337" s="1099">
        <f t="shared" si="432"/>
        <v>700.82680436809812</v>
      </c>
      <c r="V337" s="1100">
        <f t="shared" si="433"/>
        <v>75740.422382456221</v>
      </c>
      <c r="W337" s="1101">
        <f t="shared" si="434"/>
        <v>4507.7214871259994</v>
      </c>
      <c r="X337" s="1096">
        <f t="shared" si="435"/>
        <v>5.1999999999999998E-2</v>
      </c>
      <c r="Y337" s="1097">
        <f t="shared" si="436"/>
        <v>4570.3359151001032</v>
      </c>
      <c r="Z337" s="1102">
        <f t="shared" si="437"/>
        <v>55.479999882690208</v>
      </c>
      <c r="AA337" s="1103">
        <f t="shared" si="438"/>
        <v>9078.0574022261026</v>
      </c>
      <c r="AB337" s="1101">
        <f t="shared" si="439"/>
        <v>4507.7214871259994</v>
      </c>
      <c r="AC337" s="1104">
        <f t="shared" si="440"/>
        <v>5.1999999999999998E-2</v>
      </c>
      <c r="AD337" s="1105">
        <f t="shared" si="441"/>
        <v>0</v>
      </c>
      <c r="AE337" s="1128">
        <f t="shared" si="442"/>
        <v>-6.25</v>
      </c>
      <c r="AF337" s="1130">
        <f t="shared" si="443"/>
        <v>8902.3794669659183</v>
      </c>
      <c r="AG337" s="420">
        <f t="shared" si="444"/>
        <v>85799.328292703809</v>
      </c>
      <c r="AH337" s="420">
        <f t="shared" si="445"/>
        <v>9.6377972441053075</v>
      </c>
      <c r="AI337" s="1097">
        <f t="shared" si="446"/>
        <v>108469.33069439554</v>
      </c>
      <c r="AJ337" s="420">
        <f t="shared" si="447"/>
        <v>75740.422382456221</v>
      </c>
      <c r="AK337" s="518">
        <f t="shared" si="448"/>
        <v>32728.908311939318</v>
      </c>
      <c r="AL337" s="1106">
        <f>IF($P337="","N/A",(IF($P337=-1,INDEX('卡片raw data'!S:S,MATCH($D337,'卡片raw data'!$F:$F,)),0)+IF($P337=0,INDEX('卡片raw data'!V:V,MATCH($D337,'卡片raw data'!$F:$F,)),0)+IF($P337=1,INDEX('卡片raw data'!Y:Y,MATCH($D337,'卡片raw data'!$F:$F,)),0)+IF($P337=2,INDEX('卡片raw data'!AB:AB,MATCH($D337,'卡片raw data'!$F:$F,)),0)+IF($P337=3,INDEX('卡片raw data'!AE:AE,MATCH($D337,'卡片raw data'!$F:$F,)),0)+IF($P337=4,INDEX('卡片raw data'!AH:AH,MATCH($D337,'卡片raw data'!$F:$F,)),0)+IF($P337=5,INDEX('卡片raw data'!AK:AK,MATCH($D337,'卡片raw data'!$F:$F,)),0)+INDEX('卡片raw data'!S:S,MATCH($D337,'卡片raw data'!$F:$F,))*(IF($F337="UR",0.04,0.033))*(IF($F337="UR",INDEX(绊状态确认!$S:$S,MATCH($G337,绊状态确认!$B:$B,))/2-40)+IF($F337="SR",INDEX(绊状态确认!$R:$R,MATCH($G337,绊状态确认!$B:$B,))/4-15))+IF($F337="R",INDEX(绊状态确认!$Q:$Q,MATCH($G337,绊状态确认!$B:$B,))/6-40/6)))*(INDEX(绊状态确认!$H:$H,MATCH($G337,绊状态确认!$B:$B,))+INDEX(绊状态确认!J:J,MATCH($G337,绊状态确认!$B:$B,)))</f>
        <v>6794.4901439999994</v>
      </c>
      <c r="AM337" s="1106">
        <f>IF($P337="","N/A",(IF($P337=-1,INDEX('卡片raw data'!T:T,MATCH($D337,'卡片raw data'!$F:$F,)),0)+IF($P337=0,INDEX('卡片raw data'!W:W,MATCH($D337,'卡片raw data'!$F:$F,)),0)+IF($P337=1,INDEX('卡片raw data'!Z:Z,MATCH($D337,'卡片raw data'!$F:$F,)),0)+IF($P337=2,INDEX('卡片raw data'!AC:AC,MATCH($D337,'卡片raw data'!$F:$F,)),0)+IF($P337=3,INDEX('卡片raw data'!AF:AF,MATCH($D337,'卡片raw data'!$F:$F,)),0)+IF($P337=4,INDEX('卡片raw data'!AI:AI,MATCH($D337,'卡片raw data'!$F:$F,)),0)+IF($P337=5,INDEX('卡片raw data'!AL:AL,MATCH($D337,'卡片raw data'!$F:$F,)),0)+INDEX('卡片raw data'!T:T,MATCH($D337,'卡片raw data'!$F:$F,))*(IF($F337="UR",0.04,0.033))*(IF($F337="UR",INDEX(绊状态确认!$S:$S,MATCH($G337,绊状态确认!$B:$B,))/2-40)+IF($F337="SR",INDEX(绊状态确认!$R:$R,MATCH($G337,绊状态确认!$B:$B,))/4-15))+IF($F337="R",INDEX(绊状态确认!$Q:$Q,MATCH($G337,绊状态确认!$B:$B,))/6-40/6)))*(INDEX(绊状态确认!$H:$H,MATCH($G337,绊状态确认!$B:$B,))+INDEX(绊状态确认!K:K,MATCH($G337,绊状态确认!$B:$B,)))</f>
        <v>12774.454223999997</v>
      </c>
      <c r="AN337" s="1106">
        <f>IF($P337="","N/A",(IF($P337=-1,INDEX('卡片raw data'!U:U,MATCH($D337,'卡片raw data'!$F:$F,)),0)+IF($P337=0,INDEX('卡片raw data'!X:X,MATCH($D337,'卡片raw data'!$F:$F,)),0)+IF($P337=1,INDEX('卡片raw data'!AA:AA,MATCH($D337,'卡片raw data'!$F:$F,)),0)+IF($P337=2,INDEX('卡片raw data'!AD:AD,MATCH($D337,'卡片raw data'!$F:$F,)),0)+IF($P337=3,INDEX('卡片raw data'!AG:AG,MATCH($D337,'卡片raw data'!$F:$F,)),0)+IF($P337=4,INDEX('卡片raw data'!AJ:AJ,MATCH($D337,'卡片raw data'!$F:$F,)),0)+IF($P337=5,INDEX('卡片raw data'!AM:AM,MATCH($D337,'卡片raw data'!$F:$F,)),0)+INDEX('卡片raw data'!U:U,MATCH($D337,'卡片raw data'!$F:$F,))*(IF($F337="UR",0.04,0.033))*(IF($F337="UR",INDEX(绊状态确认!$S:$S,MATCH($G337,绊状态确认!$B:$B,))/2-40)+IF($F337="SR",INDEX(绊状态确认!$R:$R,MATCH($G337,绊状态确认!$B:$B,))/4-15))+IF($F337="R",INDEX(绊状态确认!$Q:$Q,MATCH($G337,绊状态确认!$B:$B,))/6-40/6)))*(INDEX(绊状态确认!$H:$H,MATCH($G337,绊状态确认!$B:$B,))+INDEX(绊状态确认!L:L,MATCH($G337,绊状态确认!$B:$B,)))</f>
        <v>7610.2435199999991</v>
      </c>
      <c r="AO337" s="1107">
        <f t="shared" si="449"/>
        <v>1</v>
      </c>
      <c r="AP337" s="1131">
        <f>1+(INDEX(绊状态确认!$T:$T,MATCH($G337,绊状态确认!$B:$B,))+0.2)*$AO337</f>
        <v>1.3</v>
      </c>
      <c r="AQ337" s="1108">
        <f t="shared" si="450"/>
        <v>21085.536628000002</v>
      </c>
      <c r="AR337" s="1097">
        <f>(AM337*(1+$EX$9)+$EX$35)*(1+(INDEX(绊状态确认!$T:$T,MATCH($G337,绊状态确认!$B:$B,))+0.2)*AO337)*IF(J337=$FF$17,1+$FE$17,1)*IF(I337=$FF$14,1+$FE$14,1)</f>
        <v>20141.130015759998</v>
      </c>
      <c r="AS337" s="1097">
        <f>(AN337*(1+$EX$10)+$EX$36)*(1+(INDEX(绊状态确认!$T:$T,MATCH($G337,绊状态确认!$B:$B,))+0.2)*AO337)*IF(J337=$FF$17,1+$FE$17,1)*IF(I337=$FF$14,1+$FE$14,1)</f>
        <v>15433.314062399999</v>
      </c>
      <c r="AT337" s="1093">
        <f>IF(AND(INDEX('卡片raw data'!AK:AK,MATCH($D337,'卡片raw data'!$F:$F,))&lt;INDEX('卡片raw data'!AM:AM,MATCH($D337,'卡片raw data'!$F:$F,)),INDEX('卡片raw data'!AL:AL,MATCH($D337,'卡片raw data'!$F:$F,))&lt;INDEX('卡片raw data'!AM:AM,MATCH($D337,'卡片raw data'!$F:$F,))),1,0)</f>
        <v>0</v>
      </c>
      <c r="AU337" s="1098">
        <f>MIN(AT337*0.15+AS337*0.00003+INDEX(绊状态确认!M:M,MATCH($G337,绊状态确认!$B:$B,)),1)</f>
        <v>0.49299942187200002</v>
      </c>
      <c r="AV337" s="1109">
        <f>(INDEX(绊状态确认!$N:$N,MATCH($G337,绊状态确认!$B:$B,))+1.5)*$EW$21</f>
        <v>2.6599999999999997</v>
      </c>
      <c r="AW337" s="1101">
        <f t="shared" si="451"/>
        <v>19912.529810482592</v>
      </c>
      <c r="AX337" s="1097">
        <f t="shared" si="452"/>
        <v>1756.0097518784405</v>
      </c>
      <c r="AY337" s="1110">
        <f t="shared" si="453"/>
        <v>21668.539562361031</v>
      </c>
      <c r="AZ337" s="429">
        <f t="shared" si="454"/>
        <v>15849.255780799998</v>
      </c>
      <c r="BA337" s="431">
        <f t="shared" si="455"/>
        <v>19019.106936959997</v>
      </c>
      <c r="BB337" s="1097">
        <f>(AM337*(1+$FB$9)+$FB$35)*(1+(INDEX(绊状态确认!$T:$T,MATCH($G337,绊状态确认!$B:$B,))+0.2)*AO337)*IF(J337=$FF$17,1+$FE$17,1)*IF(I337=$FF$14,1+$FE$14,1)*(1+$FE$15)</f>
        <v>20141.130015759998</v>
      </c>
      <c r="BC337" s="1097">
        <f>(AN337*(1+$FB$10)+$FB$36)*(1+(INDEX(绊状态确认!$T:$T,MATCH($G337,绊状态确认!$B:$B,))+0.2)*AO337)*IF(J337=$FF$17,1+$FE$17,1)*IF(I337=$FF$14,1+$FE$14,1)*(1+$FE$15)</f>
        <v>15433.314062399999</v>
      </c>
      <c r="BD337" s="1104">
        <f>MIN(AT337*0.15+BC337*0.00003+INDEX(绊状态确认!M:M,MATCH($G337,绊状态确认!$B:$B,)),1)</f>
        <v>0.49299942187200002</v>
      </c>
      <c r="BE337" s="432">
        <f>(INDEX(绊状态确认!$N:$N,MATCH($G337,绊状态确认!$B:$B,))+1.5)</f>
        <v>1.9</v>
      </c>
      <c r="BF337" s="1139">
        <f t="array" ref="BF337">SUMPRODUCT(IF(AZ337*AP337*$FI$16:$FI$23*$FA$22&gt;=$FI$24,$FI$24,AZ337*AP337*$FI$16:$FI$23*$FA$22),$FJ$16:$FJ$23)</f>
        <v>31524.169748011202</v>
      </c>
      <c r="BG337" s="1125">
        <f t="array" ref="BG337">SUMPRODUCT(IF(BE337*AZ337*AP337*$FI$16:$FI$23*$FA$22&gt;=$FI$24,$FI$24,BE337*AZ337*AP337*$FI$16:$FI$23*$FA$22),$FJ$16:$FJ$23)</f>
        <v>56492.559276218082</v>
      </c>
      <c r="BH337" s="1110">
        <f t="shared" si="456"/>
        <v>14611.190450164031</v>
      </c>
      <c r="BI337" s="1111">
        <f>IF(O337="vo",$EW$26/$EW$24*0.05,0)+IF(O337="sk",-$EW$26/$EW$24*(0.05-INDEX(绊状态确认!W:W,MATCH($G337,绊状态确认!$B:$B,)))+0.05*$EW$28,0)+IF(O337="sp",0.05*$EW$32*$EW$30*(1-$EW$33)-(0.05-INDEX(绊状态确认!V:V,MATCH($G337,绊状态确认!$B:$B,)))*$EW$28,0)+IF(O337="gd",-(0.05-INDEX(绊状态确认!X:X,MATCH($G337,绊状态确认!$B:$B,)))*$EW$32*$EW$30*(1-$EW$33),0)</f>
        <v>-585.00000000000011</v>
      </c>
      <c r="BJ337" s="1097">
        <f>IF(O337="vo",0.05*(1-$FI$26)*$FA$24,0)+IF(O337="sk",-(0.05-INDEX(绊状态确认!W:W,MATCH($G337,绊状态确认!$B:$B,)))*(1-$FI$26)*$FA$24+0.05*$FA$26,0)+IF(O337="sp",0.05*$FA$32*$FA$27*(1-$FA$33)/$FA$30+0.05*$FA$29/$FA$69*$FA$27*(1-$FA$33)-(0.05-INDEX(绊状态确认!V:V,MATCH($G337,绊状态确认!$B:$B,)))*$FA$26,0)+IF(O337="gd",-(0.05-INDEX(绊状态确认!X:X,MATCH($G337,绊状态确认!$B:$B,)))*$FA$32*$FA$27*(1-$FA$33)/$FA$30-(0.05-INDEX(绊状态确认!X:X,MATCH($G337,绊状态确认!$B:$B,)))*$FA$29/$FA$69*$FA$27*(1-$FA$33),0)</f>
        <v>-795.00000000000011</v>
      </c>
      <c r="BK337" s="1110">
        <f>IF(O337="vo",$EW$26/$EW$24*0.05+$EW$26*(-HP($EW$62,$EW$65,$EW$64)+HP($EW$62,$EW$65,(1.05-INDEX(绊状态确认!U:U,MATCH($G337,绊状态确认!$B:$B,)))*$EW$64)),0)+IF(O337="sk",-$EW$26/$EW$24*(0.05-INDEX(绊状态确认!W:W,MATCH($G337,绊状态确认!$B:$B,)))+0.05*$EW$29,0)+IF(O337="sp",0.05*$EW$32*$EW$30*(1-$EW$33)-(0.05-INDEX(绊状态确认!V:V,MATCH($G337,绊状态确认!$B:$B,)))*$EW$29,0)+IF(O337="gd",-(0.05-INDEX(绊状态确认!X:X,MATCH($G337,绊状态确认!$B:$B,)))*$EW$32*$EW$30*(1-$EW$33)+$EW$26*(-HP($EW$62,$EW$65,$EW$64)+HP($EW$62,$EW$65,0.95*$EW$64)),0)</f>
        <v>1009.5947725176144</v>
      </c>
      <c r="BL337" s="1111">
        <f t="shared" si="457"/>
        <v>0</v>
      </c>
      <c r="BM337" s="1110">
        <f t="shared" si="458"/>
        <v>0</v>
      </c>
      <c r="BN337" s="1113">
        <f t="shared" si="459"/>
        <v>3</v>
      </c>
      <c r="BO337" s="1108">
        <f t="shared" si="460"/>
        <v>4507.7214871259994</v>
      </c>
      <c r="BP337" s="1100">
        <f t="shared" si="461"/>
        <v>221.34103209030098</v>
      </c>
      <c r="BQ337" s="1113" t="s">
        <v>1545</v>
      </c>
      <c r="BR337" s="1124" t="s">
        <v>1546</v>
      </c>
      <c r="BS337" s="1098">
        <f>IF($P337="","N/A",IF($P337=-1,INDEX('卡片raw data'!AX:AX,MATCH($D337,'卡片raw data'!$F:$F,)),0)+IF($L337="party卡",IF($P337=5,INDEX('卡片raw data'!BD:BD,MATCH($D337,'卡片raw data'!$F:$F,)),IF($P337&gt;=3,INDEX('卡片raw data'!BC:BC,MATCH($D337,'卡片raw data'!$F:$F,)),INDEX('卡片raw data'!BB:BB,MATCH($D337,'卡片raw data'!$F:$F,)))),IF(OR(AND($F337="UR",$P337=0),AND($F337="SR",$P337&gt;=0,$P337&lt;=2),AND($F337="R",$P337&gt;=0,$P337&lt;4)),INDEX('卡片raw data'!AZ:AZ,MATCH($D337,'卡片raw data'!$F:$F,)),0)+IF(OR(AND($F337="UR",$P337&gt;=1,$P337&lt;=4),AND($F337="SR",$P337&lt;=4,$P337&gt;=3),AND($F337="R",$P337=4)),INDEX('卡片raw data'!BA:BA,MATCH($D337,'卡片raw data'!$F:$F,)),0)+IF($P337=5,INDEX('卡片raw data'!BB:BB,MATCH($D337,'卡片raw data'!$F:$F,)),0)))</f>
        <v>0.09</v>
      </c>
      <c r="BT337" s="1101">
        <f t="shared" si="462"/>
        <v>0</v>
      </c>
      <c r="BU337" s="1097">
        <f t="shared" si="463"/>
        <v>0</v>
      </c>
      <c r="BV337" s="1097">
        <f t="shared" si="464"/>
        <v>0</v>
      </c>
      <c r="BW337" s="1112">
        <f t="shared" si="465"/>
        <v>1.5305444833330684</v>
      </c>
      <c r="BX337" s="1100">
        <f t="shared" si="466"/>
        <v>119.53547082783371</v>
      </c>
      <c r="BY337" s="1110">
        <f t="shared" si="467"/>
        <v>119.53547082783371</v>
      </c>
      <c r="BZ337" s="1107" t="s">
        <v>569</v>
      </c>
      <c r="CA337" s="1124"/>
      <c r="CB337" s="1098">
        <f>IF($P337="","N/A",IF($P337=-1,INDEX('卡片raw data'!BE:BE,MATCH($D337,'卡片raw data'!$F:$F,)),0)+IF($L337="party卡",IF($P337=5,INDEX('卡片raw data'!BK:BK,MATCH($D337,'卡片raw data'!$F:$F,)),IF($P337&gt;=3,INDEX('卡片raw data'!BJ:BJ,MATCH($D337,'卡片raw data'!$F:$F,)),INDEX('卡片raw data'!BI:BI,MATCH($D337,'卡片raw data'!$F:$F,)))),IF(OR(AND($F337="UR",$P337=0),AND($F337="SR",$P337&gt;=0,$P337&lt;=2),AND($F337="R",$P337&gt;=0,$P337&lt;4)),INDEX('卡片raw data'!BG:BG,MATCH($D337,'卡片raw data'!$F:$F,)),0)+IF(OR(AND($F337="UR",$P337&gt;=1,$P337&lt;=4),AND($F337="SR",$P337&lt;=4,$P337&gt;=3),AND($F337="R",$P337=4)),INDEX('卡片raw data'!BH:BH,MATCH($D337,'卡片raw data'!$F:$F,)),0)+IF($P337=5,INDEX('卡片raw data'!BI:BI,MATCH($D337,'卡片raw data'!$F:$F,)),0)))</f>
        <v>0</v>
      </c>
      <c r="CC337" s="1101">
        <f t="shared" si="468"/>
        <v>0</v>
      </c>
      <c r="CD337" s="1097">
        <f>IF(BZ337="ap",CB337*(1-$FI$26)*$FB$5/$FB$11*(+IF(CA337="全员",$FA$24,0)+IF(CA337="同作战",$FA$24,0)+IF(CA337="仲间",$FA$24*2/3,0)+IF(CA337="同属性",$FA$24*$FA$37/3,0)+IF(CA337="同年级",$FA$24*$FA$40/3,0)+IF(CA337="同学校",$FA$24*$FA$43/3,0)+IF(CA337="同小队",$FA$24*$FA$46/3,0)+IF(CA337="同type",$FA$24*INDEX($FB$49:$FB$52,MATCH(X337,$FA$49:$FA$52,))/3,0)+IF(CA337="自身",#REF!/3,0)),0)+IF(BZ337="te",CB337*(1-$FI$27)*($FA$20-1)*$FB$7/$FB$13*(+IF(CA337="全员",$FA$19*$FA$24/(1+($FA$20-1)*$FA$19),0)+IF(CA337="同作战",$FA$19*$FA$24/(1+($FA$20-1)*$FA$19),0)+IF(CA337="仲间",$FA$19*$FA$24*2/3/(1+($FA$20-1)*$FA$19),0)+IF(CA337="同属性",$FA$19*$FA$24*$FA$37/3/(1+($FA$20-1)*$FA$19),0)+IF(CA337="同年级",$FA$19*$FA$24*$FA$40/3/(1+($FA$20-1)*$FA$19),0)+IF(CA337="同学校",$FA$19*$FA$24*$FA$43/3/(1+($FA$20-1)*$FA$19),0)+IF(CA337="同小队",$FA$19*$FA$24*$FA$46/3/(1+($FA$20-1)*$FA$19),0)+IF(CA337="同type",$FA$19*$FA$24*INDEX($FB$49:$FB$52,MATCH(X337,$FA$49:$FA$52,))/3/(1+($FA$20-1)*$FA$19),0)+IF(CA337="自身",$FA$19*#REF!/3/(1+(BH337-1)*$BD337),0)),0)</f>
        <v>0</v>
      </c>
      <c r="CE337" s="1097">
        <f t="shared" si="469"/>
        <v>0</v>
      </c>
      <c r="CF337" s="1112">
        <f t="shared" si="470"/>
        <v>0</v>
      </c>
      <c r="CG337" s="1100">
        <f t="shared" si="471"/>
        <v>0</v>
      </c>
      <c r="CH337" s="1110">
        <f t="shared" si="472"/>
        <v>0</v>
      </c>
      <c r="CI337" s="1113" t="s">
        <v>162</v>
      </c>
      <c r="CJ337" s="1114">
        <v>1</v>
      </c>
      <c r="CK337" s="1115" t="s">
        <v>635</v>
      </c>
      <c r="CL337" s="1115" t="s">
        <v>1944</v>
      </c>
      <c r="CM337" s="1119">
        <v>7.4999999999999997E-2</v>
      </c>
      <c r="CN337" s="1115"/>
      <c r="CO337" s="1092"/>
      <c r="CP337" s="1116">
        <f t="shared" si="473"/>
        <v>32.369673239614286</v>
      </c>
      <c r="CQ337" s="1116">
        <f t="shared" si="474"/>
        <v>50.352825039399995</v>
      </c>
      <c r="CR337" s="1116">
        <f t="shared" si="475"/>
        <v>32.369673239614286</v>
      </c>
      <c r="CS337" s="1118">
        <f t="shared" si="476"/>
        <v>0</v>
      </c>
      <c r="CT337" s="1109">
        <f t="shared" si="477"/>
        <v>0</v>
      </c>
      <c r="CU337" s="1101">
        <f t="shared" si="478"/>
        <v>0</v>
      </c>
      <c r="CV337" s="1108">
        <f t="shared" si="479"/>
        <v>0</v>
      </c>
      <c r="CW337" s="1097">
        <f t="shared" si="480"/>
        <v>0</v>
      </c>
      <c r="CX337" s="1097">
        <f t="shared" si="481"/>
        <v>0</v>
      </c>
      <c r="CY337" s="1110">
        <f t="shared" si="482"/>
        <v>2694.790692393829</v>
      </c>
      <c r="CZ337" s="437"/>
      <c r="DA337" s="438"/>
      <c r="DB337" s="439" t="s">
        <v>569</v>
      </c>
      <c r="DC337" s="439"/>
      <c r="DD337" s="443"/>
      <c r="DE337" s="411"/>
      <c r="DF337" s="411"/>
      <c r="DG337" s="1116">
        <f t="shared" si="483"/>
        <v>0</v>
      </c>
      <c r="DH337" s="1116">
        <f t="shared" si="484"/>
        <v>0</v>
      </c>
      <c r="DI337" s="1116">
        <f t="shared" si="485"/>
        <v>0</v>
      </c>
      <c r="DJ337" s="442">
        <f t="shared" si="486"/>
        <v>0</v>
      </c>
      <c r="DK337" s="1109">
        <f t="shared" si="487"/>
        <v>0</v>
      </c>
      <c r="DL337" s="1101">
        <f t="shared" si="488"/>
        <v>0</v>
      </c>
      <c r="DM337" s="1097">
        <f t="shared" si="489"/>
        <v>0</v>
      </c>
      <c r="DN337" s="1097">
        <f t="shared" si="490"/>
        <v>0</v>
      </c>
      <c r="DO337" s="1097">
        <f t="shared" si="491"/>
        <v>0</v>
      </c>
      <c r="DP337" s="1110">
        <f t="shared" si="492"/>
        <v>0</v>
      </c>
      <c r="DQ337" s="1113" t="s">
        <v>635</v>
      </c>
      <c r="DR337" s="1120">
        <f t="shared" si="493"/>
        <v>0.33</v>
      </c>
      <c r="DS337" s="1124"/>
      <c r="DT337" s="1093" t="s">
        <v>133</v>
      </c>
      <c r="DU337" s="1093"/>
      <c r="DV337" s="1098">
        <f>IF($P337="","N/A",IF(P337=-1,INDEX('卡片raw data'!AN:AN,MATCH(D337,'卡片raw data'!$F:$F,)),0)+IF(AND(L337&lt;&gt;"party卡",P337&lt;=2,P337&gt;=0),INDEX('卡片raw data'!AP:AP,MATCH(D337,'卡片raw data'!$F:$F,)),0)+IF(OR(AND(L337="party卡",P337&lt;=1),AND(P337&lt;=4,L337&lt;&gt;"party卡",P337&gt;=3)),INDEX('卡片raw data'!AQ:AQ,MATCH(D337,'卡片raw data'!$F:$F,)),0)+IF(OR(P337=5,AND(L337="party卡",P337&gt;=2)),INDEX('卡片raw data'!AR:AR,MATCH(D337,'卡片raw data'!$F:$F,)),0))</f>
        <v>0.28000000000000003</v>
      </c>
      <c r="DW337" s="1098">
        <f t="shared" si="494"/>
        <v>0.33</v>
      </c>
      <c r="DX337" s="1098">
        <f t="shared" si="495"/>
        <v>0.33</v>
      </c>
      <c r="DY337" s="1097">
        <f t="shared" si="496"/>
        <v>620.34680448540792</v>
      </c>
      <c r="DZ337" s="1097">
        <f t="shared" si="497"/>
        <v>536.59998587987786</v>
      </c>
      <c r="EA337" s="1098">
        <f t="shared" si="498"/>
        <v>0</v>
      </c>
      <c r="EB337" s="1121">
        <f t="shared" si="499"/>
        <v>0</v>
      </c>
      <c r="EC337" s="1101">
        <f t="shared" si="500"/>
        <v>0</v>
      </c>
      <c r="ED337" s="1097">
        <f t="shared" si="501"/>
        <v>0</v>
      </c>
      <c r="EE337" s="1110">
        <f t="shared" si="502"/>
        <v>48435.03108962375</v>
      </c>
      <c r="EF337" s="1115" t="s">
        <v>569</v>
      </c>
      <c r="EG337" s="1120">
        <f t="shared" si="503"/>
        <v>0.33</v>
      </c>
      <c r="EH337" s="1124"/>
      <c r="EI337" s="1093"/>
      <c r="EJ337" s="1093"/>
      <c r="EK337" s="1097">
        <f>IF($P337="","N/A",IF(P337=-1,INDEX('卡片raw data'!AS:AS,MATCH(D337,'卡片raw data'!$F:$F,)),0)+IF(AND(L337&lt;&gt;"party卡",P337&lt;=2,P337&gt;=0),INDEX('卡片raw data'!AU:AU,MATCH(D337,'卡片raw data'!$F:$F,)),0)+IF(OR(AND(L337="party卡",P337&lt;=1),AND(P337&lt;=4,L337&lt;&gt;"party卡",P337&gt;=3)),INDEX('卡片raw data'!AV:AV,MATCH(D337,'卡片raw data'!$F:$F,)),0)+IF(OR(P337=5,AND(L337="party卡",P337&gt;=2)),INDEX('卡片raw data'!AW:AW,MATCH(D337,'卡片raw data'!$F:$F,)),0))</f>
        <v>0</v>
      </c>
      <c r="EL337" s="1098">
        <f t="shared" si="504"/>
        <v>0.33</v>
      </c>
      <c r="EM337" s="1098">
        <f t="shared" si="505"/>
        <v>0.33</v>
      </c>
      <c r="EN337" s="1097">
        <f t="shared" si="506"/>
        <v>0</v>
      </c>
      <c r="EO337" s="1125">
        <f t="shared" si="507"/>
        <v>0</v>
      </c>
      <c r="EP337" s="1098">
        <f t="shared" si="508"/>
        <v>0</v>
      </c>
      <c r="EQ337" s="1121">
        <f t="shared" si="509"/>
        <v>0</v>
      </c>
      <c r="ER337" s="1101">
        <f t="shared" si="510"/>
        <v>0</v>
      </c>
      <c r="ES337" s="1097">
        <f t="shared" si="511"/>
        <v>0</v>
      </c>
      <c r="ET337" s="1122">
        <f t="shared" si="512"/>
        <v>0</v>
      </c>
    </row>
    <row r="338" spans="2:150" ht="16.5" customHeight="1">
      <c r="B338" s="1123" t="str">
        <f>INDEX('卡片raw data'!B:B,MATCH($D338,'卡片raw data'!$F:$F,))</f>
        <v>四单千</v>
      </c>
      <c r="C338" s="449" t="s">
        <v>1548</v>
      </c>
      <c r="D338" s="408">
        <v>335</v>
      </c>
      <c r="E338" s="1090">
        <v>401012003</v>
      </c>
      <c r="F338" s="1090" t="str">
        <f>INDEX('卡片raw data'!C:C,MATCH($D338,'卡片raw data'!$F:$F,))</f>
        <v>SR</v>
      </c>
      <c r="G338" s="1094" t="s">
        <v>1549</v>
      </c>
      <c r="H338" s="411">
        <f>IFERROR(INDEX(绊状态确认!C:C,MATCH($G338,绊状态确认!$B:$B,)),"")</f>
        <v>101</v>
      </c>
      <c r="I338" s="450" t="str">
        <f>IFERROR(INDEX(绊状态确认!D:D,MATCH($G338,绊状态确认!$B:$B,)),"")</f>
        <v>水</v>
      </c>
      <c r="J338" s="450" t="str">
        <f>IFERROR(INDEX(绊状态确认!E:E,MATCH($G338,绊状态确认!$B:$B,)),"")</f>
        <v>2年级</v>
      </c>
      <c r="K338" s="451" t="str">
        <f>IFERROR(INDEX(绊状态确认!F:F,MATCH($G338,绊状态确认!$B:$B,)),"")</f>
        <v>CYaRon!</v>
      </c>
      <c r="L338" s="1094" t="str">
        <f>INDEX('卡片raw data'!E:E,MATCH($D338,'卡片raw data'!$F:$F,))</f>
        <v>活动卡</v>
      </c>
      <c r="M338" s="415">
        <v>44123</v>
      </c>
      <c r="N338" s="416">
        <v>26</v>
      </c>
      <c r="O338" s="1091" t="str">
        <f>INDEX('卡片raw data'!D:D,MATCH($D338,'卡片raw data'!$F:$F,))</f>
        <v>sp</v>
      </c>
      <c r="P338" s="1126">
        <v>5</v>
      </c>
      <c r="Q338" s="1095">
        <f t="shared" si="428"/>
        <v>20634.221082469106</v>
      </c>
      <c r="R338" s="1096">
        <f t="shared" si="429"/>
        <v>0.23899999999999999</v>
      </c>
      <c r="S338" s="1097">
        <f t="shared" si="430"/>
        <v>12489.831641731153</v>
      </c>
      <c r="T338" s="1098">
        <f t="shared" si="431"/>
        <v>0.624</v>
      </c>
      <c r="U338" s="1099">
        <f t="shared" si="432"/>
        <v>10.914345763062856</v>
      </c>
      <c r="V338" s="1100">
        <f t="shared" si="433"/>
        <v>19702.985800453294</v>
      </c>
      <c r="W338" s="1101">
        <f t="shared" si="434"/>
        <v>4574.5786299831425</v>
      </c>
      <c r="X338" s="1096">
        <f t="shared" si="435"/>
        <v>5.2999999999999999E-2</v>
      </c>
      <c r="Y338" s="1097">
        <f t="shared" si="436"/>
        <v>868.7647179841897</v>
      </c>
      <c r="Z338" s="1102">
        <f t="shared" si="437"/>
        <v>10.914345763062856</v>
      </c>
      <c r="AA338" s="1103">
        <f t="shared" si="438"/>
        <v>5443.3433479673322</v>
      </c>
      <c r="AB338" s="1101">
        <f t="shared" si="439"/>
        <v>4878.147104848812</v>
      </c>
      <c r="AC338" s="1104">
        <f t="shared" si="440"/>
        <v>5.6000000000000001E-2</v>
      </c>
      <c r="AD338" s="1105">
        <f t="shared" si="441"/>
        <v>-1.9908281250000003E-2</v>
      </c>
      <c r="AE338" s="1128">
        <f t="shared" si="442"/>
        <v>4.2136741621376785</v>
      </c>
      <c r="AF338" s="1130">
        <f t="shared" si="443"/>
        <v>0</v>
      </c>
      <c r="AG338" s="420">
        <f t="shared" si="444"/>
        <v>0</v>
      </c>
      <c r="AH338" s="420">
        <f t="shared" si="445"/>
        <v>0</v>
      </c>
      <c r="AI338" s="1097">
        <f t="shared" si="446"/>
        <v>0</v>
      </c>
      <c r="AJ338" s="420">
        <f t="shared" si="447"/>
        <v>0</v>
      </c>
      <c r="AK338" s="518">
        <f t="shared" si="448"/>
        <v>0</v>
      </c>
      <c r="AL338" s="1106">
        <f>IF($P338="","N/A",(IF($P338=-1,INDEX('卡片raw data'!S:S,MATCH($D338,'卡片raw data'!$F:$F,)),0)+IF($P338=0,INDEX('卡片raw data'!V:V,MATCH($D338,'卡片raw data'!$F:$F,)),0)+IF($P338=1,INDEX('卡片raw data'!Y:Y,MATCH($D338,'卡片raw data'!$F:$F,)),0)+IF($P338=2,INDEX('卡片raw data'!AB:AB,MATCH($D338,'卡片raw data'!$F:$F,)),0)+IF($P338=3,INDEX('卡片raw data'!AE:AE,MATCH($D338,'卡片raw data'!$F:$F,)),0)+IF($P338=4,INDEX('卡片raw data'!AH:AH,MATCH($D338,'卡片raw data'!$F:$F,)),0)+IF($P338=5,INDEX('卡片raw data'!AK:AK,MATCH($D338,'卡片raw data'!$F:$F,)),0)+INDEX('卡片raw data'!S:S,MATCH($D338,'卡片raw data'!$F:$F,))*(IF($F338="UR",0.04,0.033))*(IF($F338="UR",INDEX(绊状态确认!$S:$S,MATCH($G338,绊状态确认!$B:$B,))/2-40)+IF($F338="SR",INDEX(绊状态确认!$R:$R,MATCH($G338,绊状态确认!$B:$B,))/4-15))+IF($F338="R",INDEX(绊状态确认!$Q:$Q,MATCH($G338,绊状态确认!$B:$B,))/6-40/6)))*(INDEX(绊状态确认!$H:$H,MATCH($G338,绊状态确认!$B:$B,))+INDEX(绊状态确认!J:J,MATCH($G338,绊状态确认!$B:$B,)))</f>
        <v>4797.1853231999994</v>
      </c>
      <c r="AM338" s="1106">
        <f>IF($P338="","N/A",(IF($P338=-1,INDEX('卡片raw data'!T:T,MATCH($D338,'卡片raw data'!$F:$F,)),0)+IF($P338=0,INDEX('卡片raw data'!W:W,MATCH($D338,'卡片raw data'!$F:$F,)),0)+IF($P338=1,INDEX('卡片raw data'!Z:Z,MATCH($D338,'卡片raw data'!$F:$F,)),0)+IF($P338=2,INDEX('卡片raw data'!AC:AC,MATCH($D338,'卡片raw data'!$F:$F,)),0)+IF($P338=3,INDEX('卡片raw data'!AF:AF,MATCH($D338,'卡片raw data'!$F:$F,)),0)+IF($P338=4,INDEX('卡片raw data'!AI:AI,MATCH($D338,'卡片raw data'!$F:$F,)),0)+IF($P338=5,INDEX('卡片raw data'!AL:AL,MATCH($D338,'卡片raw data'!$F:$F,)),0)+INDEX('卡片raw data'!T:T,MATCH($D338,'卡片raw data'!$F:$F,))*(IF($F338="UR",0.04,0.033))*(IF($F338="UR",INDEX(绊状态确认!$S:$S,MATCH($G338,绊状态确认!$B:$B,))/2-40)+IF($F338="SR",INDEX(绊状态确认!$R:$R,MATCH($G338,绊状态确认!$B:$B,))/4-15))+IF($F338="R",INDEX(绊状态确认!$Q:$Q,MATCH($G338,绊状态确认!$B:$B,))/6-40/6)))*(INDEX(绊状态确认!$H:$H,MATCH($G338,绊状态确认!$B:$B,))+INDEX(绊状态确认!K:K,MATCH($G338,绊状态确认!$B:$B,)))</f>
        <v>5481.8481407999998</v>
      </c>
      <c r="AN338" s="1106">
        <f>IF($P338="","N/A",(IF($P338=-1,INDEX('卡片raw data'!U:U,MATCH($D338,'卡片raw data'!$F:$F,)),0)+IF($P338=0,INDEX('卡片raw data'!X:X,MATCH($D338,'卡片raw data'!$F:$F,)),0)+IF($P338=1,INDEX('卡片raw data'!AA:AA,MATCH($D338,'卡片raw data'!$F:$F,)),0)+IF($P338=2,INDEX('卡片raw data'!AD:AD,MATCH($D338,'卡片raw data'!$F:$F,)),0)+IF($P338=3,INDEX('卡片raw data'!AG:AG,MATCH($D338,'卡片raw data'!$F:$F,)),0)+IF($P338=4,INDEX('卡片raw data'!AJ:AJ,MATCH($D338,'卡片raw data'!$F:$F,)),0)+IF($P338=5,INDEX('卡片raw data'!AM:AM,MATCH($D338,'卡片raw data'!$F:$F,)),0)+INDEX('卡片raw data'!U:U,MATCH($D338,'卡片raw data'!$F:$F,))*(IF($F338="UR",0.04,0.033))*(IF($F338="UR",INDEX(绊状态确认!$S:$S,MATCH($G338,绊状态确认!$B:$B,))/2-40)+IF($F338="SR",INDEX(绊状态确认!$R:$R,MATCH($G338,绊状态确认!$B:$B,))/4-15))+IF($F338="R",INDEX(绊状态确认!$Q:$Q,MATCH($G338,绊状态确认!$B:$B,))/6-40/6)))*(INDEX(绊状态确认!$H:$H,MATCH($G338,绊状态确认!$B:$B,))+INDEX(绊状态确认!L:L,MATCH($G338,绊状态确认!$B:$B,)))</f>
        <v>6853.4465759999994</v>
      </c>
      <c r="AO338" s="1107">
        <f t="shared" si="449"/>
        <v>1</v>
      </c>
      <c r="AP338" s="1131">
        <f>1+(INDEX(绊状态确认!$T:$T,MATCH($G338,绊状态确认!$B:$B,))+0.2)*$AO338</f>
        <v>1.3</v>
      </c>
      <c r="AQ338" s="1108">
        <f t="shared" si="450"/>
        <v>15842.6114734</v>
      </c>
      <c r="AR338" s="1097">
        <f>(AM338*(1+$EX$9)+$EX$35)*(1+(INDEX(绊状态确认!$T:$T,MATCH($G338,绊状态确认!$B:$B,))+0.2)*AO338)*IF(J338=$FF$17,1+$FE$17,1)*IF(I338=$FF$14,1+$FE$14,1)</f>
        <v>10186.722712192</v>
      </c>
      <c r="AS338" s="1097">
        <f>(AN338*(1+$EX$10)+$EX$36)*(1+(INDEX(绊状态确认!$T:$T,MATCH($G338,绊状态确认!$B:$B,))+0.2)*AO338)*IF(J338=$FF$17,1+$FE$17,1)*IF(I338=$FF$14,1+$FE$14,1)</f>
        <v>14301.902631119998</v>
      </c>
      <c r="AT338" s="1093">
        <f>IF(AND(INDEX('卡片raw data'!AK:AK,MATCH($D338,'卡片raw data'!$F:$F,))&lt;INDEX('卡片raw data'!AM:AM,MATCH($D338,'卡片raw data'!$F:$F,)),INDEX('卡片raw data'!AL:AL,MATCH($D338,'卡片raw data'!$F:$F,))&lt;INDEX('卡片raw data'!AM:AM,MATCH($D338,'卡片raw data'!$F:$F,))),1,0)</f>
        <v>1</v>
      </c>
      <c r="AU338" s="1098">
        <f>MIN(AT338*0.15+AS338*0.00003+INDEX(绊状态确认!M:M,MATCH($G338,绊状态确认!$B:$B,)),1)</f>
        <v>0.60905707893359995</v>
      </c>
      <c r="AV338" s="1109">
        <f>(INDEX(绊状态确认!$N:$N,MATCH($G338,绊状态确认!$B:$B,))+1.5)*$EW$21</f>
        <v>2.6599999999999997</v>
      </c>
      <c r="AW338" s="1101">
        <f t="shared" si="451"/>
        <v>16546.407310953626</v>
      </c>
      <c r="AX338" s="1097">
        <f t="shared" si="452"/>
        <v>868.76471798418936</v>
      </c>
      <c r="AY338" s="1110">
        <f t="shared" si="453"/>
        <v>17415.172028937814</v>
      </c>
      <c r="AZ338" s="429">
        <f t="shared" si="454"/>
        <v>11954.511380239999</v>
      </c>
      <c r="BA338" s="431">
        <f t="shared" si="455"/>
        <v>14345.413656287999</v>
      </c>
      <c r="BB338" s="1097">
        <f>(AM338*(1+$FB$9)+$FB$35)*(1+(INDEX(绊状态确认!$T:$T,MATCH($G338,绊状态确认!$B:$B,))+0.2)*AO338)*IF(J338=$FF$17,1+$FE$17,1)*IF(I338=$FF$14,1+$FE$14,1)*(1+$FE$15)</f>
        <v>10186.722712192</v>
      </c>
      <c r="BC338" s="1097">
        <f>(AN338*(1+$FB$10)+$FB$36)*(1+(INDEX(绊状态确认!$T:$T,MATCH($G338,绊状态确认!$B:$B,))+0.2)*AO338)*IF(J338=$FF$17,1+$FE$17,1)*IF(I338=$FF$14,1+$FE$14,1)*(1+$FE$15)</f>
        <v>14301.902631119998</v>
      </c>
      <c r="BD338" s="1104">
        <f>MIN(AT338*0.15+BC338*0.00003+INDEX(绊状态确认!M:M,MATCH($G338,绊状态确认!$B:$B,)),1)</f>
        <v>0.60905707893359995</v>
      </c>
      <c r="BE338" s="432">
        <f>(INDEX(绊状态确认!$N:$N,MATCH($G338,绊状态确认!$B:$B,))+1.5)</f>
        <v>1.9</v>
      </c>
      <c r="BF338" s="1139">
        <f t="array" ref="BF338">SUMPRODUCT(IF(AZ338*AP338*$FI$16:$FI$23*$FA$22&gt;=$FI$24,$FI$24,AZ338*AP338*$FI$16:$FI$23*$FA$22),$FJ$16:$FJ$23)</f>
        <v>23777.523135297357</v>
      </c>
      <c r="BG338" s="1125">
        <f t="array" ref="BG338">SUMPRODUCT(IF(BE338*AZ338*AP338*$FI$16:$FI$23*$FA$22&gt;=$FI$24,$FI$24,BE338*AZ338*AP338*$FI$16:$FI$23*$FA$22),$FJ$16:$FJ$23)</f>
        <v>45177.293957064991</v>
      </c>
      <c r="BH338" s="1110">
        <f t="shared" si="456"/>
        <v>12270.401680617209</v>
      </c>
      <c r="BI338" s="1111">
        <f>IF(O338="vo",$EW$26/$EW$24*0.05,0)+IF(O338="sk",-$EW$26/$EW$24*(0.05-INDEX(绊状态确认!W:W,MATCH($G338,绊状态确认!$B:$B,)))+0.05*$EW$28,0)+IF(O338="sp",0.05*$EW$32*$EW$30*(1-$EW$33)-(0.05-INDEX(绊状态确认!V:V,MATCH($G338,绊状态确认!$B:$B,)))*$EW$28,0)+IF(O338="gd",-(0.05-INDEX(绊状态确认!X:X,MATCH($G338,绊状态确认!$B:$B,)))*$EW$32*$EW$30*(1-$EW$33),0)</f>
        <v>19.999999999999886</v>
      </c>
      <c r="BJ338" s="1097">
        <f>IF(O338="vo",0.05*(1-$FI$26)*$FA$24,0)+IF(O338="sk",-(0.05-INDEX(绊状态确认!W:W,MATCH($G338,绊状态确认!$B:$B,)))*(1-$FI$26)*$FA$24+0.05*$FA$26,0)+IF(O338="sp",0.05*$FA$32*$FA$27*(1-$FA$33)/$FA$30+0.05*$FA$29/$FA$69*$FA$27*(1-$FA$33)-(0.05-INDEX(绊状态确认!V:V,MATCH($G338,绊状态确认!$B:$B,)))*$FA$26,0)+IF(O338="gd",-(0.05-INDEX(绊状态确认!X:X,MATCH($G338,绊状态确认!$B:$B,)))*$FA$32*$FA$27*(1-$FA$33)/$FA$30-(0.05-INDEX(绊状态确认!X:X,MATCH($G338,绊状态确认!$B:$B,)))*$FA$29/$FA$69*$FA$27*(1-$FA$33),0)</f>
        <v>545.83333333333326</v>
      </c>
      <c r="BK338" s="1110">
        <f>IF(O338="vo",$EW$26/$EW$24*0.05+$EW$26*(-HP($EW$62,$EW$65,$EW$64)+HP($EW$62,$EW$65,(1.05-INDEX(绊状态确认!U:U,MATCH($G338,绊状态确认!$B:$B,)))*$EW$64)),0)+IF(O338="sk",-$EW$26/$EW$24*(0.05-INDEX(绊状态确认!W:W,MATCH($G338,绊状态确认!$B:$B,)))+0.05*$EW$29,0)+IF(O338="sp",0.05*$EW$32*$EW$30*(1-$EW$33)-(0.05-INDEX(绊状态确认!V:V,MATCH($G338,绊状态确认!$B:$B,)))*$EW$29,0)+IF(O338="gd",-(0.05-INDEX(绊状态确认!X:X,MATCH($G338,绊状态确认!$B:$B,)))*$EW$32*$EW$30*(1-$EW$33)+$EW$26*(-HP($EW$62,$EW$65,$EW$64)+HP($EW$62,$EW$65,0.95*$EW$64)),0)</f>
        <v>-1780.0000000000005</v>
      </c>
      <c r="BL338" s="1111">
        <f t="shared" si="457"/>
        <v>-1083.3333333333333</v>
      </c>
      <c r="BM338" s="1110">
        <f t="shared" si="458"/>
        <v>-830.55555555555543</v>
      </c>
      <c r="BN338" s="1113">
        <f t="shared" si="459"/>
        <v>3</v>
      </c>
      <c r="BO338" s="1108">
        <f t="shared" si="460"/>
        <v>4507.7214871259994</v>
      </c>
      <c r="BP338" s="1100">
        <f t="shared" si="461"/>
        <v>221.34103209030098</v>
      </c>
      <c r="BQ338" s="1113" t="s">
        <v>134</v>
      </c>
      <c r="BR338" s="1124" t="s">
        <v>166</v>
      </c>
      <c r="BS338" s="1098">
        <f>IF($P338="","N/A",IF($P338=-1,INDEX('卡片raw data'!AX:AX,MATCH($D338,'卡片raw data'!$F:$F,)),0)+IF($L338="party卡",IF($P338=5,INDEX('卡片raw data'!BD:BD,MATCH($D338,'卡片raw data'!$F:$F,)),IF($P338&gt;=3,INDEX('卡片raw data'!BC:BC,MATCH($D338,'卡片raw data'!$F:$F,)),INDEX('卡片raw data'!BB:BB,MATCH($D338,'卡片raw data'!$F:$F,)))),IF(OR(AND($F338="UR",$P338=0),AND($F338="SR",$P338&gt;=0,$P338&lt;=2),AND($F338="R",$P338&gt;=0,$P338&lt;4)),INDEX('卡片raw data'!AZ:AZ,MATCH($D338,'卡片raw data'!$F:$F,)),0)+IF(OR(AND($F338="UR",$P338&gt;=1,$P338&lt;=4),AND($F338="SR",$P338&lt;=4,$P338&gt;=3),AND($F338="R",$P338=4)),INDEX('卡片raw data'!BA:BA,MATCH($D338,'卡片raw data'!$F:$F,)),0)+IF($P338=5,INDEX('卡片raw data'!BB:BB,MATCH($D338,'卡片raw data'!$F:$F,)),0)))</f>
        <v>7.0000000000000007E-2</v>
      </c>
      <c r="BT338" s="1101">
        <f t="shared" si="462"/>
        <v>303.56847486566988</v>
      </c>
      <c r="BU338" s="1097">
        <f t="shared" si="463"/>
        <v>22.033317912529505</v>
      </c>
      <c r="BV338" s="1097">
        <f t="shared" si="464"/>
        <v>0</v>
      </c>
      <c r="BW338" s="1112">
        <f t="shared" si="465"/>
        <v>0</v>
      </c>
      <c r="BX338" s="1100">
        <f t="shared" si="466"/>
        <v>303.56847486566988</v>
      </c>
      <c r="BY338" s="1110">
        <f t="shared" si="467"/>
        <v>0</v>
      </c>
      <c r="BZ338" s="1107" t="s">
        <v>569</v>
      </c>
      <c r="CA338" s="1124"/>
      <c r="CB338" s="1098">
        <f>IF($P338="","N/A",IF($P338=-1,INDEX('卡片raw data'!BE:BE,MATCH($D338,'卡片raw data'!$F:$F,)),0)+IF($L338="party卡",IF($P338=5,INDEX('卡片raw data'!BK:BK,MATCH($D338,'卡片raw data'!$F:$F,)),IF($P338&gt;=3,INDEX('卡片raw data'!BJ:BJ,MATCH($D338,'卡片raw data'!$F:$F,)),INDEX('卡片raw data'!BI:BI,MATCH($D338,'卡片raw data'!$F:$F,)))),IF(OR(AND($F338="UR",$P338=0),AND($F338="SR",$P338&gt;=0,$P338&lt;=2),AND($F338="R",$P338&gt;=0,$P338&lt;4)),INDEX('卡片raw data'!BG:BG,MATCH($D338,'卡片raw data'!$F:$F,)),0)+IF(OR(AND($F338="UR",$P338&gt;=1,$P338&lt;=4),AND($F338="SR",$P338&lt;=4,$P338&gt;=3),AND($F338="R",$P338=4)),INDEX('卡片raw data'!BH:BH,MATCH($D338,'卡片raw data'!$F:$F,)),0)+IF($P338=5,INDEX('卡片raw data'!BI:BI,MATCH($D338,'卡片raw data'!$F:$F,)),0)))</f>
        <v>0</v>
      </c>
      <c r="CC338" s="1101">
        <f t="shared" si="468"/>
        <v>0</v>
      </c>
      <c r="CD338" s="1097">
        <f>IF(BZ338="ap",CB338*(1-$FI$26)*$FB$5/$FB$11*(+IF(CA338="全员",$FA$24,0)+IF(CA338="同作战",$FA$24,0)+IF(CA338="仲间",$FA$24*2/3,0)+IF(CA338="同属性",$FA$24*$FA$37/3,0)+IF(CA338="同年级",$FA$24*$FA$40/3,0)+IF(CA338="同学校",$FA$24*$FA$43/3,0)+IF(CA338="同小队",$FA$24*$FA$46/3,0)+IF(CA338="同type",$FA$24*INDEX($FB$49:$FB$52,MATCH(X338,$FA$49:$FA$52,))/3,0)+IF(CA338="自身",#REF!/3,0)),0)+IF(BZ338="te",CB338*(1-$FI$27)*($FA$20-1)*$FB$7/$FB$13*(+IF(CA338="全员",$FA$19*$FA$24/(1+($FA$20-1)*$FA$19),0)+IF(CA338="同作战",$FA$19*$FA$24/(1+($FA$20-1)*$FA$19),0)+IF(CA338="仲间",$FA$19*$FA$24*2/3/(1+($FA$20-1)*$FA$19),0)+IF(CA338="同属性",$FA$19*$FA$24*$FA$37/3/(1+($FA$20-1)*$FA$19),0)+IF(CA338="同年级",$FA$19*$FA$24*$FA$40/3/(1+($FA$20-1)*$FA$19),0)+IF(CA338="同学校",$FA$19*$FA$24*$FA$43/3/(1+($FA$20-1)*$FA$19),0)+IF(CA338="同小队",$FA$19*$FA$24*$FA$46/3/(1+($FA$20-1)*$FA$19),0)+IF(CA338="同type",$FA$19*$FA$24*INDEX($FB$49:$FB$52,MATCH(X338,$FA$49:$FA$52,))/3/(1+($FA$20-1)*$FA$19),0)+IF(CA338="自身",$FA$19*#REF!/3/(1+(BH338-1)*$BD338),0)),0)</f>
        <v>0</v>
      </c>
      <c r="CE338" s="1097">
        <f t="shared" si="469"/>
        <v>0</v>
      </c>
      <c r="CF338" s="1112">
        <f t="shared" si="470"/>
        <v>0</v>
      </c>
      <c r="CG338" s="1100">
        <f t="shared" si="471"/>
        <v>0</v>
      </c>
      <c r="CH338" s="1110">
        <f t="shared" si="472"/>
        <v>0</v>
      </c>
      <c r="CI338" s="1113" t="s">
        <v>164</v>
      </c>
      <c r="CJ338" s="1114">
        <v>1</v>
      </c>
      <c r="CK338" s="1115" t="s">
        <v>1551</v>
      </c>
      <c r="CL338" s="1115" t="s">
        <v>1550</v>
      </c>
      <c r="CM338" s="1119">
        <v>0.08</v>
      </c>
      <c r="CN338" s="1115">
        <v>3</v>
      </c>
      <c r="CO338" s="1092"/>
      <c r="CP338" s="1118">
        <f t="shared" si="473"/>
        <v>5.1428571428571426E-3</v>
      </c>
      <c r="CQ338" s="1118">
        <f t="shared" si="474"/>
        <v>8.0000000000000002E-3</v>
      </c>
      <c r="CR338" s="1118">
        <f t="shared" si="475"/>
        <v>5.1428571428571426E-3</v>
      </c>
      <c r="CS338" s="1118">
        <f t="shared" si="476"/>
        <v>0</v>
      </c>
      <c r="CT338" s="1109">
        <f t="shared" si="477"/>
        <v>1.375</v>
      </c>
      <c r="CU338" s="1101">
        <f t="shared" si="478"/>
        <v>66.857142857142847</v>
      </c>
      <c r="CV338" s="1108">
        <f t="shared" si="479"/>
        <v>79.73333333333332</v>
      </c>
      <c r="CW338" s="1097">
        <f t="shared" si="480"/>
        <v>66.857142857142847</v>
      </c>
      <c r="CX338" s="1097">
        <f t="shared" si="481"/>
        <v>66.857142857142847</v>
      </c>
      <c r="CY338" s="1110">
        <f t="shared" si="482"/>
        <v>66.857142857142847</v>
      </c>
      <c r="CZ338" s="437"/>
      <c r="DA338" s="438"/>
      <c r="DB338" s="439" t="s">
        <v>569</v>
      </c>
      <c r="DC338" s="439"/>
      <c r="DD338" s="443"/>
      <c r="DE338" s="411"/>
      <c r="DF338" s="411"/>
      <c r="DG338" s="1116">
        <f t="shared" si="483"/>
        <v>0</v>
      </c>
      <c r="DH338" s="1116">
        <f t="shared" si="484"/>
        <v>0</v>
      </c>
      <c r="DI338" s="1116">
        <f t="shared" si="485"/>
        <v>0</v>
      </c>
      <c r="DJ338" s="442">
        <f t="shared" si="486"/>
        <v>0</v>
      </c>
      <c r="DK338" s="1109">
        <f t="shared" si="487"/>
        <v>0</v>
      </c>
      <c r="DL338" s="1101">
        <f t="shared" si="488"/>
        <v>0</v>
      </c>
      <c r="DM338" s="1097">
        <f t="shared" si="489"/>
        <v>0</v>
      </c>
      <c r="DN338" s="1097">
        <f t="shared" si="490"/>
        <v>0</v>
      </c>
      <c r="DO338" s="1097">
        <f t="shared" si="491"/>
        <v>0</v>
      </c>
      <c r="DP338" s="1110">
        <f t="shared" si="492"/>
        <v>0</v>
      </c>
      <c r="DQ338" s="1113" t="s">
        <v>533</v>
      </c>
      <c r="DR338" s="1120">
        <f t="shared" si="493"/>
        <v>0.3</v>
      </c>
      <c r="DS338" s="1124">
        <v>2</v>
      </c>
      <c r="DT338" s="1093" t="s">
        <v>161</v>
      </c>
      <c r="DU338" s="1093" t="s">
        <v>544</v>
      </c>
      <c r="DV338" s="1098">
        <f>IF($P338="","N/A",IF(P338=-1,INDEX('卡片raw data'!AN:AN,MATCH(D338,'卡片raw data'!$F:$F,)),0)+IF(AND(L338&lt;&gt;"party卡",P338&lt;=2,P338&gt;=0),INDEX('卡片raw data'!AP:AP,MATCH(D338,'卡片raw data'!$F:$F,)),0)+IF(OR(AND(L338="party卡",P338&lt;=1),AND(P338&lt;=4,L338&lt;&gt;"party卡",P338&gt;=3)),INDEX('卡片raw data'!AQ:AQ,MATCH(D338,'卡片raw data'!$F:$F,)),0)+IF(OR(P338=5,AND(L338="party卡",P338&gt;=2)),INDEX('卡片raw data'!AR:AR,MATCH(D338,'卡片raw data'!$F:$F,)),0))</f>
        <v>0.105</v>
      </c>
      <c r="DW338" s="1098">
        <f t="shared" si="494"/>
        <v>0.3</v>
      </c>
      <c r="DX338" s="1098">
        <f t="shared" si="495"/>
        <v>0.3</v>
      </c>
      <c r="DY338" s="1098">
        <f t="shared" si="496"/>
        <v>2.1000000000000001E-2</v>
      </c>
      <c r="DZ338" s="1098">
        <f t="shared" si="497"/>
        <v>1.8165000000000001E-2</v>
      </c>
      <c r="EA338" s="1098">
        <f t="shared" si="498"/>
        <v>0</v>
      </c>
      <c r="EB338" s="1121">
        <f t="shared" si="499"/>
        <v>4.1901234374999987</v>
      </c>
      <c r="EC338" s="1101">
        <f t="shared" si="500"/>
        <v>273</v>
      </c>
      <c r="ED338" s="1097">
        <f t="shared" si="501"/>
        <v>181.04449999999997</v>
      </c>
      <c r="EE338" s="1110">
        <f t="shared" si="502"/>
        <v>273</v>
      </c>
      <c r="EF338" s="1115" t="s">
        <v>569</v>
      </c>
      <c r="EG338" s="1120">
        <f t="shared" si="503"/>
        <v>0.3</v>
      </c>
      <c r="EH338" s="1124"/>
      <c r="EI338" s="1093"/>
      <c r="EJ338" s="1093"/>
      <c r="EK338" s="1097">
        <f>IF($P338="","N/A",IF(P338=-1,INDEX('卡片raw data'!AS:AS,MATCH(D338,'卡片raw data'!$F:$F,)),0)+IF(AND(L338&lt;&gt;"party卡",P338&lt;=2,P338&gt;=0),INDEX('卡片raw data'!AU:AU,MATCH(D338,'卡片raw data'!$F:$F,)),0)+IF(OR(AND(L338="party卡",P338&lt;=1),AND(P338&lt;=4,L338&lt;&gt;"party卡",P338&gt;=3)),INDEX('卡片raw data'!AV:AV,MATCH(D338,'卡片raw data'!$F:$F,)),0)+IF(OR(P338=5,AND(L338="party卡",P338&gt;=2)),INDEX('卡片raw data'!AW:AW,MATCH(D338,'卡片raw data'!$F:$F,)),0))</f>
        <v>0</v>
      </c>
      <c r="EL338" s="1098">
        <f t="shared" si="504"/>
        <v>0.3</v>
      </c>
      <c r="EM338" s="1098">
        <f t="shared" si="505"/>
        <v>0.3</v>
      </c>
      <c r="EN338" s="1097">
        <f t="shared" si="506"/>
        <v>0</v>
      </c>
      <c r="EO338" s="1125">
        <f t="shared" si="507"/>
        <v>0</v>
      </c>
      <c r="EP338" s="1098">
        <f t="shared" si="508"/>
        <v>0</v>
      </c>
      <c r="EQ338" s="1121">
        <f t="shared" si="509"/>
        <v>0</v>
      </c>
      <c r="ER338" s="1101">
        <f t="shared" si="510"/>
        <v>0</v>
      </c>
      <c r="ES338" s="1097">
        <f t="shared" si="511"/>
        <v>0</v>
      </c>
      <c r="ET338" s="1122">
        <f t="shared" si="512"/>
        <v>0</v>
      </c>
    </row>
    <row r="339" spans="2:150" ht="16.5" customHeight="1">
      <c r="B339" s="1123" t="str">
        <f>INDEX('卡片raw data'!B:B,MATCH($D339,'卡片raw data'!$F:$F,))</f>
        <v>梦门鸟</v>
      </c>
      <c r="C339" s="449" t="s">
        <v>1553</v>
      </c>
      <c r="D339" s="408">
        <v>336</v>
      </c>
      <c r="E339" s="1090">
        <v>400032003</v>
      </c>
      <c r="F339" s="1090" t="str">
        <f>INDEX('卡片raw data'!C:C,MATCH($D339,'卡片raw data'!$F:$F,))</f>
        <v>SR</v>
      </c>
      <c r="G339" s="1094" t="s">
        <v>1554</v>
      </c>
      <c r="H339" s="411">
        <f>IFERROR(INDEX(绊状态确认!C:C,MATCH($G339,绊状态确认!$B:$B,)),"")</f>
        <v>3</v>
      </c>
      <c r="I339" s="450" t="str">
        <f>IFERROR(INDEX(绊状态确认!D:D,MATCH($G339,绊状态确认!$B:$B,)),"")</f>
        <v>缪</v>
      </c>
      <c r="J339" s="450" t="str">
        <f>IFERROR(INDEX(绊状态确认!E:E,MATCH($G339,绊状态确认!$B:$B,)),"")</f>
        <v>2年级</v>
      </c>
      <c r="K339" s="451" t="str">
        <f>IFERROR(INDEX(绊状态确认!F:F,MATCH($G339,绊状态确认!$B:$B,)),"")</f>
        <v>Printemps</v>
      </c>
      <c r="L339" s="1094" t="str">
        <f>INDEX('卡片raw data'!E:E,MATCH($D339,'卡片raw data'!$F:$F,))</f>
        <v>活动卡</v>
      </c>
      <c r="M339" s="415">
        <v>44123</v>
      </c>
      <c r="N339" s="416">
        <v>26</v>
      </c>
      <c r="O339" s="1091" t="str">
        <f>INDEX('卡片raw data'!D:D,MATCH($D339,'卡片raw data'!$F:$F,))</f>
        <v>sk</v>
      </c>
      <c r="P339" s="1126">
        <v>5</v>
      </c>
      <c r="Q339" s="1095">
        <f t="shared" si="428"/>
        <v>22256.256181580764</v>
      </c>
      <c r="R339" s="1096">
        <f t="shared" si="429"/>
        <v>0.25800000000000001</v>
      </c>
      <c r="S339" s="1097">
        <f t="shared" si="430"/>
        <v>13231.944409357464</v>
      </c>
      <c r="T339" s="1098">
        <f t="shared" si="431"/>
        <v>0.66100000000000003</v>
      </c>
      <c r="U339" s="1099">
        <f t="shared" si="432"/>
        <v>10.162054900752857</v>
      </c>
      <c r="V339" s="1100">
        <f t="shared" si="433"/>
        <v>25063.897453157537</v>
      </c>
      <c r="W339" s="1101">
        <f t="shared" si="434"/>
        <v>4507.7214871259994</v>
      </c>
      <c r="X339" s="1096">
        <f t="shared" si="435"/>
        <v>5.1999999999999998E-2</v>
      </c>
      <c r="Y339" s="1097">
        <f t="shared" si="436"/>
        <v>807.64127157677194</v>
      </c>
      <c r="Z339" s="1102">
        <f t="shared" si="437"/>
        <v>10.162054900752857</v>
      </c>
      <c r="AA339" s="1103">
        <f t="shared" si="438"/>
        <v>5315.3627587027713</v>
      </c>
      <c r="AB339" s="1101">
        <f t="shared" si="439"/>
        <v>8445.9742415491819</v>
      </c>
      <c r="AC339" s="1104">
        <f t="shared" si="440"/>
        <v>9.8000000000000004E-2</v>
      </c>
      <c r="AD339" s="1105">
        <f t="shared" si="441"/>
        <v>2.1129641098484846E-2</v>
      </c>
      <c r="AE339" s="1128">
        <f t="shared" si="442"/>
        <v>5.392573960953408</v>
      </c>
      <c r="AF339" s="1130">
        <f t="shared" si="443"/>
        <v>0</v>
      </c>
      <c r="AG339" s="420">
        <f t="shared" si="444"/>
        <v>0</v>
      </c>
      <c r="AH339" s="420">
        <f t="shared" si="445"/>
        <v>0</v>
      </c>
      <c r="AI339" s="1097">
        <f t="shared" si="446"/>
        <v>0</v>
      </c>
      <c r="AJ339" s="420">
        <f t="shared" si="447"/>
        <v>0</v>
      </c>
      <c r="AK339" s="518">
        <f t="shared" si="448"/>
        <v>0</v>
      </c>
      <c r="AL339" s="1106">
        <f>IF($P339="","N/A",(IF($P339=-1,INDEX('卡片raw data'!S:S,MATCH($D339,'卡片raw data'!$F:$F,)),0)+IF($P339=0,INDEX('卡片raw data'!V:V,MATCH($D339,'卡片raw data'!$F:$F,)),0)+IF($P339=1,INDEX('卡片raw data'!Y:Y,MATCH($D339,'卡片raw data'!$F:$F,)),0)+IF($P339=2,INDEX('卡片raw data'!AB:AB,MATCH($D339,'卡片raw data'!$F:$F,)),0)+IF($P339=3,INDEX('卡片raw data'!AE:AE,MATCH($D339,'卡片raw data'!$F:$F,)),0)+IF($P339=4,INDEX('卡片raw data'!AH:AH,MATCH($D339,'卡片raw data'!$F:$F,)),0)+IF($P339=5,INDEX('卡片raw data'!AK:AK,MATCH($D339,'卡片raw data'!$F:$F,)),0)+INDEX('卡片raw data'!S:S,MATCH($D339,'卡片raw data'!$F:$F,))*(IF($F339="UR",0.04,0.033))*(IF($F339="UR",INDEX(绊状态确认!$S:$S,MATCH($G339,绊状态确认!$B:$B,))/2-40)+IF($F339="SR",INDEX(绊状态确认!$R:$R,MATCH($G339,绊状态确认!$B:$B,))/4-15))+IF($F339="R",INDEX(绊状态确认!$Q:$Q,MATCH($G339,绊状态确认!$B:$B,))/6-40/6)))*(INDEX(绊状态确认!$H:$H,MATCH($G339,绊状态确认!$B:$B,))+INDEX(绊状态确认!J:J,MATCH($G339,绊状态确认!$B:$B,)))</f>
        <v>6337.9232615999999</v>
      </c>
      <c r="AM339" s="1106">
        <f>IF($P339="","N/A",(IF($P339=-1,INDEX('卡片raw data'!T:T,MATCH($D339,'卡片raw data'!$F:$F,)),0)+IF($P339=0,INDEX('卡片raw data'!W:W,MATCH($D339,'卡片raw data'!$F:$F,)),0)+IF($P339=1,INDEX('卡片raw data'!Z:Z,MATCH($D339,'卡片raw data'!$F:$F,)),0)+IF($P339=2,INDEX('卡片raw data'!AC:AC,MATCH($D339,'卡片raw data'!$F:$F,)),0)+IF($P339=3,INDEX('卡片raw data'!AF:AF,MATCH($D339,'卡片raw data'!$F:$F,)),0)+IF($P339=4,INDEX('卡片raw data'!AI:AI,MATCH($D339,'卡片raw data'!$F:$F,)),0)+IF($P339=5,INDEX('卡片raw data'!AL:AL,MATCH($D339,'卡片raw data'!$F:$F,)),0)+INDEX('卡片raw data'!T:T,MATCH($D339,'卡片raw data'!$F:$F,))*(IF($F339="UR",0.04,0.033))*(IF($F339="UR",INDEX(绊状态确认!$S:$S,MATCH($G339,绊状态确认!$B:$B,))/2-40)+IF($F339="SR",INDEX(绊状态确认!$R:$R,MATCH($G339,绊状态确认!$B:$B,))/4-15))+IF($F339="R",INDEX(绊状态确认!$Q:$Q,MATCH($G339,绊状态确认!$B:$B,))/6-40/6)))*(INDEX(绊状态确认!$H:$H,MATCH($G339,绊状态确认!$B:$B,))+INDEX(绊状态确认!K:K,MATCH($G339,绊状态确认!$B:$B,)))</f>
        <v>4967.4612263999988</v>
      </c>
      <c r="AN339" s="1106">
        <f>IF($P339="","N/A",(IF($P339=-1,INDEX('卡片raw data'!U:U,MATCH($D339,'卡片raw data'!$F:$F,)),0)+IF($P339=0,INDEX('卡片raw data'!X:X,MATCH($D339,'卡片raw data'!$F:$F,)),0)+IF($P339=1,INDEX('卡片raw data'!AA:AA,MATCH($D339,'卡片raw data'!$F:$F,)),0)+IF($P339=2,INDEX('卡片raw data'!AD:AD,MATCH($D339,'卡片raw data'!$F:$F,)),0)+IF($P339=3,INDEX('卡片raw data'!AG:AG,MATCH($D339,'卡片raw data'!$F:$F,)),0)+IF($P339=4,INDEX('卡片raw data'!AJ:AJ,MATCH($D339,'卡片raw data'!$F:$F,)),0)+IF($P339=5,INDEX('卡片raw data'!AM:AM,MATCH($D339,'卡片raw data'!$F:$F,)),0)+INDEX('卡片raw data'!U:U,MATCH($D339,'卡片raw data'!$F:$F,))*(IF($F339="UR",0.04,0.033))*(IF($F339="UR",INDEX(绊状态确认!$S:$S,MATCH($G339,绊状态确认!$B:$B,))/2-40)+IF($F339="SR",INDEX(绊状态确认!$R:$R,MATCH($G339,绊状态确认!$B:$B,))/4-15))+IF($F339="R",INDEX(绊状态确认!$Q:$Q,MATCH($G339,绊状态确认!$B:$B,))/6-40/6)))*(INDEX(绊状态确认!$H:$H,MATCH($G339,绊状态确认!$B:$B,))+INDEX(绊状态确认!L:L,MATCH($G339,绊状态确认!$B:$B,)))</f>
        <v>5824.7477495999992</v>
      </c>
      <c r="AO339" s="1107">
        <f t="shared" si="449"/>
        <v>1</v>
      </c>
      <c r="AP339" s="1131">
        <f>1+(INDEX(绊状态确认!$T:$T,MATCH($G339,绊状态确认!$B:$B,))+0.2)*$AO339</f>
        <v>1.3</v>
      </c>
      <c r="AQ339" s="1108">
        <f t="shared" si="450"/>
        <v>19887.048561700001</v>
      </c>
      <c r="AR339" s="1097">
        <f>(AM339*(1+$EX$9)+$EX$35)*(1+(INDEX(绊状态确认!$T:$T,MATCH($G339,绊状态确认!$B:$B,))+0.2)*AO339)*IF(J339=$FF$17,1+$FE$17,1)*IF(I339=$FF$14,1+$FE$14,1)</f>
        <v>9484.584574036</v>
      </c>
      <c r="AS339" s="1097">
        <f>(AN339*(1+$EX$10)+$EX$36)*(1+(INDEX(绊状态确认!$T:$T,MATCH($G339,绊状态确认!$B:$B,))+0.2)*AO339)*IF(J339=$FF$17,1+$FE$17,1)*IF(I339=$FF$14,1+$FE$14,1)</f>
        <v>12763.997885651997</v>
      </c>
      <c r="AT339" s="1093">
        <f>IF(AND(INDEX('卡片raw data'!AK:AK,MATCH($D339,'卡片raw data'!$F:$F,))&lt;INDEX('卡片raw data'!AM:AM,MATCH($D339,'卡片raw data'!$F:$F,)),INDEX('卡片raw data'!AL:AL,MATCH($D339,'卡片raw data'!$F:$F,))&lt;INDEX('卡片raw data'!AM:AM,MATCH($D339,'卡片raw data'!$F:$F,))),1,0)</f>
        <v>0</v>
      </c>
      <c r="AU339" s="1098">
        <f>MIN(AT339*0.15+AS339*0.00003+INDEX(绊状态确认!M:M,MATCH($G339,绊状态确认!$B:$B,)),1)</f>
        <v>0.41291993656955994</v>
      </c>
      <c r="AV339" s="1109">
        <f>(INDEX(绊状态确认!$N:$N,MATCH($G339,绊状态确认!$B:$B,))+1.5)*$EW$21</f>
        <v>2.6599999999999997</v>
      </c>
      <c r="AW339" s="1101">
        <f t="shared" si="451"/>
        <v>17407.757291306574</v>
      </c>
      <c r="AX339" s="1097">
        <f t="shared" si="452"/>
        <v>807.64127157677183</v>
      </c>
      <c r="AY339" s="1110">
        <f t="shared" si="453"/>
        <v>18215.398562883347</v>
      </c>
      <c r="AZ339" s="429">
        <f t="shared" si="454"/>
        <v>14958.950360119999</v>
      </c>
      <c r="BA339" s="431">
        <f t="shared" si="455"/>
        <v>17950.740432143997</v>
      </c>
      <c r="BB339" s="1097">
        <f>(AM339*(1+$FB$9)+$FB$35)*(1+(INDEX(绊状态确认!$T:$T,MATCH($G339,绊状态确认!$B:$B,))+0.2)*AO339)*IF(J339=$FF$17,1+$FE$17,1)*IF(I339=$FF$14,1+$FE$14,1)*(1+$FE$15)</f>
        <v>9484.584574036</v>
      </c>
      <c r="BC339" s="1097">
        <f>(AN339*(1+$FB$10)+$FB$36)*(1+(INDEX(绊状态确认!$T:$T,MATCH($G339,绊状态确认!$B:$B,))+0.2)*AO339)*IF(J339=$FF$17,1+$FE$17,1)*IF(I339=$FF$14,1+$FE$14,1)*(1+$FE$15)</f>
        <v>12763.997885651997</v>
      </c>
      <c r="BD339" s="1104">
        <f>MIN(AT339*0.15+BC339*0.00003+INDEX(绊状态确认!M:M,MATCH($G339,绊状态确认!$B:$B,)),1)</f>
        <v>0.41291993656955994</v>
      </c>
      <c r="BE339" s="432">
        <f>(INDEX(绊状态确认!$N:$N,MATCH($G339,绊状态确认!$B:$B,))+1.5)</f>
        <v>1.9</v>
      </c>
      <c r="BF339" s="1139">
        <f t="array" ref="BF339">SUMPRODUCT(IF(AZ339*AP339*$FI$16:$FI$23*$FA$22&gt;=$FI$24,$FI$24,AZ339*AP339*$FI$16:$FI$23*$FA$22),$FJ$16:$FJ$23)</f>
        <v>29753.352266278682</v>
      </c>
      <c r="BG339" s="1125">
        <f t="array" ref="BG339">SUMPRODUCT(IF(BE339*AZ339*AP339*$FI$16:$FI$23*$FA$22&gt;=$FI$24,$FI$24,BE339*AZ339*AP339*$FI$16:$FI$23*$FA$22),$FJ$16:$FJ$23)</f>
        <v>54579.121315601435</v>
      </c>
      <c r="BH339" s="1110">
        <f t="shared" si="456"/>
        <v>13334.802415805192</v>
      </c>
      <c r="BI339" s="1111">
        <f>IF(O339="vo",$EW$26/$EW$24*0.05,0)+IF(O339="sk",-$EW$26/$EW$24*(0.05-INDEX(绊状态确认!W:W,MATCH($G339,绊状态确认!$B:$B,)))+0.05*$EW$28,0)+IF(O339="sp",0.05*$EW$32*$EW$30*(1-$EW$33)-(0.05-INDEX(绊状态确认!V:V,MATCH($G339,绊状态确认!$B:$B,)))*$EW$28,0)+IF(O339="gd",-(0.05-INDEX(绊状态确认!X:X,MATCH($G339,绊状态确认!$B:$B,)))*$EW$32*$EW$30*(1-$EW$33),0)</f>
        <v>-6253.6726349699375</v>
      </c>
      <c r="BJ339" s="1097">
        <f>IF(O339="vo",0.05*(1-$FI$26)*$FA$24,0)+IF(O339="sk",-(0.05-INDEX(绊状态确认!W:W,MATCH($G339,绊状态确认!$B:$B,)))*(1-$FI$26)*$FA$24+0.05*$FA$26,0)+IF(O339="sp",0.05*$FA$32*$FA$27*(1-$FA$33)/$FA$30+0.05*$FA$29/$FA$69*$FA$27*(1-$FA$33)-(0.05-INDEX(绊状态确认!V:V,MATCH($G339,绊状态确认!$B:$B,)))*$FA$26,0)+IF(O339="gd",-(0.05-INDEX(绊状态确认!X:X,MATCH($G339,绊状态确认!$B:$B,)))*$FA$32*$FA$27*(1-$FA$33)/$FA$30-(0.05-INDEX(绊状态确认!X:X,MATCH($G339,绊状态确认!$B:$B,)))*$FA$29/$FA$69*$FA$27*(1-$FA$33),0)</f>
        <v>20.459096812499922</v>
      </c>
      <c r="BK339" s="1110">
        <f>IF(O339="vo",$EW$26/$EW$24*0.05+$EW$26*(-HP($EW$62,$EW$65,$EW$64)+HP($EW$62,$EW$65,(1.05-INDEX(绊状态确认!U:U,MATCH($G339,绊状态确认!$B:$B,)))*$EW$64)),0)+IF(O339="sk",-$EW$26/$EW$24*(0.05-INDEX(绊状态确认!W:W,MATCH($G339,绊状态确认!$B:$B,)))+0.05*$EW$29,0)+IF(O339="sp",0.05*$EW$32*$EW$30*(1-$EW$33)-(0.05-INDEX(绊状态确认!V:V,MATCH($G339,绊状态确认!$B:$B,)))*$EW$29,0)+IF(O339="gd",-(0.05-INDEX(绊状态确认!X:X,MATCH($G339,绊状态确认!$B:$B,)))*$EW$32*$EW$30*(1-$EW$33)+$EW$26*(-HP($EW$62,$EW$65,$EW$64)+HP($EW$62,$EW$65,0.95*$EW$64)),0)</f>
        <v>-4253.6726349699375</v>
      </c>
      <c r="BL339" s="1111">
        <f t="shared" si="457"/>
        <v>-1083.3333333333333</v>
      </c>
      <c r="BM339" s="1110">
        <f t="shared" si="458"/>
        <v>-830.55555555555543</v>
      </c>
      <c r="BN339" s="1113">
        <f t="shared" si="459"/>
        <v>3</v>
      </c>
      <c r="BO339" s="1108">
        <f t="shared" si="460"/>
        <v>4507.7214871259994</v>
      </c>
      <c r="BP339" s="1100">
        <f t="shared" si="461"/>
        <v>221.34103209030098</v>
      </c>
      <c r="BQ339" s="1113" t="s">
        <v>132</v>
      </c>
      <c r="BR339" s="1124" t="s">
        <v>168</v>
      </c>
      <c r="BS339" s="1098">
        <f>IF($P339="","N/A",IF($P339=-1,INDEX('卡片raw data'!AX:AX,MATCH($D339,'卡片raw data'!$F:$F,)),0)+IF($L339="party卡",IF($P339=5,INDEX('卡片raw data'!BD:BD,MATCH($D339,'卡片raw data'!$F:$F,)),IF($P339&gt;=3,INDEX('卡片raw data'!BC:BC,MATCH($D339,'卡片raw data'!$F:$F,)),INDEX('卡片raw data'!BB:BB,MATCH($D339,'卡片raw data'!$F:$F,)))),IF(OR(AND($F339="UR",$P339=0),AND($F339="SR",$P339&gt;=0,$P339&lt;=2),AND($F339="R",$P339&gt;=0,$P339&lt;4)),INDEX('卡片raw data'!AZ:AZ,MATCH($D339,'卡片raw data'!$F:$F,)),0)+IF(OR(AND($F339="UR",$P339&gt;=1,$P339&lt;=4),AND($F339="SR",$P339&lt;=4,$P339&gt;=3),AND($F339="R",$P339=4)),INDEX('卡片raw data'!BA:BA,MATCH($D339,'卡片raw data'!$F:$F,)),0)+IF($P339=5,INDEX('卡片raw data'!BB:BB,MATCH($D339,'卡片raw data'!$F:$F,)),0)))</f>
        <v>0.05</v>
      </c>
      <c r="BT339" s="1101">
        <f t="shared" si="462"/>
        <v>3756.4345726050001</v>
      </c>
      <c r="BU339" s="1097">
        <f t="shared" si="463"/>
        <v>184.45086007525089</v>
      </c>
      <c r="BV339" s="1097">
        <f t="shared" si="464"/>
        <v>0</v>
      </c>
      <c r="BW339" s="1112">
        <f t="shared" si="465"/>
        <v>0</v>
      </c>
      <c r="BX339" s="1100">
        <f t="shared" si="466"/>
        <v>3756.4345726050001</v>
      </c>
      <c r="BY339" s="1110">
        <f t="shared" si="467"/>
        <v>0</v>
      </c>
      <c r="BZ339" s="1107" t="s">
        <v>569</v>
      </c>
      <c r="CA339" s="1124"/>
      <c r="CB339" s="1098">
        <f>IF($P339="","N/A",IF($P339=-1,INDEX('卡片raw data'!BE:BE,MATCH($D339,'卡片raw data'!$F:$F,)),0)+IF($L339="party卡",IF($P339=5,INDEX('卡片raw data'!BK:BK,MATCH($D339,'卡片raw data'!$F:$F,)),IF($P339&gt;=3,INDEX('卡片raw data'!BJ:BJ,MATCH($D339,'卡片raw data'!$F:$F,)),INDEX('卡片raw data'!BI:BI,MATCH($D339,'卡片raw data'!$F:$F,)))),IF(OR(AND($F339="UR",$P339=0),AND($F339="SR",$P339&gt;=0,$P339&lt;=2),AND($F339="R",$P339&gt;=0,$P339&lt;4)),INDEX('卡片raw data'!BG:BG,MATCH($D339,'卡片raw data'!$F:$F,)),0)+IF(OR(AND($F339="UR",$P339&gt;=1,$P339&lt;=4),AND($F339="SR",$P339&lt;=4,$P339&gt;=3),AND($F339="R",$P339=4)),INDEX('卡片raw data'!BH:BH,MATCH($D339,'卡片raw data'!$F:$F,)),0)+IF($P339=5,INDEX('卡片raw data'!BI:BI,MATCH($D339,'卡片raw data'!$F:$F,)),0)))</f>
        <v>0</v>
      </c>
      <c r="CC339" s="1101">
        <f t="shared" si="468"/>
        <v>0</v>
      </c>
      <c r="CD339" s="1097">
        <f>IF(BZ339="ap",CB339*(1-$FI$26)*$FB$5/$FB$11*(+IF(CA339="全员",$FA$24,0)+IF(CA339="同作战",$FA$24,0)+IF(CA339="仲间",$FA$24*2/3,0)+IF(CA339="同属性",$FA$24*$FA$37/3,0)+IF(CA339="同年级",$FA$24*$FA$40/3,0)+IF(CA339="同学校",$FA$24*$FA$43/3,0)+IF(CA339="同小队",$FA$24*$FA$46/3,0)+IF(CA339="同type",$FA$24*INDEX($FB$49:$FB$52,MATCH(X339,$FA$49:$FA$52,))/3,0)+IF(CA339="自身",#REF!/3,0)),0)+IF(BZ339="te",CB339*(1-$FI$27)*($FA$20-1)*$FB$7/$FB$13*(+IF(CA339="全员",$FA$19*$FA$24/(1+($FA$20-1)*$FA$19),0)+IF(CA339="同作战",$FA$19*$FA$24/(1+($FA$20-1)*$FA$19),0)+IF(CA339="仲间",$FA$19*$FA$24*2/3/(1+($FA$20-1)*$FA$19),0)+IF(CA339="同属性",$FA$19*$FA$24*$FA$37/3/(1+($FA$20-1)*$FA$19),0)+IF(CA339="同年级",$FA$19*$FA$24*$FA$40/3/(1+($FA$20-1)*$FA$19),0)+IF(CA339="同学校",$FA$19*$FA$24*$FA$43/3/(1+($FA$20-1)*$FA$19),0)+IF(CA339="同小队",$FA$19*$FA$24*$FA$46/3/(1+($FA$20-1)*$FA$19),0)+IF(CA339="同type",$FA$19*$FA$24*INDEX($FB$49:$FB$52,MATCH(X339,$FA$49:$FA$52,))/3/(1+($FA$20-1)*$FA$19),0)+IF(CA339="自身",$FA$19*#REF!/3/(1+(BH339-1)*$BD339),0)),0)</f>
        <v>0</v>
      </c>
      <c r="CE339" s="1097">
        <f t="shared" si="469"/>
        <v>0</v>
      </c>
      <c r="CF339" s="1112">
        <f t="shared" si="470"/>
        <v>0</v>
      </c>
      <c r="CG339" s="1100">
        <f t="shared" si="471"/>
        <v>0</v>
      </c>
      <c r="CH339" s="1110">
        <f t="shared" si="472"/>
        <v>0</v>
      </c>
      <c r="CI339" s="1113" t="s">
        <v>162</v>
      </c>
      <c r="CJ339" s="1114">
        <v>1</v>
      </c>
      <c r="CK339" s="1115" t="s">
        <v>295</v>
      </c>
      <c r="CL339" s="1115" t="s">
        <v>1555</v>
      </c>
      <c r="CM339" s="1119">
        <v>0.04</v>
      </c>
      <c r="CN339" s="1115">
        <v>5</v>
      </c>
      <c r="CO339" s="1092"/>
      <c r="CP339" s="1118">
        <f t="shared" si="473"/>
        <v>4.2857142857142859E-3</v>
      </c>
      <c r="CQ339" s="1118">
        <f t="shared" si="474"/>
        <v>6.666666666666668E-3</v>
      </c>
      <c r="CR339" s="1118">
        <f t="shared" si="475"/>
        <v>0</v>
      </c>
      <c r="CS339" s="1118">
        <f t="shared" si="476"/>
        <v>2.1354166666666665E-3</v>
      </c>
      <c r="CT339" s="1109">
        <f t="shared" si="477"/>
        <v>0</v>
      </c>
      <c r="CU339" s="1101">
        <f t="shared" si="478"/>
        <v>181.81818181818181</v>
      </c>
      <c r="CV339" s="1108">
        <f t="shared" si="479"/>
        <v>151.51515151515153</v>
      </c>
      <c r="CW339" s="1097">
        <f t="shared" si="480"/>
        <v>0</v>
      </c>
      <c r="CX339" s="1097">
        <f t="shared" si="481"/>
        <v>181.81818181818181</v>
      </c>
      <c r="CY339" s="1110">
        <f t="shared" si="482"/>
        <v>0</v>
      </c>
      <c r="CZ339" s="437"/>
      <c r="DA339" s="438"/>
      <c r="DB339" s="439" t="s">
        <v>569</v>
      </c>
      <c r="DC339" s="439"/>
      <c r="DD339" s="443"/>
      <c r="DE339" s="411"/>
      <c r="DF339" s="411"/>
      <c r="DG339" s="1116">
        <f t="shared" si="483"/>
        <v>0</v>
      </c>
      <c r="DH339" s="1116">
        <f t="shared" si="484"/>
        <v>0</v>
      </c>
      <c r="DI339" s="1116">
        <f t="shared" si="485"/>
        <v>0</v>
      </c>
      <c r="DJ339" s="442">
        <f t="shared" si="486"/>
        <v>0</v>
      </c>
      <c r="DK339" s="1109">
        <f t="shared" si="487"/>
        <v>0</v>
      </c>
      <c r="DL339" s="1101">
        <f t="shared" si="488"/>
        <v>0</v>
      </c>
      <c r="DM339" s="1097">
        <f t="shared" si="489"/>
        <v>0</v>
      </c>
      <c r="DN339" s="1097">
        <f t="shared" si="490"/>
        <v>0</v>
      </c>
      <c r="DO339" s="1097">
        <f t="shared" si="491"/>
        <v>0</v>
      </c>
      <c r="DP339" s="1110">
        <f t="shared" si="492"/>
        <v>0</v>
      </c>
      <c r="DQ339" s="1113" t="s">
        <v>221</v>
      </c>
      <c r="DR339" s="1120">
        <f t="shared" si="493"/>
        <v>0.3</v>
      </c>
      <c r="DS339" s="1124">
        <v>5</v>
      </c>
      <c r="DT339" s="1093" t="s">
        <v>168</v>
      </c>
      <c r="DU339" s="1093" t="s">
        <v>544</v>
      </c>
      <c r="DV339" s="1098">
        <f>IF($P339="","N/A",IF(P339=-1,INDEX('卡片raw data'!AN:AN,MATCH(D339,'卡片raw data'!$F:$F,)),0)+IF(AND(L339&lt;&gt;"party卡",P339&lt;=2,P339&gt;=0),INDEX('卡片raw data'!AP:AP,MATCH(D339,'卡片raw data'!$F:$F,)),0)+IF(OR(AND(L339="party卡",P339&lt;=1),AND(P339&lt;=4,L339&lt;&gt;"party卡",P339&gt;=3)),INDEX('卡片raw data'!AQ:AQ,MATCH(D339,'卡片raw data'!$F:$F,)),0)+IF(OR(P339=5,AND(L339="party卡",P339&gt;=2)),INDEX('卡片raw data'!AR:AR,MATCH(D339,'卡片raw data'!$F:$F,)),0))</f>
        <v>4.3999999999999997E-2</v>
      </c>
      <c r="DW339" s="1098">
        <f t="shared" si="494"/>
        <v>0.3</v>
      </c>
      <c r="DX339" s="1098">
        <f t="shared" si="495"/>
        <v>0.3</v>
      </c>
      <c r="DY339" s="1098">
        <f t="shared" si="496"/>
        <v>2.1999999999999999E-2</v>
      </c>
      <c r="DZ339" s="1098">
        <f t="shared" si="497"/>
        <v>1.9029999999999998E-2</v>
      </c>
      <c r="EA339" s="1098">
        <f t="shared" si="498"/>
        <v>0</v>
      </c>
      <c r="EB339" s="1121">
        <f t="shared" si="499"/>
        <v>0</v>
      </c>
      <c r="EC339" s="1101">
        <f t="shared" si="500"/>
        <v>3739.5306170282774</v>
      </c>
      <c r="ED339" s="1097">
        <f t="shared" si="501"/>
        <v>149.93140861462501</v>
      </c>
      <c r="EE339" s="1110">
        <f t="shared" si="502"/>
        <v>3739.5306170282774</v>
      </c>
      <c r="EF339" s="1115" t="s">
        <v>569</v>
      </c>
      <c r="EG339" s="1120">
        <f t="shared" si="503"/>
        <v>0.3</v>
      </c>
      <c r="EH339" s="1124"/>
      <c r="EI339" s="1093"/>
      <c r="EJ339" s="1093"/>
      <c r="EK339" s="1097">
        <f>IF($P339="","N/A",IF(P339=-1,INDEX('卡片raw data'!AS:AS,MATCH(D339,'卡片raw data'!$F:$F,)),0)+IF(AND(L339&lt;&gt;"party卡",P339&lt;=2,P339&gt;=0),INDEX('卡片raw data'!AU:AU,MATCH(D339,'卡片raw data'!$F:$F,)),0)+IF(OR(AND(L339="party卡",P339&lt;=1),AND(P339&lt;=4,L339&lt;&gt;"party卡",P339&gt;=3)),INDEX('卡片raw data'!AV:AV,MATCH(D339,'卡片raw data'!$F:$F,)),0)+IF(OR(P339=5,AND(L339="party卡",P339&gt;=2)),INDEX('卡片raw data'!AW:AW,MATCH(D339,'卡片raw data'!$F:$F,)),0))</f>
        <v>0</v>
      </c>
      <c r="EL339" s="1098">
        <f t="shared" si="504"/>
        <v>0.3</v>
      </c>
      <c r="EM339" s="1098">
        <f t="shared" si="505"/>
        <v>0.3</v>
      </c>
      <c r="EN339" s="1097">
        <f t="shared" si="506"/>
        <v>0</v>
      </c>
      <c r="EO339" s="1125">
        <f t="shared" si="507"/>
        <v>0</v>
      </c>
      <c r="EP339" s="1098">
        <f t="shared" si="508"/>
        <v>0</v>
      </c>
      <c r="EQ339" s="1121">
        <f t="shared" si="509"/>
        <v>0</v>
      </c>
      <c r="ER339" s="1101">
        <f t="shared" si="510"/>
        <v>0</v>
      </c>
      <c r="ES339" s="1097">
        <f t="shared" si="511"/>
        <v>0</v>
      </c>
      <c r="ET339" s="1122">
        <f t="shared" si="512"/>
        <v>0</v>
      </c>
    </row>
    <row r="340" spans="2:150" ht="16.5" customHeight="1">
      <c r="B340" s="1123" t="str">
        <f>INDEX('卡片raw data'!B:B,MATCH($D340,'卡片raw data'!$F:$F,))</f>
        <v>fes1希</v>
      </c>
      <c r="C340" s="449" t="s">
        <v>1590</v>
      </c>
      <c r="D340" s="408">
        <v>337</v>
      </c>
      <c r="E340" s="477">
        <v>200073001</v>
      </c>
      <c r="F340" s="1090" t="str">
        <f>INDEX('卡片raw data'!C:C,MATCH($D340,'卡片raw data'!$F:$F,))</f>
        <v>UR</v>
      </c>
      <c r="G340" s="1094" t="s">
        <v>1591</v>
      </c>
      <c r="H340" s="411">
        <f>IFERROR(INDEX(绊状态确认!C:C,MATCH($G340,绊状态确认!$B:$B,)),"")</f>
        <v>7</v>
      </c>
      <c r="I340" s="450" t="str">
        <f>IFERROR(INDEX(绊状态确认!D:D,MATCH($G340,绊状态确认!$B:$B,)),"")</f>
        <v>缪</v>
      </c>
      <c r="J340" s="450" t="str">
        <f>IFERROR(INDEX(绊状态确认!E:E,MATCH($G340,绊状态确认!$B:$B,)),"")</f>
        <v>3年级</v>
      </c>
      <c r="K340" s="451" t="str">
        <f>IFERROR(INDEX(绊状态确认!F:F,MATCH($G340,绊状态确认!$B:$B,)),"")</f>
        <v>lilywhite</v>
      </c>
      <c r="L340" s="1094" t="str">
        <f>INDEX('卡片raw data'!E:E,MATCH($D340,'卡片raw data'!$F:$F,))</f>
        <v>fes卡</v>
      </c>
      <c r="M340" s="415">
        <v>44130</v>
      </c>
      <c r="N340" s="416">
        <v>26.5</v>
      </c>
      <c r="O340" s="1091" t="str">
        <f>INDEX('卡片raw data'!D:D,MATCH($D340,'卡片raw data'!$F:$F,))</f>
        <v>sp</v>
      </c>
      <c r="P340" s="1126">
        <v>5</v>
      </c>
      <c r="Q340" s="1095">
        <f t="shared" si="428"/>
        <v>61079.477002487045</v>
      </c>
      <c r="R340" s="1096">
        <f t="shared" si="429"/>
        <v>0.71</v>
      </c>
      <c r="S340" s="1097">
        <f t="shared" si="430"/>
        <v>21881.285344262549</v>
      </c>
      <c r="T340" s="1098">
        <f t="shared" si="431"/>
        <v>1.0940000000000001</v>
      </c>
      <c r="U340" s="1099">
        <f t="shared" si="432"/>
        <v>14.147385239742855</v>
      </c>
      <c r="V340" s="1100">
        <f t="shared" si="433"/>
        <v>60413.080107819107</v>
      </c>
      <c r="W340" s="1101">
        <f t="shared" si="434"/>
        <v>7321.3801362302447</v>
      </c>
      <c r="X340" s="1096">
        <f t="shared" si="435"/>
        <v>8.5000000000000006E-2</v>
      </c>
      <c r="Y340" s="1097">
        <f t="shared" si="436"/>
        <v>1133.6031053320648</v>
      </c>
      <c r="Z340" s="1102">
        <f t="shared" si="437"/>
        <v>14.147385239742855</v>
      </c>
      <c r="AA340" s="1103">
        <f t="shared" si="438"/>
        <v>8454.9832415623096</v>
      </c>
      <c r="AB340" s="1101">
        <f t="shared" si="439"/>
        <v>8547.6433049770676</v>
      </c>
      <c r="AC340" s="1104">
        <f t="shared" si="440"/>
        <v>9.9000000000000005E-2</v>
      </c>
      <c r="AD340" s="1105">
        <f t="shared" si="441"/>
        <v>-1.6087500000000001E-2</v>
      </c>
      <c r="AE340" s="1128">
        <f t="shared" si="442"/>
        <v>25.55609012681159</v>
      </c>
      <c r="AF340" s="1130">
        <f t="shared" si="443"/>
        <v>0</v>
      </c>
      <c r="AG340" s="420">
        <f t="shared" si="444"/>
        <v>0</v>
      </c>
      <c r="AH340" s="420">
        <f t="shared" si="445"/>
        <v>0</v>
      </c>
      <c r="AI340" s="1097">
        <f t="shared" si="446"/>
        <v>0</v>
      </c>
      <c r="AJ340" s="420">
        <f t="shared" si="447"/>
        <v>0</v>
      </c>
      <c r="AK340" s="518">
        <f t="shared" si="448"/>
        <v>0</v>
      </c>
      <c r="AL340" s="1106">
        <f>IF($P340="","N/A",(IF($P340=-1,INDEX('卡片raw data'!S:S,MATCH($D340,'卡片raw data'!$F:$F,)),0)+IF($P340=0,INDEX('卡片raw data'!V:V,MATCH($D340,'卡片raw data'!$F:$F,)),0)+IF($P340=1,INDEX('卡片raw data'!Y:Y,MATCH($D340,'卡片raw data'!$F:$F,)),0)+IF($P340=2,INDEX('卡片raw data'!AB:AB,MATCH($D340,'卡片raw data'!$F:$F,)),0)+IF($P340=3,INDEX('卡片raw data'!AE:AE,MATCH($D340,'卡片raw data'!$F:$F,)),0)+IF($P340=4,INDEX('卡片raw data'!AH:AH,MATCH($D340,'卡片raw data'!$F:$F,)),0)+IF($P340=5,INDEX('卡片raw data'!AK:AK,MATCH($D340,'卡片raw data'!$F:$F,)),0)+INDEX('卡片raw data'!S:S,MATCH($D340,'卡片raw data'!$F:$F,))*(IF($F340="UR",0.04,0.033))*(IF($F340="UR",INDEX(绊状态确认!$S:$S,MATCH($G340,绊状态确认!$B:$B,))/2-40)+IF($F340="SR",INDEX(绊状态确认!$R:$R,MATCH($G340,绊状态确认!$B:$B,))/4-15))+IF($F340="R",INDEX(绊状态确认!$Q:$Q,MATCH($G340,绊状态确认!$B:$B,))/6-40/6)))*(INDEX(绊状态确认!$H:$H,MATCH($G340,绊状态确认!$B:$B,))+INDEX(绊状态确认!J:J,MATCH($G340,绊状态确认!$B:$B,)))</f>
        <v>12821.955743999997</v>
      </c>
      <c r="AM340" s="1106">
        <f>IF($P340="","N/A",(IF($P340=-1,INDEX('卡片raw data'!T:T,MATCH($D340,'卡片raw data'!$F:$F,)),0)+IF($P340=0,INDEX('卡片raw data'!W:W,MATCH($D340,'卡片raw data'!$F:$F,)),0)+IF($P340=1,INDEX('卡片raw data'!Z:Z,MATCH($D340,'卡片raw data'!$F:$F,)),0)+IF($P340=2,INDEX('卡片raw data'!AC:AC,MATCH($D340,'卡片raw data'!$F:$F,)),0)+IF($P340=3,INDEX('卡片raw data'!AF:AF,MATCH($D340,'卡片raw data'!$F:$F,)),0)+IF($P340=4,INDEX('卡片raw data'!AI:AI,MATCH($D340,'卡片raw data'!$F:$F,)),0)+IF($P340=5,INDEX('卡片raw data'!AL:AL,MATCH($D340,'卡片raw data'!$F:$F,)),0)+INDEX('卡片raw data'!T:T,MATCH($D340,'卡片raw data'!$F:$F,))*(IF($F340="UR",0.04,0.033))*(IF($F340="UR",INDEX(绊状态确认!$S:$S,MATCH($G340,绊状态确认!$B:$B,))/2-40)+IF($F340="SR",INDEX(绊状态确认!$R:$R,MATCH($G340,绊状态确认!$B:$B,))/4-15))+IF($F340="R",INDEX(绊状态确认!$Q:$Q,MATCH($G340,绊状态确认!$B:$B,))/6-40/6)))*(INDEX(绊状态确认!$H:$H,MATCH($G340,绊状态确认!$B:$B,))+INDEX(绊状态确认!K:K,MATCH($G340,绊状态确认!$B:$B,)))</f>
        <v>7692.4734239999989</v>
      </c>
      <c r="AN340" s="1106">
        <f>IF($P340="","N/A",(IF($P340=-1,INDEX('卡片raw data'!U:U,MATCH($D340,'卡片raw data'!$F:$F,)),0)+IF($P340=0,INDEX('卡片raw data'!X:X,MATCH($D340,'卡片raw data'!$F:$F,)),0)+IF($P340=1,INDEX('卡片raw data'!AA:AA,MATCH($D340,'卡片raw data'!$F:$F,)),0)+IF($P340=2,INDEX('卡片raw data'!AD:AD,MATCH($D340,'卡片raw data'!$F:$F,)),0)+IF($P340=3,INDEX('卡片raw data'!AG:AG,MATCH($D340,'卡片raw data'!$F:$F,)),0)+IF($P340=4,INDEX('卡片raw data'!AJ:AJ,MATCH($D340,'卡片raw data'!$F:$F,)),0)+IF($P340=5,INDEX('卡片raw data'!AM:AM,MATCH($D340,'卡片raw data'!$F:$F,)),0)+INDEX('卡片raw data'!U:U,MATCH($D340,'卡片raw data'!$F:$F,))*(IF($F340="UR",0.04,0.033))*(IF($F340="UR",INDEX(绊状态确认!$S:$S,MATCH($G340,绊状态确认!$B:$B,))/2-40)+IF($F340="SR",INDEX(绊状态确认!$R:$R,MATCH($G340,绊状态确认!$B:$B,))/4-15))+IF($F340="R",INDEX(绊状态确认!$Q:$Q,MATCH($G340,绊状态确认!$B:$B,))/6-40/6)))*(INDEX(绊状态确认!$H:$H,MATCH($G340,绊状态确认!$B:$B,))+INDEX(绊状态确认!L:L,MATCH($G340,绊状态确认!$B:$B,)))</f>
        <v>16119.606719999998</v>
      </c>
      <c r="AO340" s="1107">
        <f t="shared" si="449"/>
        <v>1</v>
      </c>
      <c r="AP340" s="1131">
        <f>1+(INDEX(绊状态确认!$T:$T,MATCH($G340,绊状态确认!$B:$B,))+0.2)*$AO340</f>
        <v>1.3</v>
      </c>
      <c r="AQ340" s="1108">
        <f t="shared" si="450"/>
        <v>36907.633827999991</v>
      </c>
      <c r="AR340" s="1097">
        <f>(AM340*(1+$EX$9)+$EX$35)*(1+(INDEX(绊状态确认!$T:$T,MATCH($G340,绊状态确认!$B:$B,))+0.2)*AO340)*IF(J340=$FF$17,1+$FE$17,1)*IF(I340=$FF$14,1+$FE$14,1)</f>
        <v>13204.226223759999</v>
      </c>
      <c r="AS340" s="1097">
        <f>(AN340*(1+$EX$10)+$EX$36)*(1+(INDEX(绊状态确认!$T:$T,MATCH($G340,绊状态确认!$B:$B,))+0.2)*AO340)*IF(J340=$FF$17,1+$FE$17,1)*IF(I340=$FF$14,1+$FE$14,1)</f>
        <v>28154.812046399999</v>
      </c>
      <c r="AT340" s="1093">
        <f>IF(AND(INDEX('卡片raw data'!AK:AK,MATCH($D340,'卡片raw data'!$F:$F,))&lt;INDEX('卡片raw data'!AM:AM,MATCH($D340,'卡片raw data'!$F:$F,)),INDEX('卡片raw data'!AL:AL,MATCH($D340,'卡片raw data'!$F:$F,))&lt;INDEX('卡片raw data'!AM:AM,MATCH($D340,'卡片raw data'!$F:$F,))),1,0)</f>
        <v>1</v>
      </c>
      <c r="AU340" s="1098">
        <f>MIN(AT340*0.15+AS340*0.00003+INDEX(绊状态确认!M:M,MATCH($G340,绊状态确认!$B:$B,)),1)</f>
        <v>1</v>
      </c>
      <c r="AV340" s="1109">
        <f>(INDEX(绊状态确认!$N:$N,MATCH($G340,绊状态确认!$B:$B,))+1.5)*$EW$21</f>
        <v>2.6599999999999997</v>
      </c>
      <c r="AW340" s="1101">
        <f t="shared" si="451"/>
        <v>50986.500364176645</v>
      </c>
      <c r="AX340" s="1097">
        <f t="shared" si="452"/>
        <v>1133.6031053320648</v>
      </c>
      <c r="AY340" s="1110">
        <f t="shared" si="453"/>
        <v>52120.103469508707</v>
      </c>
      <c r="AZ340" s="429">
        <f t="shared" si="454"/>
        <v>27602.813700799994</v>
      </c>
      <c r="BA340" s="431">
        <f t="shared" si="455"/>
        <v>33123.37644095999</v>
      </c>
      <c r="BB340" s="1097">
        <f>(AM340*(1+$FB$9)+$FB$35)*(1+(INDEX(绊状态确认!$T:$T,MATCH($G340,绊状态确认!$B:$B,))+0.2)*AO340)*IF(J340=$FF$17,1+$FE$17,1)*IF(I340=$FF$14,1+$FE$14,1)*(1+$FE$15)</f>
        <v>13204.226223759999</v>
      </c>
      <c r="BC340" s="1097">
        <f>(AN340*(1+$FB$10)+$FB$36)*(1+(INDEX(绊状态确认!$T:$T,MATCH($G340,绊状态确认!$B:$B,))+0.2)*AO340)*IF(J340=$FF$17,1+$FE$17,1)*IF(I340=$FF$14,1+$FE$14,1)*(1+$FE$15)</f>
        <v>28154.812046399999</v>
      </c>
      <c r="BD340" s="1104">
        <f>MIN(AT340*0.15+BC340*0.00003+INDEX(绊状态确认!M:M,MATCH($G340,绊状态确认!$B:$B,)),1)</f>
        <v>1</v>
      </c>
      <c r="BE340" s="432">
        <f>(INDEX(绊状态确认!$N:$N,MATCH($G340,绊状态确认!$B:$B,))+1.5)</f>
        <v>1.9</v>
      </c>
      <c r="BF340" s="1139">
        <f t="array" ref="BF340">SUMPRODUCT(IF(AZ340*AP340*$FI$16:$FI$23*$FA$22&gt;=$FI$24,$FI$24,AZ340*AP340*$FI$16:$FI$23*$FA$22),$FJ$16:$FJ$23)</f>
        <v>53524.821232929593</v>
      </c>
      <c r="BG340" s="1125">
        <f t="array" ref="BG340">SUMPRODUCT(IF(BE340*AZ340*AP340*$FI$16:$FI$23*$FA$22&gt;=$FI$24,$FI$24,BE340*AZ340*AP340*$FI$16:$FI$23*$FA$22),$FJ$16:$FJ$23)</f>
        <v>60000</v>
      </c>
      <c r="BH340" s="1110">
        <f t="shared" si="456"/>
        <v>20000</v>
      </c>
      <c r="BI340" s="1111">
        <f>IF(O340="vo",$EW$26/$EW$24*0.05,0)+IF(O340="sk",-$EW$26/$EW$24*(0.05-INDEX(绊状态确认!W:W,MATCH($G340,绊状态确认!$B:$B,)))+0.05*$EW$28,0)+IF(O340="sp",0.05*$EW$32*$EW$30*(1-$EW$33)-(0.05-INDEX(绊状态确认!V:V,MATCH($G340,绊状态确认!$B:$B,)))*$EW$28,0)+IF(O340="gd",-(0.05-INDEX(绊状态确认!X:X,MATCH($G340,绊状态确认!$B:$B,)))*$EW$32*$EW$30*(1-$EW$33),0)</f>
        <v>19.999999999999886</v>
      </c>
      <c r="BJ340" s="1097">
        <f>IF(O340="vo",0.05*(1-$FI$26)*$FA$24,0)+IF(O340="sk",-(0.05-INDEX(绊状态确认!W:W,MATCH($G340,绊状态确认!$B:$B,)))*(1-$FI$26)*$FA$24+0.05*$FA$26,0)+IF(O340="sp",0.05*$FA$32*$FA$27*(1-$FA$33)/$FA$30+0.05*$FA$29/$FA$69*$FA$27*(1-$FA$33)-(0.05-INDEX(绊状态确认!V:V,MATCH($G340,绊状态确认!$B:$B,)))*$FA$26,0)+IF(O340="gd",-(0.05-INDEX(绊状态确认!X:X,MATCH($G340,绊状态确认!$B:$B,)))*$FA$32*$FA$27*(1-$FA$33)/$FA$30-(0.05-INDEX(绊状态确认!X:X,MATCH($G340,绊状态确认!$B:$B,)))*$FA$29/$FA$69*$FA$27*(1-$FA$33),0)</f>
        <v>545.83333333333326</v>
      </c>
      <c r="BK340" s="1110">
        <f>IF(O340="vo",$EW$26/$EW$24*0.05+$EW$26*(-HP($EW$62,$EW$65,$EW$64)+HP($EW$62,$EW$65,(1.05-INDEX(绊状态确认!U:U,MATCH($G340,绊状态确认!$B:$B,)))*$EW$64)),0)+IF(O340="sk",-$EW$26/$EW$24*(0.05-INDEX(绊状态确认!W:W,MATCH($G340,绊状态确认!$B:$B,)))+0.05*$EW$29,0)+IF(O340="sp",0.05*$EW$32*$EW$30*(1-$EW$33)-(0.05-INDEX(绊状态确认!V:V,MATCH($G340,绊状态确认!$B:$B,)))*$EW$29,0)+IF(O340="gd",-(0.05-INDEX(绊状态确认!X:X,MATCH($G340,绊状态确认!$B:$B,)))*$EW$32*$EW$30*(1-$EW$33)+$EW$26*(-HP($EW$62,$EW$65,$EW$64)+HP($EW$62,$EW$65,0.95*$EW$64)),0)</f>
        <v>-1780.0000000000005</v>
      </c>
      <c r="BL340" s="1111">
        <f t="shared" si="457"/>
        <v>0</v>
      </c>
      <c r="BM340" s="1110">
        <f t="shared" si="458"/>
        <v>0</v>
      </c>
      <c r="BN340" s="1113">
        <f t="shared" si="459"/>
        <v>4</v>
      </c>
      <c r="BO340" s="1108">
        <f t="shared" si="460"/>
        <v>6010.2953161679998</v>
      </c>
      <c r="BP340" s="1100">
        <f t="shared" si="461"/>
        <v>295.12137612040135</v>
      </c>
      <c r="BQ340" s="1113" t="s">
        <v>134</v>
      </c>
      <c r="BR340" s="1124" t="s">
        <v>171</v>
      </c>
      <c r="BS340" s="1098">
        <f>IF($P340="","N/A",IF($P340=-1,INDEX('卡片raw data'!AX:AX,MATCH($D340,'卡片raw data'!$F:$F,)),0)+IF($L340="party卡",IF($P340=5,INDEX('卡片raw data'!BD:BD,MATCH($D340,'卡片raw data'!$F:$F,)),IF($P340&gt;=3,INDEX('卡片raw data'!BC:BC,MATCH($D340,'卡片raw data'!$F:$F,)),INDEX('卡片raw data'!BB:BB,MATCH($D340,'卡片raw data'!$F:$F,)))),IF(OR(AND($F340="UR",$P340=0),AND($F340="SR",$P340&gt;=0,$P340&lt;=2),AND($F340="R",$P340&gt;=0,$P340&lt;4)),INDEX('卡片raw data'!AZ:AZ,MATCH($D340,'卡片raw data'!$F:$F,)),0)+IF(OR(AND($F340="UR",$P340&gt;=1,$P340&lt;=4),AND($F340="SR",$P340&lt;=4,$P340&gt;=3),AND($F340="R",$P340=4)),INDEX('卡片raw data'!BA:BA,MATCH($D340,'卡片raw data'!$F:$F,)),0)+IF($P340=5,INDEX('卡片raw data'!BB:BB,MATCH($D340,'卡片raw data'!$F:$F,)),0)))</f>
        <v>5.1999999999999998E-2</v>
      </c>
      <c r="BT340" s="1101">
        <f t="shared" si="462"/>
        <v>2452.5263374936467</v>
      </c>
      <c r="BU340" s="1097">
        <f t="shared" si="463"/>
        <v>155.22419036436909</v>
      </c>
      <c r="BV340" s="1097">
        <f t="shared" si="464"/>
        <v>1226.2631687468233</v>
      </c>
      <c r="BW340" s="1112">
        <f t="shared" si="465"/>
        <v>0</v>
      </c>
      <c r="BX340" s="1100">
        <f t="shared" si="466"/>
        <v>2452.5263374936467</v>
      </c>
      <c r="BY340" s="1110">
        <f t="shared" si="467"/>
        <v>1226.2631687468233</v>
      </c>
      <c r="BZ340" s="1107" t="s">
        <v>569</v>
      </c>
      <c r="CA340" s="1124"/>
      <c r="CB340" s="1098">
        <f>IF($P340="","N/A",IF($P340=-1,INDEX('卡片raw data'!BE:BE,MATCH($D340,'卡片raw data'!$F:$F,)),0)+IF($L340="party卡",IF($P340=5,INDEX('卡片raw data'!BK:BK,MATCH($D340,'卡片raw data'!$F:$F,)),IF($P340&gt;=3,INDEX('卡片raw data'!BJ:BJ,MATCH($D340,'卡片raw data'!$F:$F,)),INDEX('卡片raw data'!BI:BI,MATCH($D340,'卡片raw data'!$F:$F,)))),IF(OR(AND($F340="UR",$P340=0),AND($F340="SR",$P340&gt;=0,$P340&lt;=2),AND($F340="R",$P340&gt;=0,$P340&lt;4)),INDEX('卡片raw data'!BG:BG,MATCH($D340,'卡片raw data'!$F:$F,)),0)+IF(OR(AND($F340="UR",$P340&gt;=1,$P340&lt;=4),AND($F340="SR",$P340&lt;=4,$P340&gt;=3),AND($F340="R",$P340=4)),INDEX('卡片raw data'!BH:BH,MATCH($D340,'卡片raw data'!$F:$F,)),0)+IF($P340=5,INDEX('卡片raw data'!BI:BI,MATCH($D340,'卡片raw data'!$F:$F,)),0)))</f>
        <v>0</v>
      </c>
      <c r="CC340" s="1101">
        <f t="shared" si="468"/>
        <v>0</v>
      </c>
      <c r="CD340" s="1097">
        <f>IF(BZ340="ap",CB340*(1-$FI$26)*$FB$5/$FB$11*(+IF(CA340="全员",$FA$24,0)+IF(CA340="同作战",$FA$24,0)+IF(CA340="仲间",$FA$24*2/3,0)+IF(CA340="同属性",$FA$24*$FA$37/3,0)+IF(CA340="同年级",$FA$24*$FA$40/3,0)+IF(CA340="同学校",$FA$24*$FA$43/3,0)+IF(CA340="同小队",$FA$24*$FA$46/3,0)+IF(CA340="同type",$FA$24*INDEX($FB$49:$FB$52,MATCH(X340,$FA$49:$FA$52,))/3,0)+IF(CA340="自身",#REF!/3,0)),0)+IF(BZ340="te",CB340*(1-$FI$27)*($FA$20-1)*$FB$7/$FB$13*(+IF(CA340="全员",$FA$19*$FA$24/(1+($FA$20-1)*$FA$19),0)+IF(CA340="同作战",$FA$19*$FA$24/(1+($FA$20-1)*$FA$19),0)+IF(CA340="仲间",$FA$19*$FA$24*2/3/(1+($FA$20-1)*$FA$19),0)+IF(CA340="同属性",$FA$19*$FA$24*$FA$37/3/(1+($FA$20-1)*$FA$19),0)+IF(CA340="同年级",$FA$19*$FA$24*$FA$40/3/(1+($FA$20-1)*$FA$19),0)+IF(CA340="同学校",$FA$19*$FA$24*$FA$43/3/(1+($FA$20-1)*$FA$19),0)+IF(CA340="同小队",$FA$19*$FA$24*$FA$46/3/(1+($FA$20-1)*$FA$19),0)+IF(CA340="同type",$FA$19*$FA$24*INDEX($FB$49:$FB$52,MATCH(X340,$FA$49:$FA$52,))/3/(1+($FA$20-1)*$FA$19),0)+IF(CA340="自身",$FA$19*#REF!/3/(1+(BH340-1)*$BD340),0)),0)</f>
        <v>0</v>
      </c>
      <c r="CE340" s="1097">
        <f t="shared" si="469"/>
        <v>0</v>
      </c>
      <c r="CF340" s="1112">
        <f t="shared" si="470"/>
        <v>0</v>
      </c>
      <c r="CG340" s="1100">
        <f t="shared" si="471"/>
        <v>0</v>
      </c>
      <c r="CH340" s="1110">
        <f t="shared" si="472"/>
        <v>0</v>
      </c>
      <c r="CI340" s="1113" t="s">
        <v>164</v>
      </c>
      <c r="CJ340" s="1114">
        <v>1</v>
      </c>
      <c r="CK340" s="1115" t="s">
        <v>1592</v>
      </c>
      <c r="CL340" s="1115" t="s">
        <v>1940</v>
      </c>
      <c r="CM340" s="1119">
        <v>7.4999999999999997E-2</v>
      </c>
      <c r="CN340" s="1115"/>
      <c r="CO340" s="1115"/>
      <c r="CP340" s="1116">
        <f t="shared" si="473"/>
        <v>59.315840080714274</v>
      </c>
      <c r="CQ340" s="1116">
        <f t="shared" si="474"/>
        <v>82.808441102399982</v>
      </c>
      <c r="CR340" s="1116">
        <f t="shared" si="475"/>
        <v>59.315840080714274</v>
      </c>
      <c r="CS340" s="1118">
        <f t="shared" si="476"/>
        <v>0</v>
      </c>
      <c r="CT340" s="1109">
        <f t="shared" si="477"/>
        <v>0</v>
      </c>
      <c r="CU340" s="1101">
        <f t="shared" si="478"/>
        <v>84.82165131542142</v>
      </c>
      <c r="CV340" s="1108">
        <f t="shared" si="479"/>
        <v>0</v>
      </c>
      <c r="CW340" s="1097">
        <f t="shared" si="480"/>
        <v>84.82165131542142</v>
      </c>
      <c r="CX340" s="1097">
        <f t="shared" si="481"/>
        <v>84.82165131542142</v>
      </c>
      <c r="CY340" s="1110">
        <f t="shared" si="482"/>
        <v>84.82165131542142</v>
      </c>
      <c r="CZ340" s="437"/>
      <c r="DA340" s="438"/>
      <c r="DB340" s="439" t="s">
        <v>569</v>
      </c>
      <c r="DC340" s="439"/>
      <c r="DD340" s="443"/>
      <c r="DE340" s="411"/>
      <c r="DF340" s="411"/>
      <c r="DG340" s="1116">
        <f t="shared" si="483"/>
        <v>0</v>
      </c>
      <c r="DH340" s="1116">
        <f t="shared" si="484"/>
        <v>0</v>
      </c>
      <c r="DI340" s="1116">
        <f t="shared" si="485"/>
        <v>0</v>
      </c>
      <c r="DJ340" s="442">
        <f t="shared" si="486"/>
        <v>0</v>
      </c>
      <c r="DK340" s="1109">
        <f t="shared" si="487"/>
        <v>0</v>
      </c>
      <c r="DL340" s="1101">
        <f t="shared" si="488"/>
        <v>0</v>
      </c>
      <c r="DM340" s="1097">
        <f t="shared" si="489"/>
        <v>0</v>
      </c>
      <c r="DN340" s="1097">
        <f t="shared" si="490"/>
        <v>0</v>
      </c>
      <c r="DO340" s="1097">
        <f t="shared" si="491"/>
        <v>0</v>
      </c>
      <c r="DP340" s="1110">
        <f t="shared" si="492"/>
        <v>0</v>
      </c>
      <c r="DQ340" s="1113" t="s">
        <v>533</v>
      </c>
      <c r="DR340" s="1120">
        <f t="shared" si="493"/>
        <v>0.33</v>
      </c>
      <c r="DS340" s="1124">
        <v>5</v>
      </c>
      <c r="DT340" s="1093" t="s">
        <v>171</v>
      </c>
      <c r="DU340" s="1093" t="s">
        <v>544</v>
      </c>
      <c r="DV340" s="1098">
        <f>IF($P340="","N/A",IF(P340=-1,INDEX('卡片raw data'!AN:AN,MATCH(D340,'卡片raw data'!$F:$F,)),0)+IF(AND(L340&lt;&gt;"party卡",P340&lt;=2,P340&gt;=0),INDEX('卡片raw data'!AP:AP,MATCH(D340,'卡片raw data'!$F:$F,)),0)+IF(OR(AND(L340="party卡",P340&lt;=1),AND(P340&lt;=4,L340&lt;&gt;"party卡",P340&gt;=3)),INDEX('卡片raw data'!AQ:AQ,MATCH(D340,'卡片raw data'!$F:$F,)),0)+IF(OR(P340=5,AND(L340="party卡",P340&gt;=2)),INDEX('卡片raw data'!AR:AR,MATCH(D340,'卡片raw data'!$F:$F,)),0))</f>
        <v>0.32</v>
      </c>
      <c r="DW340" s="1098">
        <f t="shared" si="494"/>
        <v>0.33</v>
      </c>
      <c r="DX340" s="1098">
        <f t="shared" si="495"/>
        <v>0.33</v>
      </c>
      <c r="DY340" s="1098">
        <f t="shared" si="496"/>
        <v>0.11733333333333335</v>
      </c>
      <c r="DZ340" s="1098">
        <f t="shared" si="497"/>
        <v>8.8806666666666687E-2</v>
      </c>
      <c r="EA340" s="1098">
        <f t="shared" si="498"/>
        <v>0</v>
      </c>
      <c r="EB340" s="1121">
        <f t="shared" si="499"/>
        <v>14.632177083333328</v>
      </c>
      <c r="EC340" s="1101">
        <f t="shared" si="500"/>
        <v>1525.3333333333335</v>
      </c>
      <c r="ED340" s="1097">
        <f t="shared" si="501"/>
        <v>885.10644444444449</v>
      </c>
      <c r="EE340" s="1110">
        <f t="shared" si="502"/>
        <v>1525.3333333333335</v>
      </c>
      <c r="EF340" s="1115" t="s">
        <v>569</v>
      </c>
      <c r="EG340" s="1120">
        <f t="shared" si="503"/>
        <v>0.33</v>
      </c>
      <c r="EH340" s="1124"/>
      <c r="EI340" s="1093"/>
      <c r="EJ340" s="1093"/>
      <c r="EK340" s="1097">
        <f>IF($P340="","N/A",IF(P340=-1,INDEX('卡片raw data'!AS:AS,MATCH(D340,'卡片raw data'!$F:$F,)),0)+IF(AND(L340&lt;&gt;"party卡",P340&lt;=2,P340&gt;=0),INDEX('卡片raw data'!AU:AU,MATCH(D340,'卡片raw data'!$F:$F,)),0)+IF(OR(AND(L340="party卡",P340&lt;=1),AND(P340&lt;=4,L340&lt;&gt;"party卡",P340&gt;=3)),INDEX('卡片raw data'!AV:AV,MATCH(D340,'卡片raw data'!$F:$F,)),0)+IF(OR(P340=5,AND(L340="party卡",P340&gt;=2)),INDEX('卡片raw data'!AW:AW,MATCH(D340,'卡片raw data'!$F:$F,)),0))</f>
        <v>0</v>
      </c>
      <c r="EL340" s="1098">
        <f t="shared" si="504"/>
        <v>0.33</v>
      </c>
      <c r="EM340" s="1098">
        <f t="shared" si="505"/>
        <v>0.33</v>
      </c>
      <c r="EN340" s="1097">
        <f t="shared" si="506"/>
        <v>0</v>
      </c>
      <c r="EO340" s="1125">
        <f t="shared" si="507"/>
        <v>0</v>
      </c>
      <c r="EP340" s="1098">
        <f t="shared" si="508"/>
        <v>0</v>
      </c>
      <c r="EQ340" s="1121">
        <f t="shared" si="509"/>
        <v>0</v>
      </c>
      <c r="ER340" s="1101">
        <f t="shared" si="510"/>
        <v>0</v>
      </c>
      <c r="ES340" s="1097">
        <f t="shared" si="511"/>
        <v>0</v>
      </c>
      <c r="ET340" s="1122">
        <f t="shared" si="512"/>
        <v>0</v>
      </c>
    </row>
    <row r="341" spans="2:150" ht="16.5" customHeight="1">
      <c r="B341" s="1123" t="str">
        <f>INDEX('卡片raw data'!B:B,MATCH($D341,'卡片raw data'!$F:$F,))</f>
        <v>fes1璃</v>
      </c>
      <c r="C341" s="449" t="s">
        <v>1593</v>
      </c>
      <c r="D341" s="408">
        <v>338</v>
      </c>
      <c r="E341" s="477">
        <v>202093001</v>
      </c>
      <c r="F341" s="1090" t="str">
        <f>INDEX('卡片raw data'!C:C,MATCH($D341,'卡片raw data'!$F:$F,))</f>
        <v>UR</v>
      </c>
      <c r="G341" s="1094" t="s">
        <v>1594</v>
      </c>
      <c r="H341" s="411">
        <f>IFERROR(INDEX(绊状态确认!C:C,MATCH($G341,绊状态确认!$B:$B,)),"")</f>
        <v>209</v>
      </c>
      <c r="I341" s="450" t="str">
        <f>IFERROR(INDEX(绊状态确认!D:D,MATCH($G341,绊状态确认!$B:$B,)),"")</f>
        <v>虹</v>
      </c>
      <c r="J341" s="450" t="str">
        <f>IFERROR(INDEX(绊状态确认!E:E,MATCH($G341,绊状态确认!$B:$B,)),"")</f>
        <v>1年级</v>
      </c>
      <c r="K341" s="451" t="str">
        <f>IFERROR(INDEX(绊状态确认!F:F,MATCH($G341,绊状态确认!$B:$B,)),"")</f>
        <v>QU4RTZ</v>
      </c>
      <c r="L341" s="1094" t="str">
        <f>INDEX('卡片raw data'!E:E,MATCH($D341,'卡片raw data'!$F:$F,))</f>
        <v>fes卡</v>
      </c>
      <c r="M341" s="415">
        <v>44130</v>
      </c>
      <c r="N341" s="416">
        <v>26.5</v>
      </c>
      <c r="O341" s="1091" t="str">
        <f>INDEX('卡片raw data'!D:D,MATCH($D341,'卡片raw data'!$F:$F,))</f>
        <v>gd</v>
      </c>
      <c r="P341" s="1126">
        <v>5</v>
      </c>
      <c r="Q341" s="1095">
        <f t="shared" si="428"/>
        <v>34004.86606842804</v>
      </c>
      <c r="R341" s="1096">
        <f t="shared" si="429"/>
        <v>0.39500000000000002</v>
      </c>
      <c r="S341" s="1097">
        <f t="shared" si="430"/>
        <v>16961.714105845465</v>
      </c>
      <c r="T341" s="1098">
        <f t="shared" si="431"/>
        <v>0.84799999999999998</v>
      </c>
      <c r="U341" s="1099">
        <f t="shared" si="432"/>
        <v>1191.4467018703031</v>
      </c>
      <c r="V341" s="1100">
        <f t="shared" si="433"/>
        <v>86507.457910508849</v>
      </c>
      <c r="W341" s="1101">
        <f t="shared" si="434"/>
        <v>6010.2953161679998</v>
      </c>
      <c r="X341" s="1096">
        <f t="shared" si="435"/>
        <v>6.9000000000000006E-2</v>
      </c>
      <c r="Y341" s="1097">
        <f t="shared" si="436"/>
        <v>2472.9659799394467</v>
      </c>
      <c r="Z341" s="1102">
        <f t="shared" si="437"/>
        <v>30.128217952542858</v>
      </c>
      <c r="AA341" s="1103">
        <f t="shared" si="438"/>
        <v>8483.2612961074465</v>
      </c>
      <c r="AB341" s="1101">
        <f t="shared" si="439"/>
        <v>6010.2953161679998</v>
      </c>
      <c r="AC341" s="1104">
        <f t="shared" si="440"/>
        <v>6.9000000000000006E-2</v>
      </c>
      <c r="AD341" s="1105">
        <f t="shared" si="441"/>
        <v>0</v>
      </c>
      <c r="AE341" s="1128">
        <f t="shared" si="442"/>
        <v>-6.25</v>
      </c>
      <c r="AF341" s="1130">
        <f t="shared" si="443"/>
        <v>15753.506254314401</v>
      </c>
      <c r="AG341" s="420">
        <f t="shared" si="444"/>
        <v>72817.552857535993</v>
      </c>
      <c r="AH341" s="420">
        <f t="shared" si="445"/>
        <v>4.6223076743689049</v>
      </c>
      <c r="AI341" s="1097">
        <f t="shared" si="446"/>
        <v>120306.65088626406</v>
      </c>
      <c r="AJ341" s="420">
        <f t="shared" si="447"/>
        <v>86507.457910508849</v>
      </c>
      <c r="AK341" s="518">
        <f t="shared" si="448"/>
        <v>33799.192975755213</v>
      </c>
      <c r="AL341" s="1106">
        <f>IF($P341="","N/A",(IF($P341=-1,INDEX('卡片raw data'!S:S,MATCH($D341,'卡片raw data'!$F:$F,)),0)+IF($P341=0,INDEX('卡片raw data'!V:V,MATCH($D341,'卡片raw data'!$F:$F,)),0)+IF($P341=1,INDEX('卡片raw data'!Y:Y,MATCH($D341,'卡片raw data'!$F:$F,)),0)+IF($P341=2,INDEX('卡片raw data'!AB:AB,MATCH($D341,'卡片raw data'!$F:$F,)),0)+IF($P341=3,INDEX('卡片raw data'!AE:AE,MATCH($D341,'卡片raw data'!$F:$F,)),0)+IF($P341=4,INDEX('卡片raw data'!AH:AH,MATCH($D341,'卡片raw data'!$F:$F,)),0)+IF($P341=5,INDEX('卡片raw data'!AK:AK,MATCH($D341,'卡片raw data'!$F:$F,)),0)+INDEX('卡片raw data'!S:S,MATCH($D341,'卡片raw data'!$F:$F,))*(IF($F341="UR",0.04,0.033))*(IF($F341="UR",INDEX(绊状态确认!$S:$S,MATCH($G341,绊状态确认!$B:$B,))/2-40)+IF($F341="SR",INDEX(绊状态确认!$R:$R,MATCH($G341,绊状态确认!$B:$B,))/4-15))+IF($F341="R",INDEX(绊状态确认!$Q:$Q,MATCH($G341,绊状态确认!$B:$B,))/6-40/6)))*(INDEX(绊状态确认!$H:$H,MATCH($G341,绊状态确认!$B:$B,))+INDEX(绊状态确认!J:J,MATCH($G341,绊状态确认!$B:$B,)))</f>
        <v>9370.254383999998</v>
      </c>
      <c r="AM341" s="1106">
        <f>IF($P341="","N/A",(IF($P341=-1,INDEX('卡片raw data'!T:T,MATCH($D341,'卡片raw data'!$F:$F,)),0)+IF($P341=0,INDEX('卡片raw data'!W:W,MATCH($D341,'卡片raw data'!$F:$F,)),0)+IF($P341=1,INDEX('卡片raw data'!Z:Z,MATCH($D341,'卡片raw data'!$F:$F,)),0)+IF($P341=2,INDEX('卡片raw data'!AC:AC,MATCH($D341,'卡片raw data'!$F:$F,)),0)+IF($P341=3,INDEX('卡片raw data'!AF:AF,MATCH($D341,'卡片raw data'!$F:$F,)),0)+IF($P341=4,INDEX('卡片raw data'!AI:AI,MATCH($D341,'卡片raw data'!$F:$F,)),0)+IF($P341=5,INDEX('卡片raw data'!AL:AL,MATCH($D341,'卡片raw data'!$F:$F,)),0)+INDEX('卡片raw data'!T:T,MATCH($D341,'卡片raw data'!$F:$F,))*(IF($F341="UR",0.04,0.033))*(IF($F341="UR",INDEX(绊状态确认!$S:$S,MATCH($G341,绊状态确认!$B:$B,))/2-40)+IF($F341="SR",INDEX(绊状态确认!$R:$R,MATCH($G341,绊状态确认!$B:$B,))/4-15))+IF($F341="R",INDEX(绊状态确认!$Q:$Q,MATCH($G341,绊状态确认!$B:$B,))/6-40/6)))*(INDEX(绊状态确认!$H:$H,MATCH($G341,绊状态确认!$B:$B,))+INDEX(绊状态确认!K:K,MATCH($G341,绊状态确认!$B:$B,)))</f>
        <v>16938.769295999999</v>
      </c>
      <c r="AN341" s="1106">
        <f>IF($P341="","N/A",(IF($P341=-1,INDEX('卡片raw data'!U:U,MATCH($D341,'卡片raw data'!$F:$F,)),0)+IF($P341=0,INDEX('卡片raw data'!X:X,MATCH($D341,'卡片raw data'!$F:$F,)),0)+IF($P341=1,INDEX('卡片raw data'!AA:AA,MATCH($D341,'卡片raw data'!$F:$F,)),0)+IF($P341=2,INDEX('卡片raw data'!AD:AD,MATCH($D341,'卡片raw data'!$F:$F,)),0)+IF($P341=3,INDEX('卡片raw data'!AG:AG,MATCH($D341,'卡片raw data'!$F:$F,)),0)+IF($P341=4,INDEX('卡片raw data'!AJ:AJ,MATCH($D341,'卡片raw data'!$F:$F,)),0)+IF($P341=5,INDEX('卡片raw data'!AM:AM,MATCH($D341,'卡片raw data'!$F:$F,)),0)+INDEX('卡片raw data'!U:U,MATCH($D341,'卡片raw data'!$F:$F,))*(IF($F341="UR",0.04,0.033))*(IF($F341="UR",INDEX(绊状态确认!$S:$S,MATCH($G341,绊状态确认!$B:$B,))/2-40)+IF($F341="SR",INDEX(绊状态确认!$R:$R,MATCH($G341,绊状态确认!$B:$B,))/4-15))+IF($F341="R",INDEX(绊状态确认!$Q:$Q,MATCH($G341,绊状态确认!$B:$B,))/6-40/6)))*(INDEX(绊状态确认!$H:$H,MATCH($G341,绊状态确认!$B:$B,))+INDEX(绊状态确认!L:L,MATCH($G341,绊状态确认!$B:$B,)))</f>
        <v>9729.4476959999974</v>
      </c>
      <c r="AO341" s="1107">
        <f t="shared" si="449"/>
        <v>1</v>
      </c>
      <c r="AP341" s="1131">
        <f>1+(INDEX(绊状态确认!$T:$T,MATCH($G341,绊状态确认!$B:$B,))+0.2)*$AO341</f>
        <v>1.3</v>
      </c>
      <c r="AQ341" s="1108">
        <f t="shared" si="450"/>
        <v>27846.917757999996</v>
      </c>
      <c r="AR341" s="1097">
        <f>(AM341*(1+$EX$9)+$EX$35)*(1+(INDEX(绊状态确认!$T:$T,MATCH($G341,绊状态确认!$B:$B,))+0.2)*AO341)*IF(J341=$FF$17,1+$FE$17,1)*IF(I341=$FF$14,1+$FE$14,1)</f>
        <v>25825.420089040002</v>
      </c>
      <c r="AS341" s="1097">
        <f>(AN341*(1+$EX$10)+$EX$36)*(1+(INDEX(绊状态确认!$T:$T,MATCH($G341,绊状态确认!$B:$B,))+0.2)*AO341)*IF(J341=$FF$17,1+$FE$17,1)*IF(I341=$FF$14,1+$FE$14,1)</f>
        <v>18601.524305519994</v>
      </c>
      <c r="AT341" s="1093">
        <f>IF(AND(INDEX('卡片raw data'!AK:AK,MATCH($D341,'卡片raw data'!$F:$F,))&lt;INDEX('卡片raw data'!AM:AM,MATCH($D341,'卡片raw data'!$F:$F,)),INDEX('卡片raw data'!AL:AL,MATCH($D341,'卡片raw data'!$F:$F,))&lt;INDEX('卡片raw data'!AM:AM,MATCH($D341,'卡片raw data'!$F:$F,))),1,0)</f>
        <v>0</v>
      </c>
      <c r="AU341" s="1098">
        <f>MIN(AT341*0.15+AS341*0.00003+INDEX(绊状态确认!M:M,MATCH($G341,绊状态确认!$B:$B,)),1)</f>
        <v>0.58804572916559983</v>
      </c>
      <c r="AV341" s="1109">
        <f>(INDEX(绊状态确认!$N:$N,MATCH($G341,绊状态确认!$B:$B,))+1.5)*$EW$21</f>
        <v>2.6599999999999997</v>
      </c>
      <c r="AW341" s="1101">
        <f t="shared" si="451"/>
        <v>28579.570752260042</v>
      </c>
      <c r="AX341" s="1097">
        <f t="shared" si="452"/>
        <v>2280.6285906429598</v>
      </c>
      <c r="AY341" s="1110">
        <f t="shared" si="453"/>
        <v>30860.199342903001</v>
      </c>
      <c r="AZ341" s="429">
        <f t="shared" si="454"/>
        <v>20871.996048799996</v>
      </c>
      <c r="BA341" s="431">
        <f t="shared" si="455"/>
        <v>25046.395258559995</v>
      </c>
      <c r="BB341" s="1097">
        <f>(AM341*(1+$FB$9)+$FB$35)*(1+(INDEX(绊状态确认!$T:$T,MATCH($G341,绊状态确认!$B:$B,))+0.2)*AO341)*IF(J341=$FF$17,1+$FE$17,1)*IF(I341=$FF$14,1+$FE$14,1)*(1+$FE$15)</f>
        <v>25825.420089040002</v>
      </c>
      <c r="BC341" s="1097">
        <f>(AN341*(1+$FB$10)+$FB$36)*(1+(INDEX(绊状态确认!$T:$T,MATCH($G341,绊状态确认!$B:$B,))+0.2)*AO341)*IF(J341=$FF$17,1+$FE$17,1)*IF(I341=$FF$14,1+$FE$14,1)*(1+$FE$15)</f>
        <v>18601.524305519994</v>
      </c>
      <c r="BD341" s="1104">
        <f>MIN(AT341*0.15+BC341*0.00003+INDEX(绊状态确认!M:M,MATCH($G341,绊状态确认!$B:$B,)),1)</f>
        <v>0.58804572916559983</v>
      </c>
      <c r="BE341" s="432">
        <f>(INDEX(绊状态确认!$N:$N,MATCH($G341,绊状态确认!$B:$B,))+1.5)</f>
        <v>1.9</v>
      </c>
      <c r="BF341" s="1139">
        <f t="array" ref="BF341">SUMPRODUCT(IF(AZ341*AP341*$FI$16:$FI$23*$FA$22&gt;=$FI$24,$FI$24,AZ341*AP341*$FI$16:$FI$23*$FA$22),$FJ$16:$FJ$23)</f>
        <v>41514.400141063197</v>
      </c>
      <c r="BG341" s="1125">
        <f t="array" ref="BG341">SUMPRODUCT(IF(BE341*AZ341*AP341*$FI$16:$FI$23*$FA$22&gt;=$FI$24,$FI$24,BE341*AZ341*AP341*$FI$16:$FI$23*$FA$22),$FJ$16:$FJ$23)</f>
        <v>60000</v>
      </c>
      <c r="BH341" s="1110">
        <f t="shared" si="456"/>
        <v>17461.592729725064</v>
      </c>
      <c r="BI341" s="1111">
        <f>IF(O341="vo",$EW$26/$EW$24*0.05,0)+IF(O341="sk",-$EW$26/$EW$24*(0.05-INDEX(绊状态确认!W:W,MATCH($G341,绊状态确认!$B:$B,)))+0.05*$EW$28,0)+IF(O341="sp",0.05*$EW$32*$EW$30*(1-$EW$33)-(0.05-INDEX(绊状态确认!V:V,MATCH($G341,绊状态确认!$B:$B,)))*$EW$28,0)+IF(O341="gd",-(0.05-INDEX(绊状态确认!X:X,MATCH($G341,绊状态确认!$B:$B,)))*$EW$32*$EW$30*(1-$EW$33),0)</f>
        <v>-585.00000000000011</v>
      </c>
      <c r="BJ341" s="1097">
        <f>IF(O341="vo",0.05*(1-$FI$26)*$FA$24,0)+IF(O341="sk",-(0.05-INDEX(绊状态确认!W:W,MATCH($G341,绊状态确认!$B:$B,)))*(1-$FI$26)*$FA$24+0.05*$FA$26,0)+IF(O341="sp",0.05*$FA$32*$FA$27*(1-$FA$33)/$FA$30+0.05*$FA$29/$FA$69*$FA$27*(1-$FA$33)-(0.05-INDEX(绊状态确认!V:V,MATCH($G341,绊状态确认!$B:$B,)))*$FA$26,0)+IF(O341="gd",-(0.05-INDEX(绊状态确认!X:X,MATCH($G341,绊状态确认!$B:$B,)))*$FA$32*$FA$27*(1-$FA$33)/$FA$30-(0.05-INDEX(绊状态确认!X:X,MATCH($G341,绊状态确认!$B:$B,)))*$FA$29/$FA$69*$FA$27*(1-$FA$33),0)</f>
        <v>-795.00000000000011</v>
      </c>
      <c r="BK341" s="1110">
        <f>IF(O341="vo",$EW$26/$EW$24*0.05+$EW$26*(-HP($EW$62,$EW$65,$EW$64)+HP($EW$62,$EW$65,(1.05-INDEX(绊状态确认!U:U,MATCH($G341,绊状态确认!$B:$B,)))*$EW$64)),0)+IF(O341="sk",-$EW$26/$EW$24*(0.05-INDEX(绊状态确认!W:W,MATCH($G341,绊状态确认!$B:$B,)))+0.05*$EW$29,0)+IF(O341="sp",0.05*$EW$32*$EW$30*(1-$EW$33)-(0.05-INDEX(绊状态确认!V:V,MATCH($G341,绊状态确认!$B:$B,)))*$EW$29,0)+IF(O341="gd",-(0.05-INDEX(绊状态确认!X:X,MATCH($G341,绊状态确认!$B:$B,)))*$EW$32*$EW$30*(1-$EW$33)+$EW$26*(-HP($EW$62,$EW$65,$EW$64)+HP($EW$62,$EW$65,0.95*$EW$64)),0)</f>
        <v>1009.5947725176144</v>
      </c>
      <c r="BL341" s="1111">
        <f t="shared" si="457"/>
        <v>0</v>
      </c>
      <c r="BM341" s="1110">
        <f t="shared" si="458"/>
        <v>0</v>
      </c>
      <c r="BN341" s="1113">
        <f t="shared" si="459"/>
        <v>4</v>
      </c>
      <c r="BO341" s="1108">
        <f t="shared" si="460"/>
        <v>6010.2953161679998</v>
      </c>
      <c r="BP341" s="1100">
        <f t="shared" si="461"/>
        <v>295.12137612040135</v>
      </c>
      <c r="BQ341" s="1113" t="s">
        <v>133</v>
      </c>
      <c r="BR341" s="1124" t="s">
        <v>168</v>
      </c>
      <c r="BS341" s="1098">
        <f>IF($P341="","N/A",IF($P341=-1,INDEX('卡片raw data'!AX:AX,MATCH($D341,'卡片raw data'!$F:$F,)),0)+IF($L341="party卡",IF($P341=5,INDEX('卡片raw data'!BD:BD,MATCH($D341,'卡片raw data'!$F:$F,)),IF($P341&gt;=3,INDEX('卡片raw data'!BC:BC,MATCH($D341,'卡片raw data'!$F:$F,)),INDEX('卡片raw data'!BB:BB,MATCH($D341,'卡片raw data'!$F:$F,)))),IF(OR(AND($F341="UR",$P341=0),AND($F341="SR",$P341&gt;=0,$P341&lt;=2),AND($F341="R",$P341&gt;=0,$P341&lt;4)),INDEX('卡片raw data'!AZ:AZ,MATCH($D341,'卡片raw data'!$F:$F,)),0)+IF(OR(AND($F341="UR",$P341&gt;=1,$P341&lt;=4),AND($F341="SR",$P341&lt;=4,$P341&gt;=3),AND($F341="R",$P341=4)),INDEX('卡片raw data'!BA:BA,MATCH($D341,'卡片raw data'!$F:$F,)),0)+IF($P341=5,INDEX('卡片raw data'!BB:BB,MATCH($D341,'卡片raw data'!$F:$F,)),0)))</f>
        <v>7.0000000000000007E-2</v>
      </c>
      <c r="BT341" s="1101">
        <f t="shared" si="462"/>
        <v>0</v>
      </c>
      <c r="BU341" s="1097">
        <f t="shared" si="463"/>
        <v>0</v>
      </c>
      <c r="BV341" s="1097">
        <f t="shared" si="464"/>
        <v>0</v>
      </c>
      <c r="BW341" s="1112">
        <f t="shared" si="465"/>
        <v>2.4581249999999999</v>
      </c>
      <c r="BX341" s="1100">
        <f t="shared" si="466"/>
        <v>192.3373892964872</v>
      </c>
      <c r="BY341" s="1110">
        <f t="shared" si="467"/>
        <v>192.3373892964872</v>
      </c>
      <c r="BZ341" s="1113" t="s">
        <v>569</v>
      </c>
      <c r="CA341" s="1124"/>
      <c r="CB341" s="1098">
        <f>IF($P341="","N/A",IF($P341=-1,INDEX('卡片raw data'!BE:BE,MATCH($D341,'卡片raw data'!$F:$F,)),0)+IF($L341="party卡",IF($P341=5,INDEX('卡片raw data'!BK:BK,MATCH($D341,'卡片raw data'!$F:$F,)),IF($P341&gt;=3,INDEX('卡片raw data'!BJ:BJ,MATCH($D341,'卡片raw data'!$F:$F,)),INDEX('卡片raw data'!BI:BI,MATCH($D341,'卡片raw data'!$F:$F,)))),IF(OR(AND($F341="UR",$P341=0),AND($F341="SR",$P341&gt;=0,$P341&lt;=2),AND($F341="R",$P341&gt;=0,$P341&lt;4)),INDEX('卡片raw data'!BG:BG,MATCH($D341,'卡片raw data'!$F:$F,)),0)+IF(OR(AND($F341="UR",$P341&gt;=1,$P341&lt;=4),AND($F341="SR",$P341&lt;=4,$P341&gt;=3),AND($F341="R",$P341=4)),INDEX('卡片raw data'!BH:BH,MATCH($D341,'卡片raw data'!$F:$F,)),0)+IF($P341=5,INDEX('卡片raw data'!BI:BI,MATCH($D341,'卡片raw data'!$F:$F,)),0)))</f>
        <v>0</v>
      </c>
      <c r="CC341" s="1101">
        <f t="shared" si="468"/>
        <v>0</v>
      </c>
      <c r="CD341" s="1097">
        <f>IF(BZ341="ap",CB341*(1-$FI$26)*$FB$5/$FB$11*(+IF(CA341="全员",$FA$24,0)+IF(CA341="同作战",$FA$24,0)+IF(CA341="仲间",$FA$24*2/3,0)+IF(CA341="同属性",$FA$24*$FA$37/3,0)+IF(CA341="同年级",$FA$24*$FA$40/3,0)+IF(CA341="同学校",$FA$24*$FA$43/3,0)+IF(CA341="同小队",$FA$24*$FA$46/3,0)+IF(CA341="同type",$FA$24*INDEX($FB$49:$FB$52,MATCH(X341,$FA$49:$FA$52,))/3,0)+IF(CA341="自身",#REF!/3,0)),0)+IF(BZ341="te",CB341*(1-$FI$27)*($FA$20-1)*$FB$7/$FB$13*(+IF(CA341="全员",$FA$19*$FA$24/(1+($FA$20-1)*$FA$19),0)+IF(CA341="同作战",$FA$19*$FA$24/(1+($FA$20-1)*$FA$19),0)+IF(CA341="仲间",$FA$19*$FA$24*2/3/(1+($FA$20-1)*$FA$19),0)+IF(CA341="同属性",$FA$19*$FA$24*$FA$37/3/(1+($FA$20-1)*$FA$19),0)+IF(CA341="同年级",$FA$19*$FA$24*$FA$40/3/(1+($FA$20-1)*$FA$19),0)+IF(CA341="同学校",$FA$19*$FA$24*$FA$43/3/(1+($FA$20-1)*$FA$19),0)+IF(CA341="同小队",$FA$19*$FA$24*$FA$46/3/(1+($FA$20-1)*$FA$19),0)+IF(CA341="同type",$FA$19*$FA$24*INDEX($FB$49:$FB$52,MATCH(X341,$FA$49:$FA$52,))/3/(1+($FA$20-1)*$FA$19),0)+IF(CA341="自身",$FA$19*#REF!/3/(1+(BH341-1)*$BD341),0)),0)</f>
        <v>0</v>
      </c>
      <c r="CE341" s="1097">
        <f t="shared" si="469"/>
        <v>0</v>
      </c>
      <c r="CF341" s="1112">
        <f t="shared" si="470"/>
        <v>0</v>
      </c>
      <c r="CG341" s="1100">
        <f t="shared" si="471"/>
        <v>0</v>
      </c>
      <c r="CH341" s="1110">
        <f t="shared" si="472"/>
        <v>0</v>
      </c>
      <c r="CI341" s="1113" t="s">
        <v>1595</v>
      </c>
      <c r="CJ341" s="1114">
        <v>1</v>
      </c>
      <c r="CK341" s="1115" t="s">
        <v>1596</v>
      </c>
      <c r="CL341" s="1115" t="s">
        <v>1944</v>
      </c>
      <c r="CM341" s="1119">
        <v>0.3</v>
      </c>
      <c r="CN341" s="1115"/>
      <c r="CO341" s="1115">
        <v>2</v>
      </c>
      <c r="CP341" s="1116">
        <f t="shared" si="473"/>
        <v>27.670092952542859</v>
      </c>
      <c r="CQ341" s="1116">
        <f t="shared" si="474"/>
        <v>43.042366815066671</v>
      </c>
      <c r="CR341" s="1117">
        <f t="shared" si="475"/>
        <v>27.670092952542859</v>
      </c>
      <c r="CS341" s="1118">
        <f t="shared" si="476"/>
        <v>0</v>
      </c>
      <c r="CT341" s="1109">
        <f t="shared" si="477"/>
        <v>0</v>
      </c>
      <c r="CU341" s="1101">
        <f t="shared" si="478"/>
        <v>0</v>
      </c>
      <c r="CV341" s="1108">
        <f t="shared" si="479"/>
        <v>0</v>
      </c>
      <c r="CW341" s="1097">
        <f t="shared" si="480"/>
        <v>0</v>
      </c>
      <c r="CX341" s="1097">
        <f t="shared" si="481"/>
        <v>0</v>
      </c>
      <c r="CY341" s="1110">
        <f t="shared" si="482"/>
        <v>0</v>
      </c>
      <c r="CZ341" s="437"/>
      <c r="DA341" s="438"/>
      <c r="DB341" s="439" t="s">
        <v>569</v>
      </c>
      <c r="DC341" s="439"/>
      <c r="DD341" s="443"/>
      <c r="DE341" s="411"/>
      <c r="DF341" s="411"/>
      <c r="DG341" s="1116">
        <f t="shared" si="483"/>
        <v>0</v>
      </c>
      <c r="DH341" s="1116">
        <f t="shared" si="484"/>
        <v>0</v>
      </c>
      <c r="DI341" s="1116">
        <f t="shared" si="485"/>
        <v>0</v>
      </c>
      <c r="DJ341" s="442">
        <f t="shared" si="486"/>
        <v>0</v>
      </c>
      <c r="DK341" s="1109">
        <f t="shared" si="487"/>
        <v>0</v>
      </c>
      <c r="DL341" s="1101">
        <f t="shared" si="488"/>
        <v>0</v>
      </c>
      <c r="DM341" s="1097">
        <f t="shared" si="489"/>
        <v>0</v>
      </c>
      <c r="DN341" s="1097">
        <f t="shared" si="490"/>
        <v>0</v>
      </c>
      <c r="DO341" s="1097">
        <f t="shared" si="491"/>
        <v>0</v>
      </c>
      <c r="DP341" s="1110">
        <f t="shared" si="492"/>
        <v>0</v>
      </c>
      <c r="DQ341" s="1113" t="s">
        <v>636</v>
      </c>
      <c r="DR341" s="1120">
        <f t="shared" si="493"/>
        <v>0.33</v>
      </c>
      <c r="DS341" s="1124"/>
      <c r="DT341" s="1093" t="s">
        <v>133</v>
      </c>
      <c r="DU341" s="1093"/>
      <c r="DV341" s="1098">
        <f>IF($P341="","N/A",IF(P341=-1,INDEX('卡片raw data'!AN:AN,MATCH(D341,'卡片raw data'!$F:$F,)),0)+IF(AND(L341&lt;&gt;"party卡",P341&lt;=2,P341&gt;=0),INDEX('卡片raw data'!AP:AP,MATCH(D341,'卡片raw data'!$F:$F,)),0)+IF(OR(AND(L341="party卡",P341&lt;=1),AND(P341&lt;=4,L341&lt;&gt;"party卡",P341&gt;=3)),INDEX('卡片raw data'!AQ:AQ,MATCH(D341,'卡片raw data'!$F:$F,)),0)+IF(OR(P341=5,AND(L341="party卡",P341&gt;=2)),INDEX('卡片raw data'!AR:AR,MATCH(D341,'卡片raw data'!$F:$F,)),0))</f>
        <v>0.4</v>
      </c>
      <c r="DW341" s="1098">
        <f t="shared" si="494"/>
        <v>0.33</v>
      </c>
      <c r="DX341" s="1098">
        <f t="shared" si="495"/>
        <v>0.33</v>
      </c>
      <c r="DY341" s="1097">
        <f t="shared" si="496"/>
        <v>1136.3184839177602</v>
      </c>
      <c r="DZ341" s="1097">
        <f t="shared" si="497"/>
        <v>982.91548858886256</v>
      </c>
      <c r="EA341" s="1098">
        <f t="shared" si="498"/>
        <v>0</v>
      </c>
      <c r="EB341" s="1121">
        <f t="shared" si="499"/>
        <v>0</v>
      </c>
      <c r="EC341" s="1101">
        <f t="shared" si="500"/>
        <v>0</v>
      </c>
      <c r="ED341" s="1097">
        <f t="shared" si="501"/>
        <v>0</v>
      </c>
      <c r="EE341" s="1110">
        <f t="shared" si="502"/>
        <v>48435.03108962375</v>
      </c>
      <c r="EF341" s="1115" t="s">
        <v>569</v>
      </c>
      <c r="EG341" s="1120">
        <f t="shared" si="503"/>
        <v>0.33</v>
      </c>
      <c r="EH341" s="1124"/>
      <c r="EI341" s="1093"/>
      <c r="EJ341" s="1093"/>
      <c r="EK341" s="1097">
        <f>IF($P341="","N/A",IF(P341=-1,INDEX('卡片raw data'!AS:AS,MATCH(D341,'卡片raw data'!$F:$F,)),0)+IF(AND(L341&lt;&gt;"party卡",P341&lt;=2,P341&gt;=0),INDEX('卡片raw data'!AU:AU,MATCH(D341,'卡片raw data'!$F:$F,)),0)+IF(OR(AND(L341="party卡",P341&lt;=1),AND(P341&lt;=4,L341&lt;&gt;"party卡",P341&gt;=3)),INDEX('卡片raw data'!AV:AV,MATCH(D341,'卡片raw data'!$F:$F,)),0)+IF(OR(P341=5,AND(L341="party卡",P341&gt;=2)),INDEX('卡片raw data'!AW:AW,MATCH(D341,'卡片raw data'!$F:$F,)),0))</f>
        <v>0</v>
      </c>
      <c r="EL341" s="1098">
        <f t="shared" si="504"/>
        <v>0.33</v>
      </c>
      <c r="EM341" s="1098">
        <f t="shared" si="505"/>
        <v>0.33</v>
      </c>
      <c r="EN341" s="1097">
        <f t="shared" si="506"/>
        <v>0</v>
      </c>
      <c r="EO341" s="1125">
        <f t="shared" si="507"/>
        <v>0</v>
      </c>
      <c r="EP341" s="1098">
        <f t="shared" si="508"/>
        <v>0</v>
      </c>
      <c r="EQ341" s="1121">
        <f t="shared" si="509"/>
        <v>0</v>
      </c>
      <c r="ER341" s="1101">
        <f t="shared" si="510"/>
        <v>0</v>
      </c>
      <c r="ES341" s="1097">
        <f t="shared" si="511"/>
        <v>0</v>
      </c>
      <c r="ET341" s="1122">
        <f t="shared" si="512"/>
        <v>0</v>
      </c>
    </row>
    <row r="342" spans="2:150" ht="16.5" customHeight="1">
      <c r="B342" s="1123" t="str">
        <f>INDEX('卡片raw data'!B:B,MATCH($D342,'卡片raw data'!$F:$F,))</f>
        <v>三专步</v>
      </c>
      <c r="C342" s="449" t="s">
        <v>1590</v>
      </c>
      <c r="D342" s="408">
        <v>339</v>
      </c>
      <c r="E342" s="477">
        <v>302012003</v>
      </c>
      <c r="F342" s="1090" t="str">
        <f>INDEX('卡片raw data'!C:C,MATCH($D342,'卡片raw data'!$F:$F,))</f>
        <v>SR</v>
      </c>
      <c r="G342" s="1094" t="s">
        <v>42</v>
      </c>
      <c r="H342" s="411">
        <f>IFERROR(INDEX(绊状态确认!C:C,MATCH($G342,绊状态确认!$B:$B,)),"")</f>
        <v>201</v>
      </c>
      <c r="I342" s="450" t="str">
        <f>IFERROR(INDEX(绊状态确认!D:D,MATCH($G342,绊状态确认!$B:$B,)),"")</f>
        <v>虹</v>
      </c>
      <c r="J342" s="450" t="str">
        <f>IFERROR(INDEX(绊状态确认!E:E,MATCH($G342,绊状态确认!$B:$B,)),"")</f>
        <v>2年级</v>
      </c>
      <c r="K342" s="451" t="str">
        <f>IFERROR(INDEX(绊状态确认!F:F,MATCH($G342,绊状态确认!$B:$B,)),"")</f>
        <v>A·ZU·NA</v>
      </c>
      <c r="L342" s="1094" t="str">
        <f>INDEX('卡片raw data'!E:E,MATCH($D342,'卡片raw data'!$F:$F,))</f>
        <v>卡池卡</v>
      </c>
      <c r="M342" s="415">
        <v>44130</v>
      </c>
      <c r="N342" s="416">
        <v>26.5</v>
      </c>
      <c r="O342" s="1091" t="str">
        <f>INDEX('卡片raw data'!D:D,MATCH($D342,'卡片raw data'!$F:$F,))</f>
        <v>gd</v>
      </c>
      <c r="P342" s="1126">
        <v>5</v>
      </c>
      <c r="Q342" s="1095">
        <f t="shared" si="428"/>
        <v>19737.346612875841</v>
      </c>
      <c r="R342" s="1096">
        <f t="shared" si="429"/>
        <v>0.22900000000000001</v>
      </c>
      <c r="S342" s="1097">
        <f t="shared" si="430"/>
        <v>11584.138313652957</v>
      </c>
      <c r="T342" s="1098">
        <f t="shared" si="431"/>
        <v>0.57899999999999996</v>
      </c>
      <c r="U342" s="1099">
        <f t="shared" si="432"/>
        <v>77.890442155662868</v>
      </c>
      <c r="V342" s="1100">
        <f t="shared" si="433"/>
        <v>27530.707456032836</v>
      </c>
      <c r="W342" s="1101">
        <f t="shared" si="434"/>
        <v>4507.7214871259994</v>
      </c>
      <c r="X342" s="1096">
        <f t="shared" si="435"/>
        <v>5.1999999999999998E-2</v>
      </c>
      <c r="Y342" s="1097">
        <f t="shared" si="436"/>
        <v>1387.1377760985006</v>
      </c>
      <c r="Z342" s="1102">
        <f t="shared" si="437"/>
        <v>17.140442155662857</v>
      </c>
      <c r="AA342" s="1103">
        <f t="shared" si="438"/>
        <v>5894.8592632245</v>
      </c>
      <c r="AB342" s="1101">
        <f t="shared" si="439"/>
        <v>4507.7214871259994</v>
      </c>
      <c r="AC342" s="1104">
        <f t="shared" si="440"/>
        <v>5.1999999999999998E-2</v>
      </c>
      <c r="AD342" s="1105">
        <f t="shared" si="441"/>
        <v>-3.8207812500000026E-3</v>
      </c>
      <c r="AE342" s="1128">
        <f t="shared" si="442"/>
        <v>-18.525362318840578</v>
      </c>
      <c r="AF342" s="1130">
        <f t="shared" si="443"/>
        <v>0</v>
      </c>
      <c r="AG342" s="420">
        <f t="shared" si="444"/>
        <v>0</v>
      </c>
      <c r="AH342" s="420">
        <f t="shared" si="445"/>
        <v>0</v>
      </c>
      <c r="AI342" s="1097">
        <f t="shared" si="446"/>
        <v>0</v>
      </c>
      <c r="AJ342" s="420">
        <f t="shared" si="447"/>
        <v>0</v>
      </c>
      <c r="AK342" s="518">
        <f t="shared" si="448"/>
        <v>0</v>
      </c>
      <c r="AL342" s="1106">
        <f>IF($P342="","N/A",(IF($P342=-1,INDEX('卡片raw data'!S:S,MATCH($D342,'卡片raw data'!$F:$F,)),0)+IF($P342=0,INDEX('卡片raw data'!V:V,MATCH($D342,'卡片raw data'!$F:$F,)),0)+IF($P342=1,INDEX('卡片raw data'!Y:Y,MATCH($D342,'卡片raw data'!$F:$F,)),0)+IF($P342=2,INDEX('卡片raw data'!AB:AB,MATCH($D342,'卡片raw data'!$F:$F,)),0)+IF($P342=3,INDEX('卡片raw data'!AE:AE,MATCH($D342,'卡片raw data'!$F:$F,)),0)+IF($P342=4,INDEX('卡片raw data'!AH:AH,MATCH($D342,'卡片raw data'!$F:$F,)),0)+IF($P342=5,INDEX('卡片raw data'!AK:AK,MATCH($D342,'卡片raw data'!$F:$F,)),0)+INDEX('卡片raw data'!S:S,MATCH($D342,'卡片raw data'!$F:$F,))*(IF($F342="UR",0.04,0.033))*(IF($F342="UR",INDEX(绊状态确认!$S:$S,MATCH($G342,绊状态确认!$B:$B,))/2-40)+IF($F342="SR",INDEX(绊状态确认!$R:$R,MATCH($G342,绊状态确认!$B:$B,))/4-15))+IF($F342="R",INDEX(绊状态确认!$Q:$Q,MATCH($G342,绊状态确认!$B:$B,))/6-40/6)))*(INDEX(绊状态确认!$H:$H,MATCH($G342,绊状态确认!$B:$B,))+INDEX(绊状态确认!J:J,MATCH($G342,绊状态确认!$B:$B,)))</f>
        <v>5995.0236527999996</v>
      </c>
      <c r="AM342" s="1106">
        <f>IF($P342="","N/A",(IF($P342=-1,INDEX('卡片raw data'!T:T,MATCH($D342,'卡片raw data'!$F:$F,)),0)+IF($P342=0,INDEX('卡片raw data'!W:W,MATCH($D342,'卡片raw data'!$F:$F,)),0)+IF($P342=1,INDEX('卡片raw data'!Z:Z,MATCH($D342,'卡片raw data'!$F:$F,)),0)+IF($P342=2,INDEX('卡片raw data'!AC:AC,MATCH($D342,'卡片raw data'!$F:$F,)),0)+IF($P342=3,INDEX('卡片raw data'!AF:AF,MATCH($D342,'卡片raw data'!$F:$F,)),0)+IF($P342=4,INDEX('卡片raw data'!AI:AI,MATCH($D342,'卡片raw data'!$F:$F,)),0)+IF($P342=5,INDEX('卡片raw data'!AL:AL,MATCH($D342,'卡片raw data'!$F:$F,)),0)+INDEX('卡片raw data'!T:T,MATCH($D342,'卡片raw data'!$F:$F,))*(IF($F342="UR",0.04,0.033))*(IF($F342="UR",INDEX(绊状态确认!$S:$S,MATCH($G342,绊状态确认!$B:$B,))/2-40)+IF($F342="SR",INDEX(绊状态确认!$R:$R,MATCH($G342,绊状态确认!$B:$B,))/4-15))+IF($F342="R",INDEX(绊状态确认!$Q:$Q,MATCH($G342,绊状态确认!$B:$B,))/6-40/6)))*(INDEX(绊状态确认!$H:$H,MATCH($G342,绊状态确认!$B:$B,))+INDEX(绊状态确认!K:K,MATCH($G342,绊状态确认!$B:$B,)))</f>
        <v>8476.4439647999989</v>
      </c>
      <c r="AN342" s="1106">
        <f>IF($P342="","N/A",(IF($P342=-1,INDEX('卡片raw data'!U:U,MATCH($D342,'卡片raw data'!$F:$F,)),0)+IF($P342=0,INDEX('卡片raw data'!X:X,MATCH($D342,'卡片raw data'!$F:$F,)),0)+IF($P342=1,INDEX('卡片raw data'!AA:AA,MATCH($D342,'卡片raw data'!$F:$F,)),0)+IF($P342=2,INDEX('卡片raw data'!AD:AD,MATCH($D342,'卡片raw data'!$F:$F,)),0)+IF($P342=3,INDEX('卡片raw data'!AG:AG,MATCH($D342,'卡片raw data'!$F:$F,)),0)+IF($P342=4,INDEX('卡片raw data'!AJ:AJ,MATCH($D342,'卡片raw data'!$F:$F,)),0)+IF($P342=5,INDEX('卡片raw data'!AM:AM,MATCH($D342,'卡片raw data'!$F:$F,)),0)+INDEX('卡片raw data'!U:U,MATCH($D342,'卡片raw data'!$F:$F,))*(IF($F342="UR",0.04,0.033))*(IF($F342="UR",INDEX(绊状态确认!$S:$S,MATCH($G342,绊状态确认!$B:$B,))/2-40)+IF($F342="SR",INDEX(绊状态确认!$R:$R,MATCH($G342,绊状态确认!$B:$B,))/4-15))+IF($F342="R",INDEX(绊状态确认!$Q:$Q,MATCH($G342,绊状态确认!$B:$B,))/6-40/6)))*(INDEX(绊状态确认!$H:$H,MATCH($G342,绊状态确认!$B:$B,))+INDEX(绊状态确认!L:L,MATCH($G342,绊状态确认!$B:$B,)))</f>
        <v>6203.5507799999987</v>
      </c>
      <c r="AO342" s="1107">
        <f t="shared" si="449"/>
        <v>1</v>
      </c>
      <c r="AP342" s="1131">
        <f>1+(INDEX(绊状态确认!$T:$T,MATCH($G342,绊状态确认!$B:$B,))+0.2)*$AO342</f>
        <v>1.3</v>
      </c>
      <c r="AQ342" s="1108">
        <f t="shared" si="450"/>
        <v>18986.9370886</v>
      </c>
      <c r="AR342" s="1097">
        <f>(AM342*(1+$EX$9)+$EX$35)*(1+(INDEX(绊状态确认!$T:$T,MATCH($G342,绊状态确认!$B:$B,))+0.2)*AO342)*IF(J342=$FF$17,1+$FE$17,1)*IF(I342=$FF$14,1+$FE$14,1)</f>
        <v>14274.346011952</v>
      </c>
      <c r="AS342" s="1097">
        <f>(AN342*(1+$EX$10)+$EX$36)*(1+(INDEX(绊状态确认!$T:$T,MATCH($G342,绊状态确认!$B:$B,))+0.2)*AO342)*IF(J342=$FF$17,1+$FE$17,1)*IF(I342=$FF$14,1+$FE$14,1)</f>
        <v>13330.308416099999</v>
      </c>
      <c r="AT342" s="1093">
        <f>IF(AND(INDEX('卡片raw data'!AK:AK,MATCH($D342,'卡片raw data'!$F:$F,))&lt;INDEX('卡片raw data'!AM:AM,MATCH($D342,'卡片raw data'!$F:$F,)),INDEX('卡片raw data'!AL:AL,MATCH($D342,'卡片raw data'!$F:$F,))&lt;INDEX('卡片raw data'!AM:AM,MATCH($D342,'卡片raw data'!$F:$F,))),1,0)</f>
        <v>0</v>
      </c>
      <c r="AU342" s="1098">
        <f>MIN(AT342*0.15+AS342*0.00003+INDEX(绊状态确认!M:M,MATCH($G342,绊状态确认!$B:$B,)),1)</f>
        <v>0.42990925248299999</v>
      </c>
      <c r="AV342" s="1109">
        <f>(INDEX(绊状态确认!$N:$N,MATCH($G342,绊状态确认!$B:$B,))+1.5)*$EW$21</f>
        <v>2.6599999999999997</v>
      </c>
      <c r="AW342" s="1101">
        <f t="shared" si="451"/>
        <v>16897.958459083173</v>
      </c>
      <c r="AX342" s="1097">
        <f t="shared" si="452"/>
        <v>1228.3733544576326</v>
      </c>
      <c r="AY342" s="1110">
        <f t="shared" si="453"/>
        <v>18126.331813540804</v>
      </c>
      <c r="AZ342" s="429">
        <f t="shared" si="454"/>
        <v>14290.296122959999</v>
      </c>
      <c r="BA342" s="431">
        <f t="shared" si="455"/>
        <v>17148.355347551998</v>
      </c>
      <c r="BB342" s="1097">
        <f>(AM342*(1+$FB$9)+$FB$35)*(1+(INDEX(绊状态确认!$T:$T,MATCH($G342,绊状态确认!$B:$B,))+0.2)*AO342)*IF(J342=$FF$17,1+$FE$17,1)*IF(I342=$FF$14,1+$FE$14,1)*(1+$FE$15)</f>
        <v>14274.346011952</v>
      </c>
      <c r="BC342" s="1097">
        <f>(AN342*(1+$FB$10)+$FB$36)*(1+(INDEX(绊状态确认!$T:$T,MATCH($G342,绊状态确认!$B:$B,))+0.2)*AO342)*IF(J342=$FF$17,1+$FE$17,1)*IF(I342=$FF$14,1+$FE$14,1)*(1+$FE$15)</f>
        <v>13330.308416099999</v>
      </c>
      <c r="BD342" s="1104">
        <f>MIN(AT342*0.15+BC342*0.00003+INDEX(绊状态确认!M:M,MATCH($G342,绊状态确认!$B:$B,)),1)</f>
        <v>0.42990925248299999</v>
      </c>
      <c r="BE342" s="432">
        <f>(INDEX(绊状态确认!$N:$N,MATCH($G342,绊状态确认!$B:$B,))+1.5)</f>
        <v>1.9</v>
      </c>
      <c r="BF342" s="1139">
        <f t="array" ref="BF342">SUMPRODUCT(IF(AZ342*AP342*$FI$16:$FI$23*$FA$22&gt;=$FI$24,$FI$24,AZ342*AP342*$FI$16:$FI$23*$FA$22),$FJ$16:$FJ$23)</f>
        <v>28423.398988567442</v>
      </c>
      <c r="BG342" s="1125">
        <f t="array" ref="BG342">SUMPRODUCT(IF(BE342*AZ342*AP342*$FI$16:$FI$23*$FA$22&gt;=$FI$24,$FI$24,BE342*AZ342*AP342*$FI$16:$FI$23*$FA$22),$FJ$16:$FJ$23)</f>
        <v>52944.061109474089</v>
      </c>
      <c r="BH342" s="1110">
        <f t="shared" si="456"/>
        <v>12988.352837118211</v>
      </c>
      <c r="BI342" s="1111">
        <f>IF(O342="vo",$EW$26/$EW$24*0.05,0)+IF(O342="sk",-$EW$26/$EW$24*(0.05-INDEX(绊状态确认!W:W,MATCH($G342,绊状态确认!$B:$B,)))+0.05*$EW$28,0)+IF(O342="sp",0.05*$EW$32*$EW$30*(1-$EW$33)-(0.05-INDEX(绊状态确认!V:V,MATCH($G342,绊状态确认!$B:$B,)))*$EW$28,0)+IF(O342="gd",-(0.05-INDEX(绊状态确认!X:X,MATCH($G342,绊状态确认!$B:$B,)))*$EW$32*$EW$30*(1-$EW$33),0)</f>
        <v>-585.00000000000011</v>
      </c>
      <c r="BJ342" s="1097">
        <f>IF(O342="vo",0.05*(1-$FI$26)*$FA$24,0)+IF(O342="sk",-(0.05-INDEX(绊状态确认!W:W,MATCH($G342,绊状态确认!$B:$B,)))*(1-$FI$26)*$FA$24+0.05*$FA$26,0)+IF(O342="sp",0.05*$FA$32*$FA$27*(1-$FA$33)/$FA$30+0.05*$FA$29/$FA$69*$FA$27*(1-$FA$33)-(0.05-INDEX(绊状态确认!V:V,MATCH($G342,绊状态确认!$B:$B,)))*$FA$26,0)+IF(O342="gd",-(0.05-INDEX(绊状态确认!X:X,MATCH($G342,绊状态确认!$B:$B,)))*$FA$32*$FA$27*(1-$FA$33)/$FA$30-(0.05-INDEX(绊状态确认!X:X,MATCH($G342,绊状态确认!$B:$B,)))*$FA$29/$FA$69*$FA$27*(1-$FA$33),0)</f>
        <v>-795.00000000000011</v>
      </c>
      <c r="BK342" s="1110">
        <f>IF(O342="vo",$EW$26/$EW$24*0.05+$EW$26*(-HP($EW$62,$EW$65,$EW$64)+HP($EW$62,$EW$65,(1.05-INDEX(绊状态确认!U:U,MATCH($G342,绊状态确认!$B:$B,)))*$EW$64)),0)+IF(O342="sk",-$EW$26/$EW$24*(0.05-INDEX(绊状态确认!W:W,MATCH($G342,绊状态确认!$B:$B,)))+0.05*$EW$29,0)+IF(O342="sp",0.05*$EW$32*$EW$30*(1-$EW$33)-(0.05-INDEX(绊状态确认!V:V,MATCH($G342,绊状态确认!$B:$B,)))*$EW$29,0)+IF(O342="gd",-(0.05-INDEX(绊状态确认!X:X,MATCH($G342,绊状态确认!$B:$B,)))*$EW$32*$EW$30*(1-$EW$33)+$EW$26*(-HP($EW$62,$EW$65,$EW$64)+HP($EW$62,$EW$65,0.95*$EW$64)),0)</f>
        <v>1009.5947725176144</v>
      </c>
      <c r="BL342" s="1111">
        <f t="shared" si="457"/>
        <v>-1083.3333333333333</v>
      </c>
      <c r="BM342" s="1110">
        <f t="shared" si="458"/>
        <v>-830.55555555555543</v>
      </c>
      <c r="BN342" s="1113">
        <f t="shared" si="459"/>
        <v>3</v>
      </c>
      <c r="BO342" s="1108">
        <f t="shared" si="460"/>
        <v>4507.7214871259994</v>
      </c>
      <c r="BP342" s="1100">
        <f t="shared" si="461"/>
        <v>221.34103209030098</v>
      </c>
      <c r="BQ342" s="1113" t="s">
        <v>133</v>
      </c>
      <c r="BR342" s="1124" t="s">
        <v>171</v>
      </c>
      <c r="BS342" s="1098">
        <f>IF($P342="","N/A",IF($P342=-1,INDEX('卡片raw data'!AX:AX,MATCH($D342,'卡片raw data'!$F:$F,)),0)+IF($L342="party卡",IF($P342=5,INDEX('卡片raw data'!BD:BD,MATCH($D342,'卡片raw data'!$F:$F,)),IF($P342&gt;=3,INDEX('卡片raw data'!BC:BC,MATCH($D342,'卡片raw data'!$F:$F,)),INDEX('卡片raw data'!BB:BB,MATCH($D342,'卡片raw data'!$F:$F,)))),IF(OR(AND($F342="UR",$P342=0),AND($F342="SR",$P342&gt;=0,$P342&lt;=2),AND($F342="R",$P342&gt;=0,$P342&lt;4)),INDEX('卡片raw data'!AZ:AZ,MATCH($D342,'卡片raw data'!$F:$F,)),0)+IF(OR(AND($F342="UR",$P342&gt;=1,$P342&lt;=4),AND($F342="SR",$P342&lt;=4,$P342&gt;=3),AND($F342="R",$P342=4)),INDEX('卡片raw data'!BA:BA,MATCH($D342,'卡片raw data'!$F:$F,)),0)+IF($P342=5,INDEX('卡片raw data'!BB:BB,MATCH($D342,'卡片raw data'!$F:$F,)),0)))</f>
        <v>3.2000000000000001E-2</v>
      </c>
      <c r="BT342" s="1101">
        <f t="shared" si="462"/>
        <v>0</v>
      </c>
      <c r="BU342" s="1097">
        <f t="shared" si="463"/>
        <v>0</v>
      </c>
      <c r="BV342" s="1097">
        <f t="shared" si="464"/>
        <v>0</v>
      </c>
      <c r="BW342" s="1112">
        <f t="shared" si="465"/>
        <v>1.498285714285714</v>
      </c>
      <c r="BX342" s="1100">
        <f t="shared" si="466"/>
        <v>117.00848980993118</v>
      </c>
      <c r="BY342" s="1110">
        <f t="shared" si="467"/>
        <v>117.00848980993118</v>
      </c>
      <c r="BZ342" s="1113" t="s">
        <v>569</v>
      </c>
      <c r="CA342" s="1124"/>
      <c r="CB342" s="1098">
        <f>IF($P342="","N/A",IF($P342=-1,INDEX('卡片raw data'!BE:BE,MATCH($D342,'卡片raw data'!$F:$F,)),0)+IF($L342="party卡",IF($P342=5,INDEX('卡片raw data'!BK:BK,MATCH($D342,'卡片raw data'!$F:$F,)),IF($P342&gt;=3,INDEX('卡片raw data'!BJ:BJ,MATCH($D342,'卡片raw data'!$F:$F,)),INDEX('卡片raw data'!BI:BI,MATCH($D342,'卡片raw data'!$F:$F,)))),IF(OR(AND($F342="UR",$P342=0),AND($F342="SR",$P342&gt;=0,$P342&lt;=2),AND($F342="R",$P342&gt;=0,$P342&lt;4)),INDEX('卡片raw data'!BG:BG,MATCH($D342,'卡片raw data'!$F:$F,)),0)+IF(OR(AND($F342="UR",$P342&gt;=1,$P342&lt;=4),AND($F342="SR",$P342&lt;=4,$P342&gt;=3),AND($F342="R",$P342=4)),INDEX('卡片raw data'!BH:BH,MATCH($D342,'卡片raw data'!$F:$F,)),0)+IF($P342=5,INDEX('卡片raw data'!BI:BI,MATCH($D342,'卡片raw data'!$F:$F,)),0)))</f>
        <v>0</v>
      </c>
      <c r="CC342" s="1101">
        <f t="shared" si="468"/>
        <v>0</v>
      </c>
      <c r="CD342" s="1097">
        <f>IF(BZ342="ap",CB342*(1-$FI$26)*$FB$5/$FB$11*(+IF(CA342="全员",$FA$24,0)+IF(CA342="同作战",$FA$24,0)+IF(CA342="仲间",$FA$24*2/3,0)+IF(CA342="同属性",$FA$24*$FA$37/3,0)+IF(CA342="同年级",$FA$24*$FA$40/3,0)+IF(CA342="同学校",$FA$24*$FA$43/3,0)+IF(CA342="同小队",$FA$24*$FA$46/3,0)+IF(CA342="同type",$FA$24*INDEX($FB$49:$FB$52,MATCH(X342,$FA$49:$FA$52,))/3,0)+IF(CA342="自身",#REF!/3,0)),0)+IF(BZ342="te",CB342*(1-$FI$27)*($FA$20-1)*$FB$7/$FB$13*(+IF(CA342="全员",$FA$19*$FA$24/(1+($FA$20-1)*$FA$19),0)+IF(CA342="同作战",$FA$19*$FA$24/(1+($FA$20-1)*$FA$19),0)+IF(CA342="仲间",$FA$19*$FA$24*2/3/(1+($FA$20-1)*$FA$19),0)+IF(CA342="同属性",$FA$19*$FA$24*$FA$37/3/(1+($FA$20-1)*$FA$19),0)+IF(CA342="同年级",$FA$19*$FA$24*$FA$40/3/(1+($FA$20-1)*$FA$19),0)+IF(CA342="同学校",$FA$19*$FA$24*$FA$43/3/(1+($FA$20-1)*$FA$19),0)+IF(CA342="同小队",$FA$19*$FA$24*$FA$46/3/(1+($FA$20-1)*$FA$19),0)+IF(CA342="同type",$FA$19*$FA$24*INDEX($FB$49:$FB$52,MATCH(X342,$FA$49:$FA$52,))/3/(1+($FA$20-1)*$FA$19),0)+IF(CA342="自身",$FA$19*#REF!/3/(1+(BH342-1)*$BD342),0)),0)</f>
        <v>0</v>
      </c>
      <c r="CE342" s="1097">
        <f t="shared" si="469"/>
        <v>0</v>
      </c>
      <c r="CF342" s="1112">
        <f t="shared" si="470"/>
        <v>0</v>
      </c>
      <c r="CG342" s="1100">
        <f t="shared" si="471"/>
        <v>0</v>
      </c>
      <c r="CH342" s="1110">
        <f t="shared" si="472"/>
        <v>0</v>
      </c>
      <c r="CI342" s="1113" t="s">
        <v>1595</v>
      </c>
      <c r="CJ342" s="1114">
        <v>1</v>
      </c>
      <c r="CK342" s="1115" t="s">
        <v>1599</v>
      </c>
      <c r="CL342" s="1115" t="s">
        <v>1598</v>
      </c>
      <c r="CM342" s="1119">
        <v>0.3</v>
      </c>
      <c r="CN342" s="1115">
        <v>1</v>
      </c>
      <c r="CO342" s="1115">
        <v>2</v>
      </c>
      <c r="CP342" s="1118">
        <f t="shared" si="473"/>
        <v>1.0714285714285715E-3</v>
      </c>
      <c r="CQ342" s="1118">
        <f t="shared" si="474"/>
        <v>1.6666666666666666E-3</v>
      </c>
      <c r="CR342" s="1118">
        <f t="shared" si="475"/>
        <v>1.0714285714285715E-3</v>
      </c>
      <c r="CS342" s="1118">
        <f t="shared" si="476"/>
        <v>0</v>
      </c>
      <c r="CT342" s="1109">
        <f t="shared" si="477"/>
        <v>0</v>
      </c>
      <c r="CU342" s="1101">
        <f t="shared" si="478"/>
        <v>0</v>
      </c>
      <c r="CV342" s="1108">
        <f t="shared" si="479"/>
        <v>0</v>
      </c>
      <c r="CW342" s="1097">
        <f t="shared" si="480"/>
        <v>0</v>
      </c>
      <c r="CX342" s="1097">
        <f t="shared" si="481"/>
        <v>41.755931830936809</v>
      </c>
      <c r="CY342" s="1110">
        <f t="shared" si="482"/>
        <v>41.755931830936809</v>
      </c>
      <c r="CZ342" s="437"/>
      <c r="DA342" s="438"/>
      <c r="DB342" s="439" t="s">
        <v>569</v>
      </c>
      <c r="DC342" s="439"/>
      <c r="DD342" s="443"/>
      <c r="DE342" s="411"/>
      <c r="DF342" s="411"/>
      <c r="DG342" s="1116">
        <f t="shared" si="483"/>
        <v>0</v>
      </c>
      <c r="DH342" s="1116">
        <f t="shared" si="484"/>
        <v>0</v>
      </c>
      <c r="DI342" s="1116">
        <f t="shared" si="485"/>
        <v>0</v>
      </c>
      <c r="DJ342" s="442">
        <f t="shared" si="486"/>
        <v>0</v>
      </c>
      <c r="DK342" s="1109">
        <f t="shared" si="487"/>
        <v>0</v>
      </c>
      <c r="DL342" s="1101">
        <f t="shared" si="488"/>
        <v>0</v>
      </c>
      <c r="DM342" s="1097">
        <f t="shared" si="489"/>
        <v>0</v>
      </c>
      <c r="DN342" s="1097">
        <f t="shared" si="490"/>
        <v>0</v>
      </c>
      <c r="DO342" s="1097">
        <f t="shared" si="491"/>
        <v>0</v>
      </c>
      <c r="DP342" s="1110">
        <f t="shared" si="492"/>
        <v>0</v>
      </c>
      <c r="DQ342" s="1113" t="s">
        <v>556</v>
      </c>
      <c r="DR342" s="1120">
        <f t="shared" si="493"/>
        <v>0.3</v>
      </c>
      <c r="DS342" s="1124">
        <v>10</v>
      </c>
      <c r="DT342" s="1093" t="s">
        <v>161</v>
      </c>
      <c r="DU342" s="1093" t="s">
        <v>544</v>
      </c>
      <c r="DV342" s="1098">
        <f>IF($P342="","N/A",IF(P342=-1,INDEX('卡片raw data'!AN:AN,MATCH(D342,'卡片raw data'!$F:$F,)),0)+IF(AND(L342&lt;&gt;"party卡",P342&lt;=2,P342&gt;=0),INDEX('卡片raw data'!AP:AP,MATCH(D342,'卡片raw data'!$F:$F,)),0)+IF(OR(AND(L342="party卡",P342&lt;=1),AND(P342&lt;=4,L342&lt;&gt;"party卡",P342&gt;=3)),INDEX('卡片raw data'!AQ:AQ,MATCH(D342,'卡片raw data'!$F:$F,)),0)+IF(OR(P342=5,AND(L342="party卡",P342&gt;=2)),INDEX('卡片raw data'!AR:AR,MATCH(D342,'卡片raw data'!$F:$F,)),0))</f>
        <v>0.11</v>
      </c>
      <c r="DW342" s="1098">
        <f t="shared" si="494"/>
        <v>0.3</v>
      </c>
      <c r="DX342" s="1098">
        <f t="shared" si="495"/>
        <v>0.3</v>
      </c>
      <c r="DY342" s="1098">
        <f t="shared" si="496"/>
        <v>0.11000000000000001</v>
      </c>
      <c r="DZ342" s="1098">
        <f t="shared" si="497"/>
        <v>9.5150000000000012E-2</v>
      </c>
      <c r="EA342" s="1098">
        <f t="shared" si="498"/>
        <v>0</v>
      </c>
      <c r="EB342" s="1121">
        <f t="shared" si="499"/>
        <v>0</v>
      </c>
      <c r="EC342" s="1101">
        <f t="shared" si="500"/>
        <v>0</v>
      </c>
      <c r="ED342" s="1097">
        <f t="shared" si="501"/>
        <v>0</v>
      </c>
      <c r="EE342" s="1110">
        <f t="shared" si="502"/>
        <v>4811.6282945408811</v>
      </c>
      <c r="EF342" s="1115" t="s">
        <v>569</v>
      </c>
      <c r="EG342" s="1120">
        <f t="shared" si="503"/>
        <v>0.3</v>
      </c>
      <c r="EH342" s="1124"/>
      <c r="EI342" s="1093"/>
      <c r="EJ342" s="1093"/>
      <c r="EK342" s="1097">
        <f>IF($P342="","N/A",IF(P342=-1,INDEX('卡片raw data'!AS:AS,MATCH(D342,'卡片raw data'!$F:$F,)),0)+IF(AND(L342&lt;&gt;"party卡",P342&lt;=2,P342&gt;=0),INDEX('卡片raw data'!AU:AU,MATCH(D342,'卡片raw data'!$F:$F,)),0)+IF(OR(AND(L342="party卡",P342&lt;=1),AND(P342&lt;=4,L342&lt;&gt;"party卡",P342&gt;=3)),INDEX('卡片raw data'!AV:AV,MATCH(D342,'卡片raw data'!$F:$F,)),0)+IF(OR(P342=5,AND(L342="party卡",P342&gt;=2)),INDEX('卡片raw data'!AW:AW,MATCH(D342,'卡片raw data'!$F:$F,)),0))</f>
        <v>0</v>
      </c>
      <c r="EL342" s="1098">
        <f t="shared" si="504"/>
        <v>0.3</v>
      </c>
      <c r="EM342" s="1098">
        <f t="shared" si="505"/>
        <v>0.3</v>
      </c>
      <c r="EN342" s="1097">
        <f t="shared" si="506"/>
        <v>0</v>
      </c>
      <c r="EO342" s="1125">
        <f t="shared" si="507"/>
        <v>0</v>
      </c>
      <c r="EP342" s="1098">
        <f t="shared" si="508"/>
        <v>0</v>
      </c>
      <c r="EQ342" s="1121">
        <f t="shared" si="509"/>
        <v>0</v>
      </c>
      <c r="ER342" s="1101">
        <f t="shared" si="510"/>
        <v>0</v>
      </c>
      <c r="ES342" s="1097">
        <f t="shared" si="511"/>
        <v>0</v>
      </c>
      <c r="ET342" s="1122">
        <f t="shared" si="512"/>
        <v>0</v>
      </c>
    </row>
    <row r="343" spans="2:150" ht="16.5" customHeight="1">
      <c r="B343" s="1123" t="str">
        <f>INDEX('卡片raw data'!B:B,MATCH($D343,'卡片raw data'!$F:$F,))</f>
        <v>四单曜</v>
      </c>
      <c r="C343" s="449" t="s">
        <v>1601</v>
      </c>
      <c r="D343" s="408">
        <v>340</v>
      </c>
      <c r="E343" s="477">
        <v>301052003</v>
      </c>
      <c r="F343" s="1090" t="str">
        <f>INDEX('卡片raw data'!C:C,MATCH($D343,'卡片raw data'!$F:$F,))</f>
        <v>SR</v>
      </c>
      <c r="G343" s="1094" t="s">
        <v>1602</v>
      </c>
      <c r="H343" s="411">
        <f>IFERROR(INDEX(绊状态确认!C:C,MATCH($G343,绊状态确认!$B:$B,)),"")</f>
        <v>105</v>
      </c>
      <c r="I343" s="450" t="str">
        <f>IFERROR(INDEX(绊状态确认!D:D,MATCH($G343,绊状态确认!$B:$B,)),"")</f>
        <v>水</v>
      </c>
      <c r="J343" s="450" t="str">
        <f>IFERROR(INDEX(绊状态确认!E:E,MATCH($G343,绊状态确认!$B:$B,)),"")</f>
        <v>2年级</v>
      </c>
      <c r="K343" s="451" t="str">
        <f>IFERROR(INDEX(绊状态确认!F:F,MATCH($G343,绊状态确认!$B:$B,)),"")</f>
        <v>CYaRon!</v>
      </c>
      <c r="L343" s="1094" t="str">
        <f>INDEX('卡片raw data'!E:E,MATCH($D343,'卡片raw data'!$F:$F,))</f>
        <v>卡池卡</v>
      </c>
      <c r="M343" s="415">
        <v>44130</v>
      </c>
      <c r="N343" s="416">
        <v>26.5</v>
      </c>
      <c r="O343" s="1091" t="str">
        <f>INDEX('卡片raw data'!D:D,MATCH($D343,'卡片raw data'!$F:$F,))</f>
        <v>sp</v>
      </c>
      <c r="P343" s="1126">
        <v>5</v>
      </c>
      <c r="Q343" s="1095">
        <f t="shared" si="428"/>
        <v>36129.210346362466</v>
      </c>
      <c r="R343" s="1096">
        <f t="shared" si="429"/>
        <v>0.42</v>
      </c>
      <c r="S343" s="1097">
        <f t="shared" si="430"/>
        <v>19473.033414942387</v>
      </c>
      <c r="T343" s="1098">
        <f t="shared" si="431"/>
        <v>0.97299999999999998</v>
      </c>
      <c r="U343" s="1099">
        <f t="shared" si="432"/>
        <v>7.4309415420128566</v>
      </c>
      <c r="V343" s="1100">
        <f t="shared" si="433"/>
        <v>34916.518606420999</v>
      </c>
      <c r="W343" s="1101">
        <f t="shared" si="434"/>
        <v>5278.399668693809</v>
      </c>
      <c r="X343" s="1096">
        <f t="shared" si="435"/>
        <v>6.0999999999999999E-2</v>
      </c>
      <c r="Y343" s="1097">
        <f t="shared" si="436"/>
        <v>587.30826005853396</v>
      </c>
      <c r="Z343" s="1102">
        <f t="shared" si="437"/>
        <v>7.4309415420128566</v>
      </c>
      <c r="AA343" s="1103">
        <f t="shared" si="438"/>
        <v>5865.7079287523429</v>
      </c>
      <c r="AB343" s="1101">
        <f t="shared" si="439"/>
        <v>6033.0231571533932</v>
      </c>
      <c r="AC343" s="1104">
        <f t="shared" si="440"/>
        <v>7.0000000000000007E-2</v>
      </c>
      <c r="AD343" s="1105">
        <f t="shared" si="441"/>
        <v>-1.9908281250000003E-2</v>
      </c>
      <c r="AE343" s="1128">
        <f t="shared" si="442"/>
        <v>41.311625724637679</v>
      </c>
      <c r="AF343" s="1130">
        <f t="shared" si="443"/>
        <v>0</v>
      </c>
      <c r="AG343" s="420">
        <f t="shared" si="444"/>
        <v>0</v>
      </c>
      <c r="AH343" s="420">
        <f t="shared" si="445"/>
        <v>0</v>
      </c>
      <c r="AI343" s="1097">
        <f t="shared" si="446"/>
        <v>0</v>
      </c>
      <c r="AJ343" s="420">
        <f t="shared" si="447"/>
        <v>0</v>
      </c>
      <c r="AK343" s="518">
        <f t="shared" si="448"/>
        <v>0</v>
      </c>
      <c r="AL343" s="1106">
        <f>IF($P343="","N/A",(IF($P343=-1,INDEX('卡片raw data'!S:S,MATCH($D343,'卡片raw data'!$F:$F,)),0)+IF($P343=0,INDEX('卡片raw data'!V:V,MATCH($D343,'卡片raw data'!$F:$F,)),0)+IF($P343=1,INDEX('卡片raw data'!Y:Y,MATCH($D343,'卡片raw data'!$F:$F,)),0)+IF($P343=2,INDEX('卡片raw data'!AB:AB,MATCH($D343,'卡片raw data'!$F:$F,)),0)+IF($P343=3,INDEX('卡片raw data'!AE:AE,MATCH($D343,'卡片raw data'!$F:$F,)),0)+IF($P343=4,INDEX('卡片raw data'!AH:AH,MATCH($D343,'卡片raw data'!$F:$F,)),0)+IF($P343=5,INDEX('卡片raw data'!AK:AK,MATCH($D343,'卡片raw data'!$F:$F,)),0)+INDEX('卡片raw data'!S:S,MATCH($D343,'卡片raw data'!$F:$F,))*(IF($F343="UR",0.04,0.033))*(IF($F343="UR",INDEX(绊状态确认!$S:$S,MATCH($G343,绊状态确认!$B:$B,))/2-40)+IF($F343="SR",INDEX(绊状态确认!$R:$R,MATCH($G343,绊状态确认!$B:$B,))/4-15))+IF($F343="R",INDEX(绊状态确认!$Q:$Q,MATCH($G343,绊状态确认!$B:$B,))/6-40/6)))*(INDEX(绊状态确认!$H:$H,MATCH($G343,绊状态确认!$B:$B,))+INDEX(绊状态确认!J:J,MATCH($G343,绊状态确认!$B:$B,)))</f>
        <v>8062.8739127999988</v>
      </c>
      <c r="AM343" s="1106">
        <f>IF($P343="","N/A",(IF($P343=-1,INDEX('卡片raw data'!T:T,MATCH($D343,'卡片raw data'!$F:$F,)),0)+IF($P343=0,INDEX('卡片raw data'!W:W,MATCH($D343,'卡片raw data'!$F:$F,)),0)+IF($P343=1,INDEX('卡片raw data'!Z:Z,MATCH($D343,'卡片raw data'!$F:$F,)),0)+IF($P343=2,INDEX('卡片raw data'!AC:AC,MATCH($D343,'卡片raw data'!$F:$F,)),0)+IF($P343=3,INDEX('卡片raw data'!AF:AF,MATCH($D343,'卡片raw data'!$F:$F,)),0)+IF($P343=4,INDEX('卡片raw data'!AI:AI,MATCH($D343,'卡片raw data'!$F:$F,)),0)+IF($P343=5,INDEX('卡片raw data'!AL:AL,MATCH($D343,'卡片raw data'!$F:$F,)),0)+INDEX('卡片raw data'!T:T,MATCH($D343,'卡片raw data'!$F:$F,))*(IF($F343="UR",0.04,0.033))*(IF($F343="UR",INDEX(绊状态确认!$S:$S,MATCH($G343,绊状态确认!$B:$B,))/2-40)+IF($F343="SR",INDEX(绊状态确认!$R:$R,MATCH($G343,绊状态确认!$B:$B,))/4-15))+IF($F343="R",INDEX(绊状态确认!$Q:$Q,MATCH($G343,绊状态确认!$B:$B,))/6-40/6)))*(INDEX(绊状态确认!$H:$H,MATCH($G343,绊状态确认!$B:$B,))+INDEX(绊状态确认!K:K,MATCH($G343,绊状态确认!$B:$B,)))</f>
        <v>3100.0332887999998</v>
      </c>
      <c r="AN343" s="1106">
        <f>IF($P343="","N/A",(IF($P343=-1,INDEX('卡片raw data'!U:U,MATCH($D343,'卡片raw data'!$F:$F,)),0)+IF($P343=0,INDEX('卡片raw data'!X:X,MATCH($D343,'卡片raw data'!$F:$F,)),0)+IF($P343=1,INDEX('卡片raw data'!AA:AA,MATCH($D343,'卡片raw data'!$F:$F,)),0)+IF($P343=2,INDEX('卡片raw data'!AD:AD,MATCH($D343,'卡片raw data'!$F:$F,)),0)+IF($P343=3,INDEX('卡片raw data'!AG:AG,MATCH($D343,'卡片raw data'!$F:$F,)),0)+IF($P343=4,INDEX('卡片raw data'!AJ:AJ,MATCH($D343,'卡片raw data'!$F:$F,)),0)+IF($P343=5,INDEX('卡片raw data'!AM:AM,MATCH($D343,'卡片raw data'!$F:$F,)),0)+INDEX('卡片raw data'!U:U,MATCH($D343,'卡片raw data'!$F:$F,))*(IF($F343="UR",0.04,0.033))*(IF($F343="UR",INDEX(绊状态确认!$S:$S,MATCH($G343,绊状态确认!$B:$B,))/2-40)+IF($F343="SR",INDEX(绊状态确认!$R:$R,MATCH($G343,绊状态确认!$B:$B,))/4-15))+IF($F343="R",INDEX(绊状态确认!$Q:$Q,MATCH($G343,绊状态确认!$B:$B,))/6-40/6)))*(INDEX(绊状态确认!$H:$H,MATCH($G343,绊状态确认!$B:$B,))+INDEX(绊状态确认!L:L,MATCH($G343,绊状态确认!$B:$B,)))</f>
        <v>9512.111195999998</v>
      </c>
      <c r="AO343" s="1107">
        <f t="shared" si="449"/>
        <v>1</v>
      </c>
      <c r="AP343" s="1131">
        <f>1+(INDEX(绊状态确认!$T:$T,MATCH($G343,绊状态确认!$B:$B,))+0.2)*$AO343</f>
        <v>1.3</v>
      </c>
      <c r="AQ343" s="1108">
        <f t="shared" si="450"/>
        <v>24415.044021099999</v>
      </c>
      <c r="AR343" s="1097">
        <f>(AM343*(1+$EX$9)+$EX$35)*(1+(INDEX(绊状态确认!$T:$T,MATCH($G343,绊状态确认!$B:$B,))+0.2)*AO343)*IF(J343=$FF$17,1+$FE$17,1)*IF(I343=$FF$14,1+$FE$14,1)</f>
        <v>6935.545439212</v>
      </c>
      <c r="AS343" s="1097">
        <f>(AN343*(1+$EX$10)+$EX$36)*(1+(INDEX(绊状态确认!$T:$T,MATCH($G343,绊状态确认!$B:$B,))+0.2)*AO343)*IF(J343=$FF$17,1+$FE$17,1)*IF(I343=$FF$14,1+$FE$14,1)</f>
        <v>18276.606238019998</v>
      </c>
      <c r="AT343" s="1093">
        <f>IF(AND(INDEX('卡片raw data'!AK:AK,MATCH($D343,'卡片raw data'!$F:$F,))&lt;INDEX('卡片raw data'!AM:AM,MATCH($D343,'卡片raw data'!$F:$F,)),INDEX('卡片raw data'!AL:AL,MATCH($D343,'卡片raw data'!$F:$F,))&lt;INDEX('卡片raw data'!AM:AM,MATCH($D343,'卡片raw data'!$F:$F,))),1,0)</f>
        <v>1</v>
      </c>
      <c r="AU343" s="1098">
        <f>MIN(AT343*0.15+AS343*0.00003+INDEX(绊状态确认!M:M,MATCH($G343,绊状态确认!$B:$B,)),1)</f>
        <v>0.72829818714060002</v>
      </c>
      <c r="AV343" s="1109">
        <f>(INDEX(绊状态确认!$N:$N,MATCH($G343,绊状态确认!$B:$B,))+1.5)*$EW$21</f>
        <v>2.6599999999999997</v>
      </c>
      <c r="AW343" s="1101">
        <f t="shared" si="451"/>
        <v>28009.520522542407</v>
      </c>
      <c r="AX343" s="1097">
        <f t="shared" si="452"/>
        <v>587.30826005853362</v>
      </c>
      <c r="AY343" s="1110">
        <f t="shared" si="453"/>
        <v>28596.82878260094</v>
      </c>
      <c r="AZ343" s="429">
        <f t="shared" si="454"/>
        <v>18322.604129959996</v>
      </c>
      <c r="BA343" s="431">
        <f t="shared" si="455"/>
        <v>21987.124955951997</v>
      </c>
      <c r="BB343" s="1097">
        <f>(AM343*(1+$FB$9)+$FB$35)*(1+(INDEX(绊状态确认!$T:$T,MATCH($G343,绊状态确认!$B:$B,))+0.2)*AO343)*IF(J343=$FF$17,1+$FE$17,1)*IF(I343=$FF$14,1+$FE$14,1)*(1+$FE$15)</f>
        <v>6935.545439212</v>
      </c>
      <c r="BC343" s="1097">
        <f>(AN343*(1+$FB$10)+$FB$36)*(1+(INDEX(绊状态确认!$T:$T,MATCH($G343,绊状态确认!$B:$B,))+0.2)*AO343)*IF(J343=$FF$17,1+$FE$17,1)*IF(I343=$FF$14,1+$FE$14,1)*(1+$FE$15)</f>
        <v>18276.606238019998</v>
      </c>
      <c r="BD343" s="1104">
        <f>MIN(AT343*0.15+BC343*0.00003+INDEX(绊状态确认!M:M,MATCH($G343,绊状态确认!$B:$B,)),1)</f>
        <v>0.72829818714060002</v>
      </c>
      <c r="BE343" s="432">
        <f>(INDEX(绊状态确认!$N:$N,MATCH($G343,绊状态确认!$B:$B,))+1.5)</f>
        <v>1.9</v>
      </c>
      <c r="BF343" s="1139">
        <f t="array" ref="BF343">SUMPRODUCT(IF(AZ343*AP343*$FI$16:$FI$23*$FA$22&gt;=$FI$24,$FI$24,AZ343*AP343*$FI$16:$FI$23*$FA$22),$FJ$16:$FJ$23)</f>
        <v>36443.659614490432</v>
      </c>
      <c r="BG343" s="1125">
        <f t="array" ref="BG343">SUMPRODUCT(IF(BE343*AZ343*AP343*$FI$16:$FI$23*$FA$22&gt;=$FI$24,$FI$24,BE343*AZ343*AP343*$FI$16:$FI$23*$FA$22),$FJ$16:$FJ$23)</f>
        <v>59314.208050250294</v>
      </c>
      <c r="BH343" s="1110">
        <f t="shared" si="456"/>
        <v>17700.079526388541</v>
      </c>
      <c r="BI343" s="1111">
        <f>IF(O343="vo",$EW$26/$EW$24*0.05,0)+IF(O343="sk",-$EW$26/$EW$24*(0.05-INDEX(绊状态确认!W:W,MATCH($G343,绊状态确认!$B:$B,)))+0.05*$EW$28,0)+IF(O343="sp",0.05*$EW$32*$EW$30*(1-$EW$33)-(0.05-INDEX(绊状态确认!V:V,MATCH($G343,绊状态确认!$B:$B,)))*$EW$28,0)+IF(O343="gd",-(0.05-INDEX(绊状态确认!X:X,MATCH($G343,绊状态确认!$B:$B,)))*$EW$32*$EW$30*(1-$EW$33),0)</f>
        <v>19.999999999999886</v>
      </c>
      <c r="BJ343" s="1097">
        <f>IF(O343="vo",0.05*(1-$FI$26)*$FA$24,0)+IF(O343="sk",-(0.05-INDEX(绊状态确认!W:W,MATCH($G343,绊状态确认!$B:$B,)))*(1-$FI$26)*$FA$24+0.05*$FA$26,0)+IF(O343="sp",0.05*$FA$32*$FA$27*(1-$FA$33)/$FA$30+0.05*$FA$29/$FA$69*$FA$27*(1-$FA$33)-(0.05-INDEX(绊状态确认!V:V,MATCH($G343,绊状态确认!$B:$B,)))*$FA$26,0)+IF(O343="gd",-(0.05-INDEX(绊状态确认!X:X,MATCH($G343,绊状态确认!$B:$B,)))*$FA$32*$FA$27*(1-$FA$33)/$FA$30-(0.05-INDEX(绊状态确认!X:X,MATCH($G343,绊状态确认!$B:$B,)))*$FA$29/$FA$69*$FA$27*(1-$FA$33),0)</f>
        <v>545.83333333333326</v>
      </c>
      <c r="BK343" s="1110">
        <f>IF(O343="vo",$EW$26/$EW$24*0.05+$EW$26*(-HP($EW$62,$EW$65,$EW$64)+HP($EW$62,$EW$65,(1.05-INDEX(绊状态确认!U:U,MATCH($G343,绊状态确认!$B:$B,)))*$EW$64)),0)+IF(O343="sk",-$EW$26/$EW$24*(0.05-INDEX(绊状态确认!W:W,MATCH($G343,绊状态确认!$B:$B,)))+0.05*$EW$29,0)+IF(O343="sp",0.05*$EW$32*$EW$30*(1-$EW$33)-(0.05-INDEX(绊状态确认!V:V,MATCH($G343,绊状态确认!$B:$B,)))*$EW$29,0)+IF(O343="gd",-(0.05-INDEX(绊状态确认!X:X,MATCH($G343,绊状态确认!$B:$B,)))*$EW$32*$EW$30*(1-$EW$33)+$EW$26*(-HP($EW$62,$EW$65,$EW$64)+HP($EW$62,$EW$65,0.95*$EW$64)),0)</f>
        <v>-1780.0000000000005</v>
      </c>
      <c r="BL343" s="1111">
        <f t="shared" si="457"/>
        <v>-1083.3333333333333</v>
      </c>
      <c r="BM343" s="1110">
        <f t="shared" si="458"/>
        <v>-830.55555555555543</v>
      </c>
      <c r="BN343" s="1113">
        <f t="shared" si="459"/>
        <v>3</v>
      </c>
      <c r="BO343" s="1108">
        <f t="shared" si="460"/>
        <v>4507.7214871259994</v>
      </c>
      <c r="BP343" s="1100">
        <f t="shared" si="461"/>
        <v>221.34103209030098</v>
      </c>
      <c r="BQ343" s="1113" t="s">
        <v>134</v>
      </c>
      <c r="BR343" s="1124" t="s">
        <v>171</v>
      </c>
      <c r="BS343" s="1098">
        <f>IF($P343="","N/A",IF($P343=-1,INDEX('卡片raw data'!AX:AX,MATCH($D343,'卡片raw data'!$F:$F,)),0)+IF($L343="party卡",IF($P343=5,INDEX('卡片raw data'!BD:BD,MATCH($D343,'卡片raw data'!$F:$F,)),IF($P343&gt;=3,INDEX('卡片raw data'!BC:BC,MATCH($D343,'卡片raw data'!$F:$F,)),INDEX('卡片raw data'!BB:BB,MATCH($D343,'卡片raw data'!$F:$F,)))),IF(OR(AND($F343="UR",$P343=0),AND($F343="SR",$P343&gt;=0,$P343&lt;=2),AND($F343="R",$P343&gt;=0,$P343&lt;4)),INDEX('卡片raw data'!AZ:AZ,MATCH($D343,'卡片raw data'!$F:$F,)),0)+IF(OR(AND($F343="UR",$P343&gt;=1,$P343&lt;=4),AND($F343="SR",$P343&lt;=4,$P343&gt;=3),AND($F343="R",$P343=4)),INDEX('卡片raw data'!BA:BA,MATCH($D343,'卡片raw data'!$F:$F,)),0)+IF($P343=5,INDEX('卡片raw data'!BB:BB,MATCH($D343,'卡片raw data'!$F:$F,)),0)))</f>
        <v>3.2000000000000001E-2</v>
      </c>
      <c r="BT343" s="1101">
        <f t="shared" si="462"/>
        <v>1509.2469769191675</v>
      </c>
      <c r="BU343" s="1097">
        <f t="shared" si="463"/>
        <v>95.522578685765595</v>
      </c>
      <c r="BV343" s="1097">
        <f t="shared" si="464"/>
        <v>754.62348845958354</v>
      </c>
      <c r="BW343" s="1112">
        <f t="shared" si="465"/>
        <v>0</v>
      </c>
      <c r="BX343" s="1100">
        <f t="shared" si="466"/>
        <v>1509.2469769191675</v>
      </c>
      <c r="BY343" s="1110">
        <f t="shared" si="467"/>
        <v>754.62348845958354</v>
      </c>
      <c r="BZ343" s="1107" t="s">
        <v>569</v>
      </c>
      <c r="CA343" s="1124"/>
      <c r="CB343" s="1098">
        <f>IF($P343="","N/A",IF($P343=-1,INDEX('卡片raw data'!BE:BE,MATCH($D343,'卡片raw data'!$F:$F,)),0)+IF($L343="party卡",IF($P343=5,INDEX('卡片raw data'!BK:BK,MATCH($D343,'卡片raw data'!$F:$F,)),IF($P343&gt;=3,INDEX('卡片raw data'!BJ:BJ,MATCH($D343,'卡片raw data'!$F:$F,)),INDEX('卡片raw data'!BI:BI,MATCH($D343,'卡片raw data'!$F:$F,)))),IF(OR(AND($F343="UR",$P343=0),AND($F343="SR",$P343&gt;=0,$P343&lt;=2),AND($F343="R",$P343&gt;=0,$P343&lt;4)),INDEX('卡片raw data'!BG:BG,MATCH($D343,'卡片raw data'!$F:$F,)),0)+IF(OR(AND($F343="UR",$P343&gt;=1,$P343&lt;=4),AND($F343="SR",$P343&lt;=4,$P343&gt;=3),AND($F343="R",$P343=4)),INDEX('卡片raw data'!BH:BH,MATCH($D343,'卡片raw data'!$F:$F,)),0)+IF($P343=5,INDEX('卡片raw data'!BI:BI,MATCH($D343,'卡片raw data'!$F:$F,)),0)))</f>
        <v>0</v>
      </c>
      <c r="CC343" s="1101">
        <f t="shared" si="468"/>
        <v>0</v>
      </c>
      <c r="CD343" s="1097">
        <f>IF(BZ343="ap",CB343*(1-$FI$26)*$FB$5/$FB$11*(+IF(CA343="全员",$FA$24,0)+IF(CA343="同作战",$FA$24,0)+IF(CA343="仲间",$FA$24*2/3,0)+IF(CA343="同属性",$FA$24*$FA$37/3,0)+IF(CA343="同年级",$FA$24*$FA$40/3,0)+IF(CA343="同学校",$FA$24*$FA$43/3,0)+IF(CA343="同小队",$FA$24*$FA$46/3,0)+IF(CA343="同type",$FA$24*INDEX($FB$49:$FB$52,MATCH(X343,$FA$49:$FA$52,))/3,0)+IF(CA343="自身",#REF!/3,0)),0)+IF(BZ343="te",CB343*(1-$FI$27)*($FA$20-1)*$FB$7/$FB$13*(+IF(CA343="全员",$FA$19*$FA$24/(1+($FA$20-1)*$FA$19),0)+IF(CA343="同作战",$FA$19*$FA$24/(1+($FA$20-1)*$FA$19),0)+IF(CA343="仲间",$FA$19*$FA$24*2/3/(1+($FA$20-1)*$FA$19),0)+IF(CA343="同属性",$FA$19*$FA$24*$FA$37/3/(1+($FA$20-1)*$FA$19),0)+IF(CA343="同年级",$FA$19*$FA$24*$FA$40/3/(1+($FA$20-1)*$FA$19),0)+IF(CA343="同学校",$FA$19*$FA$24*$FA$43/3/(1+($FA$20-1)*$FA$19),0)+IF(CA343="同小队",$FA$19*$FA$24*$FA$46/3/(1+($FA$20-1)*$FA$19),0)+IF(CA343="同type",$FA$19*$FA$24*INDEX($FB$49:$FB$52,MATCH(X343,$FA$49:$FA$52,))/3/(1+($FA$20-1)*$FA$19),0)+IF(CA343="自身",$FA$19*#REF!/3/(1+(BH343-1)*$BD343),0)),0)</f>
        <v>0</v>
      </c>
      <c r="CE343" s="1097">
        <f t="shared" si="469"/>
        <v>0</v>
      </c>
      <c r="CF343" s="1112">
        <f t="shared" si="470"/>
        <v>0</v>
      </c>
      <c r="CG343" s="1100">
        <f t="shared" si="471"/>
        <v>0</v>
      </c>
      <c r="CH343" s="1110">
        <f t="shared" si="472"/>
        <v>0</v>
      </c>
      <c r="CI343" s="1113" t="s">
        <v>160</v>
      </c>
      <c r="CJ343" s="1114">
        <v>1</v>
      </c>
      <c r="CK343" s="1115" t="s">
        <v>256</v>
      </c>
      <c r="CL343" s="1115" t="s">
        <v>1945</v>
      </c>
      <c r="CM343" s="1119">
        <v>8.5999999999999993E-2</v>
      </c>
      <c r="CN343" s="1115"/>
      <c r="CO343" s="1115">
        <v>2</v>
      </c>
      <c r="CP343" s="1116">
        <f t="shared" si="473"/>
        <v>11.227058117640857</v>
      </c>
      <c r="CQ343" s="1116">
        <f t="shared" si="474"/>
        <v>17.464312627441331</v>
      </c>
      <c r="CR343" s="1117">
        <f t="shared" si="475"/>
        <v>11.227058117640857</v>
      </c>
      <c r="CS343" s="1118">
        <f t="shared" si="476"/>
        <v>0</v>
      </c>
      <c r="CT343" s="1109">
        <f t="shared" si="477"/>
        <v>0</v>
      </c>
      <c r="CU343" s="1101">
        <f t="shared" si="478"/>
        <v>16.054693108226427</v>
      </c>
      <c r="CV343" s="1108">
        <f t="shared" si="479"/>
        <v>0</v>
      </c>
      <c r="CW343" s="1097">
        <f t="shared" si="480"/>
        <v>16.054693108226427</v>
      </c>
      <c r="CX343" s="1097">
        <f t="shared" si="481"/>
        <v>16.054693108226427</v>
      </c>
      <c r="CY343" s="1110">
        <f t="shared" si="482"/>
        <v>16.054693108226427</v>
      </c>
      <c r="CZ343" s="437"/>
      <c r="DA343" s="438"/>
      <c r="DB343" s="439" t="s">
        <v>569</v>
      </c>
      <c r="DC343" s="439"/>
      <c r="DD343" s="443"/>
      <c r="DE343" s="411"/>
      <c r="DF343" s="411"/>
      <c r="DG343" s="1116">
        <f t="shared" si="483"/>
        <v>0</v>
      </c>
      <c r="DH343" s="1116">
        <f t="shared" si="484"/>
        <v>0</v>
      </c>
      <c r="DI343" s="1116">
        <f t="shared" si="485"/>
        <v>0</v>
      </c>
      <c r="DJ343" s="442">
        <f t="shared" si="486"/>
        <v>0</v>
      </c>
      <c r="DK343" s="1109">
        <f t="shared" si="487"/>
        <v>0</v>
      </c>
      <c r="DL343" s="1101">
        <f t="shared" si="488"/>
        <v>0</v>
      </c>
      <c r="DM343" s="1097">
        <f t="shared" si="489"/>
        <v>0</v>
      </c>
      <c r="DN343" s="1097">
        <f t="shared" si="490"/>
        <v>0</v>
      </c>
      <c r="DO343" s="1097">
        <f t="shared" si="491"/>
        <v>0</v>
      </c>
      <c r="DP343" s="1110">
        <f t="shared" si="492"/>
        <v>0</v>
      </c>
      <c r="DQ343" s="1113" t="s">
        <v>549</v>
      </c>
      <c r="DR343" s="1120">
        <f t="shared" si="493"/>
        <v>0.3</v>
      </c>
      <c r="DS343" s="1124"/>
      <c r="DT343" s="1093" t="s">
        <v>179</v>
      </c>
      <c r="DU343" s="1093"/>
      <c r="DV343" s="1098">
        <f>IF($P343="","N/A",IF(P343=-1,INDEX('卡片raw data'!AN:AN,MATCH(D343,'卡片raw data'!$F:$F,)),0)+IF(AND(L343&lt;&gt;"party卡",P343&lt;=2,P343&gt;=0),INDEX('卡片raw data'!AP:AP,MATCH(D343,'卡片raw data'!$F:$F,)),0)+IF(OR(AND(L343="party卡",P343&lt;=1),AND(P343&lt;=4,L343&lt;&gt;"party卡",P343&gt;=3)),INDEX('卡片raw data'!AQ:AQ,MATCH(D343,'卡片raw data'!$F:$F,)),0)+IF(OR(P343=5,AND(L343="party卡",P343&gt;=2)),INDEX('卡片raw data'!AR:AR,MATCH(D343,'卡片raw data'!$F:$F,)),0))</f>
        <v>7.0000000000000007E-2</v>
      </c>
      <c r="DW343" s="1098">
        <f t="shared" si="494"/>
        <v>0.3</v>
      </c>
      <c r="DX343" s="1098">
        <f t="shared" si="495"/>
        <v>0.3</v>
      </c>
      <c r="DY343" s="1098">
        <f t="shared" si="496"/>
        <v>7.0000000000000001E-3</v>
      </c>
      <c r="DZ343" s="1098">
        <f t="shared" si="497"/>
        <v>6.9632499999999998E-3</v>
      </c>
      <c r="EA343" s="1098">
        <f t="shared" si="498"/>
        <v>0</v>
      </c>
      <c r="EB343" s="1121">
        <f t="shared" si="499"/>
        <v>42.663074999999999</v>
      </c>
      <c r="EC343" s="1101">
        <f t="shared" si="500"/>
        <v>3150</v>
      </c>
      <c r="ED343" s="1097">
        <f t="shared" si="501"/>
        <v>1740.8125</v>
      </c>
      <c r="EE343" s="1110">
        <f t="shared" si="502"/>
        <v>3150</v>
      </c>
      <c r="EF343" s="1115" t="s">
        <v>569</v>
      </c>
      <c r="EG343" s="1120">
        <f t="shared" si="503"/>
        <v>0.3</v>
      </c>
      <c r="EH343" s="1124"/>
      <c r="EI343" s="1093"/>
      <c r="EJ343" s="1093"/>
      <c r="EK343" s="1097">
        <f>IF($P343="","N/A",IF(P343=-1,INDEX('卡片raw data'!AS:AS,MATCH(D343,'卡片raw data'!$F:$F,)),0)+IF(AND(L343&lt;&gt;"party卡",P343&lt;=2,P343&gt;=0),INDEX('卡片raw data'!AU:AU,MATCH(D343,'卡片raw data'!$F:$F,)),0)+IF(OR(AND(L343="party卡",P343&lt;=1),AND(P343&lt;=4,L343&lt;&gt;"party卡",P343&gt;=3)),INDEX('卡片raw data'!AV:AV,MATCH(D343,'卡片raw data'!$F:$F,)),0)+IF(OR(P343=5,AND(L343="party卡",P343&gt;=2)),INDEX('卡片raw data'!AW:AW,MATCH(D343,'卡片raw data'!$F:$F,)),0))</f>
        <v>0</v>
      </c>
      <c r="EL343" s="1098">
        <f t="shared" si="504"/>
        <v>0.3</v>
      </c>
      <c r="EM343" s="1098">
        <f t="shared" si="505"/>
        <v>0.3</v>
      </c>
      <c r="EN343" s="1097">
        <f t="shared" si="506"/>
        <v>0</v>
      </c>
      <c r="EO343" s="1125">
        <f t="shared" si="507"/>
        <v>0</v>
      </c>
      <c r="EP343" s="1098">
        <f t="shared" si="508"/>
        <v>0</v>
      </c>
      <c r="EQ343" s="1121">
        <f t="shared" si="509"/>
        <v>0</v>
      </c>
      <c r="ER343" s="1101">
        <f t="shared" si="510"/>
        <v>0</v>
      </c>
      <c r="ES343" s="1097">
        <f t="shared" si="511"/>
        <v>0</v>
      </c>
      <c r="ET343" s="1122">
        <f t="shared" si="512"/>
        <v>0</v>
      </c>
    </row>
    <row r="344" spans="2:150" ht="16.5" customHeight="1">
      <c r="B344" s="1123" t="str">
        <f>INDEX('卡片raw data'!B:B,MATCH($D344,'卡片raw data'!$F:$F,))</f>
        <v>T台果</v>
      </c>
      <c r="C344" s="449" t="s">
        <v>659</v>
      </c>
      <c r="D344" s="408">
        <v>341</v>
      </c>
      <c r="E344" s="477">
        <v>400013003</v>
      </c>
      <c r="F344" s="1090" t="str">
        <f>INDEX('卡片raw data'!C:C,MATCH($D344,'卡片raw data'!$F:$F,))</f>
        <v>UR</v>
      </c>
      <c r="G344" s="1094" t="s">
        <v>1609</v>
      </c>
      <c r="H344" s="411">
        <f>IFERROR(INDEX(绊状态确认!C:C,MATCH($G344,绊状态确认!$B:$B,)),"")</f>
        <v>1</v>
      </c>
      <c r="I344" s="450" t="str">
        <f>IFERROR(INDEX(绊状态确认!D:D,MATCH($G344,绊状态确认!$B:$B,)),"")</f>
        <v>缪</v>
      </c>
      <c r="J344" s="450" t="str">
        <f>IFERROR(INDEX(绊状态确认!E:E,MATCH($G344,绊状态确认!$B:$B,)),"")</f>
        <v>2年级</v>
      </c>
      <c r="K344" s="451" t="str">
        <f>IFERROR(INDEX(绊状态确认!F:F,MATCH($G344,绊状态确认!$B:$B,)),"")</f>
        <v>Printemps</v>
      </c>
      <c r="L344" s="1094" t="str">
        <f>INDEX('卡片raw data'!E:E,MATCH($D344,'卡片raw data'!$F:$F,))</f>
        <v>卡池卡</v>
      </c>
      <c r="M344" s="478">
        <v>44140</v>
      </c>
      <c r="N344" s="479">
        <v>27</v>
      </c>
      <c r="O344" s="1091" t="str">
        <f>INDEX('卡片raw data'!D:D,MATCH($D344,'卡片raw data'!$F:$F,))</f>
        <v>gd</v>
      </c>
      <c r="P344" s="1126">
        <v>5</v>
      </c>
      <c r="Q344" s="1095">
        <f t="shared" si="428"/>
        <v>44177.875130324312</v>
      </c>
      <c r="R344" s="1096">
        <f t="shared" si="429"/>
        <v>0.51300000000000001</v>
      </c>
      <c r="S344" s="1097">
        <f t="shared" si="430"/>
        <v>19048.52312032249</v>
      </c>
      <c r="T344" s="1098">
        <f t="shared" si="431"/>
        <v>0.95199999999999996</v>
      </c>
      <c r="U344" s="1099">
        <f t="shared" si="432"/>
        <v>594.59920446349145</v>
      </c>
      <c r="V344" s="1100">
        <f t="shared" si="433"/>
        <v>95742.312112515065</v>
      </c>
      <c r="W344" s="1101">
        <f t="shared" si="434"/>
        <v>4507.7214871259994</v>
      </c>
      <c r="X344" s="1096">
        <f t="shared" si="435"/>
        <v>5.1999999999999998E-2</v>
      </c>
      <c r="Y344" s="1097">
        <f t="shared" si="436"/>
        <v>1797.2635724788779</v>
      </c>
      <c r="Z344" s="1102">
        <f t="shared" si="437"/>
        <v>21.300345149571427</v>
      </c>
      <c r="AA344" s="1103">
        <f t="shared" si="438"/>
        <v>6304.9850596048773</v>
      </c>
      <c r="AB344" s="1101">
        <f t="shared" si="439"/>
        <v>4507.7214871259994</v>
      </c>
      <c r="AC344" s="1104">
        <f t="shared" si="440"/>
        <v>5.1999999999999998E-2</v>
      </c>
      <c r="AD344" s="1105">
        <f t="shared" si="441"/>
        <v>0</v>
      </c>
      <c r="AE344" s="1128">
        <f t="shared" si="442"/>
        <v>-6.25</v>
      </c>
      <c r="AF344" s="1130">
        <f t="shared" si="443"/>
        <v>7757.1827255208</v>
      </c>
      <c r="AG344" s="420">
        <f t="shared" si="444"/>
        <v>97645.902860400005</v>
      </c>
      <c r="AH344" s="420">
        <f t="shared" si="445"/>
        <v>12.587804917776289</v>
      </c>
      <c r="AI344" s="1097">
        <f t="shared" si="446"/>
        <v>108640.28440794769</v>
      </c>
      <c r="AJ344" s="420">
        <f t="shared" si="447"/>
        <v>95742.312112515065</v>
      </c>
      <c r="AK344" s="518">
        <f t="shared" si="448"/>
        <v>12897.972295432628</v>
      </c>
      <c r="AL344" s="1106">
        <f>IF($P344="","N/A",(IF($P344=-1,INDEX('卡片raw data'!S:S,MATCH($D344,'卡片raw data'!$F:$F,)),0)+IF($P344=0,INDEX('卡片raw data'!V:V,MATCH($D344,'卡片raw data'!$F:$F,)),0)+IF($P344=1,INDEX('卡片raw data'!Y:Y,MATCH($D344,'卡片raw data'!$F:$F,)),0)+IF($P344=2,INDEX('卡片raw data'!AB:AB,MATCH($D344,'卡片raw data'!$F:$F,)),0)+IF($P344=3,INDEX('卡片raw data'!AE:AE,MATCH($D344,'卡片raw data'!$F:$F,)),0)+IF($P344=4,INDEX('卡片raw data'!AH:AH,MATCH($D344,'卡片raw data'!$F:$F,)),0)+IF($P344=5,INDEX('卡片raw data'!AK:AK,MATCH($D344,'卡片raw data'!$F:$F,)),0)+INDEX('卡片raw data'!S:S,MATCH($D344,'卡片raw data'!$F:$F,))*(IF($F344="UR",0.04,0.033))*(IF($F344="UR",INDEX(绊状态确认!$S:$S,MATCH($G344,绊状态确认!$B:$B,))/2-40)+IF($F344="SR",INDEX(绊状态确认!$R:$R,MATCH($G344,绊状态确认!$B:$B,))/4-15))+IF($F344="R",INDEX(绊状态确认!$Q:$Q,MATCH($G344,绊状态确认!$B:$B,))/6-40/6)))*(INDEX(绊状态确认!$H:$H,MATCH($G344,绊状态确认!$B:$B,))+INDEX(绊状态确认!J:J,MATCH($G344,绊状态确认!$B:$B,)))</f>
        <v>10438.561295999998</v>
      </c>
      <c r="AM344" s="1106">
        <f>IF($P344="","N/A",(IF($P344=-1,INDEX('卡片raw data'!T:T,MATCH($D344,'卡片raw data'!$F:$F,)),0)+IF($P344=0,INDEX('卡片raw data'!W:W,MATCH($D344,'卡片raw data'!$F:$F,)),0)+IF($P344=1,INDEX('卡片raw data'!Z:Z,MATCH($D344,'卡片raw data'!$F:$F,)),0)+IF($P344=2,INDEX('卡片raw data'!AC:AC,MATCH($D344,'卡片raw data'!$F:$F,)),0)+IF($P344=3,INDEX('卡片raw data'!AF:AF,MATCH($D344,'卡片raw data'!$F:$F,)),0)+IF($P344=4,INDEX('卡片raw data'!AI:AI,MATCH($D344,'卡片raw data'!$F:$F,)),0)+IF($P344=5,INDEX('卡片raw data'!AL:AL,MATCH($D344,'卡片raw data'!$F:$F,)),0)+INDEX('卡片raw data'!T:T,MATCH($D344,'卡片raw data'!$F:$F,))*(IF($F344="UR",0.04,0.033))*(IF($F344="UR",INDEX(绊状态确认!$S:$S,MATCH($G344,绊状态确认!$B:$B,))/2-40)+IF($F344="SR",INDEX(绊状态确认!$R:$R,MATCH($G344,绊状态确认!$B:$B,))/4-15))+IF($F344="R",INDEX(绊状态确认!$Q:$Q,MATCH($G344,绊状态确认!$B:$B,))/6-40/6)))*(INDEX(绊状态确认!$H:$H,MATCH($G344,绊状态确认!$B:$B,))+INDEX(绊状态确认!K:K,MATCH($G344,绊状态确认!$B:$B,)))</f>
        <v>9430.5290399999994</v>
      </c>
      <c r="AN344" s="1106">
        <f>IF($P344="","N/A",(IF($P344=-1,INDEX('卡片raw data'!U:U,MATCH($D344,'卡片raw data'!$F:$F,)),0)+IF($P344=0,INDEX('卡片raw data'!X:X,MATCH($D344,'卡片raw data'!$F:$F,)),0)+IF($P344=1,INDEX('卡片raw data'!AA:AA,MATCH($D344,'卡片raw data'!$F:$F,)),0)+IF($P344=2,INDEX('卡片raw data'!AD:AD,MATCH($D344,'卡片raw data'!$F:$F,)),0)+IF($P344=3,INDEX('卡片raw data'!AG:AG,MATCH($D344,'卡片raw data'!$F:$F,)),0)+IF($P344=4,INDEX('卡片raw data'!AJ:AJ,MATCH($D344,'卡片raw data'!$F:$F,)),0)+IF($P344=5,INDEX('卡片raw data'!AM:AM,MATCH($D344,'卡片raw data'!$F:$F,)),0)+INDEX('卡片raw data'!U:U,MATCH($D344,'卡片raw data'!$F:$F,))*(IF($F344="UR",0.04,0.033))*(IF($F344="UR",INDEX(绊状态确认!$S:$S,MATCH($G344,绊状态确认!$B:$B,))/2-40)+IF($F344="SR",INDEX(绊状态确认!$R:$R,MATCH($G344,绊状态确认!$B:$B,))/4-15))+IF($F344="R",INDEX(绊状态确认!$Q:$Q,MATCH($G344,绊状态确认!$B:$B,))/6-40/6)))*(INDEX(绊状态确认!$H:$H,MATCH($G344,绊状态确认!$B:$B,))+INDEX(绊状态确认!L:L,MATCH($G344,绊状态确认!$B:$B,)))</f>
        <v>13808.032751999999</v>
      </c>
      <c r="AO344" s="1107">
        <f t="shared" si="449"/>
        <v>1</v>
      </c>
      <c r="AP344" s="1131">
        <f>1+(INDEX(绊状态确认!$T:$T,MATCH($G344,绊状态确认!$B:$B,))+0.2)*$AO344</f>
        <v>1.3</v>
      </c>
      <c r="AQ344" s="1108">
        <f t="shared" si="450"/>
        <v>30651.223401999996</v>
      </c>
      <c r="AR344" s="1097">
        <f>(AM344*(1+$EX$9)+$EX$35)*(1+(INDEX(绊状态确认!$T:$T,MATCH($G344,绊状态确认!$B:$B,))+0.2)*AO344)*IF(J344=$FF$17,1+$FE$17,1)*IF(I344=$FF$14,1+$FE$14,1)</f>
        <v>15576.672139599999</v>
      </c>
      <c r="AS344" s="1097">
        <f>(AN344*(1+$EX$10)+$EX$36)*(1+(INDEX(绊状态确认!$T:$T,MATCH($G344,绊状态确认!$B:$B,))+0.2)*AO344)*IF(J344=$FF$17,1+$FE$17,1)*IF(I344=$FF$14,1+$FE$14,1)</f>
        <v>24699.008964239998</v>
      </c>
      <c r="AT344" s="1093">
        <f>IF(AND(INDEX('卡片raw data'!AK:AK,MATCH($D344,'卡片raw data'!$F:$F,))&lt;INDEX('卡片raw data'!AM:AM,MATCH($D344,'卡片raw data'!$F:$F,)),INDEX('卡片raw data'!AL:AL,MATCH($D344,'卡片raw data'!$F:$F,))&lt;INDEX('卡片raw data'!AM:AM,MATCH($D344,'卡片raw data'!$F:$F,))),1,0)</f>
        <v>1</v>
      </c>
      <c r="AU344" s="1098">
        <f>MIN(AT344*0.15+AS344*0.00003+INDEX(绊状态确认!M:M,MATCH($G344,绊状态确认!$B:$B,)),1)</f>
        <v>0.92097026892720002</v>
      </c>
      <c r="AV344" s="1109">
        <f>(INDEX(绊状态确认!$N:$N,MATCH($G344,绊状态确认!$B:$B,))+1.5)*$EW$21</f>
        <v>2.6599999999999997</v>
      </c>
      <c r="AW344" s="1101">
        <f t="shared" si="451"/>
        <v>40255.153643198311</v>
      </c>
      <c r="AX344" s="1097">
        <f t="shared" si="452"/>
        <v>1344.3144788040029</v>
      </c>
      <c r="AY344" s="1110">
        <f t="shared" si="453"/>
        <v>41599.468122002312</v>
      </c>
      <c r="AZ344" s="429">
        <f t="shared" si="454"/>
        <v>22955.194527199994</v>
      </c>
      <c r="BA344" s="431">
        <f t="shared" si="455"/>
        <v>27546.23343263999</v>
      </c>
      <c r="BB344" s="1097">
        <f>(AM344*(1+$FB$9)+$FB$35)*(1+(INDEX(绊状态确认!$T:$T,MATCH($G344,绊状态确认!$B:$B,))+0.2)*AO344)*IF(J344=$FF$17,1+$FE$17,1)*IF(I344=$FF$14,1+$FE$14,1)*(1+$FE$15)</f>
        <v>15576.672139599999</v>
      </c>
      <c r="BC344" s="1097">
        <f>(AN344*(1+$FB$10)+$FB$36)*(1+(INDEX(绊状态确认!$T:$T,MATCH($G344,绊状态确认!$B:$B,))+0.2)*AO344)*IF(J344=$FF$17,1+$FE$17,1)*IF(I344=$FF$14,1+$FE$14,1)*(1+$FE$15)</f>
        <v>24699.008964239998</v>
      </c>
      <c r="BD344" s="1104">
        <f>MIN(AT344*0.15+BC344*0.00003+INDEX(绊状态确认!M:M,MATCH($G344,绊状态确认!$B:$B,)),1)</f>
        <v>0.92097026892720002</v>
      </c>
      <c r="BE344" s="432">
        <f>(INDEX(绊状态确认!$N:$N,MATCH($G344,绊状态确认!$B:$B,))+1.5)</f>
        <v>1.9</v>
      </c>
      <c r="BF344" s="1139">
        <f t="array" ref="BF344">SUMPRODUCT(IF(AZ344*AP344*$FI$16:$FI$23*$FA$22&gt;=$FI$24,$FI$24,AZ344*AP344*$FI$16:$FI$23*$FA$22),$FJ$16:$FJ$23)</f>
        <v>45657.881914600788</v>
      </c>
      <c r="BG344" s="1125">
        <f t="array" ref="BG344">SUMPRODUCT(IF(BE344*AZ344*AP344*$FI$16:$FI$23*$FA$22&gt;=$FI$24,$FI$24,BE344*AZ344*AP344*$FI$16:$FI$23*$FA$22),$FJ$16:$FJ$23)</f>
        <v>60000</v>
      </c>
      <c r="BH344" s="1110">
        <f t="shared" si="456"/>
        <v>19622.182088232188</v>
      </c>
      <c r="BI344" s="1111">
        <f>IF(O344="vo",$EW$26/$EW$24*0.05,0)+IF(O344="sk",-$EW$26/$EW$24*(0.05-INDEX(绊状态确认!W:W,MATCH($G344,绊状态确认!$B:$B,)))+0.05*$EW$28,0)+IF(O344="sp",0.05*$EW$32*$EW$30*(1-$EW$33)-(0.05-INDEX(绊状态确认!V:V,MATCH($G344,绊状态确认!$B:$B,)))*$EW$28,0)+IF(O344="gd",-(0.05-INDEX(绊状态确认!X:X,MATCH($G344,绊状态确认!$B:$B,)))*$EW$32*$EW$30*(1-$EW$33),0)</f>
        <v>-585.00000000000011</v>
      </c>
      <c r="BJ344" s="1097">
        <f>IF(O344="vo",0.05*(1-$FI$26)*$FA$24,0)+IF(O344="sk",-(0.05-INDEX(绊状态确认!W:W,MATCH($G344,绊状态确认!$B:$B,)))*(1-$FI$26)*$FA$24+0.05*$FA$26,0)+IF(O344="sp",0.05*$FA$32*$FA$27*(1-$FA$33)/$FA$30+0.05*$FA$29/$FA$69*$FA$27*(1-$FA$33)-(0.05-INDEX(绊状态确认!V:V,MATCH($G344,绊状态确认!$B:$B,)))*$FA$26,0)+IF(O344="gd",-(0.05-INDEX(绊状态确认!X:X,MATCH($G344,绊状态确认!$B:$B,)))*$FA$32*$FA$27*(1-$FA$33)/$FA$30-(0.05-INDEX(绊状态确认!X:X,MATCH($G344,绊状态确认!$B:$B,)))*$FA$29/$FA$69*$FA$27*(1-$FA$33),0)</f>
        <v>-795.00000000000011</v>
      </c>
      <c r="BK344" s="1110">
        <f>IF(O344="vo",$EW$26/$EW$24*0.05+$EW$26*(-HP($EW$62,$EW$65,$EW$64)+HP($EW$62,$EW$65,(1.05-INDEX(绊状态确认!U:U,MATCH($G344,绊状态确认!$B:$B,)))*$EW$64)),0)+IF(O344="sk",-$EW$26/$EW$24*(0.05-INDEX(绊状态确认!W:W,MATCH($G344,绊状态确认!$B:$B,)))+0.05*$EW$29,0)+IF(O344="sp",0.05*$EW$32*$EW$30*(1-$EW$33)-(0.05-INDEX(绊状态确认!V:V,MATCH($G344,绊状态确认!$B:$B,)))*$EW$29,0)+IF(O344="gd",-(0.05-INDEX(绊状态确认!X:X,MATCH($G344,绊状态确认!$B:$B,)))*$EW$32*$EW$30*(1-$EW$33)+$EW$26*(-HP($EW$62,$EW$65,$EW$64)+HP($EW$62,$EW$65,0.95*$EW$64)),0)</f>
        <v>1009.5947725176144</v>
      </c>
      <c r="BL344" s="1111">
        <f t="shared" si="457"/>
        <v>0</v>
      </c>
      <c r="BM344" s="1110">
        <f t="shared" si="458"/>
        <v>0</v>
      </c>
      <c r="BN344" s="1113">
        <f t="shared" si="459"/>
        <v>3</v>
      </c>
      <c r="BO344" s="1108">
        <f t="shared" si="460"/>
        <v>4507.7214871259994</v>
      </c>
      <c r="BP344" s="1100">
        <f t="shared" si="461"/>
        <v>221.34103209030098</v>
      </c>
      <c r="BQ344" s="1113" t="s">
        <v>133</v>
      </c>
      <c r="BR344" s="1124" t="s">
        <v>171</v>
      </c>
      <c r="BS344" s="1098">
        <f>IF($P344="","N/A",IF($P344=-1,INDEX('卡片raw data'!AX:AX,MATCH($D344,'卡片raw data'!$F:$F,)),0)+IF($L344="party卡",IF($P344=5,INDEX('卡片raw data'!BD:BD,MATCH($D344,'卡片raw data'!$F:$F,)),IF($P344&gt;=3,INDEX('卡片raw data'!BC:BC,MATCH($D344,'卡片raw data'!$F:$F,)),INDEX('卡片raw data'!BB:BB,MATCH($D344,'卡片raw data'!$F:$F,)))),IF(OR(AND($F344="UR",$P344=0),AND($F344="SR",$P344&gt;=0,$P344&lt;=2),AND($F344="R",$P344&gt;=0,$P344&lt;4)),INDEX('卡片raw data'!AZ:AZ,MATCH($D344,'卡片raw data'!$F:$F,)),0)+IF(OR(AND($F344="UR",$P344&gt;=1,$P344&lt;=4),AND($F344="SR",$P344&lt;=4,$P344&gt;=3),AND($F344="R",$P344=4)),INDEX('卡片raw data'!BA:BA,MATCH($D344,'卡片raw data'!$F:$F,)),0)+IF($P344=5,INDEX('卡片raw data'!BB:BB,MATCH($D344,'卡片raw data'!$F:$F,)),0)))</f>
        <v>5.1999999999999998E-2</v>
      </c>
      <c r="BT344" s="1101">
        <f t="shared" si="462"/>
        <v>0</v>
      </c>
      <c r="BU344" s="1097">
        <f t="shared" si="463"/>
        <v>0</v>
      </c>
      <c r="BV344" s="1097">
        <f t="shared" si="464"/>
        <v>0</v>
      </c>
      <c r="BW344" s="1112">
        <f t="shared" si="465"/>
        <v>2.4347142857142861</v>
      </c>
      <c r="BX344" s="1100">
        <f t="shared" si="466"/>
        <v>190.49664124538464</v>
      </c>
      <c r="BY344" s="1110">
        <f t="shared" si="467"/>
        <v>190.49664124538464</v>
      </c>
      <c r="BZ344" s="1113" t="s">
        <v>569</v>
      </c>
      <c r="CA344" s="1124"/>
      <c r="CB344" s="1098">
        <f>IF($P344="","N/A",IF($P344=-1,INDEX('卡片raw data'!BE:BE,MATCH($D344,'卡片raw data'!$F:$F,)),0)+IF($L344="party卡",IF($P344=5,INDEX('卡片raw data'!BK:BK,MATCH($D344,'卡片raw data'!$F:$F,)),IF($P344&gt;=3,INDEX('卡片raw data'!BJ:BJ,MATCH($D344,'卡片raw data'!$F:$F,)),INDEX('卡片raw data'!BI:BI,MATCH($D344,'卡片raw data'!$F:$F,)))),IF(OR(AND($F344="UR",$P344=0),AND($F344="SR",$P344&gt;=0,$P344&lt;=2),AND($F344="R",$P344&gt;=0,$P344&lt;4)),INDEX('卡片raw data'!BG:BG,MATCH($D344,'卡片raw data'!$F:$F,)),0)+IF(OR(AND($F344="UR",$P344&gt;=1,$P344&lt;=4),AND($F344="SR",$P344&lt;=4,$P344&gt;=3),AND($F344="R",$P344=4)),INDEX('卡片raw data'!BH:BH,MATCH($D344,'卡片raw data'!$F:$F,)),0)+IF($P344=5,INDEX('卡片raw data'!BI:BI,MATCH($D344,'卡片raw data'!$F:$F,)),0)))</f>
        <v>0</v>
      </c>
      <c r="CC344" s="1101">
        <f t="shared" si="468"/>
        <v>0</v>
      </c>
      <c r="CD344" s="1097">
        <f>IF(BZ344="ap",CB344*(1-$FI$26)*$FB$5/$FB$11*(+IF(CA344="全员",$FA$24,0)+IF(CA344="同作战",$FA$24,0)+IF(CA344="仲间",$FA$24*2/3,0)+IF(CA344="同属性",$FA$24*$FA$37/3,0)+IF(CA344="同年级",$FA$24*$FA$40/3,0)+IF(CA344="同学校",$FA$24*$FA$43/3,0)+IF(CA344="同小队",$FA$24*$FA$46/3,0)+IF(CA344="同type",$FA$24*INDEX($FB$49:$FB$52,MATCH(X344,$FA$49:$FA$52,))/3,0)+IF(CA344="自身",#REF!/3,0)),0)+IF(BZ344="te",CB344*(1-$FI$27)*($FA$20-1)*$FB$7/$FB$13*(+IF(CA344="全员",$FA$19*$FA$24/(1+($FA$20-1)*$FA$19),0)+IF(CA344="同作战",$FA$19*$FA$24/(1+($FA$20-1)*$FA$19),0)+IF(CA344="仲间",$FA$19*$FA$24*2/3/(1+($FA$20-1)*$FA$19),0)+IF(CA344="同属性",$FA$19*$FA$24*$FA$37/3/(1+($FA$20-1)*$FA$19),0)+IF(CA344="同年级",$FA$19*$FA$24*$FA$40/3/(1+($FA$20-1)*$FA$19),0)+IF(CA344="同学校",$FA$19*$FA$24*$FA$43/3/(1+($FA$20-1)*$FA$19),0)+IF(CA344="同小队",$FA$19*$FA$24*$FA$46/3/(1+($FA$20-1)*$FA$19),0)+IF(CA344="同type",$FA$19*$FA$24*INDEX($FB$49:$FB$52,MATCH(X344,$FA$49:$FA$52,))/3/(1+($FA$20-1)*$FA$19),0)+IF(CA344="自身",$FA$19*#REF!/3/(1+(BH344-1)*$BD344),0)),0)</f>
        <v>0</v>
      </c>
      <c r="CE344" s="1097">
        <f t="shared" si="469"/>
        <v>0</v>
      </c>
      <c r="CF344" s="1112">
        <f t="shared" si="470"/>
        <v>0</v>
      </c>
      <c r="CG344" s="1100">
        <f t="shared" si="471"/>
        <v>0</v>
      </c>
      <c r="CH344" s="1110">
        <f t="shared" si="472"/>
        <v>0</v>
      </c>
      <c r="CI344" s="1113" t="s">
        <v>160</v>
      </c>
      <c r="CJ344" s="1114">
        <v>1</v>
      </c>
      <c r="CK344" s="1115" t="s">
        <v>1611</v>
      </c>
      <c r="CL344" s="1115" t="s">
        <v>1610</v>
      </c>
      <c r="CM344" s="1119">
        <v>2.5000000000000001E-2</v>
      </c>
      <c r="CN344" s="1115">
        <v>5</v>
      </c>
      <c r="CO344" s="1115"/>
      <c r="CP344" s="1118">
        <f t="shared" si="473"/>
        <v>6.6964285714285711E-3</v>
      </c>
      <c r="CQ344" s="1118">
        <f t="shared" si="474"/>
        <v>1.3888888888888888E-2</v>
      </c>
      <c r="CR344" s="1118">
        <f t="shared" si="475"/>
        <v>6.6964285714285711E-3</v>
      </c>
      <c r="CS344" s="1118">
        <f t="shared" si="476"/>
        <v>0</v>
      </c>
      <c r="CT344" s="1109">
        <f t="shared" si="477"/>
        <v>0</v>
      </c>
      <c r="CU344" s="1101">
        <f t="shared" si="478"/>
        <v>0</v>
      </c>
      <c r="CV344" s="1108">
        <f t="shared" si="479"/>
        <v>0</v>
      </c>
      <c r="CW344" s="1097">
        <f t="shared" si="480"/>
        <v>0</v>
      </c>
      <c r="CX344" s="1097">
        <f t="shared" si="481"/>
        <v>0</v>
      </c>
      <c r="CY344" s="1110">
        <f t="shared" si="482"/>
        <v>262.45245242949022</v>
      </c>
      <c r="CZ344" s="437"/>
      <c r="DA344" s="438"/>
      <c r="DB344" s="439" t="s">
        <v>569</v>
      </c>
      <c r="DC344" s="439"/>
      <c r="DD344" s="443"/>
      <c r="DE344" s="411"/>
      <c r="DF344" s="411"/>
      <c r="DG344" s="1116">
        <f t="shared" si="483"/>
        <v>0</v>
      </c>
      <c r="DH344" s="1116">
        <f t="shared" si="484"/>
        <v>0</v>
      </c>
      <c r="DI344" s="1116">
        <f t="shared" si="485"/>
        <v>0</v>
      </c>
      <c r="DJ344" s="442">
        <f t="shared" si="486"/>
        <v>0</v>
      </c>
      <c r="DK344" s="1109">
        <f t="shared" si="487"/>
        <v>0</v>
      </c>
      <c r="DL344" s="1101">
        <f t="shared" si="488"/>
        <v>0</v>
      </c>
      <c r="DM344" s="1097">
        <f t="shared" si="489"/>
        <v>0</v>
      </c>
      <c r="DN344" s="1097">
        <f t="shared" si="490"/>
        <v>0</v>
      </c>
      <c r="DO344" s="1097">
        <f t="shared" si="491"/>
        <v>0</v>
      </c>
      <c r="DP344" s="1110">
        <f t="shared" si="492"/>
        <v>0</v>
      </c>
      <c r="DQ344" s="1113" t="s">
        <v>635</v>
      </c>
      <c r="DR344" s="1120">
        <f t="shared" si="493"/>
        <v>0.33</v>
      </c>
      <c r="DS344" s="1124"/>
      <c r="DT344" s="1093" t="s">
        <v>133</v>
      </c>
      <c r="DU344" s="1093"/>
      <c r="DV344" s="1098">
        <f>IF($P344="","N/A",IF(P344=-1,INDEX('卡片raw data'!AN:AN,MATCH(D344,'卡片raw data'!$F:$F,)),0)+IF(AND(L344&lt;&gt;"party卡",P344&lt;=2,P344&gt;=0),INDEX('卡片raw data'!AP:AP,MATCH(D344,'卡片raw data'!$F:$F,)),0)+IF(OR(AND(L344="party卡",P344&lt;=1),AND(P344&lt;=4,L344&lt;&gt;"party卡",P344&gt;=3)),INDEX('卡片raw data'!AQ:AQ,MATCH(D344,'卡片raw data'!$F:$F,)),0)+IF(OR(P344=5,AND(L344="party卡",P344&gt;=2)),INDEX('卡片raw data'!AR:AR,MATCH(D344,'卡片raw data'!$F:$F,)),0))</f>
        <v>0.32</v>
      </c>
      <c r="DW344" s="1098">
        <f t="shared" si="494"/>
        <v>0.33</v>
      </c>
      <c r="DX344" s="1098">
        <f t="shared" si="495"/>
        <v>0.33</v>
      </c>
      <c r="DY344" s="1097">
        <f t="shared" si="496"/>
        <v>548.29885931392005</v>
      </c>
      <c r="DZ344" s="1097">
        <f t="shared" si="497"/>
        <v>474.27851330654084</v>
      </c>
      <c r="EA344" s="1098">
        <f t="shared" si="498"/>
        <v>0</v>
      </c>
      <c r="EB344" s="1121">
        <f t="shared" si="499"/>
        <v>0</v>
      </c>
      <c r="EC344" s="1101">
        <f t="shared" si="500"/>
        <v>0</v>
      </c>
      <c r="ED344" s="1097">
        <f t="shared" si="501"/>
        <v>0</v>
      </c>
      <c r="EE344" s="1110">
        <f t="shared" si="502"/>
        <v>48435.03108962375</v>
      </c>
      <c r="EF344" s="1115" t="s">
        <v>569</v>
      </c>
      <c r="EG344" s="1120">
        <f t="shared" si="503"/>
        <v>0.33</v>
      </c>
      <c r="EH344" s="1124"/>
      <c r="EI344" s="1093"/>
      <c r="EJ344" s="1093"/>
      <c r="EK344" s="1097">
        <f>IF($P344="","N/A",IF(P344=-1,INDEX('卡片raw data'!AS:AS,MATCH(D344,'卡片raw data'!$F:$F,)),0)+IF(AND(L344&lt;&gt;"party卡",P344&lt;=2,P344&gt;=0),INDEX('卡片raw data'!AU:AU,MATCH(D344,'卡片raw data'!$F:$F,)),0)+IF(OR(AND(L344="party卡",P344&lt;=1),AND(P344&lt;=4,L344&lt;&gt;"party卡",P344&gt;=3)),INDEX('卡片raw data'!AV:AV,MATCH(D344,'卡片raw data'!$F:$F,)),0)+IF(OR(P344=5,AND(L344="party卡",P344&gt;=2)),INDEX('卡片raw data'!AW:AW,MATCH(D344,'卡片raw data'!$F:$F,)),0))</f>
        <v>0</v>
      </c>
      <c r="EL344" s="1098">
        <f t="shared" si="504"/>
        <v>0.33</v>
      </c>
      <c r="EM344" s="1098">
        <f t="shared" si="505"/>
        <v>0.33</v>
      </c>
      <c r="EN344" s="1097">
        <f t="shared" si="506"/>
        <v>0</v>
      </c>
      <c r="EO344" s="1125">
        <f t="shared" si="507"/>
        <v>0</v>
      </c>
      <c r="EP344" s="1098">
        <f t="shared" si="508"/>
        <v>0</v>
      </c>
      <c r="EQ344" s="1121">
        <f t="shared" si="509"/>
        <v>0</v>
      </c>
      <c r="ER344" s="1101">
        <f t="shared" si="510"/>
        <v>0</v>
      </c>
      <c r="ES344" s="1097">
        <f t="shared" si="511"/>
        <v>0</v>
      </c>
      <c r="ET344" s="1122">
        <f t="shared" si="512"/>
        <v>0</v>
      </c>
    </row>
    <row r="345" spans="2:150" ht="16.5" customHeight="1">
      <c r="B345" s="1123" t="str">
        <f>INDEX('卡片raw data'!B:B,MATCH($D345,'卡片raw data'!$F:$F,))</f>
        <v>四单丸</v>
      </c>
      <c r="C345" s="449" t="s">
        <v>1613</v>
      </c>
      <c r="D345" s="408">
        <v>342</v>
      </c>
      <c r="E345" s="477">
        <v>401072004</v>
      </c>
      <c r="F345" s="1090" t="str">
        <f>INDEX('卡片raw data'!C:C,MATCH($D345,'卡片raw data'!$F:$F,))</f>
        <v>SR</v>
      </c>
      <c r="G345" s="1094" t="s">
        <v>1614</v>
      </c>
      <c r="H345" s="411">
        <f>IFERROR(INDEX(绊状态确认!C:C,MATCH($G345,绊状态确认!$B:$B,)),"")</f>
        <v>107</v>
      </c>
      <c r="I345" s="450" t="str">
        <f>IFERROR(INDEX(绊状态确认!D:D,MATCH($G345,绊状态确认!$B:$B,)),"")</f>
        <v>水</v>
      </c>
      <c r="J345" s="450" t="str">
        <f>IFERROR(INDEX(绊状态确认!E:E,MATCH($G345,绊状态确认!$B:$B,)),"")</f>
        <v>1年级</v>
      </c>
      <c r="K345" s="451" t="str">
        <f>IFERROR(INDEX(绊状态确认!F:F,MATCH($G345,绊状态确认!$B:$B,)),"")</f>
        <v>AZALEA</v>
      </c>
      <c r="L345" s="1094" t="str">
        <f>INDEX('卡片raw data'!E:E,MATCH($D345,'卡片raw data'!$F:$F,))</f>
        <v>卡池卡</v>
      </c>
      <c r="M345" s="478">
        <v>44140</v>
      </c>
      <c r="N345" s="479">
        <v>27</v>
      </c>
      <c r="O345" s="1091" t="str">
        <f>INDEX('卡片raw data'!D:D,MATCH($D345,'卡片raw data'!$F:$F,))</f>
        <v>vo</v>
      </c>
      <c r="P345" s="1126">
        <v>5</v>
      </c>
      <c r="Q345" s="1095">
        <f t="shared" si="428"/>
        <v>38292.666536926175</v>
      </c>
      <c r="R345" s="1096">
        <f t="shared" si="429"/>
        <v>0.44500000000000001</v>
      </c>
      <c r="S345" s="1097">
        <f t="shared" si="430"/>
        <v>15783.180824219045</v>
      </c>
      <c r="T345" s="1098">
        <f t="shared" si="431"/>
        <v>0.78900000000000003</v>
      </c>
      <c r="U345" s="1099">
        <f t="shared" si="432"/>
        <v>-13.939981251687144</v>
      </c>
      <c r="V345" s="1100">
        <f t="shared" si="433"/>
        <v>37868.62043591166</v>
      </c>
      <c r="W345" s="1101">
        <f t="shared" si="434"/>
        <v>5493.6424601653798</v>
      </c>
      <c r="X345" s="1096">
        <f t="shared" si="435"/>
        <v>6.3E-2</v>
      </c>
      <c r="Y345" s="1097">
        <f t="shared" si="436"/>
        <v>880.6223492271838</v>
      </c>
      <c r="Z345" s="1102">
        <f t="shared" si="437"/>
        <v>11.060018748312856</v>
      </c>
      <c r="AA345" s="1103">
        <f t="shared" si="438"/>
        <v>6374.2648093925636</v>
      </c>
      <c r="AB345" s="1101">
        <f t="shared" si="439"/>
        <v>6479.5634332047593</v>
      </c>
      <c r="AC345" s="1104">
        <f t="shared" si="440"/>
        <v>7.4999999999999997E-2</v>
      </c>
      <c r="AD345" s="1105">
        <f t="shared" si="441"/>
        <v>-3.8207812500000026E-3</v>
      </c>
      <c r="AE345" s="1128">
        <f t="shared" si="442"/>
        <v>-12.27536231884058</v>
      </c>
      <c r="AF345" s="1130">
        <f t="shared" si="443"/>
        <v>0</v>
      </c>
      <c r="AG345" s="420">
        <f t="shared" si="444"/>
        <v>0</v>
      </c>
      <c r="AH345" s="420">
        <f t="shared" si="445"/>
        <v>0</v>
      </c>
      <c r="AI345" s="1097">
        <f t="shared" si="446"/>
        <v>0</v>
      </c>
      <c r="AJ345" s="420">
        <f t="shared" si="447"/>
        <v>0</v>
      </c>
      <c r="AK345" s="518">
        <f t="shared" si="448"/>
        <v>0</v>
      </c>
      <c r="AL345" s="1106">
        <f>IF($P345="","N/A",(IF($P345=-1,INDEX('卡片raw data'!S:S,MATCH($D345,'卡片raw data'!$F:$F,)),0)+IF($P345=0,INDEX('卡片raw data'!V:V,MATCH($D345,'卡片raw data'!$F:$F,)),0)+IF($P345=1,INDEX('卡片raw data'!Y:Y,MATCH($D345,'卡片raw data'!$F:$F,)),0)+IF($P345=2,INDEX('卡片raw data'!AB:AB,MATCH($D345,'卡片raw data'!$F:$F,)),0)+IF($P345=3,INDEX('卡片raw data'!AE:AE,MATCH($D345,'卡片raw data'!$F:$F,)),0)+IF($P345=4,INDEX('卡片raw data'!AH:AH,MATCH($D345,'卡片raw data'!$F:$F,)),0)+IF($P345=5,INDEX('卡片raw data'!AK:AK,MATCH($D345,'卡片raw data'!$F:$F,)),0)+INDEX('卡片raw data'!S:S,MATCH($D345,'卡片raw data'!$F:$F,))*(IF($F345="UR",0.04,0.033))*(IF($F345="UR",INDEX(绊状态确认!$S:$S,MATCH($G345,绊状态确认!$B:$B,))/2-40)+IF($F345="SR",INDEX(绊状态确认!$R:$R,MATCH($G345,绊状态确认!$B:$B,))/4-15))+IF($F345="R",INDEX(绊状态确认!$Q:$Q,MATCH($G345,绊状态确认!$B:$B,))/6-40/6)))*(INDEX(绊状态确认!$H:$H,MATCH($G345,绊状态确认!$B:$B,))+INDEX(绊状态确认!J:J,MATCH($G345,绊状态确认!$B:$B,)))</f>
        <v>8271.4010399999988</v>
      </c>
      <c r="AM345" s="1106">
        <f>IF($P345="","N/A",(IF($P345=-1,INDEX('卡片raw data'!T:T,MATCH($D345,'卡片raw data'!$F:$F,)),0)+IF($P345=0,INDEX('卡片raw data'!W:W,MATCH($D345,'卡片raw data'!$F:$F,)),0)+IF($P345=1,INDEX('卡片raw data'!Z:Z,MATCH($D345,'卡片raw data'!$F:$F,)),0)+IF($P345=2,INDEX('卡片raw data'!AC:AC,MATCH($D345,'卡片raw data'!$F:$F,)),0)+IF($P345=3,INDEX('卡片raw data'!AF:AF,MATCH($D345,'卡片raw data'!$F:$F,)),0)+IF($P345=4,INDEX('卡片raw data'!AI:AI,MATCH($D345,'卡片raw data'!$F:$F,)),0)+IF($P345=5,INDEX('卡片raw data'!AL:AL,MATCH($D345,'卡片raw data'!$F:$F,)),0)+INDEX('卡片raw data'!T:T,MATCH($D345,'卡片raw data'!$F:$F,))*(IF($F345="UR",0.04,0.033))*(IF($F345="UR",INDEX(绊状态确认!$S:$S,MATCH($G345,绊状态确认!$B:$B,))/2-40)+IF($F345="SR",INDEX(绊状态确认!$R:$R,MATCH($G345,绊状态确认!$B:$B,))/4-15))+IF($F345="R",INDEX(绊状态确认!$Q:$Q,MATCH($G345,绊状态确认!$B:$B,))/6-40/6)))*(INDEX(绊状态确认!$H:$H,MATCH($G345,绊状态确认!$B:$B,))+INDEX(绊状态确认!K:K,MATCH($G345,绊状态确认!$B:$B,)))</f>
        <v>5581.4536007999995</v>
      </c>
      <c r="AN345" s="1106">
        <f>IF($P345="","N/A",(IF($P345=-1,INDEX('卡片raw data'!U:U,MATCH($D345,'卡片raw data'!$F:$F,)),0)+IF($P345=0,INDEX('卡片raw data'!X:X,MATCH($D345,'卡片raw data'!$F:$F,)),0)+IF($P345=1,INDEX('卡片raw data'!AA:AA,MATCH($D345,'卡片raw data'!$F:$F,)),0)+IF($P345=2,INDEX('卡片raw data'!AD:AD,MATCH($D345,'卡片raw data'!$F:$F,)),0)+IF($P345=3,INDEX('卡片raw data'!AG:AG,MATCH($D345,'卡片raw data'!$F:$F,)),0)+IF($P345=4,INDEX('卡片raw data'!AJ:AJ,MATCH($D345,'卡片raw data'!$F:$F,)),0)+IF($P345=5,INDEX('卡片raw data'!AM:AM,MATCH($D345,'卡片raw data'!$F:$F,)),0)+INDEX('卡片raw data'!U:U,MATCH($D345,'卡片raw data'!$F:$F,))*(IF($F345="UR",0.04,0.033))*(IF($F345="UR",INDEX(绊状态确认!$S:$S,MATCH($G345,绊状态确认!$B:$B,))/2-40)+IF($F345="SR",INDEX(绊状态确认!$R:$R,MATCH($G345,绊状态确认!$B:$B,))/4-15))+IF($F345="R",INDEX(绊状态确认!$Q:$Q,MATCH($G345,绊状态确认!$B:$B,))/6-40/6)))*(INDEX(绊状态确认!$H:$H,MATCH($G345,绊状态确认!$B:$B,))+INDEX(绊状态确认!L:L,MATCH($G345,绊状态确认!$B:$B,)))</f>
        <v>6822.1637567999987</v>
      </c>
      <c r="AO345" s="1107">
        <f t="shared" si="449"/>
        <v>1</v>
      </c>
      <c r="AP345" s="1131">
        <f>1+(INDEX(绊状态确认!$T:$T,MATCH($G345,绊状态确认!$B:$B,))+0.2)*$AO345</f>
        <v>1.3</v>
      </c>
      <c r="AQ345" s="1108">
        <f t="shared" si="450"/>
        <v>24962.427729999999</v>
      </c>
      <c r="AR345" s="1097">
        <f>(AM345*(1+$EX$9)+$EX$35)*(1+(INDEX(绊状态确认!$T:$T,MATCH($G345,绊状态确认!$B:$B,))+0.2)*AO345)*IF(J345=$FF$17,1+$FE$17,1)*IF(I345=$FF$14,1+$FE$14,1)</f>
        <v>10322.684165092</v>
      </c>
      <c r="AS345" s="1097">
        <f>(AN345*(1+$EX$10)+$EX$36)*(1+(INDEX(绊状态确认!$T:$T,MATCH($G345,绊状态确认!$B:$B,))+0.2)*AO345)*IF(J345=$FF$17,1+$FE$17,1)*IF(I345=$FF$14,1+$FE$14,1)</f>
        <v>14255.134816415997</v>
      </c>
      <c r="AT345" s="1093">
        <f>IF(AND(INDEX('卡片raw data'!AK:AK,MATCH($D345,'卡片raw data'!$F:$F,))&lt;INDEX('卡片raw data'!AM:AM,MATCH($D345,'卡片raw data'!$F:$F,)),INDEX('卡片raw data'!AL:AL,MATCH($D345,'卡片raw data'!$F:$F,))&lt;INDEX('卡片raw data'!AM:AM,MATCH($D345,'卡片raw data'!$F:$F,))),1,0)</f>
        <v>0</v>
      </c>
      <c r="AU345" s="1098">
        <f>MIN(AT345*0.15+AS345*0.00003+INDEX(绊状态确认!M:M,MATCH($G345,绊状态确认!$B:$B,)),1)</f>
        <v>0.45765404449247993</v>
      </c>
      <c r="AV345" s="1109">
        <f>(INDEX(绊状态确认!$N:$N,MATCH($G345,绊状态确认!$B:$B,))+1.5)*$EW$21</f>
        <v>2.6599999999999997</v>
      </c>
      <c r="AW345" s="1101">
        <f t="shared" si="451"/>
        <v>22813.096029486493</v>
      </c>
      <c r="AX345" s="1097">
        <f t="shared" si="452"/>
        <v>880.6223492271838</v>
      </c>
      <c r="AY345" s="1110">
        <f t="shared" si="453"/>
        <v>23693.718378713675</v>
      </c>
      <c r="AZ345" s="429">
        <f t="shared" si="454"/>
        <v>18729.232027999999</v>
      </c>
      <c r="BA345" s="431">
        <f t="shared" si="455"/>
        <v>22475.078433599996</v>
      </c>
      <c r="BB345" s="1097">
        <f>(AM345*(1+$FB$9)+$FB$35)*(1+(INDEX(绊状态确认!$T:$T,MATCH($G345,绊状态确认!$B:$B,))+0.2)*AO345)*IF(J345=$FF$17,1+$FE$17,1)*IF(I345=$FF$14,1+$FE$14,1)*(1+$FE$15)</f>
        <v>10322.684165092</v>
      </c>
      <c r="BC345" s="1097">
        <f>(AN345*(1+$FB$10)+$FB$36)*(1+(INDEX(绊状态确认!$T:$T,MATCH($G345,绊状态确认!$B:$B,))+0.2)*AO345)*IF(J345=$FF$17,1+$FE$17,1)*IF(I345=$FF$14,1+$FE$14,1)*(1+$FE$15)</f>
        <v>14255.134816415997</v>
      </c>
      <c r="BD345" s="1104">
        <f>MIN(AT345*0.15+BC345*0.00003+INDEX(绊状态确认!M:M,MATCH($G345,绊状态确认!$B:$B,)),1)</f>
        <v>0.45765404449247993</v>
      </c>
      <c r="BE345" s="432">
        <f>(INDEX(绊状态确认!$N:$N,MATCH($G345,绊状态确认!$B:$B,))+1.5)</f>
        <v>1.9</v>
      </c>
      <c r="BF345" s="1139">
        <f t="array" ref="BF345">SUMPRODUCT(IF(AZ345*AP345*$FI$16:$FI$23*$FA$22&gt;=$FI$24,$FI$24,AZ345*AP345*$FI$16:$FI$23*$FA$22),$FJ$16:$FJ$23)</f>
        <v>37252.442503692</v>
      </c>
      <c r="BG345" s="1125">
        <f t="array" ref="BG345">SUMPRODUCT(IF(BE345*AZ345*AP345*$FI$16:$FI$23*$FA$22&gt;=$FI$24,$FI$24,BE345*AZ345*AP345*$FI$16:$FI$23*$FA$22),$FJ$16:$FJ$23)</f>
        <v>59551.3443730992</v>
      </c>
      <c r="BH345" s="1110">
        <f t="shared" si="456"/>
        <v>15819.208377322377</v>
      </c>
      <c r="BI345" s="1111">
        <f>IF(O345="vo",$EW$26/$EW$24*0.05,0)+IF(O345="sk",-$EW$26/$EW$24*(0.05-INDEX(绊状态确认!W:W,MATCH($G345,绊状态确认!$B:$B,)))+0.05*$EW$28,0)+IF(O345="sp",0.05*$EW$32*$EW$30*(1-$EW$33)-(0.05-INDEX(绊状态确认!V:V,MATCH($G345,绊状态确认!$B:$B,)))*$EW$28,0)+IF(O345="gd",-(0.05-INDEX(绊状态确认!X:X,MATCH($G345,绊状态确认!$B:$B,)))*$EW$32*$EW$30*(1-$EW$33),0)</f>
        <v>7726.3029277443748</v>
      </c>
      <c r="BJ345" s="1097">
        <f>IF(O345="vo",0.05*(1-$FI$26)*$FA$24,0)+IF(O345="sk",-(0.05-INDEX(绊状态确认!W:W,MATCH($G345,绊状态确认!$B:$B,)))*(1-$FI$26)*$FA$24+0.05*$FA$26,0)+IF(O345="sp",0.05*$FA$32*$FA$27*(1-$FA$33)/$FA$30+0.05*$FA$29/$FA$69*$FA$27*(1-$FA$33)-(0.05-INDEX(绊状态确认!V:V,MATCH($G345,绊状态确认!$B:$B,)))*$FA$26,0)+IF(O345="gd",-(0.05-INDEX(绊状态确认!X:X,MATCH($G345,绊状态确认!$B:$B,)))*$FA$32*$FA$27*(1-$FA$33)/$FA$30-(0.05-INDEX(绊状态确认!X:X,MATCH($G345,绊状态确认!$B:$B,)))*$FA$29/$FA$69*$FA$27*(1-$FA$33),0)</f>
        <v>393.93433687500004</v>
      </c>
      <c r="BK345" s="1110">
        <f>IF(O345="vo",$EW$26/$EW$24*0.05+$EW$26*(-HP($EW$62,$EW$65,$EW$64)+HP($EW$62,$EW$65,(1.05-INDEX(绊状态确认!U:U,MATCH($G345,绊状态确认!$B:$B,)))*$EW$64)),0)+IF(O345="sk",-$EW$26/$EW$24*(0.05-INDEX(绊状态确认!W:W,MATCH($G345,绊状态确认!$B:$B,)))+0.05*$EW$29,0)+IF(O345="sp",0.05*$EW$32*$EW$30*(1-$EW$33)-(0.05-INDEX(绊状态确认!V:V,MATCH($G345,绊状态确认!$B:$B,)))*$EW$29,0)+IF(O345="gd",-(0.05-INDEX(绊状态确认!X:X,MATCH($G345,绊状态确认!$B:$B,)))*$EW$32*$EW$30*(1-$EW$33)+$EW$26*(-HP($EW$62,$EW$65,$EW$64)+HP($EW$62,$EW$65,0.95*$EW$64)),0)</f>
        <v>6421.6344775026746</v>
      </c>
      <c r="BL345" s="1111">
        <f t="shared" si="457"/>
        <v>-1083.3333333333333</v>
      </c>
      <c r="BM345" s="1110">
        <f t="shared" si="458"/>
        <v>-830.55555555555543</v>
      </c>
      <c r="BN345" s="1113">
        <f t="shared" si="459"/>
        <v>3</v>
      </c>
      <c r="BO345" s="1108">
        <f t="shared" si="460"/>
        <v>4507.7214871259994</v>
      </c>
      <c r="BP345" s="1100">
        <f t="shared" si="461"/>
        <v>221.34103209030098</v>
      </c>
      <c r="BQ345" s="1113" t="s">
        <v>132</v>
      </c>
      <c r="BR345" s="1124" t="s">
        <v>171</v>
      </c>
      <c r="BS345" s="1098">
        <f>IF($P345="","N/A",IF($P345=-1,INDEX('卡片raw data'!AX:AX,MATCH($D345,'卡片raw data'!$F:$F,)),0)+IF($L345="party卡",IF($P345=5,INDEX('卡片raw data'!BD:BD,MATCH($D345,'卡片raw data'!$F:$F,)),IF($P345&gt;=3,INDEX('卡片raw data'!BC:BC,MATCH($D345,'卡片raw data'!$F:$F,)),INDEX('卡片raw data'!BB:BB,MATCH($D345,'卡片raw data'!$F:$F,)))),IF(OR(AND($F345="UR",$P345=0),AND($F345="SR",$P345&gt;=0,$P345&lt;=2),AND($F345="R",$P345&gt;=0,$P345&lt;4)),INDEX('卡片raw data'!AZ:AZ,MATCH($D345,'卡片raw data'!$F:$F,)),0)+IF(OR(AND($F345="UR",$P345&gt;=1,$P345&lt;=4),AND($F345="SR",$P345&lt;=4,$P345&gt;=3),AND($F345="R",$P345=4)),INDEX('卡片raw data'!BA:BA,MATCH($D345,'卡片raw data'!$F:$F,)),0)+IF($P345=5,INDEX('卡片raw data'!BB:BB,MATCH($D345,'卡片raw data'!$F:$F,)),0)))</f>
        <v>3.2000000000000001E-2</v>
      </c>
      <c r="BT345" s="1101">
        <f t="shared" si="462"/>
        <v>1602.7454176448</v>
      </c>
      <c r="BU345" s="1097">
        <f t="shared" si="463"/>
        <v>68.861654428093644</v>
      </c>
      <c r="BV345" s="1097">
        <f t="shared" si="464"/>
        <v>801.37270882240011</v>
      </c>
      <c r="BW345" s="1112">
        <f t="shared" si="465"/>
        <v>0</v>
      </c>
      <c r="BX345" s="1100">
        <f t="shared" si="466"/>
        <v>1602.7454176448</v>
      </c>
      <c r="BY345" s="1110">
        <f t="shared" si="467"/>
        <v>801.37270882240011</v>
      </c>
      <c r="BZ345" s="1113" t="s">
        <v>569</v>
      </c>
      <c r="CA345" s="1124"/>
      <c r="CB345" s="1098">
        <f>IF($P345="","N/A",IF($P345=-1,INDEX('卡片raw data'!BE:BE,MATCH($D345,'卡片raw data'!$F:$F,)),0)+IF($L345="party卡",IF($P345=5,INDEX('卡片raw data'!BK:BK,MATCH($D345,'卡片raw data'!$F:$F,)),IF($P345&gt;=3,INDEX('卡片raw data'!BJ:BJ,MATCH($D345,'卡片raw data'!$F:$F,)),INDEX('卡片raw data'!BI:BI,MATCH($D345,'卡片raw data'!$F:$F,)))),IF(OR(AND($F345="UR",$P345=0),AND($F345="SR",$P345&gt;=0,$P345&lt;=2),AND($F345="R",$P345&gt;=0,$P345&lt;4)),INDEX('卡片raw data'!BG:BG,MATCH($D345,'卡片raw data'!$F:$F,)),0)+IF(OR(AND($F345="UR",$P345&gt;=1,$P345&lt;=4),AND($F345="SR",$P345&lt;=4,$P345&gt;=3),AND($F345="R",$P345=4)),INDEX('卡片raw data'!BH:BH,MATCH($D345,'卡片raw data'!$F:$F,)),0)+IF($P345=5,INDEX('卡片raw data'!BI:BI,MATCH($D345,'卡片raw data'!$F:$F,)),0)))</f>
        <v>0</v>
      </c>
      <c r="CC345" s="1101">
        <f t="shared" si="468"/>
        <v>0</v>
      </c>
      <c r="CD345" s="1097">
        <f>IF(BZ345="ap",CB345*(1-$FI$26)*$FB$5/$FB$11*(+IF(CA345="全员",$FA$24,0)+IF(CA345="同作战",$FA$24,0)+IF(CA345="仲间",$FA$24*2/3,0)+IF(CA345="同属性",$FA$24*$FA$37/3,0)+IF(CA345="同年级",$FA$24*$FA$40/3,0)+IF(CA345="同学校",$FA$24*$FA$43/3,0)+IF(CA345="同小队",$FA$24*$FA$46/3,0)+IF(CA345="同type",$FA$24*INDEX($FB$49:$FB$52,MATCH(X345,$FA$49:$FA$52,))/3,0)+IF(CA345="自身",#REF!/3,0)),0)+IF(BZ345="te",CB345*(1-$FI$27)*($FA$20-1)*$FB$7/$FB$13*(+IF(CA345="全员",$FA$19*$FA$24/(1+($FA$20-1)*$FA$19),0)+IF(CA345="同作战",$FA$19*$FA$24/(1+($FA$20-1)*$FA$19),0)+IF(CA345="仲间",$FA$19*$FA$24*2/3/(1+($FA$20-1)*$FA$19),0)+IF(CA345="同属性",$FA$19*$FA$24*$FA$37/3/(1+($FA$20-1)*$FA$19),0)+IF(CA345="同年级",$FA$19*$FA$24*$FA$40/3/(1+($FA$20-1)*$FA$19),0)+IF(CA345="同学校",$FA$19*$FA$24*$FA$43/3/(1+($FA$20-1)*$FA$19),0)+IF(CA345="同小队",$FA$19*$FA$24*$FA$46/3/(1+($FA$20-1)*$FA$19),0)+IF(CA345="同type",$FA$19*$FA$24*INDEX($FB$49:$FB$52,MATCH(X345,$FA$49:$FA$52,))/3/(1+($FA$20-1)*$FA$19),0)+IF(CA345="自身",$FA$19*#REF!/3/(1+(BH345-1)*$BD345),0)),0)</f>
        <v>0</v>
      </c>
      <c r="CE345" s="1097">
        <f t="shared" si="469"/>
        <v>0</v>
      </c>
      <c r="CF345" s="1112">
        <f t="shared" si="470"/>
        <v>0</v>
      </c>
      <c r="CG345" s="1100">
        <f t="shared" si="471"/>
        <v>0</v>
      </c>
      <c r="CH345" s="1110">
        <f t="shared" si="472"/>
        <v>0</v>
      </c>
      <c r="CI345" s="1113" t="s">
        <v>164</v>
      </c>
      <c r="CJ345" s="1114">
        <v>1</v>
      </c>
      <c r="CK345" s="1115" t="s">
        <v>1616</v>
      </c>
      <c r="CL345" s="1115" t="s">
        <v>1615</v>
      </c>
      <c r="CM345" s="1119">
        <v>3.7999999999999999E-2</v>
      </c>
      <c r="CN345" s="1115">
        <v>5</v>
      </c>
      <c r="CO345" s="1115"/>
      <c r="CP345" s="1118">
        <f t="shared" si="473"/>
        <v>2.7142857142857147E-3</v>
      </c>
      <c r="CQ345" s="1118">
        <f t="shared" si="474"/>
        <v>3.6944444444444451E-3</v>
      </c>
      <c r="CR345" s="1118">
        <f t="shared" si="475"/>
        <v>1.3571428571428571E-3</v>
      </c>
      <c r="CS345" s="1118">
        <f t="shared" si="476"/>
        <v>0</v>
      </c>
      <c r="CT345" s="1109">
        <f t="shared" si="477"/>
        <v>0</v>
      </c>
      <c r="CU345" s="1101">
        <f t="shared" si="478"/>
        <v>369.09652843395992</v>
      </c>
      <c r="CV345" s="1108">
        <f t="shared" si="479"/>
        <v>24.256142039062507</v>
      </c>
      <c r="CW345" s="1097">
        <f t="shared" si="480"/>
        <v>184.54826421697993</v>
      </c>
      <c r="CX345" s="1097">
        <f t="shared" si="481"/>
        <v>369.09652843395992</v>
      </c>
      <c r="CY345" s="1110">
        <f t="shared" si="482"/>
        <v>184.54826421697993</v>
      </c>
      <c r="CZ345" s="437"/>
      <c r="DA345" s="438"/>
      <c r="DB345" s="439" t="s">
        <v>569</v>
      </c>
      <c r="DC345" s="439"/>
      <c r="DD345" s="443"/>
      <c r="DE345" s="411"/>
      <c r="DF345" s="411"/>
      <c r="DG345" s="1116">
        <f t="shared" si="483"/>
        <v>0</v>
      </c>
      <c r="DH345" s="1116">
        <f t="shared" si="484"/>
        <v>0</v>
      </c>
      <c r="DI345" s="1116">
        <f t="shared" si="485"/>
        <v>0</v>
      </c>
      <c r="DJ345" s="442">
        <f t="shared" si="486"/>
        <v>0</v>
      </c>
      <c r="DK345" s="1109">
        <f t="shared" si="487"/>
        <v>0</v>
      </c>
      <c r="DL345" s="1101">
        <f t="shared" si="488"/>
        <v>0</v>
      </c>
      <c r="DM345" s="1097">
        <f t="shared" si="489"/>
        <v>0</v>
      </c>
      <c r="DN345" s="1097">
        <f t="shared" si="490"/>
        <v>0</v>
      </c>
      <c r="DO345" s="1097">
        <f t="shared" si="491"/>
        <v>0</v>
      </c>
      <c r="DP345" s="1110">
        <f t="shared" si="492"/>
        <v>0</v>
      </c>
      <c r="DQ345" s="1113" t="s">
        <v>1616</v>
      </c>
      <c r="DR345" s="1120">
        <f t="shared" si="493"/>
        <v>0.3</v>
      </c>
      <c r="DS345" s="1124">
        <v>5</v>
      </c>
      <c r="DT345" s="1093" t="s">
        <v>171</v>
      </c>
      <c r="DU345" s="1093" t="s">
        <v>544</v>
      </c>
      <c r="DV345" s="1098">
        <f>IF($P345="","N/A",IF(P345=-1,INDEX('卡片raw data'!AN:AN,MATCH(D345,'卡片raw data'!$F:$F,)),0)+IF(AND(L345&lt;&gt;"party卡",P345&lt;=2,P345&gt;=0),INDEX('卡片raw data'!AP:AP,MATCH(D345,'卡片raw data'!$F:$F,)),0)+IF(OR(AND(L345="party卡",P345&lt;=1),AND(P345&lt;=4,L345&lt;&gt;"party卡",P345&gt;=3)),INDEX('卡片raw data'!AQ:AQ,MATCH(D345,'卡片raw data'!$F:$F,)),0)+IF(OR(P345=5,AND(L345="party卡",P345&gt;=2)),INDEX('卡片raw data'!AR:AR,MATCH(D345,'卡片raw data'!$F:$F,)),0))</f>
        <v>5.1999999999999998E-2</v>
      </c>
      <c r="DW345" s="1098">
        <f t="shared" si="494"/>
        <v>0.3</v>
      </c>
      <c r="DX345" s="1098">
        <f t="shared" si="495"/>
        <v>0.3</v>
      </c>
      <c r="DY345" s="1098">
        <f t="shared" si="496"/>
        <v>1.7333333333333333E-2</v>
      </c>
      <c r="DZ345" s="1098">
        <f t="shared" si="497"/>
        <v>1.3119166666666666E-2</v>
      </c>
      <c r="EA345" s="1098">
        <f t="shared" si="498"/>
        <v>0</v>
      </c>
      <c r="EB345" s="1121">
        <f t="shared" si="499"/>
        <v>0</v>
      </c>
      <c r="EC345" s="1101">
        <f t="shared" si="500"/>
        <v>2357.037479823884</v>
      </c>
      <c r="ED345" s="1097">
        <f t="shared" si="501"/>
        <v>86.134837019765627</v>
      </c>
      <c r="EE345" s="1110">
        <f t="shared" si="502"/>
        <v>2357.037479823884</v>
      </c>
      <c r="EF345" s="1115" t="s">
        <v>569</v>
      </c>
      <c r="EG345" s="1120">
        <f t="shared" si="503"/>
        <v>0.3</v>
      </c>
      <c r="EH345" s="1124"/>
      <c r="EI345" s="1093"/>
      <c r="EJ345" s="1093"/>
      <c r="EK345" s="1097">
        <f>IF($P345="","N/A",IF(P345=-1,INDEX('卡片raw data'!AS:AS,MATCH(D345,'卡片raw data'!$F:$F,)),0)+IF(AND(L345&lt;&gt;"party卡",P345&lt;=2,P345&gt;=0),INDEX('卡片raw data'!AU:AU,MATCH(D345,'卡片raw data'!$F:$F,)),0)+IF(OR(AND(L345="party卡",P345&lt;=1),AND(P345&lt;=4,L345&lt;&gt;"party卡",P345&gt;=3)),INDEX('卡片raw data'!AV:AV,MATCH(D345,'卡片raw data'!$F:$F,)),0)+IF(OR(P345=5,AND(L345="party卡",P345&gt;=2)),INDEX('卡片raw data'!AW:AW,MATCH(D345,'卡片raw data'!$F:$F,)),0))</f>
        <v>0</v>
      </c>
      <c r="EL345" s="1098">
        <f t="shared" si="504"/>
        <v>0.3</v>
      </c>
      <c r="EM345" s="1098">
        <f t="shared" si="505"/>
        <v>0.3</v>
      </c>
      <c r="EN345" s="1097">
        <f t="shared" si="506"/>
        <v>0</v>
      </c>
      <c r="EO345" s="1125">
        <f t="shared" si="507"/>
        <v>0</v>
      </c>
      <c r="EP345" s="1098">
        <f t="shared" si="508"/>
        <v>0</v>
      </c>
      <c r="EQ345" s="1121">
        <f t="shared" si="509"/>
        <v>0</v>
      </c>
      <c r="ER345" s="1101">
        <f t="shared" si="510"/>
        <v>0</v>
      </c>
      <c r="ES345" s="1097">
        <f t="shared" si="511"/>
        <v>0</v>
      </c>
      <c r="ET345" s="1122">
        <f t="shared" si="512"/>
        <v>0</v>
      </c>
    </row>
    <row r="346" spans="2:150" ht="16.5" customHeight="1">
      <c r="B346" s="1123" t="str">
        <f>INDEX('卡片raw data'!B:B,MATCH($D346,'卡片raw data'!$F:$F,))</f>
        <v>T台爱</v>
      </c>
      <c r="C346" s="449" t="s">
        <v>1618</v>
      </c>
      <c r="D346" s="408">
        <v>343</v>
      </c>
      <c r="E346" s="477">
        <v>402053003</v>
      </c>
      <c r="F346" s="1090" t="str">
        <f>INDEX('卡片raw data'!C:C,MATCH($D346,'卡片raw data'!$F:$F,))</f>
        <v>UR</v>
      </c>
      <c r="G346" s="1094" t="s">
        <v>1619</v>
      </c>
      <c r="H346" s="411">
        <f>IFERROR(INDEX(绊状态确认!C:C,MATCH($G346,绊状态确认!$B:$B,)),"")</f>
        <v>205</v>
      </c>
      <c r="I346" s="450" t="str">
        <f>IFERROR(INDEX(绊状态确认!D:D,MATCH($G346,绊状态确认!$B:$B,)),"")</f>
        <v>虹</v>
      </c>
      <c r="J346" s="450" t="str">
        <f>IFERROR(INDEX(绊状态确认!E:E,MATCH($G346,绊状态确认!$B:$B,)),"")</f>
        <v>2年级</v>
      </c>
      <c r="K346" s="451" t="str">
        <f>IFERROR(INDEX(绊状态确认!F:F,MATCH($G346,绊状态确认!$B:$B,)),"")</f>
        <v>Diver Diva</v>
      </c>
      <c r="L346" s="1094" t="str">
        <f>INDEX('卡片raw data'!E:E,MATCH($D346,'卡片raw data'!$F:$F,))</f>
        <v>卡池卡</v>
      </c>
      <c r="M346" s="478">
        <v>44140</v>
      </c>
      <c r="N346" s="479">
        <v>27</v>
      </c>
      <c r="O346" s="1091" t="str">
        <f>INDEX('卡片raw data'!D:D,MATCH($D346,'卡片raw data'!$F:$F,))</f>
        <v>sk</v>
      </c>
      <c r="P346" s="1126">
        <v>5</v>
      </c>
      <c r="Q346" s="1095">
        <f t="shared" si="428"/>
        <v>47615.725857231642</v>
      </c>
      <c r="R346" s="1096">
        <f t="shared" si="429"/>
        <v>0.55300000000000005</v>
      </c>
      <c r="S346" s="1097">
        <f t="shared" si="430"/>
        <v>20105.522002375263</v>
      </c>
      <c r="T346" s="1098">
        <f t="shared" si="431"/>
        <v>1.0049999999999999</v>
      </c>
      <c r="U346" s="1099">
        <f t="shared" si="432"/>
        <v>17.899216658142858</v>
      </c>
      <c r="V346" s="1100">
        <f t="shared" si="433"/>
        <v>51061.11763319328</v>
      </c>
      <c r="W346" s="1101">
        <f t="shared" si="434"/>
        <v>4688.4631569592138</v>
      </c>
      <c r="X346" s="1096">
        <f t="shared" si="435"/>
        <v>5.3999999999999999E-2</v>
      </c>
      <c r="Y346" s="1097">
        <f t="shared" si="436"/>
        <v>1445.3917759616406</v>
      </c>
      <c r="Z346" s="1102">
        <f t="shared" si="437"/>
        <v>17.899216658142858</v>
      </c>
      <c r="AA346" s="1103">
        <f t="shared" si="438"/>
        <v>6133.8549329208545</v>
      </c>
      <c r="AB346" s="1101">
        <f t="shared" si="439"/>
        <v>9640.6797999752325</v>
      </c>
      <c r="AC346" s="1104">
        <f t="shared" si="440"/>
        <v>0.112</v>
      </c>
      <c r="AD346" s="1105">
        <f t="shared" si="441"/>
        <v>2.1769318181818181E-2</v>
      </c>
      <c r="AE346" s="1128">
        <f t="shared" si="442"/>
        <v>11.953757704745847</v>
      </c>
      <c r="AF346" s="1130">
        <f t="shared" si="443"/>
        <v>0</v>
      </c>
      <c r="AG346" s="420">
        <f t="shared" si="444"/>
        <v>0</v>
      </c>
      <c r="AH346" s="420">
        <f t="shared" si="445"/>
        <v>0</v>
      </c>
      <c r="AI346" s="1097">
        <f t="shared" si="446"/>
        <v>0</v>
      </c>
      <c r="AJ346" s="420">
        <f t="shared" si="447"/>
        <v>0</v>
      </c>
      <c r="AK346" s="518">
        <f t="shared" si="448"/>
        <v>0</v>
      </c>
      <c r="AL346" s="1106">
        <f>IF($P346="","N/A",(IF($P346=-1,INDEX('卡片raw data'!S:S,MATCH($D346,'卡片raw data'!$F:$F,)),0)+IF($P346=0,INDEX('卡片raw data'!V:V,MATCH($D346,'卡片raw data'!$F:$F,)),0)+IF($P346=1,INDEX('卡片raw data'!Y:Y,MATCH($D346,'卡片raw data'!$F:$F,)),0)+IF($P346=2,INDEX('卡片raw data'!AB:AB,MATCH($D346,'卡片raw data'!$F:$F,)),0)+IF($P346=3,INDEX('卡片raw data'!AE:AE,MATCH($D346,'卡片raw data'!$F:$F,)),0)+IF($P346=4,INDEX('卡片raw data'!AH:AH,MATCH($D346,'卡片raw data'!$F:$F,)),0)+IF($P346=5,INDEX('卡片raw data'!AK:AK,MATCH($D346,'卡片raw data'!$F:$F,)),0)+INDEX('卡片raw data'!S:S,MATCH($D346,'卡片raw data'!$F:$F,))*(IF($F346="UR",0.04,0.033))*(IF($F346="UR",INDEX(绊状态确认!$S:$S,MATCH($G346,绊状态确认!$B:$B,))/2-40)+IF($F346="SR",INDEX(绊状态确认!$R:$R,MATCH($G346,绊状态确认!$B:$B,))/4-15))+IF($F346="R",INDEX(绊状态确认!$Q:$Q,MATCH($G346,绊状态确认!$B:$B,))/6-40/6)))*(INDEX(绊状态确认!$H:$H,MATCH($G346,绊状态确认!$B:$B,))+INDEX(绊状态确认!J:J,MATCH($G346,绊状态确认!$B:$B,)))</f>
        <v>12243.800879999999</v>
      </c>
      <c r="AM346" s="1106">
        <f>IF($P346="","N/A",(IF($P346=-1,INDEX('卡片raw data'!T:T,MATCH($D346,'卡片raw data'!$F:$F,)),0)+IF($P346=0,INDEX('卡片raw data'!W:W,MATCH($D346,'卡片raw data'!$F:$F,)),0)+IF($P346=1,INDEX('卡片raw data'!Z:Z,MATCH($D346,'卡片raw data'!$F:$F,)),0)+IF($P346=2,INDEX('卡片raw data'!AC:AC,MATCH($D346,'卡片raw data'!$F:$F,)),0)+IF($P346=3,INDEX('卡片raw data'!AF:AF,MATCH($D346,'卡片raw data'!$F:$F,)),0)+IF($P346=4,INDEX('卡片raw data'!AI:AI,MATCH($D346,'卡片raw data'!$F:$F,)),0)+IF($P346=5,INDEX('卡片raw data'!AL:AL,MATCH($D346,'卡片raw data'!$F:$F,)),0)+INDEX('卡片raw data'!T:T,MATCH($D346,'卡片raw data'!$F:$F,))*(IF($F346="UR",0.04,0.033))*(IF($F346="UR",INDEX(绊状态确认!$S:$S,MATCH($G346,绊状态确认!$B:$B,))/2-40)+IF($F346="SR",INDEX(绊状态确认!$R:$R,MATCH($G346,绊状态确认!$B:$B,))/4-15))+IF($F346="R",INDEX(绊状态确认!$Q:$Q,MATCH($G346,绊状态确认!$B:$B,))/6-40/6)))*(INDEX(绊状态确认!$H:$H,MATCH($G346,绊状态确认!$B:$B,))+INDEX(绊状态确认!K:K,MATCH($G346,绊状态确认!$B:$B,)))</f>
        <v>10257.828239999999</v>
      </c>
      <c r="AN346" s="1106">
        <f>IF($P346="","N/A",(IF($P346=-1,INDEX('卡片raw data'!U:U,MATCH($D346,'卡片raw data'!$F:$F,)),0)+IF($P346=0,INDEX('卡片raw data'!X:X,MATCH($D346,'卡片raw data'!$F:$F,)),0)+IF($P346=1,INDEX('卡片raw data'!AA:AA,MATCH($D346,'卡片raw data'!$F:$F,)),0)+IF($P346=2,INDEX('卡片raw data'!AD:AD,MATCH($D346,'卡片raw data'!$F:$F,)),0)+IF($P346=3,INDEX('卡片raw data'!AG:AG,MATCH($D346,'卡片raw data'!$F:$F,)),0)+IF($P346=4,INDEX('卡片raw data'!AJ:AJ,MATCH($D346,'卡片raw data'!$F:$F,)),0)+IF($P346=5,INDEX('卡片raw data'!AM:AM,MATCH($D346,'卡片raw data'!$F:$F,)),0)+INDEX('卡片raw data'!U:U,MATCH($D346,'卡片raw data'!$F:$F,))*(IF($F346="UR",0.04,0.033))*(IF($F346="UR",INDEX(绊状态确认!$S:$S,MATCH($G346,绊状态确认!$B:$B,))/2-40)+IF($F346="SR",INDEX(绊状态确认!$R:$R,MATCH($G346,绊状态确认!$B:$B,))/4-15))+IF($F346="R",INDEX(绊状态确认!$Q:$Q,MATCH($G346,绊状态确认!$B:$B,))/6-40/6)))*(INDEX(绊状态确认!$H:$H,MATCH($G346,绊状态确认!$B:$B,))+INDEX(绊状态确认!L:L,MATCH($G346,绊状态确认!$B:$B,)))</f>
        <v>10589.20248</v>
      </c>
      <c r="AO346" s="1107">
        <f t="shared" si="449"/>
        <v>1</v>
      </c>
      <c r="AP346" s="1131">
        <f>1+(INDEX(绊状态确认!$T:$T,MATCH($G346,绊状态确认!$B:$B,))+0.2)*$AO346</f>
        <v>1.3</v>
      </c>
      <c r="AQ346" s="1108">
        <f t="shared" si="450"/>
        <v>35389.977310000002</v>
      </c>
      <c r="AR346" s="1097">
        <f>(AM346*(1+$EX$9)+$EX$35)*(1+(INDEX(绊状态确认!$T:$T,MATCH($G346,绊状态确认!$B:$B,))+0.2)*AO346)*IF(J346=$FF$17,1+$FE$17,1)*IF(I346=$FF$14,1+$FE$14,1)</f>
        <v>16705.935547600002</v>
      </c>
      <c r="AS346" s="1097">
        <f>(AN346*(1+$EX$10)+$EX$36)*(1+(INDEX(绊状态确认!$T:$T,MATCH($G346,绊状态确认!$B:$B,))+0.2)*AO346)*IF(J346=$FF$17,1+$FE$17,1)*IF(I346=$FF$14,1+$FE$14,1)</f>
        <v>19886.8577076</v>
      </c>
      <c r="AT346" s="1093">
        <f>IF(AND(INDEX('卡片raw data'!AK:AK,MATCH($D346,'卡片raw data'!$F:$F,))&lt;INDEX('卡片raw data'!AM:AM,MATCH($D346,'卡片raw data'!$F:$F,)),INDEX('卡片raw data'!AL:AL,MATCH($D346,'卡片raw data'!$F:$F,))&lt;INDEX('卡片raw data'!AM:AM,MATCH($D346,'卡片raw data'!$F:$F,))),1,0)</f>
        <v>0</v>
      </c>
      <c r="AU346" s="1098">
        <f>MIN(AT346*0.15+AS346*0.00003+INDEX(绊状态确认!M:M,MATCH($G346,绊状态确认!$B:$B,)),1)</f>
        <v>0.62660573122800001</v>
      </c>
      <c r="AV346" s="1109">
        <f>(INDEX(绊状态确认!$N:$N,MATCH($G346,绊状态确认!$B:$B,))+1.5)*$EW$21</f>
        <v>2.6599999999999997</v>
      </c>
      <c r="AW346" s="1101">
        <f t="shared" si="451"/>
        <v>37497.563581575443</v>
      </c>
      <c r="AX346" s="1097">
        <f t="shared" si="452"/>
        <v>1445.3917759616409</v>
      </c>
      <c r="AY346" s="1110">
        <f t="shared" si="453"/>
        <v>38942.955357537081</v>
      </c>
      <c r="AZ346" s="429">
        <f t="shared" si="454"/>
        <v>26475.411715999999</v>
      </c>
      <c r="BA346" s="431">
        <f t="shared" si="455"/>
        <v>31770.494059199998</v>
      </c>
      <c r="BB346" s="1097">
        <f>(AM346*(1+$FB$9)+$FB$35)*(1+(INDEX(绊状态确认!$T:$T,MATCH($G346,绊状态确认!$B:$B,))+0.2)*AO346)*IF(J346=$FF$17,1+$FE$17,1)*IF(I346=$FF$14,1+$FE$14,1)*(1+$FE$15)</f>
        <v>16705.935547600002</v>
      </c>
      <c r="BC346" s="1097">
        <f>(AN346*(1+$FB$10)+$FB$36)*(1+(INDEX(绊状态确认!$T:$T,MATCH($G346,绊状态确认!$B:$B,))+0.2)*AO346)*IF(J346=$FF$17,1+$FE$17,1)*IF(I346=$FF$14,1+$FE$14,1)*(1+$FE$15)</f>
        <v>19886.8577076</v>
      </c>
      <c r="BD346" s="1104">
        <f>MIN(AT346*0.15+BC346*0.00003+INDEX(绊状态确认!M:M,MATCH($G346,绊状态确认!$B:$B,)),1)</f>
        <v>0.62660573122800001</v>
      </c>
      <c r="BE346" s="432">
        <f>(INDEX(绊状态确认!$N:$N,MATCH($G346,绊状态确认!$B:$B,))+1.5)</f>
        <v>1.9</v>
      </c>
      <c r="BF346" s="1139">
        <f t="array" ref="BF346">SUMPRODUCT(IF(AZ346*AP346*$FI$16:$FI$23*$FA$22&gt;=$FI$24,$FI$24,AZ346*AP346*$FI$16:$FI$23*$FA$22),$FJ$16:$FJ$23)</f>
        <v>51924.920867727997</v>
      </c>
      <c r="BG346" s="1125">
        <f t="array" ref="BG346">SUMPRODUCT(IF(BE346*AZ346*AP346*$FI$16:$FI$23*$FA$22&gt;=$FI$24,$FI$24,BE346*AZ346*AP346*$FI$16:$FI$23*$FA$22),$FJ$16:$FJ$23)</f>
        <v>60000</v>
      </c>
      <c r="BH346" s="1110">
        <f t="shared" si="456"/>
        <v>18994.937244043085</v>
      </c>
      <c r="BI346" s="1111">
        <f>IF(O346="vo",$EW$26/$EW$24*0.05,0)+IF(O346="sk",-$EW$26/$EW$24*(0.05-INDEX(绊状态确认!W:W,MATCH($G346,绊状态确认!$B:$B,)))+0.05*$EW$28,0)+IF(O346="sp",0.05*$EW$32*$EW$30*(1-$EW$33)-(0.05-INDEX(绊状态确认!V:V,MATCH($G346,绊状态确认!$B:$B,)))*$EW$28,0)+IF(O346="gd",-(0.05-INDEX(绊状态确认!X:X,MATCH($G346,绊状态确认!$B:$B,)))*$EW$32*$EW$30*(1-$EW$33),0)</f>
        <v>-6253.6726349699375</v>
      </c>
      <c r="BJ346" s="1097">
        <f>IF(O346="vo",0.05*(1-$FI$26)*$FA$24,0)+IF(O346="sk",-(0.05-INDEX(绊状态确认!W:W,MATCH($G346,绊状态确认!$B:$B,)))*(1-$FI$26)*$FA$24+0.05*$FA$26,0)+IF(O346="sp",0.05*$FA$32*$FA$27*(1-$FA$33)/$FA$30+0.05*$FA$29/$FA$69*$FA$27*(1-$FA$33)-(0.05-INDEX(绊状态确认!V:V,MATCH($G346,绊状态确认!$B:$B,)))*$FA$26,0)+IF(O346="gd",-(0.05-INDEX(绊状态确认!X:X,MATCH($G346,绊状态确认!$B:$B,)))*$FA$32*$FA$27*(1-$FA$33)/$FA$30-(0.05-INDEX(绊状态确认!X:X,MATCH($G346,绊状态确认!$B:$B,)))*$FA$29/$FA$69*$FA$27*(1-$FA$33),0)</f>
        <v>20.459096812499922</v>
      </c>
      <c r="BK346" s="1110">
        <f>IF(O346="vo",$EW$26/$EW$24*0.05+$EW$26*(-HP($EW$62,$EW$65,$EW$64)+HP($EW$62,$EW$65,(1.05-INDEX(绊状态确认!U:U,MATCH($G346,绊状态确认!$B:$B,)))*$EW$64)),0)+IF(O346="sk",-$EW$26/$EW$24*(0.05-INDEX(绊状态确认!W:W,MATCH($G346,绊状态确认!$B:$B,)))+0.05*$EW$29,0)+IF(O346="sp",0.05*$EW$32*$EW$30*(1-$EW$33)-(0.05-INDEX(绊状态确认!V:V,MATCH($G346,绊状态确认!$B:$B,)))*$EW$29,0)+IF(O346="gd",-(0.05-INDEX(绊状态确认!X:X,MATCH($G346,绊状态确认!$B:$B,)))*$EW$32*$EW$30*(1-$EW$33)+$EW$26*(-HP($EW$62,$EW$65,$EW$64)+HP($EW$62,$EW$65,0.95*$EW$64)),0)</f>
        <v>-4253.6726349699375</v>
      </c>
      <c r="BL346" s="1111">
        <f t="shared" si="457"/>
        <v>0</v>
      </c>
      <c r="BM346" s="1110">
        <f t="shared" si="458"/>
        <v>0</v>
      </c>
      <c r="BN346" s="1113">
        <f t="shared" si="459"/>
        <v>3</v>
      </c>
      <c r="BO346" s="1108">
        <f t="shared" si="460"/>
        <v>4507.7214871259994</v>
      </c>
      <c r="BP346" s="1100">
        <f t="shared" si="461"/>
        <v>221.34103209030098</v>
      </c>
      <c r="BQ346" s="1113" t="s">
        <v>134</v>
      </c>
      <c r="BR346" s="1124" t="s">
        <v>168</v>
      </c>
      <c r="BS346" s="1098">
        <f>IF($P346="","N/A",IF($P346=-1,INDEX('卡片raw data'!AX:AX,MATCH($D346,'卡片raw data'!$F:$F,)),0)+IF($L346="party卡",IF($P346=5,INDEX('卡片raw data'!BD:BD,MATCH($D346,'卡片raw data'!$F:$F,)),IF($P346&gt;=3,INDEX('卡片raw data'!BC:BC,MATCH($D346,'卡片raw data'!$F:$F,)),INDEX('卡片raw data'!BB:BB,MATCH($D346,'卡片raw data'!$F:$F,)))),IF(OR(AND($F346="UR",$P346=0),AND($F346="SR",$P346&gt;=0,$P346&lt;=2),AND($F346="R",$P346&gt;=0,$P346&lt;4)),INDEX('卡片raw data'!AZ:AZ,MATCH($D346,'卡片raw data'!$F:$F,)),0)+IF(OR(AND($F346="UR",$P346&gt;=1,$P346&lt;=4),AND($F346="SR",$P346&lt;=4,$P346&gt;=3),AND($F346="R",$P346=4)),INDEX('卡片raw data'!BA:BA,MATCH($D346,'卡片raw data'!$F:$F,)),0)+IF($P346=5,INDEX('卡片raw data'!BB:BB,MATCH($D346,'卡片raw data'!$F:$F,)),0)))</f>
        <v>7.0000000000000007E-2</v>
      </c>
      <c r="BT346" s="1101">
        <f t="shared" si="462"/>
        <v>4952.2166430160187</v>
      </c>
      <c r="BU346" s="1097">
        <f t="shared" si="463"/>
        <v>358.20967007162113</v>
      </c>
      <c r="BV346" s="1097">
        <f t="shared" si="464"/>
        <v>0</v>
      </c>
      <c r="BW346" s="1112">
        <f t="shared" si="465"/>
        <v>0</v>
      </c>
      <c r="BX346" s="1100">
        <f t="shared" si="466"/>
        <v>4952.2166430160187</v>
      </c>
      <c r="BY346" s="1110">
        <f t="shared" si="467"/>
        <v>0</v>
      </c>
      <c r="BZ346" s="1107" t="s">
        <v>569</v>
      </c>
      <c r="CA346" s="1124"/>
      <c r="CB346" s="1098">
        <f>IF($P346="","N/A",IF($P346=-1,INDEX('卡片raw data'!BE:BE,MATCH($D346,'卡片raw data'!$F:$F,)),0)+IF($L346="party卡",IF($P346=5,INDEX('卡片raw data'!BK:BK,MATCH($D346,'卡片raw data'!$F:$F,)),IF($P346&gt;=3,INDEX('卡片raw data'!BJ:BJ,MATCH($D346,'卡片raw data'!$F:$F,)),INDEX('卡片raw data'!BI:BI,MATCH($D346,'卡片raw data'!$F:$F,)))),IF(OR(AND($F346="UR",$P346=0),AND($F346="SR",$P346&gt;=0,$P346&lt;=2),AND($F346="R",$P346&gt;=0,$P346&lt;4)),INDEX('卡片raw data'!BG:BG,MATCH($D346,'卡片raw data'!$F:$F,)),0)+IF(OR(AND($F346="UR",$P346&gt;=1,$P346&lt;=4),AND($F346="SR",$P346&lt;=4,$P346&gt;=3),AND($F346="R",$P346=4)),INDEX('卡片raw data'!BH:BH,MATCH($D346,'卡片raw data'!$F:$F,)),0)+IF($P346=5,INDEX('卡片raw data'!BI:BI,MATCH($D346,'卡片raw data'!$F:$F,)),0)))</f>
        <v>0</v>
      </c>
      <c r="CC346" s="1101">
        <f t="shared" si="468"/>
        <v>0</v>
      </c>
      <c r="CD346" s="1097">
        <f>IF(BZ346="ap",CB346*(1-$FI$26)*$FB$5/$FB$11*(+IF(CA346="全员",$FA$24,0)+IF(CA346="同作战",$FA$24,0)+IF(CA346="仲间",$FA$24*2/3,0)+IF(CA346="同属性",$FA$24*$FA$37/3,0)+IF(CA346="同年级",$FA$24*$FA$40/3,0)+IF(CA346="同学校",$FA$24*$FA$43/3,0)+IF(CA346="同小队",$FA$24*$FA$46/3,0)+IF(CA346="同type",$FA$24*INDEX($FB$49:$FB$52,MATCH(X346,$FA$49:$FA$52,))/3,0)+IF(CA346="自身",#REF!/3,0)),0)+IF(BZ346="te",CB346*(1-$FI$27)*($FA$20-1)*$FB$7/$FB$13*(+IF(CA346="全员",$FA$19*$FA$24/(1+($FA$20-1)*$FA$19),0)+IF(CA346="同作战",$FA$19*$FA$24/(1+($FA$20-1)*$FA$19),0)+IF(CA346="仲间",$FA$19*$FA$24*2/3/(1+($FA$20-1)*$FA$19),0)+IF(CA346="同属性",$FA$19*$FA$24*$FA$37/3/(1+($FA$20-1)*$FA$19),0)+IF(CA346="同年级",$FA$19*$FA$24*$FA$40/3/(1+($FA$20-1)*$FA$19),0)+IF(CA346="同学校",$FA$19*$FA$24*$FA$43/3/(1+($FA$20-1)*$FA$19),0)+IF(CA346="同小队",$FA$19*$FA$24*$FA$46/3/(1+($FA$20-1)*$FA$19),0)+IF(CA346="同type",$FA$19*$FA$24*INDEX($FB$49:$FB$52,MATCH(X346,$FA$49:$FA$52,))/3/(1+($FA$20-1)*$FA$19),0)+IF(CA346="自身",$FA$19*#REF!/3/(1+(BH346-1)*$BD346),0)),0)</f>
        <v>0</v>
      </c>
      <c r="CE346" s="1097">
        <f t="shared" si="469"/>
        <v>0</v>
      </c>
      <c r="CF346" s="1112">
        <f t="shared" si="470"/>
        <v>0</v>
      </c>
      <c r="CG346" s="1100">
        <f t="shared" si="471"/>
        <v>0</v>
      </c>
      <c r="CH346" s="1110">
        <f t="shared" si="472"/>
        <v>0</v>
      </c>
      <c r="CI346" s="1113" t="s">
        <v>160</v>
      </c>
      <c r="CJ346" s="1114">
        <v>1</v>
      </c>
      <c r="CK346" s="1115" t="s">
        <v>545</v>
      </c>
      <c r="CL346" s="1115" t="s">
        <v>1940</v>
      </c>
      <c r="CM346" s="1119">
        <v>1</v>
      </c>
      <c r="CN346" s="1115"/>
      <c r="CO346" s="1115">
        <v>1</v>
      </c>
      <c r="CP346" s="1116">
        <f t="shared" si="473"/>
        <v>164.31060893928574</v>
      </c>
      <c r="CQ346" s="1116">
        <f t="shared" si="474"/>
        <v>229.45356820533331</v>
      </c>
      <c r="CR346" s="1117">
        <f t="shared" si="475"/>
        <v>164.31060893928574</v>
      </c>
      <c r="CS346" s="1118">
        <f t="shared" si="476"/>
        <v>0</v>
      </c>
      <c r="CT346" s="1109">
        <f t="shared" si="477"/>
        <v>0</v>
      </c>
      <c r="CU346" s="1101">
        <f t="shared" si="478"/>
        <v>180.74166983321433</v>
      </c>
      <c r="CV346" s="1108">
        <f t="shared" si="479"/>
        <v>229.45356820533331</v>
      </c>
      <c r="CW346" s="1097">
        <f t="shared" si="480"/>
        <v>180.74166983321433</v>
      </c>
      <c r="CX346" s="1097">
        <f t="shared" si="481"/>
        <v>180.74166983321433</v>
      </c>
      <c r="CY346" s="1110">
        <f t="shared" si="482"/>
        <v>180.74166983321433</v>
      </c>
      <c r="CZ346" s="437"/>
      <c r="DA346" s="438"/>
      <c r="DB346" s="439" t="s">
        <v>569</v>
      </c>
      <c r="DC346" s="439"/>
      <c r="DD346" s="443"/>
      <c r="DE346" s="411"/>
      <c r="DF346" s="411"/>
      <c r="DG346" s="1116">
        <f t="shared" si="483"/>
        <v>0</v>
      </c>
      <c r="DH346" s="1116">
        <f t="shared" si="484"/>
        <v>0</v>
      </c>
      <c r="DI346" s="1116">
        <f t="shared" si="485"/>
        <v>0</v>
      </c>
      <c r="DJ346" s="442">
        <f t="shared" si="486"/>
        <v>0</v>
      </c>
      <c r="DK346" s="1109">
        <f t="shared" si="487"/>
        <v>0</v>
      </c>
      <c r="DL346" s="1101">
        <f t="shared" si="488"/>
        <v>0</v>
      </c>
      <c r="DM346" s="1097">
        <f t="shared" si="489"/>
        <v>0</v>
      </c>
      <c r="DN346" s="1097">
        <f t="shared" si="490"/>
        <v>0</v>
      </c>
      <c r="DO346" s="1097">
        <f t="shared" si="491"/>
        <v>0</v>
      </c>
      <c r="DP346" s="1110">
        <f t="shared" si="492"/>
        <v>0</v>
      </c>
      <c r="DQ346" s="1113" t="s">
        <v>1616</v>
      </c>
      <c r="DR346" s="1120">
        <f t="shared" si="493"/>
        <v>0.33</v>
      </c>
      <c r="DS346" s="1124">
        <v>5</v>
      </c>
      <c r="DT346" s="1093" t="s">
        <v>168</v>
      </c>
      <c r="DU346" s="1093" t="s">
        <v>544</v>
      </c>
      <c r="DV346" s="1098">
        <f>IF($P346="","N/A",IF(P346=-1,INDEX('卡片raw data'!AN:AN,MATCH(D346,'卡片raw data'!$F:$F,)),0)+IF(AND(L346&lt;&gt;"party卡",P346&lt;=2,P346&gt;=0),INDEX('卡片raw data'!AP:AP,MATCH(D346,'卡片raw data'!$F:$F,)),0)+IF(OR(AND(L346="party卡",P346&lt;=1),AND(P346&lt;=4,L346&lt;&gt;"party卡",P346&gt;=3)),INDEX('卡片raw data'!AQ:AQ,MATCH(D346,'卡片raw data'!$F:$F,)),0)+IF(OR(P346=5,AND(L346="party卡",P346&gt;=2)),INDEX('卡片raw data'!AR:AR,MATCH(D346,'卡片raw data'!$F:$F,)),0))</f>
        <v>0.09</v>
      </c>
      <c r="DW346" s="1098">
        <f t="shared" si="494"/>
        <v>0.33</v>
      </c>
      <c r="DX346" s="1098">
        <f t="shared" si="495"/>
        <v>0.33</v>
      </c>
      <c r="DY346" s="1098">
        <f t="shared" si="496"/>
        <v>4.9500000000000002E-2</v>
      </c>
      <c r="DZ346" s="1098">
        <f t="shared" si="497"/>
        <v>4.2817500000000001E-2</v>
      </c>
      <c r="EA346" s="1098">
        <f t="shared" si="498"/>
        <v>0</v>
      </c>
      <c r="EB346" s="1121">
        <f t="shared" si="499"/>
        <v>0</v>
      </c>
      <c r="EC346" s="1101">
        <f t="shared" si="500"/>
        <v>6731.1551106509005</v>
      </c>
      <c r="ED346" s="1097">
        <f t="shared" si="501"/>
        <v>281.12139115242189</v>
      </c>
      <c r="EE346" s="1110">
        <f t="shared" si="502"/>
        <v>6731.1551106509005</v>
      </c>
      <c r="EF346" s="1115" t="s">
        <v>569</v>
      </c>
      <c r="EG346" s="1120">
        <f t="shared" si="503"/>
        <v>0.33</v>
      </c>
      <c r="EH346" s="1124"/>
      <c r="EI346" s="1093"/>
      <c r="EJ346" s="1093"/>
      <c r="EK346" s="1097">
        <f>IF($P346="","N/A",IF(P346=-1,INDEX('卡片raw data'!AS:AS,MATCH(D346,'卡片raw data'!$F:$F,)),0)+IF(AND(L346&lt;&gt;"party卡",P346&lt;=2,P346&gt;=0),INDEX('卡片raw data'!AU:AU,MATCH(D346,'卡片raw data'!$F:$F,)),0)+IF(OR(AND(L346="party卡",P346&lt;=1),AND(P346&lt;=4,L346&lt;&gt;"party卡",P346&gt;=3)),INDEX('卡片raw data'!AV:AV,MATCH(D346,'卡片raw data'!$F:$F,)),0)+IF(OR(P346=5,AND(L346="party卡",P346&gt;=2)),INDEX('卡片raw data'!AW:AW,MATCH(D346,'卡片raw data'!$F:$F,)),0))</f>
        <v>0</v>
      </c>
      <c r="EL346" s="1098">
        <f t="shared" si="504"/>
        <v>0.33</v>
      </c>
      <c r="EM346" s="1098">
        <f t="shared" si="505"/>
        <v>0.33</v>
      </c>
      <c r="EN346" s="1097">
        <f t="shared" si="506"/>
        <v>0</v>
      </c>
      <c r="EO346" s="1125">
        <f t="shared" si="507"/>
        <v>0</v>
      </c>
      <c r="EP346" s="1098">
        <f t="shared" si="508"/>
        <v>0</v>
      </c>
      <c r="EQ346" s="1121">
        <f t="shared" si="509"/>
        <v>0</v>
      </c>
      <c r="ER346" s="1101">
        <f t="shared" si="510"/>
        <v>0</v>
      </c>
      <c r="ES346" s="1097">
        <f t="shared" si="511"/>
        <v>0</v>
      </c>
      <c r="ET346" s="1122">
        <f t="shared" si="512"/>
        <v>0</v>
      </c>
    </row>
    <row r="347" spans="2:150" ht="16.5" customHeight="1">
      <c r="B347" s="1123" t="str">
        <f>INDEX('卡片raw data'!B:B,MATCH($D347,'卡片raw data'!$F:$F,))</f>
        <v>T台黛</v>
      </c>
      <c r="C347" s="449" t="s">
        <v>1627</v>
      </c>
      <c r="D347" s="408">
        <v>344</v>
      </c>
      <c r="E347" s="477">
        <v>401043003</v>
      </c>
      <c r="F347" s="1090" t="str">
        <f>INDEX('卡片raw data'!C:C,MATCH($D347,'卡片raw data'!$F:$F,))</f>
        <v>UR</v>
      </c>
      <c r="G347" s="1094" t="s">
        <v>1628</v>
      </c>
      <c r="H347" s="411">
        <f>IFERROR(INDEX(绊状态确认!C:C,MATCH($G347,绊状态确认!$B:$B,)),"")</f>
        <v>104</v>
      </c>
      <c r="I347" s="450" t="str">
        <f>IFERROR(INDEX(绊状态确认!D:D,MATCH($G347,绊状态确认!$B:$B,)),"")</f>
        <v>水</v>
      </c>
      <c r="J347" s="450" t="str">
        <f>IFERROR(INDEX(绊状态确认!E:E,MATCH($G347,绊状态确认!$B:$B,)),"")</f>
        <v>3年级</v>
      </c>
      <c r="K347" s="451" t="str">
        <f>IFERROR(INDEX(绊状态确认!F:F,MATCH($G347,绊状态确认!$B:$B,)),"")</f>
        <v>AZALEA</v>
      </c>
      <c r="L347" s="1094" t="str">
        <f>INDEX('卡片raw data'!E:E,MATCH($D347,'卡片raw data'!$F:$F,))</f>
        <v>活动卡</v>
      </c>
      <c r="M347" s="478">
        <v>44140</v>
      </c>
      <c r="N347" s="479">
        <v>27</v>
      </c>
      <c r="O347" s="1091" t="str">
        <f>INDEX('卡片raw data'!D:D,MATCH($D347,'卡片raw data'!$F:$F,))</f>
        <v>sp</v>
      </c>
      <c r="P347" s="1126">
        <v>5</v>
      </c>
      <c r="Q347" s="1095">
        <f t="shared" si="428"/>
        <v>39138.82696667096</v>
      </c>
      <c r="R347" s="1096">
        <f t="shared" si="429"/>
        <v>0.45500000000000002</v>
      </c>
      <c r="S347" s="1097">
        <f t="shared" si="430"/>
        <v>19507.147717632877</v>
      </c>
      <c r="T347" s="1098">
        <f t="shared" si="431"/>
        <v>0.97499999999999998</v>
      </c>
      <c r="U347" s="1099">
        <f t="shared" si="432"/>
        <v>14.672705458542854</v>
      </c>
      <c r="V347" s="1100">
        <f t="shared" si="433"/>
        <v>38515.79556135842</v>
      </c>
      <c r="W347" s="1101">
        <f t="shared" si="434"/>
        <v>4667.9052804161784</v>
      </c>
      <c r="X347" s="1096">
        <f t="shared" si="435"/>
        <v>5.3999999999999999E-2</v>
      </c>
      <c r="Y347" s="1097">
        <f t="shared" si="436"/>
        <v>1176.9685946874579</v>
      </c>
      <c r="Z347" s="1102">
        <f t="shared" si="437"/>
        <v>14.672705458542854</v>
      </c>
      <c r="AA347" s="1103">
        <f t="shared" si="438"/>
        <v>5844.8738751036362</v>
      </c>
      <c r="AB347" s="1101">
        <f t="shared" si="439"/>
        <v>5934.717316365899</v>
      </c>
      <c r="AC347" s="1104">
        <f t="shared" si="440"/>
        <v>6.8000000000000005E-2</v>
      </c>
      <c r="AD347" s="1105">
        <f t="shared" si="441"/>
        <v>-1.6087500000000001E-2</v>
      </c>
      <c r="AE347" s="1128">
        <f t="shared" si="442"/>
        <v>15.11004950812826</v>
      </c>
      <c r="AF347" s="1130">
        <f t="shared" si="443"/>
        <v>0</v>
      </c>
      <c r="AG347" s="420">
        <f t="shared" si="444"/>
        <v>0</v>
      </c>
      <c r="AH347" s="420">
        <f t="shared" si="445"/>
        <v>0</v>
      </c>
      <c r="AI347" s="1097">
        <f t="shared" si="446"/>
        <v>0</v>
      </c>
      <c r="AJ347" s="420">
        <f t="shared" si="447"/>
        <v>0</v>
      </c>
      <c r="AK347" s="518">
        <f t="shared" si="448"/>
        <v>0</v>
      </c>
      <c r="AL347" s="1106">
        <f>IF($P347="","N/A",(IF($P347=-1,INDEX('卡片raw data'!S:S,MATCH($D347,'卡片raw data'!$F:$F,)),0)+IF($P347=0,INDEX('卡片raw data'!V:V,MATCH($D347,'卡片raw data'!$F:$F,)),0)+IF($P347=1,INDEX('卡片raw data'!Y:Y,MATCH($D347,'卡片raw data'!$F:$F,)),0)+IF($P347=2,INDEX('卡片raw data'!AB:AB,MATCH($D347,'卡片raw data'!$F:$F,)),0)+IF($P347=3,INDEX('卡片raw data'!AE:AE,MATCH($D347,'卡片raw data'!$F:$F,)),0)+IF($P347=4,INDEX('卡片raw data'!AH:AH,MATCH($D347,'卡片raw data'!$F:$F,)),0)+IF($P347=5,INDEX('卡片raw data'!AK:AK,MATCH($D347,'卡片raw data'!$F:$F,)),0)+INDEX('卡片raw data'!S:S,MATCH($D347,'卡片raw data'!$F:$F,))*(IF($F347="UR",0.04,0.033))*(IF($F347="UR",INDEX(绊状态确认!$S:$S,MATCH($G347,绊状态确认!$B:$B,))/2-40)+IF($F347="SR",INDEX(绊状态确认!$R:$R,MATCH($G347,绊状态确认!$B:$B,))/4-15))+IF($F347="R",INDEX(绊状态确认!$Q:$Q,MATCH($G347,绊状态确认!$B:$B,))/6-40/6)))*(INDEX(绊状态确认!$H:$H,MATCH($G347,绊状态确认!$B:$B,))+INDEX(绊状态确认!J:J,MATCH($G347,绊状态确认!$B:$B,)))</f>
        <v>8887.1025599999994</v>
      </c>
      <c r="AM347" s="1106">
        <f>IF($P347="","N/A",(IF($P347=-1,INDEX('卡片raw data'!T:T,MATCH($D347,'卡片raw data'!$F:$F,)),0)+IF($P347=0,INDEX('卡片raw data'!W:W,MATCH($D347,'卡片raw data'!$F:$F,)),0)+IF($P347=1,INDEX('卡片raw data'!Z:Z,MATCH($D347,'卡片raw data'!$F:$F,)),0)+IF($P347=2,INDEX('卡片raw data'!AC:AC,MATCH($D347,'卡片raw data'!$F:$F,)),0)+IF($P347=3,INDEX('卡片raw data'!AF:AF,MATCH($D347,'卡片raw data'!$F:$F,)),0)+IF($P347=4,INDEX('卡片raw data'!AI:AI,MATCH($D347,'卡片raw data'!$F:$F,)),0)+IF($P347=5,INDEX('卡片raw data'!AL:AL,MATCH($D347,'卡片raw data'!$F:$F,)),0)+INDEX('卡片raw data'!T:T,MATCH($D347,'卡片raw data'!$F:$F,))*(IF($F347="UR",0.04,0.033))*(IF($F347="UR",INDEX(绊状态确认!$S:$S,MATCH($G347,绊状态确认!$B:$B,))/2-40)+IF($F347="SR",INDEX(绊状态确认!$R:$R,MATCH($G347,绊状态确认!$B:$B,))/4-15))+IF($F347="R",INDEX(绊状态确认!$Q:$Q,MATCH($G347,绊状态确认!$B:$B,))/6-40/6)))*(INDEX(绊状态确认!$H:$H,MATCH($G347,绊状态确认!$B:$B,))+INDEX(绊状态确认!K:K,MATCH($G347,绊状态确认!$B:$B,)))</f>
        <v>8051.6667359999983</v>
      </c>
      <c r="AN347" s="1106">
        <f>IF($P347="","N/A",(IF($P347=-1,INDEX('卡片raw data'!U:U,MATCH($D347,'卡片raw data'!$F:$F,)),0)+IF($P347=0,INDEX('卡片raw data'!X:X,MATCH($D347,'卡片raw data'!$F:$F,)),0)+IF($P347=1,INDEX('卡片raw data'!AA:AA,MATCH($D347,'卡片raw data'!$F:$F,)),0)+IF($P347=2,INDEX('卡片raw data'!AD:AD,MATCH($D347,'卡片raw data'!$F:$F,)),0)+IF($P347=3,INDEX('卡片raw data'!AG:AG,MATCH($D347,'卡片raw data'!$F:$F,)),0)+IF($P347=4,INDEX('卡片raw data'!AJ:AJ,MATCH($D347,'卡片raw data'!$F:$F,)),0)+IF($P347=5,INDEX('卡片raw data'!AM:AM,MATCH($D347,'卡片raw data'!$F:$F,)),0)+INDEX('卡片raw data'!U:U,MATCH($D347,'卡片raw data'!$F:$F,))*(IF($F347="UR",0.04,0.033))*(IF($F347="UR",INDEX(绊状态确认!$S:$S,MATCH($G347,绊状态确认!$B:$B,))/2-40)+IF($F347="SR",INDEX(绊状态确认!$R:$R,MATCH($G347,绊状态确认!$B:$B,))/4-15))+IF($F347="R",INDEX(绊状态确认!$Q:$Q,MATCH($G347,绊状态确认!$B:$B,))/6-40/6)))*(INDEX(绊状态确认!$H:$H,MATCH($G347,绊状态确认!$B:$B,))+INDEX(绊状态确认!L:L,MATCH($G347,绊状态确认!$B:$B,)))</f>
        <v>10830.210191999999</v>
      </c>
      <c r="AO347" s="1107">
        <f t="shared" si="449"/>
        <v>1</v>
      </c>
      <c r="AP347" s="1131">
        <f>1+(INDEX(绊状态确认!$T:$T,MATCH($G347,绊状态确认!$B:$B,))+0.2)*$AO347</f>
        <v>1.3</v>
      </c>
      <c r="AQ347" s="1108">
        <f t="shared" si="450"/>
        <v>26578.644220000002</v>
      </c>
      <c r="AR347" s="1097">
        <f>(AM347*(1+$EX$9)+$EX$35)*(1+(INDEX(绊状态确认!$T:$T,MATCH($G347,绊状态确认!$B:$B,))+0.2)*AO347)*IF(J347=$FF$17,1+$FE$17,1)*IF(I347=$FF$14,1+$FE$14,1)</f>
        <v>13694.525094639997</v>
      </c>
      <c r="AS347" s="1097">
        <f>(AN347*(1+$EX$10)+$EX$36)*(1+(INDEX(绊状态确认!$T:$T,MATCH($G347,绊状态确认!$B:$B,))+0.2)*AO347)*IF(J347=$FF$17,1+$FE$17,1)*IF(I347=$FF$14,1+$FE$14,1)</f>
        <v>20247.164237039997</v>
      </c>
      <c r="AT347" s="1093">
        <f>IF(AND(INDEX('卡片raw data'!AK:AK,MATCH($D347,'卡片raw data'!$F:$F,))&lt;INDEX('卡片raw data'!AM:AM,MATCH($D347,'卡片raw data'!$F:$F,)),INDEX('卡片raw data'!AL:AL,MATCH($D347,'卡片raw data'!$F:$F,))&lt;INDEX('卡片raw data'!AM:AM,MATCH($D347,'卡片raw data'!$F:$F,))),1,0)</f>
        <v>1</v>
      </c>
      <c r="AU347" s="1098">
        <f>MIN(AT347*0.15+AS347*0.00003+INDEX(绊状态确认!M:M,MATCH($G347,绊状态确认!$B:$B,)),1)</f>
        <v>0.78741492711119998</v>
      </c>
      <c r="AV347" s="1109">
        <f>(INDEX(绊状态确认!$N:$N,MATCH($G347,绊状态确认!$B:$B,))+1.5)*$EW$21</f>
        <v>2.6599999999999997</v>
      </c>
      <c r="AW347" s="1101">
        <f t="shared" si="451"/>
        <v>31846.247014847151</v>
      </c>
      <c r="AX347" s="1097">
        <f t="shared" si="452"/>
        <v>1176.9685946874579</v>
      </c>
      <c r="AY347" s="1110">
        <f t="shared" si="453"/>
        <v>33023.215609534607</v>
      </c>
      <c r="AZ347" s="429">
        <f t="shared" si="454"/>
        <v>19929.849991999999</v>
      </c>
      <c r="BA347" s="431">
        <f t="shared" si="455"/>
        <v>23915.819990399999</v>
      </c>
      <c r="BB347" s="1097">
        <f>(AM347*(1+$FB$9)+$FB$35)*(1+(INDEX(绊状态确认!$T:$T,MATCH($G347,绊状态确认!$B:$B,))+0.2)*AO347)*IF(J347=$FF$17,1+$FE$17,1)*IF(I347=$FF$14,1+$FE$14,1)*(1+$FE$15)</f>
        <v>13694.525094639997</v>
      </c>
      <c r="BC347" s="1097">
        <f>(AN347*(1+$FB$10)+$FB$36)*(1+(INDEX(绊状态确认!$T:$T,MATCH($G347,绊状态确认!$B:$B,))+0.2)*AO347)*IF(J347=$FF$17,1+$FE$17,1)*IF(I347=$FF$14,1+$FE$14,1)*(1+$FE$15)</f>
        <v>20247.164237039997</v>
      </c>
      <c r="BD347" s="1104">
        <f>MIN(AT347*0.15+BC347*0.00003+INDEX(绊状态确认!M:M,MATCH($G347,绊状态确认!$B:$B,)),1)</f>
        <v>0.78741492711119998</v>
      </c>
      <c r="BE347" s="432">
        <f>(INDEX(绊状态确认!$N:$N,MATCH($G347,绊状态确认!$B:$B,))+1.5)</f>
        <v>1.9</v>
      </c>
      <c r="BF347" s="1139">
        <f t="array" ref="BF347">SUMPRODUCT(IF(AZ347*AP347*$FI$16:$FI$23*$FA$22&gt;=$FI$24,$FI$24,AZ347*AP347*$FI$16:$FI$23*$FA$22),$FJ$16:$FJ$23)</f>
        <v>39640.471634088004</v>
      </c>
      <c r="BG347" s="1125">
        <f t="array" ref="BG347">SUMPRODUCT(IF(BE347*AZ347*AP347*$FI$16:$FI$23*$FA$22&gt;=$FI$24,$FI$24,BE347*AZ347*AP347*$FI$16:$FI$23*$FA$22),$FJ$16:$FJ$23)</f>
        <v>59907.207537628798</v>
      </c>
      <c r="BH347" s="1110">
        <f t="shared" si="456"/>
        <v>18532.934002785503</v>
      </c>
      <c r="BI347" s="1111">
        <f>IF(O347="vo",$EW$26/$EW$24*0.05,0)+IF(O347="sk",-$EW$26/$EW$24*(0.05-INDEX(绊状态确认!W:W,MATCH($G347,绊状态确认!$B:$B,)))+0.05*$EW$28,0)+IF(O347="sp",0.05*$EW$32*$EW$30*(1-$EW$33)-(0.05-INDEX(绊状态确认!V:V,MATCH($G347,绊状态确认!$B:$B,)))*$EW$28,0)+IF(O347="gd",-(0.05-INDEX(绊状态确认!X:X,MATCH($G347,绊状态确认!$B:$B,)))*$EW$32*$EW$30*(1-$EW$33),0)</f>
        <v>19.999999999999886</v>
      </c>
      <c r="BJ347" s="1097">
        <f>IF(O347="vo",0.05*(1-$FI$26)*$FA$24,0)+IF(O347="sk",-(0.05-INDEX(绊状态确认!W:W,MATCH($G347,绊状态确认!$B:$B,)))*(1-$FI$26)*$FA$24+0.05*$FA$26,0)+IF(O347="sp",0.05*$FA$32*$FA$27*(1-$FA$33)/$FA$30+0.05*$FA$29/$FA$69*$FA$27*(1-$FA$33)-(0.05-INDEX(绊状态确认!V:V,MATCH($G347,绊状态确认!$B:$B,)))*$FA$26,0)+IF(O347="gd",-(0.05-INDEX(绊状态确认!X:X,MATCH($G347,绊状态确认!$B:$B,)))*$FA$32*$FA$27*(1-$FA$33)/$FA$30-(0.05-INDEX(绊状态确认!X:X,MATCH($G347,绊状态确认!$B:$B,)))*$FA$29/$FA$69*$FA$27*(1-$FA$33),0)</f>
        <v>545.83333333333326</v>
      </c>
      <c r="BK347" s="1110">
        <f>IF(O347="vo",$EW$26/$EW$24*0.05+$EW$26*(-HP($EW$62,$EW$65,$EW$64)+HP($EW$62,$EW$65,(1.05-INDEX(绊状态确认!U:U,MATCH($G347,绊状态确认!$B:$B,)))*$EW$64)),0)+IF(O347="sk",-$EW$26/$EW$24*(0.05-INDEX(绊状态确认!W:W,MATCH($G347,绊状态确认!$B:$B,)))+0.05*$EW$29,0)+IF(O347="sp",0.05*$EW$32*$EW$30*(1-$EW$33)-(0.05-INDEX(绊状态确认!V:V,MATCH($G347,绊状态确认!$B:$B,)))*$EW$29,0)+IF(O347="gd",-(0.05-INDEX(绊状态确认!X:X,MATCH($G347,绊状态确认!$B:$B,)))*$EW$32*$EW$30*(1-$EW$33)+$EW$26*(-HP($EW$62,$EW$65,$EW$64)+HP($EW$62,$EW$65,0.95*$EW$64)),0)</f>
        <v>-1780.0000000000005</v>
      </c>
      <c r="BL347" s="1111">
        <f t="shared" si="457"/>
        <v>0</v>
      </c>
      <c r="BM347" s="1110">
        <f t="shared" si="458"/>
        <v>0</v>
      </c>
      <c r="BN347" s="1113">
        <f t="shared" si="459"/>
        <v>3</v>
      </c>
      <c r="BO347" s="1108">
        <f t="shared" si="460"/>
        <v>4507.7214871259994</v>
      </c>
      <c r="BP347" s="1100">
        <f t="shared" si="461"/>
        <v>221.34103209030098</v>
      </c>
      <c r="BQ347" s="1113" t="s">
        <v>132</v>
      </c>
      <c r="BR347" s="1124" t="s">
        <v>166</v>
      </c>
      <c r="BS347" s="1098">
        <f>IF($P347="","N/A",IF($P347=-1,INDEX('卡片raw data'!AX:AX,MATCH($D347,'卡片raw data'!$F:$F,)),0)+IF($L347="party卡",IF($P347=5,INDEX('卡片raw data'!BD:BD,MATCH($D347,'卡片raw data'!$F:$F,)),IF($P347&gt;=3,INDEX('卡片raw data'!BC:BC,MATCH($D347,'卡片raw data'!$F:$F,)),INDEX('卡片raw data'!BB:BB,MATCH($D347,'卡片raw data'!$F:$F,)))),IF(OR(AND($F347="UR",$P347=0),AND($F347="SR",$P347&gt;=0,$P347&lt;=2),AND($F347="R",$P347&gt;=0,$P347&lt;4)),INDEX('卡片raw data'!AZ:AZ,MATCH($D347,'卡片raw data'!$F:$F,)),0)+IF(OR(AND($F347="UR",$P347&gt;=1,$P347&lt;=4),AND($F347="SR",$P347&lt;=4,$P347&gt;=3),AND($F347="R",$P347=4)),INDEX('卡片raw data'!BA:BA,MATCH($D347,'卡片raw data'!$F:$F,)),0)+IF($P347=5,INDEX('卡片raw data'!BB:BB,MATCH($D347,'卡片raw data'!$F:$F,)),0)))</f>
        <v>0.09</v>
      </c>
      <c r="BT347" s="1101">
        <f t="shared" si="462"/>
        <v>1266.8120359497209</v>
      </c>
      <c r="BU347" s="1097">
        <f t="shared" si="463"/>
        <v>35.144393242740406</v>
      </c>
      <c r="BV347" s="1097">
        <f t="shared" si="464"/>
        <v>0</v>
      </c>
      <c r="BW347" s="1112">
        <f t="shared" si="465"/>
        <v>0</v>
      </c>
      <c r="BX347" s="1100">
        <f t="shared" si="466"/>
        <v>1266.8120359497209</v>
      </c>
      <c r="BY347" s="1110">
        <f t="shared" si="467"/>
        <v>0</v>
      </c>
      <c r="BZ347" s="1107" t="s">
        <v>569</v>
      </c>
      <c r="CA347" s="1124"/>
      <c r="CB347" s="1098">
        <f>IF($P347="","N/A",IF($P347=-1,INDEX('卡片raw data'!BE:BE,MATCH($D347,'卡片raw data'!$F:$F,)),0)+IF($L347="party卡",IF($P347=5,INDEX('卡片raw data'!BK:BK,MATCH($D347,'卡片raw data'!$F:$F,)),IF($P347&gt;=3,INDEX('卡片raw data'!BJ:BJ,MATCH($D347,'卡片raw data'!$F:$F,)),INDEX('卡片raw data'!BI:BI,MATCH($D347,'卡片raw data'!$F:$F,)))),IF(OR(AND($F347="UR",$P347=0),AND($F347="SR",$P347&gt;=0,$P347&lt;=2),AND($F347="R",$P347&gt;=0,$P347&lt;4)),INDEX('卡片raw data'!BG:BG,MATCH($D347,'卡片raw data'!$F:$F,)),0)+IF(OR(AND($F347="UR",$P347&gt;=1,$P347&lt;=4),AND($F347="SR",$P347&lt;=4,$P347&gt;=3),AND($F347="R",$P347=4)),INDEX('卡片raw data'!BH:BH,MATCH($D347,'卡片raw data'!$F:$F,)),0)+IF($P347=5,INDEX('卡片raw data'!BI:BI,MATCH($D347,'卡片raw data'!$F:$F,)),0)))</f>
        <v>0</v>
      </c>
      <c r="CC347" s="1101">
        <f t="shared" si="468"/>
        <v>0</v>
      </c>
      <c r="CD347" s="1097">
        <f>IF(BZ347="ap",CB347*(1-$FI$26)*$FB$5/$FB$11*(+IF(CA347="全员",$FA$24,0)+IF(CA347="同作战",$FA$24,0)+IF(CA347="仲间",$FA$24*2/3,0)+IF(CA347="同属性",$FA$24*$FA$37/3,0)+IF(CA347="同年级",$FA$24*$FA$40/3,0)+IF(CA347="同学校",$FA$24*$FA$43/3,0)+IF(CA347="同小队",$FA$24*$FA$46/3,0)+IF(CA347="同type",$FA$24*INDEX($FB$49:$FB$52,MATCH(X347,$FA$49:$FA$52,))/3,0)+IF(CA347="自身",#REF!/3,0)),0)+IF(BZ347="te",CB347*(1-$FI$27)*($FA$20-1)*$FB$7/$FB$13*(+IF(CA347="全员",$FA$19*$FA$24/(1+($FA$20-1)*$FA$19),0)+IF(CA347="同作战",$FA$19*$FA$24/(1+($FA$20-1)*$FA$19),0)+IF(CA347="仲间",$FA$19*$FA$24*2/3/(1+($FA$20-1)*$FA$19),0)+IF(CA347="同属性",$FA$19*$FA$24*$FA$37/3/(1+($FA$20-1)*$FA$19),0)+IF(CA347="同年级",$FA$19*$FA$24*$FA$40/3/(1+($FA$20-1)*$FA$19),0)+IF(CA347="同学校",$FA$19*$FA$24*$FA$43/3/(1+($FA$20-1)*$FA$19),0)+IF(CA347="同小队",$FA$19*$FA$24*$FA$46/3/(1+($FA$20-1)*$FA$19),0)+IF(CA347="同type",$FA$19*$FA$24*INDEX($FB$49:$FB$52,MATCH(X347,$FA$49:$FA$52,))/3/(1+($FA$20-1)*$FA$19),0)+IF(CA347="自身",$FA$19*#REF!/3/(1+(BH347-1)*$BD347),0)),0)</f>
        <v>0</v>
      </c>
      <c r="CE347" s="1097">
        <f t="shared" si="469"/>
        <v>0</v>
      </c>
      <c r="CF347" s="1112">
        <f t="shared" si="470"/>
        <v>0</v>
      </c>
      <c r="CG347" s="1100">
        <f t="shared" si="471"/>
        <v>0</v>
      </c>
      <c r="CH347" s="1110">
        <f t="shared" si="472"/>
        <v>0</v>
      </c>
      <c r="CI347" s="1113" t="s">
        <v>165</v>
      </c>
      <c r="CJ347" s="1114">
        <v>1</v>
      </c>
      <c r="CK347" s="1115" t="s">
        <v>156</v>
      </c>
      <c r="CL347" s="1115" t="s">
        <v>1940</v>
      </c>
      <c r="CM347" s="1119">
        <v>2.7E-2</v>
      </c>
      <c r="CN347" s="1115"/>
      <c r="CO347" s="1115"/>
      <c r="CP347" s="1116">
        <f t="shared" si="473"/>
        <v>2.5629406926428571</v>
      </c>
      <c r="CQ347" s="1116">
        <f t="shared" si="474"/>
        <v>4.125478948344</v>
      </c>
      <c r="CR347" s="1117">
        <f t="shared" si="475"/>
        <v>2.5629406926428571</v>
      </c>
      <c r="CS347" s="1118">
        <f t="shared" si="476"/>
        <v>0</v>
      </c>
      <c r="CT347" s="1109">
        <f t="shared" si="477"/>
        <v>4.1861364646500006</v>
      </c>
      <c r="CU347" s="1101">
        <f t="shared" si="478"/>
        <v>160.18379329017858</v>
      </c>
      <c r="CV347" s="1108">
        <f t="shared" si="479"/>
        <v>171.894956181</v>
      </c>
      <c r="CW347" s="1097">
        <f t="shared" si="480"/>
        <v>160.18379329017858</v>
      </c>
      <c r="CX347" s="1097">
        <f t="shared" si="481"/>
        <v>160.18379329017858</v>
      </c>
      <c r="CY347" s="1110">
        <f t="shared" si="482"/>
        <v>160.18379329017858</v>
      </c>
      <c r="CZ347" s="437"/>
      <c r="DA347" s="438"/>
      <c r="DB347" s="439" t="s">
        <v>569</v>
      </c>
      <c r="DC347" s="439"/>
      <c r="DD347" s="443"/>
      <c r="DE347" s="411"/>
      <c r="DF347" s="411"/>
      <c r="DG347" s="1116">
        <f t="shared" si="483"/>
        <v>0</v>
      </c>
      <c r="DH347" s="1116">
        <f t="shared" si="484"/>
        <v>0</v>
      </c>
      <c r="DI347" s="1116">
        <f t="shared" si="485"/>
        <v>0</v>
      </c>
      <c r="DJ347" s="442">
        <f t="shared" si="486"/>
        <v>0</v>
      </c>
      <c r="DK347" s="1109">
        <f t="shared" si="487"/>
        <v>0</v>
      </c>
      <c r="DL347" s="1101">
        <f t="shared" si="488"/>
        <v>0</v>
      </c>
      <c r="DM347" s="1097">
        <f t="shared" si="489"/>
        <v>0</v>
      </c>
      <c r="DN347" s="1097">
        <f t="shared" si="490"/>
        <v>0</v>
      </c>
      <c r="DO347" s="1097">
        <f t="shared" si="491"/>
        <v>0</v>
      </c>
      <c r="DP347" s="1110">
        <f t="shared" si="492"/>
        <v>0</v>
      </c>
      <c r="DQ347" s="1113" t="s">
        <v>1629</v>
      </c>
      <c r="DR347" s="1120">
        <f t="shared" si="493"/>
        <v>0.33</v>
      </c>
      <c r="DS347" s="1124"/>
      <c r="DT347" s="1093" t="s">
        <v>132</v>
      </c>
      <c r="DU347" s="1093"/>
      <c r="DV347" s="1098">
        <f>IF($P347="","N/A",IF(P347=-1,INDEX('卡片raw data'!AN:AN,MATCH(D347,'卡片raw data'!$F:$F,)),0)+IF(AND(L347&lt;&gt;"party卡",P347&lt;=2,P347&gt;=0),INDEX('卡片raw data'!AP:AP,MATCH(D347,'卡片raw data'!$F:$F,)),0)+IF(OR(AND(L347="party卡",P347&lt;=1),AND(P347&lt;=4,L347&lt;&gt;"party卡",P347&gt;=3)),INDEX('卡片raw data'!AQ:AQ,MATCH(D347,'卡片raw data'!$F:$F,)),0)+IF(OR(P347=5,AND(L347="party卡",P347&gt;=2)),INDEX('卡片raw data'!AR:AR,MATCH(D347,'卡片raw data'!$F:$F,)),0))</f>
        <v>0.32</v>
      </c>
      <c r="DW347" s="1098">
        <f t="shared" si="494"/>
        <v>0.33</v>
      </c>
      <c r="DX347" s="1098">
        <f t="shared" si="495"/>
        <v>0.33</v>
      </c>
      <c r="DY347" s="1097">
        <f t="shared" si="496"/>
        <v>935.56827654400013</v>
      </c>
      <c r="DZ347" s="1097">
        <f t="shared" si="497"/>
        <v>728.18888706769917</v>
      </c>
      <c r="EA347" s="1098">
        <f t="shared" si="498"/>
        <v>0</v>
      </c>
      <c r="EB347" s="1121">
        <f t="shared" si="499"/>
        <v>0</v>
      </c>
      <c r="EC347" s="1101">
        <f t="shared" si="500"/>
        <v>1337.8626354579203</v>
      </c>
      <c r="ED347" s="1097">
        <f t="shared" si="501"/>
        <v>0</v>
      </c>
      <c r="EE347" s="1110">
        <f t="shared" si="502"/>
        <v>1337.8626354579203</v>
      </c>
      <c r="EF347" s="1115" t="s">
        <v>569</v>
      </c>
      <c r="EG347" s="1120">
        <f t="shared" si="503"/>
        <v>0.33</v>
      </c>
      <c r="EH347" s="1124"/>
      <c r="EI347" s="1093"/>
      <c r="EJ347" s="1093"/>
      <c r="EK347" s="1097">
        <f>IF($P347="","N/A",IF(P347=-1,INDEX('卡片raw data'!AS:AS,MATCH(D347,'卡片raw data'!$F:$F,)),0)+IF(AND(L347&lt;&gt;"party卡",P347&lt;=2,P347&gt;=0),INDEX('卡片raw data'!AU:AU,MATCH(D347,'卡片raw data'!$F:$F,)),0)+IF(OR(AND(L347="party卡",P347&lt;=1),AND(P347&lt;=4,L347&lt;&gt;"party卡",P347&gt;=3)),INDEX('卡片raw data'!AV:AV,MATCH(D347,'卡片raw data'!$F:$F,)),0)+IF(OR(P347=5,AND(L347="party卡",P347&gt;=2)),INDEX('卡片raw data'!AW:AW,MATCH(D347,'卡片raw data'!$F:$F,)),0))</f>
        <v>0</v>
      </c>
      <c r="EL347" s="1098">
        <f t="shared" si="504"/>
        <v>0.33</v>
      </c>
      <c r="EM347" s="1098">
        <f t="shared" si="505"/>
        <v>0.33</v>
      </c>
      <c r="EN347" s="1097">
        <f t="shared" si="506"/>
        <v>0</v>
      </c>
      <c r="EO347" s="1125">
        <f t="shared" si="507"/>
        <v>0</v>
      </c>
      <c r="EP347" s="1098">
        <f t="shared" si="508"/>
        <v>0</v>
      </c>
      <c r="EQ347" s="1121">
        <f t="shared" si="509"/>
        <v>0</v>
      </c>
      <c r="ER347" s="1101">
        <f t="shared" si="510"/>
        <v>0</v>
      </c>
      <c r="ES347" s="1097">
        <f t="shared" si="511"/>
        <v>0</v>
      </c>
      <c r="ET347" s="1122">
        <f t="shared" si="512"/>
        <v>0</v>
      </c>
    </row>
    <row r="348" spans="2:150" ht="16.5" customHeight="1">
      <c r="B348" s="1123" t="str">
        <f>INDEX('卡片raw data'!B:B,MATCH($D348,'卡片raw data'!$F:$F,))</f>
        <v>梦门希</v>
      </c>
      <c r="C348" s="449" t="s">
        <v>1631</v>
      </c>
      <c r="D348" s="408">
        <v>345</v>
      </c>
      <c r="E348" s="477">
        <v>400072002</v>
      </c>
      <c r="F348" s="1090" t="str">
        <f>INDEX('卡片raw data'!C:C,MATCH($D348,'卡片raw data'!$F:$F,))</f>
        <v>SR</v>
      </c>
      <c r="G348" s="1094" t="s">
        <v>1632</v>
      </c>
      <c r="H348" s="411">
        <f>IFERROR(INDEX(绊状态确认!C:C,MATCH($G348,绊状态确认!$B:$B,)),"")</f>
        <v>7</v>
      </c>
      <c r="I348" s="450" t="str">
        <f>IFERROR(INDEX(绊状态确认!D:D,MATCH($G348,绊状态确认!$B:$B,)),"")</f>
        <v>缪</v>
      </c>
      <c r="J348" s="450" t="str">
        <f>IFERROR(INDEX(绊状态确认!E:E,MATCH($G348,绊状态确认!$B:$B,)),"")</f>
        <v>3年级</v>
      </c>
      <c r="K348" s="451" t="str">
        <f>IFERROR(INDEX(绊状态确认!F:F,MATCH($G348,绊状态确认!$B:$B,)),"")</f>
        <v>lilywhite</v>
      </c>
      <c r="L348" s="1094" t="str">
        <f>INDEX('卡片raw data'!E:E,MATCH($D348,'卡片raw data'!$F:$F,))</f>
        <v>活动卡</v>
      </c>
      <c r="M348" s="478">
        <v>44140</v>
      </c>
      <c r="N348" s="479">
        <v>27</v>
      </c>
      <c r="O348" s="1091" t="str">
        <f>INDEX('卡片raw data'!D:D,MATCH($D348,'卡片raw data'!$F:$F,))</f>
        <v>vo</v>
      </c>
      <c r="P348" s="1126">
        <v>5</v>
      </c>
      <c r="Q348" s="1095">
        <f t="shared" si="428"/>
        <v>30300.083636863645</v>
      </c>
      <c r="R348" s="1096">
        <f t="shared" si="429"/>
        <v>0.35199999999999998</v>
      </c>
      <c r="S348" s="1097">
        <f t="shared" si="430"/>
        <v>13949.347732245418</v>
      </c>
      <c r="T348" s="1098">
        <f t="shared" si="431"/>
        <v>0.69699999999999995</v>
      </c>
      <c r="U348" s="1099">
        <f t="shared" si="432"/>
        <v>-15.086973607677143</v>
      </c>
      <c r="V348" s="1100">
        <f t="shared" si="433"/>
        <v>29782.864293520717</v>
      </c>
      <c r="W348" s="1101">
        <f t="shared" si="434"/>
        <v>4523.5657828157991</v>
      </c>
      <c r="X348" s="1096">
        <f t="shared" si="435"/>
        <v>5.1999999999999998E-2</v>
      </c>
      <c r="Y348" s="1097">
        <f t="shared" si="436"/>
        <v>787.4491068987727</v>
      </c>
      <c r="Z348" s="1102">
        <f t="shared" si="437"/>
        <v>9.9130263923228572</v>
      </c>
      <c r="AA348" s="1103">
        <f t="shared" si="438"/>
        <v>5311.0148897145718</v>
      </c>
      <c r="AB348" s="1101">
        <f t="shared" si="439"/>
        <v>5066.1993161133805</v>
      </c>
      <c r="AC348" s="1104">
        <f t="shared" si="440"/>
        <v>5.8000000000000003E-2</v>
      </c>
      <c r="AD348" s="1105">
        <f t="shared" si="441"/>
        <v>-3.8207812500000026E-3</v>
      </c>
      <c r="AE348" s="1128">
        <f t="shared" si="442"/>
        <v>-12.27536231884058</v>
      </c>
      <c r="AF348" s="1130">
        <f t="shared" si="443"/>
        <v>0</v>
      </c>
      <c r="AG348" s="420">
        <f t="shared" si="444"/>
        <v>0</v>
      </c>
      <c r="AH348" s="420">
        <f t="shared" si="445"/>
        <v>0</v>
      </c>
      <c r="AI348" s="1097">
        <f t="shared" si="446"/>
        <v>0</v>
      </c>
      <c r="AJ348" s="420">
        <f t="shared" si="447"/>
        <v>0</v>
      </c>
      <c r="AK348" s="518">
        <f t="shared" si="448"/>
        <v>0</v>
      </c>
      <c r="AL348" s="1106">
        <f>IF($P348="","N/A",(IF($P348=-1,INDEX('卡片raw data'!S:S,MATCH($D348,'卡片raw data'!$F:$F,)),0)+IF($P348=0,INDEX('卡片raw data'!V:V,MATCH($D348,'卡片raw data'!$F:$F,)),0)+IF($P348=1,INDEX('卡片raw data'!Y:Y,MATCH($D348,'卡片raw data'!$F:$F,)),0)+IF($P348=2,INDEX('卡片raw data'!AB:AB,MATCH($D348,'卡片raw data'!$F:$F,)),0)+IF($P348=3,INDEX('卡片raw data'!AE:AE,MATCH($D348,'卡片raw data'!$F:$F,)),0)+IF($P348=4,INDEX('卡片raw data'!AH:AH,MATCH($D348,'卡片raw data'!$F:$F,)),0)+IF($P348=5,INDEX('卡片raw data'!AK:AK,MATCH($D348,'卡片raw data'!$F:$F,)),0)+INDEX('卡片raw data'!S:S,MATCH($D348,'卡片raw data'!$F:$F,))*(IF($F348="UR",0.04,0.033))*(IF($F348="UR",INDEX(绊状态确认!$S:$S,MATCH($G348,绊状态确认!$B:$B,))/2-40)+IF($F348="SR",INDEX(绊状态确认!$R:$R,MATCH($G348,绊状态确认!$B:$B,))/4-15))+IF($F348="R",INDEX(绊状态确认!$Q:$Q,MATCH($G348,绊状态确认!$B:$B,))/6-40/6)))*(INDEX(绊状态确认!$H:$H,MATCH($G348,绊状态确认!$B:$B,))+INDEX(绊状态确认!J:J,MATCH($G348,绊状态确认!$B:$B,)))</f>
        <v>6337.9232615999999</v>
      </c>
      <c r="AM348" s="1106">
        <f>IF($P348="","N/A",(IF($P348=-1,INDEX('卡片raw data'!T:T,MATCH($D348,'卡片raw data'!$F:$F,)),0)+IF($P348=0,INDEX('卡片raw data'!W:W,MATCH($D348,'卡片raw data'!$F:$F,)),0)+IF($P348=1,INDEX('卡片raw data'!Z:Z,MATCH($D348,'卡片raw data'!$F:$F,)),0)+IF($P348=2,INDEX('卡片raw data'!AC:AC,MATCH($D348,'卡片raw data'!$F:$F,)),0)+IF($P348=3,INDEX('卡片raw data'!AF:AF,MATCH($D348,'卡片raw data'!$F:$F,)),0)+IF($P348=4,INDEX('卡片raw data'!AI:AI,MATCH($D348,'卡片raw data'!$F:$F,)),0)+IF($P348=5,INDEX('卡片raw data'!AL:AL,MATCH($D348,'卡片raw data'!$F:$F,)),0)+INDEX('卡片raw data'!T:T,MATCH($D348,'卡片raw data'!$F:$F,))*(IF($F348="UR",0.04,0.033))*(IF($F348="UR",INDEX(绊状态确认!$S:$S,MATCH($G348,绊状态确认!$B:$B,))/2-40)+IF($F348="SR",INDEX(绊状态确认!$R:$R,MATCH($G348,绊状态确认!$B:$B,))/4-15))+IF($F348="R",INDEX(绊状态确认!$Q:$Q,MATCH($G348,绊状态确认!$B:$B,))/6-40/6)))*(INDEX(绊状态确认!$H:$H,MATCH($G348,绊状态确认!$B:$B,))+INDEX(绊状态确认!K:K,MATCH($G348,绊状态确认!$B:$B,)))</f>
        <v>4797.1853231999994</v>
      </c>
      <c r="AN348" s="1106">
        <f>IF($P348="","N/A",(IF($P348=-1,INDEX('卡片raw data'!U:U,MATCH($D348,'卡片raw data'!$F:$F,)),0)+IF($P348=0,INDEX('卡片raw data'!X:X,MATCH($D348,'卡片raw data'!$F:$F,)),0)+IF($P348=1,INDEX('卡片raw data'!AA:AA,MATCH($D348,'卡片raw data'!$F:$F,)),0)+IF($P348=2,INDEX('卡片raw data'!AD:AD,MATCH($D348,'卡片raw data'!$F:$F,)),0)+IF($P348=3,INDEX('卡片raw data'!AG:AG,MATCH($D348,'卡片raw data'!$F:$F,)),0)+IF($P348=4,INDEX('卡片raw data'!AJ:AJ,MATCH($D348,'卡片raw data'!$F:$F,)),0)+IF($P348=5,INDEX('卡片raw data'!AM:AM,MATCH($D348,'卡片raw data'!$F:$F,)),0)+INDEX('卡片raw data'!U:U,MATCH($D348,'卡片raw data'!$F:$F,))*(IF($F348="UR",0.04,0.033))*(IF($F348="UR",INDEX(绊状态确认!$S:$S,MATCH($G348,绊状态确认!$B:$B,))/2-40)+IF($F348="SR",INDEX(绊状态确认!$R:$R,MATCH($G348,绊状态确认!$B:$B,))/4-15))+IF($F348="R",INDEX(绊状态确认!$Q:$Q,MATCH($G348,绊状态确认!$B:$B,))/6-40/6)))*(INDEX(绊状态确认!$H:$H,MATCH($G348,绊状态确认!$B:$B,))+INDEX(绊状态确认!L:L,MATCH($G348,绊状态确认!$B:$B,)))</f>
        <v>5995.0236527999996</v>
      </c>
      <c r="AO348" s="1107">
        <f t="shared" si="449"/>
        <v>1</v>
      </c>
      <c r="AP348" s="1131">
        <f>1+(INDEX(绊状态确认!$T:$T,MATCH($G348,绊状态确认!$B:$B,))+0.2)*$AO348</f>
        <v>1.3</v>
      </c>
      <c r="AQ348" s="1108">
        <f t="shared" si="450"/>
        <v>19887.048561700001</v>
      </c>
      <c r="AR348" s="1097">
        <f>(AM348*(1+$EX$9)+$EX$35)*(1+(INDEX(绊状态确认!$T:$T,MATCH($G348,绊状态确认!$B:$B,))+0.2)*AO348)*IF(J348=$FF$17,1+$FE$17,1)*IF(I348=$FF$14,1+$FE$14,1)</f>
        <v>9252.1579661680007</v>
      </c>
      <c r="AS348" s="1097">
        <f>(AN348*(1+$EX$10)+$EX$36)*(1+(INDEX(绊状态确认!$T:$T,MATCH($G348,绊状态确认!$B:$B,))+0.2)*AO348)*IF(J348=$FF$17,1+$FE$17,1)*IF(I348=$FF$14,1+$FE$14,1)</f>
        <v>13018.560360936001</v>
      </c>
      <c r="AT348" s="1093">
        <f>IF(AND(INDEX('卡片raw data'!AK:AK,MATCH($D348,'卡片raw data'!$F:$F,))&lt;INDEX('卡片raw data'!AM:AM,MATCH($D348,'卡片raw data'!$F:$F,)),INDEX('卡片raw data'!AL:AL,MATCH($D348,'卡片raw data'!$F:$F,))&lt;INDEX('卡片raw data'!AM:AM,MATCH($D348,'卡片raw data'!$F:$F,))),1,0)</f>
        <v>0</v>
      </c>
      <c r="AU348" s="1098">
        <f>MIN(AT348*0.15+AS348*0.00003+INDEX(绊状态确认!M:M,MATCH($G348,绊状态确认!$B:$B,)),1)</f>
        <v>0.42055681082808005</v>
      </c>
      <c r="AV348" s="1109">
        <f>(INDEX(绊状态确认!$N:$N,MATCH($G348,绊状态确认!$B:$B,))+1.5)*$EW$21</f>
        <v>2.6599999999999997</v>
      </c>
      <c r="AW348" s="1101">
        <f t="shared" si="451"/>
        <v>17538.690986939677</v>
      </c>
      <c r="AX348" s="1097">
        <f t="shared" si="452"/>
        <v>787.44910689877258</v>
      </c>
      <c r="AY348" s="1110">
        <f t="shared" si="453"/>
        <v>18326.14009383845</v>
      </c>
      <c r="AZ348" s="429">
        <f t="shared" si="454"/>
        <v>14958.950360119999</v>
      </c>
      <c r="BA348" s="431">
        <f t="shared" si="455"/>
        <v>17950.740432143997</v>
      </c>
      <c r="BB348" s="1097">
        <f>(AM348*(1+$FB$9)+$FB$35)*(1+(INDEX(绊状态确认!$T:$T,MATCH($G348,绊状态确认!$B:$B,))+0.2)*AO348)*IF(J348=$FF$17,1+$FE$17,1)*IF(I348=$FF$14,1+$FE$14,1)*(1+$FE$15)</f>
        <v>9252.1579661680007</v>
      </c>
      <c r="BC348" s="1097">
        <f>(AN348*(1+$FB$10)+$FB$36)*(1+(INDEX(绊状态确认!$T:$T,MATCH($G348,绊状态确认!$B:$B,))+0.2)*AO348)*IF(J348=$FF$17,1+$FE$17,1)*IF(I348=$FF$14,1+$FE$14,1)*(1+$FE$15)</f>
        <v>13018.560360936001</v>
      </c>
      <c r="BD348" s="1104">
        <f>MIN(AT348*0.15+BC348*0.00003+INDEX(绊状态确认!M:M,MATCH($G348,绊状态确认!$B:$B,)),1)</f>
        <v>0.42055681082808005</v>
      </c>
      <c r="BE348" s="432">
        <f>(INDEX(绊状态确认!$N:$N,MATCH($G348,绊状态确认!$B:$B,))+1.5)</f>
        <v>1.9</v>
      </c>
      <c r="BF348" s="1139">
        <f t="array" ref="BF348">SUMPRODUCT(IF(AZ348*AP348*$FI$16:$FI$23*$FA$22&gt;=$FI$24,$FI$24,AZ348*AP348*$FI$16:$FI$23*$FA$22),$FJ$16:$FJ$23)</f>
        <v>29753.352266278682</v>
      </c>
      <c r="BG348" s="1125">
        <f t="array" ref="BG348">SUMPRODUCT(IF(BE348*AZ348*AP348*$FI$16:$FI$23*$FA$22&gt;=$FI$24,$FI$24,BE348*AZ348*AP348*$FI$16:$FI$23*$FA$22),$FJ$16:$FJ$23)</f>
        <v>54579.121315601435</v>
      </c>
      <c r="BH348" s="1110">
        <f t="shared" si="456"/>
        <v>13397.999508005438</v>
      </c>
      <c r="BI348" s="1111">
        <f>IF(O348="vo",$EW$26/$EW$24*0.05,0)+IF(O348="sk",-$EW$26/$EW$24*(0.05-INDEX(绊状态确认!W:W,MATCH($G348,绊状态确认!$B:$B,)))+0.05*$EW$28,0)+IF(O348="sp",0.05*$EW$32*$EW$30*(1-$EW$33)-(0.05-INDEX(绊状态确认!V:V,MATCH($G348,绊状态确认!$B:$B,)))*$EW$28,0)+IF(O348="gd",-(0.05-INDEX(绊状态确认!X:X,MATCH($G348,绊状态确认!$B:$B,)))*$EW$32*$EW$30*(1-$EW$33),0)</f>
        <v>7726.3029277443748</v>
      </c>
      <c r="BJ348" s="1097">
        <f>IF(O348="vo",0.05*(1-$FI$26)*$FA$24,0)+IF(O348="sk",-(0.05-INDEX(绊状态确认!W:W,MATCH($G348,绊状态确认!$B:$B,)))*(1-$FI$26)*$FA$24+0.05*$FA$26,0)+IF(O348="sp",0.05*$FA$32*$FA$27*(1-$FA$33)/$FA$30+0.05*$FA$29/$FA$69*$FA$27*(1-$FA$33)-(0.05-INDEX(绊状态确认!V:V,MATCH($G348,绊状态确认!$B:$B,)))*$FA$26,0)+IF(O348="gd",-(0.05-INDEX(绊状态确认!X:X,MATCH($G348,绊状态确认!$B:$B,)))*$FA$32*$FA$27*(1-$FA$33)/$FA$30-(0.05-INDEX(绊状态确认!X:X,MATCH($G348,绊状态确认!$B:$B,)))*$FA$29/$FA$69*$FA$27*(1-$FA$33),0)</f>
        <v>393.93433687500004</v>
      </c>
      <c r="BK348" s="1110">
        <f>IF(O348="vo",$EW$26/$EW$24*0.05+$EW$26*(-HP($EW$62,$EW$65,$EW$64)+HP($EW$62,$EW$65,(1.05-INDEX(绊状态确认!U:U,MATCH($G348,绊状态确认!$B:$B,)))*$EW$64)),0)+IF(O348="sk",-$EW$26/$EW$24*(0.05-INDEX(绊状态确认!W:W,MATCH($G348,绊状态确认!$B:$B,)))+0.05*$EW$29,0)+IF(O348="sp",0.05*$EW$32*$EW$30*(1-$EW$33)-(0.05-INDEX(绊状态确认!V:V,MATCH($G348,绊状态确认!$B:$B,)))*$EW$29,0)+IF(O348="gd",-(0.05-INDEX(绊状态确认!X:X,MATCH($G348,绊状态确认!$B:$B,)))*$EW$32*$EW$30*(1-$EW$33)+$EW$26*(-HP($EW$62,$EW$65,$EW$64)+HP($EW$62,$EW$65,0.95*$EW$64)),0)</f>
        <v>6421.6344775026746</v>
      </c>
      <c r="BL348" s="1111">
        <f t="shared" si="457"/>
        <v>-1083.3333333333333</v>
      </c>
      <c r="BM348" s="1110">
        <f t="shared" si="458"/>
        <v>-830.55555555555543</v>
      </c>
      <c r="BN348" s="1113">
        <f t="shared" si="459"/>
        <v>3</v>
      </c>
      <c r="BO348" s="1108">
        <f t="shared" si="460"/>
        <v>4507.7214871259994</v>
      </c>
      <c r="BP348" s="1100">
        <f t="shared" si="461"/>
        <v>221.34103209030098</v>
      </c>
      <c r="BQ348" s="1113" t="s">
        <v>132</v>
      </c>
      <c r="BR348" s="1124" t="s">
        <v>166</v>
      </c>
      <c r="BS348" s="1098">
        <f>IF($P348="","N/A",IF($P348=-1,INDEX('卡片raw data'!AX:AX,MATCH($D348,'卡片raw data'!$F:$F,)),0)+IF($L348="party卡",IF($P348=5,INDEX('卡片raw data'!BD:BD,MATCH($D348,'卡片raw data'!$F:$F,)),IF($P348&gt;=3,INDEX('卡片raw data'!BC:BC,MATCH($D348,'卡片raw data'!$F:$F,)),INDEX('卡片raw data'!BB:BB,MATCH($D348,'卡片raw data'!$F:$F,)))),IF(OR(AND($F348="UR",$P348=0),AND($F348="SR",$P348&gt;=0,$P348&lt;=2),AND($F348="R",$P348&gt;=0,$P348&lt;4)),INDEX('卡片raw data'!AZ:AZ,MATCH($D348,'卡片raw data'!$F:$F,)),0)+IF(OR(AND($F348="UR",$P348&gt;=1,$P348&lt;=4),AND($F348="SR",$P348&lt;=4,$P348&gt;=3),AND($F348="R",$P348=4)),INDEX('卡片raw data'!BA:BA,MATCH($D348,'卡片raw data'!$F:$F,)),0)+IF($P348=5,INDEX('卡片raw data'!BB:BB,MATCH($D348,'卡片raw data'!$F:$F,)),0)))</f>
        <v>7.0000000000000007E-2</v>
      </c>
      <c r="BT348" s="1101">
        <f t="shared" si="462"/>
        <v>542.63353329758115</v>
      </c>
      <c r="BU348" s="1097">
        <f t="shared" si="463"/>
        <v>19.760929040235446</v>
      </c>
      <c r="BV348" s="1097">
        <f t="shared" si="464"/>
        <v>0</v>
      </c>
      <c r="BW348" s="1112">
        <f t="shared" si="465"/>
        <v>0</v>
      </c>
      <c r="BX348" s="1100">
        <f t="shared" si="466"/>
        <v>542.63353329758115</v>
      </c>
      <c r="BY348" s="1110">
        <f t="shared" si="467"/>
        <v>0</v>
      </c>
      <c r="BZ348" s="1107" t="s">
        <v>569</v>
      </c>
      <c r="CA348" s="1124"/>
      <c r="CB348" s="1098">
        <f>IF($P348="","N/A",IF($P348=-1,INDEX('卡片raw data'!BE:BE,MATCH($D348,'卡片raw data'!$F:$F,)),0)+IF($L348="party卡",IF($P348=5,INDEX('卡片raw data'!BK:BK,MATCH($D348,'卡片raw data'!$F:$F,)),IF($P348&gt;=3,INDEX('卡片raw data'!BJ:BJ,MATCH($D348,'卡片raw data'!$F:$F,)),INDEX('卡片raw data'!BI:BI,MATCH($D348,'卡片raw data'!$F:$F,)))),IF(OR(AND($F348="UR",$P348=0),AND($F348="SR",$P348&gt;=0,$P348&lt;=2),AND($F348="R",$P348&gt;=0,$P348&lt;4)),INDEX('卡片raw data'!BG:BG,MATCH($D348,'卡片raw data'!$F:$F,)),0)+IF(OR(AND($F348="UR",$P348&gt;=1,$P348&lt;=4),AND($F348="SR",$P348&lt;=4,$P348&gt;=3),AND($F348="R",$P348=4)),INDEX('卡片raw data'!BH:BH,MATCH($D348,'卡片raw data'!$F:$F,)),0)+IF($P348=5,INDEX('卡片raw data'!BI:BI,MATCH($D348,'卡片raw data'!$F:$F,)),0)))</f>
        <v>0</v>
      </c>
      <c r="CC348" s="1101">
        <f t="shared" si="468"/>
        <v>0</v>
      </c>
      <c r="CD348" s="1097">
        <f>IF(BZ348="ap",CB348*(1-$FI$26)*$FB$5/$FB$11*(+IF(CA348="全员",$FA$24,0)+IF(CA348="同作战",$FA$24,0)+IF(CA348="仲间",$FA$24*2/3,0)+IF(CA348="同属性",$FA$24*$FA$37/3,0)+IF(CA348="同年级",$FA$24*$FA$40/3,0)+IF(CA348="同学校",$FA$24*$FA$43/3,0)+IF(CA348="同小队",$FA$24*$FA$46/3,0)+IF(CA348="同type",$FA$24*INDEX($FB$49:$FB$52,MATCH(X348,$FA$49:$FA$52,))/3,0)+IF(CA348="自身",#REF!/3,0)),0)+IF(BZ348="te",CB348*(1-$FI$27)*($FA$20-1)*$FB$7/$FB$13*(+IF(CA348="全员",$FA$19*$FA$24/(1+($FA$20-1)*$FA$19),0)+IF(CA348="同作战",$FA$19*$FA$24/(1+($FA$20-1)*$FA$19),0)+IF(CA348="仲间",$FA$19*$FA$24*2/3/(1+($FA$20-1)*$FA$19),0)+IF(CA348="同属性",$FA$19*$FA$24*$FA$37/3/(1+($FA$20-1)*$FA$19),0)+IF(CA348="同年级",$FA$19*$FA$24*$FA$40/3/(1+($FA$20-1)*$FA$19),0)+IF(CA348="同学校",$FA$19*$FA$24*$FA$43/3/(1+($FA$20-1)*$FA$19),0)+IF(CA348="同小队",$FA$19*$FA$24*$FA$46/3/(1+($FA$20-1)*$FA$19),0)+IF(CA348="同type",$FA$19*$FA$24*INDEX($FB$49:$FB$52,MATCH(X348,$FA$49:$FA$52,))/3/(1+($FA$20-1)*$FA$19),0)+IF(CA348="自身",$FA$19*#REF!/3/(1+(BH348-1)*$BD348),0)),0)</f>
        <v>0</v>
      </c>
      <c r="CE348" s="1097">
        <f t="shared" si="469"/>
        <v>0</v>
      </c>
      <c r="CF348" s="1112">
        <f t="shared" si="470"/>
        <v>0</v>
      </c>
      <c r="CG348" s="1100">
        <f t="shared" si="471"/>
        <v>0</v>
      </c>
      <c r="CH348" s="1110">
        <f t="shared" si="472"/>
        <v>0</v>
      </c>
      <c r="CI348" s="1113" t="s">
        <v>162</v>
      </c>
      <c r="CJ348" s="1114">
        <v>1</v>
      </c>
      <c r="CK348" s="1115" t="s">
        <v>256</v>
      </c>
      <c r="CL348" s="1115" t="s">
        <v>1940</v>
      </c>
      <c r="CM348" s="1119">
        <v>2.5999999999999999E-2</v>
      </c>
      <c r="CN348" s="1115"/>
      <c r="CO348" s="1115"/>
      <c r="CP348" s="1116">
        <f t="shared" si="473"/>
        <v>11.079927055804285</v>
      </c>
      <c r="CQ348" s="1116">
        <f t="shared" si="474"/>
        <v>15.557308374524796</v>
      </c>
      <c r="CR348" s="1117">
        <f t="shared" si="475"/>
        <v>11.079927055804285</v>
      </c>
      <c r="CS348" s="1118">
        <f t="shared" si="476"/>
        <v>0</v>
      </c>
      <c r="CT348" s="1109">
        <f t="shared" si="477"/>
        <v>0</v>
      </c>
      <c r="CU348" s="1101">
        <f t="shared" si="478"/>
        <v>15.844295689800129</v>
      </c>
      <c r="CV348" s="1108">
        <f t="shared" si="479"/>
        <v>0</v>
      </c>
      <c r="CW348" s="1097">
        <f t="shared" si="480"/>
        <v>15.844295689800129</v>
      </c>
      <c r="CX348" s="1097">
        <f t="shared" si="481"/>
        <v>15.844295689800129</v>
      </c>
      <c r="CY348" s="1110">
        <f t="shared" si="482"/>
        <v>15.844295689800129</v>
      </c>
      <c r="CZ348" s="437"/>
      <c r="DA348" s="438"/>
      <c r="DB348" s="439" t="s">
        <v>569</v>
      </c>
      <c r="DC348" s="439"/>
      <c r="DD348" s="443"/>
      <c r="DE348" s="411"/>
      <c r="DF348" s="411"/>
      <c r="DG348" s="1116">
        <f t="shared" si="483"/>
        <v>0</v>
      </c>
      <c r="DH348" s="1116">
        <f t="shared" si="484"/>
        <v>0</v>
      </c>
      <c r="DI348" s="1116">
        <f t="shared" si="485"/>
        <v>0</v>
      </c>
      <c r="DJ348" s="442">
        <f t="shared" si="486"/>
        <v>0</v>
      </c>
      <c r="DK348" s="1109">
        <f t="shared" si="487"/>
        <v>0</v>
      </c>
      <c r="DL348" s="1101">
        <f t="shared" si="488"/>
        <v>0</v>
      </c>
      <c r="DM348" s="1097">
        <f t="shared" si="489"/>
        <v>0</v>
      </c>
      <c r="DN348" s="1097">
        <f t="shared" si="490"/>
        <v>0</v>
      </c>
      <c r="DO348" s="1097">
        <f t="shared" si="491"/>
        <v>0</v>
      </c>
      <c r="DP348" s="1110">
        <f t="shared" si="492"/>
        <v>0</v>
      </c>
      <c r="DQ348" s="1113" t="s">
        <v>1620</v>
      </c>
      <c r="DR348" s="1120">
        <f t="shared" si="493"/>
        <v>0.3</v>
      </c>
      <c r="DS348" s="1124"/>
      <c r="DT348" s="1093" t="s">
        <v>132</v>
      </c>
      <c r="DU348" s="1093"/>
      <c r="DV348" s="1098">
        <f>IF($P348="","N/A",IF(P348=-1,INDEX('卡片raw data'!AN:AN,MATCH(D348,'卡片raw data'!$F:$F,)),0)+IF(AND(L348&lt;&gt;"party卡",P348&lt;=2,P348&gt;=0),INDEX('卡片raw data'!AP:AP,MATCH(D348,'卡片raw data'!$F:$F,)),0)+IF(OR(AND(L348="party卡",P348&lt;=1),AND(P348&lt;=4,L348&lt;&gt;"party卡",P348&gt;=3)),INDEX('卡片raw data'!AQ:AQ,MATCH(D348,'卡片raw data'!$F:$F,)),0)+IF(OR(P348=5,AND(L348="party卡",P348&gt;=2)),INDEX('卡片raw data'!AR:AR,MATCH(D348,'卡片raw data'!$F:$F,)),0))</f>
        <v>0.37</v>
      </c>
      <c r="DW348" s="1098">
        <f t="shared" si="494"/>
        <v>0.3</v>
      </c>
      <c r="DX348" s="1098">
        <f t="shared" si="495"/>
        <v>0.3</v>
      </c>
      <c r="DY348" s="1097">
        <f t="shared" si="496"/>
        <v>956.56703581776992</v>
      </c>
      <c r="DZ348" s="1097">
        <f t="shared" si="497"/>
        <v>746.86748178999915</v>
      </c>
      <c r="EA348" s="1098">
        <f t="shared" si="498"/>
        <v>0</v>
      </c>
      <c r="EB348" s="1121">
        <f t="shared" si="499"/>
        <v>0</v>
      </c>
      <c r="EC348" s="1101">
        <f t="shared" si="500"/>
        <v>1052.223739399547</v>
      </c>
      <c r="ED348" s="1097">
        <f t="shared" si="501"/>
        <v>746.86748178999915</v>
      </c>
      <c r="EE348" s="1110">
        <f t="shared" si="502"/>
        <v>1052.223739399547</v>
      </c>
      <c r="EF348" s="1115" t="s">
        <v>569</v>
      </c>
      <c r="EG348" s="1120">
        <f t="shared" si="503"/>
        <v>0.3</v>
      </c>
      <c r="EH348" s="1124"/>
      <c r="EI348" s="1093"/>
      <c r="EJ348" s="1093"/>
      <c r="EK348" s="1097">
        <f>IF($P348="","N/A",IF(P348=-1,INDEX('卡片raw data'!AS:AS,MATCH(D348,'卡片raw data'!$F:$F,)),0)+IF(AND(L348&lt;&gt;"party卡",P348&lt;=2,P348&gt;=0),INDEX('卡片raw data'!AU:AU,MATCH(D348,'卡片raw data'!$F:$F,)),0)+IF(OR(AND(L348="party卡",P348&lt;=1),AND(P348&lt;=4,L348&lt;&gt;"party卡",P348&gt;=3)),INDEX('卡片raw data'!AV:AV,MATCH(D348,'卡片raw data'!$F:$F,)),0)+IF(OR(P348=5,AND(L348="party卡",P348&gt;=2)),INDEX('卡片raw data'!AW:AW,MATCH(D348,'卡片raw data'!$F:$F,)),0))</f>
        <v>0</v>
      </c>
      <c r="EL348" s="1098">
        <f t="shared" si="504"/>
        <v>0.3</v>
      </c>
      <c r="EM348" s="1098">
        <f t="shared" si="505"/>
        <v>0.3</v>
      </c>
      <c r="EN348" s="1097">
        <f t="shared" si="506"/>
        <v>0</v>
      </c>
      <c r="EO348" s="1125">
        <f t="shared" si="507"/>
        <v>0</v>
      </c>
      <c r="EP348" s="1098">
        <f t="shared" si="508"/>
        <v>0</v>
      </c>
      <c r="EQ348" s="1121">
        <f t="shared" si="509"/>
        <v>0</v>
      </c>
      <c r="ER348" s="1101">
        <f t="shared" si="510"/>
        <v>0</v>
      </c>
      <c r="ES348" s="1097">
        <f t="shared" si="511"/>
        <v>0</v>
      </c>
      <c r="ET348" s="1122">
        <f t="shared" si="512"/>
        <v>0</v>
      </c>
    </row>
    <row r="349" spans="2:150" ht="16.5" customHeight="1">
      <c r="B349" s="1123" t="str">
        <f>INDEX('卡片raw data'!B:B,MATCH($D349,'卡片raw data'!$F:$F,))</f>
        <v>三专雫</v>
      </c>
      <c r="C349" s="449" t="s">
        <v>1627</v>
      </c>
      <c r="D349" s="408">
        <v>346</v>
      </c>
      <c r="E349" s="477">
        <v>402032004</v>
      </c>
      <c r="F349" s="1090" t="str">
        <f>INDEX('卡片raw data'!C:C,MATCH($D349,'卡片raw data'!$F:$F,))</f>
        <v>SR</v>
      </c>
      <c r="G349" s="1094" t="s">
        <v>1635</v>
      </c>
      <c r="H349" s="411">
        <f>IFERROR(INDEX(绊状态确认!C:C,MATCH($G349,绊状态确认!$B:$B,)),"")</f>
        <v>203</v>
      </c>
      <c r="I349" s="450" t="str">
        <f>IFERROR(INDEX(绊状态确认!D:D,MATCH($G349,绊状态确认!$B:$B,)),"")</f>
        <v>虹</v>
      </c>
      <c r="J349" s="450" t="str">
        <f>IFERROR(INDEX(绊状态确认!E:E,MATCH($G349,绊状态确认!$B:$B,)),"")</f>
        <v>1年级</v>
      </c>
      <c r="K349" s="451" t="str">
        <f>IFERROR(INDEX(绊状态确认!F:F,MATCH($G349,绊状态确认!$B:$B,)),"")</f>
        <v>A·ZU·NA</v>
      </c>
      <c r="L349" s="1094" t="str">
        <f>INDEX('卡片raw data'!E:E,MATCH($D349,'卡片raw data'!$F:$F,))</f>
        <v>活动卡</v>
      </c>
      <c r="M349" s="478">
        <v>44140</v>
      </c>
      <c r="N349" s="479">
        <v>27</v>
      </c>
      <c r="O349" s="1091" t="str">
        <f>INDEX('卡片raw data'!D:D,MATCH($D349,'卡片raw data'!$F:$F,))</f>
        <v>gd</v>
      </c>
      <c r="P349" s="1126">
        <v>5</v>
      </c>
      <c r="Q349" s="1095">
        <f t="shared" si="428"/>
        <v>17313.757346434875</v>
      </c>
      <c r="R349" s="1096">
        <f t="shared" si="429"/>
        <v>0.20100000000000001</v>
      </c>
      <c r="S349" s="1097">
        <f t="shared" si="430"/>
        <v>10068.076979956955</v>
      </c>
      <c r="T349" s="1098">
        <f t="shared" si="431"/>
        <v>0.503</v>
      </c>
      <c r="U349" s="1099">
        <f t="shared" si="432"/>
        <v>382.06517493370512</v>
      </c>
      <c r="V349" s="1100">
        <f t="shared" si="433"/>
        <v>59667.297315026408</v>
      </c>
      <c r="W349" s="1101">
        <f t="shared" si="434"/>
        <v>4507.7214871259994</v>
      </c>
      <c r="X349" s="1096">
        <f t="shared" si="435"/>
        <v>5.1999999999999998E-2</v>
      </c>
      <c r="Y349" s="1097">
        <f t="shared" si="436"/>
        <v>2524.4764439080591</v>
      </c>
      <c r="Z349" s="1102">
        <f t="shared" si="437"/>
        <v>31.473401375225144</v>
      </c>
      <c r="AA349" s="1103">
        <f t="shared" si="438"/>
        <v>7032.1979310340585</v>
      </c>
      <c r="AB349" s="1101">
        <f t="shared" si="439"/>
        <v>4507.7214871259994</v>
      </c>
      <c r="AC349" s="1104">
        <f t="shared" si="440"/>
        <v>5.1999999999999998E-2</v>
      </c>
      <c r="AD349" s="1105">
        <f t="shared" si="441"/>
        <v>-3.8207812500000026E-3</v>
      </c>
      <c r="AE349" s="1128">
        <f t="shared" si="442"/>
        <v>-18.525362318840578</v>
      </c>
      <c r="AF349" s="1130">
        <f t="shared" si="443"/>
        <v>5161.2325586307188</v>
      </c>
      <c r="AG349" s="420">
        <f t="shared" si="444"/>
        <v>98199.774411568971</v>
      </c>
      <c r="AH349" s="420">
        <f t="shared" si="445"/>
        <v>19.026419231459993</v>
      </c>
      <c r="AI349" s="1097">
        <f t="shared" si="446"/>
        <v>88328.546250294341</v>
      </c>
      <c r="AJ349" s="420">
        <f t="shared" si="447"/>
        <v>59667.297315026408</v>
      </c>
      <c r="AK349" s="518">
        <f t="shared" si="448"/>
        <v>28661.248935267933</v>
      </c>
      <c r="AL349" s="1106">
        <f>IF($P349="","N/A",(IF($P349=-1,INDEX('卡片raw data'!S:S,MATCH($D349,'卡片raw data'!$F:$F,)),0)+IF($P349=0,INDEX('卡片raw data'!V:V,MATCH($D349,'卡片raw data'!$F:$F,)),0)+IF($P349=1,INDEX('卡片raw data'!Y:Y,MATCH($D349,'卡片raw data'!$F:$F,)),0)+IF($P349=2,INDEX('卡片raw data'!AB:AB,MATCH($D349,'卡片raw data'!$F:$F,)),0)+IF($P349=3,INDEX('卡片raw data'!AE:AE,MATCH($D349,'卡片raw data'!$F:$F,)),0)+IF($P349=4,INDEX('卡片raw data'!AH:AH,MATCH($D349,'卡片raw data'!$F:$F,)),0)+IF($P349=5,INDEX('卡片raw data'!AK:AK,MATCH($D349,'卡片raw data'!$F:$F,)),0)+INDEX('卡片raw data'!S:S,MATCH($D349,'卡片raw data'!$F:$F,))*(IF($F349="UR",0.04,0.033))*(IF($F349="UR",INDEX(绊状态确认!$S:$S,MATCH($G349,绊状态确认!$B:$B,))/2-40)+IF($F349="SR",INDEX(绊状态确认!$R:$R,MATCH($G349,绊状态确认!$B:$B,))/4-15))+IF($F349="R",INDEX(绊状态确认!$Q:$Q,MATCH($G349,绊状态确认!$B:$B,))/6-40/6)))*(INDEX(绊状态确认!$H:$H,MATCH($G349,绊状态确认!$B:$B,))+INDEX(绊状态确认!J:J,MATCH($G349,绊状态确认!$B:$B,)))</f>
        <v>5309.2244351999989</v>
      </c>
      <c r="AM349" s="1106">
        <f>IF($P349="","N/A",(IF($P349=-1,INDEX('卡片raw data'!T:T,MATCH($D349,'卡片raw data'!$F:$F,)),0)+IF($P349=0,INDEX('卡片raw data'!W:W,MATCH($D349,'卡片raw data'!$F:$F,)),0)+IF($P349=1,INDEX('卡片raw data'!Z:Z,MATCH($D349,'卡片raw data'!$F:$F,)),0)+IF($P349=2,INDEX('卡片raw data'!AC:AC,MATCH($D349,'卡片raw data'!$F:$F,)),0)+IF($P349=3,INDEX('卡片raw data'!AF:AF,MATCH($D349,'卡片raw data'!$F:$F,)),0)+IF($P349=4,INDEX('卡片raw data'!AI:AI,MATCH($D349,'卡片raw data'!$F:$F,)),0)+IF($P349=5,INDEX('卡片raw data'!AL:AL,MATCH($D349,'卡片raw data'!$F:$F,)),0)+INDEX('卡片raw data'!T:T,MATCH($D349,'卡片raw data'!$F:$F,))*(IF($F349="UR",0.04,0.033))*(IF($F349="UR",INDEX(绊状态确认!$S:$S,MATCH($G349,绊状态确认!$B:$B,))/2-40)+IF($F349="SR",INDEX(绊状态确认!$R:$R,MATCH($G349,绊状态确认!$B:$B,))/4-15))+IF($F349="R",INDEX(绊状态确认!$Q:$Q,MATCH($G349,绊状态确认!$B:$B,))/6-40/6)))*(INDEX(绊状态确认!$H:$H,MATCH($G349,绊状态确认!$B:$B,))+INDEX(绊状态确认!K:K,MATCH($G349,绊状态确认!$B:$B,)))</f>
        <v>6853.4465759999994</v>
      </c>
      <c r="AN349" s="1106">
        <f>IF($P349="","N/A",(IF($P349=-1,INDEX('卡片raw data'!U:U,MATCH($D349,'卡片raw data'!$F:$F,)),0)+IF($P349=0,INDEX('卡片raw data'!X:X,MATCH($D349,'卡片raw data'!$F:$F,)),0)+IF($P349=1,INDEX('卡片raw data'!AA:AA,MATCH($D349,'卡片raw data'!$F:$F,)),0)+IF($P349=2,INDEX('卡片raw data'!AD:AD,MATCH($D349,'卡片raw data'!$F:$F,)),0)+IF($P349=3,INDEX('卡片raw data'!AG:AG,MATCH($D349,'卡片raw data'!$F:$F,)),0)+IF($P349=4,INDEX('卡片raw data'!AJ:AJ,MATCH($D349,'卡片raw data'!$F:$F,)),0)+IF($P349=5,INDEX('卡片raw data'!AM:AM,MATCH($D349,'卡片raw data'!$F:$F,)),0)+INDEX('卡片raw data'!U:U,MATCH($D349,'卡片raw data'!$F:$F,))*(IF($F349="UR",0.04,0.033))*(IF($F349="UR",INDEX(绊状态确认!$S:$S,MATCH($G349,绊状态确认!$B:$B,))/2-40)+IF($F349="SR",INDEX(绊状态确认!$R:$R,MATCH($G349,绊状态确认!$B:$B,))/4-15))+IF($F349="R",INDEX(绊状态确认!$Q:$Q,MATCH($G349,绊状态确认!$B:$B,))/6-40/6)))*(INDEX(绊状态确认!$H:$H,MATCH($G349,绊状态确认!$B:$B,))+INDEX(绊状态确认!L:L,MATCH($G349,绊状态确认!$B:$B,)))</f>
        <v>4967.4612263999988</v>
      </c>
      <c r="AO349" s="1107">
        <f t="shared" si="449"/>
        <v>1</v>
      </c>
      <c r="AP349" s="1131">
        <f>1+(INDEX(绊状态确认!$T:$T,MATCH($G349,绊状态确认!$B:$B,))+0.2)*$AO349</f>
        <v>1.3</v>
      </c>
      <c r="AQ349" s="1108">
        <f t="shared" si="450"/>
        <v>17186.7141424</v>
      </c>
      <c r="AR349" s="1097">
        <f>(AM349*(1+$EX$9)+$EX$35)*(1+(INDEX(绊状态确认!$T:$T,MATCH($G349,绊状态确认!$B:$B,))+0.2)*AO349)*IF(J349=$FF$17,1+$FE$17,1)*IF(I349=$FF$14,1+$FE$14,1)</f>
        <v>12058.954576239999</v>
      </c>
      <c r="AS349" s="1097">
        <f>(AN349*(1+$EX$10)+$EX$36)*(1+(INDEX(绊状态确认!$T:$T,MATCH($G349,绊状态确认!$B:$B,))+0.2)*AO349)*IF(J349=$FF$17,1+$FE$17,1)*IF(I349=$FF$14,1+$FE$14,1)</f>
        <v>11482.354533467998</v>
      </c>
      <c r="AT349" s="1093">
        <f>IF(AND(INDEX('卡片raw data'!AK:AK,MATCH($D349,'卡片raw data'!$F:$F,))&lt;INDEX('卡片raw data'!AM:AM,MATCH($D349,'卡片raw data'!$F:$F,)),INDEX('卡片raw data'!AL:AL,MATCH($D349,'卡片raw data'!$F:$F,))&lt;INDEX('卡片raw data'!AM:AM,MATCH($D349,'卡片raw data'!$F:$F,))),1,0)</f>
        <v>0</v>
      </c>
      <c r="AU349" s="1098">
        <f>MIN(AT349*0.15+AS349*0.00003+INDEX(绊状态确认!M:M,MATCH($G349,绊状态确认!$B:$B,)),1)</f>
        <v>0.37447063600404001</v>
      </c>
      <c r="AV349" s="1109">
        <f>(INDEX(绊状态确认!$N:$N,MATCH($G349,绊状态确认!$B:$B,))+1.5)*$EW$21</f>
        <v>2.6599999999999997</v>
      </c>
      <c r="AW349" s="1101">
        <f t="shared" si="451"/>
        <v>14474.369192642209</v>
      </c>
      <c r="AX349" s="1097">
        <f t="shared" si="452"/>
        <v>1032.6716438179626</v>
      </c>
      <c r="AY349" s="1110">
        <f t="shared" si="453"/>
        <v>15507.040836460172</v>
      </c>
      <c r="AZ349" s="429">
        <f t="shared" si="454"/>
        <v>12952.987648639997</v>
      </c>
      <c r="BA349" s="431">
        <f t="shared" si="455"/>
        <v>15543.585178367995</v>
      </c>
      <c r="BB349" s="1097">
        <f>(AM349*(1+$FB$9)+$FB$35)*(1+(INDEX(绊状态确认!$T:$T,MATCH($G349,绊状态确认!$B:$B,))+0.2)*AO349)*IF(J349=$FF$17,1+$FE$17,1)*IF(I349=$FF$14,1+$FE$14,1)*(1+$FE$15)</f>
        <v>12058.954576239999</v>
      </c>
      <c r="BC349" s="1097">
        <f>(AN349*(1+$FB$10)+$FB$36)*(1+(INDEX(绊状态确认!$T:$T,MATCH($G349,绊状态确认!$B:$B,))+0.2)*AO349)*IF(J349=$FF$17,1+$FE$17,1)*IF(I349=$FF$14,1+$FE$14,1)*(1+$FE$15)</f>
        <v>11482.354533467998</v>
      </c>
      <c r="BD349" s="1104">
        <f>MIN(AT349*0.15+BC349*0.00003+INDEX(绊状态确认!M:M,MATCH($G349,绊状态确认!$B:$B,)),1)</f>
        <v>0.37447063600404001</v>
      </c>
      <c r="BE349" s="432">
        <f>(INDEX(绊状态确认!$N:$N,MATCH($G349,绊状态确认!$B:$B,))+1.5)</f>
        <v>1.9</v>
      </c>
      <c r="BF349" s="1139">
        <f t="array" ref="BF349">SUMPRODUCT(IF(AZ349*AP349*$FI$16:$FI$23*$FA$22&gt;=$FI$24,$FI$24,AZ349*AP349*$FI$16:$FI$23*$FA$22),$FJ$16:$FJ$23)</f>
        <v>25763.492433144962</v>
      </c>
      <c r="BG349" s="1125">
        <f t="array" ref="BG349">SUMPRODUCT(IF(BE349*AZ349*AP349*$FI$16:$FI$23*$FA$22&gt;=$FI$24,$FI$24,BE349*AZ349*AP349*$FI$16:$FI$23*$FA$22),$FJ$16:$FJ$23)</f>
        <v>48871.798519468663</v>
      </c>
      <c r="BH349" s="1110">
        <f t="shared" si="456"/>
        <v>11472.29150342221</v>
      </c>
      <c r="BI349" s="1111">
        <f>IF(O349="vo",$EW$26/$EW$24*0.05,0)+IF(O349="sk",-$EW$26/$EW$24*(0.05-INDEX(绊状态确认!W:W,MATCH($G349,绊状态确认!$B:$B,)))+0.05*$EW$28,0)+IF(O349="sp",0.05*$EW$32*$EW$30*(1-$EW$33)-(0.05-INDEX(绊状态确认!V:V,MATCH($G349,绊状态确认!$B:$B,)))*$EW$28,0)+IF(O349="gd",-(0.05-INDEX(绊状态确认!X:X,MATCH($G349,绊状态确认!$B:$B,)))*$EW$32*$EW$30*(1-$EW$33),0)</f>
        <v>-585.00000000000011</v>
      </c>
      <c r="BJ349" s="1097">
        <f>IF(O349="vo",0.05*(1-$FI$26)*$FA$24,0)+IF(O349="sk",-(0.05-INDEX(绊状态确认!W:W,MATCH($G349,绊状态确认!$B:$B,)))*(1-$FI$26)*$FA$24+0.05*$FA$26,0)+IF(O349="sp",0.05*$FA$32*$FA$27*(1-$FA$33)/$FA$30+0.05*$FA$29/$FA$69*$FA$27*(1-$FA$33)-(0.05-INDEX(绊状态确认!V:V,MATCH($G349,绊状态确认!$B:$B,)))*$FA$26,0)+IF(O349="gd",-(0.05-INDEX(绊状态确认!X:X,MATCH($G349,绊状态确认!$B:$B,)))*$FA$32*$FA$27*(1-$FA$33)/$FA$30-(0.05-INDEX(绊状态确认!X:X,MATCH($G349,绊状态确认!$B:$B,)))*$FA$29/$FA$69*$FA$27*(1-$FA$33),0)</f>
        <v>-795.00000000000011</v>
      </c>
      <c r="BK349" s="1110">
        <f>IF(O349="vo",$EW$26/$EW$24*0.05+$EW$26*(-HP($EW$62,$EW$65,$EW$64)+HP($EW$62,$EW$65,(1.05-INDEX(绊状态确认!U:U,MATCH($G349,绊状态确认!$B:$B,)))*$EW$64)),0)+IF(O349="sk",-$EW$26/$EW$24*(0.05-INDEX(绊状态确认!W:W,MATCH($G349,绊状态确认!$B:$B,)))+0.05*$EW$29,0)+IF(O349="sp",0.05*$EW$32*$EW$30*(1-$EW$33)-(0.05-INDEX(绊状态确认!V:V,MATCH($G349,绊状态确认!$B:$B,)))*$EW$29,0)+IF(O349="gd",-(0.05-INDEX(绊状态确认!X:X,MATCH($G349,绊状态确认!$B:$B,)))*$EW$32*$EW$30*(1-$EW$33)+$EW$26*(-HP($EW$62,$EW$65,$EW$64)+HP($EW$62,$EW$65,0.95*$EW$64)),0)</f>
        <v>1009.5947725176144</v>
      </c>
      <c r="BL349" s="1111">
        <f t="shared" si="457"/>
        <v>-1083.3333333333333</v>
      </c>
      <c r="BM349" s="1110">
        <f t="shared" si="458"/>
        <v>-830.55555555555543</v>
      </c>
      <c r="BN349" s="1113">
        <f t="shared" si="459"/>
        <v>3</v>
      </c>
      <c r="BO349" s="1108">
        <f t="shared" si="460"/>
        <v>4507.7214871259994</v>
      </c>
      <c r="BP349" s="1100">
        <f t="shared" si="461"/>
        <v>221.34103209030098</v>
      </c>
      <c r="BQ349" s="1113" t="s">
        <v>133</v>
      </c>
      <c r="BR349" s="1124" t="s">
        <v>171</v>
      </c>
      <c r="BS349" s="1098">
        <f>IF($P349="","N/A",IF($P349=-1,INDEX('卡片raw data'!AX:AX,MATCH($D349,'卡片raw data'!$F:$F,)),0)+IF($L349="party卡",IF($P349=5,INDEX('卡片raw data'!BD:BD,MATCH($D349,'卡片raw data'!$F:$F,)),IF($P349&gt;=3,INDEX('卡片raw data'!BC:BC,MATCH($D349,'卡片raw data'!$F:$F,)),INDEX('卡片raw data'!BB:BB,MATCH($D349,'卡片raw data'!$F:$F,)))),IF(OR(AND($F349="UR",$P349=0),AND($F349="SR",$P349&gt;=0,$P349&lt;=2),AND($F349="R",$P349&gt;=0,$P349&lt;4)),INDEX('卡片raw data'!AZ:AZ,MATCH($D349,'卡片raw data'!$F:$F,)),0)+IF(OR(AND($F349="UR",$P349&gt;=1,$P349&lt;=4),AND($F349="SR",$P349&lt;=4,$P349&gt;=3),AND($F349="R",$P349=4)),INDEX('卡片raw data'!BA:BA,MATCH($D349,'卡片raw data'!$F:$F,)),0)+IF($P349=5,INDEX('卡片raw data'!BB:BB,MATCH($D349,'卡片raw data'!$F:$F,)),0)))</f>
        <v>3.2000000000000001E-2</v>
      </c>
      <c r="BT349" s="1101">
        <f t="shared" si="462"/>
        <v>0</v>
      </c>
      <c r="BU349" s="1097">
        <f t="shared" si="463"/>
        <v>0</v>
      </c>
      <c r="BV349" s="1097">
        <f t="shared" si="464"/>
        <v>0</v>
      </c>
      <c r="BW349" s="1112">
        <f t="shared" si="465"/>
        <v>1.498285714285714</v>
      </c>
      <c r="BX349" s="1100">
        <f t="shared" si="466"/>
        <v>117.00848980993118</v>
      </c>
      <c r="BY349" s="1110">
        <f t="shared" si="467"/>
        <v>117.00848980993118</v>
      </c>
      <c r="BZ349" s="1107" t="s">
        <v>569</v>
      </c>
      <c r="CA349" s="1124"/>
      <c r="CB349" s="1098">
        <f>IF($P349="","N/A",IF($P349=-1,INDEX('卡片raw data'!BE:BE,MATCH($D349,'卡片raw data'!$F:$F,)),0)+IF($L349="party卡",IF($P349=5,INDEX('卡片raw data'!BK:BK,MATCH($D349,'卡片raw data'!$F:$F,)),IF($P349&gt;=3,INDEX('卡片raw data'!BJ:BJ,MATCH($D349,'卡片raw data'!$F:$F,)),INDEX('卡片raw data'!BI:BI,MATCH($D349,'卡片raw data'!$F:$F,)))),IF(OR(AND($F349="UR",$P349=0),AND($F349="SR",$P349&gt;=0,$P349&lt;=2),AND($F349="R",$P349&gt;=0,$P349&lt;4)),INDEX('卡片raw data'!BG:BG,MATCH($D349,'卡片raw data'!$F:$F,)),0)+IF(OR(AND($F349="UR",$P349&gt;=1,$P349&lt;=4),AND($F349="SR",$P349&lt;=4,$P349&gt;=3),AND($F349="R",$P349=4)),INDEX('卡片raw data'!BH:BH,MATCH($D349,'卡片raw data'!$F:$F,)),0)+IF($P349=5,INDEX('卡片raw data'!BI:BI,MATCH($D349,'卡片raw data'!$F:$F,)),0)))</f>
        <v>0</v>
      </c>
      <c r="CC349" s="1101">
        <f t="shared" si="468"/>
        <v>0</v>
      </c>
      <c r="CD349" s="1097">
        <f>IF(BZ349="ap",CB349*(1-$FI$26)*$FB$5/$FB$11*(+IF(CA349="全员",$FA$24,0)+IF(CA349="同作战",$FA$24,0)+IF(CA349="仲间",$FA$24*2/3,0)+IF(CA349="同属性",$FA$24*$FA$37/3,0)+IF(CA349="同年级",$FA$24*$FA$40/3,0)+IF(CA349="同学校",$FA$24*$FA$43/3,0)+IF(CA349="同小队",$FA$24*$FA$46/3,0)+IF(CA349="同type",$FA$24*INDEX($FB$49:$FB$52,MATCH(X349,$FA$49:$FA$52,))/3,0)+IF(CA349="自身",#REF!/3,0)),0)+IF(BZ349="te",CB349*(1-$FI$27)*($FA$20-1)*$FB$7/$FB$13*(+IF(CA349="全员",$FA$19*$FA$24/(1+($FA$20-1)*$FA$19),0)+IF(CA349="同作战",$FA$19*$FA$24/(1+($FA$20-1)*$FA$19),0)+IF(CA349="仲间",$FA$19*$FA$24*2/3/(1+($FA$20-1)*$FA$19),0)+IF(CA349="同属性",$FA$19*$FA$24*$FA$37/3/(1+($FA$20-1)*$FA$19),0)+IF(CA349="同年级",$FA$19*$FA$24*$FA$40/3/(1+($FA$20-1)*$FA$19),0)+IF(CA349="同学校",$FA$19*$FA$24*$FA$43/3/(1+($FA$20-1)*$FA$19),0)+IF(CA349="同小队",$FA$19*$FA$24*$FA$46/3/(1+($FA$20-1)*$FA$19),0)+IF(CA349="同type",$FA$19*$FA$24*INDEX($FB$49:$FB$52,MATCH(X349,$FA$49:$FA$52,))/3/(1+($FA$20-1)*$FA$19),0)+IF(CA349="自身",$FA$19*#REF!/3/(1+(BH349-1)*$BD349),0)),0)</f>
        <v>0</v>
      </c>
      <c r="CE349" s="1097">
        <f t="shared" si="469"/>
        <v>0</v>
      </c>
      <c r="CF349" s="1112">
        <f t="shared" si="470"/>
        <v>0</v>
      </c>
      <c r="CG349" s="1100">
        <f t="shared" si="471"/>
        <v>0</v>
      </c>
      <c r="CH349" s="1110">
        <f t="shared" si="472"/>
        <v>0</v>
      </c>
      <c r="CI349" s="1113" t="s">
        <v>164</v>
      </c>
      <c r="CJ349" s="1114">
        <v>1</v>
      </c>
      <c r="CK349" s="1115" t="s">
        <v>635</v>
      </c>
      <c r="CL349" s="1115" t="s">
        <v>1944</v>
      </c>
      <c r="CM349" s="1119">
        <v>6.6000000000000003E-2</v>
      </c>
      <c r="CN349" s="1115"/>
      <c r="CO349" s="1115"/>
      <c r="CP349" s="1116">
        <f t="shared" si="473"/>
        <v>17.054807186396573</v>
      </c>
      <c r="CQ349" s="1116">
        <f t="shared" si="474"/>
        <v>26.529700067728001</v>
      </c>
      <c r="CR349" s="1117">
        <f t="shared" si="475"/>
        <v>17.054807186396573</v>
      </c>
      <c r="CS349" s="1118">
        <f t="shared" si="476"/>
        <v>0</v>
      </c>
      <c r="CT349" s="1109">
        <f t="shared" si="477"/>
        <v>0</v>
      </c>
      <c r="CU349" s="1101">
        <f t="shared" si="478"/>
        <v>0</v>
      </c>
      <c r="CV349" s="1108">
        <f t="shared" si="479"/>
        <v>0</v>
      </c>
      <c r="CW349" s="1097">
        <f t="shared" si="480"/>
        <v>0</v>
      </c>
      <c r="CX349" s="1097">
        <f t="shared" si="481"/>
        <v>1374.7963102801648</v>
      </c>
      <c r="CY349" s="1110">
        <f t="shared" si="482"/>
        <v>1374.7963102801648</v>
      </c>
      <c r="CZ349" s="437"/>
      <c r="DA349" s="438"/>
      <c r="DB349" s="439" t="s">
        <v>569</v>
      </c>
      <c r="DC349" s="439"/>
      <c r="DD349" s="443"/>
      <c r="DE349" s="411"/>
      <c r="DF349" s="411"/>
      <c r="DG349" s="1116">
        <f t="shared" si="483"/>
        <v>0</v>
      </c>
      <c r="DH349" s="1116">
        <f t="shared" si="484"/>
        <v>0</v>
      </c>
      <c r="DI349" s="1116">
        <f t="shared" si="485"/>
        <v>0</v>
      </c>
      <c r="DJ349" s="442">
        <f t="shared" si="486"/>
        <v>0</v>
      </c>
      <c r="DK349" s="1109">
        <f t="shared" si="487"/>
        <v>0</v>
      </c>
      <c r="DL349" s="1101">
        <f t="shared" si="488"/>
        <v>0</v>
      </c>
      <c r="DM349" s="1097">
        <f t="shared" si="489"/>
        <v>0</v>
      </c>
      <c r="DN349" s="1097">
        <f t="shared" si="490"/>
        <v>0</v>
      </c>
      <c r="DO349" s="1097">
        <f t="shared" si="491"/>
        <v>0</v>
      </c>
      <c r="DP349" s="1110">
        <f t="shared" si="492"/>
        <v>0</v>
      </c>
      <c r="DQ349" s="1113" t="s">
        <v>636</v>
      </c>
      <c r="DR349" s="1120">
        <f t="shared" si="493"/>
        <v>0.3</v>
      </c>
      <c r="DS349" s="1124"/>
      <c r="DT349" s="1093" t="s">
        <v>133</v>
      </c>
      <c r="DU349" s="1093"/>
      <c r="DV349" s="1098">
        <f>IF($P349="","N/A",IF(P349=-1,INDEX('卡片raw data'!AN:AN,MATCH(D349,'卡片raw data'!$F:$F,)),0)+IF(AND(L349&lt;&gt;"party卡",P349&lt;=2,P349&gt;=0),INDEX('卡片raw data'!AP:AP,MATCH(D349,'卡片raw data'!$F:$F,)),0)+IF(OR(AND(L349="party卡",P349&lt;=1),AND(P349&lt;=4,L349&lt;&gt;"party卡",P349&gt;=3)),INDEX('卡片raw data'!AQ:AQ,MATCH(D349,'卡片raw data'!$F:$F,)),0)+IF(OR(P349=5,AND(L349="party卡",P349&gt;=2)),INDEX('卡片raw data'!AR:AR,MATCH(D349,'卡片raw data'!$F:$F,)),0))</f>
        <v>0.27</v>
      </c>
      <c r="DW349" s="1098">
        <f t="shared" si="494"/>
        <v>0.3</v>
      </c>
      <c r="DX349" s="1098">
        <f t="shared" si="495"/>
        <v>0.3</v>
      </c>
      <c r="DY349" s="1097">
        <f t="shared" si="496"/>
        <v>325.59177355847999</v>
      </c>
      <c r="DZ349" s="1097">
        <f t="shared" si="497"/>
        <v>281.63688412808517</v>
      </c>
      <c r="EA349" s="1098">
        <f t="shared" si="498"/>
        <v>0</v>
      </c>
      <c r="EB349" s="1121">
        <f t="shared" si="499"/>
        <v>0</v>
      </c>
      <c r="EC349" s="1101">
        <f t="shared" si="500"/>
        <v>0</v>
      </c>
      <c r="ED349" s="1097">
        <f t="shared" si="501"/>
        <v>0</v>
      </c>
      <c r="EE349" s="1110">
        <f t="shared" si="502"/>
        <v>38234.468752165856</v>
      </c>
      <c r="EF349" s="1115" t="s">
        <v>569</v>
      </c>
      <c r="EG349" s="1120">
        <f t="shared" si="503"/>
        <v>0.3</v>
      </c>
      <c r="EH349" s="1124"/>
      <c r="EI349" s="1093"/>
      <c r="EJ349" s="1093"/>
      <c r="EK349" s="1097">
        <f>IF($P349="","N/A",IF(P349=-1,INDEX('卡片raw data'!AS:AS,MATCH(D349,'卡片raw data'!$F:$F,)),0)+IF(AND(L349&lt;&gt;"party卡",P349&lt;=2,P349&gt;=0),INDEX('卡片raw data'!AU:AU,MATCH(D349,'卡片raw data'!$F:$F,)),0)+IF(OR(AND(L349="party卡",P349&lt;=1),AND(P349&lt;=4,L349&lt;&gt;"party卡",P349&gt;=3)),INDEX('卡片raw data'!AV:AV,MATCH(D349,'卡片raw data'!$F:$F,)),0)+IF(OR(P349=5,AND(L349="party卡",P349&gt;=2)),INDEX('卡片raw data'!AW:AW,MATCH(D349,'卡片raw data'!$F:$F,)),0))</f>
        <v>0</v>
      </c>
      <c r="EL349" s="1098">
        <f t="shared" si="504"/>
        <v>0.3</v>
      </c>
      <c r="EM349" s="1098">
        <f t="shared" si="505"/>
        <v>0.3</v>
      </c>
      <c r="EN349" s="1097">
        <f t="shared" si="506"/>
        <v>0</v>
      </c>
      <c r="EO349" s="1125">
        <f t="shared" si="507"/>
        <v>0</v>
      </c>
      <c r="EP349" s="1098">
        <f t="shared" si="508"/>
        <v>0</v>
      </c>
      <c r="EQ349" s="1121">
        <f t="shared" si="509"/>
        <v>0</v>
      </c>
      <c r="ER349" s="1101">
        <f t="shared" si="510"/>
        <v>0</v>
      </c>
      <c r="ES349" s="1097">
        <f t="shared" si="511"/>
        <v>0</v>
      </c>
      <c r="ET349" s="1122">
        <f t="shared" si="512"/>
        <v>0</v>
      </c>
    </row>
    <row r="350" spans="2:150" ht="16.5" customHeight="1">
      <c r="B350" s="1123" t="str">
        <f>INDEX('卡片raw data'!B:B,MATCH($D350,'卡片raw data'!$F:$F,))</f>
        <v>学渣千</v>
      </c>
      <c r="C350" s="449" t="s">
        <v>658</v>
      </c>
      <c r="D350" s="408">
        <v>347</v>
      </c>
      <c r="E350" s="477">
        <v>301013002</v>
      </c>
      <c r="F350" s="1090" t="str">
        <f>INDEX('卡片raw data'!C:C,MATCH($D350,'卡片raw data'!$F:$F,))</f>
        <v>UR</v>
      </c>
      <c r="G350" s="1094" t="s">
        <v>1641</v>
      </c>
      <c r="H350" s="411">
        <f>IFERROR(INDEX(绊状态确认!C:C,MATCH($G350,绊状态确认!$B:$B,)),"")</f>
        <v>101</v>
      </c>
      <c r="I350" s="450" t="str">
        <f>IFERROR(INDEX(绊状态确认!D:D,MATCH($G350,绊状态确认!$B:$B,)),"")</f>
        <v>水</v>
      </c>
      <c r="J350" s="450" t="str">
        <f>IFERROR(INDEX(绊状态确认!E:E,MATCH($G350,绊状态确认!$B:$B,)),"")</f>
        <v>2年级</v>
      </c>
      <c r="K350" s="451" t="str">
        <f>IFERROR(INDEX(绊状态确认!F:F,MATCH($G350,绊状态确认!$B:$B,)),"")</f>
        <v>CYaRon!</v>
      </c>
      <c r="L350" s="1094" t="str">
        <f>INDEX('卡片raw data'!E:E,MATCH($D350,'卡片raw data'!$F:$F,))</f>
        <v>卡池卡</v>
      </c>
      <c r="M350" s="478">
        <v>44149</v>
      </c>
      <c r="N350" s="479">
        <v>27.5</v>
      </c>
      <c r="O350" s="1091" t="str">
        <f>INDEX('卡片raw data'!D:D,MATCH($D350,'卡片raw data'!$F:$F,))</f>
        <v>sk</v>
      </c>
      <c r="P350" s="1126">
        <v>5</v>
      </c>
      <c r="Q350" s="1095">
        <f t="shared" si="428"/>
        <v>42127.832149497124</v>
      </c>
      <c r="R350" s="1096">
        <f t="shared" si="429"/>
        <v>0.48899999999999999</v>
      </c>
      <c r="S350" s="1097">
        <f t="shared" si="430"/>
        <v>19731.221747802661</v>
      </c>
      <c r="T350" s="1098">
        <f t="shared" si="431"/>
        <v>0.98599999999999999</v>
      </c>
      <c r="U350" s="1099">
        <f t="shared" si="432"/>
        <v>967.07256681301158</v>
      </c>
      <c r="V350" s="1100">
        <f t="shared" si="433"/>
        <v>93825.156706932321</v>
      </c>
      <c r="W350" s="1101">
        <f t="shared" si="434"/>
        <v>4507.7214871259994</v>
      </c>
      <c r="X350" s="1096">
        <f t="shared" si="435"/>
        <v>5.1999999999999998E-2</v>
      </c>
      <c r="Y350" s="1097">
        <f t="shared" si="436"/>
        <v>1262.2934678114461</v>
      </c>
      <c r="Z350" s="1102">
        <f t="shared" si="437"/>
        <v>15.703003199742856</v>
      </c>
      <c r="AA350" s="1103">
        <f t="shared" si="438"/>
        <v>5770.0149549374455</v>
      </c>
      <c r="AB350" s="1101">
        <f t="shared" si="439"/>
        <v>6663.0630415636879</v>
      </c>
      <c r="AC350" s="1104">
        <f t="shared" si="440"/>
        <v>7.6999999999999999E-2</v>
      </c>
      <c r="AD350" s="1105">
        <f t="shared" si="441"/>
        <v>2.1769318181818181E-2</v>
      </c>
      <c r="AE350" s="1128">
        <f t="shared" si="442"/>
        <v>11.953757704745847</v>
      </c>
      <c r="AF350" s="1130">
        <f t="shared" si="443"/>
        <v>11531.752286221437</v>
      </c>
      <c r="AG350" s="420">
        <f t="shared" si="444"/>
        <v>101776.33868024001</v>
      </c>
      <c r="AH350" s="420">
        <f t="shared" si="445"/>
        <v>8.825747913597322</v>
      </c>
      <c r="AI350" s="1097">
        <f t="shared" si="446"/>
        <v>114334.42973520109</v>
      </c>
      <c r="AJ350" s="420">
        <f t="shared" si="447"/>
        <v>93825.156706932321</v>
      </c>
      <c r="AK350" s="518">
        <f t="shared" si="448"/>
        <v>20509.27302826877</v>
      </c>
      <c r="AL350" s="1106">
        <f>IF($P350="","N/A",(IF($P350=-1,INDEX('卡片raw data'!S:S,MATCH($D350,'卡片raw data'!$F:$F,)),0)+IF($P350=0,INDEX('卡片raw data'!V:V,MATCH($D350,'卡片raw data'!$F:$F,)),0)+IF($P350=1,INDEX('卡片raw data'!Y:Y,MATCH($D350,'卡片raw data'!$F:$F,)),0)+IF($P350=2,INDEX('卡片raw data'!AB:AB,MATCH($D350,'卡片raw data'!$F:$F,)),0)+IF($P350=3,INDEX('卡片raw data'!AE:AE,MATCH($D350,'卡片raw data'!$F:$F,)),0)+IF($P350=4,INDEX('卡片raw data'!AH:AH,MATCH($D350,'卡片raw data'!$F:$F,)),0)+IF($P350=5,INDEX('卡片raw data'!AK:AK,MATCH($D350,'卡片raw data'!$F:$F,)),0)+INDEX('卡片raw data'!S:S,MATCH($D350,'卡片raw data'!$F:$F,))*(IF($F350="UR",0.04,0.033))*(IF($F350="UR",INDEX(绊状态确认!$S:$S,MATCH($G350,绊状态确认!$B:$B,))/2-40)+IF($F350="SR",INDEX(绊状态确认!$R:$R,MATCH($G350,绊状态确认!$B:$B,))/4-15))+IF($F350="R",INDEX(绊状态确认!$Q:$Q,MATCH($G350,绊状态确认!$B:$B,))/6-40/6)))*(INDEX(绊状态确认!$H:$H,MATCH($G350,绊状态确认!$B:$B,))+INDEX(绊状态确认!J:J,MATCH($G350,绊状态确认!$B:$B,)))</f>
        <v>13133.647535999999</v>
      </c>
      <c r="AM350" s="1106">
        <f>IF($P350="","N/A",(IF($P350=-1,INDEX('卡片raw data'!T:T,MATCH($D350,'卡片raw data'!$F:$F,)),0)+IF($P350=0,INDEX('卡片raw data'!W:W,MATCH($D350,'卡片raw data'!$F:$F,)),0)+IF($P350=1,INDEX('卡片raw data'!Z:Z,MATCH($D350,'卡片raw data'!$F:$F,)),0)+IF($P350=2,INDEX('卡片raw data'!AC:AC,MATCH($D350,'卡片raw data'!$F:$F,)),0)+IF($P350=3,INDEX('卡片raw data'!AF:AF,MATCH($D350,'卡片raw data'!$F:$F,)),0)+IF($P350=4,INDEX('卡片raw data'!AI:AI,MATCH($D350,'卡片raw data'!$F:$F,)),0)+IF($P350=5,INDEX('卡片raw data'!AL:AL,MATCH($D350,'卡片raw data'!$F:$F,)),0)+INDEX('卡片raw data'!T:T,MATCH($D350,'卡片raw data'!$F:$F,))*(IF($F350="UR",0.04,0.033))*(IF($F350="UR",INDEX(绊状态确认!$S:$S,MATCH($G350,绊状态确认!$B:$B,))/2-40)+IF($F350="SR",INDEX(绊状态确认!$R:$R,MATCH($G350,绊状态确认!$B:$B,))/4-15))+IF($F350="R",INDEX(绊状态确认!$Q:$Q,MATCH($G350,绊状态确认!$B:$B,))/6-40/6)))*(INDEX(绊状态确认!$H:$H,MATCH($G350,绊状态确认!$B:$B,))+INDEX(绊状态确认!K:K,MATCH($G350,绊状态确认!$B:$B,)))</f>
        <v>8756.1438239999989</v>
      </c>
      <c r="AN350" s="1106">
        <f>IF($P350="","N/A",(IF($P350=-1,INDEX('卡片raw data'!U:U,MATCH($D350,'卡片raw data'!$F:$F,)),0)+IF($P350=0,INDEX('卡片raw data'!X:X,MATCH($D350,'卡片raw data'!$F:$F,)),0)+IF($P350=1,INDEX('卡片raw data'!AA:AA,MATCH($D350,'卡片raw data'!$F:$F,)),0)+IF($P350=2,INDEX('卡片raw data'!AD:AD,MATCH($D350,'卡片raw data'!$F:$F,)),0)+IF($P350=3,INDEX('卡片raw data'!AG:AG,MATCH($D350,'卡片raw data'!$F:$F,)),0)+IF($P350=4,INDEX('卡片raw data'!AJ:AJ,MATCH($D350,'卡片raw data'!$F:$F,)),0)+IF($P350=5,INDEX('卡片raw data'!AM:AM,MATCH($D350,'卡片raw data'!$F:$F,)),0)+INDEX('卡片raw data'!U:U,MATCH($D350,'卡片raw data'!$F:$F,))*(IF($F350="UR",0.04,0.033))*(IF($F350="UR",INDEX(绊状态确认!$S:$S,MATCH($G350,绊状态确认!$B:$B,))/2-40)+IF($F350="SR",INDEX(绊状态确认!$R:$R,MATCH($G350,绊状态确认!$B:$B,))/4-15))+IF($F350="R",INDEX(绊状态确认!$Q:$Q,MATCH($G350,绊状态确认!$B:$B,))/6-40/6)))*(INDEX(绊状态确认!$H:$H,MATCH($G350,绊状态确认!$B:$B,))+INDEX(绊状态确认!L:L,MATCH($G350,绊状态确认!$B:$B,)))</f>
        <v>11786.104415999998</v>
      </c>
      <c r="AO350" s="1107">
        <f t="shared" si="449"/>
        <v>1</v>
      </c>
      <c r="AP350" s="1131">
        <f>1+(INDEX(绊状态确认!$T:$T,MATCH($G350,绊状态确认!$B:$B,))+0.2)*$AO350</f>
        <v>1.3</v>
      </c>
      <c r="AQ350" s="1108">
        <f t="shared" si="450"/>
        <v>37725.824781999996</v>
      </c>
      <c r="AR350" s="1097">
        <f>(AM350*(1+$EX$9)+$EX$35)*(1+(INDEX(绊状态确认!$T:$T,MATCH($G350,绊状态确认!$B:$B,))+0.2)*AO350)*IF(J350=$FF$17,1+$FE$17,1)*IF(I350=$FF$14,1+$FE$14,1)</f>
        <v>14656.136319759999</v>
      </c>
      <c r="AS350" s="1097">
        <f>(AN350*(1+$EX$10)+$EX$36)*(1+(INDEX(绊状态确认!$T:$T,MATCH($G350,绊状态确认!$B:$B,))+0.2)*AO350)*IF(J350=$FF$17,1+$FE$17,1)*IF(I350=$FF$14,1+$FE$14,1)</f>
        <v>21676.226101919998</v>
      </c>
      <c r="AT350" s="1093">
        <f>IF(AND(INDEX('卡片raw data'!AK:AK,MATCH($D350,'卡片raw data'!$F:$F,))&lt;INDEX('卡片raw data'!AM:AM,MATCH($D350,'卡片raw data'!$F:$F,)),INDEX('卡片raw data'!AL:AL,MATCH($D350,'卡片raw data'!$F:$F,))&lt;INDEX('卡片raw data'!AM:AM,MATCH($D350,'卡片raw data'!$F:$F,))),1,0)</f>
        <v>0</v>
      </c>
      <c r="AU350" s="1098">
        <f>MIN(AT350*0.15+AS350*0.00003+INDEX(绊状态确认!M:M,MATCH($G350,绊状态确认!$B:$B,)),1)</f>
        <v>0.68028678305759993</v>
      </c>
      <c r="AV350" s="1109">
        <f>(INDEX(绊状态确认!$N:$N,MATCH($G350,绊状态确认!$B:$B,))+1.5)*$EW$21</f>
        <v>2.6599999999999997</v>
      </c>
      <c r="AW350" s="1101">
        <f t="shared" si="451"/>
        <v>41718.441742903371</v>
      </c>
      <c r="AX350" s="1097">
        <f t="shared" si="452"/>
        <v>1262.2934678114464</v>
      </c>
      <c r="AY350" s="1110">
        <f t="shared" si="453"/>
        <v>42980.735210714818</v>
      </c>
      <c r="AZ350" s="429">
        <f t="shared" si="454"/>
        <v>28210.612695199998</v>
      </c>
      <c r="BA350" s="431">
        <f t="shared" si="455"/>
        <v>33852.735234239997</v>
      </c>
      <c r="BB350" s="1097">
        <f>(AM350*(1+$FB$9)+$FB$35)*(1+(INDEX(绊状态确认!$T:$T,MATCH($G350,绊状态确认!$B:$B,))+0.2)*AO350)*IF(J350=$FF$17,1+$FE$17,1)*IF(I350=$FF$14,1+$FE$14,1)*(1+$FE$15)</f>
        <v>14656.136319759999</v>
      </c>
      <c r="BC350" s="1097">
        <f>(AN350*(1+$FB$10)+$FB$36)*(1+(INDEX(绊状态确认!$T:$T,MATCH($G350,绊状态确认!$B:$B,))+0.2)*AO350)*IF(J350=$FF$17,1+$FE$17,1)*IF(I350=$FF$14,1+$FE$14,1)*(1+$FE$15)</f>
        <v>21676.226101919998</v>
      </c>
      <c r="BD350" s="1104">
        <f>MIN(AT350*0.15+BC350*0.00003+INDEX(绊状态确认!M:M,MATCH($G350,绊状态确认!$B:$B,)),1)</f>
        <v>0.68028678305759993</v>
      </c>
      <c r="BE350" s="432">
        <f>(INDEX(绊状态确认!$N:$N,MATCH($G350,绊状态确认!$B:$B,))+1.5)</f>
        <v>1.9</v>
      </c>
      <c r="BF350" s="1139">
        <f t="array" ref="BF350">SUMPRODUCT(IF(AZ350*AP350*$FI$16:$FI$23*$FA$22&gt;=$FI$24,$FI$24,AZ350*AP350*$FI$16:$FI$23*$FA$22),$FJ$16:$FJ$23)</f>
        <v>54307.058538722398</v>
      </c>
      <c r="BG350" s="1125">
        <f t="array" ref="BG350">SUMPRODUCT(IF(BE350*AZ350*AP350*$FI$16:$FI$23*$FA$22&gt;=$FI$24,$FI$24,BE350*AZ350*AP350*$FI$16:$FI$23*$FA$22),$FJ$16:$FJ$23)</f>
        <v>60000</v>
      </c>
      <c r="BH350" s="1110">
        <f t="shared" si="456"/>
        <v>19393.297123850058</v>
      </c>
      <c r="BI350" s="1111">
        <f>IF(O350="vo",$EW$26/$EW$24*0.05,0)+IF(O350="sk",-$EW$26/$EW$24*(0.05-INDEX(绊状态确认!W:W,MATCH($G350,绊状态确认!$B:$B,)))+0.05*$EW$28,0)+IF(O350="sp",0.05*$EW$32*$EW$30*(1-$EW$33)-(0.05-INDEX(绊状态确认!V:V,MATCH($G350,绊状态确认!$B:$B,)))*$EW$28,0)+IF(O350="gd",-(0.05-INDEX(绊状态确认!X:X,MATCH($G350,绊状态确认!$B:$B,)))*$EW$32*$EW$30*(1-$EW$33),0)</f>
        <v>-6253.6726349699375</v>
      </c>
      <c r="BJ350" s="1097">
        <f>IF(O350="vo",0.05*(1-$FI$26)*$FA$24,0)+IF(O350="sk",-(0.05-INDEX(绊状态确认!W:W,MATCH($G350,绊状态确认!$B:$B,)))*(1-$FI$26)*$FA$24+0.05*$FA$26,0)+IF(O350="sp",0.05*$FA$32*$FA$27*(1-$FA$33)/$FA$30+0.05*$FA$29/$FA$69*$FA$27*(1-$FA$33)-(0.05-INDEX(绊状态确认!V:V,MATCH($G350,绊状态确认!$B:$B,)))*$FA$26,0)+IF(O350="gd",-(0.05-INDEX(绊状态确认!X:X,MATCH($G350,绊状态确认!$B:$B,)))*$FA$32*$FA$27*(1-$FA$33)/$FA$30-(0.05-INDEX(绊状态确认!X:X,MATCH($G350,绊状态确认!$B:$B,)))*$FA$29/$FA$69*$FA$27*(1-$FA$33),0)</f>
        <v>20.459096812499922</v>
      </c>
      <c r="BK350" s="1110">
        <f>IF(O350="vo",$EW$26/$EW$24*0.05+$EW$26*(-HP($EW$62,$EW$65,$EW$64)+HP($EW$62,$EW$65,(1.05-INDEX(绊状态确认!U:U,MATCH($G350,绊状态确认!$B:$B,)))*$EW$64)),0)+IF(O350="sk",-$EW$26/$EW$24*(0.05-INDEX(绊状态确认!W:W,MATCH($G350,绊状态确认!$B:$B,)))+0.05*$EW$29,0)+IF(O350="sp",0.05*$EW$32*$EW$30*(1-$EW$33)-(0.05-INDEX(绊状态确认!V:V,MATCH($G350,绊状态确认!$B:$B,)))*$EW$29,0)+IF(O350="gd",-(0.05-INDEX(绊状态确认!X:X,MATCH($G350,绊状态确认!$B:$B,)))*$EW$32*$EW$30*(1-$EW$33)+$EW$26*(-HP($EW$62,$EW$65,$EW$64)+HP($EW$62,$EW$65,0.95*$EW$64)),0)</f>
        <v>-4253.6726349699375</v>
      </c>
      <c r="BL350" s="1111">
        <f t="shared" si="457"/>
        <v>0</v>
      </c>
      <c r="BM350" s="1110">
        <f t="shared" si="458"/>
        <v>0</v>
      </c>
      <c r="BN350" s="1113">
        <f t="shared" si="459"/>
        <v>3</v>
      </c>
      <c r="BO350" s="1108">
        <f t="shared" si="460"/>
        <v>4507.7214871259994</v>
      </c>
      <c r="BP350" s="1100">
        <f t="shared" si="461"/>
        <v>221.34103209030098</v>
      </c>
      <c r="BQ350" s="1113" t="s">
        <v>134</v>
      </c>
      <c r="BR350" s="1124" t="s">
        <v>166</v>
      </c>
      <c r="BS350" s="1098">
        <f>IF($P350="","N/A",IF($P350=-1,INDEX('卡片raw data'!AX:AX,MATCH($D350,'卡片raw data'!$F:$F,)),0)+IF($L350="party卡",IF($P350=5,INDEX('卡片raw data'!BD:BD,MATCH($D350,'卡片raw data'!$F:$F,)),IF($P350&gt;=3,INDEX('卡片raw data'!BC:BC,MATCH($D350,'卡片raw data'!$F:$F,)),INDEX('卡片raw data'!BB:BB,MATCH($D350,'卡片raw data'!$F:$F,)))),IF(OR(AND($F350="UR",$P350=0),AND($F350="SR",$P350&gt;=0,$P350&lt;=2),AND($F350="R",$P350&gt;=0,$P350&lt;4)),INDEX('卡片raw data'!AZ:AZ,MATCH($D350,'卡片raw data'!$F:$F,)),0)+IF(OR(AND($F350="UR",$P350&gt;=1,$P350&lt;=4),AND($F350="SR",$P350&lt;=4,$P350&gt;=3),AND($F350="R",$P350=4)),INDEX('卡片raw data'!BA:BA,MATCH($D350,'卡片raw data'!$F:$F,)),0)+IF($P350=5,INDEX('卡片raw data'!BB:BB,MATCH($D350,'卡片raw data'!$F:$F,)),0)))</f>
        <v>0.09</v>
      </c>
      <c r="BT350" s="1101">
        <f t="shared" si="462"/>
        <v>1408.6495643492494</v>
      </c>
      <c r="BU350" s="1097">
        <f t="shared" si="463"/>
        <v>42.286802343551884</v>
      </c>
      <c r="BV350" s="1097">
        <f t="shared" si="464"/>
        <v>0</v>
      </c>
      <c r="BW350" s="1112">
        <f t="shared" si="465"/>
        <v>0</v>
      </c>
      <c r="BX350" s="1100">
        <f t="shared" si="466"/>
        <v>1408.6495643492494</v>
      </c>
      <c r="BY350" s="1110">
        <f t="shared" si="467"/>
        <v>0</v>
      </c>
      <c r="BZ350" s="1107" t="s">
        <v>569</v>
      </c>
      <c r="CA350" s="1124"/>
      <c r="CB350" s="1098">
        <f>IF($P350="","N/A",IF($P350=-1,INDEX('卡片raw data'!BE:BE,MATCH($D350,'卡片raw data'!$F:$F,)),0)+IF($L350="party卡",IF($P350=5,INDEX('卡片raw data'!BK:BK,MATCH($D350,'卡片raw data'!$F:$F,)),IF($P350&gt;=3,INDEX('卡片raw data'!BJ:BJ,MATCH($D350,'卡片raw data'!$F:$F,)),INDEX('卡片raw data'!BI:BI,MATCH($D350,'卡片raw data'!$F:$F,)))),IF(OR(AND($F350="UR",$P350=0),AND($F350="SR",$P350&gt;=0,$P350&lt;=2),AND($F350="R",$P350&gt;=0,$P350&lt;4)),INDEX('卡片raw data'!BG:BG,MATCH($D350,'卡片raw data'!$F:$F,)),0)+IF(OR(AND($F350="UR",$P350&gt;=1,$P350&lt;=4),AND($F350="SR",$P350&lt;=4,$P350&gt;=3),AND($F350="R",$P350=4)),INDEX('卡片raw data'!BH:BH,MATCH($D350,'卡片raw data'!$F:$F,)),0)+IF($P350=5,INDEX('卡片raw data'!BI:BI,MATCH($D350,'卡片raw data'!$F:$F,)),0)))</f>
        <v>0</v>
      </c>
      <c r="CC350" s="1101">
        <f t="shared" si="468"/>
        <v>0</v>
      </c>
      <c r="CD350" s="1097">
        <f>IF(BZ350="ap",CB350*(1-$FI$26)*$FB$5/$FB$11*(+IF(CA350="全员",$FA$24,0)+IF(CA350="同作战",$FA$24,0)+IF(CA350="仲间",$FA$24*2/3,0)+IF(CA350="同属性",$FA$24*$FA$37/3,0)+IF(CA350="同年级",$FA$24*$FA$40/3,0)+IF(CA350="同学校",$FA$24*$FA$43/3,0)+IF(CA350="同小队",$FA$24*$FA$46/3,0)+IF(CA350="同type",$FA$24*INDEX($FB$49:$FB$52,MATCH(X350,$FA$49:$FA$52,))/3,0)+IF(CA350="自身",#REF!/3,0)),0)+IF(BZ350="te",CB350*(1-$FI$27)*($FA$20-1)*$FB$7/$FB$13*(+IF(CA350="全员",$FA$19*$FA$24/(1+($FA$20-1)*$FA$19),0)+IF(CA350="同作战",$FA$19*$FA$24/(1+($FA$20-1)*$FA$19),0)+IF(CA350="仲间",$FA$19*$FA$24*2/3/(1+($FA$20-1)*$FA$19),0)+IF(CA350="同属性",$FA$19*$FA$24*$FA$37/3/(1+($FA$20-1)*$FA$19),0)+IF(CA350="同年级",$FA$19*$FA$24*$FA$40/3/(1+($FA$20-1)*$FA$19),0)+IF(CA350="同学校",$FA$19*$FA$24*$FA$43/3/(1+($FA$20-1)*$FA$19),0)+IF(CA350="同小队",$FA$19*$FA$24*$FA$46/3/(1+($FA$20-1)*$FA$19),0)+IF(CA350="同type",$FA$19*$FA$24*INDEX($FB$49:$FB$52,MATCH(X350,$FA$49:$FA$52,))/3/(1+($FA$20-1)*$FA$19),0)+IF(CA350="自身",$FA$19*#REF!/3/(1+(BH350-1)*$BD350),0)),0)</f>
        <v>0</v>
      </c>
      <c r="CE350" s="1097">
        <f t="shared" si="469"/>
        <v>0</v>
      </c>
      <c r="CF350" s="1112">
        <f t="shared" si="470"/>
        <v>0</v>
      </c>
      <c r="CG350" s="1100">
        <f t="shared" si="471"/>
        <v>0</v>
      </c>
      <c r="CH350" s="1110">
        <f t="shared" si="472"/>
        <v>0</v>
      </c>
      <c r="CI350" s="1113" t="s">
        <v>164</v>
      </c>
      <c r="CJ350" s="1114">
        <v>1</v>
      </c>
      <c r="CK350" s="1115" t="s">
        <v>1642</v>
      </c>
      <c r="CL350" s="1115" t="s">
        <v>168</v>
      </c>
      <c r="CM350" s="1119">
        <v>4.1000000000000002E-2</v>
      </c>
      <c r="CN350" s="1115">
        <v>5</v>
      </c>
      <c r="CO350" s="1115"/>
      <c r="CP350" s="1118">
        <f t="shared" si="473"/>
        <v>4.3928571428571428E-3</v>
      </c>
      <c r="CQ350" s="1118">
        <f t="shared" si="474"/>
        <v>6.8333333333333336E-3</v>
      </c>
      <c r="CR350" s="1118">
        <f t="shared" si="475"/>
        <v>0</v>
      </c>
      <c r="CS350" s="1118">
        <f t="shared" si="476"/>
        <v>0</v>
      </c>
      <c r="CT350" s="1109">
        <f t="shared" si="477"/>
        <v>0</v>
      </c>
      <c r="CU350" s="1101">
        <f t="shared" si="478"/>
        <v>746.6919900884385</v>
      </c>
      <c r="CV350" s="1108">
        <f t="shared" si="479"/>
        <v>53.83769270625001</v>
      </c>
      <c r="CW350" s="1097">
        <f t="shared" si="480"/>
        <v>0</v>
      </c>
      <c r="CX350" s="1097">
        <f t="shared" si="481"/>
        <v>746.6919900884385</v>
      </c>
      <c r="CY350" s="1110">
        <f t="shared" si="482"/>
        <v>0</v>
      </c>
      <c r="CZ350" s="437"/>
      <c r="DA350" s="438"/>
      <c r="DB350" s="439" t="s">
        <v>569</v>
      </c>
      <c r="DC350" s="439"/>
      <c r="DD350" s="443"/>
      <c r="DE350" s="411"/>
      <c r="DF350" s="411"/>
      <c r="DG350" s="1116">
        <f t="shared" si="483"/>
        <v>0</v>
      </c>
      <c r="DH350" s="1116">
        <f t="shared" si="484"/>
        <v>0</v>
      </c>
      <c r="DI350" s="1116">
        <f t="shared" si="485"/>
        <v>0</v>
      </c>
      <c r="DJ350" s="442">
        <f t="shared" si="486"/>
        <v>0</v>
      </c>
      <c r="DK350" s="1109">
        <f t="shared" si="487"/>
        <v>0</v>
      </c>
      <c r="DL350" s="1101">
        <f t="shared" si="488"/>
        <v>0</v>
      </c>
      <c r="DM350" s="1097">
        <f t="shared" si="489"/>
        <v>0</v>
      </c>
      <c r="DN350" s="1097">
        <f t="shared" si="490"/>
        <v>0</v>
      </c>
      <c r="DO350" s="1097">
        <f t="shared" si="491"/>
        <v>0</v>
      </c>
      <c r="DP350" s="1110">
        <f t="shared" si="492"/>
        <v>0</v>
      </c>
      <c r="DQ350" s="1113" t="s">
        <v>635</v>
      </c>
      <c r="DR350" s="1120">
        <f t="shared" si="493"/>
        <v>0.33</v>
      </c>
      <c r="DS350" s="1124"/>
      <c r="DT350" s="1124" t="s">
        <v>1643</v>
      </c>
      <c r="DU350" s="1124"/>
      <c r="DV350" s="1098">
        <f>IF($P350="","N/A",IF(P350=-1,INDEX('卡片raw data'!AN:AN,MATCH(D350,'卡片raw data'!$F:$F,)),0)+IF(AND(L350&lt;&gt;"party卡",P350&lt;=2,P350&gt;=0),INDEX('卡片raw data'!AP:AP,MATCH(D350,'卡片raw data'!$F:$F,)),0)+IF(OR(AND(L350="party卡",P350&lt;=1),AND(P350&lt;=4,L350&lt;&gt;"party卡",P350&gt;=3)),INDEX('卡片raw data'!AQ:AQ,MATCH(D350,'卡片raw data'!$F:$F,)),0)+IF(OR(P350=5,AND(L350="party卡",P350&gt;=2)),INDEX('卡片raw data'!AR:AR,MATCH(D350,'卡片raw data'!$F:$F,)),0))</f>
        <v>0.19</v>
      </c>
      <c r="DW350" s="1098">
        <f t="shared" si="494"/>
        <v>0.33</v>
      </c>
      <c r="DX350" s="1098">
        <f t="shared" si="495"/>
        <v>0.33</v>
      </c>
      <c r="DY350" s="1097">
        <f t="shared" si="496"/>
        <v>453.03312553012796</v>
      </c>
      <c r="DZ350" s="1097">
        <f t="shared" si="497"/>
        <v>391.87365358356067</v>
      </c>
      <c r="EA350" s="1098">
        <f t="shared" si="498"/>
        <v>0</v>
      </c>
      <c r="EB350" s="1121">
        <f t="shared" si="499"/>
        <v>0</v>
      </c>
      <c r="EC350" s="1101">
        <f t="shared" si="500"/>
        <v>0</v>
      </c>
      <c r="ED350" s="1097">
        <f t="shared" si="501"/>
        <v>0</v>
      </c>
      <c r="EE350" s="1110">
        <f>EC350+IF(OR(DQ350="回血",DQ350="加盾"),$EW$26*(HP($EW$62,$EW$65,$EW$64-2*DY350)/$EW$66-1))+IF(DQ350="减伤",$EW$26*(HP($EW$62,$EW$65,$EW$64*(1-DY350))/$EW$66-1))</f>
        <v>48435.03108962375</v>
      </c>
      <c r="EF350" s="1115" t="s">
        <v>1644</v>
      </c>
      <c r="EG350" s="1120">
        <f t="shared" si="503"/>
        <v>0.33</v>
      </c>
      <c r="EH350" s="1124"/>
      <c r="EI350" s="1124" t="s">
        <v>1643</v>
      </c>
      <c r="EJ350" s="1124"/>
      <c r="EK350" s="1098">
        <f>IF($P350="","N/A",IF(P350=-1,INDEX('卡片raw data'!AS:AS,MATCH(D350,'卡片raw data'!$F:$F,)),0)+IF(AND(L350&lt;&gt;"party卡",P350&lt;=2,P350&gt;=0),INDEX('卡片raw data'!AU:AU,MATCH(D350,'卡片raw data'!$F:$F,)),0)+IF(OR(AND(L350="party卡",P350&lt;=1),AND(P350&lt;=4,L350&lt;&gt;"party卡",P350&gt;=3)),INDEX('卡片raw data'!AV:AV,MATCH(D350,'卡片raw data'!$F:$F,)),0)+IF(OR(P350=5,AND(L350="party卡",P350&gt;=2)),INDEX('卡片raw data'!AW:AW,MATCH(D350,'卡片raw data'!$F:$F,)),0))</f>
        <v>0.19</v>
      </c>
      <c r="EL350" s="1098">
        <f t="shared" si="504"/>
        <v>0.33</v>
      </c>
      <c r="EM350" s="1098">
        <f t="shared" si="505"/>
        <v>0.33</v>
      </c>
      <c r="EN350" s="1097">
        <f t="shared" si="506"/>
        <v>453.03312553012796</v>
      </c>
      <c r="EO350" s="1125">
        <f t="shared" si="507"/>
        <v>391.87365358356067</v>
      </c>
      <c r="EP350" s="1098">
        <f t="shared" si="508"/>
        <v>0</v>
      </c>
      <c r="EQ350" s="1121">
        <f t="shared" si="509"/>
        <v>0</v>
      </c>
      <c r="ER350" s="1101">
        <f t="shared" si="510"/>
        <v>0</v>
      </c>
      <c r="ES350" s="1097">
        <f t="shared" si="511"/>
        <v>0</v>
      </c>
      <c r="ET350" s="1122">
        <v>0</v>
      </c>
    </row>
    <row r="351" spans="2:150" ht="16.5" customHeight="1">
      <c r="B351" s="1123" t="str">
        <f>INDEX('卡片raw data'!B:B,MATCH($D351,'卡片raw data'!$F:$F,))</f>
        <v>梦门姬</v>
      </c>
      <c r="C351" s="449" t="s">
        <v>1651</v>
      </c>
      <c r="D351" s="408">
        <v>348</v>
      </c>
      <c r="E351" s="477">
        <v>300062002</v>
      </c>
      <c r="F351" s="1090" t="str">
        <f>INDEX('卡片raw data'!C:C,MATCH($D351,'卡片raw data'!$F:$F,))</f>
        <v>SR</v>
      </c>
      <c r="G351" s="1094" t="s">
        <v>29</v>
      </c>
      <c r="H351" s="411">
        <f>IFERROR(INDEX(绊状态确认!C:C,MATCH($G351,绊状态确认!$B:$B,)),"")</f>
        <v>6</v>
      </c>
      <c r="I351" s="450" t="str">
        <f>IFERROR(INDEX(绊状态确认!D:D,MATCH($G351,绊状态确认!$B:$B,)),"")</f>
        <v>缪</v>
      </c>
      <c r="J351" s="450" t="str">
        <f>IFERROR(INDEX(绊状态确认!E:E,MATCH($G351,绊状态确认!$B:$B,)),"")</f>
        <v>1年级</v>
      </c>
      <c r="K351" s="451" t="str">
        <f>IFERROR(INDEX(绊状态确认!F:F,MATCH($G351,绊状态确认!$B:$B,)),"")</f>
        <v>BiBi</v>
      </c>
      <c r="L351" s="1094" t="str">
        <f>INDEX('卡片raw data'!E:E,MATCH($D351,'卡片raw data'!$F:$F,))</f>
        <v>卡池卡</v>
      </c>
      <c r="M351" s="478">
        <v>44149</v>
      </c>
      <c r="N351" s="479">
        <v>27.5</v>
      </c>
      <c r="O351" s="1091" t="str">
        <f>INDEX('卡片raw data'!D:D,MATCH($D351,'卡片raw data'!$F:$F,))</f>
        <v>sk</v>
      </c>
      <c r="P351" s="1126">
        <v>5</v>
      </c>
      <c r="Q351" s="1095">
        <f t="shared" si="428"/>
        <v>22769.065327213139</v>
      </c>
      <c r="R351" s="1096">
        <f t="shared" si="429"/>
        <v>0.26400000000000001</v>
      </c>
      <c r="S351" s="1097">
        <f t="shared" si="430"/>
        <v>16700.174647456875</v>
      </c>
      <c r="T351" s="1098">
        <f t="shared" si="431"/>
        <v>0.83499999999999996</v>
      </c>
      <c r="U351" s="1099">
        <f t="shared" si="432"/>
        <v>11.364989671842856</v>
      </c>
      <c r="V351" s="1100">
        <f t="shared" si="433"/>
        <v>25674.534890338629</v>
      </c>
      <c r="W351" s="1101">
        <f t="shared" si="434"/>
        <v>4591.1241730446945</v>
      </c>
      <c r="X351" s="1096">
        <f t="shared" si="435"/>
        <v>5.2999999999999999E-2</v>
      </c>
      <c r="Y351" s="1097">
        <f t="shared" si="436"/>
        <v>905.469563125489</v>
      </c>
      <c r="Z351" s="1102">
        <f t="shared" si="437"/>
        <v>11.364989671842856</v>
      </c>
      <c r="AA351" s="1103">
        <f t="shared" si="438"/>
        <v>5496.5937361701835</v>
      </c>
      <c r="AB351" s="1101">
        <f t="shared" si="439"/>
        <v>5262.3122967630306</v>
      </c>
      <c r="AC351" s="1104">
        <f t="shared" si="440"/>
        <v>6.0999999999999999E-2</v>
      </c>
      <c r="AD351" s="1105">
        <f t="shared" si="441"/>
        <v>1.8994224431818179E-2</v>
      </c>
      <c r="AE351" s="1128">
        <f t="shared" si="442"/>
        <v>53.539257704745843</v>
      </c>
      <c r="AF351" s="1130">
        <f t="shared" si="443"/>
        <v>0</v>
      </c>
      <c r="AG351" s="420">
        <f t="shared" si="444"/>
        <v>0</v>
      </c>
      <c r="AH351" s="420">
        <f t="shared" si="445"/>
        <v>0</v>
      </c>
      <c r="AI351" s="1097">
        <f t="shared" si="446"/>
        <v>0</v>
      </c>
      <c r="AJ351" s="420">
        <f t="shared" si="447"/>
        <v>0</v>
      </c>
      <c r="AK351" s="518">
        <f t="shared" si="448"/>
        <v>0</v>
      </c>
      <c r="AL351" s="1106">
        <f>IF($P351="","N/A",(IF($P351=-1,INDEX('卡片raw data'!S:S,MATCH($D351,'卡片raw data'!$F:$F,)),0)+IF($P351=0,INDEX('卡片raw data'!V:V,MATCH($D351,'卡片raw data'!$F:$F,)),0)+IF($P351=1,INDEX('卡片raw data'!Y:Y,MATCH($D351,'卡片raw data'!$F:$F,)),0)+IF($P351=2,INDEX('卡片raw data'!AB:AB,MATCH($D351,'卡片raw data'!$F:$F,)),0)+IF($P351=3,INDEX('卡片raw data'!AE:AE,MATCH($D351,'卡片raw data'!$F:$F,)),0)+IF($P351=4,INDEX('卡片raw data'!AH:AH,MATCH($D351,'卡片raw data'!$F:$F,)),0)+IF($P351=5,INDEX('卡片raw data'!AK:AK,MATCH($D351,'卡片raw data'!$F:$F,)),0)+INDEX('卡片raw data'!S:S,MATCH($D351,'卡片raw data'!$F:$F,))*(IF($F351="UR",0.04,0.033))*(IF($F351="UR",INDEX(绊状态确认!$S:$S,MATCH($G351,绊状态确认!$B:$B,))/2-40)+IF($F351="SR",INDEX(绊状态确认!$R:$R,MATCH($G351,绊状态确认!$B:$B,))/4-15))+IF($F351="R",INDEX(绊状态确认!$Q:$Q,MATCH($G351,绊状态确认!$B:$B,))/6-40/6)))*(INDEX(绊状态确认!$H:$H,MATCH($G351,绊状态确认!$B:$B,))+INDEX(绊状态确认!J:J,MATCH($G351,绊状态确认!$B:$B,)))</f>
        <v>7649.3038607999988</v>
      </c>
      <c r="AM351" s="1106">
        <f>IF($P351="","N/A",(IF($P351=-1,INDEX('卡片raw data'!T:T,MATCH($D351,'卡片raw data'!$F:$F,)),0)+IF($P351=0,INDEX('卡片raw data'!W:W,MATCH($D351,'卡片raw data'!$F:$F,)),0)+IF($P351=1,INDEX('卡片raw data'!Z:Z,MATCH($D351,'卡片raw data'!$F:$F,)),0)+IF($P351=2,INDEX('卡片raw data'!AC:AC,MATCH($D351,'卡片raw data'!$F:$F,)),0)+IF($P351=3,INDEX('卡片raw data'!AF:AF,MATCH($D351,'卡片raw data'!$F:$F,)),0)+IF($P351=4,INDEX('卡片raw data'!AI:AI,MATCH($D351,'卡片raw data'!$F:$F,)),0)+IF($P351=5,INDEX('卡片raw data'!AL:AL,MATCH($D351,'卡片raw data'!$F:$F,)),0)+INDEX('卡片raw data'!T:T,MATCH($D351,'卡片raw data'!$F:$F,))*(IF($F351="UR",0.04,0.033))*(IF($F351="UR",INDEX(绊状态确认!$S:$S,MATCH($G351,绊状态确认!$B:$B,))/2-40)+IF($F351="SR",INDEX(绊状态确认!$R:$R,MATCH($G351,绊状态确认!$B:$B,))/4-15))+IF($F351="R",INDEX(绊状态确认!$Q:$Q,MATCH($G351,绊状态确认!$B:$B,))/6-40/6)))*(INDEX(绊状态确认!$H:$H,MATCH($G351,绊状态确认!$B:$B,))+INDEX(绊状态确认!K:K,MATCH($G351,绊状态确认!$B:$B,)))</f>
        <v>5789.9807279999995</v>
      </c>
      <c r="AN351" s="1106">
        <f>IF($P351="","N/A",(IF($P351=-1,INDEX('卡片raw data'!U:U,MATCH($D351,'卡片raw data'!$F:$F,)),0)+IF($P351=0,INDEX('卡片raw data'!X:X,MATCH($D351,'卡片raw data'!$F:$F,)),0)+IF($P351=1,INDEX('卡片raw data'!AA:AA,MATCH($D351,'卡片raw data'!$F:$F,)),0)+IF($P351=2,INDEX('卡片raw data'!AD:AD,MATCH($D351,'卡片raw data'!$F:$F,)),0)+IF($P351=3,INDEX('卡片raw data'!AG:AG,MATCH($D351,'卡片raw data'!$F:$F,)),0)+IF($P351=4,INDEX('卡片raw data'!AJ:AJ,MATCH($D351,'卡片raw data'!$F:$F,)),0)+IF($P351=5,INDEX('卡片raw data'!AM:AM,MATCH($D351,'卡片raw data'!$F:$F,)),0)+INDEX('卡片raw data'!U:U,MATCH($D351,'卡片raw data'!$F:$F,))*(IF($F351="UR",0.04,0.033))*(IF($F351="UR",INDEX(绊状态确认!$S:$S,MATCH($G351,绊状态确认!$B:$B,))/2-40)+IF($F351="SR",INDEX(绊状态确认!$R:$R,MATCH($G351,绊状态确认!$B:$B,))/4-15))+IF($F351="R",INDEX(绊状态确认!$Q:$Q,MATCH($G351,绊状态确认!$B:$B,))/6-40/6)))*(INDEX(绊状态确认!$H:$H,MATCH($G351,绊状态确认!$B:$B,))+INDEX(绊状态确认!L:L,MATCH($G351,绊状态确认!$B:$B,)))</f>
        <v>7235.7338087999997</v>
      </c>
      <c r="AO351" s="1107">
        <f t="shared" si="449"/>
        <v>1</v>
      </c>
      <c r="AP351" s="1131">
        <f>1+(INDEX(绊状态确认!$T:$T,MATCH($G351,绊状态确认!$B:$B,))+0.2)*$AO351</f>
        <v>1.3</v>
      </c>
      <c r="AQ351" s="1108">
        <f t="shared" si="450"/>
        <v>23329.422634599996</v>
      </c>
      <c r="AR351" s="1097">
        <f>(AM351*(1+$EX$9)+$EX$35)*(1+(INDEX(绊状态确认!$T:$T,MATCH($G351,绊状态确认!$B:$B,))+0.2)*AO351)*IF(J351=$FF$17,1+$FE$17,1)*IF(I351=$FF$14,1+$FE$14,1)</f>
        <v>10607.32369372</v>
      </c>
      <c r="AS351" s="1097">
        <f>(AN351*(1+$EX$10)+$EX$36)*(1+(INDEX(绊状态确认!$T:$T,MATCH($G351,绊状态确认!$B:$B,))+0.2)*AO351)*IF(J351=$FF$17,1+$FE$17,1)*IF(I351=$FF$14,1+$FE$14,1)</f>
        <v>14873.422044155999</v>
      </c>
      <c r="AT351" s="1093">
        <f>IF(AND(INDEX('卡片raw data'!AK:AK,MATCH($D351,'卡片raw data'!$F:$F,))&lt;INDEX('卡片raw data'!AM:AM,MATCH($D351,'卡片raw data'!$F:$F,)),INDEX('卡片raw data'!AL:AL,MATCH($D351,'卡片raw data'!$F:$F,))&lt;INDEX('卡片raw data'!AM:AM,MATCH($D351,'卡片raw data'!$F:$F,))),1,0)</f>
        <v>0</v>
      </c>
      <c r="AU351" s="1098">
        <f>MIN(AT351*0.15+AS351*0.00003+INDEX(绊状态确认!M:M,MATCH($G351,绊状态确认!$B:$B,)),1)</f>
        <v>0.47620266132468003</v>
      </c>
      <c r="AV351" s="1109">
        <f>(INDEX(绊状态确认!$N:$N,MATCH($G351,绊状态确认!$B:$B,))+1.5)*$EW$21</f>
        <v>2.6599999999999997</v>
      </c>
      <c r="AW351" s="1101">
        <f t="shared" si="451"/>
        <v>21693.758998753376</v>
      </c>
      <c r="AX351" s="1097">
        <f t="shared" si="452"/>
        <v>905.469563125489</v>
      </c>
      <c r="AY351" s="1110">
        <f t="shared" si="453"/>
        <v>22599.228561878866</v>
      </c>
      <c r="AZ351" s="429">
        <f t="shared" si="454"/>
        <v>17516.142528559998</v>
      </c>
      <c r="BA351" s="431">
        <f t="shared" si="455"/>
        <v>21019.371034271997</v>
      </c>
      <c r="BB351" s="1097">
        <f>(AM351*(1+$FB$9)+$FB$35)*(1+(INDEX(绊状态确认!$T:$T,MATCH($G351,绊状态确认!$B:$B,))+0.2)*AO351)*IF(J351=$FF$17,1+$FE$17,1)*IF(I351=$FF$14,1+$FE$14,1)*(1+$FE$15)</f>
        <v>10607.32369372</v>
      </c>
      <c r="BC351" s="1097">
        <f>(AN351*(1+$FB$10)+$FB$36)*(1+(INDEX(绊状态确认!$T:$T,MATCH($G351,绊状态确认!$B:$B,))+0.2)*AO351)*IF(J351=$FF$17,1+$FE$17,1)*IF(I351=$FF$14,1+$FE$14,1)*(1+$FE$15)</f>
        <v>14873.422044155999</v>
      </c>
      <c r="BD351" s="1104">
        <f>MIN(AT351*0.15+BC351*0.00003+INDEX(绊状态确认!M:M,MATCH($G351,绊状态确认!$B:$B,)),1)</f>
        <v>0.47620266132468003</v>
      </c>
      <c r="BE351" s="432">
        <f>(INDEX(绊状态确认!$N:$N,MATCH($G351,绊状态确认!$B:$B,))+1.5)</f>
        <v>1.9</v>
      </c>
      <c r="BF351" s="1139">
        <f t="array" ref="BF351">SUMPRODUCT(IF(AZ351*AP351*$FI$16:$FI$23*$FA$22&gt;=$FI$24,$FI$24,AZ351*AP351*$FI$16:$FI$23*$FA$22),$FJ$16:$FJ$23)</f>
        <v>34839.607489305839</v>
      </c>
      <c r="BG351" s="1125">
        <f t="array" ref="BG351">SUMPRODUCT(IF(BE351*AZ351*AP351*$FI$16:$FI$23*$FA$22&gt;=$FI$24,$FI$24,BE351*AZ351*AP351*$FI$16:$FI$23*$FA$22),$FJ$16:$FJ$23)</f>
        <v>58816.218011385805</v>
      </c>
      <c r="BH351" s="1110">
        <f t="shared" si="456"/>
        <v>15419.111076488547</v>
      </c>
      <c r="BI351" s="1111">
        <f>IF(O351="vo",$EW$26/$EW$24*0.05,0)+IF(O351="sk",-$EW$26/$EW$24*(0.05-INDEX(绊状态确认!W:W,MATCH($G351,绊状态确认!$B:$B,)))+0.05*$EW$28,0)+IF(O351="sp",0.05*$EW$32*$EW$30*(1-$EW$33)-(0.05-INDEX(绊状态确认!V:V,MATCH($G351,绊状态确认!$B:$B,)))*$EW$28,0)+IF(O351="gd",-(0.05-INDEX(绊状态确认!X:X,MATCH($G351,绊状态确认!$B:$B,)))*$EW$32*$EW$30*(1-$EW$33),0)</f>
        <v>-6253.6726349699375</v>
      </c>
      <c r="BJ351" s="1097">
        <f>IF(O351="vo",0.05*(1-$FI$26)*$FA$24,0)+IF(O351="sk",-(0.05-INDEX(绊状态确认!W:W,MATCH($G351,绊状态确认!$B:$B,)))*(1-$FI$26)*$FA$24+0.05*$FA$26,0)+IF(O351="sp",0.05*$FA$32*$FA$27*(1-$FA$33)/$FA$30+0.05*$FA$29/$FA$69*$FA$27*(1-$FA$33)-(0.05-INDEX(绊状态确认!V:V,MATCH($G351,绊状态确认!$B:$B,)))*$FA$26,0)+IF(O351="gd",-(0.05-INDEX(绊状态确认!X:X,MATCH($G351,绊状态确认!$B:$B,)))*$FA$32*$FA$27*(1-$FA$33)/$FA$30-(0.05-INDEX(绊状态确认!X:X,MATCH($G351,绊状态确认!$B:$B,)))*$FA$29/$FA$69*$FA$27*(1-$FA$33),0)</f>
        <v>20.459096812499922</v>
      </c>
      <c r="BK351" s="1110">
        <f>IF(O351="vo",$EW$26/$EW$24*0.05+$EW$26*(-HP($EW$62,$EW$65,$EW$64)+HP($EW$62,$EW$65,(1.05-INDEX(绊状态确认!U:U,MATCH($G351,绊状态确认!$B:$B,)))*$EW$64)),0)+IF(O351="sk",-$EW$26/$EW$24*(0.05-INDEX(绊状态确认!W:W,MATCH($G351,绊状态确认!$B:$B,)))+0.05*$EW$29,0)+IF(O351="sp",0.05*$EW$32*$EW$30*(1-$EW$33)-(0.05-INDEX(绊状态确认!V:V,MATCH($G351,绊状态确认!$B:$B,)))*$EW$29,0)+IF(O351="gd",-(0.05-INDEX(绊状态确认!X:X,MATCH($G351,绊状态确认!$B:$B,)))*$EW$32*$EW$30*(1-$EW$33)+$EW$26*(-HP($EW$62,$EW$65,$EW$64)+HP($EW$62,$EW$65,0.95*$EW$64)),0)</f>
        <v>-4253.6726349699375</v>
      </c>
      <c r="BL351" s="1111">
        <f t="shared" si="457"/>
        <v>-1083.3333333333333</v>
      </c>
      <c r="BM351" s="1110">
        <f t="shared" si="458"/>
        <v>-830.55555555555543</v>
      </c>
      <c r="BN351" s="1113">
        <f t="shared" si="459"/>
        <v>3</v>
      </c>
      <c r="BO351" s="1108">
        <f t="shared" si="460"/>
        <v>4507.7214871259994</v>
      </c>
      <c r="BP351" s="1100">
        <f t="shared" si="461"/>
        <v>221.34103209030098</v>
      </c>
      <c r="BQ351" s="1113" t="s">
        <v>132</v>
      </c>
      <c r="BR351" s="1124" t="s">
        <v>166</v>
      </c>
      <c r="BS351" s="1098">
        <f>IF($P351="","N/A",IF($P351=-1,INDEX('卡片raw data'!AX:AX,MATCH($D351,'卡片raw data'!$F:$F,)),0)+IF($L351="party卡",IF($P351=5,INDEX('卡片raw data'!BD:BD,MATCH($D351,'卡片raw data'!$F:$F,)),IF($P351&gt;=3,INDEX('卡片raw data'!BC:BC,MATCH($D351,'卡片raw data'!$F:$F,)),INDEX('卡片raw data'!BB:BB,MATCH($D351,'卡片raw data'!$F:$F,)))),IF(OR(AND($F351="UR",$P351=0),AND($F351="SR",$P351&gt;=0,$P351&lt;=2),AND($F351="R",$P351&gt;=0,$P351&lt;4)),INDEX('卡片raw data'!AZ:AZ,MATCH($D351,'卡片raw data'!$F:$F,)),0)+IF(OR(AND($F351="UR",$P351&gt;=1,$P351&lt;=4),AND($F351="SR",$P351&lt;=4,$P351&gt;=3),AND($F351="R",$P351=4)),INDEX('卡片raw data'!BA:BA,MATCH($D351,'卡片raw data'!$F:$F,)),0)+IF($P351=5,INDEX('卡片raw data'!BB:BB,MATCH($D351,'卡片raw data'!$F:$F,)),0)))</f>
        <v>7.0000000000000007E-2</v>
      </c>
      <c r="BT351" s="1101">
        <f t="shared" si="462"/>
        <v>671.18812371833656</v>
      </c>
      <c r="BU351" s="1097">
        <f t="shared" si="463"/>
        <v>22.741899614486449</v>
      </c>
      <c r="BV351" s="1097">
        <f t="shared" si="464"/>
        <v>0</v>
      </c>
      <c r="BW351" s="1112">
        <f t="shared" si="465"/>
        <v>0</v>
      </c>
      <c r="BX351" s="1100">
        <f t="shared" si="466"/>
        <v>671.18812371833656</v>
      </c>
      <c r="BY351" s="1110">
        <f t="shared" si="467"/>
        <v>0</v>
      </c>
      <c r="BZ351" s="1107" t="s">
        <v>569</v>
      </c>
      <c r="CA351" s="1124"/>
      <c r="CB351" s="1098">
        <f>IF($P351="","N/A",IF($P351=-1,INDEX('卡片raw data'!BE:BE,MATCH($D351,'卡片raw data'!$F:$F,)),0)+IF($L351="party卡",IF($P351=5,INDEX('卡片raw data'!BK:BK,MATCH($D351,'卡片raw data'!$F:$F,)),IF($P351&gt;=3,INDEX('卡片raw data'!BJ:BJ,MATCH($D351,'卡片raw data'!$F:$F,)),INDEX('卡片raw data'!BI:BI,MATCH($D351,'卡片raw data'!$F:$F,)))),IF(OR(AND($F351="UR",$P351=0),AND($F351="SR",$P351&gt;=0,$P351&lt;=2),AND($F351="R",$P351&gt;=0,$P351&lt;4)),INDEX('卡片raw data'!BG:BG,MATCH($D351,'卡片raw data'!$F:$F,)),0)+IF(OR(AND($F351="UR",$P351&gt;=1,$P351&lt;=4),AND($F351="SR",$P351&lt;=4,$P351&gt;=3),AND($F351="R",$P351=4)),INDEX('卡片raw data'!BH:BH,MATCH($D351,'卡片raw data'!$F:$F,)),0)+IF($P351=5,INDEX('卡片raw data'!BI:BI,MATCH($D351,'卡片raw data'!$F:$F,)),0)))</f>
        <v>0</v>
      </c>
      <c r="CC351" s="1101">
        <f t="shared" si="468"/>
        <v>0</v>
      </c>
      <c r="CD351" s="1097">
        <f>IF(BZ351="ap",CB351*(1-$FI$26)*$FB$5/$FB$11*(+IF(CA351="全员",$FA$24,0)+IF(CA351="同作战",$FA$24,0)+IF(CA351="仲间",$FA$24*2/3,0)+IF(CA351="同属性",$FA$24*$FA$37/3,0)+IF(CA351="同年级",$FA$24*$FA$40/3,0)+IF(CA351="同学校",$FA$24*$FA$43/3,0)+IF(CA351="同小队",$FA$24*$FA$46/3,0)+IF(CA351="同type",$FA$24*INDEX($FB$49:$FB$52,MATCH(X351,$FA$49:$FA$52,))/3,0)+IF(CA351="自身",#REF!/3,0)),0)+IF(BZ351="te",CB351*(1-$FI$27)*($FA$20-1)*$FB$7/$FB$13*(+IF(CA351="全员",$FA$19*$FA$24/(1+($FA$20-1)*$FA$19),0)+IF(CA351="同作战",$FA$19*$FA$24/(1+($FA$20-1)*$FA$19),0)+IF(CA351="仲间",$FA$19*$FA$24*2/3/(1+($FA$20-1)*$FA$19),0)+IF(CA351="同属性",$FA$19*$FA$24*$FA$37/3/(1+($FA$20-1)*$FA$19),0)+IF(CA351="同年级",$FA$19*$FA$24*$FA$40/3/(1+($FA$20-1)*$FA$19),0)+IF(CA351="同学校",$FA$19*$FA$24*$FA$43/3/(1+($FA$20-1)*$FA$19),0)+IF(CA351="同小队",$FA$19*$FA$24*$FA$46/3/(1+($FA$20-1)*$FA$19),0)+IF(CA351="同type",$FA$19*$FA$24*INDEX($FB$49:$FB$52,MATCH(X351,$FA$49:$FA$52,))/3/(1+($FA$20-1)*$FA$19),0)+IF(CA351="自身",$FA$19*#REF!/3/(1+(BH351-1)*$BD351),0)),0)</f>
        <v>0</v>
      </c>
      <c r="CE351" s="1097">
        <f t="shared" si="469"/>
        <v>0</v>
      </c>
      <c r="CF351" s="1112">
        <f t="shared" si="470"/>
        <v>0</v>
      </c>
      <c r="CG351" s="1100">
        <f t="shared" si="471"/>
        <v>0</v>
      </c>
      <c r="CH351" s="1110">
        <f t="shared" si="472"/>
        <v>0</v>
      </c>
      <c r="CI351" s="1113" t="s">
        <v>160</v>
      </c>
      <c r="CJ351" s="1114">
        <v>1</v>
      </c>
      <c r="CK351" s="1115" t="s">
        <v>545</v>
      </c>
      <c r="CL351" s="1115" t="s">
        <v>1940</v>
      </c>
      <c r="CM351" s="1119">
        <v>7.0000000000000007E-2</v>
      </c>
      <c r="CN351" s="1115"/>
      <c r="CO351" s="1115">
        <v>10</v>
      </c>
      <c r="CP351" s="1116">
        <f t="shared" si="473"/>
        <v>75.820623562449995</v>
      </c>
      <c r="CQ351" s="1116">
        <f t="shared" si="474"/>
        <v>106.26459800659732</v>
      </c>
      <c r="CR351" s="1117">
        <f t="shared" si="475"/>
        <v>75.820623562449995</v>
      </c>
      <c r="CS351" s="1118">
        <f t="shared" si="476"/>
        <v>0</v>
      </c>
      <c r="CT351" s="1109">
        <f t="shared" si="477"/>
        <v>0</v>
      </c>
      <c r="CU351" s="1101">
        <f t="shared" si="478"/>
        <v>83.402685918694999</v>
      </c>
      <c r="CV351" s="1108">
        <f t="shared" si="479"/>
        <v>106.26459800659732</v>
      </c>
      <c r="CW351" s="1097">
        <f t="shared" si="480"/>
        <v>83.402685918694999</v>
      </c>
      <c r="CX351" s="1097">
        <f t="shared" si="481"/>
        <v>83.402685918694999</v>
      </c>
      <c r="CY351" s="1110">
        <f t="shared" si="482"/>
        <v>83.402685918694999</v>
      </c>
      <c r="CZ351" s="437"/>
      <c r="DA351" s="438"/>
      <c r="DB351" s="439" t="s">
        <v>569</v>
      </c>
      <c r="DC351" s="439"/>
      <c r="DD351" s="443"/>
      <c r="DE351" s="411"/>
      <c r="DF351" s="411"/>
      <c r="DG351" s="1116">
        <f t="shared" si="483"/>
        <v>0</v>
      </c>
      <c r="DH351" s="1116">
        <f t="shared" si="484"/>
        <v>0</v>
      </c>
      <c r="DI351" s="1116">
        <f t="shared" si="485"/>
        <v>0</v>
      </c>
      <c r="DJ351" s="442">
        <f t="shared" si="486"/>
        <v>0</v>
      </c>
      <c r="DK351" s="1109">
        <f t="shared" si="487"/>
        <v>0</v>
      </c>
      <c r="DL351" s="1101">
        <f t="shared" si="488"/>
        <v>0</v>
      </c>
      <c r="DM351" s="1097">
        <f t="shared" si="489"/>
        <v>0</v>
      </c>
      <c r="DN351" s="1097">
        <f t="shared" si="490"/>
        <v>0</v>
      </c>
      <c r="DO351" s="1097">
        <f t="shared" si="491"/>
        <v>0</v>
      </c>
      <c r="DP351" s="1110">
        <f t="shared" si="492"/>
        <v>0</v>
      </c>
      <c r="DQ351" s="1113" t="s">
        <v>549</v>
      </c>
      <c r="DR351" s="1120">
        <f t="shared" si="493"/>
        <v>0.3</v>
      </c>
      <c r="DS351" s="1124"/>
      <c r="DT351" s="1093" t="s">
        <v>179</v>
      </c>
      <c r="DU351" s="1093"/>
      <c r="DV351" s="1098">
        <f>IF($P351="","N/A",IF(P351=-1,INDEX('卡片raw data'!AN:AN,MATCH(D351,'卡片raw data'!$F:$F,)),0)+IF(AND(L351&lt;&gt;"party卡",P351&lt;=2,P351&gt;=0),INDEX('卡片raw data'!AP:AP,MATCH(D351,'卡片raw data'!$F:$F,)),0)+IF(OR(AND(L351="party卡",P351&lt;=1),AND(P351&lt;=4,L351&lt;&gt;"party卡",P351&gt;=3)),INDEX('卡片raw data'!AQ:AQ,MATCH(D351,'卡片raw data'!$F:$F,)),0)+IF(OR(P351=5,AND(L351="party卡",P351&gt;=2)),INDEX('卡片raw data'!AR:AR,MATCH(D351,'卡片raw data'!$F:$F,)),0))</f>
        <v>7.0000000000000007E-2</v>
      </c>
      <c r="DW351" s="1098">
        <f t="shared" si="494"/>
        <v>0.3</v>
      </c>
      <c r="DX351" s="1098">
        <f t="shared" si="495"/>
        <v>0.3</v>
      </c>
      <c r="DY351" s="1098">
        <f t="shared" si="496"/>
        <v>7.0000000000000001E-3</v>
      </c>
      <c r="DZ351" s="1098">
        <f t="shared" si="497"/>
        <v>6.9632499999999998E-3</v>
      </c>
      <c r="EA351" s="1098">
        <f t="shared" si="498"/>
        <v>0</v>
      </c>
      <c r="EB351" s="1121">
        <f t="shared" si="499"/>
        <v>49.18549999999999</v>
      </c>
      <c r="EC351" s="1101">
        <f t="shared" si="500"/>
        <v>3150</v>
      </c>
      <c r="ED351" s="1097">
        <f t="shared" si="501"/>
        <v>1740.8125</v>
      </c>
      <c r="EE351" s="1110">
        <f t="shared" ref="EE351:EE414" si="513">EC351+IF(OR(DQ351="回血",DQ351="加盾"),$EW$26*(HP($EW$62,$EW$65,$EW$64-DY351)/$EW$66-1))+IF(DQ351="减伤",$EW$26*(HP($EW$62,$EW$65,$EW$64*(1-DY351))/$EW$66-1))</f>
        <v>3150</v>
      </c>
      <c r="EF351" s="1115" t="s">
        <v>569</v>
      </c>
      <c r="EG351" s="1120">
        <f t="shared" si="503"/>
        <v>0.3</v>
      </c>
      <c r="EH351" s="1124"/>
      <c r="EI351" s="1093"/>
      <c r="EJ351" s="1093"/>
      <c r="EK351" s="1097">
        <f>IF($P351="","N/A",IF(P351=-1,INDEX('卡片raw data'!AS:AS,MATCH(D351,'卡片raw data'!$F:$F,)),0)+IF(AND(L351&lt;&gt;"party卡",P351&lt;=2,P351&gt;=0),INDEX('卡片raw data'!AU:AU,MATCH(D351,'卡片raw data'!$F:$F,)),0)+IF(OR(AND(L351="party卡",P351&lt;=1),AND(P351&lt;=4,L351&lt;&gt;"party卡",P351&gt;=3)),INDEX('卡片raw data'!AV:AV,MATCH(D351,'卡片raw data'!$F:$F,)),0)+IF(OR(P351=5,AND(L351="party卡",P351&gt;=2)),INDEX('卡片raw data'!AW:AW,MATCH(D351,'卡片raw data'!$F:$F,)),0))</f>
        <v>0</v>
      </c>
      <c r="EL351" s="1098">
        <f t="shared" si="504"/>
        <v>0.3</v>
      </c>
      <c r="EM351" s="1098">
        <f t="shared" si="505"/>
        <v>0.3</v>
      </c>
      <c r="EN351" s="1097">
        <f t="shared" si="506"/>
        <v>0</v>
      </c>
      <c r="EO351" s="1125">
        <f t="shared" si="507"/>
        <v>0</v>
      </c>
      <c r="EP351" s="1098">
        <f t="shared" si="508"/>
        <v>0</v>
      </c>
      <c r="EQ351" s="1121">
        <f t="shared" si="509"/>
        <v>0</v>
      </c>
      <c r="ER351" s="1101">
        <f t="shared" si="510"/>
        <v>0</v>
      </c>
      <c r="ES351" s="1097">
        <f t="shared" si="511"/>
        <v>0</v>
      </c>
      <c r="ET351" s="1122">
        <f t="shared" ref="ET351:ET414" si="514">ER351+IF(OR(EF351="回血",EF351="加盾"),$EW$26*(HP($EW$62,$EW$65,$EW$64-EN351)/$EW$66-1))+IF(EF351="减伤",$EW$26*(HP($EW$62,$EW$65,$EW$64*(1-EN351))/$EW$66-1))</f>
        <v>0</v>
      </c>
    </row>
    <row r="352" spans="2:150" ht="16.5" customHeight="1">
      <c r="B352" s="1123" t="str">
        <f>INDEX('卡片raw data'!B:B,MATCH($D352,'卡片raw data'!$F:$F,))</f>
        <v>乐园彼</v>
      </c>
      <c r="C352" s="449" t="s">
        <v>1658</v>
      </c>
      <c r="D352" s="408">
        <v>349</v>
      </c>
      <c r="E352" s="477">
        <v>402063002</v>
      </c>
      <c r="F352" s="1090" t="str">
        <f>INDEX('卡片raw data'!C:C,MATCH($D352,'卡片raw data'!$F:$F,))</f>
        <v>UR</v>
      </c>
      <c r="G352" s="1094" t="s">
        <v>1659</v>
      </c>
      <c r="H352" s="411">
        <f>IFERROR(INDEX(绊状态确认!C:C,MATCH($G352,绊状态确认!$B:$B,)),"")</f>
        <v>206</v>
      </c>
      <c r="I352" s="450" t="str">
        <f>IFERROR(INDEX(绊状态确认!D:D,MATCH($G352,绊状态确认!$B:$B,)),"")</f>
        <v>虹</v>
      </c>
      <c r="J352" s="450" t="str">
        <f>IFERROR(INDEX(绊状态确认!E:E,MATCH($G352,绊状态确认!$B:$B,)),"")</f>
        <v>3年级</v>
      </c>
      <c r="K352" s="451" t="str">
        <f>IFERROR(INDEX(绊状态确认!F:F,MATCH($G352,绊状态确认!$B:$B,)),"")</f>
        <v>QU4RTZ</v>
      </c>
      <c r="L352" s="1094" t="str">
        <f>INDEX('卡片raw data'!E:E,MATCH($D352,'卡片raw data'!$F:$F,))</f>
        <v>卡池卡</v>
      </c>
      <c r="M352" s="478">
        <v>44154</v>
      </c>
      <c r="N352" s="479">
        <v>28</v>
      </c>
      <c r="O352" s="1091" t="str">
        <f>INDEX('卡片raw data'!D:D,MATCH($D352,'卡片raw data'!$F:$F,))</f>
        <v>sp</v>
      </c>
      <c r="P352" s="1126">
        <v>5</v>
      </c>
      <c r="Q352" s="1095">
        <f t="shared" si="428"/>
        <v>51654.810366860882</v>
      </c>
      <c r="R352" s="1096">
        <f t="shared" si="429"/>
        <v>0.6</v>
      </c>
      <c r="S352" s="1097">
        <f t="shared" si="430"/>
        <v>20469.256624770096</v>
      </c>
      <c r="T352" s="1098">
        <f t="shared" si="431"/>
        <v>1.0229999999999999</v>
      </c>
      <c r="U352" s="1099">
        <f t="shared" si="432"/>
        <v>15.479366498142859</v>
      </c>
      <c r="V352" s="1100">
        <f t="shared" si="433"/>
        <v>51098.552360679962</v>
      </c>
      <c r="W352" s="1101">
        <f t="shared" si="434"/>
        <v>4507.7214871259994</v>
      </c>
      <c r="X352" s="1096">
        <f t="shared" si="435"/>
        <v>5.1999999999999998E-2</v>
      </c>
      <c r="Y352" s="1097">
        <f t="shared" si="436"/>
        <v>1243.7419938190806</v>
      </c>
      <c r="Z352" s="1102">
        <f t="shared" si="437"/>
        <v>15.479366498142859</v>
      </c>
      <c r="AA352" s="1103">
        <f t="shared" si="438"/>
        <v>5751.4634809450799</v>
      </c>
      <c r="AB352" s="1101">
        <f t="shared" si="439"/>
        <v>10091.729888772999</v>
      </c>
      <c r="AC352" s="1104">
        <f t="shared" si="440"/>
        <v>0.11700000000000001</v>
      </c>
      <c r="AD352" s="1105">
        <f t="shared" si="441"/>
        <v>-1.6087500000000001E-2</v>
      </c>
      <c r="AE352" s="1128">
        <f t="shared" si="442"/>
        <v>10.92391304347826</v>
      </c>
      <c r="AF352" s="1130">
        <f t="shared" si="443"/>
        <v>0</v>
      </c>
      <c r="AG352" s="420">
        <f t="shared" si="444"/>
        <v>0</v>
      </c>
      <c r="AH352" s="420">
        <f t="shared" si="445"/>
        <v>0</v>
      </c>
      <c r="AI352" s="1097">
        <f t="shared" si="446"/>
        <v>0</v>
      </c>
      <c r="AJ352" s="420">
        <f t="shared" si="447"/>
        <v>0</v>
      </c>
      <c r="AK352" s="518">
        <f t="shared" si="448"/>
        <v>0</v>
      </c>
      <c r="AL352" s="1106">
        <f>IF($P352="","N/A",(IF($P352=-1,INDEX('卡片raw data'!S:S,MATCH($D352,'卡片raw data'!$F:$F,)),0)+IF($P352=0,INDEX('卡片raw data'!V:V,MATCH($D352,'卡片raw data'!$F:$F,)),0)+IF($P352=1,INDEX('卡片raw data'!Y:Y,MATCH($D352,'卡片raw data'!$F:$F,)),0)+IF($P352=2,INDEX('卡片raw data'!AB:AB,MATCH($D352,'卡片raw data'!$F:$F,)),0)+IF($P352=3,INDEX('卡片raw data'!AE:AE,MATCH($D352,'卡片raw data'!$F:$F,)),0)+IF($P352=4,INDEX('卡片raw data'!AH:AH,MATCH($D352,'卡片raw data'!$F:$F,)),0)+IF($P352=5,INDEX('卡片raw data'!AK:AK,MATCH($D352,'卡片raw data'!$F:$F,)),0)+INDEX('卡片raw data'!S:S,MATCH($D352,'卡片raw data'!$F:$F,))*(IF($F352="UR",0.04,0.033))*(IF($F352="UR",INDEX(绊状态确认!$S:$S,MATCH($G352,绊状态确认!$B:$B,))/2-40)+IF($F352="SR",INDEX(绊状态确认!$R:$R,MATCH($G352,绊状态确认!$B:$B,))/4-15))+IF($F352="R",INDEX(绊状态确认!$Q:$Q,MATCH($G352,绊状态确认!$B:$B,))/6-40/6)))*(INDEX(绊状态确认!$H:$H,MATCH($G352,绊状态确认!$B:$B,))+INDEX(绊状态确认!J:J,MATCH($G352,绊状态确认!$B:$B,)))</f>
        <v>12243.800879999999</v>
      </c>
      <c r="AM352" s="1106">
        <f>IF($P352="","N/A",(IF($P352=-1,INDEX('卡片raw data'!T:T,MATCH($D352,'卡片raw data'!$F:$F,)),0)+IF($P352=0,INDEX('卡片raw data'!W:W,MATCH($D352,'卡片raw data'!$F:$F,)),0)+IF($P352=1,INDEX('卡片raw data'!Z:Z,MATCH($D352,'卡片raw data'!$F:$F,)),0)+IF($P352=2,INDEX('卡片raw data'!AC:AC,MATCH($D352,'卡片raw data'!$F:$F,)),0)+IF($P352=3,INDEX('卡片raw data'!AF:AF,MATCH($D352,'卡片raw data'!$F:$F,)),0)+IF($P352=4,INDEX('卡片raw data'!AI:AI,MATCH($D352,'卡片raw data'!$F:$F,)),0)+IF($P352=5,INDEX('卡片raw data'!AL:AL,MATCH($D352,'卡片raw data'!$F:$F,)),0)+INDEX('卡片raw data'!T:T,MATCH($D352,'卡片raw data'!$F:$F,))*(IF($F352="UR",0.04,0.033))*(IF($F352="UR",INDEX(绊状态确认!$S:$S,MATCH($G352,绊状态确认!$B:$B,))/2-40)+IF($F352="SR",INDEX(绊状态确认!$R:$R,MATCH($G352,绊状态确认!$B:$B,))/4-15))+IF($F352="R",INDEX(绊状态确认!$Q:$Q,MATCH($G352,绊状态确认!$B:$B,))/6-40/6)))*(INDEX(绊状态确认!$H:$H,MATCH($G352,绊状态确认!$B:$B,))+INDEX(绊状态确认!K:K,MATCH($G352,绊状态确认!$B:$B,)))</f>
        <v>8603.22984</v>
      </c>
      <c r="AN352" s="1106">
        <f>IF($P352="","N/A",(IF($P352=-1,INDEX('卡片raw data'!U:U,MATCH($D352,'卡片raw data'!$F:$F,)),0)+IF($P352=0,INDEX('卡片raw data'!X:X,MATCH($D352,'卡片raw data'!$F:$F,)),0)+IF($P352=1,INDEX('卡片raw data'!AA:AA,MATCH($D352,'卡片raw data'!$F:$F,)),0)+IF($P352=2,INDEX('卡片raw data'!AD:AD,MATCH($D352,'卡片raw data'!$F:$F,)),0)+IF($P352=3,INDEX('卡片raw data'!AG:AG,MATCH($D352,'卡片raw data'!$F:$F,)),0)+IF($P352=4,INDEX('卡片raw data'!AJ:AJ,MATCH($D352,'卡片raw data'!$F:$F,)),0)+IF($P352=5,INDEX('卡片raw data'!AM:AM,MATCH($D352,'卡片raw data'!$F:$F,)),0)+INDEX('卡片raw data'!U:U,MATCH($D352,'卡片raw data'!$F:$F,))*(IF($F352="UR",0.04,0.033))*(IF($F352="UR",INDEX(绊状态确认!$S:$S,MATCH($G352,绊状态确认!$B:$B,))/2-40)+IF($F352="SR",INDEX(绊状态确认!$R:$R,MATCH($G352,绊状态确认!$B:$B,))/4-15))+IF($F352="R",INDEX(绊状态确认!$Q:$Q,MATCH($G352,绊状态确认!$B:$B,))/6-40/6)))*(INDEX(绊状态确认!$H:$H,MATCH($G352,绊状态确认!$B:$B,))+INDEX(绊状态确认!L:L,MATCH($G352,绊状态确认!$B:$B,)))</f>
        <v>12243.800879999999</v>
      </c>
      <c r="AO352" s="1107">
        <f t="shared" si="449"/>
        <v>1</v>
      </c>
      <c r="AP352" s="1131">
        <f>1+(INDEX(绊状态确认!$T:$T,MATCH($G352,绊状态确认!$B:$B,))+0.2)*$AO352</f>
        <v>1.3</v>
      </c>
      <c r="AQ352" s="1108">
        <f t="shared" si="450"/>
        <v>35389.977310000002</v>
      </c>
      <c r="AR352" s="1097">
        <f>(AM352*(1+$EX$9)+$EX$35)*(1+(INDEX(绊状态确认!$T:$T,MATCH($G352,绊状态确认!$B:$B,))+0.2)*AO352)*IF(J352=$FF$17,1+$FE$17,1)*IF(I352=$FF$14,1+$FE$14,1)</f>
        <v>14447.408731600002</v>
      </c>
      <c r="AS352" s="1097">
        <f>(AN352*(1+$EX$10)+$EX$36)*(1+(INDEX(绊状态确认!$T:$T,MATCH($G352,绊状态确认!$B:$B,))+0.2)*AO352)*IF(J352=$FF$17,1+$FE$17,1)*IF(I352=$FF$14,1+$FE$14,1)</f>
        <v>22360.482315599995</v>
      </c>
      <c r="AT352" s="1093">
        <f>IF(AND(INDEX('卡片raw data'!AK:AK,MATCH($D352,'卡片raw data'!$F:$F,))&lt;INDEX('卡片raw data'!AM:AM,MATCH($D352,'卡片raw data'!$F:$F,)),INDEX('卡片raw data'!AL:AL,MATCH($D352,'卡片raw data'!$F:$F,))&lt;INDEX('卡片raw data'!AM:AM,MATCH($D352,'卡片raw data'!$F:$F,))),1,0)</f>
        <v>0</v>
      </c>
      <c r="AU352" s="1098">
        <f>MIN(AT352*0.15+AS352*0.00003+INDEX(绊状态确认!M:M,MATCH($G352,绊状态确认!$B:$B,)),1)</f>
        <v>0.70081446946799986</v>
      </c>
      <c r="AV352" s="1109">
        <f>(INDEX(绊状态确认!$N:$N,MATCH($G352,绊状态确认!$B:$B,))+1.5)*$EW$21</f>
        <v>2.6599999999999997</v>
      </c>
      <c r="AW352" s="1101">
        <f t="shared" si="451"/>
        <v>39761.690580211725</v>
      </c>
      <c r="AX352" s="1097">
        <f t="shared" si="452"/>
        <v>1243.7419938190808</v>
      </c>
      <c r="AY352" s="1110">
        <f t="shared" si="453"/>
        <v>41005.432574030805</v>
      </c>
      <c r="AZ352" s="429">
        <f t="shared" si="454"/>
        <v>26475.411715999999</v>
      </c>
      <c r="BA352" s="431">
        <f t="shared" si="455"/>
        <v>31770.494059199998</v>
      </c>
      <c r="BB352" s="1097">
        <f>(AM352*(1+$FB$9)+$FB$35)*(1+(INDEX(绊状态确认!$T:$T,MATCH($G352,绊状态确认!$B:$B,))+0.2)*AO352)*IF(J352=$FF$17,1+$FE$17,1)*IF(I352=$FF$14,1+$FE$14,1)*(1+$FE$15)</f>
        <v>14447.408731600002</v>
      </c>
      <c r="BC352" s="1097">
        <f>(AN352*(1+$FB$10)+$FB$36)*(1+(INDEX(绊状态确认!$T:$T,MATCH($G352,绊状态确认!$B:$B,))+0.2)*AO352)*IF(J352=$FF$17,1+$FE$17,1)*IF(I352=$FF$14,1+$FE$14,1)*(1+$FE$15)</f>
        <v>22360.482315599995</v>
      </c>
      <c r="BD352" s="1104">
        <f>MIN(AT352*0.15+BC352*0.00003+INDEX(绊状态确认!M:M,MATCH($G352,绊状态确认!$B:$B,)),1)</f>
        <v>0.70081446946799986</v>
      </c>
      <c r="BE352" s="432">
        <f>(INDEX(绊状态确认!$N:$N,MATCH($G352,绊状态确认!$B:$B,))+1.5)</f>
        <v>1.9</v>
      </c>
      <c r="BF352" s="1139">
        <f t="array" ref="BF352">SUMPRODUCT(IF(AZ352*AP352*$FI$16:$FI$23*$FA$22&gt;=$FI$24,$FI$24,AZ352*AP352*$FI$16:$FI$23*$FA$22),$FJ$16:$FJ$23)</f>
        <v>51924.920867727997</v>
      </c>
      <c r="BG352" s="1125">
        <f t="array" ref="BG352">SUMPRODUCT(IF(BE352*AZ352*AP352*$FI$16:$FI$23*$FA$22&gt;=$FI$24,$FI$24,BE352*AZ352*AP352*$FI$16:$FI$23*$FA$22),$FJ$16:$FJ$23)</f>
        <v>60000</v>
      </c>
      <c r="BH352" s="1110">
        <f t="shared" si="456"/>
        <v>19194.684388574442</v>
      </c>
      <c r="BI352" s="1111">
        <f>IF(O352="vo",$EW$26/$EW$24*0.05,0)+IF(O352="sk",-$EW$26/$EW$24*(0.05-INDEX(绊状态确认!W:W,MATCH($G352,绊状态确认!$B:$B,)))+0.05*$EW$28,0)+IF(O352="sp",0.05*$EW$32*$EW$30*(1-$EW$33)-(0.05-INDEX(绊状态确认!V:V,MATCH($G352,绊状态确认!$B:$B,)))*$EW$28,0)+IF(O352="gd",-(0.05-INDEX(绊状态确认!X:X,MATCH($G352,绊状态确认!$B:$B,)))*$EW$32*$EW$30*(1-$EW$33),0)</f>
        <v>19.999999999999886</v>
      </c>
      <c r="BJ352" s="1097">
        <f>IF(O352="vo",0.05*(1-$FI$26)*$FA$24,0)+IF(O352="sk",-(0.05-INDEX(绊状态确认!W:W,MATCH($G352,绊状态确认!$B:$B,)))*(1-$FI$26)*$FA$24+0.05*$FA$26,0)+IF(O352="sp",0.05*$FA$32*$FA$27*(1-$FA$33)/$FA$30+0.05*$FA$29/$FA$69*$FA$27*(1-$FA$33)-(0.05-INDEX(绊状态确认!V:V,MATCH($G352,绊状态确认!$B:$B,)))*$FA$26,0)+IF(O352="gd",-(0.05-INDEX(绊状态确认!X:X,MATCH($G352,绊状态确认!$B:$B,)))*$FA$32*$FA$27*(1-$FA$33)/$FA$30-(0.05-INDEX(绊状态确认!X:X,MATCH($G352,绊状态确认!$B:$B,)))*$FA$29/$FA$69*$FA$27*(1-$FA$33),0)</f>
        <v>545.83333333333326</v>
      </c>
      <c r="BK352" s="1110">
        <f>IF(O352="vo",$EW$26/$EW$24*0.05+$EW$26*(-HP($EW$62,$EW$65,$EW$64)+HP($EW$62,$EW$65,(1.05-INDEX(绊状态确认!U:U,MATCH($G352,绊状态确认!$B:$B,)))*$EW$64)),0)+IF(O352="sk",-$EW$26/$EW$24*(0.05-INDEX(绊状态确认!W:W,MATCH($G352,绊状态确认!$B:$B,)))+0.05*$EW$29,0)+IF(O352="sp",0.05*$EW$32*$EW$30*(1-$EW$33)-(0.05-INDEX(绊状态确认!V:V,MATCH($G352,绊状态确认!$B:$B,)))*$EW$29,0)+IF(O352="gd",-(0.05-INDEX(绊状态确认!X:X,MATCH($G352,绊状态确认!$B:$B,)))*$EW$32*$EW$30*(1-$EW$33)+$EW$26*(-HP($EW$62,$EW$65,$EW$64)+HP($EW$62,$EW$65,0.95*$EW$64)),0)</f>
        <v>-1780.0000000000005</v>
      </c>
      <c r="BL352" s="1111">
        <f t="shared" si="457"/>
        <v>0</v>
      </c>
      <c r="BM352" s="1110">
        <f t="shared" si="458"/>
        <v>0</v>
      </c>
      <c r="BN352" s="1113">
        <f t="shared" si="459"/>
        <v>3</v>
      </c>
      <c r="BO352" s="1108">
        <f t="shared" si="460"/>
        <v>4507.7214871259994</v>
      </c>
      <c r="BP352" s="1100">
        <f t="shared" si="461"/>
        <v>221.34103209030098</v>
      </c>
      <c r="BQ352" s="1113" t="s">
        <v>132</v>
      </c>
      <c r="BR352" s="1124" t="s">
        <v>168</v>
      </c>
      <c r="BS352" s="1098">
        <f>IF($P352="","N/A",IF($P352=-1,INDEX('卡片raw data'!AX:AX,MATCH($D352,'卡片raw data'!$F:$F,)),0)+IF($L352="party卡",IF($P352=5,INDEX('卡片raw data'!BD:BD,MATCH($D352,'卡片raw data'!$F:$F,)),IF($P352&gt;=3,INDEX('卡片raw data'!BC:BC,MATCH($D352,'卡片raw data'!$F:$F,)),INDEX('卡片raw data'!BB:BB,MATCH($D352,'卡片raw data'!$F:$F,)))),IF(OR(AND($F352="UR",$P352=0),AND($F352="SR",$P352&gt;=0,$P352&lt;=2),AND($F352="R",$P352&gt;=0,$P352&lt;4)),INDEX('卡片raw data'!AZ:AZ,MATCH($D352,'卡片raw data'!$F:$F,)),0)+IF(OR(AND($F352="UR",$P352&gt;=1,$P352&lt;=4),AND($F352="SR",$P352&lt;=4,$P352&gt;=3),AND($F352="R",$P352=4)),INDEX('卡片raw data'!BA:BA,MATCH($D352,'卡片raw data'!$F:$F,)),0)+IF($P352=5,INDEX('卡片raw data'!BB:BB,MATCH($D352,'卡片raw data'!$F:$F,)),0)))</f>
        <v>7.0000000000000007E-2</v>
      </c>
      <c r="BT352" s="1101">
        <f t="shared" si="462"/>
        <v>5259.008401647</v>
      </c>
      <c r="BU352" s="1097">
        <f t="shared" si="463"/>
        <v>258.2312041053512</v>
      </c>
      <c r="BV352" s="1097">
        <f t="shared" si="464"/>
        <v>0</v>
      </c>
      <c r="BW352" s="1112">
        <f t="shared" si="465"/>
        <v>0</v>
      </c>
      <c r="BX352" s="1100">
        <f t="shared" si="466"/>
        <v>5259.008401647</v>
      </c>
      <c r="BY352" s="1110">
        <f t="shared" si="467"/>
        <v>0</v>
      </c>
      <c r="BZ352" s="1107" t="s">
        <v>569</v>
      </c>
      <c r="CA352" s="1124"/>
      <c r="CB352" s="1098">
        <f>IF($P352="","N/A",IF($P352=-1,INDEX('卡片raw data'!BE:BE,MATCH($D352,'卡片raw data'!$F:$F,)),0)+IF($L352="party卡",IF($P352=5,INDEX('卡片raw data'!BK:BK,MATCH($D352,'卡片raw data'!$F:$F,)),IF($P352&gt;=3,INDEX('卡片raw data'!BJ:BJ,MATCH($D352,'卡片raw data'!$F:$F,)),INDEX('卡片raw data'!BI:BI,MATCH($D352,'卡片raw data'!$F:$F,)))),IF(OR(AND($F352="UR",$P352=0),AND($F352="SR",$P352&gt;=0,$P352&lt;=2),AND($F352="R",$P352&gt;=0,$P352&lt;4)),INDEX('卡片raw data'!BG:BG,MATCH($D352,'卡片raw data'!$F:$F,)),0)+IF(OR(AND($F352="UR",$P352&gt;=1,$P352&lt;=4),AND($F352="SR",$P352&lt;=4,$P352&gt;=3),AND($F352="R",$P352=4)),INDEX('卡片raw data'!BH:BH,MATCH($D352,'卡片raw data'!$F:$F,)),0)+IF($P352=5,INDEX('卡片raw data'!BI:BI,MATCH($D352,'卡片raw data'!$F:$F,)),0)))</f>
        <v>0</v>
      </c>
      <c r="CC352" s="1101">
        <f t="shared" si="468"/>
        <v>0</v>
      </c>
      <c r="CD352" s="1097">
        <f>IF(BZ352="ap",CB352*(1-$FI$26)*$FB$5/$FB$11*(+IF(CA352="全员",$FA$24,0)+IF(CA352="同作战",$FA$24,0)+IF(CA352="仲间",$FA$24*2/3,0)+IF(CA352="同属性",$FA$24*$FA$37/3,0)+IF(CA352="同年级",$FA$24*$FA$40/3,0)+IF(CA352="同学校",$FA$24*$FA$43/3,0)+IF(CA352="同小队",$FA$24*$FA$46/3,0)+IF(CA352="同type",$FA$24*INDEX($FB$49:$FB$52,MATCH(X352,$FA$49:$FA$52,))/3,0)+IF(CA352="自身",#REF!/3,0)),0)+IF(BZ352="te",CB352*(1-$FI$27)*($FA$20-1)*$FB$7/$FB$13*(+IF(CA352="全员",$FA$19*$FA$24/(1+($FA$20-1)*$FA$19),0)+IF(CA352="同作战",$FA$19*$FA$24/(1+($FA$20-1)*$FA$19),0)+IF(CA352="仲间",$FA$19*$FA$24*2/3/(1+($FA$20-1)*$FA$19),0)+IF(CA352="同属性",$FA$19*$FA$24*$FA$37/3/(1+($FA$20-1)*$FA$19),0)+IF(CA352="同年级",$FA$19*$FA$24*$FA$40/3/(1+($FA$20-1)*$FA$19),0)+IF(CA352="同学校",$FA$19*$FA$24*$FA$43/3/(1+($FA$20-1)*$FA$19),0)+IF(CA352="同小队",$FA$19*$FA$24*$FA$46/3/(1+($FA$20-1)*$FA$19),0)+IF(CA352="同type",$FA$19*$FA$24*INDEX($FB$49:$FB$52,MATCH(X352,$FA$49:$FA$52,))/3/(1+($FA$20-1)*$FA$19),0)+IF(CA352="自身",$FA$19*#REF!/3/(1+(BH352-1)*$BD352),0)),0)</f>
        <v>0</v>
      </c>
      <c r="CE352" s="1097">
        <f t="shared" si="469"/>
        <v>0</v>
      </c>
      <c r="CF352" s="1112">
        <f t="shared" si="470"/>
        <v>0</v>
      </c>
      <c r="CG352" s="1100">
        <f t="shared" si="471"/>
        <v>0</v>
      </c>
      <c r="CH352" s="1110">
        <f t="shared" si="472"/>
        <v>0</v>
      </c>
      <c r="CI352" s="1113" t="s">
        <v>162</v>
      </c>
      <c r="CJ352" s="1114">
        <v>1</v>
      </c>
      <c r="CK352" s="1115" t="s">
        <v>1660</v>
      </c>
      <c r="CL352" s="1115" t="s">
        <v>1661</v>
      </c>
      <c r="CM352" s="1119">
        <v>2.5000000000000001E-2</v>
      </c>
      <c r="CN352" s="1115" t="s">
        <v>163</v>
      </c>
      <c r="CO352" s="1115">
        <v>1</v>
      </c>
      <c r="CP352" s="1118">
        <f t="shared" si="473"/>
        <v>2.5000000000000001E-2</v>
      </c>
      <c r="CQ352" s="1118">
        <f t="shared" si="474"/>
        <v>2.5000000000000001E-2</v>
      </c>
      <c r="CR352" s="1118">
        <f t="shared" si="475"/>
        <v>0</v>
      </c>
      <c r="CS352" s="1118">
        <f t="shared" si="476"/>
        <v>0</v>
      </c>
      <c r="CT352" s="1109">
        <f t="shared" si="477"/>
        <v>0</v>
      </c>
      <c r="CU352" s="1101">
        <f t="shared" si="478"/>
        <v>325</v>
      </c>
      <c r="CV352" s="1108">
        <f t="shared" si="479"/>
        <v>249.16666666666663</v>
      </c>
      <c r="CW352" s="1097">
        <f t="shared" si="480"/>
        <v>0</v>
      </c>
      <c r="CX352" s="1097">
        <f t="shared" si="481"/>
        <v>325</v>
      </c>
      <c r="CY352" s="1110">
        <f t="shared" si="482"/>
        <v>0</v>
      </c>
      <c r="CZ352" s="437"/>
      <c r="DA352" s="438"/>
      <c r="DB352" s="439" t="s">
        <v>569</v>
      </c>
      <c r="DC352" s="439"/>
      <c r="DD352" s="443"/>
      <c r="DE352" s="411"/>
      <c r="DF352" s="411"/>
      <c r="DG352" s="1116">
        <f t="shared" si="483"/>
        <v>0</v>
      </c>
      <c r="DH352" s="1116">
        <f t="shared" si="484"/>
        <v>0</v>
      </c>
      <c r="DI352" s="1116">
        <f t="shared" si="485"/>
        <v>0</v>
      </c>
      <c r="DJ352" s="442">
        <f t="shared" si="486"/>
        <v>0</v>
      </c>
      <c r="DK352" s="1109">
        <f t="shared" si="487"/>
        <v>0</v>
      </c>
      <c r="DL352" s="1101">
        <f t="shared" si="488"/>
        <v>0</v>
      </c>
      <c r="DM352" s="1097">
        <f t="shared" si="489"/>
        <v>0</v>
      </c>
      <c r="DN352" s="1097">
        <f t="shared" si="490"/>
        <v>0</v>
      </c>
      <c r="DO352" s="1097">
        <f t="shared" si="491"/>
        <v>0</v>
      </c>
      <c r="DP352" s="1110">
        <f t="shared" si="492"/>
        <v>0</v>
      </c>
      <c r="DQ352" s="1113" t="s">
        <v>256</v>
      </c>
      <c r="DR352" s="1120">
        <f t="shared" si="493"/>
        <v>0.33</v>
      </c>
      <c r="DS352" s="1124"/>
      <c r="DT352" s="1093" t="s">
        <v>132</v>
      </c>
      <c r="DU352" s="1093"/>
      <c r="DV352" s="1098">
        <f>IF($P352="","N/A",IF(P352=-1,INDEX('卡片raw data'!AN:AN,MATCH(D352,'卡片raw data'!$F:$F,)),0)+IF(AND(L352&lt;&gt;"party卡",P352&lt;=2,P352&gt;=0),INDEX('卡片raw data'!AP:AP,MATCH(D352,'卡片raw data'!$F:$F,)),0)+IF(OR(AND(L352="party卡",P352&lt;=1),AND(P352&lt;=4,L352&lt;&gt;"party卡",P352&gt;=3)),INDEX('卡片raw data'!AQ:AQ,MATCH(D352,'卡片raw data'!$F:$F,)),0)+IF(OR(P352=5,AND(L352="party卡",P352&gt;=2)),INDEX('卡片raw data'!AR:AR,MATCH(D352,'卡片raw data'!$F:$F,)),0))</f>
        <v>0.32</v>
      </c>
      <c r="DW352" s="1098">
        <f t="shared" si="494"/>
        <v>0.33</v>
      </c>
      <c r="DX352" s="1098">
        <f t="shared" si="495"/>
        <v>0.33</v>
      </c>
      <c r="DY352" s="1097">
        <f t="shared" si="496"/>
        <v>1245.727201312</v>
      </c>
      <c r="DZ352" s="1097">
        <f t="shared" si="497"/>
        <v>967.34800311452159</v>
      </c>
      <c r="EA352" s="1098">
        <f t="shared" si="498"/>
        <v>0</v>
      </c>
      <c r="EB352" s="1121">
        <f t="shared" si="499"/>
        <v>0</v>
      </c>
      <c r="EC352" s="1101">
        <f t="shared" si="500"/>
        <v>1781.3898978761604</v>
      </c>
      <c r="ED352" s="1097">
        <f t="shared" si="501"/>
        <v>0</v>
      </c>
      <c r="EE352" s="1110">
        <f t="shared" si="513"/>
        <v>1781.3898978761604</v>
      </c>
      <c r="EF352" s="1115" t="s">
        <v>569</v>
      </c>
      <c r="EG352" s="1120">
        <f t="shared" si="503"/>
        <v>0.33</v>
      </c>
      <c r="EH352" s="1124"/>
      <c r="EI352" s="1093"/>
      <c r="EJ352" s="1093"/>
      <c r="EK352" s="1097">
        <f>IF($P352="","N/A",IF(P352=-1,INDEX('卡片raw data'!AS:AS,MATCH(D352,'卡片raw data'!$F:$F,)),0)+IF(AND(L352&lt;&gt;"party卡",P352&lt;=2,P352&gt;=0),INDEX('卡片raw data'!AU:AU,MATCH(D352,'卡片raw data'!$F:$F,)),0)+IF(OR(AND(L352="party卡",P352&lt;=1),AND(P352&lt;=4,L352&lt;&gt;"party卡",P352&gt;=3)),INDEX('卡片raw data'!AV:AV,MATCH(D352,'卡片raw data'!$F:$F,)),0)+IF(OR(P352=5,AND(L352="party卡",P352&gt;=2)),INDEX('卡片raw data'!AW:AW,MATCH(D352,'卡片raw data'!$F:$F,)),0))</f>
        <v>0</v>
      </c>
      <c r="EL352" s="1098">
        <f t="shared" si="504"/>
        <v>0.33</v>
      </c>
      <c r="EM352" s="1098">
        <f t="shared" si="505"/>
        <v>0.33</v>
      </c>
      <c r="EN352" s="1097">
        <f t="shared" si="506"/>
        <v>0</v>
      </c>
      <c r="EO352" s="1097">
        <f t="shared" si="507"/>
        <v>0</v>
      </c>
      <c r="EP352" s="1098">
        <f t="shared" si="508"/>
        <v>0</v>
      </c>
      <c r="EQ352" s="1121">
        <f t="shared" si="509"/>
        <v>0</v>
      </c>
      <c r="ER352" s="1101">
        <f t="shared" si="510"/>
        <v>0</v>
      </c>
      <c r="ES352" s="1097">
        <f t="shared" si="511"/>
        <v>0</v>
      </c>
      <c r="ET352" s="1122">
        <f t="shared" si="514"/>
        <v>0</v>
      </c>
    </row>
    <row r="353" spans="2:150" ht="16.5" customHeight="1">
      <c r="B353" s="1123" t="str">
        <f>INDEX('卡片raw data'!B:B,MATCH($D353,'卡片raw data'!$F:$F,))</f>
        <v>梦门凛</v>
      </c>
      <c r="C353" s="449" t="s">
        <v>1664</v>
      </c>
      <c r="D353" s="408">
        <v>350</v>
      </c>
      <c r="E353" s="477">
        <v>400052003</v>
      </c>
      <c r="F353" s="1090" t="str">
        <f>INDEX('卡片raw data'!C:C,MATCH($D353,'卡片raw data'!$F:$F,))</f>
        <v>SR</v>
      </c>
      <c r="G353" s="1094" t="s">
        <v>1665</v>
      </c>
      <c r="H353" s="411">
        <f>IFERROR(INDEX(绊状态确认!C:C,MATCH($G353,绊状态确认!$B:$B,)),"")</f>
        <v>5</v>
      </c>
      <c r="I353" s="450" t="str">
        <f>IFERROR(INDEX(绊状态确认!D:D,MATCH($G353,绊状态确认!$B:$B,)),"")</f>
        <v>缪</v>
      </c>
      <c r="J353" s="450" t="str">
        <f>IFERROR(INDEX(绊状态确认!E:E,MATCH($G353,绊状态确认!$B:$B,)),"")</f>
        <v>1年级</v>
      </c>
      <c r="K353" s="451" t="str">
        <f>IFERROR(INDEX(绊状态确认!F:F,MATCH($G353,绊状态确认!$B:$B,)),"")</f>
        <v>lilywhite</v>
      </c>
      <c r="L353" s="1094" t="str">
        <f>INDEX('卡片raw data'!E:E,MATCH($D353,'卡片raw data'!$F:$F,))</f>
        <v>卡池卡</v>
      </c>
      <c r="M353" s="478">
        <v>44154</v>
      </c>
      <c r="N353" s="479">
        <v>28</v>
      </c>
      <c r="O353" s="1091" t="str">
        <f>INDEX('卡片raw data'!D:D,MATCH($D353,'卡片raw data'!$F:$F,))</f>
        <v>gd</v>
      </c>
      <c r="P353" s="1126">
        <v>5</v>
      </c>
      <c r="Q353" s="1095">
        <f t="shared" si="428"/>
        <v>19737.346612875841</v>
      </c>
      <c r="R353" s="1096">
        <f t="shared" si="429"/>
        <v>0.22900000000000001</v>
      </c>
      <c r="S353" s="1097">
        <f t="shared" si="430"/>
        <v>11584.138313652957</v>
      </c>
      <c r="T353" s="1098">
        <f t="shared" si="431"/>
        <v>0.57899999999999996</v>
      </c>
      <c r="U353" s="1099">
        <f t="shared" si="432"/>
        <v>447.64509169527037</v>
      </c>
      <c r="V353" s="1100">
        <f t="shared" si="433"/>
        <v>71132.536023688182</v>
      </c>
      <c r="W353" s="1101">
        <f t="shared" si="434"/>
        <v>4507.7214871259994</v>
      </c>
      <c r="X353" s="1096">
        <f t="shared" si="435"/>
        <v>5.1999999999999998E-2</v>
      </c>
      <c r="Y353" s="1097">
        <f t="shared" si="436"/>
        <v>3003.5551248622687</v>
      </c>
      <c r="Z353" s="1102">
        <f t="shared" si="437"/>
        <v>37.237749372566405</v>
      </c>
      <c r="AA353" s="1103">
        <f t="shared" si="438"/>
        <v>7511.2766119882681</v>
      </c>
      <c r="AB353" s="1101">
        <f t="shared" si="439"/>
        <v>4507.7214871259994</v>
      </c>
      <c r="AC353" s="1104">
        <f t="shared" si="440"/>
        <v>5.1999999999999998E-2</v>
      </c>
      <c r="AD353" s="1105">
        <f t="shared" si="441"/>
        <v>-3.8207812500000026E-3</v>
      </c>
      <c r="AE353" s="1128">
        <f t="shared" si="442"/>
        <v>-18.525362318840578</v>
      </c>
      <c r="AF353" s="1130">
        <f t="shared" si="443"/>
        <v>6109.4200931154555</v>
      </c>
      <c r="AG353" s="420">
        <f t="shared" si="444"/>
        <v>94866.737967315014</v>
      </c>
      <c r="AH353" s="420">
        <f t="shared" si="445"/>
        <v>15.527944800230358</v>
      </c>
      <c r="AI353" s="1097">
        <f t="shared" si="446"/>
        <v>96146.65972066969</v>
      </c>
      <c r="AJ353" s="420">
        <f t="shared" si="447"/>
        <v>71132.536023688182</v>
      </c>
      <c r="AK353" s="518">
        <f t="shared" si="448"/>
        <v>25014.123696981507</v>
      </c>
      <c r="AL353" s="1106">
        <f>IF($P353="","N/A",(IF($P353=-1,INDEX('卡片raw data'!S:S,MATCH($D353,'卡片raw data'!$F:$F,)),0)+IF($P353=0,INDEX('卡片raw data'!V:V,MATCH($D353,'卡片raw data'!$F:$F,)),0)+IF($P353=1,INDEX('卡片raw data'!Y:Y,MATCH($D353,'卡片raw data'!$F:$F,)),0)+IF($P353=2,INDEX('卡片raw data'!AB:AB,MATCH($D353,'卡片raw data'!$F:$F,)),0)+IF($P353=3,INDEX('卡片raw data'!AE:AE,MATCH($D353,'卡片raw data'!$F:$F,)),0)+IF($P353=4,INDEX('卡片raw data'!AH:AH,MATCH($D353,'卡片raw data'!$F:$F,)),0)+IF($P353=5,INDEX('卡片raw data'!AK:AK,MATCH($D353,'卡片raw data'!$F:$F,)),0)+INDEX('卡片raw data'!S:S,MATCH($D353,'卡片raw data'!$F:$F,))*(IF($F353="UR",0.04,0.033))*(IF($F353="UR",INDEX(绊状态确认!$S:$S,MATCH($G353,绊状态确认!$B:$B,))/2-40)+IF($F353="SR",INDEX(绊状态确认!$R:$R,MATCH($G353,绊状态确认!$B:$B,))/4-15))+IF($F353="R",INDEX(绊状态确认!$Q:$Q,MATCH($G353,绊状态确认!$B:$B,))/6-40/6)))*(INDEX(绊状态确认!$H:$H,MATCH($G353,绊状态确认!$B:$B,))+INDEX(绊状态确认!J:J,MATCH($G353,绊状态确认!$B:$B,)))</f>
        <v>5995.0236527999996</v>
      </c>
      <c r="AM353" s="1106">
        <f>IF($P353="","N/A",(IF($P353=-1,INDEX('卡片raw data'!T:T,MATCH($D353,'卡片raw data'!$F:$F,)),0)+IF($P353=0,INDEX('卡片raw data'!W:W,MATCH($D353,'卡片raw data'!$F:$F,)),0)+IF($P353=1,INDEX('卡片raw data'!Z:Z,MATCH($D353,'卡片raw data'!$F:$F,)),0)+IF($P353=2,INDEX('卡片raw data'!AC:AC,MATCH($D353,'卡片raw data'!$F:$F,)),0)+IF($P353=3,INDEX('卡片raw data'!AF:AF,MATCH($D353,'卡片raw data'!$F:$F,)),0)+IF($P353=4,INDEX('卡片raw data'!AI:AI,MATCH($D353,'卡片raw data'!$F:$F,)),0)+IF($P353=5,INDEX('卡片raw data'!AL:AL,MATCH($D353,'卡片raw data'!$F:$F,)),0)+INDEX('卡片raw data'!T:T,MATCH($D353,'卡片raw data'!$F:$F,))*(IF($F353="UR",0.04,0.033))*(IF($F353="UR",INDEX(绊状态确认!$S:$S,MATCH($G353,绊状态确认!$B:$B,))/2-40)+IF($F353="SR",INDEX(绊状态确认!$R:$R,MATCH($G353,绊状态确认!$B:$B,))/4-15))+IF($F353="R",INDEX(绊状态确认!$Q:$Q,MATCH($G353,绊状态确认!$B:$B,))/6-40/6)))*(INDEX(绊状态确认!$H:$H,MATCH($G353,绊状态确认!$B:$B,))+INDEX(绊状态确认!K:K,MATCH($G353,绊状态确认!$B:$B,)))</f>
        <v>8476.4439647999989</v>
      </c>
      <c r="AN353" s="1106">
        <f>IF($P353="","N/A",(IF($P353=-1,INDEX('卡片raw data'!U:U,MATCH($D353,'卡片raw data'!$F:$F,)),0)+IF($P353=0,INDEX('卡片raw data'!X:X,MATCH($D353,'卡片raw data'!$F:$F,)),0)+IF($P353=1,INDEX('卡片raw data'!AA:AA,MATCH($D353,'卡片raw data'!$F:$F,)),0)+IF($P353=2,INDEX('卡片raw data'!AD:AD,MATCH($D353,'卡片raw data'!$F:$F,)),0)+IF($P353=3,INDEX('卡片raw data'!AG:AG,MATCH($D353,'卡片raw data'!$F:$F,)),0)+IF($P353=4,INDEX('卡片raw data'!AJ:AJ,MATCH($D353,'卡片raw data'!$F:$F,)),0)+IF($P353=5,INDEX('卡片raw data'!AM:AM,MATCH($D353,'卡片raw data'!$F:$F,)),0)+INDEX('卡片raw data'!U:U,MATCH($D353,'卡片raw data'!$F:$F,))*(IF($F353="UR",0.04,0.033))*(IF($F353="UR",INDEX(绊状态确认!$S:$S,MATCH($G353,绊状态确认!$B:$B,))/2-40)+IF($F353="SR",INDEX(绊状态确认!$R:$R,MATCH($G353,绊状态确认!$B:$B,))/4-15))+IF($F353="R",INDEX(绊状态确认!$Q:$Q,MATCH($G353,绊状态确认!$B:$B,))/6-40/6)))*(INDEX(绊状态确认!$H:$H,MATCH($G353,绊状态确认!$B:$B,))+INDEX(绊状态确认!L:L,MATCH($G353,绊状态确认!$B:$B,)))</f>
        <v>6203.5507799999987</v>
      </c>
      <c r="AO353" s="1107">
        <f t="shared" si="449"/>
        <v>1</v>
      </c>
      <c r="AP353" s="1131">
        <f>1+(INDEX(绊状态确认!$T:$T,MATCH($G353,绊状态确认!$B:$B,))+0.2)*$AO353</f>
        <v>1.3</v>
      </c>
      <c r="AQ353" s="1108">
        <f t="shared" si="450"/>
        <v>18986.9370886</v>
      </c>
      <c r="AR353" s="1097">
        <f>(AM353*(1+$EX$9)+$EX$35)*(1+(INDEX(绊状态确认!$T:$T,MATCH($G353,绊状态确认!$B:$B,))+0.2)*AO353)*IF(J353=$FF$17,1+$FE$17,1)*IF(I353=$FF$14,1+$FE$14,1)</f>
        <v>14274.346011952</v>
      </c>
      <c r="AS353" s="1097">
        <f>(AN353*(1+$EX$10)+$EX$36)*(1+(INDEX(绊状态确认!$T:$T,MATCH($G353,绊状态确认!$B:$B,))+0.2)*AO353)*IF(J353=$FF$17,1+$FE$17,1)*IF(I353=$FF$14,1+$FE$14,1)</f>
        <v>13330.308416099999</v>
      </c>
      <c r="AT353" s="1093">
        <f>IF(AND(INDEX('卡片raw data'!AK:AK,MATCH($D353,'卡片raw data'!$F:$F,))&lt;INDEX('卡片raw data'!AM:AM,MATCH($D353,'卡片raw data'!$F:$F,)),INDEX('卡片raw data'!AL:AL,MATCH($D353,'卡片raw data'!$F:$F,))&lt;INDEX('卡片raw data'!AM:AM,MATCH($D353,'卡片raw data'!$F:$F,))),1,0)</f>
        <v>0</v>
      </c>
      <c r="AU353" s="1098">
        <f>MIN(AT353*0.15+AS353*0.00003+INDEX(绊状态确认!M:M,MATCH($G353,绊状态确认!$B:$B,)),1)</f>
        <v>0.42990925248299999</v>
      </c>
      <c r="AV353" s="1109">
        <f>(INDEX(绊状态确认!$N:$N,MATCH($G353,绊状态确认!$B:$B,))+1.5)*$EW$21</f>
        <v>2.6599999999999997</v>
      </c>
      <c r="AW353" s="1101">
        <f t="shared" si="451"/>
        <v>16897.958459083173</v>
      </c>
      <c r="AX353" s="1097">
        <f t="shared" si="452"/>
        <v>1228.3733544576326</v>
      </c>
      <c r="AY353" s="1110">
        <f t="shared" si="453"/>
        <v>18126.331813540804</v>
      </c>
      <c r="AZ353" s="429">
        <f t="shared" si="454"/>
        <v>14290.296122959999</v>
      </c>
      <c r="BA353" s="431">
        <f t="shared" si="455"/>
        <v>17148.355347551998</v>
      </c>
      <c r="BB353" s="1097">
        <f>(AM353*(1+$FB$9)+$FB$35)*(1+(INDEX(绊状态确认!$T:$T,MATCH($G353,绊状态确认!$B:$B,))+0.2)*AO353)*IF(J353=$FF$17,1+$FE$17,1)*IF(I353=$FF$14,1+$FE$14,1)*(1+$FE$15)</f>
        <v>14274.346011952</v>
      </c>
      <c r="BC353" s="1097">
        <f>(AN353*(1+$FB$10)+$FB$36)*(1+(INDEX(绊状态确认!$T:$T,MATCH($G353,绊状态确认!$B:$B,))+0.2)*AO353)*IF(J353=$FF$17,1+$FE$17,1)*IF(I353=$FF$14,1+$FE$14,1)*(1+$FE$15)</f>
        <v>13330.308416099999</v>
      </c>
      <c r="BD353" s="1104">
        <f>MIN(AT353*0.15+BC353*0.00003+INDEX(绊状态确认!M:M,MATCH($G353,绊状态确认!$B:$B,)),1)</f>
        <v>0.42990925248299999</v>
      </c>
      <c r="BE353" s="432">
        <f>(INDEX(绊状态确认!$N:$N,MATCH($G353,绊状态确认!$B:$B,))+1.5)</f>
        <v>1.9</v>
      </c>
      <c r="BF353" s="1139">
        <f t="array" ref="BF353">SUMPRODUCT(IF(AZ353*AP353*$FI$16:$FI$23*$FA$22&gt;=$FI$24,$FI$24,AZ353*AP353*$FI$16:$FI$23*$FA$22),$FJ$16:$FJ$23)</f>
        <v>28423.398988567442</v>
      </c>
      <c r="BG353" s="1125">
        <f t="array" ref="BG353">SUMPRODUCT(IF(BE353*AZ353*AP353*$FI$16:$FI$23*$FA$22&gt;=$FI$24,$FI$24,BE353*AZ353*AP353*$FI$16:$FI$23*$FA$22),$FJ$16:$FJ$23)</f>
        <v>52944.061109474089</v>
      </c>
      <c r="BH353" s="1110">
        <f t="shared" si="456"/>
        <v>12988.352837118211</v>
      </c>
      <c r="BI353" s="1111">
        <f>IF(O353="vo",$EW$26/$EW$24*0.05,0)+IF(O353="sk",-$EW$26/$EW$24*(0.05-INDEX(绊状态确认!W:W,MATCH($G353,绊状态确认!$B:$B,)))+0.05*$EW$28,0)+IF(O353="sp",0.05*$EW$32*$EW$30*(1-$EW$33)-(0.05-INDEX(绊状态确认!V:V,MATCH($G353,绊状态确认!$B:$B,)))*$EW$28,0)+IF(O353="gd",-(0.05-INDEX(绊状态确认!X:X,MATCH($G353,绊状态确认!$B:$B,)))*$EW$32*$EW$30*(1-$EW$33),0)</f>
        <v>-585.00000000000011</v>
      </c>
      <c r="BJ353" s="1097">
        <f>IF(O353="vo",0.05*(1-$FI$26)*$FA$24,0)+IF(O353="sk",-(0.05-INDEX(绊状态确认!W:W,MATCH($G353,绊状态确认!$B:$B,)))*(1-$FI$26)*$FA$24+0.05*$FA$26,0)+IF(O353="sp",0.05*$FA$32*$FA$27*(1-$FA$33)/$FA$30+0.05*$FA$29/$FA$69*$FA$27*(1-$FA$33)-(0.05-INDEX(绊状态确认!V:V,MATCH($G353,绊状态确认!$B:$B,)))*$FA$26,0)+IF(O353="gd",-(0.05-INDEX(绊状态确认!X:X,MATCH($G353,绊状态确认!$B:$B,)))*$FA$32*$FA$27*(1-$FA$33)/$FA$30-(0.05-INDEX(绊状态确认!X:X,MATCH($G353,绊状态确认!$B:$B,)))*$FA$29/$FA$69*$FA$27*(1-$FA$33),0)</f>
        <v>-795.00000000000011</v>
      </c>
      <c r="BK353" s="1110">
        <f>IF(O353="vo",$EW$26/$EW$24*0.05+$EW$26*(-HP($EW$62,$EW$65,$EW$64)+HP($EW$62,$EW$65,(1.05-INDEX(绊状态确认!U:U,MATCH($G353,绊状态确认!$B:$B,)))*$EW$64)),0)+IF(O353="sk",-$EW$26/$EW$24*(0.05-INDEX(绊状态确认!W:W,MATCH($G353,绊状态确认!$B:$B,)))+0.05*$EW$29,0)+IF(O353="sp",0.05*$EW$32*$EW$30*(1-$EW$33)-(0.05-INDEX(绊状态确认!V:V,MATCH($G353,绊状态确认!$B:$B,)))*$EW$29,0)+IF(O353="gd",-(0.05-INDEX(绊状态确认!X:X,MATCH($G353,绊状态确认!$B:$B,)))*$EW$32*$EW$30*(1-$EW$33)+$EW$26*(-HP($EW$62,$EW$65,$EW$64)+HP($EW$62,$EW$65,0.95*$EW$64)),0)</f>
        <v>1009.5947725176144</v>
      </c>
      <c r="BL353" s="1111">
        <f t="shared" si="457"/>
        <v>-1083.3333333333333</v>
      </c>
      <c r="BM353" s="1110">
        <f t="shared" si="458"/>
        <v>-830.55555555555543</v>
      </c>
      <c r="BN353" s="1113">
        <f t="shared" si="459"/>
        <v>3</v>
      </c>
      <c r="BO353" s="1108">
        <f t="shared" si="460"/>
        <v>4507.7214871259994</v>
      </c>
      <c r="BP353" s="1100">
        <f t="shared" si="461"/>
        <v>221.34103209030098</v>
      </c>
      <c r="BQ353" s="1113" t="s">
        <v>133</v>
      </c>
      <c r="BR353" s="1124" t="s">
        <v>168</v>
      </c>
      <c r="BS353" s="1098">
        <f>IF($P353="","N/A",IF($P353=-1,INDEX('卡片raw data'!AX:AX,MATCH($D353,'卡片raw data'!$F:$F,)),0)+IF($L353="party卡",IF($P353=5,INDEX('卡片raw data'!BD:BD,MATCH($D353,'卡片raw data'!$F:$F,)),IF($P353&gt;=3,INDEX('卡片raw data'!BC:BC,MATCH($D353,'卡片raw data'!$F:$F,)),INDEX('卡片raw data'!BB:BB,MATCH($D353,'卡片raw data'!$F:$F,)))),IF(OR(AND($F353="UR",$P353=0),AND($F353="SR",$P353&gt;=0,$P353&lt;=2),AND($F353="R",$P353&gt;=0,$P353&lt;4)),INDEX('卡片raw data'!AZ:AZ,MATCH($D353,'卡片raw data'!$F:$F,)),0)+IF(OR(AND($F353="UR",$P353&gt;=1,$P353&lt;=4),AND($F353="SR",$P353&lt;=4,$P353&gt;=3),AND($F353="R",$P353=4)),INDEX('卡片raw data'!BA:BA,MATCH($D353,'卡片raw data'!$F:$F,)),0)+IF($P353=5,INDEX('卡片raw data'!BB:BB,MATCH($D353,'卡片raw data'!$F:$F,)),0)))</f>
        <v>0.05</v>
      </c>
      <c r="BT353" s="1101">
        <f t="shared" si="462"/>
        <v>0</v>
      </c>
      <c r="BU353" s="1097">
        <f t="shared" si="463"/>
        <v>0</v>
      </c>
      <c r="BV353" s="1097">
        <f t="shared" si="464"/>
        <v>0</v>
      </c>
      <c r="BW353" s="1112">
        <f t="shared" si="465"/>
        <v>1.7558035714285711</v>
      </c>
      <c r="BX353" s="1100">
        <f t="shared" si="466"/>
        <v>137.19019421334193</v>
      </c>
      <c r="BY353" s="1110">
        <f t="shared" si="467"/>
        <v>137.19019421334193</v>
      </c>
      <c r="BZ353" s="1113" t="s">
        <v>569</v>
      </c>
      <c r="CA353" s="1124"/>
      <c r="CB353" s="1098">
        <f>IF($P353="","N/A",IF($P353=-1,INDEX('卡片raw data'!BE:BE,MATCH($D353,'卡片raw data'!$F:$F,)),0)+IF($L353="party卡",IF($P353=5,INDEX('卡片raw data'!BK:BK,MATCH($D353,'卡片raw data'!$F:$F,)),IF($P353&gt;=3,INDEX('卡片raw data'!BJ:BJ,MATCH($D353,'卡片raw data'!$F:$F,)),INDEX('卡片raw data'!BI:BI,MATCH($D353,'卡片raw data'!$F:$F,)))),IF(OR(AND($F353="UR",$P353=0),AND($F353="SR",$P353&gt;=0,$P353&lt;=2),AND($F353="R",$P353&gt;=0,$P353&lt;4)),INDEX('卡片raw data'!BG:BG,MATCH($D353,'卡片raw data'!$F:$F,)),0)+IF(OR(AND($F353="UR",$P353&gt;=1,$P353&lt;=4),AND($F353="SR",$P353&lt;=4,$P353&gt;=3),AND($F353="R",$P353=4)),INDEX('卡片raw data'!BH:BH,MATCH($D353,'卡片raw data'!$F:$F,)),0)+IF($P353=5,INDEX('卡片raw data'!BI:BI,MATCH($D353,'卡片raw data'!$F:$F,)),0)))</f>
        <v>0</v>
      </c>
      <c r="CC353" s="1101">
        <f t="shared" si="468"/>
        <v>0</v>
      </c>
      <c r="CD353" s="1097">
        <f>IF(BZ353="ap",CB353*(1-$FI$26)*$FB$5/$FB$11*(+IF(CA353="全员",$FA$24,0)+IF(CA353="同作战",$FA$24,0)+IF(CA353="仲间",$FA$24*2/3,0)+IF(CA353="同属性",$FA$24*$FA$37/3,0)+IF(CA353="同年级",$FA$24*$FA$40/3,0)+IF(CA353="同学校",$FA$24*$FA$43/3,0)+IF(CA353="同小队",$FA$24*$FA$46/3,0)+IF(CA353="同type",$FA$24*INDEX($FB$49:$FB$52,MATCH(X353,$FA$49:$FA$52,))/3,0)+IF(CA353="自身",#REF!/3,0)),0)+IF(BZ353="te",CB353*(1-$FI$27)*($FA$20-1)*$FB$7/$FB$13*(+IF(CA353="全员",$FA$19*$FA$24/(1+($FA$20-1)*$FA$19),0)+IF(CA353="同作战",$FA$19*$FA$24/(1+($FA$20-1)*$FA$19),0)+IF(CA353="仲间",$FA$19*$FA$24*2/3/(1+($FA$20-1)*$FA$19),0)+IF(CA353="同属性",$FA$19*$FA$24*$FA$37/3/(1+($FA$20-1)*$FA$19),0)+IF(CA353="同年级",$FA$19*$FA$24*$FA$40/3/(1+($FA$20-1)*$FA$19),0)+IF(CA353="同学校",$FA$19*$FA$24*$FA$43/3/(1+($FA$20-1)*$FA$19),0)+IF(CA353="同小队",$FA$19*$FA$24*$FA$46/3/(1+($FA$20-1)*$FA$19),0)+IF(CA353="同type",$FA$19*$FA$24*INDEX($FB$49:$FB$52,MATCH(X353,$FA$49:$FA$52,))/3/(1+($FA$20-1)*$FA$19),0)+IF(CA353="自身",$FA$19*#REF!/3/(1+(BH353-1)*$BD353),0)),0)</f>
        <v>0</v>
      </c>
      <c r="CE353" s="1097">
        <f t="shared" si="469"/>
        <v>0</v>
      </c>
      <c r="CF353" s="1112">
        <f t="shared" si="470"/>
        <v>0</v>
      </c>
      <c r="CG353" s="1100">
        <f t="shared" si="471"/>
        <v>0</v>
      </c>
      <c r="CH353" s="1110">
        <f t="shared" si="472"/>
        <v>0</v>
      </c>
      <c r="CI353" s="1113" t="s">
        <v>164</v>
      </c>
      <c r="CJ353" s="1114">
        <v>1</v>
      </c>
      <c r="CK353" s="1115" t="s">
        <v>635</v>
      </c>
      <c r="CL353" s="1115" t="s">
        <v>1944</v>
      </c>
      <c r="CM353" s="1119">
        <v>6.6000000000000003E-2</v>
      </c>
      <c r="CN353" s="1115"/>
      <c r="CO353" s="1115"/>
      <c r="CP353" s="1116">
        <f t="shared" si="473"/>
        <v>20.188003645474975</v>
      </c>
      <c r="CQ353" s="1116">
        <f t="shared" si="474"/>
        <v>31.403561226294403</v>
      </c>
      <c r="CR353" s="1117">
        <f t="shared" si="475"/>
        <v>20.188003645474975</v>
      </c>
      <c r="CS353" s="1118">
        <f t="shared" si="476"/>
        <v>0</v>
      </c>
      <c r="CT353" s="1109">
        <f t="shared" si="477"/>
        <v>0</v>
      </c>
      <c r="CU353" s="1101">
        <f t="shared" si="478"/>
        <v>0</v>
      </c>
      <c r="CV353" s="1108">
        <f t="shared" si="479"/>
        <v>0</v>
      </c>
      <c r="CW353" s="1097">
        <f t="shared" si="480"/>
        <v>0</v>
      </c>
      <c r="CX353" s="1097">
        <f t="shared" si="481"/>
        <v>0</v>
      </c>
      <c r="CY353" s="1110">
        <f t="shared" si="482"/>
        <v>1637.9915761912941</v>
      </c>
      <c r="CZ353" s="437"/>
      <c r="DA353" s="438"/>
      <c r="DB353" s="439" t="s">
        <v>569</v>
      </c>
      <c r="DC353" s="439"/>
      <c r="DD353" s="443"/>
      <c r="DE353" s="411"/>
      <c r="DF353" s="411"/>
      <c r="DG353" s="1116">
        <f t="shared" si="483"/>
        <v>0</v>
      </c>
      <c r="DH353" s="1116">
        <f t="shared" si="484"/>
        <v>0</v>
      </c>
      <c r="DI353" s="1116">
        <f t="shared" si="485"/>
        <v>0</v>
      </c>
      <c r="DJ353" s="442">
        <f t="shared" si="486"/>
        <v>0</v>
      </c>
      <c r="DK353" s="1109">
        <f t="shared" si="487"/>
        <v>0</v>
      </c>
      <c r="DL353" s="1101">
        <f t="shared" si="488"/>
        <v>0</v>
      </c>
      <c r="DM353" s="1097">
        <f t="shared" si="489"/>
        <v>0</v>
      </c>
      <c r="DN353" s="1097">
        <f t="shared" si="490"/>
        <v>0</v>
      </c>
      <c r="DO353" s="1097">
        <f t="shared" si="491"/>
        <v>0</v>
      </c>
      <c r="DP353" s="1110">
        <f t="shared" si="492"/>
        <v>0</v>
      </c>
      <c r="DQ353" s="1113" t="s">
        <v>636</v>
      </c>
      <c r="DR353" s="1120">
        <f t="shared" si="493"/>
        <v>0.3</v>
      </c>
      <c r="DS353" s="1124"/>
      <c r="DT353" s="1093" t="s">
        <v>133</v>
      </c>
      <c r="DU353" s="1093"/>
      <c r="DV353" s="1098">
        <f>IF($P353="","N/A",IF(P353=-1,INDEX('卡片raw data'!AN:AN,MATCH(D353,'卡片raw data'!$F:$F,)),0)+IF(AND(L353&lt;&gt;"party卡",P353&lt;=2,P353&gt;=0),INDEX('卡片raw data'!AP:AP,MATCH(D353,'卡片raw data'!$F:$F,)),0)+IF(OR(AND(L353="party卡",P353&lt;=1),AND(P353&lt;=4,L353&lt;&gt;"party卡",P353&gt;=3)),INDEX('卡片raw data'!AQ:AQ,MATCH(D353,'卡片raw data'!$F:$F,)),0)+IF(OR(P353=5,AND(L353="party卡",P353&gt;=2)),INDEX('卡片raw data'!AR:AR,MATCH(D353,'卡片raw data'!$F:$F,)),0))</f>
        <v>0.27</v>
      </c>
      <c r="DW353" s="1098">
        <f t="shared" si="494"/>
        <v>0.3</v>
      </c>
      <c r="DX353" s="1098">
        <f t="shared" si="495"/>
        <v>0.3</v>
      </c>
      <c r="DY353" s="1097">
        <f t="shared" si="496"/>
        <v>385.40734232270398</v>
      </c>
      <c r="DZ353" s="1097">
        <f t="shared" si="497"/>
        <v>333.37735110913894</v>
      </c>
      <c r="EA353" s="1098">
        <f t="shared" si="498"/>
        <v>0</v>
      </c>
      <c r="EB353" s="1121">
        <f t="shared" si="499"/>
        <v>0</v>
      </c>
      <c r="EC353" s="1101">
        <f t="shared" si="500"/>
        <v>0</v>
      </c>
      <c r="ED353" s="1097">
        <f t="shared" si="501"/>
        <v>0</v>
      </c>
      <c r="EE353" s="1110">
        <f t="shared" si="513"/>
        <v>48435.03108962375</v>
      </c>
      <c r="EF353" s="1115" t="s">
        <v>569</v>
      </c>
      <c r="EG353" s="1120">
        <f t="shared" si="503"/>
        <v>0.3</v>
      </c>
      <c r="EH353" s="1124"/>
      <c r="EI353" s="1093"/>
      <c r="EJ353" s="1093"/>
      <c r="EK353" s="1097">
        <f>IF($P353="","N/A",IF(P353=-1,INDEX('卡片raw data'!AS:AS,MATCH(D353,'卡片raw data'!$F:$F,)),0)+IF(AND(L353&lt;&gt;"party卡",P353&lt;=2,P353&gt;=0),INDEX('卡片raw data'!AU:AU,MATCH(D353,'卡片raw data'!$F:$F,)),0)+IF(OR(AND(L353="party卡",P353&lt;=1),AND(P353&lt;=4,L353&lt;&gt;"party卡",P353&gt;=3)),INDEX('卡片raw data'!AV:AV,MATCH(D353,'卡片raw data'!$F:$F,)),0)+IF(OR(P353=5,AND(L353="party卡",P353&gt;=2)),INDEX('卡片raw data'!AW:AW,MATCH(D353,'卡片raw data'!$F:$F,)),0))</f>
        <v>0</v>
      </c>
      <c r="EL353" s="1098">
        <f t="shared" si="504"/>
        <v>0.3</v>
      </c>
      <c r="EM353" s="1098">
        <f t="shared" si="505"/>
        <v>0.3</v>
      </c>
      <c r="EN353" s="1097">
        <f t="shared" si="506"/>
        <v>0</v>
      </c>
      <c r="EO353" s="1097">
        <f t="shared" si="507"/>
        <v>0</v>
      </c>
      <c r="EP353" s="1098">
        <f t="shared" si="508"/>
        <v>0</v>
      </c>
      <c r="EQ353" s="1121">
        <f t="shared" si="509"/>
        <v>0</v>
      </c>
      <c r="ER353" s="1101">
        <f t="shared" si="510"/>
        <v>0</v>
      </c>
      <c r="ES353" s="1097">
        <f t="shared" si="511"/>
        <v>0</v>
      </c>
      <c r="ET353" s="1122">
        <f t="shared" si="514"/>
        <v>0</v>
      </c>
    </row>
    <row r="354" spans="2:150" ht="16.5" customHeight="1">
      <c r="B354" s="1123" t="str">
        <f>INDEX('卡片raw data'!B:B,MATCH($D354,'卡片raw data'!$F:$F,))</f>
        <v>乐园善</v>
      </c>
      <c r="C354" s="449" t="s">
        <v>1668</v>
      </c>
      <c r="D354" s="408">
        <v>351</v>
      </c>
      <c r="E354" s="477">
        <v>401063002</v>
      </c>
      <c r="F354" s="1090" t="str">
        <f>INDEX('卡片raw data'!C:C,MATCH($D354,'卡片raw data'!$F:$F,))</f>
        <v>UR</v>
      </c>
      <c r="G354" s="1094" t="s">
        <v>1669</v>
      </c>
      <c r="H354" s="411">
        <f>IFERROR(INDEX(绊状态确认!C:C,MATCH($G354,绊状态确认!$B:$B,)),"")</f>
        <v>106</v>
      </c>
      <c r="I354" s="450" t="str">
        <f>IFERROR(INDEX(绊状态确认!D:D,MATCH($G354,绊状态确认!$B:$B,)),"")</f>
        <v>水</v>
      </c>
      <c r="J354" s="450" t="str">
        <f>IFERROR(INDEX(绊状态确认!E:E,MATCH($G354,绊状态确认!$B:$B,)),"")</f>
        <v>1年级</v>
      </c>
      <c r="K354" s="451" t="str">
        <f>IFERROR(INDEX(绊状态确认!F:F,MATCH($G354,绊状态确认!$B:$B,)),"")</f>
        <v>Guilty Kiss</v>
      </c>
      <c r="L354" s="1094" t="str">
        <f>INDEX('卡片raw data'!E:E,MATCH($D354,'卡片raw data'!$F:$F,))</f>
        <v>卡池卡</v>
      </c>
      <c r="M354" s="478">
        <v>44154</v>
      </c>
      <c r="N354" s="479">
        <v>28</v>
      </c>
      <c r="O354" s="1091" t="str">
        <f>INDEX('卡片raw data'!D:D,MATCH($D354,'卡片raw data'!$F:$F,))</f>
        <v>vo</v>
      </c>
      <c r="P354" s="1126">
        <v>5</v>
      </c>
      <c r="Q354" s="1095">
        <f t="shared" si="428"/>
        <v>62869.832818227238</v>
      </c>
      <c r="R354" s="1096">
        <f t="shared" si="429"/>
        <v>0.73</v>
      </c>
      <c r="S354" s="1097">
        <f t="shared" si="430"/>
        <v>20536.806817531022</v>
      </c>
      <c r="T354" s="1098">
        <f t="shared" si="431"/>
        <v>1.026</v>
      </c>
      <c r="U354" s="1099">
        <f t="shared" si="432"/>
        <v>-9.7900745100571456</v>
      </c>
      <c r="V354" s="1100">
        <f t="shared" si="433"/>
        <v>62786.577987968201</v>
      </c>
      <c r="W354" s="1101">
        <f t="shared" si="434"/>
        <v>6227.9242058599884</v>
      </c>
      <c r="X354" s="1096">
        <f t="shared" si="435"/>
        <v>7.1999999999999995E-2</v>
      </c>
      <c r="Y354" s="1097">
        <f t="shared" si="436"/>
        <v>1221.4136199826589</v>
      </c>
      <c r="Z354" s="1102">
        <f t="shared" si="437"/>
        <v>15.209925489942854</v>
      </c>
      <c r="AA354" s="1103">
        <f t="shared" si="438"/>
        <v>7449.3378258426474</v>
      </c>
      <c r="AB354" s="1101">
        <f t="shared" si="439"/>
        <v>7948.1269245939784</v>
      </c>
      <c r="AC354" s="1104">
        <f t="shared" si="440"/>
        <v>9.1999999999999998E-2</v>
      </c>
      <c r="AD354" s="1105">
        <f t="shared" si="441"/>
        <v>0</v>
      </c>
      <c r="AE354" s="1128">
        <f t="shared" si="442"/>
        <v>0</v>
      </c>
      <c r="AF354" s="1130">
        <f t="shared" si="443"/>
        <v>0</v>
      </c>
      <c r="AG354" s="420">
        <f t="shared" si="444"/>
        <v>0</v>
      </c>
      <c r="AH354" s="420">
        <f t="shared" si="445"/>
        <v>0</v>
      </c>
      <c r="AI354" s="1097">
        <f t="shared" si="446"/>
        <v>0</v>
      </c>
      <c r="AJ354" s="420">
        <f t="shared" si="447"/>
        <v>0</v>
      </c>
      <c r="AK354" s="518">
        <f t="shared" si="448"/>
        <v>0</v>
      </c>
      <c r="AL354" s="1106">
        <f>IF($P354="","N/A",(IF($P354=-1,INDEX('卡片raw data'!S:S,MATCH($D354,'卡片raw data'!$F:$F,)),0)+IF($P354=0,INDEX('卡片raw data'!V:V,MATCH($D354,'卡片raw data'!$F:$F,)),0)+IF($P354=1,INDEX('卡片raw data'!Y:Y,MATCH($D354,'卡片raw data'!$F:$F,)),0)+IF($P354=2,INDEX('卡片raw data'!AB:AB,MATCH($D354,'卡片raw data'!$F:$F,)),0)+IF($P354=3,INDEX('卡片raw data'!AE:AE,MATCH($D354,'卡片raw data'!$F:$F,)),0)+IF($P354=4,INDEX('卡片raw data'!AH:AH,MATCH($D354,'卡片raw data'!$F:$F,)),0)+IF($P354=5,INDEX('卡片raw data'!AK:AK,MATCH($D354,'卡片raw data'!$F:$F,)),0)+INDEX('卡片raw data'!S:S,MATCH($D354,'卡片raw data'!$F:$F,))*(IF($F354="UR",0.04,0.033))*(IF($F354="UR",INDEX(绊状态确认!$S:$S,MATCH($G354,绊状态确认!$B:$B,))/2-40)+IF($F354="SR",INDEX(绊状态确认!$R:$R,MATCH($G354,绊状态确认!$B:$B,))/4-15))+IF($F354="R",INDEX(绊状态确认!$Q:$Q,MATCH($G354,绊状态确认!$B:$B,))/6-40/6)))*(INDEX(绊状态确认!$H:$H,MATCH($G354,绊状态确认!$B:$B,))+INDEX(绊状态确认!J:J,MATCH($G354,绊状态确认!$B:$B,)))</f>
        <v>14145.179903999999</v>
      </c>
      <c r="AM354" s="1106">
        <f>IF($P354="","N/A",(IF($P354=-1,INDEX('卡片raw data'!T:T,MATCH($D354,'卡片raw data'!$F:$F,)),0)+IF($P354=0,INDEX('卡片raw data'!W:W,MATCH($D354,'卡片raw data'!$F:$F,)),0)+IF($P354=1,INDEX('卡片raw data'!Z:Z,MATCH($D354,'卡片raw data'!$F:$F,)),0)+IF($P354=2,INDEX('卡片raw data'!AC:AC,MATCH($D354,'卡片raw data'!$F:$F,)),0)+IF($P354=3,INDEX('卡片raw data'!AF:AF,MATCH($D354,'卡片raw data'!$F:$F,)),0)+IF($P354=4,INDEX('卡片raw data'!AI:AI,MATCH($D354,'卡片raw data'!$F:$F,)),0)+IF($P354=5,INDEX('卡片raw data'!AL:AL,MATCH($D354,'卡片raw data'!$F:$F,)),0)+INDEX('卡片raw data'!T:T,MATCH($D354,'卡片raw data'!$F:$F,))*(IF($F354="UR",0.04,0.033))*(IF($F354="UR",INDEX(绊状态确认!$S:$S,MATCH($G354,绊状态确认!$B:$B,))/2-40)+IF($F354="SR",INDEX(绊状态确认!$R:$R,MATCH($G354,绊状态确认!$B:$B,))/4-15))+IF($F354="R",INDEX(绊状态确认!$Q:$Q,MATCH($G354,绊状态确认!$B:$B,))/6-40/6)))*(INDEX(绊状态确认!$H:$H,MATCH($G354,绊状态确认!$B:$B,))+INDEX(绊状态确认!K:K,MATCH($G354,绊状态确认!$B:$B,)))</f>
        <v>8418.9966719999993</v>
      </c>
      <c r="AN354" s="1106">
        <f>IF($P354="","N/A",(IF($P354=-1,INDEX('卡片raw data'!U:U,MATCH($D354,'卡片raw data'!$F:$F,)),0)+IF($P354=0,INDEX('卡片raw data'!X:X,MATCH($D354,'卡片raw data'!$F:$F,)),0)+IF($P354=1,INDEX('卡片raw data'!AA:AA,MATCH($D354,'卡片raw data'!$F:$F,)),0)+IF($P354=2,INDEX('卡片raw data'!AD:AD,MATCH($D354,'卡片raw data'!$F:$F,)),0)+IF($P354=3,INDEX('卡片raw data'!AG:AG,MATCH($D354,'卡片raw data'!$F:$F,)),0)+IF($P354=4,INDEX('卡片raw data'!AJ:AJ,MATCH($D354,'卡片raw data'!$F:$F,)),0)+IF($P354=5,INDEX('卡片raw data'!AM:AM,MATCH($D354,'卡片raw data'!$F:$F,)),0)+INDEX('卡片raw data'!U:U,MATCH($D354,'卡片raw data'!$F:$F,))*(IF($F354="UR",0.04,0.033))*(IF($F354="UR",INDEX(绊状态确认!$S:$S,MATCH($G354,绊状态确认!$B:$B,))/2-40)+IF($F354="SR",INDEX(绊状态确认!$R:$R,MATCH($G354,绊状态确认!$B:$B,))/4-15))+IF($F354="R",INDEX(绊状态确认!$Q:$Q,MATCH($G354,绊状态确认!$B:$B,))/6-40/6)))*(INDEX(绊状态确认!$H:$H,MATCH($G354,绊状态确认!$B:$B,))+INDEX(绊状态确认!L:L,MATCH($G354,绊状态确认!$B:$B,)))</f>
        <v>11114.082911999998</v>
      </c>
      <c r="AO354" s="1107">
        <f t="shared" si="449"/>
        <v>1</v>
      </c>
      <c r="AP354" s="1131">
        <f>1+(INDEX(绊状态确认!$T:$T,MATCH($G354,绊状态确认!$B:$B,))+0.2)*$AO354</f>
        <v>1.3</v>
      </c>
      <c r="AQ354" s="1108">
        <f t="shared" si="450"/>
        <v>40381.097247999998</v>
      </c>
      <c r="AR354" s="1097">
        <f>(AM354*(1+$EX$9)+$EX$35)*(1+(INDEX(绊状态确认!$T:$T,MATCH($G354,绊状态确认!$B:$B,))+0.2)*AO354)*IF(J354=$FF$17,1+$FE$17,1)*IF(I354=$FF$14,1+$FE$14,1)</f>
        <v>14195.930457279999</v>
      </c>
      <c r="AS354" s="1097">
        <f>(AN354*(1+$EX$10)+$EX$36)*(1+(INDEX(绊状态确认!$T:$T,MATCH($G354,绊状态确认!$B:$B,))+0.2)*AO354)*IF(J354=$FF$17,1+$FE$17,1)*IF(I354=$FF$14,1+$FE$14,1)</f>
        <v>20671.553953439994</v>
      </c>
      <c r="AT354" s="1093">
        <f>IF(AND(INDEX('卡片raw data'!AK:AK,MATCH($D354,'卡片raw data'!$F:$F,))&lt;INDEX('卡片raw data'!AM:AM,MATCH($D354,'卡片raw data'!$F:$F,)),INDEX('卡片raw data'!AL:AL,MATCH($D354,'卡片raw data'!$F:$F,))&lt;INDEX('卡片raw data'!AM:AM,MATCH($D354,'卡片raw data'!$F:$F,))),1,0)</f>
        <v>0</v>
      </c>
      <c r="AU354" s="1098">
        <f>MIN(AT354*0.15+AS354*0.00003+INDEX(绊状态确认!M:M,MATCH($G354,绊状态确认!$B:$B,)),1)</f>
        <v>0.65014661860319989</v>
      </c>
      <c r="AV354" s="1109">
        <f>(INDEX(绊状态确认!$N:$N,MATCH($G354,绊状态确认!$B:$B,))+1.5)*$EW$21</f>
        <v>2.6599999999999997</v>
      </c>
      <c r="AW354" s="1101">
        <f t="shared" si="451"/>
        <v>43605.453573541745</v>
      </c>
      <c r="AX354" s="1097">
        <f t="shared" si="452"/>
        <v>1221.4136199826592</v>
      </c>
      <c r="AY354" s="1110">
        <f t="shared" si="453"/>
        <v>44826.867193524406</v>
      </c>
      <c r="AZ354" s="429">
        <f t="shared" si="454"/>
        <v>30183.100812799996</v>
      </c>
      <c r="BA354" s="431">
        <f t="shared" si="455"/>
        <v>36219.720975359996</v>
      </c>
      <c r="BB354" s="1097">
        <f>(AM354*(1+$FB$9)+$FB$35)*(1+(INDEX(绊状态确认!$T:$T,MATCH($G354,绊状态确认!$B:$B,))+0.2)*AO354)*IF(J354=$FF$17,1+$FE$17,1)*IF(I354=$FF$14,1+$FE$14,1)*(1+$FE$15)</f>
        <v>14195.930457279999</v>
      </c>
      <c r="BC354" s="1097">
        <f>(AN354*(1+$FB$10)+$FB$36)*(1+(INDEX(绊状态确认!$T:$T,MATCH($G354,绊状态确认!$B:$B,))+0.2)*AO354)*IF(J354=$FF$17,1+$FE$17,1)*IF(I354=$FF$14,1+$FE$14,1)*(1+$FE$15)</f>
        <v>20671.553953439994</v>
      </c>
      <c r="BD354" s="1104">
        <f>MIN(AT354*0.15+BC354*0.00003+INDEX(绊状态确认!M:M,MATCH($G354,绊状态确认!$B:$B,)),1)</f>
        <v>0.65014661860319989</v>
      </c>
      <c r="BE354" s="432">
        <f>(INDEX(绊状态确认!$N:$N,MATCH($G354,绊状态确认!$B:$B,))+1.5)</f>
        <v>1.9</v>
      </c>
      <c r="BF354" s="1139">
        <f t="array" ref="BF354">SUMPRODUCT(IF(AZ354*AP354*$FI$16:$FI$23*$FA$22&gt;=$FI$24,$FI$24,AZ354*AP354*$FI$16:$FI$23*$FA$22),$FJ$16:$FJ$23)</f>
        <v>56567.565777011201</v>
      </c>
      <c r="BG354" s="1125">
        <f t="array" ref="BG354">SUMPRODUCT(IF(BE354*AZ354*AP354*$FI$16:$FI$23*$FA$22&gt;=$FI$24,$FI$24,BE354*AZ354*AP354*$FI$16:$FI$23*$FA$22),$FJ$16:$FJ$23)</f>
        <v>60000</v>
      </c>
      <c r="BH354" s="1110">
        <f t="shared" si="456"/>
        <v>19599.717093555089</v>
      </c>
      <c r="BI354" s="1111">
        <f>IF(O354="vo",$EW$26/$EW$24*0.05,0)+IF(O354="sk",-$EW$26/$EW$24*(0.05-INDEX(绊状态确认!W:W,MATCH($G354,绊状态确认!$B:$B,)))+0.05*$EW$28,0)+IF(O354="sp",0.05*$EW$32*$EW$30*(1-$EW$33)-(0.05-INDEX(绊状态确认!V:V,MATCH($G354,绊状态确认!$B:$B,)))*$EW$28,0)+IF(O354="gd",-(0.05-INDEX(绊状态确认!X:X,MATCH($G354,绊状态确认!$B:$B,)))*$EW$32*$EW$30*(1-$EW$33),0)</f>
        <v>7726.3029277443748</v>
      </c>
      <c r="BJ354" s="1097">
        <f>IF(O354="vo",0.05*(1-$FI$26)*$FA$24,0)+IF(O354="sk",-(0.05-INDEX(绊状态确认!W:W,MATCH($G354,绊状态确认!$B:$B,)))*(1-$FI$26)*$FA$24+0.05*$FA$26,0)+IF(O354="sp",0.05*$FA$32*$FA$27*(1-$FA$33)/$FA$30+0.05*$FA$29/$FA$69*$FA$27*(1-$FA$33)-(0.05-INDEX(绊状态确认!V:V,MATCH($G354,绊状态确认!$B:$B,)))*$FA$26,0)+IF(O354="gd",-(0.05-INDEX(绊状态确认!X:X,MATCH($G354,绊状态确认!$B:$B,)))*$FA$32*$FA$27*(1-$FA$33)/$FA$30-(0.05-INDEX(绊状态确认!X:X,MATCH($G354,绊状态确认!$B:$B,)))*$FA$29/$FA$69*$FA$27*(1-$FA$33),0)</f>
        <v>393.93433687500004</v>
      </c>
      <c r="BK354" s="1110">
        <f>IF(O354="vo",$EW$26/$EW$24*0.05+$EW$26*(-HP($EW$62,$EW$65,$EW$64)+HP($EW$62,$EW$65,(1.05-INDEX(绊状态确认!U:U,MATCH($G354,绊状态确认!$B:$B,)))*$EW$64)),0)+IF(O354="sk",-$EW$26/$EW$24*(0.05-INDEX(绊状态确认!W:W,MATCH($G354,绊状态确认!$B:$B,)))+0.05*$EW$29,0)+IF(O354="sp",0.05*$EW$32*$EW$30*(1-$EW$33)-(0.05-INDEX(绊状态确认!V:V,MATCH($G354,绊状态确认!$B:$B,)))*$EW$29,0)+IF(O354="gd",-(0.05-INDEX(绊状态确认!X:X,MATCH($G354,绊状态确认!$B:$B,)))*$EW$32*$EW$30*(1-$EW$33)+$EW$26*(-HP($EW$62,$EW$65,$EW$64)+HP($EW$62,$EW$65,0.95*$EW$64)),0)</f>
        <v>6421.6344775026746</v>
      </c>
      <c r="BL354" s="1111">
        <f t="shared" si="457"/>
        <v>0</v>
      </c>
      <c r="BM354" s="1110">
        <f t="shared" si="458"/>
        <v>0</v>
      </c>
      <c r="BN354" s="1113">
        <f t="shared" si="459"/>
        <v>3</v>
      </c>
      <c r="BO354" s="1108">
        <f t="shared" si="460"/>
        <v>4507.7214871259994</v>
      </c>
      <c r="BP354" s="1100">
        <f t="shared" si="461"/>
        <v>221.34103209030098</v>
      </c>
      <c r="BQ354" s="1113" t="s">
        <v>132</v>
      </c>
      <c r="BR354" s="1124" t="s">
        <v>171</v>
      </c>
      <c r="BS354" s="1098">
        <f>IF($P354="","N/A",IF($P354=-1,INDEX('卡片raw data'!AX:AX,MATCH($D354,'卡片raw data'!$F:$F,)),0)+IF($L354="party卡",IF($P354=5,INDEX('卡片raw data'!BD:BD,MATCH($D354,'卡片raw data'!$F:$F,)),IF($P354&gt;=3,INDEX('卡片raw data'!BC:BC,MATCH($D354,'卡片raw data'!$F:$F,)),INDEX('卡片raw data'!BB:BB,MATCH($D354,'卡片raw data'!$F:$F,)))),IF(OR(AND($F354="UR",$P354=0),AND($F354="SR",$P354&gt;=0,$P354&lt;=2),AND($F354="R",$P354&gt;=0,$P354&lt;4)),INDEX('卡片raw data'!AZ:AZ,MATCH($D354,'卡片raw data'!$F:$F,)),0)+IF(OR(AND($F354="UR",$P354&gt;=1,$P354&lt;=4),AND($F354="SR",$P354&lt;=4,$P354&gt;=3),AND($F354="R",$P354=4)),INDEX('卡片raw data'!BA:BA,MATCH($D354,'卡片raw data'!$F:$F,)),0)+IF($P354=5,INDEX('卡片raw data'!BB:BB,MATCH($D354,'卡片raw data'!$F:$F,)),0)))</f>
        <v>5.1999999999999998E-2</v>
      </c>
      <c r="BT354" s="1101">
        <f t="shared" si="462"/>
        <v>2604.4613036728001</v>
      </c>
      <c r="BU354" s="1097">
        <f t="shared" si="463"/>
        <v>111.90018844565216</v>
      </c>
      <c r="BV354" s="1097">
        <f t="shared" si="464"/>
        <v>1302.2306518363998</v>
      </c>
      <c r="BW354" s="1112">
        <f t="shared" si="465"/>
        <v>0</v>
      </c>
      <c r="BX354" s="1100">
        <f t="shared" si="466"/>
        <v>2604.4613036728001</v>
      </c>
      <c r="BY354" s="1110">
        <f t="shared" si="467"/>
        <v>1302.2306518363998</v>
      </c>
      <c r="BZ354" s="1113" t="s">
        <v>569</v>
      </c>
      <c r="CA354" s="1124"/>
      <c r="CB354" s="1098">
        <f>IF($P354="","N/A",IF($P354=-1,INDEX('卡片raw data'!BE:BE,MATCH($D354,'卡片raw data'!$F:$F,)),0)+IF($L354="party卡",IF($P354=5,INDEX('卡片raw data'!BK:BK,MATCH($D354,'卡片raw data'!$F:$F,)),IF($P354&gt;=3,INDEX('卡片raw data'!BJ:BJ,MATCH($D354,'卡片raw data'!$F:$F,)),INDEX('卡片raw data'!BI:BI,MATCH($D354,'卡片raw data'!$F:$F,)))),IF(OR(AND($F354="UR",$P354=0),AND($F354="SR",$P354&gt;=0,$P354&lt;=2),AND($F354="R",$P354&gt;=0,$P354&lt;4)),INDEX('卡片raw data'!BG:BG,MATCH($D354,'卡片raw data'!$F:$F,)),0)+IF(OR(AND($F354="UR",$P354&gt;=1,$P354&lt;=4),AND($F354="SR",$P354&lt;=4,$P354&gt;=3),AND($F354="R",$P354=4)),INDEX('卡片raw data'!BH:BH,MATCH($D354,'卡片raw data'!$F:$F,)),0)+IF($P354=5,INDEX('卡片raw data'!BI:BI,MATCH($D354,'卡片raw data'!$F:$F,)),0)))</f>
        <v>0</v>
      </c>
      <c r="CC354" s="1101">
        <f t="shared" si="468"/>
        <v>0</v>
      </c>
      <c r="CD354" s="1097">
        <f>IF(BZ354="ap",CB354*(1-$FI$26)*$FB$5/$FB$11*(+IF(CA354="全员",$FA$24,0)+IF(CA354="同作战",$FA$24,0)+IF(CA354="仲间",$FA$24*2/3,0)+IF(CA354="同属性",$FA$24*$FA$37/3,0)+IF(CA354="同年级",$FA$24*$FA$40/3,0)+IF(CA354="同学校",$FA$24*$FA$43/3,0)+IF(CA354="同小队",$FA$24*$FA$46/3,0)+IF(CA354="同type",$FA$24*INDEX($FB$49:$FB$52,MATCH(X354,$FA$49:$FA$52,))/3,0)+IF(CA354="自身",#REF!/3,0)),0)+IF(BZ354="te",CB354*(1-$FI$27)*($FA$20-1)*$FB$7/$FB$13*(+IF(CA354="全员",$FA$19*$FA$24/(1+($FA$20-1)*$FA$19),0)+IF(CA354="同作战",$FA$19*$FA$24/(1+($FA$20-1)*$FA$19),0)+IF(CA354="仲间",$FA$19*$FA$24*2/3/(1+($FA$20-1)*$FA$19),0)+IF(CA354="同属性",$FA$19*$FA$24*$FA$37/3/(1+($FA$20-1)*$FA$19),0)+IF(CA354="同年级",$FA$19*$FA$24*$FA$40/3/(1+($FA$20-1)*$FA$19),0)+IF(CA354="同学校",$FA$19*$FA$24*$FA$43/3/(1+($FA$20-1)*$FA$19),0)+IF(CA354="同小队",$FA$19*$FA$24*$FA$46/3/(1+($FA$20-1)*$FA$19),0)+IF(CA354="同type",$FA$19*$FA$24*INDEX($FB$49:$FB$52,MATCH(X354,$FA$49:$FA$52,))/3/(1+($FA$20-1)*$FA$19),0)+IF(CA354="自身",$FA$19*#REF!/3/(1+(BH354-1)*$BD354),0)),0)</f>
        <v>0</v>
      </c>
      <c r="CE354" s="1097">
        <f t="shared" si="469"/>
        <v>0</v>
      </c>
      <c r="CF354" s="1112">
        <f t="shared" si="470"/>
        <v>0</v>
      </c>
      <c r="CG354" s="1100">
        <f t="shared" si="471"/>
        <v>0</v>
      </c>
      <c r="CH354" s="1110">
        <f t="shared" si="472"/>
        <v>0</v>
      </c>
      <c r="CI354" s="1113" t="s">
        <v>164</v>
      </c>
      <c r="CJ354" s="1114">
        <v>1</v>
      </c>
      <c r="CK354" s="1115" t="s">
        <v>1671</v>
      </c>
      <c r="CL354" s="1115" t="s">
        <v>1670</v>
      </c>
      <c r="CM354" s="1119">
        <v>0.1</v>
      </c>
      <c r="CN354" s="1115">
        <v>5</v>
      </c>
      <c r="CO354" s="1115"/>
      <c r="CP354" s="1118">
        <f t="shared" si="473"/>
        <v>7.1428571428571426E-3</v>
      </c>
      <c r="CQ354" s="1118">
        <f t="shared" si="474"/>
        <v>9.7222222222222224E-3</v>
      </c>
      <c r="CR354" s="1118">
        <f t="shared" si="475"/>
        <v>3.5714285714285718E-3</v>
      </c>
      <c r="CS354" s="1118">
        <f t="shared" si="476"/>
        <v>0</v>
      </c>
      <c r="CT354" s="1109">
        <f t="shared" si="477"/>
        <v>0</v>
      </c>
      <c r="CU354" s="1101">
        <f t="shared" si="478"/>
        <v>835.94413379517857</v>
      </c>
      <c r="CV354" s="1108">
        <f t="shared" si="479"/>
        <v>78.724184027178168</v>
      </c>
      <c r="CW354" s="1097">
        <f t="shared" si="480"/>
        <v>417.97206689758934</v>
      </c>
      <c r="CX354" s="1097">
        <f t="shared" si="481"/>
        <v>835.94413379517857</v>
      </c>
      <c r="CY354" s="1110">
        <f t="shared" si="482"/>
        <v>417.97206689758934</v>
      </c>
      <c r="CZ354" s="437"/>
      <c r="DA354" s="438"/>
      <c r="DB354" s="439" t="s">
        <v>569</v>
      </c>
      <c r="DC354" s="439"/>
      <c r="DD354" s="443"/>
      <c r="DE354" s="411"/>
      <c r="DF354" s="411"/>
      <c r="DG354" s="1116">
        <f t="shared" si="483"/>
        <v>0</v>
      </c>
      <c r="DH354" s="1116">
        <f t="shared" si="484"/>
        <v>0</v>
      </c>
      <c r="DI354" s="1116">
        <f t="shared" si="485"/>
        <v>0</v>
      </c>
      <c r="DJ354" s="442">
        <f t="shared" si="486"/>
        <v>0</v>
      </c>
      <c r="DK354" s="1109">
        <f t="shared" si="487"/>
        <v>0</v>
      </c>
      <c r="DL354" s="1101">
        <f t="shared" si="488"/>
        <v>0</v>
      </c>
      <c r="DM354" s="1097">
        <f t="shared" si="489"/>
        <v>0</v>
      </c>
      <c r="DN354" s="1097">
        <f t="shared" si="490"/>
        <v>0</v>
      </c>
      <c r="DO354" s="1097">
        <f t="shared" si="491"/>
        <v>0</v>
      </c>
      <c r="DP354" s="1110">
        <f t="shared" si="492"/>
        <v>0</v>
      </c>
      <c r="DQ354" s="1113" t="s">
        <v>167</v>
      </c>
      <c r="DR354" s="1120">
        <f t="shared" si="493"/>
        <v>0.33</v>
      </c>
      <c r="DS354" s="1124">
        <v>5</v>
      </c>
      <c r="DT354" s="1093" t="s">
        <v>171</v>
      </c>
      <c r="DU354" s="1093" t="s">
        <v>544</v>
      </c>
      <c r="DV354" s="1098">
        <f>IF($P354="","N/A",IF(P354=-1,INDEX('卡片raw data'!AN:AN,MATCH(D354,'卡片raw data'!$F:$F,)),0)+IF(AND(L354&lt;&gt;"party卡",P354&lt;=2,P354&gt;=0),INDEX('卡片raw data'!AP:AP,MATCH(D354,'卡片raw data'!$F:$F,)),0)+IF(OR(AND(L354="party卡",P354&lt;=1),AND(P354&lt;=4,L354&lt;&gt;"party卡",P354&gt;=3)),INDEX('卡片raw data'!AQ:AQ,MATCH(D354,'卡片raw data'!$F:$F,)),0)+IF(OR(P354=5,AND(L354="party卡",P354&gt;=2)),INDEX('卡片raw data'!AR:AR,MATCH(D354,'卡片raw data'!$F:$F,)),0))</f>
        <v>7.1999999999999995E-2</v>
      </c>
      <c r="DW354" s="1098">
        <f t="shared" si="494"/>
        <v>0.33</v>
      </c>
      <c r="DX354" s="1098">
        <f t="shared" si="495"/>
        <v>0.33</v>
      </c>
      <c r="DY354" s="1098">
        <f t="shared" si="496"/>
        <v>2.6399999999999996E-2</v>
      </c>
      <c r="DZ354" s="1098">
        <f t="shared" si="497"/>
        <v>1.9981499999999999E-2</v>
      </c>
      <c r="EA354" s="1098">
        <f t="shared" si="498"/>
        <v>0</v>
      </c>
      <c r="EB354" s="1121">
        <f t="shared" si="499"/>
        <v>0</v>
      </c>
      <c r="EC354" s="1101">
        <f t="shared" si="500"/>
        <v>3589.9493923471459</v>
      </c>
      <c r="ED354" s="1097">
        <f t="shared" si="501"/>
        <v>131.18998253779688</v>
      </c>
      <c r="EE354" s="1110">
        <f t="shared" si="513"/>
        <v>3589.9493923471459</v>
      </c>
      <c r="EF354" s="1115" t="s">
        <v>569</v>
      </c>
      <c r="EG354" s="1120">
        <f t="shared" si="503"/>
        <v>0.33</v>
      </c>
      <c r="EH354" s="1124"/>
      <c r="EI354" s="1093"/>
      <c r="EJ354" s="1093"/>
      <c r="EK354" s="1097">
        <f>IF($P354="","N/A",IF(P354=-1,INDEX('卡片raw data'!AS:AS,MATCH(D354,'卡片raw data'!$F:$F,)),0)+IF(AND(L354&lt;&gt;"party卡",P354&lt;=2,P354&gt;=0),INDEX('卡片raw data'!AU:AU,MATCH(D354,'卡片raw data'!$F:$F,)),0)+IF(OR(AND(L354="party卡",P354&lt;=1),AND(P354&lt;=4,L354&lt;&gt;"party卡",P354&gt;=3)),INDEX('卡片raw data'!AV:AV,MATCH(D354,'卡片raw data'!$F:$F,)),0)+IF(OR(P354=5,AND(L354="party卡",P354&gt;=2)),INDEX('卡片raw data'!AW:AW,MATCH(D354,'卡片raw data'!$F:$F,)),0))</f>
        <v>0</v>
      </c>
      <c r="EL354" s="1098">
        <f t="shared" si="504"/>
        <v>0.33</v>
      </c>
      <c r="EM354" s="1098">
        <f t="shared" si="505"/>
        <v>0.33</v>
      </c>
      <c r="EN354" s="1097">
        <f t="shared" si="506"/>
        <v>0</v>
      </c>
      <c r="EO354" s="1097">
        <f t="shared" si="507"/>
        <v>0</v>
      </c>
      <c r="EP354" s="1098">
        <f t="shared" si="508"/>
        <v>0</v>
      </c>
      <c r="EQ354" s="1121">
        <f t="shared" si="509"/>
        <v>0</v>
      </c>
      <c r="ER354" s="1101">
        <f t="shared" si="510"/>
        <v>0</v>
      </c>
      <c r="ES354" s="1097">
        <f t="shared" si="511"/>
        <v>0</v>
      </c>
      <c r="ET354" s="1122">
        <f t="shared" si="514"/>
        <v>0</v>
      </c>
    </row>
    <row r="355" spans="2:150" ht="16.5" customHeight="1">
      <c r="B355" s="1123" t="str">
        <f>INDEX('卡片raw data'!B:B,MATCH($D355,'卡片raw data'!$F:$F,))</f>
        <v>乐园姬</v>
      </c>
      <c r="C355" s="449" t="s">
        <v>1674</v>
      </c>
      <c r="D355" s="408">
        <v>352</v>
      </c>
      <c r="E355" s="477">
        <v>400063002</v>
      </c>
      <c r="F355" s="1090" t="str">
        <f>INDEX('卡片raw data'!C:C,MATCH($D355,'卡片raw data'!$F:$F,))</f>
        <v>UR</v>
      </c>
      <c r="G355" s="1094" t="s">
        <v>29</v>
      </c>
      <c r="H355" s="411">
        <f>IFERROR(INDEX(绊状态确认!C:C,MATCH($G355,绊状态确认!$B:$B,)),"")</f>
        <v>6</v>
      </c>
      <c r="I355" s="450" t="str">
        <f>IFERROR(INDEX(绊状态确认!D:D,MATCH($G355,绊状态确认!$B:$B,)),"")</f>
        <v>缪</v>
      </c>
      <c r="J355" s="450" t="str">
        <f>IFERROR(INDEX(绊状态确认!E:E,MATCH($G355,绊状态确认!$B:$B,)),"")</f>
        <v>1年级</v>
      </c>
      <c r="K355" s="451" t="str">
        <f>IFERROR(INDEX(绊状态确认!F:F,MATCH($G355,绊状态确认!$B:$B,)),"")</f>
        <v>BiBi</v>
      </c>
      <c r="L355" s="1094" t="str">
        <f>INDEX('卡片raw data'!E:E,MATCH($D355,'卡片raw data'!$F:$F,))</f>
        <v>活动卡</v>
      </c>
      <c r="M355" s="478">
        <v>44154</v>
      </c>
      <c r="N355" s="479">
        <v>28</v>
      </c>
      <c r="O355" s="1091" t="str">
        <f>INDEX('卡片raw data'!D:D,MATCH($D355,'卡片raw data'!$F:$F,))</f>
        <v>sk</v>
      </c>
      <c r="P355" s="1126">
        <v>5</v>
      </c>
      <c r="Q355" s="1095">
        <f t="shared" si="428"/>
        <v>38188.260536465088</v>
      </c>
      <c r="R355" s="1096">
        <f t="shared" si="429"/>
        <v>0.443</v>
      </c>
      <c r="S355" s="1097">
        <f t="shared" si="430"/>
        <v>21211.989595146722</v>
      </c>
      <c r="T355" s="1098">
        <f t="shared" si="431"/>
        <v>1.06</v>
      </c>
      <c r="U355" s="1099">
        <f t="shared" si="432"/>
        <v>15.081088412742858</v>
      </c>
      <c r="V355" s="1100">
        <f t="shared" si="433"/>
        <v>41399.00629372464</v>
      </c>
      <c r="W355" s="1101">
        <f t="shared" si="434"/>
        <v>8356.7928134205467</v>
      </c>
      <c r="X355" s="1096">
        <f t="shared" si="435"/>
        <v>9.7000000000000003E-2</v>
      </c>
      <c r="Y355" s="1097">
        <f t="shared" si="436"/>
        <v>1210.745757259554</v>
      </c>
      <c r="Z355" s="1102">
        <f t="shared" si="437"/>
        <v>15.081088412742858</v>
      </c>
      <c r="AA355" s="1103">
        <f t="shared" si="438"/>
        <v>9567.5385706801007</v>
      </c>
      <c r="AB355" s="1101">
        <f t="shared" si="439"/>
        <v>8356.7928134205467</v>
      </c>
      <c r="AC355" s="1104">
        <f t="shared" si="440"/>
        <v>9.7000000000000003E-2</v>
      </c>
      <c r="AD355" s="1105">
        <f t="shared" si="441"/>
        <v>2.1769318181818181E-2</v>
      </c>
      <c r="AE355" s="1128">
        <f t="shared" si="442"/>
        <v>73.786957704745831</v>
      </c>
      <c r="AF355" s="1130">
        <f t="shared" si="443"/>
        <v>0</v>
      </c>
      <c r="AG355" s="420">
        <f t="shared" si="444"/>
        <v>0</v>
      </c>
      <c r="AH355" s="420">
        <f t="shared" si="445"/>
        <v>0</v>
      </c>
      <c r="AI355" s="1097">
        <f t="shared" si="446"/>
        <v>0</v>
      </c>
      <c r="AJ355" s="420">
        <f t="shared" si="447"/>
        <v>0</v>
      </c>
      <c r="AK355" s="518">
        <f t="shared" si="448"/>
        <v>0</v>
      </c>
      <c r="AL355" s="1106">
        <f>IF($P355="","N/A",(IF($P355=-1,INDEX('卡片raw data'!S:S,MATCH($D355,'卡片raw data'!$F:$F,)),0)+IF($P355=0,INDEX('卡片raw data'!V:V,MATCH($D355,'卡片raw data'!$F:$F,)),0)+IF($P355=1,INDEX('卡片raw data'!Y:Y,MATCH($D355,'卡片raw data'!$F:$F,)),0)+IF($P355=2,INDEX('卡片raw data'!AB:AB,MATCH($D355,'卡片raw data'!$F:$F,)),0)+IF($P355=3,INDEX('卡片raw data'!AE:AE,MATCH($D355,'卡片raw data'!$F:$F,)),0)+IF($P355=4,INDEX('卡片raw data'!AH:AH,MATCH($D355,'卡片raw data'!$F:$F,)),0)+IF($P355=5,INDEX('卡片raw data'!AK:AK,MATCH($D355,'卡片raw data'!$F:$F,)),0)+INDEX('卡片raw data'!S:S,MATCH($D355,'卡片raw data'!$F:$F,))*(IF($F355="UR",0.04,0.033))*(IF($F355="UR",INDEX(绊状态确认!$S:$S,MATCH($G355,绊状态确认!$B:$B,))/2-40)+IF($F355="SR",INDEX(绊状态确认!$R:$R,MATCH($G355,绊状态确认!$B:$B,))/4-15))+IF($F355="R",INDEX(绊状态确认!$Q:$Q,MATCH($G355,绊状态确认!$B:$B,))/6-40/6)))*(INDEX(绊状态确认!$H:$H,MATCH($G355,绊状态确认!$B:$B,))+INDEX(绊状态确认!J:J,MATCH($G355,绊状态确认!$B:$B,)))</f>
        <v>9162.8386559999981</v>
      </c>
      <c r="AM355" s="1106">
        <f>IF($P355="","N/A",(IF($P355=-1,INDEX('卡片raw data'!T:T,MATCH($D355,'卡片raw data'!$F:$F,)),0)+IF($P355=0,INDEX('卡片raw data'!W:W,MATCH($D355,'卡片raw data'!$F:$F,)),0)+IF($P355=1,INDEX('卡片raw data'!Z:Z,MATCH($D355,'卡片raw data'!$F:$F,)),0)+IF($P355=2,INDEX('卡片raw data'!AC:AC,MATCH($D355,'卡片raw data'!$F:$F,)),0)+IF($P355=3,INDEX('卡片raw data'!AF:AF,MATCH($D355,'卡片raw data'!$F:$F,)),0)+IF($P355=4,INDEX('卡片raw data'!AI:AI,MATCH($D355,'卡片raw data'!$F:$F,)),0)+IF($P355=5,INDEX('卡片raw data'!AL:AL,MATCH($D355,'卡片raw data'!$F:$F,)),0)+INDEX('卡片raw data'!T:T,MATCH($D355,'卡片raw data'!$F:$F,))*(IF($F355="UR",0.04,0.033))*(IF($F355="UR",INDEX(绊状态确认!$S:$S,MATCH($G355,绊状态确认!$B:$B,))/2-40)+IF($F355="SR",INDEX(绊状态确认!$R:$R,MATCH($G355,绊状态确认!$B:$B,))/4-15))+IF($F355="R",INDEX(绊状态确认!$Q:$Q,MATCH($G355,绊状态确认!$B:$B,))/6-40/6)))*(INDEX(绊状态确认!$H:$H,MATCH($G355,绊状态确认!$B:$B,))+INDEX(绊状态确认!K:K,MATCH($G355,绊状态确认!$B:$B,)))</f>
        <v>8330.9029439999995</v>
      </c>
      <c r="AN355" s="1106">
        <f>IF($P355="","N/A",(IF($P355=-1,INDEX('卡片raw data'!U:U,MATCH($D355,'卡片raw data'!$F:$F,)),0)+IF($P355=0,INDEX('卡片raw data'!X:X,MATCH($D355,'卡片raw data'!$F:$F,)),0)+IF($P355=1,INDEX('卡片raw data'!AA:AA,MATCH($D355,'卡片raw data'!$F:$F,)),0)+IF($P355=2,INDEX('卡片raw data'!AD:AD,MATCH($D355,'卡片raw data'!$F:$F,)),0)+IF($P355=3,INDEX('卡片raw data'!AG:AG,MATCH($D355,'卡片raw data'!$F:$F,)),0)+IF($P355=4,INDEX('卡片raw data'!AJ:AJ,MATCH($D355,'卡片raw data'!$F:$F,)),0)+IF($P355=5,INDEX('卡片raw data'!AM:AM,MATCH($D355,'卡片raw data'!$F:$F,)),0)+INDEX('卡片raw data'!U:U,MATCH($D355,'卡片raw data'!$F:$F,))*(IF($F355="UR",0.04,0.033))*(IF($F355="UR",INDEX(绊状态确认!$S:$S,MATCH($G355,绊状态确认!$B:$B,))/2-40)+IF($F355="SR",INDEX(绊状态确认!$R:$R,MATCH($G355,绊状态确认!$B:$B,))/4-15))+IF($F355="R",INDEX(绊状态确认!$Q:$Q,MATCH($G355,绊状态确认!$B:$B,))/6-40/6)))*(INDEX(绊状态确认!$H:$H,MATCH($G355,绊状态确认!$B:$B,))+INDEX(绊状态确认!L:L,MATCH($G355,绊状态确认!$B:$B,)))</f>
        <v>10272.874175999999</v>
      </c>
      <c r="AO355" s="1107">
        <f t="shared" si="449"/>
        <v>1</v>
      </c>
      <c r="AP355" s="1131">
        <f>1+(INDEX(绊状态确认!$T:$T,MATCH($G355,绊状态确认!$B:$B,))+0.2)*$AO355</f>
        <v>1.3</v>
      </c>
      <c r="AQ355" s="1108">
        <f t="shared" si="450"/>
        <v>27302.451471999997</v>
      </c>
      <c r="AR355" s="1097">
        <f>(AM355*(1+$EX$9)+$EX$35)*(1+(INDEX(绊状态确认!$T:$T,MATCH($G355,绊状态确认!$B:$B,))+0.2)*AO355)*IF(J355=$FF$17,1+$FE$17,1)*IF(I355=$FF$14,1+$FE$14,1)</f>
        <v>14075.682518560001</v>
      </c>
      <c r="AS355" s="1097">
        <f>(AN355*(1+$EX$10)+$EX$36)*(1+(INDEX(绊状态确认!$T:$T,MATCH($G355,绊状态确认!$B:$B,))+0.2)*AO355)*IF(J355=$FF$17,1+$FE$17,1)*IF(I355=$FF$14,1+$FE$14,1)</f>
        <v>19413.946893119999</v>
      </c>
      <c r="AT355" s="1093">
        <f>IF(AND(INDEX('卡片raw data'!AK:AK,MATCH($D355,'卡片raw data'!$F:$F,))&lt;INDEX('卡片raw data'!AM:AM,MATCH($D355,'卡片raw data'!$F:$F,)),INDEX('卡片raw data'!AL:AL,MATCH($D355,'卡片raw data'!$F:$F,))&lt;INDEX('卡片raw data'!AM:AM,MATCH($D355,'卡片raw data'!$F:$F,))),1,0)</f>
        <v>1</v>
      </c>
      <c r="AU355" s="1098">
        <f>MIN(AT355*0.15+AS355*0.00003+INDEX(绊状态确认!M:M,MATCH($G355,绊状态确认!$B:$B,)),1)</f>
        <v>0.76241840679360007</v>
      </c>
      <c r="AV355" s="1109">
        <f>(INDEX(绊状态确认!$N:$N,MATCH($G355,绊状态确认!$B:$B,))+1.5)*$EW$21</f>
        <v>2.6599999999999997</v>
      </c>
      <c r="AW355" s="1101">
        <f t="shared" si="451"/>
        <v>32125.14035801448</v>
      </c>
      <c r="AX355" s="1097">
        <f t="shared" si="452"/>
        <v>1210.7457572595547</v>
      </c>
      <c r="AY355" s="1110">
        <f t="shared" si="453"/>
        <v>33335.886115274036</v>
      </c>
      <c r="AZ355" s="429">
        <f t="shared" si="454"/>
        <v>20467.535379199995</v>
      </c>
      <c r="BA355" s="431">
        <f t="shared" si="455"/>
        <v>24561.042455039995</v>
      </c>
      <c r="BB355" s="1097">
        <f>(AM355*(1+$FB$9)+$FB$35)*(1+(INDEX(绊状态确认!$T:$T,MATCH($G355,绊状态确认!$B:$B,))+0.2)*AO355)*IF(J355=$FF$17,1+$FE$17,1)*IF(I355=$FF$14,1+$FE$14,1)*(1+$FE$15)</f>
        <v>14075.682518560001</v>
      </c>
      <c r="BC355" s="1097">
        <f>(AN355*(1+$FB$10)+$FB$36)*(1+(INDEX(绊状态确认!$T:$T,MATCH($G355,绊状态确认!$B:$B,))+0.2)*AO355)*IF(J355=$FF$17,1+$FE$17,1)*IF(I355=$FF$14,1+$FE$14,1)*(1+$FE$15)</f>
        <v>19413.946893119999</v>
      </c>
      <c r="BD355" s="1104">
        <f>MIN(AT355*0.15+BC355*0.00003+INDEX(绊状态确认!M:M,MATCH($G355,绊状态确认!$B:$B,)),1)</f>
        <v>0.76241840679360007</v>
      </c>
      <c r="BE355" s="432">
        <f>(INDEX(绊状态确认!$N:$N,MATCH($G355,绊状态确认!$B:$B,))+1.5)</f>
        <v>1.9</v>
      </c>
      <c r="BF355" s="1139">
        <f t="array" ref="BF355">SUMPRODUCT(IF(AZ355*AP355*$FI$16:$FI$23*$FA$22&gt;=$FI$24,$FI$24,AZ355*AP355*$FI$16:$FI$23*$FA$22),$FJ$16:$FJ$23)</f>
        <v>40709.927869228784</v>
      </c>
      <c r="BG355" s="1125">
        <f t="array" ref="BG355">SUMPRODUCT(IF(BE355*AZ355*AP355*$FI$16:$FI$23*$FA$22&gt;=$FI$24,$FI$24,BE355*AZ355*AP355*$FI$16:$FI$23*$FA$22),$FJ$16:$FJ$23)</f>
        <v>60000</v>
      </c>
      <c r="BH355" s="1110">
        <f t="shared" si="456"/>
        <v>18472.344643368331</v>
      </c>
      <c r="BI355" s="1111">
        <f>IF(O355="vo",$EW$26/$EW$24*0.05,0)+IF(O355="sk",-$EW$26/$EW$24*(0.05-INDEX(绊状态确认!W:W,MATCH($G355,绊状态确认!$B:$B,)))+0.05*$EW$28,0)+IF(O355="sp",0.05*$EW$32*$EW$30*(1-$EW$33)-(0.05-INDEX(绊状态确认!V:V,MATCH($G355,绊状态确认!$B:$B,)))*$EW$28,0)+IF(O355="gd",-(0.05-INDEX(绊状态确认!X:X,MATCH($G355,绊状态确认!$B:$B,)))*$EW$32*$EW$30*(1-$EW$33),0)</f>
        <v>-6253.6726349699375</v>
      </c>
      <c r="BJ355" s="1097">
        <f>IF(O355="vo",0.05*(1-$FI$26)*$FA$24,0)+IF(O355="sk",-(0.05-INDEX(绊状态确认!W:W,MATCH($G355,绊状态确认!$B:$B,)))*(1-$FI$26)*$FA$24+0.05*$FA$26,0)+IF(O355="sp",0.05*$FA$32*$FA$27*(1-$FA$33)/$FA$30+0.05*$FA$29/$FA$69*$FA$27*(1-$FA$33)-(0.05-INDEX(绊状态确认!V:V,MATCH($G355,绊状态确认!$B:$B,)))*$FA$26,0)+IF(O355="gd",-(0.05-INDEX(绊状态确认!X:X,MATCH($G355,绊状态确认!$B:$B,)))*$FA$32*$FA$27*(1-$FA$33)/$FA$30-(0.05-INDEX(绊状态确认!X:X,MATCH($G355,绊状态确认!$B:$B,)))*$FA$29/$FA$69*$FA$27*(1-$FA$33),0)</f>
        <v>20.459096812499922</v>
      </c>
      <c r="BK355" s="1110">
        <f>IF(O355="vo",$EW$26/$EW$24*0.05+$EW$26*(-HP($EW$62,$EW$65,$EW$64)+HP($EW$62,$EW$65,(1.05-INDEX(绊状态确认!U:U,MATCH($G355,绊状态确认!$B:$B,)))*$EW$64)),0)+IF(O355="sk",-$EW$26/$EW$24*(0.05-INDEX(绊状态确认!W:W,MATCH($G355,绊状态确认!$B:$B,)))+0.05*$EW$29,0)+IF(O355="sp",0.05*$EW$32*$EW$30*(1-$EW$33)-(0.05-INDEX(绊状态确认!V:V,MATCH($G355,绊状态确认!$B:$B,)))*$EW$29,0)+IF(O355="gd",-(0.05-INDEX(绊状态确认!X:X,MATCH($G355,绊状态确认!$B:$B,)))*$EW$32*$EW$30*(1-$EW$33)+$EW$26*(-HP($EW$62,$EW$65,$EW$64)+HP($EW$62,$EW$65,0.95*$EW$64)),0)</f>
        <v>-4253.6726349699375</v>
      </c>
      <c r="BL355" s="1111">
        <f t="shared" si="457"/>
        <v>0</v>
      </c>
      <c r="BM355" s="1110">
        <f t="shared" si="458"/>
        <v>0</v>
      </c>
      <c r="BN355" s="1113">
        <f t="shared" si="459"/>
        <v>3</v>
      </c>
      <c r="BO355" s="1108">
        <f t="shared" si="460"/>
        <v>4507.7214871259994</v>
      </c>
      <c r="BP355" s="1100">
        <f t="shared" si="461"/>
        <v>221.34103209030098</v>
      </c>
      <c r="BQ355" s="1113" t="s">
        <v>134</v>
      </c>
      <c r="BR355" s="1124" t="s">
        <v>161</v>
      </c>
      <c r="BS355" s="1098">
        <f>IF($P355="","N/A",IF($P355=-1,INDEX('卡片raw data'!AX:AX,MATCH($D355,'卡片raw data'!$F:$F,)),0)+IF($L355="party卡",IF($P355=5,INDEX('卡片raw data'!BD:BD,MATCH($D355,'卡片raw data'!$F:$F,)),IF($P355&gt;=3,INDEX('卡片raw data'!BC:BC,MATCH($D355,'卡片raw data'!$F:$F,)),INDEX('卡片raw data'!BB:BB,MATCH($D355,'卡片raw data'!$F:$F,)))),IF(OR(AND($F355="UR",$P355=0),AND($F355="SR",$P355&gt;=0,$P355&lt;=2),AND($F355="R",$P355&gt;=0,$P355&lt;4)),INDEX('卡片raw data'!AZ:AZ,MATCH($D355,'卡片raw data'!$F:$F,)),0)+IF(OR(AND($F355="UR",$P355&gt;=1,$P355&lt;=4),AND($F355="SR",$P355&lt;=4,$P355&gt;=3),AND($F355="R",$P355=4)),INDEX('卡片raw data'!BA:BA,MATCH($D355,'卡片raw data'!$F:$F,)),0)+IF($P355=5,INDEX('卡片raw data'!BB:BB,MATCH($D355,'卡片raw data'!$F:$F,)),0)))</f>
        <v>4.2000000000000003E-2</v>
      </c>
      <c r="BT355" s="1101">
        <f t="shared" si="462"/>
        <v>2971.3299858096102</v>
      </c>
      <c r="BU355" s="1097">
        <f t="shared" si="463"/>
        <v>214.92580204297263</v>
      </c>
      <c r="BV355" s="1097">
        <f t="shared" si="464"/>
        <v>2971.3299858096102</v>
      </c>
      <c r="BW355" s="1112">
        <f t="shared" si="465"/>
        <v>0</v>
      </c>
      <c r="BX355" s="1100">
        <f t="shared" si="466"/>
        <v>2971.3299858096102</v>
      </c>
      <c r="BY355" s="1110">
        <f t="shared" si="467"/>
        <v>2971.3299858096102</v>
      </c>
      <c r="BZ355" s="1107" t="s">
        <v>569</v>
      </c>
      <c r="CA355" s="1124"/>
      <c r="CB355" s="1098">
        <f>IF($P355="","N/A",IF($P355=-1,INDEX('卡片raw data'!BE:BE,MATCH($D355,'卡片raw data'!$F:$F,)),0)+IF($L355="party卡",IF($P355=5,INDEX('卡片raw data'!BK:BK,MATCH($D355,'卡片raw data'!$F:$F,)),IF($P355&gt;=3,INDEX('卡片raw data'!BJ:BJ,MATCH($D355,'卡片raw data'!$F:$F,)),INDEX('卡片raw data'!BI:BI,MATCH($D355,'卡片raw data'!$F:$F,)))),IF(OR(AND($F355="UR",$P355=0),AND($F355="SR",$P355&gt;=0,$P355&lt;=2),AND($F355="R",$P355&gt;=0,$P355&lt;4)),INDEX('卡片raw data'!BG:BG,MATCH($D355,'卡片raw data'!$F:$F,)),0)+IF(OR(AND($F355="UR",$P355&gt;=1,$P355&lt;=4),AND($F355="SR",$P355&lt;=4,$P355&gt;=3),AND($F355="R",$P355=4)),INDEX('卡片raw data'!BH:BH,MATCH($D355,'卡片raw data'!$F:$F,)),0)+IF($P355=5,INDEX('卡片raw data'!BI:BI,MATCH($D355,'卡片raw data'!$F:$F,)),0)))</f>
        <v>0</v>
      </c>
      <c r="CC355" s="1101">
        <f t="shared" si="468"/>
        <v>0</v>
      </c>
      <c r="CD355" s="1097">
        <f>IF(BZ355="ap",CB355*(1-$FI$26)*$FB$5/$FB$11*(+IF(CA355="全员",$FA$24,0)+IF(CA355="同作战",$FA$24,0)+IF(CA355="仲间",$FA$24*2/3,0)+IF(CA355="同属性",$FA$24*$FA$37/3,0)+IF(CA355="同年级",$FA$24*$FA$40/3,0)+IF(CA355="同学校",$FA$24*$FA$43/3,0)+IF(CA355="同小队",$FA$24*$FA$46/3,0)+IF(CA355="同type",$FA$24*INDEX($FB$49:$FB$52,MATCH(X355,$FA$49:$FA$52,))/3,0)+IF(CA355="自身",#REF!/3,0)),0)+IF(BZ355="te",CB355*(1-$FI$27)*($FA$20-1)*$FB$7/$FB$13*(+IF(CA355="全员",$FA$19*$FA$24/(1+($FA$20-1)*$FA$19),0)+IF(CA355="同作战",$FA$19*$FA$24/(1+($FA$20-1)*$FA$19),0)+IF(CA355="仲间",$FA$19*$FA$24*2/3/(1+($FA$20-1)*$FA$19),0)+IF(CA355="同属性",$FA$19*$FA$24*$FA$37/3/(1+($FA$20-1)*$FA$19),0)+IF(CA355="同年级",$FA$19*$FA$24*$FA$40/3/(1+($FA$20-1)*$FA$19),0)+IF(CA355="同学校",$FA$19*$FA$24*$FA$43/3/(1+($FA$20-1)*$FA$19),0)+IF(CA355="同小队",$FA$19*$FA$24*$FA$46/3/(1+($FA$20-1)*$FA$19),0)+IF(CA355="同type",$FA$19*$FA$24*INDEX($FB$49:$FB$52,MATCH(X355,$FA$49:$FA$52,))/3/(1+($FA$20-1)*$FA$19),0)+IF(CA355="自身",$FA$19*#REF!/3/(1+(BH355-1)*$BD355),0)),0)</f>
        <v>0</v>
      </c>
      <c r="CE355" s="1097">
        <f t="shared" si="469"/>
        <v>0</v>
      </c>
      <c r="CF355" s="1112">
        <f t="shared" si="470"/>
        <v>0</v>
      </c>
      <c r="CG355" s="1100">
        <f t="shared" si="471"/>
        <v>0</v>
      </c>
      <c r="CH355" s="1110">
        <f t="shared" si="472"/>
        <v>0</v>
      </c>
      <c r="CI355" s="1113" t="s">
        <v>160</v>
      </c>
      <c r="CJ355" s="1114">
        <v>1</v>
      </c>
      <c r="CK355" s="1115" t="s">
        <v>1676</v>
      </c>
      <c r="CL355" s="1115" t="s">
        <v>1675</v>
      </c>
      <c r="CM355" s="1119">
        <v>7.0000000000000007E-2</v>
      </c>
      <c r="CN355" s="1115">
        <v>3</v>
      </c>
      <c r="CO355" s="1115">
        <v>10</v>
      </c>
      <c r="CP355" s="1118">
        <f t="shared" si="473"/>
        <v>7.5000000000000006E-3</v>
      </c>
      <c r="CQ355" s="1118">
        <f t="shared" si="474"/>
        <v>1.1666666666666667E-2</v>
      </c>
      <c r="CR355" s="1118">
        <f t="shared" si="475"/>
        <v>7.5000000000000006E-3</v>
      </c>
      <c r="CS355" s="1118">
        <f t="shared" si="476"/>
        <v>0</v>
      </c>
      <c r="CT355" s="1109">
        <f t="shared" si="477"/>
        <v>0</v>
      </c>
      <c r="CU355" s="1101">
        <f t="shared" si="478"/>
        <v>877.74134048493761</v>
      </c>
      <c r="CV355" s="1108">
        <f t="shared" si="479"/>
        <v>94.469020832613793</v>
      </c>
      <c r="CW355" s="1097">
        <f t="shared" si="480"/>
        <v>877.74134048493761</v>
      </c>
      <c r="CX355" s="1097">
        <f t="shared" si="481"/>
        <v>877.74134048493761</v>
      </c>
      <c r="CY355" s="1110">
        <f t="shared" si="482"/>
        <v>877.74134048493761</v>
      </c>
      <c r="CZ355" s="437"/>
      <c r="DA355" s="438"/>
      <c r="DB355" s="439" t="s">
        <v>569</v>
      </c>
      <c r="DC355" s="439"/>
      <c r="DD355" s="443"/>
      <c r="DE355" s="411"/>
      <c r="DF355" s="411"/>
      <c r="DG355" s="1116">
        <f t="shared" si="483"/>
        <v>0</v>
      </c>
      <c r="DH355" s="1116">
        <f t="shared" si="484"/>
        <v>0</v>
      </c>
      <c r="DI355" s="1116">
        <f t="shared" si="485"/>
        <v>0</v>
      </c>
      <c r="DJ355" s="442">
        <f t="shared" si="486"/>
        <v>0</v>
      </c>
      <c r="DK355" s="1109">
        <f t="shared" si="487"/>
        <v>0</v>
      </c>
      <c r="DL355" s="1101">
        <f t="shared" si="488"/>
        <v>0</v>
      </c>
      <c r="DM355" s="1097">
        <f t="shared" si="489"/>
        <v>0</v>
      </c>
      <c r="DN355" s="1097">
        <f t="shared" si="490"/>
        <v>0</v>
      </c>
      <c r="DO355" s="1097">
        <f t="shared" si="491"/>
        <v>0</v>
      </c>
      <c r="DP355" s="1110">
        <f t="shared" si="492"/>
        <v>0</v>
      </c>
      <c r="DQ355" s="1113" t="s">
        <v>549</v>
      </c>
      <c r="DR355" s="1120">
        <f t="shared" si="493"/>
        <v>0.33</v>
      </c>
      <c r="DS355" s="1124"/>
      <c r="DT355" s="1093" t="s">
        <v>179</v>
      </c>
      <c r="DU355" s="1093"/>
      <c r="DV355" s="1098">
        <f>IF($P355="","N/A",IF(P355=-1,INDEX('卡片raw data'!AN:AN,MATCH(D355,'卡片raw data'!$F:$F,)),0)+IF(AND(L355&lt;&gt;"party卡",P355&lt;=2,P355&gt;=0),INDEX('卡片raw data'!AP:AP,MATCH(D355,'卡片raw data'!$F:$F,)),0)+IF(OR(AND(L355="party卡",P355&lt;=1),AND(P355&lt;=4,L355&lt;&gt;"party卡",P355&gt;=3)),INDEX('卡片raw data'!AQ:AQ,MATCH(D355,'卡片raw data'!$F:$F,)),0)+IF(OR(P355=5,AND(L355="party卡",P355&gt;=2)),INDEX('卡片raw data'!AR:AR,MATCH(D355,'卡片raw data'!$F:$F,)),0))</f>
        <v>0.08</v>
      </c>
      <c r="DW355" s="1098">
        <f t="shared" si="494"/>
        <v>0.33</v>
      </c>
      <c r="DX355" s="1098">
        <f t="shared" si="495"/>
        <v>0.33</v>
      </c>
      <c r="DY355" s="1098">
        <f t="shared" si="496"/>
        <v>8.8000000000000005E-3</v>
      </c>
      <c r="DZ355" s="1098">
        <f t="shared" si="497"/>
        <v>8.7538000000000008E-3</v>
      </c>
      <c r="EA355" s="1098">
        <f t="shared" si="498"/>
        <v>0</v>
      </c>
      <c r="EB355" s="1121">
        <f t="shared" si="499"/>
        <v>61.833199999999991</v>
      </c>
      <c r="EC355" s="1101">
        <f t="shared" si="500"/>
        <v>3960.0000000000005</v>
      </c>
      <c r="ED355" s="1097">
        <f t="shared" si="501"/>
        <v>2188.4500000000003</v>
      </c>
      <c r="EE355" s="1110">
        <f t="shared" si="513"/>
        <v>3960.0000000000005</v>
      </c>
      <c r="EF355" s="1115" t="s">
        <v>569</v>
      </c>
      <c r="EG355" s="1120">
        <f t="shared" si="503"/>
        <v>0.33</v>
      </c>
      <c r="EH355" s="1124"/>
      <c r="EI355" s="1093"/>
      <c r="EJ355" s="1093"/>
      <c r="EK355" s="1097">
        <f>IF($P355="","N/A",IF(P355=-1,INDEX('卡片raw data'!AS:AS,MATCH(D355,'卡片raw data'!$F:$F,)),0)+IF(AND(L355&lt;&gt;"party卡",P355&lt;=2,P355&gt;=0),INDEX('卡片raw data'!AU:AU,MATCH(D355,'卡片raw data'!$F:$F,)),0)+IF(OR(AND(L355="party卡",P355&lt;=1),AND(P355&lt;=4,L355&lt;&gt;"party卡",P355&gt;=3)),INDEX('卡片raw data'!AV:AV,MATCH(D355,'卡片raw data'!$F:$F,)),0)+IF(OR(P355=5,AND(L355="party卡",P355&gt;=2)),INDEX('卡片raw data'!AW:AW,MATCH(D355,'卡片raw data'!$F:$F,)),0))</f>
        <v>0</v>
      </c>
      <c r="EL355" s="1098">
        <f t="shared" si="504"/>
        <v>0.33</v>
      </c>
      <c r="EM355" s="1098">
        <f t="shared" si="505"/>
        <v>0.33</v>
      </c>
      <c r="EN355" s="1097">
        <f t="shared" si="506"/>
        <v>0</v>
      </c>
      <c r="EO355" s="1097">
        <f t="shared" si="507"/>
        <v>0</v>
      </c>
      <c r="EP355" s="1098">
        <f t="shared" si="508"/>
        <v>0</v>
      </c>
      <c r="EQ355" s="1121">
        <f t="shared" si="509"/>
        <v>0</v>
      </c>
      <c r="ER355" s="1101">
        <f t="shared" si="510"/>
        <v>0</v>
      </c>
      <c r="ES355" s="1097">
        <f t="shared" si="511"/>
        <v>0</v>
      </c>
      <c r="ET355" s="1122">
        <f t="shared" si="514"/>
        <v>0</v>
      </c>
    </row>
    <row r="356" spans="2:150" ht="16.5" customHeight="1">
      <c r="B356" s="1123" t="str">
        <f>INDEX('卡片raw data'!B:B,MATCH($D356,'卡片raw data'!$F:$F,))</f>
        <v>三专霞</v>
      </c>
      <c r="C356" s="449" t="s">
        <v>1679</v>
      </c>
      <c r="D356" s="408">
        <v>353</v>
      </c>
      <c r="E356" s="477">
        <v>402022003</v>
      </c>
      <c r="F356" s="1090" t="str">
        <f>INDEX('卡片raw data'!C:C,MATCH($D356,'卡片raw data'!$F:$F,))</f>
        <v>SR</v>
      </c>
      <c r="G356" s="1094" t="s">
        <v>1680</v>
      </c>
      <c r="H356" s="411">
        <f>IFERROR(INDEX(绊状态确认!C:C,MATCH($G356,绊状态确认!$B:$B,)),"")</f>
        <v>202</v>
      </c>
      <c r="I356" s="450" t="str">
        <f>IFERROR(INDEX(绊状态确认!D:D,MATCH($G356,绊状态确认!$B:$B,)),"")</f>
        <v>虹</v>
      </c>
      <c r="J356" s="450" t="str">
        <f>IFERROR(INDEX(绊状态确认!E:E,MATCH($G356,绊状态确认!$B:$B,)),"")</f>
        <v>1年级</v>
      </c>
      <c r="K356" s="451" t="str">
        <f>IFERROR(INDEX(绊状态确认!F:F,MATCH($G356,绊状态确认!$B:$B,)),"")</f>
        <v>QU4RTZ</v>
      </c>
      <c r="L356" s="1094" t="str">
        <f>INDEX('卡片raw data'!E:E,MATCH($D356,'卡片raw data'!$F:$F,))</f>
        <v>活动卡</v>
      </c>
      <c r="M356" s="478">
        <v>44154</v>
      </c>
      <c r="N356" s="479">
        <v>28</v>
      </c>
      <c r="O356" s="1091" t="str">
        <f>INDEX('卡片raw data'!D:D,MATCH($D356,'卡片raw data'!$F:$F,))</f>
        <v>sp</v>
      </c>
      <c r="P356" s="1126">
        <v>5</v>
      </c>
      <c r="Q356" s="1095">
        <f t="shared" si="428"/>
        <v>20528.650144435796</v>
      </c>
      <c r="R356" s="1096">
        <f t="shared" si="429"/>
        <v>0.23799999999999999</v>
      </c>
      <c r="S356" s="1097">
        <f t="shared" si="430"/>
        <v>12931.477233158921</v>
      </c>
      <c r="T356" s="1098">
        <f t="shared" si="431"/>
        <v>0.64600000000000002</v>
      </c>
      <c r="U356" s="1099">
        <f t="shared" si="432"/>
        <v>31.01315451520928</v>
      </c>
      <c r="V356" s="1100">
        <f t="shared" si="433"/>
        <v>21227.866349886481</v>
      </c>
      <c r="W356" s="1101">
        <f t="shared" si="434"/>
        <v>4507.7214871259994</v>
      </c>
      <c r="X356" s="1096">
        <f t="shared" si="435"/>
        <v>5.1999999999999998E-2</v>
      </c>
      <c r="Y356" s="1097">
        <f t="shared" si="436"/>
        <v>2499.2162054506862</v>
      </c>
      <c r="Z356" s="1102">
        <f t="shared" si="437"/>
        <v>31.01315451520928</v>
      </c>
      <c r="AA356" s="1103">
        <f t="shared" si="438"/>
        <v>7006.9376925766855</v>
      </c>
      <c r="AB356" s="1101">
        <f t="shared" si="439"/>
        <v>4825.8530996536447</v>
      </c>
      <c r="AC356" s="1104">
        <f t="shared" si="440"/>
        <v>5.6000000000000001E-2</v>
      </c>
      <c r="AD356" s="1105">
        <f t="shared" si="441"/>
        <v>-1.9908281250000003E-2</v>
      </c>
      <c r="AE356" s="1128">
        <f t="shared" si="442"/>
        <v>2.8386741621376803</v>
      </c>
      <c r="AF356" s="1130">
        <f t="shared" si="443"/>
        <v>0</v>
      </c>
      <c r="AG356" s="420">
        <f t="shared" si="444"/>
        <v>0</v>
      </c>
      <c r="AH356" s="420">
        <f t="shared" si="445"/>
        <v>0</v>
      </c>
      <c r="AI356" s="1097">
        <f t="shared" si="446"/>
        <v>0</v>
      </c>
      <c r="AJ356" s="420">
        <f t="shared" si="447"/>
        <v>0</v>
      </c>
      <c r="AK356" s="518">
        <f t="shared" si="448"/>
        <v>0</v>
      </c>
      <c r="AL356" s="1106">
        <f>IF($P356="","N/A",(IF($P356=-1,INDEX('卡片raw data'!S:S,MATCH($D356,'卡片raw data'!$F:$F,)),0)+IF($P356=0,INDEX('卡片raw data'!V:V,MATCH($D356,'卡片raw data'!$F:$F,)),0)+IF($P356=1,INDEX('卡片raw data'!Y:Y,MATCH($D356,'卡片raw data'!$F:$F,)),0)+IF($P356=2,INDEX('卡片raw data'!AB:AB,MATCH($D356,'卡片raw data'!$F:$F,)),0)+IF($P356=3,INDEX('卡片raw data'!AE:AE,MATCH($D356,'卡片raw data'!$F:$F,)),0)+IF($P356=4,INDEX('卡片raw data'!AH:AH,MATCH($D356,'卡片raw data'!$F:$F,)),0)+IF($P356=5,INDEX('卡片raw data'!AK:AK,MATCH($D356,'卡片raw data'!$F:$F,)),0)+INDEX('卡片raw data'!S:S,MATCH($D356,'卡片raw data'!$F:$F,))*(IF($F356="UR",0.04,0.033))*(IF($F356="UR",INDEX(绊状态确认!$S:$S,MATCH($G356,绊状态确认!$B:$B,))/2-40)+IF($F356="SR",INDEX(绊状态确认!$R:$R,MATCH($G356,绊状态确认!$B:$B,))/4-15))+IF($F356="R",INDEX(绊状态确认!$Q:$Q,MATCH($G356,绊状态确认!$B:$B,))/6-40/6)))*(INDEX(绊状态确认!$H:$H,MATCH($G356,绊状态确认!$B:$B,))+INDEX(绊状态确认!J:J,MATCH($G356,绊状态确认!$B:$B,)))</f>
        <v>5995.0236527999996</v>
      </c>
      <c r="AM356" s="1106">
        <f>IF($P356="","N/A",(IF($P356=-1,INDEX('卡片raw data'!T:T,MATCH($D356,'卡片raw data'!$F:$F,)),0)+IF($P356=0,INDEX('卡片raw data'!W:W,MATCH($D356,'卡片raw data'!$F:$F,)),0)+IF($P356=1,INDEX('卡片raw data'!Z:Z,MATCH($D356,'卡片raw data'!$F:$F,)),0)+IF($P356=2,INDEX('卡片raw data'!AC:AC,MATCH($D356,'卡片raw data'!$F:$F,)),0)+IF($P356=3,INDEX('卡片raw data'!AF:AF,MATCH($D356,'卡片raw data'!$F:$F,)),0)+IF($P356=4,INDEX('卡片raw data'!AI:AI,MATCH($D356,'卡片raw data'!$F:$F,)),0)+IF($P356=5,INDEX('卡片raw data'!AL:AL,MATCH($D356,'卡片raw data'!$F:$F,)),0)+INDEX('卡片raw data'!T:T,MATCH($D356,'卡片raw data'!$F:$F,))*(IF($F356="UR",0.04,0.033))*(IF($F356="UR",INDEX(绊状态确认!$S:$S,MATCH($G356,绊状态确认!$B:$B,))/2-40)+IF($F356="SR",INDEX(绊状态确认!$R:$R,MATCH($G356,绊状态确认!$B:$B,))/4-15))+IF($F356="R",INDEX(绊状态确认!$Q:$Q,MATCH($G356,绊状态确认!$B:$B,))/6-40/6)))*(INDEX(绊状态确认!$H:$H,MATCH($G356,绊状态确认!$B:$B,))+INDEX(绊状态确认!K:K,MATCH($G356,绊状态确认!$B:$B,)))</f>
        <v>5481.8481407999998</v>
      </c>
      <c r="AN356" s="1106">
        <f>IF($P356="","N/A",(IF($P356=-1,INDEX('卡片raw data'!U:U,MATCH($D356,'卡片raw data'!$F:$F,)),0)+IF($P356=0,INDEX('卡片raw data'!X:X,MATCH($D356,'卡片raw data'!$F:$F,)),0)+IF($P356=1,INDEX('卡片raw data'!AA:AA,MATCH($D356,'卡片raw data'!$F:$F,)),0)+IF($P356=2,INDEX('卡片raw data'!AD:AD,MATCH($D356,'卡片raw data'!$F:$F,)),0)+IF($P356=3,INDEX('卡片raw data'!AG:AG,MATCH($D356,'卡片raw data'!$F:$F,)),0)+IF($P356=4,INDEX('卡片raw data'!AJ:AJ,MATCH($D356,'卡片raw data'!$F:$F,)),0)+IF($P356=5,INDEX('卡片raw data'!AM:AM,MATCH($D356,'卡片raw data'!$F:$F,)),0)+INDEX('卡片raw data'!U:U,MATCH($D356,'卡片raw data'!$F:$F,))*(IF($F356="UR",0.04,0.033))*(IF($F356="UR",INDEX(绊状态确认!$S:$S,MATCH($G356,绊状态确认!$B:$B,))/2-40)+IF($F356="SR",INDEX(绊状态确认!$R:$R,MATCH($G356,绊状态确认!$B:$B,))/4-15))+IF($F356="R",INDEX(绊状态确认!$Q:$Q,MATCH($G356,绊状态确认!$B:$B,))/6-40/6)))*(INDEX(绊状态确认!$H:$H,MATCH($G356,绊状态确认!$B:$B,))+INDEX(绊状态确认!L:L,MATCH($G356,绊状态确认!$B:$B,)))</f>
        <v>5652.1240439999992</v>
      </c>
      <c r="AO356" s="1107">
        <f t="shared" si="449"/>
        <v>1</v>
      </c>
      <c r="AP356" s="1131">
        <f>1+(INDEX(绊状态确认!$T:$T,MATCH($G356,绊状态确认!$B:$B,))+0.2)*$AO356</f>
        <v>1.3</v>
      </c>
      <c r="AQ356" s="1108">
        <f t="shared" si="450"/>
        <v>18986.9370886</v>
      </c>
      <c r="AR356" s="1097">
        <f>(AM356*(1+$EX$9)+$EX$35)*(1+(INDEX(绊状态确认!$T:$T,MATCH($G356,绊状态确认!$B:$B,))+0.2)*AO356)*IF(J356=$FF$17,1+$FE$17,1)*IF(I356=$FF$14,1+$FE$14,1)</f>
        <v>10186.722712192</v>
      </c>
      <c r="AS356" s="1097">
        <f>(AN356*(1+$EX$10)+$EX$36)*(1+(INDEX(绊状态确认!$T:$T,MATCH($G356,绊状态确认!$B:$B,))+0.2)*AO356)*IF(J356=$FF$17,1+$FE$17,1)*IF(I356=$FF$14,1+$FE$14,1)</f>
        <v>12505.925445779998</v>
      </c>
      <c r="AT356" s="1093">
        <f>IF(AND(INDEX('卡片raw data'!AK:AK,MATCH($D356,'卡片raw data'!$F:$F,))&lt;INDEX('卡片raw data'!AM:AM,MATCH($D356,'卡片raw data'!$F:$F,)),INDEX('卡片raw data'!AL:AL,MATCH($D356,'卡片raw data'!$F:$F,))&lt;INDEX('卡片raw data'!AM:AM,MATCH($D356,'卡片raw data'!$F:$F,))),1,0)</f>
        <v>0</v>
      </c>
      <c r="AU356" s="1098">
        <f>MIN(AT356*0.15+AS356*0.00003+INDEX(绊状态确认!M:M,MATCH($G356,绊状态确认!$B:$B,)),1)</f>
        <v>0.4051777633734</v>
      </c>
      <c r="AV356" s="1109">
        <f>(INDEX(绊状态确认!$N:$N,MATCH($G356,绊状态确认!$B:$B,))+1.5)*$EW$21</f>
        <v>2.6599999999999997</v>
      </c>
      <c r="AW356" s="1101">
        <f t="shared" si="451"/>
        <v>16493.130378115482</v>
      </c>
      <c r="AX356" s="1097">
        <f t="shared" si="452"/>
        <v>868.76471798418936</v>
      </c>
      <c r="AY356" s="1110">
        <f t="shared" si="453"/>
        <v>17361.89509609967</v>
      </c>
      <c r="AZ356" s="429">
        <f t="shared" si="454"/>
        <v>14290.296122959999</v>
      </c>
      <c r="BA356" s="431">
        <f t="shared" si="455"/>
        <v>17148.355347551998</v>
      </c>
      <c r="BB356" s="1097">
        <f>(AM356*(1+$FB$9)+$FB$35)*(1+(INDEX(绊状态确认!$T:$T,MATCH($G356,绊状态确认!$B:$B,))+0.2)*AO356)*IF(J356=$FF$17,1+$FE$17,1)*IF(I356=$FF$14,1+$FE$14,1)*(1+$FE$15)</f>
        <v>10186.722712192</v>
      </c>
      <c r="BC356" s="1097">
        <f>(AN356*(1+$FB$10)+$FB$36)*(1+(INDEX(绊状态确认!$T:$T,MATCH($G356,绊状态确认!$B:$B,))+0.2)*AO356)*IF(J356=$FF$17,1+$FE$17,1)*IF(I356=$FF$14,1+$FE$14,1)*(1+$FE$15)</f>
        <v>12505.925445779998</v>
      </c>
      <c r="BD356" s="1104">
        <f>MIN(AT356*0.15+BC356*0.00003+INDEX(绊状态确认!M:M,MATCH($G356,绊状态确认!$B:$B,)),1)</f>
        <v>0.4051777633734</v>
      </c>
      <c r="BE356" s="432">
        <f>(INDEX(绊状态确认!$N:$N,MATCH($G356,绊状态确认!$B:$B,))+1.5)</f>
        <v>1.9</v>
      </c>
      <c r="BF356" s="1139">
        <f t="array" ref="BF356">SUMPRODUCT(IF(AZ356*AP356*$FI$16:$FI$23*$FA$22&gt;=$FI$24,$FI$24,AZ356*AP356*$FI$16:$FI$23*$FA$22),$FJ$16:$FJ$23)</f>
        <v>28423.398988567442</v>
      </c>
      <c r="BG356" s="1125">
        <f t="array" ref="BG356">SUMPRODUCT(IF(BE356*AZ356*AP356*$FI$16:$FI$23*$FA$22&gt;=$FI$24,$FI$24,BE356*AZ356*AP356*$FI$16:$FI$23*$FA$22),$FJ$16:$FJ$23)</f>
        <v>52944.061109474089</v>
      </c>
      <c r="BH356" s="1110">
        <f t="shared" si="456"/>
        <v>12786.20867438375</v>
      </c>
      <c r="BI356" s="1111">
        <f>IF(O356="vo",$EW$26/$EW$24*0.05,0)+IF(O356="sk",-$EW$26/$EW$24*(0.05-INDEX(绊状态确认!W:W,MATCH($G356,绊状态确认!$B:$B,)))+0.05*$EW$28,0)+IF(O356="sp",0.05*$EW$32*$EW$30*(1-$EW$33)-(0.05-INDEX(绊状态确认!V:V,MATCH($G356,绊状态确认!$B:$B,)))*$EW$28,0)+IF(O356="gd",-(0.05-INDEX(绊状态确认!X:X,MATCH($G356,绊状态确认!$B:$B,)))*$EW$32*$EW$30*(1-$EW$33),0)</f>
        <v>19.999999999999886</v>
      </c>
      <c r="BJ356" s="1097">
        <f>IF(O356="vo",0.05*(1-$FI$26)*$FA$24,0)+IF(O356="sk",-(0.05-INDEX(绊状态确认!W:W,MATCH($G356,绊状态确认!$B:$B,)))*(1-$FI$26)*$FA$24+0.05*$FA$26,0)+IF(O356="sp",0.05*$FA$32*$FA$27*(1-$FA$33)/$FA$30+0.05*$FA$29/$FA$69*$FA$27*(1-$FA$33)-(0.05-INDEX(绊状态确认!V:V,MATCH($G356,绊状态确认!$B:$B,)))*$FA$26,0)+IF(O356="gd",-(0.05-INDEX(绊状态确认!X:X,MATCH($G356,绊状态确认!$B:$B,)))*$FA$32*$FA$27*(1-$FA$33)/$FA$30-(0.05-INDEX(绊状态确认!X:X,MATCH($G356,绊状态确认!$B:$B,)))*$FA$29/$FA$69*$FA$27*(1-$FA$33),0)</f>
        <v>545.83333333333326</v>
      </c>
      <c r="BK356" s="1110">
        <f>IF(O356="vo",$EW$26/$EW$24*0.05+$EW$26*(-HP($EW$62,$EW$65,$EW$64)+HP($EW$62,$EW$65,(1.05-INDEX(绊状态确认!U:U,MATCH($G356,绊状态确认!$B:$B,)))*$EW$64)),0)+IF(O356="sk",-$EW$26/$EW$24*(0.05-INDEX(绊状态确认!W:W,MATCH($G356,绊状态确认!$B:$B,)))+0.05*$EW$29,0)+IF(O356="sp",0.05*$EW$32*$EW$30*(1-$EW$33)-(0.05-INDEX(绊状态确认!V:V,MATCH($G356,绊状态确认!$B:$B,)))*$EW$29,0)+IF(O356="gd",-(0.05-INDEX(绊状态确认!X:X,MATCH($G356,绊状态确认!$B:$B,)))*$EW$32*$EW$30*(1-$EW$33)+$EW$26*(-HP($EW$62,$EW$65,$EW$64)+HP($EW$62,$EW$65,0.95*$EW$64)),0)</f>
        <v>-1780.0000000000005</v>
      </c>
      <c r="BL356" s="1111">
        <f t="shared" si="457"/>
        <v>-1083.3333333333333</v>
      </c>
      <c r="BM356" s="1110">
        <f t="shared" si="458"/>
        <v>-830.55555555555543</v>
      </c>
      <c r="BN356" s="1113">
        <f t="shared" si="459"/>
        <v>3</v>
      </c>
      <c r="BO356" s="1108">
        <f t="shared" si="460"/>
        <v>4507.7214871259994</v>
      </c>
      <c r="BP356" s="1100">
        <f t="shared" si="461"/>
        <v>221.34103209030098</v>
      </c>
      <c r="BQ356" s="1113" t="s">
        <v>134</v>
      </c>
      <c r="BR356" s="1124" t="s">
        <v>166</v>
      </c>
      <c r="BS356" s="1098">
        <f>IF($P356="","N/A",IF($P356=-1,INDEX('卡片raw data'!AX:AX,MATCH($D356,'卡片raw data'!$F:$F,)),0)+IF($L356="party卡",IF($P356=5,INDEX('卡片raw data'!BD:BD,MATCH($D356,'卡片raw data'!$F:$F,)),IF($P356&gt;=3,INDEX('卡片raw data'!BC:BC,MATCH($D356,'卡片raw data'!$F:$F,)),INDEX('卡片raw data'!BB:BB,MATCH($D356,'卡片raw data'!$F:$F,)))),IF(OR(AND($F356="UR",$P356=0),AND($F356="SR",$P356&gt;=0,$P356&lt;=2),AND($F356="R",$P356&gt;=0,$P356&lt;4)),INDEX('卡片raw data'!AZ:AZ,MATCH($D356,'卡片raw data'!$F:$F,)),0)+IF(OR(AND($F356="UR",$P356&gt;=1,$P356&lt;=4),AND($F356="SR",$P356&lt;=4,$P356&gt;=3),AND($F356="R",$P356=4)),INDEX('卡片raw data'!BA:BA,MATCH($D356,'卡片raw data'!$F:$F,)),0)+IF($P356=5,INDEX('卡片raw data'!BB:BB,MATCH($D356,'卡片raw data'!$F:$F,)),0)))</f>
        <v>7.0000000000000007E-2</v>
      </c>
      <c r="BT356" s="1101">
        <f t="shared" si="462"/>
        <v>318.13161252764513</v>
      </c>
      <c r="BU356" s="1097">
        <f t="shared" si="463"/>
        <v>27.605248907091354</v>
      </c>
      <c r="BV356" s="1097">
        <f t="shared" si="464"/>
        <v>0</v>
      </c>
      <c r="BW356" s="1112">
        <f t="shared" si="465"/>
        <v>0</v>
      </c>
      <c r="BX356" s="1100">
        <f t="shared" si="466"/>
        <v>318.13161252764513</v>
      </c>
      <c r="BY356" s="1110">
        <f t="shared" si="467"/>
        <v>0</v>
      </c>
      <c r="BZ356" s="1107" t="s">
        <v>569</v>
      </c>
      <c r="CA356" s="1124"/>
      <c r="CB356" s="1098">
        <f>IF($P356="","N/A",IF($P356=-1,INDEX('卡片raw data'!BE:BE,MATCH($D356,'卡片raw data'!$F:$F,)),0)+IF($L356="party卡",IF($P356=5,INDEX('卡片raw data'!BK:BK,MATCH($D356,'卡片raw data'!$F:$F,)),IF($P356&gt;=3,INDEX('卡片raw data'!BJ:BJ,MATCH($D356,'卡片raw data'!$F:$F,)),INDEX('卡片raw data'!BI:BI,MATCH($D356,'卡片raw data'!$F:$F,)))),IF(OR(AND($F356="UR",$P356=0),AND($F356="SR",$P356&gt;=0,$P356&lt;=2),AND($F356="R",$P356&gt;=0,$P356&lt;4)),INDEX('卡片raw data'!BG:BG,MATCH($D356,'卡片raw data'!$F:$F,)),0)+IF(OR(AND($F356="UR",$P356&gt;=1,$P356&lt;=4),AND($F356="SR",$P356&lt;=4,$P356&gt;=3),AND($F356="R",$P356=4)),INDEX('卡片raw data'!BH:BH,MATCH($D356,'卡片raw data'!$F:$F,)),0)+IF($P356=5,INDEX('卡片raw data'!BI:BI,MATCH($D356,'卡片raw data'!$F:$F,)),0)))</f>
        <v>0</v>
      </c>
      <c r="CC356" s="1101">
        <f t="shared" si="468"/>
        <v>0</v>
      </c>
      <c r="CD356" s="1097">
        <f>IF(BZ356="ap",CB356*(1-$FI$26)*$FB$5/$FB$11*(+IF(CA356="全员",$FA$24,0)+IF(CA356="同作战",$FA$24,0)+IF(CA356="仲间",$FA$24*2/3,0)+IF(CA356="同属性",$FA$24*$FA$37/3,0)+IF(CA356="同年级",$FA$24*$FA$40/3,0)+IF(CA356="同学校",$FA$24*$FA$43/3,0)+IF(CA356="同小队",$FA$24*$FA$46/3,0)+IF(CA356="同type",$FA$24*INDEX($FB$49:$FB$52,MATCH(X356,$FA$49:$FA$52,))/3,0)+IF(CA356="自身",#REF!/3,0)),0)+IF(BZ356="te",CB356*(1-$FI$27)*($FA$20-1)*$FB$7/$FB$13*(+IF(CA356="全员",$FA$19*$FA$24/(1+($FA$20-1)*$FA$19),0)+IF(CA356="同作战",$FA$19*$FA$24/(1+($FA$20-1)*$FA$19),0)+IF(CA356="仲间",$FA$19*$FA$24*2/3/(1+($FA$20-1)*$FA$19),0)+IF(CA356="同属性",$FA$19*$FA$24*$FA$37/3/(1+($FA$20-1)*$FA$19),0)+IF(CA356="同年级",$FA$19*$FA$24*$FA$40/3/(1+($FA$20-1)*$FA$19),0)+IF(CA356="同学校",$FA$19*$FA$24*$FA$43/3/(1+($FA$20-1)*$FA$19),0)+IF(CA356="同小队",$FA$19*$FA$24*$FA$46/3/(1+($FA$20-1)*$FA$19),0)+IF(CA356="同type",$FA$19*$FA$24*INDEX($FB$49:$FB$52,MATCH(X356,$FA$49:$FA$52,))/3/(1+($FA$20-1)*$FA$19),0)+IF(CA356="自身",$FA$19*#REF!/3/(1+(BH356-1)*$BD356),0)),0)</f>
        <v>0</v>
      </c>
      <c r="CE356" s="1097">
        <f t="shared" si="469"/>
        <v>0</v>
      </c>
      <c r="CF356" s="1112">
        <f t="shared" si="470"/>
        <v>0</v>
      </c>
      <c r="CG356" s="1100">
        <f t="shared" si="471"/>
        <v>0</v>
      </c>
      <c r="CH356" s="1110">
        <f t="shared" si="472"/>
        <v>0</v>
      </c>
      <c r="CI356" s="1113" t="s">
        <v>160</v>
      </c>
      <c r="CJ356" s="1114">
        <v>1</v>
      </c>
      <c r="CK356" s="1115" t="s">
        <v>635</v>
      </c>
      <c r="CL356" s="1115" t="s">
        <v>1941</v>
      </c>
      <c r="CM356" s="1119">
        <v>0.03</v>
      </c>
      <c r="CN356" s="1115"/>
      <c r="CO356" s="1115"/>
      <c r="CP356" s="1116">
        <f t="shared" si="473"/>
        <v>20.098808752146422</v>
      </c>
      <c r="CQ356" s="1116">
        <f t="shared" si="474"/>
        <v>41.686418152599991</v>
      </c>
      <c r="CR356" s="1117">
        <f t="shared" si="475"/>
        <v>20.098808752146422</v>
      </c>
      <c r="CS356" s="1118">
        <f t="shared" si="476"/>
        <v>0</v>
      </c>
      <c r="CT356" s="1109">
        <f t="shared" si="477"/>
        <v>0</v>
      </c>
      <c r="CU356" s="1101">
        <f t="shared" si="478"/>
        <v>0</v>
      </c>
      <c r="CV356" s="1108">
        <f t="shared" si="479"/>
        <v>0</v>
      </c>
      <c r="CW356" s="1097">
        <f t="shared" si="480"/>
        <v>0</v>
      </c>
      <c r="CX356" s="1097">
        <f t="shared" si="481"/>
        <v>1630.4514874664965</v>
      </c>
      <c r="CY356" s="1110">
        <f t="shared" si="482"/>
        <v>1630.4514874664965</v>
      </c>
      <c r="CZ356" s="437"/>
      <c r="DA356" s="438"/>
      <c r="DB356" s="439" t="s">
        <v>569</v>
      </c>
      <c r="DC356" s="439"/>
      <c r="DD356" s="443"/>
      <c r="DE356" s="411"/>
      <c r="DF356" s="411"/>
      <c r="DG356" s="1116">
        <f t="shared" si="483"/>
        <v>0</v>
      </c>
      <c r="DH356" s="1116">
        <f t="shared" si="484"/>
        <v>0</v>
      </c>
      <c r="DI356" s="1116">
        <f t="shared" si="485"/>
        <v>0</v>
      </c>
      <c r="DJ356" s="442">
        <f t="shared" si="486"/>
        <v>0</v>
      </c>
      <c r="DK356" s="1109">
        <f t="shared" si="487"/>
        <v>0</v>
      </c>
      <c r="DL356" s="1101">
        <f t="shared" si="488"/>
        <v>0</v>
      </c>
      <c r="DM356" s="1097">
        <f t="shared" si="489"/>
        <v>0</v>
      </c>
      <c r="DN356" s="1097">
        <f t="shared" si="490"/>
        <v>0</v>
      </c>
      <c r="DO356" s="1097">
        <f t="shared" si="491"/>
        <v>0</v>
      </c>
      <c r="DP356" s="1110">
        <f t="shared" si="492"/>
        <v>0</v>
      </c>
      <c r="DQ356" s="1113" t="s">
        <v>533</v>
      </c>
      <c r="DR356" s="1120">
        <f t="shared" si="493"/>
        <v>0.3</v>
      </c>
      <c r="DS356" s="1124">
        <v>5</v>
      </c>
      <c r="DT356" s="1124" t="s">
        <v>1675</v>
      </c>
      <c r="DU356" s="1124" t="s">
        <v>1681</v>
      </c>
      <c r="DV356" s="1098">
        <f>IF($P356="","N/A",IF(P356=-1,INDEX('卡片raw data'!AN:AN,MATCH(D356,'卡片raw data'!$F:$F,)),0)+IF(AND(L356&lt;&gt;"party卡",P356&lt;=2,P356&gt;=0),INDEX('卡片raw data'!AP:AP,MATCH(D356,'卡片raw data'!$F:$F,)),0)+IF(OR(AND(L356="party卡",P356&lt;=1),AND(P356&lt;=4,L356&lt;&gt;"party卡",P356&gt;=3)),INDEX('卡片raw data'!AQ:AQ,MATCH(D356,'卡片raw data'!$F:$F,)),0)+IF(OR(P356=5,AND(L356="party卡",P356&gt;=2)),INDEX('卡片raw data'!AR:AR,MATCH(D356,'卡片raw data'!$F:$F,)),0))</f>
        <v>4.2000000000000003E-2</v>
      </c>
      <c r="DW356" s="1098">
        <f t="shared" si="494"/>
        <v>0.3</v>
      </c>
      <c r="DX356" s="1098">
        <f t="shared" si="495"/>
        <v>0.3</v>
      </c>
      <c r="DY356" s="1098">
        <f t="shared" si="496"/>
        <v>2.0999999999999998E-2</v>
      </c>
      <c r="DZ356" s="1098">
        <f t="shared" si="497"/>
        <v>1.8164999999999997E-2</v>
      </c>
      <c r="EA356" s="1098">
        <f t="shared" si="498"/>
        <v>0</v>
      </c>
      <c r="EB356" s="1121">
        <f t="shared" si="499"/>
        <v>4.1901234374999996</v>
      </c>
      <c r="EC356" s="1101">
        <f t="shared" si="500"/>
        <v>272.99999999999994</v>
      </c>
      <c r="ED356" s="1097">
        <f t="shared" si="501"/>
        <v>181.04449999999994</v>
      </c>
      <c r="EE356" s="1110">
        <f t="shared" si="513"/>
        <v>272.99999999999994</v>
      </c>
      <c r="EF356" s="1115" t="s">
        <v>569</v>
      </c>
      <c r="EG356" s="1120">
        <f t="shared" si="503"/>
        <v>0.3</v>
      </c>
      <c r="EH356" s="1124"/>
      <c r="EI356" s="1093"/>
      <c r="EJ356" s="1093"/>
      <c r="EK356" s="1097">
        <f>IF($P356="","N/A",IF(P356=-1,INDEX('卡片raw data'!AS:AS,MATCH(D356,'卡片raw data'!$F:$F,)),0)+IF(AND(L356&lt;&gt;"party卡",P356&lt;=2,P356&gt;=0),INDEX('卡片raw data'!AU:AU,MATCH(D356,'卡片raw data'!$F:$F,)),0)+IF(OR(AND(L356="party卡",P356&lt;=1),AND(P356&lt;=4,L356&lt;&gt;"party卡",P356&gt;=3)),INDEX('卡片raw data'!AV:AV,MATCH(D356,'卡片raw data'!$F:$F,)),0)+IF(OR(P356=5,AND(L356="party卡",P356&gt;=2)),INDEX('卡片raw data'!AW:AW,MATCH(D356,'卡片raw data'!$F:$F,)),0))</f>
        <v>0</v>
      </c>
      <c r="EL356" s="1098">
        <f t="shared" si="504"/>
        <v>0.3</v>
      </c>
      <c r="EM356" s="1098">
        <f t="shared" si="505"/>
        <v>0.3</v>
      </c>
      <c r="EN356" s="1097">
        <f t="shared" si="506"/>
        <v>0</v>
      </c>
      <c r="EO356" s="1097">
        <f t="shared" si="507"/>
        <v>0</v>
      </c>
      <c r="EP356" s="1098">
        <f t="shared" si="508"/>
        <v>0</v>
      </c>
      <c r="EQ356" s="1121">
        <f t="shared" si="509"/>
        <v>0</v>
      </c>
      <c r="ER356" s="1101">
        <f t="shared" si="510"/>
        <v>0</v>
      </c>
      <c r="ES356" s="1097">
        <f t="shared" si="511"/>
        <v>0</v>
      </c>
      <c r="ET356" s="1122">
        <f t="shared" si="514"/>
        <v>0</v>
      </c>
    </row>
    <row r="357" spans="2:150" ht="16.5" customHeight="1">
      <c r="B357" s="1123" t="str">
        <f>INDEX('卡片raw data'!B:B,MATCH($D357,'卡片raw data'!$F:$F,))</f>
        <v>四单鞠</v>
      </c>
      <c r="C357" s="449" t="s">
        <v>1685</v>
      </c>
      <c r="D357" s="408">
        <v>354</v>
      </c>
      <c r="E357" s="477">
        <v>401082003</v>
      </c>
      <c r="F357" s="1090" t="str">
        <f>INDEX('卡片raw data'!C:C,MATCH($D357,'卡片raw data'!$F:$F,))</f>
        <v>SR</v>
      </c>
      <c r="G357" s="1094" t="s">
        <v>1686</v>
      </c>
      <c r="H357" s="411">
        <f>IFERROR(INDEX(绊状态确认!C:C,MATCH($G357,绊状态确认!$B:$B,)),"")</f>
        <v>108</v>
      </c>
      <c r="I357" s="450" t="str">
        <f>IFERROR(INDEX(绊状态确认!D:D,MATCH($G357,绊状态确认!$B:$B,)),"")</f>
        <v>水</v>
      </c>
      <c r="J357" s="450" t="str">
        <f>IFERROR(INDEX(绊状态确认!E:E,MATCH($G357,绊状态确认!$B:$B,)),"")</f>
        <v>3年级</v>
      </c>
      <c r="K357" s="451" t="str">
        <f>IFERROR(INDEX(绊状态确认!F:F,MATCH($G357,绊状态确认!$B:$B,)),"")</f>
        <v>Guilty Kiss</v>
      </c>
      <c r="L357" s="1094" t="str">
        <f>INDEX('卡片raw data'!E:E,MATCH($D357,'卡片raw data'!$F:$F,))</f>
        <v>活动卡</v>
      </c>
      <c r="M357" s="478">
        <v>44154</v>
      </c>
      <c r="N357" s="479">
        <v>28</v>
      </c>
      <c r="O357" s="1091" t="str">
        <f>INDEX('卡片raw data'!D:D,MATCH($D357,'卡片raw data'!$F:$F,))</f>
        <v>gd</v>
      </c>
      <c r="P357" s="1126">
        <v>5</v>
      </c>
      <c r="Q357" s="1095">
        <f t="shared" si="428"/>
        <v>19067.999068793884</v>
      </c>
      <c r="R357" s="1096">
        <f t="shared" si="429"/>
        <v>0.221</v>
      </c>
      <c r="S357" s="1097">
        <f t="shared" si="430"/>
        <v>11185.158365554606</v>
      </c>
      <c r="T357" s="1098">
        <f t="shared" si="431"/>
        <v>0.55900000000000005</v>
      </c>
      <c r="U357" s="1099">
        <f t="shared" si="432"/>
        <v>333.0945544166309</v>
      </c>
      <c r="V357" s="1100">
        <f t="shared" si="433"/>
        <v>54976.134283613799</v>
      </c>
      <c r="W357" s="1101">
        <f t="shared" si="434"/>
        <v>4507.7214871259994</v>
      </c>
      <c r="X357" s="1096">
        <f t="shared" si="435"/>
        <v>5.1999999999999998E-2</v>
      </c>
      <c r="Y357" s="1097">
        <f t="shared" si="436"/>
        <v>1017.778079064753</v>
      </c>
      <c r="Z357" s="1102">
        <f t="shared" si="437"/>
        <v>12.679595763062856</v>
      </c>
      <c r="AA357" s="1103">
        <f t="shared" si="438"/>
        <v>5525.4995661907524</v>
      </c>
      <c r="AB357" s="1101">
        <f t="shared" si="439"/>
        <v>4507.7214871259994</v>
      </c>
      <c r="AC357" s="1104">
        <f t="shared" si="440"/>
        <v>5.1999999999999998E-2</v>
      </c>
      <c r="AD357" s="1105">
        <f t="shared" si="441"/>
        <v>-3.8207812500000026E-3</v>
      </c>
      <c r="AE357" s="1128">
        <f t="shared" si="442"/>
        <v>-18.525362318840578</v>
      </c>
      <c r="AF357" s="1130">
        <f t="shared" si="443"/>
        <v>4645.1455567595522</v>
      </c>
      <c r="AG357" s="420">
        <f t="shared" si="444"/>
        <v>104617.35228780801</v>
      </c>
      <c r="AH357" s="420">
        <f t="shared" si="445"/>
        <v>22.521867401026924</v>
      </c>
      <c r="AI357" s="1097">
        <f t="shared" si="446"/>
        <v>82215.740973308595</v>
      </c>
      <c r="AJ357" s="420">
        <f t="shared" si="447"/>
        <v>54976.134283613799</v>
      </c>
      <c r="AK357" s="518">
        <f t="shared" si="448"/>
        <v>27239.606689694796</v>
      </c>
      <c r="AL357" s="1106">
        <f>IF($P357="","N/A",(IF($P357=-1,INDEX('卡片raw data'!S:S,MATCH($D357,'卡片raw data'!$F:$F,)),0)+IF($P357=0,INDEX('卡片raw data'!V:V,MATCH($D357,'卡片raw data'!$F:$F,)),0)+IF($P357=1,INDEX('卡片raw data'!Y:Y,MATCH($D357,'卡片raw data'!$F:$F,)),0)+IF($P357=2,INDEX('卡片raw data'!AB:AB,MATCH($D357,'卡片raw data'!$F:$F,)),0)+IF($P357=3,INDEX('卡片raw data'!AE:AE,MATCH($D357,'卡片raw data'!$F:$F,)),0)+IF($P357=4,INDEX('卡片raw data'!AH:AH,MATCH($D357,'卡片raw data'!$F:$F,)),0)+IF($P357=5,INDEX('卡片raw data'!AK:AK,MATCH($D357,'卡片raw data'!$F:$F,)),0)+INDEX('卡片raw data'!S:S,MATCH($D357,'卡片raw data'!$F:$F,))*(IF($F357="UR",0.04,0.033))*(IF($F357="UR",INDEX(绊状态确认!$S:$S,MATCH($G357,绊状态确认!$B:$B,))/2-40)+IF($F357="SR",INDEX(绊状态确认!$R:$R,MATCH($G357,绊状态确认!$B:$B,))/4-15))+IF($F357="R",INDEX(绊状态确认!$Q:$Q,MATCH($G357,绊状态确认!$B:$B,))/6-40/6)))*(INDEX(绊状态确认!$H:$H,MATCH($G357,绊状态确认!$B:$B,))+INDEX(绊状态确认!J:J,MATCH($G357,绊状态确认!$B:$B,)))</f>
        <v>5824.7477495999992</v>
      </c>
      <c r="AM357" s="1106">
        <f>IF($P357="","N/A",(IF($P357=-1,INDEX('卡片raw data'!T:T,MATCH($D357,'卡片raw data'!$F:$F,)),0)+IF($P357=0,INDEX('卡片raw data'!W:W,MATCH($D357,'卡片raw data'!$F:$F,)),0)+IF($P357=1,INDEX('卡片raw data'!Z:Z,MATCH($D357,'卡片raw data'!$F:$F,)),0)+IF($P357=2,INDEX('卡片raw data'!AC:AC,MATCH($D357,'卡片raw data'!$F:$F,)),0)+IF($P357=3,INDEX('卡片raw data'!AF:AF,MATCH($D357,'卡片raw data'!$F:$F,)),0)+IF($P357=4,INDEX('卡片raw data'!AI:AI,MATCH($D357,'卡片raw data'!$F:$F,)),0)+IF($P357=5,INDEX('卡片raw data'!AL:AL,MATCH($D357,'卡片raw data'!$F:$F,)),0)+INDEX('卡片raw data'!T:T,MATCH($D357,'卡片raw data'!$F:$F,))*(IF($F357="UR",0.04,0.033))*(IF($F357="UR",INDEX(绊状态确认!$S:$S,MATCH($G357,绊状态确认!$B:$B,))/2-40)+IF($F357="SR",INDEX(绊状态确认!$R:$R,MATCH($G357,绊状态确认!$B:$B,))/4-15))+IF($F357="R",INDEX(绊状态确认!$Q:$Q,MATCH($G357,绊状态确认!$B:$B,))/6-40/6)))*(INDEX(绊状态确认!$H:$H,MATCH($G357,绊状态确认!$B:$B,))+INDEX(绊状态确认!K:K,MATCH($G357,绊状态确认!$B:$B,)))</f>
        <v>5481.8481407999998</v>
      </c>
      <c r="AN357" s="1106">
        <f>IF($P357="","N/A",(IF($P357=-1,INDEX('卡片raw data'!U:U,MATCH($D357,'卡片raw data'!$F:$F,)),0)+IF($P357=0,INDEX('卡片raw data'!X:X,MATCH($D357,'卡片raw data'!$F:$F,)),0)+IF($P357=1,INDEX('卡片raw data'!AA:AA,MATCH($D357,'卡片raw data'!$F:$F,)),0)+IF($P357=2,INDEX('卡片raw data'!AD:AD,MATCH($D357,'卡片raw data'!$F:$F,)),0)+IF($P357=3,INDEX('卡片raw data'!AG:AG,MATCH($D357,'卡片raw data'!$F:$F,)),0)+IF($P357=4,INDEX('卡片raw data'!AJ:AJ,MATCH($D357,'卡片raw data'!$F:$F,)),0)+IF($P357=5,INDEX('卡片raw data'!AM:AM,MATCH($D357,'卡片raw data'!$F:$F,)),0)+INDEX('卡片raw data'!U:U,MATCH($D357,'卡片raw data'!$F:$F,))*(IF($F357="UR",0.04,0.033))*(IF($F357="UR",INDEX(绊状态确认!$S:$S,MATCH($G357,绊状态确认!$B:$B,))/2-40)+IF($F357="SR",INDEX(绊状态确认!$R:$R,MATCH($G357,绊状态确认!$B:$B,))/4-15))+IF($F357="R",INDEX(绊状态确认!$Q:$Q,MATCH($G357,绊状态确认!$B:$B,))/6-40/6)))*(INDEX(绊状态确认!$H:$H,MATCH($G357,绊状态确认!$B:$B,))+INDEX(绊状态确认!L:L,MATCH($G357,绊状态确认!$B:$B,)))</f>
        <v>5824.7477495999992</v>
      </c>
      <c r="AO357" s="1107">
        <f t="shared" si="449"/>
        <v>1</v>
      </c>
      <c r="AP357" s="1131">
        <f>1+(INDEX(绊状态确认!$T:$T,MATCH($G357,绊状态确认!$B:$B,))+0.2)*$AO357</f>
        <v>1.3</v>
      </c>
      <c r="AQ357" s="1108">
        <f t="shared" si="450"/>
        <v>18539.962842699999</v>
      </c>
      <c r="AR357" s="1097">
        <f>(AM357*(1+$EX$9)+$EX$35)*(1+(INDEX(绊状态确认!$T:$T,MATCH($G357,绊状态确认!$B:$B,))+0.2)*AO357)*IF(J357=$FF$17,1+$FE$17,1)*IF(I357=$FF$14,1+$FE$14,1)</f>
        <v>10186.722712192</v>
      </c>
      <c r="AS357" s="1097">
        <f>(AN357*(1+$EX$10)+$EX$36)*(1+(INDEX(绊状态确认!$T:$T,MATCH($G357,绊状态确认!$B:$B,))+0.2)*AO357)*IF(J357=$FF$17,1+$FE$17,1)*IF(I357=$FF$14,1+$FE$14,1)</f>
        <v>12763.997885651997</v>
      </c>
      <c r="AT357" s="1093">
        <f>IF(AND(INDEX('卡片raw data'!AK:AK,MATCH($D357,'卡片raw data'!$F:$F,))&lt;INDEX('卡片raw data'!AM:AM,MATCH($D357,'卡片raw data'!$F:$F,)),INDEX('卡片raw data'!AL:AL,MATCH($D357,'卡片raw data'!$F:$F,))&lt;INDEX('卡片raw data'!AM:AM,MATCH($D357,'卡片raw data'!$F:$F,))),1,0)</f>
        <v>0</v>
      </c>
      <c r="AU357" s="1098">
        <f>MIN(AT357*0.15+AS357*0.00003+INDEX(绊状态确认!M:M,MATCH($G357,绊状态确认!$B:$B,)),1)</f>
        <v>0.41291993656955994</v>
      </c>
      <c r="AV357" s="1109">
        <f>(INDEX(绊状态确认!$N:$N,MATCH($G357,绊状态确认!$B:$B,))+1.5)*$EW$21</f>
        <v>2.6599999999999997</v>
      </c>
      <c r="AW357" s="1101">
        <f t="shared" si="451"/>
        <v>16228.610915001216</v>
      </c>
      <c r="AX357" s="1097">
        <f t="shared" si="452"/>
        <v>868.76471798418936</v>
      </c>
      <c r="AY357" s="1110">
        <f t="shared" si="453"/>
        <v>17097.375632985404</v>
      </c>
      <c r="AZ357" s="429">
        <f t="shared" si="454"/>
        <v>13958.258111719999</v>
      </c>
      <c r="BA357" s="431">
        <f t="shared" si="455"/>
        <v>16749.909734063996</v>
      </c>
      <c r="BB357" s="1097">
        <f>(AM357*(1+$FB$9)+$FB$35)*(1+(INDEX(绊状态确认!$T:$T,MATCH($G357,绊状态确认!$B:$B,))+0.2)*AO357)*IF(J357=$FF$17,1+$FE$17,1)*IF(I357=$FF$14,1+$FE$14,1)*(1+$FE$15)</f>
        <v>10186.722712192</v>
      </c>
      <c r="BC357" s="1097">
        <f>(AN357*(1+$FB$10)+$FB$36)*(1+(INDEX(绊状态确认!$T:$T,MATCH($G357,绊状态确认!$B:$B,))+0.2)*AO357)*IF(J357=$FF$17,1+$FE$17,1)*IF(I357=$FF$14,1+$FE$14,1)*(1+$FE$15)</f>
        <v>12763.997885651997</v>
      </c>
      <c r="BD357" s="1104">
        <f>MIN(AT357*0.15+BC357*0.00003+INDEX(绊状态确认!M:M,MATCH($G357,绊状态确认!$B:$B,)),1)</f>
        <v>0.41291993656955994</v>
      </c>
      <c r="BE357" s="432">
        <f>(INDEX(绊状态确认!$N:$N,MATCH($G357,绊状态确认!$B:$B,))+1.5)</f>
        <v>1.9</v>
      </c>
      <c r="BF357" s="1139">
        <f t="array" ref="BF357">SUMPRODUCT(IF(AZ357*AP357*$FI$16:$FI$23*$FA$22&gt;=$FI$24,$FI$24,AZ357*AP357*$FI$16:$FI$23*$FA$22),$FJ$16:$FJ$23)</f>
        <v>27762.975384211077</v>
      </c>
      <c r="BG357" s="1125">
        <f t="array" ref="BG357">SUMPRODUCT(IF(BE357*AZ357*AP357*$FI$16:$FI$23*$FA$22&gt;=$FI$24,$FI$24,BE357*AZ357*AP357*$FI$16:$FI$23*$FA$22),$FJ$16:$FJ$23)</f>
        <v>51993.201141700141</v>
      </c>
      <c r="BH357" s="1110">
        <f t="shared" si="456"/>
        <v>12589.37288901986</v>
      </c>
      <c r="BI357" s="1111">
        <f>IF(O357="vo",$EW$26/$EW$24*0.05,0)+IF(O357="sk",-$EW$26/$EW$24*(0.05-INDEX(绊状态确认!W:W,MATCH($G357,绊状态确认!$B:$B,)))+0.05*$EW$28,0)+IF(O357="sp",0.05*$EW$32*$EW$30*(1-$EW$33)-(0.05-INDEX(绊状态确认!V:V,MATCH($G357,绊状态确认!$B:$B,)))*$EW$28,0)+IF(O357="gd",-(0.05-INDEX(绊状态确认!X:X,MATCH($G357,绊状态确认!$B:$B,)))*$EW$32*$EW$30*(1-$EW$33),0)</f>
        <v>-585.00000000000011</v>
      </c>
      <c r="BJ357" s="1097">
        <f>IF(O357="vo",0.05*(1-$FI$26)*$FA$24,0)+IF(O357="sk",-(0.05-INDEX(绊状态确认!W:W,MATCH($G357,绊状态确认!$B:$B,)))*(1-$FI$26)*$FA$24+0.05*$FA$26,0)+IF(O357="sp",0.05*$FA$32*$FA$27*(1-$FA$33)/$FA$30+0.05*$FA$29/$FA$69*$FA$27*(1-$FA$33)-(0.05-INDEX(绊状态确认!V:V,MATCH($G357,绊状态确认!$B:$B,)))*$FA$26,0)+IF(O357="gd",-(0.05-INDEX(绊状态确认!X:X,MATCH($G357,绊状态确认!$B:$B,)))*$FA$32*$FA$27*(1-$FA$33)/$FA$30-(0.05-INDEX(绊状态确认!X:X,MATCH($G357,绊状态确认!$B:$B,)))*$FA$29/$FA$69*$FA$27*(1-$FA$33),0)</f>
        <v>-795.00000000000011</v>
      </c>
      <c r="BK357" s="1110">
        <f>IF(O357="vo",$EW$26/$EW$24*0.05+$EW$26*(-HP($EW$62,$EW$65,$EW$64)+HP($EW$62,$EW$65,(1.05-INDEX(绊状态确认!U:U,MATCH($G357,绊状态确认!$B:$B,)))*$EW$64)),0)+IF(O357="sk",-$EW$26/$EW$24*(0.05-INDEX(绊状态确认!W:W,MATCH($G357,绊状态确认!$B:$B,)))+0.05*$EW$29,0)+IF(O357="sp",0.05*$EW$32*$EW$30*(1-$EW$33)-(0.05-INDEX(绊状态确认!V:V,MATCH($G357,绊状态确认!$B:$B,)))*$EW$29,0)+IF(O357="gd",-(0.05-INDEX(绊状态确认!X:X,MATCH($G357,绊状态确认!$B:$B,)))*$EW$32*$EW$30*(1-$EW$33)+$EW$26*(-HP($EW$62,$EW$65,$EW$64)+HP($EW$62,$EW$65,0.95*$EW$64)),0)</f>
        <v>1009.5947725176144</v>
      </c>
      <c r="BL357" s="1111">
        <f t="shared" si="457"/>
        <v>-1083.3333333333333</v>
      </c>
      <c r="BM357" s="1110">
        <f t="shared" si="458"/>
        <v>-830.55555555555543</v>
      </c>
      <c r="BN357" s="1113">
        <f t="shared" si="459"/>
        <v>3</v>
      </c>
      <c r="BO357" s="1108">
        <f t="shared" si="460"/>
        <v>4507.7214871259994</v>
      </c>
      <c r="BP357" s="1100">
        <f t="shared" si="461"/>
        <v>221.34103209030098</v>
      </c>
      <c r="BQ357" s="1113" t="s">
        <v>133</v>
      </c>
      <c r="BR357" s="1124" t="s">
        <v>171</v>
      </c>
      <c r="BS357" s="1098">
        <f>IF($P357="","N/A",IF($P357=-1,INDEX('卡片raw data'!AX:AX,MATCH($D357,'卡片raw data'!$F:$F,)),0)+IF($L357="party卡",IF($P357=5,INDEX('卡片raw data'!BD:BD,MATCH($D357,'卡片raw data'!$F:$F,)),IF($P357&gt;=3,INDEX('卡片raw data'!BC:BC,MATCH($D357,'卡片raw data'!$F:$F,)),INDEX('卡片raw data'!BB:BB,MATCH($D357,'卡片raw data'!$F:$F,)))),IF(OR(AND($F357="UR",$P357=0),AND($F357="SR",$P357&gt;=0,$P357&lt;=2),AND($F357="R",$P357&gt;=0,$P357&lt;4)),INDEX('卡片raw data'!AZ:AZ,MATCH($D357,'卡片raw data'!$F:$F,)),0)+IF(OR(AND($F357="UR",$P357&gt;=1,$P357&lt;=4),AND($F357="SR",$P357&lt;=4,$P357&gt;=3),AND($F357="R",$P357=4)),INDEX('卡片raw data'!BA:BA,MATCH($D357,'卡片raw data'!$F:$F,)),0)+IF($P357=5,INDEX('卡片raw data'!BB:BB,MATCH($D357,'卡片raw data'!$F:$F,)),0)))</f>
        <v>3.2000000000000001E-2</v>
      </c>
      <c r="BT357" s="1101">
        <f t="shared" si="462"/>
        <v>0</v>
      </c>
      <c r="BU357" s="1097">
        <f t="shared" si="463"/>
        <v>0</v>
      </c>
      <c r="BV357" s="1097">
        <f t="shared" si="464"/>
        <v>0</v>
      </c>
      <c r="BW357" s="1112">
        <f t="shared" si="465"/>
        <v>1.498285714285714</v>
      </c>
      <c r="BX357" s="1100">
        <f t="shared" si="466"/>
        <v>117.00848980993118</v>
      </c>
      <c r="BY357" s="1110">
        <f t="shared" si="467"/>
        <v>117.00848980993118</v>
      </c>
      <c r="BZ357" s="1113" t="s">
        <v>569</v>
      </c>
      <c r="CA357" s="1124"/>
      <c r="CB357" s="1098">
        <f>IF($P357="","N/A",IF($P357=-1,INDEX('卡片raw data'!BE:BE,MATCH($D357,'卡片raw data'!$F:$F,)),0)+IF($L357="party卡",IF($P357=5,INDEX('卡片raw data'!BK:BK,MATCH($D357,'卡片raw data'!$F:$F,)),IF($P357&gt;=3,INDEX('卡片raw data'!BJ:BJ,MATCH($D357,'卡片raw data'!$F:$F,)),INDEX('卡片raw data'!BI:BI,MATCH($D357,'卡片raw data'!$F:$F,)))),IF(OR(AND($F357="UR",$P357=0),AND($F357="SR",$P357&gt;=0,$P357&lt;=2),AND($F357="R",$P357&gt;=0,$P357&lt;4)),INDEX('卡片raw data'!BG:BG,MATCH($D357,'卡片raw data'!$F:$F,)),0)+IF(OR(AND($F357="UR",$P357&gt;=1,$P357&lt;=4),AND($F357="SR",$P357&lt;=4,$P357&gt;=3),AND($F357="R",$P357=4)),INDEX('卡片raw data'!BH:BH,MATCH($D357,'卡片raw data'!$F:$F,)),0)+IF($P357=5,INDEX('卡片raw data'!BI:BI,MATCH($D357,'卡片raw data'!$F:$F,)),0)))</f>
        <v>0</v>
      </c>
      <c r="CC357" s="1101">
        <f t="shared" si="468"/>
        <v>0</v>
      </c>
      <c r="CD357" s="1097">
        <f>IF(BZ357="ap",CB357*(1-$FI$26)*$FB$5/$FB$11*(+IF(CA357="全员",$FA$24,0)+IF(CA357="同作战",$FA$24,0)+IF(CA357="仲间",$FA$24*2/3,0)+IF(CA357="同属性",$FA$24*$FA$37/3,0)+IF(CA357="同年级",$FA$24*$FA$40/3,0)+IF(CA357="同学校",$FA$24*$FA$43/3,0)+IF(CA357="同小队",$FA$24*$FA$46/3,0)+IF(CA357="同type",$FA$24*INDEX($FB$49:$FB$52,MATCH(X357,$FA$49:$FA$52,))/3,0)+IF(CA357="自身",#REF!/3,0)),0)+IF(BZ357="te",CB357*(1-$FI$27)*($FA$20-1)*$FB$7/$FB$13*(+IF(CA357="全员",$FA$19*$FA$24/(1+($FA$20-1)*$FA$19),0)+IF(CA357="同作战",$FA$19*$FA$24/(1+($FA$20-1)*$FA$19),0)+IF(CA357="仲间",$FA$19*$FA$24*2/3/(1+($FA$20-1)*$FA$19),0)+IF(CA357="同属性",$FA$19*$FA$24*$FA$37/3/(1+($FA$20-1)*$FA$19),0)+IF(CA357="同年级",$FA$19*$FA$24*$FA$40/3/(1+($FA$20-1)*$FA$19),0)+IF(CA357="同学校",$FA$19*$FA$24*$FA$43/3/(1+($FA$20-1)*$FA$19),0)+IF(CA357="同小队",$FA$19*$FA$24*$FA$46/3/(1+($FA$20-1)*$FA$19),0)+IF(CA357="同type",$FA$19*$FA$24*INDEX($FB$49:$FB$52,MATCH(X357,$FA$49:$FA$52,))/3/(1+($FA$20-1)*$FA$19),0)+IF(CA357="自身",$FA$19*#REF!/3/(1+(BH357-1)*$BD357),0)),0)</f>
        <v>0</v>
      </c>
      <c r="CE357" s="1097">
        <f t="shared" si="469"/>
        <v>0</v>
      </c>
      <c r="CF357" s="1112">
        <f t="shared" si="470"/>
        <v>0</v>
      </c>
      <c r="CG357" s="1100">
        <f t="shared" si="471"/>
        <v>0</v>
      </c>
      <c r="CH357" s="1110">
        <f t="shared" si="472"/>
        <v>0</v>
      </c>
      <c r="CI357" s="1113" t="s">
        <v>1687</v>
      </c>
      <c r="CJ357" s="1114">
        <v>1</v>
      </c>
      <c r="CK357" s="1115" t="s">
        <v>1688</v>
      </c>
      <c r="CL357" s="1115" t="s">
        <v>1675</v>
      </c>
      <c r="CM357" s="1119">
        <v>0.23</v>
      </c>
      <c r="CN357" s="1115">
        <v>1</v>
      </c>
      <c r="CO357" s="1115">
        <v>2</v>
      </c>
      <c r="CP357" s="1118">
        <f t="shared" si="473"/>
        <v>8.2142857142857148E-4</v>
      </c>
      <c r="CQ357" s="1118">
        <f t="shared" si="474"/>
        <v>1.2777777777777779E-3</v>
      </c>
      <c r="CR357" s="1118">
        <f t="shared" si="475"/>
        <v>8.2142857142857148E-4</v>
      </c>
      <c r="CS357" s="1118">
        <f t="shared" si="476"/>
        <v>0</v>
      </c>
      <c r="CT357" s="1109">
        <f t="shared" si="477"/>
        <v>0</v>
      </c>
      <c r="CU357" s="1101">
        <f t="shared" si="478"/>
        <v>0</v>
      </c>
      <c r="CV357" s="1108">
        <f t="shared" si="479"/>
        <v>0</v>
      </c>
      <c r="CW357" s="1097">
        <f t="shared" si="480"/>
        <v>0</v>
      </c>
      <c r="CX357" s="1097">
        <f t="shared" si="481"/>
        <v>32.004871270631774</v>
      </c>
      <c r="CY357" s="1110">
        <f t="shared" si="482"/>
        <v>32.004871270631774</v>
      </c>
      <c r="CZ357" s="437"/>
      <c r="DA357" s="438"/>
      <c r="DB357" s="439" t="s">
        <v>569</v>
      </c>
      <c r="DC357" s="439"/>
      <c r="DD357" s="443"/>
      <c r="DE357" s="411"/>
      <c r="DF357" s="411"/>
      <c r="DG357" s="1116">
        <f t="shared" si="483"/>
        <v>0</v>
      </c>
      <c r="DH357" s="1116">
        <f t="shared" si="484"/>
        <v>0</v>
      </c>
      <c r="DI357" s="1116">
        <f t="shared" si="485"/>
        <v>0</v>
      </c>
      <c r="DJ357" s="442">
        <f t="shared" si="486"/>
        <v>0</v>
      </c>
      <c r="DK357" s="1109">
        <f t="shared" si="487"/>
        <v>0</v>
      </c>
      <c r="DL357" s="1101">
        <f t="shared" si="488"/>
        <v>0</v>
      </c>
      <c r="DM357" s="1097">
        <f t="shared" si="489"/>
        <v>0</v>
      </c>
      <c r="DN357" s="1097">
        <f t="shared" si="490"/>
        <v>0</v>
      </c>
      <c r="DO357" s="1097">
        <f t="shared" si="491"/>
        <v>0</v>
      </c>
      <c r="DP357" s="1110">
        <f t="shared" si="492"/>
        <v>0</v>
      </c>
      <c r="DQ357" s="1113" t="s">
        <v>635</v>
      </c>
      <c r="DR357" s="1120">
        <f t="shared" si="493"/>
        <v>0.3</v>
      </c>
      <c r="DS357" s="1124"/>
      <c r="DT357" s="1093" t="s">
        <v>133</v>
      </c>
      <c r="DU357" s="1093"/>
      <c r="DV357" s="1098">
        <f>IF($P357="","N/A",IF(P357=-1,INDEX('卡片raw data'!AN:AN,MATCH(D357,'卡片raw data'!$F:$F,)),0)+IF(AND(L357&lt;&gt;"party卡",P357&lt;=2,P357&gt;=0),INDEX('卡片raw data'!AP:AP,MATCH(D357,'卡片raw data'!$F:$F,)),0)+IF(OR(AND(L357="party卡",P357&lt;=1),AND(P357&lt;=4,L357&lt;&gt;"party卡",P357&gt;=3)),INDEX('卡片raw data'!AQ:AQ,MATCH(D357,'卡片raw data'!$F:$F,)),0)+IF(OR(P357=5,AND(L357="party卡",P357&gt;=2)),INDEX('卡片raw data'!AR:AR,MATCH(D357,'卡片raw data'!$F:$F,)),0))</f>
        <v>0.28999999999999998</v>
      </c>
      <c r="DW357" s="1098">
        <f t="shared" si="494"/>
        <v>0.3</v>
      </c>
      <c r="DX357" s="1098">
        <f t="shared" si="495"/>
        <v>0.3</v>
      </c>
      <c r="DY357" s="1097">
        <f t="shared" si="496"/>
        <v>295.41495865356802</v>
      </c>
      <c r="DZ357" s="1097">
        <f t="shared" si="497"/>
        <v>255.53393923533633</v>
      </c>
      <c r="EA357" s="1098">
        <f t="shared" si="498"/>
        <v>0</v>
      </c>
      <c r="EB357" s="1121">
        <f t="shared" si="499"/>
        <v>0</v>
      </c>
      <c r="EC357" s="1101">
        <f t="shared" si="500"/>
        <v>0</v>
      </c>
      <c r="ED357" s="1097">
        <f t="shared" si="501"/>
        <v>0</v>
      </c>
      <c r="EE357" s="1110">
        <f t="shared" si="513"/>
        <v>33295.762363237554</v>
      </c>
      <c r="EF357" s="1115" t="s">
        <v>569</v>
      </c>
      <c r="EG357" s="1120">
        <f t="shared" si="503"/>
        <v>0.3</v>
      </c>
      <c r="EH357" s="1124"/>
      <c r="EI357" s="1093"/>
      <c r="EJ357" s="1093"/>
      <c r="EK357" s="1097">
        <f>IF($P357="","N/A",IF(P357=-1,INDEX('卡片raw data'!AS:AS,MATCH(D357,'卡片raw data'!$F:$F,)),0)+IF(AND(L357&lt;&gt;"party卡",P357&lt;=2,P357&gt;=0),INDEX('卡片raw data'!AU:AU,MATCH(D357,'卡片raw data'!$F:$F,)),0)+IF(OR(AND(L357="party卡",P357&lt;=1),AND(P357&lt;=4,L357&lt;&gt;"party卡",P357&gt;=3)),INDEX('卡片raw data'!AV:AV,MATCH(D357,'卡片raw data'!$F:$F,)),0)+IF(OR(P357=5,AND(L357="party卡",P357&gt;=2)),INDEX('卡片raw data'!AW:AW,MATCH(D357,'卡片raw data'!$F:$F,)),0))</f>
        <v>0</v>
      </c>
      <c r="EL357" s="1098">
        <f t="shared" si="504"/>
        <v>0.3</v>
      </c>
      <c r="EM357" s="1098">
        <f t="shared" si="505"/>
        <v>0.3</v>
      </c>
      <c r="EN357" s="1097">
        <f t="shared" si="506"/>
        <v>0</v>
      </c>
      <c r="EO357" s="1097">
        <f t="shared" si="507"/>
        <v>0</v>
      </c>
      <c r="EP357" s="1098">
        <f t="shared" si="508"/>
        <v>0</v>
      </c>
      <c r="EQ357" s="1121">
        <f t="shared" si="509"/>
        <v>0</v>
      </c>
      <c r="ER357" s="1101">
        <f t="shared" si="510"/>
        <v>0</v>
      </c>
      <c r="ES357" s="1097">
        <f t="shared" si="511"/>
        <v>0</v>
      </c>
      <c r="ET357" s="1122">
        <f t="shared" si="514"/>
        <v>0</v>
      </c>
    </row>
    <row r="358" spans="2:150" ht="16.5" customHeight="1">
      <c r="B358" s="1123" t="str">
        <f>INDEX('卡片raw data'!B:B,MATCH($D358,'卡片raw data'!$F:$F,))</f>
        <v>fes1步</v>
      </c>
      <c r="C358" s="449" t="s">
        <v>1700</v>
      </c>
      <c r="D358" s="408">
        <v>355</v>
      </c>
      <c r="E358" s="477">
        <v>202013001</v>
      </c>
      <c r="F358" s="1090" t="str">
        <f>INDEX('卡片raw data'!C:C,MATCH($D358,'卡片raw data'!$F:$F,))</f>
        <v>UR</v>
      </c>
      <c r="G358" s="1094" t="s">
        <v>1701</v>
      </c>
      <c r="H358" s="411">
        <f>IFERROR(INDEX(绊状态确认!C:C,MATCH($G358,绊状态确认!$B:$B,)),"")</f>
        <v>201</v>
      </c>
      <c r="I358" s="450" t="str">
        <f>IFERROR(INDEX(绊状态确认!D:D,MATCH($G358,绊状态确认!$B:$B,)),"")</f>
        <v>虹</v>
      </c>
      <c r="J358" s="450" t="str">
        <f>IFERROR(INDEX(绊状态确认!E:E,MATCH($G358,绊状态确认!$B:$B,)),"")</f>
        <v>2年级</v>
      </c>
      <c r="K358" s="451" t="str">
        <f>IFERROR(INDEX(绊状态确认!F:F,MATCH($G358,绊状态确认!$B:$B,)),"")</f>
        <v>A·ZU·NA</v>
      </c>
      <c r="L358" s="1094" t="str">
        <f>INDEX('卡片raw data'!E:E,MATCH($D358,'卡片raw data'!$F:$F,))</f>
        <v>fes卡</v>
      </c>
      <c r="M358" s="478">
        <v>44161</v>
      </c>
      <c r="N358" s="479">
        <v>28.5</v>
      </c>
      <c r="O358" s="1091" t="str">
        <f>INDEX('卡片raw data'!D:D,MATCH($D358,'卡片raw data'!$F:$F,))</f>
        <v>sk</v>
      </c>
      <c r="P358" s="1126">
        <v>5</v>
      </c>
      <c r="Q358" s="1095">
        <f t="shared" si="428"/>
        <v>56362.583286452871</v>
      </c>
      <c r="R358" s="1096">
        <f t="shared" si="429"/>
        <v>0.65500000000000003</v>
      </c>
      <c r="S358" s="1097">
        <f t="shared" si="430"/>
        <v>21959.594635394125</v>
      </c>
      <c r="T358" s="1098">
        <f t="shared" si="431"/>
        <v>1.097</v>
      </c>
      <c r="U358" s="1099">
        <f t="shared" si="432"/>
        <v>56.856814941642845</v>
      </c>
      <c r="V358" s="1100">
        <f t="shared" si="433"/>
        <v>63134.09967959534</v>
      </c>
      <c r="W358" s="1101">
        <f t="shared" si="434"/>
        <v>7312.5259680044001</v>
      </c>
      <c r="X358" s="1096">
        <f t="shared" si="435"/>
        <v>8.5000000000000006E-2</v>
      </c>
      <c r="Y358" s="1097">
        <f t="shared" si="436"/>
        <v>4771.5163931424722</v>
      </c>
      <c r="Z358" s="1102">
        <f t="shared" si="437"/>
        <v>56.856814941642845</v>
      </c>
      <c r="AA358" s="1103">
        <f t="shared" si="438"/>
        <v>12084.042361146872</v>
      </c>
      <c r="AB358" s="1101">
        <f t="shared" si="439"/>
        <v>8180.6797358953336</v>
      </c>
      <c r="AC358" s="1104">
        <f t="shared" si="440"/>
        <v>9.5000000000000001E-2</v>
      </c>
      <c r="AD358" s="1105">
        <f t="shared" si="441"/>
        <v>2.1769318181818181E-2</v>
      </c>
      <c r="AE358" s="1128">
        <f t="shared" si="442"/>
        <v>11.953757704745847</v>
      </c>
      <c r="AF358" s="1130">
        <f t="shared" si="443"/>
        <v>0</v>
      </c>
      <c r="AG358" s="420">
        <f t="shared" si="444"/>
        <v>0</v>
      </c>
      <c r="AH358" s="420">
        <f t="shared" si="445"/>
        <v>0</v>
      </c>
      <c r="AI358" s="1097">
        <f t="shared" si="446"/>
        <v>0</v>
      </c>
      <c r="AJ358" s="420">
        <f t="shared" si="447"/>
        <v>0</v>
      </c>
      <c r="AK358" s="518">
        <f t="shared" si="448"/>
        <v>0</v>
      </c>
      <c r="AL358" s="1106">
        <f>IF($P358="","N/A",(IF($P358=-1,INDEX('卡片raw data'!S:S,MATCH($D358,'卡片raw data'!$F:$F,)),0)+IF($P358=0,INDEX('卡片raw data'!V:V,MATCH($D358,'卡片raw data'!$F:$F,)),0)+IF($P358=1,INDEX('卡片raw data'!Y:Y,MATCH($D358,'卡片raw data'!$F:$F,)),0)+IF($P358=2,INDEX('卡片raw data'!AB:AB,MATCH($D358,'卡片raw data'!$F:$F,)),0)+IF($P358=3,INDEX('卡片raw data'!AE:AE,MATCH($D358,'卡片raw data'!$F:$F,)),0)+IF($P358=4,INDEX('卡片raw data'!AH:AH,MATCH($D358,'卡片raw data'!$F:$F,)),0)+IF($P358=5,INDEX('卡片raw data'!AK:AK,MATCH($D358,'卡片raw data'!$F:$F,)),0)+INDEX('卡片raw data'!S:S,MATCH($D358,'卡片raw data'!$F:$F,))*(IF($F358="UR",0.04,0.033))*(IF($F358="UR",INDEX(绊状态确认!$S:$S,MATCH($G358,绊状态确认!$B:$B,))/2-40)+IF($F358="SR",INDEX(绊状态确认!$R:$R,MATCH($G358,绊状态确认!$B:$B,))/4-15))+IF($F358="R",INDEX(绊状态确认!$Q:$Q,MATCH($G358,绊状态确认!$B:$B,))/6-40/6)))*(INDEX(绊状态确认!$H:$H,MATCH($G358,绊状态确认!$B:$B,))+INDEX(绊状态确认!J:J,MATCH($G358,绊状态确认!$B:$B,)))</f>
        <v>13335.290351999998</v>
      </c>
      <c r="AM358" s="1106">
        <f>IF($P358="","N/A",(IF($P358=-1,INDEX('卡片raw data'!T:T,MATCH($D358,'卡片raw data'!$F:$F,)),0)+IF($P358=0,INDEX('卡片raw data'!W:W,MATCH($D358,'卡片raw data'!$F:$F,)),0)+IF($P358=1,INDEX('卡片raw data'!Z:Z,MATCH($D358,'卡片raw data'!$F:$F,)),0)+IF($P358=2,INDEX('卡片raw data'!AC:AC,MATCH($D358,'卡片raw data'!$F:$F,)),0)+IF($P358=3,INDEX('卡片raw data'!AF:AF,MATCH($D358,'卡片raw data'!$F:$F,)),0)+IF($P358=4,INDEX('卡片raw data'!AI:AI,MATCH($D358,'卡片raw data'!$F:$F,)),0)+IF($P358=5,INDEX('卡片raw data'!AL:AL,MATCH($D358,'卡片raw data'!$F:$F,)),0)+INDEX('卡片raw data'!T:T,MATCH($D358,'卡片raw data'!$F:$F,))*(IF($F358="UR",0.04,0.033))*(IF($F358="UR",INDEX(绊状态确认!$S:$S,MATCH($G358,绊状态确认!$B:$B,))/2-40)+IF($F358="SR",INDEX(绊状态确认!$R:$R,MATCH($G358,绊状态确认!$B:$B,))/4-15))+IF($F358="R",INDEX(绊状态确认!$Q:$Q,MATCH($G358,绊状态确认!$B:$B,))/6-40/6)))*(INDEX(绊状态确认!$H:$H,MATCH($G358,绊状态确认!$B:$B,))+INDEX(绊状态确认!K:K,MATCH($G358,绊状态确认!$B:$B,)))</f>
        <v>7568.5149119999987</v>
      </c>
      <c r="AN358" s="1106">
        <f>IF($P358="","N/A",(IF($P358=-1,INDEX('卡片raw data'!U:U,MATCH($D358,'卡片raw data'!$F:$F,)),0)+IF($P358=0,INDEX('卡片raw data'!X:X,MATCH($D358,'卡片raw data'!$F:$F,)),0)+IF($P358=1,INDEX('卡片raw data'!AA:AA,MATCH($D358,'卡片raw data'!$F:$F,)),0)+IF($P358=2,INDEX('卡片raw data'!AD:AD,MATCH($D358,'卡片raw data'!$F:$F,)),0)+IF($P358=3,INDEX('卡片raw data'!AG:AG,MATCH($D358,'卡片raw data'!$F:$F,)),0)+IF($P358=4,INDEX('卡片raw data'!AJ:AJ,MATCH($D358,'卡片raw data'!$F:$F,)),0)+IF($P358=5,INDEX('卡片raw data'!AM:AM,MATCH($D358,'卡片raw data'!$F:$F,)),0)+INDEX('卡片raw data'!U:U,MATCH($D358,'卡片raw data'!$F:$F,))*(IF($F358="UR",0.04,0.033))*(IF($F358="UR",INDEX(绊状态确认!$S:$S,MATCH($G358,绊状态确认!$B:$B,))/2-40)+IF($F358="SR",INDEX(绊状态确认!$R:$R,MATCH($G358,绊状态确认!$B:$B,))/4-15))+IF($F358="R",INDEX(绊状态确认!$Q:$Q,MATCH($G358,绊状态确认!$B:$B,))/6-40/6)))*(INDEX(绊状态确认!$H:$H,MATCH($G358,绊状态确认!$B:$B,))+INDEX(绊状态确认!L:L,MATCH($G358,绊状态确认!$B:$B,)))</f>
        <v>15138.166223999999</v>
      </c>
      <c r="AO358" s="1107">
        <f t="shared" si="449"/>
        <v>1</v>
      </c>
      <c r="AP358" s="1131">
        <f>1+(INDEX(绊状态确认!$T:$T,MATCH($G358,绊状态确认!$B:$B,))+0.2)*$AO358</f>
        <v>1.3</v>
      </c>
      <c r="AQ358" s="1108">
        <f t="shared" si="450"/>
        <v>38255.137173999996</v>
      </c>
      <c r="AR358" s="1097">
        <f>(AM358*(1+$EX$9)+$EX$35)*(1+(INDEX(绊状态确认!$T:$T,MATCH($G358,绊状态确认!$B:$B,))+0.2)*AO358)*IF(J358=$FF$17,1+$FE$17,1)*IF(I358=$FF$14,1+$FE$14,1)</f>
        <v>13035.022854880001</v>
      </c>
      <c r="AS358" s="1097">
        <f>(AN358*(1+$EX$10)+$EX$36)*(1+(INDEX(绊状态确认!$T:$T,MATCH($G358,绊状态确认!$B:$B,))+0.2)*AO358)*IF(J358=$FF$17,1+$FE$17,1)*IF(I358=$FF$14,1+$FE$14,1)</f>
        <v>26687.558504879995</v>
      </c>
      <c r="AT358" s="1093">
        <f>IF(AND(INDEX('卡片raw data'!AK:AK,MATCH($D358,'卡片raw data'!$F:$F,))&lt;INDEX('卡片raw data'!AM:AM,MATCH($D358,'卡片raw data'!$F:$F,)),INDEX('卡片raw data'!AL:AL,MATCH($D358,'卡片raw data'!$F:$F,))&lt;INDEX('卡片raw data'!AM:AM,MATCH($D358,'卡片raw data'!$F:$F,))),1,0)</f>
        <v>1</v>
      </c>
      <c r="AU358" s="1098">
        <f>MIN(AT358*0.15+AS358*0.00003+INDEX(绊状态确认!M:M,MATCH($G358,绊状态确认!$B:$B,)),1)</f>
        <v>0.98062675514639996</v>
      </c>
      <c r="AV358" s="1109">
        <f>(INDEX(绊状态确认!$N:$N,MATCH($G358,绊状态确认!$B:$B,))+1.5)*$EW$21</f>
        <v>2.6599999999999997</v>
      </c>
      <c r="AW358" s="1101">
        <f t="shared" si="451"/>
        <v>52209.0889468635</v>
      </c>
      <c r="AX358" s="1097">
        <f t="shared" si="452"/>
        <v>1118.6593236096908</v>
      </c>
      <c r="AY358" s="1110">
        <f t="shared" si="453"/>
        <v>53327.748270473188</v>
      </c>
      <c r="AZ358" s="429">
        <f t="shared" si="454"/>
        <v>28603.816186399996</v>
      </c>
      <c r="BA358" s="431">
        <f t="shared" si="455"/>
        <v>34324.579423679992</v>
      </c>
      <c r="BB358" s="1097">
        <f>(AM358*(1+$FB$9)+$FB$35)*(1+(INDEX(绊状态确认!$T:$T,MATCH($G358,绊状态确认!$B:$B,))+0.2)*AO358)*IF(J358=$FF$17,1+$FE$17,1)*IF(I358=$FF$14,1+$FE$14,1)*(1+$FE$15)</f>
        <v>13035.022854880001</v>
      </c>
      <c r="BC358" s="1097">
        <f>(AN358*(1+$FB$10)+$FB$36)*(1+(INDEX(绊状态确认!$T:$T,MATCH($G358,绊状态确认!$B:$B,))+0.2)*AO358)*IF(J358=$FF$17,1+$FE$17,1)*IF(I358=$FF$14,1+$FE$14,1)*(1+$FE$15)</f>
        <v>26687.558504879995</v>
      </c>
      <c r="BD358" s="1104">
        <f>MIN(AT358*0.15+BC358*0.00003+INDEX(绊状态确认!M:M,MATCH($G358,绊状态确认!$B:$B,)),1)</f>
        <v>0.98062675514639996</v>
      </c>
      <c r="BE358" s="432">
        <f>(INDEX(绊状态确认!$N:$N,MATCH($G358,绊状态确认!$B:$B,))+1.5)</f>
        <v>1.9</v>
      </c>
      <c r="BF358" s="1139">
        <f t="array" ref="BF358">SUMPRODUCT(IF(AZ358*AP358*$FI$16:$FI$23*$FA$22&gt;=$FI$24,$FI$24,AZ358*AP358*$FI$16:$FI$23*$FA$22),$FJ$16:$FJ$23)</f>
        <v>54813.111431896796</v>
      </c>
      <c r="BG358" s="1125">
        <f t="array" ref="BG358">SUMPRODUCT(IF(BE358*AZ358*AP358*$FI$16:$FI$23*$FA$22&gt;=$FI$24,$FI$24,BE358*AZ358*AP358*$FI$16:$FI$23*$FA$22),$FJ$16:$FJ$23)</f>
        <v>60000</v>
      </c>
      <c r="BH358" s="1110">
        <f t="shared" si="456"/>
        <v>19966.504379247268</v>
      </c>
      <c r="BI358" s="1111">
        <f>IF(O358="vo",$EW$26/$EW$24*0.05,0)+IF(O358="sk",-$EW$26/$EW$24*(0.05-INDEX(绊状态确认!W:W,MATCH($G358,绊状态确认!$B:$B,)))+0.05*$EW$28,0)+IF(O358="sp",0.05*$EW$32*$EW$30*(1-$EW$33)-(0.05-INDEX(绊状态确认!V:V,MATCH($G358,绊状态确认!$B:$B,)))*$EW$28,0)+IF(O358="gd",-(0.05-INDEX(绊状态确认!X:X,MATCH($G358,绊状态确认!$B:$B,)))*$EW$32*$EW$30*(1-$EW$33),0)</f>
        <v>-6253.6726349699375</v>
      </c>
      <c r="BJ358" s="1097">
        <f>IF(O358="vo",0.05*(1-$FI$26)*$FA$24,0)+IF(O358="sk",-(0.05-INDEX(绊状态确认!W:W,MATCH($G358,绊状态确认!$B:$B,)))*(1-$FI$26)*$FA$24+0.05*$FA$26,0)+IF(O358="sp",0.05*$FA$32*$FA$27*(1-$FA$33)/$FA$30+0.05*$FA$29/$FA$69*$FA$27*(1-$FA$33)-(0.05-INDEX(绊状态确认!V:V,MATCH($G358,绊状态确认!$B:$B,)))*$FA$26,0)+IF(O358="gd",-(0.05-INDEX(绊状态确认!X:X,MATCH($G358,绊状态确认!$B:$B,)))*$FA$32*$FA$27*(1-$FA$33)/$FA$30-(0.05-INDEX(绊状态确认!X:X,MATCH($G358,绊状态确认!$B:$B,)))*$FA$29/$FA$69*$FA$27*(1-$FA$33),0)</f>
        <v>20.459096812499922</v>
      </c>
      <c r="BK358" s="1110">
        <f>IF(O358="vo",$EW$26/$EW$24*0.05+$EW$26*(-HP($EW$62,$EW$65,$EW$64)+HP($EW$62,$EW$65,(1.05-INDEX(绊状态确认!U:U,MATCH($G358,绊状态确认!$B:$B,)))*$EW$64)),0)+IF(O358="sk",-$EW$26/$EW$24*(0.05-INDEX(绊状态确认!W:W,MATCH($G358,绊状态确认!$B:$B,)))+0.05*$EW$29,0)+IF(O358="sp",0.05*$EW$32*$EW$30*(1-$EW$33)-(0.05-INDEX(绊状态确认!V:V,MATCH($G358,绊状态确认!$B:$B,)))*$EW$29,0)+IF(O358="gd",-(0.05-INDEX(绊状态确认!X:X,MATCH($G358,绊状态确认!$B:$B,)))*$EW$32*$EW$30*(1-$EW$33)+$EW$26*(-HP($EW$62,$EW$65,$EW$64)+HP($EW$62,$EW$65,0.95*$EW$64)),0)</f>
        <v>-4253.6726349699375</v>
      </c>
      <c r="BL358" s="1111">
        <f t="shared" si="457"/>
        <v>0</v>
      </c>
      <c r="BM358" s="1110">
        <f t="shared" si="458"/>
        <v>0</v>
      </c>
      <c r="BN358" s="1113">
        <f t="shared" si="459"/>
        <v>4</v>
      </c>
      <c r="BO358" s="1108">
        <f t="shared" si="460"/>
        <v>6010.2953161679998</v>
      </c>
      <c r="BP358" s="1100">
        <f t="shared" si="461"/>
        <v>295.12137612040135</v>
      </c>
      <c r="BQ358" s="1113" t="s">
        <v>132</v>
      </c>
      <c r="BR358" s="1124" t="s">
        <v>617</v>
      </c>
      <c r="BS358" s="1098">
        <f>IF($P358="","N/A",IF($P358=-1,INDEX('卡片raw data'!AX:AX,MATCH($D358,'卡片raw data'!$F:$F,)),0)+IF($L358="party卡",IF($P358=5,INDEX('卡片raw data'!BD:BD,MATCH($D358,'卡片raw data'!$F:$F,)),IF($P358&gt;=3,INDEX('卡片raw data'!BC:BC,MATCH($D358,'卡片raw data'!$F:$F,)),INDEX('卡片raw data'!BB:BB,MATCH($D358,'卡片raw data'!$F:$F,)))),IF(OR(AND($F358="UR",$P358=0),AND($F358="SR",$P358&gt;=0,$P358&lt;=2),AND($F358="R",$P358&gt;=0,$P358&lt;4)),INDEX('卡片raw data'!AZ:AZ,MATCH($D358,'卡片raw data'!$F:$F,)),0)+IF(OR(AND($F358="UR",$P358&gt;=1,$P358&lt;=4),AND($F358="SR",$P358&lt;=4,$P358&gt;=3),AND($F358="R",$P358=4)),INDEX('卡片raw data'!BA:BA,MATCH($D358,'卡片raw data'!$F:$F,)),0)+IF($P358=5,INDEX('卡片raw data'!BB:BB,MATCH($D358,'卡片raw data'!$F:$F,)),0)))</f>
        <v>5.1999999999999998E-2</v>
      </c>
      <c r="BT358" s="1101">
        <f t="shared" si="462"/>
        <v>2170.3844197273338</v>
      </c>
      <c r="BU358" s="1097">
        <f t="shared" si="463"/>
        <v>106.57160804347826</v>
      </c>
      <c r="BV358" s="1097">
        <f t="shared" si="464"/>
        <v>1302.2306518363998</v>
      </c>
      <c r="BW358" s="1112">
        <f t="shared" si="465"/>
        <v>0</v>
      </c>
      <c r="BX358" s="1100">
        <f t="shared" si="466"/>
        <v>2170.3844197273338</v>
      </c>
      <c r="BY358" s="1110">
        <f t="shared" si="467"/>
        <v>1302.2306518363998</v>
      </c>
      <c r="BZ358" s="1113" t="s">
        <v>569</v>
      </c>
      <c r="CA358" s="1124"/>
      <c r="CB358" s="1098">
        <f>IF($P358="","N/A",IF($P358=-1,INDEX('卡片raw data'!BE:BE,MATCH($D358,'卡片raw data'!$F:$F,)),0)+IF($L358="party卡",IF($P358=5,INDEX('卡片raw data'!BK:BK,MATCH($D358,'卡片raw data'!$F:$F,)),IF($P358&gt;=3,INDEX('卡片raw data'!BJ:BJ,MATCH($D358,'卡片raw data'!$F:$F,)),INDEX('卡片raw data'!BI:BI,MATCH($D358,'卡片raw data'!$F:$F,)))),IF(OR(AND($F358="UR",$P358=0),AND($F358="SR",$P358&gt;=0,$P358&lt;=2),AND($F358="R",$P358&gt;=0,$P358&lt;4)),INDEX('卡片raw data'!BG:BG,MATCH($D358,'卡片raw data'!$F:$F,)),0)+IF(OR(AND($F358="UR",$P358&gt;=1,$P358&lt;=4),AND($F358="SR",$P358&lt;=4,$P358&gt;=3),AND($F358="R",$P358=4)),INDEX('卡片raw data'!BH:BH,MATCH($D358,'卡片raw data'!$F:$F,)),0)+IF($P358=5,INDEX('卡片raw data'!BI:BI,MATCH($D358,'卡片raw data'!$F:$F,)),0)))</f>
        <v>0</v>
      </c>
      <c r="CC358" s="1101">
        <f t="shared" si="468"/>
        <v>0</v>
      </c>
      <c r="CD358" s="1097">
        <f>IF(BZ358="ap",CB358*(1-$FI$26)*$FB$5/$FB$11*(+IF(CA358="全员",$FA$24,0)+IF(CA358="同作战",$FA$24,0)+IF(CA358="仲间",$FA$24*2/3,0)+IF(CA358="同属性",$FA$24*$FA$37/3,0)+IF(CA358="同年级",$FA$24*$FA$40/3,0)+IF(CA358="同学校",$FA$24*$FA$43/3,0)+IF(CA358="同小队",$FA$24*$FA$46/3,0)+IF(CA358="同type",$FA$24*INDEX($FB$49:$FB$52,MATCH(X358,$FA$49:$FA$52,))/3,0)+IF(CA358="自身",#REF!/3,0)),0)+IF(BZ358="te",CB358*(1-$FI$27)*($FA$20-1)*$FB$7/$FB$13*(+IF(CA358="全员",$FA$19*$FA$24/(1+($FA$20-1)*$FA$19),0)+IF(CA358="同作战",$FA$19*$FA$24/(1+($FA$20-1)*$FA$19),0)+IF(CA358="仲间",$FA$19*$FA$24*2/3/(1+($FA$20-1)*$FA$19),0)+IF(CA358="同属性",$FA$19*$FA$24*$FA$37/3/(1+($FA$20-1)*$FA$19),0)+IF(CA358="同年级",$FA$19*$FA$24*$FA$40/3/(1+($FA$20-1)*$FA$19),0)+IF(CA358="同学校",$FA$19*$FA$24*$FA$43/3/(1+($FA$20-1)*$FA$19),0)+IF(CA358="同小队",$FA$19*$FA$24*$FA$46/3/(1+($FA$20-1)*$FA$19),0)+IF(CA358="同type",$FA$19*$FA$24*INDEX($FB$49:$FB$52,MATCH(X358,$FA$49:$FA$52,))/3/(1+($FA$20-1)*$FA$19),0)+IF(CA358="自身",$FA$19*#REF!/3/(1+(BH358-1)*$BD358),0)),0)</f>
        <v>0</v>
      </c>
      <c r="CE358" s="1097">
        <f t="shared" si="469"/>
        <v>0</v>
      </c>
      <c r="CF358" s="1112">
        <f t="shared" si="470"/>
        <v>0</v>
      </c>
      <c r="CG358" s="1100">
        <f t="shared" si="471"/>
        <v>0</v>
      </c>
      <c r="CH358" s="1110">
        <f t="shared" si="472"/>
        <v>0</v>
      </c>
      <c r="CI358" s="1113" t="s">
        <v>162</v>
      </c>
      <c r="CJ358" s="1114">
        <v>1</v>
      </c>
      <c r="CK358" s="1115" t="s">
        <v>635</v>
      </c>
      <c r="CL358" s="1115" t="s">
        <v>1941</v>
      </c>
      <c r="CM358" s="1119">
        <v>7.4999999999999997E-2</v>
      </c>
      <c r="CN358" s="1115"/>
      <c r="CO358" s="1115"/>
      <c r="CP358" s="1116">
        <f t="shared" si="473"/>
        <v>42.890719025699987</v>
      </c>
      <c r="CQ358" s="1116">
        <f t="shared" si="474"/>
        <v>66.718896262199976</v>
      </c>
      <c r="CR358" s="1117">
        <f t="shared" si="475"/>
        <v>42.890719025699987</v>
      </c>
      <c r="CS358" s="1118">
        <f t="shared" si="476"/>
        <v>0</v>
      </c>
      <c r="CT358" s="1109">
        <f t="shared" si="477"/>
        <v>0</v>
      </c>
      <c r="CU358" s="1101">
        <f t="shared" si="478"/>
        <v>0</v>
      </c>
      <c r="CV358" s="1108">
        <f t="shared" si="479"/>
        <v>0</v>
      </c>
      <c r="CW358" s="1097">
        <f t="shared" si="480"/>
        <v>0</v>
      </c>
      <c r="CX358" s="1097">
        <f t="shared" si="481"/>
        <v>3652.8570695327817</v>
      </c>
      <c r="CY358" s="1110">
        <f t="shared" si="482"/>
        <v>3652.8570695327817</v>
      </c>
      <c r="CZ358" s="437"/>
      <c r="DA358" s="438"/>
      <c r="DB358" s="439" t="s">
        <v>569</v>
      </c>
      <c r="DC358" s="439"/>
      <c r="DD358" s="443"/>
      <c r="DE358" s="411"/>
      <c r="DF358" s="411"/>
      <c r="DG358" s="1116">
        <f t="shared" si="483"/>
        <v>0</v>
      </c>
      <c r="DH358" s="1116">
        <f t="shared" si="484"/>
        <v>0</v>
      </c>
      <c r="DI358" s="1116">
        <f t="shared" si="485"/>
        <v>0</v>
      </c>
      <c r="DJ358" s="442">
        <f t="shared" si="486"/>
        <v>0</v>
      </c>
      <c r="DK358" s="1109">
        <f t="shared" si="487"/>
        <v>0</v>
      </c>
      <c r="DL358" s="1101">
        <f t="shared" si="488"/>
        <v>0</v>
      </c>
      <c r="DM358" s="1097">
        <f t="shared" si="489"/>
        <v>0</v>
      </c>
      <c r="DN358" s="1097">
        <f t="shared" si="490"/>
        <v>0</v>
      </c>
      <c r="DO358" s="1097">
        <f t="shared" si="491"/>
        <v>0</v>
      </c>
      <c r="DP358" s="1110">
        <f t="shared" si="492"/>
        <v>0</v>
      </c>
      <c r="DQ358" s="1113" t="s">
        <v>545</v>
      </c>
      <c r="DR358" s="1120">
        <f t="shared" si="493"/>
        <v>0.33</v>
      </c>
      <c r="DS358" s="1124"/>
      <c r="DT358" s="1093" t="s">
        <v>132</v>
      </c>
      <c r="DU358" s="1093"/>
      <c r="DV358" s="1098">
        <f>IF($P358="","N/A",IF(P358=-1,INDEX('卡片raw data'!AN:AN,MATCH(D358,'卡片raw data'!$F:$F,)),0)+IF(AND(L358&lt;&gt;"party卡",P358&lt;=2,P358&gt;=0),INDEX('卡片raw data'!AP:AP,MATCH(D358,'卡片raw data'!$F:$F,)),0)+IF(OR(AND(L358="party卡",P358&lt;=1),AND(P358&lt;=4,L358&lt;&gt;"party卡",P358&gt;=3)),INDEX('卡片raw data'!AQ:AQ,MATCH(D358,'卡片raw data'!$F:$F,)),0)+IF(OR(P358=5,AND(L358="party卡",P358&gt;=2)),INDEX('卡片raw data'!AR:AR,MATCH(D358,'卡片raw data'!$F:$F,)),0))</f>
        <v>0.37</v>
      </c>
      <c r="DW358" s="1098">
        <f t="shared" si="494"/>
        <v>0.33</v>
      </c>
      <c r="DX358" s="1098">
        <f t="shared" si="495"/>
        <v>0.33</v>
      </c>
      <c r="DY358" s="1097">
        <f t="shared" si="496"/>
        <v>2024.0793078763397</v>
      </c>
      <c r="DZ358" s="1097">
        <f t="shared" si="497"/>
        <v>1570.9381751704757</v>
      </c>
      <c r="EA358" s="1098">
        <f t="shared" si="498"/>
        <v>0</v>
      </c>
      <c r="EB358" s="1121">
        <f t="shared" si="499"/>
        <v>0</v>
      </c>
      <c r="EC358" s="1101">
        <f t="shared" si="500"/>
        <v>2226.487238663974</v>
      </c>
      <c r="ED358" s="1097">
        <f t="shared" si="501"/>
        <v>1570.9381751704757</v>
      </c>
      <c r="EE358" s="1110">
        <f t="shared" si="513"/>
        <v>2226.487238663974</v>
      </c>
      <c r="EF358" s="1115" t="s">
        <v>569</v>
      </c>
      <c r="EG358" s="1120">
        <f t="shared" si="503"/>
        <v>0.33</v>
      </c>
      <c r="EH358" s="1124"/>
      <c r="EI358" s="1093"/>
      <c r="EJ358" s="1093"/>
      <c r="EK358" s="1097">
        <f>IF($P358="","N/A",IF(P358=-1,INDEX('卡片raw data'!AS:AS,MATCH(D358,'卡片raw data'!$F:$F,)),0)+IF(AND(L358&lt;&gt;"party卡",P358&lt;=2,P358&gt;=0),INDEX('卡片raw data'!AU:AU,MATCH(D358,'卡片raw data'!$F:$F,)),0)+IF(OR(AND(L358="party卡",P358&lt;=1),AND(P358&lt;=4,L358&lt;&gt;"party卡",P358&gt;=3)),INDEX('卡片raw data'!AV:AV,MATCH(D358,'卡片raw data'!$F:$F,)),0)+IF(OR(P358=5,AND(L358="party卡",P358&gt;=2)),INDEX('卡片raw data'!AW:AW,MATCH(D358,'卡片raw data'!$F:$F,)),0))</f>
        <v>0</v>
      </c>
      <c r="EL358" s="1098">
        <f t="shared" si="504"/>
        <v>0.33</v>
      </c>
      <c r="EM358" s="1098">
        <f t="shared" si="505"/>
        <v>0.33</v>
      </c>
      <c r="EN358" s="1097">
        <f t="shared" si="506"/>
        <v>0</v>
      </c>
      <c r="EO358" s="1097">
        <f t="shared" si="507"/>
        <v>0</v>
      </c>
      <c r="EP358" s="1098">
        <f t="shared" si="508"/>
        <v>0</v>
      </c>
      <c r="EQ358" s="1121">
        <f t="shared" si="509"/>
        <v>0</v>
      </c>
      <c r="ER358" s="1101">
        <f t="shared" si="510"/>
        <v>0</v>
      </c>
      <c r="ES358" s="1097">
        <f t="shared" si="511"/>
        <v>0</v>
      </c>
      <c r="ET358" s="1122">
        <f t="shared" si="514"/>
        <v>0</v>
      </c>
    </row>
    <row r="359" spans="2:150" ht="16.5" customHeight="1">
      <c r="B359" s="1123" t="str">
        <f>INDEX('卡片raw data'!B:B,MATCH($D359,'卡片raw data'!$F:$F,))</f>
        <v>fes1栞</v>
      </c>
      <c r="C359" s="449" t="s">
        <v>1702</v>
      </c>
      <c r="D359" s="408">
        <v>356</v>
      </c>
      <c r="E359" s="477">
        <v>202103001</v>
      </c>
      <c r="F359" s="1090" t="str">
        <f>INDEX('卡片raw data'!C:C,MATCH($D359,'卡片raw data'!$F:$F,))</f>
        <v>UR</v>
      </c>
      <c r="G359" s="1094" t="s">
        <v>1703</v>
      </c>
      <c r="H359" s="411">
        <f>IFERROR(INDEX(绊状态确认!C:C,MATCH($G359,绊状态确认!$B:$B,)),"")</f>
        <v>210</v>
      </c>
      <c r="I359" s="450" t="str">
        <f>IFERROR(INDEX(绊状态确认!D:D,MATCH($G359,绊状态确认!$B:$B,)),"")</f>
        <v>虹</v>
      </c>
      <c r="J359" s="450" t="str">
        <f>IFERROR(INDEX(绊状态确认!E:E,MATCH($G359,绊状态确认!$B:$B,)),"")</f>
        <v>1年级</v>
      </c>
      <c r="K359" s="451" t="str">
        <f>IFERROR(INDEX(绊状态确认!F:F,MATCH($G359,绊状态确认!$B:$B,)),"")</f>
        <v>R3BIRTH</v>
      </c>
      <c r="L359" s="1094" t="str">
        <f>INDEX('卡片raw data'!E:E,MATCH($D359,'卡片raw data'!$F:$F,))</f>
        <v>fes卡</v>
      </c>
      <c r="M359" s="478">
        <v>44161</v>
      </c>
      <c r="N359" s="479">
        <v>28.5</v>
      </c>
      <c r="O359" s="1091" t="str">
        <f>INDEX('卡片raw data'!D:D,MATCH($D359,'卡片raw data'!$F:$F,))</f>
        <v>vo</v>
      </c>
      <c r="P359" s="1126">
        <v>5</v>
      </c>
      <c r="Q359" s="1095">
        <f t="shared" si="428"/>
        <v>71598.114901175475</v>
      </c>
      <c r="R359" s="1096">
        <f t="shared" si="429"/>
        <v>0.83199999999999996</v>
      </c>
      <c r="S359" s="1097">
        <f t="shared" si="430"/>
        <v>20998.986719146393</v>
      </c>
      <c r="T359" s="1098">
        <f t="shared" si="431"/>
        <v>1.0489999999999999</v>
      </c>
      <c r="U359" s="1099">
        <f t="shared" si="432"/>
        <v>-12.616645639257143</v>
      </c>
      <c r="V359" s="1100">
        <f t="shared" si="433"/>
        <v>71282.11147355198</v>
      </c>
      <c r="W359" s="1101">
        <f t="shared" si="434"/>
        <v>7453.8725730604847</v>
      </c>
      <c r="X359" s="1096">
        <f t="shared" si="435"/>
        <v>8.5999999999999993E-2</v>
      </c>
      <c r="Y359" s="1097">
        <f t="shared" si="436"/>
        <v>988.66502261820187</v>
      </c>
      <c r="Z359" s="1102">
        <f t="shared" si="437"/>
        <v>12.383354360742857</v>
      </c>
      <c r="AA359" s="1103">
        <f t="shared" si="438"/>
        <v>8442.5375956786866</v>
      </c>
      <c r="AB359" s="1101">
        <f t="shared" si="439"/>
        <v>8322.0263409514191</v>
      </c>
      <c r="AC359" s="1104">
        <f t="shared" si="440"/>
        <v>9.6000000000000002E-2</v>
      </c>
      <c r="AD359" s="1105">
        <f t="shared" si="441"/>
        <v>0</v>
      </c>
      <c r="AE359" s="1128">
        <f t="shared" si="442"/>
        <v>0</v>
      </c>
      <c r="AF359" s="1130">
        <f t="shared" si="443"/>
        <v>0</v>
      </c>
      <c r="AG359" s="420">
        <f t="shared" si="444"/>
        <v>0</v>
      </c>
      <c r="AH359" s="420">
        <f t="shared" si="445"/>
        <v>0</v>
      </c>
      <c r="AI359" s="1097">
        <f t="shared" si="446"/>
        <v>0</v>
      </c>
      <c r="AJ359" s="420">
        <f t="shared" si="447"/>
        <v>0</v>
      </c>
      <c r="AK359" s="518">
        <f t="shared" si="448"/>
        <v>0</v>
      </c>
      <c r="AL359" s="1106">
        <f>IF($P359="","N/A",(IF($P359=-1,INDEX('卡片raw data'!S:S,MATCH($D359,'卡片raw data'!$F:$F,)),0)+IF($P359=0,INDEX('卡片raw data'!V:V,MATCH($D359,'卡片raw data'!$F:$F,)),0)+IF($P359=1,INDEX('卡片raw data'!Y:Y,MATCH($D359,'卡片raw data'!$F:$F,)),0)+IF($P359=2,INDEX('卡片raw data'!AB:AB,MATCH($D359,'卡片raw data'!$F:$F,)),0)+IF($P359=3,INDEX('卡片raw data'!AE:AE,MATCH($D359,'卡片raw data'!$F:$F,)),0)+IF($P359=4,INDEX('卡片raw data'!AH:AH,MATCH($D359,'卡片raw data'!$F:$F,)),0)+IF($P359=5,INDEX('卡片raw data'!AK:AK,MATCH($D359,'卡片raw data'!$F:$F,)),0)+INDEX('卡片raw data'!S:S,MATCH($D359,'卡片raw data'!$F:$F,))*(IF($F359="UR",0.04,0.033))*(IF($F359="UR",INDEX(绊状态确认!$S:$S,MATCH($G359,绊状态确认!$B:$B,))/2-40)+IF($F359="SR",INDEX(绊状态确认!$R:$R,MATCH($G359,绊状态确认!$B:$B,))/4-15))+IF($F359="R",INDEX(绊状态确认!$Q:$Q,MATCH($G359,绊状态确认!$B:$B,))/6-40/6)))*(INDEX(绊状态确认!$H:$H,MATCH($G359,绊状态确认!$B:$B,))+INDEX(绊状态确认!J:J,MATCH($G359,绊状态确认!$B:$B,)))</f>
        <v>15497.359535999998</v>
      </c>
      <c r="AM359" s="1106">
        <f>IF($P359="","N/A",(IF($P359=-1,INDEX('卡片raw data'!T:T,MATCH($D359,'卡片raw data'!$F:$F,)),0)+IF($P359=0,INDEX('卡片raw data'!W:W,MATCH($D359,'卡片raw data'!$F:$F,)),0)+IF($P359=1,INDEX('卡片raw data'!Z:Z,MATCH($D359,'卡片raw data'!$F:$F,)),0)+IF($P359=2,INDEX('卡片raw data'!AC:AC,MATCH($D359,'卡片raw data'!$F:$F,)),0)+IF($P359=3,INDEX('卡片raw data'!AF:AF,MATCH($D359,'卡片raw data'!$F:$F,)),0)+IF($P359=4,INDEX('卡片raw data'!AI:AI,MATCH($D359,'卡片raw data'!$F:$F,)),0)+IF($P359=5,INDEX('卡片raw data'!AL:AL,MATCH($D359,'卡片raw data'!$F:$F,)),0)+INDEX('卡片raw data'!T:T,MATCH($D359,'卡片raw data'!$F:$F,))*(IF($F359="UR",0.04,0.033))*(IF($F359="UR",INDEX(绊状态确认!$S:$S,MATCH($G359,绊状态确认!$B:$B,))/2-40)+IF($F359="SR",INDEX(绊状态确认!$R:$R,MATCH($G359,绊状态确认!$B:$B,))/4-15))+IF($F359="R",INDEX(绊状态确认!$Q:$Q,MATCH($G359,绊状态确认!$B:$B,))/6-40/6)))*(INDEX(绊状态确认!$H:$H,MATCH($G359,绊状态确认!$B:$B,))+INDEX(绊状态确认!K:K,MATCH($G359,绊状态确认!$B:$B,)))</f>
        <v>6486.2984639999995</v>
      </c>
      <c r="AN359" s="1106">
        <f>IF($P359="","N/A",(IF($P359=-1,INDEX('卡片raw data'!U:U,MATCH($D359,'卡片raw data'!$F:$F,)),0)+IF($P359=0,INDEX('卡片raw data'!X:X,MATCH($D359,'卡片raw data'!$F:$F,)),0)+IF($P359=1,INDEX('卡片raw data'!AA:AA,MATCH($D359,'卡片raw data'!$F:$F,)),0)+IF($P359=2,INDEX('卡片raw data'!AD:AD,MATCH($D359,'卡片raw data'!$F:$F,)),0)+IF($P359=3,INDEX('卡片raw data'!AG:AG,MATCH($D359,'卡片raw data'!$F:$F,)),0)+IF($P359=4,INDEX('卡片raw data'!AJ:AJ,MATCH($D359,'卡片raw data'!$F:$F,)),0)+IF($P359=5,INDEX('卡片raw data'!AM:AM,MATCH($D359,'卡片raw data'!$F:$F,)),0)+INDEX('卡片raw data'!U:U,MATCH($D359,'卡片raw data'!$F:$F,))*(IF($F359="UR",0.04,0.033))*(IF($F359="UR",INDEX(绊状态确认!$S:$S,MATCH($G359,绊状态确认!$B:$B,))/2-40)+IF($F359="SR",INDEX(绊状态确认!$R:$R,MATCH($G359,绊状态确认!$B:$B,))/4-15))+IF($F359="R",INDEX(绊状态确认!$Q:$Q,MATCH($G359,绊状态确认!$B:$B,))/6-40/6)))*(INDEX(绊状态确认!$H:$H,MATCH($G359,绊状态确认!$B:$B,))+INDEX(绊状态确认!L:L,MATCH($G359,绊状态确认!$B:$B,)))</f>
        <v>14054.813375999998</v>
      </c>
      <c r="AO359" s="1107">
        <f t="shared" si="449"/>
        <v>1</v>
      </c>
      <c r="AP359" s="1131">
        <f>1+(INDEX(绊状态确认!$T:$T,MATCH($G359,绊状态确认!$B:$B,))+0.2)*$AO359</f>
        <v>1.3</v>
      </c>
      <c r="AQ359" s="1108">
        <f t="shared" si="450"/>
        <v>43930.568781999988</v>
      </c>
      <c r="AR359" s="1097">
        <f>(AM359*(1+$EX$9)+$EX$35)*(1+(INDEX(绊状态确认!$T:$T,MATCH($G359,绊状态确认!$B:$B,))+0.2)*AO359)*IF(J359=$FF$17,1+$FE$17,1)*IF(I359=$FF$14,1+$FE$14,1)</f>
        <v>11557.797403359998</v>
      </c>
      <c r="AS359" s="1097">
        <f>(AN359*(1+$EX$10)+$EX$36)*(1+(INDEX(绊状态确认!$T:$T,MATCH($G359,绊状态确认!$B:$B,))+0.2)*AO359)*IF(J359=$FF$17,1+$FE$17,1)*IF(I359=$FF$14,1+$FE$14,1)</f>
        <v>25067.945997119998</v>
      </c>
      <c r="AT359" s="1093">
        <f>IF(AND(INDEX('卡片raw data'!AK:AK,MATCH($D359,'卡片raw data'!$F:$F,))&lt;INDEX('卡片raw data'!AM:AM,MATCH($D359,'卡片raw data'!$F:$F,)),INDEX('卡片raw data'!AL:AL,MATCH($D359,'卡片raw data'!$F:$F,))&lt;INDEX('卡片raw data'!AM:AM,MATCH($D359,'卡片raw data'!$F:$F,))),1,0)</f>
        <v>0</v>
      </c>
      <c r="AU359" s="1098">
        <f>MIN(AT359*0.15+AS359*0.00003+INDEX(绊状态确认!M:M,MATCH($G359,绊状态确认!$B:$B,)),1)</f>
        <v>0.78203837991359992</v>
      </c>
      <c r="AV359" s="1109">
        <f>(INDEX(绊状态确认!$N:$N,MATCH($G359,绊状态确认!$B:$B,))+1.5)*$EW$21</f>
        <v>2.6599999999999997</v>
      </c>
      <c r="AW359" s="1101">
        <f t="shared" si="451"/>
        <v>52433.510118289458</v>
      </c>
      <c r="AX359" s="1097">
        <f t="shared" si="452"/>
        <v>988.66502261820222</v>
      </c>
      <c r="AY359" s="1110">
        <f t="shared" si="453"/>
        <v>53422.175140907661</v>
      </c>
      <c r="AZ359" s="429">
        <f t="shared" si="454"/>
        <v>32819.851095199992</v>
      </c>
      <c r="BA359" s="431">
        <f t="shared" si="455"/>
        <v>39383.821314239991</v>
      </c>
      <c r="BB359" s="1097">
        <f>(AM359*(1+$FB$9)+$FB$35)*(1+(INDEX(绊状态确认!$T:$T,MATCH($G359,绊状态确认!$B:$B,))+0.2)*AO359)*IF(J359=$FF$17,1+$FE$17,1)*IF(I359=$FF$14,1+$FE$14,1)*(1+$FE$15)</f>
        <v>11557.797403359998</v>
      </c>
      <c r="BC359" s="1097">
        <f>(AN359*(1+$FB$10)+$FB$36)*(1+(INDEX(绊状态确认!$T:$T,MATCH($G359,绊状态确认!$B:$B,))+0.2)*AO359)*IF(J359=$FF$17,1+$FE$17,1)*IF(I359=$FF$14,1+$FE$14,1)*(1+$FE$15)</f>
        <v>25067.945997119998</v>
      </c>
      <c r="BD359" s="1104">
        <f>MIN(AT359*0.15+BC359*0.00003+INDEX(绊状态确认!M:M,MATCH($G359,绊状态确认!$B:$B,)),1)</f>
        <v>0.78203837991359992</v>
      </c>
      <c r="BE359" s="432">
        <f>(INDEX(绊状态确认!$N:$N,MATCH($G359,绊状态确认!$B:$B,))+1.5)</f>
        <v>1.9</v>
      </c>
      <c r="BF359" s="1139">
        <f t="array" ref="BF359">SUMPRODUCT(IF(AZ359*AP359*$FI$16:$FI$23*$FA$22&gt;=$FI$24,$FI$24,AZ359*AP359*$FI$16:$FI$23*$FA$22),$FJ$16:$FJ$23)</f>
        <v>58612.877404592793</v>
      </c>
      <c r="BG359" s="1125">
        <f t="array" ref="BG359">SUMPRODUCT(IF(BE359*AZ359*AP359*$FI$16:$FI$23*$FA$22&gt;=$FI$24,$FI$24,BE359*AZ359*AP359*$FI$16:$FI$23*$FA$22),$FJ$16:$FJ$23)</f>
        <v>60000</v>
      </c>
      <c r="BH359" s="1110">
        <f t="shared" si="456"/>
        <v>19899.220170615532</v>
      </c>
      <c r="BI359" s="1111">
        <f>IF(O359="vo",$EW$26/$EW$24*0.05,0)+IF(O359="sk",-$EW$26/$EW$24*(0.05-INDEX(绊状态确认!W:W,MATCH($G359,绊状态确认!$B:$B,)))+0.05*$EW$28,0)+IF(O359="sp",0.05*$EW$32*$EW$30*(1-$EW$33)-(0.05-INDEX(绊状态确认!V:V,MATCH($G359,绊状态确认!$B:$B,)))*$EW$28,0)+IF(O359="gd",-(0.05-INDEX(绊状态确认!X:X,MATCH($G359,绊状态确认!$B:$B,)))*$EW$32*$EW$30*(1-$EW$33),0)</f>
        <v>7726.3029277443748</v>
      </c>
      <c r="BJ359" s="1097">
        <f>IF(O359="vo",0.05*(1-$FI$26)*$FA$24,0)+IF(O359="sk",-(0.05-INDEX(绊状态确认!W:W,MATCH($G359,绊状态确认!$B:$B,)))*(1-$FI$26)*$FA$24+0.05*$FA$26,0)+IF(O359="sp",0.05*$FA$32*$FA$27*(1-$FA$33)/$FA$30+0.05*$FA$29/$FA$69*$FA$27*(1-$FA$33)-(0.05-INDEX(绊状态确认!V:V,MATCH($G359,绊状态确认!$B:$B,)))*$FA$26,0)+IF(O359="gd",-(0.05-INDEX(绊状态确认!X:X,MATCH($G359,绊状态确认!$B:$B,)))*$FA$32*$FA$27*(1-$FA$33)/$FA$30-(0.05-INDEX(绊状态确认!X:X,MATCH($G359,绊状态确认!$B:$B,)))*$FA$29/$FA$69*$FA$27*(1-$FA$33),0)</f>
        <v>393.93433687500004</v>
      </c>
      <c r="BK359" s="1110">
        <f>IF(O359="vo",$EW$26/$EW$24*0.05+$EW$26*(-HP($EW$62,$EW$65,$EW$64)+HP($EW$62,$EW$65,(1.05-INDEX(绊状态确认!U:U,MATCH($G359,绊状态确认!$B:$B,)))*$EW$64)),0)+IF(O359="sk",-$EW$26/$EW$24*(0.05-INDEX(绊状态确认!W:W,MATCH($G359,绊状态确认!$B:$B,)))+0.05*$EW$29,0)+IF(O359="sp",0.05*$EW$32*$EW$30*(1-$EW$33)-(0.05-INDEX(绊状态确认!V:V,MATCH($G359,绊状态确认!$B:$B,)))*$EW$29,0)+IF(O359="gd",-(0.05-INDEX(绊状态确认!X:X,MATCH($G359,绊状态确认!$B:$B,)))*$EW$32*$EW$30*(1-$EW$33)+$EW$26*(-HP($EW$62,$EW$65,$EW$64)+HP($EW$62,$EW$65,0.95*$EW$64)),0)</f>
        <v>6421.6344775026746</v>
      </c>
      <c r="BL359" s="1111">
        <f t="shared" si="457"/>
        <v>0</v>
      </c>
      <c r="BM359" s="1110">
        <f t="shared" si="458"/>
        <v>0</v>
      </c>
      <c r="BN359" s="1113">
        <f t="shared" si="459"/>
        <v>4</v>
      </c>
      <c r="BO359" s="1108">
        <f t="shared" si="460"/>
        <v>6010.2953161679998</v>
      </c>
      <c r="BP359" s="1100">
        <f t="shared" si="461"/>
        <v>295.12137612040135</v>
      </c>
      <c r="BQ359" s="1113" t="s">
        <v>132</v>
      </c>
      <c r="BR359" s="1124" t="s">
        <v>617</v>
      </c>
      <c r="BS359" s="1098">
        <f>IF($P359="","N/A",IF($P359=-1,INDEX('卡片raw data'!AX:AX,MATCH($D359,'卡片raw data'!$F:$F,)),0)+IF($L359="party卡",IF($P359=5,INDEX('卡片raw data'!BD:BD,MATCH($D359,'卡片raw data'!$F:$F,)),IF($P359&gt;=3,INDEX('卡片raw data'!BC:BC,MATCH($D359,'卡片raw data'!$F:$F,)),INDEX('卡片raw data'!BB:BB,MATCH($D359,'卡片raw data'!$F:$F,)))),IF(OR(AND($F359="UR",$P359=0),AND($F359="SR",$P359&gt;=0,$P359&lt;=2),AND($F359="R",$P359&gt;=0,$P359&lt;4)),INDEX('卡片raw data'!AZ:AZ,MATCH($D359,'卡片raw data'!$F:$F,)),0)+IF(OR(AND($F359="UR",$P359&gt;=1,$P359&lt;=4),AND($F359="SR",$P359&lt;=4,$P359&gt;=3),AND($F359="R",$P359=4)),INDEX('卡片raw data'!BA:BA,MATCH($D359,'卡片raw data'!$F:$F,)),0)+IF($P359=5,INDEX('卡片raw data'!BB:BB,MATCH($D359,'卡片raw data'!$F:$F,)),0)))</f>
        <v>5.1999999999999998E-2</v>
      </c>
      <c r="BT359" s="1101">
        <f t="shared" si="462"/>
        <v>2170.3844197273338</v>
      </c>
      <c r="BU359" s="1097">
        <f t="shared" si="463"/>
        <v>106.57160804347826</v>
      </c>
      <c r="BV359" s="1097">
        <f t="shared" si="464"/>
        <v>1302.2306518363998</v>
      </c>
      <c r="BW359" s="1112">
        <f t="shared" si="465"/>
        <v>0</v>
      </c>
      <c r="BX359" s="1100">
        <f t="shared" si="466"/>
        <v>2170.3844197273338</v>
      </c>
      <c r="BY359" s="1110">
        <f t="shared" si="467"/>
        <v>1302.2306518363998</v>
      </c>
      <c r="BZ359" s="1113" t="s">
        <v>569</v>
      </c>
      <c r="CA359" s="1124"/>
      <c r="CB359" s="1098">
        <f>IF($P359="","N/A",IF($P359=-1,INDEX('卡片raw data'!BE:BE,MATCH($D359,'卡片raw data'!$F:$F,)),0)+IF($L359="party卡",IF($P359=5,INDEX('卡片raw data'!BK:BK,MATCH($D359,'卡片raw data'!$F:$F,)),IF($P359&gt;=3,INDEX('卡片raw data'!BJ:BJ,MATCH($D359,'卡片raw data'!$F:$F,)),INDEX('卡片raw data'!BI:BI,MATCH($D359,'卡片raw data'!$F:$F,)))),IF(OR(AND($F359="UR",$P359=0),AND($F359="SR",$P359&gt;=0,$P359&lt;=2),AND($F359="R",$P359&gt;=0,$P359&lt;4)),INDEX('卡片raw data'!BG:BG,MATCH($D359,'卡片raw data'!$F:$F,)),0)+IF(OR(AND($F359="UR",$P359&gt;=1,$P359&lt;=4),AND($F359="SR",$P359&lt;=4,$P359&gt;=3),AND($F359="R",$P359=4)),INDEX('卡片raw data'!BH:BH,MATCH($D359,'卡片raw data'!$F:$F,)),0)+IF($P359=5,INDEX('卡片raw data'!BI:BI,MATCH($D359,'卡片raw data'!$F:$F,)),0)))</f>
        <v>0</v>
      </c>
      <c r="CC359" s="1101">
        <f t="shared" si="468"/>
        <v>0</v>
      </c>
      <c r="CD359" s="1097">
        <f>IF(BZ359="ap",CB359*(1-$FI$26)*$FB$5/$FB$11*(+IF(CA359="全员",$FA$24,0)+IF(CA359="同作战",$FA$24,0)+IF(CA359="仲间",$FA$24*2/3,0)+IF(CA359="同属性",$FA$24*$FA$37/3,0)+IF(CA359="同年级",$FA$24*$FA$40/3,0)+IF(CA359="同学校",$FA$24*$FA$43/3,0)+IF(CA359="同小队",$FA$24*$FA$46/3,0)+IF(CA359="同type",$FA$24*INDEX($FB$49:$FB$52,MATCH(X359,$FA$49:$FA$52,))/3,0)+IF(CA359="自身",#REF!/3,0)),0)+IF(BZ359="te",CB359*(1-$FI$27)*($FA$20-1)*$FB$7/$FB$13*(+IF(CA359="全员",$FA$19*$FA$24/(1+($FA$20-1)*$FA$19),0)+IF(CA359="同作战",$FA$19*$FA$24/(1+($FA$20-1)*$FA$19),0)+IF(CA359="仲间",$FA$19*$FA$24*2/3/(1+($FA$20-1)*$FA$19),0)+IF(CA359="同属性",$FA$19*$FA$24*$FA$37/3/(1+($FA$20-1)*$FA$19),0)+IF(CA359="同年级",$FA$19*$FA$24*$FA$40/3/(1+($FA$20-1)*$FA$19),0)+IF(CA359="同学校",$FA$19*$FA$24*$FA$43/3/(1+($FA$20-1)*$FA$19),0)+IF(CA359="同小队",$FA$19*$FA$24*$FA$46/3/(1+($FA$20-1)*$FA$19),0)+IF(CA359="同type",$FA$19*$FA$24*INDEX($FB$49:$FB$52,MATCH(X359,$FA$49:$FA$52,))/3/(1+($FA$20-1)*$FA$19),0)+IF(CA359="自身",$FA$19*#REF!/3/(1+(BH359-1)*$BD359),0)),0)</f>
        <v>0</v>
      </c>
      <c r="CE359" s="1097">
        <f t="shared" si="469"/>
        <v>0</v>
      </c>
      <c r="CF359" s="1112">
        <f t="shared" si="470"/>
        <v>0</v>
      </c>
      <c r="CG359" s="1100">
        <f t="shared" si="471"/>
        <v>0</v>
      </c>
      <c r="CH359" s="1110">
        <f t="shared" si="472"/>
        <v>0</v>
      </c>
      <c r="CI359" s="1113" t="s">
        <v>164</v>
      </c>
      <c r="CJ359" s="1114">
        <v>1</v>
      </c>
      <c r="CK359" s="1115" t="s">
        <v>545</v>
      </c>
      <c r="CL359" s="1115" t="s">
        <v>1940</v>
      </c>
      <c r="CM359" s="1119">
        <v>0.105</v>
      </c>
      <c r="CN359" s="1115"/>
      <c r="CO359" s="1115"/>
      <c r="CP359" s="1116">
        <f t="shared" si="473"/>
        <v>128.49691368734997</v>
      </c>
      <c r="CQ359" s="1116">
        <f t="shared" si="474"/>
        <v>179.19638697979195</v>
      </c>
      <c r="CR359" s="1117">
        <f t="shared" si="475"/>
        <v>128.49691368734997</v>
      </c>
      <c r="CS359" s="1118">
        <f t="shared" si="476"/>
        <v>0</v>
      </c>
      <c r="CT359" s="1109">
        <f t="shared" si="477"/>
        <v>0</v>
      </c>
      <c r="CU359" s="1101">
        <f t="shared" si="478"/>
        <v>141.346605056085</v>
      </c>
      <c r="CV359" s="1108">
        <f t="shared" si="479"/>
        <v>179.19638697979195</v>
      </c>
      <c r="CW359" s="1097">
        <f t="shared" si="480"/>
        <v>141.346605056085</v>
      </c>
      <c r="CX359" s="1097">
        <f t="shared" si="481"/>
        <v>141.346605056085</v>
      </c>
      <c r="CY359" s="1110">
        <f t="shared" si="482"/>
        <v>141.346605056085</v>
      </c>
      <c r="CZ359" s="437"/>
      <c r="DA359" s="438"/>
      <c r="DB359" s="439" t="s">
        <v>569</v>
      </c>
      <c r="DC359" s="439"/>
      <c r="DD359" s="443"/>
      <c r="DE359" s="411"/>
      <c r="DF359" s="411"/>
      <c r="DG359" s="1116">
        <f t="shared" si="483"/>
        <v>0</v>
      </c>
      <c r="DH359" s="1116">
        <f t="shared" si="484"/>
        <v>0</v>
      </c>
      <c r="DI359" s="1116">
        <f t="shared" si="485"/>
        <v>0</v>
      </c>
      <c r="DJ359" s="442">
        <f t="shared" si="486"/>
        <v>0</v>
      </c>
      <c r="DK359" s="1109">
        <f t="shared" si="487"/>
        <v>0</v>
      </c>
      <c r="DL359" s="1101">
        <f t="shared" si="488"/>
        <v>0</v>
      </c>
      <c r="DM359" s="1097">
        <f t="shared" si="489"/>
        <v>0</v>
      </c>
      <c r="DN359" s="1097">
        <f t="shared" si="490"/>
        <v>0</v>
      </c>
      <c r="DO359" s="1097">
        <f t="shared" si="491"/>
        <v>0</v>
      </c>
      <c r="DP359" s="1110">
        <f t="shared" si="492"/>
        <v>0</v>
      </c>
      <c r="DQ359" s="1113" t="s">
        <v>221</v>
      </c>
      <c r="DR359" s="1120">
        <f t="shared" si="493"/>
        <v>0.33</v>
      </c>
      <c r="DS359" s="1124">
        <v>3</v>
      </c>
      <c r="DT359" s="1093" t="s">
        <v>617</v>
      </c>
      <c r="DU359" s="1093" t="s">
        <v>544</v>
      </c>
      <c r="DV359" s="1098">
        <f>IF($P359="","N/A",IF(P359=-1,INDEX('卡片raw data'!AN:AN,MATCH(D359,'卡片raw data'!$F:$F,)),0)+IF(AND(L359&lt;&gt;"party卡",P359&lt;=2,P359&gt;=0),INDEX('卡片raw data'!AP:AP,MATCH(D359,'卡片raw data'!$F:$F,)),0)+IF(OR(AND(L359="party卡",P359&lt;=1),AND(P359&lt;=4,L359&lt;&gt;"party卡",P359&gt;=3)),INDEX('卡片raw data'!AQ:AQ,MATCH(D359,'卡片raw data'!$F:$F,)),0)+IF(OR(P359=5,AND(L359="party卡",P359&gt;=2)),INDEX('卡片raw data'!AR:AR,MATCH(D359,'卡片raw data'!$F:$F,)),0))</f>
        <v>0.1</v>
      </c>
      <c r="DW359" s="1098">
        <f t="shared" si="494"/>
        <v>0.33</v>
      </c>
      <c r="DX359" s="1098">
        <f t="shared" si="495"/>
        <v>0.33</v>
      </c>
      <c r="DY359" s="1098">
        <f t="shared" si="496"/>
        <v>1.8333333333333337E-2</v>
      </c>
      <c r="DZ359" s="1098">
        <f t="shared" si="497"/>
        <v>1.5858333333333335E-2</v>
      </c>
      <c r="EA359" s="1098">
        <f t="shared" si="498"/>
        <v>0</v>
      </c>
      <c r="EB359" s="1121">
        <f t="shared" si="499"/>
        <v>0</v>
      </c>
      <c r="EC359" s="1101">
        <f t="shared" si="500"/>
        <v>3116.2755141902321</v>
      </c>
      <c r="ED359" s="1097">
        <f t="shared" si="501"/>
        <v>124.94284051218752</v>
      </c>
      <c r="EE359" s="1110">
        <f t="shared" si="513"/>
        <v>3116.2755141902321</v>
      </c>
      <c r="EF359" s="1115" t="s">
        <v>569</v>
      </c>
      <c r="EG359" s="1120">
        <f t="shared" si="503"/>
        <v>0.33</v>
      </c>
      <c r="EH359" s="1124"/>
      <c r="EI359" s="1093"/>
      <c r="EJ359" s="1093"/>
      <c r="EK359" s="1097">
        <f>IF($P359="","N/A",IF(P359=-1,INDEX('卡片raw data'!AS:AS,MATCH(D359,'卡片raw data'!$F:$F,)),0)+IF(AND(L359&lt;&gt;"party卡",P359&lt;=2,P359&gt;=0),INDEX('卡片raw data'!AU:AU,MATCH(D359,'卡片raw data'!$F:$F,)),0)+IF(OR(AND(L359="party卡",P359&lt;=1),AND(P359&lt;=4,L359&lt;&gt;"party卡",P359&gt;=3)),INDEX('卡片raw data'!AV:AV,MATCH(D359,'卡片raw data'!$F:$F,)),0)+IF(OR(P359=5,AND(L359="party卡",P359&gt;=2)),INDEX('卡片raw data'!AW:AW,MATCH(D359,'卡片raw data'!$F:$F,)),0))</f>
        <v>0</v>
      </c>
      <c r="EL359" s="1098">
        <f t="shared" si="504"/>
        <v>0.33</v>
      </c>
      <c r="EM359" s="1098">
        <f t="shared" si="505"/>
        <v>0.33</v>
      </c>
      <c r="EN359" s="1097">
        <f t="shared" si="506"/>
        <v>0</v>
      </c>
      <c r="EO359" s="1097">
        <f t="shared" si="507"/>
        <v>0</v>
      </c>
      <c r="EP359" s="1098">
        <f t="shared" si="508"/>
        <v>0</v>
      </c>
      <c r="EQ359" s="1121">
        <f t="shared" si="509"/>
        <v>0</v>
      </c>
      <c r="ER359" s="1101">
        <f t="shared" si="510"/>
        <v>0</v>
      </c>
      <c r="ES359" s="1097">
        <f t="shared" si="511"/>
        <v>0</v>
      </c>
      <c r="ET359" s="1122">
        <f t="shared" si="514"/>
        <v>0</v>
      </c>
    </row>
    <row r="360" spans="2:150" ht="16.5" customHeight="1">
      <c r="B360" s="1123" t="str">
        <f>INDEX('卡片raw data'!B:B,MATCH($D360,'卡片raw data'!$F:$F,))</f>
        <v>梦门果</v>
      </c>
      <c r="C360" s="449" t="s">
        <v>1710</v>
      </c>
      <c r="D360" s="408">
        <v>357</v>
      </c>
      <c r="E360" s="477">
        <v>300012003</v>
      </c>
      <c r="F360" s="1090" t="str">
        <f>INDEX('卡片raw data'!C:C,MATCH($D360,'卡片raw data'!$F:$F,))</f>
        <v>SR</v>
      </c>
      <c r="G360" s="1094" t="s">
        <v>24</v>
      </c>
      <c r="H360" s="411">
        <f>IFERROR(INDEX(绊状态确认!C:C,MATCH($G360,绊状态确认!$B:$B,)),"")</f>
        <v>1</v>
      </c>
      <c r="I360" s="450" t="str">
        <f>IFERROR(INDEX(绊状态确认!D:D,MATCH($G360,绊状态确认!$B:$B,)),"")</f>
        <v>缪</v>
      </c>
      <c r="J360" s="450" t="str">
        <f>IFERROR(INDEX(绊状态确认!E:E,MATCH($G360,绊状态确认!$B:$B,)),"")</f>
        <v>2年级</v>
      </c>
      <c r="K360" s="451" t="str">
        <f>IFERROR(INDEX(绊状态确认!F:F,MATCH($G360,绊状态确认!$B:$B,)),"")</f>
        <v>Printemps</v>
      </c>
      <c r="L360" s="1094" t="str">
        <f>INDEX('卡片raw data'!E:E,MATCH($D360,'卡片raw data'!$F:$F,))</f>
        <v>卡池卡</v>
      </c>
      <c r="M360" s="478">
        <v>44161</v>
      </c>
      <c r="N360" s="479">
        <v>28.5</v>
      </c>
      <c r="O360" s="1091" t="str">
        <f>INDEX('卡片raw data'!D:D,MATCH($D360,'卡片raw data'!$F:$F,))</f>
        <v>sk</v>
      </c>
      <c r="P360" s="1126">
        <v>5</v>
      </c>
      <c r="Q360" s="1095">
        <f t="shared" si="428"/>
        <v>31430.481437938037</v>
      </c>
      <c r="R360" s="1096">
        <f t="shared" si="429"/>
        <v>0.36499999999999999</v>
      </c>
      <c r="S360" s="1097">
        <f t="shared" si="430"/>
        <v>17120.209699960116</v>
      </c>
      <c r="T360" s="1098">
        <f t="shared" si="431"/>
        <v>0.85599999999999998</v>
      </c>
      <c r="U360" s="1099">
        <f t="shared" si="432"/>
        <v>9.8503263462128583</v>
      </c>
      <c r="V360" s="1100">
        <f t="shared" si="433"/>
        <v>34212.849823461118</v>
      </c>
      <c r="W360" s="1101">
        <f t="shared" si="434"/>
        <v>4507.7214871259994</v>
      </c>
      <c r="X360" s="1096">
        <f t="shared" si="435"/>
        <v>5.1999999999999998E-2</v>
      </c>
      <c r="Y360" s="1097">
        <f t="shared" si="436"/>
        <v>782.36838552308654</v>
      </c>
      <c r="Z360" s="1102">
        <f t="shared" si="437"/>
        <v>9.8503263462128583</v>
      </c>
      <c r="AA360" s="1103">
        <f t="shared" si="438"/>
        <v>5290.0898726490859</v>
      </c>
      <c r="AB360" s="1101">
        <f t="shared" si="439"/>
        <v>8363.2009074621164</v>
      </c>
      <c r="AC360" s="1104">
        <f t="shared" si="440"/>
        <v>9.7000000000000003E-2</v>
      </c>
      <c r="AD360" s="1105">
        <f t="shared" si="441"/>
        <v>2.2731203598484847E-2</v>
      </c>
      <c r="AE360" s="1128">
        <f t="shared" si="442"/>
        <v>6.1716861531090785</v>
      </c>
      <c r="AF360" s="1130">
        <f t="shared" si="443"/>
        <v>0</v>
      </c>
      <c r="AG360" s="420">
        <f t="shared" si="444"/>
        <v>0</v>
      </c>
      <c r="AH360" s="420">
        <f t="shared" si="445"/>
        <v>0</v>
      </c>
      <c r="AI360" s="1097">
        <f t="shared" si="446"/>
        <v>0</v>
      </c>
      <c r="AJ360" s="420">
        <f t="shared" si="447"/>
        <v>0</v>
      </c>
      <c r="AK360" s="518">
        <f t="shared" si="448"/>
        <v>0</v>
      </c>
      <c r="AL360" s="1106">
        <f>IF($P360="","N/A",(IF($P360=-1,INDEX('卡片raw data'!S:S,MATCH($D360,'卡片raw data'!$F:$F,)),0)+IF($P360=0,INDEX('卡片raw data'!V:V,MATCH($D360,'卡片raw data'!$F:$F,)),0)+IF($P360=1,INDEX('卡片raw data'!Y:Y,MATCH($D360,'卡片raw data'!$F:$F,)),0)+IF($P360=2,INDEX('卡片raw data'!AB:AB,MATCH($D360,'卡片raw data'!$F:$F,)),0)+IF($P360=3,INDEX('卡片raw data'!AE:AE,MATCH($D360,'卡片raw data'!$F:$F,)),0)+IF($P360=4,INDEX('卡片raw data'!AH:AH,MATCH($D360,'卡片raw data'!$F:$F,)),0)+IF($P360=5,INDEX('卡片raw data'!AK:AK,MATCH($D360,'卡片raw data'!$F:$F,)),0)+INDEX('卡片raw data'!S:S,MATCH($D360,'卡片raw data'!$F:$F,))*(IF($F360="UR",0.04,0.033))*(IF($F360="UR",INDEX(绊状态确认!$S:$S,MATCH($G360,绊状态确认!$B:$B,))/2-40)+IF($F360="SR",INDEX(绊状态确认!$R:$R,MATCH($G360,绊状态确认!$B:$B,))/4-15))+IF($F360="R",INDEX(绊状态确认!$Q:$Q,MATCH($G360,绊状态确认!$B:$B,))/6-40/6)))*(INDEX(绊状态确认!$H:$H,MATCH($G360,绊状态确认!$B:$B,))+INDEX(绊状态确认!J:J,MATCH($G360,绊状态确认!$B:$B,)))</f>
        <v>7649.3038607999988</v>
      </c>
      <c r="AM360" s="1106">
        <f>IF($P360="","N/A",(IF($P360=-1,INDEX('卡片raw data'!T:T,MATCH($D360,'卡片raw data'!$F:$F,)),0)+IF($P360=0,INDEX('卡片raw data'!W:W,MATCH($D360,'卡片raw data'!$F:$F,)),0)+IF($P360=1,INDEX('卡片raw data'!Z:Z,MATCH($D360,'卡片raw data'!$F:$F,)),0)+IF($P360=2,INDEX('卡片raw data'!AC:AC,MATCH($D360,'卡片raw data'!$F:$F,)),0)+IF($P360=3,INDEX('卡片raw data'!AF:AF,MATCH($D360,'卡片raw data'!$F:$F,)),0)+IF($P360=4,INDEX('卡片raw data'!AI:AI,MATCH($D360,'卡片raw data'!$F:$F,)),0)+IF($P360=5,INDEX('卡片raw data'!AL:AL,MATCH($D360,'卡片raw data'!$F:$F,)),0)+INDEX('卡片raw data'!T:T,MATCH($D360,'卡片raw data'!$F:$F,))*(IF($F360="UR",0.04,0.033))*(IF($F360="UR",INDEX(绊状态确认!$S:$S,MATCH($G360,绊状态确认!$B:$B,))/2-40)+IF($F360="SR",INDEX(绊状态确认!$R:$R,MATCH($G360,绊状态确认!$B:$B,))/4-15))+IF($F360="R",INDEX(绊状态确认!$Q:$Q,MATCH($G360,绊状态确认!$B:$B,))/6-40/6)))*(INDEX(绊状态确认!$H:$H,MATCH($G360,绊状态确认!$B:$B,))+INDEX(绊状态确认!K:K,MATCH($G360,绊状态确认!$B:$B,)))</f>
        <v>4754.3134967999995</v>
      </c>
      <c r="AN360" s="1106">
        <f>IF($P360="","N/A",(IF($P360=-1,INDEX('卡片raw data'!U:U,MATCH($D360,'卡片raw data'!$F:$F,)),0)+IF($P360=0,INDEX('卡片raw data'!X:X,MATCH($D360,'卡片raw data'!$F:$F,)),0)+IF($P360=1,INDEX('卡片raw data'!AA:AA,MATCH($D360,'卡片raw data'!$F:$F,)),0)+IF($P360=2,INDEX('卡片raw data'!AD:AD,MATCH($D360,'卡片raw data'!$F:$F,)),0)+IF($P360=3,INDEX('卡片raw data'!AG:AG,MATCH($D360,'卡片raw data'!$F:$F,)),0)+IF($P360=4,INDEX('卡片raw data'!AJ:AJ,MATCH($D360,'卡片raw data'!$F:$F,)),0)+IF($P360=5,INDEX('卡片raw data'!AM:AM,MATCH($D360,'卡片raw data'!$F:$F,)),0)+INDEX('卡片raw data'!U:U,MATCH($D360,'卡片raw data'!$F:$F,))*(IF($F360="UR",0.04,0.033))*(IF($F360="UR",INDEX(绊状态确认!$S:$S,MATCH($G360,绊状态确认!$B:$B,))/2-40)+IF($F360="SR",INDEX(绊状态确认!$R:$R,MATCH($G360,绊状态确认!$B:$B,))/4-15))+IF($F360="R",INDEX(绊状态确认!$Q:$Q,MATCH($G360,绊状态确认!$B:$B,))/6-40/6)))*(INDEX(绊状态确认!$H:$H,MATCH($G360,绊状态确认!$B:$B,))+INDEX(绊状态确认!L:L,MATCH($G360,绊状态确认!$B:$B,)))</f>
        <v>8271.4010399999988</v>
      </c>
      <c r="AO360" s="1107">
        <f t="shared" si="449"/>
        <v>1</v>
      </c>
      <c r="AP360" s="1131">
        <f>1+(INDEX(绊状态确认!$T:$T,MATCH($G360,绊状态确认!$B:$B,))+0.2)*$AO360</f>
        <v>1.3</v>
      </c>
      <c r="AQ360" s="1108">
        <f t="shared" si="450"/>
        <v>23329.422634599996</v>
      </c>
      <c r="AR360" s="1097">
        <f>(AM360*(1+$EX$9)+$EX$35)*(1+(INDEX(绊状态确认!$T:$T,MATCH($G360,绊状态确认!$B:$B,))+0.2)*AO360)*IF(J360=$FF$17,1+$FE$17,1)*IF(I360=$FF$14,1+$FE$14,1)</f>
        <v>9193.6379231320007</v>
      </c>
      <c r="AS360" s="1097">
        <f>(AN360*(1+$EX$10)+$EX$36)*(1+(INDEX(绊状态确认!$T:$T,MATCH($G360,绊状态确认!$B:$B,))+0.2)*AO360)*IF(J360=$FF$17,1+$FE$17,1)*IF(I360=$FF$14,1+$FE$14,1)</f>
        <v>16421.7445548</v>
      </c>
      <c r="AT360" s="1093">
        <f>IF(AND(INDEX('卡片raw data'!AK:AK,MATCH($D360,'卡片raw data'!$F:$F,))&lt;INDEX('卡片raw data'!AM:AM,MATCH($D360,'卡片raw data'!$F:$F,)),INDEX('卡片raw data'!AL:AL,MATCH($D360,'卡片raw data'!$F:$F,))&lt;INDEX('卡片raw data'!AM:AM,MATCH($D360,'卡片raw data'!$F:$F,))),1,0)</f>
        <v>1</v>
      </c>
      <c r="AU360" s="1098">
        <f>MIN(AT360*0.15+AS360*0.00003+INDEX(绊状态确认!M:M,MATCH($G360,绊状态确认!$B:$B,)),1)</f>
        <v>0.67265233664400004</v>
      </c>
      <c r="AV360" s="1109">
        <f>(INDEX(绊状态确认!$N:$N,MATCH($G360,绊状态确认!$B:$B,))+1.5)*$EW$21</f>
        <v>2.6599999999999997</v>
      </c>
      <c r="AW360" s="1101">
        <f t="shared" si="451"/>
        <v>25644.883895288651</v>
      </c>
      <c r="AX360" s="1097">
        <f t="shared" si="452"/>
        <v>782.36838552308632</v>
      </c>
      <c r="AY360" s="1110">
        <f t="shared" si="453"/>
        <v>26427.252280811736</v>
      </c>
      <c r="AZ360" s="429">
        <f t="shared" si="454"/>
        <v>17516.142528559998</v>
      </c>
      <c r="BA360" s="431">
        <f t="shared" si="455"/>
        <v>21019.371034271997</v>
      </c>
      <c r="BB360" s="1097">
        <f>(AM360*(1+$FB$9)+$FB$35)*(1+(INDEX(绊状态确认!$T:$T,MATCH($G360,绊状态确认!$B:$B,))+0.2)*AO360)*IF(J360=$FF$17,1+$FE$17,1)*IF(I360=$FF$14,1+$FE$14,1)*(1+$FE$15)</f>
        <v>9193.6379231320007</v>
      </c>
      <c r="BC360" s="1097">
        <f>(AN360*(1+$FB$10)+$FB$36)*(1+(INDEX(绊状态确认!$T:$T,MATCH($G360,绊状态确认!$B:$B,))+0.2)*AO360)*IF(J360=$FF$17,1+$FE$17,1)*IF(I360=$FF$14,1+$FE$14,1)*(1+$FE$15)</f>
        <v>16421.7445548</v>
      </c>
      <c r="BD360" s="1104">
        <f>MIN(AT360*0.15+BC360*0.00003+INDEX(绊状态确认!M:M,MATCH($G360,绊状态确认!$B:$B,)),1)</f>
        <v>0.67265233664400004</v>
      </c>
      <c r="BE360" s="432">
        <f>(INDEX(绊状态确认!$N:$N,MATCH($G360,绊状态确认!$B:$B,))+1.5)</f>
        <v>1.9</v>
      </c>
      <c r="BF360" s="1139">
        <f t="array" ref="BF360">SUMPRODUCT(IF(AZ360*AP360*$FI$16:$FI$23*$FA$22&gt;=$FI$24,$FI$24,AZ360*AP360*$FI$16:$FI$23*$FA$22),$FJ$16:$FJ$23)</f>
        <v>34839.607489305839</v>
      </c>
      <c r="BG360" s="1125">
        <f t="array" ref="BG360">SUMPRODUCT(IF(BE360*AZ360*AP360*$FI$16:$FI$23*$FA$22&gt;=$FI$24,$FI$24,BE360*AZ360*AP360*$FI$16:$FI$23*$FA$22),$FJ$16:$FJ$23)</f>
        <v>58816.218011385805</v>
      </c>
      <c r="BH360" s="1110">
        <f t="shared" si="456"/>
        <v>16989.176860595351</v>
      </c>
      <c r="BI360" s="1111">
        <f>IF(O360="vo",$EW$26/$EW$24*0.05,0)+IF(O360="sk",-$EW$26/$EW$24*(0.05-INDEX(绊状态确认!W:W,MATCH($G360,绊状态确认!$B:$B,)))+0.05*$EW$28,0)+IF(O360="sp",0.05*$EW$32*$EW$30*(1-$EW$33)-(0.05-INDEX(绊状态确认!V:V,MATCH($G360,绊状态确认!$B:$B,)))*$EW$28,0)+IF(O360="gd",-(0.05-INDEX(绊状态确认!X:X,MATCH($G360,绊状态确认!$B:$B,)))*$EW$32*$EW$30*(1-$EW$33),0)</f>
        <v>-6253.6726349699375</v>
      </c>
      <c r="BJ360" s="1097">
        <f>IF(O360="vo",0.05*(1-$FI$26)*$FA$24,0)+IF(O360="sk",-(0.05-INDEX(绊状态确认!W:W,MATCH($G360,绊状态确认!$B:$B,)))*(1-$FI$26)*$FA$24+0.05*$FA$26,0)+IF(O360="sp",0.05*$FA$32*$FA$27*(1-$FA$33)/$FA$30+0.05*$FA$29/$FA$69*$FA$27*(1-$FA$33)-(0.05-INDEX(绊状态确认!V:V,MATCH($G360,绊状态确认!$B:$B,)))*$FA$26,0)+IF(O360="gd",-(0.05-INDEX(绊状态确认!X:X,MATCH($G360,绊状态确认!$B:$B,)))*$FA$32*$FA$27*(1-$FA$33)/$FA$30-(0.05-INDEX(绊状态确认!X:X,MATCH($G360,绊状态确认!$B:$B,)))*$FA$29/$FA$69*$FA$27*(1-$FA$33),0)</f>
        <v>20.459096812499922</v>
      </c>
      <c r="BK360" s="1110">
        <f>IF(O360="vo",$EW$26/$EW$24*0.05+$EW$26*(-HP($EW$62,$EW$65,$EW$64)+HP($EW$62,$EW$65,(1.05-INDEX(绊状态确认!U:U,MATCH($G360,绊状态确认!$B:$B,)))*$EW$64)),0)+IF(O360="sk",-$EW$26/$EW$24*(0.05-INDEX(绊状态确认!W:W,MATCH($G360,绊状态确认!$B:$B,)))+0.05*$EW$29,0)+IF(O360="sp",0.05*$EW$32*$EW$30*(1-$EW$33)-(0.05-INDEX(绊状态确认!V:V,MATCH($G360,绊状态确认!$B:$B,)))*$EW$29,0)+IF(O360="gd",-(0.05-INDEX(绊状态确认!X:X,MATCH($G360,绊状态确认!$B:$B,)))*$EW$32*$EW$30*(1-$EW$33)+$EW$26*(-HP($EW$62,$EW$65,$EW$64)+HP($EW$62,$EW$65,0.95*$EW$64)),0)</f>
        <v>-4253.6726349699375</v>
      </c>
      <c r="BL360" s="1111">
        <f t="shared" si="457"/>
        <v>-1083.3333333333333</v>
      </c>
      <c r="BM360" s="1110">
        <f t="shared" si="458"/>
        <v>-830.55555555555543</v>
      </c>
      <c r="BN360" s="1113">
        <f t="shared" si="459"/>
        <v>3</v>
      </c>
      <c r="BO360" s="1108">
        <f t="shared" si="460"/>
        <v>4507.7214871259994</v>
      </c>
      <c r="BP360" s="1100">
        <f t="shared" si="461"/>
        <v>221.34103209030098</v>
      </c>
      <c r="BQ360" s="1113" t="s">
        <v>134</v>
      </c>
      <c r="BR360" s="1124" t="s">
        <v>168</v>
      </c>
      <c r="BS360" s="1098">
        <f>IF($P360="","N/A",IF($P360=-1,INDEX('卡片raw data'!AX:AX,MATCH($D360,'卡片raw data'!$F:$F,)),0)+IF($L360="party卡",IF($P360=5,INDEX('卡片raw data'!BD:BD,MATCH($D360,'卡片raw data'!$F:$F,)),IF($P360&gt;=3,INDEX('卡片raw data'!BC:BC,MATCH($D360,'卡片raw data'!$F:$F,)),INDEX('卡片raw data'!BB:BB,MATCH($D360,'卡片raw data'!$F:$F,)))),IF(OR(AND($F360="UR",$P360=0),AND($F360="SR",$P360&gt;=0,$P360&lt;=2),AND($F360="R",$P360&gt;=0,$P360&lt;4)),INDEX('卡片raw data'!AZ:AZ,MATCH($D360,'卡片raw data'!$F:$F,)),0)+IF(OR(AND($F360="UR",$P360&gt;=1,$P360&lt;=4),AND($F360="SR",$P360&lt;=4,$P360&gt;=3),AND($F360="R",$P360=4)),INDEX('卡片raw data'!BA:BA,MATCH($D360,'卡片raw data'!$F:$F,)),0)+IF($P360=5,INDEX('卡片raw data'!BB:BB,MATCH($D360,'卡片raw data'!$F:$F,)),0)))</f>
        <v>0.05</v>
      </c>
      <c r="BT360" s="1101">
        <f t="shared" si="462"/>
        <v>3537.2976021542986</v>
      </c>
      <c r="BU360" s="1097">
        <f t="shared" si="463"/>
        <v>255.86405005115788</v>
      </c>
      <c r="BV360" s="1097">
        <f t="shared" si="464"/>
        <v>0</v>
      </c>
      <c r="BW360" s="1112">
        <f t="shared" si="465"/>
        <v>0</v>
      </c>
      <c r="BX360" s="1100">
        <f t="shared" si="466"/>
        <v>3537.2976021542986</v>
      </c>
      <c r="BY360" s="1110">
        <f t="shared" si="467"/>
        <v>0</v>
      </c>
      <c r="BZ360" s="1107" t="s">
        <v>569</v>
      </c>
      <c r="CA360" s="1124"/>
      <c r="CB360" s="1098">
        <f>IF($P360="","N/A",IF($P360=-1,INDEX('卡片raw data'!BE:BE,MATCH($D360,'卡片raw data'!$F:$F,)),0)+IF($L360="party卡",IF($P360=5,INDEX('卡片raw data'!BK:BK,MATCH($D360,'卡片raw data'!$F:$F,)),IF($P360&gt;=3,INDEX('卡片raw data'!BJ:BJ,MATCH($D360,'卡片raw data'!$F:$F,)),INDEX('卡片raw data'!BI:BI,MATCH($D360,'卡片raw data'!$F:$F,)))),IF(OR(AND($F360="UR",$P360=0),AND($F360="SR",$P360&gt;=0,$P360&lt;=2),AND($F360="R",$P360&gt;=0,$P360&lt;4)),INDEX('卡片raw data'!BG:BG,MATCH($D360,'卡片raw data'!$F:$F,)),0)+IF(OR(AND($F360="UR",$P360&gt;=1,$P360&lt;=4),AND($F360="SR",$P360&lt;=4,$P360&gt;=3),AND($F360="R",$P360=4)),INDEX('卡片raw data'!BH:BH,MATCH($D360,'卡片raw data'!$F:$F,)),0)+IF($P360=5,INDEX('卡片raw data'!BI:BI,MATCH($D360,'卡片raw data'!$F:$F,)),0)))</f>
        <v>0</v>
      </c>
      <c r="CC360" s="1101">
        <f t="shared" si="468"/>
        <v>0</v>
      </c>
      <c r="CD360" s="1097">
        <f>IF(BZ360="ap",CB360*(1-$FI$26)*$FB$5/$FB$11*(+IF(CA360="全员",$FA$24,0)+IF(CA360="同作战",$FA$24,0)+IF(CA360="仲间",$FA$24*2/3,0)+IF(CA360="同属性",$FA$24*$FA$37/3,0)+IF(CA360="同年级",$FA$24*$FA$40/3,0)+IF(CA360="同学校",$FA$24*$FA$43/3,0)+IF(CA360="同小队",$FA$24*$FA$46/3,0)+IF(CA360="同type",$FA$24*INDEX($FB$49:$FB$52,MATCH(X360,$FA$49:$FA$52,))/3,0)+IF(CA360="自身",#REF!/3,0)),0)+IF(BZ360="te",CB360*(1-$FI$27)*($FA$20-1)*$FB$7/$FB$13*(+IF(CA360="全员",$FA$19*$FA$24/(1+($FA$20-1)*$FA$19),0)+IF(CA360="同作战",$FA$19*$FA$24/(1+($FA$20-1)*$FA$19),0)+IF(CA360="仲间",$FA$19*$FA$24*2/3/(1+($FA$20-1)*$FA$19),0)+IF(CA360="同属性",$FA$19*$FA$24*$FA$37/3/(1+($FA$20-1)*$FA$19),0)+IF(CA360="同年级",$FA$19*$FA$24*$FA$40/3/(1+($FA$20-1)*$FA$19),0)+IF(CA360="同学校",$FA$19*$FA$24*$FA$43/3/(1+($FA$20-1)*$FA$19),0)+IF(CA360="同小队",$FA$19*$FA$24*$FA$46/3/(1+($FA$20-1)*$FA$19),0)+IF(CA360="同type",$FA$19*$FA$24*INDEX($FB$49:$FB$52,MATCH(X360,$FA$49:$FA$52,))/3/(1+($FA$20-1)*$FA$19),0)+IF(CA360="自身",$FA$19*#REF!/3/(1+(BH360-1)*$BD360),0)),0)</f>
        <v>0</v>
      </c>
      <c r="CE360" s="1097">
        <f t="shared" si="469"/>
        <v>0</v>
      </c>
      <c r="CF360" s="1112">
        <f t="shared" si="470"/>
        <v>0</v>
      </c>
      <c r="CG360" s="1100">
        <f t="shared" si="471"/>
        <v>0</v>
      </c>
      <c r="CH360" s="1110">
        <f t="shared" si="472"/>
        <v>0</v>
      </c>
      <c r="CI360" s="1113" t="s">
        <v>164</v>
      </c>
      <c r="CJ360" s="1114">
        <v>1</v>
      </c>
      <c r="CK360" s="1115" t="s">
        <v>295</v>
      </c>
      <c r="CL360" s="1115" t="s">
        <v>1711</v>
      </c>
      <c r="CM360" s="1119">
        <v>7.0000000000000007E-2</v>
      </c>
      <c r="CN360" s="1115">
        <v>5</v>
      </c>
      <c r="CO360" s="1115"/>
      <c r="CP360" s="1118">
        <f t="shared" si="473"/>
        <v>7.5000000000000006E-3</v>
      </c>
      <c r="CQ360" s="1118">
        <f t="shared" si="474"/>
        <v>1.1666666666666667E-2</v>
      </c>
      <c r="CR360" s="1118">
        <f t="shared" si="475"/>
        <v>0</v>
      </c>
      <c r="CS360" s="1118">
        <f t="shared" si="476"/>
        <v>3.7369791666666671E-3</v>
      </c>
      <c r="CT360" s="1109">
        <f t="shared" si="477"/>
        <v>0</v>
      </c>
      <c r="CU360" s="1101">
        <f t="shared" si="478"/>
        <v>318.18181818181819</v>
      </c>
      <c r="CV360" s="1108">
        <f t="shared" si="479"/>
        <v>265.15151515151513</v>
      </c>
      <c r="CW360" s="1097">
        <f t="shared" si="480"/>
        <v>0</v>
      </c>
      <c r="CX360" s="1097">
        <f t="shared" si="481"/>
        <v>318.18181818181819</v>
      </c>
      <c r="CY360" s="1110">
        <f t="shared" si="482"/>
        <v>0</v>
      </c>
      <c r="CZ360" s="437"/>
      <c r="DA360" s="438"/>
      <c r="DB360" s="439" t="s">
        <v>569</v>
      </c>
      <c r="DC360" s="439"/>
      <c r="DD360" s="443"/>
      <c r="DE360" s="411"/>
      <c r="DF360" s="411"/>
      <c r="DG360" s="1116">
        <f t="shared" si="483"/>
        <v>0</v>
      </c>
      <c r="DH360" s="1116">
        <f t="shared" si="484"/>
        <v>0</v>
      </c>
      <c r="DI360" s="1116">
        <f t="shared" si="485"/>
        <v>0</v>
      </c>
      <c r="DJ360" s="442">
        <f t="shared" si="486"/>
        <v>0</v>
      </c>
      <c r="DK360" s="1109">
        <f t="shared" si="487"/>
        <v>0</v>
      </c>
      <c r="DL360" s="1101">
        <f t="shared" si="488"/>
        <v>0</v>
      </c>
      <c r="DM360" s="1097">
        <f t="shared" si="489"/>
        <v>0</v>
      </c>
      <c r="DN360" s="1097">
        <f t="shared" si="490"/>
        <v>0</v>
      </c>
      <c r="DO360" s="1097">
        <f t="shared" si="491"/>
        <v>0</v>
      </c>
      <c r="DP360" s="1110">
        <f t="shared" si="492"/>
        <v>0</v>
      </c>
      <c r="DQ360" s="1113" t="s">
        <v>167</v>
      </c>
      <c r="DR360" s="1120">
        <f t="shared" si="493"/>
        <v>0.3</v>
      </c>
      <c r="DS360" s="1124">
        <v>5</v>
      </c>
      <c r="DT360" s="1124" t="s">
        <v>1711</v>
      </c>
      <c r="DU360" s="1093" t="s">
        <v>544</v>
      </c>
      <c r="DV360" s="1098">
        <f>IF($P360="","N/A",IF(P360=-1,INDEX('卡片raw data'!AN:AN,MATCH(D360,'卡片raw data'!$F:$F,)),0)+IF(AND(L360&lt;&gt;"party卡",P360&lt;=2,P360&gt;=0),INDEX('卡片raw data'!AP:AP,MATCH(D360,'卡片raw data'!$F:$F,)),0)+IF(OR(AND(L360="party卡",P360&lt;=1),AND(P360&lt;=4,L360&lt;&gt;"party卡",P360&gt;=3)),INDEX('卡片raw data'!AQ:AQ,MATCH(D360,'卡片raw data'!$F:$F,)),0)+IF(OR(P360=5,AND(L360="party卡",P360&gt;=2)),INDEX('卡片raw data'!AR:AR,MATCH(D360,'卡片raw data'!$F:$F,)),0))</f>
        <v>7.0000000000000007E-2</v>
      </c>
      <c r="DW360" s="1098">
        <f t="shared" si="494"/>
        <v>0.3</v>
      </c>
      <c r="DX360" s="1098">
        <f t="shared" si="495"/>
        <v>0.3</v>
      </c>
      <c r="DY360" s="1098">
        <f t="shared" si="496"/>
        <v>3.5000000000000003E-2</v>
      </c>
      <c r="DZ360" s="1098">
        <f t="shared" si="497"/>
        <v>3.0275000000000003E-2</v>
      </c>
      <c r="EA360" s="1098">
        <f t="shared" si="498"/>
        <v>0</v>
      </c>
      <c r="EB360" s="1121">
        <f t="shared" si="499"/>
        <v>0</v>
      </c>
      <c r="EC360" s="1101">
        <f t="shared" si="500"/>
        <v>4759.4026034905355</v>
      </c>
      <c r="ED360" s="1097">
        <f t="shared" si="501"/>
        <v>198.7727008148438</v>
      </c>
      <c r="EE360" s="1110">
        <f t="shared" si="513"/>
        <v>4759.4026034905355</v>
      </c>
      <c r="EF360" s="1115" t="s">
        <v>569</v>
      </c>
      <c r="EG360" s="1120">
        <f t="shared" si="503"/>
        <v>0.3</v>
      </c>
      <c r="EH360" s="1124"/>
      <c r="EI360" s="1093"/>
      <c r="EJ360" s="1093"/>
      <c r="EK360" s="1097">
        <f>IF($P360="","N/A",IF(P360=-1,INDEX('卡片raw data'!AS:AS,MATCH(D360,'卡片raw data'!$F:$F,)),0)+IF(AND(L360&lt;&gt;"party卡",P360&lt;=2,P360&gt;=0),INDEX('卡片raw data'!AU:AU,MATCH(D360,'卡片raw data'!$F:$F,)),0)+IF(OR(AND(L360="party卡",P360&lt;=1),AND(P360&lt;=4,L360&lt;&gt;"party卡",P360&gt;=3)),INDEX('卡片raw data'!AV:AV,MATCH(D360,'卡片raw data'!$F:$F,)),0)+IF(OR(P360=5,AND(L360="party卡",P360&gt;=2)),INDEX('卡片raw data'!AW:AW,MATCH(D360,'卡片raw data'!$F:$F,)),0))</f>
        <v>0</v>
      </c>
      <c r="EL360" s="1098">
        <f t="shared" si="504"/>
        <v>0.3</v>
      </c>
      <c r="EM360" s="1098">
        <f t="shared" si="505"/>
        <v>0.3</v>
      </c>
      <c r="EN360" s="1097">
        <f t="shared" si="506"/>
        <v>0</v>
      </c>
      <c r="EO360" s="1097">
        <f t="shared" si="507"/>
        <v>0</v>
      </c>
      <c r="EP360" s="1098">
        <f t="shared" si="508"/>
        <v>0</v>
      </c>
      <c r="EQ360" s="1121">
        <f t="shared" si="509"/>
        <v>0</v>
      </c>
      <c r="ER360" s="1101">
        <f t="shared" si="510"/>
        <v>0</v>
      </c>
      <c r="ES360" s="1097">
        <f t="shared" si="511"/>
        <v>0</v>
      </c>
      <c r="ET360" s="1122">
        <f t="shared" si="514"/>
        <v>0</v>
      </c>
    </row>
    <row r="361" spans="2:150" ht="16.5" customHeight="1">
      <c r="B361" s="1123" t="str">
        <f>INDEX('卡片raw data'!B:B,MATCH($D361,'卡片raw data'!$F:$F,))</f>
        <v>三专璃</v>
      </c>
      <c r="C361" s="449" t="s">
        <v>1714</v>
      </c>
      <c r="D361" s="408">
        <v>358</v>
      </c>
      <c r="E361" s="477">
        <v>302092002</v>
      </c>
      <c r="F361" s="1090" t="str">
        <f>INDEX('卡片raw data'!C:C,MATCH($D361,'卡片raw data'!$F:$F,))</f>
        <v>SR</v>
      </c>
      <c r="G361" s="1094" t="s">
        <v>1715</v>
      </c>
      <c r="H361" s="411">
        <f>IFERROR(INDEX(绊状态确认!C:C,MATCH($G361,绊状态确认!$B:$B,)),"")</f>
        <v>209</v>
      </c>
      <c r="I361" s="450" t="str">
        <f>IFERROR(INDEX(绊状态确认!D:D,MATCH($G361,绊状态确认!$B:$B,)),"")</f>
        <v>虹</v>
      </c>
      <c r="J361" s="450" t="str">
        <f>IFERROR(INDEX(绊状态确认!E:E,MATCH($G361,绊状态确认!$B:$B,)),"")</f>
        <v>1年级</v>
      </c>
      <c r="K361" s="451" t="str">
        <f>IFERROR(INDEX(绊状态确认!F:F,MATCH($G361,绊状态确认!$B:$B,)),"")</f>
        <v>QU4RTZ</v>
      </c>
      <c r="L361" s="1094" t="str">
        <f>INDEX('卡片raw data'!E:E,MATCH($D361,'卡片raw data'!$F:$F,))</f>
        <v>卡池卡</v>
      </c>
      <c r="M361" s="478">
        <v>44161</v>
      </c>
      <c r="N361" s="479">
        <v>28.5</v>
      </c>
      <c r="O361" s="1091" t="str">
        <f>INDEX('卡片raw data'!D:D,MATCH($D361,'卡片raw data'!$F:$F,))</f>
        <v>sp</v>
      </c>
      <c r="P361" s="1126">
        <v>5</v>
      </c>
      <c r="Q361" s="1095">
        <f t="shared" si="428"/>
        <v>27957.485333321179</v>
      </c>
      <c r="R361" s="1096">
        <f t="shared" si="429"/>
        <v>0.32500000000000001</v>
      </c>
      <c r="S361" s="1097">
        <f t="shared" si="430"/>
        <v>16059.064040000681</v>
      </c>
      <c r="T361" s="1098">
        <f t="shared" si="431"/>
        <v>0.80200000000000005</v>
      </c>
      <c r="U361" s="1099">
        <f t="shared" si="432"/>
        <v>10.455172547262855</v>
      </c>
      <c r="V361" s="1100">
        <f t="shared" si="433"/>
        <v>26988.92000294878</v>
      </c>
      <c r="W361" s="1101">
        <f t="shared" si="434"/>
        <v>4896.244148635431</v>
      </c>
      <c r="X361" s="1096">
        <f t="shared" si="435"/>
        <v>5.6000000000000001E-2</v>
      </c>
      <c r="Y361" s="1097">
        <f t="shared" si="436"/>
        <v>831.43466962760067</v>
      </c>
      <c r="Z361" s="1102">
        <f t="shared" si="437"/>
        <v>10.455172547262855</v>
      </c>
      <c r="AA361" s="1103">
        <f t="shared" si="438"/>
        <v>5727.6788182630316</v>
      </c>
      <c r="AB361" s="1101">
        <f t="shared" si="439"/>
        <v>5614.4138733634063</v>
      </c>
      <c r="AC361" s="1104">
        <f t="shared" si="440"/>
        <v>6.5000000000000002E-2</v>
      </c>
      <c r="AD361" s="1105">
        <f t="shared" si="441"/>
        <v>-1.9908281250000003E-2</v>
      </c>
      <c r="AE361" s="1128">
        <f t="shared" si="442"/>
        <v>0.51082780797101357</v>
      </c>
      <c r="AF361" s="1130">
        <f t="shared" si="443"/>
        <v>0</v>
      </c>
      <c r="AG361" s="420">
        <f t="shared" si="444"/>
        <v>0</v>
      </c>
      <c r="AH361" s="420">
        <f t="shared" si="445"/>
        <v>0</v>
      </c>
      <c r="AI361" s="1097">
        <f t="shared" si="446"/>
        <v>0</v>
      </c>
      <c r="AJ361" s="420">
        <f t="shared" si="447"/>
        <v>0</v>
      </c>
      <c r="AK361" s="518">
        <f t="shared" si="448"/>
        <v>0</v>
      </c>
      <c r="AL361" s="1106">
        <f>IF($P361="","N/A",(IF($P361=-1,INDEX('卡片raw data'!S:S,MATCH($D361,'卡片raw data'!$F:$F,)),0)+IF($P361=0,INDEX('卡片raw data'!V:V,MATCH($D361,'卡片raw data'!$F:$F,)),0)+IF($P361=1,INDEX('卡片raw data'!Y:Y,MATCH($D361,'卡片raw data'!$F:$F,)),0)+IF($P361=2,INDEX('卡片raw data'!AB:AB,MATCH($D361,'卡片raw data'!$F:$F,)),0)+IF($P361=3,INDEX('卡片raw data'!AE:AE,MATCH($D361,'卡片raw data'!$F:$F,)),0)+IF($P361=4,INDEX('卡片raw data'!AH:AH,MATCH($D361,'卡片raw data'!$F:$F,)),0)+IF($P361=5,INDEX('卡片raw data'!AK:AK,MATCH($D361,'卡片raw data'!$F:$F,)),0)+INDEX('卡片raw data'!S:S,MATCH($D361,'卡片raw data'!$F:$F,))*(IF($F361="UR",0.04,0.033))*(IF($F361="UR",INDEX(绊状态确认!$S:$S,MATCH($G361,绊状态确认!$B:$B,))/2-40)+IF($F361="SR",INDEX(绊状态确认!$R:$R,MATCH($G361,绊状态确认!$B:$B,))/4-15))+IF($F361="R",INDEX(绊状态确认!$Q:$Q,MATCH($G361,绊状态确认!$B:$B,))/6-40/6)))*(INDEX(绊状态确认!$H:$H,MATCH($G361,绊状态确认!$B:$B,))+INDEX(绊状态确认!J:J,MATCH($G361,绊状态确认!$B:$B,)))</f>
        <v>8271.4010399999988</v>
      </c>
      <c r="AM361" s="1106">
        <f>IF($P361="","N/A",(IF($P361=-1,INDEX('卡片raw data'!T:T,MATCH($D361,'卡片raw data'!$F:$F,)),0)+IF($P361=0,INDEX('卡片raw data'!W:W,MATCH($D361,'卡片raw data'!$F:$F,)),0)+IF($P361=1,INDEX('卡片raw data'!Z:Z,MATCH($D361,'卡片raw data'!$F:$F,)),0)+IF($P361=2,INDEX('卡片raw data'!AC:AC,MATCH($D361,'卡片raw data'!$F:$F,)),0)+IF($P361=3,INDEX('卡片raw data'!AF:AF,MATCH($D361,'卡片raw data'!$F:$F,)),0)+IF($P361=4,INDEX('卡片raw data'!AI:AI,MATCH($D361,'卡片raw data'!$F:$F,)),0)+IF($P361=5,INDEX('卡片raw data'!AL:AL,MATCH($D361,'卡片raw data'!$F:$F,)),0)+INDEX('卡片raw data'!T:T,MATCH($D361,'卡片raw data'!$F:$F,))*(IF($F361="UR",0.04,0.033))*(IF($F361="UR",INDEX(绊状态确认!$S:$S,MATCH($G361,绊状态确认!$B:$B,))/2-40)+IF($F361="SR",INDEX(绊状态确认!$R:$R,MATCH($G361,绊状态确认!$B:$B,))/4-15))+IF($F361="R",INDEX(绊状态确认!$Q:$Q,MATCH($G361,绊状态确认!$B:$B,))/6-40/6)))*(INDEX(绊状态确认!$H:$H,MATCH($G361,绊状态确认!$B:$B,))+INDEX(绊状态确认!K:K,MATCH($G361,绊状态确认!$B:$B,)))</f>
        <v>5167.8835487999986</v>
      </c>
      <c r="AN361" s="1106">
        <f>IF($P361="","N/A",(IF($P361=-1,INDEX('卡片raw data'!U:U,MATCH($D361,'卡片raw data'!$F:$F,)),0)+IF($P361=0,INDEX('卡片raw data'!X:X,MATCH($D361,'卡片raw data'!$F:$F,)),0)+IF($P361=1,INDEX('卡片raw data'!AA:AA,MATCH($D361,'卡片raw data'!$F:$F,)),0)+IF($P361=2,INDEX('卡片raw data'!AD:AD,MATCH($D361,'卡片raw data'!$F:$F,)),0)+IF($P361=3,INDEX('卡片raw data'!AG:AG,MATCH($D361,'卡片raw data'!$F:$F,)),0)+IF($P361=4,INDEX('卡片raw data'!AJ:AJ,MATCH($D361,'卡片raw data'!$F:$F,)),0)+IF($P361=5,INDEX('卡片raw data'!AM:AM,MATCH($D361,'卡片raw data'!$F:$F,)),0)+INDEX('卡片raw data'!U:U,MATCH($D361,'卡片raw data'!$F:$F,))*(IF($F361="UR",0.04,0.033))*(IF($F361="UR",INDEX(绊状态确认!$S:$S,MATCH($G361,绊状态确认!$B:$B,))/2-40)+IF($F361="SR",INDEX(绊状态确认!$R:$R,MATCH($G361,绊状态确认!$B:$B,))/4-15))+IF($F361="R",INDEX(绊状态确认!$Q:$Q,MATCH($G361,绊状态确认!$B:$B,))/6-40/6)))*(INDEX(绊状态确认!$H:$H,MATCH($G361,绊状态确认!$B:$B,))+INDEX(绊状态确认!L:L,MATCH($G361,绊状态确认!$B:$B,)))</f>
        <v>7235.7338087999997</v>
      </c>
      <c r="AO361" s="1107">
        <f t="shared" si="449"/>
        <v>1</v>
      </c>
      <c r="AP361" s="1131">
        <f>1+(INDEX(绊状态确认!$T:$T,MATCH($G361,绊状态确认!$B:$B,))+0.2)*$AO361</f>
        <v>1.3</v>
      </c>
      <c r="AQ361" s="1108">
        <f t="shared" si="450"/>
        <v>24962.427729999999</v>
      </c>
      <c r="AR361" s="1097">
        <f>(AM361*(1+$EX$9)+$EX$35)*(1+(INDEX(绊状态确认!$T:$T,MATCH($G361,绊状态确认!$B:$B,))+0.2)*AO361)*IF(J361=$FF$17,1+$FE$17,1)*IF(I361=$FF$14,1+$FE$14,1)</f>
        <v>9758.1610441119992</v>
      </c>
      <c r="AS361" s="1097">
        <f>(AN361*(1+$EX$10)+$EX$36)*(1+(INDEX(绊状态确认!$T:$T,MATCH($G361,绊状态确认!$B:$B,))+0.2)*AO361)*IF(J361=$FF$17,1+$FE$17,1)*IF(I361=$FF$14,1+$FE$14,1)</f>
        <v>14873.422044155999</v>
      </c>
      <c r="AT361" s="1093">
        <f>IF(AND(INDEX('卡片raw data'!AK:AK,MATCH($D361,'卡片raw data'!$F:$F,))&lt;INDEX('卡片raw data'!AM:AM,MATCH($D361,'卡片raw data'!$F:$F,)),INDEX('卡片raw data'!AL:AL,MATCH($D361,'卡片raw data'!$F:$F,))&lt;INDEX('卡片raw data'!AM:AM,MATCH($D361,'卡片raw data'!$F:$F,))),1,0)</f>
        <v>0</v>
      </c>
      <c r="AU361" s="1098">
        <f>MIN(AT361*0.15+AS361*0.00003+INDEX(绊状态确认!M:M,MATCH($G361,绊状态确认!$B:$B,)),1)</f>
        <v>0.47620266132468003</v>
      </c>
      <c r="AV361" s="1109">
        <f>(INDEX(绊状态确认!$N:$N,MATCH($G361,绊状态确认!$B:$B,))+1.5)*$EW$21</f>
        <v>2.6599999999999997</v>
      </c>
      <c r="AW361" s="1101">
        <f t="shared" si="451"/>
        <v>23212.27145995777</v>
      </c>
      <c r="AX361" s="1097">
        <f t="shared" si="452"/>
        <v>831.4346696276009</v>
      </c>
      <c r="AY361" s="1110">
        <f t="shared" si="453"/>
        <v>24043.706129585371</v>
      </c>
      <c r="AZ361" s="429">
        <f t="shared" si="454"/>
        <v>18729.232027999999</v>
      </c>
      <c r="BA361" s="431">
        <f t="shared" si="455"/>
        <v>22475.078433599996</v>
      </c>
      <c r="BB361" s="1097">
        <f>(AM361*(1+$FB$9)+$FB$35)*(1+(INDEX(绊状态确认!$T:$T,MATCH($G361,绊状态确认!$B:$B,))+0.2)*AO361)*IF(J361=$FF$17,1+$FE$17,1)*IF(I361=$FF$14,1+$FE$14,1)*(1+$FE$15)</f>
        <v>9758.1610441119992</v>
      </c>
      <c r="BC361" s="1097">
        <f>(AN361*(1+$FB$10)+$FB$36)*(1+(INDEX(绊状态确认!$T:$T,MATCH($G361,绊状态确认!$B:$B,))+0.2)*AO361)*IF(J361=$FF$17,1+$FE$17,1)*IF(I361=$FF$14,1+$FE$14,1)*(1+$FE$15)</f>
        <v>14873.422044155999</v>
      </c>
      <c r="BD361" s="1104">
        <f>MIN(AT361*0.15+BC361*0.00003+INDEX(绊状态确认!M:M,MATCH($G361,绊状态确认!$B:$B,)),1)</f>
        <v>0.47620266132468003</v>
      </c>
      <c r="BE361" s="432">
        <f>(INDEX(绊状态确认!$N:$N,MATCH($G361,绊状态确认!$B:$B,))+1.5)</f>
        <v>1.9</v>
      </c>
      <c r="BF361" s="1139">
        <f t="array" ref="BF361">SUMPRODUCT(IF(AZ361*AP361*$FI$16:$FI$23*$FA$22&gt;=$FI$24,$FI$24,AZ361*AP361*$FI$16:$FI$23*$FA$22),$FJ$16:$FJ$23)</f>
        <v>37252.442503692</v>
      </c>
      <c r="BG361" s="1125">
        <f t="array" ref="BG361">SUMPRODUCT(IF(BE361*AZ361*AP361*$FI$16:$FI$23*$FA$22&gt;=$FI$24,$FI$24,BE361*AZ361*AP361*$FI$16:$FI$23*$FA$22),$FJ$16:$FJ$23)</f>
        <v>59551.3443730992</v>
      </c>
      <c r="BH361" s="1110">
        <f t="shared" si="456"/>
        <v>15957.079639507197</v>
      </c>
      <c r="BI361" s="1111">
        <f>IF(O361="vo",$EW$26/$EW$24*0.05,0)+IF(O361="sk",-$EW$26/$EW$24*(0.05-INDEX(绊状态确认!W:W,MATCH($G361,绊状态确认!$B:$B,)))+0.05*$EW$28,0)+IF(O361="sp",0.05*$EW$32*$EW$30*(1-$EW$33)-(0.05-INDEX(绊状态确认!V:V,MATCH($G361,绊状态确认!$B:$B,)))*$EW$28,0)+IF(O361="gd",-(0.05-INDEX(绊状态确认!X:X,MATCH($G361,绊状态确认!$B:$B,)))*$EW$32*$EW$30*(1-$EW$33),0)</f>
        <v>19.999999999999886</v>
      </c>
      <c r="BJ361" s="1097">
        <f>IF(O361="vo",0.05*(1-$FI$26)*$FA$24,0)+IF(O361="sk",-(0.05-INDEX(绊状态确认!W:W,MATCH($G361,绊状态确认!$B:$B,)))*(1-$FI$26)*$FA$24+0.05*$FA$26,0)+IF(O361="sp",0.05*$FA$32*$FA$27*(1-$FA$33)/$FA$30+0.05*$FA$29/$FA$69*$FA$27*(1-$FA$33)-(0.05-INDEX(绊状态确认!V:V,MATCH($G361,绊状态确认!$B:$B,)))*$FA$26,0)+IF(O361="gd",-(0.05-INDEX(绊状态确认!X:X,MATCH($G361,绊状态确认!$B:$B,)))*$FA$32*$FA$27*(1-$FA$33)/$FA$30-(0.05-INDEX(绊状态确认!X:X,MATCH($G361,绊状态确认!$B:$B,)))*$FA$29/$FA$69*$FA$27*(1-$FA$33),0)</f>
        <v>545.83333333333326</v>
      </c>
      <c r="BK361" s="1110">
        <f>IF(O361="vo",$EW$26/$EW$24*0.05+$EW$26*(-HP($EW$62,$EW$65,$EW$64)+HP($EW$62,$EW$65,(1.05-INDEX(绊状态确认!U:U,MATCH($G361,绊状态确认!$B:$B,)))*$EW$64)),0)+IF(O361="sk",-$EW$26/$EW$24*(0.05-INDEX(绊状态确认!W:W,MATCH($G361,绊状态确认!$B:$B,)))+0.05*$EW$29,0)+IF(O361="sp",0.05*$EW$32*$EW$30*(1-$EW$33)-(0.05-INDEX(绊状态确认!V:V,MATCH($G361,绊状态确认!$B:$B,)))*$EW$29,0)+IF(O361="gd",-(0.05-INDEX(绊状态确认!X:X,MATCH($G361,绊状态确认!$B:$B,)))*$EW$32*$EW$30*(1-$EW$33)+$EW$26*(-HP($EW$62,$EW$65,$EW$64)+HP($EW$62,$EW$65,0.95*$EW$64)),0)</f>
        <v>-1780.0000000000005</v>
      </c>
      <c r="BL361" s="1111">
        <f t="shared" si="457"/>
        <v>-1083.3333333333333</v>
      </c>
      <c r="BM361" s="1110">
        <f t="shared" si="458"/>
        <v>-830.55555555555543</v>
      </c>
      <c r="BN361" s="1113">
        <f t="shared" si="459"/>
        <v>3</v>
      </c>
      <c r="BO361" s="1108">
        <f t="shared" si="460"/>
        <v>4507.7214871259994</v>
      </c>
      <c r="BP361" s="1100">
        <f t="shared" si="461"/>
        <v>221.34103209030098</v>
      </c>
      <c r="BQ361" s="1113" t="s">
        <v>132</v>
      </c>
      <c r="BR361" s="1124" t="s">
        <v>166</v>
      </c>
      <c r="BS361" s="1098">
        <f>IF($P361="","N/A",IF($P361=-1,INDEX('卡片raw data'!AX:AX,MATCH($D361,'卡片raw data'!$F:$F,)),0)+IF($L361="party卡",IF($P361=5,INDEX('卡片raw data'!BD:BD,MATCH($D361,'卡片raw data'!$F:$F,)),IF($P361&gt;=3,INDEX('卡片raw data'!BC:BC,MATCH($D361,'卡片raw data'!$F:$F,)),INDEX('卡片raw data'!BB:BB,MATCH($D361,'卡片raw data'!$F:$F,)))),IF(OR(AND($F361="UR",$P361=0),AND($F361="SR",$P361&gt;=0,$P361&lt;=2),AND($F361="R",$P361&gt;=0,$P361&lt;4)),INDEX('卡片raw data'!AZ:AZ,MATCH($D361,'卡片raw data'!$F:$F,)),0)+IF(OR(AND($F361="UR",$P361&gt;=1,$P361&lt;=4),AND($F361="SR",$P361&lt;=4,$P361&gt;=3),AND($F361="R",$P361=4)),INDEX('卡片raw data'!BA:BA,MATCH($D361,'卡片raw data'!$F:$F,)),0)+IF($P361=5,INDEX('卡片raw data'!BB:BB,MATCH($D361,'卡片raw data'!$F:$F,)),0)))</f>
        <v>7.0000000000000007E-2</v>
      </c>
      <c r="BT361" s="1101">
        <f t="shared" si="462"/>
        <v>718.16972472797522</v>
      </c>
      <c r="BU361" s="1097">
        <f t="shared" si="463"/>
        <v>23.535358264289883</v>
      </c>
      <c r="BV361" s="1097">
        <f t="shared" si="464"/>
        <v>0</v>
      </c>
      <c r="BW361" s="1112">
        <f t="shared" si="465"/>
        <v>0</v>
      </c>
      <c r="BX361" s="1100">
        <f t="shared" si="466"/>
        <v>718.16972472797522</v>
      </c>
      <c r="BY361" s="1110">
        <f t="shared" si="467"/>
        <v>0</v>
      </c>
      <c r="BZ361" s="1107" t="s">
        <v>569</v>
      </c>
      <c r="CA361" s="1124"/>
      <c r="CB361" s="1098">
        <f>IF($P361="","N/A",IF($P361=-1,INDEX('卡片raw data'!BE:BE,MATCH($D361,'卡片raw data'!$F:$F,)),0)+IF($L361="party卡",IF($P361=5,INDEX('卡片raw data'!BK:BK,MATCH($D361,'卡片raw data'!$F:$F,)),IF($P361&gt;=3,INDEX('卡片raw data'!BJ:BJ,MATCH($D361,'卡片raw data'!$F:$F,)),INDEX('卡片raw data'!BI:BI,MATCH($D361,'卡片raw data'!$F:$F,)))),IF(OR(AND($F361="UR",$P361=0),AND($F361="SR",$P361&gt;=0,$P361&lt;=2),AND($F361="R",$P361&gt;=0,$P361&lt;4)),INDEX('卡片raw data'!BG:BG,MATCH($D361,'卡片raw data'!$F:$F,)),0)+IF(OR(AND($F361="UR",$P361&gt;=1,$P361&lt;=4),AND($F361="SR",$P361&lt;=4,$P361&gt;=3),AND($F361="R",$P361=4)),INDEX('卡片raw data'!BH:BH,MATCH($D361,'卡片raw data'!$F:$F,)),0)+IF($P361=5,INDEX('卡片raw data'!BI:BI,MATCH($D361,'卡片raw data'!$F:$F,)),0)))</f>
        <v>0</v>
      </c>
      <c r="CC361" s="1101">
        <f t="shared" si="468"/>
        <v>0</v>
      </c>
      <c r="CD361" s="1097">
        <f>IF(BZ361="ap",CB361*(1-$FI$26)*$FB$5/$FB$11*(+IF(CA361="全员",$FA$24,0)+IF(CA361="同作战",$FA$24,0)+IF(CA361="仲间",$FA$24*2/3,0)+IF(CA361="同属性",$FA$24*$FA$37/3,0)+IF(CA361="同年级",$FA$24*$FA$40/3,0)+IF(CA361="同学校",$FA$24*$FA$43/3,0)+IF(CA361="同小队",$FA$24*$FA$46/3,0)+IF(CA361="同type",$FA$24*INDEX($FB$49:$FB$52,MATCH(X361,$FA$49:$FA$52,))/3,0)+IF(CA361="自身",#REF!/3,0)),0)+IF(BZ361="te",CB361*(1-$FI$27)*($FA$20-1)*$FB$7/$FB$13*(+IF(CA361="全员",$FA$19*$FA$24/(1+($FA$20-1)*$FA$19),0)+IF(CA361="同作战",$FA$19*$FA$24/(1+($FA$20-1)*$FA$19),0)+IF(CA361="仲间",$FA$19*$FA$24*2/3/(1+($FA$20-1)*$FA$19),0)+IF(CA361="同属性",$FA$19*$FA$24*$FA$37/3/(1+($FA$20-1)*$FA$19),0)+IF(CA361="同年级",$FA$19*$FA$24*$FA$40/3/(1+($FA$20-1)*$FA$19),0)+IF(CA361="同学校",$FA$19*$FA$24*$FA$43/3/(1+($FA$20-1)*$FA$19),0)+IF(CA361="同小队",$FA$19*$FA$24*$FA$46/3/(1+($FA$20-1)*$FA$19),0)+IF(CA361="同type",$FA$19*$FA$24*INDEX($FB$49:$FB$52,MATCH(X361,$FA$49:$FA$52,))/3/(1+($FA$20-1)*$FA$19),0)+IF(CA361="自身",$FA$19*#REF!/3/(1+(BH361-1)*$BD361),0)),0)</f>
        <v>0</v>
      </c>
      <c r="CE361" s="1097">
        <f t="shared" si="469"/>
        <v>0</v>
      </c>
      <c r="CF361" s="1112">
        <f t="shared" si="470"/>
        <v>0</v>
      </c>
      <c r="CG361" s="1100">
        <f t="shared" si="471"/>
        <v>0</v>
      </c>
      <c r="CH361" s="1110">
        <f t="shared" si="472"/>
        <v>0</v>
      </c>
      <c r="CI361" s="1113" t="s">
        <v>160</v>
      </c>
      <c r="CJ361" s="1114">
        <v>1</v>
      </c>
      <c r="CK361" s="1115" t="s">
        <v>1717</v>
      </c>
      <c r="CL361" s="1115" t="s">
        <v>1716</v>
      </c>
      <c r="CM361" s="1119">
        <v>0.04</v>
      </c>
      <c r="CN361" s="1115">
        <v>5</v>
      </c>
      <c r="CO361" s="1115">
        <v>4</v>
      </c>
      <c r="CP361" s="1118">
        <f t="shared" si="473"/>
        <v>2.8571428571428571E-3</v>
      </c>
      <c r="CQ361" s="1118">
        <f t="shared" si="474"/>
        <v>4.4444444444444444E-3</v>
      </c>
      <c r="CR361" s="1118">
        <f t="shared" si="475"/>
        <v>2.8571428571428571E-3</v>
      </c>
      <c r="CS361" s="1118">
        <f t="shared" si="476"/>
        <v>0</v>
      </c>
      <c r="CT361" s="1109">
        <f t="shared" si="477"/>
        <v>0</v>
      </c>
      <c r="CU361" s="1101">
        <f t="shared" si="478"/>
        <v>388.52266150943143</v>
      </c>
      <c r="CV361" s="1108">
        <f t="shared" si="479"/>
        <v>29.180321250000002</v>
      </c>
      <c r="CW361" s="1097">
        <f t="shared" si="480"/>
        <v>388.52266150943143</v>
      </c>
      <c r="CX361" s="1097">
        <f t="shared" si="481"/>
        <v>388.52266150943143</v>
      </c>
      <c r="CY361" s="1110">
        <f t="shared" si="482"/>
        <v>388.52266150943143</v>
      </c>
      <c r="CZ361" s="437"/>
      <c r="DA361" s="438"/>
      <c r="DB361" s="439" t="s">
        <v>569</v>
      </c>
      <c r="DC361" s="439"/>
      <c r="DD361" s="443"/>
      <c r="DE361" s="411"/>
      <c r="DF361" s="411"/>
      <c r="DG361" s="1116">
        <f t="shared" si="483"/>
        <v>0</v>
      </c>
      <c r="DH361" s="1116">
        <f t="shared" si="484"/>
        <v>0</v>
      </c>
      <c r="DI361" s="1116">
        <f t="shared" si="485"/>
        <v>0</v>
      </c>
      <c r="DJ361" s="442">
        <f t="shared" si="486"/>
        <v>0</v>
      </c>
      <c r="DK361" s="1109">
        <f t="shared" si="487"/>
        <v>0</v>
      </c>
      <c r="DL361" s="1101">
        <f t="shared" si="488"/>
        <v>0</v>
      </c>
      <c r="DM361" s="1097">
        <f t="shared" si="489"/>
        <v>0</v>
      </c>
      <c r="DN361" s="1097">
        <f t="shared" si="490"/>
        <v>0</v>
      </c>
      <c r="DO361" s="1097">
        <f t="shared" si="491"/>
        <v>0</v>
      </c>
      <c r="DP361" s="1110">
        <f t="shared" si="492"/>
        <v>0</v>
      </c>
      <c r="DQ361" s="1113" t="s">
        <v>533</v>
      </c>
      <c r="DR361" s="1120">
        <f t="shared" si="493"/>
        <v>0.3</v>
      </c>
      <c r="DS361" s="1124">
        <v>2</v>
      </c>
      <c r="DT361" s="1124" t="s">
        <v>1718</v>
      </c>
      <c r="DU361" s="1093" t="s">
        <v>544</v>
      </c>
      <c r="DV361" s="1098">
        <f>IF($P361="","N/A",IF(P361=-1,INDEX('卡片raw data'!AN:AN,MATCH(D361,'卡片raw data'!$F:$F,)),0)+IF(AND(L361&lt;&gt;"party卡",P361&lt;=2,P361&gt;=0),INDEX('卡片raw data'!AP:AP,MATCH(D361,'卡片raw data'!$F:$F,)),0)+IF(OR(AND(L361="party卡",P361&lt;=1),AND(P361&lt;=4,L361&lt;&gt;"party卡",P361&gt;=3)),INDEX('卡片raw data'!AQ:AQ,MATCH(D361,'卡片raw data'!$F:$F,)),0)+IF(OR(P361=5,AND(L361="party卡",P361&gt;=2)),INDEX('卡片raw data'!AR:AR,MATCH(D361,'卡片raw data'!$F:$F,)),0))</f>
        <v>0.112</v>
      </c>
      <c r="DW361" s="1098">
        <f t="shared" si="494"/>
        <v>0.3</v>
      </c>
      <c r="DX361" s="1098">
        <f t="shared" si="495"/>
        <v>0.3</v>
      </c>
      <c r="DY361" s="1098">
        <f t="shared" si="496"/>
        <v>1.4933333333333333E-2</v>
      </c>
      <c r="DZ361" s="1098">
        <f t="shared" si="497"/>
        <v>1.1302666666666666E-2</v>
      </c>
      <c r="EA361" s="1098">
        <f t="shared" si="498"/>
        <v>0</v>
      </c>
      <c r="EB361" s="1121">
        <f t="shared" si="499"/>
        <v>1.8622770833333331</v>
      </c>
      <c r="EC361" s="1101">
        <f t="shared" si="500"/>
        <v>194.13333333333333</v>
      </c>
      <c r="ED361" s="1097">
        <f t="shared" si="501"/>
        <v>112.64991111111109</v>
      </c>
      <c r="EE361" s="1110">
        <f t="shared" si="513"/>
        <v>194.13333333333333</v>
      </c>
      <c r="EF361" s="1115" t="s">
        <v>569</v>
      </c>
      <c r="EG361" s="1120">
        <f t="shared" si="503"/>
        <v>0.3</v>
      </c>
      <c r="EH361" s="1124"/>
      <c r="EI361" s="1093"/>
      <c r="EJ361" s="1093"/>
      <c r="EK361" s="1097">
        <f>IF($P361="","N/A",IF(P361=-1,INDEX('卡片raw data'!AS:AS,MATCH(D361,'卡片raw data'!$F:$F,)),0)+IF(AND(L361&lt;&gt;"party卡",P361&lt;=2,P361&gt;=0),INDEX('卡片raw data'!AU:AU,MATCH(D361,'卡片raw data'!$F:$F,)),0)+IF(OR(AND(L361="party卡",P361&lt;=1),AND(P361&lt;=4,L361&lt;&gt;"party卡",P361&gt;=3)),INDEX('卡片raw data'!AV:AV,MATCH(D361,'卡片raw data'!$F:$F,)),0)+IF(OR(P361=5,AND(L361="party卡",P361&gt;=2)),INDEX('卡片raw data'!AW:AW,MATCH(D361,'卡片raw data'!$F:$F,)),0))</f>
        <v>0</v>
      </c>
      <c r="EL361" s="1098">
        <f t="shared" si="504"/>
        <v>0.3</v>
      </c>
      <c r="EM361" s="1098">
        <f t="shared" si="505"/>
        <v>0.3</v>
      </c>
      <c r="EN361" s="1097">
        <f t="shared" si="506"/>
        <v>0</v>
      </c>
      <c r="EO361" s="1097">
        <f t="shared" si="507"/>
        <v>0</v>
      </c>
      <c r="EP361" s="1098">
        <f t="shared" si="508"/>
        <v>0</v>
      </c>
      <c r="EQ361" s="1121">
        <f t="shared" si="509"/>
        <v>0</v>
      </c>
      <c r="ER361" s="1101">
        <f t="shared" si="510"/>
        <v>0</v>
      </c>
      <c r="ES361" s="1097">
        <f t="shared" si="511"/>
        <v>0</v>
      </c>
      <c r="ET361" s="1122">
        <f t="shared" si="514"/>
        <v>0</v>
      </c>
    </row>
    <row r="362" spans="2:150" ht="16.5" customHeight="1">
      <c r="B362" s="1123" t="str">
        <f>INDEX('卡片raw data'!B:B,MATCH($D362,'卡片raw data'!$F:$F,))</f>
        <v>圣诞鸟</v>
      </c>
      <c r="C362" s="449" t="s">
        <v>1734</v>
      </c>
      <c r="D362" s="408">
        <v>359</v>
      </c>
      <c r="E362" s="477">
        <v>400033003</v>
      </c>
      <c r="F362" s="1090" t="str">
        <f>INDEX('卡片raw data'!C:C,MATCH($D362,'卡片raw data'!$F:$F,))</f>
        <v>UR</v>
      </c>
      <c r="G362" s="1094" t="s">
        <v>1735</v>
      </c>
      <c r="H362" s="411">
        <f>IFERROR(INDEX(绊状态确认!C:C,MATCH($G362,绊状态确认!$B:$B,)),"")</f>
        <v>3</v>
      </c>
      <c r="I362" s="450" t="str">
        <f>IFERROR(INDEX(绊状态确认!D:D,MATCH($G362,绊状态确认!$B:$B,)),"")</f>
        <v>缪</v>
      </c>
      <c r="J362" s="450" t="str">
        <f>IFERROR(INDEX(绊状态确认!E:E,MATCH($G362,绊状态确认!$B:$B,)),"")</f>
        <v>2年级</v>
      </c>
      <c r="K362" s="451" t="str">
        <f>IFERROR(INDEX(绊状态确认!F:F,MATCH($G362,绊状态确认!$B:$B,)),"")</f>
        <v>Printemps</v>
      </c>
      <c r="L362" s="1094" t="str">
        <f>INDEX('卡片raw data'!E:E,MATCH($D362,'卡片raw data'!$F:$F,))</f>
        <v>卡池卡</v>
      </c>
      <c r="M362" s="478">
        <v>44169</v>
      </c>
      <c r="N362" s="479">
        <v>29</v>
      </c>
      <c r="O362" s="1091" t="str">
        <f>INDEX('卡片raw data'!D:D,MATCH($D362,'卡片raw data'!$F:$F,))</f>
        <v>vo</v>
      </c>
      <c r="P362" s="1126">
        <v>5</v>
      </c>
      <c r="Q362" s="1095">
        <f t="shared" si="428"/>
        <v>65883.15013052673</v>
      </c>
      <c r="R362" s="1096">
        <f t="shared" si="429"/>
        <v>0.76500000000000001</v>
      </c>
      <c r="S362" s="1097">
        <f t="shared" si="430"/>
        <v>20873.928033088578</v>
      </c>
      <c r="T362" s="1098">
        <f t="shared" si="431"/>
        <v>1.0429999999999999</v>
      </c>
      <c r="U362" s="1099">
        <f t="shared" si="432"/>
        <v>-12.747144701457142</v>
      </c>
      <c r="V362" s="1100">
        <f t="shared" si="433"/>
        <v>65556.466155095201</v>
      </c>
      <c r="W362" s="1101">
        <f t="shared" si="434"/>
        <v>6020.6888154801127</v>
      </c>
      <c r="X362" s="1096">
        <f t="shared" si="435"/>
        <v>6.9000000000000006E-2</v>
      </c>
      <c r="Y362" s="1097">
        <f t="shared" si="436"/>
        <v>977.98447481017502</v>
      </c>
      <c r="Z362" s="1102">
        <f t="shared" si="437"/>
        <v>12.252855298542858</v>
      </c>
      <c r="AA362" s="1103">
        <f t="shared" si="438"/>
        <v>6998.6732902902877</v>
      </c>
      <c r="AB362" s="1101">
        <f t="shared" si="439"/>
        <v>7322.9194673165139</v>
      </c>
      <c r="AC362" s="1104">
        <f t="shared" si="440"/>
        <v>8.5000000000000006E-2</v>
      </c>
      <c r="AD362" s="1105">
        <f t="shared" si="441"/>
        <v>0</v>
      </c>
      <c r="AE362" s="1128">
        <f t="shared" si="442"/>
        <v>0</v>
      </c>
      <c r="AF362" s="1130">
        <f t="shared" si="443"/>
        <v>0</v>
      </c>
      <c r="AG362" s="420">
        <f t="shared" si="444"/>
        <v>0</v>
      </c>
      <c r="AH362" s="420">
        <f t="shared" si="445"/>
        <v>0</v>
      </c>
      <c r="AI362" s="1097">
        <f t="shared" si="446"/>
        <v>0</v>
      </c>
      <c r="AJ362" s="420">
        <f t="shared" si="447"/>
        <v>0</v>
      </c>
      <c r="AK362" s="518">
        <f t="shared" si="448"/>
        <v>0</v>
      </c>
      <c r="AL362" s="1106">
        <f>IF($P362="","N/A",(IF($P362=-1,INDEX('卡片raw data'!S:S,MATCH($D362,'卡片raw data'!$F:$F,)),0)+IF($P362=0,INDEX('卡片raw data'!V:V,MATCH($D362,'卡片raw data'!$F:$F,)),0)+IF($P362=1,INDEX('卡片raw data'!Y:Y,MATCH($D362,'卡片raw data'!$F:$F,)),0)+IF($P362=2,INDEX('卡片raw data'!AB:AB,MATCH($D362,'卡片raw data'!$F:$F,)),0)+IF($P362=3,INDEX('卡片raw data'!AE:AE,MATCH($D362,'卡片raw data'!$F:$F,)),0)+IF($P362=4,INDEX('卡片raw data'!AH:AH,MATCH($D362,'卡片raw data'!$F:$F,)),0)+IF($P362=5,INDEX('卡片raw data'!AK:AK,MATCH($D362,'卡片raw data'!$F:$F,)),0)+INDEX('卡片raw data'!S:S,MATCH($D362,'卡片raw data'!$F:$F,))*(IF($F362="UR",0.04,0.033))*(IF($F362="UR",INDEX(绊状态确认!$S:$S,MATCH($G362,绊状态确认!$B:$B,))/2-40)+IF($F362="SR",INDEX(绊状态确认!$R:$R,MATCH($G362,绊状态确认!$B:$B,))/4-15))+IF($F362="R",INDEX(绊状态确认!$Q:$Q,MATCH($G362,绊状态确认!$B:$B,))/6-40/6)))*(INDEX(绊状态确认!$H:$H,MATCH($G362,绊状态确认!$B:$B,))+INDEX(绊状态确认!J:J,MATCH($G362,绊状态确认!$B:$B,)))</f>
        <v>14481.190655999999</v>
      </c>
      <c r="AM362" s="1106">
        <f>IF($P362="","N/A",(IF($P362=-1,INDEX('卡片raw data'!T:T,MATCH($D362,'卡片raw data'!$F:$F,)),0)+IF($P362=0,INDEX('卡片raw data'!W:W,MATCH($D362,'卡片raw data'!$F:$F,)),0)+IF($P362=1,INDEX('卡片raw data'!Z:Z,MATCH($D362,'卡片raw data'!$F:$F,)),0)+IF($P362=2,INDEX('卡片raw data'!AC:AC,MATCH($D362,'卡片raw data'!$F:$F,)),0)+IF($P362=3,INDEX('卡片raw data'!AF:AF,MATCH($D362,'卡片raw data'!$F:$F,)),0)+IF($P362=4,INDEX('卡片raw data'!AI:AI,MATCH($D362,'卡片raw data'!$F:$F,)),0)+IF($P362=5,INDEX('卡片raw data'!AL:AL,MATCH($D362,'卡片raw data'!$F:$F,)),0)+INDEX('卡片raw data'!T:T,MATCH($D362,'卡片raw data'!$F:$F,))*(IF($F362="UR",0.04,0.033))*(IF($F362="UR",INDEX(绊状态确认!$S:$S,MATCH($G362,绊状态确认!$B:$B,))/2-40)+IF($F362="SR",INDEX(绊状态确认!$R:$R,MATCH($G362,绊状态确认!$B:$B,))/4-15))+IF($F362="R",INDEX(绊状态确认!$Q:$Q,MATCH($G362,绊状态确认!$B:$B,))/6-40/6)))*(INDEX(绊状态确认!$H:$H,MATCH($G362,绊状态确认!$B:$B,))+INDEX(绊状态确认!K:K,MATCH($G362,绊状态确认!$B:$B,)))</f>
        <v>6397.0683359999994</v>
      </c>
      <c r="AN362" s="1106">
        <f>IF($P362="","N/A",(IF($P362=-1,INDEX('卡片raw data'!U:U,MATCH($D362,'卡片raw data'!$F:$F,)),0)+IF($P362=0,INDEX('卡片raw data'!X:X,MATCH($D362,'卡片raw data'!$F:$F,)),0)+IF($P362=1,INDEX('卡片raw data'!AA:AA,MATCH($D362,'卡片raw data'!$F:$F,)),0)+IF($P362=2,INDEX('卡片raw data'!AD:AD,MATCH($D362,'卡片raw data'!$F:$F,)),0)+IF($P362=3,INDEX('卡片raw data'!AG:AG,MATCH($D362,'卡片raw data'!$F:$F,)),0)+IF($P362=4,INDEX('卡片raw data'!AJ:AJ,MATCH($D362,'卡片raw data'!$F:$F,)),0)+IF($P362=5,INDEX('卡片raw data'!AM:AM,MATCH($D362,'卡片raw data'!$F:$F,)),0)+INDEX('卡片raw data'!U:U,MATCH($D362,'卡片raw data'!$F:$F,))*(IF($F362="UR",0.04,0.033))*(IF($F362="UR",INDEX(绊状态确认!$S:$S,MATCH($G362,绊状态确认!$B:$B,))/2-40)+IF($F362="SR",INDEX(绊状态确认!$R:$R,MATCH($G362,绊状态确认!$B:$B,))/4-15))+IF($F362="R",INDEX(绊状态确认!$Q:$Q,MATCH($G362,绊状态确认!$B:$B,))/6-40/6)))*(INDEX(绊状态确认!$H:$H,MATCH($G362,绊状态确认!$B:$B,))+INDEX(绊状态确认!L:L,MATCH($G362,绊状态确认!$B:$B,)))</f>
        <v>12797.636783999998</v>
      </c>
      <c r="AO362" s="1107">
        <f t="shared" si="449"/>
        <v>1</v>
      </c>
      <c r="AP362" s="1131">
        <f>1+(INDEX(绊状态确认!$T:$T,MATCH($G362,绊状态确认!$B:$B,))+0.2)*$AO362</f>
        <v>1.3</v>
      </c>
      <c r="AQ362" s="1108">
        <f t="shared" si="450"/>
        <v>41263.125471999992</v>
      </c>
      <c r="AR362" s="1097">
        <f>(AM362*(1+$EX$9)+$EX$35)*(1+(INDEX(绊状态确认!$T:$T,MATCH($G362,绊状态确认!$B:$B,))+0.2)*AO362)*IF(J362=$FF$17,1+$FE$17,1)*IF(I362=$FF$14,1+$FE$14,1)</f>
        <v>11435.998278640001</v>
      </c>
      <c r="AS362" s="1097">
        <f>(AN362*(1+$EX$10)+$EX$36)*(1+(INDEX(绊状态确认!$T:$T,MATCH($G362,绊状态确认!$B:$B,))+0.2)*AO362)*IF(J362=$FF$17,1+$FE$17,1)*IF(I362=$FF$14,1+$FE$14,1)</f>
        <v>23188.466992079997</v>
      </c>
      <c r="AT362" s="1093">
        <f>IF(AND(INDEX('卡片raw data'!AK:AK,MATCH($D362,'卡片raw data'!$F:$F,))&lt;INDEX('卡片raw data'!AM:AM,MATCH($D362,'卡片raw data'!$F:$F,)),INDEX('卡片raw data'!AL:AL,MATCH($D362,'卡片raw data'!$F:$F,))&lt;INDEX('卡片raw data'!AM:AM,MATCH($D362,'卡片raw data'!$F:$F,))),1,0)</f>
        <v>0</v>
      </c>
      <c r="AU362" s="1098">
        <f>MIN(AT362*0.15+AS362*0.00003+INDEX(绊状态确认!M:M,MATCH($G362,绊状态确认!$B:$B,)),1)</f>
        <v>0.72565400976239991</v>
      </c>
      <c r="AV362" s="1109">
        <f>(INDEX(绊状态确认!$N:$N,MATCH($G362,绊状态确认!$B:$B,))+1.5)*$EW$21</f>
        <v>2.6599999999999997</v>
      </c>
      <c r="AW362" s="1101">
        <f t="shared" si="451"/>
        <v>47243.978343118695</v>
      </c>
      <c r="AX362" s="1097">
        <f t="shared" si="452"/>
        <v>977.98447481017524</v>
      </c>
      <c r="AY362" s="1110">
        <f t="shared" si="453"/>
        <v>48221.96281792887</v>
      </c>
      <c r="AZ362" s="429">
        <f t="shared" si="454"/>
        <v>30838.321779199996</v>
      </c>
      <c r="BA362" s="431">
        <f t="shared" si="455"/>
        <v>37005.986135039995</v>
      </c>
      <c r="BB362" s="1097">
        <f>(AM362*(1+$FB$9)+$FB$35)*(1+(INDEX(绊状态确认!$T:$T,MATCH($G362,绊状态确认!$B:$B,))+0.2)*AO362)*IF(J362=$FF$17,1+$FE$17,1)*IF(I362=$FF$14,1+$FE$14,1)*(1+$FE$15)</f>
        <v>11435.998278640001</v>
      </c>
      <c r="BC362" s="1097">
        <f>(AN362*(1+$FB$10)+$FB$36)*(1+(INDEX(绊状态确认!$T:$T,MATCH($G362,绊状态确认!$B:$B,))+0.2)*AO362)*IF(J362=$FF$17,1+$FE$17,1)*IF(I362=$FF$14,1+$FE$14,1)*(1+$FE$15)</f>
        <v>23188.466992079997</v>
      </c>
      <c r="BD362" s="1104">
        <f>MIN(AT362*0.15+BC362*0.00003+INDEX(绊状态确认!M:M,MATCH($G362,绊状态确认!$B:$B,)),1)</f>
        <v>0.72565400976239991</v>
      </c>
      <c r="BE362" s="432">
        <f>(INDEX(绊状态确认!$N:$N,MATCH($G362,绊状态确认!$B:$B,))+1.5)</f>
        <v>1.9</v>
      </c>
      <c r="BF362" s="1139">
        <f t="array" ref="BF362">SUMPRODUCT(IF(AZ362*AP362*$FI$16:$FI$23*$FA$22&gt;=$FI$24,$FI$24,AZ362*AP362*$FI$16:$FI$23*$FA$22),$FJ$16:$FJ$23)</f>
        <v>57247.603705868794</v>
      </c>
      <c r="BG362" s="1125">
        <f t="array" ref="BG362">SUMPRODUCT(IF(BE362*AZ362*AP362*$FI$16:$FI$23*$FA$22&gt;=$FI$24,$FI$24,BE362*AZ362*AP362*$FI$16:$FI$23*$FA$22),$FJ$16:$FJ$23)</f>
        <v>60000</v>
      </c>
      <c r="BH362" s="1110">
        <f t="shared" si="456"/>
        <v>19748.297037720091</v>
      </c>
      <c r="BI362" s="1111">
        <f>IF(O362="vo",$EW$26/$EW$24*0.05,0)+IF(O362="sk",-$EW$26/$EW$24*(0.05-INDEX(绊状态确认!W:W,MATCH($G362,绊状态确认!$B:$B,)))+0.05*$EW$28,0)+IF(O362="sp",0.05*$EW$32*$EW$30*(1-$EW$33)-(0.05-INDEX(绊状态确认!V:V,MATCH($G362,绊状态确认!$B:$B,)))*$EW$28,0)+IF(O362="gd",-(0.05-INDEX(绊状态确认!X:X,MATCH($G362,绊状态确认!$B:$B,)))*$EW$32*$EW$30*(1-$EW$33),0)</f>
        <v>7726.3029277443748</v>
      </c>
      <c r="BJ362" s="1097">
        <f>IF(O362="vo",0.05*(1-$FI$26)*$FA$24,0)+IF(O362="sk",-(0.05-INDEX(绊状态确认!W:W,MATCH($G362,绊状态确认!$B:$B,)))*(1-$FI$26)*$FA$24+0.05*$FA$26,0)+IF(O362="sp",0.05*$FA$32*$FA$27*(1-$FA$33)/$FA$30+0.05*$FA$29/$FA$69*$FA$27*(1-$FA$33)-(0.05-INDEX(绊状态确认!V:V,MATCH($G362,绊状态确认!$B:$B,)))*$FA$26,0)+IF(O362="gd",-(0.05-INDEX(绊状态确认!X:X,MATCH($G362,绊状态确认!$B:$B,)))*$FA$32*$FA$27*(1-$FA$33)/$FA$30-(0.05-INDEX(绊状态确认!X:X,MATCH($G362,绊状态确认!$B:$B,)))*$FA$29/$FA$69*$FA$27*(1-$FA$33),0)</f>
        <v>393.93433687500004</v>
      </c>
      <c r="BK362" s="1110">
        <f>IF(O362="vo",$EW$26/$EW$24*0.05+$EW$26*(-HP($EW$62,$EW$65,$EW$64)+HP($EW$62,$EW$65,(1.05-INDEX(绊状态确认!U:U,MATCH($G362,绊状态确认!$B:$B,)))*$EW$64)),0)+IF(O362="sk",-$EW$26/$EW$24*(0.05-INDEX(绊状态确认!W:W,MATCH($G362,绊状态确认!$B:$B,)))+0.05*$EW$29,0)+IF(O362="sp",0.05*$EW$32*$EW$30*(1-$EW$33)-(0.05-INDEX(绊状态确认!V:V,MATCH($G362,绊状态确认!$B:$B,)))*$EW$29,0)+IF(O362="gd",-(0.05-INDEX(绊状态确认!X:X,MATCH($G362,绊状态确认!$B:$B,)))*$EW$32*$EW$30*(1-$EW$33)+$EW$26*(-HP($EW$62,$EW$65,$EW$64)+HP($EW$62,$EW$65,0.95*$EW$64)),0)</f>
        <v>6421.6344775026746</v>
      </c>
      <c r="BL362" s="1111">
        <f t="shared" si="457"/>
        <v>0</v>
      </c>
      <c r="BM362" s="1110">
        <f t="shared" si="458"/>
        <v>0</v>
      </c>
      <c r="BN362" s="1113">
        <f t="shared" si="459"/>
        <v>3</v>
      </c>
      <c r="BO362" s="1108">
        <f t="shared" si="460"/>
        <v>4507.7214871259994</v>
      </c>
      <c r="BP362" s="1100">
        <f t="shared" si="461"/>
        <v>221.34103209030098</v>
      </c>
      <c r="BQ362" s="1113" t="s">
        <v>132</v>
      </c>
      <c r="BR362" s="1124" t="s">
        <v>171</v>
      </c>
      <c r="BS362" s="1098">
        <f>IF($P362="","N/A",IF($P362=-1,INDEX('卡片raw data'!AX:AX,MATCH($D362,'卡片raw data'!$F:$F,)),0)+IF($L362="party卡",IF($P362=5,INDEX('卡片raw data'!BD:BD,MATCH($D362,'卡片raw data'!$F:$F,)),IF($P362&gt;=3,INDEX('卡片raw data'!BC:BC,MATCH($D362,'卡片raw data'!$F:$F,)),INDEX('卡片raw data'!BB:BB,MATCH($D362,'卡片raw data'!$F:$F,)))),IF(OR(AND($F362="UR",$P362=0),AND($F362="SR",$P362&gt;=0,$P362&lt;=2),AND($F362="R",$P362&gt;=0,$P362&lt;4)),INDEX('卡片raw data'!AZ:AZ,MATCH($D362,'卡片raw data'!$F:$F,)),0)+IF(OR(AND($F362="UR",$P362&gt;=1,$P362&lt;=4),AND($F362="SR",$P362&lt;=4,$P362&gt;=3),AND($F362="R",$P362=4)),INDEX('卡片raw data'!BA:BA,MATCH($D362,'卡片raw data'!$F:$F,)),0)+IF($P362=5,INDEX('卡片raw data'!BB:BB,MATCH($D362,'卡片raw data'!$F:$F,)),0)))</f>
        <v>5.1999999999999998E-2</v>
      </c>
      <c r="BT362" s="1101">
        <f t="shared" si="462"/>
        <v>2604.4613036728001</v>
      </c>
      <c r="BU362" s="1097">
        <f t="shared" si="463"/>
        <v>111.90018844565216</v>
      </c>
      <c r="BV362" s="1097">
        <f t="shared" si="464"/>
        <v>1302.2306518363998</v>
      </c>
      <c r="BW362" s="1112">
        <f t="shared" si="465"/>
        <v>0</v>
      </c>
      <c r="BX362" s="1100">
        <f t="shared" si="466"/>
        <v>2604.4613036728001</v>
      </c>
      <c r="BY362" s="1110">
        <f t="shared" si="467"/>
        <v>1302.2306518363998</v>
      </c>
      <c r="BZ362" s="1113" t="s">
        <v>569</v>
      </c>
      <c r="CA362" s="1124"/>
      <c r="CB362" s="1098">
        <f>IF($P362="","N/A",IF($P362=-1,INDEX('卡片raw data'!BE:BE,MATCH($D362,'卡片raw data'!$F:$F,)),0)+IF($L362="party卡",IF($P362=5,INDEX('卡片raw data'!BK:BK,MATCH($D362,'卡片raw data'!$F:$F,)),IF($P362&gt;=3,INDEX('卡片raw data'!BJ:BJ,MATCH($D362,'卡片raw data'!$F:$F,)),INDEX('卡片raw data'!BI:BI,MATCH($D362,'卡片raw data'!$F:$F,)))),IF(OR(AND($F362="UR",$P362=0),AND($F362="SR",$P362&gt;=0,$P362&lt;=2),AND($F362="R",$P362&gt;=0,$P362&lt;4)),INDEX('卡片raw data'!BG:BG,MATCH($D362,'卡片raw data'!$F:$F,)),0)+IF(OR(AND($F362="UR",$P362&gt;=1,$P362&lt;=4),AND($F362="SR",$P362&lt;=4,$P362&gt;=3),AND($F362="R",$P362=4)),INDEX('卡片raw data'!BH:BH,MATCH($D362,'卡片raw data'!$F:$F,)),0)+IF($P362=5,INDEX('卡片raw data'!BI:BI,MATCH($D362,'卡片raw data'!$F:$F,)),0)))</f>
        <v>0</v>
      </c>
      <c r="CC362" s="1101">
        <f t="shared" si="468"/>
        <v>0</v>
      </c>
      <c r="CD362" s="1097">
        <f>IF(BZ362="ap",CB362*(1-$FI$26)*$FB$5/$FB$11*(+IF(CA362="全员",$FA$24,0)+IF(CA362="同作战",$FA$24,0)+IF(CA362="仲间",$FA$24*2/3,0)+IF(CA362="同属性",$FA$24*$FA$37/3,0)+IF(CA362="同年级",$FA$24*$FA$40/3,0)+IF(CA362="同学校",$FA$24*$FA$43/3,0)+IF(CA362="同小队",$FA$24*$FA$46/3,0)+IF(CA362="同type",$FA$24*INDEX($FB$49:$FB$52,MATCH(X362,$FA$49:$FA$52,))/3,0)+IF(CA362="自身",#REF!/3,0)),0)+IF(BZ362="te",CB362*(1-$FI$27)*($FA$20-1)*$FB$7/$FB$13*(+IF(CA362="全员",$FA$19*$FA$24/(1+($FA$20-1)*$FA$19),0)+IF(CA362="同作战",$FA$19*$FA$24/(1+($FA$20-1)*$FA$19),0)+IF(CA362="仲间",$FA$19*$FA$24*2/3/(1+($FA$20-1)*$FA$19),0)+IF(CA362="同属性",$FA$19*$FA$24*$FA$37/3/(1+($FA$20-1)*$FA$19),0)+IF(CA362="同年级",$FA$19*$FA$24*$FA$40/3/(1+($FA$20-1)*$FA$19),0)+IF(CA362="同学校",$FA$19*$FA$24*$FA$43/3/(1+($FA$20-1)*$FA$19),0)+IF(CA362="同小队",$FA$19*$FA$24*$FA$46/3/(1+($FA$20-1)*$FA$19),0)+IF(CA362="同type",$FA$19*$FA$24*INDEX($FB$49:$FB$52,MATCH(X362,$FA$49:$FA$52,))/3/(1+($FA$20-1)*$FA$19),0)+IF(CA362="自身",$FA$19*#REF!/3/(1+(BH362-1)*$BD362),0)),0)</f>
        <v>0</v>
      </c>
      <c r="CE362" s="1097">
        <f t="shared" si="469"/>
        <v>0</v>
      </c>
      <c r="CF362" s="1112">
        <f t="shared" si="470"/>
        <v>0</v>
      </c>
      <c r="CG362" s="1100">
        <f t="shared" si="471"/>
        <v>0</v>
      </c>
      <c r="CH362" s="1110">
        <f t="shared" si="472"/>
        <v>0</v>
      </c>
      <c r="CI362" s="1113" t="s">
        <v>162</v>
      </c>
      <c r="CJ362" s="1114">
        <v>1</v>
      </c>
      <c r="CK362" s="1115" t="s">
        <v>545</v>
      </c>
      <c r="CL362" s="1115" t="s">
        <v>1940</v>
      </c>
      <c r="CM362" s="1119">
        <v>1</v>
      </c>
      <c r="CN362" s="1115"/>
      <c r="CO362" s="1115">
        <v>1</v>
      </c>
      <c r="CP362" s="1116">
        <f t="shared" si="473"/>
        <v>191.5787968342857</v>
      </c>
      <c r="CQ362" s="1116">
        <f t="shared" si="474"/>
        <v>267.26545541973331</v>
      </c>
      <c r="CR362" s="1117">
        <f t="shared" si="475"/>
        <v>191.5787968342857</v>
      </c>
      <c r="CS362" s="1118">
        <f t="shared" si="476"/>
        <v>0</v>
      </c>
      <c r="CT362" s="1109">
        <f t="shared" si="477"/>
        <v>0</v>
      </c>
      <c r="CU362" s="1101">
        <f t="shared" si="478"/>
        <v>210.73667651771427</v>
      </c>
      <c r="CV362" s="1108">
        <f t="shared" si="479"/>
        <v>267.26545541973331</v>
      </c>
      <c r="CW362" s="1097">
        <f t="shared" si="480"/>
        <v>210.73667651771427</v>
      </c>
      <c r="CX362" s="1097">
        <f t="shared" si="481"/>
        <v>210.73667651771427</v>
      </c>
      <c r="CY362" s="1110">
        <f t="shared" si="482"/>
        <v>210.73667651771427</v>
      </c>
      <c r="CZ362" s="437"/>
      <c r="DA362" s="438"/>
      <c r="DB362" s="439" t="s">
        <v>569</v>
      </c>
      <c r="DC362" s="439"/>
      <c r="DD362" s="443"/>
      <c r="DE362" s="411"/>
      <c r="DF362" s="411"/>
      <c r="DG362" s="1116">
        <f t="shared" si="483"/>
        <v>0</v>
      </c>
      <c r="DH362" s="1116">
        <f t="shared" si="484"/>
        <v>0</v>
      </c>
      <c r="DI362" s="1116">
        <f t="shared" si="485"/>
        <v>0</v>
      </c>
      <c r="DJ362" s="442">
        <f t="shared" si="486"/>
        <v>0</v>
      </c>
      <c r="DK362" s="1109">
        <f t="shared" si="487"/>
        <v>0</v>
      </c>
      <c r="DL362" s="1101">
        <f t="shared" si="488"/>
        <v>0</v>
      </c>
      <c r="DM362" s="1097">
        <f t="shared" si="489"/>
        <v>0</v>
      </c>
      <c r="DN362" s="1097">
        <f t="shared" si="490"/>
        <v>0</v>
      </c>
      <c r="DO362" s="1097">
        <f t="shared" si="491"/>
        <v>0</v>
      </c>
      <c r="DP362" s="1110">
        <f t="shared" si="492"/>
        <v>0</v>
      </c>
      <c r="DQ362" s="1113" t="s">
        <v>167</v>
      </c>
      <c r="DR362" s="1120">
        <f t="shared" si="493"/>
        <v>0.33</v>
      </c>
      <c r="DS362" s="1124">
        <v>5</v>
      </c>
      <c r="DT362" s="1093" t="s">
        <v>171</v>
      </c>
      <c r="DU362" s="1093" t="s">
        <v>544</v>
      </c>
      <c r="DV362" s="1098">
        <f>IF($P362="","N/A",IF(P362=-1,INDEX('卡片raw data'!AN:AN,MATCH(D362,'卡片raw data'!$F:$F,)),0)+IF(AND(L362&lt;&gt;"party卡",P362&lt;=2,P362&gt;=0),INDEX('卡片raw data'!AP:AP,MATCH(D362,'卡片raw data'!$F:$F,)),0)+IF(OR(AND(L362="party卡",P362&lt;=1),AND(P362&lt;=4,L362&lt;&gt;"party卡",P362&gt;=3)),INDEX('卡片raw data'!AQ:AQ,MATCH(D362,'卡片raw data'!$F:$F,)),0)+IF(OR(P362=5,AND(L362="party卡",P362&gt;=2)),INDEX('卡片raw data'!AR:AR,MATCH(D362,'卡片raw data'!$F:$F,)),0))</f>
        <v>7.1999999999999995E-2</v>
      </c>
      <c r="DW362" s="1098">
        <f t="shared" si="494"/>
        <v>0.33</v>
      </c>
      <c r="DX362" s="1098">
        <f t="shared" si="495"/>
        <v>0.33</v>
      </c>
      <c r="DY362" s="1098">
        <f t="shared" si="496"/>
        <v>2.6399999999999996E-2</v>
      </c>
      <c r="DZ362" s="1098">
        <f t="shared" si="497"/>
        <v>1.9981499999999999E-2</v>
      </c>
      <c r="EA362" s="1098">
        <f t="shared" si="498"/>
        <v>0</v>
      </c>
      <c r="EB362" s="1121">
        <f t="shared" si="499"/>
        <v>0</v>
      </c>
      <c r="EC362" s="1101">
        <f t="shared" si="500"/>
        <v>3589.9493923471459</v>
      </c>
      <c r="ED362" s="1097">
        <f t="shared" si="501"/>
        <v>131.18998253779688</v>
      </c>
      <c r="EE362" s="1110">
        <f t="shared" si="513"/>
        <v>3589.9493923471459</v>
      </c>
      <c r="EF362" s="1115" t="s">
        <v>569</v>
      </c>
      <c r="EG362" s="1120">
        <f t="shared" si="503"/>
        <v>0.33</v>
      </c>
      <c r="EH362" s="1124"/>
      <c r="EI362" s="1093"/>
      <c r="EJ362" s="1093"/>
      <c r="EK362" s="1097">
        <f>IF($P362="","N/A",IF(P362=-1,INDEX('卡片raw data'!AS:AS,MATCH(D362,'卡片raw data'!$F:$F,)),0)+IF(AND(L362&lt;&gt;"party卡",P362&lt;=2,P362&gt;=0),INDEX('卡片raw data'!AU:AU,MATCH(D362,'卡片raw data'!$F:$F,)),0)+IF(OR(AND(L362="party卡",P362&lt;=1),AND(P362&lt;=4,L362&lt;&gt;"party卡",P362&gt;=3)),INDEX('卡片raw data'!AV:AV,MATCH(D362,'卡片raw data'!$F:$F,)),0)+IF(OR(P362=5,AND(L362="party卡",P362&gt;=2)),INDEX('卡片raw data'!AW:AW,MATCH(D362,'卡片raw data'!$F:$F,)),0))</f>
        <v>0</v>
      </c>
      <c r="EL362" s="1098">
        <f t="shared" si="504"/>
        <v>0.33</v>
      </c>
      <c r="EM362" s="1098">
        <f t="shared" si="505"/>
        <v>0.33</v>
      </c>
      <c r="EN362" s="1097">
        <f t="shared" si="506"/>
        <v>0</v>
      </c>
      <c r="EO362" s="1097">
        <f t="shared" si="507"/>
        <v>0</v>
      </c>
      <c r="EP362" s="1098">
        <f t="shared" si="508"/>
        <v>0</v>
      </c>
      <c r="EQ362" s="1121">
        <f t="shared" si="509"/>
        <v>0</v>
      </c>
      <c r="ER362" s="1101">
        <f t="shared" si="510"/>
        <v>0</v>
      </c>
      <c r="ES362" s="1097">
        <f t="shared" si="511"/>
        <v>0</v>
      </c>
      <c r="ET362" s="1122">
        <f t="shared" si="514"/>
        <v>0</v>
      </c>
    </row>
    <row r="363" spans="2:150" ht="16.5" customHeight="1">
      <c r="B363" s="1123" t="str">
        <f>INDEX('卡片raw data'!B:B,MATCH($D363,'卡片raw data'!$F:$F,))</f>
        <v>四单露</v>
      </c>
      <c r="C363" s="449" t="s">
        <v>1745</v>
      </c>
      <c r="D363" s="408">
        <v>360</v>
      </c>
      <c r="E363" s="477">
        <v>401092003</v>
      </c>
      <c r="F363" s="1090" t="str">
        <f>INDEX('卡片raw data'!C:C,MATCH($D363,'卡片raw data'!$F:$F,))</f>
        <v>SR</v>
      </c>
      <c r="G363" s="1094" t="s">
        <v>1746</v>
      </c>
      <c r="H363" s="411">
        <f>IFERROR(INDEX(绊状态确认!C:C,MATCH($G363,绊状态确认!$B:$B,)),"")</f>
        <v>109</v>
      </c>
      <c r="I363" s="450" t="str">
        <f>IFERROR(INDEX(绊状态确认!D:D,MATCH($G363,绊状态确认!$B:$B,)),"")</f>
        <v>水</v>
      </c>
      <c r="J363" s="450" t="str">
        <f>IFERROR(INDEX(绊状态确认!E:E,MATCH($G363,绊状态确认!$B:$B,)),"")</f>
        <v>1年级</v>
      </c>
      <c r="K363" s="451" t="str">
        <f>IFERROR(INDEX(绊状态确认!F:F,MATCH($G363,绊状态确认!$B:$B,)),"")</f>
        <v>CYaRon!</v>
      </c>
      <c r="L363" s="1094" t="str">
        <f>INDEX('卡片raw data'!E:E,MATCH($D363,'卡片raw data'!$F:$F,))</f>
        <v>卡池卡</v>
      </c>
      <c r="M363" s="478">
        <v>44169</v>
      </c>
      <c r="N363" s="479">
        <v>29</v>
      </c>
      <c r="O363" s="1091" t="str">
        <f>INDEX('卡片raw data'!D:D,MATCH($D363,'卡片raw data'!$F:$F,))</f>
        <v>gd</v>
      </c>
      <c r="P363" s="1126">
        <v>5</v>
      </c>
      <c r="Q363" s="1095">
        <f t="shared" si="428"/>
        <v>20067.003153784124</v>
      </c>
      <c r="R363" s="1096">
        <f t="shared" si="429"/>
        <v>0.23300000000000001</v>
      </c>
      <c r="S363" s="1097">
        <f t="shared" si="430"/>
        <v>11803.300563854413</v>
      </c>
      <c r="T363" s="1098">
        <f t="shared" si="431"/>
        <v>0.59</v>
      </c>
      <c r="U363" s="1099">
        <f t="shared" si="432"/>
        <v>78.264031441377142</v>
      </c>
      <c r="V363" s="1100">
        <f t="shared" si="433"/>
        <v>27894.484257511285</v>
      </c>
      <c r="W363" s="1101">
        <f t="shared" si="434"/>
        <v>4507.7214871259994</v>
      </c>
      <c r="X363" s="1096">
        <f t="shared" si="435"/>
        <v>5.1999999999999998E-2</v>
      </c>
      <c r="Y363" s="1097">
        <f t="shared" si="436"/>
        <v>1421.2580366686652</v>
      </c>
      <c r="Z363" s="1102">
        <f t="shared" si="437"/>
        <v>17.514031441377142</v>
      </c>
      <c r="AA363" s="1103">
        <f t="shared" si="438"/>
        <v>5928.9795237946646</v>
      </c>
      <c r="AB363" s="1101">
        <f t="shared" si="439"/>
        <v>4507.7214871259994</v>
      </c>
      <c r="AC363" s="1104">
        <f t="shared" si="440"/>
        <v>5.1999999999999998E-2</v>
      </c>
      <c r="AD363" s="1105">
        <f t="shared" si="441"/>
        <v>-3.8207812500000026E-3</v>
      </c>
      <c r="AE363" s="1128">
        <f t="shared" si="442"/>
        <v>-18.525362318840578</v>
      </c>
      <c r="AF363" s="1130">
        <f t="shared" si="443"/>
        <v>0</v>
      </c>
      <c r="AG363" s="420">
        <f t="shared" si="444"/>
        <v>0</v>
      </c>
      <c r="AH363" s="420">
        <f t="shared" si="445"/>
        <v>0</v>
      </c>
      <c r="AI363" s="1097">
        <f t="shared" si="446"/>
        <v>0</v>
      </c>
      <c r="AJ363" s="420">
        <f t="shared" si="447"/>
        <v>0</v>
      </c>
      <c r="AK363" s="518">
        <f t="shared" si="448"/>
        <v>0</v>
      </c>
      <c r="AL363" s="1106">
        <f>IF($P363="","N/A",(IF($P363=-1,INDEX('卡片raw data'!S:S,MATCH($D363,'卡片raw data'!$F:$F,)),0)+IF($P363=0,INDEX('卡片raw data'!V:V,MATCH($D363,'卡片raw data'!$F:$F,)),0)+IF($P363=1,INDEX('卡片raw data'!Y:Y,MATCH($D363,'卡片raw data'!$F:$F,)),0)+IF($P363=2,INDEX('卡片raw data'!AB:AB,MATCH($D363,'卡片raw data'!$F:$F,)),0)+IF($P363=3,INDEX('卡片raw data'!AE:AE,MATCH($D363,'卡片raw data'!$F:$F,)),0)+IF($P363=4,INDEX('卡片raw data'!AH:AH,MATCH($D363,'卡片raw data'!$F:$F,)),0)+IF($P363=5,INDEX('卡片raw data'!AK:AK,MATCH($D363,'卡片raw data'!$F:$F,)),0)+INDEX('卡片raw data'!S:S,MATCH($D363,'卡片raw data'!$F:$F,))*(IF($F363="UR",0.04,0.033))*(IF($F363="UR",INDEX(绊状态确认!$S:$S,MATCH($G363,绊状态确认!$B:$B,))/2-40)+IF($F363="SR",INDEX(绊状态确认!$R:$R,MATCH($G363,绊状态确认!$B:$B,))/4-15))+IF($F363="R",INDEX(绊状态确认!$Q:$Q,MATCH($G363,绊状态确认!$B:$B,))/6-40/6)))*(INDEX(绊状态确认!$H:$H,MATCH($G363,绊状态确认!$B:$B,))+INDEX(绊状态确认!J:J,MATCH($G363,绊状态确认!$B:$B,)))</f>
        <v>6203.5507799999987</v>
      </c>
      <c r="AM363" s="1106">
        <f>IF($P363="","N/A",(IF($P363=-1,INDEX('卡片raw data'!T:T,MATCH($D363,'卡片raw data'!$F:$F,)),0)+IF($P363=0,INDEX('卡片raw data'!W:W,MATCH($D363,'卡片raw data'!$F:$F,)),0)+IF($P363=1,INDEX('卡片raw data'!Z:Z,MATCH($D363,'卡片raw data'!$F:$F,)),0)+IF($P363=2,INDEX('卡片raw data'!AC:AC,MATCH($D363,'卡片raw data'!$F:$F,)),0)+IF($P363=3,INDEX('卡片raw data'!AF:AF,MATCH($D363,'卡片raw data'!$F:$F,)),0)+IF($P363=4,INDEX('卡片raw data'!AI:AI,MATCH($D363,'卡片raw data'!$F:$F,)),0)+IF($P363=5,INDEX('卡片raw data'!AL:AL,MATCH($D363,'卡片raw data'!$F:$F,)),0)+INDEX('卡片raw data'!T:T,MATCH($D363,'卡片raw data'!$F:$F,))*(IF($F363="UR",0.04,0.033))*(IF($F363="UR",INDEX(绊状态确认!$S:$S,MATCH($G363,绊状态确认!$B:$B,))/2-40)+IF($F363="SR",INDEX(绊状态确认!$R:$R,MATCH($G363,绊状态确认!$B:$B,))/4-15))+IF($F363="R",INDEX(绊状态确认!$Q:$Q,MATCH($G363,绊状态确认!$B:$B,))/6-40/6)))*(INDEX(绊状态确认!$H:$H,MATCH($G363,绊状态确认!$B:$B,))+INDEX(绊状态确认!K:K,MATCH($G363,绊状态确认!$B:$B,)))</f>
        <v>8476.4439647999989</v>
      </c>
      <c r="AN363" s="1106">
        <f>IF($P363="","N/A",(IF($P363=-1,INDEX('卡片raw data'!U:U,MATCH($D363,'卡片raw data'!$F:$F,)),0)+IF($P363=0,INDEX('卡片raw data'!X:X,MATCH($D363,'卡片raw data'!$F:$F,)),0)+IF($P363=1,INDEX('卡片raw data'!AA:AA,MATCH($D363,'卡片raw data'!$F:$F,)),0)+IF($P363=2,INDEX('卡片raw data'!AD:AD,MATCH($D363,'卡片raw data'!$F:$F,)),0)+IF($P363=3,INDEX('卡片raw data'!AG:AG,MATCH($D363,'卡片raw data'!$F:$F,)),0)+IF($P363=4,INDEX('卡片raw data'!AJ:AJ,MATCH($D363,'卡片raw data'!$F:$F,)),0)+IF($P363=5,INDEX('卡片raw data'!AM:AM,MATCH($D363,'卡片raw data'!$F:$F,)),0)+INDEX('卡片raw data'!U:U,MATCH($D363,'卡片raw data'!$F:$F,))*(IF($F363="UR",0.04,0.033))*(IF($F363="UR",INDEX(绊状态确认!$S:$S,MATCH($G363,绊状态确认!$B:$B,))/2-40)+IF($F363="SR",INDEX(绊状态确认!$R:$R,MATCH($G363,绊状态确认!$B:$B,))/4-15))+IF($F363="R",INDEX(绊状态确认!$Q:$Q,MATCH($G363,绊状态确认!$B:$B,))/6-40/6)))*(INDEX(绊状态确认!$H:$H,MATCH($G363,绊状态确认!$B:$B,))+INDEX(绊状态确认!L:L,MATCH($G363,绊状态确认!$B:$B,)))</f>
        <v>5995.0236527999996</v>
      </c>
      <c r="AO363" s="1107">
        <f t="shared" si="449"/>
        <v>1</v>
      </c>
      <c r="AP363" s="1131">
        <f>1+(INDEX(绊状态确认!$T:$T,MATCH($G363,绊状态确认!$B:$B,))+0.2)*$AO363</f>
        <v>1.3</v>
      </c>
      <c r="AQ363" s="1108">
        <f t="shared" si="450"/>
        <v>19534.320797499997</v>
      </c>
      <c r="AR363" s="1097">
        <f>(AM363*(1+$EX$9)+$EX$35)*(1+(INDEX(绊状态确认!$T:$T,MATCH($G363,绊状态确认!$B:$B,))+0.2)*AO363)*IF(J363=$FF$17,1+$FE$17,1)*IF(I363=$FF$14,1+$FE$14,1)</f>
        <v>14274.346011952</v>
      </c>
      <c r="AS363" s="1097">
        <f>(AN363*(1+$EX$10)+$EX$36)*(1+(INDEX(绊状态确认!$T:$T,MATCH($G363,绊状态确认!$B:$B,))+0.2)*AO363)*IF(J363=$FF$17,1+$FE$17,1)*IF(I363=$FF$14,1+$FE$14,1)</f>
        <v>13018.560360936001</v>
      </c>
      <c r="AT363" s="1093">
        <f>IF(AND(INDEX('卡片raw data'!AK:AK,MATCH($D363,'卡片raw data'!$F:$F,))&lt;INDEX('卡片raw data'!AM:AM,MATCH($D363,'卡片raw data'!$F:$F,)),INDEX('卡片raw data'!AL:AL,MATCH($D363,'卡片raw data'!$F:$F,))&lt;INDEX('卡片raw data'!AM:AM,MATCH($D363,'卡片raw data'!$F:$F,))),1,0)</f>
        <v>0</v>
      </c>
      <c r="AU363" s="1098">
        <f>MIN(AT363*0.15+AS363*0.00003+INDEX(绊状态确认!M:M,MATCH($G363,绊状态确认!$B:$B,)),1)</f>
        <v>0.42055681082808005</v>
      </c>
      <c r="AV363" s="1109">
        <f>(INDEX(绊状态确认!$N:$N,MATCH($G363,绊状态确认!$B:$B,))+1.5)*$EW$21</f>
        <v>2.6599999999999997</v>
      </c>
      <c r="AW363" s="1101">
        <f t="shared" si="451"/>
        <v>17227.614999991456</v>
      </c>
      <c r="AX363" s="1097">
        <f t="shared" si="452"/>
        <v>1228.3733544576326</v>
      </c>
      <c r="AY363" s="1110">
        <f t="shared" si="453"/>
        <v>18455.988354449088</v>
      </c>
      <c r="AZ363" s="429">
        <f t="shared" si="454"/>
        <v>14696.924020999997</v>
      </c>
      <c r="BA363" s="431">
        <f t="shared" si="455"/>
        <v>17636.308825199994</v>
      </c>
      <c r="BB363" s="1097">
        <f>(AM363*(1+$FB$9)+$FB$35)*(1+(INDEX(绊状态确认!$T:$T,MATCH($G363,绊状态确认!$B:$B,))+0.2)*AO363)*IF(J363=$FF$17,1+$FE$17,1)*IF(I363=$FF$14,1+$FE$14,1)*(1+$FE$15)</f>
        <v>14274.346011952</v>
      </c>
      <c r="BC363" s="1097">
        <f>(AN363*(1+$FB$10)+$FB$36)*(1+(INDEX(绊状态确认!$T:$T,MATCH($G363,绊状态确认!$B:$B,))+0.2)*AO363)*IF(J363=$FF$17,1+$FE$17,1)*IF(I363=$FF$14,1+$FE$14,1)*(1+$FE$15)</f>
        <v>13018.560360936001</v>
      </c>
      <c r="BD363" s="1104">
        <f>MIN(AT363*0.15+BC363*0.00003+INDEX(绊状态确认!M:M,MATCH($G363,绊状态确认!$B:$B,)),1)</f>
        <v>0.42055681082808005</v>
      </c>
      <c r="BE363" s="432">
        <f>(INDEX(绊状态确认!$N:$N,MATCH($G363,绊状态确认!$B:$B,))+1.5)</f>
        <v>1.9</v>
      </c>
      <c r="BF363" s="1139">
        <f t="array" ref="BF363">SUMPRODUCT(IF(AZ363*AP363*$FI$16:$FI$23*$FA$22&gt;=$FI$24,$FI$24,AZ363*AP363*$FI$16:$FI$23*$FA$22),$FJ$16:$FJ$23)</f>
        <v>29232.181877768991</v>
      </c>
      <c r="BG363" s="1125">
        <f t="array" ref="BG363">SUMPRODUCT(IF(BE363*AZ363*AP363*$FI$16:$FI$23*$FA$22&gt;=$FI$24,$FI$24,BE363*AZ363*AP363*$FI$16:$FI$23*$FA$22),$FJ$16:$FJ$23)</f>
        <v>53938.388308551293</v>
      </c>
      <c r="BH363" s="1110">
        <f t="shared" si="456"/>
        <v>13207.515087319667</v>
      </c>
      <c r="BI363" s="1111">
        <f>IF(O363="vo",$EW$26/$EW$24*0.05,0)+IF(O363="sk",-$EW$26/$EW$24*(0.05-INDEX(绊状态确认!W:W,MATCH($G363,绊状态确认!$B:$B,)))+0.05*$EW$28,0)+IF(O363="sp",0.05*$EW$32*$EW$30*(1-$EW$33)-(0.05-INDEX(绊状态确认!V:V,MATCH($G363,绊状态确认!$B:$B,)))*$EW$28,0)+IF(O363="gd",-(0.05-INDEX(绊状态确认!X:X,MATCH($G363,绊状态确认!$B:$B,)))*$EW$32*$EW$30*(1-$EW$33),0)</f>
        <v>-585.00000000000011</v>
      </c>
      <c r="BJ363" s="1097">
        <f>IF(O363="vo",0.05*(1-$FI$26)*$FA$24,0)+IF(O363="sk",-(0.05-INDEX(绊状态确认!W:W,MATCH($G363,绊状态确认!$B:$B,)))*(1-$FI$26)*$FA$24+0.05*$FA$26,0)+IF(O363="sp",0.05*$FA$32*$FA$27*(1-$FA$33)/$FA$30+0.05*$FA$29/$FA$69*$FA$27*(1-$FA$33)-(0.05-INDEX(绊状态确认!V:V,MATCH($G363,绊状态确认!$B:$B,)))*$FA$26,0)+IF(O363="gd",-(0.05-INDEX(绊状态确认!X:X,MATCH($G363,绊状态确认!$B:$B,)))*$FA$32*$FA$27*(1-$FA$33)/$FA$30-(0.05-INDEX(绊状态确认!X:X,MATCH($G363,绊状态确认!$B:$B,)))*$FA$29/$FA$69*$FA$27*(1-$FA$33),0)</f>
        <v>-795.00000000000011</v>
      </c>
      <c r="BK363" s="1110">
        <f>IF(O363="vo",$EW$26/$EW$24*0.05+$EW$26*(-HP($EW$62,$EW$65,$EW$64)+HP($EW$62,$EW$65,(1.05-INDEX(绊状态确认!U:U,MATCH($G363,绊状态确认!$B:$B,)))*$EW$64)),0)+IF(O363="sk",-$EW$26/$EW$24*(0.05-INDEX(绊状态确认!W:W,MATCH($G363,绊状态确认!$B:$B,)))+0.05*$EW$29,0)+IF(O363="sp",0.05*$EW$32*$EW$30*(1-$EW$33)-(0.05-INDEX(绊状态确认!V:V,MATCH($G363,绊状态确认!$B:$B,)))*$EW$29,0)+IF(O363="gd",-(0.05-INDEX(绊状态确认!X:X,MATCH($G363,绊状态确认!$B:$B,)))*$EW$32*$EW$30*(1-$EW$33)+$EW$26*(-HP($EW$62,$EW$65,$EW$64)+HP($EW$62,$EW$65,0.95*$EW$64)),0)</f>
        <v>1009.5947725176144</v>
      </c>
      <c r="BL363" s="1111">
        <f t="shared" si="457"/>
        <v>-1083.3333333333333</v>
      </c>
      <c r="BM363" s="1110">
        <f t="shared" si="458"/>
        <v>-830.55555555555543</v>
      </c>
      <c r="BN363" s="1113">
        <f t="shared" si="459"/>
        <v>3</v>
      </c>
      <c r="BO363" s="1108">
        <f t="shared" si="460"/>
        <v>4507.7214871259994</v>
      </c>
      <c r="BP363" s="1100">
        <f t="shared" si="461"/>
        <v>221.34103209030098</v>
      </c>
      <c r="BQ363" s="1113" t="s">
        <v>133</v>
      </c>
      <c r="BR363" s="1124" t="s">
        <v>168</v>
      </c>
      <c r="BS363" s="1098">
        <f>IF($P363="","N/A",IF($P363=-1,INDEX('卡片raw data'!AX:AX,MATCH($D363,'卡片raw data'!$F:$F,)),0)+IF($L363="party卡",IF($P363=5,INDEX('卡片raw data'!BD:BD,MATCH($D363,'卡片raw data'!$F:$F,)),IF($P363&gt;=3,INDEX('卡片raw data'!BC:BC,MATCH($D363,'卡片raw data'!$F:$F,)),INDEX('卡片raw data'!BB:BB,MATCH($D363,'卡片raw data'!$F:$F,)))),IF(OR(AND($F363="UR",$P363=0),AND($F363="SR",$P363&gt;=0,$P363&lt;=2),AND($F363="R",$P363&gt;=0,$P363&lt;4)),INDEX('卡片raw data'!AZ:AZ,MATCH($D363,'卡片raw data'!$F:$F,)),0)+IF(OR(AND($F363="UR",$P363&gt;=1,$P363&lt;=4),AND($F363="SR",$P363&lt;=4,$P363&gt;=3),AND($F363="R",$P363=4)),INDEX('卡片raw data'!BA:BA,MATCH($D363,'卡片raw data'!$F:$F,)),0)+IF($P363=5,INDEX('卡片raw data'!BB:BB,MATCH($D363,'卡片raw data'!$F:$F,)),0)))</f>
        <v>0.05</v>
      </c>
      <c r="BT363" s="1101">
        <f t="shared" si="462"/>
        <v>0</v>
      </c>
      <c r="BU363" s="1097">
        <f t="shared" si="463"/>
        <v>0</v>
      </c>
      <c r="BV363" s="1097">
        <f t="shared" si="464"/>
        <v>0</v>
      </c>
      <c r="BW363" s="1112">
        <f t="shared" si="465"/>
        <v>1.7558035714285711</v>
      </c>
      <c r="BX363" s="1100">
        <f t="shared" si="466"/>
        <v>137.19019421334193</v>
      </c>
      <c r="BY363" s="1110">
        <f t="shared" si="467"/>
        <v>137.19019421334193</v>
      </c>
      <c r="BZ363" s="1113" t="s">
        <v>569</v>
      </c>
      <c r="CA363" s="1124"/>
      <c r="CB363" s="1098">
        <f>IF($P363="","N/A",IF($P363=-1,INDEX('卡片raw data'!BE:BE,MATCH($D363,'卡片raw data'!$F:$F,)),0)+IF($L363="party卡",IF($P363=5,INDEX('卡片raw data'!BK:BK,MATCH($D363,'卡片raw data'!$F:$F,)),IF($P363&gt;=3,INDEX('卡片raw data'!BJ:BJ,MATCH($D363,'卡片raw data'!$F:$F,)),INDEX('卡片raw data'!BI:BI,MATCH($D363,'卡片raw data'!$F:$F,)))),IF(OR(AND($F363="UR",$P363=0),AND($F363="SR",$P363&gt;=0,$P363&lt;=2),AND($F363="R",$P363&gt;=0,$P363&lt;4)),INDEX('卡片raw data'!BG:BG,MATCH($D363,'卡片raw data'!$F:$F,)),0)+IF(OR(AND($F363="UR",$P363&gt;=1,$P363&lt;=4),AND($F363="SR",$P363&lt;=4,$P363&gt;=3),AND($F363="R",$P363=4)),INDEX('卡片raw data'!BH:BH,MATCH($D363,'卡片raw data'!$F:$F,)),0)+IF($P363=5,INDEX('卡片raw data'!BI:BI,MATCH($D363,'卡片raw data'!$F:$F,)),0)))</f>
        <v>0</v>
      </c>
      <c r="CC363" s="1101">
        <f t="shared" si="468"/>
        <v>0</v>
      </c>
      <c r="CD363" s="1097">
        <f>IF(BZ363="ap",CB363*(1-$FI$26)*$FB$5/$FB$11*(+IF(CA363="全员",$FA$24,0)+IF(CA363="同作战",$FA$24,0)+IF(CA363="仲间",$FA$24*2/3,0)+IF(CA363="同属性",$FA$24*$FA$37/3,0)+IF(CA363="同年级",$FA$24*$FA$40/3,0)+IF(CA363="同学校",$FA$24*$FA$43/3,0)+IF(CA363="同小队",$FA$24*$FA$46/3,0)+IF(CA363="同type",$FA$24*INDEX($FB$49:$FB$52,MATCH(X363,$FA$49:$FA$52,))/3,0)+IF(CA363="自身",#REF!/3,0)),0)+IF(BZ363="te",CB363*(1-$FI$27)*($FA$20-1)*$FB$7/$FB$13*(+IF(CA363="全员",$FA$19*$FA$24/(1+($FA$20-1)*$FA$19),0)+IF(CA363="同作战",$FA$19*$FA$24/(1+($FA$20-1)*$FA$19),0)+IF(CA363="仲间",$FA$19*$FA$24*2/3/(1+($FA$20-1)*$FA$19),0)+IF(CA363="同属性",$FA$19*$FA$24*$FA$37/3/(1+($FA$20-1)*$FA$19),0)+IF(CA363="同年级",$FA$19*$FA$24*$FA$40/3/(1+($FA$20-1)*$FA$19),0)+IF(CA363="同学校",$FA$19*$FA$24*$FA$43/3/(1+($FA$20-1)*$FA$19),0)+IF(CA363="同小队",$FA$19*$FA$24*$FA$46/3/(1+($FA$20-1)*$FA$19),0)+IF(CA363="同type",$FA$19*$FA$24*INDEX($FB$49:$FB$52,MATCH(X363,$FA$49:$FA$52,))/3/(1+($FA$20-1)*$FA$19),0)+IF(CA363="自身",$FA$19*#REF!/3/(1+(BH363-1)*$BD363),0)),0)</f>
        <v>0</v>
      </c>
      <c r="CE363" s="1097">
        <f t="shared" si="469"/>
        <v>0</v>
      </c>
      <c r="CF363" s="1112">
        <f t="shared" si="470"/>
        <v>0</v>
      </c>
      <c r="CG363" s="1100">
        <f t="shared" si="471"/>
        <v>0</v>
      </c>
      <c r="CH363" s="1110">
        <f t="shared" si="472"/>
        <v>0</v>
      </c>
      <c r="CI363" s="1113" t="s">
        <v>170</v>
      </c>
      <c r="CJ363" s="1114">
        <v>1</v>
      </c>
      <c r="CK363" s="1115" t="s">
        <v>556</v>
      </c>
      <c r="CL363" s="1115" t="s">
        <v>161</v>
      </c>
      <c r="CM363" s="1119">
        <v>0.08</v>
      </c>
      <c r="CN363" s="1115">
        <v>5</v>
      </c>
      <c r="CO363" s="1115">
        <v>2</v>
      </c>
      <c r="CP363" s="1118">
        <f t="shared" si="473"/>
        <v>1.4285714285714286E-3</v>
      </c>
      <c r="CQ363" s="1118">
        <f t="shared" si="474"/>
        <v>2.2222222222222222E-3</v>
      </c>
      <c r="CR363" s="1118">
        <f t="shared" si="475"/>
        <v>1.4285714285714286E-3</v>
      </c>
      <c r="CS363" s="1118">
        <f t="shared" si="476"/>
        <v>0</v>
      </c>
      <c r="CT363" s="1109">
        <f t="shared" si="477"/>
        <v>0</v>
      </c>
      <c r="CU363" s="1101">
        <f t="shared" si="478"/>
        <v>0</v>
      </c>
      <c r="CV363" s="1108">
        <f t="shared" si="479"/>
        <v>0</v>
      </c>
      <c r="CW363" s="1097">
        <f t="shared" si="480"/>
        <v>0</v>
      </c>
      <c r="CX363" s="1097">
        <f t="shared" si="481"/>
        <v>55.694487997690459</v>
      </c>
      <c r="CY363" s="1110">
        <f t="shared" si="482"/>
        <v>55.694487997690459</v>
      </c>
      <c r="CZ363" s="437"/>
      <c r="DA363" s="438"/>
      <c r="DB363" s="439" t="s">
        <v>569</v>
      </c>
      <c r="DC363" s="439"/>
      <c r="DD363" s="443"/>
      <c r="DE363" s="411"/>
      <c r="DF363" s="411"/>
      <c r="DG363" s="1116">
        <f t="shared" si="483"/>
        <v>0</v>
      </c>
      <c r="DH363" s="1116">
        <f t="shared" si="484"/>
        <v>0</v>
      </c>
      <c r="DI363" s="1116">
        <f t="shared" si="485"/>
        <v>0</v>
      </c>
      <c r="DJ363" s="442">
        <f t="shared" si="486"/>
        <v>0</v>
      </c>
      <c r="DK363" s="1109">
        <f t="shared" si="487"/>
        <v>0</v>
      </c>
      <c r="DL363" s="1101">
        <f t="shared" si="488"/>
        <v>0</v>
      </c>
      <c r="DM363" s="1097">
        <f t="shared" si="489"/>
        <v>0</v>
      </c>
      <c r="DN363" s="1097">
        <f t="shared" si="490"/>
        <v>0</v>
      </c>
      <c r="DO363" s="1097">
        <f t="shared" si="491"/>
        <v>0</v>
      </c>
      <c r="DP363" s="1110">
        <f t="shared" si="492"/>
        <v>0</v>
      </c>
      <c r="DQ363" s="1113" t="s">
        <v>556</v>
      </c>
      <c r="DR363" s="1120">
        <f t="shared" si="493"/>
        <v>0.3</v>
      </c>
      <c r="DS363" s="1124">
        <v>5</v>
      </c>
      <c r="DT363" s="1093" t="s">
        <v>161</v>
      </c>
      <c r="DU363" s="1093" t="s">
        <v>544</v>
      </c>
      <c r="DV363" s="1098">
        <f>IF($P363="","N/A",IF(P363=-1,INDEX('卡片raw data'!AN:AN,MATCH(D363,'卡片raw data'!$F:$F,)),0)+IF(AND(L363&lt;&gt;"party卡",P363&lt;=2,P363&gt;=0),INDEX('卡片raw data'!AP:AP,MATCH(D363,'卡片raw data'!$F:$F,)),0)+IF(OR(AND(L363="party卡",P363&lt;=1),AND(P363&lt;=4,L363&lt;&gt;"party卡",P363&gt;=3)),INDEX('卡片raw data'!AQ:AQ,MATCH(D363,'卡片raw data'!$F:$F,)),0)+IF(OR(P363=5,AND(L363="party卡",P363&gt;=2)),INDEX('卡片raw data'!AR:AR,MATCH(D363,'卡片raw data'!$F:$F,)),0))</f>
        <v>0.22</v>
      </c>
      <c r="DW363" s="1098">
        <f t="shared" si="494"/>
        <v>0.3</v>
      </c>
      <c r="DX363" s="1098">
        <f t="shared" si="495"/>
        <v>0.3</v>
      </c>
      <c r="DY363" s="1098">
        <f t="shared" si="496"/>
        <v>0.11000000000000001</v>
      </c>
      <c r="DZ363" s="1098">
        <f t="shared" si="497"/>
        <v>9.5150000000000012E-2</v>
      </c>
      <c r="EA363" s="1098">
        <f t="shared" si="498"/>
        <v>0</v>
      </c>
      <c r="EB363" s="1121">
        <f t="shared" si="499"/>
        <v>0</v>
      </c>
      <c r="EC363" s="1101">
        <f t="shared" si="500"/>
        <v>0</v>
      </c>
      <c r="ED363" s="1097">
        <f t="shared" si="501"/>
        <v>0</v>
      </c>
      <c r="EE363" s="1110">
        <f t="shared" si="513"/>
        <v>4811.6282945408811</v>
      </c>
      <c r="EF363" s="1115" t="s">
        <v>569</v>
      </c>
      <c r="EG363" s="1120">
        <f t="shared" si="503"/>
        <v>0.3</v>
      </c>
      <c r="EH363" s="1124"/>
      <c r="EI363" s="1093"/>
      <c r="EJ363" s="1093"/>
      <c r="EK363" s="1097">
        <f>IF($P363="","N/A",IF(P363=-1,INDEX('卡片raw data'!AS:AS,MATCH(D363,'卡片raw data'!$F:$F,)),0)+IF(AND(L363&lt;&gt;"party卡",P363&lt;=2,P363&gt;=0),INDEX('卡片raw data'!AU:AU,MATCH(D363,'卡片raw data'!$F:$F,)),0)+IF(OR(AND(L363="party卡",P363&lt;=1),AND(P363&lt;=4,L363&lt;&gt;"party卡",P363&gt;=3)),INDEX('卡片raw data'!AV:AV,MATCH(D363,'卡片raw data'!$F:$F,)),0)+IF(OR(P363=5,AND(L363="party卡",P363&gt;=2)),INDEX('卡片raw data'!AW:AW,MATCH(D363,'卡片raw data'!$F:$F,)),0))</f>
        <v>0</v>
      </c>
      <c r="EL363" s="1098">
        <f t="shared" si="504"/>
        <v>0.3</v>
      </c>
      <c r="EM363" s="1098">
        <f t="shared" si="505"/>
        <v>0.3</v>
      </c>
      <c r="EN363" s="1097">
        <f t="shared" si="506"/>
        <v>0</v>
      </c>
      <c r="EO363" s="1097">
        <f t="shared" si="507"/>
        <v>0</v>
      </c>
      <c r="EP363" s="1098">
        <f t="shared" si="508"/>
        <v>0</v>
      </c>
      <c r="EQ363" s="1121">
        <f t="shared" si="509"/>
        <v>0</v>
      </c>
      <c r="ER363" s="1101">
        <f t="shared" si="510"/>
        <v>0</v>
      </c>
      <c r="ES363" s="1097">
        <f t="shared" si="511"/>
        <v>0</v>
      </c>
      <c r="ET363" s="1122">
        <f t="shared" si="514"/>
        <v>0</v>
      </c>
    </row>
    <row r="364" spans="2:150" ht="16.5" customHeight="1">
      <c r="B364" s="1123" t="str">
        <f>INDEX('卡片raw data'!B:B,MATCH($D364,'卡片raw data'!$F:$F,))</f>
        <v>圣诞菜</v>
      </c>
      <c r="C364" s="449" t="s">
        <v>1739</v>
      </c>
      <c r="D364" s="408">
        <v>361</v>
      </c>
      <c r="E364" s="477">
        <v>402073003</v>
      </c>
      <c r="F364" s="1090" t="str">
        <f>INDEX('卡片raw data'!C:C,MATCH($D364,'卡片raw data'!$F:$F,))</f>
        <v>UR</v>
      </c>
      <c r="G364" s="1094" t="s">
        <v>1738</v>
      </c>
      <c r="H364" s="411">
        <f>IFERROR(INDEX(绊状态确认!C:C,MATCH($G364,绊状态确认!$B:$B,)),"")</f>
        <v>207</v>
      </c>
      <c r="I364" s="1124" t="str">
        <f>IFERROR(INDEX(绊状态确认!D:D,MATCH($G364,绊状态确认!$B:$B,)),"")</f>
        <v>虹</v>
      </c>
      <c r="J364" s="1124" t="str">
        <f>IFERROR(INDEX(绊状态确认!E:E,MATCH($G364,绊状态确认!$B:$B,)),"")</f>
        <v>2年级</v>
      </c>
      <c r="K364" s="451" t="str">
        <f>IFERROR(INDEX(绊状态确认!F:F,MATCH($G364,绊状态确认!$B:$B,)),"")</f>
        <v>A·ZU·NA</v>
      </c>
      <c r="L364" s="1094" t="str">
        <f>INDEX('卡片raw data'!E:E,MATCH($D364,'卡片raw data'!$F:$F,))</f>
        <v>卡池卡</v>
      </c>
      <c r="M364" s="478">
        <v>44169</v>
      </c>
      <c r="N364" s="479">
        <v>29</v>
      </c>
      <c r="O364" s="1091" t="str">
        <f>INDEX('卡片raw data'!D:D,MATCH($D364,'卡片raw data'!$F:$F,))</f>
        <v>sp</v>
      </c>
      <c r="P364" s="1126">
        <v>5</v>
      </c>
      <c r="Q364" s="1095">
        <f t="shared" si="428"/>
        <v>46719.744330751295</v>
      </c>
      <c r="R364" s="1096">
        <f t="shared" si="429"/>
        <v>0.54300000000000004</v>
      </c>
      <c r="S364" s="1097">
        <f t="shared" si="430"/>
        <v>22411.009096209087</v>
      </c>
      <c r="T364" s="1098">
        <f t="shared" si="431"/>
        <v>1.1200000000000001</v>
      </c>
      <c r="U364" s="1099">
        <f t="shared" si="432"/>
        <v>20.134320565542854</v>
      </c>
      <c r="V364" s="1100">
        <f t="shared" si="433"/>
        <v>46553.197472897271</v>
      </c>
      <c r="W364" s="1101">
        <f t="shared" si="434"/>
        <v>4757.5917146577849</v>
      </c>
      <c r="X364" s="1096">
        <f t="shared" si="435"/>
        <v>5.5E-2</v>
      </c>
      <c r="Y364" s="1097">
        <f t="shared" si="436"/>
        <v>1633.4531421459742</v>
      </c>
      <c r="Z364" s="1102">
        <f t="shared" si="437"/>
        <v>20.134320565542854</v>
      </c>
      <c r="AA364" s="1103">
        <f t="shared" si="438"/>
        <v>6391.0448568037591</v>
      </c>
      <c r="AB364" s="1101">
        <f t="shared" si="439"/>
        <v>6191.7442058154538</v>
      </c>
      <c r="AC364" s="1104">
        <f t="shared" si="440"/>
        <v>7.0999999999999994E-2</v>
      </c>
      <c r="AD364" s="1105">
        <f t="shared" si="441"/>
        <v>-1.6087500000000001E-2</v>
      </c>
      <c r="AE364" s="1128">
        <f t="shared" si="442"/>
        <v>76.703308831948249</v>
      </c>
      <c r="AF364" s="1130">
        <f t="shared" si="443"/>
        <v>0</v>
      </c>
      <c r="AG364" s="420">
        <f t="shared" si="444"/>
        <v>0</v>
      </c>
      <c r="AH364" s="420">
        <f t="shared" si="445"/>
        <v>0</v>
      </c>
      <c r="AI364" s="1097">
        <f t="shared" si="446"/>
        <v>0</v>
      </c>
      <c r="AJ364" s="420">
        <f t="shared" si="447"/>
        <v>0</v>
      </c>
      <c r="AK364" s="518">
        <f t="shared" si="448"/>
        <v>0</v>
      </c>
      <c r="AL364" s="1106">
        <f>IF($P364="","N/A",(IF($P364=-1,INDEX('卡片raw data'!S:S,MATCH($D364,'卡片raw data'!$F:$F,)),0)+IF($P364=0,INDEX('卡片raw data'!V:V,MATCH($D364,'卡片raw data'!$F:$F,)),0)+IF($P364=1,INDEX('卡片raw data'!Y:Y,MATCH($D364,'卡片raw data'!$F:$F,)),0)+IF($P364=2,INDEX('卡片raw data'!AB:AB,MATCH($D364,'卡片raw data'!$F:$F,)),0)+IF($P364=3,INDEX('卡片raw data'!AE:AE,MATCH($D364,'卡片raw data'!$F:$F,)),0)+IF($P364=4,INDEX('卡片raw data'!AH:AH,MATCH($D364,'卡片raw data'!$F:$F,)),0)+IF($P364=5,INDEX('卡片raw data'!AK:AK,MATCH($D364,'卡片raw data'!$F:$F,)),0)+INDEX('卡片raw data'!S:S,MATCH($D364,'卡片raw data'!$F:$F,))*(IF($F364="UR",0.04,0.033))*(IF($F364="UR",INDEX(绊状态确认!$S:$S,MATCH($G364,绊状态确认!$B:$B,))/2-40)+IF($F364="SR",INDEX(绊状态确认!$R:$R,MATCH($G364,绊状态确认!$B:$B,))/4-15))+IF($F364="R",INDEX(绊状态确认!$Q:$Q,MATCH($G364,绊状态确认!$B:$B,))/6-40/6)))*(INDEX(绊状态确认!$H:$H,MATCH($G364,绊状态确认!$B:$B,))+INDEX(绊状态确认!J:J,MATCH($G364,绊状态确认!$B:$B,)))</f>
        <v>12125.61528</v>
      </c>
      <c r="AM364" s="1106">
        <f>IF($P364="","N/A",(IF($P364=-1,INDEX('卡片raw data'!T:T,MATCH($D364,'卡片raw data'!$F:$F,)),0)+IF($P364=0,INDEX('卡片raw data'!W:W,MATCH($D364,'卡片raw data'!$F:$F,)),0)+IF($P364=1,INDEX('卡片raw data'!Z:Z,MATCH($D364,'卡片raw data'!$F:$F,)),0)+IF($P364=2,INDEX('卡片raw data'!AC:AC,MATCH($D364,'卡片raw data'!$F:$F,)),0)+IF($P364=3,INDEX('卡片raw data'!AF:AF,MATCH($D364,'卡片raw data'!$F:$F,)),0)+IF($P364=4,INDEX('卡片raw data'!AI:AI,MATCH($D364,'卡片raw data'!$F:$F,)),0)+IF($P364=5,INDEX('卡片raw data'!AL:AL,MATCH($D364,'卡片raw data'!$F:$F,)),0)+INDEX('卡片raw data'!T:T,MATCH($D364,'卡片raw data'!$F:$F,))*(IF($F364="UR",0.04,0.033))*(IF($F364="UR",INDEX(绊状态确认!$S:$S,MATCH($G364,绊状态确认!$B:$B,))/2-40)+IF($F364="SR",INDEX(绊状态确认!$R:$R,MATCH($G364,绊状态确认!$B:$B,))/4-15))+IF($F364="R",INDEX(绊状态确认!$Q:$Q,MATCH($G364,绊状态确认!$B:$B,))/6-40/6)))*(INDEX(绊状态确认!$H:$H,MATCH($G364,绊状态确认!$B:$B,))+INDEX(绊状态确认!K:K,MATCH($G364,绊状态确认!$B:$B,)))</f>
        <v>11786.104415999998</v>
      </c>
      <c r="AN364" s="1106">
        <f>IF($P364="","N/A",(IF($P364=-1,INDEX('卡片raw data'!U:U,MATCH($D364,'卡片raw data'!$F:$F,)),0)+IF($P364=0,INDEX('卡片raw data'!X:X,MATCH($D364,'卡片raw data'!$F:$F,)),0)+IF($P364=1,INDEX('卡片raw data'!AA:AA,MATCH($D364,'卡片raw data'!$F:$F,)),0)+IF($P364=2,INDEX('卡片raw data'!AD:AD,MATCH($D364,'卡片raw data'!$F:$F,)),0)+IF($P364=3,INDEX('卡片raw data'!AG:AG,MATCH($D364,'卡片raw data'!$F:$F,)),0)+IF($P364=4,INDEX('卡片raw data'!AJ:AJ,MATCH($D364,'卡片raw data'!$F:$F,)),0)+IF($P364=5,INDEX('卡片raw data'!AM:AM,MATCH($D364,'卡片raw data'!$F:$F,)),0)+INDEX('卡片raw data'!U:U,MATCH($D364,'卡片raw data'!$F:$F,))*(IF($F364="UR",0.04,0.033))*(IF($F364="UR",INDEX(绊状态确认!$S:$S,MATCH($G364,绊状态确认!$B:$B,))/2-40)+IF($F364="SR",INDEX(绊状态确认!$R:$R,MATCH($G364,绊状态确认!$B:$B,))/4-15))+IF($F364="R",INDEX(绊状态确认!$Q:$Q,MATCH($G364,绊状态确认!$B:$B,))/6-40/6)))*(INDEX(绊状态确认!$H:$H,MATCH($G364,绊状态确认!$B:$B,))+INDEX(绊状态确认!L:L,MATCH($G364,绊状态确认!$B:$B,)))</f>
        <v>9766.5397919999996</v>
      </c>
      <c r="AO364" s="1107">
        <f t="shared" si="449"/>
        <v>1</v>
      </c>
      <c r="AP364" s="1131">
        <f>1+(INDEX(绊状态确认!$T:$T,MATCH($G364,绊状态确认!$B:$B,))+0.2)*$AO364</f>
        <v>1.3</v>
      </c>
      <c r="AQ364" s="1108">
        <f t="shared" si="450"/>
        <v>35079.740109999999</v>
      </c>
      <c r="AR364" s="1097">
        <f>(AM364*(1+$EX$9)+$EX$35)*(1+(INDEX(绊状态确认!$T:$T,MATCH($G364,绊状态确认!$B:$B,))+0.2)*AO364)*IF(J364=$FF$17,1+$FE$17,1)*IF(I364=$FF$14,1+$FE$14,1)</f>
        <v>18792.032527839998</v>
      </c>
      <c r="AS364" s="1097">
        <f>(AN364*(1+$EX$10)+$EX$36)*(1+(INDEX(绊状态确认!$T:$T,MATCH($G364,绊状态确认!$B:$B,))+0.2)*AO364)*IF(J364=$FF$17,1+$FE$17,1)*IF(I364=$FF$14,1+$FE$14,1)</f>
        <v>18656.976989039998</v>
      </c>
      <c r="AT364" s="1093">
        <f>IF(AND(INDEX('卡片raw data'!AK:AK,MATCH($D364,'卡片raw data'!$F:$F,))&lt;INDEX('卡片raw data'!AM:AM,MATCH($D364,'卡片raw data'!$F:$F,)),INDEX('卡片raw data'!AL:AL,MATCH($D364,'卡片raw data'!$F:$F,))&lt;INDEX('卡片raw data'!AM:AM,MATCH($D364,'卡片raw data'!$F:$F,))),1,0)</f>
        <v>0</v>
      </c>
      <c r="AU364" s="1098">
        <f>MIN(AT364*0.15+AS364*0.00003+INDEX(绊状态确认!M:M,MATCH($G364,绊状态确认!$B:$B,)),1)</f>
        <v>0.58970930967119994</v>
      </c>
      <c r="AV364" s="1109">
        <f>(INDEX(绊状态确认!$N:$N,MATCH($G364,绊状态确认!$B:$B,))+1.5)*$EW$21</f>
        <v>2.6599999999999997</v>
      </c>
      <c r="AW364" s="1101">
        <f t="shared" si="451"/>
        <v>36053.000124935839</v>
      </c>
      <c r="AX364" s="1097">
        <f t="shared" si="452"/>
        <v>1633.4531421459744</v>
      </c>
      <c r="AY364" s="1110">
        <f t="shared" si="453"/>
        <v>37686.453267081815</v>
      </c>
      <c r="AZ364" s="429">
        <f t="shared" si="454"/>
        <v>26244.949796000001</v>
      </c>
      <c r="BA364" s="431">
        <f t="shared" si="455"/>
        <v>31493.939755200001</v>
      </c>
      <c r="BB364" s="1097">
        <f>(AM364*(1+$FB$9)+$FB$35)*(1+(INDEX(绊状态确认!$T:$T,MATCH($G364,绊状态确认!$B:$B,))+0.2)*AO364)*IF(J364=$FF$17,1+$FE$17,1)*IF(I364=$FF$14,1+$FE$14,1)*(1+$FE$15)</f>
        <v>18792.032527839998</v>
      </c>
      <c r="BC364" s="1097">
        <f>(AN364*(1+$FB$10)+$FB$36)*(1+(INDEX(绊状态确认!$T:$T,MATCH($G364,绊状态确认!$B:$B,))+0.2)*AO364)*IF(J364=$FF$17,1+$FE$17,1)*IF(I364=$FF$14,1+$FE$14,1)*(1+$FE$15)</f>
        <v>18656.976989039998</v>
      </c>
      <c r="BD364" s="1104">
        <f>MIN(AT364*0.15+BC364*0.00003+INDEX(绊状态确认!M:M,MATCH($G364,绊状态确认!$B:$B,)),1)</f>
        <v>0.58970930967119994</v>
      </c>
      <c r="BE364" s="432">
        <f>(INDEX(绊状态确认!$N:$N,MATCH($G364,绊状态确认!$B:$B,))+1.5)</f>
        <v>1.9</v>
      </c>
      <c r="BF364" s="1139">
        <f t="array" ref="BF364">SUMPRODUCT(IF(AZ364*AP364*$FI$16:$FI$23*$FA$22&gt;=$FI$24,$FI$24,AZ364*AP364*$FI$16:$FI$23*$FA$22),$FJ$16:$FJ$23)</f>
        <v>51577.384292368006</v>
      </c>
      <c r="BG364" s="1125">
        <f t="array" ref="BG364">SUMPRODUCT(IF(BE364*AZ364*AP364*$FI$16:$FI$23*$FA$22&gt;=$FI$24,$FI$24,BE364*AZ364*AP364*$FI$16:$FI$23*$FA$22),$FJ$16:$FJ$23)</f>
        <v>60000</v>
      </c>
      <c r="BH364" s="1110">
        <f t="shared" si="456"/>
        <v>18848.093062313823</v>
      </c>
      <c r="BI364" s="1111">
        <f>IF(O364="vo",$EW$26/$EW$24*0.05,0)+IF(O364="sk",-$EW$26/$EW$24*(0.05-INDEX(绊状态确认!W:W,MATCH($G364,绊状态确认!$B:$B,)))+0.05*$EW$28,0)+IF(O364="sp",0.05*$EW$32*$EW$30*(1-$EW$33)-(0.05-INDEX(绊状态确认!V:V,MATCH($G364,绊状态确认!$B:$B,)))*$EW$28,0)+IF(O364="gd",-(0.05-INDEX(绊状态确认!X:X,MATCH($G364,绊状态确认!$B:$B,)))*$EW$32*$EW$30*(1-$EW$33),0)</f>
        <v>19.999999999999886</v>
      </c>
      <c r="BJ364" s="1097">
        <f>IF(O364="vo",0.05*(1-$FI$26)*$FA$24,0)+IF(O364="sk",-(0.05-INDEX(绊状态确认!W:W,MATCH($G364,绊状态确认!$B:$B,)))*(1-$FI$26)*$FA$24+0.05*$FA$26,0)+IF(O364="sp",0.05*$FA$32*$FA$27*(1-$FA$33)/$FA$30+0.05*$FA$29/$FA$69*$FA$27*(1-$FA$33)-(0.05-INDEX(绊状态确认!V:V,MATCH($G364,绊状态确认!$B:$B,)))*$FA$26,0)+IF(O364="gd",-(0.05-INDEX(绊状态确认!X:X,MATCH($G364,绊状态确认!$B:$B,)))*$FA$32*$FA$27*(1-$FA$33)/$FA$30-(0.05-INDEX(绊状态确认!X:X,MATCH($G364,绊状态确认!$B:$B,)))*$FA$29/$FA$69*$FA$27*(1-$FA$33),0)</f>
        <v>545.83333333333326</v>
      </c>
      <c r="BK364" s="1110">
        <f>IF(O364="vo",$EW$26/$EW$24*0.05+$EW$26*(-HP($EW$62,$EW$65,$EW$64)+HP($EW$62,$EW$65,(1.05-INDEX(绊状态确认!U:U,MATCH($G364,绊状态确认!$B:$B,)))*$EW$64)),0)+IF(O364="sk",-$EW$26/$EW$24*(0.05-INDEX(绊状态确认!W:W,MATCH($G364,绊状态确认!$B:$B,)))+0.05*$EW$29,0)+IF(O364="sp",0.05*$EW$32*$EW$30*(1-$EW$33)-(0.05-INDEX(绊状态确认!V:V,MATCH($G364,绊状态确认!$B:$B,)))*$EW$29,0)+IF(O364="gd",-(0.05-INDEX(绊状态确认!X:X,MATCH($G364,绊状态确认!$B:$B,)))*$EW$32*$EW$30*(1-$EW$33)+$EW$26*(-HP($EW$62,$EW$65,$EW$64)+HP($EW$62,$EW$65,0.95*$EW$64)),0)</f>
        <v>-1780.0000000000005</v>
      </c>
      <c r="BL364" s="1111">
        <f t="shared" si="457"/>
        <v>0</v>
      </c>
      <c r="BM364" s="1110">
        <f t="shared" si="458"/>
        <v>0</v>
      </c>
      <c r="BN364" s="1113">
        <f t="shared" si="459"/>
        <v>3</v>
      </c>
      <c r="BO364" s="1108">
        <f t="shared" si="460"/>
        <v>4507.7214871259994</v>
      </c>
      <c r="BP364" s="1100">
        <f t="shared" si="461"/>
        <v>221.34103209030098</v>
      </c>
      <c r="BQ364" s="1113" t="s">
        <v>132</v>
      </c>
      <c r="BR364" s="1124" t="s">
        <v>166</v>
      </c>
      <c r="BS364" s="1098">
        <f>IF($P364="","N/A",IF($P364=-1,INDEX('卡片raw data'!AX:AX,MATCH($D364,'卡片raw data'!$F:$F,)),0)+IF($L364="party卡",IF($P364=5,INDEX('卡片raw data'!BD:BD,MATCH($D364,'卡片raw data'!$F:$F,)),IF($P364&gt;=3,INDEX('卡片raw data'!BC:BC,MATCH($D364,'卡片raw data'!$F:$F,)),INDEX('卡片raw data'!BB:BB,MATCH($D364,'卡片raw data'!$F:$F,)))),IF(OR(AND($F364="UR",$P364=0),AND($F364="SR",$P364&gt;=0,$P364&lt;=2),AND($F364="R",$P364&gt;=0,$P364&lt;4)),INDEX('卡片raw data'!AZ:AZ,MATCH($D364,'卡片raw data'!$F:$F,)),0)+IF(OR(AND($F364="UR",$P364&gt;=1,$P364&lt;=4),AND($F364="SR",$P364&lt;=4,$P364&gt;=3),AND($F364="R",$P364=4)),INDEX('卡片raw data'!BA:BA,MATCH($D364,'卡片raw data'!$F:$F,)),0)+IF($P364=5,INDEX('卡片raw data'!BB:BB,MATCH($D364,'卡片raw data'!$F:$F,)),0)))</f>
        <v>0.09</v>
      </c>
      <c r="BT364" s="1101">
        <f t="shared" si="462"/>
        <v>1434.1524911576687</v>
      </c>
      <c r="BU364" s="1097">
        <f t="shared" si="463"/>
        <v>35.742036007799122</v>
      </c>
      <c r="BV364" s="1097">
        <f t="shared" si="464"/>
        <v>0</v>
      </c>
      <c r="BW364" s="1112">
        <f t="shared" si="465"/>
        <v>0</v>
      </c>
      <c r="BX364" s="1100">
        <f t="shared" si="466"/>
        <v>1434.1524911576687</v>
      </c>
      <c r="BY364" s="1110">
        <f t="shared" si="467"/>
        <v>0</v>
      </c>
      <c r="BZ364" s="1107" t="s">
        <v>569</v>
      </c>
      <c r="CA364" s="1124"/>
      <c r="CB364" s="1098">
        <f>IF($P364="","N/A",IF($P364=-1,INDEX('卡片raw data'!BE:BE,MATCH($D364,'卡片raw data'!$F:$F,)),0)+IF($L364="party卡",IF($P364=5,INDEX('卡片raw data'!BK:BK,MATCH($D364,'卡片raw data'!$F:$F,)),IF($P364&gt;=3,INDEX('卡片raw data'!BJ:BJ,MATCH($D364,'卡片raw data'!$F:$F,)),INDEX('卡片raw data'!BI:BI,MATCH($D364,'卡片raw data'!$F:$F,)))),IF(OR(AND($F364="UR",$P364=0),AND($F364="SR",$P364&gt;=0,$P364&lt;=2),AND($F364="R",$P364&gt;=0,$P364&lt;4)),INDEX('卡片raw data'!BG:BG,MATCH($D364,'卡片raw data'!$F:$F,)),0)+IF(OR(AND($F364="UR",$P364&gt;=1,$P364&lt;=4),AND($F364="SR",$P364&lt;=4,$P364&gt;=3),AND($F364="R",$P364=4)),INDEX('卡片raw data'!BH:BH,MATCH($D364,'卡片raw data'!$F:$F,)),0)+IF($P364=5,INDEX('卡片raw data'!BI:BI,MATCH($D364,'卡片raw data'!$F:$F,)),0)))</f>
        <v>0</v>
      </c>
      <c r="CC364" s="1101">
        <f t="shared" si="468"/>
        <v>0</v>
      </c>
      <c r="CD364" s="1097">
        <f>IF(BZ364="ap",CB364*(1-$FI$26)*$FB$5/$FB$11*(+IF(CA364="全员",$FA$24,0)+IF(CA364="同作战",$FA$24,0)+IF(CA364="仲间",$FA$24*2/3,0)+IF(CA364="同属性",$FA$24*$FA$37/3,0)+IF(CA364="同年级",$FA$24*$FA$40/3,0)+IF(CA364="同学校",$FA$24*$FA$43/3,0)+IF(CA364="同小队",$FA$24*$FA$46/3,0)+IF(CA364="同type",$FA$24*INDEX($FB$49:$FB$52,MATCH(X364,$FA$49:$FA$52,))/3,0)+IF(CA364="自身",#REF!/3,0)),0)+IF(BZ364="te",CB364*(1-$FI$27)*($FA$20-1)*$FB$7/$FB$13*(+IF(CA364="全员",$FA$19*$FA$24/(1+($FA$20-1)*$FA$19),0)+IF(CA364="同作战",$FA$19*$FA$24/(1+($FA$20-1)*$FA$19),0)+IF(CA364="仲间",$FA$19*$FA$24*2/3/(1+($FA$20-1)*$FA$19),0)+IF(CA364="同属性",$FA$19*$FA$24*$FA$37/3/(1+($FA$20-1)*$FA$19),0)+IF(CA364="同年级",$FA$19*$FA$24*$FA$40/3/(1+($FA$20-1)*$FA$19),0)+IF(CA364="同学校",$FA$19*$FA$24*$FA$43/3/(1+($FA$20-1)*$FA$19),0)+IF(CA364="同小队",$FA$19*$FA$24*$FA$46/3/(1+($FA$20-1)*$FA$19),0)+IF(CA364="同type",$FA$19*$FA$24*INDEX($FB$49:$FB$52,MATCH(X364,$FA$49:$FA$52,))/3/(1+($FA$20-1)*$FA$19),0)+IF(CA364="自身",$FA$19*#REF!/3/(1+(BH364-1)*$BD364),0)),0)</f>
        <v>0</v>
      </c>
      <c r="CE364" s="1097">
        <f t="shared" si="469"/>
        <v>0</v>
      </c>
      <c r="CF364" s="1112">
        <f t="shared" si="470"/>
        <v>0</v>
      </c>
      <c r="CG364" s="1100">
        <f t="shared" si="471"/>
        <v>0</v>
      </c>
      <c r="CH364" s="1110">
        <f t="shared" si="472"/>
        <v>0</v>
      </c>
      <c r="CI364" s="1113" t="s">
        <v>162</v>
      </c>
      <c r="CJ364" s="1114">
        <v>1</v>
      </c>
      <c r="CK364" s="1115" t="s">
        <v>156</v>
      </c>
      <c r="CL364" s="1115" t="s">
        <v>1941</v>
      </c>
      <c r="CM364" s="1119">
        <v>0.01</v>
      </c>
      <c r="CN364" s="1115"/>
      <c r="CO364" s="1115"/>
      <c r="CP364" s="1116">
        <f t="shared" si="473"/>
        <v>3.9979236405085707</v>
      </c>
      <c r="CQ364" s="1116">
        <f t="shared" si="474"/>
        <v>7.1518411791319991</v>
      </c>
      <c r="CR364" s="1117">
        <f t="shared" si="475"/>
        <v>3.9979236405085707</v>
      </c>
      <c r="CS364" s="1118">
        <f t="shared" si="476"/>
        <v>0</v>
      </c>
      <c r="CT364" s="1109">
        <f t="shared" si="477"/>
        <v>5.4416182884699991</v>
      </c>
      <c r="CU364" s="1101">
        <f t="shared" si="478"/>
        <v>249.87022753178564</v>
      </c>
      <c r="CV364" s="1108">
        <f t="shared" si="479"/>
        <v>297.99338246383326</v>
      </c>
      <c r="CW364" s="1097">
        <f t="shared" si="480"/>
        <v>249.87022753178564</v>
      </c>
      <c r="CX364" s="1097">
        <f t="shared" si="481"/>
        <v>249.87022753178564</v>
      </c>
      <c r="CY364" s="1110">
        <f t="shared" si="482"/>
        <v>249.87022753178564</v>
      </c>
      <c r="CZ364" s="437"/>
      <c r="DA364" s="438"/>
      <c r="DB364" s="439" t="s">
        <v>569</v>
      </c>
      <c r="DC364" s="439"/>
      <c r="DD364" s="443"/>
      <c r="DE364" s="411"/>
      <c r="DF364" s="411"/>
      <c r="DG364" s="1116">
        <f t="shared" si="483"/>
        <v>0</v>
      </c>
      <c r="DH364" s="1116">
        <f t="shared" si="484"/>
        <v>0</v>
      </c>
      <c r="DI364" s="1116">
        <f t="shared" si="485"/>
        <v>0</v>
      </c>
      <c r="DJ364" s="442">
        <f t="shared" si="486"/>
        <v>0</v>
      </c>
      <c r="DK364" s="1109">
        <f t="shared" si="487"/>
        <v>0</v>
      </c>
      <c r="DL364" s="1101">
        <f t="shared" si="488"/>
        <v>0</v>
      </c>
      <c r="DM364" s="1097">
        <f t="shared" si="489"/>
        <v>0</v>
      </c>
      <c r="DN364" s="1097">
        <f t="shared" si="490"/>
        <v>0</v>
      </c>
      <c r="DO364" s="1097">
        <f t="shared" si="491"/>
        <v>0</v>
      </c>
      <c r="DP364" s="1110">
        <f t="shared" si="492"/>
        <v>0</v>
      </c>
      <c r="DQ364" s="1113" t="s">
        <v>549</v>
      </c>
      <c r="DR364" s="1120">
        <f t="shared" si="493"/>
        <v>0.33</v>
      </c>
      <c r="DS364" s="1124"/>
      <c r="DT364" s="1093" t="s">
        <v>179</v>
      </c>
      <c r="DU364" s="1093"/>
      <c r="DV364" s="1098">
        <f>IF($P364="","N/A",IF(P364=-1,INDEX('卡片raw data'!AN:AN,MATCH(D364,'卡片raw data'!$F:$F,)),0)+IF(AND(L364&lt;&gt;"party卡",P364&lt;=2,P364&gt;=0),INDEX('卡片raw data'!AP:AP,MATCH(D364,'卡片raw data'!$F:$F,)),0)+IF(OR(AND(L364="party卡",P364&lt;=1),AND(P364&lt;=4,L364&lt;&gt;"party卡",P364&gt;=3)),INDEX('卡片raw data'!AQ:AQ,MATCH(D364,'卡片raw data'!$F:$F,)),0)+IF(OR(P364=5,AND(L364="party卡",P364&gt;=2)),INDEX('卡片raw data'!AR:AR,MATCH(D364,'卡片raw data'!$F:$F,)),0))</f>
        <v>0.09</v>
      </c>
      <c r="DW364" s="1098">
        <f t="shared" si="494"/>
        <v>0.33</v>
      </c>
      <c r="DX364" s="1098">
        <f t="shared" si="495"/>
        <v>0.33</v>
      </c>
      <c r="DY364" s="1098">
        <f t="shared" si="496"/>
        <v>9.9000000000000008E-3</v>
      </c>
      <c r="DZ364" s="1098">
        <f t="shared" si="497"/>
        <v>9.8480249999999998E-3</v>
      </c>
      <c r="EA364" s="1098">
        <f t="shared" si="498"/>
        <v>0</v>
      </c>
      <c r="EB364" s="1121">
        <f t="shared" si="499"/>
        <v>60.337777499999987</v>
      </c>
      <c r="EC364" s="1101">
        <f t="shared" si="500"/>
        <v>4455</v>
      </c>
      <c r="ED364" s="1097">
        <f t="shared" si="501"/>
        <v>2462.0062499999999</v>
      </c>
      <c r="EE364" s="1110">
        <f t="shared" si="513"/>
        <v>4455</v>
      </c>
      <c r="EF364" s="1115" t="s">
        <v>569</v>
      </c>
      <c r="EG364" s="1120">
        <f t="shared" si="503"/>
        <v>0.33</v>
      </c>
      <c r="EH364" s="1124"/>
      <c r="EI364" s="1093"/>
      <c r="EJ364" s="1093"/>
      <c r="EK364" s="1097">
        <f>IF($P364="","N/A",IF(P364=-1,INDEX('卡片raw data'!AS:AS,MATCH(D364,'卡片raw data'!$F:$F,)),0)+IF(AND(L364&lt;&gt;"party卡",P364&lt;=2,P364&gt;=0),INDEX('卡片raw data'!AU:AU,MATCH(D364,'卡片raw data'!$F:$F,)),0)+IF(OR(AND(L364="party卡",P364&lt;=1),AND(P364&lt;=4,L364&lt;&gt;"party卡",P364&gt;=3)),INDEX('卡片raw data'!AV:AV,MATCH(D364,'卡片raw data'!$F:$F,)),0)+IF(OR(P364=5,AND(L364="party卡",P364&gt;=2)),INDEX('卡片raw data'!AW:AW,MATCH(D364,'卡片raw data'!$F:$F,)),0))</f>
        <v>0</v>
      </c>
      <c r="EL364" s="1098">
        <f t="shared" si="504"/>
        <v>0.33</v>
      </c>
      <c r="EM364" s="1098">
        <f t="shared" si="505"/>
        <v>0.33</v>
      </c>
      <c r="EN364" s="1097">
        <f t="shared" si="506"/>
        <v>0</v>
      </c>
      <c r="EO364" s="1097">
        <f t="shared" si="507"/>
        <v>0</v>
      </c>
      <c r="EP364" s="1098">
        <f t="shared" si="508"/>
        <v>0</v>
      </c>
      <c r="EQ364" s="1121">
        <f t="shared" si="509"/>
        <v>0</v>
      </c>
      <c r="ER364" s="1101">
        <f t="shared" si="510"/>
        <v>0</v>
      </c>
      <c r="ES364" s="1097">
        <f t="shared" si="511"/>
        <v>0</v>
      </c>
      <c r="ET364" s="1122">
        <f t="shared" si="514"/>
        <v>0</v>
      </c>
    </row>
    <row r="365" spans="2:150" ht="16.5" customHeight="1">
      <c r="B365" s="1123" t="str">
        <f>INDEX('卡片raw data'!B:B,MATCH($D365,'卡片raw data'!$F:$F,))</f>
        <v>圣诞曜</v>
      </c>
      <c r="C365" s="449" t="s">
        <v>1742</v>
      </c>
      <c r="D365" s="408">
        <v>362</v>
      </c>
      <c r="E365" s="477">
        <v>401053003</v>
      </c>
      <c r="F365" s="1090" t="str">
        <f>INDEX('卡片raw data'!C:C,MATCH($D365,'卡片raw data'!$F:$F,))</f>
        <v>UR</v>
      </c>
      <c r="G365" s="1094" t="s">
        <v>1743</v>
      </c>
      <c r="H365" s="411">
        <f>IFERROR(INDEX(绊状态确认!C:C,MATCH($G365,绊状态确认!$B:$B,)),"")</f>
        <v>105</v>
      </c>
      <c r="I365" s="450" t="str">
        <f>IFERROR(INDEX(绊状态确认!D:D,MATCH($G365,绊状态确认!$B:$B,)),"")</f>
        <v>水</v>
      </c>
      <c r="J365" s="450" t="str">
        <f>IFERROR(INDEX(绊状态确认!E:E,MATCH($G365,绊状态确认!$B:$B,)),"")</f>
        <v>2年级</v>
      </c>
      <c r="K365" s="451" t="str">
        <f>IFERROR(INDEX(绊状态确认!F:F,MATCH($G365,绊状态确认!$B:$B,)),"")</f>
        <v>CYaRon!</v>
      </c>
      <c r="L365" s="1094" t="str">
        <f>INDEX('卡片raw data'!E:E,MATCH($D365,'卡片raw data'!$F:$F,))</f>
        <v>活动卡</v>
      </c>
      <c r="M365" s="478">
        <v>44169</v>
      </c>
      <c r="N365" s="479">
        <v>29</v>
      </c>
      <c r="O365" s="1091" t="str">
        <f>INDEX('卡片raw data'!D:D,MATCH($D365,'卡片raw data'!$F:$F,))</f>
        <v>gd</v>
      </c>
      <c r="P365" s="1126">
        <v>5</v>
      </c>
      <c r="Q365" s="1095">
        <f t="shared" si="428"/>
        <v>27180.941951606375</v>
      </c>
      <c r="R365" s="1096">
        <f t="shared" si="429"/>
        <v>0.316</v>
      </c>
      <c r="S365" s="1097">
        <f t="shared" si="430"/>
        <v>15440.300013443</v>
      </c>
      <c r="T365" s="1098">
        <f t="shared" si="431"/>
        <v>0.77200000000000002</v>
      </c>
      <c r="U365" s="1099">
        <f t="shared" si="432"/>
        <v>92.407630909873774</v>
      </c>
      <c r="V365" s="1100">
        <f t="shared" si="433"/>
        <v>36963.564340853816</v>
      </c>
      <c r="W365" s="1101">
        <f t="shared" si="434"/>
        <v>4507.7214871259994</v>
      </c>
      <c r="X365" s="1096">
        <f t="shared" si="435"/>
        <v>5.1999999999999998E-2</v>
      </c>
      <c r="Y365" s="1097">
        <f t="shared" si="436"/>
        <v>1692.0486939949405</v>
      </c>
      <c r="Z365" s="1102">
        <f t="shared" si="437"/>
        <v>20.932630909873769</v>
      </c>
      <c r="AA365" s="1103">
        <f t="shared" si="438"/>
        <v>6199.7701811209399</v>
      </c>
      <c r="AB365" s="1101">
        <f t="shared" si="439"/>
        <v>4507.7214871259994</v>
      </c>
      <c r="AC365" s="1104">
        <f t="shared" si="440"/>
        <v>5.1999999999999998E-2</v>
      </c>
      <c r="AD365" s="1105">
        <f t="shared" si="441"/>
        <v>0</v>
      </c>
      <c r="AE365" s="1128">
        <f t="shared" si="442"/>
        <v>-6.25</v>
      </c>
      <c r="AF365" s="1130">
        <f t="shared" si="443"/>
        <v>0</v>
      </c>
      <c r="AG365" s="420">
        <f t="shared" si="444"/>
        <v>0</v>
      </c>
      <c r="AH365" s="420">
        <f t="shared" si="445"/>
        <v>0</v>
      </c>
      <c r="AI365" s="1097">
        <f t="shared" si="446"/>
        <v>0</v>
      </c>
      <c r="AJ365" s="420">
        <f t="shared" si="447"/>
        <v>0</v>
      </c>
      <c r="AK365" s="518">
        <f t="shared" si="448"/>
        <v>0</v>
      </c>
      <c r="AL365" s="1106">
        <f>IF($P365="","N/A",(IF($P365=-1,INDEX('卡片raw data'!S:S,MATCH($D365,'卡片raw data'!$F:$F,)),0)+IF($P365=0,INDEX('卡片raw data'!V:V,MATCH($D365,'卡片raw data'!$F:$F,)),0)+IF($P365=1,INDEX('卡片raw data'!Y:Y,MATCH($D365,'卡片raw data'!$F:$F,)),0)+IF($P365=2,INDEX('卡片raw data'!AB:AB,MATCH($D365,'卡片raw data'!$F:$F,)),0)+IF($P365=3,INDEX('卡片raw data'!AE:AE,MATCH($D365,'卡片raw data'!$F:$F,)),0)+IF($P365=4,INDEX('卡片raw data'!AH:AH,MATCH($D365,'卡片raw data'!$F:$F,)),0)+IF($P365=5,INDEX('卡片raw data'!AK:AK,MATCH($D365,'卡片raw data'!$F:$F,)),0)+INDEX('卡片raw data'!S:S,MATCH($D365,'卡片raw data'!$F:$F,))*(IF($F365="UR",0.04,0.033))*(IF($F365="UR",INDEX(绊状态确认!$S:$S,MATCH($G365,绊状态确认!$B:$B,))/2-40)+IF($F365="SR",INDEX(绊状态确认!$R:$R,MATCH($G365,绊状态确认!$B:$B,))/4-15))+IF($F365="R",INDEX(绊状态确认!$Q:$Q,MATCH($G365,绊状态确认!$B:$B,))/6-40/6)))*(INDEX(绊状态确认!$H:$H,MATCH($G365,绊状态确认!$B:$B,))+INDEX(绊状态确认!J:J,MATCH($G365,绊状态确认!$B:$B,)))</f>
        <v>7775.9306399999996</v>
      </c>
      <c r="AM365" s="1106">
        <f>IF($P365="","N/A",(IF($P365=-1,INDEX('卡片raw data'!T:T,MATCH($D365,'卡片raw data'!$F:$F,)),0)+IF($P365=0,INDEX('卡片raw data'!W:W,MATCH($D365,'卡片raw data'!$F:$F,)),0)+IF($P365=1,INDEX('卡片raw data'!Z:Z,MATCH($D365,'卡片raw data'!$F:$F,)),0)+IF($P365=2,INDEX('卡片raw data'!AC:AC,MATCH($D365,'卡片raw data'!$F:$F,)),0)+IF($P365=3,INDEX('卡片raw data'!AF:AF,MATCH($D365,'卡片raw data'!$F:$F,)),0)+IF($P365=4,INDEX('卡片raw data'!AI:AI,MATCH($D365,'卡片raw data'!$F:$F,)),0)+IF($P365=5,INDEX('卡片raw data'!AL:AL,MATCH($D365,'卡片raw data'!$F:$F,)),0)+INDEX('卡片raw data'!T:T,MATCH($D365,'卡片raw data'!$F:$F,))*(IF($F365="UR",0.04,0.033))*(IF($F365="UR",INDEX(绊状态确认!$S:$S,MATCH($G365,绊状态确认!$B:$B,))/2-40)+IF($F365="SR",INDEX(绊状态确认!$R:$R,MATCH($G365,绊状态确认!$B:$B,))/4-15))+IF($F365="R",INDEX(绊状态确认!$Q:$Q,MATCH($G365,绊状态确认!$B:$B,))/6-40/6)))*(INDEX(绊状态确认!$H:$H,MATCH($G365,绊状态确认!$B:$B,))+INDEX(绊状态确认!K:K,MATCH($G365,绊状态确认!$B:$B,)))</f>
        <v>11384.046095999998</v>
      </c>
      <c r="AN365" s="1106">
        <f>IF($P365="","N/A",(IF($P365=-1,INDEX('卡片raw data'!U:U,MATCH($D365,'卡片raw data'!$F:$F,)),0)+IF($P365=0,INDEX('卡片raw data'!X:X,MATCH($D365,'卡片raw data'!$F:$F,)),0)+IF($P365=1,INDEX('卡片raw data'!AA:AA,MATCH($D365,'卡片raw data'!$F:$F,)),0)+IF($P365=2,INDEX('卡片raw data'!AD:AD,MATCH($D365,'卡片raw data'!$F:$F,)),0)+IF($P365=3,INDEX('卡片raw data'!AG:AG,MATCH($D365,'卡片raw data'!$F:$F,)),0)+IF($P365=4,INDEX('卡片raw data'!AJ:AJ,MATCH($D365,'卡片raw data'!$F:$F,)),0)+IF($P365=5,INDEX('卡片raw data'!AM:AM,MATCH($D365,'卡片raw data'!$F:$F,)),0)+INDEX('卡片raw data'!U:U,MATCH($D365,'卡片raw data'!$F:$F,))*(IF($F365="UR",0.04,0.033))*(IF($F365="UR",INDEX(绊状态确认!$S:$S,MATCH($G365,绊状态确认!$B:$B,))/2-40)+IF($F365="SR",INDEX(绊状态确认!$R:$R,MATCH($G365,绊状态确认!$B:$B,))/4-15))+IF($F365="R",INDEX(绊状态确认!$Q:$Q,MATCH($G365,绊状态确认!$B:$B,))/6-40/6)))*(INDEX(绊状态确认!$H:$H,MATCH($G365,绊状态确认!$B:$B,))+INDEX(绊状态确认!L:L,MATCH($G365,绊状态确认!$B:$B,)))</f>
        <v>8607.8663519999991</v>
      </c>
      <c r="AO365" s="1107">
        <f t="shared" si="449"/>
        <v>1</v>
      </c>
      <c r="AP365" s="1131">
        <f>1+(INDEX(绊状态确认!$T:$T,MATCH($G365,绊状态确认!$B:$B,))+0.2)*$AO365</f>
        <v>1.3</v>
      </c>
      <c r="AQ365" s="1108">
        <f t="shared" si="450"/>
        <v>23661.817929999997</v>
      </c>
      <c r="AR365" s="1097">
        <f>(AM365*(1+$EX$9)+$EX$35)*(1+(INDEX(绊状态确认!$T:$T,MATCH($G365,绊状态确认!$B:$B,))+0.2)*AO365)*IF(J365=$FF$17,1+$FE$17,1)*IF(I365=$FF$14,1+$FE$14,1)</f>
        <v>18243.22292104</v>
      </c>
      <c r="AS365" s="1097">
        <f>(AN365*(1+$EX$10)+$EX$36)*(1+(INDEX(绊状态确认!$T:$T,MATCH($G365,绊状态确认!$B:$B,))+0.2)*AO365)*IF(J365=$FF$17,1+$FE$17,1)*IF(I365=$FF$14,1+$FE$14,1)</f>
        <v>16924.760196239997</v>
      </c>
      <c r="AT365" s="1093">
        <f>IF(AND(INDEX('卡片raw data'!AK:AK,MATCH($D365,'卡片raw data'!$F:$F,))&lt;INDEX('卡片raw data'!AM:AM,MATCH($D365,'卡片raw data'!$F:$F,)),INDEX('卡片raw data'!AL:AL,MATCH($D365,'卡片raw data'!$F:$F,))&lt;INDEX('卡片raw data'!AM:AM,MATCH($D365,'卡片raw data'!$F:$F,))),1,0)</f>
        <v>0</v>
      </c>
      <c r="AU365" s="1098">
        <f>MIN(AT365*0.15+AS365*0.00003+INDEX(绊状态确认!M:M,MATCH($G365,绊状态确认!$B:$B,)),1)</f>
        <v>0.53774280588719992</v>
      </c>
      <c r="AV365" s="1109">
        <f>(INDEX(绊状态确认!$N:$N,MATCH($G365,绊状态确认!$B:$B,))+1.5)*$EW$21</f>
        <v>2.6599999999999997</v>
      </c>
      <c r="AW365" s="1101">
        <f t="shared" si="451"/>
        <v>23258.220464480375</v>
      </c>
      <c r="AX365" s="1097">
        <f t="shared" si="452"/>
        <v>1583.8084180389669</v>
      </c>
      <c r="AY365" s="1110">
        <f t="shared" si="453"/>
        <v>24842.028882519342</v>
      </c>
      <c r="AZ365" s="429">
        <f t="shared" si="454"/>
        <v>17763.064747999997</v>
      </c>
      <c r="BA365" s="431">
        <f t="shared" si="455"/>
        <v>21315.677697599996</v>
      </c>
      <c r="BB365" s="1097">
        <f>(AM365*(1+$FB$9)+$FB$35)*(1+(INDEX(绊状态确认!$T:$T,MATCH($G365,绊状态确认!$B:$B,))+0.2)*AO365)*IF(J365=$FF$17,1+$FE$17,1)*IF(I365=$FF$14,1+$FE$14,1)*(1+$FE$15)</f>
        <v>18243.22292104</v>
      </c>
      <c r="BC365" s="1097">
        <f>(AN365*(1+$FB$10)+$FB$36)*(1+(INDEX(绊状态确认!$T:$T,MATCH($G365,绊状态确认!$B:$B,))+0.2)*AO365)*IF(J365=$FF$17,1+$FE$17,1)*IF(I365=$FF$14,1+$FE$14,1)*(1+$FE$15)</f>
        <v>16924.760196239997</v>
      </c>
      <c r="BD365" s="1104">
        <f>MIN(AT365*0.15+BC365*0.00003+INDEX(绊状态确认!M:M,MATCH($G365,绊状态确认!$B:$B,)),1)</f>
        <v>0.53774280588719992</v>
      </c>
      <c r="BE365" s="432">
        <f>(INDEX(绊状态确认!$N:$N,MATCH($G365,绊状态确认!$B:$B,))+1.5)</f>
        <v>1.9</v>
      </c>
      <c r="BF365" s="1139">
        <f t="array" ref="BF365">SUMPRODUCT(IF(AZ365*AP365*$FI$16:$FI$23*$FA$22&gt;=$FI$24,$FI$24,AZ365*AP365*$FI$16:$FI$23*$FA$22),$FJ$16:$FJ$23)</f>
        <v>35330.735783771997</v>
      </c>
      <c r="BG365" s="1125">
        <f t="array" ref="BG365">SUMPRODUCT(IF(BE365*AZ365*AP365*$FI$16:$FI$23*$FA$22&gt;=$FI$24,$FI$24,BE365*AZ365*AP365*$FI$16:$FI$23*$FA$22),$FJ$16:$FJ$23)</f>
        <v>58968.692481890001</v>
      </c>
      <c r="BH365" s="1110">
        <f t="shared" si="456"/>
        <v>16013.9589813527</v>
      </c>
      <c r="BI365" s="1111">
        <f>IF(O365="vo",$EW$26/$EW$24*0.05,0)+IF(O365="sk",-$EW$26/$EW$24*(0.05-INDEX(绊状态确认!W:W,MATCH($G365,绊状态确认!$B:$B,)))+0.05*$EW$28,0)+IF(O365="sp",0.05*$EW$32*$EW$30*(1-$EW$33)-(0.05-INDEX(绊状态确认!V:V,MATCH($G365,绊状态确认!$B:$B,)))*$EW$28,0)+IF(O365="gd",-(0.05-INDEX(绊状态确认!X:X,MATCH($G365,绊状态确认!$B:$B,)))*$EW$32*$EW$30*(1-$EW$33),0)</f>
        <v>-585.00000000000011</v>
      </c>
      <c r="BJ365" s="1097">
        <f>IF(O365="vo",0.05*(1-$FI$26)*$FA$24,0)+IF(O365="sk",-(0.05-INDEX(绊状态确认!W:W,MATCH($G365,绊状态确认!$B:$B,)))*(1-$FI$26)*$FA$24+0.05*$FA$26,0)+IF(O365="sp",0.05*$FA$32*$FA$27*(1-$FA$33)/$FA$30+0.05*$FA$29/$FA$69*$FA$27*(1-$FA$33)-(0.05-INDEX(绊状态确认!V:V,MATCH($G365,绊状态确认!$B:$B,)))*$FA$26,0)+IF(O365="gd",-(0.05-INDEX(绊状态确认!X:X,MATCH($G365,绊状态确认!$B:$B,)))*$FA$32*$FA$27*(1-$FA$33)/$FA$30-(0.05-INDEX(绊状态确认!X:X,MATCH($G365,绊状态确认!$B:$B,)))*$FA$29/$FA$69*$FA$27*(1-$FA$33),0)</f>
        <v>-795.00000000000011</v>
      </c>
      <c r="BK365" s="1110">
        <f>IF(O365="vo",$EW$26/$EW$24*0.05+$EW$26*(-HP($EW$62,$EW$65,$EW$64)+HP($EW$62,$EW$65,(1.05-INDEX(绊状态确认!U:U,MATCH($G365,绊状态确认!$B:$B,)))*$EW$64)),0)+IF(O365="sk",-$EW$26/$EW$24*(0.05-INDEX(绊状态确认!W:W,MATCH($G365,绊状态确认!$B:$B,)))+0.05*$EW$29,0)+IF(O365="sp",0.05*$EW$32*$EW$30*(1-$EW$33)-(0.05-INDEX(绊状态确认!V:V,MATCH($G365,绊状态确认!$B:$B,)))*$EW$29,0)+IF(O365="gd",-(0.05-INDEX(绊状态确认!X:X,MATCH($G365,绊状态确认!$B:$B,)))*$EW$32*$EW$30*(1-$EW$33)+$EW$26*(-HP($EW$62,$EW$65,$EW$64)+HP($EW$62,$EW$65,0.95*$EW$64)),0)</f>
        <v>1009.5947725176144</v>
      </c>
      <c r="BL365" s="1111">
        <f t="shared" si="457"/>
        <v>0</v>
      </c>
      <c r="BM365" s="1110">
        <f t="shared" si="458"/>
        <v>0</v>
      </c>
      <c r="BN365" s="1113">
        <f t="shared" si="459"/>
        <v>3</v>
      </c>
      <c r="BO365" s="1108">
        <f t="shared" si="460"/>
        <v>4507.7214871259994</v>
      </c>
      <c r="BP365" s="1100">
        <f t="shared" si="461"/>
        <v>221.34103209030098</v>
      </c>
      <c r="BQ365" s="1113" t="s">
        <v>133</v>
      </c>
      <c r="BR365" s="1124" t="s">
        <v>166</v>
      </c>
      <c r="BS365" s="1098">
        <f>IF($P365="","N/A",IF($P365=-1,INDEX('卡片raw data'!AX:AX,MATCH($D365,'卡片raw data'!$F:$F,)),0)+IF($L365="party卡",IF($P365=5,INDEX('卡片raw data'!BD:BD,MATCH($D365,'卡片raw data'!$F:$F,)),IF($P365&gt;=3,INDEX('卡片raw data'!BC:BC,MATCH($D365,'卡片raw data'!$F:$F,)),INDEX('卡片raw data'!BB:BB,MATCH($D365,'卡片raw data'!$F:$F,)))),IF(OR(AND($F365="UR",$P365=0),AND($F365="SR",$P365&gt;=0,$P365&lt;=2),AND($F365="R",$P365&gt;=0,$P365&lt;4)),INDEX('卡片raw data'!AZ:AZ,MATCH($D365,'卡片raw data'!$F:$F,)),0)+IF(OR(AND($F365="UR",$P365&gt;=1,$P365&lt;=4),AND($F365="SR",$P365&lt;=4,$P365&gt;=3),AND($F365="R",$P365=4)),INDEX('卡片raw data'!BA:BA,MATCH($D365,'卡片raw data'!$F:$F,)),0)+IF($P365=5,INDEX('卡片raw data'!BB:BB,MATCH($D365,'卡片raw data'!$F:$F,)),0)))</f>
        <v>0.09</v>
      </c>
      <c r="BT365" s="1101">
        <f t="shared" si="462"/>
        <v>0</v>
      </c>
      <c r="BU365" s="1097">
        <f t="shared" si="463"/>
        <v>0</v>
      </c>
      <c r="BV365" s="1097">
        <f t="shared" si="464"/>
        <v>0</v>
      </c>
      <c r="BW365" s="1112">
        <f t="shared" si="465"/>
        <v>1.3863206373309118</v>
      </c>
      <c r="BX365" s="1100">
        <f t="shared" si="466"/>
        <v>108.24027595597333</v>
      </c>
      <c r="BY365" s="1110">
        <f t="shared" si="467"/>
        <v>108.24027595597333</v>
      </c>
      <c r="BZ365" s="1107" t="s">
        <v>569</v>
      </c>
      <c r="CA365" s="1124"/>
      <c r="CB365" s="1098">
        <f>IF($P365="","N/A",IF($P365=-1,INDEX('卡片raw data'!BE:BE,MATCH($D365,'卡片raw data'!$F:$F,)),0)+IF($L365="party卡",IF($P365=5,INDEX('卡片raw data'!BK:BK,MATCH($D365,'卡片raw data'!$F:$F,)),IF($P365&gt;=3,INDEX('卡片raw data'!BJ:BJ,MATCH($D365,'卡片raw data'!$F:$F,)),INDEX('卡片raw data'!BI:BI,MATCH($D365,'卡片raw data'!$F:$F,)))),IF(OR(AND($F365="UR",$P365=0),AND($F365="SR",$P365&gt;=0,$P365&lt;=2),AND($F365="R",$P365&gt;=0,$P365&lt;4)),INDEX('卡片raw data'!BG:BG,MATCH($D365,'卡片raw data'!$F:$F,)),0)+IF(OR(AND($F365="UR",$P365&gt;=1,$P365&lt;=4),AND($F365="SR",$P365&lt;=4,$P365&gt;=3),AND($F365="R",$P365=4)),INDEX('卡片raw data'!BH:BH,MATCH($D365,'卡片raw data'!$F:$F,)),0)+IF($P365=5,INDEX('卡片raw data'!BI:BI,MATCH($D365,'卡片raw data'!$F:$F,)),0)))</f>
        <v>0</v>
      </c>
      <c r="CC365" s="1101">
        <f t="shared" si="468"/>
        <v>0</v>
      </c>
      <c r="CD365" s="1097">
        <f>IF(BZ365="ap",CB365*(1-$FI$26)*$FB$5/$FB$11*(+IF(CA365="全员",$FA$24,0)+IF(CA365="同作战",$FA$24,0)+IF(CA365="仲间",$FA$24*2/3,0)+IF(CA365="同属性",$FA$24*$FA$37/3,0)+IF(CA365="同年级",$FA$24*$FA$40/3,0)+IF(CA365="同学校",$FA$24*$FA$43/3,0)+IF(CA365="同小队",$FA$24*$FA$46/3,0)+IF(CA365="同type",$FA$24*INDEX($FB$49:$FB$52,MATCH(X365,$FA$49:$FA$52,))/3,0)+IF(CA365="自身",#REF!/3,0)),0)+IF(BZ365="te",CB365*(1-$FI$27)*($FA$20-1)*$FB$7/$FB$13*(+IF(CA365="全员",$FA$19*$FA$24/(1+($FA$20-1)*$FA$19),0)+IF(CA365="同作战",$FA$19*$FA$24/(1+($FA$20-1)*$FA$19),0)+IF(CA365="仲间",$FA$19*$FA$24*2/3/(1+($FA$20-1)*$FA$19),0)+IF(CA365="同属性",$FA$19*$FA$24*$FA$37/3/(1+($FA$20-1)*$FA$19),0)+IF(CA365="同年级",$FA$19*$FA$24*$FA$40/3/(1+($FA$20-1)*$FA$19),0)+IF(CA365="同学校",$FA$19*$FA$24*$FA$43/3/(1+($FA$20-1)*$FA$19),0)+IF(CA365="同小队",$FA$19*$FA$24*$FA$46/3/(1+($FA$20-1)*$FA$19),0)+IF(CA365="同type",$FA$19*$FA$24*INDEX($FB$49:$FB$52,MATCH(X365,$FA$49:$FA$52,))/3/(1+($FA$20-1)*$FA$19),0)+IF(CA365="自身",$FA$19*#REF!/3/(1+(BH365-1)*$BD365),0)),0)</f>
        <v>0</v>
      </c>
      <c r="CE365" s="1097">
        <f t="shared" si="469"/>
        <v>0</v>
      </c>
      <c r="CF365" s="1112">
        <f t="shared" si="470"/>
        <v>0</v>
      </c>
      <c r="CG365" s="1100">
        <f t="shared" si="471"/>
        <v>0</v>
      </c>
      <c r="CH365" s="1110">
        <f t="shared" si="472"/>
        <v>0</v>
      </c>
      <c r="CI365" s="1113" t="s">
        <v>170</v>
      </c>
      <c r="CJ365" s="1114">
        <v>1</v>
      </c>
      <c r="CK365" s="1115" t="s">
        <v>635</v>
      </c>
      <c r="CL365" s="1115" t="s">
        <v>1944</v>
      </c>
      <c r="CM365" s="1119">
        <v>0.6</v>
      </c>
      <c r="CN365" s="1115"/>
      <c r="CO365" s="1115">
        <v>1</v>
      </c>
      <c r="CP365" s="1116">
        <f t="shared" si="473"/>
        <v>39.092620545085715</v>
      </c>
      <c r="CQ365" s="1116">
        <f t="shared" si="474"/>
        <v>60.810743070133334</v>
      </c>
      <c r="CR365" s="1117">
        <f t="shared" si="475"/>
        <v>39.092620545085715</v>
      </c>
      <c r="CS365" s="1118">
        <f t="shared" si="476"/>
        <v>0</v>
      </c>
      <c r="CT365" s="1109">
        <f t="shared" si="477"/>
        <v>0</v>
      </c>
      <c r="CU365" s="1101">
        <f t="shared" si="478"/>
        <v>0</v>
      </c>
      <c r="CV365" s="1108">
        <f t="shared" si="479"/>
        <v>0</v>
      </c>
      <c r="CW365" s="1097">
        <f t="shared" si="480"/>
        <v>0</v>
      </c>
      <c r="CX365" s="1097">
        <f t="shared" si="481"/>
        <v>0</v>
      </c>
      <c r="CY365" s="1110">
        <f t="shared" si="482"/>
        <v>0</v>
      </c>
      <c r="CZ365" s="437"/>
      <c r="DA365" s="438"/>
      <c r="DB365" s="439" t="s">
        <v>569</v>
      </c>
      <c r="DC365" s="439"/>
      <c r="DD365" s="443"/>
      <c r="DE365" s="411"/>
      <c r="DF365" s="411"/>
      <c r="DG365" s="1116">
        <f t="shared" si="483"/>
        <v>0</v>
      </c>
      <c r="DH365" s="1116">
        <f t="shared" si="484"/>
        <v>0</v>
      </c>
      <c r="DI365" s="1116">
        <f t="shared" si="485"/>
        <v>0</v>
      </c>
      <c r="DJ365" s="442">
        <f t="shared" si="486"/>
        <v>0</v>
      </c>
      <c r="DK365" s="1109">
        <f t="shared" si="487"/>
        <v>0</v>
      </c>
      <c r="DL365" s="1101">
        <f t="shared" si="488"/>
        <v>0</v>
      </c>
      <c r="DM365" s="1097">
        <f t="shared" si="489"/>
        <v>0</v>
      </c>
      <c r="DN365" s="1097">
        <f t="shared" si="490"/>
        <v>0</v>
      </c>
      <c r="DO365" s="1097">
        <f t="shared" si="491"/>
        <v>0</v>
      </c>
      <c r="DP365" s="1110">
        <f t="shared" si="492"/>
        <v>0</v>
      </c>
      <c r="DQ365" s="1113" t="s">
        <v>556</v>
      </c>
      <c r="DR365" s="1120">
        <f t="shared" si="493"/>
        <v>0.33</v>
      </c>
      <c r="DS365" s="1124">
        <v>5</v>
      </c>
      <c r="DT365" s="1093" t="s">
        <v>161</v>
      </c>
      <c r="DU365" s="1093" t="s">
        <v>544</v>
      </c>
      <c r="DV365" s="1098">
        <f>IF($P365="","N/A",IF(P365=-1,INDEX('卡片raw data'!AN:AN,MATCH(D365,'卡片raw data'!$F:$F,)),0)+IF(AND(L365&lt;&gt;"party卡",P365&lt;=2,P365&gt;=0),INDEX('卡片raw data'!AP:AP,MATCH(D365,'卡片raw data'!$F:$F,)),0)+IF(OR(AND(L365="party卡",P365&lt;=1),AND(P365&lt;=4,L365&lt;&gt;"party卡",P365&gt;=3)),INDEX('卡片raw data'!AQ:AQ,MATCH(D365,'卡片raw data'!$F:$F,)),0)+IF(OR(P365=5,AND(L365="party卡",P365&gt;=2)),INDEX('卡片raw data'!AR:AR,MATCH(D365,'卡片raw data'!$F:$F,)),0))</f>
        <v>0.26</v>
      </c>
      <c r="DW365" s="1098">
        <f t="shared" si="494"/>
        <v>0.33</v>
      </c>
      <c r="DX365" s="1098">
        <f t="shared" si="495"/>
        <v>0.33</v>
      </c>
      <c r="DY365" s="1098">
        <f t="shared" si="496"/>
        <v>0.14300000000000002</v>
      </c>
      <c r="DZ365" s="1098">
        <f t="shared" si="497"/>
        <v>0.12369500000000001</v>
      </c>
      <c r="EA365" s="1098">
        <f t="shared" si="498"/>
        <v>0</v>
      </c>
      <c r="EB365" s="1121">
        <f t="shared" si="499"/>
        <v>0</v>
      </c>
      <c r="EC365" s="1101">
        <f t="shared" si="500"/>
        <v>0</v>
      </c>
      <c r="ED365" s="1097">
        <f t="shared" si="501"/>
        <v>0</v>
      </c>
      <c r="EE365" s="1110">
        <f t="shared" si="513"/>
        <v>6495.9789227348883</v>
      </c>
      <c r="EF365" s="1115" t="s">
        <v>569</v>
      </c>
      <c r="EG365" s="1120">
        <f t="shared" si="503"/>
        <v>0.33</v>
      </c>
      <c r="EH365" s="1124"/>
      <c r="EI365" s="1093"/>
      <c r="EJ365" s="1093"/>
      <c r="EK365" s="1097">
        <f>IF($P365="","N/A",IF(P365=-1,INDEX('卡片raw data'!AS:AS,MATCH(D365,'卡片raw data'!$F:$F,)),0)+IF(AND(L365&lt;&gt;"party卡",P365&lt;=2,P365&gt;=0),INDEX('卡片raw data'!AU:AU,MATCH(D365,'卡片raw data'!$F:$F,)),0)+IF(OR(AND(L365="party卡",P365&lt;=1),AND(P365&lt;=4,L365&lt;&gt;"party卡",P365&gt;=3)),INDEX('卡片raw data'!AV:AV,MATCH(D365,'卡片raw data'!$F:$F,)),0)+IF(OR(P365=5,AND(L365="party卡",P365&gt;=2)),INDEX('卡片raw data'!AW:AW,MATCH(D365,'卡片raw data'!$F:$F,)),0))</f>
        <v>0</v>
      </c>
      <c r="EL365" s="1098">
        <f t="shared" si="504"/>
        <v>0.33</v>
      </c>
      <c r="EM365" s="1098">
        <f t="shared" si="505"/>
        <v>0.33</v>
      </c>
      <c r="EN365" s="1097">
        <f t="shared" si="506"/>
        <v>0</v>
      </c>
      <c r="EO365" s="1097">
        <f t="shared" si="507"/>
        <v>0</v>
      </c>
      <c r="EP365" s="1098">
        <f t="shared" si="508"/>
        <v>0</v>
      </c>
      <c r="EQ365" s="1121">
        <f t="shared" si="509"/>
        <v>0</v>
      </c>
      <c r="ER365" s="1101">
        <f t="shared" si="510"/>
        <v>0</v>
      </c>
      <c r="ES365" s="1097">
        <f t="shared" si="511"/>
        <v>0</v>
      </c>
      <c r="ET365" s="1122">
        <f t="shared" si="514"/>
        <v>0</v>
      </c>
    </row>
    <row r="366" spans="2:150" ht="16.5" customHeight="1">
      <c r="B366" s="1123" t="str">
        <f>INDEX('卡片raw data'!B:B,MATCH($D366,'卡片raw data'!$F:$F,))</f>
        <v>梦门花</v>
      </c>
      <c r="C366" s="449" t="s">
        <v>1742</v>
      </c>
      <c r="D366" s="408">
        <v>363</v>
      </c>
      <c r="E366" s="477">
        <v>400082003</v>
      </c>
      <c r="F366" s="1090" t="str">
        <f>INDEX('卡片raw data'!C:C,MATCH($D366,'卡片raw data'!$F:$F,))</f>
        <v>SR</v>
      </c>
      <c r="G366" s="1094" t="s">
        <v>1748</v>
      </c>
      <c r="H366" s="411">
        <f>IFERROR(INDEX(绊状态确认!C:C,MATCH($G366,绊状态确认!$B:$B,)),"")</f>
        <v>8</v>
      </c>
      <c r="I366" s="450" t="str">
        <f>IFERROR(INDEX(绊状态确认!D:D,MATCH($G366,绊状态确认!$B:$B,)),"")</f>
        <v>缪</v>
      </c>
      <c r="J366" s="450" t="str">
        <f>IFERROR(INDEX(绊状态确认!E:E,MATCH($G366,绊状态确认!$B:$B,)),"")</f>
        <v>1年级</v>
      </c>
      <c r="K366" s="451" t="str">
        <f>IFERROR(INDEX(绊状态确认!F:F,MATCH($G366,绊状态确认!$B:$B,)),"")</f>
        <v>Printemps</v>
      </c>
      <c r="L366" s="1094" t="str">
        <f>INDEX('卡片raw data'!E:E,MATCH($D366,'卡片raw data'!$F:$F,))</f>
        <v>活动卡</v>
      </c>
      <c r="M366" s="478">
        <v>44169</v>
      </c>
      <c r="N366" s="479">
        <v>29</v>
      </c>
      <c r="O366" s="1091" t="str">
        <f>INDEX('卡片raw data'!D:D,MATCH($D366,'卡片raw data'!$F:$F,))</f>
        <v>vo</v>
      </c>
      <c r="P366" s="1126">
        <v>5</v>
      </c>
      <c r="Q366" s="1095">
        <f t="shared" si="428"/>
        <v>34535.374112657082</v>
      </c>
      <c r="R366" s="1096">
        <f t="shared" si="429"/>
        <v>0.40100000000000002</v>
      </c>
      <c r="S366" s="1097">
        <f t="shared" si="430"/>
        <v>14531.642329659513</v>
      </c>
      <c r="T366" s="1098">
        <f t="shared" si="431"/>
        <v>0.72599999999999998</v>
      </c>
      <c r="U366" s="1099">
        <f t="shared" si="432"/>
        <v>-14.837945099247143</v>
      </c>
      <c r="V366" s="1100">
        <f t="shared" si="433"/>
        <v>34038.34693399215</v>
      </c>
      <c r="W366" s="1101">
        <f t="shared" si="434"/>
        <v>5399.0482619516042</v>
      </c>
      <c r="X366" s="1096">
        <f t="shared" si="435"/>
        <v>6.2E-2</v>
      </c>
      <c r="Y366" s="1097">
        <f t="shared" si="436"/>
        <v>807.64127157677194</v>
      </c>
      <c r="Z366" s="1102">
        <f t="shared" si="437"/>
        <v>10.162054900752857</v>
      </c>
      <c r="AA366" s="1103">
        <f t="shared" si="438"/>
        <v>6206.6895335283762</v>
      </c>
      <c r="AB366" s="1101">
        <f t="shared" si="439"/>
        <v>6200.4209707740038</v>
      </c>
      <c r="AC366" s="1104">
        <f t="shared" si="440"/>
        <v>7.1999999999999995E-2</v>
      </c>
      <c r="AD366" s="1105">
        <f t="shared" si="441"/>
        <v>-3.8207812500000026E-3</v>
      </c>
      <c r="AE366" s="1128">
        <f t="shared" si="442"/>
        <v>-12.27536231884058</v>
      </c>
      <c r="AF366" s="1130">
        <f t="shared" si="443"/>
        <v>0</v>
      </c>
      <c r="AG366" s="420">
        <f t="shared" si="444"/>
        <v>0</v>
      </c>
      <c r="AH366" s="420">
        <f t="shared" si="445"/>
        <v>0</v>
      </c>
      <c r="AI366" s="1097">
        <f t="shared" si="446"/>
        <v>0</v>
      </c>
      <c r="AJ366" s="420">
        <f t="shared" si="447"/>
        <v>0</v>
      </c>
      <c r="AK366" s="518">
        <f t="shared" si="448"/>
        <v>0</v>
      </c>
      <c r="AL366" s="1106">
        <f>IF($P366="","N/A",(IF($P366=-1,INDEX('卡片raw data'!S:S,MATCH($D366,'卡片raw data'!$F:$F,)),0)+IF($P366=0,INDEX('卡片raw data'!V:V,MATCH($D366,'卡片raw data'!$F:$F,)),0)+IF($P366=1,INDEX('卡片raw data'!Y:Y,MATCH($D366,'卡片raw data'!$F:$F,)),0)+IF($P366=2,INDEX('卡片raw data'!AB:AB,MATCH($D366,'卡片raw data'!$F:$F,)),0)+IF($P366=3,INDEX('卡片raw data'!AE:AE,MATCH($D366,'卡片raw data'!$F:$F,)),0)+IF($P366=4,INDEX('卡片raw data'!AH:AH,MATCH($D366,'卡片raw data'!$F:$F,)),0)+IF($P366=5,INDEX('卡片raw data'!AK:AK,MATCH($D366,'卡片raw data'!$F:$F,)),0)+INDEX('卡片raw data'!S:S,MATCH($D366,'卡片raw data'!$F:$F,))*(IF($F366="UR",0.04,0.033))*(IF($F366="UR",INDEX(绊状态确认!$S:$S,MATCH($G366,绊状态确认!$B:$B,))/2-40)+IF($F366="SR",INDEX(绊状态确认!$R:$R,MATCH($G366,绊状态确认!$B:$B,))/4-15))+IF($F366="R",INDEX(绊状态确认!$Q:$Q,MATCH($G366,绊状态确认!$B:$B,))/6-40/6)))*(INDEX(绊状态确认!$H:$H,MATCH($G366,绊状态确认!$B:$B,))+INDEX(绊状态确认!J:J,MATCH($G366,绊状态确认!$B:$B,)))</f>
        <v>7708.3852967999992</v>
      </c>
      <c r="AM366" s="1106">
        <f>IF($P366="","N/A",(IF($P366=-1,INDEX('卡片raw data'!T:T,MATCH($D366,'卡片raw data'!$F:$F,)),0)+IF($P366=0,INDEX('卡片raw data'!W:W,MATCH($D366,'卡片raw data'!$F:$F,)),0)+IF($P366=1,INDEX('卡片raw data'!Z:Z,MATCH($D366,'卡片raw data'!$F:$F,)),0)+IF($P366=2,INDEX('卡片raw data'!AC:AC,MATCH($D366,'卡片raw data'!$F:$F,)),0)+IF($P366=3,INDEX('卡片raw data'!AF:AF,MATCH($D366,'卡片raw data'!$F:$F,)),0)+IF($P366=4,INDEX('卡片raw data'!AI:AI,MATCH($D366,'卡片raw data'!$F:$F,)),0)+IF($P366=5,INDEX('卡片raw data'!AL:AL,MATCH($D366,'卡片raw data'!$F:$F,)),0)+INDEX('卡片raw data'!T:T,MATCH($D366,'卡片raw data'!$F:$F,))*(IF($F366="UR",0.04,0.033))*(IF($F366="UR",INDEX(绊状态确认!$S:$S,MATCH($G366,绊状态确认!$B:$B,))/2-40)+IF($F366="SR",INDEX(绊状态确认!$R:$R,MATCH($G366,绊状态确认!$B:$B,))/4-15))+IF($F366="R",INDEX(绊状态确认!$Q:$Q,MATCH($G366,绊状态确认!$B:$B,))/6-40/6)))*(INDEX(绊状态确认!$H:$H,MATCH($G366,绊状态确认!$B:$B,))+INDEX(绊状态确认!K:K,MATCH($G366,绊状态确认!$B:$B,)))</f>
        <v>4967.4612263999988</v>
      </c>
      <c r="AN366" s="1106">
        <f>IF($P366="","N/A",(IF($P366=-1,INDEX('卡片raw data'!U:U,MATCH($D366,'卡片raw data'!$F:$F,)),0)+IF($P366=0,INDEX('卡片raw data'!X:X,MATCH($D366,'卡片raw data'!$F:$F,)),0)+IF($P366=1,INDEX('卡片raw data'!AA:AA,MATCH($D366,'卡片raw data'!$F:$F,)),0)+IF($P366=2,INDEX('卡片raw data'!AD:AD,MATCH($D366,'卡片raw data'!$F:$F,)),0)+IF($P366=3,INDEX('卡片raw data'!AG:AG,MATCH($D366,'卡片raw data'!$F:$F,)),0)+IF($P366=4,INDEX('卡片raw data'!AJ:AJ,MATCH($D366,'卡片raw data'!$F:$F,)),0)+IF($P366=5,INDEX('卡片raw data'!AM:AM,MATCH($D366,'卡片raw data'!$F:$F,)),0)+INDEX('卡片raw data'!U:U,MATCH($D366,'卡片raw data'!$F:$F,))*(IF($F366="UR",0.04,0.033))*(IF($F366="UR",INDEX(绊状态确认!$S:$S,MATCH($G366,绊状态确认!$B:$B,))/2-40)+IF($F366="SR",INDEX(绊状态确认!$R:$R,MATCH($G366,绊状态确认!$B:$B,))/4-15))+IF($F366="R",INDEX(绊状态确认!$Q:$Q,MATCH($G366,绊状态确认!$B:$B,))/6-40/6)))*(INDEX(绊状态确认!$H:$H,MATCH($G366,绊状态确认!$B:$B,))+INDEX(绊状态确认!L:L,MATCH($G366,绊状态确认!$B:$B,)))</f>
        <v>4454.2857144</v>
      </c>
      <c r="AO366" s="1107">
        <f t="shared" si="449"/>
        <v>1</v>
      </c>
      <c r="AP366" s="1131">
        <f>1+(INDEX(绊状态确认!$T:$T,MATCH($G366,绊状态确认!$B:$B,))+0.2)*$AO366</f>
        <v>1.3</v>
      </c>
      <c r="AQ366" s="1108">
        <f t="shared" si="450"/>
        <v>23484.511404099998</v>
      </c>
      <c r="AR366" s="1097">
        <f>(AM366*(1+$EX$9)+$EX$35)*(1+(INDEX(绊状态确认!$T:$T,MATCH($G366,绊状态确认!$B:$B,))+0.2)*AO366)*IF(J366=$FF$17,1+$FE$17,1)*IF(I366=$FF$14,1+$FE$14,1)</f>
        <v>9484.584574036</v>
      </c>
      <c r="AS366" s="1097">
        <f>(AN366*(1+$EX$10)+$EX$36)*(1+(INDEX(绊状态确认!$T:$T,MATCH($G366,绊状态确认!$B:$B,))+0.2)*AO366)*IF(J366=$FF$17,1+$FE$17,1)*IF(I366=$FF$14,1+$FE$14,1)</f>
        <v>10715.157143028</v>
      </c>
      <c r="AT366" s="1093">
        <f>IF(AND(INDEX('卡片raw data'!AK:AK,MATCH($D366,'卡片raw data'!$F:$F,))&lt;INDEX('卡片raw data'!AM:AM,MATCH($D366,'卡片raw data'!$F:$F,)),INDEX('卡片raw data'!AL:AL,MATCH($D366,'卡片raw data'!$F:$F,))&lt;INDEX('卡片raw data'!AM:AM,MATCH($D366,'卡片raw data'!$F:$F,))),1,0)</f>
        <v>0</v>
      </c>
      <c r="AU366" s="1098">
        <f>MIN(AT366*0.15+AS366*0.00003+INDEX(绊状态确认!M:M,MATCH($G366,绊状态确认!$B:$B,)),1)</f>
        <v>0.35145471429084002</v>
      </c>
      <c r="AV366" s="1109">
        <f>(INDEX(绊状态确认!$N:$N,MATCH($G366,绊状态确认!$B:$B,))+1.5)*$EW$21</f>
        <v>2.6599999999999997</v>
      </c>
      <c r="AW366" s="1101">
        <f t="shared" si="451"/>
        <v>19312.282245726768</v>
      </c>
      <c r="AX366" s="1097">
        <f t="shared" si="452"/>
        <v>807.64127157677183</v>
      </c>
      <c r="AY366" s="1110">
        <f t="shared" si="453"/>
        <v>20119.923517303541</v>
      </c>
      <c r="AZ366" s="429">
        <f t="shared" si="454"/>
        <v>17631.35132876</v>
      </c>
      <c r="BA366" s="431">
        <f t="shared" si="455"/>
        <v>21157.621594511998</v>
      </c>
      <c r="BB366" s="1097">
        <f>(AM366*(1+$FB$9)+$FB$35)*(1+(INDEX(绊状态确认!$T:$T,MATCH($G366,绊状态确认!$B:$B,))+0.2)*AO366)*IF(J366=$FF$17,1+$FE$17,1)*IF(I366=$FF$14,1+$FE$14,1)*(1+$FE$15)</f>
        <v>9484.584574036</v>
      </c>
      <c r="BC366" s="1097">
        <f>(AN366*(1+$FB$10)+$FB$36)*(1+(INDEX(绊状态确认!$T:$T,MATCH($G366,绊状态确认!$B:$B,))+0.2)*AO366)*IF(J366=$FF$17,1+$FE$17,1)*IF(I366=$FF$14,1+$FE$14,1)*(1+$FE$15)</f>
        <v>10715.157143028</v>
      </c>
      <c r="BD366" s="1104">
        <f>MIN(AT366*0.15+BC366*0.00003+INDEX(绊状态确认!M:M,MATCH($G366,绊状态确认!$B:$B,)),1)</f>
        <v>0.35145471429084002</v>
      </c>
      <c r="BE366" s="432">
        <f>(INDEX(绊状态确认!$N:$N,MATCH($G366,绊状态确认!$B:$B,))+1.5)</f>
        <v>1.9</v>
      </c>
      <c r="BF366" s="1139">
        <f t="array" ref="BF366">SUMPRODUCT(IF(AZ366*AP366*$FI$16:$FI$23*$FA$22&gt;=$FI$24,$FI$24,AZ366*AP366*$FI$16:$FI$23*$FA$22),$FJ$16:$FJ$23)</f>
        <v>35068.757792903649</v>
      </c>
      <c r="BG366" s="1125">
        <f t="array" ref="BG366">SUMPRODUCT(IF(BE366*AZ366*AP366*$FI$16:$FI$23*$FA$22&gt;=$FI$24,$FI$24,BE366*AZ366*AP366*$FI$16:$FI$23*$FA$22),$FJ$16:$FJ$23)</f>
        <v>58887.359445509297</v>
      </c>
      <c r="BH366" s="1110">
        <f t="shared" si="456"/>
        <v>14479.972543842499</v>
      </c>
      <c r="BI366" s="1111">
        <f>IF(O366="vo",$EW$26/$EW$24*0.05,0)+IF(O366="sk",-$EW$26/$EW$24*(0.05-INDEX(绊状态确认!W:W,MATCH($G366,绊状态确认!$B:$B,)))+0.05*$EW$28,0)+IF(O366="sp",0.05*$EW$32*$EW$30*(1-$EW$33)-(0.05-INDEX(绊状态确认!V:V,MATCH($G366,绊状态确认!$B:$B,)))*$EW$28,0)+IF(O366="gd",-(0.05-INDEX(绊状态确认!X:X,MATCH($G366,绊状态确认!$B:$B,)))*$EW$32*$EW$30*(1-$EW$33),0)</f>
        <v>7726.3029277443748</v>
      </c>
      <c r="BJ366" s="1097">
        <f>IF(O366="vo",0.05*(1-$FI$26)*$FA$24,0)+IF(O366="sk",-(0.05-INDEX(绊状态确认!W:W,MATCH($G366,绊状态确认!$B:$B,)))*(1-$FI$26)*$FA$24+0.05*$FA$26,0)+IF(O366="sp",0.05*$FA$32*$FA$27*(1-$FA$33)/$FA$30+0.05*$FA$29/$FA$69*$FA$27*(1-$FA$33)-(0.05-INDEX(绊状态确认!V:V,MATCH($G366,绊状态确认!$B:$B,)))*$FA$26,0)+IF(O366="gd",-(0.05-INDEX(绊状态确认!X:X,MATCH($G366,绊状态确认!$B:$B,)))*$FA$32*$FA$27*(1-$FA$33)/$FA$30-(0.05-INDEX(绊状态确认!X:X,MATCH($G366,绊状态确认!$B:$B,)))*$FA$29/$FA$69*$FA$27*(1-$FA$33),0)</f>
        <v>393.93433687500004</v>
      </c>
      <c r="BK366" s="1110">
        <f>IF(O366="vo",$EW$26/$EW$24*0.05+$EW$26*(-HP($EW$62,$EW$65,$EW$64)+HP($EW$62,$EW$65,(1.05-INDEX(绊状态确认!U:U,MATCH($G366,绊状态确认!$B:$B,)))*$EW$64)),0)+IF(O366="sk",-$EW$26/$EW$24*(0.05-INDEX(绊状态确认!W:W,MATCH($G366,绊状态确认!$B:$B,)))+0.05*$EW$29,0)+IF(O366="sp",0.05*$EW$32*$EW$30*(1-$EW$33)-(0.05-INDEX(绊状态确认!V:V,MATCH($G366,绊状态确认!$B:$B,)))*$EW$29,0)+IF(O366="gd",-(0.05-INDEX(绊状态确认!X:X,MATCH($G366,绊状态确认!$B:$B,)))*$EW$32*$EW$30*(1-$EW$33)+$EW$26*(-HP($EW$62,$EW$65,$EW$64)+HP($EW$62,$EW$65,0.95*$EW$64)),0)</f>
        <v>6421.6344775026746</v>
      </c>
      <c r="BL366" s="1111">
        <f t="shared" si="457"/>
        <v>-1083.3333333333333</v>
      </c>
      <c r="BM366" s="1110">
        <f t="shared" si="458"/>
        <v>-830.55555555555543</v>
      </c>
      <c r="BN366" s="1113">
        <f t="shared" si="459"/>
        <v>3</v>
      </c>
      <c r="BO366" s="1108">
        <f t="shared" si="460"/>
        <v>4507.7214871259994</v>
      </c>
      <c r="BP366" s="1100">
        <f t="shared" si="461"/>
        <v>221.34103209030098</v>
      </c>
      <c r="BQ366" s="1113" t="s">
        <v>132</v>
      </c>
      <c r="BR366" s="1124" t="s">
        <v>171</v>
      </c>
      <c r="BS366" s="1098">
        <f>IF($P366="","N/A",IF($P366=-1,INDEX('卡片raw data'!AX:AX,MATCH($D366,'卡片raw data'!$F:$F,)),0)+IF($L366="party卡",IF($P366=5,INDEX('卡片raw data'!BD:BD,MATCH($D366,'卡片raw data'!$F:$F,)),IF($P366&gt;=3,INDEX('卡片raw data'!BC:BC,MATCH($D366,'卡片raw data'!$F:$F,)),INDEX('卡片raw data'!BB:BB,MATCH($D366,'卡片raw data'!$F:$F,)))),IF(OR(AND($F366="UR",$P366=0),AND($F366="SR",$P366&gt;=0,$P366&lt;=2),AND($F366="R",$P366&gt;=0,$P366&lt;4)),INDEX('卡片raw data'!AZ:AZ,MATCH($D366,'卡片raw data'!$F:$F,)),0)+IF(OR(AND($F366="UR",$P366&gt;=1,$P366&lt;=4),AND($F366="SR",$P366&lt;=4,$P366&gt;=3),AND($F366="R",$P366=4)),INDEX('卡片raw data'!BA:BA,MATCH($D366,'卡片raw data'!$F:$F,)),0)+IF($P366=5,INDEX('卡片raw data'!BB:BB,MATCH($D366,'卡片raw data'!$F:$F,)),0)))</f>
        <v>3.2000000000000001E-2</v>
      </c>
      <c r="BT366" s="1101">
        <f t="shared" si="462"/>
        <v>1602.7454176448</v>
      </c>
      <c r="BU366" s="1097">
        <f t="shared" si="463"/>
        <v>68.861654428093644</v>
      </c>
      <c r="BV366" s="1097">
        <f t="shared" si="464"/>
        <v>801.37270882240011</v>
      </c>
      <c r="BW366" s="1112">
        <f t="shared" si="465"/>
        <v>0</v>
      </c>
      <c r="BX366" s="1100">
        <f t="shared" si="466"/>
        <v>1602.7454176448</v>
      </c>
      <c r="BY366" s="1110">
        <f t="shared" si="467"/>
        <v>801.37270882240011</v>
      </c>
      <c r="BZ366" s="1113" t="s">
        <v>569</v>
      </c>
      <c r="CA366" s="1124"/>
      <c r="CB366" s="1098">
        <f>IF($P366="","N/A",IF($P366=-1,INDEX('卡片raw data'!BE:BE,MATCH($D366,'卡片raw data'!$F:$F,)),0)+IF($L366="party卡",IF($P366=5,INDEX('卡片raw data'!BK:BK,MATCH($D366,'卡片raw data'!$F:$F,)),IF($P366&gt;=3,INDEX('卡片raw data'!BJ:BJ,MATCH($D366,'卡片raw data'!$F:$F,)),INDEX('卡片raw data'!BI:BI,MATCH($D366,'卡片raw data'!$F:$F,)))),IF(OR(AND($F366="UR",$P366=0),AND($F366="SR",$P366&gt;=0,$P366&lt;=2),AND($F366="R",$P366&gt;=0,$P366&lt;4)),INDEX('卡片raw data'!BG:BG,MATCH($D366,'卡片raw data'!$F:$F,)),0)+IF(OR(AND($F366="UR",$P366&gt;=1,$P366&lt;=4),AND($F366="SR",$P366&lt;=4,$P366&gt;=3),AND($F366="R",$P366=4)),INDEX('卡片raw data'!BH:BH,MATCH($D366,'卡片raw data'!$F:$F,)),0)+IF($P366=5,INDEX('卡片raw data'!BI:BI,MATCH($D366,'卡片raw data'!$F:$F,)),0)))</f>
        <v>0</v>
      </c>
      <c r="CC366" s="1101">
        <f t="shared" si="468"/>
        <v>0</v>
      </c>
      <c r="CD366" s="1097">
        <f>IF(BZ366="ap",CB366*(1-$FI$26)*$FB$5/$FB$11*(+IF(CA366="全员",$FA$24,0)+IF(CA366="同作战",$FA$24,0)+IF(CA366="仲间",$FA$24*2/3,0)+IF(CA366="同属性",$FA$24*$FA$37/3,0)+IF(CA366="同年级",$FA$24*$FA$40/3,0)+IF(CA366="同学校",$FA$24*$FA$43/3,0)+IF(CA366="同小队",$FA$24*$FA$46/3,0)+IF(CA366="同type",$FA$24*INDEX($FB$49:$FB$52,MATCH(X366,$FA$49:$FA$52,))/3,0)+IF(CA366="自身",#REF!/3,0)),0)+IF(BZ366="te",CB366*(1-$FI$27)*($FA$20-1)*$FB$7/$FB$13*(+IF(CA366="全员",$FA$19*$FA$24/(1+($FA$20-1)*$FA$19),0)+IF(CA366="同作战",$FA$19*$FA$24/(1+($FA$20-1)*$FA$19),0)+IF(CA366="仲间",$FA$19*$FA$24*2/3/(1+($FA$20-1)*$FA$19),0)+IF(CA366="同属性",$FA$19*$FA$24*$FA$37/3/(1+($FA$20-1)*$FA$19),0)+IF(CA366="同年级",$FA$19*$FA$24*$FA$40/3/(1+($FA$20-1)*$FA$19),0)+IF(CA366="同学校",$FA$19*$FA$24*$FA$43/3/(1+($FA$20-1)*$FA$19),0)+IF(CA366="同小队",$FA$19*$FA$24*$FA$46/3/(1+($FA$20-1)*$FA$19),0)+IF(CA366="同type",$FA$19*$FA$24*INDEX($FB$49:$FB$52,MATCH(X366,$FA$49:$FA$52,))/3/(1+($FA$20-1)*$FA$19),0)+IF(CA366="自身",$FA$19*#REF!/3/(1+(BH366-1)*$BD366),0)),0)</f>
        <v>0</v>
      </c>
      <c r="CE366" s="1097">
        <f t="shared" si="469"/>
        <v>0</v>
      </c>
      <c r="CF366" s="1112">
        <f t="shared" si="470"/>
        <v>0</v>
      </c>
      <c r="CG366" s="1100">
        <f t="shared" si="471"/>
        <v>0</v>
      </c>
      <c r="CH366" s="1110">
        <f t="shared" si="472"/>
        <v>0</v>
      </c>
      <c r="CI366" s="1113" t="s">
        <v>162</v>
      </c>
      <c r="CJ366" s="1114">
        <v>1</v>
      </c>
      <c r="CK366" s="1115" t="s">
        <v>545</v>
      </c>
      <c r="CL366" s="1115" t="s">
        <v>1940</v>
      </c>
      <c r="CM366" s="1119">
        <v>0.75</v>
      </c>
      <c r="CN366" s="1115"/>
      <c r="CO366" s="1115">
        <v>1</v>
      </c>
      <c r="CP366" s="1116">
        <f t="shared" si="473"/>
        <v>81.776423639276771</v>
      </c>
      <c r="CQ366" s="1116">
        <f t="shared" si="474"/>
        <v>114.60378363693999</v>
      </c>
      <c r="CR366" s="1117">
        <f t="shared" si="475"/>
        <v>81.776423639276771</v>
      </c>
      <c r="CS366" s="1118">
        <f t="shared" si="476"/>
        <v>0</v>
      </c>
      <c r="CT366" s="1109">
        <f t="shared" si="477"/>
        <v>0</v>
      </c>
      <c r="CU366" s="1101">
        <f t="shared" si="478"/>
        <v>89.95406600320446</v>
      </c>
      <c r="CV366" s="1108">
        <f t="shared" si="479"/>
        <v>114.60378363693999</v>
      </c>
      <c r="CW366" s="1097">
        <f t="shared" si="480"/>
        <v>89.95406600320446</v>
      </c>
      <c r="CX366" s="1097">
        <f t="shared" si="481"/>
        <v>89.95406600320446</v>
      </c>
      <c r="CY366" s="1110">
        <f t="shared" si="482"/>
        <v>89.95406600320446</v>
      </c>
      <c r="CZ366" s="437"/>
      <c r="DA366" s="438"/>
      <c r="DB366" s="439" t="s">
        <v>569</v>
      </c>
      <c r="DC366" s="439"/>
      <c r="DD366" s="443"/>
      <c r="DE366" s="411"/>
      <c r="DF366" s="411"/>
      <c r="DG366" s="1116">
        <f t="shared" si="483"/>
        <v>0</v>
      </c>
      <c r="DH366" s="1116">
        <f t="shared" si="484"/>
        <v>0</v>
      </c>
      <c r="DI366" s="1116">
        <f t="shared" si="485"/>
        <v>0</v>
      </c>
      <c r="DJ366" s="442">
        <f t="shared" si="486"/>
        <v>0</v>
      </c>
      <c r="DK366" s="1109">
        <f t="shared" si="487"/>
        <v>0</v>
      </c>
      <c r="DL366" s="1101">
        <f t="shared" si="488"/>
        <v>0</v>
      </c>
      <c r="DM366" s="1097">
        <f t="shared" si="489"/>
        <v>0</v>
      </c>
      <c r="DN366" s="1097">
        <f t="shared" si="490"/>
        <v>0</v>
      </c>
      <c r="DO366" s="1097">
        <f t="shared" si="491"/>
        <v>0</v>
      </c>
      <c r="DP366" s="1110">
        <f t="shared" si="492"/>
        <v>0</v>
      </c>
      <c r="DQ366" s="1113" t="s">
        <v>221</v>
      </c>
      <c r="DR366" s="1120">
        <f t="shared" si="493"/>
        <v>0.3</v>
      </c>
      <c r="DS366" s="1124">
        <v>5</v>
      </c>
      <c r="DT366" s="1093" t="s">
        <v>171</v>
      </c>
      <c r="DU366" s="1093" t="s">
        <v>544</v>
      </c>
      <c r="DV366" s="1098">
        <f>IF($P366="","N/A",IF(P366=-1,INDEX('卡片raw data'!AN:AN,MATCH(D366,'卡片raw data'!$F:$F,)),0)+IF(AND(L366&lt;&gt;"party卡",P366&lt;=2,P366&gt;=0),INDEX('卡片raw data'!AP:AP,MATCH(D366,'卡片raw data'!$F:$F,)),0)+IF(OR(AND(L366="party卡",P366&lt;=1),AND(P366&lt;=4,L366&lt;&gt;"party卡",P366&gt;=3)),INDEX('卡片raw data'!AQ:AQ,MATCH(D366,'卡片raw data'!$F:$F,)),0)+IF(OR(P366=5,AND(L366="party卡",P366&gt;=2)),INDEX('卡片raw data'!AR:AR,MATCH(D366,'卡片raw data'!$F:$F,)),0))</f>
        <v>4.2000000000000003E-2</v>
      </c>
      <c r="DW366" s="1098">
        <f t="shared" si="494"/>
        <v>0.3</v>
      </c>
      <c r="DX366" s="1098">
        <f t="shared" si="495"/>
        <v>0.3</v>
      </c>
      <c r="DY366" s="1098">
        <f t="shared" si="496"/>
        <v>1.3999999999999999E-2</v>
      </c>
      <c r="DZ366" s="1098">
        <f t="shared" si="497"/>
        <v>1.0596249999999998E-2</v>
      </c>
      <c r="EA366" s="1098">
        <f t="shared" si="498"/>
        <v>0</v>
      </c>
      <c r="EB366" s="1121">
        <f t="shared" si="499"/>
        <v>0</v>
      </c>
      <c r="EC366" s="1101">
        <f t="shared" si="500"/>
        <v>2379.7013017452673</v>
      </c>
      <c r="ED366" s="1097">
        <f t="shared" si="501"/>
        <v>83.484534342234369</v>
      </c>
      <c r="EE366" s="1110">
        <f t="shared" si="513"/>
        <v>2379.7013017452673</v>
      </c>
      <c r="EF366" s="1115" t="s">
        <v>569</v>
      </c>
      <c r="EG366" s="1120">
        <f t="shared" si="503"/>
        <v>0.3</v>
      </c>
      <c r="EH366" s="1124"/>
      <c r="EI366" s="1093"/>
      <c r="EJ366" s="1093"/>
      <c r="EK366" s="1097">
        <f>IF($P366="","N/A",IF(P366=-1,INDEX('卡片raw data'!AS:AS,MATCH(D366,'卡片raw data'!$F:$F,)),0)+IF(AND(L366&lt;&gt;"party卡",P366&lt;=2,P366&gt;=0),INDEX('卡片raw data'!AU:AU,MATCH(D366,'卡片raw data'!$F:$F,)),0)+IF(OR(AND(L366="party卡",P366&lt;=1),AND(P366&lt;=4,L366&lt;&gt;"party卡",P366&gt;=3)),INDEX('卡片raw data'!AV:AV,MATCH(D366,'卡片raw data'!$F:$F,)),0)+IF(OR(P366=5,AND(L366="party卡",P366&gt;=2)),INDEX('卡片raw data'!AW:AW,MATCH(D366,'卡片raw data'!$F:$F,)),0))</f>
        <v>0</v>
      </c>
      <c r="EL366" s="1098">
        <f t="shared" si="504"/>
        <v>0.3</v>
      </c>
      <c r="EM366" s="1098">
        <f t="shared" si="505"/>
        <v>0.3</v>
      </c>
      <c r="EN366" s="1097">
        <f t="shared" si="506"/>
        <v>0</v>
      </c>
      <c r="EO366" s="1097">
        <f t="shared" si="507"/>
        <v>0</v>
      </c>
      <c r="EP366" s="1098">
        <f t="shared" si="508"/>
        <v>0</v>
      </c>
      <c r="EQ366" s="1121">
        <f t="shared" si="509"/>
        <v>0</v>
      </c>
      <c r="ER366" s="1101">
        <f t="shared" si="510"/>
        <v>0</v>
      </c>
      <c r="ES366" s="1097">
        <f t="shared" si="511"/>
        <v>0</v>
      </c>
      <c r="ET366" s="1122">
        <f t="shared" si="514"/>
        <v>0</v>
      </c>
    </row>
    <row r="367" spans="2:150" ht="16.5" customHeight="1">
      <c r="B367" s="1123" t="str">
        <f>INDEX('卡片raw data'!B:B,MATCH($D367,'卡片raw data'!$F:$F,))</f>
        <v>三专爱</v>
      </c>
      <c r="C367" s="449" t="s">
        <v>1739</v>
      </c>
      <c r="D367" s="408">
        <v>364</v>
      </c>
      <c r="E367" s="477">
        <v>402052003</v>
      </c>
      <c r="F367" s="1090" t="str">
        <f>INDEX('卡片raw data'!C:C,MATCH($D367,'卡片raw data'!$F:$F,))</f>
        <v>SR</v>
      </c>
      <c r="G367" s="1094" t="s">
        <v>1751</v>
      </c>
      <c r="H367" s="411">
        <f>IFERROR(INDEX(绊状态确认!C:C,MATCH($G367,绊状态确认!$B:$B,)),"")</f>
        <v>205</v>
      </c>
      <c r="I367" s="450" t="str">
        <f>IFERROR(INDEX(绊状态确认!D:D,MATCH($G367,绊状态确认!$B:$B,)),"")</f>
        <v>虹</v>
      </c>
      <c r="J367" s="450" t="str">
        <f>IFERROR(INDEX(绊状态确认!E:E,MATCH($G367,绊状态确认!$B:$B,)),"")</f>
        <v>2年级</v>
      </c>
      <c r="K367" s="451" t="str">
        <f>IFERROR(INDEX(绊状态确认!F:F,MATCH($G367,绊状态确认!$B:$B,)),"")</f>
        <v>Diver Diva</v>
      </c>
      <c r="L367" s="1094" t="str">
        <f>INDEX('卡片raw data'!E:E,MATCH($D367,'卡片raw data'!$F:$F,))</f>
        <v>活动卡</v>
      </c>
      <c r="M367" s="478">
        <v>44169</v>
      </c>
      <c r="N367" s="479">
        <v>29</v>
      </c>
      <c r="O367" s="1091" t="str">
        <f>INDEX('卡片raw data'!D:D,MATCH($D367,'卡片raw data'!$F:$F,))</f>
        <v>sk</v>
      </c>
      <c r="P367" s="1126">
        <v>5</v>
      </c>
      <c r="Q367" s="1095">
        <f t="shared" si="428"/>
        <v>21044.260213853653</v>
      </c>
      <c r="R367" s="1096">
        <f t="shared" si="429"/>
        <v>0.24399999999999999</v>
      </c>
      <c r="S367" s="1097">
        <f t="shared" si="430"/>
        <v>13280.499557786025</v>
      </c>
      <c r="T367" s="1098">
        <f t="shared" si="431"/>
        <v>0.66400000000000003</v>
      </c>
      <c r="U367" s="1099">
        <f t="shared" si="432"/>
        <v>9.9130263923228572</v>
      </c>
      <c r="V367" s="1100">
        <f t="shared" si="433"/>
        <v>23831.709320752427</v>
      </c>
      <c r="W367" s="1101">
        <f t="shared" si="434"/>
        <v>4507.7214871259994</v>
      </c>
      <c r="X367" s="1096">
        <f t="shared" si="435"/>
        <v>5.1999999999999998E-2</v>
      </c>
      <c r="Y367" s="1097">
        <f t="shared" si="436"/>
        <v>787.4491068987727</v>
      </c>
      <c r="Z367" s="1102">
        <f t="shared" si="437"/>
        <v>9.9130263923228572</v>
      </c>
      <c r="AA367" s="1103">
        <f t="shared" si="438"/>
        <v>5295.1705940247721</v>
      </c>
      <c r="AB367" s="1101">
        <f t="shared" si="439"/>
        <v>5744.6195397046058</v>
      </c>
      <c r="AC367" s="1104">
        <f t="shared" si="440"/>
        <v>6.6000000000000003E-2</v>
      </c>
      <c r="AD367" s="1105">
        <f t="shared" si="441"/>
        <v>1.8994224431818179E-2</v>
      </c>
      <c r="AE367" s="1128">
        <f t="shared" si="442"/>
        <v>4.3537577047458456</v>
      </c>
      <c r="AF367" s="1130">
        <f t="shared" si="443"/>
        <v>0</v>
      </c>
      <c r="AG367" s="420">
        <f t="shared" si="444"/>
        <v>0</v>
      </c>
      <c r="AH367" s="420">
        <f t="shared" si="445"/>
        <v>0</v>
      </c>
      <c r="AI367" s="1097">
        <f t="shared" si="446"/>
        <v>0</v>
      </c>
      <c r="AJ367" s="420">
        <f t="shared" si="447"/>
        <v>0</v>
      </c>
      <c r="AK367" s="518">
        <f t="shared" si="448"/>
        <v>0</v>
      </c>
      <c r="AL367" s="1106">
        <f>IF($P367="","N/A",(IF($P367=-1,INDEX('卡片raw data'!S:S,MATCH($D367,'卡片raw data'!$F:$F,)),0)+IF($P367=0,INDEX('卡片raw data'!V:V,MATCH($D367,'卡片raw data'!$F:$F,)),0)+IF($P367=1,INDEX('卡片raw data'!Y:Y,MATCH($D367,'卡片raw data'!$F:$F,)),0)+IF($P367=2,INDEX('卡片raw data'!AB:AB,MATCH($D367,'卡片raw data'!$F:$F,)),0)+IF($P367=3,INDEX('卡片raw data'!AE:AE,MATCH($D367,'卡片raw data'!$F:$F,)),0)+IF($P367=4,INDEX('卡片raw data'!AH:AH,MATCH($D367,'卡片raw data'!$F:$F,)),0)+IF($P367=5,INDEX('卡片raw data'!AK:AK,MATCH($D367,'卡片raw data'!$F:$F,)),0)+INDEX('卡片raw data'!S:S,MATCH($D367,'卡片raw data'!$F:$F,))*(IF($F367="UR",0.04,0.033))*(IF($F367="UR",INDEX(绊状态确认!$S:$S,MATCH($G367,绊状态确认!$B:$B,))/2-40)+IF($F367="SR",INDEX(绊状态确认!$R:$R,MATCH($G367,绊状态确认!$B:$B,))/4-15))+IF($F367="R",INDEX(绊状态确认!$Q:$Q,MATCH($G367,绊状态确认!$B:$B,))/6-40/6)))*(INDEX(绊状态确认!$H:$H,MATCH($G367,绊状态确认!$B:$B,))+INDEX(绊状态确认!J:J,MATCH($G367,绊状态确认!$B:$B,)))</f>
        <v>5481.8481407999998</v>
      </c>
      <c r="AM367" s="1106">
        <f>IF($P367="","N/A",(IF($P367=-1,INDEX('卡片raw data'!T:T,MATCH($D367,'卡片raw data'!$F:$F,)),0)+IF($P367=0,INDEX('卡片raw data'!W:W,MATCH($D367,'卡片raw data'!$F:$F,)),0)+IF($P367=1,INDEX('卡片raw data'!Z:Z,MATCH($D367,'卡片raw data'!$F:$F,)),0)+IF($P367=2,INDEX('卡片raw data'!AC:AC,MATCH($D367,'卡片raw data'!$F:$F,)),0)+IF($P367=3,INDEX('卡片raw data'!AF:AF,MATCH($D367,'卡片raw data'!$F:$F,)),0)+IF($P367=4,INDEX('卡片raw data'!AI:AI,MATCH($D367,'卡片raw data'!$F:$F,)),0)+IF($P367=5,INDEX('卡片raw data'!AL:AL,MATCH($D367,'卡片raw data'!$F:$F,)),0)+INDEX('卡片raw data'!T:T,MATCH($D367,'卡片raw data'!$F:$F,))*(IF($F367="UR",0.04,0.033))*(IF($F367="UR",INDEX(绊状态确认!$S:$S,MATCH($G367,绊状态确认!$B:$B,))/2-40)+IF($F367="SR",INDEX(绊状态确认!$R:$R,MATCH($G367,绊状态确认!$B:$B,))/4-15))+IF($F367="R",INDEX(绊状态确认!$Q:$Q,MATCH($G367,绊状态确认!$B:$B,))/6-40/6)))*(INDEX(绊状态确认!$H:$H,MATCH($G367,绊状态确认!$B:$B,))+INDEX(绊状态确认!K:K,MATCH($G367,绊状态确认!$B:$B,)))</f>
        <v>4797.1853231999994</v>
      </c>
      <c r="AN367" s="1106">
        <f>IF($P367="","N/A",(IF($P367=-1,INDEX('卡片raw data'!U:U,MATCH($D367,'卡片raw data'!$F:$F,)),0)+IF($P367=0,INDEX('卡片raw data'!X:X,MATCH($D367,'卡片raw data'!$F:$F,)),0)+IF($P367=1,INDEX('卡片raw data'!AA:AA,MATCH($D367,'卡片raw data'!$F:$F,)),0)+IF($P367=2,INDEX('卡片raw data'!AD:AD,MATCH($D367,'卡片raw data'!$F:$F,)),0)+IF($P367=3,INDEX('卡片raw data'!AG:AG,MATCH($D367,'卡片raw data'!$F:$F,)),0)+IF($P367=4,INDEX('卡片raw data'!AJ:AJ,MATCH($D367,'卡片raw data'!$F:$F,)),0)+IF($P367=5,INDEX('卡片raw data'!AM:AM,MATCH($D367,'卡片raw data'!$F:$F,)),0)+INDEX('卡片raw data'!U:U,MATCH($D367,'卡片raw data'!$F:$F,))*(IF($F367="UR",0.04,0.033))*(IF($F367="UR",INDEX(绊状态确认!$S:$S,MATCH($G367,绊状态确认!$B:$B,))/2-40)+IF($F367="SR",INDEX(绊状态确认!$R:$R,MATCH($G367,绊状态确认!$B:$B,))/4-15))+IF($F367="R",INDEX(绊状态确认!$Q:$Q,MATCH($G367,绊状态确认!$B:$B,))/6-40/6)))*(INDEX(绊状态确认!$H:$H,MATCH($G367,绊状态确认!$B:$B,))+INDEX(绊状态确认!L:L,MATCH($G367,绊状态确认!$B:$B,)))</f>
        <v>6853.4465759999994</v>
      </c>
      <c r="AO367" s="1107">
        <f t="shared" si="449"/>
        <v>1</v>
      </c>
      <c r="AP367" s="1131">
        <f>1+(INDEX(绊状态确认!$T:$T,MATCH($G367,绊状态确认!$B:$B,))+0.2)*$AO367</f>
        <v>1.3</v>
      </c>
      <c r="AQ367" s="1108">
        <f t="shared" si="450"/>
        <v>17639.851369600001</v>
      </c>
      <c r="AR367" s="1097">
        <f>(AM367*(1+$EX$9)+$EX$35)*(1+(INDEX(绊状态确认!$T:$T,MATCH($G367,绊状态确认!$B:$B,))+0.2)*AO367)*IF(J367=$FF$17,1+$FE$17,1)*IF(I367=$FF$14,1+$FE$14,1)</f>
        <v>9252.1579661680007</v>
      </c>
      <c r="AS367" s="1097">
        <f>(AN367*(1+$EX$10)+$EX$36)*(1+(INDEX(绊状态确认!$T:$T,MATCH($G367,绊状态确认!$B:$B,))+0.2)*AO367)*IF(J367=$FF$17,1+$FE$17,1)*IF(I367=$FF$14,1+$FE$14,1)</f>
        <v>14301.902631119998</v>
      </c>
      <c r="AT367" s="1093">
        <f>IF(AND(INDEX('卡片raw data'!AK:AK,MATCH($D367,'卡片raw data'!$F:$F,))&lt;INDEX('卡片raw data'!AM:AM,MATCH($D367,'卡片raw data'!$F:$F,)),INDEX('卡片raw data'!AL:AL,MATCH($D367,'卡片raw data'!$F:$F,))&lt;INDEX('卡片raw data'!AM:AM,MATCH($D367,'卡片raw data'!$F:$F,))),1,0)</f>
        <v>1</v>
      </c>
      <c r="AU367" s="1098">
        <f>MIN(AT367*0.15+AS367*0.00003+INDEX(绊状态确认!M:M,MATCH($G367,绊状态确认!$B:$B,)),1)</f>
        <v>0.60905707893359995</v>
      </c>
      <c r="AV367" s="1109">
        <f>(INDEX(绊状态确认!$N:$N,MATCH($G367,绊状态确认!$B:$B,))+1.5)*$EW$21</f>
        <v>2.6599999999999997</v>
      </c>
      <c r="AW367" s="1101">
        <f t="shared" si="451"/>
        <v>18423.488208124618</v>
      </c>
      <c r="AX367" s="1097">
        <f t="shared" si="452"/>
        <v>787.44910689877258</v>
      </c>
      <c r="AY367" s="1110">
        <f t="shared" si="453"/>
        <v>19210.937315023391</v>
      </c>
      <c r="AZ367" s="429">
        <f t="shared" si="454"/>
        <v>13289.60387456</v>
      </c>
      <c r="BA367" s="431">
        <f t="shared" si="455"/>
        <v>15947.524649472</v>
      </c>
      <c r="BB367" s="1097">
        <f>(AM367*(1+$FB$9)+$FB$35)*(1+(INDEX(绊状态确认!$T:$T,MATCH($G367,绊状态确认!$B:$B,))+0.2)*AO367)*IF(J367=$FF$17,1+$FE$17,1)*IF(I367=$FF$14,1+$FE$14,1)*(1+$FE$15)</f>
        <v>9252.1579661680007</v>
      </c>
      <c r="BC367" s="1097">
        <f>(AN367*(1+$FB$10)+$FB$36)*(1+(INDEX(绊状态确认!$T:$T,MATCH($G367,绊状态确认!$B:$B,))+0.2)*AO367)*IF(J367=$FF$17,1+$FE$17,1)*IF(I367=$FF$14,1+$FE$14,1)*(1+$FE$15)</f>
        <v>14301.902631119998</v>
      </c>
      <c r="BD367" s="1104">
        <f>MIN(AT367*0.15+BC367*0.00003+INDEX(绊状态确认!M:M,MATCH($G367,绊状态确认!$B:$B,)),1)</f>
        <v>0.60905707893359995</v>
      </c>
      <c r="BE367" s="432">
        <f>(INDEX(绊状态确认!$N:$N,MATCH($G367,绊状态确认!$B:$B,))+1.5)</f>
        <v>1.9</v>
      </c>
      <c r="BF367" s="1139">
        <f t="array" ref="BF367">SUMPRODUCT(IF(AZ367*AP367*$FI$16:$FI$23*$FA$22&gt;=$FI$24,$FI$24,AZ367*AP367*$FI$16:$FI$23*$FA$22),$FJ$16:$FJ$23)</f>
        <v>26433.022106499844</v>
      </c>
      <c r="BG367" s="1125">
        <f t="array" ref="BG367">SUMPRODUCT(IF(BE367*AZ367*AP367*$FI$16:$FI$23*$FA$22&gt;=$FI$24,$FI$24,BE367*AZ367*AP367*$FI$16:$FI$23*$FA$22),$FJ$16:$FJ$23)</f>
        <v>49985.930904018693</v>
      </c>
      <c r="BH367" s="1110">
        <f t="shared" si="456"/>
        <v>13592.695979702054</v>
      </c>
      <c r="BI367" s="1111">
        <f>IF(O367="vo",$EW$26/$EW$24*0.05,0)+IF(O367="sk",-$EW$26/$EW$24*(0.05-INDEX(绊状态确认!W:W,MATCH($G367,绊状态确认!$B:$B,)))+0.05*$EW$28,0)+IF(O367="sp",0.05*$EW$32*$EW$30*(1-$EW$33)-(0.05-INDEX(绊状态确认!V:V,MATCH($G367,绊状态确认!$B:$B,)))*$EW$28,0)+IF(O367="gd",-(0.05-INDEX(绊状态确认!X:X,MATCH($G367,绊状态确认!$B:$B,)))*$EW$32*$EW$30*(1-$EW$33),0)</f>
        <v>-6253.6726349699375</v>
      </c>
      <c r="BJ367" s="1097">
        <f>IF(O367="vo",0.05*(1-$FI$26)*$FA$24,0)+IF(O367="sk",-(0.05-INDEX(绊状态确认!W:W,MATCH($G367,绊状态确认!$B:$B,)))*(1-$FI$26)*$FA$24+0.05*$FA$26,0)+IF(O367="sp",0.05*$FA$32*$FA$27*(1-$FA$33)/$FA$30+0.05*$FA$29/$FA$69*$FA$27*(1-$FA$33)-(0.05-INDEX(绊状态确认!V:V,MATCH($G367,绊状态确认!$B:$B,)))*$FA$26,0)+IF(O367="gd",-(0.05-INDEX(绊状态确认!X:X,MATCH($G367,绊状态确认!$B:$B,)))*$FA$32*$FA$27*(1-$FA$33)/$FA$30-(0.05-INDEX(绊状态确认!X:X,MATCH($G367,绊状态确认!$B:$B,)))*$FA$29/$FA$69*$FA$27*(1-$FA$33),0)</f>
        <v>20.459096812499922</v>
      </c>
      <c r="BK367" s="1110">
        <f>IF(O367="vo",$EW$26/$EW$24*0.05+$EW$26*(-HP($EW$62,$EW$65,$EW$64)+HP($EW$62,$EW$65,(1.05-INDEX(绊状态确认!U:U,MATCH($G367,绊状态确认!$B:$B,)))*$EW$64)),0)+IF(O367="sk",-$EW$26/$EW$24*(0.05-INDEX(绊状态确认!W:W,MATCH($G367,绊状态确认!$B:$B,)))+0.05*$EW$29,0)+IF(O367="sp",0.05*$EW$32*$EW$30*(1-$EW$33)-(0.05-INDEX(绊状态确认!V:V,MATCH($G367,绊状态确认!$B:$B,)))*$EW$29,0)+IF(O367="gd",-(0.05-INDEX(绊状态确认!X:X,MATCH($G367,绊状态确认!$B:$B,)))*$EW$32*$EW$30*(1-$EW$33)+$EW$26*(-HP($EW$62,$EW$65,$EW$64)+HP($EW$62,$EW$65,0.95*$EW$64)),0)</f>
        <v>-4253.6726349699375</v>
      </c>
      <c r="BL367" s="1111">
        <f t="shared" si="457"/>
        <v>-1083.3333333333333</v>
      </c>
      <c r="BM367" s="1110">
        <f t="shared" si="458"/>
        <v>-830.55555555555543</v>
      </c>
      <c r="BN367" s="1113">
        <f t="shared" si="459"/>
        <v>3</v>
      </c>
      <c r="BO367" s="1108">
        <f t="shared" si="460"/>
        <v>4507.7214871259994</v>
      </c>
      <c r="BP367" s="1100">
        <f t="shared" si="461"/>
        <v>221.34103209030098</v>
      </c>
      <c r="BQ367" s="1113" t="s">
        <v>134</v>
      </c>
      <c r="BR367" s="1124" t="s">
        <v>166</v>
      </c>
      <c r="BS367" s="1098">
        <f>IF($P367="","N/A",IF($P367=-1,INDEX('卡片raw data'!AX:AX,MATCH($D367,'卡片raw data'!$F:$F,)),0)+IF($L367="party卡",IF($P367=5,INDEX('卡片raw data'!BD:BD,MATCH($D367,'卡片raw data'!$F:$F,)),IF($P367&gt;=3,INDEX('卡片raw data'!BC:BC,MATCH($D367,'卡片raw data'!$F:$F,)),INDEX('卡片raw data'!BB:BB,MATCH($D367,'卡片raw data'!$F:$F,)))),IF(OR(AND($F367="UR",$P367=0),AND($F367="SR",$P367&gt;=0,$P367&lt;=2),AND($F367="R",$P367&gt;=0,$P367&lt;4)),INDEX('卡片raw data'!AZ:AZ,MATCH($D367,'卡片raw data'!$F:$F,)),0)+IF(OR(AND($F367="UR",$P367&gt;=1,$P367&lt;=4),AND($F367="SR",$P367&lt;=4,$P367&gt;=3),AND($F367="R",$P367=4)),INDEX('卡片raw data'!BA:BA,MATCH($D367,'卡片raw data'!$F:$F,)),0)+IF($P367=5,INDEX('卡片raw data'!BB:BB,MATCH($D367,'卡片raw data'!$F:$F,)),0)))</f>
        <v>7.0000000000000007E-2</v>
      </c>
      <c r="BT367" s="1101">
        <f t="shared" si="462"/>
        <v>338.00631834704376</v>
      </c>
      <c r="BU367" s="1097">
        <f t="shared" si="463"/>
        <v>24.407692560075379</v>
      </c>
      <c r="BV367" s="1097">
        <f t="shared" si="464"/>
        <v>0</v>
      </c>
      <c r="BW367" s="1112">
        <f t="shared" si="465"/>
        <v>0</v>
      </c>
      <c r="BX367" s="1100">
        <f t="shared" si="466"/>
        <v>338.00631834704376</v>
      </c>
      <c r="BY367" s="1110">
        <f t="shared" si="467"/>
        <v>0</v>
      </c>
      <c r="BZ367" s="1107" t="s">
        <v>569</v>
      </c>
      <c r="CA367" s="1124"/>
      <c r="CB367" s="1098">
        <f>IF($P367="","N/A",IF($P367=-1,INDEX('卡片raw data'!BE:BE,MATCH($D367,'卡片raw data'!$F:$F,)),0)+IF($L367="party卡",IF($P367=5,INDEX('卡片raw data'!BK:BK,MATCH($D367,'卡片raw data'!$F:$F,)),IF($P367&gt;=3,INDEX('卡片raw data'!BJ:BJ,MATCH($D367,'卡片raw data'!$F:$F,)),INDEX('卡片raw data'!BI:BI,MATCH($D367,'卡片raw data'!$F:$F,)))),IF(OR(AND($F367="UR",$P367=0),AND($F367="SR",$P367&gt;=0,$P367&lt;=2),AND($F367="R",$P367&gt;=0,$P367&lt;4)),INDEX('卡片raw data'!BG:BG,MATCH($D367,'卡片raw data'!$F:$F,)),0)+IF(OR(AND($F367="UR",$P367&gt;=1,$P367&lt;=4),AND($F367="SR",$P367&lt;=4,$P367&gt;=3),AND($F367="R",$P367=4)),INDEX('卡片raw data'!BH:BH,MATCH($D367,'卡片raw data'!$F:$F,)),0)+IF($P367=5,INDEX('卡片raw data'!BI:BI,MATCH($D367,'卡片raw data'!$F:$F,)),0)))</f>
        <v>0</v>
      </c>
      <c r="CC367" s="1101">
        <f t="shared" si="468"/>
        <v>0</v>
      </c>
      <c r="CD367" s="1097">
        <f>IF(BZ367="ap",CB367*(1-$FI$26)*$FB$5/$FB$11*(+IF(CA367="全员",$FA$24,0)+IF(CA367="同作战",$FA$24,0)+IF(CA367="仲间",$FA$24*2/3,0)+IF(CA367="同属性",$FA$24*$FA$37/3,0)+IF(CA367="同年级",$FA$24*$FA$40/3,0)+IF(CA367="同学校",$FA$24*$FA$43/3,0)+IF(CA367="同小队",$FA$24*$FA$46/3,0)+IF(CA367="同type",$FA$24*INDEX($FB$49:$FB$52,MATCH(X367,$FA$49:$FA$52,))/3,0)+IF(CA367="自身",#REF!/3,0)),0)+IF(BZ367="te",CB367*(1-$FI$27)*($FA$20-1)*$FB$7/$FB$13*(+IF(CA367="全员",$FA$19*$FA$24/(1+($FA$20-1)*$FA$19),0)+IF(CA367="同作战",$FA$19*$FA$24/(1+($FA$20-1)*$FA$19),0)+IF(CA367="仲间",$FA$19*$FA$24*2/3/(1+($FA$20-1)*$FA$19),0)+IF(CA367="同属性",$FA$19*$FA$24*$FA$37/3/(1+($FA$20-1)*$FA$19),0)+IF(CA367="同年级",$FA$19*$FA$24*$FA$40/3/(1+($FA$20-1)*$FA$19),0)+IF(CA367="同学校",$FA$19*$FA$24*$FA$43/3/(1+($FA$20-1)*$FA$19),0)+IF(CA367="同小队",$FA$19*$FA$24*$FA$46/3/(1+($FA$20-1)*$FA$19),0)+IF(CA367="同type",$FA$19*$FA$24*INDEX($FB$49:$FB$52,MATCH(X367,$FA$49:$FA$52,))/3/(1+($FA$20-1)*$FA$19),0)+IF(CA367="自身",$FA$19*#REF!/3/(1+(BH367-1)*$BD367),0)),0)</f>
        <v>0</v>
      </c>
      <c r="CE367" s="1097">
        <f t="shared" si="469"/>
        <v>0</v>
      </c>
      <c r="CF367" s="1112">
        <f t="shared" si="470"/>
        <v>0</v>
      </c>
      <c r="CG367" s="1100">
        <f t="shared" si="471"/>
        <v>0</v>
      </c>
      <c r="CH367" s="1110">
        <f t="shared" si="472"/>
        <v>0</v>
      </c>
      <c r="CI367" s="1113" t="s">
        <v>165</v>
      </c>
      <c r="CJ367" s="1114">
        <v>1</v>
      </c>
      <c r="CK367" s="1115" t="s">
        <v>551</v>
      </c>
      <c r="CL367" s="1115" t="s">
        <v>1752</v>
      </c>
      <c r="CM367" s="1119">
        <v>1.4999999999999999E-2</v>
      </c>
      <c r="CN367" s="1115" t="s">
        <v>1753</v>
      </c>
      <c r="CO367" s="1115"/>
      <c r="CP367" s="1118">
        <f t="shared" si="473"/>
        <v>1.4999999999999999E-2</v>
      </c>
      <c r="CQ367" s="1118">
        <f t="shared" si="474"/>
        <v>1.4999999999999999E-2</v>
      </c>
      <c r="CR367" s="1118">
        <f t="shared" si="475"/>
        <v>0</v>
      </c>
      <c r="CS367" s="1118">
        <f t="shared" si="476"/>
        <v>0</v>
      </c>
      <c r="CT367" s="1109">
        <f t="shared" si="477"/>
        <v>0</v>
      </c>
      <c r="CU367" s="1101">
        <f t="shared" si="478"/>
        <v>898.89173423156262</v>
      </c>
      <c r="CV367" s="1108">
        <f t="shared" si="479"/>
        <v>0</v>
      </c>
      <c r="CW367" s="1097">
        <f t="shared" si="480"/>
        <v>0</v>
      </c>
      <c r="CX367" s="1097">
        <f t="shared" si="481"/>
        <v>898.89173423156262</v>
      </c>
      <c r="CY367" s="1110">
        <f t="shared" si="482"/>
        <v>0</v>
      </c>
      <c r="CZ367" s="437"/>
      <c r="DA367" s="438"/>
      <c r="DB367" s="439" t="s">
        <v>569</v>
      </c>
      <c r="DC367" s="439"/>
      <c r="DD367" s="443"/>
      <c r="DE367" s="411"/>
      <c r="DF367" s="411"/>
      <c r="DG367" s="1116">
        <f t="shared" si="483"/>
        <v>0</v>
      </c>
      <c r="DH367" s="1116">
        <f t="shared" si="484"/>
        <v>0</v>
      </c>
      <c r="DI367" s="1116">
        <f t="shared" si="485"/>
        <v>0</v>
      </c>
      <c r="DJ367" s="442">
        <f t="shared" si="486"/>
        <v>0</v>
      </c>
      <c r="DK367" s="1109">
        <f t="shared" si="487"/>
        <v>0</v>
      </c>
      <c r="DL367" s="1101">
        <f t="shared" si="488"/>
        <v>0</v>
      </c>
      <c r="DM367" s="1097">
        <f t="shared" si="489"/>
        <v>0</v>
      </c>
      <c r="DN367" s="1097">
        <f t="shared" si="490"/>
        <v>0</v>
      </c>
      <c r="DO367" s="1097">
        <f t="shared" si="491"/>
        <v>0</v>
      </c>
      <c r="DP367" s="1110">
        <f t="shared" si="492"/>
        <v>0</v>
      </c>
      <c r="DQ367" s="1113" t="s">
        <v>1754</v>
      </c>
      <c r="DR367" s="1120">
        <f t="shared" si="493"/>
        <v>0.3</v>
      </c>
      <c r="DS367" s="1124">
        <v>3</v>
      </c>
      <c r="DT367" s="1124" t="s">
        <v>168</v>
      </c>
      <c r="DU367" s="1093" t="s">
        <v>544</v>
      </c>
      <c r="DV367" s="1098">
        <f>IF($P367="","N/A",IF(P367=-1,INDEX('卡片raw data'!AN:AN,MATCH(D367,'卡片raw data'!$F:$F,)),0)+IF(AND(L367&lt;&gt;"party卡",P367&lt;=2,P367&gt;=0),INDEX('卡片raw data'!AP:AP,MATCH(D367,'卡片raw data'!$F:$F,)),0)+IF(OR(AND(L367="party卡",P367&lt;=1),AND(P367&lt;=4,L367&lt;&gt;"party卡",P367&gt;=3)),INDEX('卡片raw data'!AQ:AQ,MATCH(D367,'卡片raw data'!$F:$F,)),0)+IF(OR(P367=5,AND(L367="party卡",P367&gt;=2)),INDEX('卡片raw data'!AR:AR,MATCH(D367,'卡片raw data'!$F:$F,)),0))</f>
        <v>0.12</v>
      </c>
      <c r="DW367" s="1098">
        <f t="shared" si="494"/>
        <v>0.3</v>
      </c>
      <c r="DX367" s="1098">
        <f t="shared" si="495"/>
        <v>0.3</v>
      </c>
      <c r="DY367" s="1098">
        <f t="shared" si="496"/>
        <v>3.5999999999999997E-2</v>
      </c>
      <c r="DZ367" s="1098">
        <f t="shared" si="497"/>
        <v>3.1139999999999998E-2</v>
      </c>
      <c r="EA367" s="1098">
        <f t="shared" si="498"/>
        <v>0</v>
      </c>
      <c r="EB367" s="1121">
        <f t="shared" si="499"/>
        <v>0</v>
      </c>
      <c r="EC367" s="1101">
        <f t="shared" si="500"/>
        <v>4213.1584343277</v>
      </c>
      <c r="ED367" s="1097">
        <f t="shared" si="501"/>
        <v>252.1513121766508</v>
      </c>
      <c r="EE367" s="1110">
        <f t="shared" si="513"/>
        <v>4213.1584343277</v>
      </c>
      <c r="EF367" s="1115" t="s">
        <v>569</v>
      </c>
      <c r="EG367" s="1120">
        <f t="shared" si="503"/>
        <v>0.3</v>
      </c>
      <c r="EH367" s="1124"/>
      <c r="EI367" s="1093"/>
      <c r="EJ367" s="1093"/>
      <c r="EK367" s="1097">
        <f>IF($P367="","N/A",IF(P367=-1,INDEX('卡片raw data'!AS:AS,MATCH(D367,'卡片raw data'!$F:$F,)),0)+IF(AND(L367&lt;&gt;"party卡",P367&lt;=2,P367&gt;=0),INDEX('卡片raw data'!AU:AU,MATCH(D367,'卡片raw data'!$F:$F,)),0)+IF(OR(AND(L367="party卡",P367&lt;=1),AND(P367&lt;=4,L367&lt;&gt;"party卡",P367&gt;=3)),INDEX('卡片raw data'!AV:AV,MATCH(D367,'卡片raw data'!$F:$F,)),0)+IF(OR(P367=5,AND(L367="party卡",P367&gt;=2)),INDEX('卡片raw data'!AW:AW,MATCH(D367,'卡片raw data'!$F:$F,)),0))</f>
        <v>0</v>
      </c>
      <c r="EL367" s="1098">
        <f t="shared" si="504"/>
        <v>0.3</v>
      </c>
      <c r="EM367" s="1098">
        <f t="shared" si="505"/>
        <v>0.3</v>
      </c>
      <c r="EN367" s="1097">
        <f t="shared" si="506"/>
        <v>0</v>
      </c>
      <c r="EO367" s="1097">
        <f t="shared" si="507"/>
        <v>0</v>
      </c>
      <c r="EP367" s="1098">
        <f t="shared" si="508"/>
        <v>0</v>
      </c>
      <c r="EQ367" s="1121">
        <f t="shared" si="509"/>
        <v>0</v>
      </c>
      <c r="ER367" s="1101">
        <f t="shared" si="510"/>
        <v>0</v>
      </c>
      <c r="ES367" s="1097">
        <f t="shared" si="511"/>
        <v>0</v>
      </c>
      <c r="ET367" s="1122">
        <f t="shared" si="514"/>
        <v>0</v>
      </c>
    </row>
    <row r="368" spans="2:150" ht="16.5" customHeight="1">
      <c r="B368" s="1123" t="str">
        <f>INDEX('卡片raw data'!B:B,MATCH($D368,'卡片raw data'!$F:$F,))</f>
        <v>白雪妮</v>
      </c>
      <c r="C368" s="449" t="s">
        <v>1763</v>
      </c>
      <c r="D368" s="408">
        <v>365</v>
      </c>
      <c r="E368" s="477">
        <v>300093002</v>
      </c>
      <c r="F368" s="1090" t="str">
        <f>INDEX('卡片raw data'!C:C,MATCH($D368,'卡片raw data'!$F:$F,))</f>
        <v>UR</v>
      </c>
      <c r="G368" s="1094" t="s">
        <v>1762</v>
      </c>
      <c r="H368" s="411">
        <f>IFERROR(INDEX(绊状态确认!C:C,MATCH($G368,绊状态确认!$B:$B,)),"")</f>
        <v>9</v>
      </c>
      <c r="I368" s="450" t="str">
        <f>IFERROR(INDEX(绊状态确认!D:D,MATCH($G368,绊状态确认!$B:$B,)),"")</f>
        <v>缪</v>
      </c>
      <c r="J368" s="450" t="str">
        <f>IFERROR(INDEX(绊状态确认!E:E,MATCH($G368,绊状态确认!$B:$B,)),"")</f>
        <v>3年级</v>
      </c>
      <c r="K368" s="451" t="str">
        <f>IFERROR(INDEX(绊状态确认!F:F,MATCH($G368,绊状态确认!$B:$B,)),"")</f>
        <v>BiBi</v>
      </c>
      <c r="L368" s="1094" t="str">
        <f>INDEX('卡片raw data'!E:E,MATCH($D368,'卡片raw data'!$F:$F,))</f>
        <v>卡池卡</v>
      </c>
      <c r="M368" s="478">
        <v>44179</v>
      </c>
      <c r="N368" s="479">
        <v>29.5</v>
      </c>
      <c r="O368" s="1091" t="str">
        <f>INDEX('卡片raw data'!D:D,MATCH($D368,'卡片raw data'!$F:$F,))</f>
        <v>sp</v>
      </c>
      <c r="P368" s="1126">
        <v>5</v>
      </c>
      <c r="Q368" s="1095">
        <f t="shared" si="428"/>
        <v>60436.859101414717</v>
      </c>
      <c r="R368" s="1096">
        <f t="shared" si="429"/>
        <v>0.70199999999999996</v>
      </c>
      <c r="S368" s="1097">
        <f t="shared" si="430"/>
        <v>20946.912511024453</v>
      </c>
      <c r="T368" s="1098">
        <f t="shared" si="431"/>
        <v>1.0469999999999999</v>
      </c>
      <c r="U368" s="1099">
        <f t="shared" si="432"/>
        <v>100.8909626340857</v>
      </c>
      <c r="V368" s="1100">
        <f t="shared" si="433"/>
        <v>67926.700943029835</v>
      </c>
      <c r="W368" s="1101">
        <f t="shared" si="434"/>
        <v>4507.7214871259994</v>
      </c>
      <c r="X368" s="1096">
        <f t="shared" si="435"/>
        <v>5.1999999999999998E-2</v>
      </c>
      <c r="Y368" s="1097">
        <f t="shared" si="436"/>
        <v>9289.841841615118</v>
      </c>
      <c r="Z368" s="1102">
        <f t="shared" si="437"/>
        <v>100.8909626340857</v>
      </c>
      <c r="AA368" s="1103">
        <f t="shared" si="438"/>
        <v>13797.563328741118</v>
      </c>
      <c r="AB368" s="1101">
        <f t="shared" si="439"/>
        <v>9459.9381301420181</v>
      </c>
      <c r="AC368" s="1104">
        <f t="shared" si="440"/>
        <v>0.109</v>
      </c>
      <c r="AD368" s="1105">
        <f t="shared" si="441"/>
        <v>-1.6087500000000001E-2</v>
      </c>
      <c r="AE368" s="1128">
        <f t="shared" si="442"/>
        <v>10.92391304347826</v>
      </c>
      <c r="AF368" s="1130">
        <f t="shared" si="443"/>
        <v>0</v>
      </c>
      <c r="AG368" s="420">
        <f t="shared" si="444"/>
        <v>0</v>
      </c>
      <c r="AH368" s="420">
        <f t="shared" si="445"/>
        <v>0</v>
      </c>
      <c r="AI368" s="1097">
        <f t="shared" si="446"/>
        <v>0</v>
      </c>
      <c r="AJ368" s="420">
        <f t="shared" si="447"/>
        <v>0</v>
      </c>
      <c r="AK368" s="518">
        <f t="shared" si="448"/>
        <v>0</v>
      </c>
      <c r="AL368" s="1106">
        <f>IF($P368="","N/A",(IF($P368=-1,INDEX('卡片raw data'!S:S,MATCH($D368,'卡片raw data'!$F:$F,)),0)+IF($P368=0,INDEX('卡片raw data'!V:V,MATCH($D368,'卡片raw data'!$F:$F,)),0)+IF($P368=1,INDEX('卡片raw data'!Y:Y,MATCH($D368,'卡片raw data'!$F:$F,)),0)+IF($P368=2,INDEX('卡片raw data'!AB:AB,MATCH($D368,'卡片raw data'!$F:$F,)),0)+IF($P368=3,INDEX('卡片raw data'!AE:AE,MATCH($D368,'卡片raw data'!$F:$F,)),0)+IF($P368=4,INDEX('卡片raw data'!AH:AH,MATCH($D368,'卡片raw data'!$F:$F,)),0)+IF($P368=5,INDEX('卡片raw data'!AK:AK,MATCH($D368,'卡片raw data'!$F:$F,)),0)+INDEX('卡片raw data'!S:S,MATCH($D368,'卡片raw data'!$F:$F,))*(IF($F368="UR",0.04,0.033))*(IF($F368="UR",INDEX(绊状态确认!$S:$S,MATCH($G368,绊状态确认!$B:$B,))/2-40)+IF($F368="SR",INDEX(绊状态确认!$R:$R,MATCH($G368,绊状态确认!$B:$B,))/4-15))+IF($F368="R",INDEX(绊状态确认!$Q:$Q,MATCH($G368,绊状态确认!$B:$B,))/6-40/6)))*(INDEX(绊状态确认!$H:$H,MATCH($G368,绊状态确认!$B:$B,))+INDEX(绊状态确认!J:J,MATCH($G368,绊状态确认!$B:$B,)))</f>
        <v>13133.647535999999</v>
      </c>
      <c r="AM368" s="1106">
        <f>IF($P368="","N/A",(IF($P368=-1,INDEX('卡片raw data'!T:T,MATCH($D368,'卡片raw data'!$F:$F,)),0)+IF($P368=0,INDEX('卡片raw data'!W:W,MATCH($D368,'卡片raw data'!$F:$F,)),0)+IF($P368=1,INDEX('卡片raw data'!Z:Z,MATCH($D368,'卡片raw data'!$F:$F,)),0)+IF($P368=2,INDEX('卡片raw data'!AC:AC,MATCH($D368,'卡片raw data'!$F:$F,)),0)+IF($P368=3,INDEX('卡片raw data'!AF:AF,MATCH($D368,'卡片raw data'!$F:$F,)),0)+IF($P368=4,INDEX('卡片raw data'!AI:AI,MATCH($D368,'卡片raw data'!$F:$F,)),0)+IF($P368=5,INDEX('卡片raw data'!AL:AL,MATCH($D368,'卡片raw data'!$F:$F,)),0)+INDEX('卡片raw data'!T:T,MATCH($D368,'卡片raw data'!$F:$F,))*(IF($F368="UR",0.04,0.033))*(IF($F368="UR",INDEX(绊状态确认!$S:$S,MATCH($G368,绊状态确认!$B:$B,))/2-40)+IF($F368="SR",INDEX(绊状态确认!$R:$R,MATCH($G368,绊状态确认!$B:$B,))/4-15))+IF($F368="R",INDEX(绊状态确认!$Q:$Q,MATCH($G368,绊状态确认!$B:$B,))/6-40/6)))*(INDEX(绊状态确认!$H:$H,MATCH($G368,绊状态确认!$B:$B,))+INDEX(绊状态确认!K:K,MATCH($G368,绊状态确认!$B:$B,)))</f>
        <v>7071.453551999999</v>
      </c>
      <c r="AN368" s="1106">
        <f>IF($P368="","N/A",(IF($P368=-1,INDEX('卡片raw data'!U:U,MATCH($D368,'卡片raw data'!$F:$F,)),0)+IF($P368=0,INDEX('卡片raw data'!X:X,MATCH($D368,'卡片raw data'!$F:$F,)),0)+IF($P368=1,INDEX('卡片raw data'!AA:AA,MATCH($D368,'卡片raw data'!$F:$F,)),0)+IF($P368=2,INDEX('卡片raw data'!AD:AD,MATCH($D368,'卡片raw data'!$F:$F,)),0)+IF($P368=3,INDEX('卡片raw data'!AG:AG,MATCH($D368,'卡片raw data'!$F:$F,)),0)+IF($P368=4,INDEX('卡片raw data'!AJ:AJ,MATCH($D368,'卡片raw data'!$F:$F,)),0)+IF($P368=5,INDEX('卡片raw data'!AM:AM,MATCH($D368,'卡片raw data'!$F:$F,)),0)+INDEX('卡片raw data'!U:U,MATCH($D368,'卡片raw data'!$F:$F,))*(IF($F368="UR",0.04,0.033))*(IF($F368="UR",INDEX(绊状态确认!$S:$S,MATCH($G368,绊状态确认!$B:$B,))/2-40)+IF($F368="SR",INDEX(绊状态确认!$R:$R,MATCH($G368,绊状态确认!$B:$B,))/4-15))+IF($F368="R",INDEX(绊状态确认!$Q:$Q,MATCH($G368,绊状态确认!$B:$B,))/6-40/6)))*(INDEX(绊状态确认!$H:$H,MATCH($G368,绊状态确认!$B:$B,))+INDEX(绊状态确认!L:L,MATCH($G368,绊状态确认!$B:$B,)))</f>
        <v>13473.158399999998</v>
      </c>
      <c r="AO368" s="1107">
        <f t="shared" si="449"/>
        <v>1</v>
      </c>
      <c r="AP368" s="1131">
        <f>1+(INDEX(绊状态确认!$T:$T,MATCH($G368,绊状态确认!$B:$B,))+0.2)*$AO368</f>
        <v>1.3</v>
      </c>
      <c r="AQ368" s="1108">
        <f t="shared" si="450"/>
        <v>37725.824781999996</v>
      </c>
      <c r="AR368" s="1097">
        <f>(AM368*(1+$EX$9)+$EX$35)*(1+(INDEX(绊状态确认!$T:$T,MATCH($G368,绊状态确认!$B:$B,))+0.2)*AO368)*IF(J368=$FF$17,1+$FE$17,1)*IF(I368=$FF$14,1+$FE$14,1)</f>
        <v>12356.53409848</v>
      </c>
      <c r="AS368" s="1097">
        <f>(AN368*(1+$EX$10)+$EX$36)*(1+(INDEX(绊状态确认!$T:$T,MATCH($G368,绊状态确认!$B:$B,))+0.2)*AO368)*IF(J368=$FF$17,1+$FE$17,1)*IF(I368=$FF$14,1+$FE$14,1)</f>
        <v>24198.371807999996</v>
      </c>
      <c r="AT368" s="1093">
        <f>IF(AND(INDEX('卡片raw data'!AK:AK,MATCH($D368,'卡片raw data'!$F:$F,))&lt;INDEX('卡片raw data'!AM:AM,MATCH($D368,'卡片raw data'!$F:$F,)),INDEX('卡片raw data'!AL:AL,MATCH($D368,'卡片raw data'!$F:$F,))&lt;INDEX('卡片raw data'!AM:AM,MATCH($D368,'卡片raw data'!$F:$F,))),1,0)</f>
        <v>1</v>
      </c>
      <c r="AU368" s="1098">
        <f>MIN(AT368*0.15+AS368*0.00003+INDEX(绊状态确认!M:M,MATCH($G368,绊状态确认!$B:$B,)),1)</f>
        <v>0.90595115423999995</v>
      </c>
      <c r="AV368" s="1109">
        <f>(INDEX(绊状态确认!$N:$N,MATCH($G368,绊状态确认!$B:$B,))+1.5)*$EW$21</f>
        <v>2.6599999999999997</v>
      </c>
      <c r="AW368" s="1101">
        <f t="shared" si="451"/>
        <v>49057.95385504594</v>
      </c>
      <c r="AX368" s="1097">
        <f t="shared" si="452"/>
        <v>1058.848048290515</v>
      </c>
      <c r="AY368" s="1110">
        <f t="shared" si="453"/>
        <v>50116.801903336454</v>
      </c>
      <c r="AZ368" s="429">
        <f t="shared" si="454"/>
        <v>28210.612695199998</v>
      </c>
      <c r="BA368" s="431">
        <f t="shared" si="455"/>
        <v>33852.735234239997</v>
      </c>
      <c r="BB368" s="1097">
        <f>(AM368*(1+$FB$9)+$FB$35)*(1+(INDEX(绊状态确认!$T:$T,MATCH($G368,绊状态确认!$B:$B,))+0.2)*AO368)*IF(J368=$FF$17,1+$FE$17,1)*IF(I368=$FF$14,1+$FE$14,1)*(1+$FE$15)</f>
        <v>12356.53409848</v>
      </c>
      <c r="BC368" s="1097">
        <f>(AN368*(1+$FB$10)+$FB$36)*(1+(INDEX(绊状态确认!$T:$T,MATCH($G368,绊状态确认!$B:$B,))+0.2)*AO368)*IF(J368=$FF$17,1+$FE$17,1)*IF(I368=$FF$14,1+$FE$14,1)*(1+$FE$15)</f>
        <v>24198.371807999996</v>
      </c>
      <c r="BD368" s="1104">
        <f>MIN(AT368*0.15+BC368*0.00003+INDEX(绊状态确认!M:M,MATCH($G368,绊状态确认!$B:$B,)),1)</f>
        <v>0.90595115423999995</v>
      </c>
      <c r="BE368" s="432">
        <f>(INDEX(绊状态确认!$N:$N,MATCH($G368,绊状态确认!$B:$B,))+1.5)</f>
        <v>1.9</v>
      </c>
      <c r="BF368" s="1139">
        <f t="array" ref="BF368">SUMPRODUCT(IF(AZ368*AP368*$FI$16:$FI$23*$FA$22&gt;=$FI$24,$FI$24,AZ368*AP368*$FI$16:$FI$23*$FA$22),$FJ$16:$FJ$23)</f>
        <v>54307.058538722398</v>
      </c>
      <c r="BG368" s="1125">
        <f t="array" ref="BG368">SUMPRODUCT(IF(BE368*AZ368*AP368*$FI$16:$FI$23*$FA$22&gt;=$FI$24,$FI$24,BE368*AZ368*AP368*$FI$16:$FI$23*$FA$22),$FJ$16:$FJ$23)</f>
        <v>60000</v>
      </c>
      <c r="BH368" s="1110">
        <f t="shared" si="456"/>
        <v>19821.528475529198</v>
      </c>
      <c r="BI368" s="1111">
        <f>IF(O368="vo",$EW$26/$EW$24*0.05,0)+IF(O368="sk",-$EW$26/$EW$24*(0.05-INDEX(绊状态确认!W:W,MATCH($G368,绊状态确认!$B:$B,)))+0.05*$EW$28,0)+IF(O368="sp",0.05*$EW$32*$EW$30*(1-$EW$33)-(0.05-INDEX(绊状态确认!V:V,MATCH($G368,绊状态确认!$B:$B,)))*$EW$28,0)+IF(O368="gd",-(0.05-INDEX(绊状态确认!X:X,MATCH($G368,绊状态确认!$B:$B,)))*$EW$32*$EW$30*(1-$EW$33),0)</f>
        <v>19.999999999999886</v>
      </c>
      <c r="BJ368" s="1097">
        <f>IF(O368="vo",0.05*(1-$FI$26)*$FA$24,0)+IF(O368="sk",-(0.05-INDEX(绊状态确认!W:W,MATCH($G368,绊状态确认!$B:$B,)))*(1-$FI$26)*$FA$24+0.05*$FA$26,0)+IF(O368="sp",0.05*$FA$32*$FA$27*(1-$FA$33)/$FA$30+0.05*$FA$29/$FA$69*$FA$27*(1-$FA$33)-(0.05-INDEX(绊状态确认!V:V,MATCH($G368,绊状态确认!$B:$B,)))*$FA$26,0)+IF(O368="gd",-(0.05-INDEX(绊状态确认!X:X,MATCH($G368,绊状态确认!$B:$B,)))*$FA$32*$FA$27*(1-$FA$33)/$FA$30-(0.05-INDEX(绊状态确认!X:X,MATCH($G368,绊状态确认!$B:$B,)))*$FA$29/$FA$69*$FA$27*(1-$FA$33),0)</f>
        <v>545.83333333333326</v>
      </c>
      <c r="BK368" s="1110">
        <f>IF(O368="vo",$EW$26/$EW$24*0.05+$EW$26*(-HP($EW$62,$EW$65,$EW$64)+HP($EW$62,$EW$65,(1.05-INDEX(绊状态确认!U:U,MATCH($G368,绊状态确认!$B:$B,)))*$EW$64)),0)+IF(O368="sk",-$EW$26/$EW$24*(0.05-INDEX(绊状态确认!W:W,MATCH($G368,绊状态确认!$B:$B,)))+0.05*$EW$29,0)+IF(O368="sp",0.05*$EW$32*$EW$30*(1-$EW$33)-(0.05-INDEX(绊状态确认!V:V,MATCH($G368,绊状态确认!$B:$B,)))*$EW$29,0)+IF(O368="gd",-(0.05-INDEX(绊状态确认!X:X,MATCH($G368,绊状态确认!$B:$B,)))*$EW$32*$EW$30*(1-$EW$33)+$EW$26*(-HP($EW$62,$EW$65,$EW$64)+HP($EW$62,$EW$65,0.95*$EW$64)),0)</f>
        <v>-1780.0000000000005</v>
      </c>
      <c r="BL368" s="1111">
        <f t="shared" si="457"/>
        <v>0</v>
      </c>
      <c r="BM368" s="1110">
        <f t="shared" si="458"/>
        <v>0</v>
      </c>
      <c r="BN368" s="1113">
        <f t="shared" si="459"/>
        <v>3</v>
      </c>
      <c r="BO368" s="1108">
        <f t="shared" si="460"/>
        <v>4507.7214871259994</v>
      </c>
      <c r="BP368" s="1100">
        <f t="shared" si="461"/>
        <v>221.34103209030098</v>
      </c>
      <c r="BQ368" s="1113" t="s">
        <v>134</v>
      </c>
      <c r="BR368" s="1124" t="s">
        <v>168</v>
      </c>
      <c r="BS368" s="1098">
        <f>IF($P368="","N/A",IF($P368=-1,INDEX('卡片raw data'!AX:AX,MATCH($D368,'卡片raw data'!$F:$F,)),0)+IF($L368="party卡",IF($P368=5,INDEX('卡片raw data'!BD:BD,MATCH($D368,'卡片raw data'!$F:$F,)),IF($P368&gt;=3,INDEX('卡片raw data'!BC:BC,MATCH($D368,'卡片raw data'!$F:$F,)),INDEX('卡片raw data'!BB:BB,MATCH($D368,'卡片raw data'!$F:$F,)))),IF(OR(AND($F368="UR",$P368=0),AND($F368="SR",$P368&gt;=0,$P368&lt;=2),AND($F368="R",$P368&gt;=0,$P368&lt;4)),INDEX('卡片raw data'!AZ:AZ,MATCH($D368,'卡片raw data'!$F:$F,)),0)+IF(OR(AND($F368="UR",$P368&gt;=1,$P368&lt;=4),AND($F368="SR",$P368&lt;=4,$P368&gt;=3),AND($F368="R",$P368=4)),INDEX('卡片raw data'!BA:BA,MATCH($D368,'卡片raw data'!$F:$F,)),0)+IF($P368=5,INDEX('卡片raw data'!BB:BB,MATCH($D368,'卡片raw data'!$F:$F,)),0)))</f>
        <v>7.0000000000000007E-2</v>
      </c>
      <c r="BT368" s="1101">
        <f t="shared" si="462"/>
        <v>4952.2166430160187</v>
      </c>
      <c r="BU368" s="1097">
        <f t="shared" si="463"/>
        <v>358.20967007162113</v>
      </c>
      <c r="BV368" s="1097">
        <f t="shared" si="464"/>
        <v>0</v>
      </c>
      <c r="BW368" s="1112">
        <f t="shared" si="465"/>
        <v>0</v>
      </c>
      <c r="BX368" s="1100">
        <f t="shared" si="466"/>
        <v>4952.2166430160187</v>
      </c>
      <c r="BY368" s="1110">
        <f t="shared" si="467"/>
        <v>0</v>
      </c>
      <c r="BZ368" s="1113" t="s">
        <v>133</v>
      </c>
      <c r="CA368" s="1124" t="s">
        <v>168</v>
      </c>
      <c r="CB368" s="1098">
        <f>IF($P368="","N/A",IF($P368=-1,INDEX('卡片raw data'!BE:BE,MATCH($D368,'卡片raw data'!$F:$F,)),0)+IF($L368="party卡",IF($P368=5,INDEX('卡片raw data'!BK:BK,MATCH($D368,'卡片raw data'!$F:$F,)),IF($P368&gt;=3,INDEX('卡片raw data'!BJ:BJ,MATCH($D368,'卡片raw data'!$F:$F,)),INDEX('卡片raw data'!BI:BI,MATCH($D368,'卡片raw data'!$F:$F,)))),IF(OR(AND($F368="UR",$P368=0),AND($F368="SR",$P368&gt;=0,$P368&lt;=2),AND($F368="R",$P368&gt;=0,$P368&lt;4)),INDEX('卡片raw data'!BG:BG,MATCH($D368,'卡片raw data'!$F:$F,)),0)+IF(OR(AND($F368="UR",$P368&gt;=1,$P368&lt;=4),AND($F368="SR",$P368&lt;=4,$P368&gt;=3),AND($F368="R",$P368=4)),INDEX('卡片raw data'!BH:BH,MATCH($D368,'卡片raw data'!$F:$F,)),0)+IF($P368=5,INDEX('卡片raw data'!BI:BI,MATCH($D368,'卡片raw data'!$F:$F,)),0)))</f>
        <v>3.5000000000000003E-2</v>
      </c>
      <c r="CC368" s="1101">
        <f t="shared" si="468"/>
        <v>0</v>
      </c>
      <c r="CD368" s="1097">
        <f>IF(BZ368="ap",CB368*(1-$FI$26)*$FB$5/$FB$11*(+IF(CA368="全员",$FA$24,0)+IF(CA368="同作战",$FA$24,0)+IF(CA368="仲间",$FA$24*2/3,0)+IF(CA368="同属性",$FA$24*$FA$37/3,0)+IF(CA368="同年级",$FA$24*$FA$40/3,0)+IF(CA368="同学校",$FA$24*$FA$43/3,0)+IF(CA368="同小队",$FA$24*$FA$46/3,0)+IF(CA368="同type",$FA$24*INDEX($FB$49:$FB$52,MATCH(X368,$FA$49:$FA$52,))/3,0)+IF(CA368="自身",#REF!/3,0)),0)+IF(BZ368="te",CB368*(1-$FI$27)*($FA$20-1)*$FB$7/$FB$13*(+IF(CA368="全员",$FA$19*$FA$24/(1+($FA$20-1)*$FA$19),0)+IF(CA368="同作战",$FA$19*$FA$24/(1+($FA$20-1)*$FA$19),0)+IF(CA368="仲间",$FA$19*$FA$24*2/3/(1+($FA$20-1)*$FA$19),0)+IF(CA368="同属性",$FA$19*$FA$24*$FA$37/3/(1+($FA$20-1)*$FA$19),0)+IF(CA368="同年级",$FA$19*$FA$24*$FA$40/3/(1+($FA$20-1)*$FA$19),0)+IF(CA368="同学校",$FA$19*$FA$24*$FA$43/3/(1+($FA$20-1)*$FA$19),0)+IF(CA368="同小队",$FA$19*$FA$24*$FA$46/3/(1+($FA$20-1)*$FA$19),0)+IF(CA368="同type",$FA$19*$FA$24*INDEX($FB$49:$FB$52,MATCH(X368,$FA$49:$FA$52,))/3/(1+($FA$20-1)*$FA$19),0)+IF(CA368="自身",$FA$19*#REF!/3/(1+(BH368-1)*$BD368),0)),0)</f>
        <v>0</v>
      </c>
      <c r="CE368" s="1097">
        <f t="shared" si="469"/>
        <v>0</v>
      </c>
      <c r="CF368" s="1112">
        <f t="shared" si="470"/>
        <v>1.2290624999999999</v>
      </c>
      <c r="CG368" s="1100">
        <f t="shared" si="471"/>
        <v>95.931717456140362</v>
      </c>
      <c r="CH368" s="1110">
        <f t="shared" si="472"/>
        <v>95.931717456140362</v>
      </c>
      <c r="CI368" s="1113" t="s">
        <v>160</v>
      </c>
      <c r="CJ368" s="1114">
        <v>1</v>
      </c>
      <c r="CK368" s="1115" t="s">
        <v>635</v>
      </c>
      <c r="CL368" s="1115" t="s">
        <v>1941</v>
      </c>
      <c r="CM368" s="1119">
        <v>0.1</v>
      </c>
      <c r="CN368" s="1115"/>
      <c r="CO368" s="1115">
        <v>10</v>
      </c>
      <c r="CP368" s="1116">
        <f t="shared" si="473"/>
        <v>86.422756457142839</v>
      </c>
      <c r="CQ368" s="1116">
        <f t="shared" si="474"/>
        <v>134.43539893333332</v>
      </c>
      <c r="CR368" s="1117">
        <f t="shared" si="475"/>
        <v>86.422756457142839</v>
      </c>
      <c r="CS368" s="1118">
        <f t="shared" si="476"/>
        <v>0</v>
      </c>
      <c r="CT368" s="1109">
        <f t="shared" si="477"/>
        <v>0</v>
      </c>
      <c r="CU368" s="1101">
        <f t="shared" si="478"/>
        <v>0</v>
      </c>
      <c r="CV368" s="1108">
        <f t="shared" si="479"/>
        <v>0</v>
      </c>
      <c r="CW368" s="1097">
        <f t="shared" si="480"/>
        <v>0</v>
      </c>
      <c r="CX368" s="1097">
        <f t="shared" si="481"/>
        <v>8135.0620758684645</v>
      </c>
      <c r="CY368" s="1110">
        <f t="shared" si="482"/>
        <v>8135.0620758684645</v>
      </c>
      <c r="CZ368" s="437"/>
      <c r="DA368" s="438"/>
      <c r="DB368" s="439" t="s">
        <v>569</v>
      </c>
      <c r="DC368" s="439"/>
      <c r="DD368" s="443"/>
      <c r="DE368" s="411"/>
      <c r="DF368" s="411"/>
      <c r="DG368" s="1116">
        <f t="shared" si="483"/>
        <v>0</v>
      </c>
      <c r="DH368" s="1116">
        <f t="shared" si="484"/>
        <v>0</v>
      </c>
      <c r="DI368" s="1116">
        <f t="shared" si="485"/>
        <v>0</v>
      </c>
      <c r="DJ368" s="442">
        <f t="shared" si="486"/>
        <v>0</v>
      </c>
      <c r="DK368" s="1109">
        <f t="shared" si="487"/>
        <v>0</v>
      </c>
      <c r="DL368" s="1101">
        <f t="shared" si="488"/>
        <v>0</v>
      </c>
      <c r="DM368" s="1097">
        <f t="shared" si="489"/>
        <v>0</v>
      </c>
      <c r="DN368" s="1097">
        <f t="shared" si="490"/>
        <v>0</v>
      </c>
      <c r="DO368" s="1097">
        <f t="shared" si="491"/>
        <v>0</v>
      </c>
      <c r="DP368" s="1110">
        <f t="shared" si="492"/>
        <v>0</v>
      </c>
      <c r="DQ368" s="1113" t="s">
        <v>256</v>
      </c>
      <c r="DR368" s="1120">
        <f t="shared" si="493"/>
        <v>0.33</v>
      </c>
      <c r="DS368" s="1124"/>
      <c r="DT368" s="1093" t="s">
        <v>132</v>
      </c>
      <c r="DU368" s="1093"/>
      <c r="DV368" s="1098">
        <f>IF($P368="","N/A",IF(P368=-1,INDEX('卡片raw data'!AN:AN,MATCH(D368,'卡片raw data'!$F:$F,)),0)+IF(AND(L368&lt;&gt;"party卡",P368&lt;=2,P368&gt;=0),INDEX('卡片raw data'!AP:AP,MATCH(D368,'卡片raw data'!$F:$F,)),0)+IF(OR(AND(L368="party卡",P368&lt;=1),AND(P368&lt;=4,L368&lt;&gt;"party卡",P368&gt;=3)),INDEX('卡片raw data'!AQ:AQ,MATCH(D368,'卡片raw data'!$F:$F,)),0)+IF(OR(P368=5,AND(L368="party卡",P368&gt;=2)),INDEX('卡片raw data'!AR:AR,MATCH(D368,'卡片raw data'!$F:$F,)),0))</f>
        <v>0.32</v>
      </c>
      <c r="DW368" s="1098">
        <f t="shared" si="494"/>
        <v>0.33</v>
      </c>
      <c r="DX368" s="1098">
        <f t="shared" si="495"/>
        <v>0.33</v>
      </c>
      <c r="DY368" s="1097">
        <f t="shared" si="496"/>
        <v>1327.9490323263999</v>
      </c>
      <c r="DZ368" s="1097">
        <f t="shared" si="497"/>
        <v>1030.7480824121394</v>
      </c>
      <c r="EA368" s="1098">
        <f t="shared" si="498"/>
        <v>0</v>
      </c>
      <c r="EB368" s="1121">
        <f t="shared" si="499"/>
        <v>0</v>
      </c>
      <c r="EC368" s="1101">
        <f t="shared" si="500"/>
        <v>1898.9671162267521</v>
      </c>
      <c r="ED368" s="1097">
        <f t="shared" si="501"/>
        <v>0</v>
      </c>
      <c r="EE368" s="1110">
        <f t="shared" si="513"/>
        <v>1898.9671162267521</v>
      </c>
      <c r="EF368" s="1115" t="s">
        <v>569</v>
      </c>
      <c r="EG368" s="1120">
        <f t="shared" si="503"/>
        <v>0.33</v>
      </c>
      <c r="EH368" s="1124"/>
      <c r="EI368" s="1093"/>
      <c r="EJ368" s="1093"/>
      <c r="EK368" s="1097">
        <f>IF($P368="","N/A",IF(P368=-1,INDEX('卡片raw data'!AS:AS,MATCH(D368,'卡片raw data'!$F:$F,)),0)+IF(AND(L368&lt;&gt;"party卡",P368&lt;=2,P368&gt;=0),INDEX('卡片raw data'!AU:AU,MATCH(D368,'卡片raw data'!$F:$F,)),0)+IF(OR(AND(L368="party卡",P368&lt;=1),AND(P368&lt;=4,L368&lt;&gt;"party卡",P368&gt;=3)),INDEX('卡片raw data'!AV:AV,MATCH(D368,'卡片raw data'!$F:$F,)),0)+IF(OR(P368=5,AND(L368="party卡",P368&gt;=2)),INDEX('卡片raw data'!AW:AW,MATCH(D368,'卡片raw data'!$F:$F,)),0))</f>
        <v>0</v>
      </c>
      <c r="EL368" s="1098">
        <f t="shared" si="504"/>
        <v>0.33</v>
      </c>
      <c r="EM368" s="1098">
        <f t="shared" si="505"/>
        <v>0.33</v>
      </c>
      <c r="EN368" s="1097">
        <f t="shared" si="506"/>
        <v>0</v>
      </c>
      <c r="EO368" s="1097">
        <f t="shared" si="507"/>
        <v>0</v>
      </c>
      <c r="EP368" s="1098">
        <f t="shared" si="508"/>
        <v>0</v>
      </c>
      <c r="EQ368" s="1121">
        <f t="shared" si="509"/>
        <v>0</v>
      </c>
      <c r="ER368" s="1101">
        <f t="shared" si="510"/>
        <v>0</v>
      </c>
      <c r="ES368" s="1097">
        <f t="shared" si="511"/>
        <v>0</v>
      </c>
      <c r="ET368" s="1122">
        <f t="shared" si="514"/>
        <v>0</v>
      </c>
    </row>
    <row r="369" spans="2:150" ht="16.5" customHeight="1">
      <c r="B369" s="1123" t="str">
        <f>INDEX('卡片raw data'!B:B,MATCH($D369,'卡片raw data'!$F:$F,))</f>
        <v>四单黛</v>
      </c>
      <c r="C369" s="449" t="s">
        <v>1767</v>
      </c>
      <c r="D369" s="408">
        <v>366</v>
      </c>
      <c r="E369" s="477">
        <v>301042003</v>
      </c>
      <c r="F369" s="1090" t="str">
        <f>INDEX('卡片raw data'!C:C,MATCH($D369,'卡片raw data'!$F:$F,))</f>
        <v>SR</v>
      </c>
      <c r="G369" s="1094" t="s">
        <v>1768</v>
      </c>
      <c r="H369" s="411">
        <f>IFERROR(INDEX(绊状态确认!C:C,MATCH($G369,绊状态确认!$B:$B,)),"")</f>
        <v>104</v>
      </c>
      <c r="I369" s="450" t="str">
        <f>IFERROR(INDEX(绊状态确认!D:D,MATCH($G369,绊状态确认!$B:$B,)),"")</f>
        <v>水</v>
      </c>
      <c r="J369" s="450" t="str">
        <f>IFERROR(INDEX(绊状态确认!E:E,MATCH($G369,绊状态确认!$B:$B,)),"")</f>
        <v>3年级</v>
      </c>
      <c r="K369" s="451" t="str">
        <f>IFERROR(INDEX(绊状态确认!F:F,MATCH($G369,绊状态确认!$B:$B,)),"")</f>
        <v>AZALEA</v>
      </c>
      <c r="L369" s="1094" t="str">
        <f>INDEX('卡片raw data'!E:E,MATCH($D369,'卡片raw data'!$F:$F,))</f>
        <v>卡池卡</v>
      </c>
      <c r="M369" s="478">
        <v>44179</v>
      </c>
      <c r="N369" s="479">
        <v>29.5</v>
      </c>
      <c r="O369" s="1091" t="str">
        <f>INDEX('卡片raw data'!D:D,MATCH($D369,'卡片raw data'!$F:$F,))</f>
        <v>gd</v>
      </c>
      <c r="P369" s="1126">
        <v>5</v>
      </c>
      <c r="Q369" s="1095">
        <f t="shared" si="428"/>
        <v>21850.154461470152</v>
      </c>
      <c r="R369" s="1096">
        <f t="shared" si="429"/>
        <v>0.254</v>
      </c>
      <c r="S369" s="1097">
        <f t="shared" si="430"/>
        <v>12758.040399492313</v>
      </c>
      <c r="T369" s="1098">
        <f t="shared" si="431"/>
        <v>0.63700000000000001</v>
      </c>
      <c r="U369" s="1099">
        <f t="shared" si="432"/>
        <v>394.99789628308599</v>
      </c>
      <c r="V369" s="1100">
        <f t="shared" si="433"/>
        <v>66046.948109963458</v>
      </c>
      <c r="W369" s="1101">
        <f t="shared" si="434"/>
        <v>4507.7214871259994</v>
      </c>
      <c r="X369" s="1096">
        <f t="shared" si="435"/>
        <v>5.1999999999999998E-2</v>
      </c>
      <c r="Y369" s="1097">
        <f t="shared" si="436"/>
        <v>3064.8811476571582</v>
      </c>
      <c r="Z369" s="1102">
        <f t="shared" si="437"/>
        <v>37.873783753265997</v>
      </c>
      <c r="AA369" s="1103">
        <f t="shared" si="438"/>
        <v>7572.6026347831576</v>
      </c>
      <c r="AB369" s="1101">
        <f t="shared" si="439"/>
        <v>4507.7214871259994</v>
      </c>
      <c r="AC369" s="1104">
        <f t="shared" si="440"/>
        <v>5.1999999999999998E-2</v>
      </c>
      <c r="AD369" s="1105">
        <f t="shared" si="441"/>
        <v>-3.8207812500000026E-3</v>
      </c>
      <c r="AE369" s="1128">
        <f t="shared" si="442"/>
        <v>-18.525362318840578</v>
      </c>
      <c r="AF369" s="1130">
        <f t="shared" si="443"/>
        <v>5264.7822282504803</v>
      </c>
      <c r="AG369" s="420">
        <f t="shared" si="444"/>
        <v>96238.310409423531</v>
      </c>
      <c r="AH369" s="420">
        <f t="shared" si="445"/>
        <v>18.279637454520909</v>
      </c>
      <c r="AI369" s="1097">
        <f t="shared" si="446"/>
        <v>91647.058707886463</v>
      </c>
      <c r="AJ369" s="420">
        <f t="shared" si="447"/>
        <v>66046.948109963458</v>
      </c>
      <c r="AK369" s="518">
        <f t="shared" si="448"/>
        <v>25600.110597923005</v>
      </c>
      <c r="AL369" s="1106">
        <f>IF($P369="","N/A",(IF($P369=-1,INDEX('卡片raw data'!S:S,MATCH($D369,'卡片raw data'!$F:$F,)),0)+IF($P369=0,INDEX('卡片raw data'!V:V,MATCH($D369,'卡片raw data'!$F:$F,)),0)+IF($P369=1,INDEX('卡片raw data'!Y:Y,MATCH($D369,'卡片raw data'!$F:$F,)),0)+IF($P369=2,INDEX('卡片raw data'!AB:AB,MATCH($D369,'卡片raw data'!$F:$F,)),0)+IF($P369=3,INDEX('卡片raw data'!AE:AE,MATCH($D369,'卡片raw data'!$F:$F,)),0)+IF($P369=4,INDEX('卡片raw data'!AH:AH,MATCH($D369,'卡片raw data'!$F:$F,)),0)+IF($P369=5,INDEX('卡片raw data'!AK:AK,MATCH($D369,'卡片raw data'!$F:$F,)),0)+INDEX('卡片raw data'!S:S,MATCH($D369,'卡片raw data'!$F:$F,))*(IF($F369="UR",0.04,0.033))*(IF($F369="UR",INDEX(绊状态确认!$S:$S,MATCH($G369,绊状态确认!$B:$B,))/2-40)+IF($F369="SR",INDEX(绊状态确认!$R:$R,MATCH($G369,绊状态确认!$B:$B,))/4-15))+IF($F369="R",INDEX(绊状态确认!$Q:$Q,MATCH($G369,绊状态确认!$B:$B,))/6-40/6)))*(INDEX(绊状态确认!$H:$H,MATCH($G369,绊状态确认!$B:$B,))+INDEX(绊状态确认!J:J,MATCH($G369,绊状态确认!$B:$B,)))</f>
        <v>6617.1208319999996</v>
      </c>
      <c r="AM369" s="1106">
        <f>IF($P369="","N/A",(IF($P369=-1,INDEX('卡片raw data'!T:T,MATCH($D369,'卡片raw data'!$F:$F,)),0)+IF($P369=0,INDEX('卡片raw data'!W:W,MATCH($D369,'卡片raw data'!$F:$F,)),0)+IF($P369=1,INDEX('卡片raw data'!Z:Z,MATCH($D369,'卡片raw data'!$F:$F,)),0)+IF($P369=2,INDEX('卡片raw data'!AC:AC,MATCH($D369,'卡片raw data'!$F:$F,)),0)+IF($P369=3,INDEX('卡片raw data'!AF:AF,MATCH($D369,'卡片raw data'!$F:$F,)),0)+IF($P369=4,INDEX('卡片raw data'!AI:AI,MATCH($D369,'卡片raw data'!$F:$F,)),0)+IF($P369=5,INDEX('卡片raw data'!AL:AL,MATCH($D369,'卡片raw data'!$F:$F,)),0)+INDEX('卡片raw data'!T:T,MATCH($D369,'卡片raw data'!$F:$F,))*(IF($F369="UR",0.04,0.033))*(IF($F369="UR",INDEX(绊状态确认!$S:$S,MATCH($G369,绊状态确认!$B:$B,))/2-40)+IF($F369="SR",INDEX(绊状态确认!$R:$R,MATCH($G369,绊状态确认!$B:$B,))/4-15))+IF($F369="R",INDEX(绊状态确认!$Q:$Q,MATCH($G369,绊状态确认!$B:$B,))/6-40/6)))*(INDEX(绊状态确认!$H:$H,MATCH($G369,绊状态确认!$B:$B,))+INDEX(绊状态确认!K:K,MATCH($G369,绊状态确认!$B:$B,)))</f>
        <v>7030.6908839999996</v>
      </c>
      <c r="AN369" s="1106">
        <f>IF($P369="","N/A",(IF($P369=-1,INDEX('卡片raw data'!U:U,MATCH($D369,'卡片raw data'!$F:$F,)),0)+IF($P369=0,INDEX('卡片raw data'!X:X,MATCH($D369,'卡片raw data'!$F:$F,)),0)+IF($P369=1,INDEX('卡片raw data'!AA:AA,MATCH($D369,'卡片raw data'!$F:$F,)),0)+IF($P369=2,INDEX('卡片raw data'!AD:AD,MATCH($D369,'卡片raw data'!$F:$F,)),0)+IF($P369=3,INDEX('卡片raw data'!AG:AG,MATCH($D369,'卡片raw data'!$F:$F,)),0)+IF($P369=4,INDEX('卡片raw data'!AJ:AJ,MATCH($D369,'卡片raw data'!$F:$F,)),0)+IF($P369=5,INDEX('卡片raw data'!AM:AM,MATCH($D369,'卡片raw data'!$F:$F,)),0)+INDEX('卡片raw data'!U:U,MATCH($D369,'卡片raw data'!$F:$F,))*(IF($F369="UR",0.04,0.033))*(IF($F369="UR",INDEX(绊状态确认!$S:$S,MATCH($G369,绊状态确认!$B:$B,))/2-40)+IF($F369="SR",INDEX(绊状态确认!$R:$R,MATCH($G369,绊状态确认!$B:$B,))/4-15))+IF($F369="R",INDEX(绊状态确认!$Q:$Q,MATCH($G369,绊状态确认!$B:$B,))/6-40/6)))*(INDEX(绊状态确认!$H:$H,MATCH($G369,绊状态确认!$B:$B,))+INDEX(绊状态确认!L:L,MATCH($G369,绊状态确认!$B:$B,)))</f>
        <v>7030.6908839999996</v>
      </c>
      <c r="AO369" s="1107">
        <f t="shared" si="449"/>
        <v>1</v>
      </c>
      <c r="AP369" s="1131">
        <f>1+(INDEX(绊状态确认!$T:$T,MATCH($G369,绊状态确认!$B:$B,))+0.2)*$AO369</f>
        <v>1.3</v>
      </c>
      <c r="AQ369" s="1108">
        <f t="shared" si="450"/>
        <v>20619.942184</v>
      </c>
      <c r="AR369" s="1097">
        <f>(AM369*(1+$EX$9)+$EX$35)*(1+(INDEX(绊状态确认!$T:$T,MATCH($G369,绊状态确认!$B:$B,))+0.2)*AO369)*IF(J369=$FF$17,1+$FE$17,1)*IF(I369=$FF$14,1+$FE$14,1)</f>
        <v>12300.893056659999</v>
      </c>
      <c r="AS369" s="1097">
        <f>(AN369*(1+$EX$10)+$EX$36)*(1+(INDEX(绊状态确认!$T:$T,MATCH($G369,绊状态确认!$B:$B,))+0.2)*AO369)*IF(J369=$FF$17,1+$FE$17,1)*IF(I369=$FF$14,1+$FE$14,1)</f>
        <v>14566.882871579999</v>
      </c>
      <c r="AT369" s="1093">
        <f>IF(AND(INDEX('卡片raw data'!AK:AK,MATCH($D369,'卡片raw data'!$F:$F,))&lt;INDEX('卡片raw data'!AM:AM,MATCH($D369,'卡片raw data'!$F:$F,)),INDEX('卡片raw data'!AL:AL,MATCH($D369,'卡片raw data'!$F:$F,))&lt;INDEX('卡片raw data'!AM:AM,MATCH($D369,'卡片raw data'!$F:$F,))),1,0)</f>
        <v>0</v>
      </c>
      <c r="AU369" s="1098">
        <f>MIN(AT369*0.15+AS369*0.00003+INDEX(绊状态确认!M:M,MATCH($G369,绊状态确认!$B:$B,)),1)</f>
        <v>0.46700648614740004</v>
      </c>
      <c r="AV369" s="1109">
        <f>(INDEX(绊状态确认!$N:$N,MATCH($G369,绊状态确认!$B:$B,))+1.5)*$EW$21</f>
        <v>2.6599999999999997</v>
      </c>
      <c r="AW369" s="1101">
        <f t="shared" si="451"/>
        <v>19010.766307677484</v>
      </c>
      <c r="AX369" s="1097">
        <f t="shared" si="452"/>
        <v>1053.9510112038515</v>
      </c>
      <c r="AY369" s="1110">
        <f t="shared" si="453"/>
        <v>20064.717318881336</v>
      </c>
      <c r="AZ369" s="429">
        <f t="shared" si="454"/>
        <v>15503.385622399999</v>
      </c>
      <c r="BA369" s="431">
        <f t="shared" si="455"/>
        <v>18604.062746879998</v>
      </c>
      <c r="BB369" s="1097">
        <f>(AM369*(1+$FB$9)+$FB$35)*(1+(INDEX(绊状态确认!$T:$T,MATCH($G369,绊状态确认!$B:$B,))+0.2)*AO369)*IF(J369=$FF$17,1+$FE$17,1)*IF(I369=$FF$14,1+$FE$14,1)*(1+$FE$15)</f>
        <v>12300.893056659999</v>
      </c>
      <c r="BC369" s="1097">
        <f>(AN369*(1+$FB$10)+$FB$36)*(1+(INDEX(绊状态确认!$T:$T,MATCH($G369,绊状态确认!$B:$B,))+0.2)*AO369)*IF(J369=$FF$17,1+$FE$17,1)*IF(I369=$FF$14,1+$FE$14,1)*(1+$FE$15)</f>
        <v>14566.882871579999</v>
      </c>
      <c r="BD369" s="1104">
        <f>MIN(AT369*0.15+BC369*0.00003+INDEX(绊状态确认!M:M,MATCH($G369,绊状态确认!$B:$B,)),1)</f>
        <v>0.46700648614740004</v>
      </c>
      <c r="BE369" s="432">
        <f>(INDEX(绊状态确认!$N:$N,MATCH($G369,绊状态确认!$B:$B,))+1.5)</f>
        <v>1.9</v>
      </c>
      <c r="BF369" s="1139">
        <f t="array" ref="BF369">SUMPRODUCT(IF(AZ369*AP369*$FI$16:$FI$23*$FA$22&gt;=$FI$24,$FI$24,AZ369*AP369*$FI$16:$FI$23*$FA$22),$FJ$16:$FJ$23)</f>
        <v>30836.234002953603</v>
      </c>
      <c r="BG369" s="1125">
        <f t="array" ref="BG369">SUMPRODUCT(IF(BE369*AZ369*AP369*$FI$16:$FI$23*$FA$22&gt;=$FI$24,$FI$24,BE369*AZ369*AP369*$FI$16:$FI$23*$FA$22),$FJ$16:$FJ$23)</f>
        <v>55783.490864482243</v>
      </c>
      <c r="BH369" s="1110">
        <f t="shared" si="456"/>
        <v>14162.254922957567</v>
      </c>
      <c r="BI369" s="1111">
        <f>IF(O369="vo",$EW$26/$EW$24*0.05,0)+IF(O369="sk",-$EW$26/$EW$24*(0.05-INDEX(绊状态确认!W:W,MATCH($G369,绊状态确认!$B:$B,)))+0.05*$EW$28,0)+IF(O369="sp",0.05*$EW$32*$EW$30*(1-$EW$33)-(0.05-INDEX(绊状态确认!V:V,MATCH($G369,绊状态确认!$B:$B,)))*$EW$28,0)+IF(O369="gd",-(0.05-INDEX(绊状态确认!X:X,MATCH($G369,绊状态确认!$B:$B,)))*$EW$32*$EW$30*(1-$EW$33),0)</f>
        <v>-585.00000000000011</v>
      </c>
      <c r="BJ369" s="1097">
        <f>IF(O369="vo",0.05*(1-$FI$26)*$FA$24,0)+IF(O369="sk",-(0.05-INDEX(绊状态确认!W:W,MATCH($G369,绊状态确认!$B:$B,)))*(1-$FI$26)*$FA$24+0.05*$FA$26,0)+IF(O369="sp",0.05*$FA$32*$FA$27*(1-$FA$33)/$FA$30+0.05*$FA$29/$FA$69*$FA$27*(1-$FA$33)-(0.05-INDEX(绊状态确认!V:V,MATCH($G369,绊状态确认!$B:$B,)))*$FA$26,0)+IF(O369="gd",-(0.05-INDEX(绊状态确认!X:X,MATCH($G369,绊状态确认!$B:$B,)))*$FA$32*$FA$27*(1-$FA$33)/$FA$30-(0.05-INDEX(绊状态确认!X:X,MATCH($G369,绊状态确认!$B:$B,)))*$FA$29/$FA$69*$FA$27*(1-$FA$33),0)</f>
        <v>-795.00000000000011</v>
      </c>
      <c r="BK369" s="1110">
        <f>IF(O369="vo",$EW$26/$EW$24*0.05+$EW$26*(-HP($EW$62,$EW$65,$EW$64)+HP($EW$62,$EW$65,(1.05-INDEX(绊状态确认!U:U,MATCH($G369,绊状态确认!$B:$B,)))*$EW$64)),0)+IF(O369="sk",-$EW$26/$EW$24*(0.05-INDEX(绊状态确认!W:W,MATCH($G369,绊状态确认!$B:$B,)))+0.05*$EW$29,0)+IF(O369="sp",0.05*$EW$32*$EW$30*(1-$EW$33)-(0.05-INDEX(绊状态确认!V:V,MATCH($G369,绊状态确认!$B:$B,)))*$EW$29,0)+IF(O369="gd",-(0.05-INDEX(绊状态确认!X:X,MATCH($G369,绊状态确认!$B:$B,)))*$EW$32*$EW$30*(1-$EW$33)+$EW$26*(-HP($EW$62,$EW$65,$EW$64)+HP($EW$62,$EW$65,0.95*$EW$64)),0)</f>
        <v>1009.5947725176144</v>
      </c>
      <c r="BL369" s="1111">
        <f t="shared" si="457"/>
        <v>-1083.3333333333333</v>
      </c>
      <c r="BM369" s="1110">
        <f t="shared" si="458"/>
        <v>-830.55555555555543</v>
      </c>
      <c r="BN369" s="1113">
        <f t="shared" si="459"/>
        <v>3</v>
      </c>
      <c r="BO369" s="1108">
        <f t="shared" si="460"/>
        <v>4507.7214871259994</v>
      </c>
      <c r="BP369" s="1100">
        <f t="shared" si="461"/>
        <v>221.34103209030098</v>
      </c>
      <c r="BQ369" s="1113" t="s">
        <v>133</v>
      </c>
      <c r="BR369" s="1124" t="s">
        <v>171</v>
      </c>
      <c r="BS369" s="1098">
        <f>IF($P369="","N/A",IF($P369=-1,INDEX('卡片raw data'!AX:AX,MATCH($D369,'卡片raw data'!$F:$F,)),0)+IF($L369="party卡",IF($P369=5,INDEX('卡片raw data'!BD:BD,MATCH($D369,'卡片raw data'!$F:$F,)),IF($P369&gt;=3,INDEX('卡片raw data'!BC:BC,MATCH($D369,'卡片raw data'!$F:$F,)),INDEX('卡片raw data'!BB:BB,MATCH($D369,'卡片raw data'!$F:$F,)))),IF(OR(AND($F369="UR",$P369=0),AND($F369="SR",$P369&gt;=0,$P369&lt;=2),AND($F369="R",$P369&gt;=0,$P369&lt;4)),INDEX('卡片raw data'!AZ:AZ,MATCH($D369,'卡片raw data'!$F:$F,)),0)+IF(OR(AND($F369="UR",$P369&gt;=1,$P369&lt;=4),AND($F369="SR",$P369&lt;=4,$P369&gt;=3),AND($F369="R",$P369=4)),INDEX('卡片raw data'!BA:BA,MATCH($D369,'卡片raw data'!$F:$F,)),0)+IF($P369=5,INDEX('卡片raw data'!BB:BB,MATCH($D369,'卡片raw data'!$F:$F,)),0)))</f>
        <v>3.2000000000000001E-2</v>
      </c>
      <c r="BT369" s="1101">
        <f t="shared" si="462"/>
        <v>0</v>
      </c>
      <c r="BU369" s="1097">
        <f t="shared" si="463"/>
        <v>0</v>
      </c>
      <c r="BV369" s="1097">
        <f t="shared" si="464"/>
        <v>0</v>
      </c>
      <c r="BW369" s="1112">
        <f t="shared" si="465"/>
        <v>1.498285714285714</v>
      </c>
      <c r="BX369" s="1100">
        <f t="shared" si="466"/>
        <v>117.00848980993118</v>
      </c>
      <c r="BY369" s="1110">
        <f t="shared" si="467"/>
        <v>117.00848980993118</v>
      </c>
      <c r="BZ369" s="1113" t="s">
        <v>569</v>
      </c>
      <c r="CA369" s="1124"/>
      <c r="CB369" s="1098">
        <f>IF($P369="","N/A",IF($P369=-1,INDEX('卡片raw data'!BE:BE,MATCH($D369,'卡片raw data'!$F:$F,)),0)+IF($L369="party卡",IF($P369=5,INDEX('卡片raw data'!BK:BK,MATCH($D369,'卡片raw data'!$F:$F,)),IF($P369&gt;=3,INDEX('卡片raw data'!BJ:BJ,MATCH($D369,'卡片raw data'!$F:$F,)),INDEX('卡片raw data'!BI:BI,MATCH($D369,'卡片raw data'!$F:$F,)))),IF(OR(AND($F369="UR",$P369=0),AND($F369="SR",$P369&gt;=0,$P369&lt;=2),AND($F369="R",$P369&gt;=0,$P369&lt;4)),INDEX('卡片raw data'!BG:BG,MATCH($D369,'卡片raw data'!$F:$F,)),0)+IF(OR(AND($F369="UR",$P369&gt;=1,$P369&lt;=4),AND($F369="SR",$P369&lt;=4,$P369&gt;=3),AND($F369="R",$P369=4)),INDEX('卡片raw data'!BH:BH,MATCH($D369,'卡片raw data'!$F:$F,)),0)+IF($P369=5,INDEX('卡片raw data'!BI:BI,MATCH($D369,'卡片raw data'!$F:$F,)),0)))</f>
        <v>0</v>
      </c>
      <c r="CC369" s="1101">
        <f t="shared" si="468"/>
        <v>0</v>
      </c>
      <c r="CD369" s="1097">
        <f>IF(BZ369="ap",CB369*(1-$FI$26)*$FB$5/$FB$11*(+IF(CA369="全员",$FA$24,0)+IF(CA369="同作战",$FA$24,0)+IF(CA369="仲间",$FA$24*2/3,0)+IF(CA369="同属性",$FA$24*$FA$37/3,0)+IF(CA369="同年级",$FA$24*$FA$40/3,0)+IF(CA369="同学校",$FA$24*$FA$43/3,0)+IF(CA369="同小队",$FA$24*$FA$46/3,0)+IF(CA369="同type",$FA$24*INDEX($FB$49:$FB$52,MATCH(X369,$FA$49:$FA$52,))/3,0)+IF(CA369="自身",#REF!/3,0)),0)+IF(BZ369="te",CB369*(1-$FI$27)*($FA$20-1)*$FB$7/$FB$13*(+IF(CA369="全员",$FA$19*$FA$24/(1+($FA$20-1)*$FA$19),0)+IF(CA369="同作战",$FA$19*$FA$24/(1+($FA$20-1)*$FA$19),0)+IF(CA369="仲间",$FA$19*$FA$24*2/3/(1+($FA$20-1)*$FA$19),0)+IF(CA369="同属性",$FA$19*$FA$24*$FA$37/3/(1+($FA$20-1)*$FA$19),0)+IF(CA369="同年级",$FA$19*$FA$24*$FA$40/3/(1+($FA$20-1)*$FA$19),0)+IF(CA369="同学校",$FA$19*$FA$24*$FA$43/3/(1+($FA$20-1)*$FA$19),0)+IF(CA369="同小队",$FA$19*$FA$24*$FA$46/3/(1+($FA$20-1)*$FA$19),0)+IF(CA369="同type",$FA$19*$FA$24*INDEX($FB$49:$FB$52,MATCH(X369,$FA$49:$FA$52,))/3/(1+($FA$20-1)*$FA$19),0)+IF(CA369="自身",$FA$19*#REF!/3/(1+(BH369-1)*$BD369),0)),0)</f>
        <v>0</v>
      </c>
      <c r="CE369" s="1097">
        <f t="shared" si="469"/>
        <v>0</v>
      </c>
      <c r="CF369" s="1112">
        <f t="shared" si="470"/>
        <v>0</v>
      </c>
      <c r="CG369" s="1100">
        <f t="shared" si="471"/>
        <v>0</v>
      </c>
      <c r="CH369" s="1110">
        <f t="shared" si="472"/>
        <v>0</v>
      </c>
      <c r="CI369" s="1113" t="s">
        <v>160</v>
      </c>
      <c r="CJ369" s="1114">
        <v>1</v>
      </c>
      <c r="CK369" s="1115" t="s">
        <v>635</v>
      </c>
      <c r="CL369" s="1115" t="s">
        <v>1944</v>
      </c>
      <c r="CM369" s="1119">
        <v>6.6000000000000003E-2</v>
      </c>
      <c r="CN369" s="1115"/>
      <c r="CO369" s="1115">
        <v>8</v>
      </c>
      <c r="CP369" s="1116">
        <f t="shared" si="473"/>
        <v>23.195969763987428</v>
      </c>
      <c r="CQ369" s="1116">
        <f t="shared" si="474"/>
        <v>36.082619632869331</v>
      </c>
      <c r="CR369" s="1117">
        <f t="shared" si="475"/>
        <v>23.195969763987428</v>
      </c>
      <c r="CS369" s="1118">
        <f t="shared" si="476"/>
        <v>0</v>
      </c>
      <c r="CT369" s="1109">
        <f t="shared" si="477"/>
        <v>0</v>
      </c>
      <c r="CU369" s="1101">
        <f t="shared" si="478"/>
        <v>0</v>
      </c>
      <c r="CV369" s="1108">
        <f t="shared" si="479"/>
        <v>0</v>
      </c>
      <c r="CW369" s="1097">
        <f t="shared" si="480"/>
        <v>0</v>
      </c>
      <c r="CX369" s="1097">
        <f t="shared" si="481"/>
        <v>1893.9216466433757</v>
      </c>
      <c r="CY369" s="1110">
        <f t="shared" si="482"/>
        <v>1893.9216466433757</v>
      </c>
      <c r="CZ369" s="437"/>
      <c r="DA369" s="438"/>
      <c r="DB369" s="439" t="s">
        <v>569</v>
      </c>
      <c r="DC369" s="439"/>
      <c r="DD369" s="443"/>
      <c r="DE369" s="411"/>
      <c r="DF369" s="411"/>
      <c r="DG369" s="1116">
        <f t="shared" si="483"/>
        <v>0</v>
      </c>
      <c r="DH369" s="1116">
        <f t="shared" si="484"/>
        <v>0</v>
      </c>
      <c r="DI369" s="1116">
        <f t="shared" si="485"/>
        <v>0</v>
      </c>
      <c r="DJ369" s="442">
        <f t="shared" si="486"/>
        <v>0</v>
      </c>
      <c r="DK369" s="1109">
        <f t="shared" si="487"/>
        <v>0</v>
      </c>
      <c r="DL369" s="1101">
        <f t="shared" si="488"/>
        <v>0</v>
      </c>
      <c r="DM369" s="1097">
        <f t="shared" si="489"/>
        <v>0</v>
      </c>
      <c r="DN369" s="1097">
        <f t="shared" si="490"/>
        <v>0</v>
      </c>
      <c r="DO369" s="1097">
        <f t="shared" si="491"/>
        <v>0</v>
      </c>
      <c r="DP369" s="1110">
        <f t="shared" si="492"/>
        <v>0</v>
      </c>
      <c r="DQ369" s="1113" t="s">
        <v>636</v>
      </c>
      <c r="DR369" s="1120">
        <f t="shared" si="493"/>
        <v>0.3</v>
      </c>
      <c r="DS369" s="1124"/>
      <c r="DT369" s="1093" t="s">
        <v>133</v>
      </c>
      <c r="DU369" s="1093"/>
      <c r="DV369" s="1098">
        <f>IF($P369="","N/A",IF(P369=-1,INDEX('卡片raw data'!AN:AN,MATCH(D369,'卡片raw data'!$F:$F,)),0)+IF(AND(L369&lt;&gt;"party卡",P369&lt;=2,P369&gt;=0),INDEX('卡片raw data'!AP:AP,MATCH(D369,'卡片raw data'!$F:$F,)),0)+IF(OR(AND(L369="party卡",P369&lt;=1),AND(P369&lt;=4,L369&lt;&gt;"party卡",P369&gt;=3)),INDEX('卡片raw data'!AQ:AQ,MATCH(D369,'卡片raw data'!$F:$F,)),0)+IF(OR(P369=5,AND(L369="party卡",P369&gt;=2)),INDEX('卡片raw data'!AR:AR,MATCH(D369,'卡片raw data'!$F:$F,)),0))</f>
        <v>0.27</v>
      </c>
      <c r="DW369" s="1098">
        <f t="shared" si="494"/>
        <v>0.3</v>
      </c>
      <c r="DX369" s="1098">
        <f t="shared" si="495"/>
        <v>0.3</v>
      </c>
      <c r="DY369" s="1097">
        <f t="shared" si="496"/>
        <v>332.12411252982002</v>
      </c>
      <c r="DZ369" s="1097">
        <f t="shared" si="497"/>
        <v>287.28735733829433</v>
      </c>
      <c r="EA369" s="1098">
        <f t="shared" si="498"/>
        <v>0</v>
      </c>
      <c r="EB369" s="1121">
        <f t="shared" si="499"/>
        <v>0</v>
      </c>
      <c r="EC369" s="1101">
        <f t="shared" si="500"/>
        <v>0</v>
      </c>
      <c r="ED369" s="1097">
        <f t="shared" si="501"/>
        <v>0</v>
      </c>
      <c r="EE369" s="1110">
        <f t="shared" si="513"/>
        <v>39537.317728318536</v>
      </c>
      <c r="EF369" s="1115" t="s">
        <v>569</v>
      </c>
      <c r="EG369" s="1120">
        <f t="shared" si="503"/>
        <v>0.3</v>
      </c>
      <c r="EH369" s="1124"/>
      <c r="EI369" s="1093"/>
      <c r="EJ369" s="1093"/>
      <c r="EK369" s="1097">
        <f>IF($P369="","N/A",IF(P369=-1,INDEX('卡片raw data'!AS:AS,MATCH(D369,'卡片raw data'!$F:$F,)),0)+IF(AND(L369&lt;&gt;"party卡",P369&lt;=2,P369&gt;=0),INDEX('卡片raw data'!AU:AU,MATCH(D369,'卡片raw data'!$F:$F,)),0)+IF(OR(AND(L369="party卡",P369&lt;=1),AND(P369&lt;=4,L369&lt;&gt;"party卡",P369&gt;=3)),INDEX('卡片raw data'!AV:AV,MATCH(D369,'卡片raw data'!$F:$F,)),0)+IF(OR(P369=5,AND(L369="party卡",P369&gt;=2)),INDEX('卡片raw data'!AW:AW,MATCH(D369,'卡片raw data'!$F:$F,)),0))</f>
        <v>0</v>
      </c>
      <c r="EL369" s="1098">
        <f t="shared" si="504"/>
        <v>0.3</v>
      </c>
      <c r="EM369" s="1098">
        <f t="shared" si="505"/>
        <v>0.3</v>
      </c>
      <c r="EN369" s="1097">
        <f t="shared" si="506"/>
        <v>0</v>
      </c>
      <c r="EO369" s="1097">
        <f t="shared" si="507"/>
        <v>0</v>
      </c>
      <c r="EP369" s="1098">
        <f t="shared" si="508"/>
        <v>0</v>
      </c>
      <c r="EQ369" s="1121">
        <f t="shared" si="509"/>
        <v>0</v>
      </c>
      <c r="ER369" s="1101">
        <f t="shared" si="510"/>
        <v>0</v>
      </c>
      <c r="ES369" s="1097">
        <f t="shared" si="511"/>
        <v>0</v>
      </c>
      <c r="ET369" s="1122">
        <f t="shared" si="514"/>
        <v>0</v>
      </c>
    </row>
    <row r="370" spans="2:150" ht="16.5" customHeight="1">
      <c r="B370" s="1123" t="str">
        <f>INDEX('卡片raw data'!B:B,MATCH($D370,'卡片raw data'!$F:$F,))</f>
        <v>恶魔希</v>
      </c>
      <c r="C370" s="449" t="s">
        <v>1775</v>
      </c>
      <c r="D370" s="408">
        <v>367</v>
      </c>
      <c r="E370" s="477">
        <v>400073003</v>
      </c>
      <c r="F370" s="1090" t="str">
        <f>INDEX('卡片raw data'!C:C,MATCH($D370,'卡片raw data'!$F:$F,))</f>
        <v>UR</v>
      </c>
      <c r="G370" s="1094" t="s">
        <v>1776</v>
      </c>
      <c r="H370" s="411">
        <f>IFERROR(INDEX(绊状态确认!C:C,MATCH($G370,绊状态确认!$B:$B,)),"")</f>
        <v>7</v>
      </c>
      <c r="I370" s="450" t="str">
        <f>IFERROR(INDEX(绊状态确认!D:D,MATCH($G370,绊状态确认!$B:$B,)),"")</f>
        <v>缪</v>
      </c>
      <c r="J370" s="450" t="str">
        <f>IFERROR(INDEX(绊状态确认!E:E,MATCH($G370,绊状态确认!$B:$B,)),"")</f>
        <v>3年级</v>
      </c>
      <c r="K370" s="451" t="str">
        <f>IFERROR(INDEX(绊状态确认!F:F,MATCH($G370,绊状态确认!$B:$B,)),"")</f>
        <v>lilywhite</v>
      </c>
      <c r="L370" s="1094" t="str">
        <f>INDEX('卡片raw data'!E:E,MATCH($D370,'卡片raw data'!$F:$F,))</f>
        <v>卡池卡</v>
      </c>
      <c r="M370" s="478">
        <v>44183</v>
      </c>
      <c r="N370" s="479">
        <v>30</v>
      </c>
      <c r="O370" s="1091" t="str">
        <f>INDEX('卡片raw data'!D:D,MATCH($D370,'卡片raw data'!$F:$F,))</f>
        <v>gd</v>
      </c>
      <c r="P370" s="1126">
        <v>5</v>
      </c>
      <c r="Q370" s="1095">
        <f t="shared" si="428"/>
        <v>37096.81873627926</v>
      </c>
      <c r="R370" s="1096">
        <f t="shared" si="429"/>
        <v>0.43099999999999999</v>
      </c>
      <c r="S370" s="1097">
        <f t="shared" si="430"/>
        <v>17247.633658964667</v>
      </c>
      <c r="T370" s="1098">
        <f t="shared" si="431"/>
        <v>0.86199999999999999</v>
      </c>
      <c r="U370" s="1099">
        <f t="shared" si="432"/>
        <v>96.638700666742864</v>
      </c>
      <c r="V370" s="1100">
        <f t="shared" si="433"/>
        <v>47305.770579386175</v>
      </c>
      <c r="W370" s="1101">
        <f t="shared" si="434"/>
        <v>4507.7214871259994</v>
      </c>
      <c r="X370" s="1096">
        <f t="shared" si="435"/>
        <v>5.1999999999999998E-2</v>
      </c>
      <c r="Y370" s="1097">
        <f t="shared" si="436"/>
        <v>2001.4640892759844</v>
      </c>
      <c r="Z370" s="1102">
        <f t="shared" si="437"/>
        <v>24.448700666742859</v>
      </c>
      <c r="AA370" s="1103">
        <f t="shared" si="438"/>
        <v>6509.1855764019838</v>
      </c>
      <c r="AB370" s="1101">
        <f t="shared" si="439"/>
        <v>8264.1560597309999</v>
      </c>
      <c r="AC370" s="1104">
        <f t="shared" si="440"/>
        <v>9.6000000000000002E-2</v>
      </c>
      <c r="AD370" s="1105">
        <f t="shared" si="441"/>
        <v>0</v>
      </c>
      <c r="AE370" s="1128">
        <f t="shared" si="442"/>
        <v>-6.25</v>
      </c>
      <c r="AF370" s="1130">
        <f t="shared" si="443"/>
        <v>0</v>
      </c>
      <c r="AG370" s="420">
        <f t="shared" si="444"/>
        <v>0</v>
      </c>
      <c r="AH370" s="420">
        <f t="shared" si="445"/>
        <v>0</v>
      </c>
      <c r="AI370" s="1097">
        <f t="shared" si="446"/>
        <v>0</v>
      </c>
      <c r="AJ370" s="420">
        <f t="shared" si="447"/>
        <v>0</v>
      </c>
      <c r="AK370" s="518">
        <f t="shared" si="448"/>
        <v>0</v>
      </c>
      <c r="AL370" s="1106">
        <f>IF($P370="","N/A",(IF($P370=-1,INDEX('卡片raw data'!S:S,MATCH($D370,'卡片raw data'!$F:$F,)),0)+IF($P370=0,INDEX('卡片raw data'!V:V,MATCH($D370,'卡片raw data'!$F:$F,)),0)+IF($P370=1,INDEX('卡片raw data'!Y:Y,MATCH($D370,'卡片raw data'!$F:$F,)),0)+IF($P370=2,INDEX('卡片raw data'!AB:AB,MATCH($D370,'卡片raw data'!$F:$F,)),0)+IF($P370=3,INDEX('卡片raw data'!AE:AE,MATCH($D370,'卡片raw data'!$F:$F,)),0)+IF($P370=4,INDEX('卡片raw data'!AH:AH,MATCH($D370,'卡片raw data'!$F:$F,)),0)+IF($P370=5,INDEX('卡片raw data'!AK:AK,MATCH($D370,'卡片raw data'!$F:$F,)),0)+INDEX('卡片raw data'!S:S,MATCH($D370,'卡片raw data'!$F:$F,))*(IF($F370="UR",0.04,0.033))*(IF($F370="UR",INDEX(绊状态确认!$S:$S,MATCH($G370,绊状态确认!$B:$B,))/2-40)+IF($F370="SR",INDEX(绊状态确认!$R:$R,MATCH($G370,绊状态确认!$B:$B,))/4-15))+IF($F370="R",INDEX(绊状态确认!$Q:$Q,MATCH($G370,绊状态确认!$B:$B,))/6-40/6)))*(INDEX(绊状态确认!$H:$H,MATCH($G370,绊状态确认!$B:$B,))+INDEX(绊状态确认!J:J,MATCH($G370,绊状态确认!$B:$B,)))</f>
        <v>9596.2161599999981</v>
      </c>
      <c r="AM370" s="1106">
        <f>IF($P370="","N/A",(IF($P370=-1,INDEX('卡片raw data'!T:T,MATCH($D370,'卡片raw data'!$F:$F,)),0)+IF($P370=0,INDEX('卡片raw data'!W:W,MATCH($D370,'卡片raw data'!$F:$F,)),0)+IF($P370=1,INDEX('卡片raw data'!Z:Z,MATCH($D370,'卡片raw data'!$F:$F,)),0)+IF($P370=2,INDEX('卡片raw data'!AC:AC,MATCH($D370,'卡片raw data'!$F:$F,)),0)+IF($P370=3,INDEX('卡片raw data'!AF:AF,MATCH($D370,'卡片raw data'!$F:$F,)),0)+IF($P370=4,INDEX('卡片raw data'!AI:AI,MATCH($D370,'卡片raw data'!$F:$F,)),0)+IF($P370=5,INDEX('卡片raw data'!AL:AL,MATCH($D370,'卡片raw data'!$F:$F,)),0)+INDEX('卡片raw data'!T:T,MATCH($D370,'卡片raw data'!$F:$F,))*(IF($F370="UR",0.04,0.033))*(IF($F370="UR",INDEX(绊状态确认!$S:$S,MATCH($G370,绊状态确认!$B:$B,))/2-40)+IF($F370="SR",INDEX(绊状态确认!$R:$R,MATCH($G370,绊状态确认!$B:$B,))/4-15))+IF($F370="R",INDEX(绊状态确认!$Q:$Q,MATCH($G370,绊状态确认!$B:$B,))/6-40/6)))*(INDEX(绊状态确认!$H:$H,MATCH($G370,绊状态确认!$B:$B,))+INDEX(绊状态确认!K:K,MATCH($G370,绊状态确认!$B:$B,)))</f>
        <v>14736.107903999999</v>
      </c>
      <c r="AN370" s="1106">
        <f>IF($P370="","N/A",(IF($P370=-1,INDEX('卡片raw data'!U:U,MATCH($D370,'卡片raw data'!$F:$F,)),0)+IF($P370=0,INDEX('卡片raw data'!X:X,MATCH($D370,'卡片raw data'!$F:$F,)),0)+IF($P370=1,INDEX('卡片raw data'!AA:AA,MATCH($D370,'卡片raw data'!$F:$F,)),0)+IF($P370=2,INDEX('卡片raw data'!AD:AD,MATCH($D370,'卡片raw data'!$F:$F,)),0)+IF($P370=3,INDEX('卡片raw data'!AG:AG,MATCH($D370,'卡片raw data'!$F:$F,)),0)+IF($P370=4,INDEX('卡片raw data'!AJ:AJ,MATCH($D370,'卡片raw data'!$F:$F,)),0)+IF($P370=5,INDEX('卡片raw data'!AM:AM,MATCH($D370,'卡片raw data'!$F:$F,)),0)+INDEX('卡片raw data'!U:U,MATCH($D370,'卡片raw data'!$F:$F,))*(IF($F370="UR",0.04,0.033))*(IF($F370="UR",INDEX(绊状态确认!$S:$S,MATCH($G370,绊状态确认!$B:$B,))/2-40)+IF($F370="SR",INDEX(绊状态确认!$R:$R,MATCH($G370,绊状态确认!$B:$B,))/4-15))+IF($F370="R",INDEX(绊状态确认!$Q:$Q,MATCH($G370,绊状态确认!$B:$B,))/6-40/6)))*(INDEX(绊状态确认!$H:$H,MATCH($G370,绊状态确认!$B:$B,))+INDEX(绊状态确认!L:L,MATCH($G370,绊状态确认!$B:$B,)))</f>
        <v>9937.9998239999986</v>
      </c>
      <c r="AO370" s="1107">
        <f t="shared" si="449"/>
        <v>1</v>
      </c>
      <c r="AP370" s="1131">
        <f>1+(INDEX(绊状态确认!$T:$T,MATCH($G370,绊状态确认!$B:$B,))+0.2)*$AO370</f>
        <v>1.3</v>
      </c>
      <c r="AQ370" s="1108">
        <f t="shared" si="450"/>
        <v>28440.067419999996</v>
      </c>
      <c r="AR370" s="1097">
        <f>(AM370*(1+$EX$9)+$EX$35)*(1+(INDEX(绊状态确认!$T:$T,MATCH($G370,绊状态确认!$B:$B,))+0.2)*AO370)*IF(J370=$FF$17,1+$FE$17,1)*IF(I370=$FF$14,1+$FE$14,1)</f>
        <v>22818.787288960004</v>
      </c>
      <c r="AS370" s="1097">
        <f>(AN370*(1+$EX$10)+$EX$36)*(1+(INDEX(绊状态确认!$T:$T,MATCH($G370,绊状态确认!$B:$B,))+0.2)*AO370)*IF(J370=$FF$17,1+$FE$17,1)*IF(I370=$FF$14,1+$FE$14,1)</f>
        <v>18913.309736879997</v>
      </c>
      <c r="AT370" s="1093">
        <f>IF(AND(INDEX('卡片raw data'!AK:AK,MATCH($D370,'卡片raw data'!$F:$F,))&lt;INDEX('卡片raw data'!AM:AM,MATCH($D370,'卡片raw data'!$F:$F,)),INDEX('卡片raw data'!AL:AL,MATCH($D370,'卡片raw data'!$F:$F,))&lt;INDEX('卡片raw data'!AM:AM,MATCH($D370,'卡片raw data'!$F:$F,))),1,0)</f>
        <v>0</v>
      </c>
      <c r="AU370" s="1098">
        <f>MIN(AT370*0.15+AS370*0.00003+INDEX(绊状态确认!M:M,MATCH($G370,绊状态确认!$B:$B,)),1)</f>
        <v>0.59739929210639997</v>
      </c>
      <c r="AV370" s="1109">
        <f>(INDEX(绊状态确认!$N:$N,MATCH($G370,绊状态确认!$B:$B,))+1.5)*$EW$21</f>
        <v>2.6599999999999997</v>
      </c>
      <c r="AW370" s="1101">
        <f t="shared" si="451"/>
        <v>29417.662676548262</v>
      </c>
      <c r="AX370" s="1097">
        <f t="shared" si="452"/>
        <v>2001.464089275984</v>
      </c>
      <c r="AY370" s="1110">
        <f t="shared" si="453"/>
        <v>31419.126765824247</v>
      </c>
      <c r="AZ370" s="429">
        <f t="shared" si="454"/>
        <v>21312.621511999994</v>
      </c>
      <c r="BA370" s="431">
        <f t="shared" si="455"/>
        <v>25575.145814399992</v>
      </c>
      <c r="BB370" s="1097">
        <f>(AM370*(1+$FB$9)+$FB$35)*(1+(INDEX(绊状态确认!$T:$T,MATCH($G370,绊状态确认!$B:$B,))+0.2)*AO370)*IF(J370=$FF$17,1+$FE$17,1)*IF(I370=$FF$14,1+$FE$14,1)*(1+$FE$15)</f>
        <v>22818.787288960004</v>
      </c>
      <c r="BC370" s="1097">
        <f>(AN370*(1+$FB$10)+$FB$36)*(1+(INDEX(绊状态确认!$T:$T,MATCH($G370,绊状态确认!$B:$B,))+0.2)*AO370)*IF(J370=$FF$17,1+$FE$17,1)*IF(I370=$FF$14,1+$FE$14,1)*(1+$FE$15)</f>
        <v>18913.309736879997</v>
      </c>
      <c r="BD370" s="1104">
        <f>MIN(AT370*0.15+BC370*0.00003+INDEX(绊状态确认!M:M,MATCH($G370,绊状态确认!$B:$B,)),1)</f>
        <v>0.59739929210639997</v>
      </c>
      <c r="BE370" s="432">
        <f>(INDEX(绊状态确认!$N:$N,MATCH($G370,绊状态确认!$B:$B,))+1.5)</f>
        <v>1.9</v>
      </c>
      <c r="BF370" s="1139">
        <f t="array" ref="BF370">SUMPRODUCT(IF(AZ370*AP370*$FI$16:$FI$23*$FA$22&gt;=$FI$24,$FI$24,AZ370*AP370*$FI$16:$FI$23*$FA$22),$FJ$16:$FJ$23)</f>
        <v>42390.80418736799</v>
      </c>
      <c r="BG370" s="1125">
        <f t="array" ref="BG370">SUMPRODUCT(IF(BE370*AZ370*AP370*$FI$16:$FI$23*$FA$22&gt;=$FI$24,$FI$24,BE370*AZ370*AP370*$FI$16:$FI$23*$FA$22),$FJ$16:$FJ$23)</f>
        <v>60000</v>
      </c>
      <c r="BH370" s="1110">
        <f t="shared" si="456"/>
        <v>17636.841766799113</v>
      </c>
      <c r="BI370" s="1111">
        <f>IF(O370="vo",$EW$26/$EW$24*0.05,0)+IF(O370="sk",-$EW$26/$EW$24*(0.05-INDEX(绊状态确认!W:W,MATCH($G370,绊状态确认!$B:$B,)))+0.05*$EW$28,0)+IF(O370="sp",0.05*$EW$32*$EW$30*(1-$EW$33)-(0.05-INDEX(绊状态确认!V:V,MATCH($G370,绊状态确认!$B:$B,)))*$EW$28,0)+IF(O370="gd",-(0.05-INDEX(绊状态确认!X:X,MATCH($G370,绊状态确认!$B:$B,)))*$EW$32*$EW$30*(1-$EW$33),0)</f>
        <v>-585.00000000000011</v>
      </c>
      <c r="BJ370" s="1097">
        <f>IF(O370="vo",0.05*(1-$FI$26)*$FA$24,0)+IF(O370="sk",-(0.05-INDEX(绊状态确认!W:W,MATCH($G370,绊状态确认!$B:$B,)))*(1-$FI$26)*$FA$24+0.05*$FA$26,0)+IF(O370="sp",0.05*$FA$32*$FA$27*(1-$FA$33)/$FA$30+0.05*$FA$29/$FA$69*$FA$27*(1-$FA$33)-(0.05-INDEX(绊状态确认!V:V,MATCH($G370,绊状态确认!$B:$B,)))*$FA$26,0)+IF(O370="gd",-(0.05-INDEX(绊状态确认!X:X,MATCH($G370,绊状态确认!$B:$B,)))*$FA$32*$FA$27*(1-$FA$33)/$FA$30-(0.05-INDEX(绊状态确认!X:X,MATCH($G370,绊状态确认!$B:$B,)))*$FA$29/$FA$69*$FA$27*(1-$FA$33),0)</f>
        <v>-795.00000000000011</v>
      </c>
      <c r="BK370" s="1110">
        <f>IF(O370="vo",$EW$26/$EW$24*0.05+$EW$26*(-HP($EW$62,$EW$65,$EW$64)+HP($EW$62,$EW$65,(1.05-INDEX(绊状态确认!U:U,MATCH($G370,绊状态确认!$B:$B,)))*$EW$64)),0)+IF(O370="sk",-$EW$26/$EW$24*(0.05-INDEX(绊状态确认!W:W,MATCH($G370,绊状态确认!$B:$B,)))+0.05*$EW$29,0)+IF(O370="sp",0.05*$EW$32*$EW$30*(1-$EW$33)-(0.05-INDEX(绊状态确认!V:V,MATCH($G370,绊状态确认!$B:$B,)))*$EW$29,0)+IF(O370="gd",-(0.05-INDEX(绊状态确认!X:X,MATCH($G370,绊状态确认!$B:$B,)))*$EW$32*$EW$30*(1-$EW$33)+$EW$26*(-HP($EW$62,$EW$65,$EW$64)+HP($EW$62,$EW$65,0.95*$EW$64)),0)</f>
        <v>1009.5947725176144</v>
      </c>
      <c r="BL370" s="1111">
        <f t="shared" si="457"/>
        <v>0</v>
      </c>
      <c r="BM370" s="1110">
        <f t="shared" si="458"/>
        <v>0</v>
      </c>
      <c r="BN370" s="1113">
        <f t="shared" si="459"/>
        <v>3</v>
      </c>
      <c r="BO370" s="1108">
        <f t="shared" si="460"/>
        <v>4507.7214871259994</v>
      </c>
      <c r="BP370" s="1100">
        <f t="shared" si="461"/>
        <v>221.34103209030098</v>
      </c>
      <c r="BQ370" s="1113" t="s">
        <v>132</v>
      </c>
      <c r="BR370" s="1124" t="s">
        <v>168</v>
      </c>
      <c r="BS370" s="1098">
        <f>IF($P370="","N/A",IF($P370=-1,INDEX('卡片raw data'!AX:AX,MATCH($D370,'卡片raw data'!$F:$F,)),0)+IF($L370="party卡",IF($P370=5,INDEX('卡片raw data'!BD:BD,MATCH($D370,'卡片raw data'!$F:$F,)),IF($P370&gt;=3,INDEX('卡片raw data'!BC:BC,MATCH($D370,'卡片raw data'!$F:$F,)),INDEX('卡片raw data'!BB:BB,MATCH($D370,'卡片raw data'!$F:$F,)))),IF(OR(AND($F370="UR",$P370=0),AND($F370="SR",$P370&gt;=0,$P370&lt;=2),AND($F370="R",$P370&gt;=0,$P370&lt;4)),INDEX('卡片raw data'!AZ:AZ,MATCH($D370,'卡片raw data'!$F:$F,)),0)+IF(OR(AND($F370="UR",$P370&gt;=1,$P370&lt;=4),AND($F370="SR",$P370&lt;=4,$P370&gt;=3),AND($F370="R",$P370=4)),INDEX('卡片raw data'!BA:BA,MATCH($D370,'卡片raw data'!$F:$F,)),0)+IF($P370=5,INDEX('卡片raw data'!BB:BB,MATCH($D370,'卡片raw data'!$F:$F,)),0)))</f>
        <v>0.05</v>
      </c>
      <c r="BT370" s="1101">
        <f t="shared" si="462"/>
        <v>3756.4345726050001</v>
      </c>
      <c r="BU370" s="1097">
        <f t="shared" si="463"/>
        <v>184.45086007525089</v>
      </c>
      <c r="BV370" s="1097">
        <f t="shared" si="464"/>
        <v>0</v>
      </c>
      <c r="BW370" s="1112">
        <f t="shared" si="465"/>
        <v>0</v>
      </c>
      <c r="BX370" s="1100">
        <f t="shared" si="466"/>
        <v>3756.4345726050001</v>
      </c>
      <c r="BY370" s="1110">
        <f t="shared" si="467"/>
        <v>0</v>
      </c>
      <c r="BZ370" s="1113" t="s">
        <v>569</v>
      </c>
      <c r="CA370" s="1124"/>
      <c r="CB370" s="1098">
        <f>IF($P370="","N/A",IF($P370=-1,INDEX('卡片raw data'!BE:BE,MATCH($D370,'卡片raw data'!$F:$F,)),0)+IF($L370="party卡",IF($P370=5,INDEX('卡片raw data'!BK:BK,MATCH($D370,'卡片raw data'!$F:$F,)),IF($P370&gt;=3,INDEX('卡片raw data'!BJ:BJ,MATCH($D370,'卡片raw data'!$F:$F,)),INDEX('卡片raw data'!BI:BI,MATCH($D370,'卡片raw data'!$F:$F,)))),IF(OR(AND($F370="UR",$P370=0),AND($F370="SR",$P370&gt;=0,$P370&lt;=2),AND($F370="R",$P370&gt;=0,$P370&lt;4)),INDEX('卡片raw data'!BG:BG,MATCH($D370,'卡片raw data'!$F:$F,)),0)+IF(OR(AND($F370="UR",$P370&gt;=1,$P370&lt;=4),AND($F370="SR",$P370&lt;=4,$P370&gt;=3),AND($F370="R",$P370=4)),INDEX('卡片raw data'!BH:BH,MATCH($D370,'卡片raw data'!$F:$F,)),0)+IF($P370=5,INDEX('卡片raw data'!BI:BI,MATCH($D370,'卡片raw data'!$F:$F,)),0)))</f>
        <v>0</v>
      </c>
      <c r="CC370" s="1101">
        <f t="shared" si="468"/>
        <v>0</v>
      </c>
      <c r="CD370" s="1097">
        <f>IF(BZ370="ap",CB370*(1-$FI$26)*$FB$5/$FB$11*(+IF(CA370="全员",$FA$24,0)+IF(CA370="同作战",$FA$24,0)+IF(CA370="仲间",$FA$24*2/3,0)+IF(CA370="同属性",$FA$24*$FA$37/3,0)+IF(CA370="同年级",$FA$24*$FA$40/3,0)+IF(CA370="同学校",$FA$24*$FA$43/3,0)+IF(CA370="同小队",$FA$24*$FA$46/3,0)+IF(CA370="同type",$FA$24*INDEX($FB$49:$FB$52,MATCH(X370,$FA$49:$FA$52,))/3,0)+IF(CA370="自身",#REF!/3,0)),0)+IF(BZ370="te",CB370*(1-$FI$27)*($FA$20-1)*$FB$7/$FB$13*(+IF(CA370="全员",$FA$19*$FA$24/(1+($FA$20-1)*$FA$19),0)+IF(CA370="同作战",$FA$19*$FA$24/(1+($FA$20-1)*$FA$19),0)+IF(CA370="仲间",$FA$19*$FA$24*2/3/(1+($FA$20-1)*$FA$19),0)+IF(CA370="同属性",$FA$19*$FA$24*$FA$37/3/(1+($FA$20-1)*$FA$19),0)+IF(CA370="同年级",$FA$19*$FA$24*$FA$40/3/(1+($FA$20-1)*$FA$19),0)+IF(CA370="同学校",$FA$19*$FA$24*$FA$43/3/(1+($FA$20-1)*$FA$19),0)+IF(CA370="同小队",$FA$19*$FA$24*$FA$46/3/(1+($FA$20-1)*$FA$19),0)+IF(CA370="同type",$FA$19*$FA$24*INDEX($FB$49:$FB$52,MATCH(X370,$FA$49:$FA$52,))/3/(1+($FA$20-1)*$FA$19),0)+IF(CA370="自身",$FA$19*#REF!/3/(1+(BH370-1)*$BD370),0)),0)</f>
        <v>0</v>
      </c>
      <c r="CE370" s="1097">
        <f t="shared" si="469"/>
        <v>0</v>
      </c>
      <c r="CF370" s="1112">
        <f t="shared" si="470"/>
        <v>0</v>
      </c>
      <c r="CG370" s="1100">
        <f t="shared" si="471"/>
        <v>0</v>
      </c>
      <c r="CH370" s="1110">
        <f t="shared" si="472"/>
        <v>0</v>
      </c>
      <c r="CI370" s="1113" t="s">
        <v>170</v>
      </c>
      <c r="CJ370" s="1114">
        <v>1</v>
      </c>
      <c r="CK370" s="1115" t="s">
        <v>635</v>
      </c>
      <c r="CL370" s="1115" t="s">
        <v>1944</v>
      </c>
      <c r="CM370" s="1119">
        <v>0.3</v>
      </c>
      <c r="CN370" s="1115"/>
      <c r="CO370" s="1115">
        <v>2</v>
      </c>
      <c r="CP370" s="1116">
        <f t="shared" si="473"/>
        <v>24.448700666742859</v>
      </c>
      <c r="CQ370" s="1116">
        <f t="shared" si="474"/>
        <v>38.031312148266672</v>
      </c>
      <c r="CR370" s="1117">
        <f t="shared" si="475"/>
        <v>24.448700666742859</v>
      </c>
      <c r="CS370" s="1118">
        <f t="shared" si="476"/>
        <v>0</v>
      </c>
      <c r="CT370" s="1109">
        <f t="shared" si="477"/>
        <v>0</v>
      </c>
      <c r="CU370" s="1101">
        <f t="shared" si="478"/>
        <v>0</v>
      </c>
      <c r="CV370" s="1108">
        <f t="shared" si="479"/>
        <v>0</v>
      </c>
      <c r="CW370" s="1097">
        <f t="shared" si="480"/>
        <v>0</v>
      </c>
      <c r="CX370" s="1097">
        <f t="shared" si="481"/>
        <v>0</v>
      </c>
      <c r="CY370" s="1110">
        <f t="shared" si="482"/>
        <v>0</v>
      </c>
      <c r="CZ370" s="437"/>
      <c r="DA370" s="438"/>
      <c r="DB370" s="439" t="s">
        <v>569</v>
      </c>
      <c r="DC370" s="439"/>
      <c r="DD370" s="443"/>
      <c r="DE370" s="411"/>
      <c r="DF370" s="411"/>
      <c r="DG370" s="1116">
        <f t="shared" si="483"/>
        <v>0</v>
      </c>
      <c r="DH370" s="1116">
        <f t="shared" si="484"/>
        <v>0</v>
      </c>
      <c r="DI370" s="1116">
        <f t="shared" si="485"/>
        <v>0</v>
      </c>
      <c r="DJ370" s="442">
        <f t="shared" si="486"/>
        <v>0</v>
      </c>
      <c r="DK370" s="1109">
        <f t="shared" si="487"/>
        <v>0</v>
      </c>
      <c r="DL370" s="1101">
        <f t="shared" si="488"/>
        <v>0</v>
      </c>
      <c r="DM370" s="1097">
        <f t="shared" si="489"/>
        <v>0</v>
      </c>
      <c r="DN370" s="1097">
        <f t="shared" si="490"/>
        <v>0</v>
      </c>
      <c r="DO370" s="1097">
        <f t="shared" si="491"/>
        <v>0</v>
      </c>
      <c r="DP370" s="1110">
        <f t="shared" si="492"/>
        <v>0</v>
      </c>
      <c r="DQ370" s="1113" t="s">
        <v>556</v>
      </c>
      <c r="DR370" s="1120">
        <f t="shared" si="493"/>
        <v>0.33</v>
      </c>
      <c r="DS370" s="1124">
        <v>4</v>
      </c>
      <c r="DT370" s="1093" t="s">
        <v>161</v>
      </c>
      <c r="DU370" s="1093" t="s">
        <v>544</v>
      </c>
      <c r="DV370" s="1098">
        <f>IF($P370="","N/A",IF(P370=-1,INDEX('卡片raw data'!AN:AN,MATCH(D370,'卡片raw data'!$F:$F,)),0)+IF(AND(L370&lt;&gt;"party卡",P370&lt;=2,P370&gt;=0),INDEX('卡片raw data'!AP:AP,MATCH(D370,'卡片raw data'!$F:$F,)),0)+IF(OR(AND(L370="party卡",P370&lt;=1),AND(P370&lt;=4,L370&lt;&gt;"party卡",P370&gt;=3)),INDEX('卡片raw data'!AQ:AQ,MATCH(D370,'卡片raw data'!$F:$F,)),0)+IF(OR(P370=5,AND(L370="party卡",P370&gt;=2)),INDEX('卡片raw data'!AR:AR,MATCH(D370,'卡片raw data'!$F:$F,)),0))</f>
        <v>0.33</v>
      </c>
      <c r="DW370" s="1098">
        <f t="shared" si="494"/>
        <v>0.33</v>
      </c>
      <c r="DX370" s="1098">
        <f t="shared" si="495"/>
        <v>0.33</v>
      </c>
      <c r="DY370" s="1098">
        <f t="shared" si="496"/>
        <v>0.14520000000000002</v>
      </c>
      <c r="DZ370" s="1098">
        <f t="shared" si="497"/>
        <v>0.12559800000000002</v>
      </c>
      <c r="EA370" s="1098">
        <f t="shared" si="498"/>
        <v>0</v>
      </c>
      <c r="EB370" s="1121">
        <f t="shared" si="499"/>
        <v>0</v>
      </c>
      <c r="EC370" s="1101">
        <f t="shared" si="500"/>
        <v>0</v>
      </c>
      <c r="ED370" s="1097">
        <f t="shared" si="501"/>
        <v>0</v>
      </c>
      <c r="EE370" s="1110">
        <f t="shared" si="513"/>
        <v>6612.8929813133173</v>
      </c>
      <c r="EF370" s="1115" t="s">
        <v>569</v>
      </c>
      <c r="EG370" s="1120">
        <f t="shared" si="503"/>
        <v>0.33</v>
      </c>
      <c r="EH370" s="1124"/>
      <c r="EI370" s="1093"/>
      <c r="EJ370" s="1093"/>
      <c r="EK370" s="1097">
        <f>IF($P370="","N/A",IF(P370=-1,INDEX('卡片raw data'!AS:AS,MATCH(D370,'卡片raw data'!$F:$F,)),0)+IF(AND(L370&lt;&gt;"party卡",P370&lt;=2,P370&gt;=0),INDEX('卡片raw data'!AU:AU,MATCH(D370,'卡片raw data'!$F:$F,)),0)+IF(OR(AND(L370="party卡",P370&lt;=1),AND(P370&lt;=4,L370&lt;&gt;"party卡",P370&gt;=3)),INDEX('卡片raw data'!AV:AV,MATCH(D370,'卡片raw data'!$F:$F,)),0)+IF(OR(P370=5,AND(L370="party卡",P370&gt;=2)),INDEX('卡片raw data'!AW:AW,MATCH(D370,'卡片raw data'!$F:$F,)),0))</f>
        <v>0</v>
      </c>
      <c r="EL370" s="1098">
        <f t="shared" si="504"/>
        <v>0.33</v>
      </c>
      <c r="EM370" s="1098">
        <f t="shared" si="505"/>
        <v>0.33</v>
      </c>
      <c r="EN370" s="1097">
        <f t="shared" si="506"/>
        <v>0</v>
      </c>
      <c r="EO370" s="1097">
        <f t="shared" si="507"/>
        <v>0</v>
      </c>
      <c r="EP370" s="1098">
        <f t="shared" si="508"/>
        <v>0</v>
      </c>
      <c r="EQ370" s="1121">
        <f t="shared" si="509"/>
        <v>0</v>
      </c>
      <c r="ER370" s="1101">
        <f t="shared" si="510"/>
        <v>0</v>
      </c>
      <c r="ES370" s="1097">
        <f t="shared" si="511"/>
        <v>0</v>
      </c>
      <c r="ET370" s="1122">
        <f t="shared" si="514"/>
        <v>0</v>
      </c>
    </row>
    <row r="371" spans="2:150" ht="16.5" customHeight="1">
      <c r="B371" s="1123" t="str">
        <f>INDEX('卡片raw data'!B:B,MATCH($D371,'卡片raw data'!$F:$F,))</f>
        <v>四单善</v>
      </c>
      <c r="C371" s="449" t="s">
        <v>1775</v>
      </c>
      <c r="D371" s="408">
        <v>368</v>
      </c>
      <c r="E371" s="477">
        <v>401062003</v>
      </c>
      <c r="F371" s="1090" t="str">
        <f>INDEX('卡片raw data'!C:C,MATCH($D371,'卡片raw data'!$F:$F,))</f>
        <v>SR</v>
      </c>
      <c r="G371" s="1094" t="s">
        <v>1779</v>
      </c>
      <c r="H371" s="411">
        <f>IFERROR(INDEX(绊状态确认!C:C,MATCH($G371,绊状态确认!$B:$B,)),"")</f>
        <v>106</v>
      </c>
      <c r="I371" s="450" t="str">
        <f>IFERROR(INDEX(绊状态确认!D:D,MATCH($G371,绊状态确认!$B:$B,)),"")</f>
        <v>水</v>
      </c>
      <c r="J371" s="450" t="str">
        <f>IFERROR(INDEX(绊状态确认!E:E,MATCH($G371,绊状态确认!$B:$B,)),"")</f>
        <v>1年级</v>
      </c>
      <c r="K371" s="451" t="str">
        <f>IFERROR(INDEX(绊状态确认!F:F,MATCH($G371,绊状态确认!$B:$B,)),"")</f>
        <v>Guilty Kiss</v>
      </c>
      <c r="L371" s="1094" t="str">
        <f>INDEX('卡片raw data'!E:E,MATCH($D371,'卡片raw data'!$F:$F,))</f>
        <v>卡池卡</v>
      </c>
      <c r="M371" s="478">
        <v>44183</v>
      </c>
      <c r="N371" s="479">
        <v>30</v>
      </c>
      <c r="O371" s="1091" t="str">
        <f>INDEX('卡片raw data'!D:D,MATCH($D371,'卡片raw data'!$F:$F,))</f>
        <v>vo</v>
      </c>
      <c r="P371" s="1126">
        <v>5</v>
      </c>
      <c r="Q371" s="1095">
        <f t="shared" si="428"/>
        <v>37875.869517808729</v>
      </c>
      <c r="R371" s="1096">
        <f t="shared" si="429"/>
        <v>0.44</v>
      </c>
      <c r="S371" s="1097">
        <f t="shared" si="430"/>
        <v>15596.066549136951</v>
      </c>
      <c r="T371" s="1098">
        <f t="shared" si="431"/>
        <v>0.77900000000000003</v>
      </c>
      <c r="U371" s="1099">
        <f t="shared" si="432"/>
        <v>-13.335135050637144</v>
      </c>
      <c r="V371" s="1100">
        <f t="shared" si="433"/>
        <v>37501.132942965989</v>
      </c>
      <c r="W371" s="1101">
        <f t="shared" si="434"/>
        <v>5365.9533456101099</v>
      </c>
      <c r="X371" s="1096">
        <f t="shared" si="435"/>
        <v>6.2E-2</v>
      </c>
      <c r="Y371" s="1097">
        <f t="shared" si="436"/>
        <v>929.93187539896007</v>
      </c>
      <c r="Z371" s="1102">
        <f t="shared" si="437"/>
        <v>11.664864949362856</v>
      </c>
      <c r="AA371" s="1103">
        <f t="shared" si="438"/>
        <v>6295.8852210090699</v>
      </c>
      <c r="AB371" s="1101">
        <f t="shared" si="439"/>
        <v>6167.3260544325094</v>
      </c>
      <c r="AC371" s="1104">
        <f t="shared" si="440"/>
        <v>7.0999999999999994E-2</v>
      </c>
      <c r="AD371" s="1105">
        <f t="shared" si="441"/>
        <v>-3.8207812500000026E-3</v>
      </c>
      <c r="AE371" s="1128">
        <f t="shared" si="442"/>
        <v>-12.27536231884058</v>
      </c>
      <c r="AF371" s="1130">
        <f t="shared" si="443"/>
        <v>0</v>
      </c>
      <c r="AG371" s="420">
        <f t="shared" si="444"/>
        <v>0</v>
      </c>
      <c r="AH371" s="420">
        <f t="shared" si="445"/>
        <v>0</v>
      </c>
      <c r="AI371" s="1097">
        <f t="shared" si="446"/>
        <v>0</v>
      </c>
      <c r="AJ371" s="420">
        <f t="shared" si="447"/>
        <v>0</v>
      </c>
      <c r="AK371" s="518">
        <f t="shared" si="448"/>
        <v>0</v>
      </c>
      <c r="AL371" s="1106">
        <f>IF($P371="","N/A",(IF($P371=-1,INDEX('卡片raw data'!S:S,MATCH($D371,'卡片raw data'!$F:$F,)),0)+IF($P371=0,INDEX('卡片raw data'!V:V,MATCH($D371,'卡片raw data'!$F:$F,)),0)+IF($P371=1,INDEX('卡片raw data'!Y:Y,MATCH($D371,'卡片raw data'!$F:$F,)),0)+IF($P371=2,INDEX('卡片raw data'!AB:AB,MATCH($D371,'卡片raw data'!$F:$F,)),0)+IF($P371=3,INDEX('卡片raw data'!AE:AE,MATCH($D371,'卡片raw data'!$F:$F,)),0)+IF($P371=4,INDEX('卡片raw data'!AH:AH,MATCH($D371,'卡片raw data'!$F:$F,)),0)+IF($P371=5,INDEX('卡片raw data'!AK:AK,MATCH($D371,'卡片raw data'!$F:$F,)),0)+INDEX('卡片raw data'!S:S,MATCH($D371,'卡片raw data'!$F:$F,))*(IF($F371="UR",0.04,0.033))*(IF($F371="UR",INDEX(绊状态确认!$S:$S,MATCH($G371,绊状态确认!$B:$B,))/2-40)+IF($F371="SR",INDEX(绊状态确认!$R:$R,MATCH($G371,绊状态确认!$B:$B,))/4-15))+IF($F371="R",INDEX(绊状态确认!$Q:$Q,MATCH($G371,绊状态确认!$B:$B,))/6-40/6)))*(INDEX(绊状态确认!$H:$H,MATCH($G371,绊状态确认!$B:$B,))+INDEX(绊状态确认!J:J,MATCH($G371,绊状态确认!$B:$B,)))</f>
        <v>8062.8739127999988</v>
      </c>
      <c r="AM371" s="1106">
        <f>IF($P371="","N/A",(IF($P371=-1,INDEX('卡片raw data'!T:T,MATCH($D371,'卡片raw data'!$F:$F,)),0)+IF($P371=0,INDEX('卡片raw data'!W:W,MATCH($D371,'卡片raw data'!$F:$F,)),0)+IF($P371=1,INDEX('卡片raw data'!Z:Z,MATCH($D371,'卡片raw data'!$F:$F,)),0)+IF($P371=2,INDEX('卡片raw data'!AC:AC,MATCH($D371,'卡片raw data'!$F:$F,)),0)+IF($P371=3,INDEX('卡片raw data'!AF:AF,MATCH($D371,'卡片raw data'!$F:$F,)),0)+IF($P371=4,INDEX('卡片raw data'!AI:AI,MATCH($D371,'卡片raw data'!$F:$F,)),0)+IF($P371=5,INDEX('卡片raw data'!AL:AL,MATCH($D371,'卡片raw data'!$F:$F,)),0)+INDEX('卡片raw data'!T:T,MATCH($D371,'卡片raw data'!$F:$F,))*(IF($F371="UR",0.04,0.033))*(IF($F371="UR",INDEX(绊状态确认!$S:$S,MATCH($G371,绊状态确认!$B:$B,))/2-40)+IF($F371="SR",INDEX(绊状态确认!$R:$R,MATCH($G371,绊状态确认!$B:$B,))/4-15))+IF($F371="R",INDEX(绊状态确认!$Q:$Q,MATCH($G371,绊状态确认!$B:$B,))/6-40/6)))*(INDEX(绊状态确认!$H:$H,MATCH($G371,绊状态确认!$B:$B,))+INDEX(绊状态确认!K:K,MATCH($G371,绊状态确认!$B:$B,)))</f>
        <v>5995.0236527999996</v>
      </c>
      <c r="AN371" s="1106">
        <f>IF($P371="","N/A",(IF($P371=-1,INDEX('卡片raw data'!U:U,MATCH($D371,'卡片raw data'!$F:$F,)),0)+IF($P371=0,INDEX('卡片raw data'!X:X,MATCH($D371,'卡片raw data'!$F:$F,)),0)+IF($P371=1,INDEX('卡片raw data'!AA:AA,MATCH($D371,'卡片raw data'!$F:$F,)),0)+IF($P371=2,INDEX('卡片raw data'!AD:AD,MATCH($D371,'卡片raw data'!$F:$F,)),0)+IF($P371=3,INDEX('卡片raw data'!AG:AG,MATCH($D371,'卡片raw data'!$F:$F,)),0)+IF($P371=4,INDEX('卡片raw data'!AJ:AJ,MATCH($D371,'卡片raw data'!$F:$F,)),0)+IF($P371=5,INDEX('卡片raw data'!AM:AM,MATCH($D371,'卡片raw data'!$F:$F,)),0)+INDEX('卡片raw data'!U:U,MATCH($D371,'卡片raw data'!$F:$F,))*(IF($F371="UR",0.04,0.033))*(IF($F371="UR",INDEX(绊状态确认!$S:$S,MATCH($G371,绊状态确认!$B:$B,))/2-40)+IF($F371="SR",INDEX(绊状态确认!$R:$R,MATCH($G371,绊状态确认!$B:$B,))/4-15))+IF($F371="R",INDEX(绊状态确认!$Q:$Q,MATCH($G371,绊状态确认!$B:$B,))/6-40/6)))*(INDEX(绊状态确认!$H:$H,MATCH($G371,绊状态确认!$B:$B,))+INDEX(绊状态确认!L:L,MATCH($G371,绊状态确认!$B:$B,)))</f>
        <v>6617.1208319999996</v>
      </c>
      <c r="AO371" s="1107">
        <f t="shared" si="449"/>
        <v>1</v>
      </c>
      <c r="AP371" s="1131">
        <f>1+(INDEX(绊状态确认!$T:$T,MATCH($G371,绊状态确认!$B:$B,))+0.2)*$AO371</f>
        <v>1.3</v>
      </c>
      <c r="AQ371" s="1108">
        <f t="shared" si="450"/>
        <v>24415.044021099999</v>
      </c>
      <c r="AR371" s="1097">
        <f>(AM371*(1+$EX$9)+$EX$35)*(1+(INDEX(绊状态确认!$T:$T,MATCH($G371,绊状态确认!$B:$B,))+0.2)*AO371)*IF(J371=$FF$17,1+$FE$17,1)*IF(I371=$FF$14,1+$FE$14,1)</f>
        <v>10887.207286072</v>
      </c>
      <c r="AS371" s="1097">
        <f>(AN371*(1+$EX$10)+$EX$36)*(1+(INDEX(绊状态确认!$T:$T,MATCH($G371,绊状态确认!$B:$B,))+0.2)*AO371)*IF(J371=$FF$17,1+$FE$17,1)*IF(I371=$FF$14,1+$FE$14,1)</f>
        <v>13948.595643839999</v>
      </c>
      <c r="AT371" s="1093">
        <f>IF(AND(INDEX('卡片raw data'!AK:AK,MATCH($D371,'卡片raw data'!$F:$F,))&lt;INDEX('卡片raw data'!AM:AM,MATCH($D371,'卡片raw data'!$F:$F,)),INDEX('卡片raw data'!AL:AL,MATCH($D371,'卡片raw data'!$F:$F,))&lt;INDEX('卡片raw data'!AM:AM,MATCH($D371,'卡片raw data'!$F:$F,))),1,0)</f>
        <v>0</v>
      </c>
      <c r="AU371" s="1098">
        <f>MIN(AT371*0.15+AS371*0.00003+INDEX(绊状态确认!M:M,MATCH($G371,绊状态确认!$B:$B,)),1)</f>
        <v>0.44845786931519999</v>
      </c>
      <c r="AV371" s="1109">
        <f>(INDEX(绊状态确认!$N:$N,MATCH($G371,绊状态确认!$B:$B,))+1.5)*$EW$21</f>
        <v>2.6599999999999997</v>
      </c>
      <c r="AW371" s="1101">
        <f t="shared" si="451"/>
        <v>22119.277019185323</v>
      </c>
      <c r="AX371" s="1097">
        <f t="shared" si="452"/>
        <v>929.93187539896007</v>
      </c>
      <c r="AY371" s="1110">
        <f t="shared" si="453"/>
        <v>23049.208894584284</v>
      </c>
      <c r="AZ371" s="429">
        <f t="shared" si="454"/>
        <v>18322.604129959996</v>
      </c>
      <c r="BA371" s="431">
        <f t="shared" si="455"/>
        <v>21987.124955951997</v>
      </c>
      <c r="BB371" s="1097">
        <f>(AM371*(1+$FB$9)+$FB$35)*(1+(INDEX(绊状态确认!$T:$T,MATCH($G371,绊状态确认!$B:$B,))+0.2)*AO371)*IF(J371=$FF$17,1+$FE$17,1)*IF(I371=$FF$14,1+$FE$14,1)*(1+$FE$15)</f>
        <v>10887.207286072</v>
      </c>
      <c r="BC371" s="1097">
        <f>(AN371*(1+$FB$10)+$FB$36)*(1+(INDEX(绊状态确认!$T:$T,MATCH($G371,绊状态确认!$B:$B,))+0.2)*AO371)*IF(J371=$FF$17,1+$FE$17,1)*IF(I371=$FF$14,1+$FE$14,1)*(1+$FE$15)</f>
        <v>13948.595643839999</v>
      </c>
      <c r="BD371" s="1104">
        <f>MIN(AT371*0.15+BC371*0.00003+INDEX(绊状态确认!M:M,MATCH($G371,绊状态确认!$B:$B,)),1)</f>
        <v>0.44845786931519999</v>
      </c>
      <c r="BE371" s="432">
        <f>(INDEX(绊状态确认!$N:$N,MATCH($G371,绊状态确认!$B:$B,))+1.5)</f>
        <v>1.9</v>
      </c>
      <c r="BF371" s="1139">
        <f t="array" ref="BF371">SUMPRODUCT(IF(AZ371*AP371*$FI$16:$FI$23*$FA$22&gt;=$FI$24,$FI$24,AZ371*AP371*$FI$16:$FI$23*$FA$22),$FJ$16:$FJ$23)</f>
        <v>36443.659614490432</v>
      </c>
      <c r="BG371" s="1125">
        <f t="array" ref="BG371">SUMPRODUCT(IF(BE371*AZ371*AP371*$FI$16:$FI$23*$FA$22&gt;=$FI$24,$FI$24,BE371*AZ371*AP371*$FI$16:$FI$23*$FA$22),$FJ$16:$FJ$23)</f>
        <v>59314.208050250294</v>
      </c>
      <c r="BH371" s="1110">
        <f t="shared" si="456"/>
        <v>15566.712345353793</v>
      </c>
      <c r="BI371" s="1111">
        <f>IF(O371="vo",$EW$26/$EW$24*0.05,0)+IF(O371="sk",-$EW$26/$EW$24*(0.05-INDEX(绊状态确认!W:W,MATCH($G371,绊状态确认!$B:$B,)))+0.05*$EW$28,0)+IF(O371="sp",0.05*$EW$32*$EW$30*(1-$EW$33)-(0.05-INDEX(绊状态确认!V:V,MATCH($G371,绊状态确认!$B:$B,)))*$EW$28,0)+IF(O371="gd",-(0.05-INDEX(绊状态确认!X:X,MATCH($G371,绊状态确认!$B:$B,)))*$EW$32*$EW$30*(1-$EW$33),0)</f>
        <v>7726.3029277443748</v>
      </c>
      <c r="BJ371" s="1097">
        <f>IF(O371="vo",0.05*(1-$FI$26)*$FA$24,0)+IF(O371="sk",-(0.05-INDEX(绊状态确认!W:W,MATCH($G371,绊状态确认!$B:$B,)))*(1-$FI$26)*$FA$24+0.05*$FA$26,0)+IF(O371="sp",0.05*$FA$32*$FA$27*(1-$FA$33)/$FA$30+0.05*$FA$29/$FA$69*$FA$27*(1-$FA$33)-(0.05-INDEX(绊状态确认!V:V,MATCH($G371,绊状态确认!$B:$B,)))*$FA$26,0)+IF(O371="gd",-(0.05-INDEX(绊状态确认!X:X,MATCH($G371,绊状态确认!$B:$B,)))*$FA$32*$FA$27*(1-$FA$33)/$FA$30-(0.05-INDEX(绊状态确认!X:X,MATCH($G371,绊状态确认!$B:$B,)))*$FA$29/$FA$69*$FA$27*(1-$FA$33),0)</f>
        <v>393.93433687500004</v>
      </c>
      <c r="BK371" s="1110">
        <f>IF(O371="vo",$EW$26/$EW$24*0.05+$EW$26*(-HP($EW$62,$EW$65,$EW$64)+HP($EW$62,$EW$65,(1.05-INDEX(绊状态确认!U:U,MATCH($G371,绊状态确认!$B:$B,)))*$EW$64)),0)+IF(O371="sk",-$EW$26/$EW$24*(0.05-INDEX(绊状态确认!W:W,MATCH($G371,绊状态确认!$B:$B,)))+0.05*$EW$29,0)+IF(O371="sp",0.05*$EW$32*$EW$30*(1-$EW$33)-(0.05-INDEX(绊状态确认!V:V,MATCH($G371,绊状态确认!$B:$B,)))*$EW$29,0)+IF(O371="gd",-(0.05-INDEX(绊状态确认!X:X,MATCH($G371,绊状态确认!$B:$B,)))*$EW$32*$EW$30*(1-$EW$33)+$EW$26*(-HP($EW$62,$EW$65,$EW$64)+HP($EW$62,$EW$65,0.95*$EW$64)),0)</f>
        <v>6421.6344775026746</v>
      </c>
      <c r="BL371" s="1111">
        <f t="shared" si="457"/>
        <v>-1083.3333333333333</v>
      </c>
      <c r="BM371" s="1110">
        <f t="shared" si="458"/>
        <v>-830.55555555555543</v>
      </c>
      <c r="BN371" s="1113">
        <f t="shared" si="459"/>
        <v>3</v>
      </c>
      <c r="BO371" s="1108">
        <f t="shared" si="460"/>
        <v>4507.7214871259994</v>
      </c>
      <c r="BP371" s="1100">
        <f t="shared" si="461"/>
        <v>221.34103209030098</v>
      </c>
      <c r="BQ371" s="1113" t="s">
        <v>132</v>
      </c>
      <c r="BR371" s="1124" t="s">
        <v>171</v>
      </c>
      <c r="BS371" s="1098">
        <f>IF($P371="","N/A",IF($P371=-1,INDEX('卡片raw data'!AX:AX,MATCH($D371,'卡片raw data'!$F:$F,)),0)+IF($L371="party卡",IF($P371=5,INDEX('卡片raw data'!BD:BD,MATCH($D371,'卡片raw data'!$F:$F,)),IF($P371&gt;=3,INDEX('卡片raw data'!BC:BC,MATCH($D371,'卡片raw data'!$F:$F,)),INDEX('卡片raw data'!BB:BB,MATCH($D371,'卡片raw data'!$F:$F,)))),IF(OR(AND($F371="UR",$P371=0),AND($F371="SR",$P371&gt;=0,$P371&lt;=2),AND($F371="R",$P371&gt;=0,$P371&lt;4)),INDEX('卡片raw data'!AZ:AZ,MATCH($D371,'卡片raw data'!$F:$F,)),0)+IF(OR(AND($F371="UR",$P371&gt;=1,$P371&lt;=4),AND($F371="SR",$P371&lt;=4,$P371&gt;=3),AND($F371="R",$P371=4)),INDEX('卡片raw data'!BA:BA,MATCH($D371,'卡片raw data'!$F:$F,)),0)+IF($P371=5,INDEX('卡片raw data'!BB:BB,MATCH($D371,'卡片raw data'!$F:$F,)),0)))</f>
        <v>3.2000000000000001E-2</v>
      </c>
      <c r="BT371" s="1101">
        <f t="shared" si="462"/>
        <v>1602.7454176448</v>
      </c>
      <c r="BU371" s="1097">
        <f t="shared" si="463"/>
        <v>68.861654428093644</v>
      </c>
      <c r="BV371" s="1097">
        <f t="shared" si="464"/>
        <v>801.37270882240011</v>
      </c>
      <c r="BW371" s="1112">
        <f t="shared" si="465"/>
        <v>0</v>
      </c>
      <c r="BX371" s="1100">
        <f t="shared" si="466"/>
        <v>1602.7454176448</v>
      </c>
      <c r="BY371" s="1110">
        <f t="shared" si="467"/>
        <v>801.37270882240011</v>
      </c>
      <c r="BZ371" s="1113" t="s">
        <v>569</v>
      </c>
      <c r="CA371" s="1124"/>
      <c r="CB371" s="1098">
        <f>IF($P371="","N/A",IF($P371=-1,INDEX('卡片raw data'!BE:BE,MATCH($D371,'卡片raw data'!$F:$F,)),0)+IF($L371="party卡",IF($P371=5,INDEX('卡片raw data'!BK:BK,MATCH($D371,'卡片raw data'!$F:$F,)),IF($P371&gt;=3,INDEX('卡片raw data'!BJ:BJ,MATCH($D371,'卡片raw data'!$F:$F,)),INDEX('卡片raw data'!BI:BI,MATCH($D371,'卡片raw data'!$F:$F,)))),IF(OR(AND($F371="UR",$P371=0),AND($F371="SR",$P371&gt;=0,$P371&lt;=2),AND($F371="R",$P371&gt;=0,$P371&lt;4)),INDEX('卡片raw data'!BG:BG,MATCH($D371,'卡片raw data'!$F:$F,)),0)+IF(OR(AND($F371="UR",$P371&gt;=1,$P371&lt;=4),AND($F371="SR",$P371&lt;=4,$P371&gt;=3),AND($F371="R",$P371=4)),INDEX('卡片raw data'!BH:BH,MATCH($D371,'卡片raw data'!$F:$F,)),0)+IF($P371=5,INDEX('卡片raw data'!BI:BI,MATCH($D371,'卡片raw data'!$F:$F,)),0)))</f>
        <v>0</v>
      </c>
      <c r="CC371" s="1101">
        <f t="shared" si="468"/>
        <v>0</v>
      </c>
      <c r="CD371" s="1097">
        <f>IF(BZ371="ap",CB371*(1-$FI$26)*$FB$5/$FB$11*(+IF(CA371="全员",$FA$24,0)+IF(CA371="同作战",$FA$24,0)+IF(CA371="仲间",$FA$24*2/3,0)+IF(CA371="同属性",$FA$24*$FA$37/3,0)+IF(CA371="同年级",$FA$24*$FA$40/3,0)+IF(CA371="同学校",$FA$24*$FA$43/3,0)+IF(CA371="同小队",$FA$24*$FA$46/3,0)+IF(CA371="同type",$FA$24*INDEX($FB$49:$FB$52,MATCH(X371,$FA$49:$FA$52,))/3,0)+IF(CA371="自身",#REF!/3,0)),0)+IF(BZ371="te",CB371*(1-$FI$27)*($FA$20-1)*$FB$7/$FB$13*(+IF(CA371="全员",$FA$19*$FA$24/(1+($FA$20-1)*$FA$19),0)+IF(CA371="同作战",$FA$19*$FA$24/(1+($FA$20-1)*$FA$19),0)+IF(CA371="仲间",$FA$19*$FA$24*2/3/(1+($FA$20-1)*$FA$19),0)+IF(CA371="同属性",$FA$19*$FA$24*$FA$37/3/(1+($FA$20-1)*$FA$19),0)+IF(CA371="同年级",$FA$19*$FA$24*$FA$40/3/(1+($FA$20-1)*$FA$19),0)+IF(CA371="同学校",$FA$19*$FA$24*$FA$43/3/(1+($FA$20-1)*$FA$19),0)+IF(CA371="同小队",$FA$19*$FA$24*$FA$46/3/(1+($FA$20-1)*$FA$19),0)+IF(CA371="同type",$FA$19*$FA$24*INDEX($FB$49:$FB$52,MATCH(X371,$FA$49:$FA$52,))/3/(1+($FA$20-1)*$FA$19),0)+IF(CA371="自身",$FA$19*#REF!/3/(1+(BH371-1)*$BD371),0)),0)</f>
        <v>0</v>
      </c>
      <c r="CE371" s="1097">
        <f t="shared" si="469"/>
        <v>0</v>
      </c>
      <c r="CF371" s="1112">
        <f t="shared" si="470"/>
        <v>0</v>
      </c>
      <c r="CG371" s="1100">
        <f t="shared" si="471"/>
        <v>0</v>
      </c>
      <c r="CH371" s="1110">
        <f t="shared" si="472"/>
        <v>0</v>
      </c>
      <c r="CI371" s="1113" t="s">
        <v>164</v>
      </c>
      <c r="CJ371" s="1114">
        <v>1</v>
      </c>
      <c r="CK371" s="1115" t="s">
        <v>545</v>
      </c>
      <c r="CL371" s="1115" t="s">
        <v>1940</v>
      </c>
      <c r="CM371" s="1119">
        <v>7.5999999999999998E-2</v>
      </c>
      <c r="CN371" s="1115"/>
      <c r="CO371" s="1115"/>
      <c r="CP371" s="1116">
        <f t="shared" si="473"/>
        <v>51.690136056100286</v>
      </c>
      <c r="CQ371" s="1116">
        <f t="shared" si="474"/>
        <v>72.41093152160191</v>
      </c>
      <c r="CR371" s="1117">
        <f t="shared" si="475"/>
        <v>51.690136056100286</v>
      </c>
      <c r="CS371" s="1118">
        <f t="shared" si="476"/>
        <v>0</v>
      </c>
      <c r="CT371" s="1109">
        <f t="shared" si="477"/>
        <v>0</v>
      </c>
      <c r="CU371" s="1101">
        <f t="shared" si="478"/>
        <v>56.859149661710319</v>
      </c>
      <c r="CV371" s="1108">
        <f t="shared" si="479"/>
        <v>72.41093152160191</v>
      </c>
      <c r="CW371" s="1097">
        <f t="shared" si="480"/>
        <v>56.859149661710319</v>
      </c>
      <c r="CX371" s="1097">
        <f t="shared" si="481"/>
        <v>56.859149661710319</v>
      </c>
      <c r="CY371" s="1110">
        <f t="shared" si="482"/>
        <v>56.859149661710319</v>
      </c>
      <c r="CZ371" s="437"/>
      <c r="DA371" s="438"/>
      <c r="DB371" s="439" t="s">
        <v>569</v>
      </c>
      <c r="DC371" s="439"/>
      <c r="DD371" s="443"/>
      <c r="DE371" s="411"/>
      <c r="DF371" s="411"/>
      <c r="DG371" s="1116">
        <f t="shared" si="483"/>
        <v>0</v>
      </c>
      <c r="DH371" s="1116">
        <f t="shared" si="484"/>
        <v>0</v>
      </c>
      <c r="DI371" s="1116">
        <f t="shared" si="485"/>
        <v>0</v>
      </c>
      <c r="DJ371" s="442">
        <f t="shared" si="486"/>
        <v>0</v>
      </c>
      <c r="DK371" s="1109">
        <f t="shared" si="487"/>
        <v>0</v>
      </c>
      <c r="DL371" s="1101">
        <f t="shared" si="488"/>
        <v>0</v>
      </c>
      <c r="DM371" s="1097">
        <f t="shared" si="489"/>
        <v>0</v>
      </c>
      <c r="DN371" s="1097">
        <f t="shared" si="490"/>
        <v>0</v>
      </c>
      <c r="DO371" s="1097">
        <f t="shared" si="491"/>
        <v>0</v>
      </c>
      <c r="DP371" s="1110">
        <f t="shared" si="492"/>
        <v>0</v>
      </c>
      <c r="DQ371" s="1113" t="s">
        <v>221</v>
      </c>
      <c r="DR371" s="1120">
        <f t="shared" si="493"/>
        <v>0.3</v>
      </c>
      <c r="DS371" s="1124">
        <v>5</v>
      </c>
      <c r="DT371" s="1124" t="s">
        <v>1780</v>
      </c>
      <c r="DU371" s="1093" t="s">
        <v>544</v>
      </c>
      <c r="DV371" s="1098">
        <f>IF($P371="","N/A",IF(P371=-1,INDEX('卡片raw data'!AN:AN,MATCH(D371,'卡片raw data'!$F:$F,)),0)+IF(AND(L371&lt;&gt;"party卡",P371&lt;=2,P371&gt;=0),INDEX('卡片raw data'!AP:AP,MATCH(D371,'卡片raw data'!$F:$F,)),0)+IF(OR(AND(L371="party卡",P371&lt;=1),AND(P371&lt;=4,L371&lt;&gt;"party卡",P371&gt;=3)),INDEX('卡片raw data'!AQ:AQ,MATCH(D371,'卡片raw data'!$F:$F,)),0)+IF(OR(P371=5,AND(L371="party卡",P371&gt;=2)),INDEX('卡片raw data'!AR:AR,MATCH(D371,'卡片raw data'!$F:$F,)),0))</f>
        <v>5.1999999999999998E-2</v>
      </c>
      <c r="DW371" s="1098">
        <f t="shared" si="494"/>
        <v>0.3</v>
      </c>
      <c r="DX371" s="1098">
        <f t="shared" si="495"/>
        <v>0.3</v>
      </c>
      <c r="DY371" s="1098">
        <f t="shared" si="496"/>
        <v>1.7333333333333333E-2</v>
      </c>
      <c r="DZ371" s="1098">
        <f t="shared" si="497"/>
        <v>1.3119166666666666E-2</v>
      </c>
      <c r="EA371" s="1098">
        <f t="shared" si="498"/>
        <v>0</v>
      </c>
      <c r="EB371" s="1121">
        <f t="shared" si="499"/>
        <v>0</v>
      </c>
      <c r="EC371" s="1101">
        <f t="shared" si="500"/>
        <v>2946.2968497798547</v>
      </c>
      <c r="ED371" s="1097">
        <f t="shared" si="501"/>
        <v>103.36180442371877</v>
      </c>
      <c r="EE371" s="1110">
        <f t="shared" si="513"/>
        <v>2946.2968497798547</v>
      </c>
      <c r="EF371" s="1115" t="s">
        <v>569</v>
      </c>
      <c r="EG371" s="1120">
        <f t="shared" si="503"/>
        <v>0.3</v>
      </c>
      <c r="EH371" s="1124"/>
      <c r="EI371" s="1093"/>
      <c r="EJ371" s="1093"/>
      <c r="EK371" s="1097">
        <f>IF($P371="","N/A",IF(P371=-1,INDEX('卡片raw data'!AS:AS,MATCH(D371,'卡片raw data'!$F:$F,)),0)+IF(AND(L371&lt;&gt;"party卡",P371&lt;=2,P371&gt;=0),INDEX('卡片raw data'!AU:AU,MATCH(D371,'卡片raw data'!$F:$F,)),0)+IF(OR(AND(L371="party卡",P371&lt;=1),AND(P371&lt;=4,L371&lt;&gt;"party卡",P371&gt;=3)),INDEX('卡片raw data'!AV:AV,MATCH(D371,'卡片raw data'!$F:$F,)),0)+IF(OR(P371=5,AND(L371="party卡",P371&gt;=2)),INDEX('卡片raw data'!AW:AW,MATCH(D371,'卡片raw data'!$F:$F,)),0))</f>
        <v>0</v>
      </c>
      <c r="EL371" s="1098">
        <f t="shared" si="504"/>
        <v>0.3</v>
      </c>
      <c r="EM371" s="1098">
        <f t="shared" si="505"/>
        <v>0.3</v>
      </c>
      <c r="EN371" s="1097">
        <f t="shared" si="506"/>
        <v>0</v>
      </c>
      <c r="EO371" s="1097">
        <f t="shared" si="507"/>
        <v>0</v>
      </c>
      <c r="EP371" s="1098">
        <f t="shared" si="508"/>
        <v>0</v>
      </c>
      <c r="EQ371" s="1121">
        <f t="shared" si="509"/>
        <v>0</v>
      </c>
      <c r="ER371" s="1101">
        <f t="shared" si="510"/>
        <v>0</v>
      </c>
      <c r="ES371" s="1097">
        <f t="shared" si="511"/>
        <v>0</v>
      </c>
      <c r="ET371" s="1122">
        <f t="shared" si="514"/>
        <v>0</v>
      </c>
    </row>
    <row r="372" spans="2:150" ht="16.5" customHeight="1">
      <c r="B372" s="1123" t="str">
        <f>INDEX('卡片raw data'!B:B,MATCH($D372,'卡片raw data'!$F:$F,))</f>
        <v>恶魔艾</v>
      </c>
      <c r="C372" s="449" t="s">
        <v>1783</v>
      </c>
      <c r="D372" s="408">
        <v>369</v>
      </c>
      <c r="E372" s="477">
        <v>402083003</v>
      </c>
      <c r="F372" s="1090" t="str">
        <f>INDEX('卡片raw data'!C:C,MATCH($D372,'卡片raw data'!$F:$F,))</f>
        <v>UR</v>
      </c>
      <c r="G372" s="1094" t="s">
        <v>1784</v>
      </c>
      <c r="H372" s="411">
        <f>IFERROR(INDEX(绊状态确认!C:C,MATCH($G372,绊状态确认!$B:$B,)),"")</f>
        <v>208</v>
      </c>
      <c r="I372" s="450" t="str">
        <f>IFERROR(INDEX(绊状态确认!D:D,MATCH($G372,绊状态确认!$B:$B,)),"")</f>
        <v>虹</v>
      </c>
      <c r="J372" s="450" t="str">
        <f>IFERROR(INDEX(绊状态确认!E:E,MATCH($G372,绊状态确认!$B:$B,)),"")</f>
        <v>3年级</v>
      </c>
      <c r="K372" s="451" t="str">
        <f>IFERROR(INDEX(绊状态确认!F:F,MATCH($G372,绊状态确认!$B:$B,)),"")</f>
        <v>QU4RTZ</v>
      </c>
      <c r="L372" s="1094" t="str">
        <f>INDEX('卡片raw data'!E:E,MATCH($D372,'卡片raw data'!$F:$F,))</f>
        <v>卡池卡</v>
      </c>
      <c r="M372" s="478">
        <v>44183</v>
      </c>
      <c r="N372" s="479">
        <v>30</v>
      </c>
      <c r="O372" s="1091" t="str">
        <f>INDEX('卡片raw data'!D:D,MATCH($D372,'卡片raw data'!$F:$F,))</f>
        <v>sp</v>
      </c>
      <c r="P372" s="1126">
        <v>5</v>
      </c>
      <c r="Q372" s="1095">
        <f t="shared" si="428"/>
        <v>54766.447593467346</v>
      </c>
      <c r="R372" s="1096">
        <f t="shared" si="429"/>
        <v>0.63600000000000001</v>
      </c>
      <c r="S372" s="1097">
        <f t="shared" si="430"/>
        <v>20799.293871467435</v>
      </c>
      <c r="T372" s="1098">
        <f t="shared" si="431"/>
        <v>1.0389999999999999</v>
      </c>
      <c r="U372" s="1099">
        <f t="shared" si="432"/>
        <v>15.209925489942854</v>
      </c>
      <c r="V372" s="1100">
        <f t="shared" si="433"/>
        <v>54187.861213450007</v>
      </c>
      <c r="W372" s="1101">
        <f t="shared" si="434"/>
        <v>5889.2645687662152</v>
      </c>
      <c r="X372" s="1096">
        <f t="shared" si="435"/>
        <v>6.8000000000000005E-2</v>
      </c>
      <c r="Y372" s="1097">
        <f t="shared" si="436"/>
        <v>1221.4136199826589</v>
      </c>
      <c r="Z372" s="1102">
        <f t="shared" si="437"/>
        <v>15.209925489942854</v>
      </c>
      <c r="AA372" s="1103">
        <f t="shared" si="438"/>
        <v>7110.6781887488742</v>
      </c>
      <c r="AB372" s="1101">
        <f t="shared" si="439"/>
        <v>7115.527737513039</v>
      </c>
      <c r="AC372" s="1104">
        <f t="shared" si="440"/>
        <v>8.2000000000000003E-2</v>
      </c>
      <c r="AD372" s="1105">
        <f t="shared" si="441"/>
        <v>-1.6087500000000001E-2</v>
      </c>
      <c r="AE372" s="1128">
        <f t="shared" si="442"/>
        <v>14.98189476709226</v>
      </c>
      <c r="AF372" s="1130">
        <f t="shared" si="443"/>
        <v>0</v>
      </c>
      <c r="AG372" s="420">
        <f t="shared" si="444"/>
        <v>0</v>
      </c>
      <c r="AH372" s="420">
        <f t="shared" si="445"/>
        <v>0</v>
      </c>
      <c r="AI372" s="1097">
        <f t="shared" si="446"/>
        <v>0</v>
      </c>
      <c r="AJ372" s="420">
        <f t="shared" si="447"/>
        <v>0</v>
      </c>
      <c r="AK372" s="518">
        <f t="shared" si="448"/>
        <v>0</v>
      </c>
      <c r="AL372" s="1106">
        <f>IF($P372="","N/A",(IF($P372=-1,INDEX('卡片raw data'!S:S,MATCH($D372,'卡片raw data'!$F:$F,)),0)+IF($P372=0,INDEX('卡片raw data'!V:V,MATCH($D372,'卡片raw data'!$F:$F,)),0)+IF($P372=1,INDEX('卡片raw data'!Y:Y,MATCH($D372,'卡片raw data'!$F:$F,)),0)+IF($P372=2,INDEX('卡片raw data'!AB:AB,MATCH($D372,'卡片raw data'!$F:$F,)),0)+IF($P372=3,INDEX('卡片raw data'!AE:AE,MATCH($D372,'卡片raw data'!$F:$F,)),0)+IF($P372=4,INDEX('卡片raw data'!AH:AH,MATCH($D372,'卡片raw data'!$F:$F,)),0)+IF($P372=5,INDEX('卡片raw data'!AK:AK,MATCH($D372,'卡片raw data'!$F:$F,)),0)+INDEX('卡片raw data'!S:S,MATCH($D372,'卡片raw data'!$F:$F,))*(IF($F372="UR",0.04,0.033))*(IF($F372="UR",INDEX(绊状态确认!$S:$S,MATCH($G372,绊状态确认!$B:$B,))/2-40)+IF($F372="SR",INDEX(绊状态确认!$R:$R,MATCH($G372,绊状态确认!$B:$B,))/4-15))+IF($F372="R",INDEX(绊状态确认!$Q:$Q,MATCH($G372,绊状态确认!$B:$B,))/6-40/6)))*(INDEX(绊状态确认!$H:$H,MATCH($G372,绊状态确认!$B:$B,))+INDEX(绊状态确认!J:J,MATCH($G372,绊状态确认!$B:$B,)))</f>
        <v>12460.489631999997</v>
      </c>
      <c r="AM372" s="1106">
        <f>IF($P372="","N/A",(IF($P372=-1,INDEX('卡片raw data'!T:T,MATCH($D372,'卡片raw data'!$F:$F,)),0)+IF($P372=0,INDEX('卡片raw data'!W:W,MATCH($D372,'卡片raw data'!$F:$F,)),0)+IF($P372=1,INDEX('卡片raw data'!Z:Z,MATCH($D372,'卡片raw data'!$F:$F,)),0)+IF($P372=2,INDEX('卡片raw data'!AC:AC,MATCH($D372,'卡片raw data'!$F:$F,)),0)+IF($P372=3,INDEX('卡片raw data'!AF:AF,MATCH($D372,'卡片raw data'!$F:$F,)),0)+IF($P372=4,INDEX('卡片raw data'!AI:AI,MATCH($D372,'卡片raw data'!$F:$F,)),0)+IF($P372=5,INDEX('卡片raw data'!AL:AL,MATCH($D372,'卡片raw data'!$F:$F,)),0)+INDEX('卡片raw data'!T:T,MATCH($D372,'卡片raw data'!$F:$F,))*(IF($F372="UR",0.04,0.033))*(IF($F372="UR",INDEX(绊状态确认!$S:$S,MATCH($G372,绊状态确认!$B:$B,))/2-40)+IF($F372="SR",INDEX(绊状态确认!$R:$R,MATCH($G372,绊状态确认!$B:$B,))/4-15))+IF($F372="R",INDEX(绊状态确认!$Q:$Q,MATCH($G372,绊状态确认!$B:$B,))/6-40/6)))*(INDEX(绊状态确认!$H:$H,MATCH($G372,绊状态确认!$B:$B,))+INDEX(绊状态确认!K:K,MATCH($G372,绊状态确认!$B:$B,)))</f>
        <v>8418.9966719999993</v>
      </c>
      <c r="AN372" s="1106">
        <f>IF($P372="","N/A",(IF($P372=-1,INDEX('卡片raw data'!U:U,MATCH($D372,'卡片raw data'!$F:$F,)),0)+IF($P372=0,INDEX('卡片raw data'!X:X,MATCH($D372,'卡片raw data'!$F:$F,)),0)+IF($P372=1,INDEX('卡片raw data'!AA:AA,MATCH($D372,'卡片raw data'!$F:$F,)),0)+IF($P372=2,INDEX('卡片raw data'!AD:AD,MATCH($D372,'卡片raw data'!$F:$F,)),0)+IF($P372=3,INDEX('卡片raw data'!AG:AG,MATCH($D372,'卡片raw data'!$F:$F,)),0)+IF($P372=4,INDEX('卡片raw data'!AJ:AJ,MATCH($D372,'卡片raw data'!$F:$F,)),0)+IF($P372=5,INDEX('卡片raw data'!AM:AM,MATCH($D372,'卡片raw data'!$F:$F,)),0)+INDEX('卡片raw data'!U:U,MATCH($D372,'卡片raw data'!$F:$F,))*(IF($F372="UR",0.04,0.033))*(IF($F372="UR",INDEX(绊状态确认!$S:$S,MATCH($G372,绊状态确认!$B:$B,))/2-40)+IF($F372="SR",INDEX(绊状态确认!$R:$R,MATCH($G372,绊状态确认!$B:$B,))/4-15))+IF($F372="R",INDEX(绊状态确认!$Q:$Q,MATCH($G372,绊状态确认!$B:$B,))/6-40/6)))*(INDEX(绊状态确认!$H:$H,MATCH($G372,绊状态确认!$B:$B,))+INDEX(绊状态确认!L:L,MATCH($G372,绊状态确认!$B:$B,)))</f>
        <v>12797.636783999998</v>
      </c>
      <c r="AO372" s="1107">
        <f t="shared" si="449"/>
        <v>1</v>
      </c>
      <c r="AP372" s="1131">
        <f>1+(INDEX(绊状态确认!$T:$T,MATCH($G372,绊状态确认!$B:$B,))+0.2)*$AO372</f>
        <v>1.3</v>
      </c>
      <c r="AQ372" s="1108">
        <f t="shared" si="450"/>
        <v>35958.785283999998</v>
      </c>
      <c r="AR372" s="1097">
        <f>(AM372*(1+$EX$9)+$EX$35)*(1+(INDEX(绊状态确认!$T:$T,MATCH($G372,绊状态确认!$B:$B,))+0.2)*AO372)*IF(J372=$FF$17,1+$FE$17,1)*IF(I372=$FF$14,1+$FE$14,1)</f>
        <v>14195.930457279999</v>
      </c>
      <c r="AS372" s="1097">
        <f>(AN372*(1+$EX$10)+$EX$36)*(1+(INDEX(绊状态确认!$T:$T,MATCH($G372,绊状态确认!$B:$B,))+0.2)*AO372)*IF(J372=$FF$17,1+$FE$17,1)*IF(I372=$FF$14,1+$FE$14,1)</f>
        <v>23188.466992079997</v>
      </c>
      <c r="AT372" s="1093">
        <f>IF(AND(INDEX('卡片raw data'!AK:AK,MATCH($D372,'卡片raw data'!$F:$F,))&lt;INDEX('卡片raw data'!AM:AM,MATCH($D372,'卡片raw data'!$F:$F,)),INDEX('卡片raw data'!AL:AL,MATCH($D372,'卡片raw data'!$F:$F,))&lt;INDEX('卡片raw data'!AM:AM,MATCH($D372,'卡片raw data'!$F:$F,))),1,0)</f>
        <v>1</v>
      </c>
      <c r="AU372" s="1098">
        <f>MIN(AT372*0.15+AS372*0.00003+INDEX(绊状态确认!M:M,MATCH($G372,绊状态确认!$B:$B,)),1)</f>
        <v>0.87565400976239993</v>
      </c>
      <c r="AV372" s="1109">
        <f>(INDEX(绊状态确认!$N:$N,MATCH($G372,绊状态确认!$B:$B,))+1.5)*$EW$21</f>
        <v>2.6599999999999997</v>
      </c>
      <c r="AW372" s="1101">
        <f t="shared" si="451"/>
        <v>45820.898439898883</v>
      </c>
      <c r="AX372" s="1097">
        <f t="shared" si="452"/>
        <v>1221.4136199826592</v>
      </c>
      <c r="AY372" s="1110">
        <f t="shared" si="453"/>
        <v>47042.312059881544</v>
      </c>
      <c r="AZ372" s="429">
        <f t="shared" si="454"/>
        <v>26897.954782399993</v>
      </c>
      <c r="BA372" s="431">
        <f t="shared" si="455"/>
        <v>32277.545738879991</v>
      </c>
      <c r="BB372" s="1097">
        <f>(AM372*(1+$FB$9)+$FB$35)*(1+(INDEX(绊状态确认!$T:$T,MATCH($G372,绊状态确认!$B:$B,))+0.2)*AO372)*IF(J372=$FF$17,1+$FE$17,1)*IF(I372=$FF$14,1+$FE$14,1)*(1+$FE$15)</f>
        <v>14195.930457279999</v>
      </c>
      <c r="BC372" s="1097">
        <f>(AN372*(1+$FB$10)+$FB$36)*(1+(INDEX(绊状态确认!$T:$T,MATCH($G372,绊状态确认!$B:$B,))+0.2)*AO372)*IF(J372=$FF$17,1+$FE$17,1)*IF(I372=$FF$14,1+$FE$14,1)*(1+$FE$15)</f>
        <v>23188.466992079997</v>
      </c>
      <c r="BD372" s="1104">
        <f>MIN(AT372*0.15+BC372*0.00003+INDEX(绊状态确认!M:M,MATCH($G372,绊状态确认!$B:$B,)),1)</f>
        <v>0.87565400976239993</v>
      </c>
      <c r="BE372" s="432">
        <f>(INDEX(绊状态确认!$N:$N,MATCH($G372,绊状态确认!$B:$B,))+1.5)</f>
        <v>1.9</v>
      </c>
      <c r="BF372" s="1139">
        <f t="array" ref="BF372">SUMPRODUCT(IF(AZ372*AP372*$FI$16:$FI$23*$FA$22&gt;=$FI$24,$FI$24,AZ372*AP372*$FI$16:$FI$23*$FA$22),$FJ$16:$FJ$23)</f>
        <v>52562.115811859192</v>
      </c>
      <c r="BG372" s="1125">
        <f t="array" ref="BG372">SUMPRODUCT(IF(BE372*AZ372*AP372*$FI$16:$FI$23*$FA$22&gt;=$FI$24,$FI$24,BE372*AZ372*AP372*$FI$16:$FI$23*$FA$22),$FJ$16:$FJ$23)</f>
        <v>60000</v>
      </c>
      <c r="BH372" s="1110">
        <f t="shared" si="456"/>
        <v>19691.709641784346</v>
      </c>
      <c r="BI372" s="1111">
        <f>IF(O372="vo",$EW$26/$EW$24*0.05,0)+IF(O372="sk",-$EW$26/$EW$24*(0.05-INDEX(绊状态确认!W:W,MATCH($G372,绊状态确认!$B:$B,)))+0.05*$EW$28,0)+IF(O372="sp",0.05*$EW$32*$EW$30*(1-$EW$33)-(0.05-INDEX(绊状态确认!V:V,MATCH($G372,绊状态确认!$B:$B,)))*$EW$28,0)+IF(O372="gd",-(0.05-INDEX(绊状态确认!X:X,MATCH($G372,绊状态确认!$B:$B,)))*$EW$32*$EW$30*(1-$EW$33),0)</f>
        <v>19.999999999999886</v>
      </c>
      <c r="BJ372" s="1097">
        <f>IF(O372="vo",0.05*(1-$FI$26)*$FA$24,0)+IF(O372="sk",-(0.05-INDEX(绊状态确认!W:W,MATCH($G372,绊状态确认!$B:$B,)))*(1-$FI$26)*$FA$24+0.05*$FA$26,0)+IF(O372="sp",0.05*$FA$32*$FA$27*(1-$FA$33)/$FA$30+0.05*$FA$29/$FA$69*$FA$27*(1-$FA$33)-(0.05-INDEX(绊状态确认!V:V,MATCH($G372,绊状态确认!$B:$B,)))*$FA$26,0)+IF(O372="gd",-(0.05-INDEX(绊状态确认!X:X,MATCH($G372,绊状态确认!$B:$B,)))*$FA$32*$FA$27*(1-$FA$33)/$FA$30-(0.05-INDEX(绊状态确认!X:X,MATCH($G372,绊状态确认!$B:$B,)))*$FA$29/$FA$69*$FA$27*(1-$FA$33),0)</f>
        <v>545.83333333333326</v>
      </c>
      <c r="BK372" s="1110">
        <f>IF(O372="vo",$EW$26/$EW$24*0.05+$EW$26*(-HP($EW$62,$EW$65,$EW$64)+HP($EW$62,$EW$65,(1.05-INDEX(绊状态确认!U:U,MATCH($G372,绊状态确认!$B:$B,)))*$EW$64)),0)+IF(O372="sk",-$EW$26/$EW$24*(0.05-INDEX(绊状态确认!W:W,MATCH($G372,绊状态确认!$B:$B,)))+0.05*$EW$29,0)+IF(O372="sp",0.05*$EW$32*$EW$30*(1-$EW$33)-(0.05-INDEX(绊状态确认!V:V,MATCH($G372,绊状态确认!$B:$B,)))*$EW$29,0)+IF(O372="gd",-(0.05-INDEX(绊状态确认!X:X,MATCH($G372,绊状态确认!$B:$B,)))*$EW$32*$EW$30*(1-$EW$33)+$EW$26*(-HP($EW$62,$EW$65,$EW$64)+HP($EW$62,$EW$65,0.95*$EW$64)),0)</f>
        <v>-1780.0000000000005</v>
      </c>
      <c r="BL372" s="1111">
        <f t="shared" si="457"/>
        <v>0</v>
      </c>
      <c r="BM372" s="1110">
        <f t="shared" si="458"/>
        <v>0</v>
      </c>
      <c r="BN372" s="1113">
        <f t="shared" si="459"/>
        <v>3</v>
      </c>
      <c r="BO372" s="1108">
        <f t="shared" si="460"/>
        <v>4507.7214871259994</v>
      </c>
      <c r="BP372" s="1100">
        <f t="shared" si="461"/>
        <v>221.34103209030098</v>
      </c>
      <c r="BQ372" s="1113" t="s">
        <v>134</v>
      </c>
      <c r="BR372" s="1124" t="s">
        <v>171</v>
      </c>
      <c r="BS372" s="1098">
        <f>IF($P372="","N/A",IF($P372=-1,INDEX('卡片raw data'!AX:AX,MATCH($D372,'卡片raw data'!$F:$F,)),0)+IF($L372="party卡",IF($P372=5,INDEX('卡片raw data'!BD:BD,MATCH($D372,'卡片raw data'!$F:$F,)),IF($P372&gt;=3,INDEX('卡片raw data'!BC:BC,MATCH($D372,'卡片raw data'!$F:$F,)),INDEX('卡片raw data'!BB:BB,MATCH($D372,'卡片raw data'!$F:$F,)))),IF(OR(AND($F372="UR",$P372=0),AND($F372="SR",$P372&gt;=0,$P372&lt;=2),AND($F372="R",$P372&gt;=0,$P372&lt;4)),INDEX('卡片raw data'!AZ:AZ,MATCH($D372,'卡片raw data'!$F:$F,)),0)+IF(OR(AND($F372="UR",$P372&gt;=1,$P372&lt;=4),AND($F372="SR",$P372&lt;=4,$P372&gt;=3),AND($F372="R",$P372=4)),INDEX('卡片raw data'!BA:BA,MATCH($D372,'卡片raw data'!$F:$F,)),0)+IF($P372=5,INDEX('卡片raw data'!BB:BB,MATCH($D372,'卡片raw data'!$F:$F,)),0)))</f>
        <v>5.1999999999999998E-2</v>
      </c>
      <c r="BT372" s="1101">
        <f t="shared" si="462"/>
        <v>2452.5263374936467</v>
      </c>
      <c r="BU372" s="1097">
        <f t="shared" si="463"/>
        <v>155.22419036436909</v>
      </c>
      <c r="BV372" s="1097">
        <f t="shared" si="464"/>
        <v>1226.2631687468233</v>
      </c>
      <c r="BW372" s="1112">
        <f t="shared" si="465"/>
        <v>0</v>
      </c>
      <c r="BX372" s="1100">
        <f t="shared" si="466"/>
        <v>2452.5263374936467</v>
      </c>
      <c r="BY372" s="1110">
        <f t="shared" si="467"/>
        <v>1226.2631687468233</v>
      </c>
      <c r="BZ372" s="1113" t="s">
        <v>569</v>
      </c>
      <c r="CA372" s="1124"/>
      <c r="CB372" s="1098">
        <f>IF($P372="","N/A",IF($P372=-1,INDEX('卡片raw data'!BE:BE,MATCH($D372,'卡片raw data'!$F:$F,)),0)+IF($L372="party卡",IF($P372=5,INDEX('卡片raw data'!BK:BK,MATCH($D372,'卡片raw data'!$F:$F,)),IF($P372&gt;=3,INDEX('卡片raw data'!BJ:BJ,MATCH($D372,'卡片raw data'!$F:$F,)),INDEX('卡片raw data'!BI:BI,MATCH($D372,'卡片raw data'!$F:$F,)))),IF(OR(AND($F372="UR",$P372=0),AND($F372="SR",$P372&gt;=0,$P372&lt;=2),AND($F372="R",$P372&gt;=0,$P372&lt;4)),INDEX('卡片raw data'!BG:BG,MATCH($D372,'卡片raw data'!$F:$F,)),0)+IF(OR(AND($F372="UR",$P372&gt;=1,$P372&lt;=4),AND($F372="SR",$P372&lt;=4,$P372&gt;=3),AND($F372="R",$P372=4)),INDEX('卡片raw data'!BH:BH,MATCH($D372,'卡片raw data'!$F:$F,)),0)+IF($P372=5,INDEX('卡片raw data'!BI:BI,MATCH($D372,'卡片raw data'!$F:$F,)),0)))</f>
        <v>0</v>
      </c>
      <c r="CC372" s="1101">
        <f t="shared" si="468"/>
        <v>0</v>
      </c>
      <c r="CD372" s="1097">
        <f>IF(BZ372="ap",CB372*(1-$FI$26)*$FB$5/$FB$11*(+IF(CA372="全员",$FA$24,0)+IF(CA372="同作战",$FA$24,0)+IF(CA372="仲间",$FA$24*2/3,0)+IF(CA372="同属性",$FA$24*$FA$37/3,0)+IF(CA372="同年级",$FA$24*$FA$40/3,0)+IF(CA372="同学校",$FA$24*$FA$43/3,0)+IF(CA372="同小队",$FA$24*$FA$46/3,0)+IF(CA372="同type",$FA$24*INDEX($FB$49:$FB$52,MATCH(X372,$FA$49:$FA$52,))/3,0)+IF(CA372="自身",#REF!/3,0)),0)+IF(BZ372="te",CB372*(1-$FI$27)*($FA$20-1)*$FB$7/$FB$13*(+IF(CA372="全员",$FA$19*$FA$24/(1+($FA$20-1)*$FA$19),0)+IF(CA372="同作战",$FA$19*$FA$24/(1+($FA$20-1)*$FA$19),0)+IF(CA372="仲间",$FA$19*$FA$24*2/3/(1+($FA$20-1)*$FA$19),0)+IF(CA372="同属性",$FA$19*$FA$24*$FA$37/3/(1+($FA$20-1)*$FA$19),0)+IF(CA372="同年级",$FA$19*$FA$24*$FA$40/3/(1+($FA$20-1)*$FA$19),0)+IF(CA372="同学校",$FA$19*$FA$24*$FA$43/3/(1+($FA$20-1)*$FA$19),0)+IF(CA372="同小队",$FA$19*$FA$24*$FA$46/3/(1+($FA$20-1)*$FA$19),0)+IF(CA372="同type",$FA$19*$FA$24*INDEX($FB$49:$FB$52,MATCH(X372,$FA$49:$FA$52,))/3/(1+($FA$20-1)*$FA$19),0)+IF(CA372="自身",$FA$19*#REF!/3/(1+(BH372-1)*$BD372),0)),0)</f>
        <v>0</v>
      </c>
      <c r="CE372" s="1097">
        <f t="shared" si="469"/>
        <v>0</v>
      </c>
      <c r="CF372" s="1112">
        <f t="shared" si="470"/>
        <v>0</v>
      </c>
      <c r="CG372" s="1100">
        <f t="shared" si="471"/>
        <v>0</v>
      </c>
      <c r="CH372" s="1110">
        <f t="shared" si="472"/>
        <v>0</v>
      </c>
      <c r="CI372" s="1113" t="s">
        <v>165</v>
      </c>
      <c r="CJ372" s="1114">
        <v>1</v>
      </c>
      <c r="CK372" s="1115" t="s">
        <v>156</v>
      </c>
      <c r="CL372" s="1115" t="s">
        <v>1941</v>
      </c>
      <c r="CM372" s="1119">
        <v>0.03</v>
      </c>
      <c r="CN372" s="1115"/>
      <c r="CO372" s="1115"/>
      <c r="CP372" s="1116">
        <f t="shared" si="473"/>
        <v>2.4844786062942856</v>
      </c>
      <c r="CQ372" s="1116">
        <f t="shared" si="474"/>
        <v>4.4444561734819992</v>
      </c>
      <c r="CR372" s="1117">
        <f t="shared" si="475"/>
        <v>2.4844786062942856</v>
      </c>
      <c r="CS372" s="1118">
        <f t="shared" si="476"/>
        <v>0</v>
      </c>
      <c r="CT372" s="1109">
        <f t="shared" si="477"/>
        <v>4.0579817236139997</v>
      </c>
      <c r="CU372" s="1101">
        <f t="shared" si="478"/>
        <v>155.27991289339283</v>
      </c>
      <c r="CV372" s="1108">
        <f t="shared" si="479"/>
        <v>185.18567389508328</v>
      </c>
      <c r="CW372" s="1097">
        <f t="shared" si="480"/>
        <v>155.27991289339283</v>
      </c>
      <c r="CX372" s="1097">
        <f t="shared" si="481"/>
        <v>155.27991289339283</v>
      </c>
      <c r="CY372" s="1110">
        <f t="shared" si="482"/>
        <v>155.27991289339283</v>
      </c>
      <c r="CZ372" s="437"/>
      <c r="DA372" s="438"/>
      <c r="DB372" s="439" t="s">
        <v>569</v>
      </c>
      <c r="DC372" s="439"/>
      <c r="DD372" s="443"/>
      <c r="DE372" s="411"/>
      <c r="DF372" s="411"/>
      <c r="DG372" s="1116">
        <f t="shared" si="483"/>
        <v>0</v>
      </c>
      <c r="DH372" s="1116">
        <f t="shared" si="484"/>
        <v>0</v>
      </c>
      <c r="DI372" s="1116">
        <f t="shared" si="485"/>
        <v>0</v>
      </c>
      <c r="DJ372" s="442">
        <f t="shared" si="486"/>
        <v>0</v>
      </c>
      <c r="DK372" s="1109">
        <f t="shared" si="487"/>
        <v>0</v>
      </c>
      <c r="DL372" s="1101">
        <f t="shared" si="488"/>
        <v>0</v>
      </c>
      <c r="DM372" s="1097">
        <f t="shared" si="489"/>
        <v>0</v>
      </c>
      <c r="DN372" s="1097">
        <f t="shared" si="490"/>
        <v>0</v>
      </c>
      <c r="DO372" s="1097">
        <f t="shared" si="491"/>
        <v>0</v>
      </c>
      <c r="DP372" s="1110">
        <f t="shared" si="492"/>
        <v>0</v>
      </c>
      <c r="DQ372" s="1113" t="s">
        <v>256</v>
      </c>
      <c r="DR372" s="1120">
        <f t="shared" si="493"/>
        <v>0.33</v>
      </c>
      <c r="DS372" s="1124"/>
      <c r="DT372" s="1093" t="s">
        <v>132</v>
      </c>
      <c r="DU372" s="1093"/>
      <c r="DV372" s="1098">
        <f>IF($P372="","N/A",IF(P372=-1,INDEX('卡片raw data'!AN:AN,MATCH(D372,'卡片raw data'!$F:$F,)),0)+IF(AND(L372&lt;&gt;"party卡",P372&lt;=2,P372&gt;=0),INDEX('卡片raw data'!AP:AP,MATCH(D372,'卡片raw data'!$F:$F,)),0)+IF(OR(AND(L372="party卡",P372&lt;=1),AND(P372&lt;=4,L372&lt;&gt;"party卡",P372&gt;=3)),INDEX('卡片raw data'!AQ:AQ,MATCH(D372,'卡片raw data'!$F:$F,)),0)+IF(OR(P372=5,AND(L372="party卡",P372&gt;=2)),INDEX('卡片raw data'!AR:AR,MATCH(D372,'卡片raw data'!$F:$F,)),0))</f>
        <v>0.32</v>
      </c>
      <c r="DW372" s="1098">
        <f t="shared" si="494"/>
        <v>0.33</v>
      </c>
      <c r="DX372" s="1098">
        <f t="shared" si="495"/>
        <v>0.33</v>
      </c>
      <c r="DY372" s="1097">
        <f t="shared" si="496"/>
        <v>1265.7492419968</v>
      </c>
      <c r="DZ372" s="1097">
        <f t="shared" si="497"/>
        <v>982.78671265741798</v>
      </c>
      <c r="EA372" s="1098">
        <f t="shared" si="498"/>
        <v>0</v>
      </c>
      <c r="EB372" s="1121">
        <f t="shared" si="499"/>
        <v>0</v>
      </c>
      <c r="EC372" s="1101">
        <f t="shared" si="500"/>
        <v>1810.0214160554242</v>
      </c>
      <c r="ED372" s="1097">
        <f t="shared" si="501"/>
        <v>0</v>
      </c>
      <c r="EE372" s="1110">
        <f t="shared" si="513"/>
        <v>1810.0214160554242</v>
      </c>
      <c r="EF372" s="1115" t="s">
        <v>569</v>
      </c>
      <c r="EG372" s="1120">
        <f t="shared" si="503"/>
        <v>0.33</v>
      </c>
      <c r="EH372" s="1124"/>
      <c r="EI372" s="1093"/>
      <c r="EJ372" s="1093"/>
      <c r="EK372" s="1097">
        <f>IF($P372="","N/A",IF(P372=-1,INDEX('卡片raw data'!AS:AS,MATCH(D372,'卡片raw data'!$F:$F,)),0)+IF(AND(L372&lt;&gt;"party卡",P372&lt;=2,P372&gt;=0),INDEX('卡片raw data'!AU:AU,MATCH(D372,'卡片raw data'!$F:$F,)),0)+IF(OR(AND(L372="party卡",P372&lt;=1),AND(P372&lt;=4,L372&lt;&gt;"party卡",P372&gt;=3)),INDEX('卡片raw data'!AV:AV,MATCH(D372,'卡片raw data'!$F:$F,)),0)+IF(OR(P372=5,AND(L372="party卡",P372&gt;=2)),INDEX('卡片raw data'!AW:AW,MATCH(D372,'卡片raw data'!$F:$F,)),0))</f>
        <v>0</v>
      </c>
      <c r="EL372" s="1098">
        <f t="shared" si="504"/>
        <v>0.33</v>
      </c>
      <c r="EM372" s="1098">
        <f t="shared" si="505"/>
        <v>0.33</v>
      </c>
      <c r="EN372" s="1097">
        <f t="shared" si="506"/>
        <v>0</v>
      </c>
      <c r="EO372" s="1097">
        <f t="shared" si="507"/>
        <v>0</v>
      </c>
      <c r="EP372" s="1098">
        <f t="shared" si="508"/>
        <v>0</v>
      </c>
      <c r="EQ372" s="1121">
        <f t="shared" si="509"/>
        <v>0</v>
      </c>
      <c r="ER372" s="1101">
        <f t="shared" si="510"/>
        <v>0</v>
      </c>
      <c r="ES372" s="1097">
        <f t="shared" si="511"/>
        <v>0</v>
      </c>
      <c r="ET372" s="1122">
        <f t="shared" si="514"/>
        <v>0</v>
      </c>
    </row>
    <row r="373" spans="2:150" ht="16.5" customHeight="1">
      <c r="B373" s="1123" t="str">
        <f>INDEX('卡片raw data'!B:B,MATCH($D373,'卡片raw data'!$F:$F,))</f>
        <v>恶魔丸</v>
      </c>
      <c r="C373" s="449" t="s">
        <v>1787</v>
      </c>
      <c r="D373" s="408">
        <v>370</v>
      </c>
      <c r="E373" s="477">
        <v>401073003</v>
      </c>
      <c r="F373" s="1090" t="str">
        <f>INDEX('卡片raw data'!C:C,MATCH($D373,'卡片raw data'!$F:$F,))</f>
        <v>UR</v>
      </c>
      <c r="G373" s="1094" t="s">
        <v>1788</v>
      </c>
      <c r="H373" s="411">
        <f>IFERROR(INDEX(绊状态确认!C:C,MATCH($G373,绊状态确认!$B:$B,)),"")</f>
        <v>107</v>
      </c>
      <c r="I373" s="450" t="str">
        <f>IFERROR(INDEX(绊状态确认!D:D,MATCH($G373,绊状态确认!$B:$B,)),"")</f>
        <v>水</v>
      </c>
      <c r="J373" s="450" t="str">
        <f>IFERROR(INDEX(绊状态确认!E:E,MATCH($G373,绊状态确认!$B:$B,)),"")</f>
        <v>1年级</v>
      </c>
      <c r="K373" s="451" t="str">
        <f>IFERROR(INDEX(绊状态确认!F:F,MATCH($G373,绊状态确认!$B:$B,)),"")</f>
        <v>AZALEA</v>
      </c>
      <c r="L373" s="1094" t="str">
        <f>INDEX('卡片raw data'!E:E,MATCH($D373,'卡片raw data'!$F:$F,))</f>
        <v>活动卡</v>
      </c>
      <c r="M373" s="478">
        <v>44183</v>
      </c>
      <c r="N373" s="479">
        <v>30</v>
      </c>
      <c r="O373" s="1091" t="str">
        <f>INDEX('卡片raw data'!D:D,MATCH($D373,'卡片raw data'!$F:$F,))</f>
        <v>sk</v>
      </c>
      <c r="P373" s="1126">
        <v>5</v>
      </c>
      <c r="Q373" s="1095">
        <f t="shared" si="428"/>
        <v>36985.197660170546</v>
      </c>
      <c r="R373" s="1096">
        <f t="shared" si="429"/>
        <v>0.42899999999999999</v>
      </c>
      <c r="S373" s="1097">
        <f t="shared" si="430"/>
        <v>19507.137805479972</v>
      </c>
      <c r="T373" s="1098">
        <f t="shared" si="431"/>
        <v>0.97499999999999998</v>
      </c>
      <c r="U373" s="1099">
        <f t="shared" si="432"/>
        <v>15.081088412742858</v>
      </c>
      <c r="V373" s="1100">
        <f t="shared" si="433"/>
        <v>40195.943417430099</v>
      </c>
      <c r="W373" s="1101">
        <f t="shared" si="434"/>
        <v>5809.9521389623987</v>
      </c>
      <c r="X373" s="1096">
        <f t="shared" si="435"/>
        <v>6.7000000000000004E-2</v>
      </c>
      <c r="Y373" s="1097">
        <f t="shared" si="436"/>
        <v>1210.7457572595549</v>
      </c>
      <c r="Z373" s="1102">
        <f t="shared" si="437"/>
        <v>15.081088412742858</v>
      </c>
      <c r="AA373" s="1103">
        <f t="shared" si="438"/>
        <v>7020.6978962219537</v>
      </c>
      <c r="AB373" s="1101">
        <f t="shared" si="439"/>
        <v>10511.756079006325</v>
      </c>
      <c r="AC373" s="1104">
        <f t="shared" si="440"/>
        <v>0.122</v>
      </c>
      <c r="AD373" s="1105">
        <f t="shared" si="441"/>
        <v>3.1672291619318185E-2</v>
      </c>
      <c r="AE373" s="1128">
        <f t="shared" si="442"/>
        <v>16.77125770474585</v>
      </c>
      <c r="AF373" s="1130">
        <f t="shared" si="443"/>
        <v>0</v>
      </c>
      <c r="AG373" s="420">
        <f t="shared" si="444"/>
        <v>0</v>
      </c>
      <c r="AH373" s="420">
        <f t="shared" si="445"/>
        <v>0</v>
      </c>
      <c r="AI373" s="1097">
        <f t="shared" si="446"/>
        <v>0</v>
      </c>
      <c r="AJ373" s="420">
        <f t="shared" si="447"/>
        <v>0</v>
      </c>
      <c r="AK373" s="518">
        <f t="shared" si="448"/>
        <v>0</v>
      </c>
      <c r="AL373" s="1106">
        <f>IF($P373="","N/A",(IF($P373=-1,INDEX('卡片raw data'!S:S,MATCH($D373,'卡片raw data'!$F:$F,)),0)+IF($P373=0,INDEX('卡片raw data'!V:V,MATCH($D373,'卡片raw data'!$F:$F,)),0)+IF($P373=1,INDEX('卡片raw data'!Y:Y,MATCH($D373,'卡片raw data'!$F:$F,)),0)+IF($P373=2,INDEX('卡片raw data'!AB:AB,MATCH($D373,'卡片raw data'!$F:$F,)),0)+IF($P373=3,INDEX('卡片raw data'!AE:AE,MATCH($D373,'卡片raw data'!$F:$F,)),0)+IF($P373=4,INDEX('卡片raw data'!AH:AH,MATCH($D373,'卡片raw data'!$F:$F,)),0)+IF($P373=5,INDEX('卡片raw data'!AK:AK,MATCH($D373,'卡片raw data'!$F:$F,)),0)+INDEX('卡片raw data'!S:S,MATCH($D373,'卡片raw data'!$F:$F,))*(IF($F373="UR",0.04,0.033))*(IF($F373="UR",INDEX(绊状态确认!$S:$S,MATCH($G373,绊状态确认!$B:$B,))/2-40)+IF($F373="SR",INDEX(绊状态确认!$R:$R,MATCH($G373,绊状态确认!$B:$B,))/4-15))+IF($F373="R",INDEX(绊状态确认!$Q:$Q,MATCH($G373,绊状态确认!$B:$B,))/6-40/6)))*(INDEX(绊状态确认!$H:$H,MATCH($G373,绊状态确认!$B:$B,))+INDEX(绊状态确认!J:J,MATCH($G373,绊状态确认!$B:$B,)))</f>
        <v>8887.1025599999994</v>
      </c>
      <c r="AM373" s="1106">
        <f>IF($P373="","N/A",(IF($P373=-1,INDEX('卡片raw data'!T:T,MATCH($D373,'卡片raw data'!$F:$F,)),0)+IF($P373=0,INDEX('卡片raw data'!W:W,MATCH($D373,'卡片raw data'!$F:$F,)),0)+IF($P373=1,INDEX('卡片raw data'!Z:Z,MATCH($D373,'卡片raw data'!$F:$F,)),0)+IF($P373=2,INDEX('卡片raw data'!AC:AC,MATCH($D373,'卡片raw data'!$F:$F,)),0)+IF($P373=3,INDEX('卡片raw data'!AF:AF,MATCH($D373,'卡片raw data'!$F:$F,)),0)+IF($P373=4,INDEX('卡片raw data'!AI:AI,MATCH($D373,'卡片raw data'!$F:$F,)),0)+IF($P373=5,INDEX('卡片raw data'!AL:AL,MATCH($D373,'卡片raw data'!$F:$F,)),0)+INDEX('卡片raw data'!T:T,MATCH($D373,'卡片raw data'!$F:$F,))*(IF($F373="UR",0.04,0.033))*(IF($F373="UR",INDEX(绊状态确认!$S:$S,MATCH($G373,绊状态确认!$B:$B,))/2-40)+IF($F373="SR",INDEX(绊状态确认!$R:$R,MATCH($G373,绊状态确认!$B:$B,))/4-15))+IF($F373="R",INDEX(绊状态确认!$Q:$Q,MATCH($G373,绊状态确认!$B:$B,))/6-40/6)))*(INDEX(绊状态确认!$H:$H,MATCH($G373,绊状态确认!$B:$B,))+INDEX(绊状态确认!K:K,MATCH($G373,绊状态确认!$B:$B,)))</f>
        <v>8330.9029439999995</v>
      </c>
      <c r="AN373" s="1106">
        <f>IF($P373="","N/A",(IF($P373=-1,INDEX('卡片raw data'!U:U,MATCH($D373,'卡片raw data'!$F:$F,)),0)+IF($P373=0,INDEX('卡片raw data'!X:X,MATCH($D373,'卡片raw data'!$F:$F,)),0)+IF($P373=1,INDEX('卡片raw data'!AA:AA,MATCH($D373,'卡片raw data'!$F:$F,)),0)+IF($P373=2,INDEX('卡片raw data'!AD:AD,MATCH($D373,'卡片raw data'!$F:$F,)),0)+IF($P373=3,INDEX('卡片raw data'!AG:AG,MATCH($D373,'卡片raw data'!$F:$F,)),0)+IF($P373=4,INDEX('卡片raw data'!AJ:AJ,MATCH($D373,'卡片raw data'!$F:$F,)),0)+IF($P373=5,INDEX('卡片raw data'!AM:AM,MATCH($D373,'卡片raw data'!$F:$F,)),0)+INDEX('卡片raw data'!U:U,MATCH($D373,'卡片raw data'!$F:$F,))*(IF($F373="UR",0.04,0.033))*(IF($F373="UR",INDEX(绊状态确认!$S:$S,MATCH($G373,绊状态确认!$B:$B,))/2-40)+IF($F373="SR",INDEX(绊状态确认!$R:$R,MATCH($G373,绊状态确认!$B:$B,))/4-15))+IF($F373="R",INDEX(绊状态确认!$Q:$Q,MATCH($G373,绊状态确认!$B:$B,))/6-40/6)))*(INDEX(绊状态确认!$H:$H,MATCH($G373,绊状态确认!$B:$B,))+INDEX(绊状态确认!L:L,MATCH($G373,绊状态确认!$B:$B,)))</f>
        <v>10552.110383999998</v>
      </c>
      <c r="AO373" s="1107">
        <f t="shared" si="449"/>
        <v>1</v>
      </c>
      <c r="AP373" s="1131">
        <f>1+(INDEX(绊状态确认!$T:$T,MATCH($G373,绊状态确认!$B:$B,))+0.2)*$AO373</f>
        <v>1.3</v>
      </c>
      <c r="AQ373" s="1108">
        <f t="shared" si="450"/>
        <v>26578.644220000002</v>
      </c>
      <c r="AR373" s="1097">
        <f>(AM373*(1+$EX$9)+$EX$35)*(1+(INDEX(绊状态确认!$T:$T,MATCH($G373,绊状态确认!$B:$B,))+0.2)*AO373)*IF(J373=$FF$17,1+$FE$17,1)*IF(I373=$FF$14,1+$FE$14,1)</f>
        <v>14075.682518560001</v>
      </c>
      <c r="AS373" s="1097">
        <f>(AN373*(1+$EX$10)+$EX$36)*(1+(INDEX(绊状态确认!$T:$T,MATCH($G373,绊状态确认!$B:$B,))+0.2)*AO373)*IF(J373=$FF$17,1+$FE$17,1)*IF(I373=$FF$14,1+$FE$14,1)</f>
        <v>19831.405024079995</v>
      </c>
      <c r="AT373" s="1093">
        <f>IF(AND(INDEX('卡片raw data'!AK:AK,MATCH($D373,'卡片raw data'!$F:$F,))&lt;INDEX('卡片raw data'!AM:AM,MATCH($D373,'卡片raw data'!$F:$F,)),INDEX('卡片raw data'!AL:AL,MATCH($D373,'卡片raw data'!$F:$F,))&lt;INDEX('卡片raw data'!AM:AM,MATCH($D373,'卡片raw data'!$F:$F,))),1,0)</f>
        <v>1</v>
      </c>
      <c r="AU373" s="1098">
        <f>MIN(AT373*0.15+AS373*0.00003+INDEX(绊状态确认!M:M,MATCH($G373,绊状态确认!$B:$B,)),1)</f>
        <v>0.77494215072239991</v>
      </c>
      <c r="AV373" s="1109">
        <f>(INDEX(绊状态确认!$N:$N,MATCH($G373,绊状态确认!$B:$B,))+1.5)*$EW$21</f>
        <v>2.6599999999999997</v>
      </c>
      <c r="AW373" s="1101">
        <f t="shared" si="451"/>
        <v>31560.447549467495</v>
      </c>
      <c r="AX373" s="1097">
        <f t="shared" si="452"/>
        <v>1210.7457572595547</v>
      </c>
      <c r="AY373" s="1110">
        <f t="shared" si="453"/>
        <v>32771.193306727051</v>
      </c>
      <c r="AZ373" s="429">
        <f t="shared" si="454"/>
        <v>19929.849991999999</v>
      </c>
      <c r="BA373" s="431">
        <f t="shared" si="455"/>
        <v>23915.819990399999</v>
      </c>
      <c r="BB373" s="1097">
        <f>(AM373*(1+$FB$9)+$FB$35)*(1+(INDEX(绊状态确认!$T:$T,MATCH($G373,绊状态确认!$B:$B,))+0.2)*AO373)*IF(J373=$FF$17,1+$FE$17,1)*IF(I373=$FF$14,1+$FE$14,1)*(1+$FE$15)</f>
        <v>14075.682518560001</v>
      </c>
      <c r="BC373" s="1097">
        <f>(AN373*(1+$FB$10)+$FB$36)*(1+(INDEX(绊状态确认!$T:$T,MATCH($G373,绊状态确认!$B:$B,))+0.2)*AO373)*IF(J373=$FF$17,1+$FE$17,1)*IF(I373=$FF$14,1+$FE$14,1)*(1+$FE$15)</f>
        <v>19831.405024079995</v>
      </c>
      <c r="BD373" s="1104">
        <f>MIN(AT373*0.15+BC373*0.00003+INDEX(绊状态确认!M:M,MATCH($G373,绊状态确认!$B:$B,)),1)</f>
        <v>0.77494215072239991</v>
      </c>
      <c r="BE373" s="432">
        <f>(INDEX(绊状态确认!$N:$N,MATCH($G373,绊状态确认!$B:$B,))+1.5)</f>
        <v>1.9</v>
      </c>
      <c r="BF373" s="1139">
        <f t="array" ref="BF373">SUMPRODUCT(IF(AZ373*AP373*$FI$16:$FI$23*$FA$22&gt;=$FI$24,$FI$24,AZ373*AP373*$FI$16:$FI$23*$FA$22),$FJ$16:$FJ$23)</f>
        <v>39640.471634088004</v>
      </c>
      <c r="BG373" s="1125">
        <f t="array" ref="BG373">SUMPRODUCT(IF(BE373*AZ373*AP373*$FI$16:$FI$23*$FA$22&gt;=$FI$24,$FI$24,BE373*AZ373*AP373*$FI$16:$FI$23*$FA$22),$FJ$16:$FJ$23)</f>
        <v>59907.207537628798</v>
      </c>
      <c r="BH373" s="1110">
        <f t="shared" si="456"/>
        <v>18448.673181100265</v>
      </c>
      <c r="BI373" s="1111">
        <f>IF(O373="vo",$EW$26/$EW$24*0.05,0)+IF(O373="sk",-$EW$26/$EW$24*(0.05-INDEX(绊状态确认!W:W,MATCH($G373,绊状态确认!$B:$B,)))+0.05*$EW$28,0)+IF(O373="sp",0.05*$EW$32*$EW$30*(1-$EW$33)-(0.05-INDEX(绊状态确认!V:V,MATCH($G373,绊状态确认!$B:$B,)))*$EW$28,0)+IF(O373="gd",-(0.05-INDEX(绊状态确认!X:X,MATCH($G373,绊状态确认!$B:$B,)))*$EW$32*$EW$30*(1-$EW$33),0)</f>
        <v>-6253.6726349699375</v>
      </c>
      <c r="BJ373" s="1097">
        <f>IF(O373="vo",0.05*(1-$FI$26)*$FA$24,0)+IF(O373="sk",-(0.05-INDEX(绊状态确认!W:W,MATCH($G373,绊状态确认!$B:$B,)))*(1-$FI$26)*$FA$24+0.05*$FA$26,0)+IF(O373="sp",0.05*$FA$32*$FA$27*(1-$FA$33)/$FA$30+0.05*$FA$29/$FA$69*$FA$27*(1-$FA$33)-(0.05-INDEX(绊状态确认!V:V,MATCH($G373,绊状态确认!$B:$B,)))*$FA$26,0)+IF(O373="gd",-(0.05-INDEX(绊状态确认!X:X,MATCH($G373,绊状态确认!$B:$B,)))*$FA$32*$FA$27*(1-$FA$33)/$FA$30-(0.05-INDEX(绊状态确认!X:X,MATCH($G373,绊状态确认!$B:$B,)))*$FA$29/$FA$69*$FA$27*(1-$FA$33),0)</f>
        <v>20.459096812499922</v>
      </c>
      <c r="BK373" s="1110">
        <f>IF(O373="vo",$EW$26/$EW$24*0.05+$EW$26*(-HP($EW$62,$EW$65,$EW$64)+HP($EW$62,$EW$65,(1.05-INDEX(绊状态确认!U:U,MATCH($G373,绊状态确认!$B:$B,)))*$EW$64)),0)+IF(O373="sk",-$EW$26/$EW$24*(0.05-INDEX(绊状态确认!W:W,MATCH($G373,绊状态确认!$B:$B,)))+0.05*$EW$29,0)+IF(O373="sp",0.05*$EW$32*$EW$30*(1-$EW$33)-(0.05-INDEX(绊状态确认!V:V,MATCH($G373,绊状态确认!$B:$B,)))*$EW$29,0)+IF(O373="gd",-(0.05-INDEX(绊状态确认!X:X,MATCH($G373,绊状态确认!$B:$B,)))*$EW$32*$EW$30*(1-$EW$33)+$EW$26*(-HP($EW$62,$EW$65,$EW$64)+HP($EW$62,$EW$65,0.95*$EW$64)),0)</f>
        <v>-4253.6726349699375</v>
      </c>
      <c r="BL373" s="1111">
        <f t="shared" si="457"/>
        <v>0</v>
      </c>
      <c r="BM373" s="1110">
        <f t="shared" si="458"/>
        <v>0</v>
      </c>
      <c r="BN373" s="1113">
        <f t="shared" si="459"/>
        <v>3</v>
      </c>
      <c r="BO373" s="1108">
        <f t="shared" si="460"/>
        <v>4507.7214871259994</v>
      </c>
      <c r="BP373" s="1100">
        <f t="shared" si="461"/>
        <v>221.34103209030098</v>
      </c>
      <c r="BQ373" s="1113" t="s">
        <v>132</v>
      </c>
      <c r="BR373" s="1124" t="s">
        <v>171</v>
      </c>
      <c r="BS373" s="1098">
        <f>IF($P373="","N/A",IF($P373=-1,INDEX('卡片raw data'!AX:AX,MATCH($D373,'卡片raw data'!$F:$F,)),0)+IF($L373="party卡",IF($P373=5,INDEX('卡片raw data'!BD:BD,MATCH($D373,'卡片raw data'!$F:$F,)),IF($P373&gt;=3,INDEX('卡片raw data'!BC:BC,MATCH($D373,'卡片raw data'!$F:$F,)),INDEX('卡片raw data'!BB:BB,MATCH($D373,'卡片raw data'!$F:$F,)))),IF(OR(AND($F373="UR",$P373=0),AND($F373="SR",$P373&gt;=0,$P373&lt;=2),AND($F373="R",$P373&gt;=0,$P373&lt;4)),INDEX('卡片raw data'!AZ:AZ,MATCH($D373,'卡片raw data'!$F:$F,)),0)+IF(OR(AND($F373="UR",$P373&gt;=1,$P373&lt;=4),AND($F373="SR",$P373&lt;=4,$P373&gt;=3),AND($F373="R",$P373=4)),INDEX('卡片raw data'!BA:BA,MATCH($D373,'卡片raw data'!$F:$F,)),0)+IF($P373=5,INDEX('卡片raw data'!BB:BB,MATCH($D373,'卡片raw data'!$F:$F,)),0)))</f>
        <v>5.1999999999999998E-2</v>
      </c>
      <c r="BT373" s="1101">
        <f t="shared" si="462"/>
        <v>2604.4613036728001</v>
      </c>
      <c r="BU373" s="1097">
        <f t="shared" si="463"/>
        <v>111.90018844565216</v>
      </c>
      <c r="BV373" s="1097">
        <f t="shared" si="464"/>
        <v>1302.2306518363998</v>
      </c>
      <c r="BW373" s="1112">
        <f t="shared" si="465"/>
        <v>0</v>
      </c>
      <c r="BX373" s="1100">
        <f t="shared" si="466"/>
        <v>2604.4613036728001</v>
      </c>
      <c r="BY373" s="1110">
        <f t="shared" si="467"/>
        <v>1302.2306518363998</v>
      </c>
      <c r="BZ373" s="1113" t="s">
        <v>569</v>
      </c>
      <c r="CA373" s="1124"/>
      <c r="CB373" s="1098">
        <f>IF($P373="","N/A",IF($P373=-1,INDEX('卡片raw data'!BE:BE,MATCH($D373,'卡片raw data'!$F:$F,)),0)+IF($L373="party卡",IF($P373=5,INDEX('卡片raw data'!BK:BK,MATCH($D373,'卡片raw data'!$F:$F,)),IF($P373&gt;=3,INDEX('卡片raw data'!BJ:BJ,MATCH($D373,'卡片raw data'!$F:$F,)),INDEX('卡片raw data'!BI:BI,MATCH($D373,'卡片raw data'!$F:$F,)))),IF(OR(AND($F373="UR",$P373=0),AND($F373="SR",$P373&gt;=0,$P373&lt;=2),AND($F373="R",$P373&gt;=0,$P373&lt;4)),INDEX('卡片raw data'!BG:BG,MATCH($D373,'卡片raw data'!$F:$F,)),0)+IF(OR(AND($F373="UR",$P373&gt;=1,$P373&lt;=4),AND($F373="SR",$P373&lt;=4,$P373&gt;=3),AND($F373="R",$P373=4)),INDEX('卡片raw data'!BH:BH,MATCH($D373,'卡片raw data'!$F:$F,)),0)+IF($P373=5,INDEX('卡片raw data'!BI:BI,MATCH($D373,'卡片raw data'!$F:$F,)),0)))</f>
        <v>0</v>
      </c>
      <c r="CC373" s="1101">
        <f t="shared" si="468"/>
        <v>0</v>
      </c>
      <c r="CD373" s="1097">
        <f>IF(BZ373="ap",CB373*(1-$FI$26)*$FB$5/$FB$11*(+IF(CA373="全员",$FA$24,0)+IF(CA373="同作战",$FA$24,0)+IF(CA373="仲间",$FA$24*2/3,0)+IF(CA373="同属性",$FA$24*$FA$37/3,0)+IF(CA373="同年级",$FA$24*$FA$40/3,0)+IF(CA373="同学校",$FA$24*$FA$43/3,0)+IF(CA373="同小队",$FA$24*$FA$46/3,0)+IF(CA373="同type",$FA$24*INDEX($FB$49:$FB$52,MATCH(X373,$FA$49:$FA$52,))/3,0)+IF(CA373="自身",#REF!/3,0)),0)+IF(BZ373="te",CB373*(1-$FI$27)*($FA$20-1)*$FB$7/$FB$13*(+IF(CA373="全员",$FA$19*$FA$24/(1+($FA$20-1)*$FA$19),0)+IF(CA373="同作战",$FA$19*$FA$24/(1+($FA$20-1)*$FA$19),0)+IF(CA373="仲间",$FA$19*$FA$24*2/3/(1+($FA$20-1)*$FA$19),0)+IF(CA373="同属性",$FA$19*$FA$24*$FA$37/3/(1+($FA$20-1)*$FA$19),0)+IF(CA373="同年级",$FA$19*$FA$24*$FA$40/3/(1+($FA$20-1)*$FA$19),0)+IF(CA373="同学校",$FA$19*$FA$24*$FA$43/3/(1+($FA$20-1)*$FA$19),0)+IF(CA373="同小队",$FA$19*$FA$24*$FA$46/3/(1+($FA$20-1)*$FA$19),0)+IF(CA373="同type",$FA$19*$FA$24*INDEX($FB$49:$FB$52,MATCH(X373,$FA$49:$FA$52,))/3/(1+($FA$20-1)*$FA$19),0)+IF(CA373="自身",$FA$19*#REF!/3/(1+(BH373-1)*$BD373),0)),0)</f>
        <v>0</v>
      </c>
      <c r="CE373" s="1097">
        <f t="shared" si="469"/>
        <v>0</v>
      </c>
      <c r="CF373" s="1112">
        <f t="shared" si="470"/>
        <v>0</v>
      </c>
      <c r="CG373" s="1100">
        <f t="shared" si="471"/>
        <v>0</v>
      </c>
      <c r="CH373" s="1110">
        <f t="shared" si="472"/>
        <v>0</v>
      </c>
      <c r="CI373" s="1113" t="s">
        <v>165</v>
      </c>
      <c r="CJ373" s="1114">
        <v>1</v>
      </c>
      <c r="CK373" s="1115" t="s">
        <v>167</v>
      </c>
      <c r="CL373" s="1115" t="s">
        <v>168</v>
      </c>
      <c r="CM373" s="1119">
        <v>2.5000000000000001E-2</v>
      </c>
      <c r="CN373" s="1115" t="s">
        <v>163</v>
      </c>
      <c r="CO373" s="1092"/>
      <c r="CP373" s="1118">
        <f t="shared" si="473"/>
        <v>2.5000000000000001E-2</v>
      </c>
      <c r="CQ373" s="1118">
        <f t="shared" si="474"/>
        <v>2.5000000000000001E-2</v>
      </c>
      <c r="CR373" s="1118">
        <f t="shared" si="475"/>
        <v>0</v>
      </c>
      <c r="CS373" s="1118">
        <f t="shared" si="476"/>
        <v>0</v>
      </c>
      <c r="CT373" s="1109">
        <f t="shared" si="477"/>
        <v>0</v>
      </c>
      <c r="CU373" s="1101">
        <f t="shared" si="478"/>
        <v>3399.5732882075254</v>
      </c>
      <c r="CV373" s="1108">
        <f t="shared" si="479"/>
        <v>164.13930703125001</v>
      </c>
      <c r="CW373" s="1097">
        <f t="shared" si="480"/>
        <v>0</v>
      </c>
      <c r="CX373" s="1097">
        <f t="shared" si="481"/>
        <v>3399.5732882075254</v>
      </c>
      <c r="CY373" s="1110">
        <f t="shared" si="482"/>
        <v>0</v>
      </c>
      <c r="CZ373" s="437"/>
      <c r="DA373" s="438"/>
      <c r="DB373" s="439" t="s">
        <v>569</v>
      </c>
      <c r="DC373" s="439"/>
      <c r="DD373" s="443"/>
      <c r="DE373" s="411"/>
      <c r="DF373" s="411"/>
      <c r="DG373" s="1116">
        <f t="shared" si="483"/>
        <v>0</v>
      </c>
      <c r="DH373" s="1116">
        <f t="shared" si="484"/>
        <v>0</v>
      </c>
      <c r="DI373" s="1116">
        <f t="shared" si="485"/>
        <v>0</v>
      </c>
      <c r="DJ373" s="442">
        <f t="shared" si="486"/>
        <v>0</v>
      </c>
      <c r="DK373" s="1109">
        <f t="shared" si="487"/>
        <v>0</v>
      </c>
      <c r="DL373" s="1101">
        <f t="shared" si="488"/>
        <v>0</v>
      </c>
      <c r="DM373" s="1097">
        <f t="shared" si="489"/>
        <v>0</v>
      </c>
      <c r="DN373" s="1097">
        <f t="shared" si="490"/>
        <v>0</v>
      </c>
      <c r="DO373" s="1097">
        <f t="shared" si="491"/>
        <v>0</v>
      </c>
      <c r="DP373" s="1110">
        <f t="shared" si="492"/>
        <v>0</v>
      </c>
      <c r="DQ373" s="1113" t="s">
        <v>1789</v>
      </c>
      <c r="DR373" s="1120">
        <f t="shared" si="493"/>
        <v>0.33</v>
      </c>
      <c r="DS373" s="1124">
        <v>5</v>
      </c>
      <c r="DT373" s="1124" t="s">
        <v>1790</v>
      </c>
      <c r="DU373" s="1093" t="s">
        <v>544</v>
      </c>
      <c r="DV373" s="1098">
        <f>IF($P373="","N/A",IF(P373=-1,INDEX('卡片raw data'!AN:AN,MATCH(D373,'卡片raw data'!$F:$F,)),0)+IF(AND(L373&lt;&gt;"party卡",P373&lt;=2,P373&gt;=0),INDEX('卡片raw data'!AP:AP,MATCH(D373,'卡片raw data'!$F:$F,)),0)+IF(OR(AND(L373="party卡",P373&lt;=1),AND(P373&lt;=4,L373&lt;&gt;"party卡",P373&gt;=3)),INDEX('卡片raw data'!AQ:AQ,MATCH(D373,'卡片raw data'!$F:$F,)),0)+IF(OR(P373=5,AND(L373="party卡",P373&gt;=2)),INDEX('卡片raw data'!AR:AR,MATCH(D373,'卡片raw data'!$F:$F,)),0))</f>
        <v>0.05</v>
      </c>
      <c r="DW373" s="1098">
        <f t="shared" si="494"/>
        <v>0.33</v>
      </c>
      <c r="DX373" s="1098">
        <f t="shared" si="495"/>
        <v>0.33</v>
      </c>
      <c r="DY373" s="1098">
        <f t="shared" si="496"/>
        <v>2.7500000000000004E-2</v>
      </c>
      <c r="DZ373" s="1098">
        <f t="shared" si="497"/>
        <v>2.3787500000000003E-2</v>
      </c>
      <c r="EA373" s="1098">
        <f t="shared" si="498"/>
        <v>9.9029734375000004E-3</v>
      </c>
      <c r="EB373" s="1121">
        <f t="shared" si="499"/>
        <v>0</v>
      </c>
      <c r="EC373" s="1101">
        <f t="shared" si="500"/>
        <v>1166.6666666666667</v>
      </c>
      <c r="ED373" s="1097">
        <f t="shared" si="501"/>
        <v>540.62500000000011</v>
      </c>
      <c r="EE373" s="1110">
        <f t="shared" si="513"/>
        <v>1166.6666666666667</v>
      </c>
      <c r="EF373" s="1115" t="s">
        <v>569</v>
      </c>
      <c r="EG373" s="1120">
        <f t="shared" si="503"/>
        <v>0.33</v>
      </c>
      <c r="EH373" s="1124"/>
      <c r="EI373" s="1093"/>
      <c r="EJ373" s="1093"/>
      <c r="EK373" s="1097">
        <f>IF($P373="","N/A",IF(P373=-1,INDEX('卡片raw data'!AS:AS,MATCH(D373,'卡片raw data'!$F:$F,)),0)+IF(AND(L373&lt;&gt;"party卡",P373&lt;=2,P373&gt;=0),INDEX('卡片raw data'!AU:AU,MATCH(D373,'卡片raw data'!$F:$F,)),0)+IF(OR(AND(L373="party卡",P373&lt;=1),AND(P373&lt;=4,L373&lt;&gt;"party卡",P373&gt;=3)),INDEX('卡片raw data'!AV:AV,MATCH(D373,'卡片raw data'!$F:$F,)),0)+IF(OR(P373=5,AND(L373="party卡",P373&gt;=2)),INDEX('卡片raw data'!AW:AW,MATCH(D373,'卡片raw data'!$F:$F,)),0))</f>
        <v>0</v>
      </c>
      <c r="EL373" s="1098">
        <f t="shared" si="504"/>
        <v>0.33</v>
      </c>
      <c r="EM373" s="1098">
        <f t="shared" si="505"/>
        <v>0.33</v>
      </c>
      <c r="EN373" s="1097">
        <f t="shared" si="506"/>
        <v>0</v>
      </c>
      <c r="EO373" s="1097">
        <f t="shared" si="507"/>
        <v>0</v>
      </c>
      <c r="EP373" s="1098">
        <f t="shared" si="508"/>
        <v>0</v>
      </c>
      <c r="EQ373" s="1121">
        <f t="shared" si="509"/>
        <v>0</v>
      </c>
      <c r="ER373" s="1101">
        <f t="shared" si="510"/>
        <v>0</v>
      </c>
      <c r="ES373" s="1097">
        <f t="shared" si="511"/>
        <v>0</v>
      </c>
      <c r="ET373" s="1122">
        <f t="shared" si="514"/>
        <v>0</v>
      </c>
    </row>
    <row r="374" spans="2:150" ht="16.5" customHeight="1">
      <c r="B374" s="1123" t="str">
        <f>INDEX('卡片raw data'!B:B,MATCH($D374,'卡片raw data'!$F:$F,))</f>
        <v>梦门海</v>
      </c>
      <c r="C374" s="449" t="s">
        <v>1792</v>
      </c>
      <c r="D374" s="408">
        <v>371</v>
      </c>
      <c r="E374" s="477">
        <v>400042003</v>
      </c>
      <c r="F374" s="1090" t="str">
        <f>INDEX('卡片raw data'!C:C,MATCH($D374,'卡片raw data'!$F:$F,))</f>
        <v>SR</v>
      </c>
      <c r="G374" s="1094" t="s">
        <v>1793</v>
      </c>
      <c r="H374" s="411">
        <f>IFERROR(INDEX(绊状态确认!C:C,MATCH($G374,绊状态确认!$B:$B,)),"")</f>
        <v>4</v>
      </c>
      <c r="I374" s="450" t="str">
        <f>IFERROR(INDEX(绊状态确认!D:D,MATCH($G374,绊状态确认!$B:$B,)),"")</f>
        <v>缪</v>
      </c>
      <c r="J374" s="450" t="str">
        <f>IFERROR(INDEX(绊状态确认!E:E,MATCH($G374,绊状态确认!$B:$B,)),"")</f>
        <v>2年级</v>
      </c>
      <c r="K374" s="451" t="str">
        <f>IFERROR(INDEX(绊状态确认!F:F,MATCH($G374,绊状态确认!$B:$B,)),"")</f>
        <v>lilywhite</v>
      </c>
      <c r="L374" s="1094" t="str">
        <f>INDEX('卡片raw data'!E:E,MATCH($D374,'卡片raw data'!$F:$F,))</f>
        <v>活动卡</v>
      </c>
      <c r="M374" s="478">
        <v>44183</v>
      </c>
      <c r="N374" s="479">
        <v>30</v>
      </c>
      <c r="O374" s="1091" t="str">
        <f>INDEX('卡片raw data'!D:D,MATCH($D374,'卡片raw data'!$F:$F,))</f>
        <v>sk</v>
      </c>
      <c r="P374" s="1126">
        <v>5</v>
      </c>
      <c r="Q374" s="1095">
        <f t="shared" si="428"/>
        <v>20553.880849128109</v>
      </c>
      <c r="R374" s="1096">
        <f t="shared" si="429"/>
        <v>0.23799999999999999</v>
      </c>
      <c r="S374" s="1097">
        <f t="shared" si="430"/>
        <v>12345.96570714167</v>
      </c>
      <c r="T374" s="1098">
        <f t="shared" si="431"/>
        <v>0.61699999999999999</v>
      </c>
      <c r="U374" s="1099">
        <f t="shared" si="432"/>
        <v>11.163374271492856</v>
      </c>
      <c r="V374" s="1100">
        <f t="shared" si="433"/>
        <v>23442.920517549061</v>
      </c>
      <c r="W374" s="1101">
        <f t="shared" si="434"/>
        <v>4509.1953997678238</v>
      </c>
      <c r="X374" s="1096">
        <f t="shared" si="435"/>
        <v>5.1999999999999998E-2</v>
      </c>
      <c r="Y374" s="1097">
        <f t="shared" si="436"/>
        <v>889.03966842095178</v>
      </c>
      <c r="Z374" s="1102">
        <f t="shared" si="437"/>
        <v>11.163374271492856</v>
      </c>
      <c r="AA374" s="1103">
        <f t="shared" si="438"/>
        <v>5398.2350681887756</v>
      </c>
      <c r="AB374" s="1101">
        <f t="shared" si="439"/>
        <v>8046.4930019221219</v>
      </c>
      <c r="AC374" s="1104">
        <f t="shared" si="440"/>
        <v>9.2999999999999999E-2</v>
      </c>
      <c r="AD374" s="1105">
        <f t="shared" si="441"/>
        <v>1.8994224431818179E-2</v>
      </c>
      <c r="AE374" s="1128">
        <f t="shared" si="442"/>
        <v>4.3537577047458456</v>
      </c>
      <c r="AF374" s="1130">
        <f t="shared" si="443"/>
        <v>0</v>
      </c>
      <c r="AG374" s="420">
        <f t="shared" si="444"/>
        <v>0</v>
      </c>
      <c r="AH374" s="420">
        <f t="shared" si="445"/>
        <v>0</v>
      </c>
      <c r="AI374" s="1097">
        <f t="shared" si="446"/>
        <v>0</v>
      </c>
      <c r="AJ374" s="420">
        <f t="shared" si="447"/>
        <v>0</v>
      </c>
      <c r="AK374" s="518">
        <f t="shared" si="448"/>
        <v>0</v>
      </c>
      <c r="AL374" s="1106">
        <f>IF($P374="","N/A",(IF($P374=-1,INDEX('卡片raw data'!S:S,MATCH($D374,'卡片raw data'!$F:$F,)),0)+IF($P374=0,INDEX('卡片raw data'!V:V,MATCH($D374,'卡片raw data'!$F:$F,)),0)+IF($P374=1,INDEX('卡片raw data'!Y:Y,MATCH($D374,'卡片raw data'!$F:$F,)),0)+IF($P374=2,INDEX('卡片raw data'!AB:AB,MATCH($D374,'卡片raw data'!$F:$F,)),0)+IF($P374=3,INDEX('卡片raw data'!AE:AE,MATCH($D374,'卡片raw data'!$F:$F,)),0)+IF($P374=4,INDEX('卡片raw data'!AH:AH,MATCH($D374,'卡片raw data'!$F:$F,)),0)+IF($P374=5,INDEX('卡片raw data'!AK:AK,MATCH($D374,'卡片raw data'!$F:$F,)),0)+INDEX('卡片raw data'!S:S,MATCH($D374,'卡片raw data'!$F:$F,))*(IF($F374="UR",0.04,0.033))*(IF($F374="UR",INDEX(绊状态确认!$S:$S,MATCH($G374,绊状态确认!$B:$B,))/2-40)+IF($F374="SR",INDEX(绊状态确认!$R:$R,MATCH($G374,绊状态确认!$B:$B,))/4-15))+IF($F374="R",INDEX(绊状态确认!$Q:$Q,MATCH($G374,绊状态确认!$B:$B,))/6-40/6)))*(INDEX(绊状态确认!$H:$H,MATCH($G374,绊状态确认!$B:$B,))+INDEX(绊状态确认!J:J,MATCH($G374,绊状态确认!$B:$B,)))</f>
        <v>5824.7477495999992</v>
      </c>
      <c r="AM374" s="1106">
        <f>IF($P374="","N/A",(IF($P374=-1,INDEX('卡片raw data'!T:T,MATCH($D374,'卡片raw data'!$F:$F,)),0)+IF($P374=0,INDEX('卡片raw data'!W:W,MATCH($D374,'卡片raw data'!$F:$F,)),0)+IF($P374=1,INDEX('卡片raw data'!Z:Z,MATCH($D374,'卡片raw data'!$F:$F,)),0)+IF($P374=2,INDEX('卡片raw data'!AC:AC,MATCH($D374,'卡片raw data'!$F:$F,)),0)+IF($P374=3,INDEX('卡片raw data'!AF:AF,MATCH($D374,'卡片raw data'!$F:$F,)),0)+IF($P374=4,INDEX('卡片raw data'!AI:AI,MATCH($D374,'卡片raw data'!$F:$F,)),0)+IF($P374=5,INDEX('卡片raw data'!AL:AL,MATCH($D374,'卡片raw data'!$F:$F,)),0)+INDEX('卡片raw data'!T:T,MATCH($D374,'卡片raw data'!$F:$F,))*(IF($F374="UR",0.04,0.033))*(IF($F374="UR",INDEX(绊状态确认!$S:$S,MATCH($G374,绊状态确认!$B:$B,))/2-40)+IF($F374="SR",INDEX(绊状态确认!$R:$R,MATCH($G374,绊状态确认!$B:$B,))/4-15))+IF($F374="R",INDEX(绊状态确认!$Q:$Q,MATCH($G374,绊状态确认!$B:$B,))/6-40/6)))*(INDEX(绊状态确认!$H:$H,MATCH($G374,绊状态确认!$B:$B,))+INDEX(绊状态确认!K:K,MATCH($G374,绊状态确认!$B:$B,)))</f>
        <v>5652.1240439999992</v>
      </c>
      <c r="AN374" s="1106">
        <f>IF($P374="","N/A",(IF($P374=-1,INDEX('卡片raw data'!U:U,MATCH($D374,'卡片raw data'!$F:$F,)),0)+IF($P374=0,INDEX('卡片raw data'!X:X,MATCH($D374,'卡片raw data'!$F:$F,)),0)+IF($P374=1,INDEX('卡片raw data'!AA:AA,MATCH($D374,'卡片raw data'!$F:$F,)),0)+IF($P374=2,INDEX('卡片raw data'!AD:AD,MATCH($D374,'卡片raw data'!$F:$F,)),0)+IF($P374=3,INDEX('卡片raw data'!AG:AG,MATCH($D374,'卡片raw data'!$F:$F,)),0)+IF($P374=4,INDEX('卡片raw data'!AJ:AJ,MATCH($D374,'卡片raw data'!$F:$F,)),0)+IF($P374=5,INDEX('卡片raw data'!AM:AM,MATCH($D374,'卡片raw data'!$F:$F,)),0)+INDEX('卡片raw data'!U:U,MATCH($D374,'卡片raw data'!$F:$F,))*(IF($F374="UR",0.04,0.033))*(IF($F374="UR",INDEX(绊状态确认!$S:$S,MATCH($G374,绊状态确认!$B:$B,))/2-40)+IF($F374="SR",INDEX(绊状态确认!$R:$R,MATCH($G374,绊状态确认!$B:$B,))/4-15))+IF($F374="R",INDEX(绊状态确认!$Q:$Q,MATCH($G374,绊状态确认!$B:$B,))/6-40/6)))*(INDEX(绊状态确认!$H:$H,MATCH($G374,绊状态确认!$B:$B,))+INDEX(绊状态确认!L:L,MATCH($G374,绊状态确认!$B:$B,)))</f>
        <v>5652.1240439999992</v>
      </c>
      <c r="AO374" s="1107">
        <f t="shared" si="449"/>
        <v>1</v>
      </c>
      <c r="AP374" s="1131">
        <f>1+(INDEX(绊状态确认!$T:$T,MATCH($G374,绊状态确认!$B:$B,))+0.2)*$AO374</f>
        <v>1.3</v>
      </c>
      <c r="AQ374" s="1108">
        <f t="shared" si="450"/>
        <v>18539.962842699999</v>
      </c>
      <c r="AR374" s="1097">
        <f>(AM374*(1+$EX$9)+$EX$35)*(1+(INDEX(绊状态确认!$T:$T,MATCH($G374,绊状态确认!$B:$B,))+0.2)*AO374)*IF(J374=$FF$17,1+$FE$17,1)*IF(I374=$FF$14,1+$FE$14,1)</f>
        <v>10419.14932006</v>
      </c>
      <c r="AS374" s="1097">
        <f>(AN374*(1+$EX$10)+$EX$36)*(1+(INDEX(绊状态确认!$T:$T,MATCH($G374,绊状态确认!$B:$B,))+0.2)*AO374)*IF(J374=$FF$17,1+$FE$17,1)*IF(I374=$FF$14,1+$FE$14,1)</f>
        <v>12505.925445779998</v>
      </c>
      <c r="AT374" s="1093">
        <f>IF(AND(INDEX('卡片raw data'!AK:AK,MATCH($D374,'卡片raw data'!$F:$F,))&lt;INDEX('卡片raw data'!AM:AM,MATCH($D374,'卡片raw data'!$F:$F,)),INDEX('卡片raw data'!AL:AL,MATCH($D374,'卡片raw data'!$F:$F,))&lt;INDEX('卡片raw data'!AM:AM,MATCH($D374,'卡片raw data'!$F:$F,))),1,0)</f>
        <v>0</v>
      </c>
      <c r="AU374" s="1098">
        <f>MIN(AT374*0.15+AS374*0.00003+INDEX(绊状态确认!M:M,MATCH($G374,绊状态确认!$B:$B,)),1)</f>
        <v>0.4051777633734</v>
      </c>
      <c r="AV374" s="1109">
        <f>(INDEX(绊状态确认!$N:$N,MATCH($G374,绊状态确认!$B:$B,))+1.5)*$EW$21</f>
        <v>2.6599999999999997</v>
      </c>
      <c r="AW374" s="1101">
        <f t="shared" si="451"/>
        <v>16104.863198480976</v>
      </c>
      <c r="AX374" s="1097">
        <f t="shared" si="452"/>
        <v>889.03966842095178</v>
      </c>
      <c r="AY374" s="1110">
        <f t="shared" si="453"/>
        <v>16993.902866901928</v>
      </c>
      <c r="AZ374" s="429">
        <f t="shared" si="454"/>
        <v>13958.258111719999</v>
      </c>
      <c r="BA374" s="431">
        <f t="shared" si="455"/>
        <v>16749.909734063996</v>
      </c>
      <c r="BB374" s="1097">
        <f>(AM374*(1+$FB$9)+$FB$35)*(1+(INDEX(绊状态确认!$T:$T,MATCH($G374,绊状态确认!$B:$B,))+0.2)*AO374)*IF(J374=$FF$17,1+$FE$17,1)*IF(I374=$FF$14,1+$FE$14,1)*(1+$FE$15)</f>
        <v>10419.14932006</v>
      </c>
      <c r="BC374" s="1097">
        <f>(AN374*(1+$FB$10)+$FB$36)*(1+(INDEX(绊状态确认!$T:$T,MATCH($G374,绊状态确认!$B:$B,))+0.2)*AO374)*IF(J374=$FF$17,1+$FE$17,1)*IF(I374=$FF$14,1+$FE$14,1)*(1+$FE$15)</f>
        <v>12505.925445779998</v>
      </c>
      <c r="BD374" s="1104">
        <f>MIN(AT374*0.15+BC374*0.00003+INDEX(绊状态确认!M:M,MATCH($G374,绊状态确认!$B:$B,)),1)</f>
        <v>0.4051777633734</v>
      </c>
      <c r="BE374" s="432">
        <f>(INDEX(绊状态确认!$N:$N,MATCH($G374,绊状态确认!$B:$B,))+1.5)</f>
        <v>1.9</v>
      </c>
      <c r="BF374" s="1139">
        <f t="array" ref="BF374">SUMPRODUCT(IF(AZ374*AP374*$FI$16:$FI$23*$FA$22&gt;=$FI$24,$FI$24,AZ374*AP374*$FI$16:$FI$23*$FA$22),$FJ$16:$FJ$23)</f>
        <v>27762.975384211077</v>
      </c>
      <c r="BG374" s="1125">
        <f t="array" ref="BG374">SUMPRODUCT(IF(BE374*AZ374*AP374*$FI$16:$FI$23*$FA$22&gt;=$FI$24,$FI$24,BE374*AZ374*AP374*$FI$16:$FI$23*$FA$22),$FJ$16:$FJ$23)</f>
        <v>51993.201141700141</v>
      </c>
      <c r="BH374" s="1110">
        <f t="shared" si="456"/>
        <v>12526.841354221013</v>
      </c>
      <c r="BI374" s="1111">
        <f>IF(O374="vo",$EW$26/$EW$24*0.05,0)+IF(O374="sk",-$EW$26/$EW$24*(0.05-INDEX(绊状态确认!W:W,MATCH($G374,绊状态确认!$B:$B,)))+0.05*$EW$28,0)+IF(O374="sp",0.05*$EW$32*$EW$30*(1-$EW$33)-(0.05-INDEX(绊状态确认!V:V,MATCH($G374,绊状态确认!$B:$B,)))*$EW$28,0)+IF(O374="gd",-(0.05-INDEX(绊状态确认!X:X,MATCH($G374,绊状态确认!$B:$B,)))*$EW$32*$EW$30*(1-$EW$33),0)</f>
        <v>-6253.6726349699375</v>
      </c>
      <c r="BJ374" s="1097">
        <f>IF(O374="vo",0.05*(1-$FI$26)*$FA$24,0)+IF(O374="sk",-(0.05-INDEX(绊状态确认!W:W,MATCH($G374,绊状态确认!$B:$B,)))*(1-$FI$26)*$FA$24+0.05*$FA$26,0)+IF(O374="sp",0.05*$FA$32*$FA$27*(1-$FA$33)/$FA$30+0.05*$FA$29/$FA$69*$FA$27*(1-$FA$33)-(0.05-INDEX(绊状态确认!V:V,MATCH($G374,绊状态确认!$B:$B,)))*$FA$26,0)+IF(O374="gd",-(0.05-INDEX(绊状态确认!X:X,MATCH($G374,绊状态确认!$B:$B,)))*$FA$32*$FA$27*(1-$FA$33)/$FA$30-(0.05-INDEX(绊状态确认!X:X,MATCH($G374,绊状态确认!$B:$B,)))*$FA$29/$FA$69*$FA$27*(1-$FA$33),0)</f>
        <v>20.459096812499922</v>
      </c>
      <c r="BK374" s="1110">
        <f>IF(O374="vo",$EW$26/$EW$24*0.05+$EW$26*(-HP($EW$62,$EW$65,$EW$64)+HP($EW$62,$EW$65,(1.05-INDEX(绊状态确认!U:U,MATCH($G374,绊状态确认!$B:$B,)))*$EW$64)),0)+IF(O374="sk",-$EW$26/$EW$24*(0.05-INDEX(绊状态确认!W:W,MATCH($G374,绊状态确认!$B:$B,)))+0.05*$EW$29,0)+IF(O374="sp",0.05*$EW$32*$EW$30*(1-$EW$33)-(0.05-INDEX(绊状态确认!V:V,MATCH($G374,绊状态确认!$B:$B,)))*$EW$29,0)+IF(O374="gd",-(0.05-INDEX(绊状态确认!X:X,MATCH($G374,绊状态确认!$B:$B,)))*$EW$32*$EW$30*(1-$EW$33)+$EW$26*(-HP($EW$62,$EW$65,$EW$64)+HP($EW$62,$EW$65,0.95*$EW$64)),0)</f>
        <v>-4253.6726349699375</v>
      </c>
      <c r="BL374" s="1111">
        <f t="shared" si="457"/>
        <v>-1083.3333333333333</v>
      </c>
      <c r="BM374" s="1110">
        <f t="shared" si="458"/>
        <v>-830.55555555555543</v>
      </c>
      <c r="BN374" s="1113">
        <f t="shared" si="459"/>
        <v>3</v>
      </c>
      <c r="BO374" s="1108">
        <f t="shared" si="460"/>
        <v>4507.7214871259994</v>
      </c>
      <c r="BP374" s="1100">
        <f t="shared" si="461"/>
        <v>221.34103209030098</v>
      </c>
      <c r="BQ374" s="1113" t="s">
        <v>134</v>
      </c>
      <c r="BR374" s="1124" t="s">
        <v>168</v>
      </c>
      <c r="BS374" s="1098">
        <f>IF($P374="","N/A",IF($P374=-1,INDEX('卡片raw data'!AX:AX,MATCH($D374,'卡片raw data'!$F:$F,)),0)+IF($L374="party卡",IF($P374=5,INDEX('卡片raw data'!BD:BD,MATCH($D374,'卡片raw data'!$F:$F,)),IF($P374&gt;=3,INDEX('卡片raw data'!BC:BC,MATCH($D374,'卡片raw data'!$F:$F,)),INDEX('卡片raw data'!BB:BB,MATCH($D374,'卡片raw data'!$F:$F,)))),IF(OR(AND($F374="UR",$P374=0),AND($F374="SR",$P374&gt;=0,$P374&lt;=2),AND($F374="R",$P374&gt;=0,$P374&lt;4)),INDEX('卡片raw data'!AZ:AZ,MATCH($D374,'卡片raw data'!$F:$F,)),0)+IF(OR(AND($F374="UR",$P374&gt;=1,$P374&lt;=4),AND($F374="SR",$P374&lt;=4,$P374&gt;=3),AND($F374="R",$P374=4)),INDEX('卡片raw data'!BA:BA,MATCH($D374,'卡片raw data'!$F:$F,)),0)+IF($P374=5,INDEX('卡片raw data'!BB:BB,MATCH($D374,'卡片raw data'!$F:$F,)),0)))</f>
        <v>0.05</v>
      </c>
      <c r="BT374" s="1101">
        <f t="shared" si="462"/>
        <v>3537.2976021542986</v>
      </c>
      <c r="BU374" s="1097">
        <f t="shared" si="463"/>
        <v>255.86405005115788</v>
      </c>
      <c r="BV374" s="1097">
        <f t="shared" si="464"/>
        <v>0</v>
      </c>
      <c r="BW374" s="1112">
        <f t="shared" si="465"/>
        <v>0</v>
      </c>
      <c r="BX374" s="1100">
        <f t="shared" si="466"/>
        <v>3537.2976021542986</v>
      </c>
      <c r="BY374" s="1110">
        <f t="shared" si="467"/>
        <v>0</v>
      </c>
      <c r="BZ374" s="1113" t="s">
        <v>569</v>
      </c>
      <c r="CA374" s="1124"/>
      <c r="CB374" s="1098">
        <f>IF($P374="","N/A",IF($P374=-1,INDEX('卡片raw data'!BE:BE,MATCH($D374,'卡片raw data'!$F:$F,)),0)+IF($L374="party卡",IF($P374=5,INDEX('卡片raw data'!BK:BK,MATCH($D374,'卡片raw data'!$F:$F,)),IF($P374&gt;=3,INDEX('卡片raw data'!BJ:BJ,MATCH($D374,'卡片raw data'!$F:$F,)),INDEX('卡片raw data'!BI:BI,MATCH($D374,'卡片raw data'!$F:$F,)))),IF(OR(AND($F374="UR",$P374=0),AND($F374="SR",$P374&gt;=0,$P374&lt;=2),AND($F374="R",$P374&gt;=0,$P374&lt;4)),INDEX('卡片raw data'!BG:BG,MATCH($D374,'卡片raw data'!$F:$F,)),0)+IF(OR(AND($F374="UR",$P374&gt;=1,$P374&lt;=4),AND($F374="SR",$P374&lt;=4,$P374&gt;=3),AND($F374="R",$P374=4)),INDEX('卡片raw data'!BH:BH,MATCH($D374,'卡片raw data'!$F:$F,)),0)+IF($P374=5,INDEX('卡片raw data'!BI:BI,MATCH($D374,'卡片raw data'!$F:$F,)),0)))</f>
        <v>0</v>
      </c>
      <c r="CC374" s="1101">
        <f t="shared" si="468"/>
        <v>0</v>
      </c>
      <c r="CD374" s="1097">
        <f>IF(BZ374="ap",CB374*(1-$FI$26)*$FB$5/$FB$11*(+IF(CA374="全员",$FA$24,0)+IF(CA374="同作战",$FA$24,0)+IF(CA374="仲间",$FA$24*2/3,0)+IF(CA374="同属性",$FA$24*$FA$37/3,0)+IF(CA374="同年级",$FA$24*$FA$40/3,0)+IF(CA374="同学校",$FA$24*$FA$43/3,0)+IF(CA374="同小队",$FA$24*$FA$46/3,0)+IF(CA374="同type",$FA$24*INDEX($FB$49:$FB$52,MATCH(X374,$FA$49:$FA$52,))/3,0)+IF(CA374="自身",#REF!/3,0)),0)+IF(BZ374="te",CB374*(1-$FI$27)*($FA$20-1)*$FB$7/$FB$13*(+IF(CA374="全员",$FA$19*$FA$24/(1+($FA$20-1)*$FA$19),0)+IF(CA374="同作战",$FA$19*$FA$24/(1+($FA$20-1)*$FA$19),0)+IF(CA374="仲间",$FA$19*$FA$24*2/3/(1+($FA$20-1)*$FA$19),0)+IF(CA374="同属性",$FA$19*$FA$24*$FA$37/3/(1+($FA$20-1)*$FA$19),0)+IF(CA374="同年级",$FA$19*$FA$24*$FA$40/3/(1+($FA$20-1)*$FA$19),0)+IF(CA374="同学校",$FA$19*$FA$24*$FA$43/3/(1+($FA$20-1)*$FA$19),0)+IF(CA374="同小队",$FA$19*$FA$24*$FA$46/3/(1+($FA$20-1)*$FA$19),0)+IF(CA374="同type",$FA$19*$FA$24*INDEX($FB$49:$FB$52,MATCH(X374,$FA$49:$FA$52,))/3/(1+($FA$20-1)*$FA$19),0)+IF(CA374="自身",$FA$19*#REF!/3/(1+(BH374-1)*$BD374),0)),0)</f>
        <v>0</v>
      </c>
      <c r="CE374" s="1097">
        <f t="shared" si="469"/>
        <v>0</v>
      </c>
      <c r="CF374" s="1112">
        <f t="shared" si="470"/>
        <v>0</v>
      </c>
      <c r="CG374" s="1100">
        <f t="shared" si="471"/>
        <v>0</v>
      </c>
      <c r="CH374" s="1110">
        <f t="shared" si="472"/>
        <v>0</v>
      </c>
      <c r="CI374" s="1113" t="s">
        <v>170</v>
      </c>
      <c r="CJ374" s="1114">
        <v>1</v>
      </c>
      <c r="CK374" s="1115" t="s">
        <v>545</v>
      </c>
      <c r="CL374" s="1115" t="s">
        <v>1941</v>
      </c>
      <c r="CM374" s="1119">
        <v>0.03</v>
      </c>
      <c r="CN374" s="1115"/>
      <c r="CO374" s="1115"/>
      <c r="CP374" s="1116">
        <f t="shared" si="473"/>
        <v>1.3399205834764283</v>
      </c>
      <c r="CQ374" s="1116">
        <f t="shared" si="474"/>
        <v>2.0843209076299996</v>
      </c>
      <c r="CR374" s="1117">
        <f t="shared" si="475"/>
        <v>1.3399205834764283</v>
      </c>
      <c r="CS374" s="1118">
        <f t="shared" si="476"/>
        <v>0</v>
      </c>
      <c r="CT374" s="1109">
        <f t="shared" si="477"/>
        <v>0</v>
      </c>
      <c r="CU374" s="1101">
        <f t="shared" si="478"/>
        <v>1.4739126418240713</v>
      </c>
      <c r="CV374" s="1108">
        <f t="shared" si="479"/>
        <v>2.0843209076299996</v>
      </c>
      <c r="CW374" s="1097">
        <f t="shared" si="480"/>
        <v>1.4739126418240713</v>
      </c>
      <c r="CX374" s="1097">
        <f t="shared" si="481"/>
        <v>1.4739126418240713</v>
      </c>
      <c r="CY374" s="1110">
        <f t="shared" si="482"/>
        <v>1.4739126418240713</v>
      </c>
      <c r="CZ374" s="437"/>
      <c r="DA374" s="438"/>
      <c r="DB374" s="439" t="s">
        <v>569</v>
      </c>
      <c r="DC374" s="439"/>
      <c r="DD374" s="443"/>
      <c r="DE374" s="411"/>
      <c r="DF374" s="411"/>
      <c r="DG374" s="1116">
        <f t="shared" si="483"/>
        <v>0</v>
      </c>
      <c r="DH374" s="1116">
        <f t="shared" si="484"/>
        <v>0</v>
      </c>
      <c r="DI374" s="1116">
        <f t="shared" si="485"/>
        <v>0</v>
      </c>
      <c r="DJ374" s="442">
        <f t="shared" si="486"/>
        <v>0</v>
      </c>
      <c r="DK374" s="1109">
        <f t="shared" si="487"/>
        <v>0</v>
      </c>
      <c r="DL374" s="1101">
        <f t="shared" si="488"/>
        <v>0</v>
      </c>
      <c r="DM374" s="1097">
        <f t="shared" si="489"/>
        <v>0</v>
      </c>
      <c r="DN374" s="1097">
        <f t="shared" si="490"/>
        <v>0</v>
      </c>
      <c r="DO374" s="1097">
        <f t="shared" si="491"/>
        <v>0</v>
      </c>
      <c r="DP374" s="1110">
        <f t="shared" si="492"/>
        <v>0</v>
      </c>
      <c r="DQ374" s="1113" t="s">
        <v>221</v>
      </c>
      <c r="DR374" s="1120">
        <f t="shared" si="493"/>
        <v>0.3</v>
      </c>
      <c r="DS374" s="1124">
        <v>5</v>
      </c>
      <c r="DT374" s="1124" t="s">
        <v>1790</v>
      </c>
      <c r="DU374" s="1093" t="s">
        <v>544</v>
      </c>
      <c r="DV374" s="1098">
        <f>IF($P374="","N/A",IF(P374=-1,INDEX('卡片raw data'!AN:AN,MATCH(D374,'卡片raw data'!$F:$F,)),0)+IF(AND(L374&lt;&gt;"party卡",P374&lt;=2,P374&gt;=0),INDEX('卡片raw data'!AP:AP,MATCH(D374,'卡片raw data'!$F:$F,)),0)+IF(OR(AND(L374="party卡",P374&lt;=1),AND(P374&lt;=4,L374&lt;&gt;"party卡",P374&gt;=3)),INDEX('卡片raw data'!AQ:AQ,MATCH(D374,'卡片raw data'!$F:$F,)),0)+IF(OR(P374=5,AND(L374="party卡",P374&gt;=2)),INDEX('卡片raw data'!AR:AR,MATCH(D374,'卡片raw data'!$F:$F,)),0))</f>
        <v>4.3999999999999997E-2</v>
      </c>
      <c r="DW374" s="1098">
        <f t="shared" si="494"/>
        <v>0.3</v>
      </c>
      <c r="DX374" s="1098">
        <f t="shared" si="495"/>
        <v>0.3</v>
      </c>
      <c r="DY374" s="1098">
        <f t="shared" si="496"/>
        <v>2.1999999999999999E-2</v>
      </c>
      <c r="DZ374" s="1098">
        <f t="shared" si="497"/>
        <v>1.9029999999999998E-2</v>
      </c>
      <c r="EA374" s="1098">
        <f t="shared" si="498"/>
        <v>0</v>
      </c>
      <c r="EB374" s="1121">
        <f t="shared" si="499"/>
        <v>0</v>
      </c>
      <c r="EC374" s="1101">
        <f t="shared" si="500"/>
        <v>3739.5306170282774</v>
      </c>
      <c r="ED374" s="1097">
        <f t="shared" si="501"/>
        <v>149.93140861462501</v>
      </c>
      <c r="EE374" s="1110">
        <f t="shared" si="513"/>
        <v>3739.5306170282774</v>
      </c>
      <c r="EF374" s="1115" t="s">
        <v>569</v>
      </c>
      <c r="EG374" s="1120">
        <f t="shared" si="503"/>
        <v>0.3</v>
      </c>
      <c r="EH374" s="1124"/>
      <c r="EI374" s="1093"/>
      <c r="EJ374" s="1093"/>
      <c r="EK374" s="1097">
        <f>IF($P374="","N/A",IF(P374=-1,INDEX('卡片raw data'!AS:AS,MATCH(D374,'卡片raw data'!$F:$F,)),0)+IF(AND(L374&lt;&gt;"party卡",P374&lt;=2,P374&gt;=0),INDEX('卡片raw data'!AU:AU,MATCH(D374,'卡片raw data'!$F:$F,)),0)+IF(OR(AND(L374="party卡",P374&lt;=1),AND(P374&lt;=4,L374&lt;&gt;"party卡",P374&gt;=3)),INDEX('卡片raw data'!AV:AV,MATCH(D374,'卡片raw data'!$F:$F,)),0)+IF(OR(P374=5,AND(L374="party卡",P374&gt;=2)),INDEX('卡片raw data'!AW:AW,MATCH(D374,'卡片raw data'!$F:$F,)),0))</f>
        <v>0</v>
      </c>
      <c r="EL374" s="1098">
        <f t="shared" si="504"/>
        <v>0.3</v>
      </c>
      <c r="EM374" s="1098">
        <f t="shared" si="505"/>
        <v>0.3</v>
      </c>
      <c r="EN374" s="1097">
        <f t="shared" si="506"/>
        <v>0</v>
      </c>
      <c r="EO374" s="1097">
        <f t="shared" si="507"/>
        <v>0</v>
      </c>
      <c r="EP374" s="1098">
        <f t="shared" si="508"/>
        <v>0</v>
      </c>
      <c r="EQ374" s="1121">
        <f t="shared" si="509"/>
        <v>0</v>
      </c>
      <c r="ER374" s="1101">
        <f t="shared" si="510"/>
        <v>0</v>
      </c>
      <c r="ES374" s="1097">
        <f t="shared" si="511"/>
        <v>0</v>
      </c>
      <c r="ET374" s="1122">
        <f t="shared" si="514"/>
        <v>0</v>
      </c>
    </row>
    <row r="375" spans="2:150" ht="16.5" customHeight="1">
      <c r="B375" s="1123" t="str">
        <f>INDEX('卡片raw data'!B:B,MATCH($D375,'卡片raw data'!$F:$F,))</f>
        <v>三专林</v>
      </c>
      <c r="C375" s="449" t="s">
        <v>1792</v>
      </c>
      <c r="D375" s="408">
        <v>372</v>
      </c>
      <c r="E375" s="477">
        <v>402042003</v>
      </c>
      <c r="F375" s="1090" t="str">
        <f>INDEX('卡片raw data'!C:C,MATCH($D375,'卡片raw data'!$F:$F,))</f>
        <v>SR</v>
      </c>
      <c r="G375" s="1094" t="s">
        <v>1795</v>
      </c>
      <c r="H375" s="411">
        <f>IFERROR(INDEX(绊状态确认!C:C,MATCH($G375,绊状态确认!$B:$B,)),"")</f>
        <v>204</v>
      </c>
      <c r="I375" s="1124" t="str">
        <f>IFERROR(INDEX(绊状态确认!D:D,MATCH($G375,绊状态确认!$B:$B,)),"")</f>
        <v>虹</v>
      </c>
      <c r="J375" s="1124" t="str">
        <f>IFERROR(INDEX(绊状态确认!E:E,MATCH($G375,绊状态确认!$B:$B,)),"")</f>
        <v>3年级</v>
      </c>
      <c r="K375" s="451" t="str">
        <f>IFERROR(INDEX(绊状态确认!F:F,MATCH($G375,绊状态确认!$B:$B,)),"")</f>
        <v>Diver Diva</v>
      </c>
      <c r="L375" s="1094" t="str">
        <f>INDEX('卡片raw data'!E:E,MATCH($D375,'卡片raw data'!$F:$F,))</f>
        <v>活动卡</v>
      </c>
      <c r="M375" s="478">
        <v>44183</v>
      </c>
      <c r="N375" s="479">
        <v>30</v>
      </c>
      <c r="O375" s="1091" t="str">
        <f>INDEX('卡片raw data'!D:D,MATCH($D375,'卡片raw data'!$F:$F,))</f>
        <v>vo</v>
      </c>
      <c r="P375" s="1126">
        <v>5</v>
      </c>
      <c r="Q375" s="1095">
        <f t="shared" si="428"/>
        <v>32283.893542972579</v>
      </c>
      <c r="R375" s="1096">
        <f t="shared" si="429"/>
        <v>0.375</v>
      </c>
      <c r="S375" s="1097">
        <f t="shared" si="430"/>
        <v>14656.03181587666</v>
      </c>
      <c r="T375" s="1098">
        <f t="shared" si="431"/>
        <v>0.73199999999999998</v>
      </c>
      <c r="U375" s="1099">
        <f t="shared" si="432"/>
        <v>-15.840926454987141</v>
      </c>
      <c r="V375" s="1100">
        <f t="shared" si="433"/>
        <v>31705.665796849451</v>
      </c>
      <c r="W375" s="1101">
        <f t="shared" si="434"/>
        <v>4597.6755531292038</v>
      </c>
      <c r="X375" s="1096">
        <f t="shared" si="435"/>
        <v>5.2999999999999999E-2</v>
      </c>
      <c r="Y375" s="1097">
        <f t="shared" si="436"/>
        <v>726.44070411857319</v>
      </c>
      <c r="Z375" s="1102">
        <f t="shared" si="437"/>
        <v>9.1590735450128591</v>
      </c>
      <c r="AA375" s="1103">
        <f t="shared" si="438"/>
        <v>5324.116257247777</v>
      </c>
      <c r="AB375" s="1101">
        <f t="shared" si="439"/>
        <v>4967.0794739864496</v>
      </c>
      <c r="AC375" s="1104">
        <f t="shared" si="440"/>
        <v>5.7000000000000002E-2</v>
      </c>
      <c r="AD375" s="1105">
        <f t="shared" si="441"/>
        <v>-3.8207812500000026E-3</v>
      </c>
      <c r="AE375" s="1128">
        <f t="shared" si="442"/>
        <v>-12.27536231884058</v>
      </c>
      <c r="AF375" s="1130">
        <f t="shared" si="443"/>
        <v>0</v>
      </c>
      <c r="AG375" s="420">
        <f t="shared" si="444"/>
        <v>0</v>
      </c>
      <c r="AH375" s="420">
        <f t="shared" si="445"/>
        <v>0</v>
      </c>
      <c r="AI375" s="1097">
        <f t="shared" si="446"/>
        <v>0</v>
      </c>
      <c r="AJ375" s="420">
        <f t="shared" si="447"/>
        <v>0</v>
      </c>
      <c r="AK375" s="518">
        <f t="shared" si="448"/>
        <v>0</v>
      </c>
      <c r="AL375" s="1106">
        <f>IF($P375="","N/A",(IF($P375=-1,INDEX('卡片raw data'!S:S,MATCH($D375,'卡片raw data'!$F:$F,)),0)+IF($P375=0,INDEX('卡片raw data'!V:V,MATCH($D375,'卡片raw data'!$F:$F,)),0)+IF($P375=1,INDEX('卡片raw data'!Y:Y,MATCH($D375,'卡片raw data'!$F:$F,)),0)+IF($P375=2,INDEX('卡片raw data'!AB:AB,MATCH($D375,'卡片raw data'!$F:$F,)),0)+IF($P375=3,INDEX('卡片raw data'!AE:AE,MATCH($D375,'卡片raw data'!$F:$F,)),0)+IF($P375=4,INDEX('卡片raw data'!AH:AH,MATCH($D375,'卡片raw data'!$F:$F,)),0)+IF($P375=5,INDEX('卡片raw data'!AK:AK,MATCH($D375,'卡片raw data'!$F:$F,)),0)+INDEX('卡片raw data'!S:S,MATCH($D375,'卡片raw data'!$F:$F,))*(IF($F375="UR",0.04,0.033))*(IF($F375="UR",INDEX(绊状态确认!$S:$S,MATCH($G375,绊状态确认!$B:$B,))/2-40)+IF($F375="SR",INDEX(绊状态确认!$R:$R,MATCH($G375,绊状态确认!$B:$B,))/4-15))+IF($F375="R",INDEX(绊状态确认!$Q:$Q,MATCH($G375,绊状态确认!$B:$B,))/6-40/6)))*(INDEX(绊状态确认!$H:$H,MATCH($G375,绊状态确认!$B:$B,))+INDEX(绊状态确认!J:J,MATCH($G375,绊状态确认!$B:$B,)))</f>
        <v>7708.3852967999992</v>
      </c>
      <c r="AM375" s="1106">
        <f>IF($P375="","N/A",(IF($P375=-1,INDEX('卡片raw data'!T:T,MATCH($D375,'卡片raw data'!$F:$F,)),0)+IF($P375=0,INDEX('卡片raw data'!W:W,MATCH($D375,'卡片raw data'!$F:$F,)),0)+IF($P375=1,INDEX('卡片raw data'!Z:Z,MATCH($D375,'卡片raw data'!$F:$F,)),0)+IF($P375=2,INDEX('卡片raw data'!AC:AC,MATCH($D375,'卡片raw data'!$F:$F,)),0)+IF($P375=3,INDEX('卡片raw data'!AF:AF,MATCH($D375,'卡片raw data'!$F:$F,)),0)+IF($P375=4,INDEX('卡片raw data'!AI:AI,MATCH($D375,'卡片raw data'!$F:$F,)),0)+IF($P375=5,INDEX('卡片raw data'!AL:AL,MATCH($D375,'卡片raw data'!$F:$F,)),0)+INDEX('卡片raw data'!T:T,MATCH($D375,'卡片raw data'!$F:$F,))*(IF($F375="UR",0.04,0.033))*(IF($F375="UR",INDEX(绊状态确认!$S:$S,MATCH($G375,绊状态确认!$B:$B,))/2-40)+IF($F375="SR",INDEX(绊状态确认!$R:$R,MATCH($G375,绊状态确认!$B:$B,))/4-15))+IF($F375="R",INDEX(绊状态确认!$Q:$Q,MATCH($G375,绊状态确认!$B:$B,))/6-40/6)))*(INDEX(绊状态确认!$H:$H,MATCH($G375,绊状态确认!$B:$B,))+INDEX(绊状态确认!K:K,MATCH($G375,绊状态确认!$B:$B,)))</f>
        <v>4281.6620088</v>
      </c>
      <c r="AN375" s="1106">
        <f>IF($P375="","N/A",(IF($P375=-1,INDEX('卡片raw data'!U:U,MATCH($D375,'卡片raw data'!$F:$F,)),0)+IF($P375=0,INDEX('卡片raw data'!X:X,MATCH($D375,'卡片raw data'!$F:$F,)),0)+IF($P375=1,INDEX('卡片raw data'!AA:AA,MATCH($D375,'卡片raw data'!$F:$F,)),0)+IF($P375=2,INDEX('卡片raw data'!AD:AD,MATCH($D375,'卡片raw data'!$F:$F,)),0)+IF($P375=3,INDEX('卡片raw data'!AG:AG,MATCH($D375,'卡片raw data'!$F:$F,)),0)+IF($P375=4,INDEX('卡片raw data'!AJ:AJ,MATCH($D375,'卡片raw data'!$F:$F,)),0)+IF($P375=5,INDEX('卡片raw data'!AM:AM,MATCH($D375,'卡片raw data'!$F:$F,)),0)+INDEX('卡片raw data'!U:U,MATCH($D375,'卡片raw data'!$F:$F,))*(IF($F375="UR",0.04,0.033))*(IF($F375="UR",INDEX(绊状态确认!$S:$S,MATCH($G375,绊状态确认!$B:$B,))/2-40)+IF($F375="SR",INDEX(绊状态确认!$R:$R,MATCH($G375,绊状态确认!$B:$B,))/4-15))+IF($F375="R",INDEX(绊状态确认!$Q:$Q,MATCH($G375,绊状态确认!$B:$B,))/6-40/6)))*(INDEX(绊状态确认!$H:$H,MATCH($G375,绊状态确认!$B:$B,))+INDEX(绊状态确认!L:L,MATCH($G375,绊状态确认!$B:$B,)))</f>
        <v>5140.0849319999998</v>
      </c>
      <c r="AO375" s="1107">
        <f t="shared" si="449"/>
        <v>1</v>
      </c>
      <c r="AP375" s="1131">
        <f>1+(INDEX(绊状态确认!$T:$T,MATCH($G375,绊状态确认!$B:$B,))+0.2)*$AO375</f>
        <v>1.3</v>
      </c>
      <c r="AQ375" s="1108">
        <f t="shared" si="450"/>
        <v>23484.511404099998</v>
      </c>
      <c r="AR375" s="1097">
        <f>(AM375*(1+$EX$9)+$EX$35)*(1+(INDEX(绊状态确认!$T:$T,MATCH($G375,绊状态确认!$B:$B,))+0.2)*AO375)*IF(J375=$FF$17,1+$FE$17,1)*IF(I375=$FF$14,1+$FE$14,1)</f>
        <v>8548.4686420120015</v>
      </c>
      <c r="AS375" s="1097">
        <f>(AN375*(1+$EX$10)+$EX$36)*(1+(INDEX(绊状态确认!$T:$T,MATCH($G375,绊状态确认!$B:$B,))+0.2)*AO375)*IF(J375=$FF$17,1+$FE$17,1)*IF(I375=$FF$14,1+$FE$14,1)</f>
        <v>11740.426973339998</v>
      </c>
      <c r="AT375" s="1093">
        <f>IF(AND(INDEX('卡片raw data'!AK:AK,MATCH($D375,'卡片raw data'!$F:$F,))&lt;INDEX('卡片raw data'!AM:AM,MATCH($D375,'卡片raw data'!$F:$F,)),INDEX('卡片raw data'!AL:AL,MATCH($D375,'卡片raw data'!$F:$F,))&lt;INDEX('卡片raw data'!AM:AM,MATCH($D375,'卡片raw data'!$F:$F,))),1,0)</f>
        <v>0</v>
      </c>
      <c r="AU375" s="1098">
        <f>MIN(AT375*0.15+AS375*0.00003+INDEX(绊状态确认!M:M,MATCH($G375,绊状态确认!$B:$B,)),1)</f>
        <v>0.38221280920019995</v>
      </c>
      <c r="AV375" s="1109">
        <f>(INDEX(绊状态确认!$N:$N,MATCH($G375,绊状态确认!$B:$B,))+1.5)*$EW$21</f>
        <v>2.6599999999999997</v>
      </c>
      <c r="AW375" s="1101">
        <f t="shared" si="451"/>
        <v>19935.0217458021</v>
      </c>
      <c r="AX375" s="1097">
        <f t="shared" si="452"/>
        <v>726.44070411857342</v>
      </c>
      <c r="AY375" s="1110">
        <f t="shared" si="453"/>
        <v>20661.462449920673</v>
      </c>
      <c r="AZ375" s="429">
        <f t="shared" si="454"/>
        <v>17631.35132876</v>
      </c>
      <c r="BA375" s="431">
        <f t="shared" si="455"/>
        <v>21157.621594511998</v>
      </c>
      <c r="BB375" s="1097">
        <f>(AM375*(1+$FB$9)+$FB$35)*(1+(INDEX(绊状态确认!$T:$T,MATCH($G375,绊状态确认!$B:$B,))+0.2)*AO375)*IF(J375=$FF$17,1+$FE$17,1)*IF(I375=$FF$14,1+$FE$14,1)*(1+$FE$15)</f>
        <v>8548.4686420120015</v>
      </c>
      <c r="BC375" s="1097">
        <f>(AN375*(1+$FB$10)+$FB$36)*(1+(INDEX(绊状态确认!$T:$T,MATCH($G375,绊状态确认!$B:$B,))+0.2)*AO375)*IF(J375=$FF$17,1+$FE$17,1)*IF(I375=$FF$14,1+$FE$14,1)*(1+$FE$15)</f>
        <v>11740.426973339998</v>
      </c>
      <c r="BD375" s="1104">
        <f>MIN(AT375*0.15+BC375*0.00003+INDEX(绊状态确认!M:M,MATCH($G375,绊状态确认!$B:$B,)),1)</f>
        <v>0.38221280920019995</v>
      </c>
      <c r="BE375" s="432">
        <f>(INDEX(绊状态确认!$N:$N,MATCH($G375,绊状态确认!$B:$B,))+1.5)</f>
        <v>1.9</v>
      </c>
      <c r="BF375" s="1139">
        <f t="array" ref="BF375">SUMPRODUCT(IF(AZ375*AP375*$FI$16:$FI$23*$FA$22&gt;=$FI$24,$FI$24,AZ375*AP375*$FI$16:$FI$23*$FA$22),$FJ$16:$FJ$23)</f>
        <v>35068.757792903649</v>
      </c>
      <c r="BG375" s="1125">
        <f t="array" ref="BG375">SUMPRODUCT(IF(BE375*AZ375*AP375*$FI$16:$FI$23*$FA$22&gt;=$FI$24,$FI$24,BE375*AZ375*AP375*$FI$16:$FI$23*$FA$22),$FJ$16:$FJ$23)</f>
        <v>58887.359445509297</v>
      </c>
      <c r="BH375" s="1110">
        <f t="shared" si="456"/>
        <v>14724.177480588862</v>
      </c>
      <c r="BI375" s="1111">
        <f>IF(O375="vo",$EW$26/$EW$24*0.05,0)+IF(O375="sk",-$EW$26/$EW$24*(0.05-INDEX(绊状态确认!W:W,MATCH($G375,绊状态确认!$B:$B,)))+0.05*$EW$28,0)+IF(O375="sp",0.05*$EW$32*$EW$30*(1-$EW$33)-(0.05-INDEX(绊状态确认!V:V,MATCH($G375,绊状态确认!$B:$B,)))*$EW$28,0)+IF(O375="gd",-(0.05-INDEX(绊状态确认!X:X,MATCH($G375,绊状态确认!$B:$B,)))*$EW$32*$EW$30*(1-$EW$33),0)</f>
        <v>7726.3029277443748</v>
      </c>
      <c r="BJ375" s="1097">
        <f>IF(O375="vo",0.05*(1-$FI$26)*$FA$24,0)+IF(O375="sk",-(0.05-INDEX(绊状态确认!W:W,MATCH($G375,绊状态确认!$B:$B,)))*(1-$FI$26)*$FA$24+0.05*$FA$26,0)+IF(O375="sp",0.05*$FA$32*$FA$27*(1-$FA$33)/$FA$30+0.05*$FA$29/$FA$69*$FA$27*(1-$FA$33)-(0.05-INDEX(绊状态确认!V:V,MATCH($G375,绊状态确认!$B:$B,)))*$FA$26,0)+IF(O375="gd",-(0.05-INDEX(绊状态确认!X:X,MATCH($G375,绊状态确认!$B:$B,)))*$FA$32*$FA$27*(1-$FA$33)/$FA$30-(0.05-INDEX(绊状态确认!X:X,MATCH($G375,绊状态确认!$B:$B,)))*$FA$29/$FA$69*$FA$27*(1-$FA$33),0)</f>
        <v>393.93433687500004</v>
      </c>
      <c r="BK375" s="1110">
        <f>IF(O375="vo",$EW$26/$EW$24*0.05+$EW$26*(-HP($EW$62,$EW$65,$EW$64)+HP($EW$62,$EW$65,(1.05-INDEX(绊状态确认!U:U,MATCH($G375,绊状态确认!$B:$B,)))*$EW$64)),0)+IF(O375="sk",-$EW$26/$EW$24*(0.05-INDEX(绊状态确认!W:W,MATCH($G375,绊状态确认!$B:$B,)))+0.05*$EW$29,0)+IF(O375="sp",0.05*$EW$32*$EW$30*(1-$EW$33)-(0.05-INDEX(绊状态确认!V:V,MATCH($G375,绊状态确认!$B:$B,)))*$EW$29,0)+IF(O375="gd",-(0.05-INDEX(绊状态确认!X:X,MATCH($G375,绊状态确认!$B:$B,)))*$EW$32*$EW$30*(1-$EW$33)+$EW$26*(-HP($EW$62,$EW$65,$EW$64)+HP($EW$62,$EW$65,0.95*$EW$64)),0)</f>
        <v>6421.6344775026746</v>
      </c>
      <c r="BL375" s="1111">
        <f t="shared" si="457"/>
        <v>-1083.3333333333333</v>
      </c>
      <c r="BM375" s="1110">
        <f t="shared" si="458"/>
        <v>-830.55555555555543</v>
      </c>
      <c r="BN375" s="1113">
        <f t="shared" si="459"/>
        <v>3</v>
      </c>
      <c r="BO375" s="1108">
        <f t="shared" si="460"/>
        <v>4507.7214871259994</v>
      </c>
      <c r="BP375" s="1100">
        <f t="shared" si="461"/>
        <v>221.34103209030098</v>
      </c>
      <c r="BQ375" s="1113" t="s">
        <v>134</v>
      </c>
      <c r="BR375" s="1124" t="s">
        <v>166</v>
      </c>
      <c r="BS375" s="1098">
        <f>IF($P375="","N/A",IF($P375=-1,INDEX('卡片raw data'!AX:AX,MATCH($D375,'卡片raw data'!$F:$F,)),0)+IF($L375="party卡",IF($P375=5,INDEX('卡片raw data'!BD:BD,MATCH($D375,'卡片raw data'!$F:$F,)),IF($P375&gt;=3,INDEX('卡片raw data'!BC:BC,MATCH($D375,'卡片raw data'!$F:$F,)),INDEX('卡片raw data'!BB:BB,MATCH($D375,'卡片raw data'!$F:$F,)))),IF(OR(AND($F375="UR",$P375=0),AND($F375="SR",$P375&gt;=0,$P375&lt;=2),AND($F375="R",$P375&gt;=0,$P375&lt;4)),INDEX('卡片raw data'!AZ:AZ,MATCH($D375,'卡片raw data'!$F:$F,)),0)+IF(OR(AND($F375="UR",$P375&gt;=1,$P375&lt;=4),AND($F375="SR",$P375&lt;=4,$P375&gt;=3),AND($F375="R",$P375=4)),INDEX('卡片raw data'!BA:BA,MATCH($D375,'卡片raw data'!$F:$F,)),0)+IF($P375=5,INDEX('卡片raw data'!BB:BB,MATCH($D375,'卡片raw data'!$F:$F,)),0)))</f>
        <v>7.0000000000000007E-2</v>
      </c>
      <c r="BT375" s="1101">
        <f t="shared" si="462"/>
        <v>369.40392085724579</v>
      </c>
      <c r="BU375" s="1097">
        <f t="shared" si="463"/>
        <v>32.530738241114328</v>
      </c>
      <c r="BV375" s="1097">
        <f t="shared" si="464"/>
        <v>0</v>
      </c>
      <c r="BW375" s="1112">
        <f t="shared" si="465"/>
        <v>0</v>
      </c>
      <c r="BX375" s="1100">
        <f t="shared" si="466"/>
        <v>369.40392085724579</v>
      </c>
      <c r="BY375" s="1110">
        <f t="shared" si="467"/>
        <v>0</v>
      </c>
      <c r="BZ375" s="1113" t="s">
        <v>569</v>
      </c>
      <c r="CA375" s="1124"/>
      <c r="CB375" s="1098">
        <f>IF($P375="","N/A",IF($P375=-1,INDEX('卡片raw data'!BE:BE,MATCH($D375,'卡片raw data'!$F:$F,)),0)+IF($L375="party卡",IF($P375=5,INDEX('卡片raw data'!BK:BK,MATCH($D375,'卡片raw data'!$F:$F,)),IF($P375&gt;=3,INDEX('卡片raw data'!BJ:BJ,MATCH($D375,'卡片raw data'!$F:$F,)),INDEX('卡片raw data'!BI:BI,MATCH($D375,'卡片raw data'!$F:$F,)))),IF(OR(AND($F375="UR",$P375=0),AND($F375="SR",$P375&gt;=0,$P375&lt;=2),AND($F375="R",$P375&gt;=0,$P375&lt;4)),INDEX('卡片raw data'!BG:BG,MATCH($D375,'卡片raw data'!$F:$F,)),0)+IF(OR(AND($F375="UR",$P375&gt;=1,$P375&lt;=4),AND($F375="SR",$P375&lt;=4,$P375&gt;=3),AND($F375="R",$P375=4)),INDEX('卡片raw data'!BH:BH,MATCH($D375,'卡片raw data'!$F:$F,)),0)+IF($P375=5,INDEX('卡片raw data'!BI:BI,MATCH($D375,'卡片raw data'!$F:$F,)),0)))</f>
        <v>0</v>
      </c>
      <c r="CC375" s="1101">
        <f t="shared" si="468"/>
        <v>0</v>
      </c>
      <c r="CD375" s="1097">
        <f>IF(BZ375="ap",CB375*(1-$FI$26)*$FB$5/$FB$11*(+IF(CA375="全员",$FA$24,0)+IF(CA375="同作战",$FA$24,0)+IF(CA375="仲间",$FA$24*2/3,0)+IF(CA375="同属性",$FA$24*$FA$37/3,0)+IF(CA375="同年级",$FA$24*$FA$40/3,0)+IF(CA375="同学校",$FA$24*$FA$43/3,0)+IF(CA375="同小队",$FA$24*$FA$46/3,0)+IF(CA375="同type",$FA$24*INDEX($FB$49:$FB$52,MATCH(X375,$FA$49:$FA$52,))/3,0)+IF(CA375="自身",#REF!/3,0)),0)+IF(BZ375="te",CB375*(1-$FI$27)*($FA$20-1)*$FB$7/$FB$13*(+IF(CA375="全员",$FA$19*$FA$24/(1+($FA$20-1)*$FA$19),0)+IF(CA375="同作战",$FA$19*$FA$24/(1+($FA$20-1)*$FA$19),0)+IF(CA375="仲间",$FA$19*$FA$24*2/3/(1+($FA$20-1)*$FA$19),0)+IF(CA375="同属性",$FA$19*$FA$24*$FA$37/3/(1+($FA$20-1)*$FA$19),0)+IF(CA375="同年级",$FA$19*$FA$24*$FA$40/3/(1+($FA$20-1)*$FA$19),0)+IF(CA375="同学校",$FA$19*$FA$24*$FA$43/3/(1+($FA$20-1)*$FA$19),0)+IF(CA375="同小队",$FA$19*$FA$24*$FA$46/3/(1+($FA$20-1)*$FA$19),0)+IF(CA375="同type",$FA$19*$FA$24*INDEX($FB$49:$FB$52,MATCH(X375,$FA$49:$FA$52,))/3/(1+($FA$20-1)*$FA$19),0)+IF(CA375="自身",$FA$19*#REF!/3/(1+(BH375-1)*$BD375),0)),0)</f>
        <v>0</v>
      </c>
      <c r="CE375" s="1097">
        <f t="shared" si="469"/>
        <v>0</v>
      </c>
      <c r="CF375" s="1112">
        <f t="shared" si="470"/>
        <v>0</v>
      </c>
      <c r="CG375" s="1100">
        <f t="shared" si="471"/>
        <v>0</v>
      </c>
      <c r="CH375" s="1110">
        <f t="shared" si="472"/>
        <v>0</v>
      </c>
      <c r="CI375" s="1113" t="s">
        <v>162</v>
      </c>
      <c r="CJ375" s="1114">
        <v>1</v>
      </c>
      <c r="CK375" s="1115" t="s">
        <v>545</v>
      </c>
      <c r="CL375" s="1115" t="s">
        <v>1940</v>
      </c>
      <c r="CM375" s="1119">
        <v>0.75</v>
      </c>
      <c r="CN375" s="1115"/>
      <c r="CO375" s="1115">
        <v>1</v>
      </c>
      <c r="CP375" s="1116">
        <f t="shared" si="473"/>
        <v>81.776423639276771</v>
      </c>
      <c r="CQ375" s="1116">
        <f t="shared" si="474"/>
        <v>114.60378363693999</v>
      </c>
      <c r="CR375" s="1117">
        <f t="shared" si="475"/>
        <v>81.776423639276771</v>
      </c>
      <c r="CS375" s="1118">
        <f t="shared" si="476"/>
        <v>0</v>
      </c>
      <c r="CT375" s="1109">
        <f t="shared" si="477"/>
        <v>0</v>
      </c>
      <c r="CU375" s="1101">
        <f t="shared" si="478"/>
        <v>89.95406600320446</v>
      </c>
      <c r="CV375" s="1108">
        <f t="shared" si="479"/>
        <v>114.60378363693999</v>
      </c>
      <c r="CW375" s="1097">
        <f t="shared" si="480"/>
        <v>89.95406600320446</v>
      </c>
      <c r="CX375" s="1097">
        <f t="shared" si="481"/>
        <v>89.95406600320446</v>
      </c>
      <c r="CY375" s="1110">
        <f t="shared" si="482"/>
        <v>89.95406600320446</v>
      </c>
      <c r="CZ375" s="437"/>
      <c r="DA375" s="438"/>
      <c r="DB375" s="439" t="s">
        <v>569</v>
      </c>
      <c r="DC375" s="439"/>
      <c r="DD375" s="443"/>
      <c r="DE375" s="411"/>
      <c r="DF375" s="411"/>
      <c r="DG375" s="1116">
        <f t="shared" si="483"/>
        <v>0</v>
      </c>
      <c r="DH375" s="1116">
        <f t="shared" si="484"/>
        <v>0</v>
      </c>
      <c r="DI375" s="1116">
        <f t="shared" si="485"/>
        <v>0</v>
      </c>
      <c r="DJ375" s="442">
        <f t="shared" si="486"/>
        <v>0</v>
      </c>
      <c r="DK375" s="1109">
        <f t="shared" si="487"/>
        <v>0</v>
      </c>
      <c r="DL375" s="1101">
        <f t="shared" si="488"/>
        <v>0</v>
      </c>
      <c r="DM375" s="1097">
        <f t="shared" si="489"/>
        <v>0</v>
      </c>
      <c r="DN375" s="1097">
        <f t="shared" si="490"/>
        <v>0</v>
      </c>
      <c r="DO375" s="1097">
        <f t="shared" si="491"/>
        <v>0</v>
      </c>
      <c r="DP375" s="1110">
        <f t="shared" si="492"/>
        <v>0</v>
      </c>
      <c r="DQ375" s="1113" t="s">
        <v>256</v>
      </c>
      <c r="DR375" s="1120">
        <f t="shared" si="493"/>
        <v>0.3</v>
      </c>
      <c r="DS375" s="1124"/>
      <c r="DT375" s="1093" t="s">
        <v>132</v>
      </c>
      <c r="DU375" s="1093"/>
      <c r="DV375" s="1098">
        <f>IF($P375="","N/A",IF(P375=-1,INDEX('卡片raw data'!AN:AN,MATCH(D375,'卡片raw data'!$F:$F,)),0)+IF(AND(L375&lt;&gt;"party卡",P375&lt;=2,P375&gt;=0),INDEX('卡片raw data'!AP:AP,MATCH(D375,'卡片raw data'!$F:$F,)),0)+IF(OR(AND(L375="party卡",P375&lt;=1),AND(P375&lt;=4,L375&lt;&gt;"party卡",P375&gt;=3)),INDEX('卡片raw data'!AQ:AQ,MATCH(D375,'卡片raw data'!$F:$F,)),0)+IF(OR(P375=5,AND(L375="party卡",P375&gt;=2)),INDEX('卡片raw data'!AR:AR,MATCH(D375,'卡片raw data'!$F:$F,)),0))</f>
        <v>0.22</v>
      </c>
      <c r="DW375" s="1098">
        <f t="shared" si="494"/>
        <v>0.3</v>
      </c>
      <c r="DX375" s="1098">
        <f t="shared" si="495"/>
        <v>0.3</v>
      </c>
      <c r="DY375" s="1097">
        <f t="shared" si="496"/>
        <v>516.65925089019993</v>
      </c>
      <c r="DZ375" s="1097">
        <f t="shared" si="497"/>
        <v>402.62953894356332</v>
      </c>
      <c r="EA375" s="1098">
        <f t="shared" si="498"/>
        <v>0</v>
      </c>
      <c r="EB375" s="1121">
        <f t="shared" si="499"/>
        <v>0</v>
      </c>
      <c r="EC375" s="1101">
        <f t="shared" si="500"/>
        <v>738.82272877298601</v>
      </c>
      <c r="ED375" s="1097">
        <f t="shared" si="501"/>
        <v>0</v>
      </c>
      <c r="EE375" s="1110">
        <f t="shared" si="513"/>
        <v>738.82272877298601</v>
      </c>
      <c r="EF375" s="1115" t="s">
        <v>569</v>
      </c>
      <c r="EG375" s="1120">
        <f t="shared" si="503"/>
        <v>0.3</v>
      </c>
      <c r="EH375" s="1124"/>
      <c r="EI375" s="1093"/>
      <c r="EJ375" s="1093"/>
      <c r="EK375" s="1097">
        <f>IF($P375="","N/A",IF(P375=-1,INDEX('卡片raw data'!AS:AS,MATCH(D375,'卡片raw data'!$F:$F,)),0)+IF(AND(L375&lt;&gt;"party卡",P375&lt;=2,P375&gt;=0),INDEX('卡片raw data'!AU:AU,MATCH(D375,'卡片raw data'!$F:$F,)),0)+IF(OR(AND(L375="party卡",P375&lt;=1),AND(P375&lt;=4,L375&lt;&gt;"party卡",P375&gt;=3)),INDEX('卡片raw data'!AV:AV,MATCH(D375,'卡片raw data'!$F:$F,)),0)+IF(OR(P375=5,AND(L375="party卡",P375&gt;=2)),INDEX('卡片raw data'!AW:AW,MATCH(D375,'卡片raw data'!$F:$F,)),0))</f>
        <v>0</v>
      </c>
      <c r="EL375" s="1098">
        <f t="shared" si="504"/>
        <v>0.3</v>
      </c>
      <c r="EM375" s="1098">
        <f t="shared" si="505"/>
        <v>0.3</v>
      </c>
      <c r="EN375" s="1097">
        <f t="shared" si="506"/>
        <v>0</v>
      </c>
      <c r="EO375" s="1097">
        <f t="shared" si="507"/>
        <v>0</v>
      </c>
      <c r="EP375" s="1098">
        <f t="shared" si="508"/>
        <v>0</v>
      </c>
      <c r="EQ375" s="1121">
        <f t="shared" si="509"/>
        <v>0</v>
      </c>
      <c r="ER375" s="1101">
        <f t="shared" si="510"/>
        <v>0</v>
      </c>
      <c r="ES375" s="1097">
        <f t="shared" si="511"/>
        <v>0</v>
      </c>
      <c r="ET375" s="1122">
        <f t="shared" si="514"/>
        <v>0</v>
      </c>
    </row>
    <row r="376" spans="2:150" ht="16.5" customHeight="1">
      <c r="B376" s="1123" t="str">
        <f>INDEX('卡片raw data'!B:B,MATCH($D376,'卡片raw data'!$F:$F,))</f>
        <v>fes2绘</v>
      </c>
      <c r="C376" s="449" t="s">
        <v>660</v>
      </c>
      <c r="D376" s="408">
        <v>373</v>
      </c>
      <c r="E376" s="477">
        <v>200023002</v>
      </c>
      <c r="F376" s="1090" t="str">
        <f>INDEX('卡片raw data'!C:C,MATCH($D376,'卡片raw data'!$F:$F,))</f>
        <v>UR</v>
      </c>
      <c r="G376" s="1094" t="s">
        <v>1831</v>
      </c>
      <c r="H376" s="411">
        <f>IFERROR(INDEX(绊状态确认!C:C,MATCH($G376,绊状态确认!$B:$B,)),"")</f>
        <v>2</v>
      </c>
      <c r="I376" s="450" t="str">
        <f>IFERROR(INDEX(绊状态确认!D:D,MATCH($G376,绊状态确认!$B:$B,)),"")</f>
        <v>缪</v>
      </c>
      <c r="J376" s="450" t="str">
        <f>IFERROR(INDEX(绊状态确认!E:E,MATCH($G376,绊状态确认!$B:$B,)),"")</f>
        <v>3年级</v>
      </c>
      <c r="K376" s="451" t="str">
        <f>IFERROR(INDEX(绊状态确认!F:F,MATCH($G376,绊状态确认!$B:$B,)),"")</f>
        <v>BiBi</v>
      </c>
      <c r="L376" s="1094" t="str">
        <f>INDEX('卡片raw data'!E:E,MATCH($D376,'卡片raw data'!$F:$F,))</f>
        <v>fes卡</v>
      </c>
      <c r="M376" s="478">
        <v>44191</v>
      </c>
      <c r="N376" s="479">
        <v>30.5</v>
      </c>
      <c r="O376" s="1091" t="str">
        <f>INDEX('卡片raw data'!D:D,MATCH($D376,'卡片raw data'!$F:$F,))</f>
        <v>sk</v>
      </c>
      <c r="P376" s="1126">
        <v>5</v>
      </c>
      <c r="Q376" s="1095">
        <f t="shared" si="428"/>
        <v>52821.262327094839</v>
      </c>
      <c r="R376" s="1096">
        <f t="shared" si="429"/>
        <v>0.61399999999999999</v>
      </c>
      <c r="S376" s="1097">
        <f t="shared" si="430"/>
        <v>20344.381493475077</v>
      </c>
      <c r="T376" s="1098">
        <f t="shared" si="431"/>
        <v>1.0169999999999999</v>
      </c>
      <c r="U376" s="1099">
        <f t="shared" si="432"/>
        <v>1258.0630546080695</v>
      </c>
      <c r="V376" s="1100">
        <f t="shared" si="433"/>
        <v>104567.44631411083</v>
      </c>
      <c r="W376" s="1101">
        <f t="shared" si="434"/>
        <v>6010.2953161679998</v>
      </c>
      <c r="X376" s="1096">
        <f t="shared" si="435"/>
        <v>6.9000000000000006E-2</v>
      </c>
      <c r="Y376" s="1097">
        <f t="shared" si="436"/>
        <v>1311.1528973922505</v>
      </c>
      <c r="Z376" s="1102">
        <f t="shared" si="437"/>
        <v>16.291013492742859</v>
      </c>
      <c r="AA376" s="1103">
        <f t="shared" si="438"/>
        <v>7321.4482135602502</v>
      </c>
      <c r="AB376" s="1101">
        <f t="shared" si="439"/>
        <v>11269.303717815001</v>
      </c>
      <c r="AC376" s="1104">
        <f t="shared" si="440"/>
        <v>0.13100000000000001</v>
      </c>
      <c r="AD376" s="1105">
        <f t="shared" si="441"/>
        <v>2.1769318181818181E-2</v>
      </c>
      <c r="AE376" s="1128">
        <f t="shared" si="442"/>
        <v>11.953757704745847</v>
      </c>
      <c r="AF376" s="1130">
        <f t="shared" si="443"/>
        <v>14018.612427874743</v>
      </c>
      <c r="AG376" s="420">
        <f t="shared" si="444"/>
        <v>101227.52907344</v>
      </c>
      <c r="AH376" s="420">
        <f t="shared" si="445"/>
        <v>7.2209378491810083</v>
      </c>
      <c r="AI376" s="1097">
        <f t="shared" si="446"/>
        <v>119720.71255046777</v>
      </c>
      <c r="AJ376" s="420">
        <f t="shared" si="447"/>
        <v>104567.44631411083</v>
      </c>
      <c r="AK376" s="518">
        <f t="shared" si="448"/>
        <v>15153.26623635694</v>
      </c>
      <c r="AL376" s="1106">
        <f>IF($P376="","N/A",(IF($P376=-1,INDEX('卡片raw data'!S:S,MATCH($D376,'卡片raw data'!$F:$F,)),0)+IF($P376=0,INDEX('卡片raw data'!V:V,MATCH($D376,'卡片raw data'!$F:$F,)),0)+IF($P376=1,INDEX('卡片raw data'!Y:Y,MATCH($D376,'卡片raw data'!$F:$F,)),0)+IF($P376=2,INDEX('卡片raw data'!AB:AB,MATCH($D376,'卡片raw data'!$F:$F,)),0)+IF($P376=3,INDEX('卡片raw data'!AE:AE,MATCH($D376,'卡片raw data'!$F:$F,)),0)+IF($P376=4,INDEX('卡片raw data'!AH:AH,MATCH($D376,'卡片raw data'!$F:$F,)),0)+IF($P376=5,INDEX('卡片raw data'!AK:AK,MATCH($D376,'卡片raw data'!$F:$F,)),0)+INDEX('卡片raw data'!S:S,MATCH($D376,'卡片raw data'!$F:$F,))*(IF($F376="UR",0.04,0.033))*(IF($F376="UR",INDEX(绊状态确认!$S:$S,MATCH($G376,绊状态确认!$B:$B,))/2-40)+IF($F376="SR",INDEX(绊状态确认!$R:$R,MATCH($G376,绊状态确认!$B:$B,))/4-15))+IF($F376="R",INDEX(绊状态确认!$Q:$Q,MATCH($G376,绊状态确认!$B:$B,))/6-40/6)))*(INDEX(绊状态确认!$H:$H,MATCH($G376,绊状态确认!$B:$B,))+INDEX(绊状态确认!J:J,MATCH($G376,绊状态确认!$B:$B,)))</f>
        <v>14655.014399999998</v>
      </c>
      <c r="AM376" s="1106">
        <f>IF($P376="","N/A",(IF($P376=-1,INDEX('卡片raw data'!T:T,MATCH($D376,'卡片raw data'!$F:$F,)),0)+IF($P376=0,INDEX('卡片raw data'!W:W,MATCH($D376,'卡片raw data'!$F:$F,)),0)+IF($P376=1,INDEX('卡片raw data'!Z:Z,MATCH($D376,'卡片raw data'!$F:$F,)),0)+IF($P376=2,INDEX('卡片raw data'!AC:AC,MATCH($D376,'卡片raw data'!$F:$F,)),0)+IF($P376=3,INDEX('卡片raw data'!AF:AF,MATCH($D376,'卡片raw data'!$F:$F,)),0)+IF($P376=4,INDEX('卡片raw data'!AI:AI,MATCH($D376,'卡片raw data'!$F:$F,)),0)+IF($P376=5,INDEX('卡片raw data'!AL:AL,MATCH($D376,'卡片raw data'!$F:$F,)),0)+INDEX('卡片raw data'!T:T,MATCH($D376,'卡片raw data'!$F:$F,))*(IF($F376="UR",0.04,0.033))*(IF($F376="UR",INDEX(绊状态确认!$S:$S,MATCH($G376,绊状态确认!$B:$B,))/2-40)+IF($F376="SR",INDEX(绊状态确认!$R:$R,MATCH($G376,绊状态确认!$B:$B,))/4-15))+IF($F376="R",INDEX(绊状态确认!$Q:$Q,MATCH($G376,绊状态确认!$B:$B,))/6-40/6)))*(INDEX(绊状态确认!$H:$H,MATCH($G376,绊状态确认!$B:$B,))+INDEX(绊状态确认!K:K,MATCH($G376,绊状态确认!$B:$B,)))</f>
        <v>9158.202143999999</v>
      </c>
      <c r="AN376" s="1106">
        <f>IF($P376="","N/A",(IF($P376=-1,INDEX('卡片raw data'!U:U,MATCH($D376,'卡片raw data'!$F:$F,)),0)+IF($P376=0,INDEX('卡片raw data'!X:X,MATCH($D376,'卡片raw data'!$F:$F,)),0)+IF($P376=1,INDEX('卡片raw data'!AA:AA,MATCH($D376,'卡片raw data'!$F:$F,)),0)+IF($P376=2,INDEX('卡片raw data'!AD:AD,MATCH($D376,'卡片raw data'!$F:$F,)),0)+IF($P376=3,INDEX('卡片raw data'!AG:AG,MATCH($D376,'卡片raw data'!$F:$F,)),0)+IF($P376=4,INDEX('卡片raw data'!AJ:AJ,MATCH($D376,'卡片raw data'!$F:$F,)),0)+IF($P376=5,INDEX('卡片raw data'!AM:AM,MATCH($D376,'卡片raw data'!$F:$F,)),0)+INDEX('卡片raw data'!U:U,MATCH($D376,'卡片raw data'!$F:$F,))*(IF($F376="UR",0.04,0.033))*(IF($F376="UR",INDEX(绊状态确认!$S:$S,MATCH($G376,绊状态确认!$B:$B,))/2-40)+IF($F376="SR",INDEX(绊状态确认!$R:$R,MATCH($G376,绊状态确认!$B:$B,))/4-15))+IF($F376="R",INDEX(绊状态确认!$Q:$Q,MATCH($G376,绊状态确认!$B:$B,))/6-40/6)))*(INDEX(绊状态确认!$H:$H,MATCH($G376,绊状态确认!$B:$B,))+INDEX(绊状态确认!L:L,MATCH($G376,绊状态确认!$B:$B,)))</f>
        <v>12821.955743999997</v>
      </c>
      <c r="AO376" s="1107">
        <f t="shared" si="449"/>
        <v>1</v>
      </c>
      <c r="AP376" s="1131">
        <f>1+(INDEX(绊状态确认!$T:$T,MATCH($G376,绊状态确认!$B:$B,))+0.2)*$AO376</f>
        <v>1.3</v>
      </c>
      <c r="AQ376" s="1108">
        <f t="shared" si="450"/>
        <v>41719.412799999991</v>
      </c>
      <c r="AR376" s="1097">
        <f>(AM376*(1+$EX$9)+$EX$35)*(1+(INDEX(绊状态确认!$T:$T,MATCH($G376,绊状态确认!$B:$B,))+0.2)*AO376)*IF(J376=$FF$17,1+$FE$17,1)*IF(I376=$FF$14,1+$FE$14,1)</f>
        <v>15204.94592656</v>
      </c>
      <c r="AS376" s="1097">
        <f>(AN376*(1+$EX$10)+$EX$36)*(1+(INDEX(绊状态确认!$T:$T,MATCH($G376,绊状态确认!$B:$B,))+0.2)*AO376)*IF(J376=$FF$17,1+$FE$17,1)*IF(I376=$FF$14,1+$FE$14,1)</f>
        <v>23224.823837279997</v>
      </c>
      <c r="AT376" s="1093">
        <f>IF(AND(INDEX('卡片raw data'!AK:AK,MATCH($D376,'卡片raw data'!$F:$F,))&lt;INDEX('卡片raw data'!AM:AM,MATCH($D376,'卡片raw data'!$F:$F,)),INDEX('卡片raw data'!AL:AL,MATCH($D376,'卡片raw data'!$F:$F,))&lt;INDEX('卡片raw data'!AM:AM,MATCH($D376,'卡片raw data'!$F:$F,))),1,0)</f>
        <v>0</v>
      </c>
      <c r="AU376" s="1098">
        <f>MIN(AT376*0.15+AS376*0.00003+INDEX(绊状态确认!M:M,MATCH($G376,绊状态确认!$B:$B,)),1)</f>
        <v>0.7267447151184</v>
      </c>
      <c r="AV376" s="1109">
        <f>(INDEX(绊状态确认!$N:$N,MATCH($G376,绊状态确认!$B:$B,))+1.5)*$EW$21</f>
        <v>2.6599999999999997</v>
      </c>
      <c r="AW376" s="1101">
        <f t="shared" si="451"/>
        <v>47805.63124424978</v>
      </c>
      <c r="AX376" s="1097">
        <f t="shared" si="452"/>
        <v>1311.15289739225</v>
      </c>
      <c r="AY376" s="1110">
        <f t="shared" si="453"/>
        <v>49116.784141642027</v>
      </c>
      <c r="AZ376" s="429">
        <f t="shared" si="454"/>
        <v>31177.278079999996</v>
      </c>
      <c r="BA376" s="431">
        <f t="shared" si="455"/>
        <v>37412.733695999996</v>
      </c>
      <c r="BB376" s="1097">
        <f>(AM376*(1+$FB$9)+$FB$35)*(1+(INDEX(绊状态确认!$T:$T,MATCH($G376,绊状态确认!$B:$B,))+0.2)*AO376)*IF(J376=$FF$17,1+$FE$17,1)*IF(I376=$FF$14,1+$FE$14,1)*(1+$FE$15)</f>
        <v>15204.94592656</v>
      </c>
      <c r="BC376" s="1097">
        <f>(AN376*(1+$FB$10)+$FB$36)*(1+(INDEX(绊状态确认!$T:$T,MATCH($G376,绊状态确认!$B:$B,))+0.2)*AO376)*IF(J376=$FF$17,1+$FE$17,1)*IF(I376=$FF$14,1+$FE$14,1)*(1+$FE$15)</f>
        <v>23224.823837279997</v>
      </c>
      <c r="BD376" s="1104">
        <f>MIN(AT376*0.15+BC376*0.00003+INDEX(绊状态确认!M:M,MATCH($G376,绊状态确认!$B:$B,)),1)</f>
        <v>0.7267447151184</v>
      </c>
      <c r="BE376" s="432">
        <f>(INDEX(绊状态确认!$N:$N,MATCH($G376,绊状态确认!$B:$B,))+1.5)</f>
        <v>1.9</v>
      </c>
      <c r="BF376" s="1139">
        <f t="array" ref="BF376">SUMPRODUCT(IF(AZ376*AP376*$FI$16:$FI$23*$FA$22&gt;=$FI$24,$FI$24,AZ376*AP376*$FI$16:$FI$23*$FA$22),$FJ$16:$FJ$23)</f>
        <v>57481.144597120001</v>
      </c>
      <c r="BG376" s="1125">
        <f t="array" ref="BG376">SUMPRODUCT(IF(BE376*AZ376*AP376*$FI$16:$FI$23*$FA$22&gt;=$FI$24,$FI$24,BE376*AZ376*AP376*$FI$16:$FI$23*$FA$22),$FJ$16:$FJ$23)</f>
        <v>60000</v>
      </c>
      <c r="BH376" s="1110">
        <f t="shared" si="456"/>
        <v>19770.569816436822</v>
      </c>
      <c r="BI376" s="1111">
        <f>IF(O376="vo",$EW$26/$EW$24*0.05,0)+IF(O376="sk",-$EW$26/$EW$24*(0.05-INDEX(绊状态确认!W:W,MATCH($G376,绊状态确认!$B:$B,)))+0.05*$EW$28,0)+IF(O376="sp",0.05*$EW$32*$EW$30*(1-$EW$33)-(0.05-INDEX(绊状态确认!V:V,MATCH($G376,绊状态确认!$B:$B,)))*$EW$28,0)+IF(O376="gd",-(0.05-INDEX(绊状态确认!X:X,MATCH($G376,绊状态确认!$B:$B,)))*$EW$32*$EW$30*(1-$EW$33),0)</f>
        <v>-6253.6726349699375</v>
      </c>
      <c r="BJ376" s="1097">
        <f>IF(O376="vo",0.05*(1-$FI$26)*$FA$24,0)+IF(O376="sk",-(0.05-INDEX(绊状态确认!W:W,MATCH($G376,绊状态确认!$B:$B,)))*(1-$FI$26)*$FA$24+0.05*$FA$26,0)+IF(O376="sp",0.05*$FA$32*$FA$27*(1-$FA$33)/$FA$30+0.05*$FA$29/$FA$69*$FA$27*(1-$FA$33)-(0.05-INDEX(绊状态确认!V:V,MATCH($G376,绊状态确认!$B:$B,)))*$FA$26,0)+IF(O376="gd",-(0.05-INDEX(绊状态确认!X:X,MATCH($G376,绊状态确认!$B:$B,)))*$FA$32*$FA$27*(1-$FA$33)/$FA$30-(0.05-INDEX(绊状态确认!X:X,MATCH($G376,绊状态确认!$B:$B,)))*$FA$29/$FA$69*$FA$27*(1-$FA$33),0)</f>
        <v>20.459096812499922</v>
      </c>
      <c r="BK376" s="1110">
        <f>IF(O376="vo",$EW$26/$EW$24*0.05+$EW$26*(-HP($EW$62,$EW$65,$EW$64)+HP($EW$62,$EW$65,(1.05-INDEX(绊状态确认!U:U,MATCH($G376,绊状态确认!$B:$B,)))*$EW$64)),0)+IF(O376="sk",-$EW$26/$EW$24*(0.05-INDEX(绊状态确认!W:W,MATCH($G376,绊状态确认!$B:$B,)))+0.05*$EW$29,0)+IF(O376="sp",0.05*$EW$32*$EW$30*(1-$EW$33)-(0.05-INDEX(绊状态确认!V:V,MATCH($G376,绊状态确认!$B:$B,)))*$EW$29,0)+IF(O376="gd",-(0.05-INDEX(绊状态确认!X:X,MATCH($G376,绊状态确认!$B:$B,)))*$EW$32*$EW$30*(1-$EW$33)+$EW$26*(-HP($EW$62,$EW$65,$EW$64)+HP($EW$62,$EW$65,0.95*$EW$64)),0)</f>
        <v>-4253.6726349699375</v>
      </c>
      <c r="BL376" s="1111">
        <f t="shared" si="457"/>
        <v>0</v>
      </c>
      <c r="BM376" s="1110">
        <f t="shared" si="458"/>
        <v>0</v>
      </c>
      <c r="BN376" s="1113">
        <f t="shared" si="459"/>
        <v>4</v>
      </c>
      <c r="BO376" s="1108">
        <f t="shared" si="460"/>
        <v>6010.2953161679998</v>
      </c>
      <c r="BP376" s="1100">
        <f t="shared" si="461"/>
        <v>295.12137612040135</v>
      </c>
      <c r="BQ376" s="1113" t="s">
        <v>132</v>
      </c>
      <c r="BR376" s="1124" t="s">
        <v>168</v>
      </c>
      <c r="BS376" s="1098">
        <f>IF($P376="","N/A",IF($P376=-1,INDEX('卡片raw data'!AX:AX,MATCH($D376,'卡片raw data'!$F:$F,)),0)+IF($L376="party卡",IF($P376=5,INDEX('卡片raw data'!BD:BD,MATCH($D376,'卡片raw data'!$F:$F,)),IF($P376&gt;=3,INDEX('卡片raw data'!BC:BC,MATCH($D376,'卡片raw data'!$F:$F,)),INDEX('卡片raw data'!BB:BB,MATCH($D376,'卡片raw data'!$F:$F,)))),IF(OR(AND($F376="UR",$P376=0),AND($F376="SR",$P376&gt;=0,$P376&lt;=2),AND($F376="R",$P376&gt;=0,$P376&lt;4)),INDEX('卡片raw data'!AZ:AZ,MATCH($D376,'卡片raw data'!$F:$F,)),0)+IF(OR(AND($F376="UR",$P376&gt;=1,$P376&lt;=4),AND($F376="SR",$P376&lt;=4,$P376&gt;=3),AND($F376="R",$P376=4)),INDEX('卡片raw data'!BA:BA,MATCH($D376,'卡片raw data'!$F:$F,)),0)+IF($P376=5,INDEX('卡片raw data'!BB:BB,MATCH($D376,'卡片raw data'!$F:$F,)),0)))</f>
        <v>7.0000000000000007E-2</v>
      </c>
      <c r="BT376" s="1101">
        <f t="shared" si="462"/>
        <v>5259.008401647</v>
      </c>
      <c r="BU376" s="1097">
        <f t="shared" si="463"/>
        <v>258.2312041053512</v>
      </c>
      <c r="BV376" s="1097">
        <f t="shared" si="464"/>
        <v>0</v>
      </c>
      <c r="BW376" s="1112">
        <f t="shared" si="465"/>
        <v>0</v>
      </c>
      <c r="BX376" s="1100">
        <f t="shared" si="466"/>
        <v>5259.008401647</v>
      </c>
      <c r="BY376" s="1110">
        <f t="shared" si="467"/>
        <v>0</v>
      </c>
      <c r="BZ376" s="1113" t="s">
        <v>569</v>
      </c>
      <c r="CA376" s="1124"/>
      <c r="CB376" s="1098">
        <f>IF($P376="","N/A",IF($P376=-1,INDEX('卡片raw data'!BE:BE,MATCH($D376,'卡片raw data'!$F:$F,)),0)+IF($L376="party卡",IF($P376=5,INDEX('卡片raw data'!BK:BK,MATCH($D376,'卡片raw data'!$F:$F,)),IF($P376&gt;=3,INDEX('卡片raw data'!BJ:BJ,MATCH($D376,'卡片raw data'!$F:$F,)),INDEX('卡片raw data'!BI:BI,MATCH($D376,'卡片raw data'!$F:$F,)))),IF(OR(AND($F376="UR",$P376=0),AND($F376="SR",$P376&gt;=0,$P376&lt;=2),AND($F376="R",$P376&gt;=0,$P376&lt;4)),INDEX('卡片raw data'!BG:BG,MATCH($D376,'卡片raw data'!$F:$F,)),0)+IF(OR(AND($F376="UR",$P376&gt;=1,$P376&lt;=4),AND($F376="SR",$P376&lt;=4,$P376&gt;=3),AND($F376="R",$P376=4)),INDEX('卡片raw data'!BH:BH,MATCH($D376,'卡片raw data'!$F:$F,)),0)+IF($P376=5,INDEX('卡片raw data'!BI:BI,MATCH($D376,'卡片raw data'!$F:$F,)),0)))</f>
        <v>0</v>
      </c>
      <c r="CC376" s="1101">
        <f t="shared" si="468"/>
        <v>0</v>
      </c>
      <c r="CD376" s="1097">
        <f>IF(BZ376="ap",CB376*(1-$FI$26)*$FB$5/$FB$11*(+IF(CA376="全员",$FA$24,0)+IF(CA376="同作战",$FA$24,0)+IF(CA376="仲间",$FA$24*2/3,0)+IF(CA376="同属性",$FA$24*$FA$37/3,0)+IF(CA376="同年级",$FA$24*$FA$40/3,0)+IF(CA376="同学校",$FA$24*$FA$43/3,0)+IF(CA376="同小队",$FA$24*$FA$46/3,0)+IF(CA376="同type",$FA$24*INDEX($FB$49:$FB$52,MATCH(X376,$FA$49:$FA$52,))/3,0)+IF(CA376="自身",#REF!/3,0)),0)+IF(BZ376="te",CB376*(1-$FI$27)*($FA$20-1)*$FB$7/$FB$13*(+IF(CA376="全员",$FA$19*$FA$24/(1+($FA$20-1)*$FA$19),0)+IF(CA376="同作战",$FA$19*$FA$24/(1+($FA$20-1)*$FA$19),0)+IF(CA376="仲间",$FA$19*$FA$24*2/3/(1+($FA$20-1)*$FA$19),0)+IF(CA376="同属性",$FA$19*$FA$24*$FA$37/3/(1+($FA$20-1)*$FA$19),0)+IF(CA376="同年级",$FA$19*$FA$24*$FA$40/3/(1+($FA$20-1)*$FA$19),0)+IF(CA376="同学校",$FA$19*$FA$24*$FA$43/3/(1+($FA$20-1)*$FA$19),0)+IF(CA376="同小队",$FA$19*$FA$24*$FA$46/3/(1+($FA$20-1)*$FA$19),0)+IF(CA376="同type",$FA$19*$FA$24*INDEX($FB$49:$FB$52,MATCH(X376,$FA$49:$FA$52,))/3/(1+($FA$20-1)*$FA$19),0)+IF(CA376="自身",$FA$19*#REF!/3/(1+(BH376-1)*$BD376),0)),0)</f>
        <v>0</v>
      </c>
      <c r="CE376" s="1097">
        <f t="shared" si="469"/>
        <v>0</v>
      </c>
      <c r="CF376" s="1112">
        <f t="shared" si="470"/>
        <v>0</v>
      </c>
      <c r="CG376" s="1100">
        <f t="shared" si="471"/>
        <v>0</v>
      </c>
      <c r="CH376" s="1110">
        <f t="shared" si="472"/>
        <v>0</v>
      </c>
      <c r="CI376" s="1113" t="s">
        <v>173</v>
      </c>
      <c r="CJ376" s="1114">
        <v>1</v>
      </c>
      <c r="CK376" s="1115" t="s">
        <v>635</v>
      </c>
      <c r="CL376" s="1115" t="s">
        <v>1941</v>
      </c>
      <c r="CM376" s="1119">
        <v>0.03</v>
      </c>
      <c r="CN376" s="1115"/>
      <c r="CO376" s="1115"/>
      <c r="CP376" s="1116">
        <f t="shared" si="473"/>
        <v>168.78517983299074</v>
      </c>
      <c r="CQ376" s="1116">
        <f t="shared" si="474"/>
        <v>168.78517983299076</v>
      </c>
      <c r="CR376" s="1117">
        <f t="shared" si="475"/>
        <v>0</v>
      </c>
      <c r="CS376" s="1118">
        <f t="shared" si="476"/>
        <v>0</v>
      </c>
      <c r="CT376" s="1109">
        <f t="shared" si="477"/>
        <v>0</v>
      </c>
      <c r="CU376" s="1101">
        <f t="shared" si="478"/>
        <v>0</v>
      </c>
      <c r="CV376" s="1108">
        <f t="shared" si="479"/>
        <v>0</v>
      </c>
      <c r="CW376" s="1097">
        <f t="shared" si="480"/>
        <v>0</v>
      </c>
      <c r="CX376" s="1097">
        <f t="shared" si="481"/>
        <v>0</v>
      </c>
      <c r="CY376" s="1110">
        <f t="shared" si="482"/>
        <v>0</v>
      </c>
      <c r="CZ376" s="437"/>
      <c r="DA376" s="438"/>
      <c r="DB376" s="439" t="s">
        <v>569</v>
      </c>
      <c r="DC376" s="439"/>
      <c r="DD376" s="443"/>
      <c r="DE376" s="411"/>
      <c r="DF376" s="411"/>
      <c r="DG376" s="1116">
        <f t="shared" si="483"/>
        <v>0</v>
      </c>
      <c r="DH376" s="1116">
        <f t="shared" si="484"/>
        <v>0</v>
      </c>
      <c r="DI376" s="1116">
        <f t="shared" si="485"/>
        <v>0</v>
      </c>
      <c r="DJ376" s="442">
        <f t="shared" si="486"/>
        <v>0</v>
      </c>
      <c r="DK376" s="1109">
        <f t="shared" si="487"/>
        <v>0</v>
      </c>
      <c r="DL376" s="1101">
        <f t="shared" si="488"/>
        <v>0</v>
      </c>
      <c r="DM376" s="1097">
        <f t="shared" si="489"/>
        <v>0</v>
      </c>
      <c r="DN376" s="1097">
        <f t="shared" si="490"/>
        <v>0</v>
      </c>
      <c r="DO376" s="1097">
        <f t="shared" si="491"/>
        <v>0</v>
      </c>
      <c r="DP376" s="1110">
        <f t="shared" si="492"/>
        <v>0</v>
      </c>
      <c r="DQ376" s="1113" t="s">
        <v>636</v>
      </c>
      <c r="DR376" s="1120">
        <f t="shared" si="493"/>
        <v>0.33</v>
      </c>
      <c r="DS376" s="1124"/>
      <c r="DT376" s="1093" t="s">
        <v>134</v>
      </c>
      <c r="DU376" s="1124"/>
      <c r="DV376" s="1098">
        <f>IF($P376="","N/A",IF(P376=-1,INDEX('卡片raw data'!AN:AN,MATCH(D376,'卡片raw data'!$F:$F,)),0)+IF(AND(L376&lt;&gt;"party卡",P376&lt;=2,P376&gt;=0),INDEX('卡片raw data'!AP:AP,MATCH(D376,'卡片raw data'!$F:$F,)),0)+IF(OR(AND(L376="party卡",P376&lt;=1),AND(P376&lt;=4,L376&lt;&gt;"party卡",P376&gt;=3)),INDEX('卡片raw data'!AQ:AQ,MATCH(D376,'卡片raw data'!$F:$F,)),0)+IF(OR(P376=5,AND(L376="party卡",P376&gt;=2)),INDEX('卡片raw data'!AR:AR,MATCH(D376,'卡片raw data'!$F:$F,)),0))</f>
        <v>0.4</v>
      </c>
      <c r="DW376" s="1098">
        <f t="shared" si="494"/>
        <v>0.33</v>
      </c>
      <c r="DX376" s="1098">
        <f t="shared" si="495"/>
        <v>0.33</v>
      </c>
      <c r="DY376" s="1097">
        <f t="shared" si="496"/>
        <v>1021.8922488403199</v>
      </c>
      <c r="DZ376" s="1097">
        <f t="shared" si="497"/>
        <v>883.93679524687673</v>
      </c>
      <c r="EA376" s="1098">
        <f t="shared" si="498"/>
        <v>0</v>
      </c>
      <c r="EB376" s="1121">
        <f t="shared" si="499"/>
        <v>0</v>
      </c>
      <c r="EC376" s="1101">
        <f t="shared" si="500"/>
        <v>0</v>
      </c>
      <c r="ED376" s="1097">
        <f t="shared" si="501"/>
        <v>0</v>
      </c>
      <c r="EE376" s="1110">
        <f t="shared" si="513"/>
        <v>48435.03108962375</v>
      </c>
      <c r="EF376" s="1115" t="s">
        <v>569</v>
      </c>
      <c r="EG376" s="1120">
        <f t="shared" si="503"/>
        <v>0.33</v>
      </c>
      <c r="EH376" s="1124"/>
      <c r="EI376" s="1093"/>
      <c r="EJ376" s="1093"/>
      <c r="EK376" s="1097">
        <f>IF($P376="","N/A",IF(P376=-1,INDEX('卡片raw data'!AS:AS,MATCH(D376,'卡片raw data'!$F:$F,)),0)+IF(AND(L376&lt;&gt;"party卡",P376&lt;=2,P376&gt;=0),INDEX('卡片raw data'!AU:AU,MATCH(D376,'卡片raw data'!$F:$F,)),0)+IF(OR(AND(L376="party卡",P376&lt;=1),AND(P376&lt;=4,L376&lt;&gt;"party卡",P376&gt;=3)),INDEX('卡片raw data'!AV:AV,MATCH(D376,'卡片raw data'!$F:$F,)),0)+IF(OR(P376=5,AND(L376="party卡",P376&gt;=2)),INDEX('卡片raw data'!AW:AW,MATCH(D376,'卡片raw data'!$F:$F,)),0))</f>
        <v>0</v>
      </c>
      <c r="EL376" s="1098">
        <f t="shared" si="504"/>
        <v>0.33</v>
      </c>
      <c r="EM376" s="1098">
        <f t="shared" si="505"/>
        <v>0.33</v>
      </c>
      <c r="EN376" s="1097">
        <f t="shared" si="506"/>
        <v>0</v>
      </c>
      <c r="EO376" s="1097">
        <f t="shared" si="507"/>
        <v>0</v>
      </c>
      <c r="EP376" s="1098">
        <f t="shared" si="508"/>
        <v>0</v>
      </c>
      <c r="EQ376" s="1121">
        <f t="shared" si="509"/>
        <v>0</v>
      </c>
      <c r="ER376" s="1101">
        <f t="shared" si="510"/>
        <v>0</v>
      </c>
      <c r="ES376" s="1097">
        <f t="shared" si="511"/>
        <v>0</v>
      </c>
      <c r="ET376" s="1122">
        <f t="shared" si="514"/>
        <v>0</v>
      </c>
    </row>
    <row r="377" spans="2:150" ht="16.5" customHeight="1">
      <c r="B377" s="1123" t="str">
        <f>INDEX('卡片raw data'!B:B,MATCH($D377,'卡片raw data'!$F:$F,))</f>
        <v>fes2南</v>
      </c>
      <c r="C377" s="449" t="s">
        <v>1832</v>
      </c>
      <c r="D377" s="408">
        <v>374</v>
      </c>
      <c r="E377" s="477">
        <v>201033002</v>
      </c>
      <c r="F377" s="1090" t="str">
        <f>INDEX('卡片raw data'!C:C,MATCH($D377,'卡片raw data'!$F:$F,))</f>
        <v>UR</v>
      </c>
      <c r="G377" s="1094" t="s">
        <v>1833</v>
      </c>
      <c r="H377" s="411">
        <f>IFERROR(INDEX(绊状态确认!C:C,MATCH($G377,绊状态确认!$B:$B,)),"")</f>
        <v>103</v>
      </c>
      <c r="I377" s="1124" t="str">
        <f>IFERROR(INDEX(绊状态确认!D:D,MATCH($G377,绊状态确认!$B:$B,)),"")</f>
        <v>水</v>
      </c>
      <c r="J377" s="1124" t="str">
        <f>IFERROR(INDEX(绊状态确认!E:E,MATCH($G377,绊状态确认!$B:$B,)),"")</f>
        <v>3年级</v>
      </c>
      <c r="K377" s="451" t="str">
        <f>IFERROR(INDEX(绊状态确认!F:F,MATCH($G377,绊状态确认!$B:$B,)),"")</f>
        <v>AZALEA</v>
      </c>
      <c r="L377" s="1094" t="str">
        <f>INDEX('卡片raw data'!E:E,MATCH($D377,'卡片raw data'!$F:$F,))</f>
        <v>fes卡</v>
      </c>
      <c r="M377" s="478">
        <v>44191</v>
      </c>
      <c r="N377" s="479">
        <v>30.5</v>
      </c>
      <c r="O377" s="1091" t="str">
        <f>INDEX('卡片raw data'!D:D,MATCH($D377,'卡片raw data'!$F:$F,))</f>
        <v>gd</v>
      </c>
      <c r="P377" s="1126">
        <v>5</v>
      </c>
      <c r="Q377" s="1095">
        <f t="shared" si="428"/>
        <v>33929.444523752994</v>
      </c>
      <c r="R377" s="1096">
        <f t="shared" si="429"/>
        <v>0.39400000000000002</v>
      </c>
      <c r="S377" s="1097">
        <f t="shared" si="430"/>
        <v>17036.66766626454</v>
      </c>
      <c r="T377" s="1098">
        <f t="shared" si="431"/>
        <v>0.85099999999999998</v>
      </c>
      <c r="U377" s="1099">
        <f t="shared" si="432"/>
        <v>1226.3273712003768</v>
      </c>
      <c r="V377" s="1100">
        <f t="shared" si="433"/>
        <v>86503.277627547912</v>
      </c>
      <c r="W377" s="1101">
        <f t="shared" si="434"/>
        <v>6010.2953161679998</v>
      </c>
      <c r="X377" s="1096">
        <f t="shared" si="435"/>
        <v>6.9000000000000006E-2</v>
      </c>
      <c r="Y377" s="1097">
        <f t="shared" si="436"/>
        <v>2615.2456617268472</v>
      </c>
      <c r="Z377" s="1102">
        <f t="shared" si="437"/>
        <v>31.535286161657137</v>
      </c>
      <c r="AA377" s="1103">
        <f t="shared" si="438"/>
        <v>8625.5409778948469</v>
      </c>
      <c r="AB377" s="1101">
        <f t="shared" si="439"/>
        <v>6010.2953161679998</v>
      </c>
      <c r="AC377" s="1104">
        <f t="shared" si="440"/>
        <v>6.9000000000000006E-2</v>
      </c>
      <c r="AD377" s="1105">
        <f t="shared" si="441"/>
        <v>0</v>
      </c>
      <c r="AE377" s="1128">
        <f t="shared" si="442"/>
        <v>-6.25</v>
      </c>
      <c r="AF377" s="1130">
        <f t="shared" si="443"/>
        <v>16217.572088036794</v>
      </c>
      <c r="AG377" s="420">
        <f t="shared" si="444"/>
        <v>87042.041249120011</v>
      </c>
      <c r="AH377" s="420">
        <f t="shared" si="445"/>
        <v>5.3671437855564248</v>
      </c>
      <c r="AI377" s="1097">
        <f t="shared" si="446"/>
        <v>119083.57599876563</v>
      </c>
      <c r="AJ377" s="420">
        <f t="shared" si="447"/>
        <v>86503.277627547912</v>
      </c>
      <c r="AK377" s="518">
        <f t="shared" si="448"/>
        <v>32580.298371217723</v>
      </c>
      <c r="AL377" s="1106">
        <f>IF($P377="","N/A",(IF($P377=-1,INDEX('卡片raw data'!S:S,MATCH($D377,'卡片raw data'!$F:$F,)),0)+IF($P377=0,INDEX('卡片raw data'!V:V,MATCH($D377,'卡片raw data'!$F:$F,)),0)+IF($P377=1,INDEX('卡片raw data'!Y:Y,MATCH($D377,'卡片raw data'!$F:$F,)),0)+IF($P377=2,INDEX('卡片raw data'!AB:AB,MATCH($D377,'卡片raw data'!$F:$F,)),0)+IF($P377=3,INDEX('卡片raw data'!AE:AE,MATCH($D377,'卡片raw data'!$F:$F,)),0)+IF($P377=4,INDEX('卡片raw data'!AH:AH,MATCH($D377,'卡片raw data'!$F:$F,)),0)+IF($P377=5,INDEX('卡片raw data'!AK:AK,MATCH($D377,'卡片raw data'!$F:$F,)),0)+INDEX('卡片raw data'!S:S,MATCH($D377,'卡片raw data'!$F:$F,))*(IF($F377="UR",0.04,0.033))*(IF($F377="UR",INDEX(绊状态确认!$S:$S,MATCH($G377,绊状态确认!$B:$B,))/2-40)+IF($F377="SR",INDEX(绊状态确认!$R:$R,MATCH($G377,绊状态确认!$B:$B,))/4-15))+IF($F377="R",INDEX(绊状态确认!$Q:$Q,MATCH($G377,绊状态确认!$B:$B,))/6-40/6)))*(INDEX(绊状态确认!$H:$H,MATCH($G377,绊状态确认!$B:$B,))+INDEX(绊状态确认!J:J,MATCH($G377,绊状态确认!$B:$B,)))</f>
        <v>8934.6040799999992</v>
      </c>
      <c r="AM377" s="1106">
        <f>IF($P377="","N/A",(IF($P377=-1,INDEX('卡片raw data'!T:T,MATCH($D377,'卡片raw data'!$F:$F,)),0)+IF($P377=0,INDEX('卡片raw data'!W:W,MATCH($D377,'卡片raw data'!$F:$F,)),0)+IF($P377=1,INDEX('卡片raw data'!Z:Z,MATCH($D377,'卡片raw data'!$F:$F,)),0)+IF($P377=2,INDEX('卡片raw data'!AC:AC,MATCH($D377,'卡片raw data'!$F:$F,)),0)+IF($P377=3,INDEX('卡片raw data'!AF:AF,MATCH($D377,'卡片raw data'!$F:$F,)),0)+IF($P377=4,INDEX('卡片raw data'!AI:AI,MATCH($D377,'卡片raw data'!$F:$F,)),0)+IF($P377=5,INDEX('卡片raw data'!AL:AL,MATCH($D377,'卡片raw data'!$F:$F,)),0)+INDEX('卡片raw data'!T:T,MATCH($D377,'卡片raw data'!$F:$F,))*(IF($F377="UR",0.04,0.033))*(IF($F377="UR",INDEX(绊状态确认!$S:$S,MATCH($G377,绊状态确认!$B:$B,))/2-40)+IF($F377="SR",INDEX(绊状态确认!$R:$R,MATCH($G377,绊状态确认!$B:$B,))/4-15))+IF($F377="R",INDEX(绊状态确认!$Q:$Q,MATCH($G377,绊状态确认!$B:$B,))/6-40/6)))*(INDEX(绊状态确认!$H:$H,MATCH($G377,绊状态确认!$B:$B,))+INDEX(绊状态确认!K:K,MATCH($G377,绊状态确认!$B:$B,)))</f>
        <v>17496.105311999996</v>
      </c>
      <c r="AN377" s="1106">
        <f>IF($P377="","N/A",(IF($P377=-1,INDEX('卡片raw data'!U:U,MATCH($D377,'卡片raw data'!$F:$F,)),0)+IF($P377=0,INDEX('卡片raw data'!X:X,MATCH($D377,'卡片raw data'!$F:$F,)),0)+IF($P377=1,INDEX('卡片raw data'!AA:AA,MATCH($D377,'卡片raw data'!$F:$F,)),0)+IF($P377=2,INDEX('卡片raw data'!AD:AD,MATCH($D377,'卡片raw data'!$F:$F,)),0)+IF($P377=3,INDEX('卡片raw data'!AG:AG,MATCH($D377,'卡片raw data'!$F:$F,)),0)+IF($P377=4,INDEX('卡片raw data'!AJ:AJ,MATCH($D377,'卡片raw data'!$F:$F,)),0)+IF($P377=5,INDEX('卡片raw data'!AM:AM,MATCH($D377,'卡片raw data'!$F:$F,)),0)+INDEX('卡片raw data'!U:U,MATCH($D377,'卡片raw data'!$F:$F,))*(IF($F377="UR",0.04,0.033))*(IF($F377="UR",INDEX(绊状态确认!$S:$S,MATCH($G377,绊状态确认!$B:$B,))/2-40)+IF($F377="SR",INDEX(绊状态确认!$R:$R,MATCH($G377,绊状态确认!$B:$B,))/4-15))+IF($F377="R",INDEX(绊状态确认!$Q:$Q,MATCH($G377,绊状态确认!$B:$B,))/6-40/6)))*(INDEX(绊状态确认!$H:$H,MATCH($G377,绊状态确认!$B:$B,))+INDEX(绊状态确认!L:L,MATCH($G377,绊状态确认!$B:$B,)))</f>
        <v>10793.118095999998</v>
      </c>
      <c r="AO377" s="1107">
        <f t="shared" si="449"/>
        <v>1</v>
      </c>
      <c r="AP377" s="1131">
        <f>1+(INDEX(绊状态确认!$T:$T,MATCH($G377,绊状态确认!$B:$B,))+0.2)*$AO377</f>
        <v>1.3</v>
      </c>
      <c r="AQ377" s="1108">
        <f t="shared" si="450"/>
        <v>26703.335709999996</v>
      </c>
      <c r="AR377" s="1097">
        <f>(AM377*(1+$EX$9)+$EX$35)*(1+(INDEX(绊状态确认!$T:$T,MATCH($G377,绊状态确认!$B:$B,))+0.2)*AO377)*IF(J377=$FF$17,1+$FE$17,1)*IF(I377=$FF$14,1+$FE$14,1)</f>
        <v>26586.183750879994</v>
      </c>
      <c r="AS377" s="1097">
        <f>(AN377*(1+$EX$10)+$EX$36)*(1+(INDEX(绊状态确认!$T:$T,MATCH($G377,绊状态确认!$B:$B,))+0.2)*AO377)*IF(J377=$FF$17,1+$FE$17,1)*IF(I377=$FF$14,1+$FE$14,1)</f>
        <v>20191.711553519996</v>
      </c>
      <c r="AT377" s="1093">
        <f>IF(AND(INDEX('卡片raw data'!AK:AK,MATCH($D377,'卡片raw data'!$F:$F,))&lt;INDEX('卡片raw data'!AM:AM,MATCH($D377,'卡片raw data'!$F:$F,)),INDEX('卡片raw data'!AL:AL,MATCH($D377,'卡片raw data'!$F:$F,))&lt;INDEX('卡片raw data'!AM:AM,MATCH($D377,'卡片raw data'!$F:$F,))),1,0)</f>
        <v>0</v>
      </c>
      <c r="AU377" s="1098">
        <f>MIN(AT377*0.15+AS377*0.00003+INDEX(绊状态确认!M:M,MATCH($G377,绊状态确认!$B:$B,)),1)</f>
        <v>0.63575134660559995</v>
      </c>
      <c r="AV377" s="1109">
        <f>(INDEX(绊状态确认!$N:$N,MATCH($G377,绊状态确认!$B:$B,))+1.5)*$EW$21</f>
        <v>2.6599999999999997</v>
      </c>
      <c r="AW377" s="1101">
        <f t="shared" si="451"/>
        <v>28504.149207584996</v>
      </c>
      <c r="AX377" s="1097">
        <f t="shared" si="452"/>
        <v>2351.8698523570561</v>
      </c>
      <c r="AY377" s="1110">
        <f t="shared" si="453"/>
        <v>30856.019059942053</v>
      </c>
      <c r="AZ377" s="429">
        <f t="shared" si="454"/>
        <v>20022.477955999999</v>
      </c>
      <c r="BA377" s="431">
        <f t="shared" si="455"/>
        <v>24026.973547199999</v>
      </c>
      <c r="BB377" s="1097">
        <f>(AM377*(1+$FB$9)+$FB$35)*(1+(INDEX(绊状态确认!$T:$T,MATCH($G377,绊状态确认!$B:$B,))+0.2)*AO377)*IF(J377=$FF$17,1+$FE$17,1)*IF(I377=$FF$14,1+$FE$14,1)*(1+$FE$15)</f>
        <v>26586.183750879994</v>
      </c>
      <c r="BC377" s="1097">
        <f>(AN377*(1+$FB$10)+$FB$36)*(1+(INDEX(绊状态确认!$T:$T,MATCH($G377,绊状态确认!$B:$B,))+0.2)*AO377)*IF(J377=$FF$17,1+$FE$17,1)*IF(I377=$FF$14,1+$FE$14,1)*(1+$FE$15)</f>
        <v>20191.711553519996</v>
      </c>
      <c r="BD377" s="1104">
        <f>MIN(AT377*0.15+BC377*0.00003+INDEX(绊状态确认!M:M,MATCH($G377,绊状态确认!$B:$B,)),1)</f>
        <v>0.63575134660559995</v>
      </c>
      <c r="BE377" s="432">
        <f>(INDEX(绊状态确认!$N:$N,MATCH($G377,绊状态确认!$B:$B,))+1.5)</f>
        <v>1.9</v>
      </c>
      <c r="BF377" s="1139">
        <f t="array" ref="BF377">SUMPRODUCT(IF(AZ377*AP377*$FI$16:$FI$23*$FA$22&gt;=$FI$24,$FI$24,AZ377*AP377*$FI$16:$FI$23*$FA$22),$FJ$16:$FJ$23)</f>
        <v>39824.708654484006</v>
      </c>
      <c r="BG377" s="1125">
        <f t="array" ref="BG377">SUMPRODUCT(IF(BE377*AZ377*AP377*$FI$16:$FI$23*$FA$22&gt;=$FI$24,$FI$24,BE377*AZ377*AP377*$FI$16:$FI$23*$FA$22),$FJ$16:$FJ$23)</f>
        <v>59934.662466158399</v>
      </c>
      <c r="BH377" s="1110">
        <f t="shared" si="456"/>
        <v>17536.546290144139</v>
      </c>
      <c r="BI377" s="1111">
        <f>IF(O377="vo",$EW$26/$EW$24*0.05,0)+IF(O377="sk",-$EW$26/$EW$24*(0.05-INDEX(绊状态确认!W:W,MATCH($G377,绊状态确认!$B:$B,)))+0.05*$EW$28,0)+IF(O377="sp",0.05*$EW$32*$EW$30*(1-$EW$33)-(0.05-INDEX(绊状态确认!V:V,MATCH($G377,绊状态确认!$B:$B,)))*$EW$28,0)+IF(O377="gd",-(0.05-INDEX(绊状态确认!X:X,MATCH($G377,绊状态确认!$B:$B,)))*$EW$32*$EW$30*(1-$EW$33),0)</f>
        <v>-585.00000000000011</v>
      </c>
      <c r="BJ377" s="1097">
        <f>IF(O377="vo",0.05*(1-$FI$26)*$FA$24,0)+IF(O377="sk",-(0.05-INDEX(绊状态确认!W:W,MATCH($G377,绊状态确认!$B:$B,)))*(1-$FI$26)*$FA$24+0.05*$FA$26,0)+IF(O377="sp",0.05*$FA$32*$FA$27*(1-$FA$33)/$FA$30+0.05*$FA$29/$FA$69*$FA$27*(1-$FA$33)-(0.05-INDEX(绊状态确认!V:V,MATCH($G377,绊状态确认!$B:$B,)))*$FA$26,0)+IF(O377="gd",-(0.05-INDEX(绊状态确认!X:X,MATCH($G377,绊状态确认!$B:$B,)))*$FA$32*$FA$27*(1-$FA$33)/$FA$30-(0.05-INDEX(绊状态确认!X:X,MATCH($G377,绊状态确认!$B:$B,)))*$FA$29/$FA$69*$FA$27*(1-$FA$33),0)</f>
        <v>-795.00000000000011</v>
      </c>
      <c r="BK377" s="1110">
        <f>IF(O377="vo",$EW$26/$EW$24*0.05+$EW$26*(-HP($EW$62,$EW$65,$EW$64)+HP($EW$62,$EW$65,(1.05-INDEX(绊状态确认!U:U,MATCH($G377,绊状态确认!$B:$B,)))*$EW$64)),0)+IF(O377="sk",-$EW$26/$EW$24*(0.05-INDEX(绊状态确认!W:W,MATCH($G377,绊状态确认!$B:$B,)))+0.05*$EW$29,0)+IF(O377="sp",0.05*$EW$32*$EW$30*(1-$EW$33)-(0.05-INDEX(绊状态确认!V:V,MATCH($G377,绊状态确认!$B:$B,)))*$EW$29,0)+IF(O377="gd",-(0.05-INDEX(绊状态确认!X:X,MATCH($G377,绊状态确认!$B:$B,)))*$EW$32*$EW$30*(1-$EW$33)+$EW$26*(-HP($EW$62,$EW$65,$EW$64)+HP($EW$62,$EW$65,0.95*$EW$64)),0)</f>
        <v>1009.5947725176144</v>
      </c>
      <c r="BL377" s="1111">
        <f t="shared" si="457"/>
        <v>0</v>
      </c>
      <c r="BM377" s="1110">
        <f t="shared" si="458"/>
        <v>0</v>
      </c>
      <c r="BN377" s="1113">
        <f t="shared" si="459"/>
        <v>4</v>
      </c>
      <c r="BO377" s="1108">
        <f t="shared" si="460"/>
        <v>6010.2953161679998</v>
      </c>
      <c r="BP377" s="1100">
        <f t="shared" si="461"/>
        <v>295.12137612040135</v>
      </c>
      <c r="BQ377" s="1113" t="s">
        <v>133</v>
      </c>
      <c r="BR377" s="1124" t="s">
        <v>168</v>
      </c>
      <c r="BS377" s="1098">
        <f>IF($P377="","N/A",IF($P377=-1,INDEX('卡片raw data'!AX:AX,MATCH($D377,'卡片raw data'!$F:$F,)),0)+IF($L377="party卡",IF($P377=5,INDEX('卡片raw data'!BD:BD,MATCH($D377,'卡片raw data'!$F:$F,)),IF($P377&gt;=3,INDEX('卡片raw data'!BC:BC,MATCH($D377,'卡片raw data'!$F:$F,)),INDEX('卡片raw data'!BB:BB,MATCH($D377,'卡片raw data'!$F:$F,)))),IF(OR(AND($F377="UR",$P377=0),AND($F377="SR",$P377&gt;=0,$P377&lt;=2),AND($F377="R",$P377&gt;=0,$P377&lt;4)),INDEX('卡片raw data'!AZ:AZ,MATCH($D377,'卡片raw data'!$F:$F,)),0)+IF(OR(AND($F377="UR",$P377&gt;=1,$P377&lt;=4),AND($F377="SR",$P377&lt;=4,$P377&gt;=3),AND($F377="R",$P377=4)),INDEX('卡片raw data'!BA:BA,MATCH($D377,'卡片raw data'!$F:$F,)),0)+IF($P377=5,INDEX('卡片raw data'!BB:BB,MATCH($D377,'卡片raw data'!$F:$F,)),0)))</f>
        <v>7.0000000000000007E-2</v>
      </c>
      <c r="BT377" s="1101">
        <f t="shared" si="462"/>
        <v>0</v>
      </c>
      <c r="BU377" s="1097">
        <f t="shared" si="463"/>
        <v>0</v>
      </c>
      <c r="BV377" s="1097">
        <f t="shared" si="464"/>
        <v>0</v>
      </c>
      <c r="BW377" s="1112">
        <f t="shared" si="465"/>
        <v>2.4581249999999999</v>
      </c>
      <c r="BX377" s="1100">
        <f t="shared" si="466"/>
        <v>192.3373892964872</v>
      </c>
      <c r="BY377" s="1110">
        <f t="shared" si="467"/>
        <v>192.3373892964872</v>
      </c>
      <c r="BZ377" s="1113" t="s">
        <v>569</v>
      </c>
      <c r="CA377" s="1124"/>
      <c r="CB377" s="1098">
        <f>IF($P377="","N/A",IF($P377=-1,INDEX('卡片raw data'!BE:BE,MATCH($D377,'卡片raw data'!$F:$F,)),0)+IF($L377="party卡",IF($P377=5,INDEX('卡片raw data'!BK:BK,MATCH($D377,'卡片raw data'!$F:$F,)),IF($P377&gt;=3,INDEX('卡片raw data'!BJ:BJ,MATCH($D377,'卡片raw data'!$F:$F,)),INDEX('卡片raw data'!BI:BI,MATCH($D377,'卡片raw data'!$F:$F,)))),IF(OR(AND($F377="UR",$P377=0),AND($F377="SR",$P377&gt;=0,$P377&lt;=2),AND($F377="R",$P377&gt;=0,$P377&lt;4)),INDEX('卡片raw data'!BG:BG,MATCH($D377,'卡片raw data'!$F:$F,)),0)+IF(OR(AND($F377="UR",$P377&gt;=1,$P377&lt;=4),AND($F377="SR",$P377&lt;=4,$P377&gt;=3),AND($F377="R",$P377=4)),INDEX('卡片raw data'!BH:BH,MATCH($D377,'卡片raw data'!$F:$F,)),0)+IF($P377=5,INDEX('卡片raw data'!BI:BI,MATCH($D377,'卡片raw data'!$F:$F,)),0)))</f>
        <v>0</v>
      </c>
      <c r="CC377" s="1101">
        <f t="shared" si="468"/>
        <v>0</v>
      </c>
      <c r="CD377" s="1097">
        <f>IF(BZ377="ap",CB377*(1-$FI$26)*$FB$5/$FB$11*(+IF(CA377="全员",$FA$24,0)+IF(CA377="同作战",$FA$24,0)+IF(CA377="仲间",$FA$24*2/3,0)+IF(CA377="同属性",$FA$24*$FA$37/3,0)+IF(CA377="同年级",$FA$24*$FA$40/3,0)+IF(CA377="同学校",$FA$24*$FA$43/3,0)+IF(CA377="同小队",$FA$24*$FA$46/3,0)+IF(CA377="同type",$FA$24*INDEX($FB$49:$FB$52,MATCH(X377,$FA$49:$FA$52,))/3,0)+IF(CA377="自身",#REF!/3,0)),0)+IF(BZ377="te",CB377*(1-$FI$27)*($FA$20-1)*$FB$7/$FB$13*(+IF(CA377="全员",$FA$19*$FA$24/(1+($FA$20-1)*$FA$19),0)+IF(CA377="同作战",$FA$19*$FA$24/(1+($FA$20-1)*$FA$19),0)+IF(CA377="仲间",$FA$19*$FA$24*2/3/(1+($FA$20-1)*$FA$19),0)+IF(CA377="同属性",$FA$19*$FA$24*$FA$37/3/(1+($FA$20-1)*$FA$19),0)+IF(CA377="同年级",$FA$19*$FA$24*$FA$40/3/(1+($FA$20-1)*$FA$19),0)+IF(CA377="同学校",$FA$19*$FA$24*$FA$43/3/(1+($FA$20-1)*$FA$19),0)+IF(CA377="同小队",$FA$19*$FA$24*$FA$46/3/(1+($FA$20-1)*$FA$19),0)+IF(CA377="同type",$FA$19*$FA$24*INDEX($FB$49:$FB$52,MATCH(X377,$FA$49:$FA$52,))/3/(1+($FA$20-1)*$FA$19),0)+IF(CA377="自身",$FA$19*#REF!/3/(1+(BH377-1)*$BD377),0)),0)</f>
        <v>0</v>
      </c>
      <c r="CE377" s="1097">
        <f t="shared" si="469"/>
        <v>0</v>
      </c>
      <c r="CF377" s="1112">
        <f t="shared" si="470"/>
        <v>0</v>
      </c>
      <c r="CG377" s="1100">
        <f t="shared" si="471"/>
        <v>0</v>
      </c>
      <c r="CH377" s="1110">
        <f t="shared" si="472"/>
        <v>0</v>
      </c>
      <c r="CI377" s="1113" t="s">
        <v>170</v>
      </c>
      <c r="CJ377" s="1114">
        <v>1</v>
      </c>
      <c r="CK377" s="1115" t="s">
        <v>556</v>
      </c>
      <c r="CL377" s="1115" t="s">
        <v>161</v>
      </c>
      <c r="CM377" s="1119">
        <v>0.17</v>
      </c>
      <c r="CN377" s="1115">
        <v>3</v>
      </c>
      <c r="CO377" s="1115">
        <v>2</v>
      </c>
      <c r="CP377" s="1118">
        <f t="shared" si="473"/>
        <v>1.8214285714285715E-3</v>
      </c>
      <c r="CQ377" s="1118">
        <f t="shared" si="474"/>
        <v>2.8333333333333335E-3</v>
      </c>
      <c r="CR377" s="1118">
        <f t="shared" si="475"/>
        <v>1.8214285714285715E-3</v>
      </c>
      <c r="CS377" s="1118">
        <f t="shared" si="476"/>
        <v>0</v>
      </c>
      <c r="CT377" s="1109">
        <f t="shared" si="477"/>
        <v>0</v>
      </c>
      <c r="CU377" s="1101">
        <f t="shared" si="478"/>
        <v>0</v>
      </c>
      <c r="CV377" s="1108">
        <f t="shared" si="479"/>
        <v>0</v>
      </c>
      <c r="CW377" s="1097">
        <f t="shared" si="480"/>
        <v>0</v>
      </c>
      <c r="CX377" s="1097">
        <f t="shared" si="481"/>
        <v>0</v>
      </c>
      <c r="CY377" s="1110">
        <f t="shared" si="482"/>
        <v>71.038420073303556</v>
      </c>
      <c r="CZ377" s="437"/>
      <c r="DA377" s="438"/>
      <c r="DB377" s="439" t="s">
        <v>569</v>
      </c>
      <c r="DC377" s="439"/>
      <c r="DD377" s="443"/>
      <c r="DE377" s="411"/>
      <c r="DF377" s="411"/>
      <c r="DG377" s="1116">
        <f t="shared" si="483"/>
        <v>0</v>
      </c>
      <c r="DH377" s="1116">
        <f t="shared" si="484"/>
        <v>0</v>
      </c>
      <c r="DI377" s="1116">
        <f t="shared" si="485"/>
        <v>0</v>
      </c>
      <c r="DJ377" s="442">
        <f t="shared" si="486"/>
        <v>0</v>
      </c>
      <c r="DK377" s="1109">
        <f t="shared" si="487"/>
        <v>0</v>
      </c>
      <c r="DL377" s="1101">
        <f t="shared" si="488"/>
        <v>0</v>
      </c>
      <c r="DM377" s="1097">
        <f t="shared" si="489"/>
        <v>0</v>
      </c>
      <c r="DN377" s="1097">
        <f t="shared" si="490"/>
        <v>0</v>
      </c>
      <c r="DO377" s="1097">
        <f t="shared" si="491"/>
        <v>0</v>
      </c>
      <c r="DP377" s="1110">
        <f t="shared" si="492"/>
        <v>0</v>
      </c>
      <c r="DQ377" s="1113" t="s">
        <v>635</v>
      </c>
      <c r="DR377" s="1120">
        <f t="shared" si="493"/>
        <v>0.33</v>
      </c>
      <c r="DS377" s="1124"/>
      <c r="DT377" s="1093" t="s">
        <v>133</v>
      </c>
      <c r="DU377" s="1093"/>
      <c r="DV377" s="1098">
        <f>IF($P377="","N/A",IF(P377=-1,INDEX('卡片raw data'!AN:AN,MATCH(D377,'卡片raw data'!$F:$F,)),0)+IF(AND(L377&lt;&gt;"party卡",P377&lt;=2,P377&gt;=0),INDEX('卡片raw data'!AP:AP,MATCH(D377,'卡片raw data'!$F:$F,)),0)+IF(OR(AND(L377="party卡",P377&lt;=1),AND(P377&lt;=4,L377&lt;&gt;"party卡",P377&gt;=3)),INDEX('卡片raw data'!AQ:AQ,MATCH(D377,'卡片raw data'!$F:$F,)),0)+IF(OR(P377=5,AND(L377="party卡",P377&gt;=2)),INDEX('卡片raw data'!AR:AR,MATCH(D377,'卡片raw data'!$F:$F,)),0))</f>
        <v>0.4</v>
      </c>
      <c r="DW377" s="1098">
        <f t="shared" si="494"/>
        <v>0.33</v>
      </c>
      <c r="DX377" s="1098">
        <f t="shared" si="495"/>
        <v>0.33</v>
      </c>
      <c r="DY377" s="1097">
        <f t="shared" si="496"/>
        <v>1169.7920850387197</v>
      </c>
      <c r="DZ377" s="1097">
        <f t="shared" si="497"/>
        <v>1011.8701535584926</v>
      </c>
      <c r="EA377" s="1098">
        <f t="shared" si="498"/>
        <v>0</v>
      </c>
      <c r="EB377" s="1121">
        <f t="shared" si="499"/>
        <v>0</v>
      </c>
      <c r="EC377" s="1101">
        <f t="shared" si="500"/>
        <v>0</v>
      </c>
      <c r="ED377" s="1097">
        <f t="shared" si="501"/>
        <v>0</v>
      </c>
      <c r="EE377" s="1110">
        <f t="shared" si="513"/>
        <v>48435.03108962375</v>
      </c>
      <c r="EF377" s="1115" t="s">
        <v>569</v>
      </c>
      <c r="EG377" s="1120">
        <f t="shared" si="503"/>
        <v>0.33</v>
      </c>
      <c r="EH377" s="1124"/>
      <c r="EI377" s="1093"/>
      <c r="EJ377" s="1093"/>
      <c r="EK377" s="1097">
        <f>IF($P377="","N/A",IF(P377=-1,INDEX('卡片raw data'!AS:AS,MATCH(D377,'卡片raw data'!$F:$F,)),0)+IF(AND(L377&lt;&gt;"party卡",P377&lt;=2,P377&gt;=0),INDEX('卡片raw data'!AU:AU,MATCH(D377,'卡片raw data'!$F:$F,)),0)+IF(OR(AND(L377="party卡",P377&lt;=1),AND(P377&lt;=4,L377&lt;&gt;"party卡",P377&gt;=3)),INDEX('卡片raw data'!AV:AV,MATCH(D377,'卡片raw data'!$F:$F,)),0)+IF(OR(P377=5,AND(L377="party卡",P377&gt;=2)),INDEX('卡片raw data'!AW:AW,MATCH(D377,'卡片raw data'!$F:$F,)),0))</f>
        <v>0</v>
      </c>
      <c r="EL377" s="1098">
        <f t="shared" si="504"/>
        <v>0.33</v>
      </c>
      <c r="EM377" s="1098">
        <f t="shared" si="505"/>
        <v>0.33</v>
      </c>
      <c r="EN377" s="1097">
        <f t="shared" si="506"/>
        <v>0</v>
      </c>
      <c r="EO377" s="1097">
        <f t="shared" si="507"/>
        <v>0</v>
      </c>
      <c r="EP377" s="1098">
        <f t="shared" si="508"/>
        <v>0</v>
      </c>
      <c r="EQ377" s="1121">
        <f t="shared" si="509"/>
        <v>0</v>
      </c>
      <c r="ER377" s="1101">
        <f t="shared" si="510"/>
        <v>0</v>
      </c>
      <c r="ES377" s="1097">
        <f t="shared" si="511"/>
        <v>0</v>
      </c>
      <c r="ET377" s="1122">
        <f t="shared" si="514"/>
        <v>0</v>
      </c>
    </row>
    <row r="378" spans="2:150" ht="16.5" customHeight="1">
      <c r="B378" s="1123" t="str">
        <f>INDEX('卡片raw data'!B:B,MATCH($D378,'卡片raw data'!$F:$F,))</f>
        <v>fes2霞</v>
      </c>
      <c r="C378" s="449" t="s">
        <v>1832</v>
      </c>
      <c r="D378" s="408">
        <v>375</v>
      </c>
      <c r="E378" s="477">
        <v>202023002</v>
      </c>
      <c r="F378" s="1090" t="str">
        <f>INDEX('卡片raw data'!C:C,MATCH($D378,'卡片raw data'!$F:$F,))</f>
        <v>UR</v>
      </c>
      <c r="G378" s="1094" t="s">
        <v>1834</v>
      </c>
      <c r="H378" s="411">
        <f>IFERROR(INDEX(绊状态确认!C:C,MATCH($G378,绊状态确认!$B:$B,)),"")</f>
        <v>202</v>
      </c>
      <c r="I378" s="450" t="str">
        <f>IFERROR(INDEX(绊状态确认!D:D,MATCH($G378,绊状态确认!$B:$B,)),"")</f>
        <v>虹</v>
      </c>
      <c r="J378" s="450" t="str">
        <f>IFERROR(INDEX(绊状态确认!E:E,MATCH($G378,绊状态确认!$B:$B,)),"")</f>
        <v>1年级</v>
      </c>
      <c r="K378" s="451" t="str">
        <f>IFERROR(INDEX(绊状态确认!F:F,MATCH($G378,绊状态确认!$B:$B,)),"")</f>
        <v>QU4RTZ</v>
      </c>
      <c r="L378" s="1094" t="str">
        <f>INDEX('卡片raw data'!E:E,MATCH($D378,'卡片raw data'!$F:$F,))</f>
        <v>fes卡</v>
      </c>
      <c r="M378" s="478">
        <v>44191</v>
      </c>
      <c r="N378" s="479">
        <v>30.5</v>
      </c>
      <c r="O378" s="1091" t="str">
        <f>INDEX('卡片raw data'!D:D,MATCH($D378,'卡片raw data'!$F:$F,))</f>
        <v>vo</v>
      </c>
      <c r="P378" s="1126">
        <v>5</v>
      </c>
      <c r="Q378" s="1095">
        <f t="shared" si="428"/>
        <v>67663.78861417195</v>
      </c>
      <c r="R378" s="1096">
        <f t="shared" si="429"/>
        <v>0.78600000000000003</v>
      </c>
      <c r="S378" s="1097">
        <f t="shared" si="430"/>
        <v>22728.354414711022</v>
      </c>
      <c r="T378" s="1098">
        <f t="shared" si="431"/>
        <v>1.1359999999999999</v>
      </c>
      <c r="U378" s="1099">
        <f t="shared" si="432"/>
        <v>-8.1717664758571438</v>
      </c>
      <c r="V378" s="1100">
        <f t="shared" si="433"/>
        <v>67715.016142602733</v>
      </c>
      <c r="W378" s="1101">
        <f t="shared" si="434"/>
        <v>7361.5089804419858</v>
      </c>
      <c r="X378" s="1096">
        <f t="shared" si="435"/>
        <v>8.5000000000000006E-2</v>
      </c>
      <c r="Y378" s="1097">
        <f t="shared" si="436"/>
        <v>1355.8959786724954</v>
      </c>
      <c r="Z378" s="1102">
        <f t="shared" si="437"/>
        <v>16.828233524142856</v>
      </c>
      <c r="AA378" s="1103">
        <f t="shared" si="438"/>
        <v>8717.4049591144812</v>
      </c>
      <c r="AB378" s="1101">
        <f t="shared" si="439"/>
        <v>8412.4529415439738</v>
      </c>
      <c r="AC378" s="1104">
        <f t="shared" si="440"/>
        <v>9.7000000000000003E-2</v>
      </c>
      <c r="AD378" s="1105">
        <f t="shared" si="441"/>
        <v>0</v>
      </c>
      <c r="AE378" s="1128">
        <f t="shared" si="442"/>
        <v>0</v>
      </c>
      <c r="AF378" s="1130">
        <f t="shared" si="443"/>
        <v>0</v>
      </c>
      <c r="AG378" s="420">
        <f t="shared" si="444"/>
        <v>0</v>
      </c>
      <c r="AH378" s="420">
        <f t="shared" si="445"/>
        <v>0</v>
      </c>
      <c r="AI378" s="1097">
        <f t="shared" si="446"/>
        <v>0</v>
      </c>
      <c r="AJ378" s="420">
        <f t="shared" si="447"/>
        <v>0</v>
      </c>
      <c r="AK378" s="518">
        <f t="shared" si="448"/>
        <v>0</v>
      </c>
      <c r="AL378" s="1106">
        <f>IF($P378="","N/A",(IF($P378=-1,INDEX('卡片raw data'!S:S,MATCH($D378,'卡片raw data'!$F:$F,)),0)+IF($P378=0,INDEX('卡片raw data'!V:V,MATCH($D378,'卡片raw data'!$F:$F,)),0)+IF($P378=1,INDEX('卡片raw data'!Y:Y,MATCH($D378,'卡片raw data'!$F:$F,)),0)+IF($P378=2,INDEX('卡片raw data'!AB:AB,MATCH($D378,'卡片raw data'!$F:$F,)),0)+IF($P378=3,INDEX('卡片raw data'!AE:AE,MATCH($D378,'卡片raw data'!$F:$F,)),0)+IF($P378=4,INDEX('卡片raw data'!AH:AH,MATCH($D378,'卡片raw data'!$F:$F,)),0)+IF($P378=5,INDEX('卡片raw data'!AK:AK,MATCH($D378,'卡片raw data'!$F:$F,)),0)+INDEX('卡片raw data'!S:S,MATCH($D378,'卡片raw data'!$F:$F,))*(IF($F378="UR",0.04,0.033))*(IF($F378="UR",INDEX(绊状态确认!$S:$S,MATCH($G378,绊状态确认!$B:$B,))/2-40)+IF($F378="SR",INDEX(绊状态确认!$R:$R,MATCH($G378,绊状态确认!$B:$B,))/4-15))+IF($F378="R",INDEX(绊状态确认!$Q:$Q,MATCH($G378,绊状态确认!$B:$B,))/6-40/6)))*(INDEX(绊状态确认!$H:$H,MATCH($G378,绊状态确认!$B:$B,))+INDEX(绊状态确认!J:J,MATCH($G378,绊状态确认!$B:$B,)))</f>
        <v>15752.276783999998</v>
      </c>
      <c r="AM378" s="1106">
        <f>IF($P378="","N/A",(IF($P378=-1,INDEX('卡片raw data'!T:T,MATCH($D378,'卡片raw data'!$F:$F,)),0)+IF($P378=0,INDEX('卡片raw data'!W:W,MATCH($D378,'卡片raw data'!$F:$F,)),0)+IF($P378=1,INDEX('卡片raw data'!Z:Z,MATCH($D378,'卡片raw data'!$F:$F,)),0)+IF($P378=2,INDEX('卡片raw data'!AC:AC,MATCH($D378,'卡片raw data'!$F:$F,)),0)+IF($P378=3,INDEX('卡片raw data'!AF:AF,MATCH($D378,'卡片raw data'!$F:$F,)),0)+IF($P378=4,INDEX('卡片raw data'!AI:AI,MATCH($D378,'卡片raw data'!$F:$F,)),0)+IF($P378=5,INDEX('卡片raw data'!AL:AL,MATCH($D378,'卡片raw data'!$F:$F,)),0)+INDEX('卡片raw data'!T:T,MATCH($D378,'卡片raw data'!$F:$F,))*(IF($F378="UR",0.04,0.033))*(IF($F378="UR",INDEX(绊状态确认!$S:$S,MATCH($G378,绊状态确认!$B:$B,))/2-40)+IF($F378="SR",INDEX(绊状态确认!$R:$R,MATCH($G378,绊状态确认!$B:$B,))/4-15))+IF($F378="R",INDEX(绊状态确认!$Q:$Q,MATCH($G378,绊状态确认!$B:$B,))/6-40/6)))*(INDEX(绊状态确认!$H:$H,MATCH($G378,绊状态确认!$B:$B,))+INDEX(绊状态确认!K:K,MATCH($G378,绊状态确认!$B:$B,)))</f>
        <v>9525.532079999999</v>
      </c>
      <c r="AN378" s="1106">
        <f>IF($P378="","N/A",(IF($P378=-1,INDEX('卡片raw data'!U:U,MATCH($D378,'卡片raw data'!$F:$F,)),0)+IF($P378=0,INDEX('卡片raw data'!X:X,MATCH($D378,'卡片raw data'!$F:$F,)),0)+IF($P378=1,INDEX('卡片raw data'!AA:AA,MATCH($D378,'卡片raw data'!$F:$F,)),0)+IF($P378=2,INDEX('卡片raw data'!AD:AD,MATCH($D378,'卡片raw data'!$F:$F,)),0)+IF($P378=3,INDEX('卡片raw data'!AG:AG,MATCH($D378,'卡片raw data'!$F:$F,)),0)+IF($P378=4,INDEX('卡片raw data'!AJ:AJ,MATCH($D378,'卡片raw data'!$F:$F,)),0)+IF($P378=5,INDEX('卡片raw data'!AM:AM,MATCH($D378,'卡片raw data'!$F:$F,)),0)+INDEX('卡片raw data'!U:U,MATCH($D378,'卡片raw data'!$F:$F,))*(IF($F378="UR",0.04,0.033))*(IF($F378="UR",INDEX(绊状态确认!$S:$S,MATCH($G378,绊状态确认!$B:$B,))/2-40)+IF($F378="SR",INDEX(绊状态确认!$R:$R,MATCH($G378,绊状态确认!$B:$B,))/4-15))+IF($F378="R",INDEX(绊状态确认!$Q:$Q,MATCH($G378,绊状态确认!$B:$B,))/6-40/6)))*(INDEX(绊状态确认!$H:$H,MATCH($G378,绊状态确认!$B:$B,))+INDEX(绊状态确认!L:L,MATCH($G378,绊状态确认!$B:$B,)))</f>
        <v>11356.227023999998</v>
      </c>
      <c r="AO378" s="1107">
        <f t="shared" si="449"/>
        <v>1</v>
      </c>
      <c r="AP378" s="1131">
        <f>1+(INDEX(绊状态确认!$T:$T,MATCH($G378,绊状态确认!$B:$B,))+0.2)*$AO378</f>
        <v>1.3</v>
      </c>
      <c r="AQ378" s="1108">
        <f t="shared" si="450"/>
        <v>44599.726557999995</v>
      </c>
      <c r="AR378" s="1097">
        <f>(AM378*(1+$EX$9)+$EX$35)*(1+(INDEX(绊状态确认!$T:$T,MATCH($G378,绊状态确认!$B:$B,))+0.2)*AO378)*IF(J378=$FF$17,1+$FE$17,1)*IF(I378=$FF$14,1+$FE$14,1)</f>
        <v>15706.3512892</v>
      </c>
      <c r="AS378" s="1097">
        <f>(AN378*(1+$EX$10)+$EX$36)*(1+(INDEX(绊状态确认!$T:$T,MATCH($G378,绊状态确认!$B:$B,))+0.2)*AO378)*IF(J378=$FF$17,1+$FE$17,1)*IF(I378=$FF$14,1+$FE$14,1)</f>
        <v>21033.559400879996</v>
      </c>
      <c r="AT378" s="1093">
        <f>IF(AND(INDEX('卡片raw data'!AK:AK,MATCH($D378,'卡片raw data'!$F:$F,))&lt;INDEX('卡片raw data'!AM:AM,MATCH($D378,'卡片raw data'!$F:$F,)),INDEX('卡片raw data'!AL:AL,MATCH($D378,'卡片raw data'!$F:$F,))&lt;INDEX('卡片raw data'!AM:AM,MATCH($D378,'卡片raw data'!$F:$F,))),1,0)</f>
        <v>0</v>
      </c>
      <c r="AU378" s="1098">
        <f>MIN(AT378*0.15+AS378*0.00003+INDEX(绊状态确认!M:M,MATCH($G378,绊状态确认!$B:$B,)),1)</f>
        <v>0.66100678202639995</v>
      </c>
      <c r="AV378" s="1109">
        <f>(INDEX(绊状态确认!$N:$N,MATCH($G378,绊状态确认!$B:$B,))+1.5)*$EW$21</f>
        <v>2.6599999999999997</v>
      </c>
      <c r="AW378" s="1101">
        <f t="shared" si="451"/>
        <v>48578.507210102769</v>
      </c>
      <c r="AX378" s="1097">
        <f t="shared" si="452"/>
        <v>1355.8959786724961</v>
      </c>
      <c r="AY378" s="1110">
        <f t="shared" si="453"/>
        <v>49934.403188775264</v>
      </c>
      <c r="AZ378" s="429">
        <f t="shared" si="454"/>
        <v>33316.939728799996</v>
      </c>
      <c r="BA378" s="431">
        <f t="shared" si="455"/>
        <v>39980.327674559994</v>
      </c>
      <c r="BB378" s="1097">
        <f>(AM378*(1+$FB$9)+$FB$35)*(1+(INDEX(绊状态确认!$T:$T,MATCH($G378,绊状态确认!$B:$B,))+0.2)*AO378)*IF(J378=$FF$17,1+$FE$17,1)*IF(I378=$FF$14,1+$FE$14,1)*(1+$FE$15)</f>
        <v>15706.3512892</v>
      </c>
      <c r="BC378" s="1097">
        <f>(AN378*(1+$FB$10)+$FB$36)*(1+(INDEX(绊状态确认!$T:$T,MATCH($G378,绊状态确认!$B:$B,))+0.2)*AO378)*IF(J378=$FF$17,1+$FE$17,1)*IF(I378=$FF$14,1+$FE$14,1)*(1+$FE$15)</f>
        <v>21033.559400879996</v>
      </c>
      <c r="BD378" s="1104">
        <f>MIN(AT378*0.15+BC378*0.00003+INDEX(绊状态确认!M:M,MATCH($G378,绊状态确认!$B:$B,)),1)</f>
        <v>0.66100678202639995</v>
      </c>
      <c r="BE378" s="432">
        <f>(INDEX(绊状态确认!$N:$N,MATCH($G378,绊状态确认!$B:$B,))+1.5)</f>
        <v>1.9</v>
      </c>
      <c r="BF378" s="1139">
        <f t="array" ref="BF378">SUMPRODUCT(IF(AZ378*AP378*$FI$16:$FI$23*$FA$22&gt;=$FI$24,$FI$24,AZ378*AP378*$FI$16:$FI$23*$FA$22),$FJ$16:$FJ$23)</f>
        <v>58828.005411860002</v>
      </c>
      <c r="BG378" s="1125">
        <f t="array" ref="BG378">SUMPRODUCT(IF(BE378*AZ378*AP378*$FI$16:$FI$23*$FA$22&gt;=$FI$24,$FI$24,BE378*AZ378*AP378*$FI$16:$FI$23*$FA$22),$FJ$16:$FJ$23)</f>
        <v>60000</v>
      </c>
      <c r="BH378" s="1110">
        <f t="shared" si="456"/>
        <v>19867.567261039596</v>
      </c>
      <c r="BI378" s="1111">
        <f>IF(O378="vo",$EW$26/$EW$24*0.05,0)+IF(O378="sk",-$EW$26/$EW$24*(0.05-INDEX(绊状态确认!W:W,MATCH($G378,绊状态确认!$B:$B,)))+0.05*$EW$28,0)+IF(O378="sp",0.05*$EW$32*$EW$30*(1-$EW$33)-(0.05-INDEX(绊状态确认!V:V,MATCH($G378,绊状态确认!$B:$B,)))*$EW$28,0)+IF(O378="gd",-(0.05-INDEX(绊状态确认!X:X,MATCH($G378,绊状态确认!$B:$B,)))*$EW$32*$EW$30*(1-$EW$33),0)</f>
        <v>7726.3029277443748</v>
      </c>
      <c r="BJ378" s="1097">
        <f>IF(O378="vo",0.05*(1-$FI$26)*$FA$24,0)+IF(O378="sk",-(0.05-INDEX(绊状态确认!W:W,MATCH($G378,绊状态确认!$B:$B,)))*(1-$FI$26)*$FA$24+0.05*$FA$26,0)+IF(O378="sp",0.05*$FA$32*$FA$27*(1-$FA$33)/$FA$30+0.05*$FA$29/$FA$69*$FA$27*(1-$FA$33)-(0.05-INDEX(绊状态确认!V:V,MATCH($G378,绊状态确认!$B:$B,)))*$FA$26,0)+IF(O378="gd",-(0.05-INDEX(绊状态确认!X:X,MATCH($G378,绊状态确认!$B:$B,)))*$FA$32*$FA$27*(1-$FA$33)/$FA$30-(0.05-INDEX(绊状态确认!X:X,MATCH($G378,绊状态确认!$B:$B,)))*$FA$29/$FA$69*$FA$27*(1-$FA$33),0)</f>
        <v>393.93433687500004</v>
      </c>
      <c r="BK378" s="1110">
        <f>IF(O378="vo",$EW$26/$EW$24*0.05+$EW$26*(-HP($EW$62,$EW$65,$EW$64)+HP($EW$62,$EW$65,(1.05-INDEX(绊状态确认!U:U,MATCH($G378,绊状态确认!$B:$B,)))*$EW$64)),0)+IF(O378="sk",-$EW$26/$EW$24*(0.05-INDEX(绊状态确认!W:W,MATCH($G378,绊状态确认!$B:$B,)))+0.05*$EW$29,0)+IF(O378="sp",0.05*$EW$32*$EW$30*(1-$EW$33)-(0.05-INDEX(绊状态确认!V:V,MATCH($G378,绊状态确认!$B:$B,)))*$EW$29,0)+IF(O378="gd",-(0.05-INDEX(绊状态确认!X:X,MATCH($G378,绊状态确认!$B:$B,)))*$EW$32*$EW$30*(1-$EW$33)+$EW$26*(-HP($EW$62,$EW$65,$EW$64)+HP($EW$62,$EW$65,0.95*$EW$64)),0)</f>
        <v>6421.6344775026746</v>
      </c>
      <c r="BL378" s="1111">
        <f t="shared" si="457"/>
        <v>0</v>
      </c>
      <c r="BM378" s="1110">
        <f t="shared" si="458"/>
        <v>0</v>
      </c>
      <c r="BN378" s="1113">
        <f t="shared" si="459"/>
        <v>4</v>
      </c>
      <c r="BO378" s="1108">
        <f t="shared" si="460"/>
        <v>6010.2953161679998</v>
      </c>
      <c r="BP378" s="1100">
        <f t="shared" si="461"/>
        <v>295.12137612040135</v>
      </c>
      <c r="BQ378" s="1113" t="s">
        <v>132</v>
      </c>
      <c r="BR378" s="1124" t="s">
        <v>557</v>
      </c>
      <c r="BS378" s="1098">
        <f>IF($P378="","N/A",IF($P378=-1,INDEX('卡片raw data'!AX:AX,MATCH($D378,'卡片raw data'!$F:$F,)),0)+IF($L378="party卡",IF($P378=5,INDEX('卡片raw data'!BD:BD,MATCH($D378,'卡片raw data'!$F:$F,)),IF($P378&gt;=3,INDEX('卡片raw data'!BC:BC,MATCH($D378,'卡片raw data'!$F:$F,)),INDEX('卡片raw data'!BB:BB,MATCH($D378,'卡片raw data'!$F:$F,)))),IF(OR(AND($F378="UR",$P378=0),AND($F378="SR",$P378&gt;=0,$P378&lt;=2),AND($F378="R",$P378&gt;=0,$P378&lt;4)),INDEX('卡片raw data'!AZ:AZ,MATCH($D378,'卡片raw data'!$F:$F,)),0)+IF(OR(AND($F378="UR",$P378&gt;=1,$P378&lt;=4),AND($F378="SR",$P378&lt;=4,$P378&gt;=3),AND($F378="R",$P378=4)),INDEX('卡片raw data'!BA:BA,MATCH($D378,'卡片raw data'!$F:$F,)),0)+IF($P378=5,INDEX('卡片raw data'!BB:BB,MATCH($D378,'卡片raw data'!$F:$F,)),0)))</f>
        <v>5.1999999999999998E-2</v>
      </c>
      <c r="BT378" s="1101">
        <f t="shared" si="462"/>
        <v>2083.5690429382403</v>
      </c>
      <c r="BU378" s="1097">
        <f t="shared" si="463"/>
        <v>76.73155779130434</v>
      </c>
      <c r="BV378" s="1097">
        <f t="shared" si="464"/>
        <v>1172.00758665276</v>
      </c>
      <c r="BW378" s="1112">
        <f t="shared" si="465"/>
        <v>0</v>
      </c>
      <c r="BX378" s="1100">
        <f t="shared" si="466"/>
        <v>2083.5690429382403</v>
      </c>
      <c r="BY378" s="1110">
        <f t="shared" si="467"/>
        <v>1172.00758665276</v>
      </c>
      <c r="BZ378" s="1113" t="s">
        <v>569</v>
      </c>
      <c r="CA378" s="1124"/>
      <c r="CB378" s="1098">
        <f>IF($P378="","N/A",IF($P378=-1,INDEX('卡片raw data'!BE:BE,MATCH($D378,'卡片raw data'!$F:$F,)),0)+IF($L378="party卡",IF($P378=5,INDEX('卡片raw data'!BK:BK,MATCH($D378,'卡片raw data'!$F:$F,)),IF($P378&gt;=3,INDEX('卡片raw data'!BJ:BJ,MATCH($D378,'卡片raw data'!$F:$F,)),INDEX('卡片raw data'!BI:BI,MATCH($D378,'卡片raw data'!$F:$F,)))),IF(OR(AND($F378="UR",$P378=0),AND($F378="SR",$P378&gt;=0,$P378&lt;=2),AND($F378="R",$P378&gt;=0,$P378&lt;4)),INDEX('卡片raw data'!BG:BG,MATCH($D378,'卡片raw data'!$F:$F,)),0)+IF(OR(AND($F378="UR",$P378&gt;=1,$P378&lt;=4),AND($F378="SR",$P378&lt;=4,$P378&gt;=3),AND($F378="R",$P378=4)),INDEX('卡片raw data'!BH:BH,MATCH($D378,'卡片raw data'!$F:$F,)),0)+IF($P378=5,INDEX('卡片raw data'!BI:BI,MATCH($D378,'卡片raw data'!$F:$F,)),0)))</f>
        <v>0</v>
      </c>
      <c r="CC378" s="1101">
        <f t="shared" si="468"/>
        <v>0</v>
      </c>
      <c r="CD378" s="1097">
        <f>IF(BZ378="ap",CB378*(1-$FI$26)*$FB$5/$FB$11*(+IF(CA378="全员",$FA$24,0)+IF(CA378="同作战",$FA$24,0)+IF(CA378="仲间",$FA$24*2/3,0)+IF(CA378="同属性",$FA$24*$FA$37/3,0)+IF(CA378="同年级",$FA$24*$FA$40/3,0)+IF(CA378="同学校",$FA$24*$FA$43/3,0)+IF(CA378="同小队",$FA$24*$FA$46/3,0)+IF(CA378="同type",$FA$24*INDEX($FB$49:$FB$52,MATCH(X378,$FA$49:$FA$52,))/3,0)+IF(CA378="自身",#REF!/3,0)),0)+IF(BZ378="te",CB378*(1-$FI$27)*($FA$20-1)*$FB$7/$FB$13*(+IF(CA378="全员",$FA$19*$FA$24/(1+($FA$20-1)*$FA$19),0)+IF(CA378="同作战",$FA$19*$FA$24/(1+($FA$20-1)*$FA$19),0)+IF(CA378="仲间",$FA$19*$FA$24*2/3/(1+($FA$20-1)*$FA$19),0)+IF(CA378="同属性",$FA$19*$FA$24*$FA$37/3/(1+($FA$20-1)*$FA$19),0)+IF(CA378="同年级",$FA$19*$FA$24*$FA$40/3/(1+($FA$20-1)*$FA$19),0)+IF(CA378="同学校",$FA$19*$FA$24*$FA$43/3/(1+($FA$20-1)*$FA$19),0)+IF(CA378="同小队",$FA$19*$FA$24*$FA$46/3/(1+($FA$20-1)*$FA$19),0)+IF(CA378="同type",$FA$19*$FA$24*INDEX($FB$49:$FB$52,MATCH(X378,$FA$49:$FA$52,))/3/(1+($FA$20-1)*$FA$19),0)+IF(CA378="自身",$FA$19*#REF!/3/(1+(BH378-1)*$BD378),0)),0)</f>
        <v>0</v>
      </c>
      <c r="CE378" s="1097">
        <f t="shared" si="469"/>
        <v>0</v>
      </c>
      <c r="CF378" s="1112">
        <f t="shared" si="470"/>
        <v>0</v>
      </c>
      <c r="CG378" s="1100">
        <f t="shared" si="471"/>
        <v>0</v>
      </c>
      <c r="CH378" s="1110">
        <f t="shared" si="472"/>
        <v>0</v>
      </c>
      <c r="CI378" s="1113" t="s">
        <v>164</v>
      </c>
      <c r="CJ378" s="1114">
        <v>1</v>
      </c>
      <c r="CK378" s="1115" t="s">
        <v>167</v>
      </c>
      <c r="CL378" s="1115" t="s">
        <v>1835</v>
      </c>
      <c r="CM378" s="1119">
        <v>4.1000000000000002E-2</v>
      </c>
      <c r="CN378" s="1115">
        <v>5</v>
      </c>
      <c r="CO378" s="1115"/>
      <c r="CP378" s="1118">
        <f t="shared" si="473"/>
        <v>2.3428571428571426E-3</v>
      </c>
      <c r="CQ378" s="1118">
        <f t="shared" si="474"/>
        <v>2.7333333333333333E-3</v>
      </c>
      <c r="CR378" s="1118">
        <f t="shared" si="475"/>
        <v>1.3178571428571428E-3</v>
      </c>
      <c r="CS378" s="1118">
        <f t="shared" si="476"/>
        <v>0</v>
      </c>
      <c r="CT378" s="1109">
        <f t="shared" si="477"/>
        <v>0</v>
      </c>
      <c r="CU378" s="1101">
        <f t="shared" si="478"/>
        <v>318.58858243773375</v>
      </c>
      <c r="CV378" s="1108">
        <f t="shared" si="479"/>
        <v>17.945897568750002</v>
      </c>
      <c r="CW378" s="1097">
        <f t="shared" si="480"/>
        <v>179.20607762122523</v>
      </c>
      <c r="CX378" s="1097">
        <f t="shared" si="481"/>
        <v>318.58858243773375</v>
      </c>
      <c r="CY378" s="1110">
        <f t="shared" si="482"/>
        <v>179.20607762122523</v>
      </c>
      <c r="CZ378" s="437"/>
      <c r="DA378" s="438"/>
      <c r="DB378" s="439" t="s">
        <v>569</v>
      </c>
      <c r="DC378" s="439"/>
      <c r="DD378" s="443"/>
      <c r="DE378" s="411"/>
      <c r="DF378" s="411"/>
      <c r="DG378" s="1116">
        <f t="shared" si="483"/>
        <v>0</v>
      </c>
      <c r="DH378" s="1116">
        <f t="shared" si="484"/>
        <v>0</v>
      </c>
      <c r="DI378" s="1116">
        <f t="shared" si="485"/>
        <v>0</v>
      </c>
      <c r="DJ378" s="442">
        <f t="shared" si="486"/>
        <v>0</v>
      </c>
      <c r="DK378" s="1109">
        <f t="shared" si="487"/>
        <v>0</v>
      </c>
      <c r="DL378" s="1101">
        <f t="shared" si="488"/>
        <v>0</v>
      </c>
      <c r="DM378" s="1097">
        <f t="shared" si="489"/>
        <v>0</v>
      </c>
      <c r="DN378" s="1097">
        <f t="shared" si="490"/>
        <v>0</v>
      </c>
      <c r="DO378" s="1097">
        <f t="shared" si="491"/>
        <v>0</v>
      </c>
      <c r="DP378" s="1110">
        <f t="shared" si="492"/>
        <v>0</v>
      </c>
      <c r="DQ378" s="1113" t="s">
        <v>545</v>
      </c>
      <c r="DR378" s="1120">
        <f t="shared" si="493"/>
        <v>0.33</v>
      </c>
      <c r="DS378" s="1124"/>
      <c r="DT378" s="1093" t="s">
        <v>132</v>
      </c>
      <c r="DU378" s="1093"/>
      <c r="DV378" s="1098">
        <f>IF($P378="","N/A",IF(P378=-1,INDEX('卡片raw data'!AN:AN,MATCH(D378,'卡片raw data'!$F:$F,)),0)+IF(AND(L378&lt;&gt;"party卡",P378&lt;=2,P378&gt;=0),INDEX('卡片raw data'!AP:AP,MATCH(D378,'卡片raw data'!$F:$F,)),0)+IF(OR(AND(L378="party卡",P378&lt;=1),AND(P378&lt;=4,L378&lt;&gt;"party卡",P378&gt;=3)),INDEX('卡片raw data'!AQ:AQ,MATCH(D378,'卡片raw data'!$F:$F,)),0)+IF(OR(P378=5,AND(L378="party卡",P378&gt;=2)),INDEX('卡片raw data'!AR:AR,MATCH(D378,'卡片raw data'!$F:$F,)),0))</f>
        <v>0.42</v>
      </c>
      <c r="DW378" s="1098">
        <f t="shared" si="494"/>
        <v>0.33</v>
      </c>
      <c r="DX378" s="1098">
        <f t="shared" si="495"/>
        <v>0.33</v>
      </c>
      <c r="DY378" s="1097">
        <f t="shared" si="496"/>
        <v>2678.6595770734798</v>
      </c>
      <c r="DZ378" s="1097">
        <f t="shared" si="497"/>
        <v>2077.0539853159735</v>
      </c>
      <c r="EA378" s="1098">
        <f t="shared" si="498"/>
        <v>0</v>
      </c>
      <c r="EB378" s="1121">
        <f t="shared" si="499"/>
        <v>0</v>
      </c>
      <c r="EC378" s="1101">
        <f t="shared" si="500"/>
        <v>2946.5255347808279</v>
      </c>
      <c r="ED378" s="1097">
        <f t="shared" si="501"/>
        <v>2077.0539853159735</v>
      </c>
      <c r="EE378" s="1110">
        <f t="shared" si="513"/>
        <v>2946.5255347808279</v>
      </c>
      <c r="EF378" s="1115" t="s">
        <v>569</v>
      </c>
      <c r="EG378" s="1120">
        <f t="shared" si="503"/>
        <v>0.33</v>
      </c>
      <c r="EH378" s="1124"/>
      <c r="EI378" s="1093"/>
      <c r="EJ378" s="1093"/>
      <c r="EK378" s="1097">
        <f>IF($P378="","N/A",IF(P378=-1,INDEX('卡片raw data'!AS:AS,MATCH(D378,'卡片raw data'!$F:$F,)),0)+IF(AND(L378&lt;&gt;"party卡",P378&lt;=2,P378&gt;=0),INDEX('卡片raw data'!AU:AU,MATCH(D378,'卡片raw data'!$F:$F,)),0)+IF(OR(AND(L378="party卡",P378&lt;=1),AND(P378&lt;=4,L378&lt;&gt;"party卡",P378&gt;=3)),INDEX('卡片raw data'!AV:AV,MATCH(D378,'卡片raw data'!$F:$F,)),0)+IF(OR(P378=5,AND(L378="party卡",P378&gt;=2)),INDEX('卡片raw data'!AW:AW,MATCH(D378,'卡片raw data'!$F:$F,)),0))</f>
        <v>0</v>
      </c>
      <c r="EL378" s="1098">
        <f t="shared" si="504"/>
        <v>0.33</v>
      </c>
      <c r="EM378" s="1098">
        <f t="shared" si="505"/>
        <v>0.33</v>
      </c>
      <c r="EN378" s="1097">
        <f t="shared" si="506"/>
        <v>0</v>
      </c>
      <c r="EO378" s="1097">
        <f t="shared" si="507"/>
        <v>0</v>
      </c>
      <c r="EP378" s="1098">
        <f t="shared" si="508"/>
        <v>0</v>
      </c>
      <c r="EQ378" s="1121">
        <f t="shared" si="509"/>
        <v>0</v>
      </c>
      <c r="ER378" s="1101">
        <f t="shared" si="510"/>
        <v>0</v>
      </c>
      <c r="ES378" s="1097">
        <f t="shared" si="511"/>
        <v>0</v>
      </c>
      <c r="ET378" s="1122">
        <f t="shared" si="514"/>
        <v>0</v>
      </c>
    </row>
    <row r="379" spans="2:150" ht="16.5" customHeight="1">
      <c r="B379" s="1123" t="str">
        <f>INDEX('卡片raw data'!B:B,MATCH($D379,'卡片raw data'!$F:$F,))</f>
        <v>三专菜</v>
      </c>
      <c r="C379" s="449" t="s">
        <v>1839</v>
      </c>
      <c r="D379" s="408">
        <v>376</v>
      </c>
      <c r="E379" s="477">
        <v>302072003</v>
      </c>
      <c r="F379" s="1090" t="str">
        <f>INDEX('卡片raw data'!C:C,MATCH($D379,'卡片raw data'!$F:$F,))</f>
        <v>SR</v>
      </c>
      <c r="G379" s="1094" t="s">
        <v>1840</v>
      </c>
      <c r="H379" s="411">
        <f>IFERROR(INDEX(绊状态确认!C:C,MATCH($G379,绊状态确认!$B:$B,)),"")</f>
        <v>207</v>
      </c>
      <c r="I379" s="450" t="str">
        <f>IFERROR(INDEX(绊状态确认!D:D,MATCH($G379,绊状态确认!$B:$B,)),"")</f>
        <v>虹</v>
      </c>
      <c r="J379" s="450" t="str">
        <f>IFERROR(INDEX(绊状态确认!E:E,MATCH($G379,绊状态确认!$B:$B,)),"")</f>
        <v>2年级</v>
      </c>
      <c r="K379" s="451" t="str">
        <f>IFERROR(INDEX(绊状态确认!F:F,MATCH($G379,绊状态确认!$B:$B,)),"")</f>
        <v>A·ZU·NA</v>
      </c>
      <c r="L379" s="1094" t="str">
        <f>INDEX('卡片raw data'!E:E,MATCH($D379,'卡片raw data'!$F:$F,))</f>
        <v>卡池卡</v>
      </c>
      <c r="M379" s="478">
        <v>44191</v>
      </c>
      <c r="N379" s="479">
        <v>30.5</v>
      </c>
      <c r="O379" s="1091" t="str">
        <f>INDEX('卡片raw data'!D:D,MATCH($D379,'卡片raw data'!$F:$F,))</f>
        <v>sp</v>
      </c>
      <c r="P379" s="1126">
        <v>5</v>
      </c>
      <c r="Q379" s="1095">
        <f t="shared" si="428"/>
        <v>35604.761189954319</v>
      </c>
      <c r="R379" s="1096">
        <f t="shared" si="429"/>
        <v>0.41299999999999998</v>
      </c>
      <c r="S379" s="1097">
        <f t="shared" si="430"/>
        <v>18747.200688486791</v>
      </c>
      <c r="T379" s="1098">
        <f t="shared" si="431"/>
        <v>0.93700000000000006</v>
      </c>
      <c r="U379" s="1099">
        <f t="shared" si="432"/>
        <v>9.8503263462128583</v>
      </c>
      <c r="V379" s="1100">
        <f t="shared" si="433"/>
        <v>34587.129575477411</v>
      </c>
      <c r="W379" s="1101">
        <f t="shared" si="434"/>
        <v>4527.741915168941</v>
      </c>
      <c r="X379" s="1096">
        <f t="shared" si="435"/>
        <v>5.1999999999999998E-2</v>
      </c>
      <c r="Y379" s="1097">
        <f t="shared" si="436"/>
        <v>782.36838552308654</v>
      </c>
      <c r="Z379" s="1102">
        <f t="shared" si="437"/>
        <v>9.8503263462128583</v>
      </c>
      <c r="AA379" s="1103">
        <f t="shared" si="438"/>
        <v>5310.1103006920275</v>
      </c>
      <c r="AB379" s="1101">
        <f t="shared" si="439"/>
        <v>8284.1764877739406</v>
      </c>
      <c r="AC379" s="1104">
        <f t="shared" si="440"/>
        <v>9.6000000000000002E-2</v>
      </c>
      <c r="AD379" s="1105">
        <f t="shared" si="441"/>
        <v>-1.9908281250000003E-2</v>
      </c>
      <c r="AE379" s="1128">
        <f t="shared" si="442"/>
        <v>41.311625724637679</v>
      </c>
      <c r="AF379" s="1130">
        <f t="shared" si="443"/>
        <v>0</v>
      </c>
      <c r="AG379" s="420">
        <f t="shared" si="444"/>
        <v>0</v>
      </c>
      <c r="AH379" s="420">
        <f t="shared" si="445"/>
        <v>0</v>
      </c>
      <c r="AI379" s="1097">
        <f t="shared" si="446"/>
        <v>0</v>
      </c>
      <c r="AJ379" s="420">
        <f t="shared" si="447"/>
        <v>0</v>
      </c>
      <c r="AK379" s="518">
        <f t="shared" si="448"/>
        <v>0</v>
      </c>
      <c r="AL379" s="1106">
        <f>IF($P379="","N/A",(IF($P379=-1,INDEX('卡片raw data'!S:S,MATCH($D379,'卡片raw data'!$F:$F,)),0)+IF($P379=0,INDEX('卡片raw data'!V:V,MATCH($D379,'卡片raw data'!$F:$F,)),0)+IF($P379=1,INDEX('卡片raw data'!Y:Y,MATCH($D379,'卡片raw data'!$F:$F,)),0)+IF($P379=2,INDEX('卡片raw data'!AB:AB,MATCH($D379,'卡片raw data'!$F:$F,)),0)+IF($P379=3,INDEX('卡片raw data'!AE:AE,MATCH($D379,'卡片raw data'!$F:$F,)),0)+IF($P379=4,INDEX('卡片raw data'!AH:AH,MATCH($D379,'卡片raw data'!$F:$F,)),0)+IF($P379=5,INDEX('卡片raw data'!AK:AK,MATCH($D379,'卡片raw data'!$F:$F,)),0)+INDEX('卡片raw data'!S:S,MATCH($D379,'卡片raw data'!$F:$F,))*(IF($F379="UR",0.04,0.033))*(IF($F379="UR",INDEX(绊状态确认!$S:$S,MATCH($G379,绊状态确认!$B:$B,))/2-40)+IF($F379="SR",INDEX(绊状态确认!$R:$R,MATCH($G379,绊状态确认!$B:$B,))/4-15))+IF($F379="R",INDEX(绊状态确认!$Q:$Q,MATCH($G379,绊状态确认!$B:$B,))/6-40/6)))*(INDEX(绊状态确认!$H:$H,MATCH($G379,绊状态确认!$B:$B,))+INDEX(绊状态确认!J:J,MATCH($G379,绊状态确认!$B:$B,)))</f>
        <v>7444.2609359999988</v>
      </c>
      <c r="AM379" s="1106">
        <f>IF($P379="","N/A",(IF($P379=-1,INDEX('卡片raw data'!T:T,MATCH($D379,'卡片raw data'!$F:$F,)),0)+IF($P379=0,INDEX('卡片raw data'!W:W,MATCH($D379,'卡片raw data'!$F:$F,)),0)+IF($P379=1,INDEX('卡片raw data'!Z:Z,MATCH($D379,'卡片raw data'!$F:$F,)),0)+IF($P379=2,INDEX('卡片raw data'!AC:AC,MATCH($D379,'卡片raw data'!$F:$F,)),0)+IF($P379=3,INDEX('卡片raw data'!AF:AF,MATCH($D379,'卡片raw data'!$F:$F,)),0)+IF($P379=4,INDEX('卡片raw data'!AI:AI,MATCH($D379,'卡片raw data'!$F:$F,)),0)+IF($P379=5,INDEX('卡片raw data'!AL:AL,MATCH($D379,'卡片raw data'!$F:$F,)),0)+INDEX('卡片raw data'!T:T,MATCH($D379,'卡片raw data'!$F:$F,))*(IF($F379="UR",0.04,0.033))*(IF($F379="UR",INDEX(绊状态确认!$S:$S,MATCH($G379,绊状态确认!$B:$B,))/2-40)+IF($F379="SR",INDEX(绊状态确认!$R:$R,MATCH($G379,绊状态确认!$B:$B,))/4-15))+IF($F379="R",INDEX(绊状态确认!$Q:$Q,MATCH($G379,绊状态确认!$B:$B,))/6-40/6)))*(INDEX(绊状态确认!$H:$H,MATCH($G379,绊状态确认!$B:$B,))+INDEX(绊状态确认!K:K,MATCH($G379,绊状态确认!$B:$B,)))</f>
        <v>4754.3134967999995</v>
      </c>
      <c r="AN379" s="1106">
        <f>IF($P379="","N/A",(IF($P379=-1,INDEX('卡片raw data'!U:U,MATCH($D379,'卡片raw data'!$F:$F,)),0)+IF($P379=0,INDEX('卡片raw data'!X:X,MATCH($D379,'卡片raw data'!$F:$F,)),0)+IF($P379=1,INDEX('卡片raw data'!AA:AA,MATCH($D379,'卡片raw data'!$F:$F,)),0)+IF($P379=2,INDEX('卡片raw data'!AD:AD,MATCH($D379,'卡片raw data'!$F:$F,)),0)+IF($P379=3,INDEX('卡片raw data'!AG:AG,MATCH($D379,'卡片raw data'!$F:$F,)),0)+IF($P379=4,INDEX('卡片raw data'!AJ:AJ,MATCH($D379,'卡片raw data'!$F:$F,)),0)+IF($P379=5,INDEX('卡片raw data'!AM:AM,MATCH($D379,'卡片raw data'!$F:$F,)),0)+INDEX('卡片raw data'!U:U,MATCH($D379,'卡片raw data'!$F:$F,))*(IF($F379="UR",0.04,0.033))*(IF($F379="UR",INDEX(绊状态确认!$S:$S,MATCH($G379,绊状态确认!$B:$B,))/2-40)+IF($F379="SR",INDEX(绊状态确认!$R:$R,MATCH($G379,绊状态确认!$B:$B,))/4-15))+IF($F379="R",INDEX(绊状态确认!$Q:$Q,MATCH($G379,绊状态确认!$B:$B,))/6-40/6)))*(INDEX(绊状态确认!$H:$H,MATCH($G379,绊状态确认!$B:$B,))+INDEX(绊状态确认!L:L,MATCH($G379,绊状态确认!$B:$B,)))</f>
        <v>8476.4439647999989</v>
      </c>
      <c r="AO379" s="1107">
        <f t="shared" si="449"/>
        <v>1</v>
      </c>
      <c r="AP379" s="1131">
        <f>1+(INDEX(绊状态确认!$T:$T,MATCH($G379,绊状态确认!$B:$B,))+0.2)*$AO379</f>
        <v>1.3</v>
      </c>
      <c r="AQ379" s="1108">
        <f t="shared" si="450"/>
        <v>22791.184956999998</v>
      </c>
      <c r="AR379" s="1097">
        <f>(AM379*(1+$EX$9)+$EX$35)*(1+(INDEX(绊状态确认!$T:$T,MATCH($G379,绊状态确认!$B:$B,))+0.2)*AO379)*IF(J379=$FF$17,1+$FE$17,1)*IF(I379=$FF$14,1+$FE$14,1)</f>
        <v>9193.6379231320007</v>
      </c>
      <c r="AS379" s="1097">
        <f>(AN379*(1+$EX$10)+$EX$36)*(1+(INDEX(绊状态确认!$T:$T,MATCH($G379,绊状态确认!$B:$B,))+0.2)*AO379)*IF(J379=$FF$17,1+$FE$17,1)*IF(I379=$FF$14,1+$FE$14,1)</f>
        <v>16728.283727375998</v>
      </c>
      <c r="AT379" s="1093">
        <f>IF(AND(INDEX('卡片raw data'!AK:AK,MATCH($D379,'卡片raw data'!$F:$F,))&lt;INDEX('卡片raw data'!AM:AM,MATCH($D379,'卡片raw data'!$F:$F,)),INDEX('卡片raw data'!AL:AL,MATCH($D379,'卡片raw data'!$F:$F,))&lt;INDEX('卡片raw data'!AM:AM,MATCH($D379,'卡片raw data'!$F:$F,))),1,0)</f>
        <v>1</v>
      </c>
      <c r="AU379" s="1098">
        <f>MIN(AT379*0.15+AS379*0.00003+INDEX(绊状态确认!M:M,MATCH($G379,绊状态确认!$B:$B,)),1)</f>
        <v>0.68184851182128003</v>
      </c>
      <c r="AV379" s="1109">
        <f>(INDEX(绊状态确认!$N:$N,MATCH($G379,绊状态确认!$B:$B,))+1.5)*$EW$21</f>
        <v>2.6599999999999997</v>
      </c>
      <c r="AW379" s="1101">
        <f t="shared" si="451"/>
        <v>25233.918035513714</v>
      </c>
      <c r="AX379" s="1097">
        <f t="shared" si="452"/>
        <v>782.36838552308632</v>
      </c>
      <c r="AY379" s="1110">
        <f t="shared" si="453"/>
        <v>26016.286421036799</v>
      </c>
      <c r="AZ379" s="429">
        <f t="shared" si="454"/>
        <v>17116.308825199998</v>
      </c>
      <c r="BA379" s="431">
        <f t="shared" si="455"/>
        <v>20539.570590239997</v>
      </c>
      <c r="BB379" s="1097">
        <f>(AM379*(1+$FB$9)+$FB$35)*(1+(INDEX(绊状态确认!$T:$T,MATCH($G379,绊状态确认!$B:$B,))+0.2)*AO379)*IF(J379=$FF$17,1+$FE$17,1)*IF(I379=$FF$14,1+$FE$14,1)*(1+$FE$15)</f>
        <v>9193.6379231320007</v>
      </c>
      <c r="BC379" s="1097">
        <f>(AN379*(1+$FB$10)+$FB$36)*(1+(INDEX(绊状态确认!$T:$T,MATCH($G379,绊状态确认!$B:$B,))+0.2)*AO379)*IF(J379=$FF$17,1+$FE$17,1)*IF(I379=$FF$14,1+$FE$14,1)*(1+$FE$15)</f>
        <v>16728.283727375998</v>
      </c>
      <c r="BD379" s="1104">
        <f>MIN(AT379*0.15+BC379*0.00003+INDEX(绊状态确认!M:M,MATCH($G379,绊状态确认!$B:$B,)),1)</f>
        <v>0.68184851182128003</v>
      </c>
      <c r="BE379" s="432">
        <f>(INDEX(绊状态确认!$N:$N,MATCH($G379,绊状态确认!$B:$B,))+1.5)</f>
        <v>1.9</v>
      </c>
      <c r="BF379" s="1139">
        <f t="array" ref="BF379">SUMPRODUCT(IF(AZ379*AP379*$FI$16:$FI$23*$FA$22&gt;=$FI$24,$FI$24,AZ379*AP379*$FI$16:$FI$23*$FA$22),$FJ$16:$FJ$23)</f>
        <v>34044.3382533228</v>
      </c>
      <c r="BG379" s="1125">
        <f t="array" ref="BG379">SUMPRODUCT(IF(BE379*AZ379*AP379*$FI$16:$FI$23*$FA$22&gt;=$FI$24,$FI$24,BE379*AZ379*AP379*$FI$16:$FI$23*$FA$22),$FJ$16:$FJ$23)</f>
        <v>58406.959883069314</v>
      </c>
      <c r="BH379" s="1110">
        <f t="shared" si="456"/>
        <v>16885.31851854346</v>
      </c>
      <c r="BI379" s="1111">
        <f>IF(O379="vo",$EW$26/$EW$24*0.05,0)+IF(O379="sk",-$EW$26/$EW$24*(0.05-INDEX(绊状态确认!W:W,MATCH($G379,绊状态确认!$B:$B,)))+0.05*$EW$28,0)+IF(O379="sp",0.05*$EW$32*$EW$30*(1-$EW$33)-(0.05-INDEX(绊状态确认!V:V,MATCH($G379,绊状态确认!$B:$B,)))*$EW$28,0)+IF(O379="gd",-(0.05-INDEX(绊状态确认!X:X,MATCH($G379,绊状态确认!$B:$B,)))*$EW$32*$EW$30*(1-$EW$33),0)</f>
        <v>19.999999999999886</v>
      </c>
      <c r="BJ379" s="1097">
        <f>IF(O379="vo",0.05*(1-$FI$26)*$FA$24,0)+IF(O379="sk",-(0.05-INDEX(绊状态确认!W:W,MATCH($G379,绊状态确认!$B:$B,)))*(1-$FI$26)*$FA$24+0.05*$FA$26,0)+IF(O379="sp",0.05*$FA$32*$FA$27*(1-$FA$33)/$FA$30+0.05*$FA$29/$FA$69*$FA$27*(1-$FA$33)-(0.05-INDEX(绊状态确认!V:V,MATCH($G379,绊状态确认!$B:$B,)))*$FA$26,0)+IF(O379="gd",-(0.05-INDEX(绊状态确认!X:X,MATCH($G379,绊状态确认!$B:$B,)))*$FA$32*$FA$27*(1-$FA$33)/$FA$30-(0.05-INDEX(绊状态确认!X:X,MATCH($G379,绊状态确认!$B:$B,)))*$FA$29/$FA$69*$FA$27*(1-$FA$33),0)</f>
        <v>545.83333333333326</v>
      </c>
      <c r="BK379" s="1110">
        <f>IF(O379="vo",$EW$26/$EW$24*0.05+$EW$26*(-HP($EW$62,$EW$65,$EW$64)+HP($EW$62,$EW$65,(1.05-INDEX(绊状态确认!U:U,MATCH($G379,绊状态确认!$B:$B,)))*$EW$64)),0)+IF(O379="sk",-$EW$26/$EW$24*(0.05-INDEX(绊状态确认!W:W,MATCH($G379,绊状态确认!$B:$B,)))+0.05*$EW$29,0)+IF(O379="sp",0.05*$EW$32*$EW$30*(1-$EW$33)-(0.05-INDEX(绊状态确认!V:V,MATCH($G379,绊状态确认!$B:$B,)))*$EW$29,0)+IF(O379="gd",-(0.05-INDEX(绊状态确认!X:X,MATCH($G379,绊状态确认!$B:$B,)))*$EW$32*$EW$30*(1-$EW$33)+$EW$26*(-HP($EW$62,$EW$65,$EW$64)+HP($EW$62,$EW$65,0.95*$EW$64)),0)</f>
        <v>-1780.0000000000005</v>
      </c>
      <c r="BL379" s="1111">
        <f t="shared" si="457"/>
        <v>-1083.3333333333333</v>
      </c>
      <c r="BM379" s="1110">
        <f t="shared" si="458"/>
        <v>-830.55555555555543</v>
      </c>
      <c r="BN379" s="1113">
        <f t="shared" si="459"/>
        <v>3</v>
      </c>
      <c r="BO379" s="1108">
        <f t="shared" si="460"/>
        <v>4507.7214871259994</v>
      </c>
      <c r="BP379" s="1100">
        <f t="shared" si="461"/>
        <v>221.34103209030098</v>
      </c>
      <c r="BQ379" s="1113" t="s">
        <v>132</v>
      </c>
      <c r="BR379" s="1124" t="s">
        <v>168</v>
      </c>
      <c r="BS379" s="1098">
        <f>IF($P379="","N/A",IF($P379=-1,INDEX('卡片raw data'!AX:AX,MATCH($D379,'卡片raw data'!$F:$F,)),0)+IF($L379="party卡",IF($P379=5,INDEX('卡片raw data'!BD:BD,MATCH($D379,'卡片raw data'!$F:$F,)),IF($P379&gt;=3,INDEX('卡片raw data'!BC:BC,MATCH($D379,'卡片raw data'!$F:$F,)),INDEX('卡片raw data'!BB:BB,MATCH($D379,'卡片raw data'!$F:$F,)))),IF(OR(AND($F379="UR",$P379=0),AND($F379="SR",$P379&gt;=0,$P379&lt;=2),AND($F379="R",$P379&gt;=0,$P379&lt;4)),INDEX('卡片raw data'!AZ:AZ,MATCH($D379,'卡片raw data'!$F:$F,)),0)+IF(OR(AND($F379="UR",$P379&gt;=1,$P379&lt;=4),AND($F379="SR",$P379&lt;=4,$P379&gt;=3),AND($F379="R",$P379=4)),INDEX('卡片raw data'!BA:BA,MATCH($D379,'卡片raw data'!$F:$F,)),0)+IF($P379=5,INDEX('卡片raw data'!BB:BB,MATCH($D379,'卡片raw data'!$F:$F,)),0)))</f>
        <v>0.05</v>
      </c>
      <c r="BT379" s="1101">
        <f t="shared" si="462"/>
        <v>3756.4345726050001</v>
      </c>
      <c r="BU379" s="1097">
        <f t="shared" si="463"/>
        <v>184.45086007525089</v>
      </c>
      <c r="BV379" s="1097">
        <f t="shared" si="464"/>
        <v>0</v>
      </c>
      <c r="BW379" s="1112">
        <f t="shared" si="465"/>
        <v>0</v>
      </c>
      <c r="BX379" s="1100">
        <f t="shared" si="466"/>
        <v>3756.4345726050001</v>
      </c>
      <c r="BY379" s="1110">
        <f t="shared" si="467"/>
        <v>0</v>
      </c>
      <c r="BZ379" s="1113" t="s">
        <v>569</v>
      </c>
      <c r="CA379" s="1124"/>
      <c r="CB379" s="1098">
        <f>IF($P379="","N/A",IF($P379=-1,INDEX('卡片raw data'!BE:BE,MATCH($D379,'卡片raw data'!$F:$F,)),0)+IF($L379="party卡",IF($P379=5,INDEX('卡片raw data'!BK:BK,MATCH($D379,'卡片raw data'!$F:$F,)),IF($P379&gt;=3,INDEX('卡片raw data'!BJ:BJ,MATCH($D379,'卡片raw data'!$F:$F,)),INDEX('卡片raw data'!BI:BI,MATCH($D379,'卡片raw data'!$F:$F,)))),IF(OR(AND($F379="UR",$P379=0),AND($F379="SR",$P379&gt;=0,$P379&lt;=2),AND($F379="R",$P379&gt;=0,$P379&lt;4)),INDEX('卡片raw data'!BG:BG,MATCH($D379,'卡片raw data'!$F:$F,)),0)+IF(OR(AND($F379="UR",$P379&gt;=1,$P379&lt;=4),AND($F379="SR",$P379&lt;=4,$P379&gt;=3),AND($F379="R",$P379=4)),INDEX('卡片raw data'!BH:BH,MATCH($D379,'卡片raw data'!$F:$F,)),0)+IF($P379=5,INDEX('卡片raw data'!BI:BI,MATCH($D379,'卡片raw data'!$F:$F,)),0)))</f>
        <v>0</v>
      </c>
      <c r="CC379" s="1101">
        <f t="shared" si="468"/>
        <v>0</v>
      </c>
      <c r="CD379" s="1097">
        <f>IF(BZ379="ap",CB379*(1-$FI$26)*$FB$5/$FB$11*(+IF(CA379="全员",$FA$24,0)+IF(CA379="同作战",$FA$24,0)+IF(CA379="仲间",$FA$24*2/3,0)+IF(CA379="同属性",$FA$24*$FA$37/3,0)+IF(CA379="同年级",$FA$24*$FA$40/3,0)+IF(CA379="同学校",$FA$24*$FA$43/3,0)+IF(CA379="同小队",$FA$24*$FA$46/3,0)+IF(CA379="同type",$FA$24*INDEX($FB$49:$FB$52,MATCH(X379,$FA$49:$FA$52,))/3,0)+IF(CA379="自身",#REF!/3,0)),0)+IF(BZ379="te",CB379*(1-$FI$27)*($FA$20-1)*$FB$7/$FB$13*(+IF(CA379="全员",$FA$19*$FA$24/(1+($FA$20-1)*$FA$19),0)+IF(CA379="同作战",$FA$19*$FA$24/(1+($FA$20-1)*$FA$19),0)+IF(CA379="仲间",$FA$19*$FA$24*2/3/(1+($FA$20-1)*$FA$19),0)+IF(CA379="同属性",$FA$19*$FA$24*$FA$37/3/(1+($FA$20-1)*$FA$19),0)+IF(CA379="同年级",$FA$19*$FA$24*$FA$40/3/(1+($FA$20-1)*$FA$19),0)+IF(CA379="同学校",$FA$19*$FA$24*$FA$43/3/(1+($FA$20-1)*$FA$19),0)+IF(CA379="同小队",$FA$19*$FA$24*$FA$46/3/(1+($FA$20-1)*$FA$19),0)+IF(CA379="同type",$FA$19*$FA$24*INDEX($FB$49:$FB$52,MATCH(X379,$FA$49:$FA$52,))/3/(1+($FA$20-1)*$FA$19),0)+IF(CA379="自身",$FA$19*#REF!/3/(1+(BH379-1)*$BD379),0)),0)</f>
        <v>0</v>
      </c>
      <c r="CE379" s="1097">
        <f t="shared" si="469"/>
        <v>0</v>
      </c>
      <c r="CF379" s="1112">
        <f t="shared" si="470"/>
        <v>0</v>
      </c>
      <c r="CG379" s="1100">
        <f t="shared" si="471"/>
        <v>0</v>
      </c>
      <c r="CH379" s="1110">
        <f t="shared" si="472"/>
        <v>0</v>
      </c>
      <c r="CI379" s="1113" t="s">
        <v>160</v>
      </c>
      <c r="CJ379" s="1114">
        <v>1</v>
      </c>
      <c r="CK379" s="1115" t="s">
        <v>1841</v>
      </c>
      <c r="CL379" s="1115" t="s">
        <v>1940</v>
      </c>
      <c r="CM379" s="1119">
        <v>8.5999999999999993E-2</v>
      </c>
      <c r="CN379" s="1115"/>
      <c r="CO379" s="1115">
        <v>2</v>
      </c>
      <c r="CP379" s="1116">
        <f t="shared" si="473"/>
        <v>14.00029933072857</v>
      </c>
      <c r="CQ379" s="1116">
        <f t="shared" si="474"/>
        <v>19.626700786229328</v>
      </c>
      <c r="CR379" s="1117">
        <f t="shared" si="475"/>
        <v>14.00029933072857</v>
      </c>
      <c r="CS379" s="1118">
        <f t="shared" si="476"/>
        <v>0</v>
      </c>
      <c r="CT379" s="1109">
        <f t="shared" si="477"/>
        <v>0</v>
      </c>
      <c r="CU379" s="1101">
        <f t="shared" si="478"/>
        <v>20.020428042941855</v>
      </c>
      <c r="CV379" s="1108">
        <f t="shared" si="479"/>
        <v>0</v>
      </c>
      <c r="CW379" s="1097">
        <f t="shared" si="480"/>
        <v>20.020428042941855</v>
      </c>
      <c r="CX379" s="1097">
        <f t="shared" si="481"/>
        <v>20.020428042941855</v>
      </c>
      <c r="CY379" s="1110">
        <f t="shared" si="482"/>
        <v>20.020428042941855</v>
      </c>
      <c r="CZ379" s="437"/>
      <c r="DA379" s="438"/>
      <c r="DB379" s="439" t="s">
        <v>569</v>
      </c>
      <c r="DC379" s="439"/>
      <c r="DD379" s="443"/>
      <c r="DE379" s="411"/>
      <c r="DF379" s="411"/>
      <c r="DG379" s="1116">
        <f t="shared" si="483"/>
        <v>0</v>
      </c>
      <c r="DH379" s="1116">
        <f t="shared" si="484"/>
        <v>0</v>
      </c>
      <c r="DI379" s="1116">
        <f t="shared" si="485"/>
        <v>0</v>
      </c>
      <c r="DJ379" s="442">
        <f t="shared" si="486"/>
        <v>0</v>
      </c>
      <c r="DK379" s="1109">
        <f t="shared" si="487"/>
        <v>0</v>
      </c>
      <c r="DL379" s="1101">
        <f t="shared" si="488"/>
        <v>0</v>
      </c>
      <c r="DM379" s="1097">
        <f t="shared" si="489"/>
        <v>0</v>
      </c>
      <c r="DN379" s="1097">
        <f t="shared" si="490"/>
        <v>0</v>
      </c>
      <c r="DO379" s="1097">
        <f t="shared" si="491"/>
        <v>0</v>
      </c>
      <c r="DP379" s="1110">
        <f t="shared" si="492"/>
        <v>0</v>
      </c>
      <c r="DQ379" s="1113" t="s">
        <v>549</v>
      </c>
      <c r="DR379" s="1120">
        <f t="shared" si="493"/>
        <v>0.3</v>
      </c>
      <c r="DS379" s="1124"/>
      <c r="DT379" s="1093" t="s">
        <v>179</v>
      </c>
      <c r="DU379" s="1093"/>
      <c r="DV379" s="1098">
        <f>IF($P379="","N/A",IF(P379=-1,INDEX('卡片raw data'!AN:AN,MATCH(D379,'卡片raw data'!$F:$F,)),0)+IF(AND(L379&lt;&gt;"party卡",P379&lt;=2,P379&gt;=0),INDEX('卡片raw data'!AP:AP,MATCH(D379,'卡片raw data'!$F:$F,)),0)+IF(OR(AND(L379="party卡",P379&lt;=1),AND(P379&lt;=4,L379&lt;&gt;"party卡",P379&gt;=3)),INDEX('卡片raw data'!AQ:AQ,MATCH(D379,'卡片raw data'!$F:$F,)),0)+IF(OR(P379=5,AND(L379="party卡",P379&gt;=2)),INDEX('卡片raw data'!AR:AR,MATCH(D379,'卡片raw data'!$F:$F,)),0))</f>
        <v>7.0000000000000007E-2</v>
      </c>
      <c r="DW379" s="1098">
        <f t="shared" si="494"/>
        <v>0.3</v>
      </c>
      <c r="DX379" s="1098">
        <f t="shared" si="495"/>
        <v>0.3</v>
      </c>
      <c r="DY379" s="1098">
        <f t="shared" si="496"/>
        <v>7.0000000000000001E-3</v>
      </c>
      <c r="DZ379" s="1098">
        <f t="shared" si="497"/>
        <v>6.9632499999999998E-3</v>
      </c>
      <c r="EA379" s="1098">
        <f t="shared" si="498"/>
        <v>0</v>
      </c>
      <c r="EB379" s="1121">
        <f t="shared" si="499"/>
        <v>42.663074999999999</v>
      </c>
      <c r="EC379" s="1101">
        <f t="shared" si="500"/>
        <v>3150</v>
      </c>
      <c r="ED379" s="1097">
        <f t="shared" si="501"/>
        <v>1740.8125</v>
      </c>
      <c r="EE379" s="1110">
        <f t="shared" si="513"/>
        <v>3150</v>
      </c>
      <c r="EF379" s="1115" t="s">
        <v>569</v>
      </c>
      <c r="EG379" s="1120">
        <f t="shared" si="503"/>
        <v>0.3</v>
      </c>
      <c r="EH379" s="1124"/>
      <c r="EI379" s="1093"/>
      <c r="EJ379" s="1093"/>
      <c r="EK379" s="1097">
        <f>IF($P379="","N/A",IF(P379=-1,INDEX('卡片raw data'!AS:AS,MATCH(D379,'卡片raw data'!$F:$F,)),0)+IF(AND(L379&lt;&gt;"party卡",P379&lt;=2,P379&gt;=0),INDEX('卡片raw data'!AU:AU,MATCH(D379,'卡片raw data'!$F:$F,)),0)+IF(OR(AND(L379="party卡",P379&lt;=1),AND(P379&lt;=4,L379&lt;&gt;"party卡",P379&gt;=3)),INDEX('卡片raw data'!AV:AV,MATCH(D379,'卡片raw data'!$F:$F,)),0)+IF(OR(P379=5,AND(L379="party卡",P379&gt;=2)),INDEX('卡片raw data'!AW:AW,MATCH(D379,'卡片raw data'!$F:$F,)),0))</f>
        <v>0</v>
      </c>
      <c r="EL379" s="1098">
        <f t="shared" si="504"/>
        <v>0.3</v>
      </c>
      <c r="EM379" s="1098">
        <f t="shared" si="505"/>
        <v>0.3</v>
      </c>
      <c r="EN379" s="1097">
        <f t="shared" si="506"/>
        <v>0</v>
      </c>
      <c r="EO379" s="1097">
        <f t="shared" si="507"/>
        <v>0</v>
      </c>
      <c r="EP379" s="1098">
        <f t="shared" si="508"/>
        <v>0</v>
      </c>
      <c r="EQ379" s="1121">
        <f t="shared" si="509"/>
        <v>0</v>
      </c>
      <c r="ER379" s="1101">
        <f t="shared" si="510"/>
        <v>0</v>
      </c>
      <c r="ES379" s="1097">
        <f t="shared" si="511"/>
        <v>0</v>
      </c>
      <c r="ET379" s="1122">
        <f t="shared" si="514"/>
        <v>0</v>
      </c>
    </row>
    <row r="380" spans="2:150" ht="16.5" customHeight="1">
      <c r="B380" s="1123" t="str">
        <f>INDEX('卡片raw data'!B:B,MATCH($D380,'卡片raw data'!$F:$F,))</f>
        <v>四单梨</v>
      </c>
      <c r="C380" s="449" t="s">
        <v>1832</v>
      </c>
      <c r="D380" s="408">
        <v>377</v>
      </c>
      <c r="E380" s="477">
        <v>301022003</v>
      </c>
      <c r="F380" s="1090" t="str">
        <f>INDEX('卡片raw data'!C:C,MATCH($D380,'卡片raw data'!$F:$F,))</f>
        <v>SR</v>
      </c>
      <c r="G380" s="1094" t="s">
        <v>1842</v>
      </c>
      <c r="H380" s="411">
        <f>IFERROR(INDEX(绊状态确认!C:C,MATCH($G380,绊状态确认!$B:$B,)),"")</f>
        <v>102</v>
      </c>
      <c r="I380" s="450" t="str">
        <f>IFERROR(INDEX(绊状态确认!D:D,MATCH($G380,绊状态确认!$B:$B,)),"")</f>
        <v>水</v>
      </c>
      <c r="J380" s="450" t="str">
        <f>IFERROR(INDEX(绊状态确认!E:E,MATCH($G380,绊状态确认!$B:$B,)),"")</f>
        <v>2年级</v>
      </c>
      <c r="K380" s="451" t="str">
        <f>IFERROR(INDEX(绊状态确认!F:F,MATCH($G380,绊状态确认!$B:$B,)),"")</f>
        <v>Guilty Kiss</v>
      </c>
      <c r="L380" s="1094" t="str">
        <f>INDEX('卡片raw data'!E:E,MATCH($D380,'卡片raw data'!$F:$F,))</f>
        <v>卡池卡</v>
      </c>
      <c r="M380" s="478">
        <v>44191</v>
      </c>
      <c r="N380" s="479">
        <v>30.5</v>
      </c>
      <c r="O380" s="1091" t="str">
        <f>INDEX('卡片raw data'!D:D,MATCH($D380,'卡片raw data'!$F:$F,))</f>
        <v>sk</v>
      </c>
      <c r="P380" s="1126">
        <v>5</v>
      </c>
      <c r="Q380" s="1095">
        <f t="shared" si="428"/>
        <v>22004.081335150131</v>
      </c>
      <c r="R380" s="1096">
        <f t="shared" si="429"/>
        <v>0.255</v>
      </c>
      <c r="S380" s="1097">
        <f t="shared" si="430"/>
        <v>15489.057919286124</v>
      </c>
      <c r="T380" s="1098">
        <f t="shared" si="431"/>
        <v>0.77400000000000002</v>
      </c>
      <c r="U380" s="1099">
        <f t="shared" si="432"/>
        <v>492.8801405583398</v>
      </c>
      <c r="V380" s="1100">
        <f t="shared" si="433"/>
        <v>73369.044300172842</v>
      </c>
      <c r="W380" s="1101">
        <f t="shared" si="434"/>
        <v>5464.5032605521719</v>
      </c>
      <c r="X380" s="1096">
        <f t="shared" si="435"/>
        <v>6.3E-2</v>
      </c>
      <c r="Y380" s="1097">
        <f t="shared" si="436"/>
        <v>929.93187539896007</v>
      </c>
      <c r="Z380" s="1102">
        <f t="shared" si="437"/>
        <v>11.664864949362856</v>
      </c>
      <c r="AA380" s="1103">
        <f t="shared" si="438"/>
        <v>6394.435135951132</v>
      </c>
      <c r="AB380" s="1101">
        <f t="shared" si="439"/>
        <v>6421.2850339783445</v>
      </c>
      <c r="AC380" s="1104">
        <f t="shared" si="440"/>
        <v>7.3999999999999996E-2</v>
      </c>
      <c r="AD380" s="1105">
        <f t="shared" si="441"/>
        <v>1.8994224431818179E-2</v>
      </c>
      <c r="AE380" s="1128">
        <f t="shared" si="442"/>
        <v>4.3537577047458456</v>
      </c>
      <c r="AF380" s="1130">
        <f t="shared" si="443"/>
        <v>6416.2036747863594</v>
      </c>
      <c r="AG380" s="420">
        <f t="shared" si="444"/>
        <v>105545.26771392801</v>
      </c>
      <c r="AH380" s="420">
        <f t="shared" si="445"/>
        <v>16.449800078617727</v>
      </c>
      <c r="AI380" s="1097">
        <f t="shared" si="446"/>
        <v>97629.382236589416</v>
      </c>
      <c r="AJ380" s="420">
        <f t="shared" si="447"/>
        <v>73369.044300172842</v>
      </c>
      <c r="AK380" s="518">
        <f t="shared" si="448"/>
        <v>24260.337936416574</v>
      </c>
      <c r="AL380" s="1106">
        <f>IF($P380="","N/A",(IF($P380=-1,INDEX('卡片raw data'!S:S,MATCH($D380,'卡片raw data'!$F:$F,)),0)+IF($P380=0,INDEX('卡片raw data'!V:V,MATCH($D380,'卡片raw data'!$F:$F,)),0)+IF($P380=1,INDEX('卡片raw data'!Y:Y,MATCH($D380,'卡片raw data'!$F:$F,)),0)+IF($P380=2,INDEX('卡片raw data'!AB:AB,MATCH($D380,'卡片raw data'!$F:$F,)),0)+IF($P380=3,INDEX('卡片raw data'!AE:AE,MATCH($D380,'卡片raw data'!$F:$F,)),0)+IF($P380=4,INDEX('卡片raw data'!AH:AH,MATCH($D380,'卡片raw data'!$F:$F,)),0)+IF($P380=5,INDEX('卡片raw data'!AK:AK,MATCH($D380,'卡片raw data'!$F:$F,)),0)+INDEX('卡片raw data'!S:S,MATCH($D380,'卡片raw data'!$F:$F,))*(IF($F380="UR",0.04,0.033))*(IF($F380="UR",INDEX(绊状态确认!$S:$S,MATCH($G380,绊状态确认!$B:$B,))/2-40)+IF($F380="SR",INDEX(绊状态确认!$R:$R,MATCH($G380,绊状态确认!$B:$B,))/4-15))+IF($F380="R",INDEX(绊状态确认!$Q:$Q,MATCH($G380,绊状态确认!$B:$B,))/6-40/6)))*(INDEX(绊状态确认!$H:$H,MATCH($G380,绊状态确认!$B:$B,))+INDEX(绊状态确认!J:J,MATCH($G380,绊状态确认!$B:$B,)))</f>
        <v>6822.1637567999987</v>
      </c>
      <c r="AM380" s="1106">
        <f>IF($P380="","N/A",(IF($P380=-1,INDEX('卡片raw data'!T:T,MATCH($D380,'卡片raw data'!$F:$F,)),0)+IF($P380=0,INDEX('卡片raw data'!W:W,MATCH($D380,'卡片raw data'!$F:$F,)),0)+IF($P380=1,INDEX('卡片raw data'!Z:Z,MATCH($D380,'卡片raw data'!$F:$F,)),0)+IF($P380=2,INDEX('卡片raw data'!AC:AC,MATCH($D380,'卡片raw data'!$F:$F,)),0)+IF($P380=3,INDEX('卡片raw data'!AF:AF,MATCH($D380,'卡片raw data'!$F:$F,)),0)+IF($P380=4,INDEX('卡片raw data'!AI:AI,MATCH($D380,'卡片raw data'!$F:$F,)),0)+IF($P380=5,INDEX('卡片raw data'!AL:AL,MATCH($D380,'卡片raw data'!$F:$F,)),0)+INDEX('卡片raw data'!T:T,MATCH($D380,'卡片raw data'!$F:$F,))*(IF($F380="UR",0.04,0.033))*(IF($F380="UR",INDEX(绊状态确认!$S:$S,MATCH($G380,绊状态确认!$B:$B,))/2-40)+IF($F380="SR",INDEX(绊状态确认!$R:$R,MATCH($G380,绊状态确认!$B:$B,))/4-15))+IF($F380="R",INDEX(绊状态确认!$Q:$Q,MATCH($G380,绊状态确认!$B:$B,))/6-40/6)))*(INDEX(绊状态确认!$H:$H,MATCH($G380,绊状态确认!$B:$B,))+INDEX(绊状态确认!K:K,MATCH($G380,绊状态确认!$B:$B,)))</f>
        <v>5995.0236527999996</v>
      </c>
      <c r="AN380" s="1106">
        <f>IF($P380="","N/A",(IF($P380=-1,INDEX('卡片raw data'!U:U,MATCH($D380,'卡片raw data'!$F:$F,)),0)+IF($P380=0,INDEX('卡片raw data'!X:X,MATCH($D380,'卡片raw data'!$F:$F,)),0)+IF($P380=1,INDEX('卡片raw data'!AA:AA,MATCH($D380,'卡片raw data'!$F:$F,)),0)+IF($P380=2,INDEX('卡片raw data'!AD:AD,MATCH($D380,'卡片raw data'!$F:$F,)),0)+IF($P380=3,INDEX('卡片raw data'!AG:AG,MATCH($D380,'卡片raw data'!$F:$F,)),0)+IF($P380=4,INDEX('卡片raw data'!AJ:AJ,MATCH($D380,'卡片raw data'!$F:$F,)),0)+IF($P380=5,INDEX('卡片raw data'!AM:AM,MATCH($D380,'卡片raw data'!$F:$F,)),0)+INDEX('卡片raw data'!U:U,MATCH($D380,'卡片raw data'!$F:$F,))*(IF($F380="UR",0.04,0.033))*(IF($F380="UR",INDEX(绊状态确认!$S:$S,MATCH($G380,绊状态确认!$B:$B,))/2-40)+IF($F380="SR",INDEX(绊状态确认!$R:$R,MATCH($G380,绊状态确认!$B:$B,))/4-15))+IF($F380="R",INDEX(绊状态确认!$Q:$Q,MATCH($G380,绊状态确认!$B:$B,))/6-40/6)))*(INDEX(绊状态确认!$H:$H,MATCH($G380,绊状态确认!$B:$B,))+INDEX(绊状态确认!L:L,MATCH($G380,绊状态确认!$B:$B,)))</f>
        <v>7857.8309879999988</v>
      </c>
      <c r="AO380" s="1107">
        <f t="shared" si="449"/>
        <v>1</v>
      </c>
      <c r="AP380" s="1131">
        <f>1+(INDEX(绊状态确认!$T:$T,MATCH($G380,绊状态确认!$B:$B,))+0.2)*$AO380</f>
        <v>1.3</v>
      </c>
      <c r="AQ380" s="1108">
        <f t="shared" si="450"/>
        <v>21158.179861599998</v>
      </c>
      <c r="AR380" s="1097">
        <f>(AM380*(1+$EX$9)+$EX$35)*(1+(INDEX(绊状态确认!$T:$T,MATCH($G380,绊状态确认!$B:$B,))+0.2)*AO380)*IF(J380=$FF$17,1+$FE$17,1)*IF(I380=$FF$14,1+$FE$14,1)</f>
        <v>10887.207286072</v>
      </c>
      <c r="AS380" s="1097">
        <f>(AN380*(1+$EX$10)+$EX$36)*(1+(INDEX(绊状态确认!$T:$T,MATCH($G380,绊状态确认!$B:$B,))+0.2)*AO380)*IF(J380=$FF$17,1+$FE$17,1)*IF(I380=$FF$14,1+$FE$14,1)</f>
        <v>15803.457327059998</v>
      </c>
      <c r="AT380" s="1093">
        <f>IF(AND(INDEX('卡片raw data'!AK:AK,MATCH($D380,'卡片raw data'!$F:$F,))&lt;INDEX('卡片raw data'!AM:AM,MATCH($D380,'卡片raw data'!$F:$F,)),INDEX('卡片raw data'!AL:AL,MATCH($D380,'卡片raw data'!$F:$F,))&lt;INDEX('卡片raw data'!AM:AM,MATCH($D380,'卡片raw data'!$F:$F,))),1,0)</f>
        <v>1</v>
      </c>
      <c r="AU380" s="1098">
        <f>MIN(AT380*0.15+AS380*0.00003+INDEX(绊状态确认!M:M,MATCH($G380,绊状态确认!$B:$B,)),1)</f>
        <v>0.65410371981179993</v>
      </c>
      <c r="AV380" s="1109">
        <f>(INDEX(绊状态确认!$N:$N,MATCH($G380,绊状态确认!$B:$B,))+1.5)*$EW$21</f>
        <v>2.6599999999999997</v>
      </c>
      <c r="AW380" s="1101">
        <f t="shared" si="451"/>
        <v>22919.802269475054</v>
      </c>
      <c r="AX380" s="1097">
        <f t="shared" si="452"/>
        <v>929.93187539896007</v>
      </c>
      <c r="AY380" s="1110">
        <f t="shared" si="453"/>
        <v>23849.734144874015</v>
      </c>
      <c r="AZ380" s="429">
        <f t="shared" si="454"/>
        <v>15903.219325759997</v>
      </c>
      <c r="BA380" s="431">
        <f t="shared" si="455"/>
        <v>19083.863190911998</v>
      </c>
      <c r="BB380" s="1097">
        <f>(AM380*(1+$FB$9)+$FB$35)*(1+(INDEX(绊状态确认!$T:$T,MATCH($G380,绊状态确认!$B:$B,))+0.2)*AO380)*IF(J380=$FF$17,1+$FE$17,1)*IF(I380=$FF$14,1+$FE$14,1)*(1+$FE$15)</f>
        <v>10887.207286072</v>
      </c>
      <c r="BC380" s="1097">
        <f>(AN380*(1+$FB$10)+$FB$36)*(1+(INDEX(绊状态确认!$T:$T,MATCH($G380,绊状态确认!$B:$B,))+0.2)*AO380)*IF(J380=$FF$17,1+$FE$17,1)*IF(I380=$FF$14,1+$FE$14,1)*(1+$FE$15)</f>
        <v>15803.457327059998</v>
      </c>
      <c r="BD380" s="1104">
        <f>MIN(AT380*0.15+BC380*0.00003+INDEX(绊状态确认!M:M,MATCH($G380,绊状态确认!$B:$B,)),1)</f>
        <v>0.65410371981179993</v>
      </c>
      <c r="BE380" s="432">
        <f>(INDEX(绊状态确认!$N:$N,MATCH($G380,绊状态确认!$B:$B,))+1.5)</f>
        <v>1.9</v>
      </c>
      <c r="BF380" s="1139">
        <f t="array" ref="BF380">SUMPRODUCT(IF(AZ380*AP380*$FI$16:$FI$23*$FA$22&gt;=$FI$24,$FI$24,AZ380*AP380*$FI$16:$FI$23*$FA$22),$FJ$16:$FJ$23)</f>
        <v>31631.503238936642</v>
      </c>
      <c r="BG380" s="1125">
        <f t="array" ref="BG380">SUMPRODUCT(IF(BE380*AZ380*AP380*$FI$16:$FI$23*$FA$22&gt;=$FI$24,$FI$24,BE380*AZ380*AP380*$FI$16:$FI$23*$FA$22),$FJ$16:$FJ$23)</f>
        <v>56603.18993974058</v>
      </c>
      <c r="BH380" s="1110">
        <f t="shared" si="456"/>
        <v>15988.525466635785</v>
      </c>
      <c r="BI380" s="1111">
        <f>IF(O380="vo",$EW$26/$EW$24*0.05,0)+IF(O380="sk",-$EW$26/$EW$24*(0.05-INDEX(绊状态确认!W:W,MATCH($G380,绊状态确认!$B:$B,)))+0.05*$EW$28,0)+IF(O380="sp",0.05*$EW$32*$EW$30*(1-$EW$33)-(0.05-INDEX(绊状态确认!V:V,MATCH($G380,绊状态确认!$B:$B,)))*$EW$28,0)+IF(O380="gd",-(0.05-INDEX(绊状态确认!X:X,MATCH($G380,绊状态确认!$B:$B,)))*$EW$32*$EW$30*(1-$EW$33),0)</f>
        <v>-6253.6726349699375</v>
      </c>
      <c r="BJ380" s="1097">
        <f>IF(O380="vo",0.05*(1-$FI$26)*$FA$24,0)+IF(O380="sk",-(0.05-INDEX(绊状态确认!W:W,MATCH($G380,绊状态确认!$B:$B,)))*(1-$FI$26)*$FA$24+0.05*$FA$26,0)+IF(O380="sp",0.05*$FA$32*$FA$27*(1-$FA$33)/$FA$30+0.05*$FA$29/$FA$69*$FA$27*(1-$FA$33)-(0.05-INDEX(绊状态确认!V:V,MATCH($G380,绊状态确认!$B:$B,)))*$FA$26,0)+IF(O380="gd",-(0.05-INDEX(绊状态确认!X:X,MATCH($G380,绊状态确认!$B:$B,)))*$FA$32*$FA$27*(1-$FA$33)/$FA$30-(0.05-INDEX(绊状态确认!X:X,MATCH($G380,绊状态确认!$B:$B,)))*$FA$29/$FA$69*$FA$27*(1-$FA$33),0)</f>
        <v>20.459096812499922</v>
      </c>
      <c r="BK380" s="1110">
        <f>IF(O380="vo",$EW$26/$EW$24*0.05+$EW$26*(-HP($EW$62,$EW$65,$EW$64)+HP($EW$62,$EW$65,(1.05-INDEX(绊状态确认!U:U,MATCH($G380,绊状态确认!$B:$B,)))*$EW$64)),0)+IF(O380="sk",-$EW$26/$EW$24*(0.05-INDEX(绊状态确认!W:W,MATCH($G380,绊状态确认!$B:$B,)))+0.05*$EW$29,0)+IF(O380="sp",0.05*$EW$32*$EW$30*(1-$EW$33)-(0.05-INDEX(绊状态确认!V:V,MATCH($G380,绊状态确认!$B:$B,)))*$EW$29,0)+IF(O380="gd",-(0.05-INDEX(绊状态确认!X:X,MATCH($G380,绊状态确认!$B:$B,)))*$EW$32*$EW$30*(1-$EW$33)+$EW$26*(-HP($EW$62,$EW$65,$EW$64)+HP($EW$62,$EW$65,0.95*$EW$64)),0)</f>
        <v>-4253.6726349699375</v>
      </c>
      <c r="BL380" s="1111">
        <f t="shared" si="457"/>
        <v>-1083.3333333333333</v>
      </c>
      <c r="BM380" s="1110">
        <f t="shared" si="458"/>
        <v>-830.55555555555543</v>
      </c>
      <c r="BN380" s="1113">
        <f t="shared" si="459"/>
        <v>3</v>
      </c>
      <c r="BO380" s="1108">
        <f t="shared" si="460"/>
        <v>4507.7214871259994</v>
      </c>
      <c r="BP380" s="1100">
        <f t="shared" si="461"/>
        <v>221.34103209030098</v>
      </c>
      <c r="BQ380" s="1113" t="s">
        <v>132</v>
      </c>
      <c r="BR380" s="1124" t="s">
        <v>171</v>
      </c>
      <c r="BS380" s="1098">
        <f>IF($P380="","N/A",IF($P380=-1,INDEX('卡片raw data'!AX:AX,MATCH($D380,'卡片raw data'!$F:$F,)),0)+IF($L380="party卡",IF($P380=5,INDEX('卡片raw data'!BD:BD,MATCH($D380,'卡片raw data'!$F:$F,)),IF($P380&gt;=3,INDEX('卡片raw data'!BC:BC,MATCH($D380,'卡片raw data'!$F:$F,)),INDEX('卡片raw data'!BB:BB,MATCH($D380,'卡片raw data'!$F:$F,)))),IF(OR(AND($F380="UR",$P380=0),AND($F380="SR",$P380&gt;=0,$P380&lt;=2),AND($F380="R",$P380&gt;=0,$P380&lt;4)),INDEX('卡片raw data'!AZ:AZ,MATCH($D380,'卡片raw data'!$F:$F,)),0)+IF(OR(AND($F380="UR",$P380&gt;=1,$P380&lt;=4),AND($F380="SR",$P380&lt;=4,$P380&gt;=3),AND($F380="R",$P380=4)),INDEX('卡片raw data'!BA:BA,MATCH($D380,'卡片raw data'!$F:$F,)),0)+IF($P380=5,INDEX('卡片raw data'!BB:BB,MATCH($D380,'卡片raw data'!$F:$F,)),0)))</f>
        <v>3.2000000000000001E-2</v>
      </c>
      <c r="BT380" s="1101">
        <f t="shared" si="462"/>
        <v>1602.7454176448</v>
      </c>
      <c r="BU380" s="1097">
        <f t="shared" si="463"/>
        <v>68.861654428093644</v>
      </c>
      <c r="BV380" s="1097">
        <f t="shared" si="464"/>
        <v>801.37270882240011</v>
      </c>
      <c r="BW380" s="1112">
        <f t="shared" si="465"/>
        <v>0</v>
      </c>
      <c r="BX380" s="1100">
        <f t="shared" si="466"/>
        <v>1602.7454176448</v>
      </c>
      <c r="BY380" s="1110">
        <f t="shared" si="467"/>
        <v>801.37270882240011</v>
      </c>
      <c r="BZ380" s="1113" t="s">
        <v>569</v>
      </c>
      <c r="CA380" s="1124"/>
      <c r="CB380" s="1098">
        <f>IF($P380="","N/A",IF($P380=-1,INDEX('卡片raw data'!BE:BE,MATCH($D380,'卡片raw data'!$F:$F,)),0)+IF($L380="party卡",IF($P380=5,INDEX('卡片raw data'!BK:BK,MATCH($D380,'卡片raw data'!$F:$F,)),IF($P380&gt;=3,INDEX('卡片raw data'!BJ:BJ,MATCH($D380,'卡片raw data'!$F:$F,)),INDEX('卡片raw data'!BI:BI,MATCH($D380,'卡片raw data'!$F:$F,)))),IF(OR(AND($F380="UR",$P380=0),AND($F380="SR",$P380&gt;=0,$P380&lt;=2),AND($F380="R",$P380&gt;=0,$P380&lt;4)),INDEX('卡片raw data'!BG:BG,MATCH($D380,'卡片raw data'!$F:$F,)),0)+IF(OR(AND($F380="UR",$P380&gt;=1,$P380&lt;=4),AND($F380="SR",$P380&lt;=4,$P380&gt;=3),AND($F380="R",$P380=4)),INDEX('卡片raw data'!BH:BH,MATCH($D380,'卡片raw data'!$F:$F,)),0)+IF($P380=5,INDEX('卡片raw data'!BI:BI,MATCH($D380,'卡片raw data'!$F:$F,)),0)))</f>
        <v>0</v>
      </c>
      <c r="CC380" s="1101">
        <f t="shared" si="468"/>
        <v>0</v>
      </c>
      <c r="CD380" s="1097">
        <f>IF(BZ380="ap",CB380*(1-$FI$26)*$FB$5/$FB$11*(+IF(CA380="全员",$FA$24,0)+IF(CA380="同作战",$FA$24,0)+IF(CA380="仲间",$FA$24*2/3,0)+IF(CA380="同属性",$FA$24*$FA$37/3,0)+IF(CA380="同年级",$FA$24*$FA$40/3,0)+IF(CA380="同学校",$FA$24*$FA$43/3,0)+IF(CA380="同小队",$FA$24*$FA$46/3,0)+IF(CA380="同type",$FA$24*INDEX($FB$49:$FB$52,MATCH(X380,$FA$49:$FA$52,))/3,0)+IF(CA380="自身",#REF!/3,0)),0)+IF(BZ380="te",CB380*(1-$FI$27)*($FA$20-1)*$FB$7/$FB$13*(+IF(CA380="全员",$FA$19*$FA$24/(1+($FA$20-1)*$FA$19),0)+IF(CA380="同作战",$FA$19*$FA$24/(1+($FA$20-1)*$FA$19),0)+IF(CA380="仲间",$FA$19*$FA$24*2/3/(1+($FA$20-1)*$FA$19),0)+IF(CA380="同属性",$FA$19*$FA$24*$FA$37/3/(1+($FA$20-1)*$FA$19),0)+IF(CA380="同年级",$FA$19*$FA$24*$FA$40/3/(1+($FA$20-1)*$FA$19),0)+IF(CA380="同学校",$FA$19*$FA$24*$FA$43/3/(1+($FA$20-1)*$FA$19),0)+IF(CA380="同小队",$FA$19*$FA$24*$FA$46/3/(1+($FA$20-1)*$FA$19),0)+IF(CA380="同type",$FA$19*$FA$24*INDEX($FB$49:$FB$52,MATCH(X380,$FA$49:$FA$52,))/3/(1+($FA$20-1)*$FA$19),0)+IF(CA380="自身",$FA$19*#REF!/3/(1+(BH380-1)*$BD380),0)),0)</f>
        <v>0</v>
      </c>
      <c r="CE380" s="1097">
        <f t="shared" si="469"/>
        <v>0</v>
      </c>
      <c r="CF380" s="1112">
        <f t="shared" si="470"/>
        <v>0</v>
      </c>
      <c r="CG380" s="1100">
        <f t="shared" si="471"/>
        <v>0</v>
      </c>
      <c r="CH380" s="1110">
        <f t="shared" si="472"/>
        <v>0</v>
      </c>
      <c r="CI380" s="1113" t="s">
        <v>162</v>
      </c>
      <c r="CJ380" s="1114">
        <v>1</v>
      </c>
      <c r="CK380" s="1115" t="s">
        <v>167</v>
      </c>
      <c r="CL380" s="1115" t="s">
        <v>1843</v>
      </c>
      <c r="CM380" s="1119">
        <v>0.04</v>
      </c>
      <c r="CN380" s="1115">
        <v>4</v>
      </c>
      <c r="CO380" s="1115"/>
      <c r="CP380" s="1118">
        <f t="shared" si="473"/>
        <v>2.2857142857142855E-3</v>
      </c>
      <c r="CQ380" s="1118">
        <f t="shared" si="474"/>
        <v>3.1111111111111114E-3</v>
      </c>
      <c r="CR380" s="1118">
        <f t="shared" si="475"/>
        <v>1.1428571428571427E-3</v>
      </c>
      <c r="CS380" s="1118">
        <f t="shared" si="476"/>
        <v>0</v>
      </c>
      <c r="CT380" s="1109">
        <f t="shared" si="477"/>
        <v>0</v>
      </c>
      <c r="CU380" s="1101">
        <f t="shared" si="478"/>
        <v>310.8181292075451</v>
      </c>
      <c r="CV380" s="1108">
        <f t="shared" si="479"/>
        <v>20.426224875000003</v>
      </c>
      <c r="CW380" s="1097">
        <f t="shared" si="480"/>
        <v>155.40906460377255</v>
      </c>
      <c r="CX380" s="1097">
        <f t="shared" si="481"/>
        <v>310.8181292075451</v>
      </c>
      <c r="CY380" s="1110">
        <f t="shared" si="482"/>
        <v>155.40906460377255</v>
      </c>
      <c r="CZ380" s="437"/>
      <c r="DA380" s="438"/>
      <c r="DB380" s="439" t="s">
        <v>569</v>
      </c>
      <c r="DC380" s="439"/>
      <c r="DD380" s="443"/>
      <c r="DE380" s="411"/>
      <c r="DF380" s="411"/>
      <c r="DG380" s="1116">
        <f t="shared" si="483"/>
        <v>0</v>
      </c>
      <c r="DH380" s="1116">
        <f t="shared" si="484"/>
        <v>0</v>
      </c>
      <c r="DI380" s="1116">
        <f t="shared" si="485"/>
        <v>0</v>
      </c>
      <c r="DJ380" s="442">
        <f t="shared" si="486"/>
        <v>0</v>
      </c>
      <c r="DK380" s="1109">
        <f t="shared" si="487"/>
        <v>0</v>
      </c>
      <c r="DL380" s="1101">
        <f t="shared" si="488"/>
        <v>0</v>
      </c>
      <c r="DM380" s="1097">
        <f t="shared" si="489"/>
        <v>0</v>
      </c>
      <c r="DN380" s="1097">
        <f t="shared" si="490"/>
        <v>0</v>
      </c>
      <c r="DO380" s="1097">
        <f t="shared" si="491"/>
        <v>0</v>
      </c>
      <c r="DP380" s="1110">
        <f t="shared" si="492"/>
        <v>0</v>
      </c>
      <c r="DQ380" s="1113" t="s">
        <v>635</v>
      </c>
      <c r="DR380" s="1120">
        <f t="shared" si="493"/>
        <v>0.3</v>
      </c>
      <c r="DS380" s="1124"/>
      <c r="DT380" s="1093" t="s">
        <v>134</v>
      </c>
      <c r="DU380" s="1124"/>
      <c r="DV380" s="1098">
        <f>IF($P380="","N/A",IF(P380=-1,INDEX('卡片raw data'!AN:AN,MATCH(D380,'卡片raw data'!$F:$F,)),0)+IF(AND(L380&lt;&gt;"party卡",P380&lt;=2,P380&gt;=0),INDEX('卡片raw data'!AP:AP,MATCH(D380,'卡片raw data'!$F:$F,)),0)+IF(OR(AND(L380="party卡",P380&lt;=1),AND(P380&lt;=4,L380&lt;&gt;"party卡",P380&gt;=3)),INDEX('卡片raw data'!AQ:AQ,MATCH(D380,'卡片raw data'!$F:$F,)),0)+IF(OR(P380=5,AND(L380="party卡",P380&gt;=2)),INDEX('卡片raw data'!AR:AR,MATCH(D380,'卡片raw data'!$F:$F,)),0))</f>
        <v>0.28999999999999998</v>
      </c>
      <c r="DW380" s="1098">
        <f t="shared" si="494"/>
        <v>0.3</v>
      </c>
      <c r="DX380" s="1098">
        <f t="shared" si="495"/>
        <v>0.3</v>
      </c>
      <c r="DY380" s="1097">
        <f t="shared" si="496"/>
        <v>458.3002624847399</v>
      </c>
      <c r="DZ380" s="1097">
        <f t="shared" si="497"/>
        <v>396.42972704930003</v>
      </c>
      <c r="EA380" s="1098">
        <f t="shared" si="498"/>
        <v>0</v>
      </c>
      <c r="EB380" s="1121">
        <f t="shared" si="499"/>
        <v>0</v>
      </c>
      <c r="EC380" s="1101">
        <f t="shared" si="500"/>
        <v>0</v>
      </c>
      <c r="ED380" s="1097">
        <f t="shared" si="501"/>
        <v>0</v>
      </c>
      <c r="EE380" s="1110">
        <f t="shared" si="513"/>
        <v>48435.03108962375</v>
      </c>
      <c r="EF380" s="1115" t="s">
        <v>569</v>
      </c>
      <c r="EG380" s="1120">
        <f t="shared" si="503"/>
        <v>0.3</v>
      </c>
      <c r="EH380" s="1124"/>
      <c r="EI380" s="1093"/>
      <c r="EJ380" s="1093"/>
      <c r="EK380" s="1097">
        <f>IF($P380="","N/A",IF(P380=-1,INDEX('卡片raw data'!AS:AS,MATCH(D380,'卡片raw data'!$F:$F,)),0)+IF(AND(L380&lt;&gt;"party卡",P380&lt;=2,P380&gt;=0),INDEX('卡片raw data'!AU:AU,MATCH(D380,'卡片raw data'!$F:$F,)),0)+IF(OR(AND(L380="party卡",P380&lt;=1),AND(P380&lt;=4,L380&lt;&gt;"party卡",P380&gt;=3)),INDEX('卡片raw data'!AV:AV,MATCH(D380,'卡片raw data'!$F:$F,)),0)+IF(OR(P380=5,AND(L380="party卡",P380&gt;=2)),INDEX('卡片raw data'!AW:AW,MATCH(D380,'卡片raw data'!$F:$F,)),0))</f>
        <v>0</v>
      </c>
      <c r="EL380" s="1098">
        <f t="shared" si="504"/>
        <v>0.3</v>
      </c>
      <c r="EM380" s="1098">
        <f t="shared" si="505"/>
        <v>0.3</v>
      </c>
      <c r="EN380" s="1097">
        <f t="shared" si="506"/>
        <v>0</v>
      </c>
      <c r="EO380" s="1097">
        <f t="shared" si="507"/>
        <v>0</v>
      </c>
      <c r="EP380" s="1098">
        <f t="shared" si="508"/>
        <v>0</v>
      </c>
      <c r="EQ380" s="1121">
        <f t="shared" si="509"/>
        <v>0</v>
      </c>
      <c r="ER380" s="1101">
        <f t="shared" si="510"/>
        <v>0</v>
      </c>
      <c r="ES380" s="1097">
        <f t="shared" si="511"/>
        <v>0</v>
      </c>
      <c r="ET380" s="1122">
        <f t="shared" si="514"/>
        <v>0</v>
      </c>
    </row>
    <row r="381" spans="2:150" ht="16.5" customHeight="1">
      <c r="B381" s="1123" t="str">
        <f>INDEX('卡片raw data'!B:B,MATCH($D381,'卡片raw data'!$F:$F,))</f>
        <v>新年花</v>
      </c>
      <c r="C381" s="449" t="s">
        <v>1852</v>
      </c>
      <c r="D381" s="408">
        <v>378</v>
      </c>
      <c r="E381" s="477">
        <v>400083004</v>
      </c>
      <c r="F381" s="1090" t="str">
        <f>INDEX('卡片raw data'!C:C,MATCH($D381,'卡片raw data'!$F:$F,))</f>
        <v>UR</v>
      </c>
      <c r="G381" s="1094" t="s">
        <v>1853</v>
      </c>
      <c r="H381" s="411">
        <f>IFERROR(INDEX(绊状态确认!C:C,MATCH($G381,绊状态确认!$B:$B,)),"")</f>
        <v>8</v>
      </c>
      <c r="I381" s="450" t="str">
        <f>IFERROR(INDEX(绊状态确认!D:D,MATCH($G381,绊状态确认!$B:$B,)),"")</f>
        <v>缪</v>
      </c>
      <c r="J381" s="450" t="str">
        <f>IFERROR(INDEX(绊状态确认!E:E,MATCH($G381,绊状态确认!$B:$B,)),"")</f>
        <v>1年级</v>
      </c>
      <c r="K381" s="451" t="str">
        <f>IFERROR(INDEX(绊状态确认!F:F,MATCH($G381,绊状态确认!$B:$B,)),"")</f>
        <v>Printemps</v>
      </c>
      <c r="L381" s="1094" t="str">
        <f>INDEX('卡片raw data'!E:E,MATCH($D381,'卡片raw data'!$F:$F,))</f>
        <v>卡池卡</v>
      </c>
      <c r="M381" s="478">
        <v>44197</v>
      </c>
      <c r="N381" s="479">
        <v>31</v>
      </c>
      <c r="O381" s="1091" t="str">
        <f>INDEX('卡片raw data'!D:D,MATCH($D381,'卡片raw data'!$F:$F,))</f>
        <v>sp</v>
      </c>
      <c r="P381" s="1126">
        <v>5</v>
      </c>
      <c r="Q381" s="1095">
        <f t="shared" si="428"/>
        <v>53998.061355350204</v>
      </c>
      <c r="R381" s="1096">
        <f t="shared" si="429"/>
        <v>0.627</v>
      </c>
      <c r="S381" s="1097">
        <f t="shared" si="430"/>
        <v>20470.50066495335</v>
      </c>
      <c r="T381" s="1098">
        <f t="shared" si="431"/>
        <v>1.0229999999999999</v>
      </c>
      <c r="U381" s="1099">
        <f t="shared" si="432"/>
        <v>16.428293453742857</v>
      </c>
      <c r="V381" s="1100">
        <f t="shared" si="433"/>
        <v>53520.638339811339</v>
      </c>
      <c r="W381" s="1101">
        <f t="shared" si="434"/>
        <v>4595.8215285027954</v>
      </c>
      <c r="X381" s="1096">
        <f t="shared" si="435"/>
        <v>5.2999999999999999E-2</v>
      </c>
      <c r="Y381" s="1097">
        <f t="shared" si="436"/>
        <v>1322.5769844611323</v>
      </c>
      <c r="Z381" s="1102">
        <f t="shared" si="437"/>
        <v>16.428293453742857</v>
      </c>
      <c r="AA381" s="1103">
        <f t="shared" si="438"/>
        <v>5918.3985129639277</v>
      </c>
      <c r="AB381" s="1101">
        <f t="shared" si="439"/>
        <v>9854.8299301497955</v>
      </c>
      <c r="AC381" s="1104">
        <f t="shared" si="440"/>
        <v>0.114</v>
      </c>
      <c r="AD381" s="1105">
        <f t="shared" si="441"/>
        <v>-1.6087500000000001E-2</v>
      </c>
      <c r="AE381" s="1128">
        <f t="shared" si="442"/>
        <v>10.92391304347826</v>
      </c>
      <c r="AF381" s="1130">
        <f t="shared" si="443"/>
        <v>0</v>
      </c>
      <c r="AG381" s="420">
        <f t="shared" si="444"/>
        <v>0</v>
      </c>
      <c r="AH381" s="420">
        <f t="shared" si="445"/>
        <v>0</v>
      </c>
      <c r="AI381" s="1097">
        <f t="shared" si="446"/>
        <v>0</v>
      </c>
      <c r="AJ381" s="420">
        <f t="shared" si="447"/>
        <v>0</v>
      </c>
      <c r="AK381" s="518">
        <f t="shared" si="448"/>
        <v>0</v>
      </c>
      <c r="AL381" s="1106">
        <f>IF($P381="","N/A",(IF($P381=-1,INDEX('卡片raw data'!S:S,MATCH($D381,'卡片raw data'!$F:$F,)),0)+IF($P381=0,INDEX('卡片raw data'!V:V,MATCH($D381,'卡片raw data'!$F:$F,)),0)+IF($P381=1,INDEX('卡片raw data'!Y:Y,MATCH($D381,'卡片raw data'!$F:$F,)),0)+IF($P381=2,INDEX('卡片raw data'!AB:AB,MATCH($D381,'卡片raw data'!$F:$F,)),0)+IF($P381=3,INDEX('卡片raw data'!AE:AE,MATCH($D381,'卡片raw data'!$F:$F,)),0)+IF($P381=4,INDEX('卡片raw data'!AH:AH,MATCH($D381,'卡片raw data'!$F:$F,)),0)+IF($P381=5,INDEX('卡片raw data'!AK:AK,MATCH($D381,'卡片raw data'!$F:$F,)),0)+INDEX('卡片raw data'!S:S,MATCH($D381,'卡片raw data'!$F:$F,))*(IF($F381="UR",0.04,0.033))*(IF($F381="UR",INDEX(绊状态确认!$S:$S,MATCH($G381,绊状态确认!$B:$B,))/2-40)+IF($F381="SR",INDEX(绊状态确认!$R:$R,MATCH($G381,绊状态确认!$B:$B,))/4-15))+IF($F381="R",INDEX(绊状态确认!$Q:$Q,MATCH($G381,绊状态确认!$B:$B,))/6-40/6)))*(INDEX(绊状态确认!$H:$H,MATCH($G381,绊状态确认!$B:$B,))+INDEX(绊状态确认!J:J,MATCH($G381,绊状态确认!$B:$B,)))</f>
        <v>13365.382223999997</v>
      </c>
      <c r="AM381" s="1106">
        <f>IF($P381="","N/A",(IF($P381=-1,INDEX('卡片raw data'!T:T,MATCH($D381,'卡片raw data'!$F:$F,)),0)+IF($P381=0,INDEX('卡片raw data'!W:W,MATCH($D381,'卡片raw data'!$F:$F,)),0)+IF($P381=1,INDEX('卡片raw data'!Z:Z,MATCH($D381,'卡片raw data'!$F:$F,)),0)+IF($P381=2,INDEX('卡片raw data'!AC:AC,MATCH($D381,'卡片raw data'!$F:$F,)),0)+IF($P381=3,INDEX('卡片raw data'!AF:AF,MATCH($D381,'卡片raw data'!$F:$F,)),0)+IF($P381=4,INDEX('卡片raw data'!AI:AI,MATCH($D381,'卡片raw data'!$F:$F,)),0)+IF($P381=5,INDEX('卡片raw data'!AL:AL,MATCH($D381,'卡片raw data'!$F:$F,)),0)+INDEX('卡片raw data'!T:T,MATCH($D381,'卡片raw data'!$F:$F,))*(IF($F381="UR",0.04,0.033))*(IF($F381="UR",INDEX(绊状态确认!$S:$S,MATCH($G381,绊状态确认!$B:$B,))/2-40)+IF($F381="SR",INDEX(绊状态确认!$R:$R,MATCH($G381,绊状态确认!$B:$B,))/4-15))+IF($F381="R",INDEX(绊状态确认!$Q:$Q,MATCH($G381,绊状态确认!$B:$B,))/6-40/6)))*(INDEX(绊状态确认!$H:$H,MATCH($G381,绊状态确认!$B:$B,))+INDEX(绊状态确认!K:K,MATCH($G381,绊状态确认!$B:$B,)))</f>
        <v>9252.0687839999991</v>
      </c>
      <c r="AN381" s="1106">
        <f>IF($P381="","N/A",(IF($P381=-1,INDEX('卡片raw data'!U:U,MATCH($D381,'卡片raw data'!$F:$F,)),0)+IF($P381=0,INDEX('卡片raw data'!X:X,MATCH($D381,'卡片raw data'!$F:$F,)),0)+IF($P381=1,INDEX('卡片raw data'!AA:AA,MATCH($D381,'卡片raw data'!$F:$F,)),0)+IF($P381=2,INDEX('卡片raw data'!AD:AD,MATCH($D381,'卡片raw data'!$F:$F,)),0)+IF($P381=3,INDEX('卡片raw data'!AG:AG,MATCH($D381,'卡片raw data'!$F:$F,)),0)+IF($P381=4,INDEX('卡片raw data'!AJ:AJ,MATCH($D381,'卡片raw data'!$F:$F,)),0)+IF($P381=5,INDEX('卡片raw data'!AM:AM,MATCH($D381,'卡片raw data'!$F:$F,)),0)+INDEX('卡片raw data'!U:U,MATCH($D381,'卡片raw data'!$F:$F,))*(IF($F381="UR",0.04,0.033))*(IF($F381="UR",INDEX(绊状态确认!$S:$S,MATCH($G381,绊状态确认!$B:$B,))/2-40)+IF($F381="SR",INDEX(绊状态确认!$R:$R,MATCH($G381,绊状态确认!$B:$B,))/4-15))+IF($F381="R",INDEX(绊状态确认!$Q:$Q,MATCH($G381,绊状态确认!$B:$B,))/6-40/6)))*(INDEX(绊状态确认!$H:$H,MATCH($G381,绊状态确认!$B:$B,))+INDEX(绊状态确认!L:L,MATCH($G381,绊状态确认!$B:$B,)))</f>
        <v>11652.872879999999</v>
      </c>
      <c r="AO381" s="1107">
        <f t="shared" si="449"/>
        <v>1</v>
      </c>
      <c r="AP381" s="1131">
        <f>1+(INDEX(绊状态确认!$T:$T,MATCH($G381,绊状态确认!$B:$B,))+0.2)*$AO381</f>
        <v>1.3</v>
      </c>
      <c r="AQ381" s="1108">
        <f t="shared" si="450"/>
        <v>38334.128337999995</v>
      </c>
      <c r="AR381" s="1097">
        <f>(AM381*(1+$EX$9)+$EX$35)*(1+(INDEX(绊状态确认!$T:$T,MATCH($G381,绊状态确认!$B:$B,))+0.2)*AO381)*IF(J381=$FF$17,1+$FE$17,1)*IF(I381=$FF$14,1+$FE$14,1)</f>
        <v>15333.07389016</v>
      </c>
      <c r="AS381" s="1097">
        <f>(AN381*(1+$EX$10)+$EX$36)*(1+(INDEX(绊状态确认!$T:$T,MATCH($G381,绊状态确认!$B:$B,))+0.2)*AO381)*IF(J381=$FF$17,1+$FE$17,1)*IF(I381=$FF$14,1+$FE$14,1)</f>
        <v>21477.044955599999</v>
      </c>
      <c r="AT381" s="1093">
        <f>IF(AND(INDEX('卡片raw data'!AK:AK,MATCH($D381,'卡片raw data'!$F:$F,))&lt;INDEX('卡片raw data'!AM:AM,MATCH($D381,'卡片raw data'!$F:$F,)),INDEX('卡片raw data'!AL:AL,MATCH($D381,'卡片raw data'!$F:$F,))&lt;INDEX('卡片raw data'!AM:AM,MATCH($D381,'卡片raw data'!$F:$F,))),1,0)</f>
        <v>0</v>
      </c>
      <c r="AU381" s="1098">
        <f>MIN(AT381*0.15+AS381*0.00003+INDEX(绊状态确认!M:M,MATCH($G381,绊状态确认!$B:$B,)),1)</f>
        <v>0.67431134866800002</v>
      </c>
      <c r="AV381" s="1109">
        <f>(INDEX(绊状态确认!$N:$N,MATCH($G381,绊状态确认!$B:$B,))+1.5)*$EW$21</f>
        <v>2.6599999999999997</v>
      </c>
      <c r="AW381" s="1101">
        <f t="shared" si="451"/>
        <v>42193.644741178839</v>
      </c>
      <c r="AX381" s="1097">
        <f t="shared" si="452"/>
        <v>1322.5769844611318</v>
      </c>
      <c r="AY381" s="1110">
        <f t="shared" si="453"/>
        <v>43516.221725639974</v>
      </c>
      <c r="AZ381" s="429">
        <f t="shared" si="454"/>
        <v>28662.495336799995</v>
      </c>
      <c r="BA381" s="431">
        <f t="shared" si="455"/>
        <v>34394.994404159996</v>
      </c>
      <c r="BB381" s="1097">
        <f>(AM381*(1+$FB$9)+$FB$35)*(1+(INDEX(绊状态确认!$T:$T,MATCH($G381,绊状态确认!$B:$B,))+0.2)*AO381)*IF(J381=$FF$17,1+$FE$17,1)*IF(I381=$FF$14,1+$FE$14,1)*(1+$FE$15)</f>
        <v>15333.07389016</v>
      </c>
      <c r="BC381" s="1097">
        <f>(AN381*(1+$FB$10)+$FB$36)*(1+(INDEX(绊状态确认!$T:$T,MATCH($G381,绊状态确认!$B:$B,))+0.2)*AO381)*IF(J381=$FF$17,1+$FE$17,1)*IF(I381=$FF$14,1+$FE$14,1)*(1+$FE$15)</f>
        <v>21477.044955599999</v>
      </c>
      <c r="BD381" s="1104">
        <f>MIN(AT381*0.15+BC381*0.00003+INDEX(绊状态确认!M:M,MATCH($G381,绊状态确认!$B:$B,)),1)</f>
        <v>0.67431134866800002</v>
      </c>
      <c r="BE381" s="432">
        <f>(INDEX(绊状态确认!$N:$N,MATCH($G381,绊状态确认!$B:$B,))+1.5)</f>
        <v>1.9</v>
      </c>
      <c r="BF381" s="1139">
        <f t="array" ref="BF381">SUMPRODUCT(IF(AZ381*AP381*$FI$16:$FI$23*$FA$22&gt;=$FI$24,$FI$24,AZ381*AP381*$FI$16:$FI$23*$FA$22),$FJ$16:$FJ$23)</f>
        <v>54888.631498461596</v>
      </c>
      <c r="BG381" s="1125">
        <f t="array" ref="BG381">SUMPRODUCT(IF(BE381*AZ381*AP381*$FI$16:$FI$23*$FA$22&gt;=$FI$24,$FI$24,BE381*AZ381*AP381*$FI$16:$FI$23*$FA$22),$FJ$16:$FJ$23)</f>
        <v>60000</v>
      </c>
      <c r="BH381" s="1110">
        <f t="shared" si="456"/>
        <v>19445.095095424364</v>
      </c>
      <c r="BI381" s="1111">
        <f>IF(O381="vo",$EW$26/$EW$24*0.05,0)+IF(O381="sk",-$EW$26/$EW$24*(0.05-INDEX(绊状态确认!W:W,MATCH($G381,绊状态确认!$B:$B,)))+0.05*$EW$28,0)+IF(O381="sp",0.05*$EW$32*$EW$30*(1-$EW$33)-(0.05-INDEX(绊状态确认!V:V,MATCH($G381,绊状态确认!$B:$B,)))*$EW$28,0)+IF(O381="gd",-(0.05-INDEX(绊状态确认!X:X,MATCH($G381,绊状态确认!$B:$B,)))*$EW$32*$EW$30*(1-$EW$33),0)</f>
        <v>19.999999999999886</v>
      </c>
      <c r="BJ381" s="1097">
        <f>IF(O381="vo",0.05*(1-$FI$26)*$FA$24,0)+IF(O381="sk",-(0.05-INDEX(绊状态确认!W:W,MATCH($G381,绊状态确认!$B:$B,)))*(1-$FI$26)*$FA$24+0.05*$FA$26,0)+IF(O381="sp",0.05*$FA$32*$FA$27*(1-$FA$33)/$FA$30+0.05*$FA$29/$FA$69*$FA$27*(1-$FA$33)-(0.05-INDEX(绊状态确认!V:V,MATCH($G381,绊状态确认!$B:$B,)))*$FA$26,0)+IF(O381="gd",-(0.05-INDEX(绊状态确认!X:X,MATCH($G381,绊状态确认!$B:$B,)))*$FA$32*$FA$27*(1-$FA$33)/$FA$30-(0.05-INDEX(绊状态确认!X:X,MATCH($G381,绊状态确认!$B:$B,)))*$FA$29/$FA$69*$FA$27*(1-$FA$33),0)</f>
        <v>545.83333333333326</v>
      </c>
      <c r="BK381" s="1110">
        <f>IF(O381="vo",$EW$26/$EW$24*0.05+$EW$26*(-HP($EW$62,$EW$65,$EW$64)+HP($EW$62,$EW$65,(1.05-INDEX(绊状态确认!U:U,MATCH($G381,绊状态确认!$B:$B,)))*$EW$64)),0)+IF(O381="sk",-$EW$26/$EW$24*(0.05-INDEX(绊状态确认!W:W,MATCH($G381,绊状态确认!$B:$B,)))+0.05*$EW$29,0)+IF(O381="sp",0.05*$EW$32*$EW$30*(1-$EW$33)-(0.05-INDEX(绊状态确认!V:V,MATCH($G381,绊状态确认!$B:$B,)))*$EW$29,0)+IF(O381="gd",-(0.05-INDEX(绊状态确认!X:X,MATCH($G381,绊状态确认!$B:$B,)))*$EW$32*$EW$30*(1-$EW$33)+$EW$26*(-HP($EW$62,$EW$65,$EW$64)+HP($EW$62,$EW$65,0.95*$EW$64)),0)</f>
        <v>-1780.0000000000005</v>
      </c>
      <c r="BL381" s="1111">
        <f t="shared" si="457"/>
        <v>0</v>
      </c>
      <c r="BM381" s="1110">
        <f t="shared" si="458"/>
        <v>0</v>
      </c>
      <c r="BN381" s="1113">
        <f t="shared" si="459"/>
        <v>3</v>
      </c>
      <c r="BO381" s="1108">
        <f t="shared" si="460"/>
        <v>4507.7214871259994</v>
      </c>
      <c r="BP381" s="1100">
        <f t="shared" si="461"/>
        <v>221.34103209030098</v>
      </c>
      <c r="BQ381" s="1113" t="s">
        <v>132</v>
      </c>
      <c r="BR381" s="1124" t="s">
        <v>168</v>
      </c>
      <c r="BS381" s="1098">
        <f>IF($P381="","N/A",IF($P381=-1,INDEX('卡片raw data'!AX:AX,MATCH($D381,'卡片raw data'!$F:$F,)),0)+IF($L381="party卡",IF($P381=5,INDEX('卡片raw data'!BD:BD,MATCH($D381,'卡片raw data'!$F:$F,)),IF($P381&gt;=3,INDEX('卡片raw data'!BC:BC,MATCH($D381,'卡片raw data'!$F:$F,)),INDEX('卡片raw data'!BB:BB,MATCH($D381,'卡片raw data'!$F:$F,)))),IF(OR(AND($F381="UR",$P381=0),AND($F381="SR",$P381&gt;=0,$P381&lt;=2),AND($F381="R",$P381&gt;=0,$P381&lt;4)),INDEX('卡片raw data'!AZ:AZ,MATCH($D381,'卡片raw data'!$F:$F,)),0)+IF(OR(AND($F381="UR",$P381&gt;=1,$P381&lt;=4),AND($F381="SR",$P381&lt;=4,$P381&gt;=3),AND($F381="R",$P381=4)),INDEX('卡片raw data'!BA:BA,MATCH($D381,'卡片raw data'!$F:$F,)),0)+IF($P381=5,INDEX('卡片raw data'!BB:BB,MATCH($D381,'卡片raw data'!$F:$F,)),0)))</f>
        <v>7.0000000000000007E-2</v>
      </c>
      <c r="BT381" s="1101">
        <f t="shared" si="462"/>
        <v>5259.008401647</v>
      </c>
      <c r="BU381" s="1097">
        <f t="shared" si="463"/>
        <v>258.2312041053512</v>
      </c>
      <c r="BV381" s="1097">
        <f t="shared" si="464"/>
        <v>0</v>
      </c>
      <c r="BW381" s="1112">
        <f t="shared" si="465"/>
        <v>0</v>
      </c>
      <c r="BX381" s="1100">
        <f t="shared" si="466"/>
        <v>5259.008401647</v>
      </c>
      <c r="BY381" s="1110">
        <f t="shared" si="467"/>
        <v>0</v>
      </c>
      <c r="BZ381" s="1113" t="s">
        <v>569</v>
      </c>
      <c r="CA381" s="1124"/>
      <c r="CB381" s="1098">
        <f>IF($P381="","N/A",IF($P381=-1,INDEX('卡片raw data'!BE:BE,MATCH($D381,'卡片raw data'!$F:$F,)),0)+IF($L381="party卡",IF($P381=5,INDEX('卡片raw data'!BK:BK,MATCH($D381,'卡片raw data'!$F:$F,)),IF($P381&gt;=3,INDEX('卡片raw data'!BJ:BJ,MATCH($D381,'卡片raw data'!$F:$F,)),INDEX('卡片raw data'!BI:BI,MATCH($D381,'卡片raw data'!$F:$F,)))),IF(OR(AND($F381="UR",$P381=0),AND($F381="SR",$P381&gt;=0,$P381&lt;=2),AND($F381="R",$P381&gt;=0,$P381&lt;4)),INDEX('卡片raw data'!BG:BG,MATCH($D381,'卡片raw data'!$F:$F,)),0)+IF(OR(AND($F381="UR",$P381&gt;=1,$P381&lt;=4),AND($F381="SR",$P381&lt;=4,$P381&gt;=3),AND($F381="R",$P381=4)),INDEX('卡片raw data'!BH:BH,MATCH($D381,'卡片raw data'!$F:$F,)),0)+IF($P381=5,INDEX('卡片raw data'!BI:BI,MATCH($D381,'卡片raw data'!$F:$F,)),0)))</f>
        <v>0</v>
      </c>
      <c r="CC381" s="1101">
        <f t="shared" si="468"/>
        <v>0</v>
      </c>
      <c r="CD381" s="1097">
        <f>IF(BZ381="ap",CB381*(1-$FI$26)*$FB$5/$FB$11*(+IF(CA381="全员",$FA$24,0)+IF(CA381="同作战",$FA$24,0)+IF(CA381="仲间",$FA$24*2/3,0)+IF(CA381="同属性",$FA$24*$FA$37/3,0)+IF(CA381="同年级",$FA$24*$FA$40/3,0)+IF(CA381="同学校",$FA$24*$FA$43/3,0)+IF(CA381="同小队",$FA$24*$FA$46/3,0)+IF(CA381="同type",$FA$24*INDEX($FB$49:$FB$52,MATCH(X381,$FA$49:$FA$52,))/3,0)+IF(CA381="自身",#REF!/3,0)),0)+IF(BZ381="te",CB381*(1-$FI$27)*($FA$20-1)*$FB$7/$FB$13*(+IF(CA381="全员",$FA$19*$FA$24/(1+($FA$20-1)*$FA$19),0)+IF(CA381="同作战",$FA$19*$FA$24/(1+($FA$20-1)*$FA$19),0)+IF(CA381="仲间",$FA$19*$FA$24*2/3/(1+($FA$20-1)*$FA$19),0)+IF(CA381="同属性",$FA$19*$FA$24*$FA$37/3/(1+($FA$20-1)*$FA$19),0)+IF(CA381="同年级",$FA$19*$FA$24*$FA$40/3/(1+($FA$20-1)*$FA$19),0)+IF(CA381="同学校",$FA$19*$FA$24*$FA$43/3/(1+($FA$20-1)*$FA$19),0)+IF(CA381="同小队",$FA$19*$FA$24*$FA$46/3/(1+($FA$20-1)*$FA$19),0)+IF(CA381="同type",$FA$19*$FA$24*INDEX($FB$49:$FB$52,MATCH(X381,$FA$49:$FA$52,))/3/(1+($FA$20-1)*$FA$19),0)+IF(CA381="自身",$FA$19*#REF!/3/(1+(BH381-1)*$BD381),0)),0)</f>
        <v>0</v>
      </c>
      <c r="CE381" s="1097">
        <f t="shared" si="469"/>
        <v>0</v>
      </c>
      <c r="CF381" s="1112">
        <f t="shared" si="470"/>
        <v>0</v>
      </c>
      <c r="CG381" s="1100">
        <f t="shared" si="471"/>
        <v>0</v>
      </c>
      <c r="CH381" s="1110">
        <f t="shared" si="472"/>
        <v>0</v>
      </c>
      <c r="CI381" s="1113" t="s">
        <v>164</v>
      </c>
      <c r="CJ381" s="1114">
        <v>1</v>
      </c>
      <c r="CK381" s="1115" t="s">
        <v>256</v>
      </c>
      <c r="CL381" s="1115" t="s">
        <v>1940</v>
      </c>
      <c r="CM381" s="1119">
        <v>7.4999999999999997E-2</v>
      </c>
      <c r="CN381" s="1115"/>
      <c r="CO381" s="1115"/>
      <c r="CP381" s="1116">
        <f t="shared" si="473"/>
        <v>61.608420543214272</v>
      </c>
      <c r="CQ381" s="1116">
        <f t="shared" si="474"/>
        <v>85.987486010399977</v>
      </c>
      <c r="CR381" s="1117">
        <f t="shared" si="475"/>
        <v>61.608420543214272</v>
      </c>
      <c r="CS381" s="1118">
        <f t="shared" si="476"/>
        <v>0</v>
      </c>
      <c r="CT381" s="1109">
        <f t="shared" si="477"/>
        <v>0</v>
      </c>
      <c r="CU381" s="1101">
        <f t="shared" si="478"/>
        <v>88.100041376796412</v>
      </c>
      <c r="CV381" s="1108">
        <f t="shared" si="479"/>
        <v>0</v>
      </c>
      <c r="CW381" s="1097">
        <f t="shared" si="480"/>
        <v>88.100041376796426</v>
      </c>
      <c r="CX381" s="1097">
        <f t="shared" si="481"/>
        <v>88.100041376796412</v>
      </c>
      <c r="CY381" s="1110">
        <f t="shared" si="482"/>
        <v>88.100041376796426</v>
      </c>
      <c r="CZ381" s="437"/>
      <c r="DA381" s="438"/>
      <c r="DB381" s="439" t="s">
        <v>569</v>
      </c>
      <c r="DC381" s="439"/>
      <c r="DD381" s="443"/>
      <c r="DE381" s="411"/>
      <c r="DF381" s="411"/>
      <c r="DG381" s="1116">
        <f t="shared" si="483"/>
        <v>0</v>
      </c>
      <c r="DH381" s="1116">
        <f t="shared" si="484"/>
        <v>0</v>
      </c>
      <c r="DI381" s="1116">
        <f t="shared" si="485"/>
        <v>0</v>
      </c>
      <c r="DJ381" s="442">
        <f t="shared" si="486"/>
        <v>0</v>
      </c>
      <c r="DK381" s="1109">
        <f t="shared" si="487"/>
        <v>0</v>
      </c>
      <c r="DL381" s="1101">
        <f t="shared" si="488"/>
        <v>0</v>
      </c>
      <c r="DM381" s="1097">
        <f t="shared" si="489"/>
        <v>0</v>
      </c>
      <c r="DN381" s="1097">
        <f t="shared" si="490"/>
        <v>0</v>
      </c>
      <c r="DO381" s="1097">
        <f t="shared" si="491"/>
        <v>0</v>
      </c>
      <c r="DP381" s="1110">
        <f t="shared" si="492"/>
        <v>0</v>
      </c>
      <c r="DQ381" s="1113" t="s">
        <v>256</v>
      </c>
      <c r="DR381" s="1120">
        <f t="shared" si="493"/>
        <v>0.33</v>
      </c>
      <c r="DS381" s="1124"/>
      <c r="DT381" s="1093" t="s">
        <v>132</v>
      </c>
      <c r="DU381" s="1093"/>
      <c r="DV381" s="1098">
        <f>IF($P381="","N/A",IF(P381=-1,INDEX('卡片raw data'!AN:AN,MATCH(D381,'卡片raw data'!$F:$F,)),0)+IF(AND(L381&lt;&gt;"party卡",P381&lt;=2,P381&gt;=0),INDEX('卡片raw data'!AP:AP,MATCH(D381,'卡片raw data'!$F:$F,)),0)+IF(OR(AND(L381="party卡",P381&lt;=1),AND(P381&lt;=4,L381&lt;&gt;"party卡",P381&gt;=3)),INDEX('卡片raw data'!AQ:AQ,MATCH(D381,'卡片raw data'!$F:$F,)),0)+IF(OR(P381=5,AND(L381="party卡",P381&gt;=2)),INDEX('卡片raw data'!AR:AR,MATCH(D381,'卡片raw data'!$F:$F,)),0))</f>
        <v>0.32</v>
      </c>
      <c r="DW381" s="1098">
        <f t="shared" si="494"/>
        <v>0.33</v>
      </c>
      <c r="DX381" s="1098">
        <f t="shared" si="495"/>
        <v>0.33</v>
      </c>
      <c r="DY381" s="1097">
        <f t="shared" si="496"/>
        <v>1349.3613174975999</v>
      </c>
      <c r="DZ381" s="1097">
        <f t="shared" si="497"/>
        <v>1047.2587896178636</v>
      </c>
      <c r="EA381" s="1098">
        <f t="shared" si="498"/>
        <v>0</v>
      </c>
      <c r="EB381" s="1121">
        <f t="shared" si="499"/>
        <v>0</v>
      </c>
      <c r="EC381" s="1101">
        <f t="shared" si="500"/>
        <v>1929.5866840215681</v>
      </c>
      <c r="ED381" s="1097">
        <f t="shared" si="501"/>
        <v>0</v>
      </c>
      <c r="EE381" s="1110">
        <f t="shared" si="513"/>
        <v>1929.5866840215681</v>
      </c>
      <c r="EF381" s="1115" t="s">
        <v>569</v>
      </c>
      <c r="EG381" s="1120">
        <f t="shared" si="503"/>
        <v>0.33</v>
      </c>
      <c r="EH381" s="1124"/>
      <c r="EI381" s="1093"/>
      <c r="EJ381" s="1093"/>
      <c r="EK381" s="1097">
        <f>IF($P381="","N/A",IF(P381=-1,INDEX('卡片raw data'!AS:AS,MATCH(D381,'卡片raw data'!$F:$F,)),0)+IF(AND(L381&lt;&gt;"party卡",P381&lt;=2,P381&gt;=0),INDEX('卡片raw data'!AU:AU,MATCH(D381,'卡片raw data'!$F:$F,)),0)+IF(OR(AND(L381="party卡",P381&lt;=1),AND(P381&lt;=4,L381&lt;&gt;"party卡",P381&gt;=3)),INDEX('卡片raw data'!AV:AV,MATCH(D381,'卡片raw data'!$F:$F,)),0)+IF(OR(P381=5,AND(L381="party卡",P381&gt;=2)),INDEX('卡片raw data'!AW:AW,MATCH(D381,'卡片raw data'!$F:$F,)),0))</f>
        <v>0</v>
      </c>
      <c r="EL381" s="1098">
        <f t="shared" si="504"/>
        <v>0.33</v>
      </c>
      <c r="EM381" s="1098">
        <f t="shared" si="505"/>
        <v>0.33</v>
      </c>
      <c r="EN381" s="1097">
        <f t="shared" si="506"/>
        <v>0</v>
      </c>
      <c r="EO381" s="1097">
        <f t="shared" si="507"/>
        <v>0</v>
      </c>
      <c r="EP381" s="1098">
        <f t="shared" si="508"/>
        <v>0</v>
      </c>
      <c r="EQ381" s="1121">
        <f t="shared" si="509"/>
        <v>0</v>
      </c>
      <c r="ER381" s="1101">
        <f t="shared" si="510"/>
        <v>0</v>
      </c>
      <c r="ES381" s="1097">
        <f t="shared" si="511"/>
        <v>0</v>
      </c>
      <c r="ET381" s="1122">
        <f t="shared" si="514"/>
        <v>0</v>
      </c>
    </row>
    <row r="382" spans="2:150" ht="16.5" customHeight="1">
      <c r="B382" s="1123" t="str">
        <f>INDEX('卡片raw data'!B:B,MATCH($D382,'卡片raw data'!$F:$F,))</f>
        <v>op1爱</v>
      </c>
      <c r="C382" s="449" t="s">
        <v>1855</v>
      </c>
      <c r="D382" s="408">
        <v>379</v>
      </c>
      <c r="E382" s="477">
        <v>402052004</v>
      </c>
      <c r="F382" s="1090" t="str">
        <f>INDEX('卡片raw data'!C:C,MATCH($D382,'卡片raw data'!$F:$F,))</f>
        <v>SR</v>
      </c>
      <c r="G382" s="1094" t="s">
        <v>1856</v>
      </c>
      <c r="H382" s="411">
        <f>IFERROR(INDEX(绊状态确认!C:C,MATCH($G382,绊状态确认!$B:$B,)),"")</f>
        <v>205</v>
      </c>
      <c r="I382" s="450" t="str">
        <f>IFERROR(INDEX(绊状态确认!D:D,MATCH($G382,绊状态确认!$B:$B,)),"")</f>
        <v>虹</v>
      </c>
      <c r="J382" s="450" t="str">
        <f>IFERROR(INDEX(绊状态确认!E:E,MATCH($G382,绊状态确认!$B:$B,)),"")</f>
        <v>2年级</v>
      </c>
      <c r="K382" s="451" t="str">
        <f>IFERROR(INDEX(绊状态确认!F:F,MATCH($G382,绊状态确认!$B:$B,)),"")</f>
        <v>Diver Diva</v>
      </c>
      <c r="L382" s="1094" t="str">
        <f>INDEX('卡片raw data'!E:E,MATCH($D382,'卡片raw data'!$F:$F,))</f>
        <v>卡池卡</v>
      </c>
      <c r="M382" s="478">
        <v>44197</v>
      </c>
      <c r="N382" s="479">
        <v>31</v>
      </c>
      <c r="O382" s="1091" t="str">
        <f>INDEX('卡片raw data'!D:D,MATCH($D382,'卡片raw data'!$F:$F,))</f>
        <v>vo</v>
      </c>
      <c r="P382" s="1126">
        <v>5</v>
      </c>
      <c r="Q382" s="1095">
        <f t="shared" si="428"/>
        <v>39127.958463999101</v>
      </c>
      <c r="R382" s="1096">
        <f t="shared" si="429"/>
        <v>0.45400000000000001</v>
      </c>
      <c r="S382" s="1097">
        <f t="shared" si="430"/>
        <v>15880.971796702204</v>
      </c>
      <c r="T382" s="1098">
        <f t="shared" si="431"/>
        <v>0.79400000000000004</v>
      </c>
      <c r="U382" s="1099">
        <f t="shared" si="432"/>
        <v>-13.492661312907142</v>
      </c>
      <c r="V382" s="1100">
        <f t="shared" si="433"/>
        <v>38740.367946791252</v>
      </c>
      <c r="W382" s="1101">
        <f t="shared" si="434"/>
        <v>5493.6424601653798</v>
      </c>
      <c r="X382" s="1096">
        <f t="shared" si="435"/>
        <v>6.3E-2</v>
      </c>
      <c r="Y382" s="1097">
        <f t="shared" si="436"/>
        <v>917.07793303385552</v>
      </c>
      <c r="Z382" s="1102">
        <f t="shared" si="437"/>
        <v>11.507338687092858</v>
      </c>
      <c r="AA382" s="1103">
        <f t="shared" si="438"/>
        <v>6410.7203931992353</v>
      </c>
      <c r="AB382" s="1101">
        <f t="shared" si="439"/>
        <v>6479.5634332047593</v>
      </c>
      <c r="AC382" s="1104">
        <f t="shared" si="440"/>
        <v>7.4999999999999997E-2</v>
      </c>
      <c r="AD382" s="1105">
        <f t="shared" si="441"/>
        <v>-3.8207812500000026E-3</v>
      </c>
      <c r="AE382" s="1128">
        <f t="shared" si="442"/>
        <v>-12.27536231884058</v>
      </c>
      <c r="AF382" s="1130">
        <f t="shared" si="443"/>
        <v>0</v>
      </c>
      <c r="AG382" s="420">
        <f t="shared" si="444"/>
        <v>0</v>
      </c>
      <c r="AH382" s="420">
        <f t="shared" si="445"/>
        <v>0</v>
      </c>
      <c r="AI382" s="1097">
        <f t="shared" si="446"/>
        <v>0</v>
      </c>
      <c r="AJ382" s="420">
        <f t="shared" si="447"/>
        <v>0</v>
      </c>
      <c r="AK382" s="518">
        <f t="shared" si="448"/>
        <v>0</v>
      </c>
      <c r="AL382" s="1106">
        <f>IF($P382="","N/A",(IF($P382=-1,INDEX('卡片raw data'!S:S,MATCH($D382,'卡片raw data'!$F:$F,)),0)+IF($P382=0,INDEX('卡片raw data'!V:V,MATCH($D382,'卡片raw data'!$F:$F,)),0)+IF($P382=1,INDEX('卡片raw data'!Y:Y,MATCH($D382,'卡片raw data'!$F:$F,)),0)+IF($P382=2,INDEX('卡片raw data'!AB:AB,MATCH($D382,'卡片raw data'!$F:$F,)),0)+IF($P382=3,INDEX('卡片raw data'!AE:AE,MATCH($D382,'卡片raw data'!$F:$F,)),0)+IF($P382=4,INDEX('卡片raw data'!AH:AH,MATCH($D382,'卡片raw data'!$F:$F,)),0)+IF($P382=5,INDEX('卡片raw data'!AK:AK,MATCH($D382,'卡片raw data'!$F:$F,)),0)+INDEX('卡片raw data'!S:S,MATCH($D382,'卡片raw data'!$F:$F,))*(IF($F382="UR",0.04,0.033))*(IF($F382="UR",INDEX(绊状态确认!$S:$S,MATCH($G382,绊状态确认!$B:$B,))/2-40)+IF($F382="SR",INDEX(绊状态确认!$R:$R,MATCH($G382,绊状态确认!$B:$B,))/4-15))+IF($F382="R",INDEX(绊状态确认!$Q:$Q,MATCH($G382,绊状态确认!$B:$B,))/6-40/6)))*(INDEX(绊状态确认!$H:$H,MATCH($G382,绊状态确认!$B:$B,))+INDEX(绊状态确认!J:J,MATCH($G382,绊状态确认!$B:$B,)))</f>
        <v>8412.7419263999982</v>
      </c>
      <c r="AM382" s="1106">
        <f>IF($P382="","N/A",(IF($P382=-1,INDEX('卡片raw data'!T:T,MATCH($D382,'卡片raw data'!$F:$F,)),0)+IF($P382=0,INDEX('卡片raw data'!W:W,MATCH($D382,'卡片raw data'!$F:$F,)),0)+IF($P382=1,INDEX('卡片raw data'!Z:Z,MATCH($D382,'卡片raw data'!$F:$F,)),0)+IF($P382=2,INDEX('卡片raw data'!AC:AC,MATCH($D382,'卡片raw data'!$F:$F,)),0)+IF($P382=3,INDEX('卡片raw data'!AF:AF,MATCH($D382,'卡片raw data'!$F:$F,)),0)+IF($P382=4,INDEX('卡片raw data'!AI:AI,MATCH($D382,'卡片raw data'!$F:$F,)),0)+IF($P382=5,INDEX('卡片raw data'!AL:AL,MATCH($D382,'卡片raw data'!$F:$F,)),0)+INDEX('卡片raw data'!T:T,MATCH($D382,'卡片raw data'!$F:$F,))*(IF($F382="UR",0.04,0.033))*(IF($F382="UR",INDEX(绊状态确认!$S:$S,MATCH($G382,绊状态确认!$B:$B,))/2-40)+IF($F382="SR",INDEX(绊状态确认!$R:$R,MATCH($G382,绊状态确认!$B:$B,))/4-15))+IF($F382="R",INDEX(绊状态确认!$Q:$Q,MATCH($G382,绊状态确认!$B:$B,))/6-40/6)))*(INDEX(绊状态确认!$H:$H,MATCH($G382,绊状态确认!$B:$B,))+INDEX(绊状态确认!K:K,MATCH($G382,绊状态确认!$B:$B,)))</f>
        <v>5887.3133879999996</v>
      </c>
      <c r="AN382" s="1106">
        <f>IF($P382="","N/A",(IF($P382=-1,INDEX('卡片raw data'!U:U,MATCH($D382,'卡片raw data'!$F:$F,)),0)+IF($P382=0,INDEX('卡片raw data'!X:X,MATCH($D382,'卡片raw data'!$F:$F,)),0)+IF($P382=1,INDEX('卡片raw data'!AA:AA,MATCH($D382,'卡片raw data'!$F:$F,)),0)+IF($P382=2,INDEX('卡片raw data'!AD:AD,MATCH($D382,'卡片raw data'!$F:$F,)),0)+IF($P382=3,INDEX('卡片raw data'!AG:AG,MATCH($D382,'卡片raw data'!$F:$F,)),0)+IF($P382=4,INDEX('卡片raw data'!AJ:AJ,MATCH($D382,'卡片raw data'!$F:$F,)),0)+IF($P382=5,INDEX('卡片raw data'!AM:AM,MATCH($D382,'卡片raw data'!$F:$F,)),0)+INDEX('卡片raw data'!U:U,MATCH($D382,'卡片raw data'!$F:$F,))*(IF($F382="UR",0.04,0.033))*(IF($F382="UR",INDEX(绊状态确认!$S:$S,MATCH($G382,绊状态确认!$B:$B,))/2-40)+IF($F382="SR",INDEX(绊状态确认!$R:$R,MATCH($G382,绊状态确认!$B:$B,))/4-15))+IF($F382="R",INDEX(绊状态确认!$Q:$Q,MATCH($G382,绊状态确认!$B:$B,))/6-40/6)))*(INDEX(绊状态确认!$H:$H,MATCH($G382,绊状态确认!$B:$B,))+INDEX(绊状态确认!L:L,MATCH($G382,绊状态确认!$B:$B,)))</f>
        <v>6727.1788991999993</v>
      </c>
      <c r="AO382" s="1107">
        <f t="shared" si="449"/>
        <v>1</v>
      </c>
      <c r="AP382" s="1131">
        <f>1+(INDEX(绊状态确认!$T:$T,MATCH($G382,绊状态确认!$B:$B,))+0.2)*$AO382</f>
        <v>1.3</v>
      </c>
      <c r="AQ382" s="1108">
        <f t="shared" si="450"/>
        <v>25333.447556799998</v>
      </c>
      <c r="AR382" s="1097">
        <f>(AM382*(1+$EX$9)+$EX$35)*(1+(INDEX(绊状态确认!$T:$T,MATCH($G382,绊状态确认!$B:$B,))+0.2)*AO382)*IF(J382=$FF$17,1+$FE$17,1)*IF(I382=$FF$14,1+$FE$14,1)</f>
        <v>10740.182774620002</v>
      </c>
      <c r="AS382" s="1097">
        <f>(AN382*(1+$EX$10)+$EX$36)*(1+(INDEX(绊状态确认!$T:$T,MATCH($G382,绊状态确认!$B:$B,))+0.2)*AO382)*IF(J382=$FF$17,1+$FE$17,1)*IF(I382=$FF$14,1+$FE$14,1)</f>
        <v>14113.132454303997</v>
      </c>
      <c r="AT382" s="1093">
        <f>IF(AND(INDEX('卡片raw data'!AK:AK,MATCH($D382,'卡片raw data'!$F:$F,))&lt;INDEX('卡片raw data'!AM:AM,MATCH($D382,'卡片raw data'!$F:$F,)),INDEX('卡片raw data'!AL:AL,MATCH($D382,'卡片raw data'!$F:$F,))&lt;INDEX('卡片raw data'!AM:AM,MATCH($D382,'卡片raw data'!$F:$F,))),1,0)</f>
        <v>0</v>
      </c>
      <c r="AU382" s="1098">
        <f>MIN(AT382*0.15+AS382*0.00003+INDEX(绊状态确认!M:M,MATCH($G382,绊状态确认!$B:$B,)),1)</f>
        <v>0.45339397362911993</v>
      </c>
      <c r="AV382" s="1109">
        <f>(INDEX(绊状态确认!$N:$N,MATCH($G382,绊状态确认!$B:$B,))+1.5)*$EW$21</f>
        <v>2.6599999999999997</v>
      </c>
      <c r="AW382" s="1101">
        <f t="shared" si="451"/>
        <v>23059.128586603441</v>
      </c>
      <c r="AX382" s="1097">
        <f t="shared" si="452"/>
        <v>917.0779330338554</v>
      </c>
      <c r="AY382" s="1110">
        <f t="shared" si="453"/>
        <v>23976.206519637297</v>
      </c>
      <c r="AZ382" s="429">
        <f t="shared" si="454"/>
        <v>19004.846756479998</v>
      </c>
      <c r="BA382" s="431">
        <f t="shared" si="455"/>
        <v>22805.816107775998</v>
      </c>
      <c r="BB382" s="1097">
        <f>(AM382*(1+$FB$9)+$FB$35)*(1+(INDEX(绊状态确认!$T:$T,MATCH($G382,绊状态确认!$B:$B,))+0.2)*AO382)*IF(J382=$FF$17,1+$FE$17,1)*IF(I382=$FF$14,1+$FE$14,1)*(1+$FE$15)</f>
        <v>10740.182774620002</v>
      </c>
      <c r="BC382" s="1097">
        <f>(AN382*(1+$FB$10)+$FB$36)*(1+(INDEX(绊状态确认!$T:$T,MATCH($G382,绊状态确认!$B:$B,))+0.2)*AO382)*IF(J382=$FF$17,1+$FE$17,1)*IF(I382=$FF$14,1+$FE$14,1)*(1+$FE$15)</f>
        <v>14113.132454303997</v>
      </c>
      <c r="BD382" s="1104">
        <f>MIN(AT382*0.15+BC382*0.00003+INDEX(绊状态确认!M:M,MATCH($G382,绊状态确认!$B:$B,)),1)</f>
        <v>0.45339397362911993</v>
      </c>
      <c r="BE382" s="432">
        <f>(INDEX(绊状态确认!$N:$N,MATCH($G382,绊状态确认!$B:$B,))+1.5)</f>
        <v>1.9</v>
      </c>
      <c r="BF382" s="1139">
        <f t="array" ref="BF382">SUMPRODUCT(IF(AZ382*AP382*$FI$16:$FI$23*$FA$22&gt;=$FI$24,$FI$24,AZ382*AP382*$FI$16:$FI$23*$FA$22),$FJ$16:$FJ$23)</f>
        <v>37800.640198638721</v>
      </c>
      <c r="BG382" s="1125">
        <f t="array" ref="BG382">SUMPRODUCT(IF(BE382*AZ382*AP382*$FI$16:$FI$23*$FA$22&gt;=$FI$24,$FI$24,BE382*AZ382*AP382*$FI$16:$FI$23*$FA$22),$FJ$16:$FJ$23)</f>
        <v>59633.036578620668</v>
      </c>
      <c r="BH382" s="1110">
        <f t="shared" si="456"/>
        <v>15899.772382401585</v>
      </c>
      <c r="BI382" s="1111">
        <f>IF(O382="vo",$EW$26/$EW$24*0.05,0)+IF(O382="sk",-$EW$26/$EW$24*(0.05-INDEX(绊状态确认!W:W,MATCH($G382,绊状态确认!$B:$B,)))+0.05*$EW$28,0)+IF(O382="sp",0.05*$EW$32*$EW$30*(1-$EW$33)-(0.05-INDEX(绊状态确认!V:V,MATCH($G382,绊状态确认!$B:$B,)))*$EW$28,0)+IF(O382="gd",-(0.05-INDEX(绊状态确认!X:X,MATCH($G382,绊状态确认!$B:$B,)))*$EW$32*$EW$30*(1-$EW$33),0)</f>
        <v>7726.3029277443748</v>
      </c>
      <c r="BJ382" s="1097">
        <f>IF(O382="vo",0.05*(1-$FI$26)*$FA$24,0)+IF(O382="sk",-(0.05-INDEX(绊状态确认!W:W,MATCH($G382,绊状态确认!$B:$B,)))*(1-$FI$26)*$FA$24+0.05*$FA$26,0)+IF(O382="sp",0.05*$FA$32*$FA$27*(1-$FA$33)/$FA$30+0.05*$FA$29/$FA$69*$FA$27*(1-$FA$33)-(0.05-INDEX(绊状态确认!V:V,MATCH($G382,绊状态确认!$B:$B,)))*$FA$26,0)+IF(O382="gd",-(0.05-INDEX(绊状态确认!X:X,MATCH($G382,绊状态确认!$B:$B,)))*$FA$32*$FA$27*(1-$FA$33)/$FA$30-(0.05-INDEX(绊状态确认!X:X,MATCH($G382,绊状态确认!$B:$B,)))*$FA$29/$FA$69*$FA$27*(1-$FA$33),0)</f>
        <v>393.93433687500004</v>
      </c>
      <c r="BK382" s="1110">
        <f>IF(O382="vo",$EW$26/$EW$24*0.05+$EW$26*(-HP($EW$62,$EW$65,$EW$64)+HP($EW$62,$EW$65,(1.05-INDEX(绊状态确认!U:U,MATCH($G382,绊状态确认!$B:$B,)))*$EW$64)),0)+IF(O382="sk",-$EW$26/$EW$24*(0.05-INDEX(绊状态确认!W:W,MATCH($G382,绊状态确认!$B:$B,)))+0.05*$EW$29,0)+IF(O382="sp",0.05*$EW$32*$EW$30*(1-$EW$33)-(0.05-INDEX(绊状态确认!V:V,MATCH($G382,绊状态确认!$B:$B,)))*$EW$29,0)+IF(O382="gd",-(0.05-INDEX(绊状态确认!X:X,MATCH($G382,绊状态确认!$B:$B,)))*$EW$32*$EW$30*(1-$EW$33)+$EW$26*(-HP($EW$62,$EW$65,$EW$64)+HP($EW$62,$EW$65,0.95*$EW$64)),0)</f>
        <v>6421.6344775026746</v>
      </c>
      <c r="BL382" s="1111">
        <f t="shared" si="457"/>
        <v>-1083.3333333333333</v>
      </c>
      <c r="BM382" s="1110">
        <f t="shared" si="458"/>
        <v>-830.55555555555543</v>
      </c>
      <c r="BN382" s="1113">
        <f t="shared" si="459"/>
        <v>3</v>
      </c>
      <c r="BO382" s="1108">
        <f t="shared" si="460"/>
        <v>4507.7214871259994</v>
      </c>
      <c r="BP382" s="1100">
        <f t="shared" si="461"/>
        <v>221.34103209030098</v>
      </c>
      <c r="BQ382" s="1113" t="s">
        <v>132</v>
      </c>
      <c r="BR382" s="1124" t="s">
        <v>171</v>
      </c>
      <c r="BS382" s="1098">
        <f>IF($P382="","N/A",IF($P382=-1,INDEX('卡片raw data'!AX:AX,MATCH($D382,'卡片raw data'!$F:$F,)),0)+IF($L382="party卡",IF($P382=5,INDEX('卡片raw data'!BD:BD,MATCH($D382,'卡片raw data'!$F:$F,)),IF($P382&gt;=3,INDEX('卡片raw data'!BC:BC,MATCH($D382,'卡片raw data'!$F:$F,)),INDEX('卡片raw data'!BB:BB,MATCH($D382,'卡片raw data'!$F:$F,)))),IF(OR(AND($F382="UR",$P382=0),AND($F382="SR",$P382&gt;=0,$P382&lt;=2),AND($F382="R",$P382&gt;=0,$P382&lt;4)),INDEX('卡片raw data'!AZ:AZ,MATCH($D382,'卡片raw data'!$F:$F,)),0)+IF(OR(AND($F382="UR",$P382&gt;=1,$P382&lt;=4),AND($F382="SR",$P382&lt;=4,$P382&gt;=3),AND($F382="R",$P382=4)),INDEX('卡片raw data'!BA:BA,MATCH($D382,'卡片raw data'!$F:$F,)),0)+IF($P382=5,INDEX('卡片raw data'!BB:BB,MATCH($D382,'卡片raw data'!$F:$F,)),0)))</f>
        <v>3.2000000000000001E-2</v>
      </c>
      <c r="BT382" s="1101">
        <f t="shared" si="462"/>
        <v>1602.7454176448</v>
      </c>
      <c r="BU382" s="1097">
        <f t="shared" si="463"/>
        <v>68.861654428093644</v>
      </c>
      <c r="BV382" s="1097">
        <f t="shared" si="464"/>
        <v>801.37270882240011</v>
      </c>
      <c r="BW382" s="1112">
        <f t="shared" si="465"/>
        <v>0</v>
      </c>
      <c r="BX382" s="1100">
        <f t="shared" si="466"/>
        <v>1602.7454176448</v>
      </c>
      <c r="BY382" s="1110">
        <f t="shared" si="467"/>
        <v>801.37270882240011</v>
      </c>
      <c r="BZ382" s="1113" t="s">
        <v>569</v>
      </c>
      <c r="CA382" s="1124"/>
      <c r="CB382" s="1098">
        <f>IF($P382="","N/A",IF($P382=-1,INDEX('卡片raw data'!BE:BE,MATCH($D382,'卡片raw data'!$F:$F,)),0)+IF($L382="party卡",IF($P382=5,INDEX('卡片raw data'!BK:BK,MATCH($D382,'卡片raw data'!$F:$F,)),IF($P382&gt;=3,INDEX('卡片raw data'!BJ:BJ,MATCH($D382,'卡片raw data'!$F:$F,)),INDEX('卡片raw data'!BI:BI,MATCH($D382,'卡片raw data'!$F:$F,)))),IF(OR(AND($F382="UR",$P382=0),AND($F382="SR",$P382&gt;=0,$P382&lt;=2),AND($F382="R",$P382&gt;=0,$P382&lt;4)),INDEX('卡片raw data'!BG:BG,MATCH($D382,'卡片raw data'!$F:$F,)),0)+IF(OR(AND($F382="UR",$P382&gt;=1,$P382&lt;=4),AND($F382="SR",$P382&lt;=4,$P382&gt;=3),AND($F382="R",$P382=4)),INDEX('卡片raw data'!BH:BH,MATCH($D382,'卡片raw data'!$F:$F,)),0)+IF($P382=5,INDEX('卡片raw data'!BI:BI,MATCH($D382,'卡片raw data'!$F:$F,)),0)))</f>
        <v>0</v>
      </c>
      <c r="CC382" s="1101">
        <f t="shared" si="468"/>
        <v>0</v>
      </c>
      <c r="CD382" s="1097">
        <f>IF(BZ382="ap",CB382*(1-$FI$26)*$FB$5/$FB$11*(+IF(CA382="全员",$FA$24,0)+IF(CA382="同作战",$FA$24,0)+IF(CA382="仲间",$FA$24*2/3,0)+IF(CA382="同属性",$FA$24*$FA$37/3,0)+IF(CA382="同年级",$FA$24*$FA$40/3,0)+IF(CA382="同学校",$FA$24*$FA$43/3,0)+IF(CA382="同小队",$FA$24*$FA$46/3,0)+IF(CA382="同type",$FA$24*INDEX($FB$49:$FB$52,MATCH(X382,$FA$49:$FA$52,))/3,0)+IF(CA382="自身",#REF!/3,0)),0)+IF(BZ382="te",CB382*(1-$FI$27)*($FA$20-1)*$FB$7/$FB$13*(+IF(CA382="全员",$FA$19*$FA$24/(1+($FA$20-1)*$FA$19),0)+IF(CA382="同作战",$FA$19*$FA$24/(1+($FA$20-1)*$FA$19),0)+IF(CA382="仲间",$FA$19*$FA$24*2/3/(1+($FA$20-1)*$FA$19),0)+IF(CA382="同属性",$FA$19*$FA$24*$FA$37/3/(1+($FA$20-1)*$FA$19),0)+IF(CA382="同年级",$FA$19*$FA$24*$FA$40/3/(1+($FA$20-1)*$FA$19),0)+IF(CA382="同学校",$FA$19*$FA$24*$FA$43/3/(1+($FA$20-1)*$FA$19),0)+IF(CA382="同小队",$FA$19*$FA$24*$FA$46/3/(1+($FA$20-1)*$FA$19),0)+IF(CA382="同type",$FA$19*$FA$24*INDEX($FB$49:$FB$52,MATCH(X382,$FA$49:$FA$52,))/3/(1+($FA$20-1)*$FA$19),0)+IF(CA382="自身",$FA$19*#REF!/3/(1+(BH382-1)*$BD382),0)),0)</f>
        <v>0</v>
      </c>
      <c r="CE382" s="1097">
        <f t="shared" si="469"/>
        <v>0</v>
      </c>
      <c r="CF382" s="1112">
        <f t="shared" si="470"/>
        <v>0</v>
      </c>
      <c r="CG382" s="1100">
        <f t="shared" si="471"/>
        <v>0</v>
      </c>
      <c r="CH382" s="1110">
        <f t="shared" si="472"/>
        <v>0</v>
      </c>
      <c r="CI382" s="1113" t="s">
        <v>164</v>
      </c>
      <c r="CJ382" s="1114">
        <v>1</v>
      </c>
      <c r="CK382" s="1115" t="s">
        <v>167</v>
      </c>
      <c r="CL382" s="1115" t="s">
        <v>171</v>
      </c>
      <c r="CM382" s="1119">
        <v>3.7999999999999999E-2</v>
      </c>
      <c r="CN382" s="1115">
        <v>5</v>
      </c>
      <c r="CO382" s="1115"/>
      <c r="CP382" s="1118">
        <f t="shared" si="473"/>
        <v>2.7142857142857147E-3</v>
      </c>
      <c r="CQ382" s="1118">
        <f t="shared" si="474"/>
        <v>3.6944444444444451E-3</v>
      </c>
      <c r="CR382" s="1118">
        <f t="shared" si="475"/>
        <v>1.3571428571428571E-3</v>
      </c>
      <c r="CS382" s="1118">
        <f t="shared" si="476"/>
        <v>0</v>
      </c>
      <c r="CT382" s="1109">
        <f t="shared" si="477"/>
        <v>0</v>
      </c>
      <c r="CU382" s="1101">
        <f t="shared" si="478"/>
        <v>369.09652843395992</v>
      </c>
      <c r="CV382" s="1108">
        <f t="shared" si="479"/>
        <v>24.256142039062507</v>
      </c>
      <c r="CW382" s="1097">
        <f t="shared" si="480"/>
        <v>184.54826421697993</v>
      </c>
      <c r="CX382" s="1097">
        <f t="shared" si="481"/>
        <v>369.09652843395992</v>
      </c>
      <c r="CY382" s="1110">
        <f t="shared" si="482"/>
        <v>184.54826421697993</v>
      </c>
      <c r="CZ382" s="437"/>
      <c r="DA382" s="438"/>
      <c r="DB382" s="439" t="s">
        <v>569</v>
      </c>
      <c r="DC382" s="439"/>
      <c r="DD382" s="443"/>
      <c r="DE382" s="411"/>
      <c r="DF382" s="411"/>
      <c r="DG382" s="1116">
        <f t="shared" si="483"/>
        <v>0</v>
      </c>
      <c r="DH382" s="1116">
        <f t="shared" si="484"/>
        <v>0</v>
      </c>
      <c r="DI382" s="1116">
        <f t="shared" si="485"/>
        <v>0</v>
      </c>
      <c r="DJ382" s="442">
        <f t="shared" si="486"/>
        <v>0</v>
      </c>
      <c r="DK382" s="1109">
        <f t="shared" si="487"/>
        <v>0</v>
      </c>
      <c r="DL382" s="1101">
        <f t="shared" si="488"/>
        <v>0</v>
      </c>
      <c r="DM382" s="1097">
        <f t="shared" si="489"/>
        <v>0</v>
      </c>
      <c r="DN382" s="1097">
        <f t="shared" si="490"/>
        <v>0</v>
      </c>
      <c r="DO382" s="1097">
        <f t="shared" si="491"/>
        <v>0</v>
      </c>
      <c r="DP382" s="1110">
        <f t="shared" si="492"/>
        <v>0</v>
      </c>
      <c r="DQ382" s="1113" t="s">
        <v>221</v>
      </c>
      <c r="DR382" s="1120">
        <f t="shared" si="493"/>
        <v>0.3</v>
      </c>
      <c r="DS382" s="1124">
        <v>5</v>
      </c>
      <c r="DT382" s="1124" t="s">
        <v>171</v>
      </c>
      <c r="DU382" s="1093" t="s">
        <v>544</v>
      </c>
      <c r="DV382" s="1098">
        <f>IF($P382="","N/A",IF(P382=-1,INDEX('卡片raw data'!AN:AN,MATCH(D382,'卡片raw data'!$F:$F,)),0)+IF(AND(L382&lt;&gt;"party卡",P382&lt;=2,P382&gt;=0),INDEX('卡片raw data'!AP:AP,MATCH(D382,'卡片raw data'!$F:$F,)),0)+IF(OR(AND(L382="party卡",P382&lt;=1),AND(P382&lt;=4,L382&lt;&gt;"party卡",P382&gt;=3)),INDEX('卡片raw data'!AQ:AQ,MATCH(D382,'卡片raw data'!$F:$F,)),0)+IF(OR(P382=5,AND(L382="party卡",P382&gt;=2)),INDEX('卡片raw data'!AR:AR,MATCH(D382,'卡片raw data'!$F:$F,)),0))</f>
        <v>5.1999999999999998E-2</v>
      </c>
      <c r="DW382" s="1098">
        <f t="shared" si="494"/>
        <v>0.3</v>
      </c>
      <c r="DX382" s="1098">
        <f t="shared" si="495"/>
        <v>0.3</v>
      </c>
      <c r="DY382" s="1098">
        <f t="shared" si="496"/>
        <v>1.7333333333333333E-2</v>
      </c>
      <c r="DZ382" s="1098">
        <f t="shared" si="497"/>
        <v>1.3119166666666666E-2</v>
      </c>
      <c r="EA382" s="1098">
        <f t="shared" si="498"/>
        <v>0</v>
      </c>
      <c r="EB382" s="1121">
        <f t="shared" si="499"/>
        <v>0</v>
      </c>
      <c r="EC382" s="1101">
        <f t="shared" si="500"/>
        <v>2946.2968497798547</v>
      </c>
      <c r="ED382" s="1097">
        <f t="shared" si="501"/>
        <v>103.36180442371877</v>
      </c>
      <c r="EE382" s="1110">
        <f t="shared" si="513"/>
        <v>2946.2968497798547</v>
      </c>
      <c r="EF382" s="1115" t="s">
        <v>569</v>
      </c>
      <c r="EG382" s="1120">
        <f t="shared" si="503"/>
        <v>0.3</v>
      </c>
      <c r="EH382" s="1124"/>
      <c r="EI382" s="1093"/>
      <c r="EJ382" s="1093"/>
      <c r="EK382" s="1097">
        <f>IF($P382="","N/A",IF(P382=-1,INDEX('卡片raw data'!AS:AS,MATCH(D382,'卡片raw data'!$F:$F,)),0)+IF(AND(L382&lt;&gt;"party卡",P382&lt;=2,P382&gt;=0),INDEX('卡片raw data'!AU:AU,MATCH(D382,'卡片raw data'!$F:$F,)),0)+IF(OR(AND(L382="party卡",P382&lt;=1),AND(P382&lt;=4,L382&lt;&gt;"party卡",P382&gt;=3)),INDEX('卡片raw data'!AV:AV,MATCH(D382,'卡片raw data'!$F:$F,)),0)+IF(OR(P382=5,AND(L382="party卡",P382&gt;=2)),INDEX('卡片raw data'!AW:AW,MATCH(D382,'卡片raw data'!$F:$F,)),0))</f>
        <v>0</v>
      </c>
      <c r="EL382" s="1098">
        <f t="shared" si="504"/>
        <v>0.3</v>
      </c>
      <c r="EM382" s="1098">
        <f t="shared" si="505"/>
        <v>0.3</v>
      </c>
      <c r="EN382" s="1097">
        <f t="shared" si="506"/>
        <v>0</v>
      </c>
      <c r="EO382" s="1097">
        <f t="shared" si="507"/>
        <v>0</v>
      </c>
      <c r="EP382" s="1098">
        <f t="shared" si="508"/>
        <v>0</v>
      </c>
      <c r="EQ382" s="1121">
        <f t="shared" si="509"/>
        <v>0</v>
      </c>
      <c r="ER382" s="1101">
        <f t="shared" si="510"/>
        <v>0</v>
      </c>
      <c r="ES382" s="1097">
        <f t="shared" si="511"/>
        <v>0</v>
      </c>
      <c r="ET382" s="1122">
        <f t="shared" si="514"/>
        <v>0</v>
      </c>
    </row>
    <row r="383" spans="2:150" ht="16.5" customHeight="1">
      <c r="B383" s="1123" t="str">
        <f>INDEX('卡片raw data'!B:B,MATCH($D383,'卡片raw data'!$F:$F,))</f>
        <v>新年梨</v>
      </c>
      <c r="C383" s="449" t="s">
        <v>1859</v>
      </c>
      <c r="D383" s="408">
        <v>380</v>
      </c>
      <c r="E383" s="477">
        <v>401023004</v>
      </c>
      <c r="F383" s="1090" t="str">
        <f>INDEX('卡片raw data'!C:C,MATCH($D383,'卡片raw data'!$F:$F,))</f>
        <v>UR</v>
      </c>
      <c r="G383" s="1094" t="s">
        <v>1860</v>
      </c>
      <c r="H383" s="411">
        <f>IFERROR(INDEX(绊状态确认!C:C,MATCH($G383,绊状态确认!$B:$B,)),"")</f>
        <v>102</v>
      </c>
      <c r="I383" s="1124" t="str">
        <f>IFERROR(INDEX(绊状态确认!D:D,MATCH($G383,绊状态确认!$B:$B,)),"")</f>
        <v>水</v>
      </c>
      <c r="J383" s="1124" t="str">
        <f>IFERROR(INDEX(绊状态确认!E:E,MATCH($G383,绊状态确认!$B:$B,)),"")</f>
        <v>2年级</v>
      </c>
      <c r="K383" s="451" t="str">
        <f>IFERROR(INDEX(绊状态确认!F:F,MATCH($G383,绊状态确认!$B:$B,)),"")</f>
        <v>Guilty Kiss</v>
      </c>
      <c r="L383" s="1094" t="str">
        <f>INDEX('卡片raw data'!E:E,MATCH($D383,'卡片raw data'!$F:$F,))</f>
        <v>卡池卡</v>
      </c>
      <c r="M383" s="478">
        <v>44197</v>
      </c>
      <c r="N383" s="479">
        <v>31</v>
      </c>
      <c r="O383" s="1091" t="str">
        <f>INDEX('卡片raw data'!D:D,MATCH($D383,'卡片raw data'!$F:$F,))</f>
        <v>vo</v>
      </c>
      <c r="P383" s="1126">
        <v>5</v>
      </c>
      <c r="Q383" s="1095">
        <f t="shared" si="428"/>
        <v>63680.715954889056</v>
      </c>
      <c r="R383" s="1096">
        <f t="shared" si="429"/>
        <v>0.74</v>
      </c>
      <c r="S383" s="1097">
        <f t="shared" si="430"/>
        <v>22009.390913170762</v>
      </c>
      <c r="T383" s="1098">
        <f t="shared" si="431"/>
        <v>1.1000000000000001</v>
      </c>
      <c r="U383" s="1099">
        <f t="shared" si="432"/>
        <v>-10.576392853257147</v>
      </c>
      <c r="V383" s="1100">
        <f t="shared" si="433"/>
        <v>63532.441191473066</v>
      </c>
      <c r="W383" s="1101">
        <f t="shared" si="434"/>
        <v>6716.5050158177391</v>
      </c>
      <c r="X383" s="1096">
        <f t="shared" si="435"/>
        <v>7.8E-2</v>
      </c>
      <c r="Y383" s="1097">
        <f t="shared" si="436"/>
        <v>1156.3936868257124</v>
      </c>
      <c r="Z383" s="1102">
        <f t="shared" si="437"/>
        <v>14.423607146742853</v>
      </c>
      <c r="AA383" s="1103">
        <f t="shared" si="438"/>
        <v>7872.8987026434515</v>
      </c>
      <c r="AB383" s="1101">
        <f t="shared" si="439"/>
        <v>8925.2885445094798</v>
      </c>
      <c r="AC383" s="1104">
        <f t="shared" si="440"/>
        <v>0.10299999999999999</v>
      </c>
      <c r="AD383" s="1105">
        <f t="shared" si="441"/>
        <v>0</v>
      </c>
      <c r="AE383" s="1128">
        <f t="shared" si="442"/>
        <v>0</v>
      </c>
      <c r="AF383" s="1130">
        <f t="shared" si="443"/>
        <v>0</v>
      </c>
      <c r="AG383" s="420">
        <f t="shared" si="444"/>
        <v>0</v>
      </c>
      <c r="AH383" s="420">
        <f t="shared" si="445"/>
        <v>0</v>
      </c>
      <c r="AI383" s="1097">
        <f t="shared" si="446"/>
        <v>0</v>
      </c>
      <c r="AJ383" s="420">
        <f t="shared" si="447"/>
        <v>0</v>
      </c>
      <c r="AK383" s="518">
        <f t="shared" si="448"/>
        <v>0</v>
      </c>
      <c r="AL383" s="1106">
        <f>IF($P383="","N/A",(IF($P383=-1,INDEX('卡片raw data'!S:S,MATCH($D383,'卡片raw data'!$F:$F,)),0)+IF($P383=0,INDEX('卡片raw data'!V:V,MATCH($D383,'卡片raw data'!$F:$F,)),0)+IF($P383=1,INDEX('卡片raw data'!Y:Y,MATCH($D383,'卡片raw data'!$F:$F,)),0)+IF($P383=2,INDEX('卡片raw data'!AB:AB,MATCH($D383,'卡片raw data'!$F:$F,)),0)+IF($P383=3,INDEX('卡片raw data'!AE:AE,MATCH($D383,'卡片raw data'!$F:$F,)),0)+IF($P383=4,INDEX('卡片raw data'!AH:AH,MATCH($D383,'卡片raw data'!$F:$F,)),0)+IF($P383=5,INDEX('卡片raw data'!AK:AK,MATCH($D383,'卡片raw data'!$F:$F,)),0)+INDEX('卡片raw data'!S:S,MATCH($D383,'卡片raw data'!$F:$F,))*(IF($F383="UR",0.04,0.033))*(IF($F383="UR",INDEX(绊状态确认!$S:$S,MATCH($G383,绊状态确认!$B:$B,))/2-40)+IF($F383="SR",INDEX(绊状态确认!$R:$R,MATCH($G383,绊状态确认!$B:$B,))/4-15))+IF($F383="R",INDEX(绊状态确认!$Q:$Q,MATCH($G383,绊状态确认!$B:$B,))/6-40/6)))*(INDEX(绊状态确认!$H:$H,MATCH($G383,绊状态确认!$B:$B,))+INDEX(绊状态确认!J:J,MATCH($G383,绊状态确认!$B:$B,)))</f>
        <v>13709.529599999998</v>
      </c>
      <c r="AM383" s="1106">
        <f>IF($P383="","N/A",(IF($P383=-1,INDEX('卡片raw data'!T:T,MATCH($D383,'卡片raw data'!$F:$F,)),0)+IF($P383=0,INDEX('卡片raw data'!W:W,MATCH($D383,'卡片raw data'!$F:$F,)),0)+IF($P383=1,INDEX('卡片raw data'!Z:Z,MATCH($D383,'卡片raw data'!$F:$F,)),0)+IF($P383=2,INDEX('卡片raw data'!AC:AC,MATCH($D383,'卡片raw data'!$F:$F,)),0)+IF($P383=3,INDEX('卡片raw data'!AF:AF,MATCH($D383,'卡片raw data'!$F:$F,)),0)+IF($P383=4,INDEX('卡片raw data'!AI:AI,MATCH($D383,'卡片raw data'!$F:$F,)),0)+IF($P383=5,INDEX('卡片raw data'!AL:AL,MATCH($D383,'卡片raw data'!$F:$F,)),0)+INDEX('卡片raw data'!T:T,MATCH($D383,'卡片raw data'!$F:$F,))*(IF($F383="UR",0.04,0.033))*(IF($F383="UR",INDEX(绊状态确认!$S:$S,MATCH($G383,绊状态确认!$B:$B,))/2-40)+IF($F383="SR",INDEX(绊状态确认!$R:$R,MATCH($G383,绊状态确认!$B:$B,))/4-15))+IF($F383="R",INDEX(绊状态确认!$Q:$Q,MATCH($G383,绊状态确认!$B:$B,))/6-40/6)))*(INDEX(绊状态确认!$H:$H,MATCH($G383,绊状态确认!$B:$B,))+INDEX(绊状态确认!K:K,MATCH($G383,绊状态确认!$B:$B,)))</f>
        <v>7881.3431039999987</v>
      </c>
      <c r="AN383" s="1106">
        <f>IF($P383="","N/A",(IF($P383=-1,INDEX('卡片raw data'!U:U,MATCH($D383,'卡片raw data'!$F:$F,)),0)+IF($P383=0,INDEX('卡片raw data'!X:X,MATCH($D383,'卡片raw data'!$F:$F,)),0)+IF($P383=1,INDEX('卡片raw data'!AA:AA,MATCH($D383,'卡片raw data'!$F:$F,)),0)+IF($P383=2,INDEX('卡片raw data'!AD:AD,MATCH($D383,'卡片raw data'!$F:$F,)),0)+IF($P383=3,INDEX('卡片raw data'!AG:AG,MATCH($D383,'卡片raw data'!$F:$F,)),0)+IF($P383=4,INDEX('卡片raw data'!AJ:AJ,MATCH($D383,'卡片raw data'!$F:$F,)),0)+IF($P383=5,INDEX('卡片raw data'!AM:AM,MATCH($D383,'卡片raw data'!$F:$F,)),0)+INDEX('卡片raw data'!U:U,MATCH($D383,'卡片raw data'!$F:$F,))*(IF($F383="UR",0.04,0.033))*(IF($F383="UR",INDEX(绊状态确认!$S:$S,MATCH($G383,绊状态确认!$B:$B,))/2-40)+IF($F383="SR",INDEX(绊状态确认!$R:$R,MATCH($G383,绊状态确认!$B:$B,))/4-15))+IF($F383="R",INDEX(绊状态确认!$Q:$Q,MATCH($G383,绊状态确认!$B:$B,))/6-40/6)))*(INDEX(绊状态确认!$H:$H,MATCH($G383,绊状态确认!$B:$B,))+INDEX(绊状态确认!L:L,MATCH($G383,绊状态确认!$B:$B,)))</f>
        <v>12679.451183999998</v>
      </c>
      <c r="AO383" s="1107">
        <f t="shared" si="449"/>
        <v>1</v>
      </c>
      <c r="AP383" s="1131">
        <f>1+(INDEX(绊状态确认!$T:$T,MATCH($G383,绊状态确认!$B:$B,))+0.2)*$AO383</f>
        <v>1.3</v>
      </c>
      <c r="AQ383" s="1108">
        <f t="shared" si="450"/>
        <v>39237.515199999994</v>
      </c>
      <c r="AR383" s="1097">
        <f>(AM383*(1+$EX$9)+$EX$35)*(1+(INDEX(绊状态确认!$T:$T,MATCH($G383,绊状态确认!$B:$B,))+0.2)*AO383)*IF(J383=$FF$17,1+$FE$17,1)*IF(I383=$FF$14,1+$FE$14,1)</f>
        <v>13462.033336959998</v>
      </c>
      <c r="AS383" s="1097">
        <f>(AN383*(1+$EX$10)+$EX$36)*(1+(INDEX(绊状态确认!$T:$T,MATCH($G383,绊状态确认!$B:$B,))+0.2)*AO383)*IF(J383=$FF$17,1+$FE$17,1)*IF(I383=$FF$14,1+$FE$14,1)</f>
        <v>23011.779520079996</v>
      </c>
      <c r="AT383" s="1093">
        <f>IF(AND(INDEX('卡片raw data'!AK:AK,MATCH($D383,'卡片raw data'!$F:$F,))&lt;INDEX('卡片raw data'!AM:AM,MATCH($D383,'卡片raw data'!$F:$F,)),INDEX('卡片raw data'!AL:AL,MATCH($D383,'卡片raw data'!$F:$F,))&lt;INDEX('卡片raw data'!AM:AM,MATCH($D383,'卡片raw data'!$F:$F,))),1,0)</f>
        <v>0</v>
      </c>
      <c r="AU383" s="1098">
        <f>MIN(AT383*0.15+AS383*0.00003+INDEX(绊状态确认!M:M,MATCH($G383,绊状态确认!$B:$B,)),1)</f>
        <v>0.72035338560239992</v>
      </c>
      <c r="AV383" s="1109">
        <f>(INDEX(绊状态确认!$N:$N,MATCH($G383,绊状态确认!$B:$B,))+1.5)*$EW$21</f>
        <v>2.6599999999999997</v>
      </c>
      <c r="AW383" s="1101">
        <f t="shared" si="451"/>
        <v>44745.461860479998</v>
      </c>
      <c r="AX383" s="1097">
        <f t="shared" si="452"/>
        <v>1156.3936868257124</v>
      </c>
      <c r="AY383" s="1110">
        <f t="shared" si="453"/>
        <v>45901.855547305713</v>
      </c>
      <c r="AZ383" s="429">
        <f t="shared" si="454"/>
        <v>29333.582719999995</v>
      </c>
      <c r="BA383" s="431">
        <f t="shared" si="455"/>
        <v>35200.299263999994</v>
      </c>
      <c r="BB383" s="1097">
        <f>(AM383*(1+$FB$9)+$FB$35)*(1+(INDEX(绊状态确认!$T:$T,MATCH($G383,绊状态确认!$B:$B,))+0.2)*AO383)*IF(J383=$FF$17,1+$FE$17,1)*IF(I383=$FF$14,1+$FE$14,1)*(1+$FE$15)</f>
        <v>13462.033336959998</v>
      </c>
      <c r="BC383" s="1097">
        <f>(AN383*(1+$FB$10)+$FB$36)*(1+(INDEX(绊状态确认!$T:$T,MATCH($G383,绊状态确认!$B:$B,))+0.2)*AO383)*IF(J383=$FF$17,1+$FE$17,1)*IF(I383=$FF$14,1+$FE$14,1)*(1+$FE$15)</f>
        <v>23011.779520079996</v>
      </c>
      <c r="BD383" s="1104">
        <f>MIN(AT383*0.15+BC383*0.00003+INDEX(绊状态确认!M:M,MATCH($G383,绊状态确认!$B:$B,)),1)</f>
        <v>0.72035338560239992</v>
      </c>
      <c r="BE383" s="432">
        <f>(INDEX(绊状态确认!$N:$N,MATCH($G383,绊状态确认!$B:$B,))+1.5)</f>
        <v>1.9</v>
      </c>
      <c r="BF383" s="1139">
        <f t="array" ref="BF383">SUMPRODUCT(IF(AZ383*AP383*$FI$16:$FI$23*$FA$22&gt;=$FI$24,$FI$24,AZ383*AP383*$FI$16:$FI$23*$FA$22),$FJ$16:$FJ$23)</f>
        <v>55650.935754879996</v>
      </c>
      <c r="BG383" s="1125">
        <f t="array" ref="BG383">SUMPRODUCT(IF(BE383*AZ383*AP383*$FI$16:$FI$23*$FA$22&gt;=$FI$24,$FI$24,BE383*AZ383*AP383*$FI$16:$FI$23*$FA$22),$FJ$16:$FJ$23)</f>
        <v>60000</v>
      </c>
      <c r="BH383" s="1110">
        <f t="shared" si="456"/>
        <v>19594.599636018178</v>
      </c>
      <c r="BI383" s="1111">
        <f>IF(O383="vo",$EW$26/$EW$24*0.05,0)+IF(O383="sk",-$EW$26/$EW$24*(0.05-INDEX(绊状态确认!W:W,MATCH($G383,绊状态确认!$B:$B,)))+0.05*$EW$28,0)+IF(O383="sp",0.05*$EW$32*$EW$30*(1-$EW$33)-(0.05-INDEX(绊状态确认!V:V,MATCH($G383,绊状态确认!$B:$B,)))*$EW$28,0)+IF(O383="gd",-(0.05-INDEX(绊状态确认!X:X,MATCH($G383,绊状态确认!$B:$B,)))*$EW$32*$EW$30*(1-$EW$33),0)</f>
        <v>7726.3029277443748</v>
      </c>
      <c r="BJ383" s="1097">
        <f>IF(O383="vo",0.05*(1-$FI$26)*$FA$24,0)+IF(O383="sk",-(0.05-INDEX(绊状态确认!W:W,MATCH($G383,绊状态确认!$B:$B,)))*(1-$FI$26)*$FA$24+0.05*$FA$26,0)+IF(O383="sp",0.05*$FA$32*$FA$27*(1-$FA$33)/$FA$30+0.05*$FA$29/$FA$69*$FA$27*(1-$FA$33)-(0.05-INDEX(绊状态确认!V:V,MATCH($G383,绊状态确认!$B:$B,)))*$FA$26,0)+IF(O383="gd",-(0.05-INDEX(绊状态确认!X:X,MATCH($G383,绊状态确认!$B:$B,)))*$FA$32*$FA$27*(1-$FA$33)/$FA$30-(0.05-INDEX(绊状态确认!X:X,MATCH($G383,绊状态确认!$B:$B,)))*$FA$29/$FA$69*$FA$27*(1-$FA$33),0)</f>
        <v>393.93433687500004</v>
      </c>
      <c r="BK383" s="1110">
        <f>IF(O383="vo",$EW$26/$EW$24*0.05+$EW$26*(-HP($EW$62,$EW$65,$EW$64)+HP($EW$62,$EW$65,(1.05-INDEX(绊状态确认!U:U,MATCH($G383,绊状态确认!$B:$B,)))*$EW$64)),0)+IF(O383="sk",-$EW$26/$EW$24*(0.05-INDEX(绊状态确认!W:W,MATCH($G383,绊状态确认!$B:$B,)))+0.05*$EW$29,0)+IF(O383="sp",0.05*$EW$32*$EW$30*(1-$EW$33)-(0.05-INDEX(绊状态确认!V:V,MATCH($G383,绊状态确认!$B:$B,)))*$EW$29,0)+IF(O383="gd",-(0.05-INDEX(绊状态确认!X:X,MATCH($G383,绊状态确认!$B:$B,)))*$EW$32*$EW$30*(1-$EW$33)+$EW$26*(-HP($EW$62,$EW$65,$EW$64)+HP($EW$62,$EW$65,0.95*$EW$64)),0)</f>
        <v>6421.6344775026746</v>
      </c>
      <c r="BL383" s="1111">
        <f t="shared" si="457"/>
        <v>0</v>
      </c>
      <c r="BM383" s="1110">
        <f t="shared" si="458"/>
        <v>0</v>
      </c>
      <c r="BN383" s="1113">
        <f t="shared" si="459"/>
        <v>3</v>
      </c>
      <c r="BO383" s="1108">
        <f t="shared" si="460"/>
        <v>4507.7214871259994</v>
      </c>
      <c r="BP383" s="1100">
        <f t="shared" si="461"/>
        <v>221.34103209030098</v>
      </c>
      <c r="BQ383" s="1113" t="s">
        <v>132</v>
      </c>
      <c r="BR383" s="1124" t="s">
        <v>171</v>
      </c>
      <c r="BS383" s="1098">
        <f>IF($P383="","N/A",IF($P383=-1,INDEX('卡片raw data'!AX:AX,MATCH($D383,'卡片raw data'!$F:$F,)),0)+IF($L383="party卡",IF($P383=5,INDEX('卡片raw data'!BD:BD,MATCH($D383,'卡片raw data'!$F:$F,)),IF($P383&gt;=3,INDEX('卡片raw data'!BC:BC,MATCH($D383,'卡片raw data'!$F:$F,)),INDEX('卡片raw data'!BB:BB,MATCH($D383,'卡片raw data'!$F:$F,)))),IF(OR(AND($F383="UR",$P383=0),AND($F383="SR",$P383&gt;=0,$P383&lt;=2),AND($F383="R",$P383&gt;=0,$P383&lt;4)),INDEX('卡片raw data'!AZ:AZ,MATCH($D383,'卡片raw data'!$F:$F,)),0)+IF(OR(AND($F383="UR",$P383&gt;=1,$P383&lt;=4),AND($F383="SR",$P383&lt;=4,$P383&gt;=3),AND($F383="R",$P383=4)),INDEX('卡片raw data'!BA:BA,MATCH($D383,'卡片raw data'!$F:$F,)),0)+IF($P383=5,INDEX('卡片raw data'!BB:BB,MATCH($D383,'卡片raw data'!$F:$F,)),0)))</f>
        <v>5.1999999999999998E-2</v>
      </c>
      <c r="BT383" s="1101">
        <f t="shared" si="462"/>
        <v>2604.4613036728001</v>
      </c>
      <c r="BU383" s="1097">
        <f t="shared" si="463"/>
        <v>111.90018844565216</v>
      </c>
      <c r="BV383" s="1097">
        <f t="shared" si="464"/>
        <v>1302.2306518363998</v>
      </c>
      <c r="BW383" s="1112">
        <f t="shared" si="465"/>
        <v>0</v>
      </c>
      <c r="BX383" s="1100">
        <f t="shared" si="466"/>
        <v>2604.4613036728001</v>
      </c>
      <c r="BY383" s="1110">
        <f t="shared" si="467"/>
        <v>1302.2306518363998</v>
      </c>
      <c r="BZ383" s="1113" t="s">
        <v>569</v>
      </c>
      <c r="CA383" s="1124"/>
      <c r="CB383" s="1098">
        <f>IF($P383="","N/A",IF($P383=-1,INDEX('卡片raw data'!BE:BE,MATCH($D383,'卡片raw data'!$F:$F,)),0)+IF($L383="party卡",IF($P383=5,INDEX('卡片raw data'!BK:BK,MATCH($D383,'卡片raw data'!$F:$F,)),IF($P383&gt;=3,INDEX('卡片raw data'!BJ:BJ,MATCH($D383,'卡片raw data'!$F:$F,)),INDEX('卡片raw data'!BI:BI,MATCH($D383,'卡片raw data'!$F:$F,)))),IF(OR(AND($F383="UR",$P383=0),AND($F383="SR",$P383&gt;=0,$P383&lt;=2),AND($F383="R",$P383&gt;=0,$P383&lt;4)),INDEX('卡片raw data'!BG:BG,MATCH($D383,'卡片raw data'!$F:$F,)),0)+IF(OR(AND($F383="UR",$P383&gt;=1,$P383&lt;=4),AND($F383="SR",$P383&lt;=4,$P383&gt;=3),AND($F383="R",$P383=4)),INDEX('卡片raw data'!BH:BH,MATCH($D383,'卡片raw data'!$F:$F,)),0)+IF($P383=5,INDEX('卡片raw data'!BI:BI,MATCH($D383,'卡片raw data'!$F:$F,)),0)))</f>
        <v>0</v>
      </c>
      <c r="CC383" s="1101">
        <f t="shared" si="468"/>
        <v>0</v>
      </c>
      <c r="CD383" s="1097">
        <f>IF(BZ383="ap",CB383*(1-$FI$26)*$FB$5/$FB$11*(+IF(CA383="全员",$FA$24,0)+IF(CA383="同作战",$FA$24,0)+IF(CA383="仲间",$FA$24*2/3,0)+IF(CA383="同属性",$FA$24*$FA$37/3,0)+IF(CA383="同年级",$FA$24*$FA$40/3,0)+IF(CA383="同学校",$FA$24*$FA$43/3,0)+IF(CA383="同小队",$FA$24*$FA$46/3,0)+IF(CA383="同type",$FA$24*INDEX($FB$49:$FB$52,MATCH(X383,$FA$49:$FA$52,))/3,0)+IF(CA383="自身",#REF!/3,0)),0)+IF(BZ383="te",CB383*(1-$FI$27)*($FA$20-1)*$FB$7/$FB$13*(+IF(CA383="全员",$FA$19*$FA$24/(1+($FA$20-1)*$FA$19),0)+IF(CA383="同作战",$FA$19*$FA$24/(1+($FA$20-1)*$FA$19),0)+IF(CA383="仲间",$FA$19*$FA$24*2/3/(1+($FA$20-1)*$FA$19),0)+IF(CA383="同属性",$FA$19*$FA$24*$FA$37/3/(1+($FA$20-1)*$FA$19),0)+IF(CA383="同年级",$FA$19*$FA$24*$FA$40/3/(1+($FA$20-1)*$FA$19),0)+IF(CA383="同学校",$FA$19*$FA$24*$FA$43/3/(1+($FA$20-1)*$FA$19),0)+IF(CA383="同小队",$FA$19*$FA$24*$FA$46/3/(1+($FA$20-1)*$FA$19),0)+IF(CA383="同type",$FA$19*$FA$24*INDEX($FB$49:$FB$52,MATCH(X383,$FA$49:$FA$52,))/3/(1+($FA$20-1)*$FA$19),0)+IF(CA383="自身",$FA$19*#REF!/3/(1+(BH383-1)*$BD383),0)),0)</f>
        <v>0</v>
      </c>
      <c r="CE383" s="1097">
        <f t="shared" si="469"/>
        <v>0</v>
      </c>
      <c r="CF383" s="1112">
        <f t="shared" si="470"/>
        <v>0</v>
      </c>
      <c r="CG383" s="1100">
        <f t="shared" si="471"/>
        <v>0</v>
      </c>
      <c r="CH383" s="1110">
        <f t="shared" si="472"/>
        <v>0</v>
      </c>
      <c r="CI383" s="1113" t="s">
        <v>165</v>
      </c>
      <c r="CJ383" s="1114">
        <v>1</v>
      </c>
      <c r="CK383" s="1115" t="s">
        <v>167</v>
      </c>
      <c r="CL383" s="1115" t="s">
        <v>171</v>
      </c>
      <c r="CM383" s="1119">
        <v>0.02</v>
      </c>
      <c r="CN383" s="1115" t="s">
        <v>163</v>
      </c>
      <c r="CO383" s="1092"/>
      <c r="CP383" s="1118">
        <f t="shared" si="473"/>
        <v>1.3333333333333332E-2</v>
      </c>
      <c r="CQ383" s="1118">
        <f t="shared" si="474"/>
        <v>1.1666666666666667E-2</v>
      </c>
      <c r="CR383" s="1118">
        <f t="shared" si="475"/>
        <v>6.6666666666666662E-3</v>
      </c>
      <c r="CS383" s="1118">
        <f t="shared" si="476"/>
        <v>0</v>
      </c>
      <c r="CT383" s="1109">
        <f t="shared" si="477"/>
        <v>0</v>
      </c>
      <c r="CU383" s="1101">
        <f t="shared" si="478"/>
        <v>1813.1057537106801</v>
      </c>
      <c r="CV383" s="1108">
        <f t="shared" si="479"/>
        <v>76.59834328125001</v>
      </c>
      <c r="CW383" s="1097">
        <f t="shared" si="480"/>
        <v>906.55287685534006</v>
      </c>
      <c r="CX383" s="1097">
        <f t="shared" si="481"/>
        <v>1813.1057537106801</v>
      </c>
      <c r="CY383" s="1110">
        <f t="shared" si="482"/>
        <v>906.55287685534006</v>
      </c>
      <c r="CZ383" s="437"/>
      <c r="DA383" s="438"/>
      <c r="DB383" s="439" t="s">
        <v>569</v>
      </c>
      <c r="DC383" s="439"/>
      <c r="DD383" s="443"/>
      <c r="DE383" s="411"/>
      <c r="DF383" s="411"/>
      <c r="DG383" s="1116">
        <f t="shared" si="483"/>
        <v>0</v>
      </c>
      <c r="DH383" s="1116">
        <f t="shared" si="484"/>
        <v>0</v>
      </c>
      <c r="DI383" s="1116">
        <f t="shared" si="485"/>
        <v>0</v>
      </c>
      <c r="DJ383" s="442">
        <f t="shared" si="486"/>
        <v>0</v>
      </c>
      <c r="DK383" s="1109">
        <f t="shared" si="487"/>
        <v>0</v>
      </c>
      <c r="DL383" s="1101">
        <f t="shared" si="488"/>
        <v>0</v>
      </c>
      <c r="DM383" s="1097">
        <f t="shared" si="489"/>
        <v>0</v>
      </c>
      <c r="DN383" s="1097">
        <f t="shared" si="490"/>
        <v>0</v>
      </c>
      <c r="DO383" s="1097">
        <f t="shared" si="491"/>
        <v>0</v>
      </c>
      <c r="DP383" s="1110">
        <f t="shared" si="492"/>
        <v>0</v>
      </c>
      <c r="DQ383" s="1113" t="s">
        <v>545</v>
      </c>
      <c r="DR383" s="1120">
        <f t="shared" si="493"/>
        <v>0.33</v>
      </c>
      <c r="DS383" s="1124"/>
      <c r="DT383" s="1093" t="s">
        <v>132</v>
      </c>
      <c r="DU383" s="1093"/>
      <c r="DV383" s="1098">
        <f>IF($P383="","N/A",IF(P383=-1,INDEX('卡片raw data'!AN:AN,MATCH(D383,'卡片raw data'!$F:$F,)),0)+IF(AND(L383&lt;&gt;"party卡",P383&lt;=2,P383&gt;=0),INDEX('卡片raw data'!AP:AP,MATCH(D383,'卡片raw data'!$F:$F,)),0)+IF(OR(AND(L383="party卡",P383&lt;=1),AND(P383&lt;=4,L383&lt;&gt;"party卡",P383&gt;=3)),INDEX('卡片raw data'!AQ:AQ,MATCH(D383,'卡片raw data'!$F:$F,)),0)+IF(OR(P383=5,AND(L383="party卡",P383&gt;=2)),INDEX('卡片raw data'!AR:AR,MATCH(D383,'卡片raw data'!$F:$F,)),0))</f>
        <v>0.37</v>
      </c>
      <c r="DW383" s="1098">
        <f t="shared" si="494"/>
        <v>0.33</v>
      </c>
      <c r="DX383" s="1098">
        <f t="shared" si="495"/>
        <v>0.33</v>
      </c>
      <c r="DY383" s="1097">
        <f t="shared" si="496"/>
        <v>2076.0569292319997</v>
      </c>
      <c r="DZ383" s="1097">
        <f t="shared" si="497"/>
        <v>1611.0173764603774</v>
      </c>
      <c r="EA383" s="1098">
        <f t="shared" si="498"/>
        <v>0</v>
      </c>
      <c r="EB383" s="1121">
        <f t="shared" si="499"/>
        <v>0</v>
      </c>
      <c r="EC383" s="1101">
        <f t="shared" si="500"/>
        <v>2283.6626221551996</v>
      </c>
      <c r="ED383" s="1097">
        <f t="shared" si="501"/>
        <v>1611.0173764603774</v>
      </c>
      <c r="EE383" s="1110">
        <f t="shared" si="513"/>
        <v>2283.6626221551996</v>
      </c>
      <c r="EF383" s="1115" t="s">
        <v>569</v>
      </c>
      <c r="EG383" s="1120">
        <f t="shared" si="503"/>
        <v>0.33</v>
      </c>
      <c r="EH383" s="1124"/>
      <c r="EI383" s="1093"/>
      <c r="EJ383" s="1093"/>
      <c r="EK383" s="1097">
        <f>IF($P383="","N/A",IF(P383=-1,INDEX('卡片raw data'!AS:AS,MATCH(D383,'卡片raw data'!$F:$F,)),0)+IF(AND(L383&lt;&gt;"party卡",P383&lt;=2,P383&gt;=0),INDEX('卡片raw data'!AU:AU,MATCH(D383,'卡片raw data'!$F:$F,)),0)+IF(OR(AND(L383="party卡",P383&lt;=1),AND(P383&lt;=4,L383&lt;&gt;"party卡",P383&gt;=3)),INDEX('卡片raw data'!AV:AV,MATCH(D383,'卡片raw data'!$F:$F,)),0)+IF(OR(P383=5,AND(L383="party卡",P383&gt;=2)),INDEX('卡片raw data'!AW:AW,MATCH(D383,'卡片raw data'!$F:$F,)),0))</f>
        <v>0</v>
      </c>
      <c r="EL383" s="1098">
        <f t="shared" si="504"/>
        <v>0.33</v>
      </c>
      <c r="EM383" s="1098">
        <f t="shared" si="505"/>
        <v>0.33</v>
      </c>
      <c r="EN383" s="1097">
        <f t="shared" si="506"/>
        <v>0</v>
      </c>
      <c r="EO383" s="1097">
        <f t="shared" si="507"/>
        <v>0</v>
      </c>
      <c r="EP383" s="1098">
        <f t="shared" si="508"/>
        <v>0</v>
      </c>
      <c r="EQ383" s="1121">
        <f t="shared" si="509"/>
        <v>0</v>
      </c>
      <c r="ER383" s="1101">
        <f t="shared" si="510"/>
        <v>0</v>
      </c>
      <c r="ES383" s="1097">
        <f t="shared" si="511"/>
        <v>0</v>
      </c>
      <c r="ET383" s="1122">
        <f t="shared" si="514"/>
        <v>0</v>
      </c>
    </row>
    <row r="384" spans="2:150" ht="16.5" customHeight="1">
      <c r="B384" s="1123" t="str">
        <f>INDEX('卡片raw data'!B:B,MATCH($D384,'卡片raw data'!$F:$F,))</f>
        <v>新年彼</v>
      </c>
      <c r="C384" s="449" t="s">
        <v>1855</v>
      </c>
      <c r="D384" s="408">
        <v>381</v>
      </c>
      <c r="E384" s="477">
        <v>402063003</v>
      </c>
      <c r="F384" s="1090" t="str">
        <f>INDEX('卡片raw data'!C:C,MATCH($D384,'卡片raw data'!$F:$F,))</f>
        <v>UR</v>
      </c>
      <c r="G384" s="1094" t="s">
        <v>1864</v>
      </c>
      <c r="H384" s="411">
        <f>IFERROR(INDEX(绊状态确认!C:C,MATCH($G384,绊状态确认!$B:$B,)),"")</f>
        <v>206</v>
      </c>
      <c r="I384" s="450" t="str">
        <f>IFERROR(INDEX(绊状态确认!D:D,MATCH($G384,绊状态确认!$B:$B,)),"")</f>
        <v>虹</v>
      </c>
      <c r="J384" s="450" t="str">
        <f>IFERROR(INDEX(绊状态确认!E:E,MATCH($G384,绊状态确认!$B:$B,)),"")</f>
        <v>3年级</v>
      </c>
      <c r="K384" s="451" t="str">
        <f>IFERROR(INDEX(绊状态确认!F:F,MATCH($G384,绊状态确认!$B:$B,)),"")</f>
        <v>QU4RTZ</v>
      </c>
      <c r="L384" s="1094" t="str">
        <f>INDEX('卡片raw data'!E:E,MATCH($D384,'卡片raw data'!$F:$F,))</f>
        <v>活动卡</v>
      </c>
      <c r="M384" s="478">
        <v>44197</v>
      </c>
      <c r="N384" s="479">
        <v>31</v>
      </c>
      <c r="O384" s="1091" t="str">
        <f>INDEX('卡片raw data'!D:D,MATCH($D384,'卡片raw data'!$F:$F,))</f>
        <v>gd</v>
      </c>
      <c r="P384" s="1126">
        <v>5</v>
      </c>
      <c r="Q384" s="1095">
        <f t="shared" si="428"/>
        <v>22944.951105001936</v>
      </c>
      <c r="R384" s="1096">
        <f t="shared" si="429"/>
        <v>0.26600000000000001</v>
      </c>
      <c r="S384" s="1097">
        <f t="shared" si="430"/>
        <v>13586.293638790685</v>
      </c>
      <c r="T384" s="1098">
        <f t="shared" si="431"/>
        <v>0.67900000000000005</v>
      </c>
      <c r="U384" s="1099">
        <f t="shared" si="432"/>
        <v>695.54839783942293</v>
      </c>
      <c r="V384" s="1100">
        <f t="shared" si="433"/>
        <v>75147.463456641475</v>
      </c>
      <c r="W384" s="1101">
        <f t="shared" si="434"/>
        <v>4780.4487598532723</v>
      </c>
      <c r="X384" s="1096">
        <f t="shared" si="435"/>
        <v>5.5E-2</v>
      </c>
      <c r="Y384" s="1097">
        <f t="shared" si="436"/>
        <v>2172.8864894981762</v>
      </c>
      <c r="Z384" s="1102">
        <f t="shared" si="437"/>
        <v>26.817849098142858</v>
      </c>
      <c r="AA384" s="1103">
        <f t="shared" si="438"/>
        <v>6953.3352493514485</v>
      </c>
      <c r="AB384" s="1101">
        <f t="shared" si="439"/>
        <v>4780.4487598532723</v>
      </c>
      <c r="AC384" s="1104">
        <f t="shared" si="440"/>
        <v>5.5E-2</v>
      </c>
      <c r="AD384" s="1105">
        <f t="shared" si="441"/>
        <v>8.5416666666666662E-3</v>
      </c>
      <c r="AE384" s="1128">
        <f t="shared" si="442"/>
        <v>-2.0947349751697573</v>
      </c>
      <c r="AF384" s="1130">
        <f t="shared" si="443"/>
        <v>9237.951381287201</v>
      </c>
      <c r="AG384" s="420">
        <f t="shared" si="444"/>
        <v>91402.482508400019</v>
      </c>
      <c r="AH384" s="420">
        <f t="shared" si="445"/>
        <v>9.8942372324613981</v>
      </c>
      <c r="AI384" s="1097">
        <f t="shared" si="446"/>
        <v>108072.55069732184</v>
      </c>
      <c r="AJ384" s="420">
        <f t="shared" si="447"/>
        <v>75147.463456641475</v>
      </c>
      <c r="AK384" s="518">
        <f t="shared" si="448"/>
        <v>32925.087240680368</v>
      </c>
      <c r="AL384" s="1106">
        <f>IF($P384="","N/A",(IF($P384=-1,INDEX('卡片raw data'!S:S,MATCH($D384,'卡片raw data'!$F:$F,)),0)+IF($P384=0,INDEX('卡片raw data'!V:V,MATCH($D384,'卡片raw data'!$F:$F,)),0)+IF($P384=1,INDEX('卡片raw data'!Y:Y,MATCH($D384,'卡片raw data'!$F:$F,)),0)+IF($P384=2,INDEX('卡片raw data'!AB:AB,MATCH($D384,'卡片raw data'!$F:$F,)),0)+IF($P384=3,INDEX('卡片raw data'!AE:AE,MATCH($D384,'卡片raw data'!$F:$F,)),0)+IF($P384=4,INDEX('卡片raw data'!AH:AH,MATCH($D384,'卡片raw data'!$F:$F,)),0)+IF($P384=5,INDEX('卡片raw data'!AK:AK,MATCH($D384,'卡片raw data'!$F:$F,)),0)+INDEX('卡片raw data'!S:S,MATCH($D384,'卡片raw data'!$F:$F,))*(IF($F384="UR",0.04,0.033))*(IF($F384="UR",INDEX(绊状态确认!$S:$S,MATCH($G384,绊状态确认!$B:$B,))/2-40)+IF($F384="SR",INDEX(绊状态确认!$R:$R,MATCH($G384,绊状态确认!$B:$B,))/4-15))+IF($F384="R",INDEX(绊状态确认!$Q:$Q,MATCH($G384,绊状态确认!$B:$B,))/6-40/6)))*(INDEX(绊状态确认!$H:$H,MATCH($G384,绊状态确认!$B:$B,))+INDEX(绊状态确认!J:J,MATCH($G384,绊状态确认!$B:$B,)))</f>
        <v>6108.559103999999</v>
      </c>
      <c r="AM384" s="1106">
        <f>IF($P384="","N/A",(IF($P384=-1,INDEX('卡片raw data'!T:T,MATCH($D384,'卡片raw data'!$F:$F,)),0)+IF($P384=0,INDEX('卡片raw data'!W:W,MATCH($D384,'卡片raw data'!$F:$F,)),0)+IF($P384=1,INDEX('卡片raw data'!Z:Z,MATCH($D384,'卡片raw data'!$F:$F,)),0)+IF($P384=2,INDEX('卡片raw data'!AC:AC,MATCH($D384,'卡片raw data'!$F:$F,)),0)+IF($P384=3,INDEX('卡片raw data'!AF:AF,MATCH($D384,'卡片raw data'!$F:$F,)),0)+IF($P384=4,INDEX('卡片raw data'!AI:AI,MATCH($D384,'卡片raw data'!$F:$F,)),0)+IF($P384=5,INDEX('卡片raw data'!AL:AL,MATCH($D384,'卡片raw data'!$F:$F,)),0)+INDEX('卡片raw data'!T:T,MATCH($D384,'卡片raw data'!$F:$F,))*(IF($F384="UR",0.04,0.033))*(IF($F384="UR",INDEX(绊状态确认!$S:$S,MATCH($G384,绊状态确认!$B:$B,))/2-40)+IF($F384="SR",INDEX(绊状态确认!$R:$R,MATCH($G384,绊状态确认!$B:$B,))/4-15))+IF($F384="R",INDEX(绊状态确认!$Q:$Q,MATCH($G384,绊状态确认!$B:$B,))/6-40/6)))*(INDEX(绊状态确认!$H:$H,MATCH($G384,绊状态确认!$B:$B,))+INDEX(绊状态确认!K:K,MATCH($G384,绊状态确认!$B:$B,)))</f>
        <v>13330.653839999999</v>
      </c>
      <c r="AN384" s="1106">
        <f>IF($P384="","N/A",(IF($P384=-1,INDEX('卡片raw data'!U:U,MATCH($D384,'卡片raw data'!$F:$F,)),0)+IF($P384=0,INDEX('卡片raw data'!X:X,MATCH($D384,'卡片raw data'!$F:$F,)),0)+IF($P384=1,INDEX('卡片raw data'!AA:AA,MATCH($D384,'卡片raw data'!$F:$F,)),0)+IF($P384=2,INDEX('卡片raw data'!AD:AD,MATCH($D384,'卡片raw data'!$F:$F,)),0)+IF($P384=3,INDEX('卡片raw data'!AG:AG,MATCH($D384,'卡片raw data'!$F:$F,)),0)+IF($P384=4,INDEX('卡片raw data'!AJ:AJ,MATCH($D384,'卡片raw data'!$F:$F,)),0)+IF($P384=5,INDEX('卡片raw data'!AM:AM,MATCH($D384,'卡片raw data'!$F:$F,)),0)+INDEX('卡片raw data'!U:U,MATCH($D384,'卡片raw data'!$F:$F,))*(IF($F384="UR",0.04,0.033))*(IF($F384="UR",INDEX(绊状态确认!$S:$S,MATCH($G384,绊状态确认!$B:$B,))/2-40)+IF($F384="SR",INDEX(绊状态确认!$R:$R,MATCH($G384,绊状态确认!$B:$B,))/4-15))+IF($F384="R",INDEX(绊状态确认!$Q:$Q,MATCH($G384,绊状态确认!$B:$B,))/6-40/6)))*(INDEX(绊状态确认!$H:$H,MATCH($G384,绊状态确认!$B:$B,))+INDEX(绊状态确认!L:L,MATCH($G384,绊状态确认!$B:$B,)))</f>
        <v>8330.9029439999995</v>
      </c>
      <c r="AO384" s="1107">
        <f t="shared" si="449"/>
        <v>1</v>
      </c>
      <c r="AP384" s="1131">
        <f>1+(INDEX(绊状态确认!$T:$T,MATCH($G384,绊状态确认!$B:$B,))+0.2)*$AO384</f>
        <v>1.3</v>
      </c>
      <c r="AQ384" s="1108">
        <f t="shared" si="450"/>
        <v>19284.967647999998</v>
      </c>
      <c r="AR384" s="1097">
        <f>(AM384*(1+$EX$9)+$EX$35)*(1+(INDEX(绊状态确认!$T:$T,MATCH($G384,绊状态确认!$B:$B,))+0.2)*AO384)*IF(J384=$FF$17,1+$FE$17,1)*IF(I384=$FF$14,1+$FE$14,1)</f>
        <v>20900.3424916</v>
      </c>
      <c r="AS384" s="1097">
        <f>(AN384*(1+$EX$10)+$EX$36)*(1+(INDEX(绊状态确认!$T:$T,MATCH($G384,绊状态确认!$B:$B,))+0.2)*AO384)*IF(J384=$FF$17,1+$FE$17,1)*IF(I384=$FF$14,1+$FE$14,1)</f>
        <v>16510.699901280001</v>
      </c>
      <c r="AT384" s="1093">
        <f>IF(AND(INDEX('卡片raw data'!AK:AK,MATCH($D384,'卡片raw data'!$F:$F,))&lt;INDEX('卡片raw data'!AM:AM,MATCH($D384,'卡片raw data'!$F:$F,)),INDEX('卡片raw data'!AL:AL,MATCH($D384,'卡片raw data'!$F:$F,))&lt;INDEX('卡片raw data'!AM:AM,MATCH($D384,'卡片raw data'!$F:$F,))),1,0)</f>
        <v>0</v>
      </c>
      <c r="AU384" s="1098">
        <f>MIN(AT384*0.15+AS384*0.00003+INDEX(绊状态确认!M:M,MATCH($G384,绊状态确认!$B:$B,)),1)</f>
        <v>0.52532099703840007</v>
      </c>
      <c r="AV384" s="1109">
        <f>(INDEX(绊状态确认!$N:$N,MATCH($G384,绊状态确认!$B:$B,))+1.5)*$EW$21</f>
        <v>2.6599999999999997</v>
      </c>
      <c r="AW384" s="1101">
        <f t="shared" si="451"/>
        <v>18749.502345148663</v>
      </c>
      <c r="AX384" s="1097">
        <f t="shared" si="452"/>
        <v>1825.3053984365833</v>
      </c>
      <c r="AY384" s="1110">
        <f t="shared" si="453"/>
        <v>20574.807743585246</v>
      </c>
      <c r="AZ384" s="429">
        <f t="shared" si="454"/>
        <v>14511.690252799997</v>
      </c>
      <c r="BA384" s="431">
        <f t="shared" si="455"/>
        <v>17414.028303359995</v>
      </c>
      <c r="BB384" s="1097">
        <f>(AM384*(1+$FB$9)+$FB$35)*(1+(INDEX(绊状态确认!$T:$T,MATCH($G384,绊状态确认!$B:$B,))+0.2)*AO384)*IF(J384=$FF$17,1+$FE$17,1)*IF(I384=$FF$14,1+$FE$14,1)*(1+$FE$15)</f>
        <v>20900.3424916</v>
      </c>
      <c r="BC384" s="1097">
        <f>(AN384*(1+$FB$10)+$FB$36)*(1+(INDEX(绊状态确认!$T:$T,MATCH($G384,绊状态确认!$B:$B,))+0.2)*AO384)*IF(J384=$FF$17,1+$FE$17,1)*IF(I384=$FF$14,1+$FE$14,1)*(1+$FE$15)</f>
        <v>16510.699901280001</v>
      </c>
      <c r="BD384" s="1104">
        <f>MIN(AT384*0.15+BC384*0.00003+INDEX(绊状态确认!M:M,MATCH($G384,绊状态确认!$B:$B,)),1)</f>
        <v>0.52532099703840007</v>
      </c>
      <c r="BE384" s="432">
        <f>(INDEX(绊状态确认!$N:$N,MATCH($G384,绊状态确认!$B:$B,))+1.5)</f>
        <v>1.9</v>
      </c>
      <c r="BF384" s="1139">
        <f t="array" ref="BF384">SUMPRODUCT(IF(AZ384*AP384*$FI$16:$FI$23*$FA$22&gt;=$FI$24,$FI$24,AZ384*AP384*$FI$16:$FI$23*$FA$22),$FJ$16:$FJ$23)</f>
        <v>28863.751912819203</v>
      </c>
      <c r="BG384" s="1125">
        <f t="array" ref="BG384">SUMPRODUCT(IF(BE384*AZ384*AP384*$FI$16:$FI$23*$FA$22&gt;=$FI$24,$FI$24,BE384*AZ384*AP384*$FI$16:$FI$23*$FA$22),$FJ$16:$FJ$23)</f>
        <v>53485.436175171832</v>
      </c>
      <c r="BH384" s="1110">
        <f t="shared" si="456"/>
        <v>13932.679879427656</v>
      </c>
      <c r="BI384" s="1111">
        <f>IF(O384="vo",$EW$26/$EW$24*0.05,0)+IF(O384="sk",-$EW$26/$EW$24*(0.05-INDEX(绊状态确认!W:W,MATCH($G384,绊状态确认!$B:$B,)))+0.05*$EW$28,0)+IF(O384="sp",0.05*$EW$32*$EW$30*(1-$EW$33)-(0.05-INDEX(绊状态确认!V:V,MATCH($G384,绊状态确认!$B:$B,)))*$EW$28,0)+IF(O384="gd",-(0.05-INDEX(绊状态确认!X:X,MATCH($G384,绊状态确认!$B:$B,)))*$EW$32*$EW$30*(1-$EW$33),0)</f>
        <v>-585.00000000000011</v>
      </c>
      <c r="BJ384" s="1097">
        <f>IF(O384="vo",0.05*(1-$FI$26)*$FA$24,0)+IF(O384="sk",-(0.05-INDEX(绊状态确认!W:W,MATCH($G384,绊状态确认!$B:$B,)))*(1-$FI$26)*$FA$24+0.05*$FA$26,0)+IF(O384="sp",0.05*$FA$32*$FA$27*(1-$FA$33)/$FA$30+0.05*$FA$29/$FA$69*$FA$27*(1-$FA$33)-(0.05-INDEX(绊状态确认!V:V,MATCH($G384,绊状态确认!$B:$B,)))*$FA$26,0)+IF(O384="gd",-(0.05-INDEX(绊状态确认!X:X,MATCH($G384,绊状态确认!$B:$B,)))*$FA$32*$FA$27*(1-$FA$33)/$FA$30-(0.05-INDEX(绊状态确认!X:X,MATCH($G384,绊状态确认!$B:$B,)))*$FA$29/$FA$69*$FA$27*(1-$FA$33),0)</f>
        <v>-795.00000000000011</v>
      </c>
      <c r="BK384" s="1110">
        <f>IF(O384="vo",$EW$26/$EW$24*0.05+$EW$26*(-HP($EW$62,$EW$65,$EW$64)+HP($EW$62,$EW$65,(1.05-INDEX(绊状态确认!U:U,MATCH($G384,绊状态确认!$B:$B,)))*$EW$64)),0)+IF(O384="sk",-$EW$26/$EW$24*(0.05-INDEX(绊状态确认!W:W,MATCH($G384,绊状态确认!$B:$B,)))+0.05*$EW$29,0)+IF(O384="sp",0.05*$EW$32*$EW$30*(1-$EW$33)-(0.05-INDEX(绊状态确认!V:V,MATCH($G384,绊状态确认!$B:$B,)))*$EW$29,0)+IF(O384="gd",-(0.05-INDEX(绊状态确认!X:X,MATCH($G384,绊状态确认!$B:$B,)))*$EW$32*$EW$30*(1-$EW$33)+$EW$26*(-HP($EW$62,$EW$65,$EW$64)+HP($EW$62,$EW$65,0.95*$EW$64)),0)</f>
        <v>1009.5947725176144</v>
      </c>
      <c r="BL384" s="1111">
        <f t="shared" si="457"/>
        <v>0</v>
      </c>
      <c r="BM384" s="1110">
        <f t="shared" si="458"/>
        <v>0</v>
      </c>
      <c r="BN384" s="1113">
        <f t="shared" si="459"/>
        <v>3</v>
      </c>
      <c r="BO384" s="1108">
        <f t="shared" si="460"/>
        <v>4507.7214871259994</v>
      </c>
      <c r="BP384" s="1100">
        <f t="shared" si="461"/>
        <v>221.34103209030098</v>
      </c>
      <c r="BQ384" s="1113" t="s">
        <v>133</v>
      </c>
      <c r="BR384" s="1124" t="s">
        <v>161</v>
      </c>
      <c r="BS384" s="1098">
        <f>IF($P384="","N/A",IF($P384=-1,INDEX('卡片raw data'!AX:AX,MATCH($D384,'卡片raw data'!$F:$F,)),0)+IF($L384="party卡",IF($P384=5,INDEX('卡片raw data'!BD:BD,MATCH($D384,'卡片raw data'!$F:$F,)),IF($P384&gt;=3,INDEX('卡片raw data'!BC:BC,MATCH($D384,'卡片raw data'!$F:$F,)),INDEX('卡片raw data'!BB:BB,MATCH($D384,'卡片raw data'!$F:$F,)))),IF(OR(AND($F384="UR",$P384=0),AND($F384="SR",$P384&gt;=0,$P384&lt;=2),AND($F384="R",$P384&gt;=0,$P384&lt;4)),INDEX('卡片raw data'!AZ:AZ,MATCH($D384,'卡片raw data'!$F:$F,)),0)+IF(OR(AND($F384="UR",$P384&gt;=1,$P384&lt;=4),AND($F384="SR",$P384&lt;=4,$P384&gt;=3),AND($F384="R",$P384=4)),INDEX('卡片raw data'!BA:BA,MATCH($D384,'卡片raw data'!$F:$F,)),0)+IF($P384=5,INDEX('卡片raw data'!BB:BB,MATCH($D384,'卡片raw data'!$F:$F,)),0)))</f>
        <v>4.2000000000000003E-2</v>
      </c>
      <c r="BT384" s="1101">
        <f t="shared" si="462"/>
        <v>0</v>
      </c>
      <c r="BU384" s="1097">
        <f t="shared" si="463"/>
        <v>0</v>
      </c>
      <c r="BV384" s="1097">
        <f t="shared" si="464"/>
        <v>0</v>
      </c>
      <c r="BW384" s="1112">
        <f t="shared" si="465"/>
        <v>4.4246249999999989</v>
      </c>
      <c r="BX384" s="1100">
        <f t="shared" si="466"/>
        <v>347.58109106159276</v>
      </c>
      <c r="BY384" s="1110">
        <f t="shared" si="467"/>
        <v>347.58109106159276</v>
      </c>
      <c r="BZ384" s="1113" t="s">
        <v>569</v>
      </c>
      <c r="CA384" s="1124"/>
      <c r="CB384" s="1098">
        <f>IF($P384="","N/A",IF($P384=-1,INDEX('卡片raw data'!BE:BE,MATCH($D384,'卡片raw data'!$F:$F,)),0)+IF($L384="party卡",IF($P384=5,INDEX('卡片raw data'!BK:BK,MATCH($D384,'卡片raw data'!$F:$F,)),IF($P384&gt;=3,INDEX('卡片raw data'!BJ:BJ,MATCH($D384,'卡片raw data'!$F:$F,)),INDEX('卡片raw data'!BI:BI,MATCH($D384,'卡片raw data'!$F:$F,)))),IF(OR(AND($F384="UR",$P384=0),AND($F384="SR",$P384&gt;=0,$P384&lt;=2),AND($F384="R",$P384&gt;=0,$P384&lt;4)),INDEX('卡片raw data'!BG:BG,MATCH($D384,'卡片raw data'!$F:$F,)),0)+IF(OR(AND($F384="UR",$P384&gt;=1,$P384&lt;=4),AND($F384="SR",$P384&lt;=4,$P384&gt;=3),AND($F384="R",$P384=4)),INDEX('卡片raw data'!BH:BH,MATCH($D384,'卡片raw data'!$F:$F,)),0)+IF($P384=5,INDEX('卡片raw data'!BI:BI,MATCH($D384,'卡片raw data'!$F:$F,)),0)))</f>
        <v>0</v>
      </c>
      <c r="CC384" s="1101">
        <f t="shared" si="468"/>
        <v>0</v>
      </c>
      <c r="CD384" s="1097">
        <f>IF(BZ384="ap",CB384*(1-$FI$26)*$FB$5/$FB$11*(+IF(CA384="全员",$FA$24,0)+IF(CA384="同作战",$FA$24,0)+IF(CA384="仲间",$FA$24*2/3,0)+IF(CA384="同属性",$FA$24*$FA$37/3,0)+IF(CA384="同年级",$FA$24*$FA$40/3,0)+IF(CA384="同学校",$FA$24*$FA$43/3,0)+IF(CA384="同小队",$FA$24*$FA$46/3,0)+IF(CA384="同type",$FA$24*INDEX($FB$49:$FB$52,MATCH(X384,$FA$49:$FA$52,))/3,0)+IF(CA384="自身",#REF!/3,0)),0)+IF(BZ384="te",CB384*(1-$FI$27)*($FA$20-1)*$FB$7/$FB$13*(+IF(CA384="全员",$FA$19*$FA$24/(1+($FA$20-1)*$FA$19),0)+IF(CA384="同作战",$FA$19*$FA$24/(1+($FA$20-1)*$FA$19),0)+IF(CA384="仲间",$FA$19*$FA$24*2/3/(1+($FA$20-1)*$FA$19),0)+IF(CA384="同属性",$FA$19*$FA$24*$FA$37/3/(1+($FA$20-1)*$FA$19),0)+IF(CA384="同年级",$FA$19*$FA$24*$FA$40/3/(1+($FA$20-1)*$FA$19),0)+IF(CA384="同学校",$FA$19*$FA$24*$FA$43/3/(1+($FA$20-1)*$FA$19),0)+IF(CA384="同小队",$FA$19*$FA$24*$FA$46/3/(1+($FA$20-1)*$FA$19),0)+IF(CA384="同type",$FA$19*$FA$24*INDEX($FB$49:$FB$52,MATCH(X384,$FA$49:$FA$52,))/3/(1+($FA$20-1)*$FA$19),0)+IF(CA384="自身",$FA$19*#REF!/3/(1+(BH384-1)*$BD384),0)),0)</f>
        <v>0</v>
      </c>
      <c r="CE384" s="1097">
        <f t="shared" si="469"/>
        <v>0</v>
      </c>
      <c r="CF384" s="1112">
        <f t="shared" si="470"/>
        <v>0</v>
      </c>
      <c r="CG384" s="1100">
        <f t="shared" si="471"/>
        <v>0</v>
      </c>
      <c r="CH384" s="1110">
        <f t="shared" si="472"/>
        <v>0</v>
      </c>
      <c r="CI384" s="1113" t="s">
        <v>162</v>
      </c>
      <c r="CJ384" s="1114">
        <v>1</v>
      </c>
      <c r="CK384" s="1115" t="s">
        <v>295</v>
      </c>
      <c r="CL384" s="1115" t="s">
        <v>161</v>
      </c>
      <c r="CM384" s="1119">
        <v>0.06</v>
      </c>
      <c r="CN384" s="1115">
        <v>5</v>
      </c>
      <c r="CO384" s="1115"/>
      <c r="CP384" s="1118">
        <f t="shared" si="473"/>
        <v>6.4285714285714276E-3</v>
      </c>
      <c r="CQ384" s="1118">
        <f t="shared" si="474"/>
        <v>9.9999999999999985E-3</v>
      </c>
      <c r="CR384" s="1118">
        <f t="shared" si="475"/>
        <v>6.4285714285714276E-3</v>
      </c>
      <c r="CS384" s="1118">
        <f t="shared" si="476"/>
        <v>8.5416666666666662E-3</v>
      </c>
      <c r="CT384" s="1109">
        <f t="shared" si="477"/>
        <v>0</v>
      </c>
      <c r="CU384" s="1101">
        <f t="shared" si="478"/>
        <v>272.72727272727269</v>
      </c>
      <c r="CV384" s="1108">
        <f t="shared" si="479"/>
        <v>227.27272727272722</v>
      </c>
      <c r="CW384" s="1097">
        <f t="shared" si="480"/>
        <v>272.72727272727269</v>
      </c>
      <c r="CX384" s="1097">
        <f t="shared" si="481"/>
        <v>272.72727272727269</v>
      </c>
      <c r="CY384" s="1110">
        <f t="shared" si="482"/>
        <v>272.72727272727269</v>
      </c>
      <c r="CZ384" s="437"/>
      <c r="DA384" s="438"/>
      <c r="DB384" s="439" t="s">
        <v>569</v>
      </c>
      <c r="DC384" s="439"/>
      <c r="DD384" s="443"/>
      <c r="DE384" s="411"/>
      <c r="DF384" s="411"/>
      <c r="DG384" s="1116">
        <f t="shared" si="483"/>
        <v>0</v>
      </c>
      <c r="DH384" s="1116">
        <f t="shared" si="484"/>
        <v>0</v>
      </c>
      <c r="DI384" s="1116">
        <f t="shared" si="485"/>
        <v>0</v>
      </c>
      <c r="DJ384" s="442">
        <f t="shared" si="486"/>
        <v>0</v>
      </c>
      <c r="DK384" s="1109">
        <f t="shared" si="487"/>
        <v>0</v>
      </c>
      <c r="DL384" s="1101">
        <f t="shared" si="488"/>
        <v>0</v>
      </c>
      <c r="DM384" s="1097">
        <f t="shared" si="489"/>
        <v>0</v>
      </c>
      <c r="DN384" s="1097">
        <f t="shared" si="490"/>
        <v>0</v>
      </c>
      <c r="DO384" s="1097">
        <f t="shared" si="491"/>
        <v>0</v>
      </c>
      <c r="DP384" s="1110">
        <f t="shared" si="492"/>
        <v>0</v>
      </c>
      <c r="DQ384" s="1113" t="s">
        <v>635</v>
      </c>
      <c r="DR384" s="1120">
        <f t="shared" si="493"/>
        <v>0.33</v>
      </c>
      <c r="DS384" s="1124"/>
      <c r="DT384" s="1093" t="s">
        <v>133</v>
      </c>
      <c r="DU384" s="1124"/>
      <c r="DV384" s="1098">
        <f>IF($P384="","N/A",IF(P384=-1,INDEX('卡片raw data'!AN:AN,MATCH(D384,'卡片raw data'!$F:$F,)),0)+IF(AND(L384&lt;&gt;"party卡",P384&lt;=2,P384&gt;=0),INDEX('卡片raw data'!AP:AP,MATCH(D384,'卡片raw data'!$F:$F,)),0)+IF(OR(AND(L384="party卡",P384&lt;=1),AND(P384&lt;=4,L384&lt;&gt;"party卡",P384&gt;=3)),INDEX('卡片raw data'!AQ:AQ,MATCH(D384,'卡片raw data'!$F:$F,)),0)+IF(OR(P384=5,AND(L384="party卡",P384&gt;=2)),INDEX('卡片raw data'!AR:AR,MATCH(D384,'卡片raw data'!$F:$F,)),0))</f>
        <v>0.28000000000000003</v>
      </c>
      <c r="DW384" s="1098">
        <f t="shared" si="494"/>
        <v>0.33</v>
      </c>
      <c r="DX384" s="1098">
        <f t="shared" si="495"/>
        <v>0.33</v>
      </c>
      <c r="DY384" s="1097">
        <f t="shared" si="496"/>
        <v>643.73054874128013</v>
      </c>
      <c r="DZ384" s="1097">
        <f t="shared" si="497"/>
        <v>556.82692466120727</v>
      </c>
      <c r="EA384" s="1098">
        <f t="shared" si="498"/>
        <v>0</v>
      </c>
      <c r="EB384" s="1121">
        <f t="shared" si="499"/>
        <v>0</v>
      </c>
      <c r="EC384" s="1101">
        <f t="shared" si="500"/>
        <v>0</v>
      </c>
      <c r="ED384" s="1097">
        <f t="shared" si="501"/>
        <v>0</v>
      </c>
      <c r="EE384" s="1110">
        <f t="shared" si="513"/>
        <v>48435.03108962375</v>
      </c>
      <c r="EF384" s="1115" t="s">
        <v>569</v>
      </c>
      <c r="EG384" s="1120">
        <f t="shared" si="503"/>
        <v>0.33</v>
      </c>
      <c r="EH384" s="1124"/>
      <c r="EI384" s="1093"/>
      <c r="EJ384" s="1093"/>
      <c r="EK384" s="1097">
        <f>IF($P384="","N/A",IF(P384=-1,INDEX('卡片raw data'!AS:AS,MATCH(D384,'卡片raw data'!$F:$F,)),0)+IF(AND(L384&lt;&gt;"party卡",P384&lt;=2,P384&gt;=0),INDEX('卡片raw data'!AU:AU,MATCH(D384,'卡片raw data'!$F:$F,)),0)+IF(OR(AND(L384="party卡",P384&lt;=1),AND(P384&lt;=4,L384&lt;&gt;"party卡",P384&gt;=3)),INDEX('卡片raw data'!AV:AV,MATCH(D384,'卡片raw data'!$F:$F,)),0)+IF(OR(P384=5,AND(L384="party卡",P384&gt;=2)),INDEX('卡片raw data'!AW:AW,MATCH(D384,'卡片raw data'!$F:$F,)),0))</f>
        <v>0</v>
      </c>
      <c r="EL384" s="1098">
        <f t="shared" si="504"/>
        <v>0.33</v>
      </c>
      <c r="EM384" s="1098">
        <f t="shared" si="505"/>
        <v>0.33</v>
      </c>
      <c r="EN384" s="1097">
        <f t="shared" si="506"/>
        <v>0</v>
      </c>
      <c r="EO384" s="1097">
        <f t="shared" si="507"/>
        <v>0</v>
      </c>
      <c r="EP384" s="1098">
        <f t="shared" si="508"/>
        <v>0</v>
      </c>
      <c r="EQ384" s="1121">
        <f t="shared" si="509"/>
        <v>0</v>
      </c>
      <c r="ER384" s="1101">
        <f t="shared" si="510"/>
        <v>0</v>
      </c>
      <c r="ES384" s="1097">
        <f t="shared" si="511"/>
        <v>0</v>
      </c>
      <c r="ET384" s="1122">
        <f t="shared" si="514"/>
        <v>0</v>
      </c>
    </row>
    <row r="385" spans="2:150" ht="16.5" customHeight="1">
      <c r="B385" s="1123" t="str">
        <f>INDEX('卡片raw data'!B:B,MATCH($D385,'卡片raw data'!$F:$F,))</f>
        <v>kks姬</v>
      </c>
      <c r="C385" s="449" t="s">
        <v>1866</v>
      </c>
      <c r="D385" s="408">
        <v>382</v>
      </c>
      <c r="E385" s="477">
        <v>400062004</v>
      </c>
      <c r="F385" s="1090" t="str">
        <f>INDEX('卡片raw data'!C:C,MATCH($D385,'卡片raw data'!$F:$F,))</f>
        <v>SR</v>
      </c>
      <c r="G385" s="1094" t="s">
        <v>1867</v>
      </c>
      <c r="H385" s="411">
        <f>IFERROR(INDEX(绊状态确认!C:C,MATCH($G385,绊状态确认!$B:$B,)),"")</f>
        <v>6</v>
      </c>
      <c r="I385" s="450" t="str">
        <f>IFERROR(INDEX(绊状态确认!D:D,MATCH($G385,绊状态确认!$B:$B,)),"")</f>
        <v>缪</v>
      </c>
      <c r="J385" s="450" t="str">
        <f>IFERROR(INDEX(绊状态确认!E:E,MATCH($G385,绊状态确认!$B:$B,)),"")</f>
        <v>1年级</v>
      </c>
      <c r="K385" s="451" t="str">
        <f>IFERROR(INDEX(绊状态确认!F:F,MATCH($G385,绊状态确认!$B:$B,)),"")</f>
        <v>BiBi</v>
      </c>
      <c r="L385" s="1094" t="str">
        <f>INDEX('卡片raw data'!E:E,MATCH($D385,'卡片raw data'!$F:$F,))</f>
        <v>活动卡</v>
      </c>
      <c r="M385" s="478">
        <v>44197</v>
      </c>
      <c r="N385" s="479">
        <v>31</v>
      </c>
      <c r="O385" s="1091" t="str">
        <f>INDEX('卡片raw data'!D:D,MATCH($D385,'卡片raw data'!$F:$F,))</f>
        <v>sp</v>
      </c>
      <c r="P385" s="1126">
        <v>5</v>
      </c>
      <c r="Q385" s="1095">
        <f t="shared" si="428"/>
        <v>25635.496028489157</v>
      </c>
      <c r="R385" s="1096">
        <f t="shared" si="429"/>
        <v>0.29799999999999999</v>
      </c>
      <c r="S385" s="1097">
        <f t="shared" si="430"/>
        <v>13681.931351967338</v>
      </c>
      <c r="T385" s="1098">
        <f t="shared" si="431"/>
        <v>0.68400000000000005</v>
      </c>
      <c r="U385" s="1099">
        <f t="shared" si="432"/>
        <v>15.666642419155714</v>
      </c>
      <c r="V385" s="1100">
        <f t="shared" si="433"/>
        <v>25076.731736371075</v>
      </c>
      <c r="W385" s="1101">
        <f t="shared" si="434"/>
        <v>4507.7214871259994</v>
      </c>
      <c r="X385" s="1096">
        <f t="shared" si="435"/>
        <v>5.1999999999999998E-2</v>
      </c>
      <c r="Y385" s="1097">
        <f t="shared" si="436"/>
        <v>1241.2357078819196</v>
      </c>
      <c r="Z385" s="1102">
        <f t="shared" si="437"/>
        <v>15.666642419155714</v>
      </c>
      <c r="AA385" s="1103">
        <f t="shared" si="438"/>
        <v>5748.9571950079189</v>
      </c>
      <c r="AB385" s="1101">
        <f t="shared" si="439"/>
        <v>8264.1560597309999</v>
      </c>
      <c r="AC385" s="1104">
        <f t="shared" si="440"/>
        <v>9.6000000000000002E-2</v>
      </c>
      <c r="AD385" s="1105">
        <f t="shared" si="441"/>
        <v>-1.9908281250000003E-2</v>
      </c>
      <c r="AE385" s="1128">
        <f t="shared" si="442"/>
        <v>-1.3514492753623202</v>
      </c>
      <c r="AF385" s="1130">
        <f t="shared" si="443"/>
        <v>0</v>
      </c>
      <c r="AG385" s="420">
        <f t="shared" si="444"/>
        <v>0</v>
      </c>
      <c r="AH385" s="420">
        <f t="shared" si="445"/>
        <v>0</v>
      </c>
      <c r="AI385" s="1097">
        <f t="shared" si="446"/>
        <v>0</v>
      </c>
      <c r="AJ385" s="420">
        <f t="shared" si="447"/>
        <v>0</v>
      </c>
      <c r="AK385" s="518">
        <f t="shared" si="448"/>
        <v>0</v>
      </c>
      <c r="AL385" s="1106">
        <f>IF($P385="","N/A",(IF($P385=-1,INDEX('卡片raw data'!S:S,MATCH($D385,'卡片raw data'!$F:$F,)),0)+IF($P385=0,INDEX('卡片raw data'!V:V,MATCH($D385,'卡片raw data'!$F:$F,)),0)+IF($P385=1,INDEX('卡片raw data'!Y:Y,MATCH($D385,'卡片raw data'!$F:$F,)),0)+IF($P385=2,INDEX('卡片raw data'!AB:AB,MATCH($D385,'卡片raw data'!$F:$F,)),0)+IF($P385=3,INDEX('卡片raw data'!AE:AE,MATCH($D385,'卡片raw data'!$F:$F,)),0)+IF($P385=4,INDEX('卡片raw data'!AH:AH,MATCH($D385,'卡片raw data'!$F:$F,)),0)+IF($P385=5,INDEX('卡片raw data'!AK:AK,MATCH($D385,'卡片raw data'!$F:$F,)),0)+INDEX('卡片raw data'!S:S,MATCH($D385,'卡片raw data'!$F:$F,))*(IF($F385="UR",0.04,0.033))*(IF($F385="UR",INDEX(绊状态确认!$S:$S,MATCH($G385,绊状态确认!$B:$B,))/2-40)+IF($F385="SR",INDEX(绊状态确认!$R:$R,MATCH($G385,绊状态确认!$B:$B,))/4-15))+IF($F385="R",INDEX(绊状态确认!$Q:$Q,MATCH($G385,绊状态确认!$B:$B,))/6-40/6)))*(INDEX(绊状态确认!$H:$H,MATCH($G385,绊状态确认!$B:$B,))+INDEX(绊状态确认!J:J,MATCH($G385,绊状态确认!$B:$B,)))</f>
        <v>6467.6751407999991</v>
      </c>
      <c r="AM385" s="1106">
        <f>IF($P385="","N/A",(IF($P385=-1,INDEX('卡片raw data'!T:T,MATCH($D385,'卡片raw data'!$F:$F,)),0)+IF($P385=0,INDEX('卡片raw data'!W:W,MATCH($D385,'卡片raw data'!$F:$F,)),0)+IF($P385=1,INDEX('卡片raw data'!Z:Z,MATCH($D385,'卡片raw data'!$F:$F,)),0)+IF($P385=2,INDEX('卡片raw data'!AC:AC,MATCH($D385,'卡片raw data'!$F:$F,)),0)+IF($P385=3,INDEX('卡片raw data'!AF:AF,MATCH($D385,'卡片raw data'!$F:$F,)),0)+IF($P385=4,INDEX('卡片raw data'!AI:AI,MATCH($D385,'卡片raw data'!$F:$F,)),0)+IF($P385=5,INDEX('卡片raw data'!AL:AL,MATCH($D385,'卡片raw data'!$F:$F,)),0)+INDEX('卡片raw data'!T:T,MATCH($D385,'卡片raw data'!$F:$F,))*(IF($F385="UR",0.04,0.033))*(IF($F385="UR",INDEX(绊状态确认!$S:$S,MATCH($G385,绊状态确认!$B:$B,))/2-40)+IF($F385="SR",INDEX(绊状态确认!$R:$R,MATCH($G385,绊状态确认!$B:$B,))/4-15))+IF($F385="R",INDEX(绊状态确认!$Q:$Q,MATCH($G385,绊状态确认!$B:$B,))/6-40/6)))*(INDEX(绊状态确认!$H:$H,MATCH($G385,绊状态确认!$B:$B,))+INDEX(绊状态确认!K:K,MATCH($G385,绊状态确认!$B:$B,)))</f>
        <v>5068.2780887999998</v>
      </c>
      <c r="AN385" s="1106">
        <f>IF($P385="","N/A",(IF($P385=-1,INDEX('卡片raw data'!U:U,MATCH($D385,'卡片raw data'!$F:$F,)),0)+IF($P385=0,INDEX('卡片raw data'!X:X,MATCH($D385,'卡片raw data'!$F:$F,)),0)+IF($P385=1,INDEX('卡片raw data'!AA:AA,MATCH($D385,'卡片raw data'!$F:$F,)),0)+IF($P385=2,INDEX('卡片raw data'!AD:AD,MATCH($D385,'卡片raw data'!$F:$F,)),0)+IF($P385=3,INDEX('卡片raw data'!AG:AG,MATCH($D385,'卡片raw data'!$F:$F,)),0)+IF($P385=4,INDEX('卡片raw data'!AJ:AJ,MATCH($D385,'卡片raw data'!$F:$F,)),0)+IF($P385=5,INDEX('卡片raw data'!AM:AM,MATCH($D385,'卡片raw data'!$F:$F,)),0)+INDEX('卡片raw data'!U:U,MATCH($D385,'卡片raw data'!$F:$F,))*(IF($F385="UR",0.04,0.033))*(IF($F385="UR",INDEX(绊状态确认!$S:$S,MATCH($G385,绊状态确认!$B:$B,))/2-40)+IF($F385="SR",INDEX(绊状态确认!$R:$R,MATCH($G385,绊状态确认!$B:$B,))/4-15))+IF($F385="R",INDEX(绊状态确认!$Q:$Q,MATCH($G385,绊状态确认!$B:$B,))/6-40/6)))*(INDEX(绊状态确认!$H:$H,MATCH($G385,绊状态确认!$B:$B,))+INDEX(绊状态确认!L:L,MATCH($G385,绊状态确认!$B:$B,)))</f>
        <v>5942.9106215999991</v>
      </c>
      <c r="AO385" s="1107">
        <f t="shared" si="449"/>
        <v>1</v>
      </c>
      <c r="AP385" s="1131">
        <f>1+(INDEX(绊状态确认!$T:$T,MATCH($G385,绊状态确认!$B:$B,))+0.2)*$AO385</f>
        <v>1.3</v>
      </c>
      <c r="AQ385" s="1108">
        <f t="shared" si="450"/>
        <v>20227.647244599997</v>
      </c>
      <c r="AR385" s="1097">
        <f>(AM385*(1+$EX$9)+$EX$35)*(1+(INDEX(绊状态确认!$T:$T,MATCH($G385,绊状态确认!$B:$B,))+0.2)*AO385)*IF(J385=$FF$17,1+$FE$17,1)*IF(I385=$FF$14,1+$FE$14,1)</f>
        <v>9622.1995912120001</v>
      </c>
      <c r="AS385" s="1097">
        <f>(AN385*(1+$EX$10)+$EX$36)*(1+(INDEX(绊状态确认!$T:$T,MATCH($G385,绊状态确认!$B:$B,))+0.2)*AO385)*IF(J385=$FF$17,1+$FE$17,1)*IF(I385=$FF$14,1+$FE$14,1)</f>
        <v>12940.651379292</v>
      </c>
      <c r="AT385" s="1093">
        <f>IF(AND(INDEX('卡片raw data'!AK:AK,MATCH($D385,'卡片raw data'!$F:$F,))&lt;INDEX('卡片raw data'!AM:AM,MATCH($D385,'卡片raw data'!$F:$F,)),INDEX('卡片raw data'!AL:AL,MATCH($D385,'卡片raw data'!$F:$F,))&lt;INDEX('卡片raw data'!AM:AM,MATCH($D385,'卡片raw data'!$F:$F,))),1,0)</f>
        <v>0</v>
      </c>
      <c r="AU385" s="1098">
        <f>MIN(AT385*0.15+AS385*0.00003+INDEX(绊状态确认!M:M,MATCH($G385,绊状态确认!$B:$B,)),1)</f>
        <v>0.41821954137876</v>
      </c>
      <c r="AV385" s="1109">
        <f>(INDEX(绊状态确认!$N:$N,MATCH($G385,绊状态确认!$B:$B,))+1.5)*$EW$21</f>
        <v>2.6599999999999997</v>
      </c>
      <c r="AW385" s="1101">
        <f t="shared" si="451"/>
        <v>17798.311519776373</v>
      </c>
      <c r="AX385" s="1097">
        <f t="shared" si="452"/>
        <v>819.60631679480196</v>
      </c>
      <c r="AY385" s="1110">
        <f t="shared" si="453"/>
        <v>18617.917836571174</v>
      </c>
      <c r="AZ385" s="429">
        <f t="shared" si="454"/>
        <v>15211.966524559997</v>
      </c>
      <c r="BA385" s="431">
        <f t="shared" si="455"/>
        <v>18254.359829471996</v>
      </c>
      <c r="BB385" s="1097">
        <f>(AM385*(1+$FB$9)+$FB$35)*(1+(INDEX(绊状态确认!$T:$T,MATCH($G385,绊状态确认!$B:$B,))+0.2)*AO385)*IF(J385=$FF$17,1+$FE$17,1)*IF(I385=$FF$14,1+$FE$14,1)*(1+$FE$15)</f>
        <v>9622.1995912120001</v>
      </c>
      <c r="BC385" s="1097">
        <f>(AN385*(1+$FB$10)+$FB$36)*(1+(INDEX(绊状态确认!$T:$T,MATCH($G385,绊状态确认!$B:$B,))+0.2)*AO385)*IF(J385=$FF$17,1+$FE$17,1)*IF(I385=$FF$14,1+$FE$14,1)*(1+$FE$15)</f>
        <v>12940.651379292</v>
      </c>
      <c r="BD385" s="1104">
        <f>MIN(AT385*0.15+BC385*0.00003+INDEX(绊状态确认!M:M,MATCH($G385,绊状态确认!$B:$B,)),1)</f>
        <v>0.41821954137876</v>
      </c>
      <c r="BE385" s="432">
        <f>(INDEX(绊状态确认!$N:$N,MATCH($G385,绊状态确认!$B:$B,))+1.5)</f>
        <v>1.9</v>
      </c>
      <c r="BF385" s="1139">
        <f t="array" ref="BF385">SUMPRODUCT(IF(AZ385*AP385*$FI$16:$FI$23*$FA$22&gt;=$FI$24,$FI$24,AZ385*AP385*$FI$16:$FI$23*$FA$22),$FJ$16:$FJ$23)</f>
        <v>30256.601417349841</v>
      </c>
      <c r="BG385" s="1125">
        <f t="array" ref="BG385">SUMPRODUCT(IF(BE385*AZ385*AP385*$FI$16:$FI$23*$FA$22&gt;=$FI$24,$FI$24,BE385*AZ385*AP385*$FI$16:$FI$23*$FA$22),$FJ$16:$FJ$23)</f>
        <v>55186.052572000452</v>
      </c>
      <c r="BH385" s="1110">
        <f t="shared" si="456"/>
        <v>13560.861682024008</v>
      </c>
      <c r="BI385" s="1111">
        <f>IF(O385="vo",$EW$26/$EW$24*0.05,0)+IF(O385="sk",-$EW$26/$EW$24*(0.05-INDEX(绊状态确认!W:W,MATCH($G385,绊状态确认!$B:$B,)))+0.05*$EW$28,0)+IF(O385="sp",0.05*$EW$32*$EW$30*(1-$EW$33)-(0.05-INDEX(绊状态确认!V:V,MATCH($G385,绊状态确认!$B:$B,)))*$EW$28,0)+IF(O385="gd",-(0.05-INDEX(绊状态确认!X:X,MATCH($G385,绊状态确认!$B:$B,)))*$EW$32*$EW$30*(1-$EW$33),0)</f>
        <v>19.999999999999886</v>
      </c>
      <c r="BJ385" s="1097">
        <f>IF(O385="vo",0.05*(1-$FI$26)*$FA$24,0)+IF(O385="sk",-(0.05-INDEX(绊状态确认!W:W,MATCH($G385,绊状态确认!$B:$B,)))*(1-$FI$26)*$FA$24+0.05*$FA$26,0)+IF(O385="sp",0.05*$FA$32*$FA$27*(1-$FA$33)/$FA$30+0.05*$FA$29/$FA$69*$FA$27*(1-$FA$33)-(0.05-INDEX(绊状态确认!V:V,MATCH($G385,绊状态确认!$B:$B,)))*$FA$26,0)+IF(O385="gd",-(0.05-INDEX(绊状态确认!X:X,MATCH($G385,绊状态确认!$B:$B,)))*$FA$32*$FA$27*(1-$FA$33)/$FA$30-(0.05-INDEX(绊状态确认!X:X,MATCH($G385,绊状态确认!$B:$B,)))*$FA$29/$FA$69*$FA$27*(1-$FA$33),0)</f>
        <v>545.83333333333326</v>
      </c>
      <c r="BK385" s="1110">
        <f>IF(O385="vo",$EW$26/$EW$24*0.05+$EW$26*(-HP($EW$62,$EW$65,$EW$64)+HP($EW$62,$EW$65,(1.05-INDEX(绊状态确认!U:U,MATCH($G385,绊状态确认!$B:$B,)))*$EW$64)),0)+IF(O385="sk",-$EW$26/$EW$24*(0.05-INDEX(绊状态确认!W:W,MATCH($G385,绊状态确认!$B:$B,)))+0.05*$EW$29,0)+IF(O385="sp",0.05*$EW$32*$EW$30*(1-$EW$33)-(0.05-INDEX(绊状态确认!V:V,MATCH($G385,绊状态确认!$B:$B,)))*$EW$29,0)+IF(O385="gd",-(0.05-INDEX(绊状态确认!X:X,MATCH($G385,绊状态确认!$B:$B,)))*$EW$32*$EW$30*(1-$EW$33)+$EW$26*(-HP($EW$62,$EW$65,$EW$64)+HP($EW$62,$EW$65,0.95*$EW$64)),0)</f>
        <v>-1780.0000000000005</v>
      </c>
      <c r="BL385" s="1111">
        <f t="shared" si="457"/>
        <v>-1083.3333333333333</v>
      </c>
      <c r="BM385" s="1110">
        <f t="shared" si="458"/>
        <v>-830.55555555555543</v>
      </c>
      <c r="BN385" s="1113">
        <f t="shared" si="459"/>
        <v>3</v>
      </c>
      <c r="BO385" s="1108">
        <f t="shared" si="460"/>
        <v>4507.7214871259994</v>
      </c>
      <c r="BP385" s="1100">
        <f t="shared" si="461"/>
        <v>221.34103209030098</v>
      </c>
      <c r="BQ385" s="1113" t="s">
        <v>132</v>
      </c>
      <c r="BR385" s="1124" t="s">
        <v>168</v>
      </c>
      <c r="BS385" s="1098">
        <f>IF($P385="","N/A",IF($P385=-1,INDEX('卡片raw data'!AX:AX,MATCH($D385,'卡片raw data'!$F:$F,)),0)+IF($L385="party卡",IF($P385=5,INDEX('卡片raw data'!BD:BD,MATCH($D385,'卡片raw data'!$F:$F,)),IF($P385&gt;=3,INDEX('卡片raw data'!BC:BC,MATCH($D385,'卡片raw data'!$F:$F,)),INDEX('卡片raw data'!BB:BB,MATCH($D385,'卡片raw data'!$F:$F,)))),IF(OR(AND($F385="UR",$P385=0),AND($F385="SR",$P385&gt;=0,$P385&lt;=2),AND($F385="R",$P385&gt;=0,$P385&lt;4)),INDEX('卡片raw data'!AZ:AZ,MATCH($D385,'卡片raw data'!$F:$F,)),0)+IF(OR(AND($F385="UR",$P385&gt;=1,$P385&lt;=4),AND($F385="SR",$P385&lt;=4,$P385&gt;=3),AND($F385="R",$P385=4)),INDEX('卡片raw data'!BA:BA,MATCH($D385,'卡片raw data'!$F:$F,)),0)+IF($P385=5,INDEX('卡片raw data'!BB:BB,MATCH($D385,'卡片raw data'!$F:$F,)),0)))</f>
        <v>0.05</v>
      </c>
      <c r="BT385" s="1101">
        <f t="shared" si="462"/>
        <v>3756.4345726050001</v>
      </c>
      <c r="BU385" s="1097">
        <f t="shared" si="463"/>
        <v>184.45086007525089</v>
      </c>
      <c r="BV385" s="1097">
        <f t="shared" si="464"/>
        <v>0</v>
      </c>
      <c r="BW385" s="1112">
        <f t="shared" si="465"/>
        <v>0</v>
      </c>
      <c r="BX385" s="1100">
        <f t="shared" si="466"/>
        <v>3756.4345726050001</v>
      </c>
      <c r="BY385" s="1110">
        <f t="shared" si="467"/>
        <v>0</v>
      </c>
      <c r="BZ385" s="1113" t="s">
        <v>569</v>
      </c>
      <c r="CA385" s="1124"/>
      <c r="CB385" s="1098">
        <f>IF($P385="","N/A",IF($P385=-1,INDEX('卡片raw data'!BE:BE,MATCH($D385,'卡片raw data'!$F:$F,)),0)+IF($L385="party卡",IF($P385=5,INDEX('卡片raw data'!BK:BK,MATCH($D385,'卡片raw data'!$F:$F,)),IF($P385&gt;=3,INDEX('卡片raw data'!BJ:BJ,MATCH($D385,'卡片raw data'!$F:$F,)),INDEX('卡片raw data'!BI:BI,MATCH($D385,'卡片raw data'!$F:$F,)))),IF(OR(AND($F385="UR",$P385=0),AND($F385="SR",$P385&gt;=0,$P385&lt;=2),AND($F385="R",$P385&gt;=0,$P385&lt;4)),INDEX('卡片raw data'!BG:BG,MATCH($D385,'卡片raw data'!$F:$F,)),0)+IF(OR(AND($F385="UR",$P385&gt;=1,$P385&lt;=4),AND($F385="SR",$P385&lt;=4,$P385&gt;=3),AND($F385="R",$P385=4)),INDEX('卡片raw data'!BH:BH,MATCH($D385,'卡片raw data'!$F:$F,)),0)+IF($P385=5,INDEX('卡片raw data'!BI:BI,MATCH($D385,'卡片raw data'!$F:$F,)),0)))</f>
        <v>0</v>
      </c>
      <c r="CC385" s="1101">
        <f t="shared" si="468"/>
        <v>0</v>
      </c>
      <c r="CD385" s="1097">
        <f>IF(BZ385="ap",CB385*(1-$FI$26)*$FB$5/$FB$11*(+IF(CA385="全员",$FA$24,0)+IF(CA385="同作战",$FA$24,0)+IF(CA385="仲间",$FA$24*2/3,0)+IF(CA385="同属性",$FA$24*$FA$37/3,0)+IF(CA385="同年级",$FA$24*$FA$40/3,0)+IF(CA385="同学校",$FA$24*$FA$43/3,0)+IF(CA385="同小队",$FA$24*$FA$46/3,0)+IF(CA385="同type",$FA$24*INDEX($FB$49:$FB$52,MATCH(X385,$FA$49:$FA$52,))/3,0)+IF(CA385="自身",#REF!/3,0)),0)+IF(BZ385="te",CB385*(1-$FI$27)*($FA$20-1)*$FB$7/$FB$13*(+IF(CA385="全员",$FA$19*$FA$24/(1+($FA$20-1)*$FA$19),0)+IF(CA385="同作战",$FA$19*$FA$24/(1+($FA$20-1)*$FA$19),0)+IF(CA385="仲间",$FA$19*$FA$24*2/3/(1+($FA$20-1)*$FA$19),0)+IF(CA385="同属性",$FA$19*$FA$24*$FA$37/3/(1+($FA$20-1)*$FA$19),0)+IF(CA385="同年级",$FA$19*$FA$24*$FA$40/3/(1+($FA$20-1)*$FA$19),0)+IF(CA385="同学校",$FA$19*$FA$24*$FA$43/3/(1+($FA$20-1)*$FA$19),0)+IF(CA385="同小队",$FA$19*$FA$24*$FA$46/3/(1+($FA$20-1)*$FA$19),0)+IF(CA385="同type",$FA$19*$FA$24*INDEX($FB$49:$FB$52,MATCH(X385,$FA$49:$FA$52,))/3/(1+($FA$20-1)*$FA$19),0)+IF(CA385="自身",$FA$19*#REF!/3/(1+(BH385-1)*$BD385),0)),0)</f>
        <v>0</v>
      </c>
      <c r="CE385" s="1097">
        <f t="shared" si="469"/>
        <v>0</v>
      </c>
      <c r="CF385" s="1112">
        <f t="shared" si="470"/>
        <v>0</v>
      </c>
      <c r="CG385" s="1100">
        <f t="shared" si="471"/>
        <v>0</v>
      </c>
      <c r="CH385" s="1110">
        <f t="shared" si="472"/>
        <v>0</v>
      </c>
      <c r="CI385" s="1113" t="s">
        <v>160</v>
      </c>
      <c r="CJ385" s="1114">
        <v>1</v>
      </c>
      <c r="CK385" s="1115" t="s">
        <v>636</v>
      </c>
      <c r="CL385" s="1115"/>
      <c r="CM385" s="440">
        <v>100</v>
      </c>
      <c r="CN385" s="1115"/>
      <c r="CO385" s="1115"/>
      <c r="CP385" s="1116">
        <f t="shared" si="473"/>
        <v>5.3571428571428568</v>
      </c>
      <c r="CQ385" s="1116">
        <f t="shared" si="474"/>
        <v>11.111111111111111</v>
      </c>
      <c r="CR385" s="1117">
        <f t="shared" si="475"/>
        <v>5.3571428571428568</v>
      </c>
      <c r="CS385" s="1118">
        <f t="shared" si="476"/>
        <v>0</v>
      </c>
      <c r="CT385" s="1109">
        <f t="shared" si="477"/>
        <v>0</v>
      </c>
      <c r="CU385" s="1101">
        <f t="shared" si="478"/>
        <v>0</v>
      </c>
      <c r="CV385" s="1108">
        <f t="shared" si="479"/>
        <v>0</v>
      </c>
      <c r="CW385" s="1097">
        <f t="shared" si="480"/>
        <v>0</v>
      </c>
      <c r="CX385" s="1097">
        <f t="shared" si="481"/>
        <v>421.62939108711703</v>
      </c>
      <c r="CY385" s="1110">
        <f t="shared" si="482"/>
        <v>421.62939108711703</v>
      </c>
      <c r="CZ385" s="437"/>
      <c r="DA385" s="438"/>
      <c r="DB385" s="439" t="s">
        <v>569</v>
      </c>
      <c r="DC385" s="439"/>
      <c r="DD385" s="443"/>
      <c r="DE385" s="411"/>
      <c r="DF385" s="411"/>
      <c r="DG385" s="1116">
        <f t="shared" si="483"/>
        <v>0</v>
      </c>
      <c r="DH385" s="1116">
        <f t="shared" si="484"/>
        <v>0</v>
      </c>
      <c r="DI385" s="1116">
        <f t="shared" si="485"/>
        <v>0</v>
      </c>
      <c r="DJ385" s="442">
        <f t="shared" si="486"/>
        <v>0</v>
      </c>
      <c r="DK385" s="1109">
        <f t="shared" si="487"/>
        <v>0</v>
      </c>
      <c r="DL385" s="1101">
        <f t="shared" si="488"/>
        <v>0</v>
      </c>
      <c r="DM385" s="1097">
        <f t="shared" si="489"/>
        <v>0</v>
      </c>
      <c r="DN385" s="1097">
        <f t="shared" si="490"/>
        <v>0</v>
      </c>
      <c r="DO385" s="1097">
        <f t="shared" si="491"/>
        <v>0</v>
      </c>
      <c r="DP385" s="1110">
        <f t="shared" si="492"/>
        <v>0</v>
      </c>
      <c r="DQ385" s="1113" t="s">
        <v>256</v>
      </c>
      <c r="DR385" s="1120">
        <f t="shared" si="493"/>
        <v>0.3</v>
      </c>
      <c r="DS385" s="1124"/>
      <c r="DT385" s="1093" t="s">
        <v>132</v>
      </c>
      <c r="DU385" s="1093"/>
      <c r="DV385" s="1098">
        <f>IF($P385="","N/A",IF(P385=-1,INDEX('卡片raw data'!AN:AN,MATCH(D385,'卡片raw data'!$F:$F,)),0)+IF(AND(L385&lt;&gt;"party卡",P385&lt;=2,P385&gt;=0),INDEX('卡片raw data'!AP:AP,MATCH(D385,'卡片raw data'!$F:$F,)),0)+IF(OR(AND(L385="party卡",P385&lt;=1),AND(P385&lt;=4,L385&lt;&gt;"party卡",P385&gt;=3)),INDEX('卡片raw data'!AQ:AQ,MATCH(D385,'卡片raw data'!$F:$F,)),0)+IF(OR(P385=5,AND(L385="party卡",P385&gt;=2)),INDEX('卡片raw data'!AR:AR,MATCH(D385,'卡片raw data'!$F:$F,)),0))</f>
        <v>0.22</v>
      </c>
      <c r="DW385" s="1098">
        <f t="shared" si="494"/>
        <v>0.3</v>
      </c>
      <c r="DX385" s="1098">
        <f t="shared" si="495"/>
        <v>0.3</v>
      </c>
      <c r="DY385" s="1097">
        <f t="shared" si="496"/>
        <v>445.00823938119993</v>
      </c>
      <c r="DZ385" s="1097">
        <f t="shared" si="497"/>
        <v>347.38046755485209</v>
      </c>
      <c r="EA385" s="1098">
        <f t="shared" si="498"/>
        <v>0</v>
      </c>
      <c r="EB385" s="1121">
        <f t="shared" si="499"/>
        <v>0</v>
      </c>
      <c r="EC385" s="1101">
        <f t="shared" si="500"/>
        <v>636.36178231511599</v>
      </c>
      <c r="ED385" s="1097">
        <f t="shared" si="501"/>
        <v>0</v>
      </c>
      <c r="EE385" s="1110">
        <f t="shared" si="513"/>
        <v>636.36178231511599</v>
      </c>
      <c r="EF385" s="1115" t="s">
        <v>569</v>
      </c>
      <c r="EG385" s="1120">
        <f t="shared" si="503"/>
        <v>0.3</v>
      </c>
      <c r="EH385" s="1124"/>
      <c r="EI385" s="1093"/>
      <c r="EJ385" s="1093"/>
      <c r="EK385" s="1097">
        <f>IF($P385="","N/A",IF(P385=-1,INDEX('卡片raw data'!AS:AS,MATCH(D385,'卡片raw data'!$F:$F,)),0)+IF(AND(L385&lt;&gt;"party卡",P385&lt;=2,P385&gt;=0),INDEX('卡片raw data'!AU:AU,MATCH(D385,'卡片raw data'!$F:$F,)),0)+IF(OR(AND(L385="party卡",P385&lt;=1),AND(P385&lt;=4,L385&lt;&gt;"party卡",P385&gt;=3)),INDEX('卡片raw data'!AV:AV,MATCH(D385,'卡片raw data'!$F:$F,)),0)+IF(OR(P385=5,AND(L385="party卡",P385&gt;=2)),INDEX('卡片raw data'!AW:AW,MATCH(D385,'卡片raw data'!$F:$F,)),0))</f>
        <v>0</v>
      </c>
      <c r="EL385" s="1098">
        <f t="shared" si="504"/>
        <v>0.3</v>
      </c>
      <c r="EM385" s="1098">
        <f t="shared" si="505"/>
        <v>0.3</v>
      </c>
      <c r="EN385" s="1097">
        <f t="shared" si="506"/>
        <v>0</v>
      </c>
      <c r="EO385" s="1097">
        <f t="shared" si="507"/>
        <v>0</v>
      </c>
      <c r="EP385" s="1098">
        <f t="shared" si="508"/>
        <v>0</v>
      </c>
      <c r="EQ385" s="1121">
        <f t="shared" si="509"/>
        <v>0</v>
      </c>
      <c r="ER385" s="1101">
        <f t="shared" si="510"/>
        <v>0</v>
      </c>
      <c r="ES385" s="1097">
        <f t="shared" si="511"/>
        <v>0</v>
      </c>
      <c r="ET385" s="1122">
        <f t="shared" si="514"/>
        <v>0</v>
      </c>
    </row>
    <row r="386" spans="2:150" ht="16.5" customHeight="1">
      <c r="B386" s="1123" t="str">
        <f>INDEX('卡片raw data'!B:B,MATCH($D386,'卡片raw data'!$F:$F,))</f>
        <v>mw丸</v>
      </c>
      <c r="C386" s="449" t="s">
        <v>1855</v>
      </c>
      <c r="D386" s="408">
        <v>383</v>
      </c>
      <c r="E386" s="477">
        <v>401072005</v>
      </c>
      <c r="F386" s="1090" t="str">
        <f>INDEX('卡片raw data'!C:C,MATCH($D386,'卡片raw data'!$F:$F,))</f>
        <v>SR</v>
      </c>
      <c r="G386" s="1094" t="s">
        <v>1870</v>
      </c>
      <c r="H386" s="411">
        <f>IFERROR(INDEX(绊状态确认!C:C,MATCH($G386,绊状态确认!$B:$B,)),"")</f>
        <v>107</v>
      </c>
      <c r="I386" s="450" t="str">
        <f>IFERROR(INDEX(绊状态确认!D:D,MATCH($G386,绊状态确认!$B:$B,)),"")</f>
        <v>水</v>
      </c>
      <c r="J386" s="450" t="str">
        <f>IFERROR(INDEX(绊状态确认!E:E,MATCH($G386,绊状态确认!$B:$B,)),"")</f>
        <v>1年级</v>
      </c>
      <c r="K386" s="451" t="str">
        <f>IFERROR(INDEX(绊状态确认!F:F,MATCH($G386,绊状态确认!$B:$B,)),"")</f>
        <v>AZALEA</v>
      </c>
      <c r="L386" s="1094" t="str">
        <f>INDEX('卡片raw data'!E:E,MATCH($D386,'卡片raw data'!$F:$F,))</f>
        <v>活动卡</v>
      </c>
      <c r="M386" s="478">
        <v>44197</v>
      </c>
      <c r="N386" s="479">
        <v>31</v>
      </c>
      <c r="O386" s="1091" t="str">
        <f>INDEX('卡片raw data'!D:D,MATCH($D386,'卡片raw data'!$F:$F,))</f>
        <v>gd</v>
      </c>
      <c r="P386" s="1126">
        <v>5</v>
      </c>
      <c r="Q386" s="1095">
        <f t="shared" si="428"/>
        <v>17625.189210305783</v>
      </c>
      <c r="R386" s="1096">
        <f t="shared" si="429"/>
        <v>0.20399999999999999</v>
      </c>
      <c r="S386" s="1097">
        <f t="shared" si="430"/>
        <v>10281.004532998639</v>
      </c>
      <c r="T386" s="1098">
        <f t="shared" si="431"/>
        <v>0.51400000000000001</v>
      </c>
      <c r="U386" s="1099">
        <f t="shared" si="432"/>
        <v>395.18748479143534</v>
      </c>
      <c r="V386" s="1100">
        <f t="shared" si="433"/>
        <v>65516.57734004486</v>
      </c>
      <c r="W386" s="1101">
        <f t="shared" si="434"/>
        <v>4507.7214871259994</v>
      </c>
      <c r="X386" s="1096">
        <f t="shared" si="435"/>
        <v>5.1999999999999998E-2</v>
      </c>
      <c r="Y386" s="1097">
        <f t="shared" si="436"/>
        <v>1186.828928883936</v>
      </c>
      <c r="Z386" s="1102">
        <f t="shared" si="437"/>
        <v>14.882823092331424</v>
      </c>
      <c r="AA386" s="1103">
        <f t="shared" si="438"/>
        <v>5694.5504160099354</v>
      </c>
      <c r="AB386" s="1101">
        <f t="shared" si="439"/>
        <v>4507.7214871259994</v>
      </c>
      <c r="AC386" s="1104">
        <f t="shared" si="440"/>
        <v>5.1999999999999998E-2</v>
      </c>
      <c r="AD386" s="1105">
        <f t="shared" si="441"/>
        <v>-3.8207812500000026E-3</v>
      </c>
      <c r="AE386" s="1128">
        <f t="shared" si="442"/>
        <v>-18.525362318840578</v>
      </c>
      <c r="AF386" s="1130">
        <f t="shared" si="443"/>
        <v>5586.859508096255</v>
      </c>
      <c r="AG386" s="420">
        <f t="shared" si="444"/>
        <v>102541.840113824</v>
      </c>
      <c r="AH386" s="420">
        <f t="shared" si="445"/>
        <v>18.354111100381964</v>
      </c>
      <c r="AI386" s="1097">
        <f t="shared" si="446"/>
        <v>89797.572894978657</v>
      </c>
      <c r="AJ386" s="420">
        <f t="shared" si="447"/>
        <v>65516.57734004486</v>
      </c>
      <c r="AK386" s="518">
        <f t="shared" si="448"/>
        <v>24280.995554933797</v>
      </c>
      <c r="AL386" s="1106">
        <f>IF($P386="","N/A",(IF($P386=-1,INDEX('卡片raw data'!S:S,MATCH($D386,'卡片raw data'!$F:$F,)),0)+IF($P386=0,INDEX('卡片raw data'!V:V,MATCH($D386,'卡片raw data'!$F:$F,)),0)+IF($P386=1,INDEX('卡片raw data'!Y:Y,MATCH($D386,'卡片raw data'!$F:$F,)),0)+IF($P386=2,INDEX('卡片raw data'!AB:AB,MATCH($D386,'卡片raw data'!$F:$F,)),0)+IF($P386=3,INDEX('卡片raw data'!AE:AE,MATCH($D386,'卡片raw data'!$F:$F,)),0)+IF($P386=4,INDEX('卡片raw data'!AH:AH,MATCH($D386,'卡片raw data'!$F:$F,)),0)+IF($P386=5,INDEX('卡片raw data'!AK:AK,MATCH($D386,'卡片raw data'!$F:$F,)),0)+INDEX('卡片raw data'!S:S,MATCH($D386,'卡片raw data'!$F:$F,))*(IF($F386="UR",0.04,0.033))*(IF($F386="UR",INDEX(绊状态确认!$S:$S,MATCH($G386,绊状态确认!$B:$B,))/2-40)+IF($F386="SR",INDEX(绊状态确认!$R:$R,MATCH($G386,绊状态确认!$B:$B,))/4-15))+IF($F386="R",INDEX(绊状态确认!$Q:$Q,MATCH($G386,绊状态确认!$B:$B,))/6-40/6)))*(INDEX(绊状态确认!$H:$H,MATCH($G386,绊状态确认!$B:$B,))+INDEX(绊状态确认!J:J,MATCH($G386,绊状态确认!$B:$B,)))</f>
        <v>5419.2825023999994</v>
      </c>
      <c r="AM386" s="1106">
        <f>IF($P386="","N/A",(IF($P386=-1,INDEX('卡片raw data'!T:T,MATCH($D386,'卡片raw data'!$F:$F,)),0)+IF($P386=0,INDEX('卡片raw data'!W:W,MATCH($D386,'卡片raw data'!$F:$F,)),0)+IF($P386=1,INDEX('卡片raw data'!Z:Z,MATCH($D386,'卡片raw data'!$F:$F,)),0)+IF($P386=2,INDEX('卡片raw data'!AC:AC,MATCH($D386,'卡片raw data'!$F:$F,)),0)+IF($P386=3,INDEX('卡片raw data'!AF:AF,MATCH($D386,'卡片raw data'!$F:$F,)),0)+IF($P386=4,INDEX('卡片raw data'!AI:AI,MATCH($D386,'卡片raw data'!$F:$F,)),0)+IF($P386=5,INDEX('卡片raw data'!AL:AL,MATCH($D386,'卡片raw data'!$F:$F,)),0)+INDEX('卡片raw data'!T:T,MATCH($D386,'卡片raw data'!$F:$F,))*(IF($F386="UR",0.04,0.033))*(IF($F386="UR",INDEX(绊状态确认!$S:$S,MATCH($G386,绊状态确认!$B:$B,))/2-40)+IF($F386="SR",INDEX(绊状态确认!$R:$R,MATCH($G386,绊状态确认!$B:$B,))/4-15))+IF($F386="R",INDEX(绊状态确认!$Q:$Q,MATCH($G386,绊状态确认!$B:$B,))/6-40/6)))*(INDEX(绊状态确认!$H:$H,MATCH($G386,绊状态确认!$B:$B,))+INDEX(绊状态确认!K:K,MATCH($G386,绊状态确认!$B:$B,)))</f>
        <v>6994.7874623999996</v>
      </c>
      <c r="AN386" s="1106">
        <f>IF($P386="","N/A",(IF($P386=-1,INDEX('卡片raw data'!U:U,MATCH($D386,'卡片raw data'!$F:$F,)),0)+IF($P386=0,INDEX('卡片raw data'!X:X,MATCH($D386,'卡片raw data'!$F:$F,)),0)+IF($P386=1,INDEX('卡片raw data'!AA:AA,MATCH($D386,'卡片raw data'!$F:$F,)),0)+IF($P386=2,INDEX('卡片raw data'!AD:AD,MATCH($D386,'卡片raw data'!$F:$F,)),0)+IF($P386=3,INDEX('卡片raw data'!AG:AG,MATCH($D386,'卡片raw data'!$F:$F,)),0)+IF($P386=4,INDEX('卡片raw data'!AJ:AJ,MATCH($D386,'卡片raw data'!$F:$F,)),0)+IF($P386=5,INDEX('卡片raw data'!AM:AM,MATCH($D386,'卡片raw data'!$F:$F,)),0)+INDEX('卡片raw data'!U:U,MATCH($D386,'卡片raw data'!$F:$F,))*(IF($F386="UR",0.04,0.033))*(IF($F386="UR",INDEX(绊状态确认!$S:$S,MATCH($G386,绊状态确认!$B:$B,))/2-40)+IF($F386="SR",INDEX(绊状态确认!$R:$R,MATCH($G386,绊状态确认!$B:$B,))/4-15))+IF($F386="R",INDEX(绊状态确认!$Q:$Q,MATCH($G386,绊状态确认!$B:$B,))/6-40/6)))*(INDEX(绊状态确认!$H:$H,MATCH($G386,绊状态确认!$B:$B,))+INDEX(绊状态确认!L:L,MATCH($G386,绊状态确认!$B:$B,)))</f>
        <v>5068.2780887999998</v>
      </c>
      <c r="AO386" s="1107">
        <f t="shared" si="449"/>
        <v>1</v>
      </c>
      <c r="AP386" s="1131">
        <f>1+(INDEX(绊状态确认!$T:$T,MATCH($G386,绊状态确认!$B:$B,))+0.2)*$AO386</f>
        <v>1.3</v>
      </c>
      <c r="AQ386" s="1108">
        <f t="shared" si="450"/>
        <v>17475.6165688</v>
      </c>
      <c r="AR386" s="1097">
        <f>(AM386*(1+$EX$9)+$EX$35)*(1+(INDEX(绊状态确认!$T:$T,MATCH($G386,绊状态确认!$B:$B,))+0.2)*AO386)*IF(J386=$FF$17,1+$FE$17,1)*IF(I386=$FF$14,1+$FE$14,1)</f>
        <v>12251.884886175998</v>
      </c>
      <c r="AS386" s="1097">
        <f>(AN386*(1+$EX$10)+$EX$36)*(1+(INDEX(绊状态确认!$T:$T,MATCH($G386,绊状态确认!$B:$B,))+0.2)*AO386)*IF(J386=$FF$17,1+$FE$17,1)*IF(I386=$FF$14,1+$FE$14,1)</f>
        <v>11633.075742756</v>
      </c>
      <c r="AT386" s="1093">
        <f>IF(AND(INDEX('卡片raw data'!AK:AK,MATCH($D386,'卡片raw data'!$F:$F,))&lt;INDEX('卡片raw data'!AM:AM,MATCH($D386,'卡片raw data'!$F:$F,)),INDEX('卡片raw data'!AL:AL,MATCH($D386,'卡片raw data'!$F:$F,))&lt;INDEX('卡片raw data'!AM:AM,MATCH($D386,'卡片raw data'!$F:$F,))),1,0)</f>
        <v>0</v>
      </c>
      <c r="AU386" s="1098">
        <f>MIN(AT386*0.15+AS386*0.00003+INDEX(绊状态确认!M:M,MATCH($G386,绊状态确认!$B:$B,)),1)</f>
        <v>0.37899227228268006</v>
      </c>
      <c r="AV386" s="1109">
        <f>(INDEX(绊状态确认!$N:$N,MATCH($G386,绊状态确认!$B:$B,))+1.5)*$EW$21</f>
        <v>2.6599999999999997</v>
      </c>
      <c r="AW386" s="1101">
        <f t="shared" si="451"/>
        <v>14785.801056513117</v>
      </c>
      <c r="AX386" s="1097">
        <f t="shared" si="452"/>
        <v>1049.638734670594</v>
      </c>
      <c r="AY386" s="1110">
        <f t="shared" si="453"/>
        <v>15835.439791183711</v>
      </c>
      <c r="AZ386" s="429">
        <f t="shared" si="454"/>
        <v>13167.600879679998</v>
      </c>
      <c r="BA386" s="431">
        <f t="shared" si="455"/>
        <v>15801.121055615997</v>
      </c>
      <c r="BB386" s="1097">
        <f>(AM386*(1+$FB$9)+$FB$35)*(1+(INDEX(绊状态确认!$T:$T,MATCH($G386,绊状态确认!$B:$B,))+0.2)*AO386)*IF(J386=$FF$17,1+$FE$17,1)*IF(I386=$FF$14,1+$FE$14,1)*(1+$FE$15)</f>
        <v>12251.884886175998</v>
      </c>
      <c r="BC386" s="1097">
        <f>(AN386*(1+$FB$10)+$FB$36)*(1+(INDEX(绊状态确认!$T:$T,MATCH($G386,绊状态确认!$B:$B,))+0.2)*AO386)*IF(J386=$FF$17,1+$FE$17,1)*IF(I386=$FF$14,1+$FE$14,1)*(1+$FE$15)</f>
        <v>11633.075742756</v>
      </c>
      <c r="BD386" s="1104">
        <f>MIN(AT386*0.15+BC386*0.00003+INDEX(绊状态确认!M:M,MATCH($G386,绊状态确认!$B:$B,)),1)</f>
        <v>0.37899227228268006</v>
      </c>
      <c r="BE386" s="432">
        <f>(INDEX(绊状态确认!$N:$N,MATCH($G386,绊状态确认!$B:$B,))+1.5)</f>
        <v>1.9</v>
      </c>
      <c r="BF386" s="1139">
        <f t="array" ref="BF386">SUMPRODUCT(IF(AZ386*AP386*$FI$16:$FI$23*$FA$22&gt;=$FI$24,$FI$24,AZ386*AP386*$FI$16:$FI$23*$FA$22),$FJ$16:$FJ$23)</f>
        <v>26190.35814968351</v>
      </c>
      <c r="BG386" s="1125">
        <f t="array" ref="BG386">SUMPRODUCT(IF(BE386*AZ386*AP386*$FI$16:$FI$23*$FA$22&gt;=$FI$24,$FI$24,BE386*AZ386*AP386*$FI$16:$FI$23*$FA$22),$FJ$16:$FJ$23)</f>
        <v>49582.125391564856</v>
      </c>
      <c r="BH386" s="1110">
        <f t="shared" si="456"/>
        <v>11685.219056463893</v>
      </c>
      <c r="BI386" s="1111">
        <f>IF(O386="vo",$EW$26/$EW$24*0.05,0)+IF(O386="sk",-$EW$26/$EW$24*(0.05-INDEX(绊状态确认!W:W,MATCH($G386,绊状态确认!$B:$B,)))+0.05*$EW$28,0)+IF(O386="sp",0.05*$EW$32*$EW$30*(1-$EW$33)-(0.05-INDEX(绊状态确认!V:V,MATCH($G386,绊状态确认!$B:$B,)))*$EW$28,0)+IF(O386="gd",-(0.05-INDEX(绊状态确认!X:X,MATCH($G386,绊状态确认!$B:$B,)))*$EW$32*$EW$30*(1-$EW$33),0)</f>
        <v>-585.00000000000011</v>
      </c>
      <c r="BJ386" s="1097">
        <f>IF(O386="vo",0.05*(1-$FI$26)*$FA$24,0)+IF(O386="sk",-(0.05-INDEX(绊状态确认!W:W,MATCH($G386,绊状态确认!$B:$B,)))*(1-$FI$26)*$FA$24+0.05*$FA$26,0)+IF(O386="sp",0.05*$FA$32*$FA$27*(1-$FA$33)/$FA$30+0.05*$FA$29/$FA$69*$FA$27*(1-$FA$33)-(0.05-INDEX(绊状态确认!V:V,MATCH($G386,绊状态确认!$B:$B,)))*$FA$26,0)+IF(O386="gd",-(0.05-INDEX(绊状态确认!X:X,MATCH($G386,绊状态确认!$B:$B,)))*$FA$32*$FA$27*(1-$FA$33)/$FA$30-(0.05-INDEX(绊状态确认!X:X,MATCH($G386,绊状态确认!$B:$B,)))*$FA$29/$FA$69*$FA$27*(1-$FA$33),0)</f>
        <v>-795.00000000000011</v>
      </c>
      <c r="BK386" s="1110">
        <f>IF(O386="vo",$EW$26/$EW$24*0.05+$EW$26*(-HP($EW$62,$EW$65,$EW$64)+HP($EW$62,$EW$65,(1.05-INDEX(绊状态确认!U:U,MATCH($G386,绊状态确认!$B:$B,)))*$EW$64)),0)+IF(O386="sk",-$EW$26/$EW$24*(0.05-INDEX(绊状态确认!W:W,MATCH($G386,绊状态确认!$B:$B,)))+0.05*$EW$29,0)+IF(O386="sp",0.05*$EW$32*$EW$30*(1-$EW$33)-(0.05-INDEX(绊状态确认!V:V,MATCH($G386,绊状态确认!$B:$B,)))*$EW$29,0)+IF(O386="gd",-(0.05-INDEX(绊状态确认!X:X,MATCH($G386,绊状态确认!$B:$B,)))*$EW$32*$EW$30*(1-$EW$33)+$EW$26*(-HP($EW$62,$EW$65,$EW$64)+HP($EW$62,$EW$65,0.95*$EW$64)),0)</f>
        <v>1009.5947725176144</v>
      </c>
      <c r="BL386" s="1111">
        <f t="shared" si="457"/>
        <v>-1083.3333333333333</v>
      </c>
      <c r="BM386" s="1110">
        <f t="shared" si="458"/>
        <v>-830.55555555555543</v>
      </c>
      <c r="BN386" s="1113">
        <f t="shared" si="459"/>
        <v>3</v>
      </c>
      <c r="BO386" s="1108">
        <f t="shared" si="460"/>
        <v>4507.7214871259994</v>
      </c>
      <c r="BP386" s="1100">
        <f t="shared" si="461"/>
        <v>221.34103209030098</v>
      </c>
      <c r="BQ386" s="1113" t="s">
        <v>133</v>
      </c>
      <c r="BR386" s="1124" t="s">
        <v>168</v>
      </c>
      <c r="BS386" s="1098">
        <f>IF($P386="","N/A",IF($P386=-1,INDEX('卡片raw data'!AX:AX,MATCH($D386,'卡片raw data'!$F:$F,)),0)+IF($L386="party卡",IF($P386=5,INDEX('卡片raw data'!BD:BD,MATCH($D386,'卡片raw data'!$F:$F,)),IF($P386&gt;=3,INDEX('卡片raw data'!BC:BC,MATCH($D386,'卡片raw data'!$F:$F,)),INDEX('卡片raw data'!BB:BB,MATCH($D386,'卡片raw data'!$F:$F,)))),IF(OR(AND($F386="UR",$P386=0),AND($F386="SR",$P386&gt;=0,$P386&lt;=2),AND($F386="R",$P386&gt;=0,$P386&lt;4)),INDEX('卡片raw data'!AZ:AZ,MATCH($D386,'卡片raw data'!$F:$F,)),0)+IF(OR(AND($F386="UR",$P386&gt;=1,$P386&lt;=4),AND($F386="SR",$P386&lt;=4,$P386&gt;=3),AND($F386="R",$P386=4)),INDEX('卡片raw data'!BA:BA,MATCH($D386,'卡片raw data'!$F:$F,)),0)+IF($P386=5,INDEX('卡片raw data'!BB:BB,MATCH($D386,'卡片raw data'!$F:$F,)),0)))</f>
        <v>0.05</v>
      </c>
      <c r="BT386" s="1101">
        <f t="shared" si="462"/>
        <v>0</v>
      </c>
      <c r="BU386" s="1097">
        <f t="shared" si="463"/>
        <v>0</v>
      </c>
      <c r="BV386" s="1097">
        <f t="shared" si="464"/>
        <v>0</v>
      </c>
      <c r="BW386" s="1112">
        <f t="shared" si="465"/>
        <v>1.7558035714285711</v>
      </c>
      <c r="BX386" s="1100">
        <f t="shared" si="466"/>
        <v>137.19019421334193</v>
      </c>
      <c r="BY386" s="1110">
        <f t="shared" si="467"/>
        <v>137.19019421334193</v>
      </c>
      <c r="BZ386" s="1113" t="s">
        <v>569</v>
      </c>
      <c r="CA386" s="1124"/>
      <c r="CB386" s="1098">
        <f>IF($P386="","N/A",IF($P386=-1,INDEX('卡片raw data'!BE:BE,MATCH($D386,'卡片raw data'!$F:$F,)),0)+IF($L386="party卡",IF($P386=5,INDEX('卡片raw data'!BK:BK,MATCH($D386,'卡片raw data'!$F:$F,)),IF($P386&gt;=3,INDEX('卡片raw data'!BJ:BJ,MATCH($D386,'卡片raw data'!$F:$F,)),INDEX('卡片raw data'!BI:BI,MATCH($D386,'卡片raw data'!$F:$F,)))),IF(OR(AND($F386="UR",$P386=0),AND($F386="SR",$P386&gt;=0,$P386&lt;=2),AND($F386="R",$P386&gt;=0,$P386&lt;4)),INDEX('卡片raw data'!BG:BG,MATCH($D386,'卡片raw data'!$F:$F,)),0)+IF(OR(AND($F386="UR",$P386&gt;=1,$P386&lt;=4),AND($F386="SR",$P386&lt;=4,$P386&gt;=3),AND($F386="R",$P386=4)),INDEX('卡片raw data'!BH:BH,MATCH($D386,'卡片raw data'!$F:$F,)),0)+IF($P386=5,INDEX('卡片raw data'!BI:BI,MATCH($D386,'卡片raw data'!$F:$F,)),0)))</f>
        <v>0</v>
      </c>
      <c r="CC386" s="1101">
        <f t="shared" si="468"/>
        <v>0</v>
      </c>
      <c r="CD386" s="1097">
        <f>IF(BZ386="ap",CB386*(1-$FI$26)*$FB$5/$FB$11*(+IF(CA386="全员",$FA$24,0)+IF(CA386="同作战",$FA$24,0)+IF(CA386="仲间",$FA$24*2/3,0)+IF(CA386="同属性",$FA$24*$FA$37/3,0)+IF(CA386="同年级",$FA$24*$FA$40/3,0)+IF(CA386="同学校",$FA$24*$FA$43/3,0)+IF(CA386="同小队",$FA$24*$FA$46/3,0)+IF(CA386="同type",$FA$24*INDEX($FB$49:$FB$52,MATCH(X386,$FA$49:$FA$52,))/3,0)+IF(CA386="自身",#REF!/3,0)),0)+IF(BZ386="te",CB386*(1-$FI$27)*($FA$20-1)*$FB$7/$FB$13*(+IF(CA386="全员",$FA$19*$FA$24/(1+($FA$20-1)*$FA$19),0)+IF(CA386="同作战",$FA$19*$FA$24/(1+($FA$20-1)*$FA$19),0)+IF(CA386="仲间",$FA$19*$FA$24*2/3/(1+($FA$20-1)*$FA$19),0)+IF(CA386="同属性",$FA$19*$FA$24*$FA$37/3/(1+($FA$20-1)*$FA$19),0)+IF(CA386="同年级",$FA$19*$FA$24*$FA$40/3/(1+($FA$20-1)*$FA$19),0)+IF(CA386="同学校",$FA$19*$FA$24*$FA$43/3/(1+($FA$20-1)*$FA$19),0)+IF(CA386="同小队",$FA$19*$FA$24*$FA$46/3/(1+($FA$20-1)*$FA$19),0)+IF(CA386="同type",$FA$19*$FA$24*INDEX($FB$49:$FB$52,MATCH(X386,$FA$49:$FA$52,))/3/(1+($FA$20-1)*$FA$19),0)+IF(CA386="自身",$FA$19*#REF!/3/(1+(BH386-1)*$BD386),0)),0)</f>
        <v>0</v>
      </c>
      <c r="CE386" s="1097">
        <f t="shared" si="469"/>
        <v>0</v>
      </c>
      <c r="CF386" s="1112">
        <f t="shared" si="470"/>
        <v>0</v>
      </c>
      <c r="CG386" s="1100">
        <f t="shared" si="471"/>
        <v>0</v>
      </c>
      <c r="CH386" s="1110">
        <f t="shared" si="472"/>
        <v>0</v>
      </c>
      <c r="CI386" s="1113" t="s">
        <v>764</v>
      </c>
      <c r="CJ386" s="1114">
        <v>1</v>
      </c>
      <c r="CK386" s="1115" t="s">
        <v>635</v>
      </c>
      <c r="CL386" s="1115" t="s">
        <v>1944</v>
      </c>
      <c r="CM386" s="1119">
        <v>0.2</v>
      </c>
      <c r="CN386" s="1115"/>
      <c r="CO386" s="1092"/>
      <c r="CP386" s="1116">
        <f t="shared" si="473"/>
        <v>0</v>
      </c>
      <c r="CQ386" s="1116">
        <f t="shared" si="474"/>
        <v>0</v>
      </c>
      <c r="CR386" s="1116">
        <f t="shared" si="475"/>
        <v>0</v>
      </c>
      <c r="CS386" s="1118">
        <f t="shared" si="476"/>
        <v>0</v>
      </c>
      <c r="CT386" s="1109">
        <f t="shared" si="477"/>
        <v>0</v>
      </c>
      <c r="CU386" s="1101">
        <f t="shared" si="478"/>
        <v>0</v>
      </c>
      <c r="CV386" s="1108">
        <f t="shared" si="479"/>
        <v>0</v>
      </c>
      <c r="CW386" s="1097">
        <f t="shared" si="480"/>
        <v>0</v>
      </c>
      <c r="CX386" s="1097">
        <f t="shared" si="481"/>
        <v>0</v>
      </c>
      <c r="CY386" s="1110">
        <f t="shared" si="482"/>
        <v>0</v>
      </c>
      <c r="CZ386" s="437"/>
      <c r="DA386" s="438"/>
      <c r="DB386" s="439" t="s">
        <v>569</v>
      </c>
      <c r="DC386" s="439"/>
      <c r="DD386" s="443"/>
      <c r="DE386" s="411"/>
      <c r="DF386" s="411"/>
      <c r="DG386" s="1116">
        <f t="shared" si="483"/>
        <v>0</v>
      </c>
      <c r="DH386" s="1116">
        <f t="shared" si="484"/>
        <v>0</v>
      </c>
      <c r="DI386" s="1116">
        <f t="shared" si="485"/>
        <v>0</v>
      </c>
      <c r="DJ386" s="442">
        <f t="shared" si="486"/>
        <v>0</v>
      </c>
      <c r="DK386" s="1109">
        <f t="shared" si="487"/>
        <v>0</v>
      </c>
      <c r="DL386" s="1101">
        <f t="shared" si="488"/>
        <v>0</v>
      </c>
      <c r="DM386" s="1097">
        <f t="shared" si="489"/>
        <v>0</v>
      </c>
      <c r="DN386" s="1097">
        <f t="shared" si="490"/>
        <v>0</v>
      </c>
      <c r="DO386" s="1097">
        <f t="shared" si="491"/>
        <v>0</v>
      </c>
      <c r="DP386" s="1110">
        <f t="shared" si="492"/>
        <v>0</v>
      </c>
      <c r="DQ386" s="1113" t="s">
        <v>635</v>
      </c>
      <c r="DR386" s="1120">
        <f t="shared" si="493"/>
        <v>0.3</v>
      </c>
      <c r="DS386" s="1124"/>
      <c r="DT386" s="1093" t="s">
        <v>133</v>
      </c>
      <c r="DU386" s="1124"/>
      <c r="DV386" s="1098">
        <f>IF($P386="","N/A",IF(P386=-1,INDEX('卡片raw data'!AN:AN,MATCH(D386,'卡片raw data'!$F:$F,)),0)+IF(AND(L386&lt;&gt;"party卡",P386&lt;=2,P386&gt;=0),INDEX('卡片raw data'!AP:AP,MATCH(D386,'卡片raw data'!$F:$F,)),0)+IF(OR(AND(L386="party卡",P386&lt;=1),AND(P386&lt;=4,L386&lt;&gt;"party卡",P386&gt;=3)),INDEX('卡片raw data'!AQ:AQ,MATCH(D386,'卡片raw data'!$F:$F,)),0)+IF(OR(P386=5,AND(L386="party卡",P386&gt;=2)),INDEX('卡片raw data'!AR:AR,MATCH(D386,'卡片raw data'!$F:$F,)),0))</f>
        <v>0.28999999999999998</v>
      </c>
      <c r="DW386" s="1098">
        <f t="shared" si="494"/>
        <v>0.3</v>
      </c>
      <c r="DX386" s="1098">
        <f t="shared" si="495"/>
        <v>0.3</v>
      </c>
      <c r="DY386" s="1097">
        <f t="shared" si="496"/>
        <v>355.30466169910392</v>
      </c>
      <c r="DZ386" s="1097">
        <f t="shared" si="497"/>
        <v>307.33853236972487</v>
      </c>
      <c r="EA386" s="1098">
        <f t="shared" si="498"/>
        <v>0</v>
      </c>
      <c r="EB386" s="1121">
        <f t="shared" si="499"/>
        <v>0</v>
      </c>
      <c r="EC386" s="1101">
        <f t="shared" si="500"/>
        <v>0</v>
      </c>
      <c r="ED386" s="1097">
        <f t="shared" si="501"/>
        <v>0</v>
      </c>
      <c r="EE386" s="1110">
        <f t="shared" si="513"/>
        <v>45109.964428337531</v>
      </c>
      <c r="EF386" s="1115" t="s">
        <v>569</v>
      </c>
      <c r="EG386" s="1120">
        <f t="shared" si="503"/>
        <v>0.3</v>
      </c>
      <c r="EH386" s="1124"/>
      <c r="EI386" s="1093"/>
      <c r="EJ386" s="1093"/>
      <c r="EK386" s="1097">
        <f>IF($P386="","N/A",IF(P386=-1,INDEX('卡片raw data'!AS:AS,MATCH(D386,'卡片raw data'!$F:$F,)),0)+IF(AND(L386&lt;&gt;"party卡",P386&lt;=2,P386&gt;=0),INDEX('卡片raw data'!AU:AU,MATCH(D386,'卡片raw data'!$F:$F,)),0)+IF(OR(AND(L386="party卡",P386&lt;=1),AND(P386&lt;=4,L386&lt;&gt;"party卡",P386&gt;=3)),INDEX('卡片raw data'!AV:AV,MATCH(D386,'卡片raw data'!$F:$F,)),0)+IF(OR(P386=5,AND(L386="party卡",P386&gt;=2)),INDEX('卡片raw data'!AW:AW,MATCH(D386,'卡片raw data'!$F:$F,)),0))</f>
        <v>0</v>
      </c>
      <c r="EL386" s="1098">
        <f t="shared" si="504"/>
        <v>0.3</v>
      </c>
      <c r="EM386" s="1098">
        <f t="shared" si="505"/>
        <v>0.3</v>
      </c>
      <c r="EN386" s="1097">
        <f t="shared" si="506"/>
        <v>0</v>
      </c>
      <c r="EO386" s="1097">
        <f t="shared" si="507"/>
        <v>0</v>
      </c>
      <c r="EP386" s="1098">
        <f t="shared" si="508"/>
        <v>0</v>
      </c>
      <c r="EQ386" s="1121">
        <f t="shared" si="509"/>
        <v>0</v>
      </c>
      <c r="ER386" s="1101">
        <f t="shared" si="510"/>
        <v>0</v>
      </c>
      <c r="ES386" s="1097">
        <f t="shared" si="511"/>
        <v>0</v>
      </c>
      <c r="ET386" s="1122">
        <f t="shared" si="514"/>
        <v>0</v>
      </c>
    </row>
    <row r="387" spans="2:150" ht="16.5" customHeight="1">
      <c r="B387" s="1123" t="str">
        <f>INDEX('卡片raw data'!B:B,MATCH($D387,'卡片raw data'!$F:$F,))</f>
        <v>蝴蝶步</v>
      </c>
      <c r="C387" s="449" t="s">
        <v>578</v>
      </c>
      <c r="D387" s="408">
        <v>384</v>
      </c>
      <c r="E387" s="477">
        <v>302013003</v>
      </c>
      <c r="F387" s="1090" t="str">
        <f>INDEX('卡片raw data'!C:C,MATCH($D387,'卡片raw data'!$F:$F,))</f>
        <v>UR</v>
      </c>
      <c r="G387" s="1094" t="s">
        <v>1877</v>
      </c>
      <c r="H387" s="411">
        <f>IFERROR(INDEX(绊状态确认!C:C,MATCH($G387,绊状态确认!$B:$B,)),"")</f>
        <v>201</v>
      </c>
      <c r="I387" s="450" t="str">
        <f>IFERROR(INDEX(绊状态确认!D:D,MATCH($G387,绊状态确认!$B:$B,)),"")</f>
        <v>虹</v>
      </c>
      <c r="J387" s="450" t="str">
        <f>IFERROR(INDEX(绊状态确认!E:E,MATCH($G387,绊状态确认!$B:$B,)),"")</f>
        <v>2年级</v>
      </c>
      <c r="K387" s="451" t="str">
        <f>IFERROR(INDEX(绊状态确认!F:F,MATCH($G387,绊状态确认!$B:$B,)),"")</f>
        <v>A·ZU·NA</v>
      </c>
      <c r="L387" s="1094" t="str">
        <f>INDEX('卡片raw data'!E:E,MATCH($D387,'卡片raw data'!$F:$F,))</f>
        <v>卡池卡</v>
      </c>
      <c r="M387" s="478">
        <v>44210</v>
      </c>
      <c r="N387" s="479">
        <v>31.5</v>
      </c>
      <c r="O387" s="1091" t="str">
        <f>INDEX('卡片raw data'!D:D,MATCH($D387,'卡片raw data'!$F:$F,))</f>
        <v>vo</v>
      </c>
      <c r="P387" s="1126">
        <v>5</v>
      </c>
      <c r="Q387" s="1095">
        <f t="shared" si="428"/>
        <v>67179.161959479374</v>
      </c>
      <c r="R387" s="1096">
        <f t="shared" si="429"/>
        <v>0.78100000000000003</v>
      </c>
      <c r="S387" s="1097">
        <f t="shared" si="430"/>
        <v>21928.566736347104</v>
      </c>
      <c r="T387" s="1098">
        <f t="shared" si="431"/>
        <v>1.0960000000000001</v>
      </c>
      <c r="U387" s="1099">
        <f t="shared" si="432"/>
        <v>-9.7900745100571456</v>
      </c>
      <c r="V387" s="1100">
        <f t="shared" si="433"/>
        <v>67095.907129220344</v>
      </c>
      <c r="W387" s="1101">
        <f t="shared" si="434"/>
        <v>4640.4855933321596</v>
      </c>
      <c r="X387" s="1096">
        <f t="shared" si="435"/>
        <v>5.2999999999999999E-2</v>
      </c>
      <c r="Y387" s="1097">
        <f t="shared" si="436"/>
        <v>1221.4136199826589</v>
      </c>
      <c r="Z387" s="1102">
        <f t="shared" si="437"/>
        <v>15.209925489942854</v>
      </c>
      <c r="AA387" s="1103">
        <f t="shared" si="438"/>
        <v>5861.8992133148186</v>
      </c>
      <c r="AB387" s="1101">
        <f t="shared" si="439"/>
        <v>9899.4939949791587</v>
      </c>
      <c r="AC387" s="1104">
        <f t="shared" si="440"/>
        <v>0.115</v>
      </c>
      <c r="AD387" s="1105">
        <f t="shared" si="441"/>
        <v>0</v>
      </c>
      <c r="AE387" s="1128">
        <f t="shared" si="442"/>
        <v>0</v>
      </c>
      <c r="AF387" s="1130">
        <f t="shared" si="443"/>
        <v>0</v>
      </c>
      <c r="AG387" s="420">
        <f t="shared" si="444"/>
        <v>0</v>
      </c>
      <c r="AH387" s="420">
        <f t="shared" si="445"/>
        <v>0</v>
      </c>
      <c r="AI387" s="1097">
        <f t="shared" si="446"/>
        <v>0</v>
      </c>
      <c r="AJ387" s="420">
        <f t="shared" si="447"/>
        <v>0</v>
      </c>
      <c r="AK387" s="518">
        <f t="shared" si="448"/>
        <v>0</v>
      </c>
      <c r="AL387" s="1106">
        <f>IF($P387="","N/A",(IF($P387=-1,INDEX('卡片raw data'!S:S,MATCH($D387,'卡片raw data'!$F:$F,)),0)+IF($P387=0,INDEX('卡片raw data'!V:V,MATCH($D387,'卡片raw data'!$F:$F,)),0)+IF($P387=1,INDEX('卡片raw data'!Y:Y,MATCH($D387,'卡片raw data'!$F:$F,)),0)+IF($P387=2,INDEX('卡片raw data'!AB:AB,MATCH($D387,'卡片raw data'!$F:$F,)),0)+IF($P387=3,INDEX('卡片raw data'!AE:AE,MATCH($D387,'卡片raw data'!$F:$F,)),0)+IF($P387=4,INDEX('卡片raw data'!AH:AH,MATCH($D387,'卡片raw data'!$F:$F,)),0)+IF($P387=5,INDEX('卡片raw data'!AK:AK,MATCH($D387,'卡片raw data'!$F:$F,)),0)+INDEX('卡片raw data'!S:S,MATCH($D387,'卡片raw data'!$F:$F,))*(IF($F387="UR",0.04,0.033))*(IF($F387="UR",INDEX(绊状态确认!$S:$S,MATCH($G387,绊状态确认!$B:$B,))/2-40)+IF($F387="SR",INDEX(绊状态确认!$R:$R,MATCH($G387,绊状态确认!$B:$B,))/4-15))+IF($F387="R",INDEX(绊状态确认!$Q:$Q,MATCH($G387,绊状态确认!$B:$B,))/6-40/6)))*(INDEX(绊状态确认!$H:$H,MATCH($G387,绊状态确认!$B:$B,))+INDEX(绊状态确认!J:J,MATCH($G387,绊状态确认!$B:$B,)))</f>
        <v>14481.190655999999</v>
      </c>
      <c r="AM387" s="1106">
        <f>IF($P387="","N/A",(IF($P387=-1,INDEX('卡片raw data'!T:T,MATCH($D387,'卡片raw data'!$F:$F,)),0)+IF($P387=0,INDEX('卡片raw data'!W:W,MATCH($D387,'卡片raw data'!$F:$F,)),0)+IF($P387=1,INDEX('卡片raw data'!Z:Z,MATCH($D387,'卡片raw data'!$F:$F,)),0)+IF($P387=2,INDEX('卡片raw data'!AC:AC,MATCH($D387,'卡片raw data'!$F:$F,)),0)+IF($P387=3,INDEX('卡片raw data'!AF:AF,MATCH($D387,'卡片raw data'!$F:$F,)),0)+IF($P387=4,INDEX('卡片raw data'!AI:AI,MATCH($D387,'卡片raw data'!$F:$F,)),0)+IF($P387=5,INDEX('卡片raw data'!AL:AL,MATCH($D387,'卡片raw data'!$F:$F,)),0)+INDEX('卡片raw data'!T:T,MATCH($D387,'卡片raw data'!$F:$F,))*(IF($F387="UR",0.04,0.033))*(IF($F387="UR",INDEX(绊状态确认!$S:$S,MATCH($G387,绊状态确认!$B:$B,))/2-40)+IF($F387="SR",INDEX(绊状态确认!$R:$R,MATCH($G387,绊状态确认!$B:$B,))/4-15))+IF($F387="R",INDEX(绊状态确认!$Q:$Q,MATCH($G387,绊状态确认!$B:$B,))/6-40/6)))*(INDEX(绊状态确认!$H:$H,MATCH($G387,绊状态确认!$B:$B,))+INDEX(绊状态确认!K:K,MATCH($G387,绊状态确认!$B:$B,)))</f>
        <v>8418.9966719999993</v>
      </c>
      <c r="AN387" s="1106">
        <f>IF($P387="","N/A",(IF($P387=-1,INDEX('卡片raw data'!U:U,MATCH($D387,'卡片raw data'!$F:$F,)),0)+IF($P387=0,INDEX('卡片raw data'!X:X,MATCH($D387,'卡片raw data'!$F:$F,)),0)+IF($P387=1,INDEX('卡片raw data'!AA:AA,MATCH($D387,'卡片raw data'!$F:$F,)),0)+IF($P387=2,INDEX('卡片raw data'!AD:AD,MATCH($D387,'卡片raw data'!$F:$F,)),0)+IF($P387=3,INDEX('卡片raw data'!AG:AG,MATCH($D387,'卡片raw data'!$F:$F,)),0)+IF($P387=4,INDEX('卡片raw data'!AJ:AJ,MATCH($D387,'卡片raw data'!$F:$F,)),0)+IF($P387=5,INDEX('卡片raw data'!AM:AM,MATCH($D387,'卡片raw data'!$F:$F,)),0)+INDEX('卡片raw data'!U:U,MATCH($D387,'卡片raw data'!$F:$F,))*(IF($F387="UR",0.04,0.033))*(IF($F387="UR",INDEX(绊状态确认!$S:$S,MATCH($G387,绊状态确认!$B:$B,))/2-40)+IF($F387="SR",INDEX(绊状态确认!$R:$R,MATCH($G387,绊状态确认!$B:$B,))/4-15))+IF($F387="R",INDEX(绊状态确认!$Q:$Q,MATCH($G387,绊状态确认!$B:$B,))/6-40/6)))*(INDEX(绊状态确认!$H:$H,MATCH($G387,绊状态确认!$B:$B,))+INDEX(绊状态确认!L:L,MATCH($G387,绊状态确认!$B:$B,)))</f>
        <v>10778.072159999998</v>
      </c>
      <c r="AO387" s="1107">
        <f t="shared" si="449"/>
        <v>1</v>
      </c>
      <c r="AP387" s="1131">
        <f>1+(INDEX(绊状态确认!$T:$T,MATCH($G387,绊状态确认!$B:$B,))+0.2)*$AO387</f>
        <v>1.3</v>
      </c>
      <c r="AQ387" s="1108">
        <f t="shared" si="450"/>
        <v>41263.125471999992</v>
      </c>
      <c r="AR387" s="1097">
        <f>(AM387*(1+$EX$9)+$EX$35)*(1+(INDEX(绊状态确认!$T:$T,MATCH($G387,绊状态确认!$B:$B,))+0.2)*AO387)*IF(J387=$FF$17,1+$FE$17,1)*IF(I387=$FF$14,1+$FE$14,1)</f>
        <v>14195.930457279999</v>
      </c>
      <c r="AS387" s="1097">
        <f>(AN387*(1+$EX$10)+$EX$36)*(1+(INDEX(绊状态确认!$T:$T,MATCH($G387,绊状态确认!$B:$B,))+0.2)*AO387)*IF(J387=$FF$17,1+$FE$17,1)*IF(I387=$FF$14,1+$FE$14,1)</f>
        <v>20169.217879199994</v>
      </c>
      <c r="AT387" s="1093">
        <f>IF(AND(INDEX('卡片raw data'!AK:AK,MATCH($D387,'卡片raw data'!$F:$F,))&lt;INDEX('卡片raw data'!AM:AM,MATCH($D387,'卡片raw data'!$F:$F,)),INDEX('卡片raw data'!AL:AL,MATCH($D387,'卡片raw data'!$F:$F,))&lt;INDEX('卡片raw data'!AM:AM,MATCH($D387,'卡片raw data'!$F:$F,))),1,0)</f>
        <v>0</v>
      </c>
      <c r="AU387" s="1098">
        <f>MIN(AT387*0.15+AS387*0.00003+INDEX(绊状态确认!M:M,MATCH($G387,绊状态确认!$B:$B,)),1)</f>
        <v>0.63507653637599981</v>
      </c>
      <c r="AV387" s="1109">
        <f>(INDEX(绊状态确认!$N:$N,MATCH($G387,绊状态确认!$B:$B,))+1.5)*$EW$21</f>
        <v>2.6599999999999997</v>
      </c>
      <c r="AW387" s="1101">
        <f t="shared" si="451"/>
        <v>44021.813353913822</v>
      </c>
      <c r="AX387" s="1097">
        <f t="shared" si="452"/>
        <v>1221.4136199826592</v>
      </c>
      <c r="AY387" s="1110">
        <f t="shared" si="453"/>
        <v>45243.226973896482</v>
      </c>
      <c r="AZ387" s="429">
        <f t="shared" si="454"/>
        <v>30838.321779199996</v>
      </c>
      <c r="BA387" s="431">
        <f t="shared" si="455"/>
        <v>37005.986135039995</v>
      </c>
      <c r="BB387" s="1097">
        <f>(AM387*(1+$FB$9)+$FB$35)*(1+(INDEX(绊状态确认!$T:$T,MATCH($G387,绊状态确认!$B:$B,))+0.2)*AO387)*IF(J387=$FF$17,1+$FE$17,1)*IF(I387=$FF$14,1+$FE$14,1)*(1+$FE$15)</f>
        <v>14195.930457279999</v>
      </c>
      <c r="BC387" s="1097">
        <f>(AN387*(1+$FB$10)+$FB$36)*(1+(INDEX(绊状态确认!$T:$T,MATCH($G387,绊状态确认!$B:$B,))+0.2)*AO387)*IF(J387=$FF$17,1+$FE$17,1)*IF(I387=$FF$14,1+$FE$14,1)*(1+$FE$15)</f>
        <v>20169.217879199994</v>
      </c>
      <c r="BD387" s="1104">
        <f>MIN(AT387*0.15+BC387*0.00003+INDEX(绊状态确认!M:M,MATCH($G387,绊状态确认!$B:$B,)),1)</f>
        <v>0.63507653637599981</v>
      </c>
      <c r="BE387" s="432">
        <f>(INDEX(绊状态确认!$N:$N,MATCH($G387,绊状态确认!$B:$B,))+1.5)</f>
        <v>1.9</v>
      </c>
      <c r="BF387" s="1139">
        <f t="array" ref="BF387">SUMPRODUCT(IF(AZ387*AP387*$FI$16:$FI$23*$FA$22&gt;=$FI$24,$FI$24,AZ387*AP387*$FI$16:$FI$23*$FA$22),$FJ$16:$FJ$23)</f>
        <v>57247.603705868794</v>
      </c>
      <c r="BG387" s="1125">
        <f t="array" ref="BG387">SUMPRODUCT(IF(BE387*AZ387*AP387*$FI$16:$FI$23*$FA$22&gt;=$FI$24,$FI$24,BE387*AZ387*AP387*$FI$16:$FI$23*$FA$22),$FJ$16:$FJ$23)</f>
        <v>60000</v>
      </c>
      <c r="BH387" s="1110">
        <f t="shared" si="456"/>
        <v>19665.195337026595</v>
      </c>
      <c r="BI387" s="1111">
        <f>IF(O387="vo",$EW$26/$EW$24*0.05,0)+IF(O387="sk",-$EW$26/$EW$24*(0.05-INDEX(绊状态确认!W:W,MATCH($G387,绊状态确认!$B:$B,)))+0.05*$EW$28,0)+IF(O387="sp",0.05*$EW$32*$EW$30*(1-$EW$33)-(0.05-INDEX(绊状态确认!V:V,MATCH($G387,绊状态确认!$B:$B,)))*$EW$28,0)+IF(O387="gd",-(0.05-INDEX(绊状态确认!X:X,MATCH($G387,绊状态确认!$B:$B,)))*$EW$32*$EW$30*(1-$EW$33),0)</f>
        <v>7726.3029277443748</v>
      </c>
      <c r="BJ387" s="1097">
        <f>IF(O387="vo",0.05*(1-$FI$26)*$FA$24,0)+IF(O387="sk",-(0.05-INDEX(绊状态确认!W:W,MATCH($G387,绊状态确认!$B:$B,)))*(1-$FI$26)*$FA$24+0.05*$FA$26,0)+IF(O387="sp",0.05*$FA$32*$FA$27*(1-$FA$33)/$FA$30+0.05*$FA$29/$FA$69*$FA$27*(1-$FA$33)-(0.05-INDEX(绊状态确认!V:V,MATCH($G387,绊状态确认!$B:$B,)))*$FA$26,0)+IF(O387="gd",-(0.05-INDEX(绊状态确认!X:X,MATCH($G387,绊状态确认!$B:$B,)))*$FA$32*$FA$27*(1-$FA$33)/$FA$30-(0.05-INDEX(绊状态确认!X:X,MATCH($G387,绊状态确认!$B:$B,)))*$FA$29/$FA$69*$FA$27*(1-$FA$33),0)</f>
        <v>393.93433687500004</v>
      </c>
      <c r="BK387" s="1110">
        <f>IF(O387="vo",$EW$26/$EW$24*0.05+$EW$26*(-HP($EW$62,$EW$65,$EW$64)+HP($EW$62,$EW$65,(1.05-INDEX(绊状态确认!U:U,MATCH($G387,绊状态确认!$B:$B,)))*$EW$64)),0)+IF(O387="sk",-$EW$26/$EW$24*(0.05-INDEX(绊状态确认!W:W,MATCH($G387,绊状态确认!$B:$B,)))+0.05*$EW$29,0)+IF(O387="sp",0.05*$EW$32*$EW$30*(1-$EW$33)-(0.05-INDEX(绊状态确认!V:V,MATCH($G387,绊状态确认!$B:$B,)))*$EW$29,0)+IF(O387="gd",-(0.05-INDEX(绊状态确认!X:X,MATCH($G387,绊状态确认!$B:$B,)))*$EW$32*$EW$30*(1-$EW$33)+$EW$26*(-HP($EW$62,$EW$65,$EW$64)+HP($EW$62,$EW$65,0.95*$EW$64)),0)</f>
        <v>6421.6344775026746</v>
      </c>
      <c r="BL387" s="1111">
        <f t="shared" si="457"/>
        <v>0</v>
      </c>
      <c r="BM387" s="1110">
        <f t="shared" si="458"/>
        <v>0</v>
      </c>
      <c r="BN387" s="1113">
        <f t="shared" si="459"/>
        <v>3</v>
      </c>
      <c r="BO387" s="1108">
        <f t="shared" si="460"/>
        <v>4507.7214871259994</v>
      </c>
      <c r="BP387" s="1100">
        <f t="shared" si="461"/>
        <v>221.34103209030098</v>
      </c>
      <c r="BQ387" s="1113" t="s">
        <v>132</v>
      </c>
      <c r="BR387" s="1124" t="s">
        <v>168</v>
      </c>
      <c r="BS387" s="1098">
        <f>IF($P387="","N/A",IF($P387=-1,INDEX('卡片raw data'!AX:AX,MATCH($D387,'卡片raw data'!$F:$F,)),0)+IF($L387="party卡",IF($P387=5,INDEX('卡片raw data'!BD:BD,MATCH($D387,'卡片raw data'!$F:$F,)),IF($P387&gt;=3,INDEX('卡片raw data'!BC:BC,MATCH($D387,'卡片raw data'!$F:$F,)),INDEX('卡片raw data'!BB:BB,MATCH($D387,'卡片raw data'!$F:$F,)))),IF(OR(AND($F387="UR",$P387=0),AND($F387="SR",$P387&gt;=0,$P387&lt;=2),AND($F387="R",$P387&gt;=0,$P387&lt;4)),INDEX('卡片raw data'!AZ:AZ,MATCH($D387,'卡片raw data'!$F:$F,)),0)+IF(OR(AND($F387="UR",$P387&gt;=1,$P387&lt;=4),AND($F387="SR",$P387&lt;=4,$P387&gt;=3),AND($F387="R",$P387=4)),INDEX('卡片raw data'!BA:BA,MATCH($D387,'卡片raw data'!$F:$F,)),0)+IF($P387=5,INDEX('卡片raw data'!BB:BB,MATCH($D387,'卡片raw data'!$F:$F,)),0)))</f>
        <v>7.0000000000000007E-2</v>
      </c>
      <c r="BT387" s="1101">
        <f t="shared" si="462"/>
        <v>5259.008401647</v>
      </c>
      <c r="BU387" s="1097">
        <f t="shared" si="463"/>
        <v>258.2312041053512</v>
      </c>
      <c r="BV387" s="1097">
        <f t="shared" si="464"/>
        <v>0</v>
      </c>
      <c r="BW387" s="1112">
        <f t="shared" si="465"/>
        <v>0</v>
      </c>
      <c r="BX387" s="1100">
        <f t="shared" si="466"/>
        <v>5259.008401647</v>
      </c>
      <c r="BY387" s="1110">
        <f t="shared" si="467"/>
        <v>0</v>
      </c>
      <c r="BZ387" s="1113" t="s">
        <v>569</v>
      </c>
      <c r="CA387" s="1124"/>
      <c r="CB387" s="1098">
        <f>IF($P387="","N/A",IF($P387=-1,INDEX('卡片raw data'!BE:BE,MATCH($D387,'卡片raw data'!$F:$F,)),0)+IF($L387="party卡",IF($P387=5,INDEX('卡片raw data'!BK:BK,MATCH($D387,'卡片raw data'!$F:$F,)),IF($P387&gt;=3,INDEX('卡片raw data'!BJ:BJ,MATCH($D387,'卡片raw data'!$F:$F,)),INDEX('卡片raw data'!BI:BI,MATCH($D387,'卡片raw data'!$F:$F,)))),IF(OR(AND($F387="UR",$P387=0),AND($F387="SR",$P387&gt;=0,$P387&lt;=2),AND($F387="R",$P387&gt;=0,$P387&lt;4)),INDEX('卡片raw data'!BG:BG,MATCH($D387,'卡片raw data'!$F:$F,)),0)+IF(OR(AND($F387="UR",$P387&gt;=1,$P387&lt;=4),AND($F387="SR",$P387&lt;=4,$P387&gt;=3),AND($F387="R",$P387=4)),INDEX('卡片raw data'!BH:BH,MATCH($D387,'卡片raw data'!$F:$F,)),0)+IF($P387=5,INDEX('卡片raw data'!BI:BI,MATCH($D387,'卡片raw data'!$F:$F,)),0)))</f>
        <v>0</v>
      </c>
      <c r="CC387" s="1101">
        <f t="shared" si="468"/>
        <v>0</v>
      </c>
      <c r="CD387" s="1097">
        <f>IF(BZ387="ap",CB387*(1-$FI$26)*$FB$5/$FB$11*(+IF(CA387="全员",$FA$24,0)+IF(CA387="同作战",$FA$24,0)+IF(CA387="仲间",$FA$24*2/3,0)+IF(CA387="同属性",$FA$24*$FA$37/3,0)+IF(CA387="同年级",$FA$24*$FA$40/3,0)+IF(CA387="同学校",$FA$24*$FA$43/3,0)+IF(CA387="同小队",$FA$24*$FA$46/3,0)+IF(CA387="同type",$FA$24*INDEX($FB$49:$FB$52,MATCH(X387,$FA$49:$FA$52,))/3,0)+IF(CA387="自身",#REF!/3,0)),0)+IF(BZ387="te",CB387*(1-$FI$27)*($FA$20-1)*$FB$7/$FB$13*(+IF(CA387="全员",$FA$19*$FA$24/(1+($FA$20-1)*$FA$19),0)+IF(CA387="同作战",$FA$19*$FA$24/(1+($FA$20-1)*$FA$19),0)+IF(CA387="仲间",$FA$19*$FA$24*2/3/(1+($FA$20-1)*$FA$19),0)+IF(CA387="同属性",$FA$19*$FA$24*$FA$37/3/(1+($FA$20-1)*$FA$19),0)+IF(CA387="同年级",$FA$19*$FA$24*$FA$40/3/(1+($FA$20-1)*$FA$19),0)+IF(CA387="同学校",$FA$19*$FA$24*$FA$43/3/(1+($FA$20-1)*$FA$19),0)+IF(CA387="同小队",$FA$19*$FA$24*$FA$46/3/(1+($FA$20-1)*$FA$19),0)+IF(CA387="同type",$FA$19*$FA$24*INDEX($FB$49:$FB$52,MATCH(X387,$FA$49:$FA$52,))/3/(1+($FA$20-1)*$FA$19),0)+IF(CA387="自身",$FA$19*#REF!/3/(1+(BH387-1)*$BD387),0)),0)</f>
        <v>0</v>
      </c>
      <c r="CE387" s="1097">
        <f t="shared" si="469"/>
        <v>0</v>
      </c>
      <c r="CF387" s="1112">
        <f t="shared" si="470"/>
        <v>0</v>
      </c>
      <c r="CG387" s="1100">
        <f t="shared" si="471"/>
        <v>0</v>
      </c>
      <c r="CH387" s="1110">
        <f t="shared" si="472"/>
        <v>0</v>
      </c>
      <c r="CI387" s="1113" t="s">
        <v>164</v>
      </c>
      <c r="CJ387" s="1114">
        <v>1</v>
      </c>
      <c r="CK387" s="1115" t="s">
        <v>545</v>
      </c>
      <c r="CL387" s="1115" t="s">
        <v>1940</v>
      </c>
      <c r="CM387" s="1119">
        <v>0.105</v>
      </c>
      <c r="CN387" s="1115"/>
      <c r="CO387" s="1115"/>
      <c r="CP387" s="1116">
        <f t="shared" si="473"/>
        <v>120.69464200559999</v>
      </c>
      <c r="CQ387" s="1116">
        <f t="shared" si="474"/>
        <v>168.37723691443199</v>
      </c>
      <c r="CR387" s="1117">
        <f t="shared" si="475"/>
        <v>120.69464200559999</v>
      </c>
      <c r="CS387" s="1118">
        <f t="shared" si="476"/>
        <v>0</v>
      </c>
      <c r="CT387" s="1109">
        <f t="shared" si="477"/>
        <v>0</v>
      </c>
      <c r="CU387" s="1101">
        <f t="shared" si="478"/>
        <v>132.76410620615999</v>
      </c>
      <c r="CV387" s="1108">
        <f t="shared" si="479"/>
        <v>168.37723691443199</v>
      </c>
      <c r="CW387" s="1097">
        <f t="shared" si="480"/>
        <v>132.76410620615999</v>
      </c>
      <c r="CX387" s="1097">
        <f t="shared" si="481"/>
        <v>132.76410620615999</v>
      </c>
      <c r="CY387" s="1110">
        <f t="shared" si="482"/>
        <v>132.76410620615999</v>
      </c>
      <c r="CZ387" s="437"/>
      <c r="DA387" s="438"/>
      <c r="DB387" s="439" t="s">
        <v>569</v>
      </c>
      <c r="DC387" s="439"/>
      <c r="DD387" s="443"/>
      <c r="DE387" s="411"/>
      <c r="DF387" s="411"/>
      <c r="DG387" s="1116">
        <f t="shared" si="483"/>
        <v>0</v>
      </c>
      <c r="DH387" s="1116">
        <f t="shared" si="484"/>
        <v>0</v>
      </c>
      <c r="DI387" s="1116">
        <f t="shared" si="485"/>
        <v>0</v>
      </c>
      <c r="DJ387" s="442">
        <f t="shared" si="486"/>
        <v>0</v>
      </c>
      <c r="DK387" s="1109">
        <f t="shared" si="487"/>
        <v>0</v>
      </c>
      <c r="DL387" s="1101">
        <f t="shared" si="488"/>
        <v>0</v>
      </c>
      <c r="DM387" s="1097">
        <f t="shared" si="489"/>
        <v>0</v>
      </c>
      <c r="DN387" s="1097">
        <f t="shared" si="490"/>
        <v>0</v>
      </c>
      <c r="DO387" s="1097">
        <f t="shared" si="491"/>
        <v>0</v>
      </c>
      <c r="DP387" s="1110">
        <f t="shared" si="492"/>
        <v>0</v>
      </c>
      <c r="DQ387" s="1113" t="s">
        <v>545</v>
      </c>
      <c r="DR387" s="1120">
        <f t="shared" si="493"/>
        <v>0.33</v>
      </c>
      <c r="DS387" s="1124"/>
      <c r="DT387" s="1093" t="s">
        <v>132</v>
      </c>
      <c r="DU387" s="1093"/>
      <c r="DV387" s="1098">
        <f>IF($P387="","N/A",IF(P387=-1,INDEX('卡片raw data'!AN:AN,MATCH(D387,'卡片raw data'!$F:$F,)),0)+IF(AND(L387&lt;&gt;"party卡",P387&lt;=2,P387&gt;=0),INDEX('卡片raw data'!AP:AP,MATCH(D387,'卡片raw data'!$F:$F,)),0)+IF(OR(AND(L387="party卡",P387&lt;=1),AND(P387&lt;=4,L387&lt;&gt;"party卡",P387&gt;=3)),INDEX('卡片raw data'!AQ:AQ,MATCH(D387,'卡片raw data'!$F:$F,)),0)+IF(OR(P387=5,AND(L387="party卡",P387&gt;=2)),INDEX('卡片raw data'!AR:AR,MATCH(D387,'卡片raw data'!$F:$F,)),0))</f>
        <v>0.23</v>
      </c>
      <c r="DW387" s="1098">
        <f t="shared" si="494"/>
        <v>0.33</v>
      </c>
      <c r="DX387" s="1098">
        <f t="shared" si="495"/>
        <v>0.33</v>
      </c>
      <c r="DY387" s="1125">
        <f t="shared" si="496"/>
        <v>1357.1441967740798</v>
      </c>
      <c r="DZ387" s="1125">
        <f t="shared" si="497"/>
        <v>1052.8147546439675</v>
      </c>
      <c r="EA387" s="1098">
        <f t="shared" si="498"/>
        <v>0</v>
      </c>
      <c r="EB387" s="1121">
        <f t="shared" si="499"/>
        <v>0</v>
      </c>
      <c r="EC387" s="1101">
        <f t="shared" si="500"/>
        <v>1492.8586164514879</v>
      </c>
      <c r="ED387" s="1097">
        <f t="shared" si="501"/>
        <v>1052.8147546439675</v>
      </c>
      <c r="EE387" s="1110">
        <f t="shared" si="513"/>
        <v>1492.8586164514879</v>
      </c>
      <c r="EF387" s="1115" t="s">
        <v>167</v>
      </c>
      <c r="EG387" s="1120">
        <f t="shared" si="503"/>
        <v>0.33</v>
      </c>
      <c r="EH387" s="1124">
        <v>5</v>
      </c>
      <c r="EI387" s="1093" t="s">
        <v>168</v>
      </c>
      <c r="EJ387" s="1093" t="s">
        <v>544</v>
      </c>
      <c r="EK387" s="1098">
        <f>IF($P387="","N/A",IF(P387=-1,INDEX('卡片raw data'!AS:AS,MATCH(D387,'卡片raw data'!$F:$F,)),0)+IF(AND(L387&lt;&gt;"party卡",P387&lt;=2,P387&gt;=0),INDEX('卡片raw data'!AU:AU,MATCH(D387,'卡片raw data'!$F:$F,)),0)+IF(OR(AND(L387="party卡",P387&lt;=1),AND(P387&lt;=4,L387&lt;&gt;"party卡",P387&gt;=3)),INDEX('卡片raw data'!AV:AV,MATCH(D387,'卡片raw data'!$F:$F,)),0)+IF(OR(P387=5,AND(L387="party卡",P387&gt;=2)),INDEX('卡片raw data'!AW:AW,MATCH(D387,'卡片raw data'!$F:$F,)),0))</f>
        <v>5.3999999999999999E-2</v>
      </c>
      <c r="EL387" s="1098">
        <f t="shared" si="504"/>
        <v>0.33</v>
      </c>
      <c r="EM387" s="1098">
        <f t="shared" si="505"/>
        <v>0.33</v>
      </c>
      <c r="EN387" s="1098">
        <f t="shared" si="506"/>
        <v>2.9700000000000001E-2</v>
      </c>
      <c r="EO387" s="1098">
        <f t="shared" si="507"/>
        <v>2.5690500000000002E-2</v>
      </c>
      <c r="EP387" s="1098">
        <f t="shared" si="508"/>
        <v>0</v>
      </c>
      <c r="EQ387" s="1121">
        <f t="shared" si="509"/>
        <v>0</v>
      </c>
      <c r="ER387" s="1101">
        <f t="shared" si="510"/>
        <v>4038.69306639054</v>
      </c>
      <c r="ES387" s="1097">
        <f t="shared" si="511"/>
        <v>168.67283469145315</v>
      </c>
      <c r="ET387" s="1122">
        <f t="shared" si="514"/>
        <v>4038.69306639054</v>
      </c>
    </row>
    <row r="388" spans="2:150" ht="16.5" customHeight="1">
      <c r="B388" s="1123" t="str">
        <f>INDEX('卡片raw data'!B:B,MATCH($D388,'卡片raw data'!$F:$F,))</f>
        <v>mw黛</v>
      </c>
      <c r="C388" s="449" t="s">
        <v>1881</v>
      </c>
      <c r="D388" s="408">
        <v>385</v>
      </c>
      <c r="E388" s="477">
        <v>301042004</v>
      </c>
      <c r="F388" s="1090" t="str">
        <f>INDEX('卡片raw data'!C:C,MATCH($D388,'卡片raw data'!$F:$F,))</f>
        <v>SR</v>
      </c>
      <c r="G388" s="1094" t="s">
        <v>1882</v>
      </c>
      <c r="H388" s="411">
        <f>IFERROR(INDEX(绊状态确认!C:C,MATCH($G388,绊状态确认!$B:$B,)),"")</f>
        <v>104</v>
      </c>
      <c r="I388" s="450" t="str">
        <f>IFERROR(INDEX(绊状态确认!D:D,MATCH($G388,绊状态确认!$B:$B,)),"")</f>
        <v>水</v>
      </c>
      <c r="J388" s="450" t="str">
        <f>IFERROR(INDEX(绊状态确认!E:E,MATCH($G388,绊状态确认!$B:$B,)),"")</f>
        <v>3年级</v>
      </c>
      <c r="K388" s="451" t="str">
        <f>IFERROR(INDEX(绊状态确认!F:F,MATCH($G388,绊状态确认!$B:$B,)),"")</f>
        <v>AZALEA</v>
      </c>
      <c r="L388" s="1094" t="str">
        <f>INDEX('卡片raw data'!E:E,MATCH($D388,'卡片raw data'!$F:$F,))</f>
        <v>卡池卡</v>
      </c>
      <c r="M388" s="478">
        <v>44210</v>
      </c>
      <c r="N388" s="479">
        <v>31.5</v>
      </c>
      <c r="O388" s="1091" t="str">
        <f>INDEX('卡片raw data'!D:D,MATCH($D388,'卡片raw data'!$F:$F,))</f>
        <v>sp</v>
      </c>
      <c r="P388" s="1126">
        <v>5</v>
      </c>
      <c r="Q388" s="1095">
        <f t="shared" ref="Q388:Q451" si="515">IF($P388="",0,AW388+BI388+BO388+BT388+CU388+EC388+ER388+CC388+DL388+BL388)</f>
        <v>29340.220482425244</v>
      </c>
      <c r="R388" s="1096">
        <f t="shared" ref="R388:R451" si="516">_xlfn.FLOOR.MATH(IF($P388="","N/A",Q388/$EW$81)*1000)/1000</f>
        <v>0.34100000000000003</v>
      </c>
      <c r="S388" s="1097">
        <f t="shared" ref="S388:S451" si="517">IF($P388="",0,BH388+BJ388+BP388+BU388+CV388+ED388+ES388+CD388+DM388+BM388)</f>
        <v>17054.866116298028</v>
      </c>
      <c r="T388" s="1098">
        <f t="shared" ref="T388:T451" si="518">_xlfn.FLOOR.MATH(IF($P388="","N/A",S388/($FI$24/3))*1000)/1000</f>
        <v>0.85199999999999998</v>
      </c>
      <c r="U388" s="1099">
        <f t="shared" ref="U388:U451" si="519">$EW$64*(IF(O388="vo",-0.05)+IF(O388="gd",0.05))+CP388*(IF(CK388="减伤",$EW$64*(1-$EW$75))+IF(OR(CK388="加盾",AND(CK388="回血",OR(CI388&lt;&gt;"切队",CO388=""))),1))+DG388*(IF(DB388="减伤",$EW$64*(1-$EW$75))+IF(OR(DB388="加盾",AND(DB388="回血",OR(CZ388&lt;&gt;"切队",DF388=""))),1))+AR388*$EW$78/$EW$65+BW388+CF388+DY388*(1+IF(O388="sk",0.05)+IF(O388="sp",-0.05))*(IF(DQ388="减伤",$EW$64*(1-$EW$75))+IF(OR(DQ388="回血",DQ388="加盾"),1))+EN388*(1+IF(O388="sk",0.05)+IF(O388="sp",-0.05))*(IF(EF388="减伤",$EW$64*(1-$EW$75))+IF(OR(EF388="回血",EF388="加盾"),1))</f>
        <v>13.045708566762855</v>
      </c>
      <c r="V388" s="1100">
        <f t="shared" ref="V388:V451" si="520">IF($P388="",0,AY388+BK388+BO388+BX388+CX388+EE388+ET388+CG388+DO388+BL388)</f>
        <v>28583.183397652738</v>
      </c>
      <c r="W388" s="1101">
        <f t="shared" ref="W388:W451" si="521">IF($P388="",0,BO388+BV388+CW388+CE388+DN388)</f>
        <v>5299.4878327284396</v>
      </c>
      <c r="X388" s="1096">
        <f t="shared" ref="X388:X451" si="522">_xlfn.FLOOR.MATH(IF($P388="","N/A",W388/$EW$81)*1000)/1000</f>
        <v>6.0999999999999999E-2</v>
      </c>
      <c r="Y388" s="1097">
        <f t="shared" ref="Y388:Y451" si="523">IF($P388="",0,AA388-W388)</f>
        <v>1042.9629152274938</v>
      </c>
      <c r="Z388" s="1102">
        <f t="shared" ref="Z388:Z451" si="524">CP388*IF(OR(CI388="ap时",CI388="ct时"),0,1)*(IF(CK388="减伤",$EW$64*(1-$EW$75))+IF(OR(CK388="加盾",AND(CK388="回血",OR(CI388&lt;&gt;"切队",CO388=""))),1))+DG388*IF(OR(CZ388="ap时",CZ388="ct时"),0,1)*(IF(DB388="减伤",$EW$64*(1-$EW$75))+IF(OR(DB388="加盾",AND(DB388="回血",OR(CZ388&lt;&gt;"切队",DF388=""))),1))+AR388*$EW$78/$EW$65+BW388+CF388</f>
        <v>13.045708566762855</v>
      </c>
      <c r="AA388" s="1103">
        <f t="shared" ref="AA388:AA451" si="525">IF($P388="",0,BO388+BY388+CY388+AX388+CH388+DP388)</f>
        <v>6342.4507479559334</v>
      </c>
      <c r="AB388" s="1101">
        <f t="shared" ref="AB388:AB451" si="526">IF($P388="",0,BT388+CU388+BO388+CC388+DL388)</f>
        <v>6091.2541783308807</v>
      </c>
      <c r="AC388" s="1104">
        <f t="shared" ref="AC388:AC451" si="527">_xlfn.FLOOR.MATH(IF($P388="","N/A",AB388/$EW$81)*1000)/1000</f>
        <v>7.0000000000000007E-2</v>
      </c>
      <c r="AD388" s="1105">
        <f t="shared" ref="AD388:AD451" si="528">CS388+DJ388+EA388+EP388+IF(O388="sp",-0.05*FM$14*FM$15/2)+IF(O388="sk",0.05*FM$14*FM$15/2)+IF(O388="sk",FM$11^2/(3-FM$11)*FM$12)-IF(O388="sk",FM$10,FM$9)*IF(O388="sk",FM$18,FM$17)*($FM$14-DR388)</f>
        <v>-1.9908281250000003E-2</v>
      </c>
      <c r="AE388" s="1128">
        <f t="shared" ref="AE388:AE451" si="529">AD388/FM$18*FM$29+CT388+DK388+EB388+EQ388+IF(O388="sp",0.05*$FM$9*3*FM$26)-IF(O388="gd",0.05*$FM$9*3*FM$26)+IF(O388="sp",300*1/3*$FM$11/2)+IF(O388="sk",FM$11^2/(3-FM$11)*FM$13)+IF(F388="R",-100*IF(O388="sk",FM$10,FM$9))+IF(F388="SR",-50*IF(O388="sk",FM$10,FM$9))</f>
        <v>42.457459057971015</v>
      </c>
      <c r="AF388" s="1130">
        <f t="shared" ref="AF388:AF451" si="530">IF(OR(DQ388="回血",DQ388="加盾"),EN388/EL388*3*2*IF(EG388=0.11,$EW$71,$EW$70)+DY388/DW388*3*2*IF(DR388=0.11,$EW$71,$EW$70)+IF(O388="gd",AR388*0.05)+IF(OR(CK388="回血",CK388="加盾"),-(CR388-CP388)*6)+IF(AND(CI388="切队",CO388=""),CP388/$EW$79*$EW$65*2),0)</f>
        <v>0</v>
      </c>
      <c r="AG388" s="420">
        <f t="shared" ref="AG388:AG451" si="531">IF(OR(DQ388="回血",DQ388="加盾"),MAX($EW$64*$EW$65*IF(CK388="减伤",(1-IF(CI388="切队",IF(CO388&lt;&gt;"",MAX(CO388/$EW$79,1),0),1)*CR388),1)-$EW$62*0.3+$EX$17-AR388-(BW388+CF388)/$EW$78*$EW$65-IF(OR(CK388="回血",CK388="加盾"),IF(CI388="切队",IF(CO388&lt;&gt;"",MAX(CO388/$EW$79,1),0),1)*CR388*$EW$65),0),0)</f>
        <v>0</v>
      </c>
      <c r="AH388" s="420">
        <f t="shared" ref="AH388:AH451" si="532">IFERROR(AG388/AF388,0)</f>
        <v>0</v>
      </c>
      <c r="AI388" s="1097">
        <f t="shared" ref="AI388:AI451" si="533">IF(OR(DQ388="回血",DQ388="加盾"),$EW$26*(1-$EW$66)/$EW$66-AH388*(($EW$26*IF(O388="sk",14/3-8/3*$EW$68,5-3*$EW$68)-2*3*Q388*$EW$69)/$EW$66)/$EW$65+($EW$26/3+$EW$26/$EW$24*0.05+$EW$61*4*$EW$26*$EX$5/$EX$11+$EW$28)-($EW$72-W388),0)</f>
        <v>0</v>
      </c>
      <c r="AJ388" s="420">
        <f t="shared" ref="AJ388:AJ451" si="534">IF(OR(DQ388="回血",DQ388="加盾"),V388,0)</f>
        <v>0</v>
      </c>
      <c r="AK388" s="518">
        <f t="shared" ref="AK388:AK451" si="535">IFERROR(AI388-AJ388,"")</f>
        <v>0</v>
      </c>
      <c r="AL388" s="1106">
        <f>IF($P388="","N/A",(IF($P388=-1,INDEX('卡片raw data'!S:S,MATCH($D388,'卡片raw data'!$F:$F,)),0)+IF($P388=0,INDEX('卡片raw data'!V:V,MATCH($D388,'卡片raw data'!$F:$F,)),0)+IF($P388=1,INDEX('卡片raw data'!Y:Y,MATCH($D388,'卡片raw data'!$F:$F,)),0)+IF($P388=2,INDEX('卡片raw data'!AB:AB,MATCH($D388,'卡片raw data'!$F:$F,)),0)+IF($P388=3,INDEX('卡片raw data'!AE:AE,MATCH($D388,'卡片raw data'!$F:$F,)),0)+IF($P388=4,INDEX('卡片raw data'!AH:AH,MATCH($D388,'卡片raw data'!$F:$F,)),0)+IF($P388=5,INDEX('卡片raw data'!AK:AK,MATCH($D388,'卡片raw data'!$F:$F,)),0)+INDEX('卡片raw data'!S:S,MATCH($D388,'卡片raw data'!$F:$F,))*(IF($F388="UR",0.04,0.033))*(IF($F388="UR",INDEX(绊状态确认!$S:$S,MATCH($G388,绊状态确认!$B:$B,))/2-40)+IF($F388="SR",INDEX(绊状态确认!$R:$R,MATCH($G388,绊状态确认!$B:$B,))/4-15))+IF($F388="R",INDEX(绊状态确认!$Q:$Q,MATCH($G388,绊状态确认!$B:$B,))/6-40/6)))*(INDEX(绊状态确认!$H:$H,MATCH($G388,绊状态确认!$B:$B,))+INDEX(绊状态确认!J:J,MATCH($G388,绊状态确认!$B:$B,)))</f>
        <v>7779.0557399999998</v>
      </c>
      <c r="AM388" s="1106">
        <f>IF($P388="","N/A",(IF($P388=-1,INDEX('卡片raw data'!T:T,MATCH($D388,'卡片raw data'!$F:$F,)),0)+IF($P388=0,INDEX('卡片raw data'!W:W,MATCH($D388,'卡片raw data'!$F:$F,)),0)+IF($P388=1,INDEX('卡片raw data'!Z:Z,MATCH($D388,'卡片raw data'!$F:$F,)),0)+IF($P388=2,INDEX('卡片raw data'!AC:AC,MATCH($D388,'卡片raw data'!$F:$F,)),0)+IF($P388=3,INDEX('卡片raw data'!AF:AF,MATCH($D388,'卡片raw data'!$F:$F,)),0)+IF($P388=4,INDEX('卡片raw data'!AI:AI,MATCH($D388,'卡片raw data'!$F:$F,)),0)+IF($P388=5,INDEX('卡片raw data'!AL:AL,MATCH($D388,'卡片raw data'!$F:$F,)),0)+INDEX('卡片raw data'!T:T,MATCH($D388,'卡片raw data'!$F:$F,))*(IF($F388="UR",0.04,0.033))*(IF($F388="UR",INDEX(绊状态确认!$S:$S,MATCH($G388,绊状态确认!$B:$B,))/2-40)+IF($F388="SR",INDEX(绊状态确认!$R:$R,MATCH($G388,绊状态确认!$B:$B,))/4-15))+IF($F388="R",INDEX(绊状态确认!$Q:$Q,MATCH($G388,绊状态确认!$B:$B,))/6-40/6)))*(INDEX(绊状态确认!$H:$H,MATCH($G388,绊状态确认!$B:$B,))+INDEX(绊状态确认!K:K,MATCH($G388,绊状态确认!$B:$B,)))</f>
        <v>6939.1902287999992</v>
      </c>
      <c r="AN388" s="1106">
        <f>IF($P388="","N/A",(IF($P388=-1,INDEX('卡片raw data'!U:U,MATCH($D388,'卡片raw data'!$F:$F,)),0)+IF($P388=0,INDEX('卡片raw data'!X:X,MATCH($D388,'卡片raw data'!$F:$F,)),0)+IF($P388=1,INDEX('卡片raw data'!AA:AA,MATCH($D388,'卡片raw data'!$F:$F,)),0)+IF($P388=2,INDEX('卡片raw data'!AD:AD,MATCH($D388,'卡片raw data'!$F:$F,)),0)+IF($P388=3,INDEX('卡片raw data'!AG:AG,MATCH($D388,'卡片raw data'!$F:$F,)),0)+IF($P388=4,INDEX('卡片raw data'!AJ:AJ,MATCH($D388,'卡片raw data'!$F:$F,)),0)+IF($P388=5,INDEX('卡片raw data'!AM:AM,MATCH($D388,'卡片raw data'!$F:$F,)),0)+INDEX('卡片raw data'!U:U,MATCH($D388,'卡片raw data'!$F:$F,))*(IF($F388="UR",0.04,0.033))*(IF($F388="UR",INDEX(绊状态确认!$S:$S,MATCH($G388,绊状态确认!$B:$B,))/2-40)+IF($F388="SR",INDEX(绊状态确认!$R:$R,MATCH($G388,绊状态确认!$B:$B,))/4-15))+IF($F388="R",INDEX(绊状态确认!$Q:$Q,MATCH($G388,绊状态确认!$B:$B,))/6-40/6)))*(INDEX(绊状态确认!$H:$H,MATCH($G388,绊状态确认!$B:$B,))+INDEX(绊状态确认!L:L,MATCH($G388,绊状态确认!$B:$B,)))</f>
        <v>6308.9882447999989</v>
      </c>
      <c r="AO388" s="1107">
        <f t="shared" ref="AO388:AO451" si="536">IF(OR($FE$5=C388,$FE$5="全"),1,0)</f>
        <v>1</v>
      </c>
      <c r="AP388" s="1131">
        <f>1+(INDEX(绊状态确认!$T:$T,MATCH($G388,绊状态确认!$B:$B,))+0.2)*$AO388</f>
        <v>1.3</v>
      </c>
      <c r="AQ388" s="1108">
        <f t="shared" ref="AQ388:AQ451" si="537">(AL388*(1+$EX$8)+$EX$34)*(1+$EW$15)*IF(AO388=0,1-$FE$6,1)*IF(AO388=1,1+$FE$7,1)*IF(O388="vo",1+$FE$8,1)*IF(O388="gd",1+$FE$9,1)*IF(O388="sp",1+$FE$10,1)*IF(O388="sk",1+$FE$11,1)*IF(I388=$FF$12,1+$FE$12,1)*IF(I388=$FF$13,1,1-$FE$13)*IF(I388=$FF$14,1+$FE$14,1)*IF(J388=$FF$16,1+$FE$16,1)*IF(J388=$FF$17,1+$FE$17,1)*IF(K388=$FF$18,1+$FE$18,1)*(1+$FE$15)</f>
        <v>23670.021317499999</v>
      </c>
      <c r="AR388" s="1097">
        <f>(AM388*(1+$EX$9)+$EX$35)*(1+(INDEX(绊状态确认!$T:$T,MATCH($G388,绊状态确认!$B:$B,))+0.2)*AO388)*IF(J388=$FF$17,1+$FE$17,1)*IF(I388=$FF$14,1+$FE$14,1)</f>
        <v>12175.994662311998</v>
      </c>
      <c r="AS388" s="1097">
        <f>(AN388*(1+$EX$10)+$EX$36)*(1+(INDEX(绊状态确认!$T:$T,MATCH($G388,绊状态确认!$B:$B,))+0.2)*AO388)*IF(J388=$FF$17,1+$FE$17,1)*IF(I388=$FF$14,1+$FE$14,1)</f>
        <v>13487.937425975999</v>
      </c>
      <c r="AT388" s="1093">
        <f>IF(AND(INDEX('卡片raw data'!AK:AK,MATCH($D388,'卡片raw data'!$F:$F,))&lt;INDEX('卡片raw data'!AM:AM,MATCH($D388,'卡片raw data'!$F:$F,)),INDEX('卡片raw data'!AL:AL,MATCH($D388,'卡片raw data'!$F:$F,))&lt;INDEX('卡片raw data'!AM:AM,MATCH($D388,'卡片raw data'!$F:$F,))),1,0)</f>
        <v>0</v>
      </c>
      <c r="AU388" s="1098">
        <f>MIN(AT388*0.15+AS388*0.00003+INDEX(绊状态确认!M:M,MATCH($G388,绊状态确认!$B:$B,)),1)</f>
        <v>0.43463812277927999</v>
      </c>
      <c r="AV388" s="1109">
        <f>(INDEX(绊状态确认!$N:$N,MATCH($G388,绊状态确认!$B:$B,))+1.5)*$EW$21</f>
        <v>2.6599999999999997</v>
      </c>
      <c r="AW388" s="1101">
        <f t="shared" ref="AW388:AW451" si="538">AQ388*(1+(AV388-1)*AU388)*(AP388)*(1+EW$25)*EW$66/3*$EW$24</f>
        <v>21162.299637427695</v>
      </c>
      <c r="AX388" s="1097">
        <f t="shared" ref="AX388:AX451" si="539">$EW$26*(HP($EW$62,$EW$65,$EW$64-AR388*$EW$78/$EW$65)/$EW$66-1)</f>
        <v>1042.9629152274938</v>
      </c>
      <c r="AY388" s="1110">
        <f t="shared" ref="AY388:AY451" si="540">AW388+AX388</f>
        <v>22205.262552655189</v>
      </c>
      <c r="AZ388" s="429">
        <f t="shared" ref="AZ388:AZ451" si="541">(AL388*(1+$FB$8)+$FB$34)*IF(AO388=0,1-$FE$6,1)*IF(AO388=1,1+$FE$7,1)*IF(O388="vo",1+$FE$8,1)*IF(O388="gd",1+$FE$9,1)*IF(O388="sp",1+$FE$10,1)*IF(O388="sk",1+$FE$11,1)*IF(I388=$FF$12,1+$FE$12,1)*IF(I388=$FF$13,1,1-$FE$13)*IF(I388=$FF$14,1+$FE$14,1)*IF(J388=$FF$16,1+$FE$16,1)*IF(J388=$FF$17,1+$FE$17,1)*IF(K388=$FF$18,1+$FE$18,1)*(1+$FE$15)</f>
        <v>17769.158692999998</v>
      </c>
      <c r="BA388" s="431">
        <f t="shared" ref="BA388:BA451" si="542">AZ388*(1+$FA$15)</f>
        <v>21322.990431599996</v>
      </c>
      <c r="BB388" s="1097">
        <f>(AM388*(1+$FB$9)+$FB$35)*(1+(INDEX(绊状态确认!$T:$T,MATCH($G388,绊状态确认!$B:$B,))+0.2)*AO388)*IF(J388=$FF$17,1+$FE$17,1)*IF(I388=$FF$14,1+$FE$14,1)*(1+$FE$15)</f>
        <v>12175.994662311998</v>
      </c>
      <c r="BC388" s="1097">
        <f>(AN388*(1+$FB$10)+$FB$36)*(1+(INDEX(绊状态确认!$T:$T,MATCH($G388,绊状态确认!$B:$B,))+0.2)*AO388)*IF(J388=$FF$17,1+$FE$17,1)*IF(I388=$FF$14,1+$FE$14,1)*(1+$FE$15)</f>
        <v>13487.937425975999</v>
      </c>
      <c r="BD388" s="1104">
        <f>MIN(AT388*0.15+BC388*0.00003+INDEX(绊状态确认!M:M,MATCH($G388,绊状态确认!$B:$B,)),1)</f>
        <v>0.43463812277927999</v>
      </c>
      <c r="BE388" s="432">
        <f>(INDEX(绊状态确认!$N:$N,MATCH($G388,绊状态确认!$B:$B,))+1.5)</f>
        <v>1.9</v>
      </c>
      <c r="BF388" s="1139">
        <f t="array" ref="BF388">SUMPRODUCT(IF(AZ388*AP388*$FI$16:$FI$23*$FA$22&gt;=$FI$24,$FI$24,AZ388*AP388*$FI$16:$FI$23*$FA$22),$FJ$16:$FJ$23)</f>
        <v>35342.856640377002</v>
      </c>
      <c r="BG388" s="1125">
        <f t="array" ref="BG388">SUMPRODUCT(IF(BE388*AZ388*AP388*$FI$16:$FI$23*$FA$22&gt;=$FI$24,$FI$24,BE388*AZ388*AP388*$FI$16:$FI$23*$FA$22),$FJ$16:$FJ$23)</f>
        <v>58972.455492927504</v>
      </c>
      <c r="BH388" s="1110">
        <f t="shared" ref="BH388:BH451" si="543">((1-$BD388)*BF388+$BD388*BG388)/3</f>
        <v>15204.393709225662</v>
      </c>
      <c r="BI388" s="1111">
        <f>IF(O388="vo",$EW$26/$EW$24*0.05,0)+IF(O388="sk",-$EW$26/$EW$24*(0.05-INDEX(绊状态确认!W:W,MATCH($G388,绊状态确认!$B:$B,)))+0.05*$EW$28,0)+IF(O388="sp",0.05*$EW$32*$EW$30*(1-$EW$33)-(0.05-INDEX(绊状态确认!V:V,MATCH($G388,绊状态确认!$B:$B,)))*$EW$28,0)+IF(O388="gd",-(0.05-INDEX(绊状态确认!X:X,MATCH($G388,绊状态确认!$B:$B,)))*$EW$32*$EW$30*(1-$EW$33),0)</f>
        <v>19.999999999999886</v>
      </c>
      <c r="BJ388" s="1097">
        <f>IF(O388="vo",0.05*(1-$FI$26)*$FA$24,0)+IF(O388="sk",-(0.05-INDEX(绊状态确认!W:W,MATCH($G388,绊状态确认!$B:$B,)))*(1-$FI$26)*$FA$24+0.05*$FA$26,0)+IF(O388="sp",0.05*$FA$32*$FA$27*(1-$FA$33)/$FA$30+0.05*$FA$29/$FA$69*$FA$27*(1-$FA$33)-(0.05-INDEX(绊状态确认!V:V,MATCH($G388,绊状态确认!$B:$B,)))*$FA$26,0)+IF(O388="gd",-(0.05-INDEX(绊状态确认!X:X,MATCH($G388,绊状态确认!$B:$B,)))*$FA$32*$FA$27*(1-$FA$33)/$FA$30-(0.05-INDEX(绊状态确认!X:X,MATCH($G388,绊状态确认!$B:$B,)))*$FA$29/$FA$69*$FA$27*(1-$FA$33),0)</f>
        <v>545.83333333333326</v>
      </c>
      <c r="BK388" s="1110">
        <f>IF(O388="vo",$EW$26/$EW$24*0.05+$EW$26*(-HP($EW$62,$EW$65,$EW$64)+HP($EW$62,$EW$65,(1.05-INDEX(绊状态确认!U:U,MATCH($G388,绊状态确认!$B:$B,)))*$EW$64)),0)+IF(O388="sk",-$EW$26/$EW$24*(0.05-INDEX(绊状态确认!W:W,MATCH($G388,绊状态确认!$B:$B,)))+0.05*$EW$29,0)+IF(O388="sp",0.05*$EW$32*$EW$30*(1-$EW$33)-(0.05-INDEX(绊状态确认!V:V,MATCH($G388,绊状态确认!$B:$B,)))*$EW$29,0)+IF(O388="gd",-(0.05-INDEX(绊状态确认!X:X,MATCH($G388,绊状态确认!$B:$B,)))*$EW$32*$EW$30*(1-$EW$33)+$EW$26*(-HP($EW$62,$EW$65,$EW$64)+HP($EW$62,$EW$65,0.95*$EW$64)),0)</f>
        <v>-1780.0000000000005</v>
      </c>
      <c r="BL388" s="1111">
        <f t="shared" ref="BL388:BL451" si="544">(IF(F388="UR",0)+IF(F388="SR",-1/4)+IF(F388="R",-1/2))*1/3*$EW$31/$EW$77*$EW$30</f>
        <v>-1083.3333333333333</v>
      </c>
      <c r="BM388" s="1110">
        <f t="shared" ref="BM388:BM451" si="545">(IF(F388="UR",0)+IF(F388="SR",-1/4)+IF(F388="R",-1/2))*1/3*$FA$31/$FA$69*$FA$27</f>
        <v>-830.55555555555543</v>
      </c>
      <c r="BN388" s="1113">
        <f t="shared" ref="BN388:BN451" si="546">IF($P388="","N/A",IF(P388=-1,IF(OR(L388="fes卡",L388="party卡"),2,1),IF(F388="UR",IF(L388="party卡",4-IF(P388=0,1),IF(L388="fes卡",4,3)-IF(P388&gt;=4,0,1)))+IF(F388="SR",IF(P388&gt;=4,3,2))+IF(F388="R",2)))</f>
        <v>3</v>
      </c>
      <c r="BO388" s="1108">
        <f t="shared" ref="BO388:BO451" si="547">$EW$61*$BN388*$EW$26*$EX$5/$EX$11</f>
        <v>4507.7214871259994</v>
      </c>
      <c r="BP388" s="1100">
        <f t="shared" ref="BP388:BP451" si="548">BN388*$FA$58*(1-$FI$26)*$FA$24*$FB$5/$FB$11</f>
        <v>221.34103209030098</v>
      </c>
      <c r="BQ388" s="1113" t="s">
        <v>134</v>
      </c>
      <c r="BR388" s="1124" t="s">
        <v>171</v>
      </c>
      <c r="BS388" s="1098">
        <f>IF($P388="","N/A",IF($P388=-1,INDEX('卡片raw data'!AX:AX,MATCH($D388,'卡片raw data'!$F:$F,)),0)+IF($L388="party卡",IF($P388=5,INDEX('卡片raw data'!BD:BD,MATCH($D388,'卡片raw data'!$F:$F,)),IF($P388&gt;=3,INDEX('卡片raw data'!BC:BC,MATCH($D388,'卡片raw data'!$F:$F,)),INDEX('卡片raw data'!BB:BB,MATCH($D388,'卡片raw data'!$F:$F,)))),IF(OR(AND($F388="UR",$P388=0),AND($F388="SR",$P388&gt;=0,$P388&lt;=2),AND($F388="R",$P388&gt;=0,$P388&lt;4)),INDEX('卡片raw data'!AZ:AZ,MATCH($D388,'卡片raw data'!$F:$F,)),0)+IF(OR(AND($F388="UR",$P388&gt;=1,$P388&lt;=4),AND($F388="SR",$P388&lt;=4,$P388&gt;=3),AND($F388="R",$P388=4)),INDEX('卡片raw data'!BA:BA,MATCH($D388,'卡片raw data'!$F:$F,)),0)+IF($P388=5,INDEX('卡片raw data'!BB:BB,MATCH($D388,'卡片raw data'!$F:$F,)),0)))</f>
        <v>3.2000000000000001E-2</v>
      </c>
      <c r="BT388" s="1101">
        <f t="shared" ref="BT388:BT451" si="549">IF(BQ388="ap",BS388*$EX$5/$EX$11*(+IF(BR388="全员",$EW$26,0)+IF(BR388="同作战",$EW$26,0)+IF(BR388="仲间",$EW$26*2/3,0)+IF(BR388="同属性",$EW$26*$EW$37/3,0)+IF(BR388="同年级",$EW$26*$EW$40/3,0)+IF(BR388="同学校",$EW$26*$EW$43/3,0)+IF(BR388="同小队",$EW$26*$EW$46/3,0)+IF(BR388="同type",$EW$26*INDEX($EX$49:$EX$52,MATCH(O388,$EW$49:$EW$52,))/3,0)+IF(BR388="自身",$AW388,0)),0)+IF(BQ388="te",BS388*($EW$22-1)*0.00003*$EX$7/$EX$13*(+IF(BR388="全员",$EX$18*$EW$26/(1+($EW$22-1)*$EW$19),0)+IF(BR388="同作战",$EX$18*$EW$26/(1+($EW$22-1)*$EW$19),0)+IF(BR388="仲间",$EX$18*$EW$26/(1+($EW$22-1)*$EW$19)*2/3,0)+IF(BR388="同属性",$EX$18*$EW$26/(1+($EW$22-1)*$EW$19)*$EW$37/3,0)+IF(BR388="同年级",$EX$18*$EW$26/(1+($EW$22-1)*$EW$19)*$EW$40/3,0)+IF(BR388="同学校",$EX$18*$EW$26/(1+($EW$22-1)*$EW$19)*$EW$43/3,0)+IF(BR388="同小队",$EX$18*$EW$26/(1+($EW$22-1)*$EW$19)*$EW$46/3,0)+IF(BR388="同type",$EX$18*$EW$26/(1+($EW$22-1)*$EW$19)*INDEX($EX$49:$EX$52,MATCH(O388,$EW$49:$EW$52,))/3,0)+IF(BR388="自身",$AS388*$AW388/(1+(AV388-1)*$AU388),0)),0)</f>
        <v>1509.2469769191675</v>
      </c>
      <c r="BU388" s="1097">
        <f t="shared" ref="BU388:BU451" si="550">IF(BQ388="ap",BS388*(1-$FI$26)*$FB$5/$FB$11*(+IF(BR388="全员",$FA$24,0)+IF(BR388="同作战",$FA$24,0)+IF(BR388="仲间",$FA$24*2/3,0)+IF(BR388="同属性",$FA$24*$FA$37/3,0)+IF(BR388="同年级",$FA$24*$FA$40/3,0)+IF(BR388="同学校",$FA$24*$FA$43/3,0)+IF(BR388="同小队",$FA$24*$FA$46/3,0)+IF(BR388="同type",$FA$24*INDEX($FB$49:$FB$52,MATCH(O388,$FA$49:$FA$52,))/3,0)+IF(BR388="自身",BH388/3,0)),0)+IF(BQ388="te",BS388*(1-$FI$27)*($FA$20-1)*$FB$7/$FB$13*(+IF(BR388="全员",$FA$19*$FA$24/(1+($FA$20-1)*$FA$19),0)+IF(BR388="同作战",$FA$19*$FA$24/(1+($FA$20-1)*$FA$19),0)+IF(BR388="仲间",$FA$19*$FA$24*2/3/(1+($FA$20-1)*$FA$19),0)+IF(BR388="同属性",$FA$19*$FA$24*$FA$37/3/(1+($FA$20-1)*$FA$19),0)+IF(BR388="同年级",$FA$19*$FA$24*$FA$40/3/(1+($FA$20-1)*$FA$19),0)+IF(BR388="同学校",$FA$19*$FA$24*$FA$43/3/(1+($FA$20-1)*$FA$19),0)+IF(BR388="同小队",$FA$19*$FA$24*$FA$46/3/(1+($FA$20-1)*$FA$19),0)+IF(BR388="同type",$FA$19*$FA$24*INDEX($FB$49:$FB$52,MATCH(O388,$FA$49:$FA$52,))/3/(1+($FA$20-1)*$FA$19),0)+IF(BR388="自身",$FA$19*BH388/3/(1+(AV388-1)*$BD388),0)),0)</f>
        <v>95.522578685765595</v>
      </c>
      <c r="BV388" s="1097">
        <f t="shared" ref="BV388:BV451" si="551">IF(BQ388="ap",BS388*$EW$26*$EX$5/$EX$11*(+IF(BR388="全员",1,0)+IF(BR388="仲间",1,0)+IF(BR388="同属性",$EW$38/3,0)+IF(BR388="同年级",$EW$41/3,0)+IF(BR388="同学校",$EW$44/3,0)+IF(BR388="同小队",$EW$47/3,0)+IF(BR388="同type",INDEX($EX$53:$EX$56,MATCH(O388,$EW$53:$EW$56,))/3,0)),0)+IF(BQ388="te",BS388*($EW$22-1)*0.00003*$EX$18*$EW$26/(1+($EW$22-1)*$EW$19)*$EX$7/$EX$13*(+IF(BR388="全员",1,0)+IF(BR388="仲间",1,0)+IF(BR388="同属性",$EW$38/3,0)+IF(BR388="同年级",$EW$41/3,0)+IF(BR388="同学校",$EW$44/3,0)+IF(BR388="同小队",$EW$47/3,0)+IF(BR388="同type",INDEX($EX$53:$EX$56,MATCH(O388,$EW$53:$EW$56,))/3,0)),0)</f>
        <v>754.62348845958354</v>
      </c>
      <c r="BW388" s="1112">
        <f t="shared" ref="BW388:BW451" si="552">IF(BQ388="st",BS388*$EX$6/$EX$12*(+IF(BR388="全员",$EX$17*9,0)+IF(BR388="仲间",$EX$17*8,0)+IF(BR388="同作战",$EX$17*3,0)+IF(BR388="同属性",$EX$17*$EW$39,0)+IF(BR388="同年级",$EX$17*$EW$42,0)+IF(BR388="同学校",$EX$17*$EW$45,0)+IF(BR388="同小队",$EX$17*$EW$48,0)+IF(BR388="同type",$EX$17*INDEX($EX$57:$EX$60,MATCH(O388,$EW$57:$EW$60,)),0)+IF(BR388="自身",$AR388)),0)/$EW$65*$EW$78</f>
        <v>0</v>
      </c>
      <c r="BX388" s="1100">
        <f t="shared" ref="BX388:BX451" si="553">IF(BQ388="st",$EW$26*(HP($EW$62,$EW$65,$EW$64-BW388)/$EW$66-1),BT388)</f>
        <v>1509.2469769191675</v>
      </c>
      <c r="BY388" s="1110">
        <f t="shared" ref="BY388:BY451" si="554">IF(BQ388="st",$EW$26*(HP($EW$62,$EW$65,$EW$64-BW388)/$EW$66-1),BV388)</f>
        <v>754.62348845958354</v>
      </c>
      <c r="BZ388" s="1113" t="s">
        <v>569</v>
      </c>
      <c r="CA388" s="1124"/>
      <c r="CB388" s="1098">
        <f>IF($P388="","N/A",IF($P388=-1,INDEX('卡片raw data'!BE:BE,MATCH($D388,'卡片raw data'!$F:$F,)),0)+IF($L388="party卡",IF($P388=5,INDEX('卡片raw data'!BK:BK,MATCH($D388,'卡片raw data'!$F:$F,)),IF($P388&gt;=3,INDEX('卡片raw data'!BJ:BJ,MATCH($D388,'卡片raw data'!$F:$F,)),INDEX('卡片raw data'!BI:BI,MATCH($D388,'卡片raw data'!$F:$F,)))),IF(OR(AND($F388="UR",$P388=0),AND($F388="SR",$P388&gt;=0,$P388&lt;=2),AND($F388="R",$P388&gt;=0,$P388&lt;4)),INDEX('卡片raw data'!BG:BG,MATCH($D388,'卡片raw data'!$F:$F,)),0)+IF(OR(AND($F388="UR",$P388&gt;=1,$P388&lt;=4),AND($F388="SR",$P388&lt;=4,$P388&gt;=3),AND($F388="R",$P388=4)),INDEX('卡片raw data'!BH:BH,MATCH($D388,'卡片raw data'!$F:$F,)),0)+IF($P388=5,INDEX('卡片raw data'!BI:BI,MATCH($D388,'卡片raw data'!$F:$F,)),0)))</f>
        <v>0</v>
      </c>
      <c r="CC388" s="1101">
        <f t="shared" ref="CC388:CC451" si="555">IF(BZ388="ap",CB388*$EX$5/$EX$11*(+IF(CA388="全员",$EW$26,0)+IF(CA388="同作战",$EW$26,0)+IF(CA388="仲间",$EW$26*2/3,0)+IF(CA388="同属性",$EW$26*$EW$37/3,0)+IF(CA388="同年级",$EW$26*$EW$40/3,0)+IF(CA388="同学校",$EW$26*$EW$43/3,0)+IF(CA388="同小队",$EW$26*$EW$46/3,0)+IF(CA388="同type",$EW$26*INDEX($EX$49:$EX$52,MATCH(O388,$EW$49:$EW$52,))/3,0)+IF(CA388="自身",$AW388,0)),0)+IF(BZ388="te",CB388*($EW$22-1)*0.00003*$EX$7/$EX$13*(+IF(CA388="全员",$EX$18*$EW$26/(1+($EW$22-1)*$EW$19),0)+IF(CA388="同作战",$EX$18*$EW$26/(1+($EW$22-1)*$EW$19),0)+IF(CA388="仲间",$EX$18*$EW$26/(1+($EW$22-1)*$EW$19)*2/3,0)+IF(CA388="同属性",$EX$18*$EW$26/(1+($EW$22-1)*$EW$19)*$EW$37/3,0)+IF(CA388="同年级",$EX$18*$EW$26/(1+($EW$22-1)*$EW$19)*$EW$40/3,0)+IF(CA388="同学校",$EX$18*$EW$26/(1+($EW$22-1)*$EW$19)*$EW$43/3,0)+IF(CA388="同小队",$EX$18*$EW$26/(1+($EW$22-1)*$EW$19)*$EW$46/3,0)+IF(CA388="同type",$EX$18*$EW$26/(1+($EW$22-1)*$EW$19)*INDEX($EX$49:$EX$52,MATCH(O388,$EW$49:$EW$52,))/3,0)+IF(CA388="自身",$AS388*$AW388/(1+(AV388-1)*$AU388),0)),0)</f>
        <v>0</v>
      </c>
      <c r="CD388" s="1097">
        <f>IF(BZ388="ap",CB388*(1-$FI$26)*$FB$5/$FB$11*(+IF(CA388="全员",$FA$24,0)+IF(CA388="同作战",$FA$24,0)+IF(CA388="仲间",$FA$24*2/3,0)+IF(CA388="同属性",$FA$24*$FA$37/3,0)+IF(CA388="同年级",$FA$24*$FA$40/3,0)+IF(CA388="同学校",$FA$24*$FA$43/3,0)+IF(CA388="同小队",$FA$24*$FA$46/3,0)+IF(CA388="同type",$FA$24*INDEX($FB$49:$FB$52,MATCH(X388,$FA$49:$FA$52,))/3,0)+IF(CA388="自身",#REF!/3,0)),0)+IF(BZ388="te",CB388*(1-$FI$27)*($FA$20-1)*$FB$7/$FB$13*(+IF(CA388="全员",$FA$19*$FA$24/(1+($FA$20-1)*$FA$19),0)+IF(CA388="同作战",$FA$19*$FA$24/(1+($FA$20-1)*$FA$19),0)+IF(CA388="仲间",$FA$19*$FA$24*2/3/(1+($FA$20-1)*$FA$19),0)+IF(CA388="同属性",$FA$19*$FA$24*$FA$37/3/(1+($FA$20-1)*$FA$19),0)+IF(CA388="同年级",$FA$19*$FA$24*$FA$40/3/(1+($FA$20-1)*$FA$19),0)+IF(CA388="同学校",$FA$19*$FA$24*$FA$43/3/(1+($FA$20-1)*$FA$19),0)+IF(CA388="同小队",$FA$19*$FA$24*$FA$46/3/(1+($FA$20-1)*$FA$19),0)+IF(CA388="同type",$FA$19*$FA$24*INDEX($FB$49:$FB$52,MATCH(X388,$FA$49:$FA$52,))/3/(1+($FA$20-1)*$FA$19),0)+IF(CA388="自身",$FA$19*#REF!/3/(1+(BH388-1)*$BD388),0)),0)</f>
        <v>0</v>
      </c>
      <c r="CE388" s="1097">
        <f t="shared" ref="CE388:CE451" si="556">IF(BZ388="ap",CB388*$EW$26*$EX$5/$EX$11*(+IF(CA388="全员",1,0)+IF(CA388="仲间",1,0)+IF(CA388="同属性",$EW$38/3,0)+IF(CA388="同年级",$EW$41/3,0)+IF(CA388="同学校",$EW$44/3,0)+IF(CA388="同小队",$EW$47/3,0)+IF(CA388="同type",INDEX($EX$53:$EX$56,MATCH(X388,$EW$53:$EW$56,))/3,0)),0)+IF(BZ388="te",CB388*($EW$22-1)*0.00003*$EX$18*$EW$26/(1+($EW$22-1)*$EW$19)*$EX$7/$EX$13*(+IF(CA388="全员",1,0)+IF(CA388="仲间",1,0)+IF(CA388="同属性",$EW$38/3,0)+IF(CA388="同年级",$EW$41/3,0)+IF(CA388="同学校",$EW$44/3,0)+IF(CA388="同小队",$EW$47/3,0)+IF(CA388="同type",INDEX($EX$53:$EX$56,MATCH(X388,$EW$53:$EW$56,))/3,0)),0)</f>
        <v>0</v>
      </c>
      <c r="CF388" s="1112">
        <f t="shared" ref="CF388:CF451" si="557">IF(BZ388="st",CB388*$EX$6/$EX$12*(+IF(CA388="全员",$EX$17*9,0)+IF(CA388="仲间",$EX$17*8,0)+IF(CA388="同作战",$EX$17*3,0)+IF(CA388="同属性",$EX$17*$EW$39,0)+IF(CA388="同年级",$EX$17*$EW$42,0)+IF(CA388="同学校",$EX$17*$EW$45,0)+IF(CA388="同小队",$EX$17*$EW$48,0)+IF(CA388="同type",$EX$17*INDEX($EX$57:$EX$60,MATCH(O388,$EW$57:$EW$60,)),0)+IF(CA388="自身",$AR388)),0)/$EW$65*$EW$78</f>
        <v>0</v>
      </c>
      <c r="CG388" s="1100">
        <f t="shared" ref="CG388:CG451" si="558">IF(BZ388="st",$EW$26*(HP($EW$62,$EW$65,$EW$64-CF388)/$EW$66-1),CC388)</f>
        <v>0</v>
      </c>
      <c r="CH388" s="1110">
        <f t="shared" ref="CH388:CH451" si="559">IF(BZ388="st",$EW$26*(HP($EW$62,$EW$65,$EW$64-CF388)/$EW$66-1),CE388)</f>
        <v>0</v>
      </c>
      <c r="CI388" s="1113" t="s">
        <v>1883</v>
      </c>
      <c r="CJ388" s="1114">
        <v>1</v>
      </c>
      <c r="CK388" s="1115" t="s">
        <v>1885</v>
      </c>
      <c r="CL388" s="1115" t="s">
        <v>1884</v>
      </c>
      <c r="CM388" s="1119">
        <v>0.08</v>
      </c>
      <c r="CN388" s="1115">
        <v>30</v>
      </c>
      <c r="CO388" s="1115">
        <v>1</v>
      </c>
      <c r="CP388" s="1118">
        <f t="shared" ref="CP388:CP451" si="560">IF(OR(CK388="无",CI388="大量伤害",CI388="AC失败",CI388="低血量",CK388="复活",CK388="驱散",CK388="Gd切队效果up"),0,IF(AND(CK388="sp获得",CI388="AC成功"),0,IF(CK388="其他",0,IF(CN388=0,CM388*(IF(CL388="ap",AQ388*IF(CK388="vo获得",AP388,1))+IF(CL388="st",AR388)+IF(CL388="te",AS388)+IF(CL388="sp槽",$EW$77)+IF(CL388="",1))*(IF(CI388="曲开始",CJ388,0)+IF(CI388="切队",IF(CO388&lt;&gt;"",MIN(CO388,CJ388*$EW$79),CJ388*$EW$79))+IF(CI388="SP发动",IF(CO388&lt;&gt;"",MIN(CO388,CJ388*$EW$76),CJ388*$EW$76))+IF(CI388="ap时",IF(CO388&lt;&gt;"",MIN(CO388,CJ388*$EW$65/3),CJ388*$EW$65/3),0)+IF(CI388="伤害时",IF(CO388&lt;&gt;"",MIN(CO388,CJ388*$EW$65*(1-$EW$75)),CJ388*$EW$65*(1-$EW$75)),0)+IF(CI388="ct时",IF(CO388&lt;&gt;"",MIN(CO388,CJ388*$EW$65/3*$AU388),CJ388*$EW$65/3*$AU388),0)+IF(OR(CI388="AC时",CI388="AC成功"),IF(CO388&lt;&gt;"",MIN(CO388,CJ388*$EW$73),CJ388*$EW$73))),0)/$EW$65+IF(CN388="infty",IF(OR(CI388="曲开始",AND(CJ388=1,CO388=1)),CM388*CJ388,IF(CI388="SP发动",IF(CO388=1,CM388*(1-(1-(1-CJ388)^($EW$76+1))/(($EW$76+1)*CJ388)))+IF(CO388="",CJ388*CM388*$EW$76/2),0)+IF(CI388="AC时",IF(CO388=1,CM388*(1-(1-(1-CJ388)^($EW$73+1))/(($EW$73+1)*CJ388)))+IF(CO388="",CJ388*CM388*$EW$73/2),0)+IF(CI388="AC成功",IF(CO388=1,CM388*(1-(1-(1-CJ388)^($EW$73+1))/(($EW$73+1)*CJ388)))+IF(CO388="",CJ388*CM388*$EW$73/2),0)),0)*(IF(CL388="全员",1,0)+IF(CL388="同属性",$EW$37/3,0)+IF(CL388="同年级",$EW$40/3,0)+IF(CL388="同作战",1,0)+IF(CL388="自身",1/3,0)+IF(CL388="同type",INDEX($EX$49:$EX$52,MATCH($O388,$EW$49:$EW$52,))/3))+IF(AND(CN388&lt;&gt;0,CN388&lt;&gt;"infty"),IF(CN388="AC内",$EW$74,CN388)*CM388*(IF(CI388="曲开始",CJ388,0)+IF(CI388="切队",IF(CO388&lt;&gt;"",MIN(CO388,CJ388*$EW$79),CJ388*$EW$79))+IF(CI388="SP发动",IF(CO388&lt;&gt;"",MIN(CO388,CJ388*$EW$76),CJ388*$EW$76))+IF(CI388="ap时",IF(CO388&lt;&gt;"",MIN(CO388,CJ388*$EW$65/3),CJ388*$EW$65/3),0)+IF(CI388="伤害时",IF(CO388&lt;&gt;"",MIN(CO388,CJ388*$EW$65*(1-$EW$75)),CJ388*$EW$65*(1-$EW$75)),0)+IF(CI388="ct时",IF(CO388&lt;&gt;"",MIN(CO388,CJ388*$EW$65/3*$AU388),CJ388*$EW$65/3*$AU388),0)+IF(OR(CI388="AC时",CI388="AC成功"),IF(CO388&lt;&gt;"",MIN(CO388,CJ388*$EW$73),CJ388*$EW$73))),0)/$EW$65*(IF(CL388="全员",1,0)+IF(CL388="同属性",$EW$37/3,0)+IF(CL388="同年级",$EW$40/3,0)+IF(CL388="同学校",$EW$43/3,0)+IF(CL388="同作战",1,0)+IF(CL388="自身",1/3,0)+IF(CL388="同type",INDEX($EX$49:$EX$52,MATCH($O388,$EW$49:$EW$52,))/3)-IF(AND(CK388="ct+",CL388&lt;&gt;"仲间"),MAX(CM388+$AU388-1,0)/CM388/3)))))</f>
        <v>5.7142857142857143E-3</v>
      </c>
      <c r="CQ388" s="1118">
        <f t="shared" ref="CQ388:CQ451" si="561">IF(OR(CK388="无",CI388="大量伤害",CI388="AC失败",CI388="低血量",CK388="复活",CK388="驱散",CK388="Gd切队效果up"),0,IF(AND(CK388="sp获得",CI388="AC成功"),0,IF(CK388="其他",0,IF(CN388=0,CM388*(IF(CL388="ap",BA388*IF(CK388="vo获得",AP388,1))+IF(CL388="st",BB388)+IF(CL388="te",BC388)+IF(CL388="sp槽",$FA$69)+IF(CL388="",1))*(IF(CK388="sp获得",$FA$30,1))*(IF(CI388="曲开始",CJ388,0)+IF(CI388="切队",IF(CO388&lt;&gt;"",MIN(CO388,CJ388*$FA$71),CJ388*$FA$71))+IF(CI388="SP发动",IF(CO388&lt;&gt;"",MIN(CO388,CJ388*$FA$68),CJ388*$FA$68))+IF(CI388="ap时",IF(CO388&lt;&gt;"",MIN(CO388,CJ388*$FA$62/3),CJ388*$FA$62/3),0)+IF(CI388="伤害时",IF(CO388&lt;&gt;"",MIN(CO388,CJ388*$FA$62*(1-$FA$67)),CJ388*$FA$62*(1-$FA$67)),0)+IF(CI388="ct时",IF(CO388&lt;&gt;"",MIN(CO388,CJ388*$FA$62/3*$BD388),CJ388*$FA$62/3*$BD388),0)+IF(OR(CI388="AC时",CI388="AC成功"),IF(CO388&lt;&gt;"",MIN(CO388,CJ388*$FA$65),CJ388*$FA$65))),0)/$FA$62+IF(CN388="infty",IF(OR(CI388="曲开始",AND(CJ388=1,CO388=1)),CM388*CJ388,IF(CI388="SP发动",IF(CO388=1,CM388*(1-(1-(1-CJ388)^($FA$68+1))/(($FA$68+1)*CJ388)))+IF(CO388="",CJ388*CM388*$FA$68/2),0)+IF(CI388="AC时",IF(CO388=1,CM388*(1-(1-(1-CJ388)^($FA$65+1))/(($FA$65+1)*CJ388)))+IF(CO388="",CJ388*CM388*$FA$65/2),0)+IF(CI388="AC成功",IF(CO388=1,CM388*(1-(1-(1-CJ388)^($FA$65+1))/(($FA$65+1)*CJ388)))+IF(CO388="",CJ388*CM388*$FA$65/2),0)),0)*(IF(CL388="全员",1,0)+IF(CL388="同属性",$FA$37/3,0)+IF(CL388="同年级",$FA$40/3,0)+IF(CL388="同作战",1,0)+IF(CL388="自身",1/3,0)+IF(CL388="同type",INDEX($FB$49:$FB$52,MATCH($O388,$FA$49:$FA$52,))/3))+IF(AND(CN388&lt;&gt;0,CN388&lt;&gt;"infty"),IF(CN388="AC内",$FA$66,CN388)*CM388*(IF(CI388="曲开始",CJ388,0)+IF(CI388="切队",IF(CO388&lt;&gt;"",MIN(CO388,CJ388*$FA$71),CJ388*$FA$71))+IF(CI388="SP发动",IF(CO388&lt;&gt;"",MIN(CO388,CJ388*$FA$68),CJ388*$FA$68))+IF(CI388="ap时",IF(CO388&lt;&gt;"",MIN(CO388,CJ388*$FA$62/3),CJ388*$FA$62/3),0)+IF(CI388="伤害时",IF(CO388&lt;&gt;"",MIN(CO388,CJ388*$FA$62*(1-$FA$67)),CJ388*$FA$62*(1-$FA$67)),0)+IF(CI388="ct时",IF(CO388&lt;&gt;"",MIN(CO388,CJ388*$FA$62/3*$BD388),CJ388*$FA$62/3*$BD388),0)+IF(OR(CI388="AC时",CI388="AC成功"),IF(CO388&lt;&gt;"",MIN(CO388,CJ388*$FA$65),CJ388*$FA$65))),0)/$FA$62*(IF(CL388="全员",1,0)+IF(CL388="同属性",$FA$37/3,0)+IF(CL388="同年级",$FA$40/3,0)+IF(CL388="同学校",$FA$43/3,0)+IF(CL388="同作战",1,0)+IF(CL388="自身",1/3,0)+IF(CL388="同type",INDEX($FB$49:$FB$52,MATCH($O388,$FA$49:$FA$52,))/3)-IF(AND(CK388="ct+",CL388&lt;&gt;"仲间"),MAX(CM388+$BD388-1,0)/3/CM388)))))</f>
        <v>7.7777777777777776E-3</v>
      </c>
      <c r="CR388" s="1118">
        <f t="shared" ref="CR388:CR451" si="562">IF(OR(CK388="无",CI388="大量伤害",CI388="AC失败",CI388="低血量",CK388="复活",CK388="驱散",CK388="Gd切队效果up"),0,IF(AND(CK388="sp获得",CI388="AC成功"),0,IF(CK388="其他",0,IF(CN388=0,CM388*(IF(CL388="ap",AQ388*IF(CK388="vo获得",AP388,1))+IF(CL388="st",AR388)+IF(CL388="te",AS388)+IF(CL388="sp槽",$EW$77)+IF(CL388="",1))*(IF(CI388="曲开始",CJ388,0)+IF(CI388="切队",IF(CO388&lt;&gt;"",MIN(CO388,CJ388*$EW$79),CJ388*$EW$79))+IF(CI388="SP发动",IF(CO388&lt;&gt;"",MIN(CO388,CJ388*$EW$76),CJ388*$EW$76))+IF(CI388="ap时",0)+IF(CI388="伤害时",IF(CO388&lt;&gt;"",MIN(CO388,CJ388*$EW$65*(1-$EW$75)),CJ388*$EW$65*(1-$EW$75)),0)+IF(CI388="ct时",0)+IF(OR(CI388="AC时",CI388="AC成功"),IF(CO388&lt;&gt;"",MIN(CO388,CJ388*$EW$73),CJ388*$EW$73))),0)/$EW$65+IF(CN388="infty",IF(OR(CI388="曲开始",AND(CJ388=1,CO388=1)),CM388*CJ388,IF(CI388="SP发动",IF(CO388=1,CM388*(1-(1-(1-CJ388)^($EW$76+1))/(($EW$76+1)*CJ388)))+IF(CO388="",CJ388*CM388*$EW$76/2),0)+IF(CI388="AC时",IF(CO388=1,CM388*(1-(1-(1-CJ388)^($EW$73+1))/(($EW$73+1)*CJ388)))+IF(CO388="",CJ388*CM388*$EW$73/2),0)+IF(CI388="AC成功",IF(CO388=1,CM388*(1-(1-(1-CJ388)^($EW$73+1))/(($EW$73+1)*CJ388)))+IF(CO388="",CJ388*CM388*$EW$73/2),0)),0)*(IF(CL388="全员",1,0)+IF(CL388="同属性",$EW$38/3,0)+IF(CL388="同年级",$EW$41/3,0)+IF(CL388="同作战",0,0)+IF(CL388="自身",0,0)+IF(CL388="同type",INDEX($EX$53:$EX$56,MATCH($O388,$EW$53:$EW$56,))/3))+IF(AND(CN388&lt;&gt;0,CN388&lt;&gt;"infty"),IF(CN388="AC内",$EW$74,CN388)*(IF(CI388="曲开始",CM388*CJ388,0)+IF(CI388="切队",CM388*IF(CO388&lt;&gt;"",MIN(CO388,CJ388*$EW$79),CJ388*$EW$79))+IF(CI388="SP发动",CM388*IF(CO388&lt;&gt;"",MIN(CO388,CJ388*$EW$76),CJ388*$EW$76))+IF(CI388="ap时",0,0)+IF(CI388="伤害时",CM388*IF(CO388&lt;&gt;"",MIN(CO388,CJ388*$EW$65*(1-$EW$75)),CJ388*$EW$65*(1-$EW$75)),0)+IF(CI388="ct时",0,0)+IF(OR(CI388="AC时",CI388="AC成功"),CM388*IF(CO388&lt;&gt;"",MIN(CO388,CJ388*$EW$73),CJ388*$EW$73))),0)/$EW$65*(IF(CL388="全员",1,0)+IF(CL388="同属性",$EW$38/3,0)+IF(CL388="同年级",$EW$41/3,0)+IF(CL388="同学校",$EW$44/3,0)+IF(CL388="同作战",0,0)+IF(CL388="自身",0,0)+IF(CL388="同type",INDEX($EX$53:$EX$56,MATCH($O388,$EW$53:$EW$56,))/3)))))</f>
        <v>2.8571428571428571E-3</v>
      </c>
      <c r="CS388" s="1118">
        <f t="shared" ref="CS388:CS451" si="563">IF(CK388="技能+",IF(CN388="infty",(IF(CI388="曲开始",CM388*CJ388)+IF(OR(CI388="AC时",CI388="AC成功"),(1-(1-(1-CJ388)^($FM$20+1))/(($FM$20+1)*CJ388))*CM388))*(IF(CL388="全员",1)))+IF(CN388&lt;&gt;"infty",CM388*(IF(CI388="曲开始",CJ388*CN388/$FM$19)+IF(OR(CI388="AC时",CI388="AC成功"),CN388*IF(CO388&lt;&gt;"",MIN(CO388,CJ388*$FM$20),CJ388*$FM$20)/$FM$19)+IF(CI388="切队",CN388*IF(CO388&lt;&gt;"",MIN(CJ388*$FM$11,CO388/$FM$19),CJ388*$FM$11))+IF(CI388="ap时",IF(CO388&lt;&gt;"",MIN(CO388/$FM403,IF($O388="sk",$FM$10,$FM$9)*CJ388),IF($O388="sk",$FM$10,$FM$9)*CJ388)*CN388)+IF(CI388="ct时",IF(CO388&lt;&gt;"",MIN(CO388/$FM403,$AU388*IF($O388="sk",$FM$10,$FM$9)*CJ388),$AU388*IF($O388="sk",$FM$10,$FM$9)*CJ388)*CN388))*(IF(CL388="全员",1)+IF(CL388="同作战",IF($O388="sk",$FM$10*3,$FM$9*3))+IF(CL388="同属性",$FM$23/6)+IF(CL388="同年级",$FM$24/6)+IF(CL388="自身",IF($O388="sk",$FM$10,$FM$9)))),0)*$FM$16</f>
        <v>0</v>
      </c>
      <c r="CT388" s="1109">
        <f t="shared" ref="CT388:CT451" si="564">IF(CK388="sp+",IF(CN388="infty",(IF(CI388="曲开始",CM388*CJ388*$FM$28)+IF(OR(CI388="AC时",CI388="AC成功"),(1-(1-(1-CJ388)^($FM$20+1))/(($FM$20+1)*CJ388))*CM388*$FM$28))*(IF(CL388="全员",1)))+IF(CN388&lt;&gt;"infty",CM388*$FM$28*(IF(CI388="曲开始",CJ388*CN388/$FM$19)+IF(OR(CI388="AC时",CI388="AC成功"),CN388*IF(CO388&lt;&gt;"",MIN(CO388,CJ388*$FM$20),CJ388*$FM$20)/$FM$19)+IF(CI388="切队",CN388*IF(CO388&lt;&gt;"",MIN(CJ388*$FM$11,CO388/$FM$19),CJ388*$FM$11))+IF(CI388="ap时",IF(CO388&lt;&gt;"",MIN(CO388/$FM403,IF($O388="sk",$FM$10,$FM$9)*CJ388),IF($O388="sk",$FM$10,$FM$9)*CJ388)*CN388)+IF(CI388="ct时",IF(CO388&lt;&gt;"",MIN(CO388/$FM403,$AU388*IF($O388="sk",$FM$10,$FM$9)*CJ388),$AU388*IF($O388="sk",$FM$10,$FM$9)*CJ388)*CN388))*(IF(CL388="全员",1)+IF(CL388="同作战",IF($O388="sk",$FM$10*3,$FM$9*3))+IF(CL388="同属性",$FM$23/6)+IF(CL388="同年级",$FM$24/6)+IF(CL388="同type",IF(O388="sp",$FN$6*$FM$9)))),0)+IF(CK388="sp获得",IF(CI388="AC成功",0,CM388*(IF(CL388="ap",AQ388)+IF(CL388="st",AR388)+IF(CL388="te",AS388)+IF(CL388="sp槽",$EW$77)+IF(CL388="",1))*IF($O388="sk",1,1+(1+$FM$10/$FM$9)*($FM$27-1))*(IF(CI388="曲开始",CJ388/$FM$19)+IF(CI388="SP发动",IF(CO388&lt;&gt;"",MIN(CO388/$FM$19,CJ388*$FM$30/$FM$19),CJ388*$FM$30/$FM$19))+IF(CI388="切队",IF(CO388&lt;&gt;"",MIN(CO388/$FM$19,CJ388*$FM$11),CJ388*$FM$11))+IF(OR(CI388="AC时",CI388="AC成功"),IF(CO388&lt;&gt;"",MIN(CO388/$FM$19,CJ388*$FM$20/$FM$19),CJ388*$FM$20/$FM$19))+IF(CI388="ap时",IF(CO388&lt;&gt;"",MIN(CO388/$FM$19,CJ388*IF($O388="sk",$FM$10,$FM$9)),CJ388*IF($O388="sk",$FM$10,$FM$9)))+IF(CI388="ct时",IF(CO388&lt;&gt;"",MIN(CO388/$FM$19,CJ388*IF($O388="sk",$FM$10,$FM$9)*$AU388),CJ388*IF($O388="sk",$FM$10,$FM$9)*$AU388)))))</f>
        <v>1.1458333333333335</v>
      </c>
      <c r="CU388" s="1101">
        <f t="shared" ref="CU388:CU451" si="565">IF(AND(CK388="技能+",CL388="自身",$DR388=0.11),0,IF(CK388="sp+",CP388*$EW$30*$EW$32*(1-$EW$33),0)+IF(CK388="ap+",CP388*$EW$26/(1+$EW$15),0)+IF(CK388="ap+元气",CP388*$EW$26/(1+$EW$15)*$EW$67,0)+IF(CK388="技能+",$EW$28*CP388/$EW$27,0)+IF(CK388="vo+",$EW$26*CP388,0)+IF(CK388="sp获得",CP388*(1-$EW$33)*$EW$30/$EW$77)+IF(CK388="vo获得",CP388*$EW$24)+IF(CK388="ct+",$EW$26/(1+($EW$22-1)*$EW$19)*($EW$22-1)*CP388)+IF(CK388="核弹",$EW$24*CP388*(1+$EW$23))+IF(CK388="ct值+",$EW$26/(1+($EW$22-1)*$EW$19)*$EW$19*CP388))</f>
        <v>74.285714285714292</v>
      </c>
      <c r="CV388" s="1108">
        <f t="shared" ref="CV388:CV451" si="566">IF(AND(CK388="技能+",CL388="自身",$DR388=0.11),0,IF(CK388="sp+",CQ388*$FA$27*$FA$32*(1-$FA$33),0)+IF(CK388="ap+",CQ388*$FA$24/(1+$FA$15)*(1-$FI$26),0)+IF(CK388="ap+元气",CQ388*$FA$24/(1+$FA$15)*(1-$FI$26)*$FA$64,0)+IF(CK388="技能+",$FA$26*CQ388/$FA$25,0)+IF(CK388="vo+",$FA$24*CQ388*(1-$FI$26),0)+IF(CK388="sp获得",CQ388*(1-$FA$33)*$FA$27/$FA$69)+IF(CK388="vo获得",CQ388*$FA$22)+IF(CK388="ct+",$FA$24/(1+($FA$20-1)*$FA$19)*($FA$20-1)*CQ388*(1-$FI$27))+IF(CK388="核弹",CQ388*(1+$FA$21)*(1-$FI$29))+IF(CK388="ct值+",$FA$24/(1+($FA$20-1)*$FA$19)*$FA$19*CQ388*(1-$FI$28))+IF(CK388="自身ct时上限突破",CQ388*$FI$24*$FI$26*BD388,0))</f>
        <v>77.518518518518505</v>
      </c>
      <c r="CW388" s="1097">
        <f t="shared" ref="CW388:CW451" si="567">IF(CK388="sp+",CR388*$EW$30*$EW$32*(1-$EW$33),0)+IF(CK388="ap+",CR388*$EW$26/(1+$EW$15),0)+IF(CK388="ap+元气",CR388*$EW$26/(1+$EW$15)*$EW$67,0)+IF(CK388="技能+",$EW$28*CR388/$EW$27,0)+IF(CK388="vo+",$EW$26*CR388,0)+IF(CK388="sp获得",CR388*(1-$EW$33)*$EW$30/$EW$77)+IF(CK388="vo获得",CR388*$EW$24)+IF(CK388="ct+",$EW$26/(1+($EW$22-1)*$EW$19)*($EW$22-1)*CR388)+IF(CK388="核弹",CR388*(1+$EW$23)*$EW$24)+IF(CK388="ct值+",$EW$26/(1+($EW$22-1)*$EW$19)*$EW$19*CR388)</f>
        <v>37.142857142857146</v>
      </c>
      <c r="CX388" s="1097">
        <f t="shared" ref="CX388:CX451" si="568">CU388+IF(OR(CK388="加盾",AND(CK388="回血",OR(CI388&lt;&gt;"切队",CO388=""))),MIN($EW$26/$EW$66*(1-$EW$66)-$EE388+$EC388-$ET388+$ER388, $EW$26*(HP($EW$62,$EW$65,$EW$64-CP388)/$EW$66-1)))+IF(CK388="减伤",MIN($EW$26/$EW$66*(1-$EW$66)-$EE388+$EC388-$ET388+$ER388, $EW$26*(HP($EW$62,$EW$65,$EW$64*(1-CP388))/$EW$66-1)))</f>
        <v>74.285714285714292</v>
      </c>
      <c r="CY388" s="1110">
        <f t="shared" ref="CY388:CY451" si="569">CW388+(IF(OR(CK388="加盾",AND(CK388="回血",OR(CI388&lt;&gt;"切队",CO388=""))),$EW$26*(HP($EW$62,$EW$65,$EW$64-CP388)/$EW$66-1))+IF(CK388="减伤",$EW$26*(HP($EW$62,$EW$65,$EW$64*(1-CP388))/$EW$66-1)))*IF(OR(CL388="自身",CL388="同作战"),0,1)*IF(OR(CI388="ap时",CI388="ct时"),0,1)</f>
        <v>37.142857142857146</v>
      </c>
      <c r="CZ388" s="437"/>
      <c r="DA388" s="438"/>
      <c r="DB388" s="439" t="s">
        <v>569</v>
      </c>
      <c r="DC388" s="439"/>
      <c r="DD388" s="443"/>
      <c r="DE388" s="411"/>
      <c r="DF388" s="411"/>
      <c r="DG388" s="1116">
        <f t="shared" ref="DG388:DG451" si="570">IF(OR(DB388="无",CZ388="大量伤害",CZ388="AC失败",CZ388="低血量",DB388="复活",DB388="驱散",DB388="Gd切队效果up"),0,IF(AND(DB388="sp获得",CZ388="AC成功"),0,IF(DB388="其他",0,IF(DE388=0,DD388*(IF(DC388="ap",BH388*IF(DB388="vo获得",BG388,1))+IF(DC388="st",BI388)+IF(DC388="te",BJ388)+IF(DC388="sp槽",$EW$77)+IF(DC388="",1))*(IF(CZ388="曲开始",DA388,0)+IF(CZ388="切队",IF(DF388&lt;&gt;"",MIN(DF388,DA388*$EW$79),DA388*$EW$79))+IF(CZ388="SP发动",IF(DF388&lt;&gt;"",MIN(DF388,DA388*$EW$76),DA388*$EW$76))+IF(CZ388="ap时",IF(DF388&lt;&gt;"",MIN(DF388,DA388*$EW$65/3),DA388*$EW$65/3),0)+IF(CZ388="伤害时",IF(DF388&lt;&gt;"",MIN(DF388,DA388*$EW$65*(1-$EW$75)),DA388*$EW$65*(1-$EW$75)),0)+IF(CZ388="ct时",IF(DF388&lt;&gt;"",MIN(DF388,DA388*$EW$65/3*$AU388),DA388*$EW$65/3*$AU388),0)+IF(OR(CZ388="AC时",CZ388="AC成功"),IF(DF388&lt;&gt;"",MIN(DF388,DA388*$EW$73),DA388*$EW$73))),0)/$EW$65+IF(DE388="infty",IF(OR(CZ388="曲开始",AND(DA388=1,DF388=1)),DD388*DA388,IF(CZ388="SP发动",IF(DF388=1,DD388*(1-(1-(1-DA388)^($EW$76+1))/(($EW$76+1)*DA388)))+IF(DF388="",DA388*DD388*$EW$76/2),0)+IF(CZ388="AC时",IF(DF388=1,DD388*(1-(1-(1-DA388)^($EW$73+1))/(($EW$73+1)*DA388)))+IF(DF388="",DA388*DD388*$EW$73/2),0)+IF(CZ388="AC成功",IF(DF388=1,DD388*(1-(1-(1-DA388)^($EW$73+1))/(($EW$73+1)*DA388)))+IF(DF388="",DA388*DD388*$EW$73/2),0)),0)*(IF(DC388="全员",1,0)+IF(DC388="同属性",$EW$37/3,0)+IF(DC388="同年级",$EW$40/3,0)+IF(DC388="同作战",1,0)+IF(DC388="自身",1/3,0)+IF(DC388="同type",INDEX($EX$49:$EX$52,MATCH($O388,$EW$49:$EW$52,))/3))+IF(AND(DE388&lt;&gt;0,DE388&lt;&gt;"infty"),IF(DE388="AC内",$EW$74,DE388)*DD388*(IF(CZ388="曲开始",DA388,0)+IF(CZ388="切队",IF(DF388&lt;&gt;"",MIN(DF388,DA388*$EW$79),DA388*$EW$79))+IF(CZ388="SP发动",IF(DF388&lt;&gt;"",MIN(DF388,DA388*$EW$76),DA388*$EW$76))+IF(CZ388="ap时",IF(DF388&lt;&gt;"",MIN(DF388,DA388*$EW$65/3),DA388*$EW$65/3),0)+IF(CZ388="伤害时",IF(DF388&lt;&gt;"",MIN(DF388,DA388*$EW$65*(1-$EW$75)),DA388*$EW$65*(1-$EW$75)),0)+IF(CZ388="ct时",IF(DF388&lt;&gt;"",MIN(DF388,DA388*$EW$65/3*$AU388),DA388*$EW$65/3*$AU388),0)+IF(OR(CZ388="AC时",CZ388="AC成功"),IF(DF388&lt;&gt;"",MIN(DF388,DA388*$EW$73),DA388*$EW$73))),0)/$EW$65*(IF(DC388="全员",1,0)+IF(DC388="同属性",$EW$37/3,0)+IF(DC388="同年级",$EW$40/3,0)+IF(DC388="同学校",$EW$43/3,0)+IF(DC388="同作战",1,0)+IF(DC388="自身",1/3,0)+IF(DC388="同type",INDEX($EX$49:$EX$52,MATCH($O388,$EW$49:$EW$52,))/3)-IF(AND(DB388="ct+",DC388&lt;&gt;"仲间"),MAX(DD388+$AU388-1,0)/DD388/3)))))</f>
        <v>0</v>
      </c>
      <c r="DH388" s="1116">
        <f t="shared" ref="DH388:DH451" si="571">IF(OR(DB388="无",CZ388="大量伤害",CZ388="AC失败",CZ388="低血量",DB388="复活",DB388="驱散",DB388="Gd切队效果up"),0,IF(AND(DB388="sp获得",CZ388="AC成功"),0,IF(DB388="其他",0,IF(DE388=0,DD388*(IF(DC388="ap",BR388*IF(DB388="vo获得",BG388,1))+IF(DC388="st",BS388)+IF(DC388="te",BT388)+IF(DC388="sp槽",$FA$69)+IF(DC388="",1))*(IF(DB388="sp获得",$FA$30,1))*(IF(CZ388="曲开始",DA388,0)+IF(CZ388="切队",IF(DF388&lt;&gt;"",MIN(DF388,DA388*$FA$71),DA388*$FA$71))+IF(CZ388="SP发动",IF(DF388&lt;&gt;"",MIN(DF388,DA388*$FA$68),DA388*$FA$68))+IF(CZ388="ap时",IF(DF388&lt;&gt;"",MIN(DF388,DA388*$FA$62/3),DA388*$FA$62/3),0)+IF(CZ388="伤害时",IF(DF388&lt;&gt;"",MIN(DF388,DA388*$FA$62*(1-$FA$67)),DA388*$FA$62*(1-$FA$67)),0)+IF(CZ388="ct时",IF(DF388&lt;&gt;"",MIN(DF388,DA388*$FA$62/3*$BD388),DA388*$FA$62/3*$BD388),0)+IF(OR(CZ388="AC时",CZ388="AC成功"),IF(DF388&lt;&gt;"",MIN(DF388,DA388*$FA$65),DA388*$FA$65))),0)/$FA$62+IF(DE388="infty",IF(OR(CZ388="曲开始",AND(DA388=1,DF388=1)),DD388*DA388,IF(CZ388="SP发动",IF(DF388=1,DD388*(1-(1-(1-DA388)^($FA$68+1))/(($FA$68+1)*DA388)))+IF(DF388="",DA388*DD388*$FA$68/2),0)+IF(CZ388="AC时",IF(DF388=1,DD388*(1-(1-(1-DA388)^($FA$65+1))/(($FA$65+1)*DA388)))+IF(DF388="",DA388*DD388*$FA$65/2),0)+IF(CZ388="AC成功",IF(DF388=1,DD388*(1-(1-(1-DA388)^($FA$65+1))/(($FA$65+1)*DA388)))+IF(DF388="",DA388*DD388*$FA$65/2),0)),0)*(IF(DC388="全员",1,0)+IF(DC388="同属性",$FA$37/3,0)+IF(DC388="同年级",$FA$40/3,0)+IF(DC388="同作战",1,0)+IF(DC388="自身",1/3,0)+IF(DC388="同type",INDEX($FB$49:$FB$52,MATCH($O388,$FA$49:$FA$52,))/3))+IF(AND(DE388&lt;&gt;0,DE388&lt;&gt;"infty"),IF(DE388="AC内",$FA$66,DE388)*DD388*(IF(CZ388="曲开始",DA388,0)+IF(CZ388="切队",IF(DF388&lt;&gt;"",MIN(DF388,DA388*$FA$71),DA388*$FA$71))+IF(CZ388="SP发动",IF(DF388&lt;&gt;"",MIN(DF388,DA388*$FA$68),DA388*$FA$68))+IF(CZ388="ap时",IF(DF388&lt;&gt;"",MIN(DF388,DA388*$FA$62/3),DA388*$FA$62/3),0)+IF(CZ388="伤害时",IF(DF388&lt;&gt;"",MIN(DF388,DA388*$FA$62*(1-$FA$67)),DA388*$FA$62*(1-$FA$67)),0)+IF(CZ388="ct时",IF(DF388&lt;&gt;"",MIN(DF388,DA388*$FA$62/3*$BD388),DA388*$FA$62/3*$BD388),0)+IF(OR(CZ388="AC时",CZ388="AC成功"),IF(DF388&lt;&gt;"",MIN(DF388,DA388*$FA$65),DA388*$FA$65))),0)/$FA$62*(IF(DC388="全员",1,0)+IF(DC388="同属性",$FA$37/3,0)+IF(DC388="同年级",$FA$40/3,0)+IF(DC388="同学校",$FA$43/3,0)+IF(DC388="同作战",1,0)+IF(DC388="自身",1/3,0)+IF(DC388="同type",INDEX($FB$49:$FB$52,MATCH($O388,$FA$49:$FA$52,))/3)-IF(AND(DB388="ct+",DC388&lt;&gt;"仲间"),MAX(DD388+$BD388-1,0)/3/DD388)))))</f>
        <v>0</v>
      </c>
      <c r="DI388" s="1116">
        <f t="shared" ref="DI388:DI451" si="572">IF(OR(DB388="无",CZ388="大量伤害",CZ388="AC失败",CZ388="低血量",DB388="复活",DB388="驱散",DB388="Gd切队效果up"),0,IF(AND(DB388="sp获得",CZ388="AC成功"),0,IF(DB388="其他",0,IF(DE388=0,DD388*(IF(DC388="ap",BH388*IF(DB388="vo获得",BG388,1))+IF(DC388="st",BI388)+IF(DC388="te",BJ388)+IF(DC388="sp槽",$EW$77)+IF(DC388="",1))*(IF(CZ388="曲开始",DA388,0)+IF(CZ388="切队",IF(DF388&lt;&gt;"",MIN(DF388,DA388*$EW$79),DA388*$EW$79))+IF(CZ388="SP发动",IF(DF388&lt;&gt;"",MIN(DF388,DA388*$EW$76),DA388*$EW$76))+IF(CZ388="ap时",0)+IF(CZ388="伤害时",IF(DF388&lt;&gt;"",MIN(DF388,DA388*$EW$65*(1-$EW$75)),DA388*$EW$65*(1-$EW$75)),0)+IF(CZ388="ct时",0)+IF(OR(CZ388="AC时",CZ388="AC成功"),IF(DF388&lt;&gt;"",MIN(DF388,DA388*$EW$73),DA388*$EW$73))),0)/$EW$65+IF(DE388="infty",IF(OR(CZ388="曲开始",AND(DA388=1,DF388=1)),DD388*DA388,IF(CZ388="SP发动",IF(DF388=1,DD388*(1-(1-(1-DA388)^($EW$76+1))/(($EW$76+1)*DA388)))+IF(DF388="",DA388*DD388*$EW$76/2),0)+IF(CZ388="AC时",IF(DF388=1,DD388*(1-(1-(1-DA388)^($EW$73+1))/(($EW$73+1)*DA388)))+IF(DF388="",DA388*DD388*$EW$73/2),0)+IF(CZ388="AC成功",IF(DF388=1,DD388*(1-(1-(1-DA388)^($EW$73+1))/(($EW$73+1)*DA388)))+IF(DF388="",DA388*DD388*$EW$73/2),0)),0)*(IF(DC388="全员",1,0)+IF(DC388="同属性",$EW$38/3,0)+IF(DC388="同年级",$EW$41/3,0)+IF(DC388="同作战",0,0)+IF(DC388="自身",0,0)+IF(DC388="同type",INDEX($EX$53:$EX$56,MATCH($O388,$EW$53:$EW$56,))/3))+IF(AND(DE388&lt;&gt;0,DE388&lt;&gt;"infty"),IF(DE388="AC内",$EW$74,DE388)*(IF(CZ388="曲开始",DD388*DA388,0)+IF(CZ388="切队",DD388*IF(DF388&lt;&gt;"",MIN(DF388,DA388*$EW$79),DA388*$EW$79))+IF(CZ388="SP发动",DD388*IF(DF388&lt;&gt;"",MIN(DF388,DA388*$EW$76),DA388*$EW$76))+IF(CZ388="ap时",0,0)+IF(CZ388="伤害时",DD388*IF(DF388&lt;&gt;"",MIN(DF388,DA388*$EW$65*(1-$EW$75)),DA388*$EW$65*(1-$EW$75)),0)+IF(CZ388="ct时",0,0)+IF(OR(CZ388="AC时",CZ388="AC成功"),DD388*IF(DF388&lt;&gt;"",MIN(DF388,DA388*$EW$73),DA388*$EW$73))),0)/$EW$65*(IF(DC388="全员",1,0)+IF(DC388="同属性",$EW$38/3,0)+IF(DC388="同年级",$EW$41/3,0)+IF(DC388="同学校",$EW$44/3,0)+IF(DC388="同作战",0,0)+IF(DC388="自身",0,0)+IF(DC388="同type",INDEX($EX$53:$EX$56,MATCH($O388,$EW$53:$EW$56,))/3)))))</f>
        <v>0</v>
      </c>
      <c r="DJ388" s="442">
        <f t="shared" ref="DJ388:DJ451" si="573">IF(DB388="技能+",IF(DE388="infty",(IF(CZ388="曲开始",DD388*DA388)+IF(OR(CZ388="AC时",CZ388="AC成功"),(1-(1-(1-DA388)^($FM$20+1))/(($FM$20+1)*DA388))*DD388))*(IF(DC388="全员",1)))+IF(DE388&lt;&gt;"infty",DD388*(IF(CZ388="曲开始",DA388*DE388/$FM$19)+IF(OR(CZ388="AC时",CZ388="AC成功"),DE388*IF(DF388&lt;&gt;"",MIN(DF388,DA388*$FM$20),DA388*$FM$20)/$FM$19)+IF(CZ388="切队",DE388*IF(DF388&lt;&gt;"",MIN(DA388*$FM$11,DF388/$FM$19),DA388*$FM$11))+IF(CZ388="ap时",IF(DF388&lt;&gt;"",MIN(DF388/$FM403,IF($O388="sk",$FM$10,$FM$9)*DA388),IF($O388="sk",$FM$10,$FM$9)*DA388)*DE388)+IF(CZ388="ct时",IF(DF388&lt;&gt;"",MIN(DF388/$FM403,$AU388*IF($O388="sk",$FM$10,$FM$9)*DA388),$AU388*IF($O388="sk",$FM$10,$FM$9)*DA388)*DE388))*(IF(DC388="全员",1)+IF(DC388="同作战",IF($O388="sk",$FM$10*3,$FM$9*3))+IF(DC388="同属性",$FM$23/6)+IF(DC388="同年级",$FM$24/6)+IF(DC388="自身",IF($O388="sk",$FM$10,$FM$9)))),0)*$FM$16</f>
        <v>0</v>
      </c>
      <c r="DK388" s="1109">
        <f t="shared" ref="DK388:DK451" si="574">IF(DB388="sp+",IF(DE388="infty",(IF(CZ388="曲开始",DD388*DA388*$FM$28)+IF(OR(CZ388="AC时",CZ388="AC成功"),(1-(1-(1-DA388)^($FM$20+1))/(($FM$20+1)*DA388))*DD388*$FM$28))*(IF(DC388="全员",1)))+IF(DE388&lt;&gt;"infty",DD388*$FM$28*(IF(CZ388="曲开始",DA388*DE388/$FM$19)+IF(OR(CZ388="AC时",CZ388="AC成功"),DE388*IF(DF388&lt;&gt;"",MIN(DF388,DA388*$FM$20),DA388*$FM$20)/$FM$19)+IF(CZ388="切队",DE388*IF(DF388&lt;&gt;"",MIN(DA388*$FM$11,DF388/$FM$19),DA388*$FM$11))+IF(CZ388="ap时",IF(DF388&lt;&gt;"",MIN(DF388/$FM403,IF($O388="sk",$FM$10,$FM$9)*DA388),IF($O388="sk",$FM$10,$FM$9)*DA388)*DE388)+IF(CZ388="ct时",IF(DF388&lt;&gt;"",MIN(DF388/$FM403,$AU388*IF($O388="sk",$FM$10,$FM$9)*DA388),$AU388*IF($O388="sk",$FM$10,$FM$9)*DA388)*DE388))*(IF(DC388="全员",1)+IF(DC388="同作战",IF($O388="sk",$FM$10*3,$FM$9*3))+IF(DC388="同属性",$FM$23/6)+IF(DC388="同年级",$FM$24/6)+IF(DC388="同type",IF(AF388="sp",$FN$6*$FM$9)))),0)+IF(DB388="sp获得",IF(CZ388="AC成功",0,DD388*(IF(DC388="ap",BI388)+IF(DC388="st",BJ388)+IF(DC388="te",BK388)+IF(DC388="sp槽",$EW$77)+IF(DC388="",1))*IF($O388="sk",1,1+(1+$FM$10/$FM$9)*($FM$27-1))*(IF(CZ388="曲开始",DA388/$FM$19)+IF(CZ388="SP发动",IF(DF388&lt;&gt;"",MIN(DF388/$FM$19,DA388*$FM$30/$FM$19),DA388*$FM$30/$FM$19))+IF(CZ388="切队",IF(DF388&lt;&gt;"",MIN(DF388/$FM$19,DA388*$FM$11),DA388*$FM$11))+IF(OR(CZ388="AC时",CZ388="AC成功"),IF(DF388&lt;&gt;"",MIN(DF388/$FM$19,DA388*$FM$20/$FM$19),DA388*$FM$20/$FM$19))+IF(CZ388="ap时",IF(DF388&lt;&gt;"",MIN(DF388/$FM$19,DA388*IF($O388="sk",$FM$10,$FM$9)),DA388*IF($O388="sk",$FM$10,$FM$9)))+IF(CZ388="ct时",IF(DF388&lt;&gt;"",MIN(DF388/$FM$19,DA388*IF($O388="sk",$FM$10,$FM$9)*$AU388),DA388*IF($O388="sk",$FM$10,$FM$9)*$AU388)))))</f>
        <v>0</v>
      </c>
      <c r="DL388" s="1101">
        <f t="shared" ref="DL388:DL451" si="575">IF(DB388="sp+",DG388*$EW$30*$EW$32*(1-$EW$33),0)+IF(DB388="ap+",DG388*$EW$26/(1+$EW$15),0)+IF(DB388="ap+元气",DG388*$EW$26/(1+$EW$15)*$EW$67,0)+IF(DB388="技能+",$EW$28*DG388/$EW$27,0)+IF(DB388="vo+",$EW$26*DG388,0)+IF(DB388="sp获得",DG388*(1-$EW$33)*$EW$30/$EW$77)+IF(DB388="vo获得",DG388*$EW$24)+IF(DB388="ct+",$EW$26/(1+($EW$22-1)*$EW$19)*($EW$22-1)*DG388)+IF(DB388="核弹",DG388*(1+$EW$23))+IF(DB388="ct值+",$EW$26/(1+($EW$22-1)*$EW$19)*$EW$19*DG388)</f>
        <v>0</v>
      </c>
      <c r="DM388" s="1097">
        <f t="shared" ref="DM388:DM451" si="576">IF(DB388="sp+",DH388*$FA$27*$FA$32*(1-$FA$33),0)+IF(DB388="ap+",DH388*$FA$24/(1+$FA$15)*(1-$FI$26),0)+IF(DB388="ap+元气",DH388*$FA$24/(1+$FA$15)*(1-$FI$26)*$FA$64,0)+IF(DB388="技能+",$FA$26*DH388/$FA$25,0)+IF(DB388="vo+",$FA$24*DH388*(1-$FI$26),0)+IF(DB388="sp获得",DH388*(1-$FA$33)*$FA$27/$FA$69)+IF(DB388="vo获得",DH388*$FA$22)+IF(DB388="ct+",$FA$24/(1+($FA$20-1)*$FA$19)*($FA$20-1)*DH388*(1-$FI$27))+IF(DB388="核弹",DH388*(1+$FA$21)*(1-$FI$29))+IF(DB388="ct值+",$FA$24/(1+($FA$20-1)*$FA$19)*$FA$19*DH388*(1-$FI$28))</f>
        <v>0</v>
      </c>
      <c r="DN388" s="1097">
        <f t="shared" ref="DN388:DN451" si="577">IF(DB388="sp+",DI388*$EW$30*$EW$32*(1-$EW$33),0)+IF(DB388="ap+",DI388*$EW$26/(1+$EW$15),0)+IF(DB388="ap+元气",DI388*$EW$26/(1+$EW$15)*$EW$67,0)+IF(DB388="技能+",$EW$28*DI388/$EW$27,0)+IF(DB388="vo+",$EW$26*DI388,0)+IF(DB388="sp获得",DI388*(1-$EW$33)*$EW$30/$EW$77)+IF(DB388="vo获得",DI388*$EW$24)+IF(DB388="ct+",$EW$26/(1+($EW$22-1)*$EW$19)*($EW$22-1)*DI388)+IF(DB388="核弹",DI388*(1+$EW$23))+IF(DB388="ct值+",$EW$26/(1+($EW$22-1)*$EW$19)*$EW$19*DI388)</f>
        <v>0</v>
      </c>
      <c r="DO388" s="1097">
        <f t="shared" ref="DO388:DO451" si="578">DL388+IF(OR(DB388="加盾",AND(DB388="回血",OR(CZ388&lt;&gt;"切队",DF388=""))),MIN($EW$26/$EW$66*(1-$EW$66)-$EE388+$EC388-$ET388+$ER388, $EW$26*(HP($EW$62,$EW$65,$EW$64-DG388)/$EW$66-1)))+IF(DB388="减伤",MIN($EW$26/$EW$66*(1-$EW$66)-$EE388+$EC388-$ET388+$ER388, $EW$26*(HP($EW$62,$EW$65,$EW$64*(1-DG388))/$EW$66-1)))</f>
        <v>0</v>
      </c>
      <c r="DP388" s="1110">
        <f t="shared" ref="DP388:DP451" si="579">DN388+(IF(OR(DB388="加盾",AND(DB388="回血",OR(CZ388&lt;&gt;"切队",DF388=""))),$EW$26*(HP($EW$62,$EW$65,$EW$64-DG388)/$EW$66-1))+IF(DB388="减伤",$EW$26*(HP($EW$62,$EW$65,$EW$64*(1-DG388))/$EW$66-1)))*IF(OR(DC388="自身",DC388="同作战"),0,1)*IF(OR(CZ388="ap时",CZ388="ct时"),0,1)</f>
        <v>0</v>
      </c>
      <c r="DQ388" s="1113" t="s">
        <v>549</v>
      </c>
      <c r="DR388" s="1120">
        <f t="shared" ref="DR388:DR451" si="580">IF(F388="UR",0.33,0.3)</f>
        <v>0.3</v>
      </c>
      <c r="DS388" s="1124"/>
      <c r="DT388" s="1093" t="s">
        <v>179</v>
      </c>
      <c r="DU388" s="1093"/>
      <c r="DV388" s="1098">
        <f>IF($P388="","N/A",IF(P388=-1,INDEX('卡片raw data'!AN:AN,MATCH(D388,'卡片raw data'!$F:$F,)),0)+IF(AND(L388&lt;&gt;"party卡",P388&lt;=2,P388&gt;=0),INDEX('卡片raw data'!AP:AP,MATCH(D388,'卡片raw data'!$F:$F,)),0)+IF(OR(AND(L388="party卡",P388&lt;=1),AND(P388&lt;=4,L388&lt;&gt;"party卡",P388&gt;=3)),INDEX('卡片raw data'!AQ:AQ,MATCH(D388,'卡片raw data'!$F:$F,)),0)+IF(OR(P388=5,AND(L388="party卡",P388&gt;=2)),INDEX('卡片raw data'!AR:AR,MATCH(D388,'卡片raw data'!$F:$F,)),0))</f>
        <v>7.0000000000000007E-2</v>
      </c>
      <c r="DW388" s="1098">
        <f t="shared" ref="DW388:DW451" si="581">DR388+IF(AND($CK388="技能+",$CL388="自身",DR388=0.11),$CP388*3)</f>
        <v>0.3</v>
      </c>
      <c r="DX388" s="1098">
        <f t="shared" ref="DX388:DX451" si="582">DR388+IF(AND($CK388="技能+",$CL388="自身",DR388=0.11),$CQ388*3)</f>
        <v>0.3</v>
      </c>
      <c r="DY388" s="1098">
        <f t="shared" ref="DY388:DY451" si="583">IF(DS388=0,IF(DT388="ap",DV388*$AQ388*DW388/3*IF(DQ388="vo获得",$AP388,1))+IF(DT388="st",DV388*$AR388*DW388/3)+IF(DT388="te",DV388*$AS388*DW388/3)+IF(DT388="sp槽",DV388*DW388/3)+IF(DT388="固定值",IF(DQ388="sp获得",DV388/3*DW388/$EW$77,DV388*DW388/3)),IF(DU388="百分比",IF(DT388="全员",DV388*DW388/3*DS388)+IF(DT388="仲间",DV388*DW388/3*DS388*2/3)+IF(DT388="同作战",DV388*DW388/3*DS388)+IF(DT388="同年级",DV388*DW388/3*DS388*$EW$40/3)+IF(DT388="同学校",DV388*DW388/3*DS388*$EW$43/3)+IF(DT388="同属性",DV388*DW388/3*DS388*$EW$37/3)+IF(DT388="同type",DV388*DW388/3*DS388*INDEX($EX$49:$EX$52,MATCH(O388,$EW$49:$EW$52,))/3),(IF(DQ388="ap+",DV388/$EX$16*DS388*DW388/3)+IF(DQ388="vo+",DV388*(1+$EW$23)/$EW$26*DS388*DW388/3))*(IF(DT388="全员",1)+IF(DT388="同作战",1)))-IF(AND(DQ388="ct+",DT388&lt;&gt;"仲间"),MAX(DV388+$AU388-1,0)*DW388/3*_xlfn.FLOOR.MATH(DS388/3)))</f>
        <v>7.0000000000000001E-3</v>
      </c>
      <c r="DZ388" s="1098">
        <f t="shared" ref="DZ388:DZ451" si="584">IF(DS388=0,IF(DT388="ap",IF(DQ388="vo获得",MIN(DV388*$BA388*$AP388,$FI$25)*$FA$22*DX388/3,DV388*$BA388*DX388/3))+IF(DT388="st",DV388*$BB388*DX388/3)+IF(DT388="te",DV388*$BC388*DX388/3)+IF(DT388="sp槽",DV388*DX388/3*$FA$30)+IF(DT388="固定值",IF(DQ388="sp获得",DV388/3*DX388/$FA$69*$FA$30,DV388*DX388/3)),IF(DU388="百分比",IF(DT388="全员",DV388*DX388/3*DS388)+IF(DT388="仲间",DV388*DX388/3*DS388*2/3)+IF(DT388="同作战",DV388*DX388/3*DS388)+IF(DT388="同年级",DV388*DX388/3*DS388*$FA$40/3)+IF(DT388="同学校",DV388*DX388/3*DS388*$FA$43/3)+IF(DT388="同属性",DV388*DX388/3*DS388*$FA$37/3)+IF(DT388="同type",DV388*DX388/3*DS388*INDEX($FB$49:$FB$52,MATCH(O388,$FA$49:$FA$52,))/3),(IF(DQ388="ap+",DV388/$FB$16*DS388*DX388/3)+IF(DQ388="vo+",DV388*(1+$FA$21)/$FA$24*DS388*DX388/3))*(IF(DT388="全员",1)+IF(DT388="同作战",1)))-IF(AND(DQ388="ct+",DT388&lt;&gt;"仲间"),MAX(DV388+$BD388-1,0)*DX388/3*_xlfn.FLOOR.MATH(DS388/3)))*$FA$57</f>
        <v>6.9632499999999998E-3</v>
      </c>
      <c r="EA388" s="1098">
        <f t="shared" ref="EA388:EA451" si="585">IF(DQ388="技能+",IF(O388="sk",FM$10,FM$9)*(1+0.1*$FM$31/$FM$19)*IF(O388="sk",$FM$18,$FM$17)*DR388/$FM$14*(IF(DT388="全员",DS388*DV388)+IF(DT388="同属性",DS388*DV388*$FM$23/6)+IF(DT388="同作战",DV388*IF(O388="sk",IF(AND(DS388&gt;1,DS388&lt;6),2),$FM$9*DS388*3))),0)*$FM$16</f>
        <v>0</v>
      </c>
      <c r="EB388" s="1121">
        <f t="shared" ref="EB388:EB451" si="586">IF(DQ388="sp+",1/6*(1+0.1*$FM$31/$FM$19)*IF(O388="sk",$FM$18,$FM$17)*DR388/$FM$14*$FM$28*(IF(DT388="全员",DS388*DV388)+IF(DT388="同属性",DS388*DV388*$FM$23/6)+IF(DT388="同年级",DS388*DV388*$FM$24/6)),0)+IF(DQ388="sp获得",1/6*(1+0.1*$FM$31/$FM$19)*IF(O388="sk",$FM$18,$FM$17)*DR388/$FM$14*IF(O388="sk",1,1+(1+$FM$10/$FM$9)*($FM$27-1))*IF(DT388="固定值",DV388,DV388*$FM$25))</f>
        <v>42.663074999999999</v>
      </c>
      <c r="EC388" s="1101">
        <f t="shared" ref="EC388:EC451" si="587">IF(DQ388="ap+",$EW$26/(1+$EW$15)*DY388)+IF(DQ388="vo+",$EW$26*DY388)+IF(DQ388="vo获得",DY388*$EW$24)+IF(DQ388="sp+",DY388*$EW$30*$EW$32*(1-$EW$33))+IF(DQ388="sp获得",DY388*$EW$30*(1-$EW$33))+IF(DQ388="技能+",DY388*$EW$28/$EW$27)+IF(DQ388="ct+",DY388*$EW$26/(1+($EW$22-1)*$EW$19)*($EW$22-1))+IF(DQ388="核弹",DY388*(1+$EW$23)*$EW$24)+IF(DQ388="ct值+",$EW$26/(1+($EW$22-1)*$EW$19)*$EW$19*DY388)</f>
        <v>3150</v>
      </c>
      <c r="ED388" s="1097">
        <f t="shared" ref="ED388:ED451" si="588">IF(DQ388="ap+",$FA$24/(1+$FA$15)*DZ388*(1-$FI$26))+IF(DQ388="vo+",$FA$24*DZ388*(1-$FI$26))+IF(DQ388="vo获得",DZ388)+IF(DQ388="sp+",DZ388*$FA$27*$FA$32*(1-$FA$33))+IF(DQ388="sp获得",DZ388*$FA$27*(1-$FA$33))+IF(DQ388="技能+",DZ388*$FA$26/$FA$25)+IF(DQ388="ct+",DZ388*$FA$24/(1+($FA$20-1)*$FA$19)*($FA$20-1)*(1-$FI$27))+IF(DQ388="核弹",DZ388*(1+$FA$21)*(1-$FI$29))+IF(DQ388="ct值+",$FA$24/(1+($FA$20-1)*$FA$19)*$FA$19*DZ388*(1-$FI$28))</f>
        <v>1740.8125</v>
      </c>
      <c r="EE388" s="1110">
        <f t="shared" si="513"/>
        <v>3150</v>
      </c>
      <c r="EF388" s="1115" t="s">
        <v>569</v>
      </c>
      <c r="EG388" s="1120">
        <f t="shared" ref="EG388:EG451" si="589">IF(F388="UR",0.33,0.3)</f>
        <v>0.3</v>
      </c>
      <c r="EH388" s="1124"/>
      <c r="EI388" s="1093"/>
      <c r="EJ388" s="1093"/>
      <c r="EK388" s="1097">
        <f>IF($P388="","N/A",IF(P388=-1,INDEX('卡片raw data'!AS:AS,MATCH(D388,'卡片raw data'!$F:$F,)),0)+IF(AND(L388&lt;&gt;"party卡",P388&lt;=2,P388&gt;=0),INDEX('卡片raw data'!AU:AU,MATCH(D388,'卡片raw data'!$F:$F,)),0)+IF(OR(AND(L388="party卡",P388&lt;=1),AND(P388&lt;=4,L388&lt;&gt;"party卡",P388&gt;=3)),INDEX('卡片raw data'!AV:AV,MATCH(D388,'卡片raw data'!$F:$F,)),0)+IF(OR(P388=5,AND(L388="party卡",P388&gt;=2)),INDEX('卡片raw data'!AW:AW,MATCH(D388,'卡片raw data'!$F:$F,)),0))</f>
        <v>0</v>
      </c>
      <c r="EL388" s="1098">
        <f t="shared" ref="EL388:EL451" si="590">EG388+IF(AND($CK388="技能+",$CL388="自身",EG388=0.11),$CP388*3)</f>
        <v>0.3</v>
      </c>
      <c r="EM388" s="1098">
        <f t="shared" ref="EM388:EM451" si="591">EG388+IF(AND($CK388="技能+",$CL388="自身",EG388=0.11),$CQ388*3)</f>
        <v>0.3</v>
      </c>
      <c r="EN388" s="1097">
        <f t="shared" ref="EN388:EN451" si="592">IF(EH388=0,IF(EI388="ap",EK388*$AQ388*EL388/3*IF(EF388="vo获得",$AP388,1))+IF(EI388="st",EK388*$AR388*EL388/3)+IF(EI388="te",EK388*$AS388*EL388/3)+IF(EI388="sp槽",EK388*EL388/3)+IF(EI388="固定值",IF(EF388="sp获得",EK388/3*EL388/$EW$77,EK388*EL388/3)),IF(EJ388="百分比",IF(EI388="全员",EK388*EL388/3*EH388)+IF(EI388="仲间",EK388*EL388/3*EH388*2/3)+IF(EI388="同作战",EK388*EL388/3*EH388)+IF(EI388="同年级",EK388*EL388/3*EH388*$EW$40/3)+IF(EI388="同学校",EK388*EL388/3*EH388*$EW$43/3)+IF(EI388="同属性",EK388*EL388/3*EH388*$EW$37/3)+IF(EI388="同type",EK388*EL388/3*EH388*INDEX($EX$49:$EX$52,MATCH(AD388,$EW$49:$EW$52,))/3),(IF(EF388="ap+",EK388/$EX$16*EH388*EL388/3)+IF(EF388="vo+",EK388*(1+$EW$23)/$EW$26*EH388*EL388/3))*(IF(EI388="全员",1)+IF(EI388="同作战",1)))-IF(AND(EF388="ct+",EI388&lt;&gt;"仲间"),MAX(EK388+$AU388-1,0)*EL388/3*_xlfn.FLOOR.MATH(EH388/3)))</f>
        <v>0</v>
      </c>
      <c r="EO388" s="1097">
        <f t="shared" ref="EO388:EO451" si="593">IF(EH388=0,IF(EI388="ap",IF(EF388="vo获得",MIN(EK388*$BA388*$AP388,$FI$25)*$FA$22*EM388/3,EK388*$BA388*EM388/3))+IF(EI388="st",EK388*$BB388*EM388/3)+IF(EI388="te",EK388*$BC388*EM388/3)+IF(EI388="sp槽",EK388*EM388/3*$FA$30)+IF(EI388="固定值",IF(EF388="sp获得",EK388/3*EM388/$FA$69*$FA$30,EK388*EM388/3)),IF(EJ388="百分比",IF(EI388="全员",EK388*EM388/3*EH388)+IF(EI388="仲间",EK388*EM388/3*EH388*2/3)+IF(EI388="同作战",EK388*EM388/3*EH388)+IF(EI388="同年级",EK388*EM388/3*EH388*$FA$40/3)+IF(EI388="同学校",EK388*EM388/3*EH388*$FA$43/3)+IF(EI388="同属性",EK388*EM388/3*EH388*$FA$37/3)+IF(EI388="同type",EK388*EM388/3*EH388*INDEX($FB$49:$FB$52,MATCH(AD388,$FA$49:$FA$52,))/3),(IF(EF388="ap+",EK388/$FB$16*EH388*EM388/3)+IF(EF388="vo+",EK388*(1+$FA$21)/$FA$24*EH388*EM388/3))*(IF(EI388="全员",1)+IF(EI388="同作战",1)))-IF(AND(EF388="ct+",EI388&lt;&gt;"仲间"),MAX(EK388+$BD388-1,0)*EM388/3*_xlfn.FLOOR.MATH(EH388/3)))*$FA$57</f>
        <v>0</v>
      </c>
      <c r="EP388" s="1098">
        <f t="shared" ref="EP388:EP451" si="594">IF(EF388="技能+",IF(AB388="sk",FZ$10,FZ$9)*(1+0.1*$FM$31/$FM$19)*IF(AB388="sk",$FM$18,$FM$17)*EG388/$FM$14*(IF(EI388="全员",EH388*EK388)+IF(EI388="同属性",EH388*EK388*$FM$23/6)+IF(EI388="同作战",EK388*IF(AB388="sk",IF(AND(EH388&gt;1,EH388&lt;6),2),$FM$9*EH388*3))),0)*$FM$16</f>
        <v>0</v>
      </c>
      <c r="EQ388" s="1121">
        <f t="shared" ref="EQ388:EQ451" si="595">IF(EF388="sp+",1/6*(1+0.1*$FM$31/$FM$19)*IF(AB388="sk",$FM$18,$FM$17)*EG388/$FM$14*$FM$28*(IF(EI388="全员",EH388*EK388)+IF(EI388="同属性",EH388*EK388*$FM$23/6)+IF(EI388="同年级",EH388*EK388*$FM$24/6)),0)+IF(EF388="sp获得",1/6*(1+0.1*$FM$31/$FM$19)*IF(AB388="sk",$FM$18,$FM$17)*EG388/$FM$14*IF(AB388="sk",1,1+(1+$FM$10/$FM$9)*($FM$27-1))*IF(EI388="固定值",EK388,EK388*$FM$25))</f>
        <v>0</v>
      </c>
      <c r="ER388" s="1101">
        <f t="shared" ref="ER388:ER451" si="596">IF(EF388="ap+",$EW$26/(1+$EW$15)*EN388)+IF(EF388="vo+",$EW$26*EN388)+IF(EF388="vo获得",EN388*$EW$24)+IF(EF388="sp+",EN388*$EW$30*$EW$32*(1-$EW$33))+IF(EF388="sp获得",EN388*$EW$30*(1-$EW$33))+IF(EF388="技能+",EN388*$EW$28/$EW$27)+IF(EF388="ct+",EN388*$EW$26/(1+($EW$22-1)*$EW$19)*($EW$22-1))+IF(EF388="核弹",EN388*(1+$EW$23)*$EW$24)+IF(EF388="ct值+",$EW$26/(1+($EW$22-1)*$EW$19)*$EW$19*EN388)</f>
        <v>0</v>
      </c>
      <c r="ES388" s="1097">
        <f t="shared" ref="ES388:ES451" si="597">IF(EF388="ap+",$FA$24/(1+$FA$15)*EO388*(1-$FI$26))+IF(EF388="vo+",$FA$24*EO388*(1-$FI$26))+IF(EF388="vo获得",EO388)+IF(EF388="sp+",EO388*$FA$27*$FA$32*(1-$FA$33))+IF(EF388="sp获得",EO388*$FA$27*(1-$FA$33))+IF(EF388="技能+",EO388*$FA$26/$FA$25)+IF(EF388="ct+",EO388*$FA$24/(1+($FA$20-1)*$FA$19)*($FA$20-1)*(1-$FI$27))+IF(EF388="核弹",EO388*(1+$FA$21)*(1-$FI$29))+IF(EF388="ct值+",$FA$24/(1+($FA$20-1)*$FA$19)*$FA$19*EO388*(1-$FI$28))</f>
        <v>0</v>
      </c>
      <c r="ET388" s="1122">
        <f t="shared" si="514"/>
        <v>0</v>
      </c>
    </row>
    <row r="389" spans="2:150" ht="16.5" customHeight="1">
      <c r="B389" s="1123" t="str">
        <f>INDEX('卡片raw data'!B:B,MATCH($D389,'卡片raw data'!$F:$F,))</f>
        <v>牛年海</v>
      </c>
      <c r="C389" s="449" t="s">
        <v>1890</v>
      </c>
      <c r="D389" s="408">
        <v>386</v>
      </c>
      <c r="E389" s="477">
        <v>400043004</v>
      </c>
      <c r="F389" s="1090" t="str">
        <f>INDEX('卡片raw data'!C:C,MATCH($D389,'卡片raw data'!$F:$F,))</f>
        <v>UR</v>
      </c>
      <c r="G389" s="1094" t="s">
        <v>1891</v>
      </c>
      <c r="H389" s="411">
        <f>IFERROR(INDEX(绊状态确认!C:C,MATCH($G389,绊状态确认!$B:$B,)),"")</f>
        <v>4</v>
      </c>
      <c r="I389" s="450" t="str">
        <f>IFERROR(INDEX(绊状态确认!D:D,MATCH($G389,绊状态确认!$B:$B,)),"")</f>
        <v>缪</v>
      </c>
      <c r="J389" s="450" t="str">
        <f>IFERROR(INDEX(绊状态确认!E:E,MATCH($G389,绊状态确认!$B:$B,)),"")</f>
        <v>2年级</v>
      </c>
      <c r="K389" s="451" t="str">
        <f>IFERROR(INDEX(绊状态确认!F:F,MATCH($G389,绊状态确认!$B:$B,)),"")</f>
        <v>lilywhite</v>
      </c>
      <c r="L389" s="1094" t="str">
        <f>INDEX('卡片raw data'!E:E,MATCH($D389,'卡片raw data'!$F:$F,))</f>
        <v>卡池卡</v>
      </c>
      <c r="M389" s="478">
        <v>44215</v>
      </c>
      <c r="N389" s="479">
        <v>32</v>
      </c>
      <c r="O389" s="1091" t="str">
        <f>INDEX('卡片raw data'!D:D,MATCH($D389,'卡片raw data'!$F:$F,))</f>
        <v>vo</v>
      </c>
      <c r="P389" s="1126">
        <v>5</v>
      </c>
      <c r="Q389" s="1095">
        <f t="shared" si="515"/>
        <v>58473.75993535114</v>
      </c>
      <c r="R389" s="1096">
        <f t="shared" si="516"/>
        <v>0.67900000000000005</v>
      </c>
      <c r="S389" s="1097">
        <f t="shared" si="517"/>
        <v>22010.412514792788</v>
      </c>
      <c r="T389" s="1098">
        <f t="shared" si="518"/>
        <v>1.1000000000000001</v>
      </c>
      <c r="U389" s="1099">
        <f t="shared" si="519"/>
        <v>-6.5670202392571468</v>
      </c>
      <c r="V389" s="1100">
        <f t="shared" si="520"/>
        <v>58659.23535606161</v>
      </c>
      <c r="W389" s="1101">
        <f t="shared" si="521"/>
        <v>6004.2134697171141</v>
      </c>
      <c r="X389" s="1096">
        <f t="shared" si="522"/>
        <v>6.9000000000000006E-2</v>
      </c>
      <c r="Y389" s="1097">
        <f t="shared" si="523"/>
        <v>1490.1438709521772</v>
      </c>
      <c r="Z389" s="1102">
        <f t="shared" si="524"/>
        <v>18.432979760742853</v>
      </c>
      <c r="AA389" s="1103">
        <f t="shared" si="525"/>
        <v>7494.3573406692913</v>
      </c>
      <c r="AB389" s="1101">
        <f t="shared" si="526"/>
        <v>7001.8747914445266</v>
      </c>
      <c r="AC389" s="1104">
        <f t="shared" si="527"/>
        <v>8.1000000000000003E-2</v>
      </c>
      <c r="AD389" s="1105">
        <f t="shared" si="528"/>
        <v>0</v>
      </c>
      <c r="AE389" s="1128">
        <f t="shared" si="529"/>
        <v>0</v>
      </c>
      <c r="AF389" s="1130">
        <f t="shared" si="530"/>
        <v>0</v>
      </c>
      <c r="AG389" s="420">
        <f t="shared" si="531"/>
        <v>0</v>
      </c>
      <c r="AH389" s="420">
        <f t="shared" si="532"/>
        <v>0</v>
      </c>
      <c r="AI389" s="1097">
        <f t="shared" si="533"/>
        <v>0</v>
      </c>
      <c r="AJ389" s="420">
        <f t="shared" si="534"/>
        <v>0</v>
      </c>
      <c r="AK389" s="518">
        <f t="shared" si="535"/>
        <v>0</v>
      </c>
      <c r="AL389" s="1106">
        <f>IF($P389="","N/A",(IF($P389=-1,INDEX('卡片raw data'!S:S,MATCH($D389,'卡片raw data'!$F:$F,)),0)+IF($P389=0,INDEX('卡片raw data'!V:V,MATCH($D389,'卡片raw data'!$F:$F,)),0)+IF($P389=1,INDEX('卡片raw data'!Y:Y,MATCH($D389,'卡片raw data'!$F:$F,)),0)+IF($P389=2,INDEX('卡片raw data'!AB:AB,MATCH($D389,'卡片raw data'!$F:$F,)),0)+IF($P389=3,INDEX('卡片raw data'!AE:AE,MATCH($D389,'卡片raw data'!$F:$F,)),0)+IF($P389=4,INDEX('卡片raw data'!AH:AH,MATCH($D389,'卡片raw data'!$F:$F,)),0)+IF($P389=5,INDEX('卡片raw data'!AK:AK,MATCH($D389,'卡片raw data'!$F:$F,)),0)+INDEX('卡片raw data'!S:S,MATCH($D389,'卡片raw data'!$F:$F,))*(IF($F389="UR",0.04,0.033))*(IF($F389="UR",INDEX(绊状态确认!$S:$S,MATCH($G389,绊状态确认!$B:$B,))/2-40)+IF($F389="SR",INDEX(绊状态确认!$R:$R,MATCH($G389,绊状态确认!$B:$B,))/4-15))+IF($F389="R",INDEX(绊状态确认!$Q:$Q,MATCH($G389,绊状态确认!$B:$B,))/6-40/6)))*(INDEX(绊状态确认!$H:$H,MATCH($G389,绊状态确认!$B:$B,))+INDEX(绊状态确认!J:J,MATCH($G389,绊状态确认!$B:$B,)))</f>
        <v>14394.324239999998</v>
      </c>
      <c r="AM389" s="1106">
        <f>IF($P389="","N/A",(IF($P389=-1,INDEX('卡片raw data'!T:T,MATCH($D389,'卡片raw data'!$F:$F,)),0)+IF($P389=0,INDEX('卡片raw data'!W:W,MATCH($D389,'卡片raw data'!$F:$F,)),0)+IF($P389=1,INDEX('卡片raw data'!Z:Z,MATCH($D389,'卡片raw data'!$F:$F,)),0)+IF($P389=2,INDEX('卡片raw data'!AC:AC,MATCH($D389,'卡片raw data'!$F:$F,)),0)+IF($P389=3,INDEX('卡片raw data'!AF:AF,MATCH($D389,'卡片raw data'!$F:$F,)),0)+IF($P389=4,INDEX('卡片raw data'!AI:AI,MATCH($D389,'卡片raw data'!$F:$F,)),0)+IF($P389=5,INDEX('卡片raw data'!AL:AL,MATCH($D389,'卡片raw data'!$F:$F,)),0)+INDEX('卡片raw data'!T:T,MATCH($D389,'卡片raw data'!$F:$F,))*(IF($F389="UR",0.04,0.033))*(IF($F389="UR",INDEX(绊状态确认!$S:$S,MATCH($G389,绊状态确认!$B:$B,))/2-40)+IF($F389="SR",INDEX(绊状态确认!$R:$R,MATCH($G389,绊状态确认!$B:$B,))/4-15))+IF($F389="R",INDEX(绊状态确认!$Q:$Q,MATCH($G389,绊状态确认!$B:$B,))/6-40/6)))*(INDEX(绊状态确认!$H:$H,MATCH($G389,绊状态确认!$B:$B,))+INDEX(绊状态确认!K:K,MATCH($G389,绊状态确认!$B:$B,)))</f>
        <v>10622.794463999999</v>
      </c>
      <c r="AN389" s="1106">
        <f>IF($P389="","N/A",(IF($P389=-1,INDEX('卡片raw data'!U:U,MATCH($D389,'卡片raw data'!$F:$F,)),0)+IF($P389=0,INDEX('卡片raw data'!X:X,MATCH($D389,'卡片raw data'!$F:$F,)),0)+IF($P389=1,INDEX('卡片raw data'!AA:AA,MATCH($D389,'卡片raw data'!$F:$F,)),0)+IF($P389=2,INDEX('卡片raw data'!AD:AD,MATCH($D389,'卡片raw data'!$F:$F,)),0)+IF($P389=3,INDEX('卡片raw data'!AG:AG,MATCH($D389,'卡片raw data'!$F:$F,)),0)+IF($P389=4,INDEX('卡片raw data'!AJ:AJ,MATCH($D389,'卡片raw data'!$F:$F,)),0)+IF($P389=5,INDEX('卡片raw data'!AM:AM,MATCH($D389,'卡片raw data'!$F:$F,)),0)+INDEX('卡片raw data'!U:U,MATCH($D389,'卡片raw data'!$F:$F,))*(IF($F389="UR",0.04,0.033))*(IF($F389="UR",INDEX(绊状态确认!$S:$S,MATCH($G389,绊状态确认!$B:$B,))/2-40)+IF($F389="SR",INDEX(绊状态确认!$R:$R,MATCH($G389,绊状态确认!$B:$B,))/4-15))+IF($F389="R",INDEX(绊状态确认!$Q:$Q,MATCH($G389,绊状态确认!$B:$B,))/6-40/6)))*(INDEX(绊状态确认!$H:$H,MATCH($G389,绊状态确认!$B:$B,))+INDEX(绊状态确认!L:L,MATCH($G389,绊状态确认!$B:$B,)))</f>
        <v>9252.0687839999991</v>
      </c>
      <c r="AO389" s="1107">
        <f t="shared" si="536"/>
        <v>1</v>
      </c>
      <c r="AP389" s="1131">
        <f>1+(INDEX(绊状态确认!$T:$T,MATCH($G389,绊状态确认!$B:$B,))+0.2)*$AO389</f>
        <v>1.3</v>
      </c>
      <c r="AQ389" s="1108">
        <f t="shared" si="537"/>
        <v>41035.101130000003</v>
      </c>
      <c r="AR389" s="1097">
        <f>(AM389*(1+$EX$9)+$EX$35)*(1+(INDEX(绊状态确认!$T:$T,MATCH($G389,绊状态确认!$B:$B,))+0.2)*AO389)*IF(J389=$FF$17,1+$FE$17,1)*IF(I389=$FF$14,1+$FE$14,1)</f>
        <v>17204.114443359998</v>
      </c>
      <c r="AS389" s="1097">
        <f>(AN389*(1+$EX$10)+$EX$36)*(1+(INDEX(绊状态确认!$T:$T,MATCH($G389,绊状态确认!$B:$B,))+0.2)*AO389)*IF(J389=$FF$17,1+$FE$17,1)*IF(I389=$FF$14,1+$FE$14,1)</f>
        <v>17887.842832079998</v>
      </c>
      <c r="AT389" s="1093">
        <f>IF(AND(INDEX('卡片raw data'!AK:AK,MATCH($D389,'卡片raw data'!$F:$F,))&lt;INDEX('卡片raw data'!AM:AM,MATCH($D389,'卡片raw data'!$F:$F,)),INDEX('卡片raw data'!AL:AL,MATCH($D389,'卡片raw data'!$F:$F,))&lt;INDEX('卡片raw data'!AM:AM,MATCH($D389,'卡片raw data'!$F:$F,))),1,0)</f>
        <v>0</v>
      </c>
      <c r="AU389" s="1098">
        <f>MIN(AT389*0.15+AS389*0.00003+INDEX(绊状态确认!M:M,MATCH($G389,绊状态确认!$B:$B,)),1)</f>
        <v>0.56663528496240001</v>
      </c>
      <c r="AV389" s="1109">
        <f>(INDEX(绊状态确认!$N:$N,MATCH($G389,绊状态确认!$B:$B,))+1.5)*$EW$21</f>
        <v>2.6599999999999997</v>
      </c>
      <c r="AW389" s="1101">
        <f t="shared" si="538"/>
        <v>41357.298295295106</v>
      </c>
      <c r="AX389" s="1097">
        <f t="shared" si="539"/>
        <v>1490.1438709521772</v>
      </c>
      <c r="AY389" s="1110">
        <f t="shared" si="540"/>
        <v>42847.442166247281</v>
      </c>
      <c r="AZ389" s="429">
        <f t="shared" si="541"/>
        <v>30668.932267999997</v>
      </c>
      <c r="BA389" s="431">
        <f t="shared" si="542"/>
        <v>36802.718721599995</v>
      </c>
      <c r="BB389" s="1097">
        <f>(AM389*(1+$FB$9)+$FB$35)*(1+(INDEX(绊状态确认!$T:$T,MATCH($G389,绊状态确认!$B:$B,))+0.2)*AO389)*IF(J389=$FF$17,1+$FE$17,1)*IF(I389=$FF$14,1+$FE$14,1)*(1+$FE$15)</f>
        <v>17204.114443359998</v>
      </c>
      <c r="BC389" s="1097">
        <f>(AN389*(1+$FB$10)+$FB$36)*(1+(INDEX(绊状态确认!$T:$T,MATCH($G389,绊状态确认!$B:$B,))+0.2)*AO389)*IF(J389=$FF$17,1+$FE$17,1)*IF(I389=$FF$14,1+$FE$14,1)*(1+$FE$15)</f>
        <v>17887.842832079998</v>
      </c>
      <c r="BD389" s="1104">
        <f>MIN(AT389*0.15+BC389*0.00003+INDEX(绊状态确认!M:M,MATCH($G389,绊状态确认!$B:$B,)),1)</f>
        <v>0.56663528496240001</v>
      </c>
      <c r="BE389" s="432">
        <f>(INDEX(绊状态确认!$N:$N,MATCH($G389,绊状态确认!$B:$B,))+1.5)</f>
        <v>1.9</v>
      </c>
      <c r="BF389" s="1139">
        <f t="array" ref="BF389">SUMPRODUCT(IF(AZ389*AP389*$FI$16:$FI$23*$FA$22&gt;=$FI$24,$FI$24,AZ389*AP389*$FI$16:$FI$23*$FA$22),$FJ$16:$FJ$23)</f>
        <v>57091.777917171996</v>
      </c>
      <c r="BG389" s="1125">
        <f t="array" ref="BG389">SUMPRODUCT(IF(BE389*AZ389*AP389*$FI$16:$FI$23*$FA$22&gt;=$FI$24,$FI$24,BE389*AZ389*AP389*$FI$16:$FI$23*$FA$22),$FJ$16:$FJ$23)</f>
        <v>60000</v>
      </c>
      <c r="BH389" s="1110">
        <f t="shared" si="543"/>
        <v>19579.893055269727</v>
      </c>
      <c r="BI389" s="1111">
        <f>IF(O389="vo",$EW$26/$EW$24*0.05,0)+IF(O389="sk",-$EW$26/$EW$24*(0.05-INDEX(绊状态确认!W:W,MATCH($G389,绊状态确认!$B:$B,)))+0.05*$EW$28,0)+IF(O389="sp",0.05*$EW$32*$EW$30*(1-$EW$33)-(0.05-INDEX(绊状态确认!V:V,MATCH($G389,绊状态确认!$B:$B,)))*$EW$28,0)+IF(O389="gd",-(0.05-INDEX(绊状态确认!X:X,MATCH($G389,绊状态确认!$B:$B,)))*$EW$32*$EW$30*(1-$EW$33),0)</f>
        <v>7726.3029277443748</v>
      </c>
      <c r="BJ389" s="1097">
        <f>IF(O389="vo",0.05*(1-$FI$26)*$FA$24,0)+IF(O389="sk",-(0.05-INDEX(绊状态确认!W:W,MATCH($G389,绊状态确认!$B:$B,)))*(1-$FI$26)*$FA$24+0.05*$FA$26,0)+IF(O389="sp",0.05*$FA$32*$FA$27*(1-$FA$33)/$FA$30+0.05*$FA$29/$FA$69*$FA$27*(1-$FA$33)-(0.05-INDEX(绊状态确认!V:V,MATCH($G389,绊状态确认!$B:$B,)))*$FA$26,0)+IF(O389="gd",-(0.05-INDEX(绊状态确认!X:X,MATCH($G389,绊状态确认!$B:$B,)))*$FA$32*$FA$27*(1-$FA$33)/$FA$30-(0.05-INDEX(绊状态确认!X:X,MATCH($G389,绊状态确认!$B:$B,)))*$FA$29/$FA$69*$FA$27*(1-$FA$33),0)</f>
        <v>393.93433687500004</v>
      </c>
      <c r="BK389" s="1110">
        <f>IF(O389="vo",$EW$26/$EW$24*0.05+$EW$26*(-HP($EW$62,$EW$65,$EW$64)+HP($EW$62,$EW$65,(1.05-INDEX(绊状态确认!U:U,MATCH($G389,绊状态确认!$B:$B,)))*$EW$64)),0)+IF(O389="sk",-$EW$26/$EW$24*(0.05-INDEX(绊状态确认!W:W,MATCH($G389,绊状态确认!$B:$B,)))+0.05*$EW$29,0)+IF(O389="sp",0.05*$EW$32*$EW$30*(1-$EW$33)-(0.05-INDEX(绊状态确认!V:V,MATCH($G389,绊状态确认!$B:$B,)))*$EW$29,0)+IF(O389="gd",-(0.05-INDEX(绊状态确认!X:X,MATCH($G389,绊状态确认!$B:$B,)))*$EW$32*$EW$30*(1-$EW$33)+$EW$26*(-HP($EW$62,$EW$65,$EW$64)+HP($EW$62,$EW$65,0.95*$EW$64)),0)</f>
        <v>6421.6344775026746</v>
      </c>
      <c r="BL389" s="1111">
        <f t="shared" si="544"/>
        <v>0</v>
      </c>
      <c r="BM389" s="1110">
        <f t="shared" si="545"/>
        <v>0</v>
      </c>
      <c r="BN389" s="1113">
        <f t="shared" si="546"/>
        <v>3</v>
      </c>
      <c r="BO389" s="1108">
        <f t="shared" si="547"/>
        <v>4507.7214871259994</v>
      </c>
      <c r="BP389" s="1100">
        <f t="shared" si="548"/>
        <v>221.34103209030098</v>
      </c>
      <c r="BQ389" s="1113" t="s">
        <v>132</v>
      </c>
      <c r="BR389" s="1124" t="s">
        <v>617</v>
      </c>
      <c r="BS389" s="1098">
        <f>IF($P389="","N/A",IF($P389=-1,INDEX('卡片raw data'!AX:AX,MATCH($D389,'卡片raw data'!$F:$F,)),0)+IF($L389="party卡",IF($P389=5,INDEX('卡片raw data'!BD:BD,MATCH($D389,'卡片raw data'!$F:$F,)),IF($P389&gt;=3,INDEX('卡片raw data'!BC:BC,MATCH($D389,'卡片raw data'!$F:$F,)),INDEX('卡片raw data'!BB:BB,MATCH($D389,'卡片raw data'!$F:$F,)))),IF(OR(AND($F389="UR",$P389=0),AND($F389="SR",$P389&gt;=0,$P389&lt;=2),AND($F389="R",$P389&gt;=0,$P389&lt;4)),INDEX('卡片raw data'!AZ:AZ,MATCH($D389,'卡片raw data'!$F:$F,)),0)+IF(OR(AND($F389="UR",$P389&gt;=1,$P389&lt;=4),AND($F389="SR",$P389&lt;=4,$P389&gt;=3),AND($F389="R",$P389=4)),INDEX('卡片raw data'!BA:BA,MATCH($D389,'卡片raw data'!$F:$F,)),0)+IF($P389=5,INDEX('卡片raw data'!BB:BB,MATCH($D389,'卡片raw data'!$F:$F,)),0)))</f>
        <v>5.1999999999999998E-2</v>
      </c>
      <c r="BT389" s="1101">
        <f t="shared" si="549"/>
        <v>2170.3844197273338</v>
      </c>
      <c r="BU389" s="1097">
        <f t="shared" si="550"/>
        <v>106.57160804347826</v>
      </c>
      <c r="BV389" s="1097">
        <f t="shared" si="551"/>
        <v>1302.2306518363998</v>
      </c>
      <c r="BW389" s="1112">
        <f t="shared" si="552"/>
        <v>0</v>
      </c>
      <c r="BX389" s="1100">
        <f t="shared" si="553"/>
        <v>2170.3844197273338</v>
      </c>
      <c r="BY389" s="1110">
        <f t="shared" si="554"/>
        <v>1302.2306518363998</v>
      </c>
      <c r="BZ389" s="1113" t="s">
        <v>569</v>
      </c>
      <c r="CA389" s="1124"/>
      <c r="CB389" s="1098">
        <f>IF($P389="","N/A",IF($P389=-1,INDEX('卡片raw data'!BE:BE,MATCH($D389,'卡片raw data'!$F:$F,)),0)+IF($L389="party卡",IF($P389=5,INDEX('卡片raw data'!BK:BK,MATCH($D389,'卡片raw data'!$F:$F,)),IF($P389&gt;=3,INDEX('卡片raw data'!BJ:BJ,MATCH($D389,'卡片raw data'!$F:$F,)),INDEX('卡片raw data'!BI:BI,MATCH($D389,'卡片raw data'!$F:$F,)))),IF(OR(AND($F389="UR",$P389=0),AND($F389="SR",$P389&gt;=0,$P389&lt;=2),AND($F389="R",$P389&gt;=0,$P389&lt;4)),INDEX('卡片raw data'!BG:BG,MATCH($D389,'卡片raw data'!$F:$F,)),0)+IF(OR(AND($F389="UR",$P389&gt;=1,$P389&lt;=4),AND($F389="SR",$P389&lt;=4,$P389&gt;=3),AND($F389="R",$P389=4)),INDEX('卡片raw data'!BH:BH,MATCH($D389,'卡片raw data'!$F:$F,)),0)+IF($P389=5,INDEX('卡片raw data'!BI:BI,MATCH($D389,'卡片raw data'!$F:$F,)),0)))</f>
        <v>0</v>
      </c>
      <c r="CC389" s="1101">
        <f t="shared" si="555"/>
        <v>0</v>
      </c>
      <c r="CD389" s="1097">
        <f>IF(BZ389="ap",CB389*(1-$FI$26)*$FB$5/$FB$11*(+IF(CA389="全员",$FA$24,0)+IF(CA389="同作战",$FA$24,0)+IF(CA389="仲间",$FA$24*2/3,0)+IF(CA389="同属性",$FA$24*$FA$37/3,0)+IF(CA389="同年级",$FA$24*$FA$40/3,0)+IF(CA389="同学校",$FA$24*$FA$43/3,0)+IF(CA389="同小队",$FA$24*$FA$46/3,0)+IF(CA389="同type",$FA$24*INDEX($FB$49:$FB$52,MATCH(X389,$FA$49:$FA$52,))/3,0)+IF(CA389="自身",#REF!/3,0)),0)+IF(BZ389="te",CB389*(1-$FI$27)*($FA$20-1)*$FB$7/$FB$13*(+IF(CA389="全员",$FA$19*$FA$24/(1+($FA$20-1)*$FA$19),0)+IF(CA389="同作战",$FA$19*$FA$24/(1+($FA$20-1)*$FA$19),0)+IF(CA389="仲间",$FA$19*$FA$24*2/3/(1+($FA$20-1)*$FA$19),0)+IF(CA389="同属性",$FA$19*$FA$24*$FA$37/3/(1+($FA$20-1)*$FA$19),0)+IF(CA389="同年级",$FA$19*$FA$24*$FA$40/3/(1+($FA$20-1)*$FA$19),0)+IF(CA389="同学校",$FA$19*$FA$24*$FA$43/3/(1+($FA$20-1)*$FA$19),0)+IF(CA389="同小队",$FA$19*$FA$24*$FA$46/3/(1+($FA$20-1)*$FA$19),0)+IF(CA389="同type",$FA$19*$FA$24*INDEX($FB$49:$FB$52,MATCH(X389,$FA$49:$FA$52,))/3/(1+($FA$20-1)*$FA$19),0)+IF(CA389="自身",$FA$19*#REF!/3/(1+(BH389-1)*$BD389),0)),0)</f>
        <v>0</v>
      </c>
      <c r="CE389" s="1097">
        <f t="shared" si="556"/>
        <v>0</v>
      </c>
      <c r="CF389" s="1112">
        <f t="shared" si="557"/>
        <v>0</v>
      </c>
      <c r="CG389" s="1100">
        <f t="shared" si="558"/>
        <v>0</v>
      </c>
      <c r="CH389" s="1110">
        <f t="shared" si="559"/>
        <v>0</v>
      </c>
      <c r="CI389" s="1113" t="s">
        <v>164</v>
      </c>
      <c r="CJ389" s="1114">
        <v>1</v>
      </c>
      <c r="CK389" s="1115" t="s">
        <v>1893</v>
      </c>
      <c r="CL389" s="1115" t="s">
        <v>1892</v>
      </c>
      <c r="CM389" s="1119">
        <v>0.04</v>
      </c>
      <c r="CN389" s="1115">
        <v>5</v>
      </c>
      <c r="CO389" s="1115"/>
      <c r="CP389" s="1118">
        <f t="shared" si="560"/>
        <v>2.3809523809523812E-3</v>
      </c>
      <c r="CQ389" s="1118">
        <f t="shared" si="561"/>
        <v>3.7037037037037047E-3</v>
      </c>
      <c r="CR389" s="1118">
        <f t="shared" si="562"/>
        <v>1.4285714285714286E-3</v>
      </c>
      <c r="CS389" s="1118">
        <f t="shared" si="563"/>
        <v>0</v>
      </c>
      <c r="CT389" s="1109">
        <f t="shared" si="564"/>
        <v>0</v>
      </c>
      <c r="CU389" s="1101">
        <f t="shared" si="565"/>
        <v>323.76888459119289</v>
      </c>
      <c r="CV389" s="1108">
        <f t="shared" si="566"/>
        <v>24.31693437500001</v>
      </c>
      <c r="CW389" s="1097">
        <f t="shared" si="567"/>
        <v>194.26133075471571</v>
      </c>
      <c r="CX389" s="1097">
        <f t="shared" si="568"/>
        <v>323.76888459119289</v>
      </c>
      <c r="CY389" s="1110">
        <f t="shared" si="569"/>
        <v>194.26133075471571</v>
      </c>
      <c r="CZ389" s="437"/>
      <c r="DA389" s="438"/>
      <c r="DB389" s="439" t="s">
        <v>569</v>
      </c>
      <c r="DC389" s="439"/>
      <c r="DD389" s="443"/>
      <c r="DE389" s="411"/>
      <c r="DF389" s="411"/>
      <c r="DG389" s="1116">
        <f t="shared" si="570"/>
        <v>0</v>
      </c>
      <c r="DH389" s="1116">
        <f t="shared" si="571"/>
        <v>0</v>
      </c>
      <c r="DI389" s="1116">
        <f t="shared" si="572"/>
        <v>0</v>
      </c>
      <c r="DJ389" s="442">
        <f t="shared" si="573"/>
        <v>0</v>
      </c>
      <c r="DK389" s="1109">
        <f t="shared" si="574"/>
        <v>0</v>
      </c>
      <c r="DL389" s="1101">
        <f t="shared" si="575"/>
        <v>0</v>
      </c>
      <c r="DM389" s="1097">
        <f t="shared" si="576"/>
        <v>0</v>
      </c>
      <c r="DN389" s="1097">
        <f t="shared" si="577"/>
        <v>0</v>
      </c>
      <c r="DO389" s="1097">
        <f t="shared" si="578"/>
        <v>0</v>
      </c>
      <c r="DP389" s="1110">
        <f t="shared" si="579"/>
        <v>0</v>
      </c>
      <c r="DQ389" s="1113" t="s">
        <v>545</v>
      </c>
      <c r="DR389" s="1120">
        <f t="shared" si="580"/>
        <v>0.33</v>
      </c>
      <c r="DS389" s="1124"/>
      <c r="DT389" s="1093" t="s">
        <v>132</v>
      </c>
      <c r="DU389" s="1093"/>
      <c r="DV389" s="1098">
        <f>IF($P389="","N/A",IF(P389=-1,INDEX('卡片raw data'!AN:AN,MATCH(D389,'卡片raw data'!$F:$F,)),0)+IF(AND(L389&lt;&gt;"party卡",P389&lt;=2,P389&gt;=0),INDEX('卡片raw data'!AP:AP,MATCH(D389,'卡片raw data'!$F:$F,)),0)+IF(OR(AND(L389="party卡",P389&lt;=1),AND(P389&lt;=4,L389&lt;&gt;"party卡",P389&gt;=3)),INDEX('卡片raw data'!AQ:AQ,MATCH(D389,'卡片raw data'!$F:$F,)),0)+IF(OR(P389=5,AND(L389="party卡",P389&gt;=2)),INDEX('卡片raw data'!AR:AR,MATCH(D389,'卡片raw data'!$F:$F,)),0))</f>
        <v>0.37</v>
      </c>
      <c r="DW389" s="1098">
        <f t="shared" si="581"/>
        <v>0.33</v>
      </c>
      <c r="DX389" s="1098">
        <f t="shared" si="582"/>
        <v>0.33</v>
      </c>
      <c r="DY389" s="1097">
        <f t="shared" si="583"/>
        <v>2171.1672007883003</v>
      </c>
      <c r="DZ389" s="1097">
        <f t="shared" si="584"/>
        <v>1684.3555481392752</v>
      </c>
      <c r="EA389" s="1098">
        <f t="shared" si="585"/>
        <v>0</v>
      </c>
      <c r="EB389" s="1121">
        <f t="shared" si="586"/>
        <v>0</v>
      </c>
      <c r="EC389" s="1101">
        <f t="shared" si="587"/>
        <v>2388.2839208671307</v>
      </c>
      <c r="ED389" s="1097">
        <f t="shared" si="588"/>
        <v>1684.3555481392752</v>
      </c>
      <c r="EE389" s="1110">
        <f t="shared" si="513"/>
        <v>2388.2839208671307</v>
      </c>
      <c r="EF389" s="1115" t="s">
        <v>569</v>
      </c>
      <c r="EG389" s="1120">
        <f t="shared" si="589"/>
        <v>0.33</v>
      </c>
      <c r="EH389" s="1124"/>
      <c r="EI389" s="1093"/>
      <c r="EJ389" s="1093"/>
      <c r="EK389" s="1097">
        <f>IF($P389="","N/A",IF(P389=-1,INDEX('卡片raw data'!AS:AS,MATCH(D389,'卡片raw data'!$F:$F,)),0)+IF(AND(L389&lt;&gt;"party卡",P389&lt;=2,P389&gt;=0),INDEX('卡片raw data'!AU:AU,MATCH(D389,'卡片raw data'!$F:$F,)),0)+IF(OR(AND(L389="party卡",P389&lt;=1),AND(P389&lt;=4,L389&lt;&gt;"party卡",P389&gt;=3)),INDEX('卡片raw data'!AV:AV,MATCH(D389,'卡片raw data'!$F:$F,)),0)+IF(OR(P389=5,AND(L389="party卡",P389&gt;=2)),INDEX('卡片raw data'!AW:AW,MATCH(D389,'卡片raw data'!$F:$F,)),0))</f>
        <v>0</v>
      </c>
      <c r="EL389" s="1098">
        <f t="shared" si="590"/>
        <v>0.33</v>
      </c>
      <c r="EM389" s="1098">
        <f t="shared" si="591"/>
        <v>0.33</v>
      </c>
      <c r="EN389" s="1097">
        <f t="shared" si="592"/>
        <v>0</v>
      </c>
      <c r="EO389" s="1097">
        <f t="shared" si="593"/>
        <v>0</v>
      </c>
      <c r="EP389" s="1098">
        <f t="shared" si="594"/>
        <v>0</v>
      </c>
      <c r="EQ389" s="1121">
        <f t="shared" si="595"/>
        <v>0</v>
      </c>
      <c r="ER389" s="1101">
        <f t="shared" si="596"/>
        <v>0</v>
      </c>
      <c r="ES389" s="1097">
        <f t="shared" si="597"/>
        <v>0</v>
      </c>
      <c r="ET389" s="1122">
        <f t="shared" si="514"/>
        <v>0</v>
      </c>
    </row>
    <row r="390" spans="2:150" ht="16.5" customHeight="1">
      <c r="B390" s="1123" t="str">
        <f>INDEX('卡片raw data'!B:B,MATCH($D390,'卡片raw data'!$F:$F,))</f>
        <v>mw千</v>
      </c>
      <c r="C390" s="449" t="s">
        <v>1904</v>
      </c>
      <c r="D390" s="408">
        <v>387</v>
      </c>
      <c r="E390" s="477">
        <v>401012004</v>
      </c>
      <c r="F390" s="1090" t="str">
        <f>INDEX('卡片raw data'!C:C,MATCH($D390,'卡片raw data'!$F:$F,))</f>
        <v>SR</v>
      </c>
      <c r="G390" s="1094" t="s">
        <v>1905</v>
      </c>
      <c r="H390" s="411">
        <f>IFERROR(INDEX(绊状态确认!C:C,MATCH($G390,绊状态确认!$B:$B,)),"")</f>
        <v>101</v>
      </c>
      <c r="I390" s="450" t="str">
        <f>IFERROR(INDEX(绊状态确认!D:D,MATCH($G390,绊状态确认!$B:$B,)),"")</f>
        <v>水</v>
      </c>
      <c r="J390" s="450" t="str">
        <f>IFERROR(INDEX(绊状态确认!E:E,MATCH($G390,绊状态确认!$B:$B,)),"")</f>
        <v>2年级</v>
      </c>
      <c r="K390" s="451" t="str">
        <f>IFERROR(INDEX(绊状态确认!F:F,MATCH($G390,绊状态确认!$B:$B,)),"")</f>
        <v>CYaRon!</v>
      </c>
      <c r="L390" s="1094" t="str">
        <f>INDEX('卡片raw data'!E:E,MATCH($D390,'卡片raw data'!$F:$F,))</f>
        <v>卡池卡</v>
      </c>
      <c r="M390" s="478">
        <v>44215</v>
      </c>
      <c r="N390" s="479">
        <v>32</v>
      </c>
      <c r="O390" s="1091" t="str">
        <f>INDEX('卡片raw data'!D:D,MATCH($D390,'卡片raw data'!$F:$F,))</f>
        <v>sk</v>
      </c>
      <c r="P390" s="1126">
        <v>5</v>
      </c>
      <c r="Q390" s="1095">
        <f t="shared" si="515"/>
        <v>30035.634987007612</v>
      </c>
      <c r="R390" s="1096">
        <f t="shared" si="516"/>
        <v>0.34899999999999998</v>
      </c>
      <c r="S390" s="1097">
        <f t="shared" si="517"/>
        <v>16516.032746713488</v>
      </c>
      <c r="T390" s="1098">
        <f t="shared" si="518"/>
        <v>0.82499999999999996</v>
      </c>
      <c r="U390" s="1099">
        <f t="shared" si="519"/>
        <v>11.813971595622858</v>
      </c>
      <c r="V390" s="1100">
        <f t="shared" si="520"/>
        <v>32977.74141694812</v>
      </c>
      <c r="W390" s="1101">
        <f t="shared" si="521"/>
        <v>4507.7214871259994</v>
      </c>
      <c r="X390" s="1096">
        <f t="shared" si="522"/>
        <v>5.1999999999999998E-2</v>
      </c>
      <c r="Y390" s="1097">
        <f t="shared" si="523"/>
        <v>942.10642994051432</v>
      </c>
      <c r="Z390" s="1102">
        <f t="shared" si="524"/>
        <v>11.813971595622858</v>
      </c>
      <c r="AA390" s="1103">
        <f t="shared" si="525"/>
        <v>5449.8279170665137</v>
      </c>
      <c r="AB390" s="1101">
        <f t="shared" si="526"/>
        <v>8582.3378779128179</v>
      </c>
      <c r="AC390" s="1104">
        <f t="shared" si="527"/>
        <v>9.9000000000000005E-2</v>
      </c>
      <c r="AD390" s="1105">
        <f t="shared" si="528"/>
        <v>2.2731203598484847E-2</v>
      </c>
      <c r="AE390" s="1128">
        <f t="shared" si="529"/>
        <v>6.1716861531090785</v>
      </c>
      <c r="AF390" s="1130">
        <f t="shared" si="530"/>
        <v>0</v>
      </c>
      <c r="AG390" s="420">
        <f t="shared" si="531"/>
        <v>0</v>
      </c>
      <c r="AH390" s="420">
        <f t="shared" si="532"/>
        <v>0</v>
      </c>
      <c r="AI390" s="1097">
        <f t="shared" si="533"/>
        <v>0</v>
      </c>
      <c r="AJ390" s="420">
        <f t="shared" si="534"/>
        <v>0</v>
      </c>
      <c r="AK390" s="518">
        <f t="shared" si="535"/>
        <v>0</v>
      </c>
      <c r="AL390" s="1106">
        <f>IF($P390="","N/A",(IF($P390=-1,INDEX('卡片raw data'!S:S,MATCH($D390,'卡片raw data'!$F:$F,)),0)+IF($P390=0,INDEX('卡片raw data'!V:V,MATCH($D390,'卡片raw data'!$F:$F,)),0)+IF($P390=1,INDEX('卡片raw data'!Y:Y,MATCH($D390,'卡片raw data'!$F:$F,)),0)+IF($P390=2,INDEX('卡片raw data'!AB:AB,MATCH($D390,'卡片raw data'!$F:$F,)),0)+IF($P390=3,INDEX('卡片raw data'!AE:AE,MATCH($D390,'卡片raw data'!$F:$F,)),0)+IF($P390=4,INDEX('卡片raw data'!AH:AH,MATCH($D390,'卡片raw data'!$F:$F,)),0)+IF($P390=5,INDEX('卡片raw data'!AK:AK,MATCH($D390,'卡片raw data'!$F:$F,)),0)+INDEX('卡片raw data'!S:S,MATCH($D390,'卡片raw data'!$F:$F,))*(IF($F390="UR",0.04,0.033))*(IF($F390="UR",INDEX(绊状态确认!$S:$S,MATCH($G390,绊状态确认!$B:$B,))/2-40)+IF($F390="SR",INDEX(绊状态确认!$R:$R,MATCH($G390,绊状态确认!$B:$B,))/4-15))+IF($F390="R",INDEX(绊状态确认!$Q:$Q,MATCH($G390,绊状态确认!$B:$B,))/6-40/6)))*(INDEX(绊状态确认!$H:$H,MATCH($G390,绊状态确认!$B:$B,))+INDEX(绊状态确认!J:J,MATCH($G390,绊状态确认!$B:$B,)))</f>
        <v>7360.8650855999995</v>
      </c>
      <c r="AM390" s="1106">
        <f>IF($P390="","N/A",(IF($P390=-1,INDEX('卡片raw data'!T:T,MATCH($D390,'卡片raw data'!$F:$F,)),0)+IF($P390=0,INDEX('卡片raw data'!W:W,MATCH($D390,'卡片raw data'!$F:$F,)),0)+IF($P390=1,INDEX('卡片raw data'!Z:Z,MATCH($D390,'卡片raw data'!$F:$F,)),0)+IF($P390=2,INDEX('卡片raw data'!AC:AC,MATCH($D390,'卡片raw data'!$F:$F,)),0)+IF($P390=3,INDEX('卡片raw data'!AF:AF,MATCH($D390,'卡片raw data'!$F:$F,)),0)+IF($P390=4,INDEX('卡片raw data'!AI:AI,MATCH($D390,'卡片raw data'!$F:$F,)),0)+IF($P390=5,INDEX('卡片raw data'!AL:AL,MATCH($D390,'卡片raw data'!$F:$F,)),0)+INDEX('卡片raw data'!T:T,MATCH($D390,'卡片raw data'!$F:$F,))*(IF($F390="UR",0.04,0.033))*(IF($F390="UR",INDEX(绊状态确认!$S:$S,MATCH($G390,绊状态确认!$B:$B,))/2-40)+IF($F390="SR",INDEX(绊状态确认!$R:$R,MATCH($G390,绊状态确认!$B:$B,))/4-15))+IF($F390="R",INDEX(绊状态确认!$Q:$Q,MATCH($G390,绊状态确认!$B:$B,))/6-40/6)))*(INDEX(绊状态确认!$H:$H,MATCH($G390,绊状态确认!$B:$B,))+INDEX(绊状态确认!K:K,MATCH($G390,绊状态确认!$B:$B,)))</f>
        <v>6096.976915199999</v>
      </c>
      <c r="AN390" s="1106">
        <f>IF($P390="","N/A",(IF($P390=-1,INDEX('卡片raw data'!U:U,MATCH($D390,'卡片raw data'!$F:$F,)),0)+IF($P390=0,INDEX('卡片raw data'!X:X,MATCH($D390,'卡片raw data'!$F:$F,)),0)+IF($P390=1,INDEX('卡片raw data'!AA:AA,MATCH($D390,'卡片raw data'!$F:$F,)),0)+IF($P390=2,INDEX('卡片raw data'!AD:AD,MATCH($D390,'卡片raw data'!$F:$F,)),0)+IF($P390=3,INDEX('卡片raw data'!AG:AG,MATCH($D390,'卡片raw data'!$F:$F,)),0)+IF($P390=4,INDEX('卡片raw data'!AJ:AJ,MATCH($D390,'卡片raw data'!$F:$F,)),0)+IF($P390=5,INDEX('卡片raw data'!AM:AM,MATCH($D390,'卡片raw data'!$F:$F,)),0)+INDEX('卡片raw data'!U:U,MATCH($D390,'卡片raw data'!$F:$F,))*(IF($F390="UR",0.04,0.033))*(IF($F390="UR",INDEX(绊状态确认!$S:$S,MATCH($G390,绊状态确认!$B:$B,))/2-40)+IF($F390="SR",INDEX(绊状态确认!$R:$R,MATCH($G390,绊状态确认!$B:$B,))/4-15))+IF($F390="R",INDEX(绊状态确认!$Q:$Q,MATCH($G390,绊状态确认!$B:$B,))/6-40/6)))*(INDEX(绊状态确认!$H:$H,MATCH($G390,绊状态确认!$B:$B,))+INDEX(绊状态确认!L:L,MATCH($G390,绊状态确认!$B:$B,)))</f>
        <v>7570.5286127999989</v>
      </c>
      <c r="AO390" s="1107">
        <f t="shared" si="536"/>
        <v>1</v>
      </c>
      <c r="AP390" s="1131">
        <f>1+(INDEX(绊状态确认!$T:$T,MATCH($G390,绊状态确认!$B:$B,))+0.2)*$AO390</f>
        <v>1.3</v>
      </c>
      <c r="AQ390" s="1108">
        <f t="shared" si="537"/>
        <v>22572.270849699999</v>
      </c>
      <c r="AR390" s="1097">
        <f>(AM390*(1+$EX$9)+$EX$35)*(1+(INDEX(绊状态确认!$T:$T,MATCH($G390,绊状态确认!$B:$B,))+0.2)*AO390)*IF(J390=$FF$17,1+$FE$17,1)*IF(I390=$FF$14,1+$FE$14,1)</f>
        <v>11026.373489248001</v>
      </c>
      <c r="AS390" s="1097">
        <f>(AN390*(1+$EX$10)+$EX$36)*(1+(INDEX(绊状态确认!$T:$T,MATCH($G390,绊状态确认!$B:$B,))+0.2)*AO390)*IF(J390=$FF$17,1+$FE$17,1)*IF(I390=$FF$14,1+$FE$14,1)</f>
        <v>15373.940276135998</v>
      </c>
      <c r="AT390" s="1093">
        <f>IF(AND(INDEX('卡片raw data'!AK:AK,MATCH($D390,'卡片raw data'!$F:$F,))&lt;INDEX('卡片raw data'!AM:AM,MATCH($D390,'卡片raw data'!$F:$F,)),INDEX('卡片raw data'!AL:AL,MATCH($D390,'卡片raw data'!$F:$F,))&lt;INDEX('卡片raw data'!AM:AM,MATCH($D390,'卡片raw data'!$F:$F,))),1,0)</f>
        <v>1</v>
      </c>
      <c r="AU390" s="1098">
        <f>MIN(AT390*0.15+AS390*0.00003+INDEX(绊状态确认!M:M,MATCH($G390,绊状态确认!$B:$B,)),1)</f>
        <v>0.64121820828407994</v>
      </c>
      <c r="AV390" s="1109">
        <f>(INDEX(绊状态确认!$N:$N,MATCH($G390,绊状态确认!$B:$B,))+1.5)*$EW$21</f>
        <v>2.6599999999999997</v>
      </c>
      <c r="AW390" s="1101">
        <f t="shared" si="538"/>
        <v>24200.879138317901</v>
      </c>
      <c r="AX390" s="1097">
        <f t="shared" si="539"/>
        <v>942.10642994051477</v>
      </c>
      <c r="AY390" s="1110">
        <f t="shared" si="540"/>
        <v>25142.985568258417</v>
      </c>
      <c r="AZ390" s="429">
        <f t="shared" si="541"/>
        <v>16953.68691692</v>
      </c>
      <c r="BA390" s="431">
        <f t="shared" si="542"/>
        <v>20344.424300303999</v>
      </c>
      <c r="BB390" s="1097">
        <f>(AM390*(1+$FB$9)+$FB$35)*(1+(INDEX(绊状态确认!$T:$T,MATCH($G390,绊状态确认!$B:$B,))+0.2)*AO390)*IF(J390=$FF$17,1+$FE$17,1)*IF(I390=$FF$14,1+$FE$14,1)*(1+$FE$15)</f>
        <v>11026.373489248001</v>
      </c>
      <c r="BC390" s="1097">
        <f>(AN390*(1+$FB$10)+$FB$36)*(1+(INDEX(绊状态确认!$T:$T,MATCH($G390,绊状态确认!$B:$B,))+0.2)*AO390)*IF(J390=$FF$17,1+$FE$17,1)*IF(I390=$FF$14,1+$FE$14,1)*(1+$FE$15)</f>
        <v>15373.940276135998</v>
      </c>
      <c r="BD390" s="1104">
        <f>MIN(AT390*0.15+BC390*0.00003+INDEX(绊状态确认!M:M,MATCH($G390,绊状态确认!$B:$B,)),1)</f>
        <v>0.64121820828407994</v>
      </c>
      <c r="BE390" s="432">
        <f>(INDEX(绊状态确认!$N:$N,MATCH($G390,绊状态确认!$B:$B,))+1.5)</f>
        <v>1.9</v>
      </c>
      <c r="BF390" s="1139">
        <f t="array" ref="BF390">SUMPRODUCT(IF(AZ390*AP390*$FI$16:$FI$23*$FA$22&gt;=$FI$24,$FI$24,AZ390*AP390*$FI$16:$FI$23*$FA$22),$FJ$16:$FJ$23)</f>
        <v>33720.883277753877</v>
      </c>
      <c r="BG390" s="1125">
        <f t="array" ref="BG390">SUMPRODUCT(IF(BE390*AZ390*AP390*$FI$16:$FI$23*$FA$22&gt;=$FI$24,$FI$24,BE390*AZ390*AP390*$FI$16:$FI$23*$FA$22),$FJ$16:$FJ$23)</f>
        <v>58194.071542939972</v>
      </c>
      <c r="BH390" s="1110">
        <f t="shared" si="543"/>
        <v>16471.179069385158</v>
      </c>
      <c r="BI390" s="1111">
        <f>IF(O390="vo",$EW$26/$EW$24*0.05,0)+IF(O390="sk",-$EW$26/$EW$24*(0.05-INDEX(绊状态确认!W:W,MATCH($G390,绊状态确认!$B:$B,)))+0.05*$EW$28,0)+IF(O390="sp",0.05*$EW$32*$EW$30*(1-$EW$33)-(0.05-INDEX(绊状态确认!V:V,MATCH($G390,绊状态确认!$B:$B,)))*$EW$28,0)+IF(O390="gd",-(0.05-INDEX(绊状态确认!X:X,MATCH($G390,绊状态确认!$B:$B,)))*$EW$32*$EW$30*(1-$EW$33),0)</f>
        <v>-6253.6726349699375</v>
      </c>
      <c r="BJ390" s="1097">
        <f>IF(O390="vo",0.05*(1-$FI$26)*$FA$24,0)+IF(O390="sk",-(0.05-INDEX(绊状态确认!W:W,MATCH($G390,绊状态确认!$B:$B,)))*(1-$FI$26)*$FA$24+0.05*$FA$26,0)+IF(O390="sp",0.05*$FA$32*$FA$27*(1-$FA$33)/$FA$30+0.05*$FA$29/$FA$69*$FA$27*(1-$FA$33)-(0.05-INDEX(绊状态确认!V:V,MATCH($G390,绊状态确认!$B:$B,)))*$FA$26,0)+IF(O390="gd",-(0.05-INDEX(绊状态确认!X:X,MATCH($G390,绊状态确认!$B:$B,)))*$FA$32*$FA$27*(1-$FA$33)/$FA$30-(0.05-INDEX(绊状态确认!X:X,MATCH($G390,绊状态确认!$B:$B,)))*$FA$29/$FA$69*$FA$27*(1-$FA$33),0)</f>
        <v>20.459096812499922</v>
      </c>
      <c r="BK390" s="1110">
        <f>IF(O390="vo",$EW$26/$EW$24*0.05+$EW$26*(-HP($EW$62,$EW$65,$EW$64)+HP($EW$62,$EW$65,(1.05-INDEX(绊状态确认!U:U,MATCH($G390,绊状态确认!$B:$B,)))*$EW$64)),0)+IF(O390="sk",-$EW$26/$EW$24*(0.05-INDEX(绊状态确认!W:W,MATCH($G390,绊状态确认!$B:$B,)))+0.05*$EW$29,0)+IF(O390="sp",0.05*$EW$32*$EW$30*(1-$EW$33)-(0.05-INDEX(绊状态确认!V:V,MATCH($G390,绊状态确认!$B:$B,)))*$EW$29,0)+IF(O390="gd",-(0.05-INDEX(绊状态确认!X:X,MATCH($G390,绊状态确认!$B:$B,)))*$EW$32*$EW$30*(1-$EW$33)+$EW$26*(-HP($EW$62,$EW$65,$EW$64)+HP($EW$62,$EW$65,0.95*$EW$64)),0)</f>
        <v>-4253.6726349699375</v>
      </c>
      <c r="BL390" s="1111">
        <f t="shared" si="544"/>
        <v>-1083.3333333333333</v>
      </c>
      <c r="BM390" s="1110">
        <f t="shared" si="545"/>
        <v>-830.55555555555543</v>
      </c>
      <c r="BN390" s="1113">
        <f t="shared" si="546"/>
        <v>3</v>
      </c>
      <c r="BO390" s="1108">
        <f t="shared" si="547"/>
        <v>4507.7214871259994</v>
      </c>
      <c r="BP390" s="1100">
        <f t="shared" si="548"/>
        <v>221.34103209030098</v>
      </c>
      <c r="BQ390" s="1113" t="s">
        <v>132</v>
      </c>
      <c r="BR390" s="1124" t="s">
        <v>168</v>
      </c>
      <c r="BS390" s="1098">
        <f>IF($P390="","N/A",IF($P390=-1,INDEX('卡片raw data'!AX:AX,MATCH($D390,'卡片raw data'!$F:$F,)),0)+IF($L390="party卡",IF($P390=5,INDEX('卡片raw data'!BD:BD,MATCH($D390,'卡片raw data'!$F:$F,)),IF($P390&gt;=3,INDEX('卡片raw data'!BC:BC,MATCH($D390,'卡片raw data'!$F:$F,)),INDEX('卡片raw data'!BB:BB,MATCH($D390,'卡片raw data'!$F:$F,)))),IF(OR(AND($F390="UR",$P390=0),AND($F390="SR",$P390&gt;=0,$P390&lt;=2),AND($F390="R",$P390&gt;=0,$P390&lt;4)),INDEX('卡片raw data'!AZ:AZ,MATCH($D390,'卡片raw data'!$F:$F,)),0)+IF(OR(AND($F390="UR",$P390&gt;=1,$P390&lt;=4),AND($F390="SR",$P390&lt;=4,$P390&gt;=3),AND($F390="R",$P390=4)),INDEX('卡片raw data'!BA:BA,MATCH($D390,'卡片raw data'!$F:$F,)),0)+IF($P390=5,INDEX('卡片raw data'!BB:BB,MATCH($D390,'卡片raw data'!$F:$F,)),0)))</f>
        <v>0.05</v>
      </c>
      <c r="BT390" s="1101">
        <f t="shared" si="549"/>
        <v>3756.4345726050001</v>
      </c>
      <c r="BU390" s="1097">
        <f t="shared" si="550"/>
        <v>184.45086007525089</v>
      </c>
      <c r="BV390" s="1097">
        <f t="shared" si="551"/>
        <v>0</v>
      </c>
      <c r="BW390" s="1112">
        <f t="shared" si="552"/>
        <v>0</v>
      </c>
      <c r="BX390" s="1100">
        <f t="shared" si="553"/>
        <v>3756.4345726050001</v>
      </c>
      <c r="BY390" s="1110">
        <f t="shared" si="554"/>
        <v>0</v>
      </c>
      <c r="BZ390" s="1113" t="s">
        <v>569</v>
      </c>
      <c r="CA390" s="1124"/>
      <c r="CB390" s="1098">
        <f>IF($P390="","N/A",IF($P390=-1,INDEX('卡片raw data'!BE:BE,MATCH($D390,'卡片raw data'!$F:$F,)),0)+IF($L390="party卡",IF($P390=5,INDEX('卡片raw data'!BK:BK,MATCH($D390,'卡片raw data'!$F:$F,)),IF($P390&gt;=3,INDEX('卡片raw data'!BJ:BJ,MATCH($D390,'卡片raw data'!$F:$F,)),INDEX('卡片raw data'!BI:BI,MATCH($D390,'卡片raw data'!$F:$F,)))),IF(OR(AND($F390="UR",$P390=0),AND($F390="SR",$P390&gt;=0,$P390&lt;=2),AND($F390="R",$P390&gt;=0,$P390&lt;4)),INDEX('卡片raw data'!BG:BG,MATCH($D390,'卡片raw data'!$F:$F,)),0)+IF(OR(AND($F390="UR",$P390&gt;=1,$P390&lt;=4),AND($F390="SR",$P390&lt;=4,$P390&gt;=3),AND($F390="R",$P390=4)),INDEX('卡片raw data'!BH:BH,MATCH($D390,'卡片raw data'!$F:$F,)),0)+IF($P390=5,INDEX('卡片raw data'!BI:BI,MATCH($D390,'卡片raw data'!$F:$F,)),0)))</f>
        <v>0</v>
      </c>
      <c r="CC390" s="1101">
        <f t="shared" si="555"/>
        <v>0</v>
      </c>
      <c r="CD390" s="1097">
        <f>IF(BZ390="ap",CB390*(1-$FI$26)*$FB$5/$FB$11*(+IF(CA390="全员",$FA$24,0)+IF(CA390="同作战",$FA$24,0)+IF(CA390="仲间",$FA$24*2/3,0)+IF(CA390="同属性",$FA$24*$FA$37/3,0)+IF(CA390="同年级",$FA$24*$FA$40/3,0)+IF(CA390="同学校",$FA$24*$FA$43/3,0)+IF(CA390="同小队",$FA$24*$FA$46/3,0)+IF(CA390="同type",$FA$24*INDEX($FB$49:$FB$52,MATCH(X390,$FA$49:$FA$52,))/3,0)+IF(CA390="自身",#REF!/3,0)),0)+IF(BZ390="te",CB390*(1-$FI$27)*($FA$20-1)*$FB$7/$FB$13*(+IF(CA390="全员",$FA$19*$FA$24/(1+($FA$20-1)*$FA$19),0)+IF(CA390="同作战",$FA$19*$FA$24/(1+($FA$20-1)*$FA$19),0)+IF(CA390="仲间",$FA$19*$FA$24*2/3/(1+($FA$20-1)*$FA$19),0)+IF(CA390="同属性",$FA$19*$FA$24*$FA$37/3/(1+($FA$20-1)*$FA$19),0)+IF(CA390="同年级",$FA$19*$FA$24*$FA$40/3/(1+($FA$20-1)*$FA$19),0)+IF(CA390="同学校",$FA$19*$FA$24*$FA$43/3/(1+($FA$20-1)*$FA$19),0)+IF(CA390="同小队",$FA$19*$FA$24*$FA$46/3/(1+($FA$20-1)*$FA$19),0)+IF(CA390="同type",$FA$19*$FA$24*INDEX($FB$49:$FB$52,MATCH(X390,$FA$49:$FA$52,))/3/(1+($FA$20-1)*$FA$19),0)+IF(CA390="自身",$FA$19*#REF!/3/(1+(BH390-1)*$BD390),0)),0)</f>
        <v>0</v>
      </c>
      <c r="CE390" s="1097">
        <f t="shared" si="556"/>
        <v>0</v>
      </c>
      <c r="CF390" s="1112">
        <f t="shared" si="557"/>
        <v>0</v>
      </c>
      <c r="CG390" s="1100">
        <f t="shared" si="558"/>
        <v>0</v>
      </c>
      <c r="CH390" s="1110">
        <f t="shared" si="559"/>
        <v>0</v>
      </c>
      <c r="CI390" s="1113" t="s">
        <v>164</v>
      </c>
      <c r="CJ390" s="1114">
        <v>1</v>
      </c>
      <c r="CK390" s="1115" t="s">
        <v>295</v>
      </c>
      <c r="CL390" s="1115" t="s">
        <v>1906</v>
      </c>
      <c r="CM390" s="1119">
        <v>7.0000000000000007E-2</v>
      </c>
      <c r="CN390" s="1115">
        <v>5</v>
      </c>
      <c r="CO390" s="1115"/>
      <c r="CP390" s="1118">
        <f t="shared" si="560"/>
        <v>7.5000000000000006E-3</v>
      </c>
      <c r="CQ390" s="1118">
        <f t="shared" si="561"/>
        <v>1.1666666666666667E-2</v>
      </c>
      <c r="CR390" s="1118">
        <f t="shared" si="562"/>
        <v>0</v>
      </c>
      <c r="CS390" s="1118">
        <f t="shared" si="563"/>
        <v>3.7369791666666671E-3</v>
      </c>
      <c r="CT390" s="1109">
        <f t="shared" si="564"/>
        <v>0</v>
      </c>
      <c r="CU390" s="1101">
        <f t="shared" si="565"/>
        <v>318.18181818181819</v>
      </c>
      <c r="CV390" s="1108">
        <f t="shared" si="566"/>
        <v>265.15151515151513</v>
      </c>
      <c r="CW390" s="1097">
        <f t="shared" si="567"/>
        <v>0</v>
      </c>
      <c r="CX390" s="1097">
        <f t="shared" si="568"/>
        <v>318.18181818181819</v>
      </c>
      <c r="CY390" s="1110">
        <f t="shared" si="569"/>
        <v>0</v>
      </c>
      <c r="CZ390" s="437"/>
      <c r="DA390" s="438"/>
      <c r="DB390" s="439" t="s">
        <v>569</v>
      </c>
      <c r="DC390" s="439"/>
      <c r="DD390" s="443"/>
      <c r="DE390" s="411"/>
      <c r="DF390" s="411"/>
      <c r="DG390" s="1116">
        <f t="shared" si="570"/>
        <v>0</v>
      </c>
      <c r="DH390" s="1116">
        <f t="shared" si="571"/>
        <v>0</v>
      </c>
      <c r="DI390" s="1116">
        <f t="shared" si="572"/>
        <v>0</v>
      </c>
      <c r="DJ390" s="442">
        <f t="shared" si="573"/>
        <v>0</v>
      </c>
      <c r="DK390" s="1109">
        <f t="shared" si="574"/>
        <v>0</v>
      </c>
      <c r="DL390" s="1101">
        <f t="shared" si="575"/>
        <v>0</v>
      </c>
      <c r="DM390" s="1097">
        <f t="shared" si="576"/>
        <v>0</v>
      </c>
      <c r="DN390" s="1097">
        <f t="shared" si="577"/>
        <v>0</v>
      </c>
      <c r="DO390" s="1097">
        <f t="shared" si="578"/>
        <v>0</v>
      </c>
      <c r="DP390" s="1110">
        <f t="shared" si="579"/>
        <v>0</v>
      </c>
      <c r="DQ390" s="1113" t="s">
        <v>221</v>
      </c>
      <c r="DR390" s="1120">
        <f t="shared" si="580"/>
        <v>0.3</v>
      </c>
      <c r="DS390" s="1124">
        <v>5</v>
      </c>
      <c r="DT390" s="1124" t="s">
        <v>1906</v>
      </c>
      <c r="DU390" s="1093" t="s">
        <v>544</v>
      </c>
      <c r="DV390" s="1098">
        <f>IF($P390="","N/A",IF(P390=-1,INDEX('卡片raw data'!AN:AN,MATCH(D390,'卡片raw data'!$F:$F,)),0)+IF(AND(L390&lt;&gt;"party卡",P390&lt;=2,P390&gt;=0),INDEX('卡片raw data'!AP:AP,MATCH(D390,'卡片raw data'!$F:$F,)),0)+IF(OR(AND(L390="party卡",P390&lt;=1),AND(P390&lt;=4,L390&lt;&gt;"party卡",P390&gt;=3)),INDEX('卡片raw data'!AQ:AQ,MATCH(D390,'卡片raw data'!$F:$F,)),0)+IF(OR(P390=5,AND(L390="party卡",P390&gt;=2)),INDEX('卡片raw data'!AR:AR,MATCH(D390,'卡片raw data'!$F:$F,)),0))</f>
        <v>5.3999999999999999E-2</v>
      </c>
      <c r="DW390" s="1098">
        <f t="shared" si="581"/>
        <v>0.3</v>
      </c>
      <c r="DX390" s="1098">
        <f t="shared" si="582"/>
        <v>0.3</v>
      </c>
      <c r="DY390" s="1098">
        <f t="shared" si="583"/>
        <v>2.6999999999999996E-2</v>
      </c>
      <c r="DZ390" s="1098">
        <f t="shared" si="584"/>
        <v>2.3354999999999997E-2</v>
      </c>
      <c r="EA390" s="1098">
        <f t="shared" si="585"/>
        <v>0</v>
      </c>
      <c r="EB390" s="1121">
        <f t="shared" si="586"/>
        <v>0</v>
      </c>
      <c r="EC390" s="1101">
        <f t="shared" si="587"/>
        <v>4589.4239390801586</v>
      </c>
      <c r="ED390" s="1097">
        <f t="shared" si="588"/>
        <v>184.00672875431249</v>
      </c>
      <c r="EE390" s="1110">
        <f t="shared" si="513"/>
        <v>4589.4239390801586</v>
      </c>
      <c r="EF390" s="1115" t="s">
        <v>569</v>
      </c>
      <c r="EG390" s="1120">
        <f t="shared" si="589"/>
        <v>0.3</v>
      </c>
      <c r="EH390" s="1124"/>
      <c r="EI390" s="1093"/>
      <c r="EJ390" s="1093"/>
      <c r="EK390" s="1097">
        <f>IF($P390="","N/A",IF(P390=-1,INDEX('卡片raw data'!AS:AS,MATCH(D390,'卡片raw data'!$F:$F,)),0)+IF(AND(L390&lt;&gt;"party卡",P390&lt;=2,P390&gt;=0),INDEX('卡片raw data'!AU:AU,MATCH(D390,'卡片raw data'!$F:$F,)),0)+IF(OR(AND(L390="party卡",P390&lt;=1),AND(P390&lt;=4,L390&lt;&gt;"party卡",P390&gt;=3)),INDEX('卡片raw data'!AV:AV,MATCH(D390,'卡片raw data'!$F:$F,)),0)+IF(OR(P390=5,AND(L390="party卡",P390&gt;=2)),INDEX('卡片raw data'!AW:AW,MATCH(D390,'卡片raw data'!$F:$F,)),0))</f>
        <v>0</v>
      </c>
      <c r="EL390" s="1098">
        <f t="shared" si="590"/>
        <v>0.3</v>
      </c>
      <c r="EM390" s="1098">
        <f t="shared" si="591"/>
        <v>0.3</v>
      </c>
      <c r="EN390" s="1097">
        <f t="shared" si="592"/>
        <v>0</v>
      </c>
      <c r="EO390" s="1097">
        <f t="shared" si="593"/>
        <v>0</v>
      </c>
      <c r="EP390" s="1098">
        <f t="shared" si="594"/>
        <v>0</v>
      </c>
      <c r="EQ390" s="1121">
        <f t="shared" si="595"/>
        <v>0</v>
      </c>
      <c r="ER390" s="1101">
        <f t="shared" si="596"/>
        <v>0</v>
      </c>
      <c r="ES390" s="1097">
        <f t="shared" si="597"/>
        <v>0</v>
      </c>
      <c r="ET390" s="1122">
        <f t="shared" si="514"/>
        <v>0</v>
      </c>
    </row>
    <row r="391" spans="2:150" ht="16.5" customHeight="1">
      <c r="B391" s="1123" t="str">
        <f>INDEX('卡片raw data'!B:B,MATCH($D391,'卡片raw data'!$F:$F,))</f>
        <v>牛年林</v>
      </c>
      <c r="C391" s="449" t="s">
        <v>1896</v>
      </c>
      <c r="D391" s="408">
        <v>388</v>
      </c>
      <c r="E391" s="477">
        <v>402043003</v>
      </c>
      <c r="F391" s="1090" t="str">
        <f>INDEX('卡片raw data'!C:C,MATCH($D391,'卡片raw data'!$F:$F,))</f>
        <v>UR</v>
      </c>
      <c r="G391" s="1094" t="s">
        <v>1897</v>
      </c>
      <c r="H391" s="411">
        <f>IFERROR(INDEX(绊状态确认!C:C,MATCH($G391,绊状态确认!$B:$B,)),"")</f>
        <v>204</v>
      </c>
      <c r="I391" s="450" t="str">
        <f>IFERROR(INDEX(绊状态确认!D:D,MATCH($G391,绊状态确认!$B:$B,)),"")</f>
        <v>虹</v>
      </c>
      <c r="J391" s="450" t="str">
        <f>IFERROR(INDEX(绊状态确认!E:E,MATCH($G391,绊状态确认!$B:$B,)),"")</f>
        <v>3年级</v>
      </c>
      <c r="K391" s="451" t="str">
        <f>IFERROR(INDEX(绊状态确认!F:F,MATCH($G391,绊状态确认!$B:$B,)),"")</f>
        <v>Diver Diva</v>
      </c>
      <c r="L391" s="1094" t="str">
        <f>INDEX('卡片raw data'!E:E,MATCH($D391,'卡片raw data'!$F:$F,))</f>
        <v>卡池卡</v>
      </c>
      <c r="M391" s="478">
        <v>44215</v>
      </c>
      <c r="N391" s="479">
        <v>32</v>
      </c>
      <c r="O391" s="1091" t="str">
        <f>INDEX('卡片raw data'!D:D,MATCH($D391,'卡片raw data'!$F:$F,))</f>
        <v>sk</v>
      </c>
      <c r="P391" s="1126">
        <v>5</v>
      </c>
      <c r="Q391" s="1095">
        <f t="shared" si="515"/>
        <v>45488.916776967169</v>
      </c>
      <c r="R391" s="1096">
        <f t="shared" si="516"/>
        <v>0.52800000000000002</v>
      </c>
      <c r="S391" s="1097">
        <f t="shared" si="517"/>
        <v>19794.780246905419</v>
      </c>
      <c r="T391" s="1098">
        <f t="shared" si="518"/>
        <v>0.98899999999999999</v>
      </c>
      <c r="U391" s="1099">
        <f t="shared" si="519"/>
        <v>17.673785012742854</v>
      </c>
      <c r="V391" s="1100">
        <f t="shared" si="520"/>
        <v>48915.43752433503</v>
      </c>
      <c r="W391" s="1101">
        <f t="shared" si="521"/>
        <v>6227.9242058599884</v>
      </c>
      <c r="X391" s="1096">
        <f t="shared" si="522"/>
        <v>7.1999999999999995E-2</v>
      </c>
      <c r="Y391" s="1097">
        <f t="shared" si="523"/>
        <v>1426.5207473678602</v>
      </c>
      <c r="Z391" s="1102">
        <f t="shared" si="524"/>
        <v>17.673785012742854</v>
      </c>
      <c r="AA391" s="1103">
        <f t="shared" si="525"/>
        <v>7654.4449532278486</v>
      </c>
      <c r="AB391" s="1101">
        <f t="shared" si="526"/>
        <v>7948.1269245939784</v>
      </c>
      <c r="AC391" s="1104">
        <f t="shared" si="527"/>
        <v>9.1999999999999998E-2</v>
      </c>
      <c r="AD391" s="1105">
        <f t="shared" si="528"/>
        <v>2.1769318181818181E-2</v>
      </c>
      <c r="AE391" s="1128">
        <f t="shared" si="529"/>
        <v>11.953757704745847</v>
      </c>
      <c r="AF391" s="1130">
        <f t="shared" si="530"/>
        <v>0</v>
      </c>
      <c r="AG391" s="420">
        <f t="shared" si="531"/>
        <v>0</v>
      </c>
      <c r="AH391" s="420">
        <f t="shared" si="532"/>
        <v>0</v>
      </c>
      <c r="AI391" s="1097">
        <f t="shared" si="533"/>
        <v>0</v>
      </c>
      <c r="AJ391" s="420">
        <f t="shared" si="534"/>
        <v>0</v>
      </c>
      <c r="AK391" s="518">
        <f t="shared" si="535"/>
        <v>0</v>
      </c>
      <c r="AL391" s="1106">
        <f>IF($P391="","N/A",(IF($P391=-1,INDEX('卡片raw data'!S:S,MATCH($D391,'卡片raw data'!$F:$F,)),0)+IF($P391=0,INDEX('卡片raw data'!V:V,MATCH($D391,'卡片raw data'!$F:$F,)),0)+IF($P391=1,INDEX('卡片raw data'!Y:Y,MATCH($D391,'卡片raw data'!$F:$F,)),0)+IF($P391=2,INDEX('卡片raw data'!AB:AB,MATCH($D391,'卡片raw data'!$F:$F,)),0)+IF($P391=3,INDEX('卡片raw data'!AE:AE,MATCH($D391,'卡片raw data'!$F:$F,)),0)+IF($P391=4,INDEX('卡片raw data'!AH:AH,MATCH($D391,'卡片raw data'!$F:$F,)),0)+IF($P391=5,INDEX('卡片raw data'!AK:AK,MATCH($D391,'卡片raw data'!$F:$F,)),0)+INDEX('卡片raw data'!S:S,MATCH($D391,'卡片raw data'!$F:$F,))*(IF($F391="UR",0.04,0.033))*(IF($F391="UR",INDEX(绊状态确认!$S:$S,MATCH($G391,绊状态确认!$B:$B,))/2-40)+IF($F391="SR",INDEX(绊状态确认!$R:$R,MATCH($G391,绊状态确认!$B:$B,))/4-15))+IF($F391="R",INDEX(绊状态确认!$Q:$Q,MATCH($G391,绊状态确认!$B:$B,))/6-40/6)))*(INDEX(绊状态确认!$H:$H,MATCH($G391,绊状态确认!$B:$B,))+INDEX(绊状态确认!J:J,MATCH($G391,绊状态确认!$B:$B,)))</f>
        <v>12797.636783999998</v>
      </c>
      <c r="AM391" s="1106">
        <f>IF($P391="","N/A",(IF($P391=-1,INDEX('卡片raw data'!T:T,MATCH($D391,'卡片raw data'!$F:$F,)),0)+IF($P391=0,INDEX('卡片raw data'!W:W,MATCH($D391,'卡片raw data'!$F:$F,)),0)+IF($P391=1,INDEX('卡片raw data'!Z:Z,MATCH($D391,'卡片raw data'!$F:$F,)),0)+IF($P391=2,INDEX('卡片raw data'!AC:AC,MATCH($D391,'卡片raw data'!$F:$F,)),0)+IF($P391=3,INDEX('卡片raw data'!AF:AF,MATCH($D391,'卡片raw data'!$F:$F,)),0)+IF($P391=4,INDEX('卡片raw data'!AI:AI,MATCH($D391,'卡片raw data'!$F:$F,)),0)+IF($P391=5,INDEX('卡片raw data'!AL:AL,MATCH($D391,'卡片raw data'!$F:$F,)),0)+INDEX('卡片raw data'!T:T,MATCH($D391,'卡片raw data'!$F:$F,))*(IF($F391="UR",0.04,0.033))*(IF($F391="UR",INDEX(绊状态确认!$S:$S,MATCH($G391,绊状态确认!$B:$B,))/2-40)+IF($F391="SR",INDEX(绊状态确认!$R:$R,MATCH($G391,绊状态确认!$B:$B,))/4-15))+IF($F391="R",INDEX(绊状态确认!$Q:$Q,MATCH($G391,绊状态确认!$B:$B,))/6-40/6)))*(INDEX(绊状态确认!$H:$H,MATCH($G391,绊状态确认!$B:$B,))+INDEX(绊状态确认!K:K,MATCH($G391,绊状态确认!$B:$B,)))</f>
        <v>10103.686943999997</v>
      </c>
      <c r="AN391" s="1106">
        <f>IF($P391="","N/A",(IF($P391=-1,INDEX('卡片raw data'!U:U,MATCH($D391,'卡片raw data'!$F:$F,)),0)+IF($P391=0,INDEX('卡片raw data'!X:X,MATCH($D391,'卡片raw data'!$F:$F,)),0)+IF($P391=1,INDEX('卡片raw data'!AA:AA,MATCH($D391,'卡片raw data'!$F:$F,)),0)+IF($P391=2,INDEX('卡片raw data'!AD:AD,MATCH($D391,'卡片raw data'!$F:$F,)),0)+IF($P391=3,INDEX('卡片raw data'!AG:AG,MATCH($D391,'卡片raw data'!$F:$F,)),0)+IF($P391=4,INDEX('卡片raw data'!AJ:AJ,MATCH($D391,'卡片raw data'!$F:$F,)),0)+IF($P391=5,INDEX('卡片raw data'!AM:AM,MATCH($D391,'卡片raw data'!$F:$F,)),0)+INDEX('卡片raw data'!U:U,MATCH($D391,'卡片raw data'!$F:$F,))*(IF($F391="UR",0.04,0.033))*(IF($F391="UR",INDEX(绊状态确认!$S:$S,MATCH($G391,绊状态确认!$B:$B,))/2-40)+IF($F391="SR",INDEX(绊状态确认!$R:$R,MATCH($G391,绊状态确认!$B:$B,))/4-15))+IF($F391="R",INDEX(绊状态确认!$Q:$Q,MATCH($G391,绊状态确认!$B:$B,))/6-40/6)))*(INDEX(绊状态确认!$H:$H,MATCH($G391,绊状态确认!$B:$B,))+INDEX(绊状态确认!L:L,MATCH($G391,绊状态确认!$B:$B,)))</f>
        <v>10778.072159999998</v>
      </c>
      <c r="AO391" s="1107">
        <f t="shared" si="536"/>
        <v>1</v>
      </c>
      <c r="AP391" s="1131">
        <f>1+(INDEX(绊状态确认!$T:$T,MATCH($G391,绊状态确认!$B:$B,))+0.2)*$AO391</f>
        <v>1.3</v>
      </c>
      <c r="AQ391" s="1108">
        <f t="shared" si="537"/>
        <v>36843.796558000002</v>
      </c>
      <c r="AR391" s="1097">
        <f>(AM391*(1+$EX$9)+$EX$35)*(1+(INDEX(绊状态确认!$T:$T,MATCH($G391,绊状态确认!$B:$B,))+0.2)*AO391)*IF(J391=$FF$17,1+$FE$17,1)*IF(I391=$FF$14,1+$FE$14,1)</f>
        <v>16495.532678559997</v>
      </c>
      <c r="AS391" s="1097">
        <f>(AN391*(1+$EX$10)+$EX$36)*(1+(INDEX(绊状态确认!$T:$T,MATCH($G391,绊状态确认!$B:$B,))+0.2)*AO391)*IF(J391=$FF$17,1+$FE$17,1)*IF(I391=$FF$14,1+$FE$14,1)</f>
        <v>20169.217879199994</v>
      </c>
      <c r="AT391" s="1093">
        <f>IF(AND(INDEX('卡片raw data'!AK:AK,MATCH($D391,'卡片raw data'!$F:$F,))&lt;INDEX('卡片raw data'!AM:AM,MATCH($D391,'卡片raw data'!$F:$F,)),INDEX('卡片raw data'!AL:AL,MATCH($D391,'卡片raw data'!$F:$F,))&lt;INDEX('卡片raw data'!AM:AM,MATCH($D391,'卡片raw data'!$F:$F,))),1,0)</f>
        <v>0</v>
      </c>
      <c r="AU391" s="1098">
        <f>MIN(AT391*0.15+AS391*0.00003+INDEX(绊状态确认!M:M,MATCH($G391,绊状态确认!$B:$B,)),1)</f>
        <v>0.63507653637599981</v>
      </c>
      <c r="AV391" s="1109">
        <f>(INDEX(绊状态确认!$N:$N,MATCH($G391,绊状态确认!$B:$B,))+1.5)*$EW$21</f>
        <v>2.6599999999999997</v>
      </c>
      <c r="AW391" s="1101">
        <f t="shared" si="538"/>
        <v>39307.025746909196</v>
      </c>
      <c r="AX391" s="1097">
        <f t="shared" si="539"/>
        <v>1426.5207473678604</v>
      </c>
      <c r="AY391" s="1110">
        <f t="shared" si="540"/>
        <v>40733.546494277056</v>
      </c>
      <c r="AZ391" s="429">
        <f t="shared" si="541"/>
        <v>27555.391728799998</v>
      </c>
      <c r="BA391" s="431">
        <f t="shared" si="542"/>
        <v>33066.470074559998</v>
      </c>
      <c r="BB391" s="1097">
        <f>(AM391*(1+$FB$9)+$FB$35)*(1+(INDEX(绊状态确认!$T:$T,MATCH($G391,绊状态确认!$B:$B,))+0.2)*AO391)*IF(J391=$FF$17,1+$FE$17,1)*IF(I391=$FF$14,1+$FE$14,1)*(1+$FE$15)</f>
        <v>16495.532678559997</v>
      </c>
      <c r="BC391" s="1097">
        <f>(AN391*(1+$FB$10)+$FB$36)*(1+(INDEX(绊状态确认!$T:$T,MATCH($G391,绊状态确认!$B:$B,))+0.2)*AO391)*IF(J391=$FF$17,1+$FE$17,1)*IF(I391=$FF$14,1+$FE$14,1)*(1+$FE$15)</f>
        <v>20169.217879199994</v>
      </c>
      <c r="BD391" s="1104">
        <f>MIN(AT391*0.15+BC391*0.00003+INDEX(绊状态确认!M:M,MATCH($G391,绊状态确认!$B:$B,)),1)</f>
        <v>0.63507653637599981</v>
      </c>
      <c r="BE391" s="432">
        <f>(INDEX(绊状态确认!$N:$N,MATCH($G391,绊状态确认!$B:$B,))+1.5)</f>
        <v>1.9</v>
      </c>
      <c r="BF391" s="1139">
        <f t="array" ref="BF391">SUMPRODUCT(IF(AZ391*AP391*$FI$16:$FI$23*$FA$22&gt;=$FI$24,$FI$24,AZ391*AP391*$FI$16:$FI$23*$FA$22),$FJ$16:$FJ$23)</f>
        <v>53463.789154965605</v>
      </c>
      <c r="BG391" s="1125">
        <f t="array" ref="BG391">SUMPRODUCT(IF(BE391*AZ391*AP391*$FI$16:$FI$23*$FA$22&gt;=$FI$24,$FI$24,BE391*AZ391*AP391*$FI$16:$FI$23*$FA$22),$FJ$16:$FJ$23)</f>
        <v>60000</v>
      </c>
      <c r="BH391" s="1110">
        <f t="shared" si="543"/>
        <v>19204.92776648443</v>
      </c>
      <c r="BI391" s="1111">
        <f>IF(O391="vo",$EW$26/$EW$24*0.05,0)+IF(O391="sk",-$EW$26/$EW$24*(0.05-INDEX(绊状态确认!W:W,MATCH($G391,绊状态确认!$B:$B,)))+0.05*$EW$28,0)+IF(O391="sp",0.05*$EW$32*$EW$30*(1-$EW$33)-(0.05-INDEX(绊状态确认!V:V,MATCH($G391,绊状态确认!$B:$B,)))*$EW$28,0)+IF(O391="gd",-(0.05-INDEX(绊状态确认!X:X,MATCH($G391,绊状态确认!$B:$B,)))*$EW$32*$EW$30*(1-$EW$33),0)</f>
        <v>-6253.6726349699375</v>
      </c>
      <c r="BJ391" s="1097">
        <f>IF(O391="vo",0.05*(1-$FI$26)*$FA$24,0)+IF(O391="sk",-(0.05-INDEX(绊状态确认!W:W,MATCH($G391,绊状态确认!$B:$B,)))*(1-$FI$26)*$FA$24+0.05*$FA$26,0)+IF(O391="sp",0.05*$FA$32*$FA$27*(1-$FA$33)/$FA$30+0.05*$FA$29/$FA$69*$FA$27*(1-$FA$33)-(0.05-INDEX(绊状态确认!V:V,MATCH($G391,绊状态确认!$B:$B,)))*$FA$26,0)+IF(O391="gd",-(0.05-INDEX(绊状态确认!X:X,MATCH($G391,绊状态确认!$B:$B,)))*$FA$32*$FA$27*(1-$FA$33)/$FA$30-(0.05-INDEX(绊状态确认!X:X,MATCH($G391,绊状态确认!$B:$B,)))*$FA$29/$FA$69*$FA$27*(1-$FA$33),0)</f>
        <v>20.459096812499922</v>
      </c>
      <c r="BK391" s="1110">
        <f>IF(O391="vo",$EW$26/$EW$24*0.05+$EW$26*(-HP($EW$62,$EW$65,$EW$64)+HP($EW$62,$EW$65,(1.05-INDEX(绊状态确认!U:U,MATCH($G391,绊状态确认!$B:$B,)))*$EW$64)),0)+IF(O391="sk",-$EW$26/$EW$24*(0.05-INDEX(绊状态确认!W:W,MATCH($G391,绊状态确认!$B:$B,)))+0.05*$EW$29,0)+IF(O391="sp",0.05*$EW$32*$EW$30*(1-$EW$33)-(0.05-INDEX(绊状态确认!V:V,MATCH($G391,绊状态确认!$B:$B,)))*$EW$29,0)+IF(O391="gd",-(0.05-INDEX(绊状态确认!X:X,MATCH($G391,绊状态确认!$B:$B,)))*$EW$32*$EW$30*(1-$EW$33)+$EW$26*(-HP($EW$62,$EW$65,$EW$64)+HP($EW$62,$EW$65,0.95*$EW$64)),0)</f>
        <v>-4253.6726349699375</v>
      </c>
      <c r="BL391" s="1111">
        <f t="shared" si="544"/>
        <v>0</v>
      </c>
      <c r="BM391" s="1110">
        <f t="shared" si="545"/>
        <v>0</v>
      </c>
      <c r="BN391" s="1113">
        <f t="shared" si="546"/>
        <v>3</v>
      </c>
      <c r="BO391" s="1108">
        <f t="shared" si="547"/>
        <v>4507.7214871259994</v>
      </c>
      <c r="BP391" s="1100">
        <f t="shared" si="548"/>
        <v>221.34103209030098</v>
      </c>
      <c r="BQ391" s="1113" t="s">
        <v>132</v>
      </c>
      <c r="BR391" s="1124" t="s">
        <v>171</v>
      </c>
      <c r="BS391" s="1098">
        <f>IF($P391="","N/A",IF($P391=-1,INDEX('卡片raw data'!AX:AX,MATCH($D391,'卡片raw data'!$F:$F,)),0)+IF($L391="party卡",IF($P391=5,INDEX('卡片raw data'!BD:BD,MATCH($D391,'卡片raw data'!$F:$F,)),IF($P391&gt;=3,INDEX('卡片raw data'!BC:BC,MATCH($D391,'卡片raw data'!$F:$F,)),INDEX('卡片raw data'!BB:BB,MATCH($D391,'卡片raw data'!$F:$F,)))),IF(OR(AND($F391="UR",$P391=0),AND($F391="SR",$P391&gt;=0,$P391&lt;=2),AND($F391="R",$P391&gt;=0,$P391&lt;4)),INDEX('卡片raw data'!AZ:AZ,MATCH($D391,'卡片raw data'!$F:$F,)),0)+IF(OR(AND($F391="UR",$P391&gt;=1,$P391&lt;=4),AND($F391="SR",$P391&lt;=4,$P391&gt;=3),AND($F391="R",$P391=4)),INDEX('卡片raw data'!BA:BA,MATCH($D391,'卡片raw data'!$F:$F,)),0)+IF($P391=5,INDEX('卡片raw data'!BB:BB,MATCH($D391,'卡片raw data'!$F:$F,)),0)))</f>
        <v>5.1999999999999998E-2</v>
      </c>
      <c r="BT391" s="1101">
        <f t="shared" si="549"/>
        <v>2604.4613036728001</v>
      </c>
      <c r="BU391" s="1097">
        <f t="shared" si="550"/>
        <v>111.90018844565216</v>
      </c>
      <c r="BV391" s="1097">
        <f t="shared" si="551"/>
        <v>1302.2306518363998</v>
      </c>
      <c r="BW391" s="1112">
        <f t="shared" si="552"/>
        <v>0</v>
      </c>
      <c r="BX391" s="1100">
        <f t="shared" si="553"/>
        <v>2604.4613036728001</v>
      </c>
      <c r="BY391" s="1110">
        <f t="shared" si="554"/>
        <v>1302.2306518363998</v>
      </c>
      <c r="BZ391" s="1113" t="s">
        <v>569</v>
      </c>
      <c r="CA391" s="1124"/>
      <c r="CB391" s="1098">
        <f>IF($P391="","N/A",IF($P391=-1,INDEX('卡片raw data'!BE:BE,MATCH($D391,'卡片raw data'!$F:$F,)),0)+IF($L391="party卡",IF($P391=5,INDEX('卡片raw data'!BK:BK,MATCH($D391,'卡片raw data'!$F:$F,)),IF($P391&gt;=3,INDEX('卡片raw data'!BJ:BJ,MATCH($D391,'卡片raw data'!$F:$F,)),INDEX('卡片raw data'!BI:BI,MATCH($D391,'卡片raw data'!$F:$F,)))),IF(OR(AND($F391="UR",$P391=0),AND($F391="SR",$P391&gt;=0,$P391&lt;=2),AND($F391="R",$P391&gt;=0,$P391&lt;4)),INDEX('卡片raw data'!BG:BG,MATCH($D391,'卡片raw data'!$F:$F,)),0)+IF(OR(AND($F391="UR",$P391&gt;=1,$P391&lt;=4),AND($F391="SR",$P391&lt;=4,$P391&gt;=3),AND($F391="R",$P391=4)),INDEX('卡片raw data'!BH:BH,MATCH($D391,'卡片raw data'!$F:$F,)),0)+IF($P391=5,INDEX('卡片raw data'!BI:BI,MATCH($D391,'卡片raw data'!$F:$F,)),0)))</f>
        <v>0</v>
      </c>
      <c r="CC391" s="1101">
        <f t="shared" si="555"/>
        <v>0</v>
      </c>
      <c r="CD391" s="1097">
        <f>IF(BZ391="ap",CB391*(1-$FI$26)*$FB$5/$FB$11*(+IF(CA391="全员",$FA$24,0)+IF(CA391="同作战",$FA$24,0)+IF(CA391="仲间",$FA$24*2/3,0)+IF(CA391="同属性",$FA$24*$FA$37/3,0)+IF(CA391="同年级",$FA$24*$FA$40/3,0)+IF(CA391="同学校",$FA$24*$FA$43/3,0)+IF(CA391="同小队",$FA$24*$FA$46/3,0)+IF(CA391="同type",$FA$24*INDEX($FB$49:$FB$52,MATCH(X391,$FA$49:$FA$52,))/3,0)+IF(CA391="自身",#REF!/3,0)),0)+IF(BZ391="te",CB391*(1-$FI$27)*($FA$20-1)*$FB$7/$FB$13*(+IF(CA391="全员",$FA$19*$FA$24/(1+($FA$20-1)*$FA$19),0)+IF(CA391="同作战",$FA$19*$FA$24/(1+($FA$20-1)*$FA$19),0)+IF(CA391="仲间",$FA$19*$FA$24*2/3/(1+($FA$20-1)*$FA$19),0)+IF(CA391="同属性",$FA$19*$FA$24*$FA$37/3/(1+($FA$20-1)*$FA$19),0)+IF(CA391="同年级",$FA$19*$FA$24*$FA$40/3/(1+($FA$20-1)*$FA$19),0)+IF(CA391="同学校",$FA$19*$FA$24*$FA$43/3/(1+($FA$20-1)*$FA$19),0)+IF(CA391="同小队",$FA$19*$FA$24*$FA$46/3/(1+($FA$20-1)*$FA$19),0)+IF(CA391="同type",$FA$19*$FA$24*INDEX($FB$49:$FB$52,MATCH(X391,$FA$49:$FA$52,))/3/(1+($FA$20-1)*$FA$19),0)+IF(CA391="自身",$FA$19*#REF!/3/(1+(BH391-1)*$BD391),0)),0)</f>
        <v>0</v>
      </c>
      <c r="CE391" s="1097">
        <f t="shared" si="556"/>
        <v>0</v>
      </c>
      <c r="CF391" s="1112">
        <f t="shared" si="557"/>
        <v>0</v>
      </c>
      <c r="CG391" s="1100">
        <f t="shared" si="558"/>
        <v>0</v>
      </c>
      <c r="CH391" s="1110">
        <f t="shared" si="559"/>
        <v>0</v>
      </c>
      <c r="CI391" s="1113" t="s">
        <v>164</v>
      </c>
      <c r="CJ391" s="1114">
        <v>1</v>
      </c>
      <c r="CK391" s="1115" t="s">
        <v>292</v>
      </c>
      <c r="CL391" s="1115" t="s">
        <v>171</v>
      </c>
      <c r="CM391" s="1119">
        <v>0.1</v>
      </c>
      <c r="CN391" s="1115">
        <v>5</v>
      </c>
      <c r="CO391" s="1115"/>
      <c r="CP391" s="1118">
        <f t="shared" si="560"/>
        <v>7.1428571428571426E-3</v>
      </c>
      <c r="CQ391" s="1118">
        <f t="shared" si="561"/>
        <v>9.7222222222222224E-3</v>
      </c>
      <c r="CR391" s="1118">
        <f t="shared" si="562"/>
        <v>3.5714285714285718E-3</v>
      </c>
      <c r="CS391" s="1118">
        <f t="shared" si="563"/>
        <v>0</v>
      </c>
      <c r="CT391" s="1109">
        <f t="shared" si="564"/>
        <v>0</v>
      </c>
      <c r="CU391" s="1101">
        <f t="shared" si="565"/>
        <v>835.94413379517857</v>
      </c>
      <c r="CV391" s="1108">
        <f t="shared" si="566"/>
        <v>78.724184027178168</v>
      </c>
      <c r="CW391" s="1097">
        <f t="shared" si="567"/>
        <v>417.97206689758934</v>
      </c>
      <c r="CX391" s="1097">
        <f t="shared" si="568"/>
        <v>835.94413379517857</v>
      </c>
      <c r="CY391" s="1110">
        <f t="shared" si="569"/>
        <v>417.97206689758934</v>
      </c>
      <c r="CZ391" s="437"/>
      <c r="DA391" s="438"/>
      <c r="DB391" s="439" t="s">
        <v>569</v>
      </c>
      <c r="DC391" s="439"/>
      <c r="DD391" s="443"/>
      <c r="DE391" s="411"/>
      <c r="DF391" s="411"/>
      <c r="DG391" s="1116">
        <f t="shared" si="570"/>
        <v>0</v>
      </c>
      <c r="DH391" s="1116">
        <f t="shared" si="571"/>
        <v>0</v>
      </c>
      <c r="DI391" s="1116">
        <f t="shared" si="572"/>
        <v>0</v>
      </c>
      <c r="DJ391" s="442">
        <f t="shared" si="573"/>
        <v>0</v>
      </c>
      <c r="DK391" s="1109">
        <f t="shared" si="574"/>
        <v>0</v>
      </c>
      <c r="DL391" s="1101">
        <f t="shared" si="575"/>
        <v>0</v>
      </c>
      <c r="DM391" s="1097">
        <f t="shared" si="576"/>
        <v>0</v>
      </c>
      <c r="DN391" s="1097">
        <f t="shared" si="577"/>
        <v>0</v>
      </c>
      <c r="DO391" s="1097">
        <f t="shared" si="578"/>
        <v>0</v>
      </c>
      <c r="DP391" s="1110">
        <f t="shared" si="579"/>
        <v>0</v>
      </c>
      <c r="DQ391" s="1113" t="s">
        <v>221</v>
      </c>
      <c r="DR391" s="1120">
        <f t="shared" si="580"/>
        <v>0.33</v>
      </c>
      <c r="DS391" s="1124">
        <v>5</v>
      </c>
      <c r="DT391" s="1124" t="s">
        <v>171</v>
      </c>
      <c r="DU391" s="1093" t="s">
        <v>544</v>
      </c>
      <c r="DV391" s="1098">
        <f>IF($P391="","N/A",IF(P391=-1,INDEX('卡片raw data'!AN:AN,MATCH(D391,'卡片raw data'!$F:$F,)),0)+IF(AND(L391&lt;&gt;"party卡",P391&lt;=2,P391&gt;=0),INDEX('卡片raw data'!AP:AP,MATCH(D391,'卡片raw data'!$F:$F,)),0)+IF(OR(AND(L391="party卡",P391&lt;=1),AND(P391&lt;=4,L391&lt;&gt;"party卡",P391&gt;=3)),INDEX('卡片raw data'!AQ:AQ,MATCH(D391,'卡片raw data'!$F:$F,)),0)+IF(OR(P391=5,AND(L391="party卡",P391&gt;=2)),INDEX('卡片raw data'!AR:AR,MATCH(D391,'卡片raw data'!$F:$F,)),0))</f>
        <v>7.1999999999999995E-2</v>
      </c>
      <c r="DW391" s="1098">
        <f t="shared" si="581"/>
        <v>0.33</v>
      </c>
      <c r="DX391" s="1098">
        <f t="shared" si="582"/>
        <v>0.33</v>
      </c>
      <c r="DY391" s="1098">
        <f t="shared" si="583"/>
        <v>2.6399999999999996E-2</v>
      </c>
      <c r="DZ391" s="1098">
        <f t="shared" si="584"/>
        <v>1.9981499999999999E-2</v>
      </c>
      <c r="EA391" s="1098">
        <f t="shared" si="585"/>
        <v>0</v>
      </c>
      <c r="EB391" s="1121">
        <f t="shared" si="586"/>
        <v>0</v>
      </c>
      <c r="EC391" s="1101">
        <f t="shared" si="587"/>
        <v>4487.4367404339328</v>
      </c>
      <c r="ED391" s="1097">
        <f t="shared" si="588"/>
        <v>157.42797904535627</v>
      </c>
      <c r="EE391" s="1110">
        <f t="shared" si="513"/>
        <v>4487.4367404339328</v>
      </c>
      <c r="EF391" s="1115" t="s">
        <v>569</v>
      </c>
      <c r="EG391" s="1120">
        <f t="shared" si="589"/>
        <v>0.33</v>
      </c>
      <c r="EH391" s="1124"/>
      <c r="EI391" s="1093"/>
      <c r="EJ391" s="1093"/>
      <c r="EK391" s="1097">
        <f>IF($P391="","N/A",IF(P391=-1,INDEX('卡片raw data'!AS:AS,MATCH(D391,'卡片raw data'!$F:$F,)),0)+IF(AND(L391&lt;&gt;"party卡",P391&lt;=2,P391&gt;=0),INDEX('卡片raw data'!AU:AU,MATCH(D391,'卡片raw data'!$F:$F,)),0)+IF(OR(AND(L391="party卡",P391&lt;=1),AND(P391&lt;=4,L391&lt;&gt;"party卡",P391&gt;=3)),INDEX('卡片raw data'!AV:AV,MATCH(D391,'卡片raw data'!$F:$F,)),0)+IF(OR(P391=5,AND(L391="party卡",P391&gt;=2)),INDEX('卡片raw data'!AW:AW,MATCH(D391,'卡片raw data'!$F:$F,)),0))</f>
        <v>0</v>
      </c>
      <c r="EL391" s="1098">
        <f t="shared" si="590"/>
        <v>0.33</v>
      </c>
      <c r="EM391" s="1098">
        <f t="shared" si="591"/>
        <v>0.33</v>
      </c>
      <c r="EN391" s="1097">
        <f t="shared" si="592"/>
        <v>0</v>
      </c>
      <c r="EO391" s="1097">
        <f t="shared" si="593"/>
        <v>0</v>
      </c>
      <c r="EP391" s="1098">
        <f t="shared" si="594"/>
        <v>0</v>
      </c>
      <c r="EQ391" s="1121">
        <f t="shared" si="595"/>
        <v>0</v>
      </c>
      <c r="ER391" s="1101">
        <f t="shared" si="596"/>
        <v>0</v>
      </c>
      <c r="ES391" s="1097">
        <f t="shared" si="597"/>
        <v>0</v>
      </c>
      <c r="ET391" s="1122">
        <f t="shared" si="514"/>
        <v>0</v>
      </c>
    </row>
    <row r="392" spans="2:150" ht="16.5" customHeight="1">
      <c r="B392" s="1123" t="str">
        <f>INDEX('卡片raw data'!B:B,MATCH($D392,'卡片raw data'!$F:$F,))</f>
        <v>牛年南</v>
      </c>
      <c r="C392" s="449" t="s">
        <v>1901</v>
      </c>
      <c r="D392" s="408">
        <v>389</v>
      </c>
      <c r="E392" s="477">
        <v>401033003</v>
      </c>
      <c r="F392" s="1090" t="str">
        <f>INDEX('卡片raw data'!C:C,MATCH($D392,'卡片raw data'!$F:$F,))</f>
        <v>UR</v>
      </c>
      <c r="G392" s="1094" t="s">
        <v>1902</v>
      </c>
      <c r="H392" s="411">
        <f>IFERROR(INDEX(绊状态确认!C:C,MATCH($G392,绊状态确认!$B:$B,)),"")</f>
        <v>103</v>
      </c>
      <c r="I392" s="450" t="str">
        <f>IFERROR(INDEX(绊状态确认!D:D,MATCH($G392,绊状态确认!$B:$B,)),"")</f>
        <v>水</v>
      </c>
      <c r="J392" s="450" t="str">
        <f>IFERROR(INDEX(绊状态确认!E:E,MATCH($G392,绊状态确认!$B:$B,)),"")</f>
        <v>3年级</v>
      </c>
      <c r="K392" s="451" t="str">
        <f>IFERROR(INDEX(绊状态确认!F:F,MATCH($G392,绊状态确认!$B:$B,)),"")</f>
        <v>AZALEA</v>
      </c>
      <c r="L392" s="1094" t="str">
        <f>INDEX('卡片raw data'!E:E,MATCH($D392,'卡片raw data'!$F:$F,))</f>
        <v>活动卡</v>
      </c>
      <c r="M392" s="478">
        <v>44215</v>
      </c>
      <c r="N392" s="479">
        <v>32</v>
      </c>
      <c r="O392" s="1091" t="str">
        <f>INDEX('卡片raw data'!D:D,MATCH($D392,'卡片raw data'!$F:$F,))</f>
        <v>sp</v>
      </c>
      <c r="P392" s="1126">
        <v>5</v>
      </c>
      <c r="Q392" s="1095">
        <f t="shared" si="515"/>
        <v>39814.259671350555</v>
      </c>
      <c r="R392" s="1096">
        <f t="shared" si="516"/>
        <v>0.46200000000000002</v>
      </c>
      <c r="S392" s="1097">
        <f t="shared" si="517"/>
        <v>19617.77767846339</v>
      </c>
      <c r="T392" s="1098">
        <f t="shared" si="518"/>
        <v>0.98</v>
      </c>
      <c r="U392" s="1099">
        <f t="shared" si="519"/>
        <v>581.07161734680676</v>
      </c>
      <c r="V392" s="1100">
        <f t="shared" si="520"/>
        <v>87715.948850179979</v>
      </c>
      <c r="W392" s="1101">
        <f t="shared" si="521"/>
        <v>5901.6473816630005</v>
      </c>
      <c r="X392" s="1096">
        <f t="shared" si="522"/>
        <v>6.8000000000000005E-2</v>
      </c>
      <c r="Y392" s="1097">
        <f t="shared" si="523"/>
        <v>1266.65808920567</v>
      </c>
      <c r="Z392" s="1102">
        <f t="shared" si="524"/>
        <v>15.755588405142859</v>
      </c>
      <c r="AA392" s="1103">
        <f t="shared" si="525"/>
        <v>7168.3054708686705</v>
      </c>
      <c r="AB392" s="1101">
        <f t="shared" si="526"/>
        <v>7127.9105504098243</v>
      </c>
      <c r="AC392" s="1104">
        <f t="shared" si="527"/>
        <v>8.2000000000000003E-2</v>
      </c>
      <c r="AD392" s="1105">
        <f t="shared" si="528"/>
        <v>-1.6087500000000001E-2</v>
      </c>
      <c r="AE392" s="1128">
        <f t="shared" si="529"/>
        <v>15.30549894412826</v>
      </c>
      <c r="AF392" s="1130">
        <f t="shared" si="530"/>
        <v>7573.6118709887987</v>
      </c>
      <c r="AG392" s="420">
        <f t="shared" si="531"/>
        <v>101727.25915520001</v>
      </c>
      <c r="AH392" s="420">
        <f t="shared" si="532"/>
        <v>13.43180253861077</v>
      </c>
      <c r="AI392" s="1097">
        <f t="shared" si="533"/>
        <v>107556.46948367581</v>
      </c>
      <c r="AJ392" s="420">
        <f t="shared" si="534"/>
        <v>87715.948850179979</v>
      </c>
      <c r="AK392" s="518">
        <f t="shared" si="535"/>
        <v>19840.520633495835</v>
      </c>
      <c r="AL392" s="1106">
        <f>IF($P392="","N/A",(IF($P392=-1,INDEX('卡片raw data'!S:S,MATCH($D392,'卡片raw data'!$F:$F,)),0)+IF($P392=0,INDEX('卡片raw data'!V:V,MATCH($D392,'卡片raw data'!$F:$F,)),0)+IF($P392=1,INDEX('卡片raw data'!Y:Y,MATCH($D392,'卡片raw data'!$F:$F,)),0)+IF($P392=2,INDEX('卡片raw data'!AB:AB,MATCH($D392,'卡片raw data'!$F:$F,)),0)+IF($P392=3,INDEX('卡片raw data'!AE:AE,MATCH($D392,'卡片raw data'!$F:$F,)),0)+IF($P392=4,INDEX('卡片raw data'!AH:AH,MATCH($D392,'卡片raw data'!$F:$F,)),0)+IF($P392=5,INDEX('卡片raw data'!AK:AK,MATCH($D392,'卡片raw data'!$F:$F,)),0)+INDEX('卡片raw data'!S:S,MATCH($D392,'卡片raw data'!$F:$F,))*(IF($F392="UR",0.04,0.033))*(IF($F392="UR",INDEX(绊状态确认!$S:$S,MATCH($G392,绊状态确认!$B:$B,))/2-40)+IF($F392="SR",INDEX(绊状态确认!$R:$R,MATCH($G392,绊状态确认!$B:$B,))/4-15))+IF($F392="R",INDEX(绊状态确认!$Q:$Q,MATCH($G392,绊状态确认!$B:$B,))/6-40/6)))*(INDEX(绊状态确认!$H:$H,MATCH($G392,绊状态确认!$B:$B,))+INDEX(绊状态确认!J:J,MATCH($G392,绊状态确认!$B:$B,)))</f>
        <v>9359.8449599999985</v>
      </c>
      <c r="AM392" s="1106">
        <f>IF($P392="","N/A",(IF($P392=-1,INDEX('卡片raw data'!T:T,MATCH($D392,'卡片raw data'!$F:$F,)),0)+IF($P392=0,INDEX('卡片raw data'!W:W,MATCH($D392,'卡片raw data'!$F:$F,)),0)+IF($P392=1,INDEX('卡片raw data'!Z:Z,MATCH($D392,'卡片raw data'!$F:$F,)),0)+IF($P392=2,INDEX('卡片raw data'!AC:AC,MATCH($D392,'卡片raw data'!$F:$F,)),0)+IF($P392=3,INDEX('卡片raw data'!AF:AF,MATCH($D392,'卡片raw data'!$F:$F,)),0)+IF($P392=4,INDEX('卡片raw data'!AI:AI,MATCH($D392,'卡片raw data'!$F:$F,)),0)+IF($P392=5,INDEX('卡片raw data'!AL:AL,MATCH($D392,'卡片raw data'!$F:$F,)),0)+INDEX('卡片raw data'!T:T,MATCH($D392,'卡片raw data'!$F:$F,))*(IF($F392="UR",0.04,0.033))*(IF($F392="UR",INDEX(绊状态确认!$S:$S,MATCH($G392,绊状态确认!$B:$B,))/2-40)+IF($F392="SR",INDEX(绊状态确认!$R:$R,MATCH($G392,绊状态确认!$B:$B,))/4-15))+IF($F392="R",INDEX(绊状态确认!$Q:$Q,MATCH($G392,绊状态确认!$B:$B,))/6-40/6)))*(INDEX(绊状态确认!$H:$H,MATCH($G392,绊状态确认!$B:$B,))+INDEX(绊状态确认!K:K,MATCH($G392,绊状态确认!$B:$B,)))</f>
        <v>8792.0995199999998</v>
      </c>
      <c r="AN392" s="1106">
        <f>IF($P392="","N/A",(IF($P392=-1,INDEX('卡片raw data'!U:U,MATCH($D392,'卡片raw data'!$F:$F,)),0)+IF($P392=0,INDEX('卡片raw data'!X:X,MATCH($D392,'卡片raw data'!$F:$F,)),0)+IF($P392=1,INDEX('卡片raw data'!AA:AA,MATCH($D392,'卡片raw data'!$F:$F,)),0)+IF($P392=2,INDEX('卡片raw data'!AD:AD,MATCH($D392,'卡片raw data'!$F:$F,)),0)+IF($P392=3,INDEX('卡片raw data'!AG:AG,MATCH($D392,'卡片raw data'!$F:$F,)),0)+IF($P392=4,INDEX('卡片raw data'!AJ:AJ,MATCH($D392,'卡片raw data'!$F:$F,)),0)+IF($P392=5,INDEX('卡片raw data'!AM:AM,MATCH($D392,'卡片raw data'!$F:$F,)),0)+INDEX('卡片raw data'!U:U,MATCH($D392,'卡片raw data'!$F:$F,))*(IF($F392="UR",0.04,0.033))*(IF($F392="UR",INDEX(绊状态确认!$S:$S,MATCH($G392,绊状态确认!$B:$B,))/2-40)+IF($F392="SR",INDEX(绊状态确认!$R:$R,MATCH($G392,绊状态确认!$B:$B,))/4-15))+IF($F392="R",INDEX(绊状态确认!$Q:$Q,MATCH($G392,绊状态确认!$B:$B,))/6-40/6)))*(INDEX(绊状态确认!$H:$H,MATCH($G392,绊状态确认!$B:$B,))+INDEX(绊状态确认!L:L,MATCH($G392,绊状态确认!$B:$B,)))</f>
        <v>10210.326719999997</v>
      </c>
      <c r="AO392" s="1107">
        <f t="shared" si="536"/>
        <v>1</v>
      </c>
      <c r="AP392" s="1131">
        <f>1+(INDEX(绊状态确认!$T:$T,MATCH($G392,绊状态确认!$B:$B,))+0.2)*$AO392</f>
        <v>1.3</v>
      </c>
      <c r="AQ392" s="1108">
        <f t="shared" si="537"/>
        <v>27819.593019999997</v>
      </c>
      <c r="AR392" s="1097">
        <f>(AM392*(1+$EX$9)+$EX$35)*(1+(INDEX(绊状态确认!$T:$T,MATCH($G392,绊状态确认!$B:$B,))+0.2)*AO392)*IF(J392=$FF$17,1+$FE$17,1)*IF(I392=$FF$14,1+$FE$14,1)</f>
        <v>14705.215844800001</v>
      </c>
      <c r="AS392" s="1097">
        <f>(AN392*(1+$EX$10)+$EX$36)*(1+(INDEX(绊状态确认!$T:$T,MATCH($G392,绊状态确认!$B:$B,))+0.2)*AO392)*IF(J392=$FF$17,1+$FE$17,1)*IF(I392=$FF$14,1+$FE$14,1)</f>
        <v>19320.438446399996</v>
      </c>
      <c r="AT392" s="1093">
        <f>IF(AND(INDEX('卡片raw data'!AK:AK,MATCH($D392,'卡片raw data'!$F:$F,))&lt;INDEX('卡片raw data'!AM:AM,MATCH($D392,'卡片raw data'!$F:$F,)),INDEX('卡片raw data'!AL:AL,MATCH($D392,'卡片raw data'!$F:$F,))&lt;INDEX('卡片raw data'!AM:AM,MATCH($D392,'卡片raw data'!$F:$F,))),1,0)</f>
        <v>1</v>
      </c>
      <c r="AU392" s="1098">
        <f>MIN(AT392*0.15+AS392*0.00003+INDEX(绊状态确认!M:M,MATCH($G392,绊状态确认!$B:$B,)),1)</f>
        <v>0.75961315339199997</v>
      </c>
      <c r="AV392" s="1109">
        <f>(INDEX(绊状态确认!$N:$N,MATCH($G392,绊状态确认!$B:$B,))+1.5)*$EW$21</f>
        <v>2.6599999999999997</v>
      </c>
      <c r="AW392" s="1101">
        <f t="shared" si="538"/>
        <v>32666.349120940733</v>
      </c>
      <c r="AX392" s="1097">
        <f t="shared" si="539"/>
        <v>1266.65808920567</v>
      </c>
      <c r="AY392" s="1110">
        <f t="shared" si="540"/>
        <v>33933.007210146403</v>
      </c>
      <c r="AZ392" s="429">
        <f t="shared" si="541"/>
        <v>20851.697671999998</v>
      </c>
      <c r="BA392" s="431">
        <f t="shared" si="542"/>
        <v>25022.037206399997</v>
      </c>
      <c r="BB392" s="1097">
        <f>(AM392*(1+$FB$9)+$FB$35)*(1+(INDEX(绊状态确认!$T:$T,MATCH($G392,绊状态确认!$B:$B,))+0.2)*AO392)*IF(J392=$FF$17,1+$FE$17,1)*IF(I392=$FF$14,1+$FE$14,1)*(1+$FE$15)</f>
        <v>14705.215844800001</v>
      </c>
      <c r="BC392" s="1097">
        <f>(AN392*(1+$FB$10)+$FB$36)*(1+(INDEX(绊状态确认!$T:$T,MATCH($G392,绊状态确认!$B:$B,))+0.2)*AO392)*IF(J392=$FF$17,1+$FE$17,1)*IF(I392=$FF$14,1+$FE$14,1)*(1+$FE$15)</f>
        <v>19320.438446399996</v>
      </c>
      <c r="BD392" s="1104">
        <f>MIN(AT392*0.15+BC392*0.00003+INDEX(绊状态确认!M:M,MATCH($G392,绊状态确认!$B:$B,)),1)</f>
        <v>0.75961315339199997</v>
      </c>
      <c r="BE392" s="432">
        <f>(INDEX(绊状态确认!$N:$N,MATCH($G392,绊状态确认!$B:$B,))+1.5)</f>
        <v>1.9</v>
      </c>
      <c r="BF392" s="1139">
        <f t="array" ref="BF392">SUMPRODUCT(IF(AZ392*AP392*$FI$16:$FI$23*$FA$22&gt;=$FI$24,$FI$24,AZ392*AP392*$FI$16:$FI$23*$FA$22),$FJ$16:$FJ$23)</f>
        <v>41474.026669608</v>
      </c>
      <c r="BG392" s="1125">
        <f t="array" ref="BG392">SUMPRODUCT(IF(BE392*AZ392*AP392*$FI$16:$FI$23*$FA$22&gt;=$FI$24,$FI$24,BE392*AZ392*AP392*$FI$16:$FI$23*$FA$22),$FJ$16:$FJ$23)</f>
        <v>60000</v>
      </c>
      <c r="BH392" s="1110">
        <f t="shared" si="543"/>
        <v>18515.533230254387</v>
      </c>
      <c r="BI392" s="1111">
        <f>IF(O392="vo",$EW$26/$EW$24*0.05,0)+IF(O392="sk",-$EW$26/$EW$24*(0.05-INDEX(绊状态确认!W:W,MATCH($G392,绊状态确认!$B:$B,)))+0.05*$EW$28,0)+IF(O392="sp",0.05*$EW$32*$EW$30*(1-$EW$33)-(0.05-INDEX(绊状态确认!V:V,MATCH($G392,绊状态确认!$B:$B,)))*$EW$28,0)+IF(O392="gd",-(0.05-INDEX(绊状态确认!X:X,MATCH($G392,绊状态确认!$B:$B,)))*$EW$32*$EW$30*(1-$EW$33),0)</f>
        <v>19.999999999999886</v>
      </c>
      <c r="BJ392" s="1097">
        <f>IF(O392="vo",0.05*(1-$FI$26)*$FA$24,0)+IF(O392="sk",-(0.05-INDEX(绊状态确认!W:W,MATCH($G392,绊状态确认!$B:$B,)))*(1-$FI$26)*$FA$24+0.05*$FA$26,0)+IF(O392="sp",0.05*$FA$32*$FA$27*(1-$FA$33)/$FA$30+0.05*$FA$29/$FA$69*$FA$27*(1-$FA$33)-(0.05-INDEX(绊状态确认!V:V,MATCH($G392,绊状态确认!$B:$B,)))*$FA$26,0)+IF(O392="gd",-(0.05-INDEX(绊状态确认!X:X,MATCH($G392,绊状态确认!$B:$B,)))*$FA$32*$FA$27*(1-$FA$33)/$FA$30-(0.05-INDEX(绊状态确认!X:X,MATCH($G392,绊状态确认!$B:$B,)))*$FA$29/$FA$69*$FA$27*(1-$FA$33),0)</f>
        <v>545.83333333333326</v>
      </c>
      <c r="BK392" s="1110">
        <f>IF(O392="vo",$EW$26/$EW$24*0.05+$EW$26*(-HP($EW$62,$EW$65,$EW$64)+HP($EW$62,$EW$65,(1.05-INDEX(绊状态确认!U:U,MATCH($G392,绊状态确认!$B:$B,)))*$EW$64)),0)+IF(O392="sk",-$EW$26/$EW$24*(0.05-INDEX(绊状态确认!W:W,MATCH($G392,绊状态确认!$B:$B,)))+0.05*$EW$29,0)+IF(O392="sp",0.05*$EW$32*$EW$30*(1-$EW$33)-(0.05-INDEX(绊状态确认!V:V,MATCH($G392,绊状态确认!$B:$B,)))*$EW$29,0)+IF(O392="gd",-(0.05-INDEX(绊状态确认!X:X,MATCH($G392,绊状态确认!$B:$B,)))*$EW$32*$EW$30*(1-$EW$33)+$EW$26*(-HP($EW$62,$EW$65,$EW$64)+HP($EW$62,$EW$65,0.95*$EW$64)),0)</f>
        <v>-1780.0000000000005</v>
      </c>
      <c r="BL392" s="1111">
        <f t="shared" si="544"/>
        <v>0</v>
      </c>
      <c r="BM392" s="1110">
        <f t="shared" si="545"/>
        <v>0</v>
      </c>
      <c r="BN392" s="1113">
        <f t="shared" si="546"/>
        <v>3</v>
      </c>
      <c r="BO392" s="1108">
        <f t="shared" si="547"/>
        <v>4507.7214871259994</v>
      </c>
      <c r="BP392" s="1100">
        <f t="shared" si="548"/>
        <v>221.34103209030098</v>
      </c>
      <c r="BQ392" s="1113" t="s">
        <v>134</v>
      </c>
      <c r="BR392" s="1124" t="s">
        <v>171</v>
      </c>
      <c r="BS392" s="1098">
        <f>IF($P392="","N/A",IF($P392=-1,INDEX('卡片raw data'!AX:AX,MATCH($D392,'卡片raw data'!$F:$F,)),0)+IF($L392="party卡",IF($P392=5,INDEX('卡片raw data'!BD:BD,MATCH($D392,'卡片raw data'!$F:$F,)),IF($P392&gt;=3,INDEX('卡片raw data'!BC:BC,MATCH($D392,'卡片raw data'!$F:$F,)),INDEX('卡片raw data'!BB:BB,MATCH($D392,'卡片raw data'!$F:$F,)))),IF(OR(AND($F392="UR",$P392=0),AND($F392="SR",$P392&gt;=0,$P392&lt;=2),AND($F392="R",$P392&gt;=0,$P392&lt;4)),INDEX('卡片raw data'!AZ:AZ,MATCH($D392,'卡片raw data'!$F:$F,)),0)+IF(OR(AND($F392="UR",$P392&gt;=1,$P392&lt;=4),AND($F392="SR",$P392&lt;=4,$P392&gt;=3),AND($F392="R",$P392=4)),INDEX('卡片raw data'!BA:BA,MATCH($D392,'卡片raw data'!$F:$F,)),0)+IF($P392=5,INDEX('卡片raw data'!BB:BB,MATCH($D392,'卡片raw data'!$F:$F,)),0)))</f>
        <v>5.1999999999999998E-2</v>
      </c>
      <c r="BT392" s="1101">
        <f t="shared" si="549"/>
        <v>2452.5263374936467</v>
      </c>
      <c r="BU392" s="1097">
        <f t="shared" si="550"/>
        <v>155.22419036436909</v>
      </c>
      <c r="BV392" s="1097">
        <f t="shared" si="551"/>
        <v>1226.2631687468233</v>
      </c>
      <c r="BW392" s="1112">
        <f t="shared" si="552"/>
        <v>0</v>
      </c>
      <c r="BX392" s="1100">
        <f t="shared" si="553"/>
        <v>2452.5263374936467</v>
      </c>
      <c r="BY392" s="1110">
        <f t="shared" si="554"/>
        <v>1226.2631687468233</v>
      </c>
      <c r="BZ392" s="1113" t="s">
        <v>569</v>
      </c>
      <c r="CA392" s="1124"/>
      <c r="CB392" s="1098">
        <f>IF($P392="","N/A",IF($P392=-1,INDEX('卡片raw data'!BE:BE,MATCH($D392,'卡片raw data'!$F:$F,)),0)+IF($L392="party卡",IF($P392=5,INDEX('卡片raw data'!BK:BK,MATCH($D392,'卡片raw data'!$F:$F,)),IF($P392&gt;=3,INDEX('卡片raw data'!BJ:BJ,MATCH($D392,'卡片raw data'!$F:$F,)),INDEX('卡片raw data'!BI:BI,MATCH($D392,'卡片raw data'!$F:$F,)))),IF(OR(AND($F392="UR",$P392=0),AND($F392="SR",$P392&gt;=0,$P392&lt;=2),AND($F392="R",$P392&gt;=0,$P392&lt;4)),INDEX('卡片raw data'!BG:BG,MATCH($D392,'卡片raw data'!$F:$F,)),0)+IF(OR(AND($F392="UR",$P392&gt;=1,$P392&lt;=4),AND($F392="SR",$P392&lt;=4,$P392&gt;=3),AND($F392="R",$P392=4)),INDEX('卡片raw data'!BH:BH,MATCH($D392,'卡片raw data'!$F:$F,)),0)+IF($P392=5,INDEX('卡片raw data'!BI:BI,MATCH($D392,'卡片raw data'!$F:$F,)),0)))</f>
        <v>0</v>
      </c>
      <c r="CC392" s="1101">
        <f t="shared" si="555"/>
        <v>0</v>
      </c>
      <c r="CD392" s="1097">
        <f>IF(BZ392="ap",CB392*(1-$FI$26)*$FB$5/$FB$11*(+IF(CA392="全员",$FA$24,0)+IF(CA392="同作战",$FA$24,0)+IF(CA392="仲间",$FA$24*2/3,0)+IF(CA392="同属性",$FA$24*$FA$37/3,0)+IF(CA392="同年级",$FA$24*$FA$40/3,0)+IF(CA392="同学校",$FA$24*$FA$43/3,0)+IF(CA392="同小队",$FA$24*$FA$46/3,0)+IF(CA392="同type",$FA$24*INDEX($FB$49:$FB$52,MATCH(X392,$FA$49:$FA$52,))/3,0)+IF(CA392="自身",#REF!/3,0)),0)+IF(BZ392="te",CB392*(1-$FI$27)*($FA$20-1)*$FB$7/$FB$13*(+IF(CA392="全员",$FA$19*$FA$24/(1+($FA$20-1)*$FA$19),0)+IF(CA392="同作战",$FA$19*$FA$24/(1+($FA$20-1)*$FA$19),0)+IF(CA392="仲间",$FA$19*$FA$24*2/3/(1+($FA$20-1)*$FA$19),0)+IF(CA392="同属性",$FA$19*$FA$24*$FA$37/3/(1+($FA$20-1)*$FA$19),0)+IF(CA392="同年级",$FA$19*$FA$24*$FA$40/3/(1+($FA$20-1)*$FA$19),0)+IF(CA392="同学校",$FA$19*$FA$24*$FA$43/3/(1+($FA$20-1)*$FA$19),0)+IF(CA392="同小队",$FA$19*$FA$24*$FA$46/3/(1+($FA$20-1)*$FA$19),0)+IF(CA392="同type",$FA$19*$FA$24*INDEX($FB$49:$FB$52,MATCH(X392,$FA$49:$FA$52,))/3/(1+($FA$20-1)*$FA$19),0)+IF(CA392="自身",$FA$19*#REF!/3/(1+(BH392-1)*$BD392),0)),0)</f>
        <v>0</v>
      </c>
      <c r="CE392" s="1097">
        <f t="shared" si="556"/>
        <v>0</v>
      </c>
      <c r="CF392" s="1112">
        <f t="shared" si="557"/>
        <v>0</v>
      </c>
      <c r="CG392" s="1100">
        <f t="shared" si="558"/>
        <v>0</v>
      </c>
      <c r="CH392" s="1110">
        <f t="shared" si="559"/>
        <v>0</v>
      </c>
      <c r="CI392" s="1113" t="s">
        <v>165</v>
      </c>
      <c r="CJ392" s="1114">
        <v>1</v>
      </c>
      <c r="CK392" s="1115" t="s">
        <v>156</v>
      </c>
      <c r="CL392" s="1115" t="s">
        <v>1940</v>
      </c>
      <c r="CM392" s="1119">
        <v>2.7E-2</v>
      </c>
      <c r="CN392" s="1115"/>
      <c r="CO392" s="1115"/>
      <c r="CP392" s="1116">
        <f t="shared" si="560"/>
        <v>2.6826036126428567</v>
      </c>
      <c r="CQ392" s="1116">
        <f t="shared" si="561"/>
        <v>4.3163014181039996</v>
      </c>
      <c r="CR392" s="1117">
        <f t="shared" si="562"/>
        <v>2.6826036126428567</v>
      </c>
      <c r="CS392" s="1118">
        <f t="shared" si="563"/>
        <v>0</v>
      </c>
      <c r="CT392" s="1109">
        <f t="shared" si="564"/>
        <v>4.3815859006500002</v>
      </c>
      <c r="CU392" s="1101">
        <f t="shared" si="565"/>
        <v>167.66272579017854</v>
      </c>
      <c r="CV392" s="1108">
        <f t="shared" si="566"/>
        <v>179.84589242099997</v>
      </c>
      <c r="CW392" s="1097">
        <f t="shared" si="567"/>
        <v>167.66272579017854</v>
      </c>
      <c r="CX392" s="1097">
        <f t="shared" si="568"/>
        <v>167.66272579017854</v>
      </c>
      <c r="CY392" s="1110">
        <f t="shared" si="569"/>
        <v>167.66272579017854</v>
      </c>
      <c r="CZ392" s="437"/>
      <c r="DA392" s="438"/>
      <c r="DB392" s="439" t="s">
        <v>569</v>
      </c>
      <c r="DC392" s="439"/>
      <c r="DD392" s="443"/>
      <c r="DE392" s="411"/>
      <c r="DF392" s="411"/>
      <c r="DG392" s="1116">
        <f t="shared" si="570"/>
        <v>0</v>
      </c>
      <c r="DH392" s="1116">
        <f t="shared" si="571"/>
        <v>0</v>
      </c>
      <c r="DI392" s="1116">
        <f t="shared" si="572"/>
        <v>0</v>
      </c>
      <c r="DJ392" s="442">
        <f t="shared" si="573"/>
        <v>0</v>
      </c>
      <c r="DK392" s="1109">
        <f t="shared" si="574"/>
        <v>0</v>
      </c>
      <c r="DL392" s="1101">
        <f t="shared" si="575"/>
        <v>0</v>
      </c>
      <c r="DM392" s="1097">
        <f t="shared" si="576"/>
        <v>0</v>
      </c>
      <c r="DN392" s="1097">
        <f t="shared" si="577"/>
        <v>0</v>
      </c>
      <c r="DO392" s="1097">
        <f t="shared" si="578"/>
        <v>0</v>
      </c>
      <c r="DP392" s="1110">
        <f t="shared" si="579"/>
        <v>0</v>
      </c>
      <c r="DQ392" s="1113" t="s">
        <v>636</v>
      </c>
      <c r="DR392" s="1120">
        <f t="shared" si="580"/>
        <v>0.33</v>
      </c>
      <c r="DS392" s="1124"/>
      <c r="DT392" s="1093" t="s">
        <v>134</v>
      </c>
      <c r="DU392" s="1124"/>
      <c r="DV392" s="1098">
        <f>IF($P392="","N/A",IF(P392=-1,INDEX('卡片raw data'!AN:AN,MATCH(D392,'卡片raw data'!$F:$F,)),0)+IF(AND(L392&lt;&gt;"party卡",P392&lt;=2,P392&gt;=0),INDEX('卡片raw data'!AP:AP,MATCH(D392,'卡片raw data'!$F:$F,)),0)+IF(OR(AND(L392="party卡",P392&lt;=1),AND(P392&lt;=4,L392&lt;&gt;"party卡",P392&gt;=3)),INDEX('卡片raw data'!AQ:AQ,MATCH(D392,'卡片raw data'!$F:$F,)),0)+IF(OR(P392=5,AND(L392="party卡",P392&gt;=2)),INDEX('卡片raw data'!AR:AR,MATCH(D392,'卡片raw data'!$F:$F,)),0))</f>
        <v>0.28000000000000003</v>
      </c>
      <c r="DW392" s="1098">
        <f t="shared" si="581"/>
        <v>0.33</v>
      </c>
      <c r="DX392" s="1098">
        <f t="shared" si="582"/>
        <v>0.33</v>
      </c>
      <c r="DY392" s="1097">
        <f t="shared" si="583"/>
        <v>595.06950414912001</v>
      </c>
      <c r="DZ392" s="1097">
        <f t="shared" si="584"/>
        <v>514.73512108898876</v>
      </c>
      <c r="EA392" s="1098">
        <f t="shared" si="585"/>
        <v>0</v>
      </c>
      <c r="EB392" s="1121">
        <f t="shared" si="586"/>
        <v>0</v>
      </c>
      <c r="EC392" s="1101">
        <f t="shared" si="587"/>
        <v>0</v>
      </c>
      <c r="ED392" s="1097">
        <f t="shared" si="588"/>
        <v>0</v>
      </c>
      <c r="EE392" s="1110">
        <f t="shared" si="513"/>
        <v>48435.03108962375</v>
      </c>
      <c r="EF392" s="1115" t="s">
        <v>569</v>
      </c>
      <c r="EG392" s="1120">
        <f t="shared" si="589"/>
        <v>0.33</v>
      </c>
      <c r="EH392" s="1124"/>
      <c r="EI392" s="1093"/>
      <c r="EJ392" s="1093"/>
      <c r="EK392" s="1097">
        <f>IF($P392="","N/A",IF(P392=-1,INDEX('卡片raw data'!AS:AS,MATCH(D392,'卡片raw data'!$F:$F,)),0)+IF(AND(L392&lt;&gt;"party卡",P392&lt;=2,P392&gt;=0),INDEX('卡片raw data'!AU:AU,MATCH(D392,'卡片raw data'!$F:$F,)),0)+IF(OR(AND(L392="party卡",P392&lt;=1),AND(P392&lt;=4,L392&lt;&gt;"party卡",P392&gt;=3)),INDEX('卡片raw data'!AV:AV,MATCH(D392,'卡片raw data'!$F:$F,)),0)+IF(OR(P392=5,AND(L392="party卡",P392&gt;=2)),INDEX('卡片raw data'!AW:AW,MATCH(D392,'卡片raw data'!$F:$F,)),0))</f>
        <v>0</v>
      </c>
      <c r="EL392" s="1098">
        <f t="shared" si="590"/>
        <v>0.33</v>
      </c>
      <c r="EM392" s="1098">
        <f t="shared" si="591"/>
        <v>0.33</v>
      </c>
      <c r="EN392" s="1097">
        <f t="shared" si="592"/>
        <v>0</v>
      </c>
      <c r="EO392" s="1097">
        <f t="shared" si="593"/>
        <v>0</v>
      </c>
      <c r="EP392" s="1098">
        <f t="shared" si="594"/>
        <v>0</v>
      </c>
      <c r="EQ392" s="1121">
        <f t="shared" si="595"/>
        <v>0</v>
      </c>
      <c r="ER392" s="1101">
        <f t="shared" si="596"/>
        <v>0</v>
      </c>
      <c r="ES392" s="1097">
        <f t="shared" si="597"/>
        <v>0</v>
      </c>
      <c r="ET392" s="1122">
        <f t="shared" si="514"/>
        <v>0</v>
      </c>
    </row>
    <row r="393" spans="2:150" ht="16.5" customHeight="1">
      <c r="B393" s="1123" t="str">
        <f>INDEX('卡片raw data'!B:B,MATCH($D393,'卡片raw data'!$F:$F,))</f>
        <v>kks果</v>
      </c>
      <c r="C393" s="449" t="s">
        <v>1904</v>
      </c>
      <c r="D393" s="408">
        <v>390</v>
      </c>
      <c r="E393" s="477">
        <v>400012002</v>
      </c>
      <c r="F393" s="1090" t="str">
        <f>INDEX('卡片raw data'!C:C,MATCH($D393,'卡片raw data'!$F:$F,))</f>
        <v>SR</v>
      </c>
      <c r="G393" s="1094" t="s">
        <v>1909</v>
      </c>
      <c r="H393" s="411">
        <f>IFERROR(INDEX(绊状态确认!C:C,MATCH($G393,绊状态确认!$B:$B,)),"")</f>
        <v>1</v>
      </c>
      <c r="I393" s="450" t="str">
        <f>IFERROR(INDEX(绊状态确认!D:D,MATCH($G393,绊状态确认!$B:$B,)),"")</f>
        <v>缪</v>
      </c>
      <c r="J393" s="450" t="str">
        <f>IFERROR(INDEX(绊状态确认!E:E,MATCH($G393,绊状态确认!$B:$B,)),"")</f>
        <v>2年级</v>
      </c>
      <c r="K393" s="451" t="str">
        <f>IFERROR(INDEX(绊状态确认!F:F,MATCH($G393,绊状态确认!$B:$B,)),"")</f>
        <v>Printemps</v>
      </c>
      <c r="L393" s="1094" t="str">
        <f>INDEX('卡片raw data'!E:E,MATCH($D393,'卡片raw data'!$F:$F,))</f>
        <v>活动卡</v>
      </c>
      <c r="M393" s="478">
        <v>44215</v>
      </c>
      <c r="N393" s="479">
        <v>32</v>
      </c>
      <c r="O393" s="1091" t="str">
        <f>INDEX('卡片raw data'!D:D,MATCH($D393,'卡片raw data'!$F:$F,))</f>
        <v>gd</v>
      </c>
      <c r="P393" s="1126">
        <v>5</v>
      </c>
      <c r="Q393" s="1095">
        <f t="shared" si="515"/>
        <v>15784.148057105189</v>
      </c>
      <c r="R393" s="1096">
        <f t="shared" si="516"/>
        <v>0.183</v>
      </c>
      <c r="S393" s="1097">
        <f t="shared" si="517"/>
        <v>8839.6103268225452</v>
      </c>
      <c r="T393" s="1098">
        <f t="shared" si="518"/>
        <v>0.441</v>
      </c>
      <c r="U393" s="1099">
        <f t="shared" si="519"/>
        <v>73.145235513958568</v>
      </c>
      <c r="V393" s="1100">
        <f t="shared" si="520"/>
        <v>22954.923752318209</v>
      </c>
      <c r="W393" s="1101">
        <f t="shared" si="521"/>
        <v>4507.7214871259994</v>
      </c>
      <c r="X393" s="1096">
        <f t="shared" si="522"/>
        <v>5.1999999999999998E-2</v>
      </c>
      <c r="Y393" s="1097">
        <f t="shared" si="523"/>
        <v>1250.5756882091582</v>
      </c>
      <c r="Z393" s="1102">
        <f t="shared" si="524"/>
        <v>15.645235513958568</v>
      </c>
      <c r="AA393" s="1103">
        <f t="shared" si="525"/>
        <v>5758.2971753351576</v>
      </c>
      <c r="AB393" s="1101">
        <f t="shared" si="526"/>
        <v>4507.7214871259994</v>
      </c>
      <c r="AC393" s="1104">
        <f t="shared" si="527"/>
        <v>5.1999999999999998E-2</v>
      </c>
      <c r="AD393" s="1105">
        <f t="shared" si="528"/>
        <v>-3.8207812500000026E-3</v>
      </c>
      <c r="AE393" s="1128">
        <f t="shared" si="529"/>
        <v>-18.525362318840578</v>
      </c>
      <c r="AF393" s="1130">
        <f t="shared" si="530"/>
        <v>0</v>
      </c>
      <c r="AG393" s="420">
        <f t="shared" si="531"/>
        <v>0</v>
      </c>
      <c r="AH393" s="420">
        <f t="shared" si="532"/>
        <v>0</v>
      </c>
      <c r="AI393" s="1097">
        <f t="shared" si="533"/>
        <v>0</v>
      </c>
      <c r="AJ393" s="420">
        <f t="shared" si="534"/>
        <v>0</v>
      </c>
      <c r="AK393" s="518">
        <f t="shared" si="535"/>
        <v>0</v>
      </c>
      <c r="AL393" s="1106">
        <f>IF($P393="","N/A",(IF($P393=-1,INDEX('卡片raw data'!S:S,MATCH($D393,'卡片raw data'!$F:$F,)),0)+IF($P393=0,INDEX('卡片raw data'!V:V,MATCH($D393,'卡片raw data'!$F:$F,)),0)+IF($P393=1,INDEX('卡片raw data'!Y:Y,MATCH($D393,'卡片raw data'!$F:$F,)),0)+IF($P393=2,INDEX('卡片raw data'!AB:AB,MATCH($D393,'卡片raw data'!$F:$F,)),0)+IF($P393=3,INDEX('卡片raw data'!AE:AE,MATCH($D393,'卡片raw data'!$F:$F,)),0)+IF($P393=4,INDEX('卡片raw data'!AH:AH,MATCH($D393,'卡片raw data'!$F:$F,)),0)+IF($P393=5,INDEX('卡片raw data'!AK:AK,MATCH($D393,'卡片raw data'!$F:$F,)),0)+INDEX('卡片raw data'!S:S,MATCH($D393,'卡片raw data'!$F:$F,))*(IF($F393="UR",0.04,0.033))*(IF($F393="UR",INDEX(绊状态确认!$S:$S,MATCH($G393,绊状态确认!$B:$B,))/2-40)+IF($F393="SR",INDEX(绊状态确认!$R:$R,MATCH($G393,绊状态确认!$B:$B,))/4-15))+IF($F393="R",INDEX(绊状态确认!$Q:$Q,MATCH($G393,绊状态确认!$B:$B,))/6-40/6)))*(INDEX(绊状态确认!$H:$H,MATCH($G393,绊状态确认!$B:$B,))+INDEX(绊状态确认!J:J,MATCH($G393,绊状态确认!$B:$B,)))</f>
        <v>4543.5135695999998</v>
      </c>
      <c r="AM393" s="1106">
        <f>IF($P393="","N/A",(IF($P393=-1,INDEX('卡片raw data'!T:T,MATCH($D393,'卡片raw data'!$F:$F,)),0)+IF($P393=0,INDEX('卡片raw data'!W:W,MATCH($D393,'卡片raw data'!$F:$F,)),0)+IF($P393=1,INDEX('卡片raw data'!Z:Z,MATCH($D393,'卡片raw data'!$F:$F,)),0)+IF($P393=2,INDEX('卡片raw data'!AC:AC,MATCH($D393,'卡片raw data'!$F:$F,)),0)+IF($P393=3,INDEX('卡片raw data'!AF:AF,MATCH($D393,'卡片raw data'!$F:$F,)),0)+IF($P393=4,INDEX('卡片raw data'!AI:AI,MATCH($D393,'卡片raw data'!$F:$F,)),0)+IF($P393=5,INDEX('卡片raw data'!AL:AL,MATCH($D393,'卡片raw data'!$F:$F,)),0)+INDEX('卡片raw data'!T:T,MATCH($D393,'卡片raw data'!$F:$F,))*(IF($F393="UR",0.04,0.033))*(IF($F393="UR",INDEX(绊状态确认!$S:$S,MATCH($G393,绊状态确认!$B:$B,))/2-40)+IF($F393="SR",INDEX(绊状态确认!$R:$R,MATCH($G393,绊状态确认!$B:$B,))/4-15))+IF($F393="R",INDEX(绊状态确认!$Q:$Q,MATCH($G393,绊状态确认!$B:$B,))/6-40/6)))*(INDEX(绊状态确认!$H:$H,MATCH($G393,绊状态确认!$B:$B,))+INDEX(绊状态确认!K:K,MATCH($G393,绊状态确认!$B:$B,)))</f>
        <v>7692.1756871999987</v>
      </c>
      <c r="AN393" s="1106">
        <f>IF($P393="","N/A",(IF($P393=-1,INDEX('卡片raw data'!U:U,MATCH($D393,'卡片raw data'!$F:$F,)),0)+IF($P393=0,INDEX('卡片raw data'!X:X,MATCH($D393,'卡片raw data'!$F:$F,)),0)+IF($P393=1,INDEX('卡片raw data'!AA:AA,MATCH($D393,'卡片raw data'!$F:$F,)),0)+IF($P393=2,INDEX('卡片raw data'!AD:AD,MATCH($D393,'卡片raw data'!$F:$F,)),0)+IF($P393=3,INDEX('卡片raw data'!AG:AG,MATCH($D393,'卡片raw data'!$F:$F,)),0)+IF($P393=4,INDEX('卡片raw data'!AJ:AJ,MATCH($D393,'卡片raw data'!$F:$F,)),0)+IF($P393=5,INDEX('卡片raw data'!AM:AM,MATCH($D393,'卡片raw data'!$F:$F,)),0)+INDEX('卡片raw data'!U:U,MATCH($D393,'卡片raw data'!$F:$F,))*(IF($F393="UR",0.04,0.033))*(IF($F393="UR",INDEX(绊状态确认!$S:$S,MATCH($G393,绊状态确认!$B:$B,))/2-40)+IF($F393="SR",INDEX(绊状态确认!$R:$R,MATCH($G393,绊状态确认!$B:$B,))/4-15))+IF($F393="R",INDEX(绊状态确认!$Q:$Q,MATCH($G393,绊状态确认!$B:$B,))/6-40/6)))*(INDEX(绊状态确认!$H:$H,MATCH($G393,绊状态确认!$B:$B,))+INDEX(绊状态确认!L:L,MATCH($G393,绊状态确认!$B:$B,)))</f>
        <v>5245.5223968</v>
      </c>
      <c r="AO393" s="1107">
        <f t="shared" si="536"/>
        <v>1</v>
      </c>
      <c r="AP393" s="1131">
        <f>1+(INDEX(绊状态确认!$T:$T,MATCH($G393,绊状态确认!$B:$B,))+0.2)*$AO393</f>
        <v>1.3</v>
      </c>
      <c r="AQ393" s="1108">
        <f t="shared" si="537"/>
        <v>15176.7231202</v>
      </c>
      <c r="AR393" s="1097">
        <f>(AM393*(1+$EX$9)+$EX$35)*(1+(INDEX(绊状态确认!$T:$T,MATCH($G393,绊状态确认!$B:$B,))+0.2)*AO393)*IF(J393=$FF$17,1+$FE$17,1)*IF(I393=$FF$14,1+$FE$14,1)</f>
        <v>13203.819813027998</v>
      </c>
      <c r="AS393" s="1097">
        <f>(AN393*(1+$EX$10)+$EX$36)*(1+(INDEX(绊状态确认!$T:$T,MATCH($G393,绊状态确认!$B:$B,))+0.2)*AO393)*IF(J393=$FF$17,1+$FE$17,1)*IF(I393=$FF$14,1+$FE$14,1)</f>
        <v>11898.055983216</v>
      </c>
      <c r="AT393" s="1093">
        <f>IF(AND(INDEX('卡片raw data'!AK:AK,MATCH($D393,'卡片raw data'!$F:$F,))&lt;INDEX('卡片raw data'!AM:AM,MATCH($D393,'卡片raw data'!$F:$F,)),INDEX('卡片raw data'!AL:AL,MATCH($D393,'卡片raw data'!$F:$F,))&lt;INDEX('卡片raw data'!AM:AM,MATCH($D393,'卡片raw data'!$F:$F,))),1,0)</f>
        <v>0</v>
      </c>
      <c r="AU393" s="1098">
        <f>MIN(AT393*0.15+AS393*0.00003+INDEX(绊状态确认!M:M,MATCH($G393,绊状态确认!$B:$B,)),1)</f>
        <v>0.38694167949648001</v>
      </c>
      <c r="AV393" s="1109">
        <f>(INDEX(绊状态确认!$N:$N,MATCH($G393,绊状态确认!$B:$B,))+1.5)*$EW$21</f>
        <v>2.6599999999999997</v>
      </c>
      <c r="AW393" s="1101">
        <f t="shared" si="538"/>
        <v>12944.759903312523</v>
      </c>
      <c r="AX393" s="1097">
        <f t="shared" si="539"/>
        <v>1133.5671983992268</v>
      </c>
      <c r="AY393" s="1110">
        <f t="shared" si="540"/>
        <v>14078.327101711749</v>
      </c>
      <c r="AZ393" s="429">
        <f t="shared" si="541"/>
        <v>11459.85146072</v>
      </c>
      <c r="BA393" s="431">
        <f t="shared" si="542"/>
        <v>13751.821752864</v>
      </c>
      <c r="BB393" s="1097">
        <f>(AM393*(1+$FB$9)+$FB$35)*(1+(INDEX(绊状态确认!$T:$T,MATCH($G393,绊状态确认!$B:$B,))+0.2)*AO393)*IF(J393=$FF$17,1+$FE$17,1)*IF(I393=$FF$14,1+$FE$14,1)*(1+$FE$15)</f>
        <v>13203.819813027998</v>
      </c>
      <c r="BC393" s="1097">
        <f>(AN393*(1+$FB$10)+$FB$36)*(1+(INDEX(绊状态确认!$T:$T,MATCH($G393,绊状态确认!$B:$B,))+0.2)*AO393)*IF(J393=$FF$17,1+$FE$17,1)*IF(I393=$FF$14,1+$FE$14,1)*(1+$FE$15)</f>
        <v>11898.055983216</v>
      </c>
      <c r="BD393" s="1104">
        <f>MIN(AT393*0.15+BC393*0.00003+INDEX(绊状态确认!M:M,MATCH($G393,绊状态确认!$B:$B,)),1)</f>
        <v>0.38694167949648001</v>
      </c>
      <c r="BE393" s="432">
        <f>(INDEX(绊状态确认!$N:$N,MATCH($G393,绊状态确认!$B:$B,))+1.5)</f>
        <v>1.9</v>
      </c>
      <c r="BF393" s="1139">
        <f t="array" ref="BF393">SUMPRODUCT(IF(AZ393*AP393*$FI$16:$FI$23*$FA$22&gt;=$FI$24,$FI$24,AZ393*AP393*$FI$16:$FI$23*$FA$22),$FJ$16:$FJ$23)</f>
        <v>22793.644555372081</v>
      </c>
      <c r="BG393" s="1125">
        <f t="array" ref="BG393">SUMPRODUCT(IF(BE393*AZ393*AP393*$FI$16:$FI$23*$FA$22&gt;=$FI$24,$FI$24,BE393*AZ393*AP393*$FI$16:$FI$23*$FA$22),$FJ$16:$FJ$23)</f>
        <v>43307.924655206945</v>
      </c>
      <c r="BH393" s="1110">
        <f t="shared" si="543"/>
        <v>10243.8248502878</v>
      </c>
      <c r="BI393" s="1111">
        <f>IF(O393="vo",$EW$26/$EW$24*0.05,0)+IF(O393="sk",-$EW$26/$EW$24*(0.05-INDEX(绊状态确认!W:W,MATCH($G393,绊状态确认!$B:$B,)))+0.05*$EW$28,0)+IF(O393="sp",0.05*$EW$32*$EW$30*(1-$EW$33)-(0.05-INDEX(绊状态确认!V:V,MATCH($G393,绊状态确认!$B:$B,)))*$EW$28,0)+IF(O393="gd",-(0.05-INDEX(绊状态确认!X:X,MATCH($G393,绊状态确认!$B:$B,)))*$EW$32*$EW$30*(1-$EW$33),0)</f>
        <v>-585.00000000000011</v>
      </c>
      <c r="BJ393" s="1097">
        <f>IF(O393="vo",0.05*(1-$FI$26)*$FA$24,0)+IF(O393="sk",-(0.05-INDEX(绊状态确认!W:W,MATCH($G393,绊状态确认!$B:$B,)))*(1-$FI$26)*$FA$24+0.05*$FA$26,0)+IF(O393="sp",0.05*$FA$32*$FA$27*(1-$FA$33)/$FA$30+0.05*$FA$29/$FA$69*$FA$27*(1-$FA$33)-(0.05-INDEX(绊状态确认!V:V,MATCH($G393,绊状态确认!$B:$B,)))*$FA$26,0)+IF(O393="gd",-(0.05-INDEX(绊状态确认!X:X,MATCH($G393,绊状态确认!$B:$B,)))*$FA$32*$FA$27*(1-$FA$33)/$FA$30-(0.05-INDEX(绊状态确认!X:X,MATCH($G393,绊状态确认!$B:$B,)))*$FA$29/$FA$69*$FA$27*(1-$FA$33),0)</f>
        <v>-795.00000000000011</v>
      </c>
      <c r="BK393" s="1110">
        <f>IF(O393="vo",$EW$26/$EW$24*0.05+$EW$26*(-HP($EW$62,$EW$65,$EW$64)+HP($EW$62,$EW$65,(1.05-INDEX(绊状态确认!U:U,MATCH($G393,绊状态确认!$B:$B,)))*$EW$64)),0)+IF(O393="sk",-$EW$26/$EW$24*(0.05-INDEX(绊状态确认!W:W,MATCH($G393,绊状态确认!$B:$B,)))+0.05*$EW$29,0)+IF(O393="sp",0.05*$EW$32*$EW$30*(1-$EW$33)-(0.05-INDEX(绊状态确认!V:V,MATCH($G393,绊状态确认!$B:$B,)))*$EW$29,0)+IF(O393="gd",-(0.05-INDEX(绊状态确认!X:X,MATCH($G393,绊状态确认!$B:$B,)))*$EW$32*$EW$30*(1-$EW$33)+$EW$26*(-HP($EW$62,$EW$65,$EW$64)+HP($EW$62,$EW$65,0.95*$EW$64)),0)</f>
        <v>1009.5947725176144</v>
      </c>
      <c r="BL393" s="1111">
        <f t="shared" si="544"/>
        <v>-1083.3333333333333</v>
      </c>
      <c r="BM393" s="1110">
        <f t="shared" si="545"/>
        <v>-830.55555555555543</v>
      </c>
      <c r="BN393" s="1113">
        <f t="shared" si="546"/>
        <v>3</v>
      </c>
      <c r="BO393" s="1108">
        <f t="shared" si="547"/>
        <v>4507.7214871259994</v>
      </c>
      <c r="BP393" s="1100">
        <f t="shared" si="548"/>
        <v>221.34103209030098</v>
      </c>
      <c r="BQ393" s="1113" t="s">
        <v>133</v>
      </c>
      <c r="BR393" s="1124" t="s">
        <v>171</v>
      </c>
      <c r="BS393" s="1098">
        <f>IF($P393="","N/A",IF($P393=-1,INDEX('卡片raw data'!AX:AX,MATCH($D393,'卡片raw data'!$F:$F,)),0)+IF($L393="party卡",IF($P393=5,INDEX('卡片raw data'!BD:BD,MATCH($D393,'卡片raw data'!$F:$F,)),IF($P393&gt;=3,INDEX('卡片raw data'!BC:BC,MATCH($D393,'卡片raw data'!$F:$F,)),INDEX('卡片raw data'!BB:BB,MATCH($D393,'卡片raw data'!$F:$F,)))),IF(OR(AND($F393="UR",$P393=0),AND($F393="SR",$P393&gt;=0,$P393&lt;=2),AND($F393="R",$P393&gt;=0,$P393&lt;4)),INDEX('卡片raw data'!AZ:AZ,MATCH($D393,'卡片raw data'!$F:$F,)),0)+IF(OR(AND($F393="UR",$P393&gt;=1,$P393&lt;=4),AND($F393="SR",$P393&lt;=4,$P393&gt;=3),AND($F393="R",$P393=4)),INDEX('卡片raw data'!BA:BA,MATCH($D393,'卡片raw data'!$F:$F,)),0)+IF($P393=5,INDEX('卡片raw data'!BB:BB,MATCH($D393,'卡片raw data'!$F:$F,)),0)))</f>
        <v>3.2000000000000001E-2</v>
      </c>
      <c r="BT393" s="1101">
        <f t="shared" si="549"/>
        <v>0</v>
      </c>
      <c r="BU393" s="1097">
        <f t="shared" si="550"/>
        <v>0</v>
      </c>
      <c r="BV393" s="1097">
        <f t="shared" si="551"/>
        <v>0</v>
      </c>
      <c r="BW393" s="1112">
        <f t="shared" si="552"/>
        <v>1.498285714285714</v>
      </c>
      <c r="BX393" s="1100">
        <f t="shared" si="553"/>
        <v>117.00848980993118</v>
      </c>
      <c r="BY393" s="1110">
        <f t="shared" si="554"/>
        <v>117.00848980993118</v>
      </c>
      <c r="BZ393" s="1113" t="s">
        <v>569</v>
      </c>
      <c r="CA393" s="1124"/>
      <c r="CB393" s="1098">
        <f>IF($P393="","N/A",IF($P393=-1,INDEX('卡片raw data'!BE:BE,MATCH($D393,'卡片raw data'!$F:$F,)),0)+IF($L393="party卡",IF($P393=5,INDEX('卡片raw data'!BK:BK,MATCH($D393,'卡片raw data'!$F:$F,)),IF($P393&gt;=3,INDEX('卡片raw data'!BJ:BJ,MATCH($D393,'卡片raw data'!$F:$F,)),INDEX('卡片raw data'!BI:BI,MATCH($D393,'卡片raw data'!$F:$F,)))),IF(OR(AND($F393="UR",$P393=0),AND($F393="SR",$P393&gt;=0,$P393&lt;=2),AND($F393="R",$P393&gt;=0,$P393&lt;4)),INDEX('卡片raw data'!BG:BG,MATCH($D393,'卡片raw data'!$F:$F,)),0)+IF(OR(AND($F393="UR",$P393&gt;=1,$P393&lt;=4),AND($F393="SR",$P393&lt;=4,$P393&gt;=3),AND($F393="R",$P393=4)),INDEX('卡片raw data'!BH:BH,MATCH($D393,'卡片raw data'!$F:$F,)),0)+IF($P393=5,INDEX('卡片raw data'!BI:BI,MATCH($D393,'卡片raw data'!$F:$F,)),0)))</f>
        <v>0</v>
      </c>
      <c r="CC393" s="1101">
        <f t="shared" si="555"/>
        <v>0</v>
      </c>
      <c r="CD393" s="1097">
        <f>IF(BZ393="ap",CB393*(1-$FI$26)*$FB$5/$FB$11*(+IF(CA393="全员",$FA$24,0)+IF(CA393="同作战",$FA$24,0)+IF(CA393="仲间",$FA$24*2/3,0)+IF(CA393="同属性",$FA$24*$FA$37/3,0)+IF(CA393="同年级",$FA$24*$FA$40/3,0)+IF(CA393="同学校",$FA$24*$FA$43/3,0)+IF(CA393="同小队",$FA$24*$FA$46/3,0)+IF(CA393="同type",$FA$24*INDEX($FB$49:$FB$52,MATCH(X393,$FA$49:$FA$52,))/3,0)+IF(CA393="自身",#REF!/3,0)),0)+IF(BZ393="te",CB393*(1-$FI$27)*($FA$20-1)*$FB$7/$FB$13*(+IF(CA393="全员",$FA$19*$FA$24/(1+($FA$20-1)*$FA$19),0)+IF(CA393="同作战",$FA$19*$FA$24/(1+($FA$20-1)*$FA$19),0)+IF(CA393="仲间",$FA$19*$FA$24*2/3/(1+($FA$20-1)*$FA$19),0)+IF(CA393="同属性",$FA$19*$FA$24*$FA$37/3/(1+($FA$20-1)*$FA$19),0)+IF(CA393="同年级",$FA$19*$FA$24*$FA$40/3/(1+($FA$20-1)*$FA$19),0)+IF(CA393="同学校",$FA$19*$FA$24*$FA$43/3/(1+($FA$20-1)*$FA$19),0)+IF(CA393="同小队",$FA$19*$FA$24*$FA$46/3/(1+($FA$20-1)*$FA$19),0)+IF(CA393="同type",$FA$19*$FA$24*INDEX($FB$49:$FB$52,MATCH(X393,$FA$49:$FA$52,))/3/(1+($FA$20-1)*$FA$19),0)+IF(CA393="自身",$FA$19*#REF!/3/(1+(BH393-1)*$BD393),0)),0)</f>
        <v>0</v>
      </c>
      <c r="CE393" s="1097">
        <f t="shared" si="556"/>
        <v>0</v>
      </c>
      <c r="CF393" s="1112">
        <f t="shared" si="557"/>
        <v>0</v>
      </c>
      <c r="CG393" s="1100">
        <f t="shared" si="558"/>
        <v>0</v>
      </c>
      <c r="CH393" s="1110">
        <f t="shared" si="559"/>
        <v>0</v>
      </c>
      <c r="CI393" s="1113" t="s">
        <v>1910</v>
      </c>
      <c r="CJ393" s="1114">
        <v>1</v>
      </c>
      <c r="CK393" s="1115" t="s">
        <v>1911</v>
      </c>
      <c r="CL393" s="1115" t="s">
        <v>1944</v>
      </c>
      <c r="CM393" s="1119">
        <v>0.1</v>
      </c>
      <c r="CN393" s="1115"/>
      <c r="CO393" s="1115"/>
      <c r="CP393" s="1116">
        <f t="shared" si="560"/>
        <v>0</v>
      </c>
      <c r="CQ393" s="1116">
        <f t="shared" si="561"/>
        <v>0</v>
      </c>
      <c r="CR393" s="1117">
        <f t="shared" si="562"/>
        <v>0</v>
      </c>
      <c r="CS393" s="1118">
        <f t="shared" si="563"/>
        <v>0</v>
      </c>
      <c r="CT393" s="1109">
        <f t="shared" si="564"/>
        <v>0</v>
      </c>
      <c r="CU393" s="1101">
        <f t="shared" si="565"/>
        <v>0</v>
      </c>
      <c r="CV393" s="1108">
        <f t="shared" si="566"/>
        <v>0</v>
      </c>
      <c r="CW393" s="1097">
        <f t="shared" si="567"/>
        <v>0</v>
      </c>
      <c r="CX393" s="1097">
        <f t="shared" si="568"/>
        <v>0</v>
      </c>
      <c r="CY393" s="1110">
        <f t="shared" si="569"/>
        <v>0</v>
      </c>
      <c r="CZ393" s="437"/>
      <c r="DA393" s="438"/>
      <c r="DB393" s="439" t="s">
        <v>569</v>
      </c>
      <c r="DC393" s="439"/>
      <c r="DD393" s="443"/>
      <c r="DE393" s="411"/>
      <c r="DF393" s="411"/>
      <c r="DG393" s="1116">
        <f t="shared" si="570"/>
        <v>0</v>
      </c>
      <c r="DH393" s="1116">
        <f t="shared" si="571"/>
        <v>0</v>
      </c>
      <c r="DI393" s="1116">
        <f t="shared" si="572"/>
        <v>0</v>
      </c>
      <c r="DJ393" s="442">
        <f t="shared" si="573"/>
        <v>0</v>
      </c>
      <c r="DK393" s="1109">
        <f t="shared" si="574"/>
        <v>0</v>
      </c>
      <c r="DL393" s="1101">
        <f t="shared" si="575"/>
        <v>0</v>
      </c>
      <c r="DM393" s="1097">
        <f t="shared" si="576"/>
        <v>0</v>
      </c>
      <c r="DN393" s="1097">
        <f t="shared" si="577"/>
        <v>0</v>
      </c>
      <c r="DO393" s="1097">
        <f t="shared" si="578"/>
        <v>0</v>
      </c>
      <c r="DP393" s="1110">
        <f t="shared" si="579"/>
        <v>0</v>
      </c>
      <c r="DQ393" s="1113" t="s">
        <v>556</v>
      </c>
      <c r="DR393" s="1120">
        <f t="shared" si="580"/>
        <v>0.3</v>
      </c>
      <c r="DS393" s="1124">
        <v>5</v>
      </c>
      <c r="DT393" s="1093" t="s">
        <v>161</v>
      </c>
      <c r="DU393" s="1093" t="s">
        <v>544</v>
      </c>
      <c r="DV393" s="1098">
        <f>IF($P393="","N/A",IF(P393=-1,INDEX('卡片raw data'!AN:AN,MATCH(D393,'卡片raw data'!$F:$F,)),0)+IF(AND(L393&lt;&gt;"party卡",P393&lt;=2,P393&gt;=0),INDEX('卡片raw data'!AP:AP,MATCH(D393,'卡片raw data'!$F:$F,)),0)+IF(OR(AND(L393="party卡",P393&lt;=1),AND(P393&lt;=4,L393&lt;&gt;"party卡",P393&gt;=3)),INDEX('卡片raw data'!AQ:AQ,MATCH(D393,'卡片raw data'!$F:$F,)),0)+IF(OR(P393=5,AND(L393="party卡",P393&gt;=2)),INDEX('卡片raw data'!AR:AR,MATCH(D393,'卡片raw data'!$F:$F,)),0))</f>
        <v>0.2</v>
      </c>
      <c r="DW393" s="1098">
        <f t="shared" si="581"/>
        <v>0.3</v>
      </c>
      <c r="DX393" s="1098">
        <f t="shared" si="582"/>
        <v>0.3</v>
      </c>
      <c r="DY393" s="1098">
        <f t="shared" si="583"/>
        <v>0.1</v>
      </c>
      <c r="DZ393" s="1098">
        <f t="shared" si="584"/>
        <v>8.6500000000000007E-2</v>
      </c>
      <c r="EA393" s="1098">
        <f t="shared" si="585"/>
        <v>0</v>
      </c>
      <c r="EB393" s="1121">
        <f t="shared" si="586"/>
        <v>0</v>
      </c>
      <c r="EC393" s="1101">
        <f t="shared" si="587"/>
        <v>0</v>
      </c>
      <c r="ED393" s="1097">
        <f t="shared" si="588"/>
        <v>0</v>
      </c>
      <c r="EE393" s="1110">
        <f t="shared" si="513"/>
        <v>4325.6052344862483</v>
      </c>
      <c r="EF393" s="1115" t="s">
        <v>569</v>
      </c>
      <c r="EG393" s="1120">
        <f t="shared" si="589"/>
        <v>0.3</v>
      </c>
      <c r="EH393" s="1124"/>
      <c r="EI393" s="1093"/>
      <c r="EJ393" s="1093"/>
      <c r="EK393" s="1097">
        <f>IF($P393="","N/A",IF(P393=-1,INDEX('卡片raw data'!AS:AS,MATCH(D393,'卡片raw data'!$F:$F,)),0)+IF(AND(L393&lt;&gt;"party卡",P393&lt;=2,P393&gt;=0),INDEX('卡片raw data'!AU:AU,MATCH(D393,'卡片raw data'!$F:$F,)),0)+IF(OR(AND(L393="party卡",P393&lt;=1),AND(P393&lt;=4,L393&lt;&gt;"party卡",P393&gt;=3)),INDEX('卡片raw data'!AV:AV,MATCH(D393,'卡片raw data'!$F:$F,)),0)+IF(OR(P393=5,AND(L393="party卡",P393&gt;=2)),INDEX('卡片raw data'!AW:AW,MATCH(D393,'卡片raw data'!$F:$F,)),0))</f>
        <v>0</v>
      </c>
      <c r="EL393" s="1098">
        <f t="shared" si="590"/>
        <v>0.3</v>
      </c>
      <c r="EM393" s="1098">
        <f t="shared" si="591"/>
        <v>0.3</v>
      </c>
      <c r="EN393" s="1097">
        <f t="shared" si="592"/>
        <v>0</v>
      </c>
      <c r="EO393" s="1097">
        <f t="shared" si="593"/>
        <v>0</v>
      </c>
      <c r="EP393" s="1098">
        <f t="shared" si="594"/>
        <v>0</v>
      </c>
      <c r="EQ393" s="1121">
        <f t="shared" si="595"/>
        <v>0</v>
      </c>
      <c r="ER393" s="1101">
        <f t="shared" si="596"/>
        <v>0</v>
      </c>
      <c r="ES393" s="1097">
        <f t="shared" si="597"/>
        <v>0</v>
      </c>
      <c r="ET393" s="1122">
        <f t="shared" si="514"/>
        <v>0</v>
      </c>
    </row>
    <row r="394" spans="2:150" ht="16.5" customHeight="1">
      <c r="B394" s="1123" t="str">
        <f>INDEX('卡片raw data'!B:B,MATCH($D394,'卡片raw data'!$F:$F,))</f>
        <v>op1璃</v>
      </c>
      <c r="C394" s="449" t="s">
        <v>1913</v>
      </c>
      <c r="D394" s="408">
        <v>391</v>
      </c>
      <c r="E394" s="477">
        <v>402092004</v>
      </c>
      <c r="F394" s="1090" t="str">
        <f>INDEX('卡片raw data'!C:C,MATCH($D394,'卡片raw data'!$F:$F,))</f>
        <v>SR</v>
      </c>
      <c r="G394" s="1094" t="s">
        <v>1914</v>
      </c>
      <c r="H394" s="411">
        <f>IFERROR(INDEX(绊状态确认!C:C,MATCH($G394,绊状态确认!$B:$B,)),"")</f>
        <v>209</v>
      </c>
      <c r="I394" s="450" t="str">
        <f>IFERROR(INDEX(绊状态确认!D:D,MATCH($G394,绊状态确认!$B:$B,)),"")</f>
        <v>虹</v>
      </c>
      <c r="J394" s="450" t="str">
        <f>IFERROR(INDEX(绊状态确认!E:E,MATCH($G394,绊状态确认!$B:$B,)),"")</f>
        <v>1年级</v>
      </c>
      <c r="K394" s="451" t="str">
        <f>IFERROR(INDEX(绊状态确认!F:F,MATCH($G394,绊状态确认!$B:$B,)),"")</f>
        <v>QU4RTZ</v>
      </c>
      <c r="L394" s="1094" t="str">
        <f>INDEX('卡片raw data'!E:E,MATCH($D394,'卡片raw data'!$F:$F,))</f>
        <v>活动卡</v>
      </c>
      <c r="M394" s="478">
        <v>44215</v>
      </c>
      <c r="N394" s="479">
        <v>32</v>
      </c>
      <c r="O394" s="1091" t="str">
        <f>INDEX('卡片raw data'!D:D,MATCH($D394,'卡片raw data'!$F:$F,))</f>
        <v>vo</v>
      </c>
      <c r="P394" s="1126">
        <v>5</v>
      </c>
      <c r="Q394" s="1095">
        <f t="shared" si="515"/>
        <v>34370.166445843664</v>
      </c>
      <c r="R394" s="1096">
        <f t="shared" si="516"/>
        <v>0.39900000000000002</v>
      </c>
      <c r="S394" s="1097">
        <f t="shared" si="517"/>
        <v>14754.536262228519</v>
      </c>
      <c r="T394" s="1098">
        <f t="shared" si="518"/>
        <v>0.73699999999999999</v>
      </c>
      <c r="U394" s="1099">
        <f t="shared" si="519"/>
        <v>-15.708768731757143</v>
      </c>
      <c r="V394" s="1100">
        <f t="shared" si="520"/>
        <v>33802.619095788243</v>
      </c>
      <c r="W394" s="1101">
        <f t="shared" si="521"/>
        <v>5017.6574803571284</v>
      </c>
      <c r="X394" s="1096">
        <f t="shared" si="522"/>
        <v>5.8000000000000003E-2</v>
      </c>
      <c r="Y394" s="1097">
        <f t="shared" si="523"/>
        <v>737.12110018628391</v>
      </c>
      <c r="Z394" s="1102">
        <f t="shared" si="524"/>
        <v>9.2912312682428571</v>
      </c>
      <c r="AA394" s="1103">
        <f t="shared" si="525"/>
        <v>5754.7785805434123</v>
      </c>
      <c r="AB394" s="1101">
        <f t="shared" si="526"/>
        <v>5399.5015007089924</v>
      </c>
      <c r="AC394" s="1104">
        <f t="shared" si="527"/>
        <v>6.2E-2</v>
      </c>
      <c r="AD394" s="1105">
        <f t="shared" si="528"/>
        <v>-3.8207812500000026E-3</v>
      </c>
      <c r="AE394" s="1128">
        <f t="shared" si="529"/>
        <v>-12.27536231884058</v>
      </c>
      <c r="AF394" s="1130">
        <f t="shared" si="530"/>
        <v>0</v>
      </c>
      <c r="AG394" s="420">
        <f t="shared" si="531"/>
        <v>0</v>
      </c>
      <c r="AH394" s="420">
        <f t="shared" si="532"/>
        <v>0</v>
      </c>
      <c r="AI394" s="1097">
        <f t="shared" si="533"/>
        <v>0</v>
      </c>
      <c r="AJ394" s="420">
        <f t="shared" si="534"/>
        <v>0</v>
      </c>
      <c r="AK394" s="518">
        <f t="shared" si="535"/>
        <v>0</v>
      </c>
      <c r="AL394" s="1106">
        <f>IF($P394="","N/A",(IF($P394=-1,INDEX('卡片raw data'!S:S,MATCH($D394,'卡片raw data'!$F:$F,)),0)+IF($P394=0,INDEX('卡片raw data'!V:V,MATCH($D394,'卡片raw data'!$F:$F,)),0)+IF($P394=1,INDEX('卡片raw data'!Y:Y,MATCH($D394,'卡片raw data'!$F:$F,)),0)+IF($P394=2,INDEX('卡片raw data'!AB:AB,MATCH($D394,'卡片raw data'!$F:$F,)),0)+IF($P394=3,INDEX('卡片raw data'!AE:AE,MATCH($D394,'卡片raw data'!$F:$F,)),0)+IF($P394=4,INDEX('卡片raw data'!AH:AH,MATCH($D394,'卡片raw data'!$F:$F,)),0)+IF($P394=5,INDEX('卡片raw data'!AK:AK,MATCH($D394,'卡片raw data'!$F:$F,)),0)+INDEX('卡片raw data'!S:S,MATCH($D394,'卡片raw data'!$F:$F,))*(IF($F394="UR",0.04,0.033))*(IF($F394="UR",INDEX(绊状态确认!$S:$S,MATCH($G394,绊状态确认!$B:$B,))/2-40)+IF($F394="SR",INDEX(绊状态确认!$R:$R,MATCH($G394,绊状态确认!$B:$B,))/4-15))+IF($F394="R",INDEX(绊状态确认!$Q:$Q,MATCH($G394,绊状态确认!$B:$B,))/6-40/6)))*(INDEX(绊状态确认!$H:$H,MATCH($G394,绊状态确认!$B:$B,))+INDEX(绊状态确认!J:J,MATCH($G394,绊状态确认!$B:$B,)))</f>
        <v>7692.1756871999987</v>
      </c>
      <c r="AM394" s="1106">
        <f>IF($P394="","N/A",(IF($P394=-1,INDEX('卡片raw data'!T:T,MATCH($D394,'卡片raw data'!$F:$F,)),0)+IF($P394=0,INDEX('卡片raw data'!W:W,MATCH($D394,'卡片raw data'!$F:$F,)),0)+IF($P394=1,INDEX('卡片raw data'!Z:Z,MATCH($D394,'卡片raw data'!$F:$F,)),0)+IF($P394=2,INDEX('卡片raw data'!AC:AC,MATCH($D394,'卡片raw data'!$F:$F,)),0)+IF($P394=3,INDEX('卡片raw data'!AF:AF,MATCH($D394,'卡片raw data'!$F:$F,)),0)+IF($P394=4,INDEX('卡片raw data'!AI:AI,MATCH($D394,'卡片raw data'!$F:$F,)),0)+IF($P394=5,INDEX('卡片raw data'!AL:AL,MATCH($D394,'卡片raw data'!$F:$F,)),0)+INDEX('卡片raw data'!T:T,MATCH($D394,'卡片raw data'!$F:$F,))*(IF($F394="UR",0.04,0.033))*(IF($F394="UR",INDEX(绊状态确认!$S:$S,MATCH($G394,绊状态确认!$B:$B,))/2-40)+IF($F394="SR",INDEX(绊状态确认!$R:$R,MATCH($G394,绊状态确认!$B:$B,))/4-15))+IF($F394="R",INDEX(绊状态确认!$Q:$Q,MATCH($G394,绊状态确认!$B:$B,))/6-40/6)))*(INDEX(绊状态确认!$H:$H,MATCH($G394,绊状态确认!$B:$B,))+INDEX(绊状态确认!K:K,MATCH($G394,绊状态确认!$B:$B,)))</f>
        <v>4372.0262640000001</v>
      </c>
      <c r="AN394" s="1106">
        <f>IF($P394="","N/A",(IF($P394=-1,INDEX('卡片raw data'!U:U,MATCH($D394,'卡片raw data'!$F:$F,)),0)+IF($P394=0,INDEX('卡片raw data'!X:X,MATCH($D394,'卡片raw data'!$F:$F,)),0)+IF($P394=1,INDEX('卡片raw data'!AA:AA,MATCH($D394,'卡片raw data'!$F:$F,)),0)+IF($P394=2,INDEX('卡片raw data'!AD:AD,MATCH($D394,'卡片raw data'!$F:$F,)),0)+IF($P394=3,INDEX('卡片raw data'!AG:AG,MATCH($D394,'卡片raw data'!$F:$F,)),0)+IF($P394=4,INDEX('卡片raw data'!AJ:AJ,MATCH($D394,'卡片raw data'!$F:$F,)),0)+IF($P394=5,INDEX('卡片raw data'!AM:AM,MATCH($D394,'卡片raw data'!$F:$F,)),0)+INDEX('卡片raw data'!U:U,MATCH($D394,'卡片raw data'!$F:$F,))*(IF($F394="UR",0.04,0.033))*(IF($F394="UR",INDEX(绊状态确认!$S:$S,MATCH($G394,绊状态确认!$B:$B,))/2-40)+IF($F394="SR",INDEX(绊状态确认!$R:$R,MATCH($G394,绊状态确认!$B:$B,))/4-15))+IF($F394="R",INDEX(绊状态确认!$Q:$Q,MATCH($G394,绊状态确认!$B:$B,))/6-40/6)))*(INDEX(绊状态确认!$H:$H,MATCH($G394,绊状态确认!$B:$B,))+INDEX(绊状态确认!L:L,MATCH($G394,绊状态确认!$B:$B,)))</f>
        <v>5419.2825023999994</v>
      </c>
      <c r="AO394" s="1107">
        <f t="shared" si="536"/>
        <v>1</v>
      </c>
      <c r="AP394" s="1131">
        <f>1+(INDEX(绊状态确认!$T:$T,MATCH($G394,绊状态确认!$B:$B,))+0.2)*$AO394</f>
        <v>1.3</v>
      </c>
      <c r="AQ394" s="1108">
        <f t="shared" si="537"/>
        <v>23441.961178899997</v>
      </c>
      <c r="AR394" s="1097">
        <f>(AM394*(1+$EX$9)+$EX$35)*(1+(INDEX(绊状态确认!$T:$T,MATCH($G394,绊状态确认!$B:$B,))+0.2)*AO394)*IF(J394=$FF$17,1+$FE$17,1)*IF(I394=$FF$14,1+$FE$14,1)</f>
        <v>8671.8158503600007</v>
      </c>
      <c r="AS394" s="1097">
        <f>(AN394*(1+$EX$10)+$EX$36)*(1+(INDEX(绊状态确认!$T:$T,MATCH($G394,绊状态确认!$B:$B,))+0.2)*AO394)*IF(J394=$FF$17,1+$FE$17,1)*IF(I394=$FF$14,1+$FE$14,1)</f>
        <v>12157.827341087999</v>
      </c>
      <c r="AT394" s="1093">
        <f>IF(AND(INDEX('卡片raw data'!AK:AK,MATCH($D394,'卡片raw data'!$F:$F,))&lt;INDEX('卡片raw data'!AM:AM,MATCH($D394,'卡片raw data'!$F:$F,)),INDEX('卡片raw data'!AL:AL,MATCH($D394,'卡片raw data'!$F:$F,))&lt;INDEX('卡片raw data'!AM:AM,MATCH($D394,'卡片raw data'!$F:$F,))),1,0)</f>
        <v>0</v>
      </c>
      <c r="AU394" s="1098">
        <f>MIN(AT394*0.15+AS394*0.00003+INDEX(绊状态确认!M:M,MATCH($G394,绊状态确认!$B:$B,)),1)</f>
        <v>0.39473482023264</v>
      </c>
      <c r="AV394" s="1109">
        <f>(INDEX(绊状态确认!$N:$N,MATCH($G394,绊状态确认!$B:$B,))+1.5)*$EW$21</f>
        <v>2.6599999999999997</v>
      </c>
      <c r="AW394" s="1101">
        <f t="shared" si="538"/>
        <v>20151.968446270814</v>
      </c>
      <c r="AX394" s="1097">
        <f t="shared" si="539"/>
        <v>737.1211001862838</v>
      </c>
      <c r="AY394" s="1110">
        <f t="shared" si="540"/>
        <v>20889.089546457097</v>
      </c>
      <c r="AZ394" s="429">
        <f t="shared" si="541"/>
        <v>17599.742590039998</v>
      </c>
      <c r="BA394" s="431">
        <f t="shared" si="542"/>
        <v>21119.691108047995</v>
      </c>
      <c r="BB394" s="1097">
        <f>(AM394*(1+$FB$9)+$FB$35)*(1+(INDEX(绊状态确认!$T:$T,MATCH($G394,绊状态确认!$B:$B,))+0.2)*AO394)*IF(J394=$FF$17,1+$FE$17,1)*IF(I394=$FF$14,1+$FE$14,1)*(1+$FE$15)</f>
        <v>8671.8158503600007</v>
      </c>
      <c r="BC394" s="1097">
        <f>(AN394*(1+$FB$10)+$FB$36)*(1+(INDEX(绊状态确认!$T:$T,MATCH($G394,绊状态确认!$B:$B,))+0.2)*AO394)*IF(J394=$FF$17,1+$FE$17,1)*IF(I394=$FF$14,1+$FE$14,1)*(1+$FE$15)</f>
        <v>12157.827341087999</v>
      </c>
      <c r="BD394" s="1104">
        <f>MIN(AT394*0.15+BC394*0.00003+INDEX(绊状态确认!M:M,MATCH($G394,绊状态确认!$B:$B,)),1)</f>
        <v>0.39473482023264</v>
      </c>
      <c r="BE394" s="432">
        <f>(INDEX(绊状态确认!$N:$N,MATCH($G394,绊状态确认!$B:$B,))+1.5)</f>
        <v>1.9</v>
      </c>
      <c r="BF394" s="1139">
        <f t="array" ref="BF394">SUMPRODUCT(IF(AZ394*AP394*$FI$16:$FI$23*$FA$22&gt;=$FI$24,$FI$24,AZ394*AP394*$FI$16:$FI$23*$FA$22),$FJ$16:$FJ$23)</f>
        <v>35005.888011589559</v>
      </c>
      <c r="BG394" s="1125">
        <f t="array" ref="BG394">SUMPRODUCT(IF(BE394*AZ394*AP394*$FI$16:$FI$23*$FA$22&gt;=$FI$24,$FI$24,BE394*AZ394*AP394*$FI$16:$FI$23*$FA$22),$FJ$16:$FJ$23)</f>
        <v>58867.841049349699</v>
      </c>
      <c r="BH394" s="1110">
        <f t="shared" si="543"/>
        <v>14808.343918116503</v>
      </c>
      <c r="BI394" s="1111">
        <f>IF(O394="vo",$EW$26/$EW$24*0.05,0)+IF(O394="sk",-$EW$26/$EW$24*(0.05-INDEX(绊状态确认!W:W,MATCH($G394,绊状态确认!$B:$B,)))+0.05*$EW$28,0)+IF(O394="sp",0.05*$EW$32*$EW$30*(1-$EW$33)-(0.05-INDEX(绊状态确认!V:V,MATCH($G394,绊状态确认!$B:$B,)))*$EW$28,0)+IF(O394="gd",-(0.05-INDEX(绊状态确认!X:X,MATCH($G394,绊状态确认!$B:$B,)))*$EW$32*$EW$30*(1-$EW$33),0)</f>
        <v>7726.3029277443748</v>
      </c>
      <c r="BJ394" s="1097">
        <f>IF(O394="vo",0.05*(1-$FI$26)*$FA$24,0)+IF(O394="sk",-(0.05-INDEX(绊状态确认!W:W,MATCH($G394,绊状态确认!$B:$B,)))*(1-$FI$26)*$FA$24+0.05*$FA$26,0)+IF(O394="sp",0.05*$FA$32*$FA$27*(1-$FA$33)/$FA$30+0.05*$FA$29/$FA$69*$FA$27*(1-$FA$33)-(0.05-INDEX(绊状态确认!V:V,MATCH($G394,绊状态确认!$B:$B,)))*$FA$26,0)+IF(O394="gd",-(0.05-INDEX(绊状态确认!X:X,MATCH($G394,绊状态确认!$B:$B,)))*$FA$32*$FA$27*(1-$FA$33)/$FA$30-(0.05-INDEX(绊状态确认!X:X,MATCH($G394,绊状态确认!$B:$B,)))*$FA$29/$FA$69*$FA$27*(1-$FA$33),0)</f>
        <v>393.93433687500004</v>
      </c>
      <c r="BK394" s="1110">
        <f>IF(O394="vo",$EW$26/$EW$24*0.05+$EW$26*(-HP($EW$62,$EW$65,$EW$64)+HP($EW$62,$EW$65,(1.05-INDEX(绊状态确认!U:U,MATCH($G394,绊状态确认!$B:$B,)))*$EW$64)),0)+IF(O394="sk",-$EW$26/$EW$24*(0.05-INDEX(绊状态确认!W:W,MATCH($G394,绊状态确认!$B:$B,)))+0.05*$EW$29,0)+IF(O394="sp",0.05*$EW$32*$EW$30*(1-$EW$33)-(0.05-INDEX(绊状态确认!V:V,MATCH($G394,绊状态确认!$B:$B,)))*$EW$29,0)+IF(O394="gd",-(0.05-INDEX(绊状态确认!X:X,MATCH($G394,绊状态确认!$B:$B,)))*$EW$32*$EW$30*(1-$EW$33)+$EW$26*(-HP($EW$62,$EW$65,$EW$64)+HP($EW$62,$EW$65,0.95*$EW$64)),0)</f>
        <v>6421.6344775026746</v>
      </c>
      <c r="BL394" s="1111">
        <f t="shared" si="544"/>
        <v>-1083.3333333333333</v>
      </c>
      <c r="BM394" s="1110">
        <f t="shared" si="545"/>
        <v>-830.55555555555543</v>
      </c>
      <c r="BN394" s="1113">
        <f t="shared" si="546"/>
        <v>3</v>
      </c>
      <c r="BO394" s="1108">
        <f t="shared" si="547"/>
        <v>4507.7214871259994</v>
      </c>
      <c r="BP394" s="1100">
        <f t="shared" si="548"/>
        <v>221.34103209030098</v>
      </c>
      <c r="BQ394" s="1113" t="s">
        <v>134</v>
      </c>
      <c r="BR394" s="1124" t="s">
        <v>166</v>
      </c>
      <c r="BS394" s="1098">
        <f>IF($P394="","N/A",IF($P394=-1,INDEX('卡片raw data'!AX:AX,MATCH($D394,'卡片raw data'!$F:$F,)),0)+IF($L394="party卡",IF($P394=5,INDEX('卡片raw data'!BD:BD,MATCH($D394,'卡片raw data'!$F:$F,)),IF($P394&gt;=3,INDEX('卡片raw data'!BC:BC,MATCH($D394,'卡片raw data'!$F:$F,)),INDEX('卡片raw data'!BB:BB,MATCH($D394,'卡片raw data'!$F:$F,)))),IF(OR(AND($F394="UR",$P394=0),AND($F394="SR",$P394&gt;=0,$P394&lt;=2),AND($F394="R",$P394&gt;=0,$P394&lt;4)),INDEX('卡片raw data'!AZ:AZ,MATCH($D394,'卡片raw data'!$F:$F,)),0)+IF(OR(AND($F394="UR",$P394&gt;=1,$P394&lt;=4),AND($F394="SR",$P394&lt;=4,$P394&gt;=3),AND($F394="R",$P394=4)),INDEX('卡片raw data'!BA:BA,MATCH($D394,'卡片raw data'!$F:$F,)),0)+IF($P394=5,INDEX('卡片raw data'!BB:BB,MATCH($D394,'卡片raw data'!$F:$F,)),0)))</f>
        <v>7.0000000000000007E-2</v>
      </c>
      <c r="BT394" s="1101">
        <f t="shared" si="549"/>
        <v>381.84402035186446</v>
      </c>
      <c r="BU394" s="1097">
        <f t="shared" si="550"/>
        <v>32.305838689146242</v>
      </c>
      <c r="BV394" s="1097">
        <f t="shared" si="551"/>
        <v>0</v>
      </c>
      <c r="BW394" s="1112">
        <f t="shared" si="552"/>
        <v>0</v>
      </c>
      <c r="BX394" s="1100">
        <f t="shared" si="553"/>
        <v>381.84402035186446</v>
      </c>
      <c r="BY394" s="1110">
        <f t="shared" si="554"/>
        <v>0</v>
      </c>
      <c r="BZ394" s="1113" t="s">
        <v>569</v>
      </c>
      <c r="CA394" s="1124"/>
      <c r="CB394" s="1098">
        <f>IF($P394="","N/A",IF($P394=-1,INDEX('卡片raw data'!BE:BE,MATCH($D394,'卡片raw data'!$F:$F,)),0)+IF($L394="party卡",IF($P394=5,INDEX('卡片raw data'!BK:BK,MATCH($D394,'卡片raw data'!$F:$F,)),IF($P394&gt;=3,INDEX('卡片raw data'!BJ:BJ,MATCH($D394,'卡片raw data'!$F:$F,)),INDEX('卡片raw data'!BI:BI,MATCH($D394,'卡片raw data'!$F:$F,)))),IF(OR(AND($F394="UR",$P394=0),AND($F394="SR",$P394&gt;=0,$P394&lt;=2),AND($F394="R",$P394&gt;=0,$P394&lt;4)),INDEX('卡片raw data'!BG:BG,MATCH($D394,'卡片raw data'!$F:$F,)),0)+IF(OR(AND($F394="UR",$P394&gt;=1,$P394&lt;=4),AND($F394="SR",$P394&lt;=4,$P394&gt;=3),AND($F394="R",$P394=4)),INDEX('卡片raw data'!BH:BH,MATCH($D394,'卡片raw data'!$F:$F,)),0)+IF($P394=5,INDEX('卡片raw data'!BI:BI,MATCH($D394,'卡片raw data'!$F:$F,)),0)))</f>
        <v>0</v>
      </c>
      <c r="CC394" s="1101">
        <f t="shared" si="555"/>
        <v>0</v>
      </c>
      <c r="CD394" s="1097">
        <f>IF(BZ394="ap",CB394*(1-$FI$26)*$FB$5/$FB$11*(+IF(CA394="全员",$FA$24,0)+IF(CA394="同作战",$FA$24,0)+IF(CA394="仲间",$FA$24*2/3,0)+IF(CA394="同属性",$FA$24*$FA$37/3,0)+IF(CA394="同年级",$FA$24*$FA$40/3,0)+IF(CA394="同学校",$FA$24*$FA$43/3,0)+IF(CA394="同小队",$FA$24*$FA$46/3,0)+IF(CA394="同type",$FA$24*INDEX($FB$49:$FB$52,MATCH(X394,$FA$49:$FA$52,))/3,0)+IF(CA394="自身",#REF!/3,0)),0)+IF(BZ394="te",CB394*(1-$FI$27)*($FA$20-1)*$FB$7/$FB$13*(+IF(CA394="全员",$FA$19*$FA$24/(1+($FA$20-1)*$FA$19),0)+IF(CA394="同作战",$FA$19*$FA$24/(1+($FA$20-1)*$FA$19),0)+IF(CA394="仲间",$FA$19*$FA$24*2/3/(1+($FA$20-1)*$FA$19),0)+IF(CA394="同属性",$FA$19*$FA$24*$FA$37/3/(1+($FA$20-1)*$FA$19),0)+IF(CA394="同年级",$FA$19*$FA$24*$FA$40/3/(1+($FA$20-1)*$FA$19),0)+IF(CA394="同学校",$FA$19*$FA$24*$FA$43/3/(1+($FA$20-1)*$FA$19),0)+IF(CA394="同小队",$FA$19*$FA$24*$FA$46/3/(1+($FA$20-1)*$FA$19),0)+IF(CA394="同type",$FA$19*$FA$24*INDEX($FB$49:$FB$52,MATCH(X394,$FA$49:$FA$52,))/3/(1+($FA$20-1)*$FA$19),0)+IF(CA394="自身",$FA$19*#REF!/3/(1+(BH394-1)*$BD394),0)),0)</f>
        <v>0</v>
      </c>
      <c r="CE394" s="1097">
        <f t="shared" si="556"/>
        <v>0</v>
      </c>
      <c r="CF394" s="1112">
        <f t="shared" si="557"/>
        <v>0</v>
      </c>
      <c r="CG394" s="1100">
        <f t="shared" si="558"/>
        <v>0</v>
      </c>
      <c r="CH394" s="1110">
        <f t="shared" si="559"/>
        <v>0</v>
      </c>
      <c r="CI394" s="1113" t="s">
        <v>164</v>
      </c>
      <c r="CJ394" s="1114">
        <v>1</v>
      </c>
      <c r="CK394" s="1115" t="s">
        <v>1893</v>
      </c>
      <c r="CL394" s="1115" t="s">
        <v>1915</v>
      </c>
      <c r="CM394" s="1119">
        <v>3.5000000000000003E-2</v>
      </c>
      <c r="CN394" s="1115">
        <v>5</v>
      </c>
      <c r="CO394" s="1115"/>
      <c r="CP394" s="1118">
        <f t="shared" si="560"/>
        <v>3.7500000000000003E-3</v>
      </c>
      <c r="CQ394" s="1118">
        <f t="shared" si="561"/>
        <v>5.8333333333333336E-3</v>
      </c>
      <c r="CR394" s="1118">
        <f t="shared" si="562"/>
        <v>3.7500000000000003E-3</v>
      </c>
      <c r="CS394" s="1118">
        <f t="shared" si="563"/>
        <v>0</v>
      </c>
      <c r="CT394" s="1109">
        <f t="shared" si="564"/>
        <v>0</v>
      </c>
      <c r="CU394" s="1101">
        <f t="shared" si="565"/>
        <v>509.93599323112875</v>
      </c>
      <c r="CV394" s="1108">
        <f t="shared" si="566"/>
        <v>38.299171640625005</v>
      </c>
      <c r="CW394" s="1097">
        <f t="shared" si="567"/>
        <v>509.93599323112875</v>
      </c>
      <c r="CX394" s="1097">
        <f t="shared" si="568"/>
        <v>509.93599323112875</v>
      </c>
      <c r="CY394" s="1110">
        <f t="shared" si="569"/>
        <v>509.93599323112875</v>
      </c>
      <c r="CZ394" s="437"/>
      <c r="DA394" s="438"/>
      <c r="DB394" s="439" t="s">
        <v>569</v>
      </c>
      <c r="DC394" s="439"/>
      <c r="DD394" s="443"/>
      <c r="DE394" s="411"/>
      <c r="DF394" s="411"/>
      <c r="DG394" s="1116">
        <f t="shared" si="570"/>
        <v>0</v>
      </c>
      <c r="DH394" s="1116">
        <f t="shared" si="571"/>
        <v>0</v>
      </c>
      <c r="DI394" s="1116">
        <f t="shared" si="572"/>
        <v>0</v>
      </c>
      <c r="DJ394" s="442">
        <f t="shared" si="573"/>
        <v>0</v>
      </c>
      <c r="DK394" s="1109">
        <f t="shared" si="574"/>
        <v>0</v>
      </c>
      <c r="DL394" s="1101">
        <f t="shared" si="575"/>
        <v>0</v>
      </c>
      <c r="DM394" s="1097">
        <f t="shared" si="576"/>
        <v>0</v>
      </c>
      <c r="DN394" s="1097">
        <f t="shared" si="577"/>
        <v>0</v>
      </c>
      <c r="DO394" s="1097">
        <f t="shared" si="578"/>
        <v>0</v>
      </c>
      <c r="DP394" s="1110">
        <f t="shared" si="579"/>
        <v>0</v>
      </c>
      <c r="DQ394" s="1113" t="s">
        <v>167</v>
      </c>
      <c r="DR394" s="1120">
        <f t="shared" si="580"/>
        <v>0.3</v>
      </c>
      <c r="DS394" s="1124">
        <v>5</v>
      </c>
      <c r="DT394" s="1093" t="s">
        <v>161</v>
      </c>
      <c r="DU394" s="1093" t="s">
        <v>544</v>
      </c>
      <c r="DV394" s="1098">
        <f>IF($P394="","N/A",IF(P394=-1,INDEX('卡片raw data'!AN:AN,MATCH(D394,'卡片raw data'!$F:$F,)),0)+IF(AND(L394&lt;&gt;"party卡",P394&lt;=2,P394&gt;=0),INDEX('卡片raw data'!AP:AP,MATCH(D394,'卡片raw data'!$F:$F,)),0)+IF(OR(AND(L394="party卡",P394&lt;=1),AND(P394&lt;=4,L394&lt;&gt;"party卡",P394&gt;=3)),INDEX('卡片raw data'!AQ:AQ,MATCH(D394,'卡片raw data'!$F:$F,)),0)+IF(OR(P394=5,AND(L394="party卡",P394&gt;=2)),INDEX('卡片raw data'!AR:AR,MATCH(D394,'卡片raw data'!$F:$F,)),0))</f>
        <v>3.2000000000000001E-2</v>
      </c>
      <c r="DW394" s="1098">
        <f t="shared" si="581"/>
        <v>0.3</v>
      </c>
      <c r="DX394" s="1098">
        <f t="shared" si="582"/>
        <v>0.3</v>
      </c>
      <c r="DY394" s="1098">
        <f t="shared" si="583"/>
        <v>1.6E-2</v>
      </c>
      <c r="DZ394" s="1098">
        <f t="shared" si="584"/>
        <v>1.384E-2</v>
      </c>
      <c r="EA394" s="1098">
        <f t="shared" si="585"/>
        <v>0</v>
      </c>
      <c r="EB394" s="1121">
        <f t="shared" si="586"/>
        <v>0</v>
      </c>
      <c r="EC394" s="1101">
        <f t="shared" si="587"/>
        <v>2175.7269044528161</v>
      </c>
      <c r="ED394" s="1097">
        <f t="shared" si="588"/>
        <v>90.86752037250001</v>
      </c>
      <c r="EE394" s="1110">
        <f t="shared" si="513"/>
        <v>2175.7269044528161</v>
      </c>
      <c r="EF394" s="1115" t="s">
        <v>569</v>
      </c>
      <c r="EG394" s="1120">
        <f t="shared" si="589"/>
        <v>0.3</v>
      </c>
      <c r="EH394" s="1124"/>
      <c r="EI394" s="1093"/>
      <c r="EJ394" s="1093"/>
      <c r="EK394" s="1097">
        <f>IF($P394="","N/A",IF(P394=-1,INDEX('卡片raw data'!AS:AS,MATCH(D394,'卡片raw data'!$F:$F,)),0)+IF(AND(L394&lt;&gt;"party卡",P394&lt;=2,P394&gt;=0),INDEX('卡片raw data'!AU:AU,MATCH(D394,'卡片raw data'!$F:$F,)),0)+IF(OR(AND(L394="party卡",P394&lt;=1),AND(P394&lt;=4,L394&lt;&gt;"party卡",P394&gt;=3)),INDEX('卡片raw data'!AV:AV,MATCH(D394,'卡片raw data'!$F:$F,)),0)+IF(OR(P394=5,AND(L394="party卡",P394&gt;=2)),INDEX('卡片raw data'!AW:AW,MATCH(D394,'卡片raw data'!$F:$F,)),0))</f>
        <v>0</v>
      </c>
      <c r="EL394" s="1098">
        <f t="shared" si="590"/>
        <v>0.3</v>
      </c>
      <c r="EM394" s="1098">
        <f t="shared" si="591"/>
        <v>0.3</v>
      </c>
      <c r="EN394" s="1097">
        <f t="shared" si="592"/>
        <v>0</v>
      </c>
      <c r="EO394" s="1097">
        <f t="shared" si="593"/>
        <v>0</v>
      </c>
      <c r="EP394" s="1098">
        <f t="shared" si="594"/>
        <v>0</v>
      </c>
      <c r="EQ394" s="1121">
        <f t="shared" si="595"/>
        <v>0</v>
      </c>
      <c r="ER394" s="1101">
        <f t="shared" si="596"/>
        <v>0</v>
      </c>
      <c r="ES394" s="1097">
        <f t="shared" si="597"/>
        <v>0</v>
      </c>
      <c r="ET394" s="1122">
        <f t="shared" si="514"/>
        <v>0</v>
      </c>
    </row>
    <row r="395" spans="2:150" ht="16.5" customHeight="1">
      <c r="B395" s="1123" t="str">
        <f>INDEX('卡片raw data'!B:B,MATCH($D395,'卡片raw data'!$F:$F,))</f>
        <v>fes2妮</v>
      </c>
      <c r="C395" s="449" t="s">
        <v>2043</v>
      </c>
      <c r="D395" s="408">
        <v>392</v>
      </c>
      <c r="E395" s="477">
        <v>200093002</v>
      </c>
      <c r="F395" s="1090" t="str">
        <f>INDEX('卡片raw data'!C:C,MATCH($D395,'卡片raw data'!$F:$F,))</f>
        <v>UR</v>
      </c>
      <c r="G395" s="1094" t="s">
        <v>2044</v>
      </c>
      <c r="H395" s="411">
        <f>IFERROR(INDEX(绊状态确认!C:C,MATCH($G395,绊状态确认!$B:$B,)),"")</f>
        <v>9</v>
      </c>
      <c r="I395" s="450" t="str">
        <f>IFERROR(INDEX(绊状态确认!D:D,MATCH($G395,绊状态确认!$B:$B,)),"")</f>
        <v>缪</v>
      </c>
      <c r="J395" s="450" t="str">
        <f>IFERROR(INDEX(绊状态确认!E:E,MATCH($G395,绊状态确认!$B:$B,)),"")</f>
        <v>3年级</v>
      </c>
      <c r="K395" s="451" t="str">
        <f>IFERROR(INDEX(绊状态确认!F:F,MATCH($G395,绊状态确认!$B:$B,)),"")</f>
        <v>BiBi</v>
      </c>
      <c r="L395" s="1094" t="str">
        <f>INDEX('卡片raw data'!E:E,MATCH($D395,'卡片raw data'!$F:$F,))</f>
        <v>fes卡</v>
      </c>
      <c r="M395" s="478">
        <v>44226</v>
      </c>
      <c r="N395" s="479">
        <v>32.5</v>
      </c>
      <c r="O395" s="1091" t="str">
        <f>INDEX('卡片raw data'!D:D,MATCH($D395,'卡片raw data'!$F:$F,))</f>
        <v>vo</v>
      </c>
      <c r="P395" s="1126">
        <v>5</v>
      </c>
      <c r="Q395" s="1095">
        <f t="shared" si="515"/>
        <v>72562.431195744342</v>
      </c>
      <c r="R395" s="1096">
        <f t="shared" si="516"/>
        <v>0.84299999999999997</v>
      </c>
      <c r="S395" s="1097">
        <f t="shared" si="517"/>
        <v>20879.123107164709</v>
      </c>
      <c r="T395" s="1098">
        <f t="shared" si="518"/>
        <v>1.0429999999999999</v>
      </c>
      <c r="U395" s="1099">
        <f t="shared" si="519"/>
        <v>-9.5833235760571434</v>
      </c>
      <c r="V395" s="1100">
        <f t="shared" si="520"/>
        <v>72496.307443473241</v>
      </c>
      <c r="W395" s="1101">
        <f t="shared" si="521"/>
        <v>7319.3117504810361</v>
      </c>
      <c r="X395" s="1096">
        <f t="shared" si="522"/>
        <v>8.5000000000000006E-2</v>
      </c>
      <c r="Y395" s="1097">
        <f t="shared" si="523"/>
        <v>1238.5446979705939</v>
      </c>
      <c r="Z395" s="1102">
        <f t="shared" si="524"/>
        <v>15.416676423942857</v>
      </c>
      <c r="AA395" s="1103">
        <f t="shared" si="525"/>
        <v>8557.8564484516301</v>
      </c>
      <c r="AB395" s="1101">
        <f t="shared" si="526"/>
        <v>8621.5424023174364</v>
      </c>
      <c r="AC395" s="1104">
        <f t="shared" si="527"/>
        <v>0.1</v>
      </c>
      <c r="AD395" s="1105">
        <f t="shared" si="528"/>
        <v>0</v>
      </c>
      <c r="AE395" s="1128">
        <f t="shared" si="529"/>
        <v>0</v>
      </c>
      <c r="AF395" s="1130">
        <f t="shared" si="530"/>
        <v>0</v>
      </c>
      <c r="AG395" s="420">
        <f t="shared" si="531"/>
        <v>0</v>
      </c>
      <c r="AH395" s="420">
        <f t="shared" si="532"/>
        <v>0</v>
      </c>
      <c r="AI395" s="1097">
        <f t="shared" si="533"/>
        <v>0</v>
      </c>
      <c r="AJ395" s="420">
        <f t="shared" si="534"/>
        <v>0</v>
      </c>
      <c r="AK395" s="518">
        <f t="shared" si="535"/>
        <v>0</v>
      </c>
      <c r="AL395" s="1106">
        <f>IF($P395="","N/A",(IF($P395=-1,INDEX('卡片raw data'!S:S,MATCH($D395,'卡片raw data'!$F:$F,)),0)+IF($P395=0,INDEX('卡片raw data'!V:V,MATCH($D395,'卡片raw data'!$F:$F,)),0)+IF($P395=1,INDEX('卡片raw data'!Y:Y,MATCH($D395,'卡片raw data'!$F:$F,)),0)+IF($P395=2,INDEX('卡片raw data'!AB:AB,MATCH($D395,'卡片raw data'!$F:$F,)),0)+IF($P395=3,INDEX('卡片raw data'!AE:AE,MATCH($D395,'卡片raw data'!$F:$F,)),0)+IF($P395=4,INDEX('卡片raw data'!AH:AH,MATCH($D395,'卡片raw data'!$F:$F,)),0)+IF($P395=5,INDEX('卡片raw data'!AK:AK,MATCH($D395,'卡片raw data'!$F:$F,)),0)+INDEX('卡片raw data'!S:S,MATCH($D395,'卡片raw data'!$F:$F,))*(IF($F395="UR",0.04,0.033))*(IF($F395="UR",INDEX(绊状态确认!$S:$S,MATCH($G395,绊状态确认!$B:$B,))/2-40)+IF($F395="SR",INDEX(绊状态确认!$R:$R,MATCH($G395,绊状态确认!$B:$B,))/4-15))+IF($F395="R",INDEX(绊状态确认!$Q:$Q,MATCH($G395,绊状态确认!$B:$B,))/6-40/6)))*(INDEX(绊状态确认!$H:$H,MATCH($G395,绊状态确认!$B:$B,))+INDEX(绊状态确认!J:J,MATCH($G395,绊状态确认!$B:$B,)))</f>
        <v>15634.091183999997</v>
      </c>
      <c r="AM395" s="1106">
        <f>IF($P395="","N/A",(IF($P395=-1,INDEX('卡片raw data'!T:T,MATCH($D395,'卡片raw data'!$F:$F,)),0)+IF($P395=0,INDEX('卡片raw data'!W:W,MATCH($D395,'卡片raw data'!$F:$F,)),0)+IF($P395=1,INDEX('卡片raw data'!Z:Z,MATCH($D395,'卡片raw data'!$F:$F,)),0)+IF($P395=2,INDEX('卡片raw data'!AC:AC,MATCH($D395,'卡片raw data'!$F:$F,)),0)+IF($P395=3,INDEX('卡片raw data'!AF:AF,MATCH($D395,'卡片raw data'!$F:$F,)),0)+IF($P395=4,INDEX('卡片raw data'!AI:AI,MATCH($D395,'卡片raw data'!$F:$F,)),0)+IF($P395=5,INDEX('卡片raw data'!AL:AL,MATCH($D395,'卡片raw data'!$F:$F,)),0)+INDEX('卡片raw data'!T:T,MATCH($D395,'卡片raw data'!$F:$F,))*(IF($F395="UR",0.04,0.033))*(IF($F395="UR",INDEX(绊状态确认!$S:$S,MATCH($G395,绊状态确认!$B:$B,))/2-40)+IF($F395="SR",INDEX(绊状态确认!$R:$R,MATCH($G395,绊状态确认!$B:$B,))/4-15))+IF($F395="R",INDEX(绊状态确认!$Q:$Q,MATCH($G395,绊状态确认!$B:$B,))/6-40/6)))*(INDEX(绊状态确认!$H:$H,MATCH($G395,绊状态确认!$B:$B,))+INDEX(绊状态确认!K:K,MATCH($G395,绊状态确认!$B:$B,)))</f>
        <v>8560.3648319999993</v>
      </c>
      <c r="AN395" s="1106">
        <f>IF($P395="","N/A",(IF($P395=-1,INDEX('卡片raw data'!U:U,MATCH($D395,'卡片raw data'!$F:$F,)),0)+IF($P395=0,INDEX('卡片raw data'!X:X,MATCH($D395,'卡片raw data'!$F:$F,)),0)+IF($P395=1,INDEX('卡片raw data'!AA:AA,MATCH($D395,'卡片raw data'!$F:$F,)),0)+IF($P395=2,INDEX('卡片raw data'!AD:AD,MATCH($D395,'卡片raw data'!$F:$F,)),0)+IF($P395=3,INDEX('卡片raw data'!AG:AG,MATCH($D395,'卡片raw data'!$F:$F,)),0)+IF($P395=4,INDEX('卡片raw data'!AJ:AJ,MATCH($D395,'卡片raw data'!$F:$F,)),0)+IF($P395=5,INDEX('卡片raw data'!AM:AM,MATCH($D395,'卡片raw data'!$F:$F,)),0)+INDEX('卡片raw data'!U:U,MATCH($D395,'卡片raw data'!$F:$F,))*(IF($F395="UR",0.04,0.033))*(IF($F395="UR",INDEX(绊状态确认!$S:$S,MATCH($G395,绊状态确认!$B:$B,))/2-40)+IF($F395="SR",INDEX(绊状态确认!$R:$R,MATCH($G395,绊状态确认!$B:$B,))/4-15))+IF($F395="R",INDEX(绊状态确认!$Q:$Q,MATCH($G395,绊状态确认!$B:$B,))/6-40/6)))*(INDEX(绊状态确认!$H:$H,MATCH($G395,绊状态确认!$B:$B,))+INDEX(绊状态确认!L:L,MATCH($G395,绊状态确认!$B:$B,)))</f>
        <v>13028.235071999998</v>
      </c>
      <c r="AO395" s="1107">
        <f t="shared" si="536"/>
        <v>1</v>
      </c>
      <c r="AP395" s="1131">
        <f>1+(INDEX(绊状态确认!$T:$T,MATCH($G395,绊状态确认!$B:$B,))+0.2)*$AO395</f>
        <v>1.3</v>
      </c>
      <c r="AQ395" s="1108">
        <f t="shared" si="537"/>
        <v>44289.489357999992</v>
      </c>
      <c r="AR395" s="1097">
        <f>(AM395*(1+$EX$9)+$EX$35)*(1+(INDEX(绊状态确认!$T:$T,MATCH($G395,绊状态确认!$B:$B,))+0.2)*AO395)*IF(J395=$FF$17,1+$FE$17,1)*IF(I395=$FF$14,1+$FE$14,1)</f>
        <v>14388.897995680001</v>
      </c>
      <c r="AS395" s="1097">
        <f>(AN395*(1+$EX$10)+$EX$36)*(1+(INDEX(绊状态确认!$T:$T,MATCH($G395,绊状态确认!$B:$B,))+0.2)*AO395)*IF(J395=$FF$17,1+$FE$17,1)*IF(I395=$FF$14,1+$FE$14,1)</f>
        <v>23533.211432639997</v>
      </c>
      <c r="AT395" s="1093">
        <f>IF(AND(INDEX('卡片raw data'!AK:AK,MATCH($D395,'卡片raw data'!$F:$F,))&lt;INDEX('卡片raw data'!AM:AM,MATCH($D395,'卡片raw data'!$F:$F,)),INDEX('卡片raw data'!AL:AL,MATCH($D395,'卡片raw data'!$F:$F,))&lt;INDEX('卡片raw data'!AM:AM,MATCH($D395,'卡片raw data'!$F:$F,))),1,0)</f>
        <v>0</v>
      </c>
      <c r="AU395" s="1098">
        <f>MIN(AT395*0.15+AS395*0.00003+INDEX(绊状态确认!M:M,MATCH($G395,绊状态确认!$B:$B,)),1)</f>
        <v>0.73599634297919991</v>
      </c>
      <c r="AV395" s="1109">
        <f>(INDEX(绊状态确认!$N:$N,MATCH($G395,绊状态确认!$B:$B,))+1.5)*$EW$21</f>
        <v>2.6599999999999997</v>
      </c>
      <c r="AW395" s="1101">
        <f t="shared" si="538"/>
        <v>51103.894022410546</v>
      </c>
      <c r="AX395" s="1097">
        <f t="shared" si="539"/>
        <v>1238.5446979705946</v>
      </c>
      <c r="AY395" s="1110">
        <f t="shared" si="540"/>
        <v>52342.438720381142</v>
      </c>
      <c r="AZ395" s="429">
        <f t="shared" si="541"/>
        <v>33086.477808799995</v>
      </c>
      <c r="BA395" s="431">
        <f t="shared" si="542"/>
        <v>39703.773370559989</v>
      </c>
      <c r="BB395" s="1097">
        <f>(AM395*(1+$FB$9)+$FB$35)*(1+(INDEX(绊状态确认!$T:$T,MATCH($G395,绊状态确认!$B:$B,))+0.2)*AO395)*IF(J395=$FF$17,1+$FE$17,1)*IF(I395=$FF$14,1+$FE$14,1)*(1+$FE$15)</f>
        <v>14388.897995680001</v>
      </c>
      <c r="BC395" s="1097">
        <f>(AN395*(1+$FB$10)+$FB$36)*(1+(INDEX(绊状态确认!$T:$T,MATCH($G395,绊状态确认!$B:$B,))+0.2)*AO395)*IF(J395=$FF$17,1+$FE$17,1)*IF(I395=$FF$14,1+$FE$14,1)*(1+$FE$15)</f>
        <v>23533.211432639997</v>
      </c>
      <c r="BD395" s="1104">
        <f>MIN(AT395*0.15+BC395*0.00003+INDEX(绊状态确认!M:M,MATCH($G395,绊状态确认!$B:$B,)),1)</f>
        <v>0.73599634297919991</v>
      </c>
      <c r="BE395" s="432">
        <f>(INDEX(绊状态确认!$N:$N,MATCH($G395,绊状态确认!$B:$B,))+1.5)</f>
        <v>1.9</v>
      </c>
      <c r="BF395" s="1139">
        <f t="array" ref="BF395">SUMPRODUCT(IF(AZ395*AP395*$FI$16:$FI$23*$FA$22&gt;=$FI$24,$FI$24,AZ395*AP395*$FI$16:$FI$23*$FA$22),$FJ$16:$FJ$23)</f>
        <v>58753.105287860002</v>
      </c>
      <c r="BG395" s="1125">
        <f t="array" ref="BG395">SUMPRODUCT(IF(BE395*AZ395*AP395*$FI$16:$FI$23*$FA$22&gt;=$FI$24,$FI$24,BE395*AZ395*AP395*$FI$16:$FI$23*$FA$22),$FJ$16:$FJ$23)</f>
        <v>60000</v>
      </c>
      <c r="BH395" s="1110">
        <f t="shared" si="543"/>
        <v>19890.271745358379</v>
      </c>
      <c r="BI395" s="1111">
        <f>IF(O395="vo",$EW$26/$EW$24*0.05,0)+IF(O395="sk",-$EW$26/$EW$24*(0.05-INDEX(绊状态确认!W:W,MATCH($G395,绊状态确认!$B:$B,)))+0.05*$EW$28,0)+IF(O395="sp",0.05*$EW$32*$EW$30*(1-$EW$33)-(0.05-INDEX(绊状态确认!V:V,MATCH($G395,绊状态确认!$B:$B,)))*$EW$28,0)+IF(O395="gd",-(0.05-INDEX(绊状态确认!X:X,MATCH($G395,绊状态确认!$B:$B,)))*$EW$32*$EW$30*(1-$EW$33),0)</f>
        <v>7726.3029277443748</v>
      </c>
      <c r="BJ395" s="1097">
        <f>IF(O395="vo",0.05*(1-$FI$26)*$FA$24,0)+IF(O395="sk",-(0.05-INDEX(绊状态确认!W:W,MATCH($G395,绊状态确认!$B:$B,)))*(1-$FI$26)*$FA$24+0.05*$FA$26,0)+IF(O395="sp",0.05*$FA$32*$FA$27*(1-$FA$33)/$FA$30+0.05*$FA$29/$FA$69*$FA$27*(1-$FA$33)-(0.05-INDEX(绊状态确认!V:V,MATCH($G395,绊状态确认!$B:$B,)))*$FA$26,0)+IF(O395="gd",-(0.05-INDEX(绊状态确认!X:X,MATCH($G395,绊状态确认!$B:$B,)))*$FA$32*$FA$27*(1-$FA$33)/$FA$30-(0.05-INDEX(绊状态确认!X:X,MATCH($G395,绊状态确认!$B:$B,)))*$FA$29/$FA$69*$FA$27*(1-$FA$33),0)</f>
        <v>393.93433687500004</v>
      </c>
      <c r="BK395" s="1110">
        <f>IF(O395="vo",$EW$26/$EW$24*0.05+$EW$26*(-HP($EW$62,$EW$65,$EW$64)+HP($EW$62,$EW$65,(1.05-INDEX(绊状态确认!U:U,MATCH($G395,绊状态确认!$B:$B,)))*$EW$64)),0)+IF(O395="sk",-$EW$26/$EW$24*(0.05-INDEX(绊状态确认!W:W,MATCH($G395,绊状态确认!$B:$B,)))+0.05*$EW$29,0)+IF(O395="sp",0.05*$EW$32*$EW$30*(1-$EW$33)-(0.05-INDEX(绊状态确认!V:V,MATCH($G395,绊状态确认!$B:$B,)))*$EW$29,0)+IF(O395="gd",-(0.05-INDEX(绊状态确认!X:X,MATCH($G395,绊状态确认!$B:$B,)))*$EW$32*$EW$30*(1-$EW$33)+$EW$26*(-HP($EW$62,$EW$65,$EW$64)+HP($EW$62,$EW$65,0.95*$EW$64)),0)</f>
        <v>6421.6344775026746</v>
      </c>
      <c r="BL395" s="1111">
        <f t="shared" si="544"/>
        <v>0</v>
      </c>
      <c r="BM395" s="1110">
        <f t="shared" si="545"/>
        <v>0</v>
      </c>
      <c r="BN395" s="1113">
        <f t="shared" si="546"/>
        <v>4</v>
      </c>
      <c r="BO395" s="1108">
        <f t="shared" si="547"/>
        <v>6010.2953161679998</v>
      </c>
      <c r="BP395" s="1100">
        <f t="shared" si="548"/>
        <v>295.12137612040135</v>
      </c>
      <c r="BQ395" s="1113" t="s">
        <v>132</v>
      </c>
      <c r="BR395" s="1124" t="s">
        <v>171</v>
      </c>
      <c r="BS395" s="1098">
        <f>IF($P395="","N/A",IF($P395=-1,INDEX('卡片raw data'!AX:AX,MATCH($D395,'卡片raw data'!$F:$F,)),0)+IF($L395="party卡",IF($P395=5,INDEX('卡片raw data'!BD:BD,MATCH($D395,'卡片raw data'!$F:$F,)),IF($P395&gt;=3,INDEX('卡片raw data'!BC:BC,MATCH($D395,'卡片raw data'!$F:$F,)),INDEX('卡片raw data'!BB:BB,MATCH($D395,'卡片raw data'!$F:$F,)))),IF(OR(AND($F395="UR",$P395=0),AND($F395="SR",$P395&gt;=0,$P395&lt;=2),AND($F395="R",$P395&gt;=0,$P395&lt;4)),INDEX('卡片raw data'!AZ:AZ,MATCH($D395,'卡片raw data'!$F:$F,)),0)+IF(OR(AND($F395="UR",$P395&gt;=1,$P395&lt;=4),AND($F395="SR",$P395&lt;=4,$P395&gt;=3),AND($F395="R",$P395=4)),INDEX('卡片raw data'!BA:BA,MATCH($D395,'卡片raw data'!$F:$F,)),0)+IF($P395=5,INDEX('卡片raw data'!BB:BB,MATCH($D395,'卡片raw data'!$F:$F,)),0)))</f>
        <v>5.1999999999999998E-2</v>
      </c>
      <c r="BT395" s="1101">
        <f t="shared" si="549"/>
        <v>2604.4613036728001</v>
      </c>
      <c r="BU395" s="1097">
        <f t="shared" si="550"/>
        <v>111.90018844565216</v>
      </c>
      <c r="BV395" s="1097">
        <f t="shared" si="551"/>
        <v>1302.2306518363998</v>
      </c>
      <c r="BW395" s="1112">
        <f t="shared" si="552"/>
        <v>0</v>
      </c>
      <c r="BX395" s="1100">
        <f t="shared" si="553"/>
        <v>2604.4613036728001</v>
      </c>
      <c r="BY395" s="1110">
        <f t="shared" si="554"/>
        <v>1302.2306518363998</v>
      </c>
      <c r="BZ395" s="1113" t="s">
        <v>569</v>
      </c>
      <c r="CA395" s="1124"/>
      <c r="CB395" s="1098">
        <f>IF($P395="","N/A",IF($P395=-1,INDEX('卡片raw data'!BE:BE,MATCH($D395,'卡片raw data'!$F:$F,)),0)+IF($L395="party卡",IF($P395=5,INDEX('卡片raw data'!BK:BK,MATCH($D395,'卡片raw data'!$F:$F,)),IF($P395&gt;=3,INDEX('卡片raw data'!BJ:BJ,MATCH($D395,'卡片raw data'!$F:$F,)),INDEX('卡片raw data'!BI:BI,MATCH($D395,'卡片raw data'!$F:$F,)))),IF(OR(AND($F395="UR",$P395=0),AND($F395="SR",$P395&gt;=0,$P395&lt;=2),AND($F395="R",$P395&gt;=0,$P395&lt;4)),INDEX('卡片raw data'!BG:BG,MATCH($D395,'卡片raw data'!$F:$F,)),0)+IF(OR(AND($F395="UR",$P395&gt;=1,$P395&lt;=4),AND($F395="SR",$P395&lt;=4,$P395&gt;=3),AND($F395="R",$P395=4)),INDEX('卡片raw data'!BH:BH,MATCH($D395,'卡片raw data'!$F:$F,)),0)+IF($P395=5,INDEX('卡片raw data'!BI:BI,MATCH($D395,'卡片raw data'!$F:$F,)),0)))</f>
        <v>0</v>
      </c>
      <c r="CC395" s="1101">
        <f t="shared" si="555"/>
        <v>0</v>
      </c>
      <c r="CD395" s="1097">
        <f>IF(BZ395="ap",CB395*(1-$FI$26)*$FB$5/$FB$11*(+IF(CA395="全员",$FA$24,0)+IF(CA395="同作战",$FA$24,0)+IF(CA395="仲间",$FA$24*2/3,0)+IF(CA395="同属性",$FA$24*$FA$37/3,0)+IF(CA395="同年级",$FA$24*$FA$40/3,0)+IF(CA395="同学校",$FA$24*$FA$43/3,0)+IF(CA395="同小队",$FA$24*$FA$46/3,0)+IF(CA395="同type",$FA$24*INDEX($FB$49:$FB$52,MATCH(X395,$FA$49:$FA$52,))/3,0)+IF(CA395="自身",#REF!/3,0)),0)+IF(BZ395="te",CB395*(1-$FI$27)*($FA$20-1)*$FB$7/$FB$13*(+IF(CA395="全员",$FA$19*$FA$24/(1+($FA$20-1)*$FA$19),0)+IF(CA395="同作战",$FA$19*$FA$24/(1+($FA$20-1)*$FA$19),0)+IF(CA395="仲间",$FA$19*$FA$24*2/3/(1+($FA$20-1)*$FA$19),0)+IF(CA395="同属性",$FA$19*$FA$24*$FA$37/3/(1+($FA$20-1)*$FA$19),0)+IF(CA395="同年级",$FA$19*$FA$24*$FA$40/3/(1+($FA$20-1)*$FA$19),0)+IF(CA395="同学校",$FA$19*$FA$24*$FA$43/3/(1+($FA$20-1)*$FA$19),0)+IF(CA395="同小队",$FA$19*$FA$24*$FA$46/3/(1+($FA$20-1)*$FA$19),0)+IF(CA395="同type",$FA$19*$FA$24*INDEX($FB$49:$FB$52,MATCH(X395,$FA$49:$FA$52,))/3/(1+($FA$20-1)*$FA$19),0)+IF(CA395="自身",$FA$19*#REF!/3/(1+(BH395-1)*$BD395),0)),0)</f>
        <v>0</v>
      </c>
      <c r="CE395" s="1097">
        <f t="shared" si="556"/>
        <v>0</v>
      </c>
      <c r="CF395" s="1112">
        <f t="shared" si="557"/>
        <v>0</v>
      </c>
      <c r="CG395" s="1100">
        <f t="shared" si="558"/>
        <v>0</v>
      </c>
      <c r="CH395" s="1110">
        <f t="shared" si="559"/>
        <v>0</v>
      </c>
      <c r="CI395" s="1113" t="s">
        <v>2045</v>
      </c>
      <c r="CJ395" s="1114">
        <v>1</v>
      </c>
      <c r="CK395" s="1115" t="s">
        <v>2046</v>
      </c>
      <c r="CL395" s="1115" t="s">
        <v>2047</v>
      </c>
      <c r="CM395" s="1119">
        <v>0.03</v>
      </c>
      <c r="CN395" s="1115"/>
      <c r="CO395" s="1115"/>
      <c r="CP395" s="1116">
        <f t="shared" si="560"/>
        <v>6.1688931605785697</v>
      </c>
      <c r="CQ395" s="1116">
        <f t="shared" si="561"/>
        <v>8.6024842302879971</v>
      </c>
      <c r="CR395" s="1117">
        <f t="shared" si="562"/>
        <v>6.1688931605785697</v>
      </c>
      <c r="CS395" s="1118">
        <f t="shared" si="563"/>
        <v>0</v>
      </c>
      <c r="CT395" s="1109">
        <f t="shared" si="564"/>
        <v>0</v>
      </c>
      <c r="CU395" s="1101">
        <f t="shared" si="565"/>
        <v>6.7857824766364274</v>
      </c>
      <c r="CV395" s="1108">
        <f t="shared" si="566"/>
        <v>8.6024842302879971</v>
      </c>
      <c r="CW395" s="1097">
        <f t="shared" si="567"/>
        <v>6.7857824766364274</v>
      </c>
      <c r="CX395" s="1097">
        <f t="shared" si="568"/>
        <v>6.7857824766364274</v>
      </c>
      <c r="CY395" s="1110">
        <f t="shared" si="569"/>
        <v>6.7857824766364274</v>
      </c>
      <c r="CZ395" s="437"/>
      <c r="DA395" s="438"/>
      <c r="DB395" s="439" t="s">
        <v>569</v>
      </c>
      <c r="DC395" s="439"/>
      <c r="DD395" s="443"/>
      <c r="DE395" s="411"/>
      <c r="DF395" s="411"/>
      <c r="DG395" s="1116">
        <f t="shared" si="570"/>
        <v>0</v>
      </c>
      <c r="DH395" s="1116">
        <f t="shared" si="571"/>
        <v>0</v>
      </c>
      <c r="DI395" s="1116">
        <f t="shared" si="572"/>
        <v>0</v>
      </c>
      <c r="DJ395" s="442">
        <f t="shared" si="573"/>
        <v>0</v>
      </c>
      <c r="DK395" s="1109">
        <f t="shared" si="574"/>
        <v>0</v>
      </c>
      <c r="DL395" s="1101">
        <f t="shared" si="575"/>
        <v>0</v>
      </c>
      <c r="DM395" s="1097">
        <f t="shared" si="576"/>
        <v>0</v>
      </c>
      <c r="DN395" s="1097">
        <f t="shared" si="577"/>
        <v>0</v>
      </c>
      <c r="DO395" s="1097">
        <f t="shared" si="578"/>
        <v>0</v>
      </c>
      <c r="DP395" s="1110">
        <f t="shared" si="579"/>
        <v>0</v>
      </c>
      <c r="DQ395" s="1113" t="s">
        <v>221</v>
      </c>
      <c r="DR395" s="1120">
        <f t="shared" si="580"/>
        <v>0.33</v>
      </c>
      <c r="DS395" s="1124">
        <v>5</v>
      </c>
      <c r="DT395" s="1124" t="s">
        <v>171</v>
      </c>
      <c r="DU395" s="1093" t="s">
        <v>544</v>
      </c>
      <c r="DV395" s="1098">
        <f>IF($P395="","N/A",IF(P395=-1,INDEX('卡片raw data'!AN:AN,MATCH(D395,'卡片raw data'!$F:$F,)),0)+IF(AND(L395&lt;&gt;"party卡",P395&lt;=2,P395&gt;=0),INDEX('卡片raw data'!AP:AP,MATCH(D395,'卡片raw data'!$F:$F,)),0)+IF(OR(AND(L395="party卡",P395&lt;=1),AND(P395&lt;=4,L395&lt;&gt;"party卡",P395&gt;=3)),INDEX('卡片raw data'!AQ:AQ,MATCH(D395,'卡片raw data'!$F:$F,)),0)+IF(OR(P395=5,AND(L395="party卡",P395&gt;=2)),INDEX('卡片raw data'!AR:AR,MATCH(D395,'卡片raw data'!$F:$F,)),0))</f>
        <v>8.2000000000000003E-2</v>
      </c>
      <c r="DW395" s="1098">
        <f t="shared" si="581"/>
        <v>0.33</v>
      </c>
      <c r="DX395" s="1098">
        <f t="shared" si="582"/>
        <v>0.33</v>
      </c>
      <c r="DY395" s="1098">
        <f t="shared" si="583"/>
        <v>3.0066666666666669E-2</v>
      </c>
      <c r="DZ395" s="1098">
        <f t="shared" si="584"/>
        <v>2.2756708333333334E-2</v>
      </c>
      <c r="EA395" s="1098">
        <f t="shared" si="585"/>
        <v>0</v>
      </c>
      <c r="EB395" s="1121">
        <f t="shared" si="586"/>
        <v>0</v>
      </c>
      <c r="EC395" s="1101">
        <f t="shared" si="587"/>
        <v>5110.6918432719795</v>
      </c>
      <c r="ED395" s="1097">
        <f t="shared" si="588"/>
        <v>179.29297613498906</v>
      </c>
      <c r="EE395" s="1110">
        <f t="shared" si="513"/>
        <v>5110.6918432719795</v>
      </c>
      <c r="EF395" s="1115" t="s">
        <v>569</v>
      </c>
      <c r="EG395" s="1120">
        <f t="shared" si="589"/>
        <v>0.33</v>
      </c>
      <c r="EH395" s="1124"/>
      <c r="EI395" s="1093"/>
      <c r="EJ395" s="1093"/>
      <c r="EK395" s="1097">
        <f>IF($P395="","N/A",IF(P395=-1,INDEX('卡片raw data'!AS:AS,MATCH(D395,'卡片raw data'!$F:$F,)),0)+IF(AND(L395&lt;&gt;"party卡",P395&lt;=2,P395&gt;=0),INDEX('卡片raw data'!AU:AU,MATCH(D395,'卡片raw data'!$F:$F,)),0)+IF(OR(AND(L395="party卡",P395&lt;=1),AND(P395&lt;=4,L395&lt;&gt;"party卡",P395&gt;=3)),INDEX('卡片raw data'!AV:AV,MATCH(D395,'卡片raw data'!$F:$F,)),0)+IF(OR(P395=5,AND(L395="party卡",P395&gt;=2)),INDEX('卡片raw data'!AW:AW,MATCH(D395,'卡片raw data'!$F:$F,)),0))</f>
        <v>0</v>
      </c>
      <c r="EL395" s="1098">
        <f t="shared" si="590"/>
        <v>0.33</v>
      </c>
      <c r="EM395" s="1098">
        <f t="shared" si="591"/>
        <v>0.33</v>
      </c>
      <c r="EN395" s="1097">
        <f t="shared" si="592"/>
        <v>0</v>
      </c>
      <c r="EO395" s="1097">
        <f t="shared" si="593"/>
        <v>0</v>
      </c>
      <c r="EP395" s="1098">
        <f t="shared" si="594"/>
        <v>0</v>
      </c>
      <c r="EQ395" s="1121">
        <f t="shared" si="595"/>
        <v>0</v>
      </c>
      <c r="ER395" s="1101">
        <f t="shared" si="596"/>
        <v>0</v>
      </c>
      <c r="ES395" s="1097">
        <f t="shared" si="597"/>
        <v>0</v>
      </c>
      <c r="ET395" s="1122">
        <f t="shared" si="514"/>
        <v>0</v>
      </c>
    </row>
    <row r="396" spans="2:150" ht="16.5" customHeight="1">
      <c r="B396" s="1123" t="str">
        <f>INDEX('卡片raw data'!B:B,MATCH($D396,'卡片raw data'!$F:$F,))</f>
        <v>fes2曜</v>
      </c>
      <c r="C396" s="449" t="s">
        <v>2051</v>
      </c>
      <c r="D396" s="408">
        <v>393</v>
      </c>
      <c r="E396" s="477">
        <v>201053002</v>
      </c>
      <c r="F396" s="1090" t="str">
        <f>INDEX('卡片raw data'!C:C,MATCH($D396,'卡片raw data'!$F:$F,))</f>
        <v>UR</v>
      </c>
      <c r="G396" s="1094" t="s">
        <v>2052</v>
      </c>
      <c r="H396" s="411">
        <f>IFERROR(INDEX(绊状态确认!C:C,MATCH($G396,绊状态确认!$B:$B,)),"")</f>
        <v>105</v>
      </c>
      <c r="I396" s="450" t="str">
        <f>IFERROR(INDEX(绊状态确认!D:D,MATCH($G396,绊状态确认!$B:$B,)),"")</f>
        <v>水</v>
      </c>
      <c r="J396" s="450" t="str">
        <f>IFERROR(INDEX(绊状态确认!E:E,MATCH($G396,绊状态确认!$B:$B,)),"")</f>
        <v>2年级</v>
      </c>
      <c r="K396" s="451" t="str">
        <f>IFERROR(INDEX(绊状态确认!F:F,MATCH($G396,绊状态确认!$B:$B,)),"")</f>
        <v>CYaRon!</v>
      </c>
      <c r="L396" s="1094" t="str">
        <f>INDEX('卡片raw data'!E:E,MATCH($D396,'卡片raw data'!$F:$F,))</f>
        <v>fes卡</v>
      </c>
      <c r="M396" s="478">
        <v>44226</v>
      </c>
      <c r="N396" s="479">
        <v>32.5</v>
      </c>
      <c r="O396" s="1091" t="str">
        <f>INDEX('卡片raw data'!D:D,MATCH($D396,'卡片raw data'!$F:$F,))</f>
        <v>sk</v>
      </c>
      <c r="P396" s="1126">
        <v>5</v>
      </c>
      <c r="Q396" s="1095">
        <f t="shared" si="515"/>
        <v>57843.678814759049</v>
      </c>
      <c r="R396" s="1096">
        <f t="shared" si="516"/>
        <v>0.67200000000000004</v>
      </c>
      <c r="S396" s="1097">
        <f t="shared" si="517"/>
        <v>20668.02723589696</v>
      </c>
      <c r="T396" s="1098">
        <f t="shared" si="518"/>
        <v>1.0329999999999999</v>
      </c>
      <c r="U396" s="1099">
        <f t="shared" si="519"/>
        <v>1232.9705202471428</v>
      </c>
      <c r="V396" s="1100">
        <f t="shared" si="520"/>
        <v>109653.12240328707</v>
      </c>
      <c r="W396" s="1101">
        <f t="shared" si="521"/>
        <v>6010.2953161679998</v>
      </c>
      <c r="X396" s="1096">
        <f t="shared" si="522"/>
        <v>6.9000000000000006E-2</v>
      </c>
      <c r="Y396" s="1097">
        <f t="shared" si="523"/>
        <v>1374.4124989042584</v>
      </c>
      <c r="Z396" s="1102">
        <f t="shared" si="524"/>
        <v>17.050208240742855</v>
      </c>
      <c r="AA396" s="1103">
        <f t="shared" si="525"/>
        <v>7384.7078150722582</v>
      </c>
      <c r="AB396" s="1101">
        <f t="shared" si="526"/>
        <v>14668.877006022525</v>
      </c>
      <c r="AC396" s="1104">
        <f t="shared" si="527"/>
        <v>0.17</v>
      </c>
      <c r="AD396" s="1105">
        <f t="shared" si="528"/>
        <v>2.1769318181818181E-2</v>
      </c>
      <c r="AE396" s="1128">
        <f t="shared" si="529"/>
        <v>11.953757704745847</v>
      </c>
      <c r="AF396" s="1130">
        <f t="shared" si="530"/>
        <v>14738.428024319996</v>
      </c>
      <c r="AG396" s="420">
        <f t="shared" si="531"/>
        <v>100518.94730864001</v>
      </c>
      <c r="AH396" s="420">
        <f t="shared" si="532"/>
        <v>6.8201946057458036</v>
      </c>
      <c r="AI396" s="1097">
        <f t="shared" si="533"/>
        <v>120925.92681135678</v>
      </c>
      <c r="AJ396" s="420">
        <f t="shared" si="534"/>
        <v>109653.12240328707</v>
      </c>
      <c r="AK396" s="518">
        <f t="shared" si="535"/>
        <v>11272.804408069715</v>
      </c>
      <c r="AL396" s="1106">
        <f>IF($P396="","N/A",(IF($P396=-1,INDEX('卡片raw data'!S:S,MATCH($D396,'卡片raw data'!$F:$F,)),0)+IF($P396=0,INDEX('卡片raw data'!V:V,MATCH($D396,'卡片raw data'!$F:$F,)),0)+IF($P396=1,INDEX('卡片raw data'!Y:Y,MATCH($D396,'卡片raw data'!$F:$F,)),0)+IF($P396=2,INDEX('卡片raw data'!AB:AB,MATCH($D396,'卡片raw data'!$F:$F,)),0)+IF($P396=3,INDEX('卡片raw data'!AE:AE,MATCH($D396,'卡片raw data'!$F:$F,)),0)+IF($P396=4,INDEX('卡片raw data'!AH:AH,MATCH($D396,'卡片raw data'!$F:$F,)),0)+IF($P396=5,INDEX('卡片raw data'!AK:AK,MATCH($D396,'卡片raw data'!$F:$F,)),0)+INDEX('卡片raw data'!S:S,MATCH($D396,'卡片raw data'!$F:$F,))*(IF($F396="UR",0.04,0.033))*(IF($F396="UR",INDEX(绊状态确认!$S:$S,MATCH($G396,绊状态确认!$B:$B,))/2-40)+IF($F396="SR",INDEX(绊状态确认!$R:$R,MATCH($G396,绊状态确认!$B:$B,))/4-15))+IF($F396="R",INDEX(绊状态确认!$Q:$Q,MATCH($G396,绊状态确认!$B:$B,))/6-40/6)))*(INDEX(绊状态确认!$H:$H,MATCH($G396,绊状态确认!$B:$B,))+INDEX(绊状态确认!J:J,MATCH($G396,绊状态确认!$B:$B,)))</f>
        <v>12656.268623999998</v>
      </c>
      <c r="AM396" s="1106">
        <f>IF($P396="","N/A",(IF($P396=-1,INDEX('卡片raw data'!T:T,MATCH($D396,'卡片raw data'!$F:$F,)),0)+IF($P396=0,INDEX('卡片raw data'!W:W,MATCH($D396,'卡片raw data'!$F:$F,)),0)+IF($P396=1,INDEX('卡片raw data'!Z:Z,MATCH($D396,'卡片raw data'!$F:$F,)),0)+IF($P396=2,INDEX('卡片raw data'!AC:AC,MATCH($D396,'卡片raw data'!$F:$F,)),0)+IF($P396=3,INDEX('卡片raw data'!AF:AF,MATCH($D396,'卡片raw data'!$F:$F,)),0)+IF($P396=4,INDEX('卡片raw data'!AI:AI,MATCH($D396,'卡片raw data'!$F:$F,)),0)+IF($P396=5,INDEX('卡片raw data'!AL:AL,MATCH($D396,'卡片raw data'!$F:$F,)),0)+INDEX('卡片raw data'!T:T,MATCH($D396,'卡片raw data'!$F:$F,))*(IF($F396="UR",0.04,0.033))*(IF($F396="UR",INDEX(绊状态确认!$S:$S,MATCH($G396,绊状态确认!$B:$B,))/2-40)+IF($F396="SR",INDEX(绊状态确认!$R:$R,MATCH($G396,绊状态确认!$B:$B,))/4-15))+IF($F396="R",INDEX(绊状态确认!$Q:$Q,MATCH($G396,绊状态确认!$B:$B,))/6-40/6)))*(INDEX(绊状态确认!$H:$H,MATCH($G396,绊状态确认!$B:$B,))+INDEX(绊状态确认!K:K,MATCH($G396,绊状态确认!$B:$B,)))</f>
        <v>9677.3096639999985</v>
      </c>
      <c r="AN396" s="1106">
        <f>IF($P396="","N/A",(IF($P396=-1,INDEX('卡片raw data'!U:U,MATCH($D396,'卡片raw data'!$F:$F,)),0)+IF($P396=0,INDEX('卡片raw data'!X:X,MATCH($D396,'卡片raw data'!$F:$F,)),0)+IF($P396=1,INDEX('卡片raw data'!AA:AA,MATCH($D396,'卡片raw data'!$F:$F,)),0)+IF($P396=2,INDEX('卡片raw data'!AD:AD,MATCH($D396,'卡片raw data'!$F:$F,)),0)+IF($P396=3,INDEX('卡片raw data'!AG:AG,MATCH($D396,'卡片raw data'!$F:$F,)),0)+IF($P396=4,INDEX('卡片raw data'!AJ:AJ,MATCH($D396,'卡片raw data'!$F:$F,)),0)+IF($P396=5,INDEX('卡片raw data'!AM:AM,MATCH($D396,'卡片raw data'!$F:$F,)),0)+INDEX('卡片raw data'!U:U,MATCH($D396,'卡片raw data'!$F:$F,))*(IF($F396="UR",0.04,0.033))*(IF($F396="UR",INDEX(绊状态确认!$S:$S,MATCH($G396,绊状态确认!$B:$B,))/2-40)+IF($F396="SR",INDEX(绊状态确认!$R:$R,MATCH($G396,绊状态确认!$B:$B,))/4-15))+IF($F396="R",INDEX(绊状态确认!$Q:$Q,MATCH($G396,绊状态确认!$B:$B,))/6-40/6)))*(INDEX(绊状态确认!$H:$H,MATCH($G396,绊状态确认!$B:$B,))+INDEX(绊状态确认!L:L,MATCH($G396,绊状态确认!$B:$B,)))</f>
        <v>14891.385599999998</v>
      </c>
      <c r="AO396" s="1107">
        <f t="shared" si="536"/>
        <v>1</v>
      </c>
      <c r="AP396" s="1131">
        <f>1+(INDEX(绊状态确认!$T:$T,MATCH($G396,绊状态确认!$B:$B,))+0.2)*$AO396</f>
        <v>1.3</v>
      </c>
      <c r="AQ396" s="1108">
        <f t="shared" si="537"/>
        <v>36472.705137999998</v>
      </c>
      <c r="AR396" s="1097">
        <f>(AM396*(1+$EX$9)+$EX$35)*(1+(INDEX(绊状态确认!$T:$T,MATCH($G396,绊状态确认!$B:$B,))+0.2)*AO396)*IF(J396=$FF$17,1+$FE$17,1)*IF(I396=$FF$14,1+$FE$14,1)</f>
        <v>15913.527691359999</v>
      </c>
      <c r="AS396" s="1097">
        <f>(AN396*(1+$EX$10)+$EX$36)*(1+(INDEX(绊状态确认!$T:$T,MATCH($G396,绊状态确认!$B:$B,))+0.2)*AO396)*IF(J396=$FF$17,1+$FE$17,1)*IF(I396=$FF$14,1+$FE$14,1)</f>
        <v>26318.621471999995</v>
      </c>
      <c r="AT396" s="1093">
        <f>IF(AND(INDEX('卡片raw data'!AK:AK,MATCH($D396,'卡片raw data'!$F:$F,))&lt;INDEX('卡片raw data'!AM:AM,MATCH($D396,'卡片raw data'!$F:$F,)),INDEX('卡片raw data'!AL:AL,MATCH($D396,'卡片raw data'!$F:$F,))&lt;INDEX('卡片raw data'!AM:AM,MATCH($D396,'卡片raw data'!$F:$F,))),1,0)</f>
        <v>1</v>
      </c>
      <c r="AU396" s="1098">
        <f>MIN(AT396*0.15+AS396*0.00003+INDEX(绊状态确认!M:M,MATCH($G396,绊状态确认!$B:$B,)),1)</f>
        <v>0.96955864415999993</v>
      </c>
      <c r="AV396" s="1109">
        <f>(INDEX(绊状态确认!$N:$N,MATCH($G396,绊状态确认!$B:$B,))+1.5)*$EW$21</f>
        <v>2.6599999999999997</v>
      </c>
      <c r="AW396" s="1101">
        <f t="shared" si="538"/>
        <v>49428.474443706466</v>
      </c>
      <c r="AX396" s="1097">
        <f t="shared" si="539"/>
        <v>1374.4124989042584</v>
      </c>
      <c r="AY396" s="1110">
        <f t="shared" si="540"/>
        <v>50802.886942610727</v>
      </c>
      <c r="AZ396" s="429">
        <f t="shared" si="541"/>
        <v>27279.723816799997</v>
      </c>
      <c r="BA396" s="431">
        <f t="shared" si="542"/>
        <v>32735.668580159996</v>
      </c>
      <c r="BB396" s="1097">
        <f>(AM396*(1+$FB$9)+$FB$35)*(1+(INDEX(绊状态确认!$T:$T,MATCH($G396,绊状态确认!$B:$B,))+0.2)*AO396)*IF(J396=$FF$17,1+$FE$17,1)*IF(I396=$FF$14,1+$FE$14,1)*(1+$FE$15)</f>
        <v>15913.527691359999</v>
      </c>
      <c r="BC396" s="1097">
        <f>(AN396*(1+$FB$10)+$FB$36)*(1+(INDEX(绊状态确认!$T:$T,MATCH($G396,绊状态确认!$B:$B,))+0.2)*AO396)*IF(J396=$FF$17,1+$FE$17,1)*IF(I396=$FF$14,1+$FE$14,1)*(1+$FE$15)</f>
        <v>26318.621471999995</v>
      </c>
      <c r="BD396" s="1104">
        <f>MIN(AT396*0.15+BC396*0.00003+INDEX(绊状态确认!M:M,MATCH($G396,绊状态确认!$B:$B,)),1)</f>
        <v>0.96955864415999993</v>
      </c>
      <c r="BE396" s="432">
        <f>(INDEX(绊状态确认!$N:$N,MATCH($G396,绊状态确认!$B:$B,))+1.5)</f>
        <v>1.9</v>
      </c>
      <c r="BF396" s="1139">
        <f t="array" ref="BF396">SUMPRODUCT(IF(AZ396*AP396*$FI$16:$FI$23*$FA$22&gt;=$FI$24,$FI$24,AZ396*AP396*$FI$16:$FI$23*$FA$22),$FJ$16:$FJ$23)</f>
        <v>53109.004552221602</v>
      </c>
      <c r="BG396" s="1125">
        <f t="array" ref="BG396">SUMPRODUCT(IF(BE396*AZ396*AP396*$FI$16:$FI$23*$FA$22&gt;=$FI$24,$FI$24,BE396*AZ396*AP396*$FI$16:$FI$23*$FA$22),$FJ$16:$FJ$23)</f>
        <v>60000</v>
      </c>
      <c r="BH396" s="1110">
        <f t="shared" si="543"/>
        <v>19930.076251827453</v>
      </c>
      <c r="BI396" s="1111">
        <f>IF(O396="vo",$EW$26/$EW$24*0.05,0)+IF(O396="sk",-$EW$26/$EW$24*(0.05-INDEX(绊状态确认!W:W,MATCH($G396,绊状态确认!$B:$B,)))+0.05*$EW$28,0)+IF(O396="sp",0.05*$EW$32*$EW$30*(1-$EW$33)-(0.05-INDEX(绊状态确认!V:V,MATCH($G396,绊状态确认!$B:$B,)))*$EW$28,0)+IF(O396="gd",-(0.05-INDEX(绊状态确认!X:X,MATCH($G396,绊状态确认!$B:$B,)))*$EW$32*$EW$30*(1-$EW$33),0)</f>
        <v>-6253.6726349699375</v>
      </c>
      <c r="BJ396" s="1097">
        <f>IF(O396="vo",0.05*(1-$FI$26)*$FA$24,0)+IF(O396="sk",-(0.05-INDEX(绊状态确认!W:W,MATCH($G396,绊状态确认!$B:$B,)))*(1-$FI$26)*$FA$24+0.05*$FA$26,0)+IF(O396="sp",0.05*$FA$32*$FA$27*(1-$FA$33)/$FA$30+0.05*$FA$29/$FA$69*$FA$27*(1-$FA$33)-(0.05-INDEX(绊状态确认!V:V,MATCH($G396,绊状态确认!$B:$B,)))*$FA$26,0)+IF(O396="gd",-(0.05-INDEX(绊状态确认!X:X,MATCH($G396,绊状态确认!$B:$B,)))*$FA$32*$FA$27*(1-$FA$33)/$FA$30-(0.05-INDEX(绊状态确认!X:X,MATCH($G396,绊状态确认!$B:$B,)))*$FA$29/$FA$69*$FA$27*(1-$FA$33),0)</f>
        <v>20.459096812499922</v>
      </c>
      <c r="BK396" s="1110">
        <f>IF(O396="vo",$EW$26/$EW$24*0.05+$EW$26*(-HP($EW$62,$EW$65,$EW$64)+HP($EW$62,$EW$65,(1.05-INDEX(绊状态确认!U:U,MATCH($G396,绊状态确认!$B:$B,)))*$EW$64)),0)+IF(O396="sk",-$EW$26/$EW$24*(0.05-INDEX(绊状态确认!W:W,MATCH($G396,绊状态确认!$B:$B,)))+0.05*$EW$29,0)+IF(O396="sp",0.05*$EW$32*$EW$30*(1-$EW$33)-(0.05-INDEX(绊状态确认!V:V,MATCH($G396,绊状态确认!$B:$B,)))*$EW$29,0)+IF(O396="gd",-(0.05-INDEX(绊状态确认!X:X,MATCH($G396,绊状态确认!$B:$B,)))*$EW$32*$EW$30*(1-$EW$33)+$EW$26*(-HP($EW$62,$EW$65,$EW$64)+HP($EW$62,$EW$65,0.95*$EW$64)),0)</f>
        <v>-4253.6726349699375</v>
      </c>
      <c r="BL396" s="1111">
        <f t="shared" si="544"/>
        <v>0</v>
      </c>
      <c r="BM396" s="1110">
        <f t="shared" si="545"/>
        <v>0</v>
      </c>
      <c r="BN396" s="1113">
        <f t="shared" si="546"/>
        <v>4</v>
      </c>
      <c r="BO396" s="1108">
        <f t="shared" si="547"/>
        <v>6010.2953161679998</v>
      </c>
      <c r="BP396" s="1100">
        <f t="shared" si="548"/>
        <v>295.12137612040135</v>
      </c>
      <c r="BQ396" s="1113" t="s">
        <v>132</v>
      </c>
      <c r="BR396" s="1124" t="s">
        <v>168</v>
      </c>
      <c r="BS396" s="1098">
        <f>IF($P396="","N/A",IF($P396=-1,INDEX('卡片raw data'!AX:AX,MATCH($D396,'卡片raw data'!$F:$F,)),0)+IF($L396="party卡",IF($P396=5,INDEX('卡片raw data'!BD:BD,MATCH($D396,'卡片raw data'!$F:$F,)),IF($P396&gt;=3,INDEX('卡片raw data'!BC:BC,MATCH($D396,'卡片raw data'!$F:$F,)),INDEX('卡片raw data'!BB:BB,MATCH($D396,'卡片raw data'!$F:$F,)))),IF(OR(AND($F396="UR",$P396=0),AND($F396="SR",$P396&gt;=0,$P396&lt;=2),AND($F396="R",$P396&gt;=0,$P396&lt;4)),INDEX('卡片raw data'!AZ:AZ,MATCH($D396,'卡片raw data'!$F:$F,)),0)+IF(OR(AND($F396="UR",$P396&gt;=1,$P396&lt;=4),AND($F396="SR",$P396&lt;=4,$P396&gt;=3),AND($F396="R",$P396=4)),INDEX('卡片raw data'!BA:BA,MATCH($D396,'卡片raw data'!$F:$F,)),0)+IF($P396=5,INDEX('卡片raw data'!BB:BB,MATCH($D396,'卡片raw data'!$F:$F,)),0)))</f>
        <v>7.0000000000000007E-2</v>
      </c>
      <c r="BT396" s="1101">
        <f t="shared" si="549"/>
        <v>5259.008401647</v>
      </c>
      <c r="BU396" s="1097">
        <f t="shared" si="550"/>
        <v>258.2312041053512</v>
      </c>
      <c r="BV396" s="1097">
        <f t="shared" si="551"/>
        <v>0</v>
      </c>
      <c r="BW396" s="1112">
        <f t="shared" si="552"/>
        <v>0</v>
      </c>
      <c r="BX396" s="1100">
        <f t="shared" si="553"/>
        <v>5259.008401647</v>
      </c>
      <c r="BY396" s="1110">
        <f t="shared" si="554"/>
        <v>0</v>
      </c>
      <c r="BZ396" s="1113" t="s">
        <v>569</v>
      </c>
      <c r="CA396" s="1124"/>
      <c r="CB396" s="1098">
        <f>IF($P396="","N/A",IF($P396=-1,INDEX('卡片raw data'!BE:BE,MATCH($D396,'卡片raw data'!$F:$F,)),0)+IF($L396="party卡",IF($P396=5,INDEX('卡片raw data'!BK:BK,MATCH($D396,'卡片raw data'!$F:$F,)),IF($P396&gt;=3,INDEX('卡片raw data'!BJ:BJ,MATCH($D396,'卡片raw data'!$F:$F,)),INDEX('卡片raw data'!BI:BI,MATCH($D396,'卡片raw data'!$F:$F,)))),IF(OR(AND($F396="UR",$P396=0),AND($F396="SR",$P396&gt;=0,$P396&lt;=2),AND($F396="R",$P396&gt;=0,$P396&lt;4)),INDEX('卡片raw data'!BG:BG,MATCH($D396,'卡片raw data'!$F:$F,)),0)+IF(OR(AND($F396="UR",$P396&gt;=1,$P396&lt;=4),AND($F396="SR",$P396&lt;=4,$P396&gt;=3),AND($F396="R",$P396=4)),INDEX('卡片raw data'!BH:BH,MATCH($D396,'卡片raw data'!$F:$F,)),0)+IF($P396=5,INDEX('卡片raw data'!BI:BI,MATCH($D396,'卡片raw data'!$F:$F,)),0)))</f>
        <v>0</v>
      </c>
      <c r="CC396" s="1101">
        <f t="shared" si="555"/>
        <v>0</v>
      </c>
      <c r="CD396" s="1097">
        <f>IF(BZ396="ap",CB396*(1-$FI$26)*$FB$5/$FB$11*(+IF(CA396="全员",$FA$24,0)+IF(CA396="同作战",$FA$24,0)+IF(CA396="仲间",$FA$24*2/3,0)+IF(CA396="同属性",$FA$24*$FA$37/3,0)+IF(CA396="同年级",$FA$24*$FA$40/3,0)+IF(CA396="同学校",$FA$24*$FA$43/3,0)+IF(CA396="同小队",$FA$24*$FA$46/3,0)+IF(CA396="同type",$FA$24*INDEX($FB$49:$FB$52,MATCH(X396,$FA$49:$FA$52,))/3,0)+IF(CA396="自身",#REF!/3,0)),0)+IF(BZ396="te",CB396*(1-$FI$27)*($FA$20-1)*$FB$7/$FB$13*(+IF(CA396="全员",$FA$19*$FA$24/(1+($FA$20-1)*$FA$19),0)+IF(CA396="同作战",$FA$19*$FA$24/(1+($FA$20-1)*$FA$19),0)+IF(CA396="仲间",$FA$19*$FA$24*2/3/(1+($FA$20-1)*$FA$19),0)+IF(CA396="同属性",$FA$19*$FA$24*$FA$37/3/(1+($FA$20-1)*$FA$19),0)+IF(CA396="同年级",$FA$19*$FA$24*$FA$40/3/(1+($FA$20-1)*$FA$19),0)+IF(CA396="同学校",$FA$19*$FA$24*$FA$43/3/(1+($FA$20-1)*$FA$19),0)+IF(CA396="同小队",$FA$19*$FA$24*$FA$46/3/(1+($FA$20-1)*$FA$19),0)+IF(CA396="同type",$FA$19*$FA$24*INDEX($FB$49:$FB$52,MATCH(X396,$FA$49:$FA$52,))/3/(1+($FA$20-1)*$FA$19),0)+IF(CA396="自身",$FA$19*#REF!/3/(1+(BH396-1)*$BD396),0)),0)</f>
        <v>0</v>
      </c>
      <c r="CE396" s="1097">
        <f t="shared" si="556"/>
        <v>0</v>
      </c>
      <c r="CF396" s="1112">
        <f t="shared" si="557"/>
        <v>0</v>
      </c>
      <c r="CG396" s="1100">
        <f t="shared" si="558"/>
        <v>0</v>
      </c>
      <c r="CH396" s="1110">
        <f t="shared" si="559"/>
        <v>0</v>
      </c>
      <c r="CI396" s="1113" t="s">
        <v>165</v>
      </c>
      <c r="CJ396" s="1114">
        <v>1</v>
      </c>
      <c r="CK396" s="1115" t="s">
        <v>167</v>
      </c>
      <c r="CL396" s="1115" t="s">
        <v>168</v>
      </c>
      <c r="CM396" s="1119">
        <v>2.5000000000000001E-2</v>
      </c>
      <c r="CN396" s="1115" t="s">
        <v>163</v>
      </c>
      <c r="CO396" s="1092"/>
      <c r="CP396" s="1118">
        <f t="shared" si="560"/>
        <v>2.5000000000000001E-2</v>
      </c>
      <c r="CQ396" s="1118">
        <f t="shared" si="561"/>
        <v>2.5000000000000001E-2</v>
      </c>
      <c r="CR396" s="1118">
        <f t="shared" si="562"/>
        <v>0</v>
      </c>
      <c r="CS396" s="1118">
        <f t="shared" si="563"/>
        <v>0</v>
      </c>
      <c r="CT396" s="1109">
        <f t="shared" si="564"/>
        <v>0</v>
      </c>
      <c r="CU396" s="1101">
        <f t="shared" si="565"/>
        <v>3399.5732882075254</v>
      </c>
      <c r="CV396" s="1108">
        <f t="shared" si="566"/>
        <v>164.13930703125001</v>
      </c>
      <c r="CW396" s="1097">
        <f t="shared" si="567"/>
        <v>0</v>
      </c>
      <c r="CX396" s="1097">
        <f t="shared" si="568"/>
        <v>3399.5732882075254</v>
      </c>
      <c r="CY396" s="1110">
        <f t="shared" si="569"/>
        <v>0</v>
      </c>
      <c r="CZ396" s="437"/>
      <c r="DA396" s="438"/>
      <c r="DB396" s="439" t="s">
        <v>569</v>
      </c>
      <c r="DC396" s="439"/>
      <c r="DD396" s="443"/>
      <c r="DE396" s="411"/>
      <c r="DF396" s="411"/>
      <c r="DG396" s="1116">
        <f t="shared" si="570"/>
        <v>0</v>
      </c>
      <c r="DH396" s="1116">
        <f t="shared" si="571"/>
        <v>0</v>
      </c>
      <c r="DI396" s="1116">
        <f t="shared" si="572"/>
        <v>0</v>
      </c>
      <c r="DJ396" s="442">
        <f t="shared" si="573"/>
        <v>0</v>
      </c>
      <c r="DK396" s="1109">
        <f t="shared" si="574"/>
        <v>0</v>
      </c>
      <c r="DL396" s="1101">
        <f t="shared" si="575"/>
        <v>0</v>
      </c>
      <c r="DM396" s="1097">
        <f t="shared" si="576"/>
        <v>0</v>
      </c>
      <c r="DN396" s="1097">
        <f t="shared" si="577"/>
        <v>0</v>
      </c>
      <c r="DO396" s="1097">
        <f t="shared" si="578"/>
        <v>0</v>
      </c>
      <c r="DP396" s="1110">
        <f t="shared" si="579"/>
        <v>0</v>
      </c>
      <c r="DQ396" s="1113" t="s">
        <v>635</v>
      </c>
      <c r="DR396" s="1120">
        <f t="shared" si="580"/>
        <v>0.33</v>
      </c>
      <c r="DS396" s="1124"/>
      <c r="DT396" s="1093" t="s">
        <v>134</v>
      </c>
      <c r="DU396" s="1124"/>
      <c r="DV396" s="1098">
        <f>IF($P396="","N/A",IF(P396=-1,INDEX('卡片raw data'!AN:AN,MATCH(D396,'卡片raw data'!$F:$F,)),0)+IF(AND(L396&lt;&gt;"party卡",P396&lt;=2,P396&gt;=0),INDEX('卡片raw data'!AP:AP,MATCH(D396,'卡片raw data'!$F:$F,)),0)+IF(OR(AND(L396="party卡",P396&lt;=1),AND(P396&lt;=4,L396&lt;&gt;"party卡",P396&gt;=3)),INDEX('卡片raw data'!AQ:AQ,MATCH(D396,'卡片raw data'!$F:$F,)),0)+IF(OR(P396=5,AND(L396="party卡",P396&gt;=2)),INDEX('卡片raw data'!AR:AR,MATCH(D396,'卡片raw data'!$F:$F,)),0))</f>
        <v>0.4</v>
      </c>
      <c r="DW396" s="1098">
        <f t="shared" si="581"/>
        <v>0.33</v>
      </c>
      <c r="DX396" s="1098">
        <f t="shared" si="582"/>
        <v>0.33</v>
      </c>
      <c r="DY396" s="1097">
        <f t="shared" si="583"/>
        <v>1158.0193447679999</v>
      </c>
      <c r="DZ396" s="1097">
        <f t="shared" si="584"/>
        <v>1001.6867332243199</v>
      </c>
      <c r="EA396" s="1098">
        <f t="shared" si="585"/>
        <v>0</v>
      </c>
      <c r="EB396" s="1121">
        <f t="shared" si="586"/>
        <v>0</v>
      </c>
      <c r="EC396" s="1101">
        <f t="shared" si="587"/>
        <v>0</v>
      </c>
      <c r="ED396" s="1097">
        <f t="shared" si="588"/>
        <v>0</v>
      </c>
      <c r="EE396" s="1110">
        <f t="shared" si="513"/>
        <v>48435.03108962375</v>
      </c>
      <c r="EF396" s="1115" t="s">
        <v>569</v>
      </c>
      <c r="EG396" s="1120">
        <f t="shared" si="589"/>
        <v>0.33</v>
      </c>
      <c r="EH396" s="1124"/>
      <c r="EI396" s="1093"/>
      <c r="EJ396" s="1093"/>
      <c r="EK396" s="1097">
        <f>IF($P396="","N/A",IF(P396=-1,INDEX('卡片raw data'!AS:AS,MATCH(D396,'卡片raw data'!$F:$F,)),0)+IF(AND(L396&lt;&gt;"party卡",P396&lt;=2,P396&gt;=0),INDEX('卡片raw data'!AU:AU,MATCH(D396,'卡片raw data'!$F:$F,)),0)+IF(OR(AND(L396="party卡",P396&lt;=1),AND(P396&lt;=4,L396&lt;&gt;"party卡",P396&gt;=3)),INDEX('卡片raw data'!AV:AV,MATCH(D396,'卡片raw data'!$F:$F,)),0)+IF(OR(P396=5,AND(L396="party卡",P396&gt;=2)),INDEX('卡片raw data'!AW:AW,MATCH(D396,'卡片raw data'!$F:$F,)),0))</f>
        <v>0</v>
      </c>
      <c r="EL396" s="1098">
        <f t="shared" si="590"/>
        <v>0.33</v>
      </c>
      <c r="EM396" s="1098">
        <f t="shared" si="591"/>
        <v>0.33</v>
      </c>
      <c r="EN396" s="1097">
        <f t="shared" si="592"/>
        <v>0</v>
      </c>
      <c r="EO396" s="1097">
        <f t="shared" si="593"/>
        <v>0</v>
      </c>
      <c r="EP396" s="1098">
        <f t="shared" si="594"/>
        <v>0</v>
      </c>
      <c r="EQ396" s="1121">
        <f t="shared" si="595"/>
        <v>0</v>
      </c>
      <c r="ER396" s="1101">
        <f t="shared" si="596"/>
        <v>0</v>
      </c>
      <c r="ES396" s="1097">
        <f t="shared" si="597"/>
        <v>0</v>
      </c>
      <c r="ET396" s="1122">
        <f t="shared" si="514"/>
        <v>0</v>
      </c>
    </row>
    <row r="397" spans="2:150" ht="16.5" customHeight="1">
      <c r="B397" s="1123" t="str">
        <f>INDEX('卡片raw data'!B:B,MATCH($D397,'卡片raw data'!$F:$F,))</f>
        <v>kks凛</v>
      </c>
      <c r="C397" s="449" t="s">
        <v>2055</v>
      </c>
      <c r="D397" s="408">
        <v>394</v>
      </c>
      <c r="E397" s="477">
        <v>200052001</v>
      </c>
      <c r="F397" s="1090" t="str">
        <f>INDEX('卡片raw data'!C:C,MATCH($D397,'卡片raw data'!$F:$F,))</f>
        <v>SR</v>
      </c>
      <c r="G397" s="1094" t="s">
        <v>2056</v>
      </c>
      <c r="H397" s="411">
        <f>IFERROR(INDEX(绊状态确认!C:C,MATCH($G397,绊状态确认!$B:$B,)),"")</f>
        <v>5</v>
      </c>
      <c r="I397" s="450" t="str">
        <f>IFERROR(INDEX(绊状态确认!D:D,MATCH($G397,绊状态确认!$B:$B,)),"")</f>
        <v>缪</v>
      </c>
      <c r="J397" s="450" t="str">
        <f>IFERROR(INDEX(绊状态确认!E:E,MATCH($G397,绊状态确认!$B:$B,)),"")</f>
        <v>1年级</v>
      </c>
      <c r="K397" s="451" t="str">
        <f>IFERROR(INDEX(绊状态确认!F:F,MATCH($G397,绊状态确认!$B:$B,)),"")</f>
        <v>lilywhite</v>
      </c>
      <c r="L397" s="1094" t="str">
        <f>INDEX('卡片raw data'!E:E,MATCH($D397,'卡片raw data'!$F:$F,))</f>
        <v>卡池卡</v>
      </c>
      <c r="M397" s="478">
        <v>44226</v>
      </c>
      <c r="N397" s="479">
        <v>32.5</v>
      </c>
      <c r="O397" s="1091" t="str">
        <f>INDEX('卡片raw data'!D:D,MATCH($D397,'卡片raw data'!$F:$F,))</f>
        <v>sp</v>
      </c>
      <c r="P397" s="1126">
        <v>5</v>
      </c>
      <c r="Q397" s="1095">
        <f t="shared" si="515"/>
        <v>27421.925929695837</v>
      </c>
      <c r="R397" s="1096">
        <f t="shared" si="516"/>
        <v>0.318</v>
      </c>
      <c r="S397" s="1097">
        <f t="shared" si="517"/>
        <v>15723.191122024269</v>
      </c>
      <c r="T397" s="1098">
        <f t="shared" si="518"/>
        <v>0.78600000000000003</v>
      </c>
      <c r="U397" s="1099">
        <f t="shared" si="519"/>
        <v>11.507338687092858</v>
      </c>
      <c r="V397" s="1100">
        <f t="shared" si="520"/>
        <v>26539.003862729693</v>
      </c>
      <c r="W397" s="1101">
        <f t="shared" si="521"/>
        <v>4544.8643442688563</v>
      </c>
      <c r="X397" s="1096">
        <f t="shared" si="522"/>
        <v>5.1999999999999998E-2</v>
      </c>
      <c r="Y397" s="1097">
        <f t="shared" si="523"/>
        <v>917.07793303385552</v>
      </c>
      <c r="Z397" s="1102">
        <f t="shared" si="524"/>
        <v>11.507338687092858</v>
      </c>
      <c r="AA397" s="1103">
        <f t="shared" si="525"/>
        <v>5461.9422773027118</v>
      </c>
      <c r="AB397" s="1101">
        <f t="shared" si="526"/>
        <v>5276.4877731475999</v>
      </c>
      <c r="AC397" s="1104">
        <f t="shared" si="527"/>
        <v>6.0999999999999999E-2</v>
      </c>
      <c r="AD397" s="1105">
        <f t="shared" si="528"/>
        <v>-1.9908281250000003E-2</v>
      </c>
      <c r="AE397" s="1128">
        <f t="shared" si="529"/>
        <v>-0.20561594202898625</v>
      </c>
      <c r="AF397" s="1130">
        <f t="shared" si="530"/>
        <v>0</v>
      </c>
      <c r="AG397" s="420">
        <f t="shared" si="531"/>
        <v>0</v>
      </c>
      <c r="AH397" s="420">
        <f t="shared" si="532"/>
        <v>0</v>
      </c>
      <c r="AI397" s="1097">
        <f t="shared" si="533"/>
        <v>0</v>
      </c>
      <c r="AJ397" s="420">
        <f t="shared" si="534"/>
        <v>0</v>
      </c>
      <c r="AK397" s="518">
        <f t="shared" si="535"/>
        <v>0</v>
      </c>
      <c r="AL397" s="1106">
        <f>IF($P397="","N/A",(IF($P397=-1,INDEX('卡片raw data'!S:S,MATCH($D397,'卡片raw data'!$F:$F,)),0)+IF($P397=0,INDEX('卡片raw data'!V:V,MATCH($D397,'卡片raw data'!$F:$F,)),0)+IF($P397=1,INDEX('卡片raw data'!Y:Y,MATCH($D397,'卡片raw data'!$F:$F,)),0)+IF($P397=2,INDEX('卡片raw data'!AB:AB,MATCH($D397,'卡片raw data'!$F:$F,)),0)+IF($P397=3,INDEX('卡片raw data'!AE:AE,MATCH($D397,'卡片raw data'!$F:$F,)),0)+IF($P397=4,INDEX('卡片raw data'!AH:AH,MATCH($D397,'卡片raw data'!$F:$F,)),0)+IF($P397=5,INDEX('卡片raw data'!AK:AK,MATCH($D397,'卡片raw data'!$F:$F,)),0)+INDEX('卡片raw data'!S:S,MATCH($D397,'卡片raw data'!$F:$F,))*(IF($F397="UR",0.04,0.033))*(IF($F397="UR",INDEX(绊状态确认!$S:$S,MATCH($G397,绊状态确认!$B:$B,))/2-40)+IF($F397="SR",INDEX(绊状态确认!$R:$R,MATCH($G397,绊状态确认!$B:$B,))/4-15))+IF($F397="R",INDEX(绊状态确认!$Q:$Q,MATCH($G397,绊状态确认!$B:$B,))/6-40/6)))*(INDEX(绊状态确认!$H:$H,MATCH($G397,绊状态确认!$B:$B,))+INDEX(绊状态确认!J:J,MATCH($G397,绊状态确认!$B:$B,)))</f>
        <v>7991.0670695999988</v>
      </c>
      <c r="AM397" s="1106">
        <f>IF($P397="","N/A",(IF($P397=-1,INDEX('卡片raw data'!T:T,MATCH($D397,'卡片raw data'!$F:$F,)),0)+IF($P397=0,INDEX('卡片raw data'!W:W,MATCH($D397,'卡片raw data'!$F:$F,)),0)+IF($P397=1,INDEX('卡片raw data'!Z:Z,MATCH($D397,'卡片raw data'!$F:$F,)),0)+IF($P397=2,INDEX('卡片raw data'!AC:AC,MATCH($D397,'卡片raw data'!$F:$F,)),0)+IF($P397=3,INDEX('卡片raw data'!AF:AF,MATCH($D397,'卡片raw data'!$F:$F,)),0)+IF($P397=4,INDEX('卡片raw data'!AI:AI,MATCH($D397,'卡片raw data'!$F:$F,)),0)+IF($P397=5,INDEX('卡片raw data'!AL:AL,MATCH($D397,'卡片raw data'!$F:$F,)),0)+INDEX('卡片raw data'!T:T,MATCH($D397,'卡片raw data'!$F:$F,))*(IF($F397="UR",0.04,0.033))*(IF($F397="UR",INDEX(绊状态确认!$S:$S,MATCH($G397,绊状态确认!$B:$B,))/2-40)+IF($F397="SR",INDEX(绊状态确认!$R:$R,MATCH($G397,绊状态确认!$B:$B,))/4-15))+IF($F397="R",INDEX(绊状态确认!$Q:$Q,MATCH($G397,绊状态确认!$B:$B,))/6-40/6)))*(INDEX(绊状态确认!$H:$H,MATCH($G397,绊状态确认!$B:$B,))+INDEX(绊状态确认!K:K,MATCH($G397,绊状态确认!$B:$B,)))</f>
        <v>5887.3133879999996</v>
      </c>
      <c r="AN397" s="1106">
        <f>IF($P397="","N/A",(IF($P397=-1,INDEX('卡片raw data'!U:U,MATCH($D397,'卡片raw data'!$F:$F,)),0)+IF($P397=0,INDEX('卡片raw data'!X:X,MATCH($D397,'卡片raw data'!$F:$F,)),0)+IF($P397=1,INDEX('卡片raw data'!AA:AA,MATCH($D397,'卡片raw data'!$F:$F,)),0)+IF($P397=2,INDEX('卡片raw data'!AD:AD,MATCH($D397,'卡片raw data'!$F:$F,)),0)+IF($P397=3,INDEX('卡片raw data'!AG:AG,MATCH($D397,'卡片raw data'!$F:$F,)),0)+IF($P397=4,INDEX('卡片raw data'!AJ:AJ,MATCH($D397,'卡片raw data'!$F:$F,)),0)+IF($P397=5,INDEX('卡片raw data'!AM:AM,MATCH($D397,'卡片raw data'!$F:$F,)),0)+INDEX('卡片raw data'!U:U,MATCH($D397,'卡片raw data'!$F:$F,))*(IF($F397="UR",0.04,0.033))*(IF($F397="UR",INDEX(绊状态确认!$S:$S,MATCH($G397,绊状态确认!$B:$B,))/2-40)+IF($F397="SR",INDEX(绊状态确认!$R:$R,MATCH($G397,绊状态确认!$B:$B,))/4-15))+IF($F397="R",INDEX(绊状态确认!$Q:$Q,MATCH($G397,绊状态确认!$B:$B,))/6-40/6)))*(INDEX(绊状态确认!$H:$H,MATCH($G397,绊状态确认!$B:$B,))+INDEX(绊状态确认!L:L,MATCH($G397,绊状态确认!$B:$B,)))</f>
        <v>7148.8537559999986</v>
      </c>
      <c r="AO397" s="1107">
        <f t="shared" si="536"/>
        <v>1</v>
      </c>
      <c r="AP397" s="1131">
        <f>1+(INDEX(绊状态确认!$T:$T,MATCH($G397,绊状态确认!$B:$B,))+0.2)*$AO397</f>
        <v>1.3</v>
      </c>
      <c r="AQ397" s="1108">
        <f t="shared" si="537"/>
        <v>24226.551057699999</v>
      </c>
      <c r="AR397" s="1097">
        <f>(AM397*(1+$EX$9)+$EX$35)*(1+(INDEX(绊状态确认!$T:$T,MATCH($G397,绊状态确认!$B:$B,))+0.2)*AO397)*IF(J397=$FF$17,1+$FE$17,1)*IF(I397=$FF$14,1+$FE$14,1)</f>
        <v>10740.182774620002</v>
      </c>
      <c r="AS397" s="1097">
        <f>(AN397*(1+$EX$10)+$EX$36)*(1+(INDEX(绊状态确认!$T:$T,MATCH($G397,绊状态确认!$B:$B,))+0.2)*AO397)*IF(J397=$FF$17,1+$FE$17,1)*IF(I397=$FF$14,1+$FE$14,1)</f>
        <v>14743.536365219996</v>
      </c>
      <c r="AT397" s="1093">
        <f>IF(AND(INDEX('卡片raw data'!AK:AK,MATCH($D397,'卡片raw data'!$F:$F,))&lt;INDEX('卡片raw data'!AM:AM,MATCH($D397,'卡片raw data'!$F:$F,)),INDEX('卡片raw data'!AL:AL,MATCH($D397,'卡片raw data'!$F:$F,))&lt;INDEX('卡片raw data'!AM:AM,MATCH($D397,'卡片raw data'!$F:$F,))),1,0)</f>
        <v>0</v>
      </c>
      <c r="AU397" s="1098">
        <f>MIN(AT397*0.15+AS397*0.00003+INDEX(绊状态确认!M:M,MATCH($G397,绊状态确认!$B:$B,)),1)</f>
        <v>0.47230609095659992</v>
      </c>
      <c r="AV397" s="1109">
        <f>(INDEX(绊状态确认!$N:$N,MATCH($G397,绊状态确认!$B:$B,))+1.5)*$EW$21</f>
        <v>2.6599999999999997</v>
      </c>
      <c r="AW397" s="1101">
        <f t="shared" si="538"/>
        <v>22446.604193606327</v>
      </c>
      <c r="AX397" s="1097">
        <f t="shared" si="539"/>
        <v>917.0779330338554</v>
      </c>
      <c r="AY397" s="1110">
        <f t="shared" si="540"/>
        <v>23363.682126640182</v>
      </c>
      <c r="AZ397" s="429">
        <f t="shared" si="541"/>
        <v>18182.580785719998</v>
      </c>
      <c r="BA397" s="431">
        <f t="shared" si="542"/>
        <v>21819.096942863998</v>
      </c>
      <c r="BB397" s="1097">
        <f>(AM397*(1+$FB$9)+$FB$35)*(1+(INDEX(绊状态确认!$T:$T,MATCH($G397,绊状态确认!$B:$B,))+0.2)*AO397)*IF(J397=$FF$17,1+$FE$17,1)*IF(I397=$FF$14,1+$FE$14,1)*(1+$FE$15)</f>
        <v>10740.182774620002</v>
      </c>
      <c r="BC397" s="1097">
        <f>(AN397*(1+$FB$10)+$FB$36)*(1+(INDEX(绊状态确认!$T:$T,MATCH($G397,绊状态确认!$B:$B,))+0.2)*AO397)*IF(J397=$FF$17,1+$FE$17,1)*IF(I397=$FF$14,1+$FE$14,1)*(1+$FE$15)</f>
        <v>14743.536365219996</v>
      </c>
      <c r="BD397" s="1104">
        <f>MIN(AT397*0.15+BC397*0.00003+INDEX(绊状态确认!M:M,MATCH($G397,绊状态确认!$B:$B,)),1)</f>
        <v>0.47230609095659992</v>
      </c>
      <c r="BE397" s="432">
        <f>(INDEX(绊状态确认!$N:$N,MATCH($G397,绊状态确认!$B:$B,))+1.5)</f>
        <v>1.9</v>
      </c>
      <c r="BF397" s="1139">
        <f t="array" ref="BF397">SUMPRODUCT(IF(AZ397*AP397*$FI$16:$FI$23*$FA$22&gt;=$FI$24,$FI$24,AZ397*AP397*$FI$16:$FI$23*$FA$22),$FJ$16:$FJ$23)</f>
        <v>36165.153182797083</v>
      </c>
      <c r="BG397" s="1125">
        <f t="array" ref="BG397">SUMPRODUCT(IF(BE397*AZ397*AP397*$FI$16:$FI$23*$FA$22&gt;=$FI$24,$FI$24,BE397*AZ397*AP397*$FI$16:$FI$23*$FA$22),$FJ$16:$FJ$23)</f>
        <v>59227.743635182102</v>
      </c>
      <c r="BH397" s="1110">
        <f t="shared" si="543"/>
        <v>15685.91837556535</v>
      </c>
      <c r="BI397" s="1111">
        <f>IF(O397="vo",$EW$26/$EW$24*0.05,0)+IF(O397="sk",-$EW$26/$EW$24*(0.05-INDEX(绊状态确认!W:W,MATCH($G397,绊状态确认!$B:$B,)))+0.05*$EW$28,0)+IF(O397="sp",0.05*$EW$32*$EW$30*(1-$EW$33)-(0.05-INDEX(绊状态确认!V:V,MATCH($G397,绊状态确认!$B:$B,)))*$EW$28,0)+IF(O397="gd",-(0.05-INDEX(绊状态确认!X:X,MATCH($G397,绊状态确认!$B:$B,)))*$EW$32*$EW$30*(1-$EW$33),0)</f>
        <v>19.999999999999886</v>
      </c>
      <c r="BJ397" s="1097">
        <f>IF(O397="vo",0.05*(1-$FI$26)*$FA$24,0)+IF(O397="sk",-(0.05-INDEX(绊状态确认!W:W,MATCH($G397,绊状态确认!$B:$B,)))*(1-$FI$26)*$FA$24+0.05*$FA$26,0)+IF(O397="sp",0.05*$FA$32*$FA$27*(1-$FA$33)/$FA$30+0.05*$FA$29/$FA$69*$FA$27*(1-$FA$33)-(0.05-INDEX(绊状态确认!V:V,MATCH($G397,绊状态确认!$B:$B,)))*$FA$26,0)+IF(O397="gd",-(0.05-INDEX(绊状态确认!X:X,MATCH($G397,绊状态确认!$B:$B,)))*$FA$32*$FA$27*(1-$FA$33)/$FA$30-(0.05-INDEX(绊状态确认!X:X,MATCH($G397,绊状态确认!$B:$B,)))*$FA$29/$FA$69*$FA$27*(1-$FA$33),0)</f>
        <v>545.83333333333326</v>
      </c>
      <c r="BK397" s="1110">
        <f>IF(O397="vo",$EW$26/$EW$24*0.05+$EW$26*(-HP($EW$62,$EW$65,$EW$64)+HP($EW$62,$EW$65,(1.05-INDEX(绊状态确认!U:U,MATCH($G397,绊状态确认!$B:$B,)))*$EW$64)),0)+IF(O397="sk",-$EW$26/$EW$24*(0.05-INDEX(绊状态确认!W:W,MATCH($G397,绊状态确认!$B:$B,)))+0.05*$EW$29,0)+IF(O397="sp",0.05*$EW$32*$EW$30*(1-$EW$33)-(0.05-INDEX(绊状态确认!V:V,MATCH($G397,绊状态确认!$B:$B,)))*$EW$29,0)+IF(O397="gd",-(0.05-INDEX(绊状态确认!X:X,MATCH($G397,绊状态确认!$B:$B,)))*$EW$32*$EW$30*(1-$EW$33)+$EW$26*(-HP($EW$62,$EW$65,$EW$64)+HP($EW$62,$EW$65,0.95*$EW$64)),0)</f>
        <v>-1780.0000000000005</v>
      </c>
      <c r="BL397" s="1111">
        <f t="shared" si="544"/>
        <v>-1083.3333333333333</v>
      </c>
      <c r="BM397" s="1110">
        <f t="shared" si="545"/>
        <v>-830.55555555555543</v>
      </c>
      <c r="BN397" s="1113">
        <f t="shared" si="546"/>
        <v>3</v>
      </c>
      <c r="BO397" s="1108">
        <f t="shared" si="547"/>
        <v>4507.7214871259994</v>
      </c>
      <c r="BP397" s="1100">
        <f t="shared" si="548"/>
        <v>221.34103209030098</v>
      </c>
      <c r="BQ397" s="1113" t="s">
        <v>132</v>
      </c>
      <c r="BR397" s="1124" t="s">
        <v>166</v>
      </c>
      <c r="BS397" s="1098">
        <f>IF($P397="","N/A",IF($P397=-1,INDEX('卡片raw data'!AX:AX,MATCH($D397,'卡片raw data'!$F:$F,)),0)+IF($L397="party卡",IF($P397=5,INDEX('卡片raw data'!BD:BD,MATCH($D397,'卡片raw data'!$F:$F,)),IF($P397&gt;=3,INDEX('卡片raw data'!BC:BC,MATCH($D397,'卡片raw data'!$F:$F,)),INDEX('卡片raw data'!BB:BB,MATCH($D397,'卡片raw data'!$F:$F,)))),IF(OR(AND($F397="UR",$P397=0),AND($F397="SR",$P397&gt;=0,$P397&lt;=2),AND($F397="R",$P397&gt;=0,$P397&lt;4)),INDEX('卡片raw data'!AZ:AZ,MATCH($D397,'卡片raw data'!$F:$F,)),0)+IF(OR(AND($F397="UR",$P397&gt;=1,$P397&lt;=4),AND($F397="SR",$P397&lt;=4,$P397&gt;=3),AND($F397="R",$P397=4)),INDEX('卡片raw data'!BA:BA,MATCH($D397,'卡片raw data'!$F:$F,)),0)+IF($P397=5,INDEX('卡片raw data'!BB:BB,MATCH($D397,'卡片raw data'!$F:$F,)),0)))</f>
        <v>7.0000000000000007E-2</v>
      </c>
      <c r="BT397" s="1101">
        <f t="shared" si="549"/>
        <v>694.48057173588643</v>
      </c>
      <c r="BU397" s="1097">
        <f t="shared" si="550"/>
        <v>23.135418072322139</v>
      </c>
      <c r="BV397" s="1097">
        <f t="shared" si="551"/>
        <v>0</v>
      </c>
      <c r="BW397" s="1112">
        <f t="shared" si="552"/>
        <v>0</v>
      </c>
      <c r="BX397" s="1100">
        <f t="shared" si="553"/>
        <v>694.48057173588643</v>
      </c>
      <c r="BY397" s="1110">
        <f t="shared" si="554"/>
        <v>0</v>
      </c>
      <c r="BZ397" s="1107" t="s">
        <v>569</v>
      </c>
      <c r="CA397" s="1124"/>
      <c r="CB397" s="1098">
        <f>IF($P397="","N/A",IF($P397=-1,INDEX('卡片raw data'!BE:BE,MATCH($D397,'卡片raw data'!$F:$F,)),0)+IF($L397="party卡",IF($P397=5,INDEX('卡片raw data'!BK:BK,MATCH($D397,'卡片raw data'!$F:$F,)),IF($P397&gt;=3,INDEX('卡片raw data'!BJ:BJ,MATCH($D397,'卡片raw data'!$F:$F,)),INDEX('卡片raw data'!BI:BI,MATCH($D397,'卡片raw data'!$F:$F,)))),IF(OR(AND($F397="UR",$P397=0),AND($F397="SR",$P397&gt;=0,$P397&lt;=2),AND($F397="R",$P397&gt;=0,$P397&lt;4)),INDEX('卡片raw data'!BG:BG,MATCH($D397,'卡片raw data'!$F:$F,)),0)+IF(OR(AND($F397="UR",$P397&gt;=1,$P397&lt;=4),AND($F397="SR",$P397&lt;=4,$P397&gt;=3),AND($F397="R",$P397=4)),INDEX('卡片raw data'!BH:BH,MATCH($D397,'卡片raw data'!$F:$F,)),0)+IF($P397=5,INDEX('卡片raw data'!BI:BI,MATCH($D397,'卡片raw data'!$F:$F,)),0)))</f>
        <v>0</v>
      </c>
      <c r="CC397" s="1101">
        <f t="shared" si="555"/>
        <v>0</v>
      </c>
      <c r="CD397" s="1097">
        <f>IF(BZ397="ap",CB397*(1-$FI$26)*$FB$5/$FB$11*(+IF(CA397="全员",$FA$24,0)+IF(CA397="同作战",$FA$24,0)+IF(CA397="仲间",$FA$24*2/3,0)+IF(CA397="同属性",$FA$24*$FA$37/3,0)+IF(CA397="同年级",$FA$24*$FA$40/3,0)+IF(CA397="同学校",$FA$24*$FA$43/3,0)+IF(CA397="同小队",$FA$24*$FA$46/3,0)+IF(CA397="同type",$FA$24*INDEX($FB$49:$FB$52,MATCH(X397,$FA$49:$FA$52,))/3,0)+IF(CA397="自身",#REF!/3,0)),0)+IF(BZ397="te",CB397*(1-$FI$27)*($FA$20-1)*$FB$7/$FB$13*(+IF(CA397="全员",$FA$19*$FA$24/(1+($FA$20-1)*$FA$19),0)+IF(CA397="同作战",$FA$19*$FA$24/(1+($FA$20-1)*$FA$19),0)+IF(CA397="仲间",$FA$19*$FA$24*2/3/(1+($FA$20-1)*$FA$19),0)+IF(CA397="同属性",$FA$19*$FA$24*$FA$37/3/(1+($FA$20-1)*$FA$19),0)+IF(CA397="同年级",$FA$19*$FA$24*$FA$40/3/(1+($FA$20-1)*$FA$19),0)+IF(CA397="同学校",$FA$19*$FA$24*$FA$43/3/(1+($FA$20-1)*$FA$19),0)+IF(CA397="同小队",$FA$19*$FA$24*$FA$46/3/(1+($FA$20-1)*$FA$19),0)+IF(CA397="同type",$FA$19*$FA$24*INDEX($FB$49:$FB$52,MATCH(X397,$FA$49:$FA$52,))/3/(1+($FA$20-1)*$FA$19),0)+IF(CA397="自身",$FA$19*#REF!/3/(1+(BH397-1)*$BD397),0)),0)</f>
        <v>0</v>
      </c>
      <c r="CE397" s="1097">
        <f t="shared" si="556"/>
        <v>0</v>
      </c>
      <c r="CF397" s="1112">
        <f t="shared" si="557"/>
        <v>0</v>
      </c>
      <c r="CG397" s="1100">
        <f t="shared" si="558"/>
        <v>0</v>
      </c>
      <c r="CH397" s="1110">
        <f t="shared" si="559"/>
        <v>0</v>
      </c>
      <c r="CI397" s="1113" t="s">
        <v>2057</v>
      </c>
      <c r="CJ397" s="1114">
        <v>1</v>
      </c>
      <c r="CK397" s="1115" t="s">
        <v>533</v>
      </c>
      <c r="CL397" s="1115" t="s">
        <v>171</v>
      </c>
      <c r="CM397" s="1119">
        <v>0.08</v>
      </c>
      <c r="CN397" s="1115">
        <v>30</v>
      </c>
      <c r="CO397" s="1115">
        <v>1</v>
      </c>
      <c r="CP397" s="1118">
        <f t="shared" si="560"/>
        <v>5.7142857142857143E-3</v>
      </c>
      <c r="CQ397" s="1118">
        <f t="shared" si="561"/>
        <v>7.7777777777777776E-3</v>
      </c>
      <c r="CR397" s="1118">
        <f t="shared" si="562"/>
        <v>2.8571428571428571E-3</v>
      </c>
      <c r="CS397" s="1118">
        <f t="shared" si="563"/>
        <v>0</v>
      </c>
      <c r="CT397" s="1109">
        <f t="shared" si="564"/>
        <v>1.1458333333333335</v>
      </c>
      <c r="CU397" s="1101">
        <f t="shared" si="565"/>
        <v>74.285714285714292</v>
      </c>
      <c r="CV397" s="1108">
        <f t="shared" si="566"/>
        <v>77.518518518518505</v>
      </c>
      <c r="CW397" s="1097">
        <f t="shared" si="567"/>
        <v>37.142857142857146</v>
      </c>
      <c r="CX397" s="1097">
        <f t="shared" si="568"/>
        <v>74.285714285714292</v>
      </c>
      <c r="CY397" s="1110">
        <f t="shared" si="569"/>
        <v>37.142857142857146</v>
      </c>
      <c r="CZ397" s="437"/>
      <c r="DA397" s="438"/>
      <c r="DB397" s="439" t="s">
        <v>569</v>
      </c>
      <c r="DC397" s="439"/>
      <c r="DD397" s="443"/>
      <c r="DE397" s="411"/>
      <c r="DF397" s="411"/>
      <c r="DG397" s="1116">
        <f t="shared" si="570"/>
        <v>0</v>
      </c>
      <c r="DH397" s="1116">
        <f t="shared" si="571"/>
        <v>0</v>
      </c>
      <c r="DI397" s="1116">
        <f t="shared" si="572"/>
        <v>0</v>
      </c>
      <c r="DJ397" s="442">
        <f t="shared" si="573"/>
        <v>0</v>
      </c>
      <c r="DK397" s="1109">
        <f t="shared" si="574"/>
        <v>0</v>
      </c>
      <c r="DL397" s="1101">
        <f t="shared" si="575"/>
        <v>0</v>
      </c>
      <c r="DM397" s="1097">
        <f t="shared" si="576"/>
        <v>0</v>
      </c>
      <c r="DN397" s="1097">
        <f t="shared" si="577"/>
        <v>0</v>
      </c>
      <c r="DO397" s="1097">
        <f t="shared" si="578"/>
        <v>0</v>
      </c>
      <c r="DP397" s="1110">
        <f t="shared" si="579"/>
        <v>0</v>
      </c>
      <c r="DQ397" s="1113" t="s">
        <v>256</v>
      </c>
      <c r="DR397" s="1120">
        <f t="shared" si="580"/>
        <v>0.3</v>
      </c>
      <c r="DS397" s="1124"/>
      <c r="DT397" s="1093" t="s">
        <v>132</v>
      </c>
      <c r="DU397" s="1093"/>
      <c r="DV397" s="1098">
        <f>IF($P397="","N/A",IF(P397=-1,INDEX('卡片raw data'!AN:AN,MATCH(D397,'卡片raw data'!$F:$F,)),0)+IF(AND(L397&lt;&gt;"party卡",P397&lt;=2,P397&gt;=0),INDEX('卡片raw data'!AP:AP,MATCH(D397,'卡片raw data'!$F:$F,)),0)+IF(OR(AND(L397="party卡",P397&lt;=1),AND(P397&lt;=4,L397&lt;&gt;"party卡",P397&gt;=3)),INDEX('卡片raw data'!AQ:AQ,MATCH(D397,'卡片raw data'!$F:$F,)),0)+IF(OR(P397=5,AND(L397="party卡",P397&gt;=2)),INDEX('卡片raw data'!AR:AR,MATCH(D397,'卡片raw data'!$F:$F,)),0))</f>
        <v>0.22</v>
      </c>
      <c r="DW397" s="1098">
        <f t="shared" si="581"/>
        <v>0.3</v>
      </c>
      <c r="DX397" s="1098">
        <f t="shared" si="582"/>
        <v>0.3</v>
      </c>
      <c r="DY397" s="1097">
        <f t="shared" si="583"/>
        <v>532.9841232693999</v>
      </c>
      <c r="DZ397" s="1097">
        <f t="shared" si="584"/>
        <v>415.21741482270187</v>
      </c>
      <c r="EA397" s="1098">
        <f t="shared" si="585"/>
        <v>0</v>
      </c>
      <c r="EB397" s="1121">
        <f t="shared" si="586"/>
        <v>0</v>
      </c>
      <c r="EC397" s="1101">
        <f t="shared" si="587"/>
        <v>762.16729627524194</v>
      </c>
      <c r="ED397" s="1097">
        <f t="shared" si="588"/>
        <v>0</v>
      </c>
      <c r="EE397" s="1110">
        <f t="shared" si="513"/>
        <v>762.16729627524194</v>
      </c>
      <c r="EF397" s="1115" t="s">
        <v>569</v>
      </c>
      <c r="EG397" s="1120">
        <f t="shared" si="589"/>
        <v>0.3</v>
      </c>
      <c r="EH397" s="1124"/>
      <c r="EI397" s="1093"/>
      <c r="EJ397" s="1093"/>
      <c r="EK397" s="1097">
        <f>IF($P397="","N/A",IF(P397=-1,INDEX('卡片raw data'!AS:AS,MATCH(D397,'卡片raw data'!$F:$F,)),0)+IF(AND(L397&lt;&gt;"party卡",P397&lt;=2,P397&gt;=0),INDEX('卡片raw data'!AU:AU,MATCH(D397,'卡片raw data'!$F:$F,)),0)+IF(OR(AND(L397="party卡",P397&lt;=1),AND(P397&lt;=4,L397&lt;&gt;"party卡",P397&gt;=3)),INDEX('卡片raw data'!AV:AV,MATCH(D397,'卡片raw data'!$F:$F,)),0)+IF(OR(P397=5,AND(L397="party卡",P397&gt;=2)),INDEX('卡片raw data'!AW:AW,MATCH(D397,'卡片raw data'!$F:$F,)),0))</f>
        <v>0</v>
      </c>
      <c r="EL397" s="1098">
        <f t="shared" si="590"/>
        <v>0.3</v>
      </c>
      <c r="EM397" s="1098">
        <f t="shared" si="591"/>
        <v>0.3</v>
      </c>
      <c r="EN397" s="1097">
        <f t="shared" si="592"/>
        <v>0</v>
      </c>
      <c r="EO397" s="1097">
        <f t="shared" si="593"/>
        <v>0</v>
      </c>
      <c r="EP397" s="1098">
        <f t="shared" si="594"/>
        <v>0</v>
      </c>
      <c r="EQ397" s="1121">
        <f t="shared" si="595"/>
        <v>0</v>
      </c>
      <c r="ER397" s="1101">
        <f t="shared" si="596"/>
        <v>0</v>
      </c>
      <c r="ES397" s="1097">
        <f t="shared" si="597"/>
        <v>0</v>
      </c>
      <c r="ET397" s="1122">
        <f t="shared" si="514"/>
        <v>0</v>
      </c>
    </row>
    <row r="398" spans="2:150" ht="16.5" customHeight="1">
      <c r="B398" s="1123" t="str">
        <f>INDEX('卡片raw data'!B:B,MATCH($D398,'卡片raw data'!$F:$F,))</f>
        <v>op1雫</v>
      </c>
      <c r="C398" s="449" t="s">
        <v>2060</v>
      </c>
      <c r="D398" s="408">
        <v>395</v>
      </c>
      <c r="E398" s="477">
        <v>202032001</v>
      </c>
      <c r="F398" s="1090" t="str">
        <f>INDEX('卡片raw data'!C:C,MATCH($D398,'卡片raw data'!$F:$F,))</f>
        <v>SR</v>
      </c>
      <c r="G398" s="1094" t="s">
        <v>2061</v>
      </c>
      <c r="H398" s="411">
        <f>IFERROR(INDEX(绊状态确认!C:C,MATCH($G398,绊状态确认!$B:$B,)),"")</f>
        <v>203</v>
      </c>
      <c r="I398" s="450" t="str">
        <f>IFERROR(INDEX(绊状态确认!D:D,MATCH($G398,绊状态确认!$B:$B,)),"")</f>
        <v>虹</v>
      </c>
      <c r="J398" s="450" t="str">
        <f>IFERROR(INDEX(绊状态确认!E:E,MATCH($G398,绊状态确认!$B:$B,)),"")</f>
        <v>1年级</v>
      </c>
      <c r="K398" s="451" t="str">
        <f>IFERROR(INDEX(绊状态确认!F:F,MATCH($G398,绊状态确认!$B:$B,)),"")</f>
        <v>A·ZU·NA</v>
      </c>
      <c r="L398" s="1094" t="str">
        <f>INDEX('卡片raw data'!E:E,MATCH($D398,'卡片raw data'!$F:$F,))</f>
        <v>卡池卡</v>
      </c>
      <c r="M398" s="478">
        <v>44226</v>
      </c>
      <c r="N398" s="479">
        <v>32.5</v>
      </c>
      <c r="O398" s="1091" t="str">
        <f>INDEX('卡片raw data'!D:D,MATCH($D398,'卡片raw data'!$F:$F,))</f>
        <v>sk</v>
      </c>
      <c r="P398" s="1126">
        <v>5</v>
      </c>
      <c r="Q398" s="1095">
        <f t="shared" si="515"/>
        <v>31835.198244611482</v>
      </c>
      <c r="R398" s="1096">
        <f t="shared" si="516"/>
        <v>0.37</v>
      </c>
      <c r="S398" s="1097">
        <f t="shared" si="517"/>
        <v>16923.519077023255</v>
      </c>
      <c r="T398" s="1098">
        <f t="shared" si="518"/>
        <v>0.84599999999999997</v>
      </c>
      <c r="U398" s="1099">
        <f t="shared" si="519"/>
        <v>33.492852647663305</v>
      </c>
      <c r="V398" s="1100">
        <f t="shared" si="520"/>
        <v>36549.198837366501</v>
      </c>
      <c r="W398" s="1101">
        <f t="shared" si="521"/>
        <v>4507.7214871259994</v>
      </c>
      <c r="X398" s="1096">
        <f t="shared" si="522"/>
        <v>5.1999999999999998E-2</v>
      </c>
      <c r="Y398" s="1097">
        <f t="shared" si="523"/>
        <v>2714.0005927550228</v>
      </c>
      <c r="Z398" s="1102">
        <f t="shared" si="524"/>
        <v>33.492852647663305</v>
      </c>
      <c r="AA398" s="1103">
        <f t="shared" si="525"/>
        <v>7221.7220798810222</v>
      </c>
      <c r="AB398" s="1101">
        <f t="shared" si="526"/>
        <v>8264.1560597309999</v>
      </c>
      <c r="AC398" s="1104">
        <f t="shared" si="527"/>
        <v>9.6000000000000002E-2</v>
      </c>
      <c r="AD398" s="1105">
        <f t="shared" si="528"/>
        <v>1.8994224431818179E-2</v>
      </c>
      <c r="AE398" s="1128">
        <f t="shared" si="529"/>
        <v>4.3537577047458456</v>
      </c>
      <c r="AF398" s="1130">
        <f t="shared" si="530"/>
        <v>0</v>
      </c>
      <c r="AG398" s="420">
        <f t="shared" si="531"/>
        <v>0</v>
      </c>
      <c r="AH398" s="420">
        <f t="shared" si="532"/>
        <v>0</v>
      </c>
      <c r="AI398" s="1097">
        <f t="shared" si="533"/>
        <v>0</v>
      </c>
      <c r="AJ398" s="420">
        <f t="shared" si="534"/>
        <v>0</v>
      </c>
      <c r="AK398" s="518">
        <f t="shared" si="535"/>
        <v>0</v>
      </c>
      <c r="AL398" s="1106">
        <f>IF($P398="","N/A",(IF($P398=-1,INDEX('卡片raw data'!S:S,MATCH($D398,'卡片raw data'!$F:$F,)),0)+IF($P398=0,INDEX('卡片raw data'!V:V,MATCH($D398,'卡片raw data'!$F:$F,)),0)+IF($P398=1,INDEX('卡片raw data'!Y:Y,MATCH($D398,'卡片raw data'!$F:$F,)),0)+IF($P398=2,INDEX('卡片raw data'!AB:AB,MATCH($D398,'卡片raw data'!$F:$F,)),0)+IF($P398=3,INDEX('卡片raw data'!AE:AE,MATCH($D398,'卡片raw data'!$F:$F,)),0)+IF($P398=4,INDEX('卡片raw data'!AH:AH,MATCH($D398,'卡片raw data'!$F:$F,)),0)+IF($P398=5,INDEX('卡片raw data'!AK:AK,MATCH($D398,'卡片raw data'!$F:$F,)),0)+INDEX('卡片raw data'!S:S,MATCH($D398,'卡片raw data'!$F:$F,))*(IF($F398="UR",0.04,0.033))*(IF($F398="UR",INDEX(绊状态确认!$S:$S,MATCH($G398,绊状态确认!$B:$B,))/2-40)+IF($F398="SR",INDEX(绊状态确认!$R:$R,MATCH($G398,绊状态确认!$B:$B,))/4-15))+IF($F398="R",INDEX(绊状态确认!$Q:$Q,MATCH($G398,绊状态确认!$B:$B,))/6-40/6)))*(INDEX(绊状态确认!$H:$H,MATCH($G398,绊状态确认!$B:$B,))+INDEX(绊状态确认!J:J,MATCH($G398,绊状态确认!$B:$B,)))</f>
        <v>7779.0557399999998</v>
      </c>
      <c r="AM398" s="1106">
        <f>IF($P398="","N/A",(IF($P398=-1,INDEX('卡片raw data'!T:T,MATCH($D398,'卡片raw data'!$F:$F,)),0)+IF($P398=0,INDEX('卡片raw data'!W:W,MATCH($D398,'卡片raw data'!$F:$F,)),0)+IF($P398=1,INDEX('卡片raw data'!Z:Z,MATCH($D398,'卡片raw data'!$F:$F,)),0)+IF($P398=2,INDEX('卡片raw data'!AC:AC,MATCH($D398,'卡片raw data'!$F:$F,)),0)+IF($P398=3,INDEX('卡片raw data'!AF:AF,MATCH($D398,'卡片raw data'!$F:$F,)),0)+IF($P398=4,INDEX('卡片raw data'!AI:AI,MATCH($D398,'卡片raw data'!$F:$F,)),0)+IF($P398=5,INDEX('卡片raw data'!AL:AL,MATCH($D398,'卡片raw data'!$F:$F,)),0)+INDEX('卡片raw data'!T:T,MATCH($D398,'卡片raw data'!$F:$F,))*(IF($F398="UR",0.04,0.033))*(IF($F398="UR",INDEX(绊状态确认!$S:$S,MATCH($G398,绊状态确认!$B:$B,))/2-40)+IF($F398="SR",INDEX(绊状态确认!$R:$R,MATCH($G398,绊状态确认!$B:$B,))/4-15))+IF($F398="R",INDEX(绊状态确认!$Q:$Q,MATCH($G398,绊状态确认!$B:$B,))/6-40/6)))*(INDEX(绊状态确认!$H:$H,MATCH($G398,绊状态确认!$B:$B,))+INDEX(绊状态确认!K:K,MATCH($G398,绊状态确认!$B:$B,)))</f>
        <v>4835.436547199999</v>
      </c>
      <c r="AN398" s="1106">
        <f>IF($P398="","N/A",(IF($P398=-1,INDEX('卡片raw data'!U:U,MATCH($D398,'卡片raw data'!$F:$F,)),0)+IF($P398=0,INDEX('卡片raw data'!X:X,MATCH($D398,'卡片raw data'!$F:$F,)),0)+IF($P398=1,INDEX('卡片raw data'!AA:AA,MATCH($D398,'卡片raw data'!$F:$F,)),0)+IF($P398=2,INDEX('卡片raw data'!AD:AD,MATCH($D398,'卡片raw data'!$F:$F,)),0)+IF($P398=3,INDEX('卡片raw data'!AG:AG,MATCH($D398,'卡片raw data'!$F:$F,)),0)+IF($P398=4,INDEX('卡片raw data'!AJ:AJ,MATCH($D398,'卡片raw data'!$F:$F,)),0)+IF($P398=5,INDEX('卡片raw data'!AM:AM,MATCH($D398,'卡片raw data'!$F:$F,)),0)+INDEX('卡片raw data'!U:U,MATCH($D398,'卡片raw data'!$F:$F,))*(IF($F398="UR",0.04,0.033))*(IF($F398="UR",INDEX(绊状态确认!$S:$S,MATCH($G398,绊状态确认!$B:$B,))/2-40)+IF($F398="SR",INDEX(绊状态确认!$R:$R,MATCH($G398,绊状态确认!$B:$B,))/4-15))+IF($F398="R",INDEX(绊状态确认!$Q:$Q,MATCH($G398,绊状态确认!$B:$B,))/6-40/6)))*(INDEX(绊状态确认!$H:$H,MATCH($G398,绊状态确认!$B:$B,))+INDEX(绊状态确认!L:L,MATCH($G398,绊状态确认!$B:$B,)))</f>
        <v>8412.7419263999982</v>
      </c>
      <c r="AO398" s="1107">
        <f t="shared" si="536"/>
        <v>1</v>
      </c>
      <c r="AP398" s="1131">
        <f>1+(INDEX(绊状态确认!$T:$T,MATCH($G398,绊状态确认!$B:$B,))+0.2)*$AO398</f>
        <v>1.3</v>
      </c>
      <c r="AQ398" s="1108">
        <f t="shared" si="537"/>
        <v>23670.021317499999</v>
      </c>
      <c r="AR398" s="1097">
        <f>(AM398*(1+$EX$9)+$EX$35)*(1+(INDEX(绊状态确认!$T:$T,MATCH($G398,绊状态确认!$B:$B,))+0.2)*AO398)*IF(J398=$FF$17,1+$FE$17,1)*IF(I398=$FF$14,1+$FE$14,1)</f>
        <v>9304.3708869279999</v>
      </c>
      <c r="AS398" s="1097">
        <f>(AN398*(1+$EX$10)+$EX$36)*(1+(INDEX(绊状态确认!$T:$T,MATCH($G398,绊状态确认!$B:$B,))+0.2)*AO398)*IF(J398=$FF$17,1+$FE$17,1)*IF(I398=$FF$14,1+$FE$14,1)</f>
        <v>16633.049179967995</v>
      </c>
      <c r="AT398" s="1093">
        <f>IF(AND(INDEX('卡片raw data'!AK:AK,MATCH($D398,'卡片raw data'!$F:$F,))&lt;INDEX('卡片raw data'!AM:AM,MATCH($D398,'卡片raw data'!$F:$F,)),INDEX('卡片raw data'!AL:AL,MATCH($D398,'卡片raw data'!$F:$F,))&lt;INDEX('卡片raw data'!AM:AM,MATCH($D398,'卡片raw data'!$F:$F,))),1,0)</f>
        <v>1</v>
      </c>
      <c r="AU398" s="1098">
        <f>MIN(AT398*0.15+AS398*0.00003+INDEX(绊状态确认!M:M,MATCH($G398,绊状态确认!$B:$B,)),1)</f>
        <v>0.67899147539903992</v>
      </c>
      <c r="AV398" s="1109">
        <f>(INDEX(绊状态确认!$N:$N,MATCH($G398,绊状态确认!$B:$B,))+1.5)*$EW$21</f>
        <v>2.6599999999999997</v>
      </c>
      <c r="AW398" s="1101">
        <f t="shared" si="538"/>
        <v>26148.645549693214</v>
      </c>
      <c r="AX398" s="1097">
        <f t="shared" si="539"/>
        <v>791.98334023431948</v>
      </c>
      <c r="AY398" s="1110">
        <f t="shared" si="540"/>
        <v>26940.628889927535</v>
      </c>
      <c r="AZ398" s="429">
        <f t="shared" si="541"/>
        <v>17769.158692999998</v>
      </c>
      <c r="BA398" s="431">
        <f t="shared" si="542"/>
        <v>21322.990431599996</v>
      </c>
      <c r="BB398" s="1097">
        <f>(AM398*(1+$FB$9)+$FB$35)*(1+(INDEX(绊状态确认!$T:$T,MATCH($G398,绊状态确认!$B:$B,))+0.2)*AO398)*IF(J398=$FF$17,1+$FE$17,1)*IF(I398=$FF$14,1+$FE$14,1)*(1+$FE$15)</f>
        <v>9304.3708869279999</v>
      </c>
      <c r="BC398" s="1097">
        <f>(AN398*(1+$FB$10)+$FB$36)*(1+(INDEX(绊状态确认!$T:$T,MATCH($G398,绊状态确认!$B:$B,))+0.2)*AO398)*IF(J398=$FF$17,1+$FE$17,1)*IF(I398=$FF$14,1+$FE$14,1)*(1+$FE$15)</f>
        <v>16633.049179967995</v>
      </c>
      <c r="BD398" s="1104">
        <f>MIN(AT398*0.15+BC398*0.00003+INDEX(绊状态确认!M:M,MATCH($G398,绊状态确认!$B:$B,)),1)</f>
        <v>0.67899147539903992</v>
      </c>
      <c r="BE398" s="432">
        <f>(INDEX(绊状态确认!$N:$N,MATCH($G398,绊状态确认!$B:$B,))+1.5)</f>
        <v>1.9</v>
      </c>
      <c r="BF398" s="1139">
        <f t="array" ref="BF398">SUMPRODUCT(IF(AZ398*AP398*$FI$16:$FI$23*$FA$22&gt;=$FI$24,$FI$24,AZ398*AP398*$FI$16:$FI$23*$FA$22),$FJ$16:$FJ$23)</f>
        <v>35342.856640377002</v>
      </c>
      <c r="BG398" s="1125">
        <f t="array" ref="BG398">SUMPRODUCT(IF(BE398*AZ398*AP398*$FI$16:$FI$23*$FA$22&gt;=$FI$24,$FI$24,BE398*AZ398*AP398*$FI$16:$FI$23*$FA$22),$FJ$16:$FJ$23)</f>
        <v>58972.455492927504</v>
      </c>
      <c r="BH398" s="1110">
        <f t="shared" si="543"/>
        <v>17129.050942785911</v>
      </c>
      <c r="BI398" s="1111">
        <f>IF(O398="vo",$EW$26/$EW$24*0.05,0)+IF(O398="sk",-$EW$26/$EW$24*(0.05-INDEX(绊状态确认!W:W,MATCH($G398,绊状态确认!$B:$B,)))+0.05*$EW$28,0)+IF(O398="sp",0.05*$EW$32*$EW$30*(1-$EW$33)-(0.05-INDEX(绊状态确认!V:V,MATCH($G398,绊状态确认!$B:$B,)))*$EW$28,0)+IF(O398="gd",-(0.05-INDEX(绊状态确认!X:X,MATCH($G398,绊状态确认!$B:$B,)))*$EW$32*$EW$30*(1-$EW$33),0)</f>
        <v>-6253.6726349699375</v>
      </c>
      <c r="BJ398" s="1097">
        <f>IF(O398="vo",0.05*(1-$FI$26)*$FA$24,0)+IF(O398="sk",-(0.05-INDEX(绊状态确认!W:W,MATCH($G398,绊状态确认!$B:$B,)))*(1-$FI$26)*$FA$24+0.05*$FA$26,0)+IF(O398="sp",0.05*$FA$32*$FA$27*(1-$FA$33)/$FA$30+0.05*$FA$29/$FA$69*$FA$27*(1-$FA$33)-(0.05-INDEX(绊状态确认!V:V,MATCH($G398,绊状态确认!$B:$B,)))*$FA$26,0)+IF(O398="gd",-(0.05-INDEX(绊状态确认!X:X,MATCH($G398,绊状态确认!$B:$B,)))*$FA$32*$FA$27*(1-$FA$33)/$FA$30-(0.05-INDEX(绊状态确认!X:X,MATCH($G398,绊状态确认!$B:$B,)))*$FA$29/$FA$69*$FA$27*(1-$FA$33),0)</f>
        <v>20.459096812499922</v>
      </c>
      <c r="BK398" s="1110">
        <f>IF(O398="vo",$EW$26/$EW$24*0.05+$EW$26*(-HP($EW$62,$EW$65,$EW$64)+HP($EW$62,$EW$65,(1.05-INDEX(绊状态确认!U:U,MATCH($G398,绊状态确认!$B:$B,)))*$EW$64)),0)+IF(O398="sk",-$EW$26/$EW$24*(0.05-INDEX(绊状态确认!W:W,MATCH($G398,绊状态确认!$B:$B,)))+0.05*$EW$29,0)+IF(O398="sp",0.05*$EW$32*$EW$30*(1-$EW$33)-(0.05-INDEX(绊状态确认!V:V,MATCH($G398,绊状态确认!$B:$B,)))*$EW$29,0)+IF(O398="gd",-(0.05-INDEX(绊状态确认!X:X,MATCH($G398,绊状态确认!$B:$B,)))*$EW$32*$EW$30*(1-$EW$33)+$EW$26*(-HP($EW$62,$EW$65,$EW$64)+HP($EW$62,$EW$65,0.95*$EW$64)),0)</f>
        <v>-4253.6726349699375</v>
      </c>
      <c r="BL398" s="1111">
        <f t="shared" si="544"/>
        <v>-1083.3333333333333</v>
      </c>
      <c r="BM398" s="1110">
        <f t="shared" si="545"/>
        <v>-830.55555555555543</v>
      </c>
      <c r="BN398" s="1113">
        <f t="shared" si="546"/>
        <v>3</v>
      </c>
      <c r="BO398" s="1108">
        <f t="shared" si="547"/>
        <v>4507.7214871259994</v>
      </c>
      <c r="BP398" s="1100">
        <f t="shared" si="548"/>
        <v>221.34103209030098</v>
      </c>
      <c r="BQ398" s="1113" t="s">
        <v>132</v>
      </c>
      <c r="BR398" s="1124" t="s">
        <v>168</v>
      </c>
      <c r="BS398" s="1098">
        <f>IF($P398="","N/A",IF($P398=-1,INDEX('卡片raw data'!AX:AX,MATCH($D398,'卡片raw data'!$F:$F,)),0)+IF($L398="party卡",IF($P398=5,INDEX('卡片raw data'!BD:BD,MATCH($D398,'卡片raw data'!$F:$F,)),IF($P398&gt;=3,INDEX('卡片raw data'!BC:BC,MATCH($D398,'卡片raw data'!$F:$F,)),INDEX('卡片raw data'!BB:BB,MATCH($D398,'卡片raw data'!$F:$F,)))),IF(OR(AND($F398="UR",$P398=0),AND($F398="SR",$P398&gt;=0,$P398&lt;=2),AND($F398="R",$P398&gt;=0,$P398&lt;4)),INDEX('卡片raw data'!AZ:AZ,MATCH($D398,'卡片raw data'!$F:$F,)),0)+IF(OR(AND($F398="UR",$P398&gt;=1,$P398&lt;=4),AND($F398="SR",$P398&lt;=4,$P398&gt;=3),AND($F398="R",$P398=4)),INDEX('卡片raw data'!BA:BA,MATCH($D398,'卡片raw data'!$F:$F,)),0)+IF($P398=5,INDEX('卡片raw data'!BB:BB,MATCH($D398,'卡片raw data'!$F:$F,)),0)))</f>
        <v>0.05</v>
      </c>
      <c r="BT398" s="1101">
        <f t="shared" si="549"/>
        <v>3756.4345726050001</v>
      </c>
      <c r="BU398" s="1097">
        <f t="shared" si="550"/>
        <v>184.45086007525089</v>
      </c>
      <c r="BV398" s="1097">
        <f t="shared" si="551"/>
        <v>0</v>
      </c>
      <c r="BW398" s="1112">
        <f t="shared" si="552"/>
        <v>0</v>
      </c>
      <c r="BX398" s="1100">
        <f t="shared" si="553"/>
        <v>3756.4345726050001</v>
      </c>
      <c r="BY398" s="1110">
        <f t="shared" si="554"/>
        <v>0</v>
      </c>
      <c r="BZ398" s="1113" t="s">
        <v>569</v>
      </c>
      <c r="CA398" s="1124"/>
      <c r="CB398" s="1098">
        <f>IF($P398="","N/A",IF($P398=-1,INDEX('卡片raw data'!BE:BE,MATCH($D398,'卡片raw data'!$F:$F,)),0)+IF($L398="party卡",IF($P398=5,INDEX('卡片raw data'!BK:BK,MATCH($D398,'卡片raw data'!$F:$F,)),IF($P398&gt;=3,INDEX('卡片raw data'!BJ:BJ,MATCH($D398,'卡片raw data'!$F:$F,)),INDEX('卡片raw data'!BI:BI,MATCH($D398,'卡片raw data'!$F:$F,)))),IF(OR(AND($F398="UR",$P398=0),AND($F398="SR",$P398&gt;=0,$P398&lt;=2),AND($F398="R",$P398&gt;=0,$P398&lt;4)),INDEX('卡片raw data'!BG:BG,MATCH($D398,'卡片raw data'!$F:$F,)),0)+IF(OR(AND($F398="UR",$P398&gt;=1,$P398&lt;=4),AND($F398="SR",$P398&lt;=4,$P398&gt;=3),AND($F398="R",$P398=4)),INDEX('卡片raw data'!BH:BH,MATCH($D398,'卡片raw data'!$F:$F,)),0)+IF($P398=5,INDEX('卡片raw data'!BI:BI,MATCH($D398,'卡片raw data'!$F:$F,)),0)))</f>
        <v>0</v>
      </c>
      <c r="CC398" s="1101">
        <f t="shared" si="555"/>
        <v>0</v>
      </c>
      <c r="CD398" s="1097">
        <f>IF(BZ398="ap",CB398*(1-$FI$26)*$FB$5/$FB$11*(+IF(CA398="全员",$FA$24,0)+IF(CA398="同作战",$FA$24,0)+IF(CA398="仲间",$FA$24*2/3,0)+IF(CA398="同属性",$FA$24*$FA$37/3,0)+IF(CA398="同年级",$FA$24*$FA$40/3,0)+IF(CA398="同学校",$FA$24*$FA$43/3,0)+IF(CA398="同小队",$FA$24*$FA$46/3,0)+IF(CA398="同type",$FA$24*INDEX($FB$49:$FB$52,MATCH(X398,$FA$49:$FA$52,))/3,0)+IF(CA398="自身",#REF!/3,0)),0)+IF(BZ398="te",CB398*(1-$FI$27)*($FA$20-1)*$FB$7/$FB$13*(+IF(CA398="全员",$FA$19*$FA$24/(1+($FA$20-1)*$FA$19),0)+IF(CA398="同作战",$FA$19*$FA$24/(1+($FA$20-1)*$FA$19),0)+IF(CA398="仲间",$FA$19*$FA$24*2/3/(1+($FA$20-1)*$FA$19),0)+IF(CA398="同属性",$FA$19*$FA$24*$FA$37/3/(1+($FA$20-1)*$FA$19),0)+IF(CA398="同年级",$FA$19*$FA$24*$FA$40/3/(1+($FA$20-1)*$FA$19),0)+IF(CA398="同学校",$FA$19*$FA$24*$FA$43/3/(1+($FA$20-1)*$FA$19),0)+IF(CA398="同小队",$FA$19*$FA$24*$FA$46/3/(1+($FA$20-1)*$FA$19),0)+IF(CA398="同type",$FA$19*$FA$24*INDEX($FB$49:$FB$52,MATCH(X398,$FA$49:$FA$52,))/3/(1+($FA$20-1)*$FA$19),0)+IF(CA398="自身",$FA$19*#REF!/3/(1+(BH398-1)*$BD398),0)),0)</f>
        <v>0</v>
      </c>
      <c r="CE398" s="1097">
        <f t="shared" si="556"/>
        <v>0</v>
      </c>
      <c r="CF398" s="1112">
        <f t="shared" si="557"/>
        <v>0</v>
      </c>
      <c r="CG398" s="1100">
        <f t="shared" si="558"/>
        <v>0</v>
      </c>
      <c r="CH398" s="1110">
        <f t="shared" si="559"/>
        <v>0</v>
      </c>
      <c r="CI398" s="1113" t="s">
        <v>164</v>
      </c>
      <c r="CJ398" s="1114">
        <v>1</v>
      </c>
      <c r="CK398" s="1115" t="s">
        <v>635</v>
      </c>
      <c r="CL398" s="1115" t="s">
        <v>2062</v>
      </c>
      <c r="CM398" s="1119">
        <v>6.6000000000000003E-2</v>
      </c>
      <c r="CN398" s="1115"/>
      <c r="CO398" s="1115"/>
      <c r="CP398" s="1116">
        <f t="shared" si="560"/>
        <v>23.523883840240448</v>
      </c>
      <c r="CQ398" s="1116">
        <f t="shared" si="561"/>
        <v>36.592708195929589</v>
      </c>
      <c r="CR398" s="1117">
        <f t="shared" si="562"/>
        <v>23.523883840240448</v>
      </c>
      <c r="CS398" s="1118">
        <f t="shared" si="563"/>
        <v>0</v>
      </c>
      <c r="CT398" s="1109">
        <f t="shared" si="564"/>
        <v>0</v>
      </c>
      <c r="CU398" s="1101">
        <f t="shared" si="565"/>
        <v>0</v>
      </c>
      <c r="CV398" s="1108">
        <f t="shared" si="566"/>
        <v>0</v>
      </c>
      <c r="CW398" s="1097">
        <f t="shared" si="567"/>
        <v>0</v>
      </c>
      <c r="CX398" s="1097">
        <f t="shared" si="568"/>
        <v>1922.0172525207033</v>
      </c>
      <c r="CY398" s="1110">
        <f t="shared" si="569"/>
        <v>1922.0172525207033</v>
      </c>
      <c r="CZ398" s="437"/>
      <c r="DA398" s="438"/>
      <c r="DB398" s="439" t="s">
        <v>569</v>
      </c>
      <c r="DC398" s="439"/>
      <c r="DD398" s="443"/>
      <c r="DE398" s="411"/>
      <c r="DF398" s="411"/>
      <c r="DG398" s="1116">
        <f t="shared" si="570"/>
        <v>0</v>
      </c>
      <c r="DH398" s="1116">
        <f t="shared" si="571"/>
        <v>0</v>
      </c>
      <c r="DI398" s="1116">
        <f t="shared" si="572"/>
        <v>0</v>
      </c>
      <c r="DJ398" s="442">
        <f t="shared" si="573"/>
        <v>0</v>
      </c>
      <c r="DK398" s="1109">
        <f t="shared" si="574"/>
        <v>0</v>
      </c>
      <c r="DL398" s="1101">
        <f t="shared" si="575"/>
        <v>0</v>
      </c>
      <c r="DM398" s="1097">
        <f t="shared" si="576"/>
        <v>0</v>
      </c>
      <c r="DN398" s="1097">
        <f t="shared" si="577"/>
        <v>0</v>
      </c>
      <c r="DO398" s="1097">
        <f t="shared" si="578"/>
        <v>0</v>
      </c>
      <c r="DP398" s="1110">
        <f t="shared" si="579"/>
        <v>0</v>
      </c>
      <c r="DQ398" s="1113" t="s">
        <v>167</v>
      </c>
      <c r="DR398" s="1120">
        <f t="shared" si="580"/>
        <v>0.3</v>
      </c>
      <c r="DS398" s="1124">
        <v>5</v>
      </c>
      <c r="DT398" s="1124" t="s">
        <v>168</v>
      </c>
      <c r="DU398" s="1093" t="s">
        <v>544</v>
      </c>
      <c r="DV398" s="1098">
        <f>IF($P398="","N/A",IF(P398=-1,INDEX('卡片raw data'!AN:AN,MATCH(D398,'卡片raw data'!$F:$F,)),0)+IF(AND(L398&lt;&gt;"party卡",P398&lt;=2,P398&gt;=0),INDEX('卡片raw data'!AP:AP,MATCH(D398,'卡片raw data'!$F:$F,)),0)+IF(OR(AND(L398="party卡",P398&lt;=1),AND(P398&lt;=4,L398&lt;&gt;"party卡",P398&gt;=3)),INDEX('卡片raw data'!AQ:AQ,MATCH(D398,'卡片raw data'!$F:$F,)),0)+IF(OR(P398=5,AND(L398="party卡",P398&gt;=2)),INDEX('卡片raw data'!AR:AR,MATCH(D398,'卡片raw data'!$F:$F,)),0))</f>
        <v>7.0000000000000007E-2</v>
      </c>
      <c r="DW398" s="1098">
        <f t="shared" si="581"/>
        <v>0.3</v>
      </c>
      <c r="DX398" s="1098">
        <f t="shared" si="582"/>
        <v>0.3</v>
      </c>
      <c r="DY398" s="1098">
        <f t="shared" si="583"/>
        <v>3.5000000000000003E-2</v>
      </c>
      <c r="DZ398" s="1098">
        <f t="shared" si="584"/>
        <v>3.0275000000000003E-2</v>
      </c>
      <c r="EA398" s="1098">
        <f t="shared" si="585"/>
        <v>0</v>
      </c>
      <c r="EB398" s="1121">
        <f t="shared" si="586"/>
        <v>0</v>
      </c>
      <c r="EC398" s="1101">
        <f t="shared" si="587"/>
        <v>4759.4026034905355</v>
      </c>
      <c r="ED398" s="1097">
        <f t="shared" si="588"/>
        <v>198.7727008148438</v>
      </c>
      <c r="EE398" s="1110">
        <f t="shared" si="513"/>
        <v>4759.4026034905355</v>
      </c>
      <c r="EF398" s="1115" t="s">
        <v>569</v>
      </c>
      <c r="EG398" s="1120">
        <f t="shared" si="589"/>
        <v>0.3</v>
      </c>
      <c r="EH398" s="1124"/>
      <c r="EI398" s="1093"/>
      <c r="EJ398" s="1093"/>
      <c r="EK398" s="1097">
        <f>IF($P398="","N/A",IF(P398=-1,INDEX('卡片raw data'!AS:AS,MATCH(D398,'卡片raw data'!$F:$F,)),0)+IF(AND(L398&lt;&gt;"party卡",P398&lt;=2,P398&gt;=0),INDEX('卡片raw data'!AU:AU,MATCH(D398,'卡片raw data'!$F:$F,)),0)+IF(OR(AND(L398="party卡",P398&lt;=1),AND(P398&lt;=4,L398&lt;&gt;"party卡",P398&gt;=3)),INDEX('卡片raw data'!AV:AV,MATCH(D398,'卡片raw data'!$F:$F,)),0)+IF(OR(P398=5,AND(L398="party卡",P398&gt;=2)),INDEX('卡片raw data'!AW:AW,MATCH(D398,'卡片raw data'!$F:$F,)),0))</f>
        <v>0</v>
      </c>
      <c r="EL398" s="1098">
        <f t="shared" si="590"/>
        <v>0.3</v>
      </c>
      <c r="EM398" s="1098">
        <f t="shared" si="591"/>
        <v>0.3</v>
      </c>
      <c r="EN398" s="1097">
        <f t="shared" si="592"/>
        <v>0</v>
      </c>
      <c r="EO398" s="1097">
        <f t="shared" si="593"/>
        <v>0</v>
      </c>
      <c r="EP398" s="1098">
        <f t="shared" si="594"/>
        <v>0</v>
      </c>
      <c r="EQ398" s="1121">
        <f t="shared" si="595"/>
        <v>0</v>
      </c>
      <c r="ER398" s="1101">
        <f t="shared" si="596"/>
        <v>0</v>
      </c>
      <c r="ES398" s="1097">
        <f t="shared" si="597"/>
        <v>0</v>
      </c>
      <c r="ET398" s="1122">
        <f t="shared" si="514"/>
        <v>0</v>
      </c>
    </row>
    <row r="399" spans="2:150" ht="16.5" customHeight="1">
      <c r="B399" s="1123" t="str">
        <f>INDEX('卡片raw data'!B:B,MATCH($D399,'卡片raw data'!$F:$F,))</f>
        <v>情人果</v>
      </c>
      <c r="C399" s="449" t="s">
        <v>2067</v>
      </c>
      <c r="D399" s="408">
        <v>396</v>
      </c>
      <c r="E399" s="477">
        <v>400013004</v>
      </c>
      <c r="F399" s="1090" t="str">
        <f>INDEX('卡片raw data'!C:C,MATCH($D399,'卡片raw data'!$F:$F,))</f>
        <v>UR</v>
      </c>
      <c r="G399" s="1094" t="s">
        <v>2068</v>
      </c>
      <c r="H399" s="411">
        <f>IFERROR(INDEX(绊状态确认!C:C,MATCH($G399,绊状态确认!$B:$B,)),"")</f>
        <v>1</v>
      </c>
      <c r="I399" s="450" t="str">
        <f>IFERROR(INDEX(绊状态确认!D:D,MATCH($G399,绊状态确认!$B:$B,)),"")</f>
        <v>缪</v>
      </c>
      <c r="J399" s="450" t="str">
        <f>IFERROR(INDEX(绊状态确认!E:E,MATCH($G399,绊状态确认!$B:$B,)),"")</f>
        <v>2年级</v>
      </c>
      <c r="K399" s="451" t="str">
        <f>IFERROR(INDEX(绊状态确认!F:F,MATCH($G399,绊状态确认!$B:$B,)),"")</f>
        <v>Printemps</v>
      </c>
      <c r="L399" s="1094" t="str">
        <f>INDEX('卡片raw data'!E:E,MATCH($D399,'卡片raw data'!$F:$F,))</f>
        <v>卡池卡</v>
      </c>
      <c r="M399" s="478">
        <v>44231</v>
      </c>
      <c r="N399" s="479">
        <v>33</v>
      </c>
      <c r="O399" s="1091" t="str">
        <f>INDEX('卡片raw data'!D:D,MATCH($D399,'卡片raw data'!$F:$F,))</f>
        <v>sp</v>
      </c>
      <c r="P399" s="1126">
        <v>5</v>
      </c>
      <c r="Q399" s="1095">
        <f t="shared" si="515"/>
        <v>54679.619665282422</v>
      </c>
      <c r="R399" s="1096">
        <f t="shared" si="516"/>
        <v>0.63500000000000001</v>
      </c>
      <c r="S399" s="1097">
        <f t="shared" si="517"/>
        <v>22858.700697419357</v>
      </c>
      <c r="T399" s="1098">
        <f t="shared" si="518"/>
        <v>1.1419999999999999</v>
      </c>
      <c r="U399" s="1099">
        <f t="shared" si="519"/>
        <v>14.926922684142856</v>
      </c>
      <c r="V399" s="1100">
        <f t="shared" si="520"/>
        <v>54077.607764913242</v>
      </c>
      <c r="W399" s="1101">
        <f t="shared" si="521"/>
        <v>5788.0530883073698</v>
      </c>
      <c r="X399" s="1096">
        <f t="shared" si="522"/>
        <v>6.7000000000000004E-2</v>
      </c>
      <c r="Y399" s="1097">
        <f t="shared" si="523"/>
        <v>1197.9880996308166</v>
      </c>
      <c r="Z399" s="1102">
        <f t="shared" si="524"/>
        <v>14.926922684142856</v>
      </c>
      <c r="AA399" s="1103">
        <f t="shared" si="525"/>
        <v>6986.0411879381863</v>
      </c>
      <c r="AB399" s="1101">
        <f t="shared" si="526"/>
        <v>7014.3162570541936</v>
      </c>
      <c r="AC399" s="1104">
        <f t="shared" si="527"/>
        <v>8.1000000000000003E-2</v>
      </c>
      <c r="AD399" s="1105">
        <f t="shared" si="528"/>
        <v>-1.6087500000000001E-2</v>
      </c>
      <c r="AE399" s="1128">
        <f t="shared" si="529"/>
        <v>71.261690543478238</v>
      </c>
      <c r="AF399" s="1130">
        <f t="shared" si="530"/>
        <v>0</v>
      </c>
      <c r="AG399" s="420">
        <f t="shared" si="531"/>
        <v>0</v>
      </c>
      <c r="AH399" s="420">
        <f t="shared" si="532"/>
        <v>0</v>
      </c>
      <c r="AI399" s="1097">
        <f t="shared" si="533"/>
        <v>0</v>
      </c>
      <c r="AJ399" s="420">
        <f t="shared" si="534"/>
        <v>0</v>
      </c>
      <c r="AK399" s="518">
        <f t="shared" si="535"/>
        <v>0</v>
      </c>
      <c r="AL399" s="1106">
        <f>IF($P399="","N/A",(IF($P399=-1,INDEX('卡片raw data'!S:S,MATCH($D399,'卡片raw data'!$F:$F,)),0)+IF($P399=0,INDEX('卡片raw data'!V:V,MATCH($D399,'卡片raw data'!$F:$F,)),0)+IF($P399=1,INDEX('卡片raw data'!Y:Y,MATCH($D399,'卡片raw data'!$F:$F,)),0)+IF($P399=2,INDEX('卡片raw data'!AB:AB,MATCH($D399,'卡片raw data'!$F:$F,)),0)+IF($P399=3,INDEX('卡片raw data'!AE:AE,MATCH($D399,'卡片raw data'!$F:$F,)),0)+IF($P399=4,INDEX('卡片raw data'!AH:AH,MATCH($D399,'卡片raw data'!$F:$F,)),0)+IF($P399=5,INDEX('卡片raw data'!AK:AK,MATCH($D399,'卡片raw data'!$F:$F,)),0)+INDEX('卡片raw data'!S:S,MATCH($D399,'卡片raw data'!$F:$F,))*(IF($F399="UR",0.04,0.033))*(IF($F399="UR",INDEX(绊状态确认!$S:$S,MATCH($G399,绊状态确认!$B:$B,))/2-40)+IF($F399="SR",INDEX(绊状态确认!$R:$R,MATCH($G399,绊状态确认!$B:$B,))/4-15))+IF($F399="R",INDEX(绊状态确认!$Q:$Q,MATCH($G399,绊状态确认!$B:$B,))/6-40/6)))*(INDEX(绊状态确认!$H:$H,MATCH($G399,绊状态确认!$B:$B,))+INDEX(绊状态确认!J:J,MATCH($G399,绊状态确认!$B:$B,)))</f>
        <v>13023.598559999999</v>
      </c>
      <c r="AM399" s="1106">
        <f>IF($P399="","N/A",(IF($P399=-1,INDEX('卡片raw data'!T:T,MATCH($D399,'卡片raw data'!$F:$F,)),0)+IF($P399=0,INDEX('卡片raw data'!W:W,MATCH($D399,'卡片raw data'!$F:$F,)),0)+IF($P399=1,INDEX('卡片raw data'!Z:Z,MATCH($D399,'卡片raw data'!$F:$F,)),0)+IF($P399=2,INDEX('卡片raw data'!AC:AC,MATCH($D399,'卡片raw data'!$F:$F,)),0)+IF($P399=3,INDEX('卡片raw data'!AF:AF,MATCH($D399,'卡片raw data'!$F:$F,)),0)+IF($P399=4,INDEX('卡片raw data'!AI:AI,MATCH($D399,'卡片raw data'!$F:$F,)),0)+IF($P399=5,INDEX('卡片raw data'!AL:AL,MATCH($D399,'卡片raw data'!$F:$F,)),0)+INDEX('卡片raw data'!T:T,MATCH($D399,'卡片raw data'!$F:$F,))*(IF($F399="UR",0.04,0.033))*(IF($F399="UR",INDEX(绊状态确认!$S:$S,MATCH($G399,绊状态确认!$B:$B,))/2-40)+IF($F399="SR",INDEX(绊状态确认!$R:$R,MATCH($G399,绊状态确认!$B:$B,))/4-15))+IF($F399="R",INDEX(绊状态确认!$Q:$Q,MATCH($G399,绊状态确认!$B:$B,))/6-40/6)))*(INDEX(绊状态确认!$H:$H,MATCH($G399,绊状态确认!$B:$B,))+INDEX(绊状态确认!K:K,MATCH($G399,绊状态确认!$B:$B,)))</f>
        <v>8225.4904799999986</v>
      </c>
      <c r="AN399" s="1106">
        <f>IF($P399="","N/A",(IF($P399=-1,INDEX('卡片raw data'!U:U,MATCH($D399,'卡片raw data'!$F:$F,)),0)+IF($P399=0,INDEX('卡片raw data'!X:X,MATCH($D399,'卡片raw data'!$F:$F,)),0)+IF($P399=1,INDEX('卡片raw data'!AA:AA,MATCH($D399,'卡片raw data'!$F:$F,)),0)+IF($P399=2,INDEX('卡片raw data'!AD:AD,MATCH($D399,'卡片raw data'!$F:$F,)),0)+IF($P399=3,INDEX('卡片raw data'!AG:AG,MATCH($D399,'卡片raw data'!$F:$F,)),0)+IF($P399=4,INDEX('卡片raw data'!AJ:AJ,MATCH($D399,'卡片raw data'!$F:$F,)),0)+IF($P399=5,INDEX('卡片raw data'!AM:AM,MATCH($D399,'卡片raw data'!$F:$F,)),0)+INDEX('卡片raw data'!U:U,MATCH($D399,'卡片raw data'!$F:$F,))*(IF($F399="UR",0.04,0.033))*(IF($F399="UR",INDEX(绊状态确认!$S:$S,MATCH($G399,绊状态确认!$B:$B,))/2-40)+IF($F399="SR",INDEX(绊状态确认!$R:$R,MATCH($G399,绊状态确认!$B:$B,))/4-15))+IF($F399="R",INDEX(绊状态确认!$Q:$Q,MATCH($G399,绊状态确认!$B:$B,))/6-40/6)))*(INDEX(绊状态确认!$H:$H,MATCH($G399,绊状态确认!$B:$B,))+INDEX(绊状态确认!L:L,MATCH($G399,绊状态确认!$B:$B,)))</f>
        <v>13023.598559999999</v>
      </c>
      <c r="AO399" s="1107">
        <f t="shared" si="536"/>
        <v>1</v>
      </c>
      <c r="AP399" s="1131">
        <f>1+(INDEX(绊状态确认!$T:$T,MATCH($G399,绊状态确认!$B:$B,))+0.2)*$AO399</f>
        <v>1.3</v>
      </c>
      <c r="AQ399" s="1108">
        <f t="shared" si="537"/>
        <v>37436.946219999998</v>
      </c>
      <c r="AR399" s="1097">
        <f>(AM399*(1+$EX$9)+$EX$35)*(1+(INDEX(绊状态确认!$T:$T,MATCH($G399,绊状态确认!$B:$B,))+0.2)*AO399)*IF(J399=$FF$17,1+$FE$17,1)*IF(I399=$FF$14,1+$FE$14,1)</f>
        <v>13931.7945052</v>
      </c>
      <c r="AS399" s="1097">
        <f>(AN399*(1+$EX$10)+$EX$36)*(1+(INDEX(绊状态确认!$T:$T,MATCH($G399,绊状态确认!$B:$B,))+0.2)*AO399)*IF(J399=$FF$17,1+$FE$17,1)*IF(I399=$FF$14,1+$FE$14,1)</f>
        <v>23526.279847199999</v>
      </c>
      <c r="AT399" s="1093">
        <f>IF(AND(INDEX('卡片raw data'!AK:AK,MATCH($D399,'卡片raw data'!$F:$F,))&lt;INDEX('卡片raw data'!AM:AM,MATCH($D399,'卡片raw data'!$F:$F,)),INDEX('卡片raw data'!AL:AL,MATCH($D399,'卡片raw data'!$F:$F,))&lt;INDEX('卡片raw data'!AM:AM,MATCH($D399,'卡片raw data'!$F:$F,))),1,0)</f>
        <v>0</v>
      </c>
      <c r="AU399" s="1098">
        <f>MIN(AT399*0.15+AS399*0.00003+INDEX(绊状态确认!M:M,MATCH($G399,绊状态确认!$B:$B,)),1)</f>
        <v>0.73578839541600005</v>
      </c>
      <c r="AV399" s="1109">
        <f>(INDEX(绊状态确认!$N:$N,MATCH($G399,绊状态确认!$B:$B,))+1.5)*$EW$21</f>
        <v>2.6599999999999997</v>
      </c>
      <c r="AW399" s="1101">
        <f t="shared" si="538"/>
        <v>43190.303408228225</v>
      </c>
      <c r="AX399" s="1097">
        <f t="shared" si="539"/>
        <v>1197.9880996308168</v>
      </c>
      <c r="AY399" s="1110">
        <f t="shared" si="540"/>
        <v>44388.291507859045</v>
      </c>
      <c r="AZ399" s="429">
        <f t="shared" si="541"/>
        <v>27996.017191999996</v>
      </c>
      <c r="BA399" s="431">
        <f t="shared" si="542"/>
        <v>33595.220630399992</v>
      </c>
      <c r="BB399" s="1097">
        <f>(AM399*(1+$FB$9)+$FB$35)*(1+(INDEX(绊状态确认!$T:$T,MATCH($G399,绊状态确认!$B:$B,))+0.2)*AO399)*IF(J399=$FF$17,1+$FE$17,1)*IF(I399=$FF$14,1+$FE$14,1)*(1+$FE$15)</f>
        <v>13931.7945052</v>
      </c>
      <c r="BC399" s="1097">
        <f>(AN399*(1+$FB$10)+$FB$36)*(1+(INDEX(绊状态确认!$T:$T,MATCH($G399,绊状态确认!$B:$B,))+0.2)*AO399)*IF(J399=$FF$17,1+$FE$17,1)*IF(I399=$FF$14,1+$FE$14,1)*(1+$FE$15)</f>
        <v>23526.279847199999</v>
      </c>
      <c r="BD399" s="1104">
        <f>MIN(AT399*0.15+BC399*0.00003+INDEX(绊状态确认!M:M,MATCH($G399,绊状态确认!$B:$B,)),1)</f>
        <v>0.73578839541600005</v>
      </c>
      <c r="BE399" s="432">
        <f>(INDEX(绊状态确认!$N:$N,MATCH($G399,绊状态确认!$B:$B,))+1.5)</f>
        <v>1.9</v>
      </c>
      <c r="BF399" s="1139">
        <f t="array" ref="BF399">SUMPRODUCT(IF(AZ399*AP399*$FI$16:$FI$23*$FA$22&gt;=$FI$24,$FI$24,AZ399*AP399*$FI$16:$FI$23*$FA$22),$FJ$16:$FJ$23)</f>
        <v>54030.874126103998</v>
      </c>
      <c r="BG399" s="1125">
        <f t="array" ref="BG399">SUMPRODUCT(IF(BE399*AZ399*AP399*$FI$16:$FI$23*$FA$22&gt;=$FI$24,$FI$24,BE399*AZ399*AP399*$FI$16:$FI$23*$FA$22),$FJ$16:$FJ$23)</f>
        <v>60000</v>
      </c>
      <c r="BH399" s="1110">
        <f t="shared" si="543"/>
        <v>19474.295891631355</v>
      </c>
      <c r="BI399" s="1111">
        <f>IF(O399="vo",$EW$26/$EW$24*0.05,0)+IF(O399="sk",-$EW$26/$EW$24*(0.05-INDEX(绊状态确认!W:W,MATCH($G399,绊状态确认!$B:$B,)))+0.05*$EW$28,0)+IF(O399="sp",0.05*$EW$32*$EW$30*(1-$EW$33)-(0.05-INDEX(绊状态确认!V:V,MATCH($G399,绊状态确认!$B:$B,)))*$EW$28,0)+IF(O399="gd",-(0.05-INDEX(绊状态确认!X:X,MATCH($G399,绊状态确认!$B:$B,)))*$EW$32*$EW$30*(1-$EW$33),0)</f>
        <v>19.999999999999886</v>
      </c>
      <c r="BJ399" s="1097">
        <f>IF(O399="vo",0.05*(1-$FI$26)*$FA$24,0)+IF(O399="sk",-(0.05-INDEX(绊状态确认!W:W,MATCH($G399,绊状态确认!$B:$B,)))*(1-$FI$26)*$FA$24+0.05*$FA$26,0)+IF(O399="sp",0.05*$FA$32*$FA$27*(1-$FA$33)/$FA$30+0.05*$FA$29/$FA$69*$FA$27*(1-$FA$33)-(0.05-INDEX(绊状态确认!V:V,MATCH($G399,绊状态确认!$B:$B,)))*$FA$26,0)+IF(O399="gd",-(0.05-INDEX(绊状态确认!X:X,MATCH($G399,绊状态确认!$B:$B,)))*$FA$32*$FA$27*(1-$FA$33)/$FA$30-(0.05-INDEX(绊状态确认!X:X,MATCH($G399,绊状态确认!$B:$B,)))*$FA$29/$FA$69*$FA$27*(1-$FA$33),0)</f>
        <v>545.83333333333326</v>
      </c>
      <c r="BK399" s="1110">
        <f>IF(O399="vo",$EW$26/$EW$24*0.05+$EW$26*(-HP($EW$62,$EW$65,$EW$64)+HP($EW$62,$EW$65,(1.05-INDEX(绊状态确认!U:U,MATCH($G399,绊状态确认!$B:$B,)))*$EW$64)),0)+IF(O399="sk",-$EW$26/$EW$24*(0.05-INDEX(绊状态确认!W:W,MATCH($G399,绊状态确认!$B:$B,)))+0.05*$EW$29,0)+IF(O399="sp",0.05*$EW$32*$EW$30*(1-$EW$33)-(0.05-INDEX(绊状态确认!V:V,MATCH($G399,绊状态确认!$B:$B,)))*$EW$29,0)+IF(O399="gd",-(0.05-INDEX(绊状态确认!X:X,MATCH($G399,绊状态确认!$B:$B,)))*$EW$32*$EW$30*(1-$EW$33)+$EW$26*(-HP($EW$62,$EW$65,$EW$64)+HP($EW$62,$EW$65,0.95*$EW$64)),0)</f>
        <v>-1780.0000000000005</v>
      </c>
      <c r="BL399" s="1111">
        <f t="shared" si="544"/>
        <v>0</v>
      </c>
      <c r="BM399" s="1110">
        <f t="shared" si="545"/>
        <v>0</v>
      </c>
      <c r="BN399" s="1113">
        <f t="shared" si="546"/>
        <v>3</v>
      </c>
      <c r="BO399" s="1108">
        <f t="shared" si="547"/>
        <v>4507.7214871259994</v>
      </c>
      <c r="BP399" s="1100">
        <f t="shared" si="548"/>
        <v>221.34103209030098</v>
      </c>
      <c r="BQ399" s="1113" t="s">
        <v>134</v>
      </c>
      <c r="BR399" s="1124" t="s">
        <v>171</v>
      </c>
      <c r="BS399" s="1098">
        <f>IF($P399="","N/A",IF($P399=-1,INDEX('卡片raw data'!AX:AX,MATCH($D399,'卡片raw data'!$F:$F,)),0)+IF($L399="party卡",IF($P399=5,INDEX('卡片raw data'!BD:BD,MATCH($D399,'卡片raw data'!$F:$F,)),IF($P399&gt;=3,INDEX('卡片raw data'!BC:BC,MATCH($D399,'卡片raw data'!$F:$F,)),INDEX('卡片raw data'!BB:BB,MATCH($D399,'卡片raw data'!$F:$F,)))),IF(OR(AND($F399="UR",$P399=0),AND($F399="SR",$P399&gt;=0,$P399&lt;=2),AND($F399="R",$P399&gt;=0,$P399&lt;4)),INDEX('卡片raw data'!AZ:AZ,MATCH($D399,'卡片raw data'!$F:$F,)),0)+IF(OR(AND($F399="UR",$P399&gt;=1,$P399&lt;=4),AND($F399="SR",$P399&lt;=4,$P399&gt;=3),AND($F399="R",$P399=4)),INDEX('卡片raw data'!BA:BA,MATCH($D399,'卡片raw data'!$F:$F,)),0)+IF($P399=5,INDEX('卡片raw data'!BB:BB,MATCH($D399,'卡片raw data'!$F:$F,)),0)))</f>
        <v>5.1999999999999998E-2</v>
      </c>
      <c r="BT399" s="1101">
        <f t="shared" si="549"/>
        <v>2452.5263374936467</v>
      </c>
      <c r="BU399" s="1097">
        <f t="shared" si="550"/>
        <v>155.22419036436909</v>
      </c>
      <c r="BV399" s="1097">
        <f t="shared" si="551"/>
        <v>1226.2631687468233</v>
      </c>
      <c r="BW399" s="1112">
        <f t="shared" si="552"/>
        <v>0</v>
      </c>
      <c r="BX399" s="1100">
        <f t="shared" si="553"/>
        <v>2452.5263374936467</v>
      </c>
      <c r="BY399" s="1110">
        <f t="shared" si="554"/>
        <v>1226.2631687468233</v>
      </c>
      <c r="BZ399" s="1113" t="s">
        <v>569</v>
      </c>
      <c r="CA399" s="1124"/>
      <c r="CB399" s="1098">
        <f>IF($P399="","N/A",IF($P399=-1,INDEX('卡片raw data'!BE:BE,MATCH($D399,'卡片raw data'!$F:$F,)),0)+IF($L399="party卡",IF($P399=5,INDEX('卡片raw data'!BK:BK,MATCH($D399,'卡片raw data'!$F:$F,)),IF($P399&gt;=3,INDEX('卡片raw data'!BJ:BJ,MATCH($D399,'卡片raw data'!$F:$F,)),INDEX('卡片raw data'!BI:BI,MATCH($D399,'卡片raw data'!$F:$F,)))),IF(OR(AND($F399="UR",$P399=0),AND($F399="SR",$P399&gt;=0,$P399&lt;=2),AND($F399="R",$P399&gt;=0,$P399&lt;4)),INDEX('卡片raw data'!BG:BG,MATCH($D399,'卡片raw data'!$F:$F,)),0)+IF(OR(AND($F399="UR",$P399&gt;=1,$P399&lt;=4),AND($F399="SR",$P399&lt;=4,$P399&gt;=3),AND($F399="R",$P399=4)),INDEX('卡片raw data'!BH:BH,MATCH($D399,'卡片raw data'!$F:$F,)),0)+IF($P399=5,INDEX('卡片raw data'!BI:BI,MATCH($D399,'卡片raw data'!$F:$F,)),0)))</f>
        <v>0</v>
      </c>
      <c r="CC399" s="1101">
        <f t="shared" si="555"/>
        <v>0</v>
      </c>
      <c r="CD399" s="1097">
        <f>IF(BZ399="ap",CB399*(1-$FI$26)*$FB$5/$FB$11*(+IF(CA399="全员",$FA$24,0)+IF(CA399="同作战",$FA$24,0)+IF(CA399="仲间",$FA$24*2/3,0)+IF(CA399="同属性",$FA$24*$FA$37/3,0)+IF(CA399="同年级",$FA$24*$FA$40/3,0)+IF(CA399="同学校",$FA$24*$FA$43/3,0)+IF(CA399="同小队",$FA$24*$FA$46/3,0)+IF(CA399="同type",$FA$24*INDEX($FB$49:$FB$52,MATCH(X399,$FA$49:$FA$52,))/3,0)+IF(CA399="自身",#REF!/3,0)),0)+IF(BZ399="te",CB399*(1-$FI$27)*($FA$20-1)*$FB$7/$FB$13*(+IF(CA399="全员",$FA$19*$FA$24/(1+($FA$20-1)*$FA$19),0)+IF(CA399="同作战",$FA$19*$FA$24/(1+($FA$20-1)*$FA$19),0)+IF(CA399="仲间",$FA$19*$FA$24*2/3/(1+($FA$20-1)*$FA$19),0)+IF(CA399="同属性",$FA$19*$FA$24*$FA$37/3/(1+($FA$20-1)*$FA$19),0)+IF(CA399="同年级",$FA$19*$FA$24*$FA$40/3/(1+($FA$20-1)*$FA$19),0)+IF(CA399="同学校",$FA$19*$FA$24*$FA$43/3/(1+($FA$20-1)*$FA$19),0)+IF(CA399="同小队",$FA$19*$FA$24*$FA$46/3/(1+($FA$20-1)*$FA$19),0)+IF(CA399="同type",$FA$19*$FA$24*INDEX($FB$49:$FB$52,MATCH(X399,$FA$49:$FA$52,))/3/(1+($FA$20-1)*$FA$19),0)+IF(CA399="自身",$FA$19*#REF!/3/(1+(BH399-1)*$BD399),0)),0)</f>
        <v>0</v>
      </c>
      <c r="CE399" s="1097">
        <f t="shared" si="556"/>
        <v>0</v>
      </c>
      <c r="CF399" s="1112">
        <f t="shared" si="557"/>
        <v>0</v>
      </c>
      <c r="CG399" s="1100">
        <f t="shared" si="558"/>
        <v>0</v>
      </c>
      <c r="CH399" s="1110">
        <f t="shared" si="559"/>
        <v>0</v>
      </c>
      <c r="CI399" s="1113" t="s">
        <v>164</v>
      </c>
      <c r="CJ399" s="1114">
        <v>1</v>
      </c>
      <c r="CK399" s="1115" t="s">
        <v>256</v>
      </c>
      <c r="CL399" s="1115" t="s">
        <v>1941</v>
      </c>
      <c r="CM399" s="1119">
        <v>7.4999999999999997E-2</v>
      </c>
      <c r="CN399" s="1115"/>
      <c r="CO399" s="1115"/>
      <c r="CP399" s="1116">
        <f t="shared" si="560"/>
        <v>37.810092611571427</v>
      </c>
      <c r="CQ399" s="1116">
        <f t="shared" si="561"/>
        <v>58.815699618000004</v>
      </c>
      <c r="CR399" s="1117">
        <f t="shared" si="562"/>
        <v>37.810092611571427</v>
      </c>
      <c r="CS399" s="1118">
        <f t="shared" si="563"/>
        <v>0</v>
      </c>
      <c r="CT399" s="1109">
        <f t="shared" si="564"/>
        <v>0</v>
      </c>
      <c r="CU399" s="1101">
        <f t="shared" si="565"/>
        <v>54.068432434547148</v>
      </c>
      <c r="CV399" s="1108">
        <f t="shared" si="566"/>
        <v>0</v>
      </c>
      <c r="CW399" s="1097">
        <f t="shared" si="567"/>
        <v>54.068432434547148</v>
      </c>
      <c r="CX399" s="1097">
        <f t="shared" si="568"/>
        <v>54.068432434547148</v>
      </c>
      <c r="CY399" s="1110">
        <f t="shared" si="569"/>
        <v>54.068432434547148</v>
      </c>
      <c r="CZ399" s="437"/>
      <c r="DA399" s="438"/>
      <c r="DB399" s="439" t="s">
        <v>569</v>
      </c>
      <c r="DC399" s="439"/>
      <c r="DD399" s="443"/>
      <c r="DE399" s="411"/>
      <c r="DF399" s="411"/>
      <c r="DG399" s="1116">
        <f t="shared" si="570"/>
        <v>0</v>
      </c>
      <c r="DH399" s="1116">
        <f t="shared" si="571"/>
        <v>0</v>
      </c>
      <c r="DI399" s="1116">
        <f t="shared" si="572"/>
        <v>0</v>
      </c>
      <c r="DJ399" s="442">
        <f t="shared" si="573"/>
        <v>0</v>
      </c>
      <c r="DK399" s="1109">
        <f t="shared" si="574"/>
        <v>0</v>
      </c>
      <c r="DL399" s="1101">
        <f t="shared" si="575"/>
        <v>0</v>
      </c>
      <c r="DM399" s="1097">
        <f t="shared" si="576"/>
        <v>0</v>
      </c>
      <c r="DN399" s="1097">
        <f t="shared" si="577"/>
        <v>0</v>
      </c>
      <c r="DO399" s="1097">
        <f t="shared" si="578"/>
        <v>0</v>
      </c>
      <c r="DP399" s="1110">
        <f t="shared" si="579"/>
        <v>0</v>
      </c>
      <c r="DQ399" s="1113" t="s">
        <v>549</v>
      </c>
      <c r="DR399" s="1120">
        <f t="shared" si="580"/>
        <v>0.33</v>
      </c>
      <c r="DS399" s="1124"/>
      <c r="DT399" s="1093" t="s">
        <v>179</v>
      </c>
      <c r="DU399" s="1093"/>
      <c r="DV399" s="1098">
        <f>IF($P399="","N/A",IF(P399=-1,INDEX('卡片raw data'!AN:AN,MATCH(D399,'卡片raw data'!$F:$F,)),0)+IF(AND(L399&lt;&gt;"party卡",P399&lt;=2,P399&gt;=0),INDEX('卡片raw data'!AP:AP,MATCH(D399,'卡片raw data'!$F:$F,)),0)+IF(OR(AND(L399="party卡",P399&lt;=1),AND(P399&lt;=4,L399&lt;&gt;"party卡",P399&gt;=3)),INDEX('卡片raw data'!AQ:AQ,MATCH(D399,'卡片raw data'!$F:$F,)),0)+IF(OR(P399=5,AND(L399="party卡",P399&gt;=2)),INDEX('卡片raw data'!AR:AR,MATCH(D399,'卡片raw data'!$F:$F,)),0))</f>
        <v>0.09</v>
      </c>
      <c r="DW399" s="1098">
        <f t="shared" si="581"/>
        <v>0.33</v>
      </c>
      <c r="DX399" s="1098">
        <f t="shared" si="582"/>
        <v>0.33</v>
      </c>
      <c r="DY399" s="1098">
        <f t="shared" si="583"/>
        <v>9.9000000000000008E-3</v>
      </c>
      <c r="DZ399" s="1098">
        <f t="shared" si="584"/>
        <v>9.8480249999999998E-3</v>
      </c>
      <c r="EA399" s="1098">
        <f t="shared" si="585"/>
        <v>0</v>
      </c>
      <c r="EB399" s="1121">
        <f t="shared" si="586"/>
        <v>60.337777499999987</v>
      </c>
      <c r="EC399" s="1101">
        <f t="shared" si="587"/>
        <v>4455</v>
      </c>
      <c r="ED399" s="1097">
        <f t="shared" si="588"/>
        <v>2462.0062499999999</v>
      </c>
      <c r="EE399" s="1110">
        <f t="shared" si="513"/>
        <v>4455</v>
      </c>
      <c r="EF399" s="1115" t="s">
        <v>569</v>
      </c>
      <c r="EG399" s="1120">
        <f t="shared" si="589"/>
        <v>0.33</v>
      </c>
      <c r="EH399" s="1124"/>
      <c r="EI399" s="1093"/>
      <c r="EJ399" s="1093"/>
      <c r="EK399" s="1097">
        <f>IF($P399="","N/A",IF(P399=-1,INDEX('卡片raw data'!AS:AS,MATCH(D399,'卡片raw data'!$F:$F,)),0)+IF(AND(L399&lt;&gt;"party卡",P399&lt;=2,P399&gt;=0),INDEX('卡片raw data'!AU:AU,MATCH(D399,'卡片raw data'!$F:$F,)),0)+IF(OR(AND(L399="party卡",P399&lt;=1),AND(P399&lt;=4,L399&lt;&gt;"party卡",P399&gt;=3)),INDEX('卡片raw data'!AV:AV,MATCH(D399,'卡片raw data'!$F:$F,)),0)+IF(OR(P399=5,AND(L399="party卡",P399&gt;=2)),INDEX('卡片raw data'!AW:AW,MATCH(D399,'卡片raw data'!$F:$F,)),0))</f>
        <v>0</v>
      </c>
      <c r="EL399" s="1098">
        <f t="shared" si="590"/>
        <v>0.33</v>
      </c>
      <c r="EM399" s="1098">
        <f t="shared" si="591"/>
        <v>0.33</v>
      </c>
      <c r="EN399" s="1097">
        <f t="shared" si="592"/>
        <v>0</v>
      </c>
      <c r="EO399" s="1097">
        <f t="shared" si="593"/>
        <v>0</v>
      </c>
      <c r="EP399" s="1098">
        <f t="shared" si="594"/>
        <v>0</v>
      </c>
      <c r="EQ399" s="1121">
        <f t="shared" si="595"/>
        <v>0</v>
      </c>
      <c r="ER399" s="1101">
        <f t="shared" si="596"/>
        <v>0</v>
      </c>
      <c r="ES399" s="1097">
        <f t="shared" si="597"/>
        <v>0</v>
      </c>
      <c r="ET399" s="1122">
        <f t="shared" si="514"/>
        <v>0</v>
      </c>
    </row>
    <row r="400" spans="2:150" ht="16.5" customHeight="1">
      <c r="B400" s="1123" t="str">
        <f>INDEX('卡片raw data'!B:B,MATCH($D400,'卡片raw data'!$F:$F,))</f>
        <v>op1步</v>
      </c>
      <c r="C400" s="449" t="s">
        <v>2071</v>
      </c>
      <c r="D400" s="408">
        <v>397</v>
      </c>
      <c r="E400" s="477">
        <v>402012003</v>
      </c>
      <c r="F400" s="1090" t="str">
        <f>INDEX('卡片raw data'!C:C,MATCH($D400,'卡片raw data'!$F:$F,))</f>
        <v>SR</v>
      </c>
      <c r="G400" s="1094" t="s">
        <v>2072</v>
      </c>
      <c r="H400" s="411">
        <f>IFERROR(INDEX(绊状态确认!C:C,MATCH($G400,绊状态确认!$B:$B,)),"")</f>
        <v>201</v>
      </c>
      <c r="I400" s="450" t="str">
        <f>IFERROR(INDEX(绊状态确认!D:D,MATCH($G400,绊状态确认!$B:$B,)),"")</f>
        <v>虹</v>
      </c>
      <c r="J400" s="450" t="str">
        <f>IFERROR(INDEX(绊状态确认!E:E,MATCH($G400,绊状态确认!$B:$B,)),"")</f>
        <v>2年级</v>
      </c>
      <c r="K400" s="451" t="str">
        <f>IFERROR(INDEX(绊状态确认!F:F,MATCH($G400,绊状态确认!$B:$B,)),"")</f>
        <v>A·ZU·NA</v>
      </c>
      <c r="L400" s="1094" t="str">
        <f>INDEX('卡片raw data'!E:E,MATCH($D400,'卡片raw data'!$F:$F,))</f>
        <v>卡池卡</v>
      </c>
      <c r="M400" s="478">
        <v>44231</v>
      </c>
      <c r="N400" s="479">
        <v>33</v>
      </c>
      <c r="O400" s="1091" t="str">
        <f>INDEX('卡片raw data'!D:D,MATCH($D400,'卡片raw data'!$F:$F,))</f>
        <v>vo</v>
      </c>
      <c r="P400" s="1126">
        <v>5</v>
      </c>
      <c r="Q400" s="1095">
        <f t="shared" si="515"/>
        <v>39482.418539474122</v>
      </c>
      <c r="R400" s="1096">
        <f t="shared" si="516"/>
        <v>0.45900000000000002</v>
      </c>
      <c r="S400" s="1097">
        <f t="shared" si="517"/>
        <v>15766.179603899385</v>
      </c>
      <c r="T400" s="1098">
        <f t="shared" si="518"/>
        <v>0.78800000000000003</v>
      </c>
      <c r="U400" s="1099">
        <f t="shared" si="519"/>
        <v>-12.875961834837145</v>
      </c>
      <c r="V400" s="1100">
        <f t="shared" si="520"/>
        <v>39145.197275558123</v>
      </c>
      <c r="W400" s="1101">
        <f t="shared" si="521"/>
        <v>5875.6897439829872</v>
      </c>
      <c r="X400" s="1096">
        <f t="shared" si="522"/>
        <v>6.8000000000000005E-2</v>
      </c>
      <c r="Y400" s="1097">
        <f t="shared" si="523"/>
        <v>967.44718632570039</v>
      </c>
      <c r="Z400" s="1102">
        <f t="shared" si="524"/>
        <v>12.124038165162855</v>
      </c>
      <c r="AA400" s="1103">
        <f t="shared" si="525"/>
        <v>6843.1369303086876</v>
      </c>
      <c r="AB400" s="1101">
        <f t="shared" si="526"/>
        <v>7243.6580008399742</v>
      </c>
      <c r="AC400" s="1104">
        <f t="shared" si="527"/>
        <v>8.4000000000000005E-2</v>
      </c>
      <c r="AD400" s="1105">
        <f t="shared" si="528"/>
        <v>-3.8207812500000026E-3</v>
      </c>
      <c r="AE400" s="1128">
        <f t="shared" si="529"/>
        <v>-12.27536231884058</v>
      </c>
      <c r="AF400" s="1130">
        <f t="shared" si="530"/>
        <v>0</v>
      </c>
      <c r="AG400" s="420">
        <f t="shared" si="531"/>
        <v>0</v>
      </c>
      <c r="AH400" s="420">
        <f t="shared" si="532"/>
        <v>0</v>
      </c>
      <c r="AI400" s="1097">
        <f t="shared" si="533"/>
        <v>0</v>
      </c>
      <c r="AJ400" s="420">
        <f t="shared" si="534"/>
        <v>0</v>
      </c>
      <c r="AK400" s="518">
        <f t="shared" si="535"/>
        <v>0</v>
      </c>
      <c r="AL400" s="1106">
        <f>IF($P400="","N/A",(IF($P400=-1,INDEX('卡片raw data'!S:S,MATCH($D400,'卡片raw data'!$F:$F,)),0)+IF($P400=0,INDEX('卡片raw data'!V:V,MATCH($D400,'卡片raw data'!$F:$F,)),0)+IF($P400=1,INDEX('卡片raw data'!Y:Y,MATCH($D400,'卡片raw data'!$F:$F,)),0)+IF($P400=2,INDEX('卡片raw data'!AB:AB,MATCH($D400,'卡片raw data'!$F:$F,)),0)+IF($P400=3,INDEX('卡片raw data'!AE:AE,MATCH($D400,'卡片raw data'!$F:$F,)),0)+IF($P400=4,INDEX('卡片raw data'!AH:AH,MATCH($D400,'卡片raw data'!$F:$F,)),0)+IF($P400=5,INDEX('卡片raw data'!AK:AK,MATCH($D400,'卡片raw data'!$F:$F,)),0)+INDEX('卡片raw data'!S:S,MATCH($D400,'卡片raw data'!$F:$F,))*(IF($F400="UR",0.04,0.033))*(IF($F400="UR",INDEX(绊状态确认!$S:$S,MATCH($G400,绊状态确认!$B:$B,))/2-40)+IF($F400="SR",INDEX(绊状态确认!$R:$R,MATCH($G400,绊状态确认!$B:$B,))/4-15))+IF($F400="R",INDEX(绊状态确认!$Q:$Q,MATCH($G400,绊状态确认!$B:$B,))/6-40/6)))*(INDEX(绊状态确认!$H:$H,MATCH($G400,绊状态确认!$B:$B,))+INDEX(绊状态确认!J:J,MATCH($G400,绊状态确认!$B:$B,)))</f>
        <v>8412.7419263999982</v>
      </c>
      <c r="AM400" s="1106">
        <f>IF($P400="","N/A",(IF($P400=-1,INDEX('卡片raw data'!T:T,MATCH($D400,'卡片raw data'!$F:$F,)),0)+IF($P400=0,INDEX('卡片raw data'!W:W,MATCH($D400,'卡片raw data'!$F:$F,)),0)+IF($P400=1,INDEX('卡片raw data'!Z:Z,MATCH($D400,'卡片raw data'!$F:$F,)),0)+IF($P400=2,INDEX('卡片raw data'!AC:AC,MATCH($D400,'卡片raw data'!$F:$F,)),0)+IF($P400=3,INDEX('卡片raw data'!AF:AF,MATCH($D400,'卡片raw data'!$F:$F,)),0)+IF($P400=4,INDEX('卡片raw data'!AI:AI,MATCH($D400,'卡片raw data'!$F:$F,)),0)+IF($P400=5,INDEX('卡片raw data'!AL:AL,MATCH($D400,'卡片raw data'!$F:$F,)),0)+INDEX('卡片raw data'!T:T,MATCH($D400,'卡片raw data'!$F:$F,))*(IF($F400="UR",0.04,0.033))*(IF($F400="UR",INDEX(绊状态确认!$S:$S,MATCH($G400,绊状态确认!$B:$B,))/2-40)+IF($F400="SR",INDEX(绊状态确认!$R:$R,MATCH($G400,绊状态确认!$B:$B,))/4-15))+IF($F400="R",INDEX(绊状态确认!$Q:$Q,MATCH($G400,绊状态确认!$B:$B,))/6-40/6)))*(INDEX(绊状态确认!$H:$H,MATCH($G400,绊状态确认!$B:$B,))+INDEX(绊状态确认!K:K,MATCH($G400,绊状态确认!$B:$B,)))</f>
        <v>6308.9882447999989</v>
      </c>
      <c r="AN400" s="1106">
        <f>IF($P400="","N/A",(IF($P400=-1,INDEX('卡片raw data'!U:U,MATCH($D400,'卡片raw data'!$F:$F,)),0)+IF($P400=0,INDEX('卡片raw data'!X:X,MATCH($D400,'卡片raw data'!$F:$F,)),0)+IF($P400=1,INDEX('卡片raw data'!AA:AA,MATCH($D400,'卡片raw data'!$F:$F,)),0)+IF($P400=2,INDEX('卡片raw data'!AD:AD,MATCH($D400,'卡片raw data'!$F:$F,)),0)+IF($P400=3,INDEX('卡片raw data'!AG:AG,MATCH($D400,'卡片raw data'!$F:$F,)),0)+IF($P400=4,INDEX('卡片raw data'!AJ:AJ,MATCH($D400,'卡片raw data'!$F:$F,)),0)+IF($P400=5,INDEX('卡片raw data'!AM:AM,MATCH($D400,'卡片raw data'!$F:$F,)),0)+INDEX('卡片raw data'!U:U,MATCH($D400,'卡片raw data'!$F:$F,))*(IF($F400="UR",0.04,0.033))*(IF($F400="UR",INDEX(绊状态确认!$S:$S,MATCH($G400,绊状态确认!$B:$B,))/2-40)+IF($F400="SR",INDEX(绊状态确认!$R:$R,MATCH($G400,绊状态确认!$B:$B,))/4-15))+IF($F400="R",INDEX(绊状态确认!$Q:$Q,MATCH($G400,绊状态确认!$B:$B,))/6-40/6)))*(INDEX(绊状态确认!$H:$H,MATCH($G400,绊状态确认!$B:$B,))+INDEX(绊状态确认!L:L,MATCH($G400,绊状态确认!$B:$B,)))</f>
        <v>6308.9882447999989</v>
      </c>
      <c r="AO400" s="1107">
        <f t="shared" si="536"/>
        <v>1</v>
      </c>
      <c r="AP400" s="1131">
        <f>1+(INDEX(绊状态确认!$T:$T,MATCH($G400,绊状态确认!$B:$B,))+0.2)*$AO400</f>
        <v>1.3</v>
      </c>
      <c r="AQ400" s="1108">
        <f t="shared" si="537"/>
        <v>25333.447556799998</v>
      </c>
      <c r="AR400" s="1097">
        <f>(AM400*(1+$EX$9)+$EX$35)*(1+(INDEX(绊状态确认!$T:$T,MATCH($G400,绊状态确认!$B:$B,))+0.2)*AO400)*IF(J400=$FF$17,1+$FE$17,1)*IF(I400=$FF$14,1+$FE$14,1)</f>
        <v>11315.768954151998</v>
      </c>
      <c r="AS400" s="1097">
        <f>(AN400*(1+$EX$10)+$EX$36)*(1+(INDEX(绊状态确认!$T:$T,MATCH($G400,绊状态确认!$B:$B,))+0.2)*AO400)*IF(J400=$FF$17,1+$FE$17,1)*IF(I400=$FF$14,1+$FE$14,1)</f>
        <v>13487.937425975999</v>
      </c>
      <c r="AT400" s="1093">
        <f>IF(AND(INDEX('卡片raw data'!AK:AK,MATCH($D400,'卡片raw data'!$F:$F,))&lt;INDEX('卡片raw data'!AM:AM,MATCH($D400,'卡片raw data'!$F:$F,)),INDEX('卡片raw data'!AL:AL,MATCH($D400,'卡片raw data'!$F:$F,))&lt;INDEX('卡片raw data'!AM:AM,MATCH($D400,'卡片raw data'!$F:$F,))),1,0)</f>
        <v>0</v>
      </c>
      <c r="AU400" s="1098">
        <f>MIN(AT400*0.15+AS400*0.00003+INDEX(绊状态确认!M:M,MATCH($G400,绊状态确认!$B:$B,)),1)</f>
        <v>0.43463812277927999</v>
      </c>
      <c r="AV400" s="1109">
        <f>(INDEX(绊状态确认!$N:$N,MATCH($G400,绊状态确认!$B:$B,))+1.5)*$EW$21</f>
        <v>2.6599999999999997</v>
      </c>
      <c r="AW400" s="1101">
        <f t="shared" si="538"/>
        <v>22649.494094443249</v>
      </c>
      <c r="AX400" s="1097">
        <f t="shared" si="539"/>
        <v>967.44718632570073</v>
      </c>
      <c r="AY400" s="1110">
        <f t="shared" si="540"/>
        <v>23616.941280768951</v>
      </c>
      <c r="AZ400" s="429">
        <f t="shared" si="541"/>
        <v>19004.846756479998</v>
      </c>
      <c r="BA400" s="431">
        <f t="shared" si="542"/>
        <v>22805.816107775998</v>
      </c>
      <c r="BB400" s="1097">
        <f>(AM400*(1+$FB$9)+$FB$35)*(1+(INDEX(绊状态确认!$T:$T,MATCH($G400,绊状态确认!$B:$B,))+0.2)*AO400)*IF(J400=$FF$17,1+$FE$17,1)*IF(I400=$FF$14,1+$FE$14,1)*(1+$FE$15)</f>
        <v>11315.768954151998</v>
      </c>
      <c r="BC400" s="1097">
        <f>(AN400*(1+$FB$10)+$FB$36)*(1+(INDEX(绊状态确认!$T:$T,MATCH($G400,绊状态确认!$B:$B,))+0.2)*AO400)*IF(J400=$FF$17,1+$FE$17,1)*IF(I400=$FF$14,1+$FE$14,1)*(1+$FE$15)</f>
        <v>13487.937425975999</v>
      </c>
      <c r="BD400" s="1104">
        <f>MIN(AT400*0.15+BC400*0.00003+INDEX(绊状态确认!M:M,MATCH($G400,绊状态确认!$B:$B,)),1)</f>
        <v>0.43463812277927999</v>
      </c>
      <c r="BE400" s="432">
        <f>(INDEX(绊状态确认!$N:$N,MATCH($G400,绊状态确认!$B:$B,))+1.5)</f>
        <v>1.9</v>
      </c>
      <c r="BF400" s="1139">
        <f t="array" ref="BF400">SUMPRODUCT(IF(AZ400*AP400*$FI$16:$FI$23*$FA$22&gt;=$FI$24,$FI$24,AZ400*AP400*$FI$16:$FI$23*$FA$22),$FJ$16:$FJ$23)</f>
        <v>37800.640198638721</v>
      </c>
      <c r="BG400" s="1125">
        <f t="array" ref="BG400">SUMPRODUCT(IF(BE400*AZ400*AP400*$FI$16:$FI$23*$FA$22&gt;=$FI$24,$FI$24,BE400*AZ400*AP400*$FI$16:$FI$23*$FA$22),$FJ$16:$FJ$23)</f>
        <v>59633.036578620668</v>
      </c>
      <c r="BH400" s="1110">
        <f t="shared" si="543"/>
        <v>15763.277325669076</v>
      </c>
      <c r="BI400" s="1111">
        <f>IF(O400="vo",$EW$26/$EW$24*0.05,0)+IF(O400="sk",-$EW$26/$EW$24*(0.05-INDEX(绊状态确认!W:W,MATCH($G400,绊状态确认!$B:$B,)))+0.05*$EW$28,0)+IF(O400="sp",0.05*$EW$32*$EW$30*(1-$EW$33)-(0.05-INDEX(绊状态确认!V:V,MATCH($G400,绊状态确认!$B:$B,)))*$EW$28,0)+IF(O400="gd",-(0.05-INDEX(绊状态确认!X:X,MATCH($G400,绊状态确认!$B:$B,)))*$EW$32*$EW$30*(1-$EW$33),0)</f>
        <v>7726.3029277443748</v>
      </c>
      <c r="BJ400" s="1097">
        <f>IF(O400="vo",0.05*(1-$FI$26)*$FA$24,0)+IF(O400="sk",-(0.05-INDEX(绊状态确认!W:W,MATCH($G400,绊状态确认!$B:$B,)))*(1-$FI$26)*$FA$24+0.05*$FA$26,0)+IF(O400="sp",0.05*$FA$32*$FA$27*(1-$FA$33)/$FA$30+0.05*$FA$29/$FA$69*$FA$27*(1-$FA$33)-(0.05-INDEX(绊状态确认!V:V,MATCH($G400,绊状态确认!$B:$B,)))*$FA$26,0)+IF(O400="gd",-(0.05-INDEX(绊状态确认!X:X,MATCH($G400,绊状态确认!$B:$B,)))*$FA$32*$FA$27*(1-$FA$33)/$FA$30-(0.05-INDEX(绊状态确认!X:X,MATCH($G400,绊状态确认!$B:$B,)))*$FA$29/$FA$69*$FA$27*(1-$FA$33),0)</f>
        <v>393.93433687500004</v>
      </c>
      <c r="BK400" s="1110">
        <f>IF(O400="vo",$EW$26/$EW$24*0.05+$EW$26*(-HP($EW$62,$EW$65,$EW$64)+HP($EW$62,$EW$65,(1.05-INDEX(绊状态确认!U:U,MATCH($G400,绊状态确认!$B:$B,)))*$EW$64)),0)+IF(O400="sk",-$EW$26/$EW$24*(0.05-INDEX(绊状态确认!W:W,MATCH($G400,绊状态确认!$B:$B,)))+0.05*$EW$29,0)+IF(O400="sp",0.05*$EW$32*$EW$30*(1-$EW$33)-(0.05-INDEX(绊状态确认!V:V,MATCH($G400,绊状态确认!$B:$B,)))*$EW$29,0)+IF(O400="gd",-(0.05-INDEX(绊状态确认!X:X,MATCH($G400,绊状态确认!$B:$B,)))*$EW$32*$EW$30*(1-$EW$33)+$EW$26*(-HP($EW$62,$EW$65,$EW$64)+HP($EW$62,$EW$65,0.95*$EW$64)),0)</f>
        <v>6421.6344775026746</v>
      </c>
      <c r="BL400" s="1111">
        <f t="shared" si="544"/>
        <v>-1083.3333333333333</v>
      </c>
      <c r="BM400" s="1110">
        <f t="shared" si="545"/>
        <v>-830.55555555555543</v>
      </c>
      <c r="BN400" s="1113">
        <f t="shared" si="546"/>
        <v>3</v>
      </c>
      <c r="BO400" s="1108">
        <f t="shared" si="547"/>
        <v>4507.7214871259994</v>
      </c>
      <c r="BP400" s="1100">
        <f t="shared" si="548"/>
        <v>221.34103209030098</v>
      </c>
      <c r="BQ400" s="1113" t="s">
        <v>132</v>
      </c>
      <c r="BR400" s="1124" t="s">
        <v>171</v>
      </c>
      <c r="BS400" s="1098">
        <f>IF($P400="","N/A",IF($P400=-1,INDEX('卡片raw data'!AX:AX,MATCH($D400,'卡片raw data'!$F:$F,)),0)+IF($L400="party卡",IF($P400=5,INDEX('卡片raw data'!BD:BD,MATCH($D400,'卡片raw data'!$F:$F,)),IF($P400&gt;=3,INDEX('卡片raw data'!BC:BC,MATCH($D400,'卡片raw data'!$F:$F,)),INDEX('卡片raw data'!BB:BB,MATCH($D400,'卡片raw data'!$F:$F,)))),IF(OR(AND($F400="UR",$P400=0),AND($F400="SR",$P400&gt;=0,$P400&lt;=2),AND($F400="R",$P400&gt;=0,$P400&lt;4)),INDEX('卡片raw data'!AZ:AZ,MATCH($D400,'卡片raw data'!$F:$F,)),0)+IF(OR(AND($F400="UR",$P400&gt;=1,$P400&lt;=4),AND($F400="SR",$P400&lt;=4,$P400&gt;=3),AND($F400="R",$P400=4)),INDEX('卡片raw data'!BA:BA,MATCH($D400,'卡片raw data'!$F:$F,)),0)+IF($P400=5,INDEX('卡片raw data'!BB:BB,MATCH($D400,'卡片raw data'!$F:$F,)),0)))</f>
        <v>3.2000000000000001E-2</v>
      </c>
      <c r="BT400" s="1101">
        <f t="shared" si="549"/>
        <v>1602.7454176448</v>
      </c>
      <c r="BU400" s="1097">
        <f t="shared" si="550"/>
        <v>68.861654428093644</v>
      </c>
      <c r="BV400" s="1097">
        <f t="shared" si="551"/>
        <v>801.37270882240011</v>
      </c>
      <c r="BW400" s="1112">
        <f t="shared" si="552"/>
        <v>0</v>
      </c>
      <c r="BX400" s="1100">
        <f t="shared" si="553"/>
        <v>1602.7454176448</v>
      </c>
      <c r="BY400" s="1110">
        <f t="shared" si="554"/>
        <v>801.37270882240011</v>
      </c>
      <c r="BZ400" s="1113" t="s">
        <v>569</v>
      </c>
      <c r="CA400" s="1124"/>
      <c r="CB400" s="1098">
        <f>IF($P400="","N/A",IF($P400=-1,INDEX('卡片raw data'!BE:BE,MATCH($D400,'卡片raw data'!$F:$F,)),0)+IF($L400="party卡",IF($P400=5,INDEX('卡片raw data'!BK:BK,MATCH($D400,'卡片raw data'!$F:$F,)),IF($P400&gt;=3,INDEX('卡片raw data'!BJ:BJ,MATCH($D400,'卡片raw data'!$F:$F,)),INDEX('卡片raw data'!BI:BI,MATCH($D400,'卡片raw data'!$F:$F,)))),IF(OR(AND($F400="UR",$P400=0),AND($F400="SR",$P400&gt;=0,$P400&lt;=2),AND($F400="R",$P400&gt;=0,$P400&lt;4)),INDEX('卡片raw data'!BG:BG,MATCH($D400,'卡片raw data'!$F:$F,)),0)+IF(OR(AND($F400="UR",$P400&gt;=1,$P400&lt;=4),AND($F400="SR",$P400&lt;=4,$P400&gt;=3),AND($F400="R",$P400=4)),INDEX('卡片raw data'!BH:BH,MATCH($D400,'卡片raw data'!$F:$F,)),0)+IF($P400=5,INDEX('卡片raw data'!BI:BI,MATCH($D400,'卡片raw data'!$F:$F,)),0)))</f>
        <v>0</v>
      </c>
      <c r="CC400" s="1101">
        <f t="shared" si="555"/>
        <v>0</v>
      </c>
      <c r="CD400" s="1097">
        <f>IF(BZ400="ap",CB400*(1-$FI$26)*$FB$5/$FB$11*(+IF(CA400="全员",$FA$24,0)+IF(CA400="同作战",$FA$24,0)+IF(CA400="仲间",$FA$24*2/3,0)+IF(CA400="同属性",$FA$24*$FA$37/3,0)+IF(CA400="同年级",$FA$24*$FA$40/3,0)+IF(CA400="同学校",$FA$24*$FA$43/3,0)+IF(CA400="同小队",$FA$24*$FA$46/3,0)+IF(CA400="同type",$FA$24*INDEX($FB$49:$FB$52,MATCH(X400,$FA$49:$FA$52,))/3,0)+IF(CA400="自身",#REF!/3,0)),0)+IF(BZ400="te",CB400*(1-$FI$27)*($FA$20-1)*$FB$7/$FB$13*(+IF(CA400="全员",$FA$19*$FA$24/(1+($FA$20-1)*$FA$19),0)+IF(CA400="同作战",$FA$19*$FA$24/(1+($FA$20-1)*$FA$19),0)+IF(CA400="仲间",$FA$19*$FA$24*2/3/(1+($FA$20-1)*$FA$19),0)+IF(CA400="同属性",$FA$19*$FA$24*$FA$37/3/(1+($FA$20-1)*$FA$19),0)+IF(CA400="同年级",$FA$19*$FA$24*$FA$40/3/(1+($FA$20-1)*$FA$19),0)+IF(CA400="同学校",$FA$19*$FA$24*$FA$43/3/(1+($FA$20-1)*$FA$19),0)+IF(CA400="同小队",$FA$19*$FA$24*$FA$46/3/(1+($FA$20-1)*$FA$19),0)+IF(CA400="同type",$FA$19*$FA$24*INDEX($FB$49:$FB$52,MATCH(X400,$FA$49:$FA$52,))/3/(1+($FA$20-1)*$FA$19),0)+IF(CA400="自身",$FA$19*#REF!/3/(1+(BH400-1)*$BD400),0)),0)</f>
        <v>0</v>
      </c>
      <c r="CE400" s="1097">
        <f t="shared" si="556"/>
        <v>0</v>
      </c>
      <c r="CF400" s="1112">
        <f t="shared" si="557"/>
        <v>0</v>
      </c>
      <c r="CG400" s="1100">
        <f t="shared" si="558"/>
        <v>0</v>
      </c>
      <c r="CH400" s="1110">
        <f t="shared" si="559"/>
        <v>0</v>
      </c>
      <c r="CI400" s="1113" t="s">
        <v>2073</v>
      </c>
      <c r="CJ400" s="1114">
        <v>1</v>
      </c>
      <c r="CK400" s="1115" t="s">
        <v>2074</v>
      </c>
      <c r="CL400" s="1115" t="s">
        <v>2075</v>
      </c>
      <c r="CM400" s="1119">
        <v>0.01</v>
      </c>
      <c r="CN400" s="1115" t="s">
        <v>2076</v>
      </c>
      <c r="CO400" s="1115"/>
      <c r="CP400" s="1118">
        <f t="shared" si="560"/>
        <v>6.6666666666666662E-3</v>
      </c>
      <c r="CQ400" s="1118">
        <f t="shared" si="561"/>
        <v>5.8333333333333336E-3</v>
      </c>
      <c r="CR400" s="1118">
        <f t="shared" si="562"/>
        <v>3.3333333333333331E-3</v>
      </c>
      <c r="CS400" s="1118">
        <f t="shared" si="563"/>
        <v>0</v>
      </c>
      <c r="CT400" s="1109">
        <f t="shared" si="564"/>
        <v>0</v>
      </c>
      <c r="CU400" s="1101">
        <f t="shared" si="565"/>
        <v>1133.191096069175</v>
      </c>
      <c r="CV400" s="1108">
        <f t="shared" si="566"/>
        <v>45.959005968750006</v>
      </c>
      <c r="CW400" s="1097">
        <f t="shared" si="567"/>
        <v>566.59554803458752</v>
      </c>
      <c r="CX400" s="1097">
        <f t="shared" si="568"/>
        <v>1133.191096069175</v>
      </c>
      <c r="CY400" s="1110">
        <f t="shared" si="569"/>
        <v>566.59554803458752</v>
      </c>
      <c r="CZ400" s="437"/>
      <c r="DA400" s="438"/>
      <c r="DB400" s="439" t="s">
        <v>569</v>
      </c>
      <c r="DC400" s="439"/>
      <c r="DD400" s="443"/>
      <c r="DE400" s="411"/>
      <c r="DF400" s="411"/>
      <c r="DG400" s="1116">
        <f t="shared" si="570"/>
        <v>0</v>
      </c>
      <c r="DH400" s="1116">
        <f t="shared" si="571"/>
        <v>0</v>
      </c>
      <c r="DI400" s="1116">
        <f t="shared" si="572"/>
        <v>0</v>
      </c>
      <c r="DJ400" s="442">
        <f t="shared" si="573"/>
        <v>0</v>
      </c>
      <c r="DK400" s="1109">
        <f t="shared" si="574"/>
        <v>0</v>
      </c>
      <c r="DL400" s="1101">
        <f t="shared" si="575"/>
        <v>0</v>
      </c>
      <c r="DM400" s="1097">
        <f t="shared" si="576"/>
        <v>0</v>
      </c>
      <c r="DN400" s="1097">
        <f t="shared" si="577"/>
        <v>0</v>
      </c>
      <c r="DO400" s="1097">
        <f t="shared" si="578"/>
        <v>0</v>
      </c>
      <c r="DP400" s="1110">
        <f t="shared" si="579"/>
        <v>0</v>
      </c>
      <c r="DQ400" s="1113" t="s">
        <v>221</v>
      </c>
      <c r="DR400" s="1120">
        <f t="shared" si="580"/>
        <v>0.3</v>
      </c>
      <c r="DS400" s="1124">
        <v>5</v>
      </c>
      <c r="DT400" s="1124" t="s">
        <v>171</v>
      </c>
      <c r="DU400" s="1093" t="s">
        <v>544</v>
      </c>
      <c r="DV400" s="1098">
        <f>IF($P400="","N/A",IF(P400=-1,INDEX('卡片raw data'!AN:AN,MATCH(D400,'卡片raw data'!$F:$F,)),0)+IF(AND(L400&lt;&gt;"party卡",P400&lt;=2,P400&gt;=0),INDEX('卡片raw data'!AP:AP,MATCH(D400,'卡片raw data'!$F:$F,)),0)+IF(OR(AND(L400="party卡",P400&lt;=1),AND(P400&lt;=4,L400&lt;&gt;"party卡",P400&gt;=3)),INDEX('卡片raw data'!AQ:AQ,MATCH(D400,'卡片raw data'!$F:$F,)),0)+IF(OR(P400=5,AND(L400="party卡",P400&gt;=2)),INDEX('卡片raw data'!AR:AR,MATCH(D400,'卡片raw data'!$F:$F,)),0))</f>
        <v>5.1999999999999998E-2</v>
      </c>
      <c r="DW400" s="1098">
        <f t="shared" si="581"/>
        <v>0.3</v>
      </c>
      <c r="DX400" s="1098">
        <f t="shared" si="582"/>
        <v>0.3</v>
      </c>
      <c r="DY400" s="1098">
        <f t="shared" si="583"/>
        <v>1.7333333333333333E-2</v>
      </c>
      <c r="DZ400" s="1098">
        <f t="shared" si="584"/>
        <v>1.3119166666666666E-2</v>
      </c>
      <c r="EA400" s="1098">
        <f t="shared" si="585"/>
        <v>0</v>
      </c>
      <c r="EB400" s="1121">
        <f t="shared" si="586"/>
        <v>0</v>
      </c>
      <c r="EC400" s="1101">
        <f t="shared" si="587"/>
        <v>2946.2968497798547</v>
      </c>
      <c r="ED400" s="1097">
        <f t="shared" si="588"/>
        <v>103.36180442371877</v>
      </c>
      <c r="EE400" s="1110">
        <f t="shared" si="513"/>
        <v>2946.2968497798547</v>
      </c>
      <c r="EF400" s="1115" t="s">
        <v>569</v>
      </c>
      <c r="EG400" s="1120">
        <f t="shared" si="589"/>
        <v>0.3</v>
      </c>
      <c r="EH400" s="1124"/>
      <c r="EI400" s="1093"/>
      <c r="EJ400" s="1093"/>
      <c r="EK400" s="1097">
        <f>IF($P400="","N/A",IF(P400=-1,INDEX('卡片raw data'!AS:AS,MATCH(D400,'卡片raw data'!$F:$F,)),0)+IF(AND(L400&lt;&gt;"party卡",P400&lt;=2,P400&gt;=0),INDEX('卡片raw data'!AU:AU,MATCH(D400,'卡片raw data'!$F:$F,)),0)+IF(OR(AND(L400="party卡",P400&lt;=1),AND(P400&lt;=4,L400&lt;&gt;"party卡",P400&gt;=3)),INDEX('卡片raw data'!AV:AV,MATCH(D400,'卡片raw data'!$F:$F,)),0)+IF(OR(P400=5,AND(L400="party卡",P400&gt;=2)),INDEX('卡片raw data'!AW:AW,MATCH(D400,'卡片raw data'!$F:$F,)),0))</f>
        <v>0</v>
      </c>
      <c r="EL400" s="1098">
        <f t="shared" si="590"/>
        <v>0.3</v>
      </c>
      <c r="EM400" s="1098">
        <f t="shared" si="591"/>
        <v>0.3</v>
      </c>
      <c r="EN400" s="1097">
        <f t="shared" si="592"/>
        <v>0</v>
      </c>
      <c r="EO400" s="1097">
        <f t="shared" si="593"/>
        <v>0</v>
      </c>
      <c r="EP400" s="1098">
        <f t="shared" si="594"/>
        <v>0</v>
      </c>
      <c r="EQ400" s="1121">
        <f t="shared" si="595"/>
        <v>0</v>
      </c>
      <c r="ER400" s="1101">
        <f t="shared" si="596"/>
        <v>0</v>
      </c>
      <c r="ES400" s="1097">
        <f t="shared" si="597"/>
        <v>0</v>
      </c>
      <c r="ET400" s="1122">
        <f t="shared" si="514"/>
        <v>0</v>
      </c>
    </row>
    <row r="401" spans="2:150" ht="16.5" customHeight="1">
      <c r="B401" s="1123" t="str">
        <f>INDEX('卡片raw data'!B:B,MATCH($D401,'卡片raw data'!$F:$F,))</f>
        <v>情人鞠</v>
      </c>
      <c r="C401" s="449" t="s">
        <v>2078</v>
      </c>
      <c r="D401" s="408">
        <v>398</v>
      </c>
      <c r="E401" s="477">
        <v>401083004</v>
      </c>
      <c r="F401" s="1090" t="str">
        <f>INDEX('卡片raw data'!C:C,MATCH($D401,'卡片raw data'!$F:$F,))</f>
        <v>UR</v>
      </c>
      <c r="G401" s="1094" t="s">
        <v>2079</v>
      </c>
      <c r="H401" s="411">
        <f>IFERROR(INDEX(绊状态确认!C:C,MATCH($G401,绊状态确认!$B:$B,)),"")</f>
        <v>108</v>
      </c>
      <c r="I401" s="450" t="str">
        <f>IFERROR(INDEX(绊状态确认!D:D,MATCH($G401,绊状态确认!$B:$B,)),"")</f>
        <v>水</v>
      </c>
      <c r="J401" s="450" t="str">
        <f>IFERROR(INDEX(绊状态确认!E:E,MATCH($G401,绊状态确认!$B:$B,)),"")</f>
        <v>3年级</v>
      </c>
      <c r="K401" s="451" t="str">
        <f>IFERROR(INDEX(绊状态确认!F:F,MATCH($G401,绊状态确认!$B:$B,)),"")</f>
        <v>Guilty Kiss</v>
      </c>
      <c r="L401" s="1094" t="str">
        <f>INDEX('卡片raw data'!E:E,MATCH($D401,'卡片raw data'!$F:$F,))</f>
        <v>卡池卡</v>
      </c>
      <c r="M401" s="478">
        <v>44231</v>
      </c>
      <c r="N401" s="479">
        <v>33</v>
      </c>
      <c r="O401" s="1091" t="str">
        <f>INDEX('卡片raw data'!D:D,MATCH($D401,'卡片raw data'!$F:$F,))</f>
        <v>gd</v>
      </c>
      <c r="P401" s="1126">
        <v>5</v>
      </c>
      <c r="Q401" s="1095">
        <f t="shared" si="515"/>
        <v>30606.880946347625</v>
      </c>
      <c r="R401" s="1096">
        <f t="shared" si="516"/>
        <v>0.35499999999999998</v>
      </c>
      <c r="S401" s="1097">
        <f t="shared" si="517"/>
        <v>16597.265787635279</v>
      </c>
      <c r="T401" s="1098">
        <f t="shared" si="518"/>
        <v>0.82899999999999996</v>
      </c>
      <c r="U401" s="1099">
        <f t="shared" si="519"/>
        <v>116.6185208605086</v>
      </c>
      <c r="V401" s="1100">
        <f t="shared" si="520"/>
        <v>42510.606134100512</v>
      </c>
      <c r="W401" s="1101">
        <f t="shared" si="521"/>
        <v>4507.7214871259994</v>
      </c>
      <c r="X401" s="1096">
        <f t="shared" si="522"/>
        <v>5.1999999999999998E-2</v>
      </c>
      <c r="Y401" s="1097">
        <f t="shared" si="523"/>
        <v>3519.7335909359344</v>
      </c>
      <c r="Z401" s="1102">
        <f t="shared" si="524"/>
        <v>43.356020860508572</v>
      </c>
      <c r="AA401" s="1103">
        <f t="shared" si="525"/>
        <v>8027.4550780619338</v>
      </c>
      <c r="AB401" s="1101">
        <f t="shared" si="526"/>
        <v>4507.7214871259994</v>
      </c>
      <c r="AC401" s="1104">
        <f t="shared" si="527"/>
        <v>5.1999999999999998E-2</v>
      </c>
      <c r="AD401" s="1105">
        <f t="shared" si="528"/>
        <v>0</v>
      </c>
      <c r="AE401" s="1128">
        <f t="shared" si="529"/>
        <v>-6.25</v>
      </c>
      <c r="AF401" s="1130">
        <f t="shared" si="530"/>
        <v>0</v>
      </c>
      <c r="AG401" s="420">
        <f t="shared" si="531"/>
        <v>0</v>
      </c>
      <c r="AH401" s="420">
        <f t="shared" si="532"/>
        <v>0</v>
      </c>
      <c r="AI401" s="1097">
        <f t="shared" si="533"/>
        <v>0</v>
      </c>
      <c r="AJ401" s="420">
        <f t="shared" si="534"/>
        <v>0</v>
      </c>
      <c r="AK401" s="518">
        <f t="shared" si="535"/>
        <v>0</v>
      </c>
      <c r="AL401" s="1106">
        <f>IF($P401="","N/A",(IF($P401=-1,INDEX('卡片raw data'!S:S,MATCH($D401,'卡片raw data'!$F:$F,)),0)+IF($P401=0,INDEX('卡片raw data'!V:V,MATCH($D401,'卡片raw data'!$F:$F,)),0)+IF($P401=1,INDEX('卡片raw data'!Y:Y,MATCH($D401,'卡片raw data'!$F:$F,)),0)+IF($P401=2,INDEX('卡片raw data'!AB:AB,MATCH($D401,'卡片raw data'!$F:$F,)),0)+IF($P401=3,INDEX('卡片raw data'!AE:AE,MATCH($D401,'卡片raw data'!$F:$F,)),0)+IF($P401=4,INDEX('卡片raw data'!AH:AH,MATCH($D401,'卡片raw data'!$F:$F,)),0)+IF($P401=5,INDEX('卡片raw data'!AK:AK,MATCH($D401,'卡片raw data'!$F:$F,)),0)+INDEX('卡片raw data'!S:S,MATCH($D401,'卡片raw data'!$F:$F,))*(IF($F401="UR",0.04,0.033))*(IF($F401="UR",INDEX(绊状态确认!$S:$S,MATCH($G401,绊状态确认!$B:$B,))/2-40)+IF($F401="SR",INDEX(绊状态确认!$R:$R,MATCH($G401,绊状态确认!$B:$B,))/4-15))+IF($F401="R",INDEX(绊状态确认!$Q:$Q,MATCH($G401,绊状态确认!$B:$B,))/6-40/6)))*(INDEX(绊状态确认!$H:$H,MATCH($G401,绊状态确认!$B:$B,))+INDEX(绊状态确认!J:J,MATCH($G401,绊状态确认!$B:$B,)))</f>
        <v>8225.4904799999986</v>
      </c>
      <c r="AM401" s="1106">
        <f>IF($P401="","N/A",(IF($P401=-1,INDEX('卡片raw data'!T:T,MATCH($D401,'卡片raw data'!$F:$F,)),0)+IF($P401=0,INDEX('卡片raw data'!W:W,MATCH($D401,'卡片raw data'!$F:$F,)),0)+IF($P401=1,INDEX('卡片raw data'!Z:Z,MATCH($D401,'卡片raw data'!$F:$F,)),0)+IF($P401=2,INDEX('卡片raw data'!AC:AC,MATCH($D401,'卡片raw data'!$F:$F,)),0)+IF($P401=3,INDEX('卡片raw data'!AF:AF,MATCH($D401,'卡片raw data'!$F:$F,)),0)+IF($P401=4,INDEX('卡片raw data'!AI:AI,MATCH($D401,'卡片raw data'!$F:$F,)),0)+IF($P401=5,INDEX('卡片raw data'!AL:AL,MATCH($D401,'卡片raw data'!$F:$F,)),0)+INDEX('卡片raw data'!T:T,MATCH($D401,'卡片raw data'!$F:$F,))*(IF($F401="UR",0.04,0.033))*(IF($F401="UR",INDEX(绊状态确认!$S:$S,MATCH($G401,绊状态确认!$B:$B,))/2-40)+IF($F401="SR",INDEX(绊状态确认!$R:$R,MATCH($G401,绊状态确认!$B:$B,))/4-15))+IF($F401="R",INDEX(绊状态确认!$Q:$Q,MATCH($G401,绊状态确认!$B:$B,))/6-40/6)))*(INDEX(绊状态确认!$H:$H,MATCH($G401,绊状态确认!$B:$B,))+INDEX(绊状态确认!K:K,MATCH($G401,绊状态确认!$B:$B,)))</f>
        <v>15080.255279999999</v>
      </c>
      <c r="AN401" s="1106">
        <f>IF($P401="","N/A",(IF($P401=-1,INDEX('卡片raw data'!U:U,MATCH($D401,'卡片raw data'!$F:$F,)),0)+IF($P401=0,INDEX('卡片raw data'!X:X,MATCH($D401,'卡片raw data'!$F:$F,)),0)+IF($P401=1,INDEX('卡片raw data'!AA:AA,MATCH($D401,'卡片raw data'!$F:$F,)),0)+IF($P401=2,INDEX('卡片raw data'!AD:AD,MATCH($D401,'卡片raw data'!$F:$F,)),0)+IF($P401=3,INDEX('卡片raw data'!AG:AG,MATCH($D401,'卡片raw data'!$F:$F,)),0)+IF($P401=4,INDEX('卡片raw data'!AJ:AJ,MATCH($D401,'卡片raw data'!$F:$F,)),0)+IF($P401=5,INDEX('卡片raw data'!AM:AM,MATCH($D401,'卡片raw data'!$F:$F,)),0)+INDEX('卡片raw data'!U:U,MATCH($D401,'卡片raw data'!$F:$F,))*(IF($F401="UR",0.04,0.033))*(IF($F401="UR",INDEX(绊状态确认!$S:$S,MATCH($G401,绊状态确认!$B:$B,))/2-40)+IF($F401="SR",INDEX(绊状态确认!$R:$R,MATCH($G401,绊状态确认!$B:$B,))/4-15))+IF($F401="R",INDEX(绊状态确认!$Q:$Q,MATCH($G401,绊状态确认!$B:$B,))/6-40/6)))*(INDEX(绊状态确认!$H:$H,MATCH($G401,绊状态确认!$B:$B,))+INDEX(绊状态确认!L:L,MATCH($G401,绊状态确认!$B:$B,)))</f>
        <v>10966.94184</v>
      </c>
      <c r="AO401" s="1107">
        <f t="shared" si="536"/>
        <v>1</v>
      </c>
      <c r="AP401" s="1131">
        <f>1+(INDEX(绊状态确认!$T:$T,MATCH($G401,绊状态确认!$B:$B,))+0.2)*$AO401</f>
        <v>1.3</v>
      </c>
      <c r="AQ401" s="1108">
        <f t="shared" si="537"/>
        <v>24841.912509999998</v>
      </c>
      <c r="AR401" s="1097">
        <f>(AM401*(1+$EX$9)+$EX$35)*(1+(INDEX(绊状态确认!$T:$T,MATCH($G401,绊状态确认!$B:$B,))+0.2)*AO401)*IF(J401=$FF$17,1+$FE$17,1)*IF(I401=$FF$14,1+$FE$14,1)</f>
        <v>23288.548457200002</v>
      </c>
      <c r="AS401" s="1097">
        <f>(AN401*(1+$EX$10)+$EX$36)*(1+(INDEX(绊状态确认!$T:$T,MATCH($G401,绊状态确认!$B:$B,))+0.2)*AO401)*IF(J401=$FF$17,1+$FE$17,1)*IF(I401=$FF$14,1+$FE$14,1)</f>
        <v>20451.578050799999</v>
      </c>
      <c r="AT401" s="1093">
        <f>IF(AND(INDEX('卡片raw data'!AK:AK,MATCH($D401,'卡片raw data'!$F:$F,))&lt;INDEX('卡片raw data'!AM:AM,MATCH($D401,'卡片raw data'!$F:$F,)),INDEX('卡片raw data'!AL:AL,MATCH($D401,'卡片raw data'!$F:$F,))&lt;INDEX('卡片raw data'!AM:AM,MATCH($D401,'卡片raw data'!$F:$F,))),1,0)</f>
        <v>0</v>
      </c>
      <c r="AU401" s="1098">
        <f>MIN(AT401*0.15+AS401*0.00003+INDEX(绊状态确认!M:M,MATCH($G401,绊状态确认!$B:$B,)),1)</f>
        <v>0.64354734152400006</v>
      </c>
      <c r="AV401" s="1109">
        <f>(INDEX(绊状态确认!$N:$N,MATCH($G401,绊状态确认!$B:$B,))+1.5)*$EW$21</f>
        <v>2.6599999999999997</v>
      </c>
      <c r="AW401" s="1101">
        <f t="shared" si="538"/>
        <v>26684.159459221624</v>
      </c>
      <c r="AX401" s="1097">
        <f t="shared" si="539"/>
        <v>2044.8316386288957</v>
      </c>
      <c r="AY401" s="1110">
        <f t="shared" si="540"/>
        <v>28728.991097850521</v>
      </c>
      <c r="AZ401" s="429">
        <f t="shared" si="541"/>
        <v>18639.706435999997</v>
      </c>
      <c r="BA401" s="431">
        <f t="shared" si="542"/>
        <v>22367.647723199996</v>
      </c>
      <c r="BB401" s="1097">
        <f>(AM401*(1+$FB$9)+$FB$35)*(1+(INDEX(绊状态确认!$T:$T,MATCH($G401,绊状态确认!$B:$B,))+0.2)*AO401)*IF(J401=$FF$17,1+$FE$17,1)*IF(I401=$FF$14,1+$FE$14,1)*(1+$FE$15)</f>
        <v>23288.548457200002</v>
      </c>
      <c r="BC401" s="1097">
        <f>(AN401*(1+$FB$10)+$FB$36)*(1+(INDEX(绊状态确认!$T:$T,MATCH($G401,绊状态确认!$B:$B,))+0.2)*AO401)*IF(J401=$FF$17,1+$FE$17,1)*IF(I401=$FF$14,1+$FE$14,1)*(1+$FE$15)</f>
        <v>20451.578050799999</v>
      </c>
      <c r="BD401" s="1104">
        <f>MIN(AT401*0.15+BC401*0.00003+INDEX(绊状态确认!M:M,MATCH($G401,绊状态确认!$B:$B,)),1)</f>
        <v>0.64354734152400006</v>
      </c>
      <c r="BE401" s="432">
        <f>(INDEX(绊状态确认!$N:$N,MATCH($G401,绊状态确认!$B:$B,))+1.5)</f>
        <v>1.9</v>
      </c>
      <c r="BF401" s="1139">
        <f t="array" ref="BF401">SUMPRODUCT(IF(AZ401*AP401*$FI$16:$FI$23*$FA$22&gt;=$FI$24,$FI$24,AZ401*AP401*$FI$16:$FI$23*$FA$22),$FJ$16:$FJ$23)</f>
        <v>37074.376101203998</v>
      </c>
      <c r="BG401" s="1125">
        <f t="array" ref="BG401">SUMPRODUCT(IF(BE401*AZ401*AP401*$FI$16:$FI$23*$FA$22&gt;=$FI$24,$FI$24,BE401*AZ401*AP401*$FI$16:$FI$23*$FA$22),$FJ$16:$FJ$23)</f>
        <v>59510.018724230002</v>
      </c>
      <c r="BH401" s="1110">
        <f t="shared" si="543"/>
        <v>17170.924755544977</v>
      </c>
      <c r="BI401" s="1111">
        <f>IF(O401="vo",$EW$26/$EW$24*0.05,0)+IF(O401="sk",-$EW$26/$EW$24*(0.05-INDEX(绊状态确认!W:W,MATCH($G401,绊状态确认!$B:$B,)))+0.05*$EW$28,0)+IF(O401="sp",0.05*$EW$32*$EW$30*(1-$EW$33)-(0.05-INDEX(绊状态确认!V:V,MATCH($G401,绊状态确认!$B:$B,)))*$EW$28,0)+IF(O401="gd",-(0.05-INDEX(绊状态确认!X:X,MATCH($G401,绊状态确认!$B:$B,)))*$EW$32*$EW$30*(1-$EW$33),0)</f>
        <v>-585.00000000000011</v>
      </c>
      <c r="BJ401" s="1097">
        <f>IF(O401="vo",0.05*(1-$FI$26)*$FA$24,0)+IF(O401="sk",-(0.05-INDEX(绊状态确认!W:W,MATCH($G401,绊状态确认!$B:$B,)))*(1-$FI$26)*$FA$24+0.05*$FA$26,0)+IF(O401="sp",0.05*$FA$32*$FA$27*(1-$FA$33)/$FA$30+0.05*$FA$29/$FA$69*$FA$27*(1-$FA$33)-(0.05-INDEX(绊状态确认!V:V,MATCH($G401,绊状态确认!$B:$B,)))*$FA$26,0)+IF(O401="gd",-(0.05-INDEX(绊状态确认!X:X,MATCH($G401,绊状态确认!$B:$B,)))*$FA$32*$FA$27*(1-$FA$33)/$FA$30-(0.05-INDEX(绊状态确认!X:X,MATCH($G401,绊状态确认!$B:$B,)))*$FA$29/$FA$69*$FA$27*(1-$FA$33),0)</f>
        <v>-795.00000000000011</v>
      </c>
      <c r="BK401" s="1110">
        <f>IF(O401="vo",$EW$26/$EW$24*0.05+$EW$26*(-HP($EW$62,$EW$65,$EW$64)+HP($EW$62,$EW$65,(1.05-INDEX(绊状态确认!U:U,MATCH($G401,绊状态确认!$B:$B,)))*$EW$64)),0)+IF(O401="sk",-$EW$26/$EW$24*(0.05-INDEX(绊状态确认!W:W,MATCH($G401,绊状态确认!$B:$B,)))+0.05*$EW$29,0)+IF(O401="sp",0.05*$EW$32*$EW$30*(1-$EW$33)-(0.05-INDEX(绊状态确认!V:V,MATCH($G401,绊状态确认!$B:$B,)))*$EW$29,0)+IF(O401="gd",-(0.05-INDEX(绊状态确认!X:X,MATCH($G401,绊状态确认!$B:$B,)))*$EW$32*$EW$30*(1-$EW$33)+$EW$26*(-HP($EW$62,$EW$65,$EW$64)+HP($EW$62,$EW$65,0.95*$EW$64)),0)</f>
        <v>1009.5947725176144</v>
      </c>
      <c r="BL401" s="1111">
        <f t="shared" si="544"/>
        <v>0</v>
      </c>
      <c r="BM401" s="1110">
        <f t="shared" si="545"/>
        <v>0</v>
      </c>
      <c r="BN401" s="1113">
        <f t="shared" si="546"/>
        <v>3</v>
      </c>
      <c r="BO401" s="1108">
        <f t="shared" si="547"/>
        <v>4507.7214871259994</v>
      </c>
      <c r="BP401" s="1100">
        <f t="shared" si="548"/>
        <v>221.34103209030098</v>
      </c>
      <c r="BQ401" s="1113" t="s">
        <v>133</v>
      </c>
      <c r="BR401" s="1124" t="s">
        <v>171</v>
      </c>
      <c r="BS401" s="1098">
        <f>IF($P401="","N/A",IF($P401=-1,INDEX('卡片raw data'!AX:AX,MATCH($D401,'卡片raw data'!$F:$F,)),0)+IF($L401="party卡",IF($P401=5,INDEX('卡片raw data'!BD:BD,MATCH($D401,'卡片raw data'!$F:$F,)),IF($P401&gt;=3,INDEX('卡片raw data'!BC:BC,MATCH($D401,'卡片raw data'!$F:$F,)),INDEX('卡片raw data'!BB:BB,MATCH($D401,'卡片raw data'!$F:$F,)))),IF(OR(AND($F401="UR",$P401=0),AND($F401="SR",$P401&gt;=0,$P401&lt;=2),AND($F401="R",$P401&gt;=0,$P401&lt;4)),INDEX('卡片raw data'!AZ:AZ,MATCH($D401,'卡片raw data'!$F:$F,)),0)+IF(OR(AND($F401="UR",$P401&gt;=1,$P401&lt;=4),AND($F401="SR",$P401&lt;=4,$P401&gt;=3),AND($F401="R",$P401=4)),INDEX('卡片raw data'!BA:BA,MATCH($D401,'卡片raw data'!$F:$F,)),0)+IF($P401=5,INDEX('卡片raw data'!BB:BB,MATCH($D401,'卡片raw data'!$F:$F,)),0)))</f>
        <v>5.1999999999999998E-2</v>
      </c>
      <c r="BT401" s="1101">
        <f t="shared" si="549"/>
        <v>0</v>
      </c>
      <c r="BU401" s="1097">
        <f t="shared" si="550"/>
        <v>0</v>
      </c>
      <c r="BV401" s="1097">
        <f t="shared" si="551"/>
        <v>0</v>
      </c>
      <c r="BW401" s="1112">
        <f t="shared" si="552"/>
        <v>2.4347142857142861</v>
      </c>
      <c r="BX401" s="1100">
        <f t="shared" si="553"/>
        <v>190.49664124538464</v>
      </c>
      <c r="BY401" s="1110">
        <f t="shared" si="554"/>
        <v>190.49664124538464</v>
      </c>
      <c r="BZ401" s="1113" t="s">
        <v>569</v>
      </c>
      <c r="CA401" s="1124"/>
      <c r="CB401" s="1098">
        <f>IF($P401="","N/A",IF($P401=-1,INDEX('卡片raw data'!BE:BE,MATCH($D401,'卡片raw data'!$F:$F,)),0)+IF($L401="party卡",IF($P401=5,INDEX('卡片raw data'!BK:BK,MATCH($D401,'卡片raw data'!$F:$F,)),IF($P401&gt;=3,INDEX('卡片raw data'!BJ:BJ,MATCH($D401,'卡片raw data'!$F:$F,)),INDEX('卡片raw data'!BI:BI,MATCH($D401,'卡片raw data'!$F:$F,)))),IF(OR(AND($F401="UR",$P401=0),AND($F401="SR",$P401&gt;=0,$P401&lt;=2),AND($F401="R",$P401&gt;=0,$P401&lt;4)),INDEX('卡片raw data'!BG:BG,MATCH($D401,'卡片raw data'!$F:$F,)),0)+IF(OR(AND($F401="UR",$P401&gt;=1,$P401&lt;=4),AND($F401="SR",$P401&lt;=4,$P401&gt;=3),AND($F401="R",$P401=4)),INDEX('卡片raw data'!BH:BH,MATCH($D401,'卡片raw data'!$F:$F,)),0)+IF($P401=5,INDEX('卡片raw data'!BI:BI,MATCH($D401,'卡片raw data'!$F:$F,)),0)))</f>
        <v>0</v>
      </c>
      <c r="CC401" s="1101">
        <f t="shared" si="555"/>
        <v>0</v>
      </c>
      <c r="CD401" s="1097">
        <f>IF(BZ401="ap",CB401*(1-$FI$26)*$FB$5/$FB$11*(+IF(CA401="全员",$FA$24,0)+IF(CA401="同作战",$FA$24,0)+IF(CA401="仲间",$FA$24*2/3,0)+IF(CA401="同属性",$FA$24*$FA$37/3,0)+IF(CA401="同年级",$FA$24*$FA$40/3,0)+IF(CA401="同学校",$FA$24*$FA$43/3,0)+IF(CA401="同小队",$FA$24*$FA$46/3,0)+IF(CA401="同type",$FA$24*INDEX($FB$49:$FB$52,MATCH(X401,$FA$49:$FA$52,))/3,0)+IF(CA401="自身",#REF!/3,0)),0)+IF(BZ401="te",CB401*(1-$FI$27)*($FA$20-1)*$FB$7/$FB$13*(+IF(CA401="全员",$FA$19*$FA$24/(1+($FA$20-1)*$FA$19),0)+IF(CA401="同作战",$FA$19*$FA$24/(1+($FA$20-1)*$FA$19),0)+IF(CA401="仲间",$FA$19*$FA$24*2/3/(1+($FA$20-1)*$FA$19),0)+IF(CA401="同属性",$FA$19*$FA$24*$FA$37/3/(1+($FA$20-1)*$FA$19),0)+IF(CA401="同年级",$FA$19*$FA$24*$FA$40/3/(1+($FA$20-1)*$FA$19),0)+IF(CA401="同学校",$FA$19*$FA$24*$FA$43/3/(1+($FA$20-1)*$FA$19),0)+IF(CA401="同小队",$FA$19*$FA$24*$FA$46/3/(1+($FA$20-1)*$FA$19),0)+IF(CA401="同type",$FA$19*$FA$24*INDEX($FB$49:$FB$52,MATCH(X401,$FA$49:$FA$52,))/3/(1+($FA$20-1)*$FA$19),0)+IF(CA401="自身",$FA$19*#REF!/3/(1+(BH401-1)*$BD401),0)),0)</f>
        <v>0</v>
      </c>
      <c r="CE401" s="1097">
        <f t="shared" si="556"/>
        <v>0</v>
      </c>
      <c r="CF401" s="1112">
        <f t="shared" si="557"/>
        <v>0</v>
      </c>
      <c r="CG401" s="1100">
        <f t="shared" si="558"/>
        <v>0</v>
      </c>
      <c r="CH401" s="1110">
        <f t="shared" si="559"/>
        <v>0</v>
      </c>
      <c r="CI401" s="1113" t="s">
        <v>162</v>
      </c>
      <c r="CJ401" s="1114">
        <v>1</v>
      </c>
      <c r="CK401" s="1115" t="s">
        <v>2080</v>
      </c>
      <c r="CL401" s="1115" t="s">
        <v>2081</v>
      </c>
      <c r="CM401" s="1119">
        <v>3.2000000000000001E-2</v>
      </c>
      <c r="CN401" s="1115"/>
      <c r="CO401" s="1115"/>
      <c r="CP401" s="1116">
        <f t="shared" si="560"/>
        <v>15.96929037065143</v>
      </c>
      <c r="CQ401" s="1116">
        <f t="shared" si="561"/>
        <v>24.841118354346669</v>
      </c>
      <c r="CR401" s="1117">
        <f t="shared" si="562"/>
        <v>15.96929037065143</v>
      </c>
      <c r="CS401" s="1118">
        <f t="shared" si="563"/>
        <v>0</v>
      </c>
      <c r="CT401" s="1109">
        <f t="shared" si="564"/>
        <v>0</v>
      </c>
      <c r="CU401" s="1101">
        <f t="shared" si="565"/>
        <v>0</v>
      </c>
      <c r="CV401" s="1108">
        <f t="shared" si="566"/>
        <v>0</v>
      </c>
      <c r="CW401" s="1097">
        <f t="shared" si="567"/>
        <v>0</v>
      </c>
      <c r="CX401" s="1097">
        <f t="shared" si="568"/>
        <v>1284.4053110616535</v>
      </c>
      <c r="CY401" s="1110">
        <f t="shared" si="569"/>
        <v>1284.4053110616535</v>
      </c>
      <c r="CZ401" s="437"/>
      <c r="DA401" s="438"/>
      <c r="DB401" s="439" t="s">
        <v>569</v>
      </c>
      <c r="DC401" s="439"/>
      <c r="DD401" s="443"/>
      <c r="DE401" s="411"/>
      <c r="DF401" s="411"/>
      <c r="DG401" s="1116">
        <f t="shared" si="570"/>
        <v>0</v>
      </c>
      <c r="DH401" s="1116">
        <f t="shared" si="571"/>
        <v>0</v>
      </c>
      <c r="DI401" s="1116">
        <f t="shared" si="572"/>
        <v>0</v>
      </c>
      <c r="DJ401" s="442">
        <f t="shared" si="573"/>
        <v>0</v>
      </c>
      <c r="DK401" s="1109">
        <f t="shared" si="574"/>
        <v>0</v>
      </c>
      <c r="DL401" s="1101">
        <f t="shared" si="575"/>
        <v>0</v>
      </c>
      <c r="DM401" s="1097">
        <f t="shared" si="576"/>
        <v>0</v>
      </c>
      <c r="DN401" s="1097">
        <f t="shared" si="577"/>
        <v>0</v>
      </c>
      <c r="DO401" s="1097">
        <f t="shared" si="578"/>
        <v>0</v>
      </c>
      <c r="DP401" s="1110">
        <f t="shared" si="579"/>
        <v>0</v>
      </c>
      <c r="DQ401" s="1113" t="s">
        <v>556</v>
      </c>
      <c r="DR401" s="1120">
        <f t="shared" si="580"/>
        <v>0.33</v>
      </c>
      <c r="DS401" s="1124">
        <v>5</v>
      </c>
      <c r="DT401" s="1093" t="s">
        <v>161</v>
      </c>
      <c r="DU401" s="1093" t="s">
        <v>544</v>
      </c>
      <c r="DV401" s="1098">
        <f>IF($P401="","N/A",IF(P401=-1,INDEX('卡片raw data'!AN:AN,MATCH(D401,'卡片raw data'!$F:$F,)),0)+IF(AND(L401&lt;&gt;"party卡",P401&lt;=2,P401&gt;=0),INDEX('卡片raw data'!AP:AP,MATCH(D401,'卡片raw data'!$F:$F,)),0)+IF(OR(AND(L401="party卡",P401&lt;=1),AND(P401&lt;=4,L401&lt;&gt;"party卡",P401&gt;=3)),INDEX('卡片raw data'!AQ:AQ,MATCH(D401,'卡片raw data'!$F:$F,)),0)+IF(OR(P401=5,AND(L401="party卡",P401&gt;=2)),INDEX('卡片raw data'!AR:AR,MATCH(D401,'卡片raw data'!$F:$F,)),0))</f>
        <v>0.27</v>
      </c>
      <c r="DW401" s="1098">
        <f t="shared" si="581"/>
        <v>0.33</v>
      </c>
      <c r="DX401" s="1098">
        <f t="shared" si="582"/>
        <v>0.33</v>
      </c>
      <c r="DY401" s="1098">
        <f t="shared" si="583"/>
        <v>0.14850000000000002</v>
      </c>
      <c r="DZ401" s="1098">
        <f t="shared" si="584"/>
        <v>0.12845250000000002</v>
      </c>
      <c r="EA401" s="1098">
        <f t="shared" si="585"/>
        <v>0</v>
      </c>
      <c r="EB401" s="1121">
        <f t="shared" si="586"/>
        <v>0</v>
      </c>
      <c r="EC401" s="1101">
        <f t="shared" si="587"/>
        <v>0</v>
      </c>
      <c r="ED401" s="1097">
        <f t="shared" si="588"/>
        <v>0</v>
      </c>
      <c r="EE401" s="1110">
        <f t="shared" si="513"/>
        <v>6789.3968242993333</v>
      </c>
      <c r="EF401" s="1115" t="s">
        <v>569</v>
      </c>
      <c r="EG401" s="1120">
        <f t="shared" si="589"/>
        <v>0.33</v>
      </c>
      <c r="EH401" s="1124"/>
      <c r="EI401" s="1093"/>
      <c r="EJ401" s="1093"/>
      <c r="EK401" s="1097">
        <f>IF($P401="","N/A",IF(P401=-1,INDEX('卡片raw data'!AS:AS,MATCH(D401,'卡片raw data'!$F:$F,)),0)+IF(AND(L401&lt;&gt;"party卡",P401&lt;=2,P401&gt;=0),INDEX('卡片raw data'!AU:AU,MATCH(D401,'卡片raw data'!$F:$F,)),0)+IF(OR(AND(L401="party卡",P401&lt;=1),AND(P401&lt;=4,L401&lt;&gt;"party卡",P401&gt;=3)),INDEX('卡片raw data'!AV:AV,MATCH(D401,'卡片raw data'!$F:$F,)),0)+IF(OR(P401=5,AND(L401="party卡",P401&gt;=2)),INDEX('卡片raw data'!AW:AW,MATCH(D401,'卡片raw data'!$F:$F,)),0))</f>
        <v>0</v>
      </c>
      <c r="EL401" s="1098">
        <f t="shared" si="590"/>
        <v>0.33</v>
      </c>
      <c r="EM401" s="1098">
        <f t="shared" si="591"/>
        <v>0.33</v>
      </c>
      <c r="EN401" s="1097">
        <f t="shared" si="592"/>
        <v>0</v>
      </c>
      <c r="EO401" s="1097">
        <f t="shared" si="593"/>
        <v>0</v>
      </c>
      <c r="EP401" s="1098">
        <f t="shared" si="594"/>
        <v>0</v>
      </c>
      <c r="EQ401" s="1121">
        <f t="shared" si="595"/>
        <v>0</v>
      </c>
      <c r="ER401" s="1101">
        <f t="shared" si="596"/>
        <v>0</v>
      </c>
      <c r="ES401" s="1097">
        <f t="shared" si="597"/>
        <v>0</v>
      </c>
      <c r="ET401" s="1122">
        <f t="shared" si="514"/>
        <v>0</v>
      </c>
    </row>
    <row r="402" spans="2:150" ht="16.5" customHeight="1">
      <c r="B402" s="1123" t="str">
        <f>INDEX('卡片raw data'!B:B,MATCH($D402,'卡片raw data'!$F:$F,))</f>
        <v>情人雫</v>
      </c>
      <c r="C402" s="449" t="s">
        <v>2103</v>
      </c>
      <c r="D402" s="408">
        <v>399</v>
      </c>
      <c r="E402" s="477">
        <v>402033003</v>
      </c>
      <c r="F402" s="1090" t="str">
        <f>INDEX('卡片raw data'!C:C,MATCH($D402,'卡片raw data'!$F:$F,))</f>
        <v>UR</v>
      </c>
      <c r="G402" s="1094" t="s">
        <v>2104</v>
      </c>
      <c r="H402" s="411">
        <f>IFERROR(INDEX(绊状态确认!C:C,MATCH($G402,绊状态确认!$B:$B,)),"")</f>
        <v>203</v>
      </c>
      <c r="I402" s="450" t="str">
        <f>IFERROR(INDEX(绊状态确认!D:D,MATCH($G402,绊状态确认!$B:$B,)),"")</f>
        <v>虹</v>
      </c>
      <c r="J402" s="450" t="str">
        <f>IFERROR(INDEX(绊状态确认!E:E,MATCH($G402,绊状态确认!$B:$B,)),"")</f>
        <v>1年级</v>
      </c>
      <c r="K402" s="451" t="str">
        <f>IFERROR(INDEX(绊状态确认!F:F,MATCH($G402,绊状态确认!$B:$B,)),"")</f>
        <v>A·ZU·NA</v>
      </c>
      <c r="L402" s="1094" t="str">
        <f>INDEX('卡片raw data'!E:E,MATCH($D402,'卡片raw data'!$F:$F,))</f>
        <v>活动卡</v>
      </c>
      <c r="M402" s="478">
        <v>44231</v>
      </c>
      <c r="N402" s="479">
        <v>33</v>
      </c>
      <c r="O402" s="1091" t="str">
        <f>INDEX('卡片raw data'!D:D,MATCH($D402,'卡片raw data'!$F:$F,))</f>
        <v>sk</v>
      </c>
      <c r="P402" s="1126">
        <v>5</v>
      </c>
      <c r="Q402" s="1095">
        <f t="shared" si="515"/>
        <v>30747.593192581371</v>
      </c>
      <c r="R402" s="1096">
        <f t="shared" si="516"/>
        <v>0.35699999999999998</v>
      </c>
      <c r="S402" s="1097">
        <f t="shared" si="517"/>
        <v>17752.209559147064</v>
      </c>
      <c r="T402" s="1098">
        <f t="shared" si="518"/>
        <v>0.88700000000000001</v>
      </c>
      <c r="U402" s="1099">
        <f t="shared" si="519"/>
        <v>18.732508677257144</v>
      </c>
      <c r="V402" s="1100">
        <f t="shared" si="520"/>
        <v>34249.806868024702</v>
      </c>
      <c r="W402" s="1101">
        <f t="shared" si="521"/>
        <v>4744.477483983309</v>
      </c>
      <c r="X402" s="1096">
        <f t="shared" si="522"/>
        <v>5.5E-2</v>
      </c>
      <c r="Y402" s="1097">
        <f t="shared" si="523"/>
        <v>1502.2136754433341</v>
      </c>
      <c r="Z402" s="1102">
        <f t="shared" si="524"/>
        <v>18.732508677257144</v>
      </c>
      <c r="AA402" s="1103">
        <f t="shared" si="525"/>
        <v>6246.691159426643</v>
      </c>
      <c r="AB402" s="1101">
        <f t="shared" si="526"/>
        <v>4981.2334808406185</v>
      </c>
      <c r="AC402" s="1104">
        <f t="shared" si="527"/>
        <v>5.7000000000000002E-2</v>
      </c>
      <c r="AD402" s="1105">
        <f t="shared" si="528"/>
        <v>2.1769318181818181E-2</v>
      </c>
      <c r="AE402" s="1128">
        <f t="shared" si="529"/>
        <v>11.953757704745847</v>
      </c>
      <c r="AF402" s="1130">
        <f t="shared" si="530"/>
        <v>0</v>
      </c>
      <c r="AG402" s="420">
        <f t="shared" si="531"/>
        <v>0</v>
      </c>
      <c r="AH402" s="420">
        <f t="shared" si="532"/>
        <v>0</v>
      </c>
      <c r="AI402" s="1097">
        <f t="shared" si="533"/>
        <v>0</v>
      </c>
      <c r="AJ402" s="420">
        <f t="shared" si="534"/>
        <v>0</v>
      </c>
      <c r="AK402" s="518">
        <f t="shared" si="535"/>
        <v>0</v>
      </c>
      <c r="AL402" s="1106">
        <f>IF($P402="","N/A",(IF($P402=-1,INDEX('卡片raw data'!S:S,MATCH($D402,'卡片raw data'!$F:$F,)),0)+IF($P402=0,INDEX('卡片raw data'!V:V,MATCH($D402,'卡片raw data'!$F:$F,)),0)+IF($P402=1,INDEX('卡片raw data'!Y:Y,MATCH($D402,'卡片raw data'!$F:$F,)),0)+IF($P402=2,INDEX('卡片raw data'!AB:AB,MATCH($D402,'卡片raw data'!$F:$F,)),0)+IF($P402=3,INDEX('卡片raw data'!AE:AE,MATCH($D402,'卡片raw data'!$F:$F,)),0)+IF($P402=4,INDEX('卡片raw data'!AH:AH,MATCH($D402,'卡片raw data'!$F:$F,)),0)+IF($P402=5,INDEX('卡片raw data'!AK:AK,MATCH($D402,'卡片raw data'!$F:$F,)),0)+INDEX('卡片raw data'!S:S,MATCH($D402,'卡片raw data'!$F:$F,))*(IF($F402="UR",0.04,0.033))*(IF($F402="UR",INDEX(绊状态确认!$S:$S,MATCH($G402,绊状态确认!$B:$B,))/2-40)+IF($F402="SR",INDEX(绊状态确认!$R:$R,MATCH($G402,绊状态确认!$B:$B,))/4-15))+IF($F402="R",INDEX(绊状态确认!$Q:$Q,MATCH($G402,绊状态确认!$B:$B,))/6-40/6)))*(INDEX(绊状态确认!$H:$H,MATCH($G402,绊状态确认!$B:$B,))+INDEX(绊状态确认!J:J,MATCH($G402,绊状态确认!$B:$B,)))</f>
        <v>9440.9384639999989</v>
      </c>
      <c r="AM402" s="1106">
        <f>IF($P402="","N/A",(IF($P402=-1,INDEX('卡片raw data'!T:T,MATCH($D402,'卡片raw data'!$F:$F,)),0)+IF($P402=0,INDEX('卡片raw data'!W:W,MATCH($D402,'卡片raw data'!$F:$F,)),0)+IF($P402=1,INDEX('卡片raw data'!Z:Z,MATCH($D402,'卡片raw data'!$F:$F,)),0)+IF($P402=2,INDEX('卡片raw data'!AC:AC,MATCH($D402,'卡片raw data'!$F:$F,)),0)+IF($P402=3,INDEX('卡片raw data'!AF:AF,MATCH($D402,'卡片raw data'!$F:$F,)),0)+IF($P402=4,INDEX('卡片raw data'!AI:AI,MATCH($D402,'卡片raw data'!$F:$F,)),0)+IF($P402=5,INDEX('卡片raw data'!AL:AL,MATCH($D402,'卡片raw data'!$F:$F,)),0)+INDEX('卡片raw data'!T:T,MATCH($D402,'卡片raw data'!$F:$F,))*(IF($F402="UR",0.04,0.033))*(IF($F402="UR",INDEX(绊状态确认!$S:$S,MATCH($G402,绊状态确认!$B:$B,))/2-40)+IF($F402="SR",INDEX(绊状态确认!$R:$R,MATCH($G402,绊状态确认!$B:$B,))/4-15))+IF($F402="R",INDEX(绊状态确认!$Q:$Q,MATCH($G402,绊状态确认!$B:$B,))/6-40/6)))*(INDEX(绊状态确认!$H:$H,MATCH($G402,绊状态确认!$B:$B,))+INDEX(绊状态确认!K:K,MATCH($G402,绊状态确认!$B:$B,)))</f>
        <v>9162.8386559999981</v>
      </c>
      <c r="AN402" s="1106">
        <f>IF($P402="","N/A",(IF($P402=-1,INDEX('卡片raw data'!U:U,MATCH($D402,'卡片raw data'!$F:$F,)),0)+IF($P402=0,INDEX('卡片raw data'!X:X,MATCH($D402,'卡片raw data'!$F:$F,)),0)+IF($P402=1,INDEX('卡片raw data'!AA:AA,MATCH($D402,'卡片raw data'!$F:$F,)),0)+IF($P402=2,INDEX('卡片raw data'!AD:AD,MATCH($D402,'卡片raw data'!$F:$F,)),0)+IF($P402=3,INDEX('卡片raw data'!AG:AG,MATCH($D402,'卡片raw data'!$F:$F,)),0)+IF($P402=4,INDEX('卡片raw data'!AJ:AJ,MATCH($D402,'卡片raw data'!$F:$F,)),0)+IF($P402=5,INDEX('卡片raw data'!AM:AM,MATCH($D402,'卡片raw data'!$F:$F,)),0)+INDEX('卡片raw data'!U:U,MATCH($D402,'卡片raw data'!$F:$F,))*(IF($F402="UR",0.04,0.033))*(IF($F402="UR",INDEX(绊状态确认!$S:$S,MATCH($G402,绊状态确认!$B:$B,))/2-40)+IF($F402="SR",INDEX(绊状态确认!$R:$R,MATCH($G402,绊状态确认!$B:$B,))/4-15))+IF($F402="R",INDEX(绊状态确认!$Q:$Q,MATCH($G402,绊状态确认!$B:$B,))/6-40/6)))*(INDEX(绊状态确认!$H:$H,MATCH($G402,绊状态确认!$B:$B,))+INDEX(绊状态确认!L:L,MATCH($G402,绊状态确认!$B:$B,)))</f>
        <v>9162.8386559999981</v>
      </c>
      <c r="AO402" s="1107">
        <f t="shared" si="536"/>
        <v>1</v>
      </c>
      <c r="AP402" s="1131">
        <f>1+(INDEX(绊状态确认!$T:$T,MATCH($G402,绊状态确认!$B:$B,))+0.2)*$AO402</f>
        <v>1.3</v>
      </c>
      <c r="AQ402" s="1108">
        <f t="shared" si="537"/>
        <v>28032.463467999994</v>
      </c>
      <c r="AR402" s="1097">
        <f>(AM402*(1+$EX$9)+$EX$35)*(1+(INDEX(绊状态确认!$T:$T,MATCH($G402,绊状态确认!$B:$B,))+0.2)*AO402)*IF(J402=$FF$17,1+$FE$17,1)*IF(I402=$FF$14,1+$FE$14,1)</f>
        <v>15211.274765439999</v>
      </c>
      <c r="AS402" s="1097">
        <f>(AN402*(1+$EX$10)+$EX$36)*(1+(INDEX(绊状态确认!$T:$T,MATCH($G402,绊状态确认!$B:$B,))+0.2)*AO402)*IF(J402=$FF$17,1+$FE$17,1)*IF(I402=$FF$14,1+$FE$14,1)</f>
        <v>17754.443790719997</v>
      </c>
      <c r="AT402" s="1093">
        <f>IF(AND(INDEX('卡片raw data'!AK:AK,MATCH($D402,'卡片raw data'!$F:$F,))&lt;INDEX('卡片raw data'!AM:AM,MATCH($D402,'卡片raw data'!$F:$F,)),INDEX('卡片raw data'!AL:AL,MATCH($D402,'卡片raw data'!$F:$F,))&lt;INDEX('卡片raw data'!AM:AM,MATCH($D402,'卡片raw data'!$F:$F,))),1,0)</f>
        <v>0</v>
      </c>
      <c r="AU402" s="1098">
        <f>MIN(AT402*0.15+AS402*0.00003+INDEX(绊状态确认!M:M,MATCH($G402,绊状态确认!$B:$B,)),1)</f>
        <v>0.56263331372159997</v>
      </c>
      <c r="AV402" s="1109">
        <f>(INDEX(绊状态确认!$N:$N,MATCH($G402,绊状态确认!$B:$B,))+1.5)*$EW$21</f>
        <v>2.6599999999999997</v>
      </c>
      <c r="AW402" s="1101">
        <f t="shared" si="538"/>
        <v>28155.850709114802</v>
      </c>
      <c r="AX402" s="1097">
        <f t="shared" si="539"/>
        <v>1311.7170341979493</v>
      </c>
      <c r="AY402" s="1110">
        <f t="shared" si="540"/>
        <v>29467.567743312753</v>
      </c>
      <c r="AZ402" s="429">
        <f t="shared" si="541"/>
        <v>21009.830004799998</v>
      </c>
      <c r="BA402" s="431">
        <f t="shared" si="542"/>
        <v>25211.796005759996</v>
      </c>
      <c r="BB402" s="1097">
        <f>(AM402*(1+$FB$9)+$FB$35)*(1+(INDEX(绊状态确认!$T:$T,MATCH($G402,绊状态确认!$B:$B,))+0.2)*AO402)*IF(J402=$FF$17,1+$FE$17,1)*IF(I402=$FF$14,1+$FE$14,1)*(1+$FE$15)</f>
        <v>15211.274765439999</v>
      </c>
      <c r="BC402" s="1097">
        <f>(AN402*(1+$FB$10)+$FB$36)*(1+(INDEX(绊状态确认!$T:$T,MATCH($G402,绊状态确认!$B:$B,))+0.2)*AO402)*IF(J402=$FF$17,1+$FE$17,1)*IF(I402=$FF$14,1+$FE$14,1)*(1+$FE$15)</f>
        <v>17754.443790719997</v>
      </c>
      <c r="BD402" s="1104">
        <f>MIN(AT402*0.15+BC402*0.00003+INDEX(绊状态确认!M:M,MATCH($G402,绊状态确认!$B:$B,)),1)</f>
        <v>0.56263331372159997</v>
      </c>
      <c r="BE402" s="432">
        <f>(INDEX(绊状态确认!$N:$N,MATCH($G402,绊状态确认!$B:$B,))+1.5)</f>
        <v>1.9</v>
      </c>
      <c r="BF402" s="1139">
        <f t="array" ref="BF402">SUMPRODUCT(IF(AZ402*AP402*$FI$16:$FI$23*$FA$22&gt;=$FI$24,$FI$24,AZ402*AP402*$FI$16:$FI$23*$FA$22),$FJ$16:$FJ$23)</f>
        <v>41788.551879547194</v>
      </c>
      <c r="BG402" s="1125">
        <f t="array" ref="BG402">SUMPRODUCT(IF(BE402*AZ402*AP402*$FI$16:$FI$23*$FA$22&gt;=$FI$24,$FI$24,BE402*AZ402*AP402*$FI$16:$FI$23*$FA$22),$FJ$16:$FJ$23)</f>
        <v>60000</v>
      </c>
      <c r="BH402" s="1110">
        <f t="shared" si="543"/>
        <v>17344.973094408851</v>
      </c>
      <c r="BI402" s="1111">
        <f>IF(O402="vo",$EW$26/$EW$24*0.05,0)+IF(O402="sk",-$EW$26/$EW$24*(0.05-INDEX(绊状态确认!W:W,MATCH($G402,绊状态确认!$B:$B,)))+0.05*$EW$28,0)+IF(O402="sp",0.05*$EW$32*$EW$30*(1-$EW$33)-(0.05-INDEX(绊状态确认!V:V,MATCH($G402,绊状态确认!$B:$B,)))*$EW$28,0)+IF(O402="gd",-(0.05-INDEX(绊状态确认!X:X,MATCH($G402,绊状态确认!$B:$B,)))*$EW$32*$EW$30*(1-$EW$33),0)</f>
        <v>-6253.6726349699375</v>
      </c>
      <c r="BJ402" s="1097">
        <f>IF(O402="vo",0.05*(1-$FI$26)*$FA$24,0)+IF(O402="sk",-(0.05-INDEX(绊状态确认!W:W,MATCH($G402,绊状态确认!$B:$B,)))*(1-$FI$26)*$FA$24+0.05*$FA$26,0)+IF(O402="sp",0.05*$FA$32*$FA$27*(1-$FA$33)/$FA$30+0.05*$FA$29/$FA$69*$FA$27*(1-$FA$33)-(0.05-INDEX(绊状态确认!V:V,MATCH($G402,绊状态确认!$B:$B,)))*$FA$26,0)+IF(O402="gd",-(0.05-INDEX(绊状态确认!X:X,MATCH($G402,绊状态确认!$B:$B,)))*$FA$32*$FA$27*(1-$FA$33)/$FA$30-(0.05-INDEX(绊状态确认!X:X,MATCH($G402,绊状态确认!$B:$B,)))*$FA$29/$FA$69*$FA$27*(1-$FA$33),0)</f>
        <v>20.459096812499922</v>
      </c>
      <c r="BK402" s="1110">
        <f>IF(O402="vo",$EW$26/$EW$24*0.05+$EW$26*(-HP($EW$62,$EW$65,$EW$64)+HP($EW$62,$EW$65,(1.05-INDEX(绊状态确认!U:U,MATCH($G402,绊状态确认!$B:$B,)))*$EW$64)),0)+IF(O402="sk",-$EW$26/$EW$24*(0.05-INDEX(绊状态确认!W:W,MATCH($G402,绊状态确认!$B:$B,)))+0.05*$EW$29,0)+IF(O402="sp",0.05*$EW$32*$EW$30*(1-$EW$33)-(0.05-INDEX(绊状态确认!V:V,MATCH($G402,绊状态确认!$B:$B,)))*$EW$29,0)+IF(O402="gd",-(0.05-INDEX(绊状态确认!X:X,MATCH($G402,绊状态确认!$B:$B,)))*$EW$32*$EW$30*(1-$EW$33)+$EW$26*(-HP($EW$62,$EW$65,$EW$64)+HP($EW$62,$EW$65,0.95*$EW$64)),0)</f>
        <v>-4253.6726349699375</v>
      </c>
      <c r="BL402" s="1111">
        <f t="shared" si="544"/>
        <v>0</v>
      </c>
      <c r="BM402" s="1110">
        <f t="shared" si="545"/>
        <v>0</v>
      </c>
      <c r="BN402" s="1113">
        <f t="shared" si="546"/>
        <v>3</v>
      </c>
      <c r="BO402" s="1108">
        <f t="shared" si="547"/>
        <v>4507.7214871259994</v>
      </c>
      <c r="BP402" s="1100">
        <f t="shared" si="548"/>
        <v>221.34103209030098</v>
      </c>
      <c r="BQ402" s="1113" t="s">
        <v>133</v>
      </c>
      <c r="BR402" s="1124" t="s">
        <v>171</v>
      </c>
      <c r="BS402" s="1098">
        <f>IF($P402="","N/A",IF($P402=-1,INDEX('卡片raw data'!AX:AX,MATCH($D402,'卡片raw data'!$F:$F,)),0)+IF($L402="party卡",IF($P402=5,INDEX('卡片raw data'!BD:BD,MATCH($D402,'卡片raw data'!$F:$F,)),IF($P402&gt;=3,INDEX('卡片raw data'!BC:BC,MATCH($D402,'卡片raw data'!$F:$F,)),INDEX('卡片raw data'!BB:BB,MATCH($D402,'卡片raw data'!$F:$F,)))),IF(OR(AND($F402="UR",$P402=0),AND($F402="SR",$P402&gt;=0,$P402&lt;=2),AND($F402="R",$P402&gt;=0,$P402&lt;4)),INDEX('卡片raw data'!AZ:AZ,MATCH($D402,'卡片raw data'!$F:$F,)),0)+IF(OR(AND($F402="UR",$P402&gt;=1,$P402&lt;=4),AND($F402="SR",$P402&lt;=4,$P402&gt;=3),AND($F402="R",$P402=4)),INDEX('卡片raw data'!BA:BA,MATCH($D402,'卡片raw data'!$F:$F,)),0)+IF($P402=5,INDEX('卡片raw data'!BB:BB,MATCH($D402,'卡片raw data'!$F:$F,)),0)))</f>
        <v>5.1999999999999998E-2</v>
      </c>
      <c r="BT402" s="1101">
        <f t="shared" si="549"/>
        <v>0</v>
      </c>
      <c r="BU402" s="1097">
        <f t="shared" si="550"/>
        <v>0</v>
      </c>
      <c r="BV402" s="1097">
        <f t="shared" si="551"/>
        <v>0</v>
      </c>
      <c r="BW402" s="1112">
        <f t="shared" si="552"/>
        <v>2.4347142857142861</v>
      </c>
      <c r="BX402" s="1100">
        <f t="shared" si="553"/>
        <v>190.49664124538464</v>
      </c>
      <c r="BY402" s="1110">
        <f t="shared" si="554"/>
        <v>190.49664124538464</v>
      </c>
      <c r="BZ402" s="1113" t="s">
        <v>569</v>
      </c>
      <c r="CA402" s="1124"/>
      <c r="CB402" s="1098">
        <f>IF($P402="","N/A",IF($P402=-1,INDEX('卡片raw data'!BE:BE,MATCH($D402,'卡片raw data'!$F:$F,)),0)+IF($L402="party卡",IF($P402=5,INDEX('卡片raw data'!BK:BK,MATCH($D402,'卡片raw data'!$F:$F,)),IF($P402&gt;=3,INDEX('卡片raw data'!BJ:BJ,MATCH($D402,'卡片raw data'!$F:$F,)),INDEX('卡片raw data'!BI:BI,MATCH($D402,'卡片raw data'!$F:$F,)))),IF(OR(AND($F402="UR",$P402=0),AND($F402="SR",$P402&gt;=0,$P402&lt;=2),AND($F402="R",$P402&gt;=0,$P402&lt;4)),INDEX('卡片raw data'!BG:BG,MATCH($D402,'卡片raw data'!$F:$F,)),0)+IF(OR(AND($F402="UR",$P402&gt;=1,$P402&lt;=4),AND($F402="SR",$P402&lt;=4,$P402&gt;=3),AND($F402="R",$P402=4)),INDEX('卡片raw data'!BH:BH,MATCH($D402,'卡片raw data'!$F:$F,)),0)+IF($P402=5,INDEX('卡片raw data'!BI:BI,MATCH($D402,'卡片raw data'!$F:$F,)),0)))</f>
        <v>0</v>
      </c>
      <c r="CC402" s="1101">
        <f t="shared" si="555"/>
        <v>0</v>
      </c>
      <c r="CD402" s="1097">
        <f>IF(BZ402="ap",CB402*(1-$FI$26)*$FB$5/$FB$11*(+IF(CA402="全员",$FA$24,0)+IF(CA402="同作战",$FA$24,0)+IF(CA402="仲间",$FA$24*2/3,0)+IF(CA402="同属性",$FA$24*$FA$37/3,0)+IF(CA402="同年级",$FA$24*$FA$40/3,0)+IF(CA402="同学校",$FA$24*$FA$43/3,0)+IF(CA402="同小队",$FA$24*$FA$46/3,0)+IF(CA402="同type",$FA$24*INDEX($FB$49:$FB$52,MATCH(X402,$FA$49:$FA$52,))/3,0)+IF(CA402="自身",#REF!/3,0)),0)+IF(BZ402="te",CB402*(1-$FI$27)*($FA$20-1)*$FB$7/$FB$13*(+IF(CA402="全员",$FA$19*$FA$24/(1+($FA$20-1)*$FA$19),0)+IF(CA402="同作战",$FA$19*$FA$24/(1+($FA$20-1)*$FA$19),0)+IF(CA402="仲间",$FA$19*$FA$24*2/3/(1+($FA$20-1)*$FA$19),0)+IF(CA402="同属性",$FA$19*$FA$24*$FA$37/3/(1+($FA$20-1)*$FA$19),0)+IF(CA402="同年级",$FA$19*$FA$24*$FA$40/3/(1+($FA$20-1)*$FA$19),0)+IF(CA402="同学校",$FA$19*$FA$24*$FA$43/3/(1+($FA$20-1)*$FA$19),0)+IF(CA402="同小队",$FA$19*$FA$24*$FA$46/3/(1+($FA$20-1)*$FA$19),0)+IF(CA402="同type",$FA$19*$FA$24*INDEX($FB$49:$FB$52,MATCH(X402,$FA$49:$FA$52,))/3/(1+($FA$20-1)*$FA$19),0)+IF(CA402="自身",$FA$19*#REF!/3/(1+(BH402-1)*$BD402),0)),0)</f>
        <v>0</v>
      </c>
      <c r="CE402" s="1097">
        <f t="shared" si="556"/>
        <v>0</v>
      </c>
      <c r="CF402" s="1112">
        <f t="shared" si="557"/>
        <v>0</v>
      </c>
      <c r="CG402" s="1100">
        <f t="shared" si="558"/>
        <v>0</v>
      </c>
      <c r="CH402" s="1110">
        <f t="shared" si="559"/>
        <v>0</v>
      </c>
      <c r="CI402" s="1113" t="s">
        <v>164</v>
      </c>
      <c r="CJ402" s="1114">
        <v>1</v>
      </c>
      <c r="CK402" s="1115" t="s">
        <v>2074</v>
      </c>
      <c r="CL402" s="1115" t="s">
        <v>2075</v>
      </c>
      <c r="CM402" s="1119">
        <v>3.9E-2</v>
      </c>
      <c r="CN402" s="1115">
        <v>5</v>
      </c>
      <c r="CO402" s="1115"/>
      <c r="CP402" s="1118">
        <f t="shared" si="560"/>
        <v>2.7857142857142855E-3</v>
      </c>
      <c r="CQ402" s="1118">
        <f t="shared" si="561"/>
        <v>3.7916666666666667E-3</v>
      </c>
      <c r="CR402" s="1118">
        <f t="shared" si="562"/>
        <v>1.3928571428571427E-3</v>
      </c>
      <c r="CS402" s="1118">
        <f t="shared" si="563"/>
        <v>0</v>
      </c>
      <c r="CT402" s="1109">
        <f t="shared" si="564"/>
        <v>0</v>
      </c>
      <c r="CU402" s="1101">
        <f t="shared" si="565"/>
        <v>473.51199371461951</v>
      </c>
      <c r="CV402" s="1108">
        <f t="shared" si="566"/>
        <v>29.873353879687503</v>
      </c>
      <c r="CW402" s="1097">
        <f t="shared" si="567"/>
        <v>236.75599685730975</v>
      </c>
      <c r="CX402" s="1097">
        <f t="shared" si="568"/>
        <v>473.51199371461951</v>
      </c>
      <c r="CY402" s="1110">
        <f t="shared" si="569"/>
        <v>236.75599685730975</v>
      </c>
      <c r="CZ402" s="437"/>
      <c r="DA402" s="438"/>
      <c r="DB402" s="439" t="s">
        <v>569</v>
      </c>
      <c r="DC402" s="439"/>
      <c r="DD402" s="443"/>
      <c r="DE402" s="411"/>
      <c r="DF402" s="411"/>
      <c r="DG402" s="1116">
        <f t="shared" si="570"/>
        <v>0</v>
      </c>
      <c r="DH402" s="1116">
        <f t="shared" si="571"/>
        <v>0</v>
      </c>
      <c r="DI402" s="1116">
        <f t="shared" si="572"/>
        <v>0</v>
      </c>
      <c r="DJ402" s="442">
        <f t="shared" si="573"/>
        <v>0</v>
      </c>
      <c r="DK402" s="1109">
        <f t="shared" si="574"/>
        <v>0</v>
      </c>
      <c r="DL402" s="1101">
        <f t="shared" si="575"/>
        <v>0</v>
      </c>
      <c r="DM402" s="1097">
        <f t="shared" si="576"/>
        <v>0</v>
      </c>
      <c r="DN402" s="1097">
        <f t="shared" si="577"/>
        <v>0</v>
      </c>
      <c r="DO402" s="1097">
        <f t="shared" si="578"/>
        <v>0</v>
      </c>
      <c r="DP402" s="1110">
        <f t="shared" si="579"/>
        <v>0</v>
      </c>
      <c r="DQ402" s="1113" t="s">
        <v>221</v>
      </c>
      <c r="DR402" s="1120">
        <f t="shared" si="580"/>
        <v>0.33</v>
      </c>
      <c r="DS402" s="1124">
        <v>5</v>
      </c>
      <c r="DT402" s="1124" t="s">
        <v>171</v>
      </c>
      <c r="DU402" s="1093" t="s">
        <v>544</v>
      </c>
      <c r="DV402" s="1098">
        <f>IF($P402="","N/A",IF(P402=-1,INDEX('卡片raw data'!AN:AN,MATCH(D402,'卡片raw data'!$F:$F,)),0)+IF(AND(L402&lt;&gt;"party卡",P402&lt;=2,P402&gt;=0),INDEX('卡片raw data'!AP:AP,MATCH(D402,'卡片raw data'!$F:$F,)),0)+IF(OR(AND(L402="party卡",P402&lt;=1),AND(P402&lt;=4,L402&lt;&gt;"party卡",P402&gt;=3)),INDEX('卡片raw data'!AQ:AQ,MATCH(D402,'卡片raw data'!$F:$F,)),0)+IF(OR(P402=5,AND(L402="party卡",P402&gt;=2)),INDEX('卡片raw data'!AR:AR,MATCH(D402,'卡片raw data'!$F:$F,)),0))</f>
        <v>6.2E-2</v>
      </c>
      <c r="DW402" s="1098">
        <f t="shared" si="581"/>
        <v>0.33</v>
      </c>
      <c r="DX402" s="1098">
        <f t="shared" si="582"/>
        <v>0.33</v>
      </c>
      <c r="DY402" s="1098">
        <f t="shared" si="583"/>
        <v>2.2733333333333338E-2</v>
      </c>
      <c r="DZ402" s="1098">
        <f t="shared" si="584"/>
        <v>1.7206291666666668E-2</v>
      </c>
      <c r="EA402" s="1098">
        <f t="shared" si="585"/>
        <v>0</v>
      </c>
      <c r="EB402" s="1121">
        <f t="shared" si="586"/>
        <v>0</v>
      </c>
      <c r="EC402" s="1101">
        <f t="shared" si="587"/>
        <v>3864.1816375958874</v>
      </c>
      <c r="ED402" s="1097">
        <f t="shared" si="588"/>
        <v>135.56298195572344</v>
      </c>
      <c r="EE402" s="1110">
        <f t="shared" si="513"/>
        <v>3864.1816375958874</v>
      </c>
      <c r="EF402" s="1115" t="s">
        <v>569</v>
      </c>
      <c r="EG402" s="1120">
        <f t="shared" si="589"/>
        <v>0.33</v>
      </c>
      <c r="EH402" s="1124"/>
      <c r="EI402" s="1093"/>
      <c r="EJ402" s="1093"/>
      <c r="EK402" s="1097">
        <f>IF($P402="","N/A",IF(P402=-1,INDEX('卡片raw data'!AS:AS,MATCH(D402,'卡片raw data'!$F:$F,)),0)+IF(AND(L402&lt;&gt;"party卡",P402&lt;=2,P402&gt;=0),INDEX('卡片raw data'!AU:AU,MATCH(D402,'卡片raw data'!$F:$F,)),0)+IF(OR(AND(L402="party卡",P402&lt;=1),AND(P402&lt;=4,L402&lt;&gt;"party卡",P402&gt;=3)),INDEX('卡片raw data'!AV:AV,MATCH(D402,'卡片raw data'!$F:$F,)),0)+IF(OR(P402=5,AND(L402="party卡",P402&gt;=2)),INDEX('卡片raw data'!AW:AW,MATCH(D402,'卡片raw data'!$F:$F,)),0))</f>
        <v>0</v>
      </c>
      <c r="EL402" s="1098">
        <f t="shared" si="590"/>
        <v>0.33</v>
      </c>
      <c r="EM402" s="1098">
        <f t="shared" si="591"/>
        <v>0.33</v>
      </c>
      <c r="EN402" s="1097">
        <f t="shared" si="592"/>
        <v>0</v>
      </c>
      <c r="EO402" s="1097">
        <f t="shared" si="593"/>
        <v>0</v>
      </c>
      <c r="EP402" s="1098">
        <f t="shared" si="594"/>
        <v>0</v>
      </c>
      <c r="EQ402" s="1121">
        <f t="shared" si="595"/>
        <v>0</v>
      </c>
      <c r="ER402" s="1101">
        <f t="shared" si="596"/>
        <v>0</v>
      </c>
      <c r="ES402" s="1097">
        <f t="shared" si="597"/>
        <v>0</v>
      </c>
      <c r="ET402" s="1122">
        <f t="shared" si="514"/>
        <v>0</v>
      </c>
    </row>
    <row r="403" spans="2:150" ht="16.5" customHeight="1">
      <c r="B403" s="1123" t="str">
        <f>INDEX('卡片raw data'!B:B,MATCH($D403,'卡片raw data'!$F:$F,))</f>
        <v>mw露</v>
      </c>
      <c r="C403" s="449" t="s">
        <v>2067</v>
      </c>
      <c r="D403" s="408">
        <v>400</v>
      </c>
      <c r="E403" s="477">
        <v>401092004</v>
      </c>
      <c r="F403" s="1090" t="str">
        <f>INDEX('卡片raw data'!C:C,MATCH($D403,'卡片raw data'!$F:$F,))</f>
        <v>SR</v>
      </c>
      <c r="G403" s="1094" t="s">
        <v>2106</v>
      </c>
      <c r="H403" s="411">
        <f>IFERROR(INDEX(绊状态确认!C:C,MATCH($G403,绊状态确认!$B:$B,)),"")</f>
        <v>109</v>
      </c>
      <c r="I403" s="450" t="str">
        <f>IFERROR(INDEX(绊状态确认!D:D,MATCH($G403,绊状态确认!$B:$B,)),"")</f>
        <v>水</v>
      </c>
      <c r="J403" s="450" t="str">
        <f>IFERROR(INDEX(绊状态确认!E:E,MATCH($G403,绊状态确认!$B:$B,)),"")</f>
        <v>1年级</v>
      </c>
      <c r="K403" s="451" t="str">
        <f>IFERROR(INDEX(绊状态确认!F:F,MATCH($G403,绊状态确认!$B:$B,)),"")</f>
        <v>CYaRon!</v>
      </c>
      <c r="L403" s="1094" t="str">
        <f>INDEX('卡片raw data'!E:E,MATCH($D403,'卡片raw data'!$F:$F,))</f>
        <v>活动卡</v>
      </c>
      <c r="M403" s="478">
        <v>44231</v>
      </c>
      <c r="N403" s="479">
        <v>33</v>
      </c>
      <c r="O403" s="1091" t="str">
        <f>INDEX('卡片raw data'!D:D,MATCH($D403,'卡片raw data'!$F:$F,))</f>
        <v>vo</v>
      </c>
      <c r="P403" s="1126">
        <v>5</v>
      </c>
      <c r="Q403" s="1095">
        <f t="shared" si="515"/>
        <v>33349.299365424398</v>
      </c>
      <c r="R403" s="1096">
        <f t="shared" si="516"/>
        <v>0.38700000000000001</v>
      </c>
      <c r="S403" s="1097">
        <f t="shared" si="517"/>
        <v>14371.396160391278</v>
      </c>
      <c r="T403" s="1098">
        <f t="shared" si="518"/>
        <v>0.71799999999999997</v>
      </c>
      <c r="U403" s="1099">
        <f t="shared" si="519"/>
        <v>-14.944624592427143</v>
      </c>
      <c r="V403" s="1100">
        <f t="shared" si="520"/>
        <v>32843.619700507443</v>
      </c>
      <c r="W403" s="1101">
        <f t="shared" si="521"/>
        <v>4560.1756352259199</v>
      </c>
      <c r="X403" s="1096">
        <f t="shared" si="522"/>
        <v>5.2999999999999999E-2</v>
      </c>
      <c r="Y403" s="1097">
        <f t="shared" si="523"/>
        <v>798.98878532474373</v>
      </c>
      <c r="Z403" s="1102">
        <f t="shared" si="524"/>
        <v>10.055375407572857</v>
      </c>
      <c r="AA403" s="1103">
        <f t="shared" si="525"/>
        <v>5359.1644205506636</v>
      </c>
      <c r="AB403" s="1101">
        <f t="shared" si="526"/>
        <v>5154.553229773087</v>
      </c>
      <c r="AC403" s="1104">
        <f t="shared" si="527"/>
        <v>5.8999999999999997E-2</v>
      </c>
      <c r="AD403" s="1105">
        <f t="shared" si="528"/>
        <v>-3.8207812500000026E-3</v>
      </c>
      <c r="AE403" s="1128">
        <f t="shared" si="529"/>
        <v>-12.27536231884058</v>
      </c>
      <c r="AF403" s="1130">
        <f t="shared" si="530"/>
        <v>0</v>
      </c>
      <c r="AG403" s="420">
        <f t="shared" si="531"/>
        <v>0</v>
      </c>
      <c r="AH403" s="420">
        <f t="shared" si="532"/>
        <v>0</v>
      </c>
      <c r="AI403" s="1097">
        <f t="shared" si="533"/>
        <v>0</v>
      </c>
      <c r="AJ403" s="420">
        <f t="shared" si="534"/>
        <v>0</v>
      </c>
      <c r="AK403" s="518">
        <f t="shared" si="535"/>
        <v>0</v>
      </c>
      <c r="AL403" s="1106">
        <f>IF($P403="","N/A",(IF($P403=-1,INDEX('卡片raw data'!S:S,MATCH($D403,'卡片raw data'!$F:$F,)),0)+IF($P403=0,INDEX('卡片raw data'!V:V,MATCH($D403,'卡片raw data'!$F:$F,)),0)+IF($P403=1,INDEX('卡片raw data'!Y:Y,MATCH($D403,'卡片raw data'!$F:$F,)),0)+IF($P403=2,INDEX('卡片raw data'!AB:AB,MATCH($D403,'卡片raw data'!$F:$F,)),0)+IF($P403=3,INDEX('卡片raw data'!AE:AE,MATCH($D403,'卡片raw data'!$F:$F,)),0)+IF($P403=4,INDEX('卡片raw data'!AH:AH,MATCH($D403,'卡片raw data'!$F:$F,)),0)+IF($P403=5,INDEX('卡片raw data'!AK:AK,MATCH($D403,'卡片raw data'!$F:$F,)),0)+INDEX('卡片raw data'!S:S,MATCH($D403,'卡片raw data'!$F:$F,))*(IF($F403="UR",0.04,0.033))*(IF($F403="UR",INDEX(绊状态确认!$S:$S,MATCH($G403,绊状态确认!$B:$B,))/2-40)+IF($F403="SR",INDEX(绊状态确认!$R:$R,MATCH($G403,绊状态确认!$B:$B,))/4-15))+IF($F403="R",INDEX(绊状态确认!$Q:$Q,MATCH($G403,绊状态确认!$B:$B,))/6-40/6)))*(INDEX(绊状态确认!$H:$H,MATCH($G403,绊状态确认!$B:$B,))+INDEX(绊状态确认!J:J,MATCH($G403,绊状态确认!$B:$B,)))</f>
        <v>7342.3076735999994</v>
      </c>
      <c r="AM403" s="1106">
        <f>IF($P403="","N/A",(IF($P403=-1,INDEX('卡片raw data'!T:T,MATCH($D403,'卡片raw data'!$F:$F,)),0)+IF($P403=0,INDEX('卡片raw data'!W:W,MATCH($D403,'卡片raw data'!$F:$F,)),0)+IF($P403=1,INDEX('卡片raw data'!Z:Z,MATCH($D403,'卡片raw data'!$F:$F,)),0)+IF($P403=2,INDEX('卡片raw data'!AC:AC,MATCH($D403,'卡片raw data'!$F:$F,)),0)+IF($P403=3,INDEX('卡片raw data'!AF:AF,MATCH($D403,'卡片raw data'!$F:$F,)),0)+IF($P403=4,INDEX('卡片raw data'!AI:AI,MATCH($D403,'卡片raw data'!$F:$F,)),0)+IF($P403=5,INDEX('卡片raw data'!AL:AL,MATCH($D403,'卡片raw data'!$F:$F,)),0)+INDEX('卡片raw data'!T:T,MATCH($D403,'卡片raw data'!$F:$F,))*(IF($F403="UR",0.04,0.033))*(IF($F403="UR",INDEX(绊状态确认!$S:$S,MATCH($G403,绊状态确认!$B:$B,))/2-40)+IF($F403="SR",INDEX(绊状态确认!$R:$R,MATCH($G403,绊状态确认!$B:$B,))/4-15))+IF($F403="R",INDEX(绊状态确认!$Q:$Q,MATCH($G403,绊状态确认!$B:$B,))/6-40/6)))*(INDEX(绊状态确认!$H:$H,MATCH($G403,绊状态确认!$B:$B,))+INDEX(绊状态确认!K:K,MATCH($G403,绊状态确认!$B:$B,)))</f>
        <v>4894.5179832000003</v>
      </c>
      <c r="AN403" s="1106">
        <f>IF($P403="","N/A",(IF($P403=-1,INDEX('卡片raw data'!U:U,MATCH($D403,'卡片raw data'!$F:$F,)),0)+IF($P403=0,INDEX('卡片raw data'!X:X,MATCH($D403,'卡片raw data'!$F:$F,)),0)+IF($P403=1,INDEX('卡片raw data'!AA:AA,MATCH($D403,'卡片raw data'!$F:$F,)),0)+IF($P403=2,INDEX('卡片raw data'!AD:AD,MATCH($D403,'卡片raw data'!$F:$F,)),0)+IF($P403=3,INDEX('卡片raw data'!AG:AG,MATCH($D403,'卡片raw data'!$F:$F,)),0)+IF($P403=4,INDEX('卡片raw data'!AJ:AJ,MATCH($D403,'卡片raw data'!$F:$F,)),0)+IF($P403=5,INDEX('卡片raw data'!AM:AM,MATCH($D403,'卡片raw data'!$F:$F,)),0)+INDEX('卡片raw data'!U:U,MATCH($D403,'卡片raw data'!$F:$F,))*(IF($F403="UR",0.04,0.033))*(IF($F403="UR",INDEX(绊状态确认!$S:$S,MATCH($G403,绊状态确认!$B:$B,))/2-40)+IF($F403="SR",INDEX(绊状态确认!$R:$R,MATCH($G403,绊状态确认!$B:$B,))/4-15))+IF($F403="R",INDEX(绊状态确认!$Q:$Q,MATCH($G403,绊状态确认!$B:$B,))/6-40/6)))*(INDEX(绊状态确认!$H:$H,MATCH($G403,绊状态确认!$B:$B,))+INDEX(绊状态确认!L:L,MATCH($G403,绊状态确认!$B:$B,)))</f>
        <v>5245.5223968</v>
      </c>
      <c r="AO403" s="1107">
        <f t="shared" si="536"/>
        <v>1</v>
      </c>
      <c r="AP403" s="1131">
        <f>1+(INDEX(绊状态确认!$T:$T,MATCH($G403,绊状态确认!$B:$B,))+0.2)*$AO403</f>
        <v>1.3</v>
      </c>
      <c r="AQ403" s="1108">
        <f t="shared" si="537"/>
        <v>22523.557643200002</v>
      </c>
      <c r="AR403" s="1097">
        <f>(AM403*(1+$EX$9)+$EX$35)*(1+(INDEX(绊状态确认!$T:$T,MATCH($G403,绊状态确认!$B:$B,))+0.2)*AO403)*IF(J403=$FF$17,1+$FE$17,1)*IF(I403=$FF$14,1+$FE$14,1)</f>
        <v>9385.0170470680005</v>
      </c>
      <c r="AS403" s="1097">
        <f>(AN403*(1+$EX$10)+$EX$36)*(1+(INDEX(绊状态确认!$T:$T,MATCH($G403,绊状态确认!$B:$B,))+0.2)*AO403)*IF(J403=$FF$17,1+$FE$17,1)*IF(I403=$FF$14,1+$FE$14,1)</f>
        <v>11898.055983216</v>
      </c>
      <c r="AT403" s="1093">
        <f>IF(AND(INDEX('卡片raw data'!AK:AK,MATCH($D403,'卡片raw data'!$F:$F,))&lt;INDEX('卡片raw data'!AM:AM,MATCH($D403,'卡片raw data'!$F:$F,)),INDEX('卡片raw data'!AL:AL,MATCH($D403,'卡片raw data'!$F:$F,))&lt;INDEX('卡片raw data'!AM:AM,MATCH($D403,'卡片raw data'!$F:$F,))),1,0)</f>
        <v>0</v>
      </c>
      <c r="AU403" s="1098">
        <f>MIN(AT403*0.15+AS403*0.00003+INDEX(绊状态确认!M:M,MATCH($G403,绊状态确认!$B:$B,)),1)</f>
        <v>0.38694167949648001</v>
      </c>
      <c r="AV403" s="1109">
        <f>(INDEX(绊状态确认!$N:$N,MATCH($G403,绊状态确认!$B:$B,))+1.5)*$EW$21</f>
        <v>2.6599999999999997</v>
      </c>
      <c r="AW403" s="1101">
        <f t="shared" si="538"/>
        <v>19211.132966613772</v>
      </c>
      <c r="AX403" s="1097">
        <f t="shared" si="539"/>
        <v>798.98878532474407</v>
      </c>
      <c r="AY403" s="1110">
        <f t="shared" si="540"/>
        <v>20010.121751938517</v>
      </c>
      <c r="AZ403" s="429">
        <f t="shared" si="541"/>
        <v>16917.49996352</v>
      </c>
      <c r="BA403" s="431">
        <f t="shared" si="542"/>
        <v>20300.999956224001</v>
      </c>
      <c r="BB403" s="1097">
        <f>(AM403*(1+$FB$9)+$FB$35)*(1+(INDEX(绊状态确认!$T:$T,MATCH($G403,绊状态确认!$B:$B,))+0.2)*AO403)*IF(J403=$FF$17,1+$FE$17,1)*IF(I403=$FF$14,1+$FE$14,1)*(1+$FE$15)</f>
        <v>9385.0170470680005</v>
      </c>
      <c r="BC403" s="1097">
        <f>(AN403*(1+$FB$10)+$FB$36)*(1+(INDEX(绊状态确认!$T:$T,MATCH($G403,绊状态确认!$B:$B,))+0.2)*AO403)*IF(J403=$FF$17,1+$FE$17,1)*IF(I403=$FF$14,1+$FE$14,1)*(1+$FE$15)</f>
        <v>11898.055983216</v>
      </c>
      <c r="BD403" s="1104">
        <f>MIN(AT403*0.15+BC403*0.00003+INDEX(绊状态确认!M:M,MATCH($G403,绊状态确认!$B:$B,)),1)</f>
        <v>0.38694167949648001</v>
      </c>
      <c r="BE403" s="432">
        <f>(INDEX(绊状态确认!$N:$N,MATCH($G403,绊状态确认!$B:$B,))+1.5)</f>
        <v>1.9</v>
      </c>
      <c r="BF403" s="1139">
        <f t="array" ref="BF403">SUMPRODUCT(IF(AZ403*AP403*$FI$16:$FI$23*$FA$22&gt;=$FI$24,$FI$24,AZ403*AP403*$FI$16:$FI$23*$FA$22),$FJ$16:$FJ$23)</f>
        <v>33648.907427441278</v>
      </c>
      <c r="BG403" s="1125">
        <f t="array" ref="BG403">SUMPRODUCT(IF(BE403*AZ403*AP403*$FI$16:$FI$23*$FA$22&gt;=$FI$24,$FI$24,BE403*AZ403*AP403*$FI$16:$FI$23*$FA$22),$FJ$16:$FJ$23)</f>
        <v>58146.699202244032</v>
      </c>
      <c r="BH403" s="1110">
        <f t="shared" si="543"/>
        <v>14376.041373579503</v>
      </c>
      <c r="BI403" s="1111">
        <f>IF(O403="vo",$EW$26/$EW$24*0.05,0)+IF(O403="sk",-$EW$26/$EW$24*(0.05-INDEX(绊状态确认!W:W,MATCH($G403,绊状态确认!$B:$B,)))+0.05*$EW$28,0)+IF(O403="sp",0.05*$EW$32*$EW$30*(1-$EW$33)-(0.05-INDEX(绊状态确认!V:V,MATCH($G403,绊状态确认!$B:$B,)))*$EW$28,0)+IF(O403="gd",-(0.05-INDEX(绊状态确认!X:X,MATCH($G403,绊状态确认!$B:$B,)))*$EW$32*$EW$30*(1-$EW$33),0)</f>
        <v>7726.3029277443748</v>
      </c>
      <c r="BJ403" s="1097">
        <f>IF(O403="vo",0.05*(1-$FI$26)*$FA$24,0)+IF(O403="sk",-(0.05-INDEX(绊状态确认!W:W,MATCH($G403,绊状态确认!$B:$B,)))*(1-$FI$26)*$FA$24+0.05*$FA$26,0)+IF(O403="sp",0.05*$FA$32*$FA$27*(1-$FA$33)/$FA$30+0.05*$FA$29/$FA$69*$FA$27*(1-$FA$33)-(0.05-INDEX(绊状态确认!V:V,MATCH($G403,绊状态确认!$B:$B,)))*$FA$26,0)+IF(O403="gd",-(0.05-INDEX(绊状态确认!X:X,MATCH($G403,绊状态确认!$B:$B,)))*$FA$32*$FA$27*(1-$FA$33)/$FA$30-(0.05-INDEX(绊状态确认!X:X,MATCH($G403,绊状态确认!$B:$B,)))*$FA$29/$FA$69*$FA$27*(1-$FA$33),0)</f>
        <v>393.93433687500004</v>
      </c>
      <c r="BK403" s="1110">
        <f>IF(O403="vo",$EW$26/$EW$24*0.05+$EW$26*(-HP($EW$62,$EW$65,$EW$64)+HP($EW$62,$EW$65,(1.05-INDEX(绊状态确认!U:U,MATCH($G403,绊状态确认!$B:$B,)))*$EW$64)),0)+IF(O403="sk",-$EW$26/$EW$24*(0.05-INDEX(绊状态确认!W:W,MATCH($G403,绊状态确认!$B:$B,)))+0.05*$EW$29,0)+IF(O403="sp",0.05*$EW$32*$EW$30*(1-$EW$33)-(0.05-INDEX(绊状态确认!V:V,MATCH($G403,绊状态确认!$B:$B,)))*$EW$29,0)+IF(O403="gd",-(0.05-INDEX(绊状态确认!X:X,MATCH($G403,绊状态确认!$B:$B,)))*$EW$32*$EW$30*(1-$EW$33)+$EW$26*(-HP($EW$62,$EW$65,$EW$64)+HP($EW$62,$EW$65,0.95*$EW$64)),0)</f>
        <v>6421.6344775026746</v>
      </c>
      <c r="BL403" s="1111">
        <f t="shared" si="544"/>
        <v>-1083.3333333333333</v>
      </c>
      <c r="BM403" s="1110">
        <f t="shared" si="545"/>
        <v>-830.55555555555543</v>
      </c>
      <c r="BN403" s="1113">
        <f t="shared" si="546"/>
        <v>3</v>
      </c>
      <c r="BO403" s="1108">
        <f t="shared" si="547"/>
        <v>4507.7214871259994</v>
      </c>
      <c r="BP403" s="1100">
        <f t="shared" si="548"/>
        <v>221.34103209030098</v>
      </c>
      <c r="BQ403" s="1113" t="s">
        <v>132</v>
      </c>
      <c r="BR403" s="1124" t="s">
        <v>166</v>
      </c>
      <c r="BS403" s="1098">
        <f>IF($P403="","N/A",IF($P403=-1,INDEX('卡片raw data'!AX:AX,MATCH($D403,'卡片raw data'!$F:$F,)),0)+IF($L403="party卡",IF($P403=5,INDEX('卡片raw data'!BD:BD,MATCH($D403,'卡片raw data'!$F:$F,)),IF($P403&gt;=3,INDEX('卡片raw data'!BC:BC,MATCH($D403,'卡片raw data'!$F:$F,)),INDEX('卡片raw data'!BB:BB,MATCH($D403,'卡片raw data'!$F:$F,)))),IF(OR(AND($F403="UR",$P403=0),AND($F403="SR",$P403&gt;=0,$P403&lt;=2),AND($F403="R",$P403&gt;=0,$P403&lt;4)),INDEX('卡片raw data'!AZ:AZ,MATCH($D403,'卡片raw data'!$F:$F,)),0)+IF(OR(AND($F403="UR",$P403&gt;=1,$P403&lt;=4),AND($F403="SR",$P403&lt;=4,$P403&gt;=3),AND($F403="R",$P403=4)),INDEX('卡片raw data'!BA:BA,MATCH($D403,'卡片raw data'!$F:$F,)),0)+IF($P403=5,INDEX('卡片raw data'!BB:BB,MATCH($D403,'卡片raw data'!$F:$F,)),0)))</f>
        <v>7.0000000000000007E-2</v>
      </c>
      <c r="BT403" s="1101">
        <f t="shared" si="549"/>
        <v>594.3775945471665</v>
      </c>
      <c r="BU403" s="1097">
        <f t="shared" si="550"/>
        <v>21.203459015881474</v>
      </c>
      <c r="BV403" s="1097">
        <f t="shared" si="551"/>
        <v>0</v>
      </c>
      <c r="BW403" s="1112">
        <f t="shared" si="552"/>
        <v>0</v>
      </c>
      <c r="BX403" s="1100">
        <f t="shared" si="553"/>
        <v>594.3775945471665</v>
      </c>
      <c r="BY403" s="1110">
        <f t="shared" si="554"/>
        <v>0</v>
      </c>
      <c r="BZ403" s="1107" t="s">
        <v>569</v>
      </c>
      <c r="CA403" s="1124"/>
      <c r="CB403" s="1098">
        <f>IF($P403="","N/A",IF($P403=-1,INDEX('卡片raw data'!BE:BE,MATCH($D403,'卡片raw data'!$F:$F,)),0)+IF($L403="party卡",IF($P403=5,INDEX('卡片raw data'!BK:BK,MATCH($D403,'卡片raw data'!$F:$F,)),IF($P403&gt;=3,INDEX('卡片raw data'!BJ:BJ,MATCH($D403,'卡片raw data'!$F:$F,)),INDEX('卡片raw data'!BI:BI,MATCH($D403,'卡片raw data'!$F:$F,)))),IF(OR(AND($F403="UR",$P403=0),AND($F403="SR",$P403&gt;=0,$P403&lt;=2),AND($F403="R",$P403&gt;=0,$P403&lt;4)),INDEX('卡片raw data'!BG:BG,MATCH($D403,'卡片raw data'!$F:$F,)),0)+IF(OR(AND($F403="UR",$P403&gt;=1,$P403&lt;=4),AND($F403="SR",$P403&lt;=4,$P403&gt;=3),AND($F403="R",$P403=4)),INDEX('卡片raw data'!BH:BH,MATCH($D403,'卡片raw data'!$F:$F,)),0)+IF($P403=5,INDEX('卡片raw data'!BI:BI,MATCH($D403,'卡片raw data'!$F:$F,)),0)))</f>
        <v>0</v>
      </c>
      <c r="CC403" s="1101">
        <f t="shared" si="555"/>
        <v>0</v>
      </c>
      <c r="CD403" s="1097">
        <f>IF(BZ403="ap",CB403*(1-$FI$26)*$FB$5/$FB$11*(+IF(CA403="全员",$FA$24,0)+IF(CA403="同作战",$FA$24,0)+IF(CA403="仲间",$FA$24*2/3,0)+IF(CA403="同属性",$FA$24*$FA$37/3,0)+IF(CA403="同年级",$FA$24*$FA$40/3,0)+IF(CA403="同学校",$FA$24*$FA$43/3,0)+IF(CA403="同小队",$FA$24*$FA$46/3,0)+IF(CA403="同type",$FA$24*INDEX($FB$49:$FB$52,MATCH(X403,$FA$49:$FA$52,))/3,0)+IF(CA403="自身",#REF!/3,0)),0)+IF(BZ403="te",CB403*(1-$FI$27)*($FA$20-1)*$FB$7/$FB$13*(+IF(CA403="全员",$FA$19*$FA$24/(1+($FA$20-1)*$FA$19),0)+IF(CA403="同作战",$FA$19*$FA$24/(1+($FA$20-1)*$FA$19),0)+IF(CA403="仲间",$FA$19*$FA$24*2/3/(1+($FA$20-1)*$FA$19),0)+IF(CA403="同属性",$FA$19*$FA$24*$FA$37/3/(1+($FA$20-1)*$FA$19),0)+IF(CA403="同年级",$FA$19*$FA$24*$FA$40/3/(1+($FA$20-1)*$FA$19),0)+IF(CA403="同学校",$FA$19*$FA$24*$FA$43/3/(1+($FA$20-1)*$FA$19),0)+IF(CA403="同小队",$FA$19*$FA$24*$FA$46/3/(1+($FA$20-1)*$FA$19),0)+IF(CA403="同type",$FA$19*$FA$24*INDEX($FB$49:$FB$52,MATCH(X403,$FA$49:$FA$52,))/3/(1+($FA$20-1)*$FA$19),0)+IF(CA403="自身",$FA$19*#REF!/3/(1+(BH403-1)*$BD403),0)),0)</f>
        <v>0</v>
      </c>
      <c r="CE403" s="1097">
        <f t="shared" si="556"/>
        <v>0</v>
      </c>
      <c r="CF403" s="1112">
        <f t="shared" si="557"/>
        <v>0</v>
      </c>
      <c r="CG403" s="1100">
        <f t="shared" si="558"/>
        <v>0</v>
      </c>
      <c r="CH403" s="1110">
        <f t="shared" si="559"/>
        <v>0</v>
      </c>
      <c r="CI403" s="1113" t="s">
        <v>164</v>
      </c>
      <c r="CJ403" s="1114">
        <v>1</v>
      </c>
      <c r="CK403" s="1115" t="s">
        <v>2046</v>
      </c>
      <c r="CL403" s="1115" t="s">
        <v>1940</v>
      </c>
      <c r="CM403" s="1119">
        <v>7.5999999999999998E-2</v>
      </c>
      <c r="CN403" s="1115"/>
      <c r="CO403" s="1115"/>
      <c r="CP403" s="1116">
        <f t="shared" si="560"/>
        <v>47.685589181746295</v>
      </c>
      <c r="CQ403" s="1116">
        <f t="shared" si="561"/>
        <v>66.857959855831041</v>
      </c>
      <c r="CR403" s="1117">
        <f t="shared" si="562"/>
        <v>47.685589181746295</v>
      </c>
      <c r="CS403" s="1118">
        <f t="shared" si="563"/>
        <v>0</v>
      </c>
      <c r="CT403" s="1109">
        <f t="shared" si="564"/>
        <v>0</v>
      </c>
      <c r="CU403" s="1101">
        <f t="shared" si="565"/>
        <v>52.454148099920928</v>
      </c>
      <c r="CV403" s="1108">
        <f t="shared" si="566"/>
        <v>66.857959855831041</v>
      </c>
      <c r="CW403" s="1097">
        <f t="shared" si="567"/>
        <v>52.454148099920928</v>
      </c>
      <c r="CX403" s="1097">
        <f t="shared" si="568"/>
        <v>52.454148099920928</v>
      </c>
      <c r="CY403" s="1110">
        <f t="shared" si="569"/>
        <v>52.454148099920928</v>
      </c>
      <c r="CZ403" s="437"/>
      <c r="DA403" s="438"/>
      <c r="DB403" s="439" t="s">
        <v>569</v>
      </c>
      <c r="DC403" s="439"/>
      <c r="DD403" s="443"/>
      <c r="DE403" s="411"/>
      <c r="DF403" s="411"/>
      <c r="DG403" s="1116">
        <f t="shared" si="570"/>
        <v>0</v>
      </c>
      <c r="DH403" s="1116">
        <f t="shared" si="571"/>
        <v>0</v>
      </c>
      <c r="DI403" s="1116">
        <f t="shared" si="572"/>
        <v>0</v>
      </c>
      <c r="DJ403" s="442">
        <f t="shared" si="573"/>
        <v>0</v>
      </c>
      <c r="DK403" s="1109">
        <f t="shared" si="574"/>
        <v>0</v>
      </c>
      <c r="DL403" s="1101">
        <f t="shared" si="575"/>
        <v>0</v>
      </c>
      <c r="DM403" s="1097">
        <f t="shared" si="576"/>
        <v>0</v>
      </c>
      <c r="DN403" s="1097">
        <f t="shared" si="577"/>
        <v>0</v>
      </c>
      <c r="DO403" s="1097">
        <f t="shared" si="578"/>
        <v>0</v>
      </c>
      <c r="DP403" s="1110">
        <f t="shared" si="579"/>
        <v>0</v>
      </c>
      <c r="DQ403" s="1113" t="s">
        <v>2107</v>
      </c>
      <c r="DR403" s="1120">
        <f t="shared" si="580"/>
        <v>0.3</v>
      </c>
      <c r="DS403" s="1124">
        <v>3</v>
      </c>
      <c r="DT403" s="1124" t="s">
        <v>171</v>
      </c>
      <c r="DU403" s="1093" t="s">
        <v>544</v>
      </c>
      <c r="DV403" s="1098">
        <f>IF($P403="","N/A",IF(P403=-1,INDEX('卡片raw data'!AN:AN,MATCH(D403,'卡片raw data'!$F:$F,)),0)+IF(AND(L403&lt;&gt;"party卡",P403&lt;=2,P403&gt;=0),INDEX('卡片raw data'!AP:AP,MATCH(D403,'卡片raw data'!$F:$F,)),0)+IF(OR(AND(L403="party卡",P403&lt;=1),AND(P403&lt;=4,L403&lt;&gt;"party卡",P403&gt;=3)),INDEX('卡片raw data'!AQ:AQ,MATCH(D403,'卡片raw data'!$F:$F,)),0)+IF(OR(P403=5,AND(L403="party卡",P403&gt;=2)),INDEX('卡片raw data'!AR:AR,MATCH(D403,'卡片raw data'!$F:$F,)),0))</f>
        <v>0.1</v>
      </c>
      <c r="DW403" s="1098">
        <f t="shared" si="581"/>
        <v>0.3</v>
      </c>
      <c r="DX403" s="1098">
        <f t="shared" si="582"/>
        <v>0.3</v>
      </c>
      <c r="DY403" s="1098">
        <f t="shared" si="583"/>
        <v>0.02</v>
      </c>
      <c r="DZ403" s="1098">
        <f t="shared" si="584"/>
        <v>1.5137499999999998E-2</v>
      </c>
      <c r="EA403" s="1098">
        <f t="shared" si="585"/>
        <v>0</v>
      </c>
      <c r="EB403" s="1121">
        <f t="shared" si="586"/>
        <v>0</v>
      </c>
      <c r="EC403" s="1101">
        <f t="shared" si="587"/>
        <v>2340.6435746265001</v>
      </c>
      <c r="ED403" s="1097">
        <f t="shared" si="588"/>
        <v>122.57355453031639</v>
      </c>
      <c r="EE403" s="1110">
        <f t="shared" si="513"/>
        <v>2340.6435746265001</v>
      </c>
      <c r="EF403" s="1115" t="s">
        <v>569</v>
      </c>
      <c r="EG403" s="1120">
        <f t="shared" si="589"/>
        <v>0.3</v>
      </c>
      <c r="EH403" s="1124"/>
      <c r="EI403" s="1093"/>
      <c r="EJ403" s="1093"/>
      <c r="EK403" s="1097">
        <f>IF($P403="","N/A",IF(P403=-1,INDEX('卡片raw data'!AS:AS,MATCH(D403,'卡片raw data'!$F:$F,)),0)+IF(AND(L403&lt;&gt;"party卡",P403&lt;=2,P403&gt;=0),INDEX('卡片raw data'!AU:AU,MATCH(D403,'卡片raw data'!$F:$F,)),0)+IF(OR(AND(L403="party卡",P403&lt;=1),AND(P403&lt;=4,L403&lt;&gt;"party卡",P403&gt;=3)),INDEX('卡片raw data'!AV:AV,MATCH(D403,'卡片raw data'!$F:$F,)),0)+IF(OR(P403=5,AND(L403="party卡",P403&gt;=2)),INDEX('卡片raw data'!AW:AW,MATCH(D403,'卡片raw data'!$F:$F,)),0))</f>
        <v>0</v>
      </c>
      <c r="EL403" s="1098">
        <f t="shared" si="590"/>
        <v>0.3</v>
      </c>
      <c r="EM403" s="1098">
        <f t="shared" si="591"/>
        <v>0.3</v>
      </c>
      <c r="EN403" s="1097">
        <f t="shared" si="592"/>
        <v>0</v>
      </c>
      <c r="EO403" s="1097">
        <f t="shared" si="593"/>
        <v>0</v>
      </c>
      <c r="EP403" s="1098">
        <f t="shared" si="594"/>
        <v>0</v>
      </c>
      <c r="EQ403" s="1121">
        <f t="shared" si="595"/>
        <v>0</v>
      </c>
      <c r="ER403" s="1101">
        <f t="shared" si="596"/>
        <v>0</v>
      </c>
      <c r="ES403" s="1097">
        <f t="shared" si="597"/>
        <v>0</v>
      </c>
      <c r="ET403" s="1122">
        <f t="shared" si="514"/>
        <v>0</v>
      </c>
    </row>
    <row r="404" spans="2:150" ht="16.5" customHeight="1">
      <c r="B404" s="1123" t="str">
        <f>INDEX('卡片raw data'!B:B,MATCH($D404,'卡片raw data'!$F:$F,))</f>
        <v>kks妮</v>
      </c>
      <c r="C404" s="449" t="s">
        <v>2078</v>
      </c>
      <c r="D404" s="408">
        <v>401</v>
      </c>
      <c r="E404" s="477">
        <v>400092004</v>
      </c>
      <c r="F404" s="1090" t="str">
        <f>INDEX('卡片raw data'!C:C,MATCH($D404,'卡片raw data'!$F:$F,))</f>
        <v>SR</v>
      </c>
      <c r="G404" s="1094" t="s">
        <v>2109</v>
      </c>
      <c r="H404" s="411">
        <f>IFERROR(INDEX(绊状态确认!C:C,MATCH($G404,绊状态确认!$B:$B,)),"")</f>
        <v>9</v>
      </c>
      <c r="I404" s="450" t="str">
        <f>IFERROR(INDEX(绊状态确认!D:D,MATCH($G404,绊状态确认!$B:$B,)),"")</f>
        <v>缪</v>
      </c>
      <c r="J404" s="450" t="str">
        <f>IFERROR(INDEX(绊状态确认!E:E,MATCH($G404,绊状态确认!$B:$B,)),"")</f>
        <v>3年级</v>
      </c>
      <c r="K404" s="451" t="str">
        <f>IFERROR(INDEX(绊状态确认!F:F,MATCH($G404,绊状态确认!$B:$B,)),"")</f>
        <v>BiBi</v>
      </c>
      <c r="L404" s="1094" t="str">
        <f>INDEX('卡片raw data'!E:E,MATCH($D404,'卡片raw data'!$F:$F,))</f>
        <v>活动卡</v>
      </c>
      <c r="M404" s="478">
        <v>44231</v>
      </c>
      <c r="N404" s="479">
        <v>33</v>
      </c>
      <c r="O404" s="1091" t="str">
        <f>INDEX('卡片raw data'!D:D,MATCH($D404,'卡片raw data'!$F:$F,))</f>
        <v>sp</v>
      </c>
      <c r="P404" s="1126">
        <v>5</v>
      </c>
      <c r="Q404" s="1095">
        <f t="shared" si="515"/>
        <v>25241.94132106848</v>
      </c>
      <c r="R404" s="1096">
        <f t="shared" si="516"/>
        <v>0.29299999999999998</v>
      </c>
      <c r="S404" s="1097">
        <f t="shared" si="517"/>
        <v>15032.434370509036</v>
      </c>
      <c r="T404" s="1098">
        <f t="shared" si="518"/>
        <v>0.751</v>
      </c>
      <c r="U404" s="1099">
        <f t="shared" si="519"/>
        <v>9.2912312682428571</v>
      </c>
      <c r="V404" s="1100">
        <f t="shared" si="520"/>
        <v>24179.062421254763</v>
      </c>
      <c r="W404" s="1101">
        <f t="shared" si="521"/>
        <v>4523.8371426521617</v>
      </c>
      <c r="X404" s="1096">
        <f t="shared" si="522"/>
        <v>5.1999999999999998E-2</v>
      </c>
      <c r="Y404" s="1097">
        <f t="shared" si="523"/>
        <v>737.12110018628391</v>
      </c>
      <c r="Z404" s="1102">
        <f t="shared" si="524"/>
        <v>9.2912312682428571</v>
      </c>
      <c r="AA404" s="1103">
        <f t="shared" si="525"/>
        <v>5260.9582428384456</v>
      </c>
      <c r="AB404" s="1101">
        <f t="shared" si="526"/>
        <v>4902.9349057727704</v>
      </c>
      <c r="AC404" s="1104">
        <f t="shared" si="527"/>
        <v>5.7000000000000002E-2</v>
      </c>
      <c r="AD404" s="1105">
        <f t="shared" si="528"/>
        <v>-1.9908281250000003E-2</v>
      </c>
      <c r="AE404" s="1128">
        <f t="shared" si="529"/>
        <v>-1.3514492753623202</v>
      </c>
      <c r="AF404" s="1130">
        <f t="shared" si="530"/>
        <v>0</v>
      </c>
      <c r="AG404" s="420">
        <f t="shared" si="531"/>
        <v>0</v>
      </c>
      <c r="AH404" s="420">
        <f t="shared" si="532"/>
        <v>0</v>
      </c>
      <c r="AI404" s="1097">
        <f t="shared" si="533"/>
        <v>0</v>
      </c>
      <c r="AJ404" s="420">
        <f t="shared" si="534"/>
        <v>0</v>
      </c>
      <c r="AK404" s="518">
        <f t="shared" si="535"/>
        <v>0</v>
      </c>
      <c r="AL404" s="1106">
        <f>IF($P404="","N/A",(IF($P404=-1,INDEX('卡片raw data'!S:S,MATCH($D404,'卡片raw data'!$F:$F,)),0)+IF($P404=0,INDEX('卡片raw data'!V:V,MATCH($D404,'卡片raw data'!$F:$F,)),0)+IF($P404=1,INDEX('卡片raw data'!Y:Y,MATCH($D404,'卡片raw data'!$F:$F,)),0)+IF($P404=2,INDEX('卡片raw data'!AB:AB,MATCH($D404,'卡片raw data'!$F:$F,)),0)+IF($P404=3,INDEX('卡片raw data'!AE:AE,MATCH($D404,'卡片raw data'!$F:$F,)),0)+IF($P404=4,INDEX('卡片raw data'!AH:AH,MATCH($D404,'卡片raw data'!$F:$F,)),0)+IF($P404=5,INDEX('卡片raw data'!AK:AK,MATCH($D404,'卡片raw data'!$F:$F,)),0)+INDEX('卡片raw data'!S:S,MATCH($D404,'卡片raw data'!$F:$F,))*(IF($F404="UR",0.04,0.033))*(IF($F404="UR",INDEX(绊状态确认!$S:$S,MATCH($G404,绊状态确认!$B:$B,))/2-40)+IF($F404="SR",INDEX(绊状态确认!$R:$R,MATCH($G404,绊状态确认!$B:$B,))/4-15))+IF($F404="R",INDEX(绊状态确认!$Q:$Q,MATCH($G404,绊状态确认!$B:$B,))/6-40/6)))*(INDEX(绊状态确认!$H:$H,MATCH($G404,绊状态确认!$B:$B,))+INDEX(绊状态确认!J:J,MATCH($G404,绊状态确认!$B:$B,)))</f>
        <v>6467.6751407999991</v>
      </c>
      <c r="AM404" s="1106">
        <f>IF($P404="","N/A",(IF($P404=-1,INDEX('卡片raw data'!T:T,MATCH($D404,'卡片raw data'!$F:$F,)),0)+IF($P404=0,INDEX('卡片raw data'!W:W,MATCH($D404,'卡片raw data'!$F:$F,)),0)+IF($P404=1,INDEX('卡片raw data'!Z:Z,MATCH($D404,'卡片raw data'!$F:$F,)),0)+IF($P404=2,INDEX('卡片raw data'!AC:AC,MATCH($D404,'卡片raw data'!$F:$F,)),0)+IF($P404=3,INDEX('卡片raw data'!AF:AF,MATCH($D404,'卡片raw data'!$F:$F,)),0)+IF($P404=4,INDEX('卡片raw data'!AI:AI,MATCH($D404,'卡片raw data'!$F:$F,)),0)+IF($P404=5,INDEX('卡片raw data'!AL:AL,MATCH($D404,'卡片raw data'!$F:$F,)),0)+INDEX('卡片raw data'!T:T,MATCH($D404,'卡片raw data'!$F:$F,))*(IF($F404="UR",0.04,0.033))*(IF($F404="UR",INDEX(绊状态确认!$S:$S,MATCH($G404,绊状态确认!$B:$B,))/2-40)+IF($F404="SR",INDEX(绊状态确认!$R:$R,MATCH($G404,绊状态确认!$B:$B,))/4-15))+IF($F404="R",INDEX(绊状态确认!$Q:$Q,MATCH($G404,绊状态确认!$B:$B,))/6-40/6)))*(INDEX(绊状态确认!$H:$H,MATCH($G404,绊状态确认!$B:$B,))+INDEX(绊状态确认!K:K,MATCH($G404,绊状态确认!$B:$B,)))</f>
        <v>4372.0262640000001</v>
      </c>
      <c r="AN404" s="1106">
        <f>IF($P404="","N/A",(IF($P404=-1,INDEX('卡片raw data'!U:U,MATCH($D404,'卡片raw data'!$F:$F,)),0)+IF($P404=0,INDEX('卡片raw data'!X:X,MATCH($D404,'卡片raw data'!$F:$F,)),0)+IF($P404=1,INDEX('卡片raw data'!AA:AA,MATCH($D404,'卡片raw data'!$F:$F,)),0)+IF($P404=2,INDEX('卡片raw data'!AD:AD,MATCH($D404,'卡片raw data'!$F:$F,)),0)+IF($P404=3,INDEX('卡片raw data'!AG:AG,MATCH($D404,'卡片raw data'!$F:$F,)),0)+IF($P404=4,INDEX('卡片raw data'!AJ:AJ,MATCH($D404,'卡片raw data'!$F:$F,)),0)+IF($P404=5,INDEX('卡片raw data'!AM:AM,MATCH($D404,'卡片raw data'!$F:$F,)),0)+INDEX('卡片raw data'!U:U,MATCH($D404,'卡片raw data'!$F:$F,))*(IF($F404="UR",0.04,0.033))*(IF($F404="UR",INDEX(绊状态确认!$S:$S,MATCH($G404,绊状态确认!$B:$B,))/2-40)+IF($F404="SR",INDEX(绊状态确认!$R:$R,MATCH($G404,绊状态确认!$B:$B,))/4-15))+IF($F404="R",INDEX(绊状态确认!$Q:$Q,MATCH($G404,绊状态确认!$B:$B,))/6-40/6)))*(INDEX(绊状态确认!$H:$H,MATCH($G404,绊状态确认!$B:$B,))+INDEX(绊状态确认!L:L,MATCH($G404,绊状态确认!$B:$B,)))</f>
        <v>6643.7830487999991</v>
      </c>
      <c r="AO404" s="1107">
        <f t="shared" si="536"/>
        <v>1</v>
      </c>
      <c r="AP404" s="1131">
        <f>1+(INDEX(绊状态确认!$T:$T,MATCH($G404,绊状态确认!$B:$B,))+0.2)*$AO404</f>
        <v>1.3</v>
      </c>
      <c r="AQ404" s="1108">
        <f t="shared" si="537"/>
        <v>20227.647244599997</v>
      </c>
      <c r="AR404" s="1097">
        <f>(AM404*(1+$EX$9)+$EX$35)*(1+(INDEX(绊状态确认!$T:$T,MATCH($G404,绊状态确认!$B:$B,))+0.2)*AO404)*IF(J404=$FF$17,1+$FE$17,1)*IF(I404=$FF$14,1+$FE$14,1)</f>
        <v>8671.8158503600007</v>
      </c>
      <c r="AS404" s="1097">
        <f>(AN404*(1+$EX$10)+$EX$36)*(1+(INDEX(绊状态确认!$T:$T,MATCH($G404,绊状态确认!$B:$B,))+0.2)*AO404)*IF(J404=$FF$17,1+$FE$17,1)*IF(I404=$FF$14,1+$FE$14,1)</f>
        <v>13988.455657955998</v>
      </c>
      <c r="AT404" s="1093">
        <f>IF(AND(INDEX('卡片raw data'!AK:AK,MATCH($D404,'卡片raw data'!$F:$F,))&lt;INDEX('卡片raw data'!AM:AM,MATCH($D404,'卡片raw data'!$F:$F,)),INDEX('卡片raw data'!AL:AL,MATCH($D404,'卡片raw data'!$F:$F,))&lt;INDEX('卡片raw data'!AM:AM,MATCH($D404,'卡片raw data'!$F:$F,))),1,0)</f>
        <v>1</v>
      </c>
      <c r="AU404" s="1098">
        <f>MIN(AT404*0.15+AS404*0.00003+INDEX(绊状态确认!M:M,MATCH($G404,绊状态确认!$B:$B,)),1)</f>
        <v>0.59965366973867995</v>
      </c>
      <c r="AV404" s="1109">
        <f>(INDEX(绊状态确认!$N:$N,MATCH($G404,绊状态确认!$B:$B,))+1.5)*$EW$21</f>
        <v>2.6599999999999997</v>
      </c>
      <c r="AW404" s="1101">
        <f t="shared" si="538"/>
        <v>20962.262933629747</v>
      </c>
      <c r="AX404" s="1097">
        <f t="shared" si="539"/>
        <v>737.1211001862838</v>
      </c>
      <c r="AY404" s="1110">
        <f t="shared" si="540"/>
        <v>21699.38403381603</v>
      </c>
      <c r="AZ404" s="429">
        <f t="shared" si="541"/>
        <v>15211.966524559997</v>
      </c>
      <c r="BA404" s="431">
        <f t="shared" si="542"/>
        <v>18254.359829471996</v>
      </c>
      <c r="BB404" s="1097">
        <f>(AM404*(1+$FB$9)+$FB$35)*(1+(INDEX(绊状态确认!$T:$T,MATCH($G404,绊状态确认!$B:$B,))+0.2)*AO404)*IF(J404=$FF$17,1+$FE$17,1)*IF(I404=$FF$14,1+$FE$14,1)*(1+$FE$15)</f>
        <v>8671.8158503600007</v>
      </c>
      <c r="BC404" s="1097">
        <f>(AN404*(1+$FB$10)+$FB$36)*(1+(INDEX(绊状态确认!$T:$T,MATCH($G404,绊状态确认!$B:$B,))+0.2)*AO404)*IF(J404=$FF$17,1+$FE$17,1)*IF(I404=$FF$14,1+$FE$14,1)*(1+$FE$15)</f>
        <v>13988.455657955998</v>
      </c>
      <c r="BD404" s="1104">
        <f>MIN(AT404*0.15+BC404*0.00003+INDEX(绊状态确认!M:M,MATCH($G404,绊状态确认!$B:$B,)),1)</f>
        <v>0.59965366973867995</v>
      </c>
      <c r="BE404" s="432">
        <f>(INDEX(绊状态确认!$N:$N,MATCH($G404,绊状态确认!$B:$B,))+1.5)</f>
        <v>1.9</v>
      </c>
      <c r="BF404" s="1139">
        <f t="array" ref="BF404">SUMPRODUCT(IF(AZ404*AP404*$FI$16:$FI$23*$FA$22&gt;=$FI$24,$FI$24,AZ404*AP404*$FI$16:$FI$23*$FA$22),$FJ$16:$FJ$23)</f>
        <v>30256.601417349841</v>
      </c>
      <c r="BG404" s="1125">
        <f t="array" ref="BG404">SUMPRODUCT(IF(BE404*AZ404*AP404*$FI$16:$FI$23*$FA$22&gt;=$FI$24,$FI$24,BE404*AZ404*AP404*$FI$16:$FI$23*$FA$22),$FJ$16:$FJ$23)</f>
        <v>55186.052572000452</v>
      </c>
      <c r="BH404" s="1110">
        <f t="shared" si="543"/>
        <v>15068.546095602418</v>
      </c>
      <c r="BI404" s="1111">
        <f>IF(O404="vo",$EW$26/$EW$24*0.05,0)+IF(O404="sk",-$EW$26/$EW$24*(0.05-INDEX(绊状态确认!W:W,MATCH($G404,绊状态确认!$B:$B,)))+0.05*$EW$28,0)+IF(O404="sp",0.05*$EW$32*$EW$30*(1-$EW$33)-(0.05-INDEX(绊状态确认!V:V,MATCH($G404,绊状态确认!$B:$B,)))*$EW$28,0)+IF(O404="gd",-(0.05-INDEX(绊状态确认!X:X,MATCH($G404,绊状态确认!$B:$B,)))*$EW$32*$EW$30*(1-$EW$33),0)</f>
        <v>19.999999999999886</v>
      </c>
      <c r="BJ404" s="1097">
        <f>IF(O404="vo",0.05*(1-$FI$26)*$FA$24,0)+IF(O404="sk",-(0.05-INDEX(绊状态确认!W:W,MATCH($G404,绊状态确认!$B:$B,)))*(1-$FI$26)*$FA$24+0.05*$FA$26,0)+IF(O404="sp",0.05*$FA$32*$FA$27*(1-$FA$33)/$FA$30+0.05*$FA$29/$FA$69*$FA$27*(1-$FA$33)-(0.05-INDEX(绊状态确认!V:V,MATCH($G404,绊状态确认!$B:$B,)))*$FA$26,0)+IF(O404="gd",-(0.05-INDEX(绊状态确认!X:X,MATCH($G404,绊状态确认!$B:$B,)))*$FA$32*$FA$27*(1-$FA$33)/$FA$30-(0.05-INDEX(绊状态确认!X:X,MATCH($G404,绊状态确认!$B:$B,)))*$FA$29/$FA$69*$FA$27*(1-$FA$33),0)</f>
        <v>545.83333333333326</v>
      </c>
      <c r="BK404" s="1110">
        <f>IF(O404="vo",$EW$26/$EW$24*0.05+$EW$26*(-HP($EW$62,$EW$65,$EW$64)+HP($EW$62,$EW$65,(1.05-INDEX(绊状态确认!U:U,MATCH($G404,绊状态确认!$B:$B,)))*$EW$64)),0)+IF(O404="sk",-$EW$26/$EW$24*(0.05-INDEX(绊状态确认!W:W,MATCH($G404,绊状态确认!$B:$B,)))+0.05*$EW$29,0)+IF(O404="sp",0.05*$EW$32*$EW$30*(1-$EW$33)-(0.05-INDEX(绊状态确认!V:V,MATCH($G404,绊状态确认!$B:$B,)))*$EW$29,0)+IF(O404="gd",-(0.05-INDEX(绊状态确认!X:X,MATCH($G404,绊状态确认!$B:$B,)))*$EW$32*$EW$30*(1-$EW$33)+$EW$26*(-HP($EW$62,$EW$65,$EW$64)+HP($EW$62,$EW$65,0.95*$EW$64)),0)</f>
        <v>-1780.0000000000005</v>
      </c>
      <c r="BL404" s="1111">
        <f t="shared" si="544"/>
        <v>-1083.3333333333333</v>
      </c>
      <c r="BM404" s="1110">
        <f t="shared" si="545"/>
        <v>-830.55555555555543</v>
      </c>
      <c r="BN404" s="1113">
        <f t="shared" si="546"/>
        <v>3</v>
      </c>
      <c r="BO404" s="1108">
        <f t="shared" si="547"/>
        <v>4507.7214871259994</v>
      </c>
      <c r="BP404" s="1100">
        <f t="shared" si="548"/>
        <v>221.34103209030098</v>
      </c>
      <c r="BQ404" s="1113" t="s">
        <v>134</v>
      </c>
      <c r="BR404" s="1124" t="s">
        <v>166</v>
      </c>
      <c r="BS404" s="1098">
        <f>IF($P404="","N/A",IF($P404=-1,INDEX('卡片raw data'!AX:AX,MATCH($D404,'卡片raw data'!$F:$F,)),0)+IF($L404="party卡",IF($P404=5,INDEX('卡片raw data'!BD:BD,MATCH($D404,'卡片raw data'!$F:$F,)),IF($P404&gt;=3,INDEX('卡片raw data'!BC:BC,MATCH($D404,'卡片raw data'!$F:$F,)),INDEX('卡片raw data'!BB:BB,MATCH($D404,'卡片raw data'!$F:$F,)))),IF(OR(AND($F404="UR",$P404=0),AND($F404="SR",$P404&gt;=0,$P404&lt;=2),AND($F404="R",$P404&gt;=0,$P404&lt;4)),INDEX('卡片raw data'!AZ:AZ,MATCH($D404,'卡片raw data'!$F:$F,)),0)+IF(OR(AND($F404="UR",$P404&gt;=1,$P404&lt;=4),AND($F404="SR",$P404&lt;=4,$P404&gt;=3),AND($F404="R",$P404=4)),INDEX('卡片raw data'!BA:BA,MATCH($D404,'卡片raw data'!$F:$F,)),0)+IF($P404=5,INDEX('卡片raw data'!BB:BB,MATCH($D404,'卡片raw data'!$F:$F,)),0)))</f>
        <v>7.0000000000000007E-2</v>
      </c>
      <c r="BT404" s="1101">
        <f t="shared" si="549"/>
        <v>379.09776312060887</v>
      </c>
      <c r="BU404" s="1097">
        <f t="shared" si="550"/>
        <v>27.269465038538684</v>
      </c>
      <c r="BV404" s="1097">
        <f t="shared" si="551"/>
        <v>0</v>
      </c>
      <c r="BW404" s="1112">
        <f t="shared" si="552"/>
        <v>0</v>
      </c>
      <c r="BX404" s="1100">
        <f t="shared" si="553"/>
        <v>379.09776312060887</v>
      </c>
      <c r="BY404" s="1110">
        <f t="shared" si="554"/>
        <v>0</v>
      </c>
      <c r="BZ404" s="1113" t="s">
        <v>569</v>
      </c>
      <c r="CA404" s="1124"/>
      <c r="CB404" s="1098">
        <f>IF($P404="","N/A",IF($P404=-1,INDEX('卡片raw data'!BE:BE,MATCH($D404,'卡片raw data'!$F:$F,)),0)+IF($L404="party卡",IF($P404=5,INDEX('卡片raw data'!BK:BK,MATCH($D404,'卡片raw data'!$F:$F,)),IF($P404&gt;=3,INDEX('卡片raw data'!BJ:BJ,MATCH($D404,'卡片raw data'!$F:$F,)),INDEX('卡片raw data'!BI:BI,MATCH($D404,'卡片raw data'!$F:$F,)))),IF(OR(AND($F404="UR",$P404=0),AND($F404="SR",$P404&gt;=0,$P404&lt;=2),AND($F404="R",$P404&gt;=0,$P404&lt;4)),INDEX('卡片raw data'!BG:BG,MATCH($D404,'卡片raw data'!$F:$F,)),0)+IF(OR(AND($F404="UR",$P404&gt;=1,$P404&lt;=4),AND($F404="SR",$P404&lt;=4,$P404&gt;=3),AND($F404="R",$P404=4)),INDEX('卡片raw data'!BH:BH,MATCH($D404,'卡片raw data'!$F:$F,)),0)+IF($P404=5,INDEX('卡片raw data'!BI:BI,MATCH($D404,'卡片raw data'!$F:$F,)),0)))</f>
        <v>0</v>
      </c>
      <c r="CC404" s="1101">
        <f t="shared" si="555"/>
        <v>0</v>
      </c>
      <c r="CD404" s="1097">
        <f>IF(BZ404="ap",CB404*(1-$FI$26)*$FB$5/$FB$11*(+IF(CA404="全员",$FA$24,0)+IF(CA404="同作战",$FA$24,0)+IF(CA404="仲间",$FA$24*2/3,0)+IF(CA404="同属性",$FA$24*$FA$37/3,0)+IF(CA404="同年级",$FA$24*$FA$40/3,0)+IF(CA404="同学校",$FA$24*$FA$43/3,0)+IF(CA404="同小队",$FA$24*$FA$46/3,0)+IF(CA404="同type",$FA$24*INDEX($FB$49:$FB$52,MATCH(X404,$FA$49:$FA$52,))/3,0)+IF(CA404="自身",#REF!/3,0)),0)+IF(BZ404="te",CB404*(1-$FI$27)*($FA$20-1)*$FB$7/$FB$13*(+IF(CA404="全员",$FA$19*$FA$24/(1+($FA$20-1)*$FA$19),0)+IF(CA404="同作战",$FA$19*$FA$24/(1+($FA$20-1)*$FA$19),0)+IF(CA404="仲间",$FA$19*$FA$24*2/3/(1+($FA$20-1)*$FA$19),0)+IF(CA404="同属性",$FA$19*$FA$24*$FA$37/3/(1+($FA$20-1)*$FA$19),0)+IF(CA404="同年级",$FA$19*$FA$24*$FA$40/3/(1+($FA$20-1)*$FA$19),0)+IF(CA404="同学校",$FA$19*$FA$24*$FA$43/3/(1+($FA$20-1)*$FA$19),0)+IF(CA404="同小队",$FA$19*$FA$24*$FA$46/3/(1+($FA$20-1)*$FA$19),0)+IF(CA404="同type",$FA$19*$FA$24*INDEX($FB$49:$FB$52,MATCH(X404,$FA$49:$FA$52,))/3/(1+($FA$20-1)*$FA$19),0)+IF(CA404="自身",$FA$19*#REF!/3/(1+(BH404-1)*$BD404),0)),0)</f>
        <v>0</v>
      </c>
      <c r="CE404" s="1097">
        <f t="shared" si="556"/>
        <v>0</v>
      </c>
      <c r="CF404" s="1112">
        <f t="shared" si="557"/>
        <v>0</v>
      </c>
      <c r="CG404" s="1100">
        <f t="shared" si="558"/>
        <v>0</v>
      </c>
      <c r="CH404" s="1110">
        <f t="shared" si="559"/>
        <v>0</v>
      </c>
      <c r="CI404" s="1113" t="s">
        <v>162</v>
      </c>
      <c r="CJ404" s="1114">
        <v>1</v>
      </c>
      <c r="CK404" s="1115" t="s">
        <v>256</v>
      </c>
      <c r="CL404" s="1115" t="s">
        <v>1940</v>
      </c>
      <c r="CM404" s="1119">
        <v>2.5999999999999999E-2</v>
      </c>
      <c r="CN404" s="1115"/>
      <c r="CO404" s="1115"/>
      <c r="CP404" s="1116">
        <f t="shared" si="560"/>
        <v>11.269689179134282</v>
      </c>
      <c r="CQ404" s="1116">
        <f t="shared" si="561"/>
        <v>15.820445185542397</v>
      </c>
      <c r="CR404" s="1117">
        <f t="shared" si="562"/>
        <v>11.269689179134282</v>
      </c>
      <c r="CS404" s="1118">
        <f t="shared" si="563"/>
        <v>0</v>
      </c>
      <c r="CT404" s="1109">
        <f t="shared" si="564"/>
        <v>0</v>
      </c>
      <c r="CU404" s="1101">
        <f t="shared" si="565"/>
        <v>16.115655526162026</v>
      </c>
      <c r="CV404" s="1108">
        <f t="shared" si="566"/>
        <v>0</v>
      </c>
      <c r="CW404" s="1097">
        <f t="shared" si="567"/>
        <v>16.115655526162026</v>
      </c>
      <c r="CX404" s="1097">
        <f t="shared" si="568"/>
        <v>16.115655526162026</v>
      </c>
      <c r="CY404" s="1110">
        <f t="shared" si="569"/>
        <v>16.115655526162026</v>
      </c>
      <c r="CZ404" s="437"/>
      <c r="DA404" s="438"/>
      <c r="DB404" s="439" t="s">
        <v>569</v>
      </c>
      <c r="DC404" s="439"/>
      <c r="DD404" s="443"/>
      <c r="DE404" s="411"/>
      <c r="DF404" s="411"/>
      <c r="DG404" s="1116">
        <f t="shared" si="570"/>
        <v>0</v>
      </c>
      <c r="DH404" s="1116">
        <f t="shared" si="571"/>
        <v>0</v>
      </c>
      <c r="DI404" s="1116">
        <f t="shared" si="572"/>
        <v>0</v>
      </c>
      <c r="DJ404" s="442">
        <f t="shared" si="573"/>
        <v>0</v>
      </c>
      <c r="DK404" s="1109">
        <f t="shared" si="574"/>
        <v>0</v>
      </c>
      <c r="DL404" s="1101">
        <f t="shared" si="575"/>
        <v>0</v>
      </c>
      <c r="DM404" s="1097">
        <f t="shared" si="576"/>
        <v>0</v>
      </c>
      <c r="DN404" s="1097">
        <f t="shared" si="577"/>
        <v>0</v>
      </c>
      <c r="DO404" s="1097">
        <f t="shared" si="578"/>
        <v>0</v>
      </c>
      <c r="DP404" s="1110">
        <f t="shared" si="579"/>
        <v>0</v>
      </c>
      <c r="DQ404" s="1113" t="s">
        <v>256</v>
      </c>
      <c r="DR404" s="1120">
        <f t="shared" si="580"/>
        <v>0.3</v>
      </c>
      <c r="DS404" s="1124"/>
      <c r="DT404" s="1124" t="s">
        <v>2110</v>
      </c>
      <c r="DU404" s="1124"/>
      <c r="DV404" s="1098">
        <f>IF($P404="","N/A",IF(P404=-1,INDEX('卡片raw data'!AN:AN,MATCH(D404,'卡片raw data'!$F:$F,)),0)+IF(AND(L404&lt;&gt;"party卡",P404&lt;=2,P404&gt;=0),INDEX('卡片raw data'!AP:AP,MATCH(D404,'卡片raw data'!$F:$F,)),0)+IF(OR(AND(L404="party卡",P404&lt;=1),AND(P404&lt;=4,L404&lt;&gt;"party卡",P404&gt;=3)),INDEX('卡片raw data'!AQ:AQ,MATCH(D404,'卡片raw data'!$F:$F,)),0)+IF(OR(P404=5,AND(L404="party卡",P404&gt;=2)),INDEX('卡片raw data'!AR:AR,MATCH(D404,'卡片raw data'!$F:$F,)),0))</f>
        <v>0.22</v>
      </c>
      <c r="DW404" s="1098">
        <f t="shared" si="581"/>
        <v>0.3</v>
      </c>
      <c r="DX404" s="1098">
        <f t="shared" si="582"/>
        <v>0.3</v>
      </c>
      <c r="DY404" s="1097">
        <f t="shared" si="583"/>
        <v>307.7460244750319</v>
      </c>
      <c r="DZ404" s="1097">
        <f t="shared" si="584"/>
        <v>266.20031117090258</v>
      </c>
      <c r="EA404" s="1098">
        <f t="shared" si="585"/>
        <v>0</v>
      </c>
      <c r="EB404" s="1121">
        <f t="shared" si="586"/>
        <v>0</v>
      </c>
      <c r="EC404" s="1101">
        <f t="shared" si="587"/>
        <v>440.07681499929572</v>
      </c>
      <c r="ED404" s="1097">
        <f t="shared" si="588"/>
        <v>0</v>
      </c>
      <c r="EE404" s="1110">
        <f t="shared" si="513"/>
        <v>440.07681499929572</v>
      </c>
      <c r="EF404" s="1115" t="s">
        <v>569</v>
      </c>
      <c r="EG404" s="1120">
        <f t="shared" si="589"/>
        <v>0.3</v>
      </c>
      <c r="EH404" s="1124"/>
      <c r="EI404" s="1093"/>
      <c r="EJ404" s="1093"/>
      <c r="EK404" s="1097">
        <f>IF($P404="","N/A",IF(P404=-1,INDEX('卡片raw data'!AS:AS,MATCH(D404,'卡片raw data'!$F:$F,)),0)+IF(AND(L404&lt;&gt;"party卡",P404&lt;=2,P404&gt;=0),INDEX('卡片raw data'!AU:AU,MATCH(D404,'卡片raw data'!$F:$F,)),0)+IF(OR(AND(L404="party卡",P404&lt;=1),AND(P404&lt;=4,L404&lt;&gt;"party卡",P404&gt;=3)),INDEX('卡片raw data'!AV:AV,MATCH(D404,'卡片raw data'!$F:$F,)),0)+IF(OR(P404=5,AND(L404="party卡",P404&gt;=2)),INDEX('卡片raw data'!AW:AW,MATCH(D404,'卡片raw data'!$F:$F,)),0))</f>
        <v>0</v>
      </c>
      <c r="EL404" s="1098">
        <f t="shared" si="590"/>
        <v>0.3</v>
      </c>
      <c r="EM404" s="1098">
        <f t="shared" si="591"/>
        <v>0.3</v>
      </c>
      <c r="EN404" s="1097">
        <f t="shared" si="592"/>
        <v>0</v>
      </c>
      <c r="EO404" s="1097">
        <f t="shared" si="593"/>
        <v>0</v>
      </c>
      <c r="EP404" s="1098">
        <f t="shared" si="594"/>
        <v>0</v>
      </c>
      <c r="EQ404" s="1121">
        <f t="shared" si="595"/>
        <v>0</v>
      </c>
      <c r="ER404" s="1101">
        <f t="shared" si="596"/>
        <v>0</v>
      </c>
      <c r="ES404" s="1097">
        <f t="shared" si="597"/>
        <v>0</v>
      </c>
      <c r="ET404" s="1122">
        <f t="shared" si="514"/>
        <v>0</v>
      </c>
    </row>
    <row r="405" spans="2:150" ht="16.5" customHeight="1">
      <c r="B405" s="1123" t="str">
        <f>INDEX('卡片raw data'!B:B,MATCH($D405,'卡片raw data'!$F:$F,))</f>
        <v>prt爱</v>
      </c>
      <c r="C405" s="449" t="s">
        <v>2118</v>
      </c>
      <c r="D405" s="408">
        <v>402</v>
      </c>
      <c r="E405" s="477">
        <v>302053001</v>
      </c>
      <c r="F405" s="1090" t="str">
        <f>INDEX('卡片raw data'!C:C,MATCH($D405,'卡片raw data'!$F:$F,))</f>
        <v>UR</v>
      </c>
      <c r="G405" s="1094" t="s">
        <v>2119</v>
      </c>
      <c r="H405" s="411">
        <f>IFERROR(INDEX(绊状态确认!C:C,MATCH($G405,绊状态确认!$B:$B,)),"")</f>
        <v>205</v>
      </c>
      <c r="I405" s="450" t="str">
        <f>IFERROR(INDEX(绊状态确认!D:D,MATCH($G405,绊状态确认!$B:$B,)),"")</f>
        <v>虹</v>
      </c>
      <c r="J405" s="450" t="str">
        <f>IFERROR(INDEX(绊状态确认!E:E,MATCH($G405,绊状态确认!$B:$B,)),"")</f>
        <v>2年级</v>
      </c>
      <c r="K405" s="451" t="str">
        <f>IFERROR(INDEX(绊状态确认!F:F,MATCH($G405,绊状态确认!$B:$B,)),"")</f>
        <v>Diver Diva</v>
      </c>
      <c r="L405" s="1094" t="str">
        <f>INDEX('卡片raw data'!E:E,MATCH($D405,'卡片raw data'!$F:$F,))</f>
        <v>party卡</v>
      </c>
      <c r="M405" s="478">
        <v>44241</v>
      </c>
      <c r="N405" s="479">
        <v>33.5</v>
      </c>
      <c r="O405" s="1091" t="str">
        <f>INDEX('卡片raw data'!D:D,MATCH($D405,'卡片raw data'!$F:$F,))</f>
        <v>vo</v>
      </c>
      <c r="P405" s="1126">
        <v>5</v>
      </c>
      <c r="Q405" s="1095">
        <f t="shared" si="515"/>
        <v>67912.296884508047</v>
      </c>
      <c r="R405" s="1096">
        <f t="shared" si="516"/>
        <v>0.78900000000000003</v>
      </c>
      <c r="S405" s="1097">
        <f t="shared" si="517"/>
        <v>20749.608437634815</v>
      </c>
      <c r="T405" s="1098">
        <f t="shared" si="518"/>
        <v>1.0369999999999999</v>
      </c>
      <c r="U405" s="1099">
        <f t="shared" si="519"/>
        <v>-10.776362888457145</v>
      </c>
      <c r="V405" s="1100">
        <f t="shared" si="520"/>
        <v>67747.520356951849</v>
      </c>
      <c r="W405" s="1101">
        <f t="shared" si="521"/>
        <v>8544.6365078188392</v>
      </c>
      <c r="X405" s="1096">
        <f t="shared" si="522"/>
        <v>9.9000000000000005E-2</v>
      </c>
      <c r="Y405" s="1097">
        <f t="shared" si="523"/>
        <v>1139.8919226854996</v>
      </c>
      <c r="Z405" s="1102">
        <f t="shared" si="524"/>
        <v>14.223637111542855</v>
      </c>
      <c r="AA405" s="1103">
        <f t="shared" si="525"/>
        <v>9684.5284305043388</v>
      </c>
      <c r="AB405" s="1101">
        <f t="shared" si="526"/>
        <v>11078.97769946968</v>
      </c>
      <c r="AC405" s="1104">
        <f t="shared" si="527"/>
        <v>0.128</v>
      </c>
      <c r="AD405" s="1105">
        <f t="shared" si="528"/>
        <v>0</v>
      </c>
      <c r="AE405" s="1128">
        <f t="shared" si="529"/>
        <v>0</v>
      </c>
      <c r="AF405" s="1130">
        <f t="shared" si="530"/>
        <v>0</v>
      </c>
      <c r="AG405" s="420">
        <f t="shared" si="531"/>
        <v>0</v>
      </c>
      <c r="AH405" s="420">
        <f t="shared" si="532"/>
        <v>0</v>
      </c>
      <c r="AI405" s="1097">
        <f t="shared" si="533"/>
        <v>0</v>
      </c>
      <c r="AJ405" s="420">
        <f t="shared" si="534"/>
        <v>0</v>
      </c>
      <c r="AK405" s="518">
        <f t="shared" si="535"/>
        <v>0</v>
      </c>
      <c r="AL405" s="1106">
        <f>IF($P405="","N/A",(IF($P405=-1,INDEX('卡片raw data'!S:S,MATCH($D405,'卡片raw data'!$F:$F,)),0)+IF($P405=0,INDEX('卡片raw data'!V:V,MATCH($D405,'卡片raw data'!$F:$F,)),0)+IF($P405=1,INDEX('卡片raw data'!Y:Y,MATCH($D405,'卡片raw data'!$F:$F,)),0)+IF($P405=2,INDEX('卡片raw data'!AB:AB,MATCH($D405,'卡片raw data'!$F:$F,)),0)+IF($P405=3,INDEX('卡片raw data'!AE:AE,MATCH($D405,'卡片raw data'!$F:$F,)),0)+IF($P405=4,INDEX('卡片raw data'!AH:AH,MATCH($D405,'卡片raw data'!$F:$F,)),0)+IF($P405=5,INDEX('卡片raw data'!AK:AK,MATCH($D405,'卡片raw data'!$F:$F,)),0)+INDEX('卡片raw data'!S:S,MATCH($D405,'卡片raw data'!$F:$F,))*(IF($F405="UR",0.04,0.033))*(IF($F405="UR",INDEX(绊状态确认!$S:$S,MATCH($G405,绊状态确认!$B:$B,))/2-40)+IF($F405="SR",INDEX(绊状态确认!$R:$R,MATCH($G405,绊状态确认!$B:$B,))/4-15))+IF($F405="R",INDEX(绊状态确认!$Q:$Q,MATCH($G405,绊状态确认!$B:$B,))/6-40/6)))*(INDEX(绊状态确认!$H:$H,MATCH($G405,绊状态确认!$B:$B,))+INDEX(绊状态确认!J:J,MATCH($G405,绊状态确认!$B:$B,)))</f>
        <v>14819.565119999997</v>
      </c>
      <c r="AM405" s="1106">
        <f>IF($P405="","N/A",(IF($P405=-1,INDEX('卡片raw data'!T:T,MATCH($D405,'卡片raw data'!$F:$F,)),0)+IF($P405=0,INDEX('卡片raw data'!W:W,MATCH($D405,'卡片raw data'!$F:$F,)),0)+IF($P405=1,INDEX('卡片raw data'!Z:Z,MATCH($D405,'卡片raw data'!$F:$F,)),0)+IF($P405=2,INDEX('卡片raw data'!AC:AC,MATCH($D405,'卡片raw data'!$F:$F,)),0)+IF($P405=3,INDEX('卡片raw data'!AF:AF,MATCH($D405,'卡片raw data'!$F:$F,)),0)+IF($P405=4,INDEX('卡片raw data'!AI:AI,MATCH($D405,'卡片raw data'!$F:$F,)),0)+IF($P405=5,INDEX('卡片raw data'!AL:AL,MATCH($D405,'卡片raw data'!$F:$F,)),0)+INDEX('卡片raw data'!T:T,MATCH($D405,'卡片raw data'!$F:$F,))*(IF($F405="UR",0.04,0.033))*(IF($F405="UR",INDEX(绊状态确认!$S:$S,MATCH($G405,绊状态确认!$B:$B,))/2-40)+IF($F405="SR",INDEX(绊状态确认!$R:$R,MATCH($G405,绊状态确认!$B:$B,))/4-15))+IF($F405="R",INDEX(绊状态确认!$Q:$Q,MATCH($G405,绊状态确认!$B:$B,))/6-40/6)))*(INDEX(绊状态确认!$H:$H,MATCH($G405,绊状态确认!$B:$B,))+INDEX(绊状态确认!K:K,MATCH($G405,绊状态确认!$B:$B,)))</f>
        <v>7744.6114559999987</v>
      </c>
      <c r="AN405" s="1106">
        <f>IF($P405="","N/A",(IF($P405=-1,INDEX('卡片raw data'!U:U,MATCH($D405,'卡片raw data'!$F:$F,)),0)+IF($P405=0,INDEX('卡片raw data'!X:X,MATCH($D405,'卡片raw data'!$F:$F,)),0)+IF($P405=1,INDEX('卡片raw data'!AA:AA,MATCH($D405,'卡片raw data'!$F:$F,)),0)+IF($P405=2,INDEX('卡片raw data'!AD:AD,MATCH($D405,'卡片raw data'!$F:$F,)),0)+IF($P405=3,INDEX('卡片raw data'!AG:AG,MATCH($D405,'卡片raw data'!$F:$F,)),0)+IF($P405=4,INDEX('卡片raw data'!AJ:AJ,MATCH($D405,'卡片raw data'!$F:$F,)),0)+IF($P405=5,INDEX('卡片raw data'!AM:AM,MATCH($D405,'卡片raw data'!$F:$F,)),0)+INDEX('卡片raw data'!U:U,MATCH($D405,'卡片raw data'!$F:$F,))*(IF($F405="UR",0.04,0.033))*(IF($F405="UR",INDEX(绊状态确认!$S:$S,MATCH($G405,绊状态确认!$B:$B,))/2-40)+IF($F405="SR",INDEX(绊状态确认!$R:$R,MATCH($G405,绊状态确认!$B:$B,))/4-15))+IF($F405="R",INDEX(绊状态确认!$Q:$Q,MATCH($G405,绊状态确认!$B:$B,))/6-40/6)))*(INDEX(绊状态确认!$H:$H,MATCH($G405,绊状态确认!$B:$B,))+INDEX(绊状态确认!L:L,MATCH($G405,绊状态确认!$B:$B,)))</f>
        <v>11114.082911999998</v>
      </c>
      <c r="AO405" s="1107">
        <f t="shared" si="536"/>
        <v>1</v>
      </c>
      <c r="AP405" s="1131">
        <f>1+(INDEX(绊状态确认!$T:$T,MATCH($G405,绊状态确认!$B:$B,))+0.2)*$AO405</f>
        <v>1.3</v>
      </c>
      <c r="AQ405" s="1108">
        <f t="shared" si="537"/>
        <v>42151.358439999996</v>
      </c>
      <c r="AR405" s="1097">
        <f>(AM405*(1+$EX$9)+$EX$35)*(1+(INDEX(绊状态确认!$T:$T,MATCH($G405,绊状态确认!$B:$B,))+0.2)*AO405)*IF(J405=$FF$17,1+$FE$17,1)*IF(I405=$FF$14,1+$FE$14,1)</f>
        <v>13275.394637439998</v>
      </c>
      <c r="AS405" s="1097">
        <f>(AN405*(1+$EX$10)+$EX$36)*(1+(INDEX(绊状态确认!$T:$T,MATCH($G405,绊状态确认!$B:$B,))+0.2)*AO405)*IF(J405=$FF$17,1+$FE$17,1)*IF(I405=$FF$14,1+$FE$14,1)</f>
        <v>20671.553953439994</v>
      </c>
      <c r="AT405" s="1093">
        <f>IF(AND(INDEX('卡片raw data'!AK:AK,MATCH($D405,'卡片raw data'!$F:$F,))&lt;INDEX('卡片raw data'!AM:AM,MATCH($D405,'卡片raw data'!$F:$F,)),INDEX('卡片raw data'!AL:AL,MATCH($D405,'卡片raw data'!$F:$F,))&lt;INDEX('卡片raw data'!AM:AM,MATCH($D405,'卡片raw data'!$F:$F,))),1,0)</f>
        <v>0</v>
      </c>
      <c r="AU405" s="1098">
        <f>MIN(AT405*0.15+AS405*0.00003+INDEX(绊状态确认!M:M,MATCH($G405,绊状态确认!$B:$B,)),1)</f>
        <v>0.65014661860319989</v>
      </c>
      <c r="AV405" s="1109">
        <f>(INDEX(绊状态确认!$N:$N,MATCH($G405,绊状态确认!$B:$B,))+1.5)*$EW$21</f>
        <v>2.6599999999999997</v>
      </c>
      <c r="AW405" s="1101">
        <f t="shared" si="538"/>
        <v>45517.066864946843</v>
      </c>
      <c r="AX405" s="1097">
        <f t="shared" si="539"/>
        <v>1139.8919226854996</v>
      </c>
      <c r="AY405" s="1110">
        <f t="shared" si="540"/>
        <v>46656.958787632342</v>
      </c>
      <c r="AZ405" s="429">
        <f t="shared" si="541"/>
        <v>31498.151983999993</v>
      </c>
      <c r="BA405" s="431">
        <f t="shared" si="542"/>
        <v>37797.782380799988</v>
      </c>
      <c r="BB405" s="1097">
        <f>(AM405*(1+$FB$9)+$FB$35)*(1+(INDEX(绊状态确认!$T:$T,MATCH($G405,绊状态确认!$B:$B,))+0.2)*AO405)*IF(J405=$FF$17,1+$FE$17,1)*IF(I405=$FF$14,1+$FE$14,1)*(1+$FE$15)</f>
        <v>13275.394637439998</v>
      </c>
      <c r="BC405" s="1097">
        <f>(AN405*(1+$FB$10)+$FB$36)*(1+(INDEX(绊状态确认!$T:$T,MATCH($G405,绊状态确认!$B:$B,))+0.2)*AO405)*IF(J405=$FF$17,1+$FE$17,1)*IF(I405=$FF$14,1+$FE$14,1)*(1+$FE$15)</f>
        <v>20671.553953439994</v>
      </c>
      <c r="BD405" s="1104">
        <f>MIN(AT405*0.15+BC405*0.00003+INDEX(绊状态确认!M:M,MATCH($G405,绊状态确认!$B:$B,)),1)</f>
        <v>0.65014661860319989</v>
      </c>
      <c r="BE405" s="432">
        <f>(INDEX(绊状态确认!$N:$N,MATCH($G405,绊状态确认!$B:$B,))+1.5)</f>
        <v>1.9</v>
      </c>
      <c r="BF405" s="1139">
        <f t="array" ref="BF405">SUMPRODUCT(IF(AZ405*AP405*$FI$16:$FI$23*$FA$22&gt;=$FI$24,$FI$24,AZ405*AP405*$FI$16:$FI$23*$FA$22),$FJ$16:$FJ$23)</f>
        <v>57702.226716976002</v>
      </c>
      <c r="BG405" s="1125">
        <f t="array" ref="BG405">SUMPRODUCT(IF(BE405*AZ405*AP405*$FI$16:$FI$23*$FA$22&gt;=$FI$24,$FI$24,BE405*AZ405*AP405*$FI$16:$FI$23*$FA$22),$FJ$16:$FJ$23)</f>
        <v>60000</v>
      </c>
      <c r="BH405" s="1110">
        <f t="shared" si="543"/>
        <v>19732.038749083611</v>
      </c>
      <c r="BI405" s="1111">
        <f>IF(O405="vo",$EW$26/$EW$24*0.05,0)+IF(O405="sk",-$EW$26/$EW$24*(0.05-INDEX(绊状态确认!W:W,MATCH($G405,绊状态确认!$B:$B,)))+0.05*$EW$28,0)+IF(O405="sp",0.05*$EW$32*$EW$30*(1-$EW$33)-(0.05-INDEX(绊状态确认!V:V,MATCH($G405,绊状态确认!$B:$B,)))*$EW$28,0)+IF(O405="gd",-(0.05-INDEX(绊状态确认!X:X,MATCH($G405,绊状态确认!$B:$B,)))*$EW$32*$EW$30*(1-$EW$33),0)</f>
        <v>7726.3029277443748</v>
      </c>
      <c r="BJ405" s="1097">
        <f>IF(O405="vo",0.05*(1-$FI$26)*$FA$24,0)+IF(O405="sk",-(0.05-INDEX(绊状态确认!W:W,MATCH($G405,绊状态确认!$B:$B,)))*(1-$FI$26)*$FA$24+0.05*$FA$26,0)+IF(O405="sp",0.05*$FA$32*$FA$27*(1-$FA$33)/$FA$30+0.05*$FA$29/$FA$69*$FA$27*(1-$FA$33)-(0.05-INDEX(绊状态确认!V:V,MATCH($G405,绊状态确认!$B:$B,)))*$FA$26,0)+IF(O405="gd",-(0.05-INDEX(绊状态确认!X:X,MATCH($G405,绊状态确认!$B:$B,)))*$FA$32*$FA$27*(1-$FA$33)/$FA$30-(0.05-INDEX(绊状态确认!X:X,MATCH($G405,绊状态确认!$B:$B,)))*$FA$29/$FA$69*$FA$27*(1-$FA$33),0)</f>
        <v>393.93433687500004</v>
      </c>
      <c r="BK405" s="1110">
        <f>IF(O405="vo",$EW$26/$EW$24*0.05+$EW$26*(-HP($EW$62,$EW$65,$EW$64)+HP($EW$62,$EW$65,(1.05-INDEX(绊状态确认!U:U,MATCH($G405,绊状态确认!$B:$B,)))*$EW$64)),0)+IF(O405="sk",-$EW$26/$EW$24*(0.05-INDEX(绊状态确认!W:W,MATCH($G405,绊状态确认!$B:$B,)))+0.05*$EW$29,0)+IF(O405="sp",0.05*$EW$32*$EW$30*(1-$EW$33)-(0.05-INDEX(绊状态确认!V:V,MATCH($G405,绊状态确认!$B:$B,)))*$EW$29,0)+IF(O405="gd",-(0.05-INDEX(绊状态确认!X:X,MATCH($G405,绊状态确认!$B:$B,)))*$EW$32*$EW$30*(1-$EW$33)+$EW$26*(-HP($EW$62,$EW$65,$EW$64)+HP($EW$62,$EW$65,0.95*$EW$64)),0)</f>
        <v>6421.6344775026746</v>
      </c>
      <c r="BL405" s="1111">
        <f t="shared" si="544"/>
        <v>0</v>
      </c>
      <c r="BM405" s="1110">
        <f t="shared" si="545"/>
        <v>0</v>
      </c>
      <c r="BN405" s="1113">
        <f t="shared" si="546"/>
        <v>4</v>
      </c>
      <c r="BO405" s="1108">
        <f t="shared" si="547"/>
        <v>6010.2953161679998</v>
      </c>
      <c r="BP405" s="1100">
        <f t="shared" si="548"/>
        <v>295.12137612040135</v>
      </c>
      <c r="BQ405" s="1113" t="s">
        <v>132</v>
      </c>
      <c r="BR405" s="1124" t="s">
        <v>171</v>
      </c>
      <c r="BS405" s="1098">
        <f>IF($P405="","N/A",IF($P405=-1,INDEX('卡片raw data'!AX:AX,MATCH($D405,'卡片raw data'!$F:$F,)),0)+IF($L405="party卡",IF($P405=5,INDEX('卡片raw data'!BD:BD,MATCH($D405,'卡片raw data'!$F:$F,)),IF($P405&gt;=3,INDEX('卡片raw data'!BC:BC,MATCH($D405,'卡片raw data'!$F:$F,)),INDEX('卡片raw data'!BB:BB,MATCH($D405,'卡片raw data'!$F:$F,)))),IF(OR(AND($F405="UR",$P405=0),AND($F405="SR",$P405&gt;=0,$P405&lt;=2),AND($F405="R",$P405&gt;=0,$P405&lt;4)),INDEX('卡片raw data'!AZ:AZ,MATCH($D405,'卡片raw data'!$F:$F,)),0)+IF(OR(AND($F405="UR",$P405&gt;=1,$P405&lt;=4),AND($F405="SR",$P405&lt;=4,$P405&gt;=3),AND($F405="R",$P405=4)),INDEX('卡片raw data'!BA:BA,MATCH($D405,'卡片raw data'!$F:$F,)),0)+IF($P405=5,INDEX('卡片raw data'!BB:BB,MATCH($D405,'卡片raw data'!$F:$F,)),0)))</f>
        <v>6.5000000000000002E-2</v>
      </c>
      <c r="BT405" s="1101">
        <f t="shared" si="549"/>
        <v>3255.5766295909998</v>
      </c>
      <c r="BU405" s="1097">
        <f t="shared" si="550"/>
        <v>139.87523555706522</v>
      </c>
      <c r="BV405" s="1097">
        <f t="shared" si="551"/>
        <v>1627.7883147955001</v>
      </c>
      <c r="BW405" s="1112">
        <f t="shared" si="552"/>
        <v>0</v>
      </c>
      <c r="BX405" s="1100">
        <f t="shared" si="553"/>
        <v>3255.5766295909998</v>
      </c>
      <c r="BY405" s="1110">
        <f t="shared" si="554"/>
        <v>1627.7883147955001</v>
      </c>
      <c r="BZ405" s="1113" t="s">
        <v>569</v>
      </c>
      <c r="CA405" s="1124"/>
      <c r="CB405" s="1098">
        <f>IF($P405="","N/A",IF($P405=-1,INDEX('卡片raw data'!BE:BE,MATCH($D405,'卡片raw data'!$F:$F,)),0)+IF($L405="party卡",IF($P405=5,INDEX('卡片raw data'!BK:BK,MATCH($D405,'卡片raw data'!$F:$F,)),IF($P405&gt;=3,INDEX('卡片raw data'!BJ:BJ,MATCH($D405,'卡片raw data'!$F:$F,)),INDEX('卡片raw data'!BI:BI,MATCH($D405,'卡片raw data'!$F:$F,)))),IF(OR(AND($F405="UR",$P405=0),AND($F405="SR",$P405&gt;=0,$P405&lt;=2),AND($F405="R",$P405&gt;=0,$P405&lt;4)),INDEX('卡片raw data'!BG:BG,MATCH($D405,'卡片raw data'!$F:$F,)),0)+IF(OR(AND($F405="UR",$P405&gt;=1,$P405&lt;=4),AND($F405="SR",$P405&lt;=4,$P405&gt;=3),AND($F405="R",$P405=4)),INDEX('卡片raw data'!BH:BH,MATCH($D405,'卡片raw data'!$F:$F,)),0)+IF($P405=5,INDEX('卡片raw data'!BI:BI,MATCH($D405,'卡片raw data'!$F:$F,)),0)))</f>
        <v>0</v>
      </c>
      <c r="CC405" s="1101">
        <f t="shared" si="555"/>
        <v>0</v>
      </c>
      <c r="CD405" s="1097">
        <f>IF(BZ405="ap",CB405*(1-$FI$26)*$FB$5/$FB$11*(+IF(CA405="全员",$FA$24,0)+IF(CA405="同作战",$FA$24,0)+IF(CA405="仲间",$FA$24*2/3,0)+IF(CA405="同属性",$FA$24*$FA$37/3,0)+IF(CA405="同年级",$FA$24*$FA$40/3,0)+IF(CA405="同学校",$FA$24*$FA$43/3,0)+IF(CA405="同小队",$FA$24*$FA$46/3,0)+IF(CA405="同type",$FA$24*INDEX($FB$49:$FB$52,MATCH(X405,$FA$49:$FA$52,))/3,0)+IF(CA405="自身",#REF!/3,0)),0)+IF(BZ405="te",CB405*(1-$FI$27)*($FA$20-1)*$FB$7/$FB$13*(+IF(CA405="全员",$FA$19*$FA$24/(1+($FA$20-1)*$FA$19),0)+IF(CA405="同作战",$FA$19*$FA$24/(1+($FA$20-1)*$FA$19),0)+IF(CA405="仲间",$FA$19*$FA$24*2/3/(1+($FA$20-1)*$FA$19),0)+IF(CA405="同属性",$FA$19*$FA$24*$FA$37/3/(1+($FA$20-1)*$FA$19),0)+IF(CA405="同年级",$FA$19*$FA$24*$FA$40/3/(1+($FA$20-1)*$FA$19),0)+IF(CA405="同学校",$FA$19*$FA$24*$FA$43/3/(1+($FA$20-1)*$FA$19),0)+IF(CA405="同小队",$FA$19*$FA$24*$FA$46/3/(1+($FA$20-1)*$FA$19),0)+IF(CA405="同type",$FA$19*$FA$24*INDEX($FB$49:$FB$52,MATCH(X405,$FA$49:$FA$52,))/3/(1+($FA$20-1)*$FA$19),0)+IF(CA405="自身",$FA$19*#REF!/3/(1+(BH405-1)*$BD405),0)),0)</f>
        <v>0</v>
      </c>
      <c r="CE405" s="1097">
        <f t="shared" si="556"/>
        <v>0</v>
      </c>
      <c r="CF405" s="1112">
        <f t="shared" si="557"/>
        <v>0</v>
      </c>
      <c r="CG405" s="1100">
        <f t="shared" si="558"/>
        <v>0</v>
      </c>
      <c r="CH405" s="1110">
        <f t="shared" si="559"/>
        <v>0</v>
      </c>
      <c r="CI405" s="1113" t="s">
        <v>165</v>
      </c>
      <c r="CJ405" s="1114">
        <v>1</v>
      </c>
      <c r="CK405" s="1115" t="s">
        <v>2215</v>
      </c>
      <c r="CL405" s="1115" t="s">
        <v>171</v>
      </c>
      <c r="CM405" s="1119">
        <v>0.02</v>
      </c>
      <c r="CN405" s="1115" t="s">
        <v>163</v>
      </c>
      <c r="CO405" s="1115"/>
      <c r="CP405" s="1118">
        <f t="shared" si="560"/>
        <v>1.3333333333333332E-2</v>
      </c>
      <c r="CQ405" s="1118">
        <f t="shared" si="561"/>
        <v>1.1666666666666667E-2</v>
      </c>
      <c r="CR405" s="1118">
        <f t="shared" si="562"/>
        <v>6.6666666666666662E-3</v>
      </c>
      <c r="CS405" s="1118">
        <f t="shared" si="563"/>
        <v>0</v>
      </c>
      <c r="CT405" s="1109">
        <f t="shared" si="564"/>
        <v>0</v>
      </c>
      <c r="CU405" s="1101">
        <f t="shared" si="565"/>
        <v>1813.1057537106801</v>
      </c>
      <c r="CV405" s="1108">
        <f t="shared" si="566"/>
        <v>57.448757460937507</v>
      </c>
      <c r="CW405" s="1097">
        <f t="shared" si="567"/>
        <v>906.55287685534006</v>
      </c>
      <c r="CX405" s="1097">
        <f t="shared" si="568"/>
        <v>1813.1057537106801</v>
      </c>
      <c r="CY405" s="1110">
        <f t="shared" si="569"/>
        <v>906.55287685534006</v>
      </c>
      <c r="CZ405" s="437"/>
      <c r="DA405" s="438"/>
      <c r="DB405" s="439" t="s">
        <v>569</v>
      </c>
      <c r="DC405" s="439"/>
      <c r="DD405" s="443"/>
      <c r="DE405" s="411"/>
      <c r="DF405" s="411"/>
      <c r="DG405" s="1116">
        <f t="shared" si="570"/>
        <v>0</v>
      </c>
      <c r="DH405" s="1116">
        <f t="shared" si="571"/>
        <v>0</v>
      </c>
      <c r="DI405" s="1116">
        <f t="shared" si="572"/>
        <v>0</v>
      </c>
      <c r="DJ405" s="442">
        <f t="shared" si="573"/>
        <v>0</v>
      </c>
      <c r="DK405" s="1109">
        <f t="shared" si="574"/>
        <v>0</v>
      </c>
      <c r="DL405" s="1101">
        <f t="shared" si="575"/>
        <v>0</v>
      </c>
      <c r="DM405" s="1097">
        <f t="shared" si="576"/>
        <v>0</v>
      </c>
      <c r="DN405" s="1097">
        <f t="shared" si="577"/>
        <v>0</v>
      </c>
      <c r="DO405" s="1097">
        <f t="shared" si="578"/>
        <v>0</v>
      </c>
      <c r="DP405" s="1110">
        <f t="shared" si="579"/>
        <v>0</v>
      </c>
      <c r="DQ405" s="1113" t="s">
        <v>167</v>
      </c>
      <c r="DR405" s="1120">
        <f t="shared" si="580"/>
        <v>0.33</v>
      </c>
      <c r="DS405" s="1124">
        <v>5</v>
      </c>
      <c r="DT405" s="1124" t="s">
        <v>171</v>
      </c>
      <c r="DU405" s="1093" t="s">
        <v>544</v>
      </c>
      <c r="DV405" s="1098">
        <f>IF($P405="","N/A",IF(P405=-1,INDEX('卡片raw data'!AN:AN,MATCH(D405,'卡片raw data'!$F:$F,)),0)+IF(AND(L405&lt;&gt;"party卡",P405&lt;=2,P405&gt;=0),INDEX('卡片raw data'!AP:AP,MATCH(D405,'卡片raw data'!$F:$F,)),0)+IF(OR(AND(L405="party卡",P405&lt;=1),AND(P405&lt;=4,L405&lt;&gt;"party卡",P405&gt;=3)),INDEX('卡片raw data'!AQ:AQ,MATCH(D405,'卡片raw data'!$F:$F,)),0)+IF(OR(P405=5,AND(L405="party卡",P405&gt;=2)),INDEX('卡片raw data'!AR:AR,MATCH(D405,'卡片raw data'!$F:$F,)),0))</f>
        <v>7.1999999999999995E-2</v>
      </c>
      <c r="DW405" s="1098">
        <f t="shared" si="581"/>
        <v>0.33</v>
      </c>
      <c r="DX405" s="1098">
        <f t="shared" si="582"/>
        <v>0.33</v>
      </c>
      <c r="DY405" s="1098">
        <f t="shared" si="583"/>
        <v>2.6399999999999996E-2</v>
      </c>
      <c r="DZ405" s="1098">
        <f t="shared" si="584"/>
        <v>1.9981499999999999E-2</v>
      </c>
      <c r="EA405" s="1098">
        <f t="shared" si="585"/>
        <v>0</v>
      </c>
      <c r="EB405" s="1121">
        <f t="shared" si="586"/>
        <v>0</v>
      </c>
      <c r="EC405" s="1101">
        <f t="shared" si="587"/>
        <v>3589.9493923471459</v>
      </c>
      <c r="ED405" s="1097">
        <f t="shared" si="588"/>
        <v>131.18998253779688</v>
      </c>
      <c r="EE405" s="1110">
        <f t="shared" si="513"/>
        <v>3589.9493923471459</v>
      </c>
      <c r="EF405" s="1115" t="s">
        <v>569</v>
      </c>
      <c r="EG405" s="1120">
        <f t="shared" si="589"/>
        <v>0.33</v>
      </c>
      <c r="EH405" s="1124"/>
      <c r="EI405" s="1093"/>
      <c r="EJ405" s="1093"/>
      <c r="EK405" s="1097">
        <f>IF($P405="","N/A",IF(P405=-1,INDEX('卡片raw data'!AS:AS,MATCH(D405,'卡片raw data'!$F:$F,)),0)+IF(AND(L405&lt;&gt;"party卡",P405&lt;=2,P405&gt;=0),INDEX('卡片raw data'!AU:AU,MATCH(D405,'卡片raw data'!$F:$F,)),0)+IF(OR(AND(L405="party卡",P405&lt;=1),AND(P405&lt;=4,L405&lt;&gt;"party卡",P405&gt;=3)),INDEX('卡片raw data'!AV:AV,MATCH(D405,'卡片raw data'!$F:$F,)),0)+IF(OR(P405=5,AND(L405="party卡",P405&gt;=2)),INDEX('卡片raw data'!AW:AW,MATCH(D405,'卡片raw data'!$F:$F,)),0))</f>
        <v>0</v>
      </c>
      <c r="EL405" s="1098">
        <f t="shared" si="590"/>
        <v>0.33</v>
      </c>
      <c r="EM405" s="1098">
        <f t="shared" si="591"/>
        <v>0.33</v>
      </c>
      <c r="EN405" s="1097">
        <f t="shared" si="592"/>
        <v>0</v>
      </c>
      <c r="EO405" s="1097">
        <f t="shared" si="593"/>
        <v>0</v>
      </c>
      <c r="EP405" s="1098">
        <f t="shared" si="594"/>
        <v>0</v>
      </c>
      <c r="EQ405" s="1121">
        <f t="shared" si="595"/>
        <v>0</v>
      </c>
      <c r="ER405" s="1101">
        <f t="shared" si="596"/>
        <v>0</v>
      </c>
      <c r="ES405" s="1097">
        <f t="shared" si="597"/>
        <v>0</v>
      </c>
      <c r="ET405" s="1122">
        <f t="shared" si="514"/>
        <v>0</v>
      </c>
    </row>
    <row r="406" spans="2:150" ht="16.5" customHeight="1">
      <c r="B406" s="448" t="str">
        <f>INDEX('卡片raw data'!B:B,MATCH($D406,'卡片raw data'!$F:$F,))</f>
        <v>kks花</v>
      </c>
      <c r="C406" s="449" t="s">
        <v>2126</v>
      </c>
      <c r="D406" s="408">
        <v>403</v>
      </c>
      <c r="E406" s="477">
        <v>300082003</v>
      </c>
      <c r="F406" s="409" t="str">
        <f>INDEX('卡片raw data'!C:C,MATCH($D406,'卡片raw data'!$F:$F,))</f>
        <v>SR</v>
      </c>
      <c r="G406" s="1094" t="s">
        <v>2120</v>
      </c>
      <c r="H406" s="411">
        <f>IFERROR(INDEX(绊状态确认!C:C,MATCH($G406,绊状态确认!$B:$B,)),"")</f>
        <v>8</v>
      </c>
      <c r="I406" s="450" t="str">
        <f>IFERROR(INDEX(绊状态确认!D:D,MATCH($G406,绊状态确认!$B:$B,)),"")</f>
        <v>缪</v>
      </c>
      <c r="J406" s="450" t="str">
        <f>IFERROR(INDEX(绊状态确认!E:E,MATCH($G406,绊状态确认!$B:$B,)),"")</f>
        <v>1年级</v>
      </c>
      <c r="K406" s="451" t="str">
        <f>IFERROR(INDEX(绊状态确认!F:F,MATCH($G406,绊状态确认!$B:$B,)),"")</f>
        <v>Printemps</v>
      </c>
      <c r="L406" s="414" t="str">
        <f>INDEX('卡片raw data'!E:E,MATCH($D406,'卡片raw data'!$F:$F,))</f>
        <v>卡池卡</v>
      </c>
      <c r="M406" s="478">
        <v>44241</v>
      </c>
      <c r="N406" s="479">
        <v>33.5</v>
      </c>
      <c r="O406" s="410" t="str">
        <f>INDEX('卡片raw data'!D:D,MATCH($D406,'卡片raw data'!$F:$F,))</f>
        <v>sk</v>
      </c>
      <c r="P406" s="1126">
        <v>5</v>
      </c>
      <c r="Q406" s="1095">
        <f t="shared" si="515"/>
        <v>28924.956999647897</v>
      </c>
      <c r="R406" s="1096">
        <f t="shared" si="516"/>
        <v>0.33600000000000002</v>
      </c>
      <c r="S406" s="1097">
        <f t="shared" si="517"/>
        <v>15522.828667014192</v>
      </c>
      <c r="T406" s="1098">
        <f t="shared" si="518"/>
        <v>0.77600000000000002</v>
      </c>
      <c r="U406" s="1099">
        <f t="shared" si="519"/>
        <v>12.124038165162855</v>
      </c>
      <c r="V406" s="1100">
        <f t="shared" si="520"/>
        <v>31892.404185973599</v>
      </c>
      <c r="W406" s="1101">
        <f t="shared" si="521"/>
        <v>4507.7214871259994</v>
      </c>
      <c r="X406" s="1096">
        <f t="shared" si="522"/>
        <v>5.1999999999999998E-2</v>
      </c>
      <c r="Y406" s="1097">
        <f t="shared" si="523"/>
        <v>967.44718632570039</v>
      </c>
      <c r="Z406" s="1102">
        <f t="shared" si="524"/>
        <v>12.124038165162855</v>
      </c>
      <c r="AA406" s="1103">
        <f t="shared" si="525"/>
        <v>5475.1686734516998</v>
      </c>
      <c r="AB406" s="1101">
        <f t="shared" si="526"/>
        <v>8943.910823511862</v>
      </c>
      <c r="AC406" s="1104">
        <f t="shared" si="527"/>
        <v>0.10299999999999999</v>
      </c>
      <c r="AD406" s="1105">
        <f t="shared" si="528"/>
        <v>1.8994224431818179E-2</v>
      </c>
      <c r="AE406" s="1128">
        <f t="shared" si="529"/>
        <v>4.3537577047458456</v>
      </c>
      <c r="AF406" s="1130">
        <f t="shared" si="530"/>
        <v>0</v>
      </c>
      <c r="AG406" s="420">
        <f t="shared" si="531"/>
        <v>0</v>
      </c>
      <c r="AH406" s="420">
        <f t="shared" si="532"/>
        <v>0</v>
      </c>
      <c r="AI406" s="1097">
        <f t="shared" si="533"/>
        <v>0</v>
      </c>
      <c r="AJ406" s="420">
        <f t="shared" si="534"/>
        <v>0</v>
      </c>
      <c r="AK406" s="518">
        <f t="shared" si="535"/>
        <v>0</v>
      </c>
      <c r="AL406" s="1106">
        <f>IF($P406="","N/A",(IF($P406=-1,INDEX('卡片raw data'!S:S,MATCH($D406,'卡片raw data'!$F:$F,)),0)+IF($P406=0,INDEX('卡片raw data'!V:V,MATCH($D406,'卡片raw data'!$F:$F,)),0)+IF($P406=1,INDEX('卡片raw data'!Y:Y,MATCH($D406,'卡片raw data'!$F:$F,)),0)+IF($P406=2,INDEX('卡片raw data'!AB:AB,MATCH($D406,'卡片raw data'!$F:$F,)),0)+IF($P406=3,INDEX('卡片raw data'!AE:AE,MATCH($D406,'卡片raw data'!$F:$F,)),0)+IF($P406=4,INDEX('卡片raw data'!AH:AH,MATCH($D406,'卡片raw data'!$F:$F,)),0)+IF($P406=5,INDEX('卡片raw data'!AK:AK,MATCH($D406,'卡片raw data'!$F:$F,)),0)+INDEX('卡片raw data'!S:S,MATCH($D406,'卡片raw data'!$F:$F,))*(IF($F406="UR",0.04,0.033))*(IF($F406="UR",INDEX(绊状态确认!$S:$S,MATCH($G406,绊状态确认!$B:$B,))/2-40)+IF($F406="SR",INDEX(绊状态确认!$R:$R,MATCH($G406,绊状态确认!$B:$B,))/4-15))+IF($F406="R",INDEX(绊状态确认!$Q:$Q,MATCH($G406,绊状态确认!$B:$B,))/6-40/6)))*(INDEX(绊状态确认!$H:$H,MATCH($G406,绊状态确认!$B:$B,))+INDEX(绊状态确认!J:J,MATCH($G406,绊状态确认!$B:$B,)))</f>
        <v>7991.0670695999988</v>
      </c>
      <c r="AM406" s="1106">
        <f>IF($P406="","N/A",(IF($P406=-1,INDEX('卡片raw data'!T:T,MATCH($D406,'卡片raw data'!$F:$F,)),0)+IF($P406=0,INDEX('卡片raw data'!W:W,MATCH($D406,'卡片raw data'!$F:$F,)),0)+IF($P406=1,INDEX('卡片raw data'!Z:Z,MATCH($D406,'卡片raw data'!$F:$F,)),0)+IF($P406=2,INDEX('卡片raw data'!AC:AC,MATCH($D406,'卡片raw data'!$F:$F,)),0)+IF($P406=3,INDEX('卡片raw data'!AF:AF,MATCH($D406,'卡片raw data'!$F:$F,)),0)+IF($P406=4,INDEX('卡片raw data'!AI:AI,MATCH($D406,'卡片raw data'!$F:$F,)),0)+IF($P406=5,INDEX('卡片raw data'!AL:AL,MATCH($D406,'卡片raw data'!$F:$F,)),0)+INDEX('卡片raw data'!T:T,MATCH($D406,'卡片raw data'!$F:$F,))*(IF($F406="UR",0.04,0.033))*(IF($F406="UR",INDEX(绊状态确认!$S:$S,MATCH($G406,绊状态确认!$B:$B,))/2-40)+IF($F406="SR",INDEX(绊状态确认!$R:$R,MATCH($G406,绊状态确认!$B:$B,))/4-15))+IF($F406="R",INDEX(绊状态确认!$Q:$Q,MATCH($G406,绊状态确认!$B:$B,))/6-40/6)))*(INDEX(绊状态确认!$H:$H,MATCH($G406,绊状态确认!$B:$B,))+INDEX(绊状态确认!K:K,MATCH($G406,绊状态确认!$B:$B,)))</f>
        <v>6308.9882447999989</v>
      </c>
      <c r="AN406" s="1106">
        <f>IF($P406="","N/A",(IF($P406=-1,INDEX('卡片raw data'!U:U,MATCH($D406,'卡片raw data'!$F:$F,)),0)+IF($P406=0,INDEX('卡片raw data'!X:X,MATCH($D406,'卡片raw data'!$F:$F,)),0)+IF($P406=1,INDEX('卡片raw data'!AA:AA,MATCH($D406,'卡片raw data'!$F:$F,)),0)+IF($P406=2,INDEX('卡片raw data'!AD:AD,MATCH($D406,'卡片raw data'!$F:$F,)),0)+IF($P406=3,INDEX('卡片raw data'!AG:AG,MATCH($D406,'卡片raw data'!$F:$F,)),0)+IF($P406=4,INDEX('卡片raw data'!AJ:AJ,MATCH($D406,'卡片raw data'!$F:$F,)),0)+IF($P406=5,INDEX('卡片raw data'!AM:AM,MATCH($D406,'卡片raw data'!$F:$F,)),0)+INDEX('卡片raw data'!U:U,MATCH($D406,'卡片raw data'!$F:$F,))*(IF($F406="UR",0.04,0.033))*(IF($F406="UR",INDEX(绊状态确认!$S:$S,MATCH($G406,绊状态确认!$B:$B,))/2-40)+IF($F406="SR",INDEX(绊状态确认!$R:$R,MATCH($G406,绊状态确认!$B:$B,))/4-15))+IF($F406="R",INDEX(绊状态确认!$Q:$Q,MATCH($G406,绊状态确认!$B:$B,))/6-40/6)))*(INDEX(绊状态确认!$H:$H,MATCH($G406,绊状态确认!$B:$B,))+INDEX(绊状态确认!L:L,MATCH($G406,绊状态确认!$B:$B,)))</f>
        <v>6727.1788991999993</v>
      </c>
      <c r="AO406" s="1107">
        <f t="shared" si="536"/>
        <v>1</v>
      </c>
      <c r="AP406" s="1131">
        <f>1+(INDEX(绊状态确认!$T:$T,MATCH($G406,绊状态确认!$B:$B,))+0.2)*$AO406</f>
        <v>1.3</v>
      </c>
      <c r="AQ406" s="1108">
        <f t="shared" si="537"/>
        <v>24226.551057699999</v>
      </c>
      <c r="AR406" s="1097">
        <f>(AM406*(1+$EX$9)+$EX$35)*(1+(INDEX(绊状态确认!$T:$T,MATCH($G406,绊状态确认!$B:$B,))+0.2)*AO406)*IF(J406=$FF$17,1+$FE$17,1)*IF(I406=$FF$14,1+$FE$14,1)</f>
        <v>11315.768954151998</v>
      </c>
      <c r="AS406" s="1097">
        <f>(AN406*(1+$EX$10)+$EX$36)*(1+(INDEX(绊状态确认!$T:$T,MATCH($G406,绊状态确认!$B:$B,))+0.2)*AO406)*IF(J406=$FF$17,1+$FE$17,1)*IF(I406=$FF$14,1+$FE$14,1)</f>
        <v>14113.132454303997</v>
      </c>
      <c r="AT406" s="1093">
        <f>IF(AND(INDEX('卡片raw data'!AK:AK,MATCH($D406,'卡片raw data'!$F:$F,))&lt;INDEX('卡片raw data'!AM:AM,MATCH($D406,'卡片raw data'!$F:$F,)),INDEX('卡片raw data'!AL:AL,MATCH($D406,'卡片raw data'!$F:$F,))&lt;INDEX('卡片raw data'!AM:AM,MATCH($D406,'卡片raw data'!$F:$F,))),1,0)</f>
        <v>0</v>
      </c>
      <c r="AU406" s="1098">
        <f>MIN(AT406*0.15+AS406*0.00003+INDEX(绊状态确认!M:M,MATCH($G406,绊状态确认!$B:$B,)),1)</f>
        <v>0.45339397362911993</v>
      </c>
      <c r="AV406" s="1109">
        <f>(INDEX(绊状态确认!$N:$N,MATCH($G406,绊状态确认!$B:$B,))+1.5)*$EW$21</f>
        <v>2.6599999999999997</v>
      </c>
      <c r="AW406" s="1101">
        <f t="shared" si="538"/>
        <v>22051.60410152968</v>
      </c>
      <c r="AX406" s="1097">
        <f t="shared" si="539"/>
        <v>967.44718632570073</v>
      </c>
      <c r="AY406" s="1110">
        <f t="shared" si="540"/>
        <v>23019.051287855382</v>
      </c>
      <c r="AZ406" s="429">
        <f t="shared" si="541"/>
        <v>18182.580785719998</v>
      </c>
      <c r="BA406" s="431">
        <f t="shared" si="542"/>
        <v>21819.096942863998</v>
      </c>
      <c r="BB406" s="1097">
        <f>(AM406*(1+$FB$9)+$FB$35)*(1+(INDEX(绊状态确认!$T:$T,MATCH($G406,绊状态确认!$B:$B,))+0.2)*AO406)*IF(J406=$FF$17,1+$FE$17,1)*IF(I406=$FF$14,1+$FE$14,1)*(1+$FE$15)</f>
        <v>11315.768954151998</v>
      </c>
      <c r="BC406" s="1097">
        <f>(AN406*(1+$FB$10)+$FB$36)*(1+(INDEX(绊状态确认!$T:$T,MATCH($G406,绊状态确认!$B:$B,))+0.2)*AO406)*IF(J406=$FF$17,1+$FE$17,1)*IF(I406=$FF$14,1+$FE$14,1)*(1+$FE$15)</f>
        <v>14113.132454303997</v>
      </c>
      <c r="BD406" s="1104">
        <f>MIN(AT406*0.15+BC406*0.00003+INDEX(绊状态确认!M:M,MATCH($G406,绊状态确认!$B:$B,)),1)</f>
        <v>0.45339397362911993</v>
      </c>
      <c r="BE406" s="432">
        <f>(INDEX(绊状态确认!$N:$N,MATCH($G406,绊状态确认!$B:$B,))+1.5)</f>
        <v>1.9</v>
      </c>
      <c r="BF406" s="1139">
        <f t="array" ref="BF406">SUMPRODUCT(IF(AZ406*AP406*$FI$16:$FI$23*$FA$22&gt;=$FI$24,$FI$24,AZ406*AP406*$FI$16:$FI$23*$FA$22),$FJ$16:$FJ$23)</f>
        <v>36165.153182797083</v>
      </c>
      <c r="BG406" s="1125">
        <f t="array" ref="BG406">SUMPRODUCT(IF(BE406*AZ406*AP406*$FI$16:$FI$23*$FA$22&gt;=$FI$24,$FI$24,BE406*AZ406*AP406*$FI$16:$FI$23*$FA$22),$FJ$16:$FJ$23)</f>
        <v>59227.743635182102</v>
      </c>
      <c r="BH406" s="1110">
        <f t="shared" si="543"/>
        <v>15540.530903394976</v>
      </c>
      <c r="BI406" s="1111">
        <f>IF(O406="vo",$EW$26/$EW$24*0.05,0)+IF(O406="sk",-$EW$26/$EW$24*(0.05-INDEX(绊状态确认!W:W,MATCH($G406,绊状态确认!$B:$B,)))+0.05*$EW$28,0)+IF(O406="sp",0.05*$EW$32*$EW$30*(1-$EW$33)-(0.05-INDEX(绊状态确认!V:V,MATCH($G406,绊状态确认!$B:$B,)))*$EW$28,0)+IF(O406="gd",-(0.05-INDEX(绊状态确认!X:X,MATCH($G406,绊状态确认!$B:$B,)))*$EW$32*$EW$30*(1-$EW$33),0)</f>
        <v>-6253.6726349699375</v>
      </c>
      <c r="BJ406" s="1097">
        <f>IF(O406="vo",0.05*(1-$FI$26)*$FA$24,0)+IF(O406="sk",-(0.05-INDEX(绊状态确认!W:W,MATCH($G406,绊状态确认!$B:$B,)))*(1-$FI$26)*$FA$24+0.05*$FA$26,0)+IF(O406="sp",0.05*$FA$32*$FA$27*(1-$FA$33)/$FA$30+0.05*$FA$29/$FA$69*$FA$27*(1-$FA$33)-(0.05-INDEX(绊状态确认!V:V,MATCH($G406,绊状态确认!$B:$B,)))*$FA$26,0)+IF(O406="gd",-(0.05-INDEX(绊状态确认!X:X,MATCH($G406,绊状态确认!$B:$B,)))*$FA$32*$FA$27*(1-$FA$33)/$FA$30-(0.05-INDEX(绊状态确认!X:X,MATCH($G406,绊状态确认!$B:$B,)))*$FA$29/$FA$69*$FA$27*(1-$FA$33),0)</f>
        <v>20.459096812499922</v>
      </c>
      <c r="BK406" s="1110">
        <f>IF(O406="vo",$EW$26/$EW$24*0.05+$EW$26*(-HP($EW$62,$EW$65,$EW$64)+HP($EW$62,$EW$65,(1.05-INDEX(绊状态确认!U:U,MATCH($G406,绊状态确认!$B:$B,)))*$EW$64)),0)+IF(O406="sk",-$EW$26/$EW$24*(0.05-INDEX(绊状态确认!W:W,MATCH($G406,绊状态确认!$B:$B,)))+0.05*$EW$29,0)+IF(O406="sp",0.05*$EW$32*$EW$30*(1-$EW$33)-(0.05-INDEX(绊状态确认!V:V,MATCH($G406,绊状态确认!$B:$B,)))*$EW$29,0)+IF(O406="gd",-(0.05-INDEX(绊状态确认!X:X,MATCH($G406,绊状态确认!$B:$B,)))*$EW$32*$EW$30*(1-$EW$33)+$EW$26*(-HP($EW$62,$EW$65,$EW$64)+HP($EW$62,$EW$65,0.95*$EW$64)),0)</f>
        <v>-4253.6726349699375</v>
      </c>
      <c r="BL406" s="1111">
        <f t="shared" si="544"/>
        <v>-1083.3333333333333</v>
      </c>
      <c r="BM406" s="1110">
        <f t="shared" si="545"/>
        <v>-830.55555555555543</v>
      </c>
      <c r="BN406" s="1113">
        <f t="shared" si="546"/>
        <v>3</v>
      </c>
      <c r="BO406" s="1108">
        <f t="shared" si="547"/>
        <v>4507.7214871259994</v>
      </c>
      <c r="BP406" s="1100">
        <f t="shared" si="548"/>
        <v>221.34103209030098</v>
      </c>
      <c r="BQ406" s="1113" t="s">
        <v>134</v>
      </c>
      <c r="BR406" s="1124" t="s">
        <v>168</v>
      </c>
      <c r="BS406" s="1098">
        <f>IF($P406="","N/A",IF($P406=-1,INDEX('卡片raw data'!AX:AX,MATCH($D406,'卡片raw data'!$F:$F,)),0)+IF($L406="party卡",IF($P406=5,INDEX('卡片raw data'!BD:BD,MATCH($D406,'卡片raw data'!$F:$F,)),IF($P406&gt;=3,INDEX('卡片raw data'!BC:BC,MATCH($D406,'卡片raw data'!$F:$F,)),INDEX('卡片raw data'!BB:BB,MATCH($D406,'卡片raw data'!$F:$F,)))),IF(OR(AND($F406="UR",$P406=0),AND($F406="SR",$P406&gt;=0,$P406&lt;=2),AND($F406="R",$P406&gt;=0,$P406&lt;4)),INDEX('卡片raw data'!AZ:AZ,MATCH($D406,'卡片raw data'!$F:$F,)),0)+IF(OR(AND($F406="UR",$P406&gt;=1,$P406&lt;=4),AND($F406="SR",$P406&lt;=4,$P406&gt;=3),AND($F406="R",$P406=4)),INDEX('卡片raw data'!BA:BA,MATCH($D406,'卡片raw data'!$F:$F,)),0)+IF($P406=5,INDEX('卡片raw data'!BB:BB,MATCH($D406,'卡片raw data'!$F:$F,)),0)))</f>
        <v>0.05</v>
      </c>
      <c r="BT406" s="1101">
        <f t="shared" si="549"/>
        <v>3537.2976021542986</v>
      </c>
      <c r="BU406" s="1097">
        <f t="shared" si="550"/>
        <v>255.86405005115788</v>
      </c>
      <c r="BV406" s="1097">
        <f t="shared" si="551"/>
        <v>0</v>
      </c>
      <c r="BW406" s="1112">
        <f t="shared" si="552"/>
        <v>0</v>
      </c>
      <c r="BX406" s="1100">
        <f t="shared" si="553"/>
        <v>3537.2976021542986</v>
      </c>
      <c r="BY406" s="1110">
        <f t="shared" si="554"/>
        <v>0</v>
      </c>
      <c r="BZ406" s="1113" t="s">
        <v>569</v>
      </c>
      <c r="CA406" s="1124"/>
      <c r="CB406" s="1098">
        <f>IF($P406="","N/A",IF($P406=-1,INDEX('卡片raw data'!BE:BE,MATCH($D406,'卡片raw data'!$F:$F,)),0)+IF($L406="party卡",IF($P406=5,INDEX('卡片raw data'!BK:BK,MATCH($D406,'卡片raw data'!$F:$F,)),IF($P406&gt;=3,INDEX('卡片raw data'!BJ:BJ,MATCH($D406,'卡片raw data'!$F:$F,)),INDEX('卡片raw data'!BI:BI,MATCH($D406,'卡片raw data'!$F:$F,)))),IF(OR(AND($F406="UR",$P406=0),AND($F406="SR",$P406&gt;=0,$P406&lt;=2),AND($F406="R",$P406&gt;=0,$P406&lt;4)),INDEX('卡片raw data'!BG:BG,MATCH($D406,'卡片raw data'!$F:$F,)),0)+IF(OR(AND($F406="UR",$P406&gt;=1,$P406&lt;=4),AND($F406="SR",$P406&lt;=4,$P406&gt;=3),AND($F406="R",$P406=4)),INDEX('卡片raw data'!BH:BH,MATCH($D406,'卡片raw data'!$F:$F,)),0)+IF($P406=5,INDEX('卡片raw data'!BI:BI,MATCH($D406,'卡片raw data'!$F:$F,)),0)))</f>
        <v>0</v>
      </c>
      <c r="CC406" s="1101">
        <f t="shared" si="555"/>
        <v>0</v>
      </c>
      <c r="CD406" s="1097">
        <f>IF(BZ406="ap",CB406*(1-$FI$26)*$FB$5/$FB$11*(+IF(CA406="全员",$FA$24,0)+IF(CA406="同作战",$FA$24,0)+IF(CA406="仲间",$FA$24*2/3,0)+IF(CA406="同属性",$FA$24*$FA$37/3,0)+IF(CA406="同年级",$FA$24*$FA$40/3,0)+IF(CA406="同学校",$FA$24*$FA$43/3,0)+IF(CA406="同小队",$FA$24*$FA$46/3,0)+IF(CA406="同type",$FA$24*INDEX($FB$49:$FB$52,MATCH(X406,$FA$49:$FA$52,))/3,0)+IF(CA406="自身",#REF!/3,0)),0)+IF(BZ406="te",CB406*(1-$FI$27)*($FA$20-1)*$FB$7/$FB$13*(+IF(CA406="全员",$FA$19*$FA$24/(1+($FA$20-1)*$FA$19),0)+IF(CA406="同作战",$FA$19*$FA$24/(1+($FA$20-1)*$FA$19),0)+IF(CA406="仲间",$FA$19*$FA$24*2/3/(1+($FA$20-1)*$FA$19),0)+IF(CA406="同属性",$FA$19*$FA$24*$FA$37/3/(1+($FA$20-1)*$FA$19),0)+IF(CA406="同年级",$FA$19*$FA$24*$FA$40/3/(1+($FA$20-1)*$FA$19),0)+IF(CA406="同学校",$FA$19*$FA$24*$FA$43/3/(1+($FA$20-1)*$FA$19),0)+IF(CA406="同小队",$FA$19*$FA$24*$FA$46/3/(1+($FA$20-1)*$FA$19),0)+IF(CA406="同type",$FA$19*$FA$24*INDEX($FB$49:$FB$52,MATCH(X406,$FA$49:$FA$52,))/3/(1+($FA$20-1)*$FA$19),0)+IF(CA406="自身",$FA$19*#REF!/3/(1+(BH406-1)*$BD406),0)),0)</f>
        <v>0</v>
      </c>
      <c r="CE406" s="1097">
        <f t="shared" si="556"/>
        <v>0</v>
      </c>
      <c r="CF406" s="1112">
        <f t="shared" si="557"/>
        <v>0</v>
      </c>
      <c r="CG406" s="1100">
        <f t="shared" si="558"/>
        <v>0</v>
      </c>
      <c r="CH406" s="1110">
        <f t="shared" si="559"/>
        <v>0</v>
      </c>
      <c r="CI406" s="1113" t="s">
        <v>165</v>
      </c>
      <c r="CJ406" s="1114">
        <v>1</v>
      </c>
      <c r="CK406" s="1115" t="s">
        <v>551</v>
      </c>
      <c r="CL406" s="1115" t="s">
        <v>2127</v>
      </c>
      <c r="CM406" s="1119">
        <v>1.4999999999999999E-2</v>
      </c>
      <c r="CN406" s="1115" t="s">
        <v>163</v>
      </c>
      <c r="CO406" s="1115"/>
      <c r="CP406" s="1118">
        <f t="shared" si="560"/>
        <v>1.4999999999999999E-2</v>
      </c>
      <c r="CQ406" s="1118">
        <f t="shared" si="561"/>
        <v>1.4999999999999999E-2</v>
      </c>
      <c r="CR406" s="1118">
        <f t="shared" si="562"/>
        <v>0</v>
      </c>
      <c r="CS406" s="1118">
        <f t="shared" si="563"/>
        <v>0</v>
      </c>
      <c r="CT406" s="1109">
        <f t="shared" si="564"/>
        <v>0</v>
      </c>
      <c r="CU406" s="1101">
        <f t="shared" si="565"/>
        <v>898.89173423156262</v>
      </c>
      <c r="CV406" s="1108">
        <f t="shared" si="566"/>
        <v>0</v>
      </c>
      <c r="CW406" s="1097">
        <f t="shared" si="567"/>
        <v>0</v>
      </c>
      <c r="CX406" s="1097">
        <f t="shared" si="568"/>
        <v>898.89173423156262</v>
      </c>
      <c r="CY406" s="1110">
        <f t="shared" si="569"/>
        <v>0</v>
      </c>
      <c r="CZ406" s="437"/>
      <c r="DA406" s="438"/>
      <c r="DB406" s="439" t="s">
        <v>569</v>
      </c>
      <c r="DC406" s="439"/>
      <c r="DD406" s="443"/>
      <c r="DE406" s="411"/>
      <c r="DF406" s="411"/>
      <c r="DG406" s="1116">
        <f t="shared" si="570"/>
        <v>0</v>
      </c>
      <c r="DH406" s="1116">
        <f t="shared" si="571"/>
        <v>0</v>
      </c>
      <c r="DI406" s="1116">
        <f t="shared" si="572"/>
        <v>0</v>
      </c>
      <c r="DJ406" s="442">
        <f t="shared" si="573"/>
        <v>0</v>
      </c>
      <c r="DK406" s="1109">
        <f t="shared" si="574"/>
        <v>0</v>
      </c>
      <c r="DL406" s="1101">
        <f t="shared" si="575"/>
        <v>0</v>
      </c>
      <c r="DM406" s="1097">
        <f t="shared" si="576"/>
        <v>0</v>
      </c>
      <c r="DN406" s="1097">
        <f t="shared" si="577"/>
        <v>0</v>
      </c>
      <c r="DO406" s="1097">
        <f t="shared" si="578"/>
        <v>0</v>
      </c>
      <c r="DP406" s="1110">
        <f t="shared" si="579"/>
        <v>0</v>
      </c>
      <c r="DQ406" s="1113" t="s">
        <v>2107</v>
      </c>
      <c r="DR406" s="1120">
        <f t="shared" si="580"/>
        <v>0.3</v>
      </c>
      <c r="DS406" s="1124">
        <v>3</v>
      </c>
      <c r="DT406" s="1124" t="s">
        <v>168</v>
      </c>
      <c r="DU406" s="1093" t="s">
        <v>544</v>
      </c>
      <c r="DV406" s="1098">
        <f>IF($P406="","N/A",IF(P406=-1,INDEX('卡片raw data'!AN:AN,MATCH(D406,'卡片raw data'!$F:$F,)),0)+IF(AND(L406&lt;&gt;"party卡",P406&lt;=2,P406&gt;=0),INDEX('卡片raw data'!AP:AP,MATCH(D406,'卡片raw data'!$F:$F,)),0)+IF(OR(AND(L406="party卡",P406&lt;=1),AND(P406&lt;=4,L406&lt;&gt;"party卡",P406&gt;=3)),INDEX('卡片raw data'!AQ:AQ,MATCH(D406,'卡片raw data'!$F:$F,)),0)+IF(OR(P406=5,AND(L406="party卡",P406&gt;=2)),INDEX('卡片raw data'!AR:AR,MATCH(D406,'卡片raw data'!$F:$F,)),0))</f>
        <v>0.15</v>
      </c>
      <c r="DW406" s="1098">
        <f t="shared" si="581"/>
        <v>0.3</v>
      </c>
      <c r="DX406" s="1098">
        <f t="shared" si="582"/>
        <v>0.3</v>
      </c>
      <c r="DY406" s="1098">
        <f t="shared" si="583"/>
        <v>4.4999999999999998E-2</v>
      </c>
      <c r="DZ406" s="1098">
        <f t="shared" si="584"/>
        <v>3.8925000000000001E-2</v>
      </c>
      <c r="EA406" s="1098">
        <f t="shared" si="585"/>
        <v>0</v>
      </c>
      <c r="EB406" s="1121">
        <f t="shared" si="586"/>
        <v>0</v>
      </c>
      <c r="EC406" s="1101">
        <f t="shared" si="587"/>
        <v>5266.4480429096247</v>
      </c>
      <c r="ED406" s="1097">
        <f t="shared" si="588"/>
        <v>315.18914022081356</v>
      </c>
      <c r="EE406" s="1110">
        <f t="shared" si="513"/>
        <v>5266.4480429096247</v>
      </c>
      <c r="EF406" s="1115" t="s">
        <v>569</v>
      </c>
      <c r="EG406" s="1120">
        <f t="shared" si="589"/>
        <v>0.3</v>
      </c>
      <c r="EH406" s="1124"/>
      <c r="EI406" s="1093"/>
      <c r="EJ406" s="1093"/>
      <c r="EK406" s="1097">
        <f>IF($P406="","N/A",IF(P406=-1,INDEX('卡片raw data'!AS:AS,MATCH(D406,'卡片raw data'!$F:$F,)),0)+IF(AND(L406&lt;&gt;"party卡",P406&lt;=2,P406&gt;=0),INDEX('卡片raw data'!AU:AU,MATCH(D406,'卡片raw data'!$F:$F,)),0)+IF(OR(AND(L406="party卡",P406&lt;=1),AND(P406&lt;=4,L406&lt;&gt;"party卡",P406&gt;=3)),INDEX('卡片raw data'!AV:AV,MATCH(D406,'卡片raw data'!$F:$F,)),0)+IF(OR(P406=5,AND(L406="party卡",P406&gt;=2)),INDEX('卡片raw data'!AW:AW,MATCH(D406,'卡片raw data'!$F:$F,)),0))</f>
        <v>0</v>
      </c>
      <c r="EL406" s="1098">
        <f t="shared" si="590"/>
        <v>0.3</v>
      </c>
      <c r="EM406" s="1098">
        <f t="shared" si="591"/>
        <v>0.3</v>
      </c>
      <c r="EN406" s="1097">
        <f t="shared" si="592"/>
        <v>0</v>
      </c>
      <c r="EO406" s="1097">
        <f t="shared" si="593"/>
        <v>0</v>
      </c>
      <c r="EP406" s="1098">
        <f t="shared" si="594"/>
        <v>0</v>
      </c>
      <c r="EQ406" s="1121">
        <f t="shared" si="595"/>
        <v>0</v>
      </c>
      <c r="ER406" s="1101">
        <f t="shared" si="596"/>
        <v>0</v>
      </c>
      <c r="ES406" s="1097">
        <f t="shared" si="597"/>
        <v>0</v>
      </c>
      <c r="ET406" s="1122">
        <f t="shared" si="514"/>
        <v>0</v>
      </c>
    </row>
    <row r="407" spans="2:150" ht="16.5" customHeight="1">
      <c r="B407" s="448" t="str">
        <f>INDEX('卡片raw data'!B:B,MATCH($D407,'卡片raw data'!$F:$F,))</f>
        <v>二专栞</v>
      </c>
      <c r="C407" s="449" t="s">
        <v>2118</v>
      </c>
      <c r="D407" s="408">
        <v>404</v>
      </c>
      <c r="E407" s="477">
        <v>302102001</v>
      </c>
      <c r="F407" s="409" t="str">
        <f>INDEX('卡片raw data'!C:C,MATCH($D407,'卡片raw data'!$F:$F,))</f>
        <v>SR</v>
      </c>
      <c r="G407" s="1094" t="s">
        <v>2121</v>
      </c>
      <c r="H407" s="411">
        <f>IFERROR(INDEX(绊状态确认!C:C,MATCH($G407,绊状态确认!$B:$B,)),"")</f>
        <v>210</v>
      </c>
      <c r="I407" s="450" t="str">
        <f>IFERROR(INDEX(绊状态确认!D:D,MATCH($G407,绊状态确认!$B:$B,)),"")</f>
        <v>虹</v>
      </c>
      <c r="J407" s="450" t="str">
        <f>IFERROR(INDEX(绊状态确认!E:E,MATCH($G407,绊状态确认!$B:$B,)),"")</f>
        <v>1年级</v>
      </c>
      <c r="K407" s="451" t="str">
        <f>IFERROR(INDEX(绊状态确认!F:F,MATCH($G407,绊状态确认!$B:$B,)),"")</f>
        <v>R3BIRTH</v>
      </c>
      <c r="L407" s="414" t="str">
        <f>INDEX('卡片raw data'!E:E,MATCH($D407,'卡片raw data'!$F:$F,))</f>
        <v>卡池卡</v>
      </c>
      <c r="M407" s="478">
        <v>44241</v>
      </c>
      <c r="N407" s="479">
        <v>33.5</v>
      </c>
      <c r="O407" s="410" t="str">
        <f>INDEX('卡片raw data'!D:D,MATCH($D407,'卡片raw data'!$F:$F,))</f>
        <v>vo</v>
      </c>
      <c r="P407" s="1126">
        <v>5</v>
      </c>
      <c r="Q407" s="418">
        <f t="shared" si="515"/>
        <v>37414.380371581472</v>
      </c>
      <c r="R407" s="419">
        <f t="shared" si="516"/>
        <v>0.434</v>
      </c>
      <c r="S407" s="420">
        <f t="shared" si="517"/>
        <v>15844.843947052515</v>
      </c>
      <c r="T407" s="421">
        <f t="shared" si="518"/>
        <v>0.79200000000000004</v>
      </c>
      <c r="U407" s="422">
        <f t="shared" si="519"/>
        <v>-13.030164127107145</v>
      </c>
      <c r="V407" s="423">
        <f t="shared" si="520"/>
        <v>37064.552618949114</v>
      </c>
      <c r="W407" s="424">
        <f t="shared" si="521"/>
        <v>5690.579258778087</v>
      </c>
      <c r="X407" s="419">
        <f t="shared" si="522"/>
        <v>6.6000000000000003E-2</v>
      </c>
      <c r="Y407" s="420">
        <f t="shared" si="523"/>
        <v>954.84069760934381</v>
      </c>
      <c r="Z407" s="425">
        <f t="shared" si="524"/>
        <v>11.969835872892855</v>
      </c>
      <c r="AA407" s="426">
        <f t="shared" si="525"/>
        <v>6645.4199563874308</v>
      </c>
      <c r="AB407" s="424">
        <f t="shared" si="526"/>
        <v>6491.9519676004866</v>
      </c>
      <c r="AC407" s="427">
        <f t="shared" si="527"/>
        <v>7.4999999999999997E-2</v>
      </c>
      <c r="AD407" s="428">
        <f t="shared" si="528"/>
        <v>-3.8207812500000026E-3</v>
      </c>
      <c r="AE407" s="516">
        <f t="shared" si="529"/>
        <v>-2.3058860102247465</v>
      </c>
      <c r="AF407" s="1130">
        <f t="shared" si="530"/>
        <v>0</v>
      </c>
      <c r="AG407" s="420">
        <f t="shared" si="531"/>
        <v>0</v>
      </c>
      <c r="AH407" s="420">
        <f t="shared" si="532"/>
        <v>0</v>
      </c>
      <c r="AI407" s="1097">
        <f t="shared" si="533"/>
        <v>0</v>
      </c>
      <c r="AJ407" s="420">
        <f t="shared" si="534"/>
        <v>0</v>
      </c>
      <c r="AK407" s="518">
        <f t="shared" si="535"/>
        <v>0</v>
      </c>
      <c r="AL407" s="1106">
        <f>IF($P407="","N/A",(IF($P407=-1,INDEX('卡片raw data'!S:S,MATCH($D407,'卡片raw data'!$F:$F,)),0)+IF($P407=0,INDEX('卡片raw data'!V:V,MATCH($D407,'卡片raw data'!$F:$F,)),0)+IF($P407=1,INDEX('卡片raw data'!Y:Y,MATCH($D407,'卡片raw data'!$F:$F,)),0)+IF($P407=2,INDEX('卡片raw data'!AB:AB,MATCH($D407,'卡片raw data'!$F:$F,)),0)+IF($P407=3,INDEX('卡片raw data'!AE:AE,MATCH($D407,'卡片raw data'!$F:$F,)),0)+IF($P407=4,INDEX('卡片raw data'!AH:AH,MATCH($D407,'卡片raw data'!$F:$F,)),0)+IF($P407=5,INDEX('卡片raw data'!AK:AK,MATCH($D407,'卡片raw data'!$F:$F,)),0)+INDEX('卡片raw data'!S:S,MATCH($D407,'卡片raw data'!$F:$F,))*(IF($F407="UR",0.04,0.033))*(IF($F407="UR",INDEX(绊状态确认!$S:$S,MATCH($G407,绊状态确认!$B:$B,))/2-40)+IF($F407="SR",INDEX(绊状态确认!$R:$R,MATCH($G407,绊状态确认!$B:$B,))/4-15))+IF($F407="R",INDEX(绊状态确认!$Q:$Q,MATCH($G407,绊状态确认!$B:$B,))/6-40/6)))*(INDEX(绊状态确认!$H:$H,MATCH($G407,绊状态确认!$B:$B,))+INDEX(绊状态确认!J:J,MATCH($G407,绊状态确认!$B:$B,)))</f>
        <v>8062.8739127999988</v>
      </c>
      <c r="AM407" s="1106">
        <f>IF($P407="","N/A",(IF($P407=-1,INDEX('卡片raw data'!T:T,MATCH($D407,'卡片raw data'!$F:$F,)),0)+IF($P407=0,INDEX('卡片raw data'!W:W,MATCH($D407,'卡片raw data'!$F:$F,)),0)+IF($P407=1,INDEX('卡片raw data'!Z:Z,MATCH($D407,'卡片raw data'!$F:$F,)),0)+IF($P407=2,INDEX('卡片raw data'!AC:AC,MATCH($D407,'卡片raw data'!$F:$F,)),0)+IF($P407=3,INDEX('卡片raw data'!AF:AF,MATCH($D407,'卡片raw data'!$F:$F,)),0)+IF($P407=4,INDEX('卡片raw data'!AI:AI,MATCH($D407,'卡片raw data'!$F:$F,)),0)+IF($P407=5,INDEX('卡片raw data'!AL:AL,MATCH($D407,'卡片raw data'!$F:$F,)),0)+INDEX('卡片raw data'!T:T,MATCH($D407,'卡片raw data'!$F:$F,))*(IF($F407="UR",0.04,0.033))*(IF($F407="UR",INDEX(绊状态确认!$S:$S,MATCH($G407,绊状态确认!$B:$B,))/2-40)+IF($F407="SR",INDEX(绊状态确认!$R:$R,MATCH($G407,绊状态确认!$B:$B,))/4-15))+IF($F407="R",INDEX(绊状态确认!$Q:$Q,MATCH($G407,绊状态确认!$B:$B,))/6-40/6)))*(INDEX(绊状态确认!$H:$H,MATCH($G407,绊状态确认!$B:$B,))+INDEX(绊状态确认!K:K,MATCH($G407,绊状态确认!$B:$B,)))</f>
        <v>6203.5507799999987</v>
      </c>
      <c r="AN407" s="1106">
        <f>IF($P407="","N/A",(IF($P407=-1,INDEX('卡片raw data'!U:U,MATCH($D407,'卡片raw data'!$F:$F,)),0)+IF($P407=0,INDEX('卡片raw data'!X:X,MATCH($D407,'卡片raw data'!$F:$F,)),0)+IF($P407=1,INDEX('卡片raw data'!AA:AA,MATCH($D407,'卡片raw data'!$F:$F,)),0)+IF($P407=2,INDEX('卡片raw data'!AD:AD,MATCH($D407,'卡片raw data'!$F:$F,)),0)+IF($P407=3,INDEX('卡片raw data'!AG:AG,MATCH($D407,'卡片raw data'!$F:$F,)),0)+IF($P407=4,INDEX('卡片raw data'!AJ:AJ,MATCH($D407,'卡片raw data'!$F:$F,)),0)+IF($P407=5,INDEX('卡片raw data'!AM:AM,MATCH($D407,'卡片raw data'!$F:$F,)),0)+INDEX('卡片raw data'!U:U,MATCH($D407,'卡片raw data'!$F:$F,))*(IF($F407="UR",0.04,0.033))*(IF($F407="UR",INDEX(绊状态确认!$S:$S,MATCH($G407,绊状态确认!$B:$B,))/2-40)+IF($F407="SR",INDEX(绊状态确认!$R:$R,MATCH($G407,绊状态确认!$B:$B,))/4-15))+IF($F407="R",INDEX(绊状态确认!$Q:$Q,MATCH($G407,绊状态确认!$B:$B,))/6-40/6)))*(INDEX(绊状态确认!$H:$H,MATCH($G407,绊状态确认!$B:$B,))+INDEX(绊状态确认!L:L,MATCH($G407,绊状态确认!$B:$B,)))</f>
        <v>6408.5937047999987</v>
      </c>
      <c r="AO407" s="1107">
        <f t="shared" si="536"/>
        <v>1</v>
      </c>
      <c r="AP407" s="1131">
        <f>1+(INDEX(绊状态确认!$T:$T,MATCH($G407,绊状态确认!$B:$B,))+0.2)*$AO407</f>
        <v>1.3</v>
      </c>
      <c r="AQ407" s="1108">
        <f t="shared" si="537"/>
        <v>24415.044021099999</v>
      </c>
      <c r="AR407" s="1097">
        <f>(AM407*(1+$EX$9)+$EX$35)*(1+(INDEX(绊状态确认!$T:$T,MATCH($G407,绊状态确认!$B:$B,))+0.2)*AO407)*IF(J407=$FF$17,1+$FE$17,1)*IF(I407=$FF$14,1+$FE$14,1)</f>
        <v>11171.846814699999</v>
      </c>
      <c r="AS407" s="1097">
        <f>(AN407*(1+$EX$10)+$EX$36)*(1+(INDEX(绊状态确认!$T:$T,MATCH($G407,绊状态确认!$B:$B,))+0.2)*AO407)*IF(J407=$FF$17,1+$FE$17,1)*IF(I407=$FF$14,1+$FE$14,1)</f>
        <v>13636.847588675999</v>
      </c>
      <c r="AT407" s="1093">
        <f>IF(AND(INDEX('卡片raw data'!AK:AK,MATCH($D407,'卡片raw data'!$F:$F,))&lt;INDEX('卡片raw data'!AM:AM,MATCH($D407,'卡片raw data'!$F:$F,)),INDEX('卡片raw data'!AL:AL,MATCH($D407,'卡片raw data'!$F:$F,))&lt;INDEX('卡片raw data'!AM:AM,MATCH($D407,'卡片raw data'!$F:$F,))),1,0)</f>
        <v>0</v>
      </c>
      <c r="AU407" s="1098">
        <f>MIN(AT407*0.15+AS407*0.00003+INDEX(绊状态确认!M:M,MATCH($G407,绊状态确认!$B:$B,)),1)</f>
        <v>0.43910542766027999</v>
      </c>
      <c r="AV407" s="1109">
        <f>(INDEX(绊状态确认!$N:$N,MATCH($G407,绊状态确认!$B:$B,))+1.5)*$EW$21</f>
        <v>2.6599999999999997</v>
      </c>
      <c r="AW407" s="1101">
        <f t="shared" si="538"/>
        <v>21922.421329746066</v>
      </c>
      <c r="AX407" s="1097">
        <f t="shared" si="539"/>
        <v>954.84069760934403</v>
      </c>
      <c r="AY407" s="1110">
        <f t="shared" si="540"/>
        <v>22877.262027355409</v>
      </c>
      <c r="AZ407" s="429">
        <f t="shared" si="541"/>
        <v>18322.604129959996</v>
      </c>
      <c r="BA407" s="431">
        <f t="shared" si="542"/>
        <v>21987.124955951997</v>
      </c>
      <c r="BB407" s="1097">
        <f>(AM407*(1+$FB$9)+$FB$35)*(1+(INDEX(绊状态确认!$T:$T,MATCH($G407,绊状态确认!$B:$B,))+0.2)*AO407)*IF(J407=$FF$17,1+$FE$17,1)*IF(I407=$FF$14,1+$FE$14,1)*(1+$FE$15)</f>
        <v>11171.846814699999</v>
      </c>
      <c r="BC407" s="1097">
        <f>(AN407*(1+$FB$10)+$FB$36)*(1+(INDEX(绊状态确认!$T:$T,MATCH($G407,绊状态确认!$B:$B,))+0.2)*AO407)*IF(J407=$FF$17,1+$FE$17,1)*IF(I407=$FF$14,1+$FE$14,1)*(1+$FE$15)</f>
        <v>13636.847588675999</v>
      </c>
      <c r="BD407" s="1104">
        <f>MIN(AT407*0.15+BC407*0.00003+INDEX(绊状态确认!M:M,MATCH($G407,绊状态确认!$B:$B,)),1)</f>
        <v>0.43910542766027999</v>
      </c>
      <c r="BE407" s="432">
        <f>(INDEX(绊状态确认!$N:$N,MATCH($G407,绊状态确认!$B:$B,))+1.5)</f>
        <v>1.9</v>
      </c>
      <c r="BF407" s="1139">
        <f t="array" ref="BF407">SUMPRODUCT(IF(AZ407*AP407*$FI$16:$FI$23*$FA$22&gt;=$FI$24,$FI$24,AZ407*AP407*$FI$16:$FI$23*$FA$22),$FJ$16:$FJ$23)</f>
        <v>36443.659614490432</v>
      </c>
      <c r="BG407" s="1125">
        <f t="array" ref="BG407">SUMPRODUCT(IF(BE407*AZ407*AP407*$FI$16:$FI$23*$FA$22&gt;=$FI$24,$FI$24,BE407*AZ407*AP407*$FI$16:$FI$23*$FA$22),$FJ$16:$FJ$23)</f>
        <v>59314.208050250294</v>
      </c>
      <c r="BH407" s="1110">
        <f t="shared" si="543"/>
        <v>15495.413855399971</v>
      </c>
      <c r="BI407" s="1111">
        <f>IF(O407="vo",$EW$26/$EW$24*0.05,0)+IF(O407="sk",-$EW$26/$EW$24*(0.05-INDEX(绊状态确认!W:W,MATCH($G407,绊状态确认!$B:$B,)))+0.05*$EW$28,0)+IF(O407="sp",0.05*$EW$32*$EW$30*(1-$EW$33)-(0.05-INDEX(绊状态确认!V:V,MATCH($G407,绊状态确认!$B:$B,)))*$EW$28,0)+IF(O407="gd",-(0.05-INDEX(绊状态确认!X:X,MATCH($G407,绊状态确认!$B:$B,)))*$EW$32*$EW$30*(1-$EW$33),0)</f>
        <v>7726.3029277443748</v>
      </c>
      <c r="BJ407" s="420">
        <f>IF(O407="vo",0.05*(1-$FI$26)*$FA$24,0)+IF(O407="sk",-(0.05-INDEX(绊状态确认!W:W,MATCH($G407,绊状态确认!$B:$B,)))*(1-$FI$26)*$FA$24+0.05*$FA$26,0)+IF(O407="sp",0.05*$FA$32*$FA$27*(1-$FA$33)/$FA$30+0.05*$FA$29/$FA$69*$FA$27*(1-$FA$33)-(0.05-INDEX(绊状态确认!V:V,MATCH($G407,绊状态确认!$B:$B,)))*$FA$26,0)+IF(O407="gd",-(0.05-INDEX(绊状态确认!X:X,MATCH($G407,绊状态确认!$B:$B,)))*$FA$32*$FA$27*(1-$FA$33)/$FA$30-(0.05-INDEX(绊状态确认!X:X,MATCH($G407,绊状态确认!$B:$B,)))*$FA$29/$FA$69*$FA$27*(1-$FA$33),0)</f>
        <v>393.93433687500004</v>
      </c>
      <c r="BK407" s="1110">
        <f>IF(O407="vo",$EW$26/$EW$24*0.05+$EW$26*(-HP($EW$62,$EW$65,$EW$64)+HP($EW$62,$EW$65,(1.05-INDEX(绊状态确认!U:U,MATCH($G407,绊状态确认!$B:$B,)))*$EW$64)),0)+IF(O407="sk",-$EW$26/$EW$24*(0.05-INDEX(绊状态确认!W:W,MATCH($G407,绊状态确认!$B:$B,)))+0.05*$EW$29,0)+IF(O407="sp",0.05*$EW$32*$EW$30*(1-$EW$33)-(0.05-INDEX(绊状态确认!V:V,MATCH($G407,绊状态确认!$B:$B,)))*$EW$29,0)+IF(O407="gd",-(0.05-INDEX(绊状态确认!X:X,MATCH($G407,绊状态确认!$B:$B,)))*$EW$32*$EW$30*(1-$EW$33)+$EW$26*(-HP($EW$62,$EW$65,$EW$64)+HP($EW$62,$EW$65,0.95*$EW$64)),0)</f>
        <v>6421.6344775026746</v>
      </c>
      <c r="BL407" s="1111">
        <f t="shared" si="544"/>
        <v>-1083.3333333333333</v>
      </c>
      <c r="BM407" s="1110">
        <f t="shared" si="545"/>
        <v>-830.55555555555543</v>
      </c>
      <c r="BN407" s="1113">
        <f t="shared" si="546"/>
        <v>3</v>
      </c>
      <c r="BO407" s="1108">
        <f t="shared" si="547"/>
        <v>4507.7214871259994</v>
      </c>
      <c r="BP407" s="1100">
        <f t="shared" si="548"/>
        <v>221.34103209030098</v>
      </c>
      <c r="BQ407" s="437" t="s">
        <v>132</v>
      </c>
      <c r="BR407" s="450" t="s">
        <v>171</v>
      </c>
      <c r="BS407" s="421">
        <f>IF($P407="","N/A",IF($P407=-1,INDEX('卡片raw data'!AX:AX,MATCH($D407,'卡片raw data'!$F:$F,)),0)+IF($L407="party卡",IF($P407=5,INDEX('卡片raw data'!BD:BD,MATCH($D407,'卡片raw data'!$F:$F,)),IF($P407&gt;=3,INDEX('卡片raw data'!BC:BC,MATCH($D407,'卡片raw data'!$F:$F,)),INDEX('卡片raw data'!BB:BB,MATCH($D407,'卡片raw data'!$F:$F,)))),IF(OR(AND($F407="UR",$P407=0),AND($F407="SR",$P407&gt;=0,$P407&lt;=2),AND($F407="R",$P407&gt;=0,$P407&lt;4)),INDEX('卡片raw data'!AZ:AZ,MATCH($D407,'卡片raw data'!$F:$F,)),0)+IF(OR(AND($F407="UR",$P407&gt;=1,$P407&lt;=4),AND($F407="SR",$P407&lt;=4,$P407&gt;=3),AND($F407="R",$P407=4)),INDEX('卡片raw data'!BA:BA,MATCH($D407,'卡片raw data'!$F:$F,)),0)+IF($P407=5,INDEX('卡片raw data'!BB:BB,MATCH($D407,'卡片raw data'!$F:$F,)),0)))</f>
        <v>3.2000000000000001E-2</v>
      </c>
      <c r="BT407" s="424">
        <f t="shared" si="549"/>
        <v>1602.7454176448</v>
      </c>
      <c r="BU407" s="420">
        <f t="shared" si="550"/>
        <v>68.861654428093644</v>
      </c>
      <c r="BV407" s="420">
        <f t="shared" si="551"/>
        <v>801.37270882240011</v>
      </c>
      <c r="BW407" s="436">
        <f t="shared" si="552"/>
        <v>0</v>
      </c>
      <c r="BX407" s="423">
        <f t="shared" si="553"/>
        <v>1602.7454176448</v>
      </c>
      <c r="BY407" s="433">
        <f t="shared" si="554"/>
        <v>801.37270882240011</v>
      </c>
      <c r="BZ407" s="1113" t="s">
        <v>569</v>
      </c>
      <c r="CA407" s="450"/>
      <c r="CB407" s="421">
        <f>IF($P407="","N/A",IF($P407=-1,INDEX('卡片raw data'!BE:BE,MATCH($D407,'卡片raw data'!$F:$F,)),0)+IF($L407="party卡",IF($P407=5,INDEX('卡片raw data'!BK:BK,MATCH($D407,'卡片raw data'!$F:$F,)),IF($P407&gt;=3,INDEX('卡片raw data'!BJ:BJ,MATCH($D407,'卡片raw data'!$F:$F,)),INDEX('卡片raw data'!BI:BI,MATCH($D407,'卡片raw data'!$F:$F,)))),IF(OR(AND($F407="UR",$P407=0),AND($F407="SR",$P407&gt;=0,$P407&lt;=2),AND($F407="R",$P407&gt;=0,$P407&lt;4)),INDEX('卡片raw data'!BG:BG,MATCH($D407,'卡片raw data'!$F:$F,)),0)+IF(OR(AND($F407="UR",$P407&gt;=1,$P407&lt;=4),AND($F407="SR",$P407&lt;=4,$P407&gt;=3),AND($F407="R",$P407=4)),INDEX('卡片raw data'!BH:BH,MATCH($D407,'卡片raw data'!$F:$F,)),0)+IF($P407=5,INDEX('卡片raw data'!BI:BI,MATCH($D407,'卡片raw data'!$F:$F,)),0)))</f>
        <v>0</v>
      </c>
      <c r="CC407" s="424">
        <f t="shared" si="555"/>
        <v>0</v>
      </c>
      <c r="CD407" s="420">
        <f>IF(BZ407="ap",CB407*(1-$FI$26)*$FB$5/$FB$11*(+IF(CA407="全员",$FA$24,0)+IF(CA407="同作战",$FA$24,0)+IF(CA407="仲间",$FA$24*2/3,0)+IF(CA407="同属性",$FA$24*$FA$37/3,0)+IF(CA407="同年级",$FA$24*$FA$40/3,0)+IF(CA407="同学校",$FA$24*$FA$43/3,0)+IF(CA407="同小队",$FA$24*$FA$46/3,0)+IF(CA407="同type",$FA$24*INDEX($FB$49:$FB$52,MATCH(X407,$FA$49:$FA$52,))/3,0)+IF(CA407="自身",#REF!/3,0)),0)+IF(BZ407="te",CB407*(1-$FI$27)*($FA$20-1)*$FB$7/$FB$13*(+IF(CA407="全员",$FA$19*$FA$24/(1+($FA$20-1)*$FA$19),0)+IF(CA407="同作战",$FA$19*$FA$24/(1+($FA$20-1)*$FA$19),0)+IF(CA407="仲间",$FA$19*$FA$24*2/3/(1+($FA$20-1)*$FA$19),0)+IF(CA407="同属性",$FA$19*$FA$24*$FA$37/3/(1+($FA$20-1)*$FA$19),0)+IF(CA407="同年级",$FA$19*$FA$24*$FA$40/3/(1+($FA$20-1)*$FA$19),0)+IF(CA407="同学校",$FA$19*$FA$24*$FA$43/3/(1+($FA$20-1)*$FA$19),0)+IF(CA407="同小队",$FA$19*$FA$24*$FA$46/3/(1+($FA$20-1)*$FA$19),0)+IF(CA407="同type",$FA$19*$FA$24*INDEX($FB$49:$FB$52,MATCH(X407,$FA$49:$FA$52,))/3/(1+($FA$20-1)*$FA$19),0)+IF(CA407="自身",$FA$19*#REF!/3/(1+(BH407-1)*$BD407),0)),0)</f>
        <v>0</v>
      </c>
      <c r="CE407" s="420">
        <f t="shared" si="556"/>
        <v>0</v>
      </c>
      <c r="CF407" s="436">
        <f t="shared" si="557"/>
        <v>0</v>
      </c>
      <c r="CG407" s="423">
        <f t="shared" si="558"/>
        <v>0</v>
      </c>
      <c r="CH407" s="433">
        <f t="shared" si="559"/>
        <v>0</v>
      </c>
      <c r="CI407" s="437" t="s">
        <v>160</v>
      </c>
      <c r="CJ407" s="438">
        <v>1</v>
      </c>
      <c r="CK407" s="439" t="s">
        <v>156</v>
      </c>
      <c r="CL407" s="439" t="s">
        <v>1940</v>
      </c>
      <c r="CM407" s="443">
        <v>7.0000000000000007E-2</v>
      </c>
      <c r="CN407" s="439"/>
      <c r="CO407" s="1115">
        <v>1</v>
      </c>
      <c r="CP407" s="1116">
        <f t="shared" si="560"/>
        <v>6.1037610052749995</v>
      </c>
      <c r="CQ407" s="1116">
        <f t="shared" si="561"/>
        <v>9.8331308830785318</v>
      </c>
      <c r="CR407" s="1117">
        <f t="shared" si="562"/>
        <v>6.1037610052749995</v>
      </c>
      <c r="CS407" s="442">
        <f t="shared" si="563"/>
        <v>0</v>
      </c>
      <c r="CT407" s="432">
        <f t="shared" si="564"/>
        <v>9.9694763086158336</v>
      </c>
      <c r="CU407" s="1101">
        <f t="shared" si="565"/>
        <v>381.48506282968742</v>
      </c>
      <c r="CV407" s="1108">
        <f t="shared" si="566"/>
        <v>409.71378679493887</v>
      </c>
      <c r="CW407" s="420">
        <f t="shared" si="567"/>
        <v>381.48506282968742</v>
      </c>
      <c r="CX407" s="420">
        <f t="shared" si="568"/>
        <v>381.48506282968742</v>
      </c>
      <c r="CY407" s="433">
        <f t="shared" si="569"/>
        <v>381.48506282968742</v>
      </c>
      <c r="CZ407" s="437"/>
      <c r="DA407" s="438"/>
      <c r="DB407" s="439" t="s">
        <v>569</v>
      </c>
      <c r="DC407" s="439"/>
      <c r="DD407" s="443"/>
      <c r="DE407" s="411"/>
      <c r="DF407" s="411"/>
      <c r="DG407" s="1116">
        <f t="shared" si="570"/>
        <v>0</v>
      </c>
      <c r="DH407" s="1116">
        <f t="shared" si="571"/>
        <v>0</v>
      </c>
      <c r="DI407" s="1116">
        <f t="shared" si="572"/>
        <v>0</v>
      </c>
      <c r="DJ407" s="442">
        <f t="shared" si="573"/>
        <v>0</v>
      </c>
      <c r="DK407" s="432">
        <f t="shared" si="574"/>
        <v>0</v>
      </c>
      <c r="DL407" s="424">
        <f t="shared" si="575"/>
        <v>0</v>
      </c>
      <c r="DM407" s="420">
        <f t="shared" si="576"/>
        <v>0</v>
      </c>
      <c r="DN407" s="420">
        <f t="shared" si="577"/>
        <v>0</v>
      </c>
      <c r="DO407" s="420">
        <f t="shared" si="578"/>
        <v>0</v>
      </c>
      <c r="DP407" s="433">
        <f t="shared" si="579"/>
        <v>0</v>
      </c>
      <c r="DQ407" s="1113" t="s">
        <v>167</v>
      </c>
      <c r="DR407" s="1120">
        <f t="shared" si="580"/>
        <v>0.3</v>
      </c>
      <c r="DS407" s="1124">
        <v>5</v>
      </c>
      <c r="DT407" s="1124" t="s">
        <v>171</v>
      </c>
      <c r="DU407" s="1093" t="s">
        <v>544</v>
      </c>
      <c r="DV407" s="1098">
        <f>IF($P407="","N/A",IF(P407=-1,INDEX('卡片raw data'!AN:AN,MATCH(D407,'卡片raw data'!$F:$F,)),0)+IF(AND(L407&lt;&gt;"party卡",P407&lt;=2,P407&gt;=0),INDEX('卡片raw data'!AP:AP,MATCH(D407,'卡片raw data'!$F:$F,)),0)+IF(OR(AND(L407="party卡",P407&lt;=1),AND(P407&lt;=4,L407&lt;&gt;"party卡",P407&gt;=3)),INDEX('卡片raw data'!AQ:AQ,MATCH(D407,'卡片raw data'!$F:$F,)),0)+IF(OR(P407=5,AND(L407="party卡",P407&gt;=2)),INDEX('卡片raw data'!AR:AR,MATCH(D407,'卡片raw data'!$F:$F,)),0))</f>
        <v>5.1999999999999998E-2</v>
      </c>
      <c r="DW407" s="1098">
        <f t="shared" si="581"/>
        <v>0.3</v>
      </c>
      <c r="DX407" s="1098">
        <f t="shared" si="582"/>
        <v>0.3</v>
      </c>
      <c r="DY407" s="1098">
        <f t="shared" si="583"/>
        <v>1.7333333333333333E-2</v>
      </c>
      <c r="DZ407" s="1098">
        <f t="shared" si="584"/>
        <v>1.3119166666666666E-2</v>
      </c>
      <c r="EA407" s="421">
        <f t="shared" si="585"/>
        <v>0</v>
      </c>
      <c r="EB407" s="445">
        <f t="shared" si="586"/>
        <v>0</v>
      </c>
      <c r="EC407" s="424">
        <f t="shared" si="587"/>
        <v>2357.037479823884</v>
      </c>
      <c r="ED407" s="420">
        <f t="shared" si="588"/>
        <v>86.134837019765627</v>
      </c>
      <c r="EE407" s="433">
        <f t="shared" si="513"/>
        <v>2357.037479823884</v>
      </c>
      <c r="EF407" s="1115" t="s">
        <v>569</v>
      </c>
      <c r="EG407" s="1120">
        <f t="shared" si="589"/>
        <v>0.3</v>
      </c>
      <c r="EH407" s="450"/>
      <c r="EI407" s="1093"/>
      <c r="EJ407" s="1093"/>
      <c r="EK407" s="420">
        <f>IF($P407="","N/A",IF(P407=-1,INDEX('卡片raw data'!AS:AS,MATCH(D407,'卡片raw data'!$F:$F,)),0)+IF(AND(L407&lt;&gt;"party卡",P407&lt;=2,P407&gt;=0),INDEX('卡片raw data'!AU:AU,MATCH(D407,'卡片raw data'!$F:$F,)),0)+IF(OR(AND(L407="party卡",P407&lt;=1),AND(P407&lt;=4,L407&lt;&gt;"party卡",P407&gt;=3)),INDEX('卡片raw data'!AV:AV,MATCH(D407,'卡片raw data'!$F:$F,)),0)+IF(OR(P407=5,AND(L407="party卡",P407&gt;=2)),INDEX('卡片raw data'!AW:AW,MATCH(D407,'卡片raw data'!$F:$F,)),0))</f>
        <v>0</v>
      </c>
      <c r="EL407" s="1098">
        <f t="shared" si="590"/>
        <v>0.3</v>
      </c>
      <c r="EM407" s="1098">
        <f t="shared" si="591"/>
        <v>0.3</v>
      </c>
      <c r="EN407" s="1097">
        <f t="shared" si="592"/>
        <v>0</v>
      </c>
      <c r="EO407" s="1097">
        <f t="shared" si="593"/>
        <v>0</v>
      </c>
      <c r="EP407" s="421">
        <f t="shared" si="594"/>
        <v>0</v>
      </c>
      <c r="EQ407" s="445">
        <f t="shared" si="595"/>
        <v>0</v>
      </c>
      <c r="ER407" s="424">
        <f t="shared" si="596"/>
        <v>0</v>
      </c>
      <c r="ES407" s="420">
        <f t="shared" si="597"/>
        <v>0</v>
      </c>
      <c r="ET407" s="446">
        <f t="shared" si="514"/>
        <v>0</v>
      </c>
    </row>
    <row r="408" spans="2:150" ht="16.5" customHeight="1">
      <c r="B408" s="448" t="str">
        <f>INDEX('卡片raw data'!B:B,MATCH($D408,'卡片raw data'!$F:$F,))</f>
        <v>蒸汽绘</v>
      </c>
      <c r="C408" s="449" t="s">
        <v>2142</v>
      </c>
      <c r="D408" s="408">
        <v>405</v>
      </c>
      <c r="E408" s="477">
        <v>400023003</v>
      </c>
      <c r="F408" s="409" t="str">
        <f>INDEX('卡片raw data'!C:C,MATCH($D408,'卡片raw data'!$F:$F,))</f>
        <v>UR</v>
      </c>
      <c r="G408" s="1094" t="s">
        <v>2134</v>
      </c>
      <c r="H408" s="411">
        <f>IFERROR(INDEX(绊状态确认!C:C,MATCH($G408,绊状态确认!$B:$B,)),"")</f>
        <v>2</v>
      </c>
      <c r="I408" s="450" t="str">
        <f>IFERROR(INDEX(绊状态确认!D:D,MATCH($G408,绊状态确认!$B:$B,)),"")</f>
        <v>缪</v>
      </c>
      <c r="J408" s="450" t="str">
        <f>IFERROR(INDEX(绊状态确认!E:E,MATCH($G408,绊状态确认!$B:$B,)),"")</f>
        <v>3年级</v>
      </c>
      <c r="K408" s="451" t="str">
        <f>IFERROR(INDEX(绊状态确认!F:F,MATCH($G408,绊状态确认!$B:$B,)),"")</f>
        <v>BiBi</v>
      </c>
      <c r="L408" s="414" t="str">
        <f>INDEX('卡片raw data'!E:E,MATCH($D408,'卡片raw data'!$F:$F,))</f>
        <v>卡池卡</v>
      </c>
      <c r="M408" s="478">
        <v>44244</v>
      </c>
      <c r="N408" s="479">
        <v>34</v>
      </c>
      <c r="O408" s="410" t="str">
        <f>INDEX('卡片raw data'!D:D,MATCH($D408,'卡片raw data'!$F:$F,))</f>
        <v>sp</v>
      </c>
      <c r="P408" s="1126">
        <v>5</v>
      </c>
      <c r="Q408" s="418">
        <f t="shared" si="515"/>
        <v>60413.973330520152</v>
      </c>
      <c r="R408" s="419">
        <f t="shared" si="516"/>
        <v>0.70199999999999996</v>
      </c>
      <c r="S408" s="420">
        <f t="shared" si="517"/>
        <v>21654.103230178644</v>
      </c>
      <c r="T408" s="421">
        <f t="shared" si="518"/>
        <v>1.0820000000000001</v>
      </c>
      <c r="U408" s="422">
        <f t="shared" si="519"/>
        <v>10.915888085142857</v>
      </c>
      <c r="V408" s="423">
        <f t="shared" si="520"/>
        <v>59482.863554939067</v>
      </c>
      <c r="W408" s="424">
        <f t="shared" si="521"/>
        <v>4507.7214871259994</v>
      </c>
      <c r="X408" s="419">
        <f t="shared" si="522"/>
        <v>5.1999999999999998E-2</v>
      </c>
      <c r="Y408" s="420">
        <f t="shared" si="523"/>
        <v>868.89022441891848</v>
      </c>
      <c r="Z408" s="425">
        <f t="shared" si="524"/>
        <v>10.915888085142857</v>
      </c>
      <c r="AA408" s="426">
        <f t="shared" si="525"/>
        <v>5376.6117115449179</v>
      </c>
      <c r="AB408" s="424">
        <f t="shared" si="526"/>
        <v>9933.8727459158563</v>
      </c>
      <c r="AC408" s="427">
        <f t="shared" si="527"/>
        <v>0.115</v>
      </c>
      <c r="AD408" s="428">
        <f t="shared" si="528"/>
        <v>-1.6087500000000001E-2</v>
      </c>
      <c r="AE408" s="516">
        <f t="shared" si="529"/>
        <v>13.07235054347826</v>
      </c>
      <c r="AF408" s="1130">
        <f t="shared" si="530"/>
        <v>0</v>
      </c>
      <c r="AG408" s="420">
        <f t="shared" si="531"/>
        <v>0</v>
      </c>
      <c r="AH408" s="420">
        <f t="shared" si="532"/>
        <v>0</v>
      </c>
      <c r="AI408" s="1097">
        <f t="shared" si="533"/>
        <v>0</v>
      </c>
      <c r="AJ408" s="420">
        <f t="shared" si="534"/>
        <v>0</v>
      </c>
      <c r="AK408" s="518">
        <f t="shared" si="535"/>
        <v>0</v>
      </c>
      <c r="AL408" s="1106">
        <f>IF($P408="","N/A",(IF($P408=-1,INDEX('卡片raw data'!S:S,MATCH($D408,'卡片raw data'!$F:$F,)),0)+IF($P408=0,INDEX('卡片raw data'!V:V,MATCH($D408,'卡片raw data'!$F:$F,)),0)+IF($P408=1,INDEX('卡片raw data'!Y:Y,MATCH($D408,'卡片raw data'!$F:$F,)),0)+IF($P408=2,INDEX('卡片raw data'!AB:AB,MATCH($D408,'卡片raw data'!$F:$F,)),0)+IF($P408=3,INDEX('卡片raw data'!AE:AE,MATCH($D408,'卡片raw data'!$F:$F,)),0)+IF($P408=4,INDEX('卡片raw data'!AH:AH,MATCH($D408,'卡片raw data'!$F:$F,)),0)+IF($P408=5,INDEX('卡片raw data'!AK:AK,MATCH($D408,'卡片raw data'!$F:$F,)),0)+INDEX('卡片raw data'!S:S,MATCH($D408,'卡片raw data'!$F:$F,))*(IF($F408="UR",0.04,0.033))*(IF($F408="UR",INDEX(绊状态确认!$S:$S,MATCH($G408,绊状态确认!$B:$B,))/2-40)+IF($F408="SR",INDEX(绊状态确认!$R:$R,MATCH($G408,绊状态确认!$B:$B,))/4-15))+IF($F408="R",INDEX(绊状态确认!$Q:$Q,MATCH($G408,绊状态确认!$B:$B,))/6-40/6)))*(INDEX(绊状态确认!$H:$H,MATCH($G408,绊状态确认!$B:$B,))+INDEX(绊状态确认!J:J,MATCH($G408,绊状态确认!$B:$B,)))</f>
        <v>14394.324239999998</v>
      </c>
      <c r="AM408" s="1106">
        <f>IF($P408="","N/A",(IF($P408=-1,INDEX('卡片raw data'!T:T,MATCH($D408,'卡片raw data'!$F:$F,)),0)+IF($P408=0,INDEX('卡片raw data'!W:W,MATCH($D408,'卡片raw data'!$F:$F,)),0)+IF($P408=1,INDEX('卡片raw data'!Z:Z,MATCH($D408,'卡片raw data'!$F:$F,)),0)+IF($P408=2,INDEX('卡片raw data'!AC:AC,MATCH($D408,'卡片raw data'!$F:$F,)),0)+IF($P408=3,INDEX('卡片raw data'!AF:AF,MATCH($D408,'卡片raw data'!$F:$F,)),0)+IF($P408=4,INDEX('卡片raw data'!AI:AI,MATCH($D408,'卡片raw data'!$F:$F,)),0)+IF($P408=5,INDEX('卡片raw data'!AL:AL,MATCH($D408,'卡片raw data'!$F:$F,)),0)+INDEX('卡片raw data'!T:T,MATCH($D408,'卡片raw data'!$F:$F,))*(IF($F408="UR",0.04,0.033))*(IF($F408="UR",INDEX(绊状态确认!$S:$S,MATCH($G408,绊状态确认!$B:$B,))/2-40)+IF($F408="SR",INDEX(绊状态确认!$R:$R,MATCH($G408,绊状态确认!$B:$B,))/4-15))+IF($F408="R",INDEX(绊状态确认!$Q:$Q,MATCH($G408,绊状态确认!$B:$B,))/6-40/6)))*(INDEX(绊状态确认!$H:$H,MATCH($G408,绊状态确认!$B:$B,))+INDEX(绊状态确认!K:K,MATCH($G408,绊状态确认!$B:$B,)))</f>
        <v>5482.9027199999991</v>
      </c>
      <c r="AN408" s="1106">
        <f>IF($P408="","N/A",(IF($P408=-1,INDEX('卡片raw data'!U:U,MATCH($D408,'卡片raw data'!$F:$F,)),0)+IF($P408=0,INDEX('卡片raw data'!X:X,MATCH($D408,'卡片raw data'!$F:$F,)),0)+IF($P408=1,INDEX('卡片raw data'!AA:AA,MATCH($D408,'卡片raw data'!$F:$F,)),0)+IF($P408=2,INDEX('卡片raw data'!AD:AD,MATCH($D408,'卡片raw data'!$F:$F,)),0)+IF($P408=3,INDEX('卡片raw data'!AG:AG,MATCH($D408,'卡片raw data'!$F:$F,)),0)+IF($P408=4,INDEX('卡片raw data'!AJ:AJ,MATCH($D408,'卡片raw data'!$F:$F,)),0)+IF($P408=5,INDEX('卡片raw data'!AM:AM,MATCH($D408,'卡片raw data'!$F:$F,)),0)+INDEX('卡片raw data'!U:U,MATCH($D408,'卡片raw data'!$F:$F,))*(IF($F408="UR",0.04,0.033))*(IF($F408="UR",INDEX(绊状态确认!$S:$S,MATCH($G408,绊状态确认!$B:$B,))/2-40)+IF($F408="SR",INDEX(绊状态确认!$R:$R,MATCH($G408,绊状态确认!$B:$B,))/4-15))+IF($F408="R",INDEX(绊状态确认!$Q:$Q,MATCH($G408,绊状态确认!$B:$B,))/6-40/6)))*(INDEX(绊状态确认!$H:$H,MATCH($G408,绊状态确认!$B:$B,))+INDEX(绊状态确认!L:L,MATCH($G408,绊状态确认!$B:$B,)))</f>
        <v>14394.324239999998</v>
      </c>
      <c r="AO408" s="1107">
        <f t="shared" si="536"/>
        <v>1</v>
      </c>
      <c r="AP408" s="1131">
        <f>1+(INDEX(绊状态确认!$T:$T,MATCH($G408,绊状态确认!$B:$B,))+0.2)*$AO408</f>
        <v>1.3</v>
      </c>
      <c r="AQ408" s="1108">
        <f t="shared" si="537"/>
        <v>41035.101130000003</v>
      </c>
      <c r="AR408" s="1097">
        <f>(AM408*(1+$EX$9)+$EX$35)*(1+(INDEX(绊状态确认!$T:$T,MATCH($G408,绊状态确认!$B:$B,))+0.2)*AO408)*IF(J408=$FF$17,1+$FE$17,1)*IF(I408=$FF$14,1+$FE$14,1)</f>
        <v>10188.1622128</v>
      </c>
      <c r="AS408" s="1097">
        <f>(AN408*(1+$EX$10)+$EX$36)*(1+(INDEX(绊状态确认!$T:$T,MATCH($G408,绊状态确认!$B:$B,))+0.2)*AO408)*IF(J408=$FF$17,1+$FE$17,1)*IF(I408=$FF$14,1+$FE$14,1)</f>
        <v>25575.514738799997</v>
      </c>
      <c r="AT408" s="1093">
        <f>IF(AND(INDEX('卡片raw data'!AK:AK,MATCH($D408,'卡片raw data'!$F:$F,))&lt;INDEX('卡片raw data'!AM:AM,MATCH($D408,'卡片raw data'!$F:$F,)),INDEX('卡片raw data'!AL:AL,MATCH($D408,'卡片raw data'!$F:$F,))&lt;INDEX('卡片raw data'!AM:AM,MATCH($D408,'卡片raw data'!$F:$F,))),1,0)</f>
        <v>0</v>
      </c>
      <c r="AU408" s="1098">
        <f>MIN(AT408*0.15+AS408*0.00003+INDEX(绊状态确认!M:M,MATCH($G408,绊状态确认!$B:$B,)),1)</f>
        <v>0.79726544216399997</v>
      </c>
      <c r="AV408" s="1109">
        <f>(INDEX(绊状态确认!$N:$N,MATCH($G408,绊状态确认!$B:$B,))+1.5)*$EW$21</f>
        <v>2.6599999999999997</v>
      </c>
      <c r="AW408" s="1101">
        <f t="shared" si="538"/>
        <v>49516.300584604294</v>
      </c>
      <c r="AX408" s="1097">
        <f t="shared" si="539"/>
        <v>868.89022441891836</v>
      </c>
      <c r="AY408" s="1110">
        <f t="shared" si="540"/>
        <v>50385.19080902321</v>
      </c>
      <c r="AZ408" s="429">
        <f t="shared" si="541"/>
        <v>30668.932267999997</v>
      </c>
      <c r="BA408" s="431">
        <f t="shared" si="542"/>
        <v>36802.718721599995</v>
      </c>
      <c r="BB408" s="1097">
        <f>(AM408*(1+$FB$9)+$FB$35)*(1+(INDEX(绊状态确认!$T:$T,MATCH($G408,绊状态确认!$B:$B,))+0.2)*AO408)*IF(J408=$FF$17,1+$FE$17,1)*IF(I408=$FF$14,1+$FE$14,1)*(1+$FE$15)</f>
        <v>10188.1622128</v>
      </c>
      <c r="BC408" s="1097">
        <f>(AN408*(1+$FB$10)+$FB$36)*(1+(INDEX(绊状态确认!$T:$T,MATCH($G408,绊状态确认!$B:$B,))+0.2)*AO408)*IF(J408=$FF$17,1+$FE$17,1)*IF(I408=$FF$14,1+$FE$14,1)*(1+$FE$15)</f>
        <v>25575.514738799997</v>
      </c>
      <c r="BD408" s="1104">
        <f>MIN(AT408*0.15+BC408*0.00003+INDEX(绊状态确认!M:M,MATCH($G408,绊状态确认!$B:$B,)),1)</f>
        <v>0.79726544216399997</v>
      </c>
      <c r="BE408" s="432">
        <f>(INDEX(绊状态确认!$N:$N,MATCH($G408,绊状态确认!$B:$B,))+1.5)</f>
        <v>1.9</v>
      </c>
      <c r="BF408" s="1139">
        <f t="array" ref="BF408">SUMPRODUCT(IF(AZ408*AP408*$FI$16:$FI$23*$FA$22&gt;=$FI$24,$FI$24,AZ408*AP408*$FI$16:$FI$23*$FA$22),$FJ$16:$FJ$23)</f>
        <v>57091.777917171996</v>
      </c>
      <c r="BG408" s="1125">
        <f t="array" ref="BG408">SUMPRODUCT(IF(BE408*AZ408*AP408*$FI$16:$FI$23*$FA$22&gt;=$FI$24,$FI$24,BE408*AZ408*AP408*$FI$16:$FI$23*$FA$22),$FJ$16:$FJ$23)</f>
        <v>60000</v>
      </c>
      <c r="BH408" s="1110">
        <f t="shared" si="543"/>
        <v>19803.467627316324</v>
      </c>
      <c r="BI408" s="1111">
        <f>IF(O408="vo",$EW$26/$EW$24*0.05,0)+IF(O408="sk",-$EW$26/$EW$24*(0.05-INDEX(绊状态确认!W:W,MATCH($G408,绊状态确认!$B:$B,)))+0.05*$EW$28,0)+IF(O408="sp",0.05*$EW$32*$EW$30*(1-$EW$33)-(0.05-INDEX(绊状态确认!V:V,MATCH($G408,绊状态确认!$B:$B,)))*$EW$28,0)+IF(O408="gd",-(0.05-INDEX(绊状态确认!X:X,MATCH($G408,绊状态确认!$B:$B,)))*$EW$32*$EW$30*(1-$EW$33),0)</f>
        <v>19.999999999999886</v>
      </c>
      <c r="BJ408" s="420">
        <f>IF(O408="vo",0.05*(1-$FI$26)*$FA$24,0)+IF(O408="sk",-(0.05-INDEX(绊状态确认!W:W,MATCH($G408,绊状态确认!$B:$B,)))*(1-$FI$26)*$FA$24+0.05*$FA$26,0)+IF(O408="sp",0.05*$FA$32*$FA$27*(1-$FA$33)/$FA$30+0.05*$FA$29/$FA$69*$FA$27*(1-$FA$33)-(0.05-INDEX(绊状态确认!V:V,MATCH($G408,绊状态确认!$B:$B,)))*$FA$26,0)+IF(O408="gd",-(0.05-INDEX(绊状态确认!X:X,MATCH($G408,绊状态确认!$B:$B,)))*$FA$32*$FA$27*(1-$FA$33)/$FA$30-(0.05-INDEX(绊状态确认!X:X,MATCH($G408,绊状态确认!$B:$B,)))*$FA$29/$FA$69*$FA$27*(1-$FA$33),0)</f>
        <v>545.83333333333326</v>
      </c>
      <c r="BK408" s="1110">
        <f>IF(O408="vo",$EW$26/$EW$24*0.05+$EW$26*(-HP($EW$62,$EW$65,$EW$64)+HP($EW$62,$EW$65,(1.05-INDEX(绊状态确认!U:U,MATCH($G408,绊状态确认!$B:$B,)))*$EW$64)),0)+IF(O408="sk",-$EW$26/$EW$24*(0.05-INDEX(绊状态确认!W:W,MATCH($G408,绊状态确认!$B:$B,)))+0.05*$EW$29,0)+IF(O408="sp",0.05*$EW$32*$EW$30*(1-$EW$33)-(0.05-INDEX(绊状态确认!V:V,MATCH($G408,绊状态确认!$B:$B,)))*$EW$29,0)+IF(O408="gd",-(0.05-INDEX(绊状态确认!X:X,MATCH($G408,绊状态确认!$B:$B,)))*$EW$32*$EW$30*(1-$EW$33)+$EW$26*(-HP($EW$62,$EW$65,$EW$64)+HP($EW$62,$EW$65,0.95*$EW$64)),0)</f>
        <v>-1780.0000000000005</v>
      </c>
      <c r="BL408" s="1111">
        <f t="shared" si="544"/>
        <v>0</v>
      </c>
      <c r="BM408" s="1110">
        <f t="shared" si="545"/>
        <v>0</v>
      </c>
      <c r="BN408" s="1113">
        <f t="shared" si="546"/>
        <v>3</v>
      </c>
      <c r="BO408" s="1108">
        <f t="shared" si="547"/>
        <v>4507.7214871259994</v>
      </c>
      <c r="BP408" s="1100">
        <f t="shared" si="548"/>
        <v>221.34103209030098</v>
      </c>
      <c r="BQ408" s="1113" t="s">
        <v>132</v>
      </c>
      <c r="BR408" s="1124" t="s">
        <v>168</v>
      </c>
      <c r="BS408" s="421">
        <f>IF($P408="","N/A",IF($P408=-1,INDEX('卡片raw data'!AX:AX,MATCH($D408,'卡片raw data'!$F:$F,)),0)+IF($L408="party卡",IF($P408=5,INDEX('卡片raw data'!BD:BD,MATCH($D408,'卡片raw data'!$F:$F,)),IF($P408&gt;=3,INDEX('卡片raw data'!BC:BC,MATCH($D408,'卡片raw data'!$F:$F,)),INDEX('卡片raw data'!BB:BB,MATCH($D408,'卡片raw data'!$F:$F,)))),IF(OR(AND($F408="UR",$P408=0),AND($F408="SR",$P408&gt;=0,$P408&lt;=2),AND($F408="R",$P408&gt;=0,$P408&lt;4)),INDEX('卡片raw data'!AZ:AZ,MATCH($D408,'卡片raw data'!$F:$F,)),0)+IF(OR(AND($F408="UR",$P408&gt;=1,$P408&lt;=4),AND($F408="SR",$P408&lt;=4,$P408&gt;=3),AND($F408="R",$P408=4)),INDEX('卡片raw data'!BA:BA,MATCH($D408,'卡片raw data'!$F:$F,)),0)+IF($P408=5,INDEX('卡片raw data'!BB:BB,MATCH($D408,'卡片raw data'!$F:$F,)),0)))</f>
        <v>7.0000000000000007E-2</v>
      </c>
      <c r="BT408" s="424">
        <f t="shared" si="549"/>
        <v>5259.008401647</v>
      </c>
      <c r="BU408" s="420">
        <f t="shared" si="550"/>
        <v>258.2312041053512</v>
      </c>
      <c r="BV408" s="420">
        <f t="shared" si="551"/>
        <v>0</v>
      </c>
      <c r="BW408" s="436">
        <f t="shared" si="552"/>
        <v>0</v>
      </c>
      <c r="BX408" s="423">
        <f t="shared" si="553"/>
        <v>5259.008401647</v>
      </c>
      <c r="BY408" s="433">
        <f t="shared" si="554"/>
        <v>0</v>
      </c>
      <c r="BZ408" s="1113" t="s">
        <v>569</v>
      </c>
      <c r="CA408" s="450"/>
      <c r="CB408" s="421">
        <f>IF($P408="","N/A",IF($P408=-1,INDEX('卡片raw data'!BE:BE,MATCH($D408,'卡片raw data'!$F:$F,)),0)+IF($L408="party卡",IF($P408=5,INDEX('卡片raw data'!BK:BK,MATCH($D408,'卡片raw data'!$F:$F,)),IF($P408&gt;=3,INDEX('卡片raw data'!BJ:BJ,MATCH($D408,'卡片raw data'!$F:$F,)),INDEX('卡片raw data'!BI:BI,MATCH($D408,'卡片raw data'!$F:$F,)))),IF(OR(AND($F408="UR",$P408=0),AND($F408="SR",$P408&gt;=0,$P408&lt;=2),AND($F408="R",$P408&gt;=0,$P408&lt;4)),INDEX('卡片raw data'!BG:BG,MATCH($D408,'卡片raw data'!$F:$F,)),0)+IF(OR(AND($F408="UR",$P408&gt;=1,$P408&lt;=4),AND($F408="SR",$P408&lt;=4,$P408&gt;=3),AND($F408="R",$P408=4)),INDEX('卡片raw data'!BH:BH,MATCH($D408,'卡片raw data'!$F:$F,)),0)+IF($P408=5,INDEX('卡片raw data'!BI:BI,MATCH($D408,'卡片raw data'!$F:$F,)),0)))</f>
        <v>0</v>
      </c>
      <c r="CC408" s="424">
        <f t="shared" si="555"/>
        <v>0</v>
      </c>
      <c r="CD408" s="420">
        <f>IF(BZ408="ap",CB408*(1-$FI$26)*$FB$5/$FB$11*(+IF(CA408="全员",$FA$24,0)+IF(CA408="同作战",$FA$24,0)+IF(CA408="仲间",$FA$24*2/3,0)+IF(CA408="同属性",$FA$24*$FA$37/3,0)+IF(CA408="同年级",$FA$24*$FA$40/3,0)+IF(CA408="同学校",$FA$24*$FA$43/3,0)+IF(CA408="同小队",$FA$24*$FA$46/3,0)+IF(CA408="同type",$FA$24*INDEX($FB$49:$FB$52,MATCH(X408,$FA$49:$FA$52,))/3,0)+IF(CA408="自身",#REF!/3,0)),0)+IF(BZ408="te",CB408*(1-$FI$27)*($FA$20-1)*$FB$7/$FB$13*(+IF(CA408="全员",$FA$19*$FA$24/(1+($FA$20-1)*$FA$19),0)+IF(CA408="同作战",$FA$19*$FA$24/(1+($FA$20-1)*$FA$19),0)+IF(CA408="仲间",$FA$19*$FA$24*2/3/(1+($FA$20-1)*$FA$19),0)+IF(CA408="同属性",$FA$19*$FA$24*$FA$37/3/(1+($FA$20-1)*$FA$19),0)+IF(CA408="同年级",$FA$19*$FA$24*$FA$40/3/(1+($FA$20-1)*$FA$19),0)+IF(CA408="同学校",$FA$19*$FA$24*$FA$43/3/(1+($FA$20-1)*$FA$19),0)+IF(CA408="同小队",$FA$19*$FA$24*$FA$46/3/(1+($FA$20-1)*$FA$19),0)+IF(CA408="同type",$FA$19*$FA$24*INDEX($FB$49:$FB$52,MATCH(X408,$FA$49:$FA$52,))/3/(1+($FA$20-1)*$FA$19),0)+IF(CA408="自身",$FA$19*#REF!/3/(1+(BH408-1)*$BD408),0)),0)</f>
        <v>0</v>
      </c>
      <c r="CE408" s="420">
        <f t="shared" si="556"/>
        <v>0</v>
      </c>
      <c r="CF408" s="436">
        <f t="shared" si="557"/>
        <v>0</v>
      </c>
      <c r="CG408" s="423">
        <f t="shared" si="558"/>
        <v>0</v>
      </c>
      <c r="CH408" s="433">
        <f t="shared" si="559"/>
        <v>0</v>
      </c>
      <c r="CI408" s="437" t="s">
        <v>162</v>
      </c>
      <c r="CJ408" s="438">
        <v>1</v>
      </c>
      <c r="CK408" s="439" t="s">
        <v>2143</v>
      </c>
      <c r="CL408" s="439" t="s">
        <v>2144</v>
      </c>
      <c r="CM408" s="1119">
        <v>0.12</v>
      </c>
      <c r="CN408" s="1115">
        <v>5</v>
      </c>
      <c r="CO408" s="1115"/>
      <c r="CP408" s="1118">
        <f t="shared" si="560"/>
        <v>1.2857142857142855E-2</v>
      </c>
      <c r="CQ408" s="1118">
        <f t="shared" si="561"/>
        <v>1.9999999999999997E-2</v>
      </c>
      <c r="CR408" s="1118">
        <f t="shared" si="562"/>
        <v>0</v>
      </c>
      <c r="CS408" s="1118">
        <f t="shared" si="563"/>
        <v>0</v>
      </c>
      <c r="CT408" s="1109">
        <f t="shared" si="564"/>
        <v>2.1484375</v>
      </c>
      <c r="CU408" s="1101">
        <f t="shared" si="565"/>
        <v>167.14285714285711</v>
      </c>
      <c r="CV408" s="1108">
        <f t="shared" si="566"/>
        <v>199.33333333333326</v>
      </c>
      <c r="CW408" s="1097">
        <f t="shared" si="567"/>
        <v>0</v>
      </c>
      <c r="CX408" s="1097">
        <f t="shared" si="568"/>
        <v>167.14285714285711</v>
      </c>
      <c r="CY408" s="1110">
        <f t="shared" si="569"/>
        <v>0</v>
      </c>
      <c r="CZ408" s="437"/>
      <c r="DA408" s="438"/>
      <c r="DB408" s="439" t="s">
        <v>569</v>
      </c>
      <c r="DC408" s="439"/>
      <c r="DD408" s="443"/>
      <c r="DE408" s="411"/>
      <c r="DF408" s="411"/>
      <c r="DG408" s="1116">
        <f t="shared" si="570"/>
        <v>0</v>
      </c>
      <c r="DH408" s="1116">
        <f t="shared" si="571"/>
        <v>0</v>
      </c>
      <c r="DI408" s="1116">
        <f t="shared" si="572"/>
        <v>0</v>
      </c>
      <c r="DJ408" s="442">
        <f t="shared" si="573"/>
        <v>0</v>
      </c>
      <c r="DK408" s="432">
        <f t="shared" si="574"/>
        <v>0</v>
      </c>
      <c r="DL408" s="424">
        <f t="shared" si="575"/>
        <v>0</v>
      </c>
      <c r="DM408" s="420">
        <f t="shared" si="576"/>
        <v>0</v>
      </c>
      <c r="DN408" s="420">
        <f t="shared" si="577"/>
        <v>0</v>
      </c>
      <c r="DO408" s="420">
        <f t="shared" si="578"/>
        <v>0</v>
      </c>
      <c r="DP408" s="433">
        <f t="shared" si="579"/>
        <v>0</v>
      </c>
      <c r="DQ408" s="1113" t="s">
        <v>2143</v>
      </c>
      <c r="DR408" s="444">
        <f t="shared" si="580"/>
        <v>0.33</v>
      </c>
      <c r="DS408" s="1124">
        <v>10</v>
      </c>
      <c r="DT408" s="1124" t="s">
        <v>2144</v>
      </c>
      <c r="DU408" s="1124" t="s">
        <v>2145</v>
      </c>
      <c r="DV408" s="1098">
        <f>IF($P408="","N/A",IF(P408=-1,INDEX('卡片raw data'!AN:AN,MATCH(D408,'卡片raw data'!$F:$F,)),0)+IF(AND(L408&lt;&gt;"party卡",P408&lt;=2,P408&gt;=0),INDEX('卡片raw data'!AP:AP,MATCH(D408,'卡片raw data'!$F:$F,)),0)+IF(OR(AND(L408="party卡",P408&lt;=1),AND(P408&lt;=4,L408&lt;&gt;"party卡",P408&gt;=3)),INDEX('卡片raw data'!AQ:AQ,MATCH(D408,'卡片raw data'!$F:$F,)),0)+IF(OR(P408=5,AND(L408="party卡",P408&gt;=2)),INDEX('卡片raw data'!AR:AR,MATCH(D408,'卡片raw data'!$F:$F,)),0))</f>
        <v>6.6000000000000003E-2</v>
      </c>
      <c r="DW408" s="1098">
        <f t="shared" si="581"/>
        <v>0.33</v>
      </c>
      <c r="DX408" s="1098">
        <f t="shared" si="582"/>
        <v>0.33</v>
      </c>
      <c r="DY408" s="1098">
        <f t="shared" si="583"/>
        <v>7.2599999999999998E-2</v>
      </c>
      <c r="DZ408" s="1098">
        <f t="shared" si="584"/>
        <v>6.2798999999999994E-2</v>
      </c>
      <c r="EA408" s="421">
        <f t="shared" si="585"/>
        <v>0</v>
      </c>
      <c r="EB408" s="445">
        <f t="shared" si="586"/>
        <v>0</v>
      </c>
      <c r="EC408" s="424">
        <f t="shared" si="587"/>
        <v>943.8</v>
      </c>
      <c r="ED408" s="420">
        <f t="shared" si="588"/>
        <v>625.8966999999999</v>
      </c>
      <c r="EE408" s="433">
        <f t="shared" si="513"/>
        <v>943.8</v>
      </c>
      <c r="EF408" s="1115" t="s">
        <v>569</v>
      </c>
      <c r="EG408" s="444">
        <f t="shared" si="589"/>
        <v>0.33</v>
      </c>
      <c r="EH408" s="450"/>
      <c r="EI408" s="1093"/>
      <c r="EJ408" s="1093"/>
      <c r="EK408" s="1097">
        <f>IF($P408="","N/A",IF(P408=-1,INDEX('卡片raw data'!AS:AS,MATCH(D408,'卡片raw data'!$F:$F,)),0)+IF(AND(L408&lt;&gt;"party卡",P408&lt;=2,P408&gt;=0),INDEX('卡片raw data'!AU:AU,MATCH(D408,'卡片raw data'!$F:$F,)),0)+IF(OR(AND(L408="party卡",P408&lt;=1),AND(P408&lt;=4,L408&lt;&gt;"party卡",P408&gt;=3)),INDEX('卡片raw data'!AV:AV,MATCH(D408,'卡片raw data'!$F:$F,)),0)+IF(OR(P408=5,AND(L408="party卡",P408&gt;=2)),INDEX('卡片raw data'!AW:AW,MATCH(D408,'卡片raw data'!$F:$F,)),0))</f>
        <v>0</v>
      </c>
      <c r="EL408" s="1098">
        <f t="shared" si="590"/>
        <v>0.33</v>
      </c>
      <c r="EM408" s="1098">
        <f t="shared" si="591"/>
        <v>0.33</v>
      </c>
      <c r="EN408" s="1097">
        <f t="shared" si="592"/>
        <v>0</v>
      </c>
      <c r="EO408" s="1097">
        <f t="shared" si="593"/>
        <v>0</v>
      </c>
      <c r="EP408" s="421">
        <f t="shared" si="594"/>
        <v>0</v>
      </c>
      <c r="EQ408" s="445">
        <f t="shared" si="595"/>
        <v>0</v>
      </c>
      <c r="ER408" s="424">
        <f t="shared" si="596"/>
        <v>0</v>
      </c>
      <c r="ES408" s="420">
        <f t="shared" si="597"/>
        <v>0</v>
      </c>
      <c r="ET408" s="446">
        <f t="shared" si="514"/>
        <v>0</v>
      </c>
    </row>
    <row r="409" spans="2:150" ht="16.5" customHeight="1">
      <c r="B409" s="448" t="str">
        <f>INDEX('卡片raw data'!B:B,MATCH($D409,'卡片raw data'!$F:$F,))</f>
        <v>mw梨</v>
      </c>
      <c r="C409" s="449" t="s">
        <v>2148</v>
      </c>
      <c r="D409" s="408">
        <v>406</v>
      </c>
      <c r="E409" s="477">
        <v>401022003</v>
      </c>
      <c r="F409" s="409" t="str">
        <f>INDEX('卡片raw data'!C:C,MATCH($D409,'卡片raw data'!$F:$F,))</f>
        <v>SR</v>
      </c>
      <c r="G409" s="1094" t="s">
        <v>2135</v>
      </c>
      <c r="H409" s="411">
        <f>IFERROR(INDEX(绊状态确认!C:C,MATCH($G409,绊状态确认!$B:$B,)),"")</f>
        <v>102</v>
      </c>
      <c r="I409" s="450" t="str">
        <f>IFERROR(INDEX(绊状态确认!D:D,MATCH($G409,绊状态确认!$B:$B,)),"")</f>
        <v>水</v>
      </c>
      <c r="J409" s="450" t="str">
        <f>IFERROR(INDEX(绊状态确认!E:E,MATCH($G409,绊状态确认!$B:$B,)),"")</f>
        <v>2年级</v>
      </c>
      <c r="K409" s="451" t="str">
        <f>IFERROR(INDEX(绊状态确认!F:F,MATCH($G409,绊状态确认!$B:$B,)),"")</f>
        <v>Guilty Kiss</v>
      </c>
      <c r="L409" s="414" t="str">
        <f>INDEX('卡片raw data'!E:E,MATCH($D409,'卡片raw data'!$F:$F,))</f>
        <v>卡池卡</v>
      </c>
      <c r="M409" s="478">
        <v>44244</v>
      </c>
      <c r="N409" s="479">
        <v>34</v>
      </c>
      <c r="O409" s="410" t="str">
        <f>INDEX('卡片raw data'!D:D,MATCH($D409,'卡片raw data'!$F:$F,))</f>
        <v>gd</v>
      </c>
      <c r="P409" s="1126">
        <v>5</v>
      </c>
      <c r="Q409" s="418">
        <f t="shared" si="515"/>
        <v>20228.586276773818</v>
      </c>
      <c r="R409" s="419">
        <f t="shared" si="516"/>
        <v>0.23499999999999999</v>
      </c>
      <c r="S409" s="420">
        <f t="shared" si="517"/>
        <v>11912.832442397768</v>
      </c>
      <c r="T409" s="421">
        <f t="shared" si="518"/>
        <v>0.59499999999999997</v>
      </c>
      <c r="U409" s="422">
        <f t="shared" si="519"/>
        <v>448.37263097938279</v>
      </c>
      <c r="V409" s="423">
        <f t="shared" si="520"/>
        <v>71646.593684269566</v>
      </c>
      <c r="W409" s="424">
        <f t="shared" si="521"/>
        <v>4507.7214871259994</v>
      </c>
      <c r="X409" s="419">
        <f t="shared" si="522"/>
        <v>5.1999999999999998E-2</v>
      </c>
      <c r="Y409" s="420">
        <f t="shared" si="523"/>
        <v>1988.4502887596745</v>
      </c>
      <c r="Z409" s="425">
        <f t="shared" si="524"/>
        <v>24.900610713998745</v>
      </c>
      <c r="AA409" s="426">
        <f t="shared" si="525"/>
        <v>6496.1717758856739</v>
      </c>
      <c r="AB409" s="424">
        <f t="shared" si="526"/>
        <v>4507.7214871259994</v>
      </c>
      <c r="AC409" s="427">
        <f t="shared" si="527"/>
        <v>5.1999999999999998E-2</v>
      </c>
      <c r="AD409" s="428">
        <f t="shared" si="528"/>
        <v>-3.8207812500000026E-3</v>
      </c>
      <c r="AE409" s="516">
        <f t="shared" si="529"/>
        <v>-18.525362318840578</v>
      </c>
      <c r="AF409" s="1130">
        <f t="shared" si="530"/>
        <v>6316.5194323549767</v>
      </c>
      <c r="AG409" s="420">
        <f t="shared" si="531"/>
        <v>98150.667919125961</v>
      </c>
      <c r="AH409" s="420">
        <f t="shared" si="532"/>
        <v>15.538726504405389</v>
      </c>
      <c r="AI409" s="1097">
        <f t="shared" si="533"/>
        <v>96293.838479724393</v>
      </c>
      <c r="AJ409" s="420">
        <f t="shared" si="534"/>
        <v>71646.593684269566</v>
      </c>
      <c r="AK409" s="518">
        <f t="shared" si="535"/>
        <v>24647.244795454826</v>
      </c>
      <c r="AL409" s="1106">
        <f>IF($P409="","N/A",(IF($P409=-1,INDEX('卡片raw data'!S:S,MATCH($D409,'卡片raw data'!$F:$F,)),0)+IF($P409=0,INDEX('卡片raw data'!V:V,MATCH($D409,'卡片raw data'!$F:$F,)),0)+IF($P409=1,INDEX('卡片raw data'!Y:Y,MATCH($D409,'卡片raw data'!$F:$F,)),0)+IF($P409=2,INDEX('卡片raw data'!AB:AB,MATCH($D409,'卡片raw data'!$F:$F,)),0)+IF($P409=3,INDEX('卡片raw data'!AE:AE,MATCH($D409,'卡片raw data'!$F:$F,)),0)+IF($P409=4,INDEX('卡片raw data'!AH:AH,MATCH($D409,'卡片raw data'!$F:$F,)),0)+IF($P409=5,INDEX('卡片raw data'!AK:AK,MATCH($D409,'卡片raw data'!$F:$F,)),0)+INDEX('卡片raw data'!S:S,MATCH($D409,'卡片raw data'!$F:$F,))*(IF($F409="UR",0.04,0.033))*(IF($F409="UR",INDEX(绊状态确认!$S:$S,MATCH($G409,绊状态确认!$B:$B,))/2-40)+IF($F409="SR",INDEX(绊状态确认!$R:$R,MATCH($G409,绊状态确认!$B:$B,))/4-15))+IF($F409="R",INDEX(绊状态确认!$Q:$Q,MATCH($G409,绊状态确认!$B:$B,))/6-40/6)))*(INDEX(绊状态确认!$H:$H,MATCH($G409,绊状态确认!$B:$B,))+INDEX(绊状态确认!J:J,MATCH($G409,绊状态确认!$B:$B,)))</f>
        <v>6308.9882447999989</v>
      </c>
      <c r="AM409" s="1106">
        <f>IF($P409="","N/A",(IF($P409=-1,INDEX('卡片raw data'!T:T,MATCH($D409,'卡片raw data'!$F:$F,)),0)+IF($P409=0,INDEX('卡片raw data'!W:W,MATCH($D409,'卡片raw data'!$F:$F,)),0)+IF($P409=1,INDEX('卡片raw data'!Z:Z,MATCH($D409,'卡片raw data'!$F:$F,)),0)+IF($P409=2,INDEX('卡片raw data'!AC:AC,MATCH($D409,'卡片raw data'!$F:$F,)),0)+IF($P409=3,INDEX('卡片raw data'!AF:AF,MATCH($D409,'卡片raw data'!$F:$F,)),0)+IF($P409=4,INDEX('卡片raw data'!AI:AI,MATCH($D409,'卡片raw data'!$F:$F,)),0)+IF($P409=5,INDEX('卡片raw data'!AL:AL,MATCH($D409,'卡片raw data'!$F:$F,)),0)+INDEX('卡片raw data'!T:T,MATCH($D409,'卡片raw data'!$F:$F,))*(IF($F409="UR",0.04,0.033))*(IF($F409="UR",INDEX(绊状态确认!$S:$S,MATCH($G409,绊状态确认!$B:$B,))/2-40)+IF($F409="SR",INDEX(绊状态确认!$R:$R,MATCH($G409,绊状态确认!$B:$B,))/4-15))+IF($F409="R",INDEX(绊状态确认!$Q:$Q,MATCH($G409,绊状态确认!$B:$B,))/6-40/6)))*(INDEX(绊状态确认!$H:$H,MATCH($G409,绊状态确认!$B:$B,))+INDEX(绊状态确认!K:K,MATCH($G409,绊状态确认!$B:$B,)))</f>
        <v>8830.9325807999994</v>
      </c>
      <c r="AN409" s="1106">
        <f>IF($P409="","N/A",(IF($P409=-1,INDEX('卡片raw data'!U:U,MATCH($D409,'卡片raw data'!$F:$F,)),0)+IF($P409=0,INDEX('卡片raw data'!X:X,MATCH($D409,'卡片raw data'!$F:$F,)),0)+IF($P409=1,INDEX('卡片raw data'!AA:AA,MATCH($D409,'卡片raw data'!$F:$F,)),0)+IF($P409=2,INDEX('卡片raw data'!AD:AD,MATCH($D409,'卡片raw data'!$F:$F,)),0)+IF($P409=3,INDEX('卡片raw data'!AG:AG,MATCH($D409,'卡片raw data'!$F:$F,)),0)+IF($P409=4,INDEX('卡片raw data'!AJ:AJ,MATCH($D409,'卡片raw data'!$F:$F,)),0)+IF($P409=5,INDEX('卡片raw data'!AM:AM,MATCH($D409,'卡片raw data'!$F:$F,)),0)+INDEX('卡片raw data'!U:U,MATCH($D409,'卡片raw data'!$F:$F,))*(IF($F409="UR",0.04,0.033))*(IF($F409="UR",INDEX(绊状态确认!$S:$S,MATCH($G409,绊状态确认!$B:$B,))/2-40)+IF($F409="SR",INDEX(绊状态确认!$R:$R,MATCH($G409,绊状态确认!$B:$B,))/4-15))+IF($F409="R",INDEX(绊状态确认!$Q:$Q,MATCH($G409,绊状态确认!$B:$B,))/6-40/6)))*(INDEX(绊状态确认!$H:$H,MATCH($G409,绊状态确认!$B:$B,))+INDEX(绊状态确认!L:L,MATCH($G409,绊状态确认!$B:$B,)))</f>
        <v>5887.3133879999996</v>
      </c>
      <c r="AO409" s="1107">
        <f t="shared" si="536"/>
        <v>1</v>
      </c>
      <c r="AP409" s="1131">
        <f>1+(INDEX(绊状态确认!$T:$T,MATCH($G409,绊状态确认!$B:$B,))+0.2)*$AO409</f>
        <v>1.3</v>
      </c>
      <c r="AQ409" s="1108">
        <f t="shared" si="537"/>
        <v>19811.094142599999</v>
      </c>
      <c r="AR409" s="1097">
        <f>(AM409*(1+$EX$9)+$EX$35)*(1+(INDEX(绊状态确认!$T:$T,MATCH($G409,绊状态确认!$B:$B,))+0.2)*AO409)*IF(J409=$FF$17,1+$FE$17,1)*IF(I409=$FF$14,1+$FE$14,1)</f>
        <v>14758.222972792</v>
      </c>
      <c r="AS409" s="1097">
        <f>(AN409*(1+$EX$10)+$EX$36)*(1+(INDEX(绊状态确认!$T:$T,MATCH($G409,绊状态确认!$B:$B,))+0.2)*AO409)*IF(J409=$FF$17,1+$FE$17,1)*IF(I409=$FF$14,1+$FE$14,1)</f>
        <v>12857.533515059999</v>
      </c>
      <c r="AT409" s="1093">
        <f>IF(AND(INDEX('卡片raw data'!AK:AK,MATCH($D409,'卡片raw data'!$F:$F,))&lt;INDEX('卡片raw data'!AM:AM,MATCH($D409,'卡片raw data'!$F:$F,)),INDEX('卡片raw data'!AL:AL,MATCH($D409,'卡片raw data'!$F:$F,))&lt;INDEX('卡片raw data'!AM:AM,MATCH($D409,'卡片raw data'!$F:$F,))),1,0)</f>
        <v>0</v>
      </c>
      <c r="AU409" s="1098">
        <f>MIN(AT409*0.15+AS409*0.00003+INDEX(绊状态确认!M:M,MATCH($G409,绊状态确认!$B:$B,)),1)</f>
        <v>0.4157260054518</v>
      </c>
      <c r="AV409" s="1109">
        <f>(INDEX(绊状态确认!$N:$N,MATCH($G409,绊状态确认!$B:$B,))+1.5)*$EW$21</f>
        <v>2.6599999999999997</v>
      </c>
      <c r="AW409" s="1101">
        <f t="shared" si="538"/>
        <v>17389.19812298115</v>
      </c>
      <c r="AX409" s="1097">
        <f t="shared" si="539"/>
        <v>1271.3730555444477</v>
      </c>
      <c r="AY409" s="1110">
        <f t="shared" si="540"/>
        <v>18660.571178525599</v>
      </c>
      <c r="AZ409" s="429">
        <f t="shared" si="541"/>
        <v>14902.527077359997</v>
      </c>
      <c r="BA409" s="431">
        <f t="shared" si="542"/>
        <v>17883.032492831997</v>
      </c>
      <c r="BB409" s="1097">
        <f>(AM409*(1+$FB$9)+$FB$35)*(1+(INDEX(绊状态确认!$T:$T,MATCH($G409,绊状态确认!$B:$B,))+0.2)*AO409)*IF(J409=$FF$17,1+$FE$17,1)*IF(I409=$FF$14,1+$FE$14,1)*(1+$FE$15)</f>
        <v>14758.222972792</v>
      </c>
      <c r="BC409" s="1097">
        <f>(AN409*(1+$FB$10)+$FB$36)*(1+(INDEX(绊状态确认!$T:$T,MATCH($G409,绊状态确认!$B:$B,))+0.2)*AO409)*IF(J409=$FF$17,1+$FE$17,1)*IF(I409=$FF$14,1+$FE$14,1)*(1+$FE$15)</f>
        <v>12857.533515059999</v>
      </c>
      <c r="BD409" s="1104">
        <f>MIN(AT409*0.15+BC409*0.00003+INDEX(绊状态确认!M:M,MATCH($G409,绊状态确认!$B:$B,)),1)</f>
        <v>0.4157260054518</v>
      </c>
      <c r="BE409" s="432">
        <f>(INDEX(绊状态确认!$N:$N,MATCH($G409,绊状态确认!$B:$B,))+1.5)</f>
        <v>1.9</v>
      </c>
      <c r="BF409" s="1139">
        <f t="array" ref="BF409">SUMPRODUCT(IF(AZ409*AP409*$FI$16:$FI$23*$FA$22&gt;=$FI$24,$FI$24,AZ409*AP409*$FI$16:$FI$23*$FA$22),$FJ$16:$FJ$23)</f>
        <v>29641.126356869041</v>
      </c>
      <c r="BG409" s="1125">
        <f t="array" ref="BG409">SUMPRODUCT(IF(BE409*AZ409*AP409*$FI$16:$FI$23*$FA$22&gt;=$FI$24,$FI$24,BE409*AZ409*AP409*$FI$16:$FI$23*$FA$22),$FJ$16:$FJ$23)</f>
        <v>54441.149462268397</v>
      </c>
      <c r="BH409" s="1110">
        <f t="shared" si="543"/>
        <v>13317.046965863023</v>
      </c>
      <c r="BI409" s="1111">
        <f>IF(O409="vo",$EW$26/$EW$24*0.05,0)+IF(O409="sk",-$EW$26/$EW$24*(0.05-INDEX(绊状态确认!W:W,MATCH($G409,绊状态确认!$B:$B,)))+0.05*$EW$28,0)+IF(O409="sp",0.05*$EW$32*$EW$30*(1-$EW$33)-(0.05-INDEX(绊状态确认!V:V,MATCH($G409,绊状态确认!$B:$B,)))*$EW$28,0)+IF(O409="gd",-(0.05-INDEX(绊状态确认!X:X,MATCH($G409,绊状态确认!$B:$B,)))*$EW$32*$EW$30*(1-$EW$33),0)</f>
        <v>-585.00000000000011</v>
      </c>
      <c r="BJ409" s="420">
        <f>IF(O409="vo",0.05*(1-$FI$26)*$FA$24,0)+IF(O409="sk",-(0.05-INDEX(绊状态确认!W:W,MATCH($G409,绊状态确认!$B:$B,)))*(1-$FI$26)*$FA$24+0.05*$FA$26,0)+IF(O409="sp",0.05*$FA$32*$FA$27*(1-$FA$33)/$FA$30+0.05*$FA$29/$FA$69*$FA$27*(1-$FA$33)-(0.05-INDEX(绊状态确认!V:V,MATCH($G409,绊状态确认!$B:$B,)))*$FA$26,0)+IF(O409="gd",-(0.05-INDEX(绊状态确认!X:X,MATCH($G409,绊状态确认!$B:$B,)))*$FA$32*$FA$27*(1-$FA$33)/$FA$30-(0.05-INDEX(绊状态确认!X:X,MATCH($G409,绊状态确认!$B:$B,)))*$FA$29/$FA$69*$FA$27*(1-$FA$33),0)</f>
        <v>-795.00000000000011</v>
      </c>
      <c r="BK409" s="1110">
        <f>IF(O409="vo",$EW$26/$EW$24*0.05+$EW$26*(-HP($EW$62,$EW$65,$EW$64)+HP($EW$62,$EW$65,(1.05-INDEX(绊状态确认!U:U,MATCH($G409,绊状态确认!$B:$B,)))*$EW$64)),0)+IF(O409="sk",-$EW$26/$EW$24*(0.05-INDEX(绊状态确认!W:W,MATCH($G409,绊状态确认!$B:$B,)))+0.05*$EW$29,0)+IF(O409="sp",0.05*$EW$32*$EW$30*(1-$EW$33)-(0.05-INDEX(绊状态确认!V:V,MATCH($G409,绊状态确认!$B:$B,)))*$EW$29,0)+IF(O409="gd",-(0.05-INDEX(绊状态确认!X:X,MATCH($G409,绊状态确认!$B:$B,)))*$EW$32*$EW$30*(1-$EW$33)+$EW$26*(-HP($EW$62,$EW$65,$EW$64)+HP($EW$62,$EW$65,0.95*$EW$64)),0)</f>
        <v>1009.5947725176144</v>
      </c>
      <c r="BL409" s="1111">
        <f t="shared" si="544"/>
        <v>-1083.3333333333333</v>
      </c>
      <c r="BM409" s="1110">
        <f t="shared" si="545"/>
        <v>-830.55555555555543</v>
      </c>
      <c r="BN409" s="1113">
        <f t="shared" si="546"/>
        <v>3</v>
      </c>
      <c r="BO409" s="1108">
        <f t="shared" si="547"/>
        <v>4507.7214871259994</v>
      </c>
      <c r="BP409" s="1100">
        <f t="shared" si="548"/>
        <v>221.34103209030098</v>
      </c>
      <c r="BQ409" s="1113" t="s">
        <v>133</v>
      </c>
      <c r="BR409" s="450" t="s">
        <v>171</v>
      </c>
      <c r="BS409" s="421">
        <f>IF($P409="","N/A",IF($P409=-1,INDEX('卡片raw data'!AX:AX,MATCH($D409,'卡片raw data'!$F:$F,)),0)+IF($L409="party卡",IF($P409=5,INDEX('卡片raw data'!BD:BD,MATCH($D409,'卡片raw data'!$F:$F,)),IF($P409&gt;=3,INDEX('卡片raw data'!BC:BC,MATCH($D409,'卡片raw data'!$F:$F,)),INDEX('卡片raw data'!BB:BB,MATCH($D409,'卡片raw data'!$F:$F,)))),IF(OR(AND($F409="UR",$P409=0),AND($F409="SR",$P409&gt;=0,$P409&lt;=2),AND($F409="R",$P409&gt;=0,$P409&lt;4)),INDEX('卡片raw data'!AZ:AZ,MATCH($D409,'卡片raw data'!$F:$F,)),0)+IF(OR(AND($F409="UR",$P409&gt;=1,$P409&lt;=4),AND($F409="SR",$P409&lt;=4,$P409&gt;=3),AND($F409="R",$P409=4)),INDEX('卡片raw data'!BA:BA,MATCH($D409,'卡片raw data'!$F:$F,)),0)+IF($P409=5,INDEX('卡片raw data'!BB:BB,MATCH($D409,'卡片raw data'!$F:$F,)),0)))</f>
        <v>3.2000000000000001E-2</v>
      </c>
      <c r="BT409" s="424">
        <f t="shared" si="549"/>
        <v>0</v>
      </c>
      <c r="BU409" s="420">
        <f t="shared" si="550"/>
        <v>0</v>
      </c>
      <c r="BV409" s="420">
        <f t="shared" si="551"/>
        <v>0</v>
      </c>
      <c r="BW409" s="436">
        <f t="shared" si="552"/>
        <v>1.498285714285714</v>
      </c>
      <c r="BX409" s="423">
        <f t="shared" si="553"/>
        <v>117.00848980993118</v>
      </c>
      <c r="BY409" s="433">
        <f t="shared" si="554"/>
        <v>117.00848980993118</v>
      </c>
      <c r="BZ409" s="1113" t="s">
        <v>569</v>
      </c>
      <c r="CA409" s="450"/>
      <c r="CB409" s="421">
        <f>IF($P409="","N/A",IF($P409=-1,INDEX('卡片raw data'!BE:BE,MATCH($D409,'卡片raw data'!$F:$F,)),0)+IF($L409="party卡",IF($P409=5,INDEX('卡片raw data'!BK:BK,MATCH($D409,'卡片raw data'!$F:$F,)),IF($P409&gt;=3,INDEX('卡片raw data'!BJ:BJ,MATCH($D409,'卡片raw data'!$F:$F,)),INDEX('卡片raw data'!BI:BI,MATCH($D409,'卡片raw data'!$F:$F,)))),IF(OR(AND($F409="UR",$P409=0),AND($F409="SR",$P409&gt;=0,$P409&lt;=2),AND($F409="R",$P409&gt;=0,$P409&lt;4)),INDEX('卡片raw data'!BG:BG,MATCH($D409,'卡片raw data'!$F:$F,)),0)+IF(OR(AND($F409="UR",$P409&gt;=1,$P409&lt;=4),AND($F409="SR",$P409&lt;=4,$P409&gt;=3),AND($F409="R",$P409=4)),INDEX('卡片raw data'!BH:BH,MATCH($D409,'卡片raw data'!$F:$F,)),0)+IF($P409=5,INDEX('卡片raw data'!BI:BI,MATCH($D409,'卡片raw data'!$F:$F,)),0)))</f>
        <v>0</v>
      </c>
      <c r="CC409" s="424">
        <f t="shared" si="555"/>
        <v>0</v>
      </c>
      <c r="CD409" s="420">
        <f>IF(BZ409="ap",CB409*(1-$FI$26)*$FB$5/$FB$11*(+IF(CA409="全员",$FA$24,0)+IF(CA409="同作战",$FA$24,0)+IF(CA409="仲间",$FA$24*2/3,0)+IF(CA409="同属性",$FA$24*$FA$37/3,0)+IF(CA409="同年级",$FA$24*$FA$40/3,0)+IF(CA409="同学校",$FA$24*$FA$43/3,0)+IF(CA409="同小队",$FA$24*$FA$46/3,0)+IF(CA409="同type",$FA$24*INDEX($FB$49:$FB$52,MATCH(X409,$FA$49:$FA$52,))/3,0)+IF(CA409="自身",#REF!/3,0)),0)+IF(BZ409="te",CB409*(1-$FI$27)*($FA$20-1)*$FB$7/$FB$13*(+IF(CA409="全员",$FA$19*$FA$24/(1+($FA$20-1)*$FA$19),0)+IF(CA409="同作战",$FA$19*$FA$24/(1+($FA$20-1)*$FA$19),0)+IF(CA409="仲间",$FA$19*$FA$24*2/3/(1+($FA$20-1)*$FA$19),0)+IF(CA409="同属性",$FA$19*$FA$24*$FA$37/3/(1+($FA$20-1)*$FA$19),0)+IF(CA409="同年级",$FA$19*$FA$24*$FA$40/3/(1+($FA$20-1)*$FA$19),0)+IF(CA409="同学校",$FA$19*$FA$24*$FA$43/3/(1+($FA$20-1)*$FA$19),0)+IF(CA409="同小队",$FA$19*$FA$24*$FA$46/3/(1+($FA$20-1)*$FA$19),0)+IF(CA409="同type",$FA$19*$FA$24*INDEX($FB$49:$FB$52,MATCH(X409,$FA$49:$FA$52,))/3/(1+($FA$20-1)*$FA$19),0)+IF(CA409="自身",$FA$19*#REF!/3/(1+(BH409-1)*$BD409),0)),0)</f>
        <v>0</v>
      </c>
      <c r="CE409" s="420">
        <f t="shared" si="556"/>
        <v>0</v>
      </c>
      <c r="CF409" s="436">
        <f t="shared" si="557"/>
        <v>0</v>
      </c>
      <c r="CG409" s="423">
        <f t="shared" si="558"/>
        <v>0</v>
      </c>
      <c r="CH409" s="433">
        <f t="shared" si="559"/>
        <v>0</v>
      </c>
      <c r="CI409" s="437" t="s">
        <v>162</v>
      </c>
      <c r="CJ409" s="438">
        <v>1</v>
      </c>
      <c r="CK409" s="439" t="s">
        <v>2080</v>
      </c>
      <c r="CL409" s="439" t="s">
        <v>1943</v>
      </c>
      <c r="CM409" s="443">
        <v>2.4E-2</v>
      </c>
      <c r="CN409" s="1115"/>
      <c r="CO409" s="1115"/>
      <c r="CP409" s="1116">
        <f t="shared" si="560"/>
        <v>7.5899432431501719</v>
      </c>
      <c r="CQ409" s="1116">
        <f t="shared" si="561"/>
        <v>11.806578378233601</v>
      </c>
      <c r="CR409" s="1117">
        <f t="shared" si="562"/>
        <v>7.5899432431501719</v>
      </c>
      <c r="CS409" s="442">
        <f t="shared" si="563"/>
        <v>0</v>
      </c>
      <c r="CT409" s="432">
        <f t="shared" si="564"/>
        <v>0</v>
      </c>
      <c r="CU409" s="1101">
        <f t="shared" si="565"/>
        <v>0</v>
      </c>
      <c r="CV409" s="1108">
        <f t="shared" si="566"/>
        <v>0</v>
      </c>
      <c r="CW409" s="1097">
        <f t="shared" si="567"/>
        <v>0</v>
      </c>
      <c r="CX409" s="1097">
        <f t="shared" si="568"/>
        <v>0</v>
      </c>
      <c r="CY409" s="1110">
        <f t="shared" si="569"/>
        <v>600.06874340529646</v>
      </c>
      <c r="CZ409" s="437"/>
      <c r="DA409" s="438"/>
      <c r="DB409" s="439" t="s">
        <v>569</v>
      </c>
      <c r="DC409" s="439"/>
      <c r="DD409" s="443"/>
      <c r="DE409" s="411"/>
      <c r="DF409" s="411"/>
      <c r="DG409" s="1116">
        <f t="shared" si="570"/>
        <v>0</v>
      </c>
      <c r="DH409" s="1116">
        <f t="shared" si="571"/>
        <v>0</v>
      </c>
      <c r="DI409" s="1116">
        <f t="shared" si="572"/>
        <v>0</v>
      </c>
      <c r="DJ409" s="442">
        <f t="shared" si="573"/>
        <v>0</v>
      </c>
      <c r="DK409" s="432">
        <f t="shared" si="574"/>
        <v>0</v>
      </c>
      <c r="DL409" s="424">
        <f t="shared" si="575"/>
        <v>0</v>
      </c>
      <c r="DM409" s="420">
        <f t="shared" si="576"/>
        <v>0</v>
      </c>
      <c r="DN409" s="420">
        <f t="shared" si="577"/>
        <v>0</v>
      </c>
      <c r="DO409" s="420">
        <f t="shared" si="578"/>
        <v>0</v>
      </c>
      <c r="DP409" s="433">
        <f t="shared" si="579"/>
        <v>0</v>
      </c>
      <c r="DQ409" s="1113" t="s">
        <v>2149</v>
      </c>
      <c r="DR409" s="1120">
        <f t="shared" si="580"/>
        <v>0.3</v>
      </c>
      <c r="DS409" s="1124"/>
      <c r="DT409" s="1093" t="s">
        <v>133</v>
      </c>
      <c r="DU409" s="1124"/>
      <c r="DV409" s="1098">
        <f>IF($P409="","N/A",IF(P409=-1,INDEX('卡片raw data'!AN:AN,MATCH(D409,'卡片raw data'!$F:$F,)),0)+IF(AND(L409&lt;&gt;"party卡",P409&lt;=2,P409&gt;=0),INDEX('卡片raw data'!AP:AP,MATCH(D409,'卡片raw data'!$F:$F,)),0)+IF(OR(AND(L409="party卡",P409&lt;=1),AND(P409&lt;=4,L409&lt;&gt;"party卡",P409&gt;=3)),INDEX('卡片raw data'!AQ:AQ,MATCH(D409,'卡片raw data'!$F:$F,)),0)+IF(OR(P409=5,AND(L409="party卡",P409&gt;=2)),INDEX('卡片raw data'!AR:AR,MATCH(D409,'卡片raw data'!$F:$F,)),0))</f>
        <v>0.27</v>
      </c>
      <c r="DW409" s="1098">
        <f t="shared" si="581"/>
        <v>0.3</v>
      </c>
      <c r="DX409" s="1098">
        <f t="shared" si="582"/>
        <v>0.3</v>
      </c>
      <c r="DY409" s="1097">
        <f t="shared" si="583"/>
        <v>398.47202026538406</v>
      </c>
      <c r="DZ409" s="1097">
        <f t="shared" si="584"/>
        <v>344.6782975295572</v>
      </c>
      <c r="EA409" s="421">
        <f t="shared" si="585"/>
        <v>0</v>
      </c>
      <c r="EB409" s="445">
        <f t="shared" si="586"/>
        <v>0</v>
      </c>
      <c r="EC409" s="424">
        <f t="shared" si="587"/>
        <v>0</v>
      </c>
      <c r="ED409" s="420">
        <f t="shared" si="588"/>
        <v>0</v>
      </c>
      <c r="EE409" s="433">
        <f t="shared" si="513"/>
        <v>48435.03108962375</v>
      </c>
      <c r="EF409" s="1115" t="s">
        <v>569</v>
      </c>
      <c r="EG409" s="1120">
        <f t="shared" si="589"/>
        <v>0.3</v>
      </c>
      <c r="EH409" s="450"/>
      <c r="EI409" s="1093"/>
      <c r="EJ409" s="1093"/>
      <c r="EK409" s="420">
        <f>IF($P409="","N/A",IF(P409=-1,INDEX('卡片raw data'!AS:AS,MATCH(D409,'卡片raw data'!$F:$F,)),0)+IF(AND(L409&lt;&gt;"party卡",P409&lt;=2,P409&gt;=0),INDEX('卡片raw data'!AU:AU,MATCH(D409,'卡片raw data'!$F:$F,)),0)+IF(OR(AND(L409="party卡",P409&lt;=1),AND(P409&lt;=4,L409&lt;&gt;"party卡",P409&gt;=3)),INDEX('卡片raw data'!AV:AV,MATCH(D409,'卡片raw data'!$F:$F,)),0)+IF(OR(P409=5,AND(L409="party卡",P409&gt;=2)),INDEX('卡片raw data'!AW:AW,MATCH(D409,'卡片raw data'!$F:$F,)),0))</f>
        <v>0</v>
      </c>
      <c r="EL409" s="1098">
        <f t="shared" si="590"/>
        <v>0.3</v>
      </c>
      <c r="EM409" s="1098">
        <f t="shared" si="591"/>
        <v>0.3</v>
      </c>
      <c r="EN409" s="1097">
        <f t="shared" si="592"/>
        <v>0</v>
      </c>
      <c r="EO409" s="1097">
        <f t="shared" si="593"/>
        <v>0</v>
      </c>
      <c r="EP409" s="421">
        <f t="shared" si="594"/>
        <v>0</v>
      </c>
      <c r="EQ409" s="445">
        <f t="shared" si="595"/>
        <v>0</v>
      </c>
      <c r="ER409" s="424">
        <f t="shared" si="596"/>
        <v>0</v>
      </c>
      <c r="ES409" s="420">
        <f t="shared" si="597"/>
        <v>0</v>
      </c>
      <c r="ET409" s="446">
        <f t="shared" si="514"/>
        <v>0</v>
      </c>
    </row>
    <row r="410" spans="2:150" ht="16.5" customHeight="1">
      <c r="B410" s="448" t="str">
        <f>INDEX('卡片raw data'!B:B,MATCH($D410,'卡片raw data'!$F:$F,))</f>
        <v>蒸汽千</v>
      </c>
      <c r="C410" s="449" t="s">
        <v>2151</v>
      </c>
      <c r="D410" s="408">
        <v>407</v>
      </c>
      <c r="E410" s="477">
        <v>401013003</v>
      </c>
      <c r="F410" s="409" t="str">
        <f>INDEX('卡片raw data'!C:C,MATCH($D410,'卡片raw data'!$F:$F,))</f>
        <v>UR</v>
      </c>
      <c r="G410" s="1094" t="s">
        <v>2136</v>
      </c>
      <c r="H410" s="411">
        <f>IFERROR(INDEX(绊状态确认!C:C,MATCH($G410,绊状态确认!$B:$B,)),"")</f>
        <v>101</v>
      </c>
      <c r="I410" s="450" t="str">
        <f>IFERROR(INDEX(绊状态确认!D:D,MATCH($G410,绊状态确认!$B:$B,)),"")</f>
        <v>水</v>
      </c>
      <c r="J410" s="450" t="str">
        <f>IFERROR(INDEX(绊状态确认!E:E,MATCH($G410,绊状态确认!$B:$B,)),"")</f>
        <v>2年级</v>
      </c>
      <c r="K410" s="451" t="str">
        <f>IFERROR(INDEX(绊状态确认!F:F,MATCH($G410,绊状态确认!$B:$B,)),"")</f>
        <v>CYaRon!</v>
      </c>
      <c r="L410" s="414" t="str">
        <f>INDEX('卡片raw data'!E:E,MATCH($D410,'卡片raw data'!$F:$F,))</f>
        <v>卡池卡</v>
      </c>
      <c r="M410" s="478">
        <v>44244</v>
      </c>
      <c r="N410" s="479">
        <v>34</v>
      </c>
      <c r="O410" s="410" t="str">
        <f>INDEX('卡片raw data'!D:D,MATCH($D410,'卡片raw data'!$F:$F,))</f>
        <v>gd</v>
      </c>
      <c r="P410" s="1126">
        <v>5</v>
      </c>
      <c r="Q410" s="418">
        <f t="shared" si="515"/>
        <v>32586.093074806635</v>
      </c>
      <c r="R410" s="419">
        <f t="shared" si="516"/>
        <v>0.378</v>
      </c>
      <c r="S410" s="420">
        <f t="shared" si="517"/>
        <v>16882.606323629443</v>
      </c>
      <c r="T410" s="421">
        <f t="shared" si="518"/>
        <v>0.84399999999999997</v>
      </c>
      <c r="U410" s="422">
        <f t="shared" si="519"/>
        <v>889.57623056548334</v>
      </c>
      <c r="V410" s="423">
        <f t="shared" si="520"/>
        <v>84894.207951709584</v>
      </c>
      <c r="W410" s="424">
        <f t="shared" si="521"/>
        <v>4507.7214871259994</v>
      </c>
      <c r="X410" s="419">
        <f t="shared" si="522"/>
        <v>5.1999999999999998E-2</v>
      </c>
      <c r="Y410" s="420">
        <f t="shared" si="523"/>
        <v>2339.7617173247827</v>
      </c>
      <c r="Z410" s="425">
        <f t="shared" si="524"/>
        <v>28.397303384171423</v>
      </c>
      <c r="AA410" s="426">
        <f t="shared" si="525"/>
        <v>6847.4832044507821</v>
      </c>
      <c r="AB410" s="424">
        <f t="shared" si="526"/>
        <v>4507.7214871259994</v>
      </c>
      <c r="AC410" s="427">
        <f t="shared" si="527"/>
        <v>5.1999999999999998E-2</v>
      </c>
      <c r="AD410" s="428">
        <f t="shared" si="528"/>
        <v>0</v>
      </c>
      <c r="AE410" s="516">
        <f t="shared" si="529"/>
        <v>-6.25</v>
      </c>
      <c r="AF410" s="1130">
        <f t="shared" si="530"/>
        <v>11830.031412962877</v>
      </c>
      <c r="AG410" s="420">
        <f t="shared" si="531"/>
        <v>89964.991841440016</v>
      </c>
      <c r="AH410" s="420">
        <f t="shared" si="532"/>
        <v>7.6047973755048499</v>
      </c>
      <c r="AI410" s="1097">
        <f t="shared" si="533"/>
        <v>113704.65029674163</v>
      </c>
      <c r="AJ410" s="420">
        <f t="shared" si="534"/>
        <v>84894.207951709584</v>
      </c>
      <c r="AK410" s="518">
        <f t="shared" si="535"/>
        <v>28810.442345032046</v>
      </c>
      <c r="AL410" s="1106">
        <f>IF($P410="","N/A",(IF($P410=-1,INDEX('卡片raw data'!S:S,MATCH($D410,'卡片raw data'!$F:$F,)),0)+IF($P410=0,INDEX('卡片raw data'!V:V,MATCH($D410,'卡片raw data'!$F:$F,)),0)+IF($P410=1,INDEX('卡片raw data'!Y:Y,MATCH($D410,'卡片raw data'!$F:$F,)),0)+IF($P410=2,INDEX('卡片raw data'!AB:AB,MATCH($D410,'卡片raw data'!$F:$F,)),0)+IF($P410=3,INDEX('卡片raw data'!AE:AE,MATCH($D410,'卡片raw data'!$F:$F,)),0)+IF($P410=4,INDEX('卡片raw data'!AH:AH,MATCH($D410,'卡片raw data'!$F:$F,)),0)+IF($P410=5,INDEX('卡片raw data'!AK:AK,MATCH($D410,'卡片raw data'!$F:$F,)),0)+INDEX('卡片raw data'!S:S,MATCH($D410,'卡片raw data'!$F:$F,))*(IF($F410="UR",0.04,0.033))*(IF($F410="UR",INDEX(绊状态确认!$S:$S,MATCH($G410,绊状态确认!$B:$B,))/2-40)+IF($F410="SR",INDEX(绊状态确认!$R:$R,MATCH($G410,绊状态确认!$B:$B,))/4-15))+IF($F410="R",INDEX(绊状态确认!$Q:$Q,MATCH($G410,绊状态确认!$B:$B,))/6-40/6)))*(INDEX(绊状态确认!$H:$H,MATCH($G410,绊状态确认!$B:$B,))+INDEX(绊状态确认!J:J,MATCH($G410,绊状态确认!$B:$B,)))</f>
        <v>9596.2161599999981</v>
      </c>
      <c r="AM410" s="1106">
        <f>IF($P410="","N/A",(IF($P410=-1,INDEX('卡片raw data'!T:T,MATCH($D410,'卡片raw data'!$F:$F,)),0)+IF($P410=0,INDEX('卡片raw data'!W:W,MATCH($D410,'卡片raw data'!$F:$F,)),0)+IF($P410=1,INDEX('卡片raw data'!Z:Z,MATCH($D410,'卡片raw data'!$F:$F,)),0)+IF($P410=2,INDEX('卡片raw data'!AC:AC,MATCH($D410,'卡片raw data'!$F:$F,)),0)+IF($P410=3,INDEX('卡片raw data'!AF:AF,MATCH($D410,'卡片raw data'!$F:$F,)),0)+IF($P410=4,INDEX('卡片raw data'!AI:AI,MATCH($D410,'卡片raw data'!$F:$F,)),0)+IF($P410=5,INDEX('卡片raw data'!AL:AL,MATCH($D410,'卡片raw data'!$F:$F,)),0)+INDEX('卡片raw data'!T:T,MATCH($D410,'卡片raw data'!$F:$F,))*(IF($F410="UR",0.04,0.033))*(IF($F410="UR",INDEX(绊状态确认!$S:$S,MATCH($G410,绊状态确认!$B:$B,))/2-40)+IF($F410="SR",INDEX(绊状态确认!$R:$R,MATCH($G410,绊状态确认!$B:$B,))/4-15))+IF($F410="R",INDEX(绊状态确认!$Q:$Q,MATCH($G410,绊状态确认!$B:$B,))/6-40/6)))*(INDEX(绊状态确认!$H:$H,MATCH($G410,绊状态确认!$B:$B,))+INDEX(绊状态确认!K:K,MATCH($G410,绊状态确认!$B:$B,)))</f>
        <v>15422.038943999996</v>
      </c>
      <c r="AN410" s="1106">
        <f>IF($P410="","N/A",(IF($P410=-1,INDEX('卡片raw data'!U:U,MATCH($D410,'卡片raw data'!$F:$F,)),0)+IF($P410=0,INDEX('卡片raw data'!X:X,MATCH($D410,'卡片raw data'!$F:$F,)),0)+IF($P410=1,INDEX('卡片raw data'!AA:AA,MATCH($D410,'卡片raw data'!$F:$F,)),0)+IF($P410=2,INDEX('卡片raw data'!AD:AD,MATCH($D410,'卡片raw data'!$F:$F,)),0)+IF($P410=3,INDEX('卡片raw data'!AG:AG,MATCH($D410,'卡片raw data'!$F:$F,)),0)+IF($P410=4,INDEX('卡片raw data'!AJ:AJ,MATCH($D410,'卡片raw data'!$F:$F,)),0)+IF($P410=5,INDEX('卡片raw data'!AM:AM,MATCH($D410,'卡片raw data'!$F:$F,)),0)+INDEX('卡片raw data'!U:U,MATCH($D410,'卡片raw data'!$F:$F,))*(IF($F410="UR",0.04,0.033))*(IF($F410="UR",INDEX(绊状态确认!$S:$S,MATCH($G410,绊状态确认!$B:$B,))/2-40)+IF($F410="SR",INDEX(绊状态确认!$R:$R,MATCH($G410,绊状态确认!$B:$B,))/4-15))+IF($F410="R",INDEX(绊状态确认!$Q:$Q,MATCH($G410,绊状态确认!$B:$B,))/6-40/6)))*(INDEX(绊状态确认!$H:$H,MATCH($G410,绊状态确认!$B:$B,))+INDEX(绊状态确认!L:L,MATCH($G410,绊状态确认!$B:$B,)))</f>
        <v>9252.0687839999991</v>
      </c>
      <c r="AO410" s="1107">
        <f t="shared" si="536"/>
        <v>1</v>
      </c>
      <c r="AP410" s="1131">
        <f>1+(INDEX(绊状态确认!$T:$T,MATCH($G410,绊状态确认!$B:$B,))+0.2)*$AO410</f>
        <v>1.3</v>
      </c>
      <c r="AQ410" s="1108">
        <f t="shared" si="537"/>
        <v>28440.067419999996</v>
      </c>
      <c r="AR410" s="1097">
        <f>(AM410*(1+$EX$9)+$EX$35)*(1+(INDEX(绊状态确认!$T:$T,MATCH($G410,绊状态确认!$B:$B,))+0.2)*AO410)*IF(J410=$FF$17,1+$FE$17,1)*IF(I410=$FF$14,1+$FE$14,1)</f>
        <v>23755.083158559995</v>
      </c>
      <c r="AS410" s="1097">
        <f>(AN410*(1+$EX$10)+$EX$36)*(1+(INDEX(绊状态确认!$T:$T,MATCH($G410,绊状态确认!$B:$B,))+0.2)*AO410)*IF(J410=$FF$17,1+$FE$17,1)*IF(I410=$FF$14,1+$FE$14,1)</f>
        <v>17887.842832079998</v>
      </c>
      <c r="AT410" s="1093">
        <f>IF(AND(INDEX('卡片raw data'!AK:AK,MATCH($D410,'卡片raw data'!$F:$F,))&lt;INDEX('卡片raw data'!AM:AM,MATCH($D410,'卡片raw data'!$F:$F,)),INDEX('卡片raw data'!AL:AL,MATCH($D410,'卡片raw data'!$F:$F,))&lt;INDEX('卡片raw data'!AM:AM,MATCH($D410,'卡片raw data'!$F:$F,))),1,0)</f>
        <v>0</v>
      </c>
      <c r="AU410" s="1098">
        <f>MIN(AT410*0.15+AS410*0.00003+INDEX(绊状态确认!M:M,MATCH($G410,绊状态确认!$B:$B,)),1)</f>
        <v>0.56663528496240001</v>
      </c>
      <c r="AV410" s="1109">
        <f>(INDEX(绊状态确认!$N:$N,MATCH($G410,绊状态确认!$B:$B,))+1.5)*$EW$21</f>
        <v>2.6599999999999997</v>
      </c>
      <c r="AW410" s="1101">
        <f t="shared" si="538"/>
        <v>28663.371587680635</v>
      </c>
      <c r="AX410" s="1097">
        <f t="shared" si="539"/>
        <v>2087.9923735162015</v>
      </c>
      <c r="AY410" s="1110">
        <f t="shared" si="540"/>
        <v>30751.363961196836</v>
      </c>
      <c r="AZ410" s="429">
        <f t="shared" si="541"/>
        <v>21312.621511999994</v>
      </c>
      <c r="BA410" s="431">
        <f t="shared" si="542"/>
        <v>25575.145814399992</v>
      </c>
      <c r="BB410" s="1097">
        <f>(AM410*(1+$FB$9)+$FB$35)*(1+(INDEX(绊状态确认!$T:$T,MATCH($G410,绊状态确认!$B:$B,))+0.2)*AO410)*IF(J410=$FF$17,1+$FE$17,1)*IF(I410=$FF$14,1+$FE$14,1)*(1+$FE$15)</f>
        <v>23755.083158559995</v>
      </c>
      <c r="BC410" s="1097">
        <f>(AN410*(1+$FB$10)+$FB$36)*(1+(INDEX(绊状态确认!$T:$T,MATCH($G410,绊状态确认!$B:$B,))+0.2)*AO410)*IF(J410=$FF$17,1+$FE$17,1)*IF(I410=$FF$14,1+$FE$14,1)*(1+$FE$15)</f>
        <v>17887.842832079998</v>
      </c>
      <c r="BD410" s="1104">
        <f>MIN(AT410*0.15+BC410*0.00003+INDEX(绊状态确认!M:M,MATCH($G410,绊状态确认!$B:$B,)),1)</f>
        <v>0.56663528496240001</v>
      </c>
      <c r="BE410" s="432">
        <f>(INDEX(绊状态确认!$N:$N,MATCH($G410,绊状态确认!$B:$B,))+1.5)</f>
        <v>1.9</v>
      </c>
      <c r="BF410" s="1139">
        <f t="array" ref="BF410">SUMPRODUCT(IF(AZ410*AP410*$FI$16:$FI$23*$FA$22&gt;=$FI$24,$FI$24,AZ410*AP410*$FI$16:$FI$23*$FA$22),$FJ$16:$FJ$23)</f>
        <v>42390.80418736799</v>
      </c>
      <c r="BG410" s="1125">
        <f t="array" ref="BG410">SUMPRODUCT(IF(BE410*AZ410*AP410*$FI$16:$FI$23*$FA$22&gt;=$FI$24,$FI$24,BE410*AZ410*AP410*$FI$16:$FI$23*$FA$22),$FJ$16:$FJ$23)</f>
        <v>60000</v>
      </c>
      <c r="BH410" s="1110">
        <f t="shared" si="543"/>
        <v>17456.265291539141</v>
      </c>
      <c r="BI410" s="1111">
        <f>IF(O410="vo",$EW$26/$EW$24*0.05,0)+IF(O410="sk",-$EW$26/$EW$24*(0.05-INDEX(绊状态确认!W:W,MATCH($G410,绊状态确认!$B:$B,)))+0.05*$EW$28,0)+IF(O410="sp",0.05*$EW$32*$EW$30*(1-$EW$33)-(0.05-INDEX(绊状态确认!V:V,MATCH($G410,绊状态确认!$B:$B,)))*$EW$28,0)+IF(O410="gd",-(0.05-INDEX(绊状态确认!X:X,MATCH($G410,绊状态确认!$B:$B,)))*$EW$32*$EW$30*(1-$EW$33),0)</f>
        <v>-585.00000000000011</v>
      </c>
      <c r="BJ410" s="420">
        <f>IF(O410="vo",0.05*(1-$FI$26)*$FA$24,0)+IF(O410="sk",-(0.05-INDEX(绊状态确认!W:W,MATCH($G410,绊状态确认!$B:$B,)))*(1-$FI$26)*$FA$24+0.05*$FA$26,0)+IF(O410="sp",0.05*$FA$32*$FA$27*(1-$FA$33)/$FA$30+0.05*$FA$29/$FA$69*$FA$27*(1-$FA$33)-(0.05-INDEX(绊状态确认!V:V,MATCH($G410,绊状态确认!$B:$B,)))*$FA$26,0)+IF(O410="gd",-(0.05-INDEX(绊状态确认!X:X,MATCH($G410,绊状态确认!$B:$B,)))*$FA$32*$FA$27*(1-$FA$33)/$FA$30-(0.05-INDEX(绊状态确认!X:X,MATCH($G410,绊状态确认!$B:$B,)))*$FA$29/$FA$69*$FA$27*(1-$FA$33),0)</f>
        <v>-795.00000000000011</v>
      </c>
      <c r="BK410" s="1110">
        <f>IF(O410="vo",$EW$26/$EW$24*0.05+$EW$26*(-HP($EW$62,$EW$65,$EW$64)+HP($EW$62,$EW$65,(1.05-INDEX(绊状态确认!U:U,MATCH($G410,绊状态确认!$B:$B,)))*$EW$64)),0)+IF(O410="sk",-$EW$26/$EW$24*(0.05-INDEX(绊状态确认!W:W,MATCH($G410,绊状态确认!$B:$B,)))+0.05*$EW$29,0)+IF(O410="sp",0.05*$EW$32*$EW$30*(1-$EW$33)-(0.05-INDEX(绊状态确认!V:V,MATCH($G410,绊状态确认!$B:$B,)))*$EW$29,0)+IF(O410="gd",-(0.05-INDEX(绊状态确认!X:X,MATCH($G410,绊状态确认!$B:$B,)))*$EW$32*$EW$30*(1-$EW$33)+$EW$26*(-HP($EW$62,$EW$65,$EW$64)+HP($EW$62,$EW$65,0.95*$EW$64)),0)</f>
        <v>1009.5947725176144</v>
      </c>
      <c r="BL410" s="1111">
        <f t="shared" si="544"/>
        <v>0</v>
      </c>
      <c r="BM410" s="1110">
        <f t="shared" si="545"/>
        <v>0</v>
      </c>
      <c r="BN410" s="1113">
        <f t="shared" si="546"/>
        <v>3</v>
      </c>
      <c r="BO410" s="1108">
        <f t="shared" si="547"/>
        <v>4507.7214871259994</v>
      </c>
      <c r="BP410" s="1100">
        <f t="shared" si="548"/>
        <v>221.34103209030098</v>
      </c>
      <c r="BQ410" s="1113" t="s">
        <v>133</v>
      </c>
      <c r="BR410" s="1124" t="s">
        <v>171</v>
      </c>
      <c r="BS410" s="421">
        <f>IF($P410="","N/A",IF($P410=-1,INDEX('卡片raw data'!AX:AX,MATCH($D410,'卡片raw data'!$F:$F,)),0)+IF($L410="party卡",IF($P410=5,INDEX('卡片raw data'!BD:BD,MATCH($D410,'卡片raw data'!$F:$F,)),IF($P410&gt;=3,INDEX('卡片raw data'!BC:BC,MATCH($D410,'卡片raw data'!$F:$F,)),INDEX('卡片raw data'!BB:BB,MATCH($D410,'卡片raw data'!$F:$F,)))),IF(OR(AND($F410="UR",$P410=0),AND($F410="SR",$P410&gt;=0,$P410&lt;=2),AND($F410="R",$P410&gt;=0,$P410&lt;4)),INDEX('卡片raw data'!AZ:AZ,MATCH($D410,'卡片raw data'!$F:$F,)),0)+IF(OR(AND($F410="UR",$P410&gt;=1,$P410&lt;=4),AND($F410="SR",$P410&lt;=4,$P410&gt;=3),AND($F410="R",$P410=4)),INDEX('卡片raw data'!BA:BA,MATCH($D410,'卡片raw data'!$F:$F,)),0)+IF($P410=5,INDEX('卡片raw data'!BB:BB,MATCH($D410,'卡片raw data'!$F:$F,)),0)))</f>
        <v>5.1999999999999998E-2</v>
      </c>
      <c r="BT410" s="424">
        <f t="shared" si="549"/>
        <v>0</v>
      </c>
      <c r="BU410" s="420">
        <f t="shared" si="550"/>
        <v>0</v>
      </c>
      <c r="BV410" s="420">
        <f t="shared" si="551"/>
        <v>0</v>
      </c>
      <c r="BW410" s="436">
        <f t="shared" si="552"/>
        <v>2.4347142857142861</v>
      </c>
      <c r="BX410" s="423">
        <f t="shared" si="553"/>
        <v>190.49664124538464</v>
      </c>
      <c r="BY410" s="433">
        <f t="shared" si="554"/>
        <v>190.49664124538464</v>
      </c>
      <c r="BZ410" s="1113" t="s">
        <v>569</v>
      </c>
      <c r="CA410" s="450"/>
      <c r="CB410" s="421">
        <f>IF($P410="","N/A",IF($P410=-1,INDEX('卡片raw data'!BE:BE,MATCH($D410,'卡片raw data'!$F:$F,)),0)+IF($L410="party卡",IF($P410=5,INDEX('卡片raw data'!BK:BK,MATCH($D410,'卡片raw data'!$F:$F,)),IF($P410&gt;=3,INDEX('卡片raw data'!BJ:BJ,MATCH($D410,'卡片raw data'!$F:$F,)),INDEX('卡片raw data'!BI:BI,MATCH($D410,'卡片raw data'!$F:$F,)))),IF(OR(AND($F410="UR",$P410=0),AND($F410="SR",$P410&gt;=0,$P410&lt;=2),AND($F410="R",$P410&gt;=0,$P410&lt;4)),INDEX('卡片raw data'!BG:BG,MATCH($D410,'卡片raw data'!$F:$F,)),0)+IF(OR(AND($F410="UR",$P410&gt;=1,$P410&lt;=4),AND($F410="SR",$P410&lt;=4,$P410&gt;=3),AND($F410="R",$P410=4)),INDEX('卡片raw data'!BH:BH,MATCH($D410,'卡片raw data'!$F:$F,)),0)+IF($P410=5,INDEX('卡片raw data'!BI:BI,MATCH($D410,'卡片raw data'!$F:$F,)),0)))</f>
        <v>0</v>
      </c>
      <c r="CC410" s="424">
        <f t="shared" si="555"/>
        <v>0</v>
      </c>
      <c r="CD410" s="420">
        <f>IF(BZ410="ap",CB410*(1-$FI$26)*$FB$5/$FB$11*(+IF(CA410="全员",$FA$24,0)+IF(CA410="同作战",$FA$24,0)+IF(CA410="仲间",$FA$24*2/3,0)+IF(CA410="同属性",$FA$24*$FA$37/3,0)+IF(CA410="同年级",$FA$24*$FA$40/3,0)+IF(CA410="同学校",$FA$24*$FA$43/3,0)+IF(CA410="同小队",$FA$24*$FA$46/3,0)+IF(CA410="同type",$FA$24*INDEX($FB$49:$FB$52,MATCH(X410,$FA$49:$FA$52,))/3,0)+IF(CA410="自身",#REF!/3,0)),0)+IF(BZ410="te",CB410*(1-$FI$27)*($FA$20-1)*$FB$7/$FB$13*(+IF(CA410="全员",$FA$19*$FA$24/(1+($FA$20-1)*$FA$19),0)+IF(CA410="同作战",$FA$19*$FA$24/(1+($FA$20-1)*$FA$19),0)+IF(CA410="仲间",$FA$19*$FA$24*2/3/(1+($FA$20-1)*$FA$19),0)+IF(CA410="同属性",$FA$19*$FA$24*$FA$37/3/(1+($FA$20-1)*$FA$19),0)+IF(CA410="同年级",$FA$19*$FA$24*$FA$40/3/(1+($FA$20-1)*$FA$19),0)+IF(CA410="同学校",$FA$19*$FA$24*$FA$43/3/(1+($FA$20-1)*$FA$19),0)+IF(CA410="同小队",$FA$19*$FA$24*$FA$46/3/(1+($FA$20-1)*$FA$19),0)+IF(CA410="同type",$FA$19*$FA$24*INDEX($FB$49:$FB$52,MATCH(X410,$FA$49:$FA$52,))/3/(1+($FA$20-1)*$FA$19),0)+IF(CA410="自身",$FA$19*#REF!/3/(1+(BH410-1)*$BD410),0)),0)</f>
        <v>0</v>
      </c>
      <c r="CE410" s="420">
        <f t="shared" si="556"/>
        <v>0</v>
      </c>
      <c r="CF410" s="436">
        <f t="shared" si="557"/>
        <v>0</v>
      </c>
      <c r="CG410" s="423">
        <f t="shared" si="558"/>
        <v>0</v>
      </c>
      <c r="CH410" s="433">
        <f t="shared" si="559"/>
        <v>0</v>
      </c>
      <c r="CI410" s="1113" t="s">
        <v>2045</v>
      </c>
      <c r="CJ410" s="1114">
        <v>1</v>
      </c>
      <c r="CK410" s="439" t="s">
        <v>2152</v>
      </c>
      <c r="CL410" s="439" t="s">
        <v>2153</v>
      </c>
      <c r="CM410" s="1119">
        <v>0.44</v>
      </c>
      <c r="CN410" s="1115">
        <v>1</v>
      </c>
      <c r="CO410" s="1115">
        <v>2</v>
      </c>
      <c r="CP410" s="1118">
        <f t="shared" si="560"/>
        <v>1.5714285714285715E-3</v>
      </c>
      <c r="CQ410" s="1118">
        <f t="shared" si="561"/>
        <v>2.4444444444444444E-3</v>
      </c>
      <c r="CR410" s="1118">
        <f t="shared" si="562"/>
        <v>1.5714285714285715E-3</v>
      </c>
      <c r="CS410" s="442">
        <f t="shared" si="563"/>
        <v>0</v>
      </c>
      <c r="CT410" s="432">
        <f t="shared" si="564"/>
        <v>0</v>
      </c>
      <c r="CU410" s="1101">
        <f t="shared" si="565"/>
        <v>0</v>
      </c>
      <c r="CV410" s="1108">
        <f t="shared" si="566"/>
        <v>0</v>
      </c>
      <c r="CW410" s="420">
        <f t="shared" si="567"/>
        <v>0</v>
      </c>
      <c r="CX410" s="420">
        <f t="shared" si="568"/>
        <v>0</v>
      </c>
      <c r="CY410" s="433">
        <f t="shared" si="569"/>
        <v>61.27270256319634</v>
      </c>
      <c r="CZ410" s="437"/>
      <c r="DA410" s="438"/>
      <c r="DB410" s="439" t="s">
        <v>569</v>
      </c>
      <c r="DC410" s="439"/>
      <c r="DD410" s="443"/>
      <c r="DE410" s="411"/>
      <c r="DF410" s="411"/>
      <c r="DG410" s="1116">
        <f t="shared" si="570"/>
        <v>0</v>
      </c>
      <c r="DH410" s="1116">
        <f t="shared" si="571"/>
        <v>0</v>
      </c>
      <c r="DI410" s="1116">
        <f t="shared" si="572"/>
        <v>0</v>
      </c>
      <c r="DJ410" s="442">
        <f t="shared" si="573"/>
        <v>0</v>
      </c>
      <c r="DK410" s="432">
        <f t="shared" si="574"/>
        <v>0</v>
      </c>
      <c r="DL410" s="424">
        <f t="shared" si="575"/>
        <v>0</v>
      </c>
      <c r="DM410" s="420">
        <f t="shared" si="576"/>
        <v>0</v>
      </c>
      <c r="DN410" s="420">
        <f t="shared" si="577"/>
        <v>0</v>
      </c>
      <c r="DO410" s="420">
        <f t="shared" si="578"/>
        <v>0</v>
      </c>
      <c r="DP410" s="433">
        <f t="shared" si="579"/>
        <v>0</v>
      </c>
      <c r="DQ410" s="1113" t="s">
        <v>635</v>
      </c>
      <c r="DR410" s="1120">
        <f t="shared" si="580"/>
        <v>0.33</v>
      </c>
      <c r="DS410" s="450"/>
      <c r="DT410" s="1093" t="s">
        <v>133</v>
      </c>
      <c r="DU410" s="1124"/>
      <c r="DV410" s="1098">
        <f>IF($P410="","N/A",IF(P410=-1,INDEX('卡片raw data'!AN:AN,MATCH(D410,'卡片raw data'!$F:$F,)),0)+IF(AND(L410&lt;&gt;"party卡",P410&lt;=2,P410&gt;=0),INDEX('卡片raw data'!AP:AP,MATCH(D410,'卡片raw data'!$F:$F,)),0)+IF(OR(AND(L410="party卡",P410&lt;=1),AND(P410&lt;=4,L410&lt;&gt;"party卡",P410&gt;=3)),INDEX('卡片raw data'!AQ:AQ,MATCH(D410,'卡片raw data'!$F:$F,)),0)+IF(OR(P410=5,AND(L410="party卡",P410&gt;=2)),INDEX('卡片raw data'!AR:AR,MATCH(D410,'卡片raw data'!$F:$F,)),0))</f>
        <v>0.32</v>
      </c>
      <c r="DW410" s="1098">
        <f t="shared" si="581"/>
        <v>0.33</v>
      </c>
      <c r="DX410" s="1098">
        <f t="shared" si="582"/>
        <v>0.33</v>
      </c>
      <c r="DY410" s="1097">
        <f t="shared" si="583"/>
        <v>836.17892718131191</v>
      </c>
      <c r="DZ410" s="1097">
        <f t="shared" si="584"/>
        <v>723.29477201183477</v>
      </c>
      <c r="EA410" s="421">
        <f t="shared" si="585"/>
        <v>0</v>
      </c>
      <c r="EB410" s="445">
        <f t="shared" si="586"/>
        <v>0</v>
      </c>
      <c r="EC410" s="424">
        <f t="shared" si="587"/>
        <v>0</v>
      </c>
      <c r="ED410" s="420">
        <f t="shared" si="588"/>
        <v>0</v>
      </c>
      <c r="EE410" s="433">
        <f t="shared" si="513"/>
        <v>48435.03108962375</v>
      </c>
      <c r="EF410" s="1115" t="s">
        <v>569</v>
      </c>
      <c r="EG410" s="1120">
        <f t="shared" si="589"/>
        <v>0.33</v>
      </c>
      <c r="EH410" s="450"/>
      <c r="EI410" s="1093"/>
      <c r="EJ410" s="1093"/>
      <c r="EK410" s="420">
        <f>IF($P410="","N/A",IF(P410=-1,INDEX('卡片raw data'!AS:AS,MATCH(D410,'卡片raw data'!$F:$F,)),0)+IF(AND(L410&lt;&gt;"party卡",P410&lt;=2,P410&gt;=0),INDEX('卡片raw data'!AU:AU,MATCH(D410,'卡片raw data'!$F:$F,)),0)+IF(OR(AND(L410="party卡",P410&lt;=1),AND(P410&lt;=4,L410&lt;&gt;"party卡",P410&gt;=3)),INDEX('卡片raw data'!AV:AV,MATCH(D410,'卡片raw data'!$F:$F,)),0)+IF(OR(P410=5,AND(L410="party卡",P410&gt;=2)),INDEX('卡片raw data'!AW:AW,MATCH(D410,'卡片raw data'!$F:$F,)),0))</f>
        <v>0</v>
      </c>
      <c r="EL410" s="1098">
        <f t="shared" si="590"/>
        <v>0.33</v>
      </c>
      <c r="EM410" s="1098">
        <f t="shared" si="591"/>
        <v>0.33</v>
      </c>
      <c r="EN410" s="1097">
        <f t="shared" si="592"/>
        <v>0</v>
      </c>
      <c r="EO410" s="1097">
        <f t="shared" si="593"/>
        <v>0</v>
      </c>
      <c r="EP410" s="421">
        <f t="shared" si="594"/>
        <v>0</v>
      </c>
      <c r="EQ410" s="445">
        <f t="shared" si="595"/>
        <v>0</v>
      </c>
      <c r="ER410" s="424">
        <f t="shared" si="596"/>
        <v>0</v>
      </c>
      <c r="ES410" s="420">
        <f t="shared" si="597"/>
        <v>0</v>
      </c>
      <c r="ET410" s="446">
        <f t="shared" si="514"/>
        <v>0</v>
      </c>
    </row>
    <row r="411" spans="2:150" ht="16.5" customHeight="1">
      <c r="B411" s="448" t="str">
        <f>INDEX('卡片raw data'!B:B,MATCH($D411,'卡片raw data'!$F:$F,))</f>
        <v>蒸汽菜</v>
      </c>
      <c r="C411" s="449" t="s">
        <v>2156</v>
      </c>
      <c r="D411" s="408">
        <v>408</v>
      </c>
      <c r="E411" s="477">
        <v>402073004</v>
      </c>
      <c r="F411" s="409" t="str">
        <f>INDEX('卡片raw data'!C:C,MATCH($D411,'卡片raw data'!$F:$F,))</f>
        <v>UR</v>
      </c>
      <c r="G411" s="1094" t="s">
        <v>2137</v>
      </c>
      <c r="H411" s="411">
        <f>IFERROR(INDEX(绊状态确认!C:C,MATCH($G411,绊状态确认!$B:$B,)),"")</f>
        <v>207</v>
      </c>
      <c r="I411" s="450" t="str">
        <f>IFERROR(INDEX(绊状态确认!D:D,MATCH($G411,绊状态确认!$B:$B,)),"")</f>
        <v>虹</v>
      </c>
      <c r="J411" s="450" t="str">
        <f>IFERROR(INDEX(绊状态确认!E:E,MATCH($G411,绊状态确认!$B:$B,)),"")</f>
        <v>2年级</v>
      </c>
      <c r="K411" s="451" t="str">
        <f>IFERROR(INDEX(绊状态确认!F:F,MATCH($G411,绊状态确认!$B:$B,)),"")</f>
        <v>A·ZU·NA</v>
      </c>
      <c r="L411" s="414" t="str">
        <f>INDEX('卡片raw data'!E:E,MATCH($D411,'卡片raw data'!$F:$F,))</f>
        <v>活动卡</v>
      </c>
      <c r="M411" s="478">
        <v>44244</v>
      </c>
      <c r="N411" s="479">
        <v>34</v>
      </c>
      <c r="O411" s="410" t="str">
        <f>INDEX('卡片raw data'!D:D,MATCH($D411,'卡片raw data'!$F:$F,))</f>
        <v>vo</v>
      </c>
      <c r="P411" s="1126">
        <v>5</v>
      </c>
      <c r="Q411" s="418">
        <f t="shared" si="515"/>
        <v>49948.034265748916</v>
      </c>
      <c r="R411" s="419">
        <f t="shared" si="516"/>
        <v>0.57999999999999996</v>
      </c>
      <c r="S411" s="420">
        <f t="shared" si="517"/>
        <v>19102.37177628871</v>
      </c>
      <c r="T411" s="421">
        <f t="shared" si="518"/>
        <v>0.95499999999999996</v>
      </c>
      <c r="U411" s="422">
        <f t="shared" si="519"/>
        <v>-10.073077315857144</v>
      </c>
      <c r="V411" s="423">
        <f t="shared" si="520"/>
        <v>49841.353915138039</v>
      </c>
      <c r="W411" s="424">
        <f t="shared" si="521"/>
        <v>5906.6071854708271</v>
      </c>
      <c r="X411" s="419">
        <f t="shared" si="522"/>
        <v>6.8000000000000005E-2</v>
      </c>
      <c r="Y411" s="420">
        <f t="shared" si="523"/>
        <v>1197.9880996308166</v>
      </c>
      <c r="Z411" s="425">
        <f t="shared" si="524"/>
        <v>14.926922684142856</v>
      </c>
      <c r="AA411" s="426">
        <f t="shared" si="525"/>
        <v>7104.5952851016436</v>
      </c>
      <c r="AB411" s="424">
        <f t="shared" si="526"/>
        <v>7208.8378373072283</v>
      </c>
      <c r="AC411" s="427">
        <f t="shared" si="527"/>
        <v>8.3000000000000004E-2</v>
      </c>
      <c r="AD411" s="428">
        <f t="shared" si="528"/>
        <v>0</v>
      </c>
      <c r="AE411" s="516">
        <f t="shared" si="529"/>
        <v>0</v>
      </c>
      <c r="AF411" s="1130">
        <f t="shared" si="530"/>
        <v>0</v>
      </c>
      <c r="AG411" s="420">
        <f t="shared" si="531"/>
        <v>0</v>
      </c>
      <c r="AH411" s="420">
        <f t="shared" si="532"/>
        <v>0</v>
      </c>
      <c r="AI411" s="1097">
        <f t="shared" si="533"/>
        <v>0</v>
      </c>
      <c r="AJ411" s="420">
        <f t="shared" si="534"/>
        <v>0</v>
      </c>
      <c r="AK411" s="518">
        <f t="shared" si="535"/>
        <v>0</v>
      </c>
      <c r="AL411" s="1106">
        <f>IF($P411="","N/A",(IF($P411=-1,INDEX('卡片raw data'!S:S,MATCH($D411,'卡片raw data'!$F:$F,)),0)+IF($P411=0,INDEX('卡片raw data'!V:V,MATCH($D411,'卡片raw data'!$F:$F,)),0)+IF($P411=1,INDEX('卡片raw data'!Y:Y,MATCH($D411,'卡片raw data'!$F:$F,)),0)+IF($P411=2,INDEX('卡片raw data'!AB:AB,MATCH($D411,'卡片raw data'!$F:$F,)),0)+IF($P411=3,INDEX('卡片raw data'!AE:AE,MATCH($D411,'卡片raw data'!$F:$F,)),0)+IF($P411=4,INDEX('卡片raw data'!AH:AH,MATCH($D411,'卡片raw data'!$F:$F,)),0)+IF($P411=5,INDEX('卡片raw data'!AK:AK,MATCH($D411,'卡片raw data'!$F:$F,)),0)+INDEX('卡片raw data'!S:S,MATCH($D411,'卡片raw data'!$F:$F,))*(IF($F411="UR",0.04,0.033))*(IF($F411="UR",INDEX(绊状态确认!$S:$S,MATCH($G411,绊状态确认!$B:$B,))/2-40)+IF($F411="SR",INDEX(绊状态确认!$R:$R,MATCH($G411,绊状态确认!$B:$B,))/4-15))+IF($F411="R",INDEX(绊状态确认!$Q:$Q,MATCH($G411,绊状态确认!$B:$B,))/6-40/6)))*(INDEX(绊状态确认!$H:$H,MATCH($G411,绊状态确认!$B:$B,))+INDEX(绊状态确认!J:J,MATCH($G411,绊状态确认!$B:$B,)))</f>
        <v>10778.072159999998</v>
      </c>
      <c r="AM411" s="1106">
        <f>IF($P411="","N/A",(IF($P411=-1,INDEX('卡片raw data'!T:T,MATCH($D411,'卡片raw data'!$F:$F,)),0)+IF($P411=0,INDEX('卡片raw data'!W:W,MATCH($D411,'卡片raw data'!$F:$F,)),0)+IF($P411=1,INDEX('卡片raw data'!Z:Z,MATCH($D411,'卡片raw data'!$F:$F,)),0)+IF($P411=2,INDEX('卡片raw data'!AC:AC,MATCH($D411,'卡片raw data'!$F:$F,)),0)+IF($P411=3,INDEX('卡片raw data'!AF:AF,MATCH($D411,'卡片raw data'!$F:$F,)),0)+IF($P411=4,INDEX('卡片raw data'!AI:AI,MATCH($D411,'卡片raw data'!$F:$F,)),0)+IF($P411=5,INDEX('卡片raw data'!AL:AL,MATCH($D411,'卡片raw data'!$F:$F,)),0)+INDEX('卡片raw data'!T:T,MATCH($D411,'卡片raw data'!$F:$F,))*(IF($F411="UR",0.04,0.033))*(IF($F411="UR",INDEX(绊状态确认!$S:$S,MATCH($G411,绊状态确认!$B:$B,))/2-40)+IF($F411="SR",INDEX(绊状态确认!$R:$R,MATCH($G411,绊状态确认!$B:$B,))/4-15))+IF($F411="R",INDEX(绊状态确认!$Q:$Q,MATCH($G411,绊状态确认!$B:$B,))/6-40/6)))*(INDEX(绊状态确认!$H:$H,MATCH($G411,绊状态确认!$B:$B,))+INDEX(绊状态确认!K:K,MATCH($G411,绊状态确认!$B:$B,)))</f>
        <v>8225.4904799999986</v>
      </c>
      <c r="AN411" s="1106">
        <f>IF($P411="","N/A",(IF($P411=-1,INDEX('卡片raw data'!U:U,MATCH($D411,'卡片raw data'!$F:$F,)),0)+IF($P411=0,INDEX('卡片raw data'!X:X,MATCH($D411,'卡片raw data'!$F:$F,)),0)+IF($P411=1,INDEX('卡片raw data'!AA:AA,MATCH($D411,'卡片raw data'!$F:$F,)),0)+IF($P411=2,INDEX('卡片raw data'!AD:AD,MATCH($D411,'卡片raw data'!$F:$F,)),0)+IF($P411=3,INDEX('卡片raw data'!AG:AG,MATCH($D411,'卡片raw data'!$F:$F,)),0)+IF($P411=4,INDEX('卡片raw data'!AJ:AJ,MATCH($D411,'卡片raw data'!$F:$F,)),0)+IF($P411=5,INDEX('卡片raw data'!AM:AM,MATCH($D411,'卡片raw data'!$F:$F,)),0)+INDEX('卡片raw data'!U:U,MATCH($D411,'卡片raw data'!$F:$F,))*(IF($F411="UR",0.04,0.033))*(IF($F411="UR",INDEX(绊状态确认!$S:$S,MATCH($G411,绊状态确认!$B:$B,))/2-40)+IF($F411="SR",INDEX(绊状态确认!$R:$R,MATCH($G411,绊状态确认!$B:$B,))/4-15))+IF($F411="R",INDEX(绊状态确认!$Q:$Q,MATCH($G411,绊状态确认!$B:$B,))/6-40/6)))*(INDEX(绊状态确认!$H:$H,MATCH($G411,绊状态确认!$B:$B,))+INDEX(绊状态确认!L:L,MATCH($G411,绊状态确认!$B:$B,)))</f>
        <v>9359.8449599999985</v>
      </c>
      <c r="AO411" s="1107">
        <f t="shared" si="536"/>
        <v>1</v>
      </c>
      <c r="AP411" s="1131">
        <f>1+(INDEX(绊状态确认!$T:$T,MATCH($G411,绊状态确认!$B:$B,))+0.2)*$AO411</f>
        <v>1.3</v>
      </c>
      <c r="AQ411" s="1108">
        <f t="shared" si="537"/>
        <v>31542.439419999995</v>
      </c>
      <c r="AR411" s="1097">
        <f>(AM411*(1+$EX$9)+$EX$35)*(1+(INDEX(绊状态确认!$T:$T,MATCH($G411,绊状态确认!$B:$B,))+0.2)*AO411)*IF(J411=$FF$17,1+$FE$17,1)*IF(I411=$FF$14,1+$FE$14,1)</f>
        <v>13931.7945052</v>
      </c>
      <c r="AS411" s="1097">
        <f>(AN411*(1+$EX$10)+$EX$36)*(1+(INDEX(绊状态确认!$T:$T,MATCH($G411,绊状态确认!$B:$B,))+0.2)*AO411)*IF(J411=$FF$17,1+$FE$17,1)*IF(I411=$FF$14,1+$FE$14,1)</f>
        <v>18048.968215199999</v>
      </c>
      <c r="AT411" s="1093">
        <f>IF(AND(INDEX('卡片raw data'!AK:AK,MATCH($D411,'卡片raw data'!$F:$F,))&lt;INDEX('卡片raw data'!AM:AM,MATCH($D411,'卡片raw data'!$F:$F,)),INDEX('卡片raw data'!AL:AL,MATCH($D411,'卡片raw data'!$F:$F,))&lt;INDEX('卡片raw data'!AM:AM,MATCH($D411,'卡片raw data'!$F:$F,))),1,0)</f>
        <v>0</v>
      </c>
      <c r="AU411" s="1098">
        <f>MIN(AT411*0.15+AS411*0.00003+INDEX(绊状态确认!M:M,MATCH($G411,绊状态确认!$B:$B,)),1)</f>
        <v>0.57146904645600005</v>
      </c>
      <c r="AV411" s="1109">
        <f>(INDEX(绊状态确认!$N:$N,MATCH($G411,绊状态确认!$B:$B,))+1.5)*$EW$21</f>
        <v>2.6599999999999997</v>
      </c>
      <c r="AW411" s="1101">
        <f t="shared" si="538"/>
        <v>31921.548190620611</v>
      </c>
      <c r="AX411" s="1097">
        <f t="shared" si="539"/>
        <v>1197.9880996308168</v>
      </c>
      <c r="AY411" s="1110">
        <f t="shared" si="540"/>
        <v>33119.536290251432</v>
      </c>
      <c r="AZ411" s="429">
        <f t="shared" si="541"/>
        <v>23617.240711999995</v>
      </c>
      <c r="BA411" s="431">
        <f t="shared" si="542"/>
        <v>28340.688854399992</v>
      </c>
      <c r="BB411" s="1097">
        <f>(AM411*(1+$FB$9)+$FB$35)*(1+(INDEX(绊状态确认!$T:$T,MATCH($G411,绊状态确认!$B:$B,))+0.2)*AO411)*IF(J411=$FF$17,1+$FE$17,1)*IF(I411=$FF$14,1+$FE$14,1)*(1+$FE$15)</f>
        <v>13931.7945052</v>
      </c>
      <c r="BC411" s="1097">
        <f>(AN411*(1+$FB$10)+$FB$36)*(1+(INDEX(绊状态确认!$T:$T,MATCH($G411,绊状态确认!$B:$B,))+0.2)*AO411)*IF(J411=$FF$17,1+$FE$17,1)*IF(I411=$FF$14,1+$FE$14,1)*(1+$FE$15)</f>
        <v>18048.968215199999</v>
      </c>
      <c r="BD411" s="1104">
        <f>MIN(AT411*0.15+BC411*0.00003+INDEX(绊状态确认!M:M,MATCH($G411,绊状态确认!$B:$B,)),1)</f>
        <v>0.57146904645600005</v>
      </c>
      <c r="BE411" s="432">
        <f>(INDEX(绊状态确认!$N:$N,MATCH($G411,绊状态确认!$B:$B,))+1.5)</f>
        <v>1.9</v>
      </c>
      <c r="BF411" s="1139">
        <f t="array" ref="BF411">SUMPRODUCT(IF(AZ411*AP411*$FI$16:$FI$23*$FA$22&gt;=$FI$24,$FI$24,AZ411*AP411*$FI$16:$FI$23*$FA$22),$FJ$16:$FJ$23)</f>
        <v>46974.691776167987</v>
      </c>
      <c r="BG411" s="1125">
        <f t="array" ref="BG411">SUMPRODUCT(IF(BE411*AZ411*AP411*$FI$16:$FI$23*$FA$22&gt;=$FI$24,$FI$24,BE411*AZ411*AP411*$FI$16:$FI$23*$FA$22),$FJ$16:$FJ$23)</f>
        <v>60000</v>
      </c>
      <c r="BH411" s="1110">
        <f t="shared" si="543"/>
        <v>18139.417415545588</v>
      </c>
      <c r="BI411" s="1111">
        <f>IF(O411="vo",$EW$26/$EW$24*0.05,0)+IF(O411="sk",-$EW$26/$EW$24*(0.05-INDEX(绊状态确认!W:W,MATCH($G411,绊状态确认!$B:$B,)))+0.05*$EW$28,0)+IF(O411="sp",0.05*$EW$32*$EW$30*(1-$EW$33)-(0.05-INDEX(绊状态确认!V:V,MATCH($G411,绊状态确认!$B:$B,)))*$EW$28,0)+IF(O411="gd",-(0.05-INDEX(绊状态确认!X:X,MATCH($G411,绊状态确认!$B:$B,)))*$EW$32*$EW$30*(1-$EW$33),0)</f>
        <v>7726.3029277443748</v>
      </c>
      <c r="BJ411" s="420">
        <f>IF(O411="vo",0.05*(1-$FI$26)*$FA$24,0)+IF(O411="sk",-(0.05-INDEX(绊状态确认!W:W,MATCH($G411,绊状态确认!$B:$B,)))*(1-$FI$26)*$FA$24+0.05*$FA$26,0)+IF(O411="sp",0.05*$FA$32*$FA$27*(1-$FA$33)/$FA$30+0.05*$FA$29/$FA$69*$FA$27*(1-$FA$33)-(0.05-INDEX(绊状态确认!V:V,MATCH($G411,绊状态确认!$B:$B,)))*$FA$26,0)+IF(O411="gd",-(0.05-INDEX(绊状态确认!X:X,MATCH($G411,绊状态确认!$B:$B,)))*$FA$32*$FA$27*(1-$FA$33)/$FA$30-(0.05-INDEX(绊状态确认!X:X,MATCH($G411,绊状态确认!$B:$B,)))*$FA$29/$FA$69*$FA$27*(1-$FA$33),0)</f>
        <v>393.93433687500004</v>
      </c>
      <c r="BK411" s="1110">
        <f>IF(O411="vo",$EW$26/$EW$24*0.05+$EW$26*(-HP($EW$62,$EW$65,$EW$64)+HP($EW$62,$EW$65,(1.05-INDEX(绊状态确认!U:U,MATCH($G411,绊状态确认!$B:$B,)))*$EW$64)),0)+IF(O411="sk",-$EW$26/$EW$24*(0.05-INDEX(绊状态确认!W:W,MATCH($G411,绊状态确认!$B:$B,)))+0.05*$EW$29,0)+IF(O411="sp",0.05*$EW$32*$EW$30*(1-$EW$33)-(0.05-INDEX(绊状态确认!V:V,MATCH($G411,绊状态确认!$B:$B,)))*$EW$29,0)+IF(O411="gd",-(0.05-INDEX(绊状态确认!X:X,MATCH($G411,绊状态确认!$B:$B,)))*$EW$32*$EW$30*(1-$EW$33)+$EW$26*(-HP($EW$62,$EW$65,$EW$64)+HP($EW$62,$EW$65,0.95*$EW$64)),0)</f>
        <v>6421.6344775026746</v>
      </c>
      <c r="BL411" s="1111">
        <f t="shared" si="544"/>
        <v>0</v>
      </c>
      <c r="BM411" s="1110">
        <f t="shared" si="545"/>
        <v>0</v>
      </c>
      <c r="BN411" s="1113">
        <f t="shared" si="546"/>
        <v>3</v>
      </c>
      <c r="BO411" s="1108">
        <f t="shared" si="547"/>
        <v>4507.7214871259994</v>
      </c>
      <c r="BP411" s="1100">
        <f t="shared" si="548"/>
        <v>221.34103209030098</v>
      </c>
      <c r="BQ411" s="1113" t="s">
        <v>132</v>
      </c>
      <c r="BR411" s="1124" t="s">
        <v>171</v>
      </c>
      <c r="BS411" s="421">
        <f>IF($P411="","N/A",IF($P411=-1,INDEX('卡片raw data'!AX:AX,MATCH($D411,'卡片raw data'!$F:$F,)),0)+IF($L411="party卡",IF($P411=5,INDEX('卡片raw data'!BD:BD,MATCH($D411,'卡片raw data'!$F:$F,)),IF($P411&gt;=3,INDEX('卡片raw data'!BC:BC,MATCH($D411,'卡片raw data'!$F:$F,)),INDEX('卡片raw data'!BB:BB,MATCH($D411,'卡片raw data'!$F:$F,)))),IF(OR(AND($F411="UR",$P411=0),AND($F411="SR",$P411&gt;=0,$P411&lt;=2),AND($F411="R",$P411&gt;=0,$P411&lt;4)),INDEX('卡片raw data'!AZ:AZ,MATCH($D411,'卡片raw data'!$F:$F,)),0)+IF(OR(AND($F411="UR",$P411&gt;=1,$P411&lt;=4),AND($F411="SR",$P411&lt;=4,$P411&gt;=3),AND($F411="R",$P411=4)),INDEX('卡片raw data'!BA:BA,MATCH($D411,'卡片raw data'!$F:$F,)),0)+IF($P411=5,INDEX('卡片raw data'!BB:BB,MATCH($D411,'卡片raw data'!$F:$F,)),0)))</f>
        <v>5.1999999999999998E-2</v>
      </c>
      <c r="BT411" s="424">
        <f t="shared" si="549"/>
        <v>2604.4613036728001</v>
      </c>
      <c r="BU411" s="420">
        <f t="shared" si="550"/>
        <v>111.90018844565216</v>
      </c>
      <c r="BV411" s="420">
        <f t="shared" si="551"/>
        <v>1302.2306518363998</v>
      </c>
      <c r="BW411" s="436">
        <f t="shared" si="552"/>
        <v>0</v>
      </c>
      <c r="BX411" s="423">
        <f t="shared" si="553"/>
        <v>2604.4613036728001</v>
      </c>
      <c r="BY411" s="433">
        <f t="shared" si="554"/>
        <v>1302.2306518363998</v>
      </c>
      <c r="BZ411" s="1113" t="s">
        <v>569</v>
      </c>
      <c r="CA411" s="450"/>
      <c r="CB411" s="421">
        <f>IF($P411="","N/A",IF($P411=-1,INDEX('卡片raw data'!BE:BE,MATCH($D411,'卡片raw data'!$F:$F,)),0)+IF($L411="party卡",IF($P411=5,INDEX('卡片raw data'!BK:BK,MATCH($D411,'卡片raw data'!$F:$F,)),IF($P411&gt;=3,INDEX('卡片raw data'!BJ:BJ,MATCH($D411,'卡片raw data'!$F:$F,)),INDEX('卡片raw data'!BI:BI,MATCH($D411,'卡片raw data'!$F:$F,)))),IF(OR(AND($F411="UR",$P411=0),AND($F411="SR",$P411&gt;=0,$P411&lt;=2),AND($F411="R",$P411&gt;=0,$P411&lt;4)),INDEX('卡片raw data'!BG:BG,MATCH($D411,'卡片raw data'!$F:$F,)),0)+IF(OR(AND($F411="UR",$P411&gt;=1,$P411&lt;=4),AND($F411="SR",$P411&lt;=4,$P411&gt;=3),AND($F411="R",$P411=4)),INDEX('卡片raw data'!BH:BH,MATCH($D411,'卡片raw data'!$F:$F,)),0)+IF($P411=5,INDEX('卡片raw data'!BI:BI,MATCH($D411,'卡片raw data'!$F:$F,)),0)))</f>
        <v>0</v>
      </c>
      <c r="CC411" s="424">
        <f t="shared" si="555"/>
        <v>0</v>
      </c>
      <c r="CD411" s="420">
        <f>IF(BZ411="ap",CB411*(1-$FI$26)*$FB$5/$FB$11*(+IF(CA411="全员",$FA$24,0)+IF(CA411="同作战",$FA$24,0)+IF(CA411="仲间",$FA$24*2/3,0)+IF(CA411="同属性",$FA$24*$FA$37/3,0)+IF(CA411="同年级",$FA$24*$FA$40/3,0)+IF(CA411="同学校",$FA$24*$FA$43/3,0)+IF(CA411="同小队",$FA$24*$FA$46/3,0)+IF(CA411="同type",$FA$24*INDEX($FB$49:$FB$52,MATCH(X411,$FA$49:$FA$52,))/3,0)+IF(CA411="自身",#REF!/3,0)),0)+IF(BZ411="te",CB411*(1-$FI$27)*($FA$20-1)*$FB$7/$FB$13*(+IF(CA411="全员",$FA$19*$FA$24/(1+($FA$20-1)*$FA$19),0)+IF(CA411="同作战",$FA$19*$FA$24/(1+($FA$20-1)*$FA$19),0)+IF(CA411="仲间",$FA$19*$FA$24*2/3/(1+($FA$20-1)*$FA$19),0)+IF(CA411="同属性",$FA$19*$FA$24*$FA$37/3/(1+($FA$20-1)*$FA$19),0)+IF(CA411="同年级",$FA$19*$FA$24*$FA$40/3/(1+($FA$20-1)*$FA$19),0)+IF(CA411="同学校",$FA$19*$FA$24*$FA$43/3/(1+($FA$20-1)*$FA$19),0)+IF(CA411="同小队",$FA$19*$FA$24*$FA$46/3/(1+($FA$20-1)*$FA$19),0)+IF(CA411="同type",$FA$19*$FA$24*INDEX($FB$49:$FB$52,MATCH(X411,$FA$49:$FA$52,))/3/(1+($FA$20-1)*$FA$19),0)+IF(CA411="自身",$FA$19*#REF!/3/(1+(BH411-1)*$BD411),0)),0)</f>
        <v>0</v>
      </c>
      <c r="CE411" s="420">
        <f t="shared" si="556"/>
        <v>0</v>
      </c>
      <c r="CF411" s="436">
        <f t="shared" si="557"/>
        <v>0</v>
      </c>
      <c r="CG411" s="423">
        <f t="shared" si="558"/>
        <v>0</v>
      </c>
      <c r="CH411" s="433">
        <f t="shared" si="559"/>
        <v>0</v>
      </c>
      <c r="CI411" s="1113" t="s">
        <v>164</v>
      </c>
      <c r="CJ411" s="438">
        <v>1</v>
      </c>
      <c r="CK411" s="1115" t="s">
        <v>2046</v>
      </c>
      <c r="CL411" s="1115" t="s">
        <v>1940</v>
      </c>
      <c r="CM411" s="1119">
        <v>0.1</v>
      </c>
      <c r="CN411" s="1115"/>
      <c r="CO411" s="1115"/>
      <c r="CP411" s="1116">
        <f t="shared" si="560"/>
        <v>87.868224098571432</v>
      </c>
      <c r="CQ411" s="1116">
        <f t="shared" si="561"/>
        <v>122.80965170239999</v>
      </c>
      <c r="CR411" s="1117">
        <f t="shared" si="562"/>
        <v>87.868224098571432</v>
      </c>
      <c r="CS411" s="442">
        <f t="shared" si="563"/>
        <v>0</v>
      </c>
      <c r="CT411" s="432">
        <f t="shared" si="564"/>
        <v>0</v>
      </c>
      <c r="CU411" s="1101">
        <f t="shared" si="565"/>
        <v>96.655046508428583</v>
      </c>
      <c r="CV411" s="1108">
        <f t="shared" si="566"/>
        <v>122.80965170239999</v>
      </c>
      <c r="CW411" s="420">
        <f t="shared" si="567"/>
        <v>96.655046508428583</v>
      </c>
      <c r="CX411" s="420">
        <f t="shared" si="568"/>
        <v>96.655046508428583</v>
      </c>
      <c r="CY411" s="433">
        <f t="shared" si="569"/>
        <v>96.655046508428583</v>
      </c>
      <c r="CZ411" s="437"/>
      <c r="DA411" s="438"/>
      <c r="DB411" s="439" t="s">
        <v>569</v>
      </c>
      <c r="DC411" s="439"/>
      <c r="DD411" s="443"/>
      <c r="DE411" s="411"/>
      <c r="DF411" s="411"/>
      <c r="DG411" s="1116">
        <f t="shared" si="570"/>
        <v>0</v>
      </c>
      <c r="DH411" s="1116">
        <f t="shared" si="571"/>
        <v>0</v>
      </c>
      <c r="DI411" s="1116">
        <f t="shared" si="572"/>
        <v>0</v>
      </c>
      <c r="DJ411" s="442">
        <f t="shared" si="573"/>
        <v>0</v>
      </c>
      <c r="DK411" s="432">
        <f t="shared" si="574"/>
        <v>0</v>
      </c>
      <c r="DL411" s="424">
        <f t="shared" si="575"/>
        <v>0</v>
      </c>
      <c r="DM411" s="420">
        <f t="shared" si="576"/>
        <v>0</v>
      </c>
      <c r="DN411" s="420">
        <f t="shared" si="577"/>
        <v>0</v>
      </c>
      <c r="DO411" s="420">
        <f t="shared" si="578"/>
        <v>0</v>
      </c>
      <c r="DP411" s="433">
        <f t="shared" si="579"/>
        <v>0</v>
      </c>
      <c r="DQ411" s="437" t="s">
        <v>167</v>
      </c>
      <c r="DR411" s="1120">
        <f t="shared" si="580"/>
        <v>0.33</v>
      </c>
      <c r="DS411" s="450">
        <v>5</v>
      </c>
      <c r="DT411" s="1124" t="s">
        <v>171</v>
      </c>
      <c r="DU411" s="1093" t="s">
        <v>544</v>
      </c>
      <c r="DV411" s="1098">
        <f>IF($P411="","N/A",IF(P411=-1,INDEX('卡片raw data'!AN:AN,MATCH(D411,'卡片raw data'!$F:$F,)),0)+IF(AND(L411&lt;&gt;"party卡",P411&lt;=2,P411&gt;=0),INDEX('卡片raw data'!AP:AP,MATCH(D411,'卡片raw data'!$F:$F,)),0)+IF(OR(AND(L411="party卡",P411&lt;=1),AND(P411&lt;=4,L411&lt;&gt;"party卡",P411&gt;=3)),INDEX('卡片raw data'!AQ:AQ,MATCH(D411,'卡片raw data'!$F:$F,)),0)+IF(OR(P411=5,AND(L411="party卡",P411&gt;=2)),INDEX('卡片raw data'!AR:AR,MATCH(D411,'卡片raw data'!$F:$F,)),0))</f>
        <v>6.2E-2</v>
      </c>
      <c r="DW411" s="1098">
        <f t="shared" si="581"/>
        <v>0.33</v>
      </c>
      <c r="DX411" s="1098">
        <f t="shared" si="582"/>
        <v>0.33</v>
      </c>
      <c r="DY411" s="1098">
        <f t="shared" si="583"/>
        <v>2.2733333333333338E-2</v>
      </c>
      <c r="DZ411" s="1098">
        <f t="shared" si="584"/>
        <v>1.7206291666666668E-2</v>
      </c>
      <c r="EA411" s="421">
        <f t="shared" si="585"/>
        <v>0</v>
      </c>
      <c r="EB411" s="445">
        <f t="shared" si="586"/>
        <v>0</v>
      </c>
      <c r="EC411" s="424">
        <f t="shared" si="587"/>
        <v>3091.3453100767101</v>
      </c>
      <c r="ED411" s="420">
        <f t="shared" si="588"/>
        <v>112.96915162976956</v>
      </c>
      <c r="EE411" s="433">
        <f t="shared" si="513"/>
        <v>3091.3453100767101</v>
      </c>
      <c r="EF411" s="1115" t="s">
        <v>569</v>
      </c>
      <c r="EG411" s="1120">
        <f t="shared" si="589"/>
        <v>0.33</v>
      </c>
      <c r="EH411" s="450"/>
      <c r="EI411" s="1093"/>
      <c r="EJ411" s="1093"/>
      <c r="EK411" s="420">
        <f>IF($P411="","N/A",IF(P411=-1,INDEX('卡片raw data'!AS:AS,MATCH(D411,'卡片raw data'!$F:$F,)),0)+IF(AND(L411&lt;&gt;"party卡",P411&lt;=2,P411&gt;=0),INDEX('卡片raw data'!AU:AU,MATCH(D411,'卡片raw data'!$F:$F,)),0)+IF(OR(AND(L411="party卡",P411&lt;=1),AND(P411&lt;=4,L411&lt;&gt;"party卡",P411&gt;=3)),INDEX('卡片raw data'!AV:AV,MATCH(D411,'卡片raw data'!$F:$F,)),0)+IF(OR(P411=5,AND(L411="party卡",P411&gt;=2)),INDEX('卡片raw data'!AW:AW,MATCH(D411,'卡片raw data'!$F:$F,)),0))</f>
        <v>0</v>
      </c>
      <c r="EL411" s="1098">
        <f t="shared" si="590"/>
        <v>0.33</v>
      </c>
      <c r="EM411" s="1098">
        <f t="shared" si="591"/>
        <v>0.33</v>
      </c>
      <c r="EN411" s="1097">
        <f t="shared" si="592"/>
        <v>0</v>
      </c>
      <c r="EO411" s="1097">
        <f t="shared" si="593"/>
        <v>0</v>
      </c>
      <c r="EP411" s="421">
        <f t="shared" si="594"/>
        <v>0</v>
      </c>
      <c r="EQ411" s="445">
        <f t="shared" si="595"/>
        <v>0</v>
      </c>
      <c r="ER411" s="424">
        <f t="shared" si="596"/>
        <v>0</v>
      </c>
      <c r="ES411" s="420">
        <f t="shared" si="597"/>
        <v>0</v>
      </c>
      <c r="ET411" s="446">
        <f t="shared" si="514"/>
        <v>0</v>
      </c>
    </row>
    <row r="412" spans="2:150" ht="16.5" customHeight="1">
      <c r="B412" s="448" t="str">
        <f>INDEX('卡片raw data'!B:B,MATCH($D412,'卡片raw data'!$F:$F,))</f>
        <v>kks鸟</v>
      </c>
      <c r="C412" s="449" t="s">
        <v>2142</v>
      </c>
      <c r="D412" s="408">
        <v>409</v>
      </c>
      <c r="E412" s="477">
        <v>400032004</v>
      </c>
      <c r="F412" s="409" t="str">
        <f>INDEX('卡片raw data'!C:C,MATCH($D412,'卡片raw data'!$F:$F,))</f>
        <v>SR</v>
      </c>
      <c r="G412" s="1094" t="s">
        <v>2138</v>
      </c>
      <c r="H412" s="411">
        <f>IFERROR(INDEX(绊状态确认!C:C,MATCH($G412,绊状态确认!$B:$B,)),"")</f>
        <v>3</v>
      </c>
      <c r="I412" s="450" t="str">
        <f>IFERROR(INDEX(绊状态确认!D:D,MATCH($G412,绊状态确认!$B:$B,)),"")</f>
        <v>缪</v>
      </c>
      <c r="J412" s="450" t="str">
        <f>IFERROR(INDEX(绊状态确认!E:E,MATCH($G412,绊状态确认!$B:$B,)),"")</f>
        <v>2年级</v>
      </c>
      <c r="K412" s="451" t="str">
        <f>IFERROR(INDEX(绊状态确认!F:F,MATCH($G412,绊状态确认!$B:$B,)),"")</f>
        <v>Printemps</v>
      </c>
      <c r="L412" s="414" t="str">
        <f>INDEX('卡片raw data'!E:E,MATCH($D412,'卡片raw data'!$F:$F,))</f>
        <v>活动卡</v>
      </c>
      <c r="M412" s="478">
        <v>44244</v>
      </c>
      <c r="N412" s="479">
        <v>34</v>
      </c>
      <c r="O412" s="410" t="str">
        <f>INDEX('卡片raw data'!D:D,MATCH($D412,'卡片raw data'!$F:$F,))</f>
        <v>sp</v>
      </c>
      <c r="P412" s="1126">
        <v>5</v>
      </c>
      <c r="Q412" s="418">
        <f t="shared" si="515"/>
        <v>25065.411088304216</v>
      </c>
      <c r="R412" s="419">
        <f t="shared" si="516"/>
        <v>0.29099999999999998</v>
      </c>
      <c r="S412" s="420">
        <f t="shared" si="517"/>
        <v>13920.382847563302</v>
      </c>
      <c r="T412" s="421">
        <f t="shared" si="518"/>
        <v>0.69599999999999995</v>
      </c>
      <c r="U412" s="422">
        <f t="shared" si="519"/>
        <v>11.847869441682857</v>
      </c>
      <c r="V412" s="423">
        <f t="shared" si="520"/>
        <v>24210.286314276382</v>
      </c>
      <c r="W412" s="424">
        <f t="shared" si="521"/>
        <v>4517.480848813263</v>
      </c>
      <c r="X412" s="419">
        <f t="shared" si="522"/>
        <v>5.1999999999999998E-2</v>
      </c>
      <c r="Y412" s="420">
        <f t="shared" si="523"/>
        <v>944.87522597216775</v>
      </c>
      <c r="Z412" s="425">
        <f t="shared" si="524"/>
        <v>11.847869441682857</v>
      </c>
      <c r="AA412" s="426">
        <f t="shared" si="525"/>
        <v>5462.3560747854308</v>
      </c>
      <c r="AB412" s="424">
        <f t="shared" si="526"/>
        <v>8054.7784509675621</v>
      </c>
      <c r="AC412" s="427">
        <f t="shared" si="527"/>
        <v>9.2999999999999999E-2</v>
      </c>
      <c r="AD412" s="428">
        <f t="shared" si="528"/>
        <v>-4.4144986979166769E-3</v>
      </c>
      <c r="AE412" s="516">
        <f t="shared" si="529"/>
        <v>6.1858119235836586</v>
      </c>
      <c r="AF412" s="1130">
        <f t="shared" si="530"/>
        <v>0</v>
      </c>
      <c r="AG412" s="420">
        <f t="shared" si="531"/>
        <v>0</v>
      </c>
      <c r="AH412" s="420">
        <f t="shared" si="532"/>
        <v>0</v>
      </c>
      <c r="AI412" s="1097">
        <f t="shared" si="533"/>
        <v>0</v>
      </c>
      <c r="AJ412" s="420">
        <f t="shared" si="534"/>
        <v>0</v>
      </c>
      <c r="AK412" s="518">
        <f t="shared" si="535"/>
        <v>0</v>
      </c>
      <c r="AL412" s="1106">
        <f>IF($P412="","N/A",(IF($P412=-1,INDEX('卡片raw data'!S:S,MATCH($D412,'卡片raw data'!$F:$F,)),0)+IF($P412=0,INDEX('卡片raw data'!V:V,MATCH($D412,'卡片raw data'!$F:$F,)),0)+IF($P412=1,INDEX('卡片raw data'!Y:Y,MATCH($D412,'卡片raw data'!$F:$F,)),0)+IF($P412=2,INDEX('卡片raw data'!AB:AB,MATCH($D412,'卡片raw data'!$F:$F,)),0)+IF($P412=3,INDEX('卡片raw data'!AE:AE,MATCH($D412,'卡片raw data'!$F:$F,)),0)+IF($P412=4,INDEX('卡片raw data'!AH:AH,MATCH($D412,'卡片raw data'!$F:$F,)),0)+IF($P412=5,INDEX('卡片raw data'!AK:AK,MATCH($D412,'卡片raw data'!$F:$F,)),0)+INDEX('卡片raw data'!S:S,MATCH($D412,'卡片raw data'!$F:$F,))*(IF($F412="UR",0.04,0.033))*(IF($F412="UR",INDEX(绊状态确认!$S:$S,MATCH($G412,绊状态确认!$B:$B,))/2-40)+IF($F412="SR",INDEX(绊状态确认!$R:$R,MATCH($G412,绊状态确认!$B:$B,))/4-15))+IF($F412="R",INDEX(绊状态确认!$Q:$Q,MATCH($G412,绊状态确认!$B:$B,))/6-40/6)))*(INDEX(绊状态确认!$H:$H,MATCH($G412,绊状态确认!$B:$B,))+INDEX(绊状态确认!J:J,MATCH($G412,绊状态确认!$B:$B,)))</f>
        <v>6643.7830487999991</v>
      </c>
      <c r="AM412" s="1106">
        <f>IF($P412="","N/A",(IF($P412=-1,INDEX('卡片raw data'!T:T,MATCH($D412,'卡片raw data'!$F:$F,)),0)+IF($P412=0,INDEX('卡片raw data'!W:W,MATCH($D412,'卡片raw data'!$F:$F,)),0)+IF($P412=1,INDEX('卡片raw data'!Z:Z,MATCH($D412,'卡片raw data'!$F:$F,)),0)+IF($P412=2,INDEX('卡片raw data'!AC:AC,MATCH($D412,'卡片raw data'!$F:$F,)),0)+IF($P412=3,INDEX('卡片raw data'!AF:AF,MATCH($D412,'卡片raw data'!$F:$F,)),0)+IF($P412=4,INDEX('卡片raw data'!AI:AI,MATCH($D412,'卡片raw data'!$F:$F,)),0)+IF($P412=5,INDEX('卡片raw data'!AL:AL,MATCH($D412,'卡片raw data'!$F:$F,)),0)+INDEX('卡片raw data'!T:T,MATCH($D412,'卡片raw data'!$F:$F,))*(IF($F412="UR",0.04,0.033))*(IF($F412="UR",INDEX(绊状态确认!$S:$S,MATCH($G412,绊状态确认!$B:$B,))/2-40)+IF($F412="SR",INDEX(绊状态确认!$R:$R,MATCH($G412,绊状态确认!$B:$B,))/4-15))+IF($F412="R",INDEX(绊状态确认!$Q:$Q,MATCH($G412,绊状态确认!$B:$B,))/6-40/6)))*(INDEX(绊状态确认!$H:$H,MATCH($G412,绊状态确认!$B:$B,))+INDEX(绊状态确认!K:K,MATCH($G412,绊状态确认!$B:$B,)))</f>
        <v>6120.1549295999994</v>
      </c>
      <c r="AN412" s="1106">
        <f>IF($P412="","N/A",(IF($P412=-1,INDEX('卡片raw data'!U:U,MATCH($D412,'卡片raw data'!$F:$F,)),0)+IF($P412=0,INDEX('卡片raw data'!X:X,MATCH($D412,'卡片raw data'!$F:$F,)),0)+IF($P412=1,INDEX('卡片raw data'!AA:AA,MATCH($D412,'卡片raw data'!$F:$F,)),0)+IF($P412=2,INDEX('卡片raw data'!AD:AD,MATCH($D412,'卡片raw data'!$F:$F,)),0)+IF($P412=3,INDEX('卡片raw data'!AG:AG,MATCH($D412,'卡片raw data'!$F:$F,)),0)+IF($P412=4,INDEX('卡片raw data'!AJ:AJ,MATCH($D412,'卡片raw data'!$F:$F,)),0)+IF($P412=5,INDEX('卡片raw data'!AM:AM,MATCH($D412,'卡片raw data'!$F:$F,)),0)+INDEX('卡片raw data'!U:U,MATCH($D412,'卡片raw data'!$F:$F,))*(IF($F412="UR",0.04,0.033))*(IF($F412="UR",INDEX(绊状态确认!$S:$S,MATCH($G412,绊状态确认!$B:$B,))/2-40)+IF($F412="SR",INDEX(绊状态确认!$R:$R,MATCH($G412,绊状态确认!$B:$B,))/4-15))+IF($F412="R",INDEX(绊状态确认!$Q:$Q,MATCH($G412,绊状态确认!$B:$B,))/6-40/6)))*(INDEX(绊状态确认!$H:$H,MATCH($G412,绊状态确认!$B:$B,))+INDEX(绊状态确认!L:L,MATCH($G412,绊状态确认!$B:$B,)))</f>
        <v>4718.4100751999995</v>
      </c>
      <c r="AO412" s="1107">
        <f t="shared" si="536"/>
        <v>1</v>
      </c>
      <c r="AP412" s="1131">
        <f>1+(INDEX(绊状态确认!$T:$T,MATCH($G412,绊状态确认!$B:$B,))+0.2)*$AO412</f>
        <v>1.3</v>
      </c>
      <c r="AQ412" s="1108">
        <f t="shared" si="537"/>
        <v>20689.930503099997</v>
      </c>
      <c r="AR412" s="1097">
        <f>(AM412*(1+$EX$9)+$EX$35)*(1+(INDEX(绊状态确认!$T:$T,MATCH($G412,绊状态确认!$B:$B,))+0.2)*AO412)*IF(J412=$FF$17,1+$FE$17,1)*IF(I412=$FF$14,1+$FE$14,1)</f>
        <v>11058.011478904</v>
      </c>
      <c r="AS412" s="1097">
        <f>(AN412*(1+$EX$10)+$EX$36)*(1+(INDEX(绊状态确认!$T:$T,MATCH($G412,绊状态确认!$B:$B,))+0.2)*AO412)*IF(J412=$FF$17,1+$FE$17,1)*IF(I412=$FF$14,1+$FE$14,1)</f>
        <v>11110.023062423999</v>
      </c>
      <c r="AT412" s="1093">
        <f>IF(AND(INDEX('卡片raw data'!AK:AK,MATCH($D412,'卡片raw data'!$F:$F,))&lt;INDEX('卡片raw data'!AM:AM,MATCH($D412,'卡片raw data'!$F:$F,)),INDEX('卡片raw data'!AL:AL,MATCH($D412,'卡片raw data'!$F:$F,))&lt;INDEX('卡片raw data'!AM:AM,MATCH($D412,'卡片raw data'!$F:$F,))),1,0)</f>
        <v>0</v>
      </c>
      <c r="AU412" s="1098">
        <f>MIN(AT412*0.15+AS412*0.00003+INDEX(绊状态确认!M:M,MATCH($G412,绊状态确认!$B:$B,)),1)</f>
        <v>0.36330069187272002</v>
      </c>
      <c r="AV412" s="1109">
        <f>(INDEX(绊状态确认!$N:$N,MATCH($G412,绊状态确认!$B:$B,))+1.5)*$EW$21</f>
        <v>2.6599999999999997</v>
      </c>
      <c r="AW412" s="1101">
        <f t="shared" si="538"/>
        <v>17225.481122185138</v>
      </c>
      <c r="AX412" s="1097">
        <f t="shared" si="539"/>
        <v>944.87522597216741</v>
      </c>
      <c r="AY412" s="1110">
        <f t="shared" si="540"/>
        <v>18170.356348157304</v>
      </c>
      <c r="AZ412" s="429">
        <f t="shared" si="541"/>
        <v>15555.376945159998</v>
      </c>
      <c r="BA412" s="431">
        <f t="shared" si="542"/>
        <v>18666.452334191996</v>
      </c>
      <c r="BB412" s="1097">
        <f>(AM412*(1+$FB$9)+$FB$35)*(1+(INDEX(绊状态确认!$T:$T,MATCH($G412,绊状态确认!$B:$B,))+0.2)*AO412)*IF(J412=$FF$17,1+$FE$17,1)*IF(I412=$FF$14,1+$FE$14,1)*(1+$FE$15)</f>
        <v>11058.011478904</v>
      </c>
      <c r="BC412" s="1097">
        <f>(AN412*(1+$FB$10)+$FB$36)*(1+(INDEX(绊状态确认!$T:$T,MATCH($G412,绊状态确认!$B:$B,))+0.2)*AO412)*IF(J412=$FF$17,1+$FE$17,1)*IF(I412=$FF$14,1+$FE$14,1)*(1+$FE$15)</f>
        <v>11110.023062423999</v>
      </c>
      <c r="BD412" s="1104">
        <f>MIN(AT412*0.15+BC412*0.00003+INDEX(绊状态确认!M:M,MATCH($G412,绊状态确认!$B:$B,)),1)</f>
        <v>0.36330069187272002</v>
      </c>
      <c r="BE412" s="432">
        <f>(INDEX(绊状态确认!$N:$N,MATCH($G412,绊状态确认!$B:$B,))+1.5)</f>
        <v>1.9</v>
      </c>
      <c r="BF412" s="1139">
        <f t="array" ref="BF412">SUMPRODUCT(IF(AZ412*AP412*$FI$16:$FI$23*$FA$22&gt;=$FI$24,$FI$24,AZ412*AP412*$FI$16:$FI$23*$FA$22),$FJ$16:$FJ$23)</f>
        <v>30939.64474392324</v>
      </c>
      <c r="BG412" s="1125">
        <f t="array" ref="BG412">SUMPRODUCT(IF(BE412*AZ412*AP412*$FI$16:$FI$23*$FA$22&gt;=$FI$24,$FI$24,BE412*AZ412*AP412*$FI$16:$FI$23*$FA$22),$FJ$16:$FJ$23)</f>
        <v>55890.078275272506</v>
      </c>
      <c r="BH412" s="1110">
        <f t="shared" si="543"/>
        <v>13334.718169462247</v>
      </c>
      <c r="BI412" s="1111">
        <f>IF(O412="vo",$EW$26/$EW$24*0.05,0)+IF(O412="sk",-$EW$26/$EW$24*(0.05-INDEX(绊状态确认!W:W,MATCH($G412,绊状态确认!$B:$B,)))+0.05*$EW$28,0)+IF(O412="sp",0.05*$EW$32*$EW$30*(1-$EW$33)-(0.05-INDEX(绊状态确认!V:V,MATCH($G412,绊状态确认!$B:$B,)))*$EW$28,0)+IF(O412="gd",-(0.05-INDEX(绊状态确认!X:X,MATCH($G412,绊状态确认!$B:$B,)))*$EW$32*$EW$30*(1-$EW$33),0)</f>
        <v>19.999999999999886</v>
      </c>
      <c r="BJ412" s="420">
        <f>IF(O412="vo",0.05*(1-$FI$26)*$FA$24,0)+IF(O412="sk",-(0.05-INDEX(绊状态确认!W:W,MATCH($G412,绊状态确认!$B:$B,)))*(1-$FI$26)*$FA$24+0.05*$FA$26,0)+IF(O412="sp",0.05*$FA$32*$FA$27*(1-$FA$33)/$FA$30+0.05*$FA$29/$FA$69*$FA$27*(1-$FA$33)-(0.05-INDEX(绊状态确认!V:V,MATCH($G412,绊状态确认!$B:$B,)))*$FA$26,0)+IF(O412="gd",-(0.05-INDEX(绊状态确认!X:X,MATCH($G412,绊状态确认!$B:$B,)))*$FA$32*$FA$27*(1-$FA$33)/$FA$30-(0.05-INDEX(绊状态确认!X:X,MATCH($G412,绊状态确认!$B:$B,)))*$FA$29/$FA$69*$FA$27*(1-$FA$33),0)</f>
        <v>545.83333333333326</v>
      </c>
      <c r="BK412" s="1110">
        <f>IF(O412="vo",$EW$26/$EW$24*0.05+$EW$26*(-HP($EW$62,$EW$65,$EW$64)+HP($EW$62,$EW$65,(1.05-INDEX(绊状态确认!U:U,MATCH($G412,绊状态确认!$B:$B,)))*$EW$64)),0)+IF(O412="sk",-$EW$26/$EW$24*(0.05-INDEX(绊状态确认!W:W,MATCH($G412,绊状态确认!$B:$B,)))+0.05*$EW$29,0)+IF(O412="sp",0.05*$EW$32*$EW$30*(1-$EW$33)-(0.05-INDEX(绊状态确认!V:V,MATCH($G412,绊状态确认!$B:$B,)))*$EW$29,0)+IF(O412="gd",-(0.05-INDEX(绊状态确认!X:X,MATCH($G412,绊状态确认!$B:$B,)))*$EW$32*$EW$30*(1-$EW$33)+$EW$26*(-HP($EW$62,$EW$65,$EW$64)+HP($EW$62,$EW$65,0.95*$EW$64)),0)</f>
        <v>-1780.0000000000005</v>
      </c>
      <c r="BL412" s="1111">
        <f t="shared" si="544"/>
        <v>-1083.3333333333333</v>
      </c>
      <c r="BM412" s="1110">
        <f t="shared" si="545"/>
        <v>-830.55555555555543</v>
      </c>
      <c r="BN412" s="1113">
        <f t="shared" si="546"/>
        <v>3</v>
      </c>
      <c r="BO412" s="1108">
        <f t="shared" si="547"/>
        <v>4507.7214871259994</v>
      </c>
      <c r="BP412" s="1100">
        <f t="shared" si="548"/>
        <v>221.34103209030098</v>
      </c>
      <c r="BQ412" s="1113" t="s">
        <v>134</v>
      </c>
      <c r="BR412" s="450" t="s">
        <v>168</v>
      </c>
      <c r="BS412" s="421">
        <f>IF($P412="","N/A",IF($P412=-1,INDEX('卡片raw data'!AX:AX,MATCH($D412,'卡片raw data'!$F:$F,)),0)+IF($L412="party卡",IF($P412=5,INDEX('卡片raw data'!BD:BD,MATCH($D412,'卡片raw data'!$F:$F,)),IF($P412&gt;=3,INDEX('卡片raw data'!BC:BC,MATCH($D412,'卡片raw data'!$F:$F,)),INDEX('卡片raw data'!BB:BB,MATCH($D412,'卡片raw data'!$F:$F,)))),IF(OR(AND($F412="UR",$P412=0),AND($F412="SR",$P412&gt;=0,$P412&lt;=2),AND($F412="R",$P412&gt;=0,$P412&lt;4)),INDEX('卡片raw data'!AZ:AZ,MATCH($D412,'卡片raw data'!$F:$F,)),0)+IF(OR(AND($F412="UR",$P412&gt;=1,$P412&lt;=4),AND($F412="SR",$P412&lt;=4,$P412&gt;=3),AND($F412="R",$P412=4)),INDEX('卡片raw data'!BA:BA,MATCH($D412,'卡片raw data'!$F:$F,)),0)+IF($P412=5,INDEX('卡片raw data'!BB:BB,MATCH($D412,'卡片raw data'!$F:$F,)),0)))</f>
        <v>0.05</v>
      </c>
      <c r="BT412" s="424">
        <f t="shared" si="549"/>
        <v>3537.2976021542986</v>
      </c>
      <c r="BU412" s="420">
        <f t="shared" si="550"/>
        <v>255.86405005115788</v>
      </c>
      <c r="BV412" s="420">
        <f t="shared" si="551"/>
        <v>0</v>
      </c>
      <c r="BW412" s="436">
        <f t="shared" si="552"/>
        <v>0</v>
      </c>
      <c r="BX412" s="423">
        <f t="shared" si="553"/>
        <v>3537.2976021542986</v>
      </c>
      <c r="BY412" s="433">
        <f t="shared" si="554"/>
        <v>0</v>
      </c>
      <c r="BZ412" s="1113" t="s">
        <v>569</v>
      </c>
      <c r="CA412" s="450"/>
      <c r="CB412" s="421">
        <f>IF($P412="","N/A",IF($P412=-1,INDEX('卡片raw data'!BE:BE,MATCH($D412,'卡片raw data'!$F:$F,)),0)+IF($L412="party卡",IF($P412=5,INDEX('卡片raw data'!BK:BK,MATCH($D412,'卡片raw data'!$F:$F,)),IF($P412&gt;=3,INDEX('卡片raw data'!BJ:BJ,MATCH($D412,'卡片raw data'!$F:$F,)),INDEX('卡片raw data'!BI:BI,MATCH($D412,'卡片raw data'!$F:$F,)))),IF(OR(AND($F412="UR",$P412=0),AND($F412="SR",$P412&gt;=0,$P412&lt;=2),AND($F412="R",$P412&gt;=0,$P412&lt;4)),INDEX('卡片raw data'!BG:BG,MATCH($D412,'卡片raw data'!$F:$F,)),0)+IF(OR(AND($F412="UR",$P412&gt;=1,$P412&lt;=4),AND($F412="SR",$P412&lt;=4,$P412&gt;=3),AND($F412="R",$P412=4)),INDEX('卡片raw data'!BH:BH,MATCH($D412,'卡片raw data'!$F:$F,)),0)+IF($P412=5,INDEX('卡片raw data'!BI:BI,MATCH($D412,'卡片raw data'!$F:$F,)),0)))</f>
        <v>0</v>
      </c>
      <c r="CC412" s="424">
        <f t="shared" si="555"/>
        <v>0</v>
      </c>
      <c r="CD412" s="420">
        <f>IF(BZ412="ap",CB412*(1-$FI$26)*$FB$5/$FB$11*(+IF(CA412="全员",$FA$24,0)+IF(CA412="同作战",$FA$24,0)+IF(CA412="仲间",$FA$24*2/3,0)+IF(CA412="同属性",$FA$24*$FA$37/3,0)+IF(CA412="同年级",$FA$24*$FA$40/3,0)+IF(CA412="同学校",$FA$24*$FA$43/3,0)+IF(CA412="同小队",$FA$24*$FA$46/3,0)+IF(CA412="同type",$FA$24*INDEX($FB$49:$FB$52,MATCH(X412,$FA$49:$FA$52,))/3,0)+IF(CA412="自身",#REF!/3,0)),0)+IF(BZ412="te",CB412*(1-$FI$27)*($FA$20-1)*$FB$7/$FB$13*(+IF(CA412="全员",$FA$19*$FA$24/(1+($FA$20-1)*$FA$19),0)+IF(CA412="同作战",$FA$19*$FA$24/(1+($FA$20-1)*$FA$19),0)+IF(CA412="仲间",$FA$19*$FA$24*2/3/(1+($FA$20-1)*$FA$19),0)+IF(CA412="同属性",$FA$19*$FA$24*$FA$37/3/(1+($FA$20-1)*$FA$19),0)+IF(CA412="同年级",$FA$19*$FA$24*$FA$40/3/(1+($FA$20-1)*$FA$19),0)+IF(CA412="同学校",$FA$19*$FA$24*$FA$43/3/(1+($FA$20-1)*$FA$19),0)+IF(CA412="同小队",$FA$19*$FA$24*$FA$46/3/(1+($FA$20-1)*$FA$19),0)+IF(CA412="同type",$FA$19*$FA$24*INDEX($FB$49:$FB$52,MATCH(X412,$FA$49:$FA$52,))/3/(1+($FA$20-1)*$FA$19),0)+IF(CA412="自身",$FA$19*#REF!/3/(1+(BH412-1)*$BD412),0)),0)</f>
        <v>0</v>
      </c>
      <c r="CE412" s="420">
        <f t="shared" si="556"/>
        <v>0</v>
      </c>
      <c r="CF412" s="436">
        <f t="shared" si="557"/>
        <v>0</v>
      </c>
      <c r="CG412" s="423">
        <f t="shared" si="558"/>
        <v>0</v>
      </c>
      <c r="CH412" s="433">
        <f t="shared" si="559"/>
        <v>0</v>
      </c>
      <c r="CI412" s="1113" t="s">
        <v>162</v>
      </c>
      <c r="CJ412" s="1114">
        <v>1</v>
      </c>
      <c r="CK412" s="1115" t="s">
        <v>2158</v>
      </c>
      <c r="CL412" s="1115" t="s">
        <v>2159</v>
      </c>
      <c r="CM412" s="1119">
        <v>8.5999999999999993E-2</v>
      </c>
      <c r="CN412" s="1115"/>
      <c r="CO412" s="1115">
        <v>2</v>
      </c>
      <c r="CP412" s="1116">
        <f t="shared" si="560"/>
        <v>6.8247284526318843</v>
      </c>
      <c r="CQ412" s="1116">
        <f t="shared" si="561"/>
        <v>10.616244259649598</v>
      </c>
      <c r="CR412" s="1117">
        <f t="shared" si="562"/>
        <v>6.8247284526318843</v>
      </c>
      <c r="CS412" s="442">
        <f t="shared" si="563"/>
        <v>0</v>
      </c>
      <c r="CT412" s="432">
        <f t="shared" si="564"/>
        <v>0</v>
      </c>
      <c r="CU412" s="1101">
        <f t="shared" si="565"/>
        <v>9.7593616872635955</v>
      </c>
      <c r="CV412" s="1108">
        <f t="shared" si="566"/>
        <v>0</v>
      </c>
      <c r="CW412" s="420">
        <f t="shared" si="567"/>
        <v>9.7593616872635955</v>
      </c>
      <c r="CX412" s="420">
        <f t="shared" si="568"/>
        <v>9.7593616872635955</v>
      </c>
      <c r="CY412" s="433">
        <f t="shared" si="569"/>
        <v>9.7593616872635955</v>
      </c>
      <c r="CZ412" s="437"/>
      <c r="DA412" s="438"/>
      <c r="DB412" s="439" t="s">
        <v>569</v>
      </c>
      <c r="DC412" s="439"/>
      <c r="DD412" s="443"/>
      <c r="DE412" s="411"/>
      <c r="DF412" s="411"/>
      <c r="DG412" s="1116">
        <f t="shared" si="570"/>
        <v>0</v>
      </c>
      <c r="DH412" s="1116">
        <f t="shared" si="571"/>
        <v>0</v>
      </c>
      <c r="DI412" s="1116">
        <f t="shared" si="572"/>
        <v>0</v>
      </c>
      <c r="DJ412" s="442">
        <f t="shared" si="573"/>
        <v>0</v>
      </c>
      <c r="DK412" s="432">
        <f t="shared" si="574"/>
        <v>0</v>
      </c>
      <c r="DL412" s="424">
        <f t="shared" si="575"/>
        <v>0</v>
      </c>
      <c r="DM412" s="420">
        <f t="shared" si="576"/>
        <v>0</v>
      </c>
      <c r="DN412" s="420">
        <f t="shared" si="577"/>
        <v>0</v>
      </c>
      <c r="DO412" s="420">
        <f t="shared" si="578"/>
        <v>0</v>
      </c>
      <c r="DP412" s="433">
        <f t="shared" si="579"/>
        <v>0</v>
      </c>
      <c r="DQ412" s="437" t="s">
        <v>2160</v>
      </c>
      <c r="DR412" s="1120">
        <f t="shared" si="580"/>
        <v>0.3</v>
      </c>
      <c r="DS412" s="450">
        <v>5</v>
      </c>
      <c r="DT412" s="1124" t="s">
        <v>2144</v>
      </c>
      <c r="DU412" s="1124" t="s">
        <v>2145</v>
      </c>
      <c r="DV412" s="1098">
        <f>IF($P412="","N/A",IF(P412=-1,INDEX('卡片raw data'!AN:AN,MATCH(D412,'卡片raw data'!$F:$F,)),0)+IF(AND(L412&lt;&gt;"party卡",P412&lt;=2,P412&gt;=0),INDEX('卡片raw data'!AP:AP,MATCH(D412,'卡片raw data'!$F:$F,)),0)+IF(OR(AND(L412="party卡",P412&lt;=1),AND(P412&lt;=4,L412&lt;&gt;"party卡",P412&gt;=3)),INDEX('卡片raw data'!AQ:AQ,MATCH(D412,'卡片raw data'!$F:$F,)),0)+IF(OR(P412=5,AND(L412="party卡",P412&gt;=2)),INDEX('卡片raw data'!AR:AR,MATCH(D412,'卡片raw data'!$F:$F,)),0))</f>
        <v>0.04</v>
      </c>
      <c r="DW412" s="1098">
        <f t="shared" si="581"/>
        <v>0.3</v>
      </c>
      <c r="DX412" s="1098">
        <f t="shared" si="582"/>
        <v>0.3</v>
      </c>
      <c r="DY412" s="1098">
        <f t="shared" si="583"/>
        <v>0.02</v>
      </c>
      <c r="DZ412" s="1098">
        <f t="shared" si="584"/>
        <v>1.7299999999999999E-2</v>
      </c>
      <c r="EA412" s="421">
        <f t="shared" si="585"/>
        <v>1.5493782552083326E-2</v>
      </c>
      <c r="EB412" s="445">
        <f t="shared" si="586"/>
        <v>0</v>
      </c>
      <c r="EC412" s="424">
        <f t="shared" si="587"/>
        <v>848.4848484848485</v>
      </c>
      <c r="ED412" s="420">
        <f t="shared" si="588"/>
        <v>393.18181818181819</v>
      </c>
      <c r="EE412" s="433">
        <f t="shared" si="513"/>
        <v>848.4848484848485</v>
      </c>
      <c r="EF412" s="1115" t="s">
        <v>569</v>
      </c>
      <c r="EG412" s="1120">
        <f t="shared" si="589"/>
        <v>0.3</v>
      </c>
      <c r="EH412" s="450"/>
      <c r="EI412" s="1093"/>
      <c r="EJ412" s="1093"/>
      <c r="EK412" s="420">
        <f>IF($P412="","N/A",IF(P412=-1,INDEX('卡片raw data'!AS:AS,MATCH(D412,'卡片raw data'!$F:$F,)),0)+IF(AND(L412&lt;&gt;"party卡",P412&lt;=2,P412&gt;=0),INDEX('卡片raw data'!AU:AU,MATCH(D412,'卡片raw data'!$F:$F,)),0)+IF(OR(AND(L412="party卡",P412&lt;=1),AND(P412&lt;=4,L412&lt;&gt;"party卡",P412&gt;=3)),INDEX('卡片raw data'!AV:AV,MATCH(D412,'卡片raw data'!$F:$F,)),0)+IF(OR(P412=5,AND(L412="party卡",P412&gt;=2)),INDEX('卡片raw data'!AW:AW,MATCH(D412,'卡片raw data'!$F:$F,)),0))</f>
        <v>0</v>
      </c>
      <c r="EL412" s="1098">
        <f t="shared" si="590"/>
        <v>0.3</v>
      </c>
      <c r="EM412" s="1098">
        <f t="shared" si="591"/>
        <v>0.3</v>
      </c>
      <c r="EN412" s="1097">
        <f t="shared" si="592"/>
        <v>0</v>
      </c>
      <c r="EO412" s="1097">
        <f t="shared" si="593"/>
        <v>0</v>
      </c>
      <c r="EP412" s="421">
        <f t="shared" si="594"/>
        <v>0</v>
      </c>
      <c r="EQ412" s="445">
        <f t="shared" si="595"/>
        <v>0</v>
      </c>
      <c r="ER412" s="424">
        <f t="shared" si="596"/>
        <v>0</v>
      </c>
      <c r="ES412" s="420">
        <f t="shared" si="597"/>
        <v>0</v>
      </c>
      <c r="ET412" s="446">
        <f t="shared" si="514"/>
        <v>0</v>
      </c>
    </row>
    <row r="413" spans="2:150" ht="16.5" customHeight="1">
      <c r="B413" s="448" t="str">
        <f>INDEX('卡片raw data'!B:B,MATCH($D413,'卡片raw data'!$F:$F,))</f>
        <v>op1彼</v>
      </c>
      <c r="C413" s="449" t="s">
        <v>2156</v>
      </c>
      <c r="D413" s="408">
        <v>410</v>
      </c>
      <c r="E413" s="477">
        <v>402062004</v>
      </c>
      <c r="F413" s="409" t="str">
        <f>INDEX('卡片raw data'!C:C,MATCH($D413,'卡片raw data'!$F:$F,))</f>
        <v>SR</v>
      </c>
      <c r="G413" s="1094" t="s">
        <v>2139</v>
      </c>
      <c r="H413" s="411">
        <f>IFERROR(INDEX(绊状态确认!C:C,MATCH($G413,绊状态确认!$B:$B,)),"")</f>
        <v>206</v>
      </c>
      <c r="I413" s="450" t="str">
        <f>IFERROR(INDEX(绊状态确认!D:D,MATCH($G413,绊状态确认!$B:$B,)),"")</f>
        <v>虹</v>
      </c>
      <c r="J413" s="450" t="str">
        <f>IFERROR(INDEX(绊状态确认!E:E,MATCH($G413,绊状态确认!$B:$B,)),"")</f>
        <v>3年级</v>
      </c>
      <c r="K413" s="451" t="str">
        <f>IFERROR(INDEX(绊状态确认!F:F,MATCH($G413,绊状态确认!$B:$B,)),"")</f>
        <v>QU4RTZ</v>
      </c>
      <c r="L413" s="414" t="str">
        <f>INDEX('卡片raw data'!E:E,MATCH($D413,'卡片raw data'!$F:$F,))</f>
        <v>活动卡</v>
      </c>
      <c r="M413" s="478">
        <v>44244</v>
      </c>
      <c r="N413" s="479">
        <v>34</v>
      </c>
      <c r="O413" s="410" t="str">
        <f>INDEX('卡片raw data'!D:D,MATCH($D413,'卡片raw data'!$F:$F,))</f>
        <v>sk</v>
      </c>
      <c r="P413" s="1126">
        <v>5</v>
      </c>
      <c r="Q413" s="418">
        <f t="shared" si="515"/>
        <v>21762.921355116607</v>
      </c>
      <c r="R413" s="419">
        <f t="shared" si="516"/>
        <v>0.253</v>
      </c>
      <c r="S413" s="420">
        <f t="shared" si="517"/>
        <v>13427.335887450561</v>
      </c>
      <c r="T413" s="421">
        <f t="shared" si="518"/>
        <v>0.67100000000000004</v>
      </c>
      <c r="U413" s="422">
        <f t="shared" si="519"/>
        <v>10.309499562012858</v>
      </c>
      <c r="V413" s="423">
        <f t="shared" si="520"/>
        <v>24582.527671911408</v>
      </c>
      <c r="W413" s="424">
        <f t="shared" si="521"/>
        <v>4507.7214871259994</v>
      </c>
      <c r="X413" s="419">
        <f t="shared" si="522"/>
        <v>5.1999999999999998E-2</v>
      </c>
      <c r="Y413" s="420">
        <f t="shared" si="523"/>
        <v>819.6063167948023</v>
      </c>
      <c r="Z413" s="425">
        <f t="shared" si="524"/>
        <v>10.309499562012858</v>
      </c>
      <c r="AA413" s="426">
        <f t="shared" si="525"/>
        <v>5327.3278039208017</v>
      </c>
      <c r="AB413" s="424">
        <f t="shared" si="526"/>
        <v>8445.9742415491819</v>
      </c>
      <c r="AC413" s="427">
        <f t="shared" si="527"/>
        <v>9.8000000000000004E-2</v>
      </c>
      <c r="AD413" s="428">
        <f t="shared" si="528"/>
        <v>2.1129641098484846E-2</v>
      </c>
      <c r="AE413" s="516">
        <f t="shared" si="529"/>
        <v>5.392573960953408</v>
      </c>
      <c r="AF413" s="1130">
        <f t="shared" si="530"/>
        <v>0</v>
      </c>
      <c r="AG413" s="420">
        <f t="shared" si="531"/>
        <v>0</v>
      </c>
      <c r="AH413" s="420">
        <f t="shared" si="532"/>
        <v>0</v>
      </c>
      <c r="AI413" s="1097">
        <f t="shared" si="533"/>
        <v>0</v>
      </c>
      <c r="AJ413" s="420">
        <f t="shared" si="534"/>
        <v>0</v>
      </c>
      <c r="AK413" s="518">
        <f t="shared" si="535"/>
        <v>0</v>
      </c>
      <c r="AL413" s="1106">
        <f>IF($P413="","N/A",(IF($P413=-1,INDEX('卡片raw data'!S:S,MATCH($D413,'卡片raw data'!$F:$F,)),0)+IF($P413=0,INDEX('卡片raw data'!V:V,MATCH($D413,'卡片raw data'!$F:$F,)),0)+IF($P413=1,INDEX('卡片raw data'!Y:Y,MATCH($D413,'卡片raw data'!$F:$F,)),0)+IF($P413=2,INDEX('卡片raw data'!AB:AB,MATCH($D413,'卡片raw data'!$F:$F,)),0)+IF($P413=3,INDEX('卡片raw data'!AE:AE,MATCH($D413,'卡片raw data'!$F:$F,)),0)+IF($P413=4,INDEX('卡片raw data'!AH:AH,MATCH($D413,'卡片raw data'!$F:$F,)),0)+IF($P413=5,INDEX('卡片raw data'!AK:AK,MATCH($D413,'卡片raw data'!$F:$F,)),0)+INDEX('卡片raw data'!S:S,MATCH($D413,'卡片raw data'!$F:$F,))*(IF($F413="UR",0.04,0.033))*(IF($F413="UR",INDEX(绊状态确认!$S:$S,MATCH($G413,绊状态确认!$B:$B,))/2-40)+IF($F413="SR",INDEX(绊状态确认!$R:$R,MATCH($G413,绊状态确认!$B:$B,))/4-15))+IF($F413="R",INDEX(绊状态确认!$Q:$Q,MATCH($G413,绊状态确认!$B:$B,))/6-40/6)))*(INDEX(绊状态确认!$H:$H,MATCH($G413,绊状态确认!$B:$B,))+INDEX(绊状态确认!J:J,MATCH($G413,绊状态确认!$B:$B,)))</f>
        <v>6467.6751407999991</v>
      </c>
      <c r="AM413" s="1106">
        <f>IF($P413="","N/A",(IF($P413=-1,INDEX('卡片raw data'!T:T,MATCH($D413,'卡片raw data'!$F:$F,)),0)+IF($P413=0,INDEX('卡片raw data'!W:W,MATCH($D413,'卡片raw data'!$F:$F,)),0)+IF($P413=1,INDEX('卡片raw data'!Z:Z,MATCH($D413,'卡片raw data'!$F:$F,)),0)+IF($P413=2,INDEX('卡片raw data'!AC:AC,MATCH($D413,'卡片raw data'!$F:$F,)),0)+IF($P413=3,INDEX('卡片raw data'!AF:AF,MATCH($D413,'卡片raw data'!$F:$F,)),0)+IF($P413=4,INDEX('卡片raw data'!AI:AI,MATCH($D413,'卡片raw data'!$F:$F,)),0)+IF($P413=5,INDEX('卡片raw data'!AL:AL,MATCH($D413,'卡片raw data'!$F:$F,)),0)+INDEX('卡片raw data'!T:T,MATCH($D413,'卡片raw data'!$F:$F,))*(IF($F413="UR",0.04,0.033))*(IF($F413="UR",INDEX(绊状态确认!$S:$S,MATCH($G413,绊状态确认!$B:$B,))/2-40)+IF($F413="SR",INDEX(绊状态确认!$R:$R,MATCH($G413,绊状态确认!$B:$B,))/4-15))+IF($F413="R",INDEX(绊状态确认!$Q:$Q,MATCH($G413,绊状态确认!$B:$B,))/6-40/6)))*(INDEX(绊状态确认!$H:$H,MATCH($G413,绊状态确认!$B:$B,))+INDEX(绊状态确认!K:K,MATCH($G413,绊状态确认!$B:$B,)))</f>
        <v>5068.2780887999998</v>
      </c>
      <c r="AN413" s="1106">
        <f>IF($P413="","N/A",(IF($P413=-1,INDEX('卡片raw data'!U:U,MATCH($D413,'卡片raw data'!$F:$F,)),0)+IF($P413=0,INDEX('卡片raw data'!X:X,MATCH($D413,'卡片raw data'!$F:$F,)),0)+IF($P413=1,INDEX('卡片raw data'!AA:AA,MATCH($D413,'卡片raw data'!$F:$F,)),0)+IF($P413=2,INDEX('卡片raw data'!AD:AD,MATCH($D413,'卡片raw data'!$F:$F,)),0)+IF($P413=3,INDEX('卡片raw data'!AG:AG,MATCH($D413,'卡片raw data'!$F:$F,)),0)+IF($P413=4,INDEX('卡片raw data'!AJ:AJ,MATCH($D413,'卡片raw data'!$F:$F,)),0)+IF($P413=5,INDEX('卡片raw data'!AM:AM,MATCH($D413,'卡片raw data'!$F:$F,)),0)+INDEX('卡片raw data'!U:U,MATCH($D413,'卡片raw data'!$F:$F,))*(IF($F413="UR",0.04,0.033))*(IF($F413="UR",INDEX(绊状态确认!$S:$S,MATCH($G413,绊状态确认!$B:$B,))/2-40)+IF($F413="SR",INDEX(绊状态确认!$R:$R,MATCH($G413,绊状态确认!$B:$B,))/4-15))+IF($F413="R",INDEX(绊状态确认!$Q:$Q,MATCH($G413,绊状态确认!$B:$B,))/6-40/6)))*(INDEX(绊状态确认!$H:$H,MATCH($G413,绊状态确认!$B:$B,))+INDEX(绊状态确认!L:L,MATCH($G413,绊状态确认!$B:$B,)))</f>
        <v>5942.9106215999991</v>
      </c>
      <c r="AO413" s="1107">
        <f t="shared" si="536"/>
        <v>1</v>
      </c>
      <c r="AP413" s="1131">
        <f>1+(INDEX(绊状态确认!$T:$T,MATCH($G413,绊状态确认!$B:$B,))+0.2)*$AO413</f>
        <v>1.3</v>
      </c>
      <c r="AQ413" s="1108">
        <f t="shared" si="537"/>
        <v>20227.647244599997</v>
      </c>
      <c r="AR413" s="1097">
        <f>(AM413*(1+$EX$9)+$EX$35)*(1+(INDEX(绊状态确认!$T:$T,MATCH($G413,绊状态确认!$B:$B,))+0.2)*AO413)*IF(J413=$FF$17,1+$FE$17,1)*IF(I413=$FF$14,1+$FE$14,1)</f>
        <v>9622.1995912120001</v>
      </c>
      <c r="AS413" s="1097">
        <f>(AN413*(1+$EX$10)+$EX$36)*(1+(INDEX(绊状态确认!$T:$T,MATCH($G413,绊状态确认!$B:$B,))+0.2)*AO413)*IF(J413=$FF$17,1+$FE$17,1)*IF(I413=$FF$14,1+$FE$14,1)</f>
        <v>12940.651379292</v>
      </c>
      <c r="AT413" s="1093">
        <f>IF(AND(INDEX('卡片raw data'!AK:AK,MATCH($D413,'卡片raw data'!$F:$F,))&lt;INDEX('卡片raw data'!AM:AM,MATCH($D413,'卡片raw data'!$F:$F,)),INDEX('卡片raw data'!AL:AL,MATCH($D413,'卡片raw data'!$F:$F,))&lt;INDEX('卡片raw data'!AM:AM,MATCH($D413,'卡片raw data'!$F:$F,))),1,0)</f>
        <v>0</v>
      </c>
      <c r="AU413" s="1098">
        <f>MIN(AT413*0.15+AS413*0.00003+INDEX(绊状态确认!M:M,MATCH($G413,绊状态确认!$B:$B,)),1)</f>
        <v>0.41821954137876</v>
      </c>
      <c r="AV413" s="1109">
        <f>(INDEX(绊状态确认!$N:$N,MATCH($G413,绊状态确认!$B:$B,))+1.5)*$EW$21</f>
        <v>2.6599999999999997</v>
      </c>
      <c r="AW413" s="1101">
        <f t="shared" si="538"/>
        <v>17798.311519776373</v>
      </c>
      <c r="AX413" s="1097">
        <f t="shared" si="539"/>
        <v>819.60631679480196</v>
      </c>
      <c r="AY413" s="1110">
        <f t="shared" si="540"/>
        <v>18617.917836571174</v>
      </c>
      <c r="AZ413" s="429">
        <f t="shared" si="541"/>
        <v>15211.966524559997</v>
      </c>
      <c r="BA413" s="431">
        <f t="shared" si="542"/>
        <v>18254.359829471996</v>
      </c>
      <c r="BB413" s="1097">
        <f>(AM413*(1+$FB$9)+$FB$35)*(1+(INDEX(绊状态确认!$T:$T,MATCH($G413,绊状态确认!$B:$B,))+0.2)*AO413)*IF(J413=$FF$17,1+$FE$17,1)*IF(I413=$FF$14,1+$FE$14,1)*(1+$FE$15)</f>
        <v>9622.1995912120001</v>
      </c>
      <c r="BC413" s="1097">
        <f>(AN413*(1+$FB$10)+$FB$36)*(1+(INDEX(绊状态确认!$T:$T,MATCH($G413,绊状态确认!$B:$B,))+0.2)*AO413)*IF(J413=$FF$17,1+$FE$17,1)*IF(I413=$FF$14,1+$FE$14,1)*(1+$FE$15)</f>
        <v>12940.651379292</v>
      </c>
      <c r="BD413" s="1104">
        <f>MIN(AT413*0.15+BC413*0.00003+INDEX(绊状态确认!M:M,MATCH($G413,绊状态确认!$B:$B,)),1)</f>
        <v>0.41821954137876</v>
      </c>
      <c r="BE413" s="432">
        <f>(INDEX(绊状态确认!$N:$N,MATCH($G413,绊状态确认!$B:$B,))+1.5)</f>
        <v>1.9</v>
      </c>
      <c r="BF413" s="1139">
        <f t="array" ref="BF413">SUMPRODUCT(IF(AZ413*AP413*$FI$16:$FI$23*$FA$22&gt;=$FI$24,$FI$24,AZ413*AP413*$FI$16:$FI$23*$FA$22),$FJ$16:$FJ$23)</f>
        <v>30256.601417349841</v>
      </c>
      <c r="BG413" s="1125">
        <f t="array" ref="BG413">SUMPRODUCT(IF(BE413*AZ413*AP413*$FI$16:$FI$23*$FA$22&gt;=$FI$24,$FI$24,BE413*AZ413*AP413*$FI$16:$FI$23*$FA$22),$FJ$16:$FJ$23)</f>
        <v>55186.052572000452</v>
      </c>
      <c r="BH413" s="1110">
        <f t="shared" si="543"/>
        <v>13560.861682024008</v>
      </c>
      <c r="BI413" s="1111">
        <f>IF(O413="vo",$EW$26/$EW$24*0.05,0)+IF(O413="sk",-$EW$26/$EW$24*(0.05-INDEX(绊状态确认!W:W,MATCH($G413,绊状态确认!$B:$B,)))+0.05*$EW$28,0)+IF(O413="sp",0.05*$EW$32*$EW$30*(1-$EW$33)-(0.05-INDEX(绊状态确认!V:V,MATCH($G413,绊状态确认!$B:$B,)))*$EW$28,0)+IF(O413="gd",-(0.05-INDEX(绊状态确认!X:X,MATCH($G413,绊状态确认!$B:$B,)))*$EW$32*$EW$30*(1-$EW$33),0)</f>
        <v>-6253.6726349699375</v>
      </c>
      <c r="BJ413" s="420">
        <f>IF(O413="vo",0.05*(1-$FI$26)*$FA$24,0)+IF(O413="sk",-(0.05-INDEX(绊状态确认!W:W,MATCH($G413,绊状态确认!$B:$B,)))*(1-$FI$26)*$FA$24+0.05*$FA$26,0)+IF(O413="sp",0.05*$FA$32*$FA$27*(1-$FA$33)/$FA$30+0.05*$FA$29/$FA$69*$FA$27*(1-$FA$33)-(0.05-INDEX(绊状态确认!V:V,MATCH($G413,绊状态确认!$B:$B,)))*$FA$26,0)+IF(O413="gd",-(0.05-INDEX(绊状态确认!X:X,MATCH($G413,绊状态确认!$B:$B,)))*$FA$32*$FA$27*(1-$FA$33)/$FA$30-(0.05-INDEX(绊状态确认!X:X,MATCH($G413,绊状态确认!$B:$B,)))*$FA$29/$FA$69*$FA$27*(1-$FA$33),0)</f>
        <v>20.459096812499922</v>
      </c>
      <c r="BK413" s="1110">
        <f>IF(O413="vo",$EW$26/$EW$24*0.05+$EW$26*(-HP($EW$62,$EW$65,$EW$64)+HP($EW$62,$EW$65,(1.05-INDEX(绊状态确认!U:U,MATCH($G413,绊状态确认!$B:$B,)))*$EW$64)),0)+IF(O413="sk",-$EW$26/$EW$24*(0.05-INDEX(绊状态确认!W:W,MATCH($G413,绊状态确认!$B:$B,)))+0.05*$EW$29,0)+IF(O413="sp",0.05*$EW$32*$EW$30*(1-$EW$33)-(0.05-INDEX(绊状态确认!V:V,MATCH($G413,绊状态确认!$B:$B,)))*$EW$29,0)+IF(O413="gd",-(0.05-INDEX(绊状态确认!X:X,MATCH($G413,绊状态确认!$B:$B,)))*$EW$32*$EW$30*(1-$EW$33)+$EW$26*(-HP($EW$62,$EW$65,$EW$64)+HP($EW$62,$EW$65,0.95*$EW$64)),0)</f>
        <v>-4253.6726349699375</v>
      </c>
      <c r="BL413" s="1111">
        <f t="shared" si="544"/>
        <v>-1083.3333333333333</v>
      </c>
      <c r="BM413" s="1110">
        <f t="shared" si="545"/>
        <v>-830.55555555555543</v>
      </c>
      <c r="BN413" s="1113">
        <f t="shared" si="546"/>
        <v>3</v>
      </c>
      <c r="BO413" s="1108">
        <f t="shared" si="547"/>
        <v>4507.7214871259994</v>
      </c>
      <c r="BP413" s="1100">
        <f t="shared" si="548"/>
        <v>221.34103209030098</v>
      </c>
      <c r="BQ413" s="1113" t="s">
        <v>132</v>
      </c>
      <c r="BR413" s="1124" t="s">
        <v>168</v>
      </c>
      <c r="BS413" s="421">
        <f>IF($P413="","N/A",IF($P413=-1,INDEX('卡片raw data'!AX:AX,MATCH($D413,'卡片raw data'!$F:$F,)),0)+IF($L413="party卡",IF($P413=5,INDEX('卡片raw data'!BD:BD,MATCH($D413,'卡片raw data'!$F:$F,)),IF($P413&gt;=3,INDEX('卡片raw data'!BC:BC,MATCH($D413,'卡片raw data'!$F:$F,)),INDEX('卡片raw data'!BB:BB,MATCH($D413,'卡片raw data'!$F:$F,)))),IF(OR(AND($F413="UR",$P413=0),AND($F413="SR",$P413&gt;=0,$P413&lt;=2),AND($F413="R",$P413&gt;=0,$P413&lt;4)),INDEX('卡片raw data'!AZ:AZ,MATCH($D413,'卡片raw data'!$F:$F,)),0)+IF(OR(AND($F413="UR",$P413&gt;=1,$P413&lt;=4),AND($F413="SR",$P413&lt;=4,$P413&gt;=3),AND($F413="R",$P413=4)),INDEX('卡片raw data'!BA:BA,MATCH($D413,'卡片raw data'!$F:$F,)),0)+IF($P413=5,INDEX('卡片raw data'!BB:BB,MATCH($D413,'卡片raw data'!$F:$F,)),0)))</f>
        <v>0.05</v>
      </c>
      <c r="BT413" s="424">
        <f t="shared" si="549"/>
        <v>3756.4345726050001</v>
      </c>
      <c r="BU413" s="420">
        <f t="shared" si="550"/>
        <v>184.45086007525089</v>
      </c>
      <c r="BV413" s="420">
        <f t="shared" si="551"/>
        <v>0</v>
      </c>
      <c r="BW413" s="436">
        <f t="shared" si="552"/>
        <v>0</v>
      </c>
      <c r="BX413" s="423">
        <f t="shared" si="553"/>
        <v>3756.4345726050001</v>
      </c>
      <c r="BY413" s="433">
        <f t="shared" si="554"/>
        <v>0</v>
      </c>
      <c r="BZ413" s="1113" t="s">
        <v>569</v>
      </c>
      <c r="CA413" s="450"/>
      <c r="CB413" s="421">
        <f>IF($P413="","N/A",IF($P413=-1,INDEX('卡片raw data'!BE:BE,MATCH($D413,'卡片raw data'!$F:$F,)),0)+IF($L413="party卡",IF($P413=5,INDEX('卡片raw data'!BK:BK,MATCH($D413,'卡片raw data'!$F:$F,)),IF($P413&gt;=3,INDEX('卡片raw data'!BJ:BJ,MATCH($D413,'卡片raw data'!$F:$F,)),INDEX('卡片raw data'!BI:BI,MATCH($D413,'卡片raw data'!$F:$F,)))),IF(OR(AND($F413="UR",$P413=0),AND($F413="SR",$P413&gt;=0,$P413&lt;=2),AND($F413="R",$P413&gt;=0,$P413&lt;4)),INDEX('卡片raw data'!BG:BG,MATCH($D413,'卡片raw data'!$F:$F,)),0)+IF(OR(AND($F413="UR",$P413&gt;=1,$P413&lt;=4),AND($F413="SR",$P413&lt;=4,$P413&gt;=3),AND($F413="R",$P413=4)),INDEX('卡片raw data'!BH:BH,MATCH($D413,'卡片raw data'!$F:$F,)),0)+IF($P413=5,INDEX('卡片raw data'!BI:BI,MATCH($D413,'卡片raw data'!$F:$F,)),0)))</f>
        <v>0</v>
      </c>
      <c r="CC413" s="424">
        <f t="shared" si="555"/>
        <v>0</v>
      </c>
      <c r="CD413" s="420">
        <f>IF(BZ413="ap",CB413*(1-$FI$26)*$FB$5/$FB$11*(+IF(CA413="全员",$FA$24,0)+IF(CA413="同作战",$FA$24,0)+IF(CA413="仲间",$FA$24*2/3,0)+IF(CA413="同属性",$FA$24*$FA$37/3,0)+IF(CA413="同年级",$FA$24*$FA$40/3,0)+IF(CA413="同学校",$FA$24*$FA$43/3,0)+IF(CA413="同小队",$FA$24*$FA$46/3,0)+IF(CA413="同type",$FA$24*INDEX($FB$49:$FB$52,MATCH(X413,$FA$49:$FA$52,))/3,0)+IF(CA413="自身",#REF!/3,0)),0)+IF(BZ413="te",CB413*(1-$FI$27)*($FA$20-1)*$FB$7/$FB$13*(+IF(CA413="全员",$FA$19*$FA$24/(1+($FA$20-1)*$FA$19),0)+IF(CA413="同作战",$FA$19*$FA$24/(1+($FA$20-1)*$FA$19),0)+IF(CA413="仲间",$FA$19*$FA$24*2/3/(1+($FA$20-1)*$FA$19),0)+IF(CA413="同属性",$FA$19*$FA$24*$FA$37/3/(1+($FA$20-1)*$FA$19),0)+IF(CA413="同年级",$FA$19*$FA$24*$FA$40/3/(1+($FA$20-1)*$FA$19),0)+IF(CA413="同学校",$FA$19*$FA$24*$FA$43/3/(1+($FA$20-1)*$FA$19),0)+IF(CA413="同小队",$FA$19*$FA$24*$FA$46/3/(1+($FA$20-1)*$FA$19),0)+IF(CA413="同type",$FA$19*$FA$24*INDEX($FB$49:$FB$52,MATCH(X413,$FA$49:$FA$52,))/3/(1+($FA$20-1)*$FA$19),0)+IF(CA413="自身",$FA$19*#REF!/3/(1+(BH413-1)*$BD413),0)),0)</f>
        <v>0</v>
      </c>
      <c r="CE413" s="420">
        <f t="shared" si="556"/>
        <v>0</v>
      </c>
      <c r="CF413" s="436">
        <f t="shared" si="557"/>
        <v>0</v>
      </c>
      <c r="CG413" s="423">
        <f t="shared" si="558"/>
        <v>0</v>
      </c>
      <c r="CH413" s="433">
        <f t="shared" si="559"/>
        <v>0</v>
      </c>
      <c r="CI413" s="437" t="s">
        <v>162</v>
      </c>
      <c r="CJ413" s="438">
        <v>1</v>
      </c>
      <c r="CK413" s="1115" t="s">
        <v>2160</v>
      </c>
      <c r="CL413" s="1115" t="s">
        <v>2144</v>
      </c>
      <c r="CM413" s="1119">
        <v>0.04</v>
      </c>
      <c r="CN413" s="1115">
        <v>5</v>
      </c>
      <c r="CO413" s="1115"/>
      <c r="CP413" s="1118">
        <f t="shared" si="560"/>
        <v>4.2857142857142859E-3</v>
      </c>
      <c r="CQ413" s="1118">
        <f t="shared" si="561"/>
        <v>6.666666666666668E-3</v>
      </c>
      <c r="CR413" s="1118">
        <f t="shared" si="562"/>
        <v>0</v>
      </c>
      <c r="CS413" s="442">
        <f t="shared" si="563"/>
        <v>2.1354166666666665E-3</v>
      </c>
      <c r="CT413" s="432">
        <f t="shared" si="564"/>
        <v>0</v>
      </c>
      <c r="CU413" s="1101">
        <f t="shared" si="565"/>
        <v>181.81818181818181</v>
      </c>
      <c r="CV413" s="1108">
        <f t="shared" si="566"/>
        <v>151.51515151515153</v>
      </c>
      <c r="CW413" s="420">
        <f t="shared" si="567"/>
        <v>0</v>
      </c>
      <c r="CX413" s="420">
        <f t="shared" si="568"/>
        <v>181.81818181818181</v>
      </c>
      <c r="CY413" s="433">
        <f t="shared" si="569"/>
        <v>0</v>
      </c>
      <c r="CZ413" s="437"/>
      <c r="DA413" s="438"/>
      <c r="DB413" s="439" t="s">
        <v>569</v>
      </c>
      <c r="DC413" s="439"/>
      <c r="DD413" s="443"/>
      <c r="DE413" s="411"/>
      <c r="DF413" s="411"/>
      <c r="DG413" s="1116">
        <f t="shared" si="570"/>
        <v>0</v>
      </c>
      <c r="DH413" s="1116">
        <f t="shared" si="571"/>
        <v>0</v>
      </c>
      <c r="DI413" s="1116">
        <f t="shared" si="572"/>
        <v>0</v>
      </c>
      <c r="DJ413" s="442">
        <f t="shared" si="573"/>
        <v>0</v>
      </c>
      <c r="DK413" s="432">
        <f t="shared" si="574"/>
        <v>0</v>
      </c>
      <c r="DL413" s="424">
        <f t="shared" si="575"/>
        <v>0</v>
      </c>
      <c r="DM413" s="420">
        <f t="shared" si="576"/>
        <v>0</v>
      </c>
      <c r="DN413" s="420">
        <f t="shared" si="577"/>
        <v>0</v>
      </c>
      <c r="DO413" s="420">
        <f t="shared" si="578"/>
        <v>0</v>
      </c>
      <c r="DP413" s="433">
        <f t="shared" si="579"/>
        <v>0</v>
      </c>
      <c r="DQ413" s="437" t="s">
        <v>167</v>
      </c>
      <c r="DR413" s="1120">
        <f t="shared" si="580"/>
        <v>0.3</v>
      </c>
      <c r="DS413" s="1124">
        <v>5</v>
      </c>
      <c r="DT413" s="1124" t="s">
        <v>2144</v>
      </c>
      <c r="DU413" s="1124" t="s">
        <v>2145</v>
      </c>
      <c r="DV413" s="1098">
        <f>IF($P413="","N/A",IF(P413=-1,INDEX('卡片raw data'!AN:AN,MATCH(D413,'卡片raw data'!$F:$F,)),0)+IF(AND(L413&lt;&gt;"party卡",P413&lt;=2,P413&gt;=0),INDEX('卡片raw data'!AP:AP,MATCH(D413,'卡片raw data'!$F:$F,)),0)+IF(OR(AND(L413="party卡",P413&lt;=1),AND(P413&lt;=4,L413&lt;&gt;"party卡",P413&gt;=3)),INDEX('卡片raw data'!AQ:AQ,MATCH(D413,'卡片raw data'!$F:$F,)),0)+IF(OR(P413=5,AND(L413="party卡",P413&gt;=2)),INDEX('卡片raw data'!AR:AR,MATCH(D413,'卡片raw data'!$F:$F,)),0))</f>
        <v>4.2000000000000003E-2</v>
      </c>
      <c r="DW413" s="1098">
        <f t="shared" si="581"/>
        <v>0.3</v>
      </c>
      <c r="DX413" s="1098">
        <f t="shared" si="582"/>
        <v>0.3</v>
      </c>
      <c r="DY413" s="1098">
        <f t="shared" si="583"/>
        <v>2.0999999999999998E-2</v>
      </c>
      <c r="DZ413" s="1098">
        <f t="shared" si="584"/>
        <v>1.8164999999999997E-2</v>
      </c>
      <c r="EA413" s="421">
        <f t="shared" si="585"/>
        <v>0</v>
      </c>
      <c r="EB413" s="445">
        <f t="shared" si="586"/>
        <v>0</v>
      </c>
      <c r="EC413" s="424">
        <f t="shared" si="587"/>
        <v>2855.6415620943208</v>
      </c>
      <c r="ED413" s="420">
        <f t="shared" si="588"/>
        <v>119.26362048890624</v>
      </c>
      <c r="EE413" s="433">
        <f t="shared" si="513"/>
        <v>2855.6415620943208</v>
      </c>
      <c r="EF413" s="1115" t="s">
        <v>569</v>
      </c>
      <c r="EG413" s="1120">
        <f t="shared" si="589"/>
        <v>0.3</v>
      </c>
      <c r="EH413" s="450"/>
      <c r="EI413" s="1093"/>
      <c r="EJ413" s="1093"/>
      <c r="EK413" s="420">
        <f>IF($P413="","N/A",IF(P413=-1,INDEX('卡片raw data'!AS:AS,MATCH(D413,'卡片raw data'!$F:$F,)),0)+IF(AND(L413&lt;&gt;"party卡",P413&lt;=2,P413&gt;=0),INDEX('卡片raw data'!AU:AU,MATCH(D413,'卡片raw data'!$F:$F,)),0)+IF(OR(AND(L413="party卡",P413&lt;=1),AND(P413&lt;=4,L413&lt;&gt;"party卡",P413&gt;=3)),INDEX('卡片raw data'!AV:AV,MATCH(D413,'卡片raw data'!$F:$F,)),0)+IF(OR(P413=5,AND(L413="party卡",P413&gt;=2)),INDEX('卡片raw data'!AW:AW,MATCH(D413,'卡片raw data'!$F:$F,)),0))</f>
        <v>0</v>
      </c>
      <c r="EL413" s="1098">
        <f t="shared" si="590"/>
        <v>0.3</v>
      </c>
      <c r="EM413" s="1098">
        <f t="shared" si="591"/>
        <v>0.3</v>
      </c>
      <c r="EN413" s="1097">
        <f t="shared" si="592"/>
        <v>0</v>
      </c>
      <c r="EO413" s="1097">
        <f t="shared" si="593"/>
        <v>0</v>
      </c>
      <c r="EP413" s="421">
        <f t="shared" si="594"/>
        <v>0</v>
      </c>
      <c r="EQ413" s="445">
        <f t="shared" si="595"/>
        <v>0</v>
      </c>
      <c r="ER413" s="424">
        <f t="shared" si="596"/>
        <v>0</v>
      </c>
      <c r="ES413" s="420">
        <f t="shared" si="597"/>
        <v>0</v>
      </c>
      <c r="ET413" s="446">
        <f t="shared" si="514"/>
        <v>0</v>
      </c>
    </row>
    <row r="414" spans="2:150" ht="16.5" customHeight="1">
      <c r="B414" s="448" t="str">
        <f>INDEX('卡片raw data'!B:B,MATCH($D414,'卡片raw data'!$F:$F,))</f>
        <v>fes2善</v>
      </c>
      <c r="C414" s="449" t="s">
        <v>2258</v>
      </c>
      <c r="D414" s="408">
        <v>411</v>
      </c>
      <c r="E414" s="477">
        <v>201063002</v>
      </c>
      <c r="F414" s="409" t="str">
        <f>INDEX('卡片raw data'!C:C,MATCH($D414,'卡片raw data'!$F:$F,))</f>
        <v>UR</v>
      </c>
      <c r="G414" s="1094" t="s">
        <v>2259</v>
      </c>
      <c r="H414" s="411">
        <f>IFERROR(INDEX(绊状态确认!C:C,MATCH($G414,绊状态确认!$B:$B,)),"")</f>
        <v>106</v>
      </c>
      <c r="I414" s="450" t="str">
        <f>IFERROR(INDEX(绊状态确认!D:D,MATCH($G414,绊状态确认!$B:$B,)),"")</f>
        <v>水</v>
      </c>
      <c r="J414" s="450" t="str">
        <f>IFERROR(INDEX(绊状态确认!E:E,MATCH($G414,绊状态确认!$B:$B,)),"")</f>
        <v>1年级</v>
      </c>
      <c r="K414" s="451" t="str">
        <f>IFERROR(INDEX(绊状态确认!F:F,MATCH($G414,绊状态确认!$B:$B,)),"")</f>
        <v>Guilty Kiss</v>
      </c>
      <c r="L414" s="414" t="str">
        <f>INDEX('卡片raw data'!E:E,MATCH($D414,'卡片raw data'!$F:$F,))</f>
        <v>fes卡</v>
      </c>
      <c r="M414" s="478">
        <v>44255</v>
      </c>
      <c r="N414" s="479">
        <v>34.5</v>
      </c>
      <c r="O414" s="410" t="str">
        <f>INDEX('卡片raw data'!D:D,MATCH($D414,'卡片raw data'!$F:$F,))</f>
        <v>sp</v>
      </c>
      <c r="P414" s="1126">
        <v>5</v>
      </c>
      <c r="Q414" s="418">
        <f t="shared" si="515"/>
        <v>62538.489052237521</v>
      </c>
      <c r="R414" s="419">
        <f t="shared" si="516"/>
        <v>0.72699999999999998</v>
      </c>
      <c r="S414" s="420">
        <f t="shared" si="517"/>
        <v>21432.56068963946</v>
      </c>
      <c r="T414" s="421">
        <f t="shared" si="518"/>
        <v>1.071</v>
      </c>
      <c r="U414" s="422">
        <f t="shared" si="519"/>
        <v>15.416676423942857</v>
      </c>
      <c r="V414" s="423">
        <f t="shared" si="520"/>
        <v>61977.033750208117</v>
      </c>
      <c r="W414" s="424">
        <f t="shared" si="521"/>
        <v>7892.5718749061853</v>
      </c>
      <c r="X414" s="419">
        <f t="shared" si="522"/>
        <v>9.0999999999999998E-2</v>
      </c>
      <c r="Y414" s="420">
        <f t="shared" si="523"/>
        <v>1238.5446979705939</v>
      </c>
      <c r="Z414" s="425">
        <f t="shared" si="524"/>
        <v>15.416676423942857</v>
      </c>
      <c r="AA414" s="426">
        <f t="shared" si="525"/>
        <v>9131.1165728767792</v>
      </c>
      <c r="AB414" s="424">
        <f t="shared" si="526"/>
        <v>9194.8025267425855</v>
      </c>
      <c r="AC414" s="427">
        <f t="shared" si="527"/>
        <v>0.106</v>
      </c>
      <c r="AD414" s="428">
        <f t="shared" si="528"/>
        <v>-1.6087500000000001E-2</v>
      </c>
      <c r="AE414" s="516">
        <f t="shared" si="529"/>
        <v>23.556023904894921</v>
      </c>
      <c r="AF414" s="1130">
        <f t="shared" si="530"/>
        <v>0</v>
      </c>
      <c r="AG414" s="420">
        <f t="shared" si="531"/>
        <v>0</v>
      </c>
      <c r="AH414" s="420">
        <f t="shared" si="532"/>
        <v>0</v>
      </c>
      <c r="AI414" s="1097">
        <f t="shared" si="533"/>
        <v>0</v>
      </c>
      <c r="AJ414" s="420">
        <f t="shared" si="534"/>
        <v>0</v>
      </c>
      <c r="AK414" s="518">
        <f t="shared" si="535"/>
        <v>0</v>
      </c>
      <c r="AL414" s="1106">
        <f>IF($P414="","N/A",(IF($P414=-1,INDEX('卡片raw data'!S:S,MATCH($D414,'卡片raw data'!$F:$F,)),0)+IF($P414=0,INDEX('卡片raw data'!V:V,MATCH($D414,'卡片raw data'!$F:$F,)),0)+IF($P414=1,INDEX('卡片raw data'!Y:Y,MATCH($D414,'卡片raw data'!$F:$F,)),0)+IF($P414=2,INDEX('卡片raw data'!AB:AB,MATCH($D414,'卡片raw data'!$F:$F,)),0)+IF($P414=3,INDEX('卡片raw data'!AE:AE,MATCH($D414,'卡片raw data'!$F:$F,)),0)+IF($P414=4,INDEX('卡片raw data'!AH:AH,MATCH($D414,'卡片raw data'!$F:$F,)),0)+IF($P414=5,INDEX('卡片raw data'!AK:AK,MATCH($D414,'卡片raw data'!$F:$F,)),0)+INDEX('卡片raw data'!S:S,MATCH($D414,'卡片raw data'!$F:$F,))*(IF($F414="UR",0.04,0.033))*(IF($F414="UR",INDEX(绊状态确认!$S:$S,MATCH($G414,绊状态确认!$B:$B,))/2-40)+IF($F414="SR",INDEX(绊状态确认!$R:$R,MATCH($G414,绊状态确认!$B:$B,))/4-15))+IF($F414="R",INDEX(绊状态确认!$Q:$Q,MATCH($G414,绊状态确认!$B:$B,))/6-40/6)))*(INDEX(绊状态确认!$H:$H,MATCH($G414,绊状态确认!$B:$B,))+INDEX(绊状态确认!J:J,MATCH($G414,绊状态确认!$B:$B,)))</f>
        <v>15260.988335999999</v>
      </c>
      <c r="AM414" s="1106">
        <f>IF($P414="","N/A",(IF($P414=-1,INDEX('卡片raw data'!T:T,MATCH($D414,'卡片raw data'!$F:$F,)),0)+IF($P414=0,INDEX('卡片raw data'!W:W,MATCH($D414,'卡片raw data'!$F:$F,)),0)+IF($P414=1,INDEX('卡片raw data'!Z:Z,MATCH($D414,'卡片raw data'!$F:$F,)),0)+IF($P414=2,INDEX('卡片raw data'!AC:AC,MATCH($D414,'卡片raw data'!$F:$F,)),0)+IF($P414=3,INDEX('卡片raw data'!AF:AF,MATCH($D414,'卡片raw data'!$F:$F,)),0)+IF($P414=4,INDEX('卡片raw data'!AI:AI,MATCH($D414,'卡片raw data'!$F:$F,)),0)+IF($P414=5,INDEX('卡片raw data'!AL:AL,MATCH($D414,'卡片raw data'!$F:$F,)),0)+INDEX('卡片raw data'!T:T,MATCH($D414,'卡片raw data'!$F:$F,))*(IF($F414="UR",0.04,0.033))*(IF($F414="UR",INDEX(绊状态确认!$S:$S,MATCH($G414,绊状态确认!$B:$B,))/2-40)+IF($F414="SR",INDEX(绊状态确认!$R:$R,MATCH($G414,绊状态确认!$B:$B,))/4-15))+IF($F414="R",INDEX(绊状态确认!$Q:$Q,MATCH($G414,绊状态确认!$B:$B,))/6-40/6)))*(INDEX(绊状态确认!$H:$H,MATCH($G414,绊状态确认!$B:$B,))+INDEX(绊状态确认!K:K,MATCH($G414,绊状态确认!$B:$B,)))</f>
        <v>8560.3648319999993</v>
      </c>
      <c r="AN414" s="1106">
        <f>IF($P414="","N/A",(IF($P414=-1,INDEX('卡片raw data'!U:U,MATCH($D414,'卡片raw data'!$F:$F,)),0)+IF($P414=0,INDEX('卡片raw data'!X:X,MATCH($D414,'卡片raw data'!$F:$F,)),0)+IF($P414=1,INDEX('卡片raw data'!AA:AA,MATCH($D414,'卡片raw data'!$F:$F,)),0)+IF($P414=2,INDEX('卡片raw data'!AD:AD,MATCH($D414,'卡片raw data'!$F:$F,)),0)+IF($P414=3,INDEX('卡片raw data'!AG:AG,MATCH($D414,'卡片raw data'!$F:$F,)),0)+IF($P414=4,INDEX('卡片raw data'!AJ:AJ,MATCH($D414,'卡片raw data'!$F:$F,)),0)+IF($P414=5,INDEX('卡片raw data'!AM:AM,MATCH($D414,'卡片raw data'!$F:$F,)),0)+INDEX('卡片raw data'!U:U,MATCH($D414,'卡片raw data'!$F:$F,))*(IF($F414="UR",0.04,0.033))*(IF($F414="UR",INDEX(绊状态确认!$S:$S,MATCH($G414,绊状态确认!$B:$B,))/2-40)+IF($F414="SR",INDEX(绊状态确认!$R:$R,MATCH($G414,绊状态确认!$B:$B,))/4-15))+IF($F414="R",INDEX(绊状态确认!$Q:$Q,MATCH($G414,绊状态确认!$B:$B,))/6-40/6)))*(INDEX(绊状态确认!$H:$H,MATCH($G414,绊状态确认!$B:$B,))+INDEX(绊状态确认!L:L,MATCH($G414,绊状态确认!$B:$B,)))</f>
        <v>13401.337919999998</v>
      </c>
      <c r="AO414" s="1107">
        <f t="shared" si="536"/>
        <v>1</v>
      </c>
      <c r="AP414" s="1131">
        <f>1+(INDEX(绊状态确认!$T:$T,MATCH($G414,绊状态确认!$B:$B,))+0.2)*$AO414</f>
        <v>1.3</v>
      </c>
      <c r="AQ414" s="1108">
        <f t="shared" si="537"/>
        <v>43310.094381999996</v>
      </c>
      <c r="AR414" s="1097">
        <f>(AM414*(1+$EX$9)+$EX$35)*(1+(INDEX(绊状态确认!$T:$T,MATCH($G414,绊状态确认!$B:$B,))+0.2)*AO414)*IF(J414=$FF$17,1+$FE$17,1)*IF(I414=$FF$14,1+$FE$14,1)</f>
        <v>14388.897995680001</v>
      </c>
      <c r="AS414" s="1097">
        <f>(AN414*(1+$EX$10)+$EX$36)*(1+(INDEX(绊状态确认!$T:$T,MATCH($G414,绊状态确认!$B:$B,))+0.2)*AO414)*IF(J414=$FF$17,1+$FE$17,1)*IF(I414=$FF$14,1+$FE$14,1)</f>
        <v>24091.000190399995</v>
      </c>
      <c r="AT414" s="1093">
        <f>IF(AND(INDEX('卡片raw data'!AK:AK,MATCH($D414,'卡片raw data'!$F:$F,))&lt;INDEX('卡片raw data'!AM:AM,MATCH($D414,'卡片raw data'!$F:$F,)),INDEX('卡片raw data'!AL:AL,MATCH($D414,'卡片raw data'!$F:$F,))&lt;INDEX('卡片raw data'!AM:AM,MATCH($D414,'卡片raw data'!$F:$F,))),1,0)</f>
        <v>0</v>
      </c>
      <c r="AU414" s="1098">
        <f>MIN(AT414*0.15+AS414*0.00003+INDEX(绊状态确认!M:M,MATCH($G414,绊状态确认!$B:$B,)),1)</f>
        <v>0.75273000571199988</v>
      </c>
      <c r="AV414" s="1109">
        <f>(INDEX(绊状态确认!$N:$N,MATCH($G414,绊状态确认!$B:$B,))+1.5)*$EW$21</f>
        <v>2.6599999999999997</v>
      </c>
      <c r="AW414" s="1101">
        <f t="shared" si="538"/>
        <v>50598.615386979494</v>
      </c>
      <c r="AX414" s="1097">
        <f t="shared" si="539"/>
        <v>1238.5446979705946</v>
      </c>
      <c r="AY414" s="1110">
        <f t="shared" si="540"/>
        <v>51837.16008495009</v>
      </c>
      <c r="AZ414" s="429">
        <f t="shared" si="541"/>
        <v>32358.927255199997</v>
      </c>
      <c r="BA414" s="431">
        <f t="shared" si="542"/>
        <v>38830.712706239996</v>
      </c>
      <c r="BB414" s="1097">
        <f>(AM414*(1+$FB$9)+$FB$35)*(1+(INDEX(绊状态确认!$T:$T,MATCH($G414,绊状态确认!$B:$B,))+0.2)*AO414)*IF(J414=$FF$17,1+$FE$17,1)*IF(I414=$FF$14,1+$FE$14,1)*(1+$FE$15)</f>
        <v>14388.897995680001</v>
      </c>
      <c r="BC414" s="1097">
        <f>(AN414*(1+$FB$10)+$FB$36)*(1+(INDEX(绊状态确认!$T:$T,MATCH($G414,绊状态确认!$B:$B,))+0.2)*AO414)*IF(J414=$FF$17,1+$FE$17,1)*IF(I414=$FF$14,1+$FE$14,1)*(1+$FE$15)</f>
        <v>24091.000190399995</v>
      </c>
      <c r="BD414" s="1104">
        <f>MIN(AT414*0.15+BC414*0.00003+INDEX(绊状态确认!M:M,MATCH($G414,绊状态确认!$B:$B,)),1)</f>
        <v>0.75273000571199988</v>
      </c>
      <c r="BE414" s="432">
        <f>(INDEX(绊状态确认!$N:$N,MATCH($G414,绊状态确认!$B:$B,))+1.5)</f>
        <v>1.9</v>
      </c>
      <c r="BF414" s="1139">
        <f t="array" ref="BF414">SUMPRODUCT(IF(AZ414*AP414*$FI$16:$FI$23*$FA$22&gt;=$FI$24,$FI$24,AZ414*AP414*$FI$16:$FI$23*$FA$22),$FJ$16:$FJ$23)</f>
        <v>58295.300878832801</v>
      </c>
      <c r="BG414" s="1125">
        <f t="array" ref="BG414">SUMPRODUCT(IF(BE414*AZ414*AP414*$FI$16:$FI$23*$FA$22&gt;=$FI$24,$FI$24,BE414*AZ414*AP414*$FI$16:$FI$23*$FA$22),$FJ$16:$FJ$23)</f>
        <v>60000</v>
      </c>
      <c r="BH414" s="1110">
        <f t="shared" si="543"/>
        <v>19859.493019348742</v>
      </c>
      <c r="BI414" s="1111">
        <f>IF(O414="vo",$EW$26/$EW$24*0.05,0)+IF(O414="sk",-$EW$26/$EW$24*(0.05-INDEX(绊状态确认!W:W,MATCH($G414,绊状态确认!$B:$B,)))+0.05*$EW$28,0)+IF(O414="sp",0.05*$EW$32*$EW$30*(1-$EW$33)-(0.05-INDEX(绊状态确认!V:V,MATCH($G414,绊状态确认!$B:$B,)))*$EW$28,0)+IF(O414="gd",-(0.05-INDEX(绊状态确认!X:X,MATCH($G414,绊状态确认!$B:$B,)))*$EW$32*$EW$30*(1-$EW$33),0)</f>
        <v>19.999999999999886</v>
      </c>
      <c r="BJ414" s="420">
        <f>IF(O414="vo",0.05*(1-$FI$26)*$FA$24,0)+IF(O414="sk",-(0.05-INDEX(绊状态确认!W:W,MATCH($G414,绊状态确认!$B:$B,)))*(1-$FI$26)*$FA$24+0.05*$FA$26,0)+IF(O414="sp",0.05*$FA$32*$FA$27*(1-$FA$33)/$FA$30+0.05*$FA$29/$FA$69*$FA$27*(1-$FA$33)-(0.05-INDEX(绊状态确认!V:V,MATCH($G414,绊状态确认!$B:$B,)))*$FA$26,0)+IF(O414="gd",-(0.05-INDEX(绊状态确认!X:X,MATCH($G414,绊状态确认!$B:$B,)))*$FA$32*$FA$27*(1-$FA$33)/$FA$30-(0.05-INDEX(绊状态确认!X:X,MATCH($G414,绊状态确认!$B:$B,)))*$FA$29/$FA$69*$FA$27*(1-$FA$33),0)</f>
        <v>545.83333333333326</v>
      </c>
      <c r="BK414" s="1110">
        <f>IF(O414="vo",$EW$26/$EW$24*0.05+$EW$26*(-HP($EW$62,$EW$65,$EW$64)+HP($EW$62,$EW$65,(1.05-INDEX(绊状态确认!U:U,MATCH($G414,绊状态确认!$B:$B,)))*$EW$64)),0)+IF(O414="sk",-$EW$26/$EW$24*(0.05-INDEX(绊状态确认!W:W,MATCH($G414,绊状态确认!$B:$B,)))+0.05*$EW$29,0)+IF(O414="sp",0.05*$EW$32*$EW$30*(1-$EW$33)-(0.05-INDEX(绊状态确认!V:V,MATCH($G414,绊状态确认!$B:$B,)))*$EW$29,0)+IF(O414="gd",-(0.05-INDEX(绊状态确认!X:X,MATCH($G414,绊状态确认!$B:$B,)))*$EW$32*$EW$30*(1-$EW$33)+$EW$26*(-HP($EW$62,$EW$65,$EW$64)+HP($EW$62,$EW$65,0.95*$EW$64)),0)</f>
        <v>-1780.0000000000005</v>
      </c>
      <c r="BL414" s="1111">
        <f t="shared" si="544"/>
        <v>0</v>
      </c>
      <c r="BM414" s="1110">
        <f t="shared" si="545"/>
        <v>0</v>
      </c>
      <c r="BN414" s="1113">
        <f t="shared" si="546"/>
        <v>4</v>
      </c>
      <c r="BO414" s="1108">
        <f t="shared" si="547"/>
        <v>6010.2953161679998</v>
      </c>
      <c r="BP414" s="1100">
        <f t="shared" si="548"/>
        <v>295.12137612040135</v>
      </c>
      <c r="BQ414" s="437" t="s">
        <v>132</v>
      </c>
      <c r="BR414" s="450" t="s">
        <v>171</v>
      </c>
      <c r="BS414" s="421">
        <f>IF($P414="","N/A",IF($P414=-1,INDEX('卡片raw data'!AX:AX,MATCH($D414,'卡片raw data'!$F:$F,)),0)+IF($L414="party卡",IF($P414=5,INDEX('卡片raw data'!BD:BD,MATCH($D414,'卡片raw data'!$F:$F,)),IF($P414&gt;=3,INDEX('卡片raw data'!BC:BC,MATCH($D414,'卡片raw data'!$F:$F,)),INDEX('卡片raw data'!BB:BB,MATCH($D414,'卡片raw data'!$F:$F,)))),IF(OR(AND($F414="UR",$P414=0),AND($F414="SR",$P414&gt;=0,$P414&lt;=2),AND($F414="R",$P414&gt;=0,$P414&lt;4)),INDEX('卡片raw data'!AZ:AZ,MATCH($D414,'卡片raw data'!$F:$F,)),0)+IF(OR(AND($F414="UR",$P414&gt;=1,$P414&lt;=4),AND($F414="SR",$P414&lt;=4,$P414&gt;=3),AND($F414="R",$P414=4)),INDEX('卡片raw data'!BA:BA,MATCH($D414,'卡片raw data'!$F:$F,)),0)+IF($P414=5,INDEX('卡片raw data'!BB:BB,MATCH($D414,'卡片raw data'!$F:$F,)),0)))</f>
        <v>5.1999999999999998E-2</v>
      </c>
      <c r="BT414" s="424">
        <f t="shared" si="549"/>
        <v>2604.4613036728001</v>
      </c>
      <c r="BU414" s="420">
        <f t="shared" si="550"/>
        <v>111.90018844565216</v>
      </c>
      <c r="BV414" s="420">
        <f t="shared" si="551"/>
        <v>1302.2306518363998</v>
      </c>
      <c r="BW414" s="436">
        <f t="shared" si="552"/>
        <v>0</v>
      </c>
      <c r="BX414" s="423">
        <f t="shared" si="553"/>
        <v>2604.4613036728001</v>
      </c>
      <c r="BY414" s="433">
        <f t="shared" si="554"/>
        <v>1302.2306518363998</v>
      </c>
      <c r="BZ414" s="1113" t="s">
        <v>569</v>
      </c>
      <c r="CA414" s="450"/>
      <c r="CB414" s="421">
        <f>IF($P414="","N/A",IF($P414=-1,INDEX('卡片raw data'!BE:BE,MATCH($D414,'卡片raw data'!$F:$F,)),0)+IF($L414="party卡",IF($P414=5,INDEX('卡片raw data'!BK:BK,MATCH($D414,'卡片raw data'!$F:$F,)),IF($P414&gt;=3,INDEX('卡片raw data'!BJ:BJ,MATCH($D414,'卡片raw data'!$F:$F,)),INDEX('卡片raw data'!BI:BI,MATCH($D414,'卡片raw data'!$F:$F,)))),IF(OR(AND($F414="UR",$P414=0),AND($F414="SR",$P414&gt;=0,$P414&lt;=2),AND($F414="R",$P414&gt;=0,$P414&lt;4)),INDEX('卡片raw data'!BG:BG,MATCH($D414,'卡片raw data'!$F:$F,)),0)+IF(OR(AND($F414="UR",$P414&gt;=1,$P414&lt;=4),AND($F414="SR",$P414&lt;=4,$P414&gt;=3),AND($F414="R",$P414=4)),INDEX('卡片raw data'!BH:BH,MATCH($D414,'卡片raw data'!$F:$F,)),0)+IF($P414=5,INDEX('卡片raw data'!BI:BI,MATCH($D414,'卡片raw data'!$F:$F,)),0)))</f>
        <v>0</v>
      </c>
      <c r="CC414" s="424">
        <f t="shared" si="555"/>
        <v>0</v>
      </c>
      <c r="CD414" s="420">
        <f>IF(BZ414="ap",CB414*(1-$FI$26)*$FB$5/$FB$11*(+IF(CA414="全员",$FA$24,0)+IF(CA414="同作战",$FA$24,0)+IF(CA414="仲间",$FA$24*2/3,0)+IF(CA414="同属性",$FA$24*$FA$37/3,0)+IF(CA414="同年级",$FA$24*$FA$40/3,0)+IF(CA414="同学校",$FA$24*$FA$43/3,0)+IF(CA414="同小队",$FA$24*$FA$46/3,0)+IF(CA414="同type",$FA$24*INDEX($FB$49:$FB$52,MATCH(X414,$FA$49:$FA$52,))/3,0)+IF(CA414="自身",#REF!/3,0)),0)+IF(BZ414="te",CB414*(1-$FI$27)*($FA$20-1)*$FB$7/$FB$13*(+IF(CA414="全员",$FA$19*$FA$24/(1+($FA$20-1)*$FA$19),0)+IF(CA414="同作战",$FA$19*$FA$24/(1+($FA$20-1)*$FA$19),0)+IF(CA414="仲间",$FA$19*$FA$24*2/3/(1+($FA$20-1)*$FA$19),0)+IF(CA414="同属性",$FA$19*$FA$24*$FA$37/3/(1+($FA$20-1)*$FA$19),0)+IF(CA414="同年级",$FA$19*$FA$24*$FA$40/3/(1+($FA$20-1)*$FA$19),0)+IF(CA414="同学校",$FA$19*$FA$24*$FA$43/3/(1+($FA$20-1)*$FA$19),0)+IF(CA414="同小队",$FA$19*$FA$24*$FA$46/3/(1+($FA$20-1)*$FA$19),0)+IF(CA414="同type",$FA$19*$FA$24*INDEX($FB$49:$FB$52,MATCH(X414,$FA$49:$FA$52,))/3/(1+($FA$20-1)*$FA$19),0)+IF(CA414="自身",$FA$19*#REF!/3/(1+(BH414-1)*$BD414),0)),0)</f>
        <v>0</v>
      </c>
      <c r="CE414" s="420">
        <f t="shared" si="556"/>
        <v>0</v>
      </c>
      <c r="CF414" s="436">
        <f t="shared" si="557"/>
        <v>0</v>
      </c>
      <c r="CG414" s="423">
        <f t="shared" si="558"/>
        <v>0</v>
      </c>
      <c r="CH414" s="433">
        <f t="shared" si="559"/>
        <v>0</v>
      </c>
      <c r="CI414" s="437" t="s">
        <v>162</v>
      </c>
      <c r="CJ414" s="438">
        <v>1</v>
      </c>
      <c r="CK414" s="439" t="s">
        <v>156</v>
      </c>
      <c r="CL414" s="1115" t="s">
        <v>1940</v>
      </c>
      <c r="CM414" s="1119">
        <v>0.01</v>
      </c>
      <c r="CN414" s="1115"/>
      <c r="CO414" s="1092"/>
      <c r="CP414" s="1116">
        <f t="shared" si="560"/>
        <v>9.2807345104285712</v>
      </c>
      <c r="CQ414" s="1116">
        <f t="shared" si="561"/>
        <v>14.885106537391998</v>
      </c>
      <c r="CR414" s="1116">
        <f t="shared" si="562"/>
        <v>9.2807345104285712</v>
      </c>
      <c r="CS414" s="442">
        <f t="shared" si="563"/>
        <v>0</v>
      </c>
      <c r="CT414" s="432">
        <f t="shared" si="564"/>
        <v>12.632110861416663</v>
      </c>
      <c r="CU414" s="1101">
        <f t="shared" si="565"/>
        <v>580.04590690178566</v>
      </c>
      <c r="CV414" s="1108">
        <f t="shared" si="566"/>
        <v>620.21277239133326</v>
      </c>
      <c r="CW414" s="1097">
        <f t="shared" si="567"/>
        <v>580.04590690178566</v>
      </c>
      <c r="CX414" s="420">
        <f t="shared" si="568"/>
        <v>580.04590690178566</v>
      </c>
      <c r="CY414" s="433">
        <f t="shared" si="569"/>
        <v>580.04590690178566</v>
      </c>
      <c r="CZ414" s="437"/>
      <c r="DA414" s="438"/>
      <c r="DB414" s="439" t="s">
        <v>569</v>
      </c>
      <c r="DC414" s="439"/>
      <c r="DD414" s="443"/>
      <c r="DE414" s="411"/>
      <c r="DF414" s="411"/>
      <c r="DG414" s="1116">
        <f t="shared" si="570"/>
        <v>0</v>
      </c>
      <c r="DH414" s="1116">
        <f t="shared" si="571"/>
        <v>0</v>
      </c>
      <c r="DI414" s="1116">
        <f t="shared" si="572"/>
        <v>0</v>
      </c>
      <c r="DJ414" s="442">
        <f t="shared" si="573"/>
        <v>0</v>
      </c>
      <c r="DK414" s="432">
        <f t="shared" si="574"/>
        <v>0</v>
      </c>
      <c r="DL414" s="424">
        <f t="shared" si="575"/>
        <v>0</v>
      </c>
      <c r="DM414" s="420">
        <f t="shared" si="576"/>
        <v>0</v>
      </c>
      <c r="DN414" s="420">
        <f t="shared" si="577"/>
        <v>0</v>
      </c>
      <c r="DO414" s="420">
        <f t="shared" si="578"/>
        <v>0</v>
      </c>
      <c r="DP414" s="433">
        <f t="shared" si="579"/>
        <v>0</v>
      </c>
      <c r="DQ414" s="1113" t="s">
        <v>256</v>
      </c>
      <c r="DR414" s="1120">
        <f t="shared" si="580"/>
        <v>0.33</v>
      </c>
      <c r="DS414" s="1124"/>
      <c r="DT414" s="1093" t="s">
        <v>132</v>
      </c>
      <c r="DU414" s="1093"/>
      <c r="DV414" s="1098">
        <f>IF($P414="","N/A",IF(P414=-1,INDEX('卡片raw data'!AN:AN,MATCH(D414,'卡片raw data'!$F:$F,)),0)+IF(AND(L414&lt;&gt;"party卡",P414&lt;=2,P414&gt;=0),INDEX('卡片raw data'!AP:AP,MATCH(D414,'卡片raw data'!$F:$F,)),0)+IF(OR(AND(L414="party卡",P414&lt;=1),AND(P414&lt;=4,L414&lt;&gt;"party卡",P414&gt;=3)),INDEX('卡片raw data'!AQ:AQ,MATCH(D414,'卡片raw data'!$F:$F,)),0)+IF(OR(P414=5,AND(L414="party卡",P414&gt;=2)),INDEX('卡片raw data'!AR:AR,MATCH(D414,'卡片raw data'!$F:$F,)),0))</f>
        <v>0.4</v>
      </c>
      <c r="DW414" s="1098">
        <f t="shared" si="581"/>
        <v>0.33</v>
      </c>
      <c r="DX414" s="1098">
        <f t="shared" si="582"/>
        <v>0.33</v>
      </c>
      <c r="DY414" s="1097">
        <f t="shared" si="583"/>
        <v>1905.6441528080002</v>
      </c>
      <c r="DZ414" s="1097">
        <f t="shared" si="584"/>
        <v>1477.8969255994941</v>
      </c>
      <c r="EA414" s="421">
        <f t="shared" si="585"/>
        <v>0</v>
      </c>
      <c r="EB414" s="445">
        <f t="shared" si="586"/>
        <v>0</v>
      </c>
      <c r="EC414" s="424">
        <f t="shared" si="587"/>
        <v>2725.0711385154405</v>
      </c>
      <c r="ED414" s="420">
        <f t="shared" si="588"/>
        <v>0</v>
      </c>
      <c r="EE414" s="433">
        <f t="shared" si="513"/>
        <v>2725.0711385154405</v>
      </c>
      <c r="EF414" s="1115" t="s">
        <v>569</v>
      </c>
      <c r="EG414" s="1120">
        <f t="shared" si="589"/>
        <v>0.33</v>
      </c>
      <c r="EH414" s="450"/>
      <c r="EI414" s="1093"/>
      <c r="EJ414" s="1093"/>
      <c r="EK414" s="420">
        <f>IF($P414="","N/A",IF(P414=-1,INDEX('卡片raw data'!AS:AS,MATCH(D414,'卡片raw data'!$F:$F,)),0)+IF(AND(L414&lt;&gt;"party卡",P414&lt;=2,P414&gt;=0),INDEX('卡片raw data'!AU:AU,MATCH(D414,'卡片raw data'!$F:$F,)),0)+IF(OR(AND(L414="party卡",P414&lt;=1),AND(P414&lt;=4,L414&lt;&gt;"party卡",P414&gt;=3)),INDEX('卡片raw data'!AV:AV,MATCH(D414,'卡片raw data'!$F:$F,)),0)+IF(OR(P414=5,AND(L414="party卡",P414&gt;=2)),INDEX('卡片raw data'!AW:AW,MATCH(D414,'卡片raw data'!$F:$F,)),0))</f>
        <v>0</v>
      </c>
      <c r="EL414" s="1098">
        <f t="shared" si="590"/>
        <v>0.33</v>
      </c>
      <c r="EM414" s="1098">
        <f t="shared" si="591"/>
        <v>0.33</v>
      </c>
      <c r="EN414" s="1097">
        <f t="shared" si="592"/>
        <v>0</v>
      </c>
      <c r="EO414" s="1097">
        <f t="shared" si="593"/>
        <v>0</v>
      </c>
      <c r="EP414" s="421">
        <f t="shared" si="594"/>
        <v>0</v>
      </c>
      <c r="EQ414" s="445">
        <f t="shared" si="595"/>
        <v>0</v>
      </c>
      <c r="ER414" s="424">
        <f t="shared" si="596"/>
        <v>0</v>
      </c>
      <c r="ES414" s="420">
        <f t="shared" si="597"/>
        <v>0</v>
      </c>
      <c r="ET414" s="446">
        <f t="shared" si="514"/>
        <v>0</v>
      </c>
    </row>
    <row r="415" spans="2:150" ht="16.5" customHeight="1">
      <c r="B415" s="448" t="str">
        <f>INDEX('卡片raw data'!B:B,MATCH($D415,'卡片raw data'!$F:$F,))</f>
        <v>fes2凛</v>
      </c>
      <c r="C415" s="449" t="s">
        <v>2253</v>
      </c>
      <c r="D415" s="408">
        <v>412</v>
      </c>
      <c r="E415" s="477">
        <v>200053002</v>
      </c>
      <c r="F415" s="409" t="str">
        <f>INDEX('卡片raw data'!C:C,MATCH($D415,'卡片raw data'!$F:$F,))</f>
        <v>UR</v>
      </c>
      <c r="G415" s="1094" t="s">
        <v>2254</v>
      </c>
      <c r="H415" s="411">
        <f>IFERROR(INDEX(绊状态确认!C:C,MATCH($G415,绊状态确认!$B:$B,)),"")</f>
        <v>5</v>
      </c>
      <c r="I415" s="450" t="str">
        <f>IFERROR(INDEX(绊状态确认!D:D,MATCH($G415,绊状态确认!$B:$B,)),"")</f>
        <v>缪</v>
      </c>
      <c r="J415" s="450" t="str">
        <f>IFERROR(INDEX(绊状态确认!E:E,MATCH($G415,绊状态确认!$B:$B,)),"")</f>
        <v>1年级</v>
      </c>
      <c r="K415" s="451" t="str">
        <f>IFERROR(INDEX(绊状态确认!F:F,MATCH($G415,绊状态确认!$B:$B,)),"")</f>
        <v>lilywhite</v>
      </c>
      <c r="L415" s="414" t="str">
        <f>INDEX('卡片raw data'!E:E,MATCH($D415,'卡片raw data'!$F:$F,))</f>
        <v>fes卡</v>
      </c>
      <c r="M415" s="478">
        <v>44255</v>
      </c>
      <c r="N415" s="479">
        <v>34.5</v>
      </c>
      <c r="O415" s="410" t="str">
        <f>INDEX('卡片raw data'!D:D,MATCH($D415,'卡片raw data'!$F:$F,))</f>
        <v>vo</v>
      </c>
      <c r="P415" s="1126">
        <v>5</v>
      </c>
      <c r="Q415" s="418">
        <f t="shared" si="515"/>
        <v>76916.635205745071</v>
      </c>
      <c r="R415" s="419">
        <f t="shared" si="516"/>
        <v>0.89400000000000002</v>
      </c>
      <c r="S415" s="420">
        <f t="shared" si="517"/>
        <v>23000.901979688704</v>
      </c>
      <c r="T415" s="421">
        <f t="shared" si="518"/>
        <v>1.1499999999999999</v>
      </c>
      <c r="U415" s="422">
        <f t="shared" si="519"/>
        <v>-11.760856323057142</v>
      </c>
      <c r="V415" s="423">
        <f t="shared" si="520"/>
        <v>76670.814803793881</v>
      </c>
      <c r="W415" s="424">
        <f t="shared" si="521"/>
        <v>7312.5259680044001</v>
      </c>
      <c r="X415" s="419">
        <f t="shared" si="522"/>
        <v>8.5000000000000006E-2</v>
      </c>
      <c r="Y415" s="420">
        <f t="shared" si="523"/>
        <v>1058.8480482905143</v>
      </c>
      <c r="Z415" s="425">
        <f t="shared" si="524"/>
        <v>13.239143676942858</v>
      </c>
      <c r="AA415" s="426">
        <f t="shared" si="525"/>
        <v>8371.3740162949143</v>
      </c>
      <c r="AB415" s="424">
        <f t="shared" si="526"/>
        <v>12014.329908048325</v>
      </c>
      <c r="AC415" s="427">
        <f t="shared" si="527"/>
        <v>0.13900000000000001</v>
      </c>
      <c r="AD415" s="428">
        <f t="shared" si="528"/>
        <v>0</v>
      </c>
      <c r="AE415" s="516">
        <f t="shared" si="529"/>
        <v>0</v>
      </c>
      <c r="AF415" s="1130">
        <f t="shared" si="530"/>
        <v>0</v>
      </c>
      <c r="AG415" s="420">
        <f t="shared" si="531"/>
        <v>0</v>
      </c>
      <c r="AH415" s="420">
        <f t="shared" si="532"/>
        <v>0</v>
      </c>
      <c r="AI415" s="1097">
        <f t="shared" si="533"/>
        <v>0</v>
      </c>
      <c r="AJ415" s="420">
        <f t="shared" si="534"/>
        <v>0</v>
      </c>
      <c r="AK415" s="518">
        <f t="shared" si="535"/>
        <v>0</v>
      </c>
      <c r="AL415" s="1106">
        <f>IF($P415="","N/A",(IF($P415=-1,INDEX('卡片raw data'!S:S,MATCH($D415,'卡片raw data'!$F:$F,)),0)+IF($P415=0,INDEX('卡片raw data'!V:V,MATCH($D415,'卡片raw data'!$F:$F,)),0)+IF($P415=1,INDEX('卡片raw data'!Y:Y,MATCH($D415,'卡片raw data'!$F:$F,)),0)+IF($P415=2,INDEX('卡片raw data'!AB:AB,MATCH($D415,'卡片raw data'!$F:$F,)),0)+IF($P415=3,INDEX('卡片raw data'!AE:AE,MATCH($D415,'卡片raw data'!$F:$F,)),0)+IF($P415=4,INDEX('卡片raw data'!AH:AH,MATCH($D415,'卡片raw data'!$F:$F,)),0)+IF($P415=5,INDEX('卡片raw data'!AK:AK,MATCH($D415,'卡片raw data'!$F:$F,)),0)+INDEX('卡片raw data'!S:S,MATCH($D415,'卡片raw data'!$F:$F,))*(IF($F415="UR",0.04,0.033))*(IF($F415="UR",INDEX(绊状态确认!$S:$S,MATCH($G415,绊状态确认!$B:$B,))/2-40)+IF($F415="SR",INDEX(绊状态确认!$R:$R,MATCH($G415,绊状态确认!$B:$B,))/4-15))+IF($F415="R",INDEX(绊状态确认!$Q:$Q,MATCH($G415,绊状态确认!$B:$B,))/6-40/6)))*(INDEX(绊状态确认!$H:$H,MATCH($G415,绊状态确认!$B:$B,))+INDEX(绊状态确认!J:J,MATCH($G415,绊状态确认!$B:$B,)))</f>
        <v>16006.057631999996</v>
      </c>
      <c r="AM415" s="1106">
        <f>IF($P415="","N/A",(IF($P415=-1,INDEX('卡片raw data'!T:T,MATCH($D415,'卡片raw data'!$F:$F,)),0)+IF($P415=0,INDEX('卡片raw data'!W:W,MATCH($D415,'卡片raw data'!$F:$F,)),0)+IF($P415=1,INDEX('卡片raw data'!Z:Z,MATCH($D415,'卡片raw data'!$F:$F,)),0)+IF($P415=2,INDEX('卡片raw data'!AC:AC,MATCH($D415,'卡片raw data'!$F:$F,)),0)+IF($P415=3,INDEX('卡片raw data'!AF:AF,MATCH($D415,'卡片raw data'!$F:$F,)),0)+IF($P415=4,INDEX('卡片raw data'!AI:AI,MATCH($D415,'卡片raw data'!$F:$F,)),0)+IF($P415=5,INDEX('卡片raw data'!AL:AL,MATCH($D415,'卡片raw data'!$F:$F,)),0)+INDEX('卡片raw data'!T:T,MATCH($D415,'卡片raw data'!$F:$F,))*(IF($F415="UR",0.04,0.033))*(IF($F415="UR",INDEX(绊状态确认!$S:$S,MATCH($G415,绊状态确认!$B:$B,))/2-40)+IF($F415="SR",INDEX(绊状态确认!$R:$R,MATCH($G415,绊状态确认!$B:$B,))/4-15))+IF($F415="R",INDEX(绊状态确认!$Q:$Q,MATCH($G415,绊状态确认!$B:$B,))/6-40/6)))*(INDEX(绊状态确认!$H:$H,MATCH($G415,绊状态确认!$B:$B,))+INDEX(绊状态确认!K:K,MATCH($G415,绊状态确认!$B:$B,)))</f>
        <v>7071.453551999999</v>
      </c>
      <c r="AN415" s="1106">
        <f>IF($P415="","N/A",(IF($P415=-1,INDEX('卡片raw data'!U:U,MATCH($D415,'卡片raw data'!$F:$F,)),0)+IF($P415=0,INDEX('卡片raw data'!X:X,MATCH($D415,'卡片raw data'!$F:$F,)),0)+IF($P415=1,INDEX('卡片raw data'!AA:AA,MATCH($D415,'卡片raw data'!$F:$F,)),0)+IF($P415=2,INDEX('卡片raw data'!AD:AD,MATCH($D415,'卡片raw data'!$F:$F,)),0)+IF($P415=3,INDEX('卡片raw data'!AG:AG,MATCH($D415,'卡片raw data'!$F:$F,)),0)+IF($P415=4,INDEX('卡片raw data'!AJ:AJ,MATCH($D415,'卡片raw data'!$F:$F,)),0)+IF($P415=5,INDEX('卡片raw data'!AM:AM,MATCH($D415,'卡片raw data'!$F:$F,)),0)+INDEX('卡片raw data'!U:U,MATCH($D415,'卡片raw data'!$F:$F,))*(IF($F415="UR",0.04,0.033))*(IF($F415="UR",INDEX(绊状态确认!$S:$S,MATCH($G415,绊状态确认!$B:$B,))/2-40)+IF($F415="SR",INDEX(绊状态确认!$R:$R,MATCH($G415,绊状态确认!$B:$B,))/4-15))+IF($F415="R",INDEX(绊状态确认!$Q:$Q,MATCH($G415,绊状态确认!$B:$B,))/6-40/6)))*(INDEX(绊状态确认!$H:$H,MATCH($G415,绊状态确认!$B:$B,))+INDEX(绊状态确认!L:L,MATCH($G415,绊状态确认!$B:$B,)))</f>
        <v>14145.179903999999</v>
      </c>
      <c r="AO415" s="1107">
        <f t="shared" si="536"/>
        <v>1</v>
      </c>
      <c r="AP415" s="1131">
        <f>1+(INDEX(绊状态确认!$T:$T,MATCH($G415,绊状态确认!$B:$B,))+0.2)*$AO415</f>
        <v>1.3</v>
      </c>
      <c r="AQ415" s="1108">
        <f t="shared" si="537"/>
        <v>45265.901283999992</v>
      </c>
      <c r="AR415" s="1097">
        <f>(AM415*(1+$EX$9)+$EX$35)*(1+(INDEX(绊状态确认!$T:$T,MATCH($G415,绊状态确认!$B:$B,))+0.2)*AO415)*IF(J415=$FF$17,1+$FE$17,1)*IF(I415=$FF$14,1+$FE$14,1)</f>
        <v>12356.53409848</v>
      </c>
      <c r="AS415" s="1097">
        <f>(AN415*(1+$EX$10)+$EX$36)*(1+(INDEX(绊状态确认!$T:$T,MATCH($G415,绊状态确认!$B:$B,))+0.2)*AO415)*IF(J415=$FF$17,1+$FE$17,1)*IF(I415=$FF$14,1+$FE$14,1)</f>
        <v>25203.04395648</v>
      </c>
      <c r="AT415" s="1093">
        <f>IF(AND(INDEX('卡片raw data'!AK:AK,MATCH($D415,'卡片raw data'!$F:$F,))&lt;INDEX('卡片raw data'!AM:AM,MATCH($D415,'卡片raw data'!$F:$F,)),INDEX('卡片raw data'!AL:AL,MATCH($D415,'卡片raw data'!$F:$F,))&lt;INDEX('卡片raw data'!AM:AM,MATCH($D415,'卡片raw data'!$F:$F,))),1,0)</f>
        <v>0</v>
      </c>
      <c r="AU415" s="1098">
        <f>MIN(AT415*0.15+AS415*0.00003+INDEX(绊状态确认!M:M,MATCH($G415,绊状态确认!$B:$B,)),1)</f>
        <v>0.78609131869440008</v>
      </c>
      <c r="AV415" s="1109">
        <f>(INDEX(绊状态确认!$N:$N,MATCH($G415,绊状态确认!$B:$B,))+1.5)*$EW$21</f>
        <v>2.6599999999999997</v>
      </c>
      <c r="AW415" s="1101">
        <f t="shared" si="538"/>
        <v>54185.465335723617</v>
      </c>
      <c r="AX415" s="1097">
        <f t="shared" si="539"/>
        <v>1058.848048290515</v>
      </c>
      <c r="AY415" s="1110">
        <f t="shared" si="540"/>
        <v>55244.313384014131</v>
      </c>
      <c r="AZ415" s="429">
        <f t="shared" si="541"/>
        <v>33811.812382399992</v>
      </c>
      <c r="BA415" s="431">
        <f t="shared" si="542"/>
        <v>40574.174858879989</v>
      </c>
      <c r="BB415" s="1097">
        <f>(AM415*(1+$FB$9)+$FB$35)*(1+(INDEX(绊状态确认!$T:$T,MATCH($G415,绊状态确认!$B:$B,))+0.2)*AO415)*IF(J415=$FF$17,1+$FE$17,1)*IF(I415=$FF$14,1+$FE$14,1)*(1+$FE$15)</f>
        <v>12356.53409848</v>
      </c>
      <c r="BC415" s="1097">
        <f>(AN415*(1+$FB$10)+$FB$36)*(1+(INDEX(绊状态确认!$T:$T,MATCH($G415,绊状态确认!$B:$B,))+0.2)*AO415)*IF(J415=$FF$17,1+$FE$17,1)*IF(I415=$FF$14,1+$FE$14,1)*(1+$FE$15)</f>
        <v>25203.04395648</v>
      </c>
      <c r="BD415" s="1104">
        <f>MIN(AT415*0.15+BC415*0.00003+INDEX(绊状态确认!M:M,MATCH($G415,绊状态确认!$B:$B,)),1)</f>
        <v>0.78609131869440008</v>
      </c>
      <c r="BE415" s="432">
        <f>(INDEX(绊状态确认!$N:$N,MATCH($G415,绊状态确认!$B:$B,))+1.5)</f>
        <v>1.9</v>
      </c>
      <c r="BF415" s="1139">
        <f t="array" ref="BF415">SUMPRODUCT(IF(AZ415*AP415*$FI$16:$FI$23*$FA$22&gt;=$FI$24,$FI$24,AZ415*AP415*$FI$16:$FI$23*$FA$22),$FJ$16:$FJ$23)</f>
        <v>58988.839024279994</v>
      </c>
      <c r="BG415" s="1125">
        <f t="array" ref="BG415">SUMPRODUCT(IF(BE415*AZ415*AP415*$FI$16:$FI$23*$FA$22&gt;=$FI$24,$FI$24,BE415*AZ415*AP415*$FI$16:$FI$23*$FA$22),$FJ$16:$FJ$23)</f>
        <v>60000</v>
      </c>
      <c r="BH415" s="1110">
        <f t="shared" si="543"/>
        <v>19927.901296365351</v>
      </c>
      <c r="BI415" s="1111">
        <f>IF(O415="vo",$EW$26/$EW$24*0.05,0)+IF(O415="sk",-$EW$26/$EW$24*(0.05-INDEX(绊状态确认!W:W,MATCH($G415,绊状态确认!$B:$B,)))+0.05*$EW$28,0)+IF(O415="sp",0.05*$EW$32*$EW$30*(1-$EW$33)-(0.05-INDEX(绊状态确认!V:V,MATCH($G415,绊状态确认!$B:$B,)))*$EW$28,0)+IF(O415="gd",-(0.05-INDEX(绊状态确认!X:X,MATCH($G415,绊状态确认!$B:$B,)))*$EW$32*$EW$30*(1-$EW$33),0)</f>
        <v>7726.3029277443748</v>
      </c>
      <c r="BJ415" s="420">
        <f>IF(O415="vo",0.05*(1-$FI$26)*$FA$24,0)+IF(O415="sk",-(0.05-INDEX(绊状态确认!W:W,MATCH($G415,绊状态确认!$B:$B,)))*(1-$FI$26)*$FA$24+0.05*$FA$26,0)+IF(O415="sp",0.05*$FA$32*$FA$27*(1-$FA$33)/$FA$30+0.05*$FA$29/$FA$69*$FA$27*(1-$FA$33)-(0.05-INDEX(绊状态确认!V:V,MATCH($G415,绊状态确认!$B:$B,)))*$FA$26,0)+IF(O415="gd",-(0.05-INDEX(绊状态确认!X:X,MATCH($G415,绊状态确认!$B:$B,)))*$FA$32*$FA$27*(1-$FA$33)/$FA$30-(0.05-INDEX(绊状态确认!X:X,MATCH($G415,绊状态确认!$B:$B,)))*$FA$29/$FA$69*$FA$27*(1-$FA$33),0)</f>
        <v>393.93433687500004</v>
      </c>
      <c r="BK415" s="1110">
        <f>IF(O415="vo",$EW$26/$EW$24*0.05+$EW$26*(-HP($EW$62,$EW$65,$EW$64)+HP($EW$62,$EW$65,(1.05-INDEX(绊状态确认!U:U,MATCH($G415,绊状态确认!$B:$B,)))*$EW$64)),0)+IF(O415="sk",-$EW$26/$EW$24*(0.05-INDEX(绊状态确认!W:W,MATCH($G415,绊状态确认!$B:$B,)))+0.05*$EW$29,0)+IF(O415="sp",0.05*$EW$32*$EW$30*(1-$EW$33)-(0.05-INDEX(绊状态确认!V:V,MATCH($G415,绊状态确认!$B:$B,)))*$EW$29,0)+IF(O415="gd",-(0.05-INDEX(绊状态确认!X:X,MATCH($G415,绊状态确认!$B:$B,)))*$EW$32*$EW$30*(1-$EW$33)+$EW$26*(-HP($EW$62,$EW$65,$EW$64)+HP($EW$62,$EW$65,0.95*$EW$64)),0)</f>
        <v>6421.6344775026746</v>
      </c>
      <c r="BL415" s="1111">
        <f t="shared" si="544"/>
        <v>0</v>
      </c>
      <c r="BM415" s="1110">
        <f t="shared" si="545"/>
        <v>0</v>
      </c>
      <c r="BN415" s="1113">
        <f t="shared" si="546"/>
        <v>4</v>
      </c>
      <c r="BO415" s="1108">
        <f t="shared" si="547"/>
        <v>6010.2953161679998</v>
      </c>
      <c r="BP415" s="1100">
        <f t="shared" si="548"/>
        <v>295.12137612040135</v>
      </c>
      <c r="BQ415" s="437" t="s">
        <v>132</v>
      </c>
      <c r="BR415" s="450" t="s">
        <v>171</v>
      </c>
      <c r="BS415" s="421">
        <f>IF($P415="","N/A",IF($P415=-1,INDEX('卡片raw data'!AX:AX,MATCH($D415,'卡片raw data'!$F:$F,)),0)+IF($L415="party卡",IF($P415=5,INDEX('卡片raw data'!BD:BD,MATCH($D415,'卡片raw data'!$F:$F,)),IF($P415&gt;=3,INDEX('卡片raw data'!BC:BC,MATCH($D415,'卡片raw data'!$F:$F,)),INDEX('卡片raw data'!BB:BB,MATCH($D415,'卡片raw data'!$F:$F,)))),IF(OR(AND($F415="UR",$P415=0),AND($F415="SR",$P415&gt;=0,$P415&lt;=2),AND($F415="R",$P415&gt;=0,$P415&lt;4)),INDEX('卡片raw data'!AZ:AZ,MATCH($D415,'卡片raw data'!$F:$F,)),0)+IF(OR(AND($F415="UR",$P415&gt;=1,$P415&lt;=4),AND($F415="SR",$P415&lt;=4,$P415&gt;=3),AND($F415="R",$P415=4)),INDEX('卡片raw data'!BA:BA,MATCH($D415,'卡片raw data'!$F:$F,)),0)+IF($P415=5,INDEX('卡片raw data'!BB:BB,MATCH($D415,'卡片raw data'!$F:$F,)),0)))</f>
        <v>5.1999999999999998E-2</v>
      </c>
      <c r="BT415" s="424">
        <f t="shared" si="549"/>
        <v>2604.4613036728001</v>
      </c>
      <c r="BU415" s="420">
        <f t="shared" si="550"/>
        <v>111.90018844565216</v>
      </c>
      <c r="BV415" s="420">
        <f t="shared" si="551"/>
        <v>1302.2306518363998</v>
      </c>
      <c r="BW415" s="436">
        <f t="shared" si="552"/>
        <v>0</v>
      </c>
      <c r="BX415" s="423">
        <f t="shared" si="553"/>
        <v>2604.4613036728001</v>
      </c>
      <c r="BY415" s="433">
        <f t="shared" si="554"/>
        <v>1302.2306518363998</v>
      </c>
      <c r="BZ415" s="1113" t="s">
        <v>569</v>
      </c>
      <c r="CA415" s="450"/>
      <c r="CB415" s="421">
        <f>IF($P415="","N/A",IF($P415=-1,INDEX('卡片raw data'!BE:BE,MATCH($D415,'卡片raw data'!$F:$F,)),0)+IF($L415="party卡",IF($P415=5,INDEX('卡片raw data'!BK:BK,MATCH($D415,'卡片raw data'!$F:$F,)),IF($P415&gt;=3,INDEX('卡片raw data'!BJ:BJ,MATCH($D415,'卡片raw data'!$F:$F,)),INDEX('卡片raw data'!BI:BI,MATCH($D415,'卡片raw data'!$F:$F,)))),IF(OR(AND($F415="UR",$P415=0),AND($F415="SR",$P415&gt;=0,$P415&lt;=2),AND($F415="R",$P415&gt;=0,$P415&lt;4)),INDEX('卡片raw data'!BG:BG,MATCH($D415,'卡片raw data'!$F:$F,)),0)+IF(OR(AND($F415="UR",$P415&gt;=1,$P415&lt;=4),AND($F415="SR",$P415&lt;=4,$P415&gt;=3),AND($F415="R",$P415=4)),INDEX('卡片raw data'!BH:BH,MATCH($D415,'卡片raw data'!$F:$F,)),0)+IF($P415=5,INDEX('卡片raw data'!BI:BI,MATCH($D415,'卡片raw data'!$F:$F,)),0)))</f>
        <v>0</v>
      </c>
      <c r="CC415" s="424">
        <f t="shared" si="555"/>
        <v>0</v>
      </c>
      <c r="CD415" s="420">
        <f>IF(BZ415="ap",CB415*(1-$FI$26)*$FB$5/$FB$11*(+IF(CA415="全员",$FA$24,0)+IF(CA415="同作战",$FA$24,0)+IF(CA415="仲间",$FA$24*2/3,0)+IF(CA415="同属性",$FA$24*$FA$37/3,0)+IF(CA415="同年级",$FA$24*$FA$40/3,0)+IF(CA415="同学校",$FA$24*$FA$43/3,0)+IF(CA415="同小队",$FA$24*$FA$46/3,0)+IF(CA415="同type",$FA$24*INDEX($FB$49:$FB$52,MATCH(X415,$FA$49:$FA$52,))/3,0)+IF(CA415="自身",#REF!/3,0)),0)+IF(BZ415="te",CB415*(1-$FI$27)*($FA$20-1)*$FB$7/$FB$13*(+IF(CA415="全员",$FA$19*$FA$24/(1+($FA$20-1)*$FA$19),0)+IF(CA415="同作战",$FA$19*$FA$24/(1+($FA$20-1)*$FA$19),0)+IF(CA415="仲间",$FA$19*$FA$24*2/3/(1+($FA$20-1)*$FA$19),0)+IF(CA415="同属性",$FA$19*$FA$24*$FA$37/3/(1+($FA$20-1)*$FA$19),0)+IF(CA415="同年级",$FA$19*$FA$24*$FA$40/3/(1+($FA$20-1)*$FA$19),0)+IF(CA415="同学校",$FA$19*$FA$24*$FA$43/3/(1+($FA$20-1)*$FA$19),0)+IF(CA415="同小队",$FA$19*$FA$24*$FA$46/3/(1+($FA$20-1)*$FA$19),0)+IF(CA415="同type",$FA$19*$FA$24*INDEX($FB$49:$FB$52,MATCH(X415,$FA$49:$FA$52,))/3/(1+($FA$20-1)*$FA$19),0)+IF(CA415="自身",$FA$19*#REF!/3/(1+(BH415-1)*$BD415),0)),0)</f>
        <v>0</v>
      </c>
      <c r="CE415" s="420">
        <f t="shared" si="556"/>
        <v>0</v>
      </c>
      <c r="CF415" s="436">
        <f t="shared" si="557"/>
        <v>0</v>
      </c>
      <c r="CG415" s="423">
        <f t="shared" si="558"/>
        <v>0</v>
      </c>
      <c r="CH415" s="433">
        <f t="shared" si="559"/>
        <v>0</v>
      </c>
      <c r="CI415" s="437" t="s">
        <v>165</v>
      </c>
      <c r="CJ415" s="438">
        <v>1</v>
      </c>
      <c r="CK415" s="1115" t="s">
        <v>167</v>
      </c>
      <c r="CL415" s="1115" t="s">
        <v>168</v>
      </c>
      <c r="CM415" s="1119">
        <v>2.5000000000000001E-2</v>
      </c>
      <c r="CN415" s="1115" t="s">
        <v>163</v>
      </c>
      <c r="CO415" s="1092"/>
      <c r="CP415" s="1118">
        <f t="shared" si="560"/>
        <v>2.5000000000000001E-2</v>
      </c>
      <c r="CQ415" s="1118">
        <f t="shared" si="561"/>
        <v>2.5000000000000001E-2</v>
      </c>
      <c r="CR415" s="1118">
        <f t="shared" si="562"/>
        <v>0</v>
      </c>
      <c r="CS415" s="442">
        <f t="shared" si="563"/>
        <v>0</v>
      </c>
      <c r="CT415" s="432">
        <f t="shared" si="564"/>
        <v>0</v>
      </c>
      <c r="CU415" s="1101">
        <f t="shared" si="565"/>
        <v>3399.5732882075254</v>
      </c>
      <c r="CV415" s="1108">
        <f t="shared" si="566"/>
        <v>164.13930703125001</v>
      </c>
      <c r="CW415" s="420">
        <f t="shared" si="567"/>
        <v>0</v>
      </c>
      <c r="CX415" s="420">
        <f t="shared" si="568"/>
        <v>3399.5732882075254</v>
      </c>
      <c r="CY415" s="433">
        <f t="shared" si="569"/>
        <v>0</v>
      </c>
      <c r="CZ415" s="437"/>
      <c r="DA415" s="438"/>
      <c r="DB415" s="439" t="s">
        <v>569</v>
      </c>
      <c r="DC415" s="439"/>
      <c r="DD415" s="443"/>
      <c r="DE415" s="411"/>
      <c r="DF415" s="411"/>
      <c r="DG415" s="1116">
        <f t="shared" si="570"/>
        <v>0</v>
      </c>
      <c r="DH415" s="1116">
        <f t="shared" si="571"/>
        <v>0</v>
      </c>
      <c r="DI415" s="1116">
        <f t="shared" si="572"/>
        <v>0</v>
      </c>
      <c r="DJ415" s="442">
        <f t="shared" si="573"/>
        <v>0</v>
      </c>
      <c r="DK415" s="432">
        <f t="shared" si="574"/>
        <v>0</v>
      </c>
      <c r="DL415" s="424">
        <f t="shared" si="575"/>
        <v>0</v>
      </c>
      <c r="DM415" s="420">
        <f t="shared" si="576"/>
        <v>0</v>
      </c>
      <c r="DN415" s="420">
        <f t="shared" si="577"/>
        <v>0</v>
      </c>
      <c r="DO415" s="420">
        <f t="shared" si="578"/>
        <v>0</v>
      </c>
      <c r="DP415" s="433">
        <f t="shared" si="579"/>
        <v>0</v>
      </c>
      <c r="DQ415" s="437" t="s">
        <v>545</v>
      </c>
      <c r="DR415" s="1120">
        <f t="shared" si="580"/>
        <v>0.33</v>
      </c>
      <c r="DS415" s="450"/>
      <c r="DT415" s="1093" t="s">
        <v>132</v>
      </c>
      <c r="DU415" s="1093"/>
      <c r="DV415" s="1098">
        <f>IF($P415="","N/A",IF(P415=-1,INDEX('卡片raw data'!AN:AN,MATCH(D415,'卡片raw data'!$F:$F,)),0)+IF(AND(L415&lt;&gt;"party卡",P415&lt;=2,P415&gt;=0),INDEX('卡片raw data'!AP:AP,MATCH(D415,'卡片raw data'!$F:$F,)),0)+IF(OR(AND(L415="party卡",P415&lt;=1),AND(P415&lt;=4,L415&lt;&gt;"party卡",P415&gt;=3)),INDEX('卡片raw data'!AQ:AQ,MATCH(D415,'卡片raw data'!$F:$F,)),0)+IF(OR(P415=5,AND(L415="party卡",P415&gt;=2)),INDEX('卡片raw data'!AR:AR,MATCH(D415,'卡片raw data'!$F:$F,)),0))</f>
        <v>0.42</v>
      </c>
      <c r="DW415" s="1098">
        <f t="shared" si="581"/>
        <v>0.33</v>
      </c>
      <c r="DX415" s="1098">
        <f t="shared" si="582"/>
        <v>0.33</v>
      </c>
      <c r="DY415" s="1097">
        <f t="shared" si="583"/>
        <v>2718.6700311170398</v>
      </c>
      <c r="DZ415" s="1097">
        <f t="shared" si="584"/>
        <v>2107.9054748510475</v>
      </c>
      <c r="EA415" s="421">
        <f t="shared" si="585"/>
        <v>0</v>
      </c>
      <c r="EB415" s="445">
        <f t="shared" si="586"/>
        <v>0</v>
      </c>
      <c r="EC415" s="424">
        <f t="shared" si="587"/>
        <v>2990.5370342287442</v>
      </c>
      <c r="ED415" s="420">
        <f t="shared" si="588"/>
        <v>2107.9054748510475</v>
      </c>
      <c r="EE415" s="433">
        <f t="shared" ref="EE415:EE478" si="598">EC415+IF(OR(DQ415="回血",DQ415="加盾"),$EW$26*(HP($EW$62,$EW$65,$EW$64-DY415)/$EW$66-1))+IF(DQ415="减伤",$EW$26*(HP($EW$62,$EW$65,$EW$64*(1-DY415))/$EW$66-1))</f>
        <v>2990.5370342287442</v>
      </c>
      <c r="EF415" s="1115" t="s">
        <v>569</v>
      </c>
      <c r="EG415" s="1120">
        <f t="shared" si="589"/>
        <v>0.33</v>
      </c>
      <c r="EH415" s="450"/>
      <c r="EI415" s="1093"/>
      <c r="EJ415" s="1093"/>
      <c r="EK415" s="420">
        <f>IF($P415="","N/A",IF(P415=-1,INDEX('卡片raw data'!AS:AS,MATCH(D415,'卡片raw data'!$F:$F,)),0)+IF(AND(L415&lt;&gt;"party卡",P415&lt;=2,P415&gt;=0),INDEX('卡片raw data'!AU:AU,MATCH(D415,'卡片raw data'!$F:$F,)),0)+IF(OR(AND(L415="party卡",P415&lt;=1),AND(P415&lt;=4,L415&lt;&gt;"party卡",P415&gt;=3)),INDEX('卡片raw data'!AV:AV,MATCH(D415,'卡片raw data'!$F:$F,)),0)+IF(OR(P415=5,AND(L415="party卡",P415&gt;=2)),INDEX('卡片raw data'!AW:AW,MATCH(D415,'卡片raw data'!$F:$F,)),0))</f>
        <v>0</v>
      </c>
      <c r="EL415" s="1098">
        <f t="shared" si="590"/>
        <v>0.33</v>
      </c>
      <c r="EM415" s="1098">
        <f t="shared" si="591"/>
        <v>0.33</v>
      </c>
      <c r="EN415" s="1097">
        <f t="shared" si="592"/>
        <v>0</v>
      </c>
      <c r="EO415" s="1097">
        <f t="shared" si="593"/>
        <v>0</v>
      </c>
      <c r="EP415" s="421">
        <f t="shared" si="594"/>
        <v>0</v>
      </c>
      <c r="EQ415" s="445">
        <f t="shared" si="595"/>
        <v>0</v>
      </c>
      <c r="ER415" s="424">
        <f t="shared" si="596"/>
        <v>0</v>
      </c>
      <c r="ES415" s="420">
        <f t="shared" si="597"/>
        <v>0</v>
      </c>
      <c r="ET415" s="446">
        <f t="shared" ref="ET415:ET478" si="599">ER415+IF(OR(EF415="回血",EF415="加盾"),$EW$26*(HP($EW$62,$EW$65,$EW$64-EN415)/$EW$66-1))+IF(EF415="减伤",$EW$26*(HP($EW$62,$EW$65,$EW$64*(1-EN415))/$EW$66-1))</f>
        <v>0</v>
      </c>
    </row>
    <row r="416" spans="2:150" ht="16.5" customHeight="1">
      <c r="B416" s="448" t="str">
        <f>INDEX('卡片raw data'!B:B,MATCH($D416,'卡片raw data'!$F:$F,))</f>
        <v>fes2栞</v>
      </c>
      <c r="C416" s="449" t="s">
        <v>2263</v>
      </c>
      <c r="D416" s="408">
        <v>413</v>
      </c>
      <c r="E416" s="477">
        <v>202103002</v>
      </c>
      <c r="F416" s="409" t="str">
        <f>INDEX('卡片raw data'!C:C,MATCH($D416,'卡片raw data'!$F:$F,))</f>
        <v>UR</v>
      </c>
      <c r="G416" s="1094" t="s">
        <v>2264</v>
      </c>
      <c r="H416" s="411">
        <f>IFERROR(INDEX(绊状态确认!C:C,MATCH($G416,绊状态确认!$B:$B,)),"")</f>
        <v>210</v>
      </c>
      <c r="I416" s="450" t="str">
        <f>IFERROR(INDEX(绊状态确认!D:D,MATCH($G416,绊状态确认!$B:$B,)),"")</f>
        <v>虹</v>
      </c>
      <c r="J416" s="450" t="str">
        <f>IFERROR(INDEX(绊状态确认!E:E,MATCH($G416,绊状态确认!$B:$B,)),"")</f>
        <v>1年级</v>
      </c>
      <c r="K416" s="451" t="str">
        <f>IFERROR(INDEX(绊状态确认!F:F,MATCH($G416,绊状态确认!$B:$B,)),"")</f>
        <v>R3BIRTH</v>
      </c>
      <c r="L416" s="414" t="str">
        <f>INDEX('卡片raw data'!E:E,MATCH($D416,'卡片raw data'!$F:$F,))</f>
        <v>fes卡</v>
      </c>
      <c r="M416" s="478">
        <v>44255</v>
      </c>
      <c r="N416" s="479">
        <v>34.5</v>
      </c>
      <c r="O416" s="410" t="str">
        <f>INDEX('卡片raw data'!D:D,MATCH($D416,'卡片raw data'!$F:$F,))</f>
        <v>gd</v>
      </c>
      <c r="P416" s="1126">
        <v>5</v>
      </c>
      <c r="Q416" s="418">
        <f t="shared" si="515"/>
        <v>36010.523509935651</v>
      </c>
      <c r="R416" s="419">
        <f t="shared" si="516"/>
        <v>0.41799999999999998</v>
      </c>
      <c r="S416" s="420">
        <f t="shared" si="517"/>
        <v>17400.267883476878</v>
      </c>
      <c r="T416" s="421">
        <f t="shared" si="518"/>
        <v>0.87</v>
      </c>
      <c r="U416" s="422">
        <f t="shared" si="519"/>
        <v>1179.8035562682171</v>
      </c>
      <c r="V416" s="423">
        <f t="shared" si="520"/>
        <v>88487.188158144534</v>
      </c>
      <c r="W416" s="424">
        <f t="shared" si="521"/>
        <v>6010.2953161679998</v>
      </c>
      <c r="X416" s="419">
        <f t="shared" si="522"/>
        <v>6.9000000000000006E-2</v>
      </c>
      <c r="Y416" s="420">
        <f t="shared" si="523"/>
        <v>2447.0387860675146</v>
      </c>
      <c r="Z416" s="425">
        <f t="shared" si="524"/>
        <v>29.828585331257145</v>
      </c>
      <c r="AA416" s="426">
        <f t="shared" si="525"/>
        <v>8457.3341022355144</v>
      </c>
      <c r="AB416" s="424">
        <f t="shared" si="526"/>
        <v>6010.2953161679998</v>
      </c>
      <c r="AC416" s="427">
        <f t="shared" si="527"/>
        <v>6.9000000000000006E-2</v>
      </c>
      <c r="AD416" s="428">
        <f t="shared" si="528"/>
        <v>0</v>
      </c>
      <c r="AE416" s="516">
        <f t="shared" si="529"/>
        <v>-6.25</v>
      </c>
      <c r="AF416" s="1130">
        <f t="shared" si="530"/>
        <v>15596.243915262399</v>
      </c>
      <c r="AG416" s="420">
        <f t="shared" si="531"/>
        <v>88592.462024160006</v>
      </c>
      <c r="AH416" s="420">
        <f t="shared" si="532"/>
        <v>5.68037166547927</v>
      </c>
      <c r="AI416" s="1097">
        <f t="shared" si="533"/>
        <v>118832.85832106347</v>
      </c>
      <c r="AJ416" s="420">
        <f t="shared" si="534"/>
        <v>88487.188158144534</v>
      </c>
      <c r="AK416" s="518">
        <f t="shared" si="535"/>
        <v>30345.670162918934</v>
      </c>
      <c r="AL416" s="1106">
        <f>IF($P416="","N/A",(IF($P416=-1,INDEX('卡片raw data'!S:S,MATCH($D416,'卡片raw data'!$F:$F,)),0)+IF($P416=0,INDEX('卡片raw data'!V:V,MATCH($D416,'卡片raw data'!$F:$F,)),0)+IF($P416=1,INDEX('卡片raw data'!Y:Y,MATCH($D416,'卡片raw data'!$F:$F,)),0)+IF($P416=2,INDEX('卡片raw data'!AB:AB,MATCH($D416,'卡片raw data'!$F:$F,)),0)+IF($P416=3,INDEX('卡片raw data'!AE:AE,MATCH($D416,'卡片raw data'!$F:$F,)),0)+IF($P416=4,INDEX('卡片raw data'!AH:AH,MATCH($D416,'卡片raw data'!$F:$F,)),0)+IF($P416=5,INDEX('卡片raw data'!AK:AK,MATCH($D416,'卡片raw data'!$F:$F,)),0)+INDEX('卡片raw data'!S:S,MATCH($D416,'卡片raw data'!$F:$F,))*(IF($F416="UR",0.04,0.033))*(IF($F416="UR",INDEX(绊状态确认!$S:$S,MATCH($G416,绊状态确认!$B:$B,))/2-40)+IF($F416="SR",INDEX(绊状态确认!$R:$R,MATCH($G416,绊状态确认!$B:$B,))/4-15))+IF($F416="R",INDEX(绊状态确认!$Q:$Q,MATCH($G416,绊状态确认!$B:$B,))/6-40/6)))*(INDEX(绊状态确认!$H:$H,MATCH($G416,绊状态确认!$B:$B,))+INDEX(绊状态确认!J:J,MATCH($G416,绊状态确认!$B:$B,)))</f>
        <v>9677.3096639999985</v>
      </c>
      <c r="AM416" s="1106">
        <f>IF($P416="","N/A",(IF($P416=-1,INDEX('卡片raw data'!T:T,MATCH($D416,'卡片raw data'!$F:$F,)),0)+IF($P416=0,INDEX('卡片raw data'!W:W,MATCH($D416,'卡片raw data'!$F:$F,)),0)+IF($P416=1,INDEX('卡片raw data'!Z:Z,MATCH($D416,'卡片raw data'!$F:$F,)),0)+IF($P416=2,INDEX('卡片raw data'!AC:AC,MATCH($D416,'卡片raw data'!$F:$F,)),0)+IF($P416=3,INDEX('卡片raw data'!AF:AF,MATCH($D416,'卡片raw data'!$F:$F,)),0)+IF($P416=4,INDEX('卡片raw data'!AI:AI,MATCH($D416,'卡片raw data'!$F:$F,)),0)+IF($P416=5,INDEX('卡片raw data'!AL:AL,MATCH($D416,'卡片raw data'!$F:$F,)),0)+INDEX('卡片raw data'!T:T,MATCH($D416,'卡片raw data'!$F:$F,))*(IF($F416="UR",0.04,0.033))*(IF($F416="UR",INDEX(绊状态确认!$S:$S,MATCH($G416,绊状态确认!$B:$B,))/2-40)+IF($F416="SR",INDEX(绊状态确认!$R:$R,MATCH($G416,绊状态确认!$B:$B,))/4-15))+IF($F416="R",INDEX(绊状态确认!$Q:$Q,MATCH($G416,绊状态确认!$B:$B,))/6-40/6)))*(INDEX(绊状态确认!$H:$H,MATCH($G416,绊状态确认!$B:$B,))+INDEX(绊状态确认!K:K,MATCH($G416,绊状态确认!$B:$B,)))</f>
        <v>16749.899615999999</v>
      </c>
      <c r="AN416" s="1106">
        <f>IF($P416="","N/A",(IF($P416=-1,INDEX('卡片raw data'!U:U,MATCH($D416,'卡片raw data'!$F:$F,)),0)+IF($P416=0,INDEX('卡片raw data'!X:X,MATCH($D416,'卡片raw data'!$F:$F,)),0)+IF($P416=1,INDEX('卡片raw data'!AA:AA,MATCH($D416,'卡片raw data'!$F:$F,)),0)+IF($P416=2,INDEX('卡片raw data'!AD:AD,MATCH($D416,'卡片raw data'!$F:$F,)),0)+IF($P416=3,INDEX('卡片raw data'!AG:AG,MATCH($D416,'卡片raw data'!$F:$F,)),0)+IF($P416=4,INDEX('卡片raw data'!AJ:AJ,MATCH($D416,'卡片raw data'!$F:$F,)),0)+IF($P416=5,INDEX('卡片raw data'!AM:AM,MATCH($D416,'卡片raw data'!$F:$F,)),0)+INDEX('卡片raw data'!U:U,MATCH($D416,'卡片raw data'!$F:$F,))*(IF($F416="UR",0.04,0.033))*(IF($F416="UR",INDEX(绊状态确认!$S:$S,MATCH($G416,绊状态确认!$B:$B,))/2-40)+IF($F416="SR",INDEX(绊状态确认!$R:$R,MATCH($G416,绊状态确认!$B:$B,))/4-15))+IF($F416="R",INDEX(绊状态确认!$Q:$Q,MATCH($G416,绊状态确认!$B:$B,))/6-40/6)))*(INDEX(绊状态确认!$H:$H,MATCH($G416,绊状态确认!$B:$B,))+INDEX(绊状态确认!L:L,MATCH($G416,绊状态确认!$B:$B,)))</f>
        <v>10793.118095999998</v>
      </c>
      <c r="AO416" s="1107">
        <f t="shared" si="536"/>
        <v>1</v>
      </c>
      <c r="AP416" s="1131">
        <f>1+(INDEX(绊状态确认!$T:$T,MATCH($G416,绊状态确认!$B:$B,))+0.2)*$AO416</f>
        <v>1.3</v>
      </c>
      <c r="AQ416" s="1108">
        <f t="shared" si="537"/>
        <v>28652.937868000001</v>
      </c>
      <c r="AR416" s="1097">
        <f>(AM416*(1+$EX$9)+$EX$35)*(1+(INDEX(绊状态确认!$T:$T,MATCH($G416,绊状态确认!$B:$B,))+0.2)*AO416)*IF(J416=$FF$17,1+$FE$17,1)*IF(I416=$FF$14,1+$FE$14,1)</f>
        <v>25567.612975840002</v>
      </c>
      <c r="AS416" s="1097">
        <f>(AN416*(1+$EX$10)+$EX$36)*(1+(INDEX(绊状态确认!$T:$T,MATCH($G416,绊状态确认!$B:$B,))+0.2)*AO416)*IF(J416=$FF$17,1+$FE$17,1)*IF(I416=$FF$14,1+$FE$14,1)</f>
        <v>20191.711553519996</v>
      </c>
      <c r="AT416" s="1093">
        <f>IF(AND(INDEX('卡片raw data'!AK:AK,MATCH($D416,'卡片raw data'!$F:$F,))&lt;INDEX('卡片raw data'!AM:AM,MATCH($D416,'卡片raw data'!$F:$F,)),INDEX('卡片raw data'!AL:AL,MATCH($D416,'卡片raw data'!$F:$F,))&lt;INDEX('卡片raw data'!AM:AM,MATCH($D416,'卡片raw data'!$F:$F,))),1,0)</f>
        <v>0</v>
      </c>
      <c r="AU416" s="1098">
        <f>MIN(AT416*0.15+AS416*0.00003+INDEX(绊状态确认!M:M,MATCH($G416,绊状态确认!$B:$B,)),1)</f>
        <v>0.63575134660559995</v>
      </c>
      <c r="AV416" s="1109">
        <f>(INDEX(绊状态确认!$N:$N,MATCH($G416,绊状态确认!$B:$B,))+1.5)*$EW$21</f>
        <v>2.6599999999999997</v>
      </c>
      <c r="AW416" s="1101">
        <f t="shared" si="538"/>
        <v>30585.228193767649</v>
      </c>
      <c r="AX416" s="1097">
        <f t="shared" si="539"/>
        <v>2256.54214482213</v>
      </c>
      <c r="AY416" s="1110">
        <f t="shared" si="540"/>
        <v>32841.770338589777</v>
      </c>
      <c r="AZ416" s="429">
        <f t="shared" si="541"/>
        <v>21470.753844799998</v>
      </c>
      <c r="BA416" s="431">
        <f t="shared" si="542"/>
        <v>25764.904613759998</v>
      </c>
      <c r="BB416" s="1097">
        <f>(AM416*(1+$FB$9)+$FB$35)*(1+(INDEX(绊状态确认!$T:$T,MATCH($G416,绊状态确认!$B:$B,))+0.2)*AO416)*IF(J416=$FF$17,1+$FE$17,1)*IF(I416=$FF$14,1+$FE$14,1)*(1+$FE$15)</f>
        <v>25567.612975840002</v>
      </c>
      <c r="BC416" s="1097">
        <f>(AN416*(1+$FB$10)+$FB$36)*(1+(INDEX(绊状态确认!$T:$T,MATCH($G416,绊状态确认!$B:$B,))+0.2)*AO416)*IF(J416=$FF$17,1+$FE$17,1)*IF(I416=$FF$14,1+$FE$14,1)*(1+$FE$15)</f>
        <v>20191.711553519996</v>
      </c>
      <c r="BD416" s="1104">
        <f>MIN(AT416*0.15+BC416*0.00003+INDEX(绊状态确认!M:M,MATCH($G416,绊状态确认!$B:$B,)),1)</f>
        <v>0.63575134660559995</v>
      </c>
      <c r="BE416" s="432">
        <f>(INDEX(绊状态确认!$N:$N,MATCH($G416,绊状态确认!$B:$B,))+1.5)</f>
        <v>1.9</v>
      </c>
      <c r="BF416" s="1139">
        <f t="array" ref="BF416">SUMPRODUCT(IF(AZ416*AP416*$FI$16:$FI$23*$FA$22&gt;=$FI$24,$FI$24,AZ416*AP416*$FI$16:$FI$23*$FA$22),$FJ$16:$FJ$23)</f>
        <v>42705.329397307192</v>
      </c>
      <c r="BG416" s="1125">
        <f t="array" ref="BG416">SUMPRODUCT(IF(BE416*AZ416*AP416*$FI$16:$FI$23*$FA$22&gt;=$FI$24,$FI$24,BE416*AZ416*AP416*$FI$16:$FI$23*$FA$22),$FJ$16:$FJ$23)</f>
        <v>60000</v>
      </c>
      <c r="BH416" s="1110">
        <f t="shared" si="543"/>
        <v>17900.146507356476</v>
      </c>
      <c r="BI416" s="1111">
        <f>IF(O416="vo",$EW$26/$EW$24*0.05,0)+IF(O416="sk",-$EW$26/$EW$24*(0.05-INDEX(绊状态确认!W:W,MATCH($G416,绊状态确认!$B:$B,)))+0.05*$EW$28,0)+IF(O416="sp",0.05*$EW$32*$EW$30*(1-$EW$33)-(0.05-INDEX(绊状态确认!V:V,MATCH($G416,绊状态确认!$B:$B,)))*$EW$28,0)+IF(O416="gd",-(0.05-INDEX(绊状态确认!X:X,MATCH($G416,绊状态确认!$B:$B,)))*$EW$32*$EW$30*(1-$EW$33),0)</f>
        <v>-585.00000000000011</v>
      </c>
      <c r="BJ416" s="420">
        <f>IF(O416="vo",0.05*(1-$FI$26)*$FA$24,0)+IF(O416="sk",-(0.05-INDEX(绊状态确认!W:W,MATCH($G416,绊状态确认!$B:$B,)))*(1-$FI$26)*$FA$24+0.05*$FA$26,0)+IF(O416="sp",0.05*$FA$32*$FA$27*(1-$FA$33)/$FA$30+0.05*$FA$29/$FA$69*$FA$27*(1-$FA$33)-(0.05-INDEX(绊状态确认!V:V,MATCH($G416,绊状态确认!$B:$B,)))*$FA$26,0)+IF(O416="gd",-(0.05-INDEX(绊状态确认!X:X,MATCH($G416,绊状态确认!$B:$B,)))*$FA$32*$FA$27*(1-$FA$33)/$FA$30-(0.05-INDEX(绊状态确认!X:X,MATCH($G416,绊状态确认!$B:$B,)))*$FA$29/$FA$69*$FA$27*(1-$FA$33),0)</f>
        <v>-795.00000000000011</v>
      </c>
      <c r="BK416" s="1110">
        <f>IF(O416="vo",$EW$26/$EW$24*0.05+$EW$26*(-HP($EW$62,$EW$65,$EW$64)+HP($EW$62,$EW$65,(1.05-INDEX(绊状态确认!U:U,MATCH($G416,绊状态确认!$B:$B,)))*$EW$64)),0)+IF(O416="sk",-$EW$26/$EW$24*(0.05-INDEX(绊状态确认!W:W,MATCH($G416,绊状态确认!$B:$B,)))+0.05*$EW$29,0)+IF(O416="sp",0.05*$EW$32*$EW$30*(1-$EW$33)-(0.05-INDEX(绊状态确认!V:V,MATCH($G416,绊状态确认!$B:$B,)))*$EW$29,0)+IF(O416="gd",-(0.05-INDEX(绊状态确认!X:X,MATCH($G416,绊状态确认!$B:$B,)))*$EW$32*$EW$30*(1-$EW$33)+$EW$26*(-HP($EW$62,$EW$65,$EW$64)+HP($EW$62,$EW$65,0.95*$EW$64)),0)</f>
        <v>1009.5947725176144</v>
      </c>
      <c r="BL416" s="1111">
        <f t="shared" si="544"/>
        <v>0</v>
      </c>
      <c r="BM416" s="1110">
        <f t="shared" si="545"/>
        <v>0</v>
      </c>
      <c r="BN416" s="1113">
        <f t="shared" si="546"/>
        <v>4</v>
      </c>
      <c r="BO416" s="1108">
        <f t="shared" si="547"/>
        <v>6010.2953161679998</v>
      </c>
      <c r="BP416" s="1100">
        <f t="shared" si="548"/>
        <v>295.12137612040135</v>
      </c>
      <c r="BQ416" s="1113" t="s">
        <v>133</v>
      </c>
      <c r="BR416" s="1124" t="s">
        <v>171</v>
      </c>
      <c r="BS416" s="421">
        <f>IF($P416="","N/A",IF($P416=-1,INDEX('卡片raw data'!AX:AX,MATCH($D416,'卡片raw data'!$F:$F,)),0)+IF($L416="party卡",IF($P416=5,INDEX('卡片raw data'!BD:BD,MATCH($D416,'卡片raw data'!$F:$F,)),IF($P416&gt;=3,INDEX('卡片raw data'!BC:BC,MATCH($D416,'卡片raw data'!$F:$F,)),INDEX('卡片raw data'!BB:BB,MATCH($D416,'卡片raw data'!$F:$F,)))),IF(OR(AND($F416="UR",$P416=0),AND($F416="SR",$P416&gt;=0,$P416&lt;=2),AND($F416="R",$P416&gt;=0,$P416&lt;4)),INDEX('卡片raw data'!AZ:AZ,MATCH($D416,'卡片raw data'!$F:$F,)),0)+IF(OR(AND($F416="UR",$P416&gt;=1,$P416&lt;=4),AND($F416="SR",$P416&lt;=4,$P416&gt;=3),AND($F416="R",$P416=4)),INDEX('卡片raw data'!BA:BA,MATCH($D416,'卡片raw data'!$F:$F,)),0)+IF($P416=5,INDEX('卡片raw data'!BB:BB,MATCH($D416,'卡片raw data'!$F:$F,)),0)))</f>
        <v>5.1999999999999998E-2</v>
      </c>
      <c r="BT416" s="424">
        <f t="shared" si="549"/>
        <v>0</v>
      </c>
      <c r="BU416" s="420">
        <f t="shared" si="550"/>
        <v>0</v>
      </c>
      <c r="BV416" s="420">
        <f t="shared" si="551"/>
        <v>0</v>
      </c>
      <c r="BW416" s="436">
        <f t="shared" si="552"/>
        <v>2.4347142857142861</v>
      </c>
      <c r="BX416" s="423">
        <f t="shared" si="553"/>
        <v>190.49664124538464</v>
      </c>
      <c r="BY416" s="433">
        <f t="shared" si="554"/>
        <v>190.49664124538464</v>
      </c>
      <c r="BZ416" s="1113" t="s">
        <v>569</v>
      </c>
      <c r="CA416" s="450"/>
      <c r="CB416" s="421">
        <f>IF($P416="","N/A",IF($P416=-1,INDEX('卡片raw data'!BE:BE,MATCH($D416,'卡片raw data'!$F:$F,)),0)+IF($L416="party卡",IF($P416=5,INDEX('卡片raw data'!BK:BK,MATCH($D416,'卡片raw data'!$F:$F,)),IF($P416&gt;=3,INDEX('卡片raw data'!BJ:BJ,MATCH($D416,'卡片raw data'!$F:$F,)),INDEX('卡片raw data'!BI:BI,MATCH($D416,'卡片raw data'!$F:$F,)))),IF(OR(AND($F416="UR",$P416=0),AND($F416="SR",$P416&gt;=0,$P416&lt;=2),AND($F416="R",$P416&gt;=0,$P416&lt;4)),INDEX('卡片raw data'!BG:BG,MATCH($D416,'卡片raw data'!$F:$F,)),0)+IF(OR(AND($F416="UR",$P416&gt;=1,$P416&lt;=4),AND($F416="SR",$P416&lt;=4,$P416&gt;=3),AND($F416="R",$P416=4)),INDEX('卡片raw data'!BH:BH,MATCH($D416,'卡片raw data'!$F:$F,)),0)+IF($P416=5,INDEX('卡片raw data'!BI:BI,MATCH($D416,'卡片raw data'!$F:$F,)),0)))</f>
        <v>0</v>
      </c>
      <c r="CC416" s="424">
        <f t="shared" si="555"/>
        <v>0</v>
      </c>
      <c r="CD416" s="420">
        <f>IF(BZ416="ap",CB416*(1-$FI$26)*$FB$5/$FB$11*(+IF(CA416="全员",$FA$24,0)+IF(CA416="同作战",$FA$24,0)+IF(CA416="仲间",$FA$24*2/3,0)+IF(CA416="同属性",$FA$24*$FA$37/3,0)+IF(CA416="同年级",$FA$24*$FA$40/3,0)+IF(CA416="同学校",$FA$24*$FA$43/3,0)+IF(CA416="同小队",$FA$24*$FA$46/3,0)+IF(CA416="同type",$FA$24*INDEX($FB$49:$FB$52,MATCH(X416,$FA$49:$FA$52,))/3,0)+IF(CA416="自身",#REF!/3,0)),0)+IF(BZ416="te",CB416*(1-$FI$27)*($FA$20-1)*$FB$7/$FB$13*(+IF(CA416="全员",$FA$19*$FA$24/(1+($FA$20-1)*$FA$19),0)+IF(CA416="同作战",$FA$19*$FA$24/(1+($FA$20-1)*$FA$19),0)+IF(CA416="仲间",$FA$19*$FA$24*2/3/(1+($FA$20-1)*$FA$19),0)+IF(CA416="同属性",$FA$19*$FA$24*$FA$37/3/(1+($FA$20-1)*$FA$19),0)+IF(CA416="同年级",$FA$19*$FA$24*$FA$40/3/(1+($FA$20-1)*$FA$19),0)+IF(CA416="同学校",$FA$19*$FA$24*$FA$43/3/(1+($FA$20-1)*$FA$19),0)+IF(CA416="同小队",$FA$19*$FA$24*$FA$46/3/(1+($FA$20-1)*$FA$19),0)+IF(CA416="同type",$FA$19*$FA$24*INDEX($FB$49:$FB$52,MATCH(X416,$FA$49:$FA$52,))/3/(1+($FA$20-1)*$FA$19),0)+IF(CA416="自身",$FA$19*#REF!/3/(1+(BH416-1)*$BD416),0)),0)</f>
        <v>0</v>
      </c>
      <c r="CE416" s="420">
        <f t="shared" si="556"/>
        <v>0</v>
      </c>
      <c r="CF416" s="436">
        <f t="shared" si="557"/>
        <v>0</v>
      </c>
      <c r="CG416" s="423">
        <f t="shared" si="558"/>
        <v>0</v>
      </c>
      <c r="CH416" s="433">
        <f t="shared" si="559"/>
        <v>0</v>
      </c>
      <c r="CI416" s="437" t="s">
        <v>165</v>
      </c>
      <c r="CJ416" s="438">
        <v>0.5</v>
      </c>
      <c r="CK416" s="439" t="s">
        <v>312</v>
      </c>
      <c r="CL416" s="1115" t="s">
        <v>1942</v>
      </c>
      <c r="CM416" s="1119">
        <v>0.09</v>
      </c>
      <c r="CN416" s="1115"/>
      <c r="CO416" s="1092"/>
      <c r="CP416" s="1117">
        <f t="shared" si="560"/>
        <v>0</v>
      </c>
      <c r="CQ416" s="1117">
        <f t="shared" si="561"/>
        <v>0</v>
      </c>
      <c r="CR416" s="1117">
        <f t="shared" si="562"/>
        <v>0</v>
      </c>
      <c r="CS416" s="442">
        <f t="shared" si="563"/>
        <v>0</v>
      </c>
      <c r="CT416" s="432">
        <f t="shared" si="564"/>
        <v>0</v>
      </c>
      <c r="CU416" s="1101">
        <f t="shared" si="565"/>
        <v>0</v>
      </c>
      <c r="CV416" s="1108">
        <f t="shared" si="566"/>
        <v>0</v>
      </c>
      <c r="CW416" s="420">
        <f t="shared" si="567"/>
        <v>0</v>
      </c>
      <c r="CX416" s="420">
        <f t="shared" si="568"/>
        <v>0</v>
      </c>
      <c r="CY416" s="433">
        <f t="shared" si="569"/>
        <v>0</v>
      </c>
      <c r="CZ416" s="437"/>
      <c r="DA416" s="438"/>
      <c r="DB416" s="439" t="s">
        <v>569</v>
      </c>
      <c r="DC416" s="439"/>
      <c r="DD416" s="443"/>
      <c r="DE416" s="411"/>
      <c r="DF416" s="411"/>
      <c r="DG416" s="1116">
        <f t="shared" si="570"/>
        <v>0</v>
      </c>
      <c r="DH416" s="1116">
        <f t="shared" si="571"/>
        <v>0</v>
      </c>
      <c r="DI416" s="1116">
        <f t="shared" si="572"/>
        <v>0</v>
      </c>
      <c r="DJ416" s="442">
        <f t="shared" si="573"/>
        <v>0</v>
      </c>
      <c r="DK416" s="432">
        <f t="shared" si="574"/>
        <v>0</v>
      </c>
      <c r="DL416" s="424">
        <f t="shared" si="575"/>
        <v>0</v>
      </c>
      <c r="DM416" s="420">
        <f t="shared" si="576"/>
        <v>0</v>
      </c>
      <c r="DN416" s="420">
        <f t="shared" si="577"/>
        <v>0</v>
      </c>
      <c r="DO416" s="420">
        <f t="shared" si="578"/>
        <v>0</v>
      </c>
      <c r="DP416" s="433">
        <f t="shared" si="579"/>
        <v>0</v>
      </c>
      <c r="DQ416" s="437" t="s">
        <v>635</v>
      </c>
      <c r="DR416" s="444">
        <f t="shared" si="580"/>
        <v>0.33</v>
      </c>
      <c r="DS416" s="1124"/>
      <c r="DT416" s="1093" t="s">
        <v>133</v>
      </c>
      <c r="DU416" s="1124"/>
      <c r="DV416" s="1098">
        <f>IF($P416="","N/A",IF(P416=-1,INDEX('卡片raw data'!AN:AN,MATCH(D416,'卡片raw data'!$F:$F,)),0)+IF(AND(L416&lt;&gt;"party卡",P416&lt;=2,P416&gt;=0),INDEX('卡片raw data'!AP:AP,MATCH(D416,'卡片raw data'!$F:$F,)),0)+IF(OR(AND(L416="party卡",P416&lt;=1),AND(P416&lt;=4,L416&lt;&gt;"party卡",P416&gt;=3)),INDEX('卡片raw data'!AQ:AQ,MATCH(D416,'卡片raw data'!$F:$F,)),0)+IF(OR(P416=5,AND(L416="party卡",P416&gt;=2)),INDEX('卡片raw data'!AR:AR,MATCH(D416,'卡片raw data'!$F:$F,)),0))</f>
        <v>0.4</v>
      </c>
      <c r="DW416" s="1098">
        <f t="shared" si="581"/>
        <v>0.33</v>
      </c>
      <c r="DX416" s="1098">
        <f t="shared" si="582"/>
        <v>0.33</v>
      </c>
      <c r="DY416" s="1097">
        <f t="shared" si="583"/>
        <v>1124.9749709369601</v>
      </c>
      <c r="DZ416" s="1097">
        <f t="shared" si="584"/>
        <v>973.10334986047042</v>
      </c>
      <c r="EA416" s="421">
        <f t="shared" si="585"/>
        <v>0</v>
      </c>
      <c r="EB416" s="445">
        <f t="shared" si="586"/>
        <v>0</v>
      </c>
      <c r="EC416" s="424">
        <f t="shared" si="587"/>
        <v>0</v>
      </c>
      <c r="ED416" s="420">
        <f t="shared" si="588"/>
        <v>0</v>
      </c>
      <c r="EE416" s="433">
        <f t="shared" si="598"/>
        <v>48435.03108962375</v>
      </c>
      <c r="EF416" s="1115" t="s">
        <v>569</v>
      </c>
      <c r="EG416" s="444">
        <f t="shared" si="589"/>
        <v>0.33</v>
      </c>
      <c r="EH416" s="450"/>
      <c r="EI416" s="1093"/>
      <c r="EJ416" s="1093"/>
      <c r="EK416" s="1097">
        <f>IF($P416="","N/A",IF(P416=-1,INDEX('卡片raw data'!AS:AS,MATCH(D416,'卡片raw data'!$F:$F,)),0)+IF(AND(L416&lt;&gt;"party卡",P416&lt;=2,P416&gt;=0),INDEX('卡片raw data'!AU:AU,MATCH(D416,'卡片raw data'!$F:$F,)),0)+IF(OR(AND(L416="party卡",P416&lt;=1),AND(P416&lt;=4,L416&lt;&gt;"party卡",P416&gt;=3)),INDEX('卡片raw data'!AV:AV,MATCH(D416,'卡片raw data'!$F:$F,)),0)+IF(OR(P416=5,AND(L416="party卡",P416&gt;=2)),INDEX('卡片raw data'!AW:AW,MATCH(D416,'卡片raw data'!$F:$F,)),0))</f>
        <v>0</v>
      </c>
      <c r="EL416" s="1098">
        <f t="shared" si="590"/>
        <v>0.33</v>
      </c>
      <c r="EM416" s="1098">
        <f t="shared" si="591"/>
        <v>0.33</v>
      </c>
      <c r="EN416" s="1097">
        <f t="shared" si="592"/>
        <v>0</v>
      </c>
      <c r="EO416" s="1097">
        <f t="shared" si="593"/>
        <v>0</v>
      </c>
      <c r="EP416" s="421">
        <f t="shared" si="594"/>
        <v>0</v>
      </c>
      <c r="EQ416" s="445">
        <f t="shared" si="595"/>
        <v>0</v>
      </c>
      <c r="ER416" s="424">
        <f t="shared" si="596"/>
        <v>0</v>
      </c>
      <c r="ES416" s="420">
        <f t="shared" si="597"/>
        <v>0</v>
      </c>
      <c r="ET416" s="446">
        <f t="shared" si="599"/>
        <v>0</v>
      </c>
    </row>
    <row r="417" spans="2:150" ht="16.5" customHeight="1">
      <c r="B417" s="448" t="str">
        <f>INDEX('卡片raw data'!B:B,MATCH($D417,'卡片raw data'!$F:$F,))</f>
        <v>mw南</v>
      </c>
      <c r="C417" s="449" t="s">
        <v>2263</v>
      </c>
      <c r="D417" s="408">
        <v>414</v>
      </c>
      <c r="E417" s="477">
        <v>201032001</v>
      </c>
      <c r="F417" s="409" t="str">
        <f>INDEX('卡片raw data'!C:C,MATCH($D417,'卡片raw data'!$F:$F,))</f>
        <v>SR</v>
      </c>
      <c r="G417" s="1094" t="s">
        <v>2267</v>
      </c>
      <c r="H417" s="411">
        <f>IFERROR(INDEX(绊状态确认!C:C,MATCH($G417,绊状态确认!$B:$B,)),"")</f>
        <v>103</v>
      </c>
      <c r="I417" s="450" t="str">
        <f>IFERROR(INDEX(绊状态确认!D:D,MATCH($G417,绊状态确认!$B:$B,)),"")</f>
        <v>水</v>
      </c>
      <c r="J417" s="450" t="str">
        <f>IFERROR(INDEX(绊状态确认!E:E,MATCH($G417,绊状态确认!$B:$B,)),"")</f>
        <v>3年级</v>
      </c>
      <c r="K417" s="451" t="str">
        <f>IFERROR(INDEX(绊状态确认!F:F,MATCH($G417,绊状态确认!$B:$B,)),"")</f>
        <v>AZALEA</v>
      </c>
      <c r="L417" s="414" t="str">
        <f>INDEX('卡片raw data'!E:E,MATCH($D417,'卡片raw data'!$F:$F,))</f>
        <v>卡池卡</v>
      </c>
      <c r="M417" s="478">
        <v>44255</v>
      </c>
      <c r="N417" s="479">
        <v>34.5</v>
      </c>
      <c r="O417" s="410" t="str">
        <f>INDEX('卡片raw data'!D:D,MATCH($D417,'卡片raw data'!$F:$F,))</f>
        <v>vo</v>
      </c>
      <c r="P417" s="1126">
        <v>5</v>
      </c>
      <c r="Q417" s="418">
        <f t="shared" si="515"/>
        <v>43281.668588677501</v>
      </c>
      <c r="R417" s="419">
        <f t="shared" si="516"/>
        <v>0.503</v>
      </c>
      <c r="S417" s="420">
        <f t="shared" si="517"/>
        <v>16321.150806047404</v>
      </c>
      <c r="T417" s="421">
        <f t="shared" si="518"/>
        <v>0.81599999999999995</v>
      </c>
      <c r="U417" s="422">
        <f t="shared" si="519"/>
        <v>-14.724398284047144</v>
      </c>
      <c r="V417" s="423">
        <f t="shared" si="520"/>
        <v>42793.855027699807</v>
      </c>
      <c r="W417" s="424">
        <f t="shared" si="521"/>
        <v>4565.4164420638726</v>
      </c>
      <c r="X417" s="419">
        <f t="shared" si="522"/>
        <v>5.2999999999999999E-2</v>
      </c>
      <c r="Y417" s="420">
        <f t="shared" si="523"/>
        <v>816.85488926400194</v>
      </c>
      <c r="Z417" s="425">
        <f t="shared" si="524"/>
        <v>10.275601715952856</v>
      </c>
      <c r="AA417" s="426">
        <f t="shared" si="525"/>
        <v>5382.2713313278746</v>
      </c>
      <c r="AB417" s="424">
        <f t="shared" si="526"/>
        <v>8321.8510146688732</v>
      </c>
      <c r="AC417" s="427">
        <f t="shared" si="527"/>
        <v>9.6000000000000002E-2</v>
      </c>
      <c r="AD417" s="428">
        <f t="shared" si="528"/>
        <v>-3.8207812500000026E-3</v>
      </c>
      <c r="AE417" s="516">
        <f t="shared" si="529"/>
        <v>-12.27536231884058</v>
      </c>
      <c r="AF417" s="1130">
        <f t="shared" si="530"/>
        <v>0</v>
      </c>
      <c r="AG417" s="420">
        <f t="shared" si="531"/>
        <v>0</v>
      </c>
      <c r="AH417" s="420">
        <f t="shared" si="532"/>
        <v>0</v>
      </c>
      <c r="AI417" s="1097">
        <f t="shared" si="533"/>
        <v>0</v>
      </c>
      <c r="AJ417" s="420">
        <f t="shared" si="534"/>
        <v>0</v>
      </c>
      <c r="AK417" s="518">
        <f t="shared" si="535"/>
        <v>0</v>
      </c>
      <c r="AL417" s="1106">
        <f>IF($P417="","N/A",(IF($P417=-1,INDEX('卡片raw data'!S:S,MATCH($D417,'卡片raw data'!$F:$F,)),0)+IF($P417=0,INDEX('卡片raw data'!V:V,MATCH($D417,'卡片raw data'!$F:$F,)),0)+IF($P417=1,INDEX('卡片raw data'!Y:Y,MATCH($D417,'卡片raw data'!$F:$F,)),0)+IF($P417=2,INDEX('卡片raw data'!AB:AB,MATCH($D417,'卡片raw data'!$F:$F,)),0)+IF($P417=3,INDEX('卡片raw data'!AE:AE,MATCH($D417,'卡片raw data'!$F:$F,)),0)+IF($P417=4,INDEX('卡片raw data'!AH:AH,MATCH($D417,'卡片raw data'!$F:$F,)),0)+IF($P417=5,INDEX('卡片raw data'!AK:AK,MATCH($D417,'卡片raw data'!$F:$F,)),0)+INDEX('卡片raw data'!S:S,MATCH($D417,'卡片raw data'!$F:$F,))*(IF($F417="UR",0.04,0.033))*(IF($F417="UR",INDEX(绊状态确认!$S:$S,MATCH($G417,绊状态确认!$B:$B,))/2-40)+IF($F417="SR",INDEX(绊状态确认!$R:$R,MATCH($G417,绊状态确认!$B:$B,))/4-15))+IF($F417="R",INDEX(绊状态确认!$Q:$Q,MATCH($G417,绊状态确认!$B:$B,))/6-40/6)))*(INDEX(绊状态确认!$H:$H,MATCH($G417,绊状态确认!$B:$B,))+INDEX(绊状态确认!J:J,MATCH($G417,绊状态确认!$B:$B,)))</f>
        <v>8199.5941967999988</v>
      </c>
      <c r="AM417" s="1106">
        <f>IF($P417="","N/A",(IF($P417=-1,INDEX('卡片raw data'!T:T,MATCH($D417,'卡片raw data'!$F:$F,)),0)+IF($P417=0,INDEX('卡片raw data'!W:W,MATCH($D417,'卡片raw data'!$F:$F,)),0)+IF($P417=1,INDEX('卡片raw data'!Z:Z,MATCH($D417,'卡片raw data'!$F:$F,)),0)+IF($P417=2,INDEX('卡片raw data'!AC:AC,MATCH($D417,'卡片raw data'!$F:$F,)),0)+IF($P417=3,INDEX('卡片raw data'!AF:AF,MATCH($D417,'卡片raw data'!$F:$F,)),0)+IF($P417=4,INDEX('卡片raw data'!AI:AI,MATCH($D417,'卡片raw data'!$F:$F,)),0)+IF($P417=5,INDEX('卡片raw data'!AL:AL,MATCH($D417,'卡片raw data'!$F:$F,)),0)+INDEX('卡片raw data'!T:T,MATCH($D417,'卡片raw data'!$F:$F,))*(IF($F417="UR",0.04,0.033))*(IF($F417="UR",INDEX(绊状态确认!$S:$S,MATCH($G417,绊状态确认!$B:$B,))/2-40)+IF($F417="SR",INDEX(绊状态确认!$R:$R,MATCH($G417,绊状态确认!$B:$B,))/4-15))+IF($F417="R",INDEX(绊状态确认!$Q:$Q,MATCH($G417,绊状态确认!$B:$B,))/6-40/6)))*(INDEX(绊状态确认!$H:$H,MATCH($G417,绊状态确认!$B:$B,))+INDEX(绊状态确认!K:K,MATCH($G417,绊状态确认!$B:$B,)))</f>
        <v>5045.1000743999994</v>
      </c>
      <c r="AN417" s="1106">
        <f>IF($P417="","N/A",(IF($P417=-1,INDEX('卡片raw data'!U:U,MATCH($D417,'卡片raw data'!$F:$F,)),0)+IF($P417=0,INDEX('卡片raw data'!X:X,MATCH($D417,'卡片raw data'!$F:$F,)),0)+IF($P417=1,INDEX('卡片raw data'!AA:AA,MATCH($D417,'卡片raw data'!$F:$F,)),0)+IF($P417=2,INDEX('卡片raw data'!AD:AD,MATCH($D417,'卡片raw data'!$F:$F,)),0)+IF($P417=3,INDEX('卡片raw data'!AG:AG,MATCH($D417,'卡片raw data'!$F:$F,)),0)+IF($P417=4,INDEX('卡片raw data'!AJ:AJ,MATCH($D417,'卡片raw data'!$F:$F,)),0)+IF($P417=5,INDEX('卡片raw data'!AM:AM,MATCH($D417,'卡片raw data'!$F:$F,)),0)+INDEX('卡片raw data'!U:U,MATCH($D417,'卡片raw data'!$F:$F,))*(IF($F417="UR",0.04,0.033))*(IF($F417="UR",INDEX(绊状态确认!$S:$S,MATCH($G417,绊状态确认!$B:$B,))/2-40)+IF($F417="SR",INDEX(绊状态确认!$R:$R,MATCH($G417,绊状态确认!$B:$B,))/4-15))+IF($F417="R",INDEX(绊状态确认!$Q:$Q,MATCH($G417,绊状态确认!$B:$B,))/6-40/6)))*(INDEX(绊状态确认!$H:$H,MATCH($G417,绊状态确认!$B:$B,))+INDEX(绊状态确认!L:L,MATCH($G417,绊状态确认!$B:$B,)))</f>
        <v>7779.0557399999998</v>
      </c>
      <c r="AO417" s="1107">
        <f t="shared" si="536"/>
        <v>1</v>
      </c>
      <c r="AP417" s="1131">
        <f>1+(INDEX(绊状态确认!$T:$T,MATCH($G417,绊状态确认!$B:$B,))+0.2)*$AO417</f>
        <v>1.3</v>
      </c>
      <c r="AQ417" s="1108">
        <f t="shared" si="537"/>
        <v>24773.934766599996</v>
      </c>
      <c r="AR417" s="1097">
        <f>(AM417*(1+$EX$9)+$EX$35)*(1+(INDEX(绊状态确认!$T:$T,MATCH($G417,绊状态确认!$B:$B,))+0.2)*AO417)*IF(J417=$FF$17,1+$FE$17,1)*IF(I417=$FF$14,1+$FE$14,1)</f>
        <v>9590.561601555999</v>
      </c>
      <c r="AS417" s="1097">
        <f>(AN417*(1+$EX$10)+$EX$36)*(1+(INDEX(绊状态确认!$T:$T,MATCH($G417,绊状态确认!$B:$B,))+0.2)*AO417)*IF(J417=$FF$17,1+$FE$17,1)*IF(I417=$FF$14,1+$FE$14,1)</f>
        <v>15685.688331299998</v>
      </c>
      <c r="AT417" s="1093">
        <f>IF(AND(INDEX('卡片raw data'!AK:AK,MATCH($D417,'卡片raw data'!$F:$F,))&lt;INDEX('卡片raw data'!AM:AM,MATCH($D417,'卡片raw data'!$F:$F,)),INDEX('卡片raw data'!AL:AL,MATCH($D417,'卡片raw data'!$F:$F,))&lt;INDEX('卡片raw data'!AM:AM,MATCH($D417,'卡片raw data'!$F:$F,))),1,0)</f>
        <v>0</v>
      </c>
      <c r="AU417" s="1098">
        <f>MIN(AT417*0.15+AS417*0.00003+INDEX(绊状态确认!M:M,MATCH($G417,绊状态确认!$B:$B,)),1)</f>
        <v>0.50057064993899991</v>
      </c>
      <c r="AV417" s="1109">
        <f>(INDEX(绊状态确认!$N:$N,MATCH($G417,绊状态确认!$B:$B,))+1.5)*$EW$21</f>
        <v>2.6599999999999997</v>
      </c>
      <c r="AW417" s="1101">
        <f t="shared" si="538"/>
        <v>23557.445376107054</v>
      </c>
      <c r="AX417" s="1097">
        <f t="shared" si="539"/>
        <v>816.85488926400228</v>
      </c>
      <c r="AY417" s="1110">
        <f t="shared" si="540"/>
        <v>24374.300265371057</v>
      </c>
      <c r="AZ417" s="429">
        <f t="shared" si="541"/>
        <v>18589.20868376</v>
      </c>
      <c r="BA417" s="431">
        <f t="shared" si="542"/>
        <v>22307.050420511998</v>
      </c>
      <c r="BB417" s="1097">
        <f>(AM417*(1+$FB$9)+$FB$35)*(1+(INDEX(绊状态确认!$T:$T,MATCH($G417,绊状态确认!$B:$B,))+0.2)*AO417)*IF(J417=$FF$17,1+$FE$17,1)*IF(I417=$FF$14,1+$FE$14,1)*(1+$FE$15)</f>
        <v>9590.561601555999</v>
      </c>
      <c r="BC417" s="1097">
        <f>(AN417*(1+$FB$10)+$FB$36)*(1+(INDEX(绊状态确认!$T:$T,MATCH($G417,绊状态确认!$B:$B,))+0.2)*AO417)*IF(J417=$FF$17,1+$FE$17,1)*IF(I417=$FF$14,1+$FE$14,1)*(1+$FE$15)</f>
        <v>15685.688331299998</v>
      </c>
      <c r="BD417" s="1104">
        <f>MIN(AT417*0.15+BC417*0.00003+INDEX(绊状态确认!M:M,MATCH($G417,绊状态确认!$B:$B,)),1)</f>
        <v>0.50057064993899991</v>
      </c>
      <c r="BE417" s="432">
        <f>(INDEX(绊状态确认!$N:$N,MATCH($G417,绊状态确认!$B:$B,))+1.5)</f>
        <v>1.9</v>
      </c>
      <c r="BF417" s="1139">
        <f t="array" ref="BF417">SUMPRODUCT(IF(AZ417*AP417*$FI$16:$FI$23*$FA$22&gt;=$FI$24,$FI$24,AZ417*AP417*$FI$16:$FI$23*$FA$22),$FJ$16:$FJ$23)</f>
        <v>36973.936071998643</v>
      </c>
      <c r="BG417" s="1125">
        <f t="array" ref="BG417">SUMPRODUCT(IF(BE417*AZ417*AP417*$FI$16:$FI$23*$FA$22&gt;=$FI$24,$FI$24,BE417*AZ417*AP417*$FI$16:$FI$23*$FA$22),$FJ$16:$FJ$23)</f>
        <v>59478.836362221802</v>
      </c>
      <c r="BH417" s="1110">
        <f t="shared" si="543"/>
        <v>16079.742879029343</v>
      </c>
      <c r="BI417" s="1111">
        <f>IF(O417="vo",$EW$26/$EW$24*0.05,0)+IF(O417="sk",-$EW$26/$EW$24*(0.05-INDEX(绊状态确认!W:W,MATCH($G417,绊状态确认!$B:$B,)))+0.05*$EW$28,0)+IF(O417="sp",0.05*$EW$32*$EW$30*(1-$EW$33)-(0.05-INDEX(绊状态确认!V:V,MATCH($G417,绊状态确认!$B:$B,)))*$EW$28,0)+IF(O417="gd",-(0.05-INDEX(绊状态确认!X:X,MATCH($G417,绊状态确认!$B:$B,)))*$EW$32*$EW$30*(1-$EW$33),0)</f>
        <v>7726.3029277443748</v>
      </c>
      <c r="BJ417" s="420">
        <f>IF(O417="vo",0.05*(1-$FI$26)*$FA$24,0)+IF(O417="sk",-(0.05-INDEX(绊状态确认!W:W,MATCH($G417,绊状态确认!$B:$B,)))*(1-$FI$26)*$FA$24+0.05*$FA$26,0)+IF(O417="sp",0.05*$FA$32*$FA$27*(1-$FA$33)/$FA$30+0.05*$FA$29/$FA$69*$FA$27*(1-$FA$33)-(0.05-INDEX(绊状态确认!V:V,MATCH($G417,绊状态确认!$B:$B,)))*$FA$26,0)+IF(O417="gd",-(0.05-INDEX(绊状态确认!X:X,MATCH($G417,绊状态确认!$B:$B,)))*$FA$32*$FA$27*(1-$FA$33)/$FA$30-(0.05-INDEX(绊状态确认!X:X,MATCH($G417,绊状态确认!$B:$B,)))*$FA$29/$FA$69*$FA$27*(1-$FA$33),0)</f>
        <v>393.93433687500004</v>
      </c>
      <c r="BK417" s="1110">
        <f>IF(O417="vo",$EW$26/$EW$24*0.05+$EW$26*(-HP($EW$62,$EW$65,$EW$64)+HP($EW$62,$EW$65,(1.05-INDEX(绊状态确认!U:U,MATCH($G417,绊状态确认!$B:$B,)))*$EW$64)),0)+IF(O417="sk",-$EW$26/$EW$24*(0.05-INDEX(绊状态确认!W:W,MATCH($G417,绊状态确认!$B:$B,)))+0.05*$EW$29,0)+IF(O417="sp",0.05*$EW$32*$EW$30*(1-$EW$33)-(0.05-INDEX(绊状态确认!V:V,MATCH($G417,绊状态确认!$B:$B,)))*$EW$29,0)+IF(O417="gd",-(0.05-INDEX(绊状态确认!X:X,MATCH($G417,绊状态确认!$B:$B,)))*$EW$32*$EW$30*(1-$EW$33)+$EW$26*(-HP($EW$62,$EW$65,$EW$64)+HP($EW$62,$EW$65,0.95*$EW$64)),0)</f>
        <v>6421.6344775026746</v>
      </c>
      <c r="BL417" s="1111">
        <f t="shared" si="544"/>
        <v>-1083.3333333333333</v>
      </c>
      <c r="BM417" s="1110">
        <f t="shared" si="545"/>
        <v>-830.55555555555543</v>
      </c>
      <c r="BN417" s="1113">
        <f t="shared" si="546"/>
        <v>3</v>
      </c>
      <c r="BO417" s="1108">
        <f t="shared" si="547"/>
        <v>4507.7214871259994</v>
      </c>
      <c r="BP417" s="1100">
        <f t="shared" si="548"/>
        <v>221.34103209030098</v>
      </c>
      <c r="BQ417" s="1113" t="s">
        <v>132</v>
      </c>
      <c r="BR417" s="1124" t="s">
        <v>168</v>
      </c>
      <c r="BS417" s="421">
        <f>IF($P417="","N/A",IF($P417=-1,INDEX('卡片raw data'!AX:AX,MATCH($D417,'卡片raw data'!$F:$F,)),0)+IF($L417="party卡",IF($P417=5,INDEX('卡片raw data'!BD:BD,MATCH($D417,'卡片raw data'!$F:$F,)),IF($P417&gt;=3,INDEX('卡片raw data'!BC:BC,MATCH($D417,'卡片raw data'!$F:$F,)),INDEX('卡片raw data'!BB:BB,MATCH($D417,'卡片raw data'!$F:$F,)))),IF(OR(AND($F417="UR",$P417=0),AND($F417="SR",$P417&gt;=0,$P417&lt;=2),AND($F417="R",$P417&gt;=0,$P417&lt;4)),INDEX('卡片raw data'!AZ:AZ,MATCH($D417,'卡片raw data'!$F:$F,)),0)+IF(OR(AND($F417="UR",$P417&gt;=1,$P417&lt;=4),AND($F417="SR",$P417&lt;=4,$P417&gt;=3),AND($F417="R",$P417=4)),INDEX('卡片raw data'!BA:BA,MATCH($D417,'卡片raw data'!$F:$F,)),0)+IF($P417=5,INDEX('卡片raw data'!BB:BB,MATCH($D417,'卡片raw data'!$F:$F,)),0)))</f>
        <v>0.05</v>
      </c>
      <c r="BT417" s="424">
        <f t="shared" si="549"/>
        <v>3756.4345726050001</v>
      </c>
      <c r="BU417" s="420">
        <f t="shared" si="550"/>
        <v>184.45086007525089</v>
      </c>
      <c r="BV417" s="420">
        <f t="shared" si="551"/>
        <v>0</v>
      </c>
      <c r="BW417" s="436">
        <f t="shared" si="552"/>
        <v>0</v>
      </c>
      <c r="BX417" s="423">
        <f t="shared" si="553"/>
        <v>3756.4345726050001</v>
      </c>
      <c r="BY417" s="433">
        <f t="shared" si="554"/>
        <v>0</v>
      </c>
      <c r="BZ417" s="1113" t="s">
        <v>569</v>
      </c>
      <c r="CA417" s="450"/>
      <c r="CB417" s="421">
        <f>IF($P417="","N/A",IF($P417=-1,INDEX('卡片raw data'!BE:BE,MATCH($D417,'卡片raw data'!$F:$F,)),0)+IF($L417="party卡",IF($P417=5,INDEX('卡片raw data'!BK:BK,MATCH($D417,'卡片raw data'!$F:$F,)),IF($P417&gt;=3,INDEX('卡片raw data'!BJ:BJ,MATCH($D417,'卡片raw data'!$F:$F,)),INDEX('卡片raw data'!BI:BI,MATCH($D417,'卡片raw data'!$F:$F,)))),IF(OR(AND($F417="UR",$P417=0),AND($F417="SR",$P417&gt;=0,$P417&lt;=2),AND($F417="R",$P417&gt;=0,$P417&lt;4)),INDEX('卡片raw data'!BG:BG,MATCH($D417,'卡片raw data'!$F:$F,)),0)+IF(OR(AND($F417="UR",$P417&gt;=1,$P417&lt;=4),AND($F417="SR",$P417&lt;=4,$P417&gt;=3),AND($F417="R",$P417=4)),INDEX('卡片raw data'!BH:BH,MATCH($D417,'卡片raw data'!$F:$F,)),0)+IF($P417=5,INDEX('卡片raw data'!BI:BI,MATCH($D417,'卡片raw data'!$F:$F,)),0)))</f>
        <v>0</v>
      </c>
      <c r="CC417" s="424">
        <f t="shared" si="555"/>
        <v>0</v>
      </c>
      <c r="CD417" s="420">
        <f>IF(BZ417="ap",CB417*(1-$FI$26)*$FB$5/$FB$11*(+IF(CA417="全员",$FA$24,0)+IF(CA417="同作战",$FA$24,0)+IF(CA417="仲间",$FA$24*2/3,0)+IF(CA417="同属性",$FA$24*$FA$37/3,0)+IF(CA417="同年级",$FA$24*$FA$40/3,0)+IF(CA417="同学校",$FA$24*$FA$43/3,0)+IF(CA417="同小队",$FA$24*$FA$46/3,0)+IF(CA417="同type",$FA$24*INDEX($FB$49:$FB$52,MATCH(X417,$FA$49:$FA$52,))/3,0)+IF(CA417="自身",#REF!/3,0)),0)+IF(BZ417="te",CB417*(1-$FI$27)*($FA$20-1)*$FB$7/$FB$13*(+IF(CA417="全员",$FA$19*$FA$24/(1+($FA$20-1)*$FA$19),0)+IF(CA417="同作战",$FA$19*$FA$24/(1+($FA$20-1)*$FA$19),0)+IF(CA417="仲间",$FA$19*$FA$24*2/3/(1+($FA$20-1)*$FA$19),0)+IF(CA417="同属性",$FA$19*$FA$24*$FA$37/3/(1+($FA$20-1)*$FA$19),0)+IF(CA417="同年级",$FA$19*$FA$24*$FA$40/3/(1+($FA$20-1)*$FA$19),0)+IF(CA417="同学校",$FA$19*$FA$24*$FA$43/3/(1+($FA$20-1)*$FA$19),0)+IF(CA417="同小队",$FA$19*$FA$24*$FA$46/3/(1+($FA$20-1)*$FA$19),0)+IF(CA417="同type",$FA$19*$FA$24*INDEX($FB$49:$FB$52,MATCH(X417,$FA$49:$FA$52,))/3/(1+($FA$20-1)*$FA$19),0)+IF(CA417="自身",$FA$19*#REF!/3/(1+(BH417-1)*$BD417),0)),0)</f>
        <v>0</v>
      </c>
      <c r="CE417" s="420">
        <f t="shared" si="556"/>
        <v>0</v>
      </c>
      <c r="CF417" s="436">
        <f t="shared" si="557"/>
        <v>0</v>
      </c>
      <c r="CG417" s="423">
        <f t="shared" si="558"/>
        <v>0</v>
      </c>
      <c r="CH417" s="433">
        <f t="shared" si="559"/>
        <v>0</v>
      </c>
      <c r="CI417" s="437" t="s">
        <v>164</v>
      </c>
      <c r="CJ417" s="438">
        <v>1</v>
      </c>
      <c r="CK417" s="1115" t="s">
        <v>2046</v>
      </c>
      <c r="CL417" s="1115" t="s">
        <v>1940</v>
      </c>
      <c r="CM417" s="1119">
        <v>7.5999999999999998E-2</v>
      </c>
      <c r="CN417" s="1115"/>
      <c r="CO417" s="1115"/>
      <c r="CP417" s="1116">
        <f t="shared" si="560"/>
        <v>52.449959034430279</v>
      </c>
      <c r="CQ417" s="1116">
        <f t="shared" si="561"/>
        <v>73.464552718219508</v>
      </c>
      <c r="CR417" s="1117">
        <f t="shared" si="562"/>
        <v>52.449959034430279</v>
      </c>
      <c r="CS417" s="442">
        <f t="shared" si="563"/>
        <v>0</v>
      </c>
      <c r="CT417" s="432">
        <f t="shared" si="564"/>
        <v>0</v>
      </c>
      <c r="CU417" s="1101">
        <f t="shared" si="565"/>
        <v>57.694954937873312</v>
      </c>
      <c r="CV417" s="1108">
        <f t="shared" si="566"/>
        <v>73.464552718219508</v>
      </c>
      <c r="CW417" s="1097">
        <f t="shared" si="567"/>
        <v>57.694954937873312</v>
      </c>
      <c r="CX417" s="420">
        <f t="shared" si="568"/>
        <v>57.694954937873312</v>
      </c>
      <c r="CY417" s="433">
        <f t="shared" si="569"/>
        <v>57.694954937873312</v>
      </c>
      <c r="CZ417" s="437"/>
      <c r="DA417" s="438"/>
      <c r="DB417" s="439" t="s">
        <v>569</v>
      </c>
      <c r="DC417" s="439"/>
      <c r="DD417" s="443"/>
      <c r="DE417" s="411"/>
      <c r="DF417" s="411"/>
      <c r="DG417" s="1116">
        <f t="shared" si="570"/>
        <v>0</v>
      </c>
      <c r="DH417" s="1116">
        <f t="shared" si="571"/>
        <v>0</v>
      </c>
      <c r="DI417" s="1116">
        <f t="shared" si="572"/>
        <v>0</v>
      </c>
      <c r="DJ417" s="442">
        <f t="shared" si="573"/>
        <v>0</v>
      </c>
      <c r="DK417" s="432">
        <f t="shared" si="574"/>
        <v>0</v>
      </c>
      <c r="DL417" s="424">
        <f t="shared" si="575"/>
        <v>0</v>
      </c>
      <c r="DM417" s="420">
        <f t="shared" si="576"/>
        <v>0</v>
      </c>
      <c r="DN417" s="420">
        <f t="shared" si="577"/>
        <v>0</v>
      </c>
      <c r="DO417" s="420">
        <f t="shared" si="578"/>
        <v>0</v>
      </c>
      <c r="DP417" s="433">
        <f t="shared" si="579"/>
        <v>0</v>
      </c>
      <c r="DQ417" s="437" t="s">
        <v>167</v>
      </c>
      <c r="DR417" s="1120">
        <f t="shared" si="580"/>
        <v>0.3</v>
      </c>
      <c r="DS417" s="1124">
        <v>5</v>
      </c>
      <c r="DT417" s="1124" t="s">
        <v>2127</v>
      </c>
      <c r="DU417" s="1124" t="s">
        <v>2145</v>
      </c>
      <c r="DV417" s="1098">
        <f>IF($P417="","N/A",IF(P417=-1,INDEX('卡片raw data'!AN:AN,MATCH(D417,'卡片raw data'!$F:$F,)),0)+IF(AND(L417&lt;&gt;"party卡",P417&lt;=2,P417&gt;=0),INDEX('卡片raw data'!AP:AP,MATCH(D417,'卡片raw data'!$F:$F,)),0)+IF(OR(AND(L417="party卡",P417&lt;=1),AND(P417&lt;=4,L417&lt;&gt;"party卡",P417&gt;=3)),INDEX('卡片raw data'!AQ:AQ,MATCH(D417,'卡片raw data'!$F:$F,)),0)+IF(OR(P417=5,AND(L417="party卡",P417&gt;=2)),INDEX('卡片raw data'!AR:AR,MATCH(D417,'卡片raw data'!$F:$F,)),0))</f>
        <v>7.0000000000000007E-2</v>
      </c>
      <c r="DW417" s="1098">
        <f t="shared" si="581"/>
        <v>0.3</v>
      </c>
      <c r="DX417" s="1098">
        <f t="shared" si="582"/>
        <v>0.3</v>
      </c>
      <c r="DY417" s="1098">
        <f t="shared" si="583"/>
        <v>3.5000000000000003E-2</v>
      </c>
      <c r="DZ417" s="1098">
        <f t="shared" si="584"/>
        <v>3.0275000000000003E-2</v>
      </c>
      <c r="EA417" s="421">
        <f t="shared" si="585"/>
        <v>0</v>
      </c>
      <c r="EB417" s="445">
        <f t="shared" si="586"/>
        <v>0</v>
      </c>
      <c r="EC417" s="424">
        <f t="shared" si="587"/>
        <v>4759.4026034905355</v>
      </c>
      <c r="ED417" s="420">
        <f t="shared" si="588"/>
        <v>198.7727008148438</v>
      </c>
      <c r="EE417" s="433">
        <f t="shared" si="598"/>
        <v>4759.4026034905355</v>
      </c>
      <c r="EF417" s="1115" t="s">
        <v>569</v>
      </c>
      <c r="EG417" s="1120">
        <f t="shared" si="589"/>
        <v>0.3</v>
      </c>
      <c r="EH417" s="450"/>
      <c r="EI417" s="1093"/>
      <c r="EJ417" s="1093"/>
      <c r="EK417" s="1097">
        <f>IF($P417="","N/A",IF(P417=-1,INDEX('卡片raw data'!AS:AS,MATCH(D417,'卡片raw data'!$F:$F,)),0)+IF(AND(L417&lt;&gt;"party卡",P417&lt;=2,P417&gt;=0),INDEX('卡片raw data'!AU:AU,MATCH(D417,'卡片raw data'!$F:$F,)),0)+IF(OR(AND(L417="party卡",P417&lt;=1),AND(P417&lt;=4,L417&lt;&gt;"party卡",P417&gt;=3)),INDEX('卡片raw data'!AV:AV,MATCH(D417,'卡片raw data'!$F:$F,)),0)+IF(OR(P417=5,AND(L417="party卡",P417&gt;=2)),INDEX('卡片raw data'!AW:AW,MATCH(D417,'卡片raw data'!$F:$F,)),0))</f>
        <v>0</v>
      </c>
      <c r="EL417" s="1098">
        <f t="shared" si="590"/>
        <v>0.3</v>
      </c>
      <c r="EM417" s="1098">
        <f t="shared" si="591"/>
        <v>0.3</v>
      </c>
      <c r="EN417" s="1097">
        <f t="shared" si="592"/>
        <v>0</v>
      </c>
      <c r="EO417" s="1097">
        <f t="shared" si="593"/>
        <v>0</v>
      </c>
      <c r="EP417" s="421">
        <f t="shared" si="594"/>
        <v>0</v>
      </c>
      <c r="EQ417" s="445">
        <f t="shared" si="595"/>
        <v>0</v>
      </c>
      <c r="ER417" s="424">
        <f t="shared" si="596"/>
        <v>0</v>
      </c>
      <c r="ES417" s="420">
        <f t="shared" si="597"/>
        <v>0</v>
      </c>
      <c r="ET417" s="446">
        <f t="shared" si="599"/>
        <v>0</v>
      </c>
    </row>
    <row r="418" spans="2:150" ht="16.5" customHeight="1">
      <c r="B418" s="448" t="str">
        <f>INDEX('卡片raw data'!B:B,MATCH($D418,'卡片raw data'!$F:$F,))</f>
        <v>op1林</v>
      </c>
      <c r="C418" s="449" t="s">
        <v>2270</v>
      </c>
      <c r="D418" s="408">
        <v>415</v>
      </c>
      <c r="E418" s="477">
        <v>202042001</v>
      </c>
      <c r="F418" s="409" t="str">
        <f>INDEX('卡片raw data'!C:C,MATCH($D418,'卡片raw data'!$F:$F,))</f>
        <v>SR</v>
      </c>
      <c r="G418" s="1094" t="s">
        <v>2271</v>
      </c>
      <c r="H418" s="411">
        <f>IFERROR(INDEX(绊状态确认!C:C,MATCH($G418,绊状态确认!$B:$B,)),"")</f>
        <v>204</v>
      </c>
      <c r="I418" s="450" t="str">
        <f>IFERROR(INDEX(绊状态确认!D:D,MATCH($G418,绊状态确认!$B:$B,)),"")</f>
        <v>虹</v>
      </c>
      <c r="J418" s="450" t="str">
        <f>IFERROR(INDEX(绊状态确认!E:E,MATCH($G418,绊状态确认!$B:$B,)),"")</f>
        <v>3年级</v>
      </c>
      <c r="K418" s="451" t="str">
        <f>IFERROR(INDEX(绊状态确认!F:F,MATCH($G418,绊状态确认!$B:$B,)),"")</f>
        <v>Diver Diva</v>
      </c>
      <c r="L418" s="414" t="str">
        <f>INDEX('卡片raw data'!E:E,MATCH($D418,'卡片raw data'!$F:$F,))</f>
        <v>卡池卡</v>
      </c>
      <c r="M418" s="478">
        <v>44255</v>
      </c>
      <c r="N418" s="479">
        <v>34.5</v>
      </c>
      <c r="O418" s="410" t="str">
        <f>INDEX('卡片raw data'!D:D,MATCH($D418,'卡片raw data'!$F:$F,))</f>
        <v>gd</v>
      </c>
      <c r="P418" s="1126">
        <v>5</v>
      </c>
      <c r="Q418" s="418">
        <f t="shared" si="515"/>
        <v>21533.044098688715</v>
      </c>
      <c r="R418" s="419">
        <f t="shared" si="516"/>
        <v>0.25</v>
      </c>
      <c r="S418" s="420">
        <f t="shared" si="517"/>
        <v>12633.061464132175</v>
      </c>
      <c r="T418" s="421">
        <f t="shared" si="518"/>
        <v>0.63100000000000001</v>
      </c>
      <c r="U418" s="422">
        <f t="shared" si="519"/>
        <v>409.17205172511228</v>
      </c>
      <c r="V418" s="423">
        <f t="shared" si="520"/>
        <v>72869.505956514695</v>
      </c>
      <c r="W418" s="424">
        <f t="shared" si="521"/>
        <v>4507.7214871259994</v>
      </c>
      <c r="X418" s="419">
        <f t="shared" si="522"/>
        <v>5.1999999999999998E-2</v>
      </c>
      <c r="Y418" s="420">
        <f t="shared" si="523"/>
        <v>1344.4123039812011</v>
      </c>
      <c r="Z418" s="425">
        <f t="shared" si="524"/>
        <v>16.653274875004282</v>
      </c>
      <c r="AA418" s="426">
        <f t="shared" si="525"/>
        <v>5852.1337911072005</v>
      </c>
      <c r="AB418" s="424">
        <f t="shared" si="526"/>
        <v>4507.7214871259994</v>
      </c>
      <c r="AC418" s="427">
        <f t="shared" si="527"/>
        <v>5.1999999999999998E-2</v>
      </c>
      <c r="AD418" s="428">
        <f t="shared" si="528"/>
        <v>-3.8207812500000026E-3</v>
      </c>
      <c r="AE418" s="516">
        <f t="shared" si="529"/>
        <v>-18.525362318840578</v>
      </c>
      <c r="AF418" s="1130">
        <f t="shared" si="530"/>
        <v>5825.8532034017117</v>
      </c>
      <c r="AG418" s="420">
        <f t="shared" si="531"/>
        <v>100776.91844999601</v>
      </c>
      <c r="AH418" s="420">
        <f t="shared" si="532"/>
        <v>17.298224814719401</v>
      </c>
      <c r="AI418" s="1097">
        <f t="shared" si="533"/>
        <v>93388.792304150673</v>
      </c>
      <c r="AJ418" s="420">
        <f t="shared" si="534"/>
        <v>72869.505956514695</v>
      </c>
      <c r="AK418" s="518">
        <f t="shared" si="535"/>
        <v>20519.286347635978</v>
      </c>
      <c r="AL418" s="1106">
        <f>IF($P418="","N/A",(IF($P418=-1,INDEX('卡片raw data'!S:S,MATCH($D418,'卡片raw data'!$F:$F,)),0)+IF($P418=0,INDEX('卡片raw data'!V:V,MATCH($D418,'卡片raw data'!$F:$F,)),0)+IF($P418=1,INDEX('卡片raw data'!Y:Y,MATCH($D418,'卡片raw data'!$F:$F,)),0)+IF($P418=2,INDEX('卡片raw data'!AB:AB,MATCH($D418,'卡片raw data'!$F:$F,)),0)+IF($P418=3,INDEX('卡片raw data'!AE:AE,MATCH($D418,'卡片raw data'!$F:$F,)),0)+IF($P418=4,INDEX('卡片raw data'!AH:AH,MATCH($D418,'卡片raw data'!$F:$F,)),0)+IF($P418=5,INDEX('卡片raw data'!AK:AK,MATCH($D418,'卡片raw data'!$F:$F,)),0)+INDEX('卡片raw data'!S:S,MATCH($D418,'卡片raw data'!$F:$F,))*(IF($F418="UR",0.04,0.033))*(IF($F418="UR",INDEX(绊状态确认!$S:$S,MATCH($G418,绊状态确认!$B:$B,))/2-40)+IF($F418="SR",INDEX(绊状态确认!$R:$R,MATCH($G418,绊状态确认!$B:$B,))/4-15))+IF($F418="R",INDEX(绊状态确认!$Q:$Q,MATCH($G418,绊状态确认!$B:$B,))/6-40/6)))*(INDEX(绊状态确认!$H:$H,MATCH($G418,绊状态确认!$B:$B,))+INDEX(绊状态确认!J:J,MATCH($G418,绊状态确认!$B:$B,)))</f>
        <v>6727.1788991999993</v>
      </c>
      <c r="AM418" s="1106">
        <f>IF($P418="","N/A",(IF($P418=-1,INDEX('卡片raw data'!T:T,MATCH($D418,'卡片raw data'!$F:$F,)),0)+IF($P418=0,INDEX('卡片raw data'!W:W,MATCH($D418,'卡片raw data'!$F:$F,)),0)+IF($P418=1,INDEX('卡片raw data'!Z:Z,MATCH($D418,'卡片raw data'!$F:$F,)),0)+IF($P418=2,INDEX('卡片raw data'!AC:AC,MATCH($D418,'卡片raw data'!$F:$F,)),0)+IF($P418=3,INDEX('卡片raw data'!AF:AF,MATCH($D418,'卡片raw data'!$F:$F,)),0)+IF($P418=4,INDEX('卡片raw data'!AI:AI,MATCH($D418,'卡片raw data'!$F:$F,)),0)+IF($P418=5,INDEX('卡片raw data'!AL:AL,MATCH($D418,'卡片raw data'!$F:$F,)),0)+INDEX('卡片raw data'!T:T,MATCH($D418,'卡片raw data'!$F:$F,))*(IF($F418="UR",0.04,0.033))*(IF($F418="UR",INDEX(绊状态确认!$S:$S,MATCH($G418,绊状态确认!$B:$B,))/2-40)+IF($F418="SR",INDEX(绊状态确认!$R:$R,MATCH($G418,绊状态确认!$B:$B,))/4-15))+IF($F418="R",INDEX(绊状态确认!$Q:$Q,MATCH($G418,绊状态确认!$B:$B,))/6-40/6)))*(INDEX(绊状态确认!$H:$H,MATCH($G418,绊状态确认!$B:$B,))+INDEX(绊状态确认!K:K,MATCH($G418,绊状态确认!$B:$B,)))</f>
        <v>7991.0670695999988</v>
      </c>
      <c r="AN418" s="1106">
        <f>IF($P418="","N/A",(IF($P418=-1,INDEX('卡片raw data'!U:U,MATCH($D418,'卡片raw data'!$F:$F,)),0)+IF($P418=0,INDEX('卡片raw data'!X:X,MATCH($D418,'卡片raw data'!$F:$F,)),0)+IF($P418=1,INDEX('卡片raw data'!AA:AA,MATCH($D418,'卡片raw data'!$F:$F,)),0)+IF($P418=2,INDEX('卡片raw data'!AD:AD,MATCH($D418,'卡片raw data'!$F:$F,)),0)+IF($P418=3,INDEX('卡片raw data'!AG:AG,MATCH($D418,'卡片raw data'!$F:$F,)),0)+IF($P418=4,INDEX('卡片raw data'!AJ:AJ,MATCH($D418,'卡片raw data'!$F:$F,)),0)+IF($P418=5,INDEX('卡片raw data'!AM:AM,MATCH($D418,'卡片raw data'!$F:$F,)),0)+INDEX('卡片raw data'!U:U,MATCH($D418,'卡片raw data'!$F:$F,))*(IF($F418="UR",0.04,0.033))*(IF($F418="UR",INDEX(绊状态确认!$S:$S,MATCH($G418,绊状态确认!$B:$B,))/2-40)+IF($F418="SR",INDEX(绊状态确认!$R:$R,MATCH($G418,绊状态确认!$B:$B,))/4-15))+IF($F418="R",INDEX(绊状态确认!$Q:$Q,MATCH($G418,绊状态确认!$B:$B,))/6-40/6)))*(INDEX(绊状态确认!$H:$H,MATCH($G418,绊状态确认!$B:$B,))+INDEX(绊状态确认!L:L,MATCH($G418,绊状态确认!$B:$B,)))</f>
        <v>6308.9882447999989</v>
      </c>
      <c r="AO418" s="1107">
        <f t="shared" si="536"/>
        <v>1</v>
      </c>
      <c r="AP418" s="1131">
        <f>1+(INDEX(绊状态确认!$T:$T,MATCH($G418,绊状态确认!$B:$B,))+0.2)*$AO418</f>
        <v>1.3</v>
      </c>
      <c r="AQ418" s="1108">
        <f t="shared" si="537"/>
        <v>20908.844610400003</v>
      </c>
      <c r="AR418" s="1097">
        <f>(AM418*(1+$EX$9)+$EX$35)*(1+(INDEX(绊状态确认!$T:$T,MATCH($G418,绊状态确认!$B:$B,))+0.2)*AO418)*IF(J418=$FF$17,1+$FE$17,1)*IF(I418=$FF$14,1+$FE$14,1)</f>
        <v>13611.806550003999</v>
      </c>
      <c r="AS418" s="1097">
        <f>(AN418*(1+$EX$10)+$EX$36)*(1+(INDEX(绊状态确认!$T:$T,MATCH($G418,绊状态确认!$B:$B,))+0.2)*AO418)*IF(J418=$FF$17,1+$FE$17,1)*IF(I418=$FF$14,1+$FE$14,1)</f>
        <v>13487.937425975999</v>
      </c>
      <c r="AT418" s="1093">
        <f>IF(AND(INDEX('卡片raw data'!AK:AK,MATCH($D418,'卡片raw data'!$F:$F,))&lt;INDEX('卡片raw data'!AM:AM,MATCH($D418,'卡片raw data'!$F:$F,)),INDEX('卡片raw data'!AL:AL,MATCH($D418,'卡片raw data'!$F:$F,))&lt;INDEX('卡片raw data'!AM:AM,MATCH($D418,'卡片raw data'!$F:$F,))),1,0)</f>
        <v>0</v>
      </c>
      <c r="AU418" s="1098">
        <f>MIN(AT418*0.15+AS418*0.00003+INDEX(绊状态确认!M:M,MATCH($G418,绊状态确认!$B:$B,)),1)</f>
        <v>0.43463812277927999</v>
      </c>
      <c r="AV418" s="1109">
        <f>(INDEX(绊状态确认!$N:$N,MATCH($G418,绊状态确认!$B:$B,))+1.5)*$EW$21</f>
        <v>2.6599999999999997</v>
      </c>
      <c r="AW418" s="1101">
        <f t="shared" si="538"/>
        <v>18693.655944896047</v>
      </c>
      <c r="AX418" s="1097">
        <f t="shared" si="539"/>
        <v>1169.6458014712707</v>
      </c>
      <c r="AY418" s="1110">
        <f t="shared" si="540"/>
        <v>19863.301746367317</v>
      </c>
      <c r="AZ418" s="429">
        <f t="shared" si="541"/>
        <v>15717.998853439998</v>
      </c>
      <c r="BA418" s="431">
        <f t="shared" si="542"/>
        <v>18861.598624127997</v>
      </c>
      <c r="BB418" s="1097">
        <f>(AM418*(1+$FB$9)+$FB$35)*(1+(INDEX(绊状态确认!$T:$T,MATCH($G418,绊状态确认!$B:$B,))+0.2)*AO418)*IF(J418=$FF$17,1+$FE$17,1)*IF(I418=$FF$14,1+$FE$14,1)*(1+$FE$15)</f>
        <v>13611.806550003999</v>
      </c>
      <c r="BC418" s="1097">
        <f>(AN418*(1+$FB$10)+$FB$36)*(1+(INDEX(绊状态确认!$T:$T,MATCH($G418,绊状态确认!$B:$B,))+0.2)*AO418)*IF(J418=$FF$17,1+$FE$17,1)*IF(I418=$FF$14,1+$FE$14,1)*(1+$FE$15)</f>
        <v>13487.937425975999</v>
      </c>
      <c r="BD418" s="1104">
        <f>MIN(AT418*0.15+BC418*0.00003+INDEX(绊状态确认!M:M,MATCH($G418,绊状态确认!$B:$B,)),1)</f>
        <v>0.43463812277927999</v>
      </c>
      <c r="BE418" s="432">
        <f>(INDEX(绊状态确认!$N:$N,MATCH($G418,绊状态确认!$B:$B,))+1.5)</f>
        <v>1.9</v>
      </c>
      <c r="BF418" s="1139">
        <f t="array" ref="BF418">SUMPRODUCT(IF(AZ418*AP418*$FI$16:$FI$23*$FA$22&gt;=$FI$24,$FI$24,AZ418*AP418*$FI$16:$FI$23*$FA$22),$FJ$16:$FJ$23)</f>
        <v>31263.099719492155</v>
      </c>
      <c r="BG418" s="1125">
        <f t="array" ref="BG418">SUMPRODUCT(IF(BE418*AZ418*AP418*$FI$16:$FI$23*$FA$22&gt;=$FI$24,$FI$24,BE418*AZ418*AP418*$FI$16:$FI$23*$FA$22),$FJ$16:$FJ$23)</f>
        <v>56223.46944943734</v>
      </c>
      <c r="BH418" s="1110">
        <f t="shared" si="543"/>
        <v>14037.27598759743</v>
      </c>
      <c r="BI418" s="1111">
        <f>IF(O418="vo",$EW$26/$EW$24*0.05,0)+IF(O418="sk",-$EW$26/$EW$24*(0.05-INDEX(绊状态确认!W:W,MATCH($G418,绊状态确认!$B:$B,)))+0.05*$EW$28,0)+IF(O418="sp",0.05*$EW$32*$EW$30*(1-$EW$33)-(0.05-INDEX(绊状态确认!V:V,MATCH($G418,绊状态确认!$B:$B,)))*$EW$28,0)+IF(O418="gd",-(0.05-INDEX(绊状态确认!X:X,MATCH($G418,绊状态确认!$B:$B,)))*$EW$32*$EW$30*(1-$EW$33),0)</f>
        <v>-585.00000000000011</v>
      </c>
      <c r="BJ418" s="420">
        <f>IF(O418="vo",0.05*(1-$FI$26)*$FA$24,0)+IF(O418="sk",-(0.05-INDEX(绊状态确认!W:W,MATCH($G418,绊状态确认!$B:$B,)))*(1-$FI$26)*$FA$24+0.05*$FA$26,0)+IF(O418="sp",0.05*$FA$32*$FA$27*(1-$FA$33)/$FA$30+0.05*$FA$29/$FA$69*$FA$27*(1-$FA$33)-(0.05-INDEX(绊状态确认!V:V,MATCH($G418,绊状态确认!$B:$B,)))*$FA$26,0)+IF(O418="gd",-(0.05-INDEX(绊状态确认!X:X,MATCH($G418,绊状态确认!$B:$B,)))*$FA$32*$FA$27*(1-$FA$33)/$FA$30-(0.05-INDEX(绊状态确认!X:X,MATCH($G418,绊状态确认!$B:$B,)))*$FA$29/$FA$69*$FA$27*(1-$FA$33),0)</f>
        <v>-795.00000000000011</v>
      </c>
      <c r="BK418" s="1110">
        <f>IF(O418="vo",$EW$26/$EW$24*0.05+$EW$26*(-HP($EW$62,$EW$65,$EW$64)+HP($EW$62,$EW$65,(1.05-INDEX(绊状态确认!U:U,MATCH($G418,绊状态确认!$B:$B,)))*$EW$64)),0)+IF(O418="sk",-$EW$26/$EW$24*(0.05-INDEX(绊状态确认!W:W,MATCH($G418,绊状态确认!$B:$B,)))+0.05*$EW$29,0)+IF(O418="sp",0.05*$EW$32*$EW$30*(1-$EW$33)-(0.05-INDEX(绊状态确认!V:V,MATCH($G418,绊状态确认!$B:$B,)))*$EW$29,0)+IF(O418="gd",-(0.05-INDEX(绊状态确认!X:X,MATCH($G418,绊状态确认!$B:$B,)))*$EW$32*$EW$30*(1-$EW$33)+$EW$26*(-HP($EW$62,$EW$65,$EW$64)+HP($EW$62,$EW$65,0.95*$EW$64)),0)</f>
        <v>1009.5947725176144</v>
      </c>
      <c r="BL418" s="1111">
        <f t="shared" si="544"/>
        <v>-1083.3333333333333</v>
      </c>
      <c r="BM418" s="1110">
        <f t="shared" si="545"/>
        <v>-830.55555555555543</v>
      </c>
      <c r="BN418" s="1113">
        <f t="shared" si="546"/>
        <v>3</v>
      </c>
      <c r="BO418" s="1108">
        <f t="shared" si="547"/>
        <v>4507.7214871259994</v>
      </c>
      <c r="BP418" s="1100">
        <f t="shared" si="548"/>
        <v>221.34103209030098</v>
      </c>
      <c r="BQ418" s="1113" t="s">
        <v>133</v>
      </c>
      <c r="BR418" s="1124" t="s">
        <v>168</v>
      </c>
      <c r="BS418" s="421">
        <f>IF($P418="","N/A",IF($P418=-1,INDEX('卡片raw data'!AX:AX,MATCH($D418,'卡片raw data'!$F:$F,)),0)+IF($L418="party卡",IF($P418=5,INDEX('卡片raw data'!BD:BD,MATCH($D418,'卡片raw data'!$F:$F,)),IF($P418&gt;=3,INDEX('卡片raw data'!BC:BC,MATCH($D418,'卡片raw data'!$F:$F,)),INDEX('卡片raw data'!BB:BB,MATCH($D418,'卡片raw data'!$F:$F,)))),IF(OR(AND($F418="UR",$P418=0),AND($F418="SR",$P418&gt;=0,$P418&lt;=2),AND($F418="R",$P418&gt;=0,$P418&lt;4)),INDEX('卡片raw data'!AZ:AZ,MATCH($D418,'卡片raw data'!$F:$F,)),0)+IF(OR(AND($F418="UR",$P418&gt;=1,$P418&lt;=4),AND($F418="SR",$P418&lt;=4,$P418&gt;=3),AND($F418="R",$P418=4)),INDEX('卡片raw data'!BA:BA,MATCH($D418,'卡片raw data'!$F:$F,)),0)+IF($P418=5,INDEX('卡片raw data'!BB:BB,MATCH($D418,'卡片raw data'!$F:$F,)),0)))</f>
        <v>0.05</v>
      </c>
      <c r="BT418" s="424">
        <f t="shared" si="549"/>
        <v>0</v>
      </c>
      <c r="BU418" s="420">
        <f t="shared" si="550"/>
        <v>0</v>
      </c>
      <c r="BV418" s="420">
        <f t="shared" si="551"/>
        <v>0</v>
      </c>
      <c r="BW418" s="436">
        <f t="shared" si="552"/>
        <v>1.7558035714285711</v>
      </c>
      <c r="BX418" s="423">
        <f t="shared" si="553"/>
        <v>137.19019421334193</v>
      </c>
      <c r="BY418" s="433">
        <f t="shared" si="554"/>
        <v>137.19019421334193</v>
      </c>
      <c r="BZ418" s="1113" t="s">
        <v>569</v>
      </c>
      <c r="CA418" s="450"/>
      <c r="CB418" s="421">
        <f>IF($P418="","N/A",IF($P418=-1,INDEX('卡片raw data'!BE:BE,MATCH($D418,'卡片raw data'!$F:$F,)),0)+IF($L418="party卡",IF($P418=5,INDEX('卡片raw data'!BK:BK,MATCH($D418,'卡片raw data'!$F:$F,)),IF($P418&gt;=3,INDEX('卡片raw data'!BJ:BJ,MATCH($D418,'卡片raw data'!$F:$F,)),INDEX('卡片raw data'!BI:BI,MATCH($D418,'卡片raw data'!$F:$F,)))),IF(OR(AND($F418="UR",$P418=0),AND($F418="SR",$P418&gt;=0,$P418&lt;=2),AND($F418="R",$P418&gt;=0,$P418&lt;4)),INDEX('卡片raw data'!BG:BG,MATCH($D418,'卡片raw data'!$F:$F,)),0)+IF(OR(AND($F418="UR",$P418&gt;=1,$P418&lt;=4),AND($F418="SR",$P418&lt;=4,$P418&gt;=3),AND($F418="R",$P418=4)),INDEX('卡片raw data'!BH:BH,MATCH($D418,'卡片raw data'!$F:$F,)),0)+IF($P418=5,INDEX('卡片raw data'!BI:BI,MATCH($D418,'卡片raw data'!$F:$F,)),0)))</f>
        <v>0</v>
      </c>
      <c r="CC418" s="424">
        <f t="shared" si="555"/>
        <v>0</v>
      </c>
      <c r="CD418" s="420">
        <f>IF(BZ418="ap",CB418*(1-$FI$26)*$FB$5/$FB$11*(+IF(CA418="全员",$FA$24,0)+IF(CA418="同作战",$FA$24,0)+IF(CA418="仲间",$FA$24*2/3,0)+IF(CA418="同属性",$FA$24*$FA$37/3,0)+IF(CA418="同年级",$FA$24*$FA$40/3,0)+IF(CA418="同学校",$FA$24*$FA$43/3,0)+IF(CA418="同小队",$FA$24*$FA$46/3,0)+IF(CA418="同type",$FA$24*INDEX($FB$49:$FB$52,MATCH(X418,$FA$49:$FA$52,))/3,0)+IF(CA418="自身",#REF!/3,0)),0)+IF(BZ418="te",CB418*(1-$FI$27)*($FA$20-1)*$FB$7/$FB$13*(+IF(CA418="全员",$FA$19*$FA$24/(1+($FA$20-1)*$FA$19),0)+IF(CA418="同作战",$FA$19*$FA$24/(1+($FA$20-1)*$FA$19),0)+IF(CA418="仲间",$FA$19*$FA$24*2/3/(1+($FA$20-1)*$FA$19),0)+IF(CA418="同属性",$FA$19*$FA$24*$FA$37/3/(1+($FA$20-1)*$FA$19),0)+IF(CA418="同年级",$FA$19*$FA$24*$FA$40/3/(1+($FA$20-1)*$FA$19),0)+IF(CA418="同学校",$FA$19*$FA$24*$FA$43/3/(1+($FA$20-1)*$FA$19),0)+IF(CA418="同小队",$FA$19*$FA$24*$FA$46/3/(1+($FA$20-1)*$FA$19),0)+IF(CA418="同type",$FA$19*$FA$24*INDEX($FB$49:$FB$52,MATCH(X418,$FA$49:$FA$52,))/3/(1+($FA$20-1)*$FA$19),0)+IF(CA418="自身",$FA$19*#REF!/3/(1+(BH418-1)*$BD418),0)),0)</f>
        <v>0</v>
      </c>
      <c r="CE418" s="420">
        <f t="shared" si="556"/>
        <v>0</v>
      </c>
      <c r="CF418" s="436">
        <f t="shared" si="557"/>
        <v>0</v>
      </c>
      <c r="CG418" s="423">
        <f t="shared" si="558"/>
        <v>0</v>
      </c>
      <c r="CH418" s="433">
        <f t="shared" si="559"/>
        <v>0</v>
      </c>
      <c r="CI418" s="1113" t="s">
        <v>2272</v>
      </c>
      <c r="CJ418" s="1114">
        <v>1</v>
      </c>
      <c r="CK418" s="439" t="s">
        <v>2273</v>
      </c>
      <c r="CL418" s="1115" t="s">
        <v>2274</v>
      </c>
      <c r="CM418" s="1119">
        <v>5.3999999999999999E-2</v>
      </c>
      <c r="CN418" s="1115">
        <v>5</v>
      </c>
      <c r="CO418" s="1115">
        <v>3</v>
      </c>
      <c r="CP418" s="1118">
        <f t="shared" si="560"/>
        <v>9.642857142857144E-4</v>
      </c>
      <c r="CQ418" s="1118">
        <f t="shared" si="561"/>
        <v>1.5E-3</v>
      </c>
      <c r="CR418" s="1118">
        <f t="shared" si="562"/>
        <v>9.642857142857144E-4</v>
      </c>
      <c r="CS418" s="442">
        <f t="shared" si="563"/>
        <v>0</v>
      </c>
      <c r="CT418" s="432">
        <f t="shared" si="564"/>
        <v>0</v>
      </c>
      <c r="CU418" s="1101">
        <f t="shared" si="565"/>
        <v>0</v>
      </c>
      <c r="CV418" s="1108">
        <f t="shared" si="566"/>
        <v>0</v>
      </c>
      <c r="CW418" s="420">
        <f t="shared" si="567"/>
        <v>0</v>
      </c>
      <c r="CX418" s="420">
        <f t="shared" si="568"/>
        <v>0</v>
      </c>
      <c r="CY418" s="433">
        <f t="shared" si="569"/>
        <v>37.576308296588941</v>
      </c>
      <c r="CZ418" s="437"/>
      <c r="DA418" s="438"/>
      <c r="DB418" s="439" t="s">
        <v>569</v>
      </c>
      <c r="DC418" s="439"/>
      <c r="DD418" s="443"/>
      <c r="DE418" s="411"/>
      <c r="DF418" s="411"/>
      <c r="DG418" s="1116">
        <f t="shared" si="570"/>
        <v>0</v>
      </c>
      <c r="DH418" s="1116">
        <f t="shared" si="571"/>
        <v>0</v>
      </c>
      <c r="DI418" s="1116">
        <f t="shared" si="572"/>
        <v>0</v>
      </c>
      <c r="DJ418" s="442">
        <f t="shared" si="573"/>
        <v>0</v>
      </c>
      <c r="DK418" s="432">
        <f t="shared" si="574"/>
        <v>0</v>
      </c>
      <c r="DL418" s="424">
        <f t="shared" si="575"/>
        <v>0</v>
      </c>
      <c r="DM418" s="420">
        <f t="shared" si="576"/>
        <v>0</v>
      </c>
      <c r="DN418" s="420">
        <f t="shared" si="577"/>
        <v>0</v>
      </c>
      <c r="DO418" s="420">
        <f t="shared" si="578"/>
        <v>0</v>
      </c>
      <c r="DP418" s="433">
        <f t="shared" si="579"/>
        <v>0</v>
      </c>
      <c r="DQ418" s="1113" t="s">
        <v>2080</v>
      </c>
      <c r="DR418" s="1120">
        <f t="shared" si="580"/>
        <v>0.3</v>
      </c>
      <c r="DS418" s="1124"/>
      <c r="DT418" s="1093" t="s">
        <v>133</v>
      </c>
      <c r="DU418" s="1124"/>
      <c r="DV418" s="1098">
        <f>IF($P418="","N/A",IF(P418=-1,INDEX('卡片raw data'!AN:AN,MATCH(D418,'卡片raw data'!$F:$F,)),0)+IF(AND(L418&lt;&gt;"party卡",P418&lt;=2,P418&gt;=0),INDEX('卡片raw data'!AP:AP,MATCH(D418,'卡片raw data'!$F:$F,)),0)+IF(OR(AND(L418="party卡",P418&lt;=1),AND(P418&lt;=4,L418&lt;&gt;"party卡",P418&gt;=3)),INDEX('卡片raw data'!AQ:AQ,MATCH(D418,'卡片raw data'!$F:$F,)),0)+IF(OR(P418=5,AND(L418="party卡",P418&gt;=2)),INDEX('卡片raw data'!AR:AR,MATCH(D418,'卡片raw data'!$F:$F,)),0))</f>
        <v>0.27</v>
      </c>
      <c r="DW418" s="1098">
        <f t="shared" si="581"/>
        <v>0.3</v>
      </c>
      <c r="DX418" s="1098">
        <f t="shared" si="582"/>
        <v>0.3</v>
      </c>
      <c r="DY418" s="1097">
        <f t="shared" si="583"/>
        <v>367.518776850108</v>
      </c>
      <c r="DZ418" s="1097">
        <f t="shared" si="584"/>
        <v>317.90374197534339</v>
      </c>
      <c r="EA418" s="421">
        <f t="shared" si="585"/>
        <v>0</v>
      </c>
      <c r="EB418" s="445">
        <f t="shared" si="586"/>
        <v>0</v>
      </c>
      <c r="EC418" s="424">
        <f t="shared" si="587"/>
        <v>0</v>
      </c>
      <c r="ED418" s="420">
        <f t="shared" si="588"/>
        <v>0</v>
      </c>
      <c r="EE418" s="433">
        <f t="shared" si="598"/>
        <v>48435.03108962375</v>
      </c>
      <c r="EF418" s="1115" t="s">
        <v>569</v>
      </c>
      <c r="EG418" s="1120">
        <f t="shared" si="589"/>
        <v>0.3</v>
      </c>
      <c r="EH418" s="450"/>
      <c r="EI418" s="1093"/>
      <c r="EJ418" s="1093"/>
      <c r="EK418" s="420">
        <f>IF($P418="","N/A",IF(P418=-1,INDEX('卡片raw data'!AS:AS,MATCH(D418,'卡片raw data'!$F:$F,)),0)+IF(AND(L418&lt;&gt;"party卡",P418&lt;=2,P418&gt;=0),INDEX('卡片raw data'!AU:AU,MATCH(D418,'卡片raw data'!$F:$F,)),0)+IF(OR(AND(L418="party卡",P418&lt;=1),AND(P418&lt;=4,L418&lt;&gt;"party卡",P418&gt;=3)),INDEX('卡片raw data'!AV:AV,MATCH(D418,'卡片raw data'!$F:$F,)),0)+IF(OR(P418=5,AND(L418="party卡",P418&gt;=2)),INDEX('卡片raw data'!AW:AW,MATCH(D418,'卡片raw data'!$F:$F,)),0))</f>
        <v>0</v>
      </c>
      <c r="EL418" s="1098">
        <f t="shared" si="590"/>
        <v>0.3</v>
      </c>
      <c r="EM418" s="1098">
        <f t="shared" si="591"/>
        <v>0.3</v>
      </c>
      <c r="EN418" s="1097">
        <f t="shared" si="592"/>
        <v>0</v>
      </c>
      <c r="EO418" s="1097">
        <f t="shared" si="593"/>
        <v>0</v>
      </c>
      <c r="EP418" s="421">
        <f t="shared" si="594"/>
        <v>0</v>
      </c>
      <c r="EQ418" s="445">
        <f t="shared" si="595"/>
        <v>0</v>
      </c>
      <c r="ER418" s="424">
        <f t="shared" si="596"/>
        <v>0</v>
      </c>
      <c r="ES418" s="420">
        <f t="shared" si="597"/>
        <v>0</v>
      </c>
      <c r="ET418" s="446">
        <f t="shared" si="599"/>
        <v>0</v>
      </c>
    </row>
    <row r="419" spans="2:150" ht="16.5" customHeight="1">
      <c r="B419" s="448" t="str">
        <f>INDEX('卡片raw data'!B:B,MATCH($D419,'卡片raw data'!$F:$F,))</f>
        <v>白情丸</v>
      </c>
      <c r="C419" s="449" t="s">
        <v>2284</v>
      </c>
      <c r="D419" s="408">
        <v>416</v>
      </c>
      <c r="E419" s="477">
        <v>401073004</v>
      </c>
      <c r="F419" s="409" t="str">
        <f>INDEX('卡片raw data'!C:C,MATCH($D419,'卡片raw data'!$F:$F,))</f>
        <v>UR</v>
      </c>
      <c r="G419" s="1094" t="s">
        <v>2285</v>
      </c>
      <c r="H419" s="411">
        <f>IFERROR(INDEX(绊状态确认!C:C,MATCH($G419,绊状态确认!$B:$B,)),"")</f>
        <v>107</v>
      </c>
      <c r="I419" s="450" t="str">
        <f>IFERROR(INDEX(绊状态确认!D:D,MATCH($G419,绊状态确认!$B:$B,)),"")</f>
        <v>水</v>
      </c>
      <c r="J419" s="450" t="str">
        <f>IFERROR(INDEX(绊状态确认!E:E,MATCH($G419,绊状态确认!$B:$B,)),"")</f>
        <v>1年级</v>
      </c>
      <c r="K419" s="451" t="str">
        <f>IFERROR(INDEX(绊状态确认!F:F,MATCH($G419,绊状态确认!$B:$B,)),"")</f>
        <v>AZALEA</v>
      </c>
      <c r="L419" s="414" t="str">
        <f>INDEX('卡片raw data'!E:E,MATCH($D419,'卡片raw data'!$F:$F,))</f>
        <v>卡池卡</v>
      </c>
      <c r="M419" s="478">
        <v>44259</v>
      </c>
      <c r="N419" s="479">
        <v>35</v>
      </c>
      <c r="O419" s="410" t="str">
        <f>INDEX('卡片raw data'!D:D,MATCH($D419,'卡片raw data'!$F:$F,))</f>
        <v>vo</v>
      </c>
      <c r="P419" s="1126">
        <v>5</v>
      </c>
      <c r="Q419" s="418">
        <f t="shared" si="515"/>
        <v>71507.970215004258</v>
      </c>
      <c r="R419" s="419">
        <f t="shared" si="516"/>
        <v>0.83099999999999996</v>
      </c>
      <c r="S419" s="420">
        <f t="shared" si="517"/>
        <v>20918.950475545975</v>
      </c>
      <c r="T419" s="421">
        <f t="shared" si="518"/>
        <v>1.0449999999999999</v>
      </c>
      <c r="U419" s="422">
        <f t="shared" si="519"/>
        <v>-11.579566999257144</v>
      </c>
      <c r="V419" s="423">
        <f t="shared" si="520"/>
        <v>71277.048984268302</v>
      </c>
      <c r="W419" s="424">
        <f t="shared" si="521"/>
        <v>4517.4345536637347</v>
      </c>
      <c r="X419" s="419">
        <f t="shared" si="522"/>
        <v>5.1999999999999998E-2</v>
      </c>
      <c r="Y419" s="420">
        <f t="shared" si="523"/>
        <v>1073.7472195057408</v>
      </c>
      <c r="Z419" s="425">
        <f t="shared" si="524"/>
        <v>13.420433000742856</v>
      </c>
      <c r="AA419" s="426">
        <f t="shared" si="525"/>
        <v>5591.1817731694755</v>
      </c>
      <c r="AB419" s="424">
        <f t="shared" si="526"/>
        <v>9786.1560218484701</v>
      </c>
      <c r="AC419" s="427">
        <f t="shared" si="527"/>
        <v>0.113</v>
      </c>
      <c r="AD419" s="428">
        <f t="shared" si="528"/>
        <v>0</v>
      </c>
      <c r="AE419" s="516">
        <f t="shared" si="529"/>
        <v>0</v>
      </c>
      <c r="AF419" s="1130">
        <f t="shared" si="530"/>
        <v>0</v>
      </c>
      <c r="AG419" s="420">
        <f t="shared" si="531"/>
        <v>0</v>
      </c>
      <c r="AH419" s="420">
        <f t="shared" si="532"/>
        <v>0</v>
      </c>
      <c r="AI419" s="1097">
        <f t="shared" si="533"/>
        <v>0</v>
      </c>
      <c r="AJ419" s="420">
        <f t="shared" si="534"/>
        <v>0</v>
      </c>
      <c r="AK419" s="518">
        <f t="shared" si="535"/>
        <v>0</v>
      </c>
      <c r="AL419" s="1106">
        <f>IF($P419="","N/A",(IF($P419=-1,INDEX('卡片raw data'!S:S,MATCH($D419,'卡片raw data'!$F:$F,)),0)+IF($P419=0,INDEX('卡片raw data'!V:V,MATCH($D419,'卡片raw data'!$F:$F,)),0)+IF($P419=1,INDEX('卡片raw data'!Y:Y,MATCH($D419,'卡片raw data'!$F:$F,)),0)+IF($P419=2,INDEX('卡片raw data'!AB:AB,MATCH($D419,'卡片raw data'!$F:$F,)),0)+IF($P419=3,INDEX('卡片raw data'!AE:AE,MATCH($D419,'卡片raw data'!$F:$F,)),0)+IF($P419=4,INDEX('卡片raw data'!AH:AH,MATCH($D419,'卡片raw data'!$F:$F,)),0)+IF($P419=5,INDEX('卡片raw data'!AK:AK,MATCH($D419,'卡片raw data'!$F:$F,)),0)+INDEX('卡片raw data'!S:S,MATCH($D419,'卡片raw data'!$F:$F,))*(IF($F419="UR",0.04,0.033))*(IF($F419="UR",INDEX(绊状态确认!$S:$S,MATCH($G419,绊状态确认!$B:$B,))/2-40)+IF($F419="SR",INDEX(绊状态确认!$R:$R,MATCH($G419,绊状态确认!$B:$B,))/4-15))+IF($F419="R",INDEX(绊状态确认!$Q:$Q,MATCH($G419,绊状态确认!$B:$B,))/6-40/6)))*(INDEX(绊状态确认!$H:$H,MATCH($G419,绊状态确认!$B:$B,))+INDEX(绊状态确认!J:J,MATCH($G419,绊状态确认!$B:$B,)))</f>
        <v>14736.107903999999</v>
      </c>
      <c r="AM419" s="1106">
        <f>IF($P419="","N/A",(IF($P419=-1,INDEX('卡片raw data'!T:T,MATCH($D419,'卡片raw data'!$F:$F,)),0)+IF($P419=0,INDEX('卡片raw data'!W:W,MATCH($D419,'卡片raw data'!$F:$F,)),0)+IF($P419=1,INDEX('卡片raw data'!Z:Z,MATCH($D419,'卡片raw data'!$F:$F,)),0)+IF($P419=2,INDEX('卡片raw data'!AC:AC,MATCH($D419,'卡片raw data'!$F:$F,)),0)+IF($P419=3,INDEX('卡片raw data'!AF:AF,MATCH($D419,'卡片raw data'!$F:$F,)),0)+IF($P419=4,INDEX('卡片raw data'!AI:AI,MATCH($D419,'卡片raw data'!$F:$F,)),0)+IF($P419=5,INDEX('卡片raw data'!AL:AL,MATCH($D419,'卡片raw data'!$F:$F,)),0)+INDEX('卡片raw data'!T:T,MATCH($D419,'卡片raw data'!$F:$F,))*(IF($F419="UR",0.04,0.033))*(IF($F419="UR",INDEX(绊状态确认!$S:$S,MATCH($G419,绊状态确认!$B:$B,))/2-40)+IF($F419="SR",INDEX(绊状态确认!$R:$R,MATCH($G419,绊状态确认!$B:$B,))/4-15))+IF($F419="R",INDEX(绊状态确认!$Q:$Q,MATCH($G419,绊状态确认!$B:$B,))/6-40/6)))*(INDEX(绊状态确认!$H:$H,MATCH($G419,绊状态确认!$B:$B,))+INDEX(绊状态确认!K:K,MATCH($G419,绊状态确认!$B:$B,)))</f>
        <v>7195.4120639999992</v>
      </c>
      <c r="AN419" s="1106">
        <f>IF($P419="","N/A",(IF($P419=-1,INDEX('卡片raw data'!U:U,MATCH($D419,'卡片raw data'!$F:$F,)),0)+IF($P419=0,INDEX('卡片raw data'!X:X,MATCH($D419,'卡片raw data'!$F:$F,)),0)+IF($P419=1,INDEX('卡片raw data'!AA:AA,MATCH($D419,'卡片raw data'!$F:$F,)),0)+IF($P419=2,INDEX('卡片raw data'!AD:AD,MATCH($D419,'卡片raw data'!$F:$F,)),0)+IF($P419=3,INDEX('卡片raw data'!AG:AG,MATCH($D419,'卡片raw data'!$F:$F,)),0)+IF($P419=4,INDEX('卡片raw data'!AJ:AJ,MATCH($D419,'卡片raw data'!$F:$F,)),0)+IF($P419=5,INDEX('卡片raw data'!AM:AM,MATCH($D419,'卡片raw data'!$F:$F,)),0)+INDEX('卡片raw data'!U:U,MATCH($D419,'卡片raw data'!$F:$F,))*(IF($F419="UR",0.04,0.033))*(IF($F419="UR",INDEX(绊状态确认!$S:$S,MATCH($G419,绊状态确认!$B:$B,))/2-40)+IF($F419="SR",INDEX(绊状态确认!$R:$R,MATCH($G419,绊状态确认!$B:$B,))/4-15))+IF($F419="R",INDEX(绊状态确认!$Q:$Q,MATCH($G419,绊状态确认!$B:$B,))/6-40/6)))*(INDEX(绊状态确认!$H:$H,MATCH($G419,绊状态确认!$B:$B,))+INDEX(绊状态确认!L:L,MATCH($G419,绊状态确认!$B:$B,)))</f>
        <v>12337.667519999997</v>
      </c>
      <c r="AO419" s="1107">
        <f t="shared" si="536"/>
        <v>1</v>
      </c>
      <c r="AP419" s="1131">
        <f>1+(INDEX(绊状态确认!$T:$T,MATCH($G419,绊状态确认!$B:$B,))+0.2)*$AO419</f>
        <v>1.3</v>
      </c>
      <c r="AQ419" s="1108">
        <f t="shared" si="537"/>
        <v>41932.283248000007</v>
      </c>
      <c r="AR419" s="1097">
        <f>(AM419*(1+$EX$9)+$EX$35)*(1+(INDEX(绊状态确认!$T:$T,MATCH($G419,绊状态确认!$B:$B,))+0.2)*AO419)*IF(J419=$FF$17,1+$FE$17,1)*IF(I419=$FF$14,1+$FE$14,1)</f>
        <v>12525.737467359999</v>
      </c>
      <c r="AS419" s="1097">
        <f>(AN419*(1+$EX$10)+$EX$36)*(1+(INDEX(绊状态确认!$T:$T,MATCH($G419,绊状态确认!$B:$B,))+0.2)*AO419)*IF(J419=$FF$17,1+$FE$17,1)*IF(I419=$FF$14,1+$FE$14,1)</f>
        <v>22500.812942399996</v>
      </c>
      <c r="AT419" s="1093">
        <f>IF(AND(INDEX('卡片raw data'!AK:AK,MATCH($D419,'卡片raw data'!$F:$F,))&lt;INDEX('卡片raw data'!AM:AM,MATCH($D419,'卡片raw data'!$F:$F,)),INDEX('卡片raw data'!AL:AL,MATCH($D419,'卡片raw data'!$F:$F,))&lt;INDEX('卡片raw data'!AM:AM,MATCH($D419,'卡片raw data'!$F:$F,))),1,0)</f>
        <v>0</v>
      </c>
      <c r="AU419" s="1098">
        <f>MIN(AT419*0.15+AS419*0.00003+INDEX(绊状态确认!M:M,MATCH($G419,绊状态确认!$B:$B,)),1)</f>
        <v>0.70502438827199998</v>
      </c>
      <c r="AV419" s="1109">
        <f>(INDEX(绊状态确认!$N:$N,MATCH($G419,绊状态确认!$B:$B,))+1.5)*$EW$21</f>
        <v>2.6599999999999997</v>
      </c>
      <c r="AW419" s="1101">
        <f t="shared" si="538"/>
        <v>47264.356154760506</v>
      </c>
      <c r="AX419" s="1097">
        <f t="shared" si="539"/>
        <v>1073.7472195057405</v>
      </c>
      <c r="AY419" s="1110">
        <f t="shared" si="540"/>
        <v>48338.103374266248</v>
      </c>
      <c r="AZ419" s="429">
        <f t="shared" si="541"/>
        <v>31335.410412799996</v>
      </c>
      <c r="BA419" s="431">
        <f t="shared" si="542"/>
        <v>37602.492495359991</v>
      </c>
      <c r="BB419" s="1097">
        <f>(AM419*(1+$FB$9)+$FB$35)*(1+(INDEX(绊状态确认!$T:$T,MATCH($G419,绊状态确认!$B:$B,))+0.2)*AO419)*IF(J419=$FF$17,1+$FE$17,1)*IF(I419=$FF$14,1+$FE$14,1)*(1+$FE$15)</f>
        <v>12525.737467359999</v>
      </c>
      <c r="BC419" s="1097">
        <f>(AN419*(1+$FB$10)+$FB$36)*(1+(INDEX(绊状态确认!$T:$T,MATCH($G419,绊状态确认!$B:$B,))+0.2)*AO419)*IF(J419=$FF$17,1+$FE$17,1)*IF(I419=$FF$14,1+$FE$14,1)*(1+$FE$15)</f>
        <v>22500.812942399996</v>
      </c>
      <c r="BD419" s="1104">
        <f>MIN(AT419*0.15+BC419*0.00003+INDEX(绊状态确认!M:M,MATCH($G419,绊状态确认!$B:$B,)),1)</f>
        <v>0.70502438827199998</v>
      </c>
      <c r="BE419" s="432">
        <f>(INDEX(绊状态确认!$N:$N,MATCH($G419,绊状态确认!$B:$B,))+1.5)</f>
        <v>1.9</v>
      </c>
      <c r="BF419" s="1139">
        <f t="array" ref="BF419">SUMPRODUCT(IF(AZ419*AP419*$FI$16:$FI$23*$FA$22&gt;=$FI$24,$FI$24,AZ419*AP419*$FI$16:$FI$23*$FA$22),$FJ$16:$FJ$23)</f>
        <v>57590.097774419199</v>
      </c>
      <c r="BG419" s="1125">
        <f t="array" ref="BG419">SUMPRODUCT(IF(BE419*AZ419*AP419*$FI$16:$FI$23*$FA$22&gt;=$FI$24,$FI$24,BE419*AZ419*AP419*$FI$16:$FI$23*$FA$22),$FJ$16:$FJ$23)</f>
        <v>60000</v>
      </c>
      <c r="BH419" s="1110">
        <f t="shared" si="543"/>
        <v>19763.045872268212</v>
      </c>
      <c r="BI419" s="1111">
        <f>IF(O419="vo",$EW$26/$EW$24*0.05,0)+IF(O419="sk",-$EW$26/$EW$24*(0.05-INDEX(绊状态确认!W:W,MATCH($G419,绊状态确认!$B:$B,)))+0.05*$EW$28,0)+IF(O419="sp",0.05*$EW$32*$EW$30*(1-$EW$33)-(0.05-INDEX(绊状态确认!V:V,MATCH($G419,绊状态确认!$B:$B,)))*$EW$28,0)+IF(O419="gd",-(0.05-INDEX(绊状态确认!X:X,MATCH($G419,绊状态确认!$B:$B,)))*$EW$32*$EW$30*(1-$EW$33),0)</f>
        <v>7726.3029277443748</v>
      </c>
      <c r="BJ419" s="420">
        <f>IF(O419="vo",0.05*(1-$FI$26)*$FA$24,0)+IF(O419="sk",-(0.05-INDEX(绊状态确认!W:W,MATCH($G419,绊状态确认!$B:$B,)))*(1-$FI$26)*$FA$24+0.05*$FA$26,0)+IF(O419="sp",0.05*$FA$32*$FA$27*(1-$FA$33)/$FA$30+0.05*$FA$29/$FA$69*$FA$27*(1-$FA$33)-(0.05-INDEX(绊状态确认!V:V,MATCH($G419,绊状态确认!$B:$B,)))*$FA$26,0)+IF(O419="gd",-(0.05-INDEX(绊状态确认!X:X,MATCH($G419,绊状态确认!$B:$B,)))*$FA$32*$FA$27*(1-$FA$33)/$FA$30-(0.05-INDEX(绊状态确认!X:X,MATCH($G419,绊状态确认!$B:$B,)))*$FA$29/$FA$69*$FA$27*(1-$FA$33),0)</f>
        <v>393.93433687500004</v>
      </c>
      <c r="BK419" s="1110">
        <f>IF(O419="vo",$EW$26/$EW$24*0.05+$EW$26*(-HP($EW$62,$EW$65,$EW$64)+HP($EW$62,$EW$65,(1.05-INDEX(绊状态确认!U:U,MATCH($G419,绊状态确认!$B:$B,)))*$EW$64)),0)+IF(O419="sk",-$EW$26/$EW$24*(0.05-INDEX(绊状态确认!W:W,MATCH($G419,绊状态确认!$B:$B,)))+0.05*$EW$29,0)+IF(O419="sp",0.05*$EW$32*$EW$30*(1-$EW$33)-(0.05-INDEX(绊状态确认!V:V,MATCH($G419,绊状态确认!$B:$B,)))*$EW$29,0)+IF(O419="gd",-(0.05-INDEX(绊状态确认!X:X,MATCH($G419,绊状态确认!$B:$B,)))*$EW$32*$EW$30*(1-$EW$33)+$EW$26*(-HP($EW$62,$EW$65,$EW$64)+HP($EW$62,$EW$65,0.95*$EW$64)),0)</f>
        <v>6421.6344775026746</v>
      </c>
      <c r="BL419" s="1111">
        <f t="shared" si="544"/>
        <v>0</v>
      </c>
      <c r="BM419" s="1110">
        <f t="shared" si="545"/>
        <v>0</v>
      </c>
      <c r="BN419" s="1113">
        <f t="shared" si="546"/>
        <v>3</v>
      </c>
      <c r="BO419" s="1108">
        <f t="shared" si="547"/>
        <v>4507.7214871259994</v>
      </c>
      <c r="BP419" s="1100">
        <f t="shared" si="548"/>
        <v>221.34103209030098</v>
      </c>
      <c r="BQ419" s="1113" t="s">
        <v>132</v>
      </c>
      <c r="BR419" s="1124" t="s">
        <v>168</v>
      </c>
      <c r="BS419" s="421">
        <f>IF($P419="","N/A",IF($P419=-1,INDEX('卡片raw data'!AX:AX,MATCH($D419,'卡片raw data'!$F:$F,)),0)+IF($L419="party卡",IF($P419=5,INDEX('卡片raw data'!BD:BD,MATCH($D419,'卡片raw data'!$F:$F,)),IF($P419&gt;=3,INDEX('卡片raw data'!BC:BC,MATCH($D419,'卡片raw data'!$F:$F,)),INDEX('卡片raw data'!BB:BB,MATCH($D419,'卡片raw data'!$F:$F,)))),IF(OR(AND($F419="UR",$P419=0),AND($F419="SR",$P419&gt;=0,$P419&lt;=2),AND($F419="R",$P419&gt;=0,$P419&lt;4)),INDEX('卡片raw data'!AZ:AZ,MATCH($D419,'卡片raw data'!$F:$F,)),0)+IF(OR(AND($F419="UR",$P419&gt;=1,$P419&lt;=4),AND($F419="SR",$P419&lt;=4,$P419&gt;=3),AND($F419="R",$P419=4)),INDEX('卡片raw data'!BA:BA,MATCH($D419,'卡片raw data'!$F:$F,)),0)+IF($P419=5,INDEX('卡片raw data'!BB:BB,MATCH($D419,'卡片raw data'!$F:$F,)),0)))</f>
        <v>7.0000000000000007E-2</v>
      </c>
      <c r="BT419" s="424">
        <f t="shared" si="549"/>
        <v>5259.008401647</v>
      </c>
      <c r="BU419" s="420">
        <f t="shared" si="550"/>
        <v>258.2312041053512</v>
      </c>
      <c r="BV419" s="420">
        <f t="shared" si="551"/>
        <v>0</v>
      </c>
      <c r="BW419" s="436">
        <f t="shared" si="552"/>
        <v>0</v>
      </c>
      <c r="BX419" s="423">
        <f t="shared" si="553"/>
        <v>5259.008401647</v>
      </c>
      <c r="BY419" s="433">
        <f t="shared" si="554"/>
        <v>0</v>
      </c>
      <c r="BZ419" s="1113" t="s">
        <v>569</v>
      </c>
      <c r="CA419" s="450"/>
      <c r="CB419" s="421">
        <f>IF($P419="","N/A",IF($P419=-1,INDEX('卡片raw data'!BE:BE,MATCH($D419,'卡片raw data'!$F:$F,)),0)+IF($L419="party卡",IF($P419=5,INDEX('卡片raw data'!BK:BK,MATCH($D419,'卡片raw data'!$F:$F,)),IF($P419&gt;=3,INDEX('卡片raw data'!BJ:BJ,MATCH($D419,'卡片raw data'!$F:$F,)),INDEX('卡片raw data'!BI:BI,MATCH($D419,'卡片raw data'!$F:$F,)))),IF(OR(AND($F419="UR",$P419=0),AND($F419="SR",$P419&gt;=0,$P419&lt;=2),AND($F419="R",$P419&gt;=0,$P419&lt;4)),INDEX('卡片raw data'!BG:BG,MATCH($D419,'卡片raw data'!$F:$F,)),0)+IF(OR(AND($F419="UR",$P419&gt;=1,$P419&lt;=4),AND($F419="SR",$P419&lt;=4,$P419&gt;=3),AND($F419="R",$P419=4)),INDEX('卡片raw data'!BH:BH,MATCH($D419,'卡片raw data'!$F:$F,)),0)+IF($P419=5,INDEX('卡片raw data'!BI:BI,MATCH($D419,'卡片raw data'!$F:$F,)),0)))</f>
        <v>0</v>
      </c>
      <c r="CC419" s="424">
        <f t="shared" si="555"/>
        <v>0</v>
      </c>
      <c r="CD419" s="420">
        <f>IF(BZ419="ap",CB419*(1-$FI$26)*$FB$5/$FB$11*(+IF(CA419="全员",$FA$24,0)+IF(CA419="同作战",$FA$24,0)+IF(CA419="仲间",$FA$24*2/3,0)+IF(CA419="同属性",$FA$24*$FA$37/3,0)+IF(CA419="同年级",$FA$24*$FA$40/3,0)+IF(CA419="同学校",$FA$24*$FA$43/3,0)+IF(CA419="同小队",$FA$24*$FA$46/3,0)+IF(CA419="同type",$FA$24*INDEX($FB$49:$FB$52,MATCH(X419,$FA$49:$FA$52,))/3,0)+IF(CA419="自身",#REF!/3,0)),0)+IF(BZ419="te",CB419*(1-$FI$27)*($FA$20-1)*$FB$7/$FB$13*(+IF(CA419="全员",$FA$19*$FA$24/(1+($FA$20-1)*$FA$19),0)+IF(CA419="同作战",$FA$19*$FA$24/(1+($FA$20-1)*$FA$19),0)+IF(CA419="仲间",$FA$19*$FA$24*2/3/(1+($FA$20-1)*$FA$19),0)+IF(CA419="同属性",$FA$19*$FA$24*$FA$37/3/(1+($FA$20-1)*$FA$19),0)+IF(CA419="同年级",$FA$19*$FA$24*$FA$40/3/(1+($FA$20-1)*$FA$19),0)+IF(CA419="同学校",$FA$19*$FA$24*$FA$43/3/(1+($FA$20-1)*$FA$19),0)+IF(CA419="同小队",$FA$19*$FA$24*$FA$46/3/(1+($FA$20-1)*$FA$19),0)+IF(CA419="同type",$FA$19*$FA$24*INDEX($FB$49:$FB$52,MATCH(X419,$FA$49:$FA$52,))/3/(1+($FA$20-1)*$FA$19),0)+IF(CA419="自身",$FA$19*#REF!/3/(1+(BH419-1)*$BD419),0)),0)</f>
        <v>0</v>
      </c>
      <c r="CE419" s="420">
        <f t="shared" si="556"/>
        <v>0</v>
      </c>
      <c r="CF419" s="436">
        <f t="shared" si="557"/>
        <v>0</v>
      </c>
      <c r="CG419" s="423">
        <f t="shared" si="558"/>
        <v>0</v>
      </c>
      <c r="CH419" s="433">
        <f t="shared" si="559"/>
        <v>0</v>
      </c>
      <c r="CI419" s="1113" t="s">
        <v>2045</v>
      </c>
      <c r="CJ419" s="1114">
        <v>1</v>
      </c>
      <c r="CK419" s="1115" t="s">
        <v>2286</v>
      </c>
      <c r="CL419" s="1115" t="s">
        <v>2287</v>
      </c>
      <c r="CM419" s="1119">
        <v>0.02</v>
      </c>
      <c r="CN419" s="1115">
        <v>3</v>
      </c>
      <c r="CO419" s="1115"/>
      <c r="CP419" s="1118">
        <f t="shared" si="560"/>
        <v>1.4285714285714284E-4</v>
      </c>
      <c r="CQ419" s="1118">
        <f t="shared" si="561"/>
        <v>1.9444444444444446E-4</v>
      </c>
      <c r="CR419" s="1118">
        <f t="shared" si="562"/>
        <v>7.142857142857142E-5</v>
      </c>
      <c r="CS419" s="442">
        <f t="shared" si="563"/>
        <v>0</v>
      </c>
      <c r="CT419" s="432">
        <f t="shared" si="564"/>
        <v>0</v>
      </c>
      <c r="CU419" s="1101">
        <f t="shared" si="565"/>
        <v>19.426133075471569</v>
      </c>
      <c r="CV419" s="1108">
        <f t="shared" si="566"/>
        <v>1.2766390546875002</v>
      </c>
      <c r="CW419" s="420">
        <f t="shared" si="567"/>
        <v>9.7130665377357843</v>
      </c>
      <c r="CX419" s="420">
        <f t="shared" si="568"/>
        <v>19.426133075471569</v>
      </c>
      <c r="CY419" s="433">
        <f t="shared" si="569"/>
        <v>9.7130665377357843</v>
      </c>
      <c r="CZ419" s="437"/>
      <c r="DA419" s="438"/>
      <c r="DB419" s="439" t="s">
        <v>569</v>
      </c>
      <c r="DC419" s="439"/>
      <c r="DD419" s="443"/>
      <c r="DE419" s="411"/>
      <c r="DF419" s="411"/>
      <c r="DG419" s="1116">
        <f t="shared" si="570"/>
        <v>0</v>
      </c>
      <c r="DH419" s="1116">
        <f t="shared" si="571"/>
        <v>0</v>
      </c>
      <c r="DI419" s="1116">
        <f t="shared" si="572"/>
        <v>0</v>
      </c>
      <c r="DJ419" s="442">
        <f t="shared" si="573"/>
        <v>0</v>
      </c>
      <c r="DK419" s="432">
        <f t="shared" si="574"/>
        <v>0</v>
      </c>
      <c r="DL419" s="424">
        <f t="shared" si="575"/>
        <v>0</v>
      </c>
      <c r="DM419" s="420">
        <f t="shared" si="576"/>
        <v>0</v>
      </c>
      <c r="DN419" s="420">
        <f t="shared" si="577"/>
        <v>0</v>
      </c>
      <c r="DO419" s="420">
        <f t="shared" si="578"/>
        <v>0</v>
      </c>
      <c r="DP419" s="433">
        <f t="shared" si="579"/>
        <v>0</v>
      </c>
      <c r="DQ419" s="1113" t="s">
        <v>167</v>
      </c>
      <c r="DR419" s="444">
        <f t="shared" si="580"/>
        <v>0.33</v>
      </c>
      <c r="DS419" s="1124">
        <v>5</v>
      </c>
      <c r="DT419" s="1124" t="s">
        <v>2127</v>
      </c>
      <c r="DU419" s="1124" t="s">
        <v>2145</v>
      </c>
      <c r="DV419" s="1098">
        <f>IF($P419="","N/A",IF(P419=-1,INDEX('卡片raw data'!AN:AN,MATCH(D419,'卡片raw data'!$F:$F,)),0)+IF(AND(L419&lt;&gt;"party卡",P419&lt;=2,P419&gt;=0),INDEX('卡片raw data'!AP:AP,MATCH(D419,'卡片raw data'!$F:$F,)),0)+IF(OR(AND(L419="party卡",P419&lt;=1),AND(P419&lt;=4,L419&lt;&gt;"party卡",P419&gt;=3)),INDEX('卡片raw data'!AQ:AQ,MATCH(D419,'卡片raw data'!$F:$F,)),0)+IF(OR(P419=5,AND(L419="party卡",P419&gt;=2)),INDEX('卡片raw data'!AR:AR,MATCH(D419,'卡片raw data'!$F:$F,)),0))</f>
        <v>0.09</v>
      </c>
      <c r="DW419" s="1098">
        <f t="shared" si="581"/>
        <v>0.33</v>
      </c>
      <c r="DX419" s="1098">
        <f t="shared" si="582"/>
        <v>0.33</v>
      </c>
      <c r="DY419" s="1098">
        <f t="shared" si="583"/>
        <v>4.9500000000000002E-2</v>
      </c>
      <c r="DZ419" s="1098">
        <f t="shared" si="584"/>
        <v>4.2817500000000001E-2</v>
      </c>
      <c r="EA419" s="421">
        <f t="shared" si="585"/>
        <v>0</v>
      </c>
      <c r="EB419" s="445">
        <f t="shared" si="586"/>
        <v>0</v>
      </c>
      <c r="EC419" s="424">
        <f t="shared" si="587"/>
        <v>6731.1551106509005</v>
      </c>
      <c r="ED419" s="420">
        <f t="shared" si="588"/>
        <v>281.12139115242189</v>
      </c>
      <c r="EE419" s="433">
        <f t="shared" si="598"/>
        <v>6731.1551106509005</v>
      </c>
      <c r="EF419" s="1115" t="s">
        <v>569</v>
      </c>
      <c r="EG419" s="444">
        <f t="shared" si="589"/>
        <v>0.33</v>
      </c>
      <c r="EH419" s="450"/>
      <c r="EI419" s="1093"/>
      <c r="EJ419" s="1093"/>
      <c r="EK419" s="1097">
        <f>IF($P419="","N/A",IF(P419=-1,INDEX('卡片raw data'!AS:AS,MATCH(D419,'卡片raw data'!$F:$F,)),0)+IF(AND(L419&lt;&gt;"party卡",P419&lt;=2,P419&gt;=0),INDEX('卡片raw data'!AU:AU,MATCH(D419,'卡片raw data'!$F:$F,)),0)+IF(OR(AND(L419="party卡",P419&lt;=1),AND(P419&lt;=4,L419&lt;&gt;"party卡",P419&gt;=3)),INDEX('卡片raw data'!AV:AV,MATCH(D419,'卡片raw data'!$F:$F,)),0)+IF(OR(P419=5,AND(L419="party卡",P419&gt;=2)),INDEX('卡片raw data'!AW:AW,MATCH(D419,'卡片raw data'!$F:$F,)),0))</f>
        <v>0</v>
      </c>
      <c r="EL419" s="1098">
        <f t="shared" si="590"/>
        <v>0.33</v>
      </c>
      <c r="EM419" s="1098">
        <f t="shared" si="591"/>
        <v>0.33</v>
      </c>
      <c r="EN419" s="1097">
        <f t="shared" si="592"/>
        <v>0</v>
      </c>
      <c r="EO419" s="1097">
        <f t="shared" si="593"/>
        <v>0</v>
      </c>
      <c r="EP419" s="421">
        <f t="shared" si="594"/>
        <v>0</v>
      </c>
      <c r="EQ419" s="445">
        <f t="shared" si="595"/>
        <v>0</v>
      </c>
      <c r="ER419" s="424">
        <f t="shared" si="596"/>
        <v>0</v>
      </c>
      <c r="ES419" s="420">
        <f t="shared" si="597"/>
        <v>0</v>
      </c>
      <c r="ET419" s="446">
        <f t="shared" si="599"/>
        <v>0</v>
      </c>
    </row>
    <row r="420" spans="2:150" ht="16.5" customHeight="1">
      <c r="B420" s="448" t="str">
        <f>INDEX('卡片raw data'!B:B,MATCH($D420,'卡片raw data'!$F:$F,))</f>
        <v>kks希</v>
      </c>
      <c r="C420" s="449" t="s">
        <v>2290</v>
      </c>
      <c r="D420" s="408">
        <v>417</v>
      </c>
      <c r="E420" s="477">
        <v>400072003</v>
      </c>
      <c r="F420" s="409" t="str">
        <f>INDEX('卡片raw data'!C:C,MATCH($D420,'卡片raw data'!$F:$F,))</f>
        <v>SR</v>
      </c>
      <c r="G420" s="1094" t="s">
        <v>2291</v>
      </c>
      <c r="H420" s="411">
        <f>IFERROR(INDEX(绊状态确认!C:C,MATCH($G420,绊状态确认!$B:$B,)),"")</f>
        <v>7</v>
      </c>
      <c r="I420" s="450" t="str">
        <f>IFERROR(INDEX(绊状态确认!D:D,MATCH($G420,绊状态确认!$B:$B,)),"")</f>
        <v>缪</v>
      </c>
      <c r="J420" s="450" t="str">
        <f>IFERROR(INDEX(绊状态确认!E:E,MATCH($G420,绊状态确认!$B:$B,)),"")</f>
        <v>3年级</v>
      </c>
      <c r="K420" s="451" t="str">
        <f>IFERROR(INDEX(绊状态确认!F:F,MATCH($G420,绊状态确认!$B:$B,)),"")</f>
        <v>lilywhite</v>
      </c>
      <c r="L420" s="414" t="str">
        <f>INDEX('卡片raw data'!E:E,MATCH($D420,'卡片raw data'!$F:$F,))</f>
        <v>卡池卡</v>
      </c>
      <c r="M420" s="478">
        <v>44259</v>
      </c>
      <c r="N420" s="479">
        <v>35</v>
      </c>
      <c r="O420" s="410" t="str">
        <f>INDEX('卡片raw data'!D:D,MATCH($D420,'卡片raw data'!$F:$F,))</f>
        <v>sk</v>
      </c>
      <c r="P420" s="1126">
        <v>5</v>
      </c>
      <c r="Q420" s="418">
        <f t="shared" si="515"/>
        <v>32379.071601916188</v>
      </c>
      <c r="R420" s="419">
        <f t="shared" si="516"/>
        <v>0.376</v>
      </c>
      <c r="S420" s="420">
        <f t="shared" si="517"/>
        <v>17391.085367499501</v>
      </c>
      <c r="T420" s="421">
        <f t="shared" si="518"/>
        <v>0.86899999999999999</v>
      </c>
      <c r="U420" s="422">
        <f t="shared" si="519"/>
        <v>9.6605642228828561</v>
      </c>
      <c r="V420" s="423">
        <f t="shared" si="520"/>
        <v>35146.071066153228</v>
      </c>
      <c r="W420" s="424">
        <f t="shared" si="521"/>
        <v>4507.7214871259994</v>
      </c>
      <c r="X420" s="419">
        <f t="shared" si="522"/>
        <v>5.1999999999999998E-2</v>
      </c>
      <c r="Y420" s="420">
        <f t="shared" si="523"/>
        <v>766.99946423703841</v>
      </c>
      <c r="Z420" s="425">
        <f t="shared" si="524"/>
        <v>9.6605642228828561</v>
      </c>
      <c r="AA420" s="426">
        <f t="shared" si="525"/>
        <v>5274.7209513630378</v>
      </c>
      <c r="AB420" s="424">
        <f t="shared" si="526"/>
        <v>8363.2009074621164</v>
      </c>
      <c r="AC420" s="427">
        <f t="shared" si="527"/>
        <v>9.7000000000000003E-2</v>
      </c>
      <c r="AD420" s="428">
        <f t="shared" si="528"/>
        <v>2.2731203598484847E-2</v>
      </c>
      <c r="AE420" s="516">
        <f t="shared" si="529"/>
        <v>6.1716861531090785</v>
      </c>
      <c r="AF420" s="1130">
        <f t="shared" si="530"/>
        <v>0</v>
      </c>
      <c r="AG420" s="420">
        <f t="shared" si="531"/>
        <v>0</v>
      </c>
      <c r="AH420" s="420">
        <f t="shared" si="532"/>
        <v>0</v>
      </c>
      <c r="AI420" s="1097">
        <f t="shared" si="533"/>
        <v>0</v>
      </c>
      <c r="AJ420" s="420">
        <f t="shared" si="534"/>
        <v>0</v>
      </c>
      <c r="AK420" s="518">
        <f t="shared" si="535"/>
        <v>0</v>
      </c>
      <c r="AL420" s="1106">
        <f>IF($P420="","N/A",(IF($P420=-1,INDEX('卡片raw data'!S:S,MATCH($D420,'卡片raw data'!$F:$F,)),0)+IF($P420=0,INDEX('卡片raw data'!V:V,MATCH($D420,'卡片raw data'!$F:$F,)),0)+IF($P420=1,INDEX('卡片raw data'!Y:Y,MATCH($D420,'卡片raw data'!$F:$F,)),0)+IF($P420=2,INDEX('卡片raw data'!AB:AB,MATCH($D420,'卡片raw data'!$F:$F,)),0)+IF($P420=3,INDEX('卡片raw data'!AE:AE,MATCH($D420,'卡片raw data'!$F:$F,)),0)+IF($P420=4,INDEX('卡片raw data'!AH:AH,MATCH($D420,'卡片raw data'!$F:$F,)),0)+IF($P420=5,INDEX('卡片raw data'!AK:AK,MATCH($D420,'卡片raw data'!$F:$F,)),0)+INDEX('卡片raw data'!S:S,MATCH($D420,'卡片raw data'!$F:$F,))*(IF($F420="UR",0.04,0.033))*(IF($F420="UR",INDEX(绊状态确认!$S:$S,MATCH($G420,绊状态确认!$B:$B,))/2-40)+IF($F420="SR",INDEX(绊状态确认!$R:$R,MATCH($G420,绊状态确认!$B:$B,))/4-15))+IF($F420="R",INDEX(绊状态确认!$Q:$Q,MATCH($G420,绊状态确认!$B:$B,))/6-40/6)))*(INDEX(绊状态确认!$H:$H,MATCH($G420,绊状态确认!$B:$B,))+INDEX(绊状态确认!J:J,MATCH($G420,绊状态确认!$B:$B,)))</f>
        <v>7991.0670695999988</v>
      </c>
      <c r="AM420" s="1106">
        <f>IF($P420="","N/A",(IF($P420=-1,INDEX('卡片raw data'!T:T,MATCH($D420,'卡片raw data'!$F:$F,)),0)+IF($P420=0,INDEX('卡片raw data'!W:W,MATCH($D420,'卡片raw data'!$F:$F,)),0)+IF($P420=1,INDEX('卡片raw data'!Z:Z,MATCH($D420,'卡片raw data'!$F:$F,)),0)+IF($P420=2,INDEX('卡片raw data'!AC:AC,MATCH($D420,'卡片raw data'!$F:$F,)),0)+IF($P420=3,INDEX('卡片raw data'!AF:AF,MATCH($D420,'卡片raw data'!$F:$F,)),0)+IF($P420=4,INDEX('卡片raw data'!AI:AI,MATCH($D420,'卡片raw data'!$F:$F,)),0)+IF($P420=5,INDEX('卡片raw data'!AL:AL,MATCH($D420,'卡片raw data'!$F:$F,)),0)+INDEX('卡片raw data'!T:T,MATCH($D420,'卡片raw data'!$F:$F,))*(IF($F420="UR",0.04,0.033))*(IF($F420="UR",INDEX(绊状态确认!$S:$S,MATCH($G420,绊状态确认!$B:$B,))/2-40)+IF($F420="SR",INDEX(绊状态确认!$R:$R,MATCH($G420,绊状态确认!$B:$B,))/4-15))+IF($F420="R",INDEX(绊状态确认!$Q:$Q,MATCH($G420,绊状态确认!$B:$B,))/6-40/6)))*(INDEX(绊状态确认!$H:$H,MATCH($G420,绊状态确认!$B:$B,))+INDEX(绊状态确认!K:K,MATCH($G420,绊状态确认!$B:$B,)))</f>
        <v>4624.5616175999994</v>
      </c>
      <c r="AN420" s="1106">
        <f>IF($P420="","N/A",(IF($P420=-1,INDEX('卡片raw data'!U:U,MATCH($D420,'卡片raw data'!$F:$F,)),0)+IF($P420=0,INDEX('卡片raw data'!X:X,MATCH($D420,'卡片raw data'!$F:$F,)),0)+IF($P420=1,INDEX('卡片raw data'!AA:AA,MATCH($D420,'卡片raw data'!$F:$F,)),0)+IF($P420=2,INDEX('卡片raw data'!AD:AD,MATCH($D420,'卡片raw data'!$F:$F,)),0)+IF($P420=3,INDEX('卡片raw data'!AG:AG,MATCH($D420,'卡片raw data'!$F:$F,)),0)+IF($P420=4,INDEX('卡片raw data'!AJ:AJ,MATCH($D420,'卡片raw data'!$F:$F,)),0)+IF($P420=5,INDEX('卡片raw data'!AM:AM,MATCH($D420,'卡片raw data'!$F:$F,)),0)+INDEX('卡片raw data'!U:U,MATCH($D420,'卡片raw data'!$F:$F,))*(IF($F420="UR",0.04,0.033))*(IF($F420="UR",INDEX(绊状态确认!$S:$S,MATCH($G420,绊状态确认!$B:$B,))/2-40)+IF($F420="SR",INDEX(绊状态确认!$R:$R,MATCH($G420,绊状态确认!$B:$B,))/4-15))+IF($F420="R",INDEX(绊状态确认!$Q:$Q,MATCH($G420,绊状态确认!$B:$B,))/6-40/6)))*(INDEX(绊状态确认!$H:$H,MATCH($G420,绊状态确认!$B:$B,))+INDEX(绊状态确认!L:L,MATCH($G420,绊状态确认!$B:$B,)))</f>
        <v>8412.7419263999982</v>
      </c>
      <c r="AO420" s="1107">
        <f t="shared" si="536"/>
        <v>1</v>
      </c>
      <c r="AP420" s="1131">
        <f>1+(INDEX(绊状态确认!$T:$T,MATCH($G420,绊状态确认!$B:$B,))+0.2)*$AO420</f>
        <v>1.3</v>
      </c>
      <c r="AQ420" s="1108">
        <f t="shared" si="537"/>
        <v>24226.551057699999</v>
      </c>
      <c r="AR420" s="1097">
        <f>(AM420*(1+$EX$9)+$EX$35)*(1+(INDEX(绊状态确认!$T:$T,MATCH($G420,绊状态确认!$B:$B,))+0.2)*AO420)*IF(J420=$FF$17,1+$FE$17,1)*IF(I420=$FF$14,1+$FE$14,1)</f>
        <v>9016.5266080239999</v>
      </c>
      <c r="AS420" s="1097">
        <f>(AN420*(1+$EX$10)+$EX$36)*(1+(INDEX(绊状态确认!$T:$T,MATCH($G420,绊状态确认!$B:$B,))+0.2)*AO420)*IF(J420=$FF$17,1+$FE$17,1)*IF(I420=$FF$14,1+$FE$14,1)</f>
        <v>16633.049179967995</v>
      </c>
      <c r="AT420" s="1093">
        <f>IF(AND(INDEX('卡片raw data'!AK:AK,MATCH($D420,'卡片raw data'!$F:$F,))&lt;INDEX('卡片raw data'!AM:AM,MATCH($D420,'卡片raw data'!$F:$F,)),INDEX('卡片raw data'!AL:AL,MATCH($D420,'卡片raw data'!$F:$F,))&lt;INDEX('卡片raw data'!AM:AM,MATCH($D420,'卡片raw data'!$F:$F,))),1,0)</f>
        <v>1</v>
      </c>
      <c r="AU420" s="1098">
        <f>MIN(AT420*0.15+AS420*0.00003+INDEX(绊状态确认!M:M,MATCH($G420,绊状态确认!$B:$B,)),1)</f>
        <v>0.67899147539903992</v>
      </c>
      <c r="AV420" s="1109">
        <f>(INDEX(绊状态确认!$N:$N,MATCH($G420,绊状态确认!$B:$B,))+1.5)*$EW$21</f>
        <v>2.6599999999999997</v>
      </c>
      <c r="AW420" s="1101">
        <f t="shared" si="538"/>
        <v>26763.452723677183</v>
      </c>
      <c r="AX420" s="1097">
        <f t="shared" si="539"/>
        <v>766.99946423703875</v>
      </c>
      <c r="AY420" s="1110">
        <f t="shared" si="540"/>
        <v>27530.452187914223</v>
      </c>
      <c r="AZ420" s="429">
        <f t="shared" si="541"/>
        <v>18182.580785719998</v>
      </c>
      <c r="BA420" s="431">
        <f t="shared" si="542"/>
        <v>21819.096942863998</v>
      </c>
      <c r="BB420" s="1097">
        <f>(AM420*(1+$FB$9)+$FB$35)*(1+(INDEX(绊状态确认!$T:$T,MATCH($G420,绊状态确认!$B:$B,))+0.2)*AO420)*IF(J420=$FF$17,1+$FE$17,1)*IF(I420=$FF$14,1+$FE$14,1)*(1+$FE$15)</f>
        <v>9016.5266080239999</v>
      </c>
      <c r="BC420" s="1097">
        <f>(AN420*(1+$FB$10)+$FB$36)*(1+(INDEX(绊状态确认!$T:$T,MATCH($G420,绊状态确认!$B:$B,))+0.2)*AO420)*IF(J420=$FF$17,1+$FE$17,1)*IF(I420=$FF$14,1+$FE$14,1)*(1+$FE$15)</f>
        <v>16633.049179967995</v>
      </c>
      <c r="BD420" s="1104">
        <f>MIN(AT420*0.15+BC420*0.00003+INDEX(绊状态确认!M:M,MATCH($G420,绊状态确认!$B:$B,)),1)</f>
        <v>0.67899147539903992</v>
      </c>
      <c r="BE420" s="432">
        <f>(INDEX(绊状态确认!$N:$N,MATCH($G420,绊状态确认!$B:$B,))+1.5)</f>
        <v>1.9</v>
      </c>
      <c r="BF420" s="1139">
        <f t="array" ref="BF420">SUMPRODUCT(IF(AZ420*AP420*$FI$16:$FI$23*$FA$22&gt;=$FI$24,$FI$24,AZ420*AP420*$FI$16:$FI$23*$FA$22),$FJ$16:$FJ$23)</f>
        <v>36165.153182797083</v>
      </c>
      <c r="BG420" s="1125">
        <f t="array" ref="BG420">SUMPRODUCT(IF(BE420*AZ420*AP420*$FI$16:$FI$23*$FA$22&gt;=$FI$24,$FI$24,BE420*AZ420*AP420*$FI$16:$FI$23*$FA$22),$FJ$16:$FJ$23)</f>
        <v>59227.743635182102</v>
      </c>
      <c r="BH420" s="1110">
        <f t="shared" si="543"/>
        <v>17274.818500195266</v>
      </c>
      <c r="BI420" s="1111">
        <f>IF(O420="vo",$EW$26/$EW$24*0.05,0)+IF(O420="sk",-$EW$26/$EW$24*(0.05-INDEX(绊状态确认!W:W,MATCH($G420,绊状态确认!$B:$B,)))+0.05*$EW$28,0)+IF(O420="sp",0.05*$EW$32*$EW$30*(1-$EW$33)-(0.05-INDEX(绊状态确认!V:V,MATCH($G420,绊状态确认!$B:$B,)))*$EW$28,0)+IF(O420="gd",-(0.05-INDEX(绊状态确认!X:X,MATCH($G420,绊状态确认!$B:$B,)))*$EW$32*$EW$30*(1-$EW$33),0)</f>
        <v>-6253.6726349699375</v>
      </c>
      <c r="BJ420" s="420">
        <f>IF(O420="vo",0.05*(1-$FI$26)*$FA$24,0)+IF(O420="sk",-(0.05-INDEX(绊状态确认!W:W,MATCH($G420,绊状态确认!$B:$B,)))*(1-$FI$26)*$FA$24+0.05*$FA$26,0)+IF(O420="sp",0.05*$FA$32*$FA$27*(1-$FA$33)/$FA$30+0.05*$FA$29/$FA$69*$FA$27*(1-$FA$33)-(0.05-INDEX(绊状态确认!V:V,MATCH($G420,绊状态确认!$B:$B,)))*$FA$26,0)+IF(O420="gd",-(0.05-INDEX(绊状态确认!X:X,MATCH($G420,绊状态确认!$B:$B,)))*$FA$32*$FA$27*(1-$FA$33)/$FA$30-(0.05-INDEX(绊状态确认!X:X,MATCH($G420,绊状态确认!$B:$B,)))*$FA$29/$FA$69*$FA$27*(1-$FA$33),0)</f>
        <v>20.459096812499922</v>
      </c>
      <c r="BK420" s="1110">
        <f>IF(O420="vo",$EW$26/$EW$24*0.05+$EW$26*(-HP($EW$62,$EW$65,$EW$64)+HP($EW$62,$EW$65,(1.05-INDEX(绊状态确认!U:U,MATCH($G420,绊状态确认!$B:$B,)))*$EW$64)),0)+IF(O420="sk",-$EW$26/$EW$24*(0.05-INDEX(绊状态确认!W:W,MATCH($G420,绊状态确认!$B:$B,)))+0.05*$EW$29,0)+IF(O420="sp",0.05*$EW$32*$EW$30*(1-$EW$33)-(0.05-INDEX(绊状态确认!V:V,MATCH($G420,绊状态确认!$B:$B,)))*$EW$29,0)+IF(O420="gd",-(0.05-INDEX(绊状态确认!X:X,MATCH($G420,绊状态确认!$B:$B,)))*$EW$32*$EW$30*(1-$EW$33)+$EW$26*(-HP($EW$62,$EW$65,$EW$64)+HP($EW$62,$EW$65,0.95*$EW$64)),0)</f>
        <v>-4253.6726349699375</v>
      </c>
      <c r="BL420" s="1111">
        <f t="shared" si="544"/>
        <v>-1083.3333333333333</v>
      </c>
      <c r="BM420" s="1110">
        <f t="shared" si="545"/>
        <v>-830.55555555555543</v>
      </c>
      <c r="BN420" s="1113">
        <f t="shared" si="546"/>
        <v>3</v>
      </c>
      <c r="BO420" s="1108">
        <f t="shared" si="547"/>
        <v>4507.7214871259994</v>
      </c>
      <c r="BP420" s="1100">
        <f t="shared" si="548"/>
        <v>221.34103209030098</v>
      </c>
      <c r="BQ420" s="1113" t="s">
        <v>134</v>
      </c>
      <c r="BR420" s="1124" t="s">
        <v>168</v>
      </c>
      <c r="BS420" s="421">
        <f>IF($P420="","N/A",IF($P420=-1,INDEX('卡片raw data'!AX:AX,MATCH($D420,'卡片raw data'!$F:$F,)),0)+IF($L420="party卡",IF($P420=5,INDEX('卡片raw data'!BD:BD,MATCH($D420,'卡片raw data'!$F:$F,)),IF($P420&gt;=3,INDEX('卡片raw data'!BC:BC,MATCH($D420,'卡片raw data'!$F:$F,)),INDEX('卡片raw data'!BB:BB,MATCH($D420,'卡片raw data'!$F:$F,)))),IF(OR(AND($F420="UR",$P420=0),AND($F420="SR",$P420&gt;=0,$P420&lt;=2),AND($F420="R",$P420&gt;=0,$P420&lt;4)),INDEX('卡片raw data'!AZ:AZ,MATCH($D420,'卡片raw data'!$F:$F,)),0)+IF(OR(AND($F420="UR",$P420&gt;=1,$P420&lt;=4),AND($F420="SR",$P420&lt;=4,$P420&gt;=3),AND($F420="R",$P420=4)),INDEX('卡片raw data'!BA:BA,MATCH($D420,'卡片raw data'!$F:$F,)),0)+IF($P420=5,INDEX('卡片raw data'!BB:BB,MATCH($D420,'卡片raw data'!$F:$F,)),0)))</f>
        <v>0.05</v>
      </c>
      <c r="BT420" s="424">
        <f t="shared" si="549"/>
        <v>3537.2976021542986</v>
      </c>
      <c r="BU420" s="420">
        <f t="shared" si="550"/>
        <v>255.86405005115788</v>
      </c>
      <c r="BV420" s="420">
        <f t="shared" si="551"/>
        <v>0</v>
      </c>
      <c r="BW420" s="436">
        <f t="shared" si="552"/>
        <v>0</v>
      </c>
      <c r="BX420" s="423">
        <f t="shared" si="553"/>
        <v>3537.2976021542986</v>
      </c>
      <c r="BY420" s="433">
        <f t="shared" si="554"/>
        <v>0</v>
      </c>
      <c r="BZ420" s="1113" t="s">
        <v>569</v>
      </c>
      <c r="CA420" s="450"/>
      <c r="CB420" s="421">
        <f>IF($P420="","N/A",IF($P420=-1,INDEX('卡片raw data'!BE:BE,MATCH($D420,'卡片raw data'!$F:$F,)),0)+IF($L420="party卡",IF($P420=5,INDEX('卡片raw data'!BK:BK,MATCH($D420,'卡片raw data'!$F:$F,)),IF($P420&gt;=3,INDEX('卡片raw data'!BJ:BJ,MATCH($D420,'卡片raw data'!$F:$F,)),INDEX('卡片raw data'!BI:BI,MATCH($D420,'卡片raw data'!$F:$F,)))),IF(OR(AND($F420="UR",$P420=0),AND($F420="SR",$P420&gt;=0,$P420&lt;=2),AND($F420="R",$P420&gt;=0,$P420&lt;4)),INDEX('卡片raw data'!BG:BG,MATCH($D420,'卡片raw data'!$F:$F,)),0)+IF(OR(AND($F420="UR",$P420&gt;=1,$P420&lt;=4),AND($F420="SR",$P420&lt;=4,$P420&gt;=3),AND($F420="R",$P420=4)),INDEX('卡片raw data'!BH:BH,MATCH($D420,'卡片raw data'!$F:$F,)),0)+IF($P420=5,INDEX('卡片raw data'!BI:BI,MATCH($D420,'卡片raw data'!$F:$F,)),0)))</f>
        <v>0</v>
      </c>
      <c r="CC420" s="424">
        <f t="shared" si="555"/>
        <v>0</v>
      </c>
      <c r="CD420" s="420">
        <f>IF(BZ420="ap",CB420*(1-$FI$26)*$FB$5/$FB$11*(+IF(CA420="全员",$FA$24,0)+IF(CA420="同作战",$FA$24,0)+IF(CA420="仲间",$FA$24*2/3,0)+IF(CA420="同属性",$FA$24*$FA$37/3,0)+IF(CA420="同年级",$FA$24*$FA$40/3,0)+IF(CA420="同学校",$FA$24*$FA$43/3,0)+IF(CA420="同小队",$FA$24*$FA$46/3,0)+IF(CA420="同type",$FA$24*INDEX($FB$49:$FB$52,MATCH(X420,$FA$49:$FA$52,))/3,0)+IF(CA420="自身",#REF!/3,0)),0)+IF(BZ420="te",CB420*(1-$FI$27)*($FA$20-1)*$FB$7/$FB$13*(+IF(CA420="全员",$FA$19*$FA$24/(1+($FA$20-1)*$FA$19),0)+IF(CA420="同作战",$FA$19*$FA$24/(1+($FA$20-1)*$FA$19),0)+IF(CA420="仲间",$FA$19*$FA$24*2/3/(1+($FA$20-1)*$FA$19),0)+IF(CA420="同属性",$FA$19*$FA$24*$FA$37/3/(1+($FA$20-1)*$FA$19),0)+IF(CA420="同年级",$FA$19*$FA$24*$FA$40/3/(1+($FA$20-1)*$FA$19),0)+IF(CA420="同学校",$FA$19*$FA$24*$FA$43/3/(1+($FA$20-1)*$FA$19),0)+IF(CA420="同小队",$FA$19*$FA$24*$FA$46/3/(1+($FA$20-1)*$FA$19),0)+IF(CA420="同type",$FA$19*$FA$24*INDEX($FB$49:$FB$52,MATCH(X420,$FA$49:$FA$52,))/3/(1+($FA$20-1)*$FA$19),0)+IF(CA420="自身",$FA$19*#REF!/3/(1+(BH420-1)*$BD420),0)),0)</f>
        <v>0</v>
      </c>
      <c r="CE420" s="420">
        <f t="shared" si="556"/>
        <v>0</v>
      </c>
      <c r="CF420" s="436">
        <f t="shared" si="557"/>
        <v>0</v>
      </c>
      <c r="CG420" s="423">
        <f t="shared" si="558"/>
        <v>0</v>
      </c>
      <c r="CH420" s="433">
        <f t="shared" si="559"/>
        <v>0</v>
      </c>
      <c r="CI420" s="1113" t="s">
        <v>164</v>
      </c>
      <c r="CJ420" s="1114">
        <v>1</v>
      </c>
      <c r="CK420" s="1115" t="s">
        <v>2292</v>
      </c>
      <c r="CL420" s="1115" t="s">
        <v>2293</v>
      </c>
      <c r="CM420" s="1119">
        <v>7.0000000000000007E-2</v>
      </c>
      <c r="CN420" s="1115">
        <v>5</v>
      </c>
      <c r="CO420" s="1115"/>
      <c r="CP420" s="1118">
        <f t="shared" si="560"/>
        <v>7.5000000000000006E-3</v>
      </c>
      <c r="CQ420" s="1118">
        <f t="shared" si="561"/>
        <v>1.1666666666666667E-2</v>
      </c>
      <c r="CR420" s="1118">
        <f t="shared" si="562"/>
        <v>0</v>
      </c>
      <c r="CS420" s="442">
        <f t="shared" si="563"/>
        <v>3.7369791666666671E-3</v>
      </c>
      <c r="CT420" s="432">
        <f t="shared" si="564"/>
        <v>0</v>
      </c>
      <c r="CU420" s="1101">
        <f t="shared" si="565"/>
        <v>318.18181818181819</v>
      </c>
      <c r="CV420" s="1108">
        <f t="shared" si="566"/>
        <v>265.15151515151513</v>
      </c>
      <c r="CW420" s="420">
        <f t="shared" si="567"/>
        <v>0</v>
      </c>
      <c r="CX420" s="420">
        <f t="shared" si="568"/>
        <v>318.18181818181819</v>
      </c>
      <c r="CY420" s="433">
        <f t="shared" si="569"/>
        <v>0</v>
      </c>
      <c r="CZ420" s="437"/>
      <c r="DA420" s="438"/>
      <c r="DB420" s="439" t="s">
        <v>569</v>
      </c>
      <c r="DC420" s="439"/>
      <c r="DD420" s="443"/>
      <c r="DE420" s="411"/>
      <c r="DF420" s="411"/>
      <c r="DG420" s="1116">
        <f t="shared" si="570"/>
        <v>0</v>
      </c>
      <c r="DH420" s="1116">
        <f t="shared" si="571"/>
        <v>0</v>
      </c>
      <c r="DI420" s="1116">
        <f t="shared" si="572"/>
        <v>0</v>
      </c>
      <c r="DJ420" s="442">
        <f t="shared" si="573"/>
        <v>0</v>
      </c>
      <c r="DK420" s="432">
        <f t="shared" si="574"/>
        <v>0</v>
      </c>
      <c r="DL420" s="424">
        <f t="shared" si="575"/>
        <v>0</v>
      </c>
      <c r="DM420" s="420">
        <f t="shared" si="576"/>
        <v>0</v>
      </c>
      <c r="DN420" s="420">
        <f t="shared" si="577"/>
        <v>0</v>
      </c>
      <c r="DO420" s="420">
        <f t="shared" si="578"/>
        <v>0</v>
      </c>
      <c r="DP420" s="433">
        <f t="shared" si="579"/>
        <v>0</v>
      </c>
      <c r="DQ420" s="1113" t="s">
        <v>2294</v>
      </c>
      <c r="DR420" s="444">
        <f t="shared" si="580"/>
        <v>0.3</v>
      </c>
      <c r="DS420" s="1124">
        <v>5</v>
      </c>
      <c r="DT420" s="1124" t="s">
        <v>2127</v>
      </c>
      <c r="DU420" s="1124" t="s">
        <v>2145</v>
      </c>
      <c r="DV420" s="1098">
        <f>IF($P420="","N/A",IF(P420=-1,INDEX('卡片raw data'!AN:AN,MATCH(D420,'卡片raw data'!$F:$F,)),0)+IF(AND(L420&lt;&gt;"party卡",P420&lt;=2,P420&gt;=0),INDEX('卡片raw data'!AP:AP,MATCH(D420,'卡片raw data'!$F:$F,)),0)+IF(OR(AND(L420="party卡",P420&lt;=1),AND(P420&lt;=4,L420&lt;&gt;"party卡",P420&gt;=3)),INDEX('卡片raw data'!AQ:AQ,MATCH(D420,'卡片raw data'!$F:$F,)),0)+IF(OR(P420=5,AND(L420="party卡",P420&gt;=2)),INDEX('卡片raw data'!AR:AR,MATCH(D420,'卡片raw data'!$F:$F,)),0))</f>
        <v>5.3999999999999999E-2</v>
      </c>
      <c r="DW420" s="1098">
        <f t="shared" si="581"/>
        <v>0.3</v>
      </c>
      <c r="DX420" s="1098">
        <f t="shared" si="582"/>
        <v>0.3</v>
      </c>
      <c r="DY420" s="1098">
        <f t="shared" si="583"/>
        <v>2.6999999999999996E-2</v>
      </c>
      <c r="DZ420" s="1098">
        <f t="shared" si="584"/>
        <v>2.3354999999999997E-2</v>
      </c>
      <c r="EA420" s="421">
        <f t="shared" si="585"/>
        <v>0</v>
      </c>
      <c r="EB420" s="445">
        <f t="shared" si="586"/>
        <v>0</v>
      </c>
      <c r="EC420" s="424">
        <f t="shared" si="587"/>
        <v>4589.4239390801586</v>
      </c>
      <c r="ED420" s="420">
        <f t="shared" si="588"/>
        <v>184.00672875431249</v>
      </c>
      <c r="EE420" s="433">
        <f t="shared" si="598"/>
        <v>4589.4239390801586</v>
      </c>
      <c r="EF420" s="1115" t="s">
        <v>569</v>
      </c>
      <c r="EG420" s="444">
        <f t="shared" si="589"/>
        <v>0.3</v>
      </c>
      <c r="EH420" s="450"/>
      <c r="EI420" s="1093"/>
      <c r="EJ420" s="1093"/>
      <c r="EK420" s="1097">
        <f>IF($P420="","N/A",IF(P420=-1,INDEX('卡片raw data'!AS:AS,MATCH(D420,'卡片raw data'!$F:$F,)),0)+IF(AND(L420&lt;&gt;"party卡",P420&lt;=2,P420&gt;=0),INDEX('卡片raw data'!AU:AU,MATCH(D420,'卡片raw data'!$F:$F,)),0)+IF(OR(AND(L420="party卡",P420&lt;=1),AND(P420&lt;=4,L420&lt;&gt;"party卡",P420&gt;=3)),INDEX('卡片raw data'!AV:AV,MATCH(D420,'卡片raw data'!$F:$F,)),0)+IF(OR(P420=5,AND(L420="party卡",P420&gt;=2)),INDEX('卡片raw data'!AW:AW,MATCH(D420,'卡片raw data'!$F:$F,)),0))</f>
        <v>0</v>
      </c>
      <c r="EL420" s="1098">
        <f t="shared" si="590"/>
        <v>0.3</v>
      </c>
      <c r="EM420" s="1098">
        <f t="shared" si="591"/>
        <v>0.3</v>
      </c>
      <c r="EN420" s="1097">
        <f t="shared" si="592"/>
        <v>0</v>
      </c>
      <c r="EO420" s="1097">
        <f t="shared" si="593"/>
        <v>0</v>
      </c>
      <c r="EP420" s="421">
        <f t="shared" si="594"/>
        <v>0</v>
      </c>
      <c r="EQ420" s="445">
        <f t="shared" si="595"/>
        <v>0</v>
      </c>
      <c r="ER420" s="424">
        <f t="shared" si="596"/>
        <v>0</v>
      </c>
      <c r="ES420" s="420">
        <f t="shared" si="597"/>
        <v>0</v>
      </c>
      <c r="ET420" s="446">
        <f t="shared" si="599"/>
        <v>0</v>
      </c>
    </row>
    <row r="421" spans="2:150" ht="16.5" customHeight="1">
      <c r="B421" s="448" t="str">
        <f>INDEX('卡片raw data'!B:B,MATCH($D421,'卡片raw data'!$F:$F,))</f>
        <v>白情璃</v>
      </c>
      <c r="C421" s="449" t="s">
        <v>2297</v>
      </c>
      <c r="D421" s="408">
        <v>418</v>
      </c>
      <c r="E421" s="477">
        <v>402093002</v>
      </c>
      <c r="F421" s="409" t="str">
        <f>INDEX('卡片raw data'!C:C,MATCH($D421,'卡片raw data'!$F:$F,))</f>
        <v>UR</v>
      </c>
      <c r="G421" s="1094" t="s">
        <v>2298</v>
      </c>
      <c r="H421" s="411">
        <f>IFERROR(INDEX(绊状态确认!C:C,MATCH($G421,绊状态确认!$B:$B,)),"")</f>
        <v>209</v>
      </c>
      <c r="I421" s="450" t="str">
        <f>IFERROR(INDEX(绊状态确认!D:D,MATCH($G421,绊状态确认!$B:$B,)),"")</f>
        <v>虹</v>
      </c>
      <c r="J421" s="450" t="str">
        <f>IFERROR(INDEX(绊状态确认!E:E,MATCH($G421,绊状态确认!$B:$B,)),"")</f>
        <v>1年级</v>
      </c>
      <c r="K421" s="451" t="str">
        <f>IFERROR(INDEX(绊状态确认!F:F,MATCH($G421,绊状态确认!$B:$B,)),"")</f>
        <v>QU4RTZ</v>
      </c>
      <c r="L421" s="414" t="str">
        <f>INDEX('卡片raw data'!E:E,MATCH($D421,'卡片raw data'!$F:$F,))</f>
        <v>卡池卡</v>
      </c>
      <c r="M421" s="478">
        <v>44259</v>
      </c>
      <c r="N421" s="479">
        <v>35</v>
      </c>
      <c r="O421" s="410" t="str">
        <f>INDEX('卡片raw data'!D:D,MATCH($D421,'卡片raw data'!$F:$F,))</f>
        <v>gd</v>
      </c>
      <c r="P421" s="1126">
        <v>5</v>
      </c>
      <c r="Q421" s="418">
        <f t="shared" si="515"/>
        <v>30729.616180115154</v>
      </c>
      <c r="R421" s="419">
        <f t="shared" si="516"/>
        <v>0.35699999999999998</v>
      </c>
      <c r="S421" s="420">
        <f t="shared" si="517"/>
        <v>16454.472871329519</v>
      </c>
      <c r="T421" s="421">
        <f t="shared" si="518"/>
        <v>0.82199999999999995</v>
      </c>
      <c r="U421" s="422">
        <f t="shared" si="519"/>
        <v>117.36193159205027</v>
      </c>
      <c r="V421" s="423">
        <f t="shared" si="520"/>
        <v>42611.373251395955</v>
      </c>
      <c r="W421" s="424">
        <f t="shared" si="521"/>
        <v>4507.7214871259994</v>
      </c>
      <c r="X421" s="419">
        <f t="shared" si="522"/>
        <v>5.1999999999999998E-2</v>
      </c>
      <c r="Y421" s="420">
        <f t="shared" si="523"/>
        <v>3674.2693174498709</v>
      </c>
      <c r="Z421" s="425">
        <f t="shared" si="524"/>
        <v>45.171931592050278</v>
      </c>
      <c r="AA421" s="426">
        <f t="shared" si="525"/>
        <v>8181.9908045758702</v>
      </c>
      <c r="AB421" s="424">
        <f t="shared" si="526"/>
        <v>4507.7214871259994</v>
      </c>
      <c r="AC421" s="427">
        <f t="shared" si="527"/>
        <v>5.1999999999999998E-2</v>
      </c>
      <c r="AD421" s="428">
        <f t="shared" si="528"/>
        <v>0</v>
      </c>
      <c r="AE421" s="516">
        <f t="shared" si="529"/>
        <v>-6.25</v>
      </c>
      <c r="AF421" s="1130">
        <f t="shared" si="530"/>
        <v>0</v>
      </c>
      <c r="AG421" s="420">
        <f t="shared" si="531"/>
        <v>0</v>
      </c>
      <c r="AH421" s="420">
        <f t="shared" si="532"/>
        <v>0</v>
      </c>
      <c r="AI421" s="1097">
        <f t="shared" si="533"/>
        <v>0</v>
      </c>
      <c r="AJ421" s="420">
        <f t="shared" si="534"/>
        <v>0</v>
      </c>
      <c r="AK421" s="518">
        <f t="shared" si="535"/>
        <v>0</v>
      </c>
      <c r="AL421" s="1106">
        <f>IF($P421="","N/A",(IF($P421=-1,INDEX('卡片raw data'!S:S,MATCH($D421,'卡片raw data'!$F:$F,)),0)+IF($P421=0,INDEX('卡片raw data'!V:V,MATCH($D421,'卡片raw data'!$F:$F,)),0)+IF($P421=1,INDEX('卡片raw data'!Y:Y,MATCH($D421,'卡片raw data'!$F:$F,)),0)+IF($P421=2,INDEX('卡片raw data'!AB:AB,MATCH($D421,'卡片raw data'!$F:$F,)),0)+IF($P421=3,INDEX('卡片raw data'!AE:AE,MATCH($D421,'卡片raw data'!$F:$F,)),0)+IF($P421=4,INDEX('卡片raw data'!AH:AH,MATCH($D421,'卡片raw data'!$F:$F,)),0)+IF($P421=5,INDEX('卡片raw data'!AK:AK,MATCH($D421,'卡片raw data'!$F:$F,)),0)+INDEX('卡片raw data'!S:S,MATCH($D421,'卡片raw data'!$F:$F,))*(IF($F421="UR",0.04,0.033))*(IF($F421="UR",INDEX(绊状态确认!$S:$S,MATCH($G421,绊状态确认!$B:$B,))/2-40)+IF($F421="SR",INDEX(绊状态确认!$R:$R,MATCH($G421,绊状态确认!$B:$B,))/4-15))+IF($F421="R",INDEX(绊状态确认!$Q:$Q,MATCH($G421,绊状态确认!$B:$B,))/6-40/6)))*(INDEX(绊状态确认!$H:$H,MATCH($G421,绊状态确认!$B:$B,))+INDEX(绊状态确认!J:J,MATCH($G421,绊状态确认!$B:$B,)))</f>
        <v>9091.0181759999996</v>
      </c>
      <c r="AM421" s="1106">
        <f>IF($P421="","N/A",(IF($P421=-1,INDEX('卡片raw data'!T:T,MATCH($D421,'卡片raw data'!$F:$F,)),0)+IF($P421=0,INDEX('卡片raw data'!W:W,MATCH($D421,'卡片raw data'!$F:$F,)),0)+IF($P421=1,INDEX('卡片raw data'!Z:Z,MATCH($D421,'卡片raw data'!$F:$F,)),0)+IF($P421=2,INDEX('卡片raw data'!AC:AC,MATCH($D421,'卡片raw data'!$F:$F,)),0)+IF($P421=3,INDEX('卡片raw data'!AF:AF,MATCH($D421,'卡片raw data'!$F:$F,)),0)+IF($P421=4,INDEX('卡片raw data'!AI:AI,MATCH($D421,'卡片raw data'!$F:$F,)),0)+IF($P421=5,INDEX('卡片raw data'!AL:AL,MATCH($D421,'卡片raw data'!$F:$F,)),0)+INDEX('卡片raw data'!T:T,MATCH($D421,'卡片raw data'!$F:$F,))*(IF($F421="UR",0.04,0.033))*(IF($F421="UR",INDEX(绊状态确认!$S:$S,MATCH($G421,绊状态确认!$B:$B,))/2-40)+IF($F421="SR",INDEX(绊状态确认!$R:$R,MATCH($G421,绊状态确认!$B:$B,))/4-15))+IF($F421="R",INDEX(绊状态确认!$Q:$Q,MATCH($G421,绊状态确认!$B:$B,))/6-40/6)))*(INDEX(绊状态确认!$H:$H,MATCH($G421,绊状态确认!$B:$B,))+INDEX(绊状态确认!K:K,MATCH($G421,绊状态确认!$B:$B,)))</f>
        <v>15827.597375999998</v>
      </c>
      <c r="AN421" s="1106">
        <f>IF($P421="","N/A",(IF($P421=-1,INDEX('卡片raw data'!U:U,MATCH($D421,'卡片raw data'!$F:$F,)),0)+IF($P421=0,INDEX('卡片raw data'!X:X,MATCH($D421,'卡片raw data'!$F:$F,)),0)+IF($P421=1,INDEX('卡片raw data'!AA:AA,MATCH($D421,'卡片raw data'!$F:$F,)),0)+IF($P421=2,INDEX('卡片raw data'!AD:AD,MATCH($D421,'卡片raw data'!$F:$F,)),0)+IF($P421=3,INDEX('卡片raw data'!AG:AG,MATCH($D421,'卡片raw data'!$F:$F,)),0)+IF($P421=4,INDEX('卡片raw data'!AJ:AJ,MATCH($D421,'卡片raw data'!$F:$F,)),0)+IF($P421=5,INDEX('卡片raw data'!AM:AM,MATCH($D421,'卡片raw data'!$F:$F,)),0)+INDEX('卡片raw data'!U:U,MATCH($D421,'卡片raw data'!$F:$F,))*(IF($F421="UR",0.04,0.033))*(IF($F421="UR",INDEX(绊状态确认!$S:$S,MATCH($G421,绊状态确认!$B:$B,))/2-40)+IF($F421="SR",INDEX(绊状态确认!$R:$R,MATCH($G421,绊状态确认!$B:$B,))/4-15))+IF($F421="R",INDEX(绊状态确认!$Q:$Q,MATCH($G421,绊状态确认!$B:$B,))/6-40/6)))*(INDEX(绊状态确认!$H:$H,MATCH($G421,绊状态确认!$B:$B,))+INDEX(绊状态确认!L:L,MATCH($G421,绊状态确认!$B:$B,)))</f>
        <v>8756.1438239999989</v>
      </c>
      <c r="AO421" s="1107">
        <f t="shared" si="536"/>
        <v>1</v>
      </c>
      <c r="AP421" s="1131">
        <f>1+(INDEX(绊状态确认!$T:$T,MATCH($G421,绊状态确认!$B:$B,))+0.2)*$AO421</f>
        <v>1.3</v>
      </c>
      <c r="AQ421" s="1108">
        <f t="shared" si="537"/>
        <v>27113.922712</v>
      </c>
      <c r="AR421" s="1097">
        <f>(AM421*(1+$EX$9)+$EX$35)*(1+(INDEX(绊状态确认!$T:$T,MATCH($G421,绊状态确认!$B:$B,))+0.2)*AO421)*IF(J421=$FF$17,1+$FE$17,1)*IF(I421=$FF$14,1+$FE$14,1)</f>
        <v>24308.670418239995</v>
      </c>
      <c r="AS421" s="1097">
        <f>(AN421*(1+$EX$10)+$EX$36)*(1+(INDEX(绊状态确认!$T:$T,MATCH($G421,绊状态确认!$B:$B,))+0.2)*AO421)*IF(J421=$FF$17,1+$FE$17,1)*IF(I421=$FF$14,1+$FE$14,1)</f>
        <v>17146.435016879997</v>
      </c>
      <c r="AT421" s="1093">
        <f>IF(AND(INDEX('卡片raw data'!AK:AK,MATCH($D421,'卡片raw data'!$F:$F,))&lt;INDEX('卡片raw data'!AM:AM,MATCH($D421,'卡片raw data'!$F:$F,)),INDEX('卡片raw data'!AL:AL,MATCH($D421,'卡片raw data'!$F:$F,))&lt;INDEX('卡片raw data'!AM:AM,MATCH($D421,'卡片raw data'!$F:$F,))),1,0)</f>
        <v>0</v>
      </c>
      <c r="AU421" s="1098">
        <f>MIN(AT421*0.15+AS421*0.00003+INDEX(绊状态确认!M:M,MATCH($G421,绊状态确认!$B:$B,)),1)</f>
        <v>0.54439305050639997</v>
      </c>
      <c r="AV421" s="1109">
        <f>(INDEX(绊状态确认!$N:$N,MATCH($G421,绊状态确认!$B:$B,))+1.5)*$EW$21</f>
        <v>2.6599999999999997</v>
      </c>
      <c r="AW421" s="1101">
        <f t="shared" si="538"/>
        <v>26806.894692989154</v>
      </c>
      <c r="AX421" s="1097">
        <f t="shared" si="539"/>
        <v>2139.3247461709652</v>
      </c>
      <c r="AY421" s="1110">
        <f t="shared" si="540"/>
        <v>28946.219439160119</v>
      </c>
      <c r="AZ421" s="429">
        <f t="shared" si="541"/>
        <v>20327.485443199999</v>
      </c>
      <c r="BA421" s="431">
        <f t="shared" si="542"/>
        <v>24392.98253184</v>
      </c>
      <c r="BB421" s="1097">
        <f>(AM421*(1+$FB$9)+$FB$35)*(1+(INDEX(绊状态确认!$T:$T,MATCH($G421,绊状态确认!$B:$B,))+0.2)*AO421)*IF(J421=$FF$17,1+$FE$17,1)*IF(I421=$FF$14,1+$FE$14,1)*(1+$FE$15)</f>
        <v>24308.670418239995</v>
      </c>
      <c r="BC421" s="1097">
        <f>(AN421*(1+$FB$10)+$FB$36)*(1+(INDEX(绊状态确认!$T:$T,MATCH($G421,绊状态确认!$B:$B,))+0.2)*AO421)*IF(J421=$FF$17,1+$FE$17,1)*IF(I421=$FF$14,1+$FE$14,1)*(1+$FE$15)</f>
        <v>17146.435016879997</v>
      </c>
      <c r="BD421" s="1104">
        <f>MIN(AT421*0.15+BC421*0.00003+INDEX(绊状态确认!M:M,MATCH($G421,绊状态确认!$B:$B,)),1)</f>
        <v>0.54439305050639997</v>
      </c>
      <c r="BE421" s="432">
        <f>(INDEX(绊状态确认!$N:$N,MATCH($G421,绊状态确认!$B:$B,))+1.5)</f>
        <v>1.9</v>
      </c>
      <c r="BF421" s="1139">
        <f t="array" ref="BF421">SUMPRODUCT(IF(AZ421*AP421*$FI$16:$FI$23*$FA$22&gt;=$FI$24,$FI$24,AZ421*AP421*$FI$16:$FI$23*$FA$22),$FJ$16:$FJ$23)</f>
        <v>40431.368546524791</v>
      </c>
      <c r="BG421" s="1125">
        <f t="array" ref="BG421">SUMPRODUCT(IF(BE421*AZ421*AP421*$FI$16:$FI$23*$FA$22&gt;=$FI$24,$FI$24,BE421*AZ421*AP421*$FI$16:$FI$23*$FA$22),$FJ$16:$FJ$23)</f>
        <v>60000</v>
      </c>
      <c r="BH421" s="1110">
        <f t="shared" si="543"/>
        <v>17028.131839239217</v>
      </c>
      <c r="BI421" s="1111">
        <f>IF(O421="vo",$EW$26/$EW$24*0.05,0)+IF(O421="sk",-$EW$26/$EW$24*(0.05-INDEX(绊状态确认!W:W,MATCH($G421,绊状态确认!$B:$B,)))+0.05*$EW$28,0)+IF(O421="sp",0.05*$EW$32*$EW$30*(1-$EW$33)-(0.05-INDEX(绊状态确认!V:V,MATCH($G421,绊状态确认!$B:$B,)))*$EW$28,0)+IF(O421="gd",-(0.05-INDEX(绊状态确认!X:X,MATCH($G421,绊状态确认!$B:$B,)))*$EW$32*$EW$30*(1-$EW$33),0)</f>
        <v>-585.00000000000011</v>
      </c>
      <c r="BJ421" s="420">
        <f>IF(O421="vo",0.05*(1-$FI$26)*$FA$24,0)+IF(O421="sk",-(0.05-INDEX(绊状态确认!W:W,MATCH($G421,绊状态确认!$B:$B,)))*(1-$FI$26)*$FA$24+0.05*$FA$26,0)+IF(O421="sp",0.05*$FA$32*$FA$27*(1-$FA$33)/$FA$30+0.05*$FA$29/$FA$69*$FA$27*(1-$FA$33)-(0.05-INDEX(绊状态确认!V:V,MATCH($G421,绊状态确认!$B:$B,)))*$FA$26,0)+IF(O421="gd",-(0.05-INDEX(绊状态确认!X:X,MATCH($G421,绊状态确认!$B:$B,)))*$FA$32*$FA$27*(1-$FA$33)/$FA$30-(0.05-INDEX(绊状态确认!X:X,MATCH($G421,绊状态确认!$B:$B,)))*$FA$29/$FA$69*$FA$27*(1-$FA$33),0)</f>
        <v>-795.00000000000011</v>
      </c>
      <c r="BK421" s="1110">
        <f>IF(O421="vo",$EW$26/$EW$24*0.05+$EW$26*(-HP($EW$62,$EW$65,$EW$64)+HP($EW$62,$EW$65,(1.05-INDEX(绊状态确认!U:U,MATCH($G421,绊状态确认!$B:$B,)))*$EW$64)),0)+IF(O421="sk",-$EW$26/$EW$24*(0.05-INDEX(绊状态确认!W:W,MATCH($G421,绊状态确认!$B:$B,)))+0.05*$EW$29,0)+IF(O421="sp",0.05*$EW$32*$EW$30*(1-$EW$33)-(0.05-INDEX(绊状态确认!V:V,MATCH($G421,绊状态确认!$B:$B,)))*$EW$29,0)+IF(O421="gd",-(0.05-INDEX(绊状态确认!X:X,MATCH($G421,绊状态确认!$B:$B,)))*$EW$32*$EW$30*(1-$EW$33)+$EW$26*(-HP($EW$62,$EW$65,$EW$64)+HP($EW$62,$EW$65,0.95*$EW$64)),0)</f>
        <v>1009.5947725176144</v>
      </c>
      <c r="BL421" s="1111">
        <f t="shared" si="544"/>
        <v>0</v>
      </c>
      <c r="BM421" s="1110">
        <f t="shared" si="545"/>
        <v>0</v>
      </c>
      <c r="BN421" s="1113">
        <f t="shared" si="546"/>
        <v>3</v>
      </c>
      <c r="BO421" s="1108">
        <f t="shared" si="547"/>
        <v>4507.7214871259994</v>
      </c>
      <c r="BP421" s="1100">
        <f t="shared" si="548"/>
        <v>221.34103209030098</v>
      </c>
      <c r="BQ421" s="1113" t="s">
        <v>133</v>
      </c>
      <c r="BR421" s="1124" t="s">
        <v>168</v>
      </c>
      <c r="BS421" s="421">
        <f>IF($P421="","N/A",IF($P421=-1,INDEX('卡片raw data'!AX:AX,MATCH($D421,'卡片raw data'!$F:$F,)),0)+IF($L421="party卡",IF($P421=5,INDEX('卡片raw data'!BD:BD,MATCH($D421,'卡片raw data'!$F:$F,)),IF($P421&gt;=3,INDEX('卡片raw data'!BC:BC,MATCH($D421,'卡片raw data'!$F:$F,)),INDEX('卡片raw data'!BB:BB,MATCH($D421,'卡片raw data'!$F:$F,)))),IF(OR(AND($F421="UR",$P421=0),AND($F421="SR",$P421&gt;=0,$P421&lt;=2),AND($F421="R",$P421&gt;=0,$P421&lt;4)),INDEX('卡片raw data'!AZ:AZ,MATCH($D421,'卡片raw data'!$F:$F,)),0)+IF(OR(AND($F421="UR",$P421&gt;=1,$P421&lt;=4),AND($F421="SR",$P421&lt;=4,$P421&gt;=3),AND($F421="R",$P421=4)),INDEX('卡片raw data'!BA:BA,MATCH($D421,'卡片raw data'!$F:$F,)),0)+IF($P421=5,INDEX('卡片raw data'!BB:BB,MATCH($D421,'卡片raw data'!$F:$F,)),0)))</f>
        <v>7.0000000000000007E-2</v>
      </c>
      <c r="BT421" s="424">
        <f t="shared" si="549"/>
        <v>0</v>
      </c>
      <c r="BU421" s="420">
        <f t="shared" si="550"/>
        <v>0</v>
      </c>
      <c r="BV421" s="420">
        <f t="shared" si="551"/>
        <v>0</v>
      </c>
      <c r="BW421" s="436">
        <f t="shared" si="552"/>
        <v>2.4581249999999999</v>
      </c>
      <c r="BX421" s="423">
        <f t="shared" si="553"/>
        <v>192.3373892964872</v>
      </c>
      <c r="BY421" s="433">
        <f t="shared" si="554"/>
        <v>192.3373892964872</v>
      </c>
      <c r="BZ421" s="1113" t="s">
        <v>569</v>
      </c>
      <c r="CA421" s="450"/>
      <c r="CB421" s="421">
        <f>IF($P421="","N/A",IF($P421=-1,INDEX('卡片raw data'!BE:BE,MATCH($D421,'卡片raw data'!$F:$F,)),0)+IF($L421="party卡",IF($P421=5,INDEX('卡片raw data'!BK:BK,MATCH($D421,'卡片raw data'!$F:$F,)),IF($P421&gt;=3,INDEX('卡片raw data'!BJ:BJ,MATCH($D421,'卡片raw data'!$F:$F,)),INDEX('卡片raw data'!BI:BI,MATCH($D421,'卡片raw data'!$F:$F,)))),IF(OR(AND($F421="UR",$P421=0),AND($F421="SR",$P421&gt;=0,$P421&lt;=2),AND($F421="R",$P421&gt;=0,$P421&lt;4)),INDEX('卡片raw data'!BG:BG,MATCH($D421,'卡片raw data'!$F:$F,)),0)+IF(OR(AND($F421="UR",$P421&gt;=1,$P421&lt;=4),AND($F421="SR",$P421&lt;=4,$P421&gt;=3),AND($F421="R",$P421=4)),INDEX('卡片raw data'!BH:BH,MATCH($D421,'卡片raw data'!$F:$F,)),0)+IF($P421=5,INDEX('卡片raw data'!BI:BI,MATCH($D421,'卡片raw data'!$F:$F,)),0)))</f>
        <v>0</v>
      </c>
      <c r="CC421" s="424">
        <f t="shared" si="555"/>
        <v>0</v>
      </c>
      <c r="CD421" s="420">
        <f>IF(BZ421="ap",CB421*(1-$FI$26)*$FB$5/$FB$11*(+IF(CA421="全员",$FA$24,0)+IF(CA421="同作战",$FA$24,0)+IF(CA421="仲间",$FA$24*2/3,0)+IF(CA421="同属性",$FA$24*$FA$37/3,0)+IF(CA421="同年级",$FA$24*$FA$40/3,0)+IF(CA421="同学校",$FA$24*$FA$43/3,0)+IF(CA421="同小队",$FA$24*$FA$46/3,0)+IF(CA421="同type",$FA$24*INDEX($FB$49:$FB$52,MATCH(X421,$FA$49:$FA$52,))/3,0)+IF(CA421="自身",#REF!/3,0)),0)+IF(BZ421="te",CB421*(1-$FI$27)*($FA$20-1)*$FB$7/$FB$13*(+IF(CA421="全员",$FA$19*$FA$24/(1+($FA$20-1)*$FA$19),0)+IF(CA421="同作战",$FA$19*$FA$24/(1+($FA$20-1)*$FA$19),0)+IF(CA421="仲间",$FA$19*$FA$24*2/3/(1+($FA$20-1)*$FA$19),0)+IF(CA421="同属性",$FA$19*$FA$24*$FA$37/3/(1+($FA$20-1)*$FA$19),0)+IF(CA421="同年级",$FA$19*$FA$24*$FA$40/3/(1+($FA$20-1)*$FA$19),0)+IF(CA421="同学校",$FA$19*$FA$24*$FA$43/3/(1+($FA$20-1)*$FA$19),0)+IF(CA421="同小队",$FA$19*$FA$24*$FA$46/3/(1+($FA$20-1)*$FA$19),0)+IF(CA421="同type",$FA$19*$FA$24*INDEX($FB$49:$FB$52,MATCH(X421,$FA$49:$FA$52,))/3/(1+($FA$20-1)*$FA$19),0)+IF(CA421="自身",$FA$19*#REF!/3/(1+(BH421-1)*$BD421),0)),0)</f>
        <v>0</v>
      </c>
      <c r="CE421" s="420">
        <f t="shared" si="556"/>
        <v>0</v>
      </c>
      <c r="CF421" s="436">
        <f t="shared" si="557"/>
        <v>0</v>
      </c>
      <c r="CG421" s="423">
        <f t="shared" si="558"/>
        <v>0</v>
      </c>
      <c r="CH421" s="433">
        <f t="shared" si="559"/>
        <v>0</v>
      </c>
      <c r="CI421" s="1113" t="s">
        <v>164</v>
      </c>
      <c r="CJ421" s="1114">
        <v>1</v>
      </c>
      <c r="CK421" s="439" t="s">
        <v>2080</v>
      </c>
      <c r="CL421" s="1115" t="s">
        <v>1943</v>
      </c>
      <c r="CM421" s="1119">
        <v>3.2000000000000001E-2</v>
      </c>
      <c r="CN421" s="1115"/>
      <c r="CO421" s="1115"/>
      <c r="CP421" s="1116">
        <f t="shared" si="560"/>
        <v>16.668802572507424</v>
      </c>
      <c r="CQ421" s="1116">
        <f t="shared" si="561"/>
        <v>25.92924844612266</v>
      </c>
      <c r="CR421" s="1117">
        <f t="shared" si="562"/>
        <v>16.668802572507424</v>
      </c>
      <c r="CS421" s="442">
        <f t="shared" si="563"/>
        <v>0</v>
      </c>
      <c r="CT421" s="432">
        <f t="shared" si="564"/>
        <v>0</v>
      </c>
      <c r="CU421" s="1101">
        <f t="shared" si="565"/>
        <v>0</v>
      </c>
      <c r="CV421" s="1108">
        <f t="shared" si="566"/>
        <v>0</v>
      </c>
      <c r="CW421" s="1097">
        <f t="shared" si="567"/>
        <v>0</v>
      </c>
      <c r="CX421" s="420">
        <f t="shared" si="568"/>
        <v>1342.6071819824181</v>
      </c>
      <c r="CY421" s="433">
        <f t="shared" si="569"/>
        <v>1342.6071819824181</v>
      </c>
      <c r="CZ421" s="437"/>
      <c r="DA421" s="438"/>
      <c r="DB421" s="439" t="s">
        <v>569</v>
      </c>
      <c r="DC421" s="439"/>
      <c r="DD421" s="443"/>
      <c r="DE421" s="411"/>
      <c r="DF421" s="411"/>
      <c r="DG421" s="1116">
        <f t="shared" si="570"/>
        <v>0</v>
      </c>
      <c r="DH421" s="1116">
        <f t="shared" si="571"/>
        <v>0</v>
      </c>
      <c r="DI421" s="1116">
        <f t="shared" si="572"/>
        <v>0</v>
      </c>
      <c r="DJ421" s="442">
        <f t="shared" si="573"/>
        <v>0</v>
      </c>
      <c r="DK421" s="432">
        <f t="shared" si="574"/>
        <v>0</v>
      </c>
      <c r="DL421" s="424">
        <f t="shared" si="575"/>
        <v>0</v>
      </c>
      <c r="DM421" s="420">
        <f t="shared" si="576"/>
        <v>0</v>
      </c>
      <c r="DN421" s="420">
        <f t="shared" si="577"/>
        <v>0</v>
      </c>
      <c r="DO421" s="420">
        <f t="shared" si="578"/>
        <v>0</v>
      </c>
      <c r="DP421" s="433">
        <f t="shared" si="579"/>
        <v>0</v>
      </c>
      <c r="DQ421" s="1113" t="s">
        <v>556</v>
      </c>
      <c r="DR421" s="1120">
        <f t="shared" si="580"/>
        <v>0.33</v>
      </c>
      <c r="DS421" s="1124">
        <v>4</v>
      </c>
      <c r="DT421" s="1093" t="s">
        <v>161</v>
      </c>
      <c r="DU421" s="1093" t="s">
        <v>544</v>
      </c>
      <c r="DV421" s="1098">
        <f>IF($P421="","N/A",IF(P421=-1,INDEX('卡片raw data'!AN:AN,MATCH(D421,'卡片raw data'!$F:$F,)),0)+IF(AND(L421&lt;&gt;"party卡",P421&lt;=2,P421&gt;=0),INDEX('卡片raw data'!AP:AP,MATCH(D421,'卡片raw data'!$F:$F,)),0)+IF(OR(AND(L421="party卡",P421&lt;=1),AND(P421&lt;=4,L421&lt;&gt;"party卡",P421&gt;=3)),INDEX('卡片raw data'!AQ:AQ,MATCH(D421,'卡片raw data'!$F:$F,)),0)+IF(OR(P421=5,AND(L421="party卡",P421&gt;=2)),INDEX('卡片raw data'!AR:AR,MATCH(D421,'卡片raw data'!$F:$F,)),0))</f>
        <v>0.33</v>
      </c>
      <c r="DW421" s="1098">
        <f t="shared" si="581"/>
        <v>0.33</v>
      </c>
      <c r="DX421" s="1098">
        <f t="shared" si="582"/>
        <v>0.33</v>
      </c>
      <c r="DY421" s="1098">
        <f t="shared" si="583"/>
        <v>0.14520000000000002</v>
      </c>
      <c r="DZ421" s="1098">
        <f t="shared" si="584"/>
        <v>0.12559800000000002</v>
      </c>
      <c r="EA421" s="421">
        <f t="shared" si="585"/>
        <v>0</v>
      </c>
      <c r="EB421" s="445">
        <f t="shared" si="586"/>
        <v>0</v>
      </c>
      <c r="EC421" s="424">
        <f t="shared" si="587"/>
        <v>0</v>
      </c>
      <c r="ED421" s="420">
        <f t="shared" si="588"/>
        <v>0</v>
      </c>
      <c r="EE421" s="433">
        <f t="shared" si="598"/>
        <v>6612.8929813133173</v>
      </c>
      <c r="EF421" s="1115" t="s">
        <v>569</v>
      </c>
      <c r="EG421" s="1120">
        <f t="shared" si="589"/>
        <v>0.33</v>
      </c>
      <c r="EH421" s="450"/>
      <c r="EI421" s="1093"/>
      <c r="EJ421" s="1093"/>
      <c r="EK421" s="420">
        <f>IF($P421="","N/A",IF(P421=-1,INDEX('卡片raw data'!AS:AS,MATCH(D421,'卡片raw data'!$F:$F,)),0)+IF(AND(L421&lt;&gt;"party卡",P421&lt;=2,P421&gt;=0),INDEX('卡片raw data'!AU:AU,MATCH(D421,'卡片raw data'!$F:$F,)),0)+IF(OR(AND(L421="party卡",P421&lt;=1),AND(P421&lt;=4,L421&lt;&gt;"party卡",P421&gt;=3)),INDEX('卡片raw data'!AV:AV,MATCH(D421,'卡片raw data'!$F:$F,)),0)+IF(OR(P421=5,AND(L421="party卡",P421&gt;=2)),INDEX('卡片raw data'!AW:AW,MATCH(D421,'卡片raw data'!$F:$F,)),0))</f>
        <v>0</v>
      </c>
      <c r="EL421" s="1098">
        <f t="shared" si="590"/>
        <v>0.33</v>
      </c>
      <c r="EM421" s="1098">
        <f t="shared" si="591"/>
        <v>0.33</v>
      </c>
      <c r="EN421" s="1097">
        <f t="shared" si="592"/>
        <v>0</v>
      </c>
      <c r="EO421" s="1097">
        <f t="shared" si="593"/>
        <v>0</v>
      </c>
      <c r="EP421" s="421">
        <f t="shared" si="594"/>
        <v>0</v>
      </c>
      <c r="EQ421" s="445">
        <f t="shared" si="595"/>
        <v>0</v>
      </c>
      <c r="ER421" s="424">
        <f t="shared" si="596"/>
        <v>0</v>
      </c>
      <c r="ES421" s="420">
        <f t="shared" si="597"/>
        <v>0</v>
      </c>
      <c r="ET421" s="446">
        <f t="shared" si="599"/>
        <v>0</v>
      </c>
    </row>
    <row r="422" spans="2:150" ht="16.5" customHeight="1">
      <c r="B422" s="448" t="str">
        <f>INDEX('卡片raw data'!B:B,MATCH($D422,'卡片raw data'!$F:$F,))</f>
        <v>白情鸟</v>
      </c>
      <c r="C422" s="449" t="s">
        <v>2290</v>
      </c>
      <c r="D422" s="408">
        <v>419</v>
      </c>
      <c r="E422" s="477">
        <v>400033004</v>
      </c>
      <c r="F422" s="409" t="str">
        <f>INDEX('卡片raw data'!C:C,MATCH($D422,'卡片raw data'!$F:$F,))</f>
        <v>UR</v>
      </c>
      <c r="G422" s="1094" t="s">
        <v>2300</v>
      </c>
      <c r="H422" s="411">
        <f>IFERROR(INDEX(绊状态确认!C:C,MATCH($G422,绊状态确认!$B:$B,)),"")</f>
        <v>3</v>
      </c>
      <c r="I422" s="450" t="str">
        <f>IFERROR(INDEX(绊状态确认!D:D,MATCH($G422,绊状态确认!$B:$B,)),"")</f>
        <v>缪</v>
      </c>
      <c r="J422" s="450" t="str">
        <f>IFERROR(INDEX(绊状态确认!E:E,MATCH($G422,绊状态确认!$B:$B,)),"")</f>
        <v>2年级</v>
      </c>
      <c r="K422" s="451" t="str">
        <f>IFERROR(INDEX(绊状态确认!F:F,MATCH($G422,绊状态确认!$B:$B,)),"")</f>
        <v>Printemps</v>
      </c>
      <c r="L422" s="414" t="str">
        <f>INDEX('卡片raw data'!E:E,MATCH($D422,'卡片raw data'!$F:$F,))</f>
        <v>活动卡</v>
      </c>
      <c r="M422" s="478">
        <v>44259</v>
      </c>
      <c r="N422" s="479">
        <v>35</v>
      </c>
      <c r="O422" s="410" t="str">
        <f>INDEX('卡片raw data'!D:D,MATCH($D422,'卡片raw data'!$F:$F,))</f>
        <v>sk</v>
      </c>
      <c r="P422" s="1126">
        <v>5</v>
      </c>
      <c r="Q422" s="418">
        <f t="shared" si="515"/>
        <v>37747.906990199212</v>
      </c>
      <c r="R422" s="419">
        <f t="shared" si="516"/>
        <v>0.438</v>
      </c>
      <c r="S422" s="420">
        <f t="shared" si="517"/>
        <v>21022.699964939955</v>
      </c>
      <c r="T422" s="421">
        <f t="shared" si="518"/>
        <v>1.0509999999999999</v>
      </c>
      <c r="U422" s="422">
        <f t="shared" si="519"/>
        <v>16.170752258142855</v>
      </c>
      <c r="V422" s="423">
        <f t="shared" si="520"/>
        <v>41049.057382530402</v>
      </c>
      <c r="W422" s="424">
        <f t="shared" si="521"/>
        <v>6453.0980432580727</v>
      </c>
      <c r="X422" s="419">
        <f t="shared" si="522"/>
        <v>7.4999999999999997E-2</v>
      </c>
      <c r="Y422" s="420">
        <f t="shared" si="523"/>
        <v>1301.150392331193</v>
      </c>
      <c r="Z422" s="425">
        <f t="shared" si="524"/>
        <v>16.170752258142855</v>
      </c>
      <c r="AA422" s="426">
        <f t="shared" si="525"/>
        <v>7754.2484355892657</v>
      </c>
      <c r="AB422" s="424">
        <f t="shared" si="526"/>
        <v>7679.3612120048965</v>
      </c>
      <c r="AC422" s="427">
        <f t="shared" si="527"/>
        <v>8.8999999999999996E-2</v>
      </c>
      <c r="AD422" s="428">
        <f t="shared" si="528"/>
        <v>2.1769318181818181E-2</v>
      </c>
      <c r="AE422" s="516">
        <f t="shared" si="529"/>
        <v>73.786957704745831</v>
      </c>
      <c r="AF422" s="1130">
        <f t="shared" si="530"/>
        <v>0</v>
      </c>
      <c r="AG422" s="420">
        <f t="shared" si="531"/>
        <v>0</v>
      </c>
      <c r="AH422" s="420">
        <f t="shared" si="532"/>
        <v>0</v>
      </c>
      <c r="AI422" s="1097">
        <f t="shared" si="533"/>
        <v>0</v>
      </c>
      <c r="AJ422" s="420">
        <f t="shared" si="534"/>
        <v>0</v>
      </c>
      <c r="AK422" s="518">
        <f t="shared" si="535"/>
        <v>0</v>
      </c>
      <c r="AL422" s="1106">
        <f>IF($P422="","N/A",(IF($P422=-1,INDEX('卡片raw data'!S:S,MATCH($D422,'卡片raw data'!$F:$F,)),0)+IF($P422=0,INDEX('卡片raw data'!V:V,MATCH($D422,'卡片raw data'!$F:$F,)),0)+IF($P422=1,INDEX('卡片raw data'!Y:Y,MATCH($D422,'卡片raw data'!$F:$F,)),0)+IF($P422=2,INDEX('卡片raw data'!AB:AB,MATCH($D422,'卡片raw data'!$F:$F,)),0)+IF($P422=3,INDEX('卡片raw data'!AE:AE,MATCH($D422,'卡片raw data'!$F:$F,)),0)+IF($P422=4,INDEX('卡片raw data'!AH:AH,MATCH($D422,'卡片raw data'!$F:$F,)),0)+IF($P422=5,INDEX('卡片raw data'!AK:AK,MATCH($D422,'卡片raw data'!$F:$F,)),0)+INDEX('卡片raw data'!S:S,MATCH($D422,'卡片raw data'!$F:$F,))*(IF($F422="UR",0.04,0.033))*(IF($F422="UR",INDEX(绊状态确认!$S:$S,MATCH($G422,绊状态确认!$B:$B,))/2-40)+IF($F422="SR",INDEX(绊状态确认!$R:$R,MATCH($G422,绊状态确认!$B:$B,))/4-15))+IF($F422="R",INDEX(绊状态确认!$Q:$Q,MATCH($G422,绊状态确认!$B:$B,))/6-40/6)))*(INDEX(绊状态确认!$H:$H,MATCH($G422,绊状态确认!$B:$B,))+INDEX(绊状态确认!J:J,MATCH($G422,绊状态确认!$B:$B,)))</f>
        <v>9359.8449599999985</v>
      </c>
      <c r="AM422" s="1106">
        <f>IF($P422="","N/A",(IF($P422=-1,INDEX('卡片raw data'!T:T,MATCH($D422,'卡片raw data'!$F:$F,)),0)+IF($P422=0,INDEX('卡片raw data'!W:W,MATCH($D422,'卡片raw data'!$F:$F,)),0)+IF($P422=1,INDEX('卡片raw data'!Z:Z,MATCH($D422,'卡片raw data'!$F:$F,)),0)+IF($P422=2,INDEX('卡片raw data'!AC:AC,MATCH($D422,'卡片raw data'!$F:$F,)),0)+IF($P422=3,INDEX('卡片raw data'!AF:AF,MATCH($D422,'卡片raw data'!$F:$F,)),0)+IF($P422=4,INDEX('卡片raw data'!AI:AI,MATCH($D422,'卡片raw data'!$F:$F,)),0)+IF($P422=5,INDEX('卡片raw data'!AL:AL,MATCH($D422,'卡片raw data'!$F:$F,)),0)+INDEX('卡片raw data'!T:T,MATCH($D422,'卡片raw data'!$F:$F,))*(IF($F422="UR",0.04,0.033))*(IF($F422="UR",INDEX(绊状态确认!$S:$S,MATCH($G422,绊状态确认!$B:$B,))/2-40)+IF($F422="SR",INDEX(绊状态确认!$R:$R,MATCH($G422,绊状态确认!$B:$B,))/4-15))+IF($F422="R",INDEX(绊状态确认!$Q:$Q,MATCH($G422,绊状态确认!$B:$B,))/6-40/6)))*(INDEX(绊状态确认!$H:$H,MATCH($G422,绊状态确认!$B:$B,))+INDEX(绊状态确认!K:K,MATCH($G422,绊状态确认!$B:$B,)))</f>
        <v>9075.9722399999991</v>
      </c>
      <c r="AN422" s="1106">
        <f>IF($P422="","N/A",(IF($P422=-1,INDEX('卡片raw data'!U:U,MATCH($D422,'卡片raw data'!$F:$F,)),0)+IF($P422=0,INDEX('卡片raw data'!X:X,MATCH($D422,'卡片raw data'!$F:$F,)),0)+IF($P422=1,INDEX('卡片raw data'!AA:AA,MATCH($D422,'卡片raw data'!$F:$F,)),0)+IF($P422=2,INDEX('卡片raw data'!AD:AD,MATCH($D422,'卡片raw data'!$F:$F,)),0)+IF($P422=3,INDEX('卡片raw data'!AG:AG,MATCH($D422,'卡片raw data'!$F:$F,)),0)+IF($P422=4,INDEX('卡片raw data'!AJ:AJ,MATCH($D422,'卡片raw data'!$F:$F,)),0)+IF($P422=5,INDEX('卡片raw data'!AM:AM,MATCH($D422,'卡片raw data'!$F:$F,)),0)+INDEX('卡片raw data'!U:U,MATCH($D422,'卡片raw data'!$F:$F,))*(IF($F422="UR",0.04,0.033))*(IF($F422="UR",INDEX(绊状态确认!$S:$S,MATCH($G422,绊状态确认!$B:$B,))/2-40)+IF($F422="SR",INDEX(绊状态确认!$R:$R,MATCH($G422,绊状态确认!$B:$B,))/4-15))+IF($F422="R",INDEX(绊状态确认!$Q:$Q,MATCH($G422,绊状态确认!$B:$B,))/6-40/6)))*(INDEX(绊状态确认!$H:$H,MATCH($G422,绊状态确认!$B:$B,))+INDEX(绊状态确认!L:L,MATCH($G422,绊状态确认!$B:$B,)))</f>
        <v>9927.5903999999991</v>
      </c>
      <c r="AO422" s="1107">
        <f t="shared" si="536"/>
        <v>1</v>
      </c>
      <c r="AP422" s="1131">
        <f>1+(INDEX(绊状态确认!$T:$T,MATCH($G422,绊状态确认!$B:$B,))+0.2)*$AO422</f>
        <v>1.3</v>
      </c>
      <c r="AQ422" s="1108">
        <f t="shared" si="537"/>
        <v>27819.593019999997</v>
      </c>
      <c r="AR422" s="1097">
        <f>(AM422*(1+$EX$9)+$EX$35)*(1+(INDEX(绊状态确认!$T:$T,MATCH($G422,绊状态确认!$B:$B,))+0.2)*AO422)*IF(J422=$FF$17,1+$FE$17,1)*IF(I422=$FF$14,1+$FE$14,1)</f>
        <v>15092.7021076</v>
      </c>
      <c r="AS422" s="1097">
        <f>(AN422*(1+$EX$10)+$EX$36)*(1+(INDEX(绊状态确认!$T:$T,MATCH($G422,绊状态确认!$B:$B,))+0.2)*AO422)*IF(J422=$FF$17,1+$FE$17,1)*IF(I422=$FF$14,1+$FE$14,1)</f>
        <v>18897.747648</v>
      </c>
      <c r="AT422" s="1093">
        <f>IF(AND(INDEX('卡片raw data'!AK:AK,MATCH($D422,'卡片raw data'!$F:$F,))&lt;INDEX('卡片raw data'!AM:AM,MATCH($D422,'卡片raw data'!$F:$F,)),INDEX('卡片raw data'!AL:AL,MATCH($D422,'卡片raw data'!$F:$F,))&lt;INDEX('卡片raw data'!AM:AM,MATCH($D422,'卡片raw data'!$F:$F,))),1,0)</f>
        <v>1</v>
      </c>
      <c r="AU422" s="1098">
        <f>MIN(AT422*0.15+AS422*0.00003+INDEX(绊状态确认!M:M,MATCH($G422,绊状态确认!$B:$B,)),1)</f>
        <v>0.74693242944000005</v>
      </c>
      <c r="AV422" s="1109">
        <f>(INDEX(绊状态确认!$N:$N,MATCH($G422,绊状态确认!$B:$B,))+1.5)*$EW$21</f>
        <v>2.6599999999999997</v>
      </c>
      <c r="AW422" s="1101">
        <f t="shared" si="538"/>
        <v>32362.21841316425</v>
      </c>
      <c r="AX422" s="1097">
        <f t="shared" si="539"/>
        <v>1301.150392331193</v>
      </c>
      <c r="AY422" s="1110">
        <f t="shared" si="540"/>
        <v>33663.36880549544</v>
      </c>
      <c r="AZ422" s="429">
        <f t="shared" si="541"/>
        <v>20851.697671999998</v>
      </c>
      <c r="BA422" s="431">
        <f t="shared" si="542"/>
        <v>25022.037206399997</v>
      </c>
      <c r="BB422" s="1097">
        <f>(AM422*(1+$FB$9)+$FB$35)*(1+(INDEX(绊状态确认!$T:$T,MATCH($G422,绊状态确认!$B:$B,))+0.2)*AO422)*IF(J422=$FF$17,1+$FE$17,1)*IF(I422=$FF$14,1+$FE$14,1)*(1+$FE$15)</f>
        <v>15092.7021076</v>
      </c>
      <c r="BC422" s="1097">
        <f>(AN422*(1+$FB$10)+$FB$36)*(1+(INDEX(绊状态确认!$T:$T,MATCH($G422,绊状态确认!$B:$B,))+0.2)*AO422)*IF(J422=$FF$17,1+$FE$17,1)*IF(I422=$FF$14,1+$FE$14,1)*(1+$FE$15)</f>
        <v>18897.747648</v>
      </c>
      <c r="BD422" s="1104">
        <f>MIN(AT422*0.15+BC422*0.00003+INDEX(绊状态确认!M:M,MATCH($G422,绊状态确认!$B:$B,)),1)</f>
        <v>0.74693242944000005</v>
      </c>
      <c r="BE422" s="432">
        <f>(INDEX(绊状态确认!$N:$N,MATCH($G422,绊状态确认!$B:$B,))+1.5)</f>
        <v>1.9</v>
      </c>
      <c r="BF422" s="1139">
        <f t="array" ref="BF422">SUMPRODUCT(IF(AZ422*AP422*$FI$16:$FI$23*$FA$22&gt;=$FI$24,$FI$24,AZ422*AP422*$FI$16:$FI$23*$FA$22),$FJ$16:$FJ$23)</f>
        <v>41474.026669608</v>
      </c>
      <c r="BG422" s="1125">
        <f t="array" ref="BG422">SUMPRODUCT(IF(BE422*AZ422*AP422*$FI$16:$FI$23*$FA$22&gt;=$FI$24,$FI$24,BE422*AZ422*AP422*$FI$16:$FI$23*$FA$22),$FJ$16:$FJ$23)</f>
        <v>60000</v>
      </c>
      <c r="BH422" s="1110">
        <f t="shared" si="543"/>
        <v>18437.225645672781</v>
      </c>
      <c r="BI422" s="1111">
        <f>IF(O422="vo",$EW$26/$EW$24*0.05,0)+IF(O422="sk",-$EW$26/$EW$24*(0.05-INDEX(绊状态确认!W:W,MATCH($G422,绊状态确认!$B:$B,)))+0.05*$EW$28,0)+IF(O422="sp",0.05*$EW$32*$EW$30*(1-$EW$33)-(0.05-INDEX(绊状态确认!V:V,MATCH($G422,绊状态确认!$B:$B,)))*$EW$28,0)+IF(O422="gd",-(0.05-INDEX(绊状态确认!X:X,MATCH($G422,绊状态确认!$B:$B,)))*$EW$32*$EW$30*(1-$EW$33),0)</f>
        <v>-6253.6726349699375</v>
      </c>
      <c r="BJ422" s="420">
        <f>IF(O422="vo",0.05*(1-$FI$26)*$FA$24,0)+IF(O422="sk",-(0.05-INDEX(绊状态确认!W:W,MATCH($G422,绊状态确认!$B:$B,)))*(1-$FI$26)*$FA$24+0.05*$FA$26,0)+IF(O422="sp",0.05*$FA$32*$FA$27*(1-$FA$33)/$FA$30+0.05*$FA$29/$FA$69*$FA$27*(1-$FA$33)-(0.05-INDEX(绊状态确认!V:V,MATCH($G422,绊状态确认!$B:$B,)))*$FA$26,0)+IF(O422="gd",-(0.05-INDEX(绊状态确认!X:X,MATCH($G422,绊状态确认!$B:$B,)))*$FA$32*$FA$27*(1-$FA$33)/$FA$30-(0.05-INDEX(绊状态确认!X:X,MATCH($G422,绊状态确认!$B:$B,)))*$FA$29/$FA$69*$FA$27*(1-$FA$33),0)</f>
        <v>20.459096812499922</v>
      </c>
      <c r="BK422" s="1110">
        <f>IF(O422="vo",$EW$26/$EW$24*0.05+$EW$26*(-HP($EW$62,$EW$65,$EW$64)+HP($EW$62,$EW$65,(1.05-INDEX(绊状态确认!U:U,MATCH($G422,绊状态确认!$B:$B,)))*$EW$64)),0)+IF(O422="sk",-$EW$26/$EW$24*(0.05-INDEX(绊状态确认!W:W,MATCH($G422,绊状态确认!$B:$B,)))+0.05*$EW$29,0)+IF(O422="sp",0.05*$EW$32*$EW$30*(1-$EW$33)-(0.05-INDEX(绊状态确认!V:V,MATCH($G422,绊状态确认!$B:$B,)))*$EW$29,0)+IF(O422="gd",-(0.05-INDEX(绊状态确认!X:X,MATCH($G422,绊状态确认!$B:$B,)))*$EW$32*$EW$30*(1-$EW$33)+$EW$26*(-HP($EW$62,$EW$65,$EW$64)+HP($EW$62,$EW$65,0.95*$EW$64)),0)</f>
        <v>-4253.6726349699375</v>
      </c>
      <c r="BL422" s="1111">
        <f t="shared" si="544"/>
        <v>0</v>
      </c>
      <c r="BM422" s="1110">
        <f t="shared" si="545"/>
        <v>0</v>
      </c>
      <c r="BN422" s="1113">
        <f t="shared" si="546"/>
        <v>3</v>
      </c>
      <c r="BO422" s="1108">
        <f t="shared" si="547"/>
        <v>4507.7214871259994</v>
      </c>
      <c r="BP422" s="1100">
        <f t="shared" si="548"/>
        <v>221.34103209030098</v>
      </c>
      <c r="BQ422" s="1113" t="s">
        <v>134</v>
      </c>
      <c r="BR422" s="1124" t="s">
        <v>171</v>
      </c>
      <c r="BS422" s="421">
        <f>IF($P422="","N/A",IF($P422=-1,INDEX('卡片raw data'!AX:AX,MATCH($D422,'卡片raw data'!$F:$F,)),0)+IF($L422="party卡",IF($P422=5,INDEX('卡片raw data'!BD:BD,MATCH($D422,'卡片raw data'!$F:$F,)),IF($P422&gt;=3,INDEX('卡片raw data'!BC:BC,MATCH($D422,'卡片raw data'!$F:$F,)),INDEX('卡片raw data'!BB:BB,MATCH($D422,'卡片raw data'!$F:$F,)))),IF(OR(AND($F422="UR",$P422=0),AND($F422="SR",$P422&gt;=0,$P422&lt;=2),AND($F422="R",$P422&gt;=0,$P422&lt;4)),INDEX('卡片raw data'!AZ:AZ,MATCH($D422,'卡片raw data'!$F:$F,)),0)+IF(OR(AND($F422="UR",$P422&gt;=1,$P422&lt;=4),AND($F422="SR",$P422&lt;=4,$P422&gt;=3),AND($F422="R",$P422=4)),INDEX('卡片raw data'!BA:BA,MATCH($D422,'卡片raw data'!$F:$F,)),0)+IF($P422=5,INDEX('卡片raw data'!BB:BB,MATCH($D422,'卡片raw data'!$F:$F,)),0)))</f>
        <v>5.1999999999999998E-2</v>
      </c>
      <c r="BT422" s="424">
        <f t="shared" si="549"/>
        <v>2452.5263374936467</v>
      </c>
      <c r="BU422" s="420">
        <f t="shared" si="550"/>
        <v>155.22419036436909</v>
      </c>
      <c r="BV422" s="420">
        <f t="shared" si="551"/>
        <v>1226.2631687468233</v>
      </c>
      <c r="BW422" s="436">
        <f t="shared" si="552"/>
        <v>0</v>
      </c>
      <c r="BX422" s="423">
        <f t="shared" si="553"/>
        <v>2452.5263374936467</v>
      </c>
      <c r="BY422" s="433">
        <f t="shared" si="554"/>
        <v>1226.2631687468233</v>
      </c>
      <c r="BZ422" s="1113" t="s">
        <v>569</v>
      </c>
      <c r="CA422" s="450"/>
      <c r="CB422" s="421">
        <f>IF($P422="","N/A",IF($P422=-1,INDEX('卡片raw data'!BE:BE,MATCH($D422,'卡片raw data'!$F:$F,)),0)+IF($L422="party卡",IF($P422=5,INDEX('卡片raw data'!BK:BK,MATCH($D422,'卡片raw data'!$F:$F,)),IF($P422&gt;=3,INDEX('卡片raw data'!BJ:BJ,MATCH($D422,'卡片raw data'!$F:$F,)),INDEX('卡片raw data'!BI:BI,MATCH($D422,'卡片raw data'!$F:$F,)))),IF(OR(AND($F422="UR",$P422=0),AND($F422="SR",$P422&gt;=0,$P422&lt;=2),AND($F422="R",$P422&gt;=0,$P422&lt;4)),INDEX('卡片raw data'!BG:BG,MATCH($D422,'卡片raw data'!$F:$F,)),0)+IF(OR(AND($F422="UR",$P422&gt;=1,$P422&lt;=4),AND($F422="SR",$P422&lt;=4,$P422&gt;=3),AND($F422="R",$P422=4)),INDEX('卡片raw data'!BH:BH,MATCH($D422,'卡片raw data'!$F:$F,)),0)+IF($P422=5,INDEX('卡片raw data'!BI:BI,MATCH($D422,'卡片raw data'!$F:$F,)),0)))</f>
        <v>0</v>
      </c>
      <c r="CC422" s="424">
        <f t="shared" si="555"/>
        <v>0</v>
      </c>
      <c r="CD422" s="420">
        <f>IF(BZ422="ap",CB422*(1-$FI$26)*$FB$5/$FB$11*(+IF(CA422="全员",$FA$24,0)+IF(CA422="同作战",$FA$24,0)+IF(CA422="仲间",$FA$24*2/3,0)+IF(CA422="同属性",$FA$24*$FA$37/3,0)+IF(CA422="同年级",$FA$24*$FA$40/3,0)+IF(CA422="同学校",$FA$24*$FA$43/3,0)+IF(CA422="同小队",$FA$24*$FA$46/3,0)+IF(CA422="同type",$FA$24*INDEX($FB$49:$FB$52,MATCH(X422,$FA$49:$FA$52,))/3,0)+IF(CA422="自身",#REF!/3,0)),0)+IF(BZ422="te",CB422*(1-$FI$27)*($FA$20-1)*$FB$7/$FB$13*(+IF(CA422="全员",$FA$19*$FA$24/(1+($FA$20-1)*$FA$19),0)+IF(CA422="同作战",$FA$19*$FA$24/(1+($FA$20-1)*$FA$19),0)+IF(CA422="仲间",$FA$19*$FA$24*2/3/(1+($FA$20-1)*$FA$19),0)+IF(CA422="同属性",$FA$19*$FA$24*$FA$37/3/(1+($FA$20-1)*$FA$19),0)+IF(CA422="同年级",$FA$19*$FA$24*$FA$40/3/(1+($FA$20-1)*$FA$19),0)+IF(CA422="同学校",$FA$19*$FA$24*$FA$43/3/(1+($FA$20-1)*$FA$19),0)+IF(CA422="同小队",$FA$19*$FA$24*$FA$46/3/(1+($FA$20-1)*$FA$19),0)+IF(CA422="同type",$FA$19*$FA$24*INDEX($FB$49:$FB$52,MATCH(X422,$FA$49:$FA$52,))/3/(1+($FA$20-1)*$FA$19),0)+IF(CA422="自身",$FA$19*#REF!/3/(1+(BH422-1)*$BD422),0)),0)</f>
        <v>0</v>
      </c>
      <c r="CE422" s="420">
        <f t="shared" si="556"/>
        <v>0</v>
      </c>
      <c r="CF422" s="436">
        <f t="shared" si="557"/>
        <v>0</v>
      </c>
      <c r="CG422" s="423">
        <f t="shared" si="558"/>
        <v>0</v>
      </c>
      <c r="CH422" s="433">
        <f t="shared" si="559"/>
        <v>0</v>
      </c>
      <c r="CI422" s="437" t="s">
        <v>165</v>
      </c>
      <c r="CJ422" s="1114">
        <v>1</v>
      </c>
      <c r="CK422" s="439" t="s">
        <v>551</v>
      </c>
      <c r="CL422" s="1115" t="s">
        <v>1947</v>
      </c>
      <c r="CM422" s="1119">
        <v>1.2E-2</v>
      </c>
      <c r="CN422" s="1115" t="s">
        <v>163</v>
      </c>
      <c r="CO422" s="1115"/>
      <c r="CP422" s="1118">
        <f t="shared" si="560"/>
        <v>1.2E-2</v>
      </c>
      <c r="CQ422" s="1118">
        <f t="shared" si="561"/>
        <v>1.2E-2</v>
      </c>
      <c r="CR422" s="1118">
        <f t="shared" si="562"/>
        <v>1.2E-2</v>
      </c>
      <c r="CS422" s="442">
        <f t="shared" si="563"/>
        <v>0</v>
      </c>
      <c r="CT422" s="432">
        <f t="shared" si="564"/>
        <v>0</v>
      </c>
      <c r="CU422" s="1101">
        <f t="shared" si="565"/>
        <v>719.11338738525012</v>
      </c>
      <c r="CV422" s="1108">
        <f t="shared" si="566"/>
        <v>0</v>
      </c>
      <c r="CW422" s="420">
        <f t="shared" si="567"/>
        <v>719.11338738525012</v>
      </c>
      <c r="CX422" s="420">
        <f t="shared" si="568"/>
        <v>719.11338738525012</v>
      </c>
      <c r="CY422" s="433">
        <f t="shared" si="569"/>
        <v>719.11338738525012</v>
      </c>
      <c r="CZ422" s="437"/>
      <c r="DA422" s="438"/>
      <c r="DB422" s="439" t="s">
        <v>569</v>
      </c>
      <c r="DC422" s="439"/>
      <c r="DD422" s="443"/>
      <c r="DE422" s="411"/>
      <c r="DF422" s="411"/>
      <c r="DG422" s="1116">
        <f t="shared" si="570"/>
        <v>0</v>
      </c>
      <c r="DH422" s="1116">
        <f t="shared" si="571"/>
        <v>0</v>
      </c>
      <c r="DI422" s="1116">
        <f t="shared" si="572"/>
        <v>0</v>
      </c>
      <c r="DJ422" s="442">
        <f t="shared" si="573"/>
        <v>0</v>
      </c>
      <c r="DK422" s="432">
        <f t="shared" si="574"/>
        <v>0</v>
      </c>
      <c r="DL422" s="424">
        <f t="shared" si="575"/>
        <v>0</v>
      </c>
      <c r="DM422" s="420">
        <f t="shared" si="576"/>
        <v>0</v>
      </c>
      <c r="DN422" s="420">
        <f t="shared" si="577"/>
        <v>0</v>
      </c>
      <c r="DO422" s="420">
        <f t="shared" si="578"/>
        <v>0</v>
      </c>
      <c r="DP422" s="433">
        <f t="shared" si="579"/>
        <v>0</v>
      </c>
      <c r="DQ422" s="1113" t="s">
        <v>549</v>
      </c>
      <c r="DR422" s="1120">
        <f t="shared" si="580"/>
        <v>0.33</v>
      </c>
      <c r="DS422" s="450"/>
      <c r="DT422" s="1093" t="s">
        <v>179</v>
      </c>
      <c r="DU422" s="1093"/>
      <c r="DV422" s="1098">
        <f>IF($P422="","N/A",IF(P422=-1,INDEX('卡片raw data'!AN:AN,MATCH(D422,'卡片raw data'!$F:$F,)),0)+IF(AND(L422&lt;&gt;"party卡",P422&lt;=2,P422&gt;=0),INDEX('卡片raw data'!AP:AP,MATCH(D422,'卡片raw data'!$F:$F,)),0)+IF(OR(AND(L422="party卡",P422&lt;=1),AND(P422&lt;=4,L422&lt;&gt;"party卡",P422&gt;=3)),INDEX('卡片raw data'!AQ:AQ,MATCH(D422,'卡片raw data'!$F:$F,)),0)+IF(OR(P422=5,AND(L422="party卡",P422&gt;=2)),INDEX('卡片raw data'!AR:AR,MATCH(D422,'卡片raw data'!$F:$F,)),0))</f>
        <v>0.08</v>
      </c>
      <c r="DW422" s="1098">
        <f t="shared" si="581"/>
        <v>0.33</v>
      </c>
      <c r="DX422" s="1098">
        <f t="shared" si="582"/>
        <v>0.33</v>
      </c>
      <c r="DY422" s="1098">
        <f t="shared" si="583"/>
        <v>8.8000000000000005E-3</v>
      </c>
      <c r="DZ422" s="1098">
        <f t="shared" si="584"/>
        <v>8.7538000000000008E-3</v>
      </c>
      <c r="EA422" s="421">
        <f t="shared" si="585"/>
        <v>0</v>
      </c>
      <c r="EB422" s="445">
        <f t="shared" si="586"/>
        <v>61.833199999999991</v>
      </c>
      <c r="EC422" s="424">
        <f t="shared" si="587"/>
        <v>3960.0000000000005</v>
      </c>
      <c r="ED422" s="420">
        <f t="shared" si="588"/>
        <v>2188.4500000000003</v>
      </c>
      <c r="EE422" s="433">
        <f t="shared" si="598"/>
        <v>3960.0000000000005</v>
      </c>
      <c r="EF422" s="1115" t="s">
        <v>569</v>
      </c>
      <c r="EG422" s="444">
        <f t="shared" si="589"/>
        <v>0.33</v>
      </c>
      <c r="EH422" s="450"/>
      <c r="EI422" s="1093"/>
      <c r="EJ422" s="1093"/>
      <c r="EK422" s="420">
        <f>IF($P422="","N/A",IF(P422=-1,INDEX('卡片raw data'!AS:AS,MATCH(D422,'卡片raw data'!$F:$F,)),0)+IF(AND(L422&lt;&gt;"party卡",P422&lt;=2,P422&gt;=0),INDEX('卡片raw data'!AU:AU,MATCH(D422,'卡片raw data'!$F:$F,)),0)+IF(OR(AND(L422="party卡",P422&lt;=1),AND(P422&lt;=4,L422&lt;&gt;"party卡",P422&gt;=3)),INDEX('卡片raw data'!AV:AV,MATCH(D422,'卡片raw data'!$F:$F,)),0)+IF(OR(P422=5,AND(L422="party卡",P422&gt;=2)),INDEX('卡片raw data'!AW:AW,MATCH(D422,'卡片raw data'!$F:$F,)),0))</f>
        <v>0</v>
      </c>
      <c r="EL422" s="1098">
        <f t="shared" si="590"/>
        <v>0.33</v>
      </c>
      <c r="EM422" s="1098">
        <f t="shared" si="591"/>
        <v>0.33</v>
      </c>
      <c r="EN422" s="1097">
        <f t="shared" si="592"/>
        <v>0</v>
      </c>
      <c r="EO422" s="1097">
        <f t="shared" si="593"/>
        <v>0</v>
      </c>
      <c r="EP422" s="421">
        <f t="shared" si="594"/>
        <v>0</v>
      </c>
      <c r="EQ422" s="445">
        <f t="shared" si="595"/>
        <v>0</v>
      </c>
      <c r="ER422" s="424">
        <f t="shared" si="596"/>
        <v>0</v>
      </c>
      <c r="ES422" s="420">
        <f t="shared" si="597"/>
        <v>0</v>
      </c>
      <c r="ET422" s="446">
        <f t="shared" si="599"/>
        <v>0</v>
      </c>
    </row>
    <row r="423" spans="2:150" ht="16.5" customHeight="1">
      <c r="B423" s="448" t="str">
        <f>INDEX('卡片raw data'!B:B,MATCH($D423,'卡片raw data'!$F:$F,))</f>
        <v>mw曜</v>
      </c>
      <c r="C423" s="449" t="s">
        <v>2302</v>
      </c>
      <c r="D423" s="408">
        <v>420</v>
      </c>
      <c r="E423" s="477">
        <v>401052003</v>
      </c>
      <c r="F423" s="409" t="str">
        <f>INDEX('卡片raw data'!C:C,MATCH($D423,'卡片raw data'!$F:$F,))</f>
        <v>SR</v>
      </c>
      <c r="G423" s="1094" t="s">
        <v>2303</v>
      </c>
      <c r="H423" s="411">
        <f>IFERROR(INDEX(绊状态确认!C:C,MATCH($G423,绊状态确认!$B:$B,)),"")</f>
        <v>105</v>
      </c>
      <c r="I423" s="450" t="str">
        <f>IFERROR(INDEX(绊状态确认!D:D,MATCH($G423,绊状态确认!$B:$B,)),"")</f>
        <v>水</v>
      </c>
      <c r="J423" s="450" t="str">
        <f>IFERROR(INDEX(绊状态确认!E:E,MATCH($G423,绊状态确认!$B:$B,)),"")</f>
        <v>2年级</v>
      </c>
      <c r="K423" s="451" t="str">
        <f>IFERROR(INDEX(绊状态确认!F:F,MATCH($G423,绊状态确认!$B:$B,)),"")</f>
        <v>CYaRon!</v>
      </c>
      <c r="L423" s="414" t="str">
        <f>INDEX('卡片raw data'!E:E,MATCH($D423,'卡片raw data'!$F:$F,))</f>
        <v>活动卡</v>
      </c>
      <c r="M423" s="478">
        <v>44259</v>
      </c>
      <c r="N423" s="479">
        <v>35</v>
      </c>
      <c r="O423" s="410" t="str">
        <f>INDEX('卡片raw data'!D:D,MATCH($D423,'卡片raw data'!$F:$F,))</f>
        <v>gd</v>
      </c>
      <c r="P423" s="1126">
        <v>5</v>
      </c>
      <c r="Q423" s="418">
        <f t="shared" si="515"/>
        <v>16492.304818524859</v>
      </c>
      <c r="R423" s="419">
        <f t="shared" si="516"/>
        <v>0.191</v>
      </c>
      <c r="S423" s="420">
        <f t="shared" si="517"/>
        <v>9309.8391795172174</v>
      </c>
      <c r="T423" s="421">
        <f t="shared" si="518"/>
        <v>0.46500000000000002</v>
      </c>
      <c r="U423" s="422">
        <f t="shared" si="519"/>
        <v>370.68371501908337</v>
      </c>
      <c r="V423" s="423">
        <f t="shared" si="520"/>
        <v>58539.010164486353</v>
      </c>
      <c r="W423" s="424">
        <f t="shared" si="521"/>
        <v>4507.7214871259994</v>
      </c>
      <c r="X423" s="419">
        <f t="shared" si="522"/>
        <v>5.1999999999999998E-2</v>
      </c>
      <c r="Y423" s="420">
        <f t="shared" si="523"/>
        <v>1186.828928883936</v>
      </c>
      <c r="Z423" s="425">
        <f t="shared" si="524"/>
        <v>14.882823092331424</v>
      </c>
      <c r="AA423" s="426">
        <f t="shared" si="525"/>
        <v>5694.5504160099354</v>
      </c>
      <c r="AB423" s="424">
        <f t="shared" si="526"/>
        <v>4507.7214871259994</v>
      </c>
      <c r="AC423" s="427">
        <f t="shared" si="527"/>
        <v>5.1999999999999998E-2</v>
      </c>
      <c r="AD423" s="428">
        <f t="shared" si="528"/>
        <v>-3.8207812500000026E-3</v>
      </c>
      <c r="AE423" s="516">
        <f t="shared" si="529"/>
        <v>-18.525362318840578</v>
      </c>
      <c r="AF423" s="1130">
        <f t="shared" si="530"/>
        <v>5243.8067312833264</v>
      </c>
      <c r="AG423" s="420">
        <f t="shared" si="531"/>
        <v>102541.840113824</v>
      </c>
      <c r="AH423" s="420">
        <f t="shared" si="532"/>
        <v>19.554847340593874</v>
      </c>
      <c r="AI423" s="1097">
        <f t="shared" si="533"/>
        <v>86919.030932707188</v>
      </c>
      <c r="AJ423" s="420">
        <f t="shared" si="534"/>
        <v>58539.010164486353</v>
      </c>
      <c r="AK423" s="518">
        <f t="shared" si="535"/>
        <v>28380.020768220835</v>
      </c>
      <c r="AL423" s="429">
        <f>IF($P423="","N/A",(IF($P423=-1,INDEX('卡片raw data'!S:S,MATCH($D423,'卡片raw data'!$F:$F,)),0)+IF($P423=0,INDEX('卡片raw data'!V:V,MATCH($D423,'卡片raw data'!$F:$F,)),0)+IF($P423=1,INDEX('卡片raw data'!Y:Y,MATCH($D423,'卡片raw data'!$F:$F,)),0)+IF($P423=2,INDEX('卡片raw data'!AB:AB,MATCH($D423,'卡片raw data'!$F:$F,)),0)+IF($P423=3,INDEX('卡片raw data'!AE:AE,MATCH($D423,'卡片raw data'!$F:$F,)),0)+IF($P423=4,INDEX('卡片raw data'!AH:AH,MATCH($D423,'卡片raw data'!$F:$F,)),0)+IF($P423=5,INDEX('卡片raw data'!AK:AK,MATCH($D423,'卡片raw data'!$F:$F,)),0)+INDEX('卡片raw data'!S:S,MATCH($D423,'卡片raw data'!$F:$F,))*(IF($F423="UR",0.04,0.033))*(IF($F423="UR",INDEX(绊状态确认!$S:$S,MATCH($G423,绊状态确认!$B:$B,))/2-40)+IF($F423="SR",INDEX(绊状态确认!$R:$R,MATCH($G423,绊状态确认!$B:$B,))/4-15))+IF($F423="R",INDEX(绊状态确认!$Q:$Q,MATCH($G423,绊状态确认!$B:$B,))/6-40/6)))*(INDEX(绊状态确认!$H:$H,MATCH($G423,绊状态确认!$B:$B,))+INDEX(绊状态确认!J:J,MATCH($G423,绊状态确认!$B:$B,)))</f>
        <v>4718.4100751999995</v>
      </c>
      <c r="AM423" s="429">
        <f>IF($P423="","N/A",(IF($P423=-1,INDEX('卡片raw data'!T:T,MATCH($D423,'卡片raw data'!$F:$F,)),0)+IF($P423=0,INDEX('卡片raw data'!W:W,MATCH($D423,'卡片raw data'!$F:$F,)),0)+IF($P423=1,INDEX('卡片raw data'!Z:Z,MATCH($D423,'卡片raw data'!$F:$F,)),0)+IF($P423=2,INDEX('卡片raw data'!AC:AC,MATCH($D423,'卡片raw data'!$F:$F,)),0)+IF($P423=3,INDEX('卡片raw data'!AF:AF,MATCH($D423,'卡片raw data'!$F:$F,)),0)+IF($P423=4,INDEX('卡片raw data'!AI:AI,MATCH($D423,'卡片raw data'!$F:$F,)),0)+IF($P423=5,INDEX('卡片raw data'!AL:AL,MATCH($D423,'卡片raw data'!$F:$F,)),0)+INDEX('卡片raw data'!T:T,MATCH($D423,'卡片raw data'!$F:$F,))*(IF($F423="UR",0.04,0.033))*(IF($F423="UR",INDEX(绊状态确认!$S:$S,MATCH($G423,绊状态确认!$B:$B,))/2-40)+IF($F423="SR",INDEX(绊状态确认!$R:$R,MATCH($G423,绊状态确认!$B:$B,))/4-15))+IF($F423="R",INDEX(绊状态确认!$Q:$Q,MATCH($G423,绊状态确认!$B:$B,))/6-40/6)))*(INDEX(绊状态确认!$H:$H,MATCH($G423,绊状态确认!$B:$B,))+INDEX(绊状态确认!K:K,MATCH($G423,绊状态确认!$B:$B,)))</f>
        <v>6994.7874623999996</v>
      </c>
      <c r="AN423" s="429">
        <f>IF($P423="","N/A",(IF($P423=-1,INDEX('卡片raw data'!U:U,MATCH($D423,'卡片raw data'!$F:$F,)),0)+IF($P423=0,INDEX('卡片raw data'!X:X,MATCH($D423,'卡片raw data'!$F:$F,)),0)+IF($P423=1,INDEX('卡片raw data'!AA:AA,MATCH($D423,'卡片raw data'!$F:$F,)),0)+IF($P423=2,INDEX('卡片raw data'!AD:AD,MATCH($D423,'卡片raw data'!$F:$F,)),0)+IF($P423=3,INDEX('卡片raw data'!AG:AG,MATCH($D423,'卡片raw data'!$F:$F,)),0)+IF($P423=4,INDEX('卡片raw data'!AJ:AJ,MATCH($D423,'卡片raw data'!$F:$F,)),0)+IF($P423=5,INDEX('卡片raw data'!AM:AM,MATCH($D423,'卡片raw data'!$F:$F,)),0)+INDEX('卡片raw data'!U:U,MATCH($D423,'卡片raw data'!$F:$F,))*(IF($F423="UR",0.04,0.033))*(IF($F423="UR",INDEX(绊状态确认!$S:$S,MATCH($G423,绊状态确认!$B:$B,))/2-40)+IF($F423="SR",INDEX(绊状态确认!$R:$R,MATCH($G423,绊状态确认!$B:$B,))/4-15))+IF($F423="R",INDEX(绊状态确认!$Q:$Q,MATCH($G423,绊状态确认!$B:$B,))/6-40/6)))*(INDEX(绊状态确认!$H:$H,MATCH($G423,绊状态确认!$B:$B,))+INDEX(绊状态确认!L:L,MATCH($G423,绊状态确认!$B:$B,)))</f>
        <v>5769.1505159999988</v>
      </c>
      <c r="AO423" s="430">
        <f t="shared" si="536"/>
        <v>1</v>
      </c>
      <c r="AP423" s="556">
        <f>1+(INDEX(绊状态确认!$T:$T,MATCH($G423,绊状态确认!$B:$B,))+0.2)*$AO423</f>
        <v>1.3</v>
      </c>
      <c r="AQ423" s="431">
        <f t="shared" si="537"/>
        <v>15635.826447399999</v>
      </c>
      <c r="AR423" s="420">
        <f>(AM423*(1+$EX$9)+$EX$35)*(1+(INDEX(绊状态确认!$T:$T,MATCH($G423,绊状态确认!$B:$B,))+0.2)*AO423)*IF(J423=$FF$17,1+$FE$17,1)*IF(I423=$FF$14,1+$FE$14,1)</f>
        <v>12251.884886175998</v>
      </c>
      <c r="AS423" s="420">
        <f>(AN423*(1+$EX$10)+$EX$36)*(1+(INDEX(绊状态确认!$T:$T,MATCH($G423,绊状态确认!$B:$B,))+0.2)*AO423)*IF(J423=$FF$17,1+$FE$17,1)*IF(I423=$FF$14,1+$FE$14,1)</f>
        <v>12680.88002142</v>
      </c>
      <c r="AT423" s="412">
        <f>IF(AND(INDEX('卡片raw data'!AK:AK,MATCH($D423,'卡片raw data'!$F:$F,))&lt;INDEX('卡片raw data'!AM:AM,MATCH($D423,'卡片raw data'!$F:$F,)),INDEX('卡片raw data'!AL:AL,MATCH($D423,'卡片raw data'!$F:$F,))&lt;INDEX('卡片raw data'!AM:AM,MATCH($D423,'卡片raw data'!$F:$F,))),1,0)</f>
        <v>0</v>
      </c>
      <c r="AU423" s="421">
        <f>MIN(AT423*0.15+AS423*0.00003+INDEX(绊状态确认!M:M,MATCH($G423,绊状态确认!$B:$B,)),1)</f>
        <v>0.41042640064260005</v>
      </c>
      <c r="AV423" s="432">
        <f>(INDEX(绊状态确认!$N:$N,MATCH($G423,绊状态确认!$B:$B,))+1.5)*$EW$21</f>
        <v>2.6599999999999997</v>
      </c>
      <c r="AW423" s="424">
        <f t="shared" si="538"/>
        <v>13652.916664732191</v>
      </c>
      <c r="AX423" s="420">
        <f t="shared" si="539"/>
        <v>1049.638734670594</v>
      </c>
      <c r="AY423" s="433">
        <f t="shared" si="540"/>
        <v>14702.555399402785</v>
      </c>
      <c r="AZ423" s="429">
        <f t="shared" si="541"/>
        <v>11800.899646639999</v>
      </c>
      <c r="BA423" s="431">
        <f t="shared" si="542"/>
        <v>14161.079575967999</v>
      </c>
      <c r="BB423" s="420">
        <f>(AM423*(1+$FB$9)+$FB$35)*(1+(INDEX(绊状态确认!$T:$T,MATCH($G423,绊状态确认!$B:$B,))+0.2)*AO423)*IF(J423=$FF$17,1+$FE$17,1)*IF(I423=$FF$14,1+$FE$14,1)*(1+$FE$15)</f>
        <v>12251.884886175998</v>
      </c>
      <c r="BC423" s="420">
        <f>(AN423*(1+$FB$10)+$FB$36)*(1+(INDEX(绊状态确认!$T:$T,MATCH($G423,绊状态确认!$B:$B,))+0.2)*AO423)*IF(J423=$FF$17,1+$FE$17,1)*IF(I423=$FF$14,1+$FE$14,1)*(1+$FE$15)</f>
        <v>12680.88002142</v>
      </c>
      <c r="BD423" s="427">
        <f>MIN(AT423*0.15+BC423*0.00003+INDEX(绊状态确认!M:M,MATCH($G423,绊状态确认!$B:$B,)),1)</f>
        <v>0.41042640064260005</v>
      </c>
      <c r="BE423" s="432">
        <f>(INDEX(绊状态确认!$N:$N,MATCH($G423,绊状态确认!$B:$B,))+1.5)</f>
        <v>1.9</v>
      </c>
      <c r="BF423" s="645">
        <f t="array" ref="BF423">SUMPRODUCT(IF(AZ423*AP423*$FI$16:$FI$23*$FA$22&gt;=$FI$24,$FI$24,AZ423*AP423*$FI$16:$FI$23*$FA$22),$FJ$16:$FJ$23)</f>
        <v>23471.989397166959</v>
      </c>
      <c r="BG423" s="453">
        <f t="array" ref="BG423">SUMPRODUCT(IF(BE423*AZ423*AP423*$FI$16:$FI$23*$FA$22&gt;=$FI$24,$FI$24,BE423*AZ423*AP423*$FI$16:$FI$23*$FA$22),$FJ$16:$FJ$23)</f>
        <v>44596.779854617227</v>
      </c>
      <c r="BH423" s="433">
        <f t="shared" si="543"/>
        <v>10714.053702982472</v>
      </c>
      <c r="BI423" s="434">
        <f>IF(O423="vo",$EW$26/$EW$24*0.05,0)+IF(O423="sk",-$EW$26/$EW$24*(0.05-INDEX(绊状态确认!W:W,MATCH($G423,绊状态确认!$B:$B,)))+0.05*$EW$28,0)+IF(O423="sp",0.05*$EW$32*$EW$30*(1-$EW$33)-(0.05-INDEX(绊状态确认!V:V,MATCH($G423,绊状态确认!$B:$B,)))*$EW$28,0)+IF(O423="gd",-(0.05-INDEX(绊状态确认!X:X,MATCH($G423,绊状态确认!$B:$B,)))*$EW$32*$EW$30*(1-$EW$33),0)</f>
        <v>-585.00000000000011</v>
      </c>
      <c r="BJ423" s="420">
        <f>IF(O423="vo",0.05*(1-$FI$26)*$FA$24,0)+IF(O423="sk",-(0.05-INDEX(绊状态确认!W:W,MATCH($G423,绊状态确认!$B:$B,)))*(1-$FI$26)*$FA$24+0.05*$FA$26,0)+IF(O423="sp",0.05*$FA$32*$FA$27*(1-$FA$33)/$FA$30+0.05*$FA$29/$FA$69*$FA$27*(1-$FA$33)-(0.05-INDEX(绊状态确认!V:V,MATCH($G423,绊状态确认!$B:$B,)))*$FA$26,0)+IF(O423="gd",-(0.05-INDEX(绊状态确认!X:X,MATCH($G423,绊状态确认!$B:$B,)))*$FA$32*$FA$27*(1-$FA$33)/$FA$30-(0.05-INDEX(绊状态确认!X:X,MATCH($G423,绊状态确认!$B:$B,)))*$FA$29/$FA$69*$FA$27*(1-$FA$33),0)</f>
        <v>-795.00000000000011</v>
      </c>
      <c r="BK423" s="433">
        <f>IF(O423="vo",$EW$26/$EW$24*0.05+$EW$26*(-HP($EW$62,$EW$65,$EW$64)+HP($EW$62,$EW$65,(1.05-INDEX(绊状态确认!U:U,MATCH($G423,绊状态确认!$B:$B,)))*$EW$64)),0)+IF(O423="sk",-$EW$26/$EW$24*(0.05-INDEX(绊状态确认!W:W,MATCH($G423,绊状态确认!$B:$B,)))+0.05*$EW$29,0)+IF(O423="sp",0.05*$EW$32*$EW$30*(1-$EW$33)-(0.05-INDEX(绊状态确认!V:V,MATCH($G423,绊状态确认!$B:$B,)))*$EW$29,0)+IF(O423="gd",-(0.05-INDEX(绊状态确认!X:X,MATCH($G423,绊状态确认!$B:$B,)))*$EW$32*$EW$30*(1-$EW$33)+$EW$26*(-HP($EW$62,$EW$65,$EW$64)+HP($EW$62,$EW$65,0.95*$EW$64)),0)</f>
        <v>1009.5947725176144</v>
      </c>
      <c r="BL423" s="434">
        <f t="shared" si="544"/>
        <v>-1083.3333333333333</v>
      </c>
      <c r="BM423" s="433">
        <f t="shared" si="545"/>
        <v>-830.55555555555543</v>
      </c>
      <c r="BN423" s="437">
        <f t="shared" si="546"/>
        <v>3</v>
      </c>
      <c r="BO423" s="1108">
        <f t="shared" si="547"/>
        <v>4507.7214871259994</v>
      </c>
      <c r="BP423" s="1100">
        <f t="shared" si="548"/>
        <v>221.34103209030098</v>
      </c>
      <c r="BQ423" s="1113" t="s">
        <v>133</v>
      </c>
      <c r="BR423" s="450" t="s">
        <v>168</v>
      </c>
      <c r="BS423" s="421">
        <f>IF($P423="","N/A",IF($P423=-1,INDEX('卡片raw data'!AX:AX,MATCH($D423,'卡片raw data'!$F:$F,)),0)+IF($L423="party卡",IF($P423=5,INDEX('卡片raw data'!BD:BD,MATCH($D423,'卡片raw data'!$F:$F,)),IF($P423&gt;=3,INDEX('卡片raw data'!BC:BC,MATCH($D423,'卡片raw data'!$F:$F,)),INDEX('卡片raw data'!BB:BB,MATCH($D423,'卡片raw data'!$F:$F,)))),IF(OR(AND($F423="UR",$P423=0),AND($F423="SR",$P423&gt;=0,$P423&lt;=2),AND($F423="R",$P423&gt;=0,$P423&lt;4)),INDEX('卡片raw data'!AZ:AZ,MATCH($D423,'卡片raw data'!$F:$F,)),0)+IF(OR(AND($F423="UR",$P423&gt;=1,$P423&lt;=4),AND($F423="SR",$P423&lt;=4,$P423&gt;=3),AND($F423="R",$P423=4)),INDEX('卡片raw data'!BA:BA,MATCH($D423,'卡片raw data'!$F:$F,)),0)+IF($P423=5,INDEX('卡片raw data'!BB:BB,MATCH($D423,'卡片raw data'!$F:$F,)),0)))</f>
        <v>0.05</v>
      </c>
      <c r="BT423" s="424">
        <f t="shared" si="549"/>
        <v>0</v>
      </c>
      <c r="BU423" s="420">
        <f t="shared" si="550"/>
        <v>0</v>
      </c>
      <c r="BV423" s="420">
        <f t="shared" si="551"/>
        <v>0</v>
      </c>
      <c r="BW423" s="436">
        <f t="shared" si="552"/>
        <v>1.7558035714285711</v>
      </c>
      <c r="BX423" s="423">
        <f t="shared" si="553"/>
        <v>137.19019421334193</v>
      </c>
      <c r="BY423" s="433">
        <f t="shared" si="554"/>
        <v>137.19019421334193</v>
      </c>
      <c r="BZ423" s="1113" t="s">
        <v>569</v>
      </c>
      <c r="CA423" s="450"/>
      <c r="CB423" s="421">
        <f>IF($P423="","N/A",IF($P423=-1,INDEX('卡片raw data'!BE:BE,MATCH($D423,'卡片raw data'!$F:$F,)),0)+IF($L423="party卡",IF($P423=5,INDEX('卡片raw data'!BK:BK,MATCH($D423,'卡片raw data'!$F:$F,)),IF($P423&gt;=3,INDEX('卡片raw data'!BJ:BJ,MATCH($D423,'卡片raw data'!$F:$F,)),INDEX('卡片raw data'!BI:BI,MATCH($D423,'卡片raw data'!$F:$F,)))),IF(OR(AND($F423="UR",$P423=0),AND($F423="SR",$P423&gt;=0,$P423&lt;=2),AND($F423="R",$P423&gt;=0,$P423&lt;4)),INDEX('卡片raw data'!BG:BG,MATCH($D423,'卡片raw data'!$F:$F,)),0)+IF(OR(AND($F423="UR",$P423&gt;=1,$P423&lt;=4),AND($F423="SR",$P423&lt;=4,$P423&gt;=3),AND($F423="R",$P423=4)),INDEX('卡片raw data'!BH:BH,MATCH($D423,'卡片raw data'!$F:$F,)),0)+IF($P423=5,INDEX('卡片raw data'!BI:BI,MATCH($D423,'卡片raw data'!$F:$F,)),0)))</f>
        <v>0</v>
      </c>
      <c r="CC423" s="424">
        <f t="shared" si="555"/>
        <v>0</v>
      </c>
      <c r="CD423" s="420">
        <f>IF(BZ423="ap",CB423*(1-$FI$26)*$FB$5/$FB$11*(+IF(CA423="全员",$FA$24,0)+IF(CA423="同作战",$FA$24,0)+IF(CA423="仲间",$FA$24*2/3,0)+IF(CA423="同属性",$FA$24*$FA$37/3,0)+IF(CA423="同年级",$FA$24*$FA$40/3,0)+IF(CA423="同学校",$FA$24*$FA$43/3,0)+IF(CA423="同小队",$FA$24*$FA$46/3,0)+IF(CA423="同type",$FA$24*INDEX($FB$49:$FB$52,MATCH(X423,$FA$49:$FA$52,))/3,0)+IF(CA423="自身",#REF!/3,0)),0)+IF(BZ423="te",CB423*(1-$FI$27)*($FA$20-1)*$FB$7/$FB$13*(+IF(CA423="全员",$FA$19*$FA$24/(1+($FA$20-1)*$FA$19),0)+IF(CA423="同作战",$FA$19*$FA$24/(1+($FA$20-1)*$FA$19),0)+IF(CA423="仲间",$FA$19*$FA$24*2/3/(1+($FA$20-1)*$FA$19),0)+IF(CA423="同属性",$FA$19*$FA$24*$FA$37/3/(1+($FA$20-1)*$FA$19),0)+IF(CA423="同年级",$FA$19*$FA$24*$FA$40/3/(1+($FA$20-1)*$FA$19),0)+IF(CA423="同学校",$FA$19*$FA$24*$FA$43/3/(1+($FA$20-1)*$FA$19),0)+IF(CA423="同小队",$FA$19*$FA$24*$FA$46/3/(1+($FA$20-1)*$FA$19),0)+IF(CA423="同type",$FA$19*$FA$24*INDEX($FB$49:$FB$52,MATCH(X423,$FA$49:$FA$52,))/3/(1+($FA$20-1)*$FA$19),0)+IF(CA423="自身",$FA$19*#REF!/3/(1+(BH423-1)*$BD423),0)),0)</f>
        <v>0</v>
      </c>
      <c r="CE423" s="420">
        <f t="shared" si="556"/>
        <v>0</v>
      </c>
      <c r="CF423" s="436">
        <f t="shared" si="557"/>
        <v>0</v>
      </c>
      <c r="CG423" s="423">
        <f t="shared" si="558"/>
        <v>0</v>
      </c>
      <c r="CH423" s="433">
        <f t="shared" si="559"/>
        <v>0</v>
      </c>
      <c r="CI423" s="1113" t="s">
        <v>2304</v>
      </c>
      <c r="CJ423" s="1114">
        <v>0.4</v>
      </c>
      <c r="CK423" s="439" t="s">
        <v>2305</v>
      </c>
      <c r="CL423" s="439" t="s">
        <v>2306</v>
      </c>
      <c r="CM423" s="1119">
        <v>0.25</v>
      </c>
      <c r="CN423" s="1115"/>
      <c r="CO423" s="1115"/>
      <c r="CP423" s="1116">
        <f t="shared" si="560"/>
        <v>0</v>
      </c>
      <c r="CQ423" s="1116">
        <f t="shared" si="561"/>
        <v>0</v>
      </c>
      <c r="CR423" s="1117">
        <f t="shared" si="562"/>
        <v>0</v>
      </c>
      <c r="CS423" s="442">
        <f t="shared" si="563"/>
        <v>0</v>
      </c>
      <c r="CT423" s="432">
        <f t="shared" si="564"/>
        <v>0</v>
      </c>
      <c r="CU423" s="1101">
        <f t="shared" si="565"/>
        <v>0</v>
      </c>
      <c r="CV423" s="1108">
        <f t="shared" si="566"/>
        <v>0</v>
      </c>
      <c r="CW423" s="420">
        <f t="shared" si="567"/>
        <v>0</v>
      </c>
      <c r="CX423" s="420">
        <f t="shared" si="568"/>
        <v>0</v>
      </c>
      <c r="CY423" s="433">
        <f t="shared" si="569"/>
        <v>0</v>
      </c>
      <c r="CZ423" s="437"/>
      <c r="DA423" s="438"/>
      <c r="DB423" s="439" t="s">
        <v>569</v>
      </c>
      <c r="DC423" s="439"/>
      <c r="DD423" s="443"/>
      <c r="DE423" s="411"/>
      <c r="DF423" s="411"/>
      <c r="DG423" s="1116">
        <f t="shared" si="570"/>
        <v>0</v>
      </c>
      <c r="DH423" s="1116">
        <f t="shared" si="571"/>
        <v>0</v>
      </c>
      <c r="DI423" s="1116">
        <f t="shared" si="572"/>
        <v>0</v>
      </c>
      <c r="DJ423" s="442">
        <f t="shared" si="573"/>
        <v>0</v>
      </c>
      <c r="DK423" s="432">
        <f t="shared" si="574"/>
        <v>0</v>
      </c>
      <c r="DL423" s="424">
        <f t="shared" si="575"/>
        <v>0</v>
      </c>
      <c r="DM423" s="420">
        <f t="shared" si="576"/>
        <v>0</v>
      </c>
      <c r="DN423" s="420">
        <f t="shared" si="577"/>
        <v>0</v>
      </c>
      <c r="DO423" s="420">
        <f t="shared" si="578"/>
        <v>0</v>
      </c>
      <c r="DP423" s="433">
        <f t="shared" si="579"/>
        <v>0</v>
      </c>
      <c r="DQ423" s="437" t="s">
        <v>2080</v>
      </c>
      <c r="DR423" s="444">
        <f t="shared" si="580"/>
        <v>0.3</v>
      </c>
      <c r="DS423" s="450"/>
      <c r="DT423" s="1093" t="s">
        <v>133</v>
      </c>
      <c r="DU423" s="1124"/>
      <c r="DV423" s="1098">
        <f>IF($P423="","N/A",IF(P423=-1,INDEX('卡片raw data'!AN:AN,MATCH(D423,'卡片raw data'!$F:$F,)),0)+IF(AND(L423&lt;&gt;"party卡",P423&lt;=2,P423&gt;=0),INDEX('卡片raw data'!AP:AP,MATCH(D423,'卡片raw data'!$F:$F,)),0)+IF(OR(AND(L423="party卡",P423&lt;=1),AND(P423&lt;=4,L423&lt;&gt;"party卡",P423&gt;=3)),INDEX('卡片raw data'!AQ:AQ,MATCH(D423,'卡片raw data'!$F:$F,)),0)+IF(OR(P423=5,AND(L423="party卡",P423&gt;=2)),INDEX('卡片raw data'!AR:AR,MATCH(D423,'卡片raw data'!$F:$F,)),0))</f>
        <v>0.27</v>
      </c>
      <c r="DW423" s="1098">
        <f t="shared" si="581"/>
        <v>0.3</v>
      </c>
      <c r="DX423" s="1098">
        <f t="shared" si="582"/>
        <v>0.3</v>
      </c>
      <c r="DY423" s="1097">
        <f t="shared" si="583"/>
        <v>330.80089192675194</v>
      </c>
      <c r="DZ423" s="1097">
        <f t="shared" si="584"/>
        <v>286.14277151664044</v>
      </c>
      <c r="EA423" s="421">
        <f t="shared" si="585"/>
        <v>0</v>
      </c>
      <c r="EB423" s="445">
        <f t="shared" si="586"/>
        <v>0</v>
      </c>
      <c r="EC423" s="424">
        <f t="shared" si="587"/>
        <v>0</v>
      </c>
      <c r="ED423" s="420">
        <f t="shared" si="588"/>
        <v>0</v>
      </c>
      <c r="EE423" s="433">
        <f t="shared" si="598"/>
        <v>39265.281644559953</v>
      </c>
      <c r="EF423" s="1115" t="s">
        <v>569</v>
      </c>
      <c r="EG423" s="444">
        <f t="shared" si="589"/>
        <v>0.3</v>
      </c>
      <c r="EH423" s="450"/>
      <c r="EI423" s="1093"/>
      <c r="EJ423" s="1093"/>
      <c r="EK423" s="420">
        <f>IF($P423="","N/A",IF(P423=-1,INDEX('卡片raw data'!AS:AS,MATCH(D423,'卡片raw data'!$F:$F,)),0)+IF(AND(L423&lt;&gt;"party卡",P423&lt;=2,P423&gt;=0),INDEX('卡片raw data'!AU:AU,MATCH(D423,'卡片raw data'!$F:$F,)),0)+IF(OR(AND(L423="party卡",P423&lt;=1),AND(P423&lt;=4,L423&lt;&gt;"party卡",P423&gt;=3)),INDEX('卡片raw data'!AV:AV,MATCH(D423,'卡片raw data'!$F:$F,)),0)+IF(OR(P423=5,AND(L423="party卡",P423&gt;=2)),INDEX('卡片raw data'!AW:AW,MATCH(D423,'卡片raw data'!$F:$F,)),0))</f>
        <v>0</v>
      </c>
      <c r="EL423" s="1098">
        <f t="shared" si="590"/>
        <v>0.3</v>
      </c>
      <c r="EM423" s="1098">
        <f t="shared" si="591"/>
        <v>0.3</v>
      </c>
      <c r="EN423" s="1097">
        <f t="shared" si="592"/>
        <v>0</v>
      </c>
      <c r="EO423" s="1097">
        <f t="shared" si="593"/>
        <v>0</v>
      </c>
      <c r="EP423" s="421">
        <f t="shared" si="594"/>
        <v>0</v>
      </c>
      <c r="EQ423" s="445">
        <f t="shared" si="595"/>
        <v>0</v>
      </c>
      <c r="ER423" s="424">
        <f t="shared" si="596"/>
        <v>0</v>
      </c>
      <c r="ES423" s="420">
        <f t="shared" si="597"/>
        <v>0</v>
      </c>
      <c r="ET423" s="446">
        <f t="shared" si="599"/>
        <v>0</v>
      </c>
    </row>
    <row r="424" spans="2:150" ht="16.5" customHeight="1">
      <c r="B424" s="448" t="str">
        <f>INDEX('卡片raw data'!B:B,MATCH($D424,'卡片raw data'!$F:$F,))</f>
        <v>op1艾</v>
      </c>
      <c r="C424" s="449" t="s">
        <v>2309</v>
      </c>
      <c r="D424" s="408">
        <v>421</v>
      </c>
      <c r="E424" s="477">
        <v>402082003</v>
      </c>
      <c r="F424" s="409" t="str">
        <f>INDEX('卡片raw data'!C:C,MATCH($D424,'卡片raw data'!$F:$F,))</f>
        <v>SR</v>
      </c>
      <c r="G424" s="1094" t="s">
        <v>2310</v>
      </c>
      <c r="H424" s="411">
        <f>IFERROR(INDEX(绊状态确认!C:C,MATCH($G424,绊状态确认!$B:$B,)),"")</f>
        <v>208</v>
      </c>
      <c r="I424" s="450" t="str">
        <f>IFERROR(INDEX(绊状态确认!D:D,MATCH($G424,绊状态确认!$B:$B,)),"")</f>
        <v>虹</v>
      </c>
      <c r="J424" s="450" t="str">
        <f>IFERROR(INDEX(绊状态确认!E:E,MATCH($G424,绊状态确认!$B:$B,)),"")</f>
        <v>3年级</v>
      </c>
      <c r="K424" s="451" t="str">
        <f>IFERROR(INDEX(绊状态确认!F:F,MATCH($G424,绊状态确认!$B:$B,)),"")</f>
        <v>QU4RTZ</v>
      </c>
      <c r="L424" s="414" t="str">
        <f>INDEX('卡片raw data'!E:E,MATCH($D424,'卡片raw data'!$F:$F,))</f>
        <v>活动卡</v>
      </c>
      <c r="M424" s="478">
        <v>44259</v>
      </c>
      <c r="N424" s="479">
        <v>35</v>
      </c>
      <c r="O424" s="410" t="str">
        <f>INDEX('卡片raw data'!D:D,MATCH($D424,'卡片raw data'!$F:$F,))</f>
        <v>sp</v>
      </c>
      <c r="P424" s="1126">
        <v>5</v>
      </c>
      <c r="Q424" s="418">
        <f t="shared" si="515"/>
        <v>22548.226392435241</v>
      </c>
      <c r="R424" s="419">
        <f t="shared" si="516"/>
        <v>0.26200000000000001</v>
      </c>
      <c r="S424" s="420">
        <f t="shared" si="517"/>
        <v>14145.168177807147</v>
      </c>
      <c r="T424" s="421">
        <f t="shared" si="518"/>
        <v>0.70699999999999996</v>
      </c>
      <c r="U424" s="422">
        <f t="shared" si="519"/>
        <v>9.7978175921228559</v>
      </c>
      <c r="V424" s="423">
        <f t="shared" si="520"/>
        <v>21526.340879183626</v>
      </c>
      <c r="W424" s="424">
        <f t="shared" si="521"/>
        <v>4625.6289123023562</v>
      </c>
      <c r="X424" s="419">
        <f t="shared" si="522"/>
        <v>5.2999999999999999E-2</v>
      </c>
      <c r="Y424" s="420">
        <f t="shared" si="523"/>
        <v>778.1144867483863</v>
      </c>
      <c r="Z424" s="425">
        <f t="shared" si="524"/>
        <v>9.7978175921228559</v>
      </c>
      <c r="AA424" s="426">
        <f t="shared" si="525"/>
        <v>5403.7433990507425</v>
      </c>
      <c r="AB424" s="424">
        <f t="shared" si="526"/>
        <v>4991.6906105260032</v>
      </c>
      <c r="AC424" s="427">
        <f t="shared" si="527"/>
        <v>5.8000000000000003E-2</v>
      </c>
      <c r="AD424" s="428">
        <f t="shared" si="528"/>
        <v>-1.9908281250000003E-2</v>
      </c>
      <c r="AE424" s="516">
        <f t="shared" si="529"/>
        <v>5.9199882067464795</v>
      </c>
      <c r="AF424" s="1130">
        <f t="shared" si="530"/>
        <v>0</v>
      </c>
      <c r="AG424" s="420">
        <f t="shared" si="531"/>
        <v>0</v>
      </c>
      <c r="AH424" s="420">
        <f t="shared" si="532"/>
        <v>0</v>
      </c>
      <c r="AI424" s="1097">
        <f t="shared" si="533"/>
        <v>0</v>
      </c>
      <c r="AJ424" s="420">
        <f t="shared" si="534"/>
        <v>0</v>
      </c>
      <c r="AK424" s="518">
        <f t="shared" si="535"/>
        <v>0</v>
      </c>
      <c r="AL424" s="1106">
        <f>IF($P424="","N/A",(IF($P424=-1,INDEX('卡片raw data'!S:S,MATCH($D424,'卡片raw data'!$F:$F,)),0)+IF($P424=0,INDEX('卡片raw data'!V:V,MATCH($D424,'卡片raw data'!$F:$F,)),0)+IF($P424=1,INDEX('卡片raw data'!Y:Y,MATCH($D424,'卡片raw data'!$F:$F,)),0)+IF($P424=2,INDEX('卡片raw data'!AB:AB,MATCH($D424,'卡片raw data'!$F:$F,)),0)+IF($P424=3,INDEX('卡片raw data'!AE:AE,MATCH($D424,'卡片raw data'!$F:$F,)),0)+IF($P424=4,INDEX('卡片raw data'!AH:AH,MATCH($D424,'卡片raw data'!$F:$F,)),0)+IF($P424=5,INDEX('卡片raw data'!AK:AK,MATCH($D424,'卡片raw data'!$F:$F,)),0)+INDEX('卡片raw data'!S:S,MATCH($D424,'卡片raw data'!$F:$F,))*(IF($F424="UR",0.04,0.033))*(IF($F424="UR",INDEX(绊状态确认!$S:$S,MATCH($G424,绊状态确认!$B:$B,))/2-40)+IF($F424="SR",INDEX(绊状态确认!$R:$R,MATCH($G424,绊状态确认!$B:$B,))/4-15))+IF($F424="R",INDEX(绊状态确认!$Q:$Q,MATCH($G424,绊状态确认!$B:$B,))/6-40/6)))*(INDEX(绊状态确认!$H:$H,MATCH($G424,绊状态确认!$B:$B,))+INDEX(绊状态确认!J:J,MATCH($G424,绊状态确认!$B:$B,)))</f>
        <v>6643.7830487999991</v>
      </c>
      <c r="AM424" s="1106">
        <f>IF($P424="","N/A",(IF($P424=-1,INDEX('卡片raw data'!T:T,MATCH($D424,'卡片raw data'!$F:$F,)),0)+IF($P424=0,INDEX('卡片raw data'!W:W,MATCH($D424,'卡片raw data'!$F:$F,)),0)+IF($P424=1,INDEX('卡片raw data'!Z:Z,MATCH($D424,'卡片raw data'!$F:$F,)),0)+IF($P424=2,INDEX('卡片raw data'!AC:AC,MATCH($D424,'卡片raw data'!$F:$F,)),0)+IF($P424=3,INDEX('卡片raw data'!AF:AF,MATCH($D424,'卡片raw data'!$F:$F,)),0)+IF($P424=4,INDEX('卡片raw data'!AI:AI,MATCH($D424,'卡片raw data'!$F:$F,)),0)+IF($P424=5,INDEX('卡片raw data'!AL:AL,MATCH($D424,'卡片raw data'!$F:$F,)),0)+INDEX('卡片raw data'!T:T,MATCH($D424,'卡片raw data'!$F:$F,))*(IF($F424="UR",0.04,0.033))*(IF($F424="UR",INDEX(绊状态确认!$S:$S,MATCH($G424,绊状态确认!$B:$B,))/2-40)+IF($F424="SR",INDEX(绊状态确认!$R:$R,MATCH($G424,绊状态确认!$B:$B,))/4-15))+IF($F424="R",INDEX(绊状态确认!$Q:$Q,MATCH($G424,绊状态确认!$B:$B,))/6-40/6)))*(INDEX(绊状态确认!$H:$H,MATCH($G424,绊状态确认!$B:$B,))+INDEX(绊状态确认!K:K,MATCH($G424,绊状态确认!$B:$B,)))</f>
        <v>4718.4100751999995</v>
      </c>
      <c r="AN424" s="1106">
        <f>IF($P424="","N/A",(IF($P424=-1,INDEX('卡片raw data'!U:U,MATCH($D424,'卡片raw data'!$F:$F,)),0)+IF($P424=0,INDEX('卡片raw data'!X:X,MATCH($D424,'卡片raw data'!$F:$F,)),0)+IF($P424=1,INDEX('卡片raw data'!AA:AA,MATCH($D424,'卡片raw data'!$F:$F,)),0)+IF($P424=2,INDEX('卡片raw data'!AD:AD,MATCH($D424,'卡片raw data'!$F:$F,)),0)+IF($P424=3,INDEX('卡片raw data'!AG:AG,MATCH($D424,'卡片raw data'!$F:$F,)),0)+IF($P424=4,INDEX('卡片raw data'!AJ:AJ,MATCH($D424,'卡片raw data'!$F:$F,)),0)+IF($P424=5,INDEX('卡片raw data'!AM:AM,MATCH($D424,'卡片raw data'!$F:$F,)),0)+INDEX('卡片raw data'!U:U,MATCH($D424,'卡片raw data'!$F:$F,))*(IF($F424="UR",0.04,0.033))*(IF($F424="UR",INDEX(绊状态确认!$S:$S,MATCH($G424,绊状态确认!$B:$B,))/2-40)+IF($F424="SR",INDEX(绊状态确认!$R:$R,MATCH($G424,绊状态确认!$B:$B,))/4-15))+IF($F424="R",INDEX(绊状态确认!$Q:$Q,MATCH($G424,绊状态确认!$B:$B,))/6-40/6)))*(INDEX(绊状态确认!$H:$H,MATCH($G424,绊状态确认!$B:$B,))+INDEX(绊状态确认!L:L,MATCH($G424,绊状态确认!$B:$B,)))</f>
        <v>6120.1549295999994</v>
      </c>
      <c r="AO424" s="1107">
        <f t="shared" si="536"/>
        <v>1</v>
      </c>
      <c r="AP424" s="1131">
        <f>1+(INDEX(绊状态确认!$T:$T,MATCH($G424,绊状态确认!$B:$B,))+0.2)*$AO424</f>
        <v>1.3</v>
      </c>
      <c r="AQ424" s="1108">
        <f t="shared" si="537"/>
        <v>20689.930503099997</v>
      </c>
      <c r="AR424" s="1097">
        <f>(AM424*(1+$EX$9)+$EX$35)*(1+(INDEX(绊状态确认!$T:$T,MATCH($G424,绊状态确认!$B:$B,))+0.2)*AO424)*IF(J424=$FF$17,1+$FE$17,1)*IF(I424=$FF$14,1+$FE$14,1)</f>
        <v>9144.6297526479993</v>
      </c>
      <c r="AS424" s="1097">
        <f>(AN424*(1+$EX$10)+$EX$36)*(1+(INDEX(绊状态确认!$T:$T,MATCH($G424,绊状态确认!$B:$B,))+0.2)*AO424)*IF(J424=$FF$17,1+$FE$17,1)*IF(I424=$FF$14,1+$FE$14,1)</f>
        <v>13205.631619751999</v>
      </c>
      <c r="AT424" s="1093">
        <f>IF(AND(INDEX('卡片raw data'!AK:AK,MATCH($D424,'卡片raw data'!$F:$F,))&lt;INDEX('卡片raw data'!AM:AM,MATCH($D424,'卡片raw data'!$F:$F,)),INDEX('卡片raw data'!AL:AL,MATCH($D424,'卡片raw data'!$F:$F,))&lt;INDEX('卡片raw data'!AM:AM,MATCH($D424,'卡片raw data'!$F:$F,))),1,0)</f>
        <v>0</v>
      </c>
      <c r="AU424" s="1098">
        <f>MIN(AT424*0.15+AS424*0.00003+INDEX(绊状态确认!M:M,MATCH($G424,绊状态确认!$B:$B,)),1)</f>
        <v>0.42616894859255999</v>
      </c>
      <c r="AV424" s="1109">
        <f>(INDEX(绊状态确认!$N:$N,MATCH($G424,绊状态确认!$B:$B,))+1.5)*$EW$21</f>
        <v>2.6599999999999997</v>
      </c>
      <c r="AW424" s="1101">
        <f t="shared" si="538"/>
        <v>18346.869115242571</v>
      </c>
      <c r="AX424" s="1097">
        <f t="shared" si="539"/>
        <v>778.11448674838607</v>
      </c>
      <c r="AY424" s="1110">
        <f t="shared" si="540"/>
        <v>19124.983601990956</v>
      </c>
      <c r="AZ424" s="429">
        <f t="shared" si="541"/>
        <v>15555.376945159998</v>
      </c>
      <c r="BA424" s="431">
        <f t="shared" si="542"/>
        <v>18666.452334191996</v>
      </c>
      <c r="BB424" s="1097">
        <f>(AM424*(1+$FB$9)+$FB$35)*(1+(INDEX(绊状态确认!$T:$T,MATCH($G424,绊状态确认!$B:$B,))+0.2)*AO424)*IF(J424=$FF$17,1+$FE$17,1)*IF(I424=$FF$14,1+$FE$14,1)*(1+$FE$15)</f>
        <v>9144.6297526479993</v>
      </c>
      <c r="BC424" s="1097">
        <f>(AN424*(1+$FB$10)+$FB$36)*(1+(INDEX(绊状态确认!$T:$T,MATCH($G424,绊状态确认!$B:$B,))+0.2)*AO424)*IF(J424=$FF$17,1+$FE$17,1)*IF(I424=$FF$14,1+$FE$14,1)*(1+$FE$15)</f>
        <v>13205.631619751999</v>
      </c>
      <c r="BD424" s="1104">
        <f>MIN(AT424*0.15+BC424*0.00003+INDEX(绊状态确认!M:M,MATCH($G424,绊状态确认!$B:$B,)),1)</f>
        <v>0.42616894859255999</v>
      </c>
      <c r="BE424" s="432">
        <f>(INDEX(绊状态确认!$N:$N,MATCH($G424,绊状态确认!$B:$B,))+1.5)</f>
        <v>1.9</v>
      </c>
      <c r="BF424" s="1139">
        <f t="array" ref="BF424">SUMPRODUCT(IF(AZ424*AP424*$FI$16:$FI$23*$FA$22&gt;=$FI$24,$FI$24,AZ424*AP424*$FI$16:$FI$23*$FA$22),$FJ$16:$FJ$23)</f>
        <v>30939.64474392324</v>
      </c>
      <c r="BG424" s="1125">
        <f t="array" ref="BG424">SUMPRODUCT(IF(BE424*AZ424*AP424*$FI$16:$FI$23*$FA$22&gt;=$FI$24,$FI$24,BE424*AZ424*AP424*$FI$16:$FI$23*$FA$22),$FJ$16:$FJ$23)</f>
        <v>55890.078275272506</v>
      </c>
      <c r="BH424" s="1110">
        <f t="shared" si="543"/>
        <v>13857.581589635636</v>
      </c>
      <c r="BI424" s="1111">
        <f>IF(O424="vo",$EW$26/$EW$24*0.05,0)+IF(O424="sk",-$EW$26/$EW$24*(0.05-INDEX(绊状态确认!W:W,MATCH($G424,绊状态确认!$B:$B,)))+0.05*$EW$28,0)+IF(O424="sp",0.05*$EW$32*$EW$30*(1-$EW$33)-(0.05-INDEX(绊状态确认!V:V,MATCH($G424,绊状态确认!$B:$B,)))*$EW$28,0)+IF(O424="gd",-(0.05-INDEX(绊状态确认!X:X,MATCH($G424,绊状态确认!$B:$B,)))*$EW$32*$EW$30*(1-$EW$33),0)</f>
        <v>19.999999999999886</v>
      </c>
      <c r="BJ424" s="420">
        <f>IF(O424="vo",0.05*(1-$FI$26)*$FA$24,0)+IF(O424="sk",-(0.05-INDEX(绊状态确认!W:W,MATCH($G424,绊状态确认!$B:$B,)))*(1-$FI$26)*$FA$24+0.05*$FA$26,0)+IF(O424="sp",0.05*$FA$32*$FA$27*(1-$FA$33)/$FA$30+0.05*$FA$29/$FA$69*$FA$27*(1-$FA$33)-(0.05-INDEX(绊状态确认!V:V,MATCH($G424,绊状态确认!$B:$B,)))*$FA$26,0)+IF(O424="gd",-(0.05-INDEX(绊状态确认!X:X,MATCH($G424,绊状态确认!$B:$B,)))*$FA$32*$FA$27*(1-$FA$33)/$FA$30-(0.05-INDEX(绊状态确认!X:X,MATCH($G424,绊状态确认!$B:$B,)))*$FA$29/$FA$69*$FA$27*(1-$FA$33),0)</f>
        <v>545.83333333333326</v>
      </c>
      <c r="BK424" s="1110">
        <f>IF(O424="vo",$EW$26/$EW$24*0.05+$EW$26*(-HP($EW$62,$EW$65,$EW$64)+HP($EW$62,$EW$65,(1.05-INDEX(绊状态确认!U:U,MATCH($G424,绊状态确认!$B:$B,)))*$EW$64)),0)+IF(O424="sk",-$EW$26/$EW$24*(0.05-INDEX(绊状态确认!W:W,MATCH($G424,绊状态确认!$B:$B,)))+0.05*$EW$29,0)+IF(O424="sp",0.05*$EW$32*$EW$30*(1-$EW$33)-(0.05-INDEX(绊状态确认!V:V,MATCH($G424,绊状态确认!$B:$B,)))*$EW$29,0)+IF(O424="gd",-(0.05-INDEX(绊状态确认!X:X,MATCH($G424,绊状态确认!$B:$B,)))*$EW$32*$EW$30*(1-$EW$33)+$EW$26*(-HP($EW$62,$EW$65,$EW$64)+HP($EW$62,$EW$65,0.95*$EW$64)),0)</f>
        <v>-1780.0000000000005</v>
      </c>
      <c r="BL424" s="1111">
        <f t="shared" si="544"/>
        <v>-1083.3333333333333</v>
      </c>
      <c r="BM424" s="1110">
        <f t="shared" si="545"/>
        <v>-830.55555555555543</v>
      </c>
      <c r="BN424" s="1113">
        <f t="shared" si="546"/>
        <v>3</v>
      </c>
      <c r="BO424" s="1108">
        <f t="shared" si="547"/>
        <v>4507.7214871259994</v>
      </c>
      <c r="BP424" s="1100">
        <f t="shared" si="548"/>
        <v>221.34103209030098</v>
      </c>
      <c r="BQ424" s="1113" t="s">
        <v>134</v>
      </c>
      <c r="BR424" s="1124" t="s">
        <v>166</v>
      </c>
      <c r="BS424" s="421">
        <f>IF($P424="","N/A",IF($P424=-1,INDEX('卡片raw data'!AX:AX,MATCH($D424,'卡片raw data'!$F:$F,)),0)+IF($L424="party卡",IF($P424=5,INDEX('卡片raw data'!BD:BD,MATCH($D424,'卡片raw data'!$F:$F,)),IF($P424&gt;=3,INDEX('卡片raw data'!BC:BC,MATCH($D424,'卡片raw data'!$F:$F,)),INDEX('卡片raw data'!BB:BB,MATCH($D424,'卡片raw data'!$F:$F,)))),IF(OR(AND($F424="UR",$P424=0),AND($F424="SR",$P424&gt;=0,$P424&lt;=2),AND($F424="R",$P424&gt;=0,$P424&lt;4)),INDEX('卡片raw data'!AZ:AZ,MATCH($D424,'卡片raw data'!$F:$F,)),0)+IF(OR(AND($F424="UR",$P424&gt;=1,$P424&lt;=4),AND($F424="SR",$P424&lt;=4,$P424&gt;=3),AND($F424="R",$P424=4)),INDEX('卡片raw data'!BA:BA,MATCH($D424,'卡片raw data'!$F:$F,)),0)+IF($P424=5,INDEX('卡片raw data'!BB:BB,MATCH($D424,'卡片raw data'!$F:$F,)),0)))</f>
        <v>7.0000000000000007E-2</v>
      </c>
      <c r="BT424" s="424">
        <f t="shared" si="549"/>
        <v>366.061698223647</v>
      </c>
      <c r="BU424" s="420">
        <f t="shared" si="550"/>
        <v>29.307756426441628</v>
      </c>
      <c r="BV424" s="420">
        <f t="shared" si="551"/>
        <v>0</v>
      </c>
      <c r="BW424" s="436">
        <f t="shared" si="552"/>
        <v>0</v>
      </c>
      <c r="BX424" s="423">
        <f t="shared" si="553"/>
        <v>366.061698223647</v>
      </c>
      <c r="BY424" s="433">
        <f t="shared" si="554"/>
        <v>0</v>
      </c>
      <c r="BZ424" s="1113" t="s">
        <v>569</v>
      </c>
      <c r="CA424" s="450"/>
      <c r="CB424" s="421">
        <f>IF($P424="","N/A",IF($P424=-1,INDEX('卡片raw data'!BE:BE,MATCH($D424,'卡片raw data'!$F:$F,)),0)+IF($L424="party卡",IF($P424=5,INDEX('卡片raw data'!BK:BK,MATCH($D424,'卡片raw data'!$F:$F,)),IF($P424&gt;=3,INDEX('卡片raw data'!BJ:BJ,MATCH($D424,'卡片raw data'!$F:$F,)),INDEX('卡片raw data'!BI:BI,MATCH($D424,'卡片raw data'!$F:$F,)))),IF(OR(AND($F424="UR",$P424=0),AND($F424="SR",$P424&gt;=0,$P424&lt;=2),AND($F424="R",$P424&gt;=0,$P424&lt;4)),INDEX('卡片raw data'!BG:BG,MATCH($D424,'卡片raw data'!$F:$F,)),0)+IF(OR(AND($F424="UR",$P424&gt;=1,$P424&lt;=4),AND($F424="SR",$P424&lt;=4,$P424&gt;=3),AND($F424="R",$P424=4)),INDEX('卡片raw data'!BH:BH,MATCH($D424,'卡片raw data'!$F:$F,)),0)+IF($P424=5,INDEX('卡片raw data'!BI:BI,MATCH($D424,'卡片raw data'!$F:$F,)),0)))</f>
        <v>0</v>
      </c>
      <c r="CC424" s="424">
        <f t="shared" si="555"/>
        <v>0</v>
      </c>
      <c r="CD424" s="420">
        <f>IF(BZ424="ap",CB424*(1-$FI$26)*$FB$5/$FB$11*(+IF(CA424="全员",$FA$24,0)+IF(CA424="同作战",$FA$24,0)+IF(CA424="仲间",$FA$24*2/3,0)+IF(CA424="同属性",$FA$24*$FA$37/3,0)+IF(CA424="同年级",$FA$24*$FA$40/3,0)+IF(CA424="同学校",$FA$24*$FA$43/3,0)+IF(CA424="同小队",$FA$24*$FA$46/3,0)+IF(CA424="同type",$FA$24*INDEX($FB$49:$FB$52,MATCH(X424,$FA$49:$FA$52,))/3,0)+IF(CA424="自身",#REF!/3,0)),0)+IF(BZ424="te",CB424*(1-$FI$27)*($FA$20-1)*$FB$7/$FB$13*(+IF(CA424="全员",$FA$19*$FA$24/(1+($FA$20-1)*$FA$19),0)+IF(CA424="同作战",$FA$19*$FA$24/(1+($FA$20-1)*$FA$19),0)+IF(CA424="仲间",$FA$19*$FA$24*2/3/(1+($FA$20-1)*$FA$19),0)+IF(CA424="同属性",$FA$19*$FA$24*$FA$37/3/(1+($FA$20-1)*$FA$19),0)+IF(CA424="同年级",$FA$19*$FA$24*$FA$40/3/(1+($FA$20-1)*$FA$19),0)+IF(CA424="同学校",$FA$19*$FA$24*$FA$43/3/(1+($FA$20-1)*$FA$19),0)+IF(CA424="同小队",$FA$19*$FA$24*$FA$46/3/(1+($FA$20-1)*$FA$19),0)+IF(CA424="同type",$FA$19*$FA$24*INDEX($FB$49:$FB$52,MATCH(X424,$FA$49:$FA$52,))/3/(1+($FA$20-1)*$FA$19),0)+IF(CA424="自身",$FA$19*#REF!/3/(1+(BH424-1)*$BD424),0)),0)</f>
        <v>0</v>
      </c>
      <c r="CE424" s="420">
        <f t="shared" si="556"/>
        <v>0</v>
      </c>
      <c r="CF424" s="436">
        <f t="shared" si="557"/>
        <v>0</v>
      </c>
      <c r="CG424" s="423">
        <f t="shared" si="558"/>
        <v>0</v>
      </c>
      <c r="CH424" s="433">
        <f t="shared" si="559"/>
        <v>0</v>
      </c>
      <c r="CI424" s="1113" t="s">
        <v>165</v>
      </c>
      <c r="CJ424" s="1114">
        <v>1</v>
      </c>
      <c r="CK424" s="1115" t="s">
        <v>156</v>
      </c>
      <c r="CL424" s="1115" t="s">
        <v>1941</v>
      </c>
      <c r="CM424" s="1119">
        <v>0.04</v>
      </c>
      <c r="CN424" s="1115"/>
      <c r="CO424" s="1115"/>
      <c r="CP424" s="1116">
        <f t="shared" si="560"/>
        <v>1.8865188028217144</v>
      </c>
      <c r="CQ424" s="1116">
        <f t="shared" si="561"/>
        <v>3.3747725250477334</v>
      </c>
      <c r="CR424" s="1117">
        <f t="shared" si="562"/>
        <v>1.8865188028217144</v>
      </c>
      <c r="CS424" s="442">
        <f t="shared" si="563"/>
        <v>0</v>
      </c>
      <c r="CT424" s="432">
        <f t="shared" si="564"/>
        <v>3.0813140446088005</v>
      </c>
      <c r="CU424" s="1101">
        <f t="shared" si="565"/>
        <v>117.90742517635715</v>
      </c>
      <c r="CV424" s="1108">
        <f t="shared" si="566"/>
        <v>140.61552187698891</v>
      </c>
      <c r="CW424" s="420">
        <f t="shared" si="567"/>
        <v>117.90742517635715</v>
      </c>
      <c r="CX424" s="420">
        <f t="shared" si="568"/>
        <v>117.90742517635715</v>
      </c>
      <c r="CY424" s="433">
        <f t="shared" si="569"/>
        <v>117.90742517635715</v>
      </c>
      <c r="CZ424" s="437"/>
      <c r="DA424" s="438"/>
      <c r="DB424" s="439" t="s">
        <v>569</v>
      </c>
      <c r="DC424" s="439"/>
      <c r="DD424" s="443"/>
      <c r="DE424" s="411"/>
      <c r="DF424" s="411"/>
      <c r="DG424" s="1116">
        <f t="shared" si="570"/>
        <v>0</v>
      </c>
      <c r="DH424" s="1116">
        <f t="shared" si="571"/>
        <v>0</v>
      </c>
      <c r="DI424" s="1116">
        <f t="shared" si="572"/>
        <v>0</v>
      </c>
      <c r="DJ424" s="442">
        <f t="shared" si="573"/>
        <v>0</v>
      </c>
      <c r="DK424" s="432">
        <f t="shared" si="574"/>
        <v>0</v>
      </c>
      <c r="DL424" s="424">
        <f t="shared" si="575"/>
        <v>0</v>
      </c>
      <c r="DM424" s="420">
        <f t="shared" si="576"/>
        <v>0</v>
      </c>
      <c r="DN424" s="420">
        <f t="shared" si="577"/>
        <v>0</v>
      </c>
      <c r="DO424" s="420">
        <f t="shared" si="578"/>
        <v>0</v>
      </c>
      <c r="DP424" s="433">
        <f t="shared" si="579"/>
        <v>0</v>
      </c>
      <c r="DQ424" s="1113" t="s">
        <v>533</v>
      </c>
      <c r="DR424" s="1120">
        <f t="shared" si="580"/>
        <v>0.3</v>
      </c>
      <c r="DS424" s="450">
        <v>2</v>
      </c>
      <c r="DT424" s="1093" t="s">
        <v>161</v>
      </c>
      <c r="DU424" s="1093" t="s">
        <v>544</v>
      </c>
      <c r="DV424" s="1098">
        <f>IF($P424="","N/A",IF(P424=-1,INDEX('卡片raw data'!AN:AN,MATCH(D424,'卡片raw data'!$F:$F,)),0)+IF(AND(L424&lt;&gt;"party卡",P424&lt;=2,P424&gt;=0),INDEX('卡片raw data'!AP:AP,MATCH(D424,'卡片raw data'!$F:$F,)),0)+IF(OR(AND(L424="party卡",P424&lt;=1),AND(P424&lt;=4,L424&lt;&gt;"party卡",P424&gt;=3)),INDEX('卡片raw data'!AQ:AQ,MATCH(D424,'卡片raw data'!$F:$F,)),0)+IF(OR(P424=5,AND(L424="party卡",P424&gt;=2)),INDEX('卡片raw data'!AR:AR,MATCH(D424,'卡片raw data'!$F:$F,)),0))</f>
        <v>0.105</v>
      </c>
      <c r="DW424" s="1098">
        <f t="shared" si="581"/>
        <v>0.3</v>
      </c>
      <c r="DX424" s="1098">
        <f t="shared" si="582"/>
        <v>0.3</v>
      </c>
      <c r="DY424" s="1098">
        <f t="shared" si="583"/>
        <v>2.1000000000000001E-2</v>
      </c>
      <c r="DZ424" s="1098">
        <f t="shared" si="584"/>
        <v>1.8165000000000001E-2</v>
      </c>
      <c r="EA424" s="421">
        <f t="shared" si="585"/>
        <v>0</v>
      </c>
      <c r="EB424" s="445">
        <f t="shared" si="586"/>
        <v>4.1901234374999987</v>
      </c>
      <c r="EC424" s="424">
        <f t="shared" si="587"/>
        <v>273</v>
      </c>
      <c r="ED424" s="420">
        <f t="shared" si="588"/>
        <v>181.04449999999997</v>
      </c>
      <c r="EE424" s="433">
        <f t="shared" si="598"/>
        <v>273</v>
      </c>
      <c r="EF424" s="1115" t="s">
        <v>569</v>
      </c>
      <c r="EG424" s="1120">
        <f t="shared" si="589"/>
        <v>0.3</v>
      </c>
      <c r="EH424" s="450"/>
      <c r="EI424" s="1093"/>
      <c r="EJ424" s="1093"/>
      <c r="EK424" s="420">
        <f>IF($P424="","N/A",IF(P424=-1,INDEX('卡片raw data'!AS:AS,MATCH(D424,'卡片raw data'!$F:$F,)),0)+IF(AND(L424&lt;&gt;"party卡",P424&lt;=2,P424&gt;=0),INDEX('卡片raw data'!AU:AU,MATCH(D424,'卡片raw data'!$F:$F,)),0)+IF(OR(AND(L424="party卡",P424&lt;=1),AND(P424&lt;=4,L424&lt;&gt;"party卡",P424&gt;=3)),INDEX('卡片raw data'!AV:AV,MATCH(D424,'卡片raw data'!$F:$F,)),0)+IF(OR(P424=5,AND(L424="party卡",P424&gt;=2)),INDEX('卡片raw data'!AW:AW,MATCH(D424,'卡片raw data'!$F:$F,)),0))</f>
        <v>0</v>
      </c>
      <c r="EL424" s="1098">
        <f t="shared" si="590"/>
        <v>0.3</v>
      </c>
      <c r="EM424" s="1098">
        <f t="shared" si="591"/>
        <v>0.3</v>
      </c>
      <c r="EN424" s="1097">
        <f t="shared" si="592"/>
        <v>0</v>
      </c>
      <c r="EO424" s="1097">
        <f t="shared" si="593"/>
        <v>0</v>
      </c>
      <c r="EP424" s="421">
        <f t="shared" si="594"/>
        <v>0</v>
      </c>
      <c r="EQ424" s="445">
        <f t="shared" si="595"/>
        <v>0</v>
      </c>
      <c r="ER424" s="424">
        <f t="shared" si="596"/>
        <v>0</v>
      </c>
      <c r="ES424" s="420">
        <f t="shared" si="597"/>
        <v>0</v>
      </c>
      <c r="ET424" s="446">
        <f t="shared" si="599"/>
        <v>0</v>
      </c>
    </row>
    <row r="425" spans="2:150" ht="16.5" customHeight="1">
      <c r="B425" s="448" t="str">
        <f>INDEX('卡片raw data'!B:B,MATCH($D425,'卡片raw data'!$F:$F,))</f>
        <v>prt黛</v>
      </c>
      <c r="C425" s="449" t="s">
        <v>2329</v>
      </c>
      <c r="D425" s="408">
        <v>422</v>
      </c>
      <c r="E425" s="477">
        <v>301043002</v>
      </c>
      <c r="F425" s="409" t="str">
        <f>INDEX('卡片raw data'!C:C,MATCH($D425,'卡片raw data'!$F:$F,))</f>
        <v>UR</v>
      </c>
      <c r="G425" s="1094" t="s">
        <v>2330</v>
      </c>
      <c r="H425" s="411">
        <f>IFERROR(INDEX(绊状态确认!C:C,MATCH($G425,绊状态确认!$B:$B,)),"")</f>
        <v>104</v>
      </c>
      <c r="I425" s="450" t="str">
        <f>IFERROR(INDEX(绊状态确认!D:D,MATCH($G425,绊状态确认!$B:$B,)),"")</f>
        <v>水</v>
      </c>
      <c r="J425" s="450" t="str">
        <f>IFERROR(INDEX(绊状态确认!E:E,MATCH($G425,绊状态确认!$B:$B,)),"")</f>
        <v>3年级</v>
      </c>
      <c r="K425" s="451" t="str">
        <f>IFERROR(INDEX(绊状态确认!F:F,MATCH($G425,绊状态确认!$B:$B,)),"")</f>
        <v>AZALEA</v>
      </c>
      <c r="L425" s="414" t="str">
        <f>INDEX('卡片raw data'!E:E,MATCH($D425,'卡片raw data'!$F:$F,))</f>
        <v>party卡</v>
      </c>
      <c r="M425" s="478">
        <v>44270</v>
      </c>
      <c r="N425" s="479">
        <v>35.5</v>
      </c>
      <c r="O425" s="410" t="str">
        <f>INDEX('卡片raw data'!D:D,MATCH($D425,'卡片raw data'!$F:$F,))</f>
        <v>vo</v>
      </c>
      <c r="P425" s="1126">
        <v>5</v>
      </c>
      <c r="Q425" s="418">
        <f t="shared" si="515"/>
        <v>73379.629236009176</v>
      </c>
      <c r="R425" s="419">
        <f t="shared" si="516"/>
        <v>0.85299999999999998</v>
      </c>
      <c r="S425" s="420">
        <f t="shared" si="517"/>
        <v>21026.830421486295</v>
      </c>
      <c r="T425" s="421">
        <f t="shared" si="518"/>
        <v>1.0509999999999999</v>
      </c>
      <c r="U425" s="422">
        <f t="shared" si="519"/>
        <v>-10.576392853257147</v>
      </c>
      <c r="V425" s="423">
        <f t="shared" si="520"/>
        <v>73231.354472593186</v>
      </c>
      <c r="W425" s="424">
        <f t="shared" si="521"/>
        <v>7143.4864122371746</v>
      </c>
      <c r="X425" s="419">
        <f t="shared" si="522"/>
        <v>8.3000000000000004E-2</v>
      </c>
      <c r="Y425" s="420">
        <f t="shared" si="523"/>
        <v>1156.3936868257133</v>
      </c>
      <c r="Z425" s="425">
        <f t="shared" si="524"/>
        <v>14.423607146742853</v>
      </c>
      <c r="AA425" s="426">
        <f t="shared" si="525"/>
        <v>8299.8800990628879</v>
      </c>
      <c r="AB425" s="424">
        <f t="shared" si="526"/>
        <v>14587.48759028275</v>
      </c>
      <c r="AC425" s="427">
        <f t="shared" si="527"/>
        <v>0.16900000000000001</v>
      </c>
      <c r="AD425" s="428">
        <f t="shared" si="528"/>
        <v>0</v>
      </c>
      <c r="AE425" s="516">
        <f t="shared" si="529"/>
        <v>0</v>
      </c>
      <c r="AF425" s="1130">
        <f t="shared" si="530"/>
        <v>0</v>
      </c>
      <c r="AG425" s="420">
        <f t="shared" si="531"/>
        <v>0</v>
      </c>
      <c r="AH425" s="420">
        <f t="shared" si="532"/>
        <v>0</v>
      </c>
      <c r="AI425" s="1097">
        <f t="shared" si="533"/>
        <v>0</v>
      </c>
      <c r="AJ425" s="420">
        <f t="shared" si="534"/>
        <v>0</v>
      </c>
      <c r="AK425" s="518">
        <f t="shared" si="535"/>
        <v>0</v>
      </c>
      <c r="AL425" s="429">
        <f>IF($P425="","N/A",(IF($P425=-1,INDEX('卡片raw data'!S:S,MATCH($D425,'卡片raw data'!$F:$F,)),0)+IF($P425=0,INDEX('卡片raw data'!V:V,MATCH($D425,'卡片raw data'!$F:$F,)),0)+IF($P425=1,INDEX('卡片raw data'!Y:Y,MATCH($D425,'卡片raw data'!$F:$F,)),0)+IF($P425=2,INDEX('卡片raw data'!AB:AB,MATCH($D425,'卡片raw data'!$F:$F,)),0)+IF($P425=3,INDEX('卡片raw data'!AE:AE,MATCH($D425,'卡片raw data'!$F:$F,)),0)+IF($P425=4,INDEX('卡片raw data'!AH:AH,MATCH($D425,'卡片raw data'!$F:$F,)),0)+IF($P425=5,INDEX('卡片raw data'!AK:AK,MATCH($D425,'卡片raw data'!$F:$F,)),0)+INDEX('卡片raw data'!S:S,MATCH($D425,'卡片raw data'!$F:$F,))*(IF($F425="UR",0.04,0.033))*(IF($F425="UR",INDEX(绊状态确认!$S:$S,MATCH($G425,绊状态确认!$B:$B,))/2-40)+IF($F425="SR",INDEX(绊状态确认!$R:$R,MATCH($G425,绊状态确认!$B:$B,))/4-15))+IF($F425="R",INDEX(绊状态确认!$Q:$Q,MATCH($G425,绊状态确认!$B:$B,))/6-40/6)))*(INDEX(绊状态确认!$H:$H,MATCH($G425,绊状态确认!$B:$B,))+INDEX(绊状态确认!J:J,MATCH($G425,绊状态确认!$B:$B,)))</f>
        <v>15080.255279999999</v>
      </c>
      <c r="AM425" s="429">
        <f>IF($P425="","N/A",(IF($P425=-1,INDEX('卡片raw data'!T:T,MATCH($D425,'卡片raw data'!$F:$F,)),0)+IF($P425=0,INDEX('卡片raw data'!W:W,MATCH($D425,'卡片raw data'!$F:$F,)),0)+IF($P425=1,INDEX('卡片raw data'!Z:Z,MATCH($D425,'卡片raw data'!$F:$F,)),0)+IF($P425=2,INDEX('卡片raw data'!AC:AC,MATCH($D425,'卡片raw data'!$F:$F,)),0)+IF($P425=3,INDEX('卡片raw data'!AF:AF,MATCH($D425,'卡片raw data'!$F:$F,)),0)+IF($P425=4,INDEX('卡片raw data'!AI:AI,MATCH($D425,'卡片raw data'!$F:$F,)),0)+IF($P425=5,INDEX('卡片raw data'!AL:AL,MATCH($D425,'卡片raw data'!$F:$F,)),0)+INDEX('卡片raw data'!T:T,MATCH($D425,'卡片raw data'!$F:$F,))*(IF($F425="UR",0.04,0.033))*(IF($F425="UR",INDEX(绊状态确认!$S:$S,MATCH($G425,绊状态确认!$B:$B,))/2-40)+IF($F425="SR",INDEX(绊状态确认!$R:$R,MATCH($G425,绊状态确认!$B:$B,))/4-15))+IF($F425="R",INDEX(绊状态确认!$Q:$Q,MATCH($G425,绊状态确认!$B:$B,))/6-40/6)))*(INDEX(绊状态确认!$H:$H,MATCH($G425,绊状态确认!$B:$B,))+INDEX(绊状态确认!K:K,MATCH($G425,绊状态确认!$B:$B,)))</f>
        <v>7881.3431039999987</v>
      </c>
      <c r="AN425" s="429">
        <f>IF($P425="","N/A",(IF($P425=-1,INDEX('卡片raw data'!U:U,MATCH($D425,'卡片raw data'!$F:$F,)),0)+IF($P425=0,INDEX('卡片raw data'!X:X,MATCH($D425,'卡片raw data'!$F:$F,)),0)+IF($P425=1,INDEX('卡片raw data'!AA:AA,MATCH($D425,'卡片raw data'!$F:$F,)),0)+IF($P425=2,INDEX('卡片raw data'!AD:AD,MATCH($D425,'卡片raw data'!$F:$F,)),0)+IF($P425=3,INDEX('卡片raw data'!AG:AG,MATCH($D425,'卡片raw data'!$F:$F,)),0)+IF($P425=4,INDEX('卡片raw data'!AJ:AJ,MATCH($D425,'卡片raw data'!$F:$F,)),0)+IF($P425=5,INDEX('卡片raw data'!AM:AM,MATCH($D425,'卡片raw data'!$F:$F,)),0)+INDEX('卡片raw data'!U:U,MATCH($D425,'卡片raw data'!$F:$F,))*(IF($F425="UR",0.04,0.033))*(IF($F425="UR",INDEX(绊状态确认!$S:$S,MATCH($G425,绊状态确认!$B:$B,))/2-40)+IF($F425="SR",INDEX(绊状态确认!$R:$R,MATCH($G425,绊状态确认!$B:$B,))/4-15))+IF($F425="R",INDEX(绊状态确认!$Q:$Q,MATCH($G425,绊状态确认!$B:$B,))/6-40/6)))*(INDEX(绊状态确认!$H:$H,MATCH($G425,绊状态确认!$B:$B,))+INDEX(绊状态确认!L:L,MATCH($G425,绊状态确认!$B:$B,)))</f>
        <v>11308.725504</v>
      </c>
      <c r="AO425" s="430">
        <f t="shared" si="536"/>
        <v>1</v>
      </c>
      <c r="AP425" s="556">
        <f>1+(INDEX(绊状态确认!$T:$T,MATCH($G425,绊状态确认!$B:$B,))+0.2)*$AO425</f>
        <v>1.3</v>
      </c>
      <c r="AQ425" s="431">
        <f t="shared" si="537"/>
        <v>42835.670109999999</v>
      </c>
      <c r="AR425" s="420">
        <f>(AM425*(1+$EX$9)+$EX$35)*(1+(INDEX(绊状态确认!$T:$T,MATCH($G425,绊状态确认!$B:$B,))+0.2)*AO425)*IF(J425=$FF$17,1+$FE$17,1)*IF(I425=$FF$14,1+$FE$14,1)</f>
        <v>13462.033336959998</v>
      </c>
      <c r="AS425" s="420">
        <f>(AN425*(1+$EX$10)+$EX$36)*(1+(INDEX(绊状态确认!$T:$T,MATCH($G425,绊状态确认!$B:$B,))+0.2)*AO425)*IF(J425=$FF$17,1+$FE$17,1)*IF(I425=$FF$14,1+$FE$14,1)</f>
        <v>20962.544628479998</v>
      </c>
      <c r="AT425" s="412">
        <f>IF(AND(INDEX('卡片raw data'!AK:AK,MATCH($D425,'卡片raw data'!$F:$F,))&lt;INDEX('卡片raw data'!AM:AM,MATCH($D425,'卡片raw data'!$F:$F,)),INDEX('卡片raw data'!AL:AL,MATCH($D425,'卡片raw data'!$F:$F,))&lt;INDEX('卡片raw data'!AM:AM,MATCH($D425,'卡片raw data'!$F:$F,))),1,0)</f>
        <v>0</v>
      </c>
      <c r="AU425" s="421">
        <f>MIN(AT425*0.15+AS425*0.00003+INDEX(绊状态确认!M:M,MATCH($G425,绊状态确认!$B:$B,)),1)</f>
        <v>0.6588763388544</v>
      </c>
      <c r="AV425" s="432">
        <f>(INDEX(绊状态确认!$N:$N,MATCH($G425,绊状态确认!$B:$B,))+1.5)*$EW$21</f>
        <v>2.6599999999999997</v>
      </c>
      <c r="AW425" s="424">
        <f t="shared" si="538"/>
        <v>46578.401977548121</v>
      </c>
      <c r="AX425" s="420">
        <f t="shared" si="539"/>
        <v>1156.3936868257124</v>
      </c>
      <c r="AY425" s="433">
        <f t="shared" si="540"/>
        <v>47734.795664373836</v>
      </c>
      <c r="AZ425" s="429">
        <f t="shared" si="541"/>
        <v>32006.497796</v>
      </c>
      <c r="BA425" s="431">
        <f t="shared" si="542"/>
        <v>38407.797355199997</v>
      </c>
      <c r="BB425" s="420">
        <f>(AM425*(1+$FB$9)+$FB$35)*(1+(INDEX(绊状态确认!$T:$T,MATCH($G425,绊状态确认!$B:$B,))+0.2)*AO425)*IF(J425=$FF$17,1+$FE$17,1)*IF(I425=$FF$14,1+$FE$14,1)*(1+$FE$15)</f>
        <v>13462.033336959998</v>
      </c>
      <c r="BC425" s="420">
        <f>(AN425*(1+$FB$10)+$FB$36)*(1+(INDEX(绊状态确认!$T:$T,MATCH($G425,绊状态确认!$B:$B,))+0.2)*AO425)*IF(J425=$FF$17,1+$FE$17,1)*IF(I425=$FF$14,1+$FE$14,1)*(1+$FE$15)</f>
        <v>20962.544628479998</v>
      </c>
      <c r="BD425" s="427">
        <f>MIN(AT425*0.15+BC425*0.00003+INDEX(绊状态确认!M:M,MATCH($G425,绊状态确认!$B:$B,)),1)</f>
        <v>0.6588763388544</v>
      </c>
      <c r="BE425" s="432">
        <f>(INDEX(绊状态确认!$N:$N,MATCH($G425,绊状态确认!$B:$B,))+1.5)</f>
        <v>1.9</v>
      </c>
      <c r="BF425" s="645">
        <f t="array" ref="BF425">SUMPRODUCT(IF(AZ425*AP425*$FI$16:$FI$23*$FA$22&gt;=$FI$24,$FI$24,AZ425*AP425*$FI$16:$FI$23*$FA$22),$FJ$16:$FJ$23)</f>
        <v>58052.476981444001</v>
      </c>
      <c r="BG425" s="453">
        <f t="array" ref="BG425">SUMPRODUCT(IF(BE425*AZ425*AP425*$FI$16:$FI$23*$FA$22&gt;=$FI$24,$FI$24,BE425*AZ425*AP425*$FI$16:$FI$23*$FA$22),$FJ$16:$FJ$23)</f>
        <v>60000</v>
      </c>
      <c r="BH425" s="433">
        <f t="shared" si="543"/>
        <v>19778.551272581615</v>
      </c>
      <c r="BI425" s="434">
        <f>IF(O425="vo",$EW$26/$EW$24*0.05,0)+IF(O425="sk",-$EW$26/$EW$24*(0.05-INDEX(绊状态确认!W:W,MATCH($G425,绊状态确认!$B:$B,)))+0.05*$EW$28,0)+IF(O425="sp",0.05*$EW$32*$EW$30*(1-$EW$33)-(0.05-INDEX(绊状态确认!V:V,MATCH($G425,绊状态确认!$B:$B,)))*$EW$28,0)+IF(O425="gd",-(0.05-INDEX(绊状态确认!X:X,MATCH($G425,绊状态确认!$B:$B,)))*$EW$32*$EW$30*(1-$EW$33),0)</f>
        <v>7726.3029277443748</v>
      </c>
      <c r="BJ425" s="420">
        <f>IF(O425="vo",0.05*(1-$FI$26)*$FA$24,0)+IF(O425="sk",-(0.05-INDEX(绊状态确认!W:W,MATCH($G425,绊状态确认!$B:$B,)))*(1-$FI$26)*$FA$24+0.05*$FA$26,0)+IF(O425="sp",0.05*$FA$32*$FA$27*(1-$FA$33)/$FA$30+0.05*$FA$29/$FA$69*$FA$27*(1-$FA$33)-(0.05-INDEX(绊状态确认!V:V,MATCH($G425,绊状态确认!$B:$B,)))*$FA$26,0)+IF(O425="gd",-(0.05-INDEX(绊状态确认!X:X,MATCH($G425,绊状态确认!$B:$B,)))*$FA$32*$FA$27*(1-$FA$33)/$FA$30-(0.05-INDEX(绊状态确认!X:X,MATCH($G425,绊状态确认!$B:$B,)))*$FA$29/$FA$69*$FA$27*(1-$FA$33),0)</f>
        <v>393.93433687500004</v>
      </c>
      <c r="BK425" s="433">
        <f>IF(O425="vo",$EW$26/$EW$24*0.05+$EW$26*(-HP($EW$62,$EW$65,$EW$64)+HP($EW$62,$EW$65,(1.05-INDEX(绊状态确认!U:U,MATCH($G425,绊状态确认!$B:$B,)))*$EW$64)),0)+IF(O425="sk",-$EW$26/$EW$24*(0.05-INDEX(绊状态确认!W:W,MATCH($G425,绊状态确认!$B:$B,)))+0.05*$EW$29,0)+IF(O425="sp",0.05*$EW$32*$EW$30*(1-$EW$33)-(0.05-INDEX(绊状态确认!V:V,MATCH($G425,绊状态确认!$B:$B,)))*$EW$29,0)+IF(O425="gd",-(0.05-INDEX(绊状态确认!X:X,MATCH($G425,绊状态确认!$B:$B,)))*$EW$32*$EW$30*(1-$EW$33)+$EW$26*(-HP($EW$62,$EW$65,$EW$64)+HP($EW$62,$EW$65,0.95*$EW$64)),0)</f>
        <v>6421.6344775026746</v>
      </c>
      <c r="BL425" s="434">
        <f t="shared" si="544"/>
        <v>0</v>
      </c>
      <c r="BM425" s="433">
        <f t="shared" si="545"/>
        <v>0</v>
      </c>
      <c r="BN425" s="437">
        <f t="shared" si="546"/>
        <v>4</v>
      </c>
      <c r="BO425" s="1108">
        <f t="shared" si="547"/>
        <v>6010.2953161679998</v>
      </c>
      <c r="BP425" s="1100">
        <f t="shared" si="548"/>
        <v>295.12137612040135</v>
      </c>
      <c r="BQ425" s="437" t="s">
        <v>132</v>
      </c>
      <c r="BR425" s="450" t="s">
        <v>168</v>
      </c>
      <c r="BS425" s="421">
        <f>IF($P425="","N/A",IF($P425=-1,INDEX('卡片raw data'!AX:AX,MATCH($D425,'卡片raw data'!$F:$F,)),0)+IF($L425="party卡",IF($P425=5,INDEX('卡片raw data'!BD:BD,MATCH($D425,'卡片raw data'!$F:$F,)),IF($P425&gt;=3,INDEX('卡片raw data'!BC:BC,MATCH($D425,'卡片raw data'!$F:$F,)),INDEX('卡片raw data'!BB:BB,MATCH($D425,'卡片raw data'!$F:$F,)))),IF(OR(AND($F425="UR",$P425=0),AND($F425="SR",$P425&gt;=0,$P425&lt;=2),AND($F425="R",$P425&gt;=0,$P425&lt;4)),INDEX('卡片raw data'!AZ:AZ,MATCH($D425,'卡片raw data'!$F:$F,)),0)+IF(OR(AND($F425="UR",$P425&gt;=1,$P425&lt;=4),AND($F425="SR",$P425&lt;=4,$P425&gt;=3),AND($F425="R",$P425=4)),INDEX('卡片raw data'!BA:BA,MATCH($D425,'卡片raw data'!$F:$F,)),0)+IF($P425=5,INDEX('卡片raw data'!BB:BB,MATCH($D425,'卡片raw data'!$F:$F,)),0)))</f>
        <v>8.4000000000000005E-2</v>
      </c>
      <c r="BT425" s="424">
        <f t="shared" si="549"/>
        <v>6310.8100819763995</v>
      </c>
      <c r="BU425" s="420">
        <f t="shared" si="550"/>
        <v>309.87744492642145</v>
      </c>
      <c r="BV425" s="420">
        <f t="shared" si="551"/>
        <v>0</v>
      </c>
      <c r="BW425" s="436">
        <f t="shared" si="552"/>
        <v>0</v>
      </c>
      <c r="BX425" s="423">
        <f t="shared" si="553"/>
        <v>6310.8100819763995</v>
      </c>
      <c r="BY425" s="433">
        <f t="shared" si="554"/>
        <v>0</v>
      </c>
      <c r="BZ425" s="1113" t="s">
        <v>569</v>
      </c>
      <c r="CA425" s="450"/>
      <c r="CB425" s="421">
        <f>IF($P425="","N/A",IF($P425=-1,INDEX('卡片raw data'!BE:BE,MATCH($D425,'卡片raw data'!$F:$F,)),0)+IF($L425="party卡",IF($P425=5,INDEX('卡片raw data'!BK:BK,MATCH($D425,'卡片raw data'!$F:$F,)),IF($P425&gt;=3,INDEX('卡片raw data'!BJ:BJ,MATCH($D425,'卡片raw data'!$F:$F,)),INDEX('卡片raw data'!BI:BI,MATCH($D425,'卡片raw data'!$F:$F,)))),IF(OR(AND($F425="UR",$P425=0),AND($F425="SR",$P425&gt;=0,$P425&lt;=2),AND($F425="R",$P425&gt;=0,$P425&lt;4)),INDEX('卡片raw data'!BG:BG,MATCH($D425,'卡片raw data'!$F:$F,)),0)+IF(OR(AND($F425="UR",$P425&gt;=1,$P425&lt;=4),AND($F425="SR",$P425&lt;=4,$P425&gt;=3),AND($F425="R",$P425=4)),INDEX('卡片raw data'!BH:BH,MATCH($D425,'卡片raw data'!$F:$F,)),0)+IF($P425=5,INDEX('卡片raw data'!BI:BI,MATCH($D425,'卡片raw data'!$F:$F,)),0)))</f>
        <v>0</v>
      </c>
      <c r="CC425" s="424">
        <f t="shared" si="555"/>
        <v>0</v>
      </c>
      <c r="CD425" s="420">
        <f>IF(BZ425="ap",CB425*(1-$FI$26)*$FB$5/$FB$11*(+IF(CA425="全员",$FA$24,0)+IF(CA425="同作战",$FA$24,0)+IF(CA425="仲间",$FA$24*2/3,0)+IF(CA425="同属性",$FA$24*$FA$37/3,0)+IF(CA425="同年级",$FA$24*$FA$40/3,0)+IF(CA425="同学校",$FA$24*$FA$43/3,0)+IF(CA425="同小队",$FA$24*$FA$46/3,0)+IF(CA425="同type",$FA$24*INDEX($FB$49:$FB$52,MATCH(X425,$FA$49:$FA$52,))/3,0)+IF(CA425="自身",#REF!/3,0)),0)+IF(BZ425="te",CB425*(1-$FI$27)*($FA$20-1)*$FB$7/$FB$13*(+IF(CA425="全员",$FA$19*$FA$24/(1+($FA$20-1)*$FA$19),0)+IF(CA425="同作战",$FA$19*$FA$24/(1+($FA$20-1)*$FA$19),0)+IF(CA425="仲间",$FA$19*$FA$24*2/3/(1+($FA$20-1)*$FA$19),0)+IF(CA425="同属性",$FA$19*$FA$24*$FA$37/3/(1+($FA$20-1)*$FA$19),0)+IF(CA425="同年级",$FA$19*$FA$24*$FA$40/3/(1+($FA$20-1)*$FA$19),0)+IF(CA425="同学校",$FA$19*$FA$24*$FA$43/3/(1+($FA$20-1)*$FA$19),0)+IF(CA425="同小队",$FA$19*$FA$24*$FA$46/3/(1+($FA$20-1)*$FA$19),0)+IF(CA425="同type",$FA$19*$FA$24*INDEX($FB$49:$FB$52,MATCH(X425,$FA$49:$FA$52,))/3/(1+($FA$20-1)*$FA$19),0)+IF(CA425="自身",$FA$19*#REF!/3/(1+(BH425-1)*$BD425),0)),0)</f>
        <v>0</v>
      </c>
      <c r="CE425" s="420">
        <f t="shared" si="556"/>
        <v>0</v>
      </c>
      <c r="CF425" s="436">
        <f t="shared" si="557"/>
        <v>0</v>
      </c>
      <c r="CG425" s="423">
        <f t="shared" si="558"/>
        <v>0</v>
      </c>
      <c r="CH425" s="433">
        <f t="shared" si="559"/>
        <v>0</v>
      </c>
      <c r="CI425" s="437" t="s">
        <v>165</v>
      </c>
      <c r="CJ425" s="438">
        <v>1</v>
      </c>
      <c r="CK425" s="439" t="s">
        <v>2313</v>
      </c>
      <c r="CL425" s="439" t="s">
        <v>2314</v>
      </c>
      <c r="CM425" s="443">
        <v>0.02</v>
      </c>
      <c r="CN425" s="439" t="s">
        <v>163</v>
      </c>
      <c r="CO425" s="1115"/>
      <c r="CP425" s="1118">
        <f t="shared" si="560"/>
        <v>1.3333333333333332E-2</v>
      </c>
      <c r="CQ425" s="1118">
        <f t="shared" si="561"/>
        <v>1.1666666666666667E-2</v>
      </c>
      <c r="CR425" s="1118">
        <f t="shared" si="562"/>
        <v>6.6666666666666662E-3</v>
      </c>
      <c r="CS425" s="442">
        <f t="shared" si="563"/>
        <v>0</v>
      </c>
      <c r="CT425" s="432">
        <f t="shared" si="564"/>
        <v>0</v>
      </c>
      <c r="CU425" s="1101">
        <f t="shared" si="565"/>
        <v>2266.3821921383501</v>
      </c>
      <c r="CV425" s="1108">
        <f t="shared" si="566"/>
        <v>91.918011937500012</v>
      </c>
      <c r="CW425" s="420">
        <f t="shared" si="567"/>
        <v>1133.191096069175</v>
      </c>
      <c r="CX425" s="420">
        <f t="shared" si="568"/>
        <v>2266.3821921383501</v>
      </c>
      <c r="CY425" s="433">
        <f t="shared" si="569"/>
        <v>1133.191096069175</v>
      </c>
      <c r="CZ425" s="437"/>
      <c r="DA425" s="438"/>
      <c r="DB425" s="439" t="s">
        <v>569</v>
      </c>
      <c r="DC425" s="439"/>
      <c r="DD425" s="443"/>
      <c r="DE425" s="411"/>
      <c r="DF425" s="411"/>
      <c r="DG425" s="1116">
        <f t="shared" si="570"/>
        <v>0</v>
      </c>
      <c r="DH425" s="1116">
        <f t="shared" si="571"/>
        <v>0</v>
      </c>
      <c r="DI425" s="1116">
        <f t="shared" si="572"/>
        <v>0</v>
      </c>
      <c r="DJ425" s="442">
        <f t="shared" si="573"/>
        <v>0</v>
      </c>
      <c r="DK425" s="432">
        <f t="shared" si="574"/>
        <v>0</v>
      </c>
      <c r="DL425" s="424">
        <f t="shared" si="575"/>
        <v>0</v>
      </c>
      <c r="DM425" s="420">
        <f t="shared" si="576"/>
        <v>0</v>
      </c>
      <c r="DN425" s="420">
        <f t="shared" si="577"/>
        <v>0</v>
      </c>
      <c r="DO425" s="420">
        <f t="shared" si="578"/>
        <v>0</v>
      </c>
      <c r="DP425" s="433">
        <f t="shared" si="579"/>
        <v>0</v>
      </c>
      <c r="DQ425" s="437" t="s">
        <v>2074</v>
      </c>
      <c r="DR425" s="444">
        <f t="shared" si="580"/>
        <v>0.33</v>
      </c>
      <c r="DS425" s="450">
        <v>5</v>
      </c>
      <c r="DT425" s="1124" t="s">
        <v>2075</v>
      </c>
      <c r="DU425" s="1124" t="s">
        <v>2145</v>
      </c>
      <c r="DV425" s="1098">
        <f>IF($P425="","N/A",IF(P425=-1,INDEX('卡片raw data'!AN:AN,MATCH(D425,'卡片raw data'!$F:$F,)),0)+IF(AND(L425&lt;&gt;"party卡",P425&lt;=2,P425&gt;=0),INDEX('卡片raw data'!AP:AP,MATCH(D425,'卡片raw data'!$F:$F,)),0)+IF(OR(AND(L425="party卡",P425&lt;=1),AND(P425&lt;=4,L425&lt;&gt;"party卡",P425&gt;=3)),INDEX('卡片raw data'!AQ:AQ,MATCH(D425,'卡片raw data'!$F:$F,)),0)+IF(OR(P425=5,AND(L425="party卡",P425&gt;=2)),INDEX('卡片raw data'!AR:AR,MATCH(D425,'卡片raw data'!$F:$F,)),0))</f>
        <v>7.1999999999999995E-2</v>
      </c>
      <c r="DW425" s="1098">
        <f t="shared" si="581"/>
        <v>0.33</v>
      </c>
      <c r="DX425" s="1098">
        <f t="shared" si="582"/>
        <v>0.33</v>
      </c>
      <c r="DY425" s="1098">
        <f t="shared" si="583"/>
        <v>2.6399999999999996E-2</v>
      </c>
      <c r="DZ425" s="1098">
        <f t="shared" si="584"/>
        <v>1.9981499999999999E-2</v>
      </c>
      <c r="EA425" s="421">
        <f t="shared" si="585"/>
        <v>0</v>
      </c>
      <c r="EB425" s="445">
        <f t="shared" si="586"/>
        <v>0</v>
      </c>
      <c r="EC425" s="424">
        <f t="shared" si="587"/>
        <v>4487.4367404339328</v>
      </c>
      <c r="ED425" s="420">
        <f t="shared" si="588"/>
        <v>157.42797904535627</v>
      </c>
      <c r="EE425" s="433">
        <f t="shared" si="598"/>
        <v>4487.4367404339328</v>
      </c>
      <c r="EF425" s="1115" t="s">
        <v>569</v>
      </c>
      <c r="EG425" s="444">
        <f t="shared" si="589"/>
        <v>0.33</v>
      </c>
      <c r="EH425" s="450"/>
      <c r="EI425" s="1093"/>
      <c r="EJ425" s="1093"/>
      <c r="EK425" s="420">
        <f>IF($P425="","N/A",IF(P425=-1,INDEX('卡片raw data'!AS:AS,MATCH(D425,'卡片raw data'!$F:$F,)),0)+IF(AND(L425&lt;&gt;"party卡",P425&lt;=2,P425&gt;=0),INDEX('卡片raw data'!AU:AU,MATCH(D425,'卡片raw data'!$F:$F,)),0)+IF(OR(AND(L425="party卡",P425&lt;=1),AND(P425&lt;=4,L425&lt;&gt;"party卡",P425&gt;=3)),INDEX('卡片raw data'!AV:AV,MATCH(D425,'卡片raw data'!$F:$F,)),0)+IF(OR(P425=5,AND(L425="party卡",P425&gt;=2)),INDEX('卡片raw data'!AW:AW,MATCH(D425,'卡片raw data'!$F:$F,)),0))</f>
        <v>0</v>
      </c>
      <c r="EL425" s="1098">
        <f t="shared" si="590"/>
        <v>0.33</v>
      </c>
      <c r="EM425" s="1098">
        <f t="shared" si="591"/>
        <v>0.33</v>
      </c>
      <c r="EN425" s="1097">
        <f t="shared" si="592"/>
        <v>0</v>
      </c>
      <c r="EO425" s="1097">
        <f t="shared" si="593"/>
        <v>0</v>
      </c>
      <c r="EP425" s="421">
        <f t="shared" si="594"/>
        <v>0</v>
      </c>
      <c r="EQ425" s="445">
        <f t="shared" si="595"/>
        <v>0</v>
      </c>
      <c r="ER425" s="424">
        <f t="shared" si="596"/>
        <v>0</v>
      </c>
      <c r="ES425" s="420">
        <f t="shared" si="597"/>
        <v>0</v>
      </c>
      <c r="ET425" s="446">
        <f t="shared" si="599"/>
        <v>0</v>
      </c>
    </row>
    <row r="426" spans="2:150" ht="16.5" customHeight="1">
      <c r="B426" s="448" t="str">
        <f>INDEX('卡片raw data'!B:B,MATCH($D426,'卡片raw data'!$F:$F,))</f>
        <v>kks海</v>
      </c>
      <c r="C426" s="449" t="s">
        <v>2332</v>
      </c>
      <c r="D426" s="408">
        <v>423</v>
      </c>
      <c r="E426" s="477">
        <v>300042003</v>
      </c>
      <c r="F426" s="409" t="str">
        <f>INDEX('卡片raw data'!C:C,MATCH($D426,'卡片raw data'!$F:$F,))</f>
        <v>SR</v>
      </c>
      <c r="G426" s="1094" t="s">
        <v>2333</v>
      </c>
      <c r="H426" s="411">
        <f>IFERROR(INDEX(绊状态确认!C:C,MATCH($G426,绊状态确认!$B:$B,)),"")</f>
        <v>4</v>
      </c>
      <c r="I426" s="450" t="str">
        <f>IFERROR(INDEX(绊状态确认!D:D,MATCH($G426,绊状态确认!$B:$B,)),"")</f>
        <v>缪</v>
      </c>
      <c r="J426" s="450" t="str">
        <f>IFERROR(INDEX(绊状态确认!E:E,MATCH($G426,绊状态确认!$B:$B,)),"")</f>
        <v>2年级</v>
      </c>
      <c r="K426" s="451" t="str">
        <f>IFERROR(INDEX(绊状态确认!F:F,MATCH($G426,绊状态确认!$B:$B,)),"")</f>
        <v>lilywhite</v>
      </c>
      <c r="L426" s="414" t="str">
        <f>INDEX('卡片raw data'!E:E,MATCH($D426,'卡片raw data'!$F:$F,))</f>
        <v>卡池卡</v>
      </c>
      <c r="M426" s="478">
        <v>44270</v>
      </c>
      <c r="N426" s="479">
        <v>35.5</v>
      </c>
      <c r="O426" s="410" t="str">
        <f>INDEX('卡片raw data'!D:D,MATCH($D426,'卡片raw data'!$F:$F,))</f>
        <v>vo</v>
      </c>
      <c r="P426" s="1126">
        <v>5</v>
      </c>
      <c r="Q426" s="418">
        <f t="shared" si="515"/>
        <v>35653.703619016334</v>
      </c>
      <c r="R426" s="419">
        <f t="shared" si="516"/>
        <v>0.41399999999999998</v>
      </c>
      <c r="S426" s="420">
        <f t="shared" si="517"/>
        <v>16354.209315354932</v>
      </c>
      <c r="T426" s="421">
        <f t="shared" si="518"/>
        <v>0.81699999999999995</v>
      </c>
      <c r="U426" s="422">
        <f t="shared" si="519"/>
        <v>-11.337591955167143</v>
      </c>
      <c r="V426" s="423">
        <f t="shared" si="520"/>
        <v>35442.686292167084</v>
      </c>
      <c r="W426" s="424">
        <f t="shared" si="521"/>
        <v>5090.5054793901463</v>
      </c>
      <c r="X426" s="419">
        <f t="shared" si="522"/>
        <v>5.8999999999999997E-2</v>
      </c>
      <c r="Y426" s="420">
        <f t="shared" si="523"/>
        <v>1093.6511233924512</v>
      </c>
      <c r="Z426" s="425">
        <f t="shared" si="524"/>
        <v>13.662408044832857</v>
      </c>
      <c r="AA426" s="426">
        <f t="shared" si="525"/>
        <v>6184.1566027825975</v>
      </c>
      <c r="AB426" s="424">
        <f t="shared" si="526"/>
        <v>5767.2733951055961</v>
      </c>
      <c r="AC426" s="427">
        <f t="shared" si="527"/>
        <v>6.7000000000000004E-2</v>
      </c>
      <c r="AD426" s="428">
        <f t="shared" si="528"/>
        <v>-3.8207812500000026E-3</v>
      </c>
      <c r="AE426" s="516">
        <f t="shared" si="529"/>
        <v>-12.27536231884058</v>
      </c>
      <c r="AF426" s="1130">
        <f t="shared" si="530"/>
        <v>0</v>
      </c>
      <c r="AG426" s="420">
        <f t="shared" si="531"/>
        <v>0</v>
      </c>
      <c r="AH426" s="420">
        <f t="shared" si="532"/>
        <v>0</v>
      </c>
      <c r="AI426" s="1097">
        <f t="shared" si="533"/>
        <v>0</v>
      </c>
      <c r="AJ426" s="420">
        <f t="shared" si="534"/>
        <v>0</v>
      </c>
      <c r="AK426" s="518">
        <f t="shared" si="535"/>
        <v>0</v>
      </c>
      <c r="AL426" s="1106">
        <f>IF($P426="","N/A",(IF($P426=-1,INDEX('卡片raw data'!S:S,MATCH($D426,'卡片raw data'!$F:$F,)),0)+IF($P426=0,INDEX('卡片raw data'!V:V,MATCH($D426,'卡片raw data'!$F:$F,)),0)+IF($P426=1,INDEX('卡片raw data'!Y:Y,MATCH($D426,'卡片raw data'!$F:$F,)),0)+IF($P426=2,INDEX('卡片raw data'!AB:AB,MATCH($D426,'卡片raw data'!$F:$F,)),0)+IF($P426=3,INDEX('卡片raw data'!AE:AE,MATCH($D426,'卡片raw data'!$F:$F,)),0)+IF($P426=4,INDEX('卡片raw data'!AH:AH,MATCH($D426,'卡片raw data'!$F:$F,)),0)+IF($P426=5,INDEX('卡片raw data'!AK:AK,MATCH($D426,'卡片raw data'!$F:$F,)),0)+INDEX('卡片raw data'!S:S,MATCH($D426,'卡片raw data'!$F:$F,))*(IF($F426="UR",0.04,0.033))*(IF($F426="UR",INDEX(绊状态确认!$S:$S,MATCH($G426,绊状态确认!$B:$B,))/2-40)+IF($F426="SR",INDEX(绊状态确认!$R:$R,MATCH($G426,绊状态确认!$B:$B,))/4-15))+IF($F426="R",INDEX(绊状态确认!$Q:$Q,MATCH($G426,绊状态确认!$B:$B,))/6-40/6)))*(INDEX(绊状态确认!$H:$H,MATCH($G426,绊状态确认!$B:$B,))+INDEX(绊状态确认!J:J,MATCH($G426,绊状态确认!$B:$B,)))</f>
        <v>8621.2690535999991</v>
      </c>
      <c r="AM426" s="1106">
        <f>IF($P426="","N/A",(IF($P426=-1,INDEX('卡片raw data'!T:T,MATCH($D426,'卡片raw data'!$F:$F,)),0)+IF($P426=0,INDEX('卡片raw data'!W:W,MATCH($D426,'卡片raw data'!$F:$F,)),0)+IF($P426=1,INDEX('卡片raw data'!Z:Z,MATCH($D426,'卡片raw data'!$F:$F,)),0)+IF($P426=2,INDEX('卡片raw data'!AC:AC,MATCH($D426,'卡片raw data'!$F:$F,)),0)+IF($P426=3,INDEX('卡片raw data'!AF:AF,MATCH($D426,'卡片raw data'!$F:$F,)),0)+IF($P426=4,INDEX('卡片raw data'!AI:AI,MATCH($D426,'卡片raw data'!$F:$F,)),0)+IF($P426=5,INDEX('卡片raw data'!AL:AL,MATCH($D426,'卡片raw data'!$F:$F,)),0)+INDEX('卡片raw data'!T:T,MATCH($D426,'卡片raw data'!$F:$F,))*(IF($F426="UR",0.04,0.033))*(IF($F426="UR",INDEX(绊状态确认!$S:$S,MATCH($G426,绊状态确认!$B:$B,))/2-40)+IF($F426="SR",INDEX(绊状态确认!$R:$R,MATCH($G426,绊状态确认!$B:$B,))/4-15))+IF($F426="R",INDEX(绊状态确认!$Q:$Q,MATCH($G426,绊状态确认!$B:$B,))/6-40/6)))*(INDEX(绊状态确认!$H:$H,MATCH($G426,绊状态确认!$B:$B,))+INDEX(绊状态确认!K:K,MATCH($G426,绊状态确认!$B:$B,)))</f>
        <v>7360.8650855999995</v>
      </c>
      <c r="AN426" s="1106">
        <f>IF($P426="","N/A",(IF($P426=-1,INDEX('卡片raw data'!U:U,MATCH($D426,'卡片raw data'!$F:$F,)),0)+IF($P426=0,INDEX('卡片raw data'!X:X,MATCH($D426,'卡片raw data'!$F:$F,)),0)+IF($P426=1,INDEX('卡片raw data'!AA:AA,MATCH($D426,'卡片raw data'!$F:$F,)),0)+IF($P426=2,INDEX('卡片raw data'!AD:AD,MATCH($D426,'卡片raw data'!$F:$F,)),0)+IF($P426=3,INDEX('卡片raw data'!AG:AG,MATCH($D426,'卡片raw data'!$F:$F,)),0)+IF($P426=4,INDEX('卡片raw data'!AJ:AJ,MATCH($D426,'卡片raw data'!$F:$F,)),0)+IF($P426=5,INDEX('卡片raw data'!AM:AM,MATCH($D426,'卡片raw data'!$F:$F,)),0)+INDEX('卡片raw data'!U:U,MATCH($D426,'卡片raw data'!$F:$F,))*(IF($F426="UR",0.04,0.033))*(IF($F426="UR",INDEX(绊状态确认!$S:$S,MATCH($G426,绊状态确认!$B:$B,))/2-40)+IF($F426="SR",INDEX(绊状态确认!$R:$R,MATCH($G426,绊状态确认!$B:$B,))/4-15))+IF($F426="R",INDEX(绊状态确认!$Q:$Q,MATCH($G426,绊状态确认!$B:$B,))/6-40/6)))*(INDEX(绊状态确认!$H:$H,MATCH($G426,绊状态确认!$B:$B,))+INDEX(绊状态确认!L:L,MATCH($G426,绊状态确认!$B:$B,)))</f>
        <v>5045.1000743999994</v>
      </c>
      <c r="AO426" s="1107">
        <f t="shared" si="536"/>
        <v>1</v>
      </c>
      <c r="AP426" s="1131">
        <f>1+(INDEX(绊状态确认!$T:$T,MATCH($G426,绊状态确认!$B:$B,))+0.2)*$AO426</f>
        <v>1.3</v>
      </c>
      <c r="AQ426" s="1108">
        <f t="shared" si="537"/>
        <v>25880.831265699999</v>
      </c>
      <c r="AR426" s="1097">
        <f>(AM426*(1+$EX$9)+$EX$35)*(1+(INDEX(绊状态确认!$T:$T,MATCH($G426,绊状态确认!$B:$B,))+0.2)*AO426)*IF(J426=$FF$17,1+$FE$17,1)*IF(I426=$FF$14,1+$FE$14,1)</f>
        <v>12751.580841843999</v>
      </c>
      <c r="AS426" s="1097">
        <f>(AN426*(1+$EX$10)+$EX$36)*(1+(INDEX(绊状态确认!$T:$T,MATCH($G426,绊状态确认!$B:$B,))+0.2)*AO426)*IF(J426=$FF$17,1+$FE$17,1)*IF(I426=$FF$14,1+$FE$14,1)</f>
        <v>11598.424611228</v>
      </c>
      <c r="AT426" s="1093">
        <f>IF(AND(INDEX('卡片raw data'!AK:AK,MATCH($D426,'卡片raw data'!$F:$F,))&lt;INDEX('卡片raw data'!AM:AM,MATCH($D426,'卡片raw data'!$F:$F,)),INDEX('卡片raw data'!AL:AL,MATCH($D426,'卡片raw data'!$F:$F,))&lt;INDEX('卡片raw data'!AM:AM,MATCH($D426,'卡片raw data'!$F:$F,))),1,0)</f>
        <v>0</v>
      </c>
      <c r="AU426" s="1098">
        <f>MIN(AT426*0.15+AS426*0.00003+INDEX(绊状态确认!M:M,MATCH($G426,绊状态确认!$B:$B,)),1)</f>
        <v>0.37795273833684001</v>
      </c>
      <c r="AV426" s="1109">
        <f>(INDEX(绊状态确认!$N:$N,MATCH($G426,绊状态确认!$B:$B,))+1.5)*$EW$21</f>
        <v>2.6599999999999997</v>
      </c>
      <c r="AW426" s="1101">
        <f t="shared" si="538"/>
        <v>21874.105847231513</v>
      </c>
      <c r="AX426" s="1097">
        <f t="shared" si="539"/>
        <v>1093.6511233924514</v>
      </c>
      <c r="AY426" s="1110">
        <f t="shared" si="540"/>
        <v>22967.756970623963</v>
      </c>
      <c r="AZ426" s="429">
        <f t="shared" si="541"/>
        <v>19411.47465452</v>
      </c>
      <c r="BA426" s="431">
        <f t="shared" si="542"/>
        <v>23293.769585423997</v>
      </c>
      <c r="BB426" s="1097">
        <f>(AM426*(1+$FB$9)+$FB$35)*(1+(INDEX(绊状态确认!$T:$T,MATCH($G426,绊状态确认!$B:$B,))+0.2)*AO426)*IF(J426=$FF$17,1+$FE$17,1)*IF(I426=$FF$14,1+$FE$14,1)*(1+$FE$15)</f>
        <v>12751.580841843999</v>
      </c>
      <c r="BC426" s="1097">
        <f>(AN426*(1+$FB$10)+$FB$36)*(1+(INDEX(绊状态确认!$T:$T,MATCH($G426,绊状态确认!$B:$B,))+0.2)*AO426)*IF(J426=$FF$17,1+$FE$17,1)*IF(I426=$FF$14,1+$FE$14,1)*(1+$FE$15)</f>
        <v>11598.424611228</v>
      </c>
      <c r="BD426" s="1104">
        <f>MIN(AT426*0.15+BC426*0.00003+INDEX(绊状态确认!M:M,MATCH($G426,绊状态确认!$B:$B,)),1)</f>
        <v>0.37795273833684001</v>
      </c>
      <c r="BE426" s="432">
        <f>(INDEX(绊状态确认!$N:$N,MATCH($G426,绊状态确认!$B:$B,))+1.5)</f>
        <v>1.9</v>
      </c>
      <c r="BF426" s="1139">
        <f t="array" ref="BF426">SUMPRODUCT(IF(AZ426*AP426*$FI$16:$FI$23*$FA$22&gt;=$FI$24,$FI$24,AZ426*AP426*$FI$16:$FI$23*$FA$22),$FJ$16:$FJ$23)</f>
        <v>38609.423087840281</v>
      </c>
      <c r="BG426" s="1125">
        <f t="array" ref="BG426">SUMPRODUCT(IF(BE426*AZ426*AP426*$FI$16:$FI$23*$FA$22&gt;=$FI$24,$FI$24,BE426*AZ426*AP426*$FI$16:$FI$23*$FA$22),$FJ$16:$FJ$23)</f>
        <v>59753.56108759973</v>
      </c>
      <c r="BH426" s="1110">
        <f t="shared" si="543"/>
        <v>15533.635981540467</v>
      </c>
      <c r="BI426" s="1111">
        <f>IF(O426="vo",$EW$26/$EW$24*0.05,0)+IF(O426="sk",-$EW$26/$EW$24*(0.05-INDEX(绊状态确认!W:W,MATCH($G426,绊状态确认!$B:$B,)))+0.05*$EW$28,0)+IF(O426="sp",0.05*$EW$32*$EW$30*(1-$EW$33)-(0.05-INDEX(绊状态确认!V:V,MATCH($G426,绊状态确认!$B:$B,)))*$EW$28,0)+IF(O426="gd",-(0.05-INDEX(绊状态确认!X:X,MATCH($G426,绊状态确认!$B:$B,)))*$EW$32*$EW$30*(1-$EW$33),0)</f>
        <v>7726.3029277443748</v>
      </c>
      <c r="BJ426" s="420">
        <f>IF(O426="vo",0.05*(1-$FI$26)*$FA$24,0)+IF(O426="sk",-(0.05-INDEX(绊状态确认!W:W,MATCH($G426,绊状态确认!$B:$B,)))*(1-$FI$26)*$FA$24+0.05*$FA$26,0)+IF(O426="sp",0.05*$FA$32*$FA$27*(1-$FA$33)/$FA$30+0.05*$FA$29/$FA$69*$FA$27*(1-$FA$33)-(0.05-INDEX(绊状态确认!V:V,MATCH($G426,绊状态确认!$B:$B,)))*$FA$26,0)+IF(O426="gd",-(0.05-INDEX(绊状态确认!X:X,MATCH($G426,绊状态确认!$B:$B,)))*$FA$32*$FA$27*(1-$FA$33)/$FA$30-(0.05-INDEX(绊状态确认!X:X,MATCH($G426,绊状态确认!$B:$B,)))*$FA$29/$FA$69*$FA$27*(1-$FA$33),0)</f>
        <v>393.93433687500004</v>
      </c>
      <c r="BK426" s="1110">
        <f>IF(O426="vo",$EW$26/$EW$24*0.05+$EW$26*(-HP($EW$62,$EW$65,$EW$64)+HP($EW$62,$EW$65,(1.05-INDEX(绊状态确认!U:U,MATCH($G426,绊状态确认!$B:$B,)))*$EW$64)),0)+IF(O426="sk",-$EW$26/$EW$24*(0.05-INDEX(绊状态确认!W:W,MATCH($G426,绊状态确认!$B:$B,)))+0.05*$EW$29,0)+IF(O426="sp",0.05*$EW$32*$EW$30*(1-$EW$33)-(0.05-INDEX(绊状态确认!V:V,MATCH($G426,绊状态确认!$B:$B,)))*$EW$29,0)+IF(O426="gd",-(0.05-INDEX(绊状态确认!X:X,MATCH($G426,绊状态确认!$B:$B,)))*$EW$32*$EW$30*(1-$EW$33)+$EW$26*(-HP($EW$62,$EW$65,$EW$64)+HP($EW$62,$EW$65,0.95*$EW$64)),0)</f>
        <v>6421.6344775026746</v>
      </c>
      <c r="BL426" s="1111">
        <f t="shared" si="544"/>
        <v>-1083.3333333333333</v>
      </c>
      <c r="BM426" s="1110">
        <f t="shared" si="545"/>
        <v>-830.55555555555543</v>
      </c>
      <c r="BN426" s="1113">
        <f t="shared" si="546"/>
        <v>3</v>
      </c>
      <c r="BO426" s="1108">
        <f t="shared" si="547"/>
        <v>4507.7214871259994</v>
      </c>
      <c r="BP426" s="1100">
        <f t="shared" si="548"/>
        <v>221.34103209030098</v>
      </c>
      <c r="BQ426" s="1113" t="s">
        <v>132</v>
      </c>
      <c r="BR426" s="1124" t="s">
        <v>166</v>
      </c>
      <c r="BS426" s="421">
        <f>IF($P426="","N/A",IF($P426=-1,INDEX('卡片raw data'!AX:AX,MATCH($D426,'卡片raw data'!$F:$F,)),0)+IF($L426="party卡",IF($P426=5,INDEX('卡片raw data'!BD:BD,MATCH($D426,'卡片raw data'!$F:$F,)),IF($P426&gt;=3,INDEX('卡片raw data'!BC:BC,MATCH($D426,'卡片raw data'!$F:$F,)),INDEX('卡片raw data'!BB:BB,MATCH($D426,'卡片raw data'!$F:$F,)))),IF(OR(AND($F426="UR",$P426=0),AND($F426="SR",$P426&gt;=0,$P426&lt;=2),AND($F426="R",$P426&gt;=0,$P426&lt;4)),INDEX('卡片raw data'!AZ:AZ,MATCH($D426,'卡片raw data'!$F:$F,)),0)+IF(OR(AND($F426="UR",$P426&gt;=1,$P426&lt;=4),AND($F426="SR",$P426&lt;=4,$P426&gt;=3),AND($F426="R",$P426=4)),INDEX('卡片raw data'!BA:BA,MATCH($D426,'卡片raw data'!$F:$F,)),0)+IF($P426=5,INDEX('卡片raw data'!BB:BB,MATCH($D426,'卡片raw data'!$F:$F,)),0)))</f>
        <v>7.0000000000000007E-2</v>
      </c>
      <c r="BT426" s="424">
        <f t="shared" si="549"/>
        <v>676.76791571545016</v>
      </c>
      <c r="BU426" s="420">
        <f t="shared" si="550"/>
        <v>22.910814273777078</v>
      </c>
      <c r="BV426" s="420">
        <f t="shared" si="551"/>
        <v>0</v>
      </c>
      <c r="BW426" s="436">
        <f t="shared" si="552"/>
        <v>0</v>
      </c>
      <c r="BX426" s="423">
        <f t="shared" si="553"/>
        <v>676.76791571545016</v>
      </c>
      <c r="BY426" s="433">
        <f t="shared" si="554"/>
        <v>0</v>
      </c>
      <c r="BZ426" s="1113" t="s">
        <v>569</v>
      </c>
      <c r="CA426" s="450"/>
      <c r="CB426" s="421">
        <f>IF($P426="","N/A",IF($P426=-1,INDEX('卡片raw data'!BE:BE,MATCH($D426,'卡片raw data'!$F:$F,)),0)+IF($L426="party卡",IF($P426=5,INDEX('卡片raw data'!BK:BK,MATCH($D426,'卡片raw data'!$F:$F,)),IF($P426&gt;=3,INDEX('卡片raw data'!BJ:BJ,MATCH($D426,'卡片raw data'!$F:$F,)),INDEX('卡片raw data'!BI:BI,MATCH($D426,'卡片raw data'!$F:$F,)))),IF(OR(AND($F426="UR",$P426=0),AND($F426="SR",$P426&gt;=0,$P426&lt;=2),AND($F426="R",$P426&gt;=0,$P426&lt;4)),INDEX('卡片raw data'!BG:BG,MATCH($D426,'卡片raw data'!$F:$F,)),0)+IF(OR(AND($F426="UR",$P426&gt;=1,$P426&lt;=4),AND($F426="SR",$P426&lt;=4,$P426&gt;=3),AND($F426="R",$P426=4)),INDEX('卡片raw data'!BH:BH,MATCH($D426,'卡片raw data'!$F:$F,)),0)+IF($P426=5,INDEX('卡片raw data'!BI:BI,MATCH($D426,'卡片raw data'!$F:$F,)),0)))</f>
        <v>0</v>
      </c>
      <c r="CC426" s="424">
        <f t="shared" si="555"/>
        <v>0</v>
      </c>
      <c r="CD426" s="420">
        <f>IF(BZ426="ap",CB426*(1-$FI$26)*$FB$5/$FB$11*(+IF(CA426="全员",$FA$24,0)+IF(CA426="同作战",$FA$24,0)+IF(CA426="仲间",$FA$24*2/3,0)+IF(CA426="同属性",$FA$24*$FA$37/3,0)+IF(CA426="同年级",$FA$24*$FA$40/3,0)+IF(CA426="同学校",$FA$24*$FA$43/3,0)+IF(CA426="同小队",$FA$24*$FA$46/3,0)+IF(CA426="同type",$FA$24*INDEX($FB$49:$FB$52,MATCH(X426,$FA$49:$FA$52,))/3,0)+IF(CA426="自身",#REF!/3,0)),0)+IF(BZ426="te",CB426*(1-$FI$27)*($FA$20-1)*$FB$7/$FB$13*(+IF(CA426="全员",$FA$19*$FA$24/(1+($FA$20-1)*$FA$19),0)+IF(CA426="同作战",$FA$19*$FA$24/(1+($FA$20-1)*$FA$19),0)+IF(CA426="仲间",$FA$19*$FA$24*2/3/(1+($FA$20-1)*$FA$19),0)+IF(CA426="同属性",$FA$19*$FA$24*$FA$37/3/(1+($FA$20-1)*$FA$19),0)+IF(CA426="同年级",$FA$19*$FA$24*$FA$40/3/(1+($FA$20-1)*$FA$19),0)+IF(CA426="同学校",$FA$19*$FA$24*$FA$43/3/(1+($FA$20-1)*$FA$19),0)+IF(CA426="同小队",$FA$19*$FA$24*$FA$46/3/(1+($FA$20-1)*$FA$19),0)+IF(CA426="同type",$FA$19*$FA$24*INDEX($FB$49:$FB$52,MATCH(X426,$FA$49:$FA$52,))/3/(1+($FA$20-1)*$FA$19),0)+IF(CA426="自身",$FA$19*#REF!/3/(1+(BH426-1)*$BD426),0)),0)</f>
        <v>0</v>
      </c>
      <c r="CE426" s="420">
        <f t="shared" si="556"/>
        <v>0</v>
      </c>
      <c r="CF426" s="436">
        <f t="shared" si="557"/>
        <v>0</v>
      </c>
      <c r="CG426" s="423">
        <f t="shared" si="558"/>
        <v>0</v>
      </c>
      <c r="CH426" s="433">
        <f t="shared" si="559"/>
        <v>0</v>
      </c>
      <c r="CI426" s="437" t="s">
        <v>164</v>
      </c>
      <c r="CJ426" s="1114">
        <v>1</v>
      </c>
      <c r="CK426" s="439" t="s">
        <v>167</v>
      </c>
      <c r="CL426" s="1115" t="s">
        <v>161</v>
      </c>
      <c r="CM426" s="1119">
        <v>0.04</v>
      </c>
      <c r="CN426" s="1115">
        <v>5</v>
      </c>
      <c r="CO426" s="1115"/>
      <c r="CP426" s="1118">
        <f t="shared" si="560"/>
        <v>4.2857142857142859E-3</v>
      </c>
      <c r="CQ426" s="1118">
        <f t="shared" si="561"/>
        <v>6.666666666666668E-3</v>
      </c>
      <c r="CR426" s="1118">
        <f t="shared" si="562"/>
        <v>4.2857142857142859E-3</v>
      </c>
      <c r="CS426" s="442">
        <f t="shared" si="563"/>
        <v>0</v>
      </c>
      <c r="CT426" s="432">
        <f t="shared" si="564"/>
        <v>0</v>
      </c>
      <c r="CU426" s="1101">
        <f t="shared" si="565"/>
        <v>582.78399226414717</v>
      </c>
      <c r="CV426" s="1108">
        <f t="shared" si="566"/>
        <v>43.770481875000016</v>
      </c>
      <c r="CW426" s="1097">
        <f t="shared" si="567"/>
        <v>582.78399226414717</v>
      </c>
      <c r="CX426" s="420">
        <f t="shared" si="568"/>
        <v>582.78399226414717</v>
      </c>
      <c r="CY426" s="433">
        <f t="shared" si="569"/>
        <v>582.78399226414717</v>
      </c>
      <c r="CZ426" s="437"/>
      <c r="DA426" s="438"/>
      <c r="DB426" s="439" t="s">
        <v>569</v>
      </c>
      <c r="DC426" s="439"/>
      <c r="DD426" s="443"/>
      <c r="DE426" s="411"/>
      <c r="DF426" s="411"/>
      <c r="DG426" s="1116">
        <f t="shared" si="570"/>
        <v>0</v>
      </c>
      <c r="DH426" s="1116">
        <f t="shared" si="571"/>
        <v>0</v>
      </c>
      <c r="DI426" s="1116">
        <f t="shared" si="572"/>
        <v>0</v>
      </c>
      <c r="DJ426" s="442">
        <f t="shared" si="573"/>
        <v>0</v>
      </c>
      <c r="DK426" s="432">
        <f t="shared" si="574"/>
        <v>0</v>
      </c>
      <c r="DL426" s="424">
        <f t="shared" si="575"/>
        <v>0</v>
      </c>
      <c r="DM426" s="420">
        <f t="shared" si="576"/>
        <v>0</v>
      </c>
      <c r="DN426" s="420">
        <f t="shared" si="577"/>
        <v>0</v>
      </c>
      <c r="DO426" s="420">
        <f t="shared" si="578"/>
        <v>0</v>
      </c>
      <c r="DP426" s="433">
        <f t="shared" si="579"/>
        <v>0</v>
      </c>
      <c r="DQ426" s="1113" t="s">
        <v>545</v>
      </c>
      <c r="DR426" s="1120">
        <f t="shared" si="580"/>
        <v>0.3</v>
      </c>
      <c r="DS426" s="1124"/>
      <c r="DT426" s="1093" t="s">
        <v>132</v>
      </c>
      <c r="DU426" s="1093"/>
      <c r="DV426" s="1098">
        <f>IF($P426="","N/A",IF(P426=-1,INDEX('卡片raw data'!AN:AN,MATCH(D426,'卡片raw data'!$F:$F,)),0)+IF(AND(L426&lt;&gt;"party卡",P426&lt;=2,P426&gt;=0),INDEX('卡片raw data'!AP:AP,MATCH(D426,'卡片raw data'!$F:$F,)),0)+IF(OR(AND(L426="party卡",P426&lt;=1),AND(P426&lt;=4,L426&lt;&gt;"party卡",P426&gt;=3)),INDEX('卡片raw data'!AQ:AQ,MATCH(D426,'卡片raw data'!$F:$F,)),0)+IF(OR(P426=5,AND(L426="party卡",P426&gt;=2)),INDEX('卡片raw data'!AR:AR,MATCH(D426,'卡片raw data'!$F:$F,)),0))</f>
        <v>0.37</v>
      </c>
      <c r="DW426" s="1098">
        <f t="shared" si="581"/>
        <v>0.3</v>
      </c>
      <c r="DX426" s="1098">
        <f t="shared" si="582"/>
        <v>0.3</v>
      </c>
      <c r="DY426" s="1097">
        <f t="shared" si="583"/>
        <v>1244.86798388017</v>
      </c>
      <c r="DZ426" s="1097">
        <f t="shared" si="584"/>
        <v>969.17222425594366</v>
      </c>
      <c r="EA426" s="421">
        <f t="shared" si="585"/>
        <v>0</v>
      </c>
      <c r="EB426" s="445">
        <f t="shared" si="586"/>
        <v>0</v>
      </c>
      <c r="EC426" s="424">
        <f t="shared" si="587"/>
        <v>1369.3547822681871</v>
      </c>
      <c r="ED426" s="420">
        <f t="shared" si="588"/>
        <v>969.17222425594366</v>
      </c>
      <c r="EE426" s="433">
        <f t="shared" si="598"/>
        <v>1369.3547822681871</v>
      </c>
      <c r="EF426" s="1115" t="s">
        <v>569</v>
      </c>
      <c r="EG426" s="444">
        <f t="shared" si="589"/>
        <v>0.3</v>
      </c>
      <c r="EH426" s="450"/>
      <c r="EI426" s="1093"/>
      <c r="EJ426" s="1093"/>
      <c r="EK426" s="420">
        <f>IF($P426="","N/A",IF(P426=-1,INDEX('卡片raw data'!AS:AS,MATCH(D426,'卡片raw data'!$F:$F,)),0)+IF(AND(L426&lt;&gt;"party卡",P426&lt;=2,P426&gt;=0),INDEX('卡片raw data'!AU:AU,MATCH(D426,'卡片raw data'!$F:$F,)),0)+IF(OR(AND(L426="party卡",P426&lt;=1),AND(P426&lt;=4,L426&lt;&gt;"party卡",P426&gt;=3)),INDEX('卡片raw data'!AV:AV,MATCH(D426,'卡片raw data'!$F:$F,)),0)+IF(OR(P426=5,AND(L426="party卡",P426&gt;=2)),INDEX('卡片raw data'!AW:AW,MATCH(D426,'卡片raw data'!$F:$F,)),0))</f>
        <v>0</v>
      </c>
      <c r="EL426" s="1098">
        <f t="shared" si="590"/>
        <v>0.3</v>
      </c>
      <c r="EM426" s="1098">
        <f t="shared" si="591"/>
        <v>0.3</v>
      </c>
      <c r="EN426" s="1097">
        <f t="shared" si="592"/>
        <v>0</v>
      </c>
      <c r="EO426" s="1097">
        <f t="shared" si="593"/>
        <v>0</v>
      </c>
      <c r="EP426" s="421">
        <f t="shared" si="594"/>
        <v>0</v>
      </c>
      <c r="EQ426" s="445">
        <f t="shared" si="595"/>
        <v>0</v>
      </c>
      <c r="ER426" s="424">
        <f t="shared" si="596"/>
        <v>0</v>
      </c>
      <c r="ES426" s="420">
        <f t="shared" si="597"/>
        <v>0</v>
      </c>
      <c r="ET426" s="446">
        <f t="shared" si="599"/>
        <v>0</v>
      </c>
    </row>
    <row r="427" spans="2:150" ht="16.5" customHeight="1">
      <c r="B427" s="448" t="str">
        <f>INDEX('卡片raw data'!B:B,MATCH($D427,'卡片raw data'!$F:$F,))</f>
        <v>枪战露</v>
      </c>
      <c r="C427" s="449" t="s">
        <v>2344</v>
      </c>
      <c r="D427" s="408">
        <v>424</v>
      </c>
      <c r="E427" s="477">
        <v>401093003</v>
      </c>
      <c r="F427" s="409" t="str">
        <f>INDEX('卡片raw data'!C:C,MATCH($D427,'卡片raw data'!$F:$F,))</f>
        <v>UR</v>
      </c>
      <c r="G427" s="1094" t="s">
        <v>2347</v>
      </c>
      <c r="H427" s="411">
        <f>IFERROR(INDEX(绊状态确认!C:C,MATCH($G427,绊状态确认!$B:$B,)),"")</f>
        <v>109</v>
      </c>
      <c r="I427" s="450" t="str">
        <f>IFERROR(INDEX(绊状态确认!D:D,MATCH($G427,绊状态确认!$B:$B,)),"")</f>
        <v>水</v>
      </c>
      <c r="J427" s="450" t="str">
        <f>IFERROR(INDEX(绊状态确认!E:E,MATCH($G427,绊状态确认!$B:$B,)),"")</f>
        <v>1年级</v>
      </c>
      <c r="K427" s="451" t="str">
        <f>IFERROR(INDEX(绊状态确认!F:F,MATCH($G427,绊状态确认!$B:$B,)),"")</f>
        <v>CYaRon!</v>
      </c>
      <c r="L427" s="414" t="str">
        <f>INDEX('卡片raw data'!E:E,MATCH($D427,'卡片raw data'!$F:$F,))</f>
        <v>卡池卡</v>
      </c>
      <c r="M427" s="478">
        <v>44275</v>
      </c>
      <c r="N427" s="479">
        <v>36</v>
      </c>
      <c r="O427" s="410" t="str">
        <f>INDEX('卡片raw data'!D:D,MATCH($D427,'卡片raw data'!$F:$F,))</f>
        <v>vo</v>
      </c>
      <c r="P427" s="1126">
        <v>5</v>
      </c>
      <c r="Q427" s="418">
        <f t="shared" si="515"/>
        <v>64899.468397458237</v>
      </c>
      <c r="R427" s="419">
        <f t="shared" si="516"/>
        <v>0.754</v>
      </c>
      <c r="S427" s="420">
        <f t="shared" si="517"/>
        <v>20624.199970068417</v>
      </c>
      <c r="T427" s="421">
        <f t="shared" si="518"/>
        <v>1.0309999999999999</v>
      </c>
      <c r="U427" s="422">
        <f t="shared" si="519"/>
        <v>-7.8735398874571452</v>
      </c>
      <c r="V427" s="423">
        <f t="shared" si="520"/>
        <v>64975.577095938977</v>
      </c>
      <c r="W427" s="424">
        <f t="shared" si="521"/>
        <v>6004.2134697171141</v>
      </c>
      <c r="X427" s="419">
        <f t="shared" si="522"/>
        <v>6.9000000000000006E-2</v>
      </c>
      <c r="Y427" s="420">
        <f t="shared" si="523"/>
        <v>1380.7771487224418</v>
      </c>
      <c r="Z427" s="425">
        <f t="shared" si="524"/>
        <v>17.126460112542855</v>
      </c>
      <c r="AA427" s="426">
        <f t="shared" si="525"/>
        <v>7384.9906184395559</v>
      </c>
      <c r="AB427" s="424">
        <f t="shared" si="526"/>
        <v>7500.7054523082315</v>
      </c>
      <c r="AC427" s="427">
        <f t="shared" si="527"/>
        <v>8.6999999999999994E-2</v>
      </c>
      <c r="AD427" s="428">
        <f t="shared" si="528"/>
        <v>0</v>
      </c>
      <c r="AE427" s="516">
        <f t="shared" si="529"/>
        <v>0</v>
      </c>
      <c r="AF427" s="1130">
        <f t="shared" si="530"/>
        <v>0</v>
      </c>
      <c r="AG427" s="420">
        <f t="shared" si="531"/>
        <v>0</v>
      </c>
      <c r="AH427" s="420">
        <f t="shared" si="532"/>
        <v>0</v>
      </c>
      <c r="AI427" s="1097">
        <f t="shared" si="533"/>
        <v>0</v>
      </c>
      <c r="AJ427" s="420">
        <f t="shared" si="534"/>
        <v>0</v>
      </c>
      <c r="AK427" s="518">
        <f t="shared" si="535"/>
        <v>0</v>
      </c>
      <c r="AL427" s="1106">
        <f>IF($P427="","N/A",(IF($P427=-1,INDEX('卡片raw data'!S:S,MATCH($D427,'卡片raw data'!$F:$F,)),0)+IF($P427=0,INDEX('卡片raw data'!V:V,MATCH($D427,'卡片raw data'!$F:$F,)),0)+IF($P427=1,INDEX('卡片raw data'!Y:Y,MATCH($D427,'卡片raw data'!$F:$F,)),0)+IF($P427=2,INDEX('卡片raw data'!AB:AB,MATCH($D427,'卡片raw data'!$F:$F,)),0)+IF($P427=3,INDEX('卡片raw data'!AE:AE,MATCH($D427,'卡片raw data'!$F:$F,)),0)+IF($P427=4,INDEX('卡片raw data'!AH:AH,MATCH($D427,'卡片raw data'!$F:$F,)),0)+IF($P427=5,INDEX('卡片raw data'!AK:AK,MATCH($D427,'卡片raw data'!$F:$F,)),0)+INDEX('卡片raw data'!S:S,MATCH($D427,'卡片raw data'!$F:$F,))*(IF($F427="UR",0.04,0.033))*(IF($F427="UR",INDEX(绊状态确认!$S:$S,MATCH($G427,绊状态确认!$B:$B,))/2-40)+IF($F427="SR",INDEX(绊状态确认!$R:$R,MATCH($G427,绊状态确认!$B:$B,))/4-15))+IF($F427="R",INDEX(绊状态确认!$Q:$Q,MATCH($G427,绊状态确认!$B:$B,))/6-40/6)))*(INDEX(绊状态确认!$H:$H,MATCH($G427,绊状态确认!$B:$B,))+INDEX(绊状态确认!J:J,MATCH($G427,绊状态确认!$B:$B,)))</f>
        <v>14777.836511999998</v>
      </c>
      <c r="AM427" s="1106">
        <f>IF($P427="","N/A",(IF($P427=-1,INDEX('卡片raw data'!T:T,MATCH($D427,'卡片raw data'!$F:$F,)),0)+IF($P427=0,INDEX('卡片raw data'!W:W,MATCH($D427,'卡片raw data'!$F:$F,)),0)+IF($P427=1,INDEX('卡片raw data'!Z:Z,MATCH($D427,'卡片raw data'!$F:$F,)),0)+IF($P427=2,INDEX('卡片raw data'!AC:AC,MATCH($D427,'卡片raw data'!$F:$F,)),0)+IF($P427=3,INDEX('卡片raw data'!AF:AF,MATCH($D427,'卡片raw data'!$F:$F,)),0)+IF($P427=4,INDEX('卡片raw data'!AI:AI,MATCH($D427,'卡片raw data'!$F:$F,)),0)+IF($P427=5,INDEX('卡片raw data'!AL:AL,MATCH($D427,'卡片raw data'!$F:$F,)),0)+INDEX('卡片raw data'!T:T,MATCH($D427,'卡片raw data'!$F:$F,))*(IF($F427="UR",0.04,0.033))*(IF($F427="UR",INDEX(绊状态确认!$S:$S,MATCH($G427,绊状态确认!$B:$B,))/2-40)+IF($F427="SR",INDEX(绊状态确认!$R:$R,MATCH($G427,绊状态确认!$B:$B,))/4-15))+IF($F427="R",INDEX(绊状态确认!$Q:$Q,MATCH($G427,绊状态确认!$B:$B,))/6-40/6)))*(INDEX(绊状态确认!$H:$H,MATCH($G427,绊状态确认!$B:$B,))+INDEX(绊状态确认!K:K,MATCH($G427,绊状态确认!$B:$B,)))</f>
        <v>9729.4476959999974</v>
      </c>
      <c r="AN427" s="1106">
        <f>IF($P427="","N/A",(IF($P427=-1,INDEX('卡片raw data'!U:U,MATCH($D427,'卡片raw data'!$F:$F,)),0)+IF($P427=0,INDEX('卡片raw data'!X:X,MATCH($D427,'卡片raw data'!$F:$F,)),0)+IF($P427=1,INDEX('卡片raw data'!AA:AA,MATCH($D427,'卡片raw data'!$F:$F,)),0)+IF($P427=2,INDEX('卡片raw data'!AD:AD,MATCH($D427,'卡片raw data'!$F:$F,)),0)+IF($P427=3,INDEX('卡片raw data'!AG:AG,MATCH($D427,'卡片raw data'!$F:$F,)),0)+IF($P427=4,INDEX('卡片raw data'!AJ:AJ,MATCH($D427,'卡片raw data'!$F:$F,)),0)+IF($P427=5,INDEX('卡片raw data'!AM:AM,MATCH($D427,'卡片raw data'!$F:$F,)),0)+INDEX('卡片raw data'!U:U,MATCH($D427,'卡片raw data'!$F:$F,))*(IF($F427="UR",0.04,0.033))*(IF($F427="UR",INDEX(绊状态确认!$S:$S,MATCH($G427,绊状态确认!$B:$B,))/2-40)+IF($F427="SR",INDEX(绊状态确认!$R:$R,MATCH($G427,绊状态确认!$B:$B,))/4-15))+IF($F427="R",INDEX(绊状态确认!$Q:$Q,MATCH($G427,绊状态确认!$B:$B,))/6-40/6)))*(INDEX(绊状态确认!$H:$H,MATCH($G427,绊状态确认!$B:$B,))+INDEX(绊状态确认!L:L,MATCH($G427,绊状态确认!$B:$B,)))</f>
        <v>11534.68728</v>
      </c>
      <c r="AO427" s="1107">
        <f t="shared" si="536"/>
        <v>1</v>
      </c>
      <c r="AP427" s="1131">
        <f>1+(INDEX(绊状态确认!$T:$T,MATCH($G427,绊状态确认!$B:$B,))+0.2)*$AO427</f>
        <v>1.3</v>
      </c>
      <c r="AQ427" s="1108">
        <f t="shared" si="537"/>
        <v>42041.820843999994</v>
      </c>
      <c r="AR427" s="1097">
        <f>(AM427*(1+$EX$9)+$EX$35)*(1+(INDEX(绊状态确认!$T:$T,MATCH($G427,绊状态确认!$B:$B,))+0.2)*AO427)*IF(J427=$FF$17,1+$FE$17,1)*IF(I427=$FF$14,1+$FE$14,1)</f>
        <v>15984.696105039997</v>
      </c>
      <c r="AS427" s="1097">
        <f>(AN427*(1+$EX$10)+$EX$36)*(1+(INDEX(绊状态确认!$T:$T,MATCH($G427,绊状态确认!$B:$B,))+0.2)*AO427)*IF(J427=$FF$17,1+$FE$17,1)*IF(I427=$FF$14,1+$FE$14,1)</f>
        <v>21300.357483600004</v>
      </c>
      <c r="AT427" s="1093">
        <f>IF(AND(INDEX('卡片raw data'!AK:AK,MATCH($D427,'卡片raw data'!$F:$F,))&lt;INDEX('卡片raw data'!AM:AM,MATCH($D427,'卡片raw data'!$F:$F,)),INDEX('卡片raw data'!AL:AL,MATCH($D427,'卡片raw data'!$F:$F,))&lt;INDEX('卡片raw data'!AM:AM,MATCH($D427,'卡片raw data'!$F:$F,))),1,0)</f>
        <v>0</v>
      </c>
      <c r="AU427" s="1098">
        <f>MIN(AT427*0.15+AS427*0.00003+INDEX(绊状态确认!M:M,MATCH($G427,绊状态确认!$B:$B,)),1)</f>
        <v>0.66901072450800014</v>
      </c>
      <c r="AV427" s="1109">
        <f>(INDEX(绊状态确认!$N:$N,MATCH($G427,绊状态确认!$B:$B,))+1.5)*$EW$21</f>
        <v>2.6599999999999997</v>
      </c>
      <c r="AW427" s="1101">
        <f t="shared" si="538"/>
        <v>46082.510625058494</v>
      </c>
      <c r="AX427" s="1097">
        <f t="shared" si="539"/>
        <v>1380.7771487224416</v>
      </c>
      <c r="AY427" s="1110">
        <f t="shared" si="540"/>
        <v>47463.287773780932</v>
      </c>
      <c r="AZ427" s="429">
        <f t="shared" si="541"/>
        <v>31416.781198399996</v>
      </c>
      <c r="BA427" s="431">
        <f t="shared" si="542"/>
        <v>37700.137438079997</v>
      </c>
      <c r="BB427" s="1097">
        <f>(AM427*(1+$FB$9)+$FB$35)*(1+(INDEX(绊状态确认!$T:$T,MATCH($G427,绊状态确认!$B:$B,))+0.2)*AO427)*IF(J427=$FF$17,1+$FE$17,1)*IF(I427=$FF$14,1+$FE$14,1)*(1+$FE$15)</f>
        <v>15984.696105039997</v>
      </c>
      <c r="BC427" s="1097">
        <f>(AN427*(1+$FB$10)+$FB$36)*(1+(INDEX(绊状态确认!$T:$T,MATCH($G427,绊状态确认!$B:$B,))+0.2)*AO427)*IF(J427=$FF$17,1+$FE$17,1)*IF(I427=$FF$14,1+$FE$14,1)*(1+$FE$15)</f>
        <v>21300.357483600004</v>
      </c>
      <c r="BD427" s="1104">
        <f>MIN(AT427*0.15+BC427*0.00003+INDEX(绊状态确认!M:M,MATCH($G427,绊状态确认!$B:$B,)),1)</f>
        <v>0.66901072450800014</v>
      </c>
      <c r="BE427" s="432">
        <f>(INDEX(绊状态确认!$N:$N,MATCH($G427,绊状态确认!$B:$B,))+1.5)</f>
        <v>1.9</v>
      </c>
      <c r="BF427" s="1139">
        <f t="array" ref="BF427">SUMPRODUCT(IF(AZ427*AP427*$FI$16:$FI$23*$FA$22&gt;=$FI$24,$FI$24,AZ427*AP427*$FI$16:$FI$23*$FA$22),$FJ$16:$FJ$23)</f>
        <v>57646.162245697597</v>
      </c>
      <c r="BG427" s="1125">
        <f t="array" ref="BG427">SUMPRODUCT(IF(BE427*AZ427*AP427*$FI$16:$FI$23*$FA$22&gt;=$FI$24,$FI$24,BE427*AZ427*AP427*$FI$16:$FI$23*$FA$22),$FJ$16:$FJ$23)</f>
        <v>60000</v>
      </c>
      <c r="BH427" s="1110">
        <f t="shared" si="543"/>
        <v>19740.301649025914</v>
      </c>
      <c r="BI427" s="1111">
        <f>IF(O427="vo",$EW$26/$EW$24*0.05,0)+IF(O427="sk",-$EW$26/$EW$24*(0.05-INDEX(绊状态确认!W:W,MATCH($G427,绊状态确认!$B:$B,)))+0.05*$EW$28,0)+IF(O427="sp",0.05*$EW$32*$EW$30*(1-$EW$33)-(0.05-INDEX(绊状态确认!V:V,MATCH($G427,绊状态确认!$B:$B,)))*$EW$28,0)+IF(O427="gd",-(0.05-INDEX(绊状态确认!X:X,MATCH($G427,绊状态确认!$B:$B,)))*$EW$32*$EW$30*(1-$EW$33),0)</f>
        <v>7726.3029277443748</v>
      </c>
      <c r="BJ427" s="420">
        <f>IF(O427="vo",0.05*(1-$FI$26)*$FA$24,0)+IF(O427="sk",-(0.05-INDEX(绊状态确认!W:W,MATCH($G427,绊状态确认!$B:$B,)))*(1-$FI$26)*$FA$24+0.05*$FA$26,0)+IF(O427="sp",0.05*$FA$32*$FA$27*(1-$FA$33)/$FA$30+0.05*$FA$29/$FA$69*$FA$27*(1-$FA$33)-(0.05-INDEX(绊状态确认!V:V,MATCH($G427,绊状态确认!$B:$B,)))*$FA$26,0)+IF(O427="gd",-(0.05-INDEX(绊状态确认!X:X,MATCH($G427,绊状态确认!$B:$B,)))*$FA$32*$FA$27*(1-$FA$33)/$FA$30-(0.05-INDEX(绊状态确认!X:X,MATCH($G427,绊状态确认!$B:$B,)))*$FA$29/$FA$69*$FA$27*(1-$FA$33),0)</f>
        <v>393.93433687500004</v>
      </c>
      <c r="BK427" s="1110">
        <f>IF(O427="vo",$EW$26/$EW$24*0.05+$EW$26*(-HP($EW$62,$EW$65,$EW$64)+HP($EW$62,$EW$65,(1.05-INDEX(绊状态确认!U:U,MATCH($G427,绊状态确认!$B:$B,)))*$EW$64)),0)+IF(O427="sk",-$EW$26/$EW$24*(0.05-INDEX(绊状态确认!W:W,MATCH($G427,绊状态确认!$B:$B,)))+0.05*$EW$29,0)+IF(O427="sp",0.05*$EW$32*$EW$30*(1-$EW$33)-(0.05-INDEX(绊状态确认!V:V,MATCH($G427,绊状态确认!$B:$B,)))*$EW$29,0)+IF(O427="gd",-(0.05-INDEX(绊状态确认!X:X,MATCH($G427,绊状态确认!$B:$B,)))*$EW$32*$EW$30*(1-$EW$33)+$EW$26*(-HP($EW$62,$EW$65,$EW$64)+HP($EW$62,$EW$65,0.95*$EW$64)),0)</f>
        <v>6421.6344775026746</v>
      </c>
      <c r="BL427" s="1111">
        <f t="shared" si="544"/>
        <v>0</v>
      </c>
      <c r="BM427" s="1110">
        <f t="shared" si="545"/>
        <v>0</v>
      </c>
      <c r="BN427" s="1113">
        <f t="shared" si="546"/>
        <v>3</v>
      </c>
      <c r="BO427" s="1108">
        <f t="shared" si="547"/>
        <v>4507.7214871259994</v>
      </c>
      <c r="BP427" s="1100">
        <f t="shared" si="548"/>
        <v>221.34103209030098</v>
      </c>
      <c r="BQ427" s="1113" t="s">
        <v>132</v>
      </c>
      <c r="BR427" s="1124" t="s">
        <v>171</v>
      </c>
      <c r="BS427" s="421">
        <f>IF($P427="","N/A",IF($P427=-1,INDEX('卡片raw data'!AX:AX,MATCH($D427,'卡片raw data'!$F:$F,)),0)+IF($L427="party卡",IF($P427=5,INDEX('卡片raw data'!BD:BD,MATCH($D427,'卡片raw data'!$F:$F,)),IF($P427&gt;=3,INDEX('卡片raw data'!BC:BC,MATCH($D427,'卡片raw data'!$F:$F,)),INDEX('卡片raw data'!BB:BB,MATCH($D427,'卡片raw data'!$F:$F,)))),IF(OR(AND($F427="UR",$P427=0),AND($F427="SR",$P427&gt;=0,$P427&lt;=2),AND($F427="R",$P427&gt;=0,$P427&lt;4)),INDEX('卡片raw data'!AZ:AZ,MATCH($D427,'卡片raw data'!$F:$F,)),0)+IF(OR(AND($F427="UR",$P427&gt;=1,$P427&lt;=4),AND($F427="SR",$P427&lt;=4,$P427&gt;=3),AND($F427="R",$P427=4)),INDEX('卡片raw data'!BA:BA,MATCH($D427,'卡片raw data'!$F:$F,)),0)+IF($P427=5,INDEX('卡片raw data'!BB:BB,MATCH($D427,'卡片raw data'!$F:$F,)),0)))</f>
        <v>5.1999999999999998E-2</v>
      </c>
      <c r="BT427" s="424">
        <f t="shared" si="549"/>
        <v>2604.4613036728001</v>
      </c>
      <c r="BU427" s="420">
        <f t="shared" si="550"/>
        <v>111.90018844565216</v>
      </c>
      <c r="BV427" s="420">
        <f t="shared" si="551"/>
        <v>1302.2306518363998</v>
      </c>
      <c r="BW427" s="436">
        <f t="shared" si="552"/>
        <v>0</v>
      </c>
      <c r="BX427" s="423">
        <f t="shared" si="553"/>
        <v>2604.4613036728001</v>
      </c>
      <c r="BY427" s="433">
        <f t="shared" si="554"/>
        <v>1302.2306518363998</v>
      </c>
      <c r="BZ427" s="1113" t="s">
        <v>569</v>
      </c>
      <c r="CA427" s="450"/>
      <c r="CB427" s="421">
        <f>IF($P427="","N/A",IF($P427=-1,INDEX('卡片raw data'!BE:BE,MATCH($D427,'卡片raw data'!$F:$F,)),0)+IF($L427="party卡",IF($P427=5,INDEX('卡片raw data'!BK:BK,MATCH($D427,'卡片raw data'!$F:$F,)),IF($P427&gt;=3,INDEX('卡片raw data'!BJ:BJ,MATCH($D427,'卡片raw data'!$F:$F,)),INDEX('卡片raw data'!BI:BI,MATCH($D427,'卡片raw data'!$F:$F,)))),IF(OR(AND($F427="UR",$P427=0),AND($F427="SR",$P427&gt;=0,$P427&lt;=2),AND($F427="R",$P427&gt;=0,$P427&lt;4)),INDEX('卡片raw data'!BG:BG,MATCH($D427,'卡片raw data'!$F:$F,)),0)+IF(OR(AND($F427="UR",$P427&gt;=1,$P427&lt;=4),AND($F427="SR",$P427&lt;=4,$P427&gt;=3),AND($F427="R",$P427=4)),INDEX('卡片raw data'!BH:BH,MATCH($D427,'卡片raw data'!$F:$F,)),0)+IF($P427=5,INDEX('卡片raw data'!BI:BI,MATCH($D427,'卡片raw data'!$F:$F,)),0)))</f>
        <v>0</v>
      </c>
      <c r="CC427" s="424">
        <f t="shared" si="555"/>
        <v>0</v>
      </c>
      <c r="CD427" s="420">
        <f>IF(BZ427="ap",CB427*(1-$FI$26)*$FB$5/$FB$11*(+IF(CA427="全员",$FA$24,0)+IF(CA427="同作战",$FA$24,0)+IF(CA427="仲间",$FA$24*2/3,0)+IF(CA427="同属性",$FA$24*$FA$37/3,0)+IF(CA427="同年级",$FA$24*$FA$40/3,0)+IF(CA427="同学校",$FA$24*$FA$43/3,0)+IF(CA427="同小队",$FA$24*$FA$46/3,0)+IF(CA427="同type",$FA$24*INDEX($FB$49:$FB$52,MATCH(X427,$FA$49:$FA$52,))/3,0)+IF(CA427="自身",#REF!/3,0)),0)+IF(BZ427="te",CB427*(1-$FI$27)*($FA$20-1)*$FB$7/$FB$13*(+IF(CA427="全员",$FA$19*$FA$24/(1+($FA$20-1)*$FA$19),0)+IF(CA427="同作战",$FA$19*$FA$24/(1+($FA$20-1)*$FA$19),0)+IF(CA427="仲间",$FA$19*$FA$24*2/3/(1+($FA$20-1)*$FA$19),0)+IF(CA427="同属性",$FA$19*$FA$24*$FA$37/3/(1+($FA$20-1)*$FA$19),0)+IF(CA427="同年级",$FA$19*$FA$24*$FA$40/3/(1+($FA$20-1)*$FA$19),0)+IF(CA427="同学校",$FA$19*$FA$24*$FA$43/3/(1+($FA$20-1)*$FA$19),0)+IF(CA427="同小队",$FA$19*$FA$24*$FA$46/3/(1+($FA$20-1)*$FA$19),0)+IF(CA427="同type",$FA$19*$FA$24*INDEX($FB$49:$FB$52,MATCH(X427,$FA$49:$FA$52,))/3/(1+($FA$20-1)*$FA$19),0)+IF(CA427="自身",$FA$19*#REF!/3/(1+(BH427-1)*$BD427),0)),0)</f>
        <v>0</v>
      </c>
      <c r="CE427" s="420">
        <f t="shared" si="556"/>
        <v>0</v>
      </c>
      <c r="CF427" s="436">
        <f t="shared" si="557"/>
        <v>0</v>
      </c>
      <c r="CG427" s="423">
        <f t="shared" si="558"/>
        <v>0</v>
      </c>
      <c r="CH427" s="433">
        <f t="shared" si="559"/>
        <v>0</v>
      </c>
      <c r="CI427" s="1113" t="s">
        <v>164</v>
      </c>
      <c r="CJ427" s="1114">
        <v>1</v>
      </c>
      <c r="CK427" s="439" t="s">
        <v>167</v>
      </c>
      <c r="CL427" s="439" t="s">
        <v>171</v>
      </c>
      <c r="CM427" s="1119">
        <v>0.04</v>
      </c>
      <c r="CN427" s="1115">
        <v>5</v>
      </c>
      <c r="CO427" s="1115"/>
      <c r="CP427" s="1118">
        <f t="shared" si="560"/>
        <v>2.8571428571428571E-3</v>
      </c>
      <c r="CQ427" s="1118">
        <f t="shared" si="561"/>
        <v>3.8888888888888901E-3</v>
      </c>
      <c r="CR427" s="1118">
        <f t="shared" si="562"/>
        <v>1.4285714285714286E-3</v>
      </c>
      <c r="CS427" s="442">
        <f t="shared" si="563"/>
        <v>0</v>
      </c>
      <c r="CT427" s="432">
        <f t="shared" si="564"/>
        <v>0</v>
      </c>
      <c r="CU427" s="1101">
        <f t="shared" si="565"/>
        <v>388.52266150943143</v>
      </c>
      <c r="CV427" s="1108">
        <f t="shared" si="566"/>
        <v>25.53278109375001</v>
      </c>
      <c r="CW427" s="420">
        <f t="shared" si="567"/>
        <v>194.26133075471571</v>
      </c>
      <c r="CX427" s="420">
        <f t="shared" si="568"/>
        <v>388.52266150943143</v>
      </c>
      <c r="CY427" s="433">
        <f t="shared" si="569"/>
        <v>194.26133075471571</v>
      </c>
      <c r="CZ427" s="437"/>
      <c r="DA427" s="438"/>
      <c r="DB427" s="439" t="s">
        <v>569</v>
      </c>
      <c r="DC427" s="439"/>
      <c r="DD427" s="443"/>
      <c r="DE427" s="411"/>
      <c r="DF427" s="411"/>
      <c r="DG427" s="1116">
        <f t="shared" si="570"/>
        <v>0</v>
      </c>
      <c r="DH427" s="1116">
        <f t="shared" si="571"/>
        <v>0</v>
      </c>
      <c r="DI427" s="1116">
        <f t="shared" si="572"/>
        <v>0</v>
      </c>
      <c r="DJ427" s="442">
        <f t="shared" si="573"/>
        <v>0</v>
      </c>
      <c r="DK427" s="432">
        <f t="shared" si="574"/>
        <v>0</v>
      </c>
      <c r="DL427" s="424">
        <f t="shared" si="575"/>
        <v>0</v>
      </c>
      <c r="DM427" s="420">
        <f t="shared" si="576"/>
        <v>0</v>
      </c>
      <c r="DN427" s="420">
        <f t="shared" si="577"/>
        <v>0</v>
      </c>
      <c r="DO427" s="420">
        <f t="shared" si="578"/>
        <v>0</v>
      </c>
      <c r="DP427" s="433">
        <f t="shared" si="579"/>
        <v>0</v>
      </c>
      <c r="DQ427" s="1113" t="s">
        <v>167</v>
      </c>
      <c r="DR427" s="1120">
        <f t="shared" si="580"/>
        <v>0.33</v>
      </c>
      <c r="DS427" s="450">
        <v>5</v>
      </c>
      <c r="DT427" s="1124" t="s">
        <v>171</v>
      </c>
      <c r="DU427" s="1093" t="s">
        <v>544</v>
      </c>
      <c r="DV427" s="1098">
        <f>IF($P427="","N/A",IF(P427=-1,INDEX('卡片raw data'!AN:AN,MATCH(D427,'卡片raw data'!$F:$F,)),0)+IF(AND(L427&lt;&gt;"party卡",P427&lt;=2,P427&gt;=0),INDEX('卡片raw data'!AP:AP,MATCH(D427,'卡片raw data'!$F:$F,)),0)+IF(OR(AND(L427="party卡",P427&lt;=1),AND(P427&lt;=4,L427&lt;&gt;"party卡",P427&gt;=3)),INDEX('卡片raw data'!AQ:AQ,MATCH(D427,'卡片raw data'!$F:$F,)),0)+IF(OR(P427=5,AND(L427="party卡",P427&gt;=2)),INDEX('卡片raw data'!AR:AR,MATCH(D427,'卡片raw data'!$F:$F,)),0))</f>
        <v>7.1999999999999995E-2</v>
      </c>
      <c r="DW427" s="1098">
        <f t="shared" si="581"/>
        <v>0.33</v>
      </c>
      <c r="DX427" s="1098">
        <f t="shared" si="582"/>
        <v>0.33</v>
      </c>
      <c r="DY427" s="1098">
        <f t="shared" si="583"/>
        <v>2.6399999999999996E-2</v>
      </c>
      <c r="DZ427" s="1098">
        <f t="shared" si="584"/>
        <v>1.9981499999999999E-2</v>
      </c>
      <c r="EA427" s="421">
        <f t="shared" si="585"/>
        <v>0</v>
      </c>
      <c r="EB427" s="445">
        <f t="shared" si="586"/>
        <v>0</v>
      </c>
      <c r="EC427" s="424">
        <f t="shared" si="587"/>
        <v>3589.9493923471459</v>
      </c>
      <c r="ED427" s="420">
        <f t="shared" si="588"/>
        <v>131.18998253779688</v>
      </c>
      <c r="EE427" s="433">
        <f t="shared" si="598"/>
        <v>3589.9493923471459</v>
      </c>
      <c r="EF427" s="1115" t="s">
        <v>569</v>
      </c>
      <c r="EG427" s="1120">
        <f t="shared" si="589"/>
        <v>0.33</v>
      </c>
      <c r="EH427" s="450"/>
      <c r="EI427" s="1093"/>
      <c r="EJ427" s="1093"/>
      <c r="EK427" s="420">
        <f>IF($P427="","N/A",IF(P427=-1,INDEX('卡片raw data'!AS:AS,MATCH(D427,'卡片raw data'!$F:$F,)),0)+IF(AND(L427&lt;&gt;"party卡",P427&lt;=2,P427&gt;=0),INDEX('卡片raw data'!AU:AU,MATCH(D427,'卡片raw data'!$F:$F,)),0)+IF(OR(AND(L427="party卡",P427&lt;=1),AND(P427&lt;=4,L427&lt;&gt;"party卡",P427&gt;=3)),INDEX('卡片raw data'!AV:AV,MATCH(D427,'卡片raw data'!$F:$F,)),0)+IF(OR(P427=5,AND(L427="party卡",P427&gt;=2)),INDEX('卡片raw data'!AW:AW,MATCH(D427,'卡片raw data'!$F:$F,)),0))</f>
        <v>0</v>
      </c>
      <c r="EL427" s="1098">
        <f t="shared" si="590"/>
        <v>0.33</v>
      </c>
      <c r="EM427" s="1098">
        <f t="shared" si="591"/>
        <v>0.33</v>
      </c>
      <c r="EN427" s="1097">
        <f t="shared" si="592"/>
        <v>0</v>
      </c>
      <c r="EO427" s="1097">
        <f t="shared" si="593"/>
        <v>0</v>
      </c>
      <c r="EP427" s="421">
        <f t="shared" si="594"/>
        <v>0</v>
      </c>
      <c r="EQ427" s="445">
        <f t="shared" si="595"/>
        <v>0</v>
      </c>
      <c r="ER427" s="424">
        <f t="shared" si="596"/>
        <v>0</v>
      </c>
      <c r="ES427" s="420">
        <f t="shared" si="597"/>
        <v>0</v>
      </c>
      <c r="ET427" s="446">
        <f t="shared" si="599"/>
        <v>0</v>
      </c>
    </row>
    <row r="428" spans="2:150" ht="16.5" customHeight="1">
      <c r="B428" s="1123" t="str">
        <f>INDEX('卡片raw data'!B:B,MATCH($D428,'卡片raw data'!$F:$F,))</f>
        <v>mw鞠</v>
      </c>
      <c r="C428" s="449" t="s">
        <v>2355</v>
      </c>
      <c r="D428" s="408">
        <v>425</v>
      </c>
      <c r="E428" s="477">
        <v>401082004</v>
      </c>
      <c r="F428" s="409" t="str">
        <f>INDEX('卡片raw data'!C:C,MATCH($D428,'卡片raw data'!$F:$F,))</f>
        <v>SR</v>
      </c>
      <c r="G428" s="1094" t="s">
        <v>2356</v>
      </c>
      <c r="H428" s="411">
        <f>IFERROR(INDEX(绊状态确认!C:C,MATCH($G428,绊状态确认!$B:$B,)),"")</f>
        <v>108</v>
      </c>
      <c r="I428" s="1124" t="str">
        <f>IFERROR(INDEX(绊状态确认!D:D,MATCH($G428,绊状态确认!$B:$B,)),"")</f>
        <v>水</v>
      </c>
      <c r="J428" s="1124" t="str">
        <f>IFERROR(INDEX(绊状态确认!E:E,MATCH($G428,绊状态确认!$B:$B,)),"")</f>
        <v>3年级</v>
      </c>
      <c r="K428" s="451" t="str">
        <f>IFERROR(INDEX(绊状态确认!F:F,MATCH($G428,绊状态确认!$B:$B,)),"")</f>
        <v>Guilty Kiss</v>
      </c>
      <c r="L428" s="414" t="str">
        <f>INDEX('卡片raw data'!E:E,MATCH($D428,'卡片raw data'!$F:$F,))</f>
        <v>卡池卡</v>
      </c>
      <c r="M428" s="478">
        <v>44275</v>
      </c>
      <c r="N428" s="479">
        <v>36</v>
      </c>
      <c r="O428" s="410" t="str">
        <f>INDEX('卡片raw data'!D:D,MATCH($D428,'卡片raw data'!$F:$F,))</f>
        <v>sp</v>
      </c>
      <c r="P428" s="1126">
        <v>5</v>
      </c>
      <c r="Q428" s="418">
        <f t="shared" si="515"/>
        <v>33389.451675345714</v>
      </c>
      <c r="R428" s="419">
        <f t="shared" si="516"/>
        <v>0.38800000000000001</v>
      </c>
      <c r="S428" s="420">
        <f t="shared" si="517"/>
        <v>16667.572839086817</v>
      </c>
      <c r="T428" s="421">
        <f t="shared" si="518"/>
        <v>0.83299999999999996</v>
      </c>
      <c r="U428" s="422">
        <f t="shared" si="519"/>
        <v>10.650030316602857</v>
      </c>
      <c r="V428" s="423">
        <f t="shared" si="520"/>
        <v>32436.719413469113</v>
      </c>
      <c r="W428" s="424">
        <f t="shared" si="521"/>
        <v>4896.244148635431</v>
      </c>
      <c r="X428" s="419">
        <f t="shared" si="522"/>
        <v>5.6000000000000001E-2</v>
      </c>
      <c r="Y428" s="420">
        <f t="shared" si="523"/>
        <v>847.26773812338706</v>
      </c>
      <c r="Z428" s="425">
        <f t="shared" si="524"/>
        <v>10.650030316602857</v>
      </c>
      <c r="AA428" s="426">
        <f t="shared" si="525"/>
        <v>5743.511886758818</v>
      </c>
      <c r="AB428" s="424">
        <f t="shared" si="526"/>
        <v>8652.6787212404306</v>
      </c>
      <c r="AC428" s="427">
        <f t="shared" si="527"/>
        <v>0.1</v>
      </c>
      <c r="AD428" s="428">
        <f t="shared" si="528"/>
        <v>-1.9908281250000003E-2</v>
      </c>
      <c r="AE428" s="516">
        <f t="shared" si="529"/>
        <v>-1.3514492753623202</v>
      </c>
      <c r="AF428" s="1130">
        <f t="shared" si="530"/>
        <v>0</v>
      </c>
      <c r="AG428" s="420">
        <f t="shared" si="531"/>
        <v>0</v>
      </c>
      <c r="AH428" s="420">
        <f t="shared" si="532"/>
        <v>0</v>
      </c>
      <c r="AI428" s="1097">
        <f t="shared" si="533"/>
        <v>0</v>
      </c>
      <c r="AJ428" s="420">
        <f t="shared" si="534"/>
        <v>0</v>
      </c>
      <c r="AK428" s="518">
        <f t="shared" si="535"/>
        <v>0</v>
      </c>
      <c r="AL428" s="429">
        <f>IF($P428="","N/A",(IF($P428=-1,INDEX('卡片raw data'!S:S,MATCH($D428,'卡片raw data'!$F:$F,)),0)+IF($P428=0,INDEX('卡片raw data'!V:V,MATCH($D428,'卡片raw data'!$F:$F,)),0)+IF($P428=1,INDEX('卡片raw data'!Y:Y,MATCH($D428,'卡片raw data'!$F:$F,)),0)+IF($P428=2,INDEX('卡片raw data'!AB:AB,MATCH($D428,'卡片raw data'!$F:$F,)),0)+IF($P428=3,INDEX('卡片raw data'!AE:AE,MATCH($D428,'卡片raw data'!$F:$F,)),0)+IF($P428=4,INDEX('卡片raw data'!AH:AH,MATCH($D428,'卡片raw data'!$F:$F,)),0)+IF($P428=5,INDEX('卡片raw data'!AK:AK,MATCH($D428,'卡片raw data'!$F:$F,)),0)+INDEX('卡片raw data'!S:S,MATCH($D428,'卡片raw data'!$F:$F,))*(IF($F428="UR",0.04,0.033))*(IF($F428="UR",INDEX(绊状态确认!$S:$S,MATCH($G428,绊状态确认!$B:$B,))/2-40)+IF($F428="SR",INDEX(绊状态确认!$R:$R,MATCH($G428,绊状态确认!$B:$B,))/4-15))+IF($F428="R",INDEX(绊状态确认!$Q:$Q,MATCH($G428,绊状态确认!$B:$B,))/6-40/6)))*(INDEX(绊状态确认!$H:$H,MATCH($G428,绊状态确认!$B:$B,))+INDEX(绊状态确认!J:J,MATCH($G428,绊状态确认!$B:$B,)))</f>
        <v>8614.3006487999992</v>
      </c>
      <c r="AM428" s="429">
        <f>IF($P428="","N/A",(IF($P428=-1,INDEX('卡片raw data'!T:T,MATCH($D428,'卡片raw data'!$F:$F,)),0)+IF($P428=0,INDEX('卡片raw data'!W:W,MATCH($D428,'卡片raw data'!$F:$F,)),0)+IF($P428=1,INDEX('卡片raw data'!Z:Z,MATCH($D428,'卡片raw data'!$F:$F,)),0)+IF($P428=2,INDEX('卡片raw data'!AC:AC,MATCH($D428,'卡片raw data'!$F:$F,)),0)+IF($P428=3,INDEX('卡片raw data'!AF:AF,MATCH($D428,'卡片raw data'!$F:$F,)),0)+IF($P428=4,INDEX('卡片raw data'!AI:AI,MATCH($D428,'卡片raw data'!$F:$F,)),0)+IF($P428=5,INDEX('卡片raw data'!AL:AL,MATCH($D428,'卡片raw data'!$F:$F,)),0)+INDEX('卡片raw data'!T:T,MATCH($D428,'卡片raw data'!$F:$F,))*(IF($F428="UR",0.04,0.033))*(IF($F428="UR",INDEX(绊状态确认!$S:$S,MATCH($G428,绊状态确认!$B:$B,))/2-40)+IF($F428="SR",INDEX(绊状态确认!$R:$R,MATCH($G428,绊状态确认!$B:$B,))/4-15))+IF($F428="R",INDEX(绊状态确认!$Q:$Q,MATCH($G428,绊状态确认!$B:$B,))/6-40/6)))*(INDEX(绊状态确认!$H:$H,MATCH($G428,绊状态确认!$B:$B,))+INDEX(绊状态确认!K:K,MATCH($G428,绊状态确认!$B:$B,)))</f>
        <v>5301.1196303999996</v>
      </c>
      <c r="AN428" s="429">
        <f>IF($P428="","N/A",(IF($P428=-1,INDEX('卡片raw data'!U:U,MATCH($D428,'卡片raw data'!$F:$F,)),0)+IF($P428=0,INDEX('卡片raw data'!X:X,MATCH($D428,'卡片raw data'!$F:$F,)),0)+IF($P428=1,INDEX('卡片raw data'!AA:AA,MATCH($D428,'卡片raw data'!$F:$F,)),0)+IF($P428=2,INDEX('卡片raw data'!AD:AD,MATCH($D428,'卡片raw data'!$F:$F,)),0)+IF($P428=3,INDEX('卡片raw data'!AG:AG,MATCH($D428,'卡片raw data'!$F:$F,)),0)+IF($P428=4,INDEX('卡片raw data'!AJ:AJ,MATCH($D428,'卡片raw data'!$F:$F,)),0)+IF($P428=5,INDEX('卡片raw data'!AM:AM,MATCH($D428,'卡片raw data'!$F:$F,)),0)+INDEX('卡片raw data'!U:U,MATCH($D428,'卡片raw data'!$F:$F,))*(IF($F428="UR",0.04,0.033))*(IF($F428="UR",INDEX(绊状态确认!$S:$S,MATCH($G428,绊状态确认!$B:$B,))/2-40)+IF($F428="SR",INDEX(绊状态确认!$R:$R,MATCH($G428,绊状态确认!$B:$B,))/4-15))+IF($F428="R",INDEX(绊状态确认!$Q:$Q,MATCH($G428,绊状态确认!$B:$B,))/6-40/6)))*(INDEX(绊状态确认!$H:$H,MATCH($G428,绊状态确认!$B:$B,))+INDEX(绊状态确认!L:L,MATCH($G428,绊状态确认!$B:$B,)))</f>
        <v>8172.9319799999985</v>
      </c>
      <c r="AO428" s="430">
        <f t="shared" si="536"/>
        <v>1</v>
      </c>
      <c r="AP428" s="556">
        <f>1+(INDEX(绊状态确认!$T:$T,MATCH($G428,绊状态确认!$B:$B,))+0.2)*$AO428</f>
        <v>1.3</v>
      </c>
      <c r="AQ428" s="431">
        <f t="shared" si="537"/>
        <v>25862.539203100001</v>
      </c>
      <c r="AR428" s="420">
        <f>(AM428*(1+$EX$9)+$EX$35)*(1+(INDEX(绊状态确认!$T:$T,MATCH($G428,绊状态确认!$B:$B,))+0.2)*AO428)*IF(J428=$FF$17,1+$FE$17,1)*IF(I428=$FF$14,1+$FE$14,1)</f>
        <v>9940.0282954960003</v>
      </c>
      <c r="AS428" s="420">
        <f>(AN428*(1+$EX$10)+$EX$36)*(1+(INDEX(绊状态确认!$T:$T,MATCH($G428,绊状态确认!$B:$B,))+0.2)*AO428)*IF(J428=$FF$17,1+$FE$17,1)*IF(I428=$FF$14,1+$FE$14,1)</f>
        <v>16274.533310099996</v>
      </c>
      <c r="AT428" s="412">
        <f>IF(AND(INDEX('卡片raw data'!AK:AK,MATCH($D428,'卡片raw data'!$F:$F,))&lt;INDEX('卡片raw data'!AM:AM,MATCH($D428,'卡片raw data'!$F:$F,)),INDEX('卡片raw data'!AL:AL,MATCH($D428,'卡片raw data'!$F:$F,))&lt;INDEX('卡片raw data'!AM:AM,MATCH($D428,'卡片raw data'!$F:$F,))),1,0)</f>
        <v>0</v>
      </c>
      <c r="AU428" s="421">
        <f>MIN(AT428*0.15+AS428*0.00003+INDEX(绊状态确认!M:M,MATCH($G428,绊状态确认!$B:$B,)),1)</f>
        <v>0.51823599930299991</v>
      </c>
      <c r="AV428" s="432">
        <f>(INDEX(绊状态确认!$N:$N,MATCH($G428,绊状态确认!$B:$B,))+1.5)*$EW$21</f>
        <v>2.6599999999999997</v>
      </c>
      <c r="AW428" s="424">
        <f t="shared" si="538"/>
        <v>24986.470804109096</v>
      </c>
      <c r="AX428" s="420">
        <f t="shared" si="539"/>
        <v>847.26773812338718</v>
      </c>
      <c r="AY428" s="433">
        <f t="shared" si="540"/>
        <v>25833.738542232484</v>
      </c>
      <c r="AZ428" s="429">
        <f t="shared" si="541"/>
        <v>19397.886265159999</v>
      </c>
      <c r="BA428" s="431">
        <f t="shared" si="542"/>
        <v>23277.463518191998</v>
      </c>
      <c r="BB428" s="420">
        <f>(AM428*(1+$FB$9)+$FB$35)*(1+(INDEX(绊状态确认!$T:$T,MATCH($G428,绊状态确认!$B:$B,))+0.2)*AO428)*IF(J428=$FF$17,1+$FE$17,1)*IF(I428=$FF$14,1+$FE$14,1)*(1+$FE$15)</f>
        <v>9940.0282954960003</v>
      </c>
      <c r="BC428" s="420">
        <f>(AN428*(1+$FB$10)+$FB$36)*(1+(INDEX(绊状态确认!$T:$T,MATCH($G428,绊状态确认!$B:$B,))+0.2)*AO428)*IF(J428=$FF$17,1+$FE$17,1)*IF(I428=$FF$14,1+$FE$14,1)*(1+$FE$15)</f>
        <v>16274.533310099996</v>
      </c>
      <c r="BD428" s="427">
        <f>MIN(AT428*0.15+BC428*0.00003+INDEX(绊状态确认!M:M,MATCH($G428,绊状态确认!$B:$B,)),1)</f>
        <v>0.51823599930299991</v>
      </c>
      <c r="BE428" s="432">
        <f>(INDEX(绊状态确认!$N:$N,MATCH($G428,绊状态确认!$B:$B,))+1.5)</f>
        <v>1.9</v>
      </c>
      <c r="BF428" s="645">
        <f t="array" ref="BF428">SUMPRODUCT(IF(AZ428*AP428*$FI$16:$FI$23*$FA$22&gt;=$FI$24,$FI$24,AZ428*AP428*$FI$16:$FI$23*$FA$22),$FJ$16:$FJ$23)</f>
        <v>38582.39578140324</v>
      </c>
      <c r="BG428" s="453">
        <f t="array" ref="BG428">SUMPRODUCT(IF(BE428*AZ428*AP428*$FI$16:$FI$23*$FA$22&gt;=$FI$24,$FI$24,BE428*AZ428*AP428*$FI$16:$FI$23*$FA$22),$FJ$16:$FJ$23)</f>
        <v>59749.533488993424</v>
      </c>
      <c r="BH428" s="433">
        <f t="shared" si="543"/>
        <v>16517.322847893483</v>
      </c>
      <c r="BI428" s="434">
        <f>IF(O428="vo",$EW$26/$EW$24*0.05,0)+IF(O428="sk",-$EW$26/$EW$24*(0.05-INDEX(绊状态确认!W:W,MATCH($G428,绊状态确认!$B:$B,)))+0.05*$EW$28,0)+IF(O428="sp",0.05*$EW$32*$EW$30*(1-$EW$33)-(0.05-INDEX(绊状态确认!V:V,MATCH($G428,绊状态确认!$B:$B,)))*$EW$28,0)+IF(O428="gd",-(0.05-INDEX(绊状态确认!X:X,MATCH($G428,绊状态确认!$B:$B,)))*$EW$32*$EW$30*(1-$EW$33),0)</f>
        <v>19.999999999999886</v>
      </c>
      <c r="BJ428" s="420">
        <f>IF(O428="vo",0.05*(1-$FI$26)*$FA$24,0)+IF(O428="sk",-(0.05-INDEX(绊状态确认!W:W,MATCH($G428,绊状态确认!$B:$B,)))*(1-$FI$26)*$FA$24+0.05*$FA$26,0)+IF(O428="sp",0.05*$FA$32*$FA$27*(1-$FA$33)/$FA$30+0.05*$FA$29/$FA$69*$FA$27*(1-$FA$33)-(0.05-INDEX(绊状态确认!V:V,MATCH($G428,绊状态确认!$B:$B,)))*$FA$26,0)+IF(O428="gd",-(0.05-INDEX(绊状态确认!X:X,MATCH($G428,绊状态确认!$B:$B,)))*$FA$32*$FA$27*(1-$FA$33)/$FA$30-(0.05-INDEX(绊状态确认!X:X,MATCH($G428,绊状态确认!$B:$B,)))*$FA$29/$FA$69*$FA$27*(1-$FA$33),0)</f>
        <v>545.83333333333326</v>
      </c>
      <c r="BK428" s="433">
        <f>IF(O428="vo",$EW$26/$EW$24*0.05+$EW$26*(-HP($EW$62,$EW$65,$EW$64)+HP($EW$62,$EW$65,(1.05-INDEX(绊状态确认!U:U,MATCH($G428,绊状态确认!$B:$B,)))*$EW$64)),0)+IF(O428="sk",-$EW$26/$EW$24*(0.05-INDEX(绊状态确认!W:W,MATCH($G428,绊状态确认!$B:$B,)))+0.05*$EW$29,0)+IF(O428="sp",0.05*$EW$32*$EW$30*(1-$EW$33)-(0.05-INDEX(绊状态确认!V:V,MATCH($G428,绊状态确认!$B:$B,)))*$EW$29,0)+IF(O428="gd",-(0.05-INDEX(绊状态确认!X:X,MATCH($G428,绊状态确认!$B:$B,)))*$EW$32*$EW$30*(1-$EW$33)+$EW$26*(-HP($EW$62,$EW$65,$EW$64)+HP($EW$62,$EW$65,0.95*$EW$64)),0)</f>
        <v>-1780.0000000000005</v>
      </c>
      <c r="BL428" s="434">
        <f t="shared" si="544"/>
        <v>-1083.3333333333333</v>
      </c>
      <c r="BM428" s="433">
        <f t="shared" si="545"/>
        <v>-830.55555555555543</v>
      </c>
      <c r="BN428" s="437">
        <f t="shared" si="546"/>
        <v>3</v>
      </c>
      <c r="BO428" s="1108">
        <f t="shared" si="547"/>
        <v>4507.7214871259994</v>
      </c>
      <c r="BP428" s="1100">
        <f t="shared" si="548"/>
        <v>221.34103209030098</v>
      </c>
      <c r="BQ428" s="1113" t="s">
        <v>132</v>
      </c>
      <c r="BR428" s="1124" t="s">
        <v>168</v>
      </c>
      <c r="BS428" s="421">
        <f>IF($P428="","N/A",IF($P428=-1,INDEX('卡片raw data'!AX:AX,MATCH($D428,'卡片raw data'!$F:$F,)),0)+IF($L428="party卡",IF($P428=5,INDEX('卡片raw data'!BD:BD,MATCH($D428,'卡片raw data'!$F:$F,)),IF($P428&gt;=3,INDEX('卡片raw data'!BC:BC,MATCH($D428,'卡片raw data'!$F:$F,)),INDEX('卡片raw data'!BB:BB,MATCH($D428,'卡片raw data'!$F:$F,)))),IF(OR(AND($F428="UR",$P428=0),AND($F428="SR",$P428&gt;=0,$P428&lt;=2),AND($F428="R",$P428&gt;=0,$P428&lt;4)),INDEX('卡片raw data'!AZ:AZ,MATCH($D428,'卡片raw data'!$F:$F,)),0)+IF(OR(AND($F428="UR",$P428&gt;=1,$P428&lt;=4),AND($F428="SR",$P428&lt;=4,$P428&gt;=3),AND($F428="R",$P428=4)),INDEX('卡片raw data'!BA:BA,MATCH($D428,'卡片raw data'!$F:$F,)),0)+IF($P428=5,INDEX('卡片raw data'!BB:BB,MATCH($D428,'卡片raw data'!$F:$F,)),0)))</f>
        <v>0.05</v>
      </c>
      <c r="BT428" s="424">
        <f t="shared" si="549"/>
        <v>3756.4345726050001</v>
      </c>
      <c r="BU428" s="420">
        <f t="shared" si="550"/>
        <v>184.45086007525089</v>
      </c>
      <c r="BV428" s="420">
        <f t="shared" si="551"/>
        <v>0</v>
      </c>
      <c r="BW428" s="436">
        <f t="shared" si="552"/>
        <v>0</v>
      </c>
      <c r="BX428" s="423">
        <f t="shared" si="553"/>
        <v>3756.4345726050001</v>
      </c>
      <c r="BY428" s="433">
        <f t="shared" si="554"/>
        <v>0</v>
      </c>
      <c r="BZ428" s="1113" t="s">
        <v>569</v>
      </c>
      <c r="CA428" s="1124"/>
      <c r="CB428" s="421">
        <f>IF($P428="","N/A",IF($P428=-1,INDEX('卡片raw data'!BE:BE,MATCH($D428,'卡片raw data'!$F:$F,)),0)+IF($L428="party卡",IF($P428=5,INDEX('卡片raw data'!BK:BK,MATCH($D428,'卡片raw data'!$F:$F,)),IF($P428&gt;=3,INDEX('卡片raw data'!BJ:BJ,MATCH($D428,'卡片raw data'!$F:$F,)),INDEX('卡片raw data'!BI:BI,MATCH($D428,'卡片raw data'!$F:$F,)))),IF(OR(AND($F428="UR",$P428=0),AND($F428="SR",$P428&gt;=0,$P428&lt;=2),AND($F428="R",$P428&gt;=0,$P428&lt;4)),INDEX('卡片raw data'!BG:BG,MATCH($D428,'卡片raw data'!$F:$F,)),0)+IF(OR(AND($F428="UR",$P428&gt;=1,$P428&lt;=4),AND($F428="SR",$P428&lt;=4,$P428&gt;=3),AND($F428="R",$P428=4)),INDEX('卡片raw data'!BH:BH,MATCH($D428,'卡片raw data'!$F:$F,)),0)+IF($P428=5,INDEX('卡片raw data'!BI:BI,MATCH($D428,'卡片raw data'!$F:$F,)),0)))</f>
        <v>0</v>
      </c>
      <c r="CC428" s="424">
        <f t="shared" si="555"/>
        <v>0</v>
      </c>
      <c r="CD428" s="420">
        <f>IF(BZ428="ap",CB428*(1-$FI$26)*$FB$5/$FB$11*(+IF(CA428="全员",$FA$24,0)+IF(CA428="同作战",$FA$24,0)+IF(CA428="仲间",$FA$24*2/3,0)+IF(CA428="同属性",$FA$24*$FA$37/3,0)+IF(CA428="同年级",$FA$24*$FA$40/3,0)+IF(CA428="同学校",$FA$24*$FA$43/3,0)+IF(CA428="同小队",$FA$24*$FA$46/3,0)+IF(CA428="同type",$FA$24*INDEX($FB$49:$FB$52,MATCH(X428,$FA$49:$FA$52,))/3,0)+IF(CA428="自身",#REF!/3,0)),0)+IF(BZ428="te",CB428*(1-$FI$27)*($FA$20-1)*$FB$7/$FB$13*(+IF(CA428="全员",$FA$19*$FA$24/(1+($FA$20-1)*$FA$19),0)+IF(CA428="同作战",$FA$19*$FA$24/(1+($FA$20-1)*$FA$19),0)+IF(CA428="仲间",$FA$19*$FA$24*2/3/(1+($FA$20-1)*$FA$19),0)+IF(CA428="同属性",$FA$19*$FA$24*$FA$37/3/(1+($FA$20-1)*$FA$19),0)+IF(CA428="同年级",$FA$19*$FA$24*$FA$40/3/(1+($FA$20-1)*$FA$19),0)+IF(CA428="同学校",$FA$19*$FA$24*$FA$43/3/(1+($FA$20-1)*$FA$19),0)+IF(CA428="同小队",$FA$19*$FA$24*$FA$46/3/(1+($FA$20-1)*$FA$19),0)+IF(CA428="同type",$FA$19*$FA$24*INDEX($FB$49:$FB$52,MATCH(X428,$FA$49:$FA$52,))/3/(1+($FA$20-1)*$FA$19),0)+IF(CA428="自身",$FA$19*#REF!/3/(1+(BH428-1)*$BD428),0)),0)</f>
        <v>0</v>
      </c>
      <c r="CE428" s="420">
        <f t="shared" si="556"/>
        <v>0</v>
      </c>
      <c r="CF428" s="436">
        <f t="shared" si="557"/>
        <v>0</v>
      </c>
      <c r="CG428" s="423">
        <f t="shared" si="558"/>
        <v>0</v>
      </c>
      <c r="CH428" s="433">
        <f t="shared" si="559"/>
        <v>0</v>
      </c>
      <c r="CI428" s="437" t="s">
        <v>160</v>
      </c>
      <c r="CJ428" s="438">
        <v>1</v>
      </c>
      <c r="CK428" s="439" t="s">
        <v>167</v>
      </c>
      <c r="CL428" s="439" t="s">
        <v>161</v>
      </c>
      <c r="CM428" s="443">
        <v>0.04</v>
      </c>
      <c r="CN428" s="1115">
        <v>5</v>
      </c>
      <c r="CO428" s="1115">
        <v>4</v>
      </c>
      <c r="CP428" s="1118">
        <f t="shared" si="560"/>
        <v>2.8571428571428571E-3</v>
      </c>
      <c r="CQ428" s="1118">
        <f t="shared" si="561"/>
        <v>4.4444444444444444E-3</v>
      </c>
      <c r="CR428" s="1118">
        <f t="shared" si="562"/>
        <v>2.8571428571428571E-3</v>
      </c>
      <c r="CS428" s="442">
        <f t="shared" si="563"/>
        <v>0</v>
      </c>
      <c r="CT428" s="432">
        <f t="shared" si="564"/>
        <v>0</v>
      </c>
      <c r="CU428" s="1101">
        <f t="shared" si="565"/>
        <v>388.52266150943143</v>
      </c>
      <c r="CV428" s="1108">
        <f t="shared" si="566"/>
        <v>29.180321250000002</v>
      </c>
      <c r="CW428" s="420">
        <f t="shared" si="567"/>
        <v>388.52266150943143</v>
      </c>
      <c r="CX428" s="420">
        <f t="shared" si="568"/>
        <v>388.52266150943143</v>
      </c>
      <c r="CY428" s="433">
        <f t="shared" si="569"/>
        <v>388.52266150943143</v>
      </c>
      <c r="CZ428" s="437"/>
      <c r="DA428" s="438"/>
      <c r="DB428" s="439" t="s">
        <v>569</v>
      </c>
      <c r="DC428" s="439"/>
      <c r="DD428" s="443"/>
      <c r="DE428" s="411"/>
      <c r="DF428" s="411"/>
      <c r="DG428" s="1116">
        <f t="shared" si="570"/>
        <v>0</v>
      </c>
      <c r="DH428" s="1116">
        <f t="shared" si="571"/>
        <v>0</v>
      </c>
      <c r="DI428" s="1116">
        <f t="shared" si="572"/>
        <v>0</v>
      </c>
      <c r="DJ428" s="442">
        <f t="shared" si="573"/>
        <v>0</v>
      </c>
      <c r="DK428" s="432">
        <f t="shared" si="574"/>
        <v>0</v>
      </c>
      <c r="DL428" s="424">
        <f t="shared" si="575"/>
        <v>0</v>
      </c>
      <c r="DM428" s="420">
        <f t="shared" si="576"/>
        <v>0</v>
      </c>
      <c r="DN428" s="420">
        <f t="shared" si="577"/>
        <v>0</v>
      </c>
      <c r="DO428" s="420">
        <f t="shared" si="578"/>
        <v>0</v>
      </c>
      <c r="DP428" s="433">
        <f t="shared" si="579"/>
        <v>0</v>
      </c>
      <c r="DQ428" s="1113" t="s">
        <v>256</v>
      </c>
      <c r="DR428" s="1120">
        <f t="shared" si="580"/>
        <v>0.3</v>
      </c>
      <c r="DS428" s="1124"/>
      <c r="DT428" s="1093" t="s">
        <v>132</v>
      </c>
      <c r="DU428" s="1093"/>
      <c r="DV428" s="1098">
        <f>IF($P428="","N/A",IF(P428=-1,INDEX('卡片raw data'!AN:AN,MATCH(D428,'卡片raw data'!$F:$F,)),0)+IF(AND(L428&lt;&gt;"party卡",P428&lt;=2,P428&gt;=0),INDEX('卡片raw data'!AP:AP,MATCH(D428,'卡片raw data'!$F:$F,)),0)+IF(OR(AND(L428="party卡",P428&lt;=1),AND(P428&lt;=4,L428&lt;&gt;"party卡",P428&gt;=3)),INDEX('卡片raw data'!AQ:AQ,MATCH(D428,'卡片raw data'!$F:$F,)),0)+IF(OR(P428=5,AND(L428="party卡",P428&gt;=2)),INDEX('卡片raw data'!AR:AR,MATCH(D428,'卡片raw data'!$F:$F,)),0))</f>
        <v>0.22</v>
      </c>
      <c r="DW428" s="1098">
        <f t="shared" si="581"/>
        <v>0.3</v>
      </c>
      <c r="DX428" s="1098">
        <f t="shared" si="582"/>
        <v>0.3</v>
      </c>
      <c r="DY428" s="1097">
        <f t="shared" si="583"/>
        <v>568.97586246820003</v>
      </c>
      <c r="DZ428" s="1097">
        <f t="shared" si="584"/>
        <v>442.97013075119372</v>
      </c>
      <c r="EA428" s="421">
        <f t="shared" si="585"/>
        <v>0</v>
      </c>
      <c r="EB428" s="445">
        <f t="shared" si="586"/>
        <v>0</v>
      </c>
      <c r="EC428" s="424">
        <f t="shared" si="587"/>
        <v>813.6354833295261</v>
      </c>
      <c r="ED428" s="420">
        <f t="shared" si="588"/>
        <v>0</v>
      </c>
      <c r="EE428" s="433">
        <f t="shared" si="598"/>
        <v>813.6354833295261</v>
      </c>
      <c r="EF428" s="1115" t="s">
        <v>569</v>
      </c>
      <c r="EG428" s="1120">
        <f t="shared" si="589"/>
        <v>0.3</v>
      </c>
      <c r="EH428" s="1124"/>
      <c r="EI428" s="1093"/>
      <c r="EJ428" s="1093"/>
      <c r="EK428" s="420">
        <f>IF($P428="","N/A",IF(P428=-1,INDEX('卡片raw data'!AS:AS,MATCH(D428,'卡片raw data'!$F:$F,)),0)+IF(AND(L428&lt;&gt;"party卡",P428&lt;=2,P428&gt;=0),INDEX('卡片raw data'!AU:AU,MATCH(D428,'卡片raw data'!$F:$F,)),0)+IF(OR(AND(L428="party卡",P428&lt;=1),AND(P428&lt;=4,L428&lt;&gt;"party卡",P428&gt;=3)),INDEX('卡片raw data'!AV:AV,MATCH(D428,'卡片raw data'!$F:$F,)),0)+IF(OR(P428=5,AND(L428="party卡",P428&gt;=2)),INDEX('卡片raw data'!AW:AW,MATCH(D428,'卡片raw data'!$F:$F,)),0))</f>
        <v>0</v>
      </c>
      <c r="EL428" s="1098">
        <f t="shared" si="590"/>
        <v>0.3</v>
      </c>
      <c r="EM428" s="1098">
        <f t="shared" si="591"/>
        <v>0.3</v>
      </c>
      <c r="EN428" s="1097">
        <f t="shared" si="592"/>
        <v>0</v>
      </c>
      <c r="EO428" s="1097">
        <f t="shared" si="593"/>
        <v>0</v>
      </c>
      <c r="EP428" s="421">
        <f t="shared" si="594"/>
        <v>0</v>
      </c>
      <c r="EQ428" s="445">
        <f t="shared" si="595"/>
        <v>0</v>
      </c>
      <c r="ER428" s="424">
        <f t="shared" si="596"/>
        <v>0</v>
      </c>
      <c r="ES428" s="420">
        <f t="shared" si="597"/>
        <v>0</v>
      </c>
      <c r="ET428" s="446">
        <f t="shared" si="599"/>
        <v>0</v>
      </c>
    </row>
    <row r="429" spans="2:150" ht="16.5" customHeight="1">
      <c r="B429" s="1123" t="str">
        <f>INDEX('卡片raw data'!B:B,MATCH($D429,'卡片raw data'!$F:$F,))</f>
        <v>枪战姬</v>
      </c>
      <c r="C429" s="449" t="s">
        <v>2349</v>
      </c>
      <c r="D429" s="408">
        <v>426</v>
      </c>
      <c r="E429" s="477">
        <v>400063003</v>
      </c>
      <c r="F429" s="409" t="str">
        <f>INDEX('卡片raw data'!C:C,MATCH($D429,'卡片raw data'!$F:$F,))</f>
        <v>UR</v>
      </c>
      <c r="G429" s="1094" t="s">
        <v>2350</v>
      </c>
      <c r="H429" s="411">
        <f>IFERROR(INDEX(绊状态确认!C:C,MATCH($G429,绊状态确认!$B:$B,)),"")</f>
        <v>6</v>
      </c>
      <c r="I429" s="1124" t="str">
        <f>IFERROR(INDEX(绊状态确认!D:D,MATCH($G429,绊状态确认!$B:$B,)),"")</f>
        <v>缪</v>
      </c>
      <c r="J429" s="1124" t="str">
        <f>IFERROR(INDEX(绊状态确认!E:E,MATCH($G429,绊状态确认!$B:$B,)),"")</f>
        <v>1年级</v>
      </c>
      <c r="K429" s="451" t="str">
        <f>IFERROR(INDEX(绊状态确认!F:F,MATCH($G429,绊状态确认!$B:$B,)),"")</f>
        <v>BiBi</v>
      </c>
      <c r="L429" s="414" t="str">
        <f>INDEX('卡片raw data'!E:E,MATCH($D429,'卡片raw data'!$F:$F,))</f>
        <v>卡池卡</v>
      </c>
      <c r="M429" s="478">
        <v>44275</v>
      </c>
      <c r="N429" s="479">
        <v>36</v>
      </c>
      <c r="O429" s="410" t="str">
        <f>INDEX('卡片raw data'!D:D,MATCH($D429,'卡片raw data'!$F:$F,))</f>
        <v>gd</v>
      </c>
      <c r="P429" s="1126">
        <v>5</v>
      </c>
      <c r="Q429" s="418">
        <f t="shared" si="515"/>
        <v>32375.762114835648</v>
      </c>
      <c r="R429" s="419">
        <f t="shared" si="516"/>
        <v>0.376</v>
      </c>
      <c r="S429" s="420">
        <f t="shared" si="517"/>
        <v>17027.772027779196</v>
      </c>
      <c r="T429" s="421">
        <f t="shared" si="518"/>
        <v>0.85099999999999998</v>
      </c>
      <c r="U429" s="422">
        <f t="shared" si="519"/>
        <v>989.89896916273722</v>
      </c>
      <c r="V429" s="423">
        <f t="shared" si="520"/>
        <v>84739.322887907474</v>
      </c>
      <c r="W429" s="424">
        <f t="shared" si="521"/>
        <v>4507.7214871259994</v>
      </c>
      <c r="X429" s="419">
        <f t="shared" si="522"/>
        <v>5.1999999999999998E-2</v>
      </c>
      <c r="Y429" s="420">
        <f t="shared" si="523"/>
        <v>9655.3404733050411</v>
      </c>
      <c r="Z429" s="425">
        <f t="shared" si="524"/>
        <v>107.67434454065716</v>
      </c>
      <c r="AA429" s="426">
        <f t="shared" si="525"/>
        <v>14163.061960431041</v>
      </c>
      <c r="AB429" s="424">
        <f t="shared" si="526"/>
        <v>4507.7214871259994</v>
      </c>
      <c r="AC429" s="427">
        <f t="shared" si="527"/>
        <v>5.1999999999999998E-2</v>
      </c>
      <c r="AD429" s="428">
        <f t="shared" si="528"/>
        <v>0</v>
      </c>
      <c r="AE429" s="516">
        <f t="shared" si="529"/>
        <v>-6.25</v>
      </c>
      <c r="AF429" s="1130">
        <f t="shared" si="530"/>
        <v>12127.780200619201</v>
      </c>
      <c r="AG429" s="420">
        <f t="shared" si="531"/>
        <v>67645.897925336001</v>
      </c>
      <c r="AH429" s="420">
        <f t="shared" si="532"/>
        <v>5.5777641750039502</v>
      </c>
      <c r="AI429" s="1097">
        <f t="shared" si="533"/>
        <v>117046.42627285232</v>
      </c>
      <c r="AJ429" s="420">
        <f t="shared" si="534"/>
        <v>84739.322887907474</v>
      </c>
      <c r="AK429" s="518">
        <f t="shared" si="535"/>
        <v>32307.103384944843</v>
      </c>
      <c r="AL429" s="1106">
        <f>IF($P429="","N/A",(IF($P429=-1,INDEX('卡片raw data'!S:S,MATCH($D429,'卡片raw data'!$F:$F,)),0)+IF($P429=0,INDEX('卡片raw data'!V:V,MATCH($D429,'卡片raw data'!$F:$F,)),0)+IF($P429=1,INDEX('卡片raw data'!Y:Y,MATCH($D429,'卡片raw data'!$F:$F,)),0)+IF($P429=2,INDEX('卡片raw data'!AB:AB,MATCH($D429,'卡片raw data'!$F:$F,)),0)+IF($P429=3,INDEX('卡片raw data'!AE:AE,MATCH($D429,'卡片raw data'!$F:$F,)),0)+IF($P429=4,INDEX('卡片raw data'!AH:AH,MATCH($D429,'卡片raw data'!$F:$F,)),0)+IF($P429=5,INDEX('卡片raw data'!AK:AK,MATCH($D429,'卡片raw data'!$F:$F,)),0)+INDEX('卡片raw data'!S:S,MATCH($D429,'卡片raw data'!$F:$F,))*(IF($F429="UR",0.04,0.033))*(IF($F429="UR",INDEX(绊状态确认!$S:$S,MATCH($G429,绊状态确认!$B:$B,))/2-40)+IF($F429="SR",INDEX(绊状态确认!$R:$R,MATCH($G429,绊状态确认!$B:$B,))/4-15))+IF($F429="R",INDEX(绊状态确认!$Q:$Q,MATCH($G429,绊状态确认!$B:$B,))/6-40/6)))*(INDEX(绊状态确认!$H:$H,MATCH($G429,绊状态确认!$B:$B,))+INDEX(绊状态确认!J:J,MATCH($G429,绊状态确认!$B:$B,)))</f>
        <v>8650.7313599999979</v>
      </c>
      <c r="AM429" s="1106">
        <f>IF($P429="","N/A",(IF($P429=-1,INDEX('卡片raw data'!T:T,MATCH($D429,'卡片raw data'!$F:$F,)),0)+IF($P429=0,INDEX('卡片raw data'!W:W,MATCH($D429,'卡片raw data'!$F:$F,)),0)+IF($P429=1,INDEX('卡片raw data'!Z:Z,MATCH($D429,'卡片raw data'!$F:$F,)),0)+IF($P429=2,INDEX('卡片raw data'!AC:AC,MATCH($D429,'卡片raw data'!$F:$F,)),0)+IF($P429=3,INDEX('卡片raw data'!AF:AF,MATCH($D429,'卡片raw data'!$F:$F,)),0)+IF($P429=4,INDEX('卡片raw data'!AI:AI,MATCH($D429,'卡片raw data'!$F:$F,)),0)+IF($P429=5,INDEX('卡片raw data'!AL:AL,MATCH($D429,'卡片raw data'!$F:$F,)),0)+INDEX('卡片raw data'!T:T,MATCH($D429,'卡片raw data'!$F:$F,))*(IF($F429="UR",0.04,0.033))*(IF($F429="UR",INDEX(绊状态确认!$S:$S,MATCH($G429,绊状态确认!$B:$B,))/2-40)+IF($F429="SR",INDEX(绊状态确认!$R:$R,MATCH($G429,绊状态确认!$B:$B,))/4-15))+IF($F429="R",INDEX(绊状态确认!$Q:$Q,MATCH($G429,绊状态确认!$B:$B,))/6-40/6)))*(INDEX(绊状态确认!$H:$H,MATCH($G429,绊状态确认!$B:$B,))+INDEX(绊状态确认!K:K,MATCH($G429,绊状态确认!$B:$B,)))</f>
        <v>15860.052959999997</v>
      </c>
      <c r="AN429" s="1106">
        <f>IF($P429="","N/A",(IF($P429=-1,INDEX('卡片raw data'!U:U,MATCH($D429,'卡片raw data'!$F:$F,)),0)+IF($P429=0,INDEX('卡片raw data'!X:X,MATCH($D429,'卡片raw data'!$F:$F,)),0)+IF($P429=1,INDEX('卡片raw data'!AA:AA,MATCH($D429,'卡片raw data'!$F:$F,)),0)+IF($P429=2,INDEX('卡片raw data'!AD:AD,MATCH($D429,'卡片raw data'!$F:$F,)),0)+IF($P429=3,INDEX('卡片raw data'!AG:AG,MATCH($D429,'卡片raw data'!$F:$F,)),0)+IF($P429=4,INDEX('卡片raw data'!AJ:AJ,MATCH($D429,'卡片raw data'!$F:$F,)),0)+IF($P429=5,INDEX('卡片raw data'!AM:AM,MATCH($D429,'卡片raw data'!$F:$F,)),0)+INDEX('卡片raw data'!U:U,MATCH($D429,'卡片raw data'!$F:$F,))*(IF($F429="UR",0.04,0.033))*(IF($F429="UR",INDEX(绊状态确认!$S:$S,MATCH($G429,绊状态确认!$B:$B,))/2-40)+IF($F429="SR",INDEX(绊状态确认!$R:$R,MATCH($G429,绊状态确认!$B:$B,))/4-15))+IF($F429="R",INDEX(绊状态确认!$Q:$Q,MATCH($G429,绊状态确认!$B:$B,))/6-40/6)))*(INDEX(绊状态确认!$H:$H,MATCH($G429,绊状态确认!$B:$B,))+INDEX(绊状态确认!L:L,MATCH($G429,绊状态确认!$B:$B,)))</f>
        <v>11534.68728</v>
      </c>
      <c r="AO429" s="1107">
        <f t="shared" si="536"/>
        <v>1</v>
      </c>
      <c r="AP429" s="1131">
        <f>1+(INDEX(绊状态确认!$T:$T,MATCH($G429,绊状态确认!$B:$B,))+0.2)*$AO429</f>
        <v>1.3</v>
      </c>
      <c r="AQ429" s="1108">
        <f t="shared" si="537"/>
        <v>25958.169819999996</v>
      </c>
      <c r="AR429" s="1097">
        <f>(AM429*(1+$EX$9)+$EX$35)*(1+(INDEX(绊状态确认!$T:$T,MATCH($G429,绊状态确认!$B:$B,))+0.2)*AO429)*IF(J429=$FF$17,1+$FE$17,1)*IF(I429=$FF$14,1+$FE$14,1)</f>
        <v>24352.972290400001</v>
      </c>
      <c r="AS429" s="1097">
        <f>(AN429*(1+$EX$10)+$EX$36)*(1+(INDEX(绊状态确认!$T:$T,MATCH($G429,绊状态确认!$B:$B,))+0.2)*AO429)*IF(J429=$FF$17,1+$FE$17,1)*IF(I429=$FF$14,1+$FE$14,1)</f>
        <v>21300.357483600004</v>
      </c>
      <c r="AT429" s="1093">
        <f>IF(AND(INDEX('卡片raw data'!AK:AK,MATCH($D429,'卡片raw data'!$F:$F,))&lt;INDEX('卡片raw data'!AM:AM,MATCH($D429,'卡片raw data'!$F:$F,)),INDEX('卡片raw data'!AL:AL,MATCH($D429,'卡片raw data'!$F:$F,))&lt;INDEX('卡片raw data'!AM:AM,MATCH($D429,'卡片raw data'!$F:$F,))),1,0)</f>
        <v>0</v>
      </c>
      <c r="AU429" s="1098">
        <f>MIN(AT429*0.15+AS429*0.00003+INDEX(绊状态确认!M:M,MATCH($G429,绊状态确认!$B:$B,)),1)</f>
        <v>0.66901072450800014</v>
      </c>
      <c r="AV429" s="1109">
        <f>(INDEX(绊状态确认!$N:$N,MATCH($G429,绊状态确认!$B:$B,))+1.5)*$EW$21</f>
        <v>2.6599999999999997</v>
      </c>
      <c r="AW429" s="1101">
        <f t="shared" si="538"/>
        <v>28453.040627709648</v>
      </c>
      <c r="AX429" s="1097">
        <f t="shared" si="539"/>
        <v>2143.4382696850671</v>
      </c>
      <c r="AY429" s="1110">
        <f t="shared" si="540"/>
        <v>30596.478897394714</v>
      </c>
      <c r="AZ429" s="429">
        <f t="shared" si="541"/>
        <v>19468.926151999996</v>
      </c>
      <c r="BA429" s="431">
        <f t="shared" si="542"/>
        <v>23362.711382399993</v>
      </c>
      <c r="BB429" s="1097">
        <f>(AM429*(1+$FB$9)+$FB$35)*(1+(INDEX(绊状态确认!$T:$T,MATCH($G429,绊状态确认!$B:$B,))+0.2)*AO429)*IF(J429=$FF$17,1+$FE$17,1)*IF(I429=$FF$14,1+$FE$14,1)*(1+$FE$15)</f>
        <v>24352.972290400001</v>
      </c>
      <c r="BC429" s="1097">
        <f>(AN429*(1+$FB$10)+$FB$36)*(1+(INDEX(绊状态确认!$T:$T,MATCH($G429,绊状态确认!$B:$B,))+0.2)*AO429)*IF(J429=$FF$17,1+$FE$17,1)*IF(I429=$FF$14,1+$FE$14,1)*(1+$FE$15)</f>
        <v>21300.357483600004</v>
      </c>
      <c r="BD429" s="1104">
        <f>MIN(AT429*0.15+BC429*0.00003+INDEX(绊状态确认!M:M,MATCH($G429,绊状态确认!$B:$B,)),1)</f>
        <v>0.66901072450800014</v>
      </c>
      <c r="BE429" s="432">
        <f>(INDEX(绊状态确认!$N:$N,MATCH($G429,绊状态确认!$B:$B,))+1.5)</f>
        <v>1.9</v>
      </c>
      <c r="BF429" s="1139">
        <f t="array" ref="BF429">SUMPRODUCT(IF(AZ429*AP429*$FI$16:$FI$23*$FA$22&gt;=$FI$24,$FI$24,AZ429*AP429*$FI$16:$FI$23*$FA$22),$FJ$16:$FJ$23)</f>
        <v>38723.694116327992</v>
      </c>
      <c r="BG429" s="1125">
        <f t="array" ref="BG429">SUMPRODUCT(IF(BE429*AZ429*AP429*$FI$16:$FI$23*$FA$22&gt;=$FI$24,$FI$24,BE429*AZ429*AP429*$FI$16:$FI$23*$FA$22),$FJ$16:$FJ$23)</f>
        <v>59770.589711452798</v>
      </c>
      <c r="BH429" s="1110">
        <f t="shared" si="543"/>
        <v>17601.430995688894</v>
      </c>
      <c r="BI429" s="1111">
        <f>IF(O429="vo",$EW$26/$EW$24*0.05,0)+IF(O429="sk",-$EW$26/$EW$24*(0.05-INDEX(绊状态确认!W:W,MATCH($G429,绊状态确认!$B:$B,)))+0.05*$EW$28,0)+IF(O429="sp",0.05*$EW$32*$EW$30*(1-$EW$33)-(0.05-INDEX(绊状态确认!V:V,MATCH($G429,绊状态确认!$B:$B,)))*$EW$28,0)+IF(O429="gd",-(0.05-INDEX(绊状态确认!X:X,MATCH($G429,绊状态确认!$B:$B,)))*$EW$32*$EW$30*(1-$EW$33),0)</f>
        <v>-585.00000000000011</v>
      </c>
      <c r="BJ429" s="420">
        <f>IF(O429="vo",0.05*(1-$FI$26)*$FA$24,0)+IF(O429="sk",-(0.05-INDEX(绊状态确认!W:W,MATCH($G429,绊状态确认!$B:$B,)))*(1-$FI$26)*$FA$24+0.05*$FA$26,0)+IF(O429="sp",0.05*$FA$32*$FA$27*(1-$FA$33)/$FA$30+0.05*$FA$29/$FA$69*$FA$27*(1-$FA$33)-(0.05-INDEX(绊状态确认!V:V,MATCH($G429,绊状态确认!$B:$B,)))*$FA$26,0)+IF(O429="gd",-(0.05-INDEX(绊状态确认!X:X,MATCH($G429,绊状态确认!$B:$B,)))*$FA$32*$FA$27*(1-$FA$33)/$FA$30-(0.05-INDEX(绊状态确认!X:X,MATCH($G429,绊状态确认!$B:$B,)))*$FA$29/$FA$69*$FA$27*(1-$FA$33),0)</f>
        <v>-795.00000000000011</v>
      </c>
      <c r="BK429" s="1110">
        <f>IF(O429="vo",$EW$26/$EW$24*0.05+$EW$26*(-HP($EW$62,$EW$65,$EW$64)+HP($EW$62,$EW$65,(1.05-INDEX(绊状态确认!U:U,MATCH($G429,绊状态确认!$B:$B,)))*$EW$64)),0)+IF(O429="sk",-$EW$26/$EW$24*(0.05-INDEX(绊状态确认!W:W,MATCH($G429,绊状态确认!$B:$B,)))+0.05*$EW$29,0)+IF(O429="sp",0.05*$EW$32*$EW$30*(1-$EW$33)-(0.05-INDEX(绊状态确认!V:V,MATCH($G429,绊状态确认!$B:$B,)))*$EW$29,0)+IF(O429="gd",-(0.05-INDEX(绊状态确认!X:X,MATCH($G429,绊状态确认!$B:$B,)))*$EW$32*$EW$30*(1-$EW$33)+$EW$26*(-HP($EW$62,$EW$65,$EW$64)+HP($EW$62,$EW$65,0.95*$EW$64)),0)</f>
        <v>1009.5947725176144</v>
      </c>
      <c r="BL429" s="1111">
        <f t="shared" si="544"/>
        <v>0</v>
      </c>
      <c r="BM429" s="1110">
        <f t="shared" si="545"/>
        <v>0</v>
      </c>
      <c r="BN429" s="1113">
        <f t="shared" si="546"/>
        <v>3</v>
      </c>
      <c r="BO429" s="1108">
        <f t="shared" si="547"/>
        <v>4507.7214871259994</v>
      </c>
      <c r="BP429" s="1100">
        <f t="shared" si="548"/>
        <v>221.34103209030098</v>
      </c>
      <c r="BQ429" s="1113" t="s">
        <v>133</v>
      </c>
      <c r="BR429" s="1124" t="s">
        <v>171</v>
      </c>
      <c r="BS429" s="421">
        <f>IF($P429="","N/A",IF($P429=-1,INDEX('卡片raw data'!AX:AX,MATCH($D429,'卡片raw data'!$F:$F,)),0)+IF($L429="party卡",IF($P429=5,INDEX('卡片raw data'!BD:BD,MATCH($D429,'卡片raw data'!$F:$F,)),IF($P429&gt;=3,INDEX('卡片raw data'!BC:BC,MATCH($D429,'卡片raw data'!$F:$F,)),INDEX('卡片raw data'!BB:BB,MATCH($D429,'卡片raw data'!$F:$F,)))),IF(OR(AND($F429="UR",$P429=0),AND($F429="SR",$P429&gt;=0,$P429&lt;=2),AND($F429="R",$P429&gt;=0,$P429&lt;4)),INDEX('卡片raw data'!AZ:AZ,MATCH($D429,'卡片raw data'!$F:$F,)),0)+IF(OR(AND($F429="UR",$P429&gt;=1,$P429&lt;=4),AND($F429="SR",$P429&lt;=4,$P429&gt;=3),AND($F429="R",$P429=4)),INDEX('卡片raw data'!BA:BA,MATCH($D429,'卡片raw data'!$F:$F,)),0)+IF($P429=5,INDEX('卡片raw data'!BB:BB,MATCH($D429,'卡片raw data'!$F:$F,)),0)))</f>
        <v>5.1999999999999998E-2</v>
      </c>
      <c r="BT429" s="424">
        <f t="shared" si="549"/>
        <v>0</v>
      </c>
      <c r="BU429" s="420">
        <f t="shared" si="550"/>
        <v>0</v>
      </c>
      <c r="BV429" s="420">
        <f t="shared" si="551"/>
        <v>0</v>
      </c>
      <c r="BW429" s="436">
        <f t="shared" si="552"/>
        <v>2.4347142857142861</v>
      </c>
      <c r="BX429" s="423">
        <f t="shared" si="553"/>
        <v>190.49664124538464</v>
      </c>
      <c r="BY429" s="433">
        <f t="shared" si="554"/>
        <v>190.49664124538464</v>
      </c>
      <c r="BZ429" s="1113" t="s">
        <v>569</v>
      </c>
      <c r="CA429" s="1124"/>
      <c r="CB429" s="421">
        <f>IF($P429="","N/A",IF($P429=-1,INDEX('卡片raw data'!BE:BE,MATCH($D429,'卡片raw data'!$F:$F,)),0)+IF($L429="party卡",IF($P429=5,INDEX('卡片raw data'!BK:BK,MATCH($D429,'卡片raw data'!$F:$F,)),IF($P429&gt;=3,INDEX('卡片raw data'!BJ:BJ,MATCH($D429,'卡片raw data'!$F:$F,)),INDEX('卡片raw data'!BI:BI,MATCH($D429,'卡片raw data'!$F:$F,)))),IF(OR(AND($F429="UR",$P429=0),AND($F429="SR",$P429&gt;=0,$P429&lt;=2),AND($F429="R",$P429&gt;=0,$P429&lt;4)),INDEX('卡片raw data'!BG:BG,MATCH($D429,'卡片raw data'!$F:$F,)),0)+IF(OR(AND($F429="UR",$P429&gt;=1,$P429&lt;=4),AND($F429="SR",$P429&lt;=4,$P429&gt;=3),AND($F429="R",$P429=4)),INDEX('卡片raw data'!BH:BH,MATCH($D429,'卡片raw data'!$F:$F,)),0)+IF($P429=5,INDEX('卡片raw data'!BI:BI,MATCH($D429,'卡片raw data'!$F:$F,)),0)))</f>
        <v>0</v>
      </c>
      <c r="CC429" s="424">
        <f t="shared" si="555"/>
        <v>0</v>
      </c>
      <c r="CD429" s="420">
        <f>IF(BZ429="ap",CB429*(1-$FI$26)*$FB$5/$FB$11*(+IF(CA429="全员",$FA$24,0)+IF(CA429="同作战",$FA$24,0)+IF(CA429="仲间",$FA$24*2/3,0)+IF(CA429="同属性",$FA$24*$FA$37/3,0)+IF(CA429="同年级",$FA$24*$FA$40/3,0)+IF(CA429="同学校",$FA$24*$FA$43/3,0)+IF(CA429="同小队",$FA$24*$FA$46/3,0)+IF(CA429="同type",$FA$24*INDEX($FB$49:$FB$52,MATCH(X429,$FA$49:$FA$52,))/3,0)+IF(CA429="自身",#REF!/3,0)),0)+IF(BZ429="te",CB429*(1-$FI$27)*($FA$20-1)*$FB$7/$FB$13*(+IF(CA429="全员",$FA$19*$FA$24/(1+($FA$20-1)*$FA$19),0)+IF(CA429="同作战",$FA$19*$FA$24/(1+($FA$20-1)*$FA$19),0)+IF(CA429="仲间",$FA$19*$FA$24*2/3/(1+($FA$20-1)*$FA$19),0)+IF(CA429="同属性",$FA$19*$FA$24*$FA$37/3/(1+($FA$20-1)*$FA$19),0)+IF(CA429="同年级",$FA$19*$FA$24*$FA$40/3/(1+($FA$20-1)*$FA$19),0)+IF(CA429="同学校",$FA$19*$FA$24*$FA$43/3/(1+($FA$20-1)*$FA$19),0)+IF(CA429="同小队",$FA$19*$FA$24*$FA$46/3/(1+($FA$20-1)*$FA$19),0)+IF(CA429="同type",$FA$19*$FA$24*INDEX($FB$49:$FB$52,MATCH(X429,$FA$49:$FA$52,))/3/(1+($FA$20-1)*$FA$19),0)+IF(CA429="自身",$FA$19*#REF!/3/(1+(BH429-1)*$BD429),0)),0)</f>
        <v>0</v>
      </c>
      <c r="CE429" s="420">
        <f t="shared" si="556"/>
        <v>0</v>
      </c>
      <c r="CF429" s="436">
        <f t="shared" si="557"/>
        <v>0</v>
      </c>
      <c r="CG429" s="423">
        <f t="shared" si="558"/>
        <v>0</v>
      </c>
      <c r="CH429" s="433">
        <f t="shared" si="559"/>
        <v>0</v>
      </c>
      <c r="CI429" s="437" t="s">
        <v>288</v>
      </c>
      <c r="CJ429" s="438">
        <v>0.1</v>
      </c>
      <c r="CK429" s="1115" t="s">
        <v>636</v>
      </c>
      <c r="CL429" s="1115" t="s">
        <v>1943</v>
      </c>
      <c r="CM429" s="1119">
        <v>0.05</v>
      </c>
      <c r="CN429" s="1115"/>
      <c r="CO429" s="1092"/>
      <c r="CP429" s="1116">
        <f t="shared" si="560"/>
        <v>79.147159943800006</v>
      </c>
      <c r="CQ429" s="1116">
        <f t="shared" si="561"/>
        <v>73.058916871199997</v>
      </c>
      <c r="CR429" s="1116">
        <f t="shared" si="562"/>
        <v>79.147159943800006</v>
      </c>
      <c r="CS429" s="442">
        <f t="shared" si="563"/>
        <v>0</v>
      </c>
      <c r="CT429" s="432">
        <f t="shared" si="564"/>
        <v>0</v>
      </c>
      <c r="CU429" s="1101">
        <f t="shared" si="565"/>
        <v>0</v>
      </c>
      <c r="CV429" s="1108">
        <f t="shared" si="566"/>
        <v>0</v>
      </c>
      <c r="CW429" s="420">
        <f t="shared" si="567"/>
        <v>0</v>
      </c>
      <c r="CX429" s="420">
        <f t="shared" si="568"/>
        <v>0</v>
      </c>
      <c r="CY429" s="433">
        <f t="shared" si="569"/>
        <v>7321.4055623745917</v>
      </c>
      <c r="CZ429" s="437"/>
      <c r="DA429" s="438"/>
      <c r="DB429" s="439" t="s">
        <v>569</v>
      </c>
      <c r="DC429" s="439"/>
      <c r="DD429" s="443"/>
      <c r="DE429" s="411"/>
      <c r="DF429" s="411"/>
      <c r="DG429" s="1116">
        <f t="shared" si="570"/>
        <v>0</v>
      </c>
      <c r="DH429" s="1116">
        <f t="shared" si="571"/>
        <v>0</v>
      </c>
      <c r="DI429" s="1116">
        <f t="shared" si="572"/>
        <v>0</v>
      </c>
      <c r="DJ429" s="442">
        <f t="shared" si="573"/>
        <v>0</v>
      </c>
      <c r="DK429" s="432">
        <f t="shared" si="574"/>
        <v>0</v>
      </c>
      <c r="DL429" s="424">
        <f t="shared" si="575"/>
        <v>0</v>
      </c>
      <c r="DM429" s="420">
        <f t="shared" si="576"/>
        <v>0</v>
      </c>
      <c r="DN429" s="420">
        <f t="shared" si="577"/>
        <v>0</v>
      </c>
      <c r="DO429" s="420">
        <f t="shared" si="578"/>
        <v>0</v>
      </c>
      <c r="DP429" s="433">
        <f t="shared" si="579"/>
        <v>0</v>
      </c>
      <c r="DQ429" s="1113" t="s">
        <v>2080</v>
      </c>
      <c r="DR429" s="444">
        <f t="shared" si="580"/>
        <v>0.33</v>
      </c>
      <c r="DS429" s="1124"/>
      <c r="DT429" s="1093" t="s">
        <v>133</v>
      </c>
      <c r="DU429" s="1124"/>
      <c r="DV429" s="1098">
        <f>IF($P429="","N/A",IF(P429=-1,INDEX('卡片raw data'!AN:AN,MATCH(D429,'卡片raw data'!$F:$F,)),0)+IF(AND(L429&lt;&gt;"party卡",P429&lt;=2,P429&gt;=0),INDEX('卡片raw data'!AP:AP,MATCH(D429,'卡片raw data'!$F:$F,)),0)+IF(OR(AND(L429="party卡",P429&lt;=1),AND(P429&lt;=4,L429&lt;&gt;"party卡",P429&gt;=3)),INDEX('卡片raw data'!AQ:AQ,MATCH(D429,'卡片raw data'!$F:$F,)),0)+IF(OR(P429=5,AND(L429="party卡",P429&gt;=2)),INDEX('卡片raw data'!AR:AR,MATCH(D429,'卡片raw data'!$F:$F,)),0))</f>
        <v>0.32</v>
      </c>
      <c r="DW429" s="1098">
        <f t="shared" si="581"/>
        <v>0.33</v>
      </c>
      <c r="DX429" s="1098">
        <f t="shared" si="582"/>
        <v>0.33</v>
      </c>
      <c r="DY429" s="1097">
        <f t="shared" si="583"/>
        <v>857.22462462208011</v>
      </c>
      <c r="DZ429" s="1097">
        <f t="shared" si="584"/>
        <v>741.49930029809934</v>
      </c>
      <c r="EA429" s="421">
        <f t="shared" si="585"/>
        <v>0</v>
      </c>
      <c r="EB429" s="445">
        <f t="shared" si="586"/>
        <v>0</v>
      </c>
      <c r="EC429" s="424">
        <f t="shared" si="587"/>
        <v>0</v>
      </c>
      <c r="ED429" s="420">
        <f t="shared" si="588"/>
        <v>0</v>
      </c>
      <c r="EE429" s="433">
        <f t="shared" si="598"/>
        <v>48435.03108962375</v>
      </c>
      <c r="EF429" s="1115" t="s">
        <v>569</v>
      </c>
      <c r="EG429" s="444">
        <f t="shared" si="589"/>
        <v>0.33</v>
      </c>
      <c r="EH429" s="1124"/>
      <c r="EI429" s="1093"/>
      <c r="EJ429" s="1093"/>
      <c r="EK429" s="420">
        <f>IF($P429="","N/A",IF(P429=-1,INDEX('卡片raw data'!AS:AS,MATCH(D429,'卡片raw data'!$F:$F,)),0)+IF(AND(L429&lt;&gt;"party卡",P429&lt;=2,P429&gt;=0),INDEX('卡片raw data'!AU:AU,MATCH(D429,'卡片raw data'!$F:$F,)),0)+IF(OR(AND(L429="party卡",P429&lt;=1),AND(P429&lt;=4,L429&lt;&gt;"party卡",P429&gt;=3)),INDEX('卡片raw data'!AV:AV,MATCH(D429,'卡片raw data'!$F:$F,)),0)+IF(OR(P429=5,AND(L429="party卡",P429&gt;=2)),INDEX('卡片raw data'!AW:AW,MATCH(D429,'卡片raw data'!$F:$F,)),0))</f>
        <v>0</v>
      </c>
      <c r="EL429" s="1098">
        <f t="shared" si="590"/>
        <v>0.33</v>
      </c>
      <c r="EM429" s="1098">
        <f t="shared" si="591"/>
        <v>0.33</v>
      </c>
      <c r="EN429" s="1097">
        <f t="shared" si="592"/>
        <v>0</v>
      </c>
      <c r="EO429" s="1097">
        <f t="shared" si="593"/>
        <v>0</v>
      </c>
      <c r="EP429" s="421">
        <f t="shared" si="594"/>
        <v>0</v>
      </c>
      <c r="EQ429" s="445">
        <f t="shared" si="595"/>
        <v>0</v>
      </c>
      <c r="ER429" s="424">
        <f t="shared" si="596"/>
        <v>0</v>
      </c>
      <c r="ES429" s="420">
        <f t="shared" si="597"/>
        <v>0</v>
      </c>
      <c r="ET429" s="446">
        <f t="shared" si="599"/>
        <v>0</v>
      </c>
    </row>
    <row r="430" spans="2:150" ht="16.5" customHeight="1">
      <c r="B430" s="448" t="str">
        <f>INDEX('卡片raw data'!B:B,MATCH($D430,'卡片raw data'!$F:$F,))</f>
        <v>枪战步</v>
      </c>
      <c r="C430" s="449" t="s">
        <v>2344</v>
      </c>
      <c r="D430" s="408">
        <v>427</v>
      </c>
      <c r="E430" s="477">
        <v>402013002</v>
      </c>
      <c r="F430" s="409" t="str">
        <f>INDEX('卡片raw data'!C:C,MATCH($D430,'卡片raw data'!$F:$F,))</f>
        <v>UR</v>
      </c>
      <c r="G430" s="1094" t="s">
        <v>2345</v>
      </c>
      <c r="H430" s="411">
        <f>IFERROR(INDEX(绊状态确认!C:C,MATCH($G430,绊状态确认!$B:$B,)),"")</f>
        <v>201</v>
      </c>
      <c r="I430" s="450" t="str">
        <f>IFERROR(INDEX(绊状态确认!D:D,MATCH($G430,绊状态确认!$B:$B,)),"")</f>
        <v>虹</v>
      </c>
      <c r="J430" s="450" t="str">
        <f>IFERROR(INDEX(绊状态确认!E:E,MATCH($G430,绊状态确认!$B:$B,)),"")</f>
        <v>2年级</v>
      </c>
      <c r="K430" s="451" t="str">
        <f>IFERROR(INDEX(绊状态确认!F:F,MATCH($G430,绊状态确认!$B:$B,)),"")</f>
        <v>A·ZU·NA</v>
      </c>
      <c r="L430" s="414" t="str">
        <f>INDEX('卡片raw data'!E:E,MATCH($D430,'卡片raw data'!$F:$F,))</f>
        <v>活动卡</v>
      </c>
      <c r="M430" s="478">
        <v>44275</v>
      </c>
      <c r="N430" s="479">
        <v>36</v>
      </c>
      <c r="O430" s="410" t="str">
        <f>INDEX('卡片raw data'!D:D,MATCH($D430,'卡片raw data'!$F:$F,))</f>
        <v>sp</v>
      </c>
      <c r="P430" s="1126">
        <v>5</v>
      </c>
      <c r="Q430" s="418">
        <f t="shared" si="515"/>
        <v>46368.683105558557</v>
      </c>
      <c r="R430" s="419">
        <f t="shared" si="516"/>
        <v>0.53900000000000003</v>
      </c>
      <c r="S430" s="420">
        <f t="shared" si="517"/>
        <v>22181.486557194625</v>
      </c>
      <c r="T430" s="421">
        <f t="shared" si="518"/>
        <v>1.109</v>
      </c>
      <c r="U430" s="422">
        <f t="shared" si="519"/>
        <v>15.674217619542855</v>
      </c>
      <c r="V430" s="423">
        <f t="shared" si="520"/>
        <v>45828.587744611606</v>
      </c>
      <c r="W430" s="424">
        <f t="shared" si="521"/>
        <v>5809.9521389623987</v>
      </c>
      <c r="X430" s="419">
        <f t="shared" si="522"/>
        <v>6.7000000000000004E-2</v>
      </c>
      <c r="Y430" s="420">
        <f t="shared" si="523"/>
        <v>1259.9046390530493</v>
      </c>
      <c r="Z430" s="425">
        <f t="shared" si="524"/>
        <v>15.674217619542855</v>
      </c>
      <c r="AA430" s="426">
        <f t="shared" si="525"/>
        <v>7069.8567780154481</v>
      </c>
      <c r="AB430" s="424">
        <f t="shared" si="526"/>
        <v>8472.0121060818092</v>
      </c>
      <c r="AC430" s="427">
        <f t="shared" si="527"/>
        <v>9.8000000000000004E-2</v>
      </c>
      <c r="AD430" s="428">
        <f t="shared" si="528"/>
        <v>-1.6087500000000001E-2</v>
      </c>
      <c r="AE430" s="516">
        <f t="shared" si="529"/>
        <v>64.557493043478246</v>
      </c>
      <c r="AF430" s="1130">
        <f t="shared" si="530"/>
        <v>0</v>
      </c>
      <c r="AG430" s="420">
        <f t="shared" si="531"/>
        <v>0</v>
      </c>
      <c r="AH430" s="420">
        <f t="shared" si="532"/>
        <v>0</v>
      </c>
      <c r="AI430" s="1097">
        <f t="shared" si="533"/>
        <v>0</v>
      </c>
      <c r="AJ430" s="420">
        <f t="shared" si="534"/>
        <v>0</v>
      </c>
      <c r="AK430" s="518">
        <f t="shared" si="535"/>
        <v>0</v>
      </c>
      <c r="AL430" s="429">
        <f>IF($P430="","N/A",(IF($P430=-1,INDEX('卡片raw data'!S:S,MATCH($D430,'卡片raw data'!$F:$F,)),0)+IF($P430=0,INDEX('卡片raw data'!V:V,MATCH($D430,'卡片raw data'!$F:$F,)),0)+IF($P430=1,INDEX('卡片raw data'!Y:Y,MATCH($D430,'卡片raw data'!$F:$F,)),0)+IF($P430=2,INDEX('卡片raw data'!AB:AB,MATCH($D430,'卡片raw data'!$F:$F,)),0)+IF($P430=3,INDEX('卡片raw data'!AE:AE,MATCH($D430,'卡片raw data'!$F:$F,)),0)+IF($P430=4,INDEX('卡片raw data'!AH:AH,MATCH($D430,'卡片raw data'!$F:$F,)),0)+IF($P430=5,INDEX('卡片raw data'!AK:AK,MATCH($D430,'卡片raw data'!$F:$F,)),0)+INDEX('卡片raw data'!S:S,MATCH($D430,'卡片raw data'!$F:$F,))*(IF($F430="UR",0.04,0.033))*(IF($F430="UR",INDEX(绊状态确认!$S:$S,MATCH($G430,绊状态确认!$B:$B,))/2-40)+IF($F430="SR",INDEX(绊状态确认!$R:$R,MATCH($G430,绊状态确认!$B:$B,))/4-15))+IF($F430="R",INDEX(绊状态确认!$Q:$Q,MATCH($G430,绊状态确认!$B:$B,))/6-40/6)))*(INDEX(绊状态确认!$H:$H,MATCH($G430,绊状态确认!$B:$B,))+INDEX(绊状态确认!J:J,MATCH($G430,绊状态确认!$B:$B,)))</f>
        <v>9040.0165439999982</v>
      </c>
      <c r="AM430" s="429">
        <f>IF($P430="","N/A",(IF($P430=-1,INDEX('卡片raw data'!T:T,MATCH($D430,'卡片raw data'!$F:$F,)),0)+IF($P430=0,INDEX('卡片raw data'!W:W,MATCH($D430,'卡片raw data'!$F:$F,)),0)+IF($P430=1,INDEX('卡片raw data'!Z:Z,MATCH($D430,'卡片raw data'!$F:$F,)),0)+IF($P430=2,INDEX('卡片raw data'!AC:AC,MATCH($D430,'卡片raw data'!$F:$F,)),0)+IF($P430=3,INDEX('卡片raw data'!AF:AF,MATCH($D430,'卡片raw data'!$F:$F,)),0)+IF($P430=4,INDEX('卡片raw data'!AI:AI,MATCH($D430,'卡片raw data'!$F:$F,)),0)+IF($P430=5,INDEX('卡片raw data'!AL:AL,MATCH($D430,'卡片raw data'!$F:$F,)),0)+INDEX('卡片raw data'!T:T,MATCH($D430,'卡片raw data'!$F:$F,))*(IF($F430="UR",0.04,0.033))*(IF($F430="UR",INDEX(绊状态确认!$S:$S,MATCH($G430,绊状态确认!$B:$B,))/2-40)+IF($F430="SR",INDEX(绊状态确认!$R:$R,MATCH($G430,绊状态确认!$B:$B,))/4-15))+IF($F430="R",INDEX(绊状态确认!$Q:$Q,MATCH($G430,绊状态确认!$B:$B,))/6-40/6)))*(INDEX(绊状态确认!$H:$H,MATCH($G430,绊状态确认!$B:$B,))+INDEX(绊状态确认!K:K,MATCH($G430,绊状态确认!$B:$B,)))</f>
        <v>8736.4613759999993</v>
      </c>
      <c r="AN430" s="429">
        <f>IF($P430="","N/A",(IF($P430=-1,INDEX('卡片raw data'!U:U,MATCH($D430,'卡片raw data'!$F:$F,)),0)+IF($P430=0,INDEX('卡片raw data'!X:X,MATCH($D430,'卡片raw data'!$F:$F,)),0)+IF($P430=1,INDEX('卡片raw data'!AA:AA,MATCH($D430,'卡片raw data'!$F:$F,)),0)+IF($P430=2,INDEX('卡片raw data'!AD:AD,MATCH($D430,'卡片raw data'!$F:$F,)),0)+IF($P430=3,INDEX('卡片raw data'!AG:AG,MATCH($D430,'卡片raw data'!$F:$F,)),0)+IF($P430=4,INDEX('卡片raw data'!AJ:AJ,MATCH($D430,'卡片raw data'!$F:$F,)),0)+IF($P430=5,INDEX('卡片raw data'!AM:AM,MATCH($D430,'卡片raw data'!$F:$F,)),0)+INDEX('卡片raw data'!U:U,MATCH($D430,'卡片raw data'!$F:$F,))*(IF($F430="UR",0.04,0.033))*(IF($F430="UR",INDEX(绊状态确认!$S:$S,MATCH($G430,绊状态确认!$B:$B,))/2-40)+IF($F430="SR",INDEX(绊状态确认!$R:$R,MATCH($G430,绊状态确认!$B:$B,))/4-15))+IF($F430="R",INDEX(绊状态确认!$Q:$Q,MATCH($G430,绊状态确认!$B:$B,))/6-40/6)))*(INDEX(绊状态确认!$H:$H,MATCH($G430,绊状态确认!$B:$B,))+INDEX(绊状态确认!L:L,MATCH($G430,绊状态确认!$B:$B,)))</f>
        <v>12353.849855999999</v>
      </c>
      <c r="AO430" s="430">
        <f t="shared" si="536"/>
        <v>1</v>
      </c>
      <c r="AP430" s="556">
        <f>1+(INDEX(绊状态确认!$T:$T,MATCH($G430,绊状态确认!$B:$B,))+0.2)*$AO430</f>
        <v>1.3</v>
      </c>
      <c r="AQ430" s="431">
        <f t="shared" si="537"/>
        <v>26980.043427999994</v>
      </c>
      <c r="AR430" s="420">
        <f>(AM430*(1+$EX$9)+$EX$35)*(1+(INDEX(绊状态确认!$T:$T,MATCH($G430,绊状态确认!$B:$B,))+0.2)*AO430)*IF(J430=$FF$17,1+$FE$17,1)*IF(I430=$FF$14,1+$FE$14,1)</f>
        <v>14629.269778239999</v>
      </c>
      <c r="AS430" s="420">
        <f>(AN430*(1+$EX$10)+$EX$36)*(1+(INDEX(绊状态确认!$T:$T,MATCH($G430,绊状态确认!$B:$B,))+0.2)*AO430)*IF(J430=$FF$17,1+$FE$17,1)*IF(I430=$FF$14,1+$FE$14,1)</f>
        <v>22525.005534719996</v>
      </c>
      <c r="AT430" s="412">
        <f>IF(AND(INDEX('卡片raw data'!AK:AK,MATCH($D430,'卡片raw data'!$F:$F,))&lt;INDEX('卡片raw data'!AM:AM,MATCH($D430,'卡片raw data'!$F:$F,)),INDEX('卡片raw data'!AL:AL,MATCH($D430,'卡片raw data'!$F:$F,))&lt;INDEX('卡片raw data'!AM:AM,MATCH($D430,'卡片raw data'!$F:$F,))),1,0)</f>
        <v>1</v>
      </c>
      <c r="AU430" s="421">
        <f>MIN(AT430*0.15+AS430*0.00003+INDEX(绊状态确认!M:M,MATCH($G430,绊状态确认!$B:$B,)),1)</f>
        <v>0.85575016604159992</v>
      </c>
      <c r="AV430" s="432">
        <f>(INDEX(绊状态确认!$N:$N,MATCH($G430,绊状态确认!$B:$B,))+1.5)*$EW$21</f>
        <v>2.6599999999999997</v>
      </c>
      <c r="AW430" s="424">
        <f t="shared" si="538"/>
        <v>33916.670999476752</v>
      </c>
      <c r="AX430" s="420">
        <f t="shared" si="539"/>
        <v>1259.9046390530498</v>
      </c>
      <c r="AY430" s="433">
        <f t="shared" si="540"/>
        <v>35176.575638529801</v>
      </c>
      <c r="AZ430" s="429">
        <f t="shared" si="541"/>
        <v>20228.032260799995</v>
      </c>
      <c r="BA430" s="431">
        <f t="shared" si="542"/>
        <v>24273.638712959993</v>
      </c>
      <c r="BB430" s="420">
        <f>(AM430*(1+$FB$9)+$FB$35)*(1+(INDEX(绊状态确认!$T:$T,MATCH($G430,绊状态确认!$B:$B,))+0.2)*AO430)*IF(J430=$FF$17,1+$FE$17,1)*IF(I430=$FF$14,1+$FE$14,1)*(1+$FE$15)</f>
        <v>14629.269778239999</v>
      </c>
      <c r="BC430" s="420">
        <f>(AN430*(1+$FB$10)+$FB$36)*(1+(INDEX(绊状态确认!$T:$T,MATCH($G430,绊状态确认!$B:$B,))+0.2)*AO430)*IF(J430=$FF$17,1+$FE$17,1)*IF(I430=$FF$14,1+$FE$14,1)*(1+$FE$15)</f>
        <v>22525.005534719996</v>
      </c>
      <c r="BD430" s="427">
        <f>MIN(AT430*0.15+BC430*0.00003+INDEX(绊状态确认!M:M,MATCH($G430,绊状态确认!$B:$B,)),1)</f>
        <v>0.85575016604159992</v>
      </c>
      <c r="BE430" s="432">
        <f>(INDEX(绊状态确认!$N:$N,MATCH($G430,绊状态确认!$B:$B,))+1.5)</f>
        <v>1.9</v>
      </c>
      <c r="BF430" s="645">
        <f t="array" ref="BF430">SUMPRODUCT(IF(AZ430*AP430*$FI$16:$FI$23*$FA$22&gt;=$FI$24,$FI$24,AZ430*AP430*$FI$16:$FI$23*$FA$22),$FJ$16:$FJ$23)</f>
        <v>40233.556166731199</v>
      </c>
      <c r="BG430" s="453">
        <f t="array" ref="BG430">SUMPRODUCT(IF(BE430*AZ430*AP430*$FI$16:$FI$23*$FA$22&gt;=$FI$24,$FI$24,BE430*AZ430*AP430*$FI$16:$FI$23*$FA$22),$FJ$16:$FJ$23)</f>
        <v>59995.588762101121</v>
      </c>
      <c r="BH430" s="433">
        <f t="shared" si="543"/>
        <v>19048.306280512839</v>
      </c>
      <c r="BI430" s="434">
        <f>IF(O430="vo",$EW$26/$EW$24*0.05,0)+IF(O430="sk",-$EW$26/$EW$24*(0.05-INDEX(绊状态确认!W:W,MATCH($G430,绊状态确认!$B:$B,)))+0.05*$EW$28,0)+IF(O430="sp",0.05*$EW$32*$EW$30*(1-$EW$33)-(0.05-INDEX(绊状态确认!V:V,MATCH($G430,绊状态确认!$B:$B,)))*$EW$28,0)+IF(O430="gd",-(0.05-INDEX(绊状态确认!X:X,MATCH($G430,绊状态确认!$B:$B,)))*$EW$32*$EW$30*(1-$EW$33),0)</f>
        <v>19.999999999999886</v>
      </c>
      <c r="BJ430" s="420">
        <f>IF(O430="vo",0.05*(1-$FI$26)*$FA$24,0)+IF(O430="sk",-(0.05-INDEX(绊状态确认!W:W,MATCH($G430,绊状态确认!$B:$B,)))*(1-$FI$26)*$FA$24+0.05*$FA$26,0)+IF(O430="sp",0.05*$FA$32*$FA$27*(1-$FA$33)/$FA$30+0.05*$FA$29/$FA$69*$FA$27*(1-$FA$33)-(0.05-INDEX(绊状态确认!V:V,MATCH($G430,绊状态确认!$B:$B,)))*$FA$26,0)+IF(O430="gd",-(0.05-INDEX(绊状态确认!X:X,MATCH($G430,绊状态确认!$B:$B,)))*$FA$32*$FA$27*(1-$FA$33)/$FA$30-(0.05-INDEX(绊状态确认!X:X,MATCH($G430,绊状态确认!$B:$B,)))*$FA$29/$FA$69*$FA$27*(1-$FA$33),0)</f>
        <v>545.83333333333326</v>
      </c>
      <c r="BK430" s="433">
        <f>IF(O430="vo",$EW$26/$EW$24*0.05+$EW$26*(-HP($EW$62,$EW$65,$EW$64)+HP($EW$62,$EW$65,(1.05-INDEX(绊状态确认!U:U,MATCH($G430,绊状态确认!$B:$B,)))*$EW$64)),0)+IF(O430="sk",-$EW$26/$EW$24*(0.05-INDEX(绊状态确认!W:W,MATCH($G430,绊状态确认!$B:$B,)))+0.05*$EW$29,0)+IF(O430="sp",0.05*$EW$32*$EW$30*(1-$EW$33)-(0.05-INDEX(绊状态确认!V:V,MATCH($G430,绊状态确认!$B:$B,)))*$EW$29,0)+IF(O430="gd",-(0.05-INDEX(绊状态确认!X:X,MATCH($G430,绊状态确认!$B:$B,)))*$EW$32*$EW$30*(1-$EW$33)+$EW$26*(-HP($EW$62,$EW$65,$EW$64)+HP($EW$62,$EW$65,0.95*$EW$64)),0)</f>
        <v>-1780.0000000000005</v>
      </c>
      <c r="BL430" s="434">
        <f t="shared" si="544"/>
        <v>0</v>
      </c>
      <c r="BM430" s="433">
        <f t="shared" si="545"/>
        <v>0</v>
      </c>
      <c r="BN430" s="437">
        <f t="shared" si="546"/>
        <v>3</v>
      </c>
      <c r="BO430" s="1108">
        <f t="shared" si="547"/>
        <v>4507.7214871259994</v>
      </c>
      <c r="BP430" s="1100">
        <f t="shared" si="548"/>
        <v>221.34103209030098</v>
      </c>
      <c r="BQ430" s="1113" t="s">
        <v>132</v>
      </c>
      <c r="BR430" s="1124" t="s">
        <v>171</v>
      </c>
      <c r="BS430" s="421">
        <f>IF($P430="","N/A",IF($P430=-1,INDEX('卡片raw data'!AX:AX,MATCH($D430,'卡片raw data'!$F:$F,)),0)+IF($L430="party卡",IF($P430=5,INDEX('卡片raw data'!BD:BD,MATCH($D430,'卡片raw data'!$F:$F,)),IF($P430&gt;=3,INDEX('卡片raw data'!BC:BC,MATCH($D430,'卡片raw data'!$F:$F,)),INDEX('卡片raw data'!BB:BB,MATCH($D430,'卡片raw data'!$F:$F,)))),IF(OR(AND($F430="UR",$P430=0),AND($F430="SR",$P430&gt;=0,$P430&lt;=2),AND($F430="R",$P430&gt;=0,$P430&lt;4)),INDEX('卡片raw data'!AZ:AZ,MATCH($D430,'卡片raw data'!$F:$F,)),0)+IF(OR(AND($F430="UR",$P430&gt;=1,$P430&lt;=4),AND($F430="SR",$P430&lt;=4,$P430&gt;=3),AND($F430="R",$P430=4)),INDEX('卡片raw data'!BA:BA,MATCH($D430,'卡片raw data'!$F:$F,)),0)+IF($P430=5,INDEX('卡片raw data'!BB:BB,MATCH($D430,'卡片raw data'!$F:$F,)),0)))</f>
        <v>5.1999999999999998E-2</v>
      </c>
      <c r="BT430" s="424">
        <f t="shared" si="549"/>
        <v>2604.4613036728001</v>
      </c>
      <c r="BU430" s="420">
        <f t="shared" si="550"/>
        <v>111.90018844565216</v>
      </c>
      <c r="BV430" s="420">
        <f t="shared" si="551"/>
        <v>1302.2306518363998</v>
      </c>
      <c r="BW430" s="436">
        <f t="shared" si="552"/>
        <v>0</v>
      </c>
      <c r="BX430" s="423">
        <f t="shared" si="553"/>
        <v>2604.4613036728001</v>
      </c>
      <c r="BY430" s="433">
        <f t="shared" si="554"/>
        <v>1302.2306518363998</v>
      </c>
      <c r="BZ430" s="1113" t="s">
        <v>569</v>
      </c>
      <c r="CA430" s="450"/>
      <c r="CB430" s="421">
        <f>IF($P430="","N/A",IF($P430=-1,INDEX('卡片raw data'!BE:BE,MATCH($D430,'卡片raw data'!$F:$F,)),0)+IF($L430="party卡",IF($P430=5,INDEX('卡片raw data'!BK:BK,MATCH($D430,'卡片raw data'!$F:$F,)),IF($P430&gt;=3,INDEX('卡片raw data'!BJ:BJ,MATCH($D430,'卡片raw data'!$F:$F,)),INDEX('卡片raw data'!BI:BI,MATCH($D430,'卡片raw data'!$F:$F,)))),IF(OR(AND($F430="UR",$P430=0),AND($F430="SR",$P430&gt;=0,$P430&lt;=2),AND($F430="R",$P430&gt;=0,$P430&lt;4)),INDEX('卡片raw data'!BG:BG,MATCH($D430,'卡片raw data'!$F:$F,)),0)+IF(OR(AND($F430="UR",$P430&gt;=1,$P430&lt;=4),AND($F430="SR",$P430&lt;=4,$P430&gt;=3),AND($F430="R",$P430=4)),INDEX('卡片raw data'!BH:BH,MATCH($D430,'卡片raw data'!$F:$F,)),0)+IF($P430=5,INDEX('卡片raw data'!BI:BI,MATCH($D430,'卡片raw data'!$F:$F,)),0)))</f>
        <v>0</v>
      </c>
      <c r="CC430" s="424">
        <f t="shared" si="555"/>
        <v>0</v>
      </c>
      <c r="CD430" s="420">
        <f>IF(BZ430="ap",CB430*(1-$FI$26)*$FB$5/$FB$11*(+IF(CA430="全员",$FA$24,0)+IF(CA430="同作战",$FA$24,0)+IF(CA430="仲间",$FA$24*2/3,0)+IF(CA430="同属性",$FA$24*$FA$37/3,0)+IF(CA430="同年级",$FA$24*$FA$40/3,0)+IF(CA430="同学校",$FA$24*$FA$43/3,0)+IF(CA430="同小队",$FA$24*$FA$46/3,0)+IF(CA430="同type",$FA$24*INDEX($FB$49:$FB$52,MATCH(X430,$FA$49:$FA$52,))/3,0)+IF(CA430="自身",#REF!/3,0)),0)+IF(BZ430="te",CB430*(1-$FI$27)*($FA$20-1)*$FB$7/$FB$13*(+IF(CA430="全员",$FA$19*$FA$24/(1+($FA$20-1)*$FA$19),0)+IF(CA430="同作战",$FA$19*$FA$24/(1+($FA$20-1)*$FA$19),0)+IF(CA430="仲间",$FA$19*$FA$24*2/3/(1+($FA$20-1)*$FA$19),0)+IF(CA430="同属性",$FA$19*$FA$24*$FA$37/3/(1+($FA$20-1)*$FA$19),0)+IF(CA430="同年级",$FA$19*$FA$24*$FA$40/3/(1+($FA$20-1)*$FA$19),0)+IF(CA430="同学校",$FA$19*$FA$24*$FA$43/3/(1+($FA$20-1)*$FA$19),0)+IF(CA430="同小队",$FA$19*$FA$24*$FA$46/3/(1+($FA$20-1)*$FA$19),0)+IF(CA430="同type",$FA$19*$FA$24*INDEX($FB$49:$FB$52,MATCH(X430,$FA$49:$FA$52,))/3/(1+($FA$20-1)*$FA$19),0)+IF(CA430="自身",$FA$19*#REF!/3/(1+(BH430-1)*$BD430),0)),0)</f>
        <v>0</v>
      </c>
      <c r="CE430" s="420">
        <f t="shared" si="556"/>
        <v>0</v>
      </c>
      <c r="CF430" s="436">
        <f t="shared" si="557"/>
        <v>0</v>
      </c>
      <c r="CG430" s="423">
        <f t="shared" si="558"/>
        <v>0</v>
      </c>
      <c r="CH430" s="433">
        <f t="shared" si="559"/>
        <v>0</v>
      </c>
      <c r="CI430" s="1113" t="s">
        <v>165</v>
      </c>
      <c r="CJ430" s="1114">
        <v>1</v>
      </c>
      <c r="CK430" s="1115" t="s">
        <v>153</v>
      </c>
      <c r="CL430" s="1115" t="s">
        <v>166</v>
      </c>
      <c r="CM430" s="1119">
        <v>0.03</v>
      </c>
      <c r="CN430" s="1115" t="s">
        <v>163</v>
      </c>
      <c r="CO430" s="1092"/>
      <c r="CP430" s="1118">
        <f t="shared" si="560"/>
        <v>9.9999999999999985E-3</v>
      </c>
      <c r="CQ430" s="1118">
        <f t="shared" si="561"/>
        <v>9.9999999999999985E-3</v>
      </c>
      <c r="CR430" s="1118">
        <f t="shared" si="562"/>
        <v>0</v>
      </c>
      <c r="CS430" s="442">
        <f t="shared" si="563"/>
        <v>0</v>
      </c>
      <c r="CT430" s="432">
        <f t="shared" si="564"/>
        <v>0</v>
      </c>
      <c r="CU430" s="1101">
        <f t="shared" si="565"/>
        <v>1359.8293152830097</v>
      </c>
      <c r="CV430" s="1108">
        <f t="shared" si="566"/>
        <v>65.655722812500002</v>
      </c>
      <c r="CW430" s="420">
        <f t="shared" si="567"/>
        <v>0</v>
      </c>
      <c r="CX430" s="420">
        <f t="shared" si="568"/>
        <v>1359.8293152830097</v>
      </c>
      <c r="CY430" s="433">
        <f t="shared" si="569"/>
        <v>0</v>
      </c>
      <c r="CZ430" s="437"/>
      <c r="DA430" s="438"/>
      <c r="DB430" s="439" t="s">
        <v>569</v>
      </c>
      <c r="DC430" s="439"/>
      <c r="DD430" s="443"/>
      <c r="DE430" s="411"/>
      <c r="DF430" s="411"/>
      <c r="DG430" s="1116">
        <f t="shared" si="570"/>
        <v>0</v>
      </c>
      <c r="DH430" s="1116">
        <f t="shared" si="571"/>
        <v>0</v>
      </c>
      <c r="DI430" s="1116">
        <f t="shared" si="572"/>
        <v>0</v>
      </c>
      <c r="DJ430" s="442">
        <f t="shared" si="573"/>
        <v>0</v>
      </c>
      <c r="DK430" s="432">
        <f t="shared" si="574"/>
        <v>0</v>
      </c>
      <c r="DL430" s="424">
        <f t="shared" si="575"/>
        <v>0</v>
      </c>
      <c r="DM430" s="420">
        <f t="shared" si="576"/>
        <v>0</v>
      </c>
      <c r="DN430" s="420">
        <f t="shared" si="577"/>
        <v>0</v>
      </c>
      <c r="DO430" s="420">
        <f t="shared" si="578"/>
        <v>0</v>
      </c>
      <c r="DP430" s="433">
        <f t="shared" si="579"/>
        <v>0</v>
      </c>
      <c r="DQ430" s="1113" t="s">
        <v>549</v>
      </c>
      <c r="DR430" s="444">
        <f t="shared" si="580"/>
        <v>0.33</v>
      </c>
      <c r="DS430" s="1124"/>
      <c r="DT430" s="1093" t="s">
        <v>179</v>
      </c>
      <c r="DU430" s="1093"/>
      <c r="DV430" s="1098">
        <f>IF($P430="","N/A",IF(P430=-1,INDEX('卡片raw data'!AN:AN,MATCH(D430,'卡片raw data'!$F:$F,)),0)+IF(AND(L430&lt;&gt;"party卡",P430&lt;=2,P430&gt;=0),INDEX('卡片raw data'!AP:AP,MATCH(D430,'卡片raw data'!$F:$F,)),0)+IF(OR(AND(L430="party卡",P430&lt;=1),AND(P430&lt;=4,L430&lt;&gt;"party卡",P430&gt;=3)),INDEX('卡片raw data'!AQ:AQ,MATCH(D430,'卡片raw data'!$F:$F,)),0)+IF(OR(P430=5,AND(L430="party卡",P430&gt;=2)),INDEX('卡片raw data'!AR:AR,MATCH(D430,'卡片raw data'!$F:$F,)),0))</f>
        <v>0.08</v>
      </c>
      <c r="DW430" s="1098">
        <f t="shared" si="581"/>
        <v>0.33</v>
      </c>
      <c r="DX430" s="1098">
        <f t="shared" si="582"/>
        <v>0.33</v>
      </c>
      <c r="DY430" s="1098">
        <f t="shared" si="583"/>
        <v>8.8000000000000005E-3</v>
      </c>
      <c r="DZ430" s="1098">
        <f t="shared" si="584"/>
        <v>8.7538000000000008E-3</v>
      </c>
      <c r="EA430" s="421">
        <f t="shared" si="585"/>
        <v>0</v>
      </c>
      <c r="EB430" s="445">
        <f t="shared" si="586"/>
        <v>53.633579999999988</v>
      </c>
      <c r="EC430" s="424">
        <f t="shared" si="587"/>
        <v>3960.0000000000005</v>
      </c>
      <c r="ED430" s="420">
        <f t="shared" si="588"/>
        <v>2188.4500000000003</v>
      </c>
      <c r="EE430" s="433">
        <f t="shared" si="598"/>
        <v>3960.0000000000005</v>
      </c>
      <c r="EF430" s="1115" t="s">
        <v>569</v>
      </c>
      <c r="EG430" s="444">
        <f t="shared" si="589"/>
        <v>0.33</v>
      </c>
      <c r="EH430" s="450"/>
      <c r="EI430" s="1093"/>
      <c r="EJ430" s="1093"/>
      <c r="EK430" s="1097">
        <f>IF($P430="","N/A",IF(P430=-1,INDEX('卡片raw data'!AS:AS,MATCH(D430,'卡片raw data'!$F:$F,)),0)+IF(AND(L430&lt;&gt;"party卡",P430&lt;=2,P430&gt;=0),INDEX('卡片raw data'!AU:AU,MATCH(D430,'卡片raw data'!$F:$F,)),0)+IF(OR(AND(L430="party卡",P430&lt;=1),AND(P430&lt;=4,L430&lt;&gt;"party卡",P430&gt;=3)),INDEX('卡片raw data'!AV:AV,MATCH(D430,'卡片raw data'!$F:$F,)),0)+IF(OR(P430=5,AND(L430="party卡",P430&gt;=2)),INDEX('卡片raw data'!AW:AW,MATCH(D430,'卡片raw data'!$F:$F,)),0))</f>
        <v>0</v>
      </c>
      <c r="EL430" s="1098">
        <f t="shared" si="590"/>
        <v>0.33</v>
      </c>
      <c r="EM430" s="1098">
        <f t="shared" si="591"/>
        <v>0.33</v>
      </c>
      <c r="EN430" s="1097">
        <f t="shared" si="592"/>
        <v>0</v>
      </c>
      <c r="EO430" s="1097">
        <f t="shared" si="593"/>
        <v>0</v>
      </c>
      <c r="EP430" s="421">
        <f t="shared" si="594"/>
        <v>0</v>
      </c>
      <c r="EQ430" s="445">
        <f t="shared" si="595"/>
        <v>0</v>
      </c>
      <c r="ER430" s="424">
        <f t="shared" si="596"/>
        <v>0</v>
      </c>
      <c r="ES430" s="420">
        <f t="shared" si="597"/>
        <v>0</v>
      </c>
      <c r="ET430" s="446">
        <f t="shared" si="599"/>
        <v>0</v>
      </c>
    </row>
    <row r="431" spans="2:150" ht="16.5" customHeight="1">
      <c r="B431" s="448" t="str">
        <f>INDEX('卡片raw data'!B:B,MATCH($D431,'卡片raw data'!$F:$F,))</f>
        <v>kks绘</v>
      </c>
      <c r="C431" s="449" t="s">
        <v>2359</v>
      </c>
      <c r="D431" s="408">
        <v>428</v>
      </c>
      <c r="E431" s="477">
        <v>400022003</v>
      </c>
      <c r="F431" s="409" t="str">
        <f>INDEX('卡片raw data'!C:C,MATCH($D431,'卡片raw data'!$F:$F,))</f>
        <v>SR</v>
      </c>
      <c r="G431" s="1094" t="s">
        <v>2360</v>
      </c>
      <c r="H431" s="411">
        <f>IFERROR(INDEX(绊状态确认!C:C,MATCH($G431,绊状态确认!$B:$B,)),"")</f>
        <v>2</v>
      </c>
      <c r="I431" s="450" t="str">
        <f>IFERROR(INDEX(绊状态确认!D:D,MATCH($G431,绊状态确认!$B:$B,)),"")</f>
        <v>缪</v>
      </c>
      <c r="J431" s="450" t="str">
        <f>IFERROR(INDEX(绊状态确认!E:E,MATCH($G431,绊状态确认!$B:$B,)),"")</f>
        <v>3年级</v>
      </c>
      <c r="K431" s="451" t="str">
        <f>IFERROR(INDEX(绊状态确认!F:F,MATCH($G431,绊状态确认!$B:$B,)),"")</f>
        <v>BiBi</v>
      </c>
      <c r="L431" s="414" t="str">
        <f>INDEX('卡片raw data'!E:E,MATCH($D431,'卡片raw data'!$F:$F,))</f>
        <v>活动卡</v>
      </c>
      <c r="M431" s="478">
        <v>44275</v>
      </c>
      <c r="N431" s="479">
        <v>36</v>
      </c>
      <c r="O431" s="410" t="str">
        <f>INDEX('卡片raw data'!D:D,MATCH($D431,'卡片raw data'!$F:$F,))</f>
        <v>sk</v>
      </c>
      <c r="P431" s="1126">
        <v>5</v>
      </c>
      <c r="Q431" s="418">
        <f t="shared" si="515"/>
        <v>18067.109343773951</v>
      </c>
      <c r="R431" s="419">
        <f t="shared" si="516"/>
        <v>0.21</v>
      </c>
      <c r="S431" s="420">
        <f t="shared" si="517"/>
        <v>13363.883863877272</v>
      </c>
      <c r="T431" s="421">
        <f t="shared" si="518"/>
        <v>0.66800000000000004</v>
      </c>
      <c r="U431" s="422">
        <f t="shared" si="519"/>
        <v>11.305723286742856</v>
      </c>
      <c r="V431" s="423">
        <f t="shared" si="520"/>
        <v>20967.747807189666</v>
      </c>
      <c r="W431" s="424">
        <f t="shared" si="521"/>
        <v>4507.7214871259994</v>
      </c>
      <c r="X431" s="419">
        <f t="shared" si="522"/>
        <v>5.1999999999999998E-2</v>
      </c>
      <c r="Y431" s="420">
        <f t="shared" si="523"/>
        <v>900.63846341571571</v>
      </c>
      <c r="Z431" s="425">
        <f t="shared" si="524"/>
        <v>11.305723286742856</v>
      </c>
      <c r="AA431" s="426">
        <f t="shared" si="525"/>
        <v>5408.3599505417151</v>
      </c>
      <c r="AB431" s="424">
        <f t="shared" si="526"/>
        <v>4927.1805787688272</v>
      </c>
      <c r="AC431" s="427">
        <f t="shared" si="527"/>
        <v>5.7000000000000002E-2</v>
      </c>
      <c r="AD431" s="428">
        <f t="shared" si="528"/>
        <v>1.8994224431818179E-2</v>
      </c>
      <c r="AE431" s="516">
        <f t="shared" si="529"/>
        <v>4.3537577047458456</v>
      </c>
      <c r="AF431" s="1130">
        <f t="shared" si="530"/>
        <v>0</v>
      </c>
      <c r="AG431" s="420">
        <f t="shared" si="531"/>
        <v>0</v>
      </c>
      <c r="AH431" s="420">
        <f t="shared" si="532"/>
        <v>0</v>
      </c>
      <c r="AI431" s="1097">
        <f t="shared" si="533"/>
        <v>0</v>
      </c>
      <c r="AJ431" s="420">
        <f t="shared" si="534"/>
        <v>0</v>
      </c>
      <c r="AK431" s="518">
        <f t="shared" si="535"/>
        <v>0</v>
      </c>
      <c r="AL431" s="429">
        <f>IF($P431="","N/A",(IF($P431=-1,INDEX('卡片raw data'!S:S,MATCH($D431,'卡片raw data'!$F:$F,)),0)+IF($P431=0,INDEX('卡片raw data'!V:V,MATCH($D431,'卡片raw data'!$F:$F,)),0)+IF($P431=1,INDEX('卡片raw data'!Y:Y,MATCH($D431,'卡片raw data'!$F:$F,)),0)+IF($P431=2,INDEX('卡片raw data'!AB:AB,MATCH($D431,'卡片raw data'!$F:$F,)),0)+IF($P431=3,INDEX('卡片raw data'!AE:AE,MATCH($D431,'卡片raw data'!$F:$F,)),0)+IF($P431=4,INDEX('卡片raw data'!AH:AH,MATCH($D431,'卡片raw data'!$F:$F,)),0)+IF($P431=5,INDEX('卡片raw data'!AK:AK,MATCH($D431,'卡片raw data'!$F:$F,)),0)+INDEX('卡片raw data'!S:S,MATCH($D431,'卡片raw data'!$F:$F,))*(IF($F431="UR",0.04,0.033))*(IF($F431="UR",INDEX(绊状态确认!$S:$S,MATCH($G431,绊状态确认!$B:$B,))/2-40)+IF($F431="SR",INDEX(绊状态确认!$R:$R,MATCH($G431,绊状态确认!$B:$B,))/4-15))+IF($F431="R",INDEX(绊状态确认!$Q:$Q,MATCH($G431,绊状态确认!$B:$B,))/6-40/6)))*(INDEX(绊状态确认!$H:$H,MATCH($G431,绊状态确认!$B:$B,))+INDEX(绊状态确认!J:J,MATCH($G431,绊状态确认!$B:$B,)))</f>
        <v>6490.8531551999995</v>
      </c>
      <c r="AM431" s="429">
        <f>IF($P431="","N/A",(IF($P431=-1,INDEX('卡片raw data'!T:T,MATCH($D431,'卡片raw data'!$F:$F,)),0)+IF($P431=0,INDEX('卡片raw data'!W:W,MATCH($D431,'卡片raw data'!$F:$F,)),0)+IF($P431=1,INDEX('卡片raw data'!Z:Z,MATCH($D431,'卡片raw data'!$F:$F,)),0)+IF($P431=2,INDEX('卡片raw data'!AC:AC,MATCH($D431,'卡片raw data'!$F:$F,)),0)+IF($P431=3,INDEX('卡片raw data'!AF:AF,MATCH($D431,'卡片raw data'!$F:$F,)),0)+IF($P431=4,INDEX('卡片raw data'!AI:AI,MATCH($D431,'卡片raw data'!$F:$F,)),0)+IF($P431=5,INDEX('卡片raw data'!AL:AL,MATCH($D431,'卡片raw data'!$F:$F,)),0)+INDEX('卡片raw data'!T:T,MATCH($D431,'卡片raw data'!$F:$F,))*(IF($F431="UR",0.04,0.033))*(IF($F431="UR",INDEX(绊状态确认!$S:$S,MATCH($G431,绊状态确认!$B:$B,))/2-40)+IF($F431="SR",INDEX(绊状态确认!$R:$R,MATCH($G431,绊状态确认!$B:$B,))/4-15))+IF($F431="R",INDEX(绊状态确认!$Q:$Q,MATCH($G431,绊状态确认!$B:$B,))/6-40/6)))*(INDEX(绊状态确认!$H:$H,MATCH($G431,绊状态确认!$B:$B,))+INDEX(绊状态确认!K:K,MATCH($G431,绊状态确认!$B:$B,)))</f>
        <v>5749.4567039999993</v>
      </c>
      <c r="AN431" s="429">
        <f>IF($P431="","N/A",(IF($P431=-1,INDEX('卡片raw data'!U:U,MATCH($D431,'卡片raw data'!$F:$F,)),0)+IF($P431=0,INDEX('卡片raw data'!X:X,MATCH($D431,'卡片raw data'!$F:$F,)),0)+IF($P431=1,INDEX('卡片raw data'!AA:AA,MATCH($D431,'卡片raw data'!$F:$F,)),0)+IF($P431=2,INDEX('卡片raw data'!AD:AD,MATCH($D431,'卡片raw data'!$F:$F,)),0)+IF($P431=3,INDEX('卡片raw data'!AG:AG,MATCH($D431,'卡片raw data'!$F:$F,)),0)+IF($P431=4,INDEX('卡片raw data'!AJ:AJ,MATCH($D431,'卡片raw data'!$F:$F,)),0)+IF($P431=5,INDEX('卡片raw data'!AM:AM,MATCH($D431,'卡片raw data'!$F:$F,)),0)+INDEX('卡片raw data'!U:U,MATCH($D431,'卡片raw data'!$F:$F,))*(IF($F431="UR",0.04,0.033))*(IF($F431="UR",INDEX(绊状态确认!$S:$S,MATCH($G431,绊状态确认!$B:$B,))/2-40)+IF($F431="SR",INDEX(绊状态确认!$R:$R,MATCH($G431,绊状态确认!$B:$B,))/4-15))+IF($F431="R",INDEX(绊状态确认!$Q:$Q,MATCH($G431,绊状态确认!$B:$B,))/6-40/6)))*(INDEX(绊状态确认!$H:$H,MATCH($G431,绊状态确认!$B:$B,))+INDEX(绊状态确认!L:L,MATCH($G431,绊状态确认!$B:$B,)))</f>
        <v>6305.504042399999</v>
      </c>
      <c r="AO431" s="430">
        <f t="shared" si="536"/>
        <v>1</v>
      </c>
      <c r="AP431" s="556">
        <f>1+(INDEX(绊状态确认!$T:$T,MATCH($G431,绊状态确认!$B:$B,))+0.2)*$AO431</f>
        <v>1.3</v>
      </c>
      <c r="AQ431" s="431">
        <f t="shared" si="537"/>
        <v>20288.489532399999</v>
      </c>
      <c r="AR431" s="420">
        <f>(AM431*(1+$EX$9)+$EX$35)*(1+(INDEX(绊状态确认!$T:$T,MATCH($G431,绊状态确认!$B:$B,))+0.2)*AO431)*IF(J431=$FF$17,1+$FE$17,1)*IF(I431=$FF$14,1+$FE$14,1)</f>
        <v>10552.00840096</v>
      </c>
      <c r="AS431" s="420">
        <f>(AN431*(1+$EX$10)+$EX$36)*(1+(INDEX(绊状态确认!$T:$T,MATCH($G431,绊状态确认!$B:$B,))+0.2)*AO431)*IF(J431=$FF$17,1+$FE$17,1)*IF(I431=$FF$14,1+$FE$14,1)</f>
        <v>13482.728543387999</v>
      </c>
      <c r="AT431" s="412">
        <f>IF(AND(INDEX('卡片raw data'!AK:AK,MATCH($D431,'卡片raw data'!$F:$F,))&lt;INDEX('卡片raw data'!AM:AM,MATCH($D431,'卡片raw data'!$F:$F,)),INDEX('卡片raw data'!AL:AL,MATCH($D431,'卡片raw data'!$F:$F,))&lt;INDEX('卡片raw data'!AM:AM,MATCH($D431,'卡片raw data'!$F:$F,))),1,0)</f>
        <v>0</v>
      </c>
      <c r="AU431" s="421">
        <f>MIN(AT431*0.15+AS431*0.00003+INDEX(绊状态确认!M:M,MATCH($G431,绊状态确认!$B:$B,)),1)</f>
        <v>0.43448185630163999</v>
      </c>
      <c r="AV431" s="432">
        <f>(INDEX(绊状态确认!$N:$N,MATCH($G431,绊状态确认!$B:$B,))+1.5)*$EW$21</f>
        <v>2.6599999999999997</v>
      </c>
      <c r="AW431" s="424">
        <f t="shared" si="538"/>
        <v>18136.291158681892</v>
      </c>
      <c r="AX431" s="420">
        <f t="shared" si="539"/>
        <v>900.63846341571548</v>
      </c>
      <c r="AY431" s="433">
        <f t="shared" si="540"/>
        <v>19036.929622097607</v>
      </c>
      <c r="AZ431" s="429">
        <f t="shared" si="541"/>
        <v>15257.163652639998</v>
      </c>
      <c r="BA431" s="431">
        <f t="shared" si="542"/>
        <v>18308.596383167998</v>
      </c>
      <c r="BB431" s="420">
        <f>(AM431*(1+$FB$9)+$FB$35)*(1+(INDEX(绊状态确认!$T:$T,MATCH($G431,绊状态确认!$B:$B,))+0.2)*AO431)*IF(J431=$FF$17,1+$FE$17,1)*IF(I431=$FF$14,1+$FE$14,1)*(1+$FE$15)</f>
        <v>10552.00840096</v>
      </c>
      <c r="BC431" s="420">
        <f>(AN431*(1+$FB$10)+$FB$36)*(1+(INDEX(绊状态确认!$T:$T,MATCH($G431,绊状态确认!$B:$B,))+0.2)*AO431)*IF(J431=$FF$17,1+$FE$17,1)*IF(I431=$FF$14,1+$FE$14,1)*(1+$FE$15)</f>
        <v>13482.728543387999</v>
      </c>
      <c r="BD431" s="427">
        <f>MIN(AT431*0.15+BC431*0.00003+INDEX(绊状态确认!M:M,MATCH($G431,绊状态确认!$B:$B,)),1)</f>
        <v>0.43448185630163999</v>
      </c>
      <c r="BE431" s="432">
        <f>(INDEX(绊状态确认!$N:$N,MATCH($G431,绊状态确认!$B:$B,))+1.5)</f>
        <v>1.9</v>
      </c>
      <c r="BF431" s="645">
        <f t="array" ref="BF431">SUMPRODUCT(IF(AZ431*AP431*$FI$16:$FI$23*$FA$22&gt;=$FI$24,$FI$24,AZ431*AP431*$FI$16:$FI$23*$FA$22),$FJ$16:$FJ$23)</f>
        <v>30346.498505100961</v>
      </c>
      <c r="BG431" s="453">
        <f t="array" ref="BG431">SUMPRODUCT(IF(BE431*AZ431*AP431*$FI$16:$FI$23*$FA$22&gt;=$FI$24,$FI$24,BE431*AZ431*AP431*$FI$16:$FI$23*$FA$22),$FJ$16:$FJ$23)</f>
        <v>55278.711204277257</v>
      </c>
      <c r="BH431" s="433">
        <f t="shared" si="543"/>
        <v>13726.364186782133</v>
      </c>
      <c r="BI431" s="434">
        <f>IF(O431="vo",$EW$26/$EW$24*0.05,0)+IF(O431="sk",-$EW$26/$EW$24*(0.05-INDEX(绊状态确认!W:W,MATCH($G431,绊状态确认!$B:$B,)))+0.05*$EW$28,0)+IF(O431="sp",0.05*$EW$32*$EW$30*(1-$EW$33)-(0.05-INDEX(绊状态确认!V:V,MATCH($G431,绊状态确认!$B:$B,)))*$EW$28,0)+IF(O431="gd",-(0.05-INDEX(绊状态确认!X:X,MATCH($G431,绊状态确认!$B:$B,)))*$EW$32*$EW$30*(1-$EW$33),0)</f>
        <v>-6253.6726349699375</v>
      </c>
      <c r="BJ431" s="420">
        <f>IF(O431="vo",0.05*(1-$FI$26)*$FA$24,0)+IF(O431="sk",-(0.05-INDEX(绊状态确认!W:W,MATCH($G431,绊状态确认!$B:$B,)))*(1-$FI$26)*$FA$24+0.05*$FA$26,0)+IF(O431="sp",0.05*$FA$32*$FA$27*(1-$FA$33)/$FA$30+0.05*$FA$29/$FA$69*$FA$27*(1-$FA$33)-(0.05-INDEX(绊状态确认!V:V,MATCH($G431,绊状态确认!$B:$B,)))*$FA$26,0)+IF(O431="gd",-(0.05-INDEX(绊状态确认!X:X,MATCH($G431,绊状态确认!$B:$B,)))*$FA$32*$FA$27*(1-$FA$33)/$FA$30-(0.05-INDEX(绊状态确认!X:X,MATCH($G431,绊状态确认!$B:$B,)))*$FA$29/$FA$69*$FA$27*(1-$FA$33),0)</f>
        <v>20.459096812499922</v>
      </c>
      <c r="BK431" s="433">
        <f>IF(O431="vo",$EW$26/$EW$24*0.05+$EW$26*(-HP($EW$62,$EW$65,$EW$64)+HP($EW$62,$EW$65,(1.05-INDEX(绊状态确认!U:U,MATCH($G431,绊状态确认!$B:$B,)))*$EW$64)),0)+IF(O431="sk",-$EW$26/$EW$24*(0.05-INDEX(绊状态确认!W:W,MATCH($G431,绊状态确认!$B:$B,)))+0.05*$EW$29,0)+IF(O431="sp",0.05*$EW$32*$EW$30*(1-$EW$33)-(0.05-INDEX(绊状态确认!V:V,MATCH($G431,绊状态确认!$B:$B,)))*$EW$29,0)+IF(O431="gd",-(0.05-INDEX(绊状态确认!X:X,MATCH($G431,绊状态确认!$B:$B,)))*$EW$32*$EW$30*(1-$EW$33)+$EW$26*(-HP($EW$62,$EW$65,$EW$64)+HP($EW$62,$EW$65,0.95*$EW$64)),0)</f>
        <v>-4253.6726349699375</v>
      </c>
      <c r="BL431" s="434">
        <f t="shared" si="544"/>
        <v>-1083.3333333333333</v>
      </c>
      <c r="BM431" s="433">
        <f t="shared" si="545"/>
        <v>-830.55555555555543</v>
      </c>
      <c r="BN431" s="437">
        <f t="shared" si="546"/>
        <v>3</v>
      </c>
      <c r="BO431" s="1108">
        <f t="shared" si="547"/>
        <v>4507.7214871259994</v>
      </c>
      <c r="BP431" s="1100">
        <f t="shared" si="548"/>
        <v>221.34103209030098</v>
      </c>
      <c r="BQ431" s="1113" t="s">
        <v>134</v>
      </c>
      <c r="BR431" s="450" t="s">
        <v>166</v>
      </c>
      <c r="BS431" s="421">
        <f>IF($P431="","N/A",IF($P431=-1,INDEX('卡片raw data'!AX:AX,MATCH($D431,'卡片raw data'!$F:$F,)),0)+IF($L431="party卡",IF($P431=5,INDEX('卡片raw data'!BD:BD,MATCH($D431,'卡片raw data'!$F:$F,)),IF($P431&gt;=3,INDEX('卡片raw data'!BC:BC,MATCH($D431,'卡片raw data'!$F:$F,)),INDEX('卡片raw data'!BB:BB,MATCH($D431,'卡片raw data'!$F:$F,)))),IF(OR(AND($F431="UR",$P431=0),AND($F431="SR",$P431&gt;=0,$P431&lt;=2),AND($F431="R",$P431&gt;=0,$P431&lt;4)),INDEX('卡片raw data'!AZ:AZ,MATCH($D431,'卡片raw data'!$F:$F,)),0)+IF(OR(AND($F431="UR",$P431&gt;=1,$P431&lt;=4),AND($F431="SR",$P431&lt;=4,$P431&gt;=3),AND($F431="R",$P431=4)),INDEX('卡片raw data'!BA:BA,MATCH($D431,'卡片raw data'!$F:$F,)),0)+IF($P431=5,INDEX('卡片raw data'!BB:BB,MATCH($D431,'卡片raw data'!$F:$F,)),0)))</f>
        <v>7.0000000000000007E-2</v>
      </c>
      <c r="BT431" s="424">
        <f t="shared" si="549"/>
        <v>366.49122950808902</v>
      </c>
      <c r="BU431" s="420">
        <f t="shared" si="550"/>
        <v>28.797501754309909</v>
      </c>
      <c r="BV431" s="420">
        <f t="shared" si="551"/>
        <v>0</v>
      </c>
      <c r="BW431" s="436">
        <f t="shared" si="552"/>
        <v>0</v>
      </c>
      <c r="BX431" s="423">
        <f t="shared" si="553"/>
        <v>366.49122950808902</v>
      </c>
      <c r="BY431" s="433">
        <f t="shared" si="554"/>
        <v>0</v>
      </c>
      <c r="BZ431" s="1113" t="s">
        <v>569</v>
      </c>
      <c r="CA431" s="450"/>
      <c r="CB431" s="421">
        <f>IF($P431="","N/A",IF($P431=-1,INDEX('卡片raw data'!BE:BE,MATCH($D431,'卡片raw data'!$F:$F,)),0)+IF($L431="party卡",IF($P431=5,INDEX('卡片raw data'!BK:BK,MATCH($D431,'卡片raw data'!$F:$F,)),IF($P431&gt;=3,INDEX('卡片raw data'!BJ:BJ,MATCH($D431,'卡片raw data'!$F:$F,)),INDEX('卡片raw data'!BI:BI,MATCH($D431,'卡片raw data'!$F:$F,)))),IF(OR(AND($F431="UR",$P431=0),AND($F431="SR",$P431&gt;=0,$P431&lt;=2),AND($F431="R",$P431&gt;=0,$P431&lt;4)),INDEX('卡片raw data'!BG:BG,MATCH($D431,'卡片raw data'!$F:$F,)),0)+IF(OR(AND($F431="UR",$P431&gt;=1,$P431&lt;=4),AND($F431="SR",$P431&lt;=4,$P431&gt;=3),AND($F431="R",$P431=4)),INDEX('卡片raw data'!BH:BH,MATCH($D431,'卡片raw data'!$F:$F,)),0)+IF($P431=5,INDEX('卡片raw data'!BI:BI,MATCH($D431,'卡片raw data'!$F:$F,)),0)))</f>
        <v>0</v>
      </c>
      <c r="CC431" s="424">
        <f t="shared" si="555"/>
        <v>0</v>
      </c>
      <c r="CD431" s="420">
        <f>IF(BZ431="ap",CB431*(1-$FI$26)*$FB$5/$FB$11*(+IF(CA431="全员",$FA$24,0)+IF(CA431="同作战",$FA$24,0)+IF(CA431="仲间",$FA$24*2/3,0)+IF(CA431="同属性",$FA$24*$FA$37/3,0)+IF(CA431="同年级",$FA$24*$FA$40/3,0)+IF(CA431="同学校",$FA$24*$FA$43/3,0)+IF(CA431="同小队",$FA$24*$FA$46/3,0)+IF(CA431="同type",$FA$24*INDEX($FB$49:$FB$52,MATCH(X431,$FA$49:$FA$52,))/3,0)+IF(CA431="自身",#REF!/3,0)),0)+IF(BZ431="te",CB431*(1-$FI$27)*($FA$20-1)*$FB$7/$FB$13*(+IF(CA431="全员",$FA$19*$FA$24/(1+($FA$20-1)*$FA$19),0)+IF(CA431="同作战",$FA$19*$FA$24/(1+($FA$20-1)*$FA$19),0)+IF(CA431="仲间",$FA$19*$FA$24*2/3/(1+($FA$20-1)*$FA$19),0)+IF(CA431="同属性",$FA$19*$FA$24*$FA$37/3/(1+($FA$20-1)*$FA$19),0)+IF(CA431="同年级",$FA$19*$FA$24*$FA$40/3/(1+($FA$20-1)*$FA$19),0)+IF(CA431="同学校",$FA$19*$FA$24*$FA$43/3/(1+($FA$20-1)*$FA$19),0)+IF(CA431="同小队",$FA$19*$FA$24*$FA$46/3/(1+($FA$20-1)*$FA$19),0)+IF(CA431="同type",$FA$19*$FA$24*INDEX($FB$49:$FB$52,MATCH(X431,$FA$49:$FA$52,))/3/(1+($FA$20-1)*$FA$19),0)+IF(CA431="自身",$FA$19*#REF!/3/(1+(BH431-1)*$BD431),0)),0)</f>
        <v>0</v>
      </c>
      <c r="CE431" s="420">
        <f t="shared" si="556"/>
        <v>0</v>
      </c>
      <c r="CF431" s="436">
        <f t="shared" si="557"/>
        <v>0</v>
      </c>
      <c r="CG431" s="423">
        <f t="shared" si="558"/>
        <v>0</v>
      </c>
      <c r="CH431" s="433">
        <f t="shared" si="559"/>
        <v>0</v>
      </c>
      <c r="CI431" s="437" t="s">
        <v>173</v>
      </c>
      <c r="CJ431" s="438">
        <v>1</v>
      </c>
      <c r="CK431" s="439" t="s">
        <v>545</v>
      </c>
      <c r="CL431" s="439" t="s">
        <v>1941</v>
      </c>
      <c r="CM431" s="443">
        <v>0.1</v>
      </c>
      <c r="CN431" s="1115"/>
      <c r="CO431" s="1092">
        <v>10</v>
      </c>
      <c r="CP431" s="1116">
        <f t="shared" si="560"/>
        <v>48.152601940671431</v>
      </c>
      <c r="CQ431" s="1116">
        <f t="shared" si="561"/>
        <v>74.904047463266664</v>
      </c>
      <c r="CR431" s="1116">
        <f t="shared" si="562"/>
        <v>0</v>
      </c>
      <c r="CS431" s="1118">
        <f t="shared" si="563"/>
        <v>0</v>
      </c>
      <c r="CT431" s="1109">
        <f t="shared" si="564"/>
        <v>0</v>
      </c>
      <c r="CU431" s="1101">
        <f t="shared" si="565"/>
        <v>52.967862134738581</v>
      </c>
      <c r="CV431" s="1108">
        <f t="shared" si="566"/>
        <v>74.904047463266664</v>
      </c>
      <c r="CW431" s="1097">
        <f t="shared" si="567"/>
        <v>0</v>
      </c>
      <c r="CX431" s="1097">
        <f t="shared" si="568"/>
        <v>52.967862134738581</v>
      </c>
      <c r="CY431" s="1110">
        <f t="shared" si="569"/>
        <v>0</v>
      </c>
      <c r="CZ431" s="437"/>
      <c r="DA431" s="438"/>
      <c r="DB431" s="439" t="s">
        <v>569</v>
      </c>
      <c r="DC431" s="439"/>
      <c r="DD431" s="443"/>
      <c r="DE431" s="411"/>
      <c r="DF431" s="411"/>
      <c r="DG431" s="1116">
        <f t="shared" si="570"/>
        <v>0</v>
      </c>
      <c r="DH431" s="1116">
        <f t="shared" si="571"/>
        <v>0</v>
      </c>
      <c r="DI431" s="1116">
        <f t="shared" si="572"/>
        <v>0</v>
      </c>
      <c r="DJ431" s="442">
        <f t="shared" si="573"/>
        <v>0</v>
      </c>
      <c r="DK431" s="432">
        <f t="shared" si="574"/>
        <v>0</v>
      </c>
      <c r="DL431" s="424">
        <f t="shared" si="575"/>
        <v>0</v>
      </c>
      <c r="DM431" s="420">
        <f t="shared" si="576"/>
        <v>0</v>
      </c>
      <c r="DN431" s="420">
        <f t="shared" si="577"/>
        <v>0</v>
      </c>
      <c r="DO431" s="420">
        <f t="shared" si="578"/>
        <v>0</v>
      </c>
      <c r="DP431" s="433">
        <f t="shared" si="579"/>
        <v>0</v>
      </c>
      <c r="DQ431" s="437" t="s">
        <v>2107</v>
      </c>
      <c r="DR431" s="1120">
        <f t="shared" si="580"/>
        <v>0.3</v>
      </c>
      <c r="DS431" s="450">
        <v>3</v>
      </c>
      <c r="DT431" s="1124" t="s">
        <v>171</v>
      </c>
      <c r="DU431" s="1093" t="s">
        <v>544</v>
      </c>
      <c r="DV431" s="1098">
        <f>IF($P431="","N/A",IF(P431=-1,INDEX('卡片raw data'!AN:AN,MATCH(D431,'卡片raw data'!$F:$F,)),0)+IF(AND(L431&lt;&gt;"party卡",P431&lt;=2,P431&gt;=0),INDEX('卡片raw data'!AP:AP,MATCH(D431,'卡片raw data'!$F:$F,)),0)+IF(OR(AND(L431="party卡",P431&lt;=1),AND(P431&lt;=4,L431&lt;&gt;"party卡",P431&gt;=3)),INDEX('卡片raw data'!AQ:AQ,MATCH(D431,'卡片raw data'!$F:$F,)),0)+IF(OR(P431=5,AND(L431="party卡",P431&gt;=2)),INDEX('卡片raw data'!AR:AR,MATCH(D431,'卡片raw data'!$F:$F,)),0))</f>
        <v>0.1</v>
      </c>
      <c r="DW431" s="1098">
        <f t="shared" si="581"/>
        <v>0.3</v>
      </c>
      <c r="DX431" s="1098">
        <f t="shared" si="582"/>
        <v>0.3</v>
      </c>
      <c r="DY431" s="1098">
        <f t="shared" si="583"/>
        <v>0.02</v>
      </c>
      <c r="DZ431" s="1098">
        <f t="shared" si="584"/>
        <v>1.5137499999999998E-2</v>
      </c>
      <c r="EA431" s="421">
        <f t="shared" si="585"/>
        <v>0</v>
      </c>
      <c r="EB431" s="445">
        <f t="shared" si="586"/>
        <v>0</v>
      </c>
      <c r="EC431" s="424">
        <f t="shared" si="587"/>
        <v>2340.6435746265001</v>
      </c>
      <c r="ED431" s="420">
        <f t="shared" si="588"/>
        <v>122.57355453031639</v>
      </c>
      <c r="EE431" s="433">
        <f t="shared" si="598"/>
        <v>2340.6435746265001</v>
      </c>
      <c r="EF431" s="1115" t="s">
        <v>569</v>
      </c>
      <c r="EG431" s="1120">
        <f t="shared" si="589"/>
        <v>0.3</v>
      </c>
      <c r="EH431" s="450"/>
      <c r="EI431" s="1093"/>
      <c r="EJ431" s="1093"/>
      <c r="EK431" s="420">
        <f>IF($P431="","N/A",IF(P431=-1,INDEX('卡片raw data'!AS:AS,MATCH(D431,'卡片raw data'!$F:$F,)),0)+IF(AND(L431&lt;&gt;"party卡",P431&lt;=2,P431&gt;=0),INDEX('卡片raw data'!AU:AU,MATCH(D431,'卡片raw data'!$F:$F,)),0)+IF(OR(AND(L431="party卡",P431&lt;=1),AND(P431&lt;=4,L431&lt;&gt;"party卡",P431&gt;=3)),INDEX('卡片raw data'!AV:AV,MATCH(D431,'卡片raw data'!$F:$F,)),0)+IF(OR(P431=5,AND(L431="party卡",P431&gt;=2)),INDEX('卡片raw data'!AW:AW,MATCH(D431,'卡片raw data'!$F:$F,)),0))</f>
        <v>0</v>
      </c>
      <c r="EL431" s="1098">
        <f t="shared" si="590"/>
        <v>0.3</v>
      </c>
      <c r="EM431" s="1098">
        <f t="shared" si="591"/>
        <v>0.3</v>
      </c>
      <c r="EN431" s="1097">
        <f t="shared" si="592"/>
        <v>0</v>
      </c>
      <c r="EO431" s="1097">
        <f t="shared" si="593"/>
        <v>0</v>
      </c>
      <c r="EP431" s="421">
        <f t="shared" si="594"/>
        <v>0</v>
      </c>
      <c r="EQ431" s="445">
        <f t="shared" si="595"/>
        <v>0</v>
      </c>
      <c r="ER431" s="424">
        <f t="shared" si="596"/>
        <v>0</v>
      </c>
      <c r="ES431" s="420">
        <f t="shared" si="597"/>
        <v>0</v>
      </c>
      <c r="ET431" s="446">
        <f t="shared" si="599"/>
        <v>0</v>
      </c>
    </row>
    <row r="432" spans="2:150" ht="16.5" customHeight="1">
      <c r="B432" s="448" t="str">
        <f>INDEX('卡片raw data'!B:B,MATCH($D432,'卡片raw data'!$F:$F,))</f>
        <v>op1霞</v>
      </c>
      <c r="C432" s="449" t="s">
        <v>2362</v>
      </c>
      <c r="D432" s="408">
        <v>429</v>
      </c>
      <c r="E432" s="477">
        <v>402022004</v>
      </c>
      <c r="F432" s="409" t="str">
        <f>INDEX('卡片raw data'!C:C,MATCH($D432,'卡片raw data'!$F:$F,))</f>
        <v>SR</v>
      </c>
      <c r="G432" s="1094" t="s">
        <v>2363</v>
      </c>
      <c r="H432" s="411">
        <f>IFERROR(INDEX(绊状态确认!C:C,MATCH($G432,绊状态确认!$B:$B,)),"")</f>
        <v>202</v>
      </c>
      <c r="I432" s="450" t="str">
        <f>IFERROR(INDEX(绊状态确认!D:D,MATCH($G432,绊状态确认!$B:$B,)),"")</f>
        <v>虹</v>
      </c>
      <c r="J432" s="450" t="str">
        <f>IFERROR(INDEX(绊状态确认!E:E,MATCH($G432,绊状态确认!$B:$B,)),"")</f>
        <v>1年级</v>
      </c>
      <c r="K432" s="451" t="str">
        <f>IFERROR(INDEX(绊状态确认!F:F,MATCH($G432,绊状态确认!$B:$B,)),"")</f>
        <v>QU4RTZ</v>
      </c>
      <c r="L432" s="414" t="str">
        <f>INDEX('卡片raw data'!E:E,MATCH($D432,'卡片raw data'!$F:$F,))</f>
        <v>活动卡</v>
      </c>
      <c r="M432" s="478">
        <v>44275</v>
      </c>
      <c r="N432" s="479">
        <v>36</v>
      </c>
      <c r="O432" s="410" t="str">
        <f>INDEX('卡片raw data'!D:D,MATCH($D432,'卡片raw data'!$F:$F,))</f>
        <v>gd</v>
      </c>
      <c r="P432" s="1126">
        <v>5</v>
      </c>
      <c r="Q432" s="418">
        <f t="shared" si="515"/>
        <v>16600.605665385094</v>
      </c>
      <c r="R432" s="419">
        <f t="shared" si="516"/>
        <v>0.192</v>
      </c>
      <c r="S432" s="420">
        <f t="shared" si="517"/>
        <v>9424.8562758701646</v>
      </c>
      <c r="T432" s="421">
        <f t="shared" si="518"/>
        <v>0.47099999999999997</v>
      </c>
      <c r="U432" s="422">
        <f t="shared" si="519"/>
        <v>462.65137328499844</v>
      </c>
      <c r="V432" s="423">
        <f t="shared" si="520"/>
        <v>67957.650267971461</v>
      </c>
      <c r="W432" s="424">
        <f t="shared" si="521"/>
        <v>4507.7214871259994</v>
      </c>
      <c r="X432" s="419">
        <f t="shared" si="522"/>
        <v>5.1999999999999998E-2</v>
      </c>
      <c r="Y432" s="420">
        <f t="shared" si="523"/>
        <v>2914.0430423617954</v>
      </c>
      <c r="Z432" s="425">
        <f t="shared" si="524"/>
        <v>36.168611706710401</v>
      </c>
      <c r="AA432" s="426">
        <f t="shared" si="525"/>
        <v>7421.7645294877948</v>
      </c>
      <c r="AB432" s="424">
        <f t="shared" si="526"/>
        <v>4507.7214871259994</v>
      </c>
      <c r="AC432" s="427">
        <f t="shared" si="527"/>
        <v>5.1999999999999998E-2</v>
      </c>
      <c r="AD432" s="428">
        <f t="shared" si="528"/>
        <v>-3.8207812500000026E-3</v>
      </c>
      <c r="AE432" s="516">
        <f t="shared" si="529"/>
        <v>-18.525362318840578</v>
      </c>
      <c r="AF432" s="1130">
        <f t="shared" si="530"/>
        <v>6312.9703199896321</v>
      </c>
      <c r="AG432" s="420">
        <f t="shared" si="531"/>
        <v>95467.175511610694</v>
      </c>
      <c r="AH432" s="420">
        <f t="shared" si="532"/>
        <v>15.122386241753704</v>
      </c>
      <c r="AI432" s="1097">
        <f t="shared" si="533"/>
        <v>95890.337264371323</v>
      </c>
      <c r="AJ432" s="420">
        <f t="shared" si="534"/>
        <v>67957.650267971461</v>
      </c>
      <c r="AK432" s="518">
        <f t="shared" si="535"/>
        <v>27932.686996399862</v>
      </c>
      <c r="AL432" s="1106">
        <f>IF($P432="","N/A",(IF($P432=-1,INDEX('卡片raw data'!S:S,MATCH($D432,'卡片raw data'!$F:$F,)),0)+IF($P432=0,INDEX('卡片raw data'!V:V,MATCH($D432,'卡片raw data'!$F:$F,)),0)+IF($P432=1,INDEX('卡片raw data'!Y:Y,MATCH($D432,'卡片raw data'!$F:$F,)),0)+IF($P432=2,INDEX('卡片raw data'!AB:AB,MATCH($D432,'卡片raw data'!$F:$F,)),0)+IF($P432=3,INDEX('卡片raw data'!AE:AE,MATCH($D432,'卡片raw data'!$F:$F,)),0)+IF($P432=4,INDEX('卡片raw data'!AH:AH,MATCH($D432,'卡片raw data'!$F:$F,)),0)+IF($P432=5,INDEX('卡片raw data'!AK:AK,MATCH($D432,'卡片raw data'!$F:$F,)),0)+INDEX('卡片raw data'!S:S,MATCH($D432,'卡片raw data'!$F:$F,))*(IF($F432="UR",0.04,0.033))*(IF($F432="UR",INDEX(绊状态确认!$S:$S,MATCH($G432,绊状态确认!$B:$B,))/2-40)+IF($F432="SR",INDEX(绊状态确认!$R:$R,MATCH($G432,绊状态确认!$B:$B,))/4-15))+IF($F432="R",INDEX(绊状态确认!$Q:$Q,MATCH($G432,绊状态确认!$B:$B,))/6-40/6)))*(INDEX(绊状态确认!$H:$H,MATCH($G432,绊状态确认!$B:$B,))+INDEX(绊状态确认!J:J,MATCH($G432,绊状态确认!$B:$B,)))</f>
        <v>4820.3633375999989</v>
      </c>
      <c r="AM432" s="1106">
        <f>IF($P432="","N/A",(IF($P432=-1,INDEX('卡片raw data'!T:T,MATCH($D432,'卡片raw data'!$F:$F,)),0)+IF($P432=0,INDEX('卡片raw data'!W:W,MATCH($D432,'卡片raw data'!$F:$F,)),0)+IF($P432=1,INDEX('卡片raw data'!Z:Z,MATCH($D432,'卡片raw data'!$F:$F,)),0)+IF($P432=2,INDEX('卡片raw data'!AC:AC,MATCH($D432,'卡片raw data'!$F:$F,)),0)+IF($P432=3,INDEX('卡片raw data'!AF:AF,MATCH($D432,'卡片raw data'!$F:$F,)),0)+IF($P432=4,INDEX('卡片raw data'!AI:AI,MATCH($D432,'卡片raw data'!$F:$F,)),0)+IF($P432=5,INDEX('卡片raw data'!AL:AL,MATCH($D432,'卡片raw data'!$F:$F,)),0)+INDEX('卡片raw data'!T:T,MATCH($D432,'卡片raw data'!$F:$F,))*(IF($F432="UR",0.04,0.033))*(IF($F432="UR",INDEX(绊状态确认!$S:$S,MATCH($G432,绊状态确认!$B:$B,))/2-40)+IF($F432="SR",INDEX(绊状态确认!$R:$R,MATCH($G432,绊状态确认!$B:$B,))/4-15))+IF($F432="R",INDEX(绊状态确认!$Q:$Q,MATCH($G432,绊状态确认!$B:$B,))/6-40/6)))*(INDEX(绊状态确认!$H:$H,MATCH($G432,绊状态确认!$B:$B,))+INDEX(绊状态确认!K:K,MATCH($G432,绊状态确认!$B:$B,)))</f>
        <v>8161.3429727999992</v>
      </c>
      <c r="AN432" s="1106">
        <f>IF($P432="","N/A",(IF($P432=-1,INDEX('卡片raw data'!U:U,MATCH($D432,'卡片raw data'!$F:$F,)),0)+IF($P432=0,INDEX('卡片raw data'!X:X,MATCH($D432,'卡片raw data'!$F:$F,)),0)+IF($P432=1,INDEX('卡片raw data'!AA:AA,MATCH($D432,'卡片raw data'!$F:$F,)),0)+IF($P432=2,INDEX('卡片raw data'!AD:AD,MATCH($D432,'卡片raw data'!$F:$F,)),0)+IF($P432=3,INDEX('卡片raw data'!AG:AG,MATCH($D432,'卡片raw data'!$F:$F,)),0)+IF($P432=4,INDEX('卡片raw data'!AJ:AJ,MATCH($D432,'卡片raw data'!$F:$F,)),0)+IF($P432=5,INDEX('卡片raw data'!AM:AM,MATCH($D432,'卡片raw data'!$F:$F,)),0)+INDEX('卡片raw data'!U:U,MATCH($D432,'卡片raw data'!$F:$F,))*(IF($F432="UR",0.04,0.033))*(IF($F432="UR",INDEX(绊状态确认!$S:$S,MATCH($G432,绊状态确认!$B:$B,))/2-40)+IF($F432="SR",INDEX(绊状态确认!$R:$R,MATCH($G432,绊状态确认!$B:$B,))/4-15))+IF($F432="R",INDEX(绊状态确认!$Q:$Q,MATCH($G432,绊状态确认!$B:$B,))/6-40/6)))*(INDEX(绊状态确认!$H:$H,MATCH($G432,绊状态确认!$B:$B,))+INDEX(绊状态确认!L:L,MATCH($G432,绊状态确认!$B:$B,)))</f>
        <v>5565.2439911999991</v>
      </c>
      <c r="AO432" s="1107">
        <f t="shared" si="536"/>
        <v>1</v>
      </c>
      <c r="AP432" s="1131">
        <f>1+(INDEX(绊状态确认!$T:$T,MATCH($G432,绊状态确认!$B:$B,))+0.2)*$AO432</f>
        <v>1.3</v>
      </c>
      <c r="AQ432" s="1108">
        <f t="shared" si="537"/>
        <v>15903.453761199999</v>
      </c>
      <c r="AR432" s="1097">
        <f>(AM432*(1+$EX$9)+$EX$35)*(1+(INDEX(绊状态确认!$T:$T,MATCH($G432,绊状态确认!$B:$B,))+0.2)*AO432)*IF(J432=$FF$17,1+$FE$17,1)*IF(I432=$FF$14,1+$FE$14,1)</f>
        <v>13844.233157872</v>
      </c>
      <c r="AS432" s="1097">
        <f>(AN432*(1+$EX$10)+$EX$36)*(1+(INDEX(绊状态确认!$T:$T,MATCH($G432,绊状态确认!$B:$B,))+0.2)*AO432)*IF(J432=$FF$17,1+$FE$17,1)*IF(I432=$FF$14,1+$FE$14,1)</f>
        <v>12376.039766844</v>
      </c>
      <c r="AT432" s="1093">
        <f>IF(AND(INDEX('卡片raw data'!AK:AK,MATCH($D432,'卡片raw data'!$F:$F,))&lt;INDEX('卡片raw data'!AM:AM,MATCH($D432,'卡片raw data'!$F:$F,)),INDEX('卡片raw data'!AL:AL,MATCH($D432,'卡片raw data'!$F:$F,))&lt;INDEX('卡片raw data'!AM:AM,MATCH($D432,'卡片raw data'!$F:$F,))),1,0)</f>
        <v>0</v>
      </c>
      <c r="AU432" s="1098">
        <f>MIN(AT432*0.15+AS432*0.00003+INDEX(绊状态确认!M:M,MATCH($G432,绊状态确认!$B:$B,)),1)</f>
        <v>0.40128119300532006</v>
      </c>
      <c r="AV432" s="1109">
        <f>(INDEX(绊状态确认!$N:$N,MATCH($G432,绊状态确认!$B:$B,))+1.5)*$EW$21</f>
        <v>2.6599999999999997</v>
      </c>
      <c r="AW432" s="1101">
        <f t="shared" si="538"/>
        <v>13761.217511592426</v>
      </c>
      <c r="AX432" s="1097">
        <f t="shared" si="539"/>
        <v>1190.2285462316538</v>
      </c>
      <c r="AY432" s="1110">
        <f t="shared" si="540"/>
        <v>14951.44605782408</v>
      </c>
      <c r="AZ432" s="429">
        <f t="shared" si="541"/>
        <v>11999.708508319998</v>
      </c>
      <c r="BA432" s="431">
        <f t="shared" si="542"/>
        <v>14399.650209983998</v>
      </c>
      <c r="BB432" s="1097">
        <f>(AM432*(1+$FB$9)+$FB$35)*(1+(INDEX(绊状态确认!$T:$T,MATCH($G432,绊状态确认!$B:$B,))+0.2)*AO432)*IF(J432=$FF$17,1+$FE$17,1)*IF(I432=$FF$14,1+$FE$14,1)*(1+$FE$15)</f>
        <v>13844.233157872</v>
      </c>
      <c r="BC432" s="1097">
        <f>(AN432*(1+$FB$10)+$FB$36)*(1+(INDEX(绊状态确认!$T:$T,MATCH($G432,绊状态确认!$B:$B,))+0.2)*AO432)*IF(J432=$FF$17,1+$FE$17,1)*IF(I432=$FF$14,1+$FE$14,1)*(1+$FE$15)</f>
        <v>12376.039766844</v>
      </c>
      <c r="BD432" s="1104">
        <f>MIN(AT432*0.15+BC432*0.00003+INDEX(绊状态确认!M:M,MATCH($G432,绊状态确认!$B:$B,)),1)</f>
        <v>0.40128119300532006</v>
      </c>
      <c r="BE432" s="432">
        <f>(INDEX(绊状态确认!$N:$N,MATCH($G432,绊状态确认!$B:$B,))+1.5)</f>
        <v>1.9</v>
      </c>
      <c r="BF432" s="1139">
        <f t="array" ref="BF432">SUMPRODUCT(IF(AZ432*AP432*$FI$16:$FI$23*$FA$22&gt;=$FI$24,$FI$24,AZ432*AP432*$FI$16:$FI$23*$FA$22),$FJ$16:$FJ$23)</f>
        <v>23867.420223048477</v>
      </c>
      <c r="BG432" s="1125">
        <f t="array" ref="BG432">SUMPRODUCT(IF(BE432*AZ432*AP432*$FI$16:$FI$23*$FA$22&gt;=$FI$24,$FI$24,BE432*AZ432*AP432*$FI$16:$FI$23*$FA$22),$FJ$16:$FJ$23)</f>
        <v>45348.098423792115</v>
      </c>
      <c r="BH432" s="1110">
        <f t="shared" si="543"/>
        <v>10829.070799335419</v>
      </c>
      <c r="BI432" s="1111">
        <f>IF(O432="vo",$EW$26/$EW$24*0.05,0)+IF(O432="sk",-$EW$26/$EW$24*(0.05-INDEX(绊状态确认!W:W,MATCH($G432,绊状态确认!$B:$B,)))+0.05*$EW$28,0)+IF(O432="sp",0.05*$EW$32*$EW$30*(1-$EW$33)-(0.05-INDEX(绊状态确认!V:V,MATCH($G432,绊状态确认!$B:$B,)))*$EW$28,0)+IF(O432="gd",-(0.05-INDEX(绊状态确认!X:X,MATCH($G432,绊状态确认!$B:$B,)))*$EW$32*$EW$30*(1-$EW$33),0)</f>
        <v>-585.00000000000011</v>
      </c>
      <c r="BJ432" s="420">
        <f>IF(O432="vo",0.05*(1-$FI$26)*$FA$24,0)+IF(O432="sk",-(0.05-INDEX(绊状态确认!W:W,MATCH($G432,绊状态确认!$B:$B,)))*(1-$FI$26)*$FA$24+0.05*$FA$26,0)+IF(O432="sp",0.05*$FA$32*$FA$27*(1-$FA$33)/$FA$30+0.05*$FA$29/$FA$69*$FA$27*(1-$FA$33)-(0.05-INDEX(绊状态确认!V:V,MATCH($G432,绊状态确认!$B:$B,)))*$FA$26,0)+IF(O432="gd",-(0.05-INDEX(绊状态确认!X:X,MATCH($G432,绊状态确认!$B:$B,)))*$FA$32*$FA$27*(1-$FA$33)/$FA$30-(0.05-INDEX(绊状态确认!X:X,MATCH($G432,绊状态确认!$B:$B,)))*$FA$29/$FA$69*$FA$27*(1-$FA$33),0)</f>
        <v>-795.00000000000011</v>
      </c>
      <c r="BK432" s="1110">
        <f>IF(O432="vo",$EW$26/$EW$24*0.05+$EW$26*(-HP($EW$62,$EW$65,$EW$64)+HP($EW$62,$EW$65,(1.05-INDEX(绊状态确认!U:U,MATCH($G432,绊状态确认!$B:$B,)))*$EW$64)),0)+IF(O432="sk",-$EW$26/$EW$24*(0.05-INDEX(绊状态确认!W:W,MATCH($G432,绊状态确认!$B:$B,)))+0.05*$EW$29,0)+IF(O432="sp",0.05*$EW$32*$EW$30*(1-$EW$33)-(0.05-INDEX(绊状态确认!V:V,MATCH($G432,绊状态确认!$B:$B,)))*$EW$29,0)+IF(O432="gd",-(0.05-INDEX(绊状态确认!X:X,MATCH($G432,绊状态确认!$B:$B,)))*$EW$32*$EW$30*(1-$EW$33)+$EW$26*(-HP($EW$62,$EW$65,$EW$64)+HP($EW$62,$EW$65,0.95*$EW$64)),0)</f>
        <v>1009.5947725176144</v>
      </c>
      <c r="BL432" s="1111">
        <f t="shared" si="544"/>
        <v>-1083.3333333333333</v>
      </c>
      <c r="BM432" s="1110">
        <f t="shared" si="545"/>
        <v>-830.55555555555543</v>
      </c>
      <c r="BN432" s="1113">
        <f t="shared" si="546"/>
        <v>3</v>
      </c>
      <c r="BO432" s="1108">
        <f t="shared" si="547"/>
        <v>4507.7214871259994</v>
      </c>
      <c r="BP432" s="1100">
        <f t="shared" si="548"/>
        <v>221.34103209030098</v>
      </c>
      <c r="BQ432" s="1113" t="s">
        <v>133</v>
      </c>
      <c r="BR432" s="1124" t="s">
        <v>168</v>
      </c>
      <c r="BS432" s="421">
        <f>IF($P432="","N/A",IF($P432=-1,INDEX('卡片raw data'!AX:AX,MATCH($D432,'卡片raw data'!$F:$F,)),0)+IF($L432="party卡",IF($P432=5,INDEX('卡片raw data'!BD:BD,MATCH($D432,'卡片raw data'!$F:$F,)),IF($P432&gt;=3,INDEX('卡片raw data'!BC:BC,MATCH($D432,'卡片raw data'!$F:$F,)),INDEX('卡片raw data'!BB:BB,MATCH($D432,'卡片raw data'!$F:$F,)))),IF(OR(AND($F432="UR",$P432=0),AND($F432="SR",$P432&gt;=0,$P432&lt;=2),AND($F432="R",$P432&gt;=0,$P432&lt;4)),INDEX('卡片raw data'!AZ:AZ,MATCH($D432,'卡片raw data'!$F:$F,)),0)+IF(OR(AND($F432="UR",$P432&gt;=1,$P432&lt;=4),AND($F432="SR",$P432&lt;=4,$P432&gt;=3),AND($F432="R",$P432=4)),INDEX('卡片raw data'!BA:BA,MATCH($D432,'卡片raw data'!$F:$F,)),0)+IF($P432=5,INDEX('卡片raw data'!BB:BB,MATCH($D432,'卡片raw data'!$F:$F,)),0)))</f>
        <v>0.05</v>
      </c>
      <c r="BT432" s="424">
        <f t="shared" si="549"/>
        <v>0</v>
      </c>
      <c r="BU432" s="420">
        <f t="shared" si="550"/>
        <v>0</v>
      </c>
      <c r="BV432" s="420">
        <f t="shared" si="551"/>
        <v>0</v>
      </c>
      <c r="BW432" s="436">
        <f t="shared" si="552"/>
        <v>1.7558035714285711</v>
      </c>
      <c r="BX432" s="423">
        <f t="shared" si="553"/>
        <v>137.19019421334193</v>
      </c>
      <c r="BY432" s="433">
        <f t="shared" si="554"/>
        <v>137.19019421334193</v>
      </c>
      <c r="BZ432" s="1113" t="s">
        <v>569</v>
      </c>
      <c r="CA432" s="450"/>
      <c r="CB432" s="421">
        <f>IF($P432="","N/A",IF($P432=-1,INDEX('卡片raw data'!BE:BE,MATCH($D432,'卡片raw data'!$F:$F,)),0)+IF($L432="party卡",IF($P432=5,INDEX('卡片raw data'!BK:BK,MATCH($D432,'卡片raw data'!$F:$F,)),IF($P432&gt;=3,INDEX('卡片raw data'!BJ:BJ,MATCH($D432,'卡片raw data'!$F:$F,)),INDEX('卡片raw data'!BI:BI,MATCH($D432,'卡片raw data'!$F:$F,)))),IF(OR(AND($F432="UR",$P432=0),AND($F432="SR",$P432&gt;=0,$P432&lt;=2),AND($F432="R",$P432&gt;=0,$P432&lt;4)),INDEX('卡片raw data'!BG:BG,MATCH($D432,'卡片raw data'!$F:$F,)),0)+IF(OR(AND($F432="UR",$P432&gt;=1,$P432&lt;=4),AND($F432="SR",$P432&lt;=4,$P432&gt;=3),AND($F432="R",$P432=4)),INDEX('卡片raw data'!BH:BH,MATCH($D432,'卡片raw data'!$F:$F,)),0)+IF($P432=5,INDEX('卡片raw data'!BI:BI,MATCH($D432,'卡片raw data'!$F:$F,)),0)))</f>
        <v>0</v>
      </c>
      <c r="CC432" s="424">
        <f t="shared" si="555"/>
        <v>0</v>
      </c>
      <c r="CD432" s="420">
        <f>IF(BZ432="ap",CB432*(1-$FI$26)*$FB$5/$FB$11*(+IF(CA432="全员",$FA$24,0)+IF(CA432="同作战",$FA$24,0)+IF(CA432="仲间",$FA$24*2/3,0)+IF(CA432="同属性",$FA$24*$FA$37/3,0)+IF(CA432="同年级",$FA$24*$FA$40/3,0)+IF(CA432="同学校",$FA$24*$FA$43/3,0)+IF(CA432="同小队",$FA$24*$FA$46/3,0)+IF(CA432="同type",$FA$24*INDEX($FB$49:$FB$52,MATCH(X432,$FA$49:$FA$52,))/3,0)+IF(CA432="自身",#REF!/3,0)),0)+IF(BZ432="te",CB432*(1-$FI$27)*($FA$20-1)*$FB$7/$FB$13*(+IF(CA432="全员",$FA$19*$FA$24/(1+($FA$20-1)*$FA$19),0)+IF(CA432="同作战",$FA$19*$FA$24/(1+($FA$20-1)*$FA$19),0)+IF(CA432="仲间",$FA$19*$FA$24*2/3/(1+($FA$20-1)*$FA$19),0)+IF(CA432="同属性",$FA$19*$FA$24*$FA$37/3/(1+($FA$20-1)*$FA$19),0)+IF(CA432="同年级",$FA$19*$FA$24*$FA$40/3/(1+($FA$20-1)*$FA$19),0)+IF(CA432="同学校",$FA$19*$FA$24*$FA$43/3/(1+($FA$20-1)*$FA$19),0)+IF(CA432="同小队",$FA$19*$FA$24*$FA$46/3/(1+($FA$20-1)*$FA$19),0)+IF(CA432="同type",$FA$19*$FA$24*INDEX($FB$49:$FB$52,MATCH(X432,$FA$49:$FA$52,))/3/(1+($FA$20-1)*$FA$19),0)+IF(CA432="自身",$FA$19*#REF!/3/(1+(BH432-1)*$BD432),0)),0)</f>
        <v>0</v>
      </c>
      <c r="CE432" s="420">
        <f t="shared" si="556"/>
        <v>0</v>
      </c>
      <c r="CF432" s="436">
        <f t="shared" si="557"/>
        <v>0</v>
      </c>
      <c r="CG432" s="423">
        <f t="shared" si="558"/>
        <v>0</v>
      </c>
      <c r="CH432" s="433">
        <f t="shared" si="559"/>
        <v>0</v>
      </c>
      <c r="CI432" s="1113" t="s">
        <v>164</v>
      </c>
      <c r="CJ432" s="1114">
        <v>1</v>
      </c>
      <c r="CK432" s="1115" t="s">
        <v>2305</v>
      </c>
      <c r="CL432" s="1115" t="s">
        <v>1943</v>
      </c>
      <c r="CM432" s="1119">
        <v>6.6000000000000003E-2</v>
      </c>
      <c r="CN432" s="1115"/>
      <c r="CO432" s="1115"/>
      <c r="CP432" s="1116">
        <f t="shared" si="560"/>
        <v>19.579701180418972</v>
      </c>
      <c r="CQ432" s="1116">
        <f t="shared" si="561"/>
        <v>30.4573129473184</v>
      </c>
      <c r="CR432" s="1116">
        <f t="shared" si="562"/>
        <v>19.579701180418972</v>
      </c>
      <c r="CS432" s="442">
        <f t="shared" si="563"/>
        <v>0</v>
      </c>
      <c r="CT432" s="432">
        <f t="shared" si="564"/>
        <v>0</v>
      </c>
      <c r="CU432" s="1101">
        <f t="shared" si="565"/>
        <v>0</v>
      </c>
      <c r="CV432" s="1108">
        <f t="shared" si="566"/>
        <v>0</v>
      </c>
      <c r="CW432" s="1097">
        <f t="shared" si="567"/>
        <v>0</v>
      </c>
      <c r="CX432" s="420">
        <f t="shared" si="568"/>
        <v>0</v>
      </c>
      <c r="CY432" s="433">
        <f t="shared" si="569"/>
        <v>1586.6243019167996</v>
      </c>
      <c r="CZ432" s="437"/>
      <c r="DA432" s="438"/>
      <c r="DB432" s="439" t="s">
        <v>569</v>
      </c>
      <c r="DC432" s="439"/>
      <c r="DD432" s="443"/>
      <c r="DE432" s="411"/>
      <c r="DF432" s="411"/>
      <c r="DG432" s="1116">
        <f t="shared" si="570"/>
        <v>0</v>
      </c>
      <c r="DH432" s="1116">
        <f t="shared" si="571"/>
        <v>0</v>
      </c>
      <c r="DI432" s="1116">
        <f t="shared" si="572"/>
        <v>0</v>
      </c>
      <c r="DJ432" s="442">
        <f t="shared" si="573"/>
        <v>0</v>
      </c>
      <c r="DK432" s="432">
        <f t="shared" si="574"/>
        <v>0</v>
      </c>
      <c r="DL432" s="424">
        <f t="shared" si="575"/>
        <v>0</v>
      </c>
      <c r="DM432" s="420">
        <f t="shared" si="576"/>
        <v>0</v>
      </c>
      <c r="DN432" s="420">
        <f t="shared" si="577"/>
        <v>0</v>
      </c>
      <c r="DO432" s="420">
        <f t="shared" si="578"/>
        <v>0</v>
      </c>
      <c r="DP432" s="433">
        <f t="shared" si="579"/>
        <v>0</v>
      </c>
      <c r="DQ432" s="1113" t="s">
        <v>635</v>
      </c>
      <c r="DR432" s="1120">
        <f t="shared" si="580"/>
        <v>0.3</v>
      </c>
      <c r="DS432" s="1124"/>
      <c r="DT432" s="1093" t="s">
        <v>133</v>
      </c>
      <c r="DU432" s="1124"/>
      <c r="DV432" s="1098">
        <f>IF($P432="","N/A",IF(P432=-1,INDEX('卡片raw data'!AN:AN,MATCH(D432,'卡片raw data'!$F:$F,)),0)+IF(AND(L432&lt;&gt;"party卡",P432&lt;=2,P432&gt;=0),INDEX('卡片raw data'!AP:AP,MATCH(D432,'卡片raw data'!$F:$F,)),0)+IF(OR(AND(L432="party卡",P432&lt;=1),AND(P432&lt;=4,L432&lt;&gt;"party卡",P432&gt;=3)),INDEX('卡片raw data'!AQ:AQ,MATCH(D432,'卡片raw data'!$F:$F,)),0)+IF(OR(P432=5,AND(L432="party卡",P432&gt;=2)),INDEX('卡片raw data'!AR:AR,MATCH(D432,'卡片raw data'!$F:$F,)),0))</f>
        <v>0.28999999999999998</v>
      </c>
      <c r="DW432" s="1098">
        <f t="shared" si="581"/>
        <v>0.3</v>
      </c>
      <c r="DX432" s="1098">
        <f t="shared" si="582"/>
        <v>0.3</v>
      </c>
      <c r="DY432" s="1097">
        <f t="shared" si="583"/>
        <v>401.48276157828803</v>
      </c>
      <c r="DZ432" s="1097">
        <f t="shared" si="584"/>
        <v>347.28258876521915</v>
      </c>
      <c r="EA432" s="421">
        <f t="shared" si="585"/>
        <v>0</v>
      </c>
      <c r="EB432" s="445">
        <f t="shared" si="586"/>
        <v>0</v>
      </c>
      <c r="EC432" s="424">
        <f t="shared" si="587"/>
        <v>0</v>
      </c>
      <c r="ED432" s="420">
        <f t="shared" si="588"/>
        <v>0</v>
      </c>
      <c r="EE432" s="433">
        <f t="shared" si="598"/>
        <v>48435.03108962375</v>
      </c>
      <c r="EF432" s="1115" t="s">
        <v>569</v>
      </c>
      <c r="EG432" s="1120">
        <f t="shared" si="589"/>
        <v>0.3</v>
      </c>
      <c r="EH432" s="450"/>
      <c r="EI432" s="1093"/>
      <c r="EJ432" s="1093"/>
      <c r="EK432" s="420">
        <f>IF($P432="","N/A",IF(P432=-1,INDEX('卡片raw data'!AS:AS,MATCH(D432,'卡片raw data'!$F:$F,)),0)+IF(AND(L432&lt;&gt;"party卡",P432&lt;=2,P432&gt;=0),INDEX('卡片raw data'!AU:AU,MATCH(D432,'卡片raw data'!$F:$F,)),0)+IF(OR(AND(L432="party卡",P432&lt;=1),AND(P432&lt;=4,L432&lt;&gt;"party卡",P432&gt;=3)),INDEX('卡片raw data'!AV:AV,MATCH(D432,'卡片raw data'!$F:$F,)),0)+IF(OR(P432=5,AND(L432="party卡",P432&gt;=2)),INDEX('卡片raw data'!AW:AW,MATCH(D432,'卡片raw data'!$F:$F,)),0))</f>
        <v>0</v>
      </c>
      <c r="EL432" s="1098">
        <f t="shared" si="590"/>
        <v>0.3</v>
      </c>
      <c r="EM432" s="1098">
        <f t="shared" si="591"/>
        <v>0.3</v>
      </c>
      <c r="EN432" s="1097">
        <f t="shared" si="592"/>
        <v>0</v>
      </c>
      <c r="EO432" s="1097">
        <f t="shared" si="593"/>
        <v>0</v>
      </c>
      <c r="EP432" s="421">
        <f t="shared" si="594"/>
        <v>0</v>
      </c>
      <c r="EQ432" s="445">
        <f t="shared" si="595"/>
        <v>0</v>
      </c>
      <c r="ER432" s="424">
        <f t="shared" si="596"/>
        <v>0</v>
      </c>
      <c r="ES432" s="420">
        <f t="shared" si="597"/>
        <v>0</v>
      </c>
      <c r="ET432" s="446">
        <f t="shared" si="599"/>
        <v>0</v>
      </c>
    </row>
    <row r="433" spans="2:150" ht="16.5" customHeight="1">
      <c r="B433" s="448" t="str">
        <f>INDEX('卡片raw data'!B:B,MATCH($D433,'卡片raw data'!$F:$F,))</f>
        <v>fes2爱</v>
      </c>
      <c r="C433" s="449" t="s">
        <v>2432</v>
      </c>
      <c r="D433" s="408">
        <v>430</v>
      </c>
      <c r="E433" s="477">
        <v>202053002</v>
      </c>
      <c r="F433" s="409" t="str">
        <f>INDEX('卡片raw data'!C:C,MATCH($D433,'卡片raw data'!$F:$F,))</f>
        <v>UR</v>
      </c>
      <c r="G433" s="1094" t="s">
        <v>2433</v>
      </c>
      <c r="H433" s="411">
        <f>IFERROR(INDEX(绊状态确认!C:C,MATCH($G433,绊状态确认!$B:$B,)),"")</f>
        <v>205</v>
      </c>
      <c r="I433" s="450" t="str">
        <f>IFERROR(INDEX(绊状态确认!D:D,MATCH($G433,绊状态确认!$B:$B,)),"")</f>
        <v>虹</v>
      </c>
      <c r="J433" s="450" t="str">
        <f>IFERROR(INDEX(绊状态确认!E:E,MATCH($G433,绊状态确认!$B:$B,)),"")</f>
        <v>2年级</v>
      </c>
      <c r="K433" s="451" t="str">
        <f>IFERROR(INDEX(绊状态确认!F:F,MATCH($G433,绊状态确认!$B:$B,)),"")</f>
        <v>Diver Diva</v>
      </c>
      <c r="L433" s="414" t="str">
        <f>INDEX('卡片raw data'!E:E,MATCH($D433,'卡片raw data'!$F:$F,))</f>
        <v>fes卡</v>
      </c>
      <c r="M433" s="478">
        <v>44281</v>
      </c>
      <c r="N433" s="479">
        <v>36.5</v>
      </c>
      <c r="O433" s="410" t="str">
        <f>INDEX('卡片raw data'!D:D,MATCH($D433,'卡片raw data'!$F:$F,))</f>
        <v>sk</v>
      </c>
      <c r="P433" s="1126">
        <v>5</v>
      </c>
      <c r="Q433" s="418">
        <f t="shared" si="515"/>
        <v>69965.215636097157</v>
      </c>
      <c r="R433" s="419">
        <f t="shared" si="516"/>
        <v>0.81299999999999994</v>
      </c>
      <c r="S433" s="420">
        <f t="shared" si="517"/>
        <v>21286.326368304148</v>
      </c>
      <c r="T433" s="421">
        <f t="shared" si="518"/>
        <v>1.0640000000000001</v>
      </c>
      <c r="U433" s="422">
        <f t="shared" si="519"/>
        <v>11.607273845142856</v>
      </c>
      <c r="V433" s="423">
        <f t="shared" si="520"/>
        <v>72890.447189158222</v>
      </c>
      <c r="W433" s="424">
        <f t="shared" si="521"/>
        <v>7312.5259680044001</v>
      </c>
      <c r="X433" s="419">
        <f t="shared" si="522"/>
        <v>8.5000000000000006E-2</v>
      </c>
      <c r="Y433" s="420">
        <f t="shared" si="523"/>
        <v>925.23155306105582</v>
      </c>
      <c r="Z433" s="425">
        <f t="shared" si="524"/>
        <v>11.607273845142856</v>
      </c>
      <c r="AA433" s="426">
        <f t="shared" si="525"/>
        <v>8237.7575210654559</v>
      </c>
      <c r="AB433" s="424">
        <f t="shared" si="526"/>
        <v>8786.2216729756856</v>
      </c>
      <c r="AC433" s="427">
        <f t="shared" si="527"/>
        <v>0.10199999999999999</v>
      </c>
      <c r="AD433" s="428">
        <f t="shared" si="528"/>
        <v>2.1769318181818181E-2</v>
      </c>
      <c r="AE433" s="516">
        <f t="shared" si="529"/>
        <v>11.953757704745847</v>
      </c>
      <c r="AF433" s="1130">
        <f t="shared" si="530"/>
        <v>0</v>
      </c>
      <c r="AG433" s="420">
        <f t="shared" si="531"/>
        <v>0</v>
      </c>
      <c r="AH433" s="420">
        <f t="shared" si="532"/>
        <v>0</v>
      </c>
      <c r="AI433" s="1097">
        <f t="shared" si="533"/>
        <v>0</v>
      </c>
      <c r="AJ433" s="420">
        <f t="shared" si="534"/>
        <v>0</v>
      </c>
      <c r="AK433" s="518">
        <f t="shared" si="535"/>
        <v>0</v>
      </c>
      <c r="AL433" s="1106">
        <f>IF($P433="","N/A",(IF($P433=-1,INDEX('卡片raw data'!S:S,MATCH($D433,'卡片raw data'!$F:$F,)),0)+IF($P433=0,INDEX('卡片raw data'!V:V,MATCH($D433,'卡片raw data'!$F:$F,)),0)+IF($P433=1,INDEX('卡片raw data'!Y:Y,MATCH($D433,'卡片raw data'!$F:$F,)),0)+IF($P433=2,INDEX('卡片raw data'!AB:AB,MATCH($D433,'卡片raw data'!$F:$F,)),0)+IF($P433=3,INDEX('卡片raw data'!AE:AE,MATCH($D433,'卡片raw data'!$F:$F,)),0)+IF($P433=4,INDEX('卡片raw data'!AH:AH,MATCH($D433,'卡片raw data'!$F:$F,)),0)+IF($P433=5,INDEX('卡片raw data'!AK:AK,MATCH($D433,'卡片raw data'!$F:$F,)),0)+INDEX('卡片raw data'!S:S,MATCH($D433,'卡片raw data'!$F:$F,))*(IF($F433="UR",0.04,0.033))*(IF($F433="UR",INDEX(绊状态确认!$S:$S,MATCH($G433,绊状态确认!$B:$B,))/2-40)+IF($F433="SR",INDEX(绊状态确认!$R:$R,MATCH($G433,绊状态确认!$B:$B,))/4-15))+IF($F433="R",INDEX(绊状态确认!$Q:$Q,MATCH($G433,绊状态确认!$B:$B,))/6-40/6)))*(INDEX(绊状态确认!$H:$H,MATCH($G433,绊状态确认!$B:$B,))+INDEX(绊状态确认!J:J,MATCH($G433,绊状态确认!$B:$B,)))</f>
        <v>14517.146351999998</v>
      </c>
      <c r="AM433" s="1106">
        <f>IF($P433="","N/A",(IF($P433=-1,INDEX('卡片raw data'!T:T,MATCH($D433,'卡片raw data'!$F:$F,)),0)+IF($P433=0,INDEX('卡片raw data'!W:W,MATCH($D433,'卡片raw data'!$F:$F,)),0)+IF($P433=1,INDEX('卡片raw data'!Z:Z,MATCH($D433,'卡片raw data'!$F:$F,)),0)+IF($P433=2,INDEX('卡片raw data'!AC:AC,MATCH($D433,'卡片raw data'!$F:$F,)),0)+IF($P433=3,INDEX('卡片raw data'!AF:AF,MATCH($D433,'卡片raw data'!$F:$F,)),0)+IF($P433=4,INDEX('卡片raw data'!AI:AI,MATCH($D433,'卡片raw data'!$F:$F,)),0)+IF($P433=5,INDEX('卡片raw data'!AL:AL,MATCH($D433,'卡片raw data'!$F:$F,)),0)+INDEX('卡片raw data'!T:T,MATCH($D433,'卡片raw data'!$F:$F,))*(IF($F433="UR",0.04,0.033))*(IF($F433="UR",INDEX(绊状态确认!$S:$S,MATCH($G433,绊状态确认!$B:$B,))/2-40)+IF($F433="SR",INDEX(绊状态确认!$R:$R,MATCH($G433,绊状态确认!$B:$B,))/4-15))+IF($F433="R",INDEX(绊状态确认!$Q:$Q,MATCH($G433,绊状态确认!$B:$B,))/6-40/6)))*(INDEX(绊状态确认!$H:$H,MATCH($G433,绊状态确认!$B:$B,))+INDEX(绊状态确认!K:K,MATCH($G433,绊状态确认!$B:$B,)))</f>
        <v>5955.6451199999992</v>
      </c>
      <c r="AN433" s="1106">
        <f>IF($P433="","N/A",(IF($P433=-1,INDEX('卡片raw data'!U:U,MATCH($D433,'卡片raw data'!$F:$F,)),0)+IF($P433=0,INDEX('卡片raw data'!X:X,MATCH($D433,'卡片raw data'!$F:$F,)),0)+IF($P433=1,INDEX('卡片raw data'!AA:AA,MATCH($D433,'卡片raw data'!$F:$F,)),0)+IF($P433=2,INDEX('卡片raw data'!AD:AD,MATCH($D433,'卡片raw data'!$F:$F,)),0)+IF($P433=3,INDEX('卡片raw data'!AG:AG,MATCH($D433,'卡片raw data'!$F:$F,)),0)+IF($P433=4,INDEX('卡片raw data'!AJ:AJ,MATCH($D433,'卡片raw data'!$F:$F,)),0)+IF($P433=5,INDEX('卡片raw data'!AM:AM,MATCH($D433,'卡片raw data'!$F:$F,)),0)+INDEX('卡片raw data'!U:U,MATCH($D433,'卡片raw data'!$F:$F,))*(IF($F433="UR",0.04,0.033))*(IF($F433="UR",INDEX(绊状态确认!$S:$S,MATCH($G433,绊状态确认!$B:$B,))/2-40)+IF($F433="SR",INDEX(绊状态确认!$R:$R,MATCH($G433,绊状态确认!$B:$B,))/4-15))+IF($F433="R",INDEX(绊状态确认!$Q:$Q,MATCH($G433,绊状态确认!$B:$B,))/6-40/6)))*(INDEX(绊状态确认!$H:$H,MATCH($G433,绊状态确认!$B:$B,))+INDEX(绊状态确认!L:L,MATCH($G433,绊状态确认!$B:$B,)))</f>
        <v>16749.899615999999</v>
      </c>
      <c r="AO433" s="1107">
        <f t="shared" si="536"/>
        <v>1</v>
      </c>
      <c r="AP433" s="1131">
        <f>1+(INDEX(绊状态确认!$T:$T,MATCH($G433,绊状态确认!$B:$B,))+0.2)*$AO433</f>
        <v>1.3</v>
      </c>
      <c r="AQ433" s="1108">
        <f t="shared" si="537"/>
        <v>41357.509173999999</v>
      </c>
      <c r="AR433" s="1097">
        <f>(AM433*(1+$EX$9)+$EX$35)*(1+(INDEX(绊状态确认!$T:$T,MATCH($G433,绊状态确认!$B:$B,))+0.2)*AO433)*IF(J433=$FF$17,1+$FE$17,1)*IF(I433=$FF$14,1+$FE$14,1)</f>
        <v>10833.4555888</v>
      </c>
      <c r="AS433" s="1097">
        <f>(AN433*(1+$EX$10)+$EX$36)*(1+(INDEX(绊状态确认!$T:$T,MATCH($G433,绊状态确认!$B:$B,))+0.2)*AO433)*IF(J433=$FF$17,1+$FE$17,1)*IF(I433=$FF$14,1+$FE$14,1)</f>
        <v>29097.099925919996</v>
      </c>
      <c r="AT433" s="1093">
        <f>IF(AND(INDEX('卡片raw data'!AK:AK,MATCH($D433,'卡片raw data'!$F:$F,))&lt;INDEX('卡片raw data'!AM:AM,MATCH($D433,'卡片raw data'!$F:$F,)),INDEX('卡片raw data'!AL:AL,MATCH($D433,'卡片raw data'!$F:$F,))&lt;INDEX('卡片raw data'!AM:AM,MATCH($D433,'卡片raw data'!$F:$F,))),1,0)</f>
        <v>1</v>
      </c>
      <c r="AU433" s="1098">
        <f>MIN(AT433*0.15+AS433*0.00003+INDEX(绊状态确认!M:M,MATCH($G433,绊状态确认!$B:$B,)),1)</f>
        <v>1</v>
      </c>
      <c r="AV433" s="1109">
        <f>(INDEX(绊状态确认!$N:$N,MATCH($G433,绊状态确认!$B:$B,))+1.5)*$EW$21</f>
        <v>2.6599999999999997</v>
      </c>
      <c r="AW433" s="1101">
        <f t="shared" si="538"/>
        <v>57133.834869734812</v>
      </c>
      <c r="AX433" s="1097">
        <f t="shared" si="539"/>
        <v>925.23155306105582</v>
      </c>
      <c r="AY433" s="1110">
        <f t="shared" si="540"/>
        <v>58059.06642279587</v>
      </c>
      <c r="AZ433" s="429">
        <f t="shared" si="541"/>
        <v>30908.435386399997</v>
      </c>
      <c r="BA433" s="431">
        <f t="shared" si="542"/>
        <v>37090.122463679996</v>
      </c>
      <c r="BB433" s="1097">
        <f>(AM433*(1+$FB$9)+$FB$35)*(1+(INDEX(绊状态确认!$T:$T,MATCH($G433,绊状态确认!$B:$B,))+0.2)*AO433)*IF(J433=$FF$17,1+$FE$17,1)*IF(I433=$FF$14,1+$FE$14,1)*(1+$FE$15)</f>
        <v>10833.4555888</v>
      </c>
      <c r="BC433" s="1097">
        <f>(AN433*(1+$FB$10)+$FB$36)*(1+(INDEX(绊状态确认!$T:$T,MATCH($G433,绊状态确认!$B:$B,))+0.2)*AO433)*IF(J433=$FF$17,1+$FE$17,1)*IF(I433=$FF$14,1+$FE$14,1)*(1+$FE$15)</f>
        <v>29097.099925919996</v>
      </c>
      <c r="BD433" s="1104">
        <f>MIN(AT433*0.15+BC433*0.00003+INDEX(绊状态确认!M:M,MATCH($G433,绊状态确认!$B:$B,)),1)</f>
        <v>1</v>
      </c>
      <c r="BE433" s="432">
        <f>(INDEX(绊状态确认!$N:$N,MATCH($G433,绊状态确认!$B:$B,))+1.5)</f>
        <v>1.9</v>
      </c>
      <c r="BF433" s="1139">
        <f t="array" ref="BF433">SUMPRODUCT(IF(AZ433*AP433*$FI$16:$FI$23*$FA$22&gt;=$FI$24,$FI$24,AZ433*AP433*$FI$16:$FI$23*$FA$22),$FJ$16:$FJ$23)</f>
        <v>57295.911981229598</v>
      </c>
      <c r="BG433" s="1125">
        <f t="array" ref="BG433">SUMPRODUCT(IF(BE433*AZ433*AP433*$FI$16:$FI$23*$FA$22&gt;=$FI$24,$FI$24,BE433*AZ433*AP433*$FI$16:$FI$23*$FA$22),$FJ$16:$FJ$23)</f>
        <v>60000</v>
      </c>
      <c r="BH433" s="1110">
        <f t="shared" si="543"/>
        <v>20000</v>
      </c>
      <c r="BI433" s="1111">
        <f>IF(O433="vo",$EW$26/$EW$24*0.05,0)+IF(O433="sk",-$EW$26/$EW$24*(0.05-INDEX(绊状态确认!W:W,MATCH($G433,绊状态确认!$B:$B,)))+0.05*$EW$28,0)+IF(O433="sp",0.05*$EW$32*$EW$30*(1-$EW$33)-(0.05-INDEX(绊状态确认!V:V,MATCH($G433,绊状态确认!$B:$B,)))*$EW$28,0)+IF(O433="gd",-(0.05-INDEX(绊状态确认!X:X,MATCH($G433,绊状态确认!$B:$B,)))*$EW$32*$EW$30*(1-$EW$33),0)</f>
        <v>-6253.6726349699375</v>
      </c>
      <c r="BJ433" s="420">
        <f>IF(O433="vo",0.05*(1-$FI$26)*$FA$24,0)+IF(O433="sk",-(0.05-INDEX(绊状态确认!W:W,MATCH($G433,绊状态确认!$B:$B,)))*(1-$FI$26)*$FA$24+0.05*$FA$26,0)+IF(O433="sp",0.05*$FA$32*$FA$27*(1-$FA$33)/$FA$30+0.05*$FA$29/$FA$69*$FA$27*(1-$FA$33)-(0.05-INDEX(绊状态确认!V:V,MATCH($G433,绊状态确认!$B:$B,)))*$FA$26,0)+IF(O433="gd",-(0.05-INDEX(绊状态确认!X:X,MATCH($G433,绊状态确认!$B:$B,)))*$FA$32*$FA$27*(1-$FA$33)/$FA$30-(0.05-INDEX(绊状态确认!X:X,MATCH($G433,绊状态确认!$B:$B,)))*$FA$29/$FA$69*$FA$27*(1-$FA$33),0)</f>
        <v>20.459096812499922</v>
      </c>
      <c r="BK433" s="1110">
        <f>IF(O433="vo",$EW$26/$EW$24*0.05+$EW$26*(-HP($EW$62,$EW$65,$EW$64)+HP($EW$62,$EW$65,(1.05-INDEX(绊状态确认!U:U,MATCH($G433,绊状态确认!$B:$B,)))*$EW$64)),0)+IF(O433="sk",-$EW$26/$EW$24*(0.05-INDEX(绊状态确认!W:W,MATCH($G433,绊状态确认!$B:$B,)))+0.05*$EW$29,0)+IF(O433="sp",0.05*$EW$32*$EW$30*(1-$EW$33)-(0.05-INDEX(绊状态确认!V:V,MATCH($G433,绊状态确认!$B:$B,)))*$EW$29,0)+IF(O433="gd",-(0.05-INDEX(绊状态确认!X:X,MATCH($G433,绊状态确认!$B:$B,)))*$EW$32*$EW$30*(1-$EW$33)+$EW$26*(-HP($EW$62,$EW$65,$EW$64)+HP($EW$62,$EW$65,0.95*$EW$64)),0)</f>
        <v>-4253.6726349699375</v>
      </c>
      <c r="BL433" s="1111">
        <f t="shared" si="544"/>
        <v>0</v>
      </c>
      <c r="BM433" s="1110">
        <f t="shared" si="545"/>
        <v>0</v>
      </c>
      <c r="BN433" s="1113">
        <f t="shared" si="546"/>
        <v>4</v>
      </c>
      <c r="BO433" s="1108">
        <f t="shared" si="547"/>
        <v>6010.2953161679998</v>
      </c>
      <c r="BP433" s="1100">
        <f t="shared" si="548"/>
        <v>295.12137612040135</v>
      </c>
      <c r="BQ433" s="1113" t="s">
        <v>132</v>
      </c>
      <c r="BR433" s="1124" t="s">
        <v>171</v>
      </c>
      <c r="BS433" s="421">
        <f>IF($P433="","N/A",IF($P433=-1,INDEX('卡片raw data'!AX:AX,MATCH($D433,'卡片raw data'!$F:$F,)),0)+IF($L433="party卡",IF($P433=5,INDEX('卡片raw data'!BD:BD,MATCH($D433,'卡片raw data'!$F:$F,)),IF($P433&gt;=3,INDEX('卡片raw data'!BC:BC,MATCH($D433,'卡片raw data'!$F:$F,)),INDEX('卡片raw data'!BB:BB,MATCH($D433,'卡片raw data'!$F:$F,)))),IF(OR(AND($F433="UR",$P433=0),AND($F433="SR",$P433&gt;=0,$P433&lt;=2),AND($F433="R",$P433&gt;=0,$P433&lt;4)),INDEX('卡片raw data'!AZ:AZ,MATCH($D433,'卡片raw data'!$F:$F,)),0)+IF(OR(AND($F433="UR",$P433&gt;=1,$P433&lt;=4),AND($F433="SR",$P433&lt;=4,$P433&gt;=3),AND($F433="R",$P433=4)),INDEX('卡片raw data'!BA:BA,MATCH($D433,'卡片raw data'!$F:$F,)),0)+IF($P433=5,INDEX('卡片raw data'!BB:BB,MATCH($D433,'卡片raw data'!$F:$F,)),0)))</f>
        <v>5.1999999999999998E-2</v>
      </c>
      <c r="BT433" s="424">
        <f t="shared" si="549"/>
        <v>2604.4613036728001</v>
      </c>
      <c r="BU433" s="420">
        <f t="shared" si="550"/>
        <v>111.90018844565216</v>
      </c>
      <c r="BV433" s="420">
        <f t="shared" si="551"/>
        <v>1302.2306518363998</v>
      </c>
      <c r="BW433" s="436">
        <f t="shared" si="552"/>
        <v>0</v>
      </c>
      <c r="BX433" s="423">
        <f t="shared" si="553"/>
        <v>2604.4613036728001</v>
      </c>
      <c r="BY433" s="433">
        <f t="shared" si="554"/>
        <v>1302.2306518363998</v>
      </c>
      <c r="BZ433" s="1113" t="s">
        <v>569</v>
      </c>
      <c r="CA433" s="450"/>
      <c r="CB433" s="421">
        <f>IF($P433="","N/A",IF($P433=-1,INDEX('卡片raw data'!BE:BE,MATCH($D433,'卡片raw data'!$F:$F,)),0)+IF($L433="party卡",IF($P433=5,INDEX('卡片raw data'!BK:BK,MATCH($D433,'卡片raw data'!$F:$F,)),IF($P433&gt;=3,INDEX('卡片raw data'!BJ:BJ,MATCH($D433,'卡片raw data'!$F:$F,)),INDEX('卡片raw data'!BI:BI,MATCH($D433,'卡片raw data'!$F:$F,)))),IF(OR(AND($F433="UR",$P433=0),AND($F433="SR",$P433&gt;=0,$P433&lt;=2),AND($F433="R",$P433&gt;=0,$P433&lt;4)),INDEX('卡片raw data'!BG:BG,MATCH($D433,'卡片raw data'!$F:$F,)),0)+IF(OR(AND($F433="UR",$P433&gt;=1,$P433&lt;=4),AND($F433="SR",$P433&lt;=4,$P433&gt;=3),AND($F433="R",$P433=4)),INDEX('卡片raw data'!BH:BH,MATCH($D433,'卡片raw data'!$F:$F,)),0)+IF($P433=5,INDEX('卡片raw data'!BI:BI,MATCH($D433,'卡片raw data'!$F:$F,)),0)))</f>
        <v>0</v>
      </c>
      <c r="CC433" s="424">
        <f t="shared" si="555"/>
        <v>0</v>
      </c>
      <c r="CD433" s="420">
        <f>IF(BZ433="ap",CB433*(1-$FI$26)*$FB$5/$FB$11*(+IF(CA433="全员",$FA$24,0)+IF(CA433="同作战",$FA$24,0)+IF(CA433="仲间",$FA$24*2/3,0)+IF(CA433="同属性",$FA$24*$FA$37/3,0)+IF(CA433="同年级",$FA$24*$FA$40/3,0)+IF(CA433="同学校",$FA$24*$FA$43/3,0)+IF(CA433="同小队",$FA$24*$FA$46/3,0)+IF(CA433="同type",$FA$24*INDEX($FB$49:$FB$52,MATCH(X433,$FA$49:$FA$52,))/3,0)+IF(CA433="自身",#REF!/3,0)),0)+IF(BZ433="te",CB433*(1-$FI$27)*($FA$20-1)*$FB$7/$FB$13*(+IF(CA433="全员",$FA$19*$FA$24/(1+($FA$20-1)*$FA$19),0)+IF(CA433="同作战",$FA$19*$FA$24/(1+($FA$20-1)*$FA$19),0)+IF(CA433="仲间",$FA$19*$FA$24*2/3/(1+($FA$20-1)*$FA$19),0)+IF(CA433="同属性",$FA$19*$FA$24*$FA$37/3/(1+($FA$20-1)*$FA$19),0)+IF(CA433="同年级",$FA$19*$FA$24*$FA$40/3/(1+($FA$20-1)*$FA$19),0)+IF(CA433="同学校",$FA$19*$FA$24*$FA$43/3/(1+($FA$20-1)*$FA$19),0)+IF(CA433="同小队",$FA$19*$FA$24*$FA$46/3/(1+($FA$20-1)*$FA$19),0)+IF(CA433="同type",$FA$19*$FA$24*INDEX($FB$49:$FB$52,MATCH(X433,$FA$49:$FA$52,))/3/(1+($FA$20-1)*$FA$19),0)+IF(CA433="自身",$FA$19*#REF!/3/(1+(BH433-1)*$BD433),0)),0)</f>
        <v>0</v>
      </c>
      <c r="CE433" s="420">
        <f t="shared" si="556"/>
        <v>0</v>
      </c>
      <c r="CF433" s="436">
        <f t="shared" si="557"/>
        <v>0</v>
      </c>
      <c r="CG433" s="423">
        <f t="shared" si="558"/>
        <v>0</v>
      </c>
      <c r="CH433" s="433">
        <f t="shared" si="559"/>
        <v>0</v>
      </c>
      <c r="CI433" s="1113" t="s">
        <v>173</v>
      </c>
      <c r="CJ433" s="1114">
        <v>1</v>
      </c>
      <c r="CK433" s="1115" t="s">
        <v>545</v>
      </c>
      <c r="CL433" s="1115" t="s">
        <v>1941</v>
      </c>
      <c r="CM433" s="1119">
        <v>0.15</v>
      </c>
      <c r="CN433" s="1115"/>
      <c r="CO433" s="1115">
        <v>10</v>
      </c>
      <c r="CP433" s="1116">
        <f t="shared" si="560"/>
        <v>155.87732103171425</v>
      </c>
      <c r="CQ433" s="1116">
        <f t="shared" si="561"/>
        <v>242.47583271599996</v>
      </c>
      <c r="CR433" s="1116">
        <f t="shared" si="562"/>
        <v>0</v>
      </c>
      <c r="CS433" s="442">
        <f t="shared" si="563"/>
        <v>0</v>
      </c>
      <c r="CT433" s="432">
        <f t="shared" si="564"/>
        <v>0</v>
      </c>
      <c r="CU433" s="1101">
        <f t="shared" si="565"/>
        <v>171.46505313488569</v>
      </c>
      <c r="CV433" s="1108">
        <f t="shared" si="566"/>
        <v>242.47583271599996</v>
      </c>
      <c r="CW433" s="420">
        <f t="shared" si="567"/>
        <v>0</v>
      </c>
      <c r="CX433" s="420">
        <f t="shared" si="568"/>
        <v>171.46505313488569</v>
      </c>
      <c r="CY433" s="433">
        <f t="shared" si="569"/>
        <v>0</v>
      </c>
      <c r="CZ433" s="437"/>
      <c r="DA433" s="438"/>
      <c r="DB433" s="439" t="s">
        <v>569</v>
      </c>
      <c r="DC433" s="439"/>
      <c r="DD433" s="443"/>
      <c r="DE433" s="411"/>
      <c r="DF433" s="411"/>
      <c r="DG433" s="1116">
        <f t="shared" si="570"/>
        <v>0</v>
      </c>
      <c r="DH433" s="1116">
        <f t="shared" si="571"/>
        <v>0</v>
      </c>
      <c r="DI433" s="1116">
        <f t="shared" si="572"/>
        <v>0</v>
      </c>
      <c r="DJ433" s="442">
        <f t="shared" si="573"/>
        <v>0</v>
      </c>
      <c r="DK433" s="432">
        <f t="shared" si="574"/>
        <v>0</v>
      </c>
      <c r="DL433" s="424">
        <f t="shared" si="575"/>
        <v>0</v>
      </c>
      <c r="DM433" s="420">
        <f t="shared" si="576"/>
        <v>0</v>
      </c>
      <c r="DN433" s="420">
        <f t="shared" si="577"/>
        <v>0</v>
      </c>
      <c r="DO433" s="420">
        <f t="shared" si="578"/>
        <v>0</v>
      </c>
      <c r="DP433" s="433">
        <f t="shared" si="579"/>
        <v>0</v>
      </c>
      <c r="DQ433" s="1113" t="s">
        <v>2107</v>
      </c>
      <c r="DR433" s="1120">
        <f t="shared" si="580"/>
        <v>0.33</v>
      </c>
      <c r="DS433" s="1124">
        <v>5</v>
      </c>
      <c r="DT433" s="1093" t="s">
        <v>168</v>
      </c>
      <c r="DU433" s="1124" t="s">
        <v>544</v>
      </c>
      <c r="DV433" s="1098">
        <f>IF($P433="","N/A",IF(P433=-1,INDEX('卡片raw data'!AN:AN,MATCH(D433,'卡片raw data'!$F:$F,)),0)+IF(AND(L433&lt;&gt;"party卡",P433&lt;=2,P433&gt;=0),INDEX('卡片raw data'!AP:AP,MATCH(D433,'卡片raw data'!$F:$F,)),0)+IF(OR(AND(L433="party卡",P433&lt;=1),AND(P433&lt;=4,L433&lt;&gt;"party卡",P433&gt;=3)),INDEX('卡片raw data'!AQ:AQ,MATCH(D433,'卡片raw data'!$F:$F,)),0)+IF(OR(P433=5,AND(L433="party卡",P433&gt;=2)),INDEX('卡片raw data'!AR:AR,MATCH(D433,'卡片raw data'!$F:$F,)),0))</f>
        <v>0.2</v>
      </c>
      <c r="DW433" s="1098">
        <f t="shared" si="581"/>
        <v>0.33</v>
      </c>
      <c r="DX433" s="1098">
        <f t="shared" si="582"/>
        <v>0.33</v>
      </c>
      <c r="DY433" s="1098">
        <f t="shared" si="583"/>
        <v>8.8000000000000023E-2</v>
      </c>
      <c r="DZ433" s="1098">
        <f t="shared" si="584"/>
        <v>7.6120000000000021E-2</v>
      </c>
      <c r="EA433" s="421">
        <f t="shared" si="585"/>
        <v>0</v>
      </c>
      <c r="EB433" s="445">
        <f t="shared" si="586"/>
        <v>0</v>
      </c>
      <c r="EC433" s="424">
        <f t="shared" si="587"/>
        <v>10298.831728356601</v>
      </c>
      <c r="ED433" s="420">
        <f t="shared" si="588"/>
        <v>616.36987420959133</v>
      </c>
      <c r="EE433" s="433">
        <f t="shared" si="598"/>
        <v>10298.831728356601</v>
      </c>
      <c r="EF433" s="1115" t="s">
        <v>569</v>
      </c>
      <c r="EG433" s="1120">
        <f t="shared" si="589"/>
        <v>0.33</v>
      </c>
      <c r="EH433" s="450"/>
      <c r="EI433" s="1093"/>
      <c r="EJ433" s="1093"/>
      <c r="EK433" s="1097">
        <f>IF($P433="","N/A",IF(P433=-1,INDEX('卡片raw data'!AS:AS,MATCH(D433,'卡片raw data'!$F:$F,)),0)+IF(AND(L433&lt;&gt;"party卡",P433&lt;=2,P433&gt;=0),INDEX('卡片raw data'!AU:AU,MATCH(D433,'卡片raw data'!$F:$F,)),0)+IF(OR(AND(L433="party卡",P433&lt;=1),AND(P433&lt;=4,L433&lt;&gt;"party卡",P433&gt;=3)),INDEX('卡片raw data'!AV:AV,MATCH(D433,'卡片raw data'!$F:$F,)),0)+IF(OR(P433=5,AND(L433="party卡",P433&gt;=2)),INDEX('卡片raw data'!AW:AW,MATCH(D433,'卡片raw data'!$F:$F,)),0))</f>
        <v>0</v>
      </c>
      <c r="EL433" s="1098">
        <f t="shared" si="590"/>
        <v>0.33</v>
      </c>
      <c r="EM433" s="1098">
        <f t="shared" si="591"/>
        <v>0.33</v>
      </c>
      <c r="EN433" s="1097">
        <f t="shared" si="592"/>
        <v>0</v>
      </c>
      <c r="EO433" s="1097">
        <f t="shared" si="593"/>
        <v>0</v>
      </c>
      <c r="EP433" s="421">
        <f t="shared" si="594"/>
        <v>0</v>
      </c>
      <c r="EQ433" s="445">
        <f t="shared" si="595"/>
        <v>0</v>
      </c>
      <c r="ER433" s="424">
        <f t="shared" si="596"/>
        <v>0</v>
      </c>
      <c r="ES433" s="420">
        <f t="shared" si="597"/>
        <v>0</v>
      </c>
      <c r="ET433" s="446">
        <f t="shared" si="599"/>
        <v>0</v>
      </c>
    </row>
    <row r="434" spans="2:150" ht="16.5" customHeight="1">
      <c r="B434" s="448" t="str">
        <f>INDEX('卡片raw data'!B:B,MATCH($D434,'卡片raw data'!$F:$F,))</f>
        <v>fes2花</v>
      </c>
      <c r="C434" s="449" t="s">
        <v>2428</v>
      </c>
      <c r="D434" s="408">
        <v>431</v>
      </c>
      <c r="E434" s="477">
        <v>200083002</v>
      </c>
      <c r="F434" s="409" t="str">
        <f>INDEX('卡片raw data'!C:C,MATCH($D434,'卡片raw data'!$F:$F,))</f>
        <v>UR</v>
      </c>
      <c r="G434" s="1094" t="s">
        <v>2429</v>
      </c>
      <c r="H434" s="411">
        <f>IFERROR(INDEX(绊状态确认!C:C,MATCH($G434,绊状态确认!$B:$B,)),"")</f>
        <v>8</v>
      </c>
      <c r="I434" s="450" t="str">
        <f>IFERROR(INDEX(绊状态确认!D:D,MATCH($G434,绊状态确认!$B:$B,)),"")</f>
        <v>缪</v>
      </c>
      <c r="J434" s="450" t="str">
        <f>IFERROR(INDEX(绊状态确认!E:E,MATCH($G434,绊状态确认!$B:$B,)),"")</f>
        <v>1年级</v>
      </c>
      <c r="K434" s="451" t="str">
        <f>IFERROR(INDEX(绊状态确认!F:F,MATCH($G434,绊状态确认!$B:$B,)),"")</f>
        <v>Printemps</v>
      </c>
      <c r="L434" s="414" t="str">
        <f>INDEX('卡片raw data'!E:E,MATCH($D434,'卡片raw data'!$F:$F,))</f>
        <v>fes卡</v>
      </c>
      <c r="M434" s="478">
        <v>44281</v>
      </c>
      <c r="N434" s="479">
        <v>36.5</v>
      </c>
      <c r="O434" s="410" t="str">
        <f>INDEX('卡片raw data'!D:D,MATCH($D434,'卡片raw data'!$F:$F,))</f>
        <v>gd</v>
      </c>
      <c r="P434" s="1126">
        <v>5</v>
      </c>
      <c r="Q434" s="418">
        <f t="shared" si="515"/>
        <v>39743.466342137479</v>
      </c>
      <c r="R434" s="419">
        <f t="shared" si="516"/>
        <v>0.46200000000000002</v>
      </c>
      <c r="S434" s="420">
        <f t="shared" si="517"/>
        <v>17629.990178506203</v>
      </c>
      <c r="T434" s="421">
        <f t="shared" si="518"/>
        <v>0.88100000000000001</v>
      </c>
      <c r="U434" s="422">
        <f t="shared" si="519"/>
        <v>1194.2559520868572</v>
      </c>
      <c r="V434" s="423">
        <f t="shared" si="520"/>
        <v>92063.926169979401</v>
      </c>
      <c r="W434" s="424">
        <f t="shared" si="521"/>
        <v>6010.2953161679998</v>
      </c>
      <c r="X434" s="419">
        <f t="shared" si="522"/>
        <v>6.9000000000000006E-2</v>
      </c>
      <c r="Y434" s="420">
        <f t="shared" si="523"/>
        <v>2332.589897531494</v>
      </c>
      <c r="Z434" s="425">
        <f t="shared" si="524"/>
        <v>28.135244502857145</v>
      </c>
      <c r="AA434" s="426">
        <f t="shared" si="525"/>
        <v>8342.8852136994938</v>
      </c>
      <c r="AB434" s="424">
        <f t="shared" si="526"/>
        <v>9766.7298887729994</v>
      </c>
      <c r="AC434" s="427">
        <f t="shared" si="527"/>
        <v>0.113</v>
      </c>
      <c r="AD434" s="428">
        <f t="shared" si="528"/>
        <v>0</v>
      </c>
      <c r="AE434" s="516">
        <f t="shared" si="529"/>
        <v>-6.25</v>
      </c>
      <c r="AF434" s="1130">
        <f t="shared" si="530"/>
        <v>15820.082536959999</v>
      </c>
      <c r="AG434" s="420">
        <f t="shared" si="531"/>
        <v>89747.913464000012</v>
      </c>
      <c r="AH434" s="420">
        <f t="shared" si="532"/>
        <v>5.6730369929691937</v>
      </c>
      <c r="AI434" s="1097">
        <f t="shared" si="533"/>
        <v>119310.97331122226</v>
      </c>
      <c r="AJ434" s="420">
        <f t="shared" si="534"/>
        <v>92063.926169979401</v>
      </c>
      <c r="AK434" s="518">
        <f t="shared" si="535"/>
        <v>27247.04714124286</v>
      </c>
      <c r="AL434" s="429">
        <f>IF($P434="","N/A",(IF($P434=-1,INDEX('卡片raw data'!S:S,MATCH($D434,'卡片raw data'!$F:$F,)),0)+IF($P434=0,INDEX('卡片raw data'!V:V,MATCH($D434,'卡片raw data'!$F:$F,)),0)+IF($P434=1,INDEX('卡片raw data'!Y:Y,MATCH($D434,'卡片raw data'!$F:$F,)),0)+IF($P434=2,INDEX('卡片raw data'!AB:AB,MATCH($D434,'卡片raw data'!$F:$F,)),0)+IF($P434=3,INDEX('卡片raw data'!AE:AE,MATCH($D434,'卡片raw data'!$F:$F,)),0)+IF($P434=4,INDEX('卡片raw data'!AH:AH,MATCH($D434,'卡片raw data'!$F:$F,)),0)+IF($P434=5,INDEX('卡片raw data'!AK:AK,MATCH($D434,'卡片raw data'!$F:$F,)),0)+INDEX('卡片raw data'!S:S,MATCH($D434,'卡片raw data'!$F:$F,))*(IF($F434="UR",0.04,0.033))*(IF($F434="UR",INDEX(绊状态确认!$S:$S,MATCH($G434,绊状态确认!$B:$B,))/2-40)+IF($F434="SR",INDEX(绊状态确认!$R:$R,MATCH($G434,绊状态确认!$B:$B,))/4-15))+IF($F434="R",INDEX(绊状态确认!$Q:$Q,MATCH($G434,绊状态确认!$B:$B,))/6-40/6)))*(INDEX(绊状态确认!$H:$H,MATCH($G434,绊状态确认!$B:$B,))+INDEX(绊状态确认!J:J,MATCH($G434,绊状态确认!$B:$B,)))</f>
        <v>9454.8479999999981</v>
      </c>
      <c r="AM434" s="429">
        <f>IF($P434="","N/A",(IF($P434=-1,INDEX('卡片raw data'!T:T,MATCH($D434,'卡片raw data'!$F:$F,)),0)+IF($P434=0,INDEX('卡片raw data'!W:W,MATCH($D434,'卡片raw data'!$F:$F,)),0)+IF($P434=1,INDEX('卡片raw data'!Z:Z,MATCH($D434,'卡片raw data'!$F:$F,)),0)+IF($P434=2,INDEX('卡片raw data'!AC:AC,MATCH($D434,'卡片raw data'!$F:$F,)),0)+IF($P434=3,INDEX('卡片raw data'!AF:AF,MATCH($D434,'卡片raw data'!$F:$F,)),0)+IF($P434=4,INDEX('卡片raw data'!AI:AI,MATCH($D434,'卡片raw data'!$F:$F,)),0)+IF($P434=5,INDEX('卡片raw data'!AL:AL,MATCH($D434,'卡片raw data'!$F:$F,)),0)+INDEX('卡片raw data'!T:T,MATCH($D434,'卡片raw data'!$F:$F,))*(IF($F434="UR",0.04,0.033))*(IF($F434="UR",INDEX(绊状态确认!$S:$S,MATCH($G434,绊状态确认!$B:$B,))/2-40)+IF($F434="SR",INDEX(绊状态确认!$R:$R,MATCH($G434,绊状态确认!$B:$B,))/4-15))+IF($F434="R",INDEX(绊状态确认!$Q:$Q,MATCH($G434,绊状态确认!$B:$B,))/6-40/6)))*(INDEX(绊状态确认!$H:$H,MATCH($G434,绊状态确认!$B:$B,))+INDEX(绊状态确认!K:K,MATCH($G434,绊状态确认!$B:$B,)))</f>
        <v>17018.7264</v>
      </c>
      <c r="AN434" s="429">
        <f>IF($P434="","N/A",(IF($P434=-1,INDEX('卡片raw data'!U:U,MATCH($D434,'卡片raw data'!$F:$F,)),0)+IF($P434=0,INDEX('卡片raw data'!X:X,MATCH($D434,'卡片raw data'!$F:$F,)),0)+IF($P434=1,INDEX('卡片raw data'!AA:AA,MATCH($D434,'卡片raw data'!$F:$F,)),0)+IF($P434=2,INDEX('卡片raw data'!AD:AD,MATCH($D434,'卡片raw data'!$F:$F,)),0)+IF($P434=3,INDEX('卡片raw data'!AG:AG,MATCH($D434,'卡片raw data'!$F:$F,)),0)+IF($P434=4,INDEX('卡片raw data'!AJ:AJ,MATCH($D434,'卡片raw data'!$F:$F,)),0)+IF($P434=5,INDEX('卡片raw data'!AM:AM,MATCH($D434,'卡片raw data'!$F:$F,)),0)+INDEX('卡片raw data'!U:U,MATCH($D434,'卡片raw data'!$F:$F,))*(IF($F434="UR",0.04,0.033))*(IF($F434="UR",INDEX(绊状态确认!$S:$S,MATCH($G434,绊状态确认!$B:$B,))/2-40)+IF($F434="SR",INDEX(绊状态确认!$R:$R,MATCH($G434,绊状态确认!$B:$B,))/4-15))+IF($F434="R",INDEX(绊状态确认!$Q:$Q,MATCH($G434,绊状态确认!$B:$B,))/6-40/6)))*(INDEX(绊状态确认!$H:$H,MATCH($G434,绊状态确认!$B:$B,))+INDEX(绊状态确认!L:L,MATCH($G434,绊状态确认!$B:$B,)))</f>
        <v>11345.817599999998</v>
      </c>
      <c r="AO434" s="430">
        <f t="shared" si="536"/>
        <v>1</v>
      </c>
      <c r="AP434" s="556">
        <f>1+(INDEX(绊状态确认!$T:$T,MATCH($G434,绊状态确认!$B:$B,))+0.2)*$AO434</f>
        <v>1.3</v>
      </c>
      <c r="AQ434" s="431">
        <f t="shared" si="537"/>
        <v>28068.975999999999</v>
      </c>
      <c r="AR434" s="420">
        <f>(AM434*(1+$EX$9)+$EX$35)*(1+(INDEX(绊状态确认!$T:$T,MATCH($G434,绊状态确认!$B:$B,))+0.2)*AO434)*IF(J434=$FF$17,1+$FE$17,1)*IF(I434=$FF$14,1+$FE$14,1)</f>
        <v>25934.561536000001</v>
      </c>
      <c r="AS434" s="420">
        <f>(AN434*(1+$EX$10)+$EX$36)*(1+(INDEX(绊状态确认!$T:$T,MATCH($G434,绊状态确认!$B:$B,))+0.2)*AO434)*IF(J434=$FF$17,1+$FE$17,1)*IF(I434=$FF$14,1+$FE$14,1)</f>
        <v>21017.997312</v>
      </c>
      <c r="AT434" s="412">
        <f>IF(AND(INDEX('卡片raw data'!AK:AK,MATCH($D434,'卡片raw data'!$F:$F,))&lt;INDEX('卡片raw data'!AM:AM,MATCH($D434,'卡片raw data'!$F:$F,)),INDEX('卡片raw data'!AL:AL,MATCH($D434,'卡片raw data'!$F:$F,))&lt;INDEX('卡片raw data'!AM:AM,MATCH($D434,'卡片raw data'!$F:$F,))),1,0)</f>
        <v>0</v>
      </c>
      <c r="AU434" s="421">
        <f>MIN(AT434*0.15+AS434*0.00003+INDEX(绊状态确认!M:M,MATCH($G434,绊状态确认!$B:$B,)),1)</f>
        <v>0.66053991936000001</v>
      </c>
      <c r="AV434" s="432">
        <f>(INDEX(绊状态确认!$N:$N,MATCH($G434,绊状态确认!$B:$B,))+1.5)*$EW$21</f>
        <v>2.6599999999999997</v>
      </c>
      <c r="AW434" s="424">
        <f t="shared" si="538"/>
        <v>30561.73645336448</v>
      </c>
      <c r="AX434" s="420">
        <f t="shared" si="539"/>
        <v>2290.8339657005567</v>
      </c>
      <c r="AY434" s="433">
        <f t="shared" si="540"/>
        <v>32852.570419065036</v>
      </c>
      <c r="AZ434" s="429">
        <f t="shared" si="541"/>
        <v>21036.953599999997</v>
      </c>
      <c r="BA434" s="431">
        <f t="shared" si="542"/>
        <v>25244.344319999997</v>
      </c>
      <c r="BB434" s="420">
        <f>(AM434*(1+$FB$9)+$FB$35)*(1+(INDEX(绊状态确认!$T:$T,MATCH($G434,绊状态确认!$B:$B,))+0.2)*AO434)*IF(J434=$FF$17,1+$FE$17,1)*IF(I434=$FF$14,1+$FE$14,1)*(1+$FE$15)</f>
        <v>25934.561536000001</v>
      </c>
      <c r="BC434" s="420">
        <f>(AN434*(1+$FB$10)+$FB$36)*(1+(INDEX(绊状态确认!$T:$T,MATCH($G434,绊状态确认!$B:$B,))+0.2)*AO434)*IF(J434=$FF$17,1+$FE$17,1)*IF(I434=$FF$14,1+$FE$14,1)*(1+$FE$15)</f>
        <v>21017.997312</v>
      </c>
      <c r="BD434" s="427">
        <f>MIN(AT434*0.15+BC434*0.00003+INDEX(绊状态确认!M:M,MATCH($G434,绊状态确认!$B:$B,)),1)</f>
        <v>0.66053991936000001</v>
      </c>
      <c r="BE434" s="432">
        <f>(INDEX(绊状态确认!$N:$N,MATCH($G434,绊状态确认!$B:$B,))+1.5)</f>
        <v>1.9</v>
      </c>
      <c r="BF434" s="645">
        <f t="array" ref="BF434">SUMPRODUCT(IF(AZ434*AP434*$FI$16:$FI$23*$FA$22&gt;=$FI$24,$FI$24,AZ434*AP434*$FI$16:$FI$23*$FA$22),$FJ$16:$FJ$23)</f>
        <v>41842.500710400003</v>
      </c>
      <c r="BG434" s="453">
        <f t="array" ref="BG434">SUMPRODUCT(IF(BE434*AZ434*AP434*$FI$16:$FI$23*$FA$22&gt;=$FI$24,$FI$24,BE434*AZ434*AP434*$FI$16:$FI$23*$FA$22),$FJ$16:$FJ$23)</f>
        <v>60000</v>
      </c>
      <c r="BH434" s="433">
        <f t="shared" si="543"/>
        <v>17945.417942310549</v>
      </c>
      <c r="BI434" s="434">
        <f>IF(O434="vo",$EW$26/$EW$24*0.05,0)+IF(O434="sk",-$EW$26/$EW$24*(0.05-INDEX(绊状态确认!W:W,MATCH($G434,绊状态确认!$B:$B,)))+0.05*$EW$28,0)+IF(O434="sp",0.05*$EW$32*$EW$30*(1-$EW$33)-(0.05-INDEX(绊状态确认!V:V,MATCH($G434,绊状态确认!$B:$B,)))*$EW$28,0)+IF(O434="gd",-(0.05-INDEX(绊状态确认!X:X,MATCH($G434,绊状态确认!$B:$B,)))*$EW$32*$EW$30*(1-$EW$33),0)</f>
        <v>-585.00000000000011</v>
      </c>
      <c r="BJ434" s="420">
        <f>IF(O434="vo",0.05*(1-$FI$26)*$FA$24,0)+IF(O434="sk",-(0.05-INDEX(绊状态确认!W:W,MATCH($G434,绊状态确认!$B:$B,)))*(1-$FI$26)*$FA$24+0.05*$FA$26,0)+IF(O434="sp",0.05*$FA$32*$FA$27*(1-$FA$33)/$FA$30+0.05*$FA$29/$FA$69*$FA$27*(1-$FA$33)-(0.05-INDEX(绊状态确认!V:V,MATCH($G434,绊状态确认!$B:$B,)))*$FA$26,0)+IF(O434="gd",-(0.05-INDEX(绊状态确认!X:X,MATCH($G434,绊状态确认!$B:$B,)))*$FA$32*$FA$27*(1-$FA$33)/$FA$30-(0.05-INDEX(绊状态确认!X:X,MATCH($G434,绊状态确认!$B:$B,)))*$FA$29/$FA$69*$FA$27*(1-$FA$33),0)</f>
        <v>-795.00000000000011</v>
      </c>
      <c r="BK434" s="433">
        <f>IF(O434="vo",$EW$26/$EW$24*0.05+$EW$26*(-HP($EW$62,$EW$65,$EW$64)+HP($EW$62,$EW$65,(1.05-INDEX(绊状态确认!U:U,MATCH($G434,绊状态确认!$B:$B,)))*$EW$64)),0)+IF(O434="sk",-$EW$26/$EW$24*(0.05-INDEX(绊状态确认!W:W,MATCH($G434,绊状态确认!$B:$B,)))+0.05*$EW$29,0)+IF(O434="sp",0.05*$EW$32*$EW$30*(1-$EW$33)-(0.05-INDEX(绊状态确认!V:V,MATCH($G434,绊状态确认!$B:$B,)))*$EW$29,0)+IF(O434="gd",-(0.05-INDEX(绊状态确认!X:X,MATCH($G434,绊状态确认!$B:$B,)))*$EW$32*$EW$30*(1-$EW$33)+$EW$26*(-HP($EW$62,$EW$65,$EW$64)+HP($EW$62,$EW$65,0.95*$EW$64)),0)</f>
        <v>1009.5947725176144</v>
      </c>
      <c r="BL434" s="434">
        <f t="shared" si="544"/>
        <v>0</v>
      </c>
      <c r="BM434" s="433">
        <f t="shared" si="545"/>
        <v>0</v>
      </c>
      <c r="BN434" s="437">
        <f t="shared" si="546"/>
        <v>4</v>
      </c>
      <c r="BO434" s="1108">
        <f t="shared" si="547"/>
        <v>6010.2953161679998</v>
      </c>
      <c r="BP434" s="1100">
        <f t="shared" si="548"/>
        <v>295.12137612040135</v>
      </c>
      <c r="BQ434" s="437" t="s">
        <v>132</v>
      </c>
      <c r="BR434" s="450" t="s">
        <v>168</v>
      </c>
      <c r="BS434" s="421">
        <f>IF($P434="","N/A",IF($P434=-1,INDEX('卡片raw data'!AX:AX,MATCH($D434,'卡片raw data'!$F:$F,)),0)+IF($L434="party卡",IF($P434=5,INDEX('卡片raw data'!BD:BD,MATCH($D434,'卡片raw data'!$F:$F,)),IF($P434&gt;=3,INDEX('卡片raw data'!BC:BC,MATCH($D434,'卡片raw data'!$F:$F,)),INDEX('卡片raw data'!BB:BB,MATCH($D434,'卡片raw data'!$F:$F,)))),IF(OR(AND($F434="UR",$P434=0),AND($F434="SR",$P434&gt;=0,$P434&lt;=2),AND($F434="R",$P434&gt;=0,$P434&lt;4)),INDEX('卡片raw data'!AZ:AZ,MATCH($D434,'卡片raw data'!$F:$F,)),0)+IF(OR(AND($F434="UR",$P434&gt;=1,$P434&lt;=4),AND($F434="SR",$P434&lt;=4,$P434&gt;=3),AND($F434="R",$P434=4)),INDEX('卡片raw data'!BA:BA,MATCH($D434,'卡片raw data'!$F:$F,)),0)+IF($P434=5,INDEX('卡片raw data'!BB:BB,MATCH($D434,'卡片raw data'!$F:$F,)),0)))</f>
        <v>0.05</v>
      </c>
      <c r="BT434" s="424">
        <f t="shared" si="549"/>
        <v>3756.4345726050001</v>
      </c>
      <c r="BU434" s="420">
        <f t="shared" si="550"/>
        <v>184.45086007525089</v>
      </c>
      <c r="BV434" s="420">
        <f t="shared" si="551"/>
        <v>0</v>
      </c>
      <c r="BW434" s="436">
        <f t="shared" si="552"/>
        <v>0</v>
      </c>
      <c r="BX434" s="423">
        <f t="shared" si="553"/>
        <v>3756.4345726050001</v>
      </c>
      <c r="BY434" s="433">
        <f t="shared" si="554"/>
        <v>0</v>
      </c>
      <c r="BZ434" s="1113" t="s">
        <v>569</v>
      </c>
      <c r="CA434" s="450"/>
      <c r="CB434" s="421">
        <f>IF($P434="","N/A",IF($P434=-1,INDEX('卡片raw data'!BE:BE,MATCH($D434,'卡片raw data'!$F:$F,)),0)+IF($L434="party卡",IF($P434=5,INDEX('卡片raw data'!BK:BK,MATCH($D434,'卡片raw data'!$F:$F,)),IF($P434&gt;=3,INDEX('卡片raw data'!BJ:BJ,MATCH($D434,'卡片raw data'!$F:$F,)),INDEX('卡片raw data'!BI:BI,MATCH($D434,'卡片raw data'!$F:$F,)))),IF(OR(AND($F434="UR",$P434=0),AND($F434="SR",$P434&gt;=0,$P434&lt;=2),AND($F434="R",$P434&gt;=0,$P434&lt;4)),INDEX('卡片raw data'!BG:BG,MATCH($D434,'卡片raw data'!$F:$F,)),0)+IF(OR(AND($F434="UR",$P434&gt;=1,$P434&lt;=4),AND($F434="SR",$P434&lt;=4,$P434&gt;=3),AND($F434="R",$P434=4)),INDEX('卡片raw data'!BH:BH,MATCH($D434,'卡片raw data'!$F:$F,)),0)+IF($P434=5,INDEX('卡片raw data'!BI:BI,MATCH($D434,'卡片raw data'!$F:$F,)),0)))</f>
        <v>0</v>
      </c>
      <c r="CC434" s="424">
        <f t="shared" si="555"/>
        <v>0</v>
      </c>
      <c r="CD434" s="420">
        <f>IF(BZ434="ap",CB434*(1-$FI$26)*$FB$5/$FB$11*(+IF(CA434="全员",$FA$24,0)+IF(CA434="同作战",$FA$24,0)+IF(CA434="仲间",$FA$24*2/3,0)+IF(CA434="同属性",$FA$24*$FA$37/3,0)+IF(CA434="同年级",$FA$24*$FA$40/3,0)+IF(CA434="同学校",$FA$24*$FA$43/3,0)+IF(CA434="同小队",$FA$24*$FA$46/3,0)+IF(CA434="同type",$FA$24*INDEX($FB$49:$FB$52,MATCH(X434,$FA$49:$FA$52,))/3,0)+IF(CA434="自身",#REF!/3,0)),0)+IF(BZ434="te",CB434*(1-$FI$27)*($FA$20-1)*$FB$7/$FB$13*(+IF(CA434="全员",$FA$19*$FA$24/(1+($FA$20-1)*$FA$19),0)+IF(CA434="同作战",$FA$19*$FA$24/(1+($FA$20-1)*$FA$19),0)+IF(CA434="仲间",$FA$19*$FA$24*2/3/(1+($FA$20-1)*$FA$19),0)+IF(CA434="同属性",$FA$19*$FA$24*$FA$37/3/(1+($FA$20-1)*$FA$19),0)+IF(CA434="同年级",$FA$19*$FA$24*$FA$40/3/(1+($FA$20-1)*$FA$19),0)+IF(CA434="同学校",$FA$19*$FA$24*$FA$43/3/(1+($FA$20-1)*$FA$19),0)+IF(CA434="同小队",$FA$19*$FA$24*$FA$46/3/(1+($FA$20-1)*$FA$19),0)+IF(CA434="同type",$FA$19*$FA$24*INDEX($FB$49:$FB$52,MATCH(X434,$FA$49:$FA$52,))/3/(1+($FA$20-1)*$FA$19),0)+IF(CA434="自身",$FA$19*#REF!/3/(1+(BH434-1)*$BD434),0)),0)</f>
        <v>0</v>
      </c>
      <c r="CE434" s="420">
        <f t="shared" si="556"/>
        <v>0</v>
      </c>
      <c r="CF434" s="436">
        <f t="shared" si="557"/>
        <v>0</v>
      </c>
      <c r="CG434" s="423">
        <f t="shared" si="558"/>
        <v>0</v>
      </c>
      <c r="CH434" s="433">
        <f t="shared" si="559"/>
        <v>0</v>
      </c>
      <c r="CI434" s="1113" t="s">
        <v>2045</v>
      </c>
      <c r="CJ434" s="1114">
        <v>1</v>
      </c>
      <c r="CK434" s="1115" t="s">
        <v>2152</v>
      </c>
      <c r="CL434" s="1115" t="s">
        <v>1947</v>
      </c>
      <c r="CM434" s="1119">
        <v>0.3</v>
      </c>
      <c r="CN434" s="1115">
        <v>1</v>
      </c>
      <c r="CO434" s="1092">
        <v>5</v>
      </c>
      <c r="CP434" s="1118">
        <f t="shared" si="560"/>
        <v>1.0714285714285715E-3</v>
      </c>
      <c r="CQ434" s="1118">
        <f t="shared" si="561"/>
        <v>1.6666666666666666E-3</v>
      </c>
      <c r="CR434" s="1118">
        <f t="shared" si="562"/>
        <v>1.0714285714285715E-3</v>
      </c>
      <c r="CS434" s="442">
        <f t="shared" si="563"/>
        <v>0</v>
      </c>
      <c r="CT434" s="432">
        <f t="shared" si="564"/>
        <v>0</v>
      </c>
      <c r="CU434" s="1101">
        <f t="shared" si="565"/>
        <v>0</v>
      </c>
      <c r="CV434" s="1108">
        <f t="shared" si="566"/>
        <v>0</v>
      </c>
      <c r="CW434" s="420">
        <f t="shared" si="567"/>
        <v>0</v>
      </c>
      <c r="CX434" s="420">
        <f t="shared" si="568"/>
        <v>0</v>
      </c>
      <c r="CY434" s="433">
        <f t="shared" si="569"/>
        <v>41.755931830936809</v>
      </c>
      <c r="CZ434" s="437"/>
      <c r="DA434" s="438"/>
      <c r="DB434" s="439" t="s">
        <v>569</v>
      </c>
      <c r="DC434" s="439"/>
      <c r="DD434" s="443"/>
      <c r="DE434" s="411"/>
      <c r="DF434" s="411"/>
      <c r="DG434" s="1116">
        <f t="shared" si="570"/>
        <v>0</v>
      </c>
      <c r="DH434" s="1116">
        <f t="shared" si="571"/>
        <v>0</v>
      </c>
      <c r="DI434" s="1116">
        <f t="shared" si="572"/>
        <v>0</v>
      </c>
      <c r="DJ434" s="442">
        <f t="shared" si="573"/>
        <v>0</v>
      </c>
      <c r="DK434" s="432">
        <f t="shared" si="574"/>
        <v>0</v>
      </c>
      <c r="DL434" s="424">
        <f t="shared" si="575"/>
        <v>0</v>
      </c>
      <c r="DM434" s="420">
        <f t="shared" si="576"/>
        <v>0</v>
      </c>
      <c r="DN434" s="420">
        <f t="shared" si="577"/>
        <v>0</v>
      </c>
      <c r="DO434" s="420">
        <f t="shared" si="578"/>
        <v>0</v>
      </c>
      <c r="DP434" s="433">
        <f t="shared" si="579"/>
        <v>0</v>
      </c>
      <c r="DQ434" s="1113" t="s">
        <v>635</v>
      </c>
      <c r="DR434" s="444">
        <f t="shared" si="580"/>
        <v>0.33</v>
      </c>
      <c r="DS434" s="1124"/>
      <c r="DT434" s="1124" t="s">
        <v>133</v>
      </c>
      <c r="DU434" s="1093"/>
      <c r="DV434" s="1098">
        <f>IF($P434="","N/A",IF(P434=-1,INDEX('卡片raw data'!AN:AN,MATCH(D434,'卡片raw data'!$F:$F,)),0)+IF(AND(L434&lt;&gt;"party卡",P434&lt;=2,P434&gt;=0),INDEX('卡片raw data'!AP:AP,MATCH(D434,'卡片raw data'!$F:$F,)),0)+IF(OR(AND(L434="party卡",P434&lt;=1),AND(P434&lt;=4,L434&lt;&gt;"party卡",P434&gt;=3)),INDEX('卡片raw data'!AQ:AQ,MATCH(D434,'卡片raw data'!$F:$F,)),0)+IF(OR(P434=5,AND(L434="party卡",P434&gt;=2)),INDEX('卡片raw data'!AR:AR,MATCH(D434,'卡片raw data'!$F:$F,)),0))</f>
        <v>0.4</v>
      </c>
      <c r="DW434" s="1098">
        <f t="shared" si="581"/>
        <v>0.33</v>
      </c>
      <c r="DX434" s="1098">
        <f t="shared" si="582"/>
        <v>0.33</v>
      </c>
      <c r="DY434" s="1097">
        <f t="shared" si="583"/>
        <v>1141.120707584</v>
      </c>
      <c r="DZ434" s="1097">
        <f t="shared" si="584"/>
        <v>987.06941206015995</v>
      </c>
      <c r="EA434" s="421">
        <f t="shared" si="585"/>
        <v>0</v>
      </c>
      <c r="EB434" s="445">
        <f t="shared" si="586"/>
        <v>0</v>
      </c>
      <c r="EC434" s="424">
        <f t="shared" si="587"/>
        <v>0</v>
      </c>
      <c r="ED434" s="420">
        <f t="shared" si="588"/>
        <v>0</v>
      </c>
      <c r="EE434" s="433">
        <f t="shared" si="598"/>
        <v>48435.03108962375</v>
      </c>
      <c r="EF434" s="1115" t="s">
        <v>569</v>
      </c>
      <c r="EG434" s="444">
        <f t="shared" si="589"/>
        <v>0.33</v>
      </c>
      <c r="EH434" s="450"/>
      <c r="EI434" s="1093"/>
      <c r="EJ434" s="1093"/>
      <c r="EK434" s="420">
        <f>IF($P434="","N/A",IF(P434=-1,INDEX('卡片raw data'!AS:AS,MATCH(D434,'卡片raw data'!$F:$F,)),0)+IF(AND(L434&lt;&gt;"party卡",P434&lt;=2,P434&gt;=0),INDEX('卡片raw data'!AU:AU,MATCH(D434,'卡片raw data'!$F:$F,)),0)+IF(OR(AND(L434="party卡",P434&lt;=1),AND(P434&lt;=4,L434&lt;&gt;"party卡",P434&gt;=3)),INDEX('卡片raw data'!AV:AV,MATCH(D434,'卡片raw data'!$F:$F,)),0)+IF(OR(P434=5,AND(L434="party卡",P434&gt;=2)),INDEX('卡片raw data'!AW:AW,MATCH(D434,'卡片raw data'!$F:$F,)),0))</f>
        <v>0</v>
      </c>
      <c r="EL434" s="1098">
        <f t="shared" si="590"/>
        <v>0.33</v>
      </c>
      <c r="EM434" s="1098">
        <f t="shared" si="591"/>
        <v>0.33</v>
      </c>
      <c r="EN434" s="1097">
        <f t="shared" si="592"/>
        <v>0</v>
      </c>
      <c r="EO434" s="1097">
        <f t="shared" si="593"/>
        <v>0</v>
      </c>
      <c r="EP434" s="421">
        <f t="shared" si="594"/>
        <v>0</v>
      </c>
      <c r="EQ434" s="445">
        <f t="shared" si="595"/>
        <v>0</v>
      </c>
      <c r="ER434" s="424">
        <f t="shared" si="596"/>
        <v>0</v>
      </c>
      <c r="ES434" s="420">
        <f t="shared" si="597"/>
        <v>0</v>
      </c>
      <c r="ET434" s="446">
        <f t="shared" si="599"/>
        <v>0</v>
      </c>
    </row>
    <row r="435" spans="2:150" ht="16.5" customHeight="1">
      <c r="B435" s="448" t="str">
        <f>INDEX('卡片raw data'!B:B,MATCH($D435,'卡片raw data'!$F:$F,))</f>
        <v>mw善</v>
      </c>
      <c r="C435" s="449" t="s">
        <v>2432</v>
      </c>
      <c r="D435" s="408">
        <v>432</v>
      </c>
      <c r="E435" s="477">
        <v>201062001</v>
      </c>
      <c r="F435" s="409" t="str">
        <f>INDEX('卡片raw data'!C:C,MATCH($D435,'卡片raw data'!$F:$F,))</f>
        <v>SR</v>
      </c>
      <c r="G435" s="1094" t="s">
        <v>2436</v>
      </c>
      <c r="H435" s="411">
        <f>IFERROR(INDEX(绊状态确认!C:C,MATCH($G435,绊状态确认!$B:$B,)),"")</f>
        <v>106</v>
      </c>
      <c r="I435" s="450" t="str">
        <f>IFERROR(INDEX(绊状态确认!D:D,MATCH($G435,绊状态确认!$B:$B,)),"")</f>
        <v>水</v>
      </c>
      <c r="J435" s="450" t="str">
        <f>IFERROR(INDEX(绊状态确认!E:E,MATCH($G435,绊状态确认!$B:$B,)),"")</f>
        <v>1年级</v>
      </c>
      <c r="K435" s="451" t="str">
        <f>IFERROR(INDEX(绊状态确认!F:F,MATCH($G435,绊状态确认!$B:$B,)),"")</f>
        <v>Guilty Kiss</v>
      </c>
      <c r="L435" s="414" t="str">
        <f>INDEX('卡片raw data'!E:E,MATCH($D435,'卡片raw data'!$F:$F,))</f>
        <v>卡池卡</v>
      </c>
      <c r="M435" s="478">
        <v>44281</v>
      </c>
      <c r="N435" s="479">
        <v>36.5</v>
      </c>
      <c r="O435" s="410" t="str">
        <f>INDEX('卡片raw data'!D:D,MATCH($D435,'卡片raw data'!$F:$F,))</f>
        <v>sp</v>
      </c>
      <c r="P435" s="1126">
        <v>5</v>
      </c>
      <c r="Q435" s="418">
        <f t="shared" si="515"/>
        <v>31101.533469839138</v>
      </c>
      <c r="R435" s="419">
        <f t="shared" si="516"/>
        <v>0.36099999999999999</v>
      </c>
      <c r="S435" s="420">
        <f t="shared" si="517"/>
        <v>17754.812797422663</v>
      </c>
      <c r="T435" s="421">
        <f t="shared" si="518"/>
        <v>0.88700000000000001</v>
      </c>
      <c r="U435" s="422">
        <f t="shared" si="519"/>
        <v>12.591630996972858</v>
      </c>
      <c r="V435" s="423">
        <f t="shared" si="520"/>
        <v>30307.256505665759</v>
      </c>
      <c r="W435" s="424">
        <f t="shared" si="521"/>
        <v>5524.4795400975072</v>
      </c>
      <c r="X435" s="419">
        <f t="shared" si="522"/>
        <v>6.4000000000000001E-2</v>
      </c>
      <c r="Y435" s="420">
        <f t="shared" si="523"/>
        <v>1005.7230358266188</v>
      </c>
      <c r="Z435" s="425">
        <f t="shared" si="524"/>
        <v>12.591630996972858</v>
      </c>
      <c r="AA435" s="426">
        <f t="shared" si="525"/>
        <v>6530.202575924126</v>
      </c>
      <c r="AB435" s="424">
        <f t="shared" si="526"/>
        <v>6325.8522489199067</v>
      </c>
      <c r="AC435" s="427">
        <f t="shared" si="527"/>
        <v>7.2999999999999995E-2</v>
      </c>
      <c r="AD435" s="428">
        <f t="shared" si="528"/>
        <v>-1.9908281250000003E-2</v>
      </c>
      <c r="AE435" s="516">
        <f t="shared" si="529"/>
        <v>46.940362718401012</v>
      </c>
      <c r="AF435" s="1130">
        <f t="shared" si="530"/>
        <v>0</v>
      </c>
      <c r="AG435" s="420">
        <f t="shared" si="531"/>
        <v>0</v>
      </c>
      <c r="AH435" s="420">
        <f t="shared" si="532"/>
        <v>0</v>
      </c>
      <c r="AI435" s="1097">
        <f t="shared" si="533"/>
        <v>0</v>
      </c>
      <c r="AJ435" s="420">
        <f t="shared" si="534"/>
        <v>0</v>
      </c>
      <c r="AK435" s="518">
        <f t="shared" si="535"/>
        <v>0</v>
      </c>
      <c r="AL435" s="1106">
        <f>IF($P435="","N/A",(IF($P435=-1,INDEX('卡片raw data'!S:S,MATCH($D435,'卡片raw data'!$F:$F,)),0)+IF($P435=0,INDEX('卡片raw data'!V:V,MATCH($D435,'卡片raw data'!$F:$F,)),0)+IF($P435=1,INDEX('卡片raw data'!Y:Y,MATCH($D435,'卡片raw data'!$F:$F,)),0)+IF($P435=2,INDEX('卡片raw data'!AB:AB,MATCH($D435,'卡片raw data'!$F:$F,)),0)+IF($P435=3,INDEX('卡片raw data'!AE:AE,MATCH($D435,'卡片raw data'!$F:$F,)),0)+IF($P435=4,INDEX('卡片raw data'!AH:AH,MATCH($D435,'卡片raw data'!$F:$F,)),0)+IF($P435=5,INDEX('卡片raw data'!AK:AK,MATCH($D435,'卡片raw data'!$F:$F,)),0)+INDEX('卡片raw data'!S:S,MATCH($D435,'卡片raw data'!$F:$F,))*(IF($F435="UR",0.04,0.033))*(IF($F435="UR",INDEX(绊状态确认!$S:$S,MATCH($G435,绊状态确认!$B:$B,))/2-40)+IF($F435="SR",INDEX(绊状态确认!$R:$R,MATCH($G435,绊状态确认!$B:$B,))/4-15))+IF($F435="R",INDEX(绊状态确认!$Q:$Q,MATCH($G435,绊状态确认!$B:$B,))/6-40/6)))*(INDEX(绊状态确认!$H:$H,MATCH($G435,绊状态确认!$B:$B,))+INDEX(绊状态确认!J:J,MATCH($G435,绊状态确认!$B:$B,)))</f>
        <v>7951.6794455999989</v>
      </c>
      <c r="AM435" s="1106">
        <f>IF($P435="","N/A",(IF($P435=-1,INDEX('卡片raw data'!T:T,MATCH($D435,'卡片raw data'!$F:$F,)),0)+IF($P435=0,INDEX('卡片raw data'!W:W,MATCH($D435,'卡片raw data'!$F:$F,)),0)+IF($P435=1,INDEX('卡片raw data'!Z:Z,MATCH($D435,'卡片raw data'!$F:$F,)),0)+IF($P435=2,INDEX('卡片raw data'!AC:AC,MATCH($D435,'卡片raw data'!$F:$F,)),0)+IF($P435=3,INDEX('卡片raw data'!AF:AF,MATCH($D435,'卡片raw data'!$F:$F,)),0)+IF($P435=4,INDEX('卡片raw data'!AI:AI,MATCH($D435,'卡片raw data'!$F:$F,)),0)+IF($P435=5,INDEX('卡片raw data'!AL:AL,MATCH($D435,'卡片raw data'!$F:$F,)),0)+INDEX('卡片raw data'!T:T,MATCH($D435,'卡片raw data'!$F:$F,))*(IF($F435="UR",0.04,0.033))*(IF($F435="UR",INDEX(绊状态确认!$S:$S,MATCH($G435,绊状态确认!$B:$B,))/2-40)+IF($F435="SR",INDEX(绊状态确认!$R:$R,MATCH($G435,绊状态确认!$B:$B,))/4-15))+IF($F435="R",INDEX(绊状态确认!$Q:$Q,MATCH($G435,绊状态确认!$B:$B,))/6-40/6)))*(INDEX(绊状态确认!$H:$H,MATCH($G435,绊状态确认!$B:$B,))+INDEX(绊状态确认!K:K,MATCH($G435,绊状态确认!$B:$B,)))</f>
        <v>6628.7098391999998</v>
      </c>
      <c r="AN435" s="1106">
        <f>IF($P435="","N/A",(IF($P435=-1,INDEX('卡片raw data'!U:U,MATCH($D435,'卡片raw data'!$F:$F,)),0)+IF($P435=0,INDEX('卡片raw data'!X:X,MATCH($D435,'卡片raw data'!$F:$F,)),0)+IF($P435=1,INDEX('卡片raw data'!AA:AA,MATCH($D435,'卡片raw data'!$F:$F,)),0)+IF($P435=2,INDEX('卡片raw data'!AD:AD,MATCH($D435,'卡片raw data'!$F:$F,)),0)+IF($P435=3,INDEX('卡片raw data'!AG:AG,MATCH($D435,'卡片raw data'!$F:$F,)),0)+IF($P435=4,INDEX('卡片raw data'!AJ:AJ,MATCH($D435,'卡片raw data'!$F:$F,)),0)+IF($P435=5,INDEX('卡片raw data'!AM:AM,MATCH($D435,'卡片raw data'!$F:$F,)),0)+INDEX('卡片raw data'!U:U,MATCH($D435,'卡片raw data'!$F:$F,))*(IF($F435="UR",0.04,0.033))*(IF($F435="UR",INDEX(绊状态确认!$S:$S,MATCH($G435,绊状态确认!$B:$B,))/2-40)+IF($F435="SR",INDEX(绊状态确认!$R:$R,MATCH($G435,绊状态确认!$B:$B,))/4-15))+IF($F435="R",INDEX(绊状态确认!$Q:$Q,MATCH($G435,绊状态确认!$B:$B,))/6-40/6)))*(INDEX(绊状态确认!$H:$H,MATCH($G435,绊状态确认!$B:$B,))+INDEX(绊状态确认!L:L,MATCH($G435,绊状态确认!$B:$B,)))</f>
        <v>7511.4471767999994</v>
      </c>
      <c r="AO435" s="1107">
        <f t="shared" si="536"/>
        <v>1</v>
      </c>
      <c r="AP435" s="1131">
        <f>1+(INDEX(绊状态确认!$T:$T,MATCH($G435,绊状态确认!$B:$B,))+0.2)*$AO435</f>
        <v>1.3</v>
      </c>
      <c r="AQ435" s="1108">
        <f t="shared" si="537"/>
        <v>24123.1585447</v>
      </c>
      <c r="AR435" s="1097">
        <f>(AM435*(1+$EX$9)+$EX$35)*(1+(INDEX(绊状态确认!$T:$T,MATCH($G435,绊状态确认!$B:$B,))+0.2)*AO435)*IF(J435=$FF$17,1+$FE$17,1)*IF(I435=$FF$14,1+$FE$14,1)</f>
        <v>11752.188930508</v>
      </c>
      <c r="AS435" s="1097">
        <f>(AN435*(1+$EX$10)+$EX$36)*(1+(INDEX(绊状态确认!$T:$T,MATCH($G435,绊状态确认!$B:$B,))+0.2)*AO435)*IF(J435=$FF$17,1+$FE$17,1)*IF(I435=$FF$14,1+$FE$14,1)</f>
        <v>15285.613529315999</v>
      </c>
      <c r="AT435" s="1093">
        <f>IF(AND(INDEX('卡片raw data'!AK:AK,MATCH($D435,'卡片raw data'!$F:$F,))&lt;INDEX('卡片raw data'!AM:AM,MATCH($D435,'卡片raw data'!$F:$F,)),INDEX('卡片raw data'!AL:AL,MATCH($D435,'卡片raw data'!$F:$F,))&lt;INDEX('卡片raw data'!AM:AM,MATCH($D435,'卡片raw data'!$F:$F,))),1,0)</f>
        <v>0</v>
      </c>
      <c r="AU435" s="1098">
        <f>MIN(AT435*0.15+AS435*0.00003+INDEX(绊状态确认!M:M,MATCH($G435,绊状态确认!$B:$B,)),1)</f>
        <v>0.48856840587947997</v>
      </c>
      <c r="AV435" s="1109">
        <f>(INDEX(绊状态确认!$N:$N,MATCH($G435,绊状态确认!$B:$B,))+1.5)*$EW$21</f>
        <v>2.6599999999999997</v>
      </c>
      <c r="AW435" s="1101">
        <f t="shared" si="538"/>
        <v>22689.014554252561</v>
      </c>
      <c r="AX435" s="1097">
        <f t="shared" si="539"/>
        <v>1005.7230358266191</v>
      </c>
      <c r="AY435" s="1110">
        <f t="shared" si="540"/>
        <v>23694.737590079181</v>
      </c>
      <c r="AZ435" s="429">
        <f t="shared" si="541"/>
        <v>18105.774918919997</v>
      </c>
      <c r="BA435" s="431">
        <f t="shared" si="542"/>
        <v>21726.929902703996</v>
      </c>
      <c r="BB435" s="1097">
        <f>(AM435*(1+$FB$9)+$FB$35)*(1+(INDEX(绊状态确认!$T:$T,MATCH($G435,绊状态确认!$B:$B,))+0.2)*AO435)*IF(J435=$FF$17,1+$FE$17,1)*IF(I435=$FF$14,1+$FE$14,1)*(1+$FE$15)</f>
        <v>11752.188930508</v>
      </c>
      <c r="BC435" s="1097">
        <f>(AN435*(1+$FB$10)+$FB$36)*(1+(INDEX(绊状态确认!$T:$T,MATCH($G435,绊状态确认!$B:$B,))+0.2)*AO435)*IF(J435=$FF$17,1+$FE$17,1)*IF(I435=$FF$14,1+$FE$14,1)*(1+$FE$15)</f>
        <v>15285.613529315999</v>
      </c>
      <c r="BD435" s="1104">
        <f>MIN(AT435*0.15+BC435*0.00003+INDEX(绊状态确认!M:M,MATCH($G435,绊状态确认!$B:$B,)),1)</f>
        <v>0.48856840587947997</v>
      </c>
      <c r="BE435" s="432">
        <f>(INDEX(绊状态确认!$N:$N,MATCH($G435,绊状态确认!$B:$B,))+1.5)</f>
        <v>1.9</v>
      </c>
      <c r="BF435" s="1139">
        <f t="array" ref="BF435">SUMPRODUCT(IF(AZ435*AP435*$FI$16:$FI$23*$FA$22&gt;=$FI$24,$FI$24,AZ435*AP435*$FI$16:$FI$23*$FA$22),$FJ$16:$FJ$23)</f>
        <v>36012.386313731877</v>
      </c>
      <c r="BG435" s="1125">
        <f t="array" ref="BG435">SUMPRODUCT(IF(BE435*AZ435*AP435*$FI$16:$FI$23*$FA$22&gt;=$FI$24,$FI$24,BE435*AZ435*AP435*$FI$16:$FI$23*$FA$22),$FJ$16:$FJ$23)</f>
        <v>59180.316012433097</v>
      </c>
      <c r="BH435" s="1110">
        <f t="shared" si="543"/>
        <v>15777.168264718066</v>
      </c>
      <c r="BI435" s="1111">
        <f>IF(O435="vo",$EW$26/$EW$24*0.05,0)+IF(O435="sk",-$EW$26/$EW$24*(0.05-INDEX(绊状态确认!W:W,MATCH($G435,绊状态确认!$B:$B,)))+0.05*$EW$28,0)+IF(O435="sp",0.05*$EW$32*$EW$30*(1-$EW$33)-(0.05-INDEX(绊状态确认!V:V,MATCH($G435,绊状态确认!$B:$B,)))*$EW$28,0)+IF(O435="gd",-(0.05-INDEX(绊状态确认!X:X,MATCH($G435,绊状态确认!$B:$B,)))*$EW$32*$EW$30*(1-$EW$33),0)</f>
        <v>19.999999999999886</v>
      </c>
      <c r="BJ435" s="420">
        <f>IF(O435="vo",0.05*(1-$FI$26)*$FA$24,0)+IF(O435="sk",-(0.05-INDEX(绊状态确认!W:W,MATCH($G435,绊状态确认!$B:$B,)))*(1-$FI$26)*$FA$24+0.05*$FA$26,0)+IF(O435="sp",0.05*$FA$32*$FA$27*(1-$FA$33)/$FA$30+0.05*$FA$29/$FA$69*$FA$27*(1-$FA$33)-(0.05-INDEX(绊状态确认!V:V,MATCH($G435,绊状态确认!$B:$B,)))*$FA$26,0)+IF(O435="gd",-(0.05-INDEX(绊状态确认!X:X,MATCH($G435,绊状态确认!$B:$B,)))*$FA$32*$FA$27*(1-$FA$33)/$FA$30-(0.05-INDEX(绊状态确认!X:X,MATCH($G435,绊状态确认!$B:$B,)))*$FA$29/$FA$69*$FA$27*(1-$FA$33),0)</f>
        <v>545.83333333333326</v>
      </c>
      <c r="BK435" s="1110">
        <f>IF(O435="vo",$EW$26/$EW$24*0.05+$EW$26*(-HP($EW$62,$EW$65,$EW$64)+HP($EW$62,$EW$65,(1.05-INDEX(绊状态确认!U:U,MATCH($G435,绊状态确认!$B:$B,)))*$EW$64)),0)+IF(O435="sk",-$EW$26/$EW$24*(0.05-INDEX(绊状态确认!W:W,MATCH($G435,绊状态确认!$B:$B,)))+0.05*$EW$29,0)+IF(O435="sp",0.05*$EW$32*$EW$30*(1-$EW$33)-(0.05-INDEX(绊状态确认!V:V,MATCH($G435,绊状态确认!$B:$B,)))*$EW$29,0)+IF(O435="gd",-(0.05-INDEX(绊状态确认!X:X,MATCH($G435,绊状态确认!$B:$B,)))*$EW$32*$EW$30*(1-$EW$33)+$EW$26*(-HP($EW$62,$EW$65,$EW$64)+HP($EW$62,$EW$65,0.95*$EW$64)),0)</f>
        <v>-1780.0000000000005</v>
      </c>
      <c r="BL435" s="1111">
        <f t="shared" si="544"/>
        <v>-1083.3333333333333</v>
      </c>
      <c r="BM435" s="1110">
        <f t="shared" si="545"/>
        <v>-830.55555555555543</v>
      </c>
      <c r="BN435" s="1113">
        <f t="shared" si="546"/>
        <v>3</v>
      </c>
      <c r="BO435" s="1108">
        <f t="shared" si="547"/>
        <v>4507.7214871259994</v>
      </c>
      <c r="BP435" s="1100">
        <f t="shared" si="548"/>
        <v>221.34103209030098</v>
      </c>
      <c r="BQ435" s="1113" t="s">
        <v>132</v>
      </c>
      <c r="BR435" s="1124" t="s">
        <v>171</v>
      </c>
      <c r="BS435" s="421">
        <f>IF($P435="","N/A",IF($P435=-1,INDEX('卡片raw data'!AX:AX,MATCH($D435,'卡片raw data'!$F:$F,)),0)+IF($L435="party卡",IF($P435=5,INDEX('卡片raw data'!BD:BD,MATCH($D435,'卡片raw data'!$F:$F,)),IF($P435&gt;=3,INDEX('卡片raw data'!BC:BC,MATCH($D435,'卡片raw data'!$F:$F,)),INDEX('卡片raw data'!BB:BB,MATCH($D435,'卡片raw data'!$F:$F,)))),IF(OR(AND($F435="UR",$P435=0),AND($F435="SR",$P435&gt;=0,$P435&lt;=2),AND($F435="R",$P435&gt;=0,$P435&lt;4)),INDEX('卡片raw data'!AZ:AZ,MATCH($D435,'卡片raw data'!$F:$F,)),0)+IF(OR(AND($F435="UR",$P435&gt;=1,$P435&lt;=4),AND($F435="SR",$P435&lt;=4,$P435&gt;=3),AND($F435="R",$P435=4)),INDEX('卡片raw data'!BA:BA,MATCH($D435,'卡片raw data'!$F:$F,)),0)+IF($P435=5,INDEX('卡片raw data'!BB:BB,MATCH($D435,'卡片raw data'!$F:$F,)),0)))</f>
        <v>3.2000000000000001E-2</v>
      </c>
      <c r="BT435" s="424">
        <f t="shared" si="549"/>
        <v>1602.7454176448</v>
      </c>
      <c r="BU435" s="420">
        <f t="shared" si="550"/>
        <v>68.861654428093644</v>
      </c>
      <c r="BV435" s="420">
        <f t="shared" si="551"/>
        <v>801.37270882240011</v>
      </c>
      <c r="BW435" s="436">
        <f t="shared" si="552"/>
        <v>0</v>
      </c>
      <c r="BX435" s="423">
        <f t="shared" si="553"/>
        <v>1602.7454176448</v>
      </c>
      <c r="BY435" s="433">
        <f t="shared" si="554"/>
        <v>801.37270882240011</v>
      </c>
      <c r="BZ435" s="1113" t="s">
        <v>569</v>
      </c>
      <c r="CA435" s="450"/>
      <c r="CB435" s="421">
        <f>IF($P435="","N/A",IF($P435=-1,INDEX('卡片raw data'!BE:BE,MATCH($D435,'卡片raw data'!$F:$F,)),0)+IF($L435="party卡",IF($P435=5,INDEX('卡片raw data'!BK:BK,MATCH($D435,'卡片raw data'!$F:$F,)),IF($P435&gt;=3,INDEX('卡片raw data'!BJ:BJ,MATCH($D435,'卡片raw data'!$F:$F,)),INDEX('卡片raw data'!BI:BI,MATCH($D435,'卡片raw data'!$F:$F,)))),IF(OR(AND($F435="UR",$P435=0),AND($F435="SR",$P435&gt;=0,$P435&lt;=2),AND($F435="R",$P435&gt;=0,$P435&lt;4)),INDEX('卡片raw data'!BG:BG,MATCH($D435,'卡片raw data'!$F:$F,)),0)+IF(OR(AND($F435="UR",$P435&gt;=1,$P435&lt;=4),AND($F435="SR",$P435&lt;=4,$P435&gt;=3),AND($F435="R",$P435=4)),INDEX('卡片raw data'!BH:BH,MATCH($D435,'卡片raw data'!$F:$F,)),0)+IF($P435=5,INDEX('卡片raw data'!BI:BI,MATCH($D435,'卡片raw data'!$F:$F,)),0)))</f>
        <v>0</v>
      </c>
      <c r="CC435" s="424">
        <f t="shared" si="555"/>
        <v>0</v>
      </c>
      <c r="CD435" s="420">
        <f>IF(BZ435="ap",CB435*(1-$FI$26)*$FB$5/$FB$11*(+IF(CA435="全员",$FA$24,0)+IF(CA435="同作战",$FA$24,0)+IF(CA435="仲间",$FA$24*2/3,0)+IF(CA435="同属性",$FA$24*$FA$37/3,0)+IF(CA435="同年级",$FA$24*$FA$40/3,0)+IF(CA435="同学校",$FA$24*$FA$43/3,0)+IF(CA435="同小队",$FA$24*$FA$46/3,0)+IF(CA435="同type",$FA$24*INDEX($FB$49:$FB$52,MATCH(X435,$FA$49:$FA$52,))/3,0)+IF(CA435="自身",#REF!/3,0)),0)+IF(BZ435="te",CB435*(1-$FI$27)*($FA$20-1)*$FB$7/$FB$13*(+IF(CA435="全员",$FA$19*$FA$24/(1+($FA$20-1)*$FA$19),0)+IF(CA435="同作战",$FA$19*$FA$24/(1+($FA$20-1)*$FA$19),0)+IF(CA435="仲间",$FA$19*$FA$24*2/3/(1+($FA$20-1)*$FA$19),0)+IF(CA435="同属性",$FA$19*$FA$24*$FA$37/3/(1+($FA$20-1)*$FA$19),0)+IF(CA435="同年级",$FA$19*$FA$24*$FA$40/3/(1+($FA$20-1)*$FA$19),0)+IF(CA435="同学校",$FA$19*$FA$24*$FA$43/3/(1+($FA$20-1)*$FA$19),0)+IF(CA435="同小队",$FA$19*$FA$24*$FA$46/3/(1+($FA$20-1)*$FA$19),0)+IF(CA435="同type",$FA$19*$FA$24*INDEX($FB$49:$FB$52,MATCH(X435,$FA$49:$FA$52,))/3/(1+($FA$20-1)*$FA$19),0)+IF(CA435="自身",$FA$19*#REF!/3/(1+(BH435-1)*$BD435),0)),0)</f>
        <v>0</v>
      </c>
      <c r="CE435" s="420">
        <f t="shared" si="556"/>
        <v>0</v>
      </c>
      <c r="CF435" s="436">
        <f t="shared" si="557"/>
        <v>0</v>
      </c>
      <c r="CG435" s="423">
        <f t="shared" si="558"/>
        <v>0</v>
      </c>
      <c r="CH435" s="433">
        <f t="shared" si="559"/>
        <v>0</v>
      </c>
      <c r="CI435" s="1113" t="s">
        <v>165</v>
      </c>
      <c r="CJ435" s="1114">
        <v>1</v>
      </c>
      <c r="CK435" s="1115" t="s">
        <v>156</v>
      </c>
      <c r="CL435" s="1115" t="s">
        <v>1940</v>
      </c>
      <c r="CM435" s="1119">
        <v>0.04</v>
      </c>
      <c r="CN435" s="1115"/>
      <c r="CO435" s="1115"/>
      <c r="CP435" s="1116">
        <f t="shared" si="560"/>
        <v>3.4461655063857144</v>
      </c>
      <c r="CQ435" s="1116">
        <f t="shared" si="561"/>
        <v>5.5524376418021326</v>
      </c>
      <c r="CR435" s="1117">
        <f t="shared" si="562"/>
        <v>3.4461655063857144</v>
      </c>
      <c r="CS435" s="442">
        <f t="shared" si="563"/>
        <v>0</v>
      </c>
      <c r="CT435" s="432">
        <f t="shared" si="564"/>
        <v>5.6287369937633338</v>
      </c>
      <c r="CU435" s="1101">
        <f t="shared" si="565"/>
        <v>215.38534414910714</v>
      </c>
      <c r="CV435" s="1108">
        <f t="shared" si="566"/>
        <v>231.35156840842222</v>
      </c>
      <c r="CW435" s="1097">
        <f t="shared" si="567"/>
        <v>215.38534414910714</v>
      </c>
      <c r="CX435" s="420">
        <f t="shared" si="568"/>
        <v>215.38534414910714</v>
      </c>
      <c r="CY435" s="433">
        <f t="shared" si="569"/>
        <v>215.38534414910714</v>
      </c>
      <c r="CZ435" s="437"/>
      <c r="DA435" s="438"/>
      <c r="DB435" s="439" t="s">
        <v>569</v>
      </c>
      <c r="DC435" s="439"/>
      <c r="DD435" s="443"/>
      <c r="DE435" s="411"/>
      <c r="DF435" s="411"/>
      <c r="DG435" s="1116">
        <f t="shared" si="570"/>
        <v>0</v>
      </c>
      <c r="DH435" s="1116">
        <f t="shared" si="571"/>
        <v>0</v>
      </c>
      <c r="DI435" s="1116">
        <f t="shared" si="572"/>
        <v>0</v>
      </c>
      <c r="DJ435" s="442">
        <f t="shared" si="573"/>
        <v>0</v>
      </c>
      <c r="DK435" s="432">
        <f t="shared" si="574"/>
        <v>0</v>
      </c>
      <c r="DL435" s="424">
        <f t="shared" si="575"/>
        <v>0</v>
      </c>
      <c r="DM435" s="420">
        <f t="shared" si="576"/>
        <v>0</v>
      </c>
      <c r="DN435" s="420">
        <f t="shared" si="577"/>
        <v>0</v>
      </c>
      <c r="DO435" s="420">
        <f t="shared" si="578"/>
        <v>0</v>
      </c>
      <c r="DP435" s="433">
        <f t="shared" si="579"/>
        <v>0</v>
      </c>
      <c r="DQ435" s="1113" t="s">
        <v>549</v>
      </c>
      <c r="DR435" s="444">
        <f t="shared" si="580"/>
        <v>0.3</v>
      </c>
      <c r="DS435" s="1124"/>
      <c r="DT435" s="1093" t="s">
        <v>179</v>
      </c>
      <c r="DU435" s="1093"/>
      <c r="DV435" s="1098">
        <f>IF($P435="","N/A",IF(P435=-1,INDEX('卡片raw data'!AN:AN,MATCH(D435,'卡片raw data'!$F:$F,)),0)+IF(AND(L435&lt;&gt;"party卡",P435&lt;=2,P435&gt;=0),INDEX('卡片raw data'!AP:AP,MATCH(D435,'卡片raw data'!$F:$F,)),0)+IF(OR(AND(L435="party卡",P435&lt;=1),AND(P435&lt;=4,L435&lt;&gt;"party卡",P435&gt;=3)),INDEX('卡片raw data'!AQ:AQ,MATCH(D435,'卡片raw data'!$F:$F,)),0)+IF(OR(P435=5,AND(L435="party卡",P435&gt;=2)),INDEX('卡片raw data'!AR:AR,MATCH(D435,'卡片raw data'!$F:$F,)),0))</f>
        <v>7.0000000000000007E-2</v>
      </c>
      <c r="DW435" s="1098">
        <f t="shared" si="581"/>
        <v>0.3</v>
      </c>
      <c r="DX435" s="1098">
        <f t="shared" si="582"/>
        <v>0.3</v>
      </c>
      <c r="DY435" s="1098">
        <f t="shared" si="583"/>
        <v>7.0000000000000001E-3</v>
      </c>
      <c r="DZ435" s="1098">
        <f t="shared" si="584"/>
        <v>6.9632499999999998E-3</v>
      </c>
      <c r="EA435" s="421">
        <f t="shared" si="585"/>
        <v>0</v>
      </c>
      <c r="EB435" s="445">
        <f t="shared" si="586"/>
        <v>42.663074999999999</v>
      </c>
      <c r="EC435" s="424">
        <f t="shared" si="587"/>
        <v>3150</v>
      </c>
      <c r="ED435" s="420">
        <f t="shared" si="588"/>
        <v>1740.8125</v>
      </c>
      <c r="EE435" s="433">
        <f t="shared" si="598"/>
        <v>3150</v>
      </c>
      <c r="EF435" s="1115" t="s">
        <v>569</v>
      </c>
      <c r="EG435" s="444">
        <f t="shared" si="589"/>
        <v>0.3</v>
      </c>
      <c r="EH435" s="450"/>
      <c r="EI435" s="1093"/>
      <c r="EJ435" s="1093"/>
      <c r="EK435" s="1097">
        <f>IF($P435="","N/A",IF(P435=-1,INDEX('卡片raw data'!AS:AS,MATCH(D435,'卡片raw data'!$F:$F,)),0)+IF(AND(L435&lt;&gt;"party卡",P435&lt;=2,P435&gt;=0),INDEX('卡片raw data'!AU:AU,MATCH(D435,'卡片raw data'!$F:$F,)),0)+IF(OR(AND(L435="party卡",P435&lt;=1),AND(P435&lt;=4,L435&lt;&gt;"party卡",P435&gt;=3)),INDEX('卡片raw data'!AV:AV,MATCH(D435,'卡片raw data'!$F:$F,)),0)+IF(OR(P435=5,AND(L435="party卡",P435&gt;=2)),INDEX('卡片raw data'!AW:AW,MATCH(D435,'卡片raw data'!$F:$F,)),0))</f>
        <v>0</v>
      </c>
      <c r="EL435" s="1098">
        <f t="shared" si="590"/>
        <v>0.3</v>
      </c>
      <c r="EM435" s="1098">
        <f t="shared" si="591"/>
        <v>0.3</v>
      </c>
      <c r="EN435" s="1097">
        <f t="shared" si="592"/>
        <v>0</v>
      </c>
      <c r="EO435" s="1097">
        <f t="shared" si="593"/>
        <v>0</v>
      </c>
      <c r="EP435" s="421">
        <f t="shared" si="594"/>
        <v>0</v>
      </c>
      <c r="EQ435" s="445">
        <f t="shared" si="595"/>
        <v>0</v>
      </c>
      <c r="ER435" s="424">
        <f t="shared" si="596"/>
        <v>0</v>
      </c>
      <c r="ES435" s="420">
        <f t="shared" si="597"/>
        <v>0</v>
      </c>
      <c r="ET435" s="446">
        <f t="shared" si="599"/>
        <v>0</v>
      </c>
    </row>
    <row r="436" spans="2:150" ht="16.5" customHeight="1">
      <c r="B436" s="1123" t="str">
        <f>INDEX('卡片raw data'!B:B,MATCH($D436,'卡片raw data'!$F:$F,))</f>
        <v>op1菜</v>
      </c>
      <c r="C436" s="449" t="s">
        <v>2439</v>
      </c>
      <c r="D436" s="408">
        <v>433</v>
      </c>
      <c r="E436" s="477">
        <v>202072001</v>
      </c>
      <c r="F436" s="409" t="str">
        <f>INDEX('卡片raw data'!C:C,MATCH($D436,'卡片raw data'!$F:$F,))</f>
        <v>SR</v>
      </c>
      <c r="G436" s="1094" t="s">
        <v>2440</v>
      </c>
      <c r="H436" s="411">
        <f>IFERROR(INDEX(绊状态确认!C:C,MATCH($G436,绊状态确认!$B:$B,)),"")</f>
        <v>207</v>
      </c>
      <c r="I436" s="1124" t="str">
        <f>IFERROR(INDEX(绊状态确认!D:D,MATCH($G436,绊状态确认!$B:$B,)),"")</f>
        <v>虹</v>
      </c>
      <c r="J436" s="1124" t="str">
        <f>IFERROR(INDEX(绊状态确认!E:E,MATCH($G436,绊状态确认!$B:$B,)),"")</f>
        <v>2年级</v>
      </c>
      <c r="K436" s="451" t="str">
        <f>IFERROR(INDEX(绊状态确认!F:F,MATCH($G436,绊状态确认!$B:$B,)),"")</f>
        <v>A·ZU·NA</v>
      </c>
      <c r="L436" s="414" t="str">
        <f>INDEX('卡片raw data'!E:E,MATCH($D436,'卡片raw data'!$F:$F,))</f>
        <v>卡池卡</v>
      </c>
      <c r="M436" s="478">
        <v>44281</v>
      </c>
      <c r="N436" s="479">
        <v>36.5</v>
      </c>
      <c r="O436" s="410" t="str">
        <f>INDEX('卡片raw data'!D:D,MATCH($D436,'卡片raw data'!$F:$F,))</f>
        <v>vo</v>
      </c>
      <c r="P436" s="1126">
        <v>5</v>
      </c>
      <c r="Q436" s="418">
        <f t="shared" si="515"/>
        <v>40398.149073965003</v>
      </c>
      <c r="R436" s="419">
        <f t="shared" si="516"/>
        <v>0.46899999999999997</v>
      </c>
      <c r="S436" s="420">
        <f t="shared" si="517"/>
        <v>16072.220200551423</v>
      </c>
      <c r="T436" s="421">
        <f t="shared" si="518"/>
        <v>0.80300000000000005</v>
      </c>
      <c r="U436" s="422">
        <f t="shared" si="519"/>
        <v>-12.735384495597144</v>
      </c>
      <c r="V436" s="423">
        <f t="shared" si="520"/>
        <v>40072.427364930176</v>
      </c>
      <c r="W436" s="424">
        <f t="shared" si="521"/>
        <v>5875.6897439829872</v>
      </c>
      <c r="X436" s="419">
        <f t="shared" si="522"/>
        <v>6.8000000000000005E-2</v>
      </c>
      <c r="Y436" s="420">
        <f t="shared" si="523"/>
        <v>978.94674120686796</v>
      </c>
      <c r="Z436" s="425">
        <f t="shared" si="524"/>
        <v>12.264615504402856</v>
      </c>
      <c r="AA436" s="426">
        <f t="shared" si="525"/>
        <v>6854.6364851898552</v>
      </c>
      <c r="AB436" s="424">
        <f t="shared" si="526"/>
        <v>7243.6580008399742</v>
      </c>
      <c r="AC436" s="427">
        <f t="shared" si="527"/>
        <v>8.4000000000000005E-2</v>
      </c>
      <c r="AD436" s="428">
        <f t="shared" si="528"/>
        <v>-3.8207812500000026E-3</v>
      </c>
      <c r="AE436" s="516">
        <f t="shared" si="529"/>
        <v>-12.27536231884058</v>
      </c>
      <c r="AF436" s="1130">
        <f t="shared" si="530"/>
        <v>0</v>
      </c>
      <c r="AG436" s="420">
        <f t="shared" si="531"/>
        <v>0</v>
      </c>
      <c r="AH436" s="420">
        <f t="shared" si="532"/>
        <v>0</v>
      </c>
      <c r="AI436" s="1097">
        <f t="shared" si="533"/>
        <v>0</v>
      </c>
      <c r="AJ436" s="420">
        <f t="shared" si="534"/>
        <v>0</v>
      </c>
      <c r="AK436" s="518">
        <f t="shared" si="535"/>
        <v>0</v>
      </c>
      <c r="AL436" s="429">
        <f>IF($P436="","N/A",(IF($P436=-1,INDEX('卡片raw data'!S:S,MATCH($D436,'卡片raw data'!$F:$F,)),0)+IF($P436=0,INDEX('卡片raw data'!V:V,MATCH($D436,'卡片raw data'!$F:$F,)),0)+IF($P436=1,INDEX('卡片raw data'!Y:Y,MATCH($D436,'卡片raw data'!$F:$F,)),0)+IF($P436=2,INDEX('卡片raw data'!AB:AB,MATCH($D436,'卡片raw data'!$F:$F,)),0)+IF($P436=3,INDEX('卡片raw data'!AE:AE,MATCH($D436,'卡片raw data'!$F:$F,)),0)+IF($P436=4,INDEX('卡片raw data'!AH:AH,MATCH($D436,'卡片raw data'!$F:$F,)),0)+IF($P436=5,INDEX('卡片raw data'!AK:AK,MATCH($D436,'卡片raw data'!$F:$F,)),0)+INDEX('卡片raw data'!S:S,MATCH($D436,'卡片raw data'!$F:$F,))*(IF($F436="UR",0.04,0.033))*(IF($F436="UR",INDEX(绊状态确认!$S:$S,MATCH($G436,绊状态确认!$B:$B,))/2-40)+IF($F436="SR",INDEX(绊状态确认!$R:$R,MATCH($G436,绊状态确认!$B:$B,))/4-15))+IF($F436="R",INDEX(绊状态确认!$Q:$Q,MATCH($G436,绊状态确认!$B:$B,))/6-40/6)))*(INDEX(绊状态确认!$H:$H,MATCH($G436,绊状态确认!$B:$B,))+INDEX(绊状态确认!J:J,MATCH($G436,绊状态确认!$B:$B,)))</f>
        <v>8394.1845143999981</v>
      </c>
      <c r="AM436" s="429">
        <f>IF($P436="","N/A",(IF($P436=-1,INDEX('卡片raw data'!T:T,MATCH($D436,'卡片raw data'!$F:$F,)),0)+IF($P436=0,INDEX('卡片raw data'!W:W,MATCH($D436,'卡片raw data'!$F:$F,)),0)+IF($P436=1,INDEX('卡片raw data'!Z:Z,MATCH($D436,'卡片raw data'!$F:$F,)),0)+IF($P436=2,INDEX('卡片raw data'!AC:AC,MATCH($D436,'卡片raw data'!$F:$F,)),0)+IF($P436=3,INDEX('卡片raw data'!AF:AF,MATCH($D436,'卡片raw data'!$F:$F,)),0)+IF($P436=4,INDEX('卡片raw data'!AI:AI,MATCH($D436,'卡片raw data'!$F:$F,)),0)+IF($P436=5,INDEX('卡片raw data'!AL:AL,MATCH($D436,'卡片raw data'!$F:$F,)),0)+INDEX('卡片raw data'!T:T,MATCH($D436,'卡片raw data'!$F:$F,))*(IF($F436="UR",0.04,0.033))*(IF($F436="UR",INDEX(绊状态确认!$S:$S,MATCH($G436,绊状态确认!$B:$B,))/2-40)+IF($F436="SR",INDEX(绊状态确认!$R:$R,MATCH($G436,绊状态确认!$B:$B,))/4-15))+IF($F436="R",INDEX(绊状态确认!$Q:$Q,MATCH($G436,绊状态确认!$B:$B,))/6-40/6)))*(INDEX(绊状态确认!$H:$H,MATCH($G436,绊状态确认!$B:$B,))+INDEX(绊状态确认!K:K,MATCH($G436,绊状态确认!$B:$B,)))</f>
        <v>6405.1095023999987</v>
      </c>
      <c r="AN436" s="429">
        <f>IF($P436="","N/A",(IF($P436=-1,INDEX('卡片raw data'!U:U,MATCH($D436,'卡片raw data'!$F:$F,)),0)+IF($P436=0,INDEX('卡片raw data'!X:X,MATCH($D436,'卡片raw data'!$F:$F,)),0)+IF($P436=1,INDEX('卡片raw data'!AA:AA,MATCH($D436,'卡片raw data'!$F:$F,)),0)+IF($P436=2,INDEX('卡片raw data'!AD:AD,MATCH($D436,'卡片raw data'!$F:$F,)),0)+IF($P436=3,INDEX('卡片raw data'!AG:AG,MATCH($D436,'卡片raw data'!$F:$F,)),0)+IF($P436=4,INDEX('卡片raw data'!AJ:AJ,MATCH($D436,'卡片raw data'!$F:$F,)),0)+IF($P436=5,INDEX('卡片raw data'!AM:AM,MATCH($D436,'卡片raw data'!$F:$F,)),0)+INDEX('卡片raw data'!U:U,MATCH($D436,'卡片raw data'!$F:$F,))*(IF($F436="UR",0.04,0.033))*(IF($F436="UR",INDEX(绊状态确认!$S:$S,MATCH($G436,绊状态确认!$B:$B,))/2-40)+IF($F436="SR",INDEX(绊状态确认!$R:$R,MATCH($G436,绊状态确认!$B:$B,))/4-15))+IF($F436="R",INDEX(绊状态确认!$Q:$Q,MATCH($G436,绊状态确认!$B:$B,))/6-40/6)))*(INDEX(绊状态确认!$H:$H,MATCH($G436,绊状态确认!$B:$B,))+INDEX(绊状态确认!L:L,MATCH($G436,绊状态确认!$B:$B,)))</f>
        <v>7290.1946423999989</v>
      </c>
      <c r="AO436" s="430">
        <f t="shared" si="536"/>
        <v>1</v>
      </c>
      <c r="AP436" s="556">
        <f>1+(INDEX(绊状态确认!$T:$T,MATCH($G436,绊状态确认!$B:$B,))+0.2)*$AO436</f>
        <v>1.3</v>
      </c>
      <c r="AQ436" s="431">
        <f t="shared" si="537"/>
        <v>25284.734350299994</v>
      </c>
      <c r="AR436" s="420">
        <f>(AM436*(1+$EX$9)+$EX$35)*(1+(INDEX(绊状态确认!$T:$T,MATCH($G436,绊状态确认!$B:$B,))+0.2)*AO436)*IF(J436=$FF$17,1+$FE$17,1)*IF(I436=$FF$14,1+$FE$14,1)</f>
        <v>11446.974470776</v>
      </c>
      <c r="AS436" s="420">
        <f>(AN436*(1+$EX$10)+$EX$36)*(1+(INDEX(绊状态确认!$T:$T,MATCH($G436,绊状态确认!$B:$B,))+0.2)*AO436)*IF(J436=$FF$17,1+$FE$17,1)*IF(I436=$FF$14,1+$FE$14,1)</f>
        <v>14954.840990387996</v>
      </c>
      <c r="AT436" s="412">
        <f>IF(AND(INDEX('卡片raw data'!AK:AK,MATCH($D436,'卡片raw data'!$F:$F,))&lt;INDEX('卡片raw data'!AM:AM,MATCH($D436,'卡片raw data'!$F:$F,)),INDEX('卡片raw data'!AL:AL,MATCH($D436,'卡片raw data'!$F:$F,))&lt;INDEX('卡片raw data'!AM:AM,MATCH($D436,'卡片raw data'!$F:$F,))),1,0)</f>
        <v>0</v>
      </c>
      <c r="AU436" s="421">
        <f>MIN(AT436*0.15+AS436*0.00003+INDEX(绊状态确认!M:M,MATCH($G436,绊状态确认!$B:$B,)),1)</f>
        <v>0.47864522971163992</v>
      </c>
      <c r="AV436" s="432">
        <f>(INDEX(绊状态确认!$N:$N,MATCH($G436,绊状态确认!$B:$B,))+1.5)*$EW$21</f>
        <v>2.6599999999999997</v>
      </c>
      <c r="AW436" s="424">
        <f t="shared" si="538"/>
        <v>23565.224628934135</v>
      </c>
      <c r="AX436" s="420">
        <f t="shared" si="539"/>
        <v>978.94674120686796</v>
      </c>
      <c r="AY436" s="433">
        <f t="shared" si="540"/>
        <v>24544.171370141004</v>
      </c>
      <c r="AZ436" s="429">
        <f t="shared" si="541"/>
        <v>18968.659803079994</v>
      </c>
      <c r="BA436" s="431">
        <f t="shared" si="542"/>
        <v>22762.391763695992</v>
      </c>
      <c r="BB436" s="420">
        <f>(AM436*(1+$FB$9)+$FB$35)*(1+(INDEX(绊状态确认!$T:$T,MATCH($G436,绊状态确认!$B:$B,))+0.2)*AO436)*IF(J436=$FF$17,1+$FE$17,1)*IF(I436=$FF$14,1+$FE$14,1)*(1+$FE$15)</f>
        <v>11446.974470776</v>
      </c>
      <c r="BC436" s="420">
        <f>(AN436*(1+$FB$10)+$FB$36)*(1+(INDEX(绊状态确认!$T:$T,MATCH($G436,绊状态确认!$B:$B,))+0.2)*AO436)*IF(J436=$FF$17,1+$FE$17,1)*IF(I436=$FF$14,1+$FE$14,1)*(1+$FE$15)</f>
        <v>14954.840990387996</v>
      </c>
      <c r="BD436" s="427">
        <f>MIN(AT436*0.15+BC436*0.00003+INDEX(绊状态确认!M:M,MATCH($G436,绊状态确认!$B:$B,)),1)</f>
        <v>0.47864522971163992</v>
      </c>
      <c r="BE436" s="432">
        <f>(INDEX(绊状态确认!$N:$N,MATCH($G436,绊状态确认!$B:$B,))+1.5)</f>
        <v>1.9</v>
      </c>
      <c r="BF436" s="645">
        <f t="array" ref="BF436">SUMPRODUCT(IF(AZ436*AP436*$FI$16:$FI$23*$FA$22&gt;=$FI$24,$FI$24,AZ436*AP436*$FI$16:$FI$23*$FA$22),$FJ$16:$FJ$23)</f>
        <v>37728.664348326114</v>
      </c>
      <c r="BG436" s="453">
        <f t="array" ref="BG436">SUMPRODUCT(IF(BE436*AZ436*AP436*$FI$16:$FI$23*$FA$22&gt;=$FI$24,$FI$24,BE436*AZ436*AP436*$FI$16:$FI$23*$FA$22),$FJ$16:$FJ$23)</f>
        <v>59622.310765632908</v>
      </c>
      <c r="BH436" s="433">
        <f t="shared" si="543"/>
        <v>16069.317922321114</v>
      </c>
      <c r="BI436" s="434">
        <f>IF(O436="vo",$EW$26/$EW$24*0.05,0)+IF(O436="sk",-$EW$26/$EW$24*(0.05-INDEX(绊状态确认!W:W,MATCH($G436,绊状态确认!$B:$B,)))+0.05*$EW$28,0)+IF(O436="sp",0.05*$EW$32*$EW$30*(1-$EW$33)-(0.05-INDEX(绊状态确认!V:V,MATCH($G436,绊状态确认!$B:$B,)))*$EW$28,0)+IF(O436="gd",-(0.05-INDEX(绊状态确认!X:X,MATCH($G436,绊状态确认!$B:$B,)))*$EW$32*$EW$30*(1-$EW$33),0)</f>
        <v>7726.3029277443748</v>
      </c>
      <c r="BJ436" s="420">
        <f>IF(O436="vo",0.05*(1-$FI$26)*$FA$24,0)+IF(O436="sk",-(0.05-INDEX(绊状态确认!W:W,MATCH($G436,绊状态确认!$B:$B,)))*(1-$FI$26)*$FA$24+0.05*$FA$26,0)+IF(O436="sp",0.05*$FA$32*$FA$27*(1-$FA$33)/$FA$30+0.05*$FA$29/$FA$69*$FA$27*(1-$FA$33)-(0.05-INDEX(绊状态确认!V:V,MATCH($G436,绊状态确认!$B:$B,)))*$FA$26,0)+IF(O436="gd",-(0.05-INDEX(绊状态确认!X:X,MATCH($G436,绊状态确认!$B:$B,)))*$FA$32*$FA$27*(1-$FA$33)/$FA$30-(0.05-INDEX(绊状态确认!X:X,MATCH($G436,绊状态确认!$B:$B,)))*$FA$29/$FA$69*$FA$27*(1-$FA$33),0)</f>
        <v>393.93433687500004</v>
      </c>
      <c r="BK436" s="433">
        <f>IF(O436="vo",$EW$26/$EW$24*0.05+$EW$26*(-HP($EW$62,$EW$65,$EW$64)+HP($EW$62,$EW$65,(1.05-INDEX(绊状态确认!U:U,MATCH($G436,绊状态确认!$B:$B,)))*$EW$64)),0)+IF(O436="sk",-$EW$26/$EW$24*(0.05-INDEX(绊状态确认!W:W,MATCH($G436,绊状态确认!$B:$B,)))+0.05*$EW$29,0)+IF(O436="sp",0.05*$EW$32*$EW$30*(1-$EW$33)-(0.05-INDEX(绊状态确认!V:V,MATCH($G436,绊状态确认!$B:$B,)))*$EW$29,0)+IF(O436="gd",-(0.05-INDEX(绊状态确认!X:X,MATCH($G436,绊状态确认!$B:$B,)))*$EW$32*$EW$30*(1-$EW$33)+$EW$26*(-HP($EW$62,$EW$65,$EW$64)+HP($EW$62,$EW$65,0.95*$EW$64)),0)</f>
        <v>6421.6344775026746</v>
      </c>
      <c r="BL436" s="434">
        <f t="shared" si="544"/>
        <v>-1083.3333333333333</v>
      </c>
      <c r="BM436" s="433">
        <f t="shared" si="545"/>
        <v>-830.55555555555543</v>
      </c>
      <c r="BN436" s="437">
        <f t="shared" si="546"/>
        <v>3</v>
      </c>
      <c r="BO436" s="1108">
        <f t="shared" si="547"/>
        <v>4507.7214871259994</v>
      </c>
      <c r="BP436" s="1100">
        <f t="shared" si="548"/>
        <v>221.34103209030098</v>
      </c>
      <c r="BQ436" s="1113" t="s">
        <v>132</v>
      </c>
      <c r="BR436" s="1124" t="s">
        <v>171</v>
      </c>
      <c r="BS436" s="421">
        <f>IF($P436="","N/A",IF($P436=-1,INDEX('卡片raw data'!AX:AX,MATCH($D436,'卡片raw data'!$F:$F,)),0)+IF($L436="party卡",IF($P436=5,INDEX('卡片raw data'!BD:BD,MATCH($D436,'卡片raw data'!$F:$F,)),IF($P436&gt;=3,INDEX('卡片raw data'!BC:BC,MATCH($D436,'卡片raw data'!$F:$F,)),INDEX('卡片raw data'!BB:BB,MATCH($D436,'卡片raw data'!$F:$F,)))),IF(OR(AND($F436="UR",$P436=0),AND($F436="SR",$P436&gt;=0,$P436&lt;=2),AND($F436="R",$P436&gt;=0,$P436&lt;4)),INDEX('卡片raw data'!AZ:AZ,MATCH($D436,'卡片raw data'!$F:$F,)),0)+IF(OR(AND($F436="UR",$P436&gt;=1,$P436&lt;=4),AND($F436="SR",$P436&lt;=4,$P436&gt;=3),AND($F436="R",$P436=4)),INDEX('卡片raw data'!BA:BA,MATCH($D436,'卡片raw data'!$F:$F,)),0)+IF($P436=5,INDEX('卡片raw data'!BB:BB,MATCH($D436,'卡片raw data'!$F:$F,)),0)))</f>
        <v>3.2000000000000001E-2</v>
      </c>
      <c r="BT436" s="424">
        <f t="shared" si="549"/>
        <v>1602.7454176448</v>
      </c>
      <c r="BU436" s="420">
        <f t="shared" si="550"/>
        <v>68.861654428093644</v>
      </c>
      <c r="BV436" s="420">
        <f t="shared" si="551"/>
        <v>801.37270882240011</v>
      </c>
      <c r="BW436" s="436">
        <f t="shared" si="552"/>
        <v>0</v>
      </c>
      <c r="BX436" s="423">
        <f t="shared" si="553"/>
        <v>1602.7454176448</v>
      </c>
      <c r="BY436" s="433">
        <f t="shared" si="554"/>
        <v>801.37270882240011</v>
      </c>
      <c r="BZ436" s="1113" t="s">
        <v>569</v>
      </c>
      <c r="CA436" s="1124"/>
      <c r="CB436" s="421">
        <f>IF($P436="","N/A",IF($P436=-1,INDEX('卡片raw data'!BE:BE,MATCH($D436,'卡片raw data'!$F:$F,)),0)+IF($L436="party卡",IF($P436=5,INDEX('卡片raw data'!BK:BK,MATCH($D436,'卡片raw data'!$F:$F,)),IF($P436&gt;=3,INDEX('卡片raw data'!BJ:BJ,MATCH($D436,'卡片raw data'!$F:$F,)),INDEX('卡片raw data'!BI:BI,MATCH($D436,'卡片raw data'!$F:$F,)))),IF(OR(AND($F436="UR",$P436=0),AND($F436="SR",$P436&gt;=0,$P436&lt;=2),AND($F436="R",$P436&gt;=0,$P436&lt;4)),INDEX('卡片raw data'!BG:BG,MATCH($D436,'卡片raw data'!$F:$F,)),0)+IF(OR(AND($F436="UR",$P436&gt;=1,$P436&lt;=4),AND($F436="SR",$P436&lt;=4,$P436&gt;=3),AND($F436="R",$P436=4)),INDEX('卡片raw data'!BH:BH,MATCH($D436,'卡片raw data'!$F:$F,)),0)+IF($P436=5,INDEX('卡片raw data'!BI:BI,MATCH($D436,'卡片raw data'!$F:$F,)),0)))</f>
        <v>0</v>
      </c>
      <c r="CC436" s="424">
        <f t="shared" si="555"/>
        <v>0</v>
      </c>
      <c r="CD436" s="420">
        <f>IF(BZ436="ap",CB436*(1-$FI$26)*$FB$5/$FB$11*(+IF(CA436="全员",$FA$24,0)+IF(CA436="同作战",$FA$24,0)+IF(CA436="仲间",$FA$24*2/3,0)+IF(CA436="同属性",$FA$24*$FA$37/3,0)+IF(CA436="同年级",$FA$24*$FA$40/3,0)+IF(CA436="同学校",$FA$24*$FA$43/3,0)+IF(CA436="同小队",$FA$24*$FA$46/3,0)+IF(CA436="同type",$FA$24*INDEX($FB$49:$FB$52,MATCH(X436,$FA$49:$FA$52,))/3,0)+IF(CA436="自身",#REF!/3,0)),0)+IF(BZ436="te",CB436*(1-$FI$27)*($FA$20-1)*$FB$7/$FB$13*(+IF(CA436="全员",$FA$19*$FA$24/(1+($FA$20-1)*$FA$19),0)+IF(CA436="同作战",$FA$19*$FA$24/(1+($FA$20-1)*$FA$19),0)+IF(CA436="仲间",$FA$19*$FA$24*2/3/(1+($FA$20-1)*$FA$19),0)+IF(CA436="同属性",$FA$19*$FA$24*$FA$37/3/(1+($FA$20-1)*$FA$19),0)+IF(CA436="同年级",$FA$19*$FA$24*$FA$40/3/(1+($FA$20-1)*$FA$19),0)+IF(CA436="同学校",$FA$19*$FA$24*$FA$43/3/(1+($FA$20-1)*$FA$19),0)+IF(CA436="同小队",$FA$19*$FA$24*$FA$46/3/(1+($FA$20-1)*$FA$19),0)+IF(CA436="同type",$FA$19*$FA$24*INDEX($FB$49:$FB$52,MATCH(X436,$FA$49:$FA$52,))/3/(1+($FA$20-1)*$FA$19),0)+IF(CA436="自身",$FA$19*#REF!/3/(1+(BH436-1)*$BD436),0)),0)</f>
        <v>0</v>
      </c>
      <c r="CE436" s="420">
        <f t="shared" si="556"/>
        <v>0</v>
      </c>
      <c r="CF436" s="436">
        <f t="shared" si="557"/>
        <v>0</v>
      </c>
      <c r="CG436" s="423">
        <f t="shared" si="558"/>
        <v>0</v>
      </c>
      <c r="CH436" s="433">
        <f t="shared" si="559"/>
        <v>0</v>
      </c>
      <c r="CI436" s="437" t="s">
        <v>165</v>
      </c>
      <c r="CJ436" s="438">
        <v>1</v>
      </c>
      <c r="CK436" s="439" t="s">
        <v>2074</v>
      </c>
      <c r="CL436" s="439" t="s">
        <v>2075</v>
      </c>
      <c r="CM436" s="1119">
        <v>0.01</v>
      </c>
      <c r="CN436" s="1115" t="s">
        <v>163</v>
      </c>
      <c r="CO436" s="1115"/>
      <c r="CP436" s="1118">
        <f t="shared" si="560"/>
        <v>6.6666666666666662E-3</v>
      </c>
      <c r="CQ436" s="1118">
        <f t="shared" si="561"/>
        <v>5.8333333333333336E-3</v>
      </c>
      <c r="CR436" s="1118">
        <f t="shared" si="562"/>
        <v>3.3333333333333331E-3</v>
      </c>
      <c r="CS436" s="442">
        <f t="shared" si="563"/>
        <v>0</v>
      </c>
      <c r="CT436" s="432">
        <f t="shared" si="564"/>
        <v>0</v>
      </c>
      <c r="CU436" s="1101">
        <f t="shared" si="565"/>
        <v>1133.191096069175</v>
      </c>
      <c r="CV436" s="1108">
        <f t="shared" si="566"/>
        <v>45.959005968750006</v>
      </c>
      <c r="CW436" s="1097">
        <f t="shared" si="567"/>
        <v>566.59554803458752</v>
      </c>
      <c r="CX436" s="1097">
        <f t="shared" si="568"/>
        <v>1133.191096069175</v>
      </c>
      <c r="CY436" s="1110">
        <f t="shared" si="569"/>
        <v>566.59554803458752</v>
      </c>
      <c r="CZ436" s="437"/>
      <c r="DA436" s="438"/>
      <c r="DB436" s="439" t="s">
        <v>569</v>
      </c>
      <c r="DC436" s="439"/>
      <c r="DD436" s="443"/>
      <c r="DE436" s="411"/>
      <c r="DF436" s="411"/>
      <c r="DG436" s="1116">
        <f t="shared" si="570"/>
        <v>0</v>
      </c>
      <c r="DH436" s="1116">
        <f t="shared" si="571"/>
        <v>0</v>
      </c>
      <c r="DI436" s="1116">
        <f t="shared" si="572"/>
        <v>0</v>
      </c>
      <c r="DJ436" s="442">
        <f t="shared" si="573"/>
        <v>0</v>
      </c>
      <c r="DK436" s="432">
        <f t="shared" si="574"/>
        <v>0</v>
      </c>
      <c r="DL436" s="424">
        <f t="shared" si="575"/>
        <v>0</v>
      </c>
      <c r="DM436" s="420">
        <f t="shared" si="576"/>
        <v>0</v>
      </c>
      <c r="DN436" s="420">
        <f t="shared" si="577"/>
        <v>0</v>
      </c>
      <c r="DO436" s="420">
        <f t="shared" si="578"/>
        <v>0</v>
      </c>
      <c r="DP436" s="433">
        <f t="shared" si="579"/>
        <v>0</v>
      </c>
      <c r="DQ436" s="1113" t="s">
        <v>2074</v>
      </c>
      <c r="DR436" s="444">
        <f t="shared" si="580"/>
        <v>0.3</v>
      </c>
      <c r="DS436" s="1124">
        <v>5</v>
      </c>
      <c r="DT436" s="1124" t="s">
        <v>2075</v>
      </c>
      <c r="DU436" s="1124" t="s">
        <v>2145</v>
      </c>
      <c r="DV436" s="1098">
        <f>IF($P436="","N/A",IF(P436=-1,INDEX('卡片raw data'!AN:AN,MATCH(D436,'卡片raw data'!$F:$F,)),0)+IF(AND(L436&lt;&gt;"party卡",P436&lt;=2,P436&gt;=0),INDEX('卡片raw data'!AP:AP,MATCH(D436,'卡片raw data'!$F:$F,)),0)+IF(OR(AND(L436="party卡",P436&lt;=1),AND(P436&lt;=4,L436&lt;&gt;"party卡",P436&gt;=3)),INDEX('卡片raw data'!AQ:AQ,MATCH(D436,'卡片raw data'!$F:$F,)),0)+IF(OR(P436=5,AND(L436="party卡",P436&gt;=2)),INDEX('卡片raw data'!AR:AR,MATCH(D436,'卡片raw data'!$F:$F,)),0))</f>
        <v>5.1999999999999998E-2</v>
      </c>
      <c r="DW436" s="1098">
        <f t="shared" si="581"/>
        <v>0.3</v>
      </c>
      <c r="DX436" s="1098">
        <f t="shared" si="582"/>
        <v>0.3</v>
      </c>
      <c r="DY436" s="1098">
        <f t="shared" si="583"/>
        <v>1.7333333333333333E-2</v>
      </c>
      <c r="DZ436" s="1098">
        <f t="shared" si="584"/>
        <v>1.3119166666666666E-2</v>
      </c>
      <c r="EA436" s="421">
        <f t="shared" si="585"/>
        <v>0</v>
      </c>
      <c r="EB436" s="445">
        <f t="shared" si="586"/>
        <v>0</v>
      </c>
      <c r="EC436" s="424">
        <f t="shared" si="587"/>
        <v>2946.2968497798547</v>
      </c>
      <c r="ED436" s="420">
        <f t="shared" si="588"/>
        <v>103.36180442371877</v>
      </c>
      <c r="EE436" s="433">
        <f t="shared" si="598"/>
        <v>2946.2968497798547</v>
      </c>
      <c r="EF436" s="1115" t="s">
        <v>569</v>
      </c>
      <c r="EG436" s="444">
        <f t="shared" si="589"/>
        <v>0.3</v>
      </c>
      <c r="EH436" s="1124"/>
      <c r="EI436" s="1093"/>
      <c r="EJ436" s="1093"/>
      <c r="EK436" s="420">
        <f>IF($P436="","N/A",IF(P436=-1,INDEX('卡片raw data'!AS:AS,MATCH(D436,'卡片raw data'!$F:$F,)),0)+IF(AND(L436&lt;&gt;"party卡",P436&lt;=2,P436&gt;=0),INDEX('卡片raw data'!AU:AU,MATCH(D436,'卡片raw data'!$F:$F,)),0)+IF(OR(AND(L436="party卡",P436&lt;=1),AND(P436&lt;=4,L436&lt;&gt;"party卡",P436&gt;=3)),INDEX('卡片raw data'!AV:AV,MATCH(D436,'卡片raw data'!$F:$F,)),0)+IF(OR(P436=5,AND(L436="party卡",P436&gt;=2)),INDEX('卡片raw data'!AW:AW,MATCH(D436,'卡片raw data'!$F:$F,)),0))</f>
        <v>0</v>
      </c>
      <c r="EL436" s="1098">
        <f t="shared" si="590"/>
        <v>0.3</v>
      </c>
      <c r="EM436" s="1098">
        <f t="shared" si="591"/>
        <v>0.3</v>
      </c>
      <c r="EN436" s="1097">
        <f t="shared" si="592"/>
        <v>0</v>
      </c>
      <c r="EO436" s="1097">
        <f t="shared" si="593"/>
        <v>0</v>
      </c>
      <c r="EP436" s="421">
        <f t="shared" si="594"/>
        <v>0</v>
      </c>
      <c r="EQ436" s="445">
        <f t="shared" si="595"/>
        <v>0</v>
      </c>
      <c r="ER436" s="424">
        <f t="shared" si="596"/>
        <v>0</v>
      </c>
      <c r="ES436" s="420">
        <f t="shared" si="597"/>
        <v>0</v>
      </c>
      <c r="ET436" s="446">
        <f t="shared" si="599"/>
        <v>0</v>
      </c>
    </row>
    <row r="437" spans="2:150" ht="16.5" customHeight="1">
      <c r="B437" s="1123" t="str">
        <f>INDEX('卡片raw data'!B:B,MATCH($D437,'卡片raw data'!$F:$F,))</f>
        <v>樱花雫</v>
      </c>
      <c r="C437" s="449" t="s">
        <v>2577</v>
      </c>
      <c r="D437" s="408">
        <v>434</v>
      </c>
      <c r="E437" s="477">
        <v>402033004</v>
      </c>
      <c r="F437" s="409" t="str">
        <f>INDEX('卡片raw data'!C:C,MATCH($D437,'卡片raw data'!$F:$F,))</f>
        <v>UR</v>
      </c>
      <c r="G437" s="1094" t="s">
        <v>2578</v>
      </c>
      <c r="H437" s="411">
        <f>IFERROR(INDEX(绊状态确认!C:C,MATCH($G437,绊状态确认!$B:$B,)),"")</f>
        <v>203</v>
      </c>
      <c r="I437" s="1124" t="str">
        <f>IFERROR(INDEX(绊状态确认!D:D,MATCH($G437,绊状态确认!$B:$B,)),"")</f>
        <v>虹</v>
      </c>
      <c r="J437" s="1124" t="str">
        <f>IFERROR(INDEX(绊状态确认!E:E,MATCH($G437,绊状态确认!$B:$B,)),"")</f>
        <v>1年级</v>
      </c>
      <c r="K437" s="451" t="str">
        <f>IFERROR(INDEX(绊状态确认!F:F,MATCH($G437,绊状态确认!$B:$B,)),"")</f>
        <v>A·ZU·NA</v>
      </c>
      <c r="L437" s="414" t="str">
        <f>INDEX('卡片raw data'!E:E,MATCH($D437,'卡片raw data'!$F:$F,))</f>
        <v>卡池卡</v>
      </c>
      <c r="M437" s="478">
        <v>44290</v>
      </c>
      <c r="N437" s="479">
        <v>37</v>
      </c>
      <c r="O437" s="410" t="str">
        <f>INDEX('卡片raw data'!D:D,MATCH($D437,'卡片raw data'!$F:$F,))</f>
        <v>sp</v>
      </c>
      <c r="P437" s="1126">
        <v>5</v>
      </c>
      <c r="Q437" s="418">
        <f t="shared" si="515"/>
        <v>51351.456562090563</v>
      </c>
      <c r="R437" s="419">
        <f t="shared" si="516"/>
        <v>0.59699999999999998</v>
      </c>
      <c r="S437" s="420">
        <f t="shared" si="517"/>
        <v>20889.963117701573</v>
      </c>
      <c r="T437" s="421">
        <f t="shared" si="518"/>
        <v>1.044</v>
      </c>
      <c r="U437" s="422">
        <f t="shared" si="519"/>
        <v>21.649253132742857</v>
      </c>
      <c r="V437" s="423">
        <f t="shared" si="520"/>
        <v>51313.375216097134</v>
      </c>
      <c r="W437" s="424">
        <f t="shared" si="521"/>
        <v>6033.672490102399</v>
      </c>
      <c r="X437" s="419">
        <f t="shared" si="522"/>
        <v>7.0000000000000007E-2</v>
      </c>
      <c r="Y437" s="420">
        <f t="shared" si="523"/>
        <v>1761.9186540065693</v>
      </c>
      <c r="Z437" s="425">
        <f t="shared" si="524"/>
        <v>21.649253132742857</v>
      </c>
      <c r="AA437" s="426">
        <f t="shared" si="525"/>
        <v>7795.5911441089684</v>
      </c>
      <c r="AB437" s="424">
        <f t="shared" si="526"/>
        <v>7335.9031419387993</v>
      </c>
      <c r="AC437" s="427">
        <f t="shared" si="527"/>
        <v>8.5000000000000006E-2</v>
      </c>
      <c r="AD437" s="428">
        <f t="shared" si="528"/>
        <v>-1.6087500000000001E-2</v>
      </c>
      <c r="AE437" s="516">
        <f t="shared" si="529"/>
        <v>10.92391304347826</v>
      </c>
      <c r="AF437" s="1130">
        <f t="shared" si="530"/>
        <v>0</v>
      </c>
      <c r="AG437" s="420">
        <f t="shared" si="531"/>
        <v>0</v>
      </c>
      <c r="AH437" s="420">
        <f t="shared" si="532"/>
        <v>0</v>
      </c>
      <c r="AI437" s="1097">
        <f t="shared" si="533"/>
        <v>0</v>
      </c>
      <c r="AJ437" s="420">
        <f t="shared" si="534"/>
        <v>0</v>
      </c>
      <c r="AK437" s="518">
        <f t="shared" si="535"/>
        <v>0</v>
      </c>
      <c r="AL437" s="1106">
        <f>IF($P437="","N/A",(IF($P437=-1,INDEX('卡片raw data'!S:S,MATCH($D437,'卡片raw data'!$F:$F,)),0)+IF($P437=0,INDEX('卡片raw data'!V:V,MATCH($D437,'卡片raw data'!$F:$F,)),0)+IF($P437=1,INDEX('卡片raw data'!Y:Y,MATCH($D437,'卡片raw data'!$F:$F,)),0)+IF($P437=2,INDEX('卡片raw data'!AB:AB,MATCH($D437,'卡片raw data'!$F:$F,)),0)+IF($P437=3,INDEX('卡片raw data'!AE:AE,MATCH($D437,'卡片raw data'!$F:$F,)),0)+IF($P437=4,INDEX('卡片raw data'!AH:AH,MATCH($D437,'卡片raw data'!$F:$F,)),0)+IF($P437=5,INDEX('卡片raw data'!AK:AK,MATCH($D437,'卡片raw data'!$F:$F,)),0)+INDEX('卡片raw data'!S:S,MATCH($D437,'卡片raw data'!$F:$F,))*(IF($F437="UR",0.04,0.033))*(IF($F437="UR",INDEX(绊状态确认!$S:$S,MATCH($G437,绊状态确认!$B:$B,))/2-40)+IF($F437="SR",INDEX(绊状态确认!$R:$R,MATCH($G437,绊状态确认!$B:$B,))/4-15))+IF($F437="R",INDEX(绊状态确认!$Q:$Q,MATCH($G437,绊状态确认!$B:$B,))/6-40/6)))*(INDEX(绊状态确认!$H:$H,MATCH($G437,绊状态确认!$B:$B,))+INDEX(绊状态确认!J:J,MATCH($G437,绊状态确认!$B:$B,)))</f>
        <v>14655.014399999998</v>
      </c>
      <c r="AM437" s="1106">
        <f>IF($P437="","N/A",(IF($P437=-1,INDEX('卡片raw data'!T:T,MATCH($D437,'卡片raw data'!$F:$F,)),0)+IF($P437=0,INDEX('卡片raw data'!W:W,MATCH($D437,'卡片raw data'!$F:$F,)),0)+IF($P437=1,INDEX('卡片raw data'!Z:Z,MATCH($D437,'卡片raw data'!$F:$F,)),0)+IF($P437=2,INDEX('卡片raw data'!AC:AC,MATCH($D437,'卡片raw data'!$F:$F,)),0)+IF($P437=3,INDEX('卡片raw data'!AF:AF,MATCH($D437,'卡片raw data'!$F:$F,)),0)+IF($P437=4,INDEX('卡片raw data'!AI:AI,MATCH($D437,'卡片raw data'!$F:$F,)),0)+IF($P437=5,INDEX('卡片raw data'!AL:AL,MATCH($D437,'卡片raw data'!$F:$F,)),0)+INDEX('卡片raw data'!T:T,MATCH($D437,'卡片raw data'!$F:$F,))*(IF($F437="UR",0.04,0.033))*(IF($F437="UR",INDEX(绊状态确认!$S:$S,MATCH($G437,绊状态确认!$B:$B,))/2-40)+IF($F437="SR",INDEX(绊状态确认!$R:$R,MATCH($G437,绊状态确认!$B:$B,))/4-15))+IF($F437="R",INDEX(绊状态确认!$Q:$Q,MATCH($G437,绊状态确认!$B:$B,))/6-40/6)))*(INDEX(绊状态确认!$H:$H,MATCH($G437,绊状态确认!$B:$B,))+INDEX(绊状态确认!K:K,MATCH($G437,绊状态确认!$B:$B,)))</f>
        <v>12821.955743999997</v>
      </c>
      <c r="AN437" s="1106">
        <f>IF($P437="","N/A",(IF($P437=-1,INDEX('卡片raw data'!U:U,MATCH($D437,'卡片raw data'!$F:$F,)),0)+IF($P437=0,INDEX('卡片raw data'!X:X,MATCH($D437,'卡片raw data'!$F:$F,)),0)+IF($P437=1,INDEX('卡片raw data'!AA:AA,MATCH($D437,'卡片raw data'!$F:$F,)),0)+IF($P437=2,INDEX('卡片raw data'!AD:AD,MATCH($D437,'卡片raw data'!$F:$F,)),0)+IF($P437=3,INDEX('卡片raw data'!AG:AG,MATCH($D437,'卡片raw data'!$F:$F,)),0)+IF($P437=4,INDEX('卡片raw data'!AJ:AJ,MATCH($D437,'卡片raw data'!$F:$F,)),0)+IF($P437=5,INDEX('卡片raw data'!AM:AM,MATCH($D437,'卡片raw data'!$F:$F,)),0)+INDEX('卡片raw data'!U:U,MATCH($D437,'卡片raw data'!$F:$F,))*(IF($F437="UR",0.04,0.033))*(IF($F437="UR",INDEX(绊状态确认!$S:$S,MATCH($G437,绊状态确认!$B:$B,))/2-40)+IF($F437="SR",INDEX(绊状态确认!$R:$R,MATCH($G437,绊状态确认!$B:$B,))/4-15))+IF($F437="R",INDEX(绊状态确认!$Q:$Q,MATCH($G437,绊状态确认!$B:$B,))/6-40/6)))*(INDEX(绊状态确认!$H:$H,MATCH($G437,绊状态确认!$B:$B,))+INDEX(绊状态确认!L:L,MATCH($G437,绊状态确认!$B:$B,)))</f>
        <v>9158.202143999999</v>
      </c>
      <c r="AO437" s="1107">
        <f t="shared" si="536"/>
        <v>1</v>
      </c>
      <c r="AP437" s="1131">
        <f>1+(INDEX(绊状态确认!$T:$T,MATCH($G437,绊状态确认!$B:$B,))+0.2)*$AO437</f>
        <v>1.3</v>
      </c>
      <c r="AQ437" s="1108">
        <f t="shared" si="537"/>
        <v>41719.412799999991</v>
      </c>
      <c r="AR437" s="1097">
        <f>(AM437*(1+$EX$9)+$EX$35)*(1+(INDEX(绊状态确认!$T:$T,MATCH($G437,绊状态确认!$B:$B,))+0.2)*AO437)*IF(J437=$FF$17,1+$FE$17,1)*IF(I437=$FF$14,1+$FE$14,1)</f>
        <v>20205.969590559998</v>
      </c>
      <c r="AS437" s="1097">
        <f>(AN437*(1+$EX$10)+$EX$36)*(1+(INDEX(绊状态确认!$T:$T,MATCH($G437,绊状态确认!$B:$B,))+0.2)*AO437)*IF(J437=$FF$17,1+$FE$17,1)*IF(I437=$FF$14,1+$FE$14,1)</f>
        <v>17747.512205279996</v>
      </c>
      <c r="AT437" s="1093">
        <f>IF(AND(INDEX('卡片raw data'!AK:AK,MATCH($D437,'卡片raw data'!$F:$F,))&lt;INDEX('卡片raw data'!AM:AM,MATCH($D437,'卡片raw data'!$F:$F,)),INDEX('卡片raw data'!AL:AL,MATCH($D437,'卡片raw data'!$F:$F,))&lt;INDEX('卡片raw data'!AM:AM,MATCH($D437,'卡片raw data'!$F:$F,))),1,0)</f>
        <v>0</v>
      </c>
      <c r="AU437" s="1098">
        <f>MIN(AT437*0.15+AS437*0.00003+INDEX(绊状态确认!M:M,MATCH($G437,绊状态确认!$B:$B,)),1)</f>
        <v>0.56242536615839989</v>
      </c>
      <c r="AV437" s="1109">
        <f>(INDEX(绊状态确认!$N:$N,MATCH($G437,绊状态确认!$B:$B,))+1.5)*$EW$21</f>
        <v>2.6599999999999997</v>
      </c>
      <c r="AW437" s="1101">
        <f t="shared" si="538"/>
        <v>41895.565057450964</v>
      </c>
      <c r="AX437" s="1097">
        <f t="shared" si="539"/>
        <v>1761.9186540065691</v>
      </c>
      <c r="AY437" s="1110">
        <f t="shared" si="540"/>
        <v>43657.483711457535</v>
      </c>
      <c r="AZ437" s="429">
        <f t="shared" si="541"/>
        <v>31177.278079999996</v>
      </c>
      <c r="BA437" s="431">
        <f t="shared" si="542"/>
        <v>37412.733695999996</v>
      </c>
      <c r="BB437" s="1097">
        <f>(AM437*(1+$FB$9)+$FB$35)*(1+(INDEX(绊状态确认!$T:$T,MATCH($G437,绊状态确认!$B:$B,))+0.2)*AO437)*IF(J437=$FF$17,1+$FE$17,1)*IF(I437=$FF$14,1+$FE$14,1)*(1+$FE$15)</f>
        <v>20205.969590559998</v>
      </c>
      <c r="BC437" s="1097">
        <f>(AN437*(1+$FB$10)+$FB$36)*(1+(INDEX(绊状态确认!$T:$T,MATCH($G437,绊状态确认!$B:$B,))+0.2)*AO437)*IF(J437=$FF$17,1+$FE$17,1)*IF(I437=$FF$14,1+$FE$14,1)*(1+$FE$15)</f>
        <v>17747.512205279996</v>
      </c>
      <c r="BD437" s="1104">
        <f>MIN(AT437*0.15+BC437*0.00003+INDEX(绊状态确认!M:M,MATCH($G437,绊状态确认!$B:$B,)),1)</f>
        <v>0.56242536615839989</v>
      </c>
      <c r="BE437" s="432">
        <f>(INDEX(绊状态确认!$N:$N,MATCH($G437,绊状态确认!$B:$B,))+1.5)</f>
        <v>1.9</v>
      </c>
      <c r="BF437" s="1139">
        <f t="array" ref="BF437">SUMPRODUCT(IF(AZ437*AP437*$FI$16:$FI$23*$FA$22&gt;=$FI$24,$FI$24,AZ437*AP437*$FI$16:$FI$23*$FA$22),$FJ$16:$FJ$23)</f>
        <v>57481.144597120001</v>
      </c>
      <c r="BG437" s="1125">
        <f t="array" ref="BG437">SUMPRODUCT(IF(BE437*AZ437*AP437*$FI$16:$FI$23*$FA$22&gt;=$FI$24,$FI$24,BE437*AZ437*AP437*$FI$16:$FI$23*$FA$22),$FJ$16:$FJ$23)</f>
        <v>60000</v>
      </c>
      <c r="BH437" s="1110">
        <f t="shared" si="543"/>
        <v>19632.604256461618</v>
      </c>
      <c r="BI437" s="1111">
        <f>IF(O437="vo",$EW$26/$EW$24*0.05,0)+IF(O437="sk",-$EW$26/$EW$24*(0.05-INDEX(绊状态确认!W:W,MATCH($G437,绊状态确认!$B:$B,)))+0.05*$EW$28,0)+IF(O437="sp",0.05*$EW$32*$EW$30*(1-$EW$33)-(0.05-INDEX(绊状态确认!V:V,MATCH($G437,绊状态确认!$B:$B,)))*$EW$28,0)+IF(O437="gd",-(0.05-INDEX(绊状态确认!X:X,MATCH($G437,绊状态确认!$B:$B,)))*$EW$32*$EW$30*(1-$EW$33),0)</f>
        <v>19.999999999999886</v>
      </c>
      <c r="BJ437" s="420">
        <f>IF(O437="vo",0.05*(1-$FI$26)*$FA$24,0)+IF(O437="sk",-(0.05-INDEX(绊状态确认!W:W,MATCH($G437,绊状态确认!$B:$B,)))*(1-$FI$26)*$FA$24+0.05*$FA$26,0)+IF(O437="sp",0.05*$FA$32*$FA$27*(1-$FA$33)/$FA$30+0.05*$FA$29/$FA$69*$FA$27*(1-$FA$33)-(0.05-INDEX(绊状态确认!V:V,MATCH($G437,绊状态确认!$B:$B,)))*$FA$26,0)+IF(O437="gd",-(0.05-INDEX(绊状态确认!X:X,MATCH($G437,绊状态确认!$B:$B,)))*$FA$32*$FA$27*(1-$FA$33)/$FA$30-(0.05-INDEX(绊状态确认!X:X,MATCH($G437,绊状态确认!$B:$B,)))*$FA$29/$FA$69*$FA$27*(1-$FA$33),0)</f>
        <v>545.83333333333326</v>
      </c>
      <c r="BK437" s="1110">
        <f>IF(O437="vo",$EW$26/$EW$24*0.05+$EW$26*(-HP($EW$62,$EW$65,$EW$64)+HP($EW$62,$EW$65,(1.05-INDEX(绊状态确认!U:U,MATCH($G437,绊状态确认!$B:$B,)))*$EW$64)),0)+IF(O437="sk",-$EW$26/$EW$24*(0.05-INDEX(绊状态确认!W:W,MATCH($G437,绊状态确认!$B:$B,)))+0.05*$EW$29,0)+IF(O437="sp",0.05*$EW$32*$EW$30*(1-$EW$33)-(0.05-INDEX(绊状态确认!V:V,MATCH($G437,绊状态确认!$B:$B,)))*$EW$29,0)+IF(O437="gd",-(0.05-INDEX(绊状态确认!X:X,MATCH($G437,绊状态确认!$B:$B,)))*$EW$32*$EW$30*(1-$EW$33)+$EW$26*(-HP($EW$62,$EW$65,$EW$64)+HP($EW$62,$EW$65,0.95*$EW$64)),0)</f>
        <v>-1780.0000000000005</v>
      </c>
      <c r="BL437" s="1111">
        <f t="shared" si="544"/>
        <v>0</v>
      </c>
      <c r="BM437" s="1110">
        <f t="shared" si="545"/>
        <v>0</v>
      </c>
      <c r="BN437" s="1113">
        <f t="shared" si="546"/>
        <v>3</v>
      </c>
      <c r="BO437" s="1108">
        <f t="shared" si="547"/>
        <v>4507.7214871259994</v>
      </c>
      <c r="BP437" s="1100">
        <f t="shared" si="548"/>
        <v>221.34103209030098</v>
      </c>
      <c r="BQ437" s="1113" t="s">
        <v>132</v>
      </c>
      <c r="BR437" s="1124" t="s">
        <v>171</v>
      </c>
      <c r="BS437" s="421">
        <f>IF($P437="","N/A",IF($P437=-1,INDEX('卡片raw data'!AX:AX,MATCH($D437,'卡片raw data'!$F:$F,)),0)+IF($L437="party卡",IF($P437=5,INDEX('卡片raw data'!BD:BD,MATCH($D437,'卡片raw data'!$F:$F,)),IF($P437&gt;=3,INDEX('卡片raw data'!BC:BC,MATCH($D437,'卡片raw data'!$F:$F,)),INDEX('卡片raw data'!BB:BB,MATCH($D437,'卡片raw data'!$F:$F,)))),IF(OR(AND($F437="UR",$P437=0),AND($F437="SR",$P437&gt;=0,$P437&lt;=2),AND($F437="R",$P437&gt;=0,$P437&lt;4)),INDEX('卡片raw data'!AZ:AZ,MATCH($D437,'卡片raw data'!$F:$F,)),0)+IF(OR(AND($F437="UR",$P437&gt;=1,$P437&lt;=4),AND($F437="SR",$P437&lt;=4,$P437&gt;=3),AND($F437="R",$P437=4)),INDEX('卡片raw data'!BA:BA,MATCH($D437,'卡片raw data'!$F:$F,)),0)+IF($P437=5,INDEX('卡片raw data'!BB:BB,MATCH($D437,'卡片raw data'!$F:$F,)),0)))</f>
        <v>5.1999999999999998E-2</v>
      </c>
      <c r="BT437" s="424">
        <f t="shared" si="549"/>
        <v>2604.4613036728001</v>
      </c>
      <c r="BU437" s="420">
        <f t="shared" si="550"/>
        <v>111.90018844565216</v>
      </c>
      <c r="BV437" s="420">
        <f t="shared" si="551"/>
        <v>1302.2306518363998</v>
      </c>
      <c r="BW437" s="436">
        <f t="shared" si="552"/>
        <v>0</v>
      </c>
      <c r="BX437" s="423">
        <f t="shared" si="553"/>
        <v>2604.4613036728001</v>
      </c>
      <c r="BY437" s="433">
        <f t="shared" si="554"/>
        <v>1302.2306518363998</v>
      </c>
      <c r="BZ437" s="1113" t="s">
        <v>569</v>
      </c>
      <c r="CA437" s="1124"/>
      <c r="CB437" s="421">
        <f>IF($P437="","N/A",IF($P437=-1,INDEX('卡片raw data'!BE:BE,MATCH($D437,'卡片raw data'!$F:$F,)),0)+IF($L437="party卡",IF($P437=5,INDEX('卡片raw data'!BK:BK,MATCH($D437,'卡片raw data'!$F:$F,)),IF($P437&gt;=3,INDEX('卡片raw data'!BJ:BJ,MATCH($D437,'卡片raw data'!$F:$F,)),INDEX('卡片raw data'!BI:BI,MATCH($D437,'卡片raw data'!$F:$F,)))),IF(OR(AND($F437="UR",$P437=0),AND($F437="SR",$P437&gt;=0,$P437&lt;=2),AND($F437="R",$P437&gt;=0,$P437&lt;4)),INDEX('卡片raw data'!BG:BG,MATCH($D437,'卡片raw data'!$F:$F,)),0)+IF(OR(AND($F437="UR",$P437&gt;=1,$P437&lt;=4),AND($F437="SR",$P437&lt;=4,$P437&gt;=3),AND($F437="R",$P437=4)),INDEX('卡片raw data'!BH:BH,MATCH($D437,'卡片raw data'!$F:$F,)),0)+IF($P437=5,INDEX('卡片raw data'!BI:BI,MATCH($D437,'卡片raw data'!$F:$F,)),0)))</f>
        <v>0</v>
      </c>
      <c r="CC437" s="424">
        <f t="shared" si="555"/>
        <v>0</v>
      </c>
      <c r="CD437" s="420">
        <f>IF(BZ437="ap",CB437*(1-$FI$26)*$FB$5/$FB$11*(+IF(CA437="全员",$FA$24,0)+IF(CA437="同作战",$FA$24,0)+IF(CA437="仲间",$FA$24*2/3,0)+IF(CA437="同属性",$FA$24*$FA$37/3,0)+IF(CA437="同年级",$FA$24*$FA$40/3,0)+IF(CA437="同学校",$FA$24*$FA$43/3,0)+IF(CA437="同小队",$FA$24*$FA$46/3,0)+IF(CA437="同type",$FA$24*INDEX($FB$49:$FB$52,MATCH(X437,$FA$49:$FA$52,))/3,0)+IF(CA437="自身",#REF!/3,0)),0)+IF(BZ437="te",CB437*(1-$FI$27)*($FA$20-1)*$FB$7/$FB$13*(+IF(CA437="全员",$FA$19*$FA$24/(1+($FA$20-1)*$FA$19),0)+IF(CA437="同作战",$FA$19*$FA$24/(1+($FA$20-1)*$FA$19),0)+IF(CA437="仲间",$FA$19*$FA$24*2/3/(1+($FA$20-1)*$FA$19),0)+IF(CA437="同属性",$FA$19*$FA$24*$FA$37/3/(1+($FA$20-1)*$FA$19),0)+IF(CA437="同年级",$FA$19*$FA$24*$FA$40/3/(1+($FA$20-1)*$FA$19),0)+IF(CA437="同学校",$FA$19*$FA$24*$FA$43/3/(1+($FA$20-1)*$FA$19),0)+IF(CA437="同小队",$FA$19*$FA$24*$FA$46/3/(1+($FA$20-1)*$FA$19),0)+IF(CA437="同type",$FA$19*$FA$24*INDEX($FB$49:$FB$52,MATCH(X437,$FA$49:$FA$52,))/3/(1+($FA$20-1)*$FA$19),0)+IF(CA437="自身",$FA$19*#REF!/3/(1+(BH437-1)*$BD437),0)),0)</f>
        <v>0</v>
      </c>
      <c r="CE437" s="420">
        <f t="shared" si="556"/>
        <v>0</v>
      </c>
      <c r="CF437" s="436">
        <f t="shared" si="557"/>
        <v>0</v>
      </c>
      <c r="CG437" s="423">
        <f t="shared" si="558"/>
        <v>0</v>
      </c>
      <c r="CH437" s="433">
        <f t="shared" si="559"/>
        <v>0</v>
      </c>
      <c r="CI437" s="1113" t="s">
        <v>160</v>
      </c>
      <c r="CJ437" s="1114">
        <v>1</v>
      </c>
      <c r="CK437" s="1115" t="s">
        <v>545</v>
      </c>
      <c r="CL437" s="1115" t="s">
        <v>1940</v>
      </c>
      <c r="CM437" s="1119">
        <v>7.0000000000000007E-2</v>
      </c>
      <c r="CN437" s="1115"/>
      <c r="CO437" s="1115"/>
      <c r="CP437" s="1116">
        <f t="shared" si="560"/>
        <v>203.38213739999998</v>
      </c>
      <c r="CQ437" s="1116">
        <f t="shared" si="561"/>
        <v>378.28430737066662</v>
      </c>
      <c r="CR437" s="1117">
        <f t="shared" si="562"/>
        <v>203.38213739999998</v>
      </c>
      <c r="CS437" s="442">
        <f t="shared" si="563"/>
        <v>0</v>
      </c>
      <c r="CT437" s="432">
        <f t="shared" si="564"/>
        <v>0</v>
      </c>
      <c r="CU437" s="1101">
        <f t="shared" si="565"/>
        <v>223.72035113999999</v>
      </c>
      <c r="CV437" s="1108">
        <f t="shared" si="566"/>
        <v>378.28430737066662</v>
      </c>
      <c r="CW437" s="420">
        <f t="shared" si="567"/>
        <v>223.72035113999999</v>
      </c>
      <c r="CX437" s="420">
        <f t="shared" si="568"/>
        <v>223.72035113999999</v>
      </c>
      <c r="CY437" s="433">
        <f t="shared" si="569"/>
        <v>223.72035113999999</v>
      </c>
      <c r="CZ437" s="437"/>
      <c r="DA437" s="438"/>
      <c r="DB437" s="439" t="s">
        <v>569</v>
      </c>
      <c r="DC437" s="439"/>
      <c r="DD437" s="443"/>
      <c r="DE437" s="411"/>
      <c r="DF437" s="411"/>
      <c r="DG437" s="1116">
        <f t="shared" si="570"/>
        <v>0</v>
      </c>
      <c r="DH437" s="1116">
        <f t="shared" si="571"/>
        <v>0</v>
      </c>
      <c r="DI437" s="1116">
        <f t="shared" si="572"/>
        <v>0</v>
      </c>
      <c r="DJ437" s="442">
        <f t="shared" si="573"/>
        <v>0</v>
      </c>
      <c r="DK437" s="432">
        <f t="shared" si="574"/>
        <v>0</v>
      </c>
      <c r="DL437" s="424">
        <f t="shared" si="575"/>
        <v>0</v>
      </c>
      <c r="DM437" s="420">
        <f t="shared" si="576"/>
        <v>0</v>
      </c>
      <c r="DN437" s="420">
        <f t="shared" si="577"/>
        <v>0</v>
      </c>
      <c r="DO437" s="420">
        <f t="shared" si="578"/>
        <v>0</v>
      </c>
      <c r="DP437" s="433">
        <f t="shared" si="579"/>
        <v>0</v>
      </c>
      <c r="DQ437" s="1113" t="s">
        <v>256</v>
      </c>
      <c r="DR437" s="444">
        <f t="shared" si="580"/>
        <v>0.33</v>
      </c>
      <c r="DS437" s="1124"/>
      <c r="DT437" s="1093" t="s">
        <v>132</v>
      </c>
      <c r="DU437" s="1093"/>
      <c r="DV437" s="1098">
        <f>IF($P437="","N/A",IF(P437=-1,INDEX('卡片raw data'!AN:AN,MATCH(D437,'卡片raw data'!$F:$F,)),0)+IF(AND(L437&lt;&gt;"party卡",P437&lt;=2,P437&gt;=0),INDEX('卡片raw data'!AP:AP,MATCH(D437,'卡片raw data'!$F:$F,)),0)+IF(OR(AND(L437="party卡",P437&lt;=1),AND(P437&lt;=4,L437&lt;&gt;"party卡",P437&gt;=3)),INDEX('卡片raw data'!AQ:AQ,MATCH(D437,'卡片raw data'!$F:$F,)),0)+IF(OR(P437=5,AND(L437="party卡",P437&gt;=2)),INDEX('卡片raw data'!AR:AR,MATCH(D437,'卡片raw data'!$F:$F,)),0))</f>
        <v>0.32</v>
      </c>
      <c r="DW437" s="1098">
        <f t="shared" si="581"/>
        <v>0.33</v>
      </c>
      <c r="DX437" s="1098">
        <f t="shared" si="582"/>
        <v>0.33</v>
      </c>
      <c r="DY437" s="1097">
        <f t="shared" si="583"/>
        <v>1468.5233305599997</v>
      </c>
      <c r="DZ437" s="1097">
        <f t="shared" si="584"/>
        <v>1139.142915575808</v>
      </c>
      <c r="EA437" s="421">
        <f t="shared" si="585"/>
        <v>0</v>
      </c>
      <c r="EB437" s="445">
        <f t="shared" si="586"/>
        <v>0</v>
      </c>
      <c r="EC437" s="424">
        <f t="shared" si="587"/>
        <v>2099.9883627007998</v>
      </c>
      <c r="ED437" s="420">
        <f t="shared" si="588"/>
        <v>0</v>
      </c>
      <c r="EE437" s="433">
        <f t="shared" si="598"/>
        <v>2099.9883627007998</v>
      </c>
      <c r="EF437" s="1115" t="s">
        <v>569</v>
      </c>
      <c r="EG437" s="444">
        <f t="shared" si="589"/>
        <v>0.33</v>
      </c>
      <c r="EH437" s="1124"/>
      <c r="EI437" s="1093"/>
      <c r="EJ437" s="1093"/>
      <c r="EK437" s="420">
        <f>IF($P437="","N/A",IF(P437=-1,INDEX('卡片raw data'!AS:AS,MATCH(D437,'卡片raw data'!$F:$F,)),0)+IF(AND(L437&lt;&gt;"party卡",P437&lt;=2,P437&gt;=0),INDEX('卡片raw data'!AU:AU,MATCH(D437,'卡片raw data'!$F:$F,)),0)+IF(OR(AND(L437="party卡",P437&lt;=1),AND(P437&lt;=4,L437&lt;&gt;"party卡",P437&gt;=3)),INDEX('卡片raw data'!AV:AV,MATCH(D437,'卡片raw data'!$F:$F,)),0)+IF(OR(P437=5,AND(L437="party卡",P437&gt;=2)),INDEX('卡片raw data'!AW:AW,MATCH(D437,'卡片raw data'!$F:$F,)),0))</f>
        <v>0</v>
      </c>
      <c r="EL437" s="1098">
        <f t="shared" si="590"/>
        <v>0.33</v>
      </c>
      <c r="EM437" s="1098">
        <f t="shared" si="591"/>
        <v>0.33</v>
      </c>
      <c r="EN437" s="1097">
        <f t="shared" si="592"/>
        <v>0</v>
      </c>
      <c r="EO437" s="1097">
        <f t="shared" si="593"/>
        <v>0</v>
      </c>
      <c r="EP437" s="421">
        <f t="shared" si="594"/>
        <v>0</v>
      </c>
      <c r="EQ437" s="445">
        <f t="shared" si="595"/>
        <v>0</v>
      </c>
      <c r="ER437" s="424">
        <f t="shared" si="596"/>
        <v>0</v>
      </c>
      <c r="ES437" s="420">
        <f t="shared" si="597"/>
        <v>0</v>
      </c>
      <c r="ET437" s="446">
        <f t="shared" si="599"/>
        <v>0</v>
      </c>
    </row>
    <row r="438" spans="2:150" ht="16.5" customHeight="1">
      <c r="B438" s="448" t="str">
        <f>INDEX('卡片raw data'!B:B,MATCH($D438,'卡片raw data'!$F:$F,))</f>
        <v>jb璃</v>
      </c>
      <c r="C438" s="449" t="s">
        <v>2590</v>
      </c>
      <c r="D438" s="408">
        <v>435</v>
      </c>
      <c r="E438" s="477">
        <v>402092005</v>
      </c>
      <c r="F438" s="409" t="str">
        <f>INDEX('卡片raw data'!C:C,MATCH($D438,'卡片raw data'!$F:$F,))</f>
        <v>SR</v>
      </c>
      <c r="G438" s="1094" t="s">
        <v>2591</v>
      </c>
      <c r="H438" s="411">
        <f>IFERROR(INDEX(绊状态确认!C:C,MATCH($G438,绊状态确认!$B:$B,)),"")</f>
        <v>209</v>
      </c>
      <c r="I438" s="450" t="str">
        <f>IFERROR(INDEX(绊状态确认!D:D,MATCH($G438,绊状态确认!$B:$B,)),"")</f>
        <v>虹</v>
      </c>
      <c r="J438" s="450" t="str">
        <f>IFERROR(INDEX(绊状态确认!E:E,MATCH($G438,绊状态确认!$B:$B,)),"")</f>
        <v>1年级</v>
      </c>
      <c r="K438" s="451" t="str">
        <f>IFERROR(INDEX(绊状态确认!F:F,MATCH($G438,绊状态确认!$B:$B,)),"")</f>
        <v>QU4RTZ</v>
      </c>
      <c r="L438" s="414" t="str">
        <f>INDEX('卡片raw data'!E:E,MATCH($D438,'卡片raw data'!$F:$F,))</f>
        <v>卡池卡</v>
      </c>
      <c r="M438" s="478">
        <v>44290</v>
      </c>
      <c r="N438" s="479">
        <v>37</v>
      </c>
      <c r="O438" s="410" t="str">
        <f>INDEX('卡片raw data'!D:D,MATCH($D438,'卡片raw data'!$F:$F,))</f>
        <v>gd</v>
      </c>
      <c r="P438" s="1126">
        <v>5</v>
      </c>
      <c r="Q438" s="418">
        <f t="shared" si="515"/>
        <v>21447.225546376383</v>
      </c>
      <c r="R438" s="419">
        <f t="shared" si="516"/>
        <v>0.249</v>
      </c>
      <c r="S438" s="420">
        <f t="shared" si="517"/>
        <v>12468.115019942947</v>
      </c>
      <c r="T438" s="421">
        <f t="shared" si="518"/>
        <v>0.623</v>
      </c>
      <c r="U438" s="422">
        <f t="shared" si="519"/>
        <v>85.547107934760007</v>
      </c>
      <c r="V438" s="423">
        <f t="shared" si="520"/>
        <v>29832.439666545386</v>
      </c>
      <c r="W438" s="424">
        <f t="shared" si="521"/>
        <v>4507.7214871259994</v>
      </c>
      <c r="X438" s="419">
        <f t="shared" si="522"/>
        <v>5.1999999999999998E-2</v>
      </c>
      <c r="Y438" s="420">
        <f t="shared" si="523"/>
        <v>1978.9910531105033</v>
      </c>
      <c r="Z438" s="425">
        <f t="shared" si="524"/>
        <v>24.79710793476</v>
      </c>
      <c r="AA438" s="426">
        <f t="shared" si="525"/>
        <v>6486.7125402365027</v>
      </c>
      <c r="AB438" s="424">
        <f t="shared" si="526"/>
        <v>4507.7214871259994</v>
      </c>
      <c r="AC438" s="427">
        <f t="shared" si="527"/>
        <v>5.1999999999999998E-2</v>
      </c>
      <c r="AD438" s="428">
        <f t="shared" si="528"/>
        <v>-3.8207812500000026E-3</v>
      </c>
      <c r="AE438" s="516">
        <f t="shared" si="529"/>
        <v>-18.525362318840578</v>
      </c>
      <c r="AF438" s="1130">
        <f t="shared" si="530"/>
        <v>0</v>
      </c>
      <c r="AG438" s="420">
        <f t="shared" si="531"/>
        <v>0</v>
      </c>
      <c r="AH438" s="420">
        <f t="shared" si="532"/>
        <v>0</v>
      </c>
      <c r="AI438" s="1097">
        <f t="shared" si="533"/>
        <v>0</v>
      </c>
      <c r="AJ438" s="420">
        <f t="shared" si="534"/>
        <v>0</v>
      </c>
      <c r="AK438" s="518">
        <f t="shared" si="535"/>
        <v>0</v>
      </c>
      <c r="AL438" s="1106">
        <f>IF($P438="","N/A",(IF($P438=-1,INDEX('卡片raw data'!S:S,MATCH($D438,'卡片raw data'!$F:$F,)),0)+IF($P438=0,INDEX('卡片raw data'!V:V,MATCH($D438,'卡片raw data'!$F:$F,)),0)+IF($P438=1,INDEX('卡片raw data'!Y:Y,MATCH($D438,'卡片raw data'!$F:$F,)),0)+IF($P438=2,INDEX('卡片raw data'!AB:AB,MATCH($D438,'卡片raw data'!$F:$F,)),0)+IF($P438=3,INDEX('卡片raw data'!AE:AE,MATCH($D438,'卡片raw data'!$F:$F,)),0)+IF($P438=4,INDEX('卡片raw data'!AH:AH,MATCH($D438,'卡片raw data'!$F:$F,)),0)+IF($P438=5,INDEX('卡片raw data'!AK:AK,MATCH($D438,'卡片raw data'!$F:$F,)),0)+INDEX('卡片raw data'!S:S,MATCH($D438,'卡片raw data'!$F:$F,))*(IF($F438="UR",0.04,0.033))*(IF($F438="UR",INDEX(绊状态确认!$S:$S,MATCH($G438,绊状态确认!$B:$B,))/2-40)+IF($F438="SR",INDEX(绊状态确认!$R:$R,MATCH($G438,绊状态确认!$B:$B,))/4-15))+IF($F438="R",INDEX(绊状态确认!$Q:$Q,MATCH($G438,绊状态确认!$B:$B,))/6-40/6)))*(INDEX(绊状态确认!$H:$H,MATCH($G438,绊状态确认!$B:$B,))+INDEX(绊状态确认!J:J,MATCH($G438,绊状态确认!$B:$B,)))</f>
        <v>6156.0583511999994</v>
      </c>
      <c r="AM438" s="1106">
        <f>IF($P438="","N/A",(IF($P438=-1,INDEX('卡片raw data'!T:T,MATCH($D438,'卡片raw data'!$F:$F,)),0)+IF($P438=0,INDEX('卡片raw data'!W:W,MATCH($D438,'卡片raw data'!$F:$F,)),0)+IF($P438=1,INDEX('卡片raw data'!Z:Z,MATCH($D438,'卡片raw data'!$F:$F,)),0)+IF($P438=2,INDEX('卡片raw data'!AC:AC,MATCH($D438,'卡片raw data'!$F:$F,)),0)+IF($P438=3,INDEX('卡片raw data'!AF:AF,MATCH($D438,'卡片raw data'!$F:$F,)),0)+IF($P438=4,INDEX('卡片raw data'!AI:AI,MATCH($D438,'卡片raw data'!$F:$F,)),0)+IF($P438=5,INDEX('卡片raw data'!AL:AL,MATCH($D438,'卡片raw data'!$F:$F,)),0)+INDEX('卡片raw data'!T:T,MATCH($D438,'卡片raw data'!$F:$F,))*(IF($F438="UR",0.04,0.033))*(IF($F438="UR",INDEX(绊状态确认!$S:$S,MATCH($G438,绊状态确认!$B:$B,))/2-40)+IF($F438="SR",INDEX(绊状态确认!$R:$R,MATCH($G438,绊状态确认!$B:$B,))/4-15))+IF($F438="R",INDEX(绊状态确认!$Q:$Q,MATCH($G438,绊状态确认!$B:$B,))/6-40/6)))*(INDEX(绊状态确认!$H:$H,MATCH($G438,绊状态确认!$B:$B,))+INDEX(绊状态确认!K:K,MATCH($G438,绊状态确认!$B:$B,)))</f>
        <v>8664.140879999999</v>
      </c>
      <c r="AN438" s="1106">
        <f>IF($P438="","N/A",(IF($P438=-1,INDEX('卡片raw data'!U:U,MATCH($D438,'卡片raw data'!$F:$F,)),0)+IF($P438=0,INDEX('卡片raw data'!X:X,MATCH($D438,'卡片raw data'!$F:$F,)),0)+IF($P438=1,INDEX('卡片raw data'!AA:AA,MATCH($D438,'卡片raw data'!$F:$F,)),0)+IF($P438=2,INDEX('卡片raw data'!AD:AD,MATCH($D438,'卡片raw data'!$F:$F,)),0)+IF($P438=3,INDEX('卡片raw data'!AG:AG,MATCH($D438,'卡片raw data'!$F:$F,)),0)+IF($P438=4,INDEX('卡片raw data'!AJ:AJ,MATCH($D438,'卡片raw data'!$F:$F,)),0)+IF($P438=5,INDEX('卡片raw data'!AM:AM,MATCH($D438,'卡片raw data'!$F:$F,)),0)+INDEX('卡片raw data'!U:U,MATCH($D438,'卡片raw data'!$F:$F,))*(IF($F438="UR",0.04,0.033))*(IF($F438="UR",INDEX(绊状态确认!$S:$S,MATCH($G438,绊状态确认!$B:$B,))/2-40)+IF($F438="SR",INDEX(绊状态确认!$R:$R,MATCH($G438,绊状态确认!$B:$B,))/4-15))+IF($F438="R",INDEX(绊状态确认!$Q:$Q,MATCH($G438,绊状态确认!$B:$B,))/6-40/6)))*(INDEX(绊状态确认!$H:$H,MATCH($G438,绊状态确认!$B:$B,))+INDEX(绊状态确认!L:L,MATCH($G438,绊状态确认!$B:$B,)))</f>
        <v>7980.614462399999</v>
      </c>
      <c r="AO438" s="1107">
        <f t="shared" si="536"/>
        <v>1</v>
      </c>
      <c r="AP438" s="1131">
        <f>1+(INDEX(绊状态确认!$T:$T,MATCH($G438,绊状态确认!$B:$B,))+0.2)*$AO438</f>
        <v>1.3</v>
      </c>
      <c r="AQ438" s="1108">
        <f t="shared" si="537"/>
        <v>19409.653171899998</v>
      </c>
      <c r="AR438" s="1097">
        <f>(AM438*(1+$EX$9)+$EX$35)*(1+(INDEX(绊状态确认!$T:$T,MATCH($G438,绊状态确认!$B:$B,))+0.2)*AO438)*IF(J438=$FF$17,1+$FE$17,1)*IF(I438=$FF$14,1+$FE$14,1)</f>
        <v>14530.552301199999</v>
      </c>
      <c r="AS438" s="1097">
        <f>(AN438*(1+$EX$10)+$EX$36)*(1+(INDEX(绊状态确认!$T:$T,MATCH($G438,绊状态确认!$B:$B,))+0.2)*AO438)*IF(J438=$FF$17,1+$FE$17,1)*IF(I438=$FF$14,1+$FE$14,1)</f>
        <v>15987.018621287998</v>
      </c>
      <c r="AT438" s="1093">
        <f>IF(AND(INDEX('卡片raw data'!AK:AK,MATCH($D438,'卡片raw data'!$F:$F,))&lt;INDEX('卡片raw data'!AM:AM,MATCH($D438,'卡片raw data'!$F:$F,)),INDEX('卡片raw data'!AL:AL,MATCH($D438,'卡片raw data'!$F:$F,))&lt;INDEX('卡片raw data'!AM:AM,MATCH($D438,'卡片raw data'!$F:$F,))),1,0)</f>
        <v>0</v>
      </c>
      <c r="AU438" s="1098">
        <f>MIN(AT438*0.15+AS438*0.00003+INDEX(绊状态确认!M:M,MATCH($G438,绊状态确认!$B:$B,)),1)</f>
        <v>0.50961055863863991</v>
      </c>
      <c r="AV438" s="1109">
        <f>(INDEX(绊状态确认!$N:$N,MATCH($G438,绊状态确认!$B:$B,))+1.5)*$EW$21</f>
        <v>2.6599999999999997</v>
      </c>
      <c r="AW438" s="1101">
        <f t="shared" si="538"/>
        <v>18607.837392583715</v>
      </c>
      <c r="AX438" s="1097">
        <f t="shared" si="539"/>
        <v>1251.1296485137016</v>
      </c>
      <c r="AY438" s="1110">
        <f t="shared" si="540"/>
        <v>19858.967041097418</v>
      </c>
      <c r="AZ438" s="429">
        <f t="shared" si="541"/>
        <v>14604.313784839998</v>
      </c>
      <c r="BA438" s="431">
        <f t="shared" si="542"/>
        <v>17525.176541807996</v>
      </c>
      <c r="BB438" s="1097">
        <f>(AM438*(1+$FB$9)+$FB$35)*(1+(INDEX(绊状态确认!$T:$T,MATCH($G438,绊状态确认!$B:$B,))+0.2)*AO438)*IF(J438=$FF$17,1+$FE$17,1)*IF(I438=$FF$14,1+$FE$14,1)*(1+$FE$15)</f>
        <v>14530.552301199999</v>
      </c>
      <c r="BC438" s="1097">
        <f>(AN438*(1+$FB$10)+$FB$36)*(1+(INDEX(绊状态确认!$T:$T,MATCH($G438,绊状态确认!$B:$B,))+0.2)*AO438)*IF(J438=$FF$17,1+$FE$17,1)*IF(I438=$FF$14,1+$FE$14,1)*(1+$FE$15)</f>
        <v>15987.018621287998</v>
      </c>
      <c r="BD438" s="1104">
        <f>MIN(AT438*0.15+BC438*0.00003+INDEX(绊状态确认!M:M,MATCH($G438,绊状态确认!$B:$B,)),1)</f>
        <v>0.50961055863863991</v>
      </c>
      <c r="BE438" s="432">
        <f>(INDEX(绊状态确认!$N:$N,MATCH($G438,绊状态确认!$B:$B,))+1.5)</f>
        <v>1.9</v>
      </c>
      <c r="BF438" s="1139">
        <f t="array" ref="BF438">SUMPRODUCT(IF(AZ438*AP438*$FI$16:$FI$23*$FA$22&gt;=$FI$24,$FI$24,AZ438*AP438*$FI$16:$FI$23*$FA$22),$FJ$16:$FJ$23)</f>
        <v>29047.980118046758</v>
      </c>
      <c r="BG438" s="1125">
        <f t="array" ref="BG438">SUMPRODUCT(IF(BE438*AZ438*AP438*$FI$16:$FI$23*$FA$22&gt;=$FI$24,$FI$24,BE438*AZ438*AP438*$FI$16:$FI$23*$FA$22),$FJ$16:$FJ$23)</f>
        <v>53711.928498069246</v>
      </c>
      <c r="BH438" s="1110">
        <f t="shared" si="543"/>
        <v>13872.329543408201</v>
      </c>
      <c r="BI438" s="1111">
        <f>IF(O438="vo",$EW$26/$EW$24*0.05,0)+IF(O438="sk",-$EW$26/$EW$24*(0.05-INDEX(绊状态确认!W:W,MATCH($G438,绊状态确认!$B:$B,)))+0.05*$EW$28,0)+IF(O438="sp",0.05*$EW$32*$EW$30*(1-$EW$33)-(0.05-INDEX(绊状态确认!V:V,MATCH($G438,绊状态确认!$B:$B,)))*$EW$28,0)+IF(O438="gd",-(0.05-INDEX(绊状态确认!X:X,MATCH($G438,绊状态确认!$B:$B,)))*$EW$32*$EW$30*(1-$EW$33),0)</f>
        <v>-585.00000000000011</v>
      </c>
      <c r="BJ438" s="420">
        <f>IF(O438="vo",0.05*(1-$FI$26)*$FA$24,0)+IF(O438="sk",-(0.05-INDEX(绊状态确认!W:W,MATCH($G438,绊状态确认!$B:$B,)))*(1-$FI$26)*$FA$24+0.05*$FA$26,0)+IF(O438="sp",0.05*$FA$32*$FA$27*(1-$FA$33)/$FA$30+0.05*$FA$29/$FA$69*$FA$27*(1-$FA$33)-(0.05-INDEX(绊状态确认!V:V,MATCH($G438,绊状态确认!$B:$B,)))*$FA$26,0)+IF(O438="gd",-(0.05-INDEX(绊状态确认!X:X,MATCH($G438,绊状态确认!$B:$B,)))*$FA$32*$FA$27*(1-$FA$33)/$FA$30-(0.05-INDEX(绊状态确认!X:X,MATCH($G438,绊状态确认!$B:$B,)))*$FA$29/$FA$69*$FA$27*(1-$FA$33),0)</f>
        <v>-795.00000000000011</v>
      </c>
      <c r="BK438" s="1110">
        <f>IF(O438="vo",$EW$26/$EW$24*0.05+$EW$26*(-HP($EW$62,$EW$65,$EW$64)+HP($EW$62,$EW$65,(1.05-INDEX(绊状态确认!U:U,MATCH($G438,绊状态确认!$B:$B,)))*$EW$64)),0)+IF(O438="sk",-$EW$26/$EW$24*(0.05-INDEX(绊状态确认!W:W,MATCH($G438,绊状态确认!$B:$B,)))+0.05*$EW$29,0)+IF(O438="sp",0.05*$EW$32*$EW$30*(1-$EW$33)-(0.05-INDEX(绊状态确认!V:V,MATCH($G438,绊状态确认!$B:$B,)))*$EW$29,0)+IF(O438="gd",-(0.05-INDEX(绊状态确认!X:X,MATCH($G438,绊状态确认!$B:$B,)))*$EW$32*$EW$30*(1-$EW$33)+$EW$26*(-HP($EW$62,$EW$65,$EW$64)+HP($EW$62,$EW$65,0.95*$EW$64)),0)</f>
        <v>1009.5947725176144</v>
      </c>
      <c r="BL438" s="1111">
        <f t="shared" si="544"/>
        <v>-1083.3333333333333</v>
      </c>
      <c r="BM438" s="1110">
        <f t="shared" si="545"/>
        <v>-830.55555555555543</v>
      </c>
      <c r="BN438" s="1113">
        <f t="shared" si="546"/>
        <v>3</v>
      </c>
      <c r="BO438" s="1108">
        <f t="shared" si="547"/>
        <v>4507.7214871259994</v>
      </c>
      <c r="BP438" s="1100">
        <f t="shared" si="548"/>
        <v>221.34103209030098</v>
      </c>
      <c r="BQ438" s="1113" t="s">
        <v>133</v>
      </c>
      <c r="BR438" s="1124" t="s">
        <v>168</v>
      </c>
      <c r="BS438" s="421">
        <f>IF($P438="","N/A",IF($P438=-1,INDEX('卡片raw data'!AX:AX,MATCH($D438,'卡片raw data'!$F:$F,)),0)+IF($L438="party卡",IF($P438=5,INDEX('卡片raw data'!BD:BD,MATCH($D438,'卡片raw data'!$F:$F,)),IF($P438&gt;=3,INDEX('卡片raw data'!BC:BC,MATCH($D438,'卡片raw data'!$F:$F,)),INDEX('卡片raw data'!BB:BB,MATCH($D438,'卡片raw data'!$F:$F,)))),IF(OR(AND($F438="UR",$P438=0),AND($F438="SR",$P438&gt;=0,$P438&lt;=2),AND($F438="R",$P438&gt;=0,$P438&lt;4)),INDEX('卡片raw data'!AZ:AZ,MATCH($D438,'卡片raw data'!$F:$F,)),0)+IF(OR(AND($F438="UR",$P438&gt;=1,$P438&lt;=4),AND($F438="SR",$P438&lt;=4,$P438&gt;=3),AND($F438="R",$P438=4)),INDEX('卡片raw data'!BA:BA,MATCH($D438,'卡片raw data'!$F:$F,)),0)+IF($P438=5,INDEX('卡片raw data'!BB:BB,MATCH($D438,'卡片raw data'!$F:$F,)),0)))</f>
        <v>0.05</v>
      </c>
      <c r="BT438" s="424">
        <f t="shared" si="549"/>
        <v>0</v>
      </c>
      <c r="BU438" s="420">
        <f t="shared" si="550"/>
        <v>0</v>
      </c>
      <c r="BV438" s="420">
        <f t="shared" si="551"/>
        <v>0</v>
      </c>
      <c r="BW438" s="436">
        <f t="shared" si="552"/>
        <v>1.7558035714285711</v>
      </c>
      <c r="BX438" s="423">
        <f t="shared" si="553"/>
        <v>137.19019421334193</v>
      </c>
      <c r="BY438" s="433">
        <f t="shared" si="554"/>
        <v>137.19019421334193</v>
      </c>
      <c r="BZ438" s="1113" t="s">
        <v>569</v>
      </c>
      <c r="CA438" s="450"/>
      <c r="CB438" s="421">
        <f>IF($P438="","N/A",IF($P438=-1,INDEX('卡片raw data'!BE:BE,MATCH($D438,'卡片raw data'!$F:$F,)),0)+IF($L438="party卡",IF($P438=5,INDEX('卡片raw data'!BK:BK,MATCH($D438,'卡片raw data'!$F:$F,)),IF($P438&gt;=3,INDEX('卡片raw data'!BJ:BJ,MATCH($D438,'卡片raw data'!$F:$F,)),INDEX('卡片raw data'!BI:BI,MATCH($D438,'卡片raw data'!$F:$F,)))),IF(OR(AND($F438="UR",$P438=0),AND($F438="SR",$P438&gt;=0,$P438&lt;=2),AND($F438="R",$P438&gt;=0,$P438&lt;4)),INDEX('卡片raw data'!BG:BG,MATCH($D438,'卡片raw data'!$F:$F,)),0)+IF(OR(AND($F438="UR",$P438&gt;=1,$P438&lt;=4),AND($F438="SR",$P438&lt;=4,$P438&gt;=3),AND($F438="R",$P438=4)),INDEX('卡片raw data'!BH:BH,MATCH($D438,'卡片raw data'!$F:$F,)),0)+IF($P438=5,INDEX('卡片raw data'!BI:BI,MATCH($D438,'卡片raw data'!$F:$F,)),0)))</f>
        <v>0</v>
      </c>
      <c r="CC438" s="424">
        <f t="shared" si="555"/>
        <v>0</v>
      </c>
      <c r="CD438" s="420">
        <f>IF(BZ438="ap",CB438*(1-$FI$26)*$FB$5/$FB$11*(+IF(CA438="全员",$FA$24,0)+IF(CA438="同作战",$FA$24,0)+IF(CA438="仲间",$FA$24*2/3,0)+IF(CA438="同属性",$FA$24*$FA$37/3,0)+IF(CA438="同年级",$FA$24*$FA$40/3,0)+IF(CA438="同学校",$FA$24*$FA$43/3,0)+IF(CA438="同小队",$FA$24*$FA$46/3,0)+IF(CA438="同type",$FA$24*INDEX($FB$49:$FB$52,MATCH(X438,$FA$49:$FA$52,))/3,0)+IF(CA438="自身",#REF!/3,0)),0)+IF(BZ438="te",CB438*(1-$FI$27)*($FA$20-1)*$FB$7/$FB$13*(+IF(CA438="全员",$FA$19*$FA$24/(1+($FA$20-1)*$FA$19),0)+IF(CA438="同作战",$FA$19*$FA$24/(1+($FA$20-1)*$FA$19),0)+IF(CA438="仲间",$FA$19*$FA$24*2/3/(1+($FA$20-1)*$FA$19),0)+IF(CA438="同属性",$FA$19*$FA$24*$FA$37/3/(1+($FA$20-1)*$FA$19),0)+IF(CA438="同年级",$FA$19*$FA$24*$FA$40/3/(1+($FA$20-1)*$FA$19),0)+IF(CA438="同学校",$FA$19*$FA$24*$FA$43/3/(1+($FA$20-1)*$FA$19),0)+IF(CA438="同小队",$FA$19*$FA$24*$FA$46/3/(1+($FA$20-1)*$FA$19),0)+IF(CA438="同type",$FA$19*$FA$24*INDEX($FB$49:$FB$52,MATCH(X438,$FA$49:$FA$52,))/3/(1+($FA$20-1)*$FA$19),0)+IF(CA438="自身",$FA$19*#REF!/3/(1+(BH438-1)*$BD438),0)),0)</f>
        <v>0</v>
      </c>
      <c r="CE438" s="420">
        <f t="shared" si="556"/>
        <v>0</v>
      </c>
      <c r="CF438" s="436">
        <f t="shared" si="557"/>
        <v>0</v>
      </c>
      <c r="CG438" s="423">
        <f t="shared" si="558"/>
        <v>0</v>
      </c>
      <c r="CH438" s="433">
        <f t="shared" si="559"/>
        <v>0</v>
      </c>
      <c r="CI438" s="437" t="s">
        <v>162</v>
      </c>
      <c r="CJ438" s="438">
        <v>1</v>
      </c>
      <c r="CK438" s="439" t="s">
        <v>2080</v>
      </c>
      <c r="CL438" s="1115" t="s">
        <v>1943</v>
      </c>
      <c r="CM438" s="1119">
        <v>2.4E-2</v>
      </c>
      <c r="CN438" s="1115"/>
      <c r="CO438" s="1115"/>
      <c r="CP438" s="1116">
        <f t="shared" si="560"/>
        <v>7.4728554691885716</v>
      </c>
      <c r="CQ438" s="1116">
        <f t="shared" si="561"/>
        <v>11.624441840960001</v>
      </c>
      <c r="CR438" s="1117">
        <f t="shared" si="562"/>
        <v>7.4728554691885716</v>
      </c>
      <c r="CS438" s="442">
        <f t="shared" si="563"/>
        <v>0</v>
      </c>
      <c r="CT438" s="432">
        <f t="shared" si="564"/>
        <v>0</v>
      </c>
      <c r="CU438" s="1101">
        <f t="shared" si="565"/>
        <v>0</v>
      </c>
      <c r="CV438" s="1108">
        <f t="shared" si="566"/>
        <v>0</v>
      </c>
      <c r="CW438" s="420">
        <f t="shared" si="567"/>
        <v>0</v>
      </c>
      <c r="CX438" s="420">
        <f t="shared" si="568"/>
        <v>590.67121038345988</v>
      </c>
      <c r="CY438" s="433">
        <f t="shared" si="569"/>
        <v>590.67121038345988</v>
      </c>
      <c r="CZ438" s="437"/>
      <c r="DA438" s="438"/>
      <c r="DB438" s="439" t="s">
        <v>569</v>
      </c>
      <c r="DC438" s="439"/>
      <c r="DD438" s="443"/>
      <c r="DE438" s="411"/>
      <c r="DF438" s="411"/>
      <c r="DG438" s="1116">
        <f t="shared" si="570"/>
        <v>0</v>
      </c>
      <c r="DH438" s="1116">
        <f t="shared" si="571"/>
        <v>0</v>
      </c>
      <c r="DI438" s="1116">
        <f t="shared" si="572"/>
        <v>0</v>
      </c>
      <c r="DJ438" s="442">
        <f t="shared" si="573"/>
        <v>0</v>
      </c>
      <c r="DK438" s="432">
        <f t="shared" si="574"/>
        <v>0</v>
      </c>
      <c r="DL438" s="424">
        <f t="shared" si="575"/>
        <v>0</v>
      </c>
      <c r="DM438" s="420">
        <f t="shared" si="576"/>
        <v>0</v>
      </c>
      <c r="DN438" s="420">
        <f t="shared" si="577"/>
        <v>0</v>
      </c>
      <c r="DO438" s="420">
        <f t="shared" si="578"/>
        <v>0</v>
      </c>
      <c r="DP438" s="433">
        <f t="shared" si="579"/>
        <v>0</v>
      </c>
      <c r="DQ438" s="437" t="s">
        <v>556</v>
      </c>
      <c r="DR438" s="1120">
        <f t="shared" si="580"/>
        <v>0.3</v>
      </c>
      <c r="DS438" s="1124">
        <v>5</v>
      </c>
      <c r="DT438" s="1093" t="s">
        <v>161</v>
      </c>
      <c r="DU438" s="1093" t="s">
        <v>544</v>
      </c>
      <c r="DV438" s="1098">
        <f>IF($P438="","N/A",IF(P438=-1,INDEX('卡片raw data'!AN:AN,MATCH(D438,'卡片raw data'!$F:$F,)),0)+IF(AND(L438&lt;&gt;"party卡",P438&lt;=2,P438&gt;=0),INDEX('卡片raw data'!AP:AP,MATCH(D438,'卡片raw data'!$F:$F,)),0)+IF(OR(AND(L438="party卡",P438&lt;=1),AND(P438&lt;=4,L438&lt;&gt;"party卡",P438&gt;=3)),INDEX('卡片raw data'!AQ:AQ,MATCH(D438,'卡片raw data'!$F:$F,)),0)+IF(OR(P438=5,AND(L438="party卡",P438&gt;=2)),INDEX('卡片raw data'!AR:AR,MATCH(D438,'卡片raw data'!$F:$F,)),0))</f>
        <v>0.22</v>
      </c>
      <c r="DW438" s="1098">
        <f t="shared" si="581"/>
        <v>0.3</v>
      </c>
      <c r="DX438" s="1098">
        <f t="shared" si="582"/>
        <v>0.3</v>
      </c>
      <c r="DY438" s="1098">
        <f t="shared" si="583"/>
        <v>0.11000000000000001</v>
      </c>
      <c r="DZ438" s="1098">
        <f t="shared" si="584"/>
        <v>9.5150000000000012E-2</v>
      </c>
      <c r="EA438" s="421">
        <f t="shared" si="585"/>
        <v>0</v>
      </c>
      <c r="EB438" s="445">
        <f t="shared" si="586"/>
        <v>0</v>
      </c>
      <c r="EC438" s="424">
        <f t="shared" si="587"/>
        <v>0</v>
      </c>
      <c r="ED438" s="420">
        <f t="shared" si="588"/>
        <v>0</v>
      </c>
      <c r="EE438" s="433">
        <f t="shared" si="598"/>
        <v>4811.6282945408811</v>
      </c>
      <c r="EF438" s="1115" t="s">
        <v>569</v>
      </c>
      <c r="EG438" s="1120">
        <f t="shared" si="589"/>
        <v>0.3</v>
      </c>
      <c r="EH438" s="450"/>
      <c r="EI438" s="1093"/>
      <c r="EJ438" s="1093"/>
      <c r="EK438" s="420">
        <f>IF($P438="","N/A",IF(P438=-1,INDEX('卡片raw data'!AS:AS,MATCH(D438,'卡片raw data'!$F:$F,)),0)+IF(AND(L438&lt;&gt;"party卡",P438&lt;=2,P438&gt;=0),INDEX('卡片raw data'!AU:AU,MATCH(D438,'卡片raw data'!$F:$F,)),0)+IF(OR(AND(L438="party卡",P438&lt;=1),AND(P438&lt;=4,L438&lt;&gt;"party卡",P438&gt;=3)),INDEX('卡片raw data'!AV:AV,MATCH(D438,'卡片raw data'!$F:$F,)),0)+IF(OR(P438=5,AND(L438="party卡",P438&gt;=2)),INDEX('卡片raw data'!AW:AW,MATCH(D438,'卡片raw data'!$F:$F,)),0))</f>
        <v>0</v>
      </c>
      <c r="EL438" s="1098">
        <f t="shared" si="590"/>
        <v>0.3</v>
      </c>
      <c r="EM438" s="1098">
        <f t="shared" si="591"/>
        <v>0.3</v>
      </c>
      <c r="EN438" s="1097">
        <f t="shared" si="592"/>
        <v>0</v>
      </c>
      <c r="EO438" s="1097">
        <f t="shared" si="593"/>
        <v>0</v>
      </c>
      <c r="EP438" s="421">
        <f t="shared" si="594"/>
        <v>0</v>
      </c>
      <c r="EQ438" s="445">
        <f t="shared" si="595"/>
        <v>0</v>
      </c>
      <c r="ER438" s="424">
        <f t="shared" si="596"/>
        <v>0</v>
      </c>
      <c r="ES438" s="420">
        <f t="shared" si="597"/>
        <v>0</v>
      </c>
      <c r="ET438" s="446">
        <f t="shared" si="599"/>
        <v>0</v>
      </c>
    </row>
    <row r="439" spans="2:150" ht="16.5" customHeight="1">
      <c r="B439" s="448" t="str">
        <f>INDEX('卡片raw data'!B:B,MATCH($D439,'卡片raw data'!$F:$F,))</f>
        <v>樱花黛</v>
      </c>
      <c r="C439" s="449" t="s">
        <v>2582</v>
      </c>
      <c r="D439" s="408">
        <v>436</v>
      </c>
      <c r="E439" s="477">
        <v>401043004</v>
      </c>
      <c r="F439" s="409" t="str">
        <f>INDEX('卡片raw data'!C:C,MATCH($D439,'卡片raw data'!$F:$F,))</f>
        <v>UR</v>
      </c>
      <c r="G439" s="1094" t="s">
        <v>2583</v>
      </c>
      <c r="H439" s="411">
        <f>IFERROR(INDEX(绊状态确认!C:C,MATCH($G439,绊状态确认!$B:$B,)),"")</f>
        <v>104</v>
      </c>
      <c r="I439" s="450" t="str">
        <f>IFERROR(INDEX(绊状态确认!D:D,MATCH($G439,绊状态确认!$B:$B,)),"")</f>
        <v>水</v>
      </c>
      <c r="J439" s="450" t="str">
        <f>IFERROR(INDEX(绊状态确认!E:E,MATCH($G439,绊状态确认!$B:$B,)),"")</f>
        <v>3年级</v>
      </c>
      <c r="K439" s="451" t="str">
        <f>IFERROR(INDEX(绊状态确认!F:F,MATCH($G439,绊状态确认!$B:$B,)),"")</f>
        <v>AZALEA</v>
      </c>
      <c r="L439" s="414" t="str">
        <f>INDEX('卡片raw data'!E:E,MATCH($D439,'卡片raw data'!$F:$F,))</f>
        <v>卡池卡</v>
      </c>
      <c r="M439" s="478">
        <v>44290</v>
      </c>
      <c r="N439" s="479">
        <v>37</v>
      </c>
      <c r="O439" s="410" t="str">
        <f>INDEX('卡片raw data'!D:D,MATCH($D439,'卡片raw data'!$F:$F,))</f>
        <v>gd</v>
      </c>
      <c r="P439" s="1126">
        <v>5</v>
      </c>
      <c r="Q439" s="418">
        <f t="shared" si="515"/>
        <v>34660.19113222848</v>
      </c>
      <c r="R439" s="419">
        <f t="shared" si="516"/>
        <v>0.40200000000000002</v>
      </c>
      <c r="S439" s="420">
        <f t="shared" si="517"/>
        <v>17464.404802966808</v>
      </c>
      <c r="T439" s="421">
        <f t="shared" si="518"/>
        <v>0.873</v>
      </c>
      <c r="U439" s="422">
        <f t="shared" si="519"/>
        <v>1004.8137913212902</v>
      </c>
      <c r="V439" s="423">
        <f t="shared" si="520"/>
        <v>87044.107943950628</v>
      </c>
      <c r="W439" s="424">
        <f t="shared" si="521"/>
        <v>4507.7214871259994</v>
      </c>
      <c r="X439" s="419">
        <f t="shared" si="522"/>
        <v>5.1999999999999998E-2</v>
      </c>
      <c r="Y439" s="420">
        <f t="shared" si="523"/>
        <v>10533.441037998382</v>
      </c>
      <c r="Z439" s="425">
        <f t="shared" si="524"/>
        <v>115.57393421895426</v>
      </c>
      <c r="AA439" s="426">
        <f t="shared" si="525"/>
        <v>15041.162525124382</v>
      </c>
      <c r="AB439" s="424">
        <f t="shared" si="526"/>
        <v>4507.7214871259994</v>
      </c>
      <c r="AC439" s="427">
        <f t="shared" si="527"/>
        <v>5.1999999999999998E-2</v>
      </c>
      <c r="AD439" s="428">
        <f t="shared" si="528"/>
        <v>0</v>
      </c>
      <c r="AE439" s="516">
        <f t="shared" si="529"/>
        <v>-6.25</v>
      </c>
      <c r="AF439" s="1130">
        <f t="shared" si="530"/>
        <v>12227.029796504639</v>
      </c>
      <c r="AG439" s="420">
        <f t="shared" si="531"/>
        <v>65279.210351316811</v>
      </c>
      <c r="AH439" s="420">
        <f t="shared" si="532"/>
        <v>5.3389262509181323</v>
      </c>
      <c r="AI439" s="1097">
        <f t="shared" si="533"/>
        <v>117712.98530282622</v>
      </c>
      <c r="AJ439" s="420">
        <f t="shared" si="534"/>
        <v>87044.107943950628</v>
      </c>
      <c r="AK439" s="518">
        <f t="shared" si="535"/>
        <v>30668.877358875587</v>
      </c>
      <c r="AL439" s="429">
        <f>IF($P439="","N/A",(IF($P439=-1,INDEX('卡片raw data'!S:S,MATCH($D439,'卡片raw data'!$F:$F,)),0)+IF($P439=0,INDEX('卡片raw data'!V:V,MATCH($D439,'卡片raw data'!$F:$F,)),0)+IF($P439=1,INDEX('卡片raw data'!Y:Y,MATCH($D439,'卡片raw data'!$F:$F,)),0)+IF($P439=2,INDEX('卡片raw data'!AB:AB,MATCH($D439,'卡片raw data'!$F:$F,)),0)+IF($P439=3,INDEX('卡片raw data'!AE:AE,MATCH($D439,'卡片raw data'!$F:$F,)),0)+IF($P439=4,INDEX('卡片raw data'!AH:AH,MATCH($D439,'卡片raw data'!$F:$F,)),0)+IF($P439=5,INDEX('卡片raw data'!AK:AK,MATCH($D439,'卡片raw data'!$F:$F,)),0)+INDEX('卡片raw data'!S:S,MATCH($D439,'卡片raw data'!$F:$F,))*(IF($F439="UR",0.04,0.033))*(IF($F439="UR",INDEX(绊状态确认!$S:$S,MATCH($G439,绊状态确认!$B:$B,))/2-40)+IF($F439="SR",INDEX(绊状态确认!$R:$R,MATCH($G439,绊状态确认!$B:$B,))/4-15))+IF($F439="R",INDEX(绊状态确认!$Q:$Q,MATCH($G439,绊状态确认!$B:$B,))/6-40/6)))*(INDEX(绊状态确认!$H:$H,MATCH($G439,绊状态确认!$B:$B,))+INDEX(绊状态确认!J:J,MATCH($G439,绊状态确认!$B:$B,)))</f>
        <v>9304.2068159999981</v>
      </c>
      <c r="AM439" s="429">
        <f>IF($P439="","N/A",(IF($P439=-1,INDEX('卡片raw data'!T:T,MATCH($D439,'卡片raw data'!$F:$F,)),0)+IF($P439=0,INDEX('卡片raw data'!W:W,MATCH($D439,'卡片raw data'!$F:$F,)),0)+IF($P439=1,INDEX('卡片raw data'!Z:Z,MATCH($D439,'卡片raw data'!$F:$F,)),0)+IF($P439=2,INDEX('卡片raw data'!AC:AC,MATCH($D439,'卡片raw data'!$F:$F,)),0)+IF($P439=3,INDEX('卡片raw data'!AF:AF,MATCH($D439,'卡片raw data'!$F:$F,)),0)+IF($P439=4,INDEX('卡片raw data'!AI:AI,MATCH($D439,'卡片raw data'!$F:$F,)),0)+IF($P439=5,INDEX('卡片raw data'!AL:AL,MATCH($D439,'卡片raw data'!$F:$F,)),0)+INDEX('卡片raw data'!T:T,MATCH($D439,'卡片raw data'!$F:$F,))*(IF($F439="UR",0.04,0.033))*(IF($F439="UR",INDEX(绊状态确认!$S:$S,MATCH($G439,绊状态确认!$B:$B,))/2-40)+IF($F439="SR",INDEX(绊状态确认!$R:$R,MATCH($G439,绊状态确认!$B:$B,))/4-15))+IF($F439="R",INDEX(绊状态确认!$Q:$Q,MATCH($G439,绊状态确认!$B:$B,))/6-40/6)))*(INDEX(绊状态确认!$H:$H,MATCH($G439,绊状态确认!$B:$B,))+INDEX(绊状态确认!K:K,MATCH($G439,绊状态确认!$B:$B,)))</f>
        <v>16006.057631999996</v>
      </c>
      <c r="AN439" s="429">
        <f>IF($P439="","N/A",(IF($P439=-1,INDEX('卡片raw data'!U:U,MATCH($D439,'卡片raw data'!$F:$F,)),0)+IF($P439=0,INDEX('卡片raw data'!X:X,MATCH($D439,'卡片raw data'!$F:$F,)),0)+IF($P439=1,INDEX('卡片raw data'!AA:AA,MATCH($D439,'卡片raw data'!$F:$F,)),0)+IF($P439=2,INDEX('卡片raw data'!AD:AD,MATCH($D439,'卡片raw data'!$F:$F,)),0)+IF($P439=3,INDEX('卡片raw data'!AG:AG,MATCH($D439,'卡片raw data'!$F:$F,)),0)+IF($P439=4,INDEX('卡片raw data'!AJ:AJ,MATCH($D439,'卡片raw data'!$F:$F,)),0)+IF($P439=5,INDEX('卡片raw data'!AM:AM,MATCH($D439,'卡片raw data'!$F:$F,)),0)+INDEX('卡片raw data'!U:U,MATCH($D439,'卡片raw data'!$F:$F,))*(IF($F439="UR",0.04,0.033))*(IF($F439="UR",INDEX(绊状态确认!$S:$S,MATCH($G439,绊状态确认!$B:$B,))/2-40)+IF($F439="SR",INDEX(绊状态确认!$R:$R,MATCH($G439,绊状态确认!$B:$B,))/4-15))+IF($F439="R",INDEX(绊状态确认!$Q:$Q,MATCH($G439,绊状态确认!$B:$B,))/6-40/6)))*(INDEX(绊状态确认!$H:$H,MATCH($G439,绊状态确认!$B:$B,))+INDEX(绊状态确认!L:L,MATCH($G439,绊状态确认!$B:$B,)))</f>
        <v>11912.42664</v>
      </c>
      <c r="AO439" s="430">
        <f t="shared" si="536"/>
        <v>1</v>
      </c>
      <c r="AP439" s="556">
        <f>1+(INDEX(绊状态确认!$T:$T,MATCH($G439,绊状态确认!$B:$B,))+0.2)*$AO439</f>
        <v>1.3</v>
      </c>
      <c r="AQ439" s="431">
        <f t="shared" si="537"/>
        <v>27673.542891999998</v>
      </c>
      <c r="AR439" s="420">
        <f>(AM439*(1+$EX$9)+$EX$35)*(1+(INDEX(绊状态确认!$T:$T,MATCH($G439,绊状态确认!$B:$B,))+0.2)*AO439)*IF(J439=$FF$17,1+$FE$17,1)*IF(I439=$FF$14,1+$FE$14,1)</f>
        <v>24552.268667679997</v>
      </c>
      <c r="AS439" s="420">
        <f>(AN439*(1+$EX$10)+$EX$36)*(1+(INDEX(绊状态确认!$T:$T,MATCH($G439,绊状态确认!$B:$B,))+0.2)*AO439)*IF(J439=$FF$17,1+$FE$17,1)*IF(I439=$FF$14,1+$FE$14,1)</f>
        <v>21865.077826799999</v>
      </c>
      <c r="AT439" s="412">
        <f>IF(AND(INDEX('卡片raw data'!AK:AK,MATCH($D439,'卡片raw data'!$F:$F,))&lt;INDEX('卡片raw data'!AM:AM,MATCH($D439,'卡片raw data'!$F:$F,)),INDEX('卡片raw data'!AL:AL,MATCH($D439,'卡片raw data'!$F:$F,))&lt;INDEX('卡片raw data'!AM:AM,MATCH($D439,'卡片raw data'!$F:$F,))),1,0)</f>
        <v>0</v>
      </c>
      <c r="AU439" s="421">
        <f>MIN(AT439*0.15+AS439*0.00003+INDEX(绊状态确认!M:M,MATCH($G439,绊状态确认!$B:$B,)),1)</f>
        <v>0.68595233480399997</v>
      </c>
      <c r="AV439" s="432">
        <f>(INDEX(绊状态确认!$N:$N,MATCH($G439,绊状态确认!$B:$B,))+1.5)*$EW$21</f>
        <v>2.6599999999999997</v>
      </c>
      <c r="AW439" s="424">
        <f t="shared" si="538"/>
        <v>30737.469645102483</v>
      </c>
      <c r="AX439" s="420">
        <f t="shared" si="539"/>
        <v>2161.9535602842907</v>
      </c>
      <c r="AY439" s="433">
        <f t="shared" si="540"/>
        <v>32899.423205386774</v>
      </c>
      <c r="AZ439" s="429">
        <f t="shared" si="541"/>
        <v>20743.203291199996</v>
      </c>
      <c r="BA439" s="431">
        <f t="shared" si="542"/>
        <v>24891.843949439994</v>
      </c>
      <c r="BB439" s="420">
        <f>(AM439*(1+$FB$9)+$FB$35)*(1+(INDEX(绊状态确认!$T:$T,MATCH($G439,绊状态确认!$B:$B,))+0.2)*AO439)*IF(J439=$FF$17,1+$FE$17,1)*IF(I439=$FF$14,1+$FE$14,1)*(1+$FE$15)</f>
        <v>24552.268667679997</v>
      </c>
      <c r="BC439" s="420">
        <f>(AN439*(1+$FB$10)+$FB$36)*(1+(INDEX(绊状态确认!$T:$T,MATCH($G439,绊状态确认!$B:$B,))+0.2)*AO439)*IF(J439=$FF$17,1+$FE$17,1)*IF(I439=$FF$14,1+$FE$14,1)*(1+$FE$15)</f>
        <v>21865.077826799999</v>
      </c>
      <c r="BD439" s="427">
        <f>MIN(AT439*0.15+BC439*0.00003+INDEX(绊状态确认!M:M,MATCH($G439,绊状态确认!$B:$B,)),1)</f>
        <v>0.68595233480399997</v>
      </c>
      <c r="BE439" s="432">
        <f>(INDEX(绊状态确认!$N:$N,MATCH($G439,绊状态确认!$B:$B,))+1.5)</f>
        <v>1.9</v>
      </c>
      <c r="BF439" s="645">
        <f t="array" ref="BF439">SUMPRODUCT(IF(AZ439*AP439*$FI$16:$FI$23*$FA$22&gt;=$FI$24,$FI$24,AZ439*AP439*$FI$16:$FI$23*$FA$22),$FJ$16:$FJ$23)</f>
        <v>41258.231346196786</v>
      </c>
      <c r="BG439" s="453">
        <f t="array" ref="BG439">SUMPRODUCT(IF(BE439*AZ439*AP439*$FI$16:$FI$23*$FA$22&gt;=$FI$24,$FI$24,BE439*AZ439*AP439*$FI$16:$FI$23*$FA$22),$FJ$16:$FJ$23)</f>
        <v>60000</v>
      </c>
      <c r="BH439" s="433">
        <f t="shared" si="543"/>
        <v>18038.063770876506</v>
      </c>
      <c r="BI439" s="434">
        <f>IF(O439="vo",$EW$26/$EW$24*0.05,0)+IF(O439="sk",-$EW$26/$EW$24*(0.05-INDEX(绊状态确认!W:W,MATCH($G439,绊状态确认!$B:$B,)))+0.05*$EW$28,0)+IF(O439="sp",0.05*$EW$32*$EW$30*(1-$EW$33)-(0.05-INDEX(绊状态确认!V:V,MATCH($G439,绊状态确认!$B:$B,)))*$EW$28,0)+IF(O439="gd",-(0.05-INDEX(绊状态确认!X:X,MATCH($G439,绊状态确认!$B:$B,)))*$EW$32*$EW$30*(1-$EW$33),0)</f>
        <v>-585.00000000000011</v>
      </c>
      <c r="BJ439" s="420">
        <f>IF(O439="vo",0.05*(1-$FI$26)*$FA$24,0)+IF(O439="sk",-(0.05-INDEX(绊状态确认!W:W,MATCH($G439,绊状态确认!$B:$B,)))*(1-$FI$26)*$FA$24+0.05*$FA$26,0)+IF(O439="sp",0.05*$FA$32*$FA$27*(1-$FA$33)/$FA$30+0.05*$FA$29/$FA$69*$FA$27*(1-$FA$33)-(0.05-INDEX(绊状态确认!V:V,MATCH($G439,绊状态确认!$B:$B,)))*$FA$26,0)+IF(O439="gd",-(0.05-INDEX(绊状态确认!X:X,MATCH($G439,绊状态确认!$B:$B,)))*$FA$32*$FA$27*(1-$FA$33)/$FA$30-(0.05-INDEX(绊状态确认!X:X,MATCH($G439,绊状态确认!$B:$B,)))*$FA$29/$FA$69*$FA$27*(1-$FA$33),0)</f>
        <v>-795.00000000000011</v>
      </c>
      <c r="BK439" s="433">
        <f>IF(O439="vo",$EW$26/$EW$24*0.05+$EW$26*(-HP($EW$62,$EW$65,$EW$64)+HP($EW$62,$EW$65,(1.05-INDEX(绊状态确认!U:U,MATCH($G439,绊状态确认!$B:$B,)))*$EW$64)),0)+IF(O439="sk",-$EW$26/$EW$24*(0.05-INDEX(绊状态确认!W:W,MATCH($G439,绊状态确认!$B:$B,)))+0.05*$EW$29,0)+IF(O439="sp",0.05*$EW$32*$EW$30*(1-$EW$33)-(0.05-INDEX(绊状态确认!V:V,MATCH($G439,绊状态确认!$B:$B,)))*$EW$29,0)+IF(O439="gd",-(0.05-INDEX(绊状态确认!X:X,MATCH($G439,绊状态确认!$B:$B,)))*$EW$32*$EW$30*(1-$EW$33)+$EW$26*(-HP($EW$62,$EW$65,$EW$64)+HP($EW$62,$EW$65,0.95*$EW$64)),0)</f>
        <v>1009.5947725176144</v>
      </c>
      <c r="BL439" s="434">
        <f t="shared" si="544"/>
        <v>0</v>
      </c>
      <c r="BM439" s="433">
        <f t="shared" si="545"/>
        <v>0</v>
      </c>
      <c r="BN439" s="437">
        <f t="shared" si="546"/>
        <v>3</v>
      </c>
      <c r="BO439" s="1108">
        <f t="shared" si="547"/>
        <v>4507.7214871259994</v>
      </c>
      <c r="BP439" s="1100">
        <f t="shared" si="548"/>
        <v>221.34103209030098</v>
      </c>
      <c r="BQ439" s="1113" t="s">
        <v>133</v>
      </c>
      <c r="BR439" s="1124" t="s">
        <v>168</v>
      </c>
      <c r="BS439" s="421">
        <f>IF($P439="","N/A",IF($P439=-1,INDEX('卡片raw data'!AX:AX,MATCH($D439,'卡片raw data'!$F:$F,)),0)+IF($L439="party卡",IF($P439=5,INDEX('卡片raw data'!BD:BD,MATCH($D439,'卡片raw data'!$F:$F,)),IF($P439&gt;=3,INDEX('卡片raw data'!BC:BC,MATCH($D439,'卡片raw data'!$F:$F,)),INDEX('卡片raw data'!BB:BB,MATCH($D439,'卡片raw data'!$F:$F,)))),IF(OR(AND($F439="UR",$P439=0),AND($F439="SR",$P439&gt;=0,$P439&lt;=2),AND($F439="R",$P439&gt;=0,$P439&lt;4)),INDEX('卡片raw data'!AZ:AZ,MATCH($D439,'卡片raw data'!$F:$F,)),0)+IF(OR(AND($F439="UR",$P439&gt;=1,$P439&lt;=4),AND($F439="SR",$P439&lt;=4,$P439&gt;=3),AND($F439="R",$P439=4)),INDEX('卡片raw data'!BA:BA,MATCH($D439,'卡片raw data'!$F:$F,)),0)+IF($P439=5,INDEX('卡片raw data'!BB:BB,MATCH($D439,'卡片raw data'!$F:$F,)),0)))</f>
        <v>7.0000000000000007E-2</v>
      </c>
      <c r="BT439" s="424">
        <f t="shared" si="549"/>
        <v>0</v>
      </c>
      <c r="BU439" s="420">
        <f t="shared" si="550"/>
        <v>0</v>
      </c>
      <c r="BV439" s="420">
        <f t="shared" si="551"/>
        <v>0</v>
      </c>
      <c r="BW439" s="436">
        <f t="shared" si="552"/>
        <v>2.4581249999999999</v>
      </c>
      <c r="BX439" s="423">
        <f t="shared" si="553"/>
        <v>192.3373892964872</v>
      </c>
      <c r="BY439" s="433">
        <f t="shared" si="554"/>
        <v>192.3373892964872</v>
      </c>
      <c r="BZ439" s="1113" t="s">
        <v>569</v>
      </c>
      <c r="CA439" s="450"/>
      <c r="CB439" s="421">
        <f>IF($P439="","N/A",IF($P439=-1,INDEX('卡片raw data'!BE:BE,MATCH($D439,'卡片raw data'!$F:$F,)),0)+IF($L439="party卡",IF($P439=5,INDEX('卡片raw data'!BK:BK,MATCH($D439,'卡片raw data'!$F:$F,)),IF($P439&gt;=3,INDEX('卡片raw data'!BJ:BJ,MATCH($D439,'卡片raw data'!$F:$F,)),INDEX('卡片raw data'!BI:BI,MATCH($D439,'卡片raw data'!$F:$F,)))),IF(OR(AND($F439="UR",$P439=0),AND($F439="SR",$P439&gt;=0,$P439&lt;=2),AND($F439="R",$P439&gt;=0,$P439&lt;4)),INDEX('卡片raw data'!BG:BG,MATCH($D439,'卡片raw data'!$F:$F,)),0)+IF(OR(AND($F439="UR",$P439&gt;=1,$P439&lt;=4),AND($F439="SR",$P439&lt;=4,$P439&gt;=3),AND($F439="R",$P439=4)),INDEX('卡片raw data'!BH:BH,MATCH($D439,'卡片raw data'!$F:$F,)),0)+IF($P439=5,INDEX('卡片raw data'!BI:BI,MATCH($D439,'卡片raw data'!$F:$F,)),0)))</f>
        <v>0</v>
      </c>
      <c r="CC439" s="424">
        <f t="shared" si="555"/>
        <v>0</v>
      </c>
      <c r="CD439" s="420">
        <f>IF(BZ439="ap",CB439*(1-$FI$26)*$FB$5/$FB$11*(+IF(CA439="全员",$FA$24,0)+IF(CA439="同作战",$FA$24,0)+IF(CA439="仲间",$FA$24*2/3,0)+IF(CA439="同属性",$FA$24*$FA$37/3,0)+IF(CA439="同年级",$FA$24*$FA$40/3,0)+IF(CA439="同学校",$FA$24*$FA$43/3,0)+IF(CA439="同小队",$FA$24*$FA$46/3,0)+IF(CA439="同type",$FA$24*INDEX($FB$49:$FB$52,MATCH(X439,$FA$49:$FA$52,))/3,0)+IF(CA439="自身",#REF!/3,0)),0)+IF(BZ439="te",CB439*(1-$FI$27)*($FA$20-1)*$FB$7/$FB$13*(+IF(CA439="全员",$FA$19*$FA$24/(1+($FA$20-1)*$FA$19),0)+IF(CA439="同作战",$FA$19*$FA$24/(1+($FA$20-1)*$FA$19),0)+IF(CA439="仲间",$FA$19*$FA$24*2/3/(1+($FA$20-1)*$FA$19),0)+IF(CA439="同属性",$FA$19*$FA$24*$FA$37/3/(1+($FA$20-1)*$FA$19),0)+IF(CA439="同年级",$FA$19*$FA$24*$FA$40/3/(1+($FA$20-1)*$FA$19),0)+IF(CA439="同学校",$FA$19*$FA$24*$FA$43/3/(1+($FA$20-1)*$FA$19),0)+IF(CA439="同小队",$FA$19*$FA$24*$FA$46/3/(1+($FA$20-1)*$FA$19),0)+IF(CA439="同type",$FA$19*$FA$24*INDEX($FB$49:$FB$52,MATCH(X439,$FA$49:$FA$52,))/3/(1+($FA$20-1)*$FA$19),0)+IF(CA439="自身",$FA$19*#REF!/3/(1+(BH439-1)*$BD439),0)),0)</f>
        <v>0</v>
      </c>
      <c r="CE439" s="420">
        <f t="shared" si="556"/>
        <v>0</v>
      </c>
      <c r="CF439" s="436">
        <f t="shared" si="557"/>
        <v>0</v>
      </c>
      <c r="CG439" s="423">
        <f t="shared" si="558"/>
        <v>0</v>
      </c>
      <c r="CH439" s="433">
        <f t="shared" si="559"/>
        <v>0</v>
      </c>
      <c r="CI439" s="1113" t="s">
        <v>2584</v>
      </c>
      <c r="CJ439" s="1114">
        <v>1</v>
      </c>
      <c r="CK439" s="1115" t="s">
        <v>2585</v>
      </c>
      <c r="CL439" s="1115" t="s">
        <v>2586</v>
      </c>
      <c r="CM439" s="1119">
        <v>0.33</v>
      </c>
      <c r="CN439" s="1115"/>
      <c r="CO439" s="1115">
        <v>3</v>
      </c>
      <c r="CP439" s="1116">
        <f t="shared" si="560"/>
        <v>86.80980707501142</v>
      </c>
      <c r="CQ439" s="1116">
        <f t="shared" si="561"/>
        <v>135.03747767223999</v>
      </c>
      <c r="CR439" s="1117">
        <f t="shared" si="562"/>
        <v>86.80980707501142</v>
      </c>
      <c r="CS439" s="1118">
        <f t="shared" si="563"/>
        <v>0</v>
      </c>
      <c r="CT439" s="1109">
        <f t="shared" si="564"/>
        <v>0</v>
      </c>
      <c r="CU439" s="1101">
        <f t="shared" si="565"/>
        <v>0</v>
      </c>
      <c r="CV439" s="1108">
        <f t="shared" si="566"/>
        <v>0</v>
      </c>
      <c r="CW439" s="1097">
        <f t="shared" si="567"/>
        <v>0</v>
      </c>
      <c r="CX439" s="1097">
        <f t="shared" si="568"/>
        <v>0</v>
      </c>
      <c r="CY439" s="1110">
        <f t="shared" si="569"/>
        <v>8179.150088417603</v>
      </c>
      <c r="CZ439" s="437"/>
      <c r="DA439" s="438"/>
      <c r="DB439" s="439" t="s">
        <v>569</v>
      </c>
      <c r="DC439" s="439"/>
      <c r="DD439" s="443"/>
      <c r="DE439" s="411"/>
      <c r="DF439" s="411"/>
      <c r="DG439" s="1116">
        <f t="shared" si="570"/>
        <v>0</v>
      </c>
      <c r="DH439" s="1116">
        <f t="shared" si="571"/>
        <v>0</v>
      </c>
      <c r="DI439" s="1116">
        <f t="shared" si="572"/>
        <v>0</v>
      </c>
      <c r="DJ439" s="442">
        <f t="shared" si="573"/>
        <v>0</v>
      </c>
      <c r="DK439" s="432">
        <f t="shared" si="574"/>
        <v>0</v>
      </c>
      <c r="DL439" s="424">
        <f t="shared" si="575"/>
        <v>0</v>
      </c>
      <c r="DM439" s="420">
        <f t="shared" si="576"/>
        <v>0</v>
      </c>
      <c r="DN439" s="420">
        <f t="shared" si="577"/>
        <v>0</v>
      </c>
      <c r="DO439" s="420">
        <f t="shared" si="578"/>
        <v>0</v>
      </c>
      <c r="DP439" s="433">
        <f t="shared" si="579"/>
        <v>0</v>
      </c>
      <c r="DQ439" s="1113" t="s">
        <v>2080</v>
      </c>
      <c r="DR439" s="444">
        <f t="shared" si="580"/>
        <v>0.33</v>
      </c>
      <c r="DS439" s="1124"/>
      <c r="DT439" s="1093" t="s">
        <v>133</v>
      </c>
      <c r="DU439" s="1124"/>
      <c r="DV439" s="1098">
        <f>IF($P439="","N/A",IF(P439=-1,INDEX('卡片raw data'!AN:AN,MATCH(D439,'卡片raw data'!$F:$F,)),0)+IF(AND(L439&lt;&gt;"party卡",P439&lt;=2,P439&gt;=0),INDEX('卡片raw data'!AP:AP,MATCH(D439,'卡片raw data'!$F:$F,)),0)+IF(OR(AND(L439="party卡",P439&lt;=1),AND(P439&lt;=4,L439&lt;&gt;"party卡",P439&gt;=3)),INDEX('卡片raw data'!AQ:AQ,MATCH(D439,'卡片raw data'!$F:$F,)),0)+IF(OR(P439=5,AND(L439="party卡",P439&gt;=2)),INDEX('卡片raw data'!AR:AR,MATCH(D439,'卡片raw data'!$F:$F,)),0))</f>
        <v>0.32</v>
      </c>
      <c r="DW439" s="1098">
        <f t="shared" si="581"/>
        <v>0.33</v>
      </c>
      <c r="DX439" s="1098">
        <f t="shared" si="582"/>
        <v>0.33</v>
      </c>
      <c r="DY439" s="1097">
        <f t="shared" si="583"/>
        <v>864.23985710233592</v>
      </c>
      <c r="DZ439" s="1097">
        <f t="shared" si="584"/>
        <v>747.56747639352056</v>
      </c>
      <c r="EA439" s="421">
        <f t="shared" si="585"/>
        <v>0</v>
      </c>
      <c r="EB439" s="445">
        <f t="shared" si="586"/>
        <v>0</v>
      </c>
      <c r="EC439" s="424">
        <f t="shared" si="587"/>
        <v>0</v>
      </c>
      <c r="ED439" s="420">
        <f t="shared" si="588"/>
        <v>0</v>
      </c>
      <c r="EE439" s="433">
        <f t="shared" si="598"/>
        <v>48435.03108962375</v>
      </c>
      <c r="EF439" s="1115" t="s">
        <v>569</v>
      </c>
      <c r="EG439" s="444">
        <f t="shared" si="589"/>
        <v>0.33</v>
      </c>
      <c r="EH439" s="450"/>
      <c r="EI439" s="1093"/>
      <c r="EJ439" s="1093"/>
      <c r="EK439" s="420">
        <f>IF($P439="","N/A",IF(P439=-1,INDEX('卡片raw data'!AS:AS,MATCH(D439,'卡片raw data'!$F:$F,)),0)+IF(AND(L439&lt;&gt;"party卡",P439&lt;=2,P439&gt;=0),INDEX('卡片raw data'!AU:AU,MATCH(D439,'卡片raw data'!$F:$F,)),0)+IF(OR(AND(L439="party卡",P439&lt;=1),AND(P439&lt;=4,L439&lt;&gt;"party卡",P439&gt;=3)),INDEX('卡片raw data'!AV:AV,MATCH(D439,'卡片raw data'!$F:$F,)),0)+IF(OR(P439=5,AND(L439="party卡",P439&gt;=2)),INDEX('卡片raw data'!AW:AW,MATCH(D439,'卡片raw data'!$F:$F,)),0))</f>
        <v>0</v>
      </c>
      <c r="EL439" s="1098">
        <f t="shared" si="590"/>
        <v>0.33</v>
      </c>
      <c r="EM439" s="1098">
        <f t="shared" si="591"/>
        <v>0.33</v>
      </c>
      <c r="EN439" s="1097">
        <f t="shared" si="592"/>
        <v>0</v>
      </c>
      <c r="EO439" s="1097">
        <f t="shared" si="593"/>
        <v>0</v>
      </c>
      <c r="EP439" s="421">
        <f t="shared" si="594"/>
        <v>0</v>
      </c>
      <c r="EQ439" s="445">
        <f t="shared" si="595"/>
        <v>0</v>
      </c>
      <c r="ER439" s="424">
        <f t="shared" si="596"/>
        <v>0</v>
      </c>
      <c r="ES439" s="420">
        <f t="shared" si="597"/>
        <v>0</v>
      </c>
      <c r="ET439" s="446">
        <f t="shared" si="599"/>
        <v>0</v>
      </c>
    </row>
    <row r="440" spans="2:150" ht="16.5" customHeight="1">
      <c r="B440" s="1123" t="str">
        <f>INDEX('卡片raw data'!B:B,MATCH($D440,'卡片raw data'!$F:$F,))</f>
        <v>樱花妮</v>
      </c>
      <c r="C440" s="449" t="s">
        <v>2594</v>
      </c>
      <c r="D440" s="408">
        <v>437</v>
      </c>
      <c r="E440" s="477">
        <v>400093003</v>
      </c>
      <c r="F440" s="409" t="str">
        <f>INDEX('卡片raw data'!C:C,MATCH($D440,'卡片raw data'!$F:$F,))</f>
        <v>UR</v>
      </c>
      <c r="G440" s="1094" t="s">
        <v>2595</v>
      </c>
      <c r="H440" s="411">
        <f>IFERROR(INDEX(绊状态确认!C:C,MATCH($G440,绊状态确认!$B:$B,)),"")</f>
        <v>9</v>
      </c>
      <c r="I440" s="1124" t="str">
        <f>IFERROR(INDEX(绊状态确认!D:D,MATCH($G440,绊状态确认!$B:$B,)),"")</f>
        <v>缪</v>
      </c>
      <c r="J440" s="1124" t="str">
        <f>IFERROR(INDEX(绊状态确认!E:E,MATCH($G440,绊状态确认!$B:$B,)),"")</f>
        <v>3年级</v>
      </c>
      <c r="K440" s="451" t="str">
        <f>IFERROR(INDEX(绊状态确认!F:F,MATCH($G440,绊状态确认!$B:$B,)),"")</f>
        <v>BiBi</v>
      </c>
      <c r="L440" s="414" t="str">
        <f>INDEX('卡片raw data'!E:E,MATCH($D440,'卡片raw data'!$F:$F,))</f>
        <v>活动卡</v>
      </c>
      <c r="M440" s="478">
        <v>44290</v>
      </c>
      <c r="N440" s="479">
        <v>37</v>
      </c>
      <c r="O440" s="410" t="str">
        <f>INDEX('卡片raw data'!D:D,MATCH($D440,'卡片raw data'!$F:$F,))</f>
        <v>sk</v>
      </c>
      <c r="P440" s="1126">
        <v>5</v>
      </c>
      <c r="Q440" s="418">
        <f t="shared" si="515"/>
        <v>41577.51592783715</v>
      </c>
      <c r="R440" s="419">
        <f t="shared" si="516"/>
        <v>0.48299999999999998</v>
      </c>
      <c r="S440" s="420">
        <f t="shared" si="517"/>
        <v>20493.901662704189</v>
      </c>
      <c r="T440" s="421">
        <f t="shared" si="518"/>
        <v>1.024</v>
      </c>
      <c r="U440" s="422">
        <f t="shared" si="519"/>
        <v>16.177533156942854</v>
      </c>
      <c r="V440" s="423">
        <f t="shared" si="520"/>
        <v>44879.230176561796</v>
      </c>
      <c r="W440" s="424">
        <f t="shared" si="521"/>
        <v>4613.7820931866054</v>
      </c>
      <c r="X440" s="419">
        <f t="shared" si="522"/>
        <v>5.2999999999999999E-2</v>
      </c>
      <c r="Y440" s="420">
        <f t="shared" si="523"/>
        <v>1301.7142487246483</v>
      </c>
      <c r="Z440" s="425">
        <f t="shared" si="524"/>
        <v>16.177533156942854</v>
      </c>
      <c r="AA440" s="426">
        <f t="shared" si="525"/>
        <v>5915.4963419112537</v>
      </c>
      <c r="AB440" s="424">
        <f t="shared" si="526"/>
        <v>9672.0593422632301</v>
      </c>
      <c r="AC440" s="427">
        <f t="shared" si="527"/>
        <v>0.112</v>
      </c>
      <c r="AD440" s="428">
        <f t="shared" si="528"/>
        <v>3.5824490693392261E-2</v>
      </c>
      <c r="AE440" s="516">
        <f t="shared" si="529"/>
        <v>18.791178202927217</v>
      </c>
      <c r="AF440" s="1130">
        <f t="shared" si="530"/>
        <v>0</v>
      </c>
      <c r="AG440" s="420">
        <f t="shared" si="531"/>
        <v>0</v>
      </c>
      <c r="AH440" s="420">
        <f t="shared" si="532"/>
        <v>0</v>
      </c>
      <c r="AI440" s="1097">
        <f t="shared" si="533"/>
        <v>0</v>
      </c>
      <c r="AJ440" s="420">
        <f t="shared" si="534"/>
        <v>0</v>
      </c>
      <c r="AK440" s="518">
        <f t="shared" si="535"/>
        <v>0</v>
      </c>
      <c r="AL440" s="1106">
        <f>IF($P440="","N/A",(IF($P440=-1,INDEX('卡片raw data'!S:S,MATCH($D440,'卡片raw data'!$F:$F,)),0)+IF($P440=0,INDEX('卡片raw data'!V:V,MATCH($D440,'卡片raw data'!$F:$F,)),0)+IF($P440=1,INDEX('卡片raw data'!Y:Y,MATCH($D440,'卡片raw data'!$F:$F,)),0)+IF($P440=2,INDEX('卡片raw data'!AB:AB,MATCH($D440,'卡片raw data'!$F:$F,)),0)+IF($P440=3,INDEX('卡片raw data'!AE:AE,MATCH($D440,'卡片raw data'!$F:$F,)),0)+IF($P440=4,INDEX('卡片raw data'!AH:AH,MATCH($D440,'卡片raw data'!$F:$F,)),0)+IF($P440=5,INDEX('卡片raw data'!AK:AK,MATCH($D440,'卡片raw data'!$F:$F,)),0)+INDEX('卡片raw data'!S:S,MATCH($D440,'卡片raw data'!$F:$F,))*(IF($F440="UR",0.04,0.033))*(IF($F440="UR",INDEX(绊状态确认!$S:$S,MATCH($G440,绊状态确认!$B:$B,))/2-40)+IF($F440="SR",INDEX(绊状态确认!$R:$R,MATCH($G440,绊状态确认!$B:$B,))/4-15))+IF($F440="R",INDEX(绊状态确认!$Q:$Q,MATCH($G440,绊状态确认!$B:$B,))/6-40/6)))*(INDEX(绊状态确认!$H:$H,MATCH($G440,绊状态确认!$B:$B,))+INDEX(绊状态确认!J:J,MATCH($G440,绊状态确认!$B:$B,)))</f>
        <v>10021.457039999999</v>
      </c>
      <c r="AM440" s="1106">
        <f>IF($P440="","N/A",(IF($P440=-1,INDEX('卡片raw data'!T:T,MATCH($D440,'卡片raw data'!$F:$F,)),0)+IF($P440=0,INDEX('卡片raw data'!W:W,MATCH($D440,'卡片raw data'!$F:$F,)),0)+IF($P440=1,INDEX('卡片raw data'!Z:Z,MATCH($D440,'卡片raw data'!$F:$F,)),0)+IF($P440=2,INDEX('卡片raw data'!AC:AC,MATCH($D440,'卡片raw data'!$F:$F,)),0)+IF($P440=3,INDEX('卡片raw data'!AF:AF,MATCH($D440,'卡片raw data'!$F:$F,)),0)+IF($P440=4,INDEX('卡片raw data'!AI:AI,MATCH($D440,'卡片raw data'!$F:$F,)),0)+IF($P440=5,INDEX('卡片raw data'!AL:AL,MATCH($D440,'卡片raw data'!$F:$F,)),0)+INDEX('卡片raw data'!T:T,MATCH($D440,'卡片raw data'!$F:$F,))*(IF($F440="UR",0.04,0.033))*(IF($F440="UR",INDEX(绊状态确认!$S:$S,MATCH($G440,绊状态确认!$B:$B,))/2-40)+IF($F440="SR",INDEX(绊状态确认!$R:$R,MATCH($G440,绊状态确认!$B:$B,))/4-15))+IF($F440="R",INDEX(绊状态确认!$Q:$Q,MATCH($G440,绊状态确认!$B:$B,))/6-40/6)))*(INDEX(绊状态确认!$H:$H,MATCH($G440,绊状态确认!$B:$B,))+INDEX(绊状态确认!K:K,MATCH($G440,绊状态确认!$B:$B,)))</f>
        <v>9080.6087519999983</v>
      </c>
      <c r="AN440" s="1106">
        <f>IF($P440="","N/A",(IF($P440=-1,INDEX('卡片raw data'!U:U,MATCH($D440,'卡片raw data'!$F:$F,)),0)+IF($P440=0,INDEX('卡片raw data'!X:X,MATCH($D440,'卡片raw data'!$F:$F,)),0)+IF($P440=1,INDEX('卡片raw data'!AA:AA,MATCH($D440,'卡片raw data'!$F:$F,)),0)+IF($P440=2,INDEX('卡片raw data'!AD:AD,MATCH($D440,'卡片raw data'!$F:$F,)),0)+IF($P440=3,INDEX('卡片raw data'!AG:AG,MATCH($D440,'卡片raw data'!$F:$F,)),0)+IF($P440=4,INDEX('卡片raw data'!AJ:AJ,MATCH($D440,'卡片raw data'!$F:$F,)),0)+IF($P440=5,INDEX('卡片raw data'!AM:AM,MATCH($D440,'卡片raw data'!$F:$F,)),0)+INDEX('卡片raw data'!U:U,MATCH($D440,'卡片raw data'!$F:$F,))*(IF($F440="UR",0.04,0.033))*(IF($F440="UR",INDEX(绊状态确认!$S:$S,MATCH($G440,绊状态确认!$B:$B,))/2-40)+IF($F440="SR",INDEX(绊状态确认!$R:$R,MATCH($G440,绊状态确认!$B:$B,))/4-15))+IF($F440="R",INDEX(绊状态确认!$Q:$Q,MATCH($G440,绊状态确认!$B:$B,))/6-40/6)))*(INDEX(绊状态确认!$H:$H,MATCH($G440,绊状态确认!$B:$B,))+INDEX(绊状态确认!L:L,MATCH($G440,绊状态确认!$B:$B,)))</f>
        <v>12211.345295999998</v>
      </c>
      <c r="AO440" s="1107">
        <f t="shared" si="536"/>
        <v>1</v>
      </c>
      <c r="AP440" s="1131">
        <f>1+(INDEX(绊状态确认!$T:$T,MATCH($G440,绊状态确认!$B:$B,))+0.2)*$AO440</f>
        <v>1.3</v>
      </c>
      <c r="AQ440" s="1108">
        <f t="shared" si="537"/>
        <v>29556.32473</v>
      </c>
      <c r="AR440" s="1097">
        <f>(AM440*(1+$EX$9)+$EX$35)*(1+(INDEX(绊状态确认!$T:$T,MATCH($G440,绊状态确认!$B:$B,))+0.2)*AO440)*IF(J440=$FF$17,1+$FE$17,1)*IF(I440=$FF$14,1+$FE$14,1)</f>
        <v>15099.030946479999</v>
      </c>
      <c r="AS440" s="1097">
        <f>(AN440*(1+$EX$10)+$EX$36)*(1+(INDEX(绊状态确认!$T:$T,MATCH($G440,绊状态确认!$B:$B,))+0.2)*AO440)*IF(J440=$FF$17,1+$FE$17,1)*IF(I440=$FF$14,1+$FE$14,1)</f>
        <v>22311.961217519995</v>
      </c>
      <c r="AT440" s="1093">
        <f>IF(AND(INDEX('卡片raw data'!AK:AK,MATCH($D440,'卡片raw data'!$F:$F,))&lt;INDEX('卡片raw data'!AM:AM,MATCH($D440,'卡片raw data'!$F:$F,)),INDEX('卡片raw data'!AL:AL,MATCH($D440,'卡片raw data'!$F:$F,))&lt;INDEX('卡片raw data'!AM:AM,MATCH($D440,'卡片raw data'!$F:$F,))),1,0)</f>
        <v>1</v>
      </c>
      <c r="AU440" s="1098">
        <f>MIN(AT440*0.15+AS440*0.00003+INDEX(绊状态确认!M:M,MATCH($G440,绊状态确认!$B:$B,)),1)</f>
        <v>0.84935883652559985</v>
      </c>
      <c r="AV440" s="1109">
        <f>(INDEX(绊状态确认!$N:$N,MATCH($G440,绊状态确认!$B:$B,))+1.5)*$EW$21</f>
        <v>2.6599999999999997</v>
      </c>
      <c r="AW440" s="1101">
        <f t="shared" si="538"/>
        <v>36992.462553877187</v>
      </c>
      <c r="AX440" s="1097">
        <f t="shared" si="539"/>
        <v>1301.7142487246485</v>
      </c>
      <c r="AY440" s="1110">
        <f t="shared" si="540"/>
        <v>38294.176802601833</v>
      </c>
      <c r="AZ440" s="429">
        <f t="shared" si="541"/>
        <v>22141.841227999997</v>
      </c>
      <c r="BA440" s="431">
        <f t="shared" si="542"/>
        <v>26570.209473599996</v>
      </c>
      <c r="BB440" s="1097">
        <f>(AM440*(1+$FB$9)+$FB$35)*(1+(INDEX(绊状态确认!$T:$T,MATCH($G440,绊状态确认!$B:$B,))+0.2)*AO440)*IF(J440=$FF$17,1+$FE$17,1)*IF(I440=$FF$14,1+$FE$14,1)*(1+$FE$15)</f>
        <v>15099.030946479999</v>
      </c>
      <c r="BC440" s="1097">
        <f>(AN440*(1+$FB$10)+$FB$36)*(1+(INDEX(绊状态确认!$T:$T,MATCH($G440,绊状态确认!$B:$B,))+0.2)*AO440)*IF(J440=$FF$17,1+$FE$17,1)*IF(I440=$FF$14,1+$FE$14,1)*(1+$FE$15)</f>
        <v>22311.961217519995</v>
      </c>
      <c r="BD440" s="1104">
        <f>MIN(AT440*0.15+BC440*0.00003+INDEX(绊状态确认!M:M,MATCH($G440,绊状态确认!$B:$B,)),1)</f>
        <v>0.84935883652559985</v>
      </c>
      <c r="BE440" s="432">
        <f>(INDEX(绊状态确认!$N:$N,MATCH($G440,绊状态确认!$B:$B,))+1.5)</f>
        <v>1.9</v>
      </c>
      <c r="BF440" s="1139">
        <f t="array" ref="BF440">SUMPRODUCT(IF(AZ440*AP440*$FI$16:$FI$23*$FA$22&gt;=$FI$24,$FI$24,AZ440*AP440*$FI$16:$FI$23*$FA$22),$FJ$16:$FJ$23)</f>
        <v>44040.122202491999</v>
      </c>
      <c r="BG440" s="1125">
        <f t="array" ref="BG440">SUMPRODUCT(IF(BE440*AZ440*AP440*$FI$16:$FI$23*$FA$22&gt;=$FI$24,$FI$24,BE440*AZ440*AP440*$FI$16:$FI$23*$FA$22),$FJ$16:$FJ$23)</f>
        <v>60000</v>
      </c>
      <c r="BH440" s="1110">
        <f t="shared" si="543"/>
        <v>19198.595146558047</v>
      </c>
      <c r="BI440" s="1111">
        <f>IF(O440="vo",$EW$26/$EW$24*0.05,0)+IF(O440="sk",-$EW$26/$EW$24*(0.05-INDEX(绊状态确认!W:W,MATCH($G440,绊状态确认!$B:$B,)))+0.05*$EW$28,0)+IF(O440="sp",0.05*$EW$32*$EW$30*(1-$EW$33)-(0.05-INDEX(绊状态确认!V:V,MATCH($G440,绊状态确认!$B:$B,)))*$EW$28,0)+IF(O440="gd",-(0.05-INDEX(绊状态确认!X:X,MATCH($G440,绊状态确认!$B:$B,)))*$EW$32*$EW$30*(1-$EW$33),0)</f>
        <v>-6253.6726349699375</v>
      </c>
      <c r="BJ440" s="420">
        <f>IF(O440="vo",0.05*(1-$FI$26)*$FA$24,0)+IF(O440="sk",-(0.05-INDEX(绊状态确认!W:W,MATCH($G440,绊状态确认!$B:$B,)))*(1-$FI$26)*$FA$24+0.05*$FA$26,0)+IF(O440="sp",0.05*$FA$32*$FA$27*(1-$FA$33)/$FA$30+0.05*$FA$29/$FA$69*$FA$27*(1-$FA$33)-(0.05-INDEX(绊状态确认!V:V,MATCH($G440,绊状态确认!$B:$B,)))*$FA$26,0)+IF(O440="gd",-(0.05-INDEX(绊状态确认!X:X,MATCH($G440,绊状态确认!$B:$B,)))*$FA$32*$FA$27*(1-$FA$33)/$FA$30-(0.05-INDEX(绊状态确认!X:X,MATCH($G440,绊状态确认!$B:$B,)))*$FA$29/$FA$69*$FA$27*(1-$FA$33),0)</f>
        <v>20.459096812499922</v>
      </c>
      <c r="BK440" s="1110">
        <f>IF(O440="vo",$EW$26/$EW$24*0.05+$EW$26*(-HP($EW$62,$EW$65,$EW$64)+HP($EW$62,$EW$65,(1.05-INDEX(绊状态确认!U:U,MATCH($G440,绊状态确认!$B:$B,)))*$EW$64)),0)+IF(O440="sk",-$EW$26/$EW$24*(0.05-INDEX(绊状态确认!W:W,MATCH($G440,绊状态确认!$B:$B,)))+0.05*$EW$29,0)+IF(O440="sp",0.05*$EW$32*$EW$30*(1-$EW$33)-(0.05-INDEX(绊状态确认!V:V,MATCH($G440,绊状态确认!$B:$B,)))*$EW$29,0)+IF(O440="gd",-(0.05-INDEX(绊状态确认!X:X,MATCH($G440,绊状态确认!$B:$B,)))*$EW$32*$EW$30*(1-$EW$33)+$EW$26*(-HP($EW$62,$EW$65,$EW$64)+HP($EW$62,$EW$65,0.95*$EW$64)),0)</f>
        <v>-4253.6726349699375</v>
      </c>
      <c r="BL440" s="1111">
        <f t="shared" si="544"/>
        <v>0</v>
      </c>
      <c r="BM440" s="1110">
        <f t="shared" si="545"/>
        <v>0</v>
      </c>
      <c r="BN440" s="1113">
        <f t="shared" si="546"/>
        <v>3</v>
      </c>
      <c r="BO440" s="1108">
        <f t="shared" si="547"/>
        <v>4507.7214871259994</v>
      </c>
      <c r="BP440" s="1100">
        <f t="shared" si="548"/>
        <v>221.34103209030098</v>
      </c>
      <c r="BQ440" s="1113" t="s">
        <v>134</v>
      </c>
      <c r="BR440" s="1124" t="s">
        <v>168</v>
      </c>
      <c r="BS440" s="421">
        <f>IF($P440="","N/A",IF($P440=-1,INDEX('卡片raw data'!AX:AX,MATCH($D440,'卡片raw data'!$F:$F,)),0)+IF($L440="party卡",IF($P440=5,INDEX('卡片raw data'!BD:BD,MATCH($D440,'卡片raw data'!$F:$F,)),IF($P440&gt;=3,INDEX('卡片raw data'!BC:BC,MATCH($D440,'卡片raw data'!$F:$F,)),INDEX('卡片raw data'!BB:BB,MATCH($D440,'卡片raw data'!$F:$F,)))),IF(OR(AND($F440="UR",$P440=0),AND($F440="SR",$P440&gt;=0,$P440&lt;=2),AND($F440="R",$P440&gt;=0,$P440&lt;4)),INDEX('卡片raw data'!AZ:AZ,MATCH($D440,'卡片raw data'!$F:$F,)),0)+IF(OR(AND($F440="UR",$P440&gt;=1,$P440&lt;=4),AND($F440="SR",$P440&lt;=4,$P440&gt;=3),AND($F440="R",$P440=4)),INDEX('卡片raw data'!BA:BA,MATCH($D440,'卡片raw data'!$F:$F,)),0)+IF($P440=5,INDEX('卡片raw data'!BB:BB,MATCH($D440,'卡片raw data'!$F:$F,)),0)))</f>
        <v>7.0000000000000007E-2</v>
      </c>
      <c r="BT440" s="424">
        <f t="shared" si="549"/>
        <v>4952.2166430160187</v>
      </c>
      <c r="BU440" s="420">
        <f t="shared" si="550"/>
        <v>358.20967007162113</v>
      </c>
      <c r="BV440" s="420">
        <f t="shared" si="551"/>
        <v>0</v>
      </c>
      <c r="BW440" s="436">
        <f t="shared" si="552"/>
        <v>0</v>
      </c>
      <c r="BX440" s="423">
        <f t="shared" si="553"/>
        <v>4952.2166430160187</v>
      </c>
      <c r="BY440" s="433">
        <f t="shared" si="554"/>
        <v>0</v>
      </c>
      <c r="BZ440" s="1113" t="s">
        <v>569</v>
      </c>
      <c r="CA440" s="1124"/>
      <c r="CB440" s="421">
        <f>IF($P440="","N/A",IF($P440=-1,INDEX('卡片raw data'!BE:BE,MATCH($D440,'卡片raw data'!$F:$F,)),0)+IF($L440="party卡",IF($P440=5,INDEX('卡片raw data'!BK:BK,MATCH($D440,'卡片raw data'!$F:$F,)),IF($P440&gt;=3,INDEX('卡片raw data'!BJ:BJ,MATCH($D440,'卡片raw data'!$F:$F,)),INDEX('卡片raw data'!BI:BI,MATCH($D440,'卡片raw data'!$F:$F,)))),IF(OR(AND($F440="UR",$P440=0),AND($F440="SR",$P440&gt;=0,$P440&lt;=2),AND($F440="R",$P440&gt;=0,$P440&lt;4)),INDEX('卡片raw data'!BG:BG,MATCH($D440,'卡片raw data'!$F:$F,)),0)+IF(OR(AND($F440="UR",$P440&gt;=1,$P440&lt;=4),AND($F440="SR",$P440&lt;=4,$P440&gt;=3),AND($F440="R",$P440=4)),INDEX('卡片raw data'!BH:BH,MATCH($D440,'卡片raw data'!$F:$F,)),0)+IF($P440=5,INDEX('卡片raw data'!BI:BI,MATCH($D440,'卡片raw data'!$F:$F,)),0)))</f>
        <v>0</v>
      </c>
      <c r="CC440" s="424">
        <f t="shared" si="555"/>
        <v>0</v>
      </c>
      <c r="CD440" s="420">
        <f>IF(BZ440="ap",CB440*(1-$FI$26)*$FB$5/$FB$11*(+IF(CA440="全员",$FA$24,0)+IF(CA440="同作战",$FA$24,0)+IF(CA440="仲间",$FA$24*2/3,0)+IF(CA440="同属性",$FA$24*$FA$37/3,0)+IF(CA440="同年级",$FA$24*$FA$40/3,0)+IF(CA440="同学校",$FA$24*$FA$43/3,0)+IF(CA440="同小队",$FA$24*$FA$46/3,0)+IF(CA440="同type",$FA$24*INDEX($FB$49:$FB$52,MATCH(X440,$FA$49:$FA$52,))/3,0)+IF(CA440="自身",#REF!/3,0)),0)+IF(BZ440="te",CB440*(1-$FI$27)*($FA$20-1)*$FB$7/$FB$13*(+IF(CA440="全员",$FA$19*$FA$24/(1+($FA$20-1)*$FA$19),0)+IF(CA440="同作战",$FA$19*$FA$24/(1+($FA$20-1)*$FA$19),0)+IF(CA440="仲间",$FA$19*$FA$24*2/3/(1+($FA$20-1)*$FA$19),0)+IF(CA440="同属性",$FA$19*$FA$24*$FA$37/3/(1+($FA$20-1)*$FA$19),0)+IF(CA440="同年级",$FA$19*$FA$24*$FA$40/3/(1+($FA$20-1)*$FA$19),0)+IF(CA440="同学校",$FA$19*$FA$24*$FA$43/3/(1+($FA$20-1)*$FA$19),0)+IF(CA440="同小队",$FA$19*$FA$24*$FA$46/3/(1+($FA$20-1)*$FA$19),0)+IF(CA440="同type",$FA$19*$FA$24*INDEX($FB$49:$FB$52,MATCH(X440,$FA$49:$FA$52,))/3/(1+($FA$20-1)*$FA$19),0)+IF(CA440="自身",$FA$19*#REF!/3/(1+(BH440-1)*$BD440),0)),0)</f>
        <v>0</v>
      </c>
      <c r="CE440" s="420">
        <f t="shared" si="556"/>
        <v>0</v>
      </c>
      <c r="CF440" s="436">
        <f t="shared" si="557"/>
        <v>0</v>
      </c>
      <c r="CG440" s="423">
        <f t="shared" si="558"/>
        <v>0</v>
      </c>
      <c r="CH440" s="433">
        <f t="shared" si="559"/>
        <v>0</v>
      </c>
      <c r="CI440" s="1113" t="s">
        <v>162</v>
      </c>
      <c r="CJ440" s="1114">
        <v>1</v>
      </c>
      <c r="CK440" s="1115" t="s">
        <v>2160</v>
      </c>
      <c r="CL440" s="1115" t="s">
        <v>2596</v>
      </c>
      <c r="CM440" s="1119">
        <v>7.0000000000000007E-2</v>
      </c>
      <c r="CN440" s="1115">
        <v>5</v>
      </c>
      <c r="CO440" s="1115"/>
      <c r="CP440" s="1118">
        <f t="shared" si="560"/>
        <v>5.0000000000000001E-3</v>
      </c>
      <c r="CQ440" s="1118">
        <f t="shared" si="561"/>
        <v>6.805555555555556E-3</v>
      </c>
      <c r="CR440" s="1118">
        <f t="shared" si="562"/>
        <v>2.5000000000000001E-3</v>
      </c>
      <c r="CS440" s="442">
        <f t="shared" si="563"/>
        <v>4.1521990740740746E-3</v>
      </c>
      <c r="CT440" s="432">
        <f t="shared" si="564"/>
        <v>0</v>
      </c>
      <c r="CU440" s="1101">
        <f t="shared" si="565"/>
        <v>212.12121212121212</v>
      </c>
      <c r="CV440" s="1108">
        <f t="shared" si="566"/>
        <v>154.67171717171718</v>
      </c>
      <c r="CW440" s="420">
        <f t="shared" si="567"/>
        <v>106.06060606060606</v>
      </c>
      <c r="CX440" s="420">
        <f t="shared" si="568"/>
        <v>212.12121212121212</v>
      </c>
      <c r="CY440" s="433">
        <f t="shared" si="569"/>
        <v>106.06060606060606</v>
      </c>
      <c r="CZ440" s="437"/>
      <c r="DA440" s="438"/>
      <c r="DB440" s="439" t="s">
        <v>569</v>
      </c>
      <c r="DC440" s="439"/>
      <c r="DD440" s="443"/>
      <c r="DE440" s="411"/>
      <c r="DF440" s="411"/>
      <c r="DG440" s="1116">
        <f t="shared" si="570"/>
        <v>0</v>
      </c>
      <c r="DH440" s="1116">
        <f t="shared" si="571"/>
        <v>0</v>
      </c>
      <c r="DI440" s="1116">
        <f t="shared" si="572"/>
        <v>0</v>
      </c>
      <c r="DJ440" s="442">
        <f t="shared" si="573"/>
        <v>0</v>
      </c>
      <c r="DK440" s="432">
        <f t="shared" si="574"/>
        <v>0</v>
      </c>
      <c r="DL440" s="424">
        <f t="shared" si="575"/>
        <v>0</v>
      </c>
      <c r="DM440" s="420">
        <f t="shared" si="576"/>
        <v>0</v>
      </c>
      <c r="DN440" s="420">
        <f t="shared" si="577"/>
        <v>0</v>
      </c>
      <c r="DO440" s="420">
        <f t="shared" si="578"/>
        <v>0</v>
      </c>
      <c r="DP440" s="433">
        <f t="shared" si="579"/>
        <v>0</v>
      </c>
      <c r="DQ440" s="1113" t="s">
        <v>2160</v>
      </c>
      <c r="DR440" s="1120">
        <f t="shared" si="580"/>
        <v>0.33</v>
      </c>
      <c r="DS440" s="1124">
        <v>5</v>
      </c>
      <c r="DT440" s="1124" t="s">
        <v>2127</v>
      </c>
      <c r="DU440" s="1124" t="s">
        <v>2145</v>
      </c>
      <c r="DV440" s="1098">
        <f>IF($P440="","N/A",IF(P440=-1,INDEX('卡片raw data'!AN:AN,MATCH(D440,'卡片raw data'!$F:$F,)),0)+IF(AND(L440&lt;&gt;"party卡",P440&lt;=2,P440&gt;=0),INDEX('卡片raw data'!AP:AP,MATCH(D440,'卡片raw data'!$F:$F,)),0)+IF(OR(AND(L440="party卡",P440&lt;=1),AND(P440&lt;=4,L440&lt;&gt;"party卡",P440&gt;=3)),INDEX('卡片raw data'!AQ:AQ,MATCH(D440,'卡片raw data'!$F:$F,)),0)+IF(OR(P440=5,AND(L440="party卡",P440&gt;=2)),INDEX('卡片raw data'!AR:AR,MATCH(D440,'卡片raw data'!$F:$F,)),0))</f>
        <v>0.05</v>
      </c>
      <c r="DW440" s="1098">
        <f t="shared" si="581"/>
        <v>0.33</v>
      </c>
      <c r="DX440" s="1098">
        <f t="shared" si="582"/>
        <v>0.33</v>
      </c>
      <c r="DY440" s="1098">
        <f t="shared" si="583"/>
        <v>2.7500000000000004E-2</v>
      </c>
      <c r="DZ440" s="1098">
        <f t="shared" si="584"/>
        <v>2.3787500000000003E-2</v>
      </c>
      <c r="EA440" s="421">
        <f t="shared" si="585"/>
        <v>9.9029734375000004E-3</v>
      </c>
      <c r="EB440" s="445">
        <f t="shared" si="586"/>
        <v>0</v>
      </c>
      <c r="EC440" s="424">
        <f t="shared" si="587"/>
        <v>1166.6666666666667</v>
      </c>
      <c r="ED440" s="420">
        <f t="shared" si="588"/>
        <v>540.62500000000011</v>
      </c>
      <c r="EE440" s="433">
        <f t="shared" si="598"/>
        <v>1166.6666666666667</v>
      </c>
      <c r="EF440" s="1115" t="s">
        <v>569</v>
      </c>
      <c r="EG440" s="1120">
        <f t="shared" si="589"/>
        <v>0.33</v>
      </c>
      <c r="EH440" s="1124"/>
      <c r="EI440" s="1093"/>
      <c r="EJ440" s="1093"/>
      <c r="EK440" s="420">
        <f>IF($P440="","N/A",IF(P440=-1,INDEX('卡片raw data'!AS:AS,MATCH(D440,'卡片raw data'!$F:$F,)),0)+IF(AND(L440&lt;&gt;"party卡",P440&lt;=2,P440&gt;=0),INDEX('卡片raw data'!AU:AU,MATCH(D440,'卡片raw data'!$F:$F,)),0)+IF(OR(AND(L440="party卡",P440&lt;=1),AND(P440&lt;=4,L440&lt;&gt;"party卡",P440&gt;=3)),INDEX('卡片raw data'!AV:AV,MATCH(D440,'卡片raw data'!$F:$F,)),0)+IF(OR(P440=5,AND(L440="party卡",P440&gt;=2)),INDEX('卡片raw data'!AW:AW,MATCH(D440,'卡片raw data'!$F:$F,)),0))</f>
        <v>0</v>
      </c>
      <c r="EL440" s="1098">
        <f t="shared" si="590"/>
        <v>0.33</v>
      </c>
      <c r="EM440" s="1098">
        <f t="shared" si="591"/>
        <v>0.33</v>
      </c>
      <c r="EN440" s="1097">
        <f t="shared" si="592"/>
        <v>0</v>
      </c>
      <c r="EO440" s="1097">
        <f t="shared" si="593"/>
        <v>0</v>
      </c>
      <c r="EP440" s="421">
        <f t="shared" si="594"/>
        <v>0</v>
      </c>
      <c r="EQ440" s="445">
        <f t="shared" si="595"/>
        <v>0</v>
      </c>
      <c r="ER440" s="424">
        <f t="shared" si="596"/>
        <v>0</v>
      </c>
      <c r="ES440" s="420">
        <f t="shared" si="597"/>
        <v>0</v>
      </c>
      <c r="ET440" s="446">
        <f t="shared" si="599"/>
        <v>0</v>
      </c>
    </row>
    <row r="441" spans="2:150" ht="16.5" customHeight="1">
      <c r="B441" s="1123" t="str">
        <f>INDEX('卡片raw data'!B:B,MATCH($D441,'卡片raw data'!$F:$F,))</f>
        <v>三单善</v>
      </c>
      <c r="C441" s="449" t="s">
        <v>2599</v>
      </c>
      <c r="D441" s="408">
        <v>438</v>
      </c>
      <c r="E441" s="477">
        <v>401062004</v>
      </c>
      <c r="F441" s="409" t="str">
        <f>INDEX('卡片raw data'!C:C,MATCH($D441,'卡片raw data'!$F:$F,))</f>
        <v>SR</v>
      </c>
      <c r="G441" s="1094" t="s">
        <v>2600</v>
      </c>
      <c r="H441" s="411">
        <f>IFERROR(INDEX(绊状态确认!C:C,MATCH($G441,绊状态确认!$B:$B,)),"")</f>
        <v>106</v>
      </c>
      <c r="I441" s="1124" t="str">
        <f>IFERROR(INDEX(绊状态确认!D:D,MATCH($G441,绊状态确认!$B:$B,)),"")</f>
        <v>水</v>
      </c>
      <c r="J441" s="1124" t="str">
        <f>IFERROR(INDEX(绊状态确认!E:E,MATCH($G441,绊状态确认!$B:$B,)),"")</f>
        <v>1年级</v>
      </c>
      <c r="K441" s="451" t="str">
        <f>IFERROR(INDEX(绊状态确认!F:F,MATCH($G441,绊状态确认!$B:$B,)),"")</f>
        <v>Guilty Kiss</v>
      </c>
      <c r="L441" s="414" t="str">
        <f>INDEX('卡片raw data'!E:E,MATCH($D441,'卡片raw data'!$F:$F,))</f>
        <v>活动卡</v>
      </c>
      <c r="M441" s="478">
        <v>44290</v>
      </c>
      <c r="N441" s="479">
        <v>37</v>
      </c>
      <c r="O441" s="410" t="str">
        <f>INDEX('卡片raw data'!D:D,MATCH($D441,'卡片raw data'!$F:$F,))</f>
        <v>sk</v>
      </c>
      <c r="P441" s="1126">
        <v>5</v>
      </c>
      <c r="Q441" s="418">
        <f t="shared" si="515"/>
        <v>20332.472264382803</v>
      </c>
      <c r="R441" s="419">
        <f t="shared" si="516"/>
        <v>0.23599999999999999</v>
      </c>
      <c r="S441" s="420">
        <f t="shared" si="517"/>
        <v>15334.805955844931</v>
      </c>
      <c r="T441" s="421">
        <f t="shared" si="518"/>
        <v>0.76600000000000001</v>
      </c>
      <c r="U441" s="422">
        <f t="shared" si="519"/>
        <v>492.50350468649123</v>
      </c>
      <c r="V441" s="423">
        <f t="shared" si="520"/>
        <v>71533.955733959869</v>
      </c>
      <c r="W441" s="424">
        <f t="shared" si="521"/>
        <v>4509.5903635084906</v>
      </c>
      <c r="X441" s="419">
        <f t="shared" si="522"/>
        <v>5.1999999999999998E-2</v>
      </c>
      <c r="Y441" s="420">
        <f t="shared" si="523"/>
        <v>766.45237995331809</v>
      </c>
      <c r="Z441" s="425">
        <f t="shared" si="524"/>
        <v>9.6538065918728559</v>
      </c>
      <c r="AA441" s="426">
        <f t="shared" si="525"/>
        <v>5276.0427434618086</v>
      </c>
      <c r="AB441" s="424">
        <f t="shared" si="526"/>
        <v>4954.5125494166005</v>
      </c>
      <c r="AC441" s="427">
        <f t="shared" si="527"/>
        <v>5.7000000000000002E-2</v>
      </c>
      <c r="AD441" s="428">
        <f t="shared" si="528"/>
        <v>1.8994224431818179E-2</v>
      </c>
      <c r="AE441" s="516">
        <f t="shared" si="529"/>
        <v>4.3537577047458456</v>
      </c>
      <c r="AF441" s="1130">
        <f t="shared" si="530"/>
        <v>7389.4239511360302</v>
      </c>
      <c r="AG441" s="420">
        <f t="shared" si="531"/>
        <v>107422.255514252</v>
      </c>
      <c r="AH441" s="420">
        <f t="shared" si="532"/>
        <v>14.537297660088537</v>
      </c>
      <c r="AI441" s="1097">
        <f t="shared" si="533"/>
        <v>99588.27428398488</v>
      </c>
      <c r="AJ441" s="420">
        <f t="shared" si="534"/>
        <v>71533.955733959869</v>
      </c>
      <c r="AK441" s="518">
        <f t="shared" si="535"/>
        <v>28054.318550025011</v>
      </c>
      <c r="AL441" s="429">
        <f>IF($P441="","N/A",(IF($P441=-1,INDEX('卡片raw data'!S:S,MATCH($D441,'卡片raw data'!$F:$F,)),0)+IF($P441=0,INDEX('卡片raw data'!V:V,MATCH($D441,'卡片raw data'!$F:$F,)),0)+IF($P441=1,INDEX('卡片raw data'!Y:Y,MATCH($D441,'卡片raw data'!$F:$F,)),0)+IF($P441=2,INDEX('卡片raw data'!AB:AB,MATCH($D441,'卡片raw data'!$F:$F,)),0)+IF($P441=3,INDEX('卡片raw data'!AE:AE,MATCH($D441,'卡片raw data'!$F:$F,)),0)+IF($P441=4,INDEX('卡片raw data'!AH:AH,MATCH($D441,'卡片raw data'!$F:$F,)),0)+IF($P441=5,INDEX('卡片raw data'!AK:AK,MATCH($D441,'卡片raw data'!$F:$F,)),0)+INDEX('卡片raw data'!S:S,MATCH($D441,'卡片raw data'!$F:$F,))*(IF($F441="UR",0.04,0.033))*(IF($F441="UR",INDEX(绊状态确认!$S:$S,MATCH($G441,绊状态确认!$B:$B,))/2-40)+IF($F441="SR",INDEX(绊状态确认!$R:$R,MATCH($G441,绊状态确认!$B:$B,))/4-15))+IF($F441="R",INDEX(绊状态确认!$Q:$Q,MATCH($G441,绊状态确认!$B:$B,))/6-40/6)))*(INDEX(绊状态确认!$H:$H,MATCH($G441,绊状态确认!$B:$B,))+INDEX(绊状态确认!J:J,MATCH($G441,绊状态确认!$B:$B,)))</f>
        <v>6739.9043063999998</v>
      </c>
      <c r="AM441" s="429">
        <f>IF($P441="","N/A",(IF($P441=-1,INDEX('卡片raw data'!T:T,MATCH($D441,'卡片raw data'!$F:$F,)),0)+IF($P441=0,INDEX('卡片raw data'!W:W,MATCH($D441,'卡片raw data'!$F:$F,)),0)+IF($P441=1,INDEX('卡片raw data'!Z:Z,MATCH($D441,'卡片raw data'!$F:$F,)),0)+IF($P441=2,INDEX('卡片raw data'!AC:AC,MATCH($D441,'卡片raw data'!$F:$F,)),0)+IF($P441=3,INDEX('卡片raw data'!AF:AF,MATCH($D441,'卡片raw data'!$F:$F,)),0)+IF($P441=4,INDEX('卡片raw data'!AI:AI,MATCH($D441,'卡片raw data'!$F:$F,)),0)+IF($P441=5,INDEX('卡片raw data'!AL:AL,MATCH($D441,'卡片raw data'!$F:$F,)),0)+INDEX('卡片raw data'!T:T,MATCH($D441,'卡片raw data'!$F:$F,))*(IF($F441="UR",0.04,0.033))*(IF($F441="UR",INDEX(绊状态确认!$S:$S,MATCH($G441,绊状态确认!$B:$B,))/2-40)+IF($F441="SR",INDEX(绊状态确认!$R:$R,MATCH($G441,绊状态确认!$B:$B,))/4-15))+IF($F441="R",INDEX(绊状态确认!$Q:$Q,MATCH($G441,绊状态确认!$B:$B,))/6-40/6)))*(INDEX(绊状态确认!$H:$H,MATCH($G441,绊状态确认!$B:$B,))+INDEX(绊状态确认!K:K,MATCH($G441,绊状态确认!$B:$B,)))</f>
        <v>4619.9410151999991</v>
      </c>
      <c r="AN441" s="429">
        <f>IF($P441="","N/A",(IF($P441=-1,INDEX('卡片raw data'!U:U,MATCH($D441,'卡片raw data'!$F:$F,)),0)+IF($P441=0,INDEX('卡片raw data'!X:X,MATCH($D441,'卡片raw data'!$F:$F,)),0)+IF($P441=1,INDEX('卡片raw data'!AA:AA,MATCH($D441,'卡片raw data'!$F:$F,)),0)+IF($P441=2,INDEX('卡片raw data'!AD:AD,MATCH($D441,'卡片raw data'!$F:$F,)),0)+IF($P441=3,INDEX('卡片raw data'!AG:AG,MATCH($D441,'卡片raw data'!$F:$F,)),0)+IF($P441=4,INDEX('卡片raw data'!AJ:AJ,MATCH($D441,'卡片raw data'!$F:$F,)),0)+IF($P441=5,INDEX('卡片raw data'!AM:AM,MATCH($D441,'卡片raw data'!$F:$F,)),0)+INDEX('卡片raw data'!U:U,MATCH($D441,'卡片raw data'!$F:$F,))*(IF($F441="UR",0.04,0.033))*(IF($F441="UR",INDEX(绊状态确认!$S:$S,MATCH($G441,绊状态确认!$B:$B,))/2-40)+IF($F441="SR",INDEX(绊状态确认!$R:$R,MATCH($G441,绊状态确认!$B:$B,))/4-15))+IF($F441="R",INDEX(绊状态确认!$Q:$Q,MATCH($G441,绊状态确认!$B:$B,))/6-40/6)))*(INDEX(绊状态确认!$H:$H,MATCH($G441,绊状态确认!$B:$B,))+INDEX(绊状态确认!L:L,MATCH($G441,绊状态确认!$B:$B,)))</f>
        <v>7893.7344095999988</v>
      </c>
      <c r="AO441" s="430">
        <f t="shared" si="536"/>
        <v>1</v>
      </c>
      <c r="AP441" s="556">
        <f>1+(INDEX(绊状态确认!$T:$T,MATCH($G441,绊状态确认!$B:$B,))+0.2)*$AO441</f>
        <v>1.3</v>
      </c>
      <c r="AQ441" s="431">
        <f t="shared" si="537"/>
        <v>20942.248804299998</v>
      </c>
      <c r="AR441" s="420">
        <f>(AM441*(1+$EX$9)+$EX$35)*(1+(INDEX(绊状态确认!$T:$T,MATCH($G441,绊状态确认!$B:$B,))+0.2)*AO441)*IF(J441=$FF$17,1+$FE$17,1)*IF(I441=$FF$14,1+$FE$14,1)</f>
        <v>9010.219485747999</v>
      </c>
      <c r="AS441" s="420">
        <f>(AN441*(1+$EX$10)+$EX$36)*(1+(INDEX(绊状态确认!$T:$T,MATCH($G441,绊状态确认!$B:$B,))+0.2)*AO441)*IF(J441=$FF$17,1+$FE$17,1)*IF(I441=$FF$14,1+$FE$14,1)</f>
        <v>15857.132942351998</v>
      </c>
      <c r="AT441" s="412">
        <f>IF(AND(INDEX('卡片raw data'!AK:AK,MATCH($D441,'卡片raw data'!$F:$F,))&lt;INDEX('卡片raw data'!AM:AM,MATCH($D441,'卡片raw data'!$F:$F,)),INDEX('卡片raw data'!AL:AL,MATCH($D441,'卡片raw data'!$F:$F,))&lt;INDEX('卡片raw data'!AM:AM,MATCH($D441,'卡片raw data'!$F:$F,))),1,0)</f>
        <v>1</v>
      </c>
      <c r="AU441" s="421">
        <f>MIN(AT441*0.15+AS441*0.00003+INDEX(绊状态确认!M:M,MATCH($G441,绊状态确认!$B:$B,)),1)</f>
        <v>0.65571398827055993</v>
      </c>
      <c r="AV441" s="432">
        <f>(INDEX(绊状态确认!$N:$N,MATCH($G441,绊状态确认!$B:$B,))+1.5)*$EW$21</f>
        <v>2.6599999999999997</v>
      </c>
      <c r="AW441" s="424">
        <f t="shared" si="538"/>
        <v>22714.965683269471</v>
      </c>
      <c r="AX441" s="420">
        <f t="shared" si="539"/>
        <v>766.45237995331797</v>
      </c>
      <c r="AY441" s="433">
        <f t="shared" si="540"/>
        <v>23481.418063222787</v>
      </c>
      <c r="AZ441" s="429">
        <f t="shared" si="541"/>
        <v>15742.813397479998</v>
      </c>
      <c r="BA441" s="431">
        <f t="shared" si="542"/>
        <v>18891.376076975997</v>
      </c>
      <c r="BB441" s="420">
        <f>(AM441*(1+$FB$9)+$FB$35)*(1+(INDEX(绊状态确认!$T:$T,MATCH($G441,绊状态确认!$B:$B,))+0.2)*AO441)*IF(J441=$FF$17,1+$FE$17,1)*IF(I441=$FF$14,1+$FE$14,1)*(1+$FE$15)</f>
        <v>9010.219485747999</v>
      </c>
      <c r="BC441" s="420">
        <f>(AN441*(1+$FB$10)+$FB$36)*(1+(INDEX(绊状态确认!$T:$T,MATCH($G441,绊状态确认!$B:$B,))+0.2)*AO441)*IF(J441=$FF$17,1+$FE$17,1)*IF(I441=$FF$14,1+$FE$14,1)*(1+$FE$15)</f>
        <v>15857.132942351998</v>
      </c>
      <c r="BD441" s="427">
        <f>MIN(AT441*0.15+BC441*0.00003+INDEX(绊状态确认!M:M,MATCH($G441,绊状态确认!$B:$B,)),1)</f>
        <v>0.65571398827055993</v>
      </c>
      <c r="BE441" s="432">
        <f>(INDEX(绊状态确认!$N:$N,MATCH($G441,绊状态确认!$B:$B,))+1.5)</f>
        <v>1.9</v>
      </c>
      <c r="BF441" s="645">
        <f t="array" ref="BF441">SUMPRODUCT(IF(AZ441*AP441*$FI$16:$FI$23*$FA$22&gt;=$FI$24,$FI$24,AZ441*AP441*$FI$16:$FI$23*$FA$22),$FJ$16:$FJ$23)</f>
        <v>31312.45584758772</v>
      </c>
      <c r="BG441" s="453">
        <f t="array" ref="BG441">SUMPRODUCT(IF(BE441*AZ441*AP441*$FI$16:$FI$23*$FA$22&gt;=$FI$24,$FI$24,BE441*AZ441*AP441*$FI$16:$FI$23*$FA$22),$FJ$16:$FJ$23)</f>
        <v>56274.341746173741</v>
      </c>
      <c r="BH441" s="433">
        <f t="shared" si="543"/>
        <v>15893.437868301402</v>
      </c>
      <c r="BI441" s="434">
        <f>IF(O441="vo",$EW$26/$EW$24*0.05,0)+IF(O441="sk",-$EW$26/$EW$24*(0.05-INDEX(绊状态确认!W:W,MATCH($G441,绊状态确认!$B:$B,)))+0.05*$EW$28,0)+IF(O441="sp",0.05*$EW$32*$EW$30*(1-$EW$33)-(0.05-INDEX(绊状态确认!V:V,MATCH($G441,绊状态确认!$B:$B,)))*$EW$28,0)+IF(O441="gd",-(0.05-INDEX(绊状态确认!X:X,MATCH($G441,绊状态确认!$B:$B,)))*$EW$32*$EW$30*(1-$EW$33),0)</f>
        <v>-6253.6726349699375</v>
      </c>
      <c r="BJ441" s="420">
        <f>IF(O441="vo",0.05*(1-$FI$26)*$FA$24,0)+IF(O441="sk",-(0.05-INDEX(绊状态确认!W:W,MATCH($G441,绊状态确认!$B:$B,)))*(1-$FI$26)*$FA$24+0.05*$FA$26,0)+IF(O441="sp",0.05*$FA$32*$FA$27*(1-$FA$33)/$FA$30+0.05*$FA$29/$FA$69*$FA$27*(1-$FA$33)-(0.05-INDEX(绊状态确认!V:V,MATCH($G441,绊状态确认!$B:$B,)))*$FA$26,0)+IF(O441="gd",-(0.05-INDEX(绊状态确认!X:X,MATCH($G441,绊状态确认!$B:$B,)))*$FA$32*$FA$27*(1-$FA$33)/$FA$30-(0.05-INDEX(绊状态确认!X:X,MATCH($G441,绊状态确认!$B:$B,)))*$FA$29/$FA$69*$FA$27*(1-$FA$33),0)</f>
        <v>20.459096812499922</v>
      </c>
      <c r="BK441" s="433">
        <f>IF(O441="vo",$EW$26/$EW$24*0.05+$EW$26*(-HP($EW$62,$EW$65,$EW$64)+HP($EW$62,$EW$65,(1.05-INDEX(绊状态确认!U:U,MATCH($G441,绊状态确认!$B:$B,)))*$EW$64)),0)+IF(O441="sk",-$EW$26/$EW$24*(0.05-INDEX(绊状态确认!W:W,MATCH($G441,绊状态确认!$B:$B,)))+0.05*$EW$29,0)+IF(O441="sp",0.05*$EW$32*$EW$30*(1-$EW$33)-(0.05-INDEX(绊状态确认!V:V,MATCH($G441,绊状态确认!$B:$B,)))*$EW$29,0)+IF(O441="gd",-(0.05-INDEX(绊状态确认!X:X,MATCH($G441,绊状态确认!$B:$B,)))*$EW$32*$EW$30*(1-$EW$33)+$EW$26*(-HP($EW$62,$EW$65,$EW$64)+HP($EW$62,$EW$65,0.95*$EW$64)),0)</f>
        <v>-4253.6726349699375</v>
      </c>
      <c r="BL441" s="434">
        <f t="shared" si="544"/>
        <v>-1083.3333333333333</v>
      </c>
      <c r="BM441" s="433">
        <f t="shared" si="545"/>
        <v>-830.55555555555543</v>
      </c>
      <c r="BN441" s="437">
        <f t="shared" si="546"/>
        <v>3</v>
      </c>
      <c r="BO441" s="1108">
        <f t="shared" si="547"/>
        <v>4507.7214871259994</v>
      </c>
      <c r="BP441" s="1100">
        <f t="shared" si="548"/>
        <v>221.34103209030098</v>
      </c>
      <c r="BQ441" s="1113" t="s">
        <v>134</v>
      </c>
      <c r="BR441" s="1124" t="s">
        <v>166</v>
      </c>
      <c r="BS441" s="421">
        <f>IF($P441="","N/A",IF($P441=-1,INDEX('卡片raw data'!AX:AX,MATCH($D441,'卡片raw data'!$F:$F,)),0)+IF($L441="party卡",IF($P441=5,INDEX('卡片raw data'!BD:BD,MATCH($D441,'卡片raw data'!$F:$F,)),IF($P441&gt;=3,INDEX('卡片raw data'!BC:BC,MATCH($D441,'卡片raw data'!$F:$F,)),INDEX('卡片raw data'!BB:BB,MATCH($D441,'卡片raw data'!$F:$F,)))),IF(OR(AND($F441="UR",$P441=0),AND($F441="SR",$P441&gt;=0,$P441&lt;=2),AND($F441="R",$P441&gt;=0,$P441&lt;4)),INDEX('卡片raw data'!AZ:AZ,MATCH($D441,'卡片raw data'!$F:$F,)),0)+IF(OR(AND($F441="UR",$P441&gt;=1,$P441&lt;=4),AND($F441="SR",$P441&lt;=4,$P441&gt;=3),AND($F441="R",$P441=4)),INDEX('卡片raw data'!BA:BA,MATCH($D441,'卡片raw data'!$F:$F,)),0)+IF($P441=5,INDEX('卡片raw data'!BB:BB,MATCH($D441,'卡片raw data'!$F:$F,)),0)))</f>
        <v>7.0000000000000007E-2</v>
      </c>
      <c r="BT441" s="424">
        <f t="shared" si="549"/>
        <v>444.9221859081099</v>
      </c>
      <c r="BU441" s="420">
        <f t="shared" si="550"/>
        <v>27.480658705892612</v>
      </c>
      <c r="BV441" s="420">
        <f t="shared" si="551"/>
        <v>0</v>
      </c>
      <c r="BW441" s="436">
        <f t="shared" si="552"/>
        <v>0</v>
      </c>
      <c r="BX441" s="423">
        <f t="shared" si="553"/>
        <v>444.9221859081099</v>
      </c>
      <c r="BY441" s="433">
        <f t="shared" si="554"/>
        <v>0</v>
      </c>
      <c r="BZ441" s="1113" t="s">
        <v>569</v>
      </c>
      <c r="CA441" s="1124"/>
      <c r="CB441" s="421">
        <f>IF($P441="","N/A",IF($P441=-1,INDEX('卡片raw data'!BE:BE,MATCH($D441,'卡片raw data'!$F:$F,)),0)+IF($L441="party卡",IF($P441=5,INDEX('卡片raw data'!BK:BK,MATCH($D441,'卡片raw data'!$F:$F,)),IF($P441&gt;=3,INDEX('卡片raw data'!BJ:BJ,MATCH($D441,'卡片raw data'!$F:$F,)),INDEX('卡片raw data'!BI:BI,MATCH($D441,'卡片raw data'!$F:$F,)))),IF(OR(AND($F441="UR",$P441=0),AND($F441="SR",$P441&gt;=0,$P441&lt;=2),AND($F441="R",$P441&gt;=0,$P441&lt;4)),INDEX('卡片raw data'!BG:BG,MATCH($D441,'卡片raw data'!$F:$F,)),0)+IF(OR(AND($F441="UR",$P441&gt;=1,$P441&lt;=4),AND($F441="SR",$P441&lt;=4,$P441&gt;=3),AND($F441="R",$P441=4)),INDEX('卡片raw data'!BH:BH,MATCH($D441,'卡片raw data'!$F:$F,)),0)+IF($P441=5,INDEX('卡片raw data'!BI:BI,MATCH($D441,'卡片raw data'!$F:$F,)),0)))</f>
        <v>0</v>
      </c>
      <c r="CC441" s="424">
        <f t="shared" si="555"/>
        <v>0</v>
      </c>
      <c r="CD441" s="420">
        <f>IF(BZ441="ap",CB441*(1-$FI$26)*$FB$5/$FB$11*(+IF(CA441="全员",$FA$24,0)+IF(CA441="同作战",$FA$24,0)+IF(CA441="仲间",$FA$24*2/3,0)+IF(CA441="同属性",$FA$24*$FA$37/3,0)+IF(CA441="同年级",$FA$24*$FA$40/3,0)+IF(CA441="同学校",$FA$24*$FA$43/3,0)+IF(CA441="同小队",$FA$24*$FA$46/3,0)+IF(CA441="同type",$FA$24*INDEX($FB$49:$FB$52,MATCH(X441,$FA$49:$FA$52,))/3,0)+IF(CA441="自身",#REF!/3,0)),0)+IF(BZ441="te",CB441*(1-$FI$27)*($FA$20-1)*$FB$7/$FB$13*(+IF(CA441="全员",$FA$19*$FA$24/(1+($FA$20-1)*$FA$19),0)+IF(CA441="同作战",$FA$19*$FA$24/(1+($FA$20-1)*$FA$19),0)+IF(CA441="仲间",$FA$19*$FA$24*2/3/(1+($FA$20-1)*$FA$19),0)+IF(CA441="同属性",$FA$19*$FA$24*$FA$37/3/(1+($FA$20-1)*$FA$19),0)+IF(CA441="同年级",$FA$19*$FA$24*$FA$40/3/(1+($FA$20-1)*$FA$19),0)+IF(CA441="同学校",$FA$19*$FA$24*$FA$43/3/(1+($FA$20-1)*$FA$19),0)+IF(CA441="同小队",$FA$19*$FA$24*$FA$46/3/(1+($FA$20-1)*$FA$19),0)+IF(CA441="同type",$FA$19*$FA$24*INDEX($FB$49:$FB$52,MATCH(X441,$FA$49:$FA$52,))/3/(1+($FA$20-1)*$FA$19),0)+IF(CA441="自身",$FA$19*#REF!/3/(1+(BH441-1)*$BD441),0)),0)</f>
        <v>0</v>
      </c>
      <c r="CE441" s="420">
        <f t="shared" si="556"/>
        <v>0</v>
      </c>
      <c r="CF441" s="436">
        <f t="shared" si="557"/>
        <v>0</v>
      </c>
      <c r="CG441" s="423">
        <f t="shared" si="558"/>
        <v>0</v>
      </c>
      <c r="CH441" s="433">
        <f t="shared" si="559"/>
        <v>0</v>
      </c>
      <c r="CI441" s="1113" t="s">
        <v>2045</v>
      </c>
      <c r="CJ441" s="1114">
        <v>1</v>
      </c>
      <c r="CK441" s="1115" t="s">
        <v>2046</v>
      </c>
      <c r="CL441" s="1115" t="s">
        <v>1941</v>
      </c>
      <c r="CM441" s="1119">
        <v>0.03</v>
      </c>
      <c r="CN441" s="1115"/>
      <c r="CO441" s="1115"/>
      <c r="CP441" s="1116">
        <f t="shared" si="560"/>
        <v>1.698978529537714</v>
      </c>
      <c r="CQ441" s="1116">
        <f t="shared" si="561"/>
        <v>2.6428554903919994</v>
      </c>
      <c r="CR441" s="1117">
        <f t="shared" si="562"/>
        <v>1.698978529537714</v>
      </c>
      <c r="CS441" s="442">
        <f t="shared" si="563"/>
        <v>0</v>
      </c>
      <c r="CT441" s="432">
        <f t="shared" si="564"/>
        <v>0</v>
      </c>
      <c r="CU441" s="1101">
        <f t="shared" si="565"/>
        <v>1.8688763824914856</v>
      </c>
      <c r="CV441" s="1108">
        <f t="shared" si="566"/>
        <v>2.6428554903919994</v>
      </c>
      <c r="CW441" s="420">
        <f t="shared" si="567"/>
        <v>1.8688763824914856</v>
      </c>
      <c r="CX441" s="420">
        <f t="shared" si="568"/>
        <v>1.8688763824914856</v>
      </c>
      <c r="CY441" s="433">
        <f t="shared" si="569"/>
        <v>1.8688763824914856</v>
      </c>
      <c r="CZ441" s="437"/>
      <c r="DA441" s="438"/>
      <c r="DB441" s="439" t="s">
        <v>569</v>
      </c>
      <c r="DC441" s="439"/>
      <c r="DD441" s="443"/>
      <c r="DE441" s="411"/>
      <c r="DF441" s="411"/>
      <c r="DG441" s="1116">
        <f t="shared" si="570"/>
        <v>0</v>
      </c>
      <c r="DH441" s="1116">
        <f t="shared" si="571"/>
        <v>0</v>
      </c>
      <c r="DI441" s="1116">
        <f t="shared" si="572"/>
        <v>0</v>
      </c>
      <c r="DJ441" s="442">
        <f t="shared" si="573"/>
        <v>0</v>
      </c>
      <c r="DK441" s="432">
        <f t="shared" si="574"/>
        <v>0</v>
      </c>
      <c r="DL441" s="424">
        <f t="shared" si="575"/>
        <v>0</v>
      </c>
      <c r="DM441" s="420">
        <f t="shared" si="576"/>
        <v>0</v>
      </c>
      <c r="DN441" s="420">
        <f t="shared" si="577"/>
        <v>0</v>
      </c>
      <c r="DO441" s="420">
        <f t="shared" si="578"/>
        <v>0</v>
      </c>
      <c r="DP441" s="433">
        <f t="shared" si="579"/>
        <v>0</v>
      </c>
      <c r="DQ441" s="1113" t="s">
        <v>635</v>
      </c>
      <c r="DR441" s="444">
        <f t="shared" si="580"/>
        <v>0.3</v>
      </c>
      <c r="DS441" s="1124"/>
      <c r="DT441" s="1093" t="s">
        <v>134</v>
      </c>
      <c r="DU441" s="1124"/>
      <c r="DV441" s="1098">
        <f>IF($P441="","N/A",IF(P441=-1,INDEX('卡片raw data'!AN:AN,MATCH(D441,'卡片raw data'!$F:$F,)),0)+IF(AND(L441&lt;&gt;"party卡",P441&lt;=2,P441&gt;=0),INDEX('卡片raw data'!AP:AP,MATCH(D441,'卡片raw data'!$F:$F,)),0)+IF(OR(AND(L441="party卡",P441&lt;=1),AND(P441&lt;=4,L441&lt;&gt;"party卡",P441&gt;=3)),INDEX('卡片raw data'!AQ:AQ,MATCH(D441,'卡片raw data'!$F:$F,)),0)+IF(OR(P441=5,AND(L441="party卡",P441&gt;=2)),INDEX('卡片raw data'!AR:AR,MATCH(D441,'卡片raw data'!$F:$F,)),0))</f>
        <v>0.28999999999999998</v>
      </c>
      <c r="DW441" s="1098">
        <f t="shared" si="581"/>
        <v>0.3</v>
      </c>
      <c r="DX441" s="1098">
        <f t="shared" si="582"/>
        <v>0.3</v>
      </c>
      <c r="DY441" s="1097">
        <f t="shared" si="583"/>
        <v>459.85685532820793</v>
      </c>
      <c r="DZ441" s="1097">
        <f t="shared" si="584"/>
        <v>397.77617985889987</v>
      </c>
      <c r="EA441" s="421">
        <f t="shared" si="585"/>
        <v>0</v>
      </c>
      <c r="EB441" s="445">
        <f t="shared" si="586"/>
        <v>0</v>
      </c>
      <c r="EC441" s="424">
        <f t="shared" si="587"/>
        <v>0</v>
      </c>
      <c r="ED441" s="420">
        <f t="shared" si="588"/>
        <v>0</v>
      </c>
      <c r="EE441" s="433">
        <f t="shared" si="598"/>
        <v>48435.03108962375</v>
      </c>
      <c r="EF441" s="1115" t="s">
        <v>569</v>
      </c>
      <c r="EG441" s="444">
        <f t="shared" si="589"/>
        <v>0.3</v>
      </c>
      <c r="EH441" s="1124"/>
      <c r="EI441" s="1093"/>
      <c r="EJ441" s="1093"/>
      <c r="EK441" s="1097">
        <f>IF($P441="","N/A",IF(P441=-1,INDEX('卡片raw data'!AS:AS,MATCH(D441,'卡片raw data'!$F:$F,)),0)+IF(AND(L441&lt;&gt;"party卡",P441&lt;=2,P441&gt;=0),INDEX('卡片raw data'!AU:AU,MATCH(D441,'卡片raw data'!$F:$F,)),0)+IF(OR(AND(L441="party卡",P441&lt;=1),AND(P441&lt;=4,L441&lt;&gt;"party卡",P441&gt;=3)),INDEX('卡片raw data'!AV:AV,MATCH(D441,'卡片raw data'!$F:$F,)),0)+IF(OR(P441=5,AND(L441="party卡",P441&gt;=2)),INDEX('卡片raw data'!AW:AW,MATCH(D441,'卡片raw data'!$F:$F,)),0))</f>
        <v>0</v>
      </c>
      <c r="EL441" s="1098">
        <f t="shared" si="590"/>
        <v>0.3</v>
      </c>
      <c r="EM441" s="1098">
        <f t="shared" si="591"/>
        <v>0.3</v>
      </c>
      <c r="EN441" s="1097">
        <f t="shared" si="592"/>
        <v>0</v>
      </c>
      <c r="EO441" s="1097">
        <f t="shared" si="593"/>
        <v>0</v>
      </c>
      <c r="EP441" s="421">
        <f t="shared" si="594"/>
        <v>0</v>
      </c>
      <c r="EQ441" s="445">
        <f t="shared" si="595"/>
        <v>0</v>
      </c>
      <c r="ER441" s="424">
        <f t="shared" si="596"/>
        <v>0</v>
      </c>
      <c r="ES441" s="420">
        <f t="shared" si="597"/>
        <v>0</v>
      </c>
      <c r="ET441" s="446">
        <f t="shared" si="599"/>
        <v>0</v>
      </c>
    </row>
    <row r="442" spans="2:150" ht="16.5" customHeight="1">
      <c r="B442" s="448" t="str">
        <f>INDEX('卡片raw data'!B:B,MATCH($D442,'卡片raw data'!$F:$F,))</f>
        <v>nbg希</v>
      </c>
      <c r="C442" s="449" t="s">
        <v>2603</v>
      </c>
      <c r="D442" s="408">
        <v>439</v>
      </c>
      <c r="E442" s="477">
        <v>400072004</v>
      </c>
      <c r="F442" s="409" t="str">
        <f>INDEX('卡片raw data'!C:C,MATCH($D442,'卡片raw data'!$F:$F,))</f>
        <v>SR</v>
      </c>
      <c r="G442" s="1094" t="s">
        <v>2604</v>
      </c>
      <c r="H442" s="411">
        <f>IFERROR(INDEX(绊状态确认!C:C,MATCH($G442,绊状态确认!$B:$B,)),"")</f>
        <v>7</v>
      </c>
      <c r="I442" s="450" t="str">
        <f>IFERROR(INDEX(绊状态确认!D:D,MATCH($G442,绊状态确认!$B:$B,)),"")</f>
        <v>缪</v>
      </c>
      <c r="J442" s="450" t="str">
        <f>IFERROR(INDEX(绊状态确认!E:E,MATCH($G442,绊状态确认!$B:$B,)),"")</f>
        <v>3年级</v>
      </c>
      <c r="K442" s="451" t="str">
        <f>IFERROR(INDEX(绊状态确认!F:F,MATCH($G442,绊状态确认!$B:$B,)),"")</f>
        <v>lilywhite</v>
      </c>
      <c r="L442" s="414" t="str">
        <f>INDEX('卡片raw data'!E:E,MATCH($D442,'卡片raw data'!$F:$F,))</f>
        <v>活动卡</v>
      </c>
      <c r="M442" s="478">
        <v>44290</v>
      </c>
      <c r="N442" s="479">
        <v>37</v>
      </c>
      <c r="O442" s="410" t="str">
        <f>INDEX('卡片raw data'!D:D,MATCH($D442,'卡片raw data'!$F:$F,))</f>
        <v>sp</v>
      </c>
      <c r="P442" s="1126">
        <v>5</v>
      </c>
      <c r="Q442" s="418">
        <f t="shared" si="515"/>
        <v>23704.642328561131</v>
      </c>
      <c r="R442" s="419">
        <f t="shared" si="516"/>
        <v>0.27500000000000002</v>
      </c>
      <c r="S442" s="420">
        <f t="shared" si="517"/>
        <v>14533.07167450922</v>
      </c>
      <c r="T442" s="421">
        <f t="shared" si="518"/>
        <v>0.72599999999999998</v>
      </c>
      <c r="U442" s="422">
        <f t="shared" si="519"/>
        <v>11.346378763812854</v>
      </c>
      <c r="V442" s="423">
        <f t="shared" si="520"/>
        <v>22808.594697196928</v>
      </c>
      <c r="W442" s="424">
        <f t="shared" si="521"/>
        <v>4524.8086839717389</v>
      </c>
      <c r="X442" s="419">
        <f t="shared" si="522"/>
        <v>5.1999999999999998E-2</v>
      </c>
      <c r="Y442" s="420">
        <f t="shared" si="523"/>
        <v>903.95236863579885</v>
      </c>
      <c r="Z442" s="425">
        <f t="shared" si="524"/>
        <v>11.346378763812854</v>
      </c>
      <c r="AA442" s="426">
        <f t="shared" si="525"/>
        <v>5428.7610526075377</v>
      </c>
      <c r="AB442" s="424">
        <f t="shared" si="526"/>
        <v>5124.1277358279403</v>
      </c>
      <c r="AC442" s="427">
        <f t="shared" si="527"/>
        <v>5.8999999999999997E-2</v>
      </c>
      <c r="AD442" s="428">
        <f t="shared" si="528"/>
        <v>-1.9908281250000003E-2</v>
      </c>
      <c r="AE442" s="516">
        <f t="shared" si="529"/>
        <v>2.8386741621376803</v>
      </c>
      <c r="AF442" s="1130">
        <f t="shared" si="530"/>
        <v>0</v>
      </c>
      <c r="AG442" s="420">
        <f t="shared" si="531"/>
        <v>0</v>
      </c>
      <c r="AH442" s="420">
        <f t="shared" si="532"/>
        <v>0</v>
      </c>
      <c r="AI442" s="1097">
        <f t="shared" si="533"/>
        <v>0</v>
      </c>
      <c r="AJ442" s="420">
        <f t="shared" si="534"/>
        <v>0</v>
      </c>
      <c r="AK442" s="518">
        <f t="shared" si="535"/>
        <v>0</v>
      </c>
      <c r="AL442" s="1106">
        <f>IF($P442="","N/A",(IF($P442=-1,INDEX('卡片raw data'!S:S,MATCH($D442,'卡片raw data'!$F:$F,)),0)+IF($P442=0,INDEX('卡片raw data'!V:V,MATCH($D442,'卡片raw data'!$F:$F,)),0)+IF($P442=1,INDEX('卡片raw data'!Y:Y,MATCH($D442,'卡片raw data'!$F:$F,)),0)+IF($P442=2,INDEX('卡片raw data'!AB:AB,MATCH($D442,'卡片raw data'!$F:$F,)),0)+IF($P442=3,INDEX('卡片raw data'!AE:AE,MATCH($D442,'卡片raw data'!$F:$F,)),0)+IF($P442=4,INDEX('卡片raw data'!AH:AH,MATCH($D442,'卡片raw data'!$F:$F,)),0)+IF($P442=5,INDEX('卡片raw data'!AK:AK,MATCH($D442,'卡片raw data'!$F:$F,)),0)+INDEX('卡片raw data'!S:S,MATCH($D442,'卡片raw data'!$F:$F,))*(IF($F442="UR",0.04,0.033))*(IF($F442="UR",INDEX(绊状态确认!$S:$S,MATCH($G442,绊状态确认!$B:$B,))/2-40)+IF($F442="SR",INDEX(绊状态确认!$R:$R,MATCH($G442,绊状态确认!$B:$B,))/4-15))+IF($F442="R",INDEX(绊状态确认!$Q:$Q,MATCH($G442,绊状态确认!$B:$B,))/6-40/6)))*(INDEX(绊状态确认!$H:$H,MATCH($G442,绊状态确认!$B:$B,))+INDEX(绊状态确认!J:J,MATCH($G442,绊状态确认!$B:$B,)))</f>
        <v>6932.2218239999993</v>
      </c>
      <c r="AM442" s="1106">
        <f>IF($P442="","N/A",(IF($P442=-1,INDEX('卡片raw data'!T:T,MATCH($D442,'卡片raw data'!$F:$F,)),0)+IF($P442=0,INDEX('卡片raw data'!W:W,MATCH($D442,'卡片raw data'!$F:$F,)),0)+IF($P442=1,INDEX('卡片raw data'!Z:Z,MATCH($D442,'卡片raw data'!$F:$F,)),0)+IF($P442=2,INDEX('卡片raw data'!AC:AC,MATCH($D442,'卡片raw data'!$F:$F,)),0)+IF($P442=3,INDEX('卡片raw data'!AF:AF,MATCH($D442,'卡片raw data'!$F:$F,)),0)+IF($P442=4,INDEX('卡片raw data'!AI:AI,MATCH($D442,'卡片raw data'!$F:$F,)),0)+IF($P442=5,INDEX('卡片raw data'!AL:AL,MATCH($D442,'卡片raw data'!$F:$F,)),0)+INDEX('卡片raw data'!T:T,MATCH($D442,'卡片raw data'!$F:$F,))*(IF($F442="UR",0.04,0.033))*(IF($F442="UR",INDEX(绊状态确认!$S:$S,MATCH($G442,绊状态确认!$B:$B,))/2-40)+IF($F442="SR",INDEX(绊状态确认!$R:$R,MATCH($G442,绊状态确认!$B:$B,))/4-15))+IF($F442="R",INDEX(绊状态确认!$Q:$Q,MATCH($G442,绊状态确认!$B:$B,))/6-40/6)))*(INDEX(绊状态确认!$H:$H,MATCH($G442,绊状态确认!$B:$B,))+INDEX(绊状态确认!K:K,MATCH($G442,绊状态确认!$B:$B,)))</f>
        <v>5777.255320799999</v>
      </c>
      <c r="AN442" s="1106">
        <f>IF($P442="","N/A",(IF($P442=-1,INDEX('卡片raw data'!U:U,MATCH($D442,'卡片raw data'!$F:$F,)),0)+IF($P442=0,INDEX('卡片raw data'!X:X,MATCH($D442,'卡片raw data'!$F:$F,)),0)+IF($P442=1,INDEX('卡片raw data'!AA:AA,MATCH($D442,'卡片raw data'!$F:$F,)),0)+IF($P442=2,INDEX('卡片raw data'!AD:AD,MATCH($D442,'卡片raw data'!$F:$F,)),0)+IF($P442=3,INDEX('卡片raw data'!AG:AG,MATCH($D442,'卡片raw data'!$F:$F,)),0)+IF($P442=4,INDEX('卡片raw data'!AJ:AJ,MATCH($D442,'卡片raw data'!$F:$F,)),0)+IF($P442=5,INDEX('卡片raw data'!AM:AM,MATCH($D442,'卡片raw data'!$F:$F,)),0)+INDEX('卡片raw data'!U:U,MATCH($D442,'卡片raw data'!$F:$F,))*(IF($F442="UR",0.04,0.033))*(IF($F442="UR",INDEX(绊状态确认!$S:$S,MATCH($G442,绊状态确认!$B:$B,))/2-40)+IF($F442="SR",INDEX(绊状态确认!$R:$R,MATCH($G442,绊状态确认!$B:$B,))/4-15))+IF($F442="R",INDEX(绊状态确认!$Q:$Q,MATCH($G442,绊状态确认!$B:$B,))/6-40/6)))*(INDEX(绊状态确认!$H:$H,MATCH($G442,绊状态确认!$B:$B,))+INDEX(绊状态确认!L:L,MATCH($G442,绊状态确认!$B:$B,)))</f>
        <v>6545.3139887999996</v>
      </c>
      <c r="AO442" s="1107">
        <f t="shared" si="536"/>
        <v>1</v>
      </c>
      <c r="AP442" s="1131">
        <f>1+(INDEX(绊状态确认!$T:$T,MATCH($G442,绊状态确认!$B:$B,))+0.2)*$AO442</f>
        <v>1.3</v>
      </c>
      <c r="AQ442" s="1108">
        <f t="shared" si="537"/>
        <v>21447.082288000001</v>
      </c>
      <c r="AR442" s="1097">
        <f>(AM442*(1+$EX$9)+$EX$35)*(1+(INDEX(绊状态确认!$T:$T,MATCH($G442,绊状态确认!$B:$B,))+0.2)*AO442)*IF(J442=$FF$17,1+$FE$17,1)*IF(I442=$FF$14,1+$FE$14,1)</f>
        <v>10589.953512891998</v>
      </c>
      <c r="AS442" s="1097">
        <f>(AN442*(1+$EX$10)+$EX$36)*(1+(INDEX(绊状态确认!$T:$T,MATCH($G442,绊状态确认!$B:$B,))+0.2)*AO442)*IF(J442=$FF$17,1+$FE$17,1)*IF(I442=$FF$14,1+$FE$14,1)</f>
        <v>13841.244413255999</v>
      </c>
      <c r="AT442" s="1093">
        <f>IF(AND(INDEX('卡片raw data'!AK:AK,MATCH($D442,'卡片raw data'!$F:$F,))&lt;INDEX('卡片raw data'!AM:AM,MATCH($D442,'卡片raw data'!$F:$F,)),INDEX('卡片raw data'!AL:AL,MATCH($D442,'卡片raw data'!$F:$F,))&lt;INDEX('卡片raw data'!AM:AM,MATCH($D442,'卡片raw data'!$F:$F,))),1,0)</f>
        <v>0</v>
      </c>
      <c r="AU442" s="1098">
        <f>MIN(AT442*0.15+AS442*0.00003+INDEX(绊状态确认!M:M,MATCH($G442,绊状态确认!$B:$B,)),1)</f>
        <v>0.44523733239768004</v>
      </c>
      <c r="AV442" s="1109">
        <f>(INDEX(绊状态确认!$N:$N,MATCH($G442,绊状态确认!$B:$B,))+1.5)*$EW$21</f>
        <v>2.6599999999999997</v>
      </c>
      <c r="AW442" s="1101">
        <f t="shared" si="538"/>
        <v>19370.847926066523</v>
      </c>
      <c r="AX442" s="1097">
        <f t="shared" si="539"/>
        <v>903.95236863579885</v>
      </c>
      <c r="AY442" s="1110">
        <f t="shared" si="540"/>
        <v>20274.80029470232</v>
      </c>
      <c r="AZ442" s="429">
        <f t="shared" si="541"/>
        <v>16117.832556799998</v>
      </c>
      <c r="BA442" s="431">
        <f t="shared" si="542"/>
        <v>19341.399068159997</v>
      </c>
      <c r="BB442" s="1097">
        <f>(AM442*(1+$FB$9)+$FB$35)*(1+(INDEX(绊状态确认!$T:$T,MATCH($G442,绊状态确认!$B:$B,))+0.2)*AO442)*IF(J442=$FF$17,1+$FE$17,1)*IF(I442=$FF$14,1+$FE$14,1)*(1+$FE$15)</f>
        <v>10589.953512891998</v>
      </c>
      <c r="BC442" s="1097">
        <f>(AN442*(1+$FB$10)+$FB$36)*(1+(INDEX(绊状态确认!$T:$T,MATCH($G442,绊状态确认!$B:$B,))+0.2)*AO442)*IF(J442=$FF$17,1+$FE$17,1)*IF(I442=$FF$14,1+$FE$14,1)*(1+$FE$15)</f>
        <v>13841.244413255999</v>
      </c>
      <c r="BD442" s="1104">
        <f>MIN(AT442*0.15+BC442*0.00003+INDEX(绊状态确认!M:M,MATCH($G442,绊状态确认!$B:$B,)),1)</f>
        <v>0.44523733239768004</v>
      </c>
      <c r="BE442" s="432">
        <f>(INDEX(绊状态确认!$N:$N,MATCH($G442,绊状态确认!$B:$B,))+1.5)</f>
        <v>1.9</v>
      </c>
      <c r="BF442" s="1139">
        <f t="array" ref="BF442">SUMPRODUCT(IF(AZ442*AP442*$FI$16:$FI$23*$FA$22&gt;=$FI$24,$FI$24,AZ442*AP442*$FI$16:$FI$23*$FA$22),$FJ$16:$FJ$23)</f>
        <v>32058.368955475202</v>
      </c>
      <c r="BG442" s="1125">
        <f t="array" ref="BG442">SUMPRODUCT(IF(BE442*AZ442*AP442*$FI$16:$FI$23*$FA$22&gt;=$FI$24,$FI$24,BE442*AZ442*AP442*$FI$16:$FI$23*$FA$22),$FJ$16:$FJ$23)</f>
        <v>57043.168524695677</v>
      </c>
      <c r="BH442" s="1110">
        <f t="shared" si="543"/>
        <v>14394.178155388543</v>
      </c>
      <c r="BI442" s="1111">
        <f>IF(O442="vo",$EW$26/$EW$24*0.05,0)+IF(O442="sk",-$EW$26/$EW$24*(0.05-INDEX(绊状态确认!W:W,MATCH($G442,绊状态确认!$B:$B,)))+0.05*$EW$28,0)+IF(O442="sp",0.05*$EW$32*$EW$30*(1-$EW$33)-(0.05-INDEX(绊状态确认!V:V,MATCH($G442,绊状态确认!$B:$B,)))*$EW$28,0)+IF(O442="gd",-(0.05-INDEX(绊状态确认!X:X,MATCH($G442,绊状态确认!$B:$B,)))*$EW$32*$EW$30*(1-$EW$33),0)</f>
        <v>19.999999999999886</v>
      </c>
      <c r="BJ442" s="420">
        <f>IF(O442="vo",0.05*(1-$FI$26)*$FA$24,0)+IF(O442="sk",-(0.05-INDEX(绊状态确认!W:W,MATCH($G442,绊状态确认!$B:$B,)))*(1-$FI$26)*$FA$24+0.05*$FA$26,0)+IF(O442="sp",0.05*$FA$32*$FA$27*(1-$FA$33)/$FA$30+0.05*$FA$29/$FA$69*$FA$27*(1-$FA$33)-(0.05-INDEX(绊状态确认!V:V,MATCH($G442,绊状态确认!$B:$B,)))*$FA$26,0)+IF(O442="gd",-(0.05-INDEX(绊状态确认!X:X,MATCH($G442,绊状态确认!$B:$B,)))*$FA$32*$FA$27*(1-$FA$33)/$FA$30-(0.05-INDEX(绊状态确认!X:X,MATCH($G442,绊状态确认!$B:$B,)))*$FA$29/$FA$69*$FA$27*(1-$FA$33),0)</f>
        <v>545.83333333333326</v>
      </c>
      <c r="BK442" s="1110">
        <f>IF(O442="vo",$EW$26/$EW$24*0.05+$EW$26*(-HP($EW$62,$EW$65,$EW$64)+HP($EW$62,$EW$65,(1.05-INDEX(绊状态确认!U:U,MATCH($G442,绊状态确认!$B:$B,)))*$EW$64)),0)+IF(O442="sk",-$EW$26/$EW$24*(0.05-INDEX(绊状态确认!W:W,MATCH($G442,绊状态确认!$B:$B,)))+0.05*$EW$29,0)+IF(O442="sp",0.05*$EW$32*$EW$30*(1-$EW$33)-(0.05-INDEX(绊状态确认!V:V,MATCH($G442,绊状态确认!$B:$B,)))*$EW$29,0)+IF(O442="gd",-(0.05-INDEX(绊状态确认!X:X,MATCH($G442,绊状态确认!$B:$B,)))*$EW$32*$EW$30*(1-$EW$33)+$EW$26*(-HP($EW$62,$EW$65,$EW$64)+HP($EW$62,$EW$65,0.95*$EW$64)),0)</f>
        <v>-1780.0000000000005</v>
      </c>
      <c r="BL442" s="1111">
        <f t="shared" si="544"/>
        <v>-1083.3333333333333</v>
      </c>
      <c r="BM442" s="1110">
        <f t="shared" si="545"/>
        <v>-830.55555555555543</v>
      </c>
      <c r="BN442" s="1113">
        <f t="shared" si="546"/>
        <v>3</v>
      </c>
      <c r="BO442" s="1108">
        <f t="shared" si="547"/>
        <v>4507.7214871259994</v>
      </c>
      <c r="BP442" s="1100">
        <f t="shared" si="548"/>
        <v>221.34103209030098</v>
      </c>
      <c r="BQ442" s="1113" t="s">
        <v>132</v>
      </c>
      <c r="BR442" s="1124" t="s">
        <v>166</v>
      </c>
      <c r="BS442" s="421">
        <f>IF($P442="","N/A",IF($P442=-1,INDEX('卡片raw data'!AX:AX,MATCH($D442,'卡片raw data'!$F:$F,)),0)+IF($L442="party卡",IF($P442=5,INDEX('卡片raw data'!BD:BD,MATCH($D442,'卡片raw data'!$F:$F,)),IF($P442&gt;=3,INDEX('卡片raw data'!BC:BC,MATCH($D442,'卡片raw data'!$F:$F,)),INDEX('卡片raw data'!BB:BB,MATCH($D442,'卡片raw data'!$F:$F,)))),IF(OR(AND($F442="UR",$P442=0),AND($F442="SR",$P442&gt;=0,$P442&lt;=2),AND($F442="R",$P442&gt;=0,$P442&lt;4)),INDEX('卡片raw data'!AZ:AZ,MATCH($D442,'卡片raw data'!$F:$F,)),0)+IF(OR(AND($F442="UR",$P442&gt;=1,$P442&lt;=4),AND($F442="SR",$P442&lt;=4,$P442&gt;=3),AND($F442="R",$P442=4)),INDEX('卡片raw data'!BA:BA,MATCH($D442,'卡片raw data'!$F:$F,)),0)+IF($P442=5,INDEX('卡片raw data'!BB:BB,MATCH($D442,'卡片raw data'!$F:$F,)),0)))</f>
        <v>7.0000000000000007E-2</v>
      </c>
      <c r="BT442" s="424">
        <f t="shared" si="549"/>
        <v>599.31905185620178</v>
      </c>
      <c r="BU442" s="420">
        <f t="shared" si="550"/>
        <v>21.230209252596481</v>
      </c>
      <c r="BV442" s="420">
        <f t="shared" si="551"/>
        <v>0</v>
      </c>
      <c r="BW442" s="436">
        <f t="shared" si="552"/>
        <v>0</v>
      </c>
      <c r="BX442" s="423">
        <f t="shared" si="553"/>
        <v>599.31905185620178</v>
      </c>
      <c r="BY442" s="433">
        <f t="shared" si="554"/>
        <v>0</v>
      </c>
      <c r="BZ442" s="1113" t="s">
        <v>569</v>
      </c>
      <c r="CA442" s="450"/>
      <c r="CB442" s="421">
        <f>IF($P442="","N/A",IF($P442=-1,INDEX('卡片raw data'!BE:BE,MATCH($D442,'卡片raw data'!$F:$F,)),0)+IF($L442="party卡",IF($P442=5,INDEX('卡片raw data'!BK:BK,MATCH($D442,'卡片raw data'!$F:$F,)),IF($P442&gt;=3,INDEX('卡片raw data'!BJ:BJ,MATCH($D442,'卡片raw data'!$F:$F,)),INDEX('卡片raw data'!BI:BI,MATCH($D442,'卡片raw data'!$F:$F,)))),IF(OR(AND($F442="UR",$P442=0),AND($F442="SR",$P442&gt;=0,$P442&lt;=2),AND($F442="R",$P442&gt;=0,$P442&lt;4)),INDEX('卡片raw data'!BG:BG,MATCH($D442,'卡片raw data'!$F:$F,)),0)+IF(OR(AND($F442="UR",$P442&gt;=1,$P442&lt;=4),AND($F442="SR",$P442&lt;=4,$P442&gt;=3),AND($F442="R",$P442=4)),INDEX('卡片raw data'!BH:BH,MATCH($D442,'卡片raw data'!$F:$F,)),0)+IF($P442=5,INDEX('卡片raw data'!BI:BI,MATCH($D442,'卡片raw data'!$F:$F,)),0)))</f>
        <v>0</v>
      </c>
      <c r="CC442" s="424">
        <f t="shared" si="555"/>
        <v>0</v>
      </c>
      <c r="CD442" s="420">
        <f>IF(BZ442="ap",CB442*(1-$FI$26)*$FB$5/$FB$11*(+IF(CA442="全员",$FA$24,0)+IF(CA442="同作战",$FA$24,0)+IF(CA442="仲间",$FA$24*2/3,0)+IF(CA442="同属性",$FA$24*$FA$37/3,0)+IF(CA442="同年级",$FA$24*$FA$40/3,0)+IF(CA442="同学校",$FA$24*$FA$43/3,0)+IF(CA442="同小队",$FA$24*$FA$46/3,0)+IF(CA442="同type",$FA$24*INDEX($FB$49:$FB$52,MATCH(X442,$FA$49:$FA$52,))/3,0)+IF(CA442="自身",#REF!/3,0)),0)+IF(BZ442="te",CB442*(1-$FI$27)*($FA$20-1)*$FB$7/$FB$13*(+IF(CA442="全员",$FA$19*$FA$24/(1+($FA$20-1)*$FA$19),0)+IF(CA442="同作战",$FA$19*$FA$24/(1+($FA$20-1)*$FA$19),0)+IF(CA442="仲间",$FA$19*$FA$24*2/3/(1+($FA$20-1)*$FA$19),0)+IF(CA442="同属性",$FA$19*$FA$24*$FA$37/3/(1+($FA$20-1)*$FA$19),0)+IF(CA442="同年级",$FA$19*$FA$24*$FA$40/3/(1+($FA$20-1)*$FA$19),0)+IF(CA442="同学校",$FA$19*$FA$24*$FA$43/3/(1+($FA$20-1)*$FA$19),0)+IF(CA442="同小队",$FA$19*$FA$24*$FA$46/3/(1+($FA$20-1)*$FA$19),0)+IF(CA442="同type",$FA$19*$FA$24*INDEX($FB$49:$FB$52,MATCH(X442,$FA$49:$FA$52,))/3/(1+($FA$20-1)*$FA$19),0)+IF(CA442="自身",$FA$19*#REF!/3/(1+(BH442-1)*$BD442),0)),0)</f>
        <v>0</v>
      </c>
      <c r="CE442" s="420">
        <f t="shared" si="556"/>
        <v>0</v>
      </c>
      <c r="CF442" s="436">
        <f t="shared" si="557"/>
        <v>0</v>
      </c>
      <c r="CG442" s="423">
        <f t="shared" si="558"/>
        <v>0</v>
      </c>
      <c r="CH442" s="433">
        <f t="shared" si="559"/>
        <v>0</v>
      </c>
      <c r="CI442" s="1113" t="s">
        <v>162</v>
      </c>
      <c r="CJ442" s="1114">
        <v>1</v>
      </c>
      <c r="CK442" s="1115" t="s">
        <v>2158</v>
      </c>
      <c r="CL442" s="1115" t="s">
        <v>1940</v>
      </c>
      <c r="CM442" s="1119">
        <v>2.5999999999999999E-2</v>
      </c>
      <c r="CN442" s="1115"/>
      <c r="CO442" s="1115"/>
      <c r="CP442" s="1116">
        <f t="shared" si="560"/>
        <v>11.949088703314287</v>
      </c>
      <c r="CQ442" s="1116">
        <f t="shared" si="561"/>
        <v>16.762545859071999</v>
      </c>
      <c r="CR442" s="1117">
        <f t="shared" si="562"/>
        <v>11.949088703314287</v>
      </c>
      <c r="CS442" s="442">
        <f t="shared" si="563"/>
        <v>0</v>
      </c>
      <c r="CT442" s="432">
        <f t="shared" si="564"/>
        <v>0</v>
      </c>
      <c r="CU442" s="1101">
        <f t="shared" si="565"/>
        <v>17.087196845739431</v>
      </c>
      <c r="CV442" s="1108">
        <f t="shared" si="566"/>
        <v>0</v>
      </c>
      <c r="CW442" s="420">
        <f t="shared" si="567"/>
        <v>17.087196845739431</v>
      </c>
      <c r="CX442" s="420">
        <f t="shared" si="568"/>
        <v>17.087196845739431</v>
      </c>
      <c r="CY442" s="433">
        <f t="shared" si="569"/>
        <v>17.087196845739431</v>
      </c>
      <c r="CZ442" s="437"/>
      <c r="DA442" s="438"/>
      <c r="DB442" s="439" t="s">
        <v>569</v>
      </c>
      <c r="DC442" s="439"/>
      <c r="DD442" s="443"/>
      <c r="DE442" s="411"/>
      <c r="DF442" s="411"/>
      <c r="DG442" s="1116">
        <f t="shared" si="570"/>
        <v>0</v>
      </c>
      <c r="DH442" s="1116">
        <f t="shared" si="571"/>
        <v>0</v>
      </c>
      <c r="DI442" s="1116">
        <f t="shared" si="572"/>
        <v>0</v>
      </c>
      <c r="DJ442" s="442">
        <f t="shared" si="573"/>
        <v>0</v>
      </c>
      <c r="DK442" s="432">
        <f t="shared" si="574"/>
        <v>0</v>
      </c>
      <c r="DL442" s="424">
        <f t="shared" si="575"/>
        <v>0</v>
      </c>
      <c r="DM442" s="420">
        <f t="shared" si="576"/>
        <v>0</v>
      </c>
      <c r="DN442" s="420">
        <f t="shared" si="577"/>
        <v>0</v>
      </c>
      <c r="DO442" s="420">
        <f t="shared" si="578"/>
        <v>0</v>
      </c>
      <c r="DP442" s="433">
        <f t="shared" si="579"/>
        <v>0</v>
      </c>
      <c r="DQ442" s="1113" t="s">
        <v>533</v>
      </c>
      <c r="DR442" s="1120">
        <f t="shared" si="580"/>
        <v>0.3</v>
      </c>
      <c r="DS442" s="1124">
        <v>5</v>
      </c>
      <c r="DT442" s="1093" t="s">
        <v>161</v>
      </c>
      <c r="DU442" s="1093" t="s">
        <v>544</v>
      </c>
      <c r="DV442" s="1098">
        <f>IF($P442="","N/A",IF(P442=-1,INDEX('卡片raw data'!AN:AN,MATCH(D442,'卡片raw data'!$F:$F,)),0)+IF(AND(L442&lt;&gt;"party卡",P442&lt;=2,P442&gt;=0),INDEX('卡片raw data'!AP:AP,MATCH(D442,'卡片raw data'!$F:$F,)),0)+IF(OR(AND(L442="party卡",P442&lt;=1),AND(P442&lt;=4,L442&lt;&gt;"party卡",P442&gt;=3)),INDEX('卡片raw data'!AQ:AQ,MATCH(D442,'卡片raw data'!$F:$F,)),0)+IF(OR(P442=5,AND(L442="party卡",P442&gt;=2)),INDEX('卡片raw data'!AR:AR,MATCH(D442,'卡片raw data'!$F:$F,)),0))</f>
        <v>4.2000000000000003E-2</v>
      </c>
      <c r="DW442" s="1098">
        <f t="shared" si="581"/>
        <v>0.3</v>
      </c>
      <c r="DX442" s="1098">
        <f t="shared" si="582"/>
        <v>0.3</v>
      </c>
      <c r="DY442" s="1098">
        <f t="shared" si="583"/>
        <v>2.0999999999999998E-2</v>
      </c>
      <c r="DZ442" s="1098">
        <f t="shared" si="584"/>
        <v>1.8164999999999997E-2</v>
      </c>
      <c r="EA442" s="421">
        <f t="shared" si="585"/>
        <v>0</v>
      </c>
      <c r="EB442" s="445">
        <f t="shared" si="586"/>
        <v>4.1901234374999996</v>
      </c>
      <c r="EC442" s="424">
        <f t="shared" si="587"/>
        <v>272.99999999999994</v>
      </c>
      <c r="ED442" s="420">
        <f t="shared" si="588"/>
        <v>181.04449999999994</v>
      </c>
      <c r="EE442" s="433">
        <f t="shared" si="598"/>
        <v>272.99999999999994</v>
      </c>
      <c r="EF442" s="1115" t="s">
        <v>569</v>
      </c>
      <c r="EG442" s="1120">
        <f t="shared" si="589"/>
        <v>0.3</v>
      </c>
      <c r="EH442" s="450"/>
      <c r="EI442" s="1093"/>
      <c r="EJ442" s="1093"/>
      <c r="EK442" s="420">
        <f>IF($P442="","N/A",IF(P442=-1,INDEX('卡片raw data'!AS:AS,MATCH(D442,'卡片raw data'!$F:$F,)),0)+IF(AND(L442&lt;&gt;"party卡",P442&lt;=2,P442&gt;=0),INDEX('卡片raw data'!AU:AU,MATCH(D442,'卡片raw data'!$F:$F,)),0)+IF(OR(AND(L442="party卡",P442&lt;=1),AND(P442&lt;=4,L442&lt;&gt;"party卡",P442&gt;=3)),INDEX('卡片raw data'!AV:AV,MATCH(D442,'卡片raw data'!$F:$F,)),0)+IF(OR(P442=5,AND(L442="party卡",P442&gt;=2)),INDEX('卡片raw data'!AW:AW,MATCH(D442,'卡片raw data'!$F:$F,)),0))</f>
        <v>0</v>
      </c>
      <c r="EL442" s="1098">
        <f t="shared" si="590"/>
        <v>0.3</v>
      </c>
      <c r="EM442" s="1098">
        <f t="shared" si="591"/>
        <v>0.3</v>
      </c>
      <c r="EN442" s="1097">
        <f t="shared" si="592"/>
        <v>0</v>
      </c>
      <c r="EO442" s="1097">
        <f t="shared" si="593"/>
        <v>0</v>
      </c>
      <c r="EP442" s="421">
        <f t="shared" si="594"/>
        <v>0</v>
      </c>
      <c r="EQ442" s="445">
        <f t="shared" si="595"/>
        <v>0</v>
      </c>
      <c r="ER442" s="424">
        <f t="shared" si="596"/>
        <v>0</v>
      </c>
      <c r="ES442" s="420">
        <f t="shared" si="597"/>
        <v>0</v>
      </c>
      <c r="ET442" s="446">
        <f t="shared" si="599"/>
        <v>0</v>
      </c>
    </row>
    <row r="443" spans="2:150" ht="16.5" customHeight="1">
      <c r="B443" s="448" t="str">
        <f>INDEX('卡片raw data'!B:B,MATCH($D443,'卡片raw data'!$F:$F,))</f>
        <v>prt果</v>
      </c>
      <c r="C443" s="449" t="s">
        <v>2625</v>
      </c>
      <c r="D443" s="408">
        <v>440</v>
      </c>
      <c r="E443" s="477">
        <v>300013002</v>
      </c>
      <c r="F443" s="409" t="str">
        <f>INDEX('卡片raw data'!C:C,MATCH($D443,'卡片raw data'!$F:$F,))</f>
        <v>UR</v>
      </c>
      <c r="G443" s="1094" t="s">
        <v>2626</v>
      </c>
      <c r="H443" s="411">
        <f>IFERROR(INDEX(绊状态确认!C:C,MATCH($G443,绊状态确认!$B:$B,)),"")</f>
        <v>1</v>
      </c>
      <c r="I443" s="450" t="str">
        <f>IFERROR(INDEX(绊状态确认!D:D,MATCH($G443,绊状态确认!$B:$B,)),"")</f>
        <v>缪</v>
      </c>
      <c r="J443" s="450" t="str">
        <f>IFERROR(INDEX(绊状态确认!E:E,MATCH($G443,绊状态确认!$B:$B,)),"")</f>
        <v>2年级</v>
      </c>
      <c r="K443" s="451" t="str">
        <f>IFERROR(INDEX(绊状态确认!F:F,MATCH($G443,绊状态确认!$B:$B,)),"")</f>
        <v>Printemps</v>
      </c>
      <c r="L443" s="414" t="str">
        <f>INDEX('卡片raw data'!E:E,MATCH($D443,'卡片raw data'!$F:$F,))</f>
        <v>party卡</v>
      </c>
      <c r="M443" s="478">
        <v>44300</v>
      </c>
      <c r="N443" s="479">
        <v>37.5</v>
      </c>
      <c r="O443" s="410" t="str">
        <f>INDEX('卡片raw data'!D:D,MATCH($D443,'卡片raw data'!$F:$F,))</f>
        <v>sk</v>
      </c>
      <c r="P443" s="1126">
        <v>5</v>
      </c>
      <c r="Q443" s="418">
        <f t="shared" si="515"/>
        <v>56554.280862969026</v>
      </c>
      <c r="R443" s="419">
        <f t="shared" si="516"/>
        <v>0.65700000000000003</v>
      </c>
      <c r="S443" s="420">
        <f t="shared" si="517"/>
        <v>20897.374900409159</v>
      </c>
      <c r="T443" s="421">
        <f t="shared" si="518"/>
        <v>1.044</v>
      </c>
      <c r="U443" s="422">
        <f t="shared" si="519"/>
        <v>1068.7928087409189</v>
      </c>
      <c r="V443" s="423">
        <f t="shared" si="520"/>
        <v>108093.17548393193</v>
      </c>
      <c r="W443" s="424">
        <f t="shared" si="521"/>
        <v>7865.3563582362267</v>
      </c>
      <c r="X443" s="419">
        <f t="shared" si="522"/>
        <v>9.0999999999999998E-2</v>
      </c>
      <c r="Y443" s="420">
        <f t="shared" si="523"/>
        <v>1103.863531339156</v>
      </c>
      <c r="Z443" s="425">
        <f t="shared" si="524"/>
        <v>13.786468577142855</v>
      </c>
      <c r="AA443" s="426">
        <f t="shared" si="525"/>
        <v>8969.2198895753827</v>
      </c>
      <c r="AB443" s="424">
        <f t="shared" si="526"/>
        <v>9720.4174003044536</v>
      </c>
      <c r="AC443" s="427">
        <f t="shared" si="527"/>
        <v>0.113</v>
      </c>
      <c r="AD443" s="428">
        <f t="shared" si="528"/>
        <v>2.1769318181818181E-2</v>
      </c>
      <c r="AE443" s="516">
        <f t="shared" si="529"/>
        <v>11.953757704745847</v>
      </c>
      <c r="AF443" s="1130">
        <f t="shared" si="530"/>
        <v>12787.9556383488</v>
      </c>
      <c r="AG443" s="420">
        <f t="shared" si="531"/>
        <v>103565.104328</v>
      </c>
      <c r="AH443" s="420">
        <f t="shared" si="532"/>
        <v>8.0986443225863809</v>
      </c>
      <c r="AI443" s="1097">
        <f t="shared" si="533"/>
        <v>121254.64196168026</v>
      </c>
      <c r="AJ443" s="420">
        <f t="shared" si="534"/>
        <v>108093.17548393193</v>
      </c>
      <c r="AK443" s="518">
        <f t="shared" si="535"/>
        <v>13161.466477748327</v>
      </c>
      <c r="AL443" s="429">
        <f>IF($P443="","N/A",(IF($P443=-1,INDEX('卡片raw data'!S:S,MATCH($D443,'卡片raw data'!$F:$F,)),0)+IF($P443=0,INDEX('卡片raw data'!V:V,MATCH($D443,'卡片raw data'!$F:$F,)),0)+IF($P443=1,INDEX('卡片raw data'!Y:Y,MATCH($D443,'卡片raw data'!$F:$F,)),0)+IF($P443=2,INDEX('卡片raw data'!AB:AB,MATCH($D443,'卡片raw data'!$F:$F,)),0)+IF($P443=3,INDEX('卡片raw data'!AE:AE,MATCH($D443,'卡片raw data'!$F:$F,)),0)+IF($P443=4,INDEX('卡片raw data'!AH:AH,MATCH($D443,'卡片raw data'!$F:$F,)),0)+IF($P443=5,INDEX('卡片raw data'!AK:AK,MATCH($D443,'卡片raw data'!$F:$F,)),0)+INDEX('卡片raw data'!S:S,MATCH($D443,'卡片raw data'!$F:$F,))*(IF($F443="UR",0.04,0.033))*(IF($F443="UR",INDEX(绊状态确认!$S:$S,MATCH($G443,绊状态确认!$B:$B,))/2-40)+IF($F443="SR",INDEX(绊状态确认!$R:$R,MATCH($G443,绊状态确认!$B:$B,))/4-15))+IF($F443="R",INDEX(绊状态确认!$Q:$Q,MATCH($G443,绊状态确认!$B:$B,))/6-40/6)))*(INDEX(绊状态确认!$H:$H,MATCH($G443,绊状态确认!$B:$B,))+INDEX(绊状态确认!J:J,MATCH($G443,绊状态确认!$B:$B,)))</f>
        <v>13401.337919999998</v>
      </c>
      <c r="AM443" s="429">
        <f>IF($P443="","N/A",(IF($P443=-1,INDEX('卡片raw data'!T:T,MATCH($D443,'卡片raw data'!$F:$F,)),0)+IF($P443=0,INDEX('卡片raw data'!W:W,MATCH($D443,'卡片raw data'!$F:$F,)),0)+IF($P443=1,INDEX('卡片raw data'!Z:Z,MATCH($D443,'卡片raw data'!$F:$F,)),0)+IF($P443=2,INDEX('卡片raw data'!AC:AC,MATCH($D443,'卡片raw data'!$F:$F,)),0)+IF($P443=3,INDEX('卡片raw data'!AF:AF,MATCH($D443,'卡片raw data'!$F:$F,)),0)+IF($P443=4,INDEX('卡片raw data'!AI:AI,MATCH($D443,'卡片raw data'!$F:$F,)),0)+IF($P443=5,INDEX('卡片raw data'!AL:AL,MATCH($D443,'卡片raw data'!$F:$F,)),0)+INDEX('卡片raw data'!T:T,MATCH($D443,'卡片raw data'!$F:$F,))*(IF($F443="UR",0.04,0.033))*(IF($F443="UR",INDEX(绊状态确认!$S:$S,MATCH($G443,绊状态确认!$B:$B,))/2-40)+IF($F443="SR",INDEX(绊状态确认!$R:$R,MATCH($G443,绊状态确认!$B:$B,))/4-15))+IF($F443="R",INDEX(绊状态确认!$Q:$Q,MATCH($G443,绊状态确认!$B:$B,))/6-40/6)))*(INDEX(绊状态确认!$H:$H,MATCH($G443,绊状态确认!$B:$B,))+INDEX(绊状态确认!K:K,MATCH($G443,绊状态确认!$B:$B,)))</f>
        <v>7445.6927999999989</v>
      </c>
      <c r="AN443" s="429">
        <f>IF($P443="","N/A",(IF($P443=-1,INDEX('卡片raw data'!U:U,MATCH($D443,'卡片raw data'!$F:$F,)),0)+IF($P443=0,INDEX('卡片raw data'!X:X,MATCH($D443,'卡片raw data'!$F:$F,)),0)+IF($P443=1,INDEX('卡片raw data'!AA:AA,MATCH($D443,'卡片raw data'!$F:$F,)),0)+IF($P443=2,INDEX('卡片raw data'!AD:AD,MATCH($D443,'卡片raw data'!$F:$F,)),0)+IF($P443=3,INDEX('卡片raw data'!AG:AG,MATCH($D443,'卡片raw data'!$F:$F,)),0)+IF($P443=4,INDEX('卡片raw data'!AJ:AJ,MATCH($D443,'卡片raw data'!$F:$F,)),0)+IF($P443=5,INDEX('卡片raw data'!AM:AM,MATCH($D443,'卡片raw data'!$F:$F,)),0)+INDEX('卡片raw data'!U:U,MATCH($D443,'卡片raw data'!$F:$F,))*(IF($F443="UR",0.04,0.033))*(IF($F443="UR",INDEX(绊状态确认!$S:$S,MATCH($G443,绊状态确认!$B:$B,))/2-40)+IF($F443="SR",INDEX(绊状态确认!$R:$R,MATCH($G443,绊状态确认!$B:$B,))/4-15))+IF($F443="R",INDEX(绊状态确认!$Q:$Q,MATCH($G443,绊状态确认!$B:$B,))/6-40/6)))*(INDEX(绊状态确认!$H:$H,MATCH($G443,绊状态确认!$B:$B,))+INDEX(绊状态确认!L:L,MATCH($G443,绊状态确认!$B:$B,)))</f>
        <v>16380.296879999998</v>
      </c>
      <c r="AO443" s="430">
        <f t="shared" si="536"/>
        <v>1</v>
      </c>
      <c r="AP443" s="556">
        <f>1+(INDEX(绊状态确认!$T:$T,MATCH($G443,绊状态确认!$B:$B,))+0.2)*$AO443</f>
        <v>1.3</v>
      </c>
      <c r="AQ443" s="431">
        <f t="shared" si="537"/>
        <v>38428.512039999994</v>
      </c>
      <c r="AR443" s="420">
        <f>(AM443*(1+$EX$9)+$EX$35)*(1+(INDEX(绊状态确认!$T:$T,MATCH($G443,绊状态确认!$B:$B,))+0.2)*AO443)*IF(J443=$FF$17,1+$FE$17,1)*IF(I443=$FF$14,1+$FE$14,1)</f>
        <v>12867.370671999999</v>
      </c>
      <c r="AS443" s="420">
        <f>(AN443*(1+$EX$10)+$EX$36)*(1+(INDEX(绊状态确认!$T:$T,MATCH($G443,绊状态确认!$B:$B,))+0.2)*AO443)*IF(J443=$FF$17,1+$FE$17,1)*IF(I443=$FF$14,1+$FE$14,1)</f>
        <v>28544.543835599998</v>
      </c>
      <c r="AT443" s="412">
        <f>IF(AND(INDEX('卡片raw data'!AK:AK,MATCH($D443,'卡片raw data'!$F:$F,))&lt;INDEX('卡片raw data'!AM:AM,MATCH($D443,'卡片raw data'!$F:$F,)),INDEX('卡片raw data'!AL:AL,MATCH($D443,'卡片raw data'!$F:$F,))&lt;INDEX('卡片raw data'!AM:AM,MATCH($D443,'卡片raw data'!$F:$F,))),1,0)</f>
        <v>1</v>
      </c>
      <c r="AU443" s="421">
        <f>MIN(AT443*0.15+AS443*0.00003+INDEX(绊状态确认!M:M,MATCH($G443,绊状态确认!$B:$B,)),1)</f>
        <v>1</v>
      </c>
      <c r="AV443" s="432">
        <f>(INDEX(绊状态确认!$N:$N,MATCH($G443,绊状态确认!$B:$B,))+1.5)*$EW$21</f>
        <v>2.6599999999999997</v>
      </c>
      <c r="AW443" s="424">
        <f t="shared" si="538"/>
        <v>53087.536097634511</v>
      </c>
      <c r="AX443" s="420">
        <f t="shared" si="539"/>
        <v>1103.8635313391569</v>
      </c>
      <c r="AY443" s="433">
        <f t="shared" si="540"/>
        <v>54191.399628973668</v>
      </c>
      <c r="AZ443" s="429">
        <f t="shared" si="541"/>
        <v>28732.608943999996</v>
      </c>
      <c r="BA443" s="431">
        <f t="shared" si="542"/>
        <v>34479.130732799997</v>
      </c>
      <c r="BB443" s="420">
        <f>(AM443*(1+$FB$9)+$FB$35)*(1+(INDEX(绊状态确认!$T:$T,MATCH($G443,绊状态确认!$B:$B,))+0.2)*AO443)*IF(J443=$FF$17,1+$FE$17,1)*IF(I443=$FF$14,1+$FE$14,1)*(1+$FE$15)</f>
        <v>12867.370671999999</v>
      </c>
      <c r="BC443" s="420">
        <f>(AN443*(1+$FB$10)+$FB$36)*(1+(INDEX(绊状态确认!$T:$T,MATCH($G443,绊状态确认!$B:$B,))+0.2)*AO443)*IF(J443=$FF$17,1+$FE$17,1)*IF(I443=$FF$14,1+$FE$14,1)*(1+$FE$15)</f>
        <v>28544.543835599998</v>
      </c>
      <c r="BD443" s="427">
        <f>MIN(AT443*0.15+BC443*0.00003+INDEX(绊状态确认!M:M,MATCH($G443,绊状态确认!$B:$B,)),1)</f>
        <v>1</v>
      </c>
      <c r="BE443" s="432">
        <f>(INDEX(绊状态确认!$N:$N,MATCH($G443,绊状态确认!$B:$B,))+1.5)</f>
        <v>1.9</v>
      </c>
      <c r="BF443" s="645">
        <f t="array" ref="BF443">SUMPRODUCT(IF(AZ443*AP443*$FI$16:$FI$23*$FA$22&gt;=$FI$24,$FI$24,AZ443*AP443*$FI$16:$FI$23*$FA$22),$FJ$16:$FJ$23)</f>
        <v>54978.867710928003</v>
      </c>
      <c r="BG443" s="453">
        <f t="array" ref="BG443">SUMPRODUCT(IF(BE443*AZ443*AP443*$FI$16:$FI$23*$FA$22&gt;=$FI$24,$FI$24,BE443*AZ443*AP443*$FI$16:$FI$23*$FA$22),$FJ$16:$FJ$23)</f>
        <v>60000</v>
      </c>
      <c r="BH443" s="433">
        <f t="shared" si="543"/>
        <v>20000</v>
      </c>
      <c r="BI443" s="434">
        <f>IF(O443="vo",$EW$26/$EW$24*0.05,0)+IF(O443="sk",-$EW$26/$EW$24*(0.05-INDEX(绊状态确认!W:W,MATCH($G443,绊状态确认!$B:$B,)))+0.05*$EW$28,0)+IF(O443="sp",0.05*$EW$32*$EW$30*(1-$EW$33)-(0.05-INDEX(绊状态确认!V:V,MATCH($G443,绊状态确认!$B:$B,)))*$EW$28,0)+IF(O443="gd",-(0.05-INDEX(绊状态确认!X:X,MATCH($G443,绊状态确认!$B:$B,)))*$EW$32*$EW$30*(1-$EW$33),0)</f>
        <v>-6253.6726349699375</v>
      </c>
      <c r="BJ443" s="420">
        <f>IF(O443="vo",0.05*(1-$FI$26)*$FA$24,0)+IF(O443="sk",-(0.05-INDEX(绊状态确认!W:W,MATCH($G443,绊状态确认!$B:$B,)))*(1-$FI$26)*$FA$24+0.05*$FA$26,0)+IF(O443="sp",0.05*$FA$32*$FA$27*(1-$FA$33)/$FA$30+0.05*$FA$29/$FA$69*$FA$27*(1-$FA$33)-(0.05-INDEX(绊状态确认!V:V,MATCH($G443,绊状态确认!$B:$B,)))*$FA$26,0)+IF(O443="gd",-(0.05-INDEX(绊状态确认!X:X,MATCH($G443,绊状态确认!$B:$B,)))*$FA$32*$FA$27*(1-$FA$33)/$FA$30-(0.05-INDEX(绊状态确认!X:X,MATCH($G443,绊状态确认!$B:$B,)))*$FA$29/$FA$69*$FA$27*(1-$FA$33),0)</f>
        <v>20.459096812499922</v>
      </c>
      <c r="BK443" s="433">
        <f>IF(O443="vo",$EW$26/$EW$24*0.05+$EW$26*(-HP($EW$62,$EW$65,$EW$64)+HP($EW$62,$EW$65,(1.05-INDEX(绊状态确认!U:U,MATCH($G443,绊状态确认!$B:$B,)))*$EW$64)),0)+IF(O443="sk",-$EW$26/$EW$24*(0.05-INDEX(绊状态确认!W:W,MATCH($G443,绊状态确认!$B:$B,)))+0.05*$EW$29,0)+IF(O443="sp",0.05*$EW$32*$EW$30*(1-$EW$33)-(0.05-INDEX(绊状态确认!V:V,MATCH($G443,绊状态确认!$B:$B,)))*$EW$29,0)+IF(O443="gd",-(0.05-INDEX(绊状态确认!X:X,MATCH($G443,绊状态确认!$B:$B,)))*$EW$32*$EW$30*(1-$EW$33)+$EW$26*(-HP($EW$62,$EW$65,$EW$64)+HP($EW$62,$EW$65,0.95*$EW$64)),0)</f>
        <v>-4253.6726349699375</v>
      </c>
      <c r="BL443" s="434">
        <f t="shared" si="544"/>
        <v>0</v>
      </c>
      <c r="BM443" s="433">
        <f t="shared" si="545"/>
        <v>0</v>
      </c>
      <c r="BN443" s="437">
        <f t="shared" si="546"/>
        <v>4</v>
      </c>
      <c r="BO443" s="1108">
        <f t="shared" si="547"/>
        <v>6010.2953161679998</v>
      </c>
      <c r="BP443" s="1100">
        <f t="shared" si="548"/>
        <v>295.12137612040135</v>
      </c>
      <c r="BQ443" s="1113" t="s">
        <v>132</v>
      </c>
      <c r="BR443" s="1124" t="s">
        <v>171</v>
      </c>
      <c r="BS443" s="421">
        <f>IF($P443="","N/A",IF($P443=-1,INDEX('卡片raw data'!AX:AX,MATCH($D443,'卡片raw data'!$F:$F,)),0)+IF($L443="party卡",IF($P443=5,INDEX('卡片raw data'!BD:BD,MATCH($D443,'卡片raw data'!$F:$F,)),IF($P443&gt;=3,INDEX('卡片raw data'!BC:BC,MATCH($D443,'卡片raw data'!$F:$F,)),INDEX('卡片raw data'!BB:BB,MATCH($D443,'卡片raw data'!$F:$F,)))),IF(OR(AND($F443="UR",$P443=0),AND($F443="SR",$P443&gt;=0,$P443&lt;=2),AND($F443="R",$P443&gt;=0,$P443&lt;4)),INDEX('卡片raw data'!AZ:AZ,MATCH($D443,'卡片raw data'!$F:$F,)),0)+IF(OR(AND($F443="UR",$P443&gt;=1,$P443&lt;=4),AND($F443="SR",$P443&lt;=4,$P443&gt;=3),AND($F443="R",$P443=4)),INDEX('卡片raw data'!BA:BA,MATCH($D443,'卡片raw data'!$F:$F,)),0)+IF($P443=5,INDEX('卡片raw data'!BB:BB,MATCH($D443,'卡片raw data'!$F:$F,)),0)))</f>
        <v>6.5000000000000002E-2</v>
      </c>
      <c r="BT443" s="424">
        <f t="shared" si="549"/>
        <v>3255.5766295909998</v>
      </c>
      <c r="BU443" s="420">
        <f t="shared" si="550"/>
        <v>139.87523555706522</v>
      </c>
      <c r="BV443" s="420">
        <f t="shared" si="551"/>
        <v>1627.7883147955001</v>
      </c>
      <c r="BW443" s="436">
        <f t="shared" si="552"/>
        <v>0</v>
      </c>
      <c r="BX443" s="423">
        <f t="shared" si="553"/>
        <v>3255.5766295909998</v>
      </c>
      <c r="BY443" s="433">
        <f t="shared" si="554"/>
        <v>1627.7883147955001</v>
      </c>
      <c r="BZ443" s="1113" t="s">
        <v>569</v>
      </c>
      <c r="CA443" s="450"/>
      <c r="CB443" s="421">
        <f>IF($P443="","N/A",IF($P443=-1,INDEX('卡片raw data'!BE:BE,MATCH($D443,'卡片raw data'!$F:$F,)),0)+IF($L443="party卡",IF($P443=5,INDEX('卡片raw data'!BK:BK,MATCH($D443,'卡片raw data'!$F:$F,)),IF($P443&gt;=3,INDEX('卡片raw data'!BJ:BJ,MATCH($D443,'卡片raw data'!$F:$F,)),INDEX('卡片raw data'!BI:BI,MATCH($D443,'卡片raw data'!$F:$F,)))),IF(OR(AND($F443="UR",$P443=0),AND($F443="SR",$P443&gt;=0,$P443&lt;=2),AND($F443="R",$P443&gt;=0,$P443&lt;4)),INDEX('卡片raw data'!BG:BG,MATCH($D443,'卡片raw data'!$F:$F,)),0)+IF(OR(AND($F443="UR",$P443&gt;=1,$P443&lt;=4),AND($F443="SR",$P443&lt;=4,$P443&gt;=3),AND($F443="R",$P443=4)),INDEX('卡片raw data'!BH:BH,MATCH($D443,'卡片raw data'!$F:$F,)),0)+IF($P443=5,INDEX('卡片raw data'!BI:BI,MATCH($D443,'卡片raw data'!$F:$F,)),0)))</f>
        <v>0</v>
      </c>
      <c r="CC443" s="424">
        <f t="shared" si="555"/>
        <v>0</v>
      </c>
      <c r="CD443" s="420">
        <f>IF(BZ443="ap",CB443*(1-$FI$26)*$FB$5/$FB$11*(+IF(CA443="全员",$FA$24,0)+IF(CA443="同作战",$FA$24,0)+IF(CA443="仲间",$FA$24*2/3,0)+IF(CA443="同属性",$FA$24*$FA$37/3,0)+IF(CA443="同年级",$FA$24*$FA$40/3,0)+IF(CA443="同学校",$FA$24*$FA$43/3,0)+IF(CA443="同小队",$FA$24*$FA$46/3,0)+IF(CA443="同type",$FA$24*INDEX($FB$49:$FB$52,MATCH(X443,$FA$49:$FA$52,))/3,0)+IF(CA443="自身",#REF!/3,0)),0)+IF(BZ443="te",CB443*(1-$FI$27)*($FA$20-1)*$FB$7/$FB$13*(+IF(CA443="全员",$FA$19*$FA$24/(1+($FA$20-1)*$FA$19),0)+IF(CA443="同作战",$FA$19*$FA$24/(1+($FA$20-1)*$FA$19),0)+IF(CA443="仲间",$FA$19*$FA$24*2/3/(1+($FA$20-1)*$FA$19),0)+IF(CA443="同属性",$FA$19*$FA$24*$FA$37/3/(1+($FA$20-1)*$FA$19),0)+IF(CA443="同年级",$FA$19*$FA$24*$FA$40/3/(1+($FA$20-1)*$FA$19),0)+IF(CA443="同学校",$FA$19*$FA$24*$FA$43/3/(1+($FA$20-1)*$FA$19),0)+IF(CA443="同小队",$FA$19*$FA$24*$FA$46/3/(1+($FA$20-1)*$FA$19),0)+IF(CA443="同type",$FA$19*$FA$24*INDEX($FB$49:$FB$52,MATCH(X443,$FA$49:$FA$52,))/3/(1+($FA$20-1)*$FA$19),0)+IF(CA443="自身",$FA$19*#REF!/3/(1+(BH443-1)*$BD443),0)),0)</f>
        <v>0</v>
      </c>
      <c r="CE443" s="420">
        <f t="shared" si="556"/>
        <v>0</v>
      </c>
      <c r="CF443" s="436">
        <f t="shared" si="557"/>
        <v>0</v>
      </c>
      <c r="CG443" s="423">
        <f t="shared" si="558"/>
        <v>0</v>
      </c>
      <c r="CH443" s="433">
        <f t="shared" si="559"/>
        <v>0</v>
      </c>
      <c r="CI443" s="1113" t="s">
        <v>160</v>
      </c>
      <c r="CJ443" s="1114">
        <v>1</v>
      </c>
      <c r="CK443" s="1115" t="s">
        <v>2160</v>
      </c>
      <c r="CL443" s="1115" t="s">
        <v>2075</v>
      </c>
      <c r="CM443" s="1119">
        <v>0.1</v>
      </c>
      <c r="CN443" s="1115">
        <v>3</v>
      </c>
      <c r="CO443" s="1115"/>
      <c r="CP443" s="1118">
        <f t="shared" si="560"/>
        <v>1.0714285714285714E-2</v>
      </c>
      <c r="CQ443" s="1118">
        <f t="shared" si="561"/>
        <v>1.9444444444444448E-2</v>
      </c>
      <c r="CR443" s="1118">
        <f t="shared" si="562"/>
        <v>5.3571428571428563E-3</v>
      </c>
      <c r="CS443" s="442">
        <f t="shared" si="563"/>
        <v>0</v>
      </c>
      <c r="CT443" s="432">
        <f t="shared" si="564"/>
        <v>0</v>
      </c>
      <c r="CU443" s="1101">
        <f t="shared" si="565"/>
        <v>454.5454545454545</v>
      </c>
      <c r="CV443" s="1108">
        <f t="shared" si="566"/>
        <v>441.91919191919203</v>
      </c>
      <c r="CW443" s="420">
        <f t="shared" si="567"/>
        <v>227.27272727272722</v>
      </c>
      <c r="CX443" s="420">
        <f t="shared" si="568"/>
        <v>454.5454545454545</v>
      </c>
      <c r="CY443" s="433">
        <f t="shared" si="569"/>
        <v>227.27272727272722</v>
      </c>
      <c r="CZ443" s="437"/>
      <c r="DA443" s="438"/>
      <c r="DB443" s="439" t="s">
        <v>569</v>
      </c>
      <c r="DC443" s="439"/>
      <c r="DD443" s="443"/>
      <c r="DE443" s="411"/>
      <c r="DF443" s="411"/>
      <c r="DG443" s="1116">
        <f t="shared" si="570"/>
        <v>0</v>
      </c>
      <c r="DH443" s="1116">
        <f t="shared" si="571"/>
        <v>0</v>
      </c>
      <c r="DI443" s="1116">
        <f t="shared" si="572"/>
        <v>0</v>
      </c>
      <c r="DJ443" s="442">
        <f t="shared" si="573"/>
        <v>0</v>
      </c>
      <c r="DK443" s="432">
        <f t="shared" si="574"/>
        <v>0</v>
      </c>
      <c r="DL443" s="424">
        <f t="shared" si="575"/>
        <v>0</v>
      </c>
      <c r="DM443" s="420">
        <f t="shared" si="576"/>
        <v>0</v>
      </c>
      <c r="DN443" s="420">
        <f t="shared" si="577"/>
        <v>0</v>
      </c>
      <c r="DO443" s="420">
        <f t="shared" si="578"/>
        <v>0</v>
      </c>
      <c r="DP443" s="433">
        <f t="shared" si="579"/>
        <v>0</v>
      </c>
      <c r="DQ443" s="1113" t="s">
        <v>635</v>
      </c>
      <c r="DR443" s="1120">
        <f t="shared" si="580"/>
        <v>0.33</v>
      </c>
      <c r="DS443" s="1124"/>
      <c r="DT443" s="1093" t="s">
        <v>134</v>
      </c>
      <c r="DU443" s="1124"/>
      <c r="DV443" s="1098">
        <f>IF($P443="","N/A",IF(P443=-1,INDEX('卡片raw data'!AN:AN,MATCH(D443,'卡片raw data'!$F:$F,)),0)+IF(AND(L443&lt;&gt;"party卡",P443&lt;=2,P443&gt;=0),INDEX('卡片raw data'!AP:AP,MATCH(D443,'卡片raw data'!$F:$F,)),0)+IF(OR(AND(L443="party卡",P443&lt;=1),AND(P443&lt;=4,L443&lt;&gt;"party卡",P443&gt;=3)),INDEX('卡片raw data'!AQ:AQ,MATCH(D443,'卡片raw data'!$F:$F,)),0)+IF(OR(P443=5,AND(L443="party卡",P443&gt;=2)),INDEX('卡片raw data'!AR:AR,MATCH(D443,'卡片raw data'!$F:$F,)),0))</f>
        <v>0.32</v>
      </c>
      <c r="DW443" s="1098">
        <f t="shared" si="581"/>
        <v>0.33</v>
      </c>
      <c r="DX443" s="1098">
        <f t="shared" si="582"/>
        <v>0.33</v>
      </c>
      <c r="DY443" s="1097">
        <f t="shared" si="583"/>
        <v>1004.7679430131201</v>
      </c>
      <c r="DZ443" s="1097">
        <f t="shared" si="584"/>
        <v>869.12427070634885</v>
      </c>
      <c r="EA443" s="421">
        <f t="shared" si="585"/>
        <v>0</v>
      </c>
      <c r="EB443" s="445">
        <f t="shared" si="586"/>
        <v>0</v>
      </c>
      <c r="EC443" s="424">
        <f t="shared" si="587"/>
        <v>0</v>
      </c>
      <c r="ED443" s="420">
        <f t="shared" si="588"/>
        <v>0</v>
      </c>
      <c r="EE443" s="433">
        <f t="shared" si="598"/>
        <v>48435.03108962375</v>
      </c>
      <c r="EF443" s="1115" t="s">
        <v>569</v>
      </c>
      <c r="EG443" s="1120">
        <f t="shared" si="589"/>
        <v>0.33</v>
      </c>
      <c r="EH443" s="450"/>
      <c r="EI443" s="1093"/>
      <c r="EJ443" s="1093"/>
      <c r="EK443" s="420">
        <f>IF($P443="","N/A",IF(P443=-1,INDEX('卡片raw data'!AS:AS,MATCH(D443,'卡片raw data'!$F:$F,)),0)+IF(AND(L443&lt;&gt;"party卡",P443&lt;=2,P443&gt;=0),INDEX('卡片raw data'!AU:AU,MATCH(D443,'卡片raw data'!$F:$F,)),0)+IF(OR(AND(L443="party卡",P443&lt;=1),AND(P443&lt;=4,L443&lt;&gt;"party卡",P443&gt;=3)),INDEX('卡片raw data'!AV:AV,MATCH(D443,'卡片raw data'!$F:$F,)),0)+IF(OR(P443=5,AND(L443="party卡",P443&gt;=2)),INDEX('卡片raw data'!AW:AW,MATCH(D443,'卡片raw data'!$F:$F,)),0))</f>
        <v>0</v>
      </c>
      <c r="EL443" s="1098">
        <f t="shared" si="590"/>
        <v>0.33</v>
      </c>
      <c r="EM443" s="1098">
        <f t="shared" si="591"/>
        <v>0.33</v>
      </c>
      <c r="EN443" s="1097">
        <f t="shared" si="592"/>
        <v>0</v>
      </c>
      <c r="EO443" s="1097">
        <f t="shared" si="593"/>
        <v>0</v>
      </c>
      <c r="EP443" s="421">
        <f t="shared" si="594"/>
        <v>0</v>
      </c>
      <c r="EQ443" s="445">
        <f t="shared" si="595"/>
        <v>0</v>
      </c>
      <c r="ER443" s="424">
        <f t="shared" si="596"/>
        <v>0</v>
      </c>
      <c r="ES443" s="420">
        <f t="shared" si="597"/>
        <v>0</v>
      </c>
      <c r="ET443" s="446">
        <f t="shared" si="599"/>
        <v>0</v>
      </c>
    </row>
    <row r="444" spans="2:150" ht="16.5" customHeight="1">
      <c r="B444" s="448" t="str">
        <f>INDEX('卡片raw data'!B:B,MATCH($D444,'卡片raw data'!$F:$F,))</f>
        <v>jb彼</v>
      </c>
      <c r="C444" s="449" t="s">
        <v>2627</v>
      </c>
      <c r="D444" s="408">
        <v>441</v>
      </c>
      <c r="E444" s="477">
        <v>302062003</v>
      </c>
      <c r="F444" s="409" t="str">
        <f>INDEX('卡片raw data'!C:C,MATCH($D444,'卡片raw data'!$F:$F,))</f>
        <v>SR</v>
      </c>
      <c r="G444" s="1094" t="s">
        <v>2628</v>
      </c>
      <c r="H444" s="411">
        <f>IFERROR(INDEX(绊状态确认!C:C,MATCH($G444,绊状态确认!$B:$B,)),"")</f>
        <v>206</v>
      </c>
      <c r="I444" s="450" t="str">
        <f>IFERROR(INDEX(绊状态确认!D:D,MATCH($G444,绊状态确认!$B:$B,)),"")</f>
        <v>虹</v>
      </c>
      <c r="J444" s="450" t="str">
        <f>IFERROR(INDEX(绊状态确认!E:E,MATCH($G444,绊状态确认!$B:$B,)),"")</f>
        <v>3年级</v>
      </c>
      <c r="K444" s="451" t="str">
        <f>IFERROR(INDEX(绊状态确认!F:F,MATCH($G444,绊状态确认!$B:$B,)),"")</f>
        <v>QU4RTZ</v>
      </c>
      <c r="L444" s="414" t="str">
        <f>INDEX('卡片raw data'!E:E,MATCH($D444,'卡片raw data'!$F:$F,))</f>
        <v>卡池卡</v>
      </c>
      <c r="M444" s="478">
        <v>44300</v>
      </c>
      <c r="N444" s="479">
        <v>37.5</v>
      </c>
      <c r="O444" s="410" t="str">
        <f>INDEX('卡片raw data'!D:D,MATCH($D444,'卡片raw data'!$F:$F,))</f>
        <v>vo</v>
      </c>
      <c r="P444" s="1126">
        <v>5</v>
      </c>
      <c r="Q444" s="418">
        <f t="shared" si="515"/>
        <v>43885.990885561936</v>
      </c>
      <c r="R444" s="419">
        <f t="shared" si="516"/>
        <v>0.51</v>
      </c>
      <c r="S444" s="420">
        <f t="shared" si="517"/>
        <v>17303.39554714867</v>
      </c>
      <c r="T444" s="421">
        <f t="shared" si="518"/>
        <v>0.86499999999999999</v>
      </c>
      <c r="U444" s="422">
        <f t="shared" si="519"/>
        <v>-15.768035116857142</v>
      </c>
      <c r="V444" s="423">
        <f t="shared" si="520"/>
        <v>43313.653179971239</v>
      </c>
      <c r="W444" s="424">
        <f t="shared" si="521"/>
        <v>5454.3429994224589</v>
      </c>
      <c r="X444" s="419">
        <f t="shared" si="522"/>
        <v>6.3E-2</v>
      </c>
      <c r="Y444" s="420">
        <f t="shared" si="523"/>
        <v>732.33074465100071</v>
      </c>
      <c r="Z444" s="425">
        <f t="shared" si="524"/>
        <v>9.231964883142858</v>
      </c>
      <c r="AA444" s="426">
        <f t="shared" si="525"/>
        <v>6186.6737440734596</v>
      </c>
      <c r="AB444" s="424">
        <f t="shared" si="526"/>
        <v>6671.4009692709606</v>
      </c>
      <c r="AC444" s="427">
        <f t="shared" si="527"/>
        <v>7.6999999999999999E-2</v>
      </c>
      <c r="AD444" s="428">
        <f t="shared" si="528"/>
        <v>-3.8207812500000026E-3</v>
      </c>
      <c r="AE444" s="516">
        <f t="shared" si="529"/>
        <v>-12.27536231884058</v>
      </c>
      <c r="AF444" s="1130">
        <f t="shared" si="530"/>
        <v>0</v>
      </c>
      <c r="AG444" s="420">
        <f t="shared" si="531"/>
        <v>0</v>
      </c>
      <c r="AH444" s="420">
        <f t="shared" si="532"/>
        <v>0</v>
      </c>
      <c r="AI444" s="1097">
        <f t="shared" si="533"/>
        <v>0</v>
      </c>
      <c r="AJ444" s="420">
        <f t="shared" si="534"/>
        <v>0</v>
      </c>
      <c r="AK444" s="518">
        <f t="shared" si="535"/>
        <v>0</v>
      </c>
      <c r="AL444" s="429">
        <f>IF($P444="","N/A",(IF($P444=-1,INDEX('卡片raw data'!S:S,MATCH($D444,'卡片raw data'!$F:$F,)),0)+IF($P444=0,INDEX('卡片raw data'!V:V,MATCH($D444,'卡片raw data'!$F:$F,)),0)+IF($P444=1,INDEX('卡片raw data'!Y:Y,MATCH($D444,'卡片raw data'!$F:$F,)),0)+IF($P444=2,INDEX('卡片raw data'!AB:AB,MATCH($D444,'卡片raw data'!$F:$F,)),0)+IF($P444=3,INDEX('卡片raw data'!AE:AE,MATCH($D444,'卡片raw data'!$F:$F,)),0)+IF($P444=4,INDEX('卡片raw data'!AH:AH,MATCH($D444,'卡片raw data'!$F:$F,)),0)+IF($P444=5,INDEX('卡片raw data'!AK:AK,MATCH($D444,'卡片raw data'!$F:$F,)),0)+INDEX('卡片raw data'!S:S,MATCH($D444,'卡片raw data'!$F:$F,))*(IF($F444="UR",0.04,0.033))*(IF($F444="UR",INDEX(绊状态确认!$S:$S,MATCH($G444,绊状态确认!$B:$B,))/2-40)+IF($F444="SR",INDEX(绊状态确认!$R:$R,MATCH($G444,绊状态确认!$B:$B,))/4-15))+IF($F444="R",INDEX(绊状态确认!$Q:$Q,MATCH($G444,绊状态确认!$B:$B,))/6-40/6)))*(INDEX(绊状态确认!$H:$H,MATCH($G444,绊状态确认!$B:$B,))+INDEX(绊状态确认!J:J,MATCH($G444,绊状态确认!$B:$B,)))</f>
        <v>9575.8132343999987</v>
      </c>
      <c r="AM444" s="429">
        <f>IF($P444="","N/A",(IF($P444=-1,INDEX('卡片raw data'!T:T,MATCH($D444,'卡片raw data'!$F:$F,)),0)+IF($P444=0,INDEX('卡片raw data'!W:W,MATCH($D444,'卡片raw data'!$F:$F,)),0)+IF($P444=1,INDEX('卡片raw data'!Z:Z,MATCH($D444,'卡片raw data'!$F:$F,)),0)+IF($P444=2,INDEX('卡片raw data'!AC:AC,MATCH($D444,'卡片raw data'!$F:$F,)),0)+IF($P444=3,INDEX('卡片raw data'!AF:AF,MATCH($D444,'卡片raw data'!$F:$F,)),0)+IF($P444=4,INDEX('卡片raw data'!AI:AI,MATCH($D444,'卡片raw data'!$F:$F,)),0)+IF($P444=5,INDEX('卡片raw data'!AL:AL,MATCH($D444,'卡片raw data'!$F:$F,)),0)+INDEX('卡片raw data'!T:T,MATCH($D444,'卡片raw data'!$F:$F,))*(IF($F444="UR",0.04,0.033))*(IF($F444="UR",INDEX(绊状态确认!$S:$S,MATCH($G444,绊状态确认!$B:$B,))/2-40)+IF($F444="SR",INDEX(绊状态确认!$R:$R,MATCH($G444,绊状态确认!$B:$B,))/4-15))+IF($F444="R",INDEX(绊状态确认!$Q:$Q,MATCH($G444,绊状态确认!$B:$B,))/6-40/6)))*(INDEX(绊状态确认!$H:$H,MATCH($G444,绊状态确认!$B:$B,))+INDEX(绊状态确认!K:K,MATCH($G444,绊状态确认!$B:$B,)))</f>
        <v>4331.5022399999989</v>
      </c>
      <c r="AN444" s="429">
        <f>IF($P444="","N/A",(IF($P444=-1,INDEX('卡片raw data'!U:U,MATCH($D444,'卡片raw data'!$F:$F,)),0)+IF($P444=0,INDEX('卡片raw data'!X:X,MATCH($D444,'卡片raw data'!$F:$F,)),0)+IF($P444=1,INDEX('卡片raw data'!AA:AA,MATCH($D444,'卡片raw data'!$F:$F,)),0)+IF($P444=2,INDEX('卡片raw data'!AD:AD,MATCH($D444,'卡片raw data'!$F:$F,)),0)+IF($P444=3,INDEX('卡片raw data'!AG:AG,MATCH($D444,'卡片raw data'!$F:$F,)),0)+IF($P444=4,INDEX('卡片raw data'!AJ:AJ,MATCH($D444,'卡片raw data'!$F:$F,)),0)+IF($P444=5,INDEX('卡片raw data'!AM:AM,MATCH($D444,'卡片raw data'!$F:$F,)),0)+INDEX('卡片raw data'!U:U,MATCH($D444,'卡片raw data'!$F:$F,))*(IF($F444="UR",0.04,0.033))*(IF($F444="UR",INDEX(绊状态确认!$S:$S,MATCH($G444,绊状态确认!$B:$B,))/2-40)+IF($F444="SR",INDEX(绊状态确认!$R:$R,MATCH($G444,绊状态确认!$B:$B,))/4-15))+IF($F444="R",INDEX(绊状态确认!$Q:$Q,MATCH($G444,绊状态确认!$B:$B,))/6-40/6)))*(INDEX(绊状态确认!$H:$H,MATCH($G444,绊状态确认!$B:$B,))+INDEX(绊状态确认!L:L,MATCH($G444,绊状态确认!$B:$B,)))</f>
        <v>8892.3618191999994</v>
      </c>
      <c r="AO444" s="430">
        <f t="shared" si="536"/>
        <v>1</v>
      </c>
      <c r="AP444" s="556">
        <f>1+(INDEX(绊状态确认!$T:$T,MATCH($G444,绊状态确认!$B:$B,))+0.2)*$AO444</f>
        <v>1.3</v>
      </c>
      <c r="AQ444" s="431">
        <f t="shared" si="537"/>
        <v>28386.509740299996</v>
      </c>
      <c r="AR444" s="420">
        <f>(AM444*(1+$EX$9)+$EX$35)*(1+(INDEX(绊状态确认!$T:$T,MATCH($G444,绊状态确认!$B:$B,))+0.2)*AO444)*IF(J444=$FF$17,1+$FE$17,1)*IF(I444=$FF$14,1+$FE$14,1)</f>
        <v>8616.5005576000003</v>
      </c>
      <c r="AS444" s="420">
        <f>(AN444*(1+$EX$10)+$EX$36)*(1+(INDEX(绊状态确认!$T:$T,MATCH($G444,绊状态确认!$B:$B,))+0.2)*AO444)*IF(J444=$FF$17,1+$FE$17,1)*IF(I444=$FF$14,1+$FE$14,1)</f>
        <v>17350.080919703996</v>
      </c>
      <c r="AT444" s="412">
        <f>IF(AND(INDEX('卡片raw data'!AK:AK,MATCH($D444,'卡片raw data'!$F:$F,))&lt;INDEX('卡片raw data'!AM:AM,MATCH($D444,'卡片raw data'!$F:$F,)),INDEX('卡片raw data'!AL:AL,MATCH($D444,'卡片raw data'!$F:$F,))&lt;INDEX('卡片raw data'!AM:AM,MATCH($D444,'卡片raw data'!$F:$F,))),1,0)</f>
        <v>0</v>
      </c>
      <c r="AU444" s="421">
        <f>MIN(AT444*0.15+AS444*0.00003+INDEX(绊状态确认!M:M,MATCH($G444,绊状态确认!$B:$B,)),1)</f>
        <v>0.55050242759111989</v>
      </c>
      <c r="AV444" s="432">
        <f>(INDEX(绊状态确认!$N:$N,MATCH($G444,绊状态确认!$B:$B,))+1.5)*$EW$21</f>
        <v>2.6599999999999997</v>
      </c>
      <c r="AW444" s="424">
        <f t="shared" si="538"/>
        <v>28214.582842056057</v>
      </c>
      <c r="AX444" s="420">
        <f t="shared" si="539"/>
        <v>732.33074465100105</v>
      </c>
      <c r="AY444" s="433">
        <f t="shared" si="540"/>
        <v>28946.913586707058</v>
      </c>
      <c r="AZ444" s="429">
        <f t="shared" si="541"/>
        <v>21272.835807079999</v>
      </c>
      <c r="BA444" s="431">
        <f t="shared" si="542"/>
        <v>25527.402968495997</v>
      </c>
      <c r="BB444" s="420">
        <f>(AM444*(1+$FB$9)+$FB$35)*(1+(INDEX(绊状态确认!$T:$T,MATCH($G444,绊状态确认!$B:$B,))+0.2)*AO444)*IF(J444=$FF$17,1+$FE$17,1)*IF(I444=$FF$14,1+$FE$14,1)*(1+$FE$15)</f>
        <v>8616.5005576000003</v>
      </c>
      <c r="BC444" s="420">
        <f>(AN444*(1+$FB$10)+$FB$36)*(1+(INDEX(绊状态确认!$T:$T,MATCH($G444,绊状态确认!$B:$B,))+0.2)*AO444)*IF(J444=$FF$17,1+$FE$17,1)*IF(I444=$FF$14,1+$FE$14,1)*(1+$FE$15)</f>
        <v>17350.080919703996</v>
      </c>
      <c r="BD444" s="427">
        <f>MIN(AT444*0.15+BC444*0.00003+INDEX(绊状态确认!M:M,MATCH($G444,绊状态确认!$B:$B,)),1)</f>
        <v>0.55050242759111989</v>
      </c>
      <c r="BE444" s="432">
        <f>(INDEX(绊状态确认!$N:$N,MATCH($G444,绊状态确认!$B:$B,))+1.5)</f>
        <v>1.9</v>
      </c>
      <c r="BF444" s="645">
        <f t="array" ref="BF444">SUMPRODUCT(IF(AZ444*AP444*$FI$16:$FI$23*$FA$22&gt;=$FI$24,$FI$24,AZ444*AP444*$FI$16:$FI$23*$FA$22),$FJ$16:$FJ$23)</f>
        <v>42311.670420282127</v>
      </c>
      <c r="BG444" s="453">
        <f t="array" ref="BG444">SUMPRODUCT(IF(BE444*AZ444*AP444*$FI$16:$FI$23*$FA$22&gt;=$FI$24,$FI$24,BE444*AZ444*AP444*$FI$16:$FI$23*$FA$22),$FJ$16:$FJ$23)</f>
        <v>60000</v>
      </c>
      <c r="BH444" s="433">
        <f t="shared" si="543"/>
        <v>17349.712931316211</v>
      </c>
      <c r="BI444" s="434">
        <f>IF(O444="vo",$EW$26/$EW$24*0.05,0)+IF(O444="sk",-$EW$26/$EW$24*(0.05-INDEX(绊状态确认!W:W,MATCH($G444,绊状态确认!$B:$B,)))+0.05*$EW$28,0)+IF(O444="sp",0.05*$EW$32*$EW$30*(1-$EW$33)-(0.05-INDEX(绊状态确认!V:V,MATCH($G444,绊状态确认!$B:$B,)))*$EW$28,0)+IF(O444="gd",-(0.05-INDEX(绊状态确认!X:X,MATCH($G444,绊状态确认!$B:$B,)))*$EW$32*$EW$30*(1-$EW$33),0)</f>
        <v>7726.3029277443748</v>
      </c>
      <c r="BJ444" s="420">
        <f>IF(O444="vo",0.05*(1-$FI$26)*$FA$24,0)+IF(O444="sk",-(0.05-INDEX(绊状态确认!W:W,MATCH($G444,绊状态确认!$B:$B,)))*(1-$FI$26)*$FA$24+0.05*$FA$26,0)+IF(O444="sp",0.05*$FA$32*$FA$27*(1-$FA$33)/$FA$30+0.05*$FA$29/$FA$69*$FA$27*(1-$FA$33)-(0.05-INDEX(绊状态确认!V:V,MATCH($G444,绊状态确认!$B:$B,)))*$FA$26,0)+IF(O444="gd",-(0.05-INDEX(绊状态确认!X:X,MATCH($G444,绊状态确认!$B:$B,)))*$FA$32*$FA$27*(1-$FA$33)/$FA$30-(0.05-INDEX(绊状态确认!X:X,MATCH($G444,绊状态确认!$B:$B,)))*$FA$29/$FA$69*$FA$27*(1-$FA$33),0)</f>
        <v>393.93433687500004</v>
      </c>
      <c r="BK444" s="433">
        <f>IF(O444="vo",$EW$26/$EW$24*0.05+$EW$26*(-HP($EW$62,$EW$65,$EW$64)+HP($EW$62,$EW$65,(1.05-INDEX(绊状态确认!U:U,MATCH($G444,绊状态确认!$B:$B,)))*$EW$64)),0)+IF(O444="sk",-$EW$26/$EW$24*(0.05-INDEX(绊状态确认!W:W,MATCH($G444,绊状态确认!$B:$B,)))+0.05*$EW$29,0)+IF(O444="sp",0.05*$EW$32*$EW$30*(1-$EW$33)-(0.05-INDEX(绊状态确认!V:V,MATCH($G444,绊状态确认!$B:$B,)))*$EW$29,0)+IF(O444="gd",-(0.05-INDEX(绊状态确认!X:X,MATCH($G444,绊状态确认!$B:$B,)))*$EW$32*$EW$30*(1-$EW$33)+$EW$26*(-HP($EW$62,$EW$65,$EW$64)+HP($EW$62,$EW$65,0.95*$EW$64)),0)</f>
        <v>6421.6344775026746</v>
      </c>
      <c r="BL444" s="434">
        <f t="shared" si="544"/>
        <v>-1083.3333333333333</v>
      </c>
      <c r="BM444" s="433">
        <f t="shared" si="545"/>
        <v>-830.55555555555543</v>
      </c>
      <c r="BN444" s="437">
        <f t="shared" si="546"/>
        <v>3</v>
      </c>
      <c r="BO444" s="1108">
        <f t="shared" si="547"/>
        <v>4507.7214871259994</v>
      </c>
      <c r="BP444" s="1100">
        <f t="shared" si="548"/>
        <v>221.34103209030098</v>
      </c>
      <c r="BQ444" s="1113" t="s">
        <v>132</v>
      </c>
      <c r="BR444" s="450" t="s">
        <v>557</v>
      </c>
      <c r="BS444" s="421">
        <f>IF($P444="","N/A",IF($P444=-1,INDEX('卡片raw data'!AX:AX,MATCH($D444,'卡片raw data'!$F:$F,)),0)+IF($L444="party卡",IF($P444=5,INDEX('卡片raw data'!BD:BD,MATCH($D444,'卡片raw data'!$F:$F,)),IF($P444&gt;=3,INDEX('卡片raw data'!BC:BC,MATCH($D444,'卡片raw data'!$F:$F,)),INDEX('卡片raw data'!BB:BB,MATCH($D444,'卡片raw data'!$F:$F,)))),IF(OR(AND($F444="UR",$P444=0),AND($F444="SR",$P444&gt;=0,$P444&lt;=2),AND($F444="R",$P444&gt;=0,$P444&lt;4)),INDEX('卡片raw data'!AZ:AZ,MATCH($D444,'卡片raw data'!$F:$F,)),0)+IF(OR(AND($F444="UR",$P444&gt;=1,$P444&lt;=4),AND($F444="SR",$P444&lt;=4,$P444&gt;=3),AND($F444="R",$P444=4)),INDEX('卡片raw data'!BA:BA,MATCH($D444,'卡片raw data'!$F:$F,)),0)+IF($P444=5,INDEX('卡片raw data'!BB:BB,MATCH($D444,'卡片raw data'!$F:$F,)),0)))</f>
        <v>4.2000000000000003E-2</v>
      </c>
      <c r="BT444" s="424">
        <f t="shared" si="549"/>
        <v>1682.88268852704</v>
      </c>
      <c r="BU444" s="420">
        <f t="shared" si="550"/>
        <v>61.975488985284287</v>
      </c>
      <c r="BV444" s="420">
        <f t="shared" si="551"/>
        <v>946.62151229645997</v>
      </c>
      <c r="BW444" s="436">
        <f t="shared" si="552"/>
        <v>0</v>
      </c>
      <c r="BX444" s="423">
        <f t="shared" si="553"/>
        <v>1682.88268852704</v>
      </c>
      <c r="BY444" s="433">
        <f t="shared" si="554"/>
        <v>946.62151229645997</v>
      </c>
      <c r="BZ444" s="1113" t="s">
        <v>569</v>
      </c>
      <c r="CA444" s="450"/>
      <c r="CB444" s="421">
        <f>IF($P444="","N/A",IF($P444=-1,INDEX('卡片raw data'!BE:BE,MATCH($D444,'卡片raw data'!$F:$F,)),0)+IF($L444="party卡",IF($P444=5,INDEX('卡片raw data'!BK:BK,MATCH($D444,'卡片raw data'!$F:$F,)),IF($P444&gt;=3,INDEX('卡片raw data'!BJ:BJ,MATCH($D444,'卡片raw data'!$F:$F,)),INDEX('卡片raw data'!BI:BI,MATCH($D444,'卡片raw data'!$F:$F,)))),IF(OR(AND($F444="UR",$P444=0),AND($F444="SR",$P444&gt;=0,$P444&lt;=2),AND($F444="R",$P444&gt;=0,$P444&lt;4)),INDEX('卡片raw data'!BG:BG,MATCH($D444,'卡片raw data'!$F:$F,)),0)+IF(OR(AND($F444="UR",$P444&gt;=1,$P444&lt;=4),AND($F444="SR",$P444&lt;=4,$P444&gt;=3),AND($F444="R",$P444=4)),INDEX('卡片raw data'!BH:BH,MATCH($D444,'卡片raw data'!$F:$F,)),0)+IF($P444=5,INDEX('卡片raw data'!BI:BI,MATCH($D444,'卡片raw data'!$F:$F,)),0)))</f>
        <v>0</v>
      </c>
      <c r="CC444" s="424">
        <f t="shared" si="555"/>
        <v>0</v>
      </c>
      <c r="CD444" s="420">
        <f>IF(BZ444="ap",CB444*(1-$FI$26)*$FB$5/$FB$11*(+IF(CA444="全员",$FA$24,0)+IF(CA444="同作战",$FA$24,0)+IF(CA444="仲间",$FA$24*2/3,0)+IF(CA444="同属性",$FA$24*$FA$37/3,0)+IF(CA444="同年级",$FA$24*$FA$40/3,0)+IF(CA444="同学校",$FA$24*$FA$43/3,0)+IF(CA444="同小队",$FA$24*$FA$46/3,0)+IF(CA444="同type",$FA$24*INDEX($FB$49:$FB$52,MATCH(X444,$FA$49:$FA$52,))/3,0)+IF(CA444="自身",#REF!/3,0)),0)+IF(BZ444="te",CB444*(1-$FI$27)*($FA$20-1)*$FB$7/$FB$13*(+IF(CA444="全员",$FA$19*$FA$24/(1+($FA$20-1)*$FA$19),0)+IF(CA444="同作战",$FA$19*$FA$24/(1+($FA$20-1)*$FA$19),0)+IF(CA444="仲间",$FA$19*$FA$24*2/3/(1+($FA$20-1)*$FA$19),0)+IF(CA444="同属性",$FA$19*$FA$24*$FA$37/3/(1+($FA$20-1)*$FA$19),0)+IF(CA444="同年级",$FA$19*$FA$24*$FA$40/3/(1+($FA$20-1)*$FA$19),0)+IF(CA444="同学校",$FA$19*$FA$24*$FA$43/3/(1+($FA$20-1)*$FA$19),0)+IF(CA444="同小队",$FA$19*$FA$24*$FA$46/3/(1+($FA$20-1)*$FA$19),0)+IF(CA444="同type",$FA$19*$FA$24*INDEX($FB$49:$FB$52,MATCH(X444,$FA$49:$FA$52,))/3/(1+($FA$20-1)*$FA$19),0)+IF(CA444="自身",$FA$19*#REF!/3/(1+(BH444-1)*$BD444),0)),0)</f>
        <v>0</v>
      </c>
      <c r="CE444" s="420">
        <f t="shared" si="556"/>
        <v>0</v>
      </c>
      <c r="CF444" s="436">
        <f t="shared" si="557"/>
        <v>0</v>
      </c>
      <c r="CG444" s="423">
        <f t="shared" si="558"/>
        <v>0</v>
      </c>
      <c r="CH444" s="433">
        <f t="shared" si="559"/>
        <v>0</v>
      </c>
      <c r="CI444" s="1113" t="s">
        <v>162</v>
      </c>
      <c r="CJ444" s="1114">
        <v>1</v>
      </c>
      <c r="CK444" s="439" t="s">
        <v>153</v>
      </c>
      <c r="CL444" s="439" t="s">
        <v>2127</v>
      </c>
      <c r="CM444" s="1119">
        <f>0.01*$EX$57</f>
        <v>5.5E-2</v>
      </c>
      <c r="CN444" s="1115">
        <v>3</v>
      </c>
      <c r="CO444" s="1115"/>
      <c r="CP444" s="1118">
        <f t="shared" si="560"/>
        <v>3.5357142857142857E-3</v>
      </c>
      <c r="CQ444" s="1118">
        <f t="shared" si="561"/>
        <v>5.4999999999999997E-3</v>
      </c>
      <c r="CR444" s="1118">
        <f t="shared" si="562"/>
        <v>0</v>
      </c>
      <c r="CS444" s="442">
        <f t="shared" si="563"/>
        <v>0</v>
      </c>
      <c r="CT444" s="432">
        <f t="shared" si="564"/>
        <v>0</v>
      </c>
      <c r="CU444" s="1101">
        <f t="shared" si="565"/>
        <v>480.79679361792142</v>
      </c>
      <c r="CV444" s="1108">
        <f t="shared" si="566"/>
        <v>36.110647546875001</v>
      </c>
      <c r="CW444" s="1097">
        <f t="shared" si="567"/>
        <v>0</v>
      </c>
      <c r="CX444" s="1097">
        <f t="shared" si="568"/>
        <v>480.79679361792142</v>
      </c>
      <c r="CY444" s="1110">
        <f t="shared" si="569"/>
        <v>0</v>
      </c>
      <c r="CZ444" s="437"/>
      <c r="DA444" s="438"/>
      <c r="DB444" s="439" t="s">
        <v>569</v>
      </c>
      <c r="DC444" s="439"/>
      <c r="DD444" s="443"/>
      <c r="DE444" s="411"/>
      <c r="DF444" s="411"/>
      <c r="DG444" s="1116">
        <f t="shared" si="570"/>
        <v>0</v>
      </c>
      <c r="DH444" s="1116">
        <f t="shared" si="571"/>
        <v>0</v>
      </c>
      <c r="DI444" s="1116">
        <f t="shared" si="572"/>
        <v>0</v>
      </c>
      <c r="DJ444" s="442">
        <f t="shared" si="573"/>
        <v>0</v>
      </c>
      <c r="DK444" s="432">
        <f t="shared" si="574"/>
        <v>0</v>
      </c>
      <c r="DL444" s="424">
        <f t="shared" si="575"/>
        <v>0</v>
      </c>
      <c r="DM444" s="420">
        <f t="shared" si="576"/>
        <v>0</v>
      </c>
      <c r="DN444" s="420">
        <f t="shared" si="577"/>
        <v>0</v>
      </c>
      <c r="DO444" s="420">
        <f t="shared" si="578"/>
        <v>0</v>
      </c>
      <c r="DP444" s="433">
        <f t="shared" si="579"/>
        <v>0</v>
      </c>
      <c r="DQ444" s="437" t="s">
        <v>2074</v>
      </c>
      <c r="DR444" s="444">
        <f t="shared" si="580"/>
        <v>0.3</v>
      </c>
      <c r="DS444" s="450">
        <v>5</v>
      </c>
      <c r="DT444" s="1124" t="s">
        <v>2629</v>
      </c>
      <c r="DU444" s="1124" t="s">
        <v>2145</v>
      </c>
      <c r="DV444" s="1098">
        <f>IF($P444="","N/A",IF(P444=-1,INDEX('卡片raw data'!AN:AN,MATCH(D444,'卡片raw data'!$F:$F,)),0)+IF(AND(L444&lt;&gt;"party卡",P444&lt;=2,P444&gt;=0),INDEX('卡片raw data'!AP:AP,MATCH(D444,'卡片raw data'!$F:$F,)),0)+IF(OR(AND(L444="party卡",P444&lt;=1),AND(P444&lt;=4,L444&lt;&gt;"party卡",P444&gt;=3)),INDEX('卡片raw data'!AQ:AQ,MATCH(D444,'卡片raw data'!$F:$F,)),0)+IF(OR(P444=5,AND(L444="party卡",P444&gt;=2)),INDEX('卡片raw data'!AR:AR,MATCH(D444,'卡片raw data'!$F:$F,)),0))</f>
        <v>5.1999999999999998E-2</v>
      </c>
      <c r="DW444" s="1098">
        <f t="shared" si="581"/>
        <v>0.3</v>
      </c>
      <c r="DX444" s="1098">
        <f t="shared" si="582"/>
        <v>0.3</v>
      </c>
      <c r="DY444" s="1098">
        <f t="shared" si="583"/>
        <v>1.3866666666666666E-2</v>
      </c>
      <c r="DZ444" s="1098">
        <f t="shared" si="584"/>
        <v>8.9959999999999988E-3</v>
      </c>
      <c r="EA444" s="421">
        <f t="shared" si="585"/>
        <v>0</v>
      </c>
      <c r="EB444" s="445">
        <f t="shared" si="586"/>
        <v>0</v>
      </c>
      <c r="EC444" s="424">
        <f t="shared" si="587"/>
        <v>2357.037479823884</v>
      </c>
      <c r="ED444" s="420">
        <f t="shared" si="588"/>
        <v>70.876665890550001</v>
      </c>
      <c r="EE444" s="433">
        <f t="shared" si="598"/>
        <v>2357.037479823884</v>
      </c>
      <c r="EF444" s="1115" t="s">
        <v>569</v>
      </c>
      <c r="EG444" s="444">
        <f t="shared" si="589"/>
        <v>0.3</v>
      </c>
      <c r="EH444" s="450"/>
      <c r="EI444" s="1093"/>
      <c r="EJ444" s="1093"/>
      <c r="EK444" s="420">
        <f>IF($P444="","N/A",IF(P444=-1,INDEX('卡片raw data'!AS:AS,MATCH(D444,'卡片raw data'!$F:$F,)),0)+IF(AND(L444&lt;&gt;"party卡",P444&lt;=2,P444&gt;=0),INDEX('卡片raw data'!AU:AU,MATCH(D444,'卡片raw data'!$F:$F,)),0)+IF(OR(AND(L444="party卡",P444&lt;=1),AND(P444&lt;=4,L444&lt;&gt;"party卡",P444&gt;=3)),INDEX('卡片raw data'!AV:AV,MATCH(D444,'卡片raw data'!$F:$F,)),0)+IF(OR(P444=5,AND(L444="party卡",P444&gt;=2)),INDEX('卡片raw data'!AW:AW,MATCH(D444,'卡片raw data'!$F:$F,)),0))</f>
        <v>0</v>
      </c>
      <c r="EL444" s="1098">
        <f t="shared" si="590"/>
        <v>0.3</v>
      </c>
      <c r="EM444" s="1098">
        <f t="shared" si="591"/>
        <v>0.3</v>
      </c>
      <c r="EN444" s="1097">
        <f t="shared" si="592"/>
        <v>0</v>
      </c>
      <c r="EO444" s="1097">
        <f t="shared" si="593"/>
        <v>0</v>
      </c>
      <c r="EP444" s="421">
        <f t="shared" si="594"/>
        <v>0</v>
      </c>
      <c r="EQ444" s="445">
        <f t="shared" si="595"/>
        <v>0</v>
      </c>
      <c r="ER444" s="424">
        <f t="shared" si="596"/>
        <v>0</v>
      </c>
      <c r="ES444" s="420">
        <f t="shared" si="597"/>
        <v>0</v>
      </c>
      <c r="ET444" s="446">
        <f t="shared" si="599"/>
        <v>0</v>
      </c>
    </row>
    <row r="445" spans="2:150" ht="16.5" customHeight="1">
      <c r="B445" s="448" t="str">
        <f>INDEX('卡片raw data'!B:B,MATCH($D445,'卡片raw data'!$F:$F,))</f>
        <v>春游凛</v>
      </c>
      <c r="C445" s="449" t="s">
        <v>2632</v>
      </c>
      <c r="D445" s="408">
        <v>442</v>
      </c>
      <c r="E445" s="477">
        <v>400053003</v>
      </c>
      <c r="F445" s="409" t="str">
        <f>INDEX('卡片raw data'!C:C,MATCH($D445,'卡片raw data'!$F:$F,))</f>
        <v>UR</v>
      </c>
      <c r="G445" s="1094" t="s">
        <v>2633</v>
      </c>
      <c r="H445" s="411">
        <f>IFERROR(INDEX(绊状态确认!C:C,MATCH($G445,绊状态确认!$B:$B,)),"")</f>
        <v>5</v>
      </c>
      <c r="I445" s="450" t="str">
        <f>IFERROR(INDEX(绊状态确认!D:D,MATCH($G445,绊状态确认!$B:$B,)),"")</f>
        <v>缪</v>
      </c>
      <c r="J445" s="450" t="str">
        <f>IFERROR(INDEX(绊状态确认!E:E,MATCH($G445,绊状态确认!$B:$B,)),"")</f>
        <v>1年级</v>
      </c>
      <c r="K445" s="451" t="str">
        <f>IFERROR(INDEX(绊状态确认!F:F,MATCH($G445,绊状态确认!$B:$B,)),"")</f>
        <v>lilywhite</v>
      </c>
      <c r="L445" s="414" t="str">
        <f>INDEX('卡片raw data'!E:E,MATCH($D445,'卡片raw data'!$F:$F,))</f>
        <v>卡池卡</v>
      </c>
      <c r="M445" s="478">
        <v>44305</v>
      </c>
      <c r="N445" s="479">
        <v>38</v>
      </c>
      <c r="O445" s="410" t="str">
        <f>INDEX('卡片raw data'!D:D,MATCH($D445,'卡片raw data'!$F:$F,))</f>
        <v>vo</v>
      </c>
      <c r="P445" s="1126">
        <v>5</v>
      </c>
      <c r="Q445" s="418">
        <f t="shared" si="515"/>
        <v>66699.099778864766</v>
      </c>
      <c r="R445" s="419">
        <f t="shared" si="516"/>
        <v>0.77500000000000002</v>
      </c>
      <c r="S445" s="420">
        <f t="shared" si="517"/>
        <v>22775.138900267517</v>
      </c>
      <c r="T445" s="421">
        <f t="shared" si="518"/>
        <v>1.1379999999999999</v>
      </c>
      <c r="U445" s="422">
        <f t="shared" si="519"/>
        <v>-5.7705970272571427</v>
      </c>
      <c r="V445" s="423">
        <f t="shared" si="520"/>
        <v>66951.534154842753</v>
      </c>
      <c r="W445" s="424">
        <f t="shared" si="521"/>
        <v>4734.9942143987264</v>
      </c>
      <c r="X445" s="419">
        <f t="shared" si="522"/>
        <v>5.5E-2</v>
      </c>
      <c r="Y445" s="420">
        <f t="shared" si="523"/>
        <v>1557.1028262196905</v>
      </c>
      <c r="Z445" s="425">
        <f t="shared" si="524"/>
        <v>19.229402972742857</v>
      </c>
      <c r="AA445" s="426">
        <f t="shared" si="525"/>
        <v>6292.0970406184169</v>
      </c>
      <c r="AB445" s="424">
        <f t="shared" si="526"/>
        <v>10221.275343318453</v>
      </c>
      <c r="AC445" s="427">
        <f t="shared" si="527"/>
        <v>0.11799999999999999</v>
      </c>
      <c r="AD445" s="428">
        <f t="shared" si="528"/>
        <v>8.8975694444444441E-3</v>
      </c>
      <c r="AE445" s="516">
        <f t="shared" si="529"/>
        <v>4.3284010675315026</v>
      </c>
      <c r="AF445" s="1130">
        <f t="shared" si="530"/>
        <v>0</v>
      </c>
      <c r="AG445" s="420">
        <f t="shared" si="531"/>
        <v>0</v>
      </c>
      <c r="AH445" s="420">
        <f t="shared" si="532"/>
        <v>0</v>
      </c>
      <c r="AI445" s="1097">
        <f t="shared" si="533"/>
        <v>0</v>
      </c>
      <c r="AJ445" s="420">
        <f t="shared" si="534"/>
        <v>0</v>
      </c>
      <c r="AK445" s="518">
        <f t="shared" si="535"/>
        <v>0</v>
      </c>
      <c r="AL445" s="429">
        <f>IF($P445="","N/A",(IF($P445=-1,INDEX('卡片raw data'!S:S,MATCH($D445,'卡片raw data'!$F:$F,)),0)+IF($P445=0,INDEX('卡片raw data'!V:V,MATCH($D445,'卡片raw data'!$F:$F,)),0)+IF($P445=1,INDEX('卡片raw data'!Y:Y,MATCH($D445,'卡片raw data'!$F:$F,)),0)+IF($P445=2,INDEX('卡片raw data'!AB:AB,MATCH($D445,'卡片raw data'!$F:$F,)),0)+IF($P445=3,INDEX('卡片raw data'!AE:AE,MATCH($D445,'卡片raw data'!$F:$F,)),0)+IF($P445=4,INDEX('卡片raw data'!AH:AH,MATCH($D445,'卡片raw data'!$F:$F,)),0)+IF($P445=5,INDEX('卡片raw data'!AK:AK,MATCH($D445,'卡片raw data'!$F:$F,)),0)+INDEX('卡片raw data'!S:S,MATCH($D445,'卡片raw data'!$F:$F,))*(IF($F445="UR",0.04,0.033))*(IF($F445="UR",INDEX(绊状态确认!$S:$S,MATCH($G445,绊状态确认!$B:$B,))/2-40)+IF($F445="SR",INDEX(绊状态确认!$R:$R,MATCH($G445,绊状态确认!$B:$B,))/4-15))+IF($F445="R",INDEX(绊状态确认!$Q:$Q,MATCH($G445,绊状态确认!$B:$B,))/6-40/6)))*(INDEX(绊状态确认!$H:$H,MATCH($G445,绊状态确认!$B:$B,))+INDEX(绊状态确认!J:J,MATCH($G445,绊状态确认!$B:$B,)))</f>
        <v>15260.988335999999</v>
      </c>
      <c r="AM445" s="429">
        <f>IF($P445="","N/A",(IF($P445=-1,INDEX('卡片raw data'!T:T,MATCH($D445,'卡片raw data'!$F:$F,)),0)+IF($P445=0,INDEX('卡片raw data'!W:W,MATCH($D445,'卡片raw data'!$F:$F,)),0)+IF($P445=1,INDEX('卡片raw data'!Z:Z,MATCH($D445,'卡片raw data'!$F:$F,)),0)+IF($P445=2,INDEX('卡片raw data'!AC:AC,MATCH($D445,'卡片raw data'!$F:$F,)),0)+IF($P445=3,INDEX('卡片raw data'!AF:AF,MATCH($D445,'卡片raw data'!$F:$F,)),0)+IF($P445=4,INDEX('卡片raw data'!AI:AI,MATCH($D445,'卡片raw data'!$F:$F,)),0)+IF($P445=5,INDEX('卡片raw data'!AL:AL,MATCH($D445,'卡片raw data'!$F:$F,)),0)+INDEX('卡片raw data'!T:T,MATCH($D445,'卡片raw data'!$F:$F,))*(IF($F445="UR",0.04,0.033))*(IF($F445="UR",INDEX(绊状态确认!$S:$S,MATCH($G445,绊状态确认!$B:$B,))/2-40)+IF($F445="SR",INDEX(绊状态确认!$R:$R,MATCH($G445,绊状态确认!$B:$B,))/4-15))+IF($F445="R",INDEX(绊状态确认!$Q:$Q,MATCH($G445,绊状态确认!$B:$B,))/6-40/6)))*(INDEX(绊状态确认!$H:$H,MATCH($G445,绊状态确认!$B:$B,))+INDEX(绊状态确认!K:K,MATCH($G445,绊状态确认!$B:$B,)))</f>
        <v>11167.357343999998</v>
      </c>
      <c r="AN445" s="429">
        <f>IF($P445="","N/A",(IF($P445=-1,INDEX('卡片raw data'!U:U,MATCH($D445,'卡片raw data'!$F:$F,)),0)+IF($P445=0,INDEX('卡片raw data'!X:X,MATCH($D445,'卡片raw data'!$F:$F,)),0)+IF($P445=1,INDEX('卡片raw data'!AA:AA,MATCH($D445,'卡片raw data'!$F:$F,)),0)+IF($P445=2,INDEX('卡片raw data'!AD:AD,MATCH($D445,'卡片raw data'!$F:$F,)),0)+IF($P445=3,INDEX('卡片raw data'!AG:AG,MATCH($D445,'卡片raw data'!$F:$F,)),0)+IF($P445=4,INDEX('卡片raw data'!AJ:AJ,MATCH($D445,'卡片raw data'!$F:$F,)),0)+IF($P445=5,INDEX('卡片raw data'!AM:AM,MATCH($D445,'卡片raw data'!$F:$F,)),0)+INDEX('卡片raw data'!U:U,MATCH($D445,'卡片raw data'!$F:$F,))*(IF($F445="UR",0.04,0.033))*(IF($F445="UR",INDEX(绊状态确认!$S:$S,MATCH($G445,绊状态确认!$B:$B,))/2-40)+IF($F445="SR",INDEX(绊状态确认!$R:$R,MATCH($G445,绊状态确认!$B:$B,))/4-15))+IF($F445="R",INDEX(绊状态确认!$Q:$Q,MATCH($G445,绊状态确认!$B:$B,))/6-40/6)))*(INDEX(绊状态确认!$H:$H,MATCH($G445,绊状态确认!$B:$B,))+INDEX(绊状态确认!L:L,MATCH($G445,绊状态确认!$B:$B,)))</f>
        <v>10793.118095999998</v>
      </c>
      <c r="AO445" s="430">
        <f t="shared" si="536"/>
        <v>1</v>
      </c>
      <c r="AP445" s="556">
        <f>1+(INDEX(绊状态确认!$T:$T,MATCH($G445,绊状态确认!$B:$B,))+0.2)*$AO445</f>
        <v>1.3</v>
      </c>
      <c r="AQ445" s="431">
        <f t="shared" si="537"/>
        <v>43310.094381999996</v>
      </c>
      <c r="AR445" s="420">
        <f>(AM445*(1+$EX$9)+$EX$35)*(1+(INDEX(绊状态确认!$T:$T,MATCH($G445,绊状态确认!$B:$B,))+0.2)*AO445)*IF(J445=$FF$17,1+$FE$17,1)*IF(I445=$FF$14,1+$FE$14,1)</f>
        <v>17947.442774560001</v>
      </c>
      <c r="AS445" s="420">
        <f>(AN445*(1+$EX$10)+$EX$36)*(1+(INDEX(绊状态确认!$T:$T,MATCH($G445,绊状态确认!$B:$B,))+0.2)*AO445)*IF(J445=$FF$17,1+$FE$17,1)*IF(I445=$FF$14,1+$FE$14,1)</f>
        <v>20191.711553519996</v>
      </c>
      <c r="AT445" s="412">
        <f>IF(AND(INDEX('卡片raw data'!AK:AK,MATCH($D445,'卡片raw data'!$F:$F,))&lt;INDEX('卡片raw data'!AM:AM,MATCH($D445,'卡片raw data'!$F:$F,)),INDEX('卡片raw data'!AL:AL,MATCH($D445,'卡片raw data'!$F:$F,))&lt;INDEX('卡片raw data'!AM:AM,MATCH($D445,'卡片raw data'!$F:$F,))),1,0)</f>
        <v>0</v>
      </c>
      <c r="AU445" s="421">
        <f>MIN(AT445*0.15+AS445*0.00003+INDEX(绊状态确认!M:M,MATCH($G445,绊状态确认!$B:$B,)),1)</f>
        <v>0.63575134660559995</v>
      </c>
      <c r="AV445" s="432">
        <f>(INDEX(绊状态确认!$N:$N,MATCH($G445,绊状态确认!$B:$B,))+1.5)*$EW$21</f>
        <v>2.6599999999999997</v>
      </c>
      <c r="AW445" s="424">
        <f t="shared" si="538"/>
        <v>46230.830704675151</v>
      </c>
      <c r="AX445" s="420">
        <f t="shared" si="539"/>
        <v>1557.1028262196908</v>
      </c>
      <c r="AY445" s="433">
        <f t="shared" si="540"/>
        <v>47787.933530894843</v>
      </c>
      <c r="AZ445" s="429">
        <f t="shared" si="541"/>
        <v>32358.927255199997</v>
      </c>
      <c r="BA445" s="431">
        <f t="shared" si="542"/>
        <v>38830.712706239996</v>
      </c>
      <c r="BB445" s="420">
        <f>(AM445*(1+$FB$9)+$FB$35)*(1+(INDEX(绊状态确认!$T:$T,MATCH($G445,绊状态确认!$B:$B,))+0.2)*AO445)*IF(J445=$FF$17,1+$FE$17,1)*IF(I445=$FF$14,1+$FE$14,1)*(1+$FE$15)</f>
        <v>17947.442774560001</v>
      </c>
      <c r="BC445" s="420">
        <f>(AN445*(1+$FB$10)+$FB$36)*(1+(INDEX(绊状态确认!$T:$T,MATCH($G445,绊状态确认!$B:$B,))+0.2)*AO445)*IF(J445=$FF$17,1+$FE$17,1)*IF(I445=$FF$14,1+$FE$14,1)*(1+$FE$15)</f>
        <v>20191.711553519996</v>
      </c>
      <c r="BD445" s="427">
        <f>MIN(AT445*0.15+BC445*0.00003+INDEX(绊状态确认!M:M,MATCH($G445,绊状态确认!$B:$B,)),1)</f>
        <v>0.63575134660559995</v>
      </c>
      <c r="BE445" s="432">
        <f>(INDEX(绊状态确认!$N:$N,MATCH($G445,绊状态确认!$B:$B,))+1.5)</f>
        <v>1.9</v>
      </c>
      <c r="BF445" s="645">
        <f t="array" ref="BF445">SUMPRODUCT(IF(AZ445*AP445*$FI$16:$FI$23*$FA$22&gt;=$FI$24,$FI$24,AZ445*AP445*$FI$16:$FI$23*$FA$22),$FJ$16:$FJ$23)</f>
        <v>58295.300878832801</v>
      </c>
      <c r="BG445" s="453">
        <f t="array" ref="BG445">SUMPRODUCT(IF(BE445*AZ445*AP445*$FI$16:$FI$23*$FA$22&gt;=$FI$24,$FI$24,BE445*AZ445*AP445*$FI$16:$FI$23*$FA$22),$FJ$16:$FJ$23)</f>
        <v>60000</v>
      </c>
      <c r="BH445" s="433">
        <f t="shared" si="543"/>
        <v>19793.021880224074</v>
      </c>
      <c r="BI445" s="434">
        <f>IF(O445="vo",$EW$26/$EW$24*0.05,0)+IF(O445="sk",-$EW$26/$EW$24*(0.05-INDEX(绊状态确认!W:W,MATCH($G445,绊状态确认!$B:$B,)))+0.05*$EW$28,0)+IF(O445="sp",0.05*$EW$32*$EW$30*(1-$EW$33)-(0.05-INDEX(绊状态确认!V:V,MATCH($G445,绊状态确认!$B:$B,)))*$EW$28,0)+IF(O445="gd",-(0.05-INDEX(绊状态确认!X:X,MATCH($G445,绊状态确认!$B:$B,)))*$EW$32*$EW$30*(1-$EW$33),0)</f>
        <v>7726.3029277443748</v>
      </c>
      <c r="BJ445" s="420">
        <f>IF(O445="vo",0.05*(1-$FI$26)*$FA$24,0)+IF(O445="sk",-(0.05-INDEX(绊状态确认!W:W,MATCH($G445,绊状态确认!$B:$B,)))*(1-$FI$26)*$FA$24+0.05*$FA$26,0)+IF(O445="sp",0.05*$FA$32*$FA$27*(1-$FA$33)/$FA$30+0.05*$FA$29/$FA$69*$FA$27*(1-$FA$33)-(0.05-INDEX(绊状态确认!V:V,MATCH($G445,绊状态确认!$B:$B,)))*$FA$26,0)+IF(O445="gd",-(0.05-INDEX(绊状态确认!X:X,MATCH($G445,绊状态确认!$B:$B,)))*$FA$32*$FA$27*(1-$FA$33)/$FA$30-(0.05-INDEX(绊状态确认!X:X,MATCH($G445,绊状态确认!$B:$B,)))*$FA$29/$FA$69*$FA$27*(1-$FA$33),0)</f>
        <v>393.93433687500004</v>
      </c>
      <c r="BK445" s="433">
        <f>IF(O445="vo",$EW$26/$EW$24*0.05+$EW$26*(-HP($EW$62,$EW$65,$EW$64)+HP($EW$62,$EW$65,(1.05-INDEX(绊状态确认!U:U,MATCH($G445,绊状态确认!$B:$B,)))*$EW$64)),0)+IF(O445="sk",-$EW$26/$EW$24*(0.05-INDEX(绊状态确认!W:W,MATCH($G445,绊状态确认!$B:$B,)))+0.05*$EW$29,0)+IF(O445="sp",0.05*$EW$32*$EW$30*(1-$EW$33)-(0.05-INDEX(绊状态确认!V:V,MATCH($G445,绊状态确认!$B:$B,)))*$EW$29,0)+IF(O445="gd",-(0.05-INDEX(绊状态确认!X:X,MATCH($G445,绊状态确认!$B:$B,)))*$EW$32*$EW$30*(1-$EW$33)+$EW$26*(-HP($EW$62,$EW$65,$EW$64)+HP($EW$62,$EW$65,0.95*$EW$64)),0)</f>
        <v>6421.6344775026746</v>
      </c>
      <c r="BL445" s="434">
        <f t="shared" si="544"/>
        <v>0</v>
      </c>
      <c r="BM445" s="433">
        <f t="shared" si="545"/>
        <v>0</v>
      </c>
      <c r="BN445" s="437">
        <f t="shared" si="546"/>
        <v>3</v>
      </c>
      <c r="BO445" s="1108">
        <f t="shared" si="547"/>
        <v>4507.7214871259994</v>
      </c>
      <c r="BP445" s="1100">
        <f t="shared" si="548"/>
        <v>221.34103209030098</v>
      </c>
      <c r="BQ445" s="1113" t="s">
        <v>132</v>
      </c>
      <c r="BR445" s="450" t="s">
        <v>168</v>
      </c>
      <c r="BS445" s="421">
        <f>IF($P445="","N/A",IF($P445=-1,INDEX('卡片raw data'!AX:AX,MATCH($D445,'卡片raw data'!$F:$F,)),0)+IF($L445="party卡",IF($P445=5,INDEX('卡片raw data'!BD:BD,MATCH($D445,'卡片raw data'!$F:$F,)),IF($P445&gt;=3,INDEX('卡片raw data'!BC:BC,MATCH($D445,'卡片raw data'!$F:$F,)),INDEX('卡片raw data'!BB:BB,MATCH($D445,'卡片raw data'!$F:$F,)))),IF(OR(AND($F445="UR",$P445=0),AND($F445="SR",$P445&gt;=0,$P445&lt;=2),AND($F445="R",$P445&gt;=0,$P445&lt;4)),INDEX('卡片raw data'!AZ:AZ,MATCH($D445,'卡片raw data'!$F:$F,)),0)+IF(OR(AND($F445="UR",$P445&gt;=1,$P445&lt;=4),AND($F445="SR",$P445&lt;=4,$P445&gt;=3),AND($F445="R",$P445=4)),INDEX('卡片raw data'!BA:BA,MATCH($D445,'卡片raw data'!$F:$F,)),0)+IF($P445=5,INDEX('卡片raw data'!BB:BB,MATCH($D445,'卡片raw data'!$F:$F,)),0)))</f>
        <v>7.0000000000000007E-2</v>
      </c>
      <c r="BT445" s="424">
        <f t="shared" si="549"/>
        <v>5259.008401647</v>
      </c>
      <c r="BU445" s="420">
        <f t="shared" si="550"/>
        <v>258.2312041053512</v>
      </c>
      <c r="BV445" s="420">
        <f t="shared" si="551"/>
        <v>0</v>
      </c>
      <c r="BW445" s="436">
        <f t="shared" si="552"/>
        <v>0</v>
      </c>
      <c r="BX445" s="423">
        <f t="shared" si="553"/>
        <v>5259.008401647</v>
      </c>
      <c r="BY445" s="433">
        <f t="shared" si="554"/>
        <v>0</v>
      </c>
      <c r="BZ445" s="1113" t="s">
        <v>569</v>
      </c>
      <c r="CA445" s="450"/>
      <c r="CB445" s="421">
        <f>IF($P445="","N/A",IF($P445=-1,INDEX('卡片raw data'!BE:BE,MATCH($D445,'卡片raw data'!$F:$F,)),0)+IF($L445="party卡",IF($P445=5,INDEX('卡片raw data'!BK:BK,MATCH($D445,'卡片raw data'!$F:$F,)),IF($P445&gt;=3,INDEX('卡片raw data'!BJ:BJ,MATCH($D445,'卡片raw data'!$F:$F,)),INDEX('卡片raw data'!BI:BI,MATCH($D445,'卡片raw data'!$F:$F,)))),IF(OR(AND($F445="UR",$P445=0),AND($F445="SR",$P445&gt;=0,$P445&lt;=2),AND($F445="R",$P445&gt;=0,$P445&lt;4)),INDEX('卡片raw data'!BG:BG,MATCH($D445,'卡片raw data'!$F:$F,)),0)+IF(OR(AND($F445="UR",$P445&gt;=1,$P445&lt;=4),AND($F445="SR",$P445&lt;=4,$P445&gt;=3),AND($F445="R",$P445=4)),INDEX('卡片raw data'!BH:BH,MATCH($D445,'卡片raw data'!$F:$F,)),0)+IF($P445=5,INDEX('卡片raw data'!BI:BI,MATCH($D445,'卡片raw data'!$F:$F,)),0)))</f>
        <v>0</v>
      </c>
      <c r="CC445" s="424">
        <f t="shared" si="555"/>
        <v>0</v>
      </c>
      <c r="CD445" s="420">
        <f>IF(BZ445="ap",CB445*(1-$FI$26)*$FB$5/$FB$11*(+IF(CA445="全员",$FA$24,0)+IF(CA445="同作战",$FA$24,0)+IF(CA445="仲间",$FA$24*2/3,0)+IF(CA445="同属性",$FA$24*$FA$37/3,0)+IF(CA445="同年级",$FA$24*$FA$40/3,0)+IF(CA445="同学校",$FA$24*$FA$43/3,0)+IF(CA445="同小队",$FA$24*$FA$46/3,0)+IF(CA445="同type",$FA$24*INDEX($FB$49:$FB$52,MATCH(X445,$FA$49:$FA$52,))/3,0)+IF(CA445="自身",#REF!/3,0)),0)+IF(BZ445="te",CB445*(1-$FI$27)*($FA$20-1)*$FB$7/$FB$13*(+IF(CA445="全员",$FA$19*$FA$24/(1+($FA$20-1)*$FA$19),0)+IF(CA445="同作战",$FA$19*$FA$24/(1+($FA$20-1)*$FA$19),0)+IF(CA445="仲间",$FA$19*$FA$24*2/3/(1+($FA$20-1)*$FA$19),0)+IF(CA445="同属性",$FA$19*$FA$24*$FA$37/3/(1+($FA$20-1)*$FA$19),0)+IF(CA445="同年级",$FA$19*$FA$24*$FA$40/3/(1+($FA$20-1)*$FA$19),0)+IF(CA445="同学校",$FA$19*$FA$24*$FA$43/3/(1+($FA$20-1)*$FA$19),0)+IF(CA445="同小队",$FA$19*$FA$24*$FA$46/3/(1+($FA$20-1)*$FA$19),0)+IF(CA445="同type",$FA$19*$FA$24*INDEX($FB$49:$FB$52,MATCH(X445,$FA$49:$FA$52,))/3/(1+($FA$20-1)*$FA$19),0)+IF(CA445="自身",$FA$19*#REF!/3/(1+(BH445-1)*$BD445),0)),0)</f>
        <v>0</v>
      </c>
      <c r="CE445" s="420">
        <f t="shared" si="556"/>
        <v>0</v>
      </c>
      <c r="CF445" s="436">
        <f t="shared" si="557"/>
        <v>0</v>
      </c>
      <c r="CG445" s="423">
        <f t="shared" si="558"/>
        <v>0</v>
      </c>
      <c r="CH445" s="433">
        <f t="shared" si="559"/>
        <v>0</v>
      </c>
      <c r="CI445" s="437" t="s">
        <v>164</v>
      </c>
      <c r="CJ445" s="438">
        <v>1</v>
      </c>
      <c r="CK445" s="439" t="s">
        <v>2160</v>
      </c>
      <c r="CL445" s="439" t="s">
        <v>2075</v>
      </c>
      <c r="CM445" s="1119">
        <v>0.15</v>
      </c>
      <c r="CN445" s="1115">
        <v>5</v>
      </c>
      <c r="CO445" s="1115"/>
      <c r="CP445" s="1118">
        <f t="shared" si="560"/>
        <v>1.0714285714285713E-2</v>
      </c>
      <c r="CQ445" s="1118">
        <f t="shared" si="561"/>
        <v>1.4583333333333335E-2</v>
      </c>
      <c r="CR445" s="1118">
        <f t="shared" si="562"/>
        <v>5.3571428571428563E-3</v>
      </c>
      <c r="CS445" s="442">
        <f t="shared" si="563"/>
        <v>8.8975694444444441E-3</v>
      </c>
      <c r="CT445" s="432">
        <f t="shared" si="564"/>
        <v>0</v>
      </c>
      <c r="CU445" s="1101">
        <f t="shared" si="565"/>
        <v>454.54545454545445</v>
      </c>
      <c r="CV445" s="1108">
        <f t="shared" si="566"/>
        <v>331.43939393939399</v>
      </c>
      <c r="CW445" s="420">
        <f t="shared" si="567"/>
        <v>227.27272727272722</v>
      </c>
      <c r="CX445" s="420">
        <f t="shared" si="568"/>
        <v>454.54545454545445</v>
      </c>
      <c r="CY445" s="433">
        <f t="shared" si="569"/>
        <v>227.27272727272722</v>
      </c>
      <c r="CZ445" s="437"/>
      <c r="DA445" s="438"/>
      <c r="DB445" s="439" t="s">
        <v>569</v>
      </c>
      <c r="DC445" s="439"/>
      <c r="DD445" s="443"/>
      <c r="DE445" s="411"/>
      <c r="DF445" s="411"/>
      <c r="DG445" s="1116">
        <f t="shared" si="570"/>
        <v>0</v>
      </c>
      <c r="DH445" s="1116">
        <f t="shared" si="571"/>
        <v>0</v>
      </c>
      <c r="DI445" s="1116">
        <f t="shared" si="572"/>
        <v>0</v>
      </c>
      <c r="DJ445" s="442">
        <f t="shared" si="573"/>
        <v>0</v>
      </c>
      <c r="DK445" s="432">
        <f t="shared" si="574"/>
        <v>0</v>
      </c>
      <c r="DL445" s="424">
        <f t="shared" si="575"/>
        <v>0</v>
      </c>
      <c r="DM445" s="420">
        <f t="shared" si="576"/>
        <v>0</v>
      </c>
      <c r="DN445" s="420">
        <f t="shared" si="577"/>
        <v>0</v>
      </c>
      <c r="DO445" s="420">
        <f t="shared" si="578"/>
        <v>0</v>
      </c>
      <c r="DP445" s="433">
        <f t="shared" si="579"/>
        <v>0</v>
      </c>
      <c r="DQ445" s="437" t="s">
        <v>545</v>
      </c>
      <c r="DR445" s="444">
        <f t="shared" si="580"/>
        <v>0.33</v>
      </c>
      <c r="DS445" s="450"/>
      <c r="DT445" s="1093" t="s">
        <v>132</v>
      </c>
      <c r="DU445" s="1093"/>
      <c r="DV445" s="1098">
        <f>IF($P445="","N/A",IF(P445=-1,INDEX('卡片raw data'!AN:AN,MATCH(D445,'卡片raw data'!$F:$F,)),0)+IF(AND(L445&lt;&gt;"party卡",P445&lt;=2,P445&gt;=0),INDEX('卡片raw data'!AP:AP,MATCH(D445,'卡片raw data'!$F:$F,)),0)+IF(OR(AND(L445="party卡",P445&lt;=1),AND(P445&lt;=4,L445&lt;&gt;"party卡",P445&gt;=3)),INDEX('卡片raw data'!AQ:AQ,MATCH(D445,'卡片raw data'!$F:$F,)),0)+IF(OR(P445=5,AND(L445="party卡",P445&gt;=2)),INDEX('卡片raw data'!AR:AR,MATCH(D445,'卡片raw data'!$F:$F,)),0))</f>
        <v>0.37</v>
      </c>
      <c r="DW445" s="1098">
        <f t="shared" si="581"/>
        <v>0.33</v>
      </c>
      <c r="DX445" s="1098">
        <f t="shared" si="582"/>
        <v>0.33</v>
      </c>
      <c r="DY445" s="1097">
        <f t="shared" si="583"/>
        <v>2291.53709375162</v>
      </c>
      <c r="DZ445" s="1097">
        <f t="shared" si="584"/>
        <v>1777.1710530333921</v>
      </c>
      <c r="EA445" s="421">
        <f t="shared" si="585"/>
        <v>0</v>
      </c>
      <c r="EB445" s="445">
        <f t="shared" si="586"/>
        <v>0</v>
      </c>
      <c r="EC445" s="424">
        <f t="shared" si="587"/>
        <v>2520.6908031267822</v>
      </c>
      <c r="ED445" s="420">
        <f t="shared" si="588"/>
        <v>1777.1710530333921</v>
      </c>
      <c r="EE445" s="433">
        <f t="shared" si="598"/>
        <v>2520.6908031267822</v>
      </c>
      <c r="EF445" s="1115" t="s">
        <v>569</v>
      </c>
      <c r="EG445" s="444">
        <f t="shared" si="589"/>
        <v>0.33</v>
      </c>
      <c r="EH445" s="450"/>
      <c r="EI445" s="1093"/>
      <c r="EJ445" s="1093"/>
      <c r="EK445" s="420">
        <f>IF($P445="","N/A",IF(P445=-1,INDEX('卡片raw data'!AS:AS,MATCH(D445,'卡片raw data'!$F:$F,)),0)+IF(AND(L445&lt;&gt;"party卡",P445&lt;=2,P445&gt;=0),INDEX('卡片raw data'!AU:AU,MATCH(D445,'卡片raw data'!$F:$F,)),0)+IF(OR(AND(L445="party卡",P445&lt;=1),AND(P445&lt;=4,L445&lt;&gt;"party卡",P445&gt;=3)),INDEX('卡片raw data'!AV:AV,MATCH(D445,'卡片raw data'!$F:$F,)),0)+IF(OR(P445=5,AND(L445="party卡",P445&gt;=2)),INDEX('卡片raw data'!AW:AW,MATCH(D445,'卡片raw data'!$F:$F,)),0))</f>
        <v>0</v>
      </c>
      <c r="EL445" s="1098">
        <f t="shared" si="590"/>
        <v>0.33</v>
      </c>
      <c r="EM445" s="1098">
        <f t="shared" si="591"/>
        <v>0.33</v>
      </c>
      <c r="EN445" s="1097">
        <f t="shared" si="592"/>
        <v>0</v>
      </c>
      <c r="EO445" s="1097">
        <f t="shared" si="593"/>
        <v>0</v>
      </c>
      <c r="EP445" s="421">
        <f t="shared" si="594"/>
        <v>0</v>
      </c>
      <c r="EQ445" s="445">
        <f t="shared" si="595"/>
        <v>0</v>
      </c>
      <c r="ER445" s="424">
        <f t="shared" si="596"/>
        <v>0</v>
      </c>
      <c r="ES445" s="420">
        <f t="shared" si="597"/>
        <v>0</v>
      </c>
      <c r="ET445" s="446">
        <f t="shared" si="599"/>
        <v>0</v>
      </c>
    </row>
    <row r="446" spans="2:150" ht="16.5" customHeight="1">
      <c r="B446" s="448" t="str">
        <f>INDEX('卡片raw data'!B:B,MATCH($D446,'卡片raw data'!$F:$F,))</f>
        <v>jb霞</v>
      </c>
      <c r="C446" s="449" t="s">
        <v>2636</v>
      </c>
      <c r="D446" s="408">
        <v>443</v>
      </c>
      <c r="E446" s="477">
        <v>402022005</v>
      </c>
      <c r="F446" s="409" t="str">
        <f>INDEX('卡片raw data'!C:C,MATCH($D446,'卡片raw data'!$F:$F,))</f>
        <v>SR</v>
      </c>
      <c r="G446" s="1094" t="s">
        <v>2637</v>
      </c>
      <c r="H446" s="411">
        <f>IFERROR(INDEX(绊状态确认!C:C,MATCH($G446,绊状态确认!$B:$B,)),"")</f>
        <v>202</v>
      </c>
      <c r="I446" s="450" t="str">
        <f>IFERROR(INDEX(绊状态确认!D:D,MATCH($G446,绊状态确认!$B:$B,)),"")</f>
        <v>虹</v>
      </c>
      <c r="J446" s="450" t="str">
        <f>IFERROR(INDEX(绊状态确认!E:E,MATCH($G446,绊状态确认!$B:$B,)),"")</f>
        <v>1年级</v>
      </c>
      <c r="K446" s="451" t="str">
        <f>IFERROR(INDEX(绊状态确认!F:F,MATCH($G446,绊状态确认!$B:$B,)),"")</f>
        <v>QU4RTZ</v>
      </c>
      <c r="L446" s="414" t="str">
        <f>INDEX('卡片raw data'!E:E,MATCH($D446,'卡片raw data'!$F:$F,))</f>
        <v>卡池卡</v>
      </c>
      <c r="M446" s="478">
        <v>44305</v>
      </c>
      <c r="N446" s="479">
        <v>38</v>
      </c>
      <c r="O446" s="410" t="str">
        <f>INDEX('卡片raw data'!D:D,MATCH($D446,'卡片raw data'!$F:$F,))</f>
        <v>vo</v>
      </c>
      <c r="P446" s="1126">
        <v>5</v>
      </c>
      <c r="Q446" s="418">
        <f t="shared" si="515"/>
        <v>43370.144780285176</v>
      </c>
      <c r="R446" s="419">
        <f t="shared" si="516"/>
        <v>0.504</v>
      </c>
      <c r="S446" s="420">
        <f t="shared" si="517"/>
        <v>18175.021365235345</v>
      </c>
      <c r="T446" s="421">
        <f t="shared" si="518"/>
        <v>0.90800000000000003</v>
      </c>
      <c r="U446" s="422">
        <f t="shared" si="519"/>
        <v>-14.436376283547142</v>
      </c>
      <c r="V446" s="423">
        <f t="shared" si="520"/>
        <v>42905.721588293411</v>
      </c>
      <c r="W446" s="424">
        <f t="shared" si="521"/>
        <v>4616.9955547157933</v>
      </c>
      <c r="X446" s="419">
        <f t="shared" si="522"/>
        <v>5.2999999999999999E-2</v>
      </c>
      <c r="Y446" s="420">
        <f t="shared" si="523"/>
        <v>840.2452582499327</v>
      </c>
      <c r="Z446" s="425">
        <f t="shared" si="524"/>
        <v>10.563623716452858</v>
      </c>
      <c r="AA446" s="426">
        <f t="shared" si="525"/>
        <v>5457.240812965726</v>
      </c>
      <c r="AB446" s="424">
        <f t="shared" si="526"/>
        <v>8373.430127320793</v>
      </c>
      <c r="AC446" s="427">
        <f t="shared" si="527"/>
        <v>9.7000000000000003E-2</v>
      </c>
      <c r="AD446" s="428">
        <f t="shared" si="528"/>
        <v>-3.8207812500000026E-3</v>
      </c>
      <c r="AE446" s="516">
        <f t="shared" si="529"/>
        <v>-12.27536231884058</v>
      </c>
      <c r="AF446" s="1130">
        <f t="shared" si="530"/>
        <v>0</v>
      </c>
      <c r="AG446" s="420">
        <f t="shared" si="531"/>
        <v>0</v>
      </c>
      <c r="AH446" s="420">
        <f t="shared" si="532"/>
        <v>0</v>
      </c>
      <c r="AI446" s="1097">
        <f t="shared" si="533"/>
        <v>0</v>
      </c>
      <c r="AJ446" s="420">
        <f t="shared" si="534"/>
        <v>0</v>
      </c>
      <c r="AK446" s="518">
        <f t="shared" si="535"/>
        <v>0</v>
      </c>
      <c r="AL446" s="1106">
        <f>IF($P446="","N/A",(IF($P446=-1,INDEX('卡片raw data'!S:S,MATCH($D446,'卡片raw data'!$F:$F,)),0)+IF($P446=0,INDEX('卡片raw data'!V:V,MATCH($D446,'卡片raw data'!$F:$F,)),0)+IF($P446=1,INDEX('卡片raw data'!Y:Y,MATCH($D446,'卡片raw data'!$F:$F,)),0)+IF($P446=2,INDEX('卡片raw data'!AB:AB,MATCH($D446,'卡片raw data'!$F:$F,)),0)+IF($P446=3,INDEX('卡片raw data'!AE:AE,MATCH($D446,'卡片raw data'!$F:$F,)),0)+IF($P446=4,INDEX('卡片raw data'!AH:AH,MATCH($D446,'卡片raw data'!$F:$F,)),0)+IF($P446=5,INDEX('卡片raw data'!AK:AK,MATCH($D446,'卡片raw data'!$F:$F,)),0)+INDEX('卡片raw data'!S:S,MATCH($D446,'卡片raw data'!$F:$F,))*(IF($F446="UR",0.04,0.033))*(IF($F446="UR",INDEX(绊状态确认!$S:$S,MATCH($G446,绊状态确认!$B:$B,))/2-40)+IF($F446="SR",INDEX(绊状态确认!$R:$R,MATCH($G446,绊状态确认!$B:$B,))/4-15))+IF($F446="R",INDEX(绊状态确认!$Q:$Q,MATCH($G446,绊状态确认!$B:$B,))/6-40/6)))*(INDEX(绊状态确认!$H:$H,MATCH($G446,绊状态确认!$B:$B,))+INDEX(绊状态确认!J:J,MATCH($G446,绊状态确认!$B:$B,)))</f>
        <v>9347.5922952000001</v>
      </c>
      <c r="AM446" s="1106">
        <f>IF($P446="","N/A",(IF($P446=-1,INDEX('卡片raw data'!T:T,MATCH($D446,'卡片raw data'!$F:$F,)),0)+IF($P446=0,INDEX('卡片raw data'!W:W,MATCH($D446,'卡片raw data'!$F:$F,)),0)+IF($P446=1,INDEX('卡片raw data'!Z:Z,MATCH($D446,'卡片raw data'!$F:$F,)),0)+IF($P446=2,INDEX('卡片raw data'!AC:AC,MATCH($D446,'卡片raw data'!$F:$F,)),0)+IF($P446=3,INDEX('卡片raw data'!AF:AF,MATCH($D446,'卡片raw data'!$F:$F,)),0)+IF($P446=4,INDEX('卡片raw data'!AI:AI,MATCH($D446,'卡片raw data'!$F:$F,)),0)+IF($P446=5,INDEX('卡片raw data'!AL:AL,MATCH($D446,'卡片raw data'!$F:$F,)),0)+INDEX('卡片raw data'!T:T,MATCH($D446,'卡片raw data'!$F:$F,))*(IF($F446="UR",0.04,0.033))*(IF($F446="UR",INDEX(绊状态确认!$S:$S,MATCH($G446,绊状态确认!$B:$B,))/2-40)+IF($F446="SR",INDEX(绊状态确认!$R:$R,MATCH($G446,绊状态确认!$B:$B,))/4-15))+IF($F446="R",INDEX(绊状态确认!$Q:$Q,MATCH($G446,绊状态确认!$B:$B,))/6-40/6)))*(INDEX(绊状态确认!$H:$H,MATCH($G446,绊状态确认!$B:$B,))+INDEX(绊状态确认!K:K,MATCH($G446,绊状态确认!$B:$B,)))</f>
        <v>5242.0381943999992</v>
      </c>
      <c r="AN446" s="1106">
        <f>IF($P446="","N/A",(IF($P446=-1,INDEX('卡片raw data'!U:U,MATCH($D446,'卡片raw data'!$F:$F,)),0)+IF($P446=0,INDEX('卡片raw data'!X:X,MATCH($D446,'卡片raw data'!$F:$F,)),0)+IF($P446=1,INDEX('卡片raw data'!AA:AA,MATCH($D446,'卡片raw data'!$F:$F,)),0)+IF($P446=2,INDEX('卡片raw data'!AD:AD,MATCH($D446,'卡片raw data'!$F:$F,)),0)+IF($P446=3,INDEX('卡片raw data'!AG:AG,MATCH($D446,'卡片raw data'!$F:$F,)),0)+IF($P446=4,INDEX('卡片raw data'!AJ:AJ,MATCH($D446,'卡片raw data'!$F:$F,)),0)+IF($P446=5,INDEX('卡片raw data'!AM:AM,MATCH($D446,'卡片raw data'!$F:$F,)),0)+INDEX('卡片raw data'!U:U,MATCH($D446,'卡片raw data'!$F:$F,))*(IF($F446="UR",0.04,0.033))*(IF($F446="UR",INDEX(绊状态确认!$S:$S,MATCH($G446,绊状态确认!$B:$B,))/2-40)+IF($F446="SR",INDEX(绊状态确认!$R:$R,MATCH($G446,绊状态确认!$B:$B,))/4-15))+IF($F446="R",INDEX(绊状态确认!$Q:$Q,MATCH($G446,绊状态确认!$B:$B,))/6-40/6)))*(INDEX(绊状态确认!$H:$H,MATCH($G446,绊状态确认!$B:$B,))+INDEX(绊状态确认!L:L,MATCH($G446,绊状态确认!$B:$B,)))</f>
        <v>8207.6990015999982</v>
      </c>
      <c r="AO446" s="1107">
        <f t="shared" si="536"/>
        <v>1</v>
      </c>
      <c r="AP446" s="1131">
        <f>1+(INDEX(绊状态确认!$T:$T,MATCH($G446,绊状态确认!$B:$B,))+0.2)*$AO446</f>
        <v>1.3</v>
      </c>
      <c r="AQ446" s="1108">
        <f t="shared" si="537"/>
        <v>27787.429774900003</v>
      </c>
      <c r="AR446" s="1097">
        <f>(AM446*(1+$EX$9)+$EX$35)*(1+(INDEX(绊状态确认!$T:$T,MATCH($G446,绊状态确认!$B:$B,))+0.2)*AO446)*IF(J446=$FF$17,1+$FE$17,1)*IF(I446=$FF$14,1+$FE$14,1)</f>
        <v>9859.3821353559997</v>
      </c>
      <c r="AS446" s="1097">
        <f>(AN446*(1+$EX$10)+$EX$36)*(1+(INDEX(绊状态确认!$T:$T,MATCH($G446,绊状态确认!$B:$B,))+0.2)*AO446)*IF(J446=$FF$17,1+$FE$17,1)*IF(I446=$FF$14,1+$FE$14,1)</f>
        <v>16326.510007391997</v>
      </c>
      <c r="AT446" s="1093">
        <f>IF(AND(INDEX('卡片raw data'!AK:AK,MATCH($D446,'卡片raw data'!$F:$F,))&lt;INDEX('卡片raw data'!AM:AM,MATCH($D446,'卡片raw data'!$F:$F,)),INDEX('卡片raw data'!AL:AL,MATCH($D446,'卡片raw data'!$F:$F,))&lt;INDEX('卡片raw data'!AM:AM,MATCH($D446,'卡片raw data'!$F:$F,))),1,0)</f>
        <v>0</v>
      </c>
      <c r="AU446" s="1098">
        <f>MIN(AT446*0.15+AS446*0.00003+INDEX(绊状态确认!M:M,MATCH($G446,绊状态确认!$B:$B,)),1)</f>
        <v>0.5197953002217599</v>
      </c>
      <c r="AV446" s="1109">
        <f>(INDEX(绊状态确认!$N:$N,MATCH($G446,绊状态确认!$B:$B,))+1.5)*$EW$21</f>
        <v>2.6599999999999997</v>
      </c>
      <c r="AW446" s="1101">
        <f t="shared" si="538"/>
        <v>26883.51214916338</v>
      </c>
      <c r="AX446" s="1097">
        <f t="shared" si="539"/>
        <v>840.24525824993259</v>
      </c>
      <c r="AY446" s="1110">
        <f t="shared" si="540"/>
        <v>27723.757407413312</v>
      </c>
      <c r="AZ446" s="429">
        <f t="shared" si="541"/>
        <v>20827.80497564</v>
      </c>
      <c r="BA446" s="431">
        <f t="shared" si="542"/>
        <v>24993.365970767998</v>
      </c>
      <c r="BB446" s="1097">
        <f>(AM446*(1+$FB$9)+$FB$35)*(1+(INDEX(绊状态确认!$T:$T,MATCH($G446,绊状态确认!$B:$B,))+0.2)*AO446)*IF(J446=$FF$17,1+$FE$17,1)*IF(I446=$FF$14,1+$FE$14,1)*(1+$FE$15)</f>
        <v>9859.3821353559997</v>
      </c>
      <c r="BC446" s="1097">
        <f>(AN446*(1+$FB$10)+$FB$36)*(1+(INDEX(绊状态确认!$T:$T,MATCH($G446,绊状态确认!$B:$B,))+0.2)*AO446)*IF(J446=$FF$17,1+$FE$17,1)*IF(I446=$FF$14,1+$FE$14,1)*(1+$FE$15)</f>
        <v>16326.510007391997</v>
      </c>
      <c r="BD446" s="1104">
        <f>MIN(AT446*0.15+BC446*0.00003+INDEX(绊状态确认!M:M,MATCH($G446,绊状态确认!$B:$B,)),1)</f>
        <v>0.5197953002217599</v>
      </c>
      <c r="BE446" s="432">
        <f>(INDEX(绊状态确认!$N:$N,MATCH($G446,绊状态确认!$B:$B,))+1.5)</f>
        <v>1.9</v>
      </c>
      <c r="BF446" s="1139">
        <f t="array" ref="BF446">SUMPRODUCT(IF(AZ446*AP446*$FI$16:$FI$23*$FA$22&gt;=$FI$24,$FI$24,AZ446*AP446*$FI$16:$FI$23*$FA$22),$FJ$16:$FJ$23)</f>
        <v>41426.504096547957</v>
      </c>
      <c r="BG446" s="1125">
        <f t="array" ref="BG446">SUMPRODUCT(IF(BE446*AZ446*AP446*$FI$16:$FI$23*$FA$22&gt;=$FI$24,$FI$24,BE446*AZ446*AP446*$FI$16:$FI$23*$FA$22),$FJ$16:$FJ$23)</f>
        <v>60000</v>
      </c>
      <c r="BH446" s="1110">
        <f t="shared" si="543"/>
        <v>17026.973325283481</v>
      </c>
      <c r="BI446" s="1111">
        <f>IF(O446="vo",$EW$26/$EW$24*0.05,0)+IF(O446="sk",-$EW$26/$EW$24*(0.05-INDEX(绊状态确认!W:W,MATCH($G446,绊状态确认!$B:$B,)))+0.05*$EW$28,0)+IF(O446="sp",0.05*$EW$32*$EW$30*(1-$EW$33)-(0.05-INDEX(绊状态确认!V:V,MATCH($G446,绊状态确认!$B:$B,)))*$EW$28,0)+IF(O446="gd",-(0.05-INDEX(绊状态确认!X:X,MATCH($G446,绊状态确认!$B:$B,)))*$EW$32*$EW$30*(1-$EW$33),0)</f>
        <v>7726.3029277443748</v>
      </c>
      <c r="BJ446" s="420">
        <f>IF(O446="vo",0.05*(1-$FI$26)*$FA$24,0)+IF(O446="sk",-(0.05-INDEX(绊状态确认!W:W,MATCH($G446,绊状态确认!$B:$B,)))*(1-$FI$26)*$FA$24+0.05*$FA$26,0)+IF(O446="sp",0.05*$FA$32*$FA$27*(1-$FA$33)/$FA$30+0.05*$FA$29/$FA$69*$FA$27*(1-$FA$33)-(0.05-INDEX(绊状态确认!V:V,MATCH($G446,绊状态确认!$B:$B,)))*$FA$26,0)+IF(O446="gd",-(0.05-INDEX(绊状态确认!X:X,MATCH($G446,绊状态确认!$B:$B,)))*$FA$32*$FA$27*(1-$FA$33)/$FA$30-(0.05-INDEX(绊状态确认!X:X,MATCH($G446,绊状态确认!$B:$B,)))*$FA$29/$FA$69*$FA$27*(1-$FA$33),0)</f>
        <v>393.93433687500004</v>
      </c>
      <c r="BK446" s="1110">
        <f>IF(O446="vo",$EW$26/$EW$24*0.05+$EW$26*(-HP($EW$62,$EW$65,$EW$64)+HP($EW$62,$EW$65,(1.05-INDEX(绊状态确认!U:U,MATCH($G446,绊状态确认!$B:$B,)))*$EW$64)),0)+IF(O446="sk",-$EW$26/$EW$24*(0.05-INDEX(绊状态确认!W:W,MATCH($G446,绊状态确认!$B:$B,)))+0.05*$EW$29,0)+IF(O446="sp",0.05*$EW$32*$EW$30*(1-$EW$33)-(0.05-INDEX(绊状态确认!V:V,MATCH($G446,绊状态确认!$B:$B,)))*$EW$29,0)+IF(O446="gd",-(0.05-INDEX(绊状态确认!X:X,MATCH($G446,绊状态确认!$B:$B,)))*$EW$32*$EW$30*(1-$EW$33)+$EW$26*(-HP($EW$62,$EW$65,$EW$64)+HP($EW$62,$EW$65,0.95*$EW$64)),0)</f>
        <v>6421.6344775026746</v>
      </c>
      <c r="BL446" s="1111">
        <f t="shared" si="544"/>
        <v>-1083.3333333333333</v>
      </c>
      <c r="BM446" s="1110">
        <f t="shared" si="545"/>
        <v>-830.55555555555543</v>
      </c>
      <c r="BN446" s="1113">
        <f t="shared" si="546"/>
        <v>3</v>
      </c>
      <c r="BO446" s="1108">
        <f t="shared" si="547"/>
        <v>4507.7214871259994</v>
      </c>
      <c r="BP446" s="1100">
        <f t="shared" si="548"/>
        <v>221.34103209030098</v>
      </c>
      <c r="BQ446" s="1113" t="s">
        <v>132</v>
      </c>
      <c r="BR446" s="1124" t="s">
        <v>168</v>
      </c>
      <c r="BS446" s="421">
        <f>IF($P446="","N/A",IF($P446=-1,INDEX('卡片raw data'!AX:AX,MATCH($D446,'卡片raw data'!$F:$F,)),0)+IF($L446="party卡",IF($P446=5,INDEX('卡片raw data'!BD:BD,MATCH($D446,'卡片raw data'!$F:$F,)),IF($P446&gt;=3,INDEX('卡片raw data'!BC:BC,MATCH($D446,'卡片raw data'!$F:$F,)),INDEX('卡片raw data'!BB:BB,MATCH($D446,'卡片raw data'!$F:$F,)))),IF(OR(AND($F446="UR",$P446=0),AND($F446="SR",$P446&gt;=0,$P446&lt;=2),AND($F446="R",$P446&gt;=0,$P446&lt;4)),INDEX('卡片raw data'!AZ:AZ,MATCH($D446,'卡片raw data'!$F:$F,)),0)+IF(OR(AND($F446="UR",$P446&gt;=1,$P446&lt;=4),AND($F446="SR",$P446&lt;=4,$P446&gt;=3),AND($F446="R",$P446=4)),INDEX('卡片raw data'!BA:BA,MATCH($D446,'卡片raw data'!$F:$F,)),0)+IF($P446=5,INDEX('卡片raw data'!BB:BB,MATCH($D446,'卡片raw data'!$F:$F,)),0)))</f>
        <v>0.05</v>
      </c>
      <c r="BT446" s="424">
        <f t="shared" si="549"/>
        <v>3756.4345726050001</v>
      </c>
      <c r="BU446" s="420">
        <f t="shared" si="550"/>
        <v>184.45086007525089</v>
      </c>
      <c r="BV446" s="420">
        <f t="shared" si="551"/>
        <v>0</v>
      </c>
      <c r="BW446" s="436">
        <f t="shared" si="552"/>
        <v>0</v>
      </c>
      <c r="BX446" s="423">
        <f t="shared" si="553"/>
        <v>3756.4345726050001</v>
      </c>
      <c r="BY446" s="433">
        <f t="shared" si="554"/>
        <v>0</v>
      </c>
      <c r="BZ446" s="1113" t="s">
        <v>569</v>
      </c>
      <c r="CA446" s="450"/>
      <c r="CB446" s="421">
        <f>IF($P446="","N/A",IF($P446=-1,INDEX('卡片raw data'!BE:BE,MATCH($D446,'卡片raw data'!$F:$F,)),0)+IF($L446="party卡",IF($P446=5,INDEX('卡片raw data'!BK:BK,MATCH($D446,'卡片raw data'!$F:$F,)),IF($P446&gt;=3,INDEX('卡片raw data'!BJ:BJ,MATCH($D446,'卡片raw data'!$F:$F,)),INDEX('卡片raw data'!BI:BI,MATCH($D446,'卡片raw data'!$F:$F,)))),IF(OR(AND($F446="UR",$P446=0),AND($F446="SR",$P446&gt;=0,$P446&lt;=2),AND($F446="R",$P446&gt;=0,$P446&lt;4)),INDEX('卡片raw data'!BG:BG,MATCH($D446,'卡片raw data'!$F:$F,)),0)+IF(OR(AND($F446="UR",$P446&gt;=1,$P446&lt;=4),AND($F446="SR",$P446&lt;=4,$P446&gt;=3),AND($F446="R",$P446=4)),INDEX('卡片raw data'!BH:BH,MATCH($D446,'卡片raw data'!$F:$F,)),0)+IF($P446=5,INDEX('卡片raw data'!BI:BI,MATCH($D446,'卡片raw data'!$F:$F,)),0)))</f>
        <v>0</v>
      </c>
      <c r="CC446" s="424">
        <f t="shared" si="555"/>
        <v>0</v>
      </c>
      <c r="CD446" s="420">
        <f>IF(BZ446="ap",CB446*(1-$FI$26)*$FB$5/$FB$11*(+IF(CA446="全员",$FA$24,0)+IF(CA446="同作战",$FA$24,0)+IF(CA446="仲间",$FA$24*2/3,0)+IF(CA446="同属性",$FA$24*$FA$37/3,0)+IF(CA446="同年级",$FA$24*$FA$40/3,0)+IF(CA446="同学校",$FA$24*$FA$43/3,0)+IF(CA446="同小队",$FA$24*$FA$46/3,0)+IF(CA446="同type",$FA$24*INDEX($FB$49:$FB$52,MATCH(X446,$FA$49:$FA$52,))/3,0)+IF(CA446="自身",#REF!/3,0)),0)+IF(BZ446="te",CB446*(1-$FI$27)*($FA$20-1)*$FB$7/$FB$13*(+IF(CA446="全员",$FA$19*$FA$24/(1+($FA$20-1)*$FA$19),0)+IF(CA446="同作战",$FA$19*$FA$24/(1+($FA$20-1)*$FA$19),0)+IF(CA446="仲间",$FA$19*$FA$24*2/3/(1+($FA$20-1)*$FA$19),0)+IF(CA446="同属性",$FA$19*$FA$24*$FA$37/3/(1+($FA$20-1)*$FA$19),0)+IF(CA446="同年级",$FA$19*$FA$24*$FA$40/3/(1+($FA$20-1)*$FA$19),0)+IF(CA446="同学校",$FA$19*$FA$24*$FA$43/3/(1+($FA$20-1)*$FA$19),0)+IF(CA446="同小队",$FA$19*$FA$24*$FA$46/3/(1+($FA$20-1)*$FA$19),0)+IF(CA446="同type",$FA$19*$FA$24*INDEX($FB$49:$FB$52,MATCH(X446,$FA$49:$FA$52,))/3/(1+($FA$20-1)*$FA$19),0)+IF(CA446="自身",$FA$19*#REF!/3/(1+(BH446-1)*$BD446),0)),0)</f>
        <v>0</v>
      </c>
      <c r="CE446" s="420">
        <f t="shared" si="556"/>
        <v>0</v>
      </c>
      <c r="CF446" s="436">
        <f t="shared" si="557"/>
        <v>0</v>
      </c>
      <c r="CG446" s="423">
        <f t="shared" si="558"/>
        <v>0</v>
      </c>
      <c r="CH446" s="433">
        <f t="shared" si="559"/>
        <v>0</v>
      </c>
      <c r="CI446" s="1113" t="s">
        <v>162</v>
      </c>
      <c r="CJ446" s="1114">
        <v>1</v>
      </c>
      <c r="CK446" s="1115" t="s">
        <v>2046</v>
      </c>
      <c r="CL446" s="1115" t="s">
        <v>1940</v>
      </c>
      <c r="CM446" s="1119">
        <v>0.77</v>
      </c>
      <c r="CN446" s="1115"/>
      <c r="CO446" s="1115">
        <v>1</v>
      </c>
      <c r="CP446" s="1116">
        <f t="shared" si="560"/>
        <v>99.340061445267523</v>
      </c>
      <c r="CQ446" s="1116">
        <f t="shared" si="561"/>
        <v>138.99088520410427</v>
      </c>
      <c r="CR446" s="1117">
        <f t="shared" si="562"/>
        <v>99.340061445267523</v>
      </c>
      <c r="CS446" s="442">
        <f t="shared" si="563"/>
        <v>0</v>
      </c>
      <c r="CT446" s="432">
        <f t="shared" si="564"/>
        <v>0</v>
      </c>
      <c r="CU446" s="1101">
        <f t="shared" si="565"/>
        <v>109.27406758979429</v>
      </c>
      <c r="CV446" s="1108">
        <f t="shared" si="566"/>
        <v>138.99088520410427</v>
      </c>
      <c r="CW446" s="420">
        <f t="shared" si="567"/>
        <v>109.27406758979429</v>
      </c>
      <c r="CX446" s="420">
        <f t="shared" si="568"/>
        <v>109.27406758979429</v>
      </c>
      <c r="CY446" s="433">
        <f t="shared" si="569"/>
        <v>109.27406758979429</v>
      </c>
      <c r="CZ446" s="437"/>
      <c r="DA446" s="438"/>
      <c r="DB446" s="439" t="s">
        <v>569</v>
      </c>
      <c r="DC446" s="439"/>
      <c r="DD446" s="443"/>
      <c r="DE446" s="411"/>
      <c r="DF446" s="411"/>
      <c r="DG446" s="1116">
        <f t="shared" si="570"/>
        <v>0</v>
      </c>
      <c r="DH446" s="1116">
        <f t="shared" si="571"/>
        <v>0</v>
      </c>
      <c r="DI446" s="1116">
        <f t="shared" si="572"/>
        <v>0</v>
      </c>
      <c r="DJ446" s="442">
        <f t="shared" si="573"/>
        <v>0</v>
      </c>
      <c r="DK446" s="432">
        <f t="shared" si="574"/>
        <v>0</v>
      </c>
      <c r="DL446" s="424">
        <f t="shared" si="575"/>
        <v>0</v>
      </c>
      <c r="DM446" s="420">
        <f t="shared" si="576"/>
        <v>0</v>
      </c>
      <c r="DN446" s="420">
        <f t="shared" si="577"/>
        <v>0</v>
      </c>
      <c r="DO446" s="420">
        <f t="shared" si="578"/>
        <v>0</v>
      </c>
      <c r="DP446" s="433">
        <f t="shared" si="579"/>
        <v>0</v>
      </c>
      <c r="DQ446" s="1113" t="s">
        <v>545</v>
      </c>
      <c r="DR446" s="444">
        <f t="shared" si="580"/>
        <v>0.3</v>
      </c>
      <c r="DS446" s="1124"/>
      <c r="DT446" s="1093" t="s">
        <v>132</v>
      </c>
      <c r="DU446" s="1093"/>
      <c r="DV446" s="1098">
        <f>IF($P446="","N/A",IF(P446=-1,INDEX('卡片raw data'!AN:AN,MATCH(D446,'卡片raw data'!$F:$F,)),0)+IF(AND(L446&lt;&gt;"party卡",P446&lt;=2,P446&gt;=0),INDEX('卡片raw data'!AP:AP,MATCH(D446,'卡片raw data'!$F:$F,)),0)+IF(OR(AND(L446="party卡",P446&lt;=1),AND(P446&lt;=4,L446&lt;&gt;"party卡",P446&gt;=3)),INDEX('卡片raw data'!AQ:AQ,MATCH(D446,'卡片raw data'!$F:$F,)),0)+IF(OR(P446=5,AND(L446="party卡",P446&gt;=2)),INDEX('卡片raw data'!AR:AR,MATCH(D446,'卡片raw data'!$F:$F,)),0))</f>
        <v>0.37</v>
      </c>
      <c r="DW446" s="1098">
        <f t="shared" si="581"/>
        <v>0.3</v>
      </c>
      <c r="DX446" s="1098">
        <f t="shared" si="582"/>
        <v>0.3</v>
      </c>
      <c r="DY446" s="1097">
        <f t="shared" si="583"/>
        <v>1336.5753721726901</v>
      </c>
      <c r="DZ446" s="1097">
        <f t="shared" si="584"/>
        <v>1039.8864812627587</v>
      </c>
      <c r="EA446" s="421">
        <f t="shared" si="585"/>
        <v>0</v>
      </c>
      <c r="EB446" s="445">
        <f t="shared" si="586"/>
        <v>0</v>
      </c>
      <c r="EC446" s="424">
        <f t="shared" si="587"/>
        <v>1470.2329093899593</v>
      </c>
      <c r="ED446" s="420">
        <f t="shared" si="588"/>
        <v>1039.8864812627587</v>
      </c>
      <c r="EE446" s="433">
        <f t="shared" si="598"/>
        <v>1470.2329093899593</v>
      </c>
      <c r="EF446" s="1115" t="s">
        <v>569</v>
      </c>
      <c r="EG446" s="444">
        <f t="shared" si="589"/>
        <v>0.3</v>
      </c>
      <c r="EH446" s="450"/>
      <c r="EI446" s="1093"/>
      <c r="EJ446" s="1093"/>
      <c r="EK446" s="420">
        <f>IF($P446="","N/A",IF(P446=-1,INDEX('卡片raw data'!AS:AS,MATCH(D446,'卡片raw data'!$F:$F,)),0)+IF(AND(L446&lt;&gt;"party卡",P446&lt;=2,P446&gt;=0),INDEX('卡片raw data'!AU:AU,MATCH(D446,'卡片raw data'!$F:$F,)),0)+IF(OR(AND(L446="party卡",P446&lt;=1),AND(P446&lt;=4,L446&lt;&gt;"party卡",P446&gt;=3)),INDEX('卡片raw data'!AV:AV,MATCH(D446,'卡片raw data'!$F:$F,)),0)+IF(OR(P446=5,AND(L446="party卡",P446&gt;=2)),INDEX('卡片raw data'!AW:AW,MATCH(D446,'卡片raw data'!$F:$F,)),0))</f>
        <v>0</v>
      </c>
      <c r="EL446" s="1098">
        <f t="shared" si="590"/>
        <v>0.3</v>
      </c>
      <c r="EM446" s="1098">
        <f t="shared" si="591"/>
        <v>0.3</v>
      </c>
      <c r="EN446" s="1097">
        <f t="shared" si="592"/>
        <v>0</v>
      </c>
      <c r="EO446" s="1097">
        <f t="shared" si="593"/>
        <v>0</v>
      </c>
      <c r="EP446" s="421">
        <f t="shared" si="594"/>
        <v>0</v>
      </c>
      <c r="EQ446" s="445">
        <f t="shared" si="595"/>
        <v>0</v>
      </c>
      <c r="ER446" s="424">
        <f t="shared" si="596"/>
        <v>0</v>
      </c>
      <c r="ES446" s="420">
        <f t="shared" si="597"/>
        <v>0</v>
      </c>
      <c r="ET446" s="446">
        <f t="shared" si="599"/>
        <v>0</v>
      </c>
    </row>
    <row r="447" spans="2:150" ht="16.5" customHeight="1">
      <c r="B447" s="448" t="str">
        <f>INDEX('卡片raw data'!B:B,MATCH($D447,'卡片raw data'!$F:$F,))</f>
        <v>春游林</v>
      </c>
      <c r="C447" s="449" t="s">
        <v>2641</v>
      </c>
      <c r="D447" s="408">
        <v>444</v>
      </c>
      <c r="E447" s="477">
        <v>402043004</v>
      </c>
      <c r="F447" s="409" t="str">
        <f>INDEX('卡片raw data'!C:C,MATCH($D447,'卡片raw data'!$F:$F,))</f>
        <v>UR</v>
      </c>
      <c r="G447" s="1094" t="s">
        <v>2642</v>
      </c>
      <c r="H447" s="411">
        <f>IFERROR(INDEX(绊状态确认!C:C,MATCH($G447,绊状态确认!$B:$B,)),"")</f>
        <v>204</v>
      </c>
      <c r="I447" s="450" t="str">
        <f>IFERROR(INDEX(绊状态确认!D:D,MATCH($G447,绊状态确认!$B:$B,)),"")</f>
        <v>虹</v>
      </c>
      <c r="J447" s="450" t="str">
        <f>IFERROR(INDEX(绊状态确认!E:E,MATCH($G447,绊状态确认!$B:$B,)),"")</f>
        <v>3年级</v>
      </c>
      <c r="K447" s="451" t="str">
        <f>IFERROR(INDEX(绊状态确认!F:F,MATCH($G447,绊状态确认!$B:$B,)),"")</f>
        <v>Diver Diva</v>
      </c>
      <c r="L447" s="414" t="str">
        <f>INDEX('卡片raw data'!E:E,MATCH($D447,'卡片raw data'!$F:$F,))</f>
        <v>卡池卡</v>
      </c>
      <c r="M447" s="478">
        <v>44305</v>
      </c>
      <c r="N447" s="479">
        <v>38</v>
      </c>
      <c r="O447" s="410" t="str">
        <f>INDEX('卡片raw data'!D:D,MATCH($D447,'卡片raw data'!$F:$F,))</f>
        <v>gd</v>
      </c>
      <c r="P447" s="1126">
        <v>5</v>
      </c>
      <c r="Q447" s="418">
        <f t="shared" si="515"/>
        <v>32974.797231129261</v>
      </c>
      <c r="R447" s="419">
        <f t="shared" si="516"/>
        <v>0.38300000000000001</v>
      </c>
      <c r="S447" s="420">
        <f t="shared" si="517"/>
        <v>17164.597957824179</v>
      </c>
      <c r="T447" s="421">
        <f t="shared" si="518"/>
        <v>0.85799999999999998</v>
      </c>
      <c r="U447" s="422">
        <f t="shared" si="519"/>
        <v>973.0169719990173</v>
      </c>
      <c r="V447" s="423">
        <f t="shared" si="520"/>
        <v>85371.284338565398</v>
      </c>
      <c r="W447" s="424">
        <f t="shared" si="521"/>
        <v>4507.7214871259994</v>
      </c>
      <c r="X447" s="419">
        <f t="shared" si="522"/>
        <v>5.1999999999999998E-2</v>
      </c>
      <c r="Y447" s="420">
        <f t="shared" si="523"/>
        <v>6636.2612079246783</v>
      </c>
      <c r="Z447" s="425">
        <f t="shared" si="524"/>
        <v>78.321308316457163</v>
      </c>
      <c r="AA447" s="426">
        <f t="shared" si="525"/>
        <v>11143.982695050678</v>
      </c>
      <c r="AB447" s="424">
        <f t="shared" si="526"/>
        <v>4507.7214871259994</v>
      </c>
      <c r="AC447" s="427">
        <f t="shared" si="527"/>
        <v>5.1999999999999998E-2</v>
      </c>
      <c r="AD447" s="428">
        <f t="shared" si="528"/>
        <v>0</v>
      </c>
      <c r="AE447" s="516">
        <f t="shared" si="529"/>
        <v>-6.25</v>
      </c>
      <c r="AF447" s="1130">
        <f t="shared" si="530"/>
        <v>12304.217060054401</v>
      </c>
      <c r="AG447" s="420">
        <f t="shared" si="531"/>
        <v>75616.744450432016</v>
      </c>
      <c r="AH447" s="420">
        <f t="shared" si="532"/>
        <v>6.1455957808092903</v>
      </c>
      <c r="AI447" s="1097">
        <f t="shared" si="533"/>
        <v>116181.51982320882</v>
      </c>
      <c r="AJ447" s="420">
        <f t="shared" si="534"/>
        <v>85371.284338565398</v>
      </c>
      <c r="AK447" s="518">
        <f t="shared" si="535"/>
        <v>30810.235484643417</v>
      </c>
      <c r="AL447" s="429">
        <f>IF($P447="","N/A",(IF($P447=-1,INDEX('卡片raw data'!S:S,MATCH($D447,'卡片raw data'!$F:$F,)),0)+IF($P447=0,INDEX('卡片raw data'!V:V,MATCH($D447,'卡片raw data'!$F:$F,)),0)+IF($P447=1,INDEX('卡片raw data'!Y:Y,MATCH($D447,'卡片raw data'!$F:$F,)),0)+IF($P447=2,INDEX('卡片raw data'!AB:AB,MATCH($D447,'卡片raw data'!$F:$F,)),0)+IF($P447=3,INDEX('卡片raw data'!AE:AE,MATCH($D447,'卡片raw data'!$F:$F,)),0)+IF($P447=4,INDEX('卡片raw data'!AH:AH,MATCH($D447,'卡片raw data'!$F:$F,)),0)+IF($P447=5,INDEX('卡片raw data'!AK:AK,MATCH($D447,'卡片raw data'!$F:$F,)),0)+INDEX('卡片raw data'!S:S,MATCH($D447,'卡片raw data'!$F:$F,))*(IF($F447="UR",0.04,0.033))*(IF($F447="UR",INDEX(绊状态确认!$S:$S,MATCH($G447,绊状态确认!$B:$B,))/2-40)+IF($F447="SR",INDEX(绊状态确认!$R:$R,MATCH($G447,绊状态确认!$B:$B,))/4-15))+IF($F447="R",INDEX(绊状态确认!$Q:$Q,MATCH($G447,绊状态确认!$B:$B,))/6-40/6)))*(INDEX(绊状态确认!$H:$H,MATCH($G447,绊状态确认!$B:$B,))+INDEX(绊状态确认!J:J,MATCH($G447,绊状态确认!$B:$B,)))</f>
        <v>8792.0995199999998</v>
      </c>
      <c r="AM447" s="429">
        <f>IF($P447="","N/A",(IF($P447=-1,INDEX('卡片raw data'!T:T,MATCH($D447,'卡片raw data'!$F:$F,)),0)+IF($P447=0,INDEX('卡片raw data'!W:W,MATCH($D447,'卡片raw data'!$F:$F,)),0)+IF($P447=1,INDEX('卡片raw data'!Z:Z,MATCH($D447,'卡片raw data'!$F:$F,)),0)+IF($P447=2,INDEX('卡片raw data'!AC:AC,MATCH($D447,'卡片raw data'!$F:$F,)),0)+IF($P447=3,INDEX('卡片raw data'!AF:AF,MATCH($D447,'卡片raw data'!$F:$F,)),0)+IF($P447=4,INDEX('卡片raw data'!AI:AI,MATCH($D447,'卡片raw data'!$F:$F,)),0)+IF($P447=5,INDEX('卡片raw data'!AL:AL,MATCH($D447,'卡片raw data'!$F:$F,)),0)+INDEX('卡片raw data'!T:T,MATCH($D447,'卡片raw data'!$F:$F,))*(IF($F447="UR",0.04,0.033))*(IF($F447="UR",INDEX(绊状态确认!$S:$S,MATCH($G447,绊状态确认!$B:$B,))/2-40)+IF($F447="SR",INDEX(绊状态确认!$R:$R,MATCH($G447,绊状态确认!$B:$B,))/4-15))+IF($F447="R",INDEX(绊状态确认!$Q:$Q,MATCH($G447,绊状态确认!$B:$B,))/6-40/6)))*(INDEX(绊状态确认!$H:$H,MATCH($G447,绊状态确认!$B:$B,))+INDEX(绊状态确认!K:K,MATCH($G447,绊状态确认!$B:$B,)))</f>
        <v>16119.606719999998</v>
      </c>
      <c r="AN447" s="429">
        <f>IF($P447="","N/A",(IF($P447=-1,INDEX('卡片raw data'!U:U,MATCH($D447,'卡片raw data'!$F:$F,)),0)+IF($P447=0,INDEX('卡片raw data'!X:X,MATCH($D447,'卡片raw data'!$F:$F,)),0)+IF($P447=1,INDEX('卡片raw data'!AA:AA,MATCH($D447,'卡片raw data'!$F:$F,)),0)+IF($P447=2,INDEX('卡片raw data'!AD:AD,MATCH($D447,'卡片raw data'!$F:$F,)),0)+IF($P447=3,INDEX('卡片raw data'!AG:AG,MATCH($D447,'卡片raw data'!$F:$F,)),0)+IF($P447=4,INDEX('卡片raw data'!AJ:AJ,MATCH($D447,'卡片raw data'!$F:$F,)),0)+IF($P447=5,INDEX('卡片raw data'!AM:AM,MATCH($D447,'卡片raw data'!$F:$F,)),0)+INDEX('卡片raw data'!U:U,MATCH($D447,'卡片raw data'!$F:$F,))*(IF($F447="UR",0.04,0.033))*(IF($F447="UR",INDEX(绊状态确认!$S:$S,MATCH($G447,绊状态确认!$B:$B,))/2-40)+IF($F447="SR",INDEX(绊状态确认!$R:$R,MATCH($G447,绊状态确认!$B:$B,))/4-15))+IF($F447="R",INDEX(绊状态确认!$Q:$Q,MATCH($G447,绊状态确认!$B:$B,))/6-40/6)))*(INDEX(绊状态确认!$H:$H,MATCH($G447,绊状态确认!$B:$B,))+INDEX(绊状态确认!L:L,MATCH($G447,绊状态确认!$B:$B,)))</f>
        <v>11723.556959999998</v>
      </c>
      <c r="AO447" s="430">
        <f t="shared" si="536"/>
        <v>1</v>
      </c>
      <c r="AP447" s="556">
        <f>1+(INDEX(绊状态确认!$T:$T,MATCH($G447,绊状态确认!$B:$B,))+0.2)*$AO447</f>
        <v>1.3</v>
      </c>
      <c r="AQ447" s="431">
        <f t="shared" si="537"/>
        <v>26329.26124</v>
      </c>
      <c r="AR447" s="420">
        <f>(AM447*(1+$EX$9)+$EX$35)*(1+(INDEX(绊状态确认!$T:$T,MATCH($G447,绊状态确认!$B:$B,))+0.2)*AO447)*IF(J447=$FF$17,1+$FE$17,1)*IF(I447=$FF$14,1+$FE$14,1)</f>
        <v>24707.263172800001</v>
      </c>
      <c r="AS447" s="420">
        <f>(AN447*(1+$EX$10)+$EX$36)*(1+(INDEX(绊状态确认!$T:$T,MATCH($G447,绊状态确认!$B:$B,))+0.2)*AO447)*IF(J447=$FF$17,1+$FE$17,1)*IF(I447=$FF$14,1+$FE$14,1)</f>
        <v>21582.717655199995</v>
      </c>
      <c r="AT447" s="412">
        <f>IF(AND(INDEX('卡片raw data'!AK:AK,MATCH($D447,'卡片raw data'!$F:$F,))&lt;INDEX('卡片raw data'!AM:AM,MATCH($D447,'卡片raw data'!$F:$F,)),INDEX('卡片raw data'!AL:AL,MATCH($D447,'卡片raw data'!$F:$F,))&lt;INDEX('卡片raw data'!AM:AM,MATCH($D447,'卡片raw data'!$F:$F,))),1,0)</f>
        <v>0</v>
      </c>
      <c r="AU447" s="421">
        <f>MIN(AT447*0.15+AS447*0.00003+INDEX(绊状态确认!M:M,MATCH($G447,绊状态确认!$B:$B,)),1)</f>
        <v>0.67748152965599984</v>
      </c>
      <c r="AV447" s="432">
        <f>(INDEX(绊状态确认!$N:$N,MATCH($G447,绊状态确认!$B:$B,))+1.5)*$EW$21</f>
        <v>2.6599999999999997</v>
      </c>
      <c r="AW447" s="424">
        <f t="shared" si="538"/>
        <v>29052.075744003261</v>
      </c>
      <c r="AX447" s="420">
        <f t="shared" si="539"/>
        <v>2176.3646040493927</v>
      </c>
      <c r="AY447" s="433">
        <f t="shared" si="540"/>
        <v>31228.440348052653</v>
      </c>
      <c r="AZ447" s="429">
        <f t="shared" si="541"/>
        <v>19744.594064000001</v>
      </c>
      <c r="BA447" s="431">
        <f t="shared" si="542"/>
        <v>23693.5128768</v>
      </c>
      <c r="BB447" s="420">
        <f>(AM447*(1+$FB$9)+$FB$35)*(1+(INDEX(绊状态确认!$T:$T,MATCH($G447,绊状态确认!$B:$B,))+0.2)*AO447)*IF(J447=$FF$17,1+$FE$17,1)*IF(I447=$FF$14,1+$FE$14,1)*(1+$FE$15)</f>
        <v>24707.263172800001</v>
      </c>
      <c r="BC447" s="420">
        <f>(AN447*(1+$FB$10)+$FB$36)*(1+(INDEX(绊状态确认!$T:$T,MATCH($G447,绊状态确认!$B:$B,))+0.2)*AO447)*IF(J447=$FF$17,1+$FE$17,1)*IF(I447=$FF$14,1+$FE$14,1)*(1+$FE$15)</f>
        <v>21582.717655199995</v>
      </c>
      <c r="BD447" s="427">
        <f>MIN(AT447*0.15+BC447*0.00003+INDEX(绊状态确认!M:M,MATCH($G447,绊状态确认!$B:$B,)),1)</f>
        <v>0.67748152965599984</v>
      </c>
      <c r="BE447" s="432">
        <f>(INDEX(绊状态确认!$N:$N,MATCH($G447,绊状态确认!$B:$B,))+1.5)</f>
        <v>1.9</v>
      </c>
      <c r="BF447" s="645">
        <f t="array" ref="BF447">SUMPRODUCT(IF(AZ447*AP447*$FI$16:$FI$23*$FA$22&gt;=$FI$24,$FI$24,AZ447*AP447*$FI$16:$FI$23*$FA$22),$FJ$16:$FJ$23)</f>
        <v>39271.997593296008</v>
      </c>
      <c r="BG447" s="453">
        <f t="array" ref="BG447">SUMPRODUCT(IF(BE447*AZ447*AP447*$FI$16:$FI$23*$FA$22&gt;=$FI$24,$FI$24,BE447*AZ447*AP447*$FI$16:$FI$23*$FA$22),$FJ$16:$FJ$23)</f>
        <v>59852.297680569602</v>
      </c>
      <c r="BH447" s="433">
        <f t="shared" si="543"/>
        <v>17738.256925733876</v>
      </c>
      <c r="BI447" s="434">
        <f>IF(O447="vo",$EW$26/$EW$24*0.05,0)+IF(O447="sk",-$EW$26/$EW$24*(0.05-INDEX(绊状态确认!W:W,MATCH($G447,绊状态确认!$B:$B,)))+0.05*$EW$28,0)+IF(O447="sp",0.05*$EW$32*$EW$30*(1-$EW$33)-(0.05-INDEX(绊状态确认!V:V,MATCH($G447,绊状态确认!$B:$B,)))*$EW$28,0)+IF(O447="gd",-(0.05-INDEX(绊状态确认!X:X,MATCH($G447,绊状态确认!$B:$B,)))*$EW$32*$EW$30*(1-$EW$33),0)</f>
        <v>-585.00000000000011</v>
      </c>
      <c r="BJ447" s="420">
        <f>IF(O447="vo",0.05*(1-$FI$26)*$FA$24,0)+IF(O447="sk",-(0.05-INDEX(绊状态确认!W:W,MATCH($G447,绊状态确认!$B:$B,)))*(1-$FI$26)*$FA$24+0.05*$FA$26,0)+IF(O447="sp",0.05*$FA$32*$FA$27*(1-$FA$33)/$FA$30+0.05*$FA$29/$FA$69*$FA$27*(1-$FA$33)-(0.05-INDEX(绊状态确认!V:V,MATCH($G447,绊状态确认!$B:$B,)))*$FA$26,0)+IF(O447="gd",-(0.05-INDEX(绊状态确认!X:X,MATCH($G447,绊状态确认!$B:$B,)))*$FA$32*$FA$27*(1-$FA$33)/$FA$30-(0.05-INDEX(绊状态确认!X:X,MATCH($G447,绊状态确认!$B:$B,)))*$FA$29/$FA$69*$FA$27*(1-$FA$33),0)</f>
        <v>-795.00000000000011</v>
      </c>
      <c r="BK447" s="433">
        <f>IF(O447="vo",$EW$26/$EW$24*0.05+$EW$26*(-HP($EW$62,$EW$65,$EW$64)+HP($EW$62,$EW$65,(1.05-INDEX(绊状态确认!U:U,MATCH($G447,绊状态确认!$B:$B,)))*$EW$64)),0)+IF(O447="sk",-$EW$26/$EW$24*(0.05-INDEX(绊状态确认!W:W,MATCH($G447,绊状态确认!$B:$B,)))+0.05*$EW$29,0)+IF(O447="sp",0.05*$EW$32*$EW$30*(1-$EW$33)-(0.05-INDEX(绊状态确认!V:V,MATCH($G447,绊状态确认!$B:$B,)))*$EW$29,0)+IF(O447="gd",-(0.05-INDEX(绊状态确认!X:X,MATCH($G447,绊状态确认!$B:$B,)))*$EW$32*$EW$30*(1-$EW$33)+$EW$26*(-HP($EW$62,$EW$65,$EW$64)+HP($EW$62,$EW$65,0.95*$EW$64)),0)</f>
        <v>1009.5947725176144</v>
      </c>
      <c r="BL447" s="434">
        <f t="shared" si="544"/>
        <v>0</v>
      </c>
      <c r="BM447" s="433">
        <f t="shared" si="545"/>
        <v>0</v>
      </c>
      <c r="BN447" s="437">
        <f t="shared" si="546"/>
        <v>3</v>
      </c>
      <c r="BO447" s="1108">
        <f t="shared" si="547"/>
        <v>4507.7214871259994</v>
      </c>
      <c r="BP447" s="1100">
        <f t="shared" si="548"/>
        <v>221.34103209030098</v>
      </c>
      <c r="BQ447" s="1113" t="s">
        <v>133</v>
      </c>
      <c r="BR447" s="1124" t="s">
        <v>171</v>
      </c>
      <c r="BS447" s="421">
        <f>IF($P447="","N/A",IF($P447=-1,INDEX('卡片raw data'!AX:AX,MATCH($D447,'卡片raw data'!$F:$F,)),0)+IF($L447="party卡",IF($P447=5,INDEX('卡片raw data'!BD:BD,MATCH($D447,'卡片raw data'!$F:$F,)),IF($P447&gt;=3,INDEX('卡片raw data'!BC:BC,MATCH($D447,'卡片raw data'!$F:$F,)),INDEX('卡片raw data'!BB:BB,MATCH($D447,'卡片raw data'!$F:$F,)))),IF(OR(AND($F447="UR",$P447=0),AND($F447="SR",$P447&gt;=0,$P447&lt;=2),AND($F447="R",$P447&gt;=0,$P447&lt;4)),INDEX('卡片raw data'!AZ:AZ,MATCH($D447,'卡片raw data'!$F:$F,)),0)+IF(OR(AND($F447="UR",$P447&gt;=1,$P447&lt;=4),AND($F447="SR",$P447&lt;=4,$P447&gt;=3),AND($F447="R",$P447=4)),INDEX('卡片raw data'!BA:BA,MATCH($D447,'卡片raw data'!$F:$F,)),0)+IF($P447=5,INDEX('卡片raw data'!BB:BB,MATCH($D447,'卡片raw data'!$F:$F,)),0)))</f>
        <v>5.1999999999999998E-2</v>
      </c>
      <c r="BT447" s="424">
        <f t="shared" si="549"/>
        <v>0</v>
      </c>
      <c r="BU447" s="420">
        <f t="shared" si="550"/>
        <v>0</v>
      </c>
      <c r="BV447" s="420">
        <f t="shared" si="551"/>
        <v>0</v>
      </c>
      <c r="BW447" s="436">
        <f t="shared" si="552"/>
        <v>2.4347142857142861</v>
      </c>
      <c r="BX447" s="423">
        <f t="shared" si="553"/>
        <v>190.49664124538464</v>
      </c>
      <c r="BY447" s="433">
        <f t="shared" si="554"/>
        <v>190.49664124538464</v>
      </c>
      <c r="BZ447" s="1113" t="s">
        <v>569</v>
      </c>
      <c r="CA447" s="450"/>
      <c r="CB447" s="421">
        <f>IF($P447="","N/A",IF($P447=-1,INDEX('卡片raw data'!BE:BE,MATCH($D447,'卡片raw data'!$F:$F,)),0)+IF($L447="party卡",IF($P447=5,INDEX('卡片raw data'!BK:BK,MATCH($D447,'卡片raw data'!$F:$F,)),IF($P447&gt;=3,INDEX('卡片raw data'!BJ:BJ,MATCH($D447,'卡片raw data'!$F:$F,)),INDEX('卡片raw data'!BI:BI,MATCH($D447,'卡片raw data'!$F:$F,)))),IF(OR(AND($F447="UR",$P447=0),AND($F447="SR",$P447&gt;=0,$P447&lt;=2),AND($F447="R",$P447&gt;=0,$P447&lt;4)),INDEX('卡片raw data'!BG:BG,MATCH($D447,'卡片raw data'!$F:$F,)),0)+IF(OR(AND($F447="UR",$P447&gt;=1,$P447&lt;=4),AND($F447="SR",$P447&lt;=4,$P447&gt;=3),AND($F447="R",$P447=4)),INDEX('卡片raw data'!BH:BH,MATCH($D447,'卡片raw data'!$F:$F,)),0)+IF($P447=5,INDEX('卡片raw data'!BI:BI,MATCH($D447,'卡片raw data'!$F:$F,)),0)))</f>
        <v>0</v>
      </c>
      <c r="CC447" s="424">
        <f t="shared" si="555"/>
        <v>0</v>
      </c>
      <c r="CD447" s="420">
        <f>IF(BZ447="ap",CB447*(1-$FI$26)*$FB$5/$FB$11*(+IF(CA447="全员",$FA$24,0)+IF(CA447="同作战",$FA$24,0)+IF(CA447="仲间",$FA$24*2/3,0)+IF(CA447="同属性",$FA$24*$FA$37/3,0)+IF(CA447="同年级",$FA$24*$FA$40/3,0)+IF(CA447="同学校",$FA$24*$FA$43/3,0)+IF(CA447="同小队",$FA$24*$FA$46/3,0)+IF(CA447="同type",$FA$24*INDEX($FB$49:$FB$52,MATCH(X447,$FA$49:$FA$52,))/3,0)+IF(CA447="自身",#REF!/3,0)),0)+IF(BZ447="te",CB447*(1-$FI$27)*($FA$20-1)*$FB$7/$FB$13*(+IF(CA447="全员",$FA$19*$FA$24/(1+($FA$20-1)*$FA$19),0)+IF(CA447="同作战",$FA$19*$FA$24/(1+($FA$20-1)*$FA$19),0)+IF(CA447="仲间",$FA$19*$FA$24*2/3/(1+($FA$20-1)*$FA$19),0)+IF(CA447="同属性",$FA$19*$FA$24*$FA$37/3/(1+($FA$20-1)*$FA$19),0)+IF(CA447="同年级",$FA$19*$FA$24*$FA$40/3/(1+($FA$20-1)*$FA$19),0)+IF(CA447="同学校",$FA$19*$FA$24*$FA$43/3/(1+($FA$20-1)*$FA$19),0)+IF(CA447="同小队",$FA$19*$FA$24*$FA$46/3/(1+($FA$20-1)*$FA$19),0)+IF(CA447="同type",$FA$19*$FA$24*INDEX($FB$49:$FB$52,MATCH(X447,$FA$49:$FA$52,))/3/(1+($FA$20-1)*$FA$19),0)+IF(CA447="自身",$FA$19*#REF!/3/(1+(BH447-1)*$BD447),0)),0)</f>
        <v>0</v>
      </c>
      <c r="CE447" s="420">
        <f t="shared" si="556"/>
        <v>0</v>
      </c>
      <c r="CF447" s="436">
        <f t="shared" si="557"/>
        <v>0</v>
      </c>
      <c r="CG447" s="423">
        <f t="shared" si="558"/>
        <v>0</v>
      </c>
      <c r="CH447" s="433">
        <f t="shared" si="559"/>
        <v>0</v>
      </c>
      <c r="CI447" s="1113" t="s">
        <v>288</v>
      </c>
      <c r="CJ447" s="1114">
        <v>1</v>
      </c>
      <c r="CK447" s="1115" t="s">
        <v>2643</v>
      </c>
      <c r="CL447" s="1115" t="s">
        <v>2644</v>
      </c>
      <c r="CM447" s="1119">
        <v>0.28000000000000003</v>
      </c>
      <c r="CN447" s="1115"/>
      <c r="CO447" s="1115">
        <v>2</v>
      </c>
      <c r="CP447" s="1116">
        <f t="shared" si="560"/>
        <v>49.414526345600009</v>
      </c>
      <c r="CQ447" s="1116">
        <f t="shared" si="561"/>
        <v>76.867040982044458</v>
      </c>
      <c r="CR447" s="1117">
        <f t="shared" si="562"/>
        <v>49.414526345600009</v>
      </c>
      <c r="CS447" s="442">
        <f t="shared" si="563"/>
        <v>0</v>
      </c>
      <c r="CT447" s="432">
        <f t="shared" si="564"/>
        <v>0</v>
      </c>
      <c r="CU447" s="1101">
        <f t="shared" si="565"/>
        <v>0</v>
      </c>
      <c r="CV447" s="1108">
        <f t="shared" si="566"/>
        <v>0</v>
      </c>
      <c r="CW447" s="420">
        <f t="shared" si="567"/>
        <v>0</v>
      </c>
      <c r="CX447" s="420">
        <f t="shared" si="568"/>
        <v>0</v>
      </c>
      <c r="CY447" s="433">
        <f t="shared" si="569"/>
        <v>4269.3999626298992</v>
      </c>
      <c r="CZ447" s="437"/>
      <c r="DA447" s="438"/>
      <c r="DB447" s="439" t="s">
        <v>569</v>
      </c>
      <c r="DC447" s="439"/>
      <c r="DD447" s="443"/>
      <c r="DE447" s="411"/>
      <c r="DF447" s="411"/>
      <c r="DG447" s="1116">
        <f t="shared" si="570"/>
        <v>0</v>
      </c>
      <c r="DH447" s="1116">
        <f t="shared" si="571"/>
        <v>0</v>
      </c>
      <c r="DI447" s="1116">
        <f t="shared" si="572"/>
        <v>0</v>
      </c>
      <c r="DJ447" s="442">
        <f t="shared" si="573"/>
        <v>0</v>
      </c>
      <c r="DK447" s="432">
        <f t="shared" si="574"/>
        <v>0</v>
      </c>
      <c r="DL447" s="424">
        <f t="shared" si="575"/>
        <v>0</v>
      </c>
      <c r="DM447" s="420">
        <f t="shared" si="576"/>
        <v>0</v>
      </c>
      <c r="DN447" s="420">
        <f t="shared" si="577"/>
        <v>0</v>
      </c>
      <c r="DO447" s="420">
        <f t="shared" si="578"/>
        <v>0</v>
      </c>
      <c r="DP447" s="433">
        <f t="shared" si="579"/>
        <v>0</v>
      </c>
      <c r="DQ447" s="1113" t="s">
        <v>2080</v>
      </c>
      <c r="DR447" s="444">
        <f t="shared" si="580"/>
        <v>0.33</v>
      </c>
      <c r="DS447" s="1124"/>
      <c r="DT447" s="1093" t="s">
        <v>133</v>
      </c>
      <c r="DU447" s="1124"/>
      <c r="DV447" s="1098">
        <f>IF($P447="","N/A",IF(P447=-1,INDEX('卡片raw data'!AN:AN,MATCH(D447,'卡片raw data'!$F:$F,)),0)+IF(AND(L447&lt;&gt;"party卡",P447&lt;=2,P447&gt;=0),INDEX('卡片raw data'!AP:AP,MATCH(D447,'卡片raw data'!$F:$F,)),0)+IF(OR(AND(L447="party卡",P447&lt;=1),AND(P447&lt;=4,L447&lt;&gt;"party卡",P447&gt;=3)),INDEX('卡片raw data'!AQ:AQ,MATCH(D447,'卡片raw data'!$F:$F,)),0)+IF(OR(P447=5,AND(L447="party卡",P447&gt;=2)),INDEX('卡片raw data'!AR:AR,MATCH(D447,'卡片raw data'!$F:$F,)),0))</f>
        <v>0.32</v>
      </c>
      <c r="DW447" s="1098">
        <f t="shared" si="581"/>
        <v>0.33</v>
      </c>
      <c r="DX447" s="1098">
        <f t="shared" si="582"/>
        <v>0.33</v>
      </c>
      <c r="DY447" s="1097">
        <f t="shared" si="583"/>
        <v>869.69566368256017</v>
      </c>
      <c r="DZ447" s="1097">
        <f t="shared" si="584"/>
        <v>752.2867490854145</v>
      </c>
      <c r="EA447" s="421">
        <f t="shared" si="585"/>
        <v>0</v>
      </c>
      <c r="EB447" s="445">
        <f t="shared" si="586"/>
        <v>0</v>
      </c>
      <c r="EC447" s="424">
        <f t="shared" si="587"/>
        <v>0</v>
      </c>
      <c r="ED447" s="420">
        <f t="shared" si="588"/>
        <v>0</v>
      </c>
      <c r="EE447" s="433">
        <f t="shared" si="598"/>
        <v>48435.03108962375</v>
      </c>
      <c r="EF447" s="1115" t="s">
        <v>569</v>
      </c>
      <c r="EG447" s="444">
        <f t="shared" si="589"/>
        <v>0.33</v>
      </c>
      <c r="EH447" s="450"/>
      <c r="EI447" s="1093"/>
      <c r="EJ447" s="1093"/>
      <c r="EK447" s="420">
        <f>IF($P447="","N/A",IF(P447=-1,INDEX('卡片raw data'!AS:AS,MATCH(D447,'卡片raw data'!$F:$F,)),0)+IF(AND(L447&lt;&gt;"party卡",P447&lt;=2,P447&gt;=0),INDEX('卡片raw data'!AU:AU,MATCH(D447,'卡片raw data'!$F:$F,)),0)+IF(OR(AND(L447="party卡",P447&lt;=1),AND(P447&lt;=4,L447&lt;&gt;"party卡",P447&gt;=3)),INDEX('卡片raw data'!AV:AV,MATCH(D447,'卡片raw data'!$F:$F,)),0)+IF(OR(P447=5,AND(L447="party卡",P447&gt;=2)),INDEX('卡片raw data'!AW:AW,MATCH(D447,'卡片raw data'!$F:$F,)),0))</f>
        <v>0</v>
      </c>
      <c r="EL447" s="1098">
        <f t="shared" si="590"/>
        <v>0.33</v>
      </c>
      <c r="EM447" s="1098">
        <f t="shared" si="591"/>
        <v>0.33</v>
      </c>
      <c r="EN447" s="1097">
        <f t="shared" si="592"/>
        <v>0</v>
      </c>
      <c r="EO447" s="1097">
        <f t="shared" si="593"/>
        <v>0</v>
      </c>
      <c r="EP447" s="421">
        <f t="shared" si="594"/>
        <v>0</v>
      </c>
      <c r="EQ447" s="445">
        <f t="shared" si="595"/>
        <v>0</v>
      </c>
      <c r="ER447" s="424">
        <f t="shared" si="596"/>
        <v>0</v>
      </c>
      <c r="ES447" s="420">
        <f t="shared" si="597"/>
        <v>0</v>
      </c>
      <c r="ET447" s="446">
        <f t="shared" si="599"/>
        <v>0</v>
      </c>
    </row>
    <row r="448" spans="2:150" ht="16.5" customHeight="1">
      <c r="B448" s="448" t="str">
        <f>INDEX('卡片raw data'!B:B,MATCH($D448,'卡片raw data'!$F:$F,))</f>
        <v>春游千</v>
      </c>
      <c r="C448" s="449" t="s">
        <v>2647</v>
      </c>
      <c r="D448" s="408">
        <v>445</v>
      </c>
      <c r="E448" s="477">
        <v>401013004</v>
      </c>
      <c r="F448" s="409" t="str">
        <f>INDEX('卡片raw data'!C:C,MATCH($D448,'卡片raw data'!$F:$F,))</f>
        <v>UR</v>
      </c>
      <c r="G448" s="1094" t="s">
        <v>2648</v>
      </c>
      <c r="H448" s="411">
        <f>IFERROR(INDEX(绊状态确认!C:C,MATCH($G448,绊状态确认!$B:$B,)),"")</f>
        <v>101</v>
      </c>
      <c r="I448" s="450" t="str">
        <f>IFERROR(INDEX(绊状态确认!D:D,MATCH($G448,绊状态确认!$B:$B,)),"")</f>
        <v>水</v>
      </c>
      <c r="J448" s="450" t="str">
        <f>IFERROR(INDEX(绊状态确认!E:E,MATCH($G448,绊状态确认!$B:$B,)),"")</f>
        <v>2年级</v>
      </c>
      <c r="K448" s="451" t="str">
        <f>IFERROR(INDEX(绊状态确认!F:F,MATCH($G448,绊状态确认!$B:$B,)),"")</f>
        <v>CYaRon!</v>
      </c>
      <c r="L448" s="414" t="str">
        <f>INDEX('卡片raw data'!E:E,MATCH($D448,'卡片raw data'!$F:$F,))</f>
        <v>活动卡</v>
      </c>
      <c r="M448" s="478">
        <v>44305</v>
      </c>
      <c r="N448" s="479">
        <v>38</v>
      </c>
      <c r="O448" s="410" t="str">
        <f>INDEX('卡片raw data'!D:D,MATCH($D448,'卡片raw data'!$F:$F,))</f>
        <v>sp</v>
      </c>
      <c r="P448" s="1126">
        <v>5</v>
      </c>
      <c r="Q448" s="418">
        <f t="shared" si="515"/>
        <v>46849.054967438955</v>
      </c>
      <c r="R448" s="419">
        <f t="shared" si="516"/>
        <v>0.54400000000000004</v>
      </c>
      <c r="S448" s="420">
        <f t="shared" si="517"/>
        <v>21192.70136090559</v>
      </c>
      <c r="T448" s="421">
        <f t="shared" si="518"/>
        <v>1.0589999999999999</v>
      </c>
      <c r="U448" s="422">
        <f t="shared" si="519"/>
        <v>14.345693289942853</v>
      </c>
      <c r="V448" s="423">
        <f t="shared" si="520"/>
        <v>46199.017494630614</v>
      </c>
      <c r="W448" s="424">
        <f t="shared" si="521"/>
        <v>5784.1275130156791</v>
      </c>
      <c r="X448" s="419">
        <f t="shared" si="522"/>
        <v>6.7000000000000004E-2</v>
      </c>
      <c r="Y448" s="420">
        <f t="shared" si="523"/>
        <v>1149.9625271916593</v>
      </c>
      <c r="Z448" s="425">
        <f t="shared" si="524"/>
        <v>14.345693289942853</v>
      </c>
      <c r="AA448" s="426">
        <f t="shared" si="525"/>
        <v>6934.0900402073385</v>
      </c>
      <c r="AB448" s="424">
        <f t="shared" si="526"/>
        <v>6635.0648636088008</v>
      </c>
      <c r="AC448" s="427">
        <f t="shared" si="527"/>
        <v>7.6999999999999999E-2</v>
      </c>
      <c r="AD448" s="428">
        <f t="shared" si="528"/>
        <v>-1.6087500000000001E-2</v>
      </c>
      <c r="AE448" s="516">
        <f t="shared" si="529"/>
        <v>30.012859723165754</v>
      </c>
      <c r="AF448" s="1130">
        <f t="shared" si="530"/>
        <v>0</v>
      </c>
      <c r="AG448" s="420">
        <f t="shared" si="531"/>
        <v>0</v>
      </c>
      <c r="AH448" s="420">
        <f t="shared" si="532"/>
        <v>0</v>
      </c>
      <c r="AI448" s="1097">
        <f t="shared" si="533"/>
        <v>0</v>
      </c>
      <c r="AJ448" s="420">
        <f t="shared" si="534"/>
        <v>0</v>
      </c>
      <c r="AK448" s="518">
        <f t="shared" si="535"/>
        <v>0</v>
      </c>
      <c r="AL448" s="429">
        <f>IF($P448="","N/A",(IF($P448=-1,INDEX('卡片raw data'!S:S,MATCH($D448,'卡片raw data'!$F:$F,)),0)+IF($P448=0,INDEX('卡片raw data'!V:V,MATCH($D448,'卡片raw data'!$F:$F,)),0)+IF($P448=1,INDEX('卡片raw data'!Y:Y,MATCH($D448,'卡片raw data'!$F:$F,)),0)+IF($P448=2,INDEX('卡片raw data'!AB:AB,MATCH($D448,'卡片raw data'!$F:$F,)),0)+IF($P448=3,INDEX('卡片raw data'!AE:AE,MATCH($D448,'卡片raw data'!$F:$F,)),0)+IF($P448=4,INDEX('卡片raw data'!AH:AH,MATCH($D448,'卡片raw data'!$F:$F,)),0)+IF($P448=5,INDEX('卡片raw data'!AK:AK,MATCH($D448,'卡片raw data'!$F:$F,)),0)+INDEX('卡片raw data'!S:S,MATCH($D448,'卡片raw data'!$F:$F,))*(IF($F448="UR",0.04,0.033))*(IF($F448="UR",INDEX(绊状态确认!$S:$S,MATCH($G448,绊状态确认!$B:$B,))/2-40)+IF($F448="SR",INDEX(绊状态确认!$R:$R,MATCH($G448,绊状态确认!$B:$B,))/4-15))+IF($F448="R",INDEX(绊状态确认!$Q:$Q,MATCH($G448,绊状态确认!$B:$B,))/6-40/6)))*(INDEX(绊状态确认!$H:$H,MATCH($G448,绊状态确认!$B:$B,))+INDEX(绊状态确认!J:J,MATCH($G448,绊状态确认!$B:$B,)))</f>
        <v>10333.148831999997</v>
      </c>
      <c r="AM448" s="429">
        <f>IF($P448="","N/A",(IF($P448=-1,INDEX('卡片raw data'!T:T,MATCH($D448,'卡片raw data'!$F:$F,)),0)+IF($P448=0,INDEX('卡片raw data'!W:W,MATCH($D448,'卡片raw data'!$F:$F,)),0)+IF($P448=1,INDEX('卡片raw data'!Z:Z,MATCH($D448,'卡片raw data'!$F:$F,)),0)+IF($P448=2,INDEX('卡片raw data'!AC:AC,MATCH($D448,'卡片raw data'!$F:$F,)),0)+IF($P448=3,INDEX('卡片raw data'!AF:AF,MATCH($D448,'卡片raw data'!$F:$F,)),0)+IF($P448=4,INDEX('卡片raw data'!AI:AI,MATCH($D448,'卡片raw data'!$F:$F,)),0)+IF($P448=5,INDEX('卡片raw data'!AL:AL,MATCH($D448,'卡片raw data'!$F:$F,)),0)+INDEX('卡片raw data'!T:T,MATCH($D448,'卡片raw data'!$F:$F,))*(IF($F448="UR",0.04,0.033))*(IF($F448="UR",INDEX(绊状态确认!$S:$S,MATCH($G448,绊状态确认!$B:$B,))/2-40)+IF($F448="SR",INDEX(绊状态确认!$R:$R,MATCH($G448,绊状态确认!$B:$B,))/4-15))+IF($F448="R",INDEX(绊状态确认!$Q:$Q,MATCH($G448,绊状态确认!$B:$B,))/6-40/6)))*(INDEX(绊状态确认!$H:$H,MATCH($G448,绊状态确认!$B:$B,))+INDEX(绊状态确认!K:K,MATCH($G448,绊状态确认!$B:$B,)))</f>
        <v>7828.0686719999985</v>
      </c>
      <c r="AN448" s="429">
        <f>IF($P448="","N/A",(IF($P448=-1,INDEX('卡片raw data'!U:U,MATCH($D448,'卡片raw data'!$F:$F,)),0)+IF($P448=0,INDEX('卡片raw data'!X:X,MATCH($D448,'卡片raw data'!$F:$F,)),0)+IF($P448=1,INDEX('卡片raw data'!AA:AA,MATCH($D448,'卡片raw data'!$F:$F,)),0)+IF($P448=2,INDEX('卡片raw data'!AD:AD,MATCH($D448,'卡片raw data'!$F:$F,)),0)+IF($P448=3,INDEX('卡片raw data'!AG:AG,MATCH($D448,'卡片raw data'!$F:$F,)),0)+IF($P448=4,INDEX('卡片raw data'!AJ:AJ,MATCH($D448,'卡片raw data'!$F:$F,)),0)+IF($P448=5,INDEX('卡片raw data'!AM:AM,MATCH($D448,'卡片raw data'!$F:$F,)),0)+INDEX('卡片raw data'!U:U,MATCH($D448,'卡片raw data'!$F:$F,))*(IF($F448="UR",0.04,0.033))*(IF($F448="UR",INDEX(绊状态确认!$S:$S,MATCH($G448,绊状态确认!$B:$B,))/2-40)+IF($F448="SR",INDEX(绊状态确认!$R:$R,MATCH($G448,绊状态确认!$B:$B,))/4-15))+IF($F448="R",INDEX(绊状态确认!$Q:$Q,MATCH($G448,绊状态确认!$B:$B,))/6-40/6)))*(INDEX(绊状态确认!$H:$H,MATCH($G448,绊状态确认!$B:$B,))+INDEX(绊状态确认!L:L,MATCH($G448,绊状态确认!$B:$B,)))</f>
        <v>13152.193583999997</v>
      </c>
      <c r="AO448" s="430">
        <f t="shared" si="536"/>
        <v>1</v>
      </c>
      <c r="AP448" s="556">
        <f>1+(INDEX(绊状态确认!$T:$T,MATCH($G448,绊状态确认!$B:$B,))+0.2)*$AO448</f>
        <v>1.3</v>
      </c>
      <c r="AQ448" s="431">
        <f t="shared" si="537"/>
        <v>30374.515683999995</v>
      </c>
      <c r="AR448" s="420">
        <f>(AM448*(1+$EX$9)+$EX$35)*(1+(INDEX(绊状态确认!$T:$T,MATCH($G448,绊状态确认!$B:$B,))+0.2)*AO448)*IF(J448=$FF$17,1+$FE$17,1)*IF(I448=$FF$14,1+$FE$14,1)</f>
        <v>13389.313737279997</v>
      </c>
      <c r="AS448" s="420">
        <f>(AN448*(1+$EX$10)+$EX$36)*(1+(INDEX(绊状态确认!$T:$T,MATCH($G448,绊状态确认!$B:$B,))+0.2)*AO448)*IF(J448=$FF$17,1+$FE$17,1)*IF(I448=$FF$14,1+$FE$14,1)</f>
        <v>23718.529408079994</v>
      </c>
      <c r="AT448" s="412">
        <f>IF(AND(INDEX('卡片raw data'!AK:AK,MATCH($D448,'卡片raw data'!$F:$F,))&lt;INDEX('卡片raw data'!AM:AM,MATCH($D448,'卡片raw data'!$F:$F,)),INDEX('卡片raw data'!AL:AL,MATCH($D448,'卡片raw data'!$F:$F,))&lt;INDEX('卡片raw data'!AM:AM,MATCH($D448,'卡片raw data'!$F:$F,))),1,0)</f>
        <v>1</v>
      </c>
      <c r="AU448" s="421">
        <f>MIN(AT448*0.15+AS448*0.00003+INDEX(绊状态确认!M:M,MATCH($G448,绊状态确认!$B:$B,)),1)</f>
        <v>0.8915558822423999</v>
      </c>
      <c r="AV448" s="432">
        <f>(INDEX(绊状态确认!$N:$N,MATCH($G448,绊状态确认!$B:$B,))+1.5)*$EW$21</f>
        <v>2.6599999999999997</v>
      </c>
      <c r="AW448" s="424">
        <f t="shared" si="538"/>
        <v>39121.490103830154</v>
      </c>
      <c r="AX448" s="420">
        <f t="shared" si="539"/>
        <v>1149.9625271916593</v>
      </c>
      <c r="AY448" s="433">
        <f t="shared" si="540"/>
        <v>40271.452631021813</v>
      </c>
      <c r="AZ448" s="429">
        <f t="shared" si="541"/>
        <v>22749.640222399994</v>
      </c>
      <c r="BA448" s="431">
        <f t="shared" si="542"/>
        <v>27299.568266879993</v>
      </c>
      <c r="BB448" s="420">
        <f>(AM448*(1+$FB$9)+$FB$35)*(1+(INDEX(绊状态确认!$T:$T,MATCH($G448,绊状态确认!$B:$B,))+0.2)*AO448)*IF(J448=$FF$17,1+$FE$17,1)*IF(I448=$FF$14,1+$FE$14,1)*(1+$FE$15)</f>
        <v>13389.313737279997</v>
      </c>
      <c r="BC448" s="420">
        <f>(AN448*(1+$FB$10)+$FB$36)*(1+(INDEX(绊状态确认!$T:$T,MATCH($G448,绊状态确认!$B:$B,))+0.2)*AO448)*IF(J448=$FF$17,1+$FE$17,1)*IF(I448=$FF$14,1+$FE$14,1)*(1+$FE$15)</f>
        <v>23718.529408079994</v>
      </c>
      <c r="BD448" s="427">
        <f>MIN(AT448*0.15+BC448*0.00003+INDEX(绊状态确认!M:M,MATCH($G448,绊状态确认!$B:$B,)),1)</f>
        <v>0.8915558822423999</v>
      </c>
      <c r="BE448" s="432">
        <f>(INDEX(绊状态确认!$N:$N,MATCH($G448,绊状态确认!$B:$B,))+1.5)</f>
        <v>1.9</v>
      </c>
      <c r="BF448" s="645">
        <f t="array" ref="BF448">SUMPRODUCT(IF(AZ448*AP448*$FI$16:$FI$23*$FA$22&gt;=$FI$24,$FI$24,AZ448*AP448*$FI$16:$FI$23*$FA$22),$FJ$16:$FJ$23)</f>
        <v>45249.034402353602</v>
      </c>
      <c r="BG448" s="453">
        <f t="array" ref="BG448">SUMPRODUCT(IF(BE448*AZ448*AP448*$FI$16:$FI$23*$FA$22&gt;=$FI$24,$FI$24,BE448*AZ448*AP448*$FI$16:$FI$23*$FA$22),$FJ$16:$FJ$23)</f>
        <v>60000</v>
      </c>
      <c r="BH448" s="433">
        <f t="shared" si="543"/>
        <v>19466.781516563507</v>
      </c>
      <c r="BI448" s="434">
        <f>IF(O448="vo",$EW$26/$EW$24*0.05,0)+IF(O448="sk",-$EW$26/$EW$24*(0.05-INDEX(绊状态确认!W:W,MATCH($G448,绊状态确认!$B:$B,)))+0.05*$EW$28,0)+IF(O448="sp",0.05*$EW$32*$EW$30*(1-$EW$33)-(0.05-INDEX(绊状态确认!V:V,MATCH($G448,绊状态确认!$B:$B,)))*$EW$28,0)+IF(O448="gd",-(0.05-INDEX(绊状态确认!X:X,MATCH($G448,绊状态确认!$B:$B,)))*$EW$32*$EW$30*(1-$EW$33),0)</f>
        <v>19.999999999999886</v>
      </c>
      <c r="BJ448" s="420">
        <f>IF(O448="vo",0.05*(1-$FI$26)*$FA$24,0)+IF(O448="sk",-(0.05-INDEX(绊状态确认!W:W,MATCH($G448,绊状态确认!$B:$B,)))*(1-$FI$26)*$FA$24+0.05*$FA$26,0)+IF(O448="sp",0.05*$FA$32*$FA$27*(1-$FA$33)/$FA$30+0.05*$FA$29/$FA$69*$FA$27*(1-$FA$33)-(0.05-INDEX(绊状态确认!V:V,MATCH($G448,绊状态确认!$B:$B,)))*$FA$26,0)+IF(O448="gd",-(0.05-INDEX(绊状态确认!X:X,MATCH($G448,绊状态确认!$B:$B,)))*$FA$32*$FA$27*(1-$FA$33)/$FA$30-(0.05-INDEX(绊状态确认!X:X,MATCH($G448,绊状态确认!$B:$B,)))*$FA$29/$FA$69*$FA$27*(1-$FA$33),0)</f>
        <v>545.83333333333326</v>
      </c>
      <c r="BK448" s="433">
        <f>IF(O448="vo",$EW$26/$EW$24*0.05+$EW$26*(-HP($EW$62,$EW$65,$EW$64)+HP($EW$62,$EW$65,(1.05-INDEX(绊状态确认!U:U,MATCH($G448,绊状态确认!$B:$B,)))*$EW$64)),0)+IF(O448="sk",-$EW$26/$EW$24*(0.05-INDEX(绊状态确认!W:W,MATCH($G448,绊状态确认!$B:$B,)))+0.05*$EW$29,0)+IF(O448="sp",0.05*$EW$32*$EW$30*(1-$EW$33)-(0.05-INDEX(绊状态确认!V:V,MATCH($G448,绊状态确认!$B:$B,)))*$EW$29,0)+IF(O448="gd",-(0.05-INDEX(绊状态确认!X:X,MATCH($G448,绊状态确认!$B:$B,)))*$EW$32*$EW$30*(1-$EW$33)+$EW$26*(-HP($EW$62,$EW$65,$EW$64)+HP($EW$62,$EW$65,0.95*$EW$64)),0)</f>
        <v>-1780.0000000000005</v>
      </c>
      <c r="BL448" s="434">
        <f t="shared" si="544"/>
        <v>0</v>
      </c>
      <c r="BM448" s="433">
        <f t="shared" si="545"/>
        <v>0</v>
      </c>
      <c r="BN448" s="437">
        <f t="shared" si="546"/>
        <v>3</v>
      </c>
      <c r="BO448" s="1108">
        <f t="shared" si="547"/>
        <v>4507.7214871259994</v>
      </c>
      <c r="BP448" s="1100">
        <f t="shared" si="548"/>
        <v>221.34103209030098</v>
      </c>
      <c r="BQ448" s="1113" t="s">
        <v>134</v>
      </c>
      <c r="BR448" s="1124" t="s">
        <v>2649</v>
      </c>
      <c r="BS448" s="421">
        <f>IF($P448="","N/A",IF($P448=-1,INDEX('卡片raw data'!AX:AX,MATCH($D448,'卡片raw data'!$F:$F,)),0)+IF($L448="party卡",IF($P448=5,INDEX('卡片raw data'!BD:BD,MATCH($D448,'卡片raw data'!$F:$F,)),IF($P448&gt;=3,INDEX('卡片raw data'!BC:BC,MATCH($D448,'卡片raw data'!$F:$F,)),INDEX('卡片raw data'!BB:BB,MATCH($D448,'卡片raw data'!$F:$F,)))),IF(OR(AND($F448="UR",$P448=0),AND($F448="SR",$P448&gt;=0,$P448&lt;=2),AND($F448="R",$P448&gt;=0,$P448&lt;4)),INDEX('卡片raw data'!AZ:AZ,MATCH($D448,'卡片raw data'!$F:$F,)),0)+IF(OR(AND($F448="UR",$P448&gt;=1,$P448&lt;=4),AND($F448="SR",$P448&lt;=4,$P448&gt;=3),AND($F448="R",$P448=4)),INDEX('卡片raw data'!BA:BA,MATCH($D448,'卡片raw data'!$F:$F,)),0)+IF($P448=5,INDEX('卡片raw data'!BB:BB,MATCH($D448,'卡片raw data'!$F:$F,)),0)))</f>
        <v>5.1999999999999998E-2</v>
      </c>
      <c r="BT448" s="424">
        <f t="shared" si="549"/>
        <v>2043.7719479113725</v>
      </c>
      <c r="BU448" s="420">
        <f t="shared" si="550"/>
        <v>147.8325622517801</v>
      </c>
      <c r="BV448" s="420">
        <f t="shared" si="551"/>
        <v>1226.2631687468233</v>
      </c>
      <c r="BW448" s="436">
        <f t="shared" si="552"/>
        <v>0</v>
      </c>
      <c r="BX448" s="423">
        <f t="shared" si="553"/>
        <v>2043.7719479113725</v>
      </c>
      <c r="BY448" s="433">
        <f t="shared" si="554"/>
        <v>1226.2631687468233</v>
      </c>
      <c r="BZ448" s="1113" t="s">
        <v>569</v>
      </c>
      <c r="CA448" s="450"/>
      <c r="CB448" s="421">
        <f>IF($P448="","N/A",IF($P448=-1,INDEX('卡片raw data'!BE:BE,MATCH($D448,'卡片raw data'!$F:$F,)),0)+IF($L448="party卡",IF($P448=5,INDEX('卡片raw data'!BK:BK,MATCH($D448,'卡片raw data'!$F:$F,)),IF($P448&gt;=3,INDEX('卡片raw data'!BJ:BJ,MATCH($D448,'卡片raw data'!$F:$F,)),INDEX('卡片raw data'!BI:BI,MATCH($D448,'卡片raw data'!$F:$F,)))),IF(OR(AND($F448="UR",$P448=0),AND($F448="SR",$P448&gt;=0,$P448&lt;=2),AND($F448="R",$P448&gt;=0,$P448&lt;4)),INDEX('卡片raw data'!BG:BG,MATCH($D448,'卡片raw data'!$F:$F,)),0)+IF(OR(AND($F448="UR",$P448&gt;=1,$P448&lt;=4),AND($F448="SR",$P448&lt;=4,$P448&gt;=3),AND($F448="R",$P448=4)),INDEX('卡片raw data'!BH:BH,MATCH($D448,'卡片raw data'!$F:$F,)),0)+IF($P448=5,INDEX('卡片raw data'!BI:BI,MATCH($D448,'卡片raw data'!$F:$F,)),0)))</f>
        <v>0</v>
      </c>
      <c r="CC448" s="424">
        <f t="shared" si="555"/>
        <v>0</v>
      </c>
      <c r="CD448" s="420">
        <f>IF(BZ448="ap",CB448*(1-$FI$26)*$FB$5/$FB$11*(+IF(CA448="全员",$FA$24,0)+IF(CA448="同作战",$FA$24,0)+IF(CA448="仲间",$FA$24*2/3,0)+IF(CA448="同属性",$FA$24*$FA$37/3,0)+IF(CA448="同年级",$FA$24*$FA$40/3,0)+IF(CA448="同学校",$FA$24*$FA$43/3,0)+IF(CA448="同小队",$FA$24*$FA$46/3,0)+IF(CA448="同type",$FA$24*INDEX($FB$49:$FB$52,MATCH(X448,$FA$49:$FA$52,))/3,0)+IF(CA448="自身",#REF!/3,0)),0)+IF(BZ448="te",CB448*(1-$FI$27)*($FA$20-1)*$FB$7/$FB$13*(+IF(CA448="全员",$FA$19*$FA$24/(1+($FA$20-1)*$FA$19),0)+IF(CA448="同作战",$FA$19*$FA$24/(1+($FA$20-1)*$FA$19),0)+IF(CA448="仲间",$FA$19*$FA$24*2/3/(1+($FA$20-1)*$FA$19),0)+IF(CA448="同属性",$FA$19*$FA$24*$FA$37/3/(1+($FA$20-1)*$FA$19),0)+IF(CA448="同年级",$FA$19*$FA$24*$FA$40/3/(1+($FA$20-1)*$FA$19),0)+IF(CA448="同学校",$FA$19*$FA$24*$FA$43/3/(1+($FA$20-1)*$FA$19),0)+IF(CA448="同小队",$FA$19*$FA$24*$FA$46/3/(1+($FA$20-1)*$FA$19),0)+IF(CA448="同type",$FA$19*$FA$24*INDEX($FB$49:$FB$52,MATCH(X448,$FA$49:$FA$52,))/3/(1+($FA$20-1)*$FA$19),0)+IF(CA448="自身",$FA$19*#REF!/3/(1+(BH448-1)*$BD448),0)),0)</f>
        <v>0</v>
      </c>
      <c r="CE448" s="420">
        <f t="shared" si="556"/>
        <v>0</v>
      </c>
      <c r="CF448" s="436">
        <f t="shared" si="557"/>
        <v>0</v>
      </c>
      <c r="CG448" s="423">
        <f t="shared" si="558"/>
        <v>0</v>
      </c>
      <c r="CH448" s="433">
        <f t="shared" si="559"/>
        <v>0</v>
      </c>
      <c r="CI448" s="1113" t="s">
        <v>162</v>
      </c>
      <c r="CJ448" s="1114">
        <v>1</v>
      </c>
      <c r="CK448" s="1115" t="s">
        <v>2650</v>
      </c>
      <c r="CL448" s="1115" t="s">
        <v>2649</v>
      </c>
      <c r="CM448" s="1119">
        <v>0.18</v>
      </c>
      <c r="CN448" s="1115">
        <v>3</v>
      </c>
      <c r="CO448" s="1115"/>
      <c r="CP448" s="1118">
        <f t="shared" si="560"/>
        <v>6.4285714285714293E-3</v>
      </c>
      <c r="CQ448" s="1118">
        <f t="shared" si="561"/>
        <v>1.0000000000000002E-2</v>
      </c>
      <c r="CR448" s="1118">
        <f t="shared" si="562"/>
        <v>3.8571428571428576E-3</v>
      </c>
      <c r="CS448" s="442">
        <f t="shared" si="563"/>
        <v>0</v>
      </c>
      <c r="CT448" s="432">
        <f t="shared" si="564"/>
        <v>1.8046875000000002</v>
      </c>
      <c r="CU448" s="1101">
        <f t="shared" si="565"/>
        <v>83.571428571428569</v>
      </c>
      <c r="CV448" s="1108">
        <f t="shared" si="566"/>
        <v>99.666666666666671</v>
      </c>
      <c r="CW448" s="420">
        <f t="shared" si="567"/>
        <v>50.142857142857146</v>
      </c>
      <c r="CX448" s="420">
        <f t="shared" si="568"/>
        <v>83.571428571428569</v>
      </c>
      <c r="CY448" s="433">
        <f t="shared" si="569"/>
        <v>50.142857142857146</v>
      </c>
      <c r="CZ448" s="437"/>
      <c r="DA448" s="438"/>
      <c r="DB448" s="439" t="s">
        <v>569</v>
      </c>
      <c r="DC448" s="439"/>
      <c r="DD448" s="443"/>
      <c r="DE448" s="411"/>
      <c r="DF448" s="411"/>
      <c r="DG448" s="1116">
        <f t="shared" si="570"/>
        <v>0</v>
      </c>
      <c r="DH448" s="1116">
        <f t="shared" si="571"/>
        <v>0</v>
      </c>
      <c r="DI448" s="1116">
        <f t="shared" si="572"/>
        <v>0</v>
      </c>
      <c r="DJ448" s="442">
        <f t="shared" si="573"/>
        <v>0</v>
      </c>
      <c r="DK448" s="432">
        <f t="shared" si="574"/>
        <v>0</v>
      </c>
      <c r="DL448" s="424">
        <f t="shared" si="575"/>
        <v>0</v>
      </c>
      <c r="DM448" s="420">
        <f t="shared" si="576"/>
        <v>0</v>
      </c>
      <c r="DN448" s="420">
        <f t="shared" si="577"/>
        <v>0</v>
      </c>
      <c r="DO448" s="420">
        <f t="shared" si="578"/>
        <v>0</v>
      </c>
      <c r="DP448" s="433">
        <f t="shared" si="579"/>
        <v>0</v>
      </c>
      <c r="DQ448" s="1113" t="s">
        <v>533</v>
      </c>
      <c r="DR448" s="444">
        <f t="shared" si="580"/>
        <v>0.33</v>
      </c>
      <c r="DS448" s="1124">
        <v>3</v>
      </c>
      <c r="DT448" s="1093" t="s">
        <v>169</v>
      </c>
      <c r="DU448" s="1093" t="s">
        <v>544</v>
      </c>
      <c r="DV448" s="1098">
        <f>IF($P448="","N/A",IF(P448=-1,INDEX('卡片raw data'!AN:AN,MATCH(D448,'卡片raw data'!$F:$F,)),0)+IF(AND(L448&lt;&gt;"party卡",P448&lt;=2,P448&gt;=0),INDEX('卡片raw data'!AP:AP,MATCH(D448,'卡片raw data'!$F:$F,)),0)+IF(OR(AND(L448="party卡",P448&lt;=1),AND(P448&lt;=4,L448&lt;&gt;"party卡",P448&gt;=3)),INDEX('卡片raw data'!AQ:AQ,MATCH(D448,'卡片raw data'!$F:$F,)),0)+IF(OR(P448=5,AND(L448="party卡",P448&gt;=2)),INDEX('卡片raw data'!AR:AR,MATCH(D448,'卡片raw data'!$F:$F,)),0))</f>
        <v>0.45</v>
      </c>
      <c r="DW448" s="1098">
        <f t="shared" si="581"/>
        <v>0.33</v>
      </c>
      <c r="DX448" s="1098">
        <f t="shared" si="582"/>
        <v>0.33</v>
      </c>
      <c r="DY448" s="1098">
        <f t="shared" si="583"/>
        <v>8.2500000000000018E-2</v>
      </c>
      <c r="DZ448" s="1098">
        <f t="shared" si="584"/>
        <v>7.1362500000000009E-2</v>
      </c>
      <c r="EA448" s="421">
        <f t="shared" si="585"/>
        <v>0</v>
      </c>
      <c r="EB448" s="445">
        <f t="shared" si="586"/>
        <v>17.284259179687496</v>
      </c>
      <c r="EC448" s="424">
        <f t="shared" si="587"/>
        <v>1072.5000000000002</v>
      </c>
      <c r="ED448" s="420">
        <f t="shared" si="588"/>
        <v>711.24625000000003</v>
      </c>
      <c r="EE448" s="433">
        <f t="shared" si="598"/>
        <v>1072.5000000000002</v>
      </c>
      <c r="EF448" s="1115" t="s">
        <v>569</v>
      </c>
      <c r="EG448" s="444">
        <f t="shared" si="589"/>
        <v>0.33</v>
      </c>
      <c r="EH448" s="450"/>
      <c r="EI448" s="1093"/>
      <c r="EJ448" s="1093"/>
      <c r="EK448" s="1097">
        <f>IF($P448="","N/A",IF(P448=-1,INDEX('卡片raw data'!AS:AS,MATCH(D448,'卡片raw data'!$F:$F,)),0)+IF(AND(L448&lt;&gt;"party卡",P448&lt;=2,P448&gt;=0),INDEX('卡片raw data'!AU:AU,MATCH(D448,'卡片raw data'!$F:$F,)),0)+IF(OR(AND(L448="party卡",P448&lt;=1),AND(P448&lt;=4,L448&lt;&gt;"party卡",P448&gt;=3)),INDEX('卡片raw data'!AV:AV,MATCH(D448,'卡片raw data'!$F:$F,)),0)+IF(OR(P448=5,AND(L448="party卡",P448&gt;=2)),INDEX('卡片raw data'!AW:AW,MATCH(D448,'卡片raw data'!$F:$F,)),0))</f>
        <v>0</v>
      </c>
      <c r="EL448" s="1098">
        <f t="shared" si="590"/>
        <v>0.33</v>
      </c>
      <c r="EM448" s="1098">
        <f t="shared" si="591"/>
        <v>0.33</v>
      </c>
      <c r="EN448" s="1097">
        <f t="shared" si="592"/>
        <v>0</v>
      </c>
      <c r="EO448" s="1097">
        <f t="shared" si="593"/>
        <v>0</v>
      </c>
      <c r="EP448" s="421">
        <f t="shared" si="594"/>
        <v>0</v>
      </c>
      <c r="EQ448" s="445">
        <f t="shared" si="595"/>
        <v>0</v>
      </c>
      <c r="ER448" s="424">
        <f t="shared" si="596"/>
        <v>0</v>
      </c>
      <c r="ES448" s="420">
        <f t="shared" si="597"/>
        <v>0</v>
      </c>
      <c r="ET448" s="446">
        <f t="shared" si="599"/>
        <v>0</v>
      </c>
    </row>
    <row r="449" spans="2:150" ht="16.5" customHeight="1">
      <c r="B449" s="448" t="str">
        <f>INDEX('卡片raw data'!B:B,MATCH($D449,'卡片raw data'!$F:$F,))</f>
        <v>nbg花</v>
      </c>
      <c r="C449" s="449" t="s">
        <v>2641</v>
      </c>
      <c r="D449" s="408">
        <v>446</v>
      </c>
      <c r="E449" s="477">
        <v>400082004</v>
      </c>
      <c r="F449" s="409" t="str">
        <f>INDEX('卡片raw data'!C:C,MATCH($D449,'卡片raw data'!$F:$F,))</f>
        <v>SR</v>
      </c>
      <c r="G449" s="1094" t="s">
        <v>2652</v>
      </c>
      <c r="H449" s="411">
        <f>IFERROR(INDEX(绊状态确认!C:C,MATCH($G449,绊状态确认!$B:$B,)),"")</f>
        <v>8</v>
      </c>
      <c r="I449" s="450" t="str">
        <f>IFERROR(INDEX(绊状态确认!D:D,MATCH($G449,绊状态确认!$B:$B,)),"")</f>
        <v>缪</v>
      </c>
      <c r="J449" s="450" t="str">
        <f>IFERROR(INDEX(绊状态确认!E:E,MATCH($G449,绊状态确认!$B:$B,)),"")</f>
        <v>1年级</v>
      </c>
      <c r="K449" s="451" t="str">
        <f>IFERROR(INDEX(绊状态确认!F:F,MATCH($G449,绊状态确认!$B:$B,)),"")</f>
        <v>Printemps</v>
      </c>
      <c r="L449" s="414" t="str">
        <f>INDEX('卡片raw data'!E:E,MATCH($D449,'卡片raw data'!$F:$F,))</f>
        <v>活动卡</v>
      </c>
      <c r="M449" s="478">
        <v>44305</v>
      </c>
      <c r="N449" s="479">
        <v>38</v>
      </c>
      <c r="O449" s="410" t="str">
        <f>INDEX('卡片raw data'!D:D,MATCH($D449,'卡片raw data'!$F:$F,))</f>
        <v>gd</v>
      </c>
      <c r="P449" s="1126">
        <v>5</v>
      </c>
      <c r="Q449" s="418">
        <f t="shared" si="515"/>
        <v>18935.121223722446</v>
      </c>
      <c r="R449" s="419">
        <f t="shared" si="516"/>
        <v>0.22</v>
      </c>
      <c r="S449" s="420">
        <f t="shared" si="517"/>
        <v>11235.412825410342</v>
      </c>
      <c r="T449" s="421">
        <f t="shared" si="518"/>
        <v>0.56100000000000005</v>
      </c>
      <c r="U449" s="422">
        <f t="shared" si="519"/>
        <v>75.104845238938566</v>
      </c>
      <c r="V449" s="423">
        <f t="shared" si="520"/>
        <v>26264.430209008468</v>
      </c>
      <c r="W449" s="424">
        <f t="shared" si="521"/>
        <v>4507.7214871259994</v>
      </c>
      <c r="X449" s="419">
        <f t="shared" si="522"/>
        <v>5.1999999999999998E-2</v>
      </c>
      <c r="Y449" s="420">
        <f t="shared" si="523"/>
        <v>1409.1089782821582</v>
      </c>
      <c r="Z449" s="425">
        <f t="shared" si="524"/>
        <v>17.604845238938566</v>
      </c>
      <c r="AA449" s="426">
        <f t="shared" si="525"/>
        <v>5916.8304654081576</v>
      </c>
      <c r="AB449" s="424">
        <f t="shared" si="526"/>
        <v>4507.7214871259994</v>
      </c>
      <c r="AC449" s="427">
        <f t="shared" si="527"/>
        <v>5.1999999999999998E-2</v>
      </c>
      <c r="AD449" s="428">
        <f t="shared" si="528"/>
        <v>-3.8207812500000026E-3</v>
      </c>
      <c r="AE449" s="516">
        <f t="shared" si="529"/>
        <v>-18.525362318840578</v>
      </c>
      <c r="AF449" s="1130">
        <f t="shared" si="530"/>
        <v>0</v>
      </c>
      <c r="AG449" s="420">
        <f t="shared" si="531"/>
        <v>0</v>
      </c>
      <c r="AH449" s="420">
        <f t="shared" si="532"/>
        <v>0</v>
      </c>
      <c r="AI449" s="1097">
        <f t="shared" si="533"/>
        <v>0</v>
      </c>
      <c r="AJ449" s="420">
        <f t="shared" si="534"/>
        <v>0</v>
      </c>
      <c r="AK449" s="518">
        <f t="shared" si="535"/>
        <v>0</v>
      </c>
      <c r="AL449" s="429">
        <f>IF($P449="","N/A",(IF($P449=-1,INDEX('卡片raw data'!S:S,MATCH($D449,'卡片raw data'!$F:$F,)),0)+IF($P449=0,INDEX('卡片raw data'!V:V,MATCH($D449,'卡片raw data'!$F:$F,)),0)+IF($P449=1,INDEX('卡片raw data'!Y:Y,MATCH($D449,'卡片raw data'!$F:$F,)),0)+IF($P449=2,INDEX('卡片raw data'!AB:AB,MATCH($D449,'卡片raw data'!$F:$F,)),0)+IF($P449=3,INDEX('卡片raw data'!AE:AE,MATCH($D449,'卡片raw data'!$F:$F,)),0)+IF($P449=4,INDEX('卡片raw data'!AH:AH,MATCH($D449,'卡片raw data'!$F:$F,)),0)+IF($P449=5,INDEX('卡片raw data'!AK:AK,MATCH($D449,'卡片raw data'!$F:$F,)),0)+INDEX('卡片raw data'!S:S,MATCH($D449,'卡片raw data'!$F:$F,))*(IF($F449="UR",0.04,0.033))*(IF($F449="UR",INDEX(绊状态确认!$S:$S,MATCH($G449,绊状态确认!$B:$B,))/2-40)+IF($F449="SR",INDEX(绊状态确认!$R:$R,MATCH($G449,绊状态确认!$B:$B,))/4-15))+IF($F449="R",INDEX(绊状态确认!$Q:$Q,MATCH($G449,绊状态确认!$B:$B,))/6-40/6)))*(INDEX(绊状态确认!$H:$H,MATCH($G449,绊状态确认!$B:$B,))+INDEX(绊状态确认!J:J,MATCH($G449,绊状态确认!$B:$B,)))</f>
        <v>6160.6789535999997</v>
      </c>
      <c r="AM449" s="429">
        <f>IF($P449="","N/A",(IF($P449=-1,INDEX('卡片raw data'!T:T,MATCH($D449,'卡片raw data'!$F:$F,)),0)+IF($P449=0,INDEX('卡片raw data'!W:W,MATCH($D449,'卡片raw data'!$F:$F,)),0)+IF($P449=1,INDEX('卡片raw data'!Z:Z,MATCH($D449,'卡片raw data'!$F:$F,)),0)+IF($P449=2,INDEX('卡片raw data'!AC:AC,MATCH($D449,'卡片raw data'!$F:$F,)),0)+IF($P449=3,INDEX('卡片raw data'!AF:AF,MATCH($D449,'卡片raw data'!$F:$F,)),0)+IF($P449=4,INDEX('卡片raw data'!AI:AI,MATCH($D449,'卡片raw data'!$F:$F,)),0)+IF($P449=5,INDEX('卡片raw data'!AL:AL,MATCH($D449,'卡片raw data'!$F:$F,)),0)+INDEX('卡片raw data'!T:T,MATCH($D449,'卡片raw data'!$F:$F,))*(IF($F449="UR",0.04,0.033))*(IF($F449="UR",INDEX(绊状态确认!$S:$S,MATCH($G449,绊状态确认!$B:$B,))/2-40)+IF($F449="SR",INDEX(绊状态确认!$R:$R,MATCH($G449,绊状态确认!$B:$B,))/4-15))+IF($F449="R",INDEX(绊状态确认!$Q:$Q,MATCH($G449,绊状态确认!$B:$B,))/6-40/6)))*(INDEX(绊状态确认!$H:$H,MATCH($G449,绊状态确认!$B:$B,))+INDEX(绊状态确认!K:K,MATCH($G449,绊状态确认!$B:$B,)))</f>
        <v>8471.8233623999986</v>
      </c>
      <c r="AN449" s="429">
        <f>IF($P449="","N/A",(IF($P449=-1,INDEX('卡片raw data'!U:U,MATCH($D449,'卡片raw data'!$F:$F,)),0)+IF($P449=0,INDEX('卡片raw data'!X:X,MATCH($D449,'卡片raw data'!$F:$F,)),0)+IF($P449=1,INDEX('卡片raw data'!AA:AA,MATCH($D449,'卡片raw data'!$F:$F,)),0)+IF($P449=2,INDEX('卡片raw data'!AD:AD,MATCH($D449,'卡片raw data'!$F:$F,)),0)+IF($P449=3,INDEX('卡片raw data'!AG:AG,MATCH($D449,'卡片raw data'!$F:$F,)),0)+IF($P449=4,INDEX('卡片raw data'!AJ:AJ,MATCH($D449,'卡片raw data'!$F:$F,)),0)+IF($P449=5,INDEX('卡片raw data'!AM:AM,MATCH($D449,'卡片raw data'!$F:$F,)),0)+INDEX('卡片raw data'!U:U,MATCH($D449,'卡片raw data'!$F:$F,))*(IF($F449="UR",0.04,0.033))*(IF($F449="UR",INDEX(绊状态确认!$S:$S,MATCH($G449,绊状态确认!$B:$B,))/2-40)+IF($F449="SR",INDEX(绊状态确认!$R:$R,MATCH($G449,绊状态确认!$B:$B,))/4-15))+IF($F449="R",INDEX(绊状态确认!$Q:$Q,MATCH($G449,绊状态确认!$B:$B,))/6-40/6)))*(INDEX(绊状态确认!$H:$H,MATCH($G449,绊状态确认!$B:$B,))+INDEX(绊状态确认!L:L,MATCH($G449,绊状态确认!$B:$B,)))</f>
        <v>4619.9410151999991</v>
      </c>
      <c r="AO449" s="430">
        <f t="shared" si="536"/>
        <v>1</v>
      </c>
      <c r="AP449" s="556">
        <f>1+(INDEX(绊状态确认!$T:$T,MATCH($G449,绊状态确认!$B:$B,))+0.2)*$AO449</f>
        <v>1.3</v>
      </c>
      <c r="AQ449" s="431">
        <f t="shared" si="537"/>
        <v>19421.782253199999</v>
      </c>
      <c r="AR449" s="420">
        <f>(AM449*(1+$EX$9)+$EX$35)*(1+(INDEX(绊状态确认!$T:$T,MATCH($G449,绊状态确认!$B:$B,))+0.2)*AO449)*IF(J449=$FF$17,1+$FE$17,1)*IF(I449=$FF$14,1+$FE$14,1)</f>
        <v>14268.038889675998</v>
      </c>
      <c r="AS449" s="420">
        <f>(AN449*(1+$EX$10)+$EX$36)*(1+(INDEX(绊状态确认!$T:$T,MATCH($G449,绊状态确认!$B:$B,))+0.2)*AO449)*IF(J449=$FF$17,1+$FE$17,1)*IF(I449=$FF$14,1+$FE$14,1)</f>
        <v>10962.811817723998</v>
      </c>
      <c r="AT449" s="412">
        <f>IF(AND(INDEX('卡片raw data'!AK:AK,MATCH($D449,'卡片raw data'!$F:$F,))&lt;INDEX('卡片raw data'!AM:AM,MATCH($D449,'卡片raw data'!$F:$F,)),INDEX('卡片raw data'!AL:AL,MATCH($D449,'卡片raw data'!$F:$F,))&lt;INDEX('卡片raw data'!AM:AM,MATCH($D449,'卡片raw data'!$F:$F,))),1,0)</f>
        <v>0</v>
      </c>
      <c r="AU449" s="421">
        <f>MIN(AT449*0.15+AS449*0.00003+INDEX(绊状态确认!M:M,MATCH($G449,绊状态确认!$B:$B,)),1)</f>
        <v>0.35888435453171996</v>
      </c>
      <c r="AV449" s="432">
        <f>(INDEX(绊状态确认!$N:$N,MATCH($G449,绊状态确认!$B:$B,))+1.5)*$EW$21</f>
        <v>2.6599999999999997</v>
      </c>
      <c r="AW449" s="424">
        <f t="shared" si="538"/>
        <v>16095.73306992978</v>
      </c>
      <c r="AX449" s="420">
        <f t="shared" si="539"/>
        <v>1227.8134796578988</v>
      </c>
      <c r="AY449" s="433">
        <f t="shared" si="540"/>
        <v>17323.546549587678</v>
      </c>
      <c r="AZ449" s="429">
        <f t="shared" si="541"/>
        <v>14613.323959519999</v>
      </c>
      <c r="BA449" s="431">
        <f t="shared" si="542"/>
        <v>17535.988751424</v>
      </c>
      <c r="BB449" s="420">
        <f>(AM449*(1+$FB$9)+$FB$35)*(1+(INDEX(绊状态确认!$T:$T,MATCH($G449,绊状态确认!$B:$B,))+0.2)*AO449)*IF(J449=$FF$17,1+$FE$17,1)*IF(I449=$FF$14,1+$FE$14,1)*(1+$FE$15)</f>
        <v>14268.038889675998</v>
      </c>
      <c r="BC449" s="420">
        <f>(AN449*(1+$FB$10)+$FB$36)*(1+(INDEX(绊状态确认!$T:$T,MATCH($G449,绊状态确认!$B:$B,))+0.2)*AO449)*IF(J449=$FF$17,1+$FE$17,1)*IF(I449=$FF$14,1+$FE$14,1)*(1+$FE$15)</f>
        <v>10962.811817723998</v>
      </c>
      <c r="BD449" s="427">
        <f>MIN(AT449*0.15+BC449*0.00003+INDEX(绊状态确认!M:M,MATCH($G449,绊状态确认!$B:$B,)),1)</f>
        <v>0.35888435453171996</v>
      </c>
      <c r="BE449" s="432">
        <f>(INDEX(绊状态确认!$N:$N,MATCH($G449,绊状态确认!$B:$B,))+1.5)</f>
        <v>1.9</v>
      </c>
      <c r="BF449" s="645">
        <f t="array" ref="BF449">SUMPRODUCT(IF(AZ449*AP449*$FI$16:$FI$23*$FA$22&gt;=$FI$24,$FI$24,AZ449*AP449*$FI$16:$FI$23*$FA$22),$FJ$16:$FJ$23)</f>
        <v>29065.901355485283</v>
      </c>
      <c r="BG449" s="453">
        <f t="array" ref="BG449">SUMPRODUCT(IF(BE449*AZ449*AP449*$FI$16:$FI$23*$FA$22&gt;=$FI$24,$FI$24,BE449*AZ449*AP449*$FI$16:$FI$23*$FA$22),$FJ$16:$FJ$23)</f>
        <v>53733.961078214255</v>
      </c>
      <c r="BH449" s="433">
        <f t="shared" si="543"/>
        <v>12639.627348875596</v>
      </c>
      <c r="BI449" s="434">
        <f>IF(O449="vo",$EW$26/$EW$24*0.05,0)+IF(O449="sk",-$EW$26/$EW$24*(0.05-INDEX(绊状态确认!W:W,MATCH($G449,绊状态确认!$B:$B,)))+0.05*$EW$28,0)+IF(O449="sp",0.05*$EW$32*$EW$30*(1-$EW$33)-(0.05-INDEX(绊状态确认!V:V,MATCH($G449,绊状态确认!$B:$B,)))*$EW$28,0)+IF(O449="gd",-(0.05-INDEX(绊状态确认!X:X,MATCH($G449,绊状态确认!$B:$B,)))*$EW$32*$EW$30*(1-$EW$33),0)</f>
        <v>-585.00000000000011</v>
      </c>
      <c r="BJ449" s="420">
        <f>IF(O449="vo",0.05*(1-$FI$26)*$FA$24,0)+IF(O449="sk",-(0.05-INDEX(绊状态确认!W:W,MATCH($G449,绊状态确认!$B:$B,)))*(1-$FI$26)*$FA$24+0.05*$FA$26,0)+IF(O449="sp",0.05*$FA$32*$FA$27*(1-$FA$33)/$FA$30+0.05*$FA$29/$FA$69*$FA$27*(1-$FA$33)-(0.05-INDEX(绊状态确认!V:V,MATCH($G449,绊状态确认!$B:$B,)))*$FA$26,0)+IF(O449="gd",-(0.05-INDEX(绊状态确认!X:X,MATCH($G449,绊状态确认!$B:$B,)))*$FA$32*$FA$27*(1-$FA$33)/$FA$30-(0.05-INDEX(绊状态确认!X:X,MATCH($G449,绊状态确认!$B:$B,)))*$FA$29/$FA$69*$FA$27*(1-$FA$33),0)</f>
        <v>-795.00000000000011</v>
      </c>
      <c r="BK449" s="433">
        <f>IF(O449="vo",$EW$26/$EW$24*0.05+$EW$26*(-HP($EW$62,$EW$65,$EW$64)+HP($EW$62,$EW$65,(1.05-INDEX(绊状态确认!U:U,MATCH($G449,绊状态确认!$B:$B,)))*$EW$64)),0)+IF(O449="sk",-$EW$26/$EW$24*(0.05-INDEX(绊状态确认!W:W,MATCH($G449,绊状态确认!$B:$B,)))+0.05*$EW$29,0)+IF(O449="sp",0.05*$EW$32*$EW$30*(1-$EW$33)-(0.05-INDEX(绊状态确认!V:V,MATCH($G449,绊状态确认!$B:$B,)))*$EW$29,0)+IF(O449="gd",-(0.05-INDEX(绊状态确认!X:X,MATCH($G449,绊状态确认!$B:$B,)))*$EW$32*$EW$30*(1-$EW$33)+$EW$26*(-HP($EW$62,$EW$65,$EW$64)+HP($EW$62,$EW$65,0.95*$EW$64)),0)</f>
        <v>1009.5947725176144</v>
      </c>
      <c r="BL449" s="434">
        <f t="shared" si="544"/>
        <v>-1083.3333333333333</v>
      </c>
      <c r="BM449" s="433">
        <f t="shared" si="545"/>
        <v>-830.55555555555543</v>
      </c>
      <c r="BN449" s="437">
        <f t="shared" si="546"/>
        <v>3</v>
      </c>
      <c r="BO449" s="1108">
        <f t="shared" si="547"/>
        <v>4507.7214871259994</v>
      </c>
      <c r="BP449" s="1100">
        <f t="shared" si="548"/>
        <v>221.34103209030098</v>
      </c>
      <c r="BQ449" s="1113" t="s">
        <v>133</v>
      </c>
      <c r="BR449" s="1124" t="s">
        <v>161</v>
      </c>
      <c r="BS449" s="421">
        <f>IF($P449="","N/A",IF($P449=-1,INDEX('卡片raw data'!AX:AX,MATCH($D449,'卡片raw data'!$F:$F,)),0)+IF($L449="party卡",IF($P449=5,INDEX('卡片raw data'!BD:BD,MATCH($D449,'卡片raw data'!$F:$F,)),IF($P449&gt;=3,INDEX('卡片raw data'!BC:BC,MATCH($D449,'卡片raw data'!$F:$F,)),INDEX('卡片raw data'!BB:BB,MATCH($D449,'卡片raw data'!$F:$F,)))),IF(OR(AND($F449="UR",$P449=0),AND($F449="SR",$P449&gt;=0,$P449&lt;=2),AND($F449="R",$P449&gt;=0,$P449&lt;4)),INDEX('卡片raw data'!AZ:AZ,MATCH($D449,'卡片raw data'!$F:$F,)),0)+IF(OR(AND($F449="UR",$P449&gt;=1,$P449&lt;=4),AND($F449="SR",$P449&lt;=4,$P449&gt;=3),AND($F449="R",$P449=4)),INDEX('卡片raw data'!BA:BA,MATCH($D449,'卡片raw data'!$F:$F,)),0)+IF($P449=5,INDEX('卡片raw data'!BB:BB,MATCH($D449,'卡片raw data'!$F:$F,)),0)))</f>
        <v>2.1999999999999999E-2</v>
      </c>
      <c r="BT449" s="424">
        <f t="shared" si="549"/>
        <v>0</v>
      </c>
      <c r="BU449" s="420">
        <f t="shared" si="550"/>
        <v>0</v>
      </c>
      <c r="BV449" s="420">
        <f t="shared" si="551"/>
        <v>0</v>
      </c>
      <c r="BW449" s="436">
        <f t="shared" si="552"/>
        <v>2.3176607142857137</v>
      </c>
      <c r="BX449" s="423">
        <f t="shared" si="553"/>
        <v>181.29549862425898</v>
      </c>
      <c r="BY449" s="433">
        <f t="shared" si="554"/>
        <v>181.29549862425898</v>
      </c>
      <c r="BZ449" s="1113" t="s">
        <v>569</v>
      </c>
      <c r="CA449" s="450"/>
      <c r="CB449" s="421">
        <f>IF($P449="","N/A",IF($P449=-1,INDEX('卡片raw data'!BE:BE,MATCH($D449,'卡片raw data'!$F:$F,)),0)+IF($L449="party卡",IF($P449=5,INDEX('卡片raw data'!BK:BK,MATCH($D449,'卡片raw data'!$F:$F,)),IF($P449&gt;=3,INDEX('卡片raw data'!BJ:BJ,MATCH($D449,'卡片raw data'!$F:$F,)),INDEX('卡片raw data'!BI:BI,MATCH($D449,'卡片raw data'!$F:$F,)))),IF(OR(AND($F449="UR",$P449=0),AND($F449="SR",$P449&gt;=0,$P449&lt;=2),AND($F449="R",$P449&gt;=0,$P449&lt;4)),INDEX('卡片raw data'!BG:BG,MATCH($D449,'卡片raw data'!$F:$F,)),0)+IF(OR(AND($F449="UR",$P449&gt;=1,$P449&lt;=4),AND($F449="SR",$P449&lt;=4,$P449&gt;=3),AND($F449="R",$P449=4)),INDEX('卡片raw data'!BH:BH,MATCH($D449,'卡片raw data'!$F:$F,)),0)+IF($P449=5,INDEX('卡片raw data'!BI:BI,MATCH($D449,'卡片raw data'!$F:$F,)),0)))</f>
        <v>0</v>
      </c>
      <c r="CC449" s="424">
        <f t="shared" si="555"/>
        <v>0</v>
      </c>
      <c r="CD449" s="420">
        <f>IF(BZ449="ap",CB449*(1-$FI$26)*$FB$5/$FB$11*(+IF(CA449="全员",$FA$24,0)+IF(CA449="同作战",$FA$24,0)+IF(CA449="仲间",$FA$24*2/3,0)+IF(CA449="同属性",$FA$24*$FA$37/3,0)+IF(CA449="同年级",$FA$24*$FA$40/3,0)+IF(CA449="同学校",$FA$24*$FA$43/3,0)+IF(CA449="同小队",$FA$24*$FA$46/3,0)+IF(CA449="同type",$FA$24*INDEX($FB$49:$FB$52,MATCH(X449,$FA$49:$FA$52,))/3,0)+IF(CA449="自身",#REF!/3,0)),0)+IF(BZ449="te",CB449*(1-$FI$27)*($FA$20-1)*$FB$7/$FB$13*(+IF(CA449="全员",$FA$19*$FA$24/(1+($FA$20-1)*$FA$19),0)+IF(CA449="同作战",$FA$19*$FA$24/(1+($FA$20-1)*$FA$19),0)+IF(CA449="仲间",$FA$19*$FA$24*2/3/(1+($FA$20-1)*$FA$19),0)+IF(CA449="同属性",$FA$19*$FA$24*$FA$37/3/(1+($FA$20-1)*$FA$19),0)+IF(CA449="同年级",$FA$19*$FA$24*$FA$40/3/(1+($FA$20-1)*$FA$19),0)+IF(CA449="同学校",$FA$19*$FA$24*$FA$43/3/(1+($FA$20-1)*$FA$19),0)+IF(CA449="同小队",$FA$19*$FA$24*$FA$46/3/(1+($FA$20-1)*$FA$19),0)+IF(CA449="同type",$FA$19*$FA$24*INDEX($FB$49:$FB$52,MATCH(X449,$FA$49:$FA$52,))/3/(1+($FA$20-1)*$FA$19),0)+IF(CA449="自身",$FA$19*#REF!/3/(1+(BH449-1)*$BD449),0)),0)</f>
        <v>0</v>
      </c>
      <c r="CE449" s="420">
        <f t="shared" si="556"/>
        <v>0</v>
      </c>
      <c r="CF449" s="436">
        <f t="shared" si="557"/>
        <v>0</v>
      </c>
      <c r="CG449" s="423">
        <f t="shared" si="558"/>
        <v>0</v>
      </c>
      <c r="CH449" s="433">
        <f t="shared" si="559"/>
        <v>0</v>
      </c>
      <c r="CI449" s="1113" t="s">
        <v>2653</v>
      </c>
      <c r="CJ449" s="1114">
        <v>1</v>
      </c>
      <c r="CK449" s="1115" t="s">
        <v>2643</v>
      </c>
      <c r="CL449" s="1115" t="s">
        <v>2644</v>
      </c>
      <c r="CM449" s="1119">
        <v>0.2</v>
      </c>
      <c r="CN449" s="1115"/>
      <c r="CO449" s="1115"/>
      <c r="CP449" s="1116">
        <f t="shared" si="560"/>
        <v>0</v>
      </c>
      <c r="CQ449" s="1116">
        <f t="shared" si="561"/>
        <v>0</v>
      </c>
      <c r="CR449" s="1117">
        <f t="shared" si="562"/>
        <v>0</v>
      </c>
      <c r="CS449" s="442">
        <f t="shared" si="563"/>
        <v>0</v>
      </c>
      <c r="CT449" s="432">
        <f t="shared" si="564"/>
        <v>0</v>
      </c>
      <c r="CU449" s="1101">
        <f t="shared" si="565"/>
        <v>0</v>
      </c>
      <c r="CV449" s="1108">
        <f t="shared" si="566"/>
        <v>0</v>
      </c>
      <c r="CW449" s="1097">
        <f t="shared" si="567"/>
        <v>0</v>
      </c>
      <c r="CX449" s="1097">
        <f t="shared" si="568"/>
        <v>0</v>
      </c>
      <c r="CY449" s="1110">
        <f t="shared" si="569"/>
        <v>0</v>
      </c>
      <c r="CZ449" s="437"/>
      <c r="DA449" s="438"/>
      <c r="DB449" s="439" t="s">
        <v>569</v>
      </c>
      <c r="DC449" s="439"/>
      <c r="DD449" s="443"/>
      <c r="DE449" s="411"/>
      <c r="DF449" s="411"/>
      <c r="DG449" s="1116">
        <f t="shared" si="570"/>
        <v>0</v>
      </c>
      <c r="DH449" s="1116">
        <f t="shared" si="571"/>
        <v>0</v>
      </c>
      <c r="DI449" s="1116">
        <f t="shared" si="572"/>
        <v>0</v>
      </c>
      <c r="DJ449" s="442">
        <f t="shared" si="573"/>
        <v>0</v>
      </c>
      <c r="DK449" s="432">
        <f t="shared" si="574"/>
        <v>0</v>
      </c>
      <c r="DL449" s="424">
        <f t="shared" si="575"/>
        <v>0</v>
      </c>
      <c r="DM449" s="420">
        <f t="shared" si="576"/>
        <v>0</v>
      </c>
      <c r="DN449" s="420">
        <f t="shared" si="577"/>
        <v>0</v>
      </c>
      <c r="DO449" s="420">
        <f t="shared" si="578"/>
        <v>0</v>
      </c>
      <c r="DP449" s="433">
        <f t="shared" si="579"/>
        <v>0</v>
      </c>
      <c r="DQ449" s="1113" t="s">
        <v>556</v>
      </c>
      <c r="DR449" s="1120">
        <f t="shared" si="580"/>
        <v>0.3</v>
      </c>
      <c r="DS449" s="1124">
        <v>5</v>
      </c>
      <c r="DT449" s="1093" t="s">
        <v>161</v>
      </c>
      <c r="DU449" s="1093" t="s">
        <v>544</v>
      </c>
      <c r="DV449" s="1098">
        <f>IF($P449="","N/A",IF(P449=-1,INDEX('卡片raw data'!AN:AN,MATCH(D449,'卡片raw data'!$F:$F,)),0)+IF(AND(L449&lt;&gt;"party卡",P449&lt;=2,P449&gt;=0),INDEX('卡片raw data'!AP:AP,MATCH(D449,'卡片raw data'!$F:$F,)),0)+IF(OR(AND(L449="party卡",P449&lt;=1),AND(P449&lt;=4,L449&lt;&gt;"party卡",P449&gt;=3)),INDEX('卡片raw data'!AQ:AQ,MATCH(D449,'卡片raw data'!$F:$F,)),0)+IF(OR(P449=5,AND(L449="party卡",P449&gt;=2)),INDEX('卡片raw data'!AR:AR,MATCH(D449,'卡片raw data'!$F:$F,)),0))</f>
        <v>0.2</v>
      </c>
      <c r="DW449" s="1098">
        <f t="shared" si="581"/>
        <v>0.3</v>
      </c>
      <c r="DX449" s="1098">
        <f t="shared" si="582"/>
        <v>0.3</v>
      </c>
      <c r="DY449" s="1098">
        <f t="shared" si="583"/>
        <v>0.1</v>
      </c>
      <c r="DZ449" s="1098">
        <f t="shared" si="584"/>
        <v>8.6500000000000007E-2</v>
      </c>
      <c r="EA449" s="421">
        <f t="shared" si="585"/>
        <v>0</v>
      </c>
      <c r="EB449" s="445">
        <f t="shared" si="586"/>
        <v>0</v>
      </c>
      <c r="EC449" s="424">
        <f t="shared" si="587"/>
        <v>0</v>
      </c>
      <c r="ED449" s="420">
        <f t="shared" si="588"/>
        <v>0</v>
      </c>
      <c r="EE449" s="433">
        <f t="shared" si="598"/>
        <v>4325.6052344862483</v>
      </c>
      <c r="EF449" s="1115" t="s">
        <v>569</v>
      </c>
      <c r="EG449" s="1120">
        <f t="shared" si="589"/>
        <v>0.3</v>
      </c>
      <c r="EH449" s="450"/>
      <c r="EI449" s="1093"/>
      <c r="EJ449" s="1093"/>
      <c r="EK449" s="1097">
        <f>IF($P449="","N/A",IF(P449=-1,INDEX('卡片raw data'!AS:AS,MATCH(D449,'卡片raw data'!$F:$F,)),0)+IF(AND(L449&lt;&gt;"party卡",P449&lt;=2,P449&gt;=0),INDEX('卡片raw data'!AU:AU,MATCH(D449,'卡片raw data'!$F:$F,)),0)+IF(OR(AND(L449="party卡",P449&lt;=1),AND(P449&lt;=4,L449&lt;&gt;"party卡",P449&gt;=3)),INDEX('卡片raw data'!AV:AV,MATCH(D449,'卡片raw data'!$F:$F,)),0)+IF(OR(P449=5,AND(L449="party卡",P449&gt;=2)),INDEX('卡片raw data'!AW:AW,MATCH(D449,'卡片raw data'!$F:$F,)),0))</f>
        <v>0</v>
      </c>
      <c r="EL449" s="1098">
        <f t="shared" si="590"/>
        <v>0.3</v>
      </c>
      <c r="EM449" s="1098">
        <f t="shared" si="591"/>
        <v>0.3</v>
      </c>
      <c r="EN449" s="1097">
        <f t="shared" si="592"/>
        <v>0</v>
      </c>
      <c r="EO449" s="1097">
        <f t="shared" si="593"/>
        <v>0</v>
      </c>
      <c r="EP449" s="421">
        <f t="shared" si="594"/>
        <v>0</v>
      </c>
      <c r="EQ449" s="445">
        <f t="shared" si="595"/>
        <v>0</v>
      </c>
      <c r="ER449" s="424">
        <f t="shared" si="596"/>
        <v>0</v>
      </c>
      <c r="ES449" s="420">
        <f t="shared" si="597"/>
        <v>0</v>
      </c>
      <c r="ET449" s="446">
        <f t="shared" si="599"/>
        <v>0</v>
      </c>
    </row>
    <row r="450" spans="2:150" ht="16.5" customHeight="1">
      <c r="B450" s="448" t="str">
        <f>INDEX('卡片raw data'!B:B,MATCH($D450,'卡片raw data'!$F:$F,))</f>
        <v>三单露</v>
      </c>
      <c r="C450" s="449" t="s">
        <v>2656</v>
      </c>
      <c r="D450" s="408">
        <v>447</v>
      </c>
      <c r="E450" s="477">
        <v>401092005</v>
      </c>
      <c r="F450" s="409" t="str">
        <f>INDEX('卡片raw data'!C:C,MATCH($D450,'卡片raw data'!$F:$F,))</f>
        <v>SR</v>
      </c>
      <c r="G450" s="1094" t="s">
        <v>2657</v>
      </c>
      <c r="H450" s="411">
        <f>IFERROR(INDEX(绊状态确认!C:C,MATCH($G450,绊状态确认!$B:$B,)),"")</f>
        <v>109</v>
      </c>
      <c r="I450" s="450" t="str">
        <f>IFERROR(INDEX(绊状态确认!D:D,MATCH($G450,绊状态确认!$B:$B,)),"")</f>
        <v>水</v>
      </c>
      <c r="J450" s="450" t="str">
        <f>IFERROR(INDEX(绊状态确认!E:E,MATCH($G450,绊状态确认!$B:$B,)),"")</f>
        <v>1年级</v>
      </c>
      <c r="K450" s="451" t="str">
        <f>IFERROR(INDEX(绊状态确认!F:F,MATCH($G450,绊状态确认!$B:$B,)),"")</f>
        <v>CYaRon!</v>
      </c>
      <c r="L450" s="414" t="str">
        <f>INDEX('卡片raw data'!E:E,MATCH($D450,'卡片raw data'!$F:$F,))</f>
        <v>活动卡</v>
      </c>
      <c r="M450" s="478">
        <v>44305</v>
      </c>
      <c r="N450" s="479">
        <v>38</v>
      </c>
      <c r="O450" s="410" t="str">
        <f>INDEX('卡片raw data'!D:D,MATCH($D450,'卡片raw data'!$F:$F,))</f>
        <v>sk</v>
      </c>
      <c r="P450" s="1126">
        <v>5</v>
      </c>
      <c r="Q450" s="418">
        <f t="shared" si="515"/>
        <v>21231.237763937912</v>
      </c>
      <c r="R450" s="419">
        <f t="shared" si="516"/>
        <v>0.246</v>
      </c>
      <c r="S450" s="420">
        <f t="shared" si="517"/>
        <v>15431.014095348699</v>
      </c>
      <c r="T450" s="421">
        <f t="shared" si="518"/>
        <v>0.77100000000000002</v>
      </c>
      <c r="U450" s="422">
        <f t="shared" si="519"/>
        <v>9.9367329463628558</v>
      </c>
      <c r="V450" s="423">
        <f t="shared" si="520"/>
        <v>24020.608203277465</v>
      </c>
      <c r="W450" s="424">
        <f t="shared" si="521"/>
        <v>5400.0032868574908</v>
      </c>
      <c r="X450" s="419">
        <f t="shared" si="522"/>
        <v>6.2E-2</v>
      </c>
      <c r="Y450" s="420">
        <f t="shared" si="523"/>
        <v>789.37043933955556</v>
      </c>
      <c r="Z450" s="425">
        <f t="shared" si="524"/>
        <v>9.9367329463628558</v>
      </c>
      <c r="AA450" s="426">
        <f t="shared" si="525"/>
        <v>6189.3737261970464</v>
      </c>
      <c r="AB450" s="424">
        <f t="shared" si="526"/>
        <v>5994.8578200118172</v>
      </c>
      <c r="AC450" s="427">
        <f t="shared" si="527"/>
        <v>6.9000000000000006E-2</v>
      </c>
      <c r="AD450" s="428">
        <f t="shared" si="528"/>
        <v>2.397686332070707E-2</v>
      </c>
      <c r="AE450" s="516">
        <f t="shared" si="529"/>
        <v>6.7776623025634883</v>
      </c>
      <c r="AF450" s="1130">
        <f t="shared" si="530"/>
        <v>0</v>
      </c>
      <c r="AG450" s="420">
        <f t="shared" si="531"/>
        <v>0</v>
      </c>
      <c r="AH450" s="420">
        <f t="shared" si="532"/>
        <v>0</v>
      </c>
      <c r="AI450" s="1097">
        <f t="shared" si="533"/>
        <v>0</v>
      </c>
      <c r="AJ450" s="420">
        <f t="shared" si="534"/>
        <v>0</v>
      </c>
      <c r="AK450" s="518">
        <f t="shared" si="535"/>
        <v>0</v>
      </c>
      <c r="AL450" s="429">
        <f>IF($P450="","N/A",(IF($P450=-1,INDEX('卡片raw data'!S:S,MATCH($D450,'卡片raw data'!$F:$F,)),0)+IF($P450=0,INDEX('卡片raw data'!V:V,MATCH($D450,'卡片raw data'!$F:$F,)),0)+IF($P450=1,INDEX('卡片raw data'!Y:Y,MATCH($D450,'卡片raw data'!$F:$F,)),0)+IF($P450=2,INDEX('卡片raw data'!AB:AB,MATCH($D450,'卡片raw data'!$F:$F,)),0)+IF($P450=3,INDEX('卡片raw data'!AE:AE,MATCH($D450,'卡片raw data'!$F:$F,)),0)+IF($P450=4,INDEX('卡片raw data'!AH:AH,MATCH($D450,'卡片raw data'!$F:$F,)),0)+IF($P450=5,INDEX('卡片raw data'!AK:AK,MATCH($D450,'卡片raw data'!$F:$F,)),0)+INDEX('卡片raw data'!S:S,MATCH($D450,'卡片raw data'!$F:$F,))*(IF($F450="UR",0.04,0.033))*(IF($F450="UR",INDEX(绊状态确认!$S:$S,MATCH($G450,绊状态确认!$B:$B,))/2-40)+IF($F450="SR",INDEX(绊状态确认!$R:$R,MATCH($G450,绊状态确认!$B:$B,))/4-15))+IF($F450="R",INDEX(绊状态确认!$Q:$Q,MATCH($G450,绊状态确认!$B:$B,))/6-40/6)))*(INDEX(绊状态确认!$H:$H,MATCH($G450,绊状态确认!$B:$B,))+INDEX(绊状态确认!J:J,MATCH($G450,绊状态确认!$B:$B,)))</f>
        <v>6545.3139887999996</v>
      </c>
      <c r="AM450" s="429">
        <f>IF($P450="","N/A",(IF($P450=-1,INDEX('卡片raw data'!T:T,MATCH($D450,'卡片raw data'!$F:$F,)),0)+IF($P450=0,INDEX('卡片raw data'!W:W,MATCH($D450,'卡片raw data'!$F:$F,)),0)+IF($P450=1,INDEX('卡片raw data'!Z:Z,MATCH($D450,'卡片raw data'!$F:$F,)),0)+IF($P450=2,INDEX('卡片raw data'!AC:AC,MATCH($D450,'卡片raw data'!$F:$F,)),0)+IF($P450=3,INDEX('卡片raw data'!AF:AF,MATCH($D450,'卡片raw data'!$F:$F,)),0)+IF($P450=4,INDEX('卡片raw data'!AI:AI,MATCH($D450,'卡片raw data'!$F:$F,)),0)+IF($P450=5,INDEX('卡片raw data'!AL:AL,MATCH($D450,'卡片raw data'!$F:$F,)),0)+INDEX('卡片raw data'!T:T,MATCH($D450,'卡片raw data'!$F:$F,))*(IF($F450="UR",0.04,0.033))*(IF($F450="UR",INDEX(绊状态确认!$S:$S,MATCH($G450,绊状态确认!$B:$B,))/2-40)+IF($F450="SR",INDEX(绊状态确认!$R:$R,MATCH($G450,绊状态确认!$B:$B,))/4-15))+IF($F450="R",INDEX(绊状态确认!$Q:$Q,MATCH($G450,绊状态确认!$B:$B,))/6-40/6)))*(INDEX(绊状态确认!$H:$H,MATCH($G450,绊状态确认!$B:$B,))+INDEX(绊状态确认!K:K,MATCH($G450,绊状态确认!$B:$B,)))</f>
        <v>4813.3949327999999</v>
      </c>
      <c r="AN450" s="429">
        <f>IF($P450="","N/A",(IF($P450=-1,INDEX('卡片raw data'!U:U,MATCH($D450,'卡片raw data'!$F:$F,)),0)+IF($P450=0,INDEX('卡片raw data'!X:X,MATCH($D450,'卡片raw data'!$F:$F,)),0)+IF($P450=1,INDEX('卡片raw data'!AA:AA,MATCH($D450,'卡片raw data'!$F:$F,)),0)+IF($P450=2,INDEX('卡片raw data'!AD:AD,MATCH($D450,'卡片raw data'!$F:$F,)),0)+IF($P450=3,INDEX('卡片raw data'!AG:AG,MATCH($D450,'卡片raw data'!$F:$F,)),0)+IF($P450=4,INDEX('卡片raw data'!AJ:AJ,MATCH($D450,'卡片raw data'!$F:$F,)),0)+IF($P450=5,INDEX('卡片raw data'!AM:AM,MATCH($D450,'卡片raw data'!$F:$F,)),0)+INDEX('卡片raw data'!U:U,MATCH($D450,'卡片raw data'!$F:$F,))*(IF($F450="UR",0.04,0.033))*(IF($F450="UR",INDEX(绊状态确认!$S:$S,MATCH($G450,绊状态确认!$B:$B,))/2-40)+IF($F450="SR",INDEX(绊状态确认!$R:$R,MATCH($G450,绊状态确认!$B:$B,))/4-15))+IF($F450="R",INDEX(绊状态确认!$Q:$Q,MATCH($G450,绊状态确认!$B:$B,))/6-40/6)))*(INDEX(绊状态确认!$H:$H,MATCH($G450,绊状态确认!$B:$B,))+INDEX(绊状态确认!L:L,MATCH($G450,绊状态确认!$B:$B,)))</f>
        <v>7893.7344095999988</v>
      </c>
      <c r="AO450" s="430">
        <f t="shared" si="536"/>
        <v>1</v>
      </c>
      <c r="AP450" s="556">
        <f>1+(INDEX(绊状态确认!$T:$T,MATCH($G450,绊状态确认!$B:$B,))+0.2)*$AO450</f>
        <v>1.3</v>
      </c>
      <c r="AQ450" s="431">
        <f t="shared" si="537"/>
        <v>20431.4492206</v>
      </c>
      <c r="AR450" s="420">
        <f>(AM450*(1+$EX$9)+$EX$35)*(1+(INDEX(绊状态确认!$T:$T,MATCH($G450,绊状态确认!$B:$B,))+0.2)*AO450)*IF(J450=$FF$17,1+$FE$17,1)*IF(I450=$FF$14,1+$FE$14,1)</f>
        <v>9274.2840832719994</v>
      </c>
      <c r="AS450" s="420">
        <f>(AN450*(1+$EX$10)+$EX$36)*(1+(INDEX(绊状态确认!$T:$T,MATCH($G450,绊状态确认!$B:$B,))+0.2)*AO450)*IF(J450=$FF$17,1+$FE$17,1)*IF(I450=$FF$14,1+$FE$14,1)</f>
        <v>15857.132942351998</v>
      </c>
      <c r="AT450" s="412">
        <f>IF(AND(INDEX('卡片raw data'!AK:AK,MATCH($D450,'卡片raw data'!$F:$F,))&lt;INDEX('卡片raw data'!AM:AM,MATCH($D450,'卡片raw data'!$F:$F,)),INDEX('卡片raw data'!AL:AL,MATCH($D450,'卡片raw data'!$F:$F,))&lt;INDEX('卡片raw data'!AM:AM,MATCH($D450,'卡片raw data'!$F:$F,))),1,0)</f>
        <v>1</v>
      </c>
      <c r="AU450" s="421">
        <f>MIN(AT450*0.15+AS450*0.00003+INDEX(绊状态确认!M:M,MATCH($G450,绊状态确认!$B:$B,)),1)</f>
        <v>0.65571398827055993</v>
      </c>
      <c r="AV450" s="432">
        <f>(INDEX(绊状态确认!$N:$N,MATCH($G450,绊状态确认!$B:$B,))+1.5)*$EW$21</f>
        <v>2.6599999999999997</v>
      </c>
      <c r="AW450" s="424">
        <f t="shared" si="538"/>
        <v>22160.927999771448</v>
      </c>
      <c r="AX450" s="420">
        <f t="shared" si="539"/>
        <v>789.37043933955545</v>
      </c>
      <c r="AY450" s="433">
        <f t="shared" si="540"/>
        <v>22950.298439111004</v>
      </c>
      <c r="AZ450" s="429">
        <f t="shared" si="541"/>
        <v>15363.362278159999</v>
      </c>
      <c r="BA450" s="431">
        <f t="shared" si="542"/>
        <v>18436.034733791999</v>
      </c>
      <c r="BB450" s="420">
        <f>(AM450*(1+$FB$9)+$FB$35)*(1+(INDEX(绊状态确认!$T:$T,MATCH($G450,绊状态确认!$B:$B,))+0.2)*AO450)*IF(J450=$FF$17,1+$FE$17,1)*IF(I450=$FF$14,1+$FE$14,1)*(1+$FE$15)</f>
        <v>9274.2840832719994</v>
      </c>
      <c r="BC450" s="420">
        <f>(AN450*(1+$FB$10)+$FB$36)*(1+(INDEX(绊状态确认!$T:$T,MATCH($G450,绊状态确认!$B:$B,))+0.2)*AO450)*IF(J450=$FF$17,1+$FE$17,1)*IF(I450=$FF$14,1+$FE$14,1)*(1+$FE$15)</f>
        <v>15857.132942351998</v>
      </c>
      <c r="BD450" s="427">
        <f>MIN(AT450*0.15+BC450*0.00003+INDEX(绊状态确认!M:M,MATCH($G450,绊状态确认!$B:$B,)),1)</f>
        <v>0.65571398827055993</v>
      </c>
      <c r="BE450" s="432">
        <f>(INDEX(绊状态确认!$N:$N,MATCH($G450,绊状态确认!$B:$B,))+1.5)</f>
        <v>1.9</v>
      </c>
      <c r="BF450" s="645">
        <f t="array" ref="BF450">SUMPRODUCT(IF(AZ450*AP450*$FI$16:$FI$23*$FA$22&gt;=$FI$24,$FI$24,AZ450*AP450*$FI$16:$FI$23*$FA$22),$FJ$16:$FJ$23)</f>
        <v>30557.727571260239</v>
      </c>
      <c r="BG450" s="453">
        <f t="array" ref="BG450">SUMPRODUCT(IF(BE450*AZ450*AP450*$FI$16:$FI$23*$FA$22&gt;=$FI$24,$FI$24,BE450*AZ450*AP450*$FI$16:$FI$23*$FA$22),$FJ$16:$FJ$23)</f>
        <v>55496.429006455808</v>
      </c>
      <c r="BH450" s="433">
        <f t="shared" si="543"/>
        <v>15636.794317207021</v>
      </c>
      <c r="BI450" s="434">
        <f>IF(O450="vo",$EW$26/$EW$24*0.05,0)+IF(O450="sk",-$EW$26/$EW$24*(0.05-INDEX(绊状态确认!W:W,MATCH($G450,绊状态确认!$B:$B,)))+0.05*$EW$28,0)+IF(O450="sp",0.05*$EW$32*$EW$30*(1-$EW$33)-(0.05-INDEX(绊状态确认!V:V,MATCH($G450,绊状态确认!$B:$B,)))*$EW$28,0)+IF(O450="gd",-(0.05-INDEX(绊状态确认!X:X,MATCH($G450,绊状态确认!$B:$B,)))*$EW$32*$EW$30*(1-$EW$33),0)</f>
        <v>-6253.6726349699375</v>
      </c>
      <c r="BJ450" s="420">
        <f>IF(O450="vo",0.05*(1-$FI$26)*$FA$24,0)+IF(O450="sk",-(0.05-INDEX(绊状态确认!W:W,MATCH($G450,绊状态确认!$B:$B,)))*(1-$FI$26)*$FA$24+0.05*$FA$26,0)+IF(O450="sp",0.05*$FA$32*$FA$27*(1-$FA$33)/$FA$30+0.05*$FA$29/$FA$69*$FA$27*(1-$FA$33)-(0.05-INDEX(绊状态确认!V:V,MATCH($G450,绊状态确认!$B:$B,)))*$FA$26,0)+IF(O450="gd",-(0.05-INDEX(绊状态确认!X:X,MATCH($G450,绊状态确认!$B:$B,)))*$FA$32*$FA$27*(1-$FA$33)/$FA$30-(0.05-INDEX(绊状态确认!X:X,MATCH($G450,绊状态确认!$B:$B,)))*$FA$29/$FA$69*$FA$27*(1-$FA$33),0)</f>
        <v>20.459096812499922</v>
      </c>
      <c r="BK450" s="433">
        <f>IF(O450="vo",$EW$26/$EW$24*0.05+$EW$26*(-HP($EW$62,$EW$65,$EW$64)+HP($EW$62,$EW$65,(1.05-INDEX(绊状态确认!U:U,MATCH($G450,绊状态确认!$B:$B,)))*$EW$64)),0)+IF(O450="sk",-$EW$26/$EW$24*(0.05-INDEX(绊状态确认!W:W,MATCH($G450,绊状态确认!$B:$B,)))+0.05*$EW$29,0)+IF(O450="sp",0.05*$EW$32*$EW$30*(1-$EW$33)-(0.05-INDEX(绊状态确认!V:V,MATCH($G450,绊状态确认!$B:$B,)))*$EW$29,0)+IF(O450="gd",-(0.05-INDEX(绊状态确认!X:X,MATCH($G450,绊状态确认!$B:$B,)))*$EW$32*$EW$30*(1-$EW$33)+$EW$26*(-HP($EW$62,$EW$65,$EW$64)+HP($EW$62,$EW$65,0.95*$EW$64)),0)</f>
        <v>-4253.6726349699375</v>
      </c>
      <c r="BL450" s="434">
        <f t="shared" si="544"/>
        <v>-1083.3333333333333</v>
      </c>
      <c r="BM450" s="433">
        <f t="shared" si="545"/>
        <v>-830.55555555555543</v>
      </c>
      <c r="BN450" s="437">
        <f t="shared" si="546"/>
        <v>3</v>
      </c>
      <c r="BO450" s="1108">
        <f t="shared" si="547"/>
        <v>4507.7214871259994</v>
      </c>
      <c r="BP450" s="1100">
        <f t="shared" si="548"/>
        <v>221.34103209030098</v>
      </c>
      <c r="BQ450" s="1113" t="s">
        <v>132</v>
      </c>
      <c r="BR450" s="1124" t="s">
        <v>2649</v>
      </c>
      <c r="BS450" s="421">
        <f>IF($P450="","N/A",IF($P450=-1,INDEX('卡片raw data'!AX:AX,MATCH($D450,'卡片raw data'!$F:$F,)),0)+IF($L450="party卡",IF($P450=5,INDEX('卡片raw data'!BD:BD,MATCH($D450,'卡片raw data'!$F:$F,)),IF($P450&gt;=3,INDEX('卡片raw data'!BC:BC,MATCH($D450,'卡片raw data'!$F:$F,)),INDEX('卡片raw data'!BB:BB,MATCH($D450,'卡片raw data'!$F:$F,)))),IF(OR(AND($F450="UR",$P450=0),AND($F450="SR",$P450&gt;=0,$P450&lt;=2),AND($F450="R",$P450&gt;=0,$P450&lt;4)),INDEX('卡片raw data'!AZ:AZ,MATCH($D450,'卡片raw data'!$F:$F,)),0)+IF(OR(AND($F450="UR",$P450&gt;=1,$P450&lt;=4),AND($F450="SR",$P450&lt;=4,$P450&gt;=3),AND($F450="R",$P450=4)),INDEX('卡片raw data'!BA:BA,MATCH($D450,'卡片raw data'!$F:$F,)),0)+IF($P450=5,INDEX('卡片raw data'!BB:BB,MATCH($D450,'卡片raw data'!$F:$F,)),0)))</f>
        <v>3.2000000000000001E-2</v>
      </c>
      <c r="BT450" s="424">
        <f t="shared" si="549"/>
        <v>1335.6211813706668</v>
      </c>
      <c r="BU450" s="420">
        <f t="shared" si="550"/>
        <v>65.582528026755853</v>
      </c>
      <c r="BV450" s="420">
        <f t="shared" si="551"/>
        <v>801.37270882240011</v>
      </c>
      <c r="BW450" s="436">
        <f t="shared" si="552"/>
        <v>0</v>
      </c>
      <c r="BX450" s="423">
        <f t="shared" si="553"/>
        <v>1335.6211813706668</v>
      </c>
      <c r="BY450" s="433">
        <f t="shared" si="554"/>
        <v>801.37270882240011</v>
      </c>
      <c r="BZ450" s="1113" t="s">
        <v>569</v>
      </c>
      <c r="CA450" s="450"/>
      <c r="CB450" s="421">
        <f>IF($P450="","N/A",IF($P450=-1,INDEX('卡片raw data'!BE:BE,MATCH($D450,'卡片raw data'!$F:$F,)),0)+IF($L450="party卡",IF($P450=5,INDEX('卡片raw data'!BK:BK,MATCH($D450,'卡片raw data'!$F:$F,)),IF($P450&gt;=3,INDEX('卡片raw data'!BJ:BJ,MATCH($D450,'卡片raw data'!$F:$F,)),INDEX('卡片raw data'!BI:BI,MATCH($D450,'卡片raw data'!$F:$F,)))),IF(OR(AND($F450="UR",$P450=0),AND($F450="SR",$P450&gt;=0,$P450&lt;=2),AND($F450="R",$P450&gt;=0,$P450&lt;4)),INDEX('卡片raw data'!BG:BG,MATCH($D450,'卡片raw data'!$F:$F,)),0)+IF(OR(AND($F450="UR",$P450&gt;=1,$P450&lt;=4),AND($F450="SR",$P450&lt;=4,$P450&gt;=3),AND($F450="R",$P450=4)),INDEX('卡片raw data'!BH:BH,MATCH($D450,'卡片raw data'!$F:$F,)),0)+IF($P450=5,INDEX('卡片raw data'!BI:BI,MATCH($D450,'卡片raw data'!$F:$F,)),0)))</f>
        <v>0</v>
      </c>
      <c r="CC450" s="424">
        <f t="shared" si="555"/>
        <v>0</v>
      </c>
      <c r="CD450" s="420">
        <f>IF(BZ450="ap",CB450*(1-$FI$26)*$FB$5/$FB$11*(+IF(CA450="全员",$FA$24,0)+IF(CA450="同作战",$FA$24,0)+IF(CA450="仲间",$FA$24*2/3,0)+IF(CA450="同属性",$FA$24*$FA$37/3,0)+IF(CA450="同年级",$FA$24*$FA$40/3,0)+IF(CA450="同学校",$FA$24*$FA$43/3,0)+IF(CA450="同小队",$FA$24*$FA$46/3,0)+IF(CA450="同type",$FA$24*INDEX($FB$49:$FB$52,MATCH(X450,$FA$49:$FA$52,))/3,0)+IF(CA450="自身",#REF!/3,0)),0)+IF(BZ450="te",CB450*(1-$FI$27)*($FA$20-1)*$FB$7/$FB$13*(+IF(CA450="全员",$FA$19*$FA$24/(1+($FA$20-1)*$FA$19),0)+IF(CA450="同作战",$FA$19*$FA$24/(1+($FA$20-1)*$FA$19),0)+IF(CA450="仲间",$FA$19*$FA$24*2/3/(1+($FA$20-1)*$FA$19),0)+IF(CA450="同属性",$FA$19*$FA$24*$FA$37/3/(1+($FA$20-1)*$FA$19),0)+IF(CA450="同年级",$FA$19*$FA$24*$FA$40/3/(1+($FA$20-1)*$FA$19),0)+IF(CA450="同学校",$FA$19*$FA$24*$FA$43/3/(1+($FA$20-1)*$FA$19),0)+IF(CA450="同小队",$FA$19*$FA$24*$FA$46/3/(1+($FA$20-1)*$FA$19),0)+IF(CA450="同type",$FA$19*$FA$24*INDEX($FB$49:$FB$52,MATCH(X450,$FA$49:$FA$52,))/3/(1+($FA$20-1)*$FA$19),0)+IF(CA450="自身",$FA$19*#REF!/3/(1+(BH450-1)*$BD450),0)),0)</f>
        <v>0</v>
      </c>
      <c r="CE450" s="420">
        <f t="shared" si="556"/>
        <v>0</v>
      </c>
      <c r="CF450" s="436">
        <f t="shared" si="557"/>
        <v>0</v>
      </c>
      <c r="CG450" s="423">
        <f t="shared" si="558"/>
        <v>0</v>
      </c>
      <c r="CH450" s="433">
        <f t="shared" si="559"/>
        <v>0</v>
      </c>
      <c r="CI450" s="1113" t="s">
        <v>164</v>
      </c>
      <c r="CJ450" s="1114">
        <v>1</v>
      </c>
      <c r="CK450" s="1115" t="s">
        <v>2160</v>
      </c>
      <c r="CL450" s="1115" t="s">
        <v>2649</v>
      </c>
      <c r="CM450" s="1119">
        <v>0.06</v>
      </c>
      <c r="CN450" s="1115">
        <v>5</v>
      </c>
      <c r="CO450" s="1115"/>
      <c r="CP450" s="1118">
        <f t="shared" si="560"/>
        <v>3.5714285714285709E-3</v>
      </c>
      <c r="CQ450" s="1118">
        <f t="shared" si="561"/>
        <v>5.5555555555555549E-3</v>
      </c>
      <c r="CR450" s="1118">
        <f t="shared" si="562"/>
        <v>2.1428571428571425E-3</v>
      </c>
      <c r="CS450" s="442">
        <f t="shared" si="563"/>
        <v>4.9826388888888889E-3</v>
      </c>
      <c r="CT450" s="432">
        <f t="shared" si="564"/>
        <v>0</v>
      </c>
      <c r="CU450" s="1101">
        <f t="shared" si="565"/>
        <v>151.51515151515147</v>
      </c>
      <c r="CV450" s="1108">
        <f t="shared" si="566"/>
        <v>126.26262626262626</v>
      </c>
      <c r="CW450" s="420">
        <f t="shared" si="567"/>
        <v>90.909090909090892</v>
      </c>
      <c r="CX450" s="420">
        <f t="shared" si="568"/>
        <v>151.51515151515147</v>
      </c>
      <c r="CY450" s="433">
        <f t="shared" si="569"/>
        <v>90.909090909090892</v>
      </c>
      <c r="CZ450" s="437"/>
      <c r="DA450" s="438"/>
      <c r="DB450" s="439" t="s">
        <v>569</v>
      </c>
      <c r="DC450" s="439"/>
      <c r="DD450" s="443"/>
      <c r="DE450" s="411"/>
      <c r="DF450" s="411"/>
      <c r="DG450" s="1116">
        <f t="shared" si="570"/>
        <v>0</v>
      </c>
      <c r="DH450" s="1116">
        <f t="shared" si="571"/>
        <v>0</v>
      </c>
      <c r="DI450" s="1116">
        <f t="shared" si="572"/>
        <v>0</v>
      </c>
      <c r="DJ450" s="442">
        <f t="shared" si="573"/>
        <v>0</v>
      </c>
      <c r="DK450" s="432">
        <f t="shared" si="574"/>
        <v>0</v>
      </c>
      <c r="DL450" s="424">
        <f t="shared" si="575"/>
        <v>0</v>
      </c>
      <c r="DM450" s="420">
        <f t="shared" si="576"/>
        <v>0</v>
      </c>
      <c r="DN450" s="420">
        <f t="shared" si="577"/>
        <v>0</v>
      </c>
      <c r="DO450" s="420">
        <f t="shared" si="578"/>
        <v>0</v>
      </c>
      <c r="DP450" s="433">
        <f t="shared" si="579"/>
        <v>0</v>
      </c>
      <c r="DQ450" s="1113" t="s">
        <v>2160</v>
      </c>
      <c r="DR450" s="1120">
        <f t="shared" si="580"/>
        <v>0.3</v>
      </c>
      <c r="DS450" s="1124">
        <v>5</v>
      </c>
      <c r="DT450" s="1124" t="s">
        <v>2658</v>
      </c>
      <c r="DU450" s="1124" t="s">
        <v>2145</v>
      </c>
      <c r="DV450" s="1098">
        <f>IF($P450="","N/A",IF(P450=-1,INDEX('卡片raw data'!AN:AN,MATCH(D450,'卡片raw data'!$F:$F,)),0)+IF(AND(L450&lt;&gt;"party卡",P450&lt;=2,P450&gt;=0),INDEX('卡片raw data'!AP:AP,MATCH(D450,'卡片raw data'!$F:$F,)),0)+IF(OR(AND(L450="party卡",P450&lt;=1),AND(P450&lt;=4,L450&lt;&gt;"party卡",P450&gt;=3)),INDEX('卡片raw data'!AQ:AQ,MATCH(D450,'卡片raw data'!$F:$F,)),0)+IF(OR(P450=5,AND(L450="party卡",P450&gt;=2)),INDEX('卡片raw data'!AR:AR,MATCH(D450,'卡片raw data'!$F:$F,)),0))</f>
        <v>3.5000000000000003E-2</v>
      </c>
      <c r="DW450" s="1098">
        <f t="shared" si="581"/>
        <v>0.3</v>
      </c>
      <c r="DX450" s="1098">
        <f t="shared" si="582"/>
        <v>0.3</v>
      </c>
      <c r="DY450" s="1098">
        <f t="shared" si="583"/>
        <v>9.7222222222222241E-3</v>
      </c>
      <c r="DZ450" s="1098">
        <f t="shared" si="584"/>
        <v>8.4097222222222229E-3</v>
      </c>
      <c r="EA450" s="421">
        <f t="shared" si="585"/>
        <v>0</v>
      </c>
      <c r="EB450" s="445">
        <f t="shared" si="586"/>
        <v>0</v>
      </c>
      <c r="EC450" s="424">
        <f t="shared" si="587"/>
        <v>412.45791245791253</v>
      </c>
      <c r="ED450" s="420">
        <f t="shared" si="588"/>
        <v>191.13005050505052</v>
      </c>
      <c r="EE450" s="433">
        <f t="shared" si="598"/>
        <v>412.45791245791253</v>
      </c>
      <c r="EF450" s="1115" t="s">
        <v>569</v>
      </c>
      <c r="EG450" s="1120">
        <f t="shared" si="589"/>
        <v>0.3</v>
      </c>
      <c r="EH450" s="450"/>
      <c r="EI450" s="1093"/>
      <c r="EJ450" s="1093"/>
      <c r="EK450" s="420">
        <f>IF($P450="","N/A",IF(P450=-1,INDEX('卡片raw data'!AS:AS,MATCH(D450,'卡片raw data'!$F:$F,)),0)+IF(AND(L450&lt;&gt;"party卡",P450&lt;=2,P450&gt;=0),INDEX('卡片raw data'!AU:AU,MATCH(D450,'卡片raw data'!$F:$F,)),0)+IF(OR(AND(L450="party卡",P450&lt;=1),AND(P450&lt;=4,L450&lt;&gt;"party卡",P450&gt;=3)),INDEX('卡片raw data'!AV:AV,MATCH(D450,'卡片raw data'!$F:$F,)),0)+IF(OR(P450=5,AND(L450="party卡",P450&gt;=2)),INDEX('卡片raw data'!AW:AW,MATCH(D450,'卡片raw data'!$F:$F,)),0))</f>
        <v>0</v>
      </c>
      <c r="EL450" s="1098">
        <f t="shared" si="590"/>
        <v>0.3</v>
      </c>
      <c r="EM450" s="1098">
        <f t="shared" si="591"/>
        <v>0.3</v>
      </c>
      <c r="EN450" s="1097">
        <f t="shared" si="592"/>
        <v>0</v>
      </c>
      <c r="EO450" s="1097">
        <f t="shared" si="593"/>
        <v>0</v>
      </c>
      <c r="EP450" s="421">
        <f t="shared" si="594"/>
        <v>0</v>
      </c>
      <c r="EQ450" s="445">
        <f t="shared" si="595"/>
        <v>0</v>
      </c>
      <c r="ER450" s="424">
        <f t="shared" si="596"/>
        <v>0</v>
      </c>
      <c r="ES450" s="420">
        <f t="shared" si="597"/>
        <v>0</v>
      </c>
      <c r="ET450" s="446">
        <f t="shared" si="599"/>
        <v>0</v>
      </c>
    </row>
    <row r="451" spans="2:150" ht="16.5" customHeight="1">
      <c r="B451" s="448" t="str">
        <f>INDEX('卡片raw data'!B:B,MATCH($D451,'卡片raw data'!$F:$F,))</f>
        <v>fes2艾</v>
      </c>
      <c r="C451" s="449" t="s">
        <v>2661</v>
      </c>
      <c r="D451" s="408">
        <v>448</v>
      </c>
      <c r="E451" s="477">
        <v>202083002</v>
      </c>
      <c r="F451" s="409" t="str">
        <f>INDEX('卡片raw data'!C:C,MATCH($D451,'卡片raw data'!$F:$F,))</f>
        <v>UR</v>
      </c>
      <c r="G451" s="1094" t="s">
        <v>2662</v>
      </c>
      <c r="H451" s="411">
        <f>IFERROR(INDEX(绊状态确认!C:C,MATCH($G451,绊状态确认!$B:$B,)),"")</f>
        <v>208</v>
      </c>
      <c r="I451" s="450" t="str">
        <f>IFERROR(INDEX(绊状态确认!D:D,MATCH($G451,绊状态确认!$B:$B,)),"")</f>
        <v>虹</v>
      </c>
      <c r="J451" s="450" t="str">
        <f>IFERROR(INDEX(绊状态确认!E:E,MATCH($G451,绊状态确认!$B:$B,)),"")</f>
        <v>3年级</v>
      </c>
      <c r="K451" s="451" t="str">
        <f>IFERROR(INDEX(绊状态确认!F:F,MATCH($G451,绊状态确认!$B:$B,)),"")</f>
        <v>QU4RTZ</v>
      </c>
      <c r="L451" s="414" t="str">
        <f>INDEX('卡片raw data'!E:E,MATCH($D451,'卡片raw data'!$F:$F,))</f>
        <v>fes卡</v>
      </c>
      <c r="M451" s="478">
        <v>44315</v>
      </c>
      <c r="N451" s="479">
        <v>38.5</v>
      </c>
      <c r="O451" s="410" t="str">
        <f>INDEX('卡片raw data'!D:D,MATCH($D451,'卡片raw data'!$F:$F,))</f>
        <v>sk</v>
      </c>
      <c r="P451" s="1126">
        <v>5</v>
      </c>
      <c r="Q451" s="418">
        <f t="shared" si="515"/>
        <v>70734.187733481842</v>
      </c>
      <c r="R451" s="419">
        <f t="shared" si="516"/>
        <v>0.82199999999999995</v>
      </c>
      <c r="S451" s="420">
        <f t="shared" si="517"/>
        <v>21145.06734362309</v>
      </c>
      <c r="T451" s="421">
        <f t="shared" si="518"/>
        <v>1.0569999999999999</v>
      </c>
      <c r="U451" s="422">
        <f t="shared" si="519"/>
        <v>11.607273845142856</v>
      </c>
      <c r="V451" s="423">
        <f t="shared" si="520"/>
        <v>73659.419286542907</v>
      </c>
      <c r="W451" s="424">
        <f t="shared" si="521"/>
        <v>8252.9631185239759</v>
      </c>
      <c r="X451" s="419">
        <f t="shared" si="522"/>
        <v>9.5000000000000001E-2</v>
      </c>
      <c r="Y451" s="420">
        <f t="shared" si="523"/>
        <v>925.23155306105582</v>
      </c>
      <c r="Z451" s="425">
        <f t="shared" si="524"/>
        <v>11.607273845142856</v>
      </c>
      <c r="AA451" s="426">
        <f t="shared" si="525"/>
        <v>9178.1946715850318</v>
      </c>
      <c r="AB451" s="424">
        <f t="shared" si="526"/>
        <v>9555.1937703603762</v>
      </c>
      <c r="AC451" s="427">
        <f t="shared" si="527"/>
        <v>0.111</v>
      </c>
      <c r="AD451" s="428">
        <f t="shared" si="528"/>
        <v>2.1769318181818181E-2</v>
      </c>
      <c r="AE451" s="516">
        <f t="shared" si="529"/>
        <v>11.953757704745847</v>
      </c>
      <c r="AF451" s="1130">
        <f t="shared" si="530"/>
        <v>0</v>
      </c>
      <c r="AG451" s="420">
        <f t="shared" si="531"/>
        <v>0</v>
      </c>
      <c r="AH451" s="420">
        <f t="shared" si="532"/>
        <v>0</v>
      </c>
      <c r="AI451" s="1097">
        <f t="shared" si="533"/>
        <v>0</v>
      </c>
      <c r="AJ451" s="420">
        <f t="shared" si="534"/>
        <v>0</v>
      </c>
      <c r="AK451" s="518">
        <f t="shared" si="535"/>
        <v>0</v>
      </c>
      <c r="AL451" s="429">
        <f>IF($P451="","N/A",(IF($P451=-1,INDEX('卡片raw data'!S:S,MATCH($D451,'卡片raw data'!$F:$F,)),0)+IF($P451=0,INDEX('卡片raw data'!V:V,MATCH($D451,'卡片raw data'!$F:$F,)),0)+IF($P451=1,INDEX('卡片raw data'!Y:Y,MATCH($D451,'卡片raw data'!$F:$F,)),0)+IF($P451=2,INDEX('卡片raw data'!AB:AB,MATCH($D451,'卡片raw data'!$F:$F,)),0)+IF($P451=3,INDEX('卡片raw data'!AE:AE,MATCH($D451,'卡片raw data'!$F:$F,)),0)+IF($P451=4,INDEX('卡片raw data'!AH:AH,MATCH($D451,'卡片raw data'!$F:$F,)),0)+IF($P451=5,INDEX('卡片raw data'!AK:AK,MATCH($D451,'卡片raw data'!$F:$F,)),0)+INDEX('卡片raw data'!S:S,MATCH($D451,'卡片raw data'!$F:$F,))*(IF($F451="UR",0.04,0.033))*(IF($F451="UR",INDEX(绊状态确认!$S:$S,MATCH($G451,绊状态确认!$B:$B,))/2-40)+IF($F451="SR",INDEX(绊状态确认!$R:$R,MATCH($G451,绊状态确认!$B:$B,))/4-15))+IF($F451="R",INDEX(绊状态确认!$Q:$Q,MATCH($G451,绊状态确认!$B:$B,))/6-40/6)))*(INDEX(绊状态确认!$H:$H,MATCH($G451,绊状态确认!$B:$B,))+INDEX(绊状态确认!J:J,MATCH($G451,绊状态确认!$B:$B,)))</f>
        <v>14517.146351999998</v>
      </c>
      <c r="AM451" s="429">
        <f>IF($P451="","N/A",(IF($P451=-1,INDEX('卡片raw data'!T:T,MATCH($D451,'卡片raw data'!$F:$F,)),0)+IF($P451=0,INDEX('卡片raw data'!W:W,MATCH($D451,'卡片raw data'!$F:$F,)),0)+IF($P451=1,INDEX('卡片raw data'!Z:Z,MATCH($D451,'卡片raw data'!$F:$F,)),0)+IF($P451=2,INDEX('卡片raw data'!AC:AC,MATCH($D451,'卡片raw data'!$F:$F,)),0)+IF($P451=3,INDEX('卡片raw data'!AF:AF,MATCH($D451,'卡片raw data'!$F:$F,)),0)+IF($P451=4,INDEX('卡片raw data'!AI:AI,MATCH($D451,'卡片raw data'!$F:$F,)),0)+IF($P451=5,INDEX('卡片raw data'!AL:AL,MATCH($D451,'卡片raw data'!$F:$F,)),0)+INDEX('卡片raw data'!T:T,MATCH($D451,'卡片raw data'!$F:$F,))*(IF($F451="UR",0.04,0.033))*(IF($F451="UR",INDEX(绊状态确认!$S:$S,MATCH($G451,绊状态确认!$B:$B,))/2-40)+IF($F451="SR",INDEX(绊状态确认!$R:$R,MATCH($G451,绊状态确认!$B:$B,))/4-15))+IF($F451="R",INDEX(绊状态确认!$Q:$Q,MATCH($G451,绊状态确认!$B:$B,))/6-40/6)))*(INDEX(绊状态确认!$H:$H,MATCH($G451,绊状态确认!$B:$B,))+INDEX(绊状态确认!K:K,MATCH($G451,绊状态确认!$B:$B,)))</f>
        <v>5955.6451199999992</v>
      </c>
      <c r="AN451" s="429">
        <f>IF($P451="","N/A",(IF($P451=-1,INDEX('卡片raw data'!U:U,MATCH($D451,'卡片raw data'!$F:$F,)),0)+IF($P451=0,INDEX('卡片raw data'!X:X,MATCH($D451,'卡片raw data'!$F:$F,)),0)+IF($P451=1,INDEX('卡片raw data'!AA:AA,MATCH($D451,'卡片raw data'!$F:$F,)),0)+IF($P451=2,INDEX('卡片raw data'!AD:AD,MATCH($D451,'卡片raw data'!$F:$F,)),0)+IF($P451=3,INDEX('卡片raw data'!AG:AG,MATCH($D451,'卡片raw data'!$F:$F,)),0)+IF($P451=4,INDEX('卡片raw data'!AJ:AJ,MATCH($D451,'卡片raw data'!$F:$F,)),0)+IF($P451=5,INDEX('卡片raw data'!AM:AM,MATCH($D451,'卡片raw data'!$F:$F,)),0)+INDEX('卡片raw data'!U:U,MATCH($D451,'卡片raw data'!$F:$F,))*(IF($F451="UR",0.04,0.033))*(IF($F451="UR",INDEX(绊状态确认!$S:$S,MATCH($G451,绊状态确认!$B:$B,))/2-40)+IF($F451="SR",INDEX(绊状态确认!$R:$R,MATCH($G451,绊状态确认!$B:$B,))/4-15))+IF($F451="R",INDEX(绊状态确认!$Q:$Q,MATCH($G451,绊状态确认!$B:$B,))/6-40/6)))*(INDEX(绊状态确认!$H:$H,MATCH($G451,绊状态确认!$B:$B,))+INDEX(绊状态确认!L:L,MATCH($G451,绊状态确认!$B:$B,)))</f>
        <v>16749.899615999999</v>
      </c>
      <c r="AO451" s="430">
        <f t="shared" si="536"/>
        <v>1</v>
      </c>
      <c r="AP451" s="556">
        <f>1+(INDEX(绊状态确认!$T:$T,MATCH($G451,绊状态确认!$B:$B,))+0.2)*$AO451</f>
        <v>1.3</v>
      </c>
      <c r="AQ451" s="431">
        <f t="shared" si="537"/>
        <v>41357.509173999999</v>
      </c>
      <c r="AR451" s="420">
        <f>(AM451*(1+$EX$9)+$EX$35)*(1+(INDEX(绊状态确认!$T:$T,MATCH($G451,绊状态确认!$B:$B,))+0.2)*AO451)*IF(J451=$FF$17,1+$FE$17,1)*IF(I451=$FF$14,1+$FE$14,1)</f>
        <v>10833.4555888</v>
      </c>
      <c r="AS451" s="420">
        <f>(AN451*(1+$EX$10)+$EX$36)*(1+(INDEX(绊状态确认!$T:$T,MATCH($G451,绊状态确认!$B:$B,))+0.2)*AO451)*IF(J451=$FF$17,1+$FE$17,1)*IF(I451=$FF$14,1+$FE$14,1)</f>
        <v>29097.099925919996</v>
      </c>
      <c r="AT451" s="412">
        <f>IF(AND(INDEX('卡片raw data'!AK:AK,MATCH($D451,'卡片raw data'!$F:$F,))&lt;INDEX('卡片raw data'!AM:AM,MATCH($D451,'卡片raw data'!$F:$F,)),INDEX('卡片raw data'!AL:AL,MATCH($D451,'卡片raw data'!$F:$F,))&lt;INDEX('卡片raw data'!AM:AM,MATCH($D451,'卡片raw data'!$F:$F,))),1,0)</f>
        <v>1</v>
      </c>
      <c r="AU451" s="421">
        <f>MIN(AT451*0.15+AS451*0.00003+INDEX(绊状态确认!M:M,MATCH($G451,绊状态确认!$B:$B,)),1)</f>
        <v>1</v>
      </c>
      <c r="AV451" s="432">
        <f>(INDEX(绊状态确认!$N:$N,MATCH($G451,绊状态确认!$B:$B,))+1.5)*$EW$21</f>
        <v>2.6599999999999997</v>
      </c>
      <c r="AW451" s="424">
        <f t="shared" si="538"/>
        <v>57133.834869734812</v>
      </c>
      <c r="AX451" s="420">
        <f t="shared" si="539"/>
        <v>925.23155306105582</v>
      </c>
      <c r="AY451" s="433">
        <f t="shared" si="540"/>
        <v>58059.06642279587</v>
      </c>
      <c r="AZ451" s="429">
        <f t="shared" si="541"/>
        <v>30908.435386399997</v>
      </c>
      <c r="BA451" s="431">
        <f t="shared" si="542"/>
        <v>37090.122463679996</v>
      </c>
      <c r="BB451" s="420">
        <f>(AM451*(1+$FB$9)+$FB$35)*(1+(INDEX(绊状态确认!$T:$T,MATCH($G451,绊状态确认!$B:$B,))+0.2)*AO451)*IF(J451=$FF$17,1+$FE$17,1)*IF(I451=$FF$14,1+$FE$14,1)*(1+$FE$15)</f>
        <v>10833.4555888</v>
      </c>
      <c r="BC451" s="420">
        <f>(AN451*(1+$FB$10)+$FB$36)*(1+(INDEX(绊状态确认!$T:$T,MATCH($G451,绊状态确认!$B:$B,))+0.2)*AO451)*IF(J451=$FF$17,1+$FE$17,1)*IF(I451=$FF$14,1+$FE$14,1)*(1+$FE$15)</f>
        <v>29097.099925919996</v>
      </c>
      <c r="BD451" s="427">
        <f>MIN(AT451*0.15+BC451*0.00003+INDEX(绊状态确认!M:M,MATCH($G451,绊状态确认!$B:$B,)),1)</f>
        <v>1</v>
      </c>
      <c r="BE451" s="432">
        <f>(INDEX(绊状态确认!$N:$N,MATCH($G451,绊状态确认!$B:$B,))+1.5)</f>
        <v>1.9</v>
      </c>
      <c r="BF451" s="645">
        <f t="array" ref="BF451">SUMPRODUCT(IF(AZ451*AP451*$FI$16:$FI$23*$FA$22&gt;=$FI$24,$FI$24,AZ451*AP451*$FI$16:$FI$23*$FA$22),$FJ$16:$FJ$23)</f>
        <v>57295.911981229598</v>
      </c>
      <c r="BG451" s="453">
        <f t="array" ref="BG451">SUMPRODUCT(IF(BE451*AZ451*AP451*$FI$16:$FI$23*$FA$22&gt;=$FI$24,$FI$24,BE451*AZ451*AP451*$FI$16:$FI$23*$FA$22),$FJ$16:$FJ$23)</f>
        <v>60000</v>
      </c>
      <c r="BH451" s="433">
        <f t="shared" si="543"/>
        <v>20000</v>
      </c>
      <c r="BI451" s="434">
        <f>IF(O451="vo",$EW$26/$EW$24*0.05,0)+IF(O451="sk",-$EW$26/$EW$24*(0.05-INDEX(绊状态确认!W:W,MATCH($G451,绊状态确认!$B:$B,)))+0.05*$EW$28,0)+IF(O451="sp",0.05*$EW$32*$EW$30*(1-$EW$33)-(0.05-INDEX(绊状态确认!V:V,MATCH($G451,绊状态确认!$B:$B,)))*$EW$28,0)+IF(O451="gd",-(0.05-INDEX(绊状态确认!X:X,MATCH($G451,绊状态确认!$B:$B,)))*$EW$32*$EW$30*(1-$EW$33),0)</f>
        <v>-6253.6726349699375</v>
      </c>
      <c r="BJ451" s="420">
        <f>IF(O451="vo",0.05*(1-$FI$26)*$FA$24,0)+IF(O451="sk",-(0.05-INDEX(绊状态确认!W:W,MATCH($G451,绊状态确认!$B:$B,)))*(1-$FI$26)*$FA$24+0.05*$FA$26,0)+IF(O451="sp",0.05*$FA$32*$FA$27*(1-$FA$33)/$FA$30+0.05*$FA$29/$FA$69*$FA$27*(1-$FA$33)-(0.05-INDEX(绊状态确认!V:V,MATCH($G451,绊状态确认!$B:$B,)))*$FA$26,0)+IF(O451="gd",-(0.05-INDEX(绊状态确认!X:X,MATCH($G451,绊状态确认!$B:$B,)))*$FA$32*$FA$27*(1-$FA$33)/$FA$30-(0.05-INDEX(绊状态确认!X:X,MATCH($G451,绊状态确认!$B:$B,)))*$FA$29/$FA$69*$FA$27*(1-$FA$33),0)</f>
        <v>20.459096812499922</v>
      </c>
      <c r="BK451" s="433">
        <f>IF(O451="vo",$EW$26/$EW$24*0.05+$EW$26*(-HP($EW$62,$EW$65,$EW$64)+HP($EW$62,$EW$65,(1.05-INDEX(绊状态确认!U:U,MATCH($G451,绊状态确认!$B:$B,)))*$EW$64)),0)+IF(O451="sk",-$EW$26/$EW$24*(0.05-INDEX(绊状态确认!W:W,MATCH($G451,绊状态确认!$B:$B,)))+0.05*$EW$29,0)+IF(O451="sp",0.05*$EW$32*$EW$30*(1-$EW$33)-(0.05-INDEX(绊状态确认!V:V,MATCH($G451,绊状态确认!$B:$B,)))*$EW$29,0)+IF(O451="gd",-(0.05-INDEX(绊状态确认!X:X,MATCH($G451,绊状态确认!$B:$B,)))*$EW$32*$EW$30*(1-$EW$33)+$EW$26*(-HP($EW$62,$EW$65,$EW$64)+HP($EW$62,$EW$65,0.95*$EW$64)),0)</f>
        <v>-4253.6726349699375</v>
      </c>
      <c r="BL451" s="434">
        <f t="shared" si="544"/>
        <v>0</v>
      </c>
      <c r="BM451" s="433">
        <f t="shared" si="545"/>
        <v>0</v>
      </c>
      <c r="BN451" s="437">
        <f t="shared" si="546"/>
        <v>4</v>
      </c>
      <c r="BO451" s="1108">
        <f t="shared" si="547"/>
        <v>6010.2953161679998</v>
      </c>
      <c r="BP451" s="1100">
        <f t="shared" si="548"/>
        <v>295.12137612040135</v>
      </c>
      <c r="BQ451" s="437" t="s">
        <v>132</v>
      </c>
      <c r="BR451" s="450" t="s">
        <v>171</v>
      </c>
      <c r="BS451" s="421">
        <f>IF($P451="","N/A",IF($P451=-1,INDEX('卡片raw data'!AX:AX,MATCH($D451,'卡片raw data'!$F:$F,)),0)+IF($L451="party卡",IF($P451=5,INDEX('卡片raw data'!BD:BD,MATCH($D451,'卡片raw data'!$F:$F,)),IF($P451&gt;=3,INDEX('卡片raw data'!BC:BC,MATCH($D451,'卡片raw data'!$F:$F,)),INDEX('卡片raw data'!BB:BB,MATCH($D451,'卡片raw data'!$F:$F,)))),IF(OR(AND($F451="UR",$P451=0),AND($F451="SR",$P451&gt;=0,$P451&lt;=2),AND($F451="R",$P451&gt;=0,$P451&lt;4)),INDEX('卡片raw data'!AZ:AZ,MATCH($D451,'卡片raw data'!$F:$F,)),0)+IF(OR(AND($F451="UR",$P451&gt;=1,$P451&lt;=4),AND($F451="SR",$P451&lt;=4,$P451&gt;=3),AND($F451="R",$P451=4)),INDEX('卡片raw data'!BA:BA,MATCH($D451,'卡片raw data'!$F:$F,)),0)+IF($P451=5,INDEX('卡片raw data'!BB:BB,MATCH($D451,'卡片raw data'!$F:$F,)),0)))</f>
        <v>5.1999999999999998E-2</v>
      </c>
      <c r="BT451" s="424">
        <f t="shared" si="549"/>
        <v>2604.4613036728001</v>
      </c>
      <c r="BU451" s="420">
        <f t="shared" si="550"/>
        <v>111.90018844565216</v>
      </c>
      <c r="BV451" s="420">
        <f t="shared" si="551"/>
        <v>1302.2306518363998</v>
      </c>
      <c r="BW451" s="436">
        <f t="shared" si="552"/>
        <v>0</v>
      </c>
      <c r="BX451" s="423">
        <f t="shared" si="553"/>
        <v>2604.4613036728001</v>
      </c>
      <c r="BY451" s="433">
        <f t="shared" si="554"/>
        <v>1302.2306518363998</v>
      </c>
      <c r="BZ451" s="1113" t="s">
        <v>569</v>
      </c>
      <c r="CA451" s="450"/>
      <c r="CB451" s="421">
        <f>IF($P451="","N/A",IF($P451=-1,INDEX('卡片raw data'!BE:BE,MATCH($D451,'卡片raw data'!$F:$F,)),0)+IF($L451="party卡",IF($P451=5,INDEX('卡片raw data'!BK:BK,MATCH($D451,'卡片raw data'!$F:$F,)),IF($P451&gt;=3,INDEX('卡片raw data'!BJ:BJ,MATCH($D451,'卡片raw data'!$F:$F,)),INDEX('卡片raw data'!BI:BI,MATCH($D451,'卡片raw data'!$F:$F,)))),IF(OR(AND($F451="UR",$P451=0),AND($F451="SR",$P451&gt;=0,$P451&lt;=2),AND($F451="R",$P451&gt;=0,$P451&lt;4)),INDEX('卡片raw data'!BG:BG,MATCH($D451,'卡片raw data'!$F:$F,)),0)+IF(OR(AND($F451="UR",$P451&gt;=1,$P451&lt;=4),AND($F451="SR",$P451&lt;=4,$P451&gt;=3),AND($F451="R",$P451=4)),INDEX('卡片raw data'!BH:BH,MATCH($D451,'卡片raw data'!$F:$F,)),0)+IF($P451=5,INDEX('卡片raw data'!BI:BI,MATCH($D451,'卡片raw data'!$F:$F,)),0)))</f>
        <v>0</v>
      </c>
      <c r="CC451" s="424">
        <f t="shared" si="555"/>
        <v>0</v>
      </c>
      <c r="CD451" s="420">
        <f>IF(BZ451="ap",CB451*(1-$FI$26)*$FB$5/$FB$11*(+IF(CA451="全员",$FA$24,0)+IF(CA451="同作战",$FA$24,0)+IF(CA451="仲间",$FA$24*2/3,0)+IF(CA451="同属性",$FA$24*$FA$37/3,0)+IF(CA451="同年级",$FA$24*$FA$40/3,0)+IF(CA451="同学校",$FA$24*$FA$43/3,0)+IF(CA451="同小队",$FA$24*$FA$46/3,0)+IF(CA451="同type",$FA$24*INDEX($FB$49:$FB$52,MATCH(X451,$FA$49:$FA$52,))/3,0)+IF(CA451="自身",#REF!/3,0)),0)+IF(BZ451="te",CB451*(1-$FI$27)*($FA$20-1)*$FB$7/$FB$13*(+IF(CA451="全员",$FA$19*$FA$24/(1+($FA$20-1)*$FA$19),0)+IF(CA451="同作战",$FA$19*$FA$24/(1+($FA$20-1)*$FA$19),0)+IF(CA451="仲间",$FA$19*$FA$24*2/3/(1+($FA$20-1)*$FA$19),0)+IF(CA451="同属性",$FA$19*$FA$24*$FA$37/3/(1+($FA$20-1)*$FA$19),0)+IF(CA451="同年级",$FA$19*$FA$24*$FA$40/3/(1+($FA$20-1)*$FA$19),0)+IF(CA451="同学校",$FA$19*$FA$24*$FA$43/3/(1+($FA$20-1)*$FA$19),0)+IF(CA451="同小队",$FA$19*$FA$24*$FA$46/3/(1+($FA$20-1)*$FA$19),0)+IF(CA451="同type",$FA$19*$FA$24*INDEX($FB$49:$FB$52,MATCH(X451,$FA$49:$FA$52,))/3/(1+($FA$20-1)*$FA$19),0)+IF(CA451="自身",$FA$19*#REF!/3/(1+(BH451-1)*$BD451),0)),0)</f>
        <v>0</v>
      </c>
      <c r="CE451" s="420">
        <f t="shared" si="556"/>
        <v>0</v>
      </c>
      <c r="CF451" s="436">
        <f t="shared" si="557"/>
        <v>0</v>
      </c>
      <c r="CG451" s="423">
        <f t="shared" si="558"/>
        <v>0</v>
      </c>
      <c r="CH451" s="433">
        <f t="shared" si="559"/>
        <v>0</v>
      </c>
      <c r="CI451" s="1113" t="s">
        <v>160</v>
      </c>
      <c r="CJ451" s="1114">
        <v>1</v>
      </c>
      <c r="CK451" s="439" t="s">
        <v>2663</v>
      </c>
      <c r="CL451" s="439" t="s">
        <v>2075</v>
      </c>
      <c r="CM451" s="1119">
        <v>0.15</v>
      </c>
      <c r="CN451" s="1115">
        <v>3</v>
      </c>
      <c r="CO451" s="1115"/>
      <c r="CP451" s="1118">
        <f t="shared" si="560"/>
        <v>8.0357142857142884E-3</v>
      </c>
      <c r="CQ451" s="1118">
        <f t="shared" si="561"/>
        <v>1.2500000000000011E-2</v>
      </c>
      <c r="CR451" s="1118">
        <f t="shared" si="562"/>
        <v>8.0357142857142849E-3</v>
      </c>
      <c r="CS451" s="442">
        <f t="shared" si="563"/>
        <v>0</v>
      </c>
      <c r="CT451" s="432">
        <f t="shared" si="564"/>
        <v>0</v>
      </c>
      <c r="CU451" s="1101">
        <f t="shared" si="565"/>
        <v>940.43715051957633</v>
      </c>
      <c r="CV451" s="1108">
        <f t="shared" si="566"/>
        <v>101.21680803494343</v>
      </c>
      <c r="CW451" s="420">
        <f t="shared" si="567"/>
        <v>940.43715051957588</v>
      </c>
      <c r="CX451" s="420">
        <f t="shared" si="568"/>
        <v>940.43715051957633</v>
      </c>
      <c r="CY451" s="433">
        <f t="shared" si="569"/>
        <v>940.43715051957588</v>
      </c>
      <c r="CZ451" s="437"/>
      <c r="DA451" s="438"/>
      <c r="DB451" s="439" t="s">
        <v>569</v>
      </c>
      <c r="DC451" s="439"/>
      <c r="DD451" s="443"/>
      <c r="DE451" s="411"/>
      <c r="DF451" s="411"/>
      <c r="DG451" s="1116">
        <f t="shared" si="570"/>
        <v>0</v>
      </c>
      <c r="DH451" s="1116">
        <f t="shared" si="571"/>
        <v>0</v>
      </c>
      <c r="DI451" s="1116">
        <f t="shared" si="572"/>
        <v>0</v>
      </c>
      <c r="DJ451" s="442">
        <f t="shared" si="573"/>
        <v>0</v>
      </c>
      <c r="DK451" s="432">
        <f t="shared" si="574"/>
        <v>0</v>
      </c>
      <c r="DL451" s="424">
        <f t="shared" si="575"/>
        <v>0</v>
      </c>
      <c r="DM451" s="420">
        <f t="shared" si="576"/>
        <v>0</v>
      </c>
      <c r="DN451" s="420">
        <f t="shared" si="577"/>
        <v>0</v>
      </c>
      <c r="DO451" s="420">
        <f t="shared" si="578"/>
        <v>0</v>
      </c>
      <c r="DP451" s="433">
        <f t="shared" si="579"/>
        <v>0</v>
      </c>
      <c r="DQ451" s="437" t="s">
        <v>2107</v>
      </c>
      <c r="DR451" s="1120">
        <f t="shared" si="580"/>
        <v>0.33</v>
      </c>
      <c r="DS451" s="450">
        <v>5</v>
      </c>
      <c r="DT451" s="1093" t="s">
        <v>168</v>
      </c>
      <c r="DU451" s="1124" t="s">
        <v>544</v>
      </c>
      <c r="DV451" s="1098">
        <f>IF($P451="","N/A",IF(P451=-1,INDEX('卡片raw data'!AN:AN,MATCH(D451,'卡片raw data'!$F:$F,)),0)+IF(AND(L451&lt;&gt;"party卡",P451&lt;=2,P451&gt;=0),INDEX('卡片raw data'!AP:AP,MATCH(D451,'卡片raw data'!$F:$F,)),0)+IF(OR(AND(L451="party卡",P451&lt;=1),AND(P451&lt;=4,L451&lt;&gt;"party卡",P451&gt;=3)),INDEX('卡片raw data'!AQ:AQ,MATCH(D451,'卡片raw data'!$F:$F,)),0)+IF(OR(P451=5,AND(L451="party卡",P451&gt;=2)),INDEX('卡片raw data'!AR:AR,MATCH(D451,'卡片raw data'!$F:$F,)),0))</f>
        <v>0.2</v>
      </c>
      <c r="DW451" s="1098">
        <f t="shared" si="581"/>
        <v>0.33</v>
      </c>
      <c r="DX451" s="1098">
        <f t="shared" si="582"/>
        <v>0.33</v>
      </c>
      <c r="DY451" s="1098">
        <f t="shared" si="583"/>
        <v>8.8000000000000023E-2</v>
      </c>
      <c r="DZ451" s="1098">
        <f t="shared" si="584"/>
        <v>7.6120000000000021E-2</v>
      </c>
      <c r="EA451" s="421">
        <f t="shared" si="585"/>
        <v>0</v>
      </c>
      <c r="EB451" s="445">
        <f t="shared" si="586"/>
        <v>0</v>
      </c>
      <c r="EC451" s="424">
        <f t="shared" si="587"/>
        <v>10298.831728356601</v>
      </c>
      <c r="ED451" s="420">
        <f t="shared" si="588"/>
        <v>616.36987420959133</v>
      </c>
      <c r="EE451" s="433">
        <f t="shared" si="598"/>
        <v>10298.831728356601</v>
      </c>
      <c r="EF451" s="1115" t="s">
        <v>569</v>
      </c>
      <c r="EG451" s="1120">
        <f t="shared" si="589"/>
        <v>0.33</v>
      </c>
      <c r="EH451" s="450"/>
      <c r="EI451" s="1093"/>
      <c r="EJ451" s="1093"/>
      <c r="EK451" s="420">
        <f>IF($P451="","N/A",IF(P451=-1,INDEX('卡片raw data'!AS:AS,MATCH(D451,'卡片raw data'!$F:$F,)),0)+IF(AND(L451&lt;&gt;"party卡",P451&lt;=2,P451&gt;=0),INDEX('卡片raw data'!AU:AU,MATCH(D451,'卡片raw data'!$F:$F,)),0)+IF(OR(AND(L451="party卡",P451&lt;=1),AND(P451&lt;=4,L451&lt;&gt;"party卡",P451&gt;=3)),INDEX('卡片raw data'!AV:AV,MATCH(D451,'卡片raw data'!$F:$F,)),0)+IF(OR(P451=5,AND(L451="party卡",P451&gt;=2)),INDEX('卡片raw data'!AW:AW,MATCH(D451,'卡片raw data'!$F:$F,)),0))</f>
        <v>0</v>
      </c>
      <c r="EL451" s="1098">
        <f t="shared" si="590"/>
        <v>0.33</v>
      </c>
      <c r="EM451" s="1098">
        <f t="shared" si="591"/>
        <v>0.33</v>
      </c>
      <c r="EN451" s="1097">
        <f t="shared" si="592"/>
        <v>0</v>
      </c>
      <c r="EO451" s="1097">
        <f t="shared" si="593"/>
        <v>0</v>
      </c>
      <c r="EP451" s="421">
        <f t="shared" si="594"/>
        <v>0</v>
      </c>
      <c r="EQ451" s="445">
        <f t="shared" si="595"/>
        <v>0</v>
      </c>
      <c r="ER451" s="424">
        <f t="shared" si="596"/>
        <v>0</v>
      </c>
      <c r="ES451" s="420">
        <f t="shared" si="597"/>
        <v>0</v>
      </c>
      <c r="ET451" s="446">
        <f t="shared" si="599"/>
        <v>0</v>
      </c>
    </row>
    <row r="452" spans="2:150" ht="16.5" customHeight="1">
      <c r="B452" s="448" t="str">
        <f>INDEX('卡片raw data'!B:B,MATCH($D452,'卡片raw data'!$F:$F,))</f>
        <v>fes2梨</v>
      </c>
      <c r="C452" s="449" t="s">
        <v>2060</v>
      </c>
      <c r="D452" s="408">
        <v>449</v>
      </c>
      <c r="E452" s="477">
        <v>201023002</v>
      </c>
      <c r="F452" s="409" t="str">
        <f>INDEX('卡片raw data'!C:C,MATCH($D452,'卡片raw data'!$F:$F,))</f>
        <v>UR</v>
      </c>
      <c r="G452" s="1094" t="s">
        <v>2666</v>
      </c>
      <c r="H452" s="411">
        <f>IFERROR(INDEX(绊状态确认!C:C,MATCH($G452,绊状态确认!$B:$B,)),"")</f>
        <v>102</v>
      </c>
      <c r="I452" s="450" t="str">
        <f>IFERROR(INDEX(绊状态确认!D:D,MATCH($G452,绊状态确认!$B:$B,)),"")</f>
        <v>水</v>
      </c>
      <c r="J452" s="450" t="str">
        <f>IFERROR(INDEX(绊状态确认!E:E,MATCH($G452,绊状态确认!$B:$B,)),"")</f>
        <v>2年级</v>
      </c>
      <c r="K452" s="451" t="str">
        <f>IFERROR(INDEX(绊状态确认!F:F,MATCH($G452,绊状态确认!$B:$B,)),"")</f>
        <v>Guilty Kiss</v>
      </c>
      <c r="L452" s="414" t="str">
        <f>INDEX('卡片raw data'!E:E,MATCH($D452,'卡片raw data'!$F:$F,))</f>
        <v>fes卡</v>
      </c>
      <c r="M452" s="478">
        <v>44315</v>
      </c>
      <c r="N452" s="479">
        <v>38.5</v>
      </c>
      <c r="O452" s="410" t="str">
        <f>INDEX('卡片raw data'!D:D,MATCH($D452,'卡片raw data'!$F:$F,))</f>
        <v>sp</v>
      </c>
      <c r="P452" s="1126">
        <v>5</v>
      </c>
      <c r="Q452" s="418">
        <f t="shared" ref="Q452:Q515" si="600">IF($P452="",0,AW452+BI452+BO452+BT452+CU452+EC452+ER452+CC452+DL452+BL452)</f>
        <v>63201.723872446135</v>
      </c>
      <c r="R452" s="419">
        <f t="shared" ref="R452:R515" si="601">_xlfn.FLOOR.MATH(IF($P452="","N/A",Q452/$EW$81)*1000)/1000</f>
        <v>0.73399999999999999</v>
      </c>
      <c r="S452" s="420">
        <f t="shared" ref="S452:S515" si="602">IF($P452="",0,BH452+BJ452+BP452+BU452+CV452+ED452+ES452+CD452+DM452+BM452)</f>
        <v>23726.832791648823</v>
      </c>
      <c r="T452" s="421">
        <f t="shared" ref="T452:T515" si="603">_xlfn.FLOOR.MATH(IF($P452="","N/A",S452/($FI$24/3))*1000)/1000</f>
        <v>1.1859999999999999</v>
      </c>
      <c r="U452" s="422">
        <f t="shared" ref="U452:U515" si="604">$EW$64*(IF(O452="vo",-0.05)+IF(O452="gd",0.05))+CP452*(IF(CK452="减伤",$EW$64*(1-$EW$75))+IF(OR(CK452="加盾",AND(CK452="回血",OR(CI452&lt;&gt;"切队",CO452=""))),1))+DG452*(IF(DB452="减伤",$EW$64*(1-$EW$75))+IF(OR(DB452="加盾",AND(DB452="回血",OR(CZ452&lt;&gt;"切队",DF452=""))),1))+AR452*$EW$78/$EW$65+BW452+CF452+DY452*(1+IF(O452="sk",0.05)+IF(O452="sp",-0.05))*(IF(DQ452="减伤",$EW$64*(1-$EW$75))+IF(OR(DQ452="回血",DQ452="加盾"),1))+EN452*(1+IF(O452="sk",0.05)+IF(O452="sp",-0.05))*(IF(EF452="减伤",$EW$64*(1-$EW$75))+IF(OR(EF452="回血",EF452="加盾"),1))</f>
        <v>19.490401097142854</v>
      </c>
      <c r="V452" s="423">
        <f t="shared" ref="V452:V515" si="605">IF($P452="",0,AY452+BK452+BO452+BX452+CX452+EE452+ET452+CG452+DO452+BL452)</f>
        <v>62980.818298041006</v>
      </c>
      <c r="W452" s="424">
        <f t="shared" ref="W452:W515" si="606">IF($P452="",0,BO452+BV452+CW452+CE452+DN452)</f>
        <v>6010.2953161679998</v>
      </c>
      <c r="X452" s="419">
        <f t="shared" ref="X452:X515" si="607">_xlfn.FLOOR.MATH(IF($P452="","N/A",W452/$EW$81)*1000)/1000</f>
        <v>6.9000000000000006E-2</v>
      </c>
      <c r="Y452" s="420">
        <f t="shared" ref="Y452:Y515" si="608">IF($P452="",0,AA452-W452)</f>
        <v>1579.0944255948689</v>
      </c>
      <c r="Z452" s="425">
        <f t="shared" ref="Z452:Z515" si="609">CP452*IF(OR(CI452="ap时",CI452="ct时"),0,1)*(IF(CK452="减伤",$EW$64*(1-$EW$75))+IF(OR(CK452="加盾",AND(CK452="回血",OR(CI452&lt;&gt;"切队",CO452=""))),1))+DG452*IF(OR(CZ452="ap时",CZ452="ct时"),0,1)*(IF(DB452="减伤",$EW$64*(1-$EW$75))+IF(OR(DB452="加盾",AND(DB452="回血",OR(CZ452&lt;&gt;"切队",DF452=""))),1))+AR452*$EW$78/$EW$65+BW452+CF452</f>
        <v>19.490401097142854</v>
      </c>
      <c r="AA452" s="426">
        <f t="shared" ref="AA452:AA515" si="610">IF($P452="",0,BO452+BY452+CY452+AX452+CH452+DP452)</f>
        <v>7589.3897417628687</v>
      </c>
      <c r="AB452" s="424">
        <f t="shared" ref="AB452:AB515" si="611">IF($P452="",0,BT452+CU452+BO452+CC452+DL452)</f>
        <v>11951.121899633181</v>
      </c>
      <c r="AC452" s="427">
        <f t="shared" ref="AC452:AC515" si="612">_xlfn.FLOOR.MATH(IF($P452="","N/A",AB452/$EW$81)*1000)/1000</f>
        <v>0.13800000000000001</v>
      </c>
      <c r="AD452" s="428">
        <f t="shared" ref="AD452:AD515" si="613">CS452+DJ452+EA452+EP452+IF(O452="sp",-0.05*FM$14*FM$15/2)+IF(O452="sk",0.05*FM$14*FM$15/2)+IF(O452="sk",FM$11^2/(3-FM$11)*FM$12)-IF(O452="sk",FM$10,FM$9)*IF(O452="sk",FM$18,FM$17)*($FM$14-DR452)</f>
        <v>-1.6087500000000001E-2</v>
      </c>
      <c r="AE452" s="516">
        <f t="shared" ref="AE452:AE515" si="614">AD452/FM$18*FM$29+CT452+DK452+EB452+EQ452+IF(O452="sp",0.05*$FM$9*3*FM$26)-IF(O452="gd",0.05*$FM$9*3*FM$26)+IF(O452="sp",300*1/3*$FM$11/2)+IF(O452="sk",FM$11^2/(3-FM$11)*FM$13)+IF(F452="R",-100*IF(O452="sk",FM$10,FM$9))+IF(F452="SR",-50*IF(O452="sk",FM$10,FM$9))</f>
        <v>71.261690543478238</v>
      </c>
      <c r="AF452" s="1130">
        <f t="shared" ref="AF452:AF515" si="615">IF(OR(DQ452="回血",DQ452="加盾"),EN452/EL452*3*2*IF(EG452=0.11,$EW$71,$EW$70)+DY452/DW452*3*2*IF(DR452=0.11,$EW$71,$EW$70)+IF(O452="gd",AR452*0.05)+IF(OR(CK452="回血",CK452="加盾"),-(CR452-CP452)*6)+IF(AND(CI452="切队",CO452=""),CP452/$EW$79*$EW$65*2),0)</f>
        <v>0</v>
      </c>
      <c r="AG452" s="420">
        <f t="shared" ref="AG452:AG515" si="616">IF(OR(DQ452="回血",DQ452="加盾"),MAX($EW$64*$EW$65*IF(CK452="减伤",(1-IF(CI452="切队",IF(CO452&lt;&gt;"",MAX(CO452/$EW$79,1),0),1)*CR452),1)-$EW$62*0.3+$EX$17-AR452-(BW452+CF452)/$EW$78*$EW$65-IF(OR(CK452="回血",CK452="加盾"),IF(CI452="切队",IF(CO452&lt;&gt;"",MAX(CO452/$EW$79,1),0),1)*CR452*$EW$65),0),0)</f>
        <v>0</v>
      </c>
      <c r="AH452" s="420">
        <f t="shared" ref="AH452:AH515" si="617">IFERROR(AG452/AF452,0)</f>
        <v>0</v>
      </c>
      <c r="AI452" s="1097">
        <f t="shared" ref="AI452:AI515" si="618">IF(OR(DQ452="回血",DQ452="加盾"),$EW$26*(1-$EW$66)/$EW$66-AH452*(($EW$26*IF(O452="sk",14/3-8/3*$EW$68,5-3*$EW$68)-2*3*Q452*$EW$69)/$EW$66)/$EW$65+($EW$26/3+$EW$26/$EW$24*0.05+$EW$61*4*$EW$26*$EX$5/$EX$11+$EW$28)-($EW$72-W452),0)</f>
        <v>0</v>
      </c>
      <c r="AJ452" s="420">
        <f t="shared" ref="AJ452:AJ515" si="619">IF(OR(DQ452="回血",DQ452="加盾"),V452,0)</f>
        <v>0</v>
      </c>
      <c r="AK452" s="518">
        <f t="shared" ref="AK452:AK515" si="620">IFERROR(AI452-AJ452,"")</f>
        <v>0</v>
      </c>
      <c r="AL452" s="429">
        <f>IF($P452="","N/A",(IF($P452=-1,INDEX('卡片raw data'!S:S,MATCH($D452,'卡片raw data'!$F:$F,)),0)+IF($P452=0,INDEX('卡片raw data'!V:V,MATCH($D452,'卡片raw data'!$F:$F,)),0)+IF($P452=1,INDEX('卡片raw data'!Y:Y,MATCH($D452,'卡片raw data'!$F:$F,)),0)+IF($P452=2,INDEX('卡片raw data'!AB:AB,MATCH($D452,'卡片raw data'!$F:$F,)),0)+IF($P452=3,INDEX('卡片raw data'!AE:AE,MATCH($D452,'卡片raw data'!$F:$F,)),0)+IF($P452=4,INDEX('卡片raw data'!AH:AH,MATCH($D452,'卡片raw data'!$F:$F,)),0)+IF($P452=5,INDEX('卡片raw data'!AK:AK,MATCH($D452,'卡片raw data'!$F:$F,)),0)+INDEX('卡片raw data'!S:S,MATCH($D452,'卡片raw data'!$F:$F,))*(IF($F452="UR",0.04,0.033))*(IF($F452="UR",INDEX(绊状态确认!$S:$S,MATCH($G452,绊状态确认!$B:$B,))/2-40)+IF($F452="SR",INDEX(绊状态确认!$R:$R,MATCH($G452,绊状态确认!$B:$B,))/4-15))+IF($F452="R",INDEX(绊状态确认!$Q:$Q,MATCH($G452,绊状态确认!$B:$B,))/6-40/6)))*(INDEX(绊状态确认!$H:$H,MATCH($G452,绊状态确认!$B:$B,))+INDEX(绊状态确认!J:J,MATCH($G452,绊状态确认!$B:$B,)))</f>
        <v>15127.756799999997</v>
      </c>
      <c r="AM452" s="429">
        <f>IF($P452="","N/A",(IF($P452=-1,INDEX('卡片raw data'!T:T,MATCH($D452,'卡片raw data'!$F:$F,)),0)+IF($P452=0,INDEX('卡片raw data'!W:W,MATCH($D452,'卡片raw data'!$F:$F,)),0)+IF($P452=1,INDEX('卡片raw data'!Z:Z,MATCH($D452,'卡片raw data'!$F:$F,)),0)+IF($P452=2,INDEX('卡片raw data'!AC:AC,MATCH($D452,'卡片raw data'!$F:$F,)),0)+IF($P452=3,INDEX('卡片raw data'!AF:AF,MATCH($D452,'卡片raw data'!$F:$F,)),0)+IF($P452=4,INDEX('卡片raw data'!AI:AI,MATCH($D452,'卡片raw data'!$F:$F,)),0)+IF($P452=5,INDEX('卡片raw data'!AL:AL,MATCH($D452,'卡片raw data'!$F:$F,)),0)+INDEX('卡片raw data'!T:T,MATCH($D452,'卡片raw data'!$F:$F,))*(IF($F452="UR",0.04,0.033))*(IF($F452="UR",INDEX(绊状态确认!$S:$S,MATCH($G452,绊状态确认!$B:$B,))/2-40)+IF($F452="SR",INDEX(绊状态确认!$R:$R,MATCH($G452,绊状态确认!$B:$B,))/4-15))+IF($F452="R",INDEX(绊状态确认!$Q:$Q,MATCH($G452,绊状态确认!$B:$B,))/6-40/6)))*(INDEX(绊状态确认!$H:$H,MATCH($G452,绊状态确认!$B:$B,))+INDEX(绊状态确认!K:K,MATCH($G452,绊状态确认!$B:$B,)))</f>
        <v>11345.817599999998</v>
      </c>
      <c r="AN452" s="429">
        <f>IF($P452="","N/A",(IF($P452=-1,INDEX('卡片raw data'!U:U,MATCH($D452,'卡片raw data'!$F:$F,)),0)+IF($P452=0,INDEX('卡片raw data'!X:X,MATCH($D452,'卡片raw data'!$F:$F,)),0)+IF($P452=1,INDEX('卡片raw data'!AA:AA,MATCH($D452,'卡片raw data'!$F:$F,)),0)+IF($P452=2,INDEX('卡片raw data'!AD:AD,MATCH($D452,'卡片raw data'!$F:$F,)),0)+IF($P452=3,INDEX('卡片raw data'!AG:AG,MATCH($D452,'卡片raw data'!$F:$F,)),0)+IF($P452=4,INDEX('卡片raw data'!AJ:AJ,MATCH($D452,'卡片raw data'!$F:$F,)),0)+IF($P452=5,INDEX('卡片raw data'!AM:AM,MATCH($D452,'卡片raw data'!$F:$F,)),0)+INDEX('卡片raw data'!U:U,MATCH($D452,'卡片raw data'!$F:$F,))*(IF($F452="UR",0.04,0.033))*(IF($F452="UR",INDEX(绊状态确认!$S:$S,MATCH($G452,绊状态确认!$B:$B,))/2-40)+IF($F452="SR",INDEX(绊状态确认!$R:$R,MATCH($G452,绊状态确认!$B:$B,))/4-15))+IF($F452="R",INDEX(绊状态确认!$Q:$Q,MATCH($G452,绊状态确认!$B:$B,))/6-40/6)))*(INDEX(绊状态确认!$H:$H,MATCH($G452,绊状态确认!$B:$B,))+INDEX(绊状态确认!L:L,MATCH($G452,绊状态确认!$B:$B,)))</f>
        <v>11345.817599999998</v>
      </c>
      <c r="AO452" s="430">
        <f t="shared" ref="AO452:AO515" si="621">IF(OR($FE$5=C452,$FE$5="全"),1,0)</f>
        <v>1</v>
      </c>
      <c r="AP452" s="556">
        <f>1+(INDEX(绊状态确认!$T:$T,MATCH($G452,绊状态确认!$B:$B,))+0.2)*$AO452</f>
        <v>1.3</v>
      </c>
      <c r="AQ452" s="431">
        <f t="shared" ref="AQ452:AQ515" si="622">(AL452*(1+$EX$8)+$EX$34)*(1+$EW$15)*IF(AO452=0,1-$FE$6,1)*IF(AO452=1,1+$FE$7,1)*IF(O452="vo",1+$FE$8,1)*IF(O452="gd",1+$FE$9,1)*IF(O452="sp",1+$FE$10,1)*IF(O452="sk",1+$FE$11,1)*IF(I452=$FF$12,1+$FE$12,1)*IF(I452=$FF$13,1,1-$FE$13)*IF(I452=$FF$14,1+$FE$14,1)*IF(J452=$FF$16,1+$FE$16,1)*IF(J452=$FF$17,1+$FE$17,1)*IF(K452=$FF$18,1+$FE$18,1)*(1+$FE$15)</f>
        <v>42960.361599999997</v>
      </c>
      <c r="AR452" s="420">
        <f>(AM452*(1+$EX$9)+$EX$35)*(1+(INDEX(绊状态确认!$T:$T,MATCH($G452,绊状态确认!$B:$B,))+0.2)*AO452)*IF(J452=$FF$17,1+$FE$17,1)*IF(I452=$FF$14,1+$FE$14,1)</f>
        <v>18191.041023999998</v>
      </c>
      <c r="AS452" s="420">
        <f>(AN452*(1+$EX$10)+$EX$36)*(1+(INDEX(绊状态确认!$T:$T,MATCH($G452,绊状态确认!$B:$B,))+0.2)*AO452)*IF(J452=$FF$17,1+$FE$17,1)*IF(I452=$FF$14,1+$FE$14,1)</f>
        <v>21017.997312</v>
      </c>
      <c r="AT452" s="412">
        <f>IF(AND(INDEX('卡片raw data'!AK:AK,MATCH($D452,'卡片raw data'!$F:$F,))&lt;INDEX('卡片raw data'!AM:AM,MATCH($D452,'卡片raw data'!$F:$F,)),INDEX('卡片raw data'!AL:AL,MATCH($D452,'卡片raw data'!$F:$F,))&lt;INDEX('卡片raw data'!AM:AM,MATCH($D452,'卡片raw data'!$F:$F,))),1,0)</f>
        <v>0</v>
      </c>
      <c r="AU452" s="421">
        <f>MIN(AT452*0.15+AS452*0.00003+INDEX(绊状态确认!M:M,MATCH($G452,绊状态确认!$B:$B,)),1)</f>
        <v>0.66053991936000001</v>
      </c>
      <c r="AV452" s="432">
        <f>(INDEX(绊状态确认!$N:$N,MATCH($G452,绊状态确认!$B:$B,))+1.5)*$EW$21</f>
        <v>2.6599999999999997</v>
      </c>
      <c r="AW452" s="424">
        <f t="shared" ref="AW452:AW515" si="623">AQ452*(1+(AV452-1)*AU452)*(AP452)*(1+EW$25)*EW$66/3*$EW$24</f>
        <v>46775.601972812954</v>
      </c>
      <c r="AX452" s="420">
        <f t="shared" ref="AX452:AX515" si="624">$EW$26*(HP($EW$62,$EW$65,$EW$64-AR452*$EW$78/$EW$65)/$EW$66-1)</f>
        <v>1579.0944255948693</v>
      </c>
      <c r="AY452" s="433">
        <f t="shared" ref="AY452:AY515" si="625">AW452+AX452</f>
        <v>48354.696398407825</v>
      </c>
      <c r="AZ452" s="429">
        <f t="shared" ref="AZ452:AZ515" si="626">(AL452*(1+$FB$8)+$FB$34)*IF(AO452=0,1-$FE$6,1)*IF(AO452=1,1+$FE$7,1)*IF(O452="vo",1+$FE$8,1)*IF(O452="gd",1+$FE$9,1)*IF(O452="sp",1+$FE$10,1)*IF(O452="sk",1+$FE$11,1)*IF(I452=$FF$12,1+$FE$12,1)*IF(I452=$FF$13,1,1-$FE$13)*IF(I452=$FF$14,1+$FE$14,1)*IF(J452=$FF$16,1+$FE$16,1)*IF(J452=$FF$17,1+$FE$17,1)*IF(K452=$FF$18,1+$FE$18,1)*(1+$FE$15)</f>
        <v>32099.125759999995</v>
      </c>
      <c r="BA452" s="431">
        <f t="shared" ref="BA452:BA515" si="627">AZ452*(1+$FA$15)</f>
        <v>38518.950911999993</v>
      </c>
      <c r="BB452" s="420">
        <f>(AM452*(1+$FB$9)+$FB$35)*(1+(INDEX(绊状态确认!$T:$T,MATCH($G452,绊状态确认!$B:$B,))+0.2)*AO452)*IF(J452=$FF$17,1+$FE$17,1)*IF(I452=$FF$14,1+$FE$14,1)*(1+$FE$15)</f>
        <v>18191.041023999998</v>
      </c>
      <c r="BC452" s="420">
        <f>(AN452*(1+$FB$10)+$FB$36)*(1+(INDEX(绊状态确认!$T:$T,MATCH($G452,绊状态确认!$B:$B,))+0.2)*AO452)*IF(J452=$FF$17,1+$FE$17,1)*IF(I452=$FF$14,1+$FE$14,1)*(1+$FE$15)</f>
        <v>21017.997312</v>
      </c>
      <c r="BD452" s="427">
        <f>MIN(AT452*0.15+BC452*0.00003+INDEX(绊状态确认!M:M,MATCH($G452,绊状态确认!$B:$B,)),1)</f>
        <v>0.66053991936000001</v>
      </c>
      <c r="BE452" s="432">
        <f>(INDEX(绊状态确认!$N:$N,MATCH($G452,绊状态确认!$B:$B,))+1.5)</f>
        <v>1.9</v>
      </c>
      <c r="BF452" s="645">
        <f t="array" ref="BF452">SUMPRODUCT(IF(AZ452*AP452*$FI$16:$FI$23*$FA$22&gt;=$FI$24,$FI$24,AZ452*AP452*$FI$16:$FI$23*$FA$22),$FJ$16:$FJ$23)</f>
        <v>58116.29764864</v>
      </c>
      <c r="BG452" s="453">
        <f t="array" ref="BG452">SUMPRODUCT(IF(BE452*AZ452*AP452*$FI$16:$FI$23*$FA$22&gt;=$FI$24,$FI$24,BE452*AZ452*AP452*$FI$16:$FI$23*$FA$22),$FJ$16:$FJ$23)</f>
        <v>60000</v>
      </c>
      <c r="BH452" s="433">
        <f t="shared" ref="BH452:BH515" si="628">((1-$BD452)*BF452+$BD452*BG452)/3</f>
        <v>19786.852749301859</v>
      </c>
      <c r="BI452" s="434">
        <f>IF(O452="vo",$EW$26/$EW$24*0.05,0)+IF(O452="sk",-$EW$26/$EW$24*(0.05-INDEX(绊状态确认!W:W,MATCH($G452,绊状态确认!$B:$B,)))+0.05*$EW$28,0)+IF(O452="sp",0.05*$EW$32*$EW$30*(1-$EW$33)-(0.05-INDEX(绊状态确认!V:V,MATCH($G452,绊状态确认!$B:$B,)))*$EW$28,0)+IF(O452="gd",-(0.05-INDEX(绊状态确认!X:X,MATCH($G452,绊状态确认!$B:$B,)))*$EW$32*$EW$30*(1-$EW$33),0)</f>
        <v>19.999999999999886</v>
      </c>
      <c r="BJ452" s="420">
        <f>IF(O452="vo",0.05*(1-$FI$26)*$FA$24,0)+IF(O452="sk",-(0.05-INDEX(绊状态确认!W:W,MATCH($G452,绊状态确认!$B:$B,)))*(1-$FI$26)*$FA$24+0.05*$FA$26,0)+IF(O452="sp",0.05*$FA$32*$FA$27*(1-$FA$33)/$FA$30+0.05*$FA$29/$FA$69*$FA$27*(1-$FA$33)-(0.05-INDEX(绊状态确认!V:V,MATCH($G452,绊状态确认!$B:$B,)))*$FA$26,0)+IF(O452="gd",-(0.05-INDEX(绊状态确认!X:X,MATCH($G452,绊状态确认!$B:$B,)))*$FA$32*$FA$27*(1-$FA$33)/$FA$30-(0.05-INDEX(绊状态确认!X:X,MATCH($G452,绊状态确认!$B:$B,)))*$FA$29/$FA$69*$FA$27*(1-$FA$33),0)</f>
        <v>545.83333333333326</v>
      </c>
      <c r="BK452" s="433">
        <f>IF(O452="vo",$EW$26/$EW$24*0.05+$EW$26*(-HP($EW$62,$EW$65,$EW$64)+HP($EW$62,$EW$65,(1.05-INDEX(绊状态确认!U:U,MATCH($G452,绊状态确认!$B:$B,)))*$EW$64)),0)+IF(O452="sk",-$EW$26/$EW$24*(0.05-INDEX(绊状态确认!W:W,MATCH($G452,绊状态确认!$B:$B,)))+0.05*$EW$29,0)+IF(O452="sp",0.05*$EW$32*$EW$30*(1-$EW$33)-(0.05-INDEX(绊状态确认!V:V,MATCH($G452,绊状态确认!$B:$B,)))*$EW$29,0)+IF(O452="gd",-(0.05-INDEX(绊状态确认!X:X,MATCH($G452,绊状态确认!$B:$B,)))*$EW$32*$EW$30*(1-$EW$33)+$EW$26*(-HP($EW$62,$EW$65,$EW$64)+HP($EW$62,$EW$65,0.95*$EW$64)),0)</f>
        <v>-1780.0000000000005</v>
      </c>
      <c r="BL452" s="434">
        <f t="shared" ref="BL452:BL515" si="629">(IF(F452="UR",0)+IF(F452="SR",-1/4)+IF(F452="R",-1/2))*1/3*$EW$31/$EW$77*$EW$30</f>
        <v>0</v>
      </c>
      <c r="BM452" s="433">
        <f t="shared" ref="BM452:BM515" si="630">(IF(F452="UR",0)+IF(F452="SR",-1/4)+IF(F452="R",-1/2))*1/3*$FA$31/$FA$69*$FA$27</f>
        <v>0</v>
      </c>
      <c r="BN452" s="437">
        <f t="shared" ref="BN452:BN515" si="631">IF($P452="","N/A",IF(P452=-1,IF(OR(L452="fes卡",L452="party卡"),2,1),IF(F452="UR",IF(L452="party卡",4-IF(P452=0,1),IF(L452="fes卡",4,3)-IF(P452&gt;=4,0,1)))+IF(F452="SR",IF(P452&gt;=4,3,2))+IF(F452="R",2)))</f>
        <v>4</v>
      </c>
      <c r="BO452" s="1108">
        <f t="shared" ref="BO452:BO515" si="632">$EW$61*$BN452*$EW$26*$EX$5/$EX$11</f>
        <v>6010.2953161679998</v>
      </c>
      <c r="BP452" s="1100">
        <f t="shared" ref="BP452:BP515" si="633">BN452*$FA$58*(1-$FI$26)*$FA$24*$FB$5/$FB$11</f>
        <v>295.12137612040135</v>
      </c>
      <c r="BQ452" s="437" t="s">
        <v>132</v>
      </c>
      <c r="BR452" s="450" t="s">
        <v>168</v>
      </c>
      <c r="BS452" s="421">
        <f>IF($P452="","N/A",IF($P452=-1,INDEX('卡片raw data'!AX:AX,MATCH($D452,'卡片raw data'!$F:$F,)),0)+IF($L452="party卡",IF($P452=5,INDEX('卡片raw data'!BD:BD,MATCH($D452,'卡片raw data'!$F:$F,)),IF($P452&gt;=3,INDEX('卡片raw data'!BC:BC,MATCH($D452,'卡片raw data'!$F:$F,)),INDEX('卡片raw data'!BB:BB,MATCH($D452,'卡片raw data'!$F:$F,)))),IF(OR(AND($F452="UR",$P452=0),AND($F452="SR",$P452&gt;=0,$P452&lt;=2),AND($F452="R",$P452&gt;=0,$P452&lt;4)),INDEX('卡片raw data'!AZ:AZ,MATCH($D452,'卡片raw data'!$F:$F,)),0)+IF(OR(AND($F452="UR",$P452&gt;=1,$P452&lt;=4),AND($F452="SR",$P452&lt;=4,$P452&gt;=3),AND($F452="R",$P452=4)),INDEX('卡片raw data'!BA:BA,MATCH($D452,'卡片raw data'!$F:$F,)),0)+IF($P452=5,INDEX('卡片raw data'!BB:BB,MATCH($D452,'卡片raw data'!$F:$F,)),0)))</f>
        <v>7.0000000000000007E-2</v>
      </c>
      <c r="BT452" s="424">
        <f t="shared" ref="BT452:BT515" si="634">IF(BQ452="ap",BS452*$EX$5/$EX$11*(+IF(BR452="全员",$EW$26,0)+IF(BR452="同作战",$EW$26,0)+IF(BR452="仲间",$EW$26*2/3,0)+IF(BR452="同属性",$EW$26*$EW$37/3,0)+IF(BR452="同年级",$EW$26*$EW$40/3,0)+IF(BR452="同学校",$EW$26*$EW$43/3,0)+IF(BR452="同小队",$EW$26*$EW$46/3,0)+IF(BR452="同type",$EW$26*INDEX($EX$49:$EX$52,MATCH(O452,$EW$49:$EW$52,))/3,0)+IF(BR452="自身",$AW452,0)),0)+IF(BQ452="te",BS452*($EW$22-1)*0.00003*$EX$7/$EX$13*(+IF(BR452="全员",$EX$18*$EW$26/(1+($EW$22-1)*$EW$19),0)+IF(BR452="同作战",$EX$18*$EW$26/(1+($EW$22-1)*$EW$19),0)+IF(BR452="仲间",$EX$18*$EW$26/(1+($EW$22-1)*$EW$19)*2/3,0)+IF(BR452="同属性",$EX$18*$EW$26/(1+($EW$22-1)*$EW$19)*$EW$37/3,0)+IF(BR452="同年级",$EX$18*$EW$26/(1+($EW$22-1)*$EW$19)*$EW$40/3,0)+IF(BR452="同学校",$EX$18*$EW$26/(1+($EW$22-1)*$EW$19)*$EW$43/3,0)+IF(BR452="同小队",$EX$18*$EW$26/(1+($EW$22-1)*$EW$19)*$EW$46/3,0)+IF(BR452="同type",$EX$18*$EW$26/(1+($EW$22-1)*$EW$19)*INDEX($EX$49:$EX$52,MATCH(O452,$EW$49:$EW$52,))/3,0)+IF(BR452="自身",$AS452*$AW452/(1+(AV452-1)*$AU452),0)),0)</f>
        <v>5259.008401647</v>
      </c>
      <c r="BU452" s="420">
        <f t="shared" ref="BU452:BU515" si="635">IF(BQ452="ap",BS452*(1-$FI$26)*$FB$5/$FB$11*(+IF(BR452="全员",$FA$24,0)+IF(BR452="同作战",$FA$24,0)+IF(BR452="仲间",$FA$24*2/3,0)+IF(BR452="同属性",$FA$24*$FA$37/3,0)+IF(BR452="同年级",$FA$24*$FA$40/3,0)+IF(BR452="同学校",$FA$24*$FA$43/3,0)+IF(BR452="同小队",$FA$24*$FA$46/3,0)+IF(BR452="同type",$FA$24*INDEX($FB$49:$FB$52,MATCH(O452,$FA$49:$FA$52,))/3,0)+IF(BR452="自身",BH452/3,0)),0)+IF(BQ452="te",BS452*(1-$FI$27)*($FA$20-1)*$FB$7/$FB$13*(+IF(BR452="全员",$FA$19*$FA$24/(1+($FA$20-1)*$FA$19),0)+IF(BR452="同作战",$FA$19*$FA$24/(1+($FA$20-1)*$FA$19),0)+IF(BR452="仲间",$FA$19*$FA$24*2/3/(1+($FA$20-1)*$FA$19),0)+IF(BR452="同属性",$FA$19*$FA$24*$FA$37/3/(1+($FA$20-1)*$FA$19),0)+IF(BR452="同年级",$FA$19*$FA$24*$FA$40/3/(1+($FA$20-1)*$FA$19),0)+IF(BR452="同学校",$FA$19*$FA$24*$FA$43/3/(1+($FA$20-1)*$FA$19),0)+IF(BR452="同小队",$FA$19*$FA$24*$FA$46/3/(1+($FA$20-1)*$FA$19),0)+IF(BR452="同type",$FA$19*$FA$24*INDEX($FB$49:$FB$52,MATCH(O452,$FA$49:$FA$52,))/3/(1+($FA$20-1)*$FA$19),0)+IF(BR452="自身",$FA$19*BH452/3/(1+(AV452-1)*$BD452),0)),0)</f>
        <v>258.2312041053512</v>
      </c>
      <c r="BV452" s="420">
        <f t="shared" ref="BV452:BV515" si="636">IF(BQ452="ap",BS452*$EW$26*$EX$5/$EX$11*(+IF(BR452="全员",1,0)+IF(BR452="仲间",1,0)+IF(BR452="同属性",$EW$38/3,0)+IF(BR452="同年级",$EW$41/3,0)+IF(BR452="同学校",$EW$44/3,0)+IF(BR452="同小队",$EW$47/3,0)+IF(BR452="同type",INDEX($EX$53:$EX$56,MATCH(O452,$EW$53:$EW$56,))/3,0)),0)+IF(BQ452="te",BS452*($EW$22-1)*0.00003*$EX$18*$EW$26/(1+($EW$22-1)*$EW$19)*$EX$7/$EX$13*(+IF(BR452="全员",1,0)+IF(BR452="仲间",1,0)+IF(BR452="同属性",$EW$38/3,0)+IF(BR452="同年级",$EW$41/3,0)+IF(BR452="同学校",$EW$44/3,0)+IF(BR452="同小队",$EW$47/3,0)+IF(BR452="同type",INDEX($EX$53:$EX$56,MATCH(O452,$EW$53:$EW$56,))/3,0)),0)</f>
        <v>0</v>
      </c>
      <c r="BW452" s="436">
        <f t="shared" ref="BW452:BW515" si="637">IF(BQ452="st",BS452*$EX$6/$EX$12*(+IF(BR452="全员",$EX$17*9,0)+IF(BR452="仲间",$EX$17*8,0)+IF(BR452="同作战",$EX$17*3,0)+IF(BR452="同属性",$EX$17*$EW$39,0)+IF(BR452="同年级",$EX$17*$EW$42,0)+IF(BR452="同学校",$EX$17*$EW$45,0)+IF(BR452="同小队",$EX$17*$EW$48,0)+IF(BR452="同type",$EX$17*INDEX($EX$57:$EX$60,MATCH(O452,$EW$57:$EW$60,)),0)+IF(BR452="自身",$AR452)),0)/$EW$65*$EW$78</f>
        <v>0</v>
      </c>
      <c r="BX452" s="423">
        <f t="shared" ref="BX452:BX515" si="638">IF(BQ452="st",$EW$26*(HP($EW$62,$EW$65,$EW$64-BW452)/$EW$66-1),BT452)</f>
        <v>5259.008401647</v>
      </c>
      <c r="BY452" s="433">
        <f t="shared" ref="BY452:BY515" si="639">IF(BQ452="st",$EW$26*(HP($EW$62,$EW$65,$EW$64-BW452)/$EW$66-1),BV452)</f>
        <v>0</v>
      </c>
      <c r="BZ452" s="1113" t="s">
        <v>569</v>
      </c>
      <c r="CA452" s="450"/>
      <c r="CB452" s="421">
        <f>IF($P452="","N/A",IF($P452=-1,INDEX('卡片raw data'!BE:BE,MATCH($D452,'卡片raw data'!$F:$F,)),0)+IF($L452="party卡",IF($P452=5,INDEX('卡片raw data'!BK:BK,MATCH($D452,'卡片raw data'!$F:$F,)),IF($P452&gt;=3,INDEX('卡片raw data'!BJ:BJ,MATCH($D452,'卡片raw data'!$F:$F,)),INDEX('卡片raw data'!BI:BI,MATCH($D452,'卡片raw data'!$F:$F,)))),IF(OR(AND($F452="UR",$P452=0),AND($F452="SR",$P452&gt;=0,$P452&lt;=2),AND($F452="R",$P452&gt;=0,$P452&lt;4)),INDEX('卡片raw data'!BG:BG,MATCH($D452,'卡片raw data'!$F:$F,)),0)+IF(OR(AND($F452="UR",$P452&gt;=1,$P452&lt;=4),AND($F452="SR",$P452&lt;=4,$P452&gt;=3),AND($F452="R",$P452=4)),INDEX('卡片raw data'!BH:BH,MATCH($D452,'卡片raw data'!$F:$F,)),0)+IF($P452=5,INDEX('卡片raw data'!BI:BI,MATCH($D452,'卡片raw data'!$F:$F,)),0)))</f>
        <v>0</v>
      </c>
      <c r="CC452" s="424">
        <f t="shared" ref="CC452:CC515" si="640">IF(BZ452="ap",CB452*$EX$5/$EX$11*(+IF(CA452="全员",$EW$26,0)+IF(CA452="同作战",$EW$26,0)+IF(CA452="仲间",$EW$26*2/3,0)+IF(CA452="同属性",$EW$26*$EW$37/3,0)+IF(CA452="同年级",$EW$26*$EW$40/3,0)+IF(CA452="同学校",$EW$26*$EW$43/3,0)+IF(CA452="同小队",$EW$26*$EW$46/3,0)+IF(CA452="同type",$EW$26*INDEX($EX$49:$EX$52,MATCH(O452,$EW$49:$EW$52,))/3,0)+IF(CA452="自身",$AW452,0)),0)+IF(BZ452="te",CB452*($EW$22-1)*0.00003*$EX$7/$EX$13*(+IF(CA452="全员",$EX$18*$EW$26/(1+($EW$22-1)*$EW$19),0)+IF(CA452="同作战",$EX$18*$EW$26/(1+($EW$22-1)*$EW$19),0)+IF(CA452="仲间",$EX$18*$EW$26/(1+($EW$22-1)*$EW$19)*2/3,0)+IF(CA452="同属性",$EX$18*$EW$26/(1+($EW$22-1)*$EW$19)*$EW$37/3,0)+IF(CA452="同年级",$EX$18*$EW$26/(1+($EW$22-1)*$EW$19)*$EW$40/3,0)+IF(CA452="同学校",$EX$18*$EW$26/(1+($EW$22-1)*$EW$19)*$EW$43/3,0)+IF(CA452="同小队",$EX$18*$EW$26/(1+($EW$22-1)*$EW$19)*$EW$46/3,0)+IF(CA452="同type",$EX$18*$EW$26/(1+($EW$22-1)*$EW$19)*INDEX($EX$49:$EX$52,MATCH(O452,$EW$49:$EW$52,))/3,0)+IF(CA452="自身",$AS452*$AW452/(1+(AV452-1)*$AU452),0)),0)</f>
        <v>0</v>
      </c>
      <c r="CD452" s="420">
        <f>IF(BZ452="ap",CB452*(1-$FI$26)*$FB$5/$FB$11*(+IF(CA452="全员",$FA$24,0)+IF(CA452="同作战",$FA$24,0)+IF(CA452="仲间",$FA$24*2/3,0)+IF(CA452="同属性",$FA$24*$FA$37/3,0)+IF(CA452="同年级",$FA$24*$FA$40/3,0)+IF(CA452="同学校",$FA$24*$FA$43/3,0)+IF(CA452="同小队",$FA$24*$FA$46/3,0)+IF(CA452="同type",$FA$24*INDEX($FB$49:$FB$52,MATCH(X452,$FA$49:$FA$52,))/3,0)+IF(CA452="自身",#REF!/3,0)),0)+IF(BZ452="te",CB452*(1-$FI$27)*($FA$20-1)*$FB$7/$FB$13*(+IF(CA452="全员",$FA$19*$FA$24/(1+($FA$20-1)*$FA$19),0)+IF(CA452="同作战",$FA$19*$FA$24/(1+($FA$20-1)*$FA$19),0)+IF(CA452="仲间",$FA$19*$FA$24*2/3/(1+($FA$20-1)*$FA$19),0)+IF(CA452="同属性",$FA$19*$FA$24*$FA$37/3/(1+($FA$20-1)*$FA$19),0)+IF(CA452="同年级",$FA$19*$FA$24*$FA$40/3/(1+($FA$20-1)*$FA$19),0)+IF(CA452="同学校",$FA$19*$FA$24*$FA$43/3/(1+($FA$20-1)*$FA$19),0)+IF(CA452="同小队",$FA$19*$FA$24*$FA$46/3/(1+($FA$20-1)*$FA$19),0)+IF(CA452="同type",$FA$19*$FA$24*INDEX($FB$49:$FB$52,MATCH(X452,$FA$49:$FA$52,))/3/(1+($FA$20-1)*$FA$19),0)+IF(CA452="自身",$FA$19*#REF!/3/(1+(BH452-1)*$BD452),0)),0)</f>
        <v>0</v>
      </c>
      <c r="CE452" s="420">
        <f t="shared" ref="CE452:CE515" si="641">IF(BZ452="ap",CB452*$EW$26*$EX$5/$EX$11*(+IF(CA452="全员",1,0)+IF(CA452="仲间",1,0)+IF(CA452="同属性",$EW$38/3,0)+IF(CA452="同年级",$EW$41/3,0)+IF(CA452="同学校",$EW$44/3,0)+IF(CA452="同小队",$EW$47/3,0)+IF(CA452="同type",INDEX($EX$53:$EX$56,MATCH(X452,$EW$53:$EW$56,))/3,0)),0)+IF(BZ452="te",CB452*($EW$22-1)*0.00003*$EX$18*$EW$26/(1+($EW$22-1)*$EW$19)*$EX$7/$EX$13*(+IF(CA452="全员",1,0)+IF(CA452="仲间",1,0)+IF(CA452="同属性",$EW$38/3,0)+IF(CA452="同年级",$EW$41/3,0)+IF(CA452="同学校",$EW$44/3,0)+IF(CA452="同小队",$EW$47/3,0)+IF(CA452="同type",INDEX($EX$53:$EX$56,MATCH(X452,$EW$53:$EW$56,))/3,0)),0)</f>
        <v>0</v>
      </c>
      <c r="CF452" s="436">
        <f t="shared" ref="CF452:CF515" si="642">IF(BZ452="st",CB452*$EX$6/$EX$12*(+IF(CA452="全员",$EX$17*9,0)+IF(CA452="仲间",$EX$17*8,0)+IF(CA452="同作战",$EX$17*3,0)+IF(CA452="同属性",$EX$17*$EW$39,0)+IF(CA452="同年级",$EX$17*$EW$42,0)+IF(CA452="同学校",$EX$17*$EW$45,0)+IF(CA452="同小队",$EX$17*$EW$48,0)+IF(CA452="同type",$EX$17*INDEX($EX$57:$EX$60,MATCH(O452,$EW$57:$EW$60,)),0)+IF(CA452="自身",$AR452)),0)/$EW$65*$EW$78</f>
        <v>0</v>
      </c>
      <c r="CG452" s="423">
        <f t="shared" ref="CG452:CG515" si="643">IF(BZ452="st",$EW$26*(HP($EW$62,$EW$65,$EW$64-CF452)/$EW$66-1),CC452)</f>
        <v>0</v>
      </c>
      <c r="CH452" s="433">
        <f t="shared" ref="CH452:CH515" si="644">IF(BZ452="st",$EW$26*(HP($EW$62,$EW$65,$EW$64-CF452)/$EW$66-1),CE452)</f>
        <v>0</v>
      </c>
      <c r="CI452" s="437" t="s">
        <v>160</v>
      </c>
      <c r="CJ452" s="438">
        <v>1</v>
      </c>
      <c r="CK452" s="439" t="s">
        <v>2160</v>
      </c>
      <c r="CL452" s="439" t="s">
        <v>2667</v>
      </c>
      <c r="CM452" s="1119">
        <v>0.3</v>
      </c>
      <c r="CN452" s="439">
        <v>3</v>
      </c>
      <c r="CO452" s="1115"/>
      <c r="CP452" s="1118">
        <f t="shared" ref="CP452:CP515" si="645">IF(OR(CK452="无",CI452="大量伤害",CI452="AC失败",CI452="低血量",CK452="复活",CK452="驱散",CK452="Gd切队效果up"),0,IF(AND(CK452="sp获得",CI452="AC成功"),0,IF(CK452="其他",0,IF(CN452=0,CM452*(IF(CL452="ap",AQ452*IF(CK452="vo获得",AP452,1))+IF(CL452="st",AR452)+IF(CL452="te",AS452)+IF(CL452="sp槽",$EW$77)+IF(CL452="",1))*(IF(CI452="曲开始",CJ452,0)+IF(CI452="切队",IF(CO452&lt;&gt;"",MIN(CO452,CJ452*$EW$79),CJ452*$EW$79))+IF(CI452="SP发动",IF(CO452&lt;&gt;"",MIN(CO452,CJ452*$EW$76),CJ452*$EW$76))+IF(CI452="ap时",IF(CO452&lt;&gt;"",MIN(CO452,CJ452*$EW$65/3),CJ452*$EW$65/3),0)+IF(CI452="伤害时",IF(CO452&lt;&gt;"",MIN(CO452,CJ452*$EW$65*(1-$EW$75)),CJ452*$EW$65*(1-$EW$75)),0)+IF(CI452="ct时",IF(CO452&lt;&gt;"",MIN(CO452,CJ452*$EW$65/3*$AU452),CJ452*$EW$65/3*$AU452),0)+IF(OR(CI452="AC时",CI452="AC成功"),IF(CO452&lt;&gt;"",MIN(CO452,CJ452*$EW$73),CJ452*$EW$73))),0)/$EW$65+IF(CN452="infty",IF(OR(CI452="曲开始",AND(CJ452=1,CO452=1)),CM452*CJ452,IF(CI452="SP发动",IF(CO452=1,CM452*(1-(1-(1-CJ452)^($EW$76+1))/(($EW$76+1)*CJ452)))+IF(CO452="",CJ452*CM452*$EW$76/2),0)+IF(CI452="AC时",IF(CO452=1,CM452*(1-(1-(1-CJ452)^($EW$73+1))/(($EW$73+1)*CJ452)))+IF(CO452="",CJ452*CM452*$EW$73/2),0)+IF(CI452="AC成功",IF(CO452=1,CM452*(1-(1-(1-CJ452)^($EW$73+1))/(($EW$73+1)*CJ452)))+IF(CO452="",CJ452*CM452*$EW$73/2),0)),0)*(IF(CL452="全员",1,0)+IF(CL452="同属性",$EW$37/3,0)+IF(CL452="同年级",$EW$40/3,0)+IF(CL452="同作战",1,0)+IF(CL452="自身",1/3,0)+IF(CL452="同type",INDEX($EX$49:$EX$52,MATCH($O452,$EW$49:$EW$52,))/3))+IF(AND(CN452&lt;&gt;0,CN452&lt;&gt;"infty"),IF(CN452="AC内",$EW$74,CN452)*CM452*(IF(CI452="曲开始",CJ452,0)+IF(CI452="切队",IF(CO452&lt;&gt;"",MIN(CO452,CJ452*$EW$79),CJ452*$EW$79))+IF(CI452="SP发动",IF(CO452&lt;&gt;"",MIN(CO452,CJ452*$EW$76),CJ452*$EW$76))+IF(CI452="ap时",IF(CO452&lt;&gt;"",MIN(CO452,CJ452*$EW$65/3),CJ452*$EW$65/3),0)+IF(CI452="伤害时",IF(CO452&lt;&gt;"",MIN(CO452,CJ452*$EW$65*(1-$EW$75)),CJ452*$EW$65*(1-$EW$75)),0)+IF(CI452="ct时",IF(CO452&lt;&gt;"",MIN(CO452,CJ452*$EW$65/3*$AU452),CJ452*$EW$65/3*$AU452),0)+IF(OR(CI452="AC时",CI452="AC成功"),IF(CO452&lt;&gt;"",MIN(CO452,CJ452*$EW$73),CJ452*$EW$73))),0)/$EW$65*(IF(CL452="全员",1,0)+IF(CL452="同属性",$EW$37/3,0)+IF(CL452="同年级",$EW$40/3,0)+IF(CL452="同学校",$EW$43/3,0)+IF(CL452="同作战",1,0)+IF(CL452="自身",1/3,0)+IF(CL452="同type",INDEX($EX$49:$EX$52,MATCH($O452,$EW$49:$EW$52,))/3)-IF(AND(CK452="ct+",CL452&lt;&gt;"仲间"),MAX(CM452+$AU452-1,0)/CM452/3)))))</f>
        <v>1.607142857142857E-2</v>
      </c>
      <c r="CQ452" s="1118">
        <f t="shared" ref="CQ452:CQ515" si="646">IF(OR(CK452="无",CI452="大量伤害",CI452="AC失败",CI452="低血量",CK452="复活",CK452="驱散",CK452="Gd切队效果up"),0,IF(AND(CK452="sp获得",CI452="AC成功"),0,IF(CK452="其他",0,IF(CN452=0,CM452*(IF(CL452="ap",BA452*IF(CK452="vo获得",AP452,1))+IF(CL452="st",BB452)+IF(CL452="te",BC452)+IF(CL452="sp槽",$FA$69)+IF(CL452="",1))*(IF(CK452="sp获得",$FA$30,1))*(IF(CI452="曲开始",CJ452,0)+IF(CI452="切队",IF(CO452&lt;&gt;"",MIN(CO452,CJ452*$FA$71),CJ452*$FA$71))+IF(CI452="SP发动",IF(CO452&lt;&gt;"",MIN(CO452,CJ452*$FA$68),CJ452*$FA$68))+IF(CI452="ap时",IF(CO452&lt;&gt;"",MIN(CO452,CJ452*$FA$62/3),CJ452*$FA$62/3),0)+IF(CI452="伤害时",IF(CO452&lt;&gt;"",MIN(CO452,CJ452*$FA$62*(1-$FA$67)),CJ452*$FA$62*(1-$FA$67)),0)+IF(CI452="ct时",IF(CO452&lt;&gt;"",MIN(CO452,CJ452*$FA$62/3*$BD452),CJ452*$FA$62/3*$BD452),0)+IF(OR(CI452="AC时",CI452="AC成功"),IF(CO452&lt;&gt;"",MIN(CO452,CJ452*$FA$65),CJ452*$FA$65))),0)/$FA$62+IF(CN452="infty",IF(OR(CI452="曲开始",AND(CJ452=1,CO452=1)),CM452*CJ452,IF(CI452="SP发动",IF(CO452=1,CM452*(1-(1-(1-CJ452)^($FA$68+1))/(($FA$68+1)*CJ452)))+IF(CO452="",CJ452*CM452*$FA$68/2),0)+IF(CI452="AC时",IF(CO452=1,CM452*(1-(1-(1-CJ452)^($FA$65+1))/(($FA$65+1)*CJ452)))+IF(CO452="",CJ452*CM452*$FA$65/2),0)+IF(CI452="AC成功",IF(CO452=1,CM452*(1-(1-(1-CJ452)^($FA$65+1))/(($FA$65+1)*CJ452)))+IF(CO452="",CJ452*CM452*$FA$65/2),0)),0)*(IF(CL452="全员",1,0)+IF(CL452="同属性",$FA$37/3,0)+IF(CL452="同年级",$FA$40/3,0)+IF(CL452="同作战",1,0)+IF(CL452="自身",1/3,0)+IF(CL452="同type",INDEX($FB$49:$FB$52,MATCH($O452,$FA$49:$FA$52,))/3))+IF(AND(CN452&lt;&gt;0,CN452&lt;&gt;"infty"),IF(CN452="AC内",$FA$66,CN452)*CM452*(IF(CI452="曲开始",CJ452,0)+IF(CI452="切队",IF(CO452&lt;&gt;"",MIN(CO452,CJ452*$FA$71),CJ452*$FA$71))+IF(CI452="SP发动",IF(CO452&lt;&gt;"",MIN(CO452,CJ452*$FA$68),CJ452*$FA$68))+IF(CI452="ap时",IF(CO452&lt;&gt;"",MIN(CO452,CJ452*$FA$62/3),CJ452*$FA$62/3),0)+IF(CI452="伤害时",IF(CO452&lt;&gt;"",MIN(CO452,CJ452*$FA$62*(1-$FA$67)),CJ452*$FA$62*(1-$FA$67)),0)+IF(CI452="ct时",IF(CO452&lt;&gt;"",MIN(CO452,CJ452*$FA$62/3*$BD452),CJ452*$FA$62/3*$BD452),0)+IF(OR(CI452="AC时",CI452="AC成功"),IF(CO452&lt;&gt;"",MIN(CO452,CJ452*$FA$65),CJ452*$FA$65))),0)/$FA$62*(IF(CL452="全员",1,0)+IF(CL452="同属性",$FA$37/3,0)+IF(CL452="同年级",$FA$40/3,0)+IF(CL452="同学校",$FA$43/3,0)+IF(CL452="同作战",1,0)+IF(CL452="自身",1/3,0)+IF(CL452="同type",INDEX($FB$49:$FB$52,MATCH($O452,$FA$49:$FA$52,))/3)-IF(AND(CK452="ct+",CL452&lt;&gt;"仲间"),MAX(CM452+$BD452-1,0)/3/CM452)))))</f>
        <v>3.3333333333333333E-2</v>
      </c>
      <c r="CR452" s="1118">
        <f t="shared" ref="CR452:CR515" si="647">IF(OR(CK452="无",CI452="大量伤害",CI452="AC失败",CI452="低血量",CK452="复活",CK452="驱散",CK452="Gd切队效果up"),0,IF(AND(CK452="sp获得",CI452="AC成功"),0,IF(CK452="其他",0,IF(CN452=0,CM452*(IF(CL452="ap",AQ452*IF(CK452="vo获得",AP452,1))+IF(CL452="st",AR452)+IF(CL452="te",AS452)+IF(CL452="sp槽",$EW$77)+IF(CL452="",1))*(IF(CI452="曲开始",CJ452,0)+IF(CI452="切队",IF(CO452&lt;&gt;"",MIN(CO452,CJ452*$EW$79),CJ452*$EW$79))+IF(CI452="SP发动",IF(CO452&lt;&gt;"",MIN(CO452,CJ452*$EW$76),CJ452*$EW$76))+IF(CI452="ap时",0)+IF(CI452="伤害时",IF(CO452&lt;&gt;"",MIN(CO452,CJ452*$EW$65*(1-$EW$75)),CJ452*$EW$65*(1-$EW$75)),0)+IF(CI452="ct时",0)+IF(OR(CI452="AC时",CI452="AC成功"),IF(CO452&lt;&gt;"",MIN(CO452,CJ452*$EW$73),CJ452*$EW$73))),0)/$EW$65+IF(CN452="infty",IF(OR(CI452="曲开始",AND(CJ452=1,CO452=1)),CM452*CJ452,IF(CI452="SP发动",IF(CO452=1,CM452*(1-(1-(1-CJ452)^($EW$76+1))/(($EW$76+1)*CJ452)))+IF(CO452="",CJ452*CM452*$EW$76/2),0)+IF(CI452="AC时",IF(CO452=1,CM452*(1-(1-(1-CJ452)^($EW$73+1))/(($EW$73+1)*CJ452)))+IF(CO452="",CJ452*CM452*$EW$73/2),0)+IF(CI452="AC成功",IF(CO452=1,CM452*(1-(1-(1-CJ452)^($EW$73+1))/(($EW$73+1)*CJ452)))+IF(CO452="",CJ452*CM452*$EW$73/2),0)),0)*(IF(CL452="全员",1,0)+IF(CL452="同属性",$EW$38/3,0)+IF(CL452="同年级",$EW$41/3,0)+IF(CL452="同作战",0,0)+IF(CL452="自身",0,0)+IF(CL452="同type",INDEX($EX$53:$EX$56,MATCH($O452,$EW$53:$EW$56,))/3))+IF(AND(CN452&lt;&gt;0,CN452&lt;&gt;"infty"),IF(CN452="AC内",$EW$74,CN452)*(IF(CI452="曲开始",CM452*CJ452,0)+IF(CI452="切队",CM452*IF(CO452&lt;&gt;"",MIN(CO452,CJ452*$EW$79),CJ452*$EW$79))+IF(CI452="SP发动",CM452*IF(CO452&lt;&gt;"",MIN(CO452,CJ452*$EW$76),CJ452*$EW$76))+IF(CI452="ap时",0,0)+IF(CI452="伤害时",CM452*IF(CO452&lt;&gt;"",MIN(CO452,CJ452*$EW$65*(1-$EW$75)),CJ452*$EW$65*(1-$EW$75)),0)+IF(CI452="ct时",0,0)+IF(OR(CI452="AC时",CI452="AC成功"),CM452*IF(CO452&lt;&gt;"",MIN(CO452,CJ452*$EW$73),CJ452*$EW$73))),0)/$EW$65*(IF(CL452="全员",1,0)+IF(CL452="同属性",$EW$38/3,0)+IF(CL452="同年级",$EW$41/3,0)+IF(CL452="同学校",$EW$44/3,0)+IF(CL452="同作战",0,0)+IF(CL452="自身",0,0)+IF(CL452="同type",INDEX($EX$53:$EX$56,MATCH($O452,$EW$53:$EW$56,))/3)))))</f>
        <v>0</v>
      </c>
      <c r="CS452" s="442">
        <f t="shared" ref="CS452:CS515" si="648">IF(CK452="技能+",IF(CN452="infty",(IF(CI452="曲开始",CM452*CJ452)+IF(OR(CI452="AC时",CI452="AC成功"),(1-(1-(1-CJ452)^($FM$20+1))/(($FM$20+1)*CJ452))*CM452))*(IF(CL452="全员",1)))+IF(CN452&lt;&gt;"infty",CM452*(IF(CI452="曲开始",CJ452*CN452/$FM$19)+IF(OR(CI452="AC时",CI452="AC成功"),CN452*IF(CO452&lt;&gt;"",MIN(CO452,CJ452*$FM$20),CJ452*$FM$20)/$FM$19)+IF(CI452="切队",CN452*IF(CO452&lt;&gt;"",MIN(CJ452*$FM$11,CO452/$FM$19),CJ452*$FM$11))+IF(CI452="ap时",IF(CO452&lt;&gt;"",MIN(CO452/$FM467,IF($O452="sk",$FM$10,$FM$9)*CJ452),IF($O452="sk",$FM$10,$FM$9)*CJ452)*CN452)+IF(CI452="ct时",IF(CO452&lt;&gt;"",MIN(CO452/$FM467,$AU452*IF($O452="sk",$FM$10,$FM$9)*CJ452),$AU452*IF($O452="sk",$FM$10,$FM$9)*CJ452)*CN452))*(IF(CL452="全员",1)+IF(CL452="同作战",IF($O452="sk",$FM$10*3,$FM$9*3))+IF(CL452="同属性",$FM$23/6)+IF(CL452="同年级",$FM$24/6)+IF(CL452="自身",IF($O452="sk",$FM$10,$FM$9)))),0)*$FM$16</f>
        <v>0</v>
      </c>
      <c r="CT452" s="432">
        <f t="shared" ref="CT452:CT515" si="649">IF(CK452="sp+",IF(CN452="infty",(IF(CI452="曲开始",CM452*CJ452*$FM$28)+IF(OR(CI452="AC时",CI452="AC成功"),(1-(1-(1-CJ452)^($FM$20+1))/(($FM$20+1)*CJ452))*CM452*$FM$28))*(IF(CL452="全员",1)))+IF(CN452&lt;&gt;"infty",CM452*$FM$28*(IF(CI452="曲开始",CJ452*CN452/$FM$19)+IF(OR(CI452="AC时",CI452="AC成功"),CN452*IF(CO452&lt;&gt;"",MIN(CO452,CJ452*$FM$20),CJ452*$FM$20)/$FM$19)+IF(CI452="切队",CN452*IF(CO452&lt;&gt;"",MIN(CJ452*$FM$11,CO452/$FM$19),CJ452*$FM$11))+IF(CI452="ap时",IF(CO452&lt;&gt;"",MIN(CO452/$FM467,IF($O452="sk",$FM$10,$FM$9)*CJ452),IF($O452="sk",$FM$10,$FM$9)*CJ452)*CN452)+IF(CI452="ct时",IF(CO452&lt;&gt;"",MIN(CO452/$FM467,$AU452*IF($O452="sk",$FM$10,$FM$9)*CJ452),$AU452*IF($O452="sk",$FM$10,$FM$9)*CJ452)*CN452))*(IF(CL452="全员",1)+IF(CL452="同作战",IF($O452="sk",$FM$10*3,$FM$9*3))+IF(CL452="同属性",$FM$23/6)+IF(CL452="同年级",$FM$24/6)+IF(CL452="同type",IF(O452="sp",$FN$6*$FM$9)))),0)+IF(CK452="sp获得",IF(CI452="AC成功",0,CM452*(IF(CL452="ap",AQ452)+IF(CL452="st",AR452)+IF(CL452="te",AS452)+IF(CL452="sp槽",$EW$77)+IF(CL452="",1))*IF($O452="sk",1,1+(1+$FM$10/$FM$9)*($FM$27-1))*(IF(CI452="曲开始",CJ452/$FM$19)+IF(CI452="SP发动",IF(CO452&lt;&gt;"",MIN(CO452/$FM$19,CJ452*$FM$30/$FM$19),CJ452*$FM$30/$FM$19))+IF(CI452="切队",IF(CO452&lt;&gt;"",MIN(CO452/$FM$19,CJ452*$FM$11),CJ452*$FM$11))+IF(OR(CI452="AC时",CI452="AC成功"),IF(CO452&lt;&gt;"",MIN(CO452/$FM$19,CJ452*$FM$20/$FM$19),CJ452*$FM$20/$FM$19))+IF(CI452="ap时",IF(CO452&lt;&gt;"",MIN(CO452/$FM$19,CJ452*IF($O452="sk",$FM$10,$FM$9)),CJ452*IF($O452="sk",$FM$10,$FM$9)))+IF(CI452="ct时",IF(CO452&lt;&gt;"",MIN(CO452/$FM$19,CJ452*IF($O452="sk",$FM$10,$FM$9)*$AU452),CJ452*IF($O452="sk",$FM$10,$FM$9)*$AU452)))))</f>
        <v>0</v>
      </c>
      <c r="CU452" s="1101">
        <f t="shared" ref="CU452:CU515" si="650">IF(AND(CK452="技能+",CL452="自身",$DR452=0.11),0,IF(CK452="sp+",CP452*$EW$30*$EW$32*(1-$EW$33),0)+IF(CK452="ap+",CP452*$EW$26/(1+$EW$15),0)+IF(CK452="ap+元气",CP452*$EW$26/(1+$EW$15)*$EW$67,0)+IF(CK452="技能+",$EW$28*CP452/$EW$27,0)+IF(CK452="vo+",$EW$26*CP452,0)+IF(CK452="sp获得",CP452*(1-$EW$33)*$EW$30/$EW$77)+IF(CK452="vo获得",CP452*$EW$24)+IF(CK452="ct+",$EW$26/(1+($EW$22-1)*$EW$19)*($EW$22-1)*CP452)+IF(CK452="核弹",$EW$24*CP452*(1+$EW$23))+IF(CK452="ct值+",$EW$26/(1+($EW$22-1)*$EW$19)*$EW$19*CP452))</f>
        <v>681.81818181818176</v>
      </c>
      <c r="CV452" s="1108">
        <f>(IF(AND(CK452="技能+",CL452="自身",$DR452=0.11),0,IF(CK452="sp+",CQ452*$FA$27*$FA$32*(1-$FA$33),0)+IF(CK452="ap+",CQ452*$FA$24/(1+$FA$15)*(1-$FI$26),0)+IF(CK452="ap+元气",CQ452*$FA$24/(1+$FA$15)*(1-$FI$26)*$FA$64,0)+IF(CK452="技能+",$FA$26*CQ452/$FA$25,0)+IF(CK452="vo+",$FA$24*CQ452*(1-$FI$26),0)+IF(CK452="sp获得",CQ452*(1-$FA$33)*$FA$27/$FA$69)+IF(CK452="vo获得",CQ452*$FA$22)+IF(CK452="ct+",$FA$24/(1+($FA$20-1)*$FA$19)*($FA$20-1)*CQ452*(1-$FI$27))+IF(CK452="核弹",CQ452*(1+$FA$21)*(1-$FI$29))+IF(CK452="ct值+",$FA$24/(1+($FA$20-1)*$FA$19)*$FA$19*CQ452*(1-$FI$28))+IF(CK452="自身ct时上限突破",CQ452*$FI$24*$FI$26*BD452,0)))/2</f>
        <v>378.78787878787875</v>
      </c>
      <c r="CW452" s="420">
        <f t="shared" ref="CW452:CW515" si="651">IF(CK452="sp+",CR452*$EW$30*$EW$32*(1-$EW$33),0)+IF(CK452="ap+",CR452*$EW$26/(1+$EW$15),0)+IF(CK452="ap+元气",CR452*$EW$26/(1+$EW$15)*$EW$67,0)+IF(CK452="技能+",$EW$28*CR452/$EW$27,0)+IF(CK452="vo+",$EW$26*CR452,0)+IF(CK452="sp获得",CR452*(1-$EW$33)*$EW$30/$EW$77)+IF(CK452="vo获得",CR452*$EW$24)+IF(CK452="ct+",$EW$26/(1+($EW$22-1)*$EW$19)*($EW$22-1)*CR452)+IF(CK452="核弹",CR452*(1+$EW$23)*$EW$24)+IF(CK452="ct值+",$EW$26/(1+($EW$22-1)*$EW$19)*$EW$19*CR452)</f>
        <v>0</v>
      </c>
      <c r="CX452" s="420">
        <f t="shared" ref="CX452:CX515" si="652">CU452+IF(OR(CK452="加盾",AND(CK452="回血",OR(CI452&lt;&gt;"切队",CO452=""))),MIN($EW$26/$EW$66*(1-$EW$66)-$EE452+$EC452-$ET452+$ER452, $EW$26*(HP($EW$62,$EW$65,$EW$64-CP452)/$EW$66-1)))+IF(CK452="减伤",MIN($EW$26/$EW$66*(1-$EW$66)-$EE452+$EC452-$ET452+$ER452, $EW$26*(HP($EW$62,$EW$65,$EW$64*(1-CP452))/$EW$66-1)))</f>
        <v>681.81818181818176</v>
      </c>
      <c r="CY452" s="433">
        <f t="shared" ref="CY452:CY515" si="653">CW452+(IF(OR(CK452="加盾",AND(CK452="回血",OR(CI452&lt;&gt;"切队",CO452=""))),$EW$26*(HP($EW$62,$EW$65,$EW$64-CP452)/$EW$66-1))+IF(CK452="减伤",$EW$26*(HP($EW$62,$EW$65,$EW$64*(1-CP452))/$EW$66-1)))*IF(OR(CL452="自身",CL452="同作战"),0,1)*IF(OR(CI452="ap时",CI452="ct时"),0,1)</f>
        <v>0</v>
      </c>
      <c r="CZ452" s="437"/>
      <c r="DA452" s="438"/>
      <c r="DB452" s="439" t="s">
        <v>569</v>
      </c>
      <c r="DC452" s="439"/>
      <c r="DD452" s="443"/>
      <c r="DE452" s="411"/>
      <c r="DF452" s="411"/>
      <c r="DG452" s="1116">
        <f t="shared" ref="DG452:DG515" si="654">IF(OR(DB452="无",CZ452="大量伤害",CZ452="AC失败",CZ452="低血量",DB452="复活",DB452="驱散",DB452="Gd切队效果up"),0,IF(AND(DB452="sp获得",CZ452="AC成功"),0,IF(DB452="其他",0,IF(DE452=0,DD452*(IF(DC452="ap",BH452*IF(DB452="vo获得",BG452,1))+IF(DC452="st",BI452)+IF(DC452="te",BJ452)+IF(DC452="sp槽",$EW$77)+IF(DC452="",1))*(IF(CZ452="曲开始",DA452,0)+IF(CZ452="切队",IF(DF452&lt;&gt;"",MIN(DF452,DA452*$EW$79),DA452*$EW$79))+IF(CZ452="SP发动",IF(DF452&lt;&gt;"",MIN(DF452,DA452*$EW$76),DA452*$EW$76))+IF(CZ452="ap时",IF(DF452&lt;&gt;"",MIN(DF452,DA452*$EW$65/3),DA452*$EW$65/3),0)+IF(CZ452="伤害时",IF(DF452&lt;&gt;"",MIN(DF452,DA452*$EW$65*(1-$EW$75)),DA452*$EW$65*(1-$EW$75)),0)+IF(CZ452="ct时",IF(DF452&lt;&gt;"",MIN(DF452,DA452*$EW$65/3*$AU452),DA452*$EW$65/3*$AU452),0)+IF(OR(CZ452="AC时",CZ452="AC成功"),IF(DF452&lt;&gt;"",MIN(DF452,DA452*$EW$73),DA452*$EW$73))),0)/$EW$65+IF(DE452="infty",IF(OR(CZ452="曲开始",AND(DA452=1,DF452=1)),DD452*DA452,IF(CZ452="SP发动",IF(DF452=1,DD452*(1-(1-(1-DA452)^($EW$76+1))/(($EW$76+1)*DA452)))+IF(DF452="",DA452*DD452*$EW$76/2),0)+IF(CZ452="AC时",IF(DF452=1,DD452*(1-(1-(1-DA452)^($EW$73+1))/(($EW$73+1)*DA452)))+IF(DF452="",DA452*DD452*$EW$73/2),0)+IF(CZ452="AC成功",IF(DF452=1,DD452*(1-(1-(1-DA452)^($EW$73+1))/(($EW$73+1)*DA452)))+IF(DF452="",DA452*DD452*$EW$73/2),0)),0)*(IF(DC452="全员",1,0)+IF(DC452="同属性",$EW$37/3,0)+IF(DC452="同年级",$EW$40/3,0)+IF(DC452="同作战",1,0)+IF(DC452="自身",1/3,0)+IF(DC452="同type",INDEX($EX$49:$EX$52,MATCH($O452,$EW$49:$EW$52,))/3))+IF(AND(DE452&lt;&gt;0,DE452&lt;&gt;"infty"),IF(DE452="AC内",$EW$74,DE452)*DD452*(IF(CZ452="曲开始",DA452,0)+IF(CZ452="切队",IF(DF452&lt;&gt;"",MIN(DF452,DA452*$EW$79),DA452*$EW$79))+IF(CZ452="SP发动",IF(DF452&lt;&gt;"",MIN(DF452,DA452*$EW$76),DA452*$EW$76))+IF(CZ452="ap时",IF(DF452&lt;&gt;"",MIN(DF452,DA452*$EW$65/3),DA452*$EW$65/3),0)+IF(CZ452="伤害时",IF(DF452&lt;&gt;"",MIN(DF452,DA452*$EW$65*(1-$EW$75)),DA452*$EW$65*(1-$EW$75)),0)+IF(CZ452="ct时",IF(DF452&lt;&gt;"",MIN(DF452,DA452*$EW$65/3*$AU452),DA452*$EW$65/3*$AU452),0)+IF(OR(CZ452="AC时",CZ452="AC成功"),IF(DF452&lt;&gt;"",MIN(DF452,DA452*$EW$73),DA452*$EW$73))),0)/$EW$65*(IF(DC452="全员",1,0)+IF(DC452="同属性",$EW$37/3,0)+IF(DC452="同年级",$EW$40/3,0)+IF(DC452="同学校",$EW$43/3,0)+IF(DC452="同作战",1,0)+IF(DC452="自身",1/3,0)+IF(DC452="同type",INDEX($EX$49:$EX$52,MATCH($O452,$EW$49:$EW$52,))/3)-IF(AND(DB452="ct+",DC452&lt;&gt;"仲间"),MAX(DD452+$AU452-1,0)/DD452/3)))))</f>
        <v>0</v>
      </c>
      <c r="DH452" s="1116">
        <f t="shared" ref="DH452:DH515" si="655">IF(OR(DB452="无",CZ452="大量伤害",CZ452="AC失败",CZ452="低血量",DB452="复活",DB452="驱散",DB452="Gd切队效果up"),0,IF(AND(DB452="sp获得",CZ452="AC成功"),0,IF(DB452="其他",0,IF(DE452=0,DD452*(IF(DC452="ap",BR452*IF(DB452="vo获得",BG452,1))+IF(DC452="st",BS452)+IF(DC452="te",BT452)+IF(DC452="sp槽",$FA$69)+IF(DC452="",1))*(IF(DB452="sp获得",$FA$30,1))*(IF(CZ452="曲开始",DA452,0)+IF(CZ452="切队",IF(DF452&lt;&gt;"",MIN(DF452,DA452*$FA$71),DA452*$FA$71))+IF(CZ452="SP发动",IF(DF452&lt;&gt;"",MIN(DF452,DA452*$FA$68),DA452*$FA$68))+IF(CZ452="ap时",IF(DF452&lt;&gt;"",MIN(DF452,DA452*$FA$62/3),DA452*$FA$62/3),0)+IF(CZ452="伤害时",IF(DF452&lt;&gt;"",MIN(DF452,DA452*$FA$62*(1-$FA$67)),DA452*$FA$62*(1-$FA$67)),0)+IF(CZ452="ct时",IF(DF452&lt;&gt;"",MIN(DF452,DA452*$FA$62/3*$BD452),DA452*$FA$62/3*$BD452),0)+IF(OR(CZ452="AC时",CZ452="AC成功"),IF(DF452&lt;&gt;"",MIN(DF452,DA452*$FA$65),DA452*$FA$65))),0)/$FA$62+IF(DE452="infty",IF(OR(CZ452="曲开始",AND(DA452=1,DF452=1)),DD452*DA452,IF(CZ452="SP发动",IF(DF452=1,DD452*(1-(1-(1-DA452)^($FA$68+1))/(($FA$68+1)*DA452)))+IF(DF452="",DA452*DD452*$FA$68/2),0)+IF(CZ452="AC时",IF(DF452=1,DD452*(1-(1-(1-DA452)^($FA$65+1))/(($FA$65+1)*DA452)))+IF(DF452="",DA452*DD452*$FA$65/2),0)+IF(CZ452="AC成功",IF(DF452=1,DD452*(1-(1-(1-DA452)^($FA$65+1))/(($FA$65+1)*DA452)))+IF(DF452="",DA452*DD452*$FA$65/2),0)),0)*(IF(DC452="全员",1,0)+IF(DC452="同属性",$FA$37/3,0)+IF(DC452="同年级",$FA$40/3,0)+IF(DC452="同作战",1,0)+IF(DC452="自身",1/3,0)+IF(DC452="同type",INDEX($FB$49:$FB$52,MATCH($O452,$FA$49:$FA$52,))/3))+IF(AND(DE452&lt;&gt;0,DE452&lt;&gt;"infty"),IF(DE452="AC内",$FA$66,DE452)*DD452*(IF(CZ452="曲开始",DA452,0)+IF(CZ452="切队",IF(DF452&lt;&gt;"",MIN(DF452,DA452*$FA$71),DA452*$FA$71))+IF(CZ452="SP发动",IF(DF452&lt;&gt;"",MIN(DF452,DA452*$FA$68),DA452*$FA$68))+IF(CZ452="ap时",IF(DF452&lt;&gt;"",MIN(DF452,DA452*$FA$62/3),DA452*$FA$62/3),0)+IF(CZ452="伤害时",IF(DF452&lt;&gt;"",MIN(DF452,DA452*$FA$62*(1-$FA$67)),DA452*$FA$62*(1-$FA$67)),0)+IF(CZ452="ct时",IF(DF452&lt;&gt;"",MIN(DF452,DA452*$FA$62/3*$BD452),DA452*$FA$62/3*$BD452),0)+IF(OR(CZ452="AC时",CZ452="AC成功"),IF(DF452&lt;&gt;"",MIN(DF452,DA452*$FA$65),DA452*$FA$65))),0)/$FA$62*(IF(DC452="全员",1,0)+IF(DC452="同属性",$FA$37/3,0)+IF(DC452="同年级",$FA$40/3,0)+IF(DC452="同学校",$FA$43/3,0)+IF(DC452="同作战",1,0)+IF(DC452="自身",1/3,0)+IF(DC452="同type",INDEX($FB$49:$FB$52,MATCH($O452,$FA$49:$FA$52,))/3)-IF(AND(DB452="ct+",DC452&lt;&gt;"仲间"),MAX(DD452+$BD452-1,0)/3/DD452)))))</f>
        <v>0</v>
      </c>
      <c r="DI452" s="1116">
        <f t="shared" ref="DI452:DI515" si="656">IF(OR(DB452="无",CZ452="大量伤害",CZ452="AC失败",CZ452="低血量",DB452="复活",DB452="驱散",DB452="Gd切队效果up"),0,IF(AND(DB452="sp获得",CZ452="AC成功"),0,IF(DB452="其他",0,IF(DE452=0,DD452*(IF(DC452="ap",BH452*IF(DB452="vo获得",BG452,1))+IF(DC452="st",BI452)+IF(DC452="te",BJ452)+IF(DC452="sp槽",$EW$77)+IF(DC452="",1))*(IF(CZ452="曲开始",DA452,0)+IF(CZ452="切队",IF(DF452&lt;&gt;"",MIN(DF452,DA452*$EW$79),DA452*$EW$79))+IF(CZ452="SP发动",IF(DF452&lt;&gt;"",MIN(DF452,DA452*$EW$76),DA452*$EW$76))+IF(CZ452="ap时",0)+IF(CZ452="伤害时",IF(DF452&lt;&gt;"",MIN(DF452,DA452*$EW$65*(1-$EW$75)),DA452*$EW$65*(1-$EW$75)),0)+IF(CZ452="ct时",0)+IF(OR(CZ452="AC时",CZ452="AC成功"),IF(DF452&lt;&gt;"",MIN(DF452,DA452*$EW$73),DA452*$EW$73))),0)/$EW$65+IF(DE452="infty",IF(OR(CZ452="曲开始",AND(DA452=1,DF452=1)),DD452*DA452,IF(CZ452="SP发动",IF(DF452=1,DD452*(1-(1-(1-DA452)^($EW$76+1))/(($EW$76+1)*DA452)))+IF(DF452="",DA452*DD452*$EW$76/2),0)+IF(CZ452="AC时",IF(DF452=1,DD452*(1-(1-(1-DA452)^($EW$73+1))/(($EW$73+1)*DA452)))+IF(DF452="",DA452*DD452*$EW$73/2),0)+IF(CZ452="AC成功",IF(DF452=1,DD452*(1-(1-(1-DA452)^($EW$73+1))/(($EW$73+1)*DA452)))+IF(DF452="",DA452*DD452*$EW$73/2),0)),0)*(IF(DC452="全员",1,0)+IF(DC452="同属性",$EW$38/3,0)+IF(DC452="同年级",$EW$41/3,0)+IF(DC452="同作战",0,0)+IF(DC452="自身",0,0)+IF(DC452="同type",INDEX($EX$53:$EX$56,MATCH($O452,$EW$53:$EW$56,))/3))+IF(AND(DE452&lt;&gt;0,DE452&lt;&gt;"infty"),IF(DE452="AC内",$EW$74,DE452)*(IF(CZ452="曲开始",DD452*DA452,0)+IF(CZ452="切队",DD452*IF(DF452&lt;&gt;"",MIN(DF452,DA452*$EW$79),DA452*$EW$79))+IF(CZ452="SP发动",DD452*IF(DF452&lt;&gt;"",MIN(DF452,DA452*$EW$76),DA452*$EW$76))+IF(CZ452="ap时",0,0)+IF(CZ452="伤害时",DD452*IF(DF452&lt;&gt;"",MIN(DF452,DA452*$EW$65*(1-$EW$75)),DA452*$EW$65*(1-$EW$75)),0)+IF(CZ452="ct时",0,0)+IF(OR(CZ452="AC时",CZ452="AC成功"),DD452*IF(DF452&lt;&gt;"",MIN(DF452,DA452*$EW$73),DA452*$EW$73))),0)/$EW$65*(IF(DC452="全员",1,0)+IF(DC452="同属性",$EW$38/3,0)+IF(DC452="同年级",$EW$41/3,0)+IF(DC452="同学校",$EW$44/3,0)+IF(DC452="同作战",0,0)+IF(DC452="自身",0,0)+IF(DC452="同type",INDEX($EX$53:$EX$56,MATCH($O452,$EW$53:$EW$56,))/3)))))</f>
        <v>0</v>
      </c>
      <c r="DJ452" s="442">
        <f t="shared" ref="DJ452:DJ515" si="657">IF(DB452="技能+",IF(DE452="infty",(IF(CZ452="曲开始",DD452*DA452)+IF(OR(CZ452="AC时",CZ452="AC成功"),(1-(1-(1-DA452)^($FM$20+1))/(($FM$20+1)*DA452))*DD452))*(IF(DC452="全员",1)))+IF(DE452&lt;&gt;"infty",DD452*(IF(CZ452="曲开始",DA452*DE452/$FM$19)+IF(OR(CZ452="AC时",CZ452="AC成功"),DE452*IF(DF452&lt;&gt;"",MIN(DF452,DA452*$FM$20),DA452*$FM$20)/$FM$19)+IF(CZ452="切队",DE452*IF(DF452&lt;&gt;"",MIN(DA452*$FM$11,DF452/$FM$19),DA452*$FM$11))+IF(CZ452="ap时",IF(DF452&lt;&gt;"",MIN(DF452/$FM467,IF($O452="sk",$FM$10,$FM$9)*DA452),IF($O452="sk",$FM$10,$FM$9)*DA452)*DE452)+IF(CZ452="ct时",IF(DF452&lt;&gt;"",MIN(DF452/$FM467,$AU452*IF($O452="sk",$FM$10,$FM$9)*DA452),$AU452*IF($O452="sk",$FM$10,$FM$9)*DA452)*DE452))*(IF(DC452="全员",1)+IF(DC452="同作战",IF($O452="sk",$FM$10*3,$FM$9*3))+IF(DC452="同属性",$FM$23/6)+IF(DC452="同年级",$FM$24/6)+IF(DC452="自身",IF($O452="sk",$FM$10,$FM$9)))),0)*$FM$16</f>
        <v>0</v>
      </c>
      <c r="DK452" s="432">
        <f t="shared" ref="DK452:DK515" si="658">IF(DB452="sp+",IF(DE452="infty",(IF(CZ452="曲开始",DD452*DA452*$FM$28)+IF(OR(CZ452="AC时",CZ452="AC成功"),(1-(1-(1-DA452)^($FM$20+1))/(($FM$20+1)*DA452))*DD452*$FM$28))*(IF(DC452="全员",1)))+IF(DE452&lt;&gt;"infty",DD452*$FM$28*(IF(CZ452="曲开始",DA452*DE452/$FM$19)+IF(OR(CZ452="AC时",CZ452="AC成功"),DE452*IF(DF452&lt;&gt;"",MIN(DF452,DA452*$FM$20),DA452*$FM$20)/$FM$19)+IF(CZ452="切队",DE452*IF(DF452&lt;&gt;"",MIN(DA452*$FM$11,DF452/$FM$19),DA452*$FM$11))+IF(CZ452="ap时",IF(DF452&lt;&gt;"",MIN(DF452/$FM467,IF($O452="sk",$FM$10,$FM$9)*DA452),IF($O452="sk",$FM$10,$FM$9)*DA452)*DE452)+IF(CZ452="ct时",IF(DF452&lt;&gt;"",MIN(DF452/$FM467,$AU452*IF($O452="sk",$FM$10,$FM$9)*DA452),$AU452*IF($O452="sk",$FM$10,$FM$9)*DA452)*DE452))*(IF(DC452="全员",1)+IF(DC452="同作战",IF($O452="sk",$FM$10*3,$FM$9*3))+IF(DC452="同属性",$FM$23/6)+IF(DC452="同年级",$FM$24/6)+IF(DC452="同type",IF(AF452="sp",$FN$6*$FM$9)))),0)+IF(DB452="sp获得",IF(CZ452="AC成功",0,DD452*(IF(DC452="ap",BI452)+IF(DC452="st",BJ452)+IF(DC452="te",BK452)+IF(DC452="sp槽",$EW$77)+IF(DC452="",1))*IF($O452="sk",1,1+(1+$FM$10/$FM$9)*($FM$27-1))*(IF(CZ452="曲开始",DA452/$FM$19)+IF(CZ452="SP发动",IF(DF452&lt;&gt;"",MIN(DF452/$FM$19,DA452*$FM$30/$FM$19),DA452*$FM$30/$FM$19))+IF(CZ452="切队",IF(DF452&lt;&gt;"",MIN(DF452/$FM$19,DA452*$FM$11),DA452*$FM$11))+IF(OR(CZ452="AC时",CZ452="AC成功"),IF(DF452&lt;&gt;"",MIN(DF452/$FM$19,DA452*$FM$20/$FM$19),DA452*$FM$20/$FM$19))+IF(CZ452="ap时",IF(DF452&lt;&gt;"",MIN(DF452/$FM$19,DA452*IF($O452="sk",$FM$10,$FM$9)),DA452*IF($O452="sk",$FM$10,$FM$9)))+IF(CZ452="ct时",IF(DF452&lt;&gt;"",MIN(DF452/$FM$19,DA452*IF($O452="sk",$FM$10,$FM$9)*$AU452),DA452*IF($O452="sk",$FM$10,$FM$9)*$AU452)))))</f>
        <v>0</v>
      </c>
      <c r="DL452" s="424">
        <f t="shared" ref="DL452:DL515" si="659">IF(DB452="sp+",DG452*$EW$30*$EW$32*(1-$EW$33),0)+IF(DB452="ap+",DG452*$EW$26/(1+$EW$15),0)+IF(DB452="ap+元气",DG452*$EW$26/(1+$EW$15)*$EW$67,0)+IF(DB452="技能+",$EW$28*DG452/$EW$27,0)+IF(DB452="vo+",$EW$26*DG452,0)+IF(DB452="sp获得",DG452*(1-$EW$33)*$EW$30/$EW$77)+IF(DB452="vo获得",DG452*$EW$24)+IF(DB452="ct+",$EW$26/(1+($EW$22-1)*$EW$19)*($EW$22-1)*DG452)+IF(DB452="核弹",DG452*(1+$EW$23))+IF(DB452="ct值+",$EW$26/(1+($EW$22-1)*$EW$19)*$EW$19*DG452)</f>
        <v>0</v>
      </c>
      <c r="DM452" s="420">
        <f t="shared" ref="DM452:DM515" si="660">IF(DB452="sp+",DH452*$FA$27*$FA$32*(1-$FA$33),0)+IF(DB452="ap+",DH452*$FA$24/(1+$FA$15)*(1-$FI$26),0)+IF(DB452="ap+元气",DH452*$FA$24/(1+$FA$15)*(1-$FI$26)*$FA$64,0)+IF(DB452="技能+",$FA$26*DH452/$FA$25,0)+IF(DB452="vo+",$FA$24*DH452*(1-$FI$26),0)+IF(DB452="sp获得",DH452*(1-$FA$33)*$FA$27/$FA$69)+IF(DB452="vo获得",DH452*$FA$22)+IF(DB452="ct+",$FA$24/(1+($FA$20-1)*$FA$19)*($FA$20-1)*DH452*(1-$FI$27))+IF(DB452="核弹",DH452*(1+$FA$21)*(1-$FI$29))+IF(DB452="ct值+",$FA$24/(1+($FA$20-1)*$FA$19)*$FA$19*DH452*(1-$FI$28))</f>
        <v>0</v>
      </c>
      <c r="DN452" s="420">
        <f t="shared" ref="DN452:DN515" si="661">IF(DB452="sp+",DI452*$EW$30*$EW$32*(1-$EW$33),0)+IF(DB452="ap+",DI452*$EW$26/(1+$EW$15),0)+IF(DB452="ap+元气",DI452*$EW$26/(1+$EW$15)*$EW$67,0)+IF(DB452="技能+",$EW$28*DI452/$EW$27,0)+IF(DB452="vo+",$EW$26*DI452,0)+IF(DB452="sp获得",DI452*(1-$EW$33)*$EW$30/$EW$77)+IF(DB452="vo获得",DI452*$EW$24)+IF(DB452="ct+",$EW$26/(1+($EW$22-1)*$EW$19)*($EW$22-1)*DI452)+IF(DB452="核弹",DI452*(1+$EW$23))+IF(DB452="ct值+",$EW$26/(1+($EW$22-1)*$EW$19)*$EW$19*DI452)</f>
        <v>0</v>
      </c>
      <c r="DO452" s="420">
        <f t="shared" ref="DO452:DO515" si="662">DL452+IF(OR(DB452="加盾",AND(DB452="回血",OR(CZ452&lt;&gt;"切队",DF452=""))),MIN($EW$26/$EW$66*(1-$EW$66)-$EE452+$EC452-$ET452+$ER452, $EW$26*(HP($EW$62,$EW$65,$EW$64-DG452)/$EW$66-1)))+IF(DB452="减伤",MIN($EW$26/$EW$66*(1-$EW$66)-$EE452+$EC452-$ET452+$ER452, $EW$26*(HP($EW$62,$EW$65,$EW$64*(1-DG452))/$EW$66-1)))</f>
        <v>0</v>
      </c>
      <c r="DP452" s="433">
        <f t="shared" ref="DP452:DP515" si="663">DN452+(IF(OR(DB452="加盾",AND(DB452="回血",OR(CZ452&lt;&gt;"切队",DF452=""))),$EW$26*(HP($EW$62,$EW$65,$EW$64-DG452)/$EW$66-1))+IF(DB452="减伤",$EW$26*(HP($EW$62,$EW$65,$EW$64*(1-DG452))/$EW$66-1)))*IF(OR(DC452="自身",DC452="同作战"),0,1)*IF(OR(CZ452="ap时",CZ452="ct时"),0,1)</f>
        <v>0</v>
      </c>
      <c r="DQ452" s="437" t="s">
        <v>549</v>
      </c>
      <c r="DR452" s="444">
        <f t="shared" ref="DR452:DR510" si="664">IF(F452="UR",0.33,0.3)</f>
        <v>0.33</v>
      </c>
      <c r="DS452" s="450"/>
      <c r="DT452" s="1093" t="s">
        <v>179</v>
      </c>
      <c r="DU452" s="1093"/>
      <c r="DV452" s="1098">
        <f>IF($P452="","N/A",IF(P452=-1,INDEX('卡片raw data'!AN:AN,MATCH(D452,'卡片raw data'!$F:$F,)),0)+IF(AND(L452&lt;&gt;"party卡",P452&lt;=2,P452&gt;=0),INDEX('卡片raw data'!AP:AP,MATCH(D452,'卡片raw data'!$F:$F,)),0)+IF(OR(AND(L452="party卡",P452&lt;=1),AND(P452&lt;=4,L452&lt;&gt;"party卡",P452&gt;=3)),INDEX('卡片raw data'!AQ:AQ,MATCH(D452,'卡片raw data'!$F:$F,)),0)+IF(OR(P452=5,AND(L452="party卡",P452&gt;=2)),INDEX('卡片raw data'!AR:AR,MATCH(D452,'卡片raw data'!$F:$F,)),0))</f>
        <v>0.09</v>
      </c>
      <c r="DW452" s="1098">
        <f t="shared" ref="DW452:DW515" si="665">DR452+IF(AND($CK452="技能+",$CL452="自身",DR452=0.11),$CP452*3)</f>
        <v>0.33</v>
      </c>
      <c r="DX452" s="1098">
        <f t="shared" ref="DX452:DX515" si="666">DR452+IF(AND($CK452="技能+",$CL452="自身",DR452=0.11),$CQ452*3)</f>
        <v>0.33</v>
      </c>
      <c r="DY452" s="1098">
        <f t="shared" ref="DY452:DY515" si="667">IF(DS452=0,IF(DT452="ap",DV452*$AQ452*DW452/3*IF(DQ452="vo获得",$AP452,1))+IF(DT452="st",DV452*$AR452*DW452/3)+IF(DT452="te",DV452*$AS452*DW452/3)+IF(DT452="sp槽",DV452*DW452/3)+IF(DT452="固定值",IF(DQ452="sp获得",DV452/3*DW452/$EW$77,DV452*DW452/3)),IF(DU452="百分比",IF(DT452="全员",DV452*DW452/3*DS452)+IF(DT452="仲间",DV452*DW452/3*DS452*2/3)+IF(DT452="同作战",DV452*DW452/3*DS452)+IF(DT452="同年级",DV452*DW452/3*DS452*$EW$40/3)+IF(DT452="同学校",DV452*DW452/3*DS452*$EW$43/3)+IF(DT452="同属性",DV452*DW452/3*DS452*$EW$37/3)+IF(DT452="同type",DV452*DW452/3*DS452*INDEX($EX$49:$EX$52,MATCH(O452,$EW$49:$EW$52,))/3),(IF(DQ452="ap+",DV452/$EX$16*DS452*DW452/3)+IF(DQ452="vo+",DV452*(1+$EW$23)/$EW$26*DS452*DW452/3))*(IF(DT452="全员",1)+IF(DT452="同作战",1)))-IF(AND(DQ452="ct+",DT452&lt;&gt;"仲间"),MAX(DV452+$AU452-1,0)*DW452/3*_xlfn.FLOOR.MATH(DS452/3)))</f>
        <v>9.9000000000000008E-3</v>
      </c>
      <c r="DZ452" s="1098">
        <f t="shared" ref="DZ452:DZ515" si="668">IF(DS452=0,IF(DT452="ap",IF(DQ452="vo获得",MIN(DV452*$BA452*$AP452,$FI$25)*$FA$22*DX452/3,DV452*$BA452*DX452/3))+IF(DT452="st",DV452*$BB452*DX452/3)+IF(DT452="te",DV452*$BC452*DX452/3)+IF(DT452="sp槽",DV452*DX452/3*$FA$30)+IF(DT452="固定值",IF(DQ452="sp获得",DV452/3*DX452/$FA$69*$FA$30,DV452*DX452/3)),IF(DU452="百分比",IF(DT452="全员",DV452*DX452/3*DS452)+IF(DT452="仲间",DV452*DX452/3*DS452*2/3)+IF(DT452="同作战",DV452*DX452/3*DS452)+IF(DT452="同年级",DV452*DX452/3*DS452*$FA$40/3)+IF(DT452="同学校",DV452*DX452/3*DS452*$FA$43/3)+IF(DT452="同属性",DV452*DX452/3*DS452*$FA$37/3)+IF(DT452="同type",DV452*DX452/3*DS452*INDEX($FB$49:$FB$52,MATCH(O452,$FA$49:$FA$52,))/3),(IF(DQ452="ap+",DV452/$FB$16*DS452*DX452/3)+IF(DQ452="vo+",DV452*(1+$FA$21)/$FA$24*DS452*DX452/3))*(IF(DT452="全员",1)+IF(DT452="同作战",1)))-IF(AND(DQ452="ct+",DT452&lt;&gt;"仲间"),MAX(DV452+$BD452-1,0)*DX452/3*_xlfn.FLOOR.MATH(DS452/3)))*$FA$57</f>
        <v>9.8480249999999998E-3</v>
      </c>
      <c r="EA452" s="421">
        <f t="shared" ref="EA452:EA515" si="669">IF(DQ452="技能+",IF(O452="sk",FM$10,FM$9)*(1+0.1*$FM$31/$FM$19)*IF(O452="sk",$FM$18,$FM$17)*DR452/$FM$14*(IF(DT452="全员",DS452*DV452)+IF(DT452="同属性",DS452*DV452*$FM$23/6)+IF(DT452="同作战",DV452*IF(O452="sk",IF(AND(DS452&gt;1,DS452&lt;6),2),$FM$9*DS452*3))),0)*$FM$16</f>
        <v>0</v>
      </c>
      <c r="EB452" s="445">
        <f t="shared" ref="EB452:EB515" si="670">IF(DQ452="sp+",1/6*(1+0.1*$FM$31/$FM$19)*IF(O452="sk",$FM$18,$FM$17)*DR452/$FM$14*$FM$28*(IF(DT452="全员",DS452*DV452)+IF(DT452="同属性",DS452*DV452*$FM$23/6)+IF(DT452="同年级",DS452*DV452*$FM$24/6)),0)+IF(DQ452="sp获得",1/6*(1+0.1*$FM$31/$FM$19)*IF(O452="sk",$FM$18,$FM$17)*DR452/$FM$14*IF(O452="sk",1,1+(1+$FM$10/$FM$9)*($FM$27-1))*IF(DT452="固定值",DV452,DV452*$FM$25))</f>
        <v>60.337777499999987</v>
      </c>
      <c r="EC452" s="424">
        <f t="shared" ref="EC452:EC515" si="671">IF(DQ452="ap+",$EW$26/(1+$EW$15)*DY452)+IF(DQ452="vo+",$EW$26*DY452)+IF(DQ452="vo获得",DY452*$EW$24)+IF(DQ452="sp+",DY452*$EW$30*$EW$32*(1-$EW$33))+IF(DQ452="sp获得",DY452*$EW$30*(1-$EW$33))+IF(DQ452="技能+",DY452*$EW$28/$EW$27)+IF(DQ452="ct+",DY452*$EW$26/(1+($EW$22-1)*$EW$19)*($EW$22-1))+IF(DQ452="核弹",DY452*(1+$EW$23)*$EW$24)+IF(DQ452="ct值+",$EW$26/(1+($EW$22-1)*$EW$19)*$EW$19*DY452)</f>
        <v>4455</v>
      </c>
      <c r="ED452" s="420">
        <f t="shared" ref="ED452:ED515" si="672">IF(DQ452="ap+",$FA$24/(1+$FA$15)*DZ452*(1-$FI$26))+IF(DQ452="vo+",$FA$24*DZ452*(1-$FI$26))+IF(DQ452="vo获得",DZ452)+IF(DQ452="sp+",DZ452*$FA$27*$FA$32*(1-$FA$33))+IF(DQ452="sp获得",DZ452*$FA$27*(1-$FA$33))+IF(DQ452="技能+",DZ452*$FA$26/$FA$25)+IF(DQ452="ct+",DZ452*$FA$24/(1+($FA$20-1)*$FA$19)*($FA$20-1)*(1-$FI$27))+IF(DQ452="核弹",DZ452*(1+$FA$21)*(1-$FI$29))+IF(DQ452="ct值+",$FA$24/(1+($FA$20-1)*$FA$19)*$FA$19*DZ452*(1-$FI$28))</f>
        <v>2462.0062499999999</v>
      </c>
      <c r="EE452" s="433">
        <f t="shared" si="598"/>
        <v>4455</v>
      </c>
      <c r="EF452" s="1115" t="s">
        <v>569</v>
      </c>
      <c r="EG452" s="444">
        <f t="shared" ref="EG452:EG510" si="673">IF(F452="UR",0.33,0.3)</f>
        <v>0.33</v>
      </c>
      <c r="EH452" s="450"/>
      <c r="EI452" s="1093"/>
      <c r="EJ452" s="1093"/>
      <c r="EK452" s="1097">
        <f>IF($P452="","N/A",IF(P452=-1,INDEX('卡片raw data'!AS:AS,MATCH(D452,'卡片raw data'!$F:$F,)),0)+IF(AND(L452&lt;&gt;"party卡",P452&lt;=2,P452&gt;=0),INDEX('卡片raw data'!AU:AU,MATCH(D452,'卡片raw data'!$F:$F,)),0)+IF(OR(AND(L452="party卡",P452&lt;=1),AND(P452&lt;=4,L452&lt;&gt;"party卡",P452&gt;=3)),INDEX('卡片raw data'!AV:AV,MATCH(D452,'卡片raw data'!$F:$F,)),0)+IF(OR(P452=5,AND(L452="party卡",P452&gt;=2)),INDEX('卡片raw data'!AW:AW,MATCH(D452,'卡片raw data'!$F:$F,)),0))</f>
        <v>0</v>
      </c>
      <c r="EL452" s="1098">
        <f t="shared" ref="EL452:EL515" si="674">EG452+IF(AND($CK452="技能+",$CL452="自身",EG452=0.11),$CP452*3)</f>
        <v>0.33</v>
      </c>
      <c r="EM452" s="1098">
        <f t="shared" ref="EM452:EM515" si="675">EG452+IF(AND($CK452="技能+",$CL452="自身",EG452=0.11),$CQ452*3)</f>
        <v>0.33</v>
      </c>
      <c r="EN452" s="1097">
        <f t="shared" ref="EN452:EN515" si="676">IF(EH452=0,IF(EI452="ap",EK452*$AQ452*EL452/3*IF(EF452="vo获得",$AP452,1))+IF(EI452="st",EK452*$AR452*EL452/3)+IF(EI452="te",EK452*$AS452*EL452/3)+IF(EI452="sp槽",EK452*EL452/3)+IF(EI452="固定值",IF(EF452="sp获得",EK452/3*EL452/$EW$77,EK452*EL452/3)),IF(EJ452="百分比",IF(EI452="全员",EK452*EL452/3*EH452)+IF(EI452="仲间",EK452*EL452/3*EH452*2/3)+IF(EI452="同作战",EK452*EL452/3*EH452)+IF(EI452="同年级",EK452*EL452/3*EH452*$EW$40/3)+IF(EI452="同学校",EK452*EL452/3*EH452*$EW$43/3)+IF(EI452="同属性",EK452*EL452/3*EH452*$EW$37/3)+IF(EI452="同type",EK452*EL452/3*EH452*INDEX($EX$49:$EX$52,MATCH(AD452,$EW$49:$EW$52,))/3),(IF(EF452="ap+",EK452/$EX$16*EH452*EL452/3)+IF(EF452="vo+",EK452*(1+$EW$23)/$EW$26*EH452*EL452/3))*(IF(EI452="全员",1)+IF(EI452="同作战",1)))-IF(AND(EF452="ct+",EI452&lt;&gt;"仲间"),MAX(EK452+$AU452-1,0)*EL452/3*_xlfn.FLOOR.MATH(EH452/3)))</f>
        <v>0</v>
      </c>
      <c r="EO452" s="1097">
        <f t="shared" ref="EO452:EO515" si="677">IF(EH452=0,IF(EI452="ap",IF(EF452="vo获得",MIN(EK452*$BA452*$AP452,$FI$25)*$FA$22*EM452/3,EK452*$BA452*EM452/3))+IF(EI452="st",EK452*$BB452*EM452/3)+IF(EI452="te",EK452*$BC452*EM452/3)+IF(EI452="sp槽",EK452*EM452/3*$FA$30)+IF(EI452="固定值",IF(EF452="sp获得",EK452/3*EM452/$FA$69*$FA$30,EK452*EM452/3)),IF(EJ452="百分比",IF(EI452="全员",EK452*EM452/3*EH452)+IF(EI452="仲间",EK452*EM452/3*EH452*2/3)+IF(EI452="同作战",EK452*EM452/3*EH452)+IF(EI452="同年级",EK452*EM452/3*EH452*$FA$40/3)+IF(EI452="同学校",EK452*EM452/3*EH452*$FA$43/3)+IF(EI452="同属性",EK452*EM452/3*EH452*$FA$37/3)+IF(EI452="同type",EK452*EM452/3*EH452*INDEX($FB$49:$FB$52,MATCH(AD452,$FA$49:$FA$52,))/3),(IF(EF452="ap+",EK452/$FB$16*EH452*EM452/3)+IF(EF452="vo+",EK452*(1+$FA$21)/$FA$24*EH452*EM452/3))*(IF(EI452="全员",1)+IF(EI452="同作战",1)))-IF(AND(EF452="ct+",EI452&lt;&gt;"仲间"),MAX(EK452+$BD452-1,0)*EM452/3*_xlfn.FLOOR.MATH(EH452/3)))*$FA$57</f>
        <v>0</v>
      </c>
      <c r="EP452" s="421">
        <f t="shared" ref="EP452:EP515" si="678">IF(EF452="技能+",IF(AB452="sk",FZ$10,FZ$9)*(1+0.1*$FM$31/$FM$19)*IF(AB452="sk",$FM$18,$FM$17)*EG452/$FM$14*(IF(EI452="全员",EH452*EK452)+IF(EI452="同属性",EH452*EK452*$FM$23/6)+IF(EI452="同作战",EK452*IF(AB452="sk",IF(AND(EH452&gt;1,EH452&lt;6),2),$FM$9*EH452*3))),0)*$FM$16</f>
        <v>0</v>
      </c>
      <c r="EQ452" s="445">
        <f t="shared" ref="EQ452:EQ515" si="679">IF(EF452="sp+",1/6*(1+0.1*$FM$31/$FM$19)*IF(AB452="sk",$FM$18,$FM$17)*EG452/$FM$14*$FM$28*(IF(EI452="全员",EH452*EK452)+IF(EI452="同属性",EH452*EK452*$FM$23/6)+IF(EI452="同年级",EH452*EK452*$FM$24/6)),0)+IF(EF452="sp获得",1/6*(1+0.1*$FM$31/$FM$19)*IF(AB452="sk",$FM$18,$FM$17)*EG452/$FM$14*IF(AB452="sk",1,1+(1+$FM$10/$FM$9)*($FM$27-1))*IF(EI452="固定值",EK452,EK452*$FM$25))</f>
        <v>0</v>
      </c>
      <c r="ER452" s="424">
        <f t="shared" ref="ER452:ER515" si="680">IF(EF452="ap+",$EW$26/(1+$EW$15)*EN452)+IF(EF452="vo+",$EW$26*EN452)+IF(EF452="vo获得",EN452*$EW$24)+IF(EF452="sp+",EN452*$EW$30*$EW$32*(1-$EW$33))+IF(EF452="sp获得",EN452*$EW$30*(1-$EW$33))+IF(EF452="技能+",EN452*$EW$28/$EW$27)+IF(EF452="ct+",EN452*$EW$26/(1+($EW$22-1)*$EW$19)*($EW$22-1))+IF(EF452="核弹",EN452*(1+$EW$23)*$EW$24)+IF(EF452="ct值+",$EW$26/(1+($EW$22-1)*$EW$19)*$EW$19*EN452)</f>
        <v>0</v>
      </c>
      <c r="ES452" s="420">
        <f t="shared" ref="ES452:ES515" si="681">IF(EF452="ap+",$FA$24/(1+$FA$15)*EO452*(1-$FI$26))+IF(EF452="vo+",$FA$24*EO452*(1-$FI$26))+IF(EF452="vo获得",EO452)+IF(EF452="sp+",EO452*$FA$27*$FA$32*(1-$FA$33))+IF(EF452="sp获得",EO452*$FA$27*(1-$FA$33))+IF(EF452="技能+",EO452*$FA$26/$FA$25)+IF(EF452="ct+",EO452*$FA$24/(1+($FA$20-1)*$FA$19)*($FA$20-1)*(1-$FI$27))+IF(EF452="核弹",EO452*(1+$FA$21)*(1-$FI$29))+IF(EF452="ct值+",$FA$24/(1+($FA$20-1)*$FA$19)*$FA$19*EO452*(1-$FI$28))</f>
        <v>0</v>
      </c>
      <c r="ET452" s="446">
        <f t="shared" si="599"/>
        <v>0</v>
      </c>
    </row>
    <row r="453" spans="2:150" ht="16.5" customHeight="1">
      <c r="B453" s="448" t="str">
        <f>INDEX('卡片raw data'!B:B,MATCH($D453,'卡片raw data'!$F:$F,))</f>
        <v>nbg姬</v>
      </c>
      <c r="C453" s="449" t="s">
        <v>2669</v>
      </c>
      <c r="D453" s="408">
        <v>450</v>
      </c>
      <c r="E453" s="477">
        <v>200062001</v>
      </c>
      <c r="F453" s="409" t="str">
        <f>INDEX('卡片raw data'!C:C,MATCH($D453,'卡片raw data'!$F:$F,))</f>
        <v>SR</v>
      </c>
      <c r="G453" s="414" t="s">
        <v>2670</v>
      </c>
      <c r="H453" s="411">
        <f>IFERROR(INDEX(绊状态确认!C:C,MATCH($G453,绊状态确认!$B:$B,)),"")</f>
        <v>6</v>
      </c>
      <c r="I453" s="450" t="str">
        <f>IFERROR(INDEX(绊状态确认!D:D,MATCH($G453,绊状态确认!$B:$B,)),"")</f>
        <v>缪</v>
      </c>
      <c r="J453" s="450" t="str">
        <f>IFERROR(INDEX(绊状态确认!E:E,MATCH($G453,绊状态确认!$B:$B,)),"")</f>
        <v>1年级</v>
      </c>
      <c r="K453" s="451" t="str">
        <f>IFERROR(INDEX(绊状态确认!F:F,MATCH($G453,绊状态确认!$B:$B,)),"")</f>
        <v>BiBi</v>
      </c>
      <c r="L453" s="414" t="str">
        <f>INDEX('卡片raw data'!E:E,MATCH($D453,'卡片raw data'!$F:$F,))</f>
        <v>卡池卡</v>
      </c>
      <c r="M453" s="478">
        <v>44315</v>
      </c>
      <c r="N453" s="479">
        <v>38.5</v>
      </c>
      <c r="O453" s="410" t="str">
        <f>INDEX('卡片raw data'!D:D,MATCH($D453,'卡片raw data'!$F:$F,))</f>
        <v>gd</v>
      </c>
      <c r="P453" s="1126">
        <v>5</v>
      </c>
      <c r="Q453" s="418">
        <f t="shared" si="600"/>
        <v>21617.650522237971</v>
      </c>
      <c r="R453" s="419">
        <f t="shared" si="601"/>
        <v>0.251</v>
      </c>
      <c r="S453" s="420">
        <f t="shared" si="602"/>
        <v>12551.847000166257</v>
      </c>
      <c r="T453" s="421">
        <f t="shared" si="603"/>
        <v>0.627</v>
      </c>
      <c r="U453" s="422">
        <f t="shared" si="604"/>
        <v>100.23344271774914</v>
      </c>
      <c r="V453" s="423">
        <f t="shared" si="605"/>
        <v>31115.139440970353</v>
      </c>
      <c r="W453" s="424">
        <f t="shared" si="606"/>
        <v>4507.7214871259994</v>
      </c>
      <c r="X453" s="419">
        <f t="shared" si="607"/>
        <v>5.1999999999999998E-2</v>
      </c>
      <c r="Y453" s="420">
        <f t="shared" si="608"/>
        <v>3335.6349880142061</v>
      </c>
      <c r="Z453" s="425">
        <f t="shared" si="609"/>
        <v>41.108442717749142</v>
      </c>
      <c r="AA453" s="426">
        <f t="shared" si="610"/>
        <v>7843.3564751402055</v>
      </c>
      <c r="AB453" s="424">
        <f t="shared" si="611"/>
        <v>4507.7214871259994</v>
      </c>
      <c r="AC453" s="427">
        <f t="shared" si="612"/>
        <v>5.1999999999999998E-2</v>
      </c>
      <c r="AD453" s="428">
        <f t="shared" si="613"/>
        <v>-3.8207812500000026E-3</v>
      </c>
      <c r="AE453" s="516">
        <f t="shared" si="614"/>
        <v>-18.525362318840578</v>
      </c>
      <c r="AF453" s="1130">
        <f t="shared" si="615"/>
        <v>0</v>
      </c>
      <c r="AG453" s="420">
        <f t="shared" si="616"/>
        <v>0</v>
      </c>
      <c r="AH453" s="420">
        <f t="shared" si="617"/>
        <v>0</v>
      </c>
      <c r="AI453" s="1097">
        <f t="shared" si="618"/>
        <v>0</v>
      </c>
      <c r="AJ453" s="420">
        <f t="shared" si="619"/>
        <v>0</v>
      </c>
      <c r="AK453" s="518">
        <f t="shared" si="620"/>
        <v>0</v>
      </c>
      <c r="AL453" s="429">
        <f>IF($P453="","N/A",(IF($P453=-1,INDEX('卡片raw data'!S:S,MATCH($D453,'卡片raw data'!$F:$F,)),0)+IF($P453=0,INDEX('卡片raw data'!V:V,MATCH($D453,'卡片raw data'!$F:$F,)),0)+IF($P453=1,INDEX('卡片raw data'!Y:Y,MATCH($D453,'卡片raw data'!$F:$F,)),0)+IF($P453=2,INDEX('卡片raw data'!AB:AB,MATCH($D453,'卡片raw data'!$F:$F,)),0)+IF($P453=3,INDEX('卡片raw data'!AE:AE,MATCH($D453,'卡片raw data'!$F:$F,)),0)+IF($P453=4,INDEX('卡片raw data'!AH:AH,MATCH($D453,'卡片raw data'!$F:$F,)),0)+IF($P453=5,INDEX('卡片raw data'!AK:AK,MATCH($D453,'卡片raw data'!$F:$F,)),0)+INDEX('卡片raw data'!S:S,MATCH($D453,'卡片raw data'!$F:$F,))*(IF($F453="UR",0.04,0.033))*(IF($F453="UR",INDEX(绊状态确认!$S:$S,MATCH($G453,绊状态确认!$B:$B,))/2-40)+IF($F453="SR",INDEX(绊状态确认!$R:$R,MATCH($G453,绊状态确认!$B:$B,))/4-15))+IF($F453="R",INDEX(绊状态确认!$Q:$Q,MATCH($G453,绊状态确认!$B:$B,))/6-40/6)))*(INDEX(绊状态确认!$H:$H,MATCH($G453,绊状态确认!$B:$B,))+INDEX(绊状态确认!J:J,MATCH($G453,绊状态确认!$B:$B,)))</f>
        <v>6156.0583511999994</v>
      </c>
      <c r="AM453" s="429">
        <f>IF($P453="","N/A",(IF($P453=-1,INDEX('卡片raw data'!T:T,MATCH($D453,'卡片raw data'!$F:$F,)),0)+IF($P453=0,INDEX('卡片raw data'!W:W,MATCH($D453,'卡片raw data'!$F:$F,)),0)+IF($P453=1,INDEX('卡片raw data'!Z:Z,MATCH($D453,'卡片raw data'!$F:$F,)),0)+IF($P453=2,INDEX('卡片raw data'!AC:AC,MATCH($D453,'卡片raw data'!$F:$F,)),0)+IF($P453=3,INDEX('卡片raw data'!AF:AF,MATCH($D453,'卡片raw data'!$F:$F,)),0)+IF($P453=4,INDEX('卡片raw data'!AI:AI,MATCH($D453,'卡片raw data'!$F:$F,)),0)+IF($P453=5,INDEX('卡片raw data'!AL:AL,MATCH($D453,'卡片raw data'!$F:$F,)),0)+INDEX('卡片raw data'!T:T,MATCH($D453,'卡片raw data'!$F:$F,))*(IF($F453="UR",0.04,0.033))*(IF($F453="UR",INDEX(绊状态确认!$S:$S,MATCH($G453,绊状态确认!$B:$B,))/2-40)+IF($F453="SR",INDEX(绊状态确认!$R:$R,MATCH($G453,绊状态确认!$B:$B,))/4-15))+IF($F453="R",INDEX(绊状态确认!$Q:$Q,MATCH($G453,绊状态确认!$B:$B,))/6-40/6)))*(INDEX(绊状态确认!$H:$H,MATCH($G453,绊状态确认!$B:$B,))+INDEX(绊状态确认!K:K,MATCH($G453,绊状态确认!$B:$B,)))</f>
        <v>8435.9199407999986</v>
      </c>
      <c r="AN453" s="429">
        <f>IF($P453="","N/A",(IF($P453=-1,INDEX('卡片raw data'!U:U,MATCH($D453,'卡片raw data'!$F:$F,)),0)+IF($P453=0,INDEX('卡片raw data'!X:X,MATCH($D453,'卡片raw data'!$F:$F,)),0)+IF($P453=1,INDEX('卡片raw data'!AA:AA,MATCH($D453,'卡片raw data'!$F:$F,)),0)+IF($P453=2,INDEX('卡片raw data'!AD:AD,MATCH($D453,'卡片raw data'!$F:$F,)),0)+IF($P453=3,INDEX('卡片raw data'!AG:AG,MATCH($D453,'卡片raw data'!$F:$F,)),0)+IF($P453=4,INDEX('卡片raw data'!AJ:AJ,MATCH($D453,'卡片raw data'!$F:$F,)),0)+IF($P453=5,INDEX('卡片raw data'!AM:AM,MATCH($D453,'卡片raw data'!$F:$F,)),0)+INDEX('卡片raw data'!U:U,MATCH($D453,'卡片raw data'!$F:$F,))*(IF($F453="UR",0.04,0.033))*(IF($F453="UR",INDEX(绊状态确认!$S:$S,MATCH($G453,绊状态确认!$B:$B,))/2-40)+IF($F453="SR",INDEX(绊状态确认!$R:$R,MATCH($G453,绊状态确认!$B:$B,))/4-15))+IF($F453="R",INDEX(绊状态确认!$Q:$Q,MATCH($G453,绊状态确认!$B:$B,))/6-40/6)))*(INDEX(绊状态确认!$H:$H,MATCH($G453,绊状态确认!$B:$B,))+INDEX(绊状态确认!L:L,MATCH($G453,绊状态确认!$B:$B,)))</f>
        <v>8207.6990015999982</v>
      </c>
      <c r="AO453" s="430">
        <f t="shared" si="621"/>
        <v>1</v>
      </c>
      <c r="AP453" s="556">
        <f>1+(INDEX(绊状态确认!$T:$T,MATCH($G453,绊状态确认!$B:$B,))+0.2)*$AO453</f>
        <v>1.3</v>
      </c>
      <c r="AQ453" s="431">
        <f t="shared" si="622"/>
        <v>19409.653171899998</v>
      </c>
      <c r="AR453" s="420">
        <f>(AM453*(1+$EX$9)+$EX$35)*(1+(INDEX(绊状态确认!$T:$T,MATCH($G453,绊状态确认!$B:$B,))+0.2)*AO453)*IF(J453=$FF$17,1+$FE$17,1)*IF(I453=$FF$14,1+$FE$14,1)</f>
        <v>14219.030719192</v>
      </c>
      <c r="AS453" s="420">
        <f>(AN453*(1+$EX$10)+$EX$36)*(1+(INDEX(绊状态确认!$T:$T,MATCH($G453,绊状态确认!$B:$B,))+0.2)*AO453)*IF(J453=$FF$17,1+$FE$17,1)*IF(I453=$FF$14,1+$FE$14,1)</f>
        <v>16326.510007391997</v>
      </c>
      <c r="AT453" s="412">
        <f>IF(AND(INDEX('卡片raw data'!AK:AK,MATCH($D453,'卡片raw data'!$F:$F,))&lt;INDEX('卡片raw data'!AM:AM,MATCH($D453,'卡片raw data'!$F:$F,)),INDEX('卡片raw data'!AL:AL,MATCH($D453,'卡片raw data'!$F:$F,))&lt;INDEX('卡片raw data'!AM:AM,MATCH($D453,'卡片raw data'!$F:$F,))),1,0)</f>
        <v>0</v>
      </c>
      <c r="AU453" s="421">
        <f>MIN(AT453*0.15+AS453*0.00003+INDEX(绊状态确认!M:M,MATCH($G453,绊状态确认!$B:$B,)),1)</f>
        <v>0.5197953002217599</v>
      </c>
      <c r="AV453" s="432">
        <f>(INDEX(绊状态确认!$N:$N,MATCH($G453,绊状态确认!$B:$B,))+1.5)*$EW$21</f>
        <v>2.6599999999999997</v>
      </c>
      <c r="AW453" s="424">
        <f t="shared" si="623"/>
        <v>18778.262368445303</v>
      </c>
      <c r="AX453" s="420">
        <f t="shared" si="624"/>
        <v>1223.4636218512069</v>
      </c>
      <c r="AY453" s="433">
        <f t="shared" si="625"/>
        <v>20001.725990296509</v>
      </c>
      <c r="AZ453" s="429">
        <f t="shared" si="626"/>
        <v>14604.313784839998</v>
      </c>
      <c r="BA453" s="431">
        <f t="shared" si="627"/>
        <v>17525.176541807996</v>
      </c>
      <c r="BB453" s="420">
        <f>(AM453*(1+$FB$9)+$FB$35)*(1+(INDEX(绊状态确认!$T:$T,MATCH($G453,绊状态确认!$B:$B,))+0.2)*AO453)*IF(J453=$FF$17,1+$FE$17,1)*IF(I453=$FF$14,1+$FE$14,1)*(1+$FE$15)</f>
        <v>14219.030719192</v>
      </c>
      <c r="BC453" s="420">
        <f>(AN453*(1+$FB$10)+$FB$36)*(1+(INDEX(绊状态确认!$T:$T,MATCH($G453,绊状态确认!$B:$B,))+0.2)*AO453)*IF(J453=$FF$17,1+$FE$17,1)*IF(I453=$FF$14,1+$FE$14,1)*(1+$FE$15)</f>
        <v>16326.510007391997</v>
      </c>
      <c r="BD453" s="427">
        <f>MIN(AT453*0.15+BC453*0.00003+INDEX(绊状态确认!M:M,MATCH($G453,绊状态确认!$B:$B,)),1)</f>
        <v>0.5197953002217599</v>
      </c>
      <c r="BE453" s="432">
        <f>(INDEX(绊状态确认!$N:$N,MATCH($G453,绊状态确认!$B:$B,))+1.5)</f>
        <v>1.9</v>
      </c>
      <c r="BF453" s="645">
        <f t="array" ref="BF453">SUMPRODUCT(IF(AZ453*AP453*$FI$16:$FI$23*$FA$22&gt;=$FI$24,$FI$24,AZ453*AP453*$FI$16:$FI$23*$FA$22),$FJ$16:$FJ$23)</f>
        <v>29047.980118046758</v>
      </c>
      <c r="BG453" s="453">
        <f t="array" ref="BG453">SUMPRODUCT(IF(BE453*AZ453*AP453*$FI$16:$FI$23*$FA$22&gt;=$FI$24,$FI$24,BE453*AZ453*AP453*$FI$16:$FI$23*$FA$22),$FJ$16:$FJ$23)</f>
        <v>53711.928498069246</v>
      </c>
      <c r="BH453" s="433">
        <f t="shared" si="628"/>
        <v>13956.061523631512</v>
      </c>
      <c r="BI453" s="434">
        <f>IF(O453="vo",$EW$26/$EW$24*0.05,0)+IF(O453="sk",-$EW$26/$EW$24*(0.05-INDEX(绊状态确认!W:W,MATCH($G453,绊状态确认!$B:$B,)))+0.05*$EW$28,0)+IF(O453="sp",0.05*$EW$32*$EW$30*(1-$EW$33)-(0.05-INDEX(绊状态确认!V:V,MATCH($G453,绊状态确认!$B:$B,)))*$EW$28,0)+IF(O453="gd",-(0.05-INDEX(绊状态确认!X:X,MATCH($G453,绊状态确认!$B:$B,)))*$EW$32*$EW$30*(1-$EW$33),0)</f>
        <v>-585.00000000000011</v>
      </c>
      <c r="BJ453" s="420">
        <f>IF(O453="vo",0.05*(1-$FI$26)*$FA$24,0)+IF(O453="sk",-(0.05-INDEX(绊状态确认!W:W,MATCH($G453,绊状态确认!$B:$B,)))*(1-$FI$26)*$FA$24+0.05*$FA$26,0)+IF(O453="sp",0.05*$FA$32*$FA$27*(1-$FA$33)/$FA$30+0.05*$FA$29/$FA$69*$FA$27*(1-$FA$33)-(0.05-INDEX(绊状态确认!V:V,MATCH($G453,绊状态确认!$B:$B,)))*$FA$26,0)+IF(O453="gd",-(0.05-INDEX(绊状态确认!X:X,MATCH($G453,绊状态确认!$B:$B,)))*$FA$32*$FA$27*(1-$FA$33)/$FA$30-(0.05-INDEX(绊状态确认!X:X,MATCH($G453,绊状态确认!$B:$B,)))*$FA$29/$FA$69*$FA$27*(1-$FA$33),0)</f>
        <v>-795.00000000000011</v>
      </c>
      <c r="BK453" s="433">
        <f>IF(O453="vo",$EW$26/$EW$24*0.05+$EW$26*(-HP($EW$62,$EW$65,$EW$64)+HP($EW$62,$EW$65,(1.05-INDEX(绊状态确认!U:U,MATCH($G453,绊状态确认!$B:$B,)))*$EW$64)),0)+IF(O453="sk",-$EW$26/$EW$24*(0.05-INDEX(绊状态确认!W:W,MATCH($G453,绊状态确认!$B:$B,)))+0.05*$EW$29,0)+IF(O453="sp",0.05*$EW$32*$EW$30*(1-$EW$33)-(0.05-INDEX(绊状态确认!V:V,MATCH($G453,绊状态确认!$B:$B,)))*$EW$29,0)+IF(O453="gd",-(0.05-INDEX(绊状态确认!X:X,MATCH($G453,绊状态确认!$B:$B,)))*$EW$32*$EW$30*(1-$EW$33)+$EW$26*(-HP($EW$62,$EW$65,$EW$64)+HP($EW$62,$EW$65,0.95*$EW$64)),0)</f>
        <v>1009.5947725176144</v>
      </c>
      <c r="BL453" s="434">
        <f t="shared" si="629"/>
        <v>-1083.3333333333333</v>
      </c>
      <c r="BM453" s="433">
        <f t="shared" si="630"/>
        <v>-830.55555555555543</v>
      </c>
      <c r="BN453" s="437">
        <f t="shared" si="631"/>
        <v>3</v>
      </c>
      <c r="BO453" s="1108">
        <f t="shared" si="632"/>
        <v>4507.7214871259994</v>
      </c>
      <c r="BP453" s="1100">
        <f t="shared" si="633"/>
        <v>221.34103209030098</v>
      </c>
      <c r="BQ453" s="437" t="s">
        <v>133</v>
      </c>
      <c r="BR453" s="450" t="s">
        <v>171</v>
      </c>
      <c r="BS453" s="421">
        <f>IF($P453="","N/A",IF($P453=-1,INDEX('卡片raw data'!AX:AX,MATCH($D453,'卡片raw data'!$F:$F,)),0)+IF($L453="party卡",IF($P453=5,INDEX('卡片raw data'!BD:BD,MATCH($D453,'卡片raw data'!$F:$F,)),IF($P453&gt;=3,INDEX('卡片raw data'!BC:BC,MATCH($D453,'卡片raw data'!$F:$F,)),INDEX('卡片raw data'!BB:BB,MATCH($D453,'卡片raw data'!$F:$F,)))),IF(OR(AND($F453="UR",$P453=0),AND($F453="SR",$P453&gt;=0,$P453&lt;=2),AND($F453="R",$P453&gt;=0,$P453&lt;4)),INDEX('卡片raw data'!AZ:AZ,MATCH($D453,'卡片raw data'!$F:$F,)),0)+IF(OR(AND($F453="UR",$P453&gt;=1,$P453&lt;=4),AND($F453="SR",$P453&lt;=4,$P453&gt;=3),AND($F453="R",$P453=4)),INDEX('卡片raw data'!BA:BA,MATCH($D453,'卡片raw data'!$F:$F,)),0)+IF($P453=5,INDEX('卡片raw data'!BB:BB,MATCH($D453,'卡片raw data'!$F:$F,)),0)))</f>
        <v>3.2000000000000001E-2</v>
      </c>
      <c r="BT453" s="424">
        <f t="shared" si="634"/>
        <v>0</v>
      </c>
      <c r="BU453" s="420">
        <f t="shared" si="635"/>
        <v>0</v>
      </c>
      <c r="BV453" s="420">
        <f t="shared" si="636"/>
        <v>0</v>
      </c>
      <c r="BW453" s="436">
        <f t="shared" si="637"/>
        <v>1.498285714285714</v>
      </c>
      <c r="BX453" s="423">
        <f t="shared" si="638"/>
        <v>117.00848980993118</v>
      </c>
      <c r="BY453" s="433">
        <f t="shared" si="639"/>
        <v>117.00848980993118</v>
      </c>
      <c r="BZ453" s="1113" t="s">
        <v>569</v>
      </c>
      <c r="CA453" s="450"/>
      <c r="CB453" s="421">
        <f>IF($P453="","N/A",IF($P453=-1,INDEX('卡片raw data'!BE:BE,MATCH($D453,'卡片raw data'!$F:$F,)),0)+IF($L453="party卡",IF($P453=5,INDEX('卡片raw data'!BK:BK,MATCH($D453,'卡片raw data'!$F:$F,)),IF($P453&gt;=3,INDEX('卡片raw data'!BJ:BJ,MATCH($D453,'卡片raw data'!$F:$F,)),INDEX('卡片raw data'!BI:BI,MATCH($D453,'卡片raw data'!$F:$F,)))),IF(OR(AND($F453="UR",$P453=0),AND($F453="SR",$P453&gt;=0,$P453&lt;=2),AND($F453="R",$P453&gt;=0,$P453&lt;4)),INDEX('卡片raw data'!BG:BG,MATCH($D453,'卡片raw data'!$F:$F,)),0)+IF(OR(AND($F453="UR",$P453&gt;=1,$P453&lt;=4),AND($F453="SR",$P453&lt;=4,$P453&gt;=3),AND($F453="R",$P453=4)),INDEX('卡片raw data'!BH:BH,MATCH($D453,'卡片raw data'!$F:$F,)),0)+IF($P453=5,INDEX('卡片raw data'!BI:BI,MATCH($D453,'卡片raw data'!$F:$F,)),0)))</f>
        <v>0</v>
      </c>
      <c r="CC453" s="424">
        <f t="shared" si="640"/>
        <v>0</v>
      </c>
      <c r="CD453" s="420">
        <f>IF(BZ453="ap",CB453*(1-$FI$26)*$FB$5/$FB$11*(+IF(CA453="全员",$FA$24,0)+IF(CA453="同作战",$FA$24,0)+IF(CA453="仲间",$FA$24*2/3,0)+IF(CA453="同属性",$FA$24*$FA$37/3,0)+IF(CA453="同年级",$FA$24*$FA$40/3,0)+IF(CA453="同学校",$FA$24*$FA$43/3,0)+IF(CA453="同小队",$FA$24*$FA$46/3,0)+IF(CA453="同type",$FA$24*INDEX($FB$49:$FB$52,MATCH(X453,$FA$49:$FA$52,))/3,0)+IF(CA453="自身",#REF!/3,0)),0)+IF(BZ453="te",CB453*(1-$FI$27)*($FA$20-1)*$FB$7/$FB$13*(+IF(CA453="全员",$FA$19*$FA$24/(1+($FA$20-1)*$FA$19),0)+IF(CA453="同作战",$FA$19*$FA$24/(1+($FA$20-1)*$FA$19),0)+IF(CA453="仲间",$FA$19*$FA$24*2/3/(1+($FA$20-1)*$FA$19),0)+IF(CA453="同属性",$FA$19*$FA$24*$FA$37/3/(1+($FA$20-1)*$FA$19),0)+IF(CA453="同年级",$FA$19*$FA$24*$FA$40/3/(1+($FA$20-1)*$FA$19),0)+IF(CA453="同学校",$FA$19*$FA$24*$FA$43/3/(1+($FA$20-1)*$FA$19),0)+IF(CA453="同小队",$FA$19*$FA$24*$FA$46/3/(1+($FA$20-1)*$FA$19),0)+IF(CA453="同type",$FA$19*$FA$24*INDEX($FB$49:$FB$52,MATCH(X453,$FA$49:$FA$52,))/3/(1+($FA$20-1)*$FA$19),0)+IF(CA453="自身",$FA$19*#REF!/3/(1+(BH453-1)*$BD453),0)),0)</f>
        <v>0</v>
      </c>
      <c r="CE453" s="420">
        <f t="shared" si="641"/>
        <v>0</v>
      </c>
      <c r="CF453" s="436">
        <f t="shared" si="642"/>
        <v>0</v>
      </c>
      <c r="CG453" s="423">
        <f t="shared" si="643"/>
        <v>0</v>
      </c>
      <c r="CH453" s="433">
        <f t="shared" si="644"/>
        <v>0</v>
      </c>
      <c r="CI453" s="437" t="s">
        <v>162</v>
      </c>
      <c r="CJ453" s="438">
        <v>1</v>
      </c>
      <c r="CK453" s="439" t="s">
        <v>2305</v>
      </c>
      <c r="CL453" s="439" t="s">
        <v>1943</v>
      </c>
      <c r="CM453" s="1119">
        <v>0.12</v>
      </c>
      <c r="CN453" s="439"/>
      <c r="CO453" s="1115">
        <v>4</v>
      </c>
      <c r="CP453" s="1116">
        <f t="shared" si="645"/>
        <v>24.375481232900572</v>
      </c>
      <c r="CQ453" s="1116">
        <f t="shared" si="646"/>
        <v>37.917415251178667</v>
      </c>
      <c r="CR453" s="1117">
        <f t="shared" si="647"/>
        <v>24.375481232900572</v>
      </c>
      <c r="CS453" s="442">
        <f t="shared" si="648"/>
        <v>0</v>
      </c>
      <c r="CT453" s="432">
        <f t="shared" si="649"/>
        <v>0</v>
      </c>
      <c r="CU453" s="1101">
        <f t="shared" si="650"/>
        <v>0</v>
      </c>
      <c r="CV453" s="1108">
        <f t="shared" ref="CV453:CV484" si="682">IF(AND(CK453="技能+",CL453="自身",$DR453=0.11),0,IF(CK453="sp+",CQ453*$FA$27*$FA$32*(1-$FA$33),0)+IF(CK453="ap+",CQ453*$FA$24/(1+$FA$15)*(1-$FI$26),0)+IF(CK453="ap+元气",CQ453*$FA$24/(1+$FA$15)*(1-$FI$26)*$FA$64,0)+IF(CK453="技能+",$FA$26*CQ453/$FA$25,0)+IF(CK453="vo+",$FA$24*CQ453*(1-$FI$26),0)+IF(CK453="sp获得",CQ453*(1-$FA$33)*$FA$27/$FA$69)+IF(CK453="vo获得",CQ453*$FA$22)+IF(CK453="ct+",$FA$24/(1+($FA$20-1)*$FA$19)*($FA$20-1)*CQ453*(1-$FI$27))+IF(CK453="核弹",CQ453*(1+$FA$21)*(1-$FI$29))+IF(CK453="ct值+",$FA$24/(1+($FA$20-1)*$FA$19)*$FA$19*CQ453*(1-$FI$28))+IF(CK453="自身ct时上限突破",CQ453*$FI$24*$FI$26*BD453,0))</f>
        <v>0</v>
      </c>
      <c r="CW453" s="420">
        <f t="shared" si="651"/>
        <v>0</v>
      </c>
      <c r="CX453" s="420">
        <f t="shared" si="652"/>
        <v>1995.1628763530675</v>
      </c>
      <c r="CY453" s="433">
        <f t="shared" si="653"/>
        <v>1995.1628763530675</v>
      </c>
      <c r="CZ453" s="437"/>
      <c r="DA453" s="438"/>
      <c r="DB453" s="439" t="s">
        <v>569</v>
      </c>
      <c r="DC453" s="439"/>
      <c r="DD453" s="443"/>
      <c r="DE453" s="411"/>
      <c r="DF453" s="411"/>
      <c r="DG453" s="1116">
        <f t="shared" si="654"/>
        <v>0</v>
      </c>
      <c r="DH453" s="1116">
        <f t="shared" si="655"/>
        <v>0</v>
      </c>
      <c r="DI453" s="1116">
        <f t="shared" si="656"/>
        <v>0</v>
      </c>
      <c r="DJ453" s="442">
        <f t="shared" si="657"/>
        <v>0</v>
      </c>
      <c r="DK453" s="432">
        <f t="shared" si="658"/>
        <v>0</v>
      </c>
      <c r="DL453" s="424">
        <f t="shared" si="659"/>
        <v>0</v>
      </c>
      <c r="DM453" s="420">
        <f t="shared" si="660"/>
        <v>0</v>
      </c>
      <c r="DN453" s="420">
        <f t="shared" si="661"/>
        <v>0</v>
      </c>
      <c r="DO453" s="420">
        <f t="shared" si="662"/>
        <v>0</v>
      </c>
      <c r="DP453" s="433">
        <f t="shared" si="663"/>
        <v>0</v>
      </c>
      <c r="DQ453" s="437" t="s">
        <v>556</v>
      </c>
      <c r="DR453" s="444">
        <f t="shared" si="664"/>
        <v>0.3</v>
      </c>
      <c r="DS453" s="450">
        <v>3</v>
      </c>
      <c r="DT453" s="1093" t="s">
        <v>161</v>
      </c>
      <c r="DU453" s="1093" t="s">
        <v>544</v>
      </c>
      <c r="DV453" s="1098">
        <f>IF($P453="","N/A",IF(P453=-1,INDEX('卡片raw data'!AN:AN,MATCH(D453,'卡片raw data'!$F:$F,)),0)+IF(AND(L453&lt;&gt;"party卡",P453&lt;=2,P453&gt;=0),INDEX('卡片raw data'!AP:AP,MATCH(D453,'卡片raw data'!$F:$F,)),0)+IF(OR(AND(L453="party卡",P453&lt;=1),AND(P453&lt;=4,L453&lt;&gt;"party卡",P453&gt;=3)),INDEX('卡片raw data'!AQ:AQ,MATCH(D453,'卡片raw data'!$F:$F,)),0)+IF(OR(P453=5,AND(L453="party卡",P453&gt;=2)),INDEX('卡片raw data'!AR:AR,MATCH(D453,'卡片raw data'!$F:$F,)),0))</f>
        <v>0.35</v>
      </c>
      <c r="DW453" s="1098">
        <f t="shared" si="665"/>
        <v>0.3</v>
      </c>
      <c r="DX453" s="1098">
        <f t="shared" si="666"/>
        <v>0.3</v>
      </c>
      <c r="DY453" s="1098">
        <f t="shared" si="667"/>
        <v>0.10499999999999998</v>
      </c>
      <c r="DZ453" s="1098">
        <f t="shared" si="668"/>
        <v>9.0824999999999989E-2</v>
      </c>
      <c r="EA453" s="421">
        <f t="shared" si="669"/>
        <v>0</v>
      </c>
      <c r="EB453" s="445">
        <f t="shared" si="670"/>
        <v>0</v>
      </c>
      <c r="EC453" s="424">
        <f t="shared" si="671"/>
        <v>0</v>
      </c>
      <c r="ED453" s="420">
        <f t="shared" si="672"/>
        <v>0</v>
      </c>
      <c r="EE453" s="433">
        <f t="shared" si="598"/>
        <v>4567.2591582005616</v>
      </c>
      <c r="EF453" s="1115" t="s">
        <v>569</v>
      </c>
      <c r="EG453" s="444">
        <f t="shared" si="673"/>
        <v>0.3</v>
      </c>
      <c r="EH453" s="450"/>
      <c r="EI453" s="1093"/>
      <c r="EJ453" s="1093"/>
      <c r="EK453" s="420">
        <f>IF($P453="","N/A",IF(P453=-1,INDEX('卡片raw data'!AS:AS,MATCH(D453,'卡片raw data'!$F:$F,)),0)+IF(AND(L453&lt;&gt;"party卡",P453&lt;=2,P453&gt;=0),INDEX('卡片raw data'!AU:AU,MATCH(D453,'卡片raw data'!$F:$F,)),0)+IF(OR(AND(L453="party卡",P453&lt;=1),AND(P453&lt;=4,L453&lt;&gt;"party卡",P453&gt;=3)),INDEX('卡片raw data'!AV:AV,MATCH(D453,'卡片raw data'!$F:$F,)),0)+IF(OR(P453=5,AND(L453="party卡",P453&gt;=2)),INDEX('卡片raw data'!AW:AW,MATCH(D453,'卡片raw data'!$F:$F,)),0))</f>
        <v>0</v>
      </c>
      <c r="EL453" s="1098">
        <f t="shared" si="674"/>
        <v>0.3</v>
      </c>
      <c r="EM453" s="1098">
        <f t="shared" si="675"/>
        <v>0.3</v>
      </c>
      <c r="EN453" s="1097">
        <f t="shared" si="676"/>
        <v>0</v>
      </c>
      <c r="EO453" s="1097">
        <f t="shared" si="677"/>
        <v>0</v>
      </c>
      <c r="EP453" s="421">
        <f t="shared" si="678"/>
        <v>0</v>
      </c>
      <c r="EQ453" s="445">
        <f t="shared" si="679"/>
        <v>0</v>
      </c>
      <c r="ER453" s="424">
        <f t="shared" si="680"/>
        <v>0</v>
      </c>
      <c r="ES453" s="420">
        <f t="shared" si="681"/>
        <v>0</v>
      </c>
      <c r="ET453" s="446">
        <f t="shared" si="599"/>
        <v>0</v>
      </c>
    </row>
    <row r="454" spans="2:150" ht="16.5" customHeight="1">
      <c r="B454" s="448" t="str">
        <f>INDEX('卡片raw data'!B:B,MATCH($D454,'卡片raw data'!$F:$F,))</f>
        <v>三单丸</v>
      </c>
      <c r="C454" s="449" t="s">
        <v>2661</v>
      </c>
      <c r="D454" s="408">
        <v>451</v>
      </c>
      <c r="E454" s="477">
        <v>201072001</v>
      </c>
      <c r="F454" s="409" t="str">
        <f>INDEX('卡片raw data'!C:C,MATCH($D454,'卡片raw data'!$F:$F,))</f>
        <v>SR</v>
      </c>
      <c r="G454" s="1094" t="s">
        <v>2672</v>
      </c>
      <c r="H454" s="411">
        <f>IFERROR(INDEX(绊状态确认!C:C,MATCH($G454,绊状态确认!$B:$B,)),"")</f>
        <v>107</v>
      </c>
      <c r="I454" s="450" t="str">
        <f>IFERROR(INDEX(绊状态确认!D:D,MATCH($G454,绊状态确认!$B:$B,)),"")</f>
        <v>水</v>
      </c>
      <c r="J454" s="450" t="str">
        <f>IFERROR(INDEX(绊状态确认!E:E,MATCH($G454,绊状态确认!$B:$B,)),"")</f>
        <v>1年级</v>
      </c>
      <c r="K454" s="451" t="str">
        <f>IFERROR(INDEX(绊状态确认!F:F,MATCH($G454,绊状态确认!$B:$B,)),"")</f>
        <v>AZALEA</v>
      </c>
      <c r="L454" s="414" t="str">
        <f>INDEX('卡片raw data'!E:E,MATCH($D454,'卡片raw data'!$F:$F,))</f>
        <v>卡池卡</v>
      </c>
      <c r="M454" s="478">
        <v>44315</v>
      </c>
      <c r="N454" s="479">
        <v>38.5</v>
      </c>
      <c r="O454" s="410" t="str">
        <f>INDEX('卡片raw data'!D:D,MATCH($D454,'卡片raw data'!$F:$F,))</f>
        <v>sp</v>
      </c>
      <c r="P454" s="1126">
        <v>5</v>
      </c>
      <c r="Q454" s="418">
        <f t="shared" si="600"/>
        <v>34219.802216955984</v>
      </c>
      <c r="R454" s="419">
        <f t="shared" si="601"/>
        <v>0.39700000000000002</v>
      </c>
      <c r="S454" s="420">
        <f t="shared" si="602"/>
        <v>19048.003735389804</v>
      </c>
      <c r="T454" s="421">
        <f t="shared" si="603"/>
        <v>0.95199999999999996</v>
      </c>
      <c r="U454" s="422">
        <f t="shared" si="604"/>
        <v>11.232831948612857</v>
      </c>
      <c r="V454" s="423">
        <f t="shared" si="605"/>
        <v>33314.50054912638</v>
      </c>
      <c r="W454" s="424">
        <f t="shared" si="606"/>
        <v>5346.2370530912567</v>
      </c>
      <c r="X454" s="419">
        <f t="shared" si="607"/>
        <v>6.2E-2</v>
      </c>
      <c r="Y454" s="420">
        <f t="shared" si="608"/>
        <v>894.69833217039559</v>
      </c>
      <c r="Z454" s="425">
        <f t="shared" si="609"/>
        <v>11.232831948612857</v>
      </c>
      <c r="AA454" s="426">
        <f t="shared" si="610"/>
        <v>6240.9353852616523</v>
      </c>
      <c r="AB454" s="424">
        <f t="shared" si="611"/>
        <v>6184.7526190565131</v>
      </c>
      <c r="AC454" s="427">
        <f t="shared" si="612"/>
        <v>7.0999999999999994E-2</v>
      </c>
      <c r="AD454" s="428">
        <f t="shared" si="613"/>
        <v>-1.9908281250000003E-2</v>
      </c>
      <c r="AE454" s="516">
        <f t="shared" si="614"/>
        <v>41.311625724637679</v>
      </c>
      <c r="AF454" s="1130">
        <f t="shared" si="615"/>
        <v>0</v>
      </c>
      <c r="AG454" s="420">
        <f t="shared" si="616"/>
        <v>0</v>
      </c>
      <c r="AH454" s="420">
        <f t="shared" si="617"/>
        <v>0</v>
      </c>
      <c r="AI454" s="1097">
        <f t="shared" si="618"/>
        <v>0</v>
      </c>
      <c r="AJ454" s="420">
        <f t="shared" si="619"/>
        <v>0</v>
      </c>
      <c r="AK454" s="518">
        <f t="shared" si="620"/>
        <v>0</v>
      </c>
      <c r="AL454" s="429">
        <f>IF($P454="","N/A",(IF($P454=-1,INDEX('卡片raw data'!S:S,MATCH($D454,'卡片raw data'!$F:$F,)),0)+IF($P454=0,INDEX('卡片raw data'!V:V,MATCH($D454,'卡片raw data'!$F:$F,)),0)+IF($P454=1,INDEX('卡片raw data'!Y:Y,MATCH($D454,'卡片raw data'!$F:$F,)),0)+IF($P454=2,INDEX('卡片raw data'!AB:AB,MATCH($D454,'卡片raw data'!$F:$F,)),0)+IF($P454=3,INDEX('卡片raw data'!AE:AE,MATCH($D454,'卡片raw data'!$F:$F,)),0)+IF($P454=4,INDEX('卡片raw data'!AH:AH,MATCH($D454,'卡片raw data'!$F:$F,)),0)+IF($P454=5,INDEX('卡片raw data'!AK:AK,MATCH($D454,'卡片raw data'!$F:$F,)),0)+INDEX('卡片raw data'!S:S,MATCH($D454,'卡片raw data'!$F:$F,))*(IF($F454="UR",0.04,0.033))*(IF($F454="UR",INDEX(绊状态确认!$S:$S,MATCH($G454,绊状态确认!$B:$B,))/2-40)+IF($F454="SR",INDEX(绊状态确认!$R:$R,MATCH($G454,绊状态确认!$B:$B,))/4-15))+IF($F454="R",INDEX(绊状态确认!$Q:$Q,MATCH($G454,绊状态确认!$B:$B,))/6-40/6)))*(INDEX(绊状态确认!$H:$H,MATCH($G454,绊状态确认!$B:$B,))+INDEX(绊状态确认!J:J,MATCH($G454,绊状态确认!$B:$B,)))</f>
        <v>7294.8152447999992</v>
      </c>
      <c r="AM454" s="429">
        <f>IF($P454="","N/A",(IF($P454=-1,INDEX('卡片raw data'!T:T,MATCH($D454,'卡片raw data'!$F:$F,)),0)+IF($P454=0,INDEX('卡片raw data'!W:W,MATCH($D454,'卡片raw data'!$F:$F,)),0)+IF($P454=1,INDEX('卡片raw data'!Z:Z,MATCH($D454,'卡片raw data'!$F:$F,)),0)+IF($P454=2,INDEX('卡片raw data'!AC:AC,MATCH($D454,'卡片raw data'!$F:$F,)),0)+IF($P454=3,INDEX('卡片raw data'!AF:AF,MATCH($D454,'卡片raw data'!$F:$F,)),0)+IF($P454=4,INDEX('卡片raw data'!AI:AI,MATCH($D454,'卡片raw data'!$F:$F,)),0)+IF($P454=5,INDEX('卡片raw data'!AL:AL,MATCH($D454,'卡片raw data'!$F:$F,)),0)+INDEX('卡片raw data'!T:T,MATCH($D454,'卡片raw data'!$F:$F,))*(IF($F454="UR",0.04,0.033))*(IF($F454="UR",INDEX(绊状态确认!$S:$S,MATCH($G454,绊状态确认!$B:$B,))/2-40)+IF($F454="SR",INDEX(绊状态确认!$R:$R,MATCH($G454,绊状态确认!$B:$B,))/4-15))+IF($F454="R",INDEX(绊状态确认!$Q:$Q,MATCH($G454,绊状态确认!$B:$B,))/6-40/6)))*(INDEX(绊状态确认!$H:$H,MATCH($G454,绊状态确认!$B:$B,))+INDEX(绊状态确认!K:K,MATCH($G454,绊状态确认!$B:$B,)))</f>
        <v>5699.6164727999994</v>
      </c>
      <c r="AN454" s="429">
        <f>IF($P454="","N/A",(IF($P454=-1,INDEX('卡片raw data'!U:U,MATCH($D454,'卡片raw data'!$F:$F,)),0)+IF($P454=0,INDEX('卡片raw data'!X:X,MATCH($D454,'卡片raw data'!$F:$F,)),0)+IF($P454=1,INDEX('卡片raw data'!AA:AA,MATCH($D454,'卡片raw data'!$F:$F,)),0)+IF($P454=2,INDEX('卡片raw data'!AD:AD,MATCH($D454,'卡片raw data'!$F:$F,)),0)+IF($P454=3,INDEX('卡片raw data'!AG:AG,MATCH($D454,'卡片raw data'!$F:$F,)),0)+IF($P454=4,INDEX('卡片raw data'!AJ:AJ,MATCH($D454,'卡片raw data'!$F:$F,)),0)+IF($P454=5,INDEX('卡片raw data'!AM:AM,MATCH($D454,'卡片raw data'!$F:$F,)),0)+INDEX('卡片raw data'!U:U,MATCH($D454,'卡片raw data'!$F:$F,))*(IF($F454="UR",0.04,0.033))*(IF($F454="UR",INDEX(绊状态确认!$S:$S,MATCH($G454,绊状态确认!$B:$B,))/2-40)+IF($F454="SR",INDEX(绊状态确认!$R:$R,MATCH($G454,绊状态确认!$B:$B,))/4-15))+IF($F454="R",INDEX(绊状态确认!$Q:$Q,MATCH($G454,绊状态确认!$B:$B,))/6-40/6)))*(INDEX(绊状态确认!$H:$H,MATCH($G454,绊状态确认!$B:$B,))+INDEX(绊状态确认!L:L,MATCH($G454,绊状态确认!$B:$B,)))</f>
        <v>9802.8977735999979</v>
      </c>
      <c r="AO454" s="430">
        <f t="shared" si="621"/>
        <v>1</v>
      </c>
      <c r="AP454" s="556">
        <f>1+(INDEX(绊状态确认!$T:$T,MATCH($G454,绊状态确认!$B:$B,))+0.2)*$AO454</f>
        <v>1.3</v>
      </c>
      <c r="AQ454" s="431">
        <f t="shared" si="622"/>
        <v>22398.890017599995</v>
      </c>
      <c r="AR454" s="420">
        <f>(AM454*(1+$EX$9)+$EX$35)*(1+(INDEX(绊状态确认!$T:$T,MATCH($G454,绊状态确认!$B:$B,))+0.2)*AO454)*IF(J454=$FF$17,1+$FE$17,1)*IF(I454=$FF$14,1+$FE$14,1)</f>
        <v>10483.976485372001</v>
      </c>
      <c r="AS454" s="420">
        <f>(AN454*(1+$EX$10)+$EX$36)*(1+(INDEX(绊状态确认!$T:$T,MATCH($G454,绊状态确认!$B:$B,))+0.2)*AO454)*IF(J454=$FF$17,1+$FE$17,1)*IF(I454=$FF$14,1+$FE$14,1)</f>
        <v>18711.332171531998</v>
      </c>
      <c r="AT454" s="412">
        <f>IF(AND(INDEX('卡片raw data'!AK:AK,MATCH($D454,'卡片raw data'!$F:$F,))&lt;INDEX('卡片raw data'!AM:AM,MATCH($D454,'卡片raw data'!$F:$F,)),INDEX('卡片raw data'!AL:AL,MATCH($D454,'卡片raw data'!$F:$F,))&lt;INDEX('卡片raw data'!AM:AM,MATCH($D454,'卡片raw data'!$F:$F,))),1,0)</f>
        <v>1</v>
      </c>
      <c r="AU454" s="421">
        <f>MIN(AT454*0.15+AS454*0.00003+INDEX(绊状态确认!M:M,MATCH($G454,绊状态确认!$B:$B,)),1)</f>
        <v>0.74133996514596001</v>
      </c>
      <c r="AV454" s="432">
        <f>(INDEX(绊状态确认!$N:$N,MATCH($G454,绊状态确认!$B:$B,))+1.5)*$EW$21</f>
        <v>2.6599999999999997</v>
      </c>
      <c r="AW454" s="424">
        <f t="shared" si="623"/>
        <v>25948.382931232805</v>
      </c>
      <c r="AX454" s="420">
        <f t="shared" si="624"/>
        <v>894.69833217039582</v>
      </c>
      <c r="AY454" s="433">
        <f t="shared" si="625"/>
        <v>26843.081263403201</v>
      </c>
      <c r="AZ454" s="429">
        <f t="shared" si="626"/>
        <v>16824.889727359998</v>
      </c>
      <c r="BA454" s="431">
        <f t="shared" si="627"/>
        <v>20189.867672831995</v>
      </c>
      <c r="BB454" s="420">
        <f>(AM454*(1+$FB$9)+$FB$35)*(1+(INDEX(绊状态确认!$T:$T,MATCH($G454,绊状态确认!$B:$B,))+0.2)*AO454)*IF(J454=$FF$17,1+$FE$17,1)*IF(I454=$FF$14,1+$FE$14,1)*(1+$FE$15)</f>
        <v>10483.976485372001</v>
      </c>
      <c r="BC454" s="420">
        <f>(AN454*(1+$FB$10)+$FB$36)*(1+(INDEX(绊状态确认!$T:$T,MATCH($G454,绊状态确认!$B:$B,))+0.2)*AO454)*IF(J454=$FF$17,1+$FE$17,1)*IF(I454=$FF$14,1+$FE$14,1)*(1+$FE$15)</f>
        <v>18711.332171531998</v>
      </c>
      <c r="BD454" s="427">
        <f>MIN(AT454*0.15+BC454*0.00003+INDEX(绊状态确认!M:M,MATCH($G454,绊状态确认!$B:$B,)),1)</f>
        <v>0.74133996514596001</v>
      </c>
      <c r="BE454" s="432">
        <f>(INDEX(绊状态确认!$N:$N,MATCH($G454,绊状态确认!$B:$B,))+1.5)</f>
        <v>1.9</v>
      </c>
      <c r="BF454" s="645">
        <f t="array" ref="BF454">SUMPRODUCT(IF(AZ454*AP454*$FI$16:$FI$23*$FA$22&gt;=$FI$24,$FI$24,AZ454*AP454*$FI$16:$FI$23*$FA$22),$FJ$16:$FJ$23)</f>
        <v>33464.705667719034</v>
      </c>
      <c r="BG454" s="453">
        <f t="array" ref="BG454">SUMPRODUCT(IF(BE454*AZ454*AP454*$FI$16:$FI$23*$FA$22&gt;=$FI$24,$FI$24,BE454*AZ454*AP454*$FI$16:$FI$23*$FA$22),$FJ$16:$FJ$23)</f>
        <v>58025.463142086977</v>
      </c>
      <c r="BH454" s="433">
        <f t="shared" si="628"/>
        <v>17224.192252575114</v>
      </c>
      <c r="BI454" s="434">
        <f>IF(O454="vo",$EW$26/$EW$24*0.05,0)+IF(O454="sk",-$EW$26/$EW$24*(0.05-INDEX(绊状态确认!W:W,MATCH($G454,绊状态确认!$B:$B,)))+0.05*$EW$28,0)+IF(O454="sp",0.05*$EW$32*$EW$30*(1-$EW$33)-(0.05-INDEX(绊状态确认!V:V,MATCH($G454,绊状态确认!$B:$B,)))*$EW$28,0)+IF(O454="gd",-(0.05-INDEX(绊状态确认!X:X,MATCH($G454,绊状态确认!$B:$B,)))*$EW$32*$EW$30*(1-$EW$33),0)</f>
        <v>19.999999999999886</v>
      </c>
      <c r="BJ454" s="420">
        <f>IF(O454="vo",0.05*(1-$FI$26)*$FA$24,0)+IF(O454="sk",-(0.05-INDEX(绊状态确认!W:W,MATCH($G454,绊状态确认!$B:$B,)))*(1-$FI$26)*$FA$24+0.05*$FA$26,0)+IF(O454="sp",0.05*$FA$32*$FA$27*(1-$FA$33)/$FA$30+0.05*$FA$29/$FA$69*$FA$27*(1-$FA$33)-(0.05-INDEX(绊状态确认!V:V,MATCH($G454,绊状态确认!$B:$B,)))*$FA$26,0)+IF(O454="gd",-(0.05-INDEX(绊状态确认!X:X,MATCH($G454,绊状态确认!$B:$B,)))*$FA$32*$FA$27*(1-$FA$33)/$FA$30-(0.05-INDEX(绊状态确认!X:X,MATCH($G454,绊状态确认!$B:$B,)))*$FA$29/$FA$69*$FA$27*(1-$FA$33),0)</f>
        <v>545.83333333333326</v>
      </c>
      <c r="BK454" s="433">
        <f>IF(O454="vo",$EW$26/$EW$24*0.05+$EW$26*(-HP($EW$62,$EW$65,$EW$64)+HP($EW$62,$EW$65,(1.05-INDEX(绊状态确认!U:U,MATCH($G454,绊状态确认!$B:$B,)))*$EW$64)),0)+IF(O454="sk",-$EW$26/$EW$24*(0.05-INDEX(绊状态确认!W:W,MATCH($G454,绊状态确认!$B:$B,)))+0.05*$EW$29,0)+IF(O454="sp",0.05*$EW$32*$EW$30*(1-$EW$33)-(0.05-INDEX(绊状态确认!V:V,MATCH($G454,绊状态确认!$B:$B,)))*$EW$29,0)+IF(O454="gd",-(0.05-INDEX(绊状态确认!X:X,MATCH($G454,绊状态确认!$B:$B,)))*$EW$32*$EW$30*(1-$EW$33)+$EW$26*(-HP($EW$62,$EW$65,$EW$64)+HP($EW$62,$EW$65,0.95*$EW$64)),0)</f>
        <v>-1780.0000000000005</v>
      </c>
      <c r="BL454" s="434">
        <f t="shared" si="629"/>
        <v>-1083.3333333333333</v>
      </c>
      <c r="BM454" s="433">
        <f t="shared" si="630"/>
        <v>-830.55555555555543</v>
      </c>
      <c r="BN454" s="437">
        <f t="shared" si="631"/>
        <v>3</v>
      </c>
      <c r="BO454" s="1108">
        <f t="shared" si="632"/>
        <v>4507.7214871259994</v>
      </c>
      <c r="BP454" s="1100">
        <f t="shared" si="633"/>
        <v>221.34103209030098</v>
      </c>
      <c r="BQ454" s="1113" t="s">
        <v>132</v>
      </c>
      <c r="BR454" s="1124" t="s">
        <v>171</v>
      </c>
      <c r="BS454" s="421">
        <f>IF($P454="","N/A",IF($P454=-1,INDEX('卡片raw data'!AX:AX,MATCH($D454,'卡片raw data'!$F:$F,)),0)+IF($L454="party卡",IF($P454=5,INDEX('卡片raw data'!BD:BD,MATCH($D454,'卡片raw data'!$F:$F,)),IF($P454&gt;=3,INDEX('卡片raw data'!BC:BC,MATCH($D454,'卡片raw data'!$F:$F,)),INDEX('卡片raw data'!BB:BB,MATCH($D454,'卡片raw data'!$F:$F,)))),IF(OR(AND($F454="UR",$P454=0),AND($F454="SR",$P454&gt;=0,$P454&lt;=2),AND($F454="R",$P454&gt;=0,$P454&lt;4)),INDEX('卡片raw data'!AZ:AZ,MATCH($D454,'卡片raw data'!$F:$F,)),0)+IF(OR(AND($F454="UR",$P454&gt;=1,$P454&lt;=4),AND($F454="SR",$P454&lt;=4,$P454&gt;=3),AND($F454="R",$P454=4)),INDEX('卡片raw data'!BA:BA,MATCH($D454,'卡片raw data'!$F:$F,)),0)+IF($P454=5,INDEX('卡片raw data'!BB:BB,MATCH($D454,'卡片raw data'!$F:$F,)),0)))</f>
        <v>3.2000000000000001E-2</v>
      </c>
      <c r="BT454" s="424">
        <f t="shared" si="634"/>
        <v>1602.7454176448</v>
      </c>
      <c r="BU454" s="420">
        <f t="shared" si="635"/>
        <v>68.861654428093644</v>
      </c>
      <c r="BV454" s="420">
        <f t="shared" si="636"/>
        <v>801.37270882240011</v>
      </c>
      <c r="BW454" s="436">
        <f t="shared" si="637"/>
        <v>0</v>
      </c>
      <c r="BX454" s="423">
        <f t="shared" si="638"/>
        <v>1602.7454176448</v>
      </c>
      <c r="BY454" s="433">
        <f t="shared" si="639"/>
        <v>801.37270882240011</v>
      </c>
      <c r="BZ454" s="1113" t="s">
        <v>569</v>
      </c>
      <c r="CA454" s="450"/>
      <c r="CB454" s="421">
        <f>IF($P454="","N/A",IF($P454=-1,INDEX('卡片raw data'!BE:BE,MATCH($D454,'卡片raw data'!$F:$F,)),0)+IF($L454="party卡",IF($P454=5,INDEX('卡片raw data'!BK:BK,MATCH($D454,'卡片raw data'!$F:$F,)),IF($P454&gt;=3,INDEX('卡片raw data'!BJ:BJ,MATCH($D454,'卡片raw data'!$F:$F,)),INDEX('卡片raw data'!BI:BI,MATCH($D454,'卡片raw data'!$F:$F,)))),IF(OR(AND($F454="UR",$P454=0),AND($F454="SR",$P454&gt;=0,$P454&lt;=2),AND($F454="R",$P454&gt;=0,$P454&lt;4)),INDEX('卡片raw data'!BG:BG,MATCH($D454,'卡片raw data'!$F:$F,)),0)+IF(OR(AND($F454="UR",$P454&gt;=1,$P454&lt;=4),AND($F454="SR",$P454&lt;=4,$P454&gt;=3),AND($F454="R",$P454=4)),INDEX('卡片raw data'!BH:BH,MATCH($D454,'卡片raw data'!$F:$F,)),0)+IF($P454=5,INDEX('卡片raw data'!BI:BI,MATCH($D454,'卡片raw data'!$F:$F,)),0)))</f>
        <v>0</v>
      </c>
      <c r="CC454" s="424">
        <f t="shared" si="640"/>
        <v>0</v>
      </c>
      <c r="CD454" s="420">
        <f>IF(BZ454="ap",CB454*(1-$FI$26)*$FB$5/$FB$11*(+IF(CA454="全员",$FA$24,0)+IF(CA454="同作战",$FA$24,0)+IF(CA454="仲间",$FA$24*2/3,0)+IF(CA454="同属性",$FA$24*$FA$37/3,0)+IF(CA454="同年级",$FA$24*$FA$40/3,0)+IF(CA454="同学校",$FA$24*$FA$43/3,0)+IF(CA454="同小队",$FA$24*$FA$46/3,0)+IF(CA454="同type",$FA$24*INDEX($FB$49:$FB$52,MATCH(X454,$FA$49:$FA$52,))/3,0)+IF(CA454="自身",#REF!/3,0)),0)+IF(BZ454="te",CB454*(1-$FI$27)*($FA$20-1)*$FB$7/$FB$13*(+IF(CA454="全员",$FA$19*$FA$24/(1+($FA$20-1)*$FA$19),0)+IF(CA454="同作战",$FA$19*$FA$24/(1+($FA$20-1)*$FA$19),0)+IF(CA454="仲间",$FA$19*$FA$24*2/3/(1+($FA$20-1)*$FA$19),0)+IF(CA454="同属性",$FA$19*$FA$24*$FA$37/3/(1+($FA$20-1)*$FA$19),0)+IF(CA454="同年级",$FA$19*$FA$24*$FA$40/3/(1+($FA$20-1)*$FA$19),0)+IF(CA454="同学校",$FA$19*$FA$24*$FA$43/3/(1+($FA$20-1)*$FA$19),0)+IF(CA454="同小队",$FA$19*$FA$24*$FA$46/3/(1+($FA$20-1)*$FA$19),0)+IF(CA454="同type",$FA$19*$FA$24*INDEX($FB$49:$FB$52,MATCH(X454,$FA$49:$FA$52,))/3/(1+($FA$20-1)*$FA$19),0)+IF(CA454="自身",$FA$19*#REF!/3/(1+(BH454-1)*$BD454),0)),0)</f>
        <v>0</v>
      </c>
      <c r="CE454" s="420">
        <f t="shared" si="641"/>
        <v>0</v>
      </c>
      <c r="CF454" s="436">
        <f t="shared" si="642"/>
        <v>0</v>
      </c>
      <c r="CG454" s="423">
        <f t="shared" si="643"/>
        <v>0</v>
      </c>
      <c r="CH454" s="433">
        <f t="shared" si="644"/>
        <v>0</v>
      </c>
      <c r="CI454" s="1113" t="s">
        <v>160</v>
      </c>
      <c r="CJ454" s="1114">
        <v>1</v>
      </c>
      <c r="CK454" s="1115" t="s">
        <v>2143</v>
      </c>
      <c r="CL454" s="1115" t="s">
        <v>2075</v>
      </c>
      <c r="CM454" s="1119">
        <v>0.24</v>
      </c>
      <c r="CN454" s="1115">
        <v>10</v>
      </c>
      <c r="CO454" s="1115">
        <v>1</v>
      </c>
      <c r="CP454" s="1118">
        <f t="shared" si="645"/>
        <v>5.7142857142857143E-3</v>
      </c>
      <c r="CQ454" s="1118">
        <f t="shared" si="646"/>
        <v>7.7777777777777776E-3</v>
      </c>
      <c r="CR454" s="1118">
        <f t="shared" si="647"/>
        <v>2.8571428571428571E-3</v>
      </c>
      <c r="CS454" s="442">
        <f t="shared" si="648"/>
        <v>0</v>
      </c>
      <c r="CT454" s="432">
        <f t="shared" si="649"/>
        <v>0</v>
      </c>
      <c r="CU454" s="1101">
        <f t="shared" si="650"/>
        <v>74.285714285714292</v>
      </c>
      <c r="CV454" s="1108">
        <f t="shared" si="682"/>
        <v>77.518518518518505</v>
      </c>
      <c r="CW454" s="420">
        <f t="shared" si="651"/>
        <v>37.142857142857146</v>
      </c>
      <c r="CX454" s="420">
        <f t="shared" si="652"/>
        <v>74.285714285714292</v>
      </c>
      <c r="CY454" s="433">
        <f t="shared" si="653"/>
        <v>37.142857142857146</v>
      </c>
      <c r="CZ454" s="437"/>
      <c r="DA454" s="438"/>
      <c r="DB454" s="439" t="s">
        <v>569</v>
      </c>
      <c r="DC454" s="439"/>
      <c r="DD454" s="443"/>
      <c r="DE454" s="411"/>
      <c r="DF454" s="411"/>
      <c r="DG454" s="1116">
        <f t="shared" si="654"/>
        <v>0</v>
      </c>
      <c r="DH454" s="1116">
        <f t="shared" si="655"/>
        <v>0</v>
      </c>
      <c r="DI454" s="1116">
        <f t="shared" si="656"/>
        <v>0</v>
      </c>
      <c r="DJ454" s="442">
        <f t="shared" si="657"/>
        <v>0</v>
      </c>
      <c r="DK454" s="432">
        <f t="shared" si="658"/>
        <v>0</v>
      </c>
      <c r="DL454" s="424">
        <f t="shared" si="659"/>
        <v>0</v>
      </c>
      <c r="DM454" s="420">
        <f t="shared" si="660"/>
        <v>0</v>
      </c>
      <c r="DN454" s="420">
        <f t="shared" si="661"/>
        <v>0</v>
      </c>
      <c r="DO454" s="420">
        <f t="shared" si="662"/>
        <v>0</v>
      </c>
      <c r="DP454" s="433">
        <f t="shared" si="663"/>
        <v>0</v>
      </c>
      <c r="DQ454" s="1113" t="s">
        <v>549</v>
      </c>
      <c r="DR454" s="444">
        <f t="shared" si="664"/>
        <v>0.3</v>
      </c>
      <c r="DS454" s="1124"/>
      <c r="DT454" s="1093" t="s">
        <v>179</v>
      </c>
      <c r="DU454" s="1093"/>
      <c r="DV454" s="1098">
        <f>IF($P454="","N/A",IF(P454=-1,INDEX('卡片raw data'!AN:AN,MATCH(D454,'卡片raw data'!$F:$F,)),0)+IF(AND(L454&lt;&gt;"party卡",P454&lt;=2,P454&gt;=0),INDEX('卡片raw data'!AP:AP,MATCH(D454,'卡片raw data'!$F:$F,)),0)+IF(OR(AND(L454="party卡",P454&lt;=1),AND(P454&lt;=4,L454&lt;&gt;"party卡",P454&gt;=3)),INDEX('卡片raw data'!AQ:AQ,MATCH(D454,'卡片raw data'!$F:$F,)),0)+IF(OR(P454=5,AND(L454="party卡",P454&gt;=2)),INDEX('卡片raw data'!AR:AR,MATCH(D454,'卡片raw data'!$F:$F,)),0))</f>
        <v>7.0000000000000007E-2</v>
      </c>
      <c r="DW454" s="1098">
        <f t="shared" si="665"/>
        <v>0.3</v>
      </c>
      <c r="DX454" s="1098">
        <f t="shared" si="666"/>
        <v>0.3</v>
      </c>
      <c r="DY454" s="1098">
        <f t="shared" si="667"/>
        <v>7.0000000000000001E-3</v>
      </c>
      <c r="DZ454" s="1098">
        <f t="shared" si="668"/>
        <v>6.9632499999999998E-3</v>
      </c>
      <c r="EA454" s="421">
        <f t="shared" si="669"/>
        <v>0</v>
      </c>
      <c r="EB454" s="445">
        <f t="shared" si="670"/>
        <v>42.663074999999999</v>
      </c>
      <c r="EC454" s="424">
        <f t="shared" si="671"/>
        <v>3150</v>
      </c>
      <c r="ED454" s="420">
        <f t="shared" si="672"/>
        <v>1740.8125</v>
      </c>
      <c r="EE454" s="433">
        <f t="shared" si="598"/>
        <v>3150</v>
      </c>
      <c r="EF454" s="1115" t="s">
        <v>569</v>
      </c>
      <c r="EG454" s="444">
        <f t="shared" si="673"/>
        <v>0.3</v>
      </c>
      <c r="EH454" s="450"/>
      <c r="EI454" s="1093"/>
      <c r="EJ454" s="1093"/>
      <c r="EK454" s="1097">
        <f>IF($P454="","N/A",IF(P454=-1,INDEX('卡片raw data'!AS:AS,MATCH(D454,'卡片raw data'!$F:$F,)),0)+IF(AND(L454&lt;&gt;"party卡",P454&lt;=2,P454&gt;=0),INDEX('卡片raw data'!AU:AU,MATCH(D454,'卡片raw data'!$F:$F,)),0)+IF(OR(AND(L454="party卡",P454&lt;=1),AND(P454&lt;=4,L454&lt;&gt;"party卡",P454&gt;=3)),INDEX('卡片raw data'!AV:AV,MATCH(D454,'卡片raw data'!$F:$F,)),0)+IF(OR(P454=5,AND(L454="party卡",P454&gt;=2)),INDEX('卡片raw data'!AW:AW,MATCH(D454,'卡片raw data'!$F:$F,)),0))</f>
        <v>0</v>
      </c>
      <c r="EL454" s="1098">
        <f t="shared" si="674"/>
        <v>0.3</v>
      </c>
      <c r="EM454" s="1098">
        <f t="shared" si="675"/>
        <v>0.3</v>
      </c>
      <c r="EN454" s="1097">
        <f t="shared" si="676"/>
        <v>0</v>
      </c>
      <c r="EO454" s="1097">
        <f t="shared" si="677"/>
        <v>0</v>
      </c>
      <c r="EP454" s="421">
        <f t="shared" si="678"/>
        <v>0</v>
      </c>
      <c r="EQ454" s="445">
        <f t="shared" si="679"/>
        <v>0</v>
      </c>
      <c r="ER454" s="424">
        <f t="shared" si="680"/>
        <v>0</v>
      </c>
      <c r="ES454" s="420">
        <f t="shared" si="681"/>
        <v>0</v>
      </c>
      <c r="ET454" s="446">
        <f t="shared" si="599"/>
        <v>0</v>
      </c>
    </row>
    <row r="455" spans="2:150" ht="16.5" customHeight="1">
      <c r="B455" s="448" t="str">
        <f>INDEX('卡片raw data'!B:B,MATCH($D455,'卡片raw data'!$F:$F,))</f>
        <v>幼教南</v>
      </c>
      <c r="C455" s="449" t="s">
        <v>2681</v>
      </c>
      <c r="D455" s="408">
        <v>452</v>
      </c>
      <c r="E455" s="477">
        <v>401033004</v>
      </c>
      <c r="F455" s="409" t="str">
        <f>INDEX('卡片raw data'!C:C,MATCH($D455,'卡片raw data'!$F:$F,))</f>
        <v>UR</v>
      </c>
      <c r="G455" s="1094" t="s">
        <v>2682</v>
      </c>
      <c r="H455" s="411">
        <f>IFERROR(INDEX(绊状态确认!C:C,MATCH($G455,绊状态确认!$B:$B,)),"")</f>
        <v>103</v>
      </c>
      <c r="I455" s="450" t="str">
        <f>IFERROR(INDEX(绊状态确认!D:D,MATCH($G455,绊状态确认!$B:$B,)),"")</f>
        <v>水</v>
      </c>
      <c r="J455" s="450" t="str">
        <f>IFERROR(INDEX(绊状态确认!E:E,MATCH($G455,绊状态确认!$B:$B,)),"")</f>
        <v>3年级</v>
      </c>
      <c r="K455" s="451" t="str">
        <f>IFERROR(INDEX(绊状态确认!F:F,MATCH($G455,绊状态确认!$B:$B,)),"")</f>
        <v>AZALEA</v>
      </c>
      <c r="L455" s="414" t="str">
        <f>INDEX('卡片raw data'!E:E,MATCH($D455,'卡片raw data'!$F:$F,))</f>
        <v>卡池卡</v>
      </c>
      <c r="M455" s="478">
        <v>44320</v>
      </c>
      <c r="N455" s="479">
        <v>39</v>
      </c>
      <c r="O455" s="410" t="str">
        <f>INDEX('卡片raw data'!D:D,MATCH($D455,'卡片raw data'!$F:$F,))</f>
        <v>gd</v>
      </c>
      <c r="P455" s="1126">
        <v>5</v>
      </c>
      <c r="Q455" s="418">
        <f t="shared" si="600"/>
        <v>54132.54758137068</v>
      </c>
      <c r="R455" s="419">
        <f t="shared" si="601"/>
        <v>0.629</v>
      </c>
      <c r="S455" s="420">
        <f t="shared" si="602"/>
        <v>19332.558254424737</v>
      </c>
      <c r="T455" s="421">
        <f t="shared" si="603"/>
        <v>0.96599999999999997</v>
      </c>
      <c r="U455" s="422">
        <f t="shared" si="604"/>
        <v>633.62645127159203</v>
      </c>
      <c r="V455" s="423">
        <f t="shared" si="605"/>
        <v>105727.08258366169</v>
      </c>
      <c r="W455" s="424">
        <f t="shared" si="606"/>
        <v>4507.7214871259994</v>
      </c>
      <c r="X455" s="419">
        <f t="shared" si="607"/>
        <v>5.1999999999999998E-2</v>
      </c>
      <c r="Y455" s="420">
        <f t="shared" si="608"/>
        <v>3960.6155175163522</v>
      </c>
      <c r="Z455" s="425">
        <f t="shared" si="609"/>
        <v>48.470276535719997</v>
      </c>
      <c r="AA455" s="426">
        <f t="shared" si="610"/>
        <v>8468.3370046423515</v>
      </c>
      <c r="AB455" s="424">
        <f t="shared" si="611"/>
        <v>4507.7214871259994</v>
      </c>
      <c r="AC455" s="427">
        <f t="shared" si="612"/>
        <v>5.1999999999999998E-2</v>
      </c>
      <c r="AD455" s="428">
        <f t="shared" si="613"/>
        <v>0</v>
      </c>
      <c r="AE455" s="516">
        <f t="shared" si="614"/>
        <v>-6.25</v>
      </c>
      <c r="AF455" s="1130">
        <f t="shared" si="615"/>
        <v>7924.936790297279</v>
      </c>
      <c r="AG455" s="420">
        <f t="shared" si="616"/>
        <v>90130.648186046412</v>
      </c>
      <c r="AH455" s="420">
        <f t="shared" si="617"/>
        <v>11.373043163750641</v>
      </c>
      <c r="AI455" s="1097">
        <f t="shared" si="618"/>
        <v>112842.11705199492</v>
      </c>
      <c r="AJ455" s="420">
        <f t="shared" si="619"/>
        <v>105727.08258366169</v>
      </c>
      <c r="AK455" s="518">
        <f t="shared" si="620"/>
        <v>7115.0344683332369</v>
      </c>
      <c r="AL455" s="429">
        <f>IF($P455="","N/A",(IF($P455=-1,INDEX('卡片raw data'!S:S,MATCH($D455,'卡片raw data'!$F:$F,)),0)+IF($P455=0,INDEX('卡片raw data'!V:V,MATCH($D455,'卡片raw data'!$F:$F,)),0)+IF($P455=1,INDEX('卡片raw data'!Y:Y,MATCH($D455,'卡片raw data'!$F:$F,)),0)+IF($P455=2,INDEX('卡片raw data'!AB:AB,MATCH($D455,'卡片raw data'!$F:$F,)),0)+IF($P455=3,INDEX('卡片raw data'!AE:AE,MATCH($D455,'卡片raw data'!$F:$F,)),0)+IF($P455=4,INDEX('卡片raw data'!AH:AH,MATCH($D455,'卡片raw data'!$F:$F,)),0)+IF($P455=5,INDEX('卡片raw data'!AK:AK,MATCH($D455,'卡片raw data'!$F:$F,)),0)+INDEX('卡片raw data'!S:S,MATCH($D455,'卡片raw data'!$F:$F,))*(IF($F455="UR",0.04,0.033))*(IF($F455="UR",INDEX(绊状态确认!$S:$S,MATCH($G455,绊状态确认!$B:$B,))/2-40)+IF($F455="SR",INDEX(绊状态确认!$R:$R,MATCH($G455,绊状态确认!$B:$B,))/4-15))+IF($F455="R",INDEX(绊状态确认!$Q:$Q,MATCH($G455,绊状态确认!$B:$B,))/6-40/6)))*(INDEX(绊状态确认!$H:$H,MATCH($G455,绊状态确认!$B:$B,))+INDEX(绊状态确认!J:J,MATCH($G455,绊状态确认!$B:$B,)))</f>
        <v>13028.235071999998</v>
      </c>
      <c r="AM455" s="429">
        <f>IF($P455="","N/A",(IF($P455=-1,INDEX('卡片raw data'!T:T,MATCH($D455,'卡片raw data'!$F:$F,)),0)+IF($P455=0,INDEX('卡片raw data'!W:W,MATCH($D455,'卡片raw data'!$F:$F,)),0)+IF($P455=1,INDEX('卡片raw data'!Z:Z,MATCH($D455,'卡片raw data'!$F:$F,)),0)+IF($P455=2,INDEX('卡片raw data'!AC:AC,MATCH($D455,'卡片raw data'!$F:$F,)),0)+IF($P455=3,INDEX('卡片raw data'!AF:AF,MATCH($D455,'卡片raw data'!$F:$F,)),0)+IF($P455=4,INDEX('卡片raw data'!AI:AI,MATCH($D455,'卡片raw data'!$F:$F,)),0)+IF($P455=5,INDEX('卡片raw data'!AL:AL,MATCH($D455,'卡片raw data'!$F:$F,)),0)+INDEX('卡片raw data'!T:T,MATCH($D455,'卡片raw data'!$F:$F,))*(IF($F455="UR",0.04,0.033))*(IF($F455="UR",INDEX(绊状态确认!$S:$S,MATCH($G455,绊状态确认!$B:$B,))/2-40)+IF($F455="SR",INDEX(绊状态确认!$R:$R,MATCH($G455,绊状态确认!$B:$B,))/4-15))+IF($F455="R",INDEX(绊状态确认!$Q:$Q,MATCH($G455,绊状态确认!$B:$B,))/6-40/6)))*(INDEX(绊状态确认!$H:$H,MATCH($G455,绊状态确认!$B:$B,))+INDEX(绊状态确认!K:K,MATCH($G455,绊状态确认!$B:$B,)))</f>
        <v>9677.3096639999985</v>
      </c>
      <c r="AN455" s="429">
        <f>IF($P455="","N/A",(IF($P455=-1,INDEX('卡片raw data'!U:U,MATCH($D455,'卡片raw data'!$F:$F,)),0)+IF($P455=0,INDEX('卡片raw data'!X:X,MATCH($D455,'卡片raw data'!$F:$F,)),0)+IF($P455=1,INDEX('卡片raw data'!AA:AA,MATCH($D455,'卡片raw data'!$F:$F,)),0)+IF($P455=2,INDEX('卡片raw data'!AD:AD,MATCH($D455,'卡片raw data'!$F:$F,)),0)+IF($P455=3,INDEX('卡片raw data'!AG:AG,MATCH($D455,'卡片raw data'!$F:$F,)),0)+IF($P455=4,INDEX('卡片raw data'!AJ:AJ,MATCH($D455,'卡片raw data'!$F:$F,)),0)+IF($P455=5,INDEX('卡片raw data'!AM:AM,MATCH($D455,'卡片raw data'!$F:$F,)),0)+INDEX('卡片raw data'!U:U,MATCH($D455,'卡片raw data'!$F:$F,))*(IF($F455="UR",0.04,0.033))*(IF($F455="UR",INDEX(绊状态确认!$S:$S,MATCH($G455,绊状态确认!$B:$B,))/2-40)+IF($F455="SR",INDEX(绊状态确认!$R:$R,MATCH($G455,绊状态确认!$B:$B,))/4-15))+IF($F455="R",INDEX(绊状态确认!$Q:$Q,MATCH($G455,绊状态确认!$B:$B,))/6-40/6)))*(INDEX(绊状态确认!$H:$H,MATCH($G455,绊状态确认!$B:$B,))+INDEX(绊状态确认!L:L,MATCH($G455,绊状态确认!$B:$B,)))</f>
        <v>14517.146351999998</v>
      </c>
      <c r="AO455" s="430">
        <f t="shared" si="621"/>
        <v>1</v>
      </c>
      <c r="AP455" s="556">
        <f>1+(INDEX(绊状态确认!$T:$T,MATCH($G455,绊状态确认!$B:$B,))+0.2)*$AO455</f>
        <v>1.3</v>
      </c>
      <c r="AQ455" s="431">
        <f t="shared" si="622"/>
        <v>37449.117063999998</v>
      </c>
      <c r="AR455" s="420">
        <f>(AM455*(1+$EX$9)+$EX$35)*(1+(INDEX(绊状态确认!$T:$T,MATCH($G455,绊状态确认!$B:$B,))+0.2)*AO455)*IF(J455=$FF$17,1+$FE$17,1)*IF(I455=$FF$14,1+$FE$14,1)</f>
        <v>15913.527691359999</v>
      </c>
      <c r="AS455" s="420">
        <f>(AN455*(1+$EX$10)+$EX$36)*(1+(INDEX(绊状态确认!$T:$T,MATCH($G455,绊状态确认!$B:$B,))+0.2)*AO455)*IF(J455=$FF$17,1+$FE$17,1)*IF(I455=$FF$14,1+$FE$14,1)</f>
        <v>25759.133796239996</v>
      </c>
      <c r="AT455" s="412">
        <f>IF(AND(INDEX('卡片raw data'!AK:AK,MATCH($D455,'卡片raw data'!$F:$F,))&lt;INDEX('卡片raw data'!AM:AM,MATCH($D455,'卡片raw data'!$F:$F,)),INDEX('卡片raw data'!AL:AL,MATCH($D455,'卡片raw data'!$F:$F,))&lt;INDEX('卡片raw data'!AM:AM,MATCH($D455,'卡片raw data'!$F:$F,))),1,0)</f>
        <v>1</v>
      </c>
      <c r="AU455" s="421">
        <f>MIN(AT455*0.15+AS455*0.00003+INDEX(绊状态确认!M:M,MATCH($G455,绊状态确认!$B:$B,)),1)</f>
        <v>0.95277401388719996</v>
      </c>
      <c r="AV455" s="432">
        <f>(INDEX(绊状态确认!$N:$N,MATCH($G455,绊状态确认!$B:$B,))+1.5)*$EW$21</f>
        <v>2.6599999999999997</v>
      </c>
      <c r="AW455" s="424">
        <f t="shared" si="623"/>
        <v>50209.82609424468</v>
      </c>
      <c r="AX455" s="420">
        <f t="shared" si="624"/>
        <v>1374.4124989042584</v>
      </c>
      <c r="AY455" s="433">
        <f t="shared" si="625"/>
        <v>51584.238593148941</v>
      </c>
      <c r="AZ455" s="429">
        <f t="shared" si="626"/>
        <v>28005.058390399994</v>
      </c>
      <c r="BA455" s="431">
        <f t="shared" si="627"/>
        <v>33606.070068479989</v>
      </c>
      <c r="BB455" s="420">
        <f>(AM455*(1+$FB$9)+$FB$35)*(1+(INDEX(绊状态确认!$T:$T,MATCH($G455,绊状态确认!$B:$B,))+0.2)*AO455)*IF(J455=$FF$17,1+$FE$17,1)*IF(I455=$FF$14,1+$FE$14,1)*(1+$FE$15)</f>
        <v>15913.527691359999</v>
      </c>
      <c r="BC455" s="420">
        <f>(AN455*(1+$FB$10)+$FB$36)*(1+(INDEX(绊状态确认!$T:$T,MATCH($G455,绊状态确认!$B:$B,))+0.2)*AO455)*IF(J455=$FF$17,1+$FE$17,1)*IF(I455=$FF$14,1+$FE$14,1)*(1+$FE$15)</f>
        <v>25759.133796239996</v>
      </c>
      <c r="BD455" s="427">
        <f>MIN(AT455*0.15+BC455*0.00003+INDEX(绊状态确认!M:M,MATCH($G455,绊状态确认!$B:$B,)),1)</f>
        <v>0.95277401388719996</v>
      </c>
      <c r="BE455" s="432">
        <f>(INDEX(绊状态确认!$N:$N,MATCH($G455,绊状态确认!$B:$B,))+1.5)</f>
        <v>1.9</v>
      </c>
      <c r="BF455" s="645">
        <f t="array" ref="BF455">SUMPRODUCT(IF(AZ455*AP455*$FI$16:$FI$23*$FA$22&gt;=$FI$24,$FI$24,AZ455*AP455*$FI$16:$FI$23*$FA$22),$FJ$16:$FJ$23)</f>
        <v>54042.510148444795</v>
      </c>
      <c r="BG455" s="453">
        <f t="array" ref="BG455">SUMPRODUCT(IF(BE455*AZ455*AP455*$FI$16:$FI$23*$FA$22&gt;=$FI$24,$FI$24,BE455*AZ455*AP455*$FI$16:$FI$23*$FA$22),$FJ$16:$FJ$23)</f>
        <v>60000</v>
      </c>
      <c r="BH455" s="433">
        <f t="shared" si="628"/>
        <v>19906.217222334435</v>
      </c>
      <c r="BI455" s="434">
        <f>IF(O455="vo",$EW$26/$EW$24*0.05,0)+IF(O455="sk",-$EW$26/$EW$24*(0.05-INDEX(绊状态确认!W:W,MATCH($G455,绊状态确认!$B:$B,)))+0.05*$EW$28,0)+IF(O455="sp",0.05*$EW$32*$EW$30*(1-$EW$33)-(0.05-INDEX(绊状态确认!V:V,MATCH($G455,绊状态确认!$B:$B,)))*$EW$28,0)+IF(O455="gd",-(0.05-INDEX(绊状态确认!X:X,MATCH($G455,绊状态确认!$B:$B,)))*$EW$32*$EW$30*(1-$EW$33),0)</f>
        <v>-585.00000000000011</v>
      </c>
      <c r="BJ455" s="420">
        <f>IF(O455="vo",0.05*(1-$FI$26)*$FA$24,0)+IF(O455="sk",-(0.05-INDEX(绊状态确认!W:W,MATCH($G455,绊状态确认!$B:$B,)))*(1-$FI$26)*$FA$24+0.05*$FA$26,0)+IF(O455="sp",0.05*$FA$32*$FA$27*(1-$FA$33)/$FA$30+0.05*$FA$29/$FA$69*$FA$27*(1-$FA$33)-(0.05-INDEX(绊状态确认!V:V,MATCH($G455,绊状态确认!$B:$B,)))*$FA$26,0)+IF(O455="gd",-(0.05-INDEX(绊状态确认!X:X,MATCH($G455,绊状态确认!$B:$B,)))*$FA$32*$FA$27*(1-$FA$33)/$FA$30-(0.05-INDEX(绊状态确认!X:X,MATCH($G455,绊状态确认!$B:$B,)))*$FA$29/$FA$69*$FA$27*(1-$FA$33),0)</f>
        <v>-795.00000000000011</v>
      </c>
      <c r="BK455" s="433">
        <f>IF(O455="vo",$EW$26/$EW$24*0.05+$EW$26*(-HP($EW$62,$EW$65,$EW$64)+HP($EW$62,$EW$65,(1.05-INDEX(绊状态确认!U:U,MATCH($G455,绊状态确认!$B:$B,)))*$EW$64)),0)+IF(O455="sk",-$EW$26/$EW$24*(0.05-INDEX(绊状态确认!W:W,MATCH($G455,绊状态确认!$B:$B,)))+0.05*$EW$29,0)+IF(O455="sp",0.05*$EW$32*$EW$30*(1-$EW$33)-(0.05-INDEX(绊状态确认!V:V,MATCH($G455,绊状态确认!$B:$B,)))*$EW$29,0)+IF(O455="gd",-(0.05-INDEX(绊状态确认!X:X,MATCH($G455,绊状态确认!$B:$B,)))*$EW$32*$EW$30*(1-$EW$33)+$EW$26*(-HP($EW$62,$EW$65,$EW$64)+HP($EW$62,$EW$65,0.95*$EW$64)),0)</f>
        <v>1009.5947725176144</v>
      </c>
      <c r="BL455" s="434">
        <f t="shared" si="629"/>
        <v>0</v>
      </c>
      <c r="BM455" s="433">
        <f t="shared" si="630"/>
        <v>0</v>
      </c>
      <c r="BN455" s="437">
        <f t="shared" si="631"/>
        <v>3</v>
      </c>
      <c r="BO455" s="1108">
        <f t="shared" si="632"/>
        <v>4507.7214871259994</v>
      </c>
      <c r="BP455" s="1100">
        <f t="shared" si="633"/>
        <v>221.34103209030098</v>
      </c>
      <c r="BQ455" s="437" t="s">
        <v>133</v>
      </c>
      <c r="BR455" s="450" t="s">
        <v>171</v>
      </c>
      <c r="BS455" s="421">
        <f>IF($P455="","N/A",IF($P455=-1,INDEX('卡片raw data'!AX:AX,MATCH($D455,'卡片raw data'!$F:$F,)),0)+IF($L455="party卡",IF($P455=5,INDEX('卡片raw data'!BD:BD,MATCH($D455,'卡片raw data'!$F:$F,)),IF($P455&gt;=3,INDEX('卡片raw data'!BC:BC,MATCH($D455,'卡片raw data'!$F:$F,)),INDEX('卡片raw data'!BB:BB,MATCH($D455,'卡片raw data'!$F:$F,)))),IF(OR(AND($F455="UR",$P455=0),AND($F455="SR",$P455&gt;=0,$P455&lt;=2),AND($F455="R",$P455&gt;=0,$P455&lt;4)),INDEX('卡片raw data'!AZ:AZ,MATCH($D455,'卡片raw data'!$F:$F,)),0)+IF(OR(AND($F455="UR",$P455&gt;=1,$P455&lt;=4),AND($F455="SR",$P455&lt;=4,$P455&gt;=3),AND($F455="R",$P455=4)),INDEX('卡片raw data'!BA:BA,MATCH($D455,'卡片raw data'!$F:$F,)),0)+IF($P455=5,INDEX('卡片raw data'!BB:BB,MATCH($D455,'卡片raw data'!$F:$F,)),0)))</f>
        <v>5.1999999999999998E-2</v>
      </c>
      <c r="BT455" s="424">
        <f t="shared" si="634"/>
        <v>0</v>
      </c>
      <c r="BU455" s="420">
        <f t="shared" si="635"/>
        <v>0</v>
      </c>
      <c r="BV455" s="420">
        <f t="shared" si="636"/>
        <v>0</v>
      </c>
      <c r="BW455" s="436">
        <f t="shared" si="637"/>
        <v>2.4347142857142861</v>
      </c>
      <c r="BX455" s="423">
        <f t="shared" si="638"/>
        <v>190.49664124538464</v>
      </c>
      <c r="BY455" s="433">
        <f t="shared" si="639"/>
        <v>190.49664124538464</v>
      </c>
      <c r="BZ455" s="1113" t="s">
        <v>569</v>
      </c>
      <c r="CA455" s="450"/>
      <c r="CB455" s="421">
        <f>IF($P455="","N/A",IF($P455=-1,INDEX('卡片raw data'!BE:BE,MATCH($D455,'卡片raw data'!$F:$F,)),0)+IF($L455="party卡",IF($P455=5,INDEX('卡片raw data'!BK:BK,MATCH($D455,'卡片raw data'!$F:$F,)),IF($P455&gt;=3,INDEX('卡片raw data'!BJ:BJ,MATCH($D455,'卡片raw data'!$F:$F,)),INDEX('卡片raw data'!BI:BI,MATCH($D455,'卡片raw data'!$F:$F,)))),IF(OR(AND($F455="UR",$P455=0),AND($F455="SR",$P455&gt;=0,$P455&lt;=2),AND($F455="R",$P455&gt;=0,$P455&lt;4)),INDEX('卡片raw data'!BG:BG,MATCH($D455,'卡片raw data'!$F:$F,)),0)+IF(OR(AND($F455="UR",$P455&gt;=1,$P455&lt;=4),AND($F455="SR",$P455&lt;=4,$P455&gt;=3),AND($F455="R",$P455=4)),INDEX('卡片raw data'!BH:BH,MATCH($D455,'卡片raw data'!$F:$F,)),0)+IF($P455=5,INDEX('卡片raw data'!BI:BI,MATCH($D455,'卡片raw data'!$F:$F,)),0)))</f>
        <v>0</v>
      </c>
      <c r="CC455" s="424">
        <f t="shared" si="640"/>
        <v>0</v>
      </c>
      <c r="CD455" s="420">
        <f>IF(BZ455="ap",CB455*(1-$FI$26)*$FB$5/$FB$11*(+IF(CA455="全员",$FA$24,0)+IF(CA455="同作战",$FA$24,0)+IF(CA455="仲间",$FA$24*2/3,0)+IF(CA455="同属性",$FA$24*$FA$37/3,0)+IF(CA455="同年级",$FA$24*$FA$40/3,0)+IF(CA455="同学校",$FA$24*$FA$43/3,0)+IF(CA455="同小队",$FA$24*$FA$46/3,0)+IF(CA455="同type",$FA$24*INDEX($FB$49:$FB$52,MATCH(X455,$FA$49:$FA$52,))/3,0)+IF(CA455="自身",#REF!/3,0)),0)+IF(BZ455="te",CB455*(1-$FI$27)*($FA$20-1)*$FB$7/$FB$13*(+IF(CA455="全员",$FA$19*$FA$24/(1+($FA$20-1)*$FA$19),0)+IF(CA455="同作战",$FA$19*$FA$24/(1+($FA$20-1)*$FA$19),0)+IF(CA455="仲间",$FA$19*$FA$24*2/3/(1+($FA$20-1)*$FA$19),0)+IF(CA455="同属性",$FA$19*$FA$24*$FA$37/3/(1+($FA$20-1)*$FA$19),0)+IF(CA455="同年级",$FA$19*$FA$24*$FA$40/3/(1+($FA$20-1)*$FA$19),0)+IF(CA455="同学校",$FA$19*$FA$24*$FA$43/3/(1+($FA$20-1)*$FA$19),0)+IF(CA455="同小队",$FA$19*$FA$24*$FA$46/3/(1+($FA$20-1)*$FA$19),0)+IF(CA455="同type",$FA$19*$FA$24*INDEX($FB$49:$FB$52,MATCH(X455,$FA$49:$FA$52,))/3/(1+($FA$20-1)*$FA$19),0)+IF(CA455="自身",$FA$19*#REF!/3/(1+(BH455-1)*$BD455),0)),0)</f>
        <v>0</v>
      </c>
      <c r="CE455" s="420">
        <f t="shared" si="641"/>
        <v>0</v>
      </c>
      <c r="CF455" s="436">
        <f t="shared" si="642"/>
        <v>0</v>
      </c>
      <c r="CG455" s="423">
        <f t="shared" si="643"/>
        <v>0</v>
      </c>
      <c r="CH455" s="433">
        <f t="shared" si="644"/>
        <v>0</v>
      </c>
      <c r="CI455" s="1113" t="s">
        <v>164</v>
      </c>
      <c r="CJ455" s="1114">
        <v>1</v>
      </c>
      <c r="CK455" s="1115" t="s">
        <v>2305</v>
      </c>
      <c r="CL455" s="1115" t="s">
        <v>1943</v>
      </c>
      <c r="CM455" s="1119">
        <v>8.5000000000000006E-2</v>
      </c>
      <c r="CN455" s="1115"/>
      <c r="CO455" s="1115"/>
      <c r="CP455" s="1116">
        <f t="shared" si="645"/>
        <v>28.98535400926286</v>
      </c>
      <c r="CQ455" s="1116">
        <f t="shared" si="646"/>
        <v>45.08832845885334</v>
      </c>
      <c r="CR455" s="1117">
        <f t="shared" si="647"/>
        <v>28.98535400926286</v>
      </c>
      <c r="CS455" s="442">
        <f t="shared" si="648"/>
        <v>0</v>
      </c>
      <c r="CT455" s="432">
        <f t="shared" si="649"/>
        <v>0</v>
      </c>
      <c r="CU455" s="1101">
        <f t="shared" si="650"/>
        <v>0</v>
      </c>
      <c r="CV455" s="1108">
        <f t="shared" si="682"/>
        <v>0</v>
      </c>
      <c r="CW455" s="420">
        <f t="shared" si="651"/>
        <v>0</v>
      </c>
      <c r="CX455" s="420">
        <f t="shared" si="652"/>
        <v>0</v>
      </c>
      <c r="CY455" s="433">
        <f t="shared" si="653"/>
        <v>2395.7063773667101</v>
      </c>
      <c r="CZ455" s="437"/>
      <c r="DA455" s="438"/>
      <c r="DB455" s="439" t="s">
        <v>569</v>
      </c>
      <c r="DC455" s="439"/>
      <c r="DD455" s="443"/>
      <c r="DE455" s="411"/>
      <c r="DF455" s="411"/>
      <c r="DG455" s="1116">
        <f t="shared" si="654"/>
        <v>0</v>
      </c>
      <c r="DH455" s="1116">
        <f t="shared" si="655"/>
        <v>0</v>
      </c>
      <c r="DI455" s="1116">
        <f t="shared" si="656"/>
        <v>0</v>
      </c>
      <c r="DJ455" s="442">
        <f t="shared" si="657"/>
        <v>0</v>
      </c>
      <c r="DK455" s="432">
        <f t="shared" si="658"/>
        <v>0</v>
      </c>
      <c r="DL455" s="424">
        <f t="shared" si="659"/>
        <v>0</v>
      </c>
      <c r="DM455" s="420">
        <f t="shared" si="660"/>
        <v>0</v>
      </c>
      <c r="DN455" s="420">
        <f t="shared" si="661"/>
        <v>0</v>
      </c>
      <c r="DO455" s="420">
        <f t="shared" si="662"/>
        <v>0</v>
      </c>
      <c r="DP455" s="433">
        <f t="shared" si="663"/>
        <v>0</v>
      </c>
      <c r="DQ455" s="1113" t="s">
        <v>2080</v>
      </c>
      <c r="DR455" s="444">
        <f t="shared" si="664"/>
        <v>0.33</v>
      </c>
      <c r="DS455" s="1124"/>
      <c r="DT455" s="1093" t="s">
        <v>133</v>
      </c>
      <c r="DU455" s="1124"/>
      <c r="DV455" s="1098">
        <f>IF($P455="","N/A",IF(P455=-1,INDEX('卡片raw data'!AN:AN,MATCH(D455,'卡片raw data'!$F:$F,)),0)+IF(AND(L455&lt;&gt;"party卡",P455&lt;=2,P455&gt;=0),INDEX('卡片raw data'!AP:AP,MATCH(D455,'卡片raw data'!$F:$F,)),0)+IF(OR(AND(L455="party卡",P455&lt;=1),AND(P455&lt;=4,L455&lt;&gt;"party卡",P455&gt;=3)),INDEX('卡片raw data'!AQ:AQ,MATCH(D455,'卡片raw data'!$F:$F,)),0)+IF(OR(P455=5,AND(L455="party卡",P455&gt;=2)),INDEX('卡片raw data'!AR:AR,MATCH(D455,'卡片raw data'!$F:$F,)),0))</f>
        <v>0.32</v>
      </c>
      <c r="DW455" s="1098">
        <f t="shared" si="665"/>
        <v>0.33</v>
      </c>
      <c r="DX455" s="1098">
        <f t="shared" si="666"/>
        <v>0.33</v>
      </c>
      <c r="DY455" s="1097">
        <f t="shared" si="667"/>
        <v>560.15617473587201</v>
      </c>
      <c r="DZ455" s="1097">
        <f t="shared" si="668"/>
        <v>484.53509114652928</v>
      </c>
      <c r="EA455" s="421">
        <f t="shared" si="669"/>
        <v>0</v>
      </c>
      <c r="EB455" s="445">
        <f t="shared" si="670"/>
        <v>0</v>
      </c>
      <c r="EC455" s="424">
        <f t="shared" si="671"/>
        <v>0</v>
      </c>
      <c r="ED455" s="420">
        <f t="shared" si="672"/>
        <v>0</v>
      </c>
      <c r="EE455" s="433">
        <f t="shared" si="598"/>
        <v>48435.03108962375</v>
      </c>
      <c r="EF455" s="1115" t="s">
        <v>569</v>
      </c>
      <c r="EG455" s="444">
        <f t="shared" si="673"/>
        <v>0.33</v>
      </c>
      <c r="EH455" s="450"/>
      <c r="EI455" s="1093"/>
      <c r="EJ455" s="1093"/>
      <c r="EK455" s="1097">
        <f>IF($P455="","N/A",IF(P455=-1,INDEX('卡片raw data'!AS:AS,MATCH(D455,'卡片raw data'!$F:$F,)),0)+IF(AND(L455&lt;&gt;"party卡",P455&lt;=2,P455&gt;=0),INDEX('卡片raw data'!AU:AU,MATCH(D455,'卡片raw data'!$F:$F,)),0)+IF(OR(AND(L455="party卡",P455&lt;=1),AND(P455&lt;=4,L455&lt;&gt;"party卡",P455&gt;=3)),INDEX('卡片raw data'!AV:AV,MATCH(D455,'卡片raw data'!$F:$F,)),0)+IF(OR(P455=5,AND(L455="party卡",P455&gt;=2)),INDEX('卡片raw data'!AW:AW,MATCH(D455,'卡片raw data'!$F:$F,)),0))</f>
        <v>0</v>
      </c>
      <c r="EL455" s="1098">
        <f t="shared" si="674"/>
        <v>0.33</v>
      </c>
      <c r="EM455" s="1098">
        <f t="shared" si="675"/>
        <v>0.33</v>
      </c>
      <c r="EN455" s="1097">
        <f t="shared" si="676"/>
        <v>0</v>
      </c>
      <c r="EO455" s="1097">
        <f t="shared" si="677"/>
        <v>0</v>
      </c>
      <c r="EP455" s="421">
        <f t="shared" si="678"/>
        <v>0</v>
      </c>
      <c r="EQ455" s="445">
        <f t="shared" si="679"/>
        <v>0</v>
      </c>
      <c r="ER455" s="424">
        <f t="shared" si="680"/>
        <v>0</v>
      </c>
      <c r="ES455" s="420">
        <f t="shared" si="681"/>
        <v>0</v>
      </c>
      <c r="ET455" s="446">
        <f t="shared" si="599"/>
        <v>0</v>
      </c>
    </row>
    <row r="456" spans="2:150" ht="16.5" customHeight="1">
      <c r="B456" s="448" t="str">
        <f>INDEX('卡片raw data'!B:B,MATCH($D456,'卡片raw data'!$F:$F,))</f>
        <v>nbg绘</v>
      </c>
      <c r="C456" s="449" t="s">
        <v>2693</v>
      </c>
      <c r="D456" s="408">
        <v>453</v>
      </c>
      <c r="E456" s="477">
        <v>400022004</v>
      </c>
      <c r="F456" s="409" t="str">
        <f>INDEX('卡片raw data'!C:C,MATCH($D456,'卡片raw data'!$F:$F,))</f>
        <v>SR</v>
      </c>
      <c r="G456" s="1094" t="s">
        <v>2694</v>
      </c>
      <c r="H456" s="411">
        <f>IFERROR(INDEX(绊状态确认!C:C,MATCH($G456,绊状态确认!$B:$B,)),"")</f>
        <v>2</v>
      </c>
      <c r="I456" s="450" t="str">
        <f>IFERROR(INDEX(绊状态确认!D:D,MATCH($G456,绊状态确认!$B:$B,)),"")</f>
        <v>缪</v>
      </c>
      <c r="J456" s="450" t="str">
        <f>IFERROR(INDEX(绊状态确认!E:E,MATCH($G456,绊状态确认!$B:$B,)),"")</f>
        <v>3年级</v>
      </c>
      <c r="K456" s="451" t="str">
        <f>IFERROR(INDEX(绊状态确认!F:F,MATCH($G456,绊状态确认!$B:$B,)),"")</f>
        <v>BiBi</v>
      </c>
      <c r="L456" s="414" t="str">
        <f>INDEX('卡片raw data'!E:E,MATCH($D456,'卡片raw data'!$F:$F,))</f>
        <v>卡池卡</v>
      </c>
      <c r="M456" s="478">
        <v>44320</v>
      </c>
      <c r="N456" s="479">
        <v>39</v>
      </c>
      <c r="O456" s="410" t="str">
        <f>INDEX('卡片raw data'!D:D,MATCH($D456,'卡片raw data'!$F:$F,))</f>
        <v>gd</v>
      </c>
      <c r="P456" s="1126">
        <v>5</v>
      </c>
      <c r="Q456" s="418">
        <f t="shared" si="600"/>
        <v>23467.788536048625</v>
      </c>
      <c r="R456" s="419">
        <f t="shared" si="601"/>
        <v>0.27200000000000002</v>
      </c>
      <c r="S456" s="420">
        <f t="shared" si="602"/>
        <v>13587.557928728766</v>
      </c>
      <c r="T456" s="421">
        <f t="shared" si="603"/>
        <v>0.67900000000000005</v>
      </c>
      <c r="U456" s="422">
        <f t="shared" si="604"/>
        <v>498.60736204813873</v>
      </c>
      <c r="V456" s="423">
        <f t="shared" si="605"/>
        <v>74893.256713221665</v>
      </c>
      <c r="W456" s="424">
        <f t="shared" si="606"/>
        <v>4507.7214871259994</v>
      </c>
      <c r="X456" s="419">
        <f t="shared" si="607"/>
        <v>5.1999999999999998E-2</v>
      </c>
      <c r="Y456" s="420">
        <f t="shared" si="608"/>
        <v>3101.8359294073553</v>
      </c>
      <c r="Z456" s="425">
        <f t="shared" si="609"/>
        <v>38.391440795402744</v>
      </c>
      <c r="AA456" s="426">
        <f t="shared" si="610"/>
        <v>7609.5574165333546</v>
      </c>
      <c r="AB456" s="424">
        <f t="shared" si="611"/>
        <v>4507.7214871259994</v>
      </c>
      <c r="AC456" s="427">
        <f t="shared" si="612"/>
        <v>5.1999999999999998E-2</v>
      </c>
      <c r="AD456" s="428">
        <f t="shared" si="613"/>
        <v>-3.8207812500000026E-3</v>
      </c>
      <c r="AE456" s="516">
        <f t="shared" si="614"/>
        <v>-18.525362318840578</v>
      </c>
      <c r="AF456" s="1130">
        <f t="shared" si="615"/>
        <v>6835.1265916987031</v>
      </c>
      <c r="AG456" s="420">
        <f t="shared" si="616"/>
        <v>94314.539859041644</v>
      </c>
      <c r="AH456" s="420">
        <f t="shared" si="617"/>
        <v>13.798506669004075</v>
      </c>
      <c r="AI456" s="1097">
        <f t="shared" si="618"/>
        <v>100643.21109701255</v>
      </c>
      <c r="AJ456" s="420">
        <f t="shared" si="619"/>
        <v>74893.256713221665</v>
      </c>
      <c r="AK456" s="518">
        <f t="shared" si="620"/>
        <v>25749.954383790886</v>
      </c>
      <c r="AL456" s="1106">
        <f>IF($P456="","N/A",(IF($P456=-1,INDEX('卡片raw data'!S:S,MATCH($D456,'卡片raw data'!$F:$F,)),0)+IF($P456=0,INDEX('卡片raw data'!V:V,MATCH($D456,'卡片raw data'!$F:$F,)),0)+IF($P456=1,INDEX('卡片raw data'!Y:Y,MATCH($D456,'卡片raw data'!$F:$F,)),0)+IF($P456=2,INDEX('卡片raw data'!AB:AB,MATCH($D456,'卡片raw data'!$F:$F,)),0)+IF($P456=3,INDEX('卡片raw data'!AE:AE,MATCH($D456,'卡片raw data'!$F:$F,)),0)+IF($P456=4,INDEX('卡片raw data'!AH:AH,MATCH($D456,'卡片raw data'!$F:$F,)),0)+IF($P456=5,INDEX('卡片raw data'!AK:AK,MATCH($D456,'卡片raw data'!$F:$F,)),0)+INDEX('卡片raw data'!S:S,MATCH($D456,'卡片raw data'!$F:$F,))*(IF($F456="UR",0.04,0.033))*(IF($F456="UR",INDEX(绊状态确认!$S:$S,MATCH($G456,绊状态确认!$B:$B,))/2-40)+IF($F456="SR",INDEX(绊状态确认!$R:$R,MATCH($G456,绊状态确认!$B:$B,))/4-15))+IF($F456="R",INDEX(绊状态确认!$Q:$Q,MATCH($G456,绊状态确认!$B:$B,))/6-40/6)))*(INDEX(绊状态确认!$H:$H,MATCH($G456,绊状态确认!$B:$B,))+INDEX(绊状态确认!J:J,MATCH($G456,绊状态确认!$B:$B,)))</f>
        <v>7523.0361839999996</v>
      </c>
      <c r="AM456" s="1106">
        <f>IF($P456="","N/A",(IF($P456=-1,INDEX('卡片raw data'!T:T,MATCH($D456,'卡片raw data'!$F:$F,)),0)+IF($P456=0,INDEX('卡片raw data'!W:W,MATCH($D456,'卡片raw data'!$F:$F,)),0)+IF($P456=1,INDEX('卡片raw data'!Z:Z,MATCH($D456,'卡片raw data'!$F:$F,)),0)+IF($P456=2,INDEX('卡片raw data'!AC:AC,MATCH($D456,'卡片raw data'!$F:$F,)),0)+IF($P456=3,INDEX('卡片raw data'!AF:AF,MATCH($D456,'卡片raw data'!$F:$F,)),0)+IF($P456=4,INDEX('卡片raw data'!AI:AI,MATCH($D456,'卡片raw data'!$F:$F,)),0)+IF($P456=5,INDEX('卡片raw data'!AL:AL,MATCH($D456,'卡片raw data'!$F:$F,)),0)+INDEX('卡片raw data'!T:T,MATCH($D456,'卡片raw data'!$F:$F,))*(IF($F456="UR",0.04,0.033))*(IF($F456="UR",INDEX(绊状态确认!$S:$S,MATCH($G456,绊状态确认!$B:$B,))/2-40)+IF($F456="SR",INDEX(绊状态确认!$R:$R,MATCH($G456,绊状态确认!$B:$B,))/4-15))+IF($F456="R",INDEX(绊状态确认!$Q:$Q,MATCH($G456,绊状态确认!$B:$B,))/6-40/6)))*(INDEX(绊状态确认!$H:$H,MATCH($G456,绊状态确认!$B:$B,))+INDEX(绊状态确认!K:K,MATCH($G456,绊状态确认!$B:$B,)))</f>
        <v>8892.3618191999994</v>
      </c>
      <c r="AN456" s="1106">
        <f>IF($P456="","N/A",(IF($P456=-1,INDEX('卡片raw data'!U:U,MATCH($D456,'卡片raw data'!$F:$F,)),0)+IF($P456=0,INDEX('卡片raw data'!X:X,MATCH($D456,'卡片raw data'!$F:$F,)),0)+IF($P456=1,INDEX('卡片raw data'!AA:AA,MATCH($D456,'卡片raw data'!$F:$F,)),0)+IF($P456=2,INDEX('卡片raw data'!AD:AD,MATCH($D456,'卡片raw data'!$F:$F,)),0)+IF($P456=3,INDEX('卡片raw data'!AG:AG,MATCH($D456,'卡片raw data'!$F:$F,)),0)+IF($P456=4,INDEX('卡片raw data'!AJ:AJ,MATCH($D456,'卡片raw data'!$F:$F,)),0)+IF($P456=5,INDEX('卡片raw data'!AM:AM,MATCH($D456,'卡片raw data'!$F:$F,)),0)+INDEX('卡片raw data'!U:U,MATCH($D456,'卡片raw data'!$F:$F,))*(IF($F456="UR",0.04,0.033))*(IF($F456="UR",INDEX(绊状态确认!$S:$S,MATCH($G456,绊状态确认!$B:$B,))/2-40)+IF($F456="SR",INDEX(绊状态确认!$R:$R,MATCH($G456,绊状态确认!$B:$B,))/4-15))+IF($F456="R",INDEX(绊状态确认!$Q:$Q,MATCH($G456,绊状态确认!$B:$B,))/6-40/6)))*(INDEX(绊状态确认!$H:$H,MATCH($G456,绊状态确认!$B:$B,))+INDEX(绊状态确认!L:L,MATCH($G456,绊状态确认!$B:$B,)))</f>
        <v>6384.2792903999989</v>
      </c>
      <c r="AO456" s="1107">
        <f t="shared" si="621"/>
        <v>1</v>
      </c>
      <c r="AP456" s="1131">
        <f>1+(INDEX(绊状态确认!$T:$T,MATCH($G456,绊状态确认!$B:$B,))+0.2)*$AO456</f>
        <v>1.3</v>
      </c>
      <c r="AQ456" s="1108">
        <f t="shared" si="622"/>
        <v>22997.969983000003</v>
      </c>
      <c r="AR456" s="1097">
        <f>(AM456*(1+$EX$9)+$EX$35)*(1+(INDEX(绊状态确认!$T:$T,MATCH($G456,绊状态确认!$B:$B,))+0.2)*AO456)*IF(J456=$FF$17,1+$FE$17,1)*IF(I456=$FF$14,1+$FE$14,1)</f>
        <v>14842.073883208001</v>
      </c>
      <c r="AS456" s="1097">
        <f>(AN456*(1+$EX$10)+$EX$36)*(1+(INDEX(绊状态确认!$T:$T,MATCH($G456,绊状态确认!$B:$B,))+0.2)*AO456)*IF(J456=$FF$17,1+$FE$17,1)*IF(I456=$FF$14,1+$FE$14,1)</f>
        <v>13600.497539148</v>
      </c>
      <c r="AT456" s="1093">
        <f>IF(AND(INDEX('卡片raw data'!AK:AK,MATCH($D456,'卡片raw data'!$F:$F,))&lt;INDEX('卡片raw data'!AM:AM,MATCH($D456,'卡片raw data'!$F:$F,)),INDEX('卡片raw data'!AL:AL,MATCH($D456,'卡片raw data'!$F:$F,))&lt;INDEX('卡片raw data'!AM:AM,MATCH($D456,'卡片raw data'!$F:$F,))),1,0)</f>
        <v>0</v>
      </c>
      <c r="AU456" s="1098">
        <f>MIN(AT456*0.15+AS456*0.00003+INDEX(绊状态确认!M:M,MATCH($G456,绊状态确认!$B:$B,)),1)</f>
        <v>0.43801492617444004</v>
      </c>
      <c r="AV456" s="1109">
        <f>(INDEX(绊状态确认!$N:$N,MATCH($G456,绊状态确认!$B:$B,))+1.5)*$EW$21</f>
        <v>2.6599999999999997</v>
      </c>
      <c r="AW456" s="1101">
        <f t="shared" si="623"/>
        <v>20628.400382255957</v>
      </c>
      <c r="AX456" s="1097">
        <f t="shared" si="624"/>
        <v>1278.833825221742</v>
      </c>
      <c r="AY456" s="1110">
        <f t="shared" si="625"/>
        <v>21907.234207477701</v>
      </c>
      <c r="AZ456" s="429">
        <f t="shared" si="626"/>
        <v>17269.920558799997</v>
      </c>
      <c r="BA456" s="431">
        <f t="shared" si="627"/>
        <v>20723.904670559994</v>
      </c>
      <c r="BB456" s="1097">
        <f>(AM456*(1+$FB$9)+$FB$35)*(1+(INDEX(绊状态确认!$T:$T,MATCH($G456,绊状态确认!$B:$B,))+0.2)*AO456)*IF(J456=$FF$17,1+$FE$17,1)*IF(I456=$FF$14,1+$FE$14,1)*(1+$FE$15)</f>
        <v>14842.073883208001</v>
      </c>
      <c r="BC456" s="1097">
        <f>(AN456*(1+$FB$10)+$FB$36)*(1+(INDEX(绊状态确认!$T:$T,MATCH($G456,绊状态确认!$B:$B,))+0.2)*AO456)*IF(J456=$FF$17,1+$FE$17,1)*IF(I456=$FF$14,1+$FE$14,1)*(1+$FE$15)</f>
        <v>13600.497539148</v>
      </c>
      <c r="BD456" s="1104">
        <f>MIN(AT456*0.15+BC456*0.00003+INDEX(绊状态确认!M:M,MATCH($G456,绊状态确认!$B:$B,)),1)</f>
        <v>0.43801492617444004</v>
      </c>
      <c r="BE456" s="432">
        <f>(INDEX(绊状态确认!$N:$N,MATCH($G456,绊状态确认!$B:$B,))+1.5)</f>
        <v>1.9</v>
      </c>
      <c r="BF456" s="1139">
        <f t="array" ref="BF456">SUMPRODUCT(IF(AZ456*AP456*$FI$16:$FI$23*$FA$22&gt;=$FI$24,$FI$24,AZ456*AP456*$FI$16:$FI$23*$FA$22),$FJ$16:$FJ$23)</f>
        <v>34349.871991453198</v>
      </c>
      <c r="BG456" s="1125">
        <f t="array" ref="BG456">SUMPRODUCT(IF(BE456*AZ456*AP456*$FI$16:$FI$23*$FA$22&gt;=$FI$24,$FI$24,BE456*AZ456*AP456*$FI$16:$FI$23*$FA$22),$FJ$16:$FJ$23)</f>
        <v>58608.053003525078</v>
      </c>
      <c r="BH456" s="1110">
        <f t="shared" si="628"/>
        <v>14991.77245219402</v>
      </c>
      <c r="BI456" s="1111">
        <f>IF(O456="vo",$EW$26/$EW$24*0.05,0)+IF(O456="sk",-$EW$26/$EW$24*(0.05-INDEX(绊状态确认!W:W,MATCH($G456,绊状态确认!$B:$B,)))+0.05*$EW$28,0)+IF(O456="sp",0.05*$EW$32*$EW$30*(1-$EW$33)-(0.05-INDEX(绊状态确认!V:V,MATCH($G456,绊状态确认!$B:$B,)))*$EW$28,0)+IF(O456="gd",-(0.05-INDEX(绊状态确认!X:X,MATCH($G456,绊状态确认!$B:$B,)))*$EW$32*$EW$30*(1-$EW$33),0)</f>
        <v>-585.00000000000011</v>
      </c>
      <c r="BJ456" s="420">
        <f>IF(O456="vo",0.05*(1-$FI$26)*$FA$24,0)+IF(O456="sk",-(0.05-INDEX(绊状态确认!W:W,MATCH($G456,绊状态确认!$B:$B,)))*(1-$FI$26)*$FA$24+0.05*$FA$26,0)+IF(O456="sp",0.05*$FA$32*$FA$27*(1-$FA$33)/$FA$30+0.05*$FA$29/$FA$69*$FA$27*(1-$FA$33)-(0.05-INDEX(绊状态确认!V:V,MATCH($G456,绊状态确认!$B:$B,)))*$FA$26,0)+IF(O456="gd",-(0.05-INDEX(绊状态确认!X:X,MATCH($G456,绊状态确认!$B:$B,)))*$FA$32*$FA$27*(1-$FA$33)/$FA$30-(0.05-INDEX(绊状态确认!X:X,MATCH($G456,绊状态确认!$B:$B,)))*$FA$29/$FA$69*$FA$27*(1-$FA$33),0)</f>
        <v>-795.00000000000011</v>
      </c>
      <c r="BK456" s="1110">
        <f>IF(O456="vo",$EW$26/$EW$24*0.05+$EW$26*(-HP($EW$62,$EW$65,$EW$64)+HP($EW$62,$EW$65,(1.05-INDEX(绊状态确认!U:U,MATCH($G456,绊状态确认!$B:$B,)))*$EW$64)),0)+IF(O456="sk",-$EW$26/$EW$24*(0.05-INDEX(绊状态确认!W:W,MATCH($G456,绊状态确认!$B:$B,)))+0.05*$EW$29,0)+IF(O456="sp",0.05*$EW$32*$EW$30*(1-$EW$33)-(0.05-INDEX(绊状态确认!V:V,MATCH($G456,绊状态确认!$B:$B,)))*$EW$29,0)+IF(O456="gd",-(0.05-INDEX(绊状态确认!X:X,MATCH($G456,绊状态确认!$B:$B,)))*$EW$32*$EW$30*(1-$EW$33)+$EW$26*(-HP($EW$62,$EW$65,$EW$64)+HP($EW$62,$EW$65,0.95*$EW$64)),0)</f>
        <v>1009.5947725176144</v>
      </c>
      <c r="BL456" s="1111">
        <f t="shared" si="629"/>
        <v>-1083.3333333333333</v>
      </c>
      <c r="BM456" s="1110">
        <f t="shared" si="630"/>
        <v>-830.55555555555543</v>
      </c>
      <c r="BN456" s="1113">
        <f t="shared" si="631"/>
        <v>3</v>
      </c>
      <c r="BO456" s="1108">
        <f t="shared" si="632"/>
        <v>4507.7214871259994</v>
      </c>
      <c r="BP456" s="1100">
        <f t="shared" si="633"/>
        <v>221.34103209030098</v>
      </c>
      <c r="BQ456" s="1113" t="s">
        <v>133</v>
      </c>
      <c r="BR456" s="450" t="s">
        <v>171</v>
      </c>
      <c r="BS456" s="421">
        <f>IF($P456="","N/A",IF($P456=-1,INDEX('卡片raw data'!AX:AX,MATCH($D456,'卡片raw data'!$F:$F,)),0)+IF($L456="party卡",IF($P456=5,INDEX('卡片raw data'!BD:BD,MATCH($D456,'卡片raw data'!$F:$F,)),IF($P456&gt;=3,INDEX('卡片raw data'!BC:BC,MATCH($D456,'卡片raw data'!$F:$F,)),INDEX('卡片raw data'!BB:BB,MATCH($D456,'卡片raw data'!$F:$F,)))),IF(OR(AND($F456="UR",$P456=0),AND($F456="SR",$P456&gt;=0,$P456&lt;=2),AND($F456="R",$P456&gt;=0,$P456&lt;4)),INDEX('卡片raw data'!AZ:AZ,MATCH($D456,'卡片raw data'!$F:$F,)),0)+IF(OR(AND($F456="UR",$P456&gt;=1,$P456&lt;=4),AND($F456="SR",$P456&lt;=4,$P456&gt;=3),AND($F456="R",$P456=4)),INDEX('卡片raw data'!BA:BA,MATCH($D456,'卡片raw data'!$F:$F,)),0)+IF($P456=5,INDEX('卡片raw data'!BB:BB,MATCH($D456,'卡片raw data'!$F:$F,)),0)))</f>
        <v>3.2000000000000001E-2</v>
      </c>
      <c r="BT456" s="424">
        <f t="shared" si="634"/>
        <v>0</v>
      </c>
      <c r="BU456" s="420">
        <f t="shared" si="635"/>
        <v>0</v>
      </c>
      <c r="BV456" s="420">
        <f t="shared" si="636"/>
        <v>0</v>
      </c>
      <c r="BW456" s="436">
        <f t="shared" si="637"/>
        <v>1.498285714285714</v>
      </c>
      <c r="BX456" s="423">
        <f t="shared" si="638"/>
        <v>117.00848980993118</v>
      </c>
      <c r="BY456" s="433">
        <f t="shared" si="639"/>
        <v>117.00848980993118</v>
      </c>
      <c r="BZ456" s="1113" t="s">
        <v>569</v>
      </c>
      <c r="CA456" s="450"/>
      <c r="CB456" s="421">
        <f>IF($P456="","N/A",IF($P456=-1,INDEX('卡片raw data'!BE:BE,MATCH($D456,'卡片raw data'!$F:$F,)),0)+IF($L456="party卡",IF($P456=5,INDEX('卡片raw data'!BK:BK,MATCH($D456,'卡片raw data'!$F:$F,)),IF($P456&gt;=3,INDEX('卡片raw data'!BJ:BJ,MATCH($D456,'卡片raw data'!$F:$F,)),INDEX('卡片raw data'!BI:BI,MATCH($D456,'卡片raw data'!$F:$F,)))),IF(OR(AND($F456="UR",$P456=0),AND($F456="SR",$P456&gt;=0,$P456&lt;=2),AND($F456="R",$P456&gt;=0,$P456&lt;4)),INDEX('卡片raw data'!BG:BG,MATCH($D456,'卡片raw data'!$F:$F,)),0)+IF(OR(AND($F456="UR",$P456&gt;=1,$P456&lt;=4),AND($F456="SR",$P456&lt;=4,$P456&gt;=3),AND($F456="R",$P456=4)),INDEX('卡片raw data'!BH:BH,MATCH($D456,'卡片raw data'!$F:$F,)),0)+IF($P456=5,INDEX('卡片raw data'!BI:BI,MATCH($D456,'卡片raw data'!$F:$F,)),0)))</f>
        <v>0</v>
      </c>
      <c r="CC456" s="424">
        <f t="shared" si="640"/>
        <v>0</v>
      </c>
      <c r="CD456" s="420">
        <f>IF(BZ456="ap",CB456*(1-$FI$26)*$FB$5/$FB$11*(+IF(CA456="全员",$FA$24,0)+IF(CA456="同作战",$FA$24,0)+IF(CA456="仲间",$FA$24*2/3,0)+IF(CA456="同属性",$FA$24*$FA$37/3,0)+IF(CA456="同年级",$FA$24*$FA$40/3,0)+IF(CA456="同学校",$FA$24*$FA$43/3,0)+IF(CA456="同小队",$FA$24*$FA$46/3,0)+IF(CA456="同type",$FA$24*INDEX($FB$49:$FB$52,MATCH(X456,$FA$49:$FA$52,))/3,0)+IF(CA456="自身",#REF!/3,0)),0)+IF(BZ456="te",CB456*(1-$FI$27)*($FA$20-1)*$FB$7/$FB$13*(+IF(CA456="全员",$FA$19*$FA$24/(1+($FA$20-1)*$FA$19),0)+IF(CA456="同作战",$FA$19*$FA$24/(1+($FA$20-1)*$FA$19),0)+IF(CA456="仲间",$FA$19*$FA$24*2/3/(1+($FA$20-1)*$FA$19),0)+IF(CA456="同属性",$FA$19*$FA$24*$FA$37/3/(1+($FA$20-1)*$FA$19),0)+IF(CA456="同年级",$FA$19*$FA$24*$FA$40/3/(1+($FA$20-1)*$FA$19),0)+IF(CA456="同学校",$FA$19*$FA$24*$FA$43/3/(1+($FA$20-1)*$FA$19),0)+IF(CA456="同小队",$FA$19*$FA$24*$FA$46/3/(1+($FA$20-1)*$FA$19),0)+IF(CA456="同type",$FA$19*$FA$24*INDEX($FB$49:$FB$52,MATCH(X456,$FA$49:$FA$52,))/3/(1+($FA$20-1)*$FA$19),0)+IF(CA456="自身",$FA$19*#REF!/3/(1+(BH456-1)*$BD456),0)),0)</f>
        <v>0</v>
      </c>
      <c r="CE456" s="420">
        <f t="shared" si="641"/>
        <v>0</v>
      </c>
      <c r="CF456" s="436">
        <f t="shared" si="642"/>
        <v>0</v>
      </c>
      <c r="CG456" s="423">
        <f t="shared" si="643"/>
        <v>0</v>
      </c>
      <c r="CH456" s="433">
        <f t="shared" si="644"/>
        <v>0</v>
      </c>
      <c r="CI456" s="437" t="s">
        <v>164</v>
      </c>
      <c r="CJ456" s="438">
        <v>1</v>
      </c>
      <c r="CK456" s="439" t="s">
        <v>2080</v>
      </c>
      <c r="CL456" s="439" t="s">
        <v>1943</v>
      </c>
      <c r="CM456" s="1119">
        <v>6.6000000000000003E-2</v>
      </c>
      <c r="CN456" s="1115"/>
      <c r="CO456" s="1115"/>
      <c r="CP456" s="1116">
        <f t="shared" si="645"/>
        <v>20.990933063394174</v>
      </c>
      <c r="CQ456" s="1116">
        <f t="shared" si="646"/>
        <v>32.652562543057606</v>
      </c>
      <c r="CR456" s="1117">
        <f t="shared" si="647"/>
        <v>20.990933063394174</v>
      </c>
      <c r="CS456" s="442">
        <f t="shared" si="648"/>
        <v>0</v>
      </c>
      <c r="CT456" s="432">
        <f t="shared" si="649"/>
        <v>0</v>
      </c>
      <c r="CU456" s="1101">
        <f t="shared" si="650"/>
        <v>0</v>
      </c>
      <c r="CV456" s="1108">
        <f t="shared" si="682"/>
        <v>0</v>
      </c>
      <c r="CW456" s="420">
        <f t="shared" si="651"/>
        <v>0</v>
      </c>
      <c r="CX456" s="420">
        <f t="shared" si="652"/>
        <v>0</v>
      </c>
      <c r="CY456" s="433">
        <f t="shared" si="653"/>
        <v>1705.9936143756818</v>
      </c>
      <c r="CZ456" s="437"/>
      <c r="DA456" s="438"/>
      <c r="DB456" s="439" t="s">
        <v>569</v>
      </c>
      <c r="DC456" s="439"/>
      <c r="DD456" s="443"/>
      <c r="DE456" s="411"/>
      <c r="DF456" s="411"/>
      <c r="DG456" s="1116">
        <f t="shared" si="654"/>
        <v>0</v>
      </c>
      <c r="DH456" s="1116">
        <f t="shared" si="655"/>
        <v>0</v>
      </c>
      <c r="DI456" s="1116">
        <f t="shared" si="656"/>
        <v>0</v>
      </c>
      <c r="DJ456" s="442">
        <f t="shared" si="657"/>
        <v>0</v>
      </c>
      <c r="DK456" s="432">
        <f t="shared" si="658"/>
        <v>0</v>
      </c>
      <c r="DL456" s="424">
        <f t="shared" si="659"/>
        <v>0</v>
      </c>
      <c r="DM456" s="420">
        <f t="shared" si="660"/>
        <v>0</v>
      </c>
      <c r="DN456" s="420">
        <f t="shared" si="661"/>
        <v>0</v>
      </c>
      <c r="DO456" s="420">
        <f t="shared" si="662"/>
        <v>0</v>
      </c>
      <c r="DP456" s="433">
        <f t="shared" si="663"/>
        <v>0</v>
      </c>
      <c r="DQ456" s="1113" t="s">
        <v>635</v>
      </c>
      <c r="DR456" s="444">
        <f t="shared" si="664"/>
        <v>0.3</v>
      </c>
      <c r="DS456" s="1124"/>
      <c r="DT456" s="1093" t="s">
        <v>134</v>
      </c>
      <c r="DU456" s="1124"/>
      <c r="DV456" s="1098">
        <f>IF($P456="","N/A",IF(P456=-1,INDEX('卡片raw data'!AN:AN,MATCH(D456,'卡片raw data'!$F:$F,)),0)+IF(AND(L456&lt;&gt;"party卡",P456&lt;=2,P456&gt;=0),INDEX('卡片raw data'!AP:AP,MATCH(D456,'卡片raw data'!$F:$F,)),0)+IF(OR(AND(L456="party卡",P456&lt;=1),AND(P456&lt;=4,L456&lt;&gt;"party卡",P456&gt;=3)),INDEX('卡片raw data'!AQ:AQ,MATCH(D456,'卡片raw data'!$F:$F,)),0)+IF(OR(P456=5,AND(L456="party卡",P456&gt;=2)),INDEX('卡片raw data'!AR:AR,MATCH(D456,'卡片raw data'!$F:$F,)),0))</f>
        <v>0.32</v>
      </c>
      <c r="DW456" s="1098">
        <f t="shared" si="665"/>
        <v>0.3</v>
      </c>
      <c r="DX456" s="1098">
        <f t="shared" si="666"/>
        <v>0.3</v>
      </c>
      <c r="DY456" s="1097">
        <f t="shared" si="667"/>
        <v>435.215921252736</v>
      </c>
      <c r="DZ456" s="1097">
        <f t="shared" si="668"/>
        <v>376.46177188361662</v>
      </c>
      <c r="EA456" s="421">
        <f t="shared" si="669"/>
        <v>0</v>
      </c>
      <c r="EB456" s="445">
        <f t="shared" si="670"/>
        <v>0</v>
      </c>
      <c r="EC456" s="424">
        <f t="shared" si="671"/>
        <v>0</v>
      </c>
      <c r="ED456" s="420">
        <f t="shared" si="672"/>
        <v>0</v>
      </c>
      <c r="EE456" s="433">
        <f t="shared" si="598"/>
        <v>48435.03108962375</v>
      </c>
      <c r="EF456" s="1115" t="s">
        <v>569</v>
      </c>
      <c r="EG456" s="444">
        <f t="shared" si="673"/>
        <v>0.3</v>
      </c>
      <c r="EH456" s="450"/>
      <c r="EI456" s="1093"/>
      <c r="EJ456" s="1093"/>
      <c r="EK456" s="420">
        <f>IF($P456="","N/A",IF(P456=-1,INDEX('卡片raw data'!AS:AS,MATCH(D456,'卡片raw data'!$F:$F,)),0)+IF(AND(L456&lt;&gt;"party卡",P456&lt;=2,P456&gt;=0),INDEX('卡片raw data'!AU:AU,MATCH(D456,'卡片raw data'!$F:$F,)),0)+IF(OR(AND(L456="party卡",P456&lt;=1),AND(P456&lt;=4,L456&lt;&gt;"party卡",P456&gt;=3)),INDEX('卡片raw data'!AV:AV,MATCH(D456,'卡片raw data'!$F:$F,)),0)+IF(OR(P456=5,AND(L456="party卡",P456&gt;=2)),INDEX('卡片raw data'!AW:AW,MATCH(D456,'卡片raw data'!$F:$F,)),0))</f>
        <v>0</v>
      </c>
      <c r="EL456" s="1098">
        <f t="shared" si="674"/>
        <v>0.3</v>
      </c>
      <c r="EM456" s="1098">
        <f t="shared" si="675"/>
        <v>0.3</v>
      </c>
      <c r="EN456" s="1097">
        <f t="shared" si="676"/>
        <v>0</v>
      </c>
      <c r="EO456" s="1097">
        <f t="shared" si="677"/>
        <v>0</v>
      </c>
      <c r="EP456" s="421">
        <f t="shared" si="678"/>
        <v>0</v>
      </c>
      <c r="EQ456" s="445">
        <f t="shared" si="679"/>
        <v>0</v>
      </c>
      <c r="ER456" s="424">
        <f t="shared" si="680"/>
        <v>0</v>
      </c>
      <c r="ES456" s="420">
        <f t="shared" si="681"/>
        <v>0</v>
      </c>
      <c r="ET456" s="446">
        <f t="shared" si="599"/>
        <v>0</v>
      </c>
    </row>
    <row r="457" spans="2:150" ht="16.5" customHeight="1">
      <c r="B457" s="448" t="str">
        <f>INDEX('卡片raw data'!B:B,MATCH($D457,'卡片raw data'!$F:$F,))</f>
        <v>幼教璃</v>
      </c>
      <c r="C457" s="449" t="s">
        <v>2684</v>
      </c>
      <c r="D457" s="408">
        <v>454</v>
      </c>
      <c r="E457" s="477">
        <v>402093003</v>
      </c>
      <c r="F457" s="409" t="str">
        <f>INDEX('卡片raw data'!C:C,MATCH($D457,'卡片raw data'!$F:$F,))</f>
        <v>UR</v>
      </c>
      <c r="G457" s="1094" t="s">
        <v>2685</v>
      </c>
      <c r="H457" s="411">
        <f>IFERROR(INDEX(绊状态确认!C:C,MATCH($G457,绊状态确认!$B:$B,)),"")</f>
        <v>209</v>
      </c>
      <c r="I457" s="450" t="str">
        <f>IFERROR(INDEX(绊状态确认!D:D,MATCH($G457,绊状态确认!$B:$B,)),"")</f>
        <v>虹</v>
      </c>
      <c r="J457" s="450" t="str">
        <f>IFERROR(INDEX(绊状态确认!E:E,MATCH($G457,绊状态确认!$B:$B,)),"")</f>
        <v>1年级</v>
      </c>
      <c r="K457" s="451" t="str">
        <f>IFERROR(INDEX(绊状态确认!F:F,MATCH($G457,绊状态确认!$B:$B,)),"")</f>
        <v>QU4RTZ</v>
      </c>
      <c r="L457" s="414" t="str">
        <f>INDEX('卡片raw data'!E:E,MATCH($D457,'卡片raw data'!$F:$F,))</f>
        <v>卡池卡</v>
      </c>
      <c r="M457" s="478">
        <v>44320</v>
      </c>
      <c r="N457" s="479">
        <v>39</v>
      </c>
      <c r="O457" s="410" t="str">
        <f>INDEX('卡片raw data'!D:D,MATCH($D457,'卡片raw data'!$F:$F,))</f>
        <v>vo</v>
      </c>
      <c r="P457" s="1126">
        <v>5</v>
      </c>
      <c r="Q457" s="418">
        <f t="shared" si="600"/>
        <v>78148.300639057663</v>
      </c>
      <c r="R457" s="419">
        <f t="shared" si="601"/>
        <v>0.90800000000000003</v>
      </c>
      <c r="S457" s="420">
        <f t="shared" si="602"/>
        <v>20906.744568490172</v>
      </c>
      <c r="T457" s="421">
        <f t="shared" si="603"/>
        <v>1.0449999999999999</v>
      </c>
      <c r="U457" s="422">
        <f t="shared" si="604"/>
        <v>-15.139871266257142</v>
      </c>
      <c r="V457" s="423">
        <f t="shared" si="605"/>
        <v>77626.794797437848</v>
      </c>
      <c r="W457" s="424">
        <f t="shared" si="606"/>
        <v>6943.1432350315736</v>
      </c>
      <c r="X457" s="419">
        <f t="shared" si="607"/>
        <v>0.08</v>
      </c>
      <c r="Y457" s="420">
        <f t="shared" si="608"/>
        <v>783.16260862187391</v>
      </c>
      <c r="Z457" s="425">
        <f t="shared" si="609"/>
        <v>9.860128733742858</v>
      </c>
      <c r="AA457" s="426">
        <f t="shared" si="610"/>
        <v>7726.3058436534475</v>
      </c>
      <c r="AB457" s="424">
        <f t="shared" si="611"/>
        <v>9378.5649829371505</v>
      </c>
      <c r="AC457" s="427">
        <f t="shared" si="612"/>
        <v>0.109</v>
      </c>
      <c r="AD457" s="428">
        <f t="shared" si="613"/>
        <v>0</v>
      </c>
      <c r="AE457" s="516">
        <f t="shared" si="614"/>
        <v>0</v>
      </c>
      <c r="AF457" s="1130">
        <f t="shared" si="615"/>
        <v>0</v>
      </c>
      <c r="AG457" s="420">
        <f t="shared" si="616"/>
        <v>0</v>
      </c>
      <c r="AH457" s="420">
        <f t="shared" si="617"/>
        <v>0</v>
      </c>
      <c r="AI457" s="1097">
        <f t="shared" si="618"/>
        <v>0</v>
      </c>
      <c r="AJ457" s="420">
        <f t="shared" si="619"/>
        <v>0</v>
      </c>
      <c r="AK457" s="518">
        <f t="shared" si="620"/>
        <v>0</v>
      </c>
      <c r="AL457" s="1106">
        <f>IF($P457="","N/A",(IF($P457=-1,INDEX('卡片raw data'!S:S,MATCH($D457,'卡片raw data'!$F:$F,)),0)+IF($P457=0,INDEX('卡片raw data'!V:V,MATCH($D457,'卡片raw data'!$F:$F,)),0)+IF($P457=1,INDEX('卡片raw data'!Y:Y,MATCH($D457,'卡片raw data'!$F:$F,)),0)+IF($P457=2,INDEX('卡片raw data'!AB:AB,MATCH($D457,'卡片raw data'!$F:$F,)),0)+IF($P457=3,INDEX('卡片raw data'!AE:AE,MATCH($D457,'卡片raw data'!$F:$F,)),0)+IF($P457=4,INDEX('卡片raw data'!AH:AH,MATCH($D457,'卡片raw data'!$F:$F,)),0)+IF($P457=5,INDEX('卡片raw data'!AK:AK,MATCH($D457,'卡片raw data'!$F:$F,)),0)+INDEX('卡片raw data'!S:S,MATCH($D457,'卡片raw data'!$F:$F,))*(IF($F457="UR",0.04,0.033))*(IF($F457="UR",INDEX(绊状态确认!$S:$S,MATCH($G457,绊状态确认!$B:$B,))/2-40)+IF($F457="SR",INDEX(绊状态确认!$R:$R,MATCH($G457,绊状态确认!$B:$B,))/4-15))+IF($F457="R",INDEX(绊状态确认!$Q:$Q,MATCH($G457,绊状态确认!$B:$B,))/6-40/6)))*(INDEX(绊状态确认!$H:$H,MATCH($G457,绊状态确认!$B:$B,))+INDEX(绊状态确认!J:J,MATCH($G457,绊状态确认!$B:$B,)))</f>
        <v>16485.709343999995</v>
      </c>
      <c r="AM457" s="1106">
        <f>IF($P457="","N/A",(IF($P457=-1,INDEX('卡片raw data'!T:T,MATCH($D457,'卡片raw data'!$F:$F,)),0)+IF($P457=0,INDEX('卡片raw data'!W:W,MATCH($D457,'卡片raw data'!$F:$F,)),0)+IF($P457=1,INDEX('卡片raw data'!Z:Z,MATCH($D457,'卡片raw data'!$F:$F,)),0)+IF($P457=2,INDEX('卡片raw data'!AC:AC,MATCH($D457,'卡片raw data'!$F:$F,)),0)+IF($P457=3,INDEX('卡片raw data'!AF:AF,MATCH($D457,'卡片raw data'!$F:$F,)),0)+IF($P457=4,INDEX('卡片raw data'!AI:AI,MATCH($D457,'卡片raw data'!$F:$F,)),0)+IF($P457=5,INDEX('卡片raw data'!AL:AL,MATCH($D457,'卡片raw data'!$F:$F,)),0)+INDEX('卡片raw data'!T:T,MATCH($D457,'卡片raw data'!$F:$F,))*(IF($F457="UR",0.04,0.033))*(IF($F457="UR",INDEX(绊状态确认!$S:$S,MATCH($G457,绊状态确认!$B:$B,))/2-40)+IF($F457="SR",INDEX(绊状态确认!$R:$R,MATCH($G457,绊状态确认!$B:$B,))/4-15))+IF($F457="R",INDEX(绊状态确认!$Q:$Q,MATCH($G457,绊状态确认!$B:$B,))/6-40/6)))*(INDEX(绊状态确认!$H:$H,MATCH($G457,绊状态确认!$B:$B,))+INDEX(绊状态确认!K:K,MATCH($G457,绊状态确认!$B:$B,)))</f>
        <v>4761.0159839999997</v>
      </c>
      <c r="AN457" s="1106">
        <f>IF($P457="","N/A",(IF($P457=-1,INDEX('卡片raw data'!U:U,MATCH($D457,'卡片raw data'!$F:$F,)),0)+IF($P457=0,INDEX('卡片raw data'!X:X,MATCH($D457,'卡片raw data'!$F:$F,)),0)+IF($P457=1,INDEX('卡片raw data'!AA:AA,MATCH($D457,'卡片raw data'!$F:$F,)),0)+IF($P457=2,INDEX('卡片raw data'!AD:AD,MATCH($D457,'卡片raw data'!$F:$F,)),0)+IF($P457=3,INDEX('卡片raw data'!AG:AG,MATCH($D457,'卡片raw data'!$F:$F,)),0)+IF($P457=4,INDEX('卡片raw data'!AJ:AJ,MATCH($D457,'卡片raw data'!$F:$F,)),0)+IF($P457=5,INDEX('卡片raw data'!AM:AM,MATCH($D457,'卡片raw data'!$F:$F,)),0)+INDEX('卡片raw data'!U:U,MATCH($D457,'卡片raw data'!$F:$F,))*(IF($F457="UR",0.04,0.033))*(IF($F457="UR",INDEX(绊状态确认!$S:$S,MATCH($G457,绊状态确认!$B:$B,))/2-40)+IF($F457="SR",INDEX(绊状态确认!$R:$R,MATCH($G457,绊状态确认!$B:$B,))/4-15))+IF($F457="R",INDEX(绊状态确认!$Q:$Q,MATCH($G457,绊状态确认!$B:$B,))/6-40/6)))*(INDEX(绊状态确认!$H:$H,MATCH($G457,绊状态确认!$B:$B,))+INDEX(绊状态确认!L:L,MATCH($G457,绊状态确认!$B:$B,)))</f>
        <v>15387.310559999998</v>
      </c>
      <c r="AO457" s="1107">
        <f t="shared" si="621"/>
        <v>1</v>
      </c>
      <c r="AP457" s="1131">
        <f>1+(INDEX(绊状态确认!$T:$T,MATCH($G457,绊状态确认!$B:$B,))+0.2)*$AO457</f>
        <v>1.3</v>
      </c>
      <c r="AQ457" s="1108">
        <f t="shared" si="622"/>
        <v>46524.987027999989</v>
      </c>
      <c r="AR457" s="1097">
        <f>(AM457*(1+$EX$9)+$EX$35)*(1+(INDEX(绊状态确认!$T:$T,MATCH($G457,绊状态确认!$B:$B,))+0.2)*AO457)*IF(J457=$FF$17,1+$FE$17,1)*IF(I457=$FF$14,1+$FE$14,1)</f>
        <v>9202.7868181600006</v>
      </c>
      <c r="AS457" s="1097">
        <f>(AN457*(1+$EX$10)+$EX$36)*(1+(INDEX(绊状态确认!$T:$T,MATCH($G457,绊状态确认!$B:$B,))+0.2)*AO457)*IF(J457=$FF$17,1+$FE$17,1)*IF(I457=$FF$14,1+$FE$14,1)</f>
        <v>27060.029287199995</v>
      </c>
      <c r="AT457" s="1093">
        <f>IF(AND(INDEX('卡片raw data'!AK:AK,MATCH($D457,'卡片raw data'!$F:$F,))&lt;INDEX('卡片raw data'!AM:AM,MATCH($D457,'卡片raw data'!$F:$F,)),INDEX('卡片raw data'!AL:AL,MATCH($D457,'卡片raw data'!$F:$F,))&lt;INDEX('卡片raw data'!AM:AM,MATCH($D457,'卡片raw data'!$F:$F,))),1,0)</f>
        <v>0</v>
      </c>
      <c r="AU457" s="1098">
        <f>MIN(AT457*0.15+AS457*0.00003+INDEX(绊状态确认!M:M,MATCH($G457,绊状态确认!$B:$B,)),1)</f>
        <v>0.84180087861599995</v>
      </c>
      <c r="AV457" s="1109">
        <f>(INDEX(绊状态确认!$N:$N,MATCH($G457,绊状态确认!$B:$B,))+1.5)*$EW$21</f>
        <v>2.6599999999999997</v>
      </c>
      <c r="AW457" s="1101">
        <f t="shared" si="623"/>
        <v>57927.157214185921</v>
      </c>
      <c r="AX457" s="1097">
        <f t="shared" si="624"/>
        <v>783.16260862187414</v>
      </c>
      <c r="AY457" s="1110">
        <f t="shared" si="625"/>
        <v>58710.319822807796</v>
      </c>
      <c r="AZ457" s="429">
        <f t="shared" si="626"/>
        <v>34747.133220799995</v>
      </c>
      <c r="BA457" s="431">
        <f t="shared" si="627"/>
        <v>41696.559864959992</v>
      </c>
      <c r="BB457" s="1097">
        <f>(AM457*(1+$FB$9)+$FB$35)*(1+(INDEX(绊状态确认!$T:$T,MATCH($G457,绊状态确认!$B:$B,))+0.2)*AO457)*IF(J457=$FF$17,1+$FE$17,1)*IF(I457=$FF$14,1+$FE$14,1)*(1+$FE$15)</f>
        <v>9202.7868181600006</v>
      </c>
      <c r="BC457" s="1097">
        <f>(AN457*(1+$FB$10)+$FB$36)*(1+(INDEX(绊状态确认!$T:$T,MATCH($G457,绊状态确认!$B:$B,))+0.2)*AO457)*IF(J457=$FF$17,1+$FE$17,1)*IF(I457=$FF$14,1+$FE$14,1)*(1+$FE$15)</f>
        <v>27060.029287199995</v>
      </c>
      <c r="BD457" s="1104">
        <f>MIN(AT457*0.15+BC457*0.00003+INDEX(绊状态确认!M:M,MATCH($G457,绊状态确认!$B:$B,)),1)</f>
        <v>0.84180087861599995</v>
      </c>
      <c r="BE457" s="432">
        <f>(INDEX(绊状态确认!$N:$N,MATCH($G457,绊状态确认!$B:$B,))+1.5)</f>
        <v>1.9</v>
      </c>
      <c r="BF457" s="1139">
        <f t="array" ref="BF457">SUMPRODUCT(IF(AZ457*AP457*$FI$16:$FI$23*$FA$22&gt;=$FI$24,$FI$24,AZ457*AP457*$FI$16:$FI$23*$FA$22),$FJ$16:$FJ$23)</f>
        <v>59292.818296760001</v>
      </c>
      <c r="BG457" s="1125">
        <f t="array" ref="BG457">SUMPRODUCT(IF(BE457*AZ457*AP457*$FI$16:$FI$23*$FA$22&gt;=$FI$24,$FI$24,BE457*AZ457*AP457*$FI$16:$FI$23*$FA$22),$FJ$16:$FJ$23)</f>
        <v>60000</v>
      </c>
      <c r="BH457" s="1110">
        <f t="shared" si="628"/>
        <v>19962.708158629528</v>
      </c>
      <c r="BI457" s="1111">
        <f>IF(O457="vo",$EW$26/$EW$24*0.05,0)+IF(O457="sk",-$EW$26/$EW$24*(0.05-INDEX(绊状态确认!W:W,MATCH($G457,绊状态确认!$B:$B,)))+0.05*$EW$28,0)+IF(O457="sp",0.05*$EW$32*$EW$30*(1-$EW$33)-(0.05-INDEX(绊状态确认!V:V,MATCH($G457,绊状态确认!$B:$B,)))*$EW$28,0)+IF(O457="gd",-(0.05-INDEX(绊状态确认!X:X,MATCH($G457,绊状态确认!$B:$B,)))*$EW$32*$EW$30*(1-$EW$33),0)</f>
        <v>7726.3029277443748</v>
      </c>
      <c r="BJ457" s="420">
        <f>IF(O457="vo",0.05*(1-$FI$26)*$FA$24,0)+IF(O457="sk",-(0.05-INDEX(绊状态确认!W:W,MATCH($G457,绊状态确认!$B:$B,)))*(1-$FI$26)*$FA$24+0.05*$FA$26,0)+IF(O457="sp",0.05*$FA$32*$FA$27*(1-$FA$33)/$FA$30+0.05*$FA$29/$FA$69*$FA$27*(1-$FA$33)-(0.05-INDEX(绊状态确认!V:V,MATCH($G457,绊状态确认!$B:$B,)))*$FA$26,0)+IF(O457="gd",-(0.05-INDEX(绊状态确认!X:X,MATCH($G457,绊状态确认!$B:$B,)))*$FA$32*$FA$27*(1-$FA$33)/$FA$30-(0.05-INDEX(绊状态确认!X:X,MATCH($G457,绊状态确认!$B:$B,)))*$FA$29/$FA$69*$FA$27*(1-$FA$33),0)</f>
        <v>393.93433687500004</v>
      </c>
      <c r="BK457" s="1110">
        <f>IF(O457="vo",$EW$26/$EW$24*0.05+$EW$26*(-HP($EW$62,$EW$65,$EW$64)+HP($EW$62,$EW$65,(1.05-INDEX(绊状态确认!U:U,MATCH($G457,绊状态确认!$B:$B,)))*$EW$64)),0)+IF(O457="sk",-$EW$26/$EW$24*(0.05-INDEX(绊状态确认!W:W,MATCH($G457,绊状态确认!$B:$B,)))+0.05*$EW$29,0)+IF(O457="sp",0.05*$EW$32*$EW$30*(1-$EW$33)-(0.05-INDEX(绊状态确认!V:V,MATCH($G457,绊状态确认!$B:$B,)))*$EW$29,0)+IF(O457="gd",-(0.05-INDEX(绊状态确认!X:X,MATCH($G457,绊状态确认!$B:$B,)))*$EW$32*$EW$30*(1-$EW$33)+$EW$26*(-HP($EW$62,$EW$65,$EW$64)+HP($EW$62,$EW$65,0.95*$EW$64)),0)</f>
        <v>6421.6344775026746</v>
      </c>
      <c r="BL457" s="1111">
        <f t="shared" si="629"/>
        <v>0</v>
      </c>
      <c r="BM457" s="1110">
        <f t="shared" si="630"/>
        <v>0</v>
      </c>
      <c r="BN457" s="1113">
        <f t="shared" si="631"/>
        <v>3</v>
      </c>
      <c r="BO457" s="1108">
        <f t="shared" si="632"/>
        <v>4507.7214871259994</v>
      </c>
      <c r="BP457" s="1100">
        <f t="shared" si="633"/>
        <v>221.34103209030098</v>
      </c>
      <c r="BQ457" s="1113" t="s">
        <v>132</v>
      </c>
      <c r="BR457" s="1124" t="s">
        <v>171</v>
      </c>
      <c r="BS457" s="421">
        <f>IF($P457="","N/A",IF($P457=-1,INDEX('卡片raw data'!AX:AX,MATCH($D457,'卡片raw data'!$F:$F,)),0)+IF($L457="party卡",IF($P457=5,INDEX('卡片raw data'!BD:BD,MATCH($D457,'卡片raw data'!$F:$F,)),IF($P457&gt;=3,INDEX('卡片raw data'!BC:BC,MATCH($D457,'卡片raw data'!$F:$F,)),INDEX('卡片raw data'!BB:BB,MATCH($D457,'卡片raw data'!$F:$F,)))),IF(OR(AND($F457="UR",$P457=0),AND($F457="SR",$P457&gt;=0,$P457&lt;=2),AND($F457="R",$P457&gt;=0,$P457&lt;4)),INDEX('卡片raw data'!AZ:AZ,MATCH($D457,'卡片raw data'!$F:$F,)),0)+IF(OR(AND($F457="UR",$P457&gt;=1,$P457&lt;=4),AND($F457="SR",$P457&lt;=4,$P457&gt;=3),AND($F457="R",$P457=4)),INDEX('卡片raw data'!BA:BA,MATCH($D457,'卡片raw data'!$F:$F,)),0)+IF($P457=5,INDEX('卡片raw data'!BB:BB,MATCH($D457,'卡片raw data'!$F:$F,)),0)))</f>
        <v>5.1999999999999998E-2</v>
      </c>
      <c r="BT457" s="424">
        <f t="shared" si="634"/>
        <v>2604.4613036728001</v>
      </c>
      <c r="BU457" s="420">
        <f t="shared" si="635"/>
        <v>111.90018844565216</v>
      </c>
      <c r="BV457" s="420">
        <f t="shared" si="636"/>
        <v>1302.2306518363998</v>
      </c>
      <c r="BW457" s="436">
        <f t="shared" si="637"/>
        <v>0</v>
      </c>
      <c r="BX457" s="423">
        <f t="shared" si="638"/>
        <v>2604.4613036728001</v>
      </c>
      <c r="BY457" s="433">
        <f t="shared" si="639"/>
        <v>1302.2306518363998</v>
      </c>
      <c r="BZ457" s="1113" t="s">
        <v>569</v>
      </c>
      <c r="CA457" s="450"/>
      <c r="CB457" s="421">
        <f>IF($P457="","N/A",IF($P457=-1,INDEX('卡片raw data'!BE:BE,MATCH($D457,'卡片raw data'!$F:$F,)),0)+IF($L457="party卡",IF($P457=5,INDEX('卡片raw data'!BK:BK,MATCH($D457,'卡片raw data'!$F:$F,)),IF($P457&gt;=3,INDEX('卡片raw data'!BJ:BJ,MATCH($D457,'卡片raw data'!$F:$F,)),INDEX('卡片raw data'!BI:BI,MATCH($D457,'卡片raw data'!$F:$F,)))),IF(OR(AND($F457="UR",$P457=0),AND($F457="SR",$P457&gt;=0,$P457&lt;=2),AND($F457="R",$P457&gt;=0,$P457&lt;4)),INDEX('卡片raw data'!BG:BG,MATCH($D457,'卡片raw data'!$F:$F,)),0)+IF(OR(AND($F457="UR",$P457&gt;=1,$P457&lt;=4),AND($F457="SR",$P457&lt;=4,$P457&gt;=3),AND($F457="R",$P457=4)),INDEX('卡片raw data'!BH:BH,MATCH($D457,'卡片raw data'!$F:$F,)),0)+IF($P457=5,INDEX('卡片raw data'!BI:BI,MATCH($D457,'卡片raw data'!$F:$F,)),0)))</f>
        <v>0</v>
      </c>
      <c r="CC457" s="424">
        <f t="shared" si="640"/>
        <v>0</v>
      </c>
      <c r="CD457" s="420">
        <f>IF(BZ457="ap",CB457*(1-$FI$26)*$FB$5/$FB$11*(+IF(CA457="全员",$FA$24,0)+IF(CA457="同作战",$FA$24,0)+IF(CA457="仲间",$FA$24*2/3,0)+IF(CA457="同属性",$FA$24*$FA$37/3,0)+IF(CA457="同年级",$FA$24*$FA$40/3,0)+IF(CA457="同学校",$FA$24*$FA$43/3,0)+IF(CA457="同小队",$FA$24*$FA$46/3,0)+IF(CA457="同type",$FA$24*INDEX($FB$49:$FB$52,MATCH(X457,$FA$49:$FA$52,))/3,0)+IF(CA457="自身",#REF!/3,0)),0)+IF(BZ457="te",CB457*(1-$FI$27)*($FA$20-1)*$FB$7/$FB$13*(+IF(CA457="全员",$FA$19*$FA$24/(1+($FA$20-1)*$FA$19),0)+IF(CA457="同作战",$FA$19*$FA$24/(1+($FA$20-1)*$FA$19),0)+IF(CA457="仲间",$FA$19*$FA$24*2/3/(1+($FA$20-1)*$FA$19),0)+IF(CA457="同属性",$FA$19*$FA$24*$FA$37/3/(1+($FA$20-1)*$FA$19),0)+IF(CA457="同年级",$FA$19*$FA$24*$FA$40/3/(1+($FA$20-1)*$FA$19),0)+IF(CA457="同学校",$FA$19*$FA$24*$FA$43/3/(1+($FA$20-1)*$FA$19),0)+IF(CA457="同小队",$FA$19*$FA$24*$FA$46/3/(1+($FA$20-1)*$FA$19),0)+IF(CA457="同type",$FA$19*$FA$24*INDEX($FB$49:$FB$52,MATCH(X457,$FA$49:$FA$52,))/3/(1+($FA$20-1)*$FA$19),0)+IF(CA457="自身",$FA$19*#REF!/3/(1+(BH457-1)*$BD457),0)),0)</f>
        <v>0</v>
      </c>
      <c r="CE457" s="420">
        <f t="shared" si="641"/>
        <v>0</v>
      </c>
      <c r="CF457" s="436">
        <f t="shared" si="642"/>
        <v>0</v>
      </c>
      <c r="CG457" s="423">
        <f t="shared" si="643"/>
        <v>0</v>
      </c>
      <c r="CH457" s="433">
        <f t="shared" si="644"/>
        <v>0</v>
      </c>
      <c r="CI457" s="437" t="s">
        <v>165</v>
      </c>
      <c r="CJ457" s="438">
        <v>1</v>
      </c>
      <c r="CK457" s="439" t="s">
        <v>2074</v>
      </c>
      <c r="CL457" s="1115" t="s">
        <v>2075</v>
      </c>
      <c r="CM457" s="1119">
        <v>0.02</v>
      </c>
      <c r="CN457" s="1115" t="s">
        <v>163</v>
      </c>
      <c r="CO457" s="1115"/>
      <c r="CP457" s="1118">
        <f t="shared" si="645"/>
        <v>1.3333333333333332E-2</v>
      </c>
      <c r="CQ457" s="1118">
        <f t="shared" si="646"/>
        <v>1.1666666666666667E-2</v>
      </c>
      <c r="CR457" s="1118">
        <f t="shared" si="647"/>
        <v>6.6666666666666662E-3</v>
      </c>
      <c r="CS457" s="442">
        <f t="shared" si="648"/>
        <v>0</v>
      </c>
      <c r="CT457" s="432">
        <f t="shared" si="649"/>
        <v>0</v>
      </c>
      <c r="CU457" s="1101">
        <f t="shared" si="650"/>
        <v>2266.3821921383501</v>
      </c>
      <c r="CV457" s="1108">
        <f t="shared" si="682"/>
        <v>91.918011937500012</v>
      </c>
      <c r="CW457" s="420">
        <f t="shared" si="651"/>
        <v>1133.191096069175</v>
      </c>
      <c r="CX457" s="420">
        <f t="shared" si="652"/>
        <v>2266.3821921383501</v>
      </c>
      <c r="CY457" s="433">
        <f t="shared" si="653"/>
        <v>1133.191096069175</v>
      </c>
      <c r="CZ457" s="437"/>
      <c r="DA457" s="438"/>
      <c r="DB457" s="439" t="s">
        <v>569</v>
      </c>
      <c r="DC457" s="439"/>
      <c r="DD457" s="443"/>
      <c r="DE457" s="411"/>
      <c r="DF457" s="411"/>
      <c r="DG457" s="1116">
        <f t="shared" si="654"/>
        <v>0</v>
      </c>
      <c r="DH457" s="1116">
        <f t="shared" si="655"/>
        <v>0</v>
      </c>
      <c r="DI457" s="1116">
        <f t="shared" si="656"/>
        <v>0</v>
      </c>
      <c r="DJ457" s="442">
        <f t="shared" si="657"/>
        <v>0</v>
      </c>
      <c r="DK457" s="432">
        <f t="shared" si="658"/>
        <v>0</v>
      </c>
      <c r="DL457" s="424">
        <f t="shared" si="659"/>
        <v>0</v>
      </c>
      <c r="DM457" s="420">
        <f t="shared" si="660"/>
        <v>0</v>
      </c>
      <c r="DN457" s="420">
        <f t="shared" si="661"/>
        <v>0</v>
      </c>
      <c r="DO457" s="420">
        <f t="shared" si="662"/>
        <v>0</v>
      </c>
      <c r="DP457" s="433">
        <f t="shared" si="663"/>
        <v>0</v>
      </c>
      <c r="DQ457" s="437" t="s">
        <v>2074</v>
      </c>
      <c r="DR457" s="1120">
        <f t="shared" si="664"/>
        <v>0.33</v>
      </c>
      <c r="DS457" s="1124">
        <v>3</v>
      </c>
      <c r="DT457" s="1124" t="s">
        <v>2686</v>
      </c>
      <c r="DU457" s="1124" t="s">
        <v>2145</v>
      </c>
      <c r="DV457" s="1098">
        <f>IF($P457="","N/A",IF(P457=-1,INDEX('卡片raw data'!AN:AN,MATCH(D457,'卡片raw data'!$F:$F,)),0)+IF(AND(L457&lt;&gt;"party卡",P457&lt;=2,P457&gt;=0),INDEX('卡片raw data'!AP:AP,MATCH(D457,'卡片raw data'!$F:$F,)),0)+IF(OR(AND(L457="party卡",P457&lt;=1),AND(P457&lt;=4,L457&lt;&gt;"party卡",P457&gt;=3)),INDEX('卡片raw data'!AQ:AQ,MATCH(D457,'卡片raw data'!$F:$F,)),0)+IF(OR(P457=5,AND(L457="party卡",P457&gt;=2)),INDEX('卡片raw data'!AR:AR,MATCH(D457,'卡片raw data'!$F:$F,)),0))</f>
        <v>0.1</v>
      </c>
      <c r="DW457" s="1098">
        <f t="shared" si="665"/>
        <v>0.33</v>
      </c>
      <c r="DX457" s="1098">
        <f t="shared" si="666"/>
        <v>0.33</v>
      </c>
      <c r="DY457" s="1098">
        <f t="shared" si="667"/>
        <v>1.8333333333333337E-2</v>
      </c>
      <c r="DZ457" s="1098">
        <f t="shared" si="668"/>
        <v>1.5858333333333335E-2</v>
      </c>
      <c r="EA457" s="421">
        <f t="shared" si="669"/>
        <v>0</v>
      </c>
      <c r="EB457" s="445">
        <f t="shared" si="670"/>
        <v>0</v>
      </c>
      <c r="EC457" s="424">
        <f t="shared" si="671"/>
        <v>3116.2755141902321</v>
      </c>
      <c r="ED457" s="420">
        <f t="shared" si="672"/>
        <v>124.94284051218752</v>
      </c>
      <c r="EE457" s="433">
        <f t="shared" si="598"/>
        <v>3116.2755141902321</v>
      </c>
      <c r="EF457" s="1115" t="s">
        <v>569</v>
      </c>
      <c r="EG457" s="1120">
        <f t="shared" si="673"/>
        <v>0.33</v>
      </c>
      <c r="EH457" s="450"/>
      <c r="EI457" s="1093"/>
      <c r="EJ457" s="1093"/>
      <c r="EK457" s="420">
        <f>IF($P457="","N/A",IF(P457=-1,INDEX('卡片raw data'!AS:AS,MATCH(D457,'卡片raw data'!$F:$F,)),0)+IF(AND(L457&lt;&gt;"party卡",P457&lt;=2,P457&gt;=0),INDEX('卡片raw data'!AU:AU,MATCH(D457,'卡片raw data'!$F:$F,)),0)+IF(OR(AND(L457="party卡",P457&lt;=1),AND(P457&lt;=4,L457&lt;&gt;"party卡",P457&gt;=3)),INDEX('卡片raw data'!AV:AV,MATCH(D457,'卡片raw data'!$F:$F,)),0)+IF(OR(P457=5,AND(L457="party卡",P457&gt;=2)),INDEX('卡片raw data'!AW:AW,MATCH(D457,'卡片raw data'!$F:$F,)),0))</f>
        <v>0</v>
      </c>
      <c r="EL457" s="1098">
        <f t="shared" si="674"/>
        <v>0.33</v>
      </c>
      <c r="EM457" s="1098">
        <f t="shared" si="675"/>
        <v>0.33</v>
      </c>
      <c r="EN457" s="1097">
        <f t="shared" si="676"/>
        <v>0</v>
      </c>
      <c r="EO457" s="1097">
        <f t="shared" si="677"/>
        <v>0</v>
      </c>
      <c r="EP457" s="421">
        <f t="shared" si="678"/>
        <v>0</v>
      </c>
      <c r="EQ457" s="445">
        <f t="shared" si="679"/>
        <v>0</v>
      </c>
      <c r="ER457" s="424">
        <f t="shared" si="680"/>
        <v>0</v>
      </c>
      <c r="ES457" s="420">
        <f t="shared" si="681"/>
        <v>0</v>
      </c>
      <c r="ET457" s="446">
        <f t="shared" si="599"/>
        <v>0</v>
      </c>
    </row>
    <row r="458" spans="2:150" ht="16.5" customHeight="1">
      <c r="B458" s="448" t="str">
        <f>INDEX('卡片raw data'!B:B,MATCH($D458,'卡片raw data'!$F:$F,))</f>
        <v>幼教海</v>
      </c>
      <c r="C458" s="449" t="s">
        <v>2697</v>
      </c>
      <c r="D458" s="408">
        <v>455</v>
      </c>
      <c r="E458" s="477">
        <v>400043005</v>
      </c>
      <c r="F458" s="409" t="str">
        <f>INDEX('卡片raw data'!C:C,MATCH($D458,'卡片raw data'!$F:$F,))</f>
        <v>UR</v>
      </c>
      <c r="G458" s="1094" t="s">
        <v>2698</v>
      </c>
      <c r="H458" s="411">
        <f>IFERROR(INDEX(绊状态确认!C:C,MATCH($G458,绊状态确认!$B:$B,)),"")</f>
        <v>4</v>
      </c>
      <c r="I458" s="450" t="str">
        <f>IFERROR(INDEX(绊状态确认!D:D,MATCH($G458,绊状态确认!$B:$B,)),"")</f>
        <v>缪</v>
      </c>
      <c r="J458" s="450" t="str">
        <f>IFERROR(INDEX(绊状态确认!E:E,MATCH($G458,绊状态确认!$B:$B,)),"")</f>
        <v>2年级</v>
      </c>
      <c r="K458" s="451" t="str">
        <f>IFERROR(INDEX(绊状态确认!F:F,MATCH($G458,绊状态确认!$B:$B,)),"")</f>
        <v>lilywhite</v>
      </c>
      <c r="L458" s="414" t="str">
        <f>INDEX('卡片raw data'!E:E,MATCH($D458,'卡片raw data'!$F:$F,))</f>
        <v>活动卡</v>
      </c>
      <c r="M458" s="478">
        <v>44320</v>
      </c>
      <c r="N458" s="479">
        <v>39</v>
      </c>
      <c r="O458" s="410" t="str">
        <f>INDEX('卡片raw data'!D:D,MATCH($D458,'卡片raw data'!$F:$F,))</f>
        <v>sk</v>
      </c>
      <c r="P458" s="1126">
        <v>5</v>
      </c>
      <c r="Q458" s="418">
        <f t="shared" si="600"/>
        <v>41341.334060100817</v>
      </c>
      <c r="R458" s="419">
        <f t="shared" si="601"/>
        <v>0.48</v>
      </c>
      <c r="S458" s="420">
        <f t="shared" si="602"/>
        <v>19669.251726616854</v>
      </c>
      <c r="T458" s="421">
        <f t="shared" si="603"/>
        <v>0.98299999999999998</v>
      </c>
      <c r="U458" s="422">
        <f t="shared" si="604"/>
        <v>15.260715751542856</v>
      </c>
      <c r="V458" s="423">
        <f t="shared" si="605"/>
        <v>44566.954732361832</v>
      </c>
      <c r="W458" s="424">
        <f t="shared" si="606"/>
        <v>5946.3157753260348</v>
      </c>
      <c r="X458" s="419">
        <f t="shared" si="607"/>
        <v>6.9000000000000006E-2</v>
      </c>
      <c r="Y458" s="420">
        <f t="shared" si="608"/>
        <v>1225.6206722610123</v>
      </c>
      <c r="Z458" s="425">
        <f t="shared" si="609"/>
        <v>15.260715751542856</v>
      </c>
      <c r="AA458" s="426">
        <f t="shared" si="610"/>
        <v>7171.936447587047</v>
      </c>
      <c r="AB458" s="424">
        <f t="shared" si="611"/>
        <v>6950.8331795806062</v>
      </c>
      <c r="AC458" s="427">
        <f t="shared" si="612"/>
        <v>0.08</v>
      </c>
      <c r="AD458" s="428">
        <f t="shared" si="613"/>
        <v>2.710785984848485E-2</v>
      </c>
      <c r="AE458" s="516">
        <f t="shared" si="614"/>
        <v>14.55079834526475</v>
      </c>
      <c r="AF458" s="1130">
        <f t="shared" si="615"/>
        <v>0</v>
      </c>
      <c r="AG458" s="420">
        <f t="shared" si="616"/>
        <v>0</v>
      </c>
      <c r="AH458" s="420">
        <f t="shared" si="617"/>
        <v>0</v>
      </c>
      <c r="AI458" s="1097">
        <f t="shared" si="618"/>
        <v>0</v>
      </c>
      <c r="AJ458" s="420">
        <f t="shared" si="619"/>
        <v>0</v>
      </c>
      <c r="AK458" s="518">
        <f t="shared" si="620"/>
        <v>0</v>
      </c>
      <c r="AL458" s="1106">
        <f>IF($P458="","N/A",(IF($P458=-1,INDEX('卡片raw data'!S:S,MATCH($D458,'卡片raw data'!$F:$F,)),0)+IF($P458=0,INDEX('卡片raw data'!V:V,MATCH($D458,'卡片raw data'!$F:$F,)),0)+IF($P458=1,INDEX('卡片raw data'!Y:Y,MATCH($D458,'卡片raw data'!$F:$F,)),0)+IF($P458=2,INDEX('卡片raw data'!AB:AB,MATCH($D458,'卡片raw data'!$F:$F,)),0)+IF($P458=3,INDEX('卡片raw data'!AE:AE,MATCH($D458,'卡片raw data'!$F:$F,)),0)+IF($P458=4,INDEX('卡片raw data'!AH:AH,MATCH($D458,'卡片raw data'!$F:$F,)),0)+IF($P458=5,INDEX('卡片raw data'!AK:AK,MATCH($D458,'卡片raw data'!$F:$F,)),0)+INDEX('卡片raw data'!S:S,MATCH($D458,'卡片raw data'!$F:$F,))*(IF($F458="UR",0.04,0.033))*(IF($F458="UR",INDEX(绊状态确认!$S:$S,MATCH($G458,绊状态确认!$B:$B,))/2-40)+IF($F458="SR",INDEX(绊状态确认!$R:$R,MATCH($G458,绊状态确认!$B:$B,))/4-15))+IF($F458="R",INDEX(绊状态确认!$Q:$Q,MATCH($G458,绊状态确认!$B:$B,))/6-40/6)))*(INDEX(绊状态确认!$H:$H,MATCH($G458,绊状态确认!$B:$B,))+INDEX(绊状态确认!J:J,MATCH($G458,绊状态确认!$B:$B,)))</f>
        <v>12211.345295999998</v>
      </c>
      <c r="AM458" s="1106">
        <f>IF($P458="","N/A",(IF($P458=-1,INDEX('卡片raw data'!T:T,MATCH($D458,'卡片raw data'!$F:$F,)),0)+IF($P458=0,INDEX('卡片raw data'!W:W,MATCH($D458,'卡片raw data'!$F:$F,)),0)+IF($P458=1,INDEX('卡片raw data'!Z:Z,MATCH($D458,'卡片raw data'!$F:$F,)),0)+IF($P458=2,INDEX('卡片raw data'!AC:AC,MATCH($D458,'卡片raw data'!$F:$F,)),0)+IF($P458=3,INDEX('卡片raw data'!AF:AF,MATCH($D458,'卡片raw data'!$F:$F,)),0)+IF($P458=4,INDEX('卡片raw data'!AI:AI,MATCH($D458,'卡片raw data'!$F:$F,)),0)+IF($P458=5,INDEX('卡片raw data'!AL:AL,MATCH($D458,'卡片raw data'!$F:$F,)),0)+INDEX('卡片raw data'!T:T,MATCH($D458,'卡片raw data'!$F:$F,))*(IF($F458="UR",0.04,0.033))*(IF($F458="UR",INDEX(绊状态确认!$S:$S,MATCH($G458,绊状态确认!$B:$B,))/2-40)+IF($F458="SR",INDEX(绊状态确认!$R:$R,MATCH($G458,绊状态确认!$B:$B,))/4-15))+IF($F458="R",INDEX(绊状态确认!$Q:$Q,MATCH($G458,绊状态确认!$B:$B,))/6-40/6)))*(INDEX(绊状态确认!$H:$H,MATCH($G458,绊状态确认!$B:$B,))+INDEX(绊状态确认!K:K,MATCH($G458,绊状态确认!$B:$B,)))</f>
        <v>8453.7250559999993</v>
      </c>
      <c r="AN458" s="1106">
        <f>IF($P458="","N/A",(IF($P458=-1,INDEX('卡片raw data'!U:U,MATCH($D458,'卡片raw data'!$F:$F,)),0)+IF($P458=0,INDEX('卡片raw data'!X:X,MATCH($D458,'卡片raw data'!$F:$F,)),0)+IF($P458=1,INDEX('卡片raw data'!AA:AA,MATCH($D458,'卡片raw data'!$F:$F,)),0)+IF($P458=2,INDEX('卡片raw data'!AD:AD,MATCH($D458,'卡片raw data'!$F:$F,)),0)+IF($P458=3,INDEX('卡片raw data'!AG:AG,MATCH($D458,'卡片raw data'!$F:$F,)),0)+IF($P458=4,INDEX('卡片raw data'!AJ:AJ,MATCH($D458,'卡片raw data'!$F:$F,)),0)+IF($P458=5,INDEX('卡片raw data'!AM:AM,MATCH($D458,'卡片raw data'!$F:$F,)),0)+INDEX('卡片raw data'!U:U,MATCH($D458,'卡片raw data'!$F:$F,))*(IF($F458="UR",0.04,0.033))*(IF($F458="UR",INDEX(绊状态确认!$S:$S,MATCH($G458,绊状态确认!$B:$B,))/2-40)+IF($F458="SR",INDEX(绊状态确认!$R:$R,MATCH($G458,绊状态确认!$B:$B,))/4-15))+IF($F458="R",INDEX(绊状态确认!$Q:$Q,MATCH($G458,绊状态确认!$B:$B,))/6-40/6)))*(INDEX(绊状态确认!$H:$H,MATCH($G458,绊状态确认!$B:$B,))+INDEX(绊状态确认!L:L,MATCH($G458,绊状态确认!$B:$B,)))</f>
        <v>10647.113423999999</v>
      </c>
      <c r="AO458" s="1107">
        <f t="shared" si="621"/>
        <v>1</v>
      </c>
      <c r="AP458" s="1131">
        <f>1+(INDEX(绊状态确认!$T:$T,MATCH($G458,绊状态确认!$B:$B,))+0.2)*$AO458</f>
        <v>1.3</v>
      </c>
      <c r="AQ458" s="1108">
        <f t="shared" si="622"/>
        <v>35304.781401999993</v>
      </c>
      <c r="AR458" s="1097">
        <f>(AM458*(1+$EX$9)+$EX$35)*(1+(INDEX(绊状态确认!$T:$T,MATCH($G458,绊状态确认!$B:$B,))+0.2)*AO458)*IF(J458=$FF$17,1+$FE$17,1)*IF(I458=$FF$14,1+$FE$14,1)</f>
        <v>14243.334701440001</v>
      </c>
      <c r="AS458" s="1097">
        <f>(AN458*(1+$EX$10)+$EX$36)*(1+(INDEX(绊状态确认!$T:$T,MATCH($G458,绊状态确认!$B:$B,))+0.2)*AO458)*IF(J458=$FF$17,1+$FE$17,1)*IF(I458=$FF$14,1+$FE$14,1)</f>
        <v>19973.434568879999</v>
      </c>
      <c r="AT458" s="1093">
        <f>IF(AND(INDEX('卡片raw data'!AK:AK,MATCH($D458,'卡片raw data'!$F:$F,))&lt;INDEX('卡片raw data'!AM:AM,MATCH($D458,'卡片raw data'!$F:$F,)),INDEX('卡片raw data'!AL:AL,MATCH($D458,'卡片raw data'!$F:$F,))&lt;INDEX('卡片raw data'!AM:AM,MATCH($D458,'卡片raw data'!$F:$F,))),1,0)</f>
        <v>0</v>
      </c>
      <c r="AU458" s="1098">
        <f>MIN(AT458*0.15+AS458*0.00003+INDEX(绊状态确认!M:M,MATCH($G458,绊状态确认!$B:$B,)),1)</f>
        <v>0.62920303706640002</v>
      </c>
      <c r="AV458" s="1109">
        <f>(INDEX(绊状态确认!$N:$N,MATCH($G458,绊状态确认!$B:$B,))+1.5)*$EW$21</f>
        <v>2.6599999999999997</v>
      </c>
      <c r="AW458" s="1101">
        <f t="shared" si="623"/>
        <v>37486.347661110711</v>
      </c>
      <c r="AX458" s="1097">
        <f t="shared" si="624"/>
        <v>1225.6206722610125</v>
      </c>
      <c r="AY458" s="1110">
        <f t="shared" si="625"/>
        <v>38711.968333371726</v>
      </c>
      <c r="AZ458" s="429">
        <f t="shared" si="626"/>
        <v>26412.123327199995</v>
      </c>
      <c r="BA458" s="431">
        <f t="shared" si="627"/>
        <v>31694.547992639993</v>
      </c>
      <c r="BB458" s="1097">
        <f>(AM458*(1+$FB$9)+$FB$35)*(1+(INDEX(绊状态确认!$T:$T,MATCH($G458,绊状态确认!$B:$B,))+0.2)*AO458)*IF(J458=$FF$17,1+$FE$17,1)*IF(I458=$FF$14,1+$FE$14,1)*(1+$FE$15)</f>
        <v>14243.334701440001</v>
      </c>
      <c r="BC458" s="1097">
        <f>(AN458*(1+$FB$10)+$FB$36)*(1+(INDEX(绊状态确认!$T:$T,MATCH($G458,绊状态确认!$B:$B,))+0.2)*AO458)*IF(J458=$FF$17,1+$FE$17,1)*IF(I458=$FF$14,1+$FE$14,1)*(1+$FE$15)</f>
        <v>19973.434568879999</v>
      </c>
      <c r="BD458" s="1104">
        <f>MIN(AT458*0.15+BC458*0.00003+INDEX(绊状态确认!M:M,MATCH($G458,绊状态确认!$B:$B,)),1)</f>
        <v>0.62920303706640002</v>
      </c>
      <c r="BE458" s="432">
        <f>(INDEX(绊状态确认!$N:$N,MATCH($G458,绊状态确认!$B:$B,))+1.5)</f>
        <v>1.9</v>
      </c>
      <c r="BF458" s="1139">
        <f t="array" ref="BF458">SUMPRODUCT(IF(AZ458*AP458*$FI$16:$FI$23*$FA$22&gt;=$FI$24,$FI$24,AZ458*AP458*$FI$16:$FI$23*$FA$22),$FJ$16:$FJ$23)</f>
        <v>51829.481977417599</v>
      </c>
      <c r="BG458" s="1125">
        <f t="array" ref="BG458">SUMPRODUCT(IF(BE458*AZ458*AP458*$FI$16:$FI$23*$FA$22&gt;=$FI$24,$FI$24,BE458*AZ458*AP458*$FI$16:$FI$23*$FA$22),$FJ$16:$FJ$23)</f>
        <v>60000</v>
      </c>
      <c r="BH458" s="1110">
        <f t="shared" si="628"/>
        <v>18990.132243877404</v>
      </c>
      <c r="BI458" s="1111">
        <f>IF(O458="vo",$EW$26/$EW$24*0.05,0)+IF(O458="sk",-$EW$26/$EW$24*(0.05-INDEX(绊状态确认!W:W,MATCH($G458,绊状态确认!$B:$B,)))+0.05*$EW$28,0)+IF(O458="sp",0.05*$EW$32*$EW$30*(1-$EW$33)-(0.05-INDEX(绊状态确认!V:V,MATCH($G458,绊状态确认!$B:$B,)))*$EW$28,0)+IF(O458="gd",-(0.05-INDEX(绊状态确认!X:X,MATCH($G458,绊状态确认!$B:$B,)))*$EW$32*$EW$30*(1-$EW$33),0)</f>
        <v>-6253.6726349699375</v>
      </c>
      <c r="BJ458" s="420">
        <f>IF(O458="vo",0.05*(1-$FI$26)*$FA$24,0)+IF(O458="sk",-(0.05-INDEX(绊状态确认!W:W,MATCH($G458,绊状态确认!$B:$B,)))*(1-$FI$26)*$FA$24+0.05*$FA$26,0)+IF(O458="sp",0.05*$FA$32*$FA$27*(1-$FA$33)/$FA$30+0.05*$FA$29/$FA$69*$FA$27*(1-$FA$33)-(0.05-INDEX(绊状态确认!V:V,MATCH($G458,绊状态确认!$B:$B,)))*$FA$26,0)+IF(O458="gd",-(0.05-INDEX(绊状态确认!X:X,MATCH($G458,绊状态确认!$B:$B,)))*$FA$32*$FA$27*(1-$FA$33)/$FA$30-(0.05-INDEX(绊状态确认!X:X,MATCH($G458,绊状态确认!$B:$B,)))*$FA$29/$FA$69*$FA$27*(1-$FA$33),0)</f>
        <v>20.459096812499922</v>
      </c>
      <c r="BK458" s="1110">
        <f>IF(O458="vo",$EW$26/$EW$24*0.05+$EW$26*(-HP($EW$62,$EW$65,$EW$64)+HP($EW$62,$EW$65,(1.05-INDEX(绊状态确认!U:U,MATCH($G458,绊状态确认!$B:$B,)))*$EW$64)),0)+IF(O458="sk",-$EW$26/$EW$24*(0.05-INDEX(绊状态确认!W:W,MATCH($G458,绊状态确认!$B:$B,)))+0.05*$EW$29,0)+IF(O458="sp",0.05*$EW$32*$EW$30*(1-$EW$33)-(0.05-INDEX(绊状态确认!V:V,MATCH($G458,绊状态确认!$B:$B,)))*$EW$29,0)+IF(O458="gd",-(0.05-INDEX(绊状态确认!X:X,MATCH($G458,绊状态确认!$B:$B,)))*$EW$32*$EW$30*(1-$EW$33)+$EW$26*(-HP($EW$62,$EW$65,$EW$64)+HP($EW$62,$EW$65,0.95*$EW$64)),0)</f>
        <v>-4253.6726349699375</v>
      </c>
      <c r="BL458" s="1111">
        <f t="shared" si="629"/>
        <v>0</v>
      </c>
      <c r="BM458" s="1110">
        <f t="shared" si="630"/>
        <v>0</v>
      </c>
      <c r="BN458" s="1113">
        <f t="shared" si="631"/>
        <v>3</v>
      </c>
      <c r="BO458" s="1108">
        <f t="shared" si="632"/>
        <v>4507.7214871259994</v>
      </c>
      <c r="BP458" s="1100">
        <f t="shared" si="633"/>
        <v>221.34103209030098</v>
      </c>
      <c r="BQ458" s="437" t="s">
        <v>132</v>
      </c>
      <c r="BR458" s="450" t="s">
        <v>617</v>
      </c>
      <c r="BS458" s="421">
        <f>IF($P458="","N/A",IF($P458=-1,INDEX('卡片raw data'!AX:AX,MATCH($D458,'卡片raw data'!$F:$F,)),0)+IF($L458="party卡",IF($P458=5,INDEX('卡片raw data'!BD:BD,MATCH($D458,'卡片raw data'!$F:$F,)),IF($P458&gt;=3,INDEX('卡片raw data'!BC:BC,MATCH($D458,'卡片raw data'!$F:$F,)),INDEX('卡片raw data'!BB:BB,MATCH($D458,'卡片raw data'!$F:$F,)))),IF(OR(AND($F458="UR",$P458=0),AND($F458="SR",$P458&gt;=0,$P458&lt;=2),AND($F458="R",$P458&gt;=0,$P458&lt;4)),INDEX('卡片raw data'!AZ:AZ,MATCH($D458,'卡片raw data'!$F:$F,)),0)+IF(OR(AND($F458="UR",$P458&gt;=1,$P458&lt;=4),AND($F458="SR",$P458&lt;=4,$P458&gt;=3),AND($F458="R",$P458=4)),INDEX('卡片raw data'!BA:BA,MATCH($D458,'卡片raw data'!$F:$F,)),0)+IF($P458=5,INDEX('卡片raw data'!BB:BB,MATCH($D458,'卡片raw data'!$F:$F,)),0)))</f>
        <v>5.1999999999999998E-2</v>
      </c>
      <c r="BT458" s="424">
        <f t="shared" si="634"/>
        <v>2170.3844197273338</v>
      </c>
      <c r="BU458" s="420">
        <f t="shared" si="635"/>
        <v>106.57160804347826</v>
      </c>
      <c r="BV458" s="420">
        <f t="shared" si="636"/>
        <v>1302.2306518363998</v>
      </c>
      <c r="BW458" s="436">
        <f t="shared" si="637"/>
        <v>0</v>
      </c>
      <c r="BX458" s="423">
        <f t="shared" si="638"/>
        <v>2170.3844197273338</v>
      </c>
      <c r="BY458" s="433">
        <f t="shared" si="639"/>
        <v>1302.2306518363998</v>
      </c>
      <c r="BZ458" s="1113" t="s">
        <v>569</v>
      </c>
      <c r="CA458" s="450"/>
      <c r="CB458" s="421">
        <f>IF($P458="","N/A",IF($P458=-1,INDEX('卡片raw data'!BE:BE,MATCH($D458,'卡片raw data'!$F:$F,)),0)+IF($L458="party卡",IF($P458=5,INDEX('卡片raw data'!BK:BK,MATCH($D458,'卡片raw data'!$F:$F,)),IF($P458&gt;=3,INDEX('卡片raw data'!BJ:BJ,MATCH($D458,'卡片raw data'!$F:$F,)),INDEX('卡片raw data'!BI:BI,MATCH($D458,'卡片raw data'!$F:$F,)))),IF(OR(AND($F458="UR",$P458=0),AND($F458="SR",$P458&gt;=0,$P458&lt;=2),AND($F458="R",$P458&gt;=0,$P458&lt;4)),INDEX('卡片raw data'!BG:BG,MATCH($D458,'卡片raw data'!$F:$F,)),0)+IF(OR(AND($F458="UR",$P458&gt;=1,$P458&lt;=4),AND($F458="SR",$P458&lt;=4,$P458&gt;=3),AND($F458="R",$P458=4)),INDEX('卡片raw data'!BH:BH,MATCH($D458,'卡片raw data'!$F:$F,)),0)+IF($P458=5,INDEX('卡片raw data'!BI:BI,MATCH($D458,'卡片raw data'!$F:$F,)),0)))</f>
        <v>0</v>
      </c>
      <c r="CC458" s="424">
        <f t="shared" si="640"/>
        <v>0</v>
      </c>
      <c r="CD458" s="420">
        <f>IF(BZ458="ap",CB458*(1-$FI$26)*$FB$5/$FB$11*(+IF(CA458="全员",$FA$24,0)+IF(CA458="同作战",$FA$24,0)+IF(CA458="仲间",$FA$24*2/3,0)+IF(CA458="同属性",$FA$24*$FA$37/3,0)+IF(CA458="同年级",$FA$24*$FA$40/3,0)+IF(CA458="同学校",$FA$24*$FA$43/3,0)+IF(CA458="同小队",$FA$24*$FA$46/3,0)+IF(CA458="同type",$FA$24*INDEX($FB$49:$FB$52,MATCH(X458,$FA$49:$FA$52,))/3,0)+IF(CA458="自身",#REF!/3,0)),0)+IF(BZ458="te",CB458*(1-$FI$27)*($FA$20-1)*$FB$7/$FB$13*(+IF(CA458="全员",$FA$19*$FA$24/(1+($FA$20-1)*$FA$19),0)+IF(CA458="同作战",$FA$19*$FA$24/(1+($FA$20-1)*$FA$19),0)+IF(CA458="仲间",$FA$19*$FA$24*2/3/(1+($FA$20-1)*$FA$19),0)+IF(CA458="同属性",$FA$19*$FA$24*$FA$37/3/(1+($FA$20-1)*$FA$19),0)+IF(CA458="同年级",$FA$19*$FA$24*$FA$40/3/(1+($FA$20-1)*$FA$19),0)+IF(CA458="同学校",$FA$19*$FA$24*$FA$43/3/(1+($FA$20-1)*$FA$19),0)+IF(CA458="同小队",$FA$19*$FA$24*$FA$46/3/(1+($FA$20-1)*$FA$19),0)+IF(CA458="同type",$FA$19*$FA$24*INDEX($FB$49:$FB$52,MATCH(X458,$FA$49:$FA$52,))/3/(1+($FA$20-1)*$FA$19),0)+IF(CA458="自身",$FA$19*#REF!/3/(1+(BH458-1)*$BD458),0)),0)</f>
        <v>0</v>
      </c>
      <c r="CE458" s="420">
        <f t="shared" si="641"/>
        <v>0</v>
      </c>
      <c r="CF458" s="436">
        <f t="shared" si="642"/>
        <v>0</v>
      </c>
      <c r="CG458" s="423">
        <f t="shared" si="643"/>
        <v>0</v>
      </c>
      <c r="CH458" s="433">
        <f t="shared" si="644"/>
        <v>0</v>
      </c>
      <c r="CI458" s="1113" t="s">
        <v>164</v>
      </c>
      <c r="CJ458" s="1114">
        <v>0.25</v>
      </c>
      <c r="CK458" s="1115" t="s">
        <v>2160</v>
      </c>
      <c r="CL458" s="1115" t="s">
        <v>2075</v>
      </c>
      <c r="CM458" s="1119">
        <v>0.36</v>
      </c>
      <c r="CN458" s="1115">
        <v>5</v>
      </c>
      <c r="CO458" s="1115"/>
      <c r="CP458" s="1118">
        <f t="shared" si="645"/>
        <v>6.4285714285714276E-3</v>
      </c>
      <c r="CQ458" s="1118">
        <f t="shared" si="646"/>
        <v>8.7499999999999991E-3</v>
      </c>
      <c r="CR458" s="1118">
        <f t="shared" si="647"/>
        <v>3.2142857142857147E-3</v>
      </c>
      <c r="CS458" s="442">
        <f t="shared" si="648"/>
        <v>5.3385416666666668E-3</v>
      </c>
      <c r="CT458" s="432">
        <f t="shared" si="649"/>
        <v>0</v>
      </c>
      <c r="CU458" s="1101">
        <f t="shared" si="650"/>
        <v>272.72727272727269</v>
      </c>
      <c r="CV458" s="1108">
        <f t="shared" si="682"/>
        <v>198.86363636363635</v>
      </c>
      <c r="CW458" s="420">
        <f t="shared" si="651"/>
        <v>136.36363636363637</v>
      </c>
      <c r="CX458" s="420">
        <f t="shared" si="652"/>
        <v>272.72727272727269</v>
      </c>
      <c r="CY458" s="433">
        <f t="shared" si="653"/>
        <v>136.36363636363637</v>
      </c>
      <c r="CZ458" s="437"/>
      <c r="DA458" s="438"/>
      <c r="DB458" s="439" t="s">
        <v>569</v>
      </c>
      <c r="DC458" s="439"/>
      <c r="DD458" s="443"/>
      <c r="DE458" s="411"/>
      <c r="DF458" s="411"/>
      <c r="DG458" s="1116">
        <f t="shared" si="654"/>
        <v>0</v>
      </c>
      <c r="DH458" s="1116">
        <f t="shared" si="655"/>
        <v>0</v>
      </c>
      <c r="DI458" s="1116">
        <f t="shared" si="656"/>
        <v>0</v>
      </c>
      <c r="DJ458" s="442">
        <f t="shared" si="657"/>
        <v>0</v>
      </c>
      <c r="DK458" s="432">
        <f t="shared" si="658"/>
        <v>0</v>
      </c>
      <c r="DL458" s="424">
        <f t="shared" si="659"/>
        <v>0</v>
      </c>
      <c r="DM458" s="420">
        <f t="shared" si="660"/>
        <v>0</v>
      </c>
      <c r="DN458" s="420">
        <f t="shared" si="661"/>
        <v>0</v>
      </c>
      <c r="DO458" s="420">
        <f t="shared" si="662"/>
        <v>0</v>
      </c>
      <c r="DP458" s="433">
        <f t="shared" si="663"/>
        <v>0</v>
      </c>
      <c r="DQ458" s="437" t="s">
        <v>167</v>
      </c>
      <c r="DR458" s="444">
        <f t="shared" si="664"/>
        <v>0.33</v>
      </c>
      <c r="DS458" s="450">
        <v>5</v>
      </c>
      <c r="DT458" s="1124" t="s">
        <v>617</v>
      </c>
      <c r="DU458" s="1093" t="s">
        <v>544</v>
      </c>
      <c r="DV458" s="1098">
        <f>IF($P458="","N/A",IF(P458=-1,INDEX('卡片raw data'!AN:AN,MATCH(D458,'卡片raw data'!$F:$F,)),0)+IF(AND(L458&lt;&gt;"party卡",P458&lt;=2,P458&gt;=0),INDEX('卡片raw data'!AP:AP,MATCH(D458,'卡片raw data'!$F:$F,)),0)+IF(OR(AND(L458="party卡",P458&lt;=1),AND(P458&lt;=4,L458&lt;&gt;"party卡",P458&gt;=3)),INDEX('卡片raw data'!AQ:AQ,MATCH(D458,'卡片raw data'!$F:$F,)),0)+IF(OR(P458=5,AND(L458="party卡",P458&gt;=2)),INDEX('卡片raw data'!AR:AR,MATCH(D458,'卡片raw data'!$F:$F,)),0))</f>
        <v>7.5999999999999998E-2</v>
      </c>
      <c r="DW458" s="1098">
        <f t="shared" si="665"/>
        <v>0.33</v>
      </c>
      <c r="DX458" s="1098">
        <f t="shared" si="666"/>
        <v>0.33</v>
      </c>
      <c r="DY458" s="1098">
        <f t="shared" si="667"/>
        <v>2.3222222222222227E-2</v>
      </c>
      <c r="DZ458" s="1098">
        <f t="shared" si="668"/>
        <v>2.0087222222222225E-2</v>
      </c>
      <c r="EA458" s="421">
        <f t="shared" si="669"/>
        <v>0</v>
      </c>
      <c r="EB458" s="445">
        <f t="shared" si="670"/>
        <v>0</v>
      </c>
      <c r="EC458" s="424">
        <f t="shared" si="671"/>
        <v>3157.825854379435</v>
      </c>
      <c r="ED458" s="420">
        <f t="shared" si="672"/>
        <v>131.88410942953129</v>
      </c>
      <c r="EE458" s="433">
        <f t="shared" si="598"/>
        <v>3157.825854379435</v>
      </c>
      <c r="EF458" s="1115" t="s">
        <v>569</v>
      </c>
      <c r="EG458" s="444">
        <f t="shared" si="673"/>
        <v>0.33</v>
      </c>
      <c r="EH458" s="450"/>
      <c r="EI458" s="1093"/>
      <c r="EJ458" s="1093"/>
      <c r="EK458" s="1097">
        <f>IF($P458="","N/A",IF(P458=-1,INDEX('卡片raw data'!AS:AS,MATCH(D458,'卡片raw data'!$F:$F,)),0)+IF(AND(L458&lt;&gt;"party卡",P458&lt;=2,P458&gt;=0),INDEX('卡片raw data'!AU:AU,MATCH(D458,'卡片raw data'!$F:$F,)),0)+IF(OR(AND(L458="party卡",P458&lt;=1),AND(P458&lt;=4,L458&lt;&gt;"party卡",P458&gt;=3)),INDEX('卡片raw data'!AV:AV,MATCH(D458,'卡片raw data'!$F:$F,)),0)+IF(OR(P458=5,AND(L458="party卡",P458&gt;=2)),INDEX('卡片raw data'!AW:AW,MATCH(D458,'卡片raw data'!$F:$F,)),0))</f>
        <v>0</v>
      </c>
      <c r="EL458" s="1098">
        <f t="shared" si="674"/>
        <v>0.33</v>
      </c>
      <c r="EM458" s="1098">
        <f t="shared" si="675"/>
        <v>0.33</v>
      </c>
      <c r="EN458" s="1097">
        <f t="shared" si="676"/>
        <v>0</v>
      </c>
      <c r="EO458" s="1097">
        <f t="shared" si="677"/>
        <v>0</v>
      </c>
      <c r="EP458" s="421">
        <f t="shared" si="678"/>
        <v>0</v>
      </c>
      <c r="EQ458" s="445">
        <f t="shared" si="679"/>
        <v>0</v>
      </c>
      <c r="ER458" s="424">
        <f t="shared" si="680"/>
        <v>0</v>
      </c>
      <c r="ES458" s="420">
        <f t="shared" si="681"/>
        <v>0</v>
      </c>
      <c r="ET458" s="446">
        <f t="shared" si="599"/>
        <v>0</v>
      </c>
    </row>
    <row r="459" spans="2:150" ht="16.5" customHeight="1">
      <c r="B459" s="448" t="str">
        <f>INDEX('卡片raw data'!B:B,MATCH($D459,'卡片raw data'!$F:$F,))</f>
        <v>三单鞠</v>
      </c>
      <c r="C459" s="449" t="s">
        <v>2697</v>
      </c>
      <c r="D459" s="408">
        <v>456</v>
      </c>
      <c r="E459" s="477">
        <v>401082005</v>
      </c>
      <c r="F459" s="409" t="str">
        <f>INDEX('卡片raw data'!C:C,MATCH($D459,'卡片raw data'!$F:$F,))</f>
        <v>SR</v>
      </c>
      <c r="G459" s="1094" t="s">
        <v>2700</v>
      </c>
      <c r="H459" s="411">
        <f>IFERROR(INDEX(绊状态确认!C:C,MATCH($G459,绊状态确认!$B:$B,)),"")</f>
        <v>108</v>
      </c>
      <c r="I459" s="450" t="str">
        <f>IFERROR(INDEX(绊状态确认!D:D,MATCH($G459,绊状态确认!$B:$B,)),"")</f>
        <v>水</v>
      </c>
      <c r="J459" s="450" t="str">
        <f>IFERROR(INDEX(绊状态确认!E:E,MATCH($G459,绊状态确认!$B:$B,)),"")</f>
        <v>3年级</v>
      </c>
      <c r="K459" s="451" t="str">
        <f>IFERROR(INDEX(绊状态确认!F:F,MATCH($G459,绊状态确认!$B:$B,)),"")</f>
        <v>Guilty Kiss</v>
      </c>
      <c r="L459" s="414" t="str">
        <f>INDEX('卡片raw data'!E:E,MATCH($D459,'卡片raw data'!$F:$F,))</f>
        <v>活动卡</v>
      </c>
      <c r="M459" s="478">
        <v>44320</v>
      </c>
      <c r="N459" s="479">
        <v>39</v>
      </c>
      <c r="O459" s="410" t="str">
        <f>INDEX('卡片raw data'!D:D,MATCH($D459,'卡片raw data'!$F:$F,))</f>
        <v>vo</v>
      </c>
      <c r="P459" s="1126">
        <v>5</v>
      </c>
      <c r="Q459" s="418">
        <f t="shared" si="600"/>
        <v>35826.979327156114</v>
      </c>
      <c r="R459" s="419">
        <f t="shared" si="601"/>
        <v>0.41599999999999998</v>
      </c>
      <c r="S459" s="420">
        <f t="shared" si="602"/>
        <v>16365.724844241395</v>
      </c>
      <c r="T459" s="421">
        <f t="shared" si="603"/>
        <v>0.81799999999999995</v>
      </c>
      <c r="U459" s="422">
        <f t="shared" si="604"/>
        <v>-15.063267053637144</v>
      </c>
      <c r="V459" s="423">
        <f t="shared" si="605"/>
        <v>35311.681316253969</v>
      </c>
      <c r="W459" s="424">
        <f t="shared" si="606"/>
        <v>5430.3063171605208</v>
      </c>
      <c r="X459" s="419">
        <f t="shared" si="607"/>
        <v>6.3E-2</v>
      </c>
      <c r="Y459" s="420">
        <f t="shared" si="608"/>
        <v>789.37043933955556</v>
      </c>
      <c r="Z459" s="425">
        <f t="shared" si="609"/>
        <v>9.9367329463628558</v>
      </c>
      <c r="AA459" s="426">
        <f t="shared" si="610"/>
        <v>6219.6767565000764</v>
      </c>
      <c r="AB459" s="424">
        <f t="shared" si="611"/>
        <v>5964.5547897087872</v>
      </c>
      <c r="AC459" s="427">
        <f t="shared" si="612"/>
        <v>6.9000000000000006E-2</v>
      </c>
      <c r="AD459" s="428">
        <f t="shared" si="613"/>
        <v>7.3477430555555232E-4</v>
      </c>
      <c r="AE459" s="516">
        <f t="shared" si="614"/>
        <v>-10.059220972264452</v>
      </c>
      <c r="AF459" s="1130">
        <f t="shared" si="615"/>
        <v>0</v>
      </c>
      <c r="AG459" s="420">
        <f t="shared" si="616"/>
        <v>0</v>
      </c>
      <c r="AH459" s="420">
        <f t="shared" si="617"/>
        <v>0</v>
      </c>
      <c r="AI459" s="1097">
        <f t="shared" si="618"/>
        <v>0</v>
      </c>
      <c r="AJ459" s="420">
        <f t="shared" si="619"/>
        <v>0</v>
      </c>
      <c r="AK459" s="518">
        <f t="shared" si="620"/>
        <v>0</v>
      </c>
      <c r="AL459" s="1106">
        <f>IF($P459="","N/A",(IF($P459=-1,INDEX('卡片raw data'!S:S,MATCH($D459,'卡片raw data'!$F:$F,)),0)+IF($P459=0,INDEX('卡片raw data'!V:V,MATCH($D459,'卡片raw data'!$F:$F,)),0)+IF($P459=1,INDEX('卡片raw data'!Y:Y,MATCH($D459,'卡片raw data'!$F:$F,)),0)+IF($P459=2,INDEX('卡片raw data'!AB:AB,MATCH($D459,'卡片raw data'!$F:$F,)),0)+IF($P459=3,INDEX('卡片raw data'!AE:AE,MATCH($D459,'卡片raw data'!$F:$F,)),0)+IF($P459=4,INDEX('卡片raw data'!AH:AH,MATCH($D459,'卡片raw data'!$F:$F,)),0)+IF($P459=5,INDEX('卡片raw data'!AK:AK,MATCH($D459,'卡片raw data'!$F:$F,)),0)+INDEX('卡片raw data'!S:S,MATCH($D459,'卡片raw data'!$F:$F,))*(IF($F459="UR",0.04,0.033))*(IF($F459="UR",INDEX(绊状态确认!$S:$S,MATCH($G459,绊状态确认!$B:$B,))/2-40)+IF($F459="SR",INDEX(绊状态确认!$R:$R,MATCH($G459,绊状态确认!$B:$B,))/4-15))+IF($F459="R",INDEX(绊状态确认!$Q:$Q,MATCH($G459,绊状态确认!$B:$B,))/6-40/6)))*(INDEX(绊状态确认!$H:$H,MATCH($G459,绊状态确认!$B:$B,))+INDEX(绊状态确认!J:J,MATCH($G459,绊状态确认!$B:$B,)))</f>
        <v>8086.0519271999983</v>
      </c>
      <c r="AM459" s="1106">
        <f>IF($P459="","N/A",(IF($P459=-1,INDEX('卡片raw data'!T:T,MATCH($D459,'卡片raw data'!$F:$F,)),0)+IF($P459=0,INDEX('卡片raw data'!W:W,MATCH($D459,'卡片raw data'!$F:$F,)),0)+IF($P459=1,INDEX('卡片raw data'!Z:Z,MATCH($D459,'卡片raw data'!$F:$F,)),0)+IF($P459=2,INDEX('卡片raw data'!AC:AC,MATCH($D459,'卡片raw data'!$F:$F,)),0)+IF($P459=3,INDEX('卡片raw data'!AF:AF,MATCH($D459,'卡片raw data'!$F:$F,)),0)+IF($P459=4,INDEX('卡片raw data'!AI:AI,MATCH($D459,'卡片raw data'!$F:$F,)),0)+IF($P459=5,INDEX('卡片raw data'!AL:AL,MATCH($D459,'卡片raw data'!$F:$F,)),0)+INDEX('卡片raw data'!T:T,MATCH($D459,'卡片raw data'!$F:$F,))*(IF($F459="UR",0.04,0.033))*(IF($F459="UR",INDEX(绊状态确认!$S:$S,MATCH($G459,绊状态确认!$B:$B,))/2-40)+IF($F459="SR",INDEX(绊状态确认!$R:$R,MATCH($G459,绊状态确认!$B:$B,))/4-15))+IF($F459="R",INDEX(绊状态确认!$Q:$Q,MATCH($G459,绊状态确认!$B:$B,))/6-40/6)))*(INDEX(绊状态确认!$H:$H,MATCH($G459,绊状态确认!$B:$B,))+INDEX(绊状态确认!K:K,MATCH($G459,绊状态确认!$B:$B,)))</f>
        <v>4813.3949327999999</v>
      </c>
      <c r="AN459" s="1106">
        <f>IF($P459="","N/A",(IF($P459=-1,INDEX('卡片raw data'!U:U,MATCH($D459,'卡片raw data'!$F:$F,)),0)+IF($P459=0,INDEX('卡片raw data'!X:X,MATCH($D459,'卡片raw data'!$F:$F,)),0)+IF($P459=1,INDEX('卡片raw data'!AA:AA,MATCH($D459,'卡片raw data'!$F:$F,)),0)+IF($P459=2,INDEX('卡片raw data'!AD:AD,MATCH($D459,'卡片raw data'!$F:$F,)),0)+IF($P459=3,INDEX('卡片raw data'!AG:AG,MATCH($D459,'卡片raw data'!$F:$F,)),0)+IF($P459=4,INDEX('卡片raw data'!AJ:AJ,MATCH($D459,'卡片raw data'!$F:$F,)),0)+IF($P459=5,INDEX('卡片raw data'!AM:AM,MATCH($D459,'卡片raw data'!$F:$F,)),0)+INDEX('卡片raw data'!U:U,MATCH($D459,'卡片raw data'!$F:$F,))*(IF($F459="UR",0.04,0.033))*(IF($F459="UR",INDEX(绊状态确认!$S:$S,MATCH($G459,绊状态确认!$B:$B,))/2-40)+IF($F459="SR",INDEX(绊状态确认!$R:$R,MATCH($G459,绊状态确认!$B:$B,))/4-15))+IF($F459="R",INDEX(绊状态确认!$Q:$Q,MATCH($G459,绊状态确认!$B:$B,))/6-40/6)))*(INDEX(绊状态确认!$H:$H,MATCH($G459,绊状态确认!$B:$B,))+INDEX(绊状态确认!L:L,MATCH($G459,绊状态确认!$B:$B,)))</f>
        <v>6352.9964711999992</v>
      </c>
      <c r="AO459" s="1107">
        <f t="shared" si="621"/>
        <v>1</v>
      </c>
      <c r="AP459" s="1131">
        <f>1+(INDEX(绊状态确认!$T:$T,MATCH($G459,绊状态确认!$B:$B,))+0.2)*$AO459</f>
        <v>1.3</v>
      </c>
      <c r="AQ459" s="1108">
        <f t="shared" si="622"/>
        <v>24475.886308899993</v>
      </c>
      <c r="AR459" s="1097">
        <f>(AM459*(1+$EX$9)+$EX$35)*(1+(INDEX(绊状态确认!$T:$T,MATCH($G459,绊状态确认!$B:$B,))+0.2)*AO459)*IF(J459=$FF$17,1+$FE$17,1)*IF(I459=$FF$14,1+$FE$14,1)</f>
        <v>9274.2840832719994</v>
      </c>
      <c r="AS459" s="1097">
        <f>(AN459*(1+$EX$10)+$EX$36)*(1+(INDEX(绊状态确认!$T:$T,MATCH($G459,绊状态确认!$B:$B,))+0.2)*AO459)*IF(J459=$FF$17,1+$FE$17,1)*IF(I459=$FF$14,1+$FE$14,1)</f>
        <v>13553.729724444</v>
      </c>
      <c r="AT459" s="1093">
        <f>IF(AND(INDEX('卡片raw data'!AK:AK,MATCH($D459,'卡片raw data'!$F:$F,))&lt;INDEX('卡片raw data'!AM:AM,MATCH($D459,'卡片raw data'!$F:$F,)),INDEX('卡片raw data'!AL:AL,MATCH($D459,'卡片raw data'!$F:$F,))&lt;INDEX('卡片raw data'!AM:AM,MATCH($D459,'卡片raw data'!$F:$F,))),1,0)</f>
        <v>0</v>
      </c>
      <c r="AU459" s="1098">
        <f>MIN(AT459*0.15+AS459*0.00003+INDEX(绊状态确认!M:M,MATCH($G459,绊状态确认!$B:$B,)),1)</f>
        <v>0.43661189173332005</v>
      </c>
      <c r="AV459" s="1109">
        <f>(INDEX(绊状态确认!$N:$N,MATCH($G459,绊状态确认!$B:$B,))+1.5)*$EW$21</f>
        <v>2.6599999999999997</v>
      </c>
      <c r="AW459" s="1101">
        <f t="shared" si="623"/>
        <v>21924.435798432391</v>
      </c>
      <c r="AX459" s="1097">
        <f t="shared" si="624"/>
        <v>789.37043933955545</v>
      </c>
      <c r="AY459" s="1110">
        <f t="shared" si="625"/>
        <v>22713.806237771947</v>
      </c>
      <c r="AZ459" s="429">
        <f t="shared" si="626"/>
        <v>18367.801258039995</v>
      </c>
      <c r="BA459" s="431">
        <f t="shared" si="627"/>
        <v>22041.361509647995</v>
      </c>
      <c r="BB459" s="1097">
        <f>(AM459*(1+$FB$9)+$FB$35)*(1+(INDEX(绊状态确认!$T:$T,MATCH($G459,绊状态确认!$B:$B,))+0.2)*AO459)*IF(J459=$FF$17,1+$FE$17,1)*IF(I459=$FF$14,1+$FE$14,1)*(1+$FE$15)</f>
        <v>9274.2840832719994</v>
      </c>
      <c r="BC459" s="1097">
        <f>(AN459*(1+$FB$10)+$FB$36)*(1+(INDEX(绊状态确认!$T:$T,MATCH($G459,绊状态确认!$B:$B,))+0.2)*AO459)*IF(J459=$FF$17,1+$FE$17,1)*IF(I459=$FF$14,1+$FE$14,1)*(1+$FE$15)</f>
        <v>13553.729724444</v>
      </c>
      <c r="BD459" s="1104">
        <f>MIN(AT459*0.15+BC459*0.00003+INDEX(绊状态确认!M:M,MATCH($G459,绊状态确认!$B:$B,)),1)</f>
        <v>0.43661189173332005</v>
      </c>
      <c r="BE459" s="432">
        <f>(INDEX(绊状态确认!$N:$N,MATCH($G459,绊状态确认!$B:$B,))+1.5)</f>
        <v>1.9</v>
      </c>
      <c r="BF459" s="1139">
        <f t="array" ref="BF459">SUMPRODUCT(IF(AZ459*AP459*$FI$16:$FI$23*$FA$22&gt;=$FI$24,$FI$24,AZ459*AP459*$FI$16:$FI$23*$FA$22),$FJ$16:$FJ$23)</f>
        <v>36533.556702241549</v>
      </c>
      <c r="BG459" s="1125">
        <f t="array" ref="BG459">SUMPRODUCT(IF(BE459*AZ459*AP459*$FI$16:$FI$23*$FA$22&gt;=$FI$24,$FI$24,BE459*AZ459*AP459*$FI$16:$FI$23*$FA$22),$FJ$16:$FJ$23)</f>
        <v>59342.117276839694</v>
      </c>
      <c r="BH459" s="1110">
        <f t="shared" si="628"/>
        <v>15497.348494143624</v>
      </c>
      <c r="BI459" s="1111">
        <f>IF(O459="vo",$EW$26/$EW$24*0.05,0)+IF(O459="sk",-$EW$26/$EW$24*(0.05-INDEX(绊状态确认!W:W,MATCH($G459,绊状态确认!$B:$B,)))+0.05*$EW$28,0)+IF(O459="sp",0.05*$EW$32*$EW$30*(1-$EW$33)-(0.05-INDEX(绊状态确认!V:V,MATCH($G459,绊状态确认!$B:$B,)))*$EW$28,0)+IF(O459="gd",-(0.05-INDEX(绊状态确认!X:X,MATCH($G459,绊状态确认!$B:$B,)))*$EW$32*$EW$30*(1-$EW$33),0)</f>
        <v>7726.3029277443748</v>
      </c>
      <c r="BJ459" s="420">
        <f>IF(O459="vo",0.05*(1-$FI$26)*$FA$24,0)+IF(O459="sk",-(0.05-INDEX(绊状态确认!W:W,MATCH($G459,绊状态确认!$B:$B,)))*(1-$FI$26)*$FA$24+0.05*$FA$26,0)+IF(O459="sp",0.05*$FA$32*$FA$27*(1-$FA$33)/$FA$30+0.05*$FA$29/$FA$69*$FA$27*(1-$FA$33)-(0.05-INDEX(绊状态确认!V:V,MATCH($G459,绊状态确认!$B:$B,)))*$FA$26,0)+IF(O459="gd",-(0.05-INDEX(绊状态确认!X:X,MATCH($G459,绊状态确认!$B:$B,)))*$FA$32*$FA$27*(1-$FA$33)/$FA$30-(0.05-INDEX(绊状态确认!X:X,MATCH($G459,绊状态确认!$B:$B,)))*$FA$29/$FA$69*$FA$27*(1-$FA$33),0)</f>
        <v>393.93433687500004</v>
      </c>
      <c r="BK459" s="1110">
        <f>IF(O459="vo",$EW$26/$EW$24*0.05+$EW$26*(-HP($EW$62,$EW$65,$EW$64)+HP($EW$62,$EW$65,(1.05-INDEX(绊状态确认!U:U,MATCH($G459,绊状态确认!$B:$B,)))*$EW$64)),0)+IF(O459="sk",-$EW$26/$EW$24*(0.05-INDEX(绊状态确认!W:W,MATCH($G459,绊状态确认!$B:$B,)))+0.05*$EW$29,0)+IF(O459="sp",0.05*$EW$32*$EW$30*(1-$EW$33)-(0.05-INDEX(绊状态确认!V:V,MATCH($G459,绊状态确认!$B:$B,)))*$EW$29,0)+IF(O459="gd",-(0.05-INDEX(绊状态确认!X:X,MATCH($G459,绊状态确认!$B:$B,)))*$EW$32*$EW$30*(1-$EW$33)+$EW$26*(-HP($EW$62,$EW$65,$EW$64)+HP($EW$62,$EW$65,0.95*$EW$64)),0)</f>
        <v>6421.6344775026746</v>
      </c>
      <c r="BL459" s="1111">
        <f t="shared" si="629"/>
        <v>-1083.3333333333333</v>
      </c>
      <c r="BM459" s="1110">
        <f t="shared" si="630"/>
        <v>-830.55555555555543</v>
      </c>
      <c r="BN459" s="1113">
        <f t="shared" si="631"/>
        <v>3</v>
      </c>
      <c r="BO459" s="1108">
        <f t="shared" si="632"/>
        <v>4507.7214871259994</v>
      </c>
      <c r="BP459" s="1100">
        <f t="shared" si="633"/>
        <v>221.34103209030098</v>
      </c>
      <c r="BQ459" s="1113" t="s">
        <v>132</v>
      </c>
      <c r="BR459" s="1124" t="s">
        <v>2649</v>
      </c>
      <c r="BS459" s="421">
        <f>IF($P459="","N/A",IF($P459=-1,INDEX('卡片raw data'!AX:AX,MATCH($D459,'卡片raw data'!$F:$F,)),0)+IF($L459="party卡",IF($P459=5,INDEX('卡片raw data'!BD:BD,MATCH($D459,'卡片raw data'!$F:$F,)),IF($P459&gt;=3,INDEX('卡片raw data'!BC:BC,MATCH($D459,'卡片raw data'!$F:$F,)),INDEX('卡片raw data'!BB:BB,MATCH($D459,'卡片raw data'!$F:$F,)))),IF(OR(AND($F459="UR",$P459=0),AND($F459="SR",$P459&gt;=0,$P459&lt;=2),AND($F459="R",$P459&gt;=0,$P459&lt;4)),INDEX('卡片raw data'!AZ:AZ,MATCH($D459,'卡片raw data'!$F:$F,)),0)+IF(OR(AND($F459="UR",$P459&gt;=1,$P459&lt;=4),AND($F459="SR",$P459&lt;=4,$P459&gt;=3),AND($F459="R",$P459=4)),INDEX('卡片raw data'!BA:BA,MATCH($D459,'卡片raw data'!$F:$F,)),0)+IF($P459=5,INDEX('卡片raw data'!BB:BB,MATCH($D459,'卡片raw data'!$F:$F,)),0)))</f>
        <v>3.2000000000000001E-2</v>
      </c>
      <c r="BT459" s="424">
        <f t="shared" si="634"/>
        <v>1335.6211813706668</v>
      </c>
      <c r="BU459" s="420">
        <f t="shared" si="635"/>
        <v>65.582528026755853</v>
      </c>
      <c r="BV459" s="420">
        <f t="shared" si="636"/>
        <v>801.37270882240011</v>
      </c>
      <c r="BW459" s="436">
        <f t="shared" si="637"/>
        <v>0</v>
      </c>
      <c r="BX459" s="423">
        <f t="shared" si="638"/>
        <v>1335.6211813706668</v>
      </c>
      <c r="BY459" s="433">
        <f t="shared" si="639"/>
        <v>801.37270882240011</v>
      </c>
      <c r="BZ459" s="1113" t="s">
        <v>569</v>
      </c>
      <c r="CA459" s="450"/>
      <c r="CB459" s="421">
        <f>IF($P459="","N/A",IF($P459=-1,INDEX('卡片raw data'!BE:BE,MATCH($D459,'卡片raw data'!$F:$F,)),0)+IF($L459="party卡",IF($P459=5,INDEX('卡片raw data'!BK:BK,MATCH($D459,'卡片raw data'!$F:$F,)),IF($P459&gt;=3,INDEX('卡片raw data'!BJ:BJ,MATCH($D459,'卡片raw data'!$F:$F,)),INDEX('卡片raw data'!BI:BI,MATCH($D459,'卡片raw data'!$F:$F,)))),IF(OR(AND($F459="UR",$P459=0),AND($F459="SR",$P459&gt;=0,$P459&lt;=2),AND($F459="R",$P459&gt;=0,$P459&lt;4)),INDEX('卡片raw data'!BG:BG,MATCH($D459,'卡片raw data'!$F:$F,)),0)+IF(OR(AND($F459="UR",$P459&gt;=1,$P459&lt;=4),AND($F459="SR",$P459&lt;=4,$P459&gt;=3),AND($F459="R",$P459=4)),INDEX('卡片raw data'!BH:BH,MATCH($D459,'卡片raw data'!$F:$F,)),0)+IF($P459=5,INDEX('卡片raw data'!BI:BI,MATCH($D459,'卡片raw data'!$F:$F,)),0)))</f>
        <v>0</v>
      </c>
      <c r="CC459" s="424">
        <f t="shared" si="640"/>
        <v>0</v>
      </c>
      <c r="CD459" s="420">
        <f>IF(BZ459="ap",CB459*(1-$FI$26)*$FB$5/$FB$11*(+IF(CA459="全员",$FA$24,0)+IF(CA459="同作战",$FA$24,0)+IF(CA459="仲间",$FA$24*2/3,0)+IF(CA459="同属性",$FA$24*$FA$37/3,0)+IF(CA459="同年级",$FA$24*$FA$40/3,0)+IF(CA459="同学校",$FA$24*$FA$43/3,0)+IF(CA459="同小队",$FA$24*$FA$46/3,0)+IF(CA459="同type",$FA$24*INDEX($FB$49:$FB$52,MATCH(X459,$FA$49:$FA$52,))/3,0)+IF(CA459="自身",#REF!/3,0)),0)+IF(BZ459="te",CB459*(1-$FI$27)*($FA$20-1)*$FB$7/$FB$13*(+IF(CA459="全员",$FA$19*$FA$24/(1+($FA$20-1)*$FA$19),0)+IF(CA459="同作战",$FA$19*$FA$24/(1+($FA$20-1)*$FA$19),0)+IF(CA459="仲间",$FA$19*$FA$24*2/3/(1+($FA$20-1)*$FA$19),0)+IF(CA459="同属性",$FA$19*$FA$24*$FA$37/3/(1+($FA$20-1)*$FA$19),0)+IF(CA459="同年级",$FA$19*$FA$24*$FA$40/3/(1+($FA$20-1)*$FA$19),0)+IF(CA459="同学校",$FA$19*$FA$24*$FA$43/3/(1+($FA$20-1)*$FA$19),0)+IF(CA459="同小队",$FA$19*$FA$24*$FA$46/3/(1+($FA$20-1)*$FA$19),0)+IF(CA459="同type",$FA$19*$FA$24*INDEX($FB$49:$FB$52,MATCH(X459,$FA$49:$FA$52,))/3/(1+($FA$20-1)*$FA$19),0)+IF(CA459="自身",$FA$19*#REF!/3/(1+(BH459-1)*$BD459),0)),0)</f>
        <v>0</v>
      </c>
      <c r="CE459" s="420">
        <f t="shared" si="641"/>
        <v>0</v>
      </c>
      <c r="CF459" s="436">
        <f t="shared" si="642"/>
        <v>0</v>
      </c>
      <c r="CG459" s="423">
        <f t="shared" si="643"/>
        <v>0</v>
      </c>
      <c r="CH459" s="433">
        <f t="shared" si="644"/>
        <v>0</v>
      </c>
      <c r="CI459" s="1113" t="s">
        <v>165</v>
      </c>
      <c r="CJ459" s="1114">
        <v>1</v>
      </c>
      <c r="CK459" s="1115" t="s">
        <v>2160</v>
      </c>
      <c r="CL459" s="1115" t="s">
        <v>1947</v>
      </c>
      <c r="CM459" s="1119">
        <v>0.08</v>
      </c>
      <c r="CN459" s="1115">
        <v>10</v>
      </c>
      <c r="CO459" s="1115"/>
      <c r="CP459" s="1118">
        <f t="shared" si="645"/>
        <v>2.8571428571428571E-3</v>
      </c>
      <c r="CQ459" s="1118">
        <f t="shared" si="646"/>
        <v>4.4444444444444444E-3</v>
      </c>
      <c r="CR459" s="1118">
        <f t="shared" si="647"/>
        <v>2.8571428571428571E-3</v>
      </c>
      <c r="CS459" s="442">
        <f t="shared" si="648"/>
        <v>4.5555555555555549E-3</v>
      </c>
      <c r="CT459" s="432">
        <f t="shared" si="649"/>
        <v>0</v>
      </c>
      <c r="CU459" s="1101">
        <f t="shared" si="650"/>
        <v>121.2121212121212</v>
      </c>
      <c r="CV459" s="1108">
        <f t="shared" si="682"/>
        <v>101.01010101010101</v>
      </c>
      <c r="CW459" s="420">
        <f t="shared" si="651"/>
        <v>121.2121212121212</v>
      </c>
      <c r="CX459" s="420">
        <f t="shared" si="652"/>
        <v>121.2121212121212</v>
      </c>
      <c r="CY459" s="433">
        <f t="shared" si="653"/>
        <v>121.2121212121212</v>
      </c>
      <c r="CZ459" s="437"/>
      <c r="DA459" s="438"/>
      <c r="DB459" s="439" t="s">
        <v>569</v>
      </c>
      <c r="DC459" s="439"/>
      <c r="DD459" s="443"/>
      <c r="DE459" s="411"/>
      <c r="DF459" s="411"/>
      <c r="DG459" s="1116">
        <f t="shared" si="654"/>
        <v>0</v>
      </c>
      <c r="DH459" s="1116">
        <f t="shared" si="655"/>
        <v>0</v>
      </c>
      <c r="DI459" s="1116">
        <f t="shared" si="656"/>
        <v>0</v>
      </c>
      <c r="DJ459" s="442">
        <f t="shared" si="657"/>
        <v>0</v>
      </c>
      <c r="DK459" s="432">
        <f t="shared" si="658"/>
        <v>0</v>
      </c>
      <c r="DL459" s="424">
        <f t="shared" si="659"/>
        <v>0</v>
      </c>
      <c r="DM459" s="420">
        <f t="shared" si="660"/>
        <v>0</v>
      </c>
      <c r="DN459" s="420">
        <f t="shared" si="661"/>
        <v>0</v>
      </c>
      <c r="DO459" s="420">
        <f t="shared" si="662"/>
        <v>0</v>
      </c>
      <c r="DP459" s="433">
        <f t="shared" si="663"/>
        <v>0</v>
      </c>
      <c r="DQ459" s="1113" t="s">
        <v>545</v>
      </c>
      <c r="DR459" s="1120">
        <f t="shared" si="664"/>
        <v>0.3</v>
      </c>
      <c r="DS459" s="1124"/>
      <c r="DT459" s="1093" t="s">
        <v>132</v>
      </c>
      <c r="DU459" s="1093"/>
      <c r="DV459" s="1098">
        <f>IF($P459="","N/A",IF(P459=-1,INDEX('卡片raw data'!AN:AN,MATCH(D459,'卡片raw data'!$F:$F,)),0)+IF(AND(L459&lt;&gt;"party卡",P459&lt;=2,P459&gt;=0),INDEX('卡片raw data'!AP:AP,MATCH(D459,'卡片raw data'!$F:$F,)),0)+IF(OR(AND(L459="party卡",P459&lt;=1),AND(P459&lt;=4,L459&lt;&gt;"party卡",P459&gt;=3)),INDEX('卡片raw data'!AQ:AQ,MATCH(D459,'卡片raw data'!$F:$F,)),0)+IF(OR(P459=5,AND(L459="party卡",P459&gt;=2)),INDEX('卡片raw data'!AR:AR,MATCH(D459,'卡片raw data'!$F:$F,)),0))</f>
        <v>0.37</v>
      </c>
      <c r="DW459" s="1098">
        <f t="shared" si="665"/>
        <v>0.3</v>
      </c>
      <c r="DX459" s="1098">
        <f t="shared" si="666"/>
        <v>0.3</v>
      </c>
      <c r="DY459" s="1097">
        <f t="shared" si="667"/>
        <v>1177.2901314580897</v>
      </c>
      <c r="DZ459" s="1097">
        <f t="shared" si="668"/>
        <v>917.0639076511693</v>
      </c>
      <c r="EA459" s="421">
        <f t="shared" si="669"/>
        <v>0</v>
      </c>
      <c r="EB459" s="445">
        <f t="shared" si="670"/>
        <v>0</v>
      </c>
      <c r="EC459" s="424">
        <f t="shared" si="671"/>
        <v>1295.0191446038989</v>
      </c>
      <c r="ED459" s="420">
        <f t="shared" si="672"/>
        <v>917.0639076511693</v>
      </c>
      <c r="EE459" s="433">
        <f t="shared" si="598"/>
        <v>1295.0191446038989</v>
      </c>
      <c r="EF459" s="1115" t="s">
        <v>569</v>
      </c>
      <c r="EG459" s="1120">
        <f t="shared" si="673"/>
        <v>0.3</v>
      </c>
      <c r="EH459" s="450"/>
      <c r="EI459" s="1093"/>
      <c r="EJ459" s="1093"/>
      <c r="EK459" s="1097">
        <f>IF($P459="","N/A",IF(P459=-1,INDEX('卡片raw data'!AS:AS,MATCH(D459,'卡片raw data'!$F:$F,)),0)+IF(AND(L459&lt;&gt;"party卡",P459&lt;=2,P459&gt;=0),INDEX('卡片raw data'!AU:AU,MATCH(D459,'卡片raw data'!$F:$F,)),0)+IF(OR(AND(L459="party卡",P459&lt;=1),AND(P459&lt;=4,L459&lt;&gt;"party卡",P459&gt;=3)),INDEX('卡片raw data'!AV:AV,MATCH(D459,'卡片raw data'!$F:$F,)),0)+IF(OR(P459=5,AND(L459="party卡",P459&gt;=2)),INDEX('卡片raw data'!AW:AW,MATCH(D459,'卡片raw data'!$F:$F,)),0))</f>
        <v>0</v>
      </c>
      <c r="EL459" s="1098">
        <f t="shared" si="674"/>
        <v>0.3</v>
      </c>
      <c r="EM459" s="1098">
        <f t="shared" si="675"/>
        <v>0.3</v>
      </c>
      <c r="EN459" s="1097">
        <f t="shared" si="676"/>
        <v>0</v>
      </c>
      <c r="EO459" s="1097">
        <f t="shared" si="677"/>
        <v>0</v>
      </c>
      <c r="EP459" s="421">
        <f t="shared" si="678"/>
        <v>0</v>
      </c>
      <c r="EQ459" s="445">
        <f t="shared" si="679"/>
        <v>0</v>
      </c>
      <c r="ER459" s="424">
        <f t="shared" si="680"/>
        <v>0</v>
      </c>
      <c r="ES459" s="420">
        <f t="shared" si="681"/>
        <v>0</v>
      </c>
      <c r="ET459" s="446">
        <f t="shared" si="599"/>
        <v>0</v>
      </c>
    </row>
    <row r="460" spans="2:150" ht="16.5" customHeight="1">
      <c r="B460" s="448" t="str">
        <f>INDEX('卡片raw data'!B:B,MATCH($D460,'卡片raw data'!$F:$F,))</f>
        <v>jb步</v>
      </c>
      <c r="C460" s="449" t="s">
        <v>2681</v>
      </c>
      <c r="D460" s="408">
        <v>457</v>
      </c>
      <c r="E460" s="477">
        <v>402012004</v>
      </c>
      <c r="F460" s="409" t="str">
        <f>INDEX('卡片raw data'!C:C,MATCH($D460,'卡片raw data'!$F:$F,))</f>
        <v>SR</v>
      </c>
      <c r="G460" s="1094" t="s">
        <v>2703</v>
      </c>
      <c r="H460" s="411">
        <f>IFERROR(INDEX(绊状态确认!C:C,MATCH($G460,绊状态确认!$B:$B,)),"")</f>
        <v>201</v>
      </c>
      <c r="I460" s="450" t="str">
        <f>IFERROR(INDEX(绊状态确认!D:D,MATCH($G460,绊状态确认!$B:$B,)),"")</f>
        <v>虹</v>
      </c>
      <c r="J460" s="450" t="str">
        <f>IFERROR(INDEX(绊状态确认!E:E,MATCH($G460,绊状态确认!$B:$B,)),"")</f>
        <v>2年级</v>
      </c>
      <c r="K460" s="451" t="str">
        <f>IFERROR(INDEX(绊状态确认!F:F,MATCH($G460,绊状态确认!$B:$B,)),"")</f>
        <v>A·ZU·NA</v>
      </c>
      <c r="L460" s="414" t="str">
        <f>INDEX('卡片raw data'!E:E,MATCH($D460,'卡片raw data'!$F:$F,))</f>
        <v>活动卡</v>
      </c>
      <c r="M460" s="478">
        <v>44320</v>
      </c>
      <c r="N460" s="479">
        <v>39</v>
      </c>
      <c r="O460" s="410" t="str">
        <f>INDEX('卡片raw data'!D:D,MATCH($D460,'卡片raw data'!$F:$F,))</f>
        <v>sk</v>
      </c>
      <c r="P460" s="1126">
        <v>5</v>
      </c>
      <c r="Q460" s="418">
        <f t="shared" si="600"/>
        <v>20703.747622542905</v>
      </c>
      <c r="R460" s="419">
        <f t="shared" si="601"/>
        <v>0.24</v>
      </c>
      <c r="S460" s="420">
        <f t="shared" si="602"/>
        <v>15480.196734551706</v>
      </c>
      <c r="T460" s="421">
        <f t="shared" si="603"/>
        <v>0.77400000000000002</v>
      </c>
      <c r="U460" s="422">
        <f t="shared" si="604"/>
        <v>249.60085173233782</v>
      </c>
      <c r="V460" s="423">
        <f t="shared" si="605"/>
        <v>49729.725548624767</v>
      </c>
      <c r="W460" s="424">
        <f t="shared" si="606"/>
        <v>4530.0133306938706</v>
      </c>
      <c r="X460" s="419">
        <f t="shared" si="607"/>
        <v>5.1999999999999998E-2</v>
      </c>
      <c r="Y460" s="420">
        <f t="shared" si="608"/>
        <v>720.82975067688312</v>
      </c>
      <c r="Z460" s="425">
        <f t="shared" si="609"/>
        <v>9.0896158678928547</v>
      </c>
      <c r="AA460" s="426">
        <f t="shared" si="610"/>
        <v>5250.8430813707537</v>
      </c>
      <c r="AB460" s="424">
        <f t="shared" si="611"/>
        <v>5013.4093026998762</v>
      </c>
      <c r="AC460" s="427">
        <f t="shared" si="612"/>
        <v>5.8000000000000003E-2</v>
      </c>
      <c r="AD460" s="428">
        <f t="shared" si="613"/>
        <v>1.8994224431818179E-2</v>
      </c>
      <c r="AE460" s="516">
        <f t="shared" si="614"/>
        <v>4.3537577047458456</v>
      </c>
      <c r="AF460" s="1130">
        <f t="shared" si="615"/>
        <v>3207.0298115259325</v>
      </c>
      <c r="AG460" s="420">
        <f t="shared" si="616"/>
        <v>107948.83352330001</v>
      </c>
      <c r="AH460" s="420">
        <f t="shared" si="617"/>
        <v>33.660065502146679</v>
      </c>
      <c r="AI460" s="1097">
        <f t="shared" si="618"/>
        <v>64692.993620325644</v>
      </c>
      <c r="AJ460" s="420">
        <f t="shared" si="619"/>
        <v>49729.725548624767</v>
      </c>
      <c r="AK460" s="518">
        <f t="shared" si="620"/>
        <v>14963.268071700877</v>
      </c>
      <c r="AL460" s="429">
        <f>IF($P460="","N/A",(IF($P460=-1,INDEX('卡片raw data'!S:S,MATCH($D460,'卡片raw data'!$F:$F,)),0)+IF($P460=0,INDEX('卡片raw data'!V:V,MATCH($D460,'卡片raw data'!$F:$F,)),0)+IF($P460=1,INDEX('卡片raw data'!Y:Y,MATCH($D460,'卡片raw data'!$F:$F,)),0)+IF($P460=2,INDEX('卡片raw data'!AB:AB,MATCH($D460,'卡片raw data'!$F:$F,)),0)+IF($P460=3,INDEX('卡片raw data'!AE:AE,MATCH($D460,'卡片raw data'!$F:$F,)),0)+IF($P460=4,INDEX('卡片raw data'!AH:AH,MATCH($D460,'卡片raw data'!$F:$F,)),0)+IF($P460=5,INDEX('卡片raw data'!AK:AK,MATCH($D460,'卡片raw data'!$F:$F,)),0)+INDEX('卡片raw data'!S:S,MATCH($D460,'卡片raw data'!$F:$F,))*(IF($F460="UR",0.04,0.033))*(IF($F460="UR",INDEX(绊状态确认!$S:$S,MATCH($G460,绊状态确认!$B:$B,))/2-40)+IF($F460="SR",INDEX(绊状态确认!$R:$R,MATCH($G460,绊状态确认!$B:$B,))/4-15))+IF($F460="R",INDEX(绊状态确认!$Q:$Q,MATCH($G460,绊状态确认!$B:$B,))/6-40/6)))*(INDEX(绊状态确认!$H:$H,MATCH($G460,绊状态确认!$B:$B,))+INDEX(绊状态确认!J:J,MATCH($G460,绊状态确认!$B:$B,)))</f>
        <v>6739.9043063999998</v>
      </c>
      <c r="AM460" s="429">
        <f>IF($P460="","N/A",(IF($P460=-1,INDEX('卡片raw data'!T:T,MATCH($D460,'卡片raw data'!$F:$F,)),0)+IF($P460=0,INDEX('卡片raw data'!W:W,MATCH($D460,'卡片raw data'!$F:$F,)),0)+IF($P460=1,INDEX('卡片raw data'!Z:Z,MATCH($D460,'卡片raw data'!$F:$F,)),0)+IF($P460=2,INDEX('卡片raw data'!AC:AC,MATCH($D460,'卡片raw data'!$F:$F,)),0)+IF($P460=3,INDEX('卡片raw data'!AF:AF,MATCH($D460,'卡片raw data'!$F:$F,)),0)+IF($P460=4,INDEX('卡片raw data'!AI:AI,MATCH($D460,'卡片raw data'!$F:$F,)),0)+IF($P460=5,INDEX('卡片raw data'!AL:AL,MATCH($D460,'卡片raw data'!$F:$F,)),0)+INDEX('卡片raw data'!T:T,MATCH($D460,'卡片raw data'!$F:$F,))*(IF($F460="UR",0.04,0.033))*(IF($F460="UR",INDEX(绊状态确认!$S:$S,MATCH($G460,绊状态确认!$B:$B,))/2-40)+IF($F460="SR",INDEX(绊状态确认!$R:$R,MATCH($G460,绊状态确认!$B:$B,))/4-15))+IF($F460="R",INDEX(绊状态确认!$Q:$Q,MATCH($G460,绊状态确认!$B:$B,))/6-40/6)))*(INDEX(绊状态确认!$H:$H,MATCH($G460,绊状态确认!$B:$B,))+INDEX(绊状态确认!K:K,MATCH($G460,绊状态确认!$B:$B,)))</f>
        <v>4234.1695799999989</v>
      </c>
      <c r="AN460" s="429">
        <f>IF($P460="","N/A",(IF($P460=-1,INDEX('卡片raw data'!U:U,MATCH($D460,'卡片raw data'!$F:$F,)),0)+IF($P460=0,INDEX('卡片raw data'!X:X,MATCH($D460,'卡片raw data'!$F:$F,)),0)+IF($P460=1,INDEX('卡片raw data'!AA:AA,MATCH($D460,'卡片raw data'!$F:$F,)),0)+IF($P460=2,INDEX('卡片raw data'!AD:AD,MATCH($D460,'卡片raw data'!$F:$F,)),0)+IF($P460=3,INDEX('卡片raw data'!AG:AG,MATCH($D460,'卡片raw data'!$F:$F,)),0)+IF($P460=4,INDEX('卡片raw data'!AJ:AJ,MATCH($D460,'卡片raw data'!$F:$F,)),0)+IF($P460=5,INDEX('卡片raw data'!AM:AM,MATCH($D460,'卡片raw data'!$F:$F,)),0)+INDEX('卡片raw data'!U:U,MATCH($D460,'卡片raw data'!$F:$F,))*(IF($F460="UR",0.04,0.033))*(IF($F460="UR",INDEX(绊状态确认!$S:$S,MATCH($G460,绊状态确认!$B:$B,))/2-40)+IF($F460="SR",INDEX(绊状态确认!$R:$R,MATCH($G460,绊状态确认!$B:$B,))/4-15))+IF($F460="R",INDEX(绊状态确认!$Q:$Q,MATCH($G460,绊状态确认!$B:$B,))/6-40/6)))*(INDEX(绊状态确认!$H:$H,MATCH($G460,绊状态确认!$B:$B,))+INDEX(绊状态确认!L:L,MATCH($G460,绊状态确认!$B:$B,)))</f>
        <v>8279.5058447999982</v>
      </c>
      <c r="AO460" s="430">
        <f t="shared" si="621"/>
        <v>1</v>
      </c>
      <c r="AP460" s="556">
        <f>1+(INDEX(绊状态确认!$T:$T,MATCH($G460,绊状态确认!$B:$B,))+0.2)*$AO460</f>
        <v>1.3</v>
      </c>
      <c r="AQ460" s="431">
        <f t="shared" si="622"/>
        <v>20942.248804299998</v>
      </c>
      <c r="AR460" s="420">
        <f>(AM460*(1+$EX$9)+$EX$35)*(1+(INDEX(绊状态确认!$T:$T,MATCH($G460,绊状态确认!$B:$B,))+0.2)*AO460)*IF(J460=$FF$17,1+$FE$17,1)*IF(I460=$FF$14,1+$FE$14,1)</f>
        <v>8483.6414766999987</v>
      </c>
      <c r="AS460" s="420">
        <f>(AN460*(1+$EX$10)+$EX$36)*(1+(INDEX(绊状态确认!$T:$T,MATCH($G460,绊状态确认!$B:$B,))+0.2)*AO460)*IF(J460=$FF$17,1+$FE$17,1)*IF(I460=$FF$14,1+$FE$14,1)</f>
        <v>16433.861237975998</v>
      </c>
      <c r="AT460" s="412">
        <f>IF(AND(INDEX('卡片raw data'!AK:AK,MATCH($D460,'卡片raw data'!$F:$F,))&lt;INDEX('卡片raw data'!AM:AM,MATCH($D460,'卡片raw data'!$F:$F,)),INDEX('卡片raw data'!AL:AL,MATCH($D460,'卡片raw data'!$F:$F,))&lt;INDEX('卡片raw data'!AM:AM,MATCH($D460,'卡片raw data'!$F:$F,))),1,0)</f>
        <v>1</v>
      </c>
      <c r="AU460" s="421">
        <f>MIN(AT460*0.15+AS460*0.00003+INDEX(绊状态确认!M:M,MATCH($G460,绊状态确认!$B:$B,)),1)</f>
        <v>0.67301583713927993</v>
      </c>
      <c r="AV460" s="432">
        <f>(INDEX(绊状态确认!$N:$N,MATCH($G460,绊状态确认!$B:$B,))+1.5)*$EW$21</f>
        <v>2.6599999999999997</v>
      </c>
      <c r="AW460" s="424">
        <f t="shared" si="623"/>
        <v>23027.344288146298</v>
      </c>
      <c r="AX460" s="420">
        <f t="shared" si="624"/>
        <v>720.8297506768829</v>
      </c>
      <c r="AY460" s="433">
        <f t="shared" si="625"/>
        <v>23748.174038823181</v>
      </c>
      <c r="AZ460" s="429">
        <f t="shared" si="626"/>
        <v>15742.813397479998</v>
      </c>
      <c r="BA460" s="431">
        <f t="shared" si="627"/>
        <v>18891.376076975997</v>
      </c>
      <c r="BB460" s="420">
        <f>(AM460*(1+$FB$9)+$FB$35)*(1+(INDEX(绊状态确认!$T:$T,MATCH($G460,绊状态确认!$B:$B,))+0.2)*AO460)*IF(J460=$FF$17,1+$FE$17,1)*IF(I460=$FF$14,1+$FE$14,1)*(1+$FE$15)</f>
        <v>8483.6414766999987</v>
      </c>
      <c r="BC460" s="420">
        <f>(AN460*(1+$FB$10)+$FB$36)*(1+(INDEX(绊状态确认!$T:$T,MATCH($G460,绊状态确认!$B:$B,))+0.2)*AO460)*IF(J460=$FF$17,1+$FE$17,1)*IF(I460=$FF$14,1+$FE$14,1)*(1+$FE$15)</f>
        <v>16433.861237975998</v>
      </c>
      <c r="BD460" s="427">
        <f>MIN(AT460*0.15+BC460*0.00003+INDEX(绊状态确认!M:M,MATCH($G460,绊状态确认!$B:$B,)),1)</f>
        <v>0.67301583713927993</v>
      </c>
      <c r="BE460" s="432">
        <f>(INDEX(绊状态确认!$N:$N,MATCH($G460,绊状态确认!$B:$B,))+1.5)</f>
        <v>1.9</v>
      </c>
      <c r="BF460" s="645">
        <f t="array" ref="BF460">SUMPRODUCT(IF(AZ460*AP460*$FI$16:$FI$23*$FA$22&gt;=$FI$24,$FI$24,AZ460*AP460*$FI$16:$FI$23*$FA$22),$FJ$16:$FJ$23)</f>
        <v>31312.45584758772</v>
      </c>
      <c r="BG460" s="453">
        <f t="array" ref="BG460">SUMPRODUCT(IF(BE460*AZ460*AP460*$FI$16:$FI$23*$FA$22&gt;=$FI$24,$FI$24,BE460*AZ460*AP460*$FI$16:$FI$23*$FA$22),$FJ$16:$FJ$23)</f>
        <v>56274.341746173741</v>
      </c>
      <c r="BH460" s="433">
        <f t="shared" si="628"/>
        <v>16037.400127399926</v>
      </c>
      <c r="BI460" s="434">
        <f>IF(O460="vo",$EW$26/$EW$24*0.05,0)+IF(O460="sk",-$EW$26/$EW$24*(0.05-INDEX(绊状态确认!W:W,MATCH($G460,绊状态确认!$B:$B,)))+0.05*$EW$28,0)+IF(O460="sp",0.05*$EW$32*$EW$30*(1-$EW$33)-(0.05-INDEX(绊状态确认!V:V,MATCH($G460,绊状态确认!$B:$B,)))*$EW$28,0)+IF(O460="gd",-(0.05-INDEX(绊状态确认!X:X,MATCH($G460,绊状态确认!$B:$B,)))*$EW$32*$EW$30*(1-$EW$33),0)</f>
        <v>-6253.6726349699375</v>
      </c>
      <c r="BJ460" s="420">
        <f>IF(O460="vo",0.05*(1-$FI$26)*$FA$24,0)+IF(O460="sk",-(0.05-INDEX(绊状态确认!W:W,MATCH($G460,绊状态确认!$B:$B,)))*(1-$FI$26)*$FA$24+0.05*$FA$26,0)+IF(O460="sp",0.05*$FA$32*$FA$27*(1-$FA$33)/$FA$30+0.05*$FA$29/$FA$69*$FA$27*(1-$FA$33)-(0.05-INDEX(绊状态确认!V:V,MATCH($G460,绊状态确认!$B:$B,)))*$FA$26,0)+IF(O460="gd",-(0.05-INDEX(绊状态确认!X:X,MATCH($G460,绊状态确认!$B:$B,)))*$FA$32*$FA$27*(1-$FA$33)/$FA$30-(0.05-INDEX(绊状态确认!X:X,MATCH($G460,绊状态确认!$B:$B,)))*$FA$29/$FA$69*$FA$27*(1-$FA$33),0)</f>
        <v>20.459096812499922</v>
      </c>
      <c r="BK460" s="433">
        <f>IF(O460="vo",$EW$26/$EW$24*0.05+$EW$26*(-HP($EW$62,$EW$65,$EW$64)+HP($EW$62,$EW$65,(1.05-INDEX(绊状态确认!U:U,MATCH($G460,绊状态确认!$B:$B,)))*$EW$64)),0)+IF(O460="sk",-$EW$26/$EW$24*(0.05-INDEX(绊状态确认!W:W,MATCH($G460,绊状态确认!$B:$B,)))+0.05*$EW$29,0)+IF(O460="sp",0.05*$EW$32*$EW$30*(1-$EW$33)-(0.05-INDEX(绊状态确认!V:V,MATCH($G460,绊状态确认!$B:$B,)))*$EW$29,0)+IF(O460="gd",-(0.05-INDEX(绊状态确认!X:X,MATCH($G460,绊状态确认!$B:$B,)))*$EW$32*$EW$30*(1-$EW$33)+$EW$26*(-HP($EW$62,$EW$65,$EW$64)+HP($EW$62,$EW$65,0.95*$EW$64)),0)</f>
        <v>-4253.6726349699375</v>
      </c>
      <c r="BL460" s="434">
        <f t="shared" si="629"/>
        <v>-1083.3333333333333</v>
      </c>
      <c r="BM460" s="433">
        <f t="shared" si="630"/>
        <v>-830.55555555555543</v>
      </c>
      <c r="BN460" s="437">
        <f t="shared" si="631"/>
        <v>3</v>
      </c>
      <c r="BO460" s="1108">
        <f t="shared" si="632"/>
        <v>4507.7214871259994</v>
      </c>
      <c r="BP460" s="1100">
        <f t="shared" si="633"/>
        <v>221.34103209030098</v>
      </c>
      <c r="BQ460" s="1113" t="s">
        <v>134</v>
      </c>
      <c r="BR460" s="450" t="s">
        <v>166</v>
      </c>
      <c r="BS460" s="421">
        <f>IF($P460="","N/A",IF($P460=-1,INDEX('卡片raw data'!AX:AX,MATCH($D460,'卡片raw data'!$F:$F,)),0)+IF($L460="party卡",IF($P460=5,INDEX('卡片raw data'!BD:BD,MATCH($D460,'卡片raw data'!$F:$F,)),IF($P460&gt;=3,INDEX('卡片raw data'!BC:BC,MATCH($D460,'卡片raw data'!$F:$F,)),INDEX('卡片raw data'!BB:BB,MATCH($D460,'卡片raw data'!$F:$F,)))),IF(OR(AND($F460="UR",$P460=0),AND($F460="SR",$P460&gt;=0,$P460&lt;=2),AND($F460="R",$P460&gt;=0,$P460&lt;4)),INDEX('卡片raw data'!AZ:AZ,MATCH($D460,'卡片raw data'!$F:$F,)),0)+IF(OR(AND($F460="UR",$P460&gt;=1,$P460&lt;=4),AND($F460="SR",$P460&lt;=4,$P460&gt;=3),AND($F460="R",$P460=4)),INDEX('卡片raw data'!BA:BA,MATCH($D460,'卡片raw data'!$F:$F,)),0)+IF($P460=5,INDEX('卡片raw data'!BB:BB,MATCH($D460,'卡片raw data'!$F:$F,)),0)))</f>
        <v>7.0000000000000007E-2</v>
      </c>
      <c r="BT460" s="424">
        <f t="shared" si="634"/>
        <v>461.10412843813396</v>
      </c>
      <c r="BU460" s="420">
        <f t="shared" si="635"/>
        <v>27.353410656419069</v>
      </c>
      <c r="BV460" s="420">
        <f t="shared" si="636"/>
        <v>0</v>
      </c>
      <c r="BW460" s="436">
        <f t="shared" si="637"/>
        <v>0</v>
      </c>
      <c r="BX460" s="423">
        <f t="shared" si="638"/>
        <v>461.10412843813396</v>
      </c>
      <c r="BY460" s="433">
        <f t="shared" si="639"/>
        <v>0</v>
      </c>
      <c r="BZ460" s="1113" t="s">
        <v>569</v>
      </c>
      <c r="CA460" s="450"/>
      <c r="CB460" s="421">
        <f>IF($P460="","N/A",IF($P460=-1,INDEX('卡片raw data'!BE:BE,MATCH($D460,'卡片raw data'!$F:$F,)),0)+IF($L460="party卡",IF($P460=5,INDEX('卡片raw data'!BK:BK,MATCH($D460,'卡片raw data'!$F:$F,)),IF($P460&gt;=3,INDEX('卡片raw data'!BJ:BJ,MATCH($D460,'卡片raw data'!$F:$F,)),INDEX('卡片raw data'!BI:BI,MATCH($D460,'卡片raw data'!$F:$F,)))),IF(OR(AND($F460="UR",$P460=0),AND($F460="SR",$P460&gt;=0,$P460&lt;=2),AND($F460="R",$P460&gt;=0,$P460&lt;4)),INDEX('卡片raw data'!BG:BG,MATCH($D460,'卡片raw data'!$F:$F,)),0)+IF(OR(AND($F460="UR",$P460&gt;=1,$P460&lt;=4),AND($F460="SR",$P460&lt;=4,$P460&gt;=3),AND($F460="R",$P460=4)),INDEX('卡片raw data'!BH:BH,MATCH($D460,'卡片raw data'!$F:$F,)),0)+IF($P460=5,INDEX('卡片raw data'!BI:BI,MATCH($D460,'卡片raw data'!$F:$F,)),0)))</f>
        <v>0</v>
      </c>
      <c r="CC460" s="424">
        <f t="shared" si="640"/>
        <v>0</v>
      </c>
      <c r="CD460" s="420">
        <f>IF(BZ460="ap",CB460*(1-$FI$26)*$FB$5/$FB$11*(+IF(CA460="全员",$FA$24,0)+IF(CA460="同作战",$FA$24,0)+IF(CA460="仲间",$FA$24*2/3,0)+IF(CA460="同属性",$FA$24*$FA$37/3,0)+IF(CA460="同年级",$FA$24*$FA$40/3,0)+IF(CA460="同学校",$FA$24*$FA$43/3,0)+IF(CA460="同小队",$FA$24*$FA$46/3,0)+IF(CA460="同type",$FA$24*INDEX($FB$49:$FB$52,MATCH(X460,$FA$49:$FA$52,))/3,0)+IF(CA460="自身",#REF!/3,0)),0)+IF(BZ460="te",CB460*(1-$FI$27)*($FA$20-1)*$FB$7/$FB$13*(+IF(CA460="全员",$FA$19*$FA$24/(1+($FA$20-1)*$FA$19),0)+IF(CA460="同作战",$FA$19*$FA$24/(1+($FA$20-1)*$FA$19),0)+IF(CA460="仲间",$FA$19*$FA$24*2/3/(1+($FA$20-1)*$FA$19),0)+IF(CA460="同属性",$FA$19*$FA$24*$FA$37/3/(1+($FA$20-1)*$FA$19),0)+IF(CA460="同年级",$FA$19*$FA$24*$FA$40/3/(1+($FA$20-1)*$FA$19),0)+IF(CA460="同学校",$FA$19*$FA$24*$FA$43/3/(1+($FA$20-1)*$FA$19),0)+IF(CA460="同小队",$FA$19*$FA$24*$FA$46/3/(1+($FA$20-1)*$FA$19),0)+IF(CA460="同type",$FA$19*$FA$24*INDEX($FB$49:$FB$52,MATCH(X460,$FA$49:$FA$52,))/3/(1+($FA$20-1)*$FA$19),0)+IF(CA460="自身",$FA$19*#REF!/3/(1+(BH460-1)*$BD460),0)),0)</f>
        <v>0</v>
      </c>
      <c r="CE460" s="420">
        <f t="shared" si="641"/>
        <v>0</v>
      </c>
      <c r="CF460" s="436">
        <f t="shared" si="642"/>
        <v>0</v>
      </c>
      <c r="CG460" s="423">
        <f t="shared" si="643"/>
        <v>0</v>
      </c>
      <c r="CH460" s="433">
        <f t="shared" si="644"/>
        <v>0</v>
      </c>
      <c r="CI460" s="437" t="s">
        <v>2045</v>
      </c>
      <c r="CJ460" s="438">
        <v>1</v>
      </c>
      <c r="CK460" s="439" t="s">
        <v>2107</v>
      </c>
      <c r="CL460" s="439" t="s">
        <v>2075</v>
      </c>
      <c r="CM460" s="1119">
        <v>0.08</v>
      </c>
      <c r="CN460" s="1115">
        <v>2</v>
      </c>
      <c r="CO460" s="1115"/>
      <c r="CP460" s="1118">
        <f t="shared" si="645"/>
        <v>3.8095238095238096E-4</v>
      </c>
      <c r="CQ460" s="1118">
        <f t="shared" si="646"/>
        <v>5.1851851851851853E-4</v>
      </c>
      <c r="CR460" s="1118">
        <f t="shared" si="647"/>
        <v>1.9047619047619048E-4</v>
      </c>
      <c r="CS460" s="442">
        <f t="shared" si="648"/>
        <v>0</v>
      </c>
      <c r="CT460" s="432">
        <f t="shared" si="649"/>
        <v>0</v>
      </c>
      <c r="CU460" s="1101">
        <f t="shared" si="650"/>
        <v>44.583687135742863</v>
      </c>
      <c r="CV460" s="1108">
        <f t="shared" si="682"/>
        <v>4.1986231481161687</v>
      </c>
      <c r="CW460" s="420">
        <f t="shared" si="651"/>
        <v>22.291843567871432</v>
      </c>
      <c r="CX460" s="420">
        <f t="shared" si="652"/>
        <v>44.583687135742863</v>
      </c>
      <c r="CY460" s="433">
        <f t="shared" si="653"/>
        <v>22.291843567871432</v>
      </c>
      <c r="CZ460" s="437"/>
      <c r="DA460" s="438"/>
      <c r="DB460" s="439" t="s">
        <v>569</v>
      </c>
      <c r="DC460" s="439"/>
      <c r="DD460" s="443"/>
      <c r="DE460" s="411"/>
      <c r="DF460" s="411"/>
      <c r="DG460" s="1116">
        <f t="shared" si="654"/>
        <v>0</v>
      </c>
      <c r="DH460" s="1116">
        <f t="shared" si="655"/>
        <v>0</v>
      </c>
      <c r="DI460" s="1116">
        <f t="shared" si="656"/>
        <v>0</v>
      </c>
      <c r="DJ460" s="442">
        <f t="shared" si="657"/>
        <v>0</v>
      </c>
      <c r="DK460" s="432">
        <f t="shared" si="658"/>
        <v>0</v>
      </c>
      <c r="DL460" s="424">
        <f t="shared" si="659"/>
        <v>0</v>
      </c>
      <c r="DM460" s="420">
        <f t="shared" si="660"/>
        <v>0</v>
      </c>
      <c r="DN460" s="420">
        <f t="shared" si="661"/>
        <v>0</v>
      </c>
      <c r="DO460" s="420">
        <f t="shared" si="662"/>
        <v>0</v>
      </c>
      <c r="DP460" s="433">
        <f t="shared" si="663"/>
        <v>0</v>
      </c>
      <c r="DQ460" s="437" t="s">
        <v>2080</v>
      </c>
      <c r="DR460" s="1120">
        <f t="shared" si="664"/>
        <v>0.3</v>
      </c>
      <c r="DS460" s="450"/>
      <c r="DT460" s="1093" t="s">
        <v>133</v>
      </c>
      <c r="DU460" s="1124"/>
      <c r="DV460" s="1098">
        <f>IF($P460="","N/A",IF(P460=-1,INDEX('卡片raw data'!AN:AN,MATCH(D460,'卡片raw data'!$F:$F,)),0)+IF(AND(L460&lt;&gt;"party卡",P460&lt;=2,P460&gt;=0),INDEX('卡片raw data'!AP:AP,MATCH(D460,'卡片raw data'!$F:$F,)),0)+IF(OR(AND(L460="party卡",P460&lt;=1),AND(P460&lt;=4,L460&lt;&gt;"party卡",P460&gt;=3)),INDEX('卡片raw data'!AQ:AQ,MATCH(D460,'卡片raw data'!$F:$F,)),0)+IF(OR(P460=5,AND(L460="party卡",P460&gt;=2)),INDEX('卡片raw data'!AR:AR,MATCH(D460,'卡片raw data'!$F:$F,)),0))</f>
        <v>0.27</v>
      </c>
      <c r="DW460" s="1098">
        <f t="shared" si="665"/>
        <v>0.3</v>
      </c>
      <c r="DX460" s="1098">
        <f t="shared" si="666"/>
        <v>0.3</v>
      </c>
      <c r="DY460" s="1097">
        <f t="shared" si="667"/>
        <v>229.05831987089994</v>
      </c>
      <c r="DZ460" s="1097">
        <f t="shared" si="668"/>
        <v>198.13544668832844</v>
      </c>
      <c r="EA460" s="421">
        <f t="shared" si="669"/>
        <v>0</v>
      </c>
      <c r="EB460" s="445">
        <f t="shared" si="670"/>
        <v>0</v>
      </c>
      <c r="EC460" s="424">
        <f t="shared" si="671"/>
        <v>0</v>
      </c>
      <c r="ED460" s="420">
        <f t="shared" si="672"/>
        <v>0</v>
      </c>
      <c r="EE460" s="433">
        <f t="shared" si="598"/>
        <v>26305.148175404982</v>
      </c>
      <c r="EF460" s="1115" t="s">
        <v>569</v>
      </c>
      <c r="EG460" s="1120">
        <f t="shared" si="673"/>
        <v>0.3</v>
      </c>
      <c r="EH460" s="450"/>
      <c r="EI460" s="1093"/>
      <c r="EJ460" s="1093"/>
      <c r="EK460" s="420">
        <f>IF($P460="","N/A",IF(P460=-1,INDEX('卡片raw data'!AS:AS,MATCH(D460,'卡片raw data'!$F:$F,)),0)+IF(AND(L460&lt;&gt;"party卡",P460&lt;=2,P460&gt;=0),INDEX('卡片raw data'!AU:AU,MATCH(D460,'卡片raw data'!$F:$F,)),0)+IF(OR(AND(L460="party卡",P460&lt;=1),AND(P460&lt;=4,L460&lt;&gt;"party卡",P460&gt;=3)),INDEX('卡片raw data'!AV:AV,MATCH(D460,'卡片raw data'!$F:$F,)),0)+IF(OR(P460=5,AND(L460="party卡",P460&gt;=2)),INDEX('卡片raw data'!AW:AW,MATCH(D460,'卡片raw data'!$F:$F,)),0))</f>
        <v>0</v>
      </c>
      <c r="EL460" s="1098">
        <f t="shared" si="674"/>
        <v>0.3</v>
      </c>
      <c r="EM460" s="1098">
        <f t="shared" si="675"/>
        <v>0.3</v>
      </c>
      <c r="EN460" s="1097">
        <f t="shared" si="676"/>
        <v>0</v>
      </c>
      <c r="EO460" s="1097">
        <f t="shared" si="677"/>
        <v>0</v>
      </c>
      <c r="EP460" s="421">
        <f t="shared" si="678"/>
        <v>0</v>
      </c>
      <c r="EQ460" s="445">
        <f t="shared" si="679"/>
        <v>0</v>
      </c>
      <c r="ER460" s="424">
        <f t="shared" si="680"/>
        <v>0</v>
      </c>
      <c r="ES460" s="420">
        <f t="shared" si="681"/>
        <v>0</v>
      </c>
      <c r="ET460" s="446">
        <f t="shared" si="599"/>
        <v>0</v>
      </c>
    </row>
    <row r="461" spans="2:150" ht="16.5" customHeight="1">
      <c r="B461" s="448" t="str">
        <f>INDEX('卡片raw data'!B:B,MATCH($D461,'卡片raw data'!$F:$F,))</f>
        <v>prt彼</v>
      </c>
      <c r="C461" s="449" t="s">
        <v>2706</v>
      </c>
      <c r="D461" s="408">
        <v>458</v>
      </c>
      <c r="E461" s="477">
        <v>302063002</v>
      </c>
      <c r="F461" s="409" t="str">
        <f>INDEX('卡片raw data'!C:C,MATCH($D461,'卡片raw data'!$F:$F,))</f>
        <v>UR</v>
      </c>
      <c r="G461" s="1094" t="s">
        <v>2707</v>
      </c>
      <c r="H461" s="411">
        <f>IFERROR(INDEX(绊状态确认!C:C,MATCH($G461,绊状态确认!$B:$B,)),"")</f>
        <v>206</v>
      </c>
      <c r="I461" s="450" t="str">
        <f>IFERROR(INDEX(绊状态确认!D:D,MATCH($G461,绊状态确认!$B:$B,)),"")</f>
        <v>虹</v>
      </c>
      <c r="J461" s="450" t="str">
        <f>IFERROR(INDEX(绊状态确认!E:E,MATCH($G461,绊状态确认!$B:$B,)),"")</f>
        <v>3年级</v>
      </c>
      <c r="K461" s="451" t="str">
        <f>IFERROR(INDEX(绊状态确认!F:F,MATCH($G461,绊状态确认!$B:$B,)),"")</f>
        <v>QU4RTZ</v>
      </c>
      <c r="L461" s="414" t="str">
        <f>INDEX('卡片raw data'!E:E,MATCH($D461,'卡片raw data'!$F:$F,))</f>
        <v>party卡</v>
      </c>
      <c r="M461" s="478">
        <v>44330</v>
      </c>
      <c r="N461" s="479">
        <v>39.5</v>
      </c>
      <c r="O461" s="410" t="str">
        <f>INDEX('卡片raw data'!D:D,MATCH($D461,'卡片raw data'!$F:$F,))</f>
        <v>sp</v>
      </c>
      <c r="P461" s="1126">
        <v>5</v>
      </c>
      <c r="Q461" s="418">
        <f t="shared" si="600"/>
        <v>69629.543352107561</v>
      </c>
      <c r="R461" s="419">
        <f t="shared" si="601"/>
        <v>0.80900000000000005</v>
      </c>
      <c r="S461" s="420">
        <f t="shared" si="602"/>
        <v>24989.684593586797</v>
      </c>
      <c r="T461" s="421">
        <f t="shared" si="603"/>
        <v>1.2490000000000001</v>
      </c>
      <c r="U461" s="422">
        <f t="shared" si="604"/>
        <v>9.860128733742858</v>
      </c>
      <c r="V461" s="423">
        <f t="shared" si="605"/>
        <v>68612.705960729436</v>
      </c>
      <c r="W461" s="424">
        <f t="shared" si="606"/>
        <v>8552.6385246904647</v>
      </c>
      <c r="X461" s="419">
        <f t="shared" si="607"/>
        <v>9.9000000000000005E-2</v>
      </c>
      <c r="Y461" s="420">
        <f t="shared" si="608"/>
        <v>783.16260862187482</v>
      </c>
      <c r="Z461" s="425">
        <f t="shared" si="609"/>
        <v>9.860128733742858</v>
      </c>
      <c r="AA461" s="426">
        <f t="shared" si="610"/>
        <v>9335.8011333123395</v>
      </c>
      <c r="AB461" s="424">
        <f t="shared" si="611"/>
        <v>10180.426839485965</v>
      </c>
      <c r="AC461" s="427">
        <f t="shared" si="612"/>
        <v>0.11799999999999999</v>
      </c>
      <c r="AD461" s="428">
        <f t="shared" si="613"/>
        <v>-1.6087500000000001E-2</v>
      </c>
      <c r="AE461" s="516">
        <f t="shared" si="614"/>
        <v>71.261690543478238</v>
      </c>
      <c r="AF461" s="1130">
        <f t="shared" si="615"/>
        <v>0</v>
      </c>
      <c r="AG461" s="420">
        <f t="shared" si="616"/>
        <v>0</v>
      </c>
      <c r="AH461" s="420">
        <f t="shared" si="617"/>
        <v>0</v>
      </c>
      <c r="AI461" s="1097">
        <f t="shared" si="618"/>
        <v>0</v>
      </c>
      <c r="AJ461" s="420">
        <f t="shared" si="619"/>
        <v>0</v>
      </c>
      <c r="AK461" s="518">
        <f t="shared" si="620"/>
        <v>0</v>
      </c>
      <c r="AL461" s="1106">
        <f>IF($P461="","N/A",(IF($P461=-1,INDEX('卡片raw data'!S:S,MATCH($D461,'卡片raw data'!$F:$F,)),0)+IF($P461=0,INDEX('卡片raw data'!V:V,MATCH($D461,'卡片raw data'!$F:$F,)),0)+IF($P461=1,INDEX('卡片raw data'!Y:Y,MATCH($D461,'卡片raw data'!$F:$F,)),0)+IF($P461=2,INDEX('卡片raw data'!AB:AB,MATCH($D461,'卡片raw data'!$F:$F,)),0)+IF($P461=3,INDEX('卡片raw data'!AE:AE,MATCH($D461,'卡片raw data'!$F:$F,)),0)+IF($P461=4,INDEX('卡片raw data'!AH:AH,MATCH($D461,'卡片raw data'!$F:$F,)),0)+IF($P461=5,INDEX('卡片raw data'!AK:AK,MATCH($D461,'卡片raw data'!$F:$F,)),0)+INDEX('卡片raw data'!S:S,MATCH($D461,'卡片raw data'!$F:$F,))*(IF($F461="UR",0.04,0.033))*(IF($F461="UR",INDEX(绊状态确认!$S:$S,MATCH($G461,绊状态确认!$B:$B,))/2-40)+IF($F461="SR",INDEX(绊状态确认!$R:$R,MATCH($G461,绊状态确认!$B:$B,))/4-15))+IF($F461="R",INDEX(绊状态确认!$Q:$Q,MATCH($G461,绊状态确认!$B:$B,))/6-40/6)))*(INDEX(绊状态确认!$H:$H,MATCH($G461,绊状态确认!$B:$B,))+INDEX(绊状态确认!J:J,MATCH($G461,绊状态确认!$B:$B,)))</f>
        <v>13921.581839999999</v>
      </c>
      <c r="AM461" s="1106">
        <f>IF($P461="","N/A",(IF($P461=-1,INDEX('卡片raw data'!T:T,MATCH($D461,'卡片raw data'!$F:$F,)),0)+IF($P461=0,INDEX('卡片raw data'!W:W,MATCH($D461,'卡片raw data'!$F:$F,)),0)+IF($P461=1,INDEX('卡片raw data'!Z:Z,MATCH($D461,'卡片raw data'!$F:$F,)),0)+IF($P461=2,INDEX('卡片raw data'!AC:AC,MATCH($D461,'卡片raw data'!$F:$F,)),0)+IF($P461=3,INDEX('卡片raw data'!AF:AF,MATCH($D461,'卡片raw data'!$F:$F,)),0)+IF($P461=4,INDEX('卡片raw data'!AI:AI,MATCH($D461,'卡片raw data'!$F:$F,)),0)+IF($P461=5,INDEX('卡片raw data'!AL:AL,MATCH($D461,'卡片raw data'!$F:$F,)),0)+INDEX('卡片raw data'!T:T,MATCH($D461,'卡片raw data'!$F:$F,))*(IF($F461="UR",0.04,0.033))*(IF($F461="UR",INDEX(绊状态确认!$S:$S,MATCH($G461,绊状态确认!$B:$B,))/2-40)+IF($F461="SR",INDEX(绊状态确认!$R:$R,MATCH($G461,绊状态确认!$B:$B,))/4-15))+IF($F461="R",INDEX(绊状态确认!$Q:$Q,MATCH($G461,绊状态确认!$B:$B,))/6-40/6)))*(INDEX(绊状态确认!$H:$H,MATCH($G461,绊状态确认!$B:$B,))+INDEX(绊状态确认!K:K,MATCH($G461,绊状态确认!$B:$B,)))</f>
        <v>4761.0159839999997</v>
      </c>
      <c r="AN461" s="1106">
        <f>IF($P461="","N/A",(IF($P461=-1,INDEX('卡片raw data'!U:U,MATCH($D461,'卡片raw data'!$F:$F,)),0)+IF($P461=0,INDEX('卡片raw data'!X:X,MATCH($D461,'卡片raw data'!$F:$F,)),0)+IF($P461=1,INDEX('卡片raw data'!AA:AA,MATCH($D461,'卡片raw data'!$F:$F,)),0)+IF($P461=2,INDEX('卡片raw data'!AD:AD,MATCH($D461,'卡片raw data'!$F:$F,)),0)+IF($P461=3,INDEX('卡片raw data'!AG:AG,MATCH($D461,'卡片raw data'!$F:$F,)),0)+IF($P461=4,INDEX('卡片raw data'!AJ:AJ,MATCH($D461,'卡片raw data'!$F:$F,)),0)+IF($P461=5,INDEX('卡片raw data'!AM:AM,MATCH($D461,'卡片raw data'!$F:$F,)),0)+INDEX('卡片raw data'!U:U,MATCH($D461,'卡片raw data'!$F:$F,))*(IF($F461="UR",0.04,0.033))*(IF($F461="UR",INDEX(绊状态确认!$S:$S,MATCH($G461,绊状态确认!$B:$B,))/2-40)+IF($F461="SR",INDEX(绊状态确认!$R:$R,MATCH($G461,绊状态确认!$B:$B,))/4-15))+IF($F461="R",INDEX(绊状态确认!$Q:$Q,MATCH($G461,绊状态确认!$B:$B,))/6-40/6)))*(INDEX(绊状态确认!$H:$H,MATCH($G461,绊状态确认!$B:$B,))+INDEX(绊状态确认!L:L,MATCH($G461,绊状态确认!$B:$B,)))</f>
        <v>17950.301663999999</v>
      </c>
      <c r="AO461" s="1107">
        <f t="shared" si="621"/>
        <v>1</v>
      </c>
      <c r="AP461" s="1131">
        <f>1+(INDEX(绊状态确认!$T:$T,MATCH($G461,绊状态确认!$B:$B,))+0.2)*$AO461</f>
        <v>1.3</v>
      </c>
      <c r="AQ461" s="1108">
        <f t="shared" si="622"/>
        <v>39794.152329999997</v>
      </c>
      <c r="AR461" s="1097">
        <f>(AM461*(1+$EX$9)+$EX$35)*(1+(INDEX(绊状态确认!$T:$T,MATCH($G461,绊状态确认!$B:$B,))+0.2)*AO461)*IF(J461=$FF$17,1+$FE$17,1)*IF(I461=$FF$14,1+$FE$14,1)</f>
        <v>9202.7868181600006</v>
      </c>
      <c r="AS461" s="1097">
        <f>(AN461*(1+$EX$10)+$EX$36)*(1+(INDEX(绊状态确认!$T:$T,MATCH($G461,绊状态确认!$B:$B,))+0.2)*AO461)*IF(J461=$FF$17,1+$FE$17,1)*IF(I461=$FF$14,1+$FE$14,1)</f>
        <v>30891.70098768</v>
      </c>
      <c r="AT461" s="1093">
        <f>IF(AND(INDEX('卡片raw data'!AK:AK,MATCH($D461,'卡片raw data'!$F:$F,))&lt;INDEX('卡片raw data'!AM:AM,MATCH($D461,'卡片raw data'!$F:$F,)),INDEX('卡片raw data'!AL:AL,MATCH($D461,'卡片raw data'!$F:$F,))&lt;INDEX('卡片raw data'!AM:AM,MATCH($D461,'卡片raw data'!$F:$F,))),1,0)</f>
        <v>1</v>
      </c>
      <c r="AU461" s="1098">
        <f>MIN(AT461*0.15+AS461*0.00003+INDEX(绊状态确认!M:M,MATCH($G461,绊状态确认!$B:$B,)),1)</f>
        <v>1</v>
      </c>
      <c r="AV461" s="1109">
        <f>(INDEX(绊状态确认!$N:$N,MATCH($G461,绊状态确认!$B:$B,))+1.5)*$EW$21</f>
        <v>2.6599999999999997</v>
      </c>
      <c r="AW461" s="1101">
        <f t="shared" si="623"/>
        <v>54974.1165126216</v>
      </c>
      <c r="AX461" s="1097">
        <f t="shared" si="624"/>
        <v>783.16260862187414</v>
      </c>
      <c r="AY461" s="1110">
        <f t="shared" si="625"/>
        <v>55757.279121243475</v>
      </c>
      <c r="AZ461" s="429">
        <f t="shared" si="626"/>
        <v>29747.084587999998</v>
      </c>
      <c r="BA461" s="431">
        <f t="shared" si="627"/>
        <v>35696.501505599997</v>
      </c>
      <c r="BB461" s="1097">
        <f>(AM461*(1+$FB$9)+$FB$35)*(1+(INDEX(绊状态确认!$T:$T,MATCH($G461,绊状态确认!$B:$B,))+0.2)*AO461)*IF(J461=$FF$17,1+$FE$17,1)*IF(I461=$FF$14,1+$FE$14,1)*(1+$FE$15)</f>
        <v>9202.7868181600006</v>
      </c>
      <c r="BC461" s="1097">
        <f>(AN461*(1+$FB$10)+$FB$36)*(1+(INDEX(绊状态确认!$T:$T,MATCH($G461,绊状态确认!$B:$B,))+0.2)*AO461)*IF(J461=$FF$17,1+$FE$17,1)*IF(I461=$FF$14,1+$FE$14,1)*(1+$FE$15)</f>
        <v>30891.70098768</v>
      </c>
      <c r="BD461" s="1104">
        <f>MIN(AT461*0.15+BC461*0.00003+INDEX(绊状态确认!M:M,MATCH($G461,绊状态确认!$B:$B,)),1)</f>
        <v>1</v>
      </c>
      <c r="BE461" s="432">
        <f>(INDEX(绊状态确认!$N:$N,MATCH($G461,绊状态确认!$B:$B,))+1.5)</f>
        <v>1.9</v>
      </c>
      <c r="BF461" s="1139">
        <f t="array" ref="BF461">SUMPRODUCT(IF(AZ461*AP461*$FI$16:$FI$23*$FA$22&gt;=$FI$24,$FI$24,AZ461*AP461*$FI$16:$FI$23*$FA$22),$FJ$16:$FJ$23)</f>
        <v>56097.104270452</v>
      </c>
      <c r="BG461" s="1125">
        <f t="array" ref="BG461">SUMPRODUCT(IF(BE461*AZ461*AP461*$FI$16:$FI$23*$FA$22&gt;=$FI$24,$FI$24,BE461*AZ461*AP461*$FI$16:$FI$23*$FA$22),$FJ$16:$FJ$23)</f>
        <v>60000</v>
      </c>
      <c r="BH461" s="1110">
        <f t="shared" si="628"/>
        <v>20000</v>
      </c>
      <c r="BI461" s="1111">
        <f>IF(O461="vo",$EW$26/$EW$24*0.05,0)+IF(O461="sk",-$EW$26/$EW$24*(0.05-INDEX(绊状态确认!W:W,MATCH($G461,绊状态确认!$B:$B,)))+0.05*$EW$28,0)+IF(O461="sp",0.05*$EW$32*$EW$30*(1-$EW$33)-(0.05-INDEX(绊状态确认!V:V,MATCH($G461,绊状态确认!$B:$B,)))*$EW$28,0)+IF(O461="gd",-(0.05-INDEX(绊状态确认!X:X,MATCH($G461,绊状态确认!$B:$B,)))*$EW$32*$EW$30*(1-$EW$33),0)</f>
        <v>19.999999999999886</v>
      </c>
      <c r="BJ461" s="420">
        <f>IF(O461="vo",0.05*(1-$FI$26)*$FA$24,0)+IF(O461="sk",-(0.05-INDEX(绊状态确认!W:W,MATCH($G461,绊状态确认!$B:$B,)))*(1-$FI$26)*$FA$24+0.05*$FA$26,0)+IF(O461="sp",0.05*$FA$32*$FA$27*(1-$FA$33)/$FA$30+0.05*$FA$29/$FA$69*$FA$27*(1-$FA$33)-(0.05-INDEX(绊状态确认!V:V,MATCH($G461,绊状态确认!$B:$B,)))*$FA$26,0)+IF(O461="gd",-(0.05-INDEX(绊状态确认!X:X,MATCH($G461,绊状态确认!$B:$B,)))*$FA$32*$FA$27*(1-$FA$33)/$FA$30-(0.05-INDEX(绊状态确认!X:X,MATCH($G461,绊状态确认!$B:$B,)))*$FA$29/$FA$69*$FA$27*(1-$FA$33),0)</f>
        <v>545.83333333333326</v>
      </c>
      <c r="BK461" s="1110">
        <f>IF(O461="vo",$EW$26/$EW$24*0.05+$EW$26*(-HP($EW$62,$EW$65,$EW$64)+HP($EW$62,$EW$65,(1.05-INDEX(绊状态确认!U:U,MATCH($G461,绊状态确认!$B:$B,)))*$EW$64)),0)+IF(O461="sk",-$EW$26/$EW$24*(0.05-INDEX(绊状态确认!W:W,MATCH($G461,绊状态确认!$B:$B,)))+0.05*$EW$29,0)+IF(O461="sp",0.05*$EW$32*$EW$30*(1-$EW$33)-(0.05-INDEX(绊状态确认!V:V,MATCH($G461,绊状态确认!$B:$B,)))*$EW$29,0)+IF(O461="gd",-(0.05-INDEX(绊状态确认!X:X,MATCH($G461,绊状态确认!$B:$B,)))*$EW$32*$EW$30*(1-$EW$33)+$EW$26*(-HP($EW$62,$EW$65,$EW$64)+HP($EW$62,$EW$65,0.95*$EW$64)),0)</f>
        <v>-1780.0000000000005</v>
      </c>
      <c r="BL461" s="1111">
        <f t="shared" si="629"/>
        <v>0</v>
      </c>
      <c r="BM461" s="1110">
        <f t="shared" si="630"/>
        <v>0</v>
      </c>
      <c r="BN461" s="1113">
        <f t="shared" si="631"/>
        <v>4</v>
      </c>
      <c r="BO461" s="1108">
        <f t="shared" si="632"/>
        <v>6010.2953161679998</v>
      </c>
      <c r="BP461" s="1100">
        <f t="shared" si="633"/>
        <v>295.12137612040135</v>
      </c>
      <c r="BQ461" s="1113" t="s">
        <v>132</v>
      </c>
      <c r="BR461" s="1124" t="s">
        <v>171</v>
      </c>
      <c r="BS461" s="421">
        <f>IF($P461="","N/A",IF($P461=-1,INDEX('卡片raw data'!AX:AX,MATCH($D461,'卡片raw data'!$F:$F,)),0)+IF($L461="party卡",IF($P461=5,INDEX('卡片raw data'!BD:BD,MATCH($D461,'卡片raw data'!$F:$F,)),IF($P461&gt;=3,INDEX('卡片raw data'!BC:BC,MATCH($D461,'卡片raw data'!$F:$F,)),INDEX('卡片raw data'!BB:BB,MATCH($D461,'卡片raw data'!$F:$F,)))),IF(OR(AND($F461="UR",$P461=0),AND($F461="SR",$P461&gt;=0,$P461&lt;=2),AND($F461="R",$P461&gt;=0,$P461&lt;4)),INDEX('卡片raw data'!AZ:AZ,MATCH($D461,'卡片raw data'!$F:$F,)),0)+IF(OR(AND($F461="UR",$P461&gt;=1,$P461&lt;=4),AND($F461="SR",$P461&lt;=4,$P461&gt;=3),AND($F461="R",$P461=4)),INDEX('卡片raw data'!BA:BA,MATCH($D461,'卡片raw data'!$F:$F,)),0)+IF($P461=5,INDEX('卡片raw data'!BB:BB,MATCH($D461,'卡片raw data'!$F:$F,)),0)))</f>
        <v>6.5000000000000002E-2</v>
      </c>
      <c r="BT461" s="424">
        <f t="shared" si="634"/>
        <v>3255.5766295909998</v>
      </c>
      <c r="BU461" s="420">
        <f t="shared" si="635"/>
        <v>139.87523555706522</v>
      </c>
      <c r="BV461" s="420">
        <f t="shared" si="636"/>
        <v>1627.7883147955001</v>
      </c>
      <c r="BW461" s="436">
        <f t="shared" si="637"/>
        <v>0</v>
      </c>
      <c r="BX461" s="423">
        <f t="shared" si="638"/>
        <v>3255.5766295909998</v>
      </c>
      <c r="BY461" s="433">
        <f t="shared" si="639"/>
        <v>1627.7883147955001</v>
      </c>
      <c r="BZ461" s="1113" t="s">
        <v>569</v>
      </c>
      <c r="CA461" s="450"/>
      <c r="CB461" s="421">
        <f>IF($P461="","N/A",IF($P461=-1,INDEX('卡片raw data'!BE:BE,MATCH($D461,'卡片raw data'!$F:$F,)),0)+IF($L461="party卡",IF($P461=5,INDEX('卡片raw data'!BK:BK,MATCH($D461,'卡片raw data'!$F:$F,)),IF($P461&gt;=3,INDEX('卡片raw data'!BJ:BJ,MATCH($D461,'卡片raw data'!$F:$F,)),INDEX('卡片raw data'!BI:BI,MATCH($D461,'卡片raw data'!$F:$F,)))),IF(OR(AND($F461="UR",$P461=0),AND($F461="SR",$P461&gt;=0,$P461&lt;=2),AND($F461="R",$P461&gt;=0,$P461&lt;4)),INDEX('卡片raw data'!BG:BG,MATCH($D461,'卡片raw data'!$F:$F,)),0)+IF(OR(AND($F461="UR",$P461&gt;=1,$P461&lt;=4),AND($F461="SR",$P461&lt;=4,$P461&gt;=3),AND($F461="R",$P461=4)),INDEX('卡片raw data'!BH:BH,MATCH($D461,'卡片raw data'!$F:$F,)),0)+IF($P461=5,INDEX('卡片raw data'!BI:BI,MATCH($D461,'卡片raw data'!$F:$F,)),0)))</f>
        <v>0</v>
      </c>
      <c r="CC461" s="424">
        <f t="shared" si="640"/>
        <v>0</v>
      </c>
      <c r="CD461" s="420">
        <f>IF(BZ461="ap",CB461*(1-$FI$26)*$FB$5/$FB$11*(+IF(CA461="全员",$FA$24,0)+IF(CA461="同作战",$FA$24,0)+IF(CA461="仲间",$FA$24*2/3,0)+IF(CA461="同属性",$FA$24*$FA$37/3,0)+IF(CA461="同年级",$FA$24*$FA$40/3,0)+IF(CA461="同学校",$FA$24*$FA$43/3,0)+IF(CA461="同小队",$FA$24*$FA$46/3,0)+IF(CA461="同type",$FA$24*INDEX($FB$49:$FB$52,MATCH(X461,$FA$49:$FA$52,))/3,0)+IF(CA461="自身",#REF!/3,0)),0)+IF(BZ461="te",CB461*(1-$FI$27)*($FA$20-1)*$FB$7/$FB$13*(+IF(CA461="全员",$FA$19*$FA$24/(1+($FA$20-1)*$FA$19),0)+IF(CA461="同作战",$FA$19*$FA$24/(1+($FA$20-1)*$FA$19),0)+IF(CA461="仲间",$FA$19*$FA$24*2/3/(1+($FA$20-1)*$FA$19),0)+IF(CA461="同属性",$FA$19*$FA$24*$FA$37/3/(1+($FA$20-1)*$FA$19),0)+IF(CA461="同年级",$FA$19*$FA$24*$FA$40/3/(1+($FA$20-1)*$FA$19),0)+IF(CA461="同学校",$FA$19*$FA$24*$FA$43/3/(1+($FA$20-1)*$FA$19),0)+IF(CA461="同小队",$FA$19*$FA$24*$FA$46/3/(1+($FA$20-1)*$FA$19),0)+IF(CA461="同type",$FA$19*$FA$24*INDEX($FB$49:$FB$52,MATCH(X461,$FA$49:$FA$52,))/3/(1+($FA$20-1)*$FA$19),0)+IF(CA461="自身",$FA$19*#REF!/3/(1+(BH461-1)*$BD461),0)),0)</f>
        <v>0</v>
      </c>
      <c r="CE461" s="420">
        <f t="shared" si="641"/>
        <v>0</v>
      </c>
      <c r="CF461" s="436">
        <f t="shared" si="642"/>
        <v>0</v>
      </c>
      <c r="CG461" s="423">
        <f t="shared" si="643"/>
        <v>0</v>
      </c>
      <c r="CH461" s="433">
        <f t="shared" si="644"/>
        <v>0</v>
      </c>
      <c r="CI461" s="437" t="s">
        <v>160</v>
      </c>
      <c r="CJ461" s="438">
        <v>1</v>
      </c>
      <c r="CK461" s="439" t="s">
        <v>2046</v>
      </c>
      <c r="CL461" s="1115" t="s">
        <v>1940</v>
      </c>
      <c r="CM461" s="1119">
        <v>0.3</v>
      </c>
      <c r="CN461" s="1115"/>
      <c r="CO461" s="1115">
        <v>20</v>
      </c>
      <c r="CP461" s="1116">
        <f t="shared" si="645"/>
        <v>831.41353975178561</v>
      </c>
      <c r="CQ461" s="1116">
        <f t="shared" si="646"/>
        <v>1546.8483985759997</v>
      </c>
      <c r="CR461" s="1117">
        <f t="shared" si="647"/>
        <v>831.41353975178561</v>
      </c>
      <c r="CS461" s="442">
        <f t="shared" si="648"/>
        <v>0</v>
      </c>
      <c r="CT461" s="432">
        <f t="shared" si="649"/>
        <v>0</v>
      </c>
      <c r="CU461" s="1101">
        <f t="shared" si="650"/>
        <v>914.55489372696422</v>
      </c>
      <c r="CV461" s="1108">
        <f t="shared" si="682"/>
        <v>1546.8483985759997</v>
      </c>
      <c r="CW461" s="420">
        <f t="shared" si="651"/>
        <v>914.55489372696422</v>
      </c>
      <c r="CX461" s="420">
        <f t="shared" si="652"/>
        <v>914.55489372696422</v>
      </c>
      <c r="CY461" s="433">
        <f t="shared" si="653"/>
        <v>914.55489372696422</v>
      </c>
      <c r="CZ461" s="437"/>
      <c r="DA461" s="438"/>
      <c r="DB461" s="439" t="s">
        <v>569</v>
      </c>
      <c r="DC461" s="439"/>
      <c r="DD461" s="443"/>
      <c r="DE461" s="411"/>
      <c r="DF461" s="411"/>
      <c r="DG461" s="1116">
        <f t="shared" si="654"/>
        <v>0</v>
      </c>
      <c r="DH461" s="1116">
        <f t="shared" si="655"/>
        <v>0</v>
      </c>
      <c r="DI461" s="1116">
        <f t="shared" si="656"/>
        <v>0</v>
      </c>
      <c r="DJ461" s="442">
        <f t="shared" si="657"/>
        <v>0</v>
      </c>
      <c r="DK461" s="432">
        <f t="shared" si="658"/>
        <v>0</v>
      </c>
      <c r="DL461" s="424">
        <f t="shared" si="659"/>
        <v>0</v>
      </c>
      <c r="DM461" s="420">
        <f t="shared" si="660"/>
        <v>0</v>
      </c>
      <c r="DN461" s="420">
        <f t="shared" si="661"/>
        <v>0</v>
      </c>
      <c r="DO461" s="420">
        <f t="shared" si="662"/>
        <v>0</v>
      </c>
      <c r="DP461" s="433">
        <f t="shared" si="663"/>
        <v>0</v>
      </c>
      <c r="DQ461" s="437" t="s">
        <v>549</v>
      </c>
      <c r="DR461" s="444">
        <f t="shared" si="664"/>
        <v>0.33</v>
      </c>
      <c r="DS461" s="450"/>
      <c r="DT461" s="1093" t="s">
        <v>179</v>
      </c>
      <c r="DU461" s="1093"/>
      <c r="DV461" s="1098">
        <f>IF($P461="","N/A",IF(P461=-1,INDEX('卡片raw data'!AN:AN,MATCH(D461,'卡片raw data'!$F:$F,)),0)+IF(AND(L461&lt;&gt;"party卡",P461&lt;=2,P461&gt;=0),INDEX('卡片raw data'!AP:AP,MATCH(D461,'卡片raw data'!$F:$F,)),0)+IF(OR(AND(L461="party卡",P461&lt;=1),AND(P461&lt;=4,L461&lt;&gt;"party卡",P461&gt;=3)),INDEX('卡片raw data'!AQ:AQ,MATCH(D461,'卡片raw data'!$F:$F,)),0)+IF(OR(P461=5,AND(L461="party卡",P461&gt;=2)),INDEX('卡片raw data'!AR:AR,MATCH(D461,'卡片raw data'!$F:$F,)),0))</f>
        <v>0.09</v>
      </c>
      <c r="DW461" s="1098">
        <f t="shared" si="665"/>
        <v>0.33</v>
      </c>
      <c r="DX461" s="1098">
        <f t="shared" si="666"/>
        <v>0.33</v>
      </c>
      <c r="DY461" s="1098">
        <f t="shared" si="667"/>
        <v>9.9000000000000008E-3</v>
      </c>
      <c r="DZ461" s="1098">
        <f t="shared" si="668"/>
        <v>9.8480249999999998E-3</v>
      </c>
      <c r="EA461" s="421">
        <f t="shared" si="669"/>
        <v>0</v>
      </c>
      <c r="EB461" s="445">
        <f t="shared" si="670"/>
        <v>60.337777499999987</v>
      </c>
      <c r="EC461" s="424">
        <f t="shared" si="671"/>
        <v>4455</v>
      </c>
      <c r="ED461" s="420">
        <f t="shared" si="672"/>
        <v>2462.0062499999999</v>
      </c>
      <c r="EE461" s="433">
        <f t="shared" si="598"/>
        <v>4455</v>
      </c>
      <c r="EF461" s="1115" t="s">
        <v>569</v>
      </c>
      <c r="EG461" s="444">
        <f t="shared" si="673"/>
        <v>0.33</v>
      </c>
      <c r="EH461" s="450"/>
      <c r="EI461" s="1093"/>
      <c r="EJ461" s="1093"/>
      <c r="EK461" s="420">
        <f>IF($P461="","N/A",IF(P461=-1,INDEX('卡片raw data'!AS:AS,MATCH(D461,'卡片raw data'!$F:$F,)),0)+IF(AND(L461&lt;&gt;"party卡",P461&lt;=2,P461&gt;=0),INDEX('卡片raw data'!AU:AU,MATCH(D461,'卡片raw data'!$F:$F,)),0)+IF(OR(AND(L461="party卡",P461&lt;=1),AND(P461&lt;=4,L461&lt;&gt;"party卡",P461&gt;=3)),INDEX('卡片raw data'!AV:AV,MATCH(D461,'卡片raw data'!$F:$F,)),0)+IF(OR(P461=5,AND(L461="party卡",P461&gt;=2)),INDEX('卡片raw data'!AW:AW,MATCH(D461,'卡片raw data'!$F:$F,)),0))</f>
        <v>0</v>
      </c>
      <c r="EL461" s="1098">
        <f t="shared" si="674"/>
        <v>0.33</v>
      </c>
      <c r="EM461" s="1098">
        <f t="shared" si="675"/>
        <v>0.33</v>
      </c>
      <c r="EN461" s="1097">
        <f t="shared" si="676"/>
        <v>0</v>
      </c>
      <c r="EO461" s="1097">
        <f t="shared" si="677"/>
        <v>0</v>
      </c>
      <c r="EP461" s="421">
        <f t="shared" si="678"/>
        <v>0</v>
      </c>
      <c r="EQ461" s="445">
        <f t="shared" si="679"/>
        <v>0</v>
      </c>
      <c r="ER461" s="424">
        <f t="shared" si="680"/>
        <v>0</v>
      </c>
      <c r="ES461" s="420">
        <f t="shared" si="681"/>
        <v>0</v>
      </c>
      <c r="ET461" s="446">
        <f t="shared" si="599"/>
        <v>0</v>
      </c>
    </row>
    <row r="462" spans="2:150" ht="16.5" customHeight="1">
      <c r="B462" s="448" t="str">
        <f>INDEX('卡片raw data'!B:B,MATCH($D462,'卡片raw data'!$F:$F,))</f>
        <v>nbg鸟</v>
      </c>
      <c r="C462" s="449" t="s">
        <v>2706</v>
      </c>
      <c r="D462" s="408">
        <v>459</v>
      </c>
      <c r="E462" s="477">
        <v>300032002</v>
      </c>
      <c r="F462" s="409" t="str">
        <f>INDEX('卡片raw data'!C:C,MATCH($D462,'卡片raw data'!$F:$F,))</f>
        <v>SR</v>
      </c>
      <c r="G462" s="414" t="s">
        <v>2709</v>
      </c>
      <c r="H462" s="411">
        <f>IFERROR(INDEX(绊状态确认!C:C,MATCH($G462,绊状态确认!$B:$B,)),"")</f>
        <v>3</v>
      </c>
      <c r="I462" s="450" t="str">
        <f>IFERROR(INDEX(绊状态确认!D:D,MATCH($G462,绊状态确认!$B:$B,)),"")</f>
        <v>缪</v>
      </c>
      <c r="J462" s="450" t="str">
        <f>IFERROR(INDEX(绊状态确认!E:E,MATCH($G462,绊状态确认!$B:$B,)),"")</f>
        <v>2年级</v>
      </c>
      <c r="K462" s="451" t="str">
        <f>IFERROR(INDEX(绊状态确认!F:F,MATCH($G462,绊状态确认!$B:$B,)),"")</f>
        <v>Printemps</v>
      </c>
      <c r="L462" s="414" t="str">
        <f>INDEX('卡片raw data'!E:E,MATCH($D462,'卡片raw data'!$F:$F,))</f>
        <v>卡池卡</v>
      </c>
      <c r="M462" s="478">
        <v>44330</v>
      </c>
      <c r="N462" s="479">
        <v>39.5</v>
      </c>
      <c r="O462" s="410" t="str">
        <f>INDEX('卡片raw data'!D:D,MATCH($D462,'卡片raw data'!$F:$F,))</f>
        <v>vo</v>
      </c>
      <c r="P462" s="1126">
        <v>5</v>
      </c>
      <c r="Q462" s="418">
        <f t="shared" si="600"/>
        <v>38877.888243461275</v>
      </c>
      <c r="R462" s="419">
        <f t="shared" si="601"/>
        <v>0.45100000000000001</v>
      </c>
      <c r="S462" s="420">
        <f t="shared" si="602"/>
        <v>15916.98353956531</v>
      </c>
      <c r="T462" s="421">
        <f t="shared" si="603"/>
        <v>0.79500000000000004</v>
      </c>
      <c r="U462" s="422">
        <f t="shared" si="604"/>
        <v>-9.4315511058571442</v>
      </c>
      <c r="V462" s="423">
        <f t="shared" si="605"/>
        <v>38824.349441733277</v>
      </c>
      <c r="W462" s="424">
        <f t="shared" si="606"/>
        <v>5717.0429905333031</v>
      </c>
      <c r="X462" s="419">
        <f t="shared" si="607"/>
        <v>6.6000000000000003E-2</v>
      </c>
      <c r="Y462" s="420">
        <f t="shared" si="608"/>
        <v>1251.1296485137018</v>
      </c>
      <c r="Z462" s="425">
        <f t="shared" si="609"/>
        <v>15.568448894142856</v>
      </c>
      <c r="AA462" s="426">
        <f t="shared" si="610"/>
        <v>6968.1726390470048</v>
      </c>
      <c r="AB462" s="424">
        <f t="shared" si="611"/>
        <v>6926.3644939406058</v>
      </c>
      <c r="AC462" s="427">
        <f t="shared" si="612"/>
        <v>0.08</v>
      </c>
      <c r="AD462" s="428">
        <f t="shared" si="613"/>
        <v>-3.8207812500000026E-3</v>
      </c>
      <c r="AE462" s="516">
        <f t="shared" si="614"/>
        <v>-12.27536231884058</v>
      </c>
      <c r="AF462" s="1130">
        <f t="shared" si="615"/>
        <v>0</v>
      </c>
      <c r="AG462" s="420">
        <f t="shared" si="616"/>
        <v>0</v>
      </c>
      <c r="AH462" s="420">
        <f t="shared" si="617"/>
        <v>0</v>
      </c>
      <c r="AI462" s="1097">
        <f t="shared" si="618"/>
        <v>0</v>
      </c>
      <c r="AJ462" s="420">
        <f t="shared" si="619"/>
        <v>0</v>
      </c>
      <c r="AK462" s="518">
        <f t="shared" si="620"/>
        <v>0</v>
      </c>
      <c r="AL462" s="429">
        <f>IF($P462="","N/A",(IF($P462=-1,INDEX('卡片raw data'!S:S,MATCH($D462,'卡片raw data'!$F:$F,)),0)+IF($P462=0,INDEX('卡片raw data'!V:V,MATCH($D462,'卡片raw data'!$F:$F,)),0)+IF($P462=1,INDEX('卡片raw data'!Y:Y,MATCH($D462,'卡片raw data'!$F:$F,)),0)+IF($P462=2,INDEX('卡片raw data'!AB:AB,MATCH($D462,'卡片raw data'!$F:$F,)),0)+IF($P462=3,INDEX('卡片raw data'!AE:AE,MATCH($D462,'卡片raw data'!$F:$F,)),0)+IF($P462=4,INDEX('卡片raw data'!AH:AH,MATCH($D462,'卡片raw data'!$F:$F,)),0)+IF($P462=5,INDEX('卡片raw data'!AK:AK,MATCH($D462,'卡片raw data'!$F:$F,)),0)+INDEX('卡片raw data'!S:S,MATCH($D462,'卡片raw data'!$F:$F,))*(IF($F462="UR",0.04,0.033))*(IF($F462="UR",INDEX(绊状态确认!$S:$S,MATCH($G462,绊状态确认!$B:$B,))/2-40)+IF($F462="SR",INDEX(绊状态确认!$R:$R,MATCH($G462,绊状态确认!$B:$B,))/4-15))+IF($F462="R",INDEX(绊状态确认!$Q:$Q,MATCH($G462,绊状态确认!$B:$B,))/6-40/6)))*(INDEX(绊状态确认!$H:$H,MATCH($G462,绊状态确认!$B:$B,))+INDEX(绊状态确认!J:J,MATCH($G462,绊状态确认!$B:$B,)))</f>
        <v>9121.7191583999993</v>
      </c>
      <c r="AM462" s="429">
        <f>IF($P462="","N/A",(IF($P462=-1,INDEX('卡片raw data'!T:T,MATCH($D462,'卡片raw data'!$F:$F,)),0)+IF($P462=0,INDEX('卡片raw data'!W:W,MATCH($D462,'卡片raw data'!$F:$F,)),0)+IF($P462=1,INDEX('卡片raw data'!Z:Z,MATCH($D462,'卡片raw data'!$F:$F,)),0)+IF($P462=2,INDEX('卡片raw data'!AC:AC,MATCH($D462,'卡片raw data'!$F:$F,)),0)+IF($P462=3,INDEX('卡片raw data'!AF:AF,MATCH($D462,'卡片raw data'!$F:$F,)),0)+IF($P462=4,INDEX('卡片raw data'!AI:AI,MATCH($D462,'卡片raw data'!$F:$F,)),0)+IF($P462=5,INDEX('卡片raw data'!AL:AL,MATCH($D462,'卡片raw data'!$F:$F,)),0)+INDEX('卡片raw data'!T:T,MATCH($D462,'卡片raw data'!$F:$F,))*(IF($F462="UR",0.04,0.033))*(IF($F462="UR",INDEX(绊状态确认!$S:$S,MATCH($G462,绊状态确认!$B:$B,))/2-40)+IF($F462="SR",INDEX(绊状态确认!$R:$R,MATCH($G462,绊状态确认!$B:$B,))/4-15))+IF($F462="R",INDEX(绊状态确认!$Q:$Q,MATCH($G462,绊状态确认!$B:$B,))/6-40/6)))*(INDEX(绊状态确认!$H:$H,MATCH($G462,绊状态确认!$B:$B,))+INDEX(绊状态确认!K:K,MATCH($G462,绊状态确认!$B:$B,)))</f>
        <v>8664.140879999999</v>
      </c>
      <c r="AN462" s="429">
        <f>IF($P462="","N/A",(IF($P462=-1,INDEX('卡片raw data'!U:U,MATCH($D462,'卡片raw data'!$F:$F,)),0)+IF($P462=0,INDEX('卡片raw data'!X:X,MATCH($D462,'卡片raw data'!$F:$F,)),0)+IF($P462=1,INDEX('卡片raw data'!AA:AA,MATCH($D462,'卡片raw data'!$F:$F,)),0)+IF($P462=2,INDEX('卡片raw data'!AD:AD,MATCH($D462,'卡片raw data'!$F:$F,)),0)+IF($P462=3,INDEX('卡片raw data'!AG:AG,MATCH($D462,'卡片raw data'!$F:$F,)),0)+IF($P462=4,INDEX('卡片raw data'!AJ:AJ,MATCH($D462,'卡片raw data'!$F:$F,)),0)+IF($P462=5,INDEX('卡片raw data'!AM:AM,MATCH($D462,'卡片raw data'!$F:$F,)),0)+INDEX('卡片raw data'!U:U,MATCH($D462,'卡片raw data'!$F:$F,))*(IF($F462="UR",0.04,0.033))*(IF($F462="UR",INDEX(绊状态确认!$S:$S,MATCH($G462,绊状态确认!$B:$B,))/2-40)+IF($F462="SR",INDEX(绊状态确认!$R:$R,MATCH($G462,绊状态确认!$B:$B,))/4-15))+IF($F462="R",INDEX(绊状态确认!$Q:$Q,MATCH($G462,绊状态确认!$B:$B,))/6-40/6)))*(INDEX(绊状态确认!$H:$H,MATCH($G462,绊状态确认!$B:$B,))+INDEX(绊状态确认!L:L,MATCH($G462,绊状态确认!$B:$B,)))</f>
        <v>5013.8172551999996</v>
      </c>
      <c r="AO462" s="430">
        <f t="shared" si="621"/>
        <v>1</v>
      </c>
      <c r="AP462" s="556">
        <f>1+(INDEX(绊状态确认!$T:$T,MATCH($G462,绊状态确认!$B:$B,))+0.2)*$AO462</f>
        <v>1.3</v>
      </c>
      <c r="AQ462" s="431">
        <f t="shared" si="622"/>
        <v>27194.512790799999</v>
      </c>
      <c r="AR462" s="420">
        <f>(AM462*(1+$EX$9)+$EX$35)*(1+(INDEX(绊状态确认!$T:$T,MATCH($G462,绊状态确认!$B:$B,))+0.2)*AO462)*IF(J462=$FF$17,1+$FE$17,1)*IF(I462=$FF$14,1+$FE$14,1)</f>
        <v>14530.552301199999</v>
      </c>
      <c r="AS462" s="420">
        <f>(AN462*(1+$EX$10)+$EX$36)*(1+(INDEX(绊状态确认!$T:$T,MATCH($G462,绊状态确认!$B:$B,))+0.2)*AO462)*IF(J462=$FF$17,1+$FE$17,1)*IF(I462=$FF$14,1+$FE$14,1)</f>
        <v>11551.656796523999</v>
      </c>
      <c r="AT462" s="412">
        <f>IF(AND(INDEX('卡片raw data'!AK:AK,MATCH($D462,'卡片raw data'!$F:$F,))&lt;INDEX('卡片raw data'!AM:AM,MATCH($D462,'卡片raw data'!$F:$F,)),INDEX('卡片raw data'!AL:AL,MATCH($D462,'卡片raw data'!$F:$F,))&lt;INDEX('卡片raw data'!AM:AM,MATCH($D462,'卡片raw data'!$F:$F,))),1,0)</f>
        <v>0</v>
      </c>
      <c r="AU462" s="421">
        <f>MIN(AT462*0.15+AS462*0.00003+INDEX(绊状态确认!M:M,MATCH($G462,绊状态确认!$B:$B,)),1)</f>
        <v>0.37654970389572001</v>
      </c>
      <c r="AV462" s="432">
        <f>(INDEX(绊状态确认!$N:$N,MATCH($G462,绊状态确认!$B:$B,))+1.5)*$EW$21</f>
        <v>2.6599999999999997</v>
      </c>
      <c r="AW462" s="424">
        <f t="shared" si="623"/>
        <v>22951.516675285744</v>
      </c>
      <c r="AX462" s="420">
        <f t="shared" si="624"/>
        <v>1251.1296485137016</v>
      </c>
      <c r="AY462" s="433">
        <f t="shared" si="625"/>
        <v>24202.646323799447</v>
      </c>
      <c r="AZ462" s="429">
        <f t="shared" si="626"/>
        <v>20387.352358879998</v>
      </c>
      <c r="BA462" s="431">
        <f t="shared" si="627"/>
        <v>24464.822830655998</v>
      </c>
      <c r="BB462" s="420">
        <f>(AM462*(1+$FB$9)+$FB$35)*(1+(INDEX(绊状态确认!$T:$T,MATCH($G462,绊状态确认!$B:$B,))+0.2)*AO462)*IF(J462=$FF$17,1+$FE$17,1)*IF(I462=$FF$14,1+$FE$14,1)*(1+$FE$15)</f>
        <v>14530.552301199999</v>
      </c>
      <c r="BC462" s="420">
        <f>(AN462*(1+$FB$10)+$FB$36)*(1+(INDEX(绊状态确认!$T:$T,MATCH($G462,绊状态确认!$B:$B,))+0.2)*AO462)*IF(J462=$FF$17,1+$FE$17,1)*IF(I462=$FF$14,1+$FE$14,1)*(1+$FE$15)</f>
        <v>11551.656796523999</v>
      </c>
      <c r="BD462" s="427">
        <f>MIN(AT462*0.15+BC462*0.00003+INDEX(绊状态确认!M:M,MATCH($G462,绊状态确认!$B:$B,)),1)</f>
        <v>0.37654970389572001</v>
      </c>
      <c r="BE462" s="432">
        <f>(INDEX(绊状态确认!$N:$N,MATCH($G462,绊状态确认!$B:$B,))+1.5)</f>
        <v>1.9</v>
      </c>
      <c r="BF462" s="645">
        <f t="array" ref="BF462">SUMPRODUCT(IF(AZ462*AP462*$FI$16:$FI$23*$FA$22&gt;=$FI$24,$FI$24,AZ462*AP462*$FI$16:$FI$23*$FA$22),$FJ$16:$FJ$23)</f>
        <v>40550.443841812317</v>
      </c>
      <c r="BG462" s="453">
        <f t="array" ref="BG462">SUMPRODUCT(IF(BE462*AZ462*AP462*$FI$16:$FI$23*$FA$22&gt;=$FI$24,$FI$24,BE462*AZ462*AP462*$FI$16:$FI$23*$FA$22),$FJ$16:$FJ$23)</f>
        <v>60000</v>
      </c>
      <c r="BH462" s="433">
        <f t="shared" si="628"/>
        <v>15958.056151360355</v>
      </c>
      <c r="BI462" s="434">
        <f>IF(O462="vo",$EW$26/$EW$24*0.05,0)+IF(O462="sk",-$EW$26/$EW$24*(0.05-INDEX(绊状态确认!W:W,MATCH($G462,绊状态确认!$B:$B,)))+0.05*$EW$28,0)+IF(O462="sp",0.05*$EW$32*$EW$30*(1-$EW$33)-(0.05-INDEX(绊状态确认!V:V,MATCH($G462,绊状态确认!$B:$B,)))*$EW$28,0)+IF(O462="gd",-(0.05-INDEX(绊状态确认!X:X,MATCH($G462,绊状态确认!$B:$B,)))*$EW$32*$EW$30*(1-$EW$33),0)</f>
        <v>7726.3029277443748</v>
      </c>
      <c r="BJ462" s="420">
        <f>IF(O462="vo",0.05*(1-$FI$26)*$FA$24,0)+IF(O462="sk",-(0.05-INDEX(绊状态确认!W:W,MATCH($G462,绊状态确认!$B:$B,)))*(1-$FI$26)*$FA$24+0.05*$FA$26,0)+IF(O462="sp",0.05*$FA$32*$FA$27*(1-$FA$33)/$FA$30+0.05*$FA$29/$FA$69*$FA$27*(1-$FA$33)-(0.05-INDEX(绊状态确认!V:V,MATCH($G462,绊状态确认!$B:$B,)))*$FA$26,0)+IF(O462="gd",-(0.05-INDEX(绊状态确认!X:X,MATCH($G462,绊状态确认!$B:$B,)))*$FA$32*$FA$27*(1-$FA$33)/$FA$30-(0.05-INDEX(绊状态确认!X:X,MATCH($G462,绊状态确认!$B:$B,)))*$FA$29/$FA$69*$FA$27*(1-$FA$33),0)</f>
        <v>393.93433687500004</v>
      </c>
      <c r="BK462" s="433">
        <f>IF(O462="vo",$EW$26/$EW$24*0.05+$EW$26*(-HP($EW$62,$EW$65,$EW$64)+HP($EW$62,$EW$65,(1.05-INDEX(绊状态确认!U:U,MATCH($G462,绊状态确认!$B:$B,)))*$EW$64)),0)+IF(O462="sk",-$EW$26/$EW$24*(0.05-INDEX(绊状态确认!W:W,MATCH($G462,绊状态确认!$B:$B,)))+0.05*$EW$29,0)+IF(O462="sp",0.05*$EW$32*$EW$30*(1-$EW$33)-(0.05-INDEX(绊状态确认!V:V,MATCH($G462,绊状态确认!$B:$B,)))*$EW$29,0)+IF(O462="gd",-(0.05-INDEX(绊状态确认!X:X,MATCH($G462,绊状态确认!$B:$B,)))*$EW$32*$EW$30*(1-$EW$33)+$EW$26*(-HP($EW$62,$EW$65,$EW$64)+HP($EW$62,$EW$65,0.95*$EW$64)),0)</f>
        <v>6421.6344775026746</v>
      </c>
      <c r="BL462" s="434">
        <f t="shared" si="629"/>
        <v>-1083.3333333333333</v>
      </c>
      <c r="BM462" s="433">
        <f t="shared" si="630"/>
        <v>-830.55555555555543</v>
      </c>
      <c r="BN462" s="437">
        <f t="shared" si="631"/>
        <v>3</v>
      </c>
      <c r="BO462" s="1108">
        <f t="shared" si="632"/>
        <v>4507.7214871259994</v>
      </c>
      <c r="BP462" s="1100">
        <f t="shared" si="633"/>
        <v>221.34103209030098</v>
      </c>
      <c r="BQ462" s="437" t="s">
        <v>132</v>
      </c>
      <c r="BR462" s="450" t="s">
        <v>171</v>
      </c>
      <c r="BS462" s="421">
        <f>IF($P462="","N/A",IF($P462=-1,INDEX('卡片raw data'!AX:AX,MATCH($D462,'卡片raw data'!$F:$F,)),0)+IF($L462="party卡",IF($P462=5,INDEX('卡片raw data'!BD:BD,MATCH($D462,'卡片raw data'!$F:$F,)),IF($P462&gt;=3,INDEX('卡片raw data'!BC:BC,MATCH($D462,'卡片raw data'!$F:$F,)),INDEX('卡片raw data'!BB:BB,MATCH($D462,'卡片raw data'!$F:$F,)))),IF(OR(AND($F462="UR",$P462=0),AND($F462="SR",$P462&gt;=0,$P462&lt;=2),AND($F462="R",$P462&gt;=0,$P462&lt;4)),INDEX('卡片raw data'!AZ:AZ,MATCH($D462,'卡片raw data'!$F:$F,)),0)+IF(OR(AND($F462="UR",$P462&gt;=1,$P462&lt;=4),AND($F462="SR",$P462&lt;=4,$P462&gt;=3),AND($F462="R",$P462=4)),INDEX('卡片raw data'!BA:BA,MATCH($D462,'卡片raw data'!$F:$F,)),0)+IF($P462=5,INDEX('卡片raw data'!BB:BB,MATCH($D462,'卡片raw data'!$F:$F,)),0)))</f>
        <v>3.2000000000000001E-2</v>
      </c>
      <c r="BT462" s="424">
        <f t="shared" si="634"/>
        <v>1602.7454176448</v>
      </c>
      <c r="BU462" s="420">
        <f t="shared" si="635"/>
        <v>68.861654428093644</v>
      </c>
      <c r="BV462" s="420">
        <f t="shared" si="636"/>
        <v>801.37270882240011</v>
      </c>
      <c r="BW462" s="436">
        <f t="shared" si="637"/>
        <v>0</v>
      </c>
      <c r="BX462" s="423">
        <f t="shared" si="638"/>
        <v>1602.7454176448</v>
      </c>
      <c r="BY462" s="433">
        <f t="shared" si="639"/>
        <v>801.37270882240011</v>
      </c>
      <c r="BZ462" s="1113" t="s">
        <v>569</v>
      </c>
      <c r="CA462" s="450"/>
      <c r="CB462" s="421">
        <f>IF($P462="","N/A",IF($P462=-1,INDEX('卡片raw data'!BE:BE,MATCH($D462,'卡片raw data'!$F:$F,)),0)+IF($L462="party卡",IF($P462=5,INDEX('卡片raw data'!BK:BK,MATCH($D462,'卡片raw data'!$F:$F,)),IF($P462&gt;=3,INDEX('卡片raw data'!BJ:BJ,MATCH($D462,'卡片raw data'!$F:$F,)),INDEX('卡片raw data'!BI:BI,MATCH($D462,'卡片raw data'!$F:$F,)))),IF(OR(AND($F462="UR",$P462=0),AND($F462="SR",$P462&gt;=0,$P462&lt;=2),AND($F462="R",$P462&gt;=0,$P462&lt;4)),INDEX('卡片raw data'!BG:BG,MATCH($D462,'卡片raw data'!$F:$F,)),0)+IF(OR(AND($F462="UR",$P462&gt;=1,$P462&lt;=4),AND($F462="SR",$P462&lt;=4,$P462&gt;=3),AND($F462="R",$P462=4)),INDEX('卡片raw data'!BH:BH,MATCH($D462,'卡片raw data'!$F:$F,)),0)+IF($P462=5,INDEX('卡片raw data'!BI:BI,MATCH($D462,'卡片raw data'!$F:$F,)),0)))</f>
        <v>0</v>
      </c>
      <c r="CC462" s="424">
        <f t="shared" si="640"/>
        <v>0</v>
      </c>
      <c r="CD462" s="420">
        <f>IF(BZ462="ap",CB462*(1-$FI$26)*$FB$5/$FB$11*(+IF(CA462="全员",$FA$24,0)+IF(CA462="同作战",$FA$24,0)+IF(CA462="仲间",$FA$24*2/3,0)+IF(CA462="同属性",$FA$24*$FA$37/3,0)+IF(CA462="同年级",$FA$24*$FA$40/3,0)+IF(CA462="同学校",$FA$24*$FA$43/3,0)+IF(CA462="同小队",$FA$24*$FA$46/3,0)+IF(CA462="同type",$FA$24*INDEX($FB$49:$FB$52,MATCH(X462,$FA$49:$FA$52,))/3,0)+IF(CA462="自身",#REF!/3,0)),0)+IF(BZ462="te",CB462*(1-$FI$27)*($FA$20-1)*$FB$7/$FB$13*(+IF(CA462="全员",$FA$19*$FA$24/(1+($FA$20-1)*$FA$19),0)+IF(CA462="同作战",$FA$19*$FA$24/(1+($FA$20-1)*$FA$19),0)+IF(CA462="仲间",$FA$19*$FA$24*2/3/(1+($FA$20-1)*$FA$19),0)+IF(CA462="同属性",$FA$19*$FA$24*$FA$37/3/(1+($FA$20-1)*$FA$19),0)+IF(CA462="同年级",$FA$19*$FA$24*$FA$40/3/(1+($FA$20-1)*$FA$19),0)+IF(CA462="同学校",$FA$19*$FA$24*$FA$43/3/(1+($FA$20-1)*$FA$19),0)+IF(CA462="同小队",$FA$19*$FA$24*$FA$46/3/(1+($FA$20-1)*$FA$19),0)+IF(CA462="同type",$FA$19*$FA$24*INDEX($FB$49:$FB$52,MATCH(X462,$FA$49:$FA$52,))/3/(1+($FA$20-1)*$FA$19),0)+IF(CA462="自身",$FA$19*#REF!/3/(1+(BH462-1)*$BD462),0)),0)</f>
        <v>0</v>
      </c>
      <c r="CE462" s="420">
        <f t="shared" si="641"/>
        <v>0</v>
      </c>
      <c r="CF462" s="436">
        <f t="shared" si="642"/>
        <v>0</v>
      </c>
      <c r="CG462" s="423">
        <f t="shared" si="643"/>
        <v>0</v>
      </c>
      <c r="CH462" s="433">
        <f t="shared" si="644"/>
        <v>0</v>
      </c>
      <c r="CI462" s="437" t="s">
        <v>165</v>
      </c>
      <c r="CJ462" s="438">
        <v>0.3</v>
      </c>
      <c r="CK462" s="439" t="s">
        <v>153</v>
      </c>
      <c r="CL462" s="439" t="s">
        <v>2710</v>
      </c>
      <c r="CM462" s="1119">
        <v>0.03</v>
      </c>
      <c r="CN462" s="439" t="s">
        <v>2711</v>
      </c>
      <c r="CO462" s="1115"/>
      <c r="CP462" s="1118">
        <f t="shared" si="645"/>
        <v>5.9999999999999993E-3</v>
      </c>
      <c r="CQ462" s="1118">
        <f t="shared" si="646"/>
        <v>5.2500000000000003E-3</v>
      </c>
      <c r="CR462" s="1118">
        <f t="shared" si="647"/>
        <v>2.9999999999999996E-3</v>
      </c>
      <c r="CS462" s="442">
        <f t="shared" si="648"/>
        <v>0</v>
      </c>
      <c r="CT462" s="432">
        <f t="shared" si="649"/>
        <v>0</v>
      </c>
      <c r="CU462" s="1101">
        <f t="shared" si="650"/>
        <v>815.89758916980588</v>
      </c>
      <c r="CV462" s="1108">
        <f t="shared" si="682"/>
        <v>34.469254476562504</v>
      </c>
      <c r="CW462" s="420">
        <f t="shared" si="651"/>
        <v>407.94879458490294</v>
      </c>
      <c r="CX462" s="420">
        <f t="shared" si="652"/>
        <v>815.89758916980588</v>
      </c>
      <c r="CY462" s="433">
        <f t="shared" si="653"/>
        <v>407.94879458490294</v>
      </c>
      <c r="CZ462" s="437"/>
      <c r="DA462" s="438"/>
      <c r="DB462" s="439" t="s">
        <v>569</v>
      </c>
      <c r="DC462" s="439"/>
      <c r="DD462" s="443"/>
      <c r="DE462" s="411"/>
      <c r="DF462" s="411"/>
      <c r="DG462" s="1116">
        <f t="shared" si="654"/>
        <v>0</v>
      </c>
      <c r="DH462" s="1116">
        <f t="shared" si="655"/>
        <v>0</v>
      </c>
      <c r="DI462" s="1116">
        <f t="shared" si="656"/>
        <v>0</v>
      </c>
      <c r="DJ462" s="442">
        <f t="shared" si="657"/>
        <v>0</v>
      </c>
      <c r="DK462" s="432">
        <f t="shared" si="658"/>
        <v>0</v>
      </c>
      <c r="DL462" s="424">
        <f t="shared" si="659"/>
        <v>0</v>
      </c>
      <c r="DM462" s="420">
        <f t="shared" si="660"/>
        <v>0</v>
      </c>
      <c r="DN462" s="420">
        <f t="shared" si="661"/>
        <v>0</v>
      </c>
      <c r="DO462" s="420">
        <f t="shared" si="662"/>
        <v>0</v>
      </c>
      <c r="DP462" s="433">
        <f t="shared" si="663"/>
        <v>0</v>
      </c>
      <c r="DQ462" s="437" t="s">
        <v>2074</v>
      </c>
      <c r="DR462" s="1120">
        <f t="shared" si="664"/>
        <v>0.3</v>
      </c>
      <c r="DS462" s="450">
        <v>5</v>
      </c>
      <c r="DT462" s="1124" t="s">
        <v>2629</v>
      </c>
      <c r="DU462" s="1124" t="s">
        <v>2145</v>
      </c>
      <c r="DV462" s="1098">
        <f>IF($P462="","N/A",IF(P462=-1,INDEX('卡片raw data'!AN:AN,MATCH(D462,'卡片raw data'!$F:$F,)),0)+IF(AND(L462&lt;&gt;"party卡",P462&lt;=2,P462&gt;=0),INDEX('卡片raw data'!AP:AP,MATCH(D462,'卡片raw data'!$F:$F,)),0)+IF(OR(AND(L462="party卡",P462&lt;=1),AND(P462&lt;=4,L462&lt;&gt;"party卡",P462&gt;=3)),INDEX('卡片raw data'!AQ:AQ,MATCH(D462,'卡片raw data'!$F:$F,)),0)+IF(OR(P462=5,AND(L462="party卡",P462&gt;=2)),INDEX('卡片raw data'!AR:AR,MATCH(D462,'卡片raw data'!$F:$F,)),0))</f>
        <v>5.1999999999999998E-2</v>
      </c>
      <c r="DW462" s="1098">
        <f t="shared" si="665"/>
        <v>0.3</v>
      </c>
      <c r="DX462" s="1098">
        <f t="shared" si="666"/>
        <v>0.3</v>
      </c>
      <c r="DY462" s="1098">
        <f t="shared" si="667"/>
        <v>1.3866666666666666E-2</v>
      </c>
      <c r="DZ462" s="1098">
        <f t="shared" si="668"/>
        <v>8.9959999999999988E-3</v>
      </c>
      <c r="EA462" s="421">
        <f t="shared" si="669"/>
        <v>0</v>
      </c>
      <c r="EB462" s="445">
        <f t="shared" si="670"/>
        <v>0</v>
      </c>
      <c r="EC462" s="424">
        <f t="shared" si="671"/>
        <v>2357.037479823884</v>
      </c>
      <c r="ED462" s="420">
        <f t="shared" si="672"/>
        <v>70.876665890550001</v>
      </c>
      <c r="EE462" s="433">
        <f t="shared" si="598"/>
        <v>2357.037479823884</v>
      </c>
      <c r="EF462" s="1115" t="s">
        <v>569</v>
      </c>
      <c r="EG462" s="1120">
        <f t="shared" si="673"/>
        <v>0.3</v>
      </c>
      <c r="EH462" s="450"/>
      <c r="EI462" s="1093"/>
      <c r="EJ462" s="1093"/>
      <c r="EK462" s="420">
        <f>IF($P462="","N/A",IF(P462=-1,INDEX('卡片raw data'!AS:AS,MATCH(D462,'卡片raw data'!$F:$F,)),0)+IF(AND(L462&lt;&gt;"party卡",P462&lt;=2,P462&gt;=0),INDEX('卡片raw data'!AU:AU,MATCH(D462,'卡片raw data'!$F:$F,)),0)+IF(OR(AND(L462="party卡",P462&lt;=1),AND(P462&lt;=4,L462&lt;&gt;"party卡",P462&gt;=3)),INDEX('卡片raw data'!AV:AV,MATCH(D462,'卡片raw data'!$F:$F,)),0)+IF(OR(P462=5,AND(L462="party卡",P462&gt;=2)),INDEX('卡片raw data'!AW:AW,MATCH(D462,'卡片raw data'!$F:$F,)),0))</f>
        <v>0</v>
      </c>
      <c r="EL462" s="1098">
        <f t="shared" si="674"/>
        <v>0.3</v>
      </c>
      <c r="EM462" s="1098">
        <f t="shared" si="675"/>
        <v>0.3</v>
      </c>
      <c r="EN462" s="1097">
        <f t="shared" si="676"/>
        <v>0</v>
      </c>
      <c r="EO462" s="1097">
        <f t="shared" si="677"/>
        <v>0</v>
      </c>
      <c r="EP462" s="421">
        <f t="shared" si="678"/>
        <v>0</v>
      </c>
      <c r="EQ462" s="445">
        <f t="shared" si="679"/>
        <v>0</v>
      </c>
      <c r="ER462" s="424">
        <f t="shared" si="680"/>
        <v>0</v>
      </c>
      <c r="ES462" s="420">
        <f t="shared" si="681"/>
        <v>0</v>
      </c>
      <c r="ET462" s="446">
        <f t="shared" si="599"/>
        <v>0</v>
      </c>
    </row>
    <row r="463" spans="2:150" ht="16.5" customHeight="1">
      <c r="B463" s="448" t="str">
        <f>INDEX('卡片raw data'!B:B,MATCH($D463,'卡片raw data'!$F:$F,))</f>
        <v>约会霞</v>
      </c>
      <c r="C463" s="449" t="s">
        <v>2736</v>
      </c>
      <c r="D463" s="408">
        <v>460</v>
      </c>
      <c r="E463" s="477">
        <v>402023002</v>
      </c>
      <c r="F463" s="409" t="str">
        <f>INDEX('卡片raw data'!C:C,MATCH($D463,'卡片raw data'!$F:$F,))</f>
        <v>UR</v>
      </c>
      <c r="G463" s="1094" t="s">
        <v>2737</v>
      </c>
      <c r="H463" s="411">
        <f>IFERROR(INDEX(绊状态确认!C:C,MATCH($G463,绊状态确认!$B:$B,)),"")</f>
        <v>202</v>
      </c>
      <c r="I463" s="450" t="str">
        <f>IFERROR(INDEX(绊状态确认!D:D,MATCH($G463,绊状态确认!$B:$B,)),"")</f>
        <v>虹</v>
      </c>
      <c r="J463" s="450" t="str">
        <f>IFERROR(INDEX(绊状态确认!E:E,MATCH($G463,绊状态确认!$B:$B,)),"")</f>
        <v>1年级</v>
      </c>
      <c r="K463" s="451" t="str">
        <f>IFERROR(INDEX(绊状态确认!F:F,MATCH($G463,绊状态确认!$B:$B,)),"")</f>
        <v>QU4RTZ</v>
      </c>
      <c r="L463" s="414" t="str">
        <f>INDEX('卡片raw data'!E:E,MATCH($D463,'卡片raw data'!$F:$F,))</f>
        <v>卡池卡</v>
      </c>
      <c r="M463" s="478">
        <v>44335</v>
      </c>
      <c r="N463" s="479">
        <v>40</v>
      </c>
      <c r="O463" s="410" t="str">
        <f>INDEX('卡片raw data'!D:D,MATCH($D463,'卡片raw data'!$F:$F,))</f>
        <v>gd</v>
      </c>
      <c r="P463" s="1126">
        <v>5</v>
      </c>
      <c r="Q463" s="418">
        <f t="shared" si="600"/>
        <v>29878.928507124572</v>
      </c>
      <c r="R463" s="419">
        <f t="shared" si="601"/>
        <v>0.34699999999999998</v>
      </c>
      <c r="S463" s="420">
        <f t="shared" si="602"/>
        <v>15713.072713430936</v>
      </c>
      <c r="T463" s="421">
        <f t="shared" si="603"/>
        <v>0.78500000000000003</v>
      </c>
      <c r="U463" s="422">
        <f t="shared" si="604"/>
        <v>939.29365533325472</v>
      </c>
      <c r="V463" s="423">
        <f t="shared" si="605"/>
        <v>82131.451672939234</v>
      </c>
      <c r="W463" s="424">
        <f t="shared" si="606"/>
        <v>5842.3290274215178</v>
      </c>
      <c r="X463" s="419">
        <f t="shared" si="607"/>
        <v>6.7000000000000004E-2</v>
      </c>
      <c r="Y463" s="420">
        <f t="shared" si="608"/>
        <v>2222.8973036732905</v>
      </c>
      <c r="Z463" s="425">
        <f t="shared" si="609"/>
        <v>27.00749277274285</v>
      </c>
      <c r="AA463" s="426">
        <f t="shared" si="610"/>
        <v>8065.2263310948083</v>
      </c>
      <c r="AB463" s="424">
        <f t="shared" si="611"/>
        <v>7176.9365677170381</v>
      </c>
      <c r="AC463" s="427">
        <f t="shared" si="612"/>
        <v>8.3000000000000004E-2</v>
      </c>
      <c r="AD463" s="428">
        <f t="shared" si="613"/>
        <v>0</v>
      </c>
      <c r="AE463" s="516">
        <f t="shared" si="614"/>
        <v>-6.25</v>
      </c>
      <c r="AF463" s="1130">
        <f t="shared" si="615"/>
        <v>12553.082640770879</v>
      </c>
      <c r="AG463" s="420">
        <f t="shared" si="616"/>
        <v>91225.481745440018</v>
      </c>
      <c r="AH463" s="420">
        <f t="shared" si="617"/>
        <v>7.2671776611388506</v>
      </c>
      <c r="AI463" s="1097">
        <f t="shared" si="618"/>
        <v>115166.80319642526</v>
      </c>
      <c r="AJ463" s="420">
        <f t="shared" si="619"/>
        <v>82131.451672939234</v>
      </c>
      <c r="AK463" s="518">
        <f t="shared" si="620"/>
        <v>33035.351523486024</v>
      </c>
      <c r="AL463" s="1106">
        <f>IF($P463="","N/A",(IF($P463=-1,INDEX('卡片raw data'!S:S,MATCH($D463,'卡片raw data'!$F:$F,)),0)+IF($P463=0,INDEX('卡片raw data'!V:V,MATCH($D463,'卡片raw data'!$F:$F,)),0)+IF($P463=1,INDEX('卡片raw data'!Y:Y,MATCH($D463,'卡片raw data'!$F:$F,)),0)+IF($P463=2,INDEX('卡片raw data'!AB:AB,MATCH($D463,'卡片raw data'!$F:$F,)),0)+IF($P463=3,INDEX('卡片raw data'!AE:AE,MATCH($D463,'卡片raw data'!$F:$F,)),0)+IF($P463=4,INDEX('卡片raw data'!AH:AH,MATCH($D463,'卡片raw data'!$F:$F,)),0)+IF($P463=5,INDEX('卡片raw data'!AK:AK,MATCH($D463,'卡片raw data'!$F:$F,)),0)+INDEX('卡片raw data'!S:S,MATCH($D463,'卡片raw data'!$F:$F,))*(IF($F463="UR",0.04,0.033))*(IF($F463="UR",INDEX(绊状态确认!$S:$S,MATCH($G463,绊状态确认!$B:$B,))/2-40)+IF($F463="SR",INDEX(绊状态确认!$R:$R,MATCH($G463,绊状态确认!$B:$B,))/4-15))+IF($F463="R",INDEX(绊状态确认!$Q:$Q,MATCH($G463,绊状态确认!$B:$B,))/6-40/6)))*(INDEX(绊状态确认!$H:$H,MATCH($G463,绊状态确认!$B:$B,))+INDEX(绊状态确认!J:J,MATCH($G463,绊状态确认!$B:$B,)))</f>
        <v>6226.7447039999988</v>
      </c>
      <c r="AM463" s="1106">
        <f>IF($P463="","N/A",(IF($P463=-1,INDEX('卡片raw data'!T:T,MATCH($D463,'卡片raw data'!$F:$F,)),0)+IF($P463=0,INDEX('卡片raw data'!W:W,MATCH($D463,'卡片raw data'!$F:$F,)),0)+IF($P463=1,INDEX('卡片raw data'!Z:Z,MATCH($D463,'卡片raw data'!$F:$F,)),0)+IF($P463=2,INDEX('卡片raw data'!AC:AC,MATCH($D463,'卡片raw data'!$F:$F,)),0)+IF($P463=3,INDEX('卡片raw data'!AF:AF,MATCH($D463,'卡片raw data'!$F:$F,)),0)+IF($P463=4,INDEX('卡片raw data'!AI:AI,MATCH($D463,'卡片raw data'!$F:$F,)),0)+IF($P463=5,INDEX('卡片raw data'!AL:AL,MATCH($D463,'卡片raw data'!$F:$F,)),0)+INDEX('卡片raw data'!T:T,MATCH($D463,'卡片raw data'!$F:$F,))*(IF($F463="UR",0.04,0.033))*(IF($F463="UR",INDEX(绊状态确认!$S:$S,MATCH($G463,绊状态确认!$B:$B,))/2-40)+IF($F463="SR",INDEX(绊状态确认!$R:$R,MATCH($G463,绊状态确认!$B:$B,))/4-15))+IF($F463="R",INDEX(绊状态确认!$Q:$Q,MATCH($G463,绊状态确认!$B:$B,))/6-40/6)))*(INDEX(绊状态确认!$H:$H,MATCH($G463,绊状态确认!$B:$B,))+INDEX(绊状态确认!K:K,MATCH($G463,绊状态确认!$B:$B,)))</f>
        <v>16485.709343999995</v>
      </c>
      <c r="AN463" s="1106">
        <f>IF($P463="","N/A",(IF($P463=-1,INDEX('卡片raw data'!U:U,MATCH($D463,'卡片raw data'!$F:$F,)),0)+IF($P463=0,INDEX('卡片raw data'!X:X,MATCH($D463,'卡片raw data'!$F:$F,)),0)+IF($P463=1,INDEX('卡片raw data'!AA:AA,MATCH($D463,'卡片raw data'!$F:$F,)),0)+IF($P463=2,INDEX('卡片raw data'!AD:AD,MATCH($D463,'卡片raw data'!$F:$F,)),0)+IF($P463=3,INDEX('卡片raw data'!AG:AG,MATCH($D463,'卡片raw data'!$F:$F,)),0)+IF($P463=4,INDEX('卡片raw data'!AJ:AJ,MATCH($D463,'卡片raw data'!$F:$F,)),0)+IF($P463=5,INDEX('卡片raw data'!AM:AM,MATCH($D463,'卡片raw data'!$F:$F,)),0)+INDEX('卡片raw data'!U:U,MATCH($D463,'卡片raw data'!$F:$F,))*(IF($F463="UR",0.04,0.033))*(IF($F463="UR",INDEX(绊状态确认!$S:$S,MATCH($G463,绊状态确认!$B:$B,))/2-40)+IF($F463="SR",INDEX(绊状态确认!$R:$R,MATCH($G463,绊状态确认!$B:$B,))/4-15))+IF($F463="R",INDEX(绊状态确认!$Q:$Q,MATCH($G463,绊状态确认!$B:$B,))/6-40/6)))*(INDEX(绊状态确认!$H:$H,MATCH($G463,绊状态确认!$B:$B,))+INDEX(绊状态确认!L:L,MATCH($G463,绊状态确认!$B:$B,)))</f>
        <v>13921.581839999999</v>
      </c>
      <c r="AO463" s="1107">
        <f t="shared" si="621"/>
        <v>1</v>
      </c>
      <c r="AP463" s="1131">
        <f>1+(INDEX(绊状态确认!$T:$T,MATCH($G463,绊状态确认!$B:$B,))+0.2)*$AO463</f>
        <v>1.3</v>
      </c>
      <c r="AQ463" s="1108">
        <f t="shared" si="622"/>
        <v>19595.204847999998</v>
      </c>
      <c r="AR463" s="1097">
        <f>(AM463*(1+$EX$9)+$EX$35)*(1+(INDEX(绊状态确认!$T:$T,MATCH($G463,绊状态确认!$B:$B,))+0.2)*AO463)*IF(J463=$FF$17,1+$FE$17,1)*IF(I463=$FF$14,1+$FE$14,1)</f>
        <v>25206.993254559995</v>
      </c>
      <c r="AS463" s="1097">
        <f>(AN463*(1+$EX$10)+$EX$36)*(1+(INDEX(绊状态确认!$T:$T,MATCH($G463,绊状态确认!$B:$B,))+0.2)*AO463)*IF(J463=$FF$17,1+$FE$17,1)*IF(I463=$FF$14,1+$FE$14,1)</f>
        <v>24868.764850799998</v>
      </c>
      <c r="AT463" s="1093">
        <f>IF(AND(INDEX('卡片raw data'!AK:AK,MATCH($D463,'卡片raw data'!$F:$F,))&lt;INDEX('卡片raw data'!AM:AM,MATCH($D463,'卡片raw data'!$F:$F,)),INDEX('卡片raw data'!AL:AL,MATCH($D463,'卡片raw data'!$F:$F,))&lt;INDEX('卡片raw data'!AM:AM,MATCH($D463,'卡片raw data'!$F:$F,))),1,0)</f>
        <v>0</v>
      </c>
      <c r="AU463" s="1098">
        <f>MIN(AT463*0.15+AS463*0.00003+INDEX(绊状态确认!M:M,MATCH($G463,绊状态确认!$B:$B,)),1)</f>
        <v>0.77606294552400001</v>
      </c>
      <c r="AV463" s="1109">
        <f>(INDEX(绊状态确认!$N:$N,MATCH($G463,绊状态确认!$B:$B,))+1.5)*$EW$21</f>
        <v>2.6599999999999997</v>
      </c>
      <c r="AW463" s="1101">
        <f t="shared" si="623"/>
        <v>23286.991939407533</v>
      </c>
      <c r="AX463" s="1097">
        <f t="shared" si="624"/>
        <v>2222.8973036732905</v>
      </c>
      <c r="AY463" s="1110">
        <f t="shared" si="625"/>
        <v>25509.889243080823</v>
      </c>
      <c r="AZ463" s="429">
        <f t="shared" si="626"/>
        <v>14742.152172799997</v>
      </c>
      <c r="BA463" s="431">
        <f t="shared" si="627"/>
        <v>17690.582607359996</v>
      </c>
      <c r="BB463" s="1097">
        <f>(AM463*(1+$FB$9)+$FB$35)*(1+(INDEX(绊状态确认!$T:$T,MATCH($G463,绊状态确认!$B:$B,))+0.2)*AO463)*IF(J463=$FF$17,1+$FE$17,1)*IF(I463=$FF$14,1+$FE$14,1)*(1+$FE$15)</f>
        <v>25206.993254559995</v>
      </c>
      <c r="BC463" s="1097">
        <f>(AN463*(1+$FB$10)+$FB$36)*(1+(INDEX(绊状态确认!$T:$T,MATCH($G463,绊状态确认!$B:$B,))+0.2)*AO463)*IF(J463=$FF$17,1+$FE$17,1)*IF(I463=$FF$14,1+$FE$14,1)*(1+$FE$15)</f>
        <v>24868.764850799998</v>
      </c>
      <c r="BD463" s="1104">
        <f>MIN(AT463*0.15+BC463*0.00003+INDEX(绊状态确认!M:M,MATCH($G463,绊状态确认!$B:$B,)),1)</f>
        <v>0.77606294552400001</v>
      </c>
      <c r="BE463" s="432">
        <f>(INDEX(绊状态确认!$N:$N,MATCH($G463,绊状态确认!$B:$B,))+1.5)</f>
        <v>1.9</v>
      </c>
      <c r="BF463" s="1139">
        <f t="array" ref="BF463">SUMPRODUCT(IF(AZ463*AP463*$FI$16:$FI$23*$FA$22&gt;=$FI$24,$FI$24,AZ463*AP463*$FI$16:$FI$23*$FA$22),$FJ$16:$FJ$23)</f>
        <v>29322.140671699199</v>
      </c>
      <c r="BG463" s="1125">
        <f t="array" ref="BG463">SUMPRODUCT(IF(BE463*AZ463*AP463*$FI$16:$FI$23*$FA$22&gt;=$FI$24,$FI$24,BE463*AZ463*AP463*$FI$16:$FI$23*$FA$22),$FJ$16:$FJ$23)</f>
        <v>54048.984708147836</v>
      </c>
      <c r="BH463" s="1110">
        <f t="shared" si="628"/>
        <v>16170.576029379359</v>
      </c>
      <c r="BI463" s="1111">
        <f>IF(O463="vo",$EW$26/$EW$24*0.05,0)+IF(O463="sk",-$EW$26/$EW$24*(0.05-INDEX(绊状态确认!W:W,MATCH($G463,绊状态确认!$B:$B,)))+0.05*$EW$28,0)+IF(O463="sp",0.05*$EW$32*$EW$30*(1-$EW$33)-(0.05-INDEX(绊状态确认!V:V,MATCH($G463,绊状态确认!$B:$B,)))*$EW$28,0)+IF(O463="gd",-(0.05-INDEX(绊状态确认!X:X,MATCH($G463,绊状态确认!$B:$B,)))*$EW$32*$EW$30*(1-$EW$33),0)</f>
        <v>-585.00000000000011</v>
      </c>
      <c r="BJ463" s="420">
        <f>IF(O463="vo",0.05*(1-$FI$26)*$FA$24,0)+IF(O463="sk",-(0.05-INDEX(绊状态确认!W:W,MATCH($G463,绊状态确认!$B:$B,)))*(1-$FI$26)*$FA$24+0.05*$FA$26,0)+IF(O463="sp",0.05*$FA$32*$FA$27*(1-$FA$33)/$FA$30+0.05*$FA$29/$FA$69*$FA$27*(1-$FA$33)-(0.05-INDEX(绊状态确认!V:V,MATCH($G463,绊状态确认!$B:$B,)))*$FA$26,0)+IF(O463="gd",-(0.05-INDEX(绊状态确认!X:X,MATCH($G463,绊状态确认!$B:$B,)))*$FA$32*$FA$27*(1-$FA$33)/$FA$30-(0.05-INDEX(绊状态确认!X:X,MATCH($G463,绊状态确认!$B:$B,)))*$FA$29/$FA$69*$FA$27*(1-$FA$33),0)</f>
        <v>-795.00000000000011</v>
      </c>
      <c r="BK463" s="1110">
        <f>IF(O463="vo",$EW$26/$EW$24*0.05+$EW$26*(-HP($EW$62,$EW$65,$EW$64)+HP($EW$62,$EW$65,(1.05-INDEX(绊状态确认!U:U,MATCH($G463,绊状态确认!$B:$B,)))*$EW$64)),0)+IF(O463="sk",-$EW$26/$EW$24*(0.05-INDEX(绊状态确认!W:W,MATCH($G463,绊状态确认!$B:$B,)))+0.05*$EW$29,0)+IF(O463="sp",0.05*$EW$32*$EW$30*(1-$EW$33)-(0.05-INDEX(绊状态确认!V:V,MATCH($G463,绊状态确认!$B:$B,)))*$EW$29,0)+IF(O463="gd",-(0.05-INDEX(绊状态确认!X:X,MATCH($G463,绊状态确认!$B:$B,)))*$EW$32*$EW$30*(1-$EW$33)+$EW$26*(-HP($EW$62,$EW$65,$EW$64)+HP($EW$62,$EW$65,0.95*$EW$64)),0)</f>
        <v>1009.5947725176144</v>
      </c>
      <c r="BL463" s="1111">
        <f t="shared" si="629"/>
        <v>0</v>
      </c>
      <c r="BM463" s="1110">
        <f t="shared" si="630"/>
        <v>0</v>
      </c>
      <c r="BN463" s="1113">
        <f t="shared" si="631"/>
        <v>3</v>
      </c>
      <c r="BO463" s="1108">
        <f t="shared" si="632"/>
        <v>4507.7214871259994</v>
      </c>
      <c r="BP463" s="1100">
        <f t="shared" si="633"/>
        <v>221.34103209030098</v>
      </c>
      <c r="BQ463" s="1113" t="s">
        <v>132</v>
      </c>
      <c r="BR463" s="1124" t="s">
        <v>171</v>
      </c>
      <c r="BS463" s="421">
        <f>IF($P463="","N/A",IF($P463=-1,INDEX('卡片raw data'!AX:AX,MATCH($D463,'卡片raw data'!$F:$F,)),0)+IF($L463="party卡",IF($P463=5,INDEX('卡片raw data'!BD:BD,MATCH($D463,'卡片raw data'!$F:$F,)),IF($P463&gt;=3,INDEX('卡片raw data'!BC:BC,MATCH($D463,'卡片raw data'!$F:$F,)),INDEX('卡片raw data'!BB:BB,MATCH($D463,'卡片raw data'!$F:$F,)))),IF(OR(AND($F463="UR",$P463=0),AND($F463="SR",$P463&gt;=0,$P463&lt;=2),AND($F463="R",$P463&gt;=0,$P463&lt;4)),INDEX('卡片raw data'!AZ:AZ,MATCH($D463,'卡片raw data'!$F:$F,)),0)+IF(OR(AND($F463="UR",$P463&gt;=1,$P463&lt;=4),AND($F463="SR",$P463&lt;=4,$P463&gt;=3),AND($F463="R",$P463=4)),INDEX('卡片raw data'!BA:BA,MATCH($D463,'卡片raw data'!$F:$F,)),0)+IF($P463=5,INDEX('卡片raw data'!BB:BB,MATCH($D463,'卡片raw data'!$F:$F,)),0)))</f>
        <v>5.1999999999999998E-2</v>
      </c>
      <c r="BT463" s="424">
        <f t="shared" si="634"/>
        <v>2604.4613036728001</v>
      </c>
      <c r="BU463" s="420">
        <f t="shared" si="635"/>
        <v>111.90018844565216</v>
      </c>
      <c r="BV463" s="420">
        <f t="shared" si="636"/>
        <v>1302.2306518363998</v>
      </c>
      <c r="BW463" s="436">
        <f t="shared" si="637"/>
        <v>0</v>
      </c>
      <c r="BX463" s="423">
        <f t="shared" si="638"/>
        <v>2604.4613036728001</v>
      </c>
      <c r="BY463" s="433">
        <f t="shared" si="639"/>
        <v>1302.2306518363998</v>
      </c>
      <c r="BZ463" s="1113" t="s">
        <v>569</v>
      </c>
      <c r="CA463" s="450"/>
      <c r="CB463" s="421">
        <f>IF($P463="","N/A",IF($P463=-1,INDEX('卡片raw data'!BE:BE,MATCH($D463,'卡片raw data'!$F:$F,)),0)+IF($L463="party卡",IF($P463=5,INDEX('卡片raw data'!BK:BK,MATCH($D463,'卡片raw data'!$F:$F,)),IF($P463&gt;=3,INDEX('卡片raw data'!BJ:BJ,MATCH($D463,'卡片raw data'!$F:$F,)),INDEX('卡片raw data'!BI:BI,MATCH($D463,'卡片raw data'!$F:$F,)))),IF(OR(AND($F463="UR",$P463=0),AND($F463="SR",$P463&gt;=0,$P463&lt;=2),AND($F463="R",$P463&gt;=0,$P463&lt;4)),INDEX('卡片raw data'!BG:BG,MATCH($D463,'卡片raw data'!$F:$F,)),0)+IF(OR(AND($F463="UR",$P463&gt;=1,$P463&lt;=4),AND($F463="SR",$P463&lt;=4,$P463&gt;=3),AND($F463="R",$P463=4)),INDEX('卡片raw data'!BH:BH,MATCH($D463,'卡片raw data'!$F:$F,)),0)+IF($P463=5,INDEX('卡片raw data'!BI:BI,MATCH($D463,'卡片raw data'!$F:$F,)),0)))</f>
        <v>0</v>
      </c>
      <c r="CC463" s="424">
        <f t="shared" si="640"/>
        <v>0</v>
      </c>
      <c r="CD463" s="420">
        <f>IF(BZ463="ap",CB463*(1-$FI$26)*$FB$5/$FB$11*(+IF(CA463="全员",$FA$24,0)+IF(CA463="同作战",$FA$24,0)+IF(CA463="仲间",$FA$24*2/3,0)+IF(CA463="同属性",$FA$24*$FA$37/3,0)+IF(CA463="同年级",$FA$24*$FA$40/3,0)+IF(CA463="同学校",$FA$24*$FA$43/3,0)+IF(CA463="同小队",$FA$24*$FA$46/3,0)+IF(CA463="同type",$FA$24*INDEX($FB$49:$FB$52,MATCH(X463,$FA$49:$FA$52,))/3,0)+IF(CA463="自身",#REF!/3,0)),0)+IF(BZ463="te",CB463*(1-$FI$27)*($FA$20-1)*$FB$7/$FB$13*(+IF(CA463="全员",$FA$19*$FA$24/(1+($FA$20-1)*$FA$19),0)+IF(CA463="同作战",$FA$19*$FA$24/(1+($FA$20-1)*$FA$19),0)+IF(CA463="仲间",$FA$19*$FA$24*2/3/(1+($FA$20-1)*$FA$19),0)+IF(CA463="同属性",$FA$19*$FA$24*$FA$37/3/(1+($FA$20-1)*$FA$19),0)+IF(CA463="同年级",$FA$19*$FA$24*$FA$40/3/(1+($FA$20-1)*$FA$19),0)+IF(CA463="同学校",$FA$19*$FA$24*$FA$43/3/(1+($FA$20-1)*$FA$19),0)+IF(CA463="同小队",$FA$19*$FA$24*$FA$46/3/(1+($FA$20-1)*$FA$19),0)+IF(CA463="同type",$FA$19*$FA$24*INDEX($FB$49:$FB$52,MATCH(X463,$FA$49:$FA$52,))/3/(1+($FA$20-1)*$FA$19),0)+IF(CA463="自身",$FA$19*#REF!/3/(1+(BH463-1)*$BD463),0)),0)</f>
        <v>0</v>
      </c>
      <c r="CE463" s="420">
        <f t="shared" si="641"/>
        <v>0</v>
      </c>
      <c r="CF463" s="436">
        <f t="shared" si="642"/>
        <v>0</v>
      </c>
      <c r="CG463" s="423">
        <f t="shared" si="643"/>
        <v>0</v>
      </c>
      <c r="CH463" s="433">
        <f t="shared" si="644"/>
        <v>0</v>
      </c>
      <c r="CI463" s="1113" t="s">
        <v>165</v>
      </c>
      <c r="CJ463" s="1114">
        <v>1</v>
      </c>
      <c r="CK463" s="1115" t="s">
        <v>2738</v>
      </c>
      <c r="CL463" s="1115" t="s">
        <v>2739</v>
      </c>
      <c r="CM463" s="1119">
        <v>0.04</v>
      </c>
      <c r="CN463" s="1115">
        <v>5</v>
      </c>
      <c r="CO463" s="1115"/>
      <c r="CP463" s="1118">
        <f t="shared" si="645"/>
        <v>4.7619047619047619E-4</v>
      </c>
      <c r="CQ463" s="1118">
        <f t="shared" si="646"/>
        <v>6.4814814814814824E-4</v>
      </c>
      <c r="CR463" s="1118">
        <f t="shared" si="647"/>
        <v>2.380952380952381E-4</v>
      </c>
      <c r="CS463" s="442">
        <f t="shared" si="648"/>
        <v>0</v>
      </c>
      <c r="CT463" s="432">
        <f t="shared" si="649"/>
        <v>0</v>
      </c>
      <c r="CU463" s="1101">
        <f t="shared" si="650"/>
        <v>64.753776918238572</v>
      </c>
      <c r="CV463" s="1108">
        <f t="shared" si="682"/>
        <v>4.2554635156250011</v>
      </c>
      <c r="CW463" s="420">
        <f t="shared" si="651"/>
        <v>32.376888459119286</v>
      </c>
      <c r="CX463" s="420">
        <f t="shared" si="652"/>
        <v>64.753776918238572</v>
      </c>
      <c r="CY463" s="433">
        <f t="shared" si="653"/>
        <v>32.376888459119286</v>
      </c>
      <c r="CZ463" s="437"/>
      <c r="DA463" s="438"/>
      <c r="DB463" s="439" t="s">
        <v>569</v>
      </c>
      <c r="DC463" s="439"/>
      <c r="DD463" s="443"/>
      <c r="DE463" s="411"/>
      <c r="DF463" s="411"/>
      <c r="DG463" s="1116">
        <f t="shared" si="654"/>
        <v>0</v>
      </c>
      <c r="DH463" s="1116">
        <f t="shared" si="655"/>
        <v>0</v>
      </c>
      <c r="DI463" s="1116">
        <f t="shared" si="656"/>
        <v>0</v>
      </c>
      <c r="DJ463" s="442">
        <f t="shared" si="657"/>
        <v>0</v>
      </c>
      <c r="DK463" s="432">
        <f t="shared" si="658"/>
        <v>0</v>
      </c>
      <c r="DL463" s="424">
        <f t="shared" si="659"/>
        <v>0</v>
      </c>
      <c r="DM463" s="420">
        <f t="shared" si="660"/>
        <v>0</v>
      </c>
      <c r="DN463" s="420">
        <f t="shared" si="661"/>
        <v>0</v>
      </c>
      <c r="DO463" s="420">
        <f t="shared" si="662"/>
        <v>0</v>
      </c>
      <c r="DP463" s="433">
        <f t="shared" si="663"/>
        <v>0</v>
      </c>
      <c r="DQ463" s="1113" t="s">
        <v>635</v>
      </c>
      <c r="DR463" s="444">
        <f t="shared" si="664"/>
        <v>0.33</v>
      </c>
      <c r="DS463" s="1124"/>
      <c r="DT463" s="1124" t="s">
        <v>133</v>
      </c>
      <c r="DU463" s="1093"/>
      <c r="DV463" s="1098">
        <f>IF($P463="","N/A",IF(P463=-1,INDEX('卡片raw data'!AN:AN,MATCH(D463,'卡片raw data'!$F:$F,)),0)+IF(AND(L463&lt;&gt;"party卡",P463&lt;=2,P463&gt;=0),INDEX('卡片raw data'!AP:AP,MATCH(D463,'卡片raw data'!$F:$F,)),0)+IF(OR(AND(L463="party卡",P463&lt;=1),AND(P463&lt;=4,L463&lt;&gt;"party卡",P463&gt;=3)),INDEX('卡片raw data'!AQ:AQ,MATCH(D463,'卡片raw data'!$F:$F,)),0)+IF(OR(P463=5,AND(L463="party卡",P463&gt;=2)),INDEX('卡片raw data'!AR:AR,MATCH(D463,'卡片raw data'!$F:$F,)),0))</f>
        <v>0.32</v>
      </c>
      <c r="DW463" s="1098">
        <f t="shared" si="665"/>
        <v>0.33</v>
      </c>
      <c r="DX463" s="1098">
        <f t="shared" si="666"/>
        <v>0.33</v>
      </c>
      <c r="DY463" s="1097">
        <f t="shared" si="667"/>
        <v>887.28616256051191</v>
      </c>
      <c r="DZ463" s="1097">
        <f t="shared" si="668"/>
        <v>767.50253061484284</v>
      </c>
      <c r="EA463" s="421">
        <f t="shared" si="669"/>
        <v>0</v>
      </c>
      <c r="EB463" s="445">
        <f t="shared" si="670"/>
        <v>0</v>
      </c>
      <c r="EC463" s="424">
        <f t="shared" si="671"/>
        <v>0</v>
      </c>
      <c r="ED463" s="420">
        <f t="shared" si="672"/>
        <v>0</v>
      </c>
      <c r="EE463" s="433">
        <f t="shared" si="598"/>
        <v>48435.03108962375</v>
      </c>
      <c r="EF463" s="1115" t="s">
        <v>569</v>
      </c>
      <c r="EG463" s="444">
        <f t="shared" si="673"/>
        <v>0.33</v>
      </c>
      <c r="EH463" s="450"/>
      <c r="EI463" s="1093"/>
      <c r="EJ463" s="1093"/>
      <c r="EK463" s="420">
        <f>IF($P463="","N/A",IF(P463=-1,INDEX('卡片raw data'!AS:AS,MATCH(D463,'卡片raw data'!$F:$F,)),0)+IF(AND(L463&lt;&gt;"party卡",P463&lt;=2,P463&gt;=0),INDEX('卡片raw data'!AU:AU,MATCH(D463,'卡片raw data'!$F:$F,)),0)+IF(OR(AND(L463="party卡",P463&lt;=1),AND(P463&lt;=4,L463&lt;&gt;"party卡",P463&gt;=3)),INDEX('卡片raw data'!AV:AV,MATCH(D463,'卡片raw data'!$F:$F,)),0)+IF(OR(P463=5,AND(L463="party卡",P463&gt;=2)),INDEX('卡片raw data'!AW:AW,MATCH(D463,'卡片raw data'!$F:$F,)),0))</f>
        <v>0</v>
      </c>
      <c r="EL463" s="1098">
        <f t="shared" si="674"/>
        <v>0.33</v>
      </c>
      <c r="EM463" s="1098">
        <f t="shared" si="675"/>
        <v>0.33</v>
      </c>
      <c r="EN463" s="1097">
        <f t="shared" si="676"/>
        <v>0</v>
      </c>
      <c r="EO463" s="1097">
        <f t="shared" si="677"/>
        <v>0</v>
      </c>
      <c r="EP463" s="421">
        <f t="shared" si="678"/>
        <v>0</v>
      </c>
      <c r="EQ463" s="445">
        <f t="shared" si="679"/>
        <v>0</v>
      </c>
      <c r="ER463" s="424">
        <f t="shared" si="680"/>
        <v>0</v>
      </c>
      <c r="ES463" s="420">
        <f t="shared" si="681"/>
        <v>0</v>
      </c>
      <c r="ET463" s="446">
        <f t="shared" si="599"/>
        <v>0</v>
      </c>
    </row>
    <row r="464" spans="2:150" ht="16.5" customHeight="1">
      <c r="B464" s="448" t="str">
        <f>INDEX('卡片raw data'!B:B,MATCH($D464,'卡片raw data'!$F:$F,))</f>
        <v>三单曜</v>
      </c>
      <c r="C464" s="449" t="s">
        <v>2740</v>
      </c>
      <c r="D464" s="408">
        <v>461</v>
      </c>
      <c r="E464" s="477">
        <v>401052004</v>
      </c>
      <c r="F464" s="409" t="str">
        <f>INDEX('卡片raw data'!C:C,MATCH($D464,'卡片raw data'!$F:$F,))</f>
        <v>SR</v>
      </c>
      <c r="G464" s="1094" t="s">
        <v>2741</v>
      </c>
      <c r="H464" s="411">
        <f>IFERROR(INDEX(绊状态确认!C:C,MATCH($G464,绊状态确认!$B:$B,)),"")</f>
        <v>105</v>
      </c>
      <c r="I464" s="450" t="str">
        <f>IFERROR(INDEX(绊状态确认!D:D,MATCH($G464,绊状态确认!$B:$B,)),"")</f>
        <v>水</v>
      </c>
      <c r="J464" s="450" t="str">
        <f>IFERROR(INDEX(绊状态确认!E:E,MATCH($G464,绊状态确认!$B:$B,)),"")</f>
        <v>2年级</v>
      </c>
      <c r="K464" s="451" t="str">
        <f>IFERROR(INDEX(绊状态确认!F:F,MATCH($G464,绊状态确认!$B:$B,)),"")</f>
        <v>CYaRon!</v>
      </c>
      <c r="L464" s="414" t="str">
        <f>INDEX('卡片raw data'!E:E,MATCH($D464,'卡片raw data'!$F:$F,))</f>
        <v>卡池卡</v>
      </c>
      <c r="M464" s="478">
        <v>44335</v>
      </c>
      <c r="N464" s="479">
        <v>40</v>
      </c>
      <c r="O464" s="410" t="str">
        <f>INDEX('卡片raw data'!D:D,MATCH($D464,'卡片raw data'!$F:$F,))</f>
        <v>sk</v>
      </c>
      <c r="P464" s="1126">
        <v>5</v>
      </c>
      <c r="Q464" s="418">
        <f t="shared" si="600"/>
        <v>24375.004886959283</v>
      </c>
      <c r="R464" s="419">
        <f t="shared" si="601"/>
        <v>0.28299999999999997</v>
      </c>
      <c r="S464" s="420">
        <f t="shared" si="602"/>
        <v>15456.849947750396</v>
      </c>
      <c r="T464" s="421">
        <f t="shared" si="603"/>
        <v>0.77200000000000002</v>
      </c>
      <c r="U464" s="422">
        <f t="shared" si="604"/>
        <v>13.565810152662854</v>
      </c>
      <c r="V464" s="423">
        <f t="shared" si="605"/>
        <v>27460.707877580458</v>
      </c>
      <c r="W464" s="424">
        <f t="shared" si="606"/>
        <v>5311.8745198278266</v>
      </c>
      <c r="X464" s="419">
        <f t="shared" si="607"/>
        <v>6.0999999999999999E-2</v>
      </c>
      <c r="Y464" s="420">
        <f t="shared" si="608"/>
        <v>1085.7029906211737</v>
      </c>
      <c r="Z464" s="425">
        <f t="shared" si="609"/>
        <v>13.565810152662854</v>
      </c>
      <c r="AA464" s="426">
        <f t="shared" si="610"/>
        <v>6397.5775104490003</v>
      </c>
      <c r="AB464" s="424">
        <f t="shared" si="611"/>
        <v>6113.2472286502261</v>
      </c>
      <c r="AC464" s="427">
        <f t="shared" si="612"/>
        <v>7.0999999999999994E-2</v>
      </c>
      <c r="AD464" s="428">
        <f t="shared" si="613"/>
        <v>1.8994224431818179E-2</v>
      </c>
      <c r="AE464" s="516">
        <f t="shared" si="614"/>
        <v>4.3537577047458456</v>
      </c>
      <c r="AF464" s="1130">
        <f t="shared" si="615"/>
        <v>0</v>
      </c>
      <c r="AG464" s="420">
        <f t="shared" si="616"/>
        <v>0</v>
      </c>
      <c r="AH464" s="420">
        <f t="shared" si="617"/>
        <v>0</v>
      </c>
      <c r="AI464" s="1097">
        <f t="shared" si="618"/>
        <v>0</v>
      </c>
      <c r="AJ464" s="420">
        <f t="shared" si="619"/>
        <v>0</v>
      </c>
      <c r="AK464" s="518">
        <f t="shared" si="620"/>
        <v>0</v>
      </c>
      <c r="AL464" s="429">
        <f>IF($P464="","N/A",(IF($P464=-1,INDEX('卡片raw data'!S:S,MATCH($D464,'卡片raw data'!$F:$F,)),0)+IF($P464=0,INDEX('卡片raw data'!V:V,MATCH($D464,'卡片raw data'!$F:$F,)),0)+IF($P464=1,INDEX('卡片raw data'!Y:Y,MATCH($D464,'卡片raw data'!$F:$F,)),0)+IF($P464=2,INDEX('卡片raw data'!AB:AB,MATCH($D464,'卡片raw data'!$F:$F,)),0)+IF($P464=3,INDEX('卡片raw data'!AE:AE,MATCH($D464,'卡片raw data'!$F:$F,)),0)+IF($P464=4,INDEX('卡片raw data'!AH:AH,MATCH($D464,'卡片raw data'!$F:$F,)),0)+IF($P464=5,INDEX('卡片raw data'!AK:AK,MATCH($D464,'卡片raw data'!$F:$F,)),0)+INDEX('卡片raw data'!S:S,MATCH($D464,'卡片raw data'!$F:$F,))*(IF($F464="UR",0.04,0.033))*(IF($F464="UR",INDEX(绊状态确认!$S:$S,MATCH($G464,绊状态确认!$B:$B,))/2-40)+IF($F464="SR",INDEX(绊状态确认!$R:$R,MATCH($G464,绊状态确认!$B:$B,))/4-15))+IF($F464="R",INDEX(绊状态确认!$Q:$Q,MATCH($G464,绊状态确认!$B:$B,))/6-40/6)))*(INDEX(绊状态确认!$H:$H,MATCH($G464,绊状态确认!$B:$B,))+INDEX(绊状态确认!J:J,MATCH($G464,绊状态确认!$B:$B,)))</f>
        <v>6384.2792903999989</v>
      </c>
      <c r="AM464" s="429">
        <f>IF($P464="","N/A",(IF($P464=-1,INDEX('卡片raw data'!T:T,MATCH($D464,'卡片raw data'!$F:$F,)),0)+IF($P464=0,INDEX('卡片raw data'!W:W,MATCH($D464,'卡片raw data'!$F:$F,)),0)+IF($P464=1,INDEX('卡片raw data'!Z:Z,MATCH($D464,'卡片raw data'!$F:$F,)),0)+IF($P464=2,INDEX('卡片raw data'!AC:AC,MATCH($D464,'卡片raw data'!$F:$F,)),0)+IF($P464=3,INDEX('卡片raw data'!AF:AF,MATCH($D464,'卡片raw data'!$F:$F,)),0)+IF($P464=4,INDEX('卡片raw data'!AI:AI,MATCH($D464,'卡片raw data'!$F:$F,)),0)+IF($P464=5,INDEX('卡片raw data'!AL:AL,MATCH($D464,'卡片raw data'!$F:$F,)),0)+INDEX('卡片raw data'!T:T,MATCH($D464,'卡片raw data'!$F:$F,))*(IF($F464="UR",0.04,0.033))*(IF($F464="UR",INDEX(绊状态确认!$S:$S,MATCH($G464,绊状态确认!$B:$B,))/2-40)+IF($F464="SR",INDEX(绊状态确认!$R:$R,MATCH($G464,绊状态确认!$B:$B,))/4-15))+IF($F464="R",INDEX(绊状态确认!$Q:$Q,MATCH($G464,绊状态确认!$B:$B,))/6-40/6)))*(INDEX(绊状态确认!$H:$H,MATCH($G464,绊状态确认!$B:$B,))+INDEX(绊状态确认!K:K,MATCH($G464,绊状态确认!$B:$B,)))</f>
        <v>7294.8152447999992</v>
      </c>
      <c r="AN464" s="429">
        <f>IF($P464="","N/A",(IF($P464=-1,INDEX('卡片raw data'!U:U,MATCH($D464,'卡片raw data'!$F:$F,)),0)+IF($P464=0,INDEX('卡片raw data'!X:X,MATCH($D464,'卡片raw data'!$F:$F,)),0)+IF($P464=1,INDEX('卡片raw data'!AA:AA,MATCH($D464,'卡片raw data'!$F:$F,)),0)+IF($P464=2,INDEX('卡片raw data'!AD:AD,MATCH($D464,'卡片raw data'!$F:$F,)),0)+IF($P464=3,INDEX('卡片raw data'!AG:AG,MATCH($D464,'卡片raw data'!$F:$F,)),0)+IF($P464=4,INDEX('卡片raw data'!AJ:AJ,MATCH($D464,'卡片raw data'!$F:$F,)),0)+IF($P464=5,INDEX('卡片raw data'!AM:AM,MATCH($D464,'卡片raw data'!$F:$F,)),0)+INDEX('卡片raw data'!U:U,MATCH($D464,'卡片raw data'!$F:$F,))*(IF($F464="UR",0.04,0.033))*(IF($F464="UR",INDEX(绊状态确认!$S:$S,MATCH($G464,绊状态确认!$B:$B,))/2-40)+IF($F464="SR",INDEX(绊状态确认!$R:$R,MATCH($G464,绊状态确认!$B:$B,))/4-15))+IF($F464="R",INDEX(绊状态确认!$Q:$Q,MATCH($G464,绊状态确认!$B:$B,))/6-40/6)))*(INDEX(绊状态确认!$H:$H,MATCH($G464,绊状态确认!$B:$B,))+INDEX(绊状态确认!L:L,MATCH($G464,绊状态确认!$B:$B,)))</f>
        <v>9121.7191583999993</v>
      </c>
      <c r="AO464" s="430">
        <f t="shared" si="621"/>
        <v>1</v>
      </c>
      <c r="AP464" s="556">
        <f>1+(INDEX(绊状态确认!$T:$T,MATCH($G464,绊状态确认!$B:$B,))+0.2)*$AO464</f>
        <v>1.3</v>
      </c>
      <c r="AQ464" s="431">
        <f t="shared" si="622"/>
        <v>20008.733137299998</v>
      </c>
      <c r="AR464" s="420">
        <f>(AM464*(1+$EX$9)+$EX$35)*(1+(INDEX(绊状态确认!$T:$T,MATCH($G464,绊状态确认!$B:$B,))+0.2)*AO464)*IF(J464=$FF$17,1+$FE$17,1)*IF(I464=$FF$14,1+$FE$14,1)</f>
        <v>12661.422809151998</v>
      </c>
      <c r="AS464" s="420">
        <f>(AN464*(1+$EX$10)+$EX$36)*(1+(INDEX(绊状态确认!$T:$T,MATCH($G464,绊状态确认!$B:$B,))+0.2)*AO464)*IF(J464=$FF$17,1+$FE$17,1)*IF(I464=$FF$14,1+$FE$14,1)</f>
        <v>17692.970141808</v>
      </c>
      <c r="AT464" s="412">
        <f>IF(AND(INDEX('卡片raw data'!AK:AK,MATCH($D464,'卡片raw data'!$F:$F,))&lt;INDEX('卡片raw data'!AM:AM,MATCH($D464,'卡片raw data'!$F:$F,)),INDEX('卡片raw data'!AL:AL,MATCH($D464,'卡片raw data'!$F:$F,))&lt;INDEX('卡片raw data'!AM:AM,MATCH($D464,'卡片raw data'!$F:$F,))),1,0)</f>
        <v>1</v>
      </c>
      <c r="AU464" s="421">
        <f>MIN(AT464*0.15+AS464*0.00003+INDEX(绊状态确认!M:M,MATCH($G464,绊状态确认!$B:$B,)),1)</f>
        <v>0.71078910425424002</v>
      </c>
      <c r="AV464" s="432">
        <f>(INDEX(绊状态确认!$N:$N,MATCH($G464,绊状态确认!$B:$B,))+1.5)*$EW$21</f>
        <v>2.6599999999999997</v>
      </c>
      <c r="AW464" s="424">
        <f t="shared" si="623"/>
        <v>22652.466776832473</v>
      </c>
      <c r="AX464" s="420">
        <f t="shared" si="624"/>
        <v>1085.702990621174</v>
      </c>
      <c r="AY464" s="433">
        <f t="shared" si="625"/>
        <v>23738.169767453648</v>
      </c>
      <c r="AZ464" s="429">
        <f t="shared" si="626"/>
        <v>15049.344616279997</v>
      </c>
      <c r="BA464" s="431">
        <f t="shared" si="627"/>
        <v>18059.213539535995</v>
      </c>
      <c r="BB464" s="420">
        <f>(AM464*(1+$FB$9)+$FB$35)*(1+(INDEX(绊状态确认!$T:$T,MATCH($G464,绊状态确认!$B:$B,))+0.2)*AO464)*IF(J464=$FF$17,1+$FE$17,1)*IF(I464=$FF$14,1+$FE$14,1)*(1+$FE$15)</f>
        <v>12661.422809151998</v>
      </c>
      <c r="BC464" s="420">
        <f>(AN464*(1+$FB$10)+$FB$36)*(1+(INDEX(绊状态确认!$T:$T,MATCH($G464,绊状态确认!$B:$B,))+0.2)*AO464)*IF(J464=$FF$17,1+$FE$17,1)*IF(I464=$FF$14,1+$FE$14,1)*(1+$FE$15)</f>
        <v>17692.970141808</v>
      </c>
      <c r="BD464" s="427">
        <f>MIN(AT464*0.15+BC464*0.00003+INDEX(绊状态确认!M:M,MATCH($G464,绊状态确认!$B:$B,)),1)</f>
        <v>0.71078910425424002</v>
      </c>
      <c r="BE464" s="432">
        <f>(INDEX(绊状态确认!$N:$N,MATCH($G464,绊状态确认!$B:$B,))+1.5)</f>
        <v>1.9</v>
      </c>
      <c r="BF464" s="645">
        <f t="array" ref="BF464">SUMPRODUCT(IF(AZ464*AP464*$FI$16:$FI$23*$FA$22&gt;=$FI$24,$FI$24,AZ464*AP464*$FI$16:$FI$23*$FA$22),$FJ$16:$FJ$23)</f>
        <v>29933.146441780918</v>
      </c>
      <c r="BG464" s="453">
        <f t="array" ref="BG464">SUMPRODUCT(IF(BE464*AZ464*AP464*$FI$16:$FI$23*$FA$22&gt;=$FI$24,$FI$24,BE464*AZ464*AP464*$FI$16:$FI$23*$FA$22),$FJ$16:$FJ$23)</f>
        <v>54800.162390189478</v>
      </c>
      <c r="BH464" s="433">
        <f t="shared" si="628"/>
        <v>15869.450144408713</v>
      </c>
      <c r="BI464" s="434">
        <f>IF(O464="vo",$EW$26/$EW$24*0.05,0)+IF(O464="sk",-$EW$26/$EW$24*(0.05-INDEX(绊状态确认!W:W,MATCH($G464,绊状态确认!$B:$B,)))+0.05*$EW$28,0)+IF(O464="sp",0.05*$EW$32*$EW$30*(1-$EW$33)-(0.05-INDEX(绊状态确认!V:V,MATCH($G464,绊状态确认!$B:$B,)))*$EW$28,0)+IF(O464="gd",-(0.05-INDEX(绊状态确认!X:X,MATCH($G464,绊状态确认!$B:$B,)))*$EW$32*$EW$30*(1-$EW$33),0)</f>
        <v>-6253.6726349699375</v>
      </c>
      <c r="BJ464" s="420">
        <f>IF(O464="vo",0.05*(1-$FI$26)*$FA$24,0)+IF(O464="sk",-(0.05-INDEX(绊状态确认!W:W,MATCH($G464,绊状态确认!$B:$B,)))*(1-$FI$26)*$FA$24+0.05*$FA$26,0)+IF(O464="sp",0.05*$FA$32*$FA$27*(1-$FA$33)/$FA$30+0.05*$FA$29/$FA$69*$FA$27*(1-$FA$33)-(0.05-INDEX(绊状态确认!V:V,MATCH($G464,绊状态确认!$B:$B,)))*$FA$26,0)+IF(O464="gd",-(0.05-INDEX(绊状态确认!X:X,MATCH($G464,绊状态确认!$B:$B,)))*$FA$32*$FA$27*(1-$FA$33)/$FA$30-(0.05-INDEX(绊状态确认!X:X,MATCH($G464,绊状态确认!$B:$B,)))*$FA$29/$FA$69*$FA$27*(1-$FA$33),0)</f>
        <v>20.459096812499922</v>
      </c>
      <c r="BK464" s="433">
        <f>IF(O464="vo",$EW$26/$EW$24*0.05+$EW$26*(-HP($EW$62,$EW$65,$EW$64)+HP($EW$62,$EW$65,(1.05-INDEX(绊状态确认!U:U,MATCH($G464,绊状态确认!$B:$B,)))*$EW$64)),0)+IF(O464="sk",-$EW$26/$EW$24*(0.05-INDEX(绊状态确认!W:W,MATCH($G464,绊状态确认!$B:$B,)))+0.05*$EW$29,0)+IF(O464="sp",0.05*$EW$32*$EW$30*(1-$EW$33)-(0.05-INDEX(绊状态确认!V:V,MATCH($G464,绊状态确认!$B:$B,)))*$EW$29,0)+IF(O464="gd",-(0.05-INDEX(绊状态确认!X:X,MATCH($G464,绊状态确认!$B:$B,)))*$EW$32*$EW$30*(1-$EW$33)+$EW$26*(-HP($EW$62,$EW$65,$EW$64)+HP($EW$62,$EW$65,0.95*$EW$64)),0)</f>
        <v>-4253.6726349699375</v>
      </c>
      <c r="BL464" s="434">
        <f t="shared" si="629"/>
        <v>-1083.3333333333333</v>
      </c>
      <c r="BM464" s="433">
        <f t="shared" si="630"/>
        <v>-830.55555555555543</v>
      </c>
      <c r="BN464" s="437">
        <f t="shared" si="631"/>
        <v>3</v>
      </c>
      <c r="BO464" s="1108">
        <f t="shared" si="632"/>
        <v>4507.7214871259994</v>
      </c>
      <c r="BP464" s="1100">
        <f t="shared" si="633"/>
        <v>221.34103209030098</v>
      </c>
      <c r="BQ464" s="437" t="s">
        <v>132</v>
      </c>
      <c r="BR464" s="450" t="s">
        <v>171</v>
      </c>
      <c r="BS464" s="421">
        <f>IF($P464="","N/A",IF($P464=-1,INDEX('卡片raw data'!AX:AX,MATCH($D464,'卡片raw data'!$F:$F,)),0)+IF($L464="party卡",IF($P464=5,INDEX('卡片raw data'!BD:BD,MATCH($D464,'卡片raw data'!$F:$F,)),IF($P464&gt;=3,INDEX('卡片raw data'!BC:BC,MATCH($D464,'卡片raw data'!$F:$F,)),INDEX('卡片raw data'!BB:BB,MATCH($D464,'卡片raw data'!$F:$F,)))),IF(OR(AND($F464="UR",$P464=0),AND($F464="SR",$P464&gt;=0,$P464&lt;=2),AND($F464="R",$P464&gt;=0,$P464&lt;4)),INDEX('卡片raw data'!AZ:AZ,MATCH($D464,'卡片raw data'!$F:$F,)),0)+IF(OR(AND($F464="UR",$P464&gt;=1,$P464&lt;=4),AND($F464="SR",$P464&lt;=4,$P464&gt;=3),AND($F464="R",$P464=4)),INDEX('卡片raw data'!BA:BA,MATCH($D464,'卡片raw data'!$F:$F,)),0)+IF($P464=5,INDEX('卡片raw data'!BB:BB,MATCH($D464,'卡片raw data'!$F:$F,)),0)))</f>
        <v>3.2000000000000001E-2</v>
      </c>
      <c r="BT464" s="424">
        <f t="shared" si="634"/>
        <v>1602.7454176448</v>
      </c>
      <c r="BU464" s="420">
        <f t="shared" si="635"/>
        <v>68.861654428093644</v>
      </c>
      <c r="BV464" s="420">
        <f t="shared" si="636"/>
        <v>801.37270882240011</v>
      </c>
      <c r="BW464" s="436">
        <f t="shared" si="637"/>
        <v>0</v>
      </c>
      <c r="BX464" s="423">
        <f t="shared" si="638"/>
        <v>1602.7454176448</v>
      </c>
      <c r="BY464" s="433">
        <f t="shared" si="639"/>
        <v>801.37270882240011</v>
      </c>
      <c r="BZ464" s="1113" t="s">
        <v>569</v>
      </c>
      <c r="CA464" s="450"/>
      <c r="CB464" s="421">
        <f>IF($P464="","N/A",IF($P464=-1,INDEX('卡片raw data'!BE:BE,MATCH($D464,'卡片raw data'!$F:$F,)),0)+IF($L464="party卡",IF($P464=5,INDEX('卡片raw data'!BK:BK,MATCH($D464,'卡片raw data'!$F:$F,)),IF($P464&gt;=3,INDEX('卡片raw data'!BJ:BJ,MATCH($D464,'卡片raw data'!$F:$F,)),INDEX('卡片raw data'!BI:BI,MATCH($D464,'卡片raw data'!$F:$F,)))),IF(OR(AND($F464="UR",$P464=0),AND($F464="SR",$P464&gt;=0,$P464&lt;=2),AND($F464="R",$P464&gt;=0,$P464&lt;4)),INDEX('卡片raw data'!BG:BG,MATCH($D464,'卡片raw data'!$F:$F,)),0)+IF(OR(AND($F464="UR",$P464&gt;=1,$P464&lt;=4),AND($F464="SR",$P464&lt;=4,$P464&gt;=3),AND($F464="R",$P464=4)),INDEX('卡片raw data'!BH:BH,MATCH($D464,'卡片raw data'!$F:$F,)),0)+IF($P464=5,INDEX('卡片raw data'!BI:BI,MATCH($D464,'卡片raw data'!$F:$F,)),0)))</f>
        <v>0</v>
      </c>
      <c r="CC464" s="424">
        <f t="shared" si="640"/>
        <v>0</v>
      </c>
      <c r="CD464" s="420">
        <f>IF(BZ464="ap",CB464*(1-$FI$26)*$FB$5/$FB$11*(+IF(CA464="全员",$FA$24,0)+IF(CA464="同作战",$FA$24,0)+IF(CA464="仲间",$FA$24*2/3,0)+IF(CA464="同属性",$FA$24*$FA$37/3,0)+IF(CA464="同年级",$FA$24*$FA$40/3,0)+IF(CA464="同学校",$FA$24*$FA$43/3,0)+IF(CA464="同小队",$FA$24*$FA$46/3,0)+IF(CA464="同type",$FA$24*INDEX($FB$49:$FB$52,MATCH(X464,$FA$49:$FA$52,))/3,0)+IF(CA464="自身",#REF!/3,0)),0)+IF(BZ464="te",CB464*(1-$FI$27)*($FA$20-1)*$FB$7/$FB$13*(+IF(CA464="全员",$FA$19*$FA$24/(1+($FA$20-1)*$FA$19),0)+IF(CA464="同作战",$FA$19*$FA$24/(1+($FA$20-1)*$FA$19),0)+IF(CA464="仲间",$FA$19*$FA$24*2/3/(1+($FA$20-1)*$FA$19),0)+IF(CA464="同属性",$FA$19*$FA$24*$FA$37/3/(1+($FA$20-1)*$FA$19),0)+IF(CA464="同年级",$FA$19*$FA$24*$FA$40/3/(1+($FA$20-1)*$FA$19),0)+IF(CA464="同学校",$FA$19*$FA$24*$FA$43/3/(1+($FA$20-1)*$FA$19),0)+IF(CA464="同小队",$FA$19*$FA$24*$FA$46/3/(1+($FA$20-1)*$FA$19),0)+IF(CA464="同type",$FA$19*$FA$24*INDEX($FB$49:$FB$52,MATCH(X464,$FA$49:$FA$52,))/3/(1+($FA$20-1)*$FA$19),0)+IF(CA464="自身",$FA$19*#REF!/3/(1+(BH464-1)*$BD464),0)),0)</f>
        <v>0</v>
      </c>
      <c r="CE464" s="420">
        <f t="shared" si="641"/>
        <v>0</v>
      </c>
      <c r="CF464" s="436">
        <f t="shared" si="642"/>
        <v>0</v>
      </c>
      <c r="CG464" s="423">
        <f t="shared" si="643"/>
        <v>0</v>
      </c>
      <c r="CH464" s="433">
        <f t="shared" si="644"/>
        <v>0</v>
      </c>
      <c r="CI464" s="437" t="s">
        <v>2045</v>
      </c>
      <c r="CJ464" s="438">
        <v>0.2</v>
      </c>
      <c r="CK464" s="439" t="s">
        <v>2742</v>
      </c>
      <c r="CL464" s="439" t="s">
        <v>2743</v>
      </c>
      <c r="CM464" s="1119">
        <v>0.2</v>
      </c>
      <c r="CN464" s="439"/>
      <c r="CO464" s="1115"/>
      <c r="CP464" s="1116">
        <f t="shared" si="645"/>
        <v>2.5275671631154286</v>
      </c>
      <c r="CQ464" s="1116">
        <f t="shared" si="646"/>
        <v>3.9317711426240005</v>
      </c>
      <c r="CR464" s="1117">
        <f t="shared" si="647"/>
        <v>2.5275671631154286</v>
      </c>
      <c r="CS464" s="442">
        <f t="shared" si="648"/>
        <v>0</v>
      </c>
      <c r="CT464" s="432">
        <f t="shared" si="649"/>
        <v>0</v>
      </c>
      <c r="CU464" s="1101">
        <f t="shared" si="650"/>
        <v>2.7803238794269718</v>
      </c>
      <c r="CV464" s="1108">
        <f t="shared" si="682"/>
        <v>3.9317711426240005</v>
      </c>
      <c r="CW464" s="420">
        <f t="shared" si="651"/>
        <v>2.7803238794269718</v>
      </c>
      <c r="CX464" s="420">
        <f t="shared" si="652"/>
        <v>2.7803238794269718</v>
      </c>
      <c r="CY464" s="433">
        <f t="shared" si="653"/>
        <v>2.7803238794269718</v>
      </c>
      <c r="CZ464" s="437"/>
      <c r="DA464" s="438"/>
      <c r="DB464" s="439" t="s">
        <v>569</v>
      </c>
      <c r="DC464" s="439"/>
      <c r="DD464" s="443"/>
      <c r="DE464" s="411"/>
      <c r="DF464" s="411"/>
      <c r="DG464" s="1116">
        <f t="shared" si="654"/>
        <v>0</v>
      </c>
      <c r="DH464" s="1116">
        <f t="shared" si="655"/>
        <v>0</v>
      </c>
      <c r="DI464" s="1116">
        <f t="shared" si="656"/>
        <v>0</v>
      </c>
      <c r="DJ464" s="442">
        <f t="shared" si="657"/>
        <v>0</v>
      </c>
      <c r="DK464" s="432">
        <f t="shared" si="658"/>
        <v>0</v>
      </c>
      <c r="DL464" s="424">
        <f t="shared" si="659"/>
        <v>0</v>
      </c>
      <c r="DM464" s="420">
        <f t="shared" si="660"/>
        <v>0</v>
      </c>
      <c r="DN464" s="420">
        <f t="shared" si="661"/>
        <v>0</v>
      </c>
      <c r="DO464" s="420">
        <f t="shared" si="662"/>
        <v>0</v>
      </c>
      <c r="DP464" s="433">
        <f t="shared" si="663"/>
        <v>0</v>
      </c>
      <c r="DQ464" s="437" t="s">
        <v>2074</v>
      </c>
      <c r="DR464" s="444">
        <f t="shared" si="664"/>
        <v>0.3</v>
      </c>
      <c r="DS464" s="450">
        <v>5</v>
      </c>
      <c r="DT464" s="1124" t="s">
        <v>2075</v>
      </c>
      <c r="DU464" s="1124" t="s">
        <v>2145</v>
      </c>
      <c r="DV464" s="1098">
        <f>IF($P464="","N/A",IF(P464=-1,INDEX('卡片raw data'!AN:AN,MATCH(D464,'卡片raw data'!$F:$F,)),0)+IF(AND(L464&lt;&gt;"party卡",P464&lt;=2,P464&gt;=0),INDEX('卡片raw data'!AP:AP,MATCH(D464,'卡片raw data'!$F:$F,)),0)+IF(OR(AND(L464="party卡",P464&lt;=1),AND(P464&lt;=4,L464&lt;&gt;"party卡",P464&gt;=3)),INDEX('卡片raw data'!AQ:AQ,MATCH(D464,'卡片raw data'!$F:$F,)),0)+IF(OR(P464=5,AND(L464="party卡",P464&gt;=2)),INDEX('卡片raw data'!AR:AR,MATCH(D464,'卡片raw data'!$F:$F,)),0))</f>
        <v>5.1999999999999998E-2</v>
      </c>
      <c r="DW464" s="1098">
        <f t="shared" si="665"/>
        <v>0.3</v>
      </c>
      <c r="DX464" s="1098">
        <f t="shared" si="666"/>
        <v>0.3</v>
      </c>
      <c r="DY464" s="1098">
        <f t="shared" si="667"/>
        <v>1.7333333333333333E-2</v>
      </c>
      <c r="DZ464" s="1098">
        <f t="shared" si="668"/>
        <v>1.3119166666666666E-2</v>
      </c>
      <c r="EA464" s="421">
        <f t="shared" si="669"/>
        <v>0</v>
      </c>
      <c r="EB464" s="445">
        <f t="shared" si="670"/>
        <v>0</v>
      </c>
      <c r="EC464" s="424">
        <f t="shared" si="671"/>
        <v>2946.2968497798547</v>
      </c>
      <c r="ED464" s="420">
        <f t="shared" si="672"/>
        <v>103.36180442371877</v>
      </c>
      <c r="EE464" s="433">
        <f t="shared" si="598"/>
        <v>2946.2968497798547</v>
      </c>
      <c r="EF464" s="1115" t="s">
        <v>569</v>
      </c>
      <c r="EG464" s="444">
        <f t="shared" si="673"/>
        <v>0.3</v>
      </c>
      <c r="EH464" s="450"/>
      <c r="EI464" s="1093"/>
      <c r="EJ464" s="1093"/>
      <c r="EK464" s="420">
        <f>IF($P464="","N/A",IF(P464=-1,INDEX('卡片raw data'!AS:AS,MATCH(D464,'卡片raw data'!$F:$F,)),0)+IF(AND(L464&lt;&gt;"party卡",P464&lt;=2,P464&gt;=0),INDEX('卡片raw data'!AU:AU,MATCH(D464,'卡片raw data'!$F:$F,)),0)+IF(OR(AND(L464="party卡",P464&lt;=1),AND(P464&lt;=4,L464&lt;&gt;"party卡",P464&gt;=3)),INDEX('卡片raw data'!AV:AV,MATCH(D464,'卡片raw data'!$F:$F,)),0)+IF(OR(P464=5,AND(L464="party卡",P464&gt;=2)),INDEX('卡片raw data'!AW:AW,MATCH(D464,'卡片raw data'!$F:$F,)),0))</f>
        <v>0</v>
      </c>
      <c r="EL464" s="1098">
        <f t="shared" si="674"/>
        <v>0.3</v>
      </c>
      <c r="EM464" s="1098">
        <f t="shared" si="675"/>
        <v>0.3</v>
      </c>
      <c r="EN464" s="1097">
        <f t="shared" si="676"/>
        <v>0</v>
      </c>
      <c r="EO464" s="1097">
        <f t="shared" si="677"/>
        <v>0</v>
      </c>
      <c r="EP464" s="421">
        <f t="shared" si="678"/>
        <v>0</v>
      </c>
      <c r="EQ464" s="445">
        <f t="shared" si="679"/>
        <v>0</v>
      </c>
      <c r="ER464" s="424">
        <f t="shared" si="680"/>
        <v>0</v>
      </c>
      <c r="ES464" s="420">
        <f t="shared" si="681"/>
        <v>0</v>
      </c>
      <c r="ET464" s="446">
        <f t="shared" si="599"/>
        <v>0</v>
      </c>
    </row>
    <row r="465" spans="2:150" ht="16.5" customHeight="1">
      <c r="B465" s="448" t="str">
        <f>INDEX('卡片raw data'!B:B,MATCH($D465,'卡片raw data'!$F:$F,))</f>
        <v>约会善</v>
      </c>
      <c r="C465" s="449" t="s">
        <v>2732</v>
      </c>
      <c r="D465" s="408">
        <v>462</v>
      </c>
      <c r="E465" s="477">
        <v>401063003</v>
      </c>
      <c r="F465" s="409" t="str">
        <f>INDEX('卡片raw data'!C:C,MATCH($D465,'卡片raw data'!$F:$F,))</f>
        <v>UR</v>
      </c>
      <c r="G465" s="1094" t="s">
        <v>2733</v>
      </c>
      <c r="H465" s="411">
        <f>IFERROR(INDEX(绊状态确认!C:C,MATCH($G465,绊状态确认!$B:$B,)),"")</f>
        <v>106</v>
      </c>
      <c r="I465" s="450" t="str">
        <f>IFERROR(INDEX(绊状态确认!D:D,MATCH($G465,绊状态确认!$B:$B,)),"")</f>
        <v>水</v>
      </c>
      <c r="J465" s="450" t="str">
        <f>IFERROR(INDEX(绊状态确认!E:E,MATCH($G465,绊状态确认!$B:$B,)),"")</f>
        <v>1年级</v>
      </c>
      <c r="K465" s="451" t="str">
        <f>IFERROR(INDEX(绊状态确认!F:F,MATCH($G465,绊状态确认!$B:$B,)),"")</f>
        <v>Guilty Kiss</v>
      </c>
      <c r="L465" s="414" t="str">
        <f>INDEX('卡片raw data'!E:E,MATCH($D465,'卡片raw data'!$F:$F,))</f>
        <v>卡池卡</v>
      </c>
      <c r="M465" s="478">
        <v>44335</v>
      </c>
      <c r="N465" s="479">
        <v>40</v>
      </c>
      <c r="O465" s="410" t="str">
        <f>INDEX('卡片raw data'!D:D,MATCH($D465,'卡片raw data'!$F:$F,))</f>
        <v>sk</v>
      </c>
      <c r="P465" s="1126">
        <v>5</v>
      </c>
      <c r="Q465" s="418">
        <f t="shared" si="600"/>
        <v>65198.945666911495</v>
      </c>
      <c r="R465" s="419">
        <f t="shared" si="601"/>
        <v>0.75800000000000001</v>
      </c>
      <c r="S465" s="420">
        <f t="shared" si="602"/>
        <v>20732.938768757616</v>
      </c>
      <c r="T465" s="421">
        <f t="shared" si="603"/>
        <v>1.036</v>
      </c>
      <c r="U465" s="422">
        <f t="shared" si="604"/>
        <v>10.517609999742858</v>
      </c>
      <c r="V465" s="423">
        <f t="shared" si="605"/>
        <v>68035.452287348511</v>
      </c>
      <c r="W465" s="424">
        <f t="shared" si="606"/>
        <v>4507.7214871259994</v>
      </c>
      <c r="X465" s="419">
        <f t="shared" si="607"/>
        <v>5.1999999999999998E-2</v>
      </c>
      <c r="Y465" s="420">
        <f t="shared" si="608"/>
        <v>836.50662043701141</v>
      </c>
      <c r="Z465" s="425">
        <f t="shared" si="609"/>
        <v>10.517609999742858</v>
      </c>
      <c r="AA465" s="426">
        <f t="shared" si="610"/>
        <v>5344.2281075630108</v>
      </c>
      <c r="AB465" s="424">
        <f t="shared" si="611"/>
        <v>11327.158938524</v>
      </c>
      <c r="AC465" s="427">
        <f t="shared" si="612"/>
        <v>0.13100000000000001</v>
      </c>
      <c r="AD465" s="428">
        <f t="shared" si="613"/>
        <v>2.1769318181818181E-2</v>
      </c>
      <c r="AE465" s="516">
        <f t="shared" si="614"/>
        <v>11.953757704745847</v>
      </c>
      <c r="AF465" s="1130">
        <f t="shared" si="615"/>
        <v>0</v>
      </c>
      <c r="AG465" s="420">
        <f t="shared" si="616"/>
        <v>0</v>
      </c>
      <c r="AH465" s="420">
        <f t="shared" si="617"/>
        <v>0</v>
      </c>
      <c r="AI465" s="1097">
        <f t="shared" si="618"/>
        <v>0</v>
      </c>
      <c r="AJ465" s="420">
        <f t="shared" si="619"/>
        <v>0</v>
      </c>
      <c r="AK465" s="518">
        <f t="shared" si="620"/>
        <v>0</v>
      </c>
      <c r="AL465" s="429">
        <f>IF($P465="","N/A",(IF($P465=-1,INDEX('卡片raw data'!S:S,MATCH($D465,'卡片raw data'!$F:$F,)),0)+IF($P465=0,INDEX('卡片raw data'!V:V,MATCH($D465,'卡片raw data'!$F:$F,)),0)+IF($P465=1,INDEX('卡片raw data'!Y:Y,MATCH($D465,'卡片raw data'!$F:$F,)),0)+IF($P465=2,INDEX('卡片raw data'!AB:AB,MATCH($D465,'卡片raw data'!$F:$F,)),0)+IF($P465=3,INDEX('卡片raw data'!AE:AE,MATCH($D465,'卡片raw data'!$F:$F,)),0)+IF($P465=4,INDEX('卡片raw data'!AH:AH,MATCH($D465,'卡片raw data'!$F:$F,)),0)+IF($P465=5,INDEX('卡片raw data'!AK:AK,MATCH($D465,'卡片raw data'!$F:$F,)),0)+INDEX('卡片raw data'!S:S,MATCH($D465,'卡片raw data'!$F:$F,))*(IF($F465="UR",0.04,0.033))*(IF($F465="UR",INDEX(绊状态确认!$S:$S,MATCH($G465,绊状态确认!$B:$B,))/2-40)+IF($F465="SR",INDEX(绊状态确认!$R:$R,MATCH($G465,绊状态确认!$B:$B,))/4-15))+IF($F465="R",INDEX(绊状态确认!$Q:$Q,MATCH($G465,绊状态确认!$B:$B,))/6-40/6)))*(INDEX(绊状态确认!$H:$H,MATCH($G465,绊状态确认!$B:$B,))+INDEX(绊状态确认!J:J,MATCH($G465,绊状态确认!$B:$B,)))</f>
        <v>14517.146351999998</v>
      </c>
      <c r="AM465" s="429">
        <f>IF($P465="","N/A",(IF($P465=-1,INDEX('卡片raw data'!T:T,MATCH($D465,'卡片raw data'!$F:$F,)),0)+IF($P465=0,INDEX('卡片raw data'!W:W,MATCH($D465,'卡片raw data'!$F:$F,)),0)+IF($P465=1,INDEX('卡片raw data'!Z:Z,MATCH($D465,'卡片raw data'!$F:$F,)),0)+IF($P465=2,INDEX('卡片raw data'!AC:AC,MATCH($D465,'卡片raw data'!$F:$F,)),0)+IF($P465=3,INDEX('卡片raw data'!AF:AF,MATCH($D465,'卡片raw data'!$F:$F,)),0)+IF($P465=4,INDEX('卡片raw data'!AI:AI,MATCH($D465,'卡片raw data'!$F:$F,)),0)+IF($P465=5,INDEX('卡片raw data'!AL:AL,MATCH($D465,'卡片raw data'!$F:$F,)),0)+INDEX('卡片raw data'!T:T,MATCH($D465,'卡片raw data'!$F:$F,))*(IF($F465="UR",0.04,0.033))*(IF($F465="UR",INDEX(绊状态确认!$S:$S,MATCH($G465,绊状态确认!$B:$B,))/2-40)+IF($F465="SR",INDEX(绊状态确认!$R:$R,MATCH($G465,绊状态确认!$B:$B,))/4-15))+IF($F465="R",INDEX(绊状态确认!$Q:$Q,MATCH($G465,绊状态确认!$B:$B,))/6-40/6)))*(INDEX(绊状态确认!$H:$H,MATCH($G465,绊状态确认!$B:$B,))+INDEX(绊状态确认!K:K,MATCH($G465,绊状态确认!$B:$B,)))</f>
        <v>5210.5758239999996</v>
      </c>
      <c r="AN465" s="429">
        <f>IF($P465="","N/A",(IF($P465=-1,INDEX('卡片raw data'!U:U,MATCH($D465,'卡片raw data'!$F:$F,)),0)+IF($P465=0,INDEX('卡片raw data'!X:X,MATCH($D465,'卡片raw data'!$F:$F,)),0)+IF($P465=1,INDEX('卡片raw data'!AA:AA,MATCH($D465,'卡片raw data'!$F:$F,)),0)+IF($P465=2,INDEX('卡片raw data'!AD:AD,MATCH($D465,'卡片raw data'!$F:$F,)),0)+IF($P465=3,INDEX('卡片raw data'!AG:AG,MATCH($D465,'卡片raw data'!$F:$F,)),0)+IF($P465=4,INDEX('卡片raw data'!AJ:AJ,MATCH($D465,'卡片raw data'!$F:$F,)),0)+IF($P465=5,INDEX('卡片raw data'!AM:AM,MATCH($D465,'卡片raw data'!$F:$F,)),0)+INDEX('卡片raw data'!U:U,MATCH($D465,'卡片raw data'!$F:$F,))*(IF($F465="UR",0.04,0.033))*(IF($F465="UR",INDEX(绊状态确认!$S:$S,MATCH($G465,绊状态确认!$B:$B,))/2-40)+IF($F465="SR",INDEX(绊状态确认!$R:$R,MATCH($G465,绊状态确认!$B:$B,))/4-15))+IF($F465="R",INDEX(绊状态确认!$Q:$Q,MATCH($G465,绊状态确认!$B:$B,))/6-40/6)))*(INDEX(绊状态确认!$H:$H,MATCH($G465,绊状态确认!$B:$B,))+INDEX(绊状态确认!L:L,MATCH($G465,绊状态确认!$B:$B,)))</f>
        <v>17496.105311999996</v>
      </c>
      <c r="AO465" s="430">
        <f t="shared" si="621"/>
        <v>1</v>
      </c>
      <c r="AP465" s="556">
        <f>1+(INDEX(绊状态确认!$T:$T,MATCH($G465,绊状态确认!$B:$B,))+0.2)*$AO465</f>
        <v>1.3</v>
      </c>
      <c r="AQ465" s="431">
        <f t="shared" si="622"/>
        <v>41357.509173999999</v>
      </c>
      <c r="AR465" s="420">
        <f>(AM465*(1+$EX$9)+$EX$35)*(1+(INDEX(绊状态确认!$T:$T,MATCH($G465,绊状态确认!$B:$B,))+0.2)*AO465)*IF(J465=$FF$17,1+$FE$17,1)*IF(I465=$FF$14,1+$FE$14,1)</f>
        <v>9816.4359997600004</v>
      </c>
      <c r="AS465" s="420">
        <f>(AN465*(1+$EX$10)+$EX$36)*(1+(INDEX(绊状态确认!$T:$T,MATCH($G465,绊状态确认!$B:$B,))+0.2)*AO465)*IF(J465=$FF$17,1+$FE$17,1)*IF(I465=$FF$14,1+$FE$14,1)</f>
        <v>30212.677441439992</v>
      </c>
      <c r="AT465" s="412">
        <f>IF(AND(INDEX('卡片raw data'!AK:AK,MATCH($D465,'卡片raw data'!$F:$F,))&lt;INDEX('卡片raw data'!AM:AM,MATCH($D465,'卡片raw data'!$F:$F,)),INDEX('卡片raw data'!AL:AL,MATCH($D465,'卡片raw data'!$F:$F,))&lt;INDEX('卡片raw data'!AM:AM,MATCH($D465,'卡片raw data'!$F:$F,))),1,0)</f>
        <v>1</v>
      </c>
      <c r="AU465" s="421">
        <f>MIN(AT465*0.15+AS465*0.00003+INDEX(绊状态确认!M:M,MATCH($G465,绊状态确认!$B:$B,)),1)</f>
        <v>1</v>
      </c>
      <c r="AV465" s="432">
        <f>(INDEX(绊状态确认!$N:$N,MATCH($G465,绊状态确认!$B:$B,))+1.5)*$EW$21</f>
        <v>2.6599999999999997</v>
      </c>
      <c r="AW465" s="424">
        <f t="shared" si="623"/>
        <v>57133.834869734812</v>
      </c>
      <c r="AX465" s="420">
        <f t="shared" si="624"/>
        <v>836.50662043701141</v>
      </c>
      <c r="AY465" s="433">
        <f t="shared" si="625"/>
        <v>57970.341490171821</v>
      </c>
      <c r="AZ465" s="429">
        <f t="shared" si="626"/>
        <v>30908.435386399997</v>
      </c>
      <c r="BA465" s="431">
        <f t="shared" si="627"/>
        <v>37090.122463679996</v>
      </c>
      <c r="BB465" s="420">
        <f>(AM465*(1+$FB$9)+$FB$35)*(1+(INDEX(绊状态确认!$T:$T,MATCH($G465,绊状态确认!$B:$B,))+0.2)*AO465)*IF(J465=$FF$17,1+$FE$17,1)*IF(I465=$FF$14,1+$FE$14,1)*(1+$FE$15)</f>
        <v>9816.4359997600004</v>
      </c>
      <c r="BC465" s="420">
        <f>(AN465*(1+$FB$10)+$FB$36)*(1+(INDEX(绊状态确认!$T:$T,MATCH($G465,绊状态确认!$B:$B,))+0.2)*AO465)*IF(J465=$FF$17,1+$FE$17,1)*IF(I465=$FF$14,1+$FE$14,1)*(1+$FE$15)</f>
        <v>30212.677441439992</v>
      </c>
      <c r="BD465" s="427">
        <f>MIN(AT465*0.15+BC465*0.00003+INDEX(绊状态确认!M:M,MATCH($G465,绊状态确认!$B:$B,)),1)</f>
        <v>1</v>
      </c>
      <c r="BE465" s="432">
        <f>(INDEX(绊状态确认!$N:$N,MATCH($G465,绊状态确认!$B:$B,))+1.5)</f>
        <v>1.9</v>
      </c>
      <c r="BF465" s="645">
        <f t="array" ref="BF465">SUMPRODUCT(IF(AZ465*AP465*$FI$16:$FI$23*$FA$22&gt;=$FI$24,$FI$24,AZ465*AP465*$FI$16:$FI$23*$FA$22),$FJ$16:$FJ$23)</f>
        <v>57295.911981229598</v>
      </c>
      <c r="BG465" s="453">
        <f t="array" ref="BG465">SUMPRODUCT(IF(BE465*AZ465*AP465*$FI$16:$FI$23*$FA$22&gt;=$FI$24,$FI$24,BE465*AZ465*AP465*$FI$16:$FI$23*$FA$22),$FJ$16:$FJ$23)</f>
        <v>60000</v>
      </c>
      <c r="BH465" s="433">
        <f t="shared" si="628"/>
        <v>20000</v>
      </c>
      <c r="BI465" s="434">
        <f>IF(O465="vo",$EW$26/$EW$24*0.05,0)+IF(O465="sk",-$EW$26/$EW$24*(0.05-INDEX(绊状态确认!W:W,MATCH($G465,绊状态确认!$B:$B,)))+0.05*$EW$28,0)+IF(O465="sp",0.05*$EW$32*$EW$30*(1-$EW$33)-(0.05-INDEX(绊状态确认!V:V,MATCH($G465,绊状态确认!$B:$B,)))*$EW$28,0)+IF(O465="gd",-(0.05-INDEX(绊状态确认!X:X,MATCH($G465,绊状态确认!$B:$B,)))*$EW$32*$EW$30*(1-$EW$33),0)</f>
        <v>-6253.6726349699375</v>
      </c>
      <c r="BJ465" s="420">
        <f>IF(O465="vo",0.05*(1-$FI$26)*$FA$24,0)+IF(O465="sk",-(0.05-INDEX(绊状态确认!W:W,MATCH($G465,绊状态确认!$B:$B,)))*(1-$FI$26)*$FA$24+0.05*$FA$26,0)+IF(O465="sp",0.05*$FA$32*$FA$27*(1-$FA$33)/$FA$30+0.05*$FA$29/$FA$69*$FA$27*(1-$FA$33)-(0.05-INDEX(绊状态确认!V:V,MATCH($G465,绊状态确认!$B:$B,)))*$FA$26,0)+IF(O465="gd",-(0.05-INDEX(绊状态确认!X:X,MATCH($G465,绊状态确认!$B:$B,)))*$FA$32*$FA$27*(1-$FA$33)/$FA$30-(0.05-INDEX(绊状态确认!X:X,MATCH($G465,绊状态确认!$B:$B,)))*$FA$29/$FA$69*$FA$27*(1-$FA$33),0)</f>
        <v>20.459096812499922</v>
      </c>
      <c r="BK465" s="433">
        <f>IF(O465="vo",$EW$26/$EW$24*0.05+$EW$26*(-HP($EW$62,$EW$65,$EW$64)+HP($EW$62,$EW$65,(1.05-INDEX(绊状态确认!U:U,MATCH($G465,绊状态确认!$B:$B,)))*$EW$64)),0)+IF(O465="sk",-$EW$26/$EW$24*(0.05-INDEX(绊状态确认!W:W,MATCH($G465,绊状态确认!$B:$B,)))+0.05*$EW$29,0)+IF(O465="sp",0.05*$EW$32*$EW$30*(1-$EW$33)-(0.05-INDEX(绊状态确认!V:V,MATCH($G465,绊状态确认!$B:$B,)))*$EW$29,0)+IF(O465="gd",-(0.05-INDEX(绊状态确认!X:X,MATCH($G465,绊状态确认!$B:$B,)))*$EW$32*$EW$30*(1-$EW$33)+$EW$26*(-HP($EW$62,$EW$65,$EW$64)+HP($EW$62,$EW$65,0.95*$EW$64)),0)</f>
        <v>-4253.6726349699375</v>
      </c>
      <c r="BL465" s="434">
        <f t="shared" si="629"/>
        <v>0</v>
      </c>
      <c r="BM465" s="433">
        <f t="shared" si="630"/>
        <v>0</v>
      </c>
      <c r="BN465" s="437">
        <f t="shared" si="631"/>
        <v>3</v>
      </c>
      <c r="BO465" s="1108">
        <f t="shared" si="632"/>
        <v>4507.7214871259994</v>
      </c>
      <c r="BP465" s="1100">
        <f t="shared" si="633"/>
        <v>221.34103209030098</v>
      </c>
      <c r="BQ465" s="437" t="s">
        <v>132</v>
      </c>
      <c r="BR465" s="450" t="s">
        <v>168</v>
      </c>
      <c r="BS465" s="421">
        <f>IF($P465="","N/A",IF($P465=-1,INDEX('卡片raw data'!AX:AX,MATCH($D465,'卡片raw data'!$F:$F,)),0)+IF($L465="party卡",IF($P465=5,INDEX('卡片raw data'!BD:BD,MATCH($D465,'卡片raw data'!$F:$F,)),IF($P465&gt;=3,INDEX('卡片raw data'!BC:BC,MATCH($D465,'卡片raw data'!$F:$F,)),INDEX('卡片raw data'!BB:BB,MATCH($D465,'卡片raw data'!$F:$F,)))),IF(OR(AND($F465="UR",$P465=0),AND($F465="SR",$P465&gt;=0,$P465&lt;=2),AND($F465="R",$P465&gt;=0,$P465&lt;4)),INDEX('卡片raw data'!AZ:AZ,MATCH($D465,'卡片raw data'!$F:$F,)),0)+IF(OR(AND($F465="UR",$P465&gt;=1,$P465&lt;=4),AND($F465="SR",$P465&lt;=4,$P465&gt;=3),AND($F465="R",$P465=4)),INDEX('卡片raw data'!BA:BA,MATCH($D465,'卡片raw data'!$F:$F,)),0)+IF($P465=5,INDEX('卡片raw data'!BB:BB,MATCH($D465,'卡片raw data'!$F:$F,)),0)))</f>
        <v>7.0000000000000007E-2</v>
      </c>
      <c r="BT465" s="424">
        <f t="shared" si="634"/>
        <v>5259.008401647</v>
      </c>
      <c r="BU465" s="420">
        <f t="shared" si="635"/>
        <v>258.2312041053512</v>
      </c>
      <c r="BV465" s="420">
        <f t="shared" si="636"/>
        <v>0</v>
      </c>
      <c r="BW465" s="436">
        <f t="shared" si="637"/>
        <v>0</v>
      </c>
      <c r="BX465" s="423">
        <f t="shared" si="638"/>
        <v>5259.008401647</v>
      </c>
      <c r="BY465" s="433">
        <f t="shared" si="639"/>
        <v>0</v>
      </c>
      <c r="BZ465" s="1113" t="s">
        <v>569</v>
      </c>
      <c r="CA465" s="450"/>
      <c r="CB465" s="421">
        <f>IF($P465="","N/A",IF($P465=-1,INDEX('卡片raw data'!BE:BE,MATCH($D465,'卡片raw data'!$F:$F,)),0)+IF($L465="party卡",IF($P465=5,INDEX('卡片raw data'!BK:BK,MATCH($D465,'卡片raw data'!$F:$F,)),IF($P465&gt;=3,INDEX('卡片raw data'!BJ:BJ,MATCH($D465,'卡片raw data'!$F:$F,)),INDEX('卡片raw data'!BI:BI,MATCH($D465,'卡片raw data'!$F:$F,)))),IF(OR(AND($F465="UR",$P465=0),AND($F465="SR",$P465&gt;=0,$P465&lt;=2),AND($F465="R",$P465&gt;=0,$P465&lt;4)),INDEX('卡片raw data'!BG:BG,MATCH($D465,'卡片raw data'!$F:$F,)),0)+IF(OR(AND($F465="UR",$P465&gt;=1,$P465&lt;=4),AND($F465="SR",$P465&lt;=4,$P465&gt;=3),AND($F465="R",$P465=4)),INDEX('卡片raw data'!BH:BH,MATCH($D465,'卡片raw data'!$F:$F,)),0)+IF($P465=5,INDEX('卡片raw data'!BI:BI,MATCH($D465,'卡片raw data'!$F:$F,)),0)))</f>
        <v>0</v>
      </c>
      <c r="CC465" s="424">
        <f t="shared" si="640"/>
        <v>0</v>
      </c>
      <c r="CD465" s="420">
        <f>IF(BZ465="ap",CB465*(1-$FI$26)*$FB$5/$FB$11*(+IF(CA465="全员",$FA$24,0)+IF(CA465="同作战",$FA$24,0)+IF(CA465="仲间",$FA$24*2/3,0)+IF(CA465="同属性",$FA$24*$FA$37/3,0)+IF(CA465="同年级",$FA$24*$FA$40/3,0)+IF(CA465="同学校",$FA$24*$FA$43/3,0)+IF(CA465="同小队",$FA$24*$FA$46/3,0)+IF(CA465="同type",$FA$24*INDEX($FB$49:$FB$52,MATCH(X465,$FA$49:$FA$52,))/3,0)+IF(CA465="自身",#REF!/3,0)),0)+IF(BZ465="te",CB465*(1-$FI$27)*($FA$20-1)*$FB$7/$FB$13*(+IF(CA465="全员",$FA$19*$FA$24/(1+($FA$20-1)*$FA$19),0)+IF(CA465="同作战",$FA$19*$FA$24/(1+($FA$20-1)*$FA$19),0)+IF(CA465="仲间",$FA$19*$FA$24*2/3/(1+($FA$20-1)*$FA$19),0)+IF(CA465="同属性",$FA$19*$FA$24*$FA$37/3/(1+($FA$20-1)*$FA$19),0)+IF(CA465="同年级",$FA$19*$FA$24*$FA$40/3/(1+($FA$20-1)*$FA$19),0)+IF(CA465="同学校",$FA$19*$FA$24*$FA$43/3/(1+($FA$20-1)*$FA$19),0)+IF(CA465="同小队",$FA$19*$FA$24*$FA$46/3/(1+($FA$20-1)*$FA$19),0)+IF(CA465="同type",$FA$19*$FA$24*INDEX($FB$49:$FB$52,MATCH(X465,$FA$49:$FA$52,))/3/(1+($FA$20-1)*$FA$19),0)+IF(CA465="自身",$FA$19*#REF!/3/(1+(BH465-1)*$BD465),0)),0)</f>
        <v>0</v>
      </c>
      <c r="CE465" s="420">
        <f t="shared" si="641"/>
        <v>0</v>
      </c>
      <c r="CF465" s="436">
        <f t="shared" si="642"/>
        <v>0</v>
      </c>
      <c r="CG465" s="423">
        <f t="shared" si="643"/>
        <v>0</v>
      </c>
      <c r="CH465" s="433">
        <f t="shared" si="644"/>
        <v>0</v>
      </c>
      <c r="CI465" s="1113" t="s">
        <v>2734</v>
      </c>
      <c r="CJ465" s="1114">
        <v>0.2</v>
      </c>
      <c r="CK465" s="1115" t="s">
        <v>2107</v>
      </c>
      <c r="CL465" s="1115" t="s">
        <v>2127</v>
      </c>
      <c r="CM465" s="1119">
        <v>0.1</v>
      </c>
      <c r="CN465" s="1115">
        <v>3</v>
      </c>
      <c r="CO465" s="1115"/>
      <c r="CP465" s="1118">
        <f t="shared" si="645"/>
        <v>1.3333333333333329E-2</v>
      </c>
      <c r="CQ465" s="1118">
        <f t="shared" si="646"/>
        <v>1.3333333333333331E-2</v>
      </c>
      <c r="CR465" s="1118">
        <f t="shared" si="647"/>
        <v>0</v>
      </c>
      <c r="CS465" s="442">
        <f t="shared" si="648"/>
        <v>0</v>
      </c>
      <c r="CT465" s="432">
        <f t="shared" si="649"/>
        <v>0</v>
      </c>
      <c r="CU465" s="1101">
        <f t="shared" si="650"/>
        <v>1560.4290497509996</v>
      </c>
      <c r="CV465" s="1108">
        <f t="shared" si="682"/>
        <v>107.96459523727287</v>
      </c>
      <c r="CW465" s="420">
        <f t="shared" si="651"/>
        <v>0</v>
      </c>
      <c r="CX465" s="420">
        <f t="shared" si="652"/>
        <v>1560.4290497509996</v>
      </c>
      <c r="CY465" s="433">
        <f t="shared" si="653"/>
        <v>0</v>
      </c>
      <c r="CZ465" s="437"/>
      <c r="DA465" s="438"/>
      <c r="DB465" s="439" t="s">
        <v>569</v>
      </c>
      <c r="DC465" s="439"/>
      <c r="DD465" s="443"/>
      <c r="DE465" s="411"/>
      <c r="DF465" s="411"/>
      <c r="DG465" s="1116">
        <f t="shared" si="654"/>
        <v>0</v>
      </c>
      <c r="DH465" s="1116">
        <f t="shared" si="655"/>
        <v>0</v>
      </c>
      <c r="DI465" s="1116">
        <f t="shared" si="656"/>
        <v>0</v>
      </c>
      <c r="DJ465" s="442">
        <f t="shared" si="657"/>
        <v>0</v>
      </c>
      <c r="DK465" s="432">
        <f t="shared" si="658"/>
        <v>0</v>
      </c>
      <c r="DL465" s="424">
        <f t="shared" si="659"/>
        <v>0</v>
      </c>
      <c r="DM465" s="420">
        <f t="shared" si="660"/>
        <v>0</v>
      </c>
      <c r="DN465" s="420">
        <f t="shared" si="661"/>
        <v>0</v>
      </c>
      <c r="DO465" s="420">
        <f t="shared" si="662"/>
        <v>0</v>
      </c>
      <c r="DP465" s="433">
        <f t="shared" si="663"/>
        <v>0</v>
      </c>
      <c r="DQ465" s="1113" t="s">
        <v>167</v>
      </c>
      <c r="DR465" s="444">
        <f t="shared" si="664"/>
        <v>0.33</v>
      </c>
      <c r="DS465" s="1124">
        <v>5</v>
      </c>
      <c r="DT465" s="1093" t="s">
        <v>169</v>
      </c>
      <c r="DU465" s="1124" t="s">
        <v>544</v>
      </c>
      <c r="DV465" s="1098">
        <f>IF($P465="","N/A",IF(P465=-1,INDEX('卡片raw data'!AN:AN,MATCH(D465,'卡片raw data'!$F:$F,)),0)+IF(AND(L465&lt;&gt;"party卡",P465&lt;=2,P465&gt;=0),INDEX('卡片raw data'!AP:AP,MATCH(D465,'卡片raw data'!$F:$F,)),0)+IF(OR(AND(L465="party卡",P465&lt;=1),AND(P465&lt;=4,L465&lt;&gt;"party卡",P465&gt;=3)),INDEX('卡片raw data'!AQ:AQ,MATCH(D465,'卡片raw data'!$F:$F,)),0)+IF(OR(P465=5,AND(L465="party卡",P465&gt;=2)),INDEX('卡片raw data'!AR:AR,MATCH(D465,'卡片raw data'!$F:$F,)),0))</f>
        <v>7.1999999999999995E-2</v>
      </c>
      <c r="DW465" s="1098">
        <f t="shared" si="665"/>
        <v>0.33</v>
      </c>
      <c r="DX465" s="1098">
        <f t="shared" si="666"/>
        <v>0.33</v>
      </c>
      <c r="DY465" s="1098">
        <f t="shared" si="667"/>
        <v>2.2000000000000002E-2</v>
      </c>
      <c r="DZ465" s="1098">
        <f t="shared" si="668"/>
        <v>1.9030000000000002E-2</v>
      </c>
      <c r="EA465" s="421">
        <f t="shared" si="669"/>
        <v>0</v>
      </c>
      <c r="EB465" s="445">
        <f t="shared" si="670"/>
        <v>0</v>
      </c>
      <c r="EC465" s="424">
        <f t="shared" si="671"/>
        <v>2991.6244936226226</v>
      </c>
      <c r="ED465" s="420">
        <f t="shared" si="672"/>
        <v>124.94284051218752</v>
      </c>
      <c r="EE465" s="433">
        <f t="shared" si="598"/>
        <v>2991.6244936226226</v>
      </c>
      <c r="EF465" s="1115" t="s">
        <v>569</v>
      </c>
      <c r="EG465" s="444">
        <f t="shared" si="673"/>
        <v>0.33</v>
      </c>
      <c r="EH465" s="450"/>
      <c r="EI465" s="1093"/>
      <c r="EJ465" s="1093"/>
      <c r="EK465" s="420">
        <f>IF($P465="","N/A",IF(P465=-1,INDEX('卡片raw data'!AS:AS,MATCH(D465,'卡片raw data'!$F:$F,)),0)+IF(AND(L465&lt;&gt;"party卡",P465&lt;=2,P465&gt;=0),INDEX('卡片raw data'!AU:AU,MATCH(D465,'卡片raw data'!$F:$F,)),0)+IF(OR(AND(L465="party卡",P465&lt;=1),AND(P465&lt;=4,L465&lt;&gt;"party卡",P465&gt;=3)),INDEX('卡片raw data'!AV:AV,MATCH(D465,'卡片raw data'!$F:$F,)),0)+IF(OR(P465=5,AND(L465="party卡",P465&gt;=2)),INDEX('卡片raw data'!AW:AW,MATCH(D465,'卡片raw data'!$F:$F,)),0))</f>
        <v>0</v>
      </c>
      <c r="EL465" s="1098">
        <f t="shared" si="674"/>
        <v>0.33</v>
      </c>
      <c r="EM465" s="1098">
        <f t="shared" si="675"/>
        <v>0.33</v>
      </c>
      <c r="EN465" s="1097">
        <f t="shared" si="676"/>
        <v>0</v>
      </c>
      <c r="EO465" s="1097">
        <f t="shared" si="677"/>
        <v>0</v>
      </c>
      <c r="EP465" s="421">
        <f t="shared" si="678"/>
        <v>0</v>
      </c>
      <c r="EQ465" s="445">
        <f t="shared" si="679"/>
        <v>0</v>
      </c>
      <c r="ER465" s="424">
        <f t="shared" si="680"/>
        <v>0</v>
      </c>
      <c r="ES465" s="420">
        <f t="shared" si="681"/>
        <v>0</v>
      </c>
      <c r="ET465" s="446">
        <f t="shared" si="599"/>
        <v>0</v>
      </c>
    </row>
    <row r="466" spans="2:150" ht="16.5" customHeight="1">
      <c r="B466" s="448" t="str">
        <f>INDEX('卡片raw data'!B:B,MATCH($D466,'卡片raw data'!$F:$F,))</f>
        <v>约会姬</v>
      </c>
      <c r="C466" s="449" t="s">
        <v>2745</v>
      </c>
      <c r="D466" s="408">
        <v>463</v>
      </c>
      <c r="E466" s="477">
        <v>400063004</v>
      </c>
      <c r="F466" s="409" t="str">
        <f>INDEX('卡片raw data'!C:C,MATCH($D466,'卡片raw data'!$F:$F,))</f>
        <v>UR</v>
      </c>
      <c r="G466" s="1094" t="s">
        <v>2746</v>
      </c>
      <c r="H466" s="411">
        <f>IFERROR(INDEX(绊状态确认!C:C,MATCH($G466,绊状态确认!$B:$B,)),"")</f>
        <v>6</v>
      </c>
      <c r="I466" s="450" t="str">
        <f>IFERROR(INDEX(绊状态确认!D:D,MATCH($G466,绊状态确认!$B:$B,)),"")</f>
        <v>缪</v>
      </c>
      <c r="J466" s="450" t="str">
        <f>IFERROR(INDEX(绊状态确认!E:E,MATCH($G466,绊状态确认!$B:$B,)),"")</f>
        <v>1年级</v>
      </c>
      <c r="K466" s="451" t="str">
        <f>IFERROR(INDEX(绊状态确认!F:F,MATCH($G466,绊状态确认!$B:$B,)),"")</f>
        <v>BiBi</v>
      </c>
      <c r="L466" s="414" t="str">
        <f>INDEX('卡片raw data'!E:E,MATCH($D466,'卡片raw data'!$F:$F,))</f>
        <v>活动卡</v>
      </c>
      <c r="M466" s="478">
        <v>44335</v>
      </c>
      <c r="N466" s="479">
        <v>40</v>
      </c>
      <c r="O466" s="410" t="str">
        <f>INDEX('卡片raw data'!D:D,MATCH($D466,'卡片raw data'!$F:$F,))</f>
        <v>vo</v>
      </c>
      <c r="P466" s="1126">
        <v>5</v>
      </c>
      <c r="Q466" s="418">
        <f t="shared" si="600"/>
        <v>51188.33120812587</v>
      </c>
      <c r="R466" s="419">
        <f t="shared" si="601"/>
        <v>0.59499999999999997</v>
      </c>
      <c r="S466" s="420">
        <f t="shared" si="602"/>
        <v>19761.306480975327</v>
      </c>
      <c r="T466" s="421">
        <f t="shared" si="603"/>
        <v>0.98799999999999999</v>
      </c>
      <c r="U466" s="422">
        <f t="shared" si="604"/>
        <v>-3.7811345028571459</v>
      </c>
      <c r="V466" s="423">
        <f t="shared" si="605"/>
        <v>51609.002086127432</v>
      </c>
      <c r="W466" s="424">
        <f t="shared" si="606"/>
        <v>6052.7788024057936</v>
      </c>
      <c r="X466" s="419">
        <f t="shared" si="607"/>
        <v>7.0000000000000007E-2</v>
      </c>
      <c r="Y466" s="420">
        <f t="shared" si="608"/>
        <v>1725.3393282432662</v>
      </c>
      <c r="Z466" s="425">
        <f t="shared" si="609"/>
        <v>21.218865497142854</v>
      </c>
      <c r="AA466" s="426">
        <f t="shared" si="610"/>
        <v>7778.1181306490598</v>
      </c>
      <c r="AB466" s="424">
        <f t="shared" si="611"/>
        <v>7082.8170125923243</v>
      </c>
      <c r="AC466" s="427">
        <f t="shared" si="612"/>
        <v>8.2000000000000003E-2</v>
      </c>
      <c r="AD466" s="428">
        <f t="shared" si="613"/>
        <v>0</v>
      </c>
      <c r="AE466" s="516">
        <f t="shared" si="614"/>
        <v>0</v>
      </c>
      <c r="AF466" s="1130">
        <f t="shared" si="615"/>
        <v>0</v>
      </c>
      <c r="AG466" s="420">
        <f t="shared" si="616"/>
        <v>0</v>
      </c>
      <c r="AH466" s="420">
        <f t="shared" si="617"/>
        <v>0</v>
      </c>
      <c r="AI466" s="1097">
        <f t="shared" si="618"/>
        <v>0</v>
      </c>
      <c r="AJ466" s="420">
        <f t="shared" si="619"/>
        <v>0</v>
      </c>
      <c r="AK466" s="518">
        <f t="shared" si="620"/>
        <v>0</v>
      </c>
      <c r="AL466" s="429">
        <f>IF($P466="","N/A",(IF($P466=-1,INDEX('卡片raw data'!S:S,MATCH($D466,'卡片raw data'!$F:$F,)),0)+IF($P466=0,INDEX('卡片raw data'!V:V,MATCH($D466,'卡片raw data'!$F:$F,)),0)+IF($P466=1,INDEX('卡片raw data'!Y:Y,MATCH($D466,'卡片raw data'!$F:$F,)),0)+IF($P466=2,INDEX('卡片raw data'!AB:AB,MATCH($D466,'卡片raw data'!$F:$F,)),0)+IF($P466=3,INDEX('卡片raw data'!AE:AE,MATCH($D466,'卡片raw data'!$F:$F,)),0)+IF($P466=4,INDEX('卡片raw data'!AH:AH,MATCH($D466,'卡片raw data'!$F:$F,)),0)+IF($P466=5,INDEX('卡片raw data'!AK:AK,MATCH($D466,'卡片raw data'!$F:$F,)),0)+INDEX('卡片raw data'!S:S,MATCH($D466,'卡片raw data'!$F:$F,))*(IF($F466="UR",0.04,0.033))*(IF($F466="UR",INDEX(绊状态确认!$S:$S,MATCH($G466,绊状态确认!$B:$B,))/2-40)+IF($F466="SR",INDEX(绊状态确认!$R:$R,MATCH($G466,绊状态确认!$B:$B,))/4-15))+IF($F466="R",INDEX(绊状态确认!$Q:$Q,MATCH($G466,绊状态确认!$B:$B,))/6-40/6)))*(INDEX(绊状态确认!$H:$H,MATCH($G466,绊状态确认!$B:$B,))+INDEX(绊状态确认!J:J,MATCH($G466,绊状态确认!$B:$B,)))</f>
        <v>13152.193583999997</v>
      </c>
      <c r="AM466" s="429">
        <f>IF($P466="","N/A",(IF($P466=-1,INDEX('卡片raw data'!T:T,MATCH($D466,'卡片raw data'!$F:$F,)),0)+IF($P466=0,INDEX('卡片raw data'!W:W,MATCH($D466,'卡片raw data'!$F:$F,)),0)+IF($P466=1,INDEX('卡片raw data'!Z:Z,MATCH($D466,'卡片raw data'!$F:$F,)),0)+IF($P466=2,INDEX('卡片raw data'!AC:AC,MATCH($D466,'卡片raw data'!$F:$F,)),0)+IF($P466=3,INDEX('卡片raw data'!AF:AF,MATCH($D466,'卡片raw data'!$F:$F,)),0)+IF($P466=4,INDEX('卡片raw data'!AI:AI,MATCH($D466,'卡片raw data'!$F:$F,)),0)+IF($P466=5,INDEX('卡片raw data'!AL:AL,MATCH($D466,'卡片raw data'!$F:$F,)),0)+INDEX('卡片raw data'!T:T,MATCH($D466,'卡片raw data'!$F:$F,))*(IF($F466="UR",0.04,0.033))*(IF($F466="UR",INDEX(绊状态确认!$S:$S,MATCH($G466,绊状态确认!$B:$B,))/2-40)+IF($F466="SR",INDEX(绊状态确认!$R:$R,MATCH($G466,绊状态确认!$B:$B,))/4-15))+IF($F466="R",INDEX(绊状态确认!$Q:$Q,MATCH($G466,绊状态确认!$B:$B,))/6-40/6)))*(INDEX(绊状态确认!$H:$H,MATCH($G466,绊状态确认!$B:$B,))+INDEX(绊状态确认!K:K,MATCH($G466,绊状态确认!$B:$B,)))</f>
        <v>12527.673599999998</v>
      </c>
      <c r="AN466" s="429">
        <f>IF($P466="","N/A",(IF($P466=-1,INDEX('卡片raw data'!U:U,MATCH($D466,'卡片raw data'!$F:$F,)),0)+IF($P466=0,INDEX('卡片raw data'!X:X,MATCH($D466,'卡片raw data'!$F:$F,)),0)+IF($P466=1,INDEX('卡片raw data'!AA:AA,MATCH($D466,'卡片raw data'!$F:$F,)),0)+IF($P466=2,INDEX('卡片raw data'!AD:AD,MATCH($D466,'卡片raw data'!$F:$F,)),0)+IF($P466=3,INDEX('卡片raw data'!AG:AG,MATCH($D466,'卡片raw data'!$F:$F,)),0)+IF($P466=4,INDEX('卡片raw data'!AJ:AJ,MATCH($D466,'卡片raw data'!$F:$F,)),0)+IF($P466=5,INDEX('卡片raw data'!AM:AM,MATCH($D466,'卡片raw data'!$F:$F,)),0)+INDEX('卡片raw data'!U:U,MATCH($D466,'卡片raw data'!$F:$F,))*(IF($F466="UR",0.04,0.033))*(IF($F466="UR",INDEX(绊状态确认!$S:$S,MATCH($G466,绊状态确认!$B:$B,))/2-40)+IF($F466="SR",INDEX(绊状态确认!$R:$R,MATCH($G466,绊状态确认!$B:$B,))/4-15))+IF($F466="R",INDEX(绊状态确认!$Q:$Q,MATCH($G466,绊状态确认!$B:$B,))/6-40/6)))*(INDEX(绊状态确认!$H:$H,MATCH($G466,绊状态确认!$B:$B,))+INDEX(绊状态确认!L:L,MATCH($G466,绊状态确认!$B:$B,)))</f>
        <v>5635.8167039999989</v>
      </c>
      <c r="AO466" s="430">
        <f t="shared" si="621"/>
        <v>1</v>
      </c>
      <c r="AP466" s="556">
        <f>1+(INDEX(绊状态确认!$T:$T,MATCH($G466,绊状态确认!$B:$B,))+0.2)*$AO466</f>
        <v>1.3</v>
      </c>
      <c r="AQ466" s="431">
        <f t="shared" si="622"/>
        <v>37774.508157999997</v>
      </c>
      <c r="AR466" s="420">
        <f>(AM466*(1+$EX$9)+$EX$35)*(1+(INDEX(绊状态确认!$T:$T,MATCH($G466,绊状态确认!$B:$B,))+0.2)*AO466)*IF(J466=$FF$17,1+$FE$17,1)*IF(I466=$FF$14,1+$FE$14,1)</f>
        <v>19804.274463999998</v>
      </c>
      <c r="AS466" s="420">
        <f>(AN466*(1+$EX$10)+$EX$36)*(1+(INDEX(绊状态确认!$T:$T,MATCH($G466,绊状态确认!$B:$B,))+0.2)*AO466)*IF(J466=$FF$17,1+$FE$17,1)*IF(I466=$FF$14,1+$FE$14,1)</f>
        <v>12481.545972479997</v>
      </c>
      <c r="AT466" s="412">
        <f>IF(AND(INDEX('卡片raw data'!AK:AK,MATCH($D466,'卡片raw data'!$F:$F,))&lt;INDEX('卡片raw data'!AM:AM,MATCH($D466,'卡片raw data'!$F:$F,)),INDEX('卡片raw data'!AL:AL,MATCH($D466,'卡片raw data'!$F:$F,))&lt;INDEX('卡片raw data'!AM:AM,MATCH($D466,'卡片raw data'!$F:$F,))),1,0)</f>
        <v>0</v>
      </c>
      <c r="AU466" s="421">
        <f>MIN(AT466*0.15+AS466*0.00003+INDEX(绊状态确认!M:M,MATCH($G466,绊状态确认!$B:$B,)),1)</f>
        <v>0.40444637917439996</v>
      </c>
      <c r="AV466" s="432">
        <f>(INDEX(绊状态确认!$N:$N,MATCH($G466,绊状态确认!$B:$B,))+1.5)*$EW$21</f>
        <v>2.6599999999999997</v>
      </c>
      <c r="AW466" s="424">
        <f t="shared" si="623"/>
        <v>32789.261875442018</v>
      </c>
      <c r="AX466" s="420">
        <f t="shared" si="624"/>
        <v>1725.3393282432658</v>
      </c>
      <c r="AY466" s="433">
        <f t="shared" si="625"/>
        <v>34514.601203685284</v>
      </c>
      <c r="AZ466" s="429">
        <f t="shared" si="626"/>
        <v>28246.777488799995</v>
      </c>
      <c r="BA466" s="431">
        <f t="shared" si="627"/>
        <v>33896.132986559991</v>
      </c>
      <c r="BB466" s="420">
        <f>(AM466*(1+$FB$9)+$FB$35)*(1+(INDEX(绊状态确认!$T:$T,MATCH($G466,绊状态确认!$B:$B,))+0.2)*AO466)*IF(J466=$FF$17,1+$FE$17,1)*IF(I466=$FF$14,1+$FE$14,1)*(1+$FE$15)</f>
        <v>19804.274463999998</v>
      </c>
      <c r="BC466" s="420">
        <f>(AN466*(1+$FB$10)+$FB$36)*(1+(INDEX(绊状态确认!$T:$T,MATCH($G466,绊状态确认!$B:$B,))+0.2)*AO466)*IF(J466=$FF$17,1+$FE$17,1)*IF(I466=$FF$14,1+$FE$14,1)*(1+$FE$15)</f>
        <v>12481.545972479997</v>
      </c>
      <c r="BD466" s="427">
        <f>MIN(AT466*0.15+BC466*0.00003+INDEX(绊状态确认!M:M,MATCH($G466,绊状态确认!$B:$B,)),1)</f>
        <v>0.40444637917439996</v>
      </c>
      <c r="BE466" s="432">
        <f>(INDEX(绊状态确认!$N:$N,MATCH($G466,绊状态确认!$B:$B,))+1.5)</f>
        <v>1.9</v>
      </c>
      <c r="BF466" s="645">
        <f t="array" ref="BF466">SUMPRODUCT(IF(AZ466*AP466*$FI$16:$FI$23*$FA$22&gt;=$FI$24,$FI$24,AZ466*AP466*$FI$16:$FI$23*$FA$22),$FJ$16:$FJ$23)</f>
        <v>54353.602628085602</v>
      </c>
      <c r="BG466" s="453">
        <f t="array" ref="BG466">SUMPRODUCT(IF(BE466*AZ466*AP466*$FI$16:$FI$23*$FA$22&gt;=$FI$24,$FI$24,BE466*AZ466*AP466*$FI$16:$FI$23*$FA$22),$FJ$16:$FJ$23)</f>
        <v>60000</v>
      </c>
      <c r="BH466" s="433">
        <f t="shared" si="628"/>
        <v>18879.089200178743</v>
      </c>
      <c r="BI466" s="434">
        <f>IF(O466="vo",$EW$26/$EW$24*0.05,0)+IF(O466="sk",-$EW$26/$EW$24*(0.05-INDEX(绊状态确认!W:W,MATCH($G466,绊状态确认!$B:$B,)))+0.05*$EW$28,0)+IF(O466="sp",0.05*$EW$32*$EW$30*(1-$EW$33)-(0.05-INDEX(绊状态确认!V:V,MATCH($G466,绊状态确认!$B:$B,)))*$EW$28,0)+IF(O466="gd",-(0.05-INDEX(绊状态确认!X:X,MATCH($G466,绊状态确认!$B:$B,)))*$EW$32*$EW$30*(1-$EW$33),0)</f>
        <v>7726.3029277443748</v>
      </c>
      <c r="BJ466" s="420">
        <f>IF(O466="vo",0.05*(1-$FI$26)*$FA$24,0)+IF(O466="sk",-(0.05-INDEX(绊状态确认!W:W,MATCH($G466,绊状态确认!$B:$B,)))*(1-$FI$26)*$FA$24+0.05*$FA$26,0)+IF(O466="sp",0.05*$FA$32*$FA$27*(1-$FA$33)/$FA$30+0.05*$FA$29/$FA$69*$FA$27*(1-$FA$33)-(0.05-INDEX(绊状态确认!V:V,MATCH($G466,绊状态确认!$B:$B,)))*$FA$26,0)+IF(O466="gd",-(0.05-INDEX(绊状态确认!X:X,MATCH($G466,绊状态确认!$B:$B,)))*$FA$32*$FA$27*(1-$FA$33)/$FA$30-(0.05-INDEX(绊状态确认!X:X,MATCH($G466,绊状态确认!$B:$B,)))*$FA$29/$FA$69*$FA$27*(1-$FA$33),0)</f>
        <v>393.93433687500004</v>
      </c>
      <c r="BK466" s="433">
        <f>IF(O466="vo",$EW$26/$EW$24*0.05+$EW$26*(-HP($EW$62,$EW$65,$EW$64)+HP($EW$62,$EW$65,(1.05-INDEX(绊状态确认!U:U,MATCH($G466,绊状态确认!$B:$B,)))*$EW$64)),0)+IF(O466="sk",-$EW$26/$EW$24*(0.05-INDEX(绊状态确认!W:W,MATCH($G466,绊状态确认!$B:$B,)))+0.05*$EW$29,0)+IF(O466="sp",0.05*$EW$32*$EW$30*(1-$EW$33)-(0.05-INDEX(绊状态确认!V:V,MATCH($G466,绊状态确认!$B:$B,)))*$EW$29,0)+IF(O466="gd",-(0.05-INDEX(绊状态确认!X:X,MATCH($G466,绊状态确认!$B:$B,)))*$EW$32*$EW$30*(1-$EW$33)+$EW$26*(-HP($EW$62,$EW$65,$EW$64)+HP($EW$62,$EW$65,0.95*$EW$64)),0)</f>
        <v>6421.6344775026746</v>
      </c>
      <c r="BL466" s="434">
        <f t="shared" si="629"/>
        <v>0</v>
      </c>
      <c r="BM466" s="433">
        <f t="shared" si="630"/>
        <v>0</v>
      </c>
      <c r="BN466" s="437">
        <f t="shared" si="631"/>
        <v>3</v>
      </c>
      <c r="BO466" s="1108">
        <f t="shared" si="632"/>
        <v>4507.7214871259994</v>
      </c>
      <c r="BP466" s="1100">
        <f t="shared" si="633"/>
        <v>221.34103209030098</v>
      </c>
      <c r="BQ466" s="437" t="s">
        <v>132</v>
      </c>
      <c r="BR466" s="450" t="s">
        <v>2649</v>
      </c>
      <c r="BS466" s="421">
        <f>IF($P466="","N/A",IF($P466=-1,INDEX('卡片raw data'!AX:AX,MATCH($D466,'卡片raw data'!$F:$F,)),0)+IF($L466="party卡",IF($P466=5,INDEX('卡片raw data'!BD:BD,MATCH($D466,'卡片raw data'!$F:$F,)),IF($P466&gt;=3,INDEX('卡片raw data'!BC:BC,MATCH($D466,'卡片raw data'!$F:$F,)),INDEX('卡片raw data'!BB:BB,MATCH($D466,'卡片raw data'!$F:$F,)))),IF(OR(AND($F466="UR",$P466=0),AND($F466="SR",$P466&gt;=0,$P466&lt;=2),AND($F466="R",$P466&gt;=0,$P466&lt;4)),INDEX('卡片raw data'!AZ:AZ,MATCH($D466,'卡片raw data'!$F:$F,)),0)+IF(OR(AND($F466="UR",$P466&gt;=1,$P466&lt;=4),AND($F466="SR",$P466&lt;=4,$P466&gt;=3),AND($F466="R",$P466=4)),INDEX('卡片raw data'!BA:BA,MATCH($D466,'卡片raw data'!$F:$F,)),0)+IF($P466=5,INDEX('卡片raw data'!BB:BB,MATCH($D466,'卡片raw data'!$F:$F,)),0)))</f>
        <v>5.1999999999999998E-2</v>
      </c>
      <c r="BT466" s="424">
        <f t="shared" si="634"/>
        <v>2170.3844197273338</v>
      </c>
      <c r="BU466" s="420">
        <f t="shared" si="635"/>
        <v>106.57160804347826</v>
      </c>
      <c r="BV466" s="420">
        <f t="shared" si="636"/>
        <v>1302.2306518363998</v>
      </c>
      <c r="BW466" s="436">
        <f t="shared" si="637"/>
        <v>0</v>
      </c>
      <c r="BX466" s="423">
        <f t="shared" si="638"/>
        <v>2170.3844197273338</v>
      </c>
      <c r="BY466" s="433">
        <f t="shared" si="639"/>
        <v>1302.2306518363998</v>
      </c>
      <c r="BZ466" s="1113" t="s">
        <v>569</v>
      </c>
      <c r="CA466" s="450"/>
      <c r="CB466" s="421">
        <f>IF($P466="","N/A",IF($P466=-1,INDEX('卡片raw data'!BE:BE,MATCH($D466,'卡片raw data'!$F:$F,)),0)+IF($L466="party卡",IF($P466=5,INDEX('卡片raw data'!BK:BK,MATCH($D466,'卡片raw data'!$F:$F,)),IF($P466&gt;=3,INDEX('卡片raw data'!BJ:BJ,MATCH($D466,'卡片raw data'!$F:$F,)),INDEX('卡片raw data'!BI:BI,MATCH($D466,'卡片raw data'!$F:$F,)))),IF(OR(AND($F466="UR",$P466=0),AND($F466="SR",$P466&gt;=0,$P466&lt;=2),AND($F466="R",$P466&gt;=0,$P466&lt;4)),INDEX('卡片raw data'!BG:BG,MATCH($D466,'卡片raw data'!$F:$F,)),0)+IF(OR(AND($F466="UR",$P466&gt;=1,$P466&lt;=4),AND($F466="SR",$P466&lt;=4,$P466&gt;=3),AND($F466="R",$P466=4)),INDEX('卡片raw data'!BH:BH,MATCH($D466,'卡片raw data'!$F:$F,)),0)+IF($P466=5,INDEX('卡片raw data'!BI:BI,MATCH($D466,'卡片raw data'!$F:$F,)),0)))</f>
        <v>0</v>
      </c>
      <c r="CC466" s="424">
        <f t="shared" si="640"/>
        <v>0</v>
      </c>
      <c r="CD466" s="420">
        <f>IF(BZ466="ap",CB466*(1-$FI$26)*$FB$5/$FB$11*(+IF(CA466="全员",$FA$24,0)+IF(CA466="同作战",$FA$24,0)+IF(CA466="仲间",$FA$24*2/3,0)+IF(CA466="同属性",$FA$24*$FA$37/3,0)+IF(CA466="同年级",$FA$24*$FA$40/3,0)+IF(CA466="同学校",$FA$24*$FA$43/3,0)+IF(CA466="同小队",$FA$24*$FA$46/3,0)+IF(CA466="同type",$FA$24*INDEX($FB$49:$FB$52,MATCH(X466,$FA$49:$FA$52,))/3,0)+IF(CA466="自身",#REF!/3,0)),0)+IF(BZ466="te",CB466*(1-$FI$27)*($FA$20-1)*$FB$7/$FB$13*(+IF(CA466="全员",$FA$19*$FA$24/(1+($FA$20-1)*$FA$19),0)+IF(CA466="同作战",$FA$19*$FA$24/(1+($FA$20-1)*$FA$19),0)+IF(CA466="仲间",$FA$19*$FA$24*2/3/(1+($FA$20-1)*$FA$19),0)+IF(CA466="同属性",$FA$19*$FA$24*$FA$37/3/(1+($FA$20-1)*$FA$19),0)+IF(CA466="同年级",$FA$19*$FA$24*$FA$40/3/(1+($FA$20-1)*$FA$19),0)+IF(CA466="同学校",$FA$19*$FA$24*$FA$43/3/(1+($FA$20-1)*$FA$19),0)+IF(CA466="同小队",$FA$19*$FA$24*$FA$46/3/(1+($FA$20-1)*$FA$19),0)+IF(CA466="同type",$FA$19*$FA$24*INDEX($FB$49:$FB$52,MATCH(X466,$FA$49:$FA$52,))/3/(1+($FA$20-1)*$FA$19),0)+IF(CA466="自身",$FA$19*#REF!/3/(1+(BH466-1)*$BD466),0)),0)</f>
        <v>0</v>
      </c>
      <c r="CE466" s="420">
        <f t="shared" si="641"/>
        <v>0</v>
      </c>
      <c r="CF466" s="436">
        <f t="shared" si="642"/>
        <v>0</v>
      </c>
      <c r="CG466" s="423">
        <f t="shared" si="643"/>
        <v>0</v>
      </c>
      <c r="CH466" s="433">
        <f t="shared" si="644"/>
        <v>0</v>
      </c>
      <c r="CI466" s="1113" t="s">
        <v>164</v>
      </c>
      <c r="CJ466" s="1114">
        <v>0.5</v>
      </c>
      <c r="CK466" s="1115" t="s">
        <v>2074</v>
      </c>
      <c r="CL466" s="1115" t="s">
        <v>2649</v>
      </c>
      <c r="CM466" s="1119">
        <v>0.08</v>
      </c>
      <c r="CN466" s="1115">
        <v>5</v>
      </c>
      <c r="CO466" s="1115"/>
      <c r="CP466" s="1118">
        <f t="shared" si="645"/>
        <v>2.3809523809523812E-3</v>
      </c>
      <c r="CQ466" s="1118">
        <f t="shared" si="646"/>
        <v>3.7037037037037047E-3</v>
      </c>
      <c r="CR466" s="1118">
        <f t="shared" si="647"/>
        <v>1.4285714285714286E-3</v>
      </c>
      <c r="CS466" s="442">
        <f t="shared" si="648"/>
        <v>0</v>
      </c>
      <c r="CT466" s="432">
        <f t="shared" si="649"/>
        <v>0</v>
      </c>
      <c r="CU466" s="1101">
        <f t="shared" si="650"/>
        <v>404.71110573899114</v>
      </c>
      <c r="CV466" s="1108">
        <f t="shared" si="682"/>
        <v>29.180321250000013</v>
      </c>
      <c r="CW466" s="420">
        <f t="shared" si="651"/>
        <v>242.82666344339464</v>
      </c>
      <c r="CX466" s="420">
        <f t="shared" si="652"/>
        <v>404.71110573899114</v>
      </c>
      <c r="CY466" s="433">
        <f t="shared" si="653"/>
        <v>242.82666344339464</v>
      </c>
      <c r="CZ466" s="437"/>
      <c r="DA466" s="438"/>
      <c r="DB466" s="439" t="s">
        <v>569</v>
      </c>
      <c r="DC466" s="439"/>
      <c r="DD466" s="443"/>
      <c r="DE466" s="411"/>
      <c r="DF466" s="411"/>
      <c r="DG466" s="1116">
        <f t="shared" si="654"/>
        <v>0</v>
      </c>
      <c r="DH466" s="1116">
        <f t="shared" si="655"/>
        <v>0</v>
      </c>
      <c r="DI466" s="1116">
        <f t="shared" si="656"/>
        <v>0</v>
      </c>
      <c r="DJ466" s="442">
        <f t="shared" si="657"/>
        <v>0</v>
      </c>
      <c r="DK466" s="432">
        <f t="shared" si="658"/>
        <v>0</v>
      </c>
      <c r="DL466" s="424">
        <f t="shared" si="659"/>
        <v>0</v>
      </c>
      <c r="DM466" s="420">
        <f t="shared" si="660"/>
        <v>0</v>
      </c>
      <c r="DN466" s="420">
        <f t="shared" si="661"/>
        <v>0</v>
      </c>
      <c r="DO466" s="420">
        <f t="shared" si="662"/>
        <v>0</v>
      </c>
      <c r="DP466" s="433">
        <f t="shared" si="663"/>
        <v>0</v>
      </c>
      <c r="DQ466" s="1113" t="s">
        <v>167</v>
      </c>
      <c r="DR466" s="444">
        <f t="shared" si="664"/>
        <v>0.33</v>
      </c>
      <c r="DS466" s="1124">
        <v>5</v>
      </c>
      <c r="DT466" s="1124" t="s">
        <v>2075</v>
      </c>
      <c r="DU466" s="1093" t="s">
        <v>544</v>
      </c>
      <c r="DV466" s="1098">
        <f>IF($P466="","N/A",IF(P466=-1,INDEX('卡片raw data'!AN:AN,MATCH(D466,'卡片raw data'!$F:$F,)),0)+IF(AND(L466&lt;&gt;"party卡",P466&lt;=2,P466&gt;=0),INDEX('卡片raw data'!AP:AP,MATCH(D466,'卡片raw data'!$F:$F,)),0)+IF(OR(AND(L466="party卡",P466&lt;=1),AND(P466&lt;=4,L466&lt;&gt;"party卡",P466&gt;=3)),INDEX('卡片raw data'!AQ:AQ,MATCH(D466,'卡片raw data'!$F:$F,)),0)+IF(OR(P466=5,AND(L466="party卡",P466&gt;=2)),INDEX('卡片raw data'!AR:AR,MATCH(D466,'卡片raw data'!$F:$F,)),0))</f>
        <v>7.1999999999999995E-2</v>
      </c>
      <c r="DW466" s="1098">
        <f t="shared" si="665"/>
        <v>0.33</v>
      </c>
      <c r="DX466" s="1098">
        <f t="shared" si="666"/>
        <v>0.33</v>
      </c>
      <c r="DY466" s="1098">
        <f t="shared" si="667"/>
        <v>2.6399999999999996E-2</v>
      </c>
      <c r="DZ466" s="1098">
        <f t="shared" si="668"/>
        <v>1.9981499999999999E-2</v>
      </c>
      <c r="EA466" s="421">
        <f t="shared" si="669"/>
        <v>0</v>
      </c>
      <c r="EB466" s="445">
        <f t="shared" si="670"/>
        <v>0</v>
      </c>
      <c r="EC466" s="424">
        <f t="shared" si="671"/>
        <v>3589.9493923471459</v>
      </c>
      <c r="ED466" s="420">
        <f t="shared" si="672"/>
        <v>131.18998253779688</v>
      </c>
      <c r="EE466" s="433">
        <f t="shared" si="598"/>
        <v>3589.9493923471459</v>
      </c>
      <c r="EF466" s="1115" t="s">
        <v>569</v>
      </c>
      <c r="EG466" s="444">
        <f t="shared" si="673"/>
        <v>0.33</v>
      </c>
      <c r="EH466" s="450"/>
      <c r="EI466" s="1093"/>
      <c r="EJ466" s="1093"/>
      <c r="EK466" s="420">
        <f>IF($P466="","N/A",IF(P466=-1,INDEX('卡片raw data'!AS:AS,MATCH(D466,'卡片raw data'!$F:$F,)),0)+IF(AND(L466&lt;&gt;"party卡",P466&lt;=2,P466&gt;=0),INDEX('卡片raw data'!AU:AU,MATCH(D466,'卡片raw data'!$F:$F,)),0)+IF(OR(AND(L466="party卡",P466&lt;=1),AND(P466&lt;=4,L466&lt;&gt;"party卡",P466&gt;=3)),INDEX('卡片raw data'!AV:AV,MATCH(D466,'卡片raw data'!$F:$F,)),0)+IF(OR(P466=5,AND(L466="party卡",P466&gt;=2)),INDEX('卡片raw data'!AW:AW,MATCH(D466,'卡片raw data'!$F:$F,)),0))</f>
        <v>0</v>
      </c>
      <c r="EL466" s="1098">
        <f t="shared" si="674"/>
        <v>0.33</v>
      </c>
      <c r="EM466" s="1098">
        <f t="shared" si="675"/>
        <v>0.33</v>
      </c>
      <c r="EN466" s="1097">
        <f t="shared" si="676"/>
        <v>0</v>
      </c>
      <c r="EO466" s="1097">
        <f t="shared" si="677"/>
        <v>0</v>
      </c>
      <c r="EP466" s="421">
        <f t="shared" si="678"/>
        <v>0</v>
      </c>
      <c r="EQ466" s="445">
        <f t="shared" si="679"/>
        <v>0</v>
      </c>
      <c r="ER466" s="424">
        <f t="shared" si="680"/>
        <v>0</v>
      </c>
      <c r="ES466" s="420">
        <f t="shared" si="681"/>
        <v>0</v>
      </c>
      <c r="ET466" s="446">
        <f t="shared" si="599"/>
        <v>0</v>
      </c>
    </row>
    <row r="467" spans="2:150" ht="16.5" customHeight="1">
      <c r="B467" s="448" t="str">
        <f>INDEX('卡片raw data'!B:B,MATCH($D467,'卡片raw data'!$F:$F,))</f>
        <v>nbg妮</v>
      </c>
      <c r="C467" s="449" t="s">
        <v>2748</v>
      </c>
      <c r="D467" s="408">
        <v>464</v>
      </c>
      <c r="E467" s="477">
        <v>400092005</v>
      </c>
      <c r="F467" s="409" t="str">
        <f>INDEX('卡片raw data'!C:C,MATCH($D467,'卡片raw data'!$F:$F,))</f>
        <v>SR</v>
      </c>
      <c r="G467" s="1094" t="s">
        <v>2749</v>
      </c>
      <c r="H467" s="411">
        <f>IFERROR(INDEX(绊状态确认!C:C,MATCH($G467,绊状态确认!$B:$B,)),"")</f>
        <v>9</v>
      </c>
      <c r="I467" s="450" t="str">
        <f>IFERROR(INDEX(绊状态确认!D:D,MATCH($G467,绊状态确认!$B:$B,)),"")</f>
        <v>缪</v>
      </c>
      <c r="J467" s="450" t="str">
        <f>IFERROR(INDEX(绊状态确认!E:E,MATCH($G467,绊状态确认!$B:$B,)),"")</f>
        <v>3年级</v>
      </c>
      <c r="K467" s="451" t="str">
        <f>IFERROR(INDEX(绊状态确认!F:F,MATCH($G467,绊状态确认!$B:$B,)),"")</f>
        <v>BiBi</v>
      </c>
      <c r="L467" s="414" t="str">
        <f>INDEX('卡片raw data'!E:E,MATCH($D467,'卡片raw data'!$F:$F,))</f>
        <v>活动卡</v>
      </c>
      <c r="M467" s="478">
        <v>44335</v>
      </c>
      <c r="N467" s="479">
        <v>40</v>
      </c>
      <c r="O467" s="410" t="str">
        <f>INDEX('卡片raw data'!D:D,MATCH($D467,'卡片raw data'!$F:$F,))</f>
        <v>vo</v>
      </c>
      <c r="P467" s="1126">
        <v>5</v>
      </c>
      <c r="Q467" s="418">
        <f t="shared" si="600"/>
        <v>36815.386977562463</v>
      </c>
      <c r="R467" s="419">
        <f t="shared" si="601"/>
        <v>0.42799999999999999</v>
      </c>
      <c r="S467" s="420">
        <f t="shared" si="602"/>
        <v>16694.401220391679</v>
      </c>
      <c r="T467" s="421">
        <f t="shared" si="603"/>
        <v>0.83399999999999996</v>
      </c>
      <c r="U467" s="422">
        <f t="shared" si="604"/>
        <v>-15.910384132107145</v>
      </c>
      <c r="V467" s="423">
        <f t="shared" si="605"/>
        <v>36231.548277997645</v>
      </c>
      <c r="W467" s="424">
        <f t="shared" si="606"/>
        <v>5090.5054793901463</v>
      </c>
      <c r="X467" s="419">
        <f t="shared" si="607"/>
        <v>5.8999999999999997E-2</v>
      </c>
      <c r="Y467" s="420">
        <f t="shared" si="608"/>
        <v>720.82975067688312</v>
      </c>
      <c r="Z467" s="425">
        <f t="shared" si="609"/>
        <v>9.0896158678928547</v>
      </c>
      <c r="AA467" s="426">
        <f t="shared" si="610"/>
        <v>5811.3352300670294</v>
      </c>
      <c r="AB467" s="424">
        <f t="shared" si="611"/>
        <v>5802.7592591421599</v>
      </c>
      <c r="AC467" s="427">
        <f t="shared" si="612"/>
        <v>6.7000000000000004E-2</v>
      </c>
      <c r="AD467" s="428">
        <f t="shared" si="613"/>
        <v>-3.8207812500000026E-3</v>
      </c>
      <c r="AE467" s="516">
        <f t="shared" si="614"/>
        <v>-12.27536231884058</v>
      </c>
      <c r="AF467" s="1130">
        <f t="shared" si="615"/>
        <v>0</v>
      </c>
      <c r="AG467" s="420">
        <f t="shared" si="616"/>
        <v>0</v>
      </c>
      <c r="AH467" s="420">
        <f t="shared" si="617"/>
        <v>0</v>
      </c>
      <c r="AI467" s="1097">
        <f t="shared" si="618"/>
        <v>0</v>
      </c>
      <c r="AJ467" s="420">
        <f t="shared" si="619"/>
        <v>0</v>
      </c>
      <c r="AK467" s="518">
        <f t="shared" si="620"/>
        <v>0</v>
      </c>
      <c r="AL467" s="429">
        <f>IF($P467="","N/A",(IF($P467=-1,INDEX('卡片raw data'!S:S,MATCH($D467,'卡片raw data'!$F:$F,)),0)+IF($P467=0,INDEX('卡片raw data'!V:V,MATCH($D467,'卡片raw data'!$F:$F,)),0)+IF($P467=1,INDEX('卡片raw data'!Y:Y,MATCH($D467,'卡片raw data'!$F:$F,)),0)+IF($P467=2,INDEX('卡片raw data'!AB:AB,MATCH($D467,'卡片raw data'!$F:$F,)),0)+IF($P467=3,INDEX('卡片raw data'!AE:AE,MATCH($D467,'卡片raw data'!$F:$F,)),0)+IF($P467=4,INDEX('卡片raw data'!AH:AH,MATCH($D467,'卡片raw data'!$F:$F,)),0)+IF($P467=5,INDEX('卡片raw data'!AK:AK,MATCH($D467,'卡片raw data'!$F:$F,)),0)+INDEX('卡片raw data'!S:S,MATCH($D467,'卡片raw data'!$F:$F,))*(IF($F467="UR",0.04,0.033))*(IF($F467="UR",INDEX(绊状态确认!$S:$S,MATCH($G467,绊状态确认!$B:$B,))/2-40)+IF($F467="SR",INDEX(绊状态确认!$R:$R,MATCH($G467,绊状态确认!$B:$B,))/4-15))+IF($F467="R",INDEX(绊状态确认!$Q:$Q,MATCH($G467,绊状态确认!$B:$B,))/6-40/6)))*(INDEX(绊状态确认!$H:$H,MATCH($G467,绊状态确认!$B:$B,))+INDEX(绊状态确认!J:J,MATCH($G467,绊状态确认!$B:$B,)))</f>
        <v>8471.8233623999986</v>
      </c>
      <c r="AM467" s="429">
        <f>IF($P467="","N/A",(IF($P467=-1,INDEX('卡片raw data'!T:T,MATCH($D467,'卡片raw data'!$F:$F,)),0)+IF($P467=0,INDEX('卡片raw data'!W:W,MATCH($D467,'卡片raw data'!$F:$F,)),0)+IF($P467=1,INDEX('卡片raw data'!Z:Z,MATCH($D467,'卡片raw data'!$F:$F,)),0)+IF($P467=2,INDEX('卡片raw data'!AC:AC,MATCH($D467,'卡片raw data'!$F:$F,)),0)+IF($P467=3,INDEX('卡片raw data'!AF:AF,MATCH($D467,'卡片raw data'!$F:$F,)),0)+IF($P467=4,INDEX('卡片raw data'!AI:AI,MATCH($D467,'卡片raw data'!$F:$F,)),0)+IF($P467=5,INDEX('卡片raw data'!AL:AL,MATCH($D467,'卡片raw data'!$F:$F,)),0)+INDEX('卡片raw data'!T:T,MATCH($D467,'卡片raw data'!$F:$F,))*(IF($F467="UR",0.04,0.033))*(IF($F467="UR",INDEX(绊状态确认!$S:$S,MATCH($G467,绊状态确认!$B:$B,))/2-40)+IF($F467="SR",INDEX(绊状态确认!$R:$R,MATCH($G467,绊状态确认!$B:$B,))/4-15))+IF($F467="R",INDEX(绊状态确认!$Q:$Q,MATCH($G467,绊状态确认!$B:$B,))/6-40/6)))*(INDEX(绊状态确认!$H:$H,MATCH($G467,绊状态确认!$B:$B,))+INDEX(绊状态确认!K:K,MATCH($G467,绊状态确认!$B:$B,)))</f>
        <v>4234.1695799999989</v>
      </c>
      <c r="AN467" s="429">
        <f>IF($P467="","N/A",(IF($P467=-1,INDEX('卡片raw data'!U:U,MATCH($D467,'卡片raw data'!$F:$F,)),0)+IF($P467=0,INDEX('卡片raw data'!X:X,MATCH($D467,'卡片raw data'!$F:$F,)),0)+IF($P467=1,INDEX('卡片raw data'!AA:AA,MATCH($D467,'卡片raw data'!$F:$F,)),0)+IF($P467=2,INDEX('卡片raw data'!AD:AD,MATCH($D467,'卡片raw data'!$F:$F,)),0)+IF($P467=3,INDEX('卡片raw data'!AG:AG,MATCH($D467,'卡片raw data'!$F:$F,)),0)+IF($P467=4,INDEX('卡片raw data'!AJ:AJ,MATCH($D467,'卡片raw data'!$F:$F,)),0)+IF($P467=5,INDEX('卡片raw data'!AM:AM,MATCH($D467,'卡片raw data'!$F:$F,)),0)+INDEX('卡片raw data'!U:U,MATCH($D467,'卡片raw data'!$F:$F,))*(IF($F467="UR",0.04,0.033))*(IF($F467="UR",INDEX(绊状态确认!$S:$S,MATCH($G467,绊状态确认!$B:$B,))/2-40)+IF($F467="SR",INDEX(绊状态确认!$R:$R,MATCH($G467,绊状态确认!$B:$B,))/4-15))+IF($F467="R",INDEX(绊状态确认!$Q:$Q,MATCH($G467,绊状态确认!$B:$B,))/6-40/6)))*(INDEX(绊状态确认!$H:$H,MATCH($G467,绊状态确认!$B:$B,))+INDEX(绊状态确认!L:L,MATCH($G467,绊状态确认!$B:$B,)))</f>
        <v>6545.3139887999996</v>
      </c>
      <c r="AO467" s="430">
        <f t="shared" si="621"/>
        <v>1</v>
      </c>
      <c r="AP467" s="556">
        <f>1+(INDEX(绊状态确认!$T:$T,MATCH($G467,绊状态确认!$B:$B,))+0.2)*$AO467</f>
        <v>1.3</v>
      </c>
      <c r="AQ467" s="431">
        <f t="shared" si="622"/>
        <v>25488.536326299996</v>
      </c>
      <c r="AR467" s="420">
        <f>(AM467*(1+$EX$9)+$EX$35)*(1+(INDEX(绊状态确认!$T:$T,MATCH($G467,绊状态确认!$B:$B,))+0.2)*AO467)*IF(J467=$FF$17,1+$FE$17,1)*IF(I467=$FF$14,1+$FE$14,1)</f>
        <v>8483.6414766999987</v>
      </c>
      <c r="AS467" s="420">
        <f>(AN467*(1+$EX$10)+$EX$36)*(1+(INDEX(绊状态确认!$T:$T,MATCH($G467,绊状态确认!$B:$B,))+0.2)*AO467)*IF(J467=$FF$17,1+$FE$17,1)*IF(I467=$FF$14,1+$FE$14,1)</f>
        <v>13841.244413255999</v>
      </c>
      <c r="AT467" s="412">
        <f>IF(AND(INDEX('卡片raw data'!AK:AK,MATCH($D467,'卡片raw data'!$F:$F,))&lt;INDEX('卡片raw data'!AM:AM,MATCH($D467,'卡片raw data'!$F:$F,)),INDEX('卡片raw data'!AL:AL,MATCH($D467,'卡片raw data'!$F:$F,))&lt;INDEX('卡片raw data'!AM:AM,MATCH($D467,'卡片raw data'!$F:$F,))),1,0)</f>
        <v>0</v>
      </c>
      <c r="AU467" s="421">
        <f>MIN(AT467*0.15+AS467*0.00003+INDEX(绊状态确认!M:M,MATCH($G467,绊状态确认!$B:$B,)),1)</f>
        <v>0.44523733239768004</v>
      </c>
      <c r="AV467" s="432">
        <f>(INDEX(绊状态确认!$N:$N,MATCH($G467,绊状态确认!$B:$B,))+1.5)*$EW$21</f>
        <v>2.6599999999999997</v>
      </c>
      <c r="AW467" s="424">
        <f t="shared" si="623"/>
        <v>23021.059666984729</v>
      </c>
      <c r="AX467" s="420">
        <f t="shared" si="624"/>
        <v>720.8297506768829</v>
      </c>
      <c r="AY467" s="433">
        <f t="shared" si="625"/>
        <v>23741.889417661612</v>
      </c>
      <c r="AZ467" s="429">
        <f t="shared" si="626"/>
        <v>19120.055556679996</v>
      </c>
      <c r="BA467" s="431">
        <f t="shared" si="627"/>
        <v>22944.066668015996</v>
      </c>
      <c r="BB467" s="420">
        <f>(AM467*(1+$FB$9)+$FB$35)*(1+(INDEX(绊状态确认!$T:$T,MATCH($G467,绊状态确认!$B:$B,))+0.2)*AO467)*IF(J467=$FF$17,1+$FE$17,1)*IF(I467=$FF$14,1+$FE$14,1)*(1+$FE$15)</f>
        <v>8483.6414766999987</v>
      </c>
      <c r="BC467" s="420">
        <f>(AN467*(1+$FB$10)+$FB$36)*(1+(INDEX(绊状态确认!$T:$T,MATCH($G467,绊状态确认!$B:$B,))+0.2)*AO467)*IF(J467=$FF$17,1+$FE$17,1)*IF(I467=$FF$14,1+$FE$14,1)*(1+$FE$15)</f>
        <v>13841.244413255999</v>
      </c>
      <c r="BD467" s="427">
        <f>MIN(AT467*0.15+BC467*0.00003+INDEX(绊状态确认!M:M,MATCH($G467,绊状态确认!$B:$B,)),1)</f>
        <v>0.44523733239768004</v>
      </c>
      <c r="BE467" s="432">
        <f>(INDEX(绊状态确认!$N:$N,MATCH($G467,绊状态确认!$B:$B,))+1.5)</f>
        <v>1.9</v>
      </c>
      <c r="BF467" s="645">
        <f t="array" ref="BF467">SUMPRODUCT(IF(AZ467*AP467*$FI$16:$FI$23*$FA$22&gt;=$FI$24,$FI$24,AZ467*AP467*$FI$16:$FI$23*$FA$22),$FJ$16:$FJ$23)</f>
        <v>38029.790502236508</v>
      </c>
      <c r="BG467" s="453">
        <f t="array" ref="BG467">SUMPRODUCT(IF(BE467*AZ467*AP467*$FI$16:$FI$23*$FA$22&gt;=$FI$24,$FI$24,BE467*AZ467*AP467*$FI$16:$FI$23*$FA$22),$FJ$16:$FJ$23)</f>
        <v>59667.184466999955</v>
      </c>
      <c r="BH467" s="433">
        <f t="shared" si="628"/>
        <v>15887.85535704848</v>
      </c>
      <c r="BI467" s="434">
        <f>IF(O467="vo",$EW$26/$EW$24*0.05,0)+IF(O467="sk",-$EW$26/$EW$24*(0.05-INDEX(绊状态确认!W:W,MATCH($G467,绊状态确认!$B:$B,)))+0.05*$EW$28,0)+IF(O467="sp",0.05*$EW$32*$EW$30*(1-$EW$33)-(0.05-INDEX(绊状态确认!V:V,MATCH($G467,绊状态确认!$B:$B,)))*$EW$28,0)+IF(O467="gd",-(0.05-INDEX(绊状态确认!X:X,MATCH($G467,绊状态确认!$B:$B,)))*$EW$32*$EW$30*(1-$EW$33),0)</f>
        <v>7726.3029277443748</v>
      </c>
      <c r="BJ467" s="420">
        <f>IF(O467="vo",0.05*(1-$FI$26)*$FA$24,0)+IF(O467="sk",-(0.05-INDEX(绊状态确认!W:W,MATCH($G467,绊状态确认!$B:$B,)))*(1-$FI$26)*$FA$24+0.05*$FA$26,0)+IF(O467="sp",0.05*$FA$32*$FA$27*(1-$FA$33)/$FA$30+0.05*$FA$29/$FA$69*$FA$27*(1-$FA$33)-(0.05-INDEX(绊状态确认!V:V,MATCH($G467,绊状态确认!$B:$B,)))*$FA$26,0)+IF(O467="gd",-(0.05-INDEX(绊状态确认!X:X,MATCH($G467,绊状态确认!$B:$B,)))*$FA$32*$FA$27*(1-$FA$33)/$FA$30-(0.05-INDEX(绊状态确认!X:X,MATCH($G467,绊状态确认!$B:$B,)))*$FA$29/$FA$69*$FA$27*(1-$FA$33),0)</f>
        <v>393.93433687500004</v>
      </c>
      <c r="BK467" s="433">
        <f>IF(O467="vo",$EW$26/$EW$24*0.05+$EW$26*(-HP($EW$62,$EW$65,$EW$64)+HP($EW$62,$EW$65,(1.05-INDEX(绊状态确认!U:U,MATCH($G467,绊状态确认!$B:$B,)))*$EW$64)),0)+IF(O467="sk",-$EW$26/$EW$24*(0.05-INDEX(绊状态确认!W:W,MATCH($G467,绊状态确认!$B:$B,)))+0.05*$EW$29,0)+IF(O467="sp",0.05*$EW$32*$EW$30*(1-$EW$33)-(0.05-INDEX(绊状态确认!V:V,MATCH($G467,绊状态确认!$B:$B,)))*$EW$29,0)+IF(O467="gd",-(0.05-INDEX(绊状态确认!X:X,MATCH($G467,绊状态确认!$B:$B,)))*$EW$32*$EW$30*(1-$EW$33)+$EW$26*(-HP($EW$62,$EW$65,$EW$64)+HP($EW$62,$EW$65,0.95*$EW$64)),0)</f>
        <v>6421.6344775026746</v>
      </c>
      <c r="BL467" s="434">
        <f t="shared" si="629"/>
        <v>-1083.3333333333333</v>
      </c>
      <c r="BM467" s="433">
        <f t="shared" si="630"/>
        <v>-830.55555555555543</v>
      </c>
      <c r="BN467" s="437">
        <f t="shared" si="631"/>
        <v>3</v>
      </c>
      <c r="BO467" s="1108">
        <f t="shared" si="632"/>
        <v>4507.7214871259994</v>
      </c>
      <c r="BP467" s="1100">
        <f t="shared" si="633"/>
        <v>221.34103209030098</v>
      </c>
      <c r="BQ467" s="1113" t="s">
        <v>132</v>
      </c>
      <c r="BR467" s="1124" t="s">
        <v>166</v>
      </c>
      <c r="BS467" s="421">
        <f>IF($P467="","N/A",IF($P467=-1,INDEX('卡片raw data'!AX:AX,MATCH($D467,'卡片raw data'!$F:$F,)),0)+IF($L467="party卡",IF($P467=5,INDEX('卡片raw data'!BD:BD,MATCH($D467,'卡片raw data'!$F:$F,)),IF($P467&gt;=3,INDEX('卡片raw data'!BC:BC,MATCH($D467,'卡片raw data'!$F:$F,)),INDEX('卡片raw data'!BB:BB,MATCH($D467,'卡片raw data'!$F:$F,)))),IF(OR(AND($F467="UR",$P467=0),AND($F467="SR",$P467&gt;=0,$P467&lt;=2),AND($F467="R",$P467&gt;=0,$P467&lt;4)),INDEX('卡片raw data'!AZ:AZ,MATCH($D467,'卡片raw data'!$F:$F,)),0)+IF(OR(AND($F467="UR",$P467&gt;=1,$P467&lt;=4),AND($F467="SR",$P467&lt;=4,$P467&gt;=3),AND($F467="R",$P467=4)),INDEX('卡片raw data'!BA:BA,MATCH($D467,'卡片raw data'!$F:$F,)),0)+IF($P467=5,INDEX('卡片raw data'!BB:BB,MATCH($D467,'卡片raw data'!$F:$F,)),0)))</f>
        <v>7.0000000000000007E-2</v>
      </c>
      <c r="BT467" s="424">
        <f t="shared" si="634"/>
        <v>712.25377975201377</v>
      </c>
      <c r="BU467" s="420">
        <f t="shared" si="635"/>
        <v>23.433258235646758</v>
      </c>
      <c r="BV467" s="420">
        <f t="shared" si="636"/>
        <v>0</v>
      </c>
      <c r="BW467" s="436">
        <f t="shared" si="637"/>
        <v>0</v>
      </c>
      <c r="BX467" s="423">
        <f t="shared" si="638"/>
        <v>712.25377975201377</v>
      </c>
      <c r="BY467" s="433">
        <f t="shared" si="639"/>
        <v>0</v>
      </c>
      <c r="BZ467" s="1113" t="s">
        <v>569</v>
      </c>
      <c r="CA467" s="450"/>
      <c r="CB467" s="421">
        <f>IF($P467="","N/A",IF($P467=-1,INDEX('卡片raw data'!BE:BE,MATCH($D467,'卡片raw data'!$F:$F,)),0)+IF($L467="party卡",IF($P467=5,INDEX('卡片raw data'!BK:BK,MATCH($D467,'卡片raw data'!$F:$F,)),IF($P467&gt;=3,INDEX('卡片raw data'!BJ:BJ,MATCH($D467,'卡片raw data'!$F:$F,)),INDEX('卡片raw data'!BI:BI,MATCH($D467,'卡片raw data'!$F:$F,)))),IF(OR(AND($F467="UR",$P467=0),AND($F467="SR",$P467&gt;=0,$P467&lt;=2),AND($F467="R",$P467&gt;=0,$P467&lt;4)),INDEX('卡片raw data'!BG:BG,MATCH($D467,'卡片raw data'!$F:$F,)),0)+IF(OR(AND($F467="UR",$P467&gt;=1,$P467&lt;=4),AND($F467="SR",$P467&lt;=4,$P467&gt;=3),AND($F467="R",$P467=4)),INDEX('卡片raw data'!BH:BH,MATCH($D467,'卡片raw data'!$F:$F,)),0)+IF($P467=5,INDEX('卡片raw data'!BI:BI,MATCH($D467,'卡片raw data'!$F:$F,)),0)))</f>
        <v>0</v>
      </c>
      <c r="CC467" s="424">
        <f t="shared" si="640"/>
        <v>0</v>
      </c>
      <c r="CD467" s="420">
        <f>IF(BZ467="ap",CB467*(1-$FI$26)*$FB$5/$FB$11*(+IF(CA467="全员",$FA$24,0)+IF(CA467="同作战",$FA$24,0)+IF(CA467="仲间",$FA$24*2/3,0)+IF(CA467="同属性",$FA$24*$FA$37/3,0)+IF(CA467="同年级",$FA$24*$FA$40/3,0)+IF(CA467="同学校",$FA$24*$FA$43/3,0)+IF(CA467="同小队",$FA$24*$FA$46/3,0)+IF(CA467="同type",$FA$24*INDEX($FB$49:$FB$52,MATCH(X467,$FA$49:$FA$52,))/3,0)+IF(CA467="自身",#REF!/3,0)),0)+IF(BZ467="te",CB467*(1-$FI$27)*($FA$20-1)*$FB$7/$FB$13*(+IF(CA467="全员",$FA$19*$FA$24/(1+($FA$20-1)*$FA$19),0)+IF(CA467="同作战",$FA$19*$FA$24/(1+($FA$20-1)*$FA$19),0)+IF(CA467="仲间",$FA$19*$FA$24*2/3/(1+($FA$20-1)*$FA$19),0)+IF(CA467="同属性",$FA$19*$FA$24*$FA$37/3/(1+($FA$20-1)*$FA$19),0)+IF(CA467="同年级",$FA$19*$FA$24*$FA$40/3/(1+($FA$20-1)*$FA$19),0)+IF(CA467="同学校",$FA$19*$FA$24*$FA$43/3/(1+($FA$20-1)*$FA$19),0)+IF(CA467="同小队",$FA$19*$FA$24*$FA$46/3/(1+($FA$20-1)*$FA$19),0)+IF(CA467="同type",$FA$19*$FA$24*INDEX($FB$49:$FB$52,MATCH(X467,$FA$49:$FA$52,))/3/(1+($FA$20-1)*$FA$19),0)+IF(CA467="自身",$FA$19*#REF!/3/(1+(BH467-1)*$BD467),0)),0)</f>
        <v>0</v>
      </c>
      <c r="CE467" s="420">
        <f t="shared" si="641"/>
        <v>0</v>
      </c>
      <c r="CF467" s="436">
        <f t="shared" si="642"/>
        <v>0</v>
      </c>
      <c r="CG467" s="423">
        <f t="shared" si="643"/>
        <v>0</v>
      </c>
      <c r="CH467" s="433">
        <f t="shared" si="644"/>
        <v>0</v>
      </c>
      <c r="CI467" s="1113" t="s">
        <v>164</v>
      </c>
      <c r="CJ467" s="1114">
        <v>0.5</v>
      </c>
      <c r="CK467" s="1115" t="s">
        <v>2738</v>
      </c>
      <c r="CL467" s="1115" t="s">
        <v>2750</v>
      </c>
      <c r="CM467" s="1119">
        <v>0.04</v>
      </c>
      <c r="CN467" s="1115">
        <v>10</v>
      </c>
      <c r="CO467" s="1115"/>
      <c r="CP467" s="1118">
        <f t="shared" si="645"/>
        <v>4.2857142857142859E-3</v>
      </c>
      <c r="CQ467" s="1118">
        <f t="shared" si="646"/>
        <v>6.666666666666668E-3</v>
      </c>
      <c r="CR467" s="1118">
        <f t="shared" si="647"/>
        <v>4.2857142857142859E-3</v>
      </c>
      <c r="CS467" s="442">
        <f t="shared" si="648"/>
        <v>0</v>
      </c>
      <c r="CT467" s="432">
        <f t="shared" si="649"/>
        <v>0</v>
      </c>
      <c r="CU467" s="1101">
        <f t="shared" si="650"/>
        <v>582.78399226414717</v>
      </c>
      <c r="CV467" s="1108">
        <f t="shared" si="682"/>
        <v>43.770481875000016</v>
      </c>
      <c r="CW467" s="420">
        <f t="shared" si="651"/>
        <v>582.78399226414717</v>
      </c>
      <c r="CX467" s="420">
        <f t="shared" si="652"/>
        <v>582.78399226414717</v>
      </c>
      <c r="CY467" s="433">
        <f t="shared" si="653"/>
        <v>582.78399226414717</v>
      </c>
      <c r="CZ467" s="437"/>
      <c r="DA467" s="438"/>
      <c r="DB467" s="439" t="s">
        <v>569</v>
      </c>
      <c r="DC467" s="439"/>
      <c r="DD467" s="443"/>
      <c r="DE467" s="411"/>
      <c r="DF467" s="411"/>
      <c r="DG467" s="1116">
        <f t="shared" si="654"/>
        <v>0</v>
      </c>
      <c r="DH467" s="1116">
        <f t="shared" si="655"/>
        <v>0</v>
      </c>
      <c r="DI467" s="1116">
        <f t="shared" si="656"/>
        <v>0</v>
      </c>
      <c r="DJ467" s="442">
        <f t="shared" si="657"/>
        <v>0</v>
      </c>
      <c r="DK467" s="432">
        <f t="shared" si="658"/>
        <v>0</v>
      </c>
      <c r="DL467" s="424">
        <f t="shared" si="659"/>
        <v>0</v>
      </c>
      <c r="DM467" s="420">
        <f t="shared" si="660"/>
        <v>0</v>
      </c>
      <c r="DN467" s="420">
        <f t="shared" si="661"/>
        <v>0</v>
      </c>
      <c r="DO467" s="420">
        <f t="shared" si="662"/>
        <v>0</v>
      </c>
      <c r="DP467" s="433">
        <f t="shared" si="663"/>
        <v>0</v>
      </c>
      <c r="DQ467" s="1113" t="s">
        <v>545</v>
      </c>
      <c r="DR467" s="444">
        <f t="shared" si="664"/>
        <v>0.3</v>
      </c>
      <c r="DS467" s="1124"/>
      <c r="DT467" s="1093" t="s">
        <v>132</v>
      </c>
      <c r="DU467" s="1124"/>
      <c r="DV467" s="1098">
        <f>IF($P467="","N/A",IF(P467=-1,INDEX('卡片raw data'!AN:AN,MATCH(D467,'卡片raw data'!$F:$F,)),0)+IF(AND(L467&lt;&gt;"party卡",P467&lt;=2,P467&gt;=0),INDEX('卡片raw data'!AP:AP,MATCH(D467,'卡片raw data'!$F:$F,)),0)+IF(OR(AND(L467="party卡",P467&lt;=1),AND(P467&lt;=4,L467&lt;&gt;"party卡",P467&gt;=3)),INDEX('卡片raw data'!AQ:AQ,MATCH(D467,'卡片raw data'!$F:$F,)),0)+IF(OR(P467=5,AND(L467="party卡",P467&gt;=2)),INDEX('卡片raw data'!AR:AR,MATCH(D467,'卡片raw data'!$F:$F,)),0))</f>
        <v>0.37</v>
      </c>
      <c r="DW467" s="1098">
        <f t="shared" si="665"/>
        <v>0.3</v>
      </c>
      <c r="DX467" s="1098">
        <f t="shared" si="666"/>
        <v>0.3</v>
      </c>
      <c r="DY467" s="1097">
        <f t="shared" si="667"/>
        <v>1225.9985972950299</v>
      </c>
      <c r="DZ467" s="1097">
        <f t="shared" si="668"/>
        <v>954.62230982280744</v>
      </c>
      <c r="EA467" s="421">
        <f t="shared" si="669"/>
        <v>0</v>
      </c>
      <c r="EB467" s="445">
        <f t="shared" si="670"/>
        <v>0</v>
      </c>
      <c r="EC467" s="424">
        <f t="shared" si="671"/>
        <v>1348.598457024533</v>
      </c>
      <c r="ED467" s="420">
        <f t="shared" si="672"/>
        <v>954.62230982280744</v>
      </c>
      <c r="EE467" s="433">
        <f t="shared" si="598"/>
        <v>1348.598457024533</v>
      </c>
      <c r="EF467" s="1115" t="s">
        <v>569</v>
      </c>
      <c r="EG467" s="444">
        <f t="shared" si="673"/>
        <v>0.3</v>
      </c>
      <c r="EH467" s="450"/>
      <c r="EI467" s="1093"/>
      <c r="EJ467" s="1093"/>
      <c r="EK467" s="420">
        <f>IF($P467="","N/A",IF(P467=-1,INDEX('卡片raw data'!AS:AS,MATCH(D467,'卡片raw data'!$F:$F,)),0)+IF(AND(L467&lt;&gt;"party卡",P467&lt;=2,P467&gt;=0),INDEX('卡片raw data'!AU:AU,MATCH(D467,'卡片raw data'!$F:$F,)),0)+IF(OR(AND(L467="party卡",P467&lt;=1),AND(P467&lt;=4,L467&lt;&gt;"party卡",P467&gt;=3)),INDEX('卡片raw data'!AV:AV,MATCH(D467,'卡片raw data'!$F:$F,)),0)+IF(OR(P467=5,AND(L467="party卡",P467&gt;=2)),INDEX('卡片raw data'!AW:AW,MATCH(D467,'卡片raw data'!$F:$F,)),0))</f>
        <v>0</v>
      </c>
      <c r="EL467" s="1098">
        <f t="shared" si="674"/>
        <v>0.3</v>
      </c>
      <c r="EM467" s="1098">
        <f t="shared" si="675"/>
        <v>0.3</v>
      </c>
      <c r="EN467" s="1097">
        <f t="shared" si="676"/>
        <v>0</v>
      </c>
      <c r="EO467" s="1097">
        <f t="shared" si="677"/>
        <v>0</v>
      </c>
      <c r="EP467" s="421">
        <f t="shared" si="678"/>
        <v>0</v>
      </c>
      <c r="EQ467" s="445">
        <f t="shared" si="679"/>
        <v>0</v>
      </c>
      <c r="ER467" s="424">
        <f t="shared" si="680"/>
        <v>0</v>
      </c>
      <c r="ES467" s="420">
        <f t="shared" si="681"/>
        <v>0</v>
      </c>
      <c r="ET467" s="446">
        <f t="shared" si="599"/>
        <v>0</v>
      </c>
    </row>
    <row r="468" spans="2:150" ht="16.5" customHeight="1">
      <c r="B468" s="448" t="str">
        <f>INDEX('卡片raw data'!B:B,MATCH($D468,'卡片raw data'!$F:$F,))</f>
        <v>jb艾</v>
      </c>
      <c r="C468" s="449" t="s">
        <v>2740</v>
      </c>
      <c r="D468" s="408">
        <v>465</v>
      </c>
      <c r="E468" s="477">
        <v>402082004</v>
      </c>
      <c r="F468" s="409" t="str">
        <f>INDEX('卡片raw data'!C:C,MATCH($D468,'卡片raw data'!$F:$F,))</f>
        <v>SR</v>
      </c>
      <c r="G468" s="1094" t="s">
        <v>2747</v>
      </c>
      <c r="H468" s="411">
        <f>IFERROR(INDEX(绊状态确认!C:C,MATCH($G468,绊状态确认!$B:$B,)),"")</f>
        <v>208</v>
      </c>
      <c r="I468" s="450" t="str">
        <f>IFERROR(INDEX(绊状态确认!D:D,MATCH($G468,绊状态确认!$B:$B,)),"")</f>
        <v>虹</v>
      </c>
      <c r="J468" s="450" t="str">
        <f>IFERROR(INDEX(绊状态确认!E:E,MATCH($G468,绊状态确认!$B:$B,)),"")</f>
        <v>3年级</v>
      </c>
      <c r="K468" s="451" t="str">
        <f>IFERROR(INDEX(绊状态确认!F:F,MATCH($G468,绊状态确认!$B:$B,)),"")</f>
        <v>QU4RTZ</v>
      </c>
      <c r="L468" s="414" t="str">
        <f>INDEX('卡片raw data'!E:E,MATCH($D468,'卡片raw data'!$F:$F,))</f>
        <v>活动卡</v>
      </c>
      <c r="M468" s="478">
        <v>44335</v>
      </c>
      <c r="N468" s="479">
        <v>40</v>
      </c>
      <c r="O468" s="410" t="str">
        <f>INDEX('卡片raw data'!D:D,MATCH($D468,'卡片raw data'!$F:$F,))</f>
        <v>gd</v>
      </c>
      <c r="P468" s="1126">
        <v>5</v>
      </c>
      <c r="Q468" s="418">
        <f t="shared" si="600"/>
        <v>16728.093885228063</v>
      </c>
      <c r="R468" s="419">
        <f t="shared" si="601"/>
        <v>0.19400000000000001</v>
      </c>
      <c r="S468" s="420">
        <f t="shared" si="602"/>
        <v>9376.6448666684373</v>
      </c>
      <c r="T468" s="421">
        <f t="shared" si="603"/>
        <v>0.46800000000000003</v>
      </c>
      <c r="U468" s="422">
        <f t="shared" si="604"/>
        <v>499.69627056061398</v>
      </c>
      <c r="V468" s="423">
        <f t="shared" si="605"/>
        <v>68002.184293089987</v>
      </c>
      <c r="W468" s="424">
        <f t="shared" si="606"/>
        <v>4507.7214871259994</v>
      </c>
      <c r="X468" s="419">
        <f t="shared" si="607"/>
        <v>5.1999999999999998E-2</v>
      </c>
      <c r="Y468" s="420">
        <f t="shared" si="608"/>
        <v>2818.8342668861633</v>
      </c>
      <c r="Z468" s="425">
        <f t="shared" si="609"/>
        <v>34.969522380518093</v>
      </c>
      <c r="AA468" s="426">
        <f t="shared" si="610"/>
        <v>7326.5557540121627</v>
      </c>
      <c r="AB468" s="424">
        <f t="shared" si="611"/>
        <v>4507.7214871259994</v>
      </c>
      <c r="AC468" s="427">
        <f t="shared" si="612"/>
        <v>5.1999999999999998E-2</v>
      </c>
      <c r="AD468" s="428">
        <f t="shared" si="613"/>
        <v>-3.8207812500000026E-3</v>
      </c>
      <c r="AE468" s="516">
        <f t="shared" si="614"/>
        <v>-18.525362318840578</v>
      </c>
      <c r="AF468" s="1130">
        <f t="shared" si="615"/>
        <v>6843.2475185527428</v>
      </c>
      <c r="AG468" s="420">
        <f t="shared" si="616"/>
        <v>96491.363965216718</v>
      </c>
      <c r="AH468" s="420">
        <f t="shared" si="617"/>
        <v>14.100230000978158</v>
      </c>
      <c r="AI468" s="1097">
        <f t="shared" si="618"/>
        <v>97988.022009351873</v>
      </c>
      <c r="AJ468" s="420">
        <f t="shared" si="619"/>
        <v>68002.184293089987</v>
      </c>
      <c r="AK468" s="518">
        <f t="shared" si="620"/>
        <v>29985.837716261885</v>
      </c>
      <c r="AL468" s="429">
        <f>IF($P468="","N/A",(IF($P468=-1,INDEX('卡片raw data'!S:S,MATCH($D468,'卡片raw data'!$F:$F,)),0)+IF($P468=0,INDEX('卡片raw data'!V:V,MATCH($D468,'卡片raw data'!$F:$F,)),0)+IF($P468=1,INDEX('卡片raw data'!Y:Y,MATCH($D468,'卡片raw data'!$F:$F,)),0)+IF($P468=2,INDEX('卡片raw data'!AB:AB,MATCH($D468,'卡片raw data'!$F:$F,)),0)+IF($P468=3,INDEX('卡片raw data'!AE:AE,MATCH($D468,'卡片raw data'!$F:$F,)),0)+IF($P468=4,INDEX('卡片raw data'!AH:AH,MATCH($D468,'卡片raw data'!$F:$F,)),0)+IF($P468=5,INDEX('卡片raw data'!AK:AK,MATCH($D468,'卡片raw data'!$F:$F,)),0)+INDEX('卡片raw data'!S:S,MATCH($D468,'卡片raw data'!$F:$F,))*(IF($F468="UR",0.04,0.033))*(IF($F468="UR",INDEX(绊状态确认!$S:$S,MATCH($G468,绊状态确认!$B:$B,))/2-40)+IF($F468="SR",INDEX(绊状态确认!$R:$R,MATCH($G468,绊状态确认!$B:$B,))/4-15))+IF($F468="R",INDEX(绊状态确认!$Q:$Q,MATCH($G468,绊状态确认!$B:$B,))/6-40/6)))*(INDEX(绊状态确认!$H:$H,MATCH($G468,绊状态确认!$B:$B,))+INDEX(绊状态确认!J:J,MATCH($G468,绊状态确认!$B:$B,)))</f>
        <v>4619.9410151999991</v>
      </c>
      <c r="AM468" s="429">
        <f>IF($P468="","N/A",(IF($P468=-1,INDEX('卡片raw data'!T:T,MATCH($D468,'卡片raw data'!$F:$F,)),0)+IF($P468=0,INDEX('卡片raw data'!W:W,MATCH($D468,'卡片raw data'!$F:$F,)),0)+IF($P468=1,INDEX('卡片raw data'!Z:Z,MATCH($D468,'卡片raw data'!$F:$F,)),0)+IF($P468=2,INDEX('卡片raw data'!AC:AC,MATCH($D468,'卡片raw data'!$F:$F,)),0)+IF($P468=3,INDEX('卡片raw data'!AF:AF,MATCH($D468,'卡片raw data'!$F:$F,)),0)+IF($P468=4,INDEX('卡片raw data'!AI:AI,MATCH($D468,'卡片raw data'!$F:$F,)),0)+IF($P468=5,INDEX('卡片raw data'!AL:AL,MATCH($D468,'卡片raw data'!$F:$F,)),0)+INDEX('卡片raw data'!T:T,MATCH($D468,'卡片raw data'!$F:$F,))*(IF($F468="UR",0.04,0.033))*(IF($F468="UR",INDEX(绊状态确认!$S:$S,MATCH($G468,绊状态确认!$B:$B,))/2-40)+IF($F468="SR",INDEX(绊状态确认!$R:$R,MATCH($G468,绊状态确认!$B:$B,))/4-15))+IF($F468="R",INDEX(绊状态确认!$Q:$Q,MATCH($G468,绊状态确认!$B:$B,))/6-40/6)))*(INDEX(绊状态确认!$H:$H,MATCH($G468,绊状态确认!$B:$B,))+INDEX(绊状态确认!K:K,MATCH($G468,绊状态确认!$B:$B,)))</f>
        <v>8086.0519271999983</v>
      </c>
      <c r="AN468" s="429">
        <f>IF($P468="","N/A",(IF($P468=-1,INDEX('卡片raw data'!U:U,MATCH($D468,'卡片raw data'!$F:$F,)),0)+IF($P468=0,INDEX('卡片raw data'!X:X,MATCH($D468,'卡片raw data'!$F:$F,)),0)+IF($P468=1,INDEX('卡片raw data'!AA:AA,MATCH($D468,'卡片raw data'!$F:$F,)),0)+IF($P468=2,INDEX('卡片raw data'!AD:AD,MATCH($D468,'卡片raw data'!$F:$F,)),0)+IF($P468=3,INDEX('卡片raw data'!AG:AG,MATCH($D468,'卡片raw data'!$F:$F,)),0)+IF($P468=4,INDEX('卡片raw data'!AJ:AJ,MATCH($D468,'卡片raw data'!$F:$F,)),0)+IF($P468=5,INDEX('卡片raw data'!AM:AM,MATCH($D468,'卡片raw data'!$F:$F,)),0)+INDEX('卡片raw data'!U:U,MATCH($D468,'卡片raw data'!$F:$F,))*(IF($F468="UR",0.04,0.033))*(IF($F468="UR",INDEX(绊状态确认!$S:$S,MATCH($G468,绊状态确认!$B:$B,))/2-40)+IF($F468="SR",INDEX(绊状态确认!$R:$R,MATCH($G468,绊状态确认!$B:$B,))/4-15))+IF($F468="R",INDEX(绊状态确认!$Q:$Q,MATCH($G468,绊状态确认!$B:$B,))/6-40/6)))*(INDEX(绊状态确认!$H:$H,MATCH($G468,绊状态确认!$B:$B,))+INDEX(绊状态确认!L:L,MATCH($G468,绊状态确认!$B:$B,)))</f>
        <v>6545.3139887999996</v>
      </c>
      <c r="AO468" s="430">
        <f t="shared" si="621"/>
        <v>1</v>
      </c>
      <c r="AP468" s="556">
        <f>1+(INDEX(绊状态确认!$T:$T,MATCH($G468,绊状态确认!$B:$B,))+0.2)*$AO468</f>
        <v>1.3</v>
      </c>
      <c r="AQ468" s="431">
        <f t="shared" si="622"/>
        <v>15377.345164899998</v>
      </c>
      <c r="AR468" s="420">
        <f>(AM468*(1+$EX$9)+$EX$35)*(1+(INDEX(绊状态确认!$T:$T,MATCH($G468,绊状态确认!$B:$B,))+0.2)*AO468)*IF(J468=$FF$17,1+$FE$17,1)*IF(I468=$FF$14,1+$FE$14,1)</f>
        <v>13741.460880627998</v>
      </c>
      <c r="AS468" s="420">
        <f>(AN468*(1+$EX$10)+$EX$36)*(1+(INDEX(绊状态确认!$T:$T,MATCH($G468,绊状态确认!$B:$B,))+0.2)*AO468)*IF(J468=$FF$17,1+$FE$17,1)*IF(I468=$FF$14,1+$FE$14,1)</f>
        <v>13841.244413255999</v>
      </c>
      <c r="AT468" s="412">
        <f>IF(AND(INDEX('卡片raw data'!AK:AK,MATCH($D468,'卡片raw data'!$F:$F,))&lt;INDEX('卡片raw data'!AM:AM,MATCH($D468,'卡片raw data'!$F:$F,)),INDEX('卡片raw data'!AL:AL,MATCH($D468,'卡片raw data'!$F:$F,))&lt;INDEX('卡片raw data'!AM:AM,MATCH($D468,'卡片raw data'!$F:$F,))),1,0)</f>
        <v>0</v>
      </c>
      <c r="AU468" s="421">
        <f>MIN(AT468*0.15+AS468*0.00003+INDEX(绊状态确认!M:M,MATCH($G468,绊状态确认!$B:$B,)),1)</f>
        <v>0.44523733239768004</v>
      </c>
      <c r="AV468" s="432">
        <f>(INDEX(绊状态确认!$N:$N,MATCH($G468,绊状态确认!$B:$B,))+1.5)*$EW$21</f>
        <v>2.6599999999999997</v>
      </c>
      <c r="AW468" s="424">
        <f t="shared" si="623"/>
        <v>13888.705731435395</v>
      </c>
      <c r="AX468" s="420">
        <f t="shared" si="624"/>
        <v>1181.1248506343841</v>
      </c>
      <c r="AY468" s="433">
        <f t="shared" si="625"/>
        <v>15069.830582069779</v>
      </c>
      <c r="AZ468" s="429">
        <f t="shared" si="626"/>
        <v>11608.884979639997</v>
      </c>
      <c r="BA468" s="431">
        <f t="shared" si="627"/>
        <v>13930.661975567997</v>
      </c>
      <c r="BB468" s="420">
        <f>(AM468*(1+$FB$9)+$FB$35)*(1+(INDEX(绊状态确认!$T:$T,MATCH($G468,绊状态确认!$B:$B,))+0.2)*AO468)*IF(J468=$FF$17,1+$FE$17,1)*IF(I468=$FF$14,1+$FE$14,1)*(1+$FE$15)</f>
        <v>13741.460880627998</v>
      </c>
      <c r="BC468" s="420">
        <f>(AN468*(1+$FB$10)+$FB$36)*(1+(INDEX(绊状态确认!$T:$T,MATCH($G468,绊状态确认!$B:$B,))+0.2)*AO468)*IF(J468=$FF$17,1+$FE$17,1)*IF(I468=$FF$14,1+$FE$14,1)*(1+$FE$15)</f>
        <v>13841.244413255999</v>
      </c>
      <c r="BD468" s="427">
        <f>MIN(AT468*0.15+BC468*0.00003+INDEX(绊状态确认!M:M,MATCH($G468,绊状态确认!$B:$B,)),1)</f>
        <v>0.44523733239768004</v>
      </c>
      <c r="BE468" s="432">
        <f>(INDEX(绊状态确认!$N:$N,MATCH($G468,绊状态确认!$B:$B,))+1.5)</f>
        <v>1.9</v>
      </c>
      <c r="BF468" s="645">
        <f t="array" ref="BF468">SUMPRODUCT(IF(AZ468*AP468*$FI$16:$FI$23*$FA$22&gt;=$FI$24,$FI$24,AZ468*AP468*$FI$16:$FI$23*$FA$22),$FJ$16:$FJ$23)</f>
        <v>23090.072224503958</v>
      </c>
      <c r="BG468" s="453">
        <f t="array" ref="BG468">SUMPRODUCT(IF(BE468*AZ468*AP468*$FI$16:$FI$23*$FA$22&gt;=$FI$24,$FI$24,BE468*AZ468*AP468*$FI$16:$FI$23*$FA$22),$FJ$16:$FJ$23)</f>
        <v>43871.137226557512</v>
      </c>
      <c r="BH468" s="433">
        <f t="shared" si="628"/>
        <v>10780.859390133692</v>
      </c>
      <c r="BI468" s="434">
        <f>IF(O468="vo",$EW$26/$EW$24*0.05,0)+IF(O468="sk",-$EW$26/$EW$24*(0.05-INDEX(绊状态确认!W:W,MATCH($G468,绊状态确认!$B:$B,)))+0.05*$EW$28,0)+IF(O468="sp",0.05*$EW$32*$EW$30*(1-$EW$33)-(0.05-INDEX(绊状态确认!V:V,MATCH($G468,绊状态确认!$B:$B,)))*$EW$28,0)+IF(O468="gd",-(0.05-INDEX(绊状态确认!X:X,MATCH($G468,绊状态确认!$B:$B,)))*$EW$32*$EW$30*(1-$EW$33),0)</f>
        <v>-585.00000000000011</v>
      </c>
      <c r="BJ468" s="420">
        <f>IF(O468="vo",0.05*(1-$FI$26)*$FA$24,0)+IF(O468="sk",-(0.05-INDEX(绊状态确认!W:W,MATCH($G468,绊状态确认!$B:$B,)))*(1-$FI$26)*$FA$24+0.05*$FA$26,0)+IF(O468="sp",0.05*$FA$32*$FA$27*(1-$FA$33)/$FA$30+0.05*$FA$29/$FA$69*$FA$27*(1-$FA$33)-(0.05-INDEX(绊状态确认!V:V,MATCH($G468,绊状态确认!$B:$B,)))*$FA$26,0)+IF(O468="gd",-(0.05-INDEX(绊状态确认!X:X,MATCH($G468,绊状态确认!$B:$B,)))*$FA$32*$FA$27*(1-$FA$33)/$FA$30-(0.05-INDEX(绊状态确认!X:X,MATCH($G468,绊状态确认!$B:$B,)))*$FA$29/$FA$69*$FA$27*(1-$FA$33),0)</f>
        <v>-795.00000000000011</v>
      </c>
      <c r="BK468" s="433">
        <f>IF(O468="vo",$EW$26/$EW$24*0.05+$EW$26*(-HP($EW$62,$EW$65,$EW$64)+HP($EW$62,$EW$65,(1.05-INDEX(绊状态确认!U:U,MATCH($G468,绊状态确认!$B:$B,)))*$EW$64)),0)+IF(O468="sk",-$EW$26/$EW$24*(0.05-INDEX(绊状态确认!W:W,MATCH($G468,绊状态确认!$B:$B,)))+0.05*$EW$29,0)+IF(O468="sp",0.05*$EW$32*$EW$30*(1-$EW$33)-(0.05-INDEX(绊状态确认!V:V,MATCH($G468,绊状态确认!$B:$B,)))*$EW$29,0)+IF(O468="gd",-(0.05-INDEX(绊状态确认!X:X,MATCH($G468,绊状态确认!$B:$B,)))*$EW$32*$EW$30*(1-$EW$33)+$EW$26*(-HP($EW$62,$EW$65,$EW$64)+HP($EW$62,$EW$65,0.95*$EW$64)),0)</f>
        <v>1009.5947725176144</v>
      </c>
      <c r="BL468" s="434">
        <f t="shared" si="629"/>
        <v>-1083.3333333333333</v>
      </c>
      <c r="BM468" s="433">
        <f t="shared" si="630"/>
        <v>-830.55555555555543</v>
      </c>
      <c r="BN468" s="437">
        <f t="shared" si="631"/>
        <v>3</v>
      </c>
      <c r="BO468" s="1108">
        <f t="shared" si="632"/>
        <v>4507.7214871259994</v>
      </c>
      <c r="BP468" s="1100">
        <f t="shared" si="633"/>
        <v>221.34103209030098</v>
      </c>
      <c r="BQ468" s="1113" t="s">
        <v>133</v>
      </c>
      <c r="BR468" s="1124" t="s">
        <v>166</v>
      </c>
      <c r="BS468" s="421">
        <f>IF($P468="","N/A",IF($P468=-1,INDEX('卡片raw data'!AX:AX,MATCH($D468,'卡片raw data'!$F:$F,)),0)+IF($L468="party卡",IF($P468=5,INDEX('卡片raw data'!BD:BD,MATCH($D468,'卡片raw data'!$F:$F,)),IF($P468&gt;=3,INDEX('卡片raw data'!BC:BC,MATCH($D468,'卡片raw data'!$F:$F,)),INDEX('卡片raw data'!BB:BB,MATCH($D468,'卡片raw data'!$F:$F,)))),IF(OR(AND($F468="UR",$P468=0),AND($F468="SR",$P468&gt;=0,$P468&lt;=2),AND($F468="R",$P468&gt;=0,$P468&lt;4)),INDEX('卡片raw data'!AZ:AZ,MATCH($D468,'卡片raw data'!$F:$F,)),0)+IF(OR(AND($F468="UR",$P468&gt;=1,$P468&lt;=4),AND($F468="SR",$P468&lt;=4,$P468&gt;=3),AND($F468="R",$P468=4)),INDEX('卡片raw data'!BA:BA,MATCH($D468,'卡片raw data'!$F:$F,)),0)+IF($P468=5,INDEX('卡片raw data'!BB:BB,MATCH($D468,'卡片raw data'!$F:$F,)),0)))</f>
        <v>7.0000000000000007E-2</v>
      </c>
      <c r="BT468" s="424">
        <f t="shared" si="634"/>
        <v>0</v>
      </c>
      <c r="BU468" s="420">
        <f t="shared" si="635"/>
        <v>0</v>
      </c>
      <c r="BV468" s="420">
        <f t="shared" si="636"/>
        <v>0</v>
      </c>
      <c r="BW468" s="436">
        <f t="shared" si="637"/>
        <v>0.81217676295706764</v>
      </c>
      <c r="BX468" s="423">
        <f t="shared" si="638"/>
        <v>63.33969508617875</v>
      </c>
      <c r="BY468" s="433">
        <f t="shared" si="639"/>
        <v>63.33969508617875</v>
      </c>
      <c r="BZ468" s="1113" t="s">
        <v>569</v>
      </c>
      <c r="CA468" s="450"/>
      <c r="CB468" s="421">
        <f>IF($P468="","N/A",IF($P468=-1,INDEX('卡片raw data'!BE:BE,MATCH($D468,'卡片raw data'!$F:$F,)),0)+IF($L468="party卡",IF($P468=5,INDEX('卡片raw data'!BK:BK,MATCH($D468,'卡片raw data'!$F:$F,)),IF($P468&gt;=3,INDEX('卡片raw data'!BJ:BJ,MATCH($D468,'卡片raw data'!$F:$F,)),INDEX('卡片raw data'!BI:BI,MATCH($D468,'卡片raw data'!$F:$F,)))),IF(OR(AND($F468="UR",$P468=0),AND($F468="SR",$P468&gt;=0,$P468&lt;=2),AND($F468="R",$P468&gt;=0,$P468&lt;4)),INDEX('卡片raw data'!BG:BG,MATCH($D468,'卡片raw data'!$F:$F,)),0)+IF(OR(AND($F468="UR",$P468&gt;=1,$P468&lt;=4),AND($F468="SR",$P468&lt;=4,$P468&gt;=3),AND($F468="R",$P468=4)),INDEX('卡片raw data'!BH:BH,MATCH($D468,'卡片raw data'!$F:$F,)),0)+IF($P468=5,INDEX('卡片raw data'!BI:BI,MATCH($D468,'卡片raw data'!$F:$F,)),0)))</f>
        <v>0</v>
      </c>
      <c r="CC468" s="424">
        <f t="shared" si="640"/>
        <v>0</v>
      </c>
      <c r="CD468" s="420">
        <f>IF(BZ468="ap",CB468*(1-$FI$26)*$FB$5/$FB$11*(+IF(CA468="全员",$FA$24,0)+IF(CA468="同作战",$FA$24,0)+IF(CA468="仲间",$FA$24*2/3,0)+IF(CA468="同属性",$FA$24*$FA$37/3,0)+IF(CA468="同年级",$FA$24*$FA$40/3,0)+IF(CA468="同学校",$FA$24*$FA$43/3,0)+IF(CA468="同小队",$FA$24*$FA$46/3,0)+IF(CA468="同type",$FA$24*INDEX($FB$49:$FB$52,MATCH(X468,$FA$49:$FA$52,))/3,0)+IF(CA468="自身",#REF!/3,0)),0)+IF(BZ468="te",CB468*(1-$FI$27)*($FA$20-1)*$FB$7/$FB$13*(+IF(CA468="全员",$FA$19*$FA$24/(1+($FA$20-1)*$FA$19),0)+IF(CA468="同作战",$FA$19*$FA$24/(1+($FA$20-1)*$FA$19),0)+IF(CA468="仲间",$FA$19*$FA$24*2/3/(1+($FA$20-1)*$FA$19),0)+IF(CA468="同属性",$FA$19*$FA$24*$FA$37/3/(1+($FA$20-1)*$FA$19),0)+IF(CA468="同年级",$FA$19*$FA$24*$FA$40/3/(1+($FA$20-1)*$FA$19),0)+IF(CA468="同学校",$FA$19*$FA$24*$FA$43/3/(1+($FA$20-1)*$FA$19),0)+IF(CA468="同小队",$FA$19*$FA$24*$FA$46/3/(1+($FA$20-1)*$FA$19),0)+IF(CA468="同type",$FA$19*$FA$24*INDEX($FB$49:$FB$52,MATCH(X468,$FA$49:$FA$52,))/3/(1+($FA$20-1)*$FA$19),0)+IF(CA468="自身",$FA$19*#REF!/3/(1+(BH468-1)*$BD468),0)),0)</f>
        <v>0</v>
      </c>
      <c r="CE468" s="420">
        <f t="shared" si="641"/>
        <v>0</v>
      </c>
      <c r="CF468" s="436">
        <f t="shared" si="642"/>
        <v>0</v>
      </c>
      <c r="CG468" s="423">
        <f t="shared" si="643"/>
        <v>0</v>
      </c>
      <c r="CH468" s="433">
        <f t="shared" si="644"/>
        <v>0</v>
      </c>
      <c r="CI468" s="1113" t="s">
        <v>164</v>
      </c>
      <c r="CJ468" s="1114">
        <v>1</v>
      </c>
      <c r="CK468" s="1115" t="s">
        <v>2305</v>
      </c>
      <c r="CL468" s="1115" t="s">
        <v>1943</v>
      </c>
      <c r="CM468" s="1119">
        <v>6.6000000000000003E-2</v>
      </c>
      <c r="CN468" s="1115"/>
      <c r="CO468" s="1115"/>
      <c r="CP468" s="1116">
        <f t="shared" si="645"/>
        <v>19.434351816888171</v>
      </c>
      <c r="CQ468" s="1116">
        <f t="shared" si="646"/>
        <v>30.231213937381597</v>
      </c>
      <c r="CR468" s="1117">
        <f t="shared" si="647"/>
        <v>19.434351816888171</v>
      </c>
      <c r="CS468" s="1118">
        <f t="shared" si="648"/>
        <v>0</v>
      </c>
      <c r="CT468" s="1109">
        <f t="shared" si="649"/>
        <v>0</v>
      </c>
      <c r="CU468" s="1101">
        <f t="shared" si="650"/>
        <v>0</v>
      </c>
      <c r="CV468" s="1108">
        <f t="shared" si="682"/>
        <v>0</v>
      </c>
      <c r="CW468" s="1097">
        <f t="shared" si="651"/>
        <v>0</v>
      </c>
      <c r="CX468" s="1097">
        <f t="shared" si="652"/>
        <v>0</v>
      </c>
      <c r="CY468" s="1110">
        <f t="shared" si="653"/>
        <v>1574.3697211655997</v>
      </c>
      <c r="CZ468" s="437"/>
      <c r="DA468" s="438"/>
      <c r="DB468" s="439" t="s">
        <v>569</v>
      </c>
      <c r="DC468" s="439"/>
      <c r="DD468" s="443"/>
      <c r="DE468" s="411"/>
      <c r="DF468" s="411"/>
      <c r="DG468" s="1116">
        <f t="shared" si="654"/>
        <v>0</v>
      </c>
      <c r="DH468" s="1116">
        <f t="shared" si="655"/>
        <v>0</v>
      </c>
      <c r="DI468" s="1116">
        <f t="shared" si="656"/>
        <v>0</v>
      </c>
      <c r="DJ468" s="442">
        <f t="shared" si="657"/>
        <v>0</v>
      </c>
      <c r="DK468" s="432">
        <f t="shared" si="658"/>
        <v>0</v>
      </c>
      <c r="DL468" s="424">
        <f t="shared" si="659"/>
        <v>0</v>
      </c>
      <c r="DM468" s="420">
        <f t="shared" si="660"/>
        <v>0</v>
      </c>
      <c r="DN468" s="420">
        <f t="shared" si="661"/>
        <v>0</v>
      </c>
      <c r="DO468" s="420">
        <f t="shared" si="662"/>
        <v>0</v>
      </c>
      <c r="DP468" s="433">
        <f t="shared" si="663"/>
        <v>0</v>
      </c>
      <c r="DQ468" s="1113" t="s">
        <v>635</v>
      </c>
      <c r="DR468" s="1120">
        <f t="shared" si="664"/>
        <v>0.3</v>
      </c>
      <c r="DS468" s="1124"/>
      <c r="DT468" s="1093" t="s">
        <v>133</v>
      </c>
      <c r="DU468" s="1093"/>
      <c r="DV468" s="1098">
        <f>IF($P468="","N/A",IF(P468=-1,INDEX('卡片raw data'!AN:AN,MATCH(D468,'卡片raw data'!$F:$F,)),0)+IF(AND(L468&lt;&gt;"party卡",P468&lt;=2,P468&gt;=0),INDEX('卡片raw data'!AP:AP,MATCH(D468,'卡片raw data'!$F:$F,)),0)+IF(OR(AND(L468="party卡",P468&lt;=1),AND(P468&lt;=4,L468&lt;&gt;"party卡",P468&gt;=3)),INDEX('卡片raw data'!AQ:AQ,MATCH(D468,'卡片raw data'!$F:$F,)),0)+IF(OR(P468=5,AND(L468="party卡",P468&gt;=2)),INDEX('卡片raw data'!AR:AR,MATCH(D468,'卡片raw data'!$F:$F,)),0))</f>
        <v>0.32</v>
      </c>
      <c r="DW468" s="1098">
        <f t="shared" si="665"/>
        <v>0.3</v>
      </c>
      <c r="DX468" s="1098">
        <f t="shared" si="666"/>
        <v>0.3</v>
      </c>
      <c r="DY468" s="1097">
        <f t="shared" si="667"/>
        <v>439.72674818009591</v>
      </c>
      <c r="DZ468" s="1097">
        <f t="shared" si="668"/>
        <v>380.36363717578297</v>
      </c>
      <c r="EA468" s="421">
        <f t="shared" si="669"/>
        <v>0</v>
      </c>
      <c r="EB468" s="445">
        <f t="shared" si="670"/>
        <v>0</v>
      </c>
      <c r="EC468" s="424">
        <f t="shared" si="671"/>
        <v>0</v>
      </c>
      <c r="ED468" s="420">
        <f t="shared" si="672"/>
        <v>0</v>
      </c>
      <c r="EE468" s="433">
        <f t="shared" si="598"/>
        <v>48435.03108962375</v>
      </c>
      <c r="EF468" s="1115" t="s">
        <v>569</v>
      </c>
      <c r="EG468" s="1120">
        <f t="shared" si="673"/>
        <v>0.3</v>
      </c>
      <c r="EH468" s="450"/>
      <c r="EI468" s="1093"/>
      <c r="EJ468" s="1093"/>
      <c r="EK468" s="1097">
        <f>IF($P468="","N/A",IF(P468=-1,INDEX('卡片raw data'!AS:AS,MATCH(D468,'卡片raw data'!$F:$F,)),0)+IF(AND(L468&lt;&gt;"party卡",P468&lt;=2,P468&gt;=0),INDEX('卡片raw data'!AU:AU,MATCH(D468,'卡片raw data'!$F:$F,)),0)+IF(OR(AND(L468="party卡",P468&lt;=1),AND(P468&lt;=4,L468&lt;&gt;"party卡",P468&gt;=3)),INDEX('卡片raw data'!AV:AV,MATCH(D468,'卡片raw data'!$F:$F,)),0)+IF(OR(P468=5,AND(L468="party卡",P468&gt;=2)),INDEX('卡片raw data'!AW:AW,MATCH(D468,'卡片raw data'!$F:$F,)),0))</f>
        <v>0</v>
      </c>
      <c r="EL468" s="1098">
        <f t="shared" si="674"/>
        <v>0.3</v>
      </c>
      <c r="EM468" s="1098">
        <f t="shared" si="675"/>
        <v>0.3</v>
      </c>
      <c r="EN468" s="1097">
        <f t="shared" si="676"/>
        <v>0</v>
      </c>
      <c r="EO468" s="1097">
        <f t="shared" si="677"/>
        <v>0</v>
      </c>
      <c r="EP468" s="421">
        <f t="shared" si="678"/>
        <v>0</v>
      </c>
      <c r="EQ468" s="445">
        <f t="shared" si="679"/>
        <v>0</v>
      </c>
      <c r="ER468" s="424">
        <f t="shared" si="680"/>
        <v>0</v>
      </c>
      <c r="ES468" s="420">
        <f t="shared" si="681"/>
        <v>0</v>
      </c>
      <c r="ET468" s="446">
        <f t="shared" si="599"/>
        <v>0</v>
      </c>
    </row>
    <row r="469" spans="2:150" ht="16.5" customHeight="1">
      <c r="B469" s="448" t="str">
        <f>INDEX('卡片raw data'!B:B,MATCH($D469,'卡片raw data'!$F:$F,))</f>
        <v>fes2希</v>
      </c>
      <c r="C469" s="449" t="s">
        <v>2770</v>
      </c>
      <c r="D469" s="408">
        <v>466</v>
      </c>
      <c r="E469" s="477">
        <v>200073002</v>
      </c>
      <c r="F469" s="409" t="str">
        <f>INDEX('卡片raw data'!C:C,MATCH($D469,'卡片raw data'!$F:$F,))</f>
        <v>UR</v>
      </c>
      <c r="G469" s="1094" t="s">
        <v>2771</v>
      </c>
      <c r="H469" s="411">
        <f>IFERROR(INDEX(绊状态确认!C:C,MATCH($G469,绊状态确认!$B:$B,)),"")</f>
        <v>7</v>
      </c>
      <c r="I469" s="450" t="str">
        <f>IFERROR(INDEX(绊状态确认!D:D,MATCH($G469,绊状态确认!$B:$B,)),"")</f>
        <v>缪</v>
      </c>
      <c r="J469" s="450" t="str">
        <f>IFERROR(INDEX(绊状态确认!E:E,MATCH($G469,绊状态确认!$B:$B,)),"")</f>
        <v>3年级</v>
      </c>
      <c r="K469" s="451" t="str">
        <f>IFERROR(INDEX(绊状态确认!F:F,MATCH($G469,绊状态确认!$B:$B,)),"")</f>
        <v>lilywhite</v>
      </c>
      <c r="L469" s="414" t="str">
        <f>INDEX('卡片raw data'!E:E,MATCH($D469,'卡片raw data'!$F:$F,))</f>
        <v>fes卡</v>
      </c>
      <c r="M469" s="478">
        <v>44346</v>
      </c>
      <c r="N469" s="479">
        <v>40.5</v>
      </c>
      <c r="O469" s="410" t="str">
        <f>INDEX('卡片raw data'!D:D,MATCH($D469,'卡片raw data'!$F:$F,))</f>
        <v>sp</v>
      </c>
      <c r="P469" s="1126">
        <v>5</v>
      </c>
      <c r="Q469" s="418">
        <f t="shared" si="600"/>
        <v>70945.927037284928</v>
      </c>
      <c r="R469" s="419">
        <f t="shared" si="601"/>
        <v>0.82399999999999995</v>
      </c>
      <c r="S469" s="420">
        <f t="shared" si="602"/>
        <v>21046.319302443801</v>
      </c>
      <c r="T469" s="421">
        <f t="shared" si="603"/>
        <v>1.052</v>
      </c>
      <c r="U469" s="422">
        <f t="shared" si="604"/>
        <v>12.852765404142858</v>
      </c>
      <c r="V469" s="423">
        <f t="shared" si="605"/>
        <v>70173.057785965386</v>
      </c>
      <c r="W469" s="424">
        <f t="shared" si="606"/>
        <v>6714.1317470676422</v>
      </c>
      <c r="X469" s="419">
        <f t="shared" si="607"/>
        <v>7.8E-2</v>
      </c>
      <c r="Y469" s="420">
        <f t="shared" si="608"/>
        <v>1027.1307486804471</v>
      </c>
      <c r="Z469" s="425">
        <f t="shared" si="609"/>
        <v>12.852765404142858</v>
      </c>
      <c r="AA469" s="426">
        <f t="shared" si="610"/>
        <v>7741.2624957480893</v>
      </c>
      <c r="AB469" s="424">
        <f t="shared" si="611"/>
        <v>11973.140148714643</v>
      </c>
      <c r="AC469" s="427">
        <f t="shared" si="612"/>
        <v>0.13900000000000001</v>
      </c>
      <c r="AD469" s="428">
        <f t="shared" si="613"/>
        <v>-1.6087500000000001E-2</v>
      </c>
      <c r="AE469" s="516">
        <f t="shared" si="614"/>
        <v>10.92391304347826</v>
      </c>
      <c r="AF469" s="1130">
        <f t="shared" si="615"/>
        <v>0</v>
      </c>
      <c r="AG469" s="420">
        <f t="shared" si="616"/>
        <v>0</v>
      </c>
      <c r="AH469" s="420">
        <f t="shared" si="617"/>
        <v>0</v>
      </c>
      <c r="AI469" s="1097">
        <f t="shared" si="618"/>
        <v>0</v>
      </c>
      <c r="AJ469" s="420">
        <f t="shared" si="619"/>
        <v>0</v>
      </c>
      <c r="AK469" s="518">
        <f t="shared" si="620"/>
        <v>0</v>
      </c>
      <c r="AL469" s="429">
        <f>IF($P469="","N/A",(IF($P469=-1,INDEX('卡片raw data'!S:S,MATCH($D469,'卡片raw data'!$F:$F,)),0)+IF($P469=0,INDEX('卡片raw data'!V:V,MATCH($D469,'卡片raw data'!$F:$F,)),0)+IF($P469=1,INDEX('卡片raw data'!Y:Y,MATCH($D469,'卡片raw data'!$F:$F,)),0)+IF($P469=2,INDEX('卡片raw data'!AB:AB,MATCH($D469,'卡片raw data'!$F:$F,)),0)+IF($P469=3,INDEX('卡片raw data'!AE:AE,MATCH($D469,'卡片raw data'!$F:$F,)),0)+IF($P469=4,INDEX('卡片raw data'!AH:AH,MATCH($D469,'卡片raw data'!$F:$F,)),0)+IF($P469=5,INDEX('卡片raw data'!AK:AK,MATCH($D469,'卡片raw data'!$F:$F,)),0)+INDEX('卡片raw data'!S:S,MATCH($D469,'卡片raw data'!$F:$F,))*(IF($F469="UR",0.04,0.033))*(IF($F469="UR",INDEX(绊状态确认!$S:$S,MATCH($G469,绊状态确认!$B:$B,))/2-40)+IF($F469="SR",INDEX(绊状态确认!$R:$R,MATCH($G469,绊状态确认!$B:$B,))/4-15))+IF($F469="R",INDEX(绊状态确认!$Q:$Q,MATCH($G469,绊状态确认!$B:$B,))/6-40/6)))*(INDEX(绊状态确认!$H:$H,MATCH($G469,绊状态确认!$B:$B,))+INDEX(绊状态确认!J:J,MATCH($G469,绊状态确认!$B:$B,)))</f>
        <v>16262.111279999999</v>
      </c>
      <c r="AM469" s="429">
        <f>IF($P469="","N/A",(IF($P469=-1,INDEX('卡片raw data'!T:T,MATCH($D469,'卡片raw data'!$F:$F,)),0)+IF($P469=0,INDEX('卡片raw data'!W:W,MATCH($D469,'卡片raw data'!$F:$F,)),0)+IF($P469=1,INDEX('卡片raw data'!Z:Z,MATCH($D469,'卡片raw data'!$F:$F,)),0)+IF($P469=2,INDEX('卡片raw data'!AC:AC,MATCH($D469,'卡片raw data'!$F:$F,)),0)+IF($P469=3,INDEX('卡片raw data'!AF:AF,MATCH($D469,'卡片raw data'!$F:$F,)),0)+IF($P469=4,INDEX('卡片raw data'!AI:AI,MATCH($D469,'卡片raw data'!$F:$F,)),0)+IF($P469=5,INDEX('卡片raw data'!AL:AL,MATCH($D469,'卡片raw data'!$F:$F,)),0)+INDEX('卡片raw data'!T:T,MATCH($D469,'卡片raw data'!$F:$F,))*(IF($F469="UR",0.04,0.033))*(IF($F469="UR",INDEX(绊状态确认!$S:$S,MATCH($G469,绊状态确认!$B:$B,))/2-40)+IF($F469="SR",INDEX(绊状态确认!$R:$R,MATCH($G469,绊状态确认!$B:$B,))/4-15))+IF($F469="R",INDEX(绊状态确认!$Q:$Q,MATCH($G469,绊状态确认!$B:$B,))/6-40/6)))*(INDEX(绊状态确认!$H:$H,MATCH($G469,绊状态确认!$B:$B,))+INDEX(绊状态确认!K:K,MATCH($G469,绊状态确认!$B:$B,)))</f>
        <v>6807.2632799999992</v>
      </c>
      <c r="AN469" s="429">
        <f>IF($P469="","N/A",(IF($P469=-1,INDEX('卡片raw data'!U:U,MATCH($D469,'卡片raw data'!$F:$F,)),0)+IF($P469=0,INDEX('卡片raw data'!X:X,MATCH($D469,'卡片raw data'!$F:$F,)),0)+IF($P469=1,INDEX('卡片raw data'!AA:AA,MATCH($D469,'卡片raw data'!$F:$F,)),0)+IF($P469=2,INDEX('卡片raw data'!AD:AD,MATCH($D469,'卡片raw data'!$F:$F,)),0)+IF($P469=3,INDEX('卡片raw data'!AG:AG,MATCH($D469,'卡片raw data'!$F:$F,)),0)+IF($P469=4,INDEX('卡片raw data'!AJ:AJ,MATCH($D469,'卡片raw data'!$F:$F,)),0)+IF($P469=5,INDEX('卡片raw data'!AM:AM,MATCH($D469,'卡片raw data'!$F:$F,)),0)+INDEX('卡片raw data'!U:U,MATCH($D469,'卡片raw data'!$F:$F,))*(IF($F469="UR",0.04,0.033))*(IF($F469="UR",INDEX(绊状态确认!$S:$S,MATCH($G469,绊状态确认!$B:$B,))/2-40)+IF($F469="SR",INDEX(绊状态确认!$R:$R,MATCH($G469,绊状态确认!$B:$B,))/4-15))+IF($F469="R",INDEX(绊状态确认!$Q:$Q,MATCH($G469,绊状态确认!$B:$B,))/6-40/6)))*(INDEX(绊状态确认!$H:$H,MATCH($G469,绊状态确认!$B:$B,))+INDEX(绊状态确认!L:L,MATCH($G469,绊状态确认!$B:$B,)))</f>
        <v>14748.881039999998</v>
      </c>
      <c r="AO469" s="430">
        <f t="shared" si="621"/>
        <v>1</v>
      </c>
      <c r="AP469" s="556">
        <f>1+(INDEX(绊状态确认!$T:$T,MATCH($G469,绊状态确认!$B:$B,))+0.2)*$AO469</f>
        <v>1.3</v>
      </c>
      <c r="AQ469" s="431">
        <f t="shared" si="622"/>
        <v>45938.042109999995</v>
      </c>
      <c r="AR469" s="420">
        <f>(AM469*(1+$EX$9)+$EX$35)*(1+(INDEX(绊状态确认!$T:$T,MATCH($G469,绊状态确认!$B:$B,))+0.2)*AO469)*IF(J469=$FF$17,1+$FE$17,1)*IF(I469=$FF$14,1+$FE$14,1)</f>
        <v>11995.914377200001</v>
      </c>
      <c r="AS469" s="420">
        <f>(AN469*(1+$EX$10)+$EX$36)*(1+(INDEX(绊状态确认!$T:$T,MATCH($G469,绊状态确认!$B:$B,))+0.2)*AO469)*IF(J469=$FF$17,1+$FE$17,1)*IF(I469=$FF$14,1+$FE$14,1)</f>
        <v>26105.577154799998</v>
      </c>
      <c r="AT469" s="412">
        <f>IF(AND(INDEX('卡片raw data'!AK:AK,MATCH($D469,'卡片raw data'!$F:$F,))&lt;INDEX('卡片raw data'!AM:AM,MATCH($D469,'卡片raw data'!$F:$F,)),INDEX('卡片raw data'!AL:AL,MATCH($D469,'卡片raw data'!$F:$F,))&lt;INDEX('卡片raw data'!AM:AM,MATCH($D469,'卡片raw data'!$F:$F,))),1,0)</f>
        <v>0</v>
      </c>
      <c r="AU469" s="421">
        <f>MIN(AT469*0.15+AS469*0.00003+INDEX(绊状态确认!M:M,MATCH($G469,绊状态确认!$B:$B,)),1)</f>
        <v>0.81316731464399994</v>
      </c>
      <c r="AV469" s="432">
        <f>(INDEX(绊状态确认!$N:$N,MATCH($G469,绊状态确认!$B:$B,))+1.5)*$EW$21</f>
        <v>2.6599999999999997</v>
      </c>
      <c r="AW469" s="424">
        <f t="shared" si="623"/>
        <v>56062.365279009085</v>
      </c>
      <c r="AX469" s="420">
        <f t="shared" si="624"/>
        <v>1027.1307486804474</v>
      </c>
      <c r="AY469" s="433">
        <f t="shared" si="625"/>
        <v>57089.496027689536</v>
      </c>
      <c r="AZ469" s="429">
        <f t="shared" si="626"/>
        <v>34311.116995999997</v>
      </c>
      <c r="BA469" s="431">
        <f t="shared" si="627"/>
        <v>41173.340395199994</v>
      </c>
      <c r="BB469" s="420">
        <f>(AM469*(1+$FB$9)+$FB$35)*(1+(INDEX(绊状态确认!$T:$T,MATCH($G469,绊状态确认!$B:$B,))+0.2)*AO469)*IF(J469=$FF$17,1+$FE$17,1)*IF(I469=$FF$14,1+$FE$14,1)*(1+$FE$15)</f>
        <v>11995.914377200001</v>
      </c>
      <c r="BC469" s="420">
        <f>(AN469*(1+$FB$10)+$FB$36)*(1+(INDEX(绊状态确认!$T:$T,MATCH($G469,绊状态确认!$B:$B,))+0.2)*AO469)*IF(J469=$FF$17,1+$FE$17,1)*IF(I469=$FF$14,1+$FE$14,1)*(1+$FE$15)</f>
        <v>26105.577154799998</v>
      </c>
      <c r="BD469" s="427">
        <f>MIN(AT469*0.15+BC469*0.00003+INDEX(绊状态确认!M:M,MATCH($G469,绊状态确认!$B:$B,)),1)</f>
        <v>0.81316731464399994</v>
      </c>
      <c r="BE469" s="432">
        <f>(INDEX(绊状态确认!$N:$N,MATCH($G469,绊状态确认!$B:$B,))+1.5)</f>
        <v>1.9</v>
      </c>
      <c r="BF469" s="645">
        <f t="array" ref="BF469">SUMPRODUCT(IF(AZ469*AP469*$FI$16:$FI$23*$FA$22&gt;=$FI$24,$FI$24,AZ469*AP469*$FI$16:$FI$23*$FA$22),$FJ$16:$FJ$23)</f>
        <v>59151.113023700003</v>
      </c>
      <c r="BG469" s="453">
        <f t="array" ref="BG469">SUMPRODUCT(IF(BE469*AZ469*AP469*$FI$16:$FI$23*$FA$22&gt;=$FI$24,$FI$24,BE469*AZ469*AP469*$FI$16:$FI$23*$FA$22),$FJ$16:$FJ$23)</f>
        <v>60000</v>
      </c>
      <c r="BH469" s="433">
        <f t="shared" si="628"/>
        <v>19947.133388884715</v>
      </c>
      <c r="BI469" s="434">
        <f>IF(O469="vo",$EW$26/$EW$24*0.05,0)+IF(O469="sk",-$EW$26/$EW$24*(0.05-INDEX(绊状态确认!W:W,MATCH($G469,绊状态确认!$B:$B,)))+0.05*$EW$28,0)+IF(O469="sp",0.05*$EW$32*$EW$30*(1-$EW$33)-(0.05-INDEX(绊状态确认!V:V,MATCH($G469,绊状态确认!$B:$B,)))*$EW$28,0)+IF(O469="gd",-(0.05-INDEX(绊状态确认!X:X,MATCH($G469,绊状态确认!$B:$B,)))*$EW$32*$EW$30*(1-$EW$33),0)</f>
        <v>19.999999999999886</v>
      </c>
      <c r="BJ469" s="420">
        <f>IF(O469="vo",0.05*(1-$FI$26)*$FA$24,0)+IF(O469="sk",-(0.05-INDEX(绊状态确认!W:W,MATCH($G469,绊状态确认!$B:$B,)))*(1-$FI$26)*$FA$24+0.05*$FA$26,0)+IF(O469="sp",0.05*$FA$32*$FA$27*(1-$FA$33)/$FA$30+0.05*$FA$29/$FA$69*$FA$27*(1-$FA$33)-(0.05-INDEX(绊状态确认!V:V,MATCH($G469,绊状态确认!$B:$B,)))*$FA$26,0)+IF(O469="gd",-(0.05-INDEX(绊状态确认!X:X,MATCH($G469,绊状态确认!$B:$B,)))*$FA$32*$FA$27*(1-$FA$33)/$FA$30-(0.05-INDEX(绊状态确认!X:X,MATCH($G469,绊状态确认!$B:$B,)))*$FA$29/$FA$69*$FA$27*(1-$FA$33),0)</f>
        <v>545.83333333333326</v>
      </c>
      <c r="BK469" s="433">
        <f>IF(O469="vo",$EW$26/$EW$24*0.05+$EW$26*(-HP($EW$62,$EW$65,$EW$64)+HP($EW$62,$EW$65,(1.05-INDEX(绊状态确认!U:U,MATCH($G469,绊状态确认!$B:$B,)))*$EW$64)),0)+IF(O469="sk",-$EW$26/$EW$24*(0.05-INDEX(绊状态确认!W:W,MATCH($G469,绊状态确认!$B:$B,)))+0.05*$EW$29,0)+IF(O469="sp",0.05*$EW$32*$EW$30*(1-$EW$33)-(0.05-INDEX(绊状态确认!V:V,MATCH($G469,绊状态确认!$B:$B,)))*$EW$29,0)+IF(O469="gd",-(0.05-INDEX(绊状态确认!X:X,MATCH($G469,绊状态确认!$B:$B,)))*$EW$32*$EW$30*(1-$EW$33)+$EW$26*(-HP($EW$62,$EW$65,$EW$64)+HP($EW$62,$EW$65,0.95*$EW$64)),0)</f>
        <v>-1780.0000000000005</v>
      </c>
      <c r="BL469" s="434">
        <f t="shared" si="629"/>
        <v>0</v>
      </c>
      <c r="BM469" s="433">
        <f t="shared" si="630"/>
        <v>0</v>
      </c>
      <c r="BN469" s="437">
        <f t="shared" si="631"/>
        <v>4</v>
      </c>
      <c r="BO469" s="1108">
        <f t="shared" si="632"/>
        <v>6010.2953161679998</v>
      </c>
      <c r="BP469" s="1100">
        <f t="shared" si="633"/>
        <v>295.12137612040135</v>
      </c>
      <c r="BQ469" s="437" t="s">
        <v>132</v>
      </c>
      <c r="BR469" s="450" t="s">
        <v>168</v>
      </c>
      <c r="BS469" s="421">
        <f>IF($P469="","N/A",IF($P469=-1,INDEX('卡片raw data'!AX:AX,MATCH($D469,'卡片raw data'!$F:$F,)),0)+IF($L469="party卡",IF($P469=5,INDEX('卡片raw data'!BD:BD,MATCH($D469,'卡片raw data'!$F:$F,)),IF($P469&gt;=3,INDEX('卡片raw data'!BC:BC,MATCH($D469,'卡片raw data'!$F:$F,)),INDEX('卡片raw data'!BB:BB,MATCH($D469,'卡片raw data'!$F:$F,)))),IF(OR(AND($F469="UR",$P469=0),AND($F469="SR",$P469&gt;=0,$P469&lt;=2),AND($F469="R",$P469&gt;=0,$P469&lt;4)),INDEX('卡片raw data'!AZ:AZ,MATCH($D469,'卡片raw data'!$F:$F,)),0)+IF(OR(AND($F469="UR",$P469&gt;=1,$P469&lt;=4),AND($F469="SR",$P469&lt;=4,$P469&gt;=3),AND($F469="R",$P469=4)),INDEX('卡片raw data'!BA:BA,MATCH($D469,'卡片raw data'!$F:$F,)),0)+IF($P469=5,INDEX('卡片raw data'!BB:BB,MATCH($D469,'卡片raw data'!$F:$F,)),0)))</f>
        <v>7.0000000000000007E-2</v>
      </c>
      <c r="BT469" s="424">
        <f t="shared" si="634"/>
        <v>5259.008401647</v>
      </c>
      <c r="BU469" s="420">
        <f t="shared" si="635"/>
        <v>258.2312041053512</v>
      </c>
      <c r="BV469" s="420">
        <f t="shared" si="636"/>
        <v>0</v>
      </c>
      <c r="BW469" s="436">
        <f t="shared" si="637"/>
        <v>0</v>
      </c>
      <c r="BX469" s="423">
        <f t="shared" si="638"/>
        <v>5259.008401647</v>
      </c>
      <c r="BY469" s="433">
        <f t="shared" si="639"/>
        <v>0</v>
      </c>
      <c r="BZ469" s="1113" t="s">
        <v>569</v>
      </c>
      <c r="CA469" s="450"/>
      <c r="CB469" s="421">
        <f>IF($P469="","N/A",IF($P469=-1,INDEX('卡片raw data'!BE:BE,MATCH($D469,'卡片raw data'!$F:$F,)),0)+IF($L469="party卡",IF($P469=5,INDEX('卡片raw data'!BK:BK,MATCH($D469,'卡片raw data'!$F:$F,)),IF($P469&gt;=3,INDEX('卡片raw data'!BJ:BJ,MATCH($D469,'卡片raw data'!$F:$F,)),INDEX('卡片raw data'!BI:BI,MATCH($D469,'卡片raw data'!$F:$F,)))),IF(OR(AND($F469="UR",$P469=0),AND($F469="SR",$P469&gt;=0,$P469&lt;=2),AND($F469="R",$P469&gt;=0,$P469&lt;4)),INDEX('卡片raw data'!BG:BG,MATCH($D469,'卡片raw data'!$F:$F,)),0)+IF(OR(AND($F469="UR",$P469&gt;=1,$P469&lt;=4),AND($F469="SR",$P469&lt;=4,$P469&gt;=3),AND($F469="R",$P469=4)),INDEX('卡片raw data'!BH:BH,MATCH($D469,'卡片raw data'!$F:$F,)),0)+IF($P469=5,INDEX('卡片raw data'!BI:BI,MATCH($D469,'卡片raw data'!$F:$F,)),0)))</f>
        <v>0</v>
      </c>
      <c r="CC469" s="424">
        <f t="shared" si="640"/>
        <v>0</v>
      </c>
      <c r="CD469" s="420">
        <f>IF(BZ469="ap",CB469*(1-$FI$26)*$FB$5/$FB$11*(+IF(CA469="全员",$FA$24,0)+IF(CA469="同作战",$FA$24,0)+IF(CA469="仲间",$FA$24*2/3,0)+IF(CA469="同属性",$FA$24*$FA$37/3,0)+IF(CA469="同年级",$FA$24*$FA$40/3,0)+IF(CA469="同学校",$FA$24*$FA$43/3,0)+IF(CA469="同小队",$FA$24*$FA$46/3,0)+IF(CA469="同type",$FA$24*INDEX($FB$49:$FB$52,MATCH(X469,$FA$49:$FA$52,))/3,0)+IF(CA469="自身",#REF!/3,0)),0)+IF(BZ469="te",CB469*(1-$FI$27)*($FA$20-1)*$FB$7/$FB$13*(+IF(CA469="全员",$FA$19*$FA$24/(1+($FA$20-1)*$FA$19),0)+IF(CA469="同作战",$FA$19*$FA$24/(1+($FA$20-1)*$FA$19),0)+IF(CA469="仲间",$FA$19*$FA$24*2/3/(1+($FA$20-1)*$FA$19),0)+IF(CA469="同属性",$FA$19*$FA$24*$FA$37/3/(1+($FA$20-1)*$FA$19),0)+IF(CA469="同年级",$FA$19*$FA$24*$FA$40/3/(1+($FA$20-1)*$FA$19),0)+IF(CA469="同学校",$FA$19*$FA$24*$FA$43/3/(1+($FA$20-1)*$FA$19),0)+IF(CA469="同小队",$FA$19*$FA$24*$FA$46/3/(1+($FA$20-1)*$FA$19),0)+IF(CA469="同type",$FA$19*$FA$24*INDEX($FB$49:$FB$52,MATCH(X469,$FA$49:$FA$52,))/3/(1+($FA$20-1)*$FA$19),0)+IF(CA469="自身",$FA$19*#REF!/3/(1+(BH469-1)*$BD469),0)),0)</f>
        <v>0</v>
      </c>
      <c r="CE469" s="420">
        <f t="shared" si="641"/>
        <v>0</v>
      </c>
      <c r="CF469" s="436">
        <f t="shared" si="642"/>
        <v>0</v>
      </c>
      <c r="CG469" s="423">
        <f t="shared" si="643"/>
        <v>0</v>
      </c>
      <c r="CH469" s="433">
        <f t="shared" si="644"/>
        <v>0</v>
      </c>
      <c r="CI469" s="437" t="s">
        <v>160</v>
      </c>
      <c r="CJ469" s="438">
        <v>1</v>
      </c>
      <c r="CK469" s="439" t="s">
        <v>2772</v>
      </c>
      <c r="CL469" s="439" t="s">
        <v>2773</v>
      </c>
      <c r="CM469" s="1119">
        <v>0.3</v>
      </c>
      <c r="CN469" s="439"/>
      <c r="CO469" s="1115">
        <v>10</v>
      </c>
      <c r="CP469" s="1116">
        <f t="shared" si="645"/>
        <v>492.19330832142845</v>
      </c>
      <c r="CQ469" s="1116">
        <f t="shared" si="646"/>
        <v>686.22233991999985</v>
      </c>
      <c r="CR469" s="1117">
        <f t="shared" si="647"/>
        <v>492.19330832142845</v>
      </c>
      <c r="CS469" s="442">
        <f t="shared" si="648"/>
        <v>0</v>
      </c>
      <c r="CT469" s="432">
        <f t="shared" si="649"/>
        <v>0</v>
      </c>
      <c r="CU469" s="1101">
        <f t="shared" si="650"/>
        <v>703.83643089964278</v>
      </c>
      <c r="CV469" s="1108">
        <f t="shared" si="682"/>
        <v>0</v>
      </c>
      <c r="CW469" s="420">
        <f t="shared" si="651"/>
        <v>703.83643089964278</v>
      </c>
      <c r="CX469" s="420">
        <f t="shared" si="652"/>
        <v>703.83643089964278</v>
      </c>
      <c r="CY469" s="433">
        <f t="shared" si="653"/>
        <v>703.83643089964278</v>
      </c>
      <c r="CZ469" s="437"/>
      <c r="DA469" s="438"/>
      <c r="DB469" s="439" t="s">
        <v>569</v>
      </c>
      <c r="DC469" s="439"/>
      <c r="DD469" s="443"/>
      <c r="DE469" s="411"/>
      <c r="DF469" s="411"/>
      <c r="DG469" s="1116">
        <f t="shared" si="654"/>
        <v>0</v>
      </c>
      <c r="DH469" s="1116">
        <f t="shared" si="655"/>
        <v>0</v>
      </c>
      <c r="DI469" s="1116">
        <f t="shared" si="656"/>
        <v>0</v>
      </c>
      <c r="DJ469" s="442">
        <f t="shared" si="657"/>
        <v>0</v>
      </c>
      <c r="DK469" s="432">
        <f t="shared" si="658"/>
        <v>0</v>
      </c>
      <c r="DL469" s="424">
        <f t="shared" si="659"/>
        <v>0</v>
      </c>
      <c r="DM469" s="420">
        <f t="shared" si="660"/>
        <v>0</v>
      </c>
      <c r="DN469" s="420">
        <f t="shared" si="661"/>
        <v>0</v>
      </c>
      <c r="DO469" s="420">
        <f t="shared" si="662"/>
        <v>0</v>
      </c>
      <c r="DP469" s="433">
        <f t="shared" si="663"/>
        <v>0</v>
      </c>
      <c r="DQ469" s="437" t="s">
        <v>256</v>
      </c>
      <c r="DR469" s="1120">
        <f t="shared" si="664"/>
        <v>0.33</v>
      </c>
      <c r="DS469" s="450"/>
      <c r="DT469" s="1093" t="s">
        <v>132</v>
      </c>
      <c r="DU469" s="1093"/>
      <c r="DV469" s="421">
        <f>IF($P469="","N/A",IF(P469=-1,INDEX('卡片raw data'!AN:AN,MATCH(D469,'卡片raw data'!$F:$F,)),0)+IF(AND(L469&lt;&gt;"party卡",P469&lt;=2,P469&gt;=0),INDEX('卡片raw data'!AP:AP,MATCH(D469,'卡片raw data'!$F:$F,)),0)+IF(OR(AND(L469="party卡",P469&lt;=1),AND(P469&lt;=4,L469&lt;&gt;"party卡",P469&gt;=3)),INDEX('卡片raw data'!AQ:AQ,MATCH(D469,'卡片raw data'!$F:$F,)),0)+IF(OR(P469=5,AND(L469="party卡",P469&gt;=2)),INDEX('卡片raw data'!AR:AR,MATCH(D469,'卡片raw data'!$F:$F,)),0))</f>
        <v>0.4</v>
      </c>
      <c r="DW469" s="1098">
        <f t="shared" si="665"/>
        <v>0.33</v>
      </c>
      <c r="DX469" s="1098">
        <f t="shared" si="666"/>
        <v>0.33</v>
      </c>
      <c r="DY469" s="1097">
        <f t="shared" si="667"/>
        <v>2021.2738528399998</v>
      </c>
      <c r="DZ469" s="1097">
        <f t="shared" si="668"/>
        <v>1567.0573354413118</v>
      </c>
      <c r="EA469" s="421">
        <f t="shared" si="669"/>
        <v>0</v>
      </c>
      <c r="EB469" s="445">
        <f t="shared" si="670"/>
        <v>0</v>
      </c>
      <c r="EC469" s="424">
        <f t="shared" si="671"/>
        <v>2890.4216095612001</v>
      </c>
      <c r="ED469" s="420">
        <f t="shared" si="672"/>
        <v>0</v>
      </c>
      <c r="EE469" s="433">
        <f t="shared" si="598"/>
        <v>2890.4216095612001</v>
      </c>
      <c r="EF469" s="1115" t="s">
        <v>569</v>
      </c>
      <c r="EG469" s="1120">
        <f t="shared" si="673"/>
        <v>0.33</v>
      </c>
      <c r="EH469" s="450"/>
      <c r="EI469" s="1093"/>
      <c r="EJ469" s="1093"/>
      <c r="EK469" s="420">
        <f>IF($P469="","N/A",IF(P469=-1,INDEX('卡片raw data'!AS:AS,MATCH(D469,'卡片raw data'!$F:$F,)),0)+IF(AND(L469&lt;&gt;"party卡",P469&lt;=2,P469&gt;=0),INDEX('卡片raw data'!AU:AU,MATCH(D469,'卡片raw data'!$F:$F,)),0)+IF(OR(AND(L469="party卡",P469&lt;=1),AND(P469&lt;=4,L469&lt;&gt;"party卡",P469&gt;=3)),INDEX('卡片raw data'!AV:AV,MATCH(D469,'卡片raw data'!$F:$F,)),0)+IF(OR(P469=5,AND(L469="party卡",P469&gt;=2)),INDEX('卡片raw data'!AW:AW,MATCH(D469,'卡片raw data'!$F:$F,)),0))</f>
        <v>0</v>
      </c>
      <c r="EL469" s="1098">
        <f t="shared" si="674"/>
        <v>0.33</v>
      </c>
      <c r="EM469" s="1098">
        <f t="shared" si="675"/>
        <v>0.33</v>
      </c>
      <c r="EN469" s="1097">
        <f t="shared" si="676"/>
        <v>0</v>
      </c>
      <c r="EO469" s="1097">
        <f t="shared" si="677"/>
        <v>0</v>
      </c>
      <c r="EP469" s="421">
        <f t="shared" si="678"/>
        <v>0</v>
      </c>
      <c r="EQ469" s="445">
        <f t="shared" si="679"/>
        <v>0</v>
      </c>
      <c r="ER469" s="424">
        <f t="shared" si="680"/>
        <v>0</v>
      </c>
      <c r="ES469" s="420">
        <f t="shared" si="681"/>
        <v>0</v>
      </c>
      <c r="ET469" s="446">
        <f t="shared" si="599"/>
        <v>0</v>
      </c>
    </row>
    <row r="470" spans="2:150" ht="16.5" customHeight="1">
      <c r="B470" s="1123" t="str">
        <f>INDEX('卡片raw data'!B:B,MATCH($D470,'卡片raw data'!$F:$F,))</f>
        <v>fes2丸</v>
      </c>
      <c r="C470" s="449" t="s">
        <v>2777</v>
      </c>
      <c r="D470" s="408">
        <v>467</v>
      </c>
      <c r="E470" s="477">
        <v>201073002</v>
      </c>
      <c r="F470" s="409" t="str">
        <f>INDEX('卡片raw data'!C:C,MATCH($D470,'卡片raw data'!$F:$F,))</f>
        <v>UR</v>
      </c>
      <c r="G470" s="1094" t="s">
        <v>2778</v>
      </c>
      <c r="H470" s="411">
        <f>IFERROR(INDEX(绊状态确认!C:C,MATCH($G470,绊状态确认!$B:$B,)),"")</f>
        <v>107</v>
      </c>
      <c r="I470" s="1124" t="str">
        <f>IFERROR(INDEX(绊状态确认!D:D,MATCH($G470,绊状态确认!$B:$B,)),"")</f>
        <v>水</v>
      </c>
      <c r="J470" s="1124" t="str">
        <f>IFERROR(INDEX(绊状态确认!E:E,MATCH($G470,绊状态确认!$B:$B,)),"")</f>
        <v>1年级</v>
      </c>
      <c r="K470" s="451" t="str">
        <f>IFERROR(INDEX(绊状态确认!F:F,MATCH($G470,绊状态确认!$B:$B,)),"")</f>
        <v>AZALEA</v>
      </c>
      <c r="L470" s="414" t="str">
        <f>INDEX('卡片raw data'!E:E,MATCH($D470,'卡片raw data'!$F:$F,))</f>
        <v>fes卡</v>
      </c>
      <c r="M470" s="478">
        <v>44346</v>
      </c>
      <c r="N470" s="479">
        <v>40.5</v>
      </c>
      <c r="O470" s="410" t="str">
        <f>INDEX('卡片raw data'!D:D,MATCH($D470,'卡片raw data'!$F:$F,))</f>
        <v>vo</v>
      </c>
      <c r="P470" s="1126">
        <v>5</v>
      </c>
      <c r="Q470" s="418">
        <f t="shared" si="600"/>
        <v>86013.548316392567</v>
      </c>
      <c r="R470" s="419">
        <f t="shared" si="601"/>
        <v>1</v>
      </c>
      <c r="S470" s="420">
        <f t="shared" si="602"/>
        <v>23316.961924095685</v>
      </c>
      <c r="T470" s="421">
        <f t="shared" si="603"/>
        <v>1.165</v>
      </c>
      <c r="U470" s="422">
        <f t="shared" si="604"/>
        <v>-14.912777635857145</v>
      </c>
      <c r="V470" s="423">
        <f t="shared" si="605"/>
        <v>85510.451277766013</v>
      </c>
      <c r="W470" s="424">
        <f t="shared" si="606"/>
        <v>6010.2953161679998</v>
      </c>
      <c r="X470" s="419">
        <f t="shared" si="607"/>
        <v>6.9000000000000006E-2</v>
      </c>
      <c r="Y470" s="420">
        <f t="shared" si="608"/>
        <v>801.57141161514028</v>
      </c>
      <c r="Z470" s="425">
        <f t="shared" si="609"/>
        <v>10.087222364142855</v>
      </c>
      <c r="AA470" s="426">
        <f t="shared" si="610"/>
        <v>6811.86672778314</v>
      </c>
      <c r="AB470" s="424">
        <f t="shared" si="611"/>
        <v>14532.894074494225</v>
      </c>
      <c r="AC470" s="427">
        <f t="shared" si="612"/>
        <v>0.16800000000000001</v>
      </c>
      <c r="AD470" s="428">
        <f t="shared" si="613"/>
        <v>0</v>
      </c>
      <c r="AE470" s="516">
        <f t="shared" si="614"/>
        <v>0</v>
      </c>
      <c r="AF470" s="1130">
        <f t="shared" si="615"/>
        <v>0</v>
      </c>
      <c r="AG470" s="420">
        <f t="shared" si="616"/>
        <v>0</v>
      </c>
      <c r="AH470" s="420">
        <f t="shared" si="617"/>
        <v>0</v>
      </c>
      <c r="AI470" s="1097">
        <f t="shared" si="618"/>
        <v>0</v>
      </c>
      <c r="AJ470" s="420">
        <f t="shared" si="619"/>
        <v>0</v>
      </c>
      <c r="AK470" s="518">
        <f t="shared" si="620"/>
        <v>0</v>
      </c>
      <c r="AL470" s="1106">
        <f>IF($P470="","N/A",(IF($P470=-1,INDEX('卡片raw data'!S:S,MATCH($D470,'卡片raw data'!$F:$F,)),0)+IF($P470=0,INDEX('卡片raw data'!V:V,MATCH($D470,'卡片raw data'!$F:$F,)),0)+IF($P470=1,INDEX('卡片raw data'!Y:Y,MATCH($D470,'卡片raw data'!$F:$F,)),0)+IF($P470=2,INDEX('卡片raw data'!AB:AB,MATCH($D470,'卡片raw data'!$F:$F,)),0)+IF($P470=3,INDEX('卡片raw data'!AE:AE,MATCH($D470,'卡片raw data'!$F:$F,)),0)+IF($P470=4,INDEX('卡片raw data'!AH:AH,MATCH($D470,'卡片raw data'!$F:$F,)),0)+IF($P470=5,INDEX('卡片raw data'!AK:AK,MATCH($D470,'卡片raw data'!$F:$F,)),0)+INDEX('卡片raw data'!S:S,MATCH($D470,'卡片raw data'!$F:$F,))*(IF($F470="UR",0.04,0.033))*(IF($F470="UR",INDEX(绊状态确认!$S:$S,MATCH($G470,绊状态确认!$B:$B,))/2-40)+IF($F470="SR",INDEX(绊状态确认!$R:$R,MATCH($G470,绊状态确认!$B:$B,))/4-15))+IF($F470="R",INDEX(绊状态确认!$Q:$Q,MATCH($G470,绊状态确认!$B:$B,))/6-40/6)))*(INDEX(绊状态确认!$H:$H,MATCH($G470,绊状态确认!$B:$B,))+INDEX(绊状态确认!J:J,MATCH($G470,绊状态确认!$B:$B,)))</f>
        <v>17018.7264</v>
      </c>
      <c r="AM470" s="1106">
        <f>IF($P470="","N/A",(IF($P470=-1,INDEX('卡片raw data'!T:T,MATCH($D470,'卡片raw data'!$F:$F,)),0)+IF($P470=0,INDEX('卡片raw data'!W:W,MATCH($D470,'卡片raw data'!$F:$F,)),0)+IF($P470=1,INDEX('卡片raw data'!Z:Z,MATCH($D470,'卡片raw data'!$F:$F,)),0)+IF($P470=2,INDEX('卡片raw data'!AC:AC,MATCH($D470,'卡片raw data'!$F:$F,)),0)+IF($P470=3,INDEX('卡片raw data'!AF:AF,MATCH($D470,'卡片raw data'!$F:$F,)),0)+IF($P470=4,INDEX('卡片raw data'!AI:AI,MATCH($D470,'卡片raw data'!$F:$F,)),0)+IF($P470=5,INDEX('卡片raw data'!AL:AL,MATCH($D470,'卡片raw data'!$F:$F,)),0)+INDEX('卡片raw data'!T:T,MATCH($D470,'卡片raw data'!$F:$F,))*(IF($F470="UR",0.04,0.033))*(IF($F470="UR",INDEX(绊状态确认!$S:$S,MATCH($G470,绊状态确认!$B:$B,))/2-40)+IF($F470="SR",INDEX(绊状态确认!$R:$R,MATCH($G470,绊状态确认!$B:$B,))/4-15))+IF($F470="R",INDEX(绊状态确认!$Q:$Q,MATCH($G470,绊状态确认!$B:$B,))/6-40/6)))*(INDEX(绊状态确认!$H:$H,MATCH($G470,绊状态确认!$B:$B,))+INDEX(绊状态确认!K:K,MATCH($G470,绊状态确认!$B:$B,)))</f>
        <v>4916.2936799999989</v>
      </c>
      <c r="AN470" s="1106">
        <f>IF($P470="","N/A",(IF($P470=-1,INDEX('卡片raw data'!U:U,MATCH($D470,'卡片raw data'!$F:$F,)),0)+IF($P470=0,INDEX('卡片raw data'!X:X,MATCH($D470,'卡片raw data'!$F:$F,)),0)+IF($P470=1,INDEX('卡片raw data'!AA:AA,MATCH($D470,'卡片raw data'!$F:$F,)),0)+IF($P470=2,INDEX('卡片raw data'!AD:AD,MATCH($D470,'卡片raw data'!$F:$F,)),0)+IF($P470=3,INDEX('卡片raw data'!AG:AG,MATCH($D470,'卡片raw data'!$F:$F,)),0)+IF($P470=4,INDEX('卡片raw data'!AJ:AJ,MATCH($D470,'卡片raw data'!$F:$F,)),0)+IF($P470=5,INDEX('卡片raw data'!AM:AM,MATCH($D470,'卡片raw data'!$F:$F,)),0)+INDEX('卡片raw data'!U:U,MATCH($D470,'卡片raw data'!$F:$F,))*(IF($F470="UR",0.04,0.033))*(IF($F470="UR",INDEX(绊状态确认!$S:$S,MATCH($G470,绊状态确认!$B:$B,))/2-40)+IF($F470="SR",INDEX(绊状态确认!$R:$R,MATCH($G470,绊状态确认!$B:$B,))/4-15))+IF($F470="R",INDEX(绊状态确认!$Q:$Q,MATCH($G470,绊状态确认!$B:$B,))/6-40/6)))*(INDEX(绊状态确认!$H:$H,MATCH($G470,绊状态确认!$B:$B,))+INDEX(绊状态确认!L:L,MATCH($G470,绊状态确认!$B:$B,)))</f>
        <v>15883.235519999997</v>
      </c>
      <c r="AO470" s="1107">
        <f t="shared" si="621"/>
        <v>1</v>
      </c>
      <c r="AP470" s="1131">
        <f>1+(INDEX(绊状态确认!$T:$T,MATCH($G470,绊状态确认!$B:$B,))+0.2)*$AO470</f>
        <v>1.3</v>
      </c>
      <c r="AQ470" s="1108">
        <f t="shared" si="622"/>
        <v>47924.156799999997</v>
      </c>
      <c r="AR470" s="1097">
        <f>(AM470*(1+$EX$9)+$EX$35)*(1+(INDEX(绊状态确认!$T:$T,MATCH($G470,绊状态确认!$B:$B,))+0.2)*AO470)*IF(J470=$FF$17,1+$FE$17,1)*IF(I470=$FF$14,1+$FE$14,1)</f>
        <v>9414.7408731999985</v>
      </c>
      <c r="AS470" s="1097">
        <f>(AN470*(1+$EX$10)+$EX$36)*(1+(INDEX(绊状态确认!$T:$T,MATCH($G470,绊状态确认!$B:$B,))+0.2)*AO470)*IF(J470=$FF$17,1+$FE$17,1)*IF(I470=$FF$14,1+$FE$14,1)</f>
        <v>27801.437102399992</v>
      </c>
      <c r="AT470" s="1093">
        <f>IF(AND(INDEX('卡片raw data'!AK:AK,MATCH($D470,'卡片raw data'!$F:$F,))&lt;INDEX('卡片raw data'!AM:AM,MATCH($D470,'卡片raw data'!$F:$F,)),INDEX('卡片raw data'!AL:AL,MATCH($D470,'卡片raw data'!$F:$F,))&lt;INDEX('卡片raw data'!AM:AM,MATCH($D470,'卡片raw data'!$F:$F,))),1,0)</f>
        <v>0</v>
      </c>
      <c r="AU470" s="1098">
        <f>MIN(AT470*0.15+AS470*0.00003+INDEX(绊状态确认!M:M,MATCH($G470,绊状态确认!$B:$B,)),1)</f>
        <v>0.86404311307199977</v>
      </c>
      <c r="AV470" s="1109">
        <f>(INDEX(绊状态确认!$N:$N,MATCH($G470,绊状态确认!$B:$B,))+1.5)*$EW$21</f>
        <v>2.6599999999999997</v>
      </c>
      <c r="AW470" s="1101">
        <f t="shared" si="623"/>
        <v>60588.193971005152</v>
      </c>
      <c r="AX470" s="1097">
        <f t="shared" si="624"/>
        <v>801.57141161514016</v>
      </c>
      <c r="AY470" s="1110">
        <f t="shared" si="625"/>
        <v>61389.765382620295</v>
      </c>
      <c r="AZ470" s="429">
        <f t="shared" si="626"/>
        <v>35786.516479999998</v>
      </c>
      <c r="BA470" s="431">
        <f t="shared" si="627"/>
        <v>42943.819775999997</v>
      </c>
      <c r="BB470" s="1097">
        <f>(AM470*(1+$FB$9)+$FB$35)*(1+(INDEX(绊状态确认!$T:$T,MATCH($G470,绊状态确认!$B:$B,))+0.2)*AO470)*IF(J470=$FF$17,1+$FE$17,1)*IF(I470=$FF$14,1+$FE$14,1)*(1+$FE$15)</f>
        <v>9414.7408731999985</v>
      </c>
      <c r="BC470" s="1097">
        <f>(AN470*(1+$FB$10)+$FB$36)*(1+(INDEX(绊状态确认!$T:$T,MATCH($G470,绊状态确认!$B:$B,))+0.2)*AO470)*IF(J470=$FF$17,1+$FE$17,1)*IF(I470=$FF$14,1+$FE$14,1)*(1+$FE$15)</f>
        <v>27801.437102399992</v>
      </c>
      <c r="BD470" s="1104">
        <f>MIN(AT470*0.15+BC470*0.00003+INDEX(绊状态确认!M:M,MATCH($G470,绊状态确认!$B:$B,)),1)</f>
        <v>0.86404311307199977</v>
      </c>
      <c r="BE470" s="432">
        <f>(INDEX(绊状态确认!$N:$N,MATCH($G470,绊状态确认!$B:$B,))+1.5)</f>
        <v>1.9</v>
      </c>
      <c r="BF470" s="1139">
        <f t="array" ref="BF470">SUMPRODUCT(IF(AZ470*AP470*$FI$16:$FI$23*$FA$22&gt;=$FI$24,$FI$24,AZ470*AP470*$FI$16:$FI$23*$FA$22),$FJ$16:$FJ$23)</f>
        <v>59582.696570879998</v>
      </c>
      <c r="BG470" s="1125">
        <f t="array" ref="BG470">SUMPRODUCT(IF(BE470*AZ470*AP470*$FI$16:$FI$23*$FA$22&gt;=$FI$24,$FI$24,BE470*AZ470*AP470*$FI$16:$FI$23*$FA$22),$FJ$16:$FJ$23)</f>
        <v>60000</v>
      </c>
      <c r="BH470" s="1110">
        <f t="shared" si="628"/>
        <v>19981.088241624155</v>
      </c>
      <c r="BI470" s="1111">
        <f>IF(O470="vo",$EW$26/$EW$24*0.05,0)+IF(O470="sk",-$EW$26/$EW$24*(0.05-INDEX(绊状态确认!W:W,MATCH($G470,绊状态确认!$B:$B,)))+0.05*$EW$28,0)+IF(O470="sp",0.05*$EW$32*$EW$30*(1-$EW$33)-(0.05-INDEX(绊状态确认!V:V,MATCH($G470,绊状态确认!$B:$B,)))*$EW$28,0)+IF(O470="gd",-(0.05-INDEX(绊状态确认!X:X,MATCH($G470,绊状态确认!$B:$B,)))*$EW$32*$EW$30*(1-$EW$33),0)</f>
        <v>7726.3029277443748</v>
      </c>
      <c r="BJ470" s="420">
        <f>IF(O470="vo",0.05*(1-$FI$26)*$FA$24,0)+IF(O470="sk",-(0.05-INDEX(绊状态确认!W:W,MATCH($G470,绊状态确认!$B:$B,)))*(1-$FI$26)*$FA$24+0.05*$FA$26,0)+IF(O470="sp",0.05*$FA$32*$FA$27*(1-$FA$33)/$FA$30+0.05*$FA$29/$FA$69*$FA$27*(1-$FA$33)-(0.05-INDEX(绊状态确认!V:V,MATCH($G470,绊状态确认!$B:$B,)))*$FA$26,0)+IF(O470="gd",-(0.05-INDEX(绊状态确认!X:X,MATCH($G470,绊状态确认!$B:$B,)))*$FA$32*$FA$27*(1-$FA$33)/$FA$30-(0.05-INDEX(绊状态确认!X:X,MATCH($G470,绊状态确认!$B:$B,)))*$FA$29/$FA$69*$FA$27*(1-$FA$33),0)</f>
        <v>393.93433687500004</v>
      </c>
      <c r="BK470" s="1110">
        <f>IF(O470="vo",$EW$26/$EW$24*0.05+$EW$26*(-HP($EW$62,$EW$65,$EW$64)+HP($EW$62,$EW$65,(1.05-INDEX(绊状态确认!U:U,MATCH($G470,绊状态确认!$B:$B,)))*$EW$64)),0)+IF(O470="sk",-$EW$26/$EW$24*(0.05-INDEX(绊状态确认!W:W,MATCH($G470,绊状态确认!$B:$B,)))+0.05*$EW$29,0)+IF(O470="sp",0.05*$EW$32*$EW$30*(1-$EW$33)-(0.05-INDEX(绊状态确认!V:V,MATCH($G470,绊状态确认!$B:$B,)))*$EW$29,0)+IF(O470="gd",-(0.05-INDEX(绊状态确认!X:X,MATCH($G470,绊状态确认!$B:$B,)))*$EW$32*$EW$30*(1-$EW$33)+$EW$26*(-HP($EW$62,$EW$65,$EW$64)+HP($EW$62,$EW$65,0.95*$EW$64)),0)</f>
        <v>6421.6344775026746</v>
      </c>
      <c r="BL470" s="1111">
        <f t="shared" si="629"/>
        <v>0</v>
      </c>
      <c r="BM470" s="1110">
        <f t="shared" si="630"/>
        <v>0</v>
      </c>
      <c r="BN470" s="1113">
        <f t="shared" si="631"/>
        <v>4</v>
      </c>
      <c r="BO470" s="1108">
        <f t="shared" si="632"/>
        <v>6010.2953161679998</v>
      </c>
      <c r="BP470" s="1100">
        <f t="shared" si="633"/>
        <v>295.12137612040135</v>
      </c>
      <c r="BQ470" s="1113" t="s">
        <v>132</v>
      </c>
      <c r="BR470" s="1124" t="s">
        <v>168</v>
      </c>
      <c r="BS470" s="421">
        <f>IF($P470="","N/A",IF($P470=-1,INDEX('卡片raw data'!AX:AX,MATCH($D470,'卡片raw data'!$F:$F,)),0)+IF($L470="party卡",IF($P470=5,INDEX('卡片raw data'!BD:BD,MATCH($D470,'卡片raw data'!$F:$F,)),IF($P470&gt;=3,INDEX('卡片raw data'!BC:BC,MATCH($D470,'卡片raw data'!$F:$F,)),INDEX('卡片raw data'!BB:BB,MATCH($D470,'卡片raw data'!$F:$F,)))),IF(OR(AND($F470="UR",$P470=0),AND($F470="SR",$P470&gt;=0,$P470&lt;=2),AND($F470="R",$P470&gt;=0,$P470&lt;4)),INDEX('卡片raw data'!AZ:AZ,MATCH($D470,'卡片raw data'!$F:$F,)),0)+IF(OR(AND($F470="UR",$P470&gt;=1,$P470&lt;=4),AND($F470="SR",$P470&lt;=4,$P470&gt;=3),AND($F470="R",$P470=4)),INDEX('卡片raw data'!BA:BA,MATCH($D470,'卡片raw data'!$F:$F,)),0)+IF($P470=5,INDEX('卡片raw data'!BB:BB,MATCH($D470,'卡片raw data'!$F:$F,)),0)))</f>
        <v>7.0000000000000007E-2</v>
      </c>
      <c r="BT470" s="424">
        <f t="shared" si="634"/>
        <v>5259.008401647</v>
      </c>
      <c r="BU470" s="420">
        <f t="shared" si="635"/>
        <v>258.2312041053512</v>
      </c>
      <c r="BV470" s="420">
        <f t="shared" si="636"/>
        <v>0</v>
      </c>
      <c r="BW470" s="436">
        <f t="shared" si="637"/>
        <v>0</v>
      </c>
      <c r="BX470" s="423">
        <f t="shared" si="638"/>
        <v>5259.008401647</v>
      </c>
      <c r="BY470" s="433">
        <f t="shared" si="639"/>
        <v>0</v>
      </c>
      <c r="BZ470" s="1113" t="s">
        <v>569</v>
      </c>
      <c r="CA470" s="1124"/>
      <c r="CB470" s="421">
        <f>IF($P470="","N/A",IF($P470=-1,INDEX('卡片raw data'!BE:BE,MATCH($D470,'卡片raw data'!$F:$F,)),0)+IF($L470="party卡",IF($P470=5,INDEX('卡片raw data'!BK:BK,MATCH($D470,'卡片raw data'!$F:$F,)),IF($P470&gt;=3,INDEX('卡片raw data'!BJ:BJ,MATCH($D470,'卡片raw data'!$F:$F,)),INDEX('卡片raw data'!BI:BI,MATCH($D470,'卡片raw data'!$F:$F,)))),IF(OR(AND($F470="UR",$P470=0),AND($F470="SR",$P470&gt;=0,$P470&lt;=2),AND($F470="R",$P470&gt;=0,$P470&lt;4)),INDEX('卡片raw data'!BG:BG,MATCH($D470,'卡片raw data'!$F:$F,)),0)+IF(OR(AND($F470="UR",$P470&gt;=1,$P470&lt;=4),AND($F470="SR",$P470&lt;=4,$P470&gt;=3),AND($F470="R",$P470=4)),INDEX('卡片raw data'!BH:BH,MATCH($D470,'卡片raw data'!$F:$F,)),0)+IF($P470=5,INDEX('卡片raw data'!BI:BI,MATCH($D470,'卡片raw data'!$F:$F,)),0)))</f>
        <v>0</v>
      </c>
      <c r="CC470" s="424">
        <f t="shared" si="640"/>
        <v>0</v>
      </c>
      <c r="CD470" s="420">
        <f>IF(BZ470="ap",CB470*(1-$FI$26)*$FB$5/$FB$11*(+IF(CA470="全员",$FA$24,0)+IF(CA470="同作战",$FA$24,0)+IF(CA470="仲间",$FA$24*2/3,0)+IF(CA470="同属性",$FA$24*$FA$37/3,0)+IF(CA470="同年级",$FA$24*$FA$40/3,0)+IF(CA470="同学校",$FA$24*$FA$43/3,0)+IF(CA470="同小队",$FA$24*$FA$46/3,0)+IF(CA470="同type",$FA$24*INDEX($FB$49:$FB$52,MATCH(X470,$FA$49:$FA$52,))/3,0)+IF(CA470="自身",#REF!/3,0)),0)+IF(BZ470="te",CB470*(1-$FI$27)*($FA$20-1)*$FB$7/$FB$13*(+IF(CA470="全员",$FA$19*$FA$24/(1+($FA$20-1)*$FA$19),0)+IF(CA470="同作战",$FA$19*$FA$24/(1+($FA$20-1)*$FA$19),0)+IF(CA470="仲间",$FA$19*$FA$24*2/3/(1+($FA$20-1)*$FA$19),0)+IF(CA470="同属性",$FA$19*$FA$24*$FA$37/3/(1+($FA$20-1)*$FA$19),0)+IF(CA470="同年级",$FA$19*$FA$24*$FA$40/3/(1+($FA$20-1)*$FA$19),0)+IF(CA470="同学校",$FA$19*$FA$24*$FA$43/3/(1+($FA$20-1)*$FA$19),0)+IF(CA470="同小队",$FA$19*$FA$24*$FA$46/3/(1+($FA$20-1)*$FA$19),0)+IF(CA470="同type",$FA$19*$FA$24*INDEX($FB$49:$FB$52,MATCH(X470,$FA$49:$FA$52,))/3/(1+($FA$20-1)*$FA$19),0)+IF(CA470="自身",$FA$19*#REF!/3/(1+(BH470-1)*$BD470),0)),0)</f>
        <v>0</v>
      </c>
      <c r="CE470" s="420">
        <f t="shared" si="641"/>
        <v>0</v>
      </c>
      <c r="CF470" s="436">
        <f t="shared" si="642"/>
        <v>0</v>
      </c>
      <c r="CG470" s="423">
        <f t="shared" si="643"/>
        <v>0</v>
      </c>
      <c r="CH470" s="433">
        <f t="shared" si="644"/>
        <v>0</v>
      </c>
      <c r="CI470" s="437" t="s">
        <v>164</v>
      </c>
      <c r="CJ470" s="438">
        <v>1</v>
      </c>
      <c r="CK470" s="439" t="s">
        <v>2286</v>
      </c>
      <c r="CL470" s="439" t="s">
        <v>2127</v>
      </c>
      <c r="CM470" s="1119">
        <v>8.0000000000000002E-3</v>
      </c>
      <c r="CN470" s="1115" t="s">
        <v>2779</v>
      </c>
      <c r="CO470" s="1115"/>
      <c r="CP470" s="1118">
        <f t="shared" si="645"/>
        <v>2.4E-2</v>
      </c>
      <c r="CQ470" s="1118">
        <f t="shared" si="646"/>
        <v>2.4E-2</v>
      </c>
      <c r="CR470" s="1118">
        <f t="shared" si="647"/>
        <v>0</v>
      </c>
      <c r="CS470" s="442">
        <f t="shared" si="648"/>
        <v>0</v>
      </c>
      <c r="CT470" s="432">
        <f t="shared" si="649"/>
        <v>0</v>
      </c>
      <c r="CU470" s="1101">
        <f t="shared" si="650"/>
        <v>3263.590356679224</v>
      </c>
      <c r="CV470" s="1108">
        <f t="shared" si="682"/>
        <v>157.57373475000003</v>
      </c>
      <c r="CW470" s="420">
        <f t="shared" si="651"/>
        <v>0</v>
      </c>
      <c r="CX470" s="420">
        <f t="shared" si="652"/>
        <v>3263.590356679224</v>
      </c>
      <c r="CY470" s="433">
        <f t="shared" si="653"/>
        <v>0</v>
      </c>
      <c r="CZ470" s="437"/>
      <c r="DA470" s="438"/>
      <c r="DB470" s="439" t="s">
        <v>569</v>
      </c>
      <c r="DC470" s="439"/>
      <c r="DD470" s="443"/>
      <c r="DE470" s="411"/>
      <c r="DF470" s="411"/>
      <c r="DG470" s="1116">
        <f t="shared" si="654"/>
        <v>0</v>
      </c>
      <c r="DH470" s="1116">
        <f t="shared" si="655"/>
        <v>0</v>
      </c>
      <c r="DI470" s="1116">
        <f t="shared" si="656"/>
        <v>0</v>
      </c>
      <c r="DJ470" s="442">
        <f t="shared" si="657"/>
        <v>0</v>
      </c>
      <c r="DK470" s="432">
        <f t="shared" si="658"/>
        <v>0</v>
      </c>
      <c r="DL470" s="424">
        <f t="shared" si="659"/>
        <v>0</v>
      </c>
      <c r="DM470" s="420">
        <f t="shared" si="660"/>
        <v>0</v>
      </c>
      <c r="DN470" s="420">
        <f t="shared" si="661"/>
        <v>0</v>
      </c>
      <c r="DO470" s="420">
        <f t="shared" si="662"/>
        <v>0</v>
      </c>
      <c r="DP470" s="433">
        <f t="shared" si="663"/>
        <v>0</v>
      </c>
      <c r="DQ470" s="1113" t="s">
        <v>545</v>
      </c>
      <c r="DR470" s="444">
        <f t="shared" si="664"/>
        <v>0.33</v>
      </c>
      <c r="DS470" s="1124"/>
      <c r="DT470" s="1093" t="s">
        <v>132</v>
      </c>
      <c r="DU470" s="1093"/>
      <c r="DV470" s="1098">
        <f>IF($P470="","N/A",IF(P470=-1,INDEX('卡片raw data'!AN:AN,MATCH(D470,'卡片raw data'!$F:$F,)),0)+IF(AND(L470&lt;&gt;"party卡",P470&lt;=2,P470&gt;=0),INDEX('卡片raw data'!AP:AP,MATCH(D470,'卡片raw data'!$F:$F,)),0)+IF(OR(AND(L470="party卡",P470&lt;=1),AND(P470&lt;=4,L470&lt;&gt;"party卡",P470&gt;=3)),INDEX('卡片raw data'!AQ:AQ,MATCH(D470,'卡片raw data'!$F:$F,)),0)+IF(OR(P470=5,AND(L470="party卡",P470&gt;=2)),INDEX('卡片raw data'!AR:AR,MATCH(D470,'卡片raw data'!$F:$F,)),0))</f>
        <v>0.42</v>
      </c>
      <c r="DW470" s="1098">
        <f t="shared" si="665"/>
        <v>0.33</v>
      </c>
      <c r="DX470" s="1098">
        <f t="shared" si="666"/>
        <v>0.33</v>
      </c>
      <c r="DY470" s="1097">
        <f t="shared" si="667"/>
        <v>2878.3248574080003</v>
      </c>
      <c r="DZ470" s="1097">
        <f t="shared" si="668"/>
        <v>2231.0130306207743</v>
      </c>
      <c r="EA470" s="421">
        <f t="shared" si="669"/>
        <v>0</v>
      </c>
      <c r="EB470" s="445">
        <f t="shared" si="670"/>
        <v>0</v>
      </c>
      <c r="EC470" s="424">
        <f t="shared" si="671"/>
        <v>3166.1573431488005</v>
      </c>
      <c r="ED470" s="420">
        <f t="shared" si="672"/>
        <v>2231.0130306207743</v>
      </c>
      <c r="EE470" s="433">
        <f t="shared" si="598"/>
        <v>3166.1573431488005</v>
      </c>
      <c r="EF470" s="1115" t="s">
        <v>569</v>
      </c>
      <c r="EG470" s="444">
        <f t="shared" si="673"/>
        <v>0.33</v>
      </c>
      <c r="EH470" s="1124"/>
      <c r="EI470" s="1093"/>
      <c r="EJ470" s="1093"/>
      <c r="EK470" s="420">
        <f>IF($P470="","N/A",IF(P470=-1,INDEX('卡片raw data'!AS:AS,MATCH(D470,'卡片raw data'!$F:$F,)),0)+IF(AND(L470&lt;&gt;"party卡",P470&lt;=2,P470&gt;=0),INDEX('卡片raw data'!AU:AU,MATCH(D470,'卡片raw data'!$F:$F,)),0)+IF(OR(AND(L470="party卡",P470&lt;=1),AND(P470&lt;=4,L470&lt;&gt;"party卡",P470&gt;=3)),INDEX('卡片raw data'!AV:AV,MATCH(D470,'卡片raw data'!$F:$F,)),0)+IF(OR(P470=5,AND(L470="party卡",P470&gt;=2)),INDEX('卡片raw data'!AW:AW,MATCH(D470,'卡片raw data'!$F:$F,)),0))</f>
        <v>0</v>
      </c>
      <c r="EL470" s="1098">
        <f t="shared" si="674"/>
        <v>0.33</v>
      </c>
      <c r="EM470" s="1098">
        <f t="shared" si="675"/>
        <v>0.33</v>
      </c>
      <c r="EN470" s="1097">
        <f t="shared" si="676"/>
        <v>0</v>
      </c>
      <c r="EO470" s="1097">
        <f t="shared" si="677"/>
        <v>0</v>
      </c>
      <c r="EP470" s="421">
        <f t="shared" si="678"/>
        <v>0</v>
      </c>
      <c r="EQ470" s="445">
        <f t="shared" si="679"/>
        <v>0</v>
      </c>
      <c r="ER470" s="424">
        <f t="shared" si="680"/>
        <v>0</v>
      </c>
      <c r="ES470" s="420">
        <f t="shared" si="681"/>
        <v>0</v>
      </c>
      <c r="ET470" s="446">
        <f t="shared" si="599"/>
        <v>0</v>
      </c>
    </row>
    <row r="471" spans="2:150" ht="16.5" customHeight="1">
      <c r="B471" s="448" t="str">
        <f>INDEX('卡片raw data'!B:B,MATCH($D471,'卡片raw data'!$F:$F,))</f>
        <v>三单千</v>
      </c>
      <c r="C471" s="449" t="s">
        <v>2783</v>
      </c>
      <c r="D471" s="408">
        <v>468</v>
      </c>
      <c r="E471" s="477">
        <v>201012002</v>
      </c>
      <c r="F471" s="409" t="str">
        <f>INDEX('卡片raw data'!C:C,MATCH($D471,'卡片raw data'!$F:$F,))</f>
        <v>SR</v>
      </c>
      <c r="G471" s="1094" t="s">
        <v>2784</v>
      </c>
      <c r="H471" s="411">
        <f>IFERROR(INDEX(绊状态确认!C:C,MATCH($G471,绊状态确认!$B:$B,)),"")</f>
        <v>101</v>
      </c>
      <c r="I471" s="450" t="str">
        <f>IFERROR(INDEX(绊状态确认!D:D,MATCH($G471,绊状态确认!$B:$B,)),"")</f>
        <v>水</v>
      </c>
      <c r="J471" s="450" t="str">
        <f>IFERROR(INDEX(绊状态确认!E:E,MATCH($G471,绊状态确认!$B:$B,)),"")</f>
        <v>2年级</v>
      </c>
      <c r="K471" s="451" t="str">
        <f>IFERROR(INDEX(绊状态确认!F:F,MATCH($G471,绊状态确认!$B:$B,)),"")</f>
        <v>CYaRon!</v>
      </c>
      <c r="L471" s="414" t="str">
        <f>INDEX('卡片raw data'!E:E,MATCH($D471,'卡片raw data'!$F:$F,))</f>
        <v>卡池卡</v>
      </c>
      <c r="M471" s="478">
        <v>44346</v>
      </c>
      <c r="N471" s="479">
        <v>40.5</v>
      </c>
      <c r="O471" s="410" t="str">
        <f>INDEX('卡片raw data'!D:D,MATCH($D471,'卡片raw data'!$F:$F,))</f>
        <v>gd</v>
      </c>
      <c r="P471" s="1126">
        <v>5</v>
      </c>
      <c r="Q471" s="418">
        <f t="shared" si="600"/>
        <v>21486.978523254216</v>
      </c>
      <c r="R471" s="419">
        <f t="shared" si="601"/>
        <v>0.249</v>
      </c>
      <c r="S471" s="420">
        <f t="shared" si="602"/>
        <v>12639.508127009723</v>
      </c>
      <c r="T471" s="421">
        <f t="shared" si="603"/>
        <v>0.63100000000000001</v>
      </c>
      <c r="U471" s="422">
        <f t="shared" si="604"/>
        <v>591.94250831049146</v>
      </c>
      <c r="V471" s="423">
        <f t="shared" si="605"/>
        <v>73051.255430781704</v>
      </c>
      <c r="W471" s="424">
        <f t="shared" si="606"/>
        <v>4507.7214871259994</v>
      </c>
      <c r="X471" s="419">
        <f t="shared" si="607"/>
        <v>5.1999999999999998E-2</v>
      </c>
      <c r="Y471" s="420">
        <f t="shared" si="608"/>
        <v>3428.0019070816725</v>
      </c>
      <c r="Z471" s="425">
        <f t="shared" si="609"/>
        <v>42.25524293538755</v>
      </c>
      <c r="AA471" s="426">
        <f t="shared" si="610"/>
        <v>7935.7233942076718</v>
      </c>
      <c r="AB471" s="424">
        <f t="shared" si="611"/>
        <v>4507.7214871259994</v>
      </c>
      <c r="AC471" s="427">
        <f t="shared" si="612"/>
        <v>5.1999999999999998E-2</v>
      </c>
      <c r="AD471" s="428">
        <f t="shared" si="613"/>
        <v>-3.8207812500000026E-3</v>
      </c>
      <c r="AE471" s="516">
        <f t="shared" si="614"/>
        <v>-18.525362318840578</v>
      </c>
      <c r="AF471" s="1130">
        <f t="shared" si="615"/>
        <v>8165.4455674000546</v>
      </c>
      <c r="AG471" s="420">
        <f t="shared" si="616"/>
        <v>92144.593048011098</v>
      </c>
      <c r="AH471" s="420">
        <f t="shared" si="617"/>
        <v>11.284698708407495</v>
      </c>
      <c r="AI471" s="1097">
        <f t="shared" si="618"/>
        <v>104832.06411858757</v>
      </c>
      <c r="AJ471" s="420">
        <f t="shared" si="619"/>
        <v>73051.255430781704</v>
      </c>
      <c r="AK471" s="518">
        <f t="shared" si="620"/>
        <v>31780.808687805868</v>
      </c>
      <c r="AL471" s="429">
        <f>IF($P471="","N/A",(IF($P471=-1,INDEX('卡片raw data'!S:S,MATCH($D471,'卡片raw data'!$F:$F,)),0)+IF($P471=0,INDEX('卡片raw data'!V:V,MATCH($D471,'卡片raw data'!$F:$F,)),0)+IF($P471=1,INDEX('卡片raw data'!Y:Y,MATCH($D471,'卡片raw data'!$F:$F,)),0)+IF($P471=2,INDEX('卡片raw data'!AB:AB,MATCH($D471,'卡片raw data'!$F:$F,)),0)+IF($P471=3,INDEX('卡片raw data'!AE:AE,MATCH($D471,'卡片raw data'!$F:$F,)),0)+IF($P471=4,INDEX('卡片raw data'!AH:AH,MATCH($D471,'卡片raw data'!$F:$F,)),0)+IF($P471=5,INDEX('卡片raw data'!AK:AK,MATCH($D471,'卡片raw data'!$F:$F,)),0)+INDEX('卡片raw data'!S:S,MATCH($D471,'卡片raw data'!$F:$F,))*(IF($F471="UR",0.04,0.033))*(IF($F471="UR",INDEX(绊状态确认!$S:$S,MATCH($G471,绊状态确认!$B:$B,))/2-40)+IF($F471="SR",INDEX(绊状态确认!$R:$R,MATCH($G471,绊状态确认!$B:$B,))/4-15))+IF($F471="R",INDEX(绊状态确认!$Q:$Q,MATCH($G471,绊状态确认!$B:$B,))/6-40/6)))*(INDEX(绊状态确认!$H:$H,MATCH($G471,绊状态确认!$B:$B,))+INDEX(绊状态确认!J:J,MATCH($G471,绊状态确认!$B:$B,)))</f>
        <v>6840.7211687999988</v>
      </c>
      <c r="AM471" s="429">
        <f>IF($P471="","N/A",(IF($P471=-1,INDEX('卡片raw data'!T:T,MATCH($D471,'卡片raw data'!$F:$F,)),0)+IF($P471=0,INDEX('卡片raw data'!W:W,MATCH($D471,'卡片raw data'!$F:$F,)),0)+IF($P471=1,INDEX('卡片raw data'!Z:Z,MATCH($D471,'卡片raw data'!$F:$F,)),0)+IF($P471=2,INDEX('卡片raw data'!AC:AC,MATCH($D471,'卡片raw data'!$F:$F,)),0)+IF($P471=3,INDEX('卡片raw data'!AF:AF,MATCH($D471,'卡片raw data'!$F:$F,)),0)+IF($P471=4,INDEX('卡片raw data'!AI:AI,MATCH($D471,'卡片raw data'!$F:$F,)),0)+IF($P471=5,INDEX('卡片raw data'!AL:AL,MATCH($D471,'卡片raw data'!$F:$F,)),0)+INDEX('卡片raw data'!T:T,MATCH($D471,'卡片raw data'!$F:$F,))*(IF($F471="UR",0.04,0.033))*(IF($F471="UR",INDEX(绊状态确认!$S:$S,MATCH($G471,绊状态确认!$B:$B,))/2-40)+IF($F471="SR",INDEX(绊状态确认!$R:$R,MATCH($G471,绊状态确认!$B:$B,))/4-15))+IF($F471="R",INDEX(绊状态确认!$Q:$Q,MATCH($G471,绊状态确认!$B:$B,))/6-40/6)))*(INDEX(绊状态确认!$H:$H,MATCH($G471,绊状态确认!$B:$B,))+INDEX(绊状态确认!K:K,MATCH($G471,绊状态确认!$B:$B,)))</f>
        <v>10031.1187128</v>
      </c>
      <c r="AN471" s="429">
        <f>IF($P471="","N/A",(IF($P471=-1,INDEX('卡片raw data'!U:U,MATCH($D471,'卡片raw data'!$F:$F,)),0)+IF($P471=0,INDEX('卡片raw data'!X:X,MATCH($D471,'卡片raw data'!$F:$F,)),0)+IF($P471=1,INDEX('卡片raw data'!AA:AA,MATCH($D471,'卡片raw data'!$F:$F,)),0)+IF($P471=2,INDEX('卡片raw data'!AD:AD,MATCH($D471,'卡片raw data'!$F:$F,)),0)+IF($P471=3,INDEX('卡片raw data'!AG:AG,MATCH($D471,'卡片raw data'!$F:$F,)),0)+IF($P471=4,INDEX('卡片raw data'!AJ:AJ,MATCH($D471,'卡片raw data'!$F:$F,)),0)+IF($P471=5,INDEX('卡片raw data'!AM:AM,MATCH($D471,'卡片raw data'!$F:$F,)),0)+INDEX('卡片raw data'!U:U,MATCH($D471,'卡片raw data'!$F:$F,))*(IF($F471="UR",0.04,0.033))*(IF($F471="UR",INDEX(绊状态确认!$S:$S,MATCH($G471,绊状态确认!$B:$B,))/2-40)+IF($F471="SR",INDEX(绊状态确认!$R:$R,MATCH($G471,绊状态确认!$B:$B,))/4-15))+IF($F471="R",INDEX(绊状态确认!$Q:$Q,MATCH($G471,绊状态确认!$B:$B,))/6-40/6)))*(INDEX(绊状态确认!$H:$H,MATCH($G471,绊状态确认!$B:$B,))+INDEX(绊状态确认!L:L,MATCH($G471,绊状态确认!$B:$B,)))</f>
        <v>5927.8374119999989</v>
      </c>
      <c r="AO471" s="430">
        <f t="shared" si="621"/>
        <v>1</v>
      </c>
      <c r="AP471" s="556">
        <f>1+(INDEX(绊状态确认!$T:$T,MATCH($G471,绊状态确认!$B:$B,))+0.2)*$AO471</f>
        <v>1.3</v>
      </c>
      <c r="AQ471" s="431">
        <f t="shared" si="622"/>
        <v>21206.893068099998</v>
      </c>
      <c r="AR471" s="420">
        <f>(AM471*(1+$EX$9)+$EX$35)*(1+(INDEX(绊状态确认!$T:$T,MATCH($G471,绊状态确认!$B:$B,))+0.2)*AO471)*IF(J471=$FF$17,1+$FE$17,1)*IF(I471=$FF$14,1+$FE$14,1)</f>
        <v>16396.477042972001</v>
      </c>
      <c r="AS471" s="420">
        <f>(AN471*(1+$EX$10)+$EX$36)*(1+(INDEX(绊状态确认!$T:$T,MATCH($G471,绊状态确认!$B:$B,))+0.2)*AO471)*IF(J471=$FF$17,1+$FE$17,1)*IF(I471=$FF$14,1+$FE$14,1)</f>
        <v>12918.116930939997</v>
      </c>
      <c r="AT471" s="412">
        <f>IF(AND(INDEX('卡片raw data'!AK:AK,MATCH($D471,'卡片raw data'!$F:$F,))&lt;INDEX('卡片raw data'!AM:AM,MATCH($D471,'卡片raw data'!$F:$F,)),INDEX('卡片raw data'!AL:AL,MATCH($D471,'卡片raw data'!$F:$F,))&lt;INDEX('卡片raw data'!AM:AM,MATCH($D471,'卡片raw data'!$F:$F,))),1,0)</f>
        <v>0</v>
      </c>
      <c r="AU471" s="421">
        <f>MIN(AT471*0.15+AS471*0.00003+INDEX(绊状态确认!M:M,MATCH($G471,绊状态确认!$B:$B,)),1)</f>
        <v>0.41754350792819994</v>
      </c>
      <c r="AV471" s="432">
        <f>(INDEX(绊状态确认!$N:$N,MATCH($G471,绊状态确认!$B:$B,))+1.5)*$EW$21</f>
        <v>2.6599999999999997</v>
      </c>
      <c r="AW471" s="424">
        <f t="shared" si="623"/>
        <v>18647.590369461548</v>
      </c>
      <c r="AX471" s="420">
        <f t="shared" si="624"/>
        <v>1417.6425555761932</v>
      </c>
      <c r="AY471" s="433">
        <f t="shared" si="625"/>
        <v>20065.232925037741</v>
      </c>
      <c r="AZ471" s="429">
        <f t="shared" si="626"/>
        <v>15939.406279159997</v>
      </c>
      <c r="BA471" s="431">
        <f t="shared" si="627"/>
        <v>19127.287534991996</v>
      </c>
      <c r="BB471" s="420">
        <f>(AM471*(1+$FB$9)+$FB$35)*(1+(INDEX(绊状态确认!$T:$T,MATCH($G471,绊状态确认!$B:$B,))+0.2)*AO471)*IF(J471=$FF$17,1+$FE$17,1)*IF(I471=$FF$14,1+$FE$14,1)*(1+$FE$15)</f>
        <v>16396.477042972001</v>
      </c>
      <c r="BC471" s="420">
        <f>(AN471*(1+$FB$10)+$FB$36)*(1+(INDEX(绊状态确认!$T:$T,MATCH($G471,绊状态确认!$B:$B,))+0.2)*AO471)*IF(J471=$FF$17,1+$FE$17,1)*IF(I471=$FF$14,1+$FE$14,1)*(1+$FE$15)</f>
        <v>12918.116930939997</v>
      </c>
      <c r="BD471" s="427">
        <f>MIN(AT471*0.15+BC471*0.00003+INDEX(绊状态确认!M:M,MATCH($G471,绊状态确认!$B:$B,)),1)</f>
        <v>0.41754350792819994</v>
      </c>
      <c r="BE471" s="432">
        <f>(INDEX(绊状态确认!$N:$N,MATCH($G471,绊状态确认!$B:$B,))+1.5)</f>
        <v>1.9</v>
      </c>
      <c r="BF471" s="645">
        <f t="array" ref="BF471">SUMPRODUCT(IF(AZ471*AP471*$FI$16:$FI$23*$FA$22&gt;=$FI$24,$FI$24,AZ471*AP471*$FI$16:$FI$23*$FA$22),$FJ$16:$FJ$23)</f>
        <v>31703.479089249238</v>
      </c>
      <c r="BG471" s="453">
        <f t="array" ref="BG471">SUMPRODUCT(IF(BE471*AZ471*AP471*$FI$16:$FI$23*$FA$22&gt;=$FI$24,$FI$24,BE471*AZ471*AP471*$FI$16:$FI$23*$FA$22),$FJ$16:$FJ$23)</f>
        <v>56677.376812905917</v>
      </c>
      <c r="BH471" s="433">
        <f t="shared" si="628"/>
        <v>14043.722650474978</v>
      </c>
      <c r="BI471" s="434">
        <f>IF(O471="vo",$EW$26/$EW$24*0.05,0)+IF(O471="sk",-$EW$26/$EW$24*(0.05-INDEX(绊状态确认!W:W,MATCH($G471,绊状态确认!$B:$B,)))+0.05*$EW$28,0)+IF(O471="sp",0.05*$EW$32*$EW$30*(1-$EW$33)-(0.05-INDEX(绊状态确认!V:V,MATCH($G471,绊状态确认!$B:$B,)))*$EW$28,0)+IF(O471="gd",-(0.05-INDEX(绊状态确认!X:X,MATCH($G471,绊状态确认!$B:$B,)))*$EW$32*$EW$30*(1-$EW$33),0)</f>
        <v>-585.00000000000011</v>
      </c>
      <c r="BJ471" s="420">
        <f>IF(O471="vo",0.05*(1-$FI$26)*$FA$24,0)+IF(O471="sk",-(0.05-INDEX(绊状态确认!W:W,MATCH($G471,绊状态确认!$B:$B,)))*(1-$FI$26)*$FA$24+0.05*$FA$26,0)+IF(O471="sp",0.05*$FA$32*$FA$27*(1-$FA$33)/$FA$30+0.05*$FA$29/$FA$69*$FA$27*(1-$FA$33)-(0.05-INDEX(绊状态确认!V:V,MATCH($G471,绊状态确认!$B:$B,)))*$FA$26,0)+IF(O471="gd",-(0.05-INDEX(绊状态确认!X:X,MATCH($G471,绊状态确认!$B:$B,)))*$FA$32*$FA$27*(1-$FA$33)/$FA$30-(0.05-INDEX(绊状态确认!X:X,MATCH($G471,绊状态确认!$B:$B,)))*$FA$29/$FA$69*$FA$27*(1-$FA$33),0)</f>
        <v>-795.00000000000011</v>
      </c>
      <c r="BK471" s="433">
        <f>IF(O471="vo",$EW$26/$EW$24*0.05+$EW$26*(-HP($EW$62,$EW$65,$EW$64)+HP($EW$62,$EW$65,(1.05-INDEX(绊状态确认!U:U,MATCH($G471,绊状态确认!$B:$B,)))*$EW$64)),0)+IF(O471="sk",-$EW$26/$EW$24*(0.05-INDEX(绊状态确认!W:W,MATCH($G471,绊状态确认!$B:$B,)))+0.05*$EW$29,0)+IF(O471="sp",0.05*$EW$32*$EW$30*(1-$EW$33)-(0.05-INDEX(绊状态确认!V:V,MATCH($G471,绊状态确认!$B:$B,)))*$EW$29,0)+IF(O471="gd",-(0.05-INDEX(绊状态确认!X:X,MATCH($G471,绊状态确认!$B:$B,)))*$EW$32*$EW$30*(1-$EW$33)+$EW$26*(-HP($EW$62,$EW$65,$EW$64)+HP($EW$62,$EW$65,0.95*$EW$64)),0)</f>
        <v>1009.5947725176144</v>
      </c>
      <c r="BL471" s="434">
        <f t="shared" si="629"/>
        <v>-1083.3333333333333</v>
      </c>
      <c r="BM471" s="433">
        <f t="shared" si="630"/>
        <v>-830.55555555555543</v>
      </c>
      <c r="BN471" s="437">
        <f t="shared" si="631"/>
        <v>3</v>
      </c>
      <c r="BO471" s="1108">
        <f t="shared" si="632"/>
        <v>4507.7214871259994</v>
      </c>
      <c r="BP471" s="1100">
        <f t="shared" si="633"/>
        <v>221.34103209030098</v>
      </c>
      <c r="BQ471" s="1113" t="s">
        <v>133</v>
      </c>
      <c r="BR471" s="450" t="s">
        <v>171</v>
      </c>
      <c r="BS471" s="421">
        <f>IF($P471="","N/A",IF($P471=-1,INDEX('卡片raw data'!AX:AX,MATCH($D471,'卡片raw data'!$F:$F,)),0)+IF($L471="party卡",IF($P471=5,INDEX('卡片raw data'!BD:BD,MATCH($D471,'卡片raw data'!$F:$F,)),IF($P471&gt;=3,INDEX('卡片raw data'!BC:BC,MATCH($D471,'卡片raw data'!$F:$F,)),INDEX('卡片raw data'!BB:BB,MATCH($D471,'卡片raw data'!$F:$F,)))),IF(OR(AND($F471="UR",$P471=0),AND($F471="SR",$P471&gt;=0,$P471&lt;=2),AND($F471="R",$P471&gt;=0,$P471&lt;4)),INDEX('卡片raw data'!AZ:AZ,MATCH($D471,'卡片raw data'!$F:$F,)),0)+IF(OR(AND($F471="UR",$P471&gt;=1,$P471&lt;=4),AND($F471="SR",$P471&lt;=4,$P471&gt;=3),AND($F471="R",$P471=4)),INDEX('卡片raw data'!BA:BA,MATCH($D471,'卡片raw data'!$F:$F,)),0)+IF($P471=5,INDEX('卡片raw data'!BB:BB,MATCH($D471,'卡片raw data'!$F:$F,)),0)))</f>
        <v>3.2000000000000001E-2</v>
      </c>
      <c r="BT471" s="424">
        <f t="shared" si="634"/>
        <v>0</v>
      </c>
      <c r="BU471" s="420">
        <f t="shared" si="635"/>
        <v>0</v>
      </c>
      <c r="BV471" s="420">
        <f t="shared" si="636"/>
        <v>0</v>
      </c>
      <c r="BW471" s="436">
        <f t="shared" si="637"/>
        <v>1.498285714285714</v>
      </c>
      <c r="BX471" s="423">
        <f t="shared" si="638"/>
        <v>117.00848980993118</v>
      </c>
      <c r="BY471" s="433">
        <f t="shared" si="639"/>
        <v>117.00848980993118</v>
      </c>
      <c r="BZ471" s="1113" t="s">
        <v>569</v>
      </c>
      <c r="CA471" s="450"/>
      <c r="CB471" s="421">
        <f>IF($P471="","N/A",IF($P471=-1,INDEX('卡片raw data'!BE:BE,MATCH($D471,'卡片raw data'!$F:$F,)),0)+IF($L471="party卡",IF($P471=5,INDEX('卡片raw data'!BK:BK,MATCH($D471,'卡片raw data'!$F:$F,)),IF($P471&gt;=3,INDEX('卡片raw data'!BJ:BJ,MATCH($D471,'卡片raw data'!$F:$F,)),INDEX('卡片raw data'!BI:BI,MATCH($D471,'卡片raw data'!$F:$F,)))),IF(OR(AND($F471="UR",$P471=0),AND($F471="SR",$P471&gt;=0,$P471&lt;=2),AND($F471="R",$P471&gt;=0,$P471&lt;4)),INDEX('卡片raw data'!BG:BG,MATCH($D471,'卡片raw data'!$F:$F,)),0)+IF(OR(AND($F471="UR",$P471&gt;=1,$P471&lt;=4),AND($F471="SR",$P471&lt;=4,$P471&gt;=3),AND($F471="R",$P471=4)),INDEX('卡片raw data'!BH:BH,MATCH($D471,'卡片raw data'!$F:$F,)),0)+IF($P471=5,INDEX('卡片raw data'!BI:BI,MATCH($D471,'卡片raw data'!$F:$F,)),0)))</f>
        <v>0</v>
      </c>
      <c r="CC471" s="424">
        <f t="shared" si="640"/>
        <v>0</v>
      </c>
      <c r="CD471" s="420">
        <f>IF(BZ471="ap",CB471*(1-$FI$26)*$FB$5/$FB$11*(+IF(CA471="全员",$FA$24,0)+IF(CA471="同作战",$FA$24,0)+IF(CA471="仲间",$FA$24*2/3,0)+IF(CA471="同属性",$FA$24*$FA$37/3,0)+IF(CA471="同年级",$FA$24*$FA$40/3,0)+IF(CA471="同学校",$FA$24*$FA$43/3,0)+IF(CA471="同小队",$FA$24*$FA$46/3,0)+IF(CA471="同type",$FA$24*INDEX($FB$49:$FB$52,MATCH(X471,$FA$49:$FA$52,))/3,0)+IF(CA471="自身",#REF!/3,0)),0)+IF(BZ471="te",CB471*(1-$FI$27)*($FA$20-1)*$FB$7/$FB$13*(+IF(CA471="全员",$FA$19*$FA$24/(1+($FA$20-1)*$FA$19),0)+IF(CA471="同作战",$FA$19*$FA$24/(1+($FA$20-1)*$FA$19),0)+IF(CA471="仲间",$FA$19*$FA$24*2/3/(1+($FA$20-1)*$FA$19),0)+IF(CA471="同属性",$FA$19*$FA$24*$FA$37/3/(1+($FA$20-1)*$FA$19),0)+IF(CA471="同年级",$FA$19*$FA$24*$FA$40/3/(1+($FA$20-1)*$FA$19),0)+IF(CA471="同学校",$FA$19*$FA$24*$FA$43/3/(1+($FA$20-1)*$FA$19),0)+IF(CA471="同小队",$FA$19*$FA$24*$FA$46/3/(1+($FA$20-1)*$FA$19),0)+IF(CA471="同type",$FA$19*$FA$24*INDEX($FB$49:$FB$52,MATCH(X471,$FA$49:$FA$52,))/3/(1+($FA$20-1)*$FA$19),0)+IF(CA471="自身",$FA$19*#REF!/3/(1+(BH471-1)*$BD471),0)),0)</f>
        <v>0</v>
      </c>
      <c r="CE471" s="420">
        <f t="shared" si="641"/>
        <v>0</v>
      </c>
      <c r="CF471" s="436">
        <f t="shared" si="642"/>
        <v>0</v>
      </c>
      <c r="CG471" s="423">
        <f t="shared" si="643"/>
        <v>0</v>
      </c>
      <c r="CH471" s="433">
        <f t="shared" si="644"/>
        <v>0</v>
      </c>
      <c r="CI471" s="437" t="s">
        <v>164</v>
      </c>
      <c r="CJ471" s="438">
        <v>1</v>
      </c>
      <c r="CK471" s="439" t="s">
        <v>2305</v>
      </c>
      <c r="CL471" s="439" t="s">
        <v>1943</v>
      </c>
      <c r="CM471" s="1119">
        <v>6.6000000000000003E-2</v>
      </c>
      <c r="CN471" s="1115"/>
      <c r="CO471" s="1115"/>
      <c r="CP471" s="1116">
        <f t="shared" si="645"/>
        <v>23.189303246488976</v>
      </c>
      <c r="CQ471" s="1116">
        <f t="shared" si="646"/>
        <v>36.072249494538404</v>
      </c>
      <c r="CR471" s="1117">
        <f t="shared" si="647"/>
        <v>23.189303246488976</v>
      </c>
      <c r="CS471" s="442">
        <f t="shared" si="648"/>
        <v>0</v>
      </c>
      <c r="CT471" s="432">
        <f t="shared" si="649"/>
        <v>0</v>
      </c>
      <c r="CU471" s="1101">
        <f t="shared" si="650"/>
        <v>0</v>
      </c>
      <c r="CV471" s="1108">
        <f t="shared" si="682"/>
        <v>0</v>
      </c>
      <c r="CW471" s="420">
        <f t="shared" si="651"/>
        <v>0</v>
      </c>
      <c r="CX471" s="420">
        <f t="shared" si="652"/>
        <v>0</v>
      </c>
      <c r="CY471" s="433">
        <f t="shared" si="653"/>
        <v>1893.3508616955478</v>
      </c>
      <c r="CZ471" s="437"/>
      <c r="DA471" s="438"/>
      <c r="DB471" s="439" t="s">
        <v>569</v>
      </c>
      <c r="DC471" s="439"/>
      <c r="DD471" s="443"/>
      <c r="DE471" s="411"/>
      <c r="DF471" s="411"/>
      <c r="DG471" s="1116">
        <f t="shared" si="654"/>
        <v>0</v>
      </c>
      <c r="DH471" s="1116">
        <f t="shared" si="655"/>
        <v>0</v>
      </c>
      <c r="DI471" s="1116">
        <f t="shared" si="656"/>
        <v>0</v>
      </c>
      <c r="DJ471" s="442">
        <f t="shared" si="657"/>
        <v>0</v>
      </c>
      <c r="DK471" s="432">
        <f t="shared" si="658"/>
        <v>0</v>
      </c>
      <c r="DL471" s="424">
        <f t="shared" si="659"/>
        <v>0</v>
      </c>
      <c r="DM471" s="420">
        <f t="shared" si="660"/>
        <v>0</v>
      </c>
      <c r="DN471" s="420">
        <f t="shared" si="661"/>
        <v>0</v>
      </c>
      <c r="DO471" s="420">
        <f t="shared" si="662"/>
        <v>0</v>
      </c>
      <c r="DP471" s="433">
        <f t="shared" si="663"/>
        <v>0</v>
      </c>
      <c r="DQ471" s="437" t="s">
        <v>635</v>
      </c>
      <c r="DR471" s="1120">
        <f t="shared" si="664"/>
        <v>0.3</v>
      </c>
      <c r="DS471" s="450"/>
      <c r="DT471" s="1093" t="s">
        <v>133</v>
      </c>
      <c r="DU471" s="1093"/>
      <c r="DV471" s="1098">
        <f>IF($P471="","N/A",IF(P471=-1,INDEX('卡片raw data'!AN:AN,MATCH(D471,'卡片raw data'!$F:$F,)),0)+IF(AND(L471&lt;&gt;"party卡",P471&lt;=2,P471&gt;=0),INDEX('卡片raw data'!AP:AP,MATCH(D471,'卡片raw data'!$F:$F,)),0)+IF(OR(AND(L471="party卡",P471&lt;=1),AND(P471&lt;=4,L471&lt;&gt;"party卡",P471&gt;=3)),INDEX('卡片raw data'!AQ:AQ,MATCH(D471,'卡片raw data'!$F:$F,)),0)+IF(OR(P471=5,AND(L471="party卡",P471&gt;=2)),INDEX('卡片raw data'!AR:AR,MATCH(D471,'卡片raw data'!$F:$F,)),0))</f>
        <v>0.32</v>
      </c>
      <c r="DW471" s="1098">
        <f t="shared" si="665"/>
        <v>0.3</v>
      </c>
      <c r="DX471" s="1098">
        <f t="shared" si="666"/>
        <v>0.3</v>
      </c>
      <c r="DY471" s="1097">
        <f t="shared" si="667"/>
        <v>524.68726537510395</v>
      </c>
      <c r="DZ471" s="1097">
        <f t="shared" si="668"/>
        <v>453.85448454946493</v>
      </c>
      <c r="EA471" s="421">
        <f t="shared" si="669"/>
        <v>0</v>
      </c>
      <c r="EB471" s="445">
        <f t="shared" si="670"/>
        <v>0</v>
      </c>
      <c r="EC471" s="424">
        <f t="shared" si="671"/>
        <v>0</v>
      </c>
      <c r="ED471" s="420">
        <f t="shared" si="672"/>
        <v>0</v>
      </c>
      <c r="EE471" s="433">
        <f t="shared" si="598"/>
        <v>48435.03108962375</v>
      </c>
      <c r="EF471" s="1115" t="s">
        <v>569</v>
      </c>
      <c r="EG471" s="444">
        <f t="shared" si="673"/>
        <v>0.3</v>
      </c>
      <c r="EH471" s="450"/>
      <c r="EI471" s="1093"/>
      <c r="EJ471" s="1093"/>
      <c r="EK471" s="1097">
        <f>IF($P471="","N/A",IF(P471=-1,INDEX('卡片raw data'!AS:AS,MATCH(D471,'卡片raw data'!$F:$F,)),0)+IF(AND(L471&lt;&gt;"party卡",P471&lt;=2,P471&gt;=0),INDEX('卡片raw data'!AU:AU,MATCH(D471,'卡片raw data'!$F:$F,)),0)+IF(OR(AND(L471="party卡",P471&lt;=1),AND(P471&lt;=4,L471&lt;&gt;"party卡",P471&gt;=3)),INDEX('卡片raw data'!AV:AV,MATCH(D471,'卡片raw data'!$F:$F,)),0)+IF(OR(P471=5,AND(L471="party卡",P471&gt;=2)),INDEX('卡片raw data'!AW:AW,MATCH(D471,'卡片raw data'!$F:$F,)),0))</f>
        <v>0</v>
      </c>
      <c r="EL471" s="1098">
        <f t="shared" si="674"/>
        <v>0.3</v>
      </c>
      <c r="EM471" s="1098">
        <f t="shared" si="675"/>
        <v>0.3</v>
      </c>
      <c r="EN471" s="1097">
        <f t="shared" si="676"/>
        <v>0</v>
      </c>
      <c r="EO471" s="1097">
        <f t="shared" si="677"/>
        <v>0</v>
      </c>
      <c r="EP471" s="421">
        <f t="shared" si="678"/>
        <v>0</v>
      </c>
      <c r="EQ471" s="445">
        <f t="shared" si="679"/>
        <v>0</v>
      </c>
      <c r="ER471" s="424">
        <f t="shared" si="680"/>
        <v>0</v>
      </c>
      <c r="ES471" s="420">
        <f t="shared" si="681"/>
        <v>0</v>
      </c>
      <c r="ET471" s="446">
        <f t="shared" si="599"/>
        <v>0</v>
      </c>
    </row>
    <row r="472" spans="2:150" ht="16.5" customHeight="1">
      <c r="B472" s="448" t="str">
        <f>INDEX('卡片raw data'!B:B,MATCH($D472,'卡片raw data'!$F:$F,))</f>
        <v>jb爱</v>
      </c>
      <c r="C472" s="449" t="s">
        <v>2786</v>
      </c>
      <c r="D472" s="408">
        <v>469</v>
      </c>
      <c r="E472" s="477">
        <v>202052001</v>
      </c>
      <c r="F472" s="409" t="str">
        <f>INDEX('卡片raw data'!C:C,MATCH($D472,'卡片raw data'!$F:$F,))</f>
        <v>SR</v>
      </c>
      <c r="G472" s="1094" t="s">
        <v>2787</v>
      </c>
      <c r="H472" s="411">
        <f>IFERROR(INDEX(绊状态确认!C:C,MATCH($G472,绊状态确认!$B:$B,)),"")</f>
        <v>205</v>
      </c>
      <c r="I472" s="450" t="str">
        <f>IFERROR(INDEX(绊状态确认!D:D,MATCH($G472,绊状态确认!$B:$B,)),"")</f>
        <v>虹</v>
      </c>
      <c r="J472" s="450" t="str">
        <f>IFERROR(INDEX(绊状态确认!E:E,MATCH($G472,绊状态确认!$B:$B,)),"")</f>
        <v>2年级</v>
      </c>
      <c r="K472" s="451" t="str">
        <f>IFERROR(INDEX(绊状态确认!F:F,MATCH($G472,绊状态确认!$B:$B,)),"")</f>
        <v>Diver Diva</v>
      </c>
      <c r="L472" s="414" t="str">
        <f>INDEX('卡片raw data'!E:E,MATCH($D472,'卡片raw data'!$F:$F,))</f>
        <v>卡池卡</v>
      </c>
      <c r="M472" s="478">
        <v>44346</v>
      </c>
      <c r="N472" s="479">
        <v>40.5</v>
      </c>
      <c r="O472" s="410" t="str">
        <f>INDEX('卡片raw data'!D:D,MATCH($D472,'卡片raw data'!$F:$F,))</f>
        <v>sp</v>
      </c>
      <c r="P472" s="1126">
        <v>5</v>
      </c>
      <c r="Q472" s="418">
        <f t="shared" si="600"/>
        <v>29246.854930625141</v>
      </c>
      <c r="R472" s="419">
        <f t="shared" si="601"/>
        <v>0.34</v>
      </c>
      <c r="S472" s="420">
        <f t="shared" si="602"/>
        <v>17546.881454276794</v>
      </c>
      <c r="T472" s="421">
        <f t="shared" si="603"/>
        <v>0.877</v>
      </c>
      <c r="U472" s="422">
        <f t="shared" si="604"/>
        <v>60.283463042491427</v>
      </c>
      <c r="V472" s="423">
        <f t="shared" si="605"/>
        <v>32520.466038551309</v>
      </c>
      <c r="W472" s="424">
        <f t="shared" si="606"/>
        <v>4507.7214871259994</v>
      </c>
      <c r="X472" s="419">
        <f t="shared" si="607"/>
        <v>5.1999999999999998E-2</v>
      </c>
      <c r="Y472" s="420">
        <f t="shared" si="608"/>
        <v>5073.6111079261673</v>
      </c>
      <c r="Z472" s="425">
        <f t="shared" si="609"/>
        <v>60.283463042491427</v>
      </c>
      <c r="AA472" s="426">
        <f t="shared" si="610"/>
        <v>9581.3325950521667</v>
      </c>
      <c r="AB472" s="424">
        <f t="shared" si="611"/>
        <v>4507.7214871259994</v>
      </c>
      <c r="AC472" s="427">
        <f t="shared" si="612"/>
        <v>5.1999999999999998E-2</v>
      </c>
      <c r="AD472" s="428">
        <f t="shared" si="613"/>
        <v>-1.9908281250000003E-2</v>
      </c>
      <c r="AE472" s="516">
        <f t="shared" si="614"/>
        <v>41.311625724637679</v>
      </c>
      <c r="AF472" s="1130">
        <f t="shared" si="615"/>
        <v>0</v>
      </c>
      <c r="AG472" s="420">
        <f t="shared" si="616"/>
        <v>0</v>
      </c>
      <c r="AH472" s="420">
        <f t="shared" si="617"/>
        <v>0</v>
      </c>
      <c r="AI472" s="1097">
        <f t="shared" si="618"/>
        <v>0</v>
      </c>
      <c r="AJ472" s="420">
        <f t="shared" si="619"/>
        <v>0</v>
      </c>
      <c r="AK472" s="518">
        <f t="shared" si="620"/>
        <v>0</v>
      </c>
      <c r="AL472" s="1106">
        <f>IF($P472="","N/A",(IF($P472=-1,INDEX('卡片raw data'!S:S,MATCH($D472,'卡片raw data'!$F:$F,)),0)+IF($P472=0,INDEX('卡片raw data'!V:V,MATCH($D472,'卡片raw data'!$F:$F,)),0)+IF($P472=1,INDEX('卡片raw data'!Y:Y,MATCH($D472,'卡片raw data'!$F:$F,)),0)+IF($P472=2,INDEX('卡片raw data'!AB:AB,MATCH($D472,'卡片raw data'!$F:$F,)),0)+IF($P472=3,INDEX('卡片raw data'!AE:AE,MATCH($D472,'卡片raw data'!$F:$F,)),0)+IF($P472=4,INDEX('卡片raw data'!AH:AH,MATCH($D472,'卡片raw data'!$F:$F,)),0)+IF($P472=5,INDEX('卡片raw data'!AK:AK,MATCH($D472,'卡片raw data'!$F:$F,)),0)+INDEX('卡片raw data'!S:S,MATCH($D472,'卡片raw data'!$F:$F,))*(IF($F472="UR",0.04,0.033))*(IF($F472="UR",INDEX(绊状态确认!$S:$S,MATCH($G472,绊状态确认!$B:$B,))/2-40)+IF($F472="SR",INDEX(绊状态确认!$R:$R,MATCH($G472,绊状态确认!$B:$B,))/4-15))+IF($F472="R",INDEX(绊状态确认!$Q:$Q,MATCH($G472,绊状态确认!$B:$B,))/6-40/6)))*(INDEX(绊状态确认!$H:$H,MATCH($G472,绊状态确认!$B:$B,))+INDEX(绊状态确认!J:J,MATCH($G472,绊状态确认!$B:$B,)))</f>
        <v>6384.2792903999989</v>
      </c>
      <c r="AM472" s="1106">
        <f>IF($P472="","N/A",(IF($P472=-1,INDEX('卡片raw data'!T:T,MATCH($D472,'卡片raw data'!$F:$F,)),0)+IF($P472=0,INDEX('卡片raw data'!W:W,MATCH($D472,'卡片raw data'!$F:$F,)),0)+IF($P472=1,INDEX('卡片raw data'!Z:Z,MATCH($D472,'卡片raw data'!$F:$F,)),0)+IF($P472=2,INDEX('卡片raw data'!AC:AC,MATCH($D472,'卡片raw data'!$F:$F,)),0)+IF($P472=3,INDEX('卡片raw data'!AF:AF,MATCH($D472,'卡片raw data'!$F:$F,)),0)+IF($P472=4,INDEX('卡片raw data'!AI:AI,MATCH($D472,'卡片raw data'!$F:$F,)),0)+IF($P472=5,INDEX('卡片raw data'!AL:AL,MATCH($D472,'卡片raw data'!$F:$F,)),0)+INDEX('卡片raw data'!T:T,MATCH($D472,'卡片raw data'!$F:$F,))*(IF($F472="UR",0.04,0.033))*(IF($F472="UR",INDEX(绊状态确认!$S:$S,MATCH($G472,绊状态确认!$B:$B,))/2-40)+IF($F472="SR",INDEX(绊状态确认!$R:$R,MATCH($G472,绊状态确认!$B:$B,))/4-15))+IF($F472="R",INDEX(绊状态确认!$Q:$Q,MATCH($G472,绊状态确认!$B:$B,))/6-40/6)))*(INDEX(绊状态确认!$H:$H,MATCH($G472,绊状态确认!$B:$B,))+INDEX(绊状态确认!K:K,MATCH($G472,绊状态确认!$B:$B,)))</f>
        <v>7294.8152447999992</v>
      </c>
      <c r="AN472" s="1106">
        <f>IF($P472="","N/A",(IF($P472=-1,INDEX('卡片raw data'!U:U,MATCH($D472,'卡片raw data'!$F:$F,)),0)+IF($P472=0,INDEX('卡片raw data'!X:X,MATCH($D472,'卡片raw data'!$F:$F,)),0)+IF($P472=1,INDEX('卡片raw data'!AA:AA,MATCH($D472,'卡片raw data'!$F:$F,)),0)+IF($P472=2,INDEX('卡片raw data'!AD:AD,MATCH($D472,'卡片raw data'!$F:$F,)),0)+IF($P472=3,INDEX('卡片raw data'!AG:AG,MATCH($D472,'卡片raw data'!$F:$F,)),0)+IF($P472=4,INDEX('卡片raw data'!AJ:AJ,MATCH($D472,'卡片raw data'!$F:$F,)),0)+IF($P472=5,INDEX('卡片raw data'!AM:AM,MATCH($D472,'卡片raw data'!$F:$F,)),0)+INDEX('卡片raw data'!U:U,MATCH($D472,'卡片raw data'!$F:$F,))*(IF($F472="UR",0.04,0.033))*(IF($F472="UR",INDEX(绊状态确认!$S:$S,MATCH($G472,绊状态确认!$B:$B,))/2-40)+IF($F472="SR",INDEX(绊状态确认!$R:$R,MATCH($G472,绊状态确认!$B:$B,))/4-15))+IF($F472="R",INDEX(绊状态确认!$Q:$Q,MATCH($G472,绊状态确认!$B:$B,))/6-40/6)))*(INDEX(绊状态确认!$H:$H,MATCH($G472,绊状态确认!$B:$B,))+INDEX(绊状态确认!L:L,MATCH($G472,绊状态确认!$B:$B,)))</f>
        <v>9121.7191583999993</v>
      </c>
      <c r="AO472" s="1107">
        <f t="shared" si="621"/>
        <v>1</v>
      </c>
      <c r="AP472" s="1131">
        <f>1+(INDEX(绊状态确认!$T:$T,MATCH($G472,绊状态确认!$B:$B,))+0.2)*$AO472</f>
        <v>1.3</v>
      </c>
      <c r="AQ472" s="1108">
        <f t="shared" si="622"/>
        <v>20008.733137299998</v>
      </c>
      <c r="AR472" s="1097">
        <f>(AM472*(1+$EX$9)+$EX$35)*(1+(INDEX(绊状态确认!$T:$T,MATCH($G472,绊状态确认!$B:$B,))+0.2)*AO472)*IF(J472=$FF$17,1+$FE$17,1)*IF(I472=$FF$14,1+$FE$14,1)</f>
        <v>12661.422809151998</v>
      </c>
      <c r="AS472" s="1097">
        <f>(AN472*(1+$EX$10)+$EX$36)*(1+(INDEX(绊状态确认!$T:$T,MATCH($G472,绊状态确认!$B:$B,))+0.2)*AO472)*IF(J472=$FF$17,1+$FE$17,1)*IF(I472=$FF$14,1+$FE$14,1)</f>
        <v>17692.970141808</v>
      </c>
      <c r="AT472" s="1093">
        <f>IF(AND(INDEX('卡片raw data'!AK:AK,MATCH($D472,'卡片raw data'!$F:$F,))&lt;INDEX('卡片raw data'!AM:AM,MATCH($D472,'卡片raw data'!$F:$F,)),INDEX('卡片raw data'!AL:AL,MATCH($D472,'卡片raw data'!$F:$F,))&lt;INDEX('卡片raw data'!AM:AM,MATCH($D472,'卡片raw data'!$F:$F,))),1,0)</f>
        <v>1</v>
      </c>
      <c r="AU472" s="1098">
        <f>MIN(AT472*0.15+AS472*0.00003+INDEX(绊状态确认!M:M,MATCH($G472,绊状态确认!$B:$B,)),1)</f>
        <v>0.71078910425424002</v>
      </c>
      <c r="AV472" s="1109">
        <f>(INDEX(绊状态确认!$N:$N,MATCH($G472,绊状态确认!$B:$B,))+1.5)*$EW$21</f>
        <v>2.6599999999999997</v>
      </c>
      <c r="AW472" s="1101">
        <f t="shared" si="623"/>
        <v>22652.466776832473</v>
      </c>
      <c r="AX472" s="1097">
        <f t="shared" si="624"/>
        <v>1085.702990621174</v>
      </c>
      <c r="AY472" s="1110">
        <f t="shared" si="625"/>
        <v>23738.169767453648</v>
      </c>
      <c r="AZ472" s="429">
        <f t="shared" si="626"/>
        <v>15049.344616279997</v>
      </c>
      <c r="BA472" s="431">
        <f t="shared" si="627"/>
        <v>18059.213539535995</v>
      </c>
      <c r="BB472" s="1097">
        <f>(AM472*(1+$FB$9)+$FB$35)*(1+(INDEX(绊状态确认!$T:$T,MATCH($G472,绊状态确认!$B:$B,))+0.2)*AO472)*IF(J472=$FF$17,1+$FE$17,1)*IF(I472=$FF$14,1+$FE$14,1)*(1+$FE$15)</f>
        <v>12661.422809151998</v>
      </c>
      <c r="BC472" s="1097">
        <f>(AN472*(1+$FB$10)+$FB$36)*(1+(INDEX(绊状态确认!$T:$T,MATCH($G472,绊状态确认!$B:$B,))+0.2)*AO472)*IF(J472=$FF$17,1+$FE$17,1)*IF(I472=$FF$14,1+$FE$14,1)*(1+$FE$15)</f>
        <v>17692.970141808</v>
      </c>
      <c r="BD472" s="1104">
        <f>MIN(AT472*0.15+BC472*0.00003+INDEX(绊状态确认!M:M,MATCH($G472,绊状态确认!$B:$B,)),1)</f>
        <v>0.71078910425424002</v>
      </c>
      <c r="BE472" s="432">
        <f>(INDEX(绊状态确认!$N:$N,MATCH($G472,绊状态确认!$B:$B,))+1.5)</f>
        <v>1.9</v>
      </c>
      <c r="BF472" s="1139">
        <f t="array" ref="BF472">SUMPRODUCT(IF(AZ472*AP472*$FI$16:$FI$23*$FA$22&gt;=$FI$24,$FI$24,AZ472*AP472*$FI$16:$FI$23*$FA$22),$FJ$16:$FJ$23)</f>
        <v>29933.146441780918</v>
      </c>
      <c r="BG472" s="1125">
        <f t="array" ref="BG472">SUMPRODUCT(IF(BE472*AZ472*AP472*$FI$16:$FI$23*$FA$22&gt;=$FI$24,$FI$24,BE472*AZ472*AP472*$FI$16:$FI$23*$FA$22),$FJ$16:$FJ$23)</f>
        <v>54800.162390189478</v>
      </c>
      <c r="BH472" s="1110">
        <f t="shared" si="628"/>
        <v>15869.450144408713</v>
      </c>
      <c r="BI472" s="1111">
        <f>IF(O472="vo",$EW$26/$EW$24*0.05,0)+IF(O472="sk",-$EW$26/$EW$24*(0.05-INDEX(绊状态确认!W:W,MATCH($G472,绊状态确认!$B:$B,)))+0.05*$EW$28,0)+IF(O472="sp",0.05*$EW$32*$EW$30*(1-$EW$33)-(0.05-INDEX(绊状态确认!V:V,MATCH($G472,绊状态确认!$B:$B,)))*$EW$28,0)+IF(O472="gd",-(0.05-INDEX(绊状态确认!X:X,MATCH($G472,绊状态确认!$B:$B,)))*$EW$32*$EW$30*(1-$EW$33),0)</f>
        <v>19.999999999999886</v>
      </c>
      <c r="BJ472" s="420">
        <f>IF(O472="vo",0.05*(1-$FI$26)*$FA$24,0)+IF(O472="sk",-(0.05-INDEX(绊状态确认!W:W,MATCH($G472,绊状态确认!$B:$B,)))*(1-$FI$26)*$FA$24+0.05*$FA$26,0)+IF(O472="sp",0.05*$FA$32*$FA$27*(1-$FA$33)/$FA$30+0.05*$FA$29/$FA$69*$FA$27*(1-$FA$33)-(0.05-INDEX(绊状态确认!V:V,MATCH($G472,绊状态确认!$B:$B,)))*$FA$26,0)+IF(O472="gd",-(0.05-INDEX(绊状态确认!X:X,MATCH($G472,绊状态确认!$B:$B,)))*$FA$32*$FA$27*(1-$FA$33)/$FA$30-(0.05-INDEX(绊状态确认!X:X,MATCH($G472,绊状态确认!$B:$B,)))*$FA$29/$FA$69*$FA$27*(1-$FA$33),0)</f>
        <v>545.83333333333326</v>
      </c>
      <c r="BK472" s="1110">
        <f>IF(O472="vo",$EW$26/$EW$24*0.05+$EW$26*(-HP($EW$62,$EW$65,$EW$64)+HP($EW$62,$EW$65,(1.05-INDEX(绊状态确认!U:U,MATCH($G472,绊状态确认!$B:$B,)))*$EW$64)),0)+IF(O472="sk",-$EW$26/$EW$24*(0.05-INDEX(绊状态确认!W:W,MATCH($G472,绊状态确认!$B:$B,)))+0.05*$EW$29,0)+IF(O472="sp",0.05*$EW$32*$EW$30*(1-$EW$33)-(0.05-INDEX(绊状态确认!V:V,MATCH($G472,绊状态确认!$B:$B,)))*$EW$29,0)+IF(O472="gd",-(0.05-INDEX(绊状态确认!X:X,MATCH($G472,绊状态确认!$B:$B,)))*$EW$32*$EW$30*(1-$EW$33)+$EW$26*(-HP($EW$62,$EW$65,$EW$64)+HP($EW$62,$EW$65,0.95*$EW$64)),0)</f>
        <v>-1780.0000000000005</v>
      </c>
      <c r="BL472" s="1111">
        <f t="shared" si="629"/>
        <v>-1083.3333333333333</v>
      </c>
      <c r="BM472" s="1110">
        <f t="shared" si="630"/>
        <v>-830.55555555555543</v>
      </c>
      <c r="BN472" s="1113">
        <f t="shared" si="631"/>
        <v>3</v>
      </c>
      <c r="BO472" s="1108">
        <f t="shared" si="632"/>
        <v>4507.7214871259994</v>
      </c>
      <c r="BP472" s="1100">
        <f t="shared" si="633"/>
        <v>221.34103209030098</v>
      </c>
      <c r="BQ472" s="1113" t="s">
        <v>133</v>
      </c>
      <c r="BR472" s="1124" t="s">
        <v>171</v>
      </c>
      <c r="BS472" s="421">
        <f>IF($P472="","N/A",IF($P472=-1,INDEX('卡片raw data'!AX:AX,MATCH($D472,'卡片raw data'!$F:$F,)),0)+IF($L472="party卡",IF($P472=5,INDEX('卡片raw data'!BD:BD,MATCH($D472,'卡片raw data'!$F:$F,)),IF($P472&gt;=3,INDEX('卡片raw data'!BC:BC,MATCH($D472,'卡片raw data'!$F:$F,)),INDEX('卡片raw data'!BB:BB,MATCH($D472,'卡片raw data'!$F:$F,)))),IF(OR(AND($F472="UR",$P472=0),AND($F472="SR",$P472&gt;=0,$P472&lt;=2),AND($F472="R",$P472&gt;=0,$P472&lt;4)),INDEX('卡片raw data'!AZ:AZ,MATCH($D472,'卡片raw data'!$F:$F,)),0)+IF(OR(AND($F472="UR",$P472&gt;=1,$P472&lt;=4),AND($F472="SR",$P472&lt;=4,$P472&gt;=3),AND($F472="R",$P472=4)),INDEX('卡片raw data'!BA:BA,MATCH($D472,'卡片raw data'!$F:$F,)),0)+IF($P472=5,INDEX('卡片raw data'!BB:BB,MATCH($D472,'卡片raw data'!$F:$F,)),0)))</f>
        <v>3.2000000000000001E-2</v>
      </c>
      <c r="BT472" s="424">
        <f t="shared" si="634"/>
        <v>0</v>
      </c>
      <c r="BU472" s="420">
        <f t="shared" si="635"/>
        <v>0</v>
      </c>
      <c r="BV472" s="420">
        <f t="shared" si="636"/>
        <v>0</v>
      </c>
      <c r="BW472" s="436">
        <f t="shared" si="637"/>
        <v>1.498285714285714</v>
      </c>
      <c r="BX472" s="423">
        <f t="shared" si="638"/>
        <v>117.00848980993118</v>
      </c>
      <c r="BY472" s="433">
        <f t="shared" si="639"/>
        <v>117.00848980993118</v>
      </c>
      <c r="BZ472" s="1113" t="s">
        <v>569</v>
      </c>
      <c r="CA472" s="450"/>
      <c r="CB472" s="421">
        <f>IF($P472="","N/A",IF($P472=-1,INDEX('卡片raw data'!BE:BE,MATCH($D472,'卡片raw data'!$F:$F,)),0)+IF($L472="party卡",IF($P472=5,INDEX('卡片raw data'!BK:BK,MATCH($D472,'卡片raw data'!$F:$F,)),IF($P472&gt;=3,INDEX('卡片raw data'!BJ:BJ,MATCH($D472,'卡片raw data'!$F:$F,)),INDEX('卡片raw data'!BI:BI,MATCH($D472,'卡片raw data'!$F:$F,)))),IF(OR(AND($F472="UR",$P472=0),AND($F472="SR",$P472&gt;=0,$P472&lt;=2),AND($F472="R",$P472&gt;=0,$P472&lt;4)),INDEX('卡片raw data'!BG:BG,MATCH($D472,'卡片raw data'!$F:$F,)),0)+IF(OR(AND($F472="UR",$P472&gt;=1,$P472&lt;=4),AND($F472="SR",$P472&lt;=4,$P472&gt;=3),AND($F472="R",$P472=4)),INDEX('卡片raw data'!BH:BH,MATCH($D472,'卡片raw data'!$F:$F,)),0)+IF($P472=5,INDEX('卡片raw data'!BI:BI,MATCH($D472,'卡片raw data'!$F:$F,)),0)))</f>
        <v>0</v>
      </c>
      <c r="CC472" s="424">
        <f t="shared" si="640"/>
        <v>0</v>
      </c>
      <c r="CD472" s="420">
        <f>IF(BZ472="ap",CB472*(1-$FI$26)*$FB$5/$FB$11*(+IF(CA472="全员",$FA$24,0)+IF(CA472="同作战",$FA$24,0)+IF(CA472="仲间",$FA$24*2/3,0)+IF(CA472="同属性",$FA$24*$FA$37/3,0)+IF(CA472="同年级",$FA$24*$FA$40/3,0)+IF(CA472="同学校",$FA$24*$FA$43/3,0)+IF(CA472="同小队",$FA$24*$FA$46/3,0)+IF(CA472="同type",$FA$24*INDEX($FB$49:$FB$52,MATCH(X472,$FA$49:$FA$52,))/3,0)+IF(CA472="自身",#REF!/3,0)),0)+IF(BZ472="te",CB472*(1-$FI$27)*($FA$20-1)*$FB$7/$FB$13*(+IF(CA472="全员",$FA$19*$FA$24/(1+($FA$20-1)*$FA$19),0)+IF(CA472="同作战",$FA$19*$FA$24/(1+($FA$20-1)*$FA$19),0)+IF(CA472="仲间",$FA$19*$FA$24*2/3/(1+($FA$20-1)*$FA$19),0)+IF(CA472="同属性",$FA$19*$FA$24*$FA$37/3/(1+($FA$20-1)*$FA$19),0)+IF(CA472="同年级",$FA$19*$FA$24*$FA$40/3/(1+($FA$20-1)*$FA$19),0)+IF(CA472="同学校",$FA$19*$FA$24*$FA$43/3/(1+($FA$20-1)*$FA$19),0)+IF(CA472="同小队",$FA$19*$FA$24*$FA$46/3/(1+($FA$20-1)*$FA$19),0)+IF(CA472="同type",$FA$19*$FA$24*INDEX($FB$49:$FB$52,MATCH(X472,$FA$49:$FA$52,))/3/(1+($FA$20-1)*$FA$19),0)+IF(CA472="自身",$FA$19*#REF!/3/(1+(BH472-1)*$BD472),0)),0)</f>
        <v>0</v>
      </c>
      <c r="CE472" s="420">
        <f t="shared" si="641"/>
        <v>0</v>
      </c>
      <c r="CF472" s="436">
        <f t="shared" si="642"/>
        <v>0</v>
      </c>
      <c r="CG472" s="423">
        <f t="shared" si="643"/>
        <v>0</v>
      </c>
      <c r="CH472" s="433">
        <f t="shared" si="644"/>
        <v>0</v>
      </c>
      <c r="CI472" s="1113" t="s">
        <v>160</v>
      </c>
      <c r="CJ472" s="1114">
        <v>1</v>
      </c>
      <c r="CK472" s="1115" t="s">
        <v>2305</v>
      </c>
      <c r="CL472" s="1115" t="s">
        <v>1943</v>
      </c>
      <c r="CM472" s="1119">
        <v>0.1</v>
      </c>
      <c r="CN472" s="1115"/>
      <c r="CO472" s="1115">
        <v>10</v>
      </c>
      <c r="CP472" s="1116">
        <f t="shared" si="645"/>
        <v>45.219367175542857</v>
      </c>
      <c r="CQ472" s="1116">
        <f t="shared" si="646"/>
        <v>70.341237828622226</v>
      </c>
      <c r="CR472" s="1117">
        <f t="shared" si="647"/>
        <v>45.219367175542857</v>
      </c>
      <c r="CS472" s="442">
        <f t="shared" si="648"/>
        <v>0</v>
      </c>
      <c r="CT472" s="432">
        <f t="shared" si="649"/>
        <v>0</v>
      </c>
      <c r="CU472" s="1101">
        <f t="shared" si="650"/>
        <v>0</v>
      </c>
      <c r="CV472" s="1108">
        <f t="shared" si="682"/>
        <v>0</v>
      </c>
      <c r="CW472" s="420">
        <f t="shared" si="651"/>
        <v>0</v>
      </c>
      <c r="CX472" s="420">
        <f t="shared" si="652"/>
        <v>3870.8996274950623</v>
      </c>
      <c r="CY472" s="433">
        <f t="shared" si="653"/>
        <v>3870.8996274950623</v>
      </c>
      <c r="CZ472" s="437"/>
      <c r="DA472" s="438"/>
      <c r="DB472" s="439" t="s">
        <v>569</v>
      </c>
      <c r="DC472" s="439"/>
      <c r="DD472" s="443"/>
      <c r="DE472" s="411"/>
      <c r="DF472" s="411"/>
      <c r="DG472" s="1116">
        <f t="shared" si="654"/>
        <v>0</v>
      </c>
      <c r="DH472" s="1116">
        <f t="shared" si="655"/>
        <v>0</v>
      </c>
      <c r="DI472" s="1116">
        <f t="shared" si="656"/>
        <v>0</v>
      </c>
      <c r="DJ472" s="442">
        <f t="shared" si="657"/>
        <v>0</v>
      </c>
      <c r="DK472" s="432">
        <f t="shared" si="658"/>
        <v>0</v>
      </c>
      <c r="DL472" s="424">
        <f t="shared" si="659"/>
        <v>0</v>
      </c>
      <c r="DM472" s="420">
        <f t="shared" si="660"/>
        <v>0</v>
      </c>
      <c r="DN472" s="420">
        <f t="shared" si="661"/>
        <v>0</v>
      </c>
      <c r="DO472" s="420">
        <f t="shared" si="662"/>
        <v>0</v>
      </c>
      <c r="DP472" s="433">
        <f t="shared" si="663"/>
        <v>0</v>
      </c>
      <c r="DQ472" s="1113" t="s">
        <v>549</v>
      </c>
      <c r="DR472" s="1120">
        <f t="shared" si="664"/>
        <v>0.3</v>
      </c>
      <c r="DS472" s="1124"/>
      <c r="DT472" s="1093" t="s">
        <v>179</v>
      </c>
      <c r="DU472" s="1093"/>
      <c r="DV472" s="1098">
        <f>IF($P472="","N/A",IF(P472=-1,INDEX('卡片raw data'!AN:AN,MATCH(D472,'卡片raw data'!$F:$F,)),0)+IF(AND(L472&lt;&gt;"party卡",P472&lt;=2,P472&gt;=0),INDEX('卡片raw data'!AP:AP,MATCH(D472,'卡片raw data'!$F:$F,)),0)+IF(OR(AND(L472="party卡",P472&lt;=1),AND(P472&lt;=4,L472&lt;&gt;"party卡",P472&gt;=3)),INDEX('卡片raw data'!AQ:AQ,MATCH(D472,'卡片raw data'!$F:$F,)),0)+IF(OR(P472=5,AND(L472="party卡",P472&gt;=2)),INDEX('卡片raw data'!AR:AR,MATCH(D472,'卡片raw data'!$F:$F,)),0))</f>
        <v>7.0000000000000007E-2</v>
      </c>
      <c r="DW472" s="1098">
        <f t="shared" si="665"/>
        <v>0.3</v>
      </c>
      <c r="DX472" s="1098">
        <f t="shared" si="666"/>
        <v>0.3</v>
      </c>
      <c r="DY472" s="1098">
        <f t="shared" si="667"/>
        <v>7.0000000000000001E-3</v>
      </c>
      <c r="DZ472" s="1098">
        <f t="shared" si="668"/>
        <v>6.9632499999999998E-3</v>
      </c>
      <c r="EA472" s="421">
        <f t="shared" si="669"/>
        <v>0</v>
      </c>
      <c r="EB472" s="445">
        <f t="shared" si="670"/>
        <v>42.663074999999999</v>
      </c>
      <c r="EC472" s="424">
        <f t="shared" si="671"/>
        <v>3150</v>
      </c>
      <c r="ED472" s="420">
        <f t="shared" si="672"/>
        <v>1740.8125</v>
      </c>
      <c r="EE472" s="433">
        <f t="shared" si="598"/>
        <v>3150</v>
      </c>
      <c r="EF472" s="1115" t="s">
        <v>569</v>
      </c>
      <c r="EG472" s="1120">
        <f t="shared" si="673"/>
        <v>0.3</v>
      </c>
      <c r="EH472" s="450"/>
      <c r="EI472" s="1093"/>
      <c r="EJ472" s="1093"/>
      <c r="EK472" s="420">
        <f>IF($P472="","N/A",IF(P472=-1,INDEX('卡片raw data'!AS:AS,MATCH(D472,'卡片raw data'!$F:$F,)),0)+IF(AND(L472&lt;&gt;"party卡",P472&lt;=2,P472&gt;=0),INDEX('卡片raw data'!AU:AU,MATCH(D472,'卡片raw data'!$F:$F,)),0)+IF(OR(AND(L472="party卡",P472&lt;=1),AND(P472&lt;=4,L472&lt;&gt;"party卡",P472&gt;=3)),INDEX('卡片raw data'!AV:AV,MATCH(D472,'卡片raw data'!$F:$F,)),0)+IF(OR(P472=5,AND(L472="party卡",P472&gt;=2)),INDEX('卡片raw data'!AW:AW,MATCH(D472,'卡片raw data'!$F:$F,)),0))</f>
        <v>0</v>
      </c>
      <c r="EL472" s="1098">
        <f t="shared" si="674"/>
        <v>0.3</v>
      </c>
      <c r="EM472" s="1098">
        <f t="shared" si="675"/>
        <v>0.3</v>
      </c>
      <c r="EN472" s="1097">
        <f t="shared" si="676"/>
        <v>0</v>
      </c>
      <c r="EO472" s="1097">
        <f t="shared" si="677"/>
        <v>0</v>
      </c>
      <c r="EP472" s="421">
        <f t="shared" si="678"/>
        <v>0</v>
      </c>
      <c r="EQ472" s="445">
        <f t="shared" si="679"/>
        <v>0</v>
      </c>
      <c r="ER472" s="424">
        <f t="shared" si="680"/>
        <v>0</v>
      </c>
      <c r="ES472" s="420">
        <f t="shared" si="681"/>
        <v>0</v>
      </c>
      <c r="ET472" s="446">
        <f t="shared" si="599"/>
        <v>0</v>
      </c>
    </row>
    <row r="473" spans="2:150" ht="16.5" customHeight="1">
      <c r="B473" s="448" t="str">
        <f>INDEX('卡片raw data'!B:B,MATCH($D473,'卡片raw data'!$F:$F,))</f>
        <v>梅雨露</v>
      </c>
      <c r="C473" s="449" t="s">
        <v>2793</v>
      </c>
      <c r="D473" s="408">
        <v>470</v>
      </c>
      <c r="E473" s="477">
        <v>401093004</v>
      </c>
      <c r="F473" s="409" t="str">
        <f>INDEX('卡片raw data'!C:C,MATCH($D473,'卡片raw data'!$F:$F,))</f>
        <v>UR</v>
      </c>
      <c r="G473" s="1094" t="s">
        <v>2791</v>
      </c>
      <c r="H473" s="411">
        <f>IFERROR(INDEX(绊状态确认!C:C,MATCH($G473,绊状态确认!$B:$B,)),"")</f>
        <v>109</v>
      </c>
      <c r="I473" s="450" t="str">
        <f>IFERROR(INDEX(绊状态确认!D:D,MATCH($G473,绊状态确认!$B:$B,)),"")</f>
        <v>水</v>
      </c>
      <c r="J473" s="450" t="str">
        <f>IFERROR(INDEX(绊状态确认!E:E,MATCH($G473,绊状态确认!$B:$B,)),"")</f>
        <v>1年级</v>
      </c>
      <c r="K473" s="451" t="str">
        <f>IFERROR(INDEX(绊状态确认!F:F,MATCH($G473,绊状态确认!$B:$B,)),"")</f>
        <v>CYaRon!</v>
      </c>
      <c r="L473" s="414" t="str">
        <f>INDEX('卡片raw data'!E:E,MATCH($D473,'卡片raw data'!$F:$F,))</f>
        <v>卡池卡</v>
      </c>
      <c r="M473" s="478">
        <v>44351</v>
      </c>
      <c r="N473" s="479">
        <v>41</v>
      </c>
      <c r="O473" s="410" t="str">
        <f>INDEX('卡片raw data'!D:D,MATCH($D473,'卡片raw data'!$F:$F,))</f>
        <v>sk</v>
      </c>
      <c r="P473" s="1126">
        <v>5</v>
      </c>
      <c r="Q473" s="418">
        <f t="shared" si="600"/>
        <v>67806.329156319072</v>
      </c>
      <c r="R473" s="419">
        <f t="shared" si="601"/>
        <v>0.78800000000000003</v>
      </c>
      <c r="S473" s="420">
        <f t="shared" si="602"/>
        <v>20950.93346705224</v>
      </c>
      <c r="T473" s="421">
        <f t="shared" si="603"/>
        <v>1.0469999999999999</v>
      </c>
      <c r="U473" s="422">
        <f t="shared" si="604"/>
        <v>11.607273845142856</v>
      </c>
      <c r="V473" s="423">
        <f t="shared" si="605"/>
        <v>70731.560709380123</v>
      </c>
      <c r="W473" s="424">
        <f t="shared" si="606"/>
        <v>5809.9521389623987</v>
      </c>
      <c r="X473" s="419">
        <f t="shared" si="607"/>
        <v>6.7000000000000004E-2</v>
      </c>
      <c r="Y473" s="420">
        <f t="shared" si="608"/>
        <v>925.23155306105582</v>
      </c>
      <c r="Z473" s="425">
        <f t="shared" si="609"/>
        <v>11.607273845142856</v>
      </c>
      <c r="AA473" s="426">
        <f t="shared" si="610"/>
        <v>6735.1836920234546</v>
      </c>
      <c r="AB473" s="424">
        <f t="shared" si="611"/>
        <v>9202.0431252867456</v>
      </c>
      <c r="AC473" s="427">
        <f t="shared" si="612"/>
        <v>0.106</v>
      </c>
      <c r="AD473" s="428">
        <f t="shared" si="613"/>
        <v>2.1769318181818181E-2</v>
      </c>
      <c r="AE473" s="516">
        <f t="shared" si="614"/>
        <v>11.953757704745847</v>
      </c>
      <c r="AF473" s="1130">
        <f t="shared" si="615"/>
        <v>0</v>
      </c>
      <c r="AG473" s="420">
        <f t="shared" si="616"/>
        <v>0</v>
      </c>
      <c r="AH473" s="420">
        <f t="shared" si="617"/>
        <v>0</v>
      </c>
      <c r="AI473" s="1097">
        <f t="shared" si="618"/>
        <v>0</v>
      </c>
      <c r="AJ473" s="420">
        <f t="shared" si="619"/>
        <v>0</v>
      </c>
      <c r="AK473" s="518">
        <f t="shared" si="620"/>
        <v>0</v>
      </c>
      <c r="AL473" s="429">
        <f>IF($P473="","N/A",(IF($P473=-1,INDEX('卡片raw data'!S:S,MATCH($D473,'卡片raw data'!$F:$F,)),0)+IF($P473=0,INDEX('卡片raw data'!V:V,MATCH($D473,'卡片raw data'!$F:$F,)),0)+IF($P473=1,INDEX('卡片raw data'!Y:Y,MATCH($D473,'卡片raw data'!$F:$F,)),0)+IF($P473=2,INDEX('卡片raw data'!AB:AB,MATCH($D473,'卡片raw data'!$F:$F,)),0)+IF($P473=3,INDEX('卡片raw data'!AE:AE,MATCH($D473,'卡片raw data'!$F:$F,)),0)+IF($P473=4,INDEX('卡片raw data'!AH:AH,MATCH($D473,'卡片raw data'!$F:$F,)),0)+IF($P473=5,INDEX('卡片raw data'!AK:AK,MATCH($D473,'卡片raw data'!$F:$F,)),0)+INDEX('卡片raw data'!S:S,MATCH($D473,'卡片raw data'!$F:$F,))*(IF($F473="UR",0.04,0.033))*(IF($F473="UR",INDEX(绊状态确认!$S:$S,MATCH($G473,绊状态确认!$B:$B,))/2-40)+IF($F473="SR",INDEX(绊状态确认!$R:$R,MATCH($G473,绊状态确认!$B:$B,))/4-15))+IF($F473="R",INDEX(绊状态确认!$Q:$Q,MATCH($G473,绊状态确认!$B:$B,))/6-40/6)))*(INDEX(绊状态确认!$H:$H,MATCH($G473,绊状态确认!$B:$B,))+INDEX(绊状态确认!J:J,MATCH($G473,绊状态确认!$B:$B,)))</f>
        <v>14517.146351999998</v>
      </c>
      <c r="AM473" s="429">
        <f>IF($P473="","N/A",(IF($P473=-1,INDEX('卡片raw data'!T:T,MATCH($D473,'卡片raw data'!$F:$F,)),0)+IF($P473=0,INDEX('卡片raw data'!W:W,MATCH($D473,'卡片raw data'!$F:$F,)),0)+IF($P473=1,INDEX('卡片raw data'!Z:Z,MATCH($D473,'卡片raw data'!$F:$F,)),0)+IF($P473=2,INDEX('卡片raw data'!AC:AC,MATCH($D473,'卡片raw data'!$F:$F,)),0)+IF($P473=3,INDEX('卡片raw data'!AF:AF,MATCH($D473,'卡片raw data'!$F:$F,)),0)+IF($P473=4,INDEX('卡片raw data'!AI:AI,MATCH($D473,'卡片raw data'!$F:$F,)),0)+IF($P473=5,INDEX('卡片raw data'!AL:AL,MATCH($D473,'卡片raw data'!$F:$F,)),0)+INDEX('卡片raw data'!T:T,MATCH($D473,'卡片raw data'!$F:$F,))*(IF($F473="UR",0.04,0.033))*(IF($F473="UR",INDEX(绊状态确认!$S:$S,MATCH($G473,绊状态确认!$B:$B,))/2-40)+IF($F473="SR",INDEX(绊状态确认!$R:$R,MATCH($G473,绊状态确认!$B:$B,))/4-15))+IF($F473="R",INDEX(绊状态确认!$Q:$Q,MATCH($G473,绊状态确认!$B:$B,))/6-40/6)))*(INDEX(绊状态确认!$H:$H,MATCH($G473,绊状态确认!$B:$B,))+INDEX(绊状态确认!K:K,MATCH($G473,绊状态确认!$B:$B,)))</f>
        <v>5955.6451199999992</v>
      </c>
      <c r="AN473" s="429">
        <f>IF($P473="","N/A",(IF($P473=-1,INDEX('卡片raw data'!U:U,MATCH($D473,'卡片raw data'!$F:$F,)),0)+IF($P473=0,INDEX('卡片raw data'!X:X,MATCH($D473,'卡片raw data'!$F:$F,)),0)+IF($P473=1,INDEX('卡片raw data'!AA:AA,MATCH($D473,'卡片raw data'!$F:$F,)),0)+IF($P473=2,INDEX('卡片raw data'!AD:AD,MATCH($D473,'卡片raw data'!$F:$F,)),0)+IF($P473=3,INDEX('卡片raw data'!AG:AG,MATCH($D473,'卡片raw data'!$F:$F,)),0)+IF($P473=4,INDEX('卡片raw data'!AJ:AJ,MATCH($D473,'卡片raw data'!$F:$F,)),0)+IF($P473=5,INDEX('卡片raw data'!AM:AM,MATCH($D473,'卡片raw data'!$F:$F,)),0)+INDEX('卡片raw data'!U:U,MATCH($D473,'卡片raw data'!$F:$F,))*(IF($F473="UR",0.04,0.033))*(IF($F473="UR",INDEX(绊状态确认!$S:$S,MATCH($G473,绊状态确认!$B:$B,))/2-40)+IF($F473="SR",INDEX(绊状态确认!$R:$R,MATCH($G473,绊状态确认!$B:$B,))/4-15))+IF($F473="R",INDEX(绊状态确认!$Q:$Q,MATCH($G473,绊状态确认!$B:$B,))/6-40/6)))*(INDEX(绊状态确认!$H:$H,MATCH($G473,绊状态确认!$B:$B,))+INDEX(绊状态确认!L:L,MATCH($G473,绊状态确认!$B:$B,)))</f>
        <v>16749.899615999999</v>
      </c>
      <c r="AO473" s="430">
        <f t="shared" si="621"/>
        <v>1</v>
      </c>
      <c r="AP473" s="556">
        <f>1+(INDEX(绊状态确认!$T:$T,MATCH($G473,绊状态确认!$B:$B,))+0.2)*$AO473</f>
        <v>1.3</v>
      </c>
      <c r="AQ473" s="431">
        <f t="shared" si="622"/>
        <v>41357.509173999999</v>
      </c>
      <c r="AR473" s="420">
        <f>(AM473*(1+$EX$9)+$EX$35)*(1+(INDEX(绊状态确认!$T:$T,MATCH($G473,绊状态确认!$B:$B,))+0.2)*AO473)*IF(J473=$FF$17,1+$FE$17,1)*IF(I473=$FF$14,1+$FE$14,1)</f>
        <v>10833.4555888</v>
      </c>
      <c r="AS473" s="420">
        <f>(AN473*(1+$EX$10)+$EX$36)*(1+(INDEX(绊状态确认!$T:$T,MATCH($G473,绊状态确认!$B:$B,))+0.2)*AO473)*IF(J473=$FF$17,1+$FE$17,1)*IF(I473=$FF$14,1+$FE$14,1)</f>
        <v>29097.099925919996</v>
      </c>
      <c r="AT473" s="412">
        <f>IF(AND(INDEX('卡片raw data'!AK:AK,MATCH($D473,'卡片raw data'!$F:$F,))&lt;INDEX('卡片raw data'!AM:AM,MATCH($D473,'卡片raw data'!$F:$F,)),INDEX('卡片raw data'!AL:AL,MATCH($D473,'卡片raw data'!$F:$F,))&lt;INDEX('卡片raw data'!AM:AM,MATCH($D473,'卡片raw data'!$F:$F,))),1,0)</f>
        <v>1</v>
      </c>
      <c r="AU473" s="421">
        <f>MIN(AT473*0.15+AS473*0.00003+INDEX(绊状态确认!M:M,MATCH($G473,绊状态确认!$B:$B,)),1)</f>
        <v>1</v>
      </c>
      <c r="AV473" s="432">
        <f>(INDEX(绊状态确认!$N:$N,MATCH($G473,绊状态确认!$B:$B,))+1.5)*$EW$21</f>
        <v>2.6599999999999997</v>
      </c>
      <c r="AW473" s="424">
        <f t="shared" si="623"/>
        <v>57133.834869734812</v>
      </c>
      <c r="AX473" s="420">
        <f t="shared" si="624"/>
        <v>925.23155306105582</v>
      </c>
      <c r="AY473" s="433">
        <f t="shared" si="625"/>
        <v>58059.06642279587</v>
      </c>
      <c r="AZ473" s="429">
        <f t="shared" si="626"/>
        <v>30908.435386399997</v>
      </c>
      <c r="BA473" s="431">
        <f t="shared" si="627"/>
        <v>37090.122463679996</v>
      </c>
      <c r="BB473" s="420">
        <f>(AM473*(1+$FB$9)+$FB$35)*(1+(INDEX(绊状态确认!$T:$T,MATCH($G473,绊状态确认!$B:$B,))+0.2)*AO473)*IF(J473=$FF$17,1+$FE$17,1)*IF(I473=$FF$14,1+$FE$14,1)*(1+$FE$15)</f>
        <v>10833.4555888</v>
      </c>
      <c r="BC473" s="420">
        <f>(AN473*(1+$FB$10)+$FB$36)*(1+(INDEX(绊状态确认!$T:$T,MATCH($G473,绊状态确认!$B:$B,))+0.2)*AO473)*IF(J473=$FF$17,1+$FE$17,1)*IF(I473=$FF$14,1+$FE$14,1)*(1+$FE$15)</f>
        <v>29097.099925919996</v>
      </c>
      <c r="BD473" s="427">
        <f>MIN(AT473*0.15+BC473*0.00003+INDEX(绊状态确认!M:M,MATCH($G473,绊状态确认!$B:$B,)),1)</f>
        <v>1</v>
      </c>
      <c r="BE473" s="432">
        <f>(INDEX(绊状态确认!$N:$N,MATCH($G473,绊状态确认!$B:$B,))+1.5)</f>
        <v>1.9</v>
      </c>
      <c r="BF473" s="645">
        <f t="array" ref="BF473">SUMPRODUCT(IF(AZ473*AP473*$FI$16:$FI$23*$FA$22&gt;=$FI$24,$FI$24,AZ473*AP473*$FI$16:$FI$23*$FA$22),$FJ$16:$FJ$23)</f>
        <v>57295.911981229598</v>
      </c>
      <c r="BG473" s="453">
        <f t="array" ref="BG473">SUMPRODUCT(IF(BE473*AZ473*AP473*$FI$16:$FI$23*$FA$22&gt;=$FI$24,$FI$24,BE473*AZ473*AP473*$FI$16:$FI$23*$FA$22),$FJ$16:$FJ$23)</f>
        <v>60000</v>
      </c>
      <c r="BH473" s="433">
        <f t="shared" si="628"/>
        <v>20000</v>
      </c>
      <c r="BI473" s="434">
        <f>IF(O473="vo",$EW$26/$EW$24*0.05,0)+IF(O473="sk",-$EW$26/$EW$24*(0.05-INDEX(绊状态确认!W:W,MATCH($G473,绊状态确认!$B:$B,)))+0.05*$EW$28,0)+IF(O473="sp",0.05*$EW$32*$EW$30*(1-$EW$33)-(0.05-INDEX(绊状态确认!V:V,MATCH($G473,绊状态确认!$B:$B,)))*$EW$28,0)+IF(O473="gd",-(0.05-INDEX(绊状态确认!X:X,MATCH($G473,绊状态确认!$B:$B,)))*$EW$32*$EW$30*(1-$EW$33),0)</f>
        <v>-6253.6726349699375</v>
      </c>
      <c r="BJ473" s="420">
        <f>IF(O473="vo",0.05*(1-$FI$26)*$FA$24,0)+IF(O473="sk",-(0.05-INDEX(绊状态确认!W:W,MATCH($G473,绊状态确认!$B:$B,)))*(1-$FI$26)*$FA$24+0.05*$FA$26,0)+IF(O473="sp",0.05*$FA$32*$FA$27*(1-$FA$33)/$FA$30+0.05*$FA$29/$FA$69*$FA$27*(1-$FA$33)-(0.05-INDEX(绊状态确认!V:V,MATCH($G473,绊状态确认!$B:$B,)))*$FA$26,0)+IF(O473="gd",-(0.05-INDEX(绊状态确认!X:X,MATCH($G473,绊状态确认!$B:$B,)))*$FA$32*$FA$27*(1-$FA$33)/$FA$30-(0.05-INDEX(绊状态确认!X:X,MATCH($G473,绊状态确认!$B:$B,)))*$FA$29/$FA$69*$FA$27*(1-$FA$33),0)</f>
        <v>20.459096812499922</v>
      </c>
      <c r="BK473" s="433">
        <f>IF(O473="vo",$EW$26/$EW$24*0.05+$EW$26*(-HP($EW$62,$EW$65,$EW$64)+HP($EW$62,$EW$65,(1.05-INDEX(绊状态确认!U:U,MATCH($G473,绊状态确认!$B:$B,)))*$EW$64)),0)+IF(O473="sk",-$EW$26/$EW$24*(0.05-INDEX(绊状态确认!W:W,MATCH($G473,绊状态确认!$B:$B,)))+0.05*$EW$29,0)+IF(O473="sp",0.05*$EW$32*$EW$30*(1-$EW$33)-(0.05-INDEX(绊状态确认!V:V,MATCH($G473,绊状态确认!$B:$B,)))*$EW$29,0)+IF(O473="gd",-(0.05-INDEX(绊状态确认!X:X,MATCH($G473,绊状态确认!$B:$B,)))*$EW$32*$EW$30*(1-$EW$33)+$EW$26*(-HP($EW$62,$EW$65,$EW$64)+HP($EW$62,$EW$65,0.95*$EW$64)),0)</f>
        <v>-4253.6726349699375</v>
      </c>
      <c r="BL473" s="434">
        <f t="shared" si="629"/>
        <v>0</v>
      </c>
      <c r="BM473" s="433">
        <f t="shared" si="630"/>
        <v>0</v>
      </c>
      <c r="BN473" s="437">
        <f t="shared" si="631"/>
        <v>3</v>
      </c>
      <c r="BO473" s="1108">
        <f t="shared" si="632"/>
        <v>4507.7214871259994</v>
      </c>
      <c r="BP473" s="1100">
        <f t="shared" si="633"/>
        <v>221.34103209030098</v>
      </c>
      <c r="BQ473" s="437" t="s">
        <v>132</v>
      </c>
      <c r="BR473" s="450" t="s">
        <v>171</v>
      </c>
      <c r="BS473" s="421">
        <f>IF($P473="","N/A",IF($P473=-1,INDEX('卡片raw data'!AX:AX,MATCH($D473,'卡片raw data'!$F:$F,)),0)+IF($L473="party卡",IF($P473=5,INDEX('卡片raw data'!BD:BD,MATCH($D473,'卡片raw data'!$F:$F,)),IF($P473&gt;=3,INDEX('卡片raw data'!BC:BC,MATCH($D473,'卡片raw data'!$F:$F,)),INDEX('卡片raw data'!BB:BB,MATCH($D473,'卡片raw data'!$F:$F,)))),IF(OR(AND($F473="UR",$P473=0),AND($F473="SR",$P473&gt;=0,$P473&lt;=2),AND($F473="R",$P473&gt;=0,$P473&lt;4)),INDEX('卡片raw data'!AZ:AZ,MATCH($D473,'卡片raw data'!$F:$F,)),0)+IF(OR(AND($F473="UR",$P473&gt;=1,$P473&lt;=4),AND($F473="SR",$P473&lt;=4,$P473&gt;=3),AND($F473="R",$P473=4)),INDEX('卡片raw data'!BA:BA,MATCH($D473,'卡片raw data'!$F:$F,)),0)+IF($P473=5,INDEX('卡片raw data'!BB:BB,MATCH($D473,'卡片raw data'!$F:$F,)),0)))</f>
        <v>5.1999999999999998E-2</v>
      </c>
      <c r="BT473" s="424">
        <f t="shared" si="634"/>
        <v>2604.4613036728001</v>
      </c>
      <c r="BU473" s="420">
        <f t="shared" si="635"/>
        <v>111.90018844565216</v>
      </c>
      <c r="BV473" s="420">
        <f t="shared" si="636"/>
        <v>1302.2306518363998</v>
      </c>
      <c r="BW473" s="436">
        <f t="shared" si="637"/>
        <v>0</v>
      </c>
      <c r="BX473" s="423">
        <f t="shared" si="638"/>
        <v>2604.4613036728001</v>
      </c>
      <c r="BY473" s="433">
        <f t="shared" si="639"/>
        <v>1302.2306518363998</v>
      </c>
      <c r="BZ473" s="1113" t="s">
        <v>569</v>
      </c>
      <c r="CA473" s="450"/>
      <c r="CB473" s="421">
        <f>IF($P473="","N/A",IF($P473=-1,INDEX('卡片raw data'!BE:BE,MATCH($D473,'卡片raw data'!$F:$F,)),0)+IF($L473="party卡",IF($P473=5,INDEX('卡片raw data'!BK:BK,MATCH($D473,'卡片raw data'!$F:$F,)),IF($P473&gt;=3,INDEX('卡片raw data'!BJ:BJ,MATCH($D473,'卡片raw data'!$F:$F,)),INDEX('卡片raw data'!BI:BI,MATCH($D473,'卡片raw data'!$F:$F,)))),IF(OR(AND($F473="UR",$P473=0),AND($F473="SR",$P473&gt;=0,$P473&lt;=2),AND($F473="R",$P473&gt;=0,$P473&lt;4)),INDEX('卡片raw data'!BG:BG,MATCH($D473,'卡片raw data'!$F:$F,)),0)+IF(OR(AND($F473="UR",$P473&gt;=1,$P473&lt;=4),AND($F473="SR",$P473&lt;=4,$P473&gt;=3),AND($F473="R",$P473=4)),INDEX('卡片raw data'!BH:BH,MATCH($D473,'卡片raw data'!$F:$F,)),0)+IF($P473=5,INDEX('卡片raw data'!BI:BI,MATCH($D473,'卡片raw data'!$F:$F,)),0)))</f>
        <v>0</v>
      </c>
      <c r="CC473" s="424">
        <f t="shared" si="640"/>
        <v>0</v>
      </c>
      <c r="CD473" s="420">
        <f>IF(BZ473="ap",CB473*(1-$FI$26)*$FB$5/$FB$11*(+IF(CA473="全员",$FA$24,0)+IF(CA473="同作战",$FA$24,0)+IF(CA473="仲间",$FA$24*2/3,0)+IF(CA473="同属性",$FA$24*$FA$37/3,0)+IF(CA473="同年级",$FA$24*$FA$40/3,0)+IF(CA473="同学校",$FA$24*$FA$43/3,0)+IF(CA473="同小队",$FA$24*$FA$46/3,0)+IF(CA473="同type",$FA$24*INDEX($FB$49:$FB$52,MATCH(X473,$FA$49:$FA$52,))/3,0)+IF(CA473="自身",#REF!/3,0)),0)+IF(BZ473="te",CB473*(1-$FI$27)*($FA$20-1)*$FB$7/$FB$13*(+IF(CA473="全员",$FA$19*$FA$24/(1+($FA$20-1)*$FA$19),0)+IF(CA473="同作战",$FA$19*$FA$24/(1+($FA$20-1)*$FA$19),0)+IF(CA473="仲间",$FA$19*$FA$24*2/3/(1+($FA$20-1)*$FA$19),0)+IF(CA473="同属性",$FA$19*$FA$24*$FA$37/3/(1+($FA$20-1)*$FA$19),0)+IF(CA473="同年级",$FA$19*$FA$24*$FA$40/3/(1+($FA$20-1)*$FA$19),0)+IF(CA473="同学校",$FA$19*$FA$24*$FA$43/3/(1+($FA$20-1)*$FA$19),0)+IF(CA473="同小队",$FA$19*$FA$24*$FA$46/3/(1+($FA$20-1)*$FA$19),0)+IF(CA473="同type",$FA$19*$FA$24*INDEX($FB$49:$FB$52,MATCH(X473,$FA$49:$FA$52,))/3/(1+($FA$20-1)*$FA$19),0)+IF(CA473="自身",$FA$19*#REF!/3/(1+(BH473-1)*$BD473),0)),0)</f>
        <v>0</v>
      </c>
      <c r="CE473" s="420">
        <f t="shared" si="641"/>
        <v>0</v>
      </c>
      <c r="CF473" s="436">
        <f t="shared" si="642"/>
        <v>0</v>
      </c>
      <c r="CG473" s="423">
        <f t="shared" si="643"/>
        <v>0</v>
      </c>
      <c r="CH473" s="433">
        <f t="shared" si="644"/>
        <v>0</v>
      </c>
      <c r="CI473" s="437" t="s">
        <v>162</v>
      </c>
      <c r="CJ473" s="438">
        <v>1</v>
      </c>
      <c r="CK473" s="439" t="s">
        <v>2107</v>
      </c>
      <c r="CL473" s="439" t="s">
        <v>2127</v>
      </c>
      <c r="CM473" s="1119">
        <v>0.05</v>
      </c>
      <c r="CN473" s="439" t="s">
        <v>1948</v>
      </c>
      <c r="CO473" s="1115"/>
      <c r="CP473" s="1118">
        <f t="shared" si="645"/>
        <v>1.7857142857142846E-2</v>
      </c>
      <c r="CQ473" s="1118">
        <f t="shared" si="646"/>
        <v>1.6666666666666659E-2</v>
      </c>
      <c r="CR473" s="1118">
        <f t="shared" si="647"/>
        <v>0</v>
      </c>
      <c r="CS473" s="442">
        <f t="shared" si="648"/>
        <v>0</v>
      </c>
      <c r="CT473" s="432">
        <f t="shared" si="649"/>
        <v>0</v>
      </c>
      <c r="CU473" s="1101">
        <f t="shared" si="650"/>
        <v>2089.8603344879452</v>
      </c>
      <c r="CV473" s="1108">
        <f t="shared" si="682"/>
        <v>134.95574404659106</v>
      </c>
      <c r="CW473" s="420">
        <f t="shared" si="651"/>
        <v>0</v>
      </c>
      <c r="CX473" s="420">
        <f t="shared" si="652"/>
        <v>2089.8603344879452</v>
      </c>
      <c r="CY473" s="433">
        <f t="shared" si="653"/>
        <v>0</v>
      </c>
      <c r="CZ473" s="437"/>
      <c r="DA473" s="438"/>
      <c r="DB473" s="439" t="s">
        <v>569</v>
      </c>
      <c r="DC473" s="439"/>
      <c r="DD473" s="443"/>
      <c r="DE473" s="411"/>
      <c r="DF473" s="411"/>
      <c r="DG473" s="1116">
        <f t="shared" si="654"/>
        <v>0</v>
      </c>
      <c r="DH473" s="1116">
        <f t="shared" si="655"/>
        <v>0</v>
      </c>
      <c r="DI473" s="1116">
        <f t="shared" si="656"/>
        <v>0</v>
      </c>
      <c r="DJ473" s="442">
        <f t="shared" si="657"/>
        <v>0</v>
      </c>
      <c r="DK473" s="432">
        <f t="shared" si="658"/>
        <v>0</v>
      </c>
      <c r="DL473" s="424">
        <f t="shared" si="659"/>
        <v>0</v>
      </c>
      <c r="DM473" s="420">
        <f t="shared" si="660"/>
        <v>0</v>
      </c>
      <c r="DN473" s="420">
        <f t="shared" si="661"/>
        <v>0</v>
      </c>
      <c r="DO473" s="420">
        <f t="shared" si="662"/>
        <v>0</v>
      </c>
      <c r="DP473" s="433">
        <f t="shared" si="663"/>
        <v>0</v>
      </c>
      <c r="DQ473" s="437" t="s">
        <v>2107</v>
      </c>
      <c r="DR473" s="444">
        <f t="shared" si="664"/>
        <v>0.33</v>
      </c>
      <c r="DS473" s="450">
        <v>3</v>
      </c>
      <c r="DT473" s="1093" t="s">
        <v>168</v>
      </c>
      <c r="DU473" s="1124" t="s">
        <v>544</v>
      </c>
      <c r="DV473" s="1098">
        <f>IF($P473="","N/A",IF(P473=-1,INDEX('卡片raw data'!AN:AN,MATCH(D473,'卡片raw data'!$F:$F,)),0)+IF(AND(L473&lt;&gt;"party卡",P473&lt;=2,P473&gt;=0),INDEX('卡片raw data'!AP:AP,MATCH(D473,'卡片raw data'!$F:$F,)),0)+IF(OR(AND(L473="party卡",P473&lt;=1),AND(P473&lt;=4,L473&lt;&gt;"party卡",P473&gt;=3)),INDEX('卡片raw data'!AQ:AQ,MATCH(D473,'卡片raw data'!$F:$F,)),0)+IF(OR(P473=5,AND(L473="party卡",P473&gt;=2)),INDEX('卡片raw data'!AR:AR,MATCH(D473,'卡片raw data'!$F:$F,)),0))</f>
        <v>0.3</v>
      </c>
      <c r="DW473" s="1098">
        <f t="shared" si="665"/>
        <v>0.33</v>
      </c>
      <c r="DX473" s="1098">
        <f t="shared" si="666"/>
        <v>0.33</v>
      </c>
      <c r="DY473" s="1098">
        <f t="shared" si="667"/>
        <v>6.6000000000000003E-2</v>
      </c>
      <c r="DZ473" s="1098">
        <f t="shared" si="668"/>
        <v>5.7090000000000002E-2</v>
      </c>
      <c r="EA473" s="421">
        <f t="shared" si="669"/>
        <v>0</v>
      </c>
      <c r="EB473" s="445">
        <f t="shared" si="670"/>
        <v>0</v>
      </c>
      <c r="EC473" s="424">
        <f t="shared" si="671"/>
        <v>7724.1237962674504</v>
      </c>
      <c r="ED473" s="420">
        <f t="shared" si="672"/>
        <v>462.27740565719324</v>
      </c>
      <c r="EE473" s="433">
        <f t="shared" si="598"/>
        <v>7724.1237962674504</v>
      </c>
      <c r="EF473" s="1115" t="s">
        <v>569</v>
      </c>
      <c r="EG473" s="444">
        <f t="shared" si="673"/>
        <v>0.33</v>
      </c>
      <c r="EH473" s="450"/>
      <c r="EI473" s="1093"/>
      <c r="EJ473" s="1093"/>
      <c r="EK473" s="420">
        <f>IF($P473="","N/A",IF(P473=-1,INDEX('卡片raw data'!AS:AS,MATCH(D473,'卡片raw data'!$F:$F,)),0)+IF(AND(L473&lt;&gt;"party卡",P473&lt;=2,P473&gt;=0),INDEX('卡片raw data'!AU:AU,MATCH(D473,'卡片raw data'!$F:$F,)),0)+IF(OR(AND(L473="party卡",P473&lt;=1),AND(P473&lt;=4,L473&lt;&gt;"party卡",P473&gt;=3)),INDEX('卡片raw data'!AV:AV,MATCH(D473,'卡片raw data'!$F:$F,)),0)+IF(OR(P473=5,AND(L473="party卡",P473&gt;=2)),INDEX('卡片raw data'!AW:AW,MATCH(D473,'卡片raw data'!$F:$F,)),0))</f>
        <v>0</v>
      </c>
      <c r="EL473" s="1098">
        <f t="shared" si="674"/>
        <v>0.33</v>
      </c>
      <c r="EM473" s="1098">
        <f t="shared" si="675"/>
        <v>0.33</v>
      </c>
      <c r="EN473" s="1097">
        <f t="shared" si="676"/>
        <v>0</v>
      </c>
      <c r="EO473" s="1097">
        <f t="shared" si="677"/>
        <v>0</v>
      </c>
      <c r="EP473" s="421">
        <f t="shared" si="678"/>
        <v>0</v>
      </c>
      <c r="EQ473" s="445">
        <f t="shared" si="679"/>
        <v>0</v>
      </c>
      <c r="ER473" s="424">
        <f t="shared" si="680"/>
        <v>0</v>
      </c>
      <c r="ES473" s="420">
        <f t="shared" si="681"/>
        <v>0</v>
      </c>
      <c r="ET473" s="446">
        <f t="shared" si="599"/>
        <v>0</v>
      </c>
    </row>
    <row r="474" spans="2:150" ht="16.5" customHeight="1">
      <c r="B474" s="448" t="str">
        <f>INDEX('卡片raw data'!B:B,MATCH($D474,'卡片raw data'!$F:$F,))</f>
        <v>nbg果</v>
      </c>
      <c r="C474" s="449" t="s">
        <v>2793</v>
      </c>
      <c r="D474" s="408">
        <v>471</v>
      </c>
      <c r="E474" s="477">
        <v>400012003</v>
      </c>
      <c r="F474" s="409" t="str">
        <f>INDEX('卡片raw data'!C:C,MATCH($D474,'卡片raw data'!$F:$F,))</f>
        <v>SR</v>
      </c>
      <c r="G474" s="1094" t="s">
        <v>2799</v>
      </c>
      <c r="H474" s="411">
        <f>IFERROR(INDEX(绊状态确认!C:C,MATCH($G474,绊状态确认!$B:$B,)),"")</f>
        <v>1</v>
      </c>
      <c r="I474" s="450" t="str">
        <f>IFERROR(INDEX(绊状态确认!D:D,MATCH($G474,绊状态确认!$B:$B,)),"")</f>
        <v>缪</v>
      </c>
      <c r="J474" s="450" t="str">
        <f>IFERROR(INDEX(绊状态确认!E:E,MATCH($G474,绊状态确认!$B:$B,)),"")</f>
        <v>2年级</v>
      </c>
      <c r="K474" s="451" t="str">
        <f>IFERROR(INDEX(绊状态确认!F:F,MATCH($G474,绊状态确认!$B:$B,)),"")</f>
        <v>Printemps</v>
      </c>
      <c r="L474" s="414" t="str">
        <f>INDEX('卡片raw data'!E:E,MATCH($D474,'卡片raw data'!$F:$F,))</f>
        <v>卡池卡</v>
      </c>
      <c r="M474" s="478">
        <v>44351</v>
      </c>
      <c r="N474" s="479">
        <v>41</v>
      </c>
      <c r="O474" s="410" t="str">
        <f>INDEX('卡片raw data'!D:D,MATCH($D474,'卡片raw data'!$F:$F,))</f>
        <v>sp</v>
      </c>
      <c r="P474" s="1126">
        <v>5</v>
      </c>
      <c r="Q474" s="418">
        <f t="shared" si="600"/>
        <v>33008.118119009152</v>
      </c>
      <c r="R474" s="419">
        <f t="shared" si="601"/>
        <v>0.38300000000000001</v>
      </c>
      <c r="S474" s="420">
        <f t="shared" si="602"/>
        <v>18220.238515826208</v>
      </c>
      <c r="T474" s="421">
        <f t="shared" si="603"/>
        <v>0.91100000000000003</v>
      </c>
      <c r="U474" s="422">
        <f t="shared" si="604"/>
        <v>11.566605072192857</v>
      </c>
      <c r="V474" s="423">
        <f t="shared" si="605"/>
        <v>32130.031140693867</v>
      </c>
      <c r="W474" s="424">
        <f t="shared" si="606"/>
        <v>5327.7698822512575</v>
      </c>
      <c r="X474" s="419">
        <f t="shared" si="607"/>
        <v>6.0999999999999999E-2</v>
      </c>
      <c r="Y474" s="420">
        <f t="shared" si="608"/>
        <v>921.91302168471248</v>
      </c>
      <c r="Z474" s="425">
        <f t="shared" si="609"/>
        <v>11.566605072192857</v>
      </c>
      <c r="AA474" s="426">
        <f t="shared" si="610"/>
        <v>6249.68290393597</v>
      </c>
      <c r="AB474" s="424">
        <f t="shared" si="611"/>
        <v>6129.1425910736561</v>
      </c>
      <c r="AC474" s="427">
        <f t="shared" si="612"/>
        <v>7.0999999999999994E-2</v>
      </c>
      <c r="AD474" s="428">
        <f t="shared" si="613"/>
        <v>-1.9908281250000003E-2</v>
      </c>
      <c r="AE474" s="516">
        <f t="shared" si="614"/>
        <v>41.311625724637679</v>
      </c>
      <c r="AF474" s="1130">
        <f t="shared" si="615"/>
        <v>0</v>
      </c>
      <c r="AG474" s="420">
        <f t="shared" si="616"/>
        <v>0</v>
      </c>
      <c r="AH474" s="420">
        <f t="shared" si="617"/>
        <v>0</v>
      </c>
      <c r="AI474" s="1097">
        <f t="shared" si="618"/>
        <v>0</v>
      </c>
      <c r="AJ474" s="420">
        <f t="shared" si="619"/>
        <v>0</v>
      </c>
      <c r="AK474" s="518">
        <f t="shared" si="620"/>
        <v>0</v>
      </c>
      <c r="AL474" s="429">
        <f>IF($P474="","N/A",(IF($P474=-1,INDEX('卡片raw data'!S:S,MATCH($D474,'卡片raw data'!$F:$F,)),0)+IF($P474=0,INDEX('卡片raw data'!V:V,MATCH($D474,'卡片raw data'!$F:$F,)),0)+IF($P474=1,INDEX('卡片raw data'!Y:Y,MATCH($D474,'卡片raw data'!$F:$F,)),0)+IF($P474=2,INDEX('卡片raw data'!AB:AB,MATCH($D474,'卡片raw data'!$F:$F,)),0)+IF($P474=3,INDEX('卡片raw data'!AE:AE,MATCH($D474,'卡片raw data'!$F:$F,)),0)+IF($P474=4,INDEX('卡片raw data'!AH:AH,MATCH($D474,'卡片raw data'!$F:$F,)),0)+IF($P474=5,INDEX('卡片raw data'!AK:AK,MATCH($D474,'卡片raw data'!$F:$F,)),0)+INDEX('卡片raw data'!S:S,MATCH($D474,'卡片raw data'!$F:$F,))*(IF($F474="UR",0.04,0.033))*(IF($F474="UR",INDEX(绊状态确认!$S:$S,MATCH($G474,绊状态确认!$B:$B,))/2-40)+IF($F474="SR",INDEX(绊状态确认!$R:$R,MATCH($G474,绊状态确认!$B:$B,))/4-15))+IF($F474="R",INDEX(绊状态确认!$Q:$Q,MATCH($G474,绊状态确认!$B:$B,))/6-40/6)))*(INDEX(绊状态确认!$H:$H,MATCH($G474,绊状态确认!$B:$B,))+INDEX(绊状态确认!J:J,MATCH($G474,绊状态确认!$B:$B,)))</f>
        <v>8435.9199407999986</v>
      </c>
      <c r="AM474" s="429">
        <f>IF($P474="","N/A",(IF($P474=-1,INDEX('卡片raw data'!T:T,MATCH($D474,'卡片raw data'!$F:$F,)),0)+IF($P474=0,INDEX('卡片raw data'!W:W,MATCH($D474,'卡片raw data'!$F:$F,)),0)+IF($P474=1,INDEX('卡片raw data'!Z:Z,MATCH($D474,'卡片raw data'!$F:$F,)),0)+IF($P474=2,INDEX('卡片raw data'!AC:AC,MATCH($D474,'卡片raw data'!$F:$F,)),0)+IF($P474=3,INDEX('卡片raw data'!AF:AF,MATCH($D474,'卡片raw data'!$F:$F,)),0)+IF($P474=4,INDEX('卡片raw data'!AI:AI,MATCH($D474,'卡片raw data'!$F:$F,)),0)+IF($P474=5,INDEX('卡片raw data'!AL:AL,MATCH($D474,'卡片raw data'!$F:$F,)),0)+INDEX('卡片raw data'!T:T,MATCH($D474,'卡片raw data'!$F:$F,))*(IF($F474="UR",0.04,0.033))*(IF($F474="UR",INDEX(绊状态确认!$S:$S,MATCH($G474,绊状态确认!$B:$B,))/2-40)+IF($F474="SR",INDEX(绊状态确认!$R:$R,MATCH($G474,绊状态确认!$B:$B,))/4-15))+IF($F474="R",INDEX(绊状态确认!$Q:$Q,MATCH($G474,绊状态确认!$B:$B,))/6-40/6)))*(INDEX(绊状态确认!$H:$H,MATCH($G474,绊状态确认!$B:$B,))+INDEX(绊状态确认!K:K,MATCH($G474,绊状态确认!$B:$B,)))</f>
        <v>5927.8374119999989</v>
      </c>
      <c r="AN474" s="429">
        <f>IF($P474="","N/A",(IF($P474=-1,INDEX('卡片raw data'!U:U,MATCH($D474,'卡片raw data'!$F:$F,)),0)+IF($P474=0,INDEX('卡片raw data'!X:X,MATCH($D474,'卡片raw data'!$F:$F,)),0)+IF($P474=1,INDEX('卡片raw data'!AA:AA,MATCH($D474,'卡片raw data'!$F:$F,)),0)+IF($P474=2,INDEX('卡片raw data'!AD:AD,MATCH($D474,'卡片raw data'!$F:$F,)),0)+IF($P474=3,INDEX('卡片raw data'!AG:AG,MATCH($D474,'卡片raw data'!$F:$F,)),0)+IF($P474=4,INDEX('卡片raw data'!AJ:AJ,MATCH($D474,'卡片raw data'!$F:$F,)),0)+IF($P474=5,INDEX('卡片raw data'!AM:AM,MATCH($D474,'卡片raw data'!$F:$F,)),0)+INDEX('卡片raw data'!U:U,MATCH($D474,'卡片raw data'!$F:$F,))*(IF($F474="UR",0.04,0.033))*(IF($F474="UR",INDEX(绊状态确认!$S:$S,MATCH($G474,绊状态确认!$B:$B,))/2-40)+IF($F474="SR",INDEX(绊状态确认!$R:$R,MATCH($G474,绊状态确认!$B:$B,))/4-15))+IF($F474="R",INDEX(绊状态确认!$Q:$Q,MATCH($G474,绊状态确认!$B:$B,))/6-40/6)))*(INDEX(绊状态确认!$H:$H,MATCH($G474,绊状态确认!$B:$B,))+INDEX(绊状态确认!L:L,MATCH($G474,绊状态确认!$B:$B,)))</f>
        <v>8435.9199407999986</v>
      </c>
      <c r="AO474" s="430">
        <f t="shared" si="621"/>
        <v>1</v>
      </c>
      <c r="AP474" s="556">
        <f>1+(INDEX(绊状态确认!$T:$T,MATCH($G474,绊状态确认!$B:$B,))+0.2)*$AO474</f>
        <v>1.3</v>
      </c>
      <c r="AQ474" s="431">
        <f t="shared" si="622"/>
        <v>25394.289844599996</v>
      </c>
      <c r="AR474" s="420">
        <f>(AM474*(1+$EX$9)+$EX$35)*(1+(INDEX(绊状态确认!$T:$T,MATCH($G474,绊状态确认!$B:$B,))+0.2)*AO474)*IF(J474=$FF$17,1+$FE$17,1)*IF(I474=$FF$14,1+$FE$14,1)</f>
        <v>10795.49806738</v>
      </c>
      <c r="AS474" s="420">
        <f>(AN474*(1+$EX$10)+$EX$36)*(1+(INDEX(绊状态确认!$T:$T,MATCH($G474,绊状态确认!$B:$B,))+0.2)*AO474)*IF(J474=$FF$17,1+$FE$17,1)*IF(I474=$FF$14,1+$FE$14,1)</f>
        <v>16667.700311495995</v>
      </c>
      <c r="AT474" s="412">
        <f>IF(AND(INDEX('卡片raw data'!AK:AK,MATCH($D474,'卡片raw data'!$F:$F,))&lt;INDEX('卡片raw data'!AM:AM,MATCH($D474,'卡片raw data'!$F:$F,)),INDEX('卡片raw data'!AL:AL,MATCH($D474,'卡片raw data'!$F:$F,))&lt;INDEX('卡片raw data'!AM:AM,MATCH($D474,'卡片raw data'!$F:$F,))),1,0)</f>
        <v>0</v>
      </c>
      <c r="AU474" s="421">
        <f>MIN(AT474*0.15+AS474*0.00003+INDEX(绊状态确认!M:M,MATCH($G474,绊状态确认!$B:$B,)),1)</f>
        <v>0.5300310093448799</v>
      </c>
      <c r="AV474" s="432">
        <f>(INDEX(绊状态确认!$N:$N,MATCH($G474,绊状态确认!$B:$B,))+1.5)*$EW$21</f>
        <v>2.6599999999999997</v>
      </c>
      <c r="AW474" s="424">
        <f t="shared" si="623"/>
        <v>24792.308861268833</v>
      </c>
      <c r="AX474" s="420">
        <f t="shared" si="624"/>
        <v>921.91302168471259</v>
      </c>
      <c r="AY474" s="433">
        <f t="shared" si="625"/>
        <v>25714.221882953545</v>
      </c>
      <c r="AZ474" s="429">
        <f t="shared" si="626"/>
        <v>19050.043884559997</v>
      </c>
      <c r="BA474" s="431">
        <f t="shared" si="627"/>
        <v>22860.052661471997</v>
      </c>
      <c r="BB474" s="420">
        <f>(AM474*(1+$FB$9)+$FB$35)*(1+(INDEX(绊状态确认!$T:$T,MATCH($G474,绊状态确认!$B:$B,))+0.2)*AO474)*IF(J474=$FF$17,1+$FE$17,1)*IF(I474=$FF$14,1+$FE$14,1)*(1+$FE$15)</f>
        <v>10795.49806738</v>
      </c>
      <c r="BC474" s="420">
        <f>(AN474*(1+$FB$10)+$FB$36)*(1+(INDEX(绊状态确认!$T:$T,MATCH($G474,绊状态确认!$B:$B,))+0.2)*AO474)*IF(J474=$FF$17,1+$FE$17,1)*IF(I474=$FF$14,1+$FE$14,1)*(1+$FE$15)</f>
        <v>16667.700311495995</v>
      </c>
      <c r="BD474" s="427">
        <f>MIN(AT474*0.15+BC474*0.00003+INDEX(绊状态确认!M:M,MATCH($G474,绊状态确认!$B:$B,)),1)</f>
        <v>0.5300310093448799</v>
      </c>
      <c r="BE474" s="432">
        <f>(INDEX(绊状态确认!$N:$N,MATCH($G474,绊状态确认!$B:$B,))+1.5)</f>
        <v>1.9</v>
      </c>
      <c r="BF474" s="645">
        <f t="array" ref="BF474">SUMPRODUCT(IF(AZ474*AP474*$FI$16:$FI$23*$FA$22&gt;=$FI$24,$FI$24,AZ474*AP474*$FI$16:$FI$23*$FA$22),$FJ$16:$FJ$23)</f>
        <v>37890.537286389837</v>
      </c>
      <c r="BG474" s="453">
        <f t="array" ref="BG474">SUMPRODUCT(IF(BE474*AZ474*AP474*$FI$16:$FI$23*$FA$22&gt;=$FI$24,$FI$24,BE474*AZ474*AP474*$FI$16:$FI$23*$FA$22),$FJ$16:$FJ$23)</f>
        <v>59646.433007383588</v>
      </c>
      <c r="BH474" s="433">
        <f t="shared" si="628"/>
        <v>16473.945551530036</v>
      </c>
      <c r="BI474" s="434">
        <f>IF(O474="vo",$EW$26/$EW$24*0.05,0)+IF(O474="sk",-$EW$26/$EW$24*(0.05-INDEX(绊状态确认!W:W,MATCH($G474,绊状态确认!$B:$B,)))+0.05*$EW$28,0)+IF(O474="sp",0.05*$EW$32*$EW$30*(1-$EW$33)-(0.05-INDEX(绊状态确认!V:V,MATCH($G474,绊状态确认!$B:$B,)))*$EW$28,0)+IF(O474="gd",-(0.05-INDEX(绊状态确认!X:X,MATCH($G474,绊状态确认!$B:$B,)))*$EW$32*$EW$30*(1-$EW$33),0)</f>
        <v>19.999999999999886</v>
      </c>
      <c r="BJ474" s="420">
        <f>IF(O474="vo",0.05*(1-$FI$26)*$FA$24,0)+IF(O474="sk",-(0.05-INDEX(绊状态确认!W:W,MATCH($G474,绊状态确认!$B:$B,)))*(1-$FI$26)*$FA$24+0.05*$FA$26,0)+IF(O474="sp",0.05*$FA$32*$FA$27*(1-$FA$33)/$FA$30+0.05*$FA$29/$FA$69*$FA$27*(1-$FA$33)-(0.05-INDEX(绊状态确认!V:V,MATCH($G474,绊状态确认!$B:$B,)))*$FA$26,0)+IF(O474="gd",-(0.05-INDEX(绊状态确认!X:X,MATCH($G474,绊状态确认!$B:$B,)))*$FA$32*$FA$27*(1-$FA$33)/$FA$30-(0.05-INDEX(绊状态确认!X:X,MATCH($G474,绊状态确认!$B:$B,)))*$FA$29/$FA$69*$FA$27*(1-$FA$33),0)</f>
        <v>545.83333333333326</v>
      </c>
      <c r="BK474" s="433">
        <f>IF(O474="vo",$EW$26/$EW$24*0.05+$EW$26*(-HP($EW$62,$EW$65,$EW$64)+HP($EW$62,$EW$65,(1.05-INDEX(绊状态确认!U:U,MATCH($G474,绊状态确认!$B:$B,)))*$EW$64)),0)+IF(O474="sk",-$EW$26/$EW$24*(0.05-INDEX(绊状态确认!W:W,MATCH($G474,绊状态确认!$B:$B,)))+0.05*$EW$29,0)+IF(O474="sp",0.05*$EW$32*$EW$30*(1-$EW$33)-(0.05-INDEX(绊状态确认!V:V,MATCH($G474,绊状态确认!$B:$B,)))*$EW$29,0)+IF(O474="gd",-(0.05-INDEX(绊状态确认!X:X,MATCH($G474,绊状态确认!$B:$B,)))*$EW$32*$EW$30*(1-$EW$33)+$EW$26*(-HP($EW$62,$EW$65,$EW$64)+HP($EW$62,$EW$65,0.95*$EW$64)),0)</f>
        <v>-1780.0000000000005</v>
      </c>
      <c r="BL474" s="434">
        <f t="shared" si="629"/>
        <v>-1083.3333333333333</v>
      </c>
      <c r="BM474" s="433">
        <f t="shared" si="630"/>
        <v>-830.55555555555543</v>
      </c>
      <c r="BN474" s="437">
        <f t="shared" si="631"/>
        <v>3</v>
      </c>
      <c r="BO474" s="1108">
        <f t="shared" si="632"/>
        <v>4507.7214871259994</v>
      </c>
      <c r="BP474" s="1100">
        <f t="shared" si="633"/>
        <v>221.34103209030098</v>
      </c>
      <c r="BQ474" s="1113" t="s">
        <v>132</v>
      </c>
      <c r="BR474" s="1124" t="s">
        <v>171</v>
      </c>
      <c r="BS474" s="421">
        <f>IF($P474="","N/A",IF($P474=-1,INDEX('卡片raw data'!AX:AX,MATCH($D474,'卡片raw data'!$F:$F,)),0)+IF($L474="party卡",IF($P474=5,INDEX('卡片raw data'!BD:BD,MATCH($D474,'卡片raw data'!$F:$F,)),IF($P474&gt;=3,INDEX('卡片raw data'!BC:BC,MATCH($D474,'卡片raw data'!$F:$F,)),INDEX('卡片raw data'!BB:BB,MATCH($D474,'卡片raw data'!$F:$F,)))),IF(OR(AND($F474="UR",$P474=0),AND($F474="SR",$P474&gt;=0,$P474&lt;=2),AND($F474="R",$P474&gt;=0,$P474&lt;4)),INDEX('卡片raw data'!AZ:AZ,MATCH($D474,'卡片raw data'!$F:$F,)),0)+IF(OR(AND($F474="UR",$P474&gt;=1,$P474&lt;=4),AND($F474="SR",$P474&lt;=4,$P474&gt;=3),AND($F474="R",$P474=4)),INDEX('卡片raw data'!BA:BA,MATCH($D474,'卡片raw data'!$F:$F,)),0)+IF($P474=5,INDEX('卡片raw data'!BB:BB,MATCH($D474,'卡片raw data'!$F:$F,)),0)))</f>
        <v>3.2000000000000001E-2</v>
      </c>
      <c r="BT474" s="424">
        <f t="shared" si="634"/>
        <v>1602.7454176448</v>
      </c>
      <c r="BU474" s="420">
        <f t="shared" si="635"/>
        <v>68.861654428093644</v>
      </c>
      <c r="BV474" s="420">
        <f t="shared" si="636"/>
        <v>801.37270882240011</v>
      </c>
      <c r="BW474" s="436">
        <f t="shared" si="637"/>
        <v>0</v>
      </c>
      <c r="BX474" s="423">
        <f t="shared" si="638"/>
        <v>1602.7454176448</v>
      </c>
      <c r="BY474" s="433">
        <f t="shared" si="639"/>
        <v>801.37270882240011</v>
      </c>
      <c r="BZ474" s="1113" t="s">
        <v>569</v>
      </c>
      <c r="CA474" s="450"/>
      <c r="CB474" s="421">
        <f>IF($P474="","N/A",IF($P474=-1,INDEX('卡片raw data'!BE:BE,MATCH($D474,'卡片raw data'!$F:$F,)),0)+IF($L474="party卡",IF($P474=5,INDEX('卡片raw data'!BK:BK,MATCH($D474,'卡片raw data'!$F:$F,)),IF($P474&gt;=3,INDEX('卡片raw data'!BJ:BJ,MATCH($D474,'卡片raw data'!$F:$F,)),INDEX('卡片raw data'!BI:BI,MATCH($D474,'卡片raw data'!$F:$F,)))),IF(OR(AND($F474="UR",$P474=0),AND($F474="SR",$P474&gt;=0,$P474&lt;=2),AND($F474="R",$P474&gt;=0,$P474&lt;4)),INDEX('卡片raw data'!BG:BG,MATCH($D474,'卡片raw data'!$F:$F,)),0)+IF(OR(AND($F474="UR",$P474&gt;=1,$P474&lt;=4),AND($F474="SR",$P474&lt;=4,$P474&gt;=3),AND($F474="R",$P474=4)),INDEX('卡片raw data'!BH:BH,MATCH($D474,'卡片raw data'!$F:$F,)),0)+IF($P474=5,INDEX('卡片raw data'!BI:BI,MATCH($D474,'卡片raw data'!$F:$F,)),0)))</f>
        <v>0</v>
      </c>
      <c r="CC474" s="424">
        <f t="shared" si="640"/>
        <v>0</v>
      </c>
      <c r="CD474" s="420">
        <f>IF(BZ474="ap",CB474*(1-$FI$26)*$FB$5/$FB$11*(+IF(CA474="全员",$FA$24,0)+IF(CA474="同作战",$FA$24,0)+IF(CA474="仲间",$FA$24*2/3,0)+IF(CA474="同属性",$FA$24*$FA$37/3,0)+IF(CA474="同年级",$FA$24*$FA$40/3,0)+IF(CA474="同学校",$FA$24*$FA$43/3,0)+IF(CA474="同小队",$FA$24*$FA$46/3,0)+IF(CA474="同type",$FA$24*INDEX($FB$49:$FB$52,MATCH(X474,$FA$49:$FA$52,))/3,0)+IF(CA474="自身",#REF!/3,0)),0)+IF(BZ474="te",CB474*(1-$FI$27)*($FA$20-1)*$FB$7/$FB$13*(+IF(CA474="全员",$FA$19*$FA$24/(1+($FA$20-1)*$FA$19),0)+IF(CA474="同作战",$FA$19*$FA$24/(1+($FA$20-1)*$FA$19),0)+IF(CA474="仲间",$FA$19*$FA$24*2/3/(1+($FA$20-1)*$FA$19),0)+IF(CA474="同属性",$FA$19*$FA$24*$FA$37/3/(1+($FA$20-1)*$FA$19),0)+IF(CA474="同年级",$FA$19*$FA$24*$FA$40/3/(1+($FA$20-1)*$FA$19),0)+IF(CA474="同学校",$FA$19*$FA$24*$FA$43/3/(1+($FA$20-1)*$FA$19),0)+IF(CA474="同小队",$FA$19*$FA$24*$FA$46/3/(1+($FA$20-1)*$FA$19),0)+IF(CA474="同type",$FA$19*$FA$24*INDEX($FB$49:$FB$52,MATCH(X474,$FA$49:$FA$52,))/3/(1+($FA$20-1)*$FA$19),0)+IF(CA474="自身",$FA$19*#REF!/3/(1+(BH474-1)*$BD474),0)),0)</f>
        <v>0</v>
      </c>
      <c r="CE474" s="420">
        <f t="shared" si="641"/>
        <v>0</v>
      </c>
      <c r="CF474" s="436">
        <f t="shared" si="642"/>
        <v>0</v>
      </c>
      <c r="CG474" s="423">
        <f t="shared" si="643"/>
        <v>0</v>
      </c>
      <c r="CH474" s="433">
        <f t="shared" si="644"/>
        <v>0</v>
      </c>
      <c r="CI474" s="1113" t="s">
        <v>162</v>
      </c>
      <c r="CJ474" s="1114">
        <v>0.3</v>
      </c>
      <c r="CK474" s="1115" t="s">
        <v>2800</v>
      </c>
      <c r="CL474" s="1115" t="s">
        <v>2801</v>
      </c>
      <c r="CM474" s="1119">
        <v>0.08</v>
      </c>
      <c r="CN474" s="1115"/>
      <c r="CO474" s="1115"/>
      <c r="CP474" s="1116">
        <f t="shared" si="645"/>
        <v>13.059920491508567</v>
      </c>
      <c r="CQ474" s="1116">
        <f t="shared" si="646"/>
        <v>18.288042129177594</v>
      </c>
      <c r="CR474" s="1117">
        <f t="shared" si="647"/>
        <v>13.059920491508567</v>
      </c>
      <c r="CS474" s="442">
        <f t="shared" si="648"/>
        <v>0</v>
      </c>
      <c r="CT474" s="432">
        <f t="shared" si="649"/>
        <v>0</v>
      </c>
      <c r="CU474" s="1101">
        <f t="shared" si="650"/>
        <v>18.675686302857251</v>
      </c>
      <c r="CV474" s="1108">
        <f t="shared" si="682"/>
        <v>0</v>
      </c>
      <c r="CW474" s="420">
        <f t="shared" si="651"/>
        <v>18.675686302857255</v>
      </c>
      <c r="CX474" s="420">
        <f t="shared" si="652"/>
        <v>18.675686302857251</v>
      </c>
      <c r="CY474" s="433">
        <f t="shared" si="653"/>
        <v>18.675686302857255</v>
      </c>
      <c r="CZ474" s="437"/>
      <c r="DA474" s="438"/>
      <c r="DB474" s="439" t="s">
        <v>569</v>
      </c>
      <c r="DC474" s="439"/>
      <c r="DD474" s="443"/>
      <c r="DE474" s="411"/>
      <c r="DF474" s="411"/>
      <c r="DG474" s="1116">
        <f t="shared" si="654"/>
        <v>0</v>
      </c>
      <c r="DH474" s="1116">
        <f t="shared" si="655"/>
        <v>0</v>
      </c>
      <c r="DI474" s="1116">
        <f t="shared" si="656"/>
        <v>0</v>
      </c>
      <c r="DJ474" s="442">
        <f t="shared" si="657"/>
        <v>0</v>
      </c>
      <c r="DK474" s="432">
        <f t="shared" si="658"/>
        <v>0</v>
      </c>
      <c r="DL474" s="424">
        <f t="shared" si="659"/>
        <v>0</v>
      </c>
      <c r="DM474" s="420">
        <f t="shared" si="660"/>
        <v>0</v>
      </c>
      <c r="DN474" s="420">
        <f t="shared" si="661"/>
        <v>0</v>
      </c>
      <c r="DO474" s="420">
        <f t="shared" si="662"/>
        <v>0</v>
      </c>
      <c r="DP474" s="433">
        <f t="shared" si="663"/>
        <v>0</v>
      </c>
      <c r="DQ474" s="1113" t="s">
        <v>549</v>
      </c>
      <c r="DR474" s="444">
        <f t="shared" si="664"/>
        <v>0.3</v>
      </c>
      <c r="DS474" s="1124"/>
      <c r="DT474" s="1124" t="s">
        <v>179</v>
      </c>
      <c r="DU474" s="1124"/>
      <c r="DV474" s="1098">
        <f>IF($P474="","N/A",IF(P474=-1,INDEX('卡片raw data'!AN:AN,MATCH(D474,'卡片raw data'!$F:$F,)),0)+IF(AND(L474&lt;&gt;"party卡",P474&lt;=2,P474&gt;=0),INDEX('卡片raw data'!AP:AP,MATCH(D474,'卡片raw data'!$F:$F,)),0)+IF(OR(AND(L474="party卡",P474&lt;=1),AND(P474&lt;=4,L474&lt;&gt;"party卡",P474&gt;=3)),INDEX('卡片raw data'!AQ:AQ,MATCH(D474,'卡片raw data'!$F:$F,)),0)+IF(OR(P474=5,AND(L474="party卡",P474&gt;=2)),INDEX('卡片raw data'!AR:AR,MATCH(D474,'卡片raw data'!$F:$F,)),0))</f>
        <v>7.0000000000000007E-2</v>
      </c>
      <c r="DW474" s="1098">
        <f t="shared" si="665"/>
        <v>0.3</v>
      </c>
      <c r="DX474" s="1098">
        <f t="shared" si="666"/>
        <v>0.3</v>
      </c>
      <c r="DY474" s="1098">
        <f t="shared" si="667"/>
        <v>7.0000000000000001E-3</v>
      </c>
      <c r="DZ474" s="1098">
        <f t="shared" si="668"/>
        <v>6.9632499999999998E-3</v>
      </c>
      <c r="EA474" s="421">
        <f t="shared" si="669"/>
        <v>0</v>
      </c>
      <c r="EB474" s="445">
        <f t="shared" si="670"/>
        <v>42.663074999999999</v>
      </c>
      <c r="EC474" s="424">
        <f t="shared" si="671"/>
        <v>3150</v>
      </c>
      <c r="ED474" s="420">
        <f t="shared" si="672"/>
        <v>1740.8125</v>
      </c>
      <c r="EE474" s="433">
        <f t="shared" si="598"/>
        <v>3150</v>
      </c>
      <c r="EF474" s="1115" t="s">
        <v>569</v>
      </c>
      <c r="EG474" s="444">
        <f t="shared" si="673"/>
        <v>0.3</v>
      </c>
      <c r="EH474" s="450"/>
      <c r="EI474" s="1093"/>
      <c r="EJ474" s="1093"/>
      <c r="EK474" s="1097">
        <f>IF($P474="","N/A",IF(P474=-1,INDEX('卡片raw data'!AS:AS,MATCH(D474,'卡片raw data'!$F:$F,)),0)+IF(AND(L474&lt;&gt;"party卡",P474&lt;=2,P474&gt;=0),INDEX('卡片raw data'!AU:AU,MATCH(D474,'卡片raw data'!$F:$F,)),0)+IF(OR(AND(L474="party卡",P474&lt;=1),AND(P474&lt;=4,L474&lt;&gt;"party卡",P474&gt;=3)),INDEX('卡片raw data'!AV:AV,MATCH(D474,'卡片raw data'!$F:$F,)),0)+IF(OR(P474=5,AND(L474="party卡",P474&gt;=2)),INDEX('卡片raw data'!AW:AW,MATCH(D474,'卡片raw data'!$F:$F,)),0))</f>
        <v>0</v>
      </c>
      <c r="EL474" s="1098">
        <f t="shared" si="674"/>
        <v>0.3</v>
      </c>
      <c r="EM474" s="1098">
        <f t="shared" si="675"/>
        <v>0.3</v>
      </c>
      <c r="EN474" s="1097">
        <f t="shared" si="676"/>
        <v>0</v>
      </c>
      <c r="EO474" s="1097">
        <f t="shared" si="677"/>
        <v>0</v>
      </c>
      <c r="EP474" s="421">
        <f t="shared" si="678"/>
        <v>0</v>
      </c>
      <c r="EQ474" s="445">
        <f t="shared" si="679"/>
        <v>0</v>
      </c>
      <c r="ER474" s="424">
        <f t="shared" si="680"/>
        <v>0</v>
      </c>
      <c r="ES474" s="420">
        <f t="shared" si="681"/>
        <v>0</v>
      </c>
      <c r="ET474" s="446">
        <f t="shared" si="599"/>
        <v>0</v>
      </c>
    </row>
    <row r="475" spans="2:150" ht="16.5" customHeight="1">
      <c r="B475" s="448" t="str">
        <f>INDEX('卡片raw data'!B:B,MATCH($D475,'卡片raw data'!$F:$F,))</f>
        <v>梅雨步</v>
      </c>
      <c r="C475" s="449" t="s">
        <v>2792</v>
      </c>
      <c r="D475" s="408">
        <v>472</v>
      </c>
      <c r="E475" s="477">
        <v>402013003</v>
      </c>
      <c r="F475" s="409" t="str">
        <f>INDEX('卡片raw data'!C:C,MATCH($D475,'卡片raw data'!$F:$F,))</f>
        <v>UR</v>
      </c>
      <c r="G475" s="1094" t="s">
        <v>2796</v>
      </c>
      <c r="H475" s="411">
        <f>IFERROR(INDEX(绊状态确认!C:C,MATCH($G475,绊状态确认!$B:$B,)),"")</f>
        <v>201</v>
      </c>
      <c r="I475" s="450" t="str">
        <f>IFERROR(INDEX(绊状态确认!D:D,MATCH($G475,绊状态确认!$B:$B,)),"")</f>
        <v>虹</v>
      </c>
      <c r="J475" s="450" t="str">
        <f>IFERROR(INDEX(绊状态确认!E:E,MATCH($G475,绊状态确认!$B:$B,)),"")</f>
        <v>2年级</v>
      </c>
      <c r="K475" s="451" t="str">
        <f>IFERROR(INDEX(绊状态确认!F:F,MATCH($G475,绊状态确认!$B:$B,)),"")</f>
        <v>A·ZU·NA</v>
      </c>
      <c r="L475" s="414" t="str">
        <f>INDEX('卡片raw data'!E:E,MATCH($D475,'卡片raw data'!$F:$F,))</f>
        <v>卡池卡</v>
      </c>
      <c r="M475" s="478">
        <v>44351</v>
      </c>
      <c r="N475" s="479">
        <v>41</v>
      </c>
      <c r="O475" s="410" t="str">
        <f>INDEX('卡片raw data'!D:D,MATCH($D475,'卡片raw data'!$F:$F,))</f>
        <v>gd</v>
      </c>
      <c r="P475" s="1126">
        <v>5</v>
      </c>
      <c r="Q475" s="418">
        <f t="shared" si="600"/>
        <v>57083.7875780221</v>
      </c>
      <c r="R475" s="419">
        <f t="shared" si="601"/>
        <v>0.66300000000000003</v>
      </c>
      <c r="S475" s="420">
        <f t="shared" si="602"/>
        <v>19582.375169617881</v>
      </c>
      <c r="T475" s="421">
        <f t="shared" si="603"/>
        <v>0.97899999999999998</v>
      </c>
      <c r="U475" s="422">
        <f t="shared" si="604"/>
        <v>52.496636812171424</v>
      </c>
      <c r="V475" s="423">
        <f t="shared" si="605"/>
        <v>61345.687926910345</v>
      </c>
      <c r="W475" s="424">
        <f t="shared" si="606"/>
        <v>5559.5231674553997</v>
      </c>
      <c r="X475" s="419">
        <f t="shared" si="607"/>
        <v>6.4000000000000001E-2</v>
      </c>
      <c r="Y475" s="420">
        <f t="shared" si="608"/>
        <v>2667.305576370627</v>
      </c>
      <c r="Z475" s="425">
        <f t="shared" si="609"/>
        <v>27.496636812171424</v>
      </c>
      <c r="AA475" s="426">
        <f t="shared" si="610"/>
        <v>8226.8287438260268</v>
      </c>
      <c r="AB475" s="424">
        <f t="shared" si="611"/>
        <v>6611.3248477847992</v>
      </c>
      <c r="AC475" s="427">
        <f t="shared" si="612"/>
        <v>7.5999999999999998E-2</v>
      </c>
      <c r="AD475" s="428">
        <f t="shared" si="613"/>
        <v>0</v>
      </c>
      <c r="AE475" s="516">
        <f t="shared" si="614"/>
        <v>-6.25</v>
      </c>
      <c r="AF475" s="1130">
        <f t="shared" si="615"/>
        <v>0</v>
      </c>
      <c r="AG475" s="420">
        <f t="shared" si="616"/>
        <v>0</v>
      </c>
      <c r="AH475" s="420">
        <f t="shared" si="617"/>
        <v>0</v>
      </c>
      <c r="AI475" s="1097">
        <f t="shared" si="618"/>
        <v>0</v>
      </c>
      <c r="AJ475" s="420">
        <f t="shared" si="619"/>
        <v>0</v>
      </c>
      <c r="AK475" s="518">
        <f t="shared" si="620"/>
        <v>0</v>
      </c>
      <c r="AL475" s="429">
        <f>IF($P475="","N/A",(IF($P475=-1,INDEX('卡片raw data'!S:S,MATCH($D475,'卡片raw data'!$F:$F,)),0)+IF($P475=0,INDEX('卡片raw data'!V:V,MATCH($D475,'卡片raw data'!$F:$F,)),0)+IF($P475=1,INDEX('卡片raw data'!Y:Y,MATCH($D475,'卡片raw data'!$F:$F,)),0)+IF($P475=2,INDEX('卡片raw data'!AB:AB,MATCH($D475,'卡片raw data'!$F:$F,)),0)+IF($P475=3,INDEX('卡片raw data'!AE:AE,MATCH($D475,'卡片raw data'!$F:$F,)),0)+IF($P475=4,INDEX('卡片raw data'!AH:AH,MATCH($D475,'卡片raw data'!$F:$F,)),0)+IF($P475=5,INDEX('卡片raw data'!AK:AK,MATCH($D475,'卡片raw data'!$F:$F,)),0)+INDEX('卡片raw data'!S:S,MATCH($D475,'卡片raw data'!$F:$F,))*(IF($F475="UR",0.04,0.033))*(IF($F475="UR",INDEX(绊状态确认!$S:$S,MATCH($G475,绊状态确认!$B:$B,))/2-40)+IF($F475="SR",INDEX(绊状态确认!$R:$R,MATCH($G475,绊状态确认!$B:$B,))/4-15))+IF($F475="R",INDEX(绊状态确认!$Q:$Q,MATCH($G475,绊状态确认!$B:$B,))/6-40/6)))*(INDEX(绊状态确认!$H:$H,MATCH($G475,绊状态确认!$B:$B,))+INDEX(绊状态确认!J:J,MATCH($G475,绊状态确认!$B:$B,)))</f>
        <v>12282.029375999999</v>
      </c>
      <c r="AM475" s="429">
        <f>IF($P475="","N/A",(IF($P475=-1,INDEX('卡片raw data'!T:T,MATCH($D475,'卡片raw data'!$F:$F,)),0)+IF($P475=0,INDEX('卡片raw data'!W:W,MATCH($D475,'卡片raw data'!$F:$F,)),0)+IF($P475=1,INDEX('卡片raw data'!Z:Z,MATCH($D475,'卡片raw data'!$F:$F,)),0)+IF($P475=2,INDEX('卡片raw data'!AC:AC,MATCH($D475,'卡片raw data'!$F:$F,)),0)+IF($P475=3,INDEX('卡片raw data'!AF:AF,MATCH($D475,'卡片raw data'!$F:$F,)),0)+IF($P475=4,INDEX('卡片raw data'!AI:AI,MATCH($D475,'卡片raw data'!$F:$F,)),0)+IF($P475=5,INDEX('卡片raw data'!AL:AL,MATCH($D475,'卡片raw data'!$F:$F,)),0)+INDEX('卡片raw data'!T:T,MATCH($D475,'卡片raw data'!$F:$F,))*(IF($F475="UR",0.04,0.033))*(IF($F475="UR",INDEX(绊状态确认!$S:$S,MATCH($G475,绊状态确认!$B:$B,))/2-40)+IF($F475="SR",INDEX(绊状态确认!$R:$R,MATCH($G475,绊状态确认!$B:$B,))/4-15))+IF($F475="R",INDEX(绊状态确认!$Q:$Q,MATCH($G475,绊状态确认!$B:$B,))/6-40/6)))*(INDEX(绊状态确认!$H:$H,MATCH($G475,绊状态确认!$B:$B,))+INDEX(绊状态确认!K:K,MATCH($G475,绊状态确认!$B:$B,)))</f>
        <v>9677.3096639999985</v>
      </c>
      <c r="AN475" s="429">
        <f>IF($P475="","N/A",(IF($P475=-1,INDEX('卡片raw data'!U:U,MATCH($D475,'卡片raw data'!$F:$F,)),0)+IF($P475=0,INDEX('卡片raw data'!X:X,MATCH($D475,'卡片raw data'!$F:$F,)),0)+IF($P475=1,INDEX('卡片raw data'!AA:AA,MATCH($D475,'卡片raw data'!$F:$F,)),0)+IF($P475=2,INDEX('卡片raw data'!AD:AD,MATCH($D475,'卡片raw data'!$F:$F,)),0)+IF($P475=3,INDEX('卡片raw data'!AG:AG,MATCH($D475,'卡片raw data'!$F:$F,)),0)+IF($P475=4,INDEX('卡片raw data'!AJ:AJ,MATCH($D475,'卡片raw data'!$F:$F,)),0)+IF($P475=5,INDEX('卡片raw data'!AM:AM,MATCH($D475,'卡片raw data'!$F:$F,)),0)+INDEX('卡片raw data'!U:U,MATCH($D475,'卡片raw data'!$F:$F,))*(IF($F475="UR",0.04,0.033))*(IF($F475="UR",INDEX(绊状态确认!$S:$S,MATCH($G475,绊状态确认!$B:$B,))/2-40)+IF($F475="SR",INDEX(绊状态确认!$R:$R,MATCH($G475,绊状态确认!$B:$B,))/4-15))+IF($F475="R",INDEX(绊状态确认!$Q:$Q,MATCH($G475,绊状态确认!$B:$B,))/6-40/6)))*(INDEX(绊状态确认!$H:$H,MATCH($G475,绊状态确认!$B:$B,))+INDEX(绊状态确认!L:L,MATCH($G475,绊状态确认!$B:$B,)))</f>
        <v>15260.988335999999</v>
      </c>
      <c r="AO475" s="430">
        <f t="shared" si="621"/>
        <v>1</v>
      </c>
      <c r="AP475" s="556">
        <f>1+(INDEX(绊状态确认!$T:$T,MATCH($G475,绊状态确认!$B:$B,))+0.2)*$AO475</f>
        <v>1.3</v>
      </c>
      <c r="AQ475" s="431">
        <f t="shared" si="622"/>
        <v>35490.327111999999</v>
      </c>
      <c r="AR475" s="420">
        <f>(AM475*(1+$EX$9)+$EX$35)*(1+(INDEX(绊状态确认!$T:$T,MATCH($G475,绊状态确认!$B:$B,))+0.2)*AO475)*IF(J475=$FF$17,1+$FE$17,1)*IF(I475=$FF$14,1+$FE$14,1)</f>
        <v>15913.527691359999</v>
      </c>
      <c r="AS475" s="420">
        <f>(AN475*(1+$EX$10)+$EX$36)*(1+(INDEX(绊状态确认!$T:$T,MATCH($G475,绊状态确认!$B:$B,))+0.2)*AO475)*IF(J475=$FF$17,1+$FE$17,1)*IF(I475=$FF$14,1+$FE$14,1)</f>
        <v>26871.177562319997</v>
      </c>
      <c r="AT475" s="412">
        <f>IF(AND(INDEX('卡片raw data'!AK:AK,MATCH($D475,'卡片raw data'!$F:$F,))&lt;INDEX('卡片raw data'!AM:AM,MATCH($D475,'卡片raw data'!$F:$F,)),INDEX('卡片raw data'!AL:AL,MATCH($D475,'卡片raw data'!$F:$F,))&lt;INDEX('卡片raw data'!AM:AM,MATCH($D475,'卡片raw data'!$F:$F,))),1,0)</f>
        <v>1</v>
      </c>
      <c r="AU475" s="421">
        <f>MIN(AT475*0.15+AS475*0.00003+INDEX(绊状态确认!M:M,MATCH($G475,绊状态确认!$B:$B,)),1)</f>
        <v>0.98613532686960004</v>
      </c>
      <c r="AV475" s="432">
        <f>(INDEX(绊状态确认!$N:$N,MATCH($G475,绊状态确认!$B:$B,))+1.5)*$EW$21</f>
        <v>2.6599999999999997</v>
      </c>
      <c r="AW475" s="424">
        <f t="shared" si="623"/>
        <v>48604.330645466747</v>
      </c>
      <c r="AX475" s="420">
        <f t="shared" si="624"/>
        <v>1374.4124989042584</v>
      </c>
      <c r="AY475" s="433">
        <f t="shared" si="625"/>
        <v>49978.743144371008</v>
      </c>
      <c r="AZ475" s="429">
        <f t="shared" si="626"/>
        <v>26549.957283199998</v>
      </c>
      <c r="BA475" s="431">
        <f t="shared" si="627"/>
        <v>31859.948739839994</v>
      </c>
      <c r="BB475" s="420">
        <f>(AM475*(1+$FB$9)+$FB$35)*(1+(INDEX(绊状态确认!$T:$T,MATCH($G475,绊状态确认!$B:$B,))+0.2)*AO475)*IF(J475=$FF$17,1+$FE$17,1)*IF(I475=$FF$14,1+$FE$14,1)*(1+$FE$15)</f>
        <v>15913.527691359999</v>
      </c>
      <c r="BC475" s="420">
        <f>(AN475*(1+$FB$10)+$FB$36)*(1+(INDEX(绊状态确认!$T:$T,MATCH($G475,绊状态确认!$B:$B,))+0.2)*AO475)*IF(J475=$FF$17,1+$FE$17,1)*IF(I475=$FF$14,1+$FE$14,1)*(1+$FE$15)</f>
        <v>26871.177562319997</v>
      </c>
      <c r="BD475" s="427">
        <f>MIN(AT475*0.15+BC475*0.00003+INDEX(绊状态确认!M:M,MATCH($G475,绊状态确认!$B:$B,)),1)</f>
        <v>0.98613532686960004</v>
      </c>
      <c r="BE475" s="432">
        <f>(INDEX(绊状态确认!$N:$N,MATCH($G475,绊状态确认!$B:$B,))+1.5)</f>
        <v>1.9</v>
      </c>
      <c r="BF475" s="645">
        <f t="array" ref="BF475">SUMPRODUCT(IF(AZ475*AP475*$FI$16:$FI$23*$FA$22&gt;=$FI$24,$FI$24,AZ475*AP475*$FI$16:$FI$23*$FA$22),$FJ$16:$FJ$23)</f>
        <v>52037.3355830656</v>
      </c>
      <c r="BG475" s="453">
        <f t="array" ref="BG475">SUMPRODUCT(IF(BE475*AZ475*AP475*$FI$16:$FI$23*$FA$22&gt;=$FI$24,$FI$24,BE475*AZ475*AP475*$FI$16:$FI$23*$FA$22),$FJ$16:$FJ$23)</f>
        <v>60000</v>
      </c>
      <c r="BH475" s="433">
        <f t="shared" si="628"/>
        <v>19963.200086870711</v>
      </c>
      <c r="BI475" s="434">
        <f>IF(O475="vo",$EW$26/$EW$24*0.05,0)+IF(O475="sk",-$EW$26/$EW$24*(0.05-INDEX(绊状态确认!W:W,MATCH($G475,绊状态确认!$B:$B,)))+0.05*$EW$28,0)+IF(O475="sp",0.05*$EW$32*$EW$30*(1-$EW$33)-(0.05-INDEX(绊状态确认!V:V,MATCH($G475,绊状态确认!$B:$B,)))*$EW$28,0)+IF(O475="gd",-(0.05-INDEX(绊状态确认!X:X,MATCH($G475,绊状态确认!$B:$B,)))*$EW$32*$EW$30*(1-$EW$33),0)</f>
        <v>-585.00000000000011</v>
      </c>
      <c r="BJ475" s="420">
        <f>IF(O475="vo",0.05*(1-$FI$26)*$FA$24,0)+IF(O475="sk",-(0.05-INDEX(绊状态确认!W:W,MATCH($G475,绊状态确认!$B:$B,)))*(1-$FI$26)*$FA$24+0.05*$FA$26,0)+IF(O475="sp",0.05*$FA$32*$FA$27*(1-$FA$33)/$FA$30+0.05*$FA$29/$FA$69*$FA$27*(1-$FA$33)-(0.05-INDEX(绊状态确认!V:V,MATCH($G475,绊状态确认!$B:$B,)))*$FA$26,0)+IF(O475="gd",-(0.05-INDEX(绊状态确认!X:X,MATCH($G475,绊状态确认!$B:$B,)))*$FA$32*$FA$27*(1-$FA$33)/$FA$30-(0.05-INDEX(绊状态确认!X:X,MATCH($G475,绊状态确认!$B:$B,)))*$FA$29/$FA$69*$FA$27*(1-$FA$33),0)</f>
        <v>-795.00000000000011</v>
      </c>
      <c r="BK475" s="433">
        <f>IF(O475="vo",$EW$26/$EW$24*0.05+$EW$26*(-HP($EW$62,$EW$65,$EW$64)+HP($EW$62,$EW$65,(1.05-INDEX(绊状态确认!U:U,MATCH($G475,绊状态确认!$B:$B,)))*$EW$64)),0)+IF(O475="sk",-$EW$26/$EW$24*(0.05-INDEX(绊状态确认!W:W,MATCH($G475,绊状态确认!$B:$B,)))+0.05*$EW$29,0)+IF(O475="sp",0.05*$EW$32*$EW$30*(1-$EW$33)-(0.05-INDEX(绊状态确认!V:V,MATCH($G475,绊状态确认!$B:$B,)))*$EW$29,0)+IF(O475="gd",-(0.05-INDEX(绊状态确认!X:X,MATCH($G475,绊状态确认!$B:$B,)))*$EW$32*$EW$30*(1-$EW$33)+$EW$26*(-HP($EW$62,$EW$65,$EW$64)+HP($EW$62,$EW$65,0.95*$EW$64)),0)</f>
        <v>1009.5947725176144</v>
      </c>
      <c r="BL475" s="434">
        <f t="shared" si="629"/>
        <v>0</v>
      </c>
      <c r="BM475" s="433">
        <f t="shared" si="630"/>
        <v>0</v>
      </c>
      <c r="BN475" s="437">
        <f t="shared" si="631"/>
        <v>3</v>
      </c>
      <c r="BO475" s="1108">
        <f t="shared" si="632"/>
        <v>4507.7214871259994</v>
      </c>
      <c r="BP475" s="1100">
        <f t="shared" si="633"/>
        <v>221.34103209030098</v>
      </c>
      <c r="BQ475" s="437" t="s">
        <v>132</v>
      </c>
      <c r="BR475" s="450" t="s">
        <v>171</v>
      </c>
      <c r="BS475" s="421">
        <f>IF($P475="","N/A",IF($P475=-1,INDEX('卡片raw data'!AX:AX,MATCH($D475,'卡片raw data'!$F:$F,)),0)+IF($L475="party卡",IF($P475=5,INDEX('卡片raw data'!BD:BD,MATCH($D475,'卡片raw data'!$F:$F,)),IF($P475&gt;=3,INDEX('卡片raw data'!BC:BC,MATCH($D475,'卡片raw data'!$F:$F,)),INDEX('卡片raw data'!BB:BB,MATCH($D475,'卡片raw data'!$F:$F,)))),IF(OR(AND($F475="UR",$P475=0),AND($F475="SR",$P475&gt;=0,$P475&lt;=2),AND($F475="R",$P475&gt;=0,$P475&lt;4)),INDEX('卡片raw data'!AZ:AZ,MATCH($D475,'卡片raw data'!$F:$F,)),0)+IF(OR(AND($F475="UR",$P475&gt;=1,$P475&lt;=4),AND($F475="SR",$P475&lt;=4,$P475&gt;=3),AND($F475="R",$P475=4)),INDEX('卡片raw data'!BA:BA,MATCH($D475,'卡片raw data'!$F:$F,)),0)+IF($P475=5,INDEX('卡片raw data'!BB:BB,MATCH($D475,'卡片raw data'!$F:$F,)),0)))</f>
        <v>4.2000000000000003E-2</v>
      </c>
      <c r="BT475" s="424">
        <f t="shared" si="634"/>
        <v>2103.6033606587998</v>
      </c>
      <c r="BU475" s="420">
        <f t="shared" si="635"/>
        <v>90.380921436872924</v>
      </c>
      <c r="BV475" s="420">
        <f t="shared" si="636"/>
        <v>1051.8016803293999</v>
      </c>
      <c r="BW475" s="436">
        <f t="shared" si="637"/>
        <v>0</v>
      </c>
      <c r="BX475" s="423">
        <f t="shared" si="638"/>
        <v>2103.6033606587998</v>
      </c>
      <c r="BY475" s="433">
        <f t="shared" si="639"/>
        <v>1051.8016803293999</v>
      </c>
      <c r="BZ475" s="1113" t="s">
        <v>569</v>
      </c>
      <c r="CA475" s="450"/>
      <c r="CB475" s="421">
        <f>IF($P475="","N/A",IF($P475=-1,INDEX('卡片raw data'!BE:BE,MATCH($D475,'卡片raw data'!$F:$F,)),0)+IF($L475="party卡",IF($P475=5,INDEX('卡片raw data'!BK:BK,MATCH($D475,'卡片raw data'!$F:$F,)),IF($P475&gt;=3,INDEX('卡片raw data'!BJ:BJ,MATCH($D475,'卡片raw data'!$F:$F,)),INDEX('卡片raw data'!BI:BI,MATCH($D475,'卡片raw data'!$F:$F,)))),IF(OR(AND($F475="UR",$P475=0),AND($F475="SR",$P475&gt;=0,$P475&lt;=2),AND($F475="R",$P475&gt;=0,$P475&lt;4)),INDEX('卡片raw data'!BG:BG,MATCH($D475,'卡片raw data'!$F:$F,)),0)+IF(OR(AND($F475="UR",$P475&gt;=1,$P475&lt;=4),AND($F475="SR",$P475&lt;=4,$P475&gt;=3),AND($F475="R",$P475=4)),INDEX('卡片raw data'!BH:BH,MATCH($D475,'卡片raw data'!$F:$F,)),0)+IF($P475=5,INDEX('卡片raw data'!BI:BI,MATCH($D475,'卡片raw data'!$F:$F,)),0)))</f>
        <v>0</v>
      </c>
      <c r="CC475" s="424">
        <f t="shared" si="640"/>
        <v>0</v>
      </c>
      <c r="CD475" s="420">
        <f>IF(BZ475="ap",CB475*(1-$FI$26)*$FB$5/$FB$11*(+IF(CA475="全员",$FA$24,0)+IF(CA475="同作战",$FA$24,0)+IF(CA475="仲间",$FA$24*2/3,0)+IF(CA475="同属性",$FA$24*$FA$37/3,0)+IF(CA475="同年级",$FA$24*$FA$40/3,0)+IF(CA475="同学校",$FA$24*$FA$43/3,0)+IF(CA475="同小队",$FA$24*$FA$46/3,0)+IF(CA475="同type",$FA$24*INDEX($FB$49:$FB$52,MATCH(X475,$FA$49:$FA$52,))/3,0)+IF(CA475="自身",#REF!/3,0)),0)+IF(BZ475="te",CB475*(1-$FI$27)*($FA$20-1)*$FB$7/$FB$13*(+IF(CA475="全员",$FA$19*$FA$24/(1+($FA$20-1)*$FA$19),0)+IF(CA475="同作战",$FA$19*$FA$24/(1+($FA$20-1)*$FA$19),0)+IF(CA475="仲间",$FA$19*$FA$24*2/3/(1+($FA$20-1)*$FA$19),0)+IF(CA475="同属性",$FA$19*$FA$24*$FA$37/3/(1+($FA$20-1)*$FA$19),0)+IF(CA475="同年级",$FA$19*$FA$24*$FA$40/3/(1+($FA$20-1)*$FA$19),0)+IF(CA475="同学校",$FA$19*$FA$24*$FA$43/3/(1+($FA$20-1)*$FA$19),0)+IF(CA475="同小队",$FA$19*$FA$24*$FA$46/3/(1+($FA$20-1)*$FA$19),0)+IF(CA475="同type",$FA$19*$FA$24*INDEX($FB$49:$FB$52,MATCH(X475,$FA$49:$FA$52,))/3/(1+($FA$20-1)*$FA$19),0)+IF(CA475="自身",$FA$19*#REF!/3/(1+(BH475-1)*$BD475),0)),0)</f>
        <v>0</v>
      </c>
      <c r="CE475" s="420">
        <f t="shared" si="641"/>
        <v>0</v>
      </c>
      <c r="CF475" s="436">
        <f t="shared" si="642"/>
        <v>0</v>
      </c>
      <c r="CG475" s="423">
        <f t="shared" si="643"/>
        <v>0</v>
      </c>
      <c r="CH475" s="433">
        <f t="shared" si="644"/>
        <v>0</v>
      </c>
      <c r="CI475" s="437" t="s">
        <v>164</v>
      </c>
      <c r="CJ475" s="438">
        <v>0.5</v>
      </c>
      <c r="CK475" s="439" t="s">
        <v>2152</v>
      </c>
      <c r="CL475" s="439" t="s">
        <v>1947</v>
      </c>
      <c r="CM475" s="443">
        <v>0.12</v>
      </c>
      <c r="CN475" s="439" t="s">
        <v>1948</v>
      </c>
      <c r="CO475" s="1115"/>
      <c r="CP475" s="1118">
        <f t="shared" si="645"/>
        <v>3.214285714285714E-2</v>
      </c>
      <c r="CQ475" s="1118">
        <f t="shared" si="646"/>
        <v>2.9999999999999995E-2</v>
      </c>
      <c r="CR475" s="1118">
        <f t="shared" si="647"/>
        <v>3.214285714285714E-2</v>
      </c>
      <c r="CS475" s="442">
        <f t="shared" si="648"/>
        <v>0</v>
      </c>
      <c r="CT475" s="432">
        <f t="shared" si="649"/>
        <v>0</v>
      </c>
      <c r="CU475" s="1101">
        <f t="shared" si="650"/>
        <v>0</v>
      </c>
      <c r="CV475" s="1108">
        <f t="shared" si="682"/>
        <v>0</v>
      </c>
      <c r="CW475" s="420">
        <f t="shared" si="651"/>
        <v>0</v>
      </c>
      <c r="CX475" s="420">
        <f t="shared" si="652"/>
        <v>1292.8930774663672</v>
      </c>
      <c r="CY475" s="433">
        <f t="shared" si="653"/>
        <v>1292.8930774663672</v>
      </c>
      <c r="CZ475" s="437"/>
      <c r="DA475" s="438"/>
      <c r="DB475" s="439" t="s">
        <v>569</v>
      </c>
      <c r="DC475" s="439"/>
      <c r="DD475" s="443"/>
      <c r="DE475" s="411"/>
      <c r="DF475" s="411"/>
      <c r="DG475" s="1116">
        <f t="shared" si="654"/>
        <v>0</v>
      </c>
      <c r="DH475" s="1116">
        <f t="shared" si="655"/>
        <v>0</v>
      </c>
      <c r="DI475" s="1116">
        <f t="shared" si="656"/>
        <v>0</v>
      </c>
      <c r="DJ475" s="442">
        <f t="shared" si="657"/>
        <v>0</v>
      </c>
      <c r="DK475" s="432">
        <f t="shared" si="658"/>
        <v>0</v>
      </c>
      <c r="DL475" s="424">
        <f t="shared" si="659"/>
        <v>0</v>
      </c>
      <c r="DM475" s="420">
        <f t="shared" si="660"/>
        <v>0</v>
      </c>
      <c r="DN475" s="420">
        <f t="shared" si="661"/>
        <v>0</v>
      </c>
      <c r="DO475" s="420">
        <f t="shared" si="662"/>
        <v>0</v>
      </c>
      <c r="DP475" s="433">
        <f t="shared" si="663"/>
        <v>0</v>
      </c>
      <c r="DQ475" s="437" t="s">
        <v>167</v>
      </c>
      <c r="DR475" s="1120">
        <f t="shared" si="664"/>
        <v>0.33</v>
      </c>
      <c r="DS475" s="450">
        <v>5</v>
      </c>
      <c r="DT475" s="1093" t="s">
        <v>2629</v>
      </c>
      <c r="DU475" s="1093" t="s">
        <v>544</v>
      </c>
      <c r="DV475" s="1098">
        <f>IF($P475="","N/A",IF(P475=-1,INDEX('卡片raw data'!AN:AN,MATCH(D475,'卡片raw data'!$F:$F,)),0)+IF(AND(L475&lt;&gt;"party卡",P475&lt;=2,P475&gt;=0),INDEX('卡片raw data'!AP:AP,MATCH(D475,'卡片raw data'!$F:$F,)),0)+IF(OR(AND(L475="party卡",P475&lt;=1),AND(P475&lt;=4,L475&lt;&gt;"party卡",P475&gt;=3)),INDEX('卡片raw data'!AQ:AQ,MATCH(D475,'卡片raw data'!$F:$F,)),0)+IF(OR(P475=5,AND(L475="party卡",P475&gt;=2)),INDEX('卡片raw data'!AR:AR,MATCH(D475,'卡片raw data'!$F:$F,)),0))</f>
        <v>8.2000000000000003E-2</v>
      </c>
      <c r="DW475" s="1098">
        <f t="shared" si="665"/>
        <v>0.33</v>
      </c>
      <c r="DX475" s="1098">
        <f t="shared" si="666"/>
        <v>0.33</v>
      </c>
      <c r="DY475" s="1098">
        <f t="shared" si="667"/>
        <v>1.804E-2</v>
      </c>
      <c r="DZ475" s="1098">
        <f t="shared" si="668"/>
        <v>1.56046E-2</v>
      </c>
      <c r="EA475" s="421">
        <f t="shared" si="669"/>
        <v>0</v>
      </c>
      <c r="EB475" s="445">
        <f t="shared" si="670"/>
        <v>0</v>
      </c>
      <c r="EC475" s="424">
        <f t="shared" si="671"/>
        <v>2453.1320847705501</v>
      </c>
      <c r="ED475" s="420">
        <f t="shared" si="672"/>
        <v>102.45312921999376</v>
      </c>
      <c r="EE475" s="433">
        <f t="shared" si="598"/>
        <v>2453.1320847705501</v>
      </c>
      <c r="EF475" s="1115" t="s">
        <v>569</v>
      </c>
      <c r="EG475" s="1120">
        <f t="shared" si="673"/>
        <v>0.33</v>
      </c>
      <c r="EH475" s="450"/>
      <c r="EI475" s="1093"/>
      <c r="EJ475" s="1093"/>
      <c r="EK475" s="1097">
        <f>IF($P475="","N/A",IF(P475=-1,INDEX('卡片raw data'!AS:AS,MATCH(D475,'卡片raw data'!$F:$F,)),0)+IF(AND(L475&lt;&gt;"party卡",P475&lt;=2,P475&gt;=0),INDEX('卡片raw data'!AU:AU,MATCH(D475,'卡片raw data'!$F:$F,)),0)+IF(OR(AND(L475="party卡",P475&lt;=1),AND(P475&lt;=4,L475&lt;&gt;"party卡",P475&gt;=3)),INDEX('卡片raw data'!AV:AV,MATCH(D475,'卡片raw data'!$F:$F,)),0)+IF(OR(P475=5,AND(L475="party卡",P475&gt;=2)),INDEX('卡片raw data'!AW:AW,MATCH(D475,'卡片raw data'!$F:$F,)),0))</f>
        <v>0</v>
      </c>
      <c r="EL475" s="1098">
        <f t="shared" si="674"/>
        <v>0.33</v>
      </c>
      <c r="EM475" s="1098">
        <f t="shared" si="675"/>
        <v>0.33</v>
      </c>
      <c r="EN475" s="1097">
        <f t="shared" si="676"/>
        <v>0</v>
      </c>
      <c r="EO475" s="1097">
        <f t="shared" si="677"/>
        <v>0</v>
      </c>
      <c r="EP475" s="421">
        <f t="shared" si="678"/>
        <v>0</v>
      </c>
      <c r="EQ475" s="445">
        <f t="shared" si="679"/>
        <v>0</v>
      </c>
      <c r="ER475" s="424">
        <f t="shared" si="680"/>
        <v>0</v>
      </c>
      <c r="ES475" s="420">
        <f t="shared" si="681"/>
        <v>0</v>
      </c>
      <c r="ET475" s="446">
        <f t="shared" si="599"/>
        <v>0</v>
      </c>
    </row>
    <row r="476" spans="2:150" ht="16.5" customHeight="1">
      <c r="B476" s="448" t="str">
        <f>INDEX('卡片raw data'!B:B,MATCH($D476,'卡片raw data'!$F:$F,))</f>
        <v>梅雨绘</v>
      </c>
      <c r="C476" s="449" t="s">
        <v>2792</v>
      </c>
      <c r="D476" s="408">
        <v>473</v>
      </c>
      <c r="E476" s="477">
        <v>400023004</v>
      </c>
      <c r="F476" s="409" t="str">
        <f>INDEX('卡片raw data'!C:C,MATCH($D476,'卡片raw data'!$F:$F,))</f>
        <v>UR</v>
      </c>
      <c r="G476" s="1094" t="s">
        <v>2805</v>
      </c>
      <c r="H476" s="411">
        <f>IFERROR(INDEX(绊状态确认!C:C,MATCH($G476,绊状态确认!$B:$B,)),"")</f>
        <v>2</v>
      </c>
      <c r="I476" s="450" t="str">
        <f>IFERROR(INDEX(绊状态确认!D:D,MATCH($G476,绊状态确认!$B:$B,)),"")</f>
        <v>缪</v>
      </c>
      <c r="J476" s="450" t="str">
        <f>IFERROR(INDEX(绊状态确认!E:E,MATCH($G476,绊状态确认!$B:$B,)),"")</f>
        <v>3年级</v>
      </c>
      <c r="K476" s="451" t="str">
        <f>IFERROR(INDEX(绊状态确认!F:F,MATCH($G476,绊状态确认!$B:$B,)),"")</f>
        <v>BiBi</v>
      </c>
      <c r="L476" s="414" t="str">
        <f>INDEX('卡片raw data'!E:E,MATCH($D476,'卡片raw data'!$F:$F,))</f>
        <v>活动卡</v>
      </c>
      <c r="M476" s="478">
        <v>44351</v>
      </c>
      <c r="N476" s="479">
        <v>41</v>
      </c>
      <c r="O476" s="410" t="str">
        <f>INDEX('卡片raw data'!D:D,MATCH($D476,'卡片raw data'!$F:$F,))</f>
        <v>sp</v>
      </c>
      <c r="P476" s="1126">
        <v>5</v>
      </c>
      <c r="Q476" s="418">
        <f t="shared" si="600"/>
        <v>25599.253146411455</v>
      </c>
      <c r="R476" s="419">
        <f t="shared" si="601"/>
        <v>0.29699999999999999</v>
      </c>
      <c r="S476" s="420">
        <f t="shared" si="602"/>
        <v>15379.649768583588</v>
      </c>
      <c r="T476" s="421">
        <f t="shared" si="603"/>
        <v>0.76800000000000002</v>
      </c>
      <c r="U476" s="422">
        <f t="shared" si="604"/>
        <v>894.13986674709395</v>
      </c>
      <c r="V476" s="423">
        <f t="shared" si="605"/>
        <v>74072.276694995831</v>
      </c>
      <c r="W476" s="424">
        <f t="shared" si="606"/>
        <v>4542.5429156974278</v>
      </c>
      <c r="X476" s="419">
        <f t="shared" si="607"/>
        <v>5.1999999999999998E-2</v>
      </c>
      <c r="Y476" s="420">
        <f t="shared" si="608"/>
        <v>1837.992458960628</v>
      </c>
      <c r="Z476" s="425">
        <f t="shared" si="609"/>
        <v>22.735100392457145</v>
      </c>
      <c r="AA476" s="426">
        <f t="shared" si="610"/>
        <v>6380.5353746580558</v>
      </c>
      <c r="AB476" s="424">
        <f t="shared" si="611"/>
        <v>4577.3643442688563</v>
      </c>
      <c r="AC476" s="427">
        <f t="shared" si="612"/>
        <v>5.2999999999999999E-2</v>
      </c>
      <c r="AD476" s="428">
        <f t="shared" si="613"/>
        <v>-1.6087500000000001E-2</v>
      </c>
      <c r="AE476" s="516">
        <f t="shared" si="614"/>
        <v>11.819095335144926</v>
      </c>
      <c r="AF476" s="1130">
        <f t="shared" si="615"/>
        <v>11674.322228674559</v>
      </c>
      <c r="AG476" s="420">
        <f t="shared" si="616"/>
        <v>95213.047967040009</v>
      </c>
      <c r="AH476" s="420">
        <f t="shared" si="617"/>
        <v>8.1557666562583826</v>
      </c>
      <c r="AI476" s="1097">
        <f t="shared" si="618"/>
        <v>111568.9132831085</v>
      </c>
      <c r="AJ476" s="420">
        <f t="shared" si="619"/>
        <v>74072.276694995831</v>
      </c>
      <c r="AK476" s="518">
        <f t="shared" si="620"/>
        <v>37496.636588112669</v>
      </c>
      <c r="AL476" s="429">
        <f>IF($P476="","N/A",(IF($P476=-1,INDEX('卡片raw data'!S:S,MATCH($D476,'卡片raw data'!$F:$F,)),0)+IF($P476=0,INDEX('卡片raw data'!V:V,MATCH($D476,'卡片raw data'!$F:$F,)),0)+IF($P476=1,INDEX('卡片raw data'!Y:Y,MATCH($D476,'卡片raw data'!$F:$F,)),0)+IF($P476=2,INDEX('卡片raw data'!AB:AB,MATCH($D476,'卡片raw data'!$F:$F,)),0)+IF($P476=3,INDEX('卡片raw data'!AE:AE,MATCH($D476,'卡片raw data'!$F:$F,)),0)+IF($P476=4,INDEX('卡片raw data'!AH:AH,MATCH($D476,'卡片raw data'!$F:$F,)),0)+IF($P476=5,INDEX('卡片raw data'!AK:AK,MATCH($D476,'卡片raw data'!$F:$F,)),0)+INDEX('卡片raw data'!S:S,MATCH($D476,'卡片raw data'!$F:$F,))*(IF($F476="UR",0.04,0.033))*(IF($F476="UR",INDEX(绊状态确认!$S:$S,MATCH($G476,绊状态确认!$B:$B,))/2-40)+IF($F476="SR",INDEX(绊状态确认!$R:$R,MATCH($G476,绊状态确认!$B:$B,))/4-15))+IF($F476="R",INDEX(绊状态确认!$Q:$Q,MATCH($G476,绊状态确认!$B:$B,))/6-40/6)))*(INDEX(绊状态确认!$H:$H,MATCH($G476,绊状态确认!$B:$B,))+INDEX(绊状态确认!J:J,MATCH($G476,绊状态确认!$B:$B,)))</f>
        <v>4694.9684159999988</v>
      </c>
      <c r="AM476" s="429">
        <f>IF($P476="","N/A",(IF($P476=-1,INDEX('卡片raw data'!T:T,MATCH($D476,'卡片raw data'!$F:$F,)),0)+IF($P476=0,INDEX('卡片raw data'!W:W,MATCH($D476,'卡片raw data'!$F:$F,)),0)+IF($P476=1,INDEX('卡片raw data'!Z:Z,MATCH($D476,'卡片raw data'!$F:$F,)),0)+IF($P476=2,INDEX('卡片raw data'!AC:AC,MATCH($D476,'卡片raw data'!$F:$F,)),0)+IF($P476=3,INDEX('卡片raw data'!AF:AF,MATCH($D476,'卡片raw data'!$F:$F,)),0)+IF($P476=4,INDEX('卡片raw data'!AI:AI,MATCH($D476,'卡片raw data'!$F:$F,)),0)+IF($P476=5,INDEX('卡片raw data'!AL:AL,MATCH($D476,'卡片raw data'!$F:$F,)),0)+INDEX('卡片raw data'!T:T,MATCH($D476,'卡片raw data'!$F:$F,))*(IF($F476="UR",0.04,0.033))*(IF($F476="UR",INDEX(绊状态确认!$S:$S,MATCH($G476,绊状态确认!$B:$B,))/2-40)+IF($F476="SR",INDEX(绊状态确认!$R:$R,MATCH($G476,绊状态确认!$B:$B,))/4-15))+IF($F476="R",INDEX(绊状态确认!$Q:$Q,MATCH($G476,绊状态确认!$B:$B,))/6-40/6)))*(INDEX(绊状态确认!$H:$H,MATCH($G476,绊状态确认!$B:$B,))+INDEX(绊状态确认!K:K,MATCH($G476,绊状态确认!$B:$B,)))</f>
        <v>11899.653504</v>
      </c>
      <c r="AN476" s="429">
        <f>IF($P476="","N/A",(IF($P476=-1,INDEX('卡片raw data'!U:U,MATCH($D476,'卡片raw data'!$F:$F,)),0)+IF($P476=0,INDEX('卡片raw data'!X:X,MATCH($D476,'卡片raw data'!$F:$F,)),0)+IF($P476=1,INDEX('卡片raw data'!AA:AA,MATCH($D476,'卡片raw data'!$F:$F,)),0)+IF($P476=2,INDEX('卡片raw data'!AD:AD,MATCH($D476,'卡片raw data'!$F:$F,)),0)+IF($P476=3,INDEX('卡片raw data'!AG:AG,MATCH($D476,'卡片raw data'!$F:$F,)),0)+IF($P476=4,INDEX('卡片raw data'!AJ:AJ,MATCH($D476,'卡片raw data'!$F:$F,)),0)+IF($P476=5,INDEX('卡片raw data'!AM:AM,MATCH($D476,'卡片raw data'!$F:$F,)),0)+INDEX('卡片raw data'!U:U,MATCH($D476,'卡片raw data'!$F:$F,))*(IF($F476="UR",0.04,0.033))*(IF($F476="UR",INDEX(绊状态确认!$S:$S,MATCH($G476,绊状态确认!$B:$B,))/2-40)+IF($F476="SR",INDEX(绊状态确认!$R:$R,MATCH($G476,绊状态确认!$B:$B,))/4-15))+IF($F476="R",INDEX(绊状态确认!$Q:$Q,MATCH($G476,绊状态确认!$B:$B,))/6-40/6)))*(INDEX(绊状态确认!$H:$H,MATCH($G476,绊状态确认!$B:$B,))+INDEX(绊状态确认!L:L,MATCH($G476,绊状态确认!$B:$B,)))</f>
        <v>14717.561855999998</v>
      </c>
      <c r="AO476" s="430">
        <f t="shared" si="621"/>
        <v>1</v>
      </c>
      <c r="AP476" s="556">
        <f>1+(INDEX(绊状态确认!$T:$T,MATCH($G476,绊状态确认!$B:$B,))+0.2)*$AO476</f>
        <v>1.3</v>
      </c>
      <c r="AQ476" s="431">
        <f t="shared" si="622"/>
        <v>15574.292091999998</v>
      </c>
      <c r="AR476" s="420">
        <f>(AM476*(1+$EX$9)+$EX$35)*(1+(INDEX(绊状态确认!$T:$T,MATCH($G476,绊状态确认!$B:$B,))+0.2)*AO476)*IF(J476=$FF$17,1+$FE$17,1)*IF(I476=$FF$14,1+$FE$14,1)</f>
        <v>18947.027032960003</v>
      </c>
      <c r="AS476" s="420">
        <f>(AN476*(1+$EX$10)+$EX$36)*(1+(INDEX(绊状态确认!$T:$T,MATCH($G476,绊状态确认!$B:$B,))+0.2)*AO476)*IF(J476=$FF$17,1+$FE$17,1)*IF(I476=$FF$14,1+$FE$14,1)</f>
        <v>26058.754974719999</v>
      </c>
      <c r="AT476" s="412">
        <f>IF(AND(INDEX('卡片raw data'!AK:AK,MATCH($D476,'卡片raw data'!$F:$F,))&lt;INDEX('卡片raw data'!AM:AM,MATCH($D476,'卡片raw data'!$F:$F,)),INDEX('卡片raw data'!AL:AL,MATCH($D476,'卡片raw data'!$F:$F,))&lt;INDEX('卡片raw data'!AM:AM,MATCH($D476,'卡片raw data'!$F:$F,))),1,0)</f>
        <v>1</v>
      </c>
      <c r="AU476" s="421">
        <f>MIN(AT476*0.15+AS476*0.00003+INDEX(绊状态确认!M:M,MATCH($G476,绊状态确认!$B:$B,)),1)</f>
        <v>0.96176264924160004</v>
      </c>
      <c r="AV476" s="432">
        <f>(INDEX(绊状态确认!$N:$N,MATCH($G476,绊状态确认!$B:$B,))+1.5)*$EW$21</f>
        <v>2.6599999999999997</v>
      </c>
      <c r="AW476" s="424">
        <f t="shared" si="623"/>
        <v>21001.888802142596</v>
      </c>
      <c r="AX476" s="420">
        <f t="shared" si="624"/>
        <v>1647.495817715243</v>
      </c>
      <c r="AY476" s="433">
        <f t="shared" si="625"/>
        <v>22649.384619857839</v>
      </c>
      <c r="AZ476" s="429">
        <f t="shared" si="626"/>
        <v>11755.188411199997</v>
      </c>
      <c r="BA476" s="431">
        <f t="shared" si="627"/>
        <v>14106.226093439996</v>
      </c>
      <c r="BB476" s="420">
        <f>(AM476*(1+$FB$9)+$FB$35)*(1+(INDEX(绊状态确认!$T:$T,MATCH($G476,绊状态确认!$B:$B,))+0.2)*AO476)*IF(J476=$FF$17,1+$FE$17,1)*IF(I476=$FF$14,1+$FE$14,1)*(1+$FE$15)</f>
        <v>18947.027032960003</v>
      </c>
      <c r="BC476" s="420">
        <f>(AN476*(1+$FB$10)+$FB$36)*(1+(INDEX(绊状态确认!$T:$T,MATCH($G476,绊状态确认!$B:$B,))+0.2)*AO476)*IF(J476=$FF$17,1+$FE$17,1)*IF(I476=$FF$14,1+$FE$14,1)*(1+$FE$15)</f>
        <v>26058.754974719999</v>
      </c>
      <c r="BD476" s="427">
        <f>MIN(AT476*0.15+BC476*0.00003+INDEX(绊状态确认!M:M,MATCH($G476,绊状态确认!$B:$B,)),1)</f>
        <v>0.96176264924160004</v>
      </c>
      <c r="BE476" s="432">
        <f>(INDEX(绊状态确认!$N:$N,MATCH($G476,绊状态确认!$B:$B,))+1.5)</f>
        <v>1.9</v>
      </c>
      <c r="BF476" s="645">
        <f t="array" ref="BF476">SUMPRODUCT(IF(AZ476*AP476*$FI$16:$FI$23*$FA$22&gt;=$FI$24,$FI$24,AZ476*AP476*$FI$16:$FI$23*$FA$22),$FJ$16:$FJ$23)</f>
        <v>23381.069749876795</v>
      </c>
      <c r="BG476" s="453">
        <f t="array" ref="BG476">SUMPRODUCT(IF(BE476*AZ476*AP476*$FI$16:$FI$23*$FA$22&gt;=$FI$24,$FI$24,BE476*AZ476*AP476*$FI$16:$FI$23*$FA$22),$FJ$16:$FJ$23)</f>
        <v>44424.032524765913</v>
      </c>
      <c r="BH476" s="433">
        <f t="shared" si="628"/>
        <v>14539.801792048842</v>
      </c>
      <c r="BI476" s="434">
        <f>IF(O476="vo",$EW$26/$EW$24*0.05,0)+IF(O476="sk",-$EW$26/$EW$24*(0.05-INDEX(绊状态确认!W:W,MATCH($G476,绊状态确认!$B:$B,)))+0.05*$EW$28,0)+IF(O476="sp",0.05*$EW$32*$EW$30*(1-$EW$33)-(0.05-INDEX(绊状态确认!V:V,MATCH($G476,绊状态确认!$B:$B,)))*$EW$28,0)+IF(O476="gd",-(0.05-INDEX(绊状态确认!X:X,MATCH($G476,绊状态确认!$B:$B,)))*$EW$32*$EW$30*(1-$EW$33),0)</f>
        <v>19.999999999999886</v>
      </c>
      <c r="BJ476" s="420">
        <f>IF(O476="vo",0.05*(1-$FI$26)*$FA$24,0)+IF(O476="sk",-(0.05-INDEX(绊状态确认!W:W,MATCH($G476,绊状态确认!$B:$B,)))*(1-$FI$26)*$FA$24+0.05*$FA$26,0)+IF(O476="sp",0.05*$FA$32*$FA$27*(1-$FA$33)/$FA$30+0.05*$FA$29/$FA$69*$FA$27*(1-$FA$33)-(0.05-INDEX(绊状态确认!V:V,MATCH($G476,绊状态确认!$B:$B,)))*$FA$26,0)+IF(O476="gd",-(0.05-INDEX(绊状态确认!X:X,MATCH($G476,绊状态确认!$B:$B,)))*$FA$32*$FA$27*(1-$FA$33)/$FA$30-(0.05-INDEX(绊状态确认!X:X,MATCH($G476,绊状态确认!$B:$B,)))*$FA$29/$FA$69*$FA$27*(1-$FA$33),0)</f>
        <v>545.83333333333326</v>
      </c>
      <c r="BK476" s="433">
        <f>IF(O476="vo",$EW$26/$EW$24*0.05+$EW$26*(-HP($EW$62,$EW$65,$EW$64)+HP($EW$62,$EW$65,(1.05-INDEX(绊状态确认!U:U,MATCH($G476,绊状态确认!$B:$B,)))*$EW$64)),0)+IF(O476="sk",-$EW$26/$EW$24*(0.05-INDEX(绊状态确认!W:W,MATCH($G476,绊状态确认!$B:$B,)))+0.05*$EW$29,0)+IF(O476="sp",0.05*$EW$32*$EW$30*(1-$EW$33)-(0.05-INDEX(绊状态确认!V:V,MATCH($G476,绊状态确认!$B:$B,)))*$EW$29,0)+IF(O476="gd",-(0.05-INDEX(绊状态确认!X:X,MATCH($G476,绊状态确认!$B:$B,)))*$EW$32*$EW$30*(1-$EW$33)+$EW$26*(-HP($EW$62,$EW$65,$EW$64)+HP($EW$62,$EW$65,0.95*$EW$64)),0)</f>
        <v>-1780.0000000000005</v>
      </c>
      <c r="BL476" s="434">
        <f t="shared" si="629"/>
        <v>0</v>
      </c>
      <c r="BM476" s="433">
        <f t="shared" si="630"/>
        <v>0</v>
      </c>
      <c r="BN476" s="437">
        <f t="shared" si="631"/>
        <v>3</v>
      </c>
      <c r="BO476" s="1108">
        <f t="shared" si="632"/>
        <v>4507.7214871259994</v>
      </c>
      <c r="BP476" s="1100">
        <f t="shared" si="633"/>
        <v>221.34103209030098</v>
      </c>
      <c r="BQ476" s="437" t="s">
        <v>133</v>
      </c>
      <c r="BR476" s="450" t="s">
        <v>171</v>
      </c>
      <c r="BS476" s="421">
        <f>IF($P476="","N/A",IF($P476=-1,INDEX('卡片raw data'!AX:AX,MATCH($D476,'卡片raw data'!$F:$F,)),0)+IF($L476="party卡",IF($P476=5,INDEX('卡片raw data'!BD:BD,MATCH($D476,'卡片raw data'!$F:$F,)),IF($P476&gt;=3,INDEX('卡片raw data'!BC:BC,MATCH($D476,'卡片raw data'!$F:$F,)),INDEX('卡片raw data'!BB:BB,MATCH($D476,'卡片raw data'!$F:$F,)))),IF(OR(AND($F476="UR",$P476=0),AND($F476="SR",$P476&gt;=0,$P476&lt;=2),AND($F476="R",$P476&gt;=0,$P476&lt;4)),INDEX('卡片raw data'!AZ:AZ,MATCH($D476,'卡片raw data'!$F:$F,)),0)+IF(OR(AND($F476="UR",$P476&gt;=1,$P476&lt;=4),AND($F476="SR",$P476&lt;=4,$P476&gt;=3),AND($F476="R",$P476=4)),INDEX('卡片raw data'!BA:BA,MATCH($D476,'卡片raw data'!$F:$F,)),0)+IF($P476=5,INDEX('卡片raw data'!BB:BB,MATCH($D476,'卡片raw data'!$F:$F,)),0)))</f>
        <v>5.1999999999999998E-2</v>
      </c>
      <c r="BT476" s="424">
        <f t="shared" si="634"/>
        <v>0</v>
      </c>
      <c r="BU476" s="420">
        <f t="shared" si="635"/>
        <v>0</v>
      </c>
      <c r="BV476" s="420">
        <f t="shared" si="636"/>
        <v>0</v>
      </c>
      <c r="BW476" s="436">
        <f t="shared" si="637"/>
        <v>2.4347142857142861</v>
      </c>
      <c r="BX476" s="423">
        <f t="shared" si="638"/>
        <v>190.49664124538464</v>
      </c>
      <c r="BY476" s="433">
        <f t="shared" si="639"/>
        <v>190.49664124538464</v>
      </c>
      <c r="BZ476" s="1113" t="s">
        <v>569</v>
      </c>
      <c r="CA476" s="450"/>
      <c r="CB476" s="421">
        <f>IF($P476="","N/A",IF($P476=-1,INDEX('卡片raw data'!BE:BE,MATCH($D476,'卡片raw data'!$F:$F,)),0)+IF($L476="party卡",IF($P476=5,INDEX('卡片raw data'!BK:BK,MATCH($D476,'卡片raw data'!$F:$F,)),IF($P476&gt;=3,INDEX('卡片raw data'!BJ:BJ,MATCH($D476,'卡片raw data'!$F:$F,)),INDEX('卡片raw data'!BI:BI,MATCH($D476,'卡片raw data'!$F:$F,)))),IF(OR(AND($F476="UR",$P476=0),AND($F476="SR",$P476&gt;=0,$P476&lt;=2),AND($F476="R",$P476&gt;=0,$P476&lt;4)),INDEX('卡片raw data'!BG:BG,MATCH($D476,'卡片raw data'!$F:$F,)),0)+IF(OR(AND($F476="UR",$P476&gt;=1,$P476&lt;=4),AND($F476="SR",$P476&lt;=4,$P476&gt;=3),AND($F476="R",$P476=4)),INDEX('卡片raw data'!BH:BH,MATCH($D476,'卡片raw data'!$F:$F,)),0)+IF($P476=5,INDEX('卡片raw data'!BI:BI,MATCH($D476,'卡片raw data'!$F:$F,)),0)))</f>
        <v>0</v>
      </c>
      <c r="CC476" s="424">
        <f t="shared" si="640"/>
        <v>0</v>
      </c>
      <c r="CD476" s="420">
        <f>IF(BZ476="ap",CB476*(1-$FI$26)*$FB$5/$FB$11*(+IF(CA476="全员",$FA$24,0)+IF(CA476="同作战",$FA$24,0)+IF(CA476="仲间",$FA$24*2/3,0)+IF(CA476="同属性",$FA$24*$FA$37/3,0)+IF(CA476="同年级",$FA$24*$FA$40/3,0)+IF(CA476="同学校",$FA$24*$FA$43/3,0)+IF(CA476="同小队",$FA$24*$FA$46/3,0)+IF(CA476="同type",$FA$24*INDEX($FB$49:$FB$52,MATCH(X476,$FA$49:$FA$52,))/3,0)+IF(CA476="自身",#REF!/3,0)),0)+IF(BZ476="te",CB476*(1-$FI$27)*($FA$20-1)*$FB$7/$FB$13*(+IF(CA476="全员",$FA$19*$FA$24/(1+($FA$20-1)*$FA$19),0)+IF(CA476="同作战",$FA$19*$FA$24/(1+($FA$20-1)*$FA$19),0)+IF(CA476="仲间",$FA$19*$FA$24*2/3/(1+($FA$20-1)*$FA$19),0)+IF(CA476="同属性",$FA$19*$FA$24*$FA$37/3/(1+($FA$20-1)*$FA$19),0)+IF(CA476="同年级",$FA$19*$FA$24*$FA$40/3/(1+($FA$20-1)*$FA$19),0)+IF(CA476="同学校",$FA$19*$FA$24*$FA$43/3/(1+($FA$20-1)*$FA$19),0)+IF(CA476="同小队",$FA$19*$FA$24*$FA$46/3/(1+($FA$20-1)*$FA$19),0)+IF(CA476="同type",$FA$19*$FA$24*INDEX($FB$49:$FB$52,MATCH(X476,$FA$49:$FA$52,))/3/(1+($FA$20-1)*$FA$19),0)+IF(CA476="自身",$FA$19*#REF!/3/(1+(BH476-1)*$BD476),0)),0)</f>
        <v>0</v>
      </c>
      <c r="CE476" s="420">
        <f t="shared" si="641"/>
        <v>0</v>
      </c>
      <c r="CF476" s="436">
        <f t="shared" si="642"/>
        <v>0</v>
      </c>
      <c r="CG476" s="423">
        <f t="shared" si="643"/>
        <v>0</v>
      </c>
      <c r="CH476" s="433">
        <f t="shared" si="644"/>
        <v>0</v>
      </c>
      <c r="CI476" s="1113" t="s">
        <v>162</v>
      </c>
      <c r="CJ476" s="1114">
        <v>0.5</v>
      </c>
      <c r="CK476" s="1115" t="s">
        <v>2143</v>
      </c>
      <c r="CL476" s="1115" t="s">
        <v>2075</v>
      </c>
      <c r="CM476" s="1119">
        <v>0.25</v>
      </c>
      <c r="CN476" s="1115">
        <v>3</v>
      </c>
      <c r="CO476" s="1115"/>
      <c r="CP476" s="1118">
        <f t="shared" si="645"/>
        <v>5.3571428571428563E-3</v>
      </c>
      <c r="CQ476" s="1118">
        <f t="shared" si="646"/>
        <v>7.2916666666666676E-3</v>
      </c>
      <c r="CR476" s="1118">
        <f t="shared" si="647"/>
        <v>2.6785714285714282E-3</v>
      </c>
      <c r="CS476" s="442">
        <f t="shared" si="648"/>
        <v>0</v>
      </c>
      <c r="CT476" s="432">
        <f t="shared" si="649"/>
        <v>0.89518229166666674</v>
      </c>
      <c r="CU476" s="1101">
        <f t="shared" si="650"/>
        <v>69.642857142857125</v>
      </c>
      <c r="CV476" s="1108">
        <f t="shared" si="682"/>
        <v>72.673611111111114</v>
      </c>
      <c r="CW476" s="1097">
        <f t="shared" si="651"/>
        <v>34.821428571428562</v>
      </c>
      <c r="CX476" s="1097">
        <f t="shared" si="652"/>
        <v>69.642857142857125</v>
      </c>
      <c r="CY476" s="1110">
        <f t="shared" si="653"/>
        <v>34.821428571428562</v>
      </c>
      <c r="CZ476" s="437"/>
      <c r="DA476" s="438"/>
      <c r="DB476" s="439" t="s">
        <v>569</v>
      </c>
      <c r="DC476" s="439"/>
      <c r="DD476" s="443"/>
      <c r="DE476" s="411"/>
      <c r="DF476" s="411"/>
      <c r="DG476" s="1116">
        <f t="shared" si="654"/>
        <v>0</v>
      </c>
      <c r="DH476" s="1116">
        <f t="shared" si="655"/>
        <v>0</v>
      </c>
      <c r="DI476" s="1116">
        <f t="shared" si="656"/>
        <v>0</v>
      </c>
      <c r="DJ476" s="442">
        <f t="shared" si="657"/>
        <v>0</v>
      </c>
      <c r="DK476" s="432">
        <f t="shared" si="658"/>
        <v>0</v>
      </c>
      <c r="DL476" s="424">
        <f t="shared" si="659"/>
        <v>0</v>
      </c>
      <c r="DM476" s="420">
        <f t="shared" si="660"/>
        <v>0</v>
      </c>
      <c r="DN476" s="420">
        <f t="shared" si="661"/>
        <v>0</v>
      </c>
      <c r="DO476" s="420">
        <f t="shared" si="662"/>
        <v>0</v>
      </c>
      <c r="DP476" s="433">
        <f t="shared" si="663"/>
        <v>0</v>
      </c>
      <c r="DQ476" s="1113" t="s">
        <v>635</v>
      </c>
      <c r="DR476" s="444">
        <f t="shared" si="664"/>
        <v>0.33</v>
      </c>
      <c r="DS476" s="1124"/>
      <c r="DT476" s="1093" t="s">
        <v>134</v>
      </c>
      <c r="DU476" s="1093"/>
      <c r="DV476" s="1098">
        <f>IF($P476="","N/A",IF(P476=-1,INDEX('卡片raw data'!AN:AN,MATCH(D476,'卡片raw data'!$F:$F,)),0)+IF(AND(L476&lt;&gt;"party卡",P476&lt;=2,P476&gt;=0),INDEX('卡片raw data'!AP:AP,MATCH(D476,'卡片raw data'!$F:$F,)),0)+IF(OR(AND(L476="party卡",P476&lt;=1),AND(P476&lt;=4,L476&lt;&gt;"party卡",P476&gt;=3)),INDEX('卡片raw data'!AQ:AQ,MATCH(D476,'卡片raw data'!$F:$F,)),0)+IF(OR(P476=5,AND(L476="party卡",P476&gt;=2)),INDEX('卡片raw data'!AR:AR,MATCH(D476,'卡片raw data'!$F:$F,)),0))</f>
        <v>0.32</v>
      </c>
      <c r="DW476" s="1098">
        <f t="shared" si="665"/>
        <v>0.33</v>
      </c>
      <c r="DX476" s="1098">
        <f t="shared" si="666"/>
        <v>0.33</v>
      </c>
      <c r="DY476" s="1097">
        <f t="shared" si="667"/>
        <v>917.26817511014406</v>
      </c>
      <c r="DZ476" s="1097">
        <f t="shared" si="668"/>
        <v>793.43697147027456</v>
      </c>
      <c r="EA476" s="421">
        <f t="shared" si="669"/>
        <v>0</v>
      </c>
      <c r="EB476" s="445">
        <f t="shared" si="670"/>
        <v>0</v>
      </c>
      <c r="EC476" s="424">
        <f t="shared" si="671"/>
        <v>0</v>
      </c>
      <c r="ED476" s="420">
        <f t="shared" si="672"/>
        <v>0</v>
      </c>
      <c r="EE476" s="433">
        <f t="shared" si="598"/>
        <v>48435.03108962375</v>
      </c>
      <c r="EF476" s="1115" t="s">
        <v>569</v>
      </c>
      <c r="EG476" s="444">
        <f t="shared" si="673"/>
        <v>0.33</v>
      </c>
      <c r="EH476" s="450"/>
      <c r="EI476" s="1093"/>
      <c r="EJ476" s="1093"/>
      <c r="EK476" s="420">
        <f>IF($P476="","N/A",IF(P476=-1,INDEX('卡片raw data'!AS:AS,MATCH(D476,'卡片raw data'!$F:$F,)),0)+IF(AND(L476&lt;&gt;"party卡",P476&lt;=2,P476&gt;=0),INDEX('卡片raw data'!AU:AU,MATCH(D476,'卡片raw data'!$F:$F,)),0)+IF(OR(AND(L476="party卡",P476&lt;=1),AND(P476&lt;=4,L476&lt;&gt;"party卡",P476&gt;=3)),INDEX('卡片raw data'!AV:AV,MATCH(D476,'卡片raw data'!$F:$F,)),0)+IF(OR(P476=5,AND(L476="party卡",P476&gt;=2)),INDEX('卡片raw data'!AW:AW,MATCH(D476,'卡片raw data'!$F:$F,)),0))</f>
        <v>0</v>
      </c>
      <c r="EL476" s="1098">
        <f t="shared" si="674"/>
        <v>0.33</v>
      </c>
      <c r="EM476" s="1098">
        <f t="shared" si="675"/>
        <v>0.33</v>
      </c>
      <c r="EN476" s="1097">
        <f t="shared" si="676"/>
        <v>0</v>
      </c>
      <c r="EO476" s="1097">
        <f t="shared" si="677"/>
        <v>0</v>
      </c>
      <c r="EP476" s="421">
        <f t="shared" si="678"/>
        <v>0</v>
      </c>
      <c r="EQ476" s="445">
        <f t="shared" si="679"/>
        <v>0</v>
      </c>
      <c r="ER476" s="424">
        <f t="shared" si="680"/>
        <v>0</v>
      </c>
      <c r="ES476" s="420">
        <f t="shared" si="681"/>
        <v>0</v>
      </c>
      <c r="ET476" s="446">
        <f t="shared" si="599"/>
        <v>0</v>
      </c>
    </row>
    <row r="477" spans="2:150" ht="16.5" customHeight="1">
      <c r="B477" s="448" t="str">
        <f>INDEX('卡片raw data'!B:B,MATCH($D477,'卡片raw data'!$F:$F,))</f>
        <v>三单梨</v>
      </c>
      <c r="C477" s="449" t="s">
        <v>2814</v>
      </c>
      <c r="D477" s="408">
        <v>474</v>
      </c>
      <c r="E477" s="477">
        <v>401022004</v>
      </c>
      <c r="F477" s="409" t="str">
        <f>INDEX('卡片raw data'!C:C,MATCH($D477,'卡片raw data'!$F:$F,))</f>
        <v>SR</v>
      </c>
      <c r="G477" s="1094" t="s">
        <v>2815</v>
      </c>
      <c r="H477" s="411">
        <f>IFERROR(INDEX(绊状态确认!C:C,MATCH($G477,绊状态确认!$B:$B,)),"")</f>
        <v>102</v>
      </c>
      <c r="I477" s="450" t="str">
        <f>IFERROR(INDEX(绊状态确认!D:D,MATCH($G477,绊状态确认!$B:$B,)),"")</f>
        <v>水</v>
      </c>
      <c r="J477" s="450" t="str">
        <f>IFERROR(INDEX(绊状态确认!E:E,MATCH($G477,绊状态确认!$B:$B,)),"")</f>
        <v>2年级</v>
      </c>
      <c r="K477" s="451" t="str">
        <f>IFERROR(INDEX(绊状态确认!F:F,MATCH($G477,绊状态确认!$B:$B,)),"")</f>
        <v>Guilty Kiss</v>
      </c>
      <c r="L477" s="414" t="str">
        <f>INDEX('卡片raw data'!E:E,MATCH($D477,'卡片raw data'!$F:$F,))</f>
        <v>活动卡</v>
      </c>
      <c r="M477" s="478">
        <v>44351</v>
      </c>
      <c r="N477" s="479">
        <v>41</v>
      </c>
      <c r="O477" s="410" t="str">
        <f>INDEX('卡片raw data'!D:D,MATCH($D477,'卡片raw data'!$F:$F,))</f>
        <v>vo</v>
      </c>
      <c r="P477" s="1126">
        <v>5</v>
      </c>
      <c r="Q477" s="418">
        <f t="shared" si="600"/>
        <v>36397.830377290957</v>
      </c>
      <c r="R477" s="419">
        <f t="shared" si="601"/>
        <v>0.42299999999999999</v>
      </c>
      <c r="S477" s="420">
        <f t="shared" si="602"/>
        <v>15771.06753822423</v>
      </c>
      <c r="T477" s="421">
        <f t="shared" si="603"/>
        <v>0.78800000000000003</v>
      </c>
      <c r="U477" s="422">
        <f t="shared" si="604"/>
        <v>-14.130834048331428</v>
      </c>
      <c r="V477" s="423">
        <f t="shared" si="605"/>
        <v>35953.731169298051</v>
      </c>
      <c r="W477" s="424">
        <f t="shared" si="606"/>
        <v>4566.2996054330497</v>
      </c>
      <c r="X477" s="419">
        <f t="shared" si="607"/>
        <v>5.2999999999999999E-2</v>
      </c>
      <c r="Y477" s="420">
        <f t="shared" si="608"/>
        <v>860.56924224879458</v>
      </c>
      <c r="Z477" s="425">
        <f t="shared" si="609"/>
        <v>10.869165951668572</v>
      </c>
      <c r="AA477" s="426">
        <f t="shared" si="610"/>
        <v>5426.8688476818443</v>
      </c>
      <c r="AB477" s="424">
        <f t="shared" si="611"/>
        <v>4566.2996054330497</v>
      </c>
      <c r="AC477" s="427">
        <f t="shared" si="612"/>
        <v>5.2999999999999999E-2</v>
      </c>
      <c r="AD477" s="428">
        <f t="shared" si="613"/>
        <v>-3.8207812500000026E-3</v>
      </c>
      <c r="AE477" s="516">
        <f t="shared" si="614"/>
        <v>-12.27536231884058</v>
      </c>
      <c r="AF477" s="1130">
        <f t="shared" si="615"/>
        <v>0</v>
      </c>
      <c r="AG477" s="420">
        <f t="shared" si="616"/>
        <v>0</v>
      </c>
      <c r="AH477" s="420">
        <f t="shared" si="617"/>
        <v>0</v>
      </c>
      <c r="AI477" s="1097">
        <f t="shared" si="618"/>
        <v>0</v>
      </c>
      <c r="AJ477" s="420">
        <f t="shared" si="619"/>
        <v>0</v>
      </c>
      <c r="AK477" s="518">
        <f t="shared" si="620"/>
        <v>0</v>
      </c>
      <c r="AL477" s="429">
        <f>IF($P477="","N/A",(IF($P477=-1,INDEX('卡片raw data'!S:S,MATCH($D477,'卡片raw data'!$F:$F,)),0)+IF($P477=0,INDEX('卡片raw data'!V:V,MATCH($D477,'卡片raw data'!$F:$F,)),0)+IF($P477=1,INDEX('卡片raw data'!Y:Y,MATCH($D477,'卡片raw data'!$F:$F,)),0)+IF($P477=2,INDEX('卡片raw data'!AB:AB,MATCH($D477,'卡片raw data'!$F:$F,)),0)+IF($P477=3,INDEX('卡片raw data'!AE:AE,MATCH($D477,'卡片raw data'!$F:$F,)),0)+IF($P477=4,INDEX('卡片raw data'!AH:AH,MATCH($D477,'卡片raw data'!$F:$F,)),0)+IF($P477=5,INDEX('卡片raw data'!AK:AK,MATCH($D477,'卡片raw data'!$F:$F,)),0)+INDEX('卡片raw data'!S:S,MATCH($D477,'卡片raw data'!$F:$F,))*(IF($F477="UR",0.04,0.033))*(IF($F477="UR",INDEX(绊状态确认!$S:$S,MATCH($G477,绊状态确认!$B:$B,))/2-40)+IF($F477="SR",INDEX(绊状态确认!$R:$R,MATCH($G477,绊状态确认!$B:$B,))/4-15))+IF($F477="R",INDEX(绊状态确认!$Q:$Q,MATCH($G477,绊状态确认!$B:$B,))/6-40/6)))*(INDEX(绊状态确认!$H:$H,MATCH($G477,绊状态确认!$B:$B,))+INDEX(绊状态确认!J:J,MATCH($G477,绊状态确认!$B:$B,)))</f>
        <v>8471.8233623999986</v>
      </c>
      <c r="AM477" s="429">
        <f>IF($P477="","N/A",(IF($P477=-1,INDEX('卡片raw data'!T:T,MATCH($D477,'卡片raw data'!$F:$F,)),0)+IF($P477=0,INDEX('卡片raw data'!W:W,MATCH($D477,'卡片raw data'!$F:$F,)),0)+IF($P477=1,INDEX('卡片raw data'!Z:Z,MATCH($D477,'卡片raw data'!$F:$F,)),0)+IF($P477=2,INDEX('卡片raw data'!AC:AC,MATCH($D477,'卡片raw data'!$F:$F,)),0)+IF($P477=3,INDEX('卡片raw data'!AF:AF,MATCH($D477,'卡片raw data'!$F:$F,)),0)+IF($P477=4,INDEX('卡片raw data'!AI:AI,MATCH($D477,'卡片raw data'!$F:$F,)),0)+IF($P477=5,INDEX('卡片raw data'!AL:AL,MATCH($D477,'卡片raw data'!$F:$F,)),0)+INDEX('卡片raw data'!T:T,MATCH($D477,'卡片raw data'!$F:$F,))*(IF($F477="UR",0.04,0.033))*(IF($F477="UR",INDEX(绊状态确认!$S:$S,MATCH($G477,绊状态确认!$B:$B,))/2-40)+IF($F477="SR",INDEX(绊状态确认!$R:$R,MATCH($G477,绊状态确认!$B:$B,))/4-15))+IF($F477="R",INDEX(绊状态确认!$Q:$Q,MATCH($G477,绊状态确认!$B:$B,))/6-40/6)))*(INDEX(绊状态确认!$H:$H,MATCH($G477,绊状态确认!$B:$B,))+INDEX(绊状态确认!K:K,MATCH($G477,绊状态确认!$B:$B,)))</f>
        <v>4426.4870975999993</v>
      </c>
      <c r="AN477" s="429">
        <f>IF($P477="","N/A",(IF($P477=-1,INDEX('卡片raw data'!U:U,MATCH($D477,'卡片raw data'!$F:$F,)),0)+IF($P477=0,INDEX('卡片raw data'!X:X,MATCH($D477,'卡片raw data'!$F:$F,)),0)+IF($P477=1,INDEX('卡片raw data'!AA:AA,MATCH($D477,'卡片raw data'!$F:$F,)),0)+IF($P477=2,INDEX('卡片raw data'!AD:AD,MATCH($D477,'卡片raw data'!$F:$F,)),0)+IF($P477=3,INDEX('卡片raw data'!AG:AG,MATCH($D477,'卡片raw data'!$F:$F,)),0)+IF($P477=4,INDEX('卡片raw data'!AJ:AJ,MATCH($D477,'卡片raw data'!$F:$F,)),0)+IF($P477=5,INDEX('卡片raw data'!AM:AM,MATCH($D477,'卡片raw data'!$F:$F,)),0)+INDEX('卡片raw data'!U:U,MATCH($D477,'卡片raw data'!$F:$F,))*(IF($F477="UR",0.04,0.033))*(IF($F477="UR",INDEX(绊状态确认!$S:$S,MATCH($G477,绊状态确认!$B:$B,))/2-40)+IF($F477="SR",INDEX(绊状态确认!$R:$R,MATCH($G477,绊状态确认!$B:$B,))/4-15))+IF($F477="R",INDEX(绊状态确认!$Q:$Q,MATCH($G477,绊状态确认!$B:$B,))/6-40/6)))*(INDEX(绊状态确认!$H:$H,MATCH($G477,绊状态确认!$B:$B,))+INDEX(绊状态确认!L:L,MATCH($G477,绊状态确认!$B:$B,)))</f>
        <v>6352.9964711999992</v>
      </c>
      <c r="AO477" s="430">
        <f t="shared" si="621"/>
        <v>1</v>
      </c>
      <c r="AP477" s="556">
        <f>1+(INDEX(绊状态确认!$T:$T,MATCH($G477,绊状态确认!$B:$B,))+0.2)*$AO477</f>
        <v>1.3</v>
      </c>
      <c r="AQ477" s="431">
        <f t="shared" si="622"/>
        <v>25488.536326299996</v>
      </c>
      <c r="AR477" s="420">
        <f>(AM477*(1+$EX$9)+$EX$35)*(1+(INDEX(绊状态确认!$T:$T,MATCH($G477,绊状态确认!$B:$B,))+0.2)*AO477)*IF(J477=$FF$17,1+$FE$17,1)*IF(I477=$FF$14,1+$FE$14,1)</f>
        <v>8746.1548882240004</v>
      </c>
      <c r="AS477" s="420">
        <f>(AN477*(1+$EX$10)+$EX$36)*(1+(INDEX(绊状态确认!$T:$T,MATCH($G477,绊状态确认!$B:$B,))+0.2)*AO477)*IF(J477=$FF$17,1+$FE$17,1)*IF(I477=$FF$14,1+$FE$14,1)</f>
        <v>13553.729724444</v>
      </c>
      <c r="AT477" s="412">
        <f>IF(AND(INDEX('卡片raw data'!AK:AK,MATCH($D477,'卡片raw data'!$F:$F,))&lt;INDEX('卡片raw data'!AM:AM,MATCH($D477,'卡片raw data'!$F:$F,)),INDEX('卡片raw data'!AL:AL,MATCH($D477,'卡片raw data'!$F:$F,))&lt;INDEX('卡片raw data'!AM:AM,MATCH($D477,'卡片raw data'!$F:$F,))),1,0)</f>
        <v>0</v>
      </c>
      <c r="AU477" s="421">
        <f>MIN(AT477*0.15+AS477*0.00003+INDEX(绊状态确认!M:M,MATCH($G477,绊状态确认!$B:$B,)),1)</f>
        <v>0.43661189173332005</v>
      </c>
      <c r="AV477" s="432">
        <f>(INDEX(绊状态确认!$N:$N,MATCH($G477,绊状态确认!$B:$B,))+1.5)*$EW$21</f>
        <v>2.6599999999999997</v>
      </c>
      <c r="AW477" s="424">
        <f t="shared" si="623"/>
        <v>22831.523697622983</v>
      </c>
      <c r="AX477" s="420">
        <f t="shared" si="624"/>
        <v>743.56075243886335</v>
      </c>
      <c r="AY477" s="433">
        <f t="shared" si="625"/>
        <v>23575.084450061848</v>
      </c>
      <c r="AZ477" s="429">
        <f t="shared" si="626"/>
        <v>19120.055556679996</v>
      </c>
      <c r="BA477" s="431">
        <f t="shared" si="627"/>
        <v>22944.066668015996</v>
      </c>
      <c r="BB477" s="420">
        <f>(AM477*(1+$FB$9)+$FB$35)*(1+(INDEX(绊状态确认!$T:$T,MATCH($G477,绊状态确认!$B:$B,))+0.2)*AO477)*IF(J477=$FF$17,1+$FE$17,1)*IF(I477=$FF$14,1+$FE$14,1)*(1+$FE$15)</f>
        <v>8746.1548882240004</v>
      </c>
      <c r="BC477" s="420">
        <f>(AN477*(1+$FB$10)+$FB$36)*(1+(INDEX(绊状态确认!$T:$T,MATCH($G477,绊状态确认!$B:$B,))+0.2)*AO477)*IF(J477=$FF$17,1+$FE$17,1)*IF(I477=$FF$14,1+$FE$14,1)*(1+$FE$15)</f>
        <v>13553.729724444</v>
      </c>
      <c r="BD477" s="427">
        <f>MIN(AT477*0.15+BC477*0.00003+INDEX(绊状态确认!M:M,MATCH($G477,绊状态确认!$B:$B,)),1)</f>
        <v>0.43661189173332005</v>
      </c>
      <c r="BE477" s="432">
        <f>(INDEX(绊状态确认!$N:$N,MATCH($G477,绊状态确认!$B:$B,))+1.5)</f>
        <v>1.9</v>
      </c>
      <c r="BF477" s="645">
        <f t="array" ref="BF477">SUMPRODUCT(IF(AZ477*AP477*$FI$16:$FI$23*$FA$22&gt;=$FI$24,$FI$24,AZ477*AP477*$FI$16:$FI$23*$FA$22),$FJ$16:$FJ$23)</f>
        <v>38029.790502236508</v>
      </c>
      <c r="BG477" s="453">
        <f t="array" ref="BG477">SUMPRODUCT(IF(BE477*AZ477*AP477*$FI$16:$FI$23*$FA$22&gt;=$FI$24,$FI$24,BE477*AZ477*AP477*$FI$16:$FI$23*$FA$22),$FJ$16:$FJ$23)</f>
        <v>59667.184466999955</v>
      </c>
      <c r="BH477" s="433">
        <f t="shared" si="628"/>
        <v>15825.644671123666</v>
      </c>
      <c r="BI477" s="434">
        <f>IF(O477="vo",$EW$26/$EW$24*0.05,0)+IF(O477="sk",-$EW$26/$EW$24*(0.05-INDEX(绊状态确认!W:W,MATCH($G477,绊状态确认!$B:$B,)))+0.05*$EW$28,0)+IF(O477="sp",0.05*$EW$32*$EW$30*(1-$EW$33)-(0.05-INDEX(绊状态确认!V:V,MATCH($G477,绊状态确认!$B:$B,)))*$EW$28,0)+IF(O477="gd",-(0.05-INDEX(绊状态确认!X:X,MATCH($G477,绊状态确认!$B:$B,)))*$EW$32*$EW$30*(1-$EW$33),0)</f>
        <v>7726.3029277443748</v>
      </c>
      <c r="BJ477" s="420">
        <f>IF(O477="vo",0.05*(1-$FI$26)*$FA$24,0)+IF(O477="sk",-(0.05-INDEX(绊状态确认!W:W,MATCH($G477,绊状态确认!$B:$B,)))*(1-$FI$26)*$FA$24+0.05*$FA$26,0)+IF(O477="sp",0.05*$FA$32*$FA$27*(1-$FA$33)/$FA$30+0.05*$FA$29/$FA$69*$FA$27*(1-$FA$33)-(0.05-INDEX(绊状态确认!V:V,MATCH($G477,绊状态确认!$B:$B,)))*$FA$26,0)+IF(O477="gd",-(0.05-INDEX(绊状态确认!X:X,MATCH($G477,绊状态确认!$B:$B,)))*$FA$32*$FA$27*(1-$FA$33)/$FA$30-(0.05-INDEX(绊状态确认!X:X,MATCH($G477,绊状态确认!$B:$B,)))*$FA$29/$FA$69*$FA$27*(1-$FA$33),0)</f>
        <v>393.93433687500004</v>
      </c>
      <c r="BK477" s="433">
        <f>IF(O477="vo",$EW$26/$EW$24*0.05+$EW$26*(-HP($EW$62,$EW$65,$EW$64)+HP($EW$62,$EW$65,(1.05-INDEX(绊状态确认!U:U,MATCH($G477,绊状态确认!$B:$B,)))*$EW$64)),0)+IF(O477="sk",-$EW$26/$EW$24*(0.05-INDEX(绊状态确认!W:W,MATCH($G477,绊状态确认!$B:$B,)))+0.05*$EW$29,0)+IF(O477="sp",0.05*$EW$32*$EW$30*(1-$EW$33)-(0.05-INDEX(绊状态确认!V:V,MATCH($G477,绊状态确认!$B:$B,)))*$EW$29,0)+IF(O477="gd",-(0.05-INDEX(绊状态确认!X:X,MATCH($G477,绊状态确认!$B:$B,)))*$EW$32*$EW$30*(1-$EW$33)+$EW$26*(-HP($EW$62,$EW$65,$EW$64)+HP($EW$62,$EW$65,0.95*$EW$64)),0)</f>
        <v>6421.6344775026746</v>
      </c>
      <c r="BL477" s="434">
        <f t="shared" si="629"/>
        <v>-1083.3333333333333</v>
      </c>
      <c r="BM477" s="433">
        <f t="shared" si="630"/>
        <v>-830.55555555555543</v>
      </c>
      <c r="BN477" s="437">
        <f t="shared" si="631"/>
        <v>3</v>
      </c>
      <c r="BO477" s="1108">
        <f t="shared" si="632"/>
        <v>4507.7214871259994</v>
      </c>
      <c r="BP477" s="1100">
        <f t="shared" si="633"/>
        <v>221.34103209030098</v>
      </c>
      <c r="BQ477" s="437" t="s">
        <v>133</v>
      </c>
      <c r="BR477" s="450" t="s">
        <v>171</v>
      </c>
      <c r="BS477" s="421">
        <f>IF($P477="","N/A",IF($P477=-1,INDEX('卡片raw data'!AX:AX,MATCH($D477,'卡片raw data'!$F:$F,)),0)+IF($L477="party卡",IF($P477=5,INDEX('卡片raw data'!BD:BD,MATCH($D477,'卡片raw data'!$F:$F,)),IF($P477&gt;=3,INDEX('卡片raw data'!BC:BC,MATCH($D477,'卡片raw data'!$F:$F,)),INDEX('卡片raw data'!BB:BB,MATCH($D477,'卡片raw data'!$F:$F,)))),IF(OR(AND($F477="UR",$P477=0),AND($F477="SR",$P477&gt;=0,$P477&lt;=2),AND($F477="R",$P477&gt;=0,$P477&lt;4)),INDEX('卡片raw data'!AZ:AZ,MATCH($D477,'卡片raw data'!$F:$F,)),0)+IF(OR(AND($F477="UR",$P477&gt;=1,$P477&lt;=4),AND($F477="SR",$P477&lt;=4,$P477&gt;=3),AND($F477="R",$P477=4)),INDEX('卡片raw data'!BA:BA,MATCH($D477,'卡片raw data'!$F:$F,)),0)+IF($P477=5,INDEX('卡片raw data'!BB:BB,MATCH($D477,'卡片raw data'!$F:$F,)),0)))</f>
        <v>3.2000000000000001E-2</v>
      </c>
      <c r="BT477" s="424">
        <f t="shared" si="634"/>
        <v>0</v>
      </c>
      <c r="BU477" s="420">
        <f t="shared" si="635"/>
        <v>0</v>
      </c>
      <c r="BV477" s="420">
        <f t="shared" si="636"/>
        <v>0</v>
      </c>
      <c r="BW477" s="436">
        <f t="shared" si="637"/>
        <v>1.498285714285714</v>
      </c>
      <c r="BX477" s="423">
        <f t="shared" si="638"/>
        <v>117.00848980993118</v>
      </c>
      <c r="BY477" s="433">
        <f t="shared" si="639"/>
        <v>117.00848980993118</v>
      </c>
      <c r="BZ477" s="1113" t="s">
        <v>569</v>
      </c>
      <c r="CA477" s="450"/>
      <c r="CB477" s="421">
        <f>IF($P477="","N/A",IF($P477=-1,INDEX('卡片raw data'!BE:BE,MATCH($D477,'卡片raw data'!$F:$F,)),0)+IF($L477="party卡",IF($P477=5,INDEX('卡片raw data'!BK:BK,MATCH($D477,'卡片raw data'!$F:$F,)),IF($P477&gt;=3,INDEX('卡片raw data'!BJ:BJ,MATCH($D477,'卡片raw data'!$F:$F,)),INDEX('卡片raw data'!BI:BI,MATCH($D477,'卡片raw data'!$F:$F,)))),IF(OR(AND($F477="UR",$P477=0),AND($F477="SR",$P477&gt;=0,$P477&lt;=2),AND($F477="R",$P477&gt;=0,$P477&lt;4)),INDEX('卡片raw data'!BG:BG,MATCH($D477,'卡片raw data'!$F:$F,)),0)+IF(OR(AND($F477="UR",$P477&gt;=1,$P477&lt;=4),AND($F477="SR",$P477&lt;=4,$P477&gt;=3),AND($F477="R",$P477=4)),INDEX('卡片raw data'!BH:BH,MATCH($D477,'卡片raw data'!$F:$F,)),0)+IF($P477=5,INDEX('卡片raw data'!BI:BI,MATCH($D477,'卡片raw data'!$F:$F,)),0)))</f>
        <v>0</v>
      </c>
      <c r="CC477" s="424">
        <f t="shared" si="640"/>
        <v>0</v>
      </c>
      <c r="CD477" s="420">
        <f>IF(BZ477="ap",CB477*(1-$FI$26)*$FB$5/$FB$11*(+IF(CA477="全员",$FA$24,0)+IF(CA477="同作战",$FA$24,0)+IF(CA477="仲间",$FA$24*2/3,0)+IF(CA477="同属性",$FA$24*$FA$37/3,0)+IF(CA477="同年级",$FA$24*$FA$40/3,0)+IF(CA477="同学校",$FA$24*$FA$43/3,0)+IF(CA477="同小队",$FA$24*$FA$46/3,0)+IF(CA477="同type",$FA$24*INDEX($FB$49:$FB$52,MATCH(X477,$FA$49:$FA$52,))/3,0)+IF(CA477="自身",#REF!/3,0)),0)+IF(BZ477="te",CB477*(1-$FI$27)*($FA$20-1)*$FB$7/$FB$13*(+IF(CA477="全员",$FA$19*$FA$24/(1+($FA$20-1)*$FA$19),0)+IF(CA477="同作战",$FA$19*$FA$24/(1+($FA$20-1)*$FA$19),0)+IF(CA477="仲间",$FA$19*$FA$24*2/3/(1+($FA$20-1)*$FA$19),0)+IF(CA477="同属性",$FA$19*$FA$24*$FA$37/3/(1+($FA$20-1)*$FA$19),0)+IF(CA477="同年级",$FA$19*$FA$24*$FA$40/3/(1+($FA$20-1)*$FA$19),0)+IF(CA477="同学校",$FA$19*$FA$24*$FA$43/3/(1+($FA$20-1)*$FA$19),0)+IF(CA477="同小队",$FA$19*$FA$24*$FA$46/3/(1+($FA$20-1)*$FA$19),0)+IF(CA477="同type",$FA$19*$FA$24*INDEX($FB$49:$FB$52,MATCH(X477,$FA$49:$FA$52,))/3/(1+($FA$20-1)*$FA$19),0)+IF(CA477="自身",$FA$19*#REF!/3/(1+(BH477-1)*$BD477),0)),0)</f>
        <v>0</v>
      </c>
      <c r="CE477" s="420">
        <f t="shared" si="641"/>
        <v>0</v>
      </c>
      <c r="CF477" s="436">
        <f t="shared" si="642"/>
        <v>0</v>
      </c>
      <c r="CG477" s="423">
        <f t="shared" si="643"/>
        <v>0</v>
      </c>
      <c r="CH477" s="433">
        <f t="shared" si="644"/>
        <v>0</v>
      </c>
      <c r="CI477" s="1113" t="s">
        <v>164</v>
      </c>
      <c r="CJ477" s="1114">
        <v>0.3</v>
      </c>
      <c r="CK477" s="1115" t="s">
        <v>2046</v>
      </c>
      <c r="CL477" s="1115" t="s">
        <v>2801</v>
      </c>
      <c r="CM477" s="1119">
        <v>0.25</v>
      </c>
      <c r="CN477" s="1115"/>
      <c r="CO477" s="1115"/>
      <c r="CP477" s="1116">
        <f t="shared" si="645"/>
        <v>53.252834824591055</v>
      </c>
      <c r="CQ477" s="1116">
        <f t="shared" si="646"/>
        <v>74.568216671051985</v>
      </c>
      <c r="CR477" s="1117">
        <f t="shared" si="647"/>
        <v>53.252834824591055</v>
      </c>
      <c r="CS477" s="442">
        <f t="shared" si="648"/>
        <v>0</v>
      </c>
      <c r="CT477" s="432">
        <f t="shared" si="649"/>
        <v>0</v>
      </c>
      <c r="CU477" s="1101">
        <f t="shared" si="650"/>
        <v>58.578118307050168</v>
      </c>
      <c r="CV477" s="1108">
        <f t="shared" si="682"/>
        <v>74.568216671051985</v>
      </c>
      <c r="CW477" s="420">
        <f t="shared" si="651"/>
        <v>58.578118307050168</v>
      </c>
      <c r="CX477" s="420">
        <f t="shared" si="652"/>
        <v>58.578118307050168</v>
      </c>
      <c r="CY477" s="433">
        <f t="shared" si="653"/>
        <v>58.578118307050168</v>
      </c>
      <c r="CZ477" s="437"/>
      <c r="DA477" s="438"/>
      <c r="DB477" s="439" t="s">
        <v>569</v>
      </c>
      <c r="DC477" s="439"/>
      <c r="DD477" s="443"/>
      <c r="DE477" s="411"/>
      <c r="DF477" s="411"/>
      <c r="DG477" s="1116">
        <f t="shared" si="654"/>
        <v>0</v>
      </c>
      <c r="DH477" s="1116">
        <f t="shared" si="655"/>
        <v>0</v>
      </c>
      <c r="DI477" s="1116">
        <f t="shared" si="656"/>
        <v>0</v>
      </c>
      <c r="DJ477" s="442">
        <f t="shared" si="657"/>
        <v>0</v>
      </c>
      <c r="DK477" s="432">
        <f t="shared" si="658"/>
        <v>0</v>
      </c>
      <c r="DL477" s="424">
        <f t="shared" si="659"/>
        <v>0</v>
      </c>
      <c r="DM477" s="420">
        <f t="shared" si="660"/>
        <v>0</v>
      </c>
      <c r="DN477" s="420">
        <f t="shared" si="661"/>
        <v>0</v>
      </c>
      <c r="DO477" s="420">
        <f t="shared" si="662"/>
        <v>0</v>
      </c>
      <c r="DP477" s="433">
        <f t="shared" si="663"/>
        <v>0</v>
      </c>
      <c r="DQ477" s="1113" t="s">
        <v>167</v>
      </c>
      <c r="DR477" s="1120">
        <f t="shared" si="664"/>
        <v>0.3</v>
      </c>
      <c r="DS477" s="1124">
        <v>5</v>
      </c>
      <c r="DT477" s="1093" t="s">
        <v>2075</v>
      </c>
      <c r="DU477" s="1093" t="s">
        <v>544</v>
      </c>
      <c r="DV477" s="1098">
        <f>IF($P477="","N/A",IF(P477=-1,INDEX('卡片raw data'!AN:AN,MATCH(D477,'卡片raw data'!$F:$F,)),0)+IF(AND(L477&lt;&gt;"party卡",P477&lt;=2,P477&gt;=0),INDEX('卡片raw data'!AP:AP,MATCH(D477,'卡片raw data'!$F:$F,)),0)+IF(OR(AND(L477="party卡",P477&lt;=1),AND(P477&lt;=4,L477&lt;&gt;"party卡",P477&gt;=3)),INDEX('卡片raw data'!AQ:AQ,MATCH(D477,'卡片raw data'!$F:$F,)),0)+IF(OR(P477=5,AND(L477="party卡",P477&gt;=2)),INDEX('卡片raw data'!AR:AR,MATCH(D477,'卡片raw data'!$F:$F,)),0))</f>
        <v>5.1999999999999998E-2</v>
      </c>
      <c r="DW477" s="1098">
        <f t="shared" si="665"/>
        <v>0.3</v>
      </c>
      <c r="DX477" s="1098">
        <f t="shared" si="666"/>
        <v>0.3</v>
      </c>
      <c r="DY477" s="1098">
        <f t="shared" si="667"/>
        <v>1.7333333333333333E-2</v>
      </c>
      <c r="DZ477" s="1098">
        <f t="shared" si="668"/>
        <v>1.3119166666666666E-2</v>
      </c>
      <c r="EA477" s="421">
        <f t="shared" si="669"/>
        <v>0</v>
      </c>
      <c r="EB477" s="445">
        <f t="shared" si="670"/>
        <v>0</v>
      </c>
      <c r="EC477" s="424">
        <f t="shared" si="671"/>
        <v>2357.037479823884</v>
      </c>
      <c r="ED477" s="420">
        <f t="shared" si="672"/>
        <v>86.134837019765627</v>
      </c>
      <c r="EE477" s="433">
        <f t="shared" si="598"/>
        <v>2357.037479823884</v>
      </c>
      <c r="EF477" s="1115" t="s">
        <v>569</v>
      </c>
      <c r="EG477" s="444">
        <f t="shared" si="673"/>
        <v>0.3</v>
      </c>
      <c r="EH477" s="450"/>
      <c r="EI477" s="1093"/>
      <c r="EJ477" s="1093"/>
      <c r="EK477" s="420">
        <f>IF($P477="","N/A",IF(P477=-1,INDEX('卡片raw data'!AS:AS,MATCH(D477,'卡片raw data'!$F:$F,)),0)+IF(AND(L477&lt;&gt;"party卡",P477&lt;=2,P477&gt;=0),INDEX('卡片raw data'!AU:AU,MATCH(D477,'卡片raw data'!$F:$F,)),0)+IF(OR(AND(L477="party卡",P477&lt;=1),AND(P477&lt;=4,L477&lt;&gt;"party卡",P477&gt;=3)),INDEX('卡片raw data'!AV:AV,MATCH(D477,'卡片raw data'!$F:$F,)),0)+IF(OR(P477=5,AND(L477="party卡",P477&gt;=2)),INDEX('卡片raw data'!AW:AW,MATCH(D477,'卡片raw data'!$F:$F,)),0))</f>
        <v>0</v>
      </c>
      <c r="EL477" s="1098">
        <f t="shared" si="674"/>
        <v>0.3</v>
      </c>
      <c r="EM477" s="1098">
        <f t="shared" si="675"/>
        <v>0.3</v>
      </c>
      <c r="EN477" s="1097">
        <f t="shared" si="676"/>
        <v>0</v>
      </c>
      <c r="EO477" s="1097">
        <f t="shared" si="677"/>
        <v>0</v>
      </c>
      <c r="EP477" s="421">
        <f t="shared" si="678"/>
        <v>0</v>
      </c>
      <c r="EQ477" s="445">
        <f t="shared" si="679"/>
        <v>0</v>
      </c>
      <c r="ER477" s="424">
        <f t="shared" si="680"/>
        <v>0</v>
      </c>
      <c r="ES477" s="420">
        <f t="shared" si="681"/>
        <v>0</v>
      </c>
      <c r="ET477" s="446">
        <f t="shared" si="599"/>
        <v>0</v>
      </c>
    </row>
    <row r="478" spans="2:150" ht="16.5" customHeight="1">
      <c r="B478" s="448" t="str">
        <f>INDEX('卡片raw data'!B:B,MATCH($D478,'卡片raw data'!$F:$F,))</f>
        <v>jb林</v>
      </c>
      <c r="C478" s="449" t="s">
        <v>2792</v>
      </c>
      <c r="D478" s="408">
        <v>475</v>
      </c>
      <c r="E478" s="477">
        <v>402042004</v>
      </c>
      <c r="F478" s="409" t="str">
        <f>INDEX('卡片raw data'!C:C,MATCH($D478,'卡片raw data'!$F:$F,))</f>
        <v>SR</v>
      </c>
      <c r="G478" s="1094" t="s">
        <v>2807</v>
      </c>
      <c r="H478" s="411">
        <f>IFERROR(INDEX(绊状态确认!C:C,MATCH($G478,绊状态确认!$B:$B,)),"")</f>
        <v>204</v>
      </c>
      <c r="I478" s="450" t="str">
        <f>IFERROR(INDEX(绊状态确认!D:D,MATCH($G478,绊状态确认!$B:$B,)),"")</f>
        <v>虹</v>
      </c>
      <c r="J478" s="450" t="str">
        <f>IFERROR(INDEX(绊状态确认!E:E,MATCH($G478,绊状态确认!$B:$B,)),"")</f>
        <v>3年级</v>
      </c>
      <c r="K478" s="451" t="str">
        <f>IFERROR(INDEX(绊状态确认!F:F,MATCH($G478,绊状态确认!$B:$B,)),"")</f>
        <v>Diver Diva</v>
      </c>
      <c r="L478" s="414" t="str">
        <f>INDEX('卡片raw data'!E:E,MATCH($D478,'卡片raw data'!$F:$F,))</f>
        <v>活动卡</v>
      </c>
      <c r="M478" s="478">
        <v>44351</v>
      </c>
      <c r="N478" s="479">
        <v>41</v>
      </c>
      <c r="O478" s="410" t="str">
        <f>INDEX('卡片raw data'!D:D,MATCH($D478,'卡片raw data'!$F:$F,))</f>
        <v>sk</v>
      </c>
      <c r="P478" s="1126">
        <v>5</v>
      </c>
      <c r="Q478" s="418">
        <f t="shared" si="600"/>
        <v>21949.923782245623</v>
      </c>
      <c r="R478" s="419">
        <f t="shared" si="601"/>
        <v>0.255</v>
      </c>
      <c r="S478" s="420">
        <f t="shared" si="602"/>
        <v>14829.710419209556</v>
      </c>
      <c r="T478" s="421">
        <f t="shared" si="603"/>
        <v>0.74099999999999999</v>
      </c>
      <c r="U478" s="422">
        <f t="shared" si="604"/>
        <v>11.907135826782858</v>
      </c>
      <c r="V478" s="423">
        <f t="shared" si="605"/>
        <v>24899.640845464415</v>
      </c>
      <c r="W478" s="424">
        <f t="shared" si="606"/>
        <v>4794.3528325805446</v>
      </c>
      <c r="X478" s="419">
        <f t="shared" si="607"/>
        <v>5.5E-2</v>
      </c>
      <c r="Y478" s="420">
        <f t="shared" si="608"/>
        <v>949.71706321879265</v>
      </c>
      <c r="Z478" s="425">
        <f t="shared" si="609"/>
        <v>11.907135826782858</v>
      </c>
      <c r="AA478" s="426">
        <f t="shared" si="610"/>
        <v>5744.0698957993372</v>
      </c>
      <c r="AB478" s="424">
        <f t="shared" si="611"/>
        <v>8550.7874051855451</v>
      </c>
      <c r="AC478" s="427">
        <f t="shared" si="612"/>
        <v>9.9000000000000005E-2</v>
      </c>
      <c r="AD478" s="428">
        <f t="shared" si="613"/>
        <v>3.2466988431818181E-2</v>
      </c>
      <c r="AE478" s="516">
        <f t="shared" si="614"/>
        <v>10.907853904198571</v>
      </c>
      <c r="AF478" s="1130">
        <f t="shared" si="615"/>
        <v>0</v>
      </c>
      <c r="AG478" s="420">
        <f t="shared" si="616"/>
        <v>0</v>
      </c>
      <c r="AH478" s="420">
        <f t="shared" si="617"/>
        <v>0</v>
      </c>
      <c r="AI478" s="1097">
        <f t="shared" si="618"/>
        <v>0</v>
      </c>
      <c r="AJ478" s="420">
        <f t="shared" si="619"/>
        <v>0</v>
      </c>
      <c r="AK478" s="518">
        <f t="shared" si="620"/>
        <v>0</v>
      </c>
      <c r="AL478" s="429">
        <f>IF($P478="","N/A",(IF($P478=-1,INDEX('卡片raw data'!S:S,MATCH($D478,'卡片raw data'!$F:$F,)),0)+IF($P478=0,INDEX('卡片raw data'!V:V,MATCH($D478,'卡片raw data'!$F:$F,)),0)+IF($P478=1,INDEX('卡片raw data'!Y:Y,MATCH($D478,'卡片raw data'!$F:$F,)),0)+IF($P478=2,INDEX('卡片raw data'!AB:AB,MATCH($D478,'卡片raw data'!$F:$F,)),0)+IF($P478=3,INDEX('卡片raw data'!AE:AE,MATCH($D478,'卡片raw data'!$F:$F,)),0)+IF($P478=4,INDEX('卡片raw data'!AH:AH,MATCH($D478,'卡片raw data'!$F:$F,)),0)+IF($P478=5,INDEX('卡片raw data'!AK:AK,MATCH($D478,'卡片raw data'!$F:$F,)),0)+INDEX('卡片raw data'!S:S,MATCH($D478,'卡片raw data'!$F:$F,))*(IF($F478="UR",0.04,0.033))*(IF($F478="UR",INDEX(绊状态确认!$S:$S,MATCH($G478,绊状态确认!$B:$B,))/2-40)+IF($F478="SR",INDEX(绊状态确认!$R:$R,MATCH($G478,绊状态确认!$B:$B,))/4-15))+IF($F478="R",INDEX(绊状态确认!$Q:$Q,MATCH($G478,绊状态确认!$B:$B,))/6-40/6)))*(INDEX(绊状态确认!$H:$H,MATCH($G478,绊状态确认!$B:$B,))+INDEX(绊状态确认!J:J,MATCH($G478,绊状态确认!$B:$B,)))</f>
        <v>7510.3107767999991</v>
      </c>
      <c r="AM478" s="429">
        <f>IF($P478="","N/A",(IF($P478=-1,INDEX('卡片raw data'!T:T,MATCH($D478,'卡片raw data'!$F:$F,)),0)+IF($P478=0,INDEX('卡片raw data'!W:W,MATCH($D478,'卡片raw data'!$F:$F,)),0)+IF($P478=1,INDEX('卡片raw data'!Z:Z,MATCH($D478,'卡片raw data'!$F:$F,)),0)+IF($P478=2,INDEX('卡片raw data'!AC:AC,MATCH($D478,'卡片raw data'!$F:$F,)),0)+IF($P478=3,INDEX('卡片raw data'!AF:AF,MATCH($D478,'卡片raw data'!$F:$F,)),0)+IF($P478=4,INDEX('卡片raw data'!AI:AI,MATCH($D478,'卡片raw data'!$F:$F,)),0)+IF($P478=5,INDEX('卡片raw data'!AL:AL,MATCH($D478,'卡片raw data'!$F:$F,)),0)+INDEX('卡片raw data'!T:T,MATCH($D478,'卡片raw data'!$F:$F,))*(IF($F478="UR",0.04,0.033))*(IF($F478="UR",INDEX(绊状态确认!$S:$S,MATCH($G478,绊状态确认!$B:$B,))/2-40)+IF($F478="SR",INDEX(绊状态确认!$R:$R,MATCH($G478,绊状态确认!$B:$B,))/4-15))+IF($F478="R",INDEX(绊状态确认!$Q:$Q,MATCH($G478,绊状态确认!$B:$B,))/6-40/6)))*(INDEX(绊状态确认!$H:$H,MATCH($G478,绊状态确认!$B:$B,))+INDEX(绊状态确认!K:K,MATCH($G478,绊状态确认!$B:$B,)))</f>
        <v>6160.6789535999997</v>
      </c>
      <c r="AN478" s="429">
        <f>IF($P478="","N/A",(IF($P478=-1,INDEX('卡片raw data'!U:U,MATCH($D478,'卡片raw data'!$F:$F,)),0)+IF($P478=0,INDEX('卡片raw data'!X:X,MATCH($D478,'卡片raw data'!$F:$F,)),0)+IF($P478=1,INDEX('卡片raw data'!AA:AA,MATCH($D478,'卡片raw data'!$F:$F,)),0)+IF($P478=2,INDEX('卡片raw data'!AD:AD,MATCH($D478,'卡片raw data'!$F:$F,)),0)+IF($P478=3,INDEX('卡片raw data'!AG:AG,MATCH($D478,'卡片raw data'!$F:$F,)),0)+IF($P478=4,INDEX('卡片raw data'!AJ:AJ,MATCH($D478,'卡片raw data'!$F:$F,)),0)+IF($P478=5,INDEX('卡片raw data'!AM:AM,MATCH($D478,'卡片raw data'!$F:$F,)),0)+INDEX('卡片raw data'!U:U,MATCH($D478,'卡片raw data'!$F:$F,))*(IF($F478="UR",0.04,0.033))*(IF($F478="UR",INDEX(绊状态确认!$S:$S,MATCH($G478,绊状态确认!$B:$B,))/2-40)+IF($F478="SR",INDEX(绊状态确认!$R:$R,MATCH($G478,绊状态确认!$B:$B,))/4-15))+IF($F478="R",INDEX(绊状态确认!$Q:$Q,MATCH($G478,绊状态确认!$B:$B,))/6-40/6)))*(INDEX(绊状态确认!$H:$H,MATCH($G478,绊状态确认!$B:$B,))+INDEX(绊状态确认!L:L,MATCH($G478,绊状态确认!$B:$B,)))</f>
        <v>5583.8014031999992</v>
      </c>
      <c r="AO478" s="430">
        <f t="shared" si="621"/>
        <v>1</v>
      </c>
      <c r="AP478" s="556">
        <f>1+(INDEX(绊状态确认!$T:$T,MATCH($G478,绊状态确认!$B:$B,))+0.2)*$AO478</f>
        <v>1.3</v>
      </c>
      <c r="AQ478" s="431">
        <f t="shared" si="622"/>
        <v>22964.565789099997</v>
      </c>
      <c r="AR478" s="420">
        <f>(AM478*(1+$EX$9)+$EX$35)*(1+(INDEX(绊状态确认!$T:$T,MATCH($G478,绊状态确认!$B:$B,))+0.2)*AO478)*IF(J478=$FF$17,1+$FE$17,1)*IF(I478=$FF$14,1+$FE$14,1)</f>
        <v>11113.326771664</v>
      </c>
      <c r="AS478" s="420">
        <f>(AN478*(1+$EX$10)+$EX$36)*(1+(INDEX(绊状态确认!$T:$T,MATCH($G478,绊状态确认!$B:$B,))+0.2)*AO478)*IF(J478=$FF$17,1+$FE$17,1)*IF(I478=$FF$14,1+$FE$14,1)</f>
        <v>12403.783097784</v>
      </c>
      <c r="AT478" s="412">
        <f>IF(AND(INDEX('卡片raw data'!AK:AK,MATCH($D478,'卡片raw data'!$F:$F,))&lt;INDEX('卡片raw data'!AM:AM,MATCH($D478,'卡片raw data'!$F:$F,)),INDEX('卡片raw data'!AL:AL,MATCH($D478,'卡片raw data'!$F:$F,))&lt;INDEX('卡片raw data'!AM:AM,MATCH($D478,'卡片raw data'!$F:$F,))),1,0)</f>
        <v>0</v>
      </c>
      <c r="AU478" s="421">
        <f>MIN(AT478*0.15+AS478*0.00003+INDEX(绊状态确认!M:M,MATCH($G478,绊状态确认!$B:$B,)),1)</f>
        <v>0.40211349293352006</v>
      </c>
      <c r="AV478" s="432">
        <f>(INDEX(绊状态确认!$N:$N,MATCH($G478,绊状态确认!$B:$B,))+1.5)*$EW$21</f>
        <v>2.6599999999999997</v>
      </c>
      <c r="AW478" s="424">
        <f t="shared" si="623"/>
        <v>19887.657496878499</v>
      </c>
      <c r="AX478" s="420">
        <f t="shared" si="624"/>
        <v>949.71706321879299</v>
      </c>
      <c r="AY478" s="433">
        <f t="shared" si="625"/>
        <v>20837.374560097291</v>
      </c>
      <c r="AZ478" s="429">
        <f t="shared" si="626"/>
        <v>17245.10601476</v>
      </c>
      <c r="BA478" s="431">
        <f t="shared" si="627"/>
        <v>20694.127217712001</v>
      </c>
      <c r="BB478" s="420">
        <f>(AM478*(1+$FB$9)+$FB$35)*(1+(INDEX(绊状态确认!$T:$T,MATCH($G478,绊状态确认!$B:$B,))+0.2)*AO478)*IF(J478=$FF$17,1+$FE$17,1)*IF(I478=$FF$14,1+$FE$14,1)*(1+$FE$15)</f>
        <v>11113.326771664</v>
      </c>
      <c r="BC478" s="420">
        <f>(AN478*(1+$FB$10)+$FB$36)*(1+(INDEX(绊状态确认!$T:$T,MATCH($G478,绊状态确认!$B:$B,))+0.2)*AO478)*IF(J478=$FF$17,1+$FE$17,1)*IF(I478=$FF$14,1+$FE$14,1)*(1+$FE$15)</f>
        <v>12403.783097784</v>
      </c>
      <c r="BD478" s="427">
        <f>MIN(AT478*0.15+BC478*0.00003+INDEX(绊状态确认!M:M,MATCH($G478,绊状态确认!$B:$B,)),1)</f>
        <v>0.40211349293352006</v>
      </c>
      <c r="BE478" s="432">
        <f>(INDEX(绊状态确认!$N:$N,MATCH($G478,绊状态确认!$B:$B,))+1.5)</f>
        <v>1.9</v>
      </c>
      <c r="BF478" s="645">
        <f t="array" ref="BF478">SUMPRODUCT(IF(AZ478*AP478*$FI$16:$FI$23*$FA$22&gt;=$FI$24,$FI$24,AZ478*AP478*$FI$16:$FI$23*$FA$22),$FJ$16:$FJ$23)</f>
        <v>34300.515863357643</v>
      </c>
      <c r="BG478" s="453">
        <f t="array" ref="BG478">SUMPRODUCT(IF(BE478*AZ478*AP478*$FI$16:$FI$23*$FA$22&gt;=$FI$24,$FI$24,BE478*AZ478*AP478*$FI$16:$FI$23*$FA$22),$FJ$16:$FJ$23)</f>
        <v>58575.568283922315</v>
      </c>
      <c r="BH478" s="433">
        <f t="shared" si="628"/>
        <v>14687.280661111736</v>
      </c>
      <c r="BI478" s="434">
        <f>IF(O478="vo",$EW$26/$EW$24*0.05,0)+IF(O478="sk",-$EW$26/$EW$24*(0.05-INDEX(绊状态确认!W:W,MATCH($G478,绊状态确认!$B:$B,)))+0.05*$EW$28,0)+IF(O478="sp",0.05*$EW$32*$EW$30*(1-$EW$33)-(0.05-INDEX(绊状态确认!V:V,MATCH($G478,绊状态确认!$B:$B,)))*$EW$28,0)+IF(O478="gd",-(0.05-INDEX(绊状态确认!X:X,MATCH($G478,绊状态确认!$B:$B,)))*$EW$32*$EW$30*(1-$EW$33),0)</f>
        <v>-6253.6726349699375</v>
      </c>
      <c r="BJ478" s="420">
        <f>IF(O478="vo",0.05*(1-$FI$26)*$FA$24,0)+IF(O478="sk",-(0.05-INDEX(绊状态确认!W:W,MATCH($G478,绊状态确认!$B:$B,)))*(1-$FI$26)*$FA$24+0.05*$FA$26,0)+IF(O478="sp",0.05*$FA$32*$FA$27*(1-$FA$33)/$FA$30+0.05*$FA$29/$FA$69*$FA$27*(1-$FA$33)-(0.05-INDEX(绊状态确认!V:V,MATCH($G478,绊状态确认!$B:$B,)))*$FA$26,0)+IF(O478="gd",-(0.05-INDEX(绊状态确认!X:X,MATCH($G478,绊状态确认!$B:$B,)))*$FA$32*$FA$27*(1-$FA$33)/$FA$30-(0.05-INDEX(绊状态确认!X:X,MATCH($G478,绊状态确认!$B:$B,)))*$FA$29/$FA$69*$FA$27*(1-$FA$33),0)</f>
        <v>20.459096812499922</v>
      </c>
      <c r="BK478" s="433">
        <f>IF(O478="vo",$EW$26/$EW$24*0.05+$EW$26*(-HP($EW$62,$EW$65,$EW$64)+HP($EW$62,$EW$65,(1.05-INDEX(绊状态确认!U:U,MATCH($G478,绊状态确认!$B:$B,)))*$EW$64)),0)+IF(O478="sk",-$EW$26/$EW$24*(0.05-INDEX(绊状态确认!W:W,MATCH($G478,绊状态确认!$B:$B,)))+0.05*$EW$29,0)+IF(O478="sp",0.05*$EW$32*$EW$30*(1-$EW$33)-(0.05-INDEX(绊状态确认!V:V,MATCH($G478,绊状态确认!$B:$B,)))*$EW$29,0)+IF(O478="gd",-(0.05-INDEX(绊状态确认!X:X,MATCH($G478,绊状态确认!$B:$B,)))*$EW$32*$EW$30*(1-$EW$33)+$EW$26*(-HP($EW$62,$EW$65,$EW$64)+HP($EW$62,$EW$65,0.95*$EW$64)),0)</f>
        <v>-4253.6726349699375</v>
      </c>
      <c r="BL478" s="434">
        <f t="shared" si="629"/>
        <v>-1083.3333333333333</v>
      </c>
      <c r="BM478" s="433">
        <f t="shared" si="630"/>
        <v>-830.55555555555543</v>
      </c>
      <c r="BN478" s="437">
        <f t="shared" si="631"/>
        <v>3</v>
      </c>
      <c r="BO478" s="1108">
        <f t="shared" si="632"/>
        <v>4507.7214871259994</v>
      </c>
      <c r="BP478" s="1100">
        <f t="shared" si="633"/>
        <v>221.34103209030098</v>
      </c>
      <c r="BQ478" s="1113" t="s">
        <v>132</v>
      </c>
      <c r="BR478" s="1124" t="s">
        <v>168</v>
      </c>
      <c r="BS478" s="421">
        <f>IF($P478="","N/A",IF($P478=-1,INDEX('卡片raw data'!AX:AX,MATCH($D478,'卡片raw data'!$F:$F,)),0)+IF($L478="party卡",IF($P478=5,INDEX('卡片raw data'!BD:BD,MATCH($D478,'卡片raw data'!$F:$F,)),IF($P478&gt;=3,INDEX('卡片raw data'!BC:BC,MATCH($D478,'卡片raw data'!$F:$F,)),INDEX('卡片raw data'!BB:BB,MATCH($D478,'卡片raw data'!$F:$F,)))),IF(OR(AND($F478="UR",$P478=0),AND($F478="SR",$P478&gt;=0,$P478&lt;=2),AND($F478="R",$P478&gt;=0,$P478&lt;4)),INDEX('卡片raw data'!AZ:AZ,MATCH($D478,'卡片raw data'!$F:$F,)),0)+IF(OR(AND($F478="UR",$P478&gt;=1,$P478&lt;=4),AND($F478="SR",$P478&lt;=4,$P478&gt;=3),AND($F478="R",$P478=4)),INDEX('卡片raw data'!BA:BA,MATCH($D478,'卡片raw data'!$F:$F,)),0)+IF($P478=5,INDEX('卡片raw data'!BB:BB,MATCH($D478,'卡片raw data'!$F:$F,)),0)))</f>
        <v>0.05</v>
      </c>
      <c r="BT478" s="424">
        <f t="shared" si="634"/>
        <v>3756.4345726050001</v>
      </c>
      <c r="BU478" s="420">
        <f t="shared" si="635"/>
        <v>184.45086007525089</v>
      </c>
      <c r="BV478" s="420">
        <f t="shared" si="636"/>
        <v>0</v>
      </c>
      <c r="BW478" s="436">
        <f t="shared" si="637"/>
        <v>0</v>
      </c>
      <c r="BX478" s="423">
        <f t="shared" si="638"/>
        <v>3756.4345726050001</v>
      </c>
      <c r="BY478" s="433">
        <f t="shared" si="639"/>
        <v>0</v>
      </c>
      <c r="BZ478" s="1113" t="s">
        <v>569</v>
      </c>
      <c r="CA478" s="450"/>
      <c r="CB478" s="421">
        <f>IF($P478="","N/A",IF($P478=-1,INDEX('卡片raw data'!BE:BE,MATCH($D478,'卡片raw data'!$F:$F,)),0)+IF($L478="party卡",IF($P478=5,INDEX('卡片raw data'!BK:BK,MATCH($D478,'卡片raw data'!$F:$F,)),IF($P478&gt;=3,INDEX('卡片raw data'!BJ:BJ,MATCH($D478,'卡片raw data'!$F:$F,)),INDEX('卡片raw data'!BI:BI,MATCH($D478,'卡片raw data'!$F:$F,)))),IF(OR(AND($F478="UR",$P478=0),AND($F478="SR",$P478&gt;=0,$P478&lt;=2),AND($F478="R",$P478&gt;=0,$P478&lt;4)),INDEX('卡片raw data'!BG:BG,MATCH($D478,'卡片raw data'!$F:$F,)),0)+IF(OR(AND($F478="UR",$P478&gt;=1,$P478&lt;=4),AND($F478="SR",$P478&lt;=4,$P478&gt;=3),AND($F478="R",$P478=4)),INDEX('卡片raw data'!BH:BH,MATCH($D478,'卡片raw data'!$F:$F,)),0)+IF($P478=5,INDEX('卡片raw data'!BI:BI,MATCH($D478,'卡片raw data'!$F:$F,)),0)))</f>
        <v>0</v>
      </c>
      <c r="CC478" s="424">
        <f t="shared" si="640"/>
        <v>0</v>
      </c>
      <c r="CD478" s="420">
        <f>IF(BZ478="ap",CB478*(1-$FI$26)*$FB$5/$FB$11*(+IF(CA478="全员",$FA$24,0)+IF(CA478="同作战",$FA$24,0)+IF(CA478="仲间",$FA$24*2/3,0)+IF(CA478="同属性",$FA$24*$FA$37/3,0)+IF(CA478="同年级",$FA$24*$FA$40/3,0)+IF(CA478="同学校",$FA$24*$FA$43/3,0)+IF(CA478="同小队",$FA$24*$FA$46/3,0)+IF(CA478="同type",$FA$24*INDEX($FB$49:$FB$52,MATCH(X478,$FA$49:$FA$52,))/3,0)+IF(CA478="自身",#REF!/3,0)),0)+IF(BZ478="te",CB478*(1-$FI$27)*($FA$20-1)*$FB$7/$FB$13*(+IF(CA478="全员",$FA$19*$FA$24/(1+($FA$20-1)*$FA$19),0)+IF(CA478="同作战",$FA$19*$FA$24/(1+($FA$20-1)*$FA$19),0)+IF(CA478="仲间",$FA$19*$FA$24*2/3/(1+($FA$20-1)*$FA$19),0)+IF(CA478="同属性",$FA$19*$FA$24*$FA$37/3/(1+($FA$20-1)*$FA$19),0)+IF(CA478="同年级",$FA$19*$FA$24*$FA$40/3/(1+($FA$20-1)*$FA$19),0)+IF(CA478="同学校",$FA$19*$FA$24*$FA$43/3/(1+($FA$20-1)*$FA$19),0)+IF(CA478="同小队",$FA$19*$FA$24*$FA$46/3/(1+($FA$20-1)*$FA$19),0)+IF(CA478="同type",$FA$19*$FA$24*INDEX($FB$49:$FB$52,MATCH(X478,$FA$49:$FA$52,))/3/(1+($FA$20-1)*$FA$19),0)+IF(CA478="自身",$FA$19*#REF!/3/(1+(BH478-1)*$BD478),0)),0)</f>
        <v>0</v>
      </c>
      <c r="CE478" s="420">
        <f t="shared" si="641"/>
        <v>0</v>
      </c>
      <c r="CF478" s="436">
        <f t="shared" si="642"/>
        <v>0</v>
      </c>
      <c r="CG478" s="423">
        <f t="shared" si="643"/>
        <v>0</v>
      </c>
      <c r="CH478" s="433">
        <f t="shared" si="644"/>
        <v>0</v>
      </c>
      <c r="CI478" s="1113" t="s">
        <v>164</v>
      </c>
      <c r="CJ478" s="1114">
        <v>0.3</v>
      </c>
      <c r="CK478" s="1115" t="s">
        <v>2808</v>
      </c>
      <c r="CL478" s="1115" t="s">
        <v>2809</v>
      </c>
      <c r="CM478" s="1119">
        <v>1.2E-2</v>
      </c>
      <c r="CN478" s="1115" t="s">
        <v>2810</v>
      </c>
      <c r="CO478" s="1115">
        <v>1</v>
      </c>
      <c r="CP478" s="1118">
        <f t="shared" si="645"/>
        <v>6.7563102857142853E-3</v>
      </c>
      <c r="CQ478" s="1118">
        <f t="shared" si="646"/>
        <v>6.7563102857142853E-3</v>
      </c>
      <c r="CR478" s="1118">
        <f t="shared" si="647"/>
        <v>6.7563102857142853E-3</v>
      </c>
      <c r="CS478" s="442">
        <f t="shared" si="648"/>
        <v>6.2706014999999969E-3</v>
      </c>
      <c r="CT478" s="432">
        <f t="shared" si="649"/>
        <v>0</v>
      </c>
      <c r="CU478" s="1101">
        <f t="shared" si="650"/>
        <v>286.6313454545454</v>
      </c>
      <c r="CV478" s="1108">
        <f t="shared" si="682"/>
        <v>153.55250649350648</v>
      </c>
      <c r="CW478" s="420">
        <f t="shared" si="651"/>
        <v>286.6313454545454</v>
      </c>
      <c r="CX478" s="420">
        <f t="shared" si="652"/>
        <v>286.6313454545454</v>
      </c>
      <c r="CY478" s="433">
        <f t="shared" si="653"/>
        <v>286.6313454545454</v>
      </c>
      <c r="CZ478" s="437"/>
      <c r="DA478" s="438"/>
      <c r="DB478" s="439" t="s">
        <v>569</v>
      </c>
      <c r="DC478" s="439"/>
      <c r="DD478" s="443"/>
      <c r="DE478" s="411"/>
      <c r="DF478" s="411"/>
      <c r="DG478" s="1116">
        <f t="shared" si="654"/>
        <v>0</v>
      </c>
      <c r="DH478" s="1116">
        <f t="shared" si="655"/>
        <v>0</v>
      </c>
      <c r="DI478" s="1116">
        <f t="shared" si="656"/>
        <v>0</v>
      </c>
      <c r="DJ478" s="442">
        <f t="shared" si="657"/>
        <v>0</v>
      </c>
      <c r="DK478" s="432">
        <f t="shared" si="658"/>
        <v>0</v>
      </c>
      <c r="DL478" s="424">
        <f t="shared" si="659"/>
        <v>0</v>
      </c>
      <c r="DM478" s="420">
        <f t="shared" si="660"/>
        <v>0</v>
      </c>
      <c r="DN478" s="420">
        <f t="shared" si="661"/>
        <v>0</v>
      </c>
      <c r="DO478" s="420">
        <f t="shared" si="662"/>
        <v>0</v>
      </c>
      <c r="DP478" s="433">
        <f t="shared" si="663"/>
        <v>0</v>
      </c>
      <c r="DQ478" s="1113" t="s">
        <v>2160</v>
      </c>
      <c r="DR478" s="444">
        <f t="shared" si="664"/>
        <v>0.3</v>
      </c>
      <c r="DS478" s="1124">
        <v>5</v>
      </c>
      <c r="DT478" s="1124" t="s">
        <v>2811</v>
      </c>
      <c r="DU478" s="1093" t="s">
        <v>544</v>
      </c>
      <c r="DV478" s="1098">
        <f>IF($P478="","N/A",IF(P478=-1,INDEX('卡片raw data'!AN:AN,MATCH(D478,'卡片raw data'!$F:$F,)),0)+IF(AND(L478&lt;&gt;"party卡",P478&lt;=2,P478&gt;=0),INDEX('卡片raw data'!AP:AP,MATCH(D478,'卡片raw data'!$F:$F,)),0)+IF(OR(AND(L478="party卡",P478&lt;=1),AND(P478&lt;=4,L478&lt;&gt;"party卡",P478&gt;=3)),INDEX('卡片raw data'!AQ:AQ,MATCH(D478,'卡片raw data'!$F:$F,)),0)+IF(OR(P478=5,AND(L478="party卡",P478&gt;=2)),INDEX('卡片raw data'!AR:AR,MATCH(D478,'卡片raw data'!$F:$F,)),0))</f>
        <v>0.04</v>
      </c>
      <c r="DW478" s="1098">
        <f t="shared" si="665"/>
        <v>0.3</v>
      </c>
      <c r="DX478" s="1098">
        <f t="shared" si="666"/>
        <v>0.3</v>
      </c>
      <c r="DY478" s="1098">
        <f t="shared" si="667"/>
        <v>0.02</v>
      </c>
      <c r="DZ478" s="1098">
        <f t="shared" si="668"/>
        <v>1.7299999999999999E-2</v>
      </c>
      <c r="EA478" s="421">
        <f t="shared" si="669"/>
        <v>7.2021624999999987E-3</v>
      </c>
      <c r="EB478" s="445">
        <f t="shared" si="670"/>
        <v>0</v>
      </c>
      <c r="EC478" s="424">
        <f t="shared" si="671"/>
        <v>848.4848484848485</v>
      </c>
      <c r="ED478" s="420">
        <f t="shared" si="672"/>
        <v>393.18181818181819</v>
      </c>
      <c r="EE478" s="433">
        <f t="shared" si="598"/>
        <v>848.4848484848485</v>
      </c>
      <c r="EF478" s="1115" t="s">
        <v>569</v>
      </c>
      <c r="EG478" s="444">
        <f t="shared" si="673"/>
        <v>0.3</v>
      </c>
      <c r="EH478" s="450"/>
      <c r="EI478" s="1093"/>
      <c r="EJ478" s="1093"/>
      <c r="EK478" s="1097">
        <f>IF($P478="","N/A",IF(P478=-1,INDEX('卡片raw data'!AS:AS,MATCH(D478,'卡片raw data'!$F:$F,)),0)+IF(AND(L478&lt;&gt;"party卡",P478&lt;=2,P478&gt;=0),INDEX('卡片raw data'!AU:AU,MATCH(D478,'卡片raw data'!$F:$F,)),0)+IF(OR(AND(L478="party卡",P478&lt;=1),AND(P478&lt;=4,L478&lt;&gt;"party卡",P478&gt;=3)),INDEX('卡片raw data'!AV:AV,MATCH(D478,'卡片raw data'!$F:$F,)),0)+IF(OR(P478=5,AND(L478="party卡",P478&gt;=2)),INDEX('卡片raw data'!AW:AW,MATCH(D478,'卡片raw data'!$F:$F,)),0))</f>
        <v>0</v>
      </c>
      <c r="EL478" s="1098">
        <f t="shared" si="674"/>
        <v>0.3</v>
      </c>
      <c r="EM478" s="1098">
        <f t="shared" si="675"/>
        <v>0.3</v>
      </c>
      <c r="EN478" s="1097">
        <f t="shared" si="676"/>
        <v>0</v>
      </c>
      <c r="EO478" s="1097">
        <f t="shared" si="677"/>
        <v>0</v>
      </c>
      <c r="EP478" s="421">
        <f t="shared" si="678"/>
        <v>0</v>
      </c>
      <c r="EQ478" s="445">
        <f t="shared" si="679"/>
        <v>0</v>
      </c>
      <c r="ER478" s="424">
        <f t="shared" si="680"/>
        <v>0</v>
      </c>
      <c r="ES478" s="420">
        <f t="shared" si="681"/>
        <v>0</v>
      </c>
      <c r="ET478" s="446">
        <f t="shared" si="599"/>
        <v>0</v>
      </c>
    </row>
    <row r="479" spans="2:150" ht="16.5" customHeight="1">
      <c r="B479" s="448" t="str">
        <f>INDEX('卡片raw data'!B:B,MATCH($D479,'卡片raw data'!$F:$F,))</f>
        <v>jb栞</v>
      </c>
      <c r="C479" s="449" t="s">
        <v>2803</v>
      </c>
      <c r="D479" s="408">
        <v>476</v>
      </c>
      <c r="E479" s="477">
        <v>402102001</v>
      </c>
      <c r="F479" s="409" t="str">
        <f>INDEX('卡片raw data'!C:C,MATCH($D479,'卡片raw data'!$F:$F,))</f>
        <v>SR</v>
      </c>
      <c r="G479" s="1094" t="s">
        <v>2804</v>
      </c>
      <c r="H479" s="411">
        <f>IFERROR(INDEX(绊状态确认!C:C,MATCH($G479,绊状态确认!$B:$B,)),"")</f>
        <v>210</v>
      </c>
      <c r="I479" s="450" t="str">
        <f>IFERROR(INDEX(绊状态确认!D:D,MATCH($G479,绊状态确认!$B:$B,)),"")</f>
        <v>虹</v>
      </c>
      <c r="J479" s="450" t="str">
        <f>IFERROR(INDEX(绊状态确认!E:E,MATCH($G479,绊状态确认!$B:$B,)),"")</f>
        <v>1年级</v>
      </c>
      <c r="K479" s="451" t="str">
        <f>IFERROR(INDEX(绊状态确认!F:F,MATCH($G479,绊状态确认!$B:$B,)),"")</f>
        <v>R3BIRTH</v>
      </c>
      <c r="L479" s="414" t="str">
        <f>INDEX('卡片raw data'!E:E,MATCH($D479,'卡片raw data'!$F:$F,))</f>
        <v>卡池卡</v>
      </c>
      <c r="M479" s="478">
        <v>44351</v>
      </c>
      <c r="N479" s="479">
        <v>41</v>
      </c>
      <c r="O479" s="410" t="str">
        <f>INDEX('卡片raw data'!D:D,MATCH($D479,'卡片raw data'!$F:$F,))</f>
        <v>gd</v>
      </c>
      <c r="P479" s="1126">
        <v>5</v>
      </c>
      <c r="Q479" s="418">
        <f t="shared" si="600"/>
        <v>20822.74367567751</v>
      </c>
      <c r="R479" s="419">
        <f t="shared" si="601"/>
        <v>0.24199999999999999</v>
      </c>
      <c r="S479" s="420">
        <f t="shared" si="602"/>
        <v>12194.141165627538</v>
      </c>
      <c r="T479" s="421">
        <f t="shared" si="603"/>
        <v>0.60899999999999999</v>
      </c>
      <c r="U479" s="422">
        <f t="shared" si="604"/>
        <v>98.530663310477934</v>
      </c>
      <c r="V479" s="423">
        <f t="shared" si="605"/>
        <v>30062.356635867905</v>
      </c>
      <c r="W479" s="424">
        <f t="shared" si="606"/>
        <v>4507.7214871259994</v>
      </c>
      <c r="X479" s="419">
        <f t="shared" si="607"/>
        <v>5.1999999999999998E-2</v>
      </c>
      <c r="Y479" s="420">
        <f t="shared" si="608"/>
        <v>3319.4129531865328</v>
      </c>
      <c r="Z479" s="425">
        <f t="shared" si="609"/>
        <v>41.030663310477941</v>
      </c>
      <c r="AA479" s="426">
        <f t="shared" si="610"/>
        <v>7827.1344403125322</v>
      </c>
      <c r="AB479" s="424">
        <f t="shared" si="611"/>
        <v>4507.7214871259994</v>
      </c>
      <c r="AC479" s="427">
        <f t="shared" si="612"/>
        <v>5.1999999999999998E-2</v>
      </c>
      <c r="AD479" s="428">
        <f t="shared" si="613"/>
        <v>-3.8207812500000026E-3</v>
      </c>
      <c r="AE479" s="516">
        <f t="shared" si="614"/>
        <v>-18.525362318840578</v>
      </c>
      <c r="AF479" s="1130">
        <f t="shared" si="615"/>
        <v>0</v>
      </c>
      <c r="AG479" s="420">
        <f t="shared" si="616"/>
        <v>0</v>
      </c>
      <c r="AH479" s="420">
        <f t="shared" si="617"/>
        <v>0</v>
      </c>
      <c r="AI479" s="1097">
        <f t="shared" si="618"/>
        <v>0</v>
      </c>
      <c r="AJ479" s="420">
        <f t="shared" si="619"/>
        <v>0</v>
      </c>
      <c r="AK479" s="518">
        <f t="shared" si="620"/>
        <v>0</v>
      </c>
      <c r="AL479" s="1106">
        <f>IF($P479="","N/A",(IF($P479=-1,INDEX('卡片raw data'!S:S,MATCH($D479,'卡片raw data'!$F:$F,)),0)+IF($P479=0,INDEX('卡片raw data'!V:V,MATCH($D479,'卡片raw data'!$F:$F,)),0)+IF($P479=1,INDEX('卡片raw data'!Y:Y,MATCH($D479,'卡片raw data'!$F:$F,)),0)+IF($P479=2,INDEX('卡片raw data'!AB:AB,MATCH($D479,'卡片raw data'!$F:$F,)),0)+IF($P479=3,INDEX('卡片raw data'!AE:AE,MATCH($D479,'卡片raw data'!$F:$F,)),0)+IF($P479=4,INDEX('卡片raw data'!AH:AH,MATCH($D479,'卡片raw data'!$F:$F,)),0)+IF($P479=5,INDEX('卡片raw data'!AK:AK,MATCH($D479,'卡片raw data'!$F:$F,)),0)+INDEX('卡片raw data'!S:S,MATCH($D479,'卡片raw data'!$F:$F,))*(IF($F479="UR",0.04,0.033))*(IF($F479="UR",INDEX(绊状态确认!$S:$S,MATCH($G479,绊状态确认!$B:$B,))/2-40)+IF($F479="SR",INDEX(绊状态确认!$R:$R,MATCH($G479,绊状态确认!$B:$B,))/4-15))+IF($F479="R",INDEX(绊状态确认!$Q:$Q,MATCH($G479,绊状态确认!$B:$B,))/6-40/6)))*(INDEX(绊状态确认!$H:$H,MATCH($G479,绊状态确认!$B:$B,))+INDEX(绊状态确认!J:J,MATCH($G479,绊状态确认!$B:$B,)))</f>
        <v>6285.8102303999995</v>
      </c>
      <c r="AM479" s="1106">
        <f>IF($P479="","N/A",(IF($P479=-1,INDEX('卡片raw data'!T:T,MATCH($D479,'卡片raw data'!$F:$F,)),0)+IF($P479=0,INDEX('卡片raw data'!W:W,MATCH($D479,'卡片raw data'!$F:$F,)),0)+IF($P479=1,INDEX('卡片raw data'!Z:Z,MATCH($D479,'卡片raw data'!$F:$F,)),0)+IF($P479=2,INDEX('卡片raw data'!AC:AC,MATCH($D479,'卡片raw data'!$F:$F,)),0)+IF($P479=3,INDEX('卡片raw data'!AF:AF,MATCH($D479,'卡片raw data'!$F:$F,)),0)+IF($P479=4,INDEX('卡片raw data'!AI:AI,MATCH($D479,'卡片raw data'!$F:$F,)),0)+IF($P479=5,INDEX('卡片raw data'!AL:AL,MATCH($D479,'卡片raw data'!$F:$F,)),0)+INDEX('卡片raw data'!T:T,MATCH($D479,'卡片raw data'!$F:$F,))*(IF($F479="UR",0.04,0.033))*(IF($F479="UR",INDEX(绊状态确认!$S:$S,MATCH($G479,绊状态确认!$B:$B,))/2-40)+IF($F479="SR",INDEX(绊状态确认!$R:$R,MATCH($G479,绊状态确认!$B:$B,))/4-15))+IF($F479="R",INDEX(绊状态确认!$Q:$Q,MATCH($G479,绊状态确认!$B:$B,))/6-40/6)))*(INDEX(绊状态确认!$H:$H,MATCH($G479,绊状态确认!$B:$B,))+INDEX(绊状态确认!K:K,MATCH($G479,绊状态确认!$B:$B,)))</f>
        <v>9428.7153455999996</v>
      </c>
      <c r="AN479" s="1106">
        <f>IF($P479="","N/A",(IF($P479=-1,INDEX('卡片raw data'!U:U,MATCH($D479,'卡片raw data'!$F:$F,)),0)+IF($P479=0,INDEX('卡片raw data'!X:X,MATCH($D479,'卡片raw data'!$F:$F,)),0)+IF($P479=1,INDEX('卡片raw data'!AA:AA,MATCH($D479,'卡片raw data'!$F:$F,)),0)+IF($P479=2,INDEX('卡片raw data'!AD:AD,MATCH($D479,'卡片raw data'!$F:$F,)),0)+IF($P479=3,INDEX('卡片raw data'!AG:AG,MATCH($D479,'卡片raw data'!$F:$F,)),0)+IF($P479=4,INDEX('卡片raw data'!AJ:AJ,MATCH($D479,'卡片raw data'!$F:$F,)),0)+IF($P479=5,INDEX('卡片raw data'!AM:AM,MATCH($D479,'卡片raw data'!$F:$F,)),0)+INDEX('卡片raw data'!U:U,MATCH($D479,'卡片raw data'!$F:$F,))*(IF($F479="UR",0.04,0.033))*(IF($F479="UR",INDEX(绊状态确认!$S:$S,MATCH($G479,绊状态确认!$B:$B,))/2-40)+IF($F479="SR",INDEX(绊状态确认!$R:$R,MATCH($G479,绊状态确认!$B:$B,))/4-15))+IF($F479="R",INDEX(绊状态确认!$Q:$Q,MATCH($G479,绊状态确认!$B:$B,))/6-40/6)))*(INDEX(绊状态确认!$H:$H,MATCH($G479,绊状态确认!$B:$B,))+INDEX(绊状态确认!L:L,MATCH($G479,绊状态确认!$B:$B,)))</f>
        <v>6735.2837039999986</v>
      </c>
      <c r="AO479" s="1107">
        <f t="shared" si="621"/>
        <v>1</v>
      </c>
      <c r="AP479" s="1131">
        <f>1+(INDEX(绊状态确认!$T:$T,MATCH($G479,绊状态确认!$B:$B,))+0.2)*$AO479</f>
        <v>1.3</v>
      </c>
      <c r="AQ479" s="1108">
        <f t="shared" si="622"/>
        <v>19750.251854800001</v>
      </c>
      <c r="AR479" s="1097">
        <f>(AM479*(1+$EX$9)+$EX$35)*(1+(INDEX(绊状态确认!$T:$T,MATCH($G479,绊状态确认!$B:$B,))+0.2)*AO479)*IF(J479=$FF$17,1+$FE$17,1)*IF(I479=$FF$14,1+$FE$14,1)</f>
        <v>15574.196446743999</v>
      </c>
      <c r="AS479" s="1097">
        <f>(AN479*(1+$EX$10)+$EX$36)*(1+(INDEX(绊状态确认!$T:$T,MATCH($G479,绊状态确认!$B:$B,))+0.2)*AO479)*IF(J479=$FF$17,1+$FE$17,1)*IF(I479=$FF$14,1+$FE$14,1)</f>
        <v>14125.249137479999</v>
      </c>
      <c r="AT479" s="1093">
        <f>IF(AND(INDEX('卡片raw data'!AK:AK,MATCH($D479,'卡片raw data'!$F:$F,))&lt;INDEX('卡片raw data'!AM:AM,MATCH($D479,'卡片raw data'!$F:$F,)),INDEX('卡片raw data'!AL:AL,MATCH($D479,'卡片raw data'!$F:$F,))&lt;INDEX('卡片raw data'!AM:AM,MATCH($D479,'卡片raw data'!$F:$F,))),1,0)</f>
        <v>0</v>
      </c>
      <c r="AU479" s="1098">
        <f>MIN(AT479*0.15+AS479*0.00003+INDEX(绊状态确认!M:M,MATCH($G479,绊状态确认!$B:$B,)),1)</f>
        <v>0.45375747412440004</v>
      </c>
      <c r="AV479" s="1109">
        <f>(INDEX(绊状态确认!$N:$N,MATCH($G479,绊状态确认!$B:$B,))+1.5)*$EW$21</f>
        <v>2.6599999999999997</v>
      </c>
      <c r="AW479" s="1101">
        <f t="shared" si="623"/>
        <v>17983.355521884841</v>
      </c>
      <c r="AX479" s="1097">
        <f t="shared" si="624"/>
        <v>1344.0934422181415</v>
      </c>
      <c r="AY479" s="1110">
        <f t="shared" si="625"/>
        <v>19327.448964102983</v>
      </c>
      <c r="AZ479" s="429">
        <f t="shared" si="626"/>
        <v>14857.329949279998</v>
      </c>
      <c r="BA479" s="431">
        <f t="shared" si="627"/>
        <v>17828.795939135998</v>
      </c>
      <c r="BB479" s="1097">
        <f>(AM479*(1+$FB$9)+$FB$35)*(1+(INDEX(绊状态确认!$T:$T,MATCH($G479,绊状态确认!$B:$B,))+0.2)*AO479)*IF(J479=$FF$17,1+$FE$17,1)*IF(I479=$FF$14,1+$FE$14,1)*(1+$FE$15)</f>
        <v>15574.196446743999</v>
      </c>
      <c r="BC479" s="1097">
        <f>(AN479*(1+$FB$10)+$FB$36)*(1+(INDEX(绊状态确认!$T:$T,MATCH($G479,绊状态确认!$B:$B,))+0.2)*AO479)*IF(J479=$FF$17,1+$FE$17,1)*IF(I479=$FF$14,1+$FE$14,1)*(1+$FE$15)</f>
        <v>14125.249137479999</v>
      </c>
      <c r="BD479" s="1104">
        <f>MIN(AT479*0.15+BC479*0.00003+INDEX(绊状态确认!M:M,MATCH($G479,绊状态确认!$B:$B,)),1)</f>
        <v>0.45375747412440004</v>
      </c>
      <c r="BE479" s="432">
        <f>(INDEX(绊状态确认!$N:$N,MATCH($G479,绊状态确认!$B:$B,))+1.5)</f>
        <v>1.9</v>
      </c>
      <c r="BF479" s="1139">
        <f t="array" ref="BF479">SUMPRODUCT(IF(AZ479*AP479*$FI$16:$FI$23*$FA$22&gt;=$FI$24,$FI$24,AZ479*AP479*$FI$16:$FI$23*$FA$22),$FJ$16:$FJ$23)</f>
        <v>29551.229269117917</v>
      </c>
      <c r="BG479" s="1125">
        <f t="array" ref="BG479">SUMPRODUCT(IF(BE479*AZ479*AP479*$FI$16:$FI$23*$FA$22&gt;=$FI$24,$FI$24,BE479*AZ479*AP479*$FI$16:$FI$23*$FA$22),$FJ$16:$FJ$23)</f>
        <v>54330.628924974379</v>
      </c>
      <c r="BH479" s="1110">
        <f t="shared" si="628"/>
        <v>13598.355689092792</v>
      </c>
      <c r="BI479" s="1111">
        <f>IF(O479="vo",$EW$26/$EW$24*0.05,0)+IF(O479="sk",-$EW$26/$EW$24*(0.05-INDEX(绊状态确认!W:W,MATCH($G479,绊状态确认!$B:$B,)))+0.05*$EW$28,0)+IF(O479="sp",0.05*$EW$32*$EW$30*(1-$EW$33)-(0.05-INDEX(绊状态确认!V:V,MATCH($G479,绊状态确认!$B:$B,)))*$EW$28,0)+IF(O479="gd",-(0.05-INDEX(绊状态确认!X:X,MATCH($G479,绊状态确认!$B:$B,)))*$EW$32*$EW$30*(1-$EW$33),0)</f>
        <v>-585.00000000000011</v>
      </c>
      <c r="BJ479" s="420">
        <f>IF(O479="vo",0.05*(1-$FI$26)*$FA$24,0)+IF(O479="sk",-(0.05-INDEX(绊状态确认!W:W,MATCH($G479,绊状态确认!$B:$B,)))*(1-$FI$26)*$FA$24+0.05*$FA$26,0)+IF(O479="sp",0.05*$FA$32*$FA$27*(1-$FA$33)/$FA$30+0.05*$FA$29/$FA$69*$FA$27*(1-$FA$33)-(0.05-INDEX(绊状态确认!V:V,MATCH($G479,绊状态确认!$B:$B,)))*$FA$26,0)+IF(O479="gd",-(0.05-INDEX(绊状态确认!X:X,MATCH($G479,绊状态确认!$B:$B,)))*$FA$32*$FA$27*(1-$FA$33)/$FA$30-(0.05-INDEX(绊状态确认!X:X,MATCH($G479,绊状态确认!$B:$B,)))*$FA$29/$FA$69*$FA$27*(1-$FA$33),0)</f>
        <v>-795.00000000000011</v>
      </c>
      <c r="BK479" s="1110">
        <f>IF(O479="vo",$EW$26/$EW$24*0.05+$EW$26*(-HP($EW$62,$EW$65,$EW$64)+HP($EW$62,$EW$65,(1.05-INDEX(绊状态确认!U:U,MATCH($G479,绊状态确认!$B:$B,)))*$EW$64)),0)+IF(O479="sk",-$EW$26/$EW$24*(0.05-INDEX(绊状态确认!W:W,MATCH($G479,绊状态确认!$B:$B,)))+0.05*$EW$29,0)+IF(O479="sp",0.05*$EW$32*$EW$30*(1-$EW$33)-(0.05-INDEX(绊状态确认!V:V,MATCH($G479,绊状态确认!$B:$B,)))*$EW$29,0)+IF(O479="gd",-(0.05-INDEX(绊状态确认!X:X,MATCH($G479,绊状态确认!$B:$B,)))*$EW$32*$EW$30*(1-$EW$33)+$EW$26*(-HP($EW$62,$EW$65,$EW$64)+HP($EW$62,$EW$65,0.95*$EW$64)),0)</f>
        <v>1009.5947725176144</v>
      </c>
      <c r="BL479" s="1111">
        <f t="shared" si="629"/>
        <v>-1083.3333333333333</v>
      </c>
      <c r="BM479" s="1110">
        <f t="shared" si="630"/>
        <v>-830.55555555555543</v>
      </c>
      <c r="BN479" s="1113">
        <f t="shared" si="631"/>
        <v>3</v>
      </c>
      <c r="BO479" s="1108">
        <f t="shared" si="632"/>
        <v>4507.7214871259994</v>
      </c>
      <c r="BP479" s="1100">
        <f t="shared" si="633"/>
        <v>221.34103209030098</v>
      </c>
      <c r="BQ479" s="1113" t="s">
        <v>133</v>
      </c>
      <c r="BR479" s="1124" t="s">
        <v>161</v>
      </c>
      <c r="BS479" s="421">
        <f>IF($P479="","N/A",IF($P479=-1,INDEX('卡片raw data'!AX:AX,MATCH($D479,'卡片raw data'!$F:$F,)),0)+IF($L479="party卡",IF($P479=5,INDEX('卡片raw data'!BD:BD,MATCH($D479,'卡片raw data'!$F:$F,)),IF($P479&gt;=3,INDEX('卡片raw data'!BC:BC,MATCH($D479,'卡片raw data'!$F:$F,)),INDEX('卡片raw data'!BB:BB,MATCH($D479,'卡片raw data'!$F:$F,)))),IF(OR(AND($F479="UR",$P479=0),AND($F479="SR",$P479&gt;=0,$P479&lt;=2),AND($F479="R",$P479&gt;=0,$P479&lt;4)),INDEX('卡片raw data'!AZ:AZ,MATCH($D479,'卡片raw data'!$F:$F,)),0)+IF(OR(AND($F479="UR",$P479&gt;=1,$P479&lt;=4),AND($F479="SR",$P479&lt;=4,$P479&gt;=3),AND($F479="R",$P479=4)),INDEX('卡片raw data'!BA:BA,MATCH($D479,'卡片raw data'!$F:$F,)),0)+IF($P479=5,INDEX('卡片raw data'!BB:BB,MATCH($D479,'卡片raw data'!$F:$F,)),0)))</f>
        <v>2.1999999999999999E-2</v>
      </c>
      <c r="BT479" s="424">
        <f t="shared" si="634"/>
        <v>0</v>
      </c>
      <c r="BU479" s="420">
        <f t="shared" si="635"/>
        <v>0</v>
      </c>
      <c r="BV479" s="420">
        <f t="shared" si="636"/>
        <v>0</v>
      </c>
      <c r="BW479" s="436">
        <f t="shared" si="637"/>
        <v>2.3176607142857137</v>
      </c>
      <c r="BX479" s="423">
        <f t="shared" si="638"/>
        <v>181.29549862425898</v>
      </c>
      <c r="BY479" s="433">
        <f t="shared" si="639"/>
        <v>181.29549862425898</v>
      </c>
      <c r="BZ479" s="1113" t="s">
        <v>569</v>
      </c>
      <c r="CA479" s="450"/>
      <c r="CB479" s="421">
        <f>IF($P479="","N/A",IF($P479=-1,INDEX('卡片raw data'!BE:BE,MATCH($D479,'卡片raw data'!$F:$F,)),0)+IF($L479="party卡",IF($P479=5,INDEX('卡片raw data'!BK:BK,MATCH($D479,'卡片raw data'!$F:$F,)),IF($P479&gt;=3,INDEX('卡片raw data'!BJ:BJ,MATCH($D479,'卡片raw data'!$F:$F,)),INDEX('卡片raw data'!BI:BI,MATCH($D479,'卡片raw data'!$F:$F,)))),IF(OR(AND($F479="UR",$P479=0),AND($F479="SR",$P479&gt;=0,$P479&lt;=2),AND($F479="R",$P479&gt;=0,$P479&lt;4)),INDEX('卡片raw data'!BG:BG,MATCH($D479,'卡片raw data'!$F:$F,)),0)+IF(OR(AND($F479="UR",$P479&gt;=1,$P479&lt;=4),AND($F479="SR",$P479&lt;=4,$P479&gt;=3),AND($F479="R",$P479=4)),INDEX('卡片raw data'!BH:BH,MATCH($D479,'卡片raw data'!$F:$F,)),0)+IF($P479=5,INDEX('卡片raw data'!BI:BI,MATCH($D479,'卡片raw data'!$F:$F,)),0)))</f>
        <v>0</v>
      </c>
      <c r="CC479" s="424">
        <f t="shared" si="640"/>
        <v>0</v>
      </c>
      <c r="CD479" s="420">
        <f>IF(BZ479="ap",CB479*(1-$FI$26)*$FB$5/$FB$11*(+IF(CA479="全员",$FA$24,0)+IF(CA479="同作战",$FA$24,0)+IF(CA479="仲间",$FA$24*2/3,0)+IF(CA479="同属性",$FA$24*$FA$37/3,0)+IF(CA479="同年级",$FA$24*$FA$40/3,0)+IF(CA479="同学校",$FA$24*$FA$43/3,0)+IF(CA479="同小队",$FA$24*$FA$46/3,0)+IF(CA479="同type",$FA$24*INDEX($FB$49:$FB$52,MATCH(X479,$FA$49:$FA$52,))/3,0)+IF(CA479="自身",#REF!/3,0)),0)+IF(BZ479="te",CB479*(1-$FI$27)*($FA$20-1)*$FB$7/$FB$13*(+IF(CA479="全员",$FA$19*$FA$24/(1+($FA$20-1)*$FA$19),0)+IF(CA479="同作战",$FA$19*$FA$24/(1+($FA$20-1)*$FA$19),0)+IF(CA479="仲间",$FA$19*$FA$24*2/3/(1+($FA$20-1)*$FA$19),0)+IF(CA479="同属性",$FA$19*$FA$24*$FA$37/3/(1+($FA$20-1)*$FA$19),0)+IF(CA479="同年级",$FA$19*$FA$24*$FA$40/3/(1+($FA$20-1)*$FA$19),0)+IF(CA479="同学校",$FA$19*$FA$24*$FA$43/3/(1+($FA$20-1)*$FA$19),0)+IF(CA479="同小队",$FA$19*$FA$24*$FA$46/3/(1+($FA$20-1)*$FA$19),0)+IF(CA479="同type",$FA$19*$FA$24*INDEX($FB$49:$FB$52,MATCH(X479,$FA$49:$FA$52,))/3/(1+($FA$20-1)*$FA$19),0)+IF(CA479="自身",$FA$19*#REF!/3/(1+(BH479-1)*$BD479),0)),0)</f>
        <v>0</v>
      </c>
      <c r="CE479" s="420">
        <f t="shared" si="641"/>
        <v>0</v>
      </c>
      <c r="CF479" s="436">
        <f t="shared" si="642"/>
        <v>0</v>
      </c>
      <c r="CG479" s="423">
        <f t="shared" si="643"/>
        <v>0</v>
      </c>
      <c r="CH479" s="433">
        <f t="shared" si="644"/>
        <v>0</v>
      </c>
      <c r="CI479" s="1113" t="s">
        <v>164</v>
      </c>
      <c r="CJ479" s="1114">
        <v>1</v>
      </c>
      <c r="CK479" s="1115" t="s">
        <v>2305</v>
      </c>
      <c r="CL479" s="1115" t="s">
        <v>1943</v>
      </c>
      <c r="CM479" s="1119">
        <v>6.6000000000000003E-2</v>
      </c>
      <c r="CN479" s="1115"/>
      <c r="CO479" s="1115"/>
      <c r="CP479" s="1116">
        <f t="shared" si="645"/>
        <v>22.026363546109369</v>
      </c>
      <c r="CQ479" s="1116">
        <f t="shared" si="646"/>
        <v>34.263232182836795</v>
      </c>
      <c r="CR479" s="1117">
        <f t="shared" si="647"/>
        <v>22.026363546109369</v>
      </c>
      <c r="CS479" s="442">
        <f t="shared" si="648"/>
        <v>0</v>
      </c>
      <c r="CT479" s="432">
        <f t="shared" si="649"/>
        <v>0</v>
      </c>
      <c r="CU479" s="1101">
        <f t="shared" si="650"/>
        <v>0</v>
      </c>
      <c r="CV479" s="1108">
        <f t="shared" si="682"/>
        <v>0</v>
      </c>
      <c r="CW479" s="420">
        <f t="shared" si="651"/>
        <v>0</v>
      </c>
      <c r="CX479" s="420">
        <f t="shared" si="652"/>
        <v>1794.0240123441315</v>
      </c>
      <c r="CY479" s="433">
        <f t="shared" si="653"/>
        <v>1794.0240123441315</v>
      </c>
      <c r="CZ479" s="437"/>
      <c r="DA479" s="438"/>
      <c r="DB479" s="439" t="s">
        <v>569</v>
      </c>
      <c r="DC479" s="439"/>
      <c r="DD479" s="443"/>
      <c r="DE479" s="411"/>
      <c r="DF479" s="411"/>
      <c r="DG479" s="1116">
        <f t="shared" si="654"/>
        <v>0</v>
      </c>
      <c r="DH479" s="1116">
        <f t="shared" si="655"/>
        <v>0</v>
      </c>
      <c r="DI479" s="1116">
        <f t="shared" si="656"/>
        <v>0</v>
      </c>
      <c r="DJ479" s="442">
        <f t="shared" si="657"/>
        <v>0</v>
      </c>
      <c r="DK479" s="432">
        <f t="shared" si="658"/>
        <v>0</v>
      </c>
      <c r="DL479" s="424">
        <f t="shared" si="659"/>
        <v>0</v>
      </c>
      <c r="DM479" s="420">
        <f t="shared" si="660"/>
        <v>0</v>
      </c>
      <c r="DN479" s="420">
        <f t="shared" si="661"/>
        <v>0</v>
      </c>
      <c r="DO479" s="420">
        <f t="shared" si="662"/>
        <v>0</v>
      </c>
      <c r="DP479" s="433">
        <f t="shared" si="663"/>
        <v>0</v>
      </c>
      <c r="DQ479" s="1113" t="s">
        <v>556</v>
      </c>
      <c r="DR479" s="1120">
        <f t="shared" si="664"/>
        <v>0.3</v>
      </c>
      <c r="DS479" s="1124">
        <v>10</v>
      </c>
      <c r="DT479" s="1124" t="s">
        <v>161</v>
      </c>
      <c r="DU479" s="1093" t="s">
        <v>544</v>
      </c>
      <c r="DV479" s="1098">
        <f>IF($P479="","N/A",IF(P479=-1,INDEX('卡片raw data'!AN:AN,MATCH(D479,'卡片raw data'!$F:$F,)),0)+IF(AND(L479&lt;&gt;"party卡",P479&lt;=2,P479&gt;=0),INDEX('卡片raw data'!AP:AP,MATCH(D479,'卡片raw data'!$F:$F,)),0)+IF(OR(AND(L479="party卡",P479&lt;=1),AND(P479&lt;=4,L479&lt;&gt;"party卡",P479&gt;=3)),INDEX('卡片raw data'!AQ:AQ,MATCH(D479,'卡片raw data'!$F:$F,)),0)+IF(OR(P479=5,AND(L479="party卡",P479&gt;=2)),INDEX('卡片raw data'!AR:AR,MATCH(D479,'卡片raw data'!$F:$F,)),0))</f>
        <v>0.1</v>
      </c>
      <c r="DW479" s="1098">
        <f t="shared" si="665"/>
        <v>0.3</v>
      </c>
      <c r="DX479" s="1098">
        <f t="shared" si="666"/>
        <v>0.3</v>
      </c>
      <c r="DY479" s="1098">
        <f t="shared" si="667"/>
        <v>0.1</v>
      </c>
      <c r="DZ479" s="1098">
        <f t="shared" si="668"/>
        <v>8.6500000000000007E-2</v>
      </c>
      <c r="EA479" s="421">
        <f t="shared" si="669"/>
        <v>0</v>
      </c>
      <c r="EB479" s="445">
        <f t="shared" si="670"/>
        <v>0</v>
      </c>
      <c r="EC479" s="424">
        <f t="shared" si="671"/>
        <v>0</v>
      </c>
      <c r="ED479" s="420">
        <f t="shared" si="672"/>
        <v>0</v>
      </c>
      <c r="EE479" s="433">
        <f t="shared" ref="EE479:EE542" si="683">EC479+IF(OR(DQ479="回血",DQ479="加盾"),$EW$26*(HP($EW$62,$EW$65,$EW$64-DY479)/$EW$66-1))+IF(DQ479="减伤",$EW$26*(HP($EW$62,$EW$65,$EW$64*(1-DY479))/$EW$66-1))</f>
        <v>4325.6052344862483</v>
      </c>
      <c r="EF479" s="1115" t="s">
        <v>569</v>
      </c>
      <c r="EG479" s="1120">
        <f t="shared" si="673"/>
        <v>0.3</v>
      </c>
      <c r="EH479" s="450"/>
      <c r="EI479" s="1093"/>
      <c r="EJ479" s="1093"/>
      <c r="EK479" s="420">
        <f>IF($P479="","N/A",IF(P479=-1,INDEX('卡片raw data'!AS:AS,MATCH(D479,'卡片raw data'!$F:$F,)),0)+IF(AND(L479&lt;&gt;"party卡",P479&lt;=2,P479&gt;=0),INDEX('卡片raw data'!AU:AU,MATCH(D479,'卡片raw data'!$F:$F,)),0)+IF(OR(AND(L479="party卡",P479&lt;=1),AND(P479&lt;=4,L479&lt;&gt;"party卡",P479&gt;=3)),INDEX('卡片raw data'!AV:AV,MATCH(D479,'卡片raw data'!$F:$F,)),0)+IF(OR(P479=5,AND(L479="party卡",P479&gt;=2)),INDEX('卡片raw data'!AW:AW,MATCH(D479,'卡片raw data'!$F:$F,)),0))</f>
        <v>0</v>
      </c>
      <c r="EL479" s="1098">
        <f t="shared" si="674"/>
        <v>0.3</v>
      </c>
      <c r="EM479" s="1098">
        <f t="shared" si="675"/>
        <v>0.3</v>
      </c>
      <c r="EN479" s="1097">
        <f t="shared" si="676"/>
        <v>0</v>
      </c>
      <c r="EO479" s="1097">
        <f t="shared" si="677"/>
        <v>0</v>
      </c>
      <c r="EP479" s="421">
        <f t="shared" si="678"/>
        <v>0</v>
      </c>
      <c r="EQ479" s="445">
        <f t="shared" si="679"/>
        <v>0</v>
      </c>
      <c r="ER479" s="424">
        <f t="shared" si="680"/>
        <v>0</v>
      </c>
      <c r="ES479" s="420">
        <f t="shared" si="681"/>
        <v>0</v>
      </c>
      <c r="ET479" s="446">
        <f t="shared" ref="ET479:ET542" si="684">ER479+IF(OR(EF479="回血",EF479="加盾"),$EW$26*(HP($EW$62,$EW$65,$EW$64-EN479)/$EW$66-1))+IF(EF479="减伤",$EW$26*(HP($EW$62,$EW$65,$EW$64*(1-EN479))/$EW$66-1))</f>
        <v>0</v>
      </c>
    </row>
    <row r="480" spans="2:150" ht="16.5" customHeight="1">
      <c r="B480" s="448" t="str">
        <f>INDEX('卡片raw data'!B:B,MATCH($D480,'卡片raw data'!$F:$F,))</f>
        <v>prt栞</v>
      </c>
      <c r="C480" s="449" t="s">
        <v>3162</v>
      </c>
      <c r="D480" s="408">
        <v>477</v>
      </c>
      <c r="E480" s="477">
        <v>302103001</v>
      </c>
      <c r="F480" s="409" t="str">
        <f>INDEX('卡片raw data'!C:C,MATCH($D480,'卡片raw data'!$F:$F,))</f>
        <v>UR</v>
      </c>
      <c r="G480" s="1094" t="s">
        <v>2121</v>
      </c>
      <c r="H480" s="411">
        <f>IFERROR(INDEX(绊状态确认!C:C,MATCH($G480,绊状态确认!$B:$B,)),"")</f>
        <v>210</v>
      </c>
      <c r="I480" s="450" t="str">
        <f>IFERROR(INDEX(绊状态确认!D:D,MATCH($G480,绊状态确认!$B:$B,)),"")</f>
        <v>虹</v>
      </c>
      <c r="J480" s="450" t="str">
        <f>IFERROR(INDEX(绊状态确认!E:E,MATCH($G480,绊状态确认!$B:$B,)),"")</f>
        <v>1年级</v>
      </c>
      <c r="K480" s="451" t="str">
        <f>IFERROR(INDEX(绊状态确认!F:F,MATCH($G480,绊状态确认!$B:$B,)),"")</f>
        <v>R3BIRTH</v>
      </c>
      <c r="L480" s="414" t="str">
        <f>INDEX('卡片raw data'!E:E,MATCH($D480,'卡片raw data'!$F:$F,))</f>
        <v>party卡</v>
      </c>
      <c r="M480" s="478">
        <v>44361</v>
      </c>
      <c r="N480" s="479">
        <v>41.5</v>
      </c>
      <c r="O480" s="410" t="str">
        <f>INDEX('卡片raw data'!D:D,MATCH($D480,'卡片raw data'!$F:$F,))</f>
        <v>sp</v>
      </c>
      <c r="P480" s="1126">
        <v>5</v>
      </c>
      <c r="Q480" s="418">
        <f t="shared" si="600"/>
        <v>77945.91311083168</v>
      </c>
      <c r="R480" s="419">
        <f t="shared" si="601"/>
        <v>0.90600000000000003</v>
      </c>
      <c r="S480" s="420">
        <f t="shared" si="602"/>
        <v>24575.264206423126</v>
      </c>
      <c r="T480" s="421">
        <f t="shared" si="603"/>
        <v>1.228</v>
      </c>
      <c r="U480" s="422">
        <f t="shared" si="604"/>
        <v>12.149479831542854</v>
      </c>
      <c r="V480" s="423">
        <f t="shared" si="605"/>
        <v>77115.440993751909</v>
      </c>
      <c r="W480" s="424">
        <f t="shared" si="606"/>
        <v>6010.2953161679998</v>
      </c>
      <c r="X480" s="419">
        <f t="shared" si="607"/>
        <v>6.9000000000000006E-2</v>
      </c>
      <c r="Y480" s="420">
        <f t="shared" si="608"/>
        <v>969.52788292022888</v>
      </c>
      <c r="Z480" s="425">
        <f t="shared" si="609"/>
        <v>12.149479831542854</v>
      </c>
      <c r="AA480" s="426">
        <f t="shared" si="610"/>
        <v>6979.8231990882286</v>
      </c>
      <c r="AB480" s="424">
        <f t="shared" si="611"/>
        <v>16337.078241096868</v>
      </c>
      <c r="AC480" s="427">
        <f t="shared" si="612"/>
        <v>0.189</v>
      </c>
      <c r="AD480" s="428">
        <f t="shared" si="613"/>
        <v>-1.6087500000000001E-2</v>
      </c>
      <c r="AE480" s="516" t="e">
        <f t="shared" si="614"/>
        <v>#VALUE!</v>
      </c>
      <c r="AF480" s="1130">
        <f t="shared" si="615"/>
        <v>0</v>
      </c>
      <c r="AG480" s="420">
        <f t="shared" si="616"/>
        <v>0</v>
      </c>
      <c r="AH480" s="420">
        <f t="shared" si="617"/>
        <v>0</v>
      </c>
      <c r="AI480" s="1097">
        <f t="shared" si="618"/>
        <v>0</v>
      </c>
      <c r="AJ480" s="420">
        <f t="shared" si="619"/>
        <v>0</v>
      </c>
      <c r="AK480" s="518">
        <f t="shared" si="620"/>
        <v>0</v>
      </c>
      <c r="AL480" s="1106">
        <f>IF($P480="","N/A",(IF($P480=-1,INDEX('卡片raw data'!S:S,MATCH($D480,'卡片raw data'!$F:$F,)),0)+IF($P480=0,INDEX('卡片raw data'!V:V,MATCH($D480,'卡片raw data'!$F:$F,)),0)+IF($P480=1,INDEX('卡片raw data'!Y:Y,MATCH($D480,'卡片raw data'!$F:$F,)),0)+IF($P480=2,INDEX('卡片raw data'!AB:AB,MATCH($D480,'卡片raw data'!$F:$F,)),0)+IF($P480=3,INDEX('卡片raw data'!AE:AE,MATCH($D480,'卡片raw data'!$F:$F,)),0)+IF($P480=4,INDEX('卡片raw data'!AH:AH,MATCH($D480,'卡片raw data'!$F:$F,)),0)+IF($P480=5,INDEX('卡片raw data'!AK:AK,MATCH($D480,'卡片raw data'!$F:$F,)),0)+INDEX('卡片raw data'!S:S,MATCH($D480,'卡片raw data'!$F:$F,))*(IF($F480="UR",0.04,0.033))*(IF($F480="UR",INDEX(绊状态确认!$S:$S,MATCH($G480,绊状态确认!$B:$B,))/2-40)+IF($F480="SR",INDEX(绊状态确认!$R:$R,MATCH($G480,绊状态确认!$B:$B,))/4-15))+IF($F480="R",INDEX(绊状态确认!$Q:$Q,MATCH($G480,绊状态确认!$B:$B,))/6-40/6)))*(INDEX(绊状态确认!$H:$H,MATCH($G480,绊状态确认!$B:$B,))+INDEX(绊状态确认!J:J,MATCH($G480,绊状态确认!$B:$B,)))</f>
        <v>14517.146351999998</v>
      </c>
      <c r="AM480" s="1106">
        <f>IF($P480="","N/A",(IF($P480=-1,INDEX('卡片raw data'!T:T,MATCH($D480,'卡片raw data'!$F:$F,)),0)+IF($P480=0,INDEX('卡片raw data'!W:W,MATCH($D480,'卡片raw data'!$F:$F,)),0)+IF($P480=1,INDEX('卡片raw data'!Z:Z,MATCH($D480,'卡片raw data'!$F:$F,)),0)+IF($P480=2,INDEX('卡片raw data'!AC:AC,MATCH($D480,'卡片raw data'!$F:$F,)),0)+IF($P480=3,INDEX('卡片raw data'!AF:AF,MATCH($D480,'卡片raw data'!$F:$F,)),0)+IF($P480=4,INDEX('卡片raw data'!AI:AI,MATCH($D480,'卡片raw data'!$F:$F,)),0)+IF($P480=5,INDEX('卡片raw data'!AL:AL,MATCH($D480,'卡片raw data'!$F:$F,)),0)+INDEX('卡片raw data'!T:T,MATCH($D480,'卡片raw data'!$F:$F,))*(IF($F480="UR",0.04,0.033))*(IF($F480="UR",INDEX(绊状态确认!$S:$S,MATCH($G480,绊状态确认!$B:$B,))/2-40)+IF($F480="SR",INDEX(绊状态确认!$R:$R,MATCH($G480,绊状态确认!$B:$B,))/4-15))+IF($F480="R",INDEX(绊状态确认!$Q:$Q,MATCH($G480,绊状态确认!$B:$B,))/6-40/6)))*(INDEX(绊状态确认!$H:$H,MATCH($G480,绊状态确认!$B:$B,))+INDEX(绊状态确认!K:K,MATCH($G480,绊状态确认!$B:$B,)))</f>
        <v>6326.3842559999994</v>
      </c>
      <c r="AN480" s="1106">
        <f>IF($P480="","N/A",(IF($P480=-1,INDEX('卡片raw data'!U:U,MATCH($D480,'卡片raw data'!$F:$F,)),0)+IF($P480=0,INDEX('卡片raw data'!X:X,MATCH($D480,'卡片raw data'!$F:$F,)),0)+IF($P480=1,INDEX('卡片raw data'!AA:AA,MATCH($D480,'卡片raw data'!$F:$F,)),0)+IF($P480=2,INDEX('卡片raw data'!AD:AD,MATCH($D480,'卡片raw data'!$F:$F,)),0)+IF($P480=3,INDEX('卡片raw data'!AG:AG,MATCH($D480,'卡片raw data'!$F:$F,)),0)+IF($P480=4,INDEX('卡片raw data'!AJ:AJ,MATCH($D480,'卡片raw data'!$F:$F,)),0)+IF($P480=5,INDEX('卡片raw data'!AM:AM,MATCH($D480,'卡片raw data'!$F:$F,)),0)+INDEX('卡片raw data'!U:U,MATCH($D480,'卡片raw data'!$F:$F,))*(IF($F480="UR",0.04,0.033))*(IF($F480="UR",INDEX(绊状态确认!$S:$S,MATCH($G480,绊状态确认!$B:$B,))/2-40)+IF($F480="SR",INDEX(绊状态确认!$R:$R,MATCH($G480,绊状态确认!$B:$B,))/4-15))+IF($F480="R",INDEX(绊状态确认!$Q:$Q,MATCH($G480,绊状态确认!$B:$B,))/6-40/6)))*(INDEX(绊状态确认!$H:$H,MATCH($G480,绊状态确认!$B:$B,))+INDEX(绊状态确认!L:L,MATCH($G480,绊状态确认!$B:$B,)))</f>
        <v>16380.296879999998</v>
      </c>
      <c r="AO480" s="1107">
        <f t="shared" si="621"/>
        <v>1</v>
      </c>
      <c r="AP480" s="1131">
        <f>1+(INDEX(绊状态确认!$T:$T,MATCH($G480,绊状态确认!$B:$B,))+0.2)*$AO480</f>
        <v>1.3</v>
      </c>
      <c r="AQ480" s="1108">
        <f t="shared" si="622"/>
        <v>41357.509173999999</v>
      </c>
      <c r="AR480" s="1097">
        <f>(AM480*(1+$EX$9)+$EX$35)*(1+(INDEX(绊状态确认!$T:$T,MATCH($G480,绊状态确认!$B:$B,))+0.2)*AO480)*IF(J480=$FF$17,1+$FE$17,1)*IF(I480=$FF$14,1+$FE$14,1)</f>
        <v>11339.514509439998</v>
      </c>
      <c r="AS480" s="1097">
        <f>(AN480*(1+$EX$10)+$EX$36)*(1+(INDEX(绊状态确认!$T:$T,MATCH($G480,绊状态确认!$B:$B,))+0.2)*AO480)*IF(J480=$FF$17,1+$FE$17,1)*IF(I480=$FF$14,1+$FE$14,1)</f>
        <v>28544.543835599998</v>
      </c>
      <c r="AT480" s="1093">
        <f>IF(AND(INDEX('卡片raw data'!AK:AK,MATCH($D480,'卡片raw data'!$F:$F,))&lt;INDEX('卡片raw data'!AM:AM,MATCH($D480,'卡片raw data'!$F:$F,)),INDEX('卡片raw data'!AL:AL,MATCH($D480,'卡片raw data'!$F:$F,))&lt;INDEX('卡片raw data'!AM:AM,MATCH($D480,'卡片raw data'!$F:$F,))),1,0)</f>
        <v>1</v>
      </c>
      <c r="AU480" s="1098">
        <f>MIN(AT480*0.15+AS480*0.00003+INDEX(绊状态确认!M:M,MATCH($G480,绊状态确认!$B:$B,)),1)</f>
        <v>1</v>
      </c>
      <c r="AV480" s="1109">
        <f>(INDEX(绊状态确认!$N:$N,MATCH($G480,绊状态确认!$B:$B,))+1.5)*$EW$21</f>
        <v>2.6599999999999997</v>
      </c>
      <c r="AW480" s="1101">
        <f t="shared" si="623"/>
        <v>57133.834869734812</v>
      </c>
      <c r="AX480" s="1097">
        <f t="shared" si="624"/>
        <v>969.52788292022922</v>
      </c>
      <c r="AY480" s="1110">
        <f t="shared" si="625"/>
        <v>58103.362752655041</v>
      </c>
      <c r="AZ480" s="429">
        <f t="shared" si="626"/>
        <v>30908.435386399997</v>
      </c>
      <c r="BA480" s="431">
        <f t="shared" si="627"/>
        <v>37090.122463679996</v>
      </c>
      <c r="BB480" s="1097">
        <f>(AM480*(1+$FB$9)+$FB$35)*(1+(INDEX(绊状态确认!$T:$T,MATCH($G480,绊状态确认!$B:$B,))+0.2)*AO480)*IF(J480=$FF$17,1+$FE$17,1)*IF(I480=$FF$14,1+$FE$14,1)*(1+$FE$15)</f>
        <v>11339.514509439998</v>
      </c>
      <c r="BC480" s="1097">
        <f>(AN480*(1+$FB$10)+$FB$36)*(1+(INDEX(绊状态确认!$T:$T,MATCH($G480,绊状态确认!$B:$B,))+0.2)*AO480)*IF(J480=$FF$17,1+$FE$17,1)*IF(I480=$FF$14,1+$FE$14,1)*(1+$FE$15)</f>
        <v>28544.543835599998</v>
      </c>
      <c r="BD480" s="1104">
        <f>MIN(AT480*0.15+BC480*0.00003+INDEX(绊状态确认!M:M,MATCH($G480,绊状态确认!$B:$B,)),1)</f>
        <v>1</v>
      </c>
      <c r="BE480" s="432">
        <f>(INDEX(绊状态确认!$N:$N,MATCH($G480,绊状态确认!$B:$B,))+1.5)</f>
        <v>1.9</v>
      </c>
      <c r="BF480" s="1139">
        <f t="array" ref="BF480">SUMPRODUCT(IF(AZ480*AP480*$FI$16:$FI$23*$FA$22&gt;=$FI$24,$FI$24,AZ480*AP480*$FI$16:$FI$23*$FA$22),$FJ$16:$FJ$23)</f>
        <v>57295.911981229598</v>
      </c>
      <c r="BG480" s="1125">
        <f t="array" ref="BG480">SUMPRODUCT(IF(BE480*AZ480*AP480*$FI$16:$FI$23*$FA$22&gt;=$FI$24,$FI$24,BE480*AZ480*AP480*$FI$16:$FI$23*$FA$22),$FJ$16:$FJ$23)</f>
        <v>60000</v>
      </c>
      <c r="BH480" s="1110">
        <f t="shared" si="628"/>
        <v>20000</v>
      </c>
      <c r="BI480" s="1111">
        <f>IF(O480="vo",$EW$26/$EW$24*0.05,0)+IF(O480="sk",-$EW$26/$EW$24*(0.05-INDEX(绊状态确认!W:W,MATCH($G480,绊状态确认!$B:$B,)))+0.05*$EW$28,0)+IF(O480="sp",0.05*$EW$32*$EW$30*(1-$EW$33)-(0.05-INDEX(绊状态确认!V:V,MATCH($G480,绊状态确认!$B:$B,)))*$EW$28,0)+IF(O480="gd",-(0.05-INDEX(绊状态确认!X:X,MATCH($G480,绊状态确认!$B:$B,)))*$EW$32*$EW$30*(1-$EW$33),0)</f>
        <v>19.999999999999886</v>
      </c>
      <c r="BJ480" s="420">
        <f>IF(O480="vo",0.05*(1-$FI$26)*$FA$24,0)+IF(O480="sk",-(0.05-INDEX(绊状态确认!W:W,MATCH($G480,绊状态确认!$B:$B,)))*(1-$FI$26)*$FA$24+0.05*$FA$26,0)+IF(O480="sp",0.05*$FA$32*$FA$27*(1-$FA$33)/$FA$30+0.05*$FA$29/$FA$69*$FA$27*(1-$FA$33)-(0.05-INDEX(绊状态确认!V:V,MATCH($G480,绊状态确认!$B:$B,)))*$FA$26,0)+IF(O480="gd",-(0.05-INDEX(绊状态确认!X:X,MATCH($G480,绊状态确认!$B:$B,)))*$FA$32*$FA$27*(1-$FA$33)/$FA$30-(0.05-INDEX(绊状态确认!X:X,MATCH($G480,绊状态确认!$B:$B,)))*$FA$29/$FA$69*$FA$27*(1-$FA$33),0)</f>
        <v>545.83333333333326</v>
      </c>
      <c r="BK480" s="1110">
        <f>IF(O480="vo",$EW$26/$EW$24*0.05+$EW$26*(-HP($EW$62,$EW$65,$EW$64)+HP($EW$62,$EW$65,(1.05-INDEX(绊状态确认!U:U,MATCH($G480,绊状态确认!$B:$B,)))*$EW$64)),0)+IF(O480="sk",-$EW$26/$EW$24*(0.05-INDEX(绊状态确认!W:W,MATCH($G480,绊状态确认!$B:$B,)))+0.05*$EW$29,0)+IF(O480="sp",0.05*$EW$32*$EW$30*(1-$EW$33)-(0.05-INDEX(绊状态确认!V:V,MATCH($G480,绊状态确认!$B:$B,)))*$EW$29,0)+IF(O480="gd",-(0.05-INDEX(绊状态确认!X:X,MATCH($G480,绊状态确认!$B:$B,)))*$EW$32*$EW$30*(1-$EW$33)+$EW$26*(-HP($EW$62,$EW$65,$EW$64)+HP($EW$62,$EW$65,0.95*$EW$64)),0)</f>
        <v>-1780.0000000000005</v>
      </c>
      <c r="BL480" s="1111">
        <f t="shared" si="629"/>
        <v>0</v>
      </c>
      <c r="BM480" s="1110">
        <f t="shared" si="630"/>
        <v>0</v>
      </c>
      <c r="BN480" s="1113">
        <f t="shared" si="631"/>
        <v>4</v>
      </c>
      <c r="BO480" s="1108">
        <f t="shared" si="632"/>
        <v>6010.2953161679998</v>
      </c>
      <c r="BP480" s="1100">
        <f t="shared" si="633"/>
        <v>295.12137612040135</v>
      </c>
      <c r="BQ480" s="1113" t="s">
        <v>132</v>
      </c>
      <c r="BR480" s="1124" t="s">
        <v>168</v>
      </c>
      <c r="BS480" s="421">
        <f>IF($P480="","N/A",IF($P480=-1,INDEX('卡片raw data'!AX:AX,MATCH($D480,'卡片raw data'!$F:$F,)),0)+IF($L480="party卡",IF($P480=5,INDEX('卡片raw data'!BD:BD,MATCH($D480,'卡片raw data'!$F:$F,)),IF($P480&gt;=3,INDEX('卡片raw data'!BC:BC,MATCH($D480,'卡片raw data'!$F:$F,)),INDEX('卡片raw data'!BB:BB,MATCH($D480,'卡片raw data'!$F:$F,)))),IF(OR(AND($F480="UR",$P480=0),AND($F480="SR",$P480&gt;=0,$P480&lt;=2),AND($F480="R",$P480&gt;=0,$P480&lt;4)),INDEX('卡片raw data'!AZ:AZ,MATCH($D480,'卡片raw data'!$F:$F,)),0)+IF(OR(AND($F480="UR",$P480&gt;=1,$P480&lt;=4),AND($F480="SR",$P480&lt;=4,$P480&gt;=3),AND($F480="R",$P480=4)),INDEX('卡片raw data'!BA:BA,MATCH($D480,'卡片raw data'!$F:$F,)),0)+IF($P480=5,INDEX('卡片raw data'!BB:BB,MATCH($D480,'卡片raw data'!$F:$F,)),0)))</f>
        <v>8.4000000000000005E-2</v>
      </c>
      <c r="BT480" s="424">
        <f t="shared" si="634"/>
        <v>6310.8100819763995</v>
      </c>
      <c r="BU480" s="420">
        <f t="shared" si="635"/>
        <v>309.87744492642145</v>
      </c>
      <c r="BV480" s="420">
        <f t="shared" si="636"/>
        <v>0</v>
      </c>
      <c r="BW480" s="436">
        <f t="shared" si="637"/>
        <v>0</v>
      </c>
      <c r="BX480" s="423">
        <f t="shared" si="638"/>
        <v>6310.8100819763995</v>
      </c>
      <c r="BY480" s="433">
        <f t="shared" si="639"/>
        <v>0</v>
      </c>
      <c r="BZ480" s="1113" t="s">
        <v>134</v>
      </c>
      <c r="CA480" s="450" t="s">
        <v>168</v>
      </c>
      <c r="CB480" s="421">
        <f>IF($P480="","N/A",IF($P480=-1,INDEX('卡片raw data'!BE:BE,MATCH($D480,'卡片raw data'!$F:$F,)),0)+IF($L480="party卡",IF($P480=5,INDEX('卡片raw data'!BK:BK,MATCH($D480,'卡片raw data'!$F:$F,)),IF($P480&gt;=3,INDEX('卡片raw data'!BJ:BJ,MATCH($D480,'卡片raw data'!$F:$F,)),INDEX('卡片raw data'!BI:BI,MATCH($D480,'卡片raw data'!$F:$F,)))),IF(OR(AND($F480="UR",$P480=0),AND($F480="SR",$P480&gt;=0,$P480&lt;=2),AND($F480="R",$P480&gt;=0,$P480&lt;4)),INDEX('卡片raw data'!BG:BG,MATCH($D480,'卡片raw data'!$F:$F,)),0)+IF(OR(AND($F480="UR",$P480&gt;=1,$P480&lt;=4),AND($F480="SR",$P480&lt;=4,$P480&gt;=3),AND($F480="R",$P480=4)),INDEX('卡片raw data'!BH:BH,MATCH($D480,'卡片raw data'!$F:$F,)),0)+IF($P480=5,INDEX('卡片raw data'!BI:BI,MATCH($D480,'卡片raw data'!$F:$F,)),0)))</f>
        <v>4.2000000000000003E-2</v>
      </c>
      <c r="CC480" s="424">
        <f t="shared" si="640"/>
        <v>2971.3299858096102</v>
      </c>
      <c r="CD480" s="420">
        <f>IF(BZ480="ap",CB480*(1-$FI$26)*$FB$5/$FB$11*(+IF(CA480="全员",$FA$24,0)+IF(CA480="同作战",$FA$24,0)+IF(CA480="仲间",$FA$24*2/3,0)+IF(CA480="同属性",$FA$24*$FA$37/3,0)+IF(CA480="同年级",$FA$24*$FA$40/3,0)+IF(CA480="同学校",$FA$24*$FA$43/3,0)+IF(CA480="同小队",$FA$24*$FA$46/3,0)+IF(CA480="同type",$FA$24*INDEX($FB$49:$FB$52,MATCH(X480,$FA$49:$FA$52,))/3,0)+IF(CA480="自身",#REF!/3,0)),0)+IF(BZ480="te",CB480*(1-$FI$27)*($FA$20-1)*$FB$7/$FB$13*(+IF(CA480="全员",$FA$19*$FA$24/(1+($FA$20-1)*$FA$19),0)+IF(CA480="同作战",$FA$19*$FA$24/(1+($FA$20-1)*$FA$19),0)+IF(CA480="仲间",$FA$19*$FA$24*2/3/(1+($FA$20-1)*$FA$19),0)+IF(CA480="同属性",$FA$19*$FA$24*$FA$37/3/(1+($FA$20-1)*$FA$19),0)+IF(CA480="同年级",$FA$19*$FA$24*$FA$40/3/(1+($FA$20-1)*$FA$19),0)+IF(CA480="同学校",$FA$19*$FA$24*$FA$43/3/(1+($FA$20-1)*$FA$19),0)+IF(CA480="同小队",$FA$19*$FA$24*$FA$46/3/(1+($FA$20-1)*$FA$19),0)+IF(CA480="同type",$FA$19*$FA$24*INDEX($FB$49:$FB$52,MATCH(X480,$FA$49:$FA$52,))/3/(1+($FA$20-1)*$FA$19),0)+IF(CA480="自身",$FA$19*#REF!/3/(1+(BH480-1)*$BD480),0)),0)</f>
        <v>214.92580204297263</v>
      </c>
      <c r="CE480" s="420">
        <f t="shared" si="641"/>
        <v>0</v>
      </c>
      <c r="CF480" s="436">
        <f t="shared" si="642"/>
        <v>0</v>
      </c>
      <c r="CG480" s="423">
        <f t="shared" si="643"/>
        <v>2971.3299858096102</v>
      </c>
      <c r="CH480" s="433">
        <f t="shared" si="644"/>
        <v>0</v>
      </c>
      <c r="CI480" s="437" t="s">
        <v>162</v>
      </c>
      <c r="CJ480" s="438">
        <v>1</v>
      </c>
      <c r="CK480" s="439" t="s">
        <v>2143</v>
      </c>
      <c r="CL480" s="439" t="s">
        <v>2127</v>
      </c>
      <c r="CM480" s="1119">
        <v>0.15</v>
      </c>
      <c r="CN480" s="439" t="s">
        <v>1948</v>
      </c>
      <c r="CO480" s="1115"/>
      <c r="CP480" s="1118">
        <f t="shared" si="645"/>
        <v>8.0357142857142863E-2</v>
      </c>
      <c r="CQ480" s="1118">
        <f t="shared" si="646"/>
        <v>7.4999999999999997E-2</v>
      </c>
      <c r="CR480" s="1118">
        <f t="shared" si="647"/>
        <v>0</v>
      </c>
      <c r="CS480" s="442">
        <f t="shared" si="648"/>
        <v>0</v>
      </c>
      <c r="CT480" s="432" t="e">
        <f t="shared" si="649"/>
        <v>#VALUE!</v>
      </c>
      <c r="CU480" s="1101">
        <f t="shared" si="650"/>
        <v>1044.6428571428571</v>
      </c>
      <c r="CV480" s="1108">
        <f t="shared" si="682"/>
        <v>747.49999999999989</v>
      </c>
      <c r="CW480" s="420">
        <f t="shared" si="651"/>
        <v>0</v>
      </c>
      <c r="CX480" s="420">
        <f t="shared" si="652"/>
        <v>1044.6428571428571</v>
      </c>
      <c r="CY480" s="433">
        <f t="shared" si="653"/>
        <v>0</v>
      </c>
      <c r="CZ480" s="437"/>
      <c r="DA480" s="438"/>
      <c r="DB480" s="439" t="s">
        <v>569</v>
      </c>
      <c r="DC480" s="439"/>
      <c r="DD480" s="443"/>
      <c r="DE480" s="411"/>
      <c r="DF480" s="411"/>
      <c r="DG480" s="1116">
        <f t="shared" si="654"/>
        <v>0</v>
      </c>
      <c r="DH480" s="1116">
        <f t="shared" si="655"/>
        <v>0</v>
      </c>
      <c r="DI480" s="1116">
        <f t="shared" si="656"/>
        <v>0</v>
      </c>
      <c r="DJ480" s="442">
        <f t="shared" si="657"/>
        <v>0</v>
      </c>
      <c r="DK480" s="432">
        <f t="shared" si="658"/>
        <v>0</v>
      </c>
      <c r="DL480" s="424">
        <f t="shared" si="659"/>
        <v>0</v>
      </c>
      <c r="DM480" s="420">
        <f t="shared" si="660"/>
        <v>0</v>
      </c>
      <c r="DN480" s="420">
        <f t="shared" si="661"/>
        <v>0</v>
      </c>
      <c r="DO480" s="420">
        <f t="shared" si="662"/>
        <v>0</v>
      </c>
      <c r="DP480" s="433">
        <f t="shared" si="663"/>
        <v>0</v>
      </c>
      <c r="DQ480" s="437" t="s">
        <v>549</v>
      </c>
      <c r="DR480" s="444">
        <f t="shared" si="664"/>
        <v>0.33</v>
      </c>
      <c r="DS480" s="450"/>
      <c r="DT480" s="1093" t="s">
        <v>179</v>
      </c>
      <c r="DU480" s="1093"/>
      <c r="DV480" s="1098">
        <f>IF($P480="","N/A",IF(P480=-1,INDEX('卡片raw data'!AN:AN,MATCH(D480,'卡片raw data'!$F:$F,)),0)+IF(AND(L480&lt;&gt;"party卡",P480&lt;=2,P480&gt;=0),INDEX('卡片raw data'!AP:AP,MATCH(D480,'卡片raw data'!$F:$F,)),0)+IF(OR(AND(L480="party卡",P480&lt;=1),AND(P480&lt;=4,L480&lt;&gt;"party卡",P480&gt;=3)),INDEX('卡片raw data'!AQ:AQ,MATCH(D480,'卡片raw data'!$F:$F,)),0)+IF(OR(P480=5,AND(L480="party卡",P480&gt;=2)),INDEX('卡片raw data'!AR:AR,MATCH(D480,'卡片raw data'!$F:$F,)),0))</f>
        <v>0.09</v>
      </c>
      <c r="DW480" s="1098">
        <f t="shared" si="665"/>
        <v>0.33</v>
      </c>
      <c r="DX480" s="1098">
        <f t="shared" si="666"/>
        <v>0.33</v>
      </c>
      <c r="DY480" s="1098">
        <f t="shared" si="667"/>
        <v>9.9000000000000008E-3</v>
      </c>
      <c r="DZ480" s="1098">
        <f t="shared" si="668"/>
        <v>9.8480249999999998E-3</v>
      </c>
      <c r="EA480" s="421">
        <f t="shared" si="669"/>
        <v>0</v>
      </c>
      <c r="EB480" s="445">
        <f t="shared" si="670"/>
        <v>60.337777499999987</v>
      </c>
      <c r="EC480" s="424">
        <f t="shared" si="671"/>
        <v>4455</v>
      </c>
      <c r="ED480" s="420">
        <f t="shared" si="672"/>
        <v>2462.0062499999999</v>
      </c>
      <c r="EE480" s="433">
        <f t="shared" si="683"/>
        <v>4455</v>
      </c>
      <c r="EF480" s="1115" t="s">
        <v>569</v>
      </c>
      <c r="EG480" s="444">
        <f t="shared" si="673"/>
        <v>0.33</v>
      </c>
      <c r="EH480" s="450"/>
      <c r="EI480" s="1093"/>
      <c r="EJ480" s="1093"/>
      <c r="EK480" s="420">
        <f>IF($P480="","N/A",IF(P480=-1,INDEX('卡片raw data'!AS:AS,MATCH(D480,'卡片raw data'!$F:$F,)),0)+IF(AND(L480&lt;&gt;"party卡",P480&lt;=2,P480&gt;=0),INDEX('卡片raw data'!AU:AU,MATCH(D480,'卡片raw data'!$F:$F,)),0)+IF(OR(AND(L480="party卡",P480&lt;=1),AND(P480&lt;=4,L480&lt;&gt;"party卡",P480&gt;=3)),INDEX('卡片raw data'!AV:AV,MATCH(D480,'卡片raw data'!$F:$F,)),0)+IF(OR(P480=5,AND(L480="party卡",P480&gt;=2)),INDEX('卡片raw data'!AW:AW,MATCH(D480,'卡片raw data'!$F:$F,)),0))</f>
        <v>0</v>
      </c>
      <c r="EL480" s="1098">
        <f t="shared" si="674"/>
        <v>0.33</v>
      </c>
      <c r="EM480" s="1098">
        <f t="shared" si="675"/>
        <v>0.33</v>
      </c>
      <c r="EN480" s="1097">
        <f t="shared" si="676"/>
        <v>0</v>
      </c>
      <c r="EO480" s="1097">
        <f t="shared" si="677"/>
        <v>0</v>
      </c>
      <c r="EP480" s="421">
        <f t="shared" si="678"/>
        <v>0</v>
      </c>
      <c r="EQ480" s="445">
        <f t="shared" si="679"/>
        <v>0</v>
      </c>
      <c r="ER480" s="424">
        <f t="shared" si="680"/>
        <v>0</v>
      </c>
      <c r="ES480" s="420">
        <f t="shared" si="681"/>
        <v>0</v>
      </c>
      <c r="ET480" s="446">
        <f t="shared" si="684"/>
        <v>0</v>
      </c>
    </row>
    <row r="481" spans="2:150" ht="16.5" customHeight="1">
      <c r="B481" s="448" t="str">
        <f>INDEX('卡片raw data'!B:B,MATCH($D481,'卡片raw data'!$F:$F,))</f>
        <v>prt曜</v>
      </c>
      <c r="C481" s="449" t="s">
        <v>3154</v>
      </c>
      <c r="D481" s="408">
        <v>478</v>
      </c>
      <c r="E481" s="477">
        <v>301053002</v>
      </c>
      <c r="F481" s="409" t="str">
        <f>INDEX('卡片raw data'!C:C,MATCH($D481,'卡片raw data'!$F:$F,))</f>
        <v>UR</v>
      </c>
      <c r="G481" s="1094" t="s">
        <v>3155</v>
      </c>
      <c r="H481" s="411">
        <f>IFERROR(INDEX(绊状态确认!C:C,MATCH($G481,绊状态确认!$B:$B,)),"")</f>
        <v>105</v>
      </c>
      <c r="I481" s="450" t="str">
        <f>IFERROR(INDEX(绊状态确认!D:D,MATCH($G481,绊状态确认!$B:$B,)),"")</f>
        <v>水</v>
      </c>
      <c r="J481" s="450" t="str">
        <f>IFERROR(INDEX(绊状态确认!E:E,MATCH($G481,绊状态确认!$B:$B,)),"")</f>
        <v>2年级</v>
      </c>
      <c r="K481" s="451" t="str">
        <f>IFERROR(INDEX(绊状态确认!F:F,MATCH($G481,绊状态确认!$B:$B,)),"")</f>
        <v>CYaRon!</v>
      </c>
      <c r="L481" s="414" t="str">
        <f>INDEX('卡片raw data'!E:E,MATCH($D481,'卡片raw data'!$F:$F,))</f>
        <v>party卡</v>
      </c>
      <c r="M481" s="478">
        <v>44361</v>
      </c>
      <c r="N481" s="479">
        <v>41.5</v>
      </c>
      <c r="O481" s="410" t="str">
        <f>INDEX('卡片raw data'!D:D,MATCH($D481,'卡片raw data'!$F:$F,))</f>
        <v>vo</v>
      </c>
      <c r="P481" s="1126">
        <v>5</v>
      </c>
      <c r="Q481" s="418">
        <f t="shared" si="600"/>
        <v>75974.854949847897</v>
      </c>
      <c r="R481" s="419">
        <f t="shared" si="601"/>
        <v>0.88300000000000001</v>
      </c>
      <c r="S481" s="420">
        <f t="shared" si="602"/>
        <v>23086.431398514884</v>
      </c>
      <c r="T481" s="421">
        <f t="shared" si="603"/>
        <v>1.1539999999999999</v>
      </c>
      <c r="U481" s="422">
        <f t="shared" si="604"/>
        <v>-8.4744778514285741</v>
      </c>
      <c r="V481" s="423">
        <f t="shared" si="605"/>
        <v>75988.489916001388</v>
      </c>
      <c r="W481" s="424">
        <f t="shared" si="606"/>
        <v>10645.467262007385</v>
      </c>
      <c r="X481" s="419">
        <f t="shared" si="607"/>
        <v>0.123</v>
      </c>
      <c r="Y481" s="420">
        <f t="shared" si="608"/>
        <v>1318.3034163951979</v>
      </c>
      <c r="Z481" s="425">
        <f t="shared" si="609"/>
        <v>16.525522148571426</v>
      </c>
      <c r="AA481" s="426">
        <f t="shared" si="610"/>
        <v>11963.770678402583</v>
      </c>
      <c r="AB481" s="424">
        <f t="shared" si="611"/>
        <v>10645.467262007383</v>
      </c>
      <c r="AC481" s="427">
        <f t="shared" si="612"/>
        <v>0.123</v>
      </c>
      <c r="AD481" s="428">
        <f t="shared" si="613"/>
        <v>0</v>
      </c>
      <c r="AE481" s="516">
        <f t="shared" si="614"/>
        <v>0</v>
      </c>
      <c r="AF481" s="1130">
        <f t="shared" si="615"/>
        <v>0</v>
      </c>
      <c r="AG481" s="420">
        <f t="shared" si="616"/>
        <v>0</v>
      </c>
      <c r="AH481" s="420">
        <f t="shared" si="617"/>
        <v>0</v>
      </c>
      <c r="AI481" s="1097">
        <f t="shared" si="618"/>
        <v>0</v>
      </c>
      <c r="AJ481" s="420">
        <f t="shared" si="619"/>
        <v>0</v>
      </c>
      <c r="AK481" s="518">
        <f t="shared" si="620"/>
        <v>0</v>
      </c>
      <c r="AL481" s="1106">
        <f>IF($P481="","N/A",(IF($P481=-1,INDEX('卡片raw data'!S:S,MATCH($D481,'卡片raw data'!$F:$F,)),0)+IF($P481=0,INDEX('卡片raw data'!V:V,MATCH($D481,'卡片raw data'!$F:$F,)),0)+IF($P481=1,INDEX('卡片raw data'!Y:Y,MATCH($D481,'卡片raw data'!$F:$F,)),0)+IF($P481=2,INDEX('卡片raw data'!AB:AB,MATCH($D481,'卡片raw data'!$F:$F,)),0)+IF($P481=3,INDEX('卡片raw data'!AE:AE,MATCH($D481,'卡片raw data'!$F:$F,)),0)+IF($P481=4,INDEX('卡片raw data'!AH:AH,MATCH($D481,'卡片raw data'!$F:$F,)),0)+IF($P481=5,INDEX('卡片raw data'!AK:AK,MATCH($D481,'卡片raw data'!$F:$F,)),0)+INDEX('卡片raw data'!S:S,MATCH($D481,'卡片raw data'!$F:$F,))*(IF($F481="UR",0.04,0.033))*(IF($F481="UR",INDEX(绊状态确认!$S:$S,MATCH($G481,绊状态确认!$B:$B,))/2-40)+IF($F481="SR",INDEX(绊状态确认!$R:$R,MATCH($G481,绊状态确认!$B:$B,))/4-15))+IF($F481="R",INDEX(绊状态确认!$Q:$Q,MATCH($G481,绊状态确认!$B:$B,))/6-40/6)))*(INDEX(绊状态确认!$H:$H,MATCH($G481,绊状态确认!$B:$B,))+INDEX(绊状态确认!J:J,MATCH($G481,绊状态确认!$B:$B,)))</f>
        <v>16749.899615999999</v>
      </c>
      <c r="AM481" s="1106">
        <f>IF($P481="","N/A",(IF($P481=-1,INDEX('卡片raw data'!T:T,MATCH($D481,'卡片raw data'!$F:$F,)),0)+IF($P481=0,INDEX('卡片raw data'!W:W,MATCH($D481,'卡片raw data'!$F:$F,)),0)+IF($P481=1,INDEX('卡片raw data'!Z:Z,MATCH($D481,'卡片raw data'!$F:$F,)),0)+IF($P481=2,INDEX('卡片raw data'!AC:AC,MATCH($D481,'卡片raw data'!$F:$F,)),0)+IF($P481=3,INDEX('卡片raw data'!AF:AF,MATCH($D481,'卡片raw data'!$F:$F,)),0)+IF($P481=4,INDEX('卡片raw data'!AI:AI,MATCH($D481,'卡片raw data'!$F:$F,)),0)+IF($P481=5,INDEX('卡片raw data'!AL:AL,MATCH($D481,'卡片raw data'!$F:$F,)),0)+INDEX('卡片raw data'!T:T,MATCH($D481,'卡片raw data'!$F:$F,))*(IF($F481="UR",0.04,0.033))*(IF($F481="UR",INDEX(绊状态确认!$S:$S,MATCH($G481,绊状态确认!$B:$B,))/2-40)+IF($F481="SR",INDEX(绊状态确认!$R:$R,MATCH($G481,绊状态确认!$B:$B,))/4-15))+IF($F481="R",INDEX(绊状态确认!$Q:$Q,MATCH($G481,绊状态确认!$B:$B,))/6-40/6)))*(INDEX(绊状态确认!$H:$H,MATCH($G481,绊状态确认!$B:$B,))+INDEX(绊状态确认!K:K,MATCH($G481,绊状态确认!$B:$B,)))</f>
        <v>7445.6927999999989</v>
      </c>
      <c r="AN481" s="1106">
        <f>IF($P481="","N/A",(IF($P481=-1,INDEX('卡片raw data'!U:U,MATCH($D481,'卡片raw data'!$F:$F,)),0)+IF($P481=0,INDEX('卡片raw data'!X:X,MATCH($D481,'卡片raw data'!$F:$F,)),0)+IF($P481=1,INDEX('卡片raw data'!AA:AA,MATCH($D481,'卡片raw data'!$F:$F,)),0)+IF($P481=2,INDEX('卡片raw data'!AD:AD,MATCH($D481,'卡片raw data'!$F:$F,)),0)+IF($P481=3,INDEX('卡片raw data'!AG:AG,MATCH($D481,'卡片raw data'!$F:$F,)),0)+IF($P481=4,INDEX('卡片raw data'!AJ:AJ,MATCH($D481,'卡片raw data'!$F:$F,)),0)+IF($P481=5,INDEX('卡片raw data'!AM:AM,MATCH($D481,'卡片raw data'!$F:$F,)),0)+INDEX('卡片raw data'!U:U,MATCH($D481,'卡片raw data'!$F:$F,))*(IF($F481="UR",0.04,0.033))*(IF($F481="UR",INDEX(绊状态确认!$S:$S,MATCH($G481,绊状态确认!$B:$B,))/2-40)+IF($F481="SR",INDEX(绊状态确认!$R:$R,MATCH($G481,绊状态确认!$B:$B,))/4-15))+IF($F481="R",INDEX(绊状态确认!$Q:$Q,MATCH($G481,绊状态确认!$B:$B,))/6-40/6)))*(INDEX(绊状态确认!$H:$H,MATCH($G481,绊状态确认!$B:$B,))+INDEX(绊状态确认!L:L,MATCH($G481,绊状态确认!$B:$B,)))</f>
        <v>13028.235071999998</v>
      </c>
      <c r="AO481" s="1107">
        <f t="shared" si="621"/>
        <v>1</v>
      </c>
      <c r="AP481" s="1131">
        <f>1+(INDEX(绊状态确认!$T:$T,MATCH($G481,绊状态确认!$B:$B,))+0.2)*$AO481</f>
        <v>1.3</v>
      </c>
      <c r="AQ481" s="1108">
        <f t="shared" si="622"/>
        <v>47218.486492000004</v>
      </c>
      <c r="AR481" s="1097">
        <f>(AM481*(1+$EX$9)+$EX$35)*(1+(INDEX(绊状态确认!$T:$T,MATCH($G481,绊状态确认!$B:$B,))+0.2)*AO481)*IF(J481=$FF$17,1+$FE$17,1)*IF(I481=$FF$14,1+$FE$14,1)</f>
        <v>12867.370671999999</v>
      </c>
      <c r="AS481" s="1097">
        <f>(AN481*(1+$EX$10)+$EX$36)*(1+(INDEX(绊状态确认!$T:$T,MATCH($G481,绊状态确认!$B:$B,))+0.2)*AO481)*IF(J481=$FF$17,1+$FE$17,1)*IF(I481=$FF$14,1+$FE$14,1)</f>
        <v>23533.211432639997</v>
      </c>
      <c r="AT481" s="1093">
        <f>IF(AND(INDEX('卡片raw data'!AK:AK,MATCH($D481,'卡片raw data'!$F:$F,))&lt;INDEX('卡片raw data'!AM:AM,MATCH($D481,'卡片raw data'!$F:$F,)),INDEX('卡片raw data'!AL:AL,MATCH($D481,'卡片raw data'!$F:$F,))&lt;INDEX('卡片raw data'!AM:AM,MATCH($D481,'卡片raw data'!$F:$F,))),1,0)</f>
        <v>0</v>
      </c>
      <c r="AU481" s="1098">
        <f>MIN(AT481*0.15+AS481*0.00003+INDEX(绊状态确认!M:M,MATCH($G481,绊状态确认!$B:$B,)),1)</f>
        <v>0.73599634297919991</v>
      </c>
      <c r="AV481" s="1109">
        <f>(INDEX(绊状态确认!$N:$N,MATCH($G481,绊状态确认!$B:$B,))+1.5)*$EW$21</f>
        <v>2.6599999999999997</v>
      </c>
      <c r="AW481" s="1101">
        <f t="shared" si="623"/>
        <v>54483.548231515648</v>
      </c>
      <c r="AX481" s="1097">
        <f t="shared" si="624"/>
        <v>1103.8635313391569</v>
      </c>
      <c r="AY481" s="1110">
        <f t="shared" si="625"/>
        <v>55587.411762854805</v>
      </c>
      <c r="AZ481" s="429">
        <f t="shared" si="626"/>
        <v>35262.304251199996</v>
      </c>
      <c r="BA481" s="431">
        <f t="shared" si="627"/>
        <v>42314.765101439996</v>
      </c>
      <c r="BB481" s="1097">
        <f>(AM481*(1+$FB$9)+$FB$35)*(1+(INDEX(绊状态确认!$T:$T,MATCH($G481,绊状态确认!$B:$B,))+0.2)*AO481)*IF(J481=$FF$17,1+$FE$17,1)*IF(I481=$FF$14,1+$FE$14,1)*(1+$FE$15)</f>
        <v>12867.370671999999</v>
      </c>
      <c r="BC481" s="1097">
        <f>(AN481*(1+$FB$10)+$FB$36)*(1+(INDEX(绊状态确认!$T:$T,MATCH($G481,绊状态确认!$B:$B,))+0.2)*AO481)*IF(J481=$FF$17,1+$FE$17,1)*IF(I481=$FF$14,1+$FE$14,1)*(1+$FE$15)</f>
        <v>23533.211432639997</v>
      </c>
      <c r="BD481" s="1104">
        <f>MIN(AT481*0.15+BC481*0.00003+INDEX(绊状态确认!M:M,MATCH($G481,绊状态确认!$B:$B,)),1)</f>
        <v>0.73599634297919991</v>
      </c>
      <c r="BE481" s="432">
        <f>(INDEX(绊状态确认!$N:$N,MATCH($G481,绊状态确认!$B:$B,))+1.5)</f>
        <v>1.9</v>
      </c>
      <c r="BF481" s="1139">
        <f t="array" ref="BF481">SUMPRODUCT(IF(AZ481*AP481*$FI$16:$FI$23*$FA$22&gt;=$FI$24,$FI$24,AZ481*AP481*$FI$16:$FI$23*$FA$22),$FJ$16:$FJ$23)</f>
        <v>59460.24888164</v>
      </c>
      <c r="BG481" s="1125">
        <f t="array" ref="BG481">SUMPRODUCT(IF(BE481*AZ481*AP481*$FI$16:$FI$23*$FA$22&gt;=$FI$24,$FI$24,BE481*AZ481*AP481*$FI$16:$FI$23*$FA$22),$FJ$16:$FJ$23)</f>
        <v>60000</v>
      </c>
      <c r="BH481" s="1110">
        <f t="shared" si="628"/>
        <v>19952.501243623967</v>
      </c>
      <c r="BI481" s="1111">
        <f>IF(O481="vo",$EW$26/$EW$24*0.05,0)+IF(O481="sk",-$EW$26/$EW$24*(0.05-INDEX(绊状态确认!W:W,MATCH($G481,绊状态确认!$B:$B,)))+0.05*$EW$28,0)+IF(O481="sp",0.05*$EW$32*$EW$30*(1-$EW$33)-(0.05-INDEX(绊状态确认!V:V,MATCH($G481,绊状态确认!$B:$B,)))*$EW$28,0)+IF(O481="gd",-(0.05-INDEX(绊状态确认!X:X,MATCH($G481,绊状态确认!$B:$B,)))*$EW$32*$EW$30*(1-$EW$33),0)</f>
        <v>7726.3029277443748</v>
      </c>
      <c r="BJ481" s="420">
        <f>IF(O481="vo",0.05*(1-$FI$26)*$FA$24,0)+IF(O481="sk",-(0.05-INDEX(绊状态确认!W:W,MATCH($G481,绊状态确认!$B:$B,)))*(1-$FI$26)*$FA$24+0.05*$FA$26,0)+IF(O481="sp",0.05*$FA$32*$FA$27*(1-$FA$33)/$FA$30+0.05*$FA$29/$FA$69*$FA$27*(1-$FA$33)-(0.05-INDEX(绊状态确认!V:V,MATCH($G481,绊状态确认!$B:$B,)))*$FA$26,0)+IF(O481="gd",-(0.05-INDEX(绊状态确认!X:X,MATCH($G481,绊状态确认!$B:$B,)))*$FA$32*$FA$27*(1-$FA$33)/$FA$30-(0.05-INDEX(绊状态确认!X:X,MATCH($G481,绊状态确认!$B:$B,)))*$FA$29/$FA$69*$FA$27*(1-$FA$33),0)</f>
        <v>393.93433687500004</v>
      </c>
      <c r="BK481" s="1110">
        <f>IF(O481="vo",$EW$26/$EW$24*0.05+$EW$26*(-HP($EW$62,$EW$65,$EW$64)+HP($EW$62,$EW$65,(1.05-INDEX(绊状态确认!U:U,MATCH($G481,绊状态确认!$B:$B,)))*$EW$64)),0)+IF(O481="sk",-$EW$26/$EW$24*(0.05-INDEX(绊状态确认!W:W,MATCH($G481,绊状态确认!$B:$B,)))+0.05*$EW$29,0)+IF(O481="sp",0.05*$EW$32*$EW$30*(1-$EW$33)-(0.05-INDEX(绊状态确认!V:V,MATCH($G481,绊状态确认!$B:$B,)))*$EW$29,0)+IF(O481="gd",-(0.05-INDEX(绊状态确认!X:X,MATCH($G481,绊状态确认!$B:$B,)))*$EW$32*$EW$30*(1-$EW$33)+$EW$26*(-HP($EW$62,$EW$65,$EW$64)+HP($EW$62,$EW$65,0.95*$EW$64)),0)</f>
        <v>6421.6344775026746</v>
      </c>
      <c r="BL481" s="1111">
        <f t="shared" si="629"/>
        <v>0</v>
      </c>
      <c r="BM481" s="1110">
        <f t="shared" si="630"/>
        <v>0</v>
      </c>
      <c r="BN481" s="1113">
        <f t="shared" si="631"/>
        <v>4</v>
      </c>
      <c r="BO481" s="1108">
        <f t="shared" si="632"/>
        <v>6010.2953161679998</v>
      </c>
      <c r="BP481" s="1100">
        <f t="shared" si="633"/>
        <v>295.12137612040135</v>
      </c>
      <c r="BQ481" s="1113" t="s">
        <v>3156</v>
      </c>
      <c r="BR481" s="1124" t="s">
        <v>3157</v>
      </c>
      <c r="BS481" s="421">
        <f>IF($P481="","N/A",IF($P481=-1,INDEX('卡片raw data'!AX:AX,MATCH($D481,'卡片raw data'!$F:$F,)),0)+IF($L481="party卡",IF($P481=5,INDEX('卡片raw data'!BD:BD,MATCH($D481,'卡片raw data'!$F:$F,)),IF($P481&gt;=3,INDEX('卡片raw data'!BC:BC,MATCH($D481,'卡片raw data'!$F:$F,)),INDEX('卡片raw data'!BB:BB,MATCH($D481,'卡片raw data'!$F:$F,)))),IF(OR(AND($F481="UR",$P481=0),AND($F481="SR",$P481&gt;=0,$P481&lt;=2),AND($F481="R",$P481&gt;=0,$P481&lt;4)),INDEX('卡片raw data'!AZ:AZ,MATCH($D481,'卡片raw data'!$F:$F,)),0)+IF(OR(AND($F481="UR",$P481&gt;=1,$P481&lt;=4),AND($F481="SR",$P481&lt;=4,$P481&gt;=3),AND($F481="R",$P481=4)),INDEX('卡片raw data'!BA:BA,MATCH($D481,'卡片raw data'!$F:$F,)),0)+IF($P481=5,INDEX('卡片raw data'!BB:BB,MATCH($D481,'卡片raw data'!$F:$F,)),0)))</f>
        <v>5.1999999999999998E-2</v>
      </c>
      <c r="BT481" s="424">
        <f t="shared" si="634"/>
        <v>3906.6919555091999</v>
      </c>
      <c r="BU481" s="420">
        <f t="shared" si="635"/>
        <v>191.82889447826088</v>
      </c>
      <c r="BV481" s="420">
        <f t="shared" si="636"/>
        <v>3906.6919555091999</v>
      </c>
      <c r="BW481" s="436">
        <f t="shared" si="637"/>
        <v>0</v>
      </c>
      <c r="BX481" s="423">
        <f t="shared" si="638"/>
        <v>3906.6919555091999</v>
      </c>
      <c r="BY481" s="433">
        <f t="shared" si="639"/>
        <v>3906.6919555091999</v>
      </c>
      <c r="BZ481" s="1113" t="s">
        <v>133</v>
      </c>
      <c r="CA481" s="450" t="s">
        <v>161</v>
      </c>
      <c r="CB481" s="421">
        <f>IF($P481="","N/A",IF($P481=-1,INDEX('卡片raw data'!BE:BE,MATCH($D481,'卡片raw data'!$F:$F,)),0)+IF($L481="party卡",IF($P481=5,INDEX('卡片raw data'!BK:BK,MATCH($D481,'卡片raw data'!$F:$F,)),IF($P481&gt;=3,INDEX('卡片raw data'!BJ:BJ,MATCH($D481,'卡片raw data'!$F:$F,)),INDEX('卡片raw data'!BI:BI,MATCH($D481,'卡片raw data'!$F:$F,)))),IF(OR(AND($F481="UR",$P481=0),AND($F481="SR",$P481&gt;=0,$P481&lt;=2),AND($F481="R",$P481&gt;=0,$P481&lt;4)),INDEX('卡片raw data'!BG:BG,MATCH($D481,'卡片raw data'!$F:$F,)),0)+IF(OR(AND($F481="UR",$P481&gt;=1,$P481&lt;=4),AND($F481="SR",$P481&lt;=4,$P481&gt;=3),AND($F481="R",$P481=4)),INDEX('卡片raw data'!BH:BH,MATCH($D481,'卡片raw data'!$F:$F,)),0)+IF($P481=5,INDEX('卡片raw data'!BI:BI,MATCH($D481,'卡片raw data'!$F:$F,)),0)))</f>
        <v>2.5999999999999999E-2</v>
      </c>
      <c r="CC481" s="424">
        <f t="shared" si="640"/>
        <v>0</v>
      </c>
      <c r="CD481" s="420">
        <f>IF(BZ481="ap",CB481*(1-$FI$26)*$FB$5/$FB$11*(+IF(CA481="全员",$FA$24,0)+IF(CA481="同作战",$FA$24,0)+IF(CA481="仲间",$FA$24*2/3,0)+IF(CA481="同属性",$FA$24*$FA$37/3,0)+IF(CA481="同年级",$FA$24*$FA$40/3,0)+IF(CA481="同学校",$FA$24*$FA$43/3,0)+IF(CA481="同小队",$FA$24*$FA$46/3,0)+IF(CA481="同type",$FA$24*INDEX($FB$49:$FB$52,MATCH(X481,$FA$49:$FA$52,))/3,0)+IF(CA481="自身",#REF!/3,0)),0)+IF(BZ481="te",CB481*(1-$FI$27)*($FA$20-1)*$FB$7/$FB$13*(+IF(CA481="全员",$FA$19*$FA$24/(1+($FA$20-1)*$FA$19),0)+IF(CA481="同作战",$FA$19*$FA$24/(1+($FA$20-1)*$FA$19),0)+IF(CA481="仲间",$FA$19*$FA$24*2/3/(1+($FA$20-1)*$FA$19),0)+IF(CA481="同属性",$FA$19*$FA$24*$FA$37/3/(1+($FA$20-1)*$FA$19),0)+IF(CA481="同年级",$FA$19*$FA$24*$FA$40/3/(1+($FA$20-1)*$FA$19),0)+IF(CA481="同学校",$FA$19*$FA$24*$FA$43/3/(1+($FA$20-1)*$FA$19),0)+IF(CA481="同小队",$FA$19*$FA$24*$FA$46/3/(1+($FA$20-1)*$FA$19),0)+IF(CA481="同type",$FA$19*$FA$24*INDEX($FB$49:$FB$52,MATCH(X481,$FA$49:$FA$52,))/3/(1+($FA$20-1)*$FA$19),0)+IF(CA481="自身",$FA$19*#REF!/3/(1+(BH481-1)*$BD481),0)),0)</f>
        <v>0</v>
      </c>
      <c r="CE481" s="420">
        <f t="shared" si="641"/>
        <v>0</v>
      </c>
      <c r="CF481" s="436">
        <f t="shared" si="642"/>
        <v>2.7390535714285713</v>
      </c>
      <c r="CG481" s="423">
        <f t="shared" si="643"/>
        <v>214.43988505604116</v>
      </c>
      <c r="CH481" s="433">
        <f t="shared" si="644"/>
        <v>214.43988505604116</v>
      </c>
      <c r="CI481" s="1113" t="s">
        <v>164</v>
      </c>
      <c r="CJ481" s="1114">
        <v>1</v>
      </c>
      <c r="CK481" s="1115" t="s">
        <v>3158</v>
      </c>
      <c r="CL481" s="1115" t="s">
        <v>3157</v>
      </c>
      <c r="CM481" s="1119">
        <v>0.05</v>
      </c>
      <c r="CN481" s="1115">
        <v>5</v>
      </c>
      <c r="CO481" s="1115"/>
      <c r="CP481" s="1118">
        <f t="shared" si="645"/>
        <v>5.3571428571428572E-3</v>
      </c>
      <c r="CQ481" s="1118">
        <f t="shared" si="646"/>
        <v>8.3333333333333332E-3</v>
      </c>
      <c r="CR481" s="1118">
        <f t="shared" si="647"/>
        <v>5.3571428571428581E-3</v>
      </c>
      <c r="CS481" s="442">
        <f t="shared" si="648"/>
        <v>0</v>
      </c>
      <c r="CT481" s="432">
        <f t="shared" si="649"/>
        <v>0</v>
      </c>
      <c r="CU481" s="1101">
        <f t="shared" si="650"/>
        <v>728.47999033018391</v>
      </c>
      <c r="CV481" s="1108">
        <f t="shared" si="682"/>
        <v>54.713102343750009</v>
      </c>
      <c r="CW481" s="420">
        <f t="shared" si="651"/>
        <v>728.47999033018402</v>
      </c>
      <c r="CX481" s="420">
        <f t="shared" si="652"/>
        <v>728.47999033018391</v>
      </c>
      <c r="CY481" s="433">
        <f t="shared" si="653"/>
        <v>728.47999033018402</v>
      </c>
      <c r="CZ481" s="437"/>
      <c r="DA481" s="438"/>
      <c r="DB481" s="439" t="s">
        <v>569</v>
      </c>
      <c r="DC481" s="439"/>
      <c r="DD481" s="443"/>
      <c r="DE481" s="411"/>
      <c r="DF481" s="411"/>
      <c r="DG481" s="1116">
        <f t="shared" si="654"/>
        <v>0</v>
      </c>
      <c r="DH481" s="1116">
        <f t="shared" si="655"/>
        <v>0</v>
      </c>
      <c r="DI481" s="1116">
        <f t="shared" si="656"/>
        <v>0</v>
      </c>
      <c r="DJ481" s="442">
        <f t="shared" si="657"/>
        <v>0</v>
      </c>
      <c r="DK481" s="432">
        <f t="shared" si="658"/>
        <v>0</v>
      </c>
      <c r="DL481" s="424">
        <f t="shared" si="659"/>
        <v>0</v>
      </c>
      <c r="DM481" s="420">
        <f t="shared" si="660"/>
        <v>0</v>
      </c>
      <c r="DN481" s="420">
        <f t="shared" si="661"/>
        <v>0</v>
      </c>
      <c r="DO481" s="420">
        <f t="shared" si="662"/>
        <v>0</v>
      </c>
      <c r="DP481" s="433">
        <f t="shared" si="663"/>
        <v>0</v>
      </c>
      <c r="DQ481" s="1113" t="s">
        <v>545</v>
      </c>
      <c r="DR481" s="444">
        <f t="shared" si="664"/>
        <v>0.33</v>
      </c>
      <c r="DS481" s="1124"/>
      <c r="DT481" s="1093" t="s">
        <v>132</v>
      </c>
      <c r="DU481" s="1093"/>
      <c r="DV481" s="1098">
        <f>IF($P481="","N/A",IF(P481=-1,INDEX('卡片raw data'!AN:AN,MATCH(D481,'卡片raw data'!$F:$F,)),0)+IF(AND(L481&lt;&gt;"party卡",P481&lt;=2,P481&gt;=0),INDEX('卡片raw data'!AP:AP,MATCH(D481,'卡片raw data'!$F:$F,)),0)+IF(OR(AND(L481="party卡",P481&lt;=1),AND(P481&lt;=4,L481&lt;&gt;"party卡",P481&gt;=3)),INDEX('卡片raw data'!AQ:AQ,MATCH(D481,'卡片raw data'!$F:$F,)),0)+IF(OR(P481=5,AND(L481="party卡",P481&gt;=2)),INDEX('卡片raw data'!AR:AR,MATCH(D481,'卡片raw data'!$F:$F,)),0))</f>
        <v>0.42</v>
      </c>
      <c r="DW481" s="1098">
        <f t="shared" si="665"/>
        <v>0.33</v>
      </c>
      <c r="DX481" s="1098">
        <f t="shared" si="666"/>
        <v>0.33</v>
      </c>
      <c r="DY481" s="1097">
        <f t="shared" si="667"/>
        <v>2835.9422987095209</v>
      </c>
      <c r="DZ481" s="1097">
        <f t="shared" si="668"/>
        <v>2198.3324450735004</v>
      </c>
      <c r="EA481" s="421">
        <f t="shared" si="669"/>
        <v>0</v>
      </c>
      <c r="EB481" s="445">
        <f t="shared" si="670"/>
        <v>0</v>
      </c>
      <c r="EC481" s="424">
        <f t="shared" si="671"/>
        <v>3119.5365285804733</v>
      </c>
      <c r="ED481" s="420">
        <f t="shared" si="672"/>
        <v>2198.3324450735004</v>
      </c>
      <c r="EE481" s="433">
        <f t="shared" si="683"/>
        <v>3119.5365285804733</v>
      </c>
      <c r="EF481" s="1115" t="s">
        <v>569</v>
      </c>
      <c r="EG481" s="444">
        <f t="shared" si="673"/>
        <v>0.33</v>
      </c>
      <c r="EH481" s="450"/>
      <c r="EI481" s="1093"/>
      <c r="EJ481" s="1093"/>
      <c r="EK481" s="420">
        <f>IF($P481="","N/A",IF(P481=-1,INDEX('卡片raw data'!AS:AS,MATCH(D481,'卡片raw data'!$F:$F,)),0)+IF(AND(L481&lt;&gt;"party卡",P481&lt;=2,P481&gt;=0),INDEX('卡片raw data'!AU:AU,MATCH(D481,'卡片raw data'!$F:$F,)),0)+IF(OR(AND(L481="party卡",P481&lt;=1),AND(P481&lt;=4,L481&lt;&gt;"party卡",P481&gt;=3)),INDEX('卡片raw data'!AV:AV,MATCH(D481,'卡片raw data'!$F:$F,)),0)+IF(OR(P481=5,AND(L481="party卡",P481&gt;=2)),INDEX('卡片raw data'!AW:AW,MATCH(D481,'卡片raw data'!$F:$F,)),0))</f>
        <v>0</v>
      </c>
      <c r="EL481" s="1098">
        <f t="shared" si="674"/>
        <v>0.33</v>
      </c>
      <c r="EM481" s="1098">
        <f t="shared" si="675"/>
        <v>0.33</v>
      </c>
      <c r="EN481" s="1097">
        <f t="shared" si="676"/>
        <v>0</v>
      </c>
      <c r="EO481" s="1097">
        <f t="shared" si="677"/>
        <v>0</v>
      </c>
      <c r="EP481" s="421">
        <f t="shared" si="678"/>
        <v>0</v>
      </c>
      <c r="EQ481" s="445">
        <f t="shared" si="679"/>
        <v>0</v>
      </c>
      <c r="ER481" s="424">
        <f t="shared" si="680"/>
        <v>0</v>
      </c>
      <c r="ES481" s="420">
        <f t="shared" si="681"/>
        <v>0</v>
      </c>
      <c r="ET481" s="446">
        <f t="shared" si="684"/>
        <v>0</v>
      </c>
    </row>
    <row r="482" spans="2:150" ht="16.5" customHeight="1">
      <c r="B482" s="448" t="str">
        <f>INDEX('卡片raw data'!B:B,MATCH($D482,'卡片raw data'!$F:$F,))</f>
        <v>nbg海</v>
      </c>
      <c r="C482" s="449" t="s">
        <v>3164</v>
      </c>
      <c r="D482" s="408">
        <v>479</v>
      </c>
      <c r="E482" s="477">
        <v>300042004</v>
      </c>
      <c r="F482" s="409" t="str">
        <f>INDEX('卡片raw data'!C:C,MATCH($D482,'卡片raw data'!$F:$F,))</f>
        <v>SR</v>
      </c>
      <c r="G482" s="414" t="s">
        <v>3165</v>
      </c>
      <c r="H482" s="411">
        <f>IFERROR(INDEX(绊状态确认!C:C,MATCH($G482,绊状态确认!$B:$B,)),"")</f>
        <v>4</v>
      </c>
      <c r="I482" s="450" t="str">
        <f>IFERROR(INDEX(绊状态确认!D:D,MATCH($G482,绊状态确认!$B:$B,)),"")</f>
        <v>缪</v>
      </c>
      <c r="J482" s="450" t="str">
        <f>IFERROR(INDEX(绊状态确认!E:E,MATCH($G482,绊状态确认!$B:$B,)),"")</f>
        <v>2年级</v>
      </c>
      <c r="K482" s="451" t="str">
        <f>IFERROR(INDEX(绊状态确认!F:F,MATCH($G482,绊状态确认!$B:$B,)),"")</f>
        <v>lilywhite</v>
      </c>
      <c r="L482" s="414" t="str">
        <f>INDEX('卡片raw data'!E:E,MATCH($D482,'卡片raw data'!$F:$F,))</f>
        <v>卡池卡</v>
      </c>
      <c r="M482" s="478">
        <v>44361</v>
      </c>
      <c r="N482" s="479">
        <v>41.5</v>
      </c>
      <c r="O482" s="410" t="str">
        <f>INDEX('卡片raw data'!D:D,MATCH($D482,'卡片raw data'!$F:$F,))</f>
        <v>sp</v>
      </c>
      <c r="P482" s="1126">
        <v>5</v>
      </c>
      <c r="Q482" s="418">
        <f t="shared" si="600"/>
        <v>31701.480002178108</v>
      </c>
      <c r="R482" s="419">
        <f t="shared" si="601"/>
        <v>0.36799999999999999</v>
      </c>
      <c r="S482" s="420">
        <f t="shared" si="602"/>
        <v>17575.121357550965</v>
      </c>
      <c r="T482" s="421">
        <f t="shared" si="603"/>
        <v>0.878</v>
      </c>
      <c r="U482" s="422">
        <f t="shared" si="604"/>
        <v>10.229850592872857</v>
      </c>
      <c r="V482" s="423">
        <f t="shared" si="605"/>
        <v>30714.621958532483</v>
      </c>
      <c r="W482" s="424">
        <f t="shared" si="606"/>
        <v>4507.7214871259994</v>
      </c>
      <c r="X482" s="419">
        <f t="shared" si="607"/>
        <v>5.1999999999999998E-2</v>
      </c>
      <c r="Y482" s="420">
        <f t="shared" si="608"/>
        <v>813.14195635437136</v>
      </c>
      <c r="Z482" s="425">
        <f t="shared" si="609"/>
        <v>10.229850592872857</v>
      </c>
      <c r="AA482" s="426">
        <f t="shared" si="610"/>
        <v>5320.8634434803707</v>
      </c>
      <c r="AB482" s="424">
        <f t="shared" si="611"/>
        <v>5105.3407472439503</v>
      </c>
      <c r="AC482" s="427">
        <f t="shared" si="612"/>
        <v>5.8999999999999997E-2</v>
      </c>
      <c r="AD482" s="428">
        <f t="shared" si="613"/>
        <v>-1.9908281250000003E-2</v>
      </c>
      <c r="AE482" s="516">
        <f t="shared" si="614"/>
        <v>-1.3514492753623202</v>
      </c>
      <c r="AF482" s="1130">
        <f t="shared" si="615"/>
        <v>0</v>
      </c>
      <c r="AG482" s="420">
        <f t="shared" si="616"/>
        <v>0</v>
      </c>
      <c r="AH482" s="420">
        <f t="shared" si="617"/>
        <v>0</v>
      </c>
      <c r="AI482" s="1097">
        <f t="shared" si="618"/>
        <v>0</v>
      </c>
      <c r="AJ482" s="420">
        <f t="shared" si="619"/>
        <v>0</v>
      </c>
      <c r="AK482" s="518">
        <f t="shared" si="620"/>
        <v>0</v>
      </c>
      <c r="AL482" s="429">
        <f>IF($P482="","N/A",(IF($P482=-1,INDEX('卡片raw data'!S:S,MATCH($D482,'卡片raw data'!$F:$F,)),0)+IF($P482=0,INDEX('卡片raw data'!V:V,MATCH($D482,'卡片raw data'!$F:$F,)),0)+IF($P482=1,INDEX('卡片raw data'!Y:Y,MATCH($D482,'卡片raw data'!$F:$F,)),0)+IF($P482=2,INDEX('卡片raw data'!AB:AB,MATCH($D482,'卡片raw data'!$F:$F,)),0)+IF($P482=3,INDEX('卡片raw data'!AE:AE,MATCH($D482,'卡片raw data'!$F:$F,)),0)+IF($P482=4,INDEX('卡片raw data'!AH:AH,MATCH($D482,'卡片raw data'!$F:$F,)),0)+IF($P482=5,INDEX('卡片raw data'!AK:AK,MATCH($D482,'卡片raw data'!$F:$F,)),0)+INDEX('卡片raw data'!S:S,MATCH($D482,'卡片raw data'!$F:$F,))*(IF($F482="UR",0.04,0.033))*(IF($F482="UR",INDEX(绊状态确认!$S:$S,MATCH($G482,绊状态确认!$B:$B,))/2-40)+IF($F482="SR",INDEX(绊状态确认!$R:$R,MATCH($G482,绊状态确认!$B:$B,))/4-15))+IF($F482="R",INDEX(绊状态确认!$Q:$Q,MATCH($G482,绊状态确认!$B:$B,))/6-40/6)))*(INDEX(绊状态确认!$H:$H,MATCH($G482,绊状态确认!$B:$B,))+INDEX(绊状态确认!J:J,MATCH($G482,绊状态确认!$B:$B,)))</f>
        <v>7523.0361839999996</v>
      </c>
      <c r="AM482" s="429">
        <f>IF($P482="","N/A",(IF($P482=-1,INDEX('卡片raw data'!T:T,MATCH($D482,'卡片raw data'!$F:$F,)),0)+IF($P482=0,INDEX('卡片raw data'!W:W,MATCH($D482,'卡片raw data'!$F:$F,)),0)+IF($P482=1,INDEX('卡片raw data'!Z:Z,MATCH($D482,'卡片raw data'!$F:$F,)),0)+IF($P482=2,INDEX('卡片raw data'!AC:AC,MATCH($D482,'卡片raw data'!$F:$F,)),0)+IF($P482=3,INDEX('卡片raw data'!AF:AF,MATCH($D482,'卡片raw data'!$F:$F,)),0)+IF($P482=4,INDEX('卡片raw data'!AI:AI,MATCH($D482,'卡片raw data'!$F:$F,)),0)+IF($P482=5,INDEX('卡片raw data'!AL:AL,MATCH($D482,'卡片raw data'!$F:$F,)),0)+INDEX('卡片raw data'!T:T,MATCH($D482,'卡片raw data'!$F:$F,))*(IF($F482="UR",0.04,0.033))*(IF($F482="UR",INDEX(绊状态确认!$S:$S,MATCH($G482,绊状态确认!$B:$B,))/2-40)+IF($F482="SR",INDEX(绊状态确认!$R:$R,MATCH($G482,绊状态确认!$B:$B,))/4-15))+IF($F482="R",INDEX(绊状态确认!$Q:$Q,MATCH($G482,绊状态确认!$B:$B,))/6-40/6)))*(INDEX(绊状态确认!$H:$H,MATCH($G482,绊状态确认!$B:$B,))+INDEX(绊状态确认!K:K,MATCH($G482,绊状态确认!$B:$B,)))</f>
        <v>5013.8172551999996</v>
      </c>
      <c r="AN482" s="429">
        <f>IF($P482="","N/A",(IF($P482=-1,INDEX('卡片raw data'!U:U,MATCH($D482,'卡片raw data'!$F:$F,)),0)+IF($P482=0,INDEX('卡片raw data'!X:X,MATCH($D482,'卡片raw data'!$F:$F,)),0)+IF($P482=1,INDEX('卡片raw data'!AA:AA,MATCH($D482,'卡片raw data'!$F:$F,)),0)+IF($P482=2,INDEX('卡片raw data'!AD:AD,MATCH($D482,'卡片raw data'!$F:$F,)),0)+IF($P482=3,INDEX('卡片raw data'!AG:AG,MATCH($D482,'卡片raw data'!$F:$F,)),0)+IF($P482=4,INDEX('卡片raw data'!AJ:AJ,MATCH($D482,'卡片raw data'!$F:$F,)),0)+IF($P482=5,INDEX('卡片raw data'!AM:AM,MATCH($D482,'卡片raw data'!$F:$F,)),0)+INDEX('卡片raw data'!U:U,MATCH($D482,'卡片raw data'!$F:$F,))*(IF($F482="UR",0.04,0.033))*(IF($F482="UR",INDEX(绊状态确认!$S:$S,MATCH($G482,绊状态确认!$B:$B,))/2-40)+IF($F482="SR",INDEX(绊状态确认!$R:$R,MATCH($G482,绊状态确认!$B:$B,))/4-15))+IF($F482="R",INDEX(绊状态确认!$Q:$Q,MATCH($G482,绊状态确认!$B:$B,))/6-40/6)))*(INDEX(绊状态确认!$H:$H,MATCH($G482,绊状态确认!$B:$B,))+INDEX(绊状态确认!L:L,MATCH($G482,绊状态确认!$B:$B,)))</f>
        <v>10260.476051999998</v>
      </c>
      <c r="AO482" s="430">
        <f t="shared" si="621"/>
        <v>1</v>
      </c>
      <c r="AP482" s="556">
        <f>1+(INDEX(绊状态确认!$T:$T,MATCH($G482,绊状态确认!$B:$B,))+0.2)*$AO482</f>
        <v>1.3</v>
      </c>
      <c r="AQ482" s="431">
        <f t="shared" si="622"/>
        <v>22997.969983000003</v>
      </c>
      <c r="AR482" s="420">
        <f>(AM482*(1+$EX$9)+$EX$35)*(1+(INDEX(绊状态确认!$T:$T,MATCH($G482,绊状态确认!$B:$B,))+0.2)*AO482)*IF(J482=$FF$17,1+$FE$17,1)*IF(I482=$FF$14,1+$FE$14,1)</f>
        <v>9547.8605533480004</v>
      </c>
      <c r="AS482" s="420">
        <f>(AN482*(1+$EX$10)+$EX$36)*(1+(INDEX(绊状态确认!$T:$T,MATCH($G482,绊状态确认!$B:$B,))+0.2)*AO482)*IF(J482=$FF$17,1+$FE$17,1)*IF(I482=$FF$14,1+$FE$14,1)</f>
        <v>19395.411697739997</v>
      </c>
      <c r="AT482" s="412">
        <f>IF(AND(INDEX('卡片raw data'!AK:AK,MATCH($D482,'卡片raw data'!$F:$F,))&lt;INDEX('卡片raw data'!AM:AM,MATCH($D482,'卡片raw data'!$F:$F,)),INDEX('卡片raw data'!AL:AL,MATCH($D482,'卡片raw data'!$F:$F,))&lt;INDEX('卡片raw data'!AM:AM,MATCH($D482,'卡片raw data'!$F:$F,))),1,0)</f>
        <v>1</v>
      </c>
      <c r="AU482" s="421">
        <f>MIN(AT482*0.15+AS482*0.00003+INDEX(绊状态确认!M:M,MATCH($G482,绊状态确认!$B:$B,)),1)</f>
        <v>0.76186235093220001</v>
      </c>
      <c r="AV482" s="432">
        <f>(INDEX(绊状态确认!$N:$N,MATCH($G482,绊状态确认!$B:$B,))+1.5)*$EW$21</f>
        <v>2.6599999999999997</v>
      </c>
      <c r="AW482" s="424">
        <f t="shared" si="623"/>
        <v>27049.292936256592</v>
      </c>
      <c r="AX482" s="420">
        <f t="shared" si="624"/>
        <v>813.14195635437113</v>
      </c>
      <c r="AY482" s="433">
        <f t="shared" si="625"/>
        <v>27862.434892610963</v>
      </c>
      <c r="AZ482" s="429">
        <f t="shared" si="626"/>
        <v>17269.920558799997</v>
      </c>
      <c r="BA482" s="431">
        <f t="shared" si="627"/>
        <v>20723.904670559994</v>
      </c>
      <c r="BB482" s="420">
        <f>(AM482*(1+$FB$9)+$FB$35)*(1+(INDEX(绊状态确认!$T:$T,MATCH($G482,绊状态确认!$B:$B,))+0.2)*AO482)*IF(J482=$FF$17,1+$FE$17,1)*IF(I482=$FF$14,1+$FE$14,1)*(1+$FE$15)</f>
        <v>9547.8605533480004</v>
      </c>
      <c r="BC482" s="420">
        <f>(AN482*(1+$FB$10)+$FB$36)*(1+(INDEX(绊状态确认!$T:$T,MATCH($G482,绊状态确认!$B:$B,))+0.2)*AO482)*IF(J482=$FF$17,1+$FE$17,1)*IF(I482=$FF$14,1+$FE$14,1)*(1+$FE$15)</f>
        <v>19395.411697739997</v>
      </c>
      <c r="BD482" s="427">
        <f>MIN(AT482*0.15+BC482*0.00003+INDEX(绊状态确认!M:M,MATCH($G482,绊状态确认!$B:$B,)),1)</f>
        <v>0.76186235093220001</v>
      </c>
      <c r="BE482" s="432">
        <f>(INDEX(绊状态确认!$N:$N,MATCH($G482,绊状态确认!$B:$B,))+1.5)</f>
        <v>1.9</v>
      </c>
      <c r="BF482" s="645">
        <f t="array" ref="BF482">SUMPRODUCT(IF(AZ482*AP482*$FI$16:$FI$23*$FA$22&gt;=$FI$24,$FI$24,AZ482*AP482*$FI$16:$FI$23*$FA$22),$FJ$16:$FJ$23)</f>
        <v>34349.871991453198</v>
      </c>
      <c r="BG482" s="453">
        <f t="array" ref="BG482">SUMPRODUCT(IF(BE482*AZ482*AP482*$FI$16:$FI$23*$FA$22&gt;=$FI$24,$FI$24,BE482*AZ482*AP482*$FI$16:$FI$23*$FA$22),$FJ$16:$FJ$23)</f>
        <v>58608.053003525078</v>
      </c>
      <c r="BH482" s="433">
        <f t="shared" si="628"/>
        <v>17610.422268883045</v>
      </c>
      <c r="BI482" s="434">
        <f>IF(O482="vo",$EW$26/$EW$24*0.05,0)+IF(O482="sk",-$EW$26/$EW$24*(0.05-INDEX(绊状态确认!W:W,MATCH($G482,绊状态确认!$B:$B,)))+0.05*$EW$28,0)+IF(O482="sp",0.05*$EW$32*$EW$30*(1-$EW$33)-(0.05-INDEX(绊状态确认!V:V,MATCH($G482,绊状态确认!$B:$B,)))*$EW$28,0)+IF(O482="gd",-(0.05-INDEX(绊状态确认!X:X,MATCH($G482,绊状态确认!$B:$B,)))*$EW$32*$EW$30*(1-$EW$33),0)</f>
        <v>19.999999999999886</v>
      </c>
      <c r="BJ482" s="420">
        <f>IF(O482="vo",0.05*(1-$FI$26)*$FA$24,0)+IF(O482="sk",-(0.05-INDEX(绊状态确认!W:W,MATCH($G482,绊状态确认!$B:$B,)))*(1-$FI$26)*$FA$24+0.05*$FA$26,0)+IF(O482="sp",0.05*$FA$32*$FA$27*(1-$FA$33)/$FA$30+0.05*$FA$29/$FA$69*$FA$27*(1-$FA$33)-(0.05-INDEX(绊状态确认!V:V,MATCH($G482,绊状态确认!$B:$B,)))*$FA$26,0)+IF(O482="gd",-(0.05-INDEX(绊状态确认!X:X,MATCH($G482,绊状态确认!$B:$B,)))*$FA$32*$FA$27*(1-$FA$33)/$FA$30-(0.05-INDEX(绊状态确认!X:X,MATCH($G482,绊状态确认!$B:$B,)))*$FA$29/$FA$69*$FA$27*(1-$FA$33),0)</f>
        <v>545.83333333333326</v>
      </c>
      <c r="BK482" s="433">
        <f>IF(O482="vo",$EW$26/$EW$24*0.05+$EW$26*(-HP($EW$62,$EW$65,$EW$64)+HP($EW$62,$EW$65,(1.05-INDEX(绊状态确认!U:U,MATCH($G482,绊状态确认!$B:$B,)))*$EW$64)),0)+IF(O482="sk",-$EW$26/$EW$24*(0.05-INDEX(绊状态确认!W:W,MATCH($G482,绊状态确认!$B:$B,)))+0.05*$EW$29,0)+IF(O482="sp",0.05*$EW$32*$EW$30*(1-$EW$33)-(0.05-INDEX(绊状态确认!V:V,MATCH($G482,绊状态确认!$B:$B,)))*$EW$29,0)+IF(O482="gd",-(0.05-INDEX(绊状态确认!X:X,MATCH($G482,绊状态确认!$B:$B,)))*$EW$32*$EW$30*(1-$EW$33)+$EW$26*(-HP($EW$62,$EW$65,$EW$64)+HP($EW$62,$EW$65,0.95*$EW$64)),0)</f>
        <v>-1780.0000000000005</v>
      </c>
      <c r="BL482" s="434">
        <f t="shared" si="629"/>
        <v>-1083.3333333333333</v>
      </c>
      <c r="BM482" s="433">
        <f t="shared" si="630"/>
        <v>-830.55555555555543</v>
      </c>
      <c r="BN482" s="437">
        <f t="shared" si="631"/>
        <v>3</v>
      </c>
      <c r="BO482" s="1108">
        <f t="shared" si="632"/>
        <v>4507.7214871259994</v>
      </c>
      <c r="BP482" s="1100">
        <f t="shared" si="633"/>
        <v>221.34103209030098</v>
      </c>
      <c r="BQ482" s="437" t="s">
        <v>134</v>
      </c>
      <c r="BR482" s="450" t="s">
        <v>166</v>
      </c>
      <c r="BS482" s="421">
        <f>IF($P482="","N/A",IF($P482=-1,INDEX('卡片raw data'!AX:AX,MATCH($D482,'卡片raw data'!$F:$F,)),0)+IF($L482="party卡",IF($P482=5,INDEX('卡片raw data'!BD:BD,MATCH($D482,'卡片raw data'!$F:$F,)),IF($P482&gt;=3,INDEX('卡片raw data'!BC:BC,MATCH($D482,'卡片raw data'!$F:$F,)),INDEX('卡片raw data'!BB:BB,MATCH($D482,'卡片raw data'!$F:$F,)))),IF(OR(AND($F482="UR",$P482=0),AND($F482="SR",$P482&gt;=0,$P482&lt;=2),AND($F482="R",$P482&gt;=0,$P482&lt;4)),INDEX('卡片raw data'!AZ:AZ,MATCH($D482,'卡片raw data'!$F:$F,)),0)+IF(OR(AND($F482="UR",$P482&gt;=1,$P482&lt;=4),AND($F482="SR",$P482&lt;=4,$P482&gt;=3),AND($F482="R",$P482=4)),INDEX('卡片raw data'!BA:BA,MATCH($D482,'卡片raw data'!$F:$F,)),0)+IF($P482=5,INDEX('卡片raw data'!BB:BB,MATCH($D482,'卡片raw data'!$F:$F,)),0)))</f>
        <v>7.0000000000000007E-2</v>
      </c>
      <c r="BT482" s="424">
        <f t="shared" si="634"/>
        <v>597.61926011795083</v>
      </c>
      <c r="BU482" s="420">
        <f t="shared" si="635"/>
        <v>28.080278799839522</v>
      </c>
      <c r="BV482" s="420">
        <f t="shared" si="636"/>
        <v>0</v>
      </c>
      <c r="BW482" s="436">
        <f t="shared" si="637"/>
        <v>0</v>
      </c>
      <c r="BX482" s="423">
        <f t="shared" si="638"/>
        <v>597.61926011795083</v>
      </c>
      <c r="BY482" s="433">
        <f t="shared" si="639"/>
        <v>0</v>
      </c>
      <c r="BZ482" s="1113" t="s">
        <v>569</v>
      </c>
      <c r="CA482" s="450"/>
      <c r="CB482" s="421">
        <f>IF($P482="","N/A",IF($P482=-1,INDEX('卡片raw data'!BE:BE,MATCH($D482,'卡片raw data'!$F:$F,)),0)+IF($L482="party卡",IF($P482=5,INDEX('卡片raw data'!BK:BK,MATCH($D482,'卡片raw data'!$F:$F,)),IF($P482&gt;=3,INDEX('卡片raw data'!BJ:BJ,MATCH($D482,'卡片raw data'!$F:$F,)),INDEX('卡片raw data'!BI:BI,MATCH($D482,'卡片raw data'!$F:$F,)))),IF(OR(AND($F482="UR",$P482=0),AND($F482="SR",$P482&gt;=0,$P482&lt;=2),AND($F482="R",$P482&gt;=0,$P482&lt;4)),INDEX('卡片raw data'!BG:BG,MATCH($D482,'卡片raw data'!$F:$F,)),0)+IF(OR(AND($F482="UR",$P482&gt;=1,$P482&lt;=4),AND($F482="SR",$P482&lt;=4,$P482&gt;=3),AND($F482="R",$P482=4)),INDEX('卡片raw data'!BH:BH,MATCH($D482,'卡片raw data'!$F:$F,)),0)+IF($P482=5,INDEX('卡片raw data'!BI:BI,MATCH($D482,'卡片raw data'!$F:$F,)),0)))</f>
        <v>0</v>
      </c>
      <c r="CC482" s="424">
        <f t="shared" si="640"/>
        <v>0</v>
      </c>
      <c r="CD482" s="420">
        <f>IF(BZ482="ap",CB482*(1-$FI$26)*$FB$5/$FB$11*(+IF(CA482="全员",$FA$24,0)+IF(CA482="同作战",$FA$24,0)+IF(CA482="仲间",$FA$24*2/3,0)+IF(CA482="同属性",$FA$24*$FA$37/3,0)+IF(CA482="同年级",$FA$24*$FA$40/3,0)+IF(CA482="同学校",$FA$24*$FA$43/3,0)+IF(CA482="同小队",$FA$24*$FA$46/3,0)+IF(CA482="同type",$FA$24*INDEX($FB$49:$FB$52,MATCH(X482,$FA$49:$FA$52,))/3,0)+IF(CA482="自身",#REF!/3,0)),0)+IF(BZ482="te",CB482*(1-$FI$27)*($FA$20-1)*$FB$7/$FB$13*(+IF(CA482="全员",$FA$19*$FA$24/(1+($FA$20-1)*$FA$19),0)+IF(CA482="同作战",$FA$19*$FA$24/(1+($FA$20-1)*$FA$19),0)+IF(CA482="仲间",$FA$19*$FA$24*2/3/(1+($FA$20-1)*$FA$19),0)+IF(CA482="同属性",$FA$19*$FA$24*$FA$37/3/(1+($FA$20-1)*$FA$19),0)+IF(CA482="同年级",$FA$19*$FA$24*$FA$40/3/(1+($FA$20-1)*$FA$19),0)+IF(CA482="同学校",$FA$19*$FA$24*$FA$43/3/(1+($FA$20-1)*$FA$19),0)+IF(CA482="同小队",$FA$19*$FA$24*$FA$46/3/(1+($FA$20-1)*$FA$19),0)+IF(CA482="同type",$FA$19*$FA$24*INDEX($FB$49:$FB$52,MATCH(X482,$FA$49:$FA$52,))/3/(1+($FA$20-1)*$FA$19),0)+IF(CA482="自身",$FA$19*#REF!/3/(1+(BH482-1)*$BD482),0)),0)</f>
        <v>0</v>
      </c>
      <c r="CE482" s="420">
        <f t="shared" si="641"/>
        <v>0</v>
      </c>
      <c r="CF482" s="436">
        <f t="shared" si="642"/>
        <v>0</v>
      </c>
      <c r="CG482" s="423">
        <f t="shared" si="643"/>
        <v>0</v>
      </c>
      <c r="CH482" s="433">
        <f t="shared" si="644"/>
        <v>0</v>
      </c>
      <c r="CI482" s="437" t="s">
        <v>164</v>
      </c>
      <c r="CJ482" s="438">
        <v>0.5</v>
      </c>
      <c r="CK482" s="439" t="s">
        <v>156</v>
      </c>
      <c r="CL482" s="439" t="s">
        <v>3166</v>
      </c>
      <c r="CM482" s="443">
        <v>0.02</v>
      </c>
      <c r="CN482" s="439"/>
      <c r="CO482" s="1115"/>
      <c r="CP482" s="1116">
        <f t="shared" si="645"/>
        <v>0</v>
      </c>
      <c r="CQ482" s="1116">
        <f t="shared" si="646"/>
        <v>0</v>
      </c>
      <c r="CR482" s="1117">
        <f t="shared" si="647"/>
        <v>0</v>
      </c>
      <c r="CS482" s="1118">
        <f t="shared" si="648"/>
        <v>0</v>
      </c>
      <c r="CT482" s="1109">
        <f t="shared" si="649"/>
        <v>0</v>
      </c>
      <c r="CU482" s="1101">
        <f t="shared" si="650"/>
        <v>0</v>
      </c>
      <c r="CV482" s="1108">
        <f t="shared" si="682"/>
        <v>0</v>
      </c>
      <c r="CW482" s="1097">
        <f t="shared" si="651"/>
        <v>0</v>
      </c>
      <c r="CX482" s="1097">
        <f t="shared" si="652"/>
        <v>0</v>
      </c>
      <c r="CY482" s="1110">
        <f t="shared" si="653"/>
        <v>0</v>
      </c>
      <c r="CZ482" s="437"/>
      <c r="DA482" s="438"/>
      <c r="DB482" s="439" t="s">
        <v>569</v>
      </c>
      <c r="DC482" s="439"/>
      <c r="DD482" s="443"/>
      <c r="DE482" s="411"/>
      <c r="DF482" s="411"/>
      <c r="DG482" s="1116">
        <f t="shared" si="654"/>
        <v>0</v>
      </c>
      <c r="DH482" s="1116">
        <f t="shared" si="655"/>
        <v>0</v>
      </c>
      <c r="DI482" s="1116">
        <f t="shared" si="656"/>
        <v>0</v>
      </c>
      <c r="DJ482" s="442">
        <f t="shared" si="657"/>
        <v>0</v>
      </c>
      <c r="DK482" s="432">
        <f t="shared" si="658"/>
        <v>0</v>
      </c>
      <c r="DL482" s="424">
        <f t="shared" si="659"/>
        <v>0</v>
      </c>
      <c r="DM482" s="420">
        <f t="shared" si="660"/>
        <v>0</v>
      </c>
      <c r="DN482" s="420">
        <f t="shared" si="661"/>
        <v>0</v>
      </c>
      <c r="DO482" s="420">
        <f t="shared" si="662"/>
        <v>0</v>
      </c>
      <c r="DP482" s="433">
        <f t="shared" si="663"/>
        <v>0</v>
      </c>
      <c r="DQ482" s="437" t="s">
        <v>256</v>
      </c>
      <c r="DR482" s="444">
        <f t="shared" si="664"/>
        <v>0.3</v>
      </c>
      <c r="DS482" s="450"/>
      <c r="DT482" s="1093" t="s">
        <v>134</v>
      </c>
      <c r="DU482" s="1093"/>
      <c r="DV482" s="1098">
        <f>IF($P482="","N/A",IF(P482=-1,INDEX('卡片raw data'!AN:AN,MATCH(D482,'卡片raw data'!$F:$F,)),0)+IF(AND(L482&lt;&gt;"party卡",P482&lt;=2,P482&gt;=0),INDEX('卡片raw data'!AP:AP,MATCH(D482,'卡片raw data'!$F:$F,)),0)+IF(OR(AND(L482="party卡",P482&lt;=1),AND(P482&lt;=4,L482&lt;&gt;"party卡",P482&gt;=3)),INDEX('卡片raw data'!AQ:AQ,MATCH(D482,'卡片raw data'!$F:$F,)),0)+IF(OR(P482=5,AND(L482="party卡",P482&gt;=2)),INDEX('卡片raw data'!AR:AR,MATCH(D482,'卡片raw data'!$F:$F,)),0))</f>
        <v>0.22</v>
      </c>
      <c r="DW482" s="1098">
        <f t="shared" si="665"/>
        <v>0.3</v>
      </c>
      <c r="DX482" s="1098">
        <f t="shared" si="666"/>
        <v>0.3</v>
      </c>
      <c r="DY482" s="1097">
        <f t="shared" si="667"/>
        <v>426.69905735027993</v>
      </c>
      <c r="DZ482" s="1097">
        <f t="shared" si="668"/>
        <v>369.09468460799212</v>
      </c>
      <c r="EA482" s="421">
        <f t="shared" si="669"/>
        <v>0</v>
      </c>
      <c r="EB482" s="445">
        <f t="shared" si="670"/>
        <v>0</v>
      </c>
      <c r="EC482" s="424">
        <f t="shared" si="671"/>
        <v>610.17965201090033</v>
      </c>
      <c r="ED482" s="420">
        <f t="shared" si="672"/>
        <v>0</v>
      </c>
      <c r="EE482" s="433">
        <f t="shared" si="683"/>
        <v>610.17965201090033</v>
      </c>
      <c r="EF482" s="1115" t="s">
        <v>569</v>
      </c>
      <c r="EG482" s="444">
        <f t="shared" si="673"/>
        <v>0.3</v>
      </c>
      <c r="EH482" s="450"/>
      <c r="EI482" s="1093"/>
      <c r="EJ482" s="1093"/>
      <c r="EK482" s="420">
        <f>IF($P482="","N/A",IF(P482=-1,INDEX('卡片raw data'!AS:AS,MATCH(D482,'卡片raw data'!$F:$F,)),0)+IF(AND(L482&lt;&gt;"party卡",P482&lt;=2,P482&gt;=0),INDEX('卡片raw data'!AU:AU,MATCH(D482,'卡片raw data'!$F:$F,)),0)+IF(OR(AND(L482="party卡",P482&lt;=1),AND(P482&lt;=4,L482&lt;&gt;"party卡",P482&gt;=3)),INDEX('卡片raw data'!AV:AV,MATCH(D482,'卡片raw data'!$F:$F,)),0)+IF(OR(P482=5,AND(L482="party卡",P482&gt;=2)),INDEX('卡片raw data'!AW:AW,MATCH(D482,'卡片raw data'!$F:$F,)),0))</f>
        <v>0</v>
      </c>
      <c r="EL482" s="1098">
        <f t="shared" si="674"/>
        <v>0.3</v>
      </c>
      <c r="EM482" s="1098">
        <f t="shared" si="675"/>
        <v>0.3</v>
      </c>
      <c r="EN482" s="1097">
        <f t="shared" si="676"/>
        <v>0</v>
      </c>
      <c r="EO482" s="1097">
        <f t="shared" si="677"/>
        <v>0</v>
      </c>
      <c r="EP482" s="421">
        <f t="shared" si="678"/>
        <v>0</v>
      </c>
      <c r="EQ482" s="445">
        <f t="shared" si="679"/>
        <v>0</v>
      </c>
      <c r="ER482" s="424">
        <f t="shared" si="680"/>
        <v>0</v>
      </c>
      <c r="ES482" s="420">
        <f t="shared" si="681"/>
        <v>0</v>
      </c>
      <c r="ET482" s="446">
        <f t="shared" si="684"/>
        <v>0</v>
      </c>
    </row>
    <row r="483" spans="2:150" ht="16.5" customHeight="1">
      <c r="B483" s="448" t="str">
        <f>INDEX('卡片raw data'!B:B,MATCH($D483,'卡片raw data'!$F:$F,))</f>
        <v>婚纱爱</v>
      </c>
      <c r="C483" s="449" t="s">
        <v>3182</v>
      </c>
      <c r="D483" s="408">
        <v>480</v>
      </c>
      <c r="E483" s="477">
        <v>402053004</v>
      </c>
      <c r="F483" s="409" t="str">
        <f>INDEX('卡片raw data'!C:C,MATCH($D483,'卡片raw data'!$F:$F,))</f>
        <v>UR</v>
      </c>
      <c r="G483" s="1094" t="s">
        <v>3183</v>
      </c>
      <c r="H483" s="411">
        <f>IFERROR(INDEX(绊状态确认!C:C,MATCH($G483,绊状态确认!$B:$B,)),"")</f>
        <v>205</v>
      </c>
      <c r="I483" s="450" t="str">
        <f>IFERROR(INDEX(绊状态确认!D:D,MATCH($G483,绊状态确认!$B:$B,)),"")</f>
        <v>虹</v>
      </c>
      <c r="J483" s="450" t="str">
        <f>IFERROR(INDEX(绊状态确认!E:E,MATCH($G483,绊状态确认!$B:$B,)),"")</f>
        <v>2年级</v>
      </c>
      <c r="K483" s="451" t="str">
        <f>IFERROR(INDEX(绊状态确认!F:F,MATCH($G483,绊状态确认!$B:$B,)),"")</f>
        <v>Diver Diva</v>
      </c>
      <c r="L483" s="414" t="str">
        <f>INDEX('卡片raw data'!E:E,MATCH($D483,'卡片raw data'!$F:$F,))</f>
        <v>卡池卡</v>
      </c>
      <c r="M483" s="478">
        <v>44366</v>
      </c>
      <c r="N483" s="479">
        <v>42</v>
      </c>
      <c r="O483" s="410" t="str">
        <f>INDEX('卡片raw data'!D:D,MATCH($D483,'卡片raw data'!$F:$F,))</f>
        <v>sp</v>
      </c>
      <c r="P483" s="1126">
        <v>5</v>
      </c>
      <c r="Q483" s="418">
        <f t="shared" si="600"/>
        <v>65042.071115934377</v>
      </c>
      <c r="R483" s="419">
        <f t="shared" si="601"/>
        <v>0.75600000000000001</v>
      </c>
      <c r="S483" s="420">
        <f t="shared" si="602"/>
        <v>23779.182349259452</v>
      </c>
      <c r="T483" s="421">
        <f t="shared" si="603"/>
        <v>1.1879999999999999</v>
      </c>
      <c r="U483" s="422">
        <f t="shared" si="604"/>
        <v>14.872675493742856</v>
      </c>
      <c r="V483" s="423">
        <f t="shared" si="605"/>
        <v>64435.572033014694</v>
      </c>
      <c r="W483" s="424">
        <f t="shared" si="606"/>
        <v>6177.3043664634697</v>
      </c>
      <c r="X483" s="419">
        <f t="shared" si="607"/>
        <v>7.0999999999999994E-2</v>
      </c>
      <c r="Y483" s="420">
        <f t="shared" si="608"/>
        <v>1193.500917080316</v>
      </c>
      <c r="Z483" s="425">
        <f t="shared" si="609"/>
        <v>14.872675493742856</v>
      </c>
      <c r="AA483" s="426">
        <f t="shared" si="610"/>
        <v>7370.8052835437857</v>
      </c>
      <c r="AB483" s="424">
        <f t="shared" si="611"/>
        <v>7479.5350182998709</v>
      </c>
      <c r="AC483" s="427">
        <f t="shared" si="612"/>
        <v>8.5999999999999993E-2</v>
      </c>
      <c r="AD483" s="428">
        <f t="shared" si="613"/>
        <v>-1.6087500000000001E-2</v>
      </c>
      <c r="AE483" s="516">
        <f t="shared" si="614"/>
        <v>79.26180572016824</v>
      </c>
      <c r="AF483" s="1130">
        <f t="shared" si="615"/>
        <v>0</v>
      </c>
      <c r="AG483" s="420">
        <f t="shared" si="616"/>
        <v>0</v>
      </c>
      <c r="AH483" s="420">
        <f t="shared" si="617"/>
        <v>0</v>
      </c>
      <c r="AI483" s="1097">
        <f t="shared" si="618"/>
        <v>0</v>
      </c>
      <c r="AJ483" s="420">
        <f t="shared" si="619"/>
        <v>0</v>
      </c>
      <c r="AK483" s="518">
        <f t="shared" si="620"/>
        <v>0</v>
      </c>
      <c r="AL483" s="429">
        <f>IF($P483="","N/A",(IF($P483=-1,INDEX('卡片raw data'!S:S,MATCH($D483,'卡片raw data'!$F:$F,)),0)+IF($P483=0,INDEX('卡片raw data'!V:V,MATCH($D483,'卡片raw data'!$F:$F,)),0)+IF($P483=1,INDEX('卡片raw data'!Y:Y,MATCH($D483,'卡片raw data'!$F:$F,)),0)+IF($P483=2,INDEX('卡片raw data'!AB:AB,MATCH($D483,'卡片raw data'!$F:$F,)),0)+IF($P483=3,INDEX('卡片raw data'!AE:AE,MATCH($D483,'卡片raw data'!$F:$F,)),0)+IF($P483=4,INDEX('卡片raw data'!AH:AH,MATCH($D483,'卡片raw data'!$F:$F,)),0)+IF($P483=5,INDEX('卡片raw data'!AK:AK,MATCH($D483,'卡片raw data'!$F:$F,)),0)+INDEX('卡片raw data'!S:S,MATCH($D483,'卡片raw data'!$F:$F,))*(IF($F483="UR",0.04,0.033))*(IF($F483="UR",INDEX(绊状态确认!$S:$S,MATCH($G483,绊状态确认!$B:$B,))/2-40)+IF($F483="SR",INDEX(绊状态确认!$R:$R,MATCH($G483,绊状态确认!$B:$B,))/4-15))+IF($F483="R",INDEX(绊状态确认!$Q:$Q,MATCH($G483,绊状态确认!$B:$B,))/6-40/6)))*(INDEX(绊状态确认!$H:$H,MATCH($G483,绊状态确认!$B:$B,))+INDEX(绊状态确认!J:J,MATCH($G483,绊状态确认!$B:$B,)))</f>
        <v>13401.337919999998</v>
      </c>
      <c r="AM483" s="429">
        <f>IF($P483="","N/A",(IF($P483=-1,INDEX('卡片raw data'!T:T,MATCH($D483,'卡片raw data'!$F:$F,)),0)+IF($P483=0,INDEX('卡片raw data'!W:W,MATCH($D483,'卡片raw data'!$F:$F,)),0)+IF($P483=1,INDEX('卡片raw data'!Z:Z,MATCH($D483,'卡片raw data'!$F:$F,)),0)+IF($P483=2,INDEX('卡片raw data'!AC:AC,MATCH($D483,'卡片raw data'!$F:$F,)),0)+IF($P483=3,INDEX('卡片raw data'!AF:AF,MATCH($D483,'卡片raw data'!$F:$F,)),0)+IF($P483=4,INDEX('卡片raw data'!AI:AI,MATCH($D483,'卡片raw data'!$F:$F,)),0)+IF($P483=5,INDEX('卡片raw data'!AL:AL,MATCH($D483,'卡片raw data'!$F:$F,)),0)+INDEX('卡片raw data'!T:T,MATCH($D483,'卡片raw data'!$F:$F,))*(IF($F483="UR",0.04,0.033))*(IF($F483="UR",INDEX(绊状态确认!$S:$S,MATCH($G483,绊状态确认!$B:$B,))/2-40)+IF($F483="SR",INDEX(绊状态确认!$R:$R,MATCH($G483,绊状态确认!$B:$B,))/4-15))+IF($F483="R",INDEX(绊状态确认!$Q:$Q,MATCH($G483,绊状态确认!$B:$B,))/6-40/6)))*(INDEX(绊状态确认!$H:$H,MATCH($G483,绊状态确认!$B:$B,))+INDEX(绊状态确认!K:K,MATCH($G483,绊状态确认!$B:$B,)))</f>
        <v>8188.3983839999992</v>
      </c>
      <c r="AN483" s="429">
        <f>IF($P483="","N/A",(IF($P483=-1,INDEX('卡片raw data'!U:U,MATCH($D483,'卡片raw data'!$F:$F,)),0)+IF($P483=0,INDEX('卡片raw data'!X:X,MATCH($D483,'卡片raw data'!$F:$F,)),0)+IF($P483=1,INDEX('卡片raw data'!AA:AA,MATCH($D483,'卡片raw data'!$F:$F,)),0)+IF($P483=2,INDEX('卡片raw data'!AD:AD,MATCH($D483,'卡片raw data'!$F:$F,)),0)+IF($P483=3,INDEX('卡片raw data'!AG:AG,MATCH($D483,'卡片raw data'!$F:$F,)),0)+IF($P483=4,INDEX('卡片raw data'!AJ:AJ,MATCH($D483,'卡片raw data'!$F:$F,)),0)+IF($P483=5,INDEX('卡片raw data'!AM:AM,MATCH($D483,'卡片raw data'!$F:$F,)),0)+INDEX('卡片raw data'!U:U,MATCH($D483,'卡片raw data'!$F:$F,))*(IF($F483="UR",0.04,0.033))*(IF($F483="UR",INDEX(绊状态确认!$S:$S,MATCH($G483,绊状态确认!$B:$B,))/2-40)+IF($F483="SR",INDEX(绊状态确认!$R:$R,MATCH($G483,绊状态确认!$B:$B,))/4-15))+IF($F483="R",INDEX(绊状态确认!$Q:$Q,MATCH($G483,绊状态确认!$B:$B,))/6-40/6)))*(INDEX(绊状态确认!$H:$H,MATCH($G483,绊状态确认!$B:$B,))+INDEX(绊状态确认!L:L,MATCH($G483,绊状态确认!$B:$B,)))</f>
        <v>15634.091183999997</v>
      </c>
      <c r="AO483" s="430">
        <f t="shared" si="621"/>
        <v>1</v>
      </c>
      <c r="AP483" s="556">
        <f>1+(INDEX(绊状态确认!$T:$T,MATCH($G483,绊状态确认!$B:$B,))+0.2)*$AO483</f>
        <v>1.3</v>
      </c>
      <c r="AQ483" s="431">
        <f t="shared" si="622"/>
        <v>38428.512039999994</v>
      </c>
      <c r="AR483" s="420">
        <f>(AM483*(1+$EX$9)+$EX$35)*(1+(INDEX(绊状态确认!$T:$T,MATCH($G483,绊状态确认!$B:$B,))+0.2)*AO483)*IF(J483=$FF$17,1+$FE$17,1)*IF(I483=$FF$14,1+$FE$14,1)</f>
        <v>13881.16379416</v>
      </c>
      <c r="AS483" s="420">
        <f>(AN483*(1+$EX$10)+$EX$36)*(1+(INDEX(绊状态确认!$T:$T,MATCH($G483,绊状态确认!$B:$B,))+0.2)*AO483)*IF(J483=$FF$17,1+$FE$17,1)*IF(I483=$FF$14,1+$FE$14,1)</f>
        <v>27428.966320079995</v>
      </c>
      <c r="AT483" s="412">
        <f>IF(AND(INDEX('卡片raw data'!AK:AK,MATCH($D483,'卡片raw data'!$F:$F,))&lt;INDEX('卡片raw data'!AM:AM,MATCH($D483,'卡片raw data'!$F:$F,)),INDEX('卡片raw data'!AL:AL,MATCH($D483,'卡片raw data'!$F:$F,))&lt;INDEX('卡片raw data'!AM:AM,MATCH($D483,'卡片raw data'!$F:$F,))),1,0)</f>
        <v>1</v>
      </c>
      <c r="AU483" s="421">
        <f>MIN(AT483*0.15+AS483*0.00003+INDEX(绊状态确认!M:M,MATCH($G483,绊状态确认!$B:$B,)),1)</f>
        <v>1</v>
      </c>
      <c r="AV483" s="432">
        <f>(INDEX(绊状态确认!$N:$N,MATCH($G483,绊状态确认!$B:$B,))+1.5)*$EW$21</f>
        <v>2.6599999999999997</v>
      </c>
      <c r="AW483" s="424">
        <f t="shared" si="623"/>
        <v>53087.536097634511</v>
      </c>
      <c r="AX483" s="420">
        <f t="shared" si="624"/>
        <v>1193.500917080316</v>
      </c>
      <c r="AY483" s="433">
        <f t="shared" si="625"/>
        <v>54281.037014714828</v>
      </c>
      <c r="AZ483" s="429">
        <f t="shared" si="626"/>
        <v>28732.608943999996</v>
      </c>
      <c r="BA483" s="431">
        <f t="shared" si="627"/>
        <v>34479.130732799997</v>
      </c>
      <c r="BB483" s="420">
        <f>(AM483*(1+$FB$9)+$FB$35)*(1+(INDEX(绊状态确认!$T:$T,MATCH($G483,绊状态确认!$B:$B,))+0.2)*AO483)*IF(J483=$FF$17,1+$FE$17,1)*IF(I483=$FF$14,1+$FE$14,1)*(1+$FE$15)</f>
        <v>13881.16379416</v>
      </c>
      <c r="BC483" s="420">
        <f>(AN483*(1+$FB$10)+$FB$36)*(1+(INDEX(绊状态确认!$T:$T,MATCH($G483,绊状态确认!$B:$B,))+0.2)*AO483)*IF(J483=$FF$17,1+$FE$17,1)*IF(I483=$FF$14,1+$FE$14,1)*(1+$FE$15)</f>
        <v>27428.966320079995</v>
      </c>
      <c r="BD483" s="427">
        <f>MIN(AT483*0.15+BC483*0.00003+INDEX(绊状态确认!M:M,MATCH($G483,绊状态确认!$B:$B,)),1)</f>
        <v>1</v>
      </c>
      <c r="BE483" s="432">
        <f>(INDEX(绊状态确认!$N:$N,MATCH($G483,绊状态确认!$B:$B,))+1.5)</f>
        <v>1.9</v>
      </c>
      <c r="BF483" s="645">
        <f t="array" ref="BF483">SUMPRODUCT(IF(AZ483*AP483*$FI$16:$FI$23*$FA$22&gt;=$FI$24,$FI$24,AZ483*AP483*$FI$16:$FI$23*$FA$22),$FJ$16:$FJ$23)</f>
        <v>54978.867710928003</v>
      </c>
      <c r="BG483" s="453">
        <f t="array" ref="BG483">SUMPRODUCT(IF(BE483*AZ483*AP483*$FI$16:$FI$23*$FA$22&gt;=$FI$24,$FI$24,BE483*AZ483*AP483*$FI$16:$FI$23*$FA$22),$FJ$16:$FJ$23)</f>
        <v>60000</v>
      </c>
      <c r="BH483" s="433">
        <f t="shared" si="628"/>
        <v>20000</v>
      </c>
      <c r="BI483" s="434">
        <f>IF(O483="vo",$EW$26/$EW$24*0.05,0)+IF(O483="sk",-$EW$26/$EW$24*(0.05-INDEX(绊状态确认!W:W,MATCH($G483,绊状态确认!$B:$B,)))+0.05*$EW$28,0)+IF(O483="sp",0.05*$EW$32*$EW$30*(1-$EW$33)-(0.05-INDEX(绊状态确认!V:V,MATCH($G483,绊状态确认!$B:$B,)))*$EW$28,0)+IF(O483="gd",-(0.05-INDEX(绊状态确认!X:X,MATCH($G483,绊状态确认!$B:$B,)))*$EW$32*$EW$30*(1-$EW$33),0)</f>
        <v>19.999999999999886</v>
      </c>
      <c r="BJ483" s="420">
        <f>IF(O483="vo",0.05*(1-$FI$26)*$FA$24,0)+IF(O483="sk",-(0.05-INDEX(绊状态确认!W:W,MATCH($G483,绊状态确认!$B:$B,)))*(1-$FI$26)*$FA$24+0.05*$FA$26,0)+IF(O483="sp",0.05*$FA$32*$FA$27*(1-$FA$33)/$FA$30+0.05*$FA$29/$FA$69*$FA$27*(1-$FA$33)-(0.05-INDEX(绊状态确认!V:V,MATCH($G483,绊状态确认!$B:$B,)))*$FA$26,0)+IF(O483="gd",-(0.05-INDEX(绊状态确认!X:X,MATCH($G483,绊状态确认!$B:$B,)))*$FA$32*$FA$27*(1-$FA$33)/$FA$30-(0.05-INDEX(绊状态确认!X:X,MATCH($G483,绊状态确认!$B:$B,)))*$FA$29/$FA$69*$FA$27*(1-$FA$33),0)</f>
        <v>545.83333333333326</v>
      </c>
      <c r="BK483" s="433">
        <f>IF(O483="vo",$EW$26/$EW$24*0.05+$EW$26*(-HP($EW$62,$EW$65,$EW$64)+HP($EW$62,$EW$65,(1.05-INDEX(绊状态确认!U:U,MATCH($G483,绊状态确认!$B:$B,)))*$EW$64)),0)+IF(O483="sk",-$EW$26/$EW$24*(0.05-INDEX(绊状态确认!W:W,MATCH($G483,绊状态确认!$B:$B,)))+0.05*$EW$29,0)+IF(O483="sp",0.05*$EW$32*$EW$30*(1-$EW$33)-(0.05-INDEX(绊状态确认!V:V,MATCH($G483,绊状态确认!$B:$B,)))*$EW$29,0)+IF(O483="gd",-(0.05-INDEX(绊状态确认!X:X,MATCH($G483,绊状态确认!$B:$B,)))*$EW$32*$EW$30*(1-$EW$33)+$EW$26*(-HP($EW$62,$EW$65,$EW$64)+HP($EW$62,$EW$65,0.95*$EW$64)),0)</f>
        <v>-1780.0000000000005</v>
      </c>
      <c r="BL483" s="434">
        <f t="shared" si="629"/>
        <v>0</v>
      </c>
      <c r="BM483" s="433">
        <f t="shared" si="630"/>
        <v>0</v>
      </c>
      <c r="BN483" s="437">
        <f t="shared" si="631"/>
        <v>3</v>
      </c>
      <c r="BO483" s="1108">
        <f t="shared" si="632"/>
        <v>4507.7214871259994</v>
      </c>
      <c r="BP483" s="1100">
        <f t="shared" si="633"/>
        <v>221.34103209030098</v>
      </c>
      <c r="BQ483" s="437" t="s">
        <v>132</v>
      </c>
      <c r="BR483" s="450" t="s">
        <v>171</v>
      </c>
      <c r="BS483" s="421">
        <f>IF($P483="","N/A",IF($P483=-1,INDEX('卡片raw data'!AX:AX,MATCH($D483,'卡片raw data'!$F:$F,)),0)+IF($L483="party卡",IF($P483=5,INDEX('卡片raw data'!BD:BD,MATCH($D483,'卡片raw data'!$F:$F,)),IF($P483&gt;=3,INDEX('卡片raw data'!BC:BC,MATCH($D483,'卡片raw data'!$F:$F,)),INDEX('卡片raw data'!BB:BB,MATCH($D483,'卡片raw data'!$F:$F,)))),IF(OR(AND($F483="UR",$P483=0),AND($F483="SR",$P483&gt;=0,$P483&lt;=2),AND($F483="R",$P483&gt;=0,$P483&lt;4)),INDEX('卡片raw data'!AZ:AZ,MATCH($D483,'卡片raw data'!$F:$F,)),0)+IF(OR(AND($F483="UR",$P483&gt;=1,$P483&lt;=4),AND($F483="SR",$P483&lt;=4,$P483&gt;=3),AND($F483="R",$P483=4)),INDEX('卡片raw data'!BA:BA,MATCH($D483,'卡片raw data'!$F:$F,)),0)+IF($P483=5,INDEX('卡片raw data'!BB:BB,MATCH($D483,'卡片raw data'!$F:$F,)),0)))</f>
        <v>5.1999999999999998E-2</v>
      </c>
      <c r="BT483" s="424">
        <f t="shared" si="634"/>
        <v>2604.4613036728001</v>
      </c>
      <c r="BU483" s="420">
        <f t="shared" si="635"/>
        <v>111.90018844565216</v>
      </c>
      <c r="BV483" s="420">
        <f t="shared" si="636"/>
        <v>1302.2306518363998</v>
      </c>
      <c r="BW483" s="436">
        <f t="shared" si="637"/>
        <v>0</v>
      </c>
      <c r="BX483" s="423">
        <f t="shared" si="638"/>
        <v>2604.4613036728001</v>
      </c>
      <c r="BY483" s="433">
        <f t="shared" si="639"/>
        <v>1302.2306518363998</v>
      </c>
      <c r="BZ483" s="1113" t="s">
        <v>569</v>
      </c>
      <c r="CA483" s="450"/>
      <c r="CB483" s="421">
        <f>IF($P483="","N/A",IF($P483=-1,INDEX('卡片raw data'!BE:BE,MATCH($D483,'卡片raw data'!$F:$F,)),0)+IF($L483="party卡",IF($P483=5,INDEX('卡片raw data'!BK:BK,MATCH($D483,'卡片raw data'!$F:$F,)),IF($P483&gt;=3,INDEX('卡片raw data'!BJ:BJ,MATCH($D483,'卡片raw data'!$F:$F,)),INDEX('卡片raw data'!BI:BI,MATCH($D483,'卡片raw data'!$F:$F,)))),IF(OR(AND($F483="UR",$P483=0),AND($F483="SR",$P483&gt;=0,$P483&lt;=2),AND($F483="R",$P483&gt;=0,$P483&lt;4)),INDEX('卡片raw data'!BG:BG,MATCH($D483,'卡片raw data'!$F:$F,)),0)+IF(OR(AND($F483="UR",$P483&gt;=1,$P483&lt;=4),AND($F483="SR",$P483&lt;=4,$P483&gt;=3),AND($F483="R",$P483=4)),INDEX('卡片raw data'!BH:BH,MATCH($D483,'卡片raw data'!$F:$F,)),0)+IF($P483=5,INDEX('卡片raw data'!BI:BI,MATCH($D483,'卡片raw data'!$F:$F,)),0)))</f>
        <v>0</v>
      </c>
      <c r="CC483" s="424">
        <f t="shared" si="640"/>
        <v>0</v>
      </c>
      <c r="CD483" s="420">
        <f>IF(BZ483="ap",CB483*(1-$FI$26)*$FB$5/$FB$11*(+IF(CA483="全员",$FA$24,0)+IF(CA483="同作战",$FA$24,0)+IF(CA483="仲间",$FA$24*2/3,0)+IF(CA483="同属性",$FA$24*$FA$37/3,0)+IF(CA483="同年级",$FA$24*$FA$40/3,0)+IF(CA483="同学校",$FA$24*$FA$43/3,0)+IF(CA483="同小队",$FA$24*$FA$46/3,0)+IF(CA483="同type",$FA$24*INDEX($FB$49:$FB$52,MATCH(X483,$FA$49:$FA$52,))/3,0)+IF(CA483="自身",#REF!/3,0)),0)+IF(BZ483="te",CB483*(1-$FI$27)*($FA$20-1)*$FB$7/$FB$13*(+IF(CA483="全员",$FA$19*$FA$24/(1+($FA$20-1)*$FA$19),0)+IF(CA483="同作战",$FA$19*$FA$24/(1+($FA$20-1)*$FA$19),0)+IF(CA483="仲间",$FA$19*$FA$24*2/3/(1+($FA$20-1)*$FA$19),0)+IF(CA483="同属性",$FA$19*$FA$24*$FA$37/3/(1+($FA$20-1)*$FA$19),0)+IF(CA483="同年级",$FA$19*$FA$24*$FA$40/3/(1+($FA$20-1)*$FA$19),0)+IF(CA483="同学校",$FA$19*$FA$24*$FA$43/3/(1+($FA$20-1)*$FA$19),0)+IF(CA483="同小队",$FA$19*$FA$24*$FA$46/3/(1+($FA$20-1)*$FA$19),0)+IF(CA483="同type",$FA$19*$FA$24*INDEX($FB$49:$FB$52,MATCH(X483,$FA$49:$FA$52,))/3/(1+($FA$20-1)*$FA$19),0)+IF(CA483="自身",$FA$19*#REF!/3/(1+(BH483-1)*$BD483),0)),0)</f>
        <v>0</v>
      </c>
      <c r="CE483" s="420">
        <f t="shared" si="641"/>
        <v>0</v>
      </c>
      <c r="CF483" s="436">
        <f t="shared" si="642"/>
        <v>0</v>
      </c>
      <c r="CG483" s="423">
        <f t="shared" si="643"/>
        <v>0</v>
      </c>
      <c r="CH483" s="433">
        <f t="shared" si="644"/>
        <v>0</v>
      </c>
      <c r="CI483" s="437" t="s">
        <v>162</v>
      </c>
      <c r="CJ483" s="1114">
        <v>1</v>
      </c>
      <c r="CK483" s="439" t="s">
        <v>156</v>
      </c>
      <c r="CL483" s="439" t="s">
        <v>3184</v>
      </c>
      <c r="CM483" s="1119">
        <v>0.01</v>
      </c>
      <c r="CN483" s="1115"/>
      <c r="CO483" s="1115"/>
      <c r="CP483" s="1116">
        <f t="shared" si="645"/>
        <v>5.8776356400171421</v>
      </c>
      <c r="CQ483" s="1116">
        <f t="shared" si="646"/>
        <v>10.514437089363996</v>
      </c>
      <c r="CR483" s="1117">
        <f t="shared" si="647"/>
        <v>5.8776356400171421</v>
      </c>
      <c r="CS483" s="442">
        <f t="shared" si="648"/>
        <v>0</v>
      </c>
      <c r="CT483" s="432">
        <f t="shared" si="649"/>
        <v>8.0001151766899987</v>
      </c>
      <c r="CU483" s="1101">
        <f t="shared" si="650"/>
        <v>367.35222750107135</v>
      </c>
      <c r="CV483" s="1108">
        <f t="shared" si="682"/>
        <v>438.10154539016651</v>
      </c>
      <c r="CW483" s="1097">
        <f t="shared" si="651"/>
        <v>367.35222750107135</v>
      </c>
      <c r="CX483" s="1097">
        <f t="shared" si="652"/>
        <v>367.35222750107135</v>
      </c>
      <c r="CY483" s="1110">
        <f t="shared" si="653"/>
        <v>367.35222750107135</v>
      </c>
      <c r="CZ483" s="437"/>
      <c r="DA483" s="438"/>
      <c r="DB483" s="439" t="s">
        <v>569</v>
      </c>
      <c r="DC483" s="439"/>
      <c r="DD483" s="443"/>
      <c r="DE483" s="411"/>
      <c r="DF483" s="411"/>
      <c r="DG483" s="1116">
        <f t="shared" si="654"/>
        <v>0</v>
      </c>
      <c r="DH483" s="1116">
        <f t="shared" si="655"/>
        <v>0</v>
      </c>
      <c r="DI483" s="1116">
        <f t="shared" si="656"/>
        <v>0</v>
      </c>
      <c r="DJ483" s="442">
        <f t="shared" si="657"/>
        <v>0</v>
      </c>
      <c r="DK483" s="432">
        <f t="shared" si="658"/>
        <v>0</v>
      </c>
      <c r="DL483" s="424">
        <f t="shared" si="659"/>
        <v>0</v>
      </c>
      <c r="DM483" s="420">
        <f t="shared" si="660"/>
        <v>0</v>
      </c>
      <c r="DN483" s="420">
        <f t="shared" si="661"/>
        <v>0</v>
      </c>
      <c r="DO483" s="420">
        <f t="shared" si="662"/>
        <v>0</v>
      </c>
      <c r="DP483" s="433">
        <f t="shared" si="663"/>
        <v>0</v>
      </c>
      <c r="DQ483" s="1113" t="s">
        <v>549</v>
      </c>
      <c r="DR483" s="444">
        <f t="shared" si="664"/>
        <v>0.33</v>
      </c>
      <c r="DS483" s="1124"/>
      <c r="DT483" s="1124" t="s">
        <v>179</v>
      </c>
      <c r="DU483" s="1093"/>
      <c r="DV483" s="1098">
        <f>IF($P483="","N/A",IF(P483=-1,INDEX('卡片raw data'!AN:AN,MATCH(D483,'卡片raw data'!$F:$F,)),0)+IF(AND(L483&lt;&gt;"party卡",P483&lt;=2,P483&gt;=0),INDEX('卡片raw data'!AP:AP,MATCH(D483,'卡片raw data'!$F:$F,)),0)+IF(OR(AND(L483="party卡",P483&lt;=1),AND(P483&lt;=4,L483&lt;&gt;"party卡",P483&gt;=3)),INDEX('卡片raw data'!AQ:AQ,MATCH(D483,'卡片raw data'!$F:$F,)),0)+IF(OR(P483=5,AND(L483="party卡",P483&gt;=2)),INDEX('卡片raw data'!AR:AR,MATCH(D483,'卡片raw data'!$F:$F,)),0))</f>
        <v>0.09</v>
      </c>
      <c r="DW483" s="1098">
        <f t="shared" si="665"/>
        <v>0.33</v>
      </c>
      <c r="DX483" s="1098">
        <f t="shared" si="666"/>
        <v>0.33</v>
      </c>
      <c r="DY483" s="1098">
        <f t="shared" si="667"/>
        <v>9.9000000000000008E-3</v>
      </c>
      <c r="DZ483" s="1098">
        <f t="shared" si="668"/>
        <v>9.8480249999999998E-3</v>
      </c>
      <c r="EA483" s="421">
        <f t="shared" si="669"/>
        <v>0</v>
      </c>
      <c r="EB483" s="445">
        <f t="shared" si="670"/>
        <v>60.337777499999987</v>
      </c>
      <c r="EC483" s="424">
        <f t="shared" si="671"/>
        <v>4455</v>
      </c>
      <c r="ED483" s="420">
        <f t="shared" si="672"/>
        <v>2462.0062499999999</v>
      </c>
      <c r="EE483" s="433">
        <f t="shared" si="683"/>
        <v>4455</v>
      </c>
      <c r="EF483" s="1115" t="s">
        <v>569</v>
      </c>
      <c r="EG483" s="444">
        <f t="shared" si="673"/>
        <v>0.33</v>
      </c>
      <c r="EH483" s="450"/>
      <c r="EI483" s="1093"/>
      <c r="EJ483" s="1093"/>
      <c r="EK483" s="420">
        <f>IF($P483="","N/A",IF(P483=-1,INDEX('卡片raw data'!AS:AS,MATCH(D483,'卡片raw data'!$F:$F,)),0)+IF(AND(L483&lt;&gt;"party卡",P483&lt;=2,P483&gt;=0),INDEX('卡片raw data'!AU:AU,MATCH(D483,'卡片raw data'!$F:$F,)),0)+IF(OR(AND(L483="party卡",P483&lt;=1),AND(P483&lt;=4,L483&lt;&gt;"party卡",P483&gt;=3)),INDEX('卡片raw data'!AV:AV,MATCH(D483,'卡片raw data'!$F:$F,)),0)+IF(OR(P483=5,AND(L483="party卡",P483&gt;=2)),INDEX('卡片raw data'!AW:AW,MATCH(D483,'卡片raw data'!$F:$F,)),0))</f>
        <v>0</v>
      </c>
      <c r="EL483" s="1098">
        <f t="shared" si="674"/>
        <v>0.33</v>
      </c>
      <c r="EM483" s="1098">
        <f t="shared" si="675"/>
        <v>0.33</v>
      </c>
      <c r="EN483" s="1097">
        <f t="shared" si="676"/>
        <v>0</v>
      </c>
      <c r="EO483" s="1097">
        <f t="shared" si="677"/>
        <v>0</v>
      </c>
      <c r="EP483" s="421">
        <f t="shared" si="678"/>
        <v>0</v>
      </c>
      <c r="EQ483" s="445">
        <f t="shared" si="679"/>
        <v>0</v>
      </c>
      <c r="ER483" s="424">
        <f t="shared" si="680"/>
        <v>0</v>
      </c>
      <c r="ES483" s="420">
        <f t="shared" si="681"/>
        <v>0</v>
      </c>
      <c r="ET483" s="446">
        <f t="shared" si="684"/>
        <v>0</v>
      </c>
    </row>
    <row r="484" spans="2:150" ht="16.5" customHeight="1">
      <c r="B484" s="448" t="str">
        <f>INDEX('卡片raw data'!B:B,MATCH($D484,'卡片raw data'!$F:$F,))</f>
        <v>三单黛</v>
      </c>
      <c r="C484" s="449" t="s">
        <v>3188</v>
      </c>
      <c r="D484" s="408">
        <v>481</v>
      </c>
      <c r="E484" s="477">
        <v>401042003</v>
      </c>
      <c r="F484" s="409" t="str">
        <f>INDEX('卡片raw data'!C:C,MATCH($D484,'卡片raw data'!$F:$F,))</f>
        <v>SR</v>
      </c>
      <c r="G484" s="414" t="s">
        <v>3189</v>
      </c>
      <c r="H484" s="411">
        <f>IFERROR(INDEX(绊状态确认!C:C,MATCH($G484,绊状态确认!$B:$B,)),"")</f>
        <v>104</v>
      </c>
      <c r="I484" s="450" t="str">
        <f>IFERROR(INDEX(绊状态确认!D:D,MATCH($G484,绊状态确认!$B:$B,)),"")</f>
        <v>水</v>
      </c>
      <c r="J484" s="450" t="str">
        <f>IFERROR(INDEX(绊状态确认!E:E,MATCH($G484,绊状态确认!$B:$B,)),"")</f>
        <v>3年级</v>
      </c>
      <c r="K484" s="451" t="str">
        <f>IFERROR(INDEX(绊状态确认!F:F,MATCH($G484,绊状态确认!$B:$B,)),"")</f>
        <v>AZALEA</v>
      </c>
      <c r="L484" s="414" t="str">
        <f>INDEX('卡片raw data'!E:E,MATCH($D484,'卡片raw data'!$F:$F,))</f>
        <v>卡池卡</v>
      </c>
      <c r="M484" s="478">
        <v>44366</v>
      </c>
      <c r="N484" s="479">
        <v>42</v>
      </c>
      <c r="O484" s="410" t="str">
        <f>INDEX('卡片raw data'!D:D,MATCH($D484,'卡片raw data'!$F:$F,))</f>
        <v>sk</v>
      </c>
      <c r="P484" s="1126">
        <v>5</v>
      </c>
      <c r="Q484" s="418">
        <f t="shared" si="600"/>
        <v>28215.124039995932</v>
      </c>
      <c r="R484" s="419">
        <f t="shared" si="601"/>
        <v>0.32800000000000001</v>
      </c>
      <c r="S484" s="420">
        <f t="shared" si="602"/>
        <v>17730.58715685222</v>
      </c>
      <c r="T484" s="421">
        <f t="shared" si="603"/>
        <v>0.88600000000000001</v>
      </c>
      <c r="U484" s="422">
        <f t="shared" si="604"/>
        <v>10.229850592872857</v>
      </c>
      <c r="V484" s="423">
        <f t="shared" si="605"/>
        <v>31028.265996350303</v>
      </c>
      <c r="W484" s="424">
        <f t="shared" si="606"/>
        <v>6196.9163354358352</v>
      </c>
      <c r="X484" s="419">
        <f t="shared" si="607"/>
        <v>7.1999999999999995E-2</v>
      </c>
      <c r="Y484" s="420">
        <f t="shared" si="608"/>
        <v>813.14195635437136</v>
      </c>
      <c r="Z484" s="425">
        <f t="shared" si="609"/>
        <v>10.229850592872857</v>
      </c>
      <c r="AA484" s="426">
        <f t="shared" si="610"/>
        <v>7010.0582917902066</v>
      </c>
      <c r="AB484" s="424">
        <f t="shared" si="611"/>
        <v>6196.9163354358352</v>
      </c>
      <c r="AC484" s="427">
        <f t="shared" si="612"/>
        <v>7.1999999999999995E-2</v>
      </c>
      <c r="AD484" s="428">
        <f t="shared" si="613"/>
        <v>8.7696386931818179E-2</v>
      </c>
      <c r="AE484" s="516">
        <f t="shared" si="614"/>
        <v>37.775302247159964</v>
      </c>
      <c r="AF484" s="1130">
        <f t="shared" si="615"/>
        <v>0</v>
      </c>
      <c r="AG484" s="420">
        <f t="shared" si="616"/>
        <v>0</v>
      </c>
      <c r="AH484" s="420">
        <f t="shared" si="617"/>
        <v>0</v>
      </c>
      <c r="AI484" s="1097">
        <f t="shared" si="618"/>
        <v>0</v>
      </c>
      <c r="AJ484" s="420">
        <f t="shared" si="619"/>
        <v>0</v>
      </c>
      <c r="AK484" s="518">
        <f t="shared" si="620"/>
        <v>0</v>
      </c>
      <c r="AL484" s="429">
        <f>IF($P484="","N/A",(IF($P484=-1,INDEX('卡片raw data'!S:S,MATCH($D484,'卡片raw data'!$F:$F,)),0)+IF($P484=0,INDEX('卡片raw data'!V:V,MATCH($D484,'卡片raw data'!$F:$F,)),0)+IF($P484=1,INDEX('卡片raw data'!Y:Y,MATCH($D484,'卡片raw data'!$F:$F,)),0)+IF($P484=2,INDEX('卡片raw data'!AB:AB,MATCH($D484,'卡片raw data'!$F:$F,)),0)+IF($P484=3,INDEX('卡片raw data'!AE:AE,MATCH($D484,'卡片raw data'!$F:$F,)),0)+IF($P484=4,INDEX('卡片raw data'!AH:AH,MATCH($D484,'卡片raw data'!$F:$F,)),0)+IF($P484=5,INDEX('卡片raw data'!AK:AK,MATCH($D484,'卡片raw data'!$F:$F,)),0)+INDEX('卡片raw data'!S:S,MATCH($D484,'卡片raw data'!$F:$F,))*(IF($F484="UR",0.04,0.033))*(IF($F484="UR",INDEX(绊状态确认!$S:$S,MATCH($G484,绊状态确认!$B:$B,))/2-40)+IF($F484="SR",INDEX(绊状态确认!$R:$R,MATCH($G484,绊状态确认!$B:$B,))/4-15))+IF($F484="R",INDEX(绊状态确认!$Q:$Q,MATCH($G484,绊状态确认!$B:$B,))/6-40/6)))*(INDEX(绊状态确认!$H:$H,MATCH($G484,绊状态确认!$B:$B,))+INDEX(绊状态确认!J:J,MATCH($G484,绊状态确认!$B:$B,)))</f>
        <v>8207.6990015999982</v>
      </c>
      <c r="AM484" s="429">
        <f>IF($P484="","N/A",(IF($P484=-1,INDEX('卡片raw data'!T:T,MATCH($D484,'卡片raw data'!$F:$F,)),0)+IF($P484=0,INDEX('卡片raw data'!W:W,MATCH($D484,'卡片raw data'!$F:$F,)),0)+IF($P484=1,INDEX('卡片raw data'!Z:Z,MATCH($D484,'卡片raw data'!$F:$F,)),0)+IF($P484=2,INDEX('卡片raw data'!AC:AC,MATCH($D484,'卡片raw data'!$F:$F,)),0)+IF($P484=3,INDEX('卡片raw data'!AF:AF,MATCH($D484,'卡片raw data'!$F:$F,)),0)+IF($P484=4,INDEX('卡片raw data'!AI:AI,MATCH($D484,'卡片raw data'!$F:$F,)),0)+IF($P484=5,INDEX('卡片raw data'!AL:AL,MATCH($D484,'卡片raw data'!$F:$F,)),0)+INDEX('卡片raw data'!T:T,MATCH($D484,'卡片raw data'!$F:$F,))*(IF($F484="UR",0.04,0.033))*(IF($F484="UR",INDEX(绊状态确认!$S:$S,MATCH($G484,绊状态确认!$B:$B,))/2-40)+IF($F484="SR",INDEX(绊状态确认!$R:$R,MATCH($G484,绊状态确认!$B:$B,))/4-15))+IF($F484="R",INDEX(绊状态确认!$Q:$Q,MATCH($G484,绊状态确认!$B:$B,))/6-40/6)))*(INDEX(绊状态确认!$H:$H,MATCH($G484,绊状态确认!$B:$B,))+INDEX(绊状态确认!K:K,MATCH($G484,绊状态确认!$B:$B,)))</f>
        <v>5013.8172551999996</v>
      </c>
      <c r="AN484" s="429">
        <f>IF($P484="","N/A",(IF($P484=-1,INDEX('卡片raw data'!U:U,MATCH($D484,'卡片raw data'!$F:$F,)),0)+IF($P484=0,INDEX('卡片raw data'!X:X,MATCH($D484,'卡片raw data'!$F:$F,)),0)+IF($P484=1,INDEX('卡片raw data'!AA:AA,MATCH($D484,'卡片raw data'!$F:$F,)),0)+IF($P484=2,INDEX('卡片raw data'!AD:AD,MATCH($D484,'卡片raw data'!$F:$F,)),0)+IF($P484=3,INDEX('卡片raw data'!AG:AG,MATCH($D484,'卡片raw data'!$F:$F,)),0)+IF($P484=4,INDEX('卡片raw data'!AJ:AJ,MATCH($D484,'卡片raw data'!$F:$F,)),0)+IF($P484=5,INDEX('卡片raw data'!AM:AM,MATCH($D484,'卡片raw data'!$F:$F,)),0)+INDEX('卡片raw data'!U:U,MATCH($D484,'卡片raw data'!$F:$F,))*(IF($F484="UR",0.04,0.033))*(IF($F484="UR",INDEX(绊状态确认!$S:$S,MATCH($G484,绊状态确认!$B:$B,))/2-40)+IF($F484="SR",INDEX(绊状态确认!$R:$R,MATCH($G484,绊状态确认!$B:$B,))/4-15))+IF($F484="R",INDEX(绊状态确认!$Q:$Q,MATCH($G484,绊状态确认!$B:$B,))/6-40/6)))*(INDEX(绊状态确认!$H:$H,MATCH($G484,绊状态确认!$B:$B,))+INDEX(绊状态确认!L:L,MATCH($G484,绊状态确认!$B:$B,)))</f>
        <v>9575.8132343999987</v>
      </c>
      <c r="AO484" s="430">
        <f t="shared" si="621"/>
        <v>1</v>
      </c>
      <c r="AP484" s="556">
        <f>1+(INDEX(绊状态确认!$T:$T,MATCH($G484,绊状态确认!$B:$B,))+0.2)*$AO484</f>
        <v>1.3</v>
      </c>
      <c r="AQ484" s="431">
        <f t="shared" si="622"/>
        <v>24795.209879199996</v>
      </c>
      <c r="AR484" s="420">
        <f>(AM484*(1+$EX$9)+$EX$35)*(1+(INDEX(绊状态确认!$T:$T,MATCH($G484,绊状态确认!$B:$B,))+0.2)*AO484)*IF(J484=$FF$17,1+$FE$17,1)*IF(I484=$FF$14,1+$FE$14,1)</f>
        <v>9547.8605533480004</v>
      </c>
      <c r="AS484" s="420">
        <f>(AN484*(1+$EX$10)+$EX$36)*(1+(INDEX(绊状态确认!$T:$T,MATCH($G484,绊状态确认!$B:$B,))+0.2)*AO484)*IF(J484=$FF$17,1+$FE$17,1)*IF(I484=$FF$14,1+$FE$14,1)</f>
        <v>18371.840785427998</v>
      </c>
      <c r="AT484" s="412">
        <f>IF(AND(INDEX('卡片raw data'!AK:AK,MATCH($D484,'卡片raw data'!$F:$F,))&lt;INDEX('卡片raw data'!AM:AM,MATCH($D484,'卡片raw data'!$F:$F,)),INDEX('卡片raw data'!AL:AL,MATCH($D484,'卡片raw data'!$F:$F,))&lt;INDEX('卡片raw data'!AM:AM,MATCH($D484,'卡片raw data'!$F:$F,))),1,0)</f>
        <v>1</v>
      </c>
      <c r="AU484" s="421">
        <f>MIN(AT484*0.15+AS484*0.00003+INDEX(绊状态确认!M:M,MATCH($G484,绊状态确认!$B:$B,)),1)</f>
        <v>0.73115522356284002</v>
      </c>
      <c r="AV484" s="432">
        <f>(INDEX(绊状态确认!$N:$N,MATCH($G484,绊状态确认!$B:$B,))+1.5)*$EW$21</f>
        <v>2.6599999999999997</v>
      </c>
      <c r="AW484" s="424">
        <f t="shared" si="623"/>
        <v>28506.728824378519</v>
      </c>
      <c r="AX484" s="420">
        <f t="shared" si="624"/>
        <v>813.14195635437113</v>
      </c>
      <c r="AY484" s="433">
        <f t="shared" si="625"/>
        <v>29319.87078073289</v>
      </c>
      <c r="AZ484" s="429">
        <f t="shared" si="626"/>
        <v>18605.013053119997</v>
      </c>
      <c r="BA484" s="431">
        <f t="shared" si="627"/>
        <v>22326.015663743998</v>
      </c>
      <c r="BB484" s="420">
        <f>(AM484*(1+$FB$9)+$FB$35)*(1+(INDEX(绊状态确认!$T:$T,MATCH($G484,绊状态确认!$B:$B,))+0.2)*AO484)*IF(J484=$FF$17,1+$FE$17,1)*IF(I484=$FF$14,1+$FE$14,1)*(1+$FE$15)</f>
        <v>9547.8605533480004</v>
      </c>
      <c r="BC484" s="420">
        <f>(AN484*(1+$FB$10)+$FB$36)*(1+(INDEX(绊状态确认!$T:$T,MATCH($G484,绊状态确认!$B:$B,))+0.2)*AO484)*IF(J484=$FF$17,1+$FE$17,1)*IF(I484=$FF$14,1+$FE$14,1)*(1+$FE$15)</f>
        <v>18371.840785427998</v>
      </c>
      <c r="BD484" s="427">
        <f>MIN(AT484*0.15+BC484*0.00003+INDEX(绊状态确认!M:M,MATCH($G484,绊状态确认!$B:$B,)),1)</f>
        <v>0.73115522356284002</v>
      </c>
      <c r="BE484" s="432">
        <f>(INDEX(绊状态确认!$N:$N,MATCH($G484,绊状态确认!$B:$B,))+1.5)</f>
        <v>1.9</v>
      </c>
      <c r="BF484" s="645">
        <f t="array" ref="BF484">SUMPRODUCT(IF(AZ484*AP484*$FI$16:$FI$23*$FA$22&gt;=$FI$24,$FI$24,AZ484*AP484*$FI$16:$FI$23*$FA$22),$FJ$16:$FJ$23)</f>
        <v>37005.370962655674</v>
      </c>
      <c r="BG484" s="453">
        <f t="array" ref="BG484">SUMPRODUCT(IF(BE484*AZ484*AP484*$FI$16:$FI$23*$FA$22&gt;=$FI$24,$FI$24,BE484*AZ484*AP484*$FI$16:$FI$23*$FA$22),$FJ$16:$FJ$23)</f>
        <v>59488.595560301605</v>
      </c>
      <c r="BH484" s="433">
        <f t="shared" si="628"/>
        <v>17814.699356587011</v>
      </c>
      <c r="BI484" s="434">
        <f>IF(O484="vo",$EW$26/$EW$24*0.05,0)+IF(O484="sk",-$EW$26/$EW$24*(0.05-INDEX(绊状态确认!W:W,MATCH($G484,绊状态确认!$B:$B,)))+0.05*$EW$28,0)+IF(O484="sp",0.05*$EW$32*$EW$30*(1-$EW$33)-(0.05-INDEX(绊状态确认!V:V,MATCH($G484,绊状态确认!$B:$B,)))*$EW$28,0)+IF(O484="gd",-(0.05-INDEX(绊状态确认!X:X,MATCH($G484,绊状态确认!$B:$B,)))*$EW$32*$EW$30*(1-$EW$33),0)</f>
        <v>-6253.6726349699375</v>
      </c>
      <c r="BJ484" s="420">
        <f>IF(O484="vo",0.05*(1-$FI$26)*$FA$24,0)+IF(O484="sk",-(0.05-INDEX(绊状态确认!W:W,MATCH($G484,绊状态确认!$B:$B,)))*(1-$FI$26)*$FA$24+0.05*$FA$26,0)+IF(O484="sp",0.05*$FA$32*$FA$27*(1-$FA$33)/$FA$30+0.05*$FA$29/$FA$69*$FA$27*(1-$FA$33)-(0.05-INDEX(绊状态确认!V:V,MATCH($G484,绊状态确认!$B:$B,)))*$FA$26,0)+IF(O484="gd",-(0.05-INDEX(绊状态确认!X:X,MATCH($G484,绊状态确认!$B:$B,)))*$FA$32*$FA$27*(1-$FA$33)/$FA$30-(0.05-INDEX(绊状态确认!X:X,MATCH($G484,绊状态确认!$B:$B,)))*$FA$29/$FA$69*$FA$27*(1-$FA$33),0)</f>
        <v>20.459096812499922</v>
      </c>
      <c r="BK484" s="433">
        <f>IF(O484="vo",$EW$26/$EW$24*0.05+$EW$26*(-HP($EW$62,$EW$65,$EW$64)+HP($EW$62,$EW$65,(1.05-INDEX(绊状态确认!U:U,MATCH($G484,绊状态确认!$B:$B,)))*$EW$64)),0)+IF(O484="sk",-$EW$26/$EW$24*(0.05-INDEX(绊状态确认!W:W,MATCH($G484,绊状态确认!$B:$B,)))+0.05*$EW$29,0)+IF(O484="sp",0.05*$EW$32*$EW$30*(1-$EW$33)-(0.05-INDEX(绊状态确认!V:V,MATCH($G484,绊状态确认!$B:$B,)))*$EW$29,0)+IF(O484="gd",-(0.05-INDEX(绊状态确认!X:X,MATCH($G484,绊状态确认!$B:$B,)))*$EW$32*$EW$30*(1-$EW$33)+$EW$26*(-HP($EW$62,$EW$65,$EW$64)+HP($EW$62,$EW$65,0.95*$EW$64)),0)</f>
        <v>-4253.6726349699375</v>
      </c>
      <c r="BL484" s="434">
        <f t="shared" si="629"/>
        <v>-1083.3333333333333</v>
      </c>
      <c r="BM484" s="433">
        <f t="shared" si="630"/>
        <v>-830.55555555555543</v>
      </c>
      <c r="BN484" s="437">
        <f t="shared" si="631"/>
        <v>3</v>
      </c>
      <c r="BO484" s="1108">
        <f t="shared" si="632"/>
        <v>4507.7214871259994</v>
      </c>
      <c r="BP484" s="1100">
        <f t="shared" si="633"/>
        <v>221.34103209030098</v>
      </c>
      <c r="BQ484" s="437" t="s">
        <v>1940</v>
      </c>
      <c r="BR484" s="450" t="s">
        <v>1947</v>
      </c>
      <c r="BS484" s="421">
        <f>IF($P484="","N/A",IF($P484=-1,INDEX('卡片raw data'!AX:AX,MATCH($D484,'卡片raw data'!$F:$F,)),0)+IF($L484="party卡",IF($P484=5,INDEX('卡片raw data'!BD:BD,MATCH($D484,'卡片raw data'!$F:$F,)),IF($P484&gt;=3,INDEX('卡片raw data'!BC:BC,MATCH($D484,'卡片raw data'!$F:$F,)),INDEX('卡片raw data'!BB:BB,MATCH($D484,'卡片raw data'!$F:$F,)))),IF(OR(AND($F484="UR",$P484=0),AND($F484="SR",$P484&gt;=0,$P484&lt;=2),AND($F484="R",$P484&gt;=0,$P484&lt;4)),INDEX('卡片raw data'!AZ:AZ,MATCH($D484,'卡片raw data'!$F:$F,)),0)+IF(OR(AND($F484="UR",$P484&gt;=1,$P484&lt;=4),AND($F484="SR",$P484&lt;=4,$P484&gt;=3),AND($F484="R",$P484=4)),INDEX('卡片raw data'!BA:BA,MATCH($D484,'卡片raw data'!$F:$F,)),0)+IF($P484=5,INDEX('卡片raw data'!BB:BB,MATCH($D484,'卡片raw data'!$F:$F,)),0)))</f>
        <v>2.1999999999999999E-2</v>
      </c>
      <c r="BT484" s="424">
        <f t="shared" si="634"/>
        <v>1652.8312119462</v>
      </c>
      <c r="BU484" s="420">
        <f t="shared" si="635"/>
        <v>81.158378433110371</v>
      </c>
      <c r="BV484" s="420">
        <f t="shared" si="636"/>
        <v>1652.8312119462</v>
      </c>
      <c r="BW484" s="436">
        <f t="shared" si="637"/>
        <v>0</v>
      </c>
      <c r="BX484" s="423">
        <f t="shared" si="638"/>
        <v>1652.8312119462</v>
      </c>
      <c r="BY484" s="433">
        <f t="shared" si="639"/>
        <v>1652.8312119462</v>
      </c>
      <c r="BZ484" s="1113" t="s">
        <v>569</v>
      </c>
      <c r="CA484" s="450"/>
      <c r="CB484" s="421">
        <f>IF($P484="","N/A",IF($P484=-1,INDEX('卡片raw data'!BE:BE,MATCH($D484,'卡片raw data'!$F:$F,)),0)+IF($L484="party卡",IF($P484=5,INDEX('卡片raw data'!BK:BK,MATCH($D484,'卡片raw data'!$F:$F,)),IF($P484&gt;=3,INDEX('卡片raw data'!BJ:BJ,MATCH($D484,'卡片raw data'!$F:$F,)),INDEX('卡片raw data'!BI:BI,MATCH($D484,'卡片raw data'!$F:$F,)))),IF(OR(AND($F484="UR",$P484=0),AND($F484="SR",$P484&gt;=0,$P484&lt;=2),AND($F484="R",$P484&gt;=0,$P484&lt;4)),INDEX('卡片raw data'!BG:BG,MATCH($D484,'卡片raw data'!$F:$F,)),0)+IF(OR(AND($F484="UR",$P484&gt;=1,$P484&lt;=4),AND($F484="SR",$P484&lt;=4,$P484&gt;=3),AND($F484="R",$P484=4)),INDEX('卡片raw data'!BH:BH,MATCH($D484,'卡片raw data'!$F:$F,)),0)+IF($P484=5,INDEX('卡片raw data'!BI:BI,MATCH($D484,'卡片raw data'!$F:$F,)),0)))</f>
        <v>0</v>
      </c>
      <c r="CC484" s="424">
        <f t="shared" si="640"/>
        <v>0</v>
      </c>
      <c r="CD484" s="420">
        <f>IF(BZ484="ap",CB484*(1-$FI$26)*$FB$5/$FB$11*(+IF(CA484="全员",$FA$24,0)+IF(CA484="同作战",$FA$24,0)+IF(CA484="仲间",$FA$24*2/3,0)+IF(CA484="同属性",$FA$24*$FA$37/3,0)+IF(CA484="同年级",$FA$24*$FA$40/3,0)+IF(CA484="同学校",$FA$24*$FA$43/3,0)+IF(CA484="同小队",$FA$24*$FA$46/3,0)+IF(CA484="同type",$FA$24*INDEX($FB$49:$FB$52,MATCH(X484,$FA$49:$FA$52,))/3,0)+IF(CA484="自身",#REF!/3,0)),0)+IF(BZ484="te",CB484*(1-$FI$27)*($FA$20-1)*$FB$7/$FB$13*(+IF(CA484="全员",$FA$19*$FA$24/(1+($FA$20-1)*$FA$19),0)+IF(CA484="同作战",$FA$19*$FA$24/(1+($FA$20-1)*$FA$19),0)+IF(CA484="仲间",$FA$19*$FA$24*2/3/(1+($FA$20-1)*$FA$19),0)+IF(CA484="同属性",$FA$19*$FA$24*$FA$37/3/(1+($FA$20-1)*$FA$19),0)+IF(CA484="同年级",$FA$19*$FA$24*$FA$40/3/(1+($FA$20-1)*$FA$19),0)+IF(CA484="同学校",$FA$19*$FA$24*$FA$43/3/(1+($FA$20-1)*$FA$19),0)+IF(CA484="同小队",$FA$19*$FA$24*$FA$46/3/(1+($FA$20-1)*$FA$19),0)+IF(CA484="同type",$FA$19*$FA$24*INDEX($FB$49:$FB$52,MATCH(X484,$FA$49:$FA$52,))/3/(1+($FA$20-1)*$FA$19),0)+IF(CA484="自身",$FA$19*#REF!/3/(1+(BH484-1)*$BD484),0)),0)</f>
        <v>0</v>
      </c>
      <c r="CE484" s="420">
        <f t="shared" si="641"/>
        <v>0</v>
      </c>
      <c r="CF484" s="436">
        <f t="shared" si="642"/>
        <v>0</v>
      </c>
      <c r="CG484" s="423">
        <f t="shared" si="643"/>
        <v>0</v>
      </c>
      <c r="CH484" s="433">
        <f t="shared" si="644"/>
        <v>0</v>
      </c>
      <c r="CI484" s="437" t="s">
        <v>170</v>
      </c>
      <c r="CJ484" s="438">
        <v>0.3</v>
      </c>
      <c r="CK484" s="439" t="s">
        <v>295</v>
      </c>
      <c r="CL484" s="439" t="s">
        <v>161</v>
      </c>
      <c r="CM484" s="443">
        <v>0.08</v>
      </c>
      <c r="CN484" s="439">
        <v>10</v>
      </c>
      <c r="CO484" s="1092"/>
      <c r="CP484" s="1118">
        <f t="shared" si="645"/>
        <v>8.571428571428571E-4</v>
      </c>
      <c r="CQ484" s="1118">
        <f t="shared" si="646"/>
        <v>1.3333333333333333E-3</v>
      </c>
      <c r="CR484" s="1118">
        <f t="shared" si="647"/>
        <v>8.571428571428571E-4</v>
      </c>
      <c r="CS484" s="442">
        <f t="shared" si="648"/>
        <v>6.1499999999999992E-2</v>
      </c>
      <c r="CT484" s="432">
        <f t="shared" si="649"/>
        <v>0</v>
      </c>
      <c r="CU484" s="1101">
        <f t="shared" si="650"/>
        <v>36.36363636363636</v>
      </c>
      <c r="CV484" s="1108">
        <f t="shared" si="682"/>
        <v>30.303030303030301</v>
      </c>
      <c r="CW484" s="420">
        <f t="shared" si="651"/>
        <v>36.36363636363636</v>
      </c>
      <c r="CX484" s="420">
        <f t="shared" si="652"/>
        <v>36.36363636363636</v>
      </c>
      <c r="CY484" s="433">
        <f t="shared" si="653"/>
        <v>36.36363636363636</v>
      </c>
      <c r="CZ484" s="437"/>
      <c r="DA484" s="438"/>
      <c r="DB484" s="439" t="s">
        <v>569</v>
      </c>
      <c r="DC484" s="439"/>
      <c r="DD484" s="443"/>
      <c r="DE484" s="411"/>
      <c r="DF484" s="411"/>
      <c r="DG484" s="1116">
        <f t="shared" si="654"/>
        <v>0</v>
      </c>
      <c r="DH484" s="1116">
        <f t="shared" si="655"/>
        <v>0</v>
      </c>
      <c r="DI484" s="1116">
        <f t="shared" si="656"/>
        <v>0</v>
      </c>
      <c r="DJ484" s="442">
        <f t="shared" si="657"/>
        <v>0</v>
      </c>
      <c r="DK484" s="432">
        <f t="shared" si="658"/>
        <v>0</v>
      </c>
      <c r="DL484" s="424">
        <f t="shared" si="659"/>
        <v>0</v>
      </c>
      <c r="DM484" s="420">
        <f t="shared" si="660"/>
        <v>0</v>
      </c>
      <c r="DN484" s="420">
        <f t="shared" si="661"/>
        <v>0</v>
      </c>
      <c r="DO484" s="420">
        <f t="shared" si="662"/>
        <v>0</v>
      </c>
      <c r="DP484" s="433">
        <f t="shared" si="663"/>
        <v>0</v>
      </c>
      <c r="DQ484" s="437" t="s">
        <v>2160</v>
      </c>
      <c r="DR484" s="444">
        <f t="shared" si="664"/>
        <v>0.3</v>
      </c>
      <c r="DS484" s="450">
        <v>5</v>
      </c>
      <c r="DT484" s="1124" t="s">
        <v>2127</v>
      </c>
      <c r="DU484" s="1093" t="s">
        <v>544</v>
      </c>
      <c r="DV484" s="1098">
        <f>IF($P484="","N/A",IF(P484=-1,INDEX('卡片raw data'!AN:AN,MATCH(D484,'卡片raw data'!$F:$F,)),0)+IF(AND(L484&lt;&gt;"party卡",P484&lt;=2,P484&gt;=0),INDEX('卡片raw data'!AP:AP,MATCH(D484,'卡片raw data'!$F:$F,)),0)+IF(OR(AND(L484="party卡",P484&lt;=1),AND(P484&lt;=4,L484&lt;&gt;"party卡",P484&gt;=3)),INDEX('卡片raw data'!AQ:AQ,MATCH(D484,'卡片raw data'!$F:$F,)),0)+IF(OR(P484=5,AND(L484="party卡",P484&gt;=2)),INDEX('卡片raw data'!AR:AR,MATCH(D484,'卡片raw data'!$F:$F,)),0))</f>
        <v>0.04</v>
      </c>
      <c r="DW484" s="1098">
        <f t="shared" si="665"/>
        <v>0.3</v>
      </c>
      <c r="DX484" s="1098">
        <f t="shared" si="666"/>
        <v>0.3</v>
      </c>
      <c r="DY484" s="1098">
        <f t="shared" si="667"/>
        <v>0.02</v>
      </c>
      <c r="DZ484" s="1098">
        <f t="shared" si="668"/>
        <v>1.7299999999999999E-2</v>
      </c>
      <c r="EA484" s="421">
        <f t="shared" si="669"/>
        <v>7.2021624999999987E-3</v>
      </c>
      <c r="EB484" s="445">
        <f t="shared" si="670"/>
        <v>0</v>
      </c>
      <c r="EC484" s="424">
        <f t="shared" si="671"/>
        <v>848.4848484848485</v>
      </c>
      <c r="ED484" s="420">
        <f t="shared" si="672"/>
        <v>393.18181818181819</v>
      </c>
      <c r="EE484" s="433">
        <f t="shared" si="683"/>
        <v>848.4848484848485</v>
      </c>
      <c r="EF484" s="1115" t="s">
        <v>569</v>
      </c>
      <c r="EG484" s="444">
        <f t="shared" si="673"/>
        <v>0.3</v>
      </c>
      <c r="EH484" s="450"/>
      <c r="EI484" s="1093"/>
      <c r="EJ484" s="1093"/>
      <c r="EK484" s="1097">
        <f>IF($P484="","N/A",IF(P484=-1,INDEX('卡片raw data'!AS:AS,MATCH(D484,'卡片raw data'!$F:$F,)),0)+IF(AND(L484&lt;&gt;"party卡",P484&lt;=2,P484&gt;=0),INDEX('卡片raw data'!AU:AU,MATCH(D484,'卡片raw data'!$F:$F,)),0)+IF(OR(AND(L484="party卡",P484&lt;=1),AND(P484&lt;=4,L484&lt;&gt;"party卡",P484&gt;=3)),INDEX('卡片raw data'!AV:AV,MATCH(D484,'卡片raw data'!$F:$F,)),0)+IF(OR(P484=5,AND(L484="party卡",P484&gt;=2)),INDEX('卡片raw data'!AW:AW,MATCH(D484,'卡片raw data'!$F:$F,)),0))</f>
        <v>0</v>
      </c>
      <c r="EL484" s="1098">
        <f t="shared" si="674"/>
        <v>0.3</v>
      </c>
      <c r="EM484" s="1098">
        <f t="shared" si="675"/>
        <v>0.3</v>
      </c>
      <c r="EN484" s="1097">
        <f t="shared" si="676"/>
        <v>0</v>
      </c>
      <c r="EO484" s="1097">
        <f t="shared" si="677"/>
        <v>0</v>
      </c>
      <c r="EP484" s="421">
        <f t="shared" si="678"/>
        <v>0</v>
      </c>
      <c r="EQ484" s="445">
        <f t="shared" si="679"/>
        <v>0</v>
      </c>
      <c r="ER484" s="424">
        <f t="shared" si="680"/>
        <v>0</v>
      </c>
      <c r="ES484" s="420">
        <f t="shared" si="681"/>
        <v>0</v>
      </c>
      <c r="ET484" s="446">
        <f t="shared" si="684"/>
        <v>0</v>
      </c>
    </row>
    <row r="485" spans="2:150" ht="16.5" customHeight="1">
      <c r="B485" s="448" t="str">
        <f>INDEX('卡片raw data'!B:B,MATCH($D485,'卡片raw data'!$F:$F,))</f>
        <v>婚纱妮</v>
      </c>
      <c r="C485" s="449" t="s">
        <v>3179</v>
      </c>
      <c r="D485" s="408">
        <v>482</v>
      </c>
      <c r="E485" s="477">
        <v>400093004</v>
      </c>
      <c r="F485" s="409" t="str">
        <f>INDEX('卡片raw data'!C:C,MATCH($D485,'卡片raw data'!$F:$F,))</f>
        <v>UR</v>
      </c>
      <c r="G485" s="414" t="s">
        <v>3180</v>
      </c>
      <c r="H485" s="411">
        <f>IFERROR(INDEX(绊状态确认!C:C,MATCH($G485,绊状态确认!$B:$B,)),"")</f>
        <v>9</v>
      </c>
      <c r="I485" s="450" t="str">
        <f>IFERROR(INDEX(绊状态确认!D:D,MATCH($G485,绊状态确认!$B:$B,)),"")</f>
        <v>缪</v>
      </c>
      <c r="J485" s="450" t="str">
        <f>IFERROR(INDEX(绊状态确认!E:E,MATCH($G485,绊状态确认!$B:$B,)),"")</f>
        <v>3年级</v>
      </c>
      <c r="K485" s="451" t="str">
        <f>IFERROR(INDEX(绊状态确认!F:F,MATCH($G485,绊状态确认!$B:$B,)),"")</f>
        <v>BiBi</v>
      </c>
      <c r="L485" s="414" t="str">
        <f>INDEX('卡片raw data'!E:E,MATCH($D485,'卡片raw data'!$F:$F,))</f>
        <v>卡池卡</v>
      </c>
      <c r="M485" s="478">
        <v>44366</v>
      </c>
      <c r="N485" s="479">
        <v>42</v>
      </c>
      <c r="O485" s="410" t="str">
        <f>INDEX('卡片raw data'!D:D,MATCH($D485,'卡片raw data'!$F:$F,))</f>
        <v>sk</v>
      </c>
      <c r="P485" s="1126">
        <v>5</v>
      </c>
      <c r="Q485" s="418">
        <f t="shared" si="600"/>
        <v>31730.197363971205</v>
      </c>
      <c r="R485" s="419">
        <f t="shared" si="601"/>
        <v>0.36799999999999999</v>
      </c>
      <c r="S485" s="420">
        <f t="shared" si="602"/>
        <v>19311.581979520168</v>
      </c>
      <c r="T485" s="421">
        <f t="shared" si="603"/>
        <v>0.96499999999999997</v>
      </c>
      <c r="U485" s="422">
        <f t="shared" si="604"/>
        <v>18.383851484142859</v>
      </c>
      <c r="V485" s="423">
        <f t="shared" si="605"/>
        <v>35216.218046819769</v>
      </c>
      <c r="W485" s="424">
        <f t="shared" si="606"/>
        <v>6761.8326596605057</v>
      </c>
      <c r="X485" s="419">
        <f t="shared" si="607"/>
        <v>7.8E-2</v>
      </c>
      <c r="Y485" s="420">
        <f t="shared" si="608"/>
        <v>1486.0206828485661</v>
      </c>
      <c r="Z485" s="425">
        <f t="shared" si="609"/>
        <v>18.383851484142859</v>
      </c>
      <c r="AA485" s="426">
        <f t="shared" si="610"/>
        <v>8247.8533425090718</v>
      </c>
      <c r="AB485" s="424">
        <f t="shared" si="611"/>
        <v>9015.9438321950147</v>
      </c>
      <c r="AC485" s="427">
        <f t="shared" si="612"/>
        <v>0.104</v>
      </c>
      <c r="AD485" s="428">
        <f t="shared" si="613"/>
        <v>3.1672291619318185E-2</v>
      </c>
      <c r="AE485" s="516">
        <f t="shared" si="614"/>
        <v>16.77125770474585</v>
      </c>
      <c r="AF485" s="1130">
        <f t="shared" si="615"/>
        <v>0</v>
      </c>
      <c r="AG485" s="420">
        <f t="shared" si="616"/>
        <v>0</v>
      </c>
      <c r="AH485" s="420">
        <f t="shared" si="617"/>
        <v>0</v>
      </c>
      <c r="AI485" s="1097">
        <f t="shared" si="618"/>
        <v>0</v>
      </c>
      <c r="AJ485" s="420">
        <f t="shared" si="619"/>
        <v>0</v>
      </c>
      <c r="AK485" s="518">
        <f t="shared" si="620"/>
        <v>0</v>
      </c>
      <c r="AL485" s="429">
        <f>IF($P485="","N/A",(IF($P485=-1,INDEX('卡片raw data'!S:S,MATCH($D485,'卡片raw data'!$F:$F,)),0)+IF($P485=0,INDEX('卡片raw data'!V:V,MATCH($D485,'卡片raw data'!$F:$F,)),0)+IF($P485=1,INDEX('卡片raw data'!Y:Y,MATCH($D485,'卡片raw data'!$F:$F,)),0)+IF($P485=2,INDEX('卡片raw data'!AB:AB,MATCH($D485,'卡片raw data'!$F:$F,)),0)+IF($P485=3,INDEX('卡片raw data'!AE:AE,MATCH($D485,'卡片raw data'!$F:$F,)),0)+IF($P485=4,INDEX('卡片raw data'!AH:AH,MATCH($D485,'卡片raw data'!$F:$F,)),0)+IF($P485=5,INDEX('卡片raw data'!AK:AK,MATCH($D485,'卡片raw data'!$F:$F,)),0)+INDEX('卡片raw data'!S:S,MATCH($D485,'卡片raw data'!$F:$F,))*(IF($F485="UR",0.04,0.033))*(IF($F485="UR",INDEX(绊状态确认!$S:$S,MATCH($G485,绊状态确认!$B:$B,))/2-40)+IF($F485="SR",INDEX(绊状态确认!$R:$R,MATCH($G485,绊状态确认!$B:$B,))/4-15))+IF($F485="R",INDEX(绊状态确认!$Q:$Q,MATCH($G485,绊状态确认!$B:$B,))/6-40/6)))*(INDEX(绊状态确认!$H:$H,MATCH($G485,绊状态确认!$B:$B,))+INDEX(绊状态确认!J:J,MATCH($G485,绊状态确认!$B:$B,)))</f>
        <v>6428.3875199999993</v>
      </c>
      <c r="AM485" s="429">
        <f>IF($P485="","N/A",(IF($P485=-1,INDEX('卡片raw data'!T:T,MATCH($D485,'卡片raw data'!$F:$F,)),0)+IF($P485=0,INDEX('卡片raw data'!W:W,MATCH($D485,'卡片raw data'!$F:$F,)),0)+IF($P485=1,INDEX('卡片raw data'!Z:Z,MATCH($D485,'卡片raw data'!$F:$F,)),0)+IF($P485=2,INDEX('卡片raw data'!AC:AC,MATCH($D485,'卡片raw data'!$F:$F,)),0)+IF($P485=3,INDEX('卡片raw data'!AF:AF,MATCH($D485,'卡片raw data'!$F:$F,)),0)+IF($P485=4,INDEX('卡片raw data'!AI:AI,MATCH($D485,'卡片raw data'!$F:$F,)),0)+IF($P485=5,INDEX('卡片raw data'!AL:AL,MATCH($D485,'卡片raw data'!$F:$F,)),0)+INDEX('卡片raw data'!T:T,MATCH($D485,'卡片raw data'!$F:$F,))*(IF($F485="UR",0.04,0.033))*(IF($F485="UR",INDEX(绊状态确认!$S:$S,MATCH($G485,绊状态确认!$B:$B,))/2-40)+IF($F485="SR",INDEX(绊状态确认!$R:$R,MATCH($G485,绊状态确认!$B:$B,))/4-15))+IF($F485="R",INDEX(绊状态确认!$Q:$Q,MATCH($G485,绊状态确认!$B:$B,))/6-40/6)))*(INDEX(绊状态确认!$H:$H,MATCH($G485,绊状态确认!$B:$B,))+INDEX(绊状态确认!K:K,MATCH($G485,绊状态确认!$B:$B,)))</f>
        <v>10589.20248</v>
      </c>
      <c r="AN485" s="429">
        <f>IF($P485="","N/A",(IF($P485=-1,INDEX('卡片raw data'!U:U,MATCH($D485,'卡片raw data'!$F:$F,)),0)+IF($P485=0,INDEX('卡片raw data'!X:X,MATCH($D485,'卡片raw data'!$F:$F,)),0)+IF($P485=1,INDEX('卡片raw data'!AA:AA,MATCH($D485,'卡片raw data'!$F:$F,)),0)+IF($P485=2,INDEX('卡片raw data'!AD:AD,MATCH($D485,'卡片raw data'!$F:$F,)),0)+IF($P485=3,INDEX('卡片raw data'!AG:AG,MATCH($D485,'卡片raw data'!$F:$F,)),0)+IF($P485=4,INDEX('卡片raw data'!AJ:AJ,MATCH($D485,'卡片raw data'!$F:$F,)),0)+IF($P485=5,INDEX('卡片raw data'!AM:AM,MATCH($D485,'卡片raw data'!$F:$F,)),0)+INDEX('卡片raw data'!U:U,MATCH($D485,'卡片raw data'!$F:$F,))*(IF($F485="UR",0.04,0.033))*(IF($F485="UR",INDEX(绊状态确认!$S:$S,MATCH($G485,绊状态确认!$B:$B,))/2-40)+IF($F485="SR",INDEX(绊状态确认!$R:$R,MATCH($G485,绊状态确认!$B:$B,))/4-15))+IF($F485="R",INDEX(绊状态确认!$Q:$Q,MATCH($G485,绊状态确认!$B:$B,))/6-40/6)))*(INDEX(绊状态确认!$H:$H,MATCH($G485,绊状态确认!$B:$B,))+INDEX(绊状态确认!L:L,MATCH($G485,绊状态确认!$B:$B,)))</f>
        <v>20800.665599999997</v>
      </c>
      <c r="AO485" s="430">
        <f t="shared" si="621"/>
        <v>1</v>
      </c>
      <c r="AP485" s="556">
        <f>1+(INDEX(绊状态确认!$T:$T,MATCH($G485,绊状态确认!$B:$B,))+0.2)*$AO485</f>
        <v>1.3</v>
      </c>
      <c r="AQ485" s="431">
        <f t="shared" si="622"/>
        <v>20124.517239999997</v>
      </c>
      <c r="AR485" s="420">
        <f>(AM485*(1+$EX$9)+$EX$35)*(1+(INDEX(绊状态确认!$T:$T,MATCH($G485,绊状态确认!$B:$B,))+0.2)*AO485)*IF(J485=$FF$17,1+$FE$17,1)*IF(I485=$FF$14,1+$FE$14,1)</f>
        <v>17158.261385200003</v>
      </c>
      <c r="AS485" s="420">
        <f>(AN485*(1+$EX$10)+$EX$36)*(1+(INDEX(绊状态确认!$T:$T,MATCH($G485,绊状态确认!$B:$B,))+0.2)*AO485)*IF(J485=$FF$17,1+$FE$17,1)*IF(I485=$FF$14,1+$FE$14,1)</f>
        <v>35152.995071999998</v>
      </c>
      <c r="AT485" s="412">
        <f>IF(AND(INDEX('卡片raw data'!AK:AK,MATCH($D485,'卡片raw data'!$F:$F,))&lt;INDEX('卡片raw data'!AM:AM,MATCH($D485,'卡片raw data'!$F:$F,)),INDEX('卡片raw data'!AL:AL,MATCH($D485,'卡片raw data'!$F:$F,))&lt;INDEX('卡片raw data'!AM:AM,MATCH($D485,'卡片raw data'!$F:$F,))),1,0)</f>
        <v>1</v>
      </c>
      <c r="AU485" s="421">
        <f>MIN(AT485*0.15+AS485*0.00003+INDEX(绊状态确认!M:M,MATCH($G485,绊状态确认!$B:$B,)),1)</f>
        <v>1</v>
      </c>
      <c r="AV485" s="432">
        <f>(INDEX(绊状态确认!$N:$N,MATCH($G485,绊状态确认!$B:$B,))+1.5)*$EW$21</f>
        <v>2.6599999999999997</v>
      </c>
      <c r="AW485" s="424">
        <f t="shared" si="623"/>
        <v>27801.259500079461</v>
      </c>
      <c r="AX485" s="420">
        <f t="shared" si="624"/>
        <v>1486.0206828485668</v>
      </c>
      <c r="AY485" s="433">
        <f t="shared" si="625"/>
        <v>29287.280182928029</v>
      </c>
      <c r="AZ485" s="429">
        <f t="shared" si="626"/>
        <v>15135.355663999999</v>
      </c>
      <c r="BA485" s="431">
        <f t="shared" si="627"/>
        <v>18162.426796799999</v>
      </c>
      <c r="BB485" s="420">
        <f>(AM485*(1+$FB$9)+$FB$35)*(1+(INDEX(绊状态确认!$T:$T,MATCH($G485,绊状态确认!$B:$B,))+0.2)*AO485)*IF(J485=$FF$17,1+$FE$17,1)*IF(I485=$FF$14,1+$FE$14,1)*(1+$FE$15)</f>
        <v>17158.261385200003</v>
      </c>
      <c r="BC485" s="420">
        <f>(AN485*(1+$FB$10)+$FB$36)*(1+(INDEX(绊状态确认!$T:$T,MATCH($G485,绊状态确认!$B:$B,))+0.2)*AO485)*IF(J485=$FF$17,1+$FE$17,1)*IF(I485=$FF$14,1+$FE$14,1)*(1+$FE$15)</f>
        <v>35152.995071999998</v>
      </c>
      <c r="BD485" s="427">
        <f>MIN(AT485*0.15+BC485*0.00003+INDEX(绊状态确认!M:M,MATCH($G485,绊状态确认!$B:$B,)),1)</f>
        <v>1</v>
      </c>
      <c r="BE485" s="432">
        <f>(INDEX(绊状态确认!$N:$N,MATCH($G485,绊状态确认!$B:$B,))+1.5)</f>
        <v>1.9</v>
      </c>
      <c r="BF485" s="645">
        <f t="array" ref="BF485">SUMPRODUCT(IF(AZ485*AP485*$FI$16:$FI$23*$FA$22&gt;=$FI$24,$FI$24,AZ485*AP485*$FI$16:$FI$23*$FA$22),$FJ$16:$FJ$23)</f>
        <v>30104.222415696004</v>
      </c>
      <c r="BG485" s="453">
        <f t="array" ref="BG485">SUMPRODUCT(IF(BE485*AZ485*AP485*$FI$16:$FI$23*$FA$22&gt;=$FI$24,$FI$24,BE485*AZ485*AP485*$FI$16:$FI$23*$FA$22),$FJ$16:$FJ$23)</f>
        <v>55010.485205179204</v>
      </c>
      <c r="BH485" s="433">
        <f t="shared" si="628"/>
        <v>18336.828401726401</v>
      </c>
      <c r="BI485" s="434">
        <f>IF(O485="vo",$EW$26/$EW$24*0.05,0)+IF(O485="sk",-$EW$26/$EW$24*(0.05-INDEX(绊状态确认!W:W,MATCH($G485,绊状态确认!$B:$B,)))+0.05*$EW$28,0)+IF(O485="sp",0.05*$EW$32*$EW$30*(1-$EW$33)-(0.05-INDEX(绊状态确认!V:V,MATCH($G485,绊状态确认!$B:$B,)))*$EW$28,0)+IF(O485="gd",-(0.05-INDEX(绊状态确认!X:X,MATCH($G485,绊状态确认!$B:$B,)))*$EW$32*$EW$30*(1-$EW$33),0)</f>
        <v>-6253.6726349699375</v>
      </c>
      <c r="BJ485" s="420">
        <f>IF(O485="vo",0.05*(1-$FI$26)*$FA$24,0)+IF(O485="sk",-(0.05-INDEX(绊状态确认!W:W,MATCH($G485,绊状态确认!$B:$B,)))*(1-$FI$26)*$FA$24+0.05*$FA$26,0)+IF(O485="sp",0.05*$FA$32*$FA$27*(1-$FA$33)/$FA$30+0.05*$FA$29/$FA$69*$FA$27*(1-$FA$33)-(0.05-INDEX(绊状态确认!V:V,MATCH($G485,绊状态确认!$B:$B,)))*$FA$26,0)+IF(O485="gd",-(0.05-INDEX(绊状态确认!X:X,MATCH($G485,绊状态确认!$B:$B,)))*$FA$32*$FA$27*(1-$FA$33)/$FA$30-(0.05-INDEX(绊状态确认!X:X,MATCH($G485,绊状态确认!$B:$B,)))*$FA$29/$FA$69*$FA$27*(1-$FA$33),0)</f>
        <v>20.459096812499922</v>
      </c>
      <c r="BK485" s="433">
        <f>IF(O485="vo",$EW$26/$EW$24*0.05+$EW$26*(-HP($EW$62,$EW$65,$EW$64)+HP($EW$62,$EW$65,(1.05-INDEX(绊状态确认!U:U,MATCH($G485,绊状态确认!$B:$B,)))*$EW$64)),0)+IF(O485="sk",-$EW$26/$EW$24*(0.05-INDEX(绊状态确认!W:W,MATCH($G485,绊状态确认!$B:$B,)))+0.05*$EW$29,0)+IF(O485="sp",0.05*$EW$32*$EW$30*(1-$EW$33)-(0.05-INDEX(绊状态确认!V:V,MATCH($G485,绊状态确认!$B:$B,)))*$EW$29,0)+IF(O485="gd",-(0.05-INDEX(绊状态确认!X:X,MATCH($G485,绊状态确认!$B:$B,)))*$EW$32*$EW$30*(1-$EW$33)+$EW$26*(-HP($EW$62,$EW$65,$EW$64)+HP($EW$62,$EW$65,0.95*$EW$64)),0)</f>
        <v>-4253.6726349699375</v>
      </c>
      <c r="BL485" s="434">
        <f t="shared" si="629"/>
        <v>0</v>
      </c>
      <c r="BM485" s="433">
        <f t="shared" si="630"/>
        <v>0</v>
      </c>
      <c r="BN485" s="437">
        <f t="shared" si="631"/>
        <v>3</v>
      </c>
      <c r="BO485" s="1108">
        <f t="shared" si="632"/>
        <v>4507.7214871259994</v>
      </c>
      <c r="BP485" s="1100">
        <f t="shared" si="633"/>
        <v>221.34103209030098</v>
      </c>
      <c r="BQ485" s="437" t="s">
        <v>132</v>
      </c>
      <c r="BR485" s="450" t="s">
        <v>171</v>
      </c>
      <c r="BS485" s="421">
        <f>IF($P485="","N/A",IF($P485=-1,INDEX('卡片raw data'!AX:AX,MATCH($D485,'卡片raw data'!$F:$F,)),0)+IF($L485="party卡",IF($P485=5,INDEX('卡片raw data'!BD:BD,MATCH($D485,'卡片raw data'!$F:$F,)),IF($P485&gt;=3,INDEX('卡片raw data'!BC:BC,MATCH($D485,'卡片raw data'!$F:$F,)),INDEX('卡片raw data'!BB:BB,MATCH($D485,'卡片raw data'!$F:$F,)))),IF(OR(AND($F485="UR",$P485=0),AND($F485="SR",$P485&gt;=0,$P485&lt;=2),AND($F485="R",$P485&gt;=0,$P485&lt;4)),INDEX('卡片raw data'!AZ:AZ,MATCH($D485,'卡片raw data'!$F:$F,)),0)+IF(OR(AND($F485="UR",$P485&gt;=1,$P485&lt;=4),AND($F485="SR",$P485&lt;=4,$P485&gt;=3),AND($F485="R",$P485=4)),INDEX('卡片raw data'!BA:BA,MATCH($D485,'卡片raw data'!$F:$F,)),0)+IF($P485=5,INDEX('卡片raw data'!BB:BB,MATCH($D485,'卡片raw data'!$F:$F,)),0)))</f>
        <v>5.1999999999999998E-2</v>
      </c>
      <c r="BT485" s="424">
        <f t="shared" si="634"/>
        <v>2604.4613036728001</v>
      </c>
      <c r="BU485" s="420">
        <f t="shared" si="635"/>
        <v>111.90018844565216</v>
      </c>
      <c r="BV485" s="420">
        <f t="shared" si="636"/>
        <v>1302.2306518363998</v>
      </c>
      <c r="BW485" s="436">
        <f t="shared" si="637"/>
        <v>0</v>
      </c>
      <c r="BX485" s="423">
        <f t="shared" si="638"/>
        <v>2604.4613036728001</v>
      </c>
      <c r="BY485" s="433">
        <f t="shared" si="639"/>
        <v>1302.2306518363998</v>
      </c>
      <c r="BZ485" s="1113" t="s">
        <v>569</v>
      </c>
      <c r="CA485" s="450"/>
      <c r="CB485" s="421">
        <f>IF($P485="","N/A",IF($P485=-1,INDEX('卡片raw data'!BE:BE,MATCH($D485,'卡片raw data'!$F:$F,)),0)+IF($L485="party卡",IF($P485=5,INDEX('卡片raw data'!BK:BK,MATCH($D485,'卡片raw data'!$F:$F,)),IF($P485&gt;=3,INDEX('卡片raw data'!BJ:BJ,MATCH($D485,'卡片raw data'!$F:$F,)),INDEX('卡片raw data'!BI:BI,MATCH($D485,'卡片raw data'!$F:$F,)))),IF(OR(AND($F485="UR",$P485=0),AND($F485="SR",$P485&gt;=0,$P485&lt;=2),AND($F485="R",$P485&gt;=0,$P485&lt;4)),INDEX('卡片raw data'!BG:BG,MATCH($D485,'卡片raw data'!$F:$F,)),0)+IF(OR(AND($F485="UR",$P485&gt;=1,$P485&lt;=4),AND($F485="SR",$P485&lt;=4,$P485&gt;=3),AND($F485="R",$P485=4)),INDEX('卡片raw data'!BH:BH,MATCH($D485,'卡片raw data'!$F:$F,)),0)+IF($P485=5,INDEX('卡片raw data'!BI:BI,MATCH($D485,'卡片raw data'!$F:$F,)),0)))</f>
        <v>0</v>
      </c>
      <c r="CC485" s="424">
        <f t="shared" si="640"/>
        <v>0</v>
      </c>
      <c r="CD485" s="420">
        <f>IF(BZ485="ap",CB485*(1-$FI$26)*$FB$5/$FB$11*(+IF(CA485="全员",$FA$24,0)+IF(CA485="同作战",$FA$24,0)+IF(CA485="仲间",$FA$24*2/3,0)+IF(CA485="同属性",$FA$24*$FA$37/3,0)+IF(CA485="同年级",$FA$24*$FA$40/3,0)+IF(CA485="同学校",$FA$24*$FA$43/3,0)+IF(CA485="同小队",$FA$24*$FA$46/3,0)+IF(CA485="同type",$FA$24*INDEX($FB$49:$FB$52,MATCH(X485,$FA$49:$FA$52,))/3,0)+IF(CA485="自身",#REF!/3,0)),0)+IF(BZ485="te",CB485*(1-$FI$27)*($FA$20-1)*$FB$7/$FB$13*(+IF(CA485="全员",$FA$19*$FA$24/(1+($FA$20-1)*$FA$19),0)+IF(CA485="同作战",$FA$19*$FA$24/(1+($FA$20-1)*$FA$19),0)+IF(CA485="仲间",$FA$19*$FA$24*2/3/(1+($FA$20-1)*$FA$19),0)+IF(CA485="同属性",$FA$19*$FA$24*$FA$37/3/(1+($FA$20-1)*$FA$19),0)+IF(CA485="同年级",$FA$19*$FA$24*$FA$40/3/(1+($FA$20-1)*$FA$19),0)+IF(CA485="同学校",$FA$19*$FA$24*$FA$43/3/(1+($FA$20-1)*$FA$19),0)+IF(CA485="同小队",$FA$19*$FA$24*$FA$46/3/(1+($FA$20-1)*$FA$19),0)+IF(CA485="同type",$FA$19*$FA$24*INDEX($FB$49:$FB$52,MATCH(X485,$FA$49:$FA$52,))/3/(1+($FA$20-1)*$FA$19),0)+IF(CA485="自身",$FA$19*#REF!/3/(1+(BH485-1)*$BD485),0)),0)</f>
        <v>0</v>
      </c>
      <c r="CE485" s="420">
        <f t="shared" si="641"/>
        <v>0</v>
      </c>
      <c r="CF485" s="436">
        <f t="shared" si="642"/>
        <v>0</v>
      </c>
      <c r="CG485" s="423">
        <f t="shared" si="643"/>
        <v>0</v>
      </c>
      <c r="CH485" s="433">
        <f t="shared" si="644"/>
        <v>0</v>
      </c>
      <c r="CI485" s="437" t="s">
        <v>165</v>
      </c>
      <c r="CJ485" s="438">
        <v>0.3</v>
      </c>
      <c r="CK485" s="439" t="s">
        <v>153</v>
      </c>
      <c r="CL485" s="439" t="s">
        <v>2075</v>
      </c>
      <c r="CM485" s="443">
        <v>7.0000000000000007E-2</v>
      </c>
      <c r="CN485" s="439" t="s">
        <v>2076</v>
      </c>
      <c r="CO485" s="1115"/>
      <c r="CP485" s="1118">
        <f t="shared" si="645"/>
        <v>1.4E-2</v>
      </c>
      <c r="CQ485" s="1118">
        <f t="shared" si="646"/>
        <v>1.2250000000000002E-2</v>
      </c>
      <c r="CR485" s="1118">
        <f t="shared" si="647"/>
        <v>7.0000000000000001E-3</v>
      </c>
      <c r="CS485" s="442">
        <f t="shared" si="648"/>
        <v>0</v>
      </c>
      <c r="CT485" s="432">
        <f t="shared" si="649"/>
        <v>0</v>
      </c>
      <c r="CU485" s="1101">
        <f t="shared" si="650"/>
        <v>1903.7610413962143</v>
      </c>
      <c r="CV485" s="1108">
        <f t="shared" ref="CV485:CV516" si="685">IF(AND(CK485="技能+",CL485="自身",$DR485=0.11),0,IF(CK485="sp+",CQ485*$FA$27*$FA$32*(1-$FA$33),0)+IF(CK485="ap+",CQ485*$FA$24/(1+$FA$15)*(1-$FI$26),0)+IF(CK485="ap+元气",CQ485*$FA$24/(1+$FA$15)*(1-$FI$26)*$FA$64,0)+IF(CK485="技能+",$FA$26*CQ485/$FA$25,0)+IF(CK485="vo+",$FA$24*CQ485*(1-$FI$26),0)+IF(CK485="sp获得",CQ485*(1-$FA$33)*$FA$27/$FA$69)+IF(CK485="vo获得",CQ485*$FA$22)+IF(CK485="ct+",$FA$24/(1+($FA$20-1)*$FA$19)*($FA$20-1)*CQ485*(1-$FI$27))+IF(CK485="核弹",CQ485*(1+$FA$21)*(1-$FI$29))+IF(CK485="ct值+",$FA$24/(1+($FA$20-1)*$FA$19)*$FA$19*CQ485*(1-$FI$28))+IF(CK485="自身ct时上限突破",CQ485*$FI$24*$FI$26*BD485,0))</f>
        <v>80.428260445312532</v>
      </c>
      <c r="CW485" s="420">
        <f t="shared" si="651"/>
        <v>951.88052069810715</v>
      </c>
      <c r="CX485" s="420">
        <f t="shared" si="652"/>
        <v>1903.7610413962143</v>
      </c>
      <c r="CY485" s="433">
        <f t="shared" si="653"/>
        <v>951.88052069810715</v>
      </c>
      <c r="CZ485" s="437"/>
      <c r="DA485" s="438"/>
      <c r="DB485" s="439" t="s">
        <v>569</v>
      </c>
      <c r="DC485" s="439"/>
      <c r="DD485" s="443"/>
      <c r="DE485" s="411"/>
      <c r="DF485" s="411"/>
      <c r="DG485" s="1116">
        <f t="shared" si="654"/>
        <v>0</v>
      </c>
      <c r="DH485" s="1116">
        <f t="shared" si="655"/>
        <v>0</v>
      </c>
      <c r="DI485" s="1116">
        <f t="shared" si="656"/>
        <v>0</v>
      </c>
      <c r="DJ485" s="442">
        <f t="shared" si="657"/>
        <v>0</v>
      </c>
      <c r="DK485" s="432">
        <f t="shared" si="658"/>
        <v>0</v>
      </c>
      <c r="DL485" s="424">
        <f t="shared" si="659"/>
        <v>0</v>
      </c>
      <c r="DM485" s="420">
        <f t="shared" si="660"/>
        <v>0</v>
      </c>
      <c r="DN485" s="420">
        <f t="shared" si="661"/>
        <v>0</v>
      </c>
      <c r="DO485" s="420">
        <f t="shared" si="662"/>
        <v>0</v>
      </c>
      <c r="DP485" s="433">
        <f t="shared" si="663"/>
        <v>0</v>
      </c>
      <c r="DQ485" s="437" t="s">
        <v>2160</v>
      </c>
      <c r="DR485" s="444">
        <f t="shared" si="664"/>
        <v>0.33</v>
      </c>
      <c r="DS485" s="450">
        <v>5</v>
      </c>
      <c r="DT485" s="1093" t="s">
        <v>2127</v>
      </c>
      <c r="DU485" s="1093" t="s">
        <v>544</v>
      </c>
      <c r="DV485" s="1098">
        <f>IF($P485="","N/A",IF(P485=-1,INDEX('卡片raw data'!AN:AN,MATCH(D485,'卡片raw data'!$F:$F,)),0)+IF(AND(L485&lt;&gt;"party卡",P485&lt;=2,P485&gt;=0),INDEX('卡片raw data'!AP:AP,MATCH(D485,'卡片raw data'!$F:$F,)),0)+IF(OR(AND(L485="party卡",P485&lt;=1),AND(P485&lt;=4,L485&lt;&gt;"party卡",P485&gt;=3)),INDEX('卡片raw data'!AQ:AQ,MATCH(D485,'卡片raw data'!$F:$F,)),0)+IF(OR(P485=5,AND(L485="party卡",P485&gt;=2)),INDEX('卡片raw data'!AR:AR,MATCH(D485,'卡片raw data'!$F:$F,)),0))</f>
        <v>0.05</v>
      </c>
      <c r="DW485" s="1098">
        <f t="shared" si="665"/>
        <v>0.33</v>
      </c>
      <c r="DX485" s="1098">
        <f t="shared" si="666"/>
        <v>0.33</v>
      </c>
      <c r="DY485" s="1098">
        <f t="shared" si="667"/>
        <v>2.7500000000000004E-2</v>
      </c>
      <c r="DZ485" s="1098">
        <f t="shared" si="668"/>
        <v>2.3787500000000003E-2</v>
      </c>
      <c r="EA485" s="421">
        <f t="shared" si="669"/>
        <v>9.9029734375000004E-3</v>
      </c>
      <c r="EB485" s="445">
        <f t="shared" si="670"/>
        <v>0</v>
      </c>
      <c r="EC485" s="424">
        <f t="shared" si="671"/>
        <v>1166.6666666666667</v>
      </c>
      <c r="ED485" s="420">
        <f t="shared" si="672"/>
        <v>540.62500000000011</v>
      </c>
      <c r="EE485" s="433">
        <f t="shared" si="683"/>
        <v>1166.6666666666667</v>
      </c>
      <c r="EF485" s="1115" t="s">
        <v>569</v>
      </c>
      <c r="EG485" s="444">
        <f t="shared" si="673"/>
        <v>0.33</v>
      </c>
      <c r="EH485" s="450"/>
      <c r="EI485" s="1093"/>
      <c r="EJ485" s="1093"/>
      <c r="EK485" s="420">
        <f>IF($P485="","N/A",IF(P485=-1,INDEX('卡片raw data'!AS:AS,MATCH(D485,'卡片raw data'!$F:$F,)),0)+IF(AND(L485&lt;&gt;"party卡",P485&lt;=2,P485&gt;=0),INDEX('卡片raw data'!AU:AU,MATCH(D485,'卡片raw data'!$F:$F,)),0)+IF(OR(AND(L485="party卡",P485&lt;=1),AND(P485&lt;=4,L485&lt;&gt;"party卡",P485&gt;=3)),INDEX('卡片raw data'!AV:AV,MATCH(D485,'卡片raw data'!$F:$F,)),0)+IF(OR(P485=5,AND(L485="party卡",P485&gt;=2)),INDEX('卡片raw data'!AW:AW,MATCH(D485,'卡片raw data'!$F:$F,)),0))</f>
        <v>0</v>
      </c>
      <c r="EL485" s="1098">
        <f t="shared" si="674"/>
        <v>0.33</v>
      </c>
      <c r="EM485" s="1098">
        <f t="shared" si="675"/>
        <v>0.33</v>
      </c>
      <c r="EN485" s="1097">
        <f t="shared" si="676"/>
        <v>0</v>
      </c>
      <c r="EO485" s="1097">
        <f t="shared" si="677"/>
        <v>0</v>
      </c>
      <c r="EP485" s="421">
        <f t="shared" si="678"/>
        <v>0</v>
      </c>
      <c r="EQ485" s="445">
        <f t="shared" si="679"/>
        <v>0</v>
      </c>
      <c r="ER485" s="424">
        <f t="shared" si="680"/>
        <v>0</v>
      </c>
      <c r="ES485" s="420">
        <f t="shared" si="681"/>
        <v>0</v>
      </c>
      <c r="ET485" s="446">
        <f t="shared" si="684"/>
        <v>0</v>
      </c>
    </row>
    <row r="486" spans="2:150" ht="16.5" customHeight="1">
      <c r="B486" s="448" t="str">
        <f>INDEX('卡片raw data'!B:B,MATCH($D486,'卡片raw data'!$F:$F,))</f>
        <v>婚纱鞠</v>
      </c>
      <c r="C486" s="449" t="s">
        <v>3186</v>
      </c>
      <c r="D486" s="408">
        <v>483</v>
      </c>
      <c r="E486" s="477">
        <v>401083005</v>
      </c>
      <c r="F486" s="409" t="str">
        <f>INDEX('卡片raw data'!C:C,MATCH($D486,'卡片raw data'!$F:$F,))</f>
        <v>UR</v>
      </c>
      <c r="G486" s="1094" t="s">
        <v>3187</v>
      </c>
      <c r="H486" s="411">
        <f>IFERROR(INDEX(绊状态确认!C:C,MATCH($G486,绊状态确认!$B:$B,)),"")</f>
        <v>108</v>
      </c>
      <c r="I486" s="450" t="str">
        <f>IFERROR(INDEX(绊状态确认!D:D,MATCH($G486,绊状态确认!$B:$B,)),"")</f>
        <v>水</v>
      </c>
      <c r="J486" s="450" t="str">
        <f>IFERROR(INDEX(绊状态确认!E:E,MATCH($G486,绊状态确认!$B:$B,)),"")</f>
        <v>3年级</v>
      </c>
      <c r="K486" s="451" t="str">
        <f>IFERROR(INDEX(绊状态确认!F:F,MATCH($G486,绊状态确认!$B:$B,)),"")</f>
        <v>Guilty Kiss</v>
      </c>
      <c r="L486" s="414" t="str">
        <f>INDEX('卡片raw data'!E:E,MATCH($D486,'卡片raw data'!$F:$F,))</f>
        <v>活动卡</v>
      </c>
      <c r="M486" s="478">
        <v>44366</v>
      </c>
      <c r="N486" s="479">
        <v>42</v>
      </c>
      <c r="O486" s="410" t="str">
        <f>INDEX('卡片raw data'!D:D,MATCH($D486,'卡片raw data'!$F:$F,))</f>
        <v>vo</v>
      </c>
      <c r="P486" s="1126">
        <v>5</v>
      </c>
      <c r="Q486" s="418">
        <f t="shared" si="600"/>
        <v>59599.199185527126</v>
      </c>
      <c r="R486" s="419">
        <f t="shared" si="601"/>
        <v>0.69199999999999995</v>
      </c>
      <c r="S486" s="420">
        <f t="shared" si="602"/>
        <v>19994.529587521345</v>
      </c>
      <c r="T486" s="421">
        <f t="shared" si="603"/>
        <v>0.999</v>
      </c>
      <c r="U486" s="422">
        <f t="shared" si="604"/>
        <v>-10.196795479257142</v>
      </c>
      <c r="V486" s="423">
        <f t="shared" si="605"/>
        <v>59482.286664484462</v>
      </c>
      <c r="W486" s="424">
        <f t="shared" si="606"/>
        <v>6716.5050158177391</v>
      </c>
      <c r="X486" s="419">
        <f t="shared" si="607"/>
        <v>7.8E-2</v>
      </c>
      <c r="Y486" s="420">
        <f t="shared" si="608"/>
        <v>1187.7559291990365</v>
      </c>
      <c r="Z486" s="425">
        <f t="shared" si="609"/>
        <v>14.803204520742858</v>
      </c>
      <c r="AA486" s="426">
        <f t="shared" si="610"/>
        <v>7904.2609450167756</v>
      </c>
      <c r="AB486" s="424">
        <f t="shared" si="611"/>
        <v>8623.1042522243661</v>
      </c>
      <c r="AC486" s="427">
        <f t="shared" si="612"/>
        <v>0.1</v>
      </c>
      <c r="AD486" s="428">
        <f t="shared" si="613"/>
        <v>0</v>
      </c>
      <c r="AE486" s="516">
        <f t="shared" si="614"/>
        <v>0</v>
      </c>
      <c r="AF486" s="1130">
        <f t="shared" si="615"/>
        <v>0</v>
      </c>
      <c r="AG486" s="420">
        <f t="shared" si="616"/>
        <v>0</v>
      </c>
      <c r="AH486" s="420">
        <f t="shared" si="617"/>
        <v>0</v>
      </c>
      <c r="AI486" s="1097">
        <f t="shared" si="618"/>
        <v>0</v>
      </c>
      <c r="AJ486" s="420">
        <f t="shared" si="619"/>
        <v>0</v>
      </c>
      <c r="AK486" s="518">
        <f t="shared" si="620"/>
        <v>0</v>
      </c>
      <c r="AL486" s="1106">
        <f>IF($P486="","N/A",(IF($P486=-1,INDEX('卡片raw data'!S:S,MATCH($D486,'卡片raw data'!$F:$F,)),0)+IF($P486=0,INDEX('卡片raw data'!V:V,MATCH($D486,'卡片raw data'!$F:$F,)),0)+IF($P486=1,INDEX('卡片raw data'!Y:Y,MATCH($D486,'卡片raw data'!$F:$F,)),0)+IF($P486=2,INDEX('卡片raw data'!AB:AB,MATCH($D486,'卡片raw data'!$F:$F,)),0)+IF($P486=3,INDEX('卡片raw data'!AE:AE,MATCH($D486,'卡片raw data'!$F:$F,)),0)+IF($P486=4,INDEX('卡片raw data'!AH:AH,MATCH($D486,'卡片raw data'!$F:$F,)),0)+IF($P486=5,INDEX('卡片raw data'!AK:AK,MATCH($D486,'卡片raw data'!$F:$F,)),0)+INDEX('卡片raw data'!S:S,MATCH($D486,'卡片raw data'!$F:$F,))*(IF($F486="UR",0.04,0.033))*(IF($F486="UR",INDEX(绊状态确认!$S:$S,MATCH($G486,绊状态确认!$B:$B,))/2-40)+IF($F486="SR",INDEX(绊状态确认!$R:$R,MATCH($G486,绊状态确认!$B:$B,))/4-15))+IF($F486="R",INDEX(绊状态确认!$Q:$Q,MATCH($G486,绊状态确认!$B:$B,))/6-40/6)))*(INDEX(绊状态确认!$H:$H,MATCH($G486,绊状态确认!$B:$B,))+INDEX(绊状态确认!J:J,MATCH($G486,绊状态确认!$B:$B,)))</f>
        <v>11899.653504</v>
      </c>
      <c r="AM486" s="1106">
        <f>IF($P486="","N/A",(IF($P486=-1,INDEX('卡片raw data'!T:T,MATCH($D486,'卡片raw data'!$F:$F,)),0)+IF($P486=0,INDEX('卡片raw data'!W:W,MATCH($D486,'卡片raw data'!$F:$F,)),0)+IF($P486=1,INDEX('卡片raw data'!Z:Z,MATCH($D486,'卡片raw data'!$F:$F,)),0)+IF($P486=2,INDEX('卡片raw data'!AC:AC,MATCH($D486,'卡片raw data'!$F:$F,)),0)+IF($P486=3,INDEX('卡片raw data'!AF:AF,MATCH($D486,'卡片raw data'!$F:$F,)),0)+IF($P486=4,INDEX('卡片raw data'!AI:AI,MATCH($D486,'卡片raw data'!$F:$F,)),0)+IF($P486=5,INDEX('卡片raw data'!AL:AL,MATCH($D486,'卡片raw data'!$F:$F,)),0)+INDEX('卡片raw data'!T:T,MATCH($D486,'卡片raw data'!$F:$F,))*(IF($F486="UR",0.04,0.033))*(IF($F486="UR",INDEX(绊状态确认!$S:$S,MATCH($G486,绊状态确认!$B:$B,))/2-40)+IF($F486="SR",INDEX(绊状态确认!$R:$R,MATCH($G486,绊状态确认!$B:$B,))/4-15))+IF($F486="R",INDEX(绊状态确认!$Q:$Q,MATCH($G486,绊状态确认!$B:$B,))/6-40/6)))*(INDEX(绊状态确认!$H:$H,MATCH($G486,绊状态确认!$B:$B,))+INDEX(绊状态确认!K:K,MATCH($G486,绊状态确认!$B:$B,)))</f>
        <v>8140.8968639999994</v>
      </c>
      <c r="AN486" s="1106">
        <f>IF($P486="","N/A",(IF($P486=-1,INDEX('卡片raw data'!U:U,MATCH($D486,'卡片raw data'!$F:$F,)),0)+IF($P486=0,INDEX('卡片raw data'!X:X,MATCH($D486,'卡片raw data'!$F:$F,)),0)+IF($P486=1,INDEX('卡片raw data'!AA:AA,MATCH($D486,'卡片raw data'!$F:$F,)),0)+IF($P486=2,INDEX('卡片raw data'!AD:AD,MATCH($D486,'卡片raw data'!$F:$F,)),0)+IF($P486=3,INDEX('卡片raw data'!AG:AG,MATCH($D486,'卡片raw data'!$F:$F,)),0)+IF($P486=4,INDEX('卡片raw data'!AJ:AJ,MATCH($D486,'卡片raw data'!$F:$F,)),0)+IF($P486=5,INDEX('卡片raw data'!AM:AM,MATCH($D486,'卡片raw data'!$F:$F,)),0)+INDEX('卡片raw data'!U:U,MATCH($D486,'卡片raw data'!$F:$F,))*(IF($F486="UR",0.04,0.033))*(IF($F486="UR",INDEX(绊状态确认!$S:$S,MATCH($G486,绊状态确认!$B:$B,))/2-40)+IF($F486="SR",INDEX(绊状态确认!$R:$R,MATCH($G486,绊状态确认!$B:$B,))/4-15))+IF($F486="R",INDEX(绊状态确认!$Q:$Q,MATCH($G486,绊状态确认!$B:$B,))/6-40/6)))*(INDEX(绊状态确认!$H:$H,MATCH($G486,绊状态确认!$B:$B,))+INDEX(绊状态确认!L:L,MATCH($G486,绊状态确认!$B:$B,)))</f>
        <v>11273.997119999998</v>
      </c>
      <c r="AO486" s="1107">
        <f t="shared" si="621"/>
        <v>1</v>
      </c>
      <c r="AP486" s="1131">
        <f>1+(INDEX(绊状态确认!$T:$T,MATCH($G486,绊状态确认!$B:$B,))+0.2)*$AO486</f>
        <v>1.3</v>
      </c>
      <c r="AQ486" s="1108">
        <f t="shared" si="622"/>
        <v>34486.590448000003</v>
      </c>
      <c r="AR486" s="1097">
        <f>(AM486*(1+$EX$9)+$EX$35)*(1+(INDEX(绊状态确认!$T:$T,MATCH($G486,绊状态确认!$B:$B,))+0.2)*AO486)*IF(J486=$FF$17,1+$FE$17,1)*IF(I486=$FF$14,1+$FE$14,1)</f>
        <v>13816.32421936</v>
      </c>
      <c r="AS486" s="1097">
        <f>(AN486*(1+$EX$10)+$EX$36)*(1+(INDEX(绊状态确认!$T:$T,MATCH($G486,绊状态确认!$B:$B,))+0.2)*AO486)*IF(J486=$FF$17,1+$FE$17,1)*IF(I486=$FF$14,1+$FE$14,1)</f>
        <v>20910.625694399994</v>
      </c>
      <c r="AT486" s="1093">
        <f>IF(AND(INDEX('卡片raw data'!AK:AK,MATCH($D486,'卡片raw data'!$F:$F,))&lt;INDEX('卡片raw data'!AM:AM,MATCH($D486,'卡片raw data'!$F:$F,)),INDEX('卡片raw data'!AL:AL,MATCH($D486,'卡片raw data'!$F:$F,))&lt;INDEX('卡片raw data'!AM:AM,MATCH($D486,'卡片raw data'!$F:$F,))),1,0)</f>
        <v>0</v>
      </c>
      <c r="AU486" s="1098">
        <f>MIN(AT486*0.15+AS486*0.00003+INDEX(绊状态确认!M:M,MATCH($G486,绊状态确认!$B:$B,)),1)</f>
        <v>0.65731877083199985</v>
      </c>
      <c r="AV486" s="1109">
        <f>(INDEX(绊状态确认!$N:$N,MATCH($G486,绊状态确认!$B:$B,))+1.5)*$EW$21</f>
        <v>2.6599999999999997</v>
      </c>
      <c r="AW486" s="1101">
        <f t="shared" si="623"/>
        <v>37453.51954916455</v>
      </c>
      <c r="AX486" s="1097">
        <f t="shared" si="624"/>
        <v>1187.7559291990367</v>
      </c>
      <c r="AY486" s="1110">
        <f t="shared" si="625"/>
        <v>38641.27547836359</v>
      </c>
      <c r="AZ486" s="429">
        <f t="shared" si="626"/>
        <v>25804.324332799999</v>
      </c>
      <c r="BA486" s="431">
        <f t="shared" si="627"/>
        <v>30965.189199359997</v>
      </c>
      <c r="BB486" s="1097">
        <f>(AM486*(1+$FB$9)+$FB$35)*(1+(INDEX(绊状态确认!$T:$T,MATCH($G486,绊状态确认!$B:$B,))+0.2)*AO486)*IF(J486=$FF$17,1+$FE$17,1)*IF(I486=$FF$14,1+$FE$14,1)*(1+$FE$15)</f>
        <v>13816.32421936</v>
      </c>
      <c r="BC486" s="1097">
        <f>(AN486*(1+$FB$10)+$FB$36)*(1+(INDEX(绊状态确认!$T:$T,MATCH($G486,绊状态确认!$B:$B,))+0.2)*AO486)*IF(J486=$FF$17,1+$FE$17,1)*IF(I486=$FF$14,1+$FE$14,1)*(1+$FE$15)</f>
        <v>20910.625694399994</v>
      </c>
      <c r="BD486" s="1104">
        <f>MIN(AT486*0.15+BC486*0.00003+INDEX(绊状态确认!M:M,MATCH($G486,绊状态确认!$B:$B,)),1)</f>
        <v>0.65731877083199985</v>
      </c>
      <c r="BE486" s="432">
        <f>(INDEX(绊状态确认!$N:$N,MATCH($G486,绊状态确认!$B:$B,))+1.5)</f>
        <v>1.9</v>
      </c>
      <c r="BF486" s="1139">
        <f t="array" ref="BF486">SUMPRODUCT(IF(AZ486*AP486*$FI$16:$FI$23*$FA$22&gt;=$FI$24,$FI$24,AZ486*AP486*$FI$16:$FI$23*$FA$22),$FJ$16:$FJ$23)</f>
        <v>50912.921093862402</v>
      </c>
      <c r="BG486" s="1125">
        <f t="array" ref="BG486">SUMPRODUCT(IF(BE486*AZ486*AP486*$FI$16:$FI$23*$FA$22&gt;=$FI$24,$FI$24,BE486*AZ486*AP486*$FI$16:$FI$23*$FA$22),$FJ$16:$FJ$23)</f>
        <v>60000</v>
      </c>
      <c r="BH486" s="1110">
        <f t="shared" si="628"/>
        <v>18962.009543632721</v>
      </c>
      <c r="BI486" s="1111">
        <f>IF(O486="vo",$EW$26/$EW$24*0.05,0)+IF(O486="sk",-$EW$26/$EW$24*(0.05-INDEX(绊状态确认!W:W,MATCH($G486,绊状态确认!$B:$B,)))+0.05*$EW$28,0)+IF(O486="sp",0.05*$EW$32*$EW$30*(1-$EW$33)-(0.05-INDEX(绊状态确认!V:V,MATCH($G486,绊状态确认!$B:$B,)))*$EW$28,0)+IF(O486="gd",-(0.05-INDEX(绊状态确认!X:X,MATCH($G486,绊状态确认!$B:$B,)))*$EW$32*$EW$30*(1-$EW$33),0)</f>
        <v>7726.3029277443748</v>
      </c>
      <c r="BJ486" s="420">
        <f>IF(O486="vo",0.05*(1-$FI$26)*$FA$24,0)+IF(O486="sk",-(0.05-INDEX(绊状态确认!W:W,MATCH($G486,绊状态确认!$B:$B,)))*(1-$FI$26)*$FA$24+0.05*$FA$26,0)+IF(O486="sp",0.05*$FA$32*$FA$27*(1-$FA$33)/$FA$30+0.05*$FA$29/$FA$69*$FA$27*(1-$FA$33)-(0.05-INDEX(绊状态确认!V:V,MATCH($G486,绊状态确认!$B:$B,)))*$FA$26,0)+IF(O486="gd",-(0.05-INDEX(绊状态确认!X:X,MATCH($G486,绊状态确认!$B:$B,)))*$FA$32*$FA$27*(1-$FA$33)/$FA$30-(0.05-INDEX(绊状态确认!X:X,MATCH($G486,绊状态确认!$B:$B,)))*$FA$29/$FA$69*$FA$27*(1-$FA$33),0)</f>
        <v>393.93433687500004</v>
      </c>
      <c r="BK486" s="1110">
        <f>IF(O486="vo",$EW$26/$EW$24*0.05+$EW$26*(-HP($EW$62,$EW$65,$EW$64)+HP($EW$62,$EW$65,(1.05-INDEX(绊状态确认!U:U,MATCH($G486,绊状态确认!$B:$B,)))*$EW$64)),0)+IF(O486="sk",-$EW$26/$EW$24*(0.05-INDEX(绊状态确认!W:W,MATCH($G486,绊状态确认!$B:$B,)))+0.05*$EW$29,0)+IF(O486="sp",0.05*$EW$32*$EW$30*(1-$EW$33)-(0.05-INDEX(绊状态确认!V:V,MATCH($G486,绊状态确认!$B:$B,)))*$EW$29,0)+IF(O486="gd",-(0.05-INDEX(绊状态确认!X:X,MATCH($G486,绊状态确认!$B:$B,)))*$EW$32*$EW$30*(1-$EW$33)+$EW$26*(-HP($EW$62,$EW$65,$EW$64)+HP($EW$62,$EW$65,0.95*$EW$64)),0)</f>
        <v>6421.6344775026746</v>
      </c>
      <c r="BL486" s="1111">
        <f t="shared" si="629"/>
        <v>0</v>
      </c>
      <c r="BM486" s="1110">
        <f t="shared" si="630"/>
        <v>0</v>
      </c>
      <c r="BN486" s="1113">
        <f t="shared" si="631"/>
        <v>3</v>
      </c>
      <c r="BO486" s="1108">
        <f t="shared" si="632"/>
        <v>4507.7214871259994</v>
      </c>
      <c r="BP486" s="1100">
        <f t="shared" si="633"/>
        <v>221.34103209030098</v>
      </c>
      <c r="BQ486" s="1113" t="s">
        <v>132</v>
      </c>
      <c r="BR486" s="1124" t="s">
        <v>171</v>
      </c>
      <c r="BS486" s="421">
        <f>IF($P486="","N/A",IF($P486=-1,INDEX('卡片raw data'!AX:AX,MATCH($D486,'卡片raw data'!$F:$F,)),0)+IF($L486="party卡",IF($P486=5,INDEX('卡片raw data'!BD:BD,MATCH($D486,'卡片raw data'!$F:$F,)),IF($P486&gt;=3,INDEX('卡片raw data'!BC:BC,MATCH($D486,'卡片raw data'!$F:$F,)),INDEX('卡片raw data'!BB:BB,MATCH($D486,'卡片raw data'!$F:$F,)))),IF(OR(AND($F486="UR",$P486=0),AND($F486="SR",$P486&gt;=0,$P486&lt;=2),AND($F486="R",$P486&gt;=0,$P486&lt;4)),INDEX('卡片raw data'!AZ:AZ,MATCH($D486,'卡片raw data'!$F:$F,)),0)+IF(OR(AND($F486="UR",$P486&gt;=1,$P486&lt;=4),AND($F486="SR",$P486&lt;=4,$P486&gt;=3),AND($F486="R",$P486=4)),INDEX('卡片raw data'!BA:BA,MATCH($D486,'卡片raw data'!$F:$F,)),0)+IF($P486=5,INDEX('卡片raw data'!BB:BB,MATCH($D486,'卡片raw data'!$F:$F,)),0)))</f>
        <v>5.1999999999999998E-2</v>
      </c>
      <c r="BT486" s="424">
        <f t="shared" si="634"/>
        <v>2604.4613036728001</v>
      </c>
      <c r="BU486" s="420">
        <f t="shared" si="635"/>
        <v>111.90018844565216</v>
      </c>
      <c r="BV486" s="420">
        <f t="shared" si="636"/>
        <v>1302.2306518363998</v>
      </c>
      <c r="BW486" s="436">
        <f t="shared" si="637"/>
        <v>0</v>
      </c>
      <c r="BX486" s="423">
        <f t="shared" si="638"/>
        <v>2604.4613036728001</v>
      </c>
      <c r="BY486" s="433">
        <f t="shared" si="639"/>
        <v>1302.2306518363998</v>
      </c>
      <c r="BZ486" s="1113" t="s">
        <v>569</v>
      </c>
      <c r="CA486" s="450"/>
      <c r="CB486" s="421">
        <f>IF($P486="","N/A",IF($P486=-1,INDEX('卡片raw data'!BE:BE,MATCH($D486,'卡片raw data'!$F:$F,)),0)+IF($L486="party卡",IF($P486=5,INDEX('卡片raw data'!BK:BK,MATCH($D486,'卡片raw data'!$F:$F,)),IF($P486&gt;=3,INDEX('卡片raw data'!BJ:BJ,MATCH($D486,'卡片raw data'!$F:$F,)),INDEX('卡片raw data'!BI:BI,MATCH($D486,'卡片raw data'!$F:$F,)))),IF(OR(AND($F486="UR",$P486=0),AND($F486="SR",$P486&gt;=0,$P486&lt;=2),AND($F486="R",$P486&gt;=0,$P486&lt;4)),INDEX('卡片raw data'!BG:BG,MATCH($D486,'卡片raw data'!$F:$F,)),0)+IF(OR(AND($F486="UR",$P486&gt;=1,$P486&lt;=4),AND($F486="SR",$P486&lt;=4,$P486&gt;=3),AND($F486="R",$P486=4)),INDEX('卡片raw data'!BH:BH,MATCH($D486,'卡片raw data'!$F:$F,)),0)+IF($P486=5,INDEX('卡片raw data'!BI:BI,MATCH($D486,'卡片raw data'!$F:$F,)),0)))</f>
        <v>0</v>
      </c>
      <c r="CC486" s="424">
        <f t="shared" si="640"/>
        <v>0</v>
      </c>
      <c r="CD486" s="420">
        <f>IF(BZ486="ap",CB486*(1-$FI$26)*$FB$5/$FB$11*(+IF(CA486="全员",$FA$24,0)+IF(CA486="同作战",$FA$24,0)+IF(CA486="仲间",$FA$24*2/3,0)+IF(CA486="同属性",$FA$24*$FA$37/3,0)+IF(CA486="同年级",$FA$24*$FA$40/3,0)+IF(CA486="同学校",$FA$24*$FA$43/3,0)+IF(CA486="同小队",$FA$24*$FA$46/3,0)+IF(CA486="同type",$FA$24*INDEX($FB$49:$FB$52,MATCH(X486,$FA$49:$FA$52,))/3,0)+IF(CA486="自身",#REF!/3,0)),0)+IF(BZ486="te",CB486*(1-$FI$27)*($FA$20-1)*$FB$7/$FB$13*(+IF(CA486="全员",$FA$19*$FA$24/(1+($FA$20-1)*$FA$19),0)+IF(CA486="同作战",$FA$19*$FA$24/(1+($FA$20-1)*$FA$19),0)+IF(CA486="仲间",$FA$19*$FA$24*2/3/(1+($FA$20-1)*$FA$19),0)+IF(CA486="同属性",$FA$19*$FA$24*$FA$37/3/(1+($FA$20-1)*$FA$19),0)+IF(CA486="同年级",$FA$19*$FA$24*$FA$40/3/(1+($FA$20-1)*$FA$19),0)+IF(CA486="同学校",$FA$19*$FA$24*$FA$43/3/(1+($FA$20-1)*$FA$19),0)+IF(CA486="同小队",$FA$19*$FA$24*$FA$46/3/(1+($FA$20-1)*$FA$19),0)+IF(CA486="同type",$FA$19*$FA$24*INDEX($FB$49:$FB$52,MATCH(X486,$FA$49:$FA$52,))/3/(1+($FA$20-1)*$FA$19),0)+IF(CA486="自身",$FA$19*#REF!/3/(1+(BH486-1)*$BD486),0)),0)</f>
        <v>0</v>
      </c>
      <c r="CE486" s="420">
        <f t="shared" si="641"/>
        <v>0</v>
      </c>
      <c r="CF486" s="436">
        <f t="shared" si="642"/>
        <v>0</v>
      </c>
      <c r="CG486" s="423">
        <f t="shared" si="643"/>
        <v>0</v>
      </c>
      <c r="CH486" s="433">
        <f t="shared" si="644"/>
        <v>0</v>
      </c>
      <c r="CI486" s="1113" t="s">
        <v>165</v>
      </c>
      <c r="CJ486" s="1114">
        <v>1</v>
      </c>
      <c r="CK486" s="439" t="s">
        <v>153</v>
      </c>
      <c r="CL486" s="439" t="s">
        <v>2649</v>
      </c>
      <c r="CM486" s="1119">
        <v>0.02</v>
      </c>
      <c r="CN486" s="1115" t="s">
        <v>2076</v>
      </c>
      <c r="CO486" s="1115"/>
      <c r="CP486" s="1118">
        <f t="shared" si="645"/>
        <v>1.1111111111111112E-2</v>
      </c>
      <c r="CQ486" s="1118">
        <f t="shared" si="646"/>
        <v>1.1111111111111112E-2</v>
      </c>
      <c r="CR486" s="1118">
        <f t="shared" si="647"/>
        <v>6.6666666666666662E-3</v>
      </c>
      <c r="CS486" s="442">
        <f t="shared" si="648"/>
        <v>0</v>
      </c>
      <c r="CT486" s="432">
        <f t="shared" si="649"/>
        <v>0</v>
      </c>
      <c r="CU486" s="1101">
        <f t="shared" si="650"/>
        <v>1510.9214614255666</v>
      </c>
      <c r="CV486" s="1108">
        <f t="shared" si="685"/>
        <v>72.950803125000007</v>
      </c>
      <c r="CW486" s="420">
        <f t="shared" si="651"/>
        <v>906.55287685534006</v>
      </c>
      <c r="CX486" s="420">
        <f t="shared" si="652"/>
        <v>1510.9214614255666</v>
      </c>
      <c r="CY486" s="433">
        <f t="shared" si="653"/>
        <v>906.55287685534006</v>
      </c>
      <c r="CZ486" s="437"/>
      <c r="DA486" s="438"/>
      <c r="DB486" s="439" t="s">
        <v>569</v>
      </c>
      <c r="DC486" s="439"/>
      <c r="DD486" s="443"/>
      <c r="DE486" s="411"/>
      <c r="DF486" s="411"/>
      <c r="DG486" s="1116">
        <f t="shared" si="654"/>
        <v>0</v>
      </c>
      <c r="DH486" s="1116">
        <f t="shared" si="655"/>
        <v>0</v>
      </c>
      <c r="DI486" s="1116">
        <f t="shared" si="656"/>
        <v>0</v>
      </c>
      <c r="DJ486" s="442">
        <f t="shared" si="657"/>
        <v>0</v>
      </c>
      <c r="DK486" s="432">
        <f t="shared" si="658"/>
        <v>0</v>
      </c>
      <c r="DL486" s="424">
        <f t="shared" si="659"/>
        <v>0</v>
      </c>
      <c r="DM486" s="420">
        <f t="shared" si="660"/>
        <v>0</v>
      </c>
      <c r="DN486" s="420">
        <f t="shared" si="661"/>
        <v>0</v>
      </c>
      <c r="DO486" s="420">
        <f t="shared" si="662"/>
        <v>0</v>
      </c>
      <c r="DP486" s="433">
        <f t="shared" si="663"/>
        <v>0</v>
      </c>
      <c r="DQ486" s="437" t="s">
        <v>2074</v>
      </c>
      <c r="DR486" s="1120">
        <f t="shared" si="664"/>
        <v>0.33</v>
      </c>
      <c r="DS486" s="450">
        <v>5</v>
      </c>
      <c r="DT486" s="1124" t="s">
        <v>1947</v>
      </c>
      <c r="DU486" s="1124" t="s">
        <v>2145</v>
      </c>
      <c r="DV486" s="1098">
        <f>IF($P486="","N/A",IF(P486=-1,INDEX('卡片raw data'!AN:AN,MATCH(D486,'卡片raw data'!$F:$F,)),0)+IF(AND(L486&lt;&gt;"party卡",P486&lt;=2,P486&gt;=0),INDEX('卡片raw data'!AP:AP,MATCH(D486,'卡片raw data'!$F:$F,)),0)+IF(OR(AND(L486="party卡",P486&lt;=1),AND(P486&lt;=4,L486&lt;&gt;"party卡",P486&gt;=3)),INDEX('卡片raw data'!AQ:AQ,MATCH(D486,'卡片raw data'!$F:$F,)),0)+IF(OR(P486=5,AND(L486="party卡",P486&gt;=2)),INDEX('卡片raw data'!AR:AR,MATCH(D486,'卡片raw data'!$F:$F,)),0))</f>
        <v>6.2E-2</v>
      </c>
      <c r="DW486" s="1098">
        <f t="shared" si="665"/>
        <v>0.33</v>
      </c>
      <c r="DX486" s="1098">
        <f t="shared" si="666"/>
        <v>0.33</v>
      </c>
      <c r="DY486" s="1098">
        <f t="shared" si="667"/>
        <v>3.4100000000000005E-2</v>
      </c>
      <c r="DZ486" s="1098">
        <f t="shared" si="668"/>
        <v>2.9496500000000005E-2</v>
      </c>
      <c r="EA486" s="421">
        <f t="shared" si="669"/>
        <v>0</v>
      </c>
      <c r="EB486" s="445">
        <f t="shared" si="670"/>
        <v>0</v>
      </c>
      <c r="EC486" s="424">
        <f t="shared" si="671"/>
        <v>5796.2724563938309</v>
      </c>
      <c r="ED486" s="420">
        <f t="shared" si="672"/>
        <v>232.39368335266883</v>
      </c>
      <c r="EE486" s="433">
        <f t="shared" si="683"/>
        <v>5796.2724563938309</v>
      </c>
      <c r="EF486" s="1115" t="s">
        <v>569</v>
      </c>
      <c r="EG486" s="1120">
        <f t="shared" si="673"/>
        <v>0.33</v>
      </c>
      <c r="EH486" s="450"/>
      <c r="EI486" s="1093"/>
      <c r="EJ486" s="1093"/>
      <c r="EK486" s="420">
        <f>IF($P486="","N/A",IF(P486=-1,INDEX('卡片raw data'!AS:AS,MATCH(D486,'卡片raw data'!$F:$F,)),0)+IF(AND(L486&lt;&gt;"party卡",P486&lt;=2,P486&gt;=0),INDEX('卡片raw data'!AU:AU,MATCH(D486,'卡片raw data'!$F:$F,)),0)+IF(OR(AND(L486="party卡",P486&lt;=1),AND(P486&lt;=4,L486&lt;&gt;"party卡",P486&gt;=3)),INDEX('卡片raw data'!AV:AV,MATCH(D486,'卡片raw data'!$F:$F,)),0)+IF(OR(P486=5,AND(L486="party卡",P486&gt;=2)),INDEX('卡片raw data'!AW:AW,MATCH(D486,'卡片raw data'!$F:$F,)),0))</f>
        <v>0</v>
      </c>
      <c r="EL486" s="1098">
        <f t="shared" si="674"/>
        <v>0.33</v>
      </c>
      <c r="EM486" s="1098">
        <f t="shared" si="675"/>
        <v>0.33</v>
      </c>
      <c r="EN486" s="1097">
        <f t="shared" si="676"/>
        <v>0</v>
      </c>
      <c r="EO486" s="1097">
        <f t="shared" si="677"/>
        <v>0</v>
      </c>
      <c r="EP486" s="421">
        <f t="shared" si="678"/>
        <v>0</v>
      </c>
      <c r="EQ486" s="445">
        <f t="shared" si="679"/>
        <v>0</v>
      </c>
      <c r="ER486" s="424">
        <f t="shared" si="680"/>
        <v>0</v>
      </c>
      <c r="ES486" s="420">
        <f t="shared" si="681"/>
        <v>0</v>
      </c>
      <c r="ET486" s="446">
        <f t="shared" si="684"/>
        <v>0</v>
      </c>
    </row>
    <row r="487" spans="2:150" ht="16.5" customHeight="1">
      <c r="B487" s="448" t="str">
        <f>INDEX('卡片raw data'!B:B,MATCH($D487,'卡片raw data'!$F:$F,))</f>
        <v>jb菜</v>
      </c>
      <c r="C487" s="449" t="s">
        <v>3182</v>
      </c>
      <c r="D487" s="408">
        <v>484</v>
      </c>
      <c r="E487" s="477">
        <v>402072003</v>
      </c>
      <c r="F487" s="409" t="str">
        <f>INDEX('卡片raw data'!C:C,MATCH($D487,'卡片raw data'!$F:$F,))</f>
        <v>SR</v>
      </c>
      <c r="G487" s="1094" t="s">
        <v>3192</v>
      </c>
      <c r="H487" s="411">
        <f>IFERROR(INDEX(绊状态确认!C:C,MATCH($G487,绊状态确认!$B:$B,)),"")</f>
        <v>207</v>
      </c>
      <c r="I487" s="450" t="str">
        <f>IFERROR(INDEX(绊状态确认!D:D,MATCH($G487,绊状态确认!$B:$B,)),"")</f>
        <v>虹</v>
      </c>
      <c r="J487" s="450" t="str">
        <f>IFERROR(INDEX(绊状态确认!E:E,MATCH($G487,绊状态确认!$B:$B,)),"")</f>
        <v>2年级</v>
      </c>
      <c r="K487" s="451" t="str">
        <f>IFERROR(INDEX(绊状态确认!F:F,MATCH($G487,绊状态确认!$B:$B,)),"")</f>
        <v>A·ZU·NA</v>
      </c>
      <c r="L487" s="414" t="str">
        <f>INDEX('卡片raw data'!E:E,MATCH($D487,'卡片raw data'!$F:$F,))</f>
        <v>活动卡</v>
      </c>
      <c r="M487" s="478">
        <v>44366</v>
      </c>
      <c r="N487" s="479">
        <v>42</v>
      </c>
      <c r="O487" s="410" t="str">
        <f>INDEX('卡片raw data'!D:D,MATCH($D487,'卡片raw data'!$F:$F,))</f>
        <v>sk</v>
      </c>
      <c r="P487" s="1126">
        <v>5</v>
      </c>
      <c r="Q487" s="418">
        <f t="shared" si="600"/>
        <v>22354.171104739071</v>
      </c>
      <c r="R487" s="419">
        <f t="shared" si="601"/>
        <v>0.25900000000000001</v>
      </c>
      <c r="S487" s="420">
        <f t="shared" si="602"/>
        <v>16259.344008313696</v>
      </c>
      <c r="T487" s="421">
        <f t="shared" si="603"/>
        <v>0.81200000000000006</v>
      </c>
      <c r="U487" s="422">
        <f t="shared" si="604"/>
        <v>579.52047640990293</v>
      </c>
      <c r="V487" s="423">
        <f t="shared" si="605"/>
        <v>73419.376633802996</v>
      </c>
      <c r="W487" s="424">
        <f t="shared" si="606"/>
        <v>4725.9033053078174</v>
      </c>
      <c r="X487" s="419">
        <f t="shared" si="607"/>
        <v>5.3999999999999999E-2</v>
      </c>
      <c r="Y487" s="420">
        <f t="shared" si="608"/>
        <v>630.17443944016304</v>
      </c>
      <c r="Z487" s="425">
        <f t="shared" si="609"/>
        <v>7.9646680809428547</v>
      </c>
      <c r="AA487" s="426">
        <f t="shared" si="610"/>
        <v>5356.0777447479804</v>
      </c>
      <c r="AB487" s="424">
        <f t="shared" si="611"/>
        <v>5226.2002756478578</v>
      </c>
      <c r="AC487" s="427">
        <f t="shared" si="612"/>
        <v>0.06</v>
      </c>
      <c r="AD487" s="428">
        <f t="shared" si="613"/>
        <v>2.5827557765151516E-2</v>
      </c>
      <c r="AE487" s="516">
        <f t="shared" si="614"/>
        <v>7.6779697246100422</v>
      </c>
      <c r="AF487" s="1130">
        <f t="shared" si="615"/>
        <v>7620.7441110527998</v>
      </c>
      <c r="AG487" s="420">
        <f t="shared" si="616"/>
        <v>108998.78479112001</v>
      </c>
      <c r="AH487" s="420">
        <f t="shared" si="617"/>
        <v>14.302905753393931</v>
      </c>
      <c r="AI487" s="1097">
        <f t="shared" si="618"/>
        <v>100872.88672364441</v>
      </c>
      <c r="AJ487" s="420">
        <f t="shared" si="619"/>
        <v>73419.376633802996</v>
      </c>
      <c r="AK487" s="518">
        <f t="shared" si="620"/>
        <v>27453.510089841409</v>
      </c>
      <c r="AL487" s="429">
        <f>IF($P487="","N/A",(IF($P487=-1,INDEX('卡片raw data'!S:S,MATCH($D487,'卡片raw data'!$F:$F,)),0)+IF($P487=0,INDEX('卡片raw data'!V:V,MATCH($D487,'卡片raw data'!$F:$F,)),0)+IF($P487=1,INDEX('卡片raw data'!Y:Y,MATCH($D487,'卡片raw data'!$F:$F,)),0)+IF($P487=2,INDEX('卡片raw data'!AB:AB,MATCH($D487,'卡片raw data'!$F:$F,)),0)+IF($P487=3,INDEX('卡片raw data'!AE:AE,MATCH($D487,'卡片raw data'!$F:$F,)),0)+IF($P487=4,INDEX('卡片raw data'!AH:AH,MATCH($D487,'卡片raw data'!$F:$F,)),0)+IF($P487=5,INDEX('卡片raw data'!AK:AK,MATCH($D487,'卡片raw data'!$F:$F,)),0)+INDEX('卡片raw data'!S:S,MATCH($D487,'卡片raw data'!$F:$F,))*(IF($F487="UR",0.04,0.033))*(IF($F487="UR",INDEX(绊状态确认!$S:$S,MATCH($G487,绊状态确认!$B:$B,))/2-40)+IF($F487="SR",INDEX(绊状态确认!$R:$R,MATCH($G487,绊状态确认!$B:$B,))/4-15))+IF($F487="R",INDEX(绊状态确认!$Q:$Q,MATCH($G487,绊状态确认!$B:$B,))/6-40/6)))*(INDEX(绊状态确认!$H:$H,MATCH($G487,绊状态确认!$B:$B,))+INDEX(绊状态确认!J:J,MATCH($G487,绊状态确认!$B:$B,)))</f>
        <v>7124.5393415999997</v>
      </c>
      <c r="AM487" s="429">
        <f>IF($P487="","N/A",(IF($P487=-1,INDEX('卡片raw data'!T:T,MATCH($D487,'卡片raw data'!$F:$F,)),0)+IF($P487=0,INDEX('卡片raw data'!W:W,MATCH($D487,'卡片raw data'!$F:$F,)),0)+IF($P487=1,INDEX('卡片raw data'!Z:Z,MATCH($D487,'卡片raw data'!$F:$F,)),0)+IF($P487=2,INDEX('卡片raw data'!AC:AC,MATCH($D487,'卡片raw data'!$F:$F,)),0)+IF($P487=3,INDEX('卡片raw data'!AF:AF,MATCH($D487,'卡片raw data'!$F:$F,)),0)+IF($P487=4,INDEX('卡片raw data'!AI:AI,MATCH($D487,'卡片raw data'!$F:$F,)),0)+IF($P487=5,INDEX('卡片raw data'!AL:AL,MATCH($D487,'卡片raw data'!$F:$F,)),0)+INDEX('卡片raw data'!T:T,MATCH($D487,'卡片raw data'!$F:$F,))*(IF($F487="UR",0.04,0.033))*(IF($F487="UR",INDEX(绊状态确认!$S:$S,MATCH($G487,绊状态确认!$B:$B,))/2-40)+IF($F487="SR",INDEX(绊状态确认!$R:$R,MATCH($G487,绊状态确认!$B:$B,))/4-15))+IF($F487="R",INDEX(绊状态确认!$Q:$Q,MATCH($G487,绊状态确认!$B:$B,))/6-40/6)))*(INDEX(绊状态确认!$H:$H,MATCH($G487,绊状态确认!$B:$B,))+INDEX(绊状态确认!K:K,MATCH($G487,绊状态确认!$B:$B,)))</f>
        <v>3464.9745119999993</v>
      </c>
      <c r="AN487" s="429">
        <f>IF($P487="","N/A",(IF($P487=-1,INDEX('卡片raw data'!U:U,MATCH($D487,'卡片raw data'!$F:$F,)),0)+IF($P487=0,INDEX('卡片raw data'!X:X,MATCH($D487,'卡片raw data'!$F:$F,)),0)+IF($P487=1,INDEX('卡片raw data'!AA:AA,MATCH($D487,'卡片raw data'!$F:$F,)),0)+IF($P487=2,INDEX('卡片raw data'!AD:AD,MATCH($D487,'卡片raw data'!$F:$F,)),0)+IF($P487=3,INDEX('卡片raw data'!AG:AG,MATCH($D487,'卡片raw data'!$F:$F,)),0)+IF($P487=4,INDEX('卡片raw data'!AJ:AJ,MATCH($D487,'卡片raw data'!$F:$F,)),0)+IF($P487=5,INDEX('卡片raw data'!AM:AM,MATCH($D487,'卡片raw data'!$F:$F,)),0)+INDEX('卡片raw data'!U:U,MATCH($D487,'卡片raw data'!$F:$F,))*(IF($F487="UR",0.04,0.033))*(IF($F487="UR",INDEX(绊状态确认!$S:$S,MATCH($G487,绊状态确认!$B:$B,))/2-40)+IF($F487="SR",INDEX(绊状态确认!$R:$R,MATCH($G487,绊状态确认!$B:$B,))/4-15))+IF($F487="R",INDEX(绊状态确认!$Q:$Q,MATCH($G487,绊状态确认!$B:$B,))/6-40/6)))*(INDEX(绊状态确认!$H:$H,MATCH($G487,绊状态确认!$B:$B,))+INDEX(绊状态确认!L:L,MATCH($G487,绊状态确认!$B:$B,)))</f>
        <v>8665.2772799999984</v>
      </c>
      <c r="AO487" s="430">
        <f t="shared" si="621"/>
        <v>1</v>
      </c>
      <c r="AP487" s="556">
        <f>1+(INDEX(绊状态确认!$T:$T,MATCH($G487,绊状态确认!$B:$B,))+0.2)*$AO487</f>
        <v>1.3</v>
      </c>
      <c r="AQ487" s="431">
        <f t="shared" si="622"/>
        <v>21951.915771700002</v>
      </c>
      <c r="AR487" s="420">
        <f>(AM487*(1+$EX$9)+$EX$35)*(1+(INDEX(绊状态确认!$T:$T,MATCH($G487,绊状态确认!$B:$B,))+0.2)*AO487)*IF(J487=$FF$17,1+$FE$17,1)*IF(I487=$FF$14,1+$FE$14,1)</f>
        <v>7433.6902088799989</v>
      </c>
      <c r="AS487" s="420">
        <f>(AN487*(1+$EX$10)+$EX$36)*(1+(INDEX(绊状态确认!$T:$T,MATCH($G487,绊状态确认!$B:$B,))+0.2)*AO487)*IF(J487=$FF$17,1+$FE$17,1)*IF(I487=$FF$14,1+$FE$14,1)</f>
        <v>17010.589533599999</v>
      </c>
      <c r="AT487" s="412">
        <f>IF(AND(INDEX('卡片raw data'!AK:AK,MATCH($D487,'卡片raw data'!$F:$F,))&lt;INDEX('卡片raw data'!AM:AM,MATCH($D487,'卡片raw data'!$F:$F,)),INDEX('卡片raw data'!AL:AL,MATCH($D487,'卡片raw data'!$F:$F,))&lt;INDEX('卡片raw data'!AM:AM,MATCH($D487,'卡片raw data'!$F:$F,))),1,0)</f>
        <v>1</v>
      </c>
      <c r="AU487" s="421">
        <f>MIN(AT487*0.15+AS487*0.00003+INDEX(绊状态确认!M:M,MATCH($G487,绊状态确认!$B:$B,)),1)</f>
        <v>0.69031768600800003</v>
      </c>
      <c r="AV487" s="432">
        <f>(INDEX(绊状态确认!$N:$N,MATCH($G487,绊状态确认!$B:$B,))+1.5)*$EW$21</f>
        <v>2.6599999999999997</v>
      </c>
      <c r="AW487" s="424">
        <f t="shared" si="623"/>
        <v>24464.97679739448</v>
      </c>
      <c r="AX487" s="420">
        <f t="shared" si="624"/>
        <v>630.17443944016304</v>
      </c>
      <c r="AY487" s="433">
        <f t="shared" si="625"/>
        <v>25095.151236834645</v>
      </c>
      <c r="AZ487" s="429">
        <f t="shared" si="626"/>
        <v>16492.85171612</v>
      </c>
      <c r="BA487" s="431">
        <f t="shared" si="627"/>
        <v>19791.422059344</v>
      </c>
      <c r="BB487" s="420">
        <f>(AM487*(1+$FB$9)+$FB$35)*(1+(INDEX(绊状态确认!$T:$T,MATCH($G487,绊状态确认!$B:$B,))+0.2)*AO487)*IF(J487=$FF$17,1+$FE$17,1)*IF(I487=$FF$14,1+$FE$14,1)*(1+$FE$15)</f>
        <v>7433.6902088799989</v>
      </c>
      <c r="BC487" s="420">
        <f>(AN487*(1+$FB$10)+$FB$36)*(1+(INDEX(绊状态确认!$T:$T,MATCH($G487,绊状态确认!$B:$B,))+0.2)*AO487)*IF(J487=$FF$17,1+$FE$17,1)*IF(I487=$FF$14,1+$FE$14,1)*(1+$FE$15)</f>
        <v>17010.589533599999</v>
      </c>
      <c r="BD487" s="427">
        <f>MIN(AT487*0.15+BC487*0.00003+INDEX(绊状态确认!M:M,MATCH($G487,绊状态确认!$B:$B,)),1)</f>
        <v>0.69031768600800003</v>
      </c>
      <c r="BE487" s="432">
        <f>(INDEX(绊状态确认!$N:$N,MATCH($G487,绊状态确认!$B:$B,))+1.5)</f>
        <v>1.9</v>
      </c>
      <c r="BF487" s="645">
        <f t="array" ref="BF487">SUMPRODUCT(IF(AZ487*AP487*$FI$16:$FI$23*$FA$22&gt;=$FI$24,$FI$24,AZ487*AP487*$FI$16:$FI$23*$FA$22),$FJ$16:$FJ$23)</f>
        <v>32804.282063362676</v>
      </c>
      <c r="BG487" s="453">
        <f t="array" ref="BG487">SUMPRODUCT(IF(BE487*AZ487*AP487*$FI$16:$FI$23*$FA$22&gt;=$FI$24,$FI$24,BE487*AZ487*AP487*$FI$16:$FI$23*$FA$22),$FJ$16:$FJ$23)</f>
        <v>57590.792181572688</v>
      </c>
      <c r="BH487" s="433">
        <f t="shared" si="628"/>
        <v>16638.282790793095</v>
      </c>
      <c r="BI487" s="434">
        <f>IF(O487="vo",$EW$26/$EW$24*0.05,0)+IF(O487="sk",-$EW$26/$EW$24*(0.05-INDEX(绊状态确认!W:W,MATCH($G487,绊状态确认!$B:$B,)))+0.05*$EW$28,0)+IF(O487="sp",0.05*$EW$32*$EW$30*(1-$EW$33)-(0.05-INDEX(绊状态确认!V:V,MATCH($G487,绊状态确认!$B:$B,)))*$EW$28,0)+IF(O487="gd",-(0.05-INDEX(绊状态确认!X:X,MATCH($G487,绊状态确认!$B:$B,)))*$EW$32*$EW$30*(1-$EW$33),0)</f>
        <v>-6253.6726349699375</v>
      </c>
      <c r="BJ487" s="420">
        <f>IF(O487="vo",0.05*(1-$FI$26)*$FA$24,0)+IF(O487="sk",-(0.05-INDEX(绊状态确认!W:W,MATCH($G487,绊状态确认!$B:$B,)))*(1-$FI$26)*$FA$24+0.05*$FA$26,0)+IF(O487="sp",0.05*$FA$32*$FA$27*(1-$FA$33)/$FA$30+0.05*$FA$29/$FA$69*$FA$27*(1-$FA$33)-(0.05-INDEX(绊状态确认!V:V,MATCH($G487,绊状态确认!$B:$B,)))*$FA$26,0)+IF(O487="gd",-(0.05-INDEX(绊状态确认!X:X,MATCH($G487,绊状态确认!$B:$B,)))*$FA$32*$FA$27*(1-$FA$33)/$FA$30-(0.05-INDEX(绊状态确认!X:X,MATCH($G487,绊状态确认!$B:$B,)))*$FA$29/$FA$69*$FA$27*(1-$FA$33),0)</f>
        <v>20.459096812499922</v>
      </c>
      <c r="BK487" s="433">
        <f>IF(O487="vo",$EW$26/$EW$24*0.05+$EW$26*(-HP($EW$62,$EW$65,$EW$64)+HP($EW$62,$EW$65,(1.05-INDEX(绊状态确认!U:U,MATCH($G487,绊状态确认!$B:$B,)))*$EW$64)),0)+IF(O487="sk",-$EW$26/$EW$24*(0.05-INDEX(绊状态确认!W:W,MATCH($G487,绊状态确认!$B:$B,)))+0.05*$EW$29,0)+IF(O487="sp",0.05*$EW$32*$EW$30*(1-$EW$33)-(0.05-INDEX(绊状态确认!V:V,MATCH($G487,绊状态确认!$B:$B,)))*$EW$29,0)+IF(O487="gd",-(0.05-INDEX(绊状态确认!X:X,MATCH($G487,绊状态确认!$B:$B,)))*$EW$32*$EW$30*(1-$EW$33)+$EW$26*(-HP($EW$62,$EW$65,$EW$64)+HP($EW$62,$EW$65,0.95*$EW$64)),0)</f>
        <v>-4253.6726349699375</v>
      </c>
      <c r="BL487" s="434">
        <f t="shared" si="629"/>
        <v>-1083.3333333333333</v>
      </c>
      <c r="BM487" s="433">
        <f t="shared" si="630"/>
        <v>-830.55555555555543</v>
      </c>
      <c r="BN487" s="437">
        <f t="shared" si="631"/>
        <v>3</v>
      </c>
      <c r="BO487" s="1108">
        <f t="shared" si="632"/>
        <v>4507.7214871259994</v>
      </c>
      <c r="BP487" s="1100">
        <f t="shared" si="633"/>
        <v>221.34103209030098</v>
      </c>
      <c r="BQ487" s="437" t="s">
        <v>134</v>
      </c>
      <c r="BR487" s="450" t="s">
        <v>166</v>
      </c>
      <c r="BS487" s="421">
        <f>IF($P487="","N/A",IF($P487=-1,INDEX('卡片raw data'!AX:AX,MATCH($D487,'卡片raw data'!$F:$F,)),0)+IF($L487="party卡",IF($P487=5,INDEX('卡片raw data'!BD:BD,MATCH($D487,'卡片raw data'!$F:$F,)),IF($P487&gt;=3,INDEX('卡片raw data'!BC:BC,MATCH($D487,'卡片raw data'!$F:$F,)),INDEX('卡片raw data'!BB:BB,MATCH($D487,'卡片raw data'!$F:$F,)))),IF(OR(AND($F487="UR",$P487=0),AND($F487="SR",$P487&gt;=0,$P487&lt;=2),AND($F487="R",$P487&gt;=0,$P487&lt;4)),INDEX('卡片raw data'!AZ:AZ,MATCH($D487,'卡片raw data'!$F:$F,)),0)+IF(OR(AND($F487="UR",$P487&gt;=1,$P487&lt;=4),AND($F487="SR",$P487&lt;=4,$P487&gt;=3),AND($F487="R",$P487=4)),INDEX('卡片raw data'!BA:BA,MATCH($D487,'卡片raw data'!$F:$F,)),0)+IF($P487=5,INDEX('卡片raw data'!BB:BB,MATCH($D487,'卡片raw data'!$F:$F,)),0)))</f>
        <v>7.0000000000000007E-2</v>
      </c>
      <c r="BT487" s="424">
        <f t="shared" si="634"/>
        <v>500.29697034004073</v>
      </c>
      <c r="BU487" s="420">
        <f t="shared" si="635"/>
        <v>27.99846235517294</v>
      </c>
      <c r="BV487" s="420">
        <f t="shared" si="636"/>
        <v>0</v>
      </c>
      <c r="BW487" s="436">
        <f t="shared" si="637"/>
        <v>0</v>
      </c>
      <c r="BX487" s="423">
        <f t="shared" si="638"/>
        <v>500.29697034004073</v>
      </c>
      <c r="BY487" s="433">
        <f t="shared" si="639"/>
        <v>0</v>
      </c>
      <c r="BZ487" s="1113" t="s">
        <v>569</v>
      </c>
      <c r="CA487" s="450"/>
      <c r="CB487" s="421">
        <f>IF($P487="","N/A",IF($P487=-1,INDEX('卡片raw data'!BE:BE,MATCH($D487,'卡片raw data'!$F:$F,)),0)+IF($L487="party卡",IF($P487=5,INDEX('卡片raw data'!BK:BK,MATCH($D487,'卡片raw data'!$F:$F,)),IF($P487&gt;=3,INDEX('卡片raw data'!BJ:BJ,MATCH($D487,'卡片raw data'!$F:$F,)),INDEX('卡片raw data'!BI:BI,MATCH($D487,'卡片raw data'!$F:$F,)))),IF(OR(AND($F487="UR",$P487=0),AND($F487="SR",$P487&gt;=0,$P487&lt;=2),AND($F487="R",$P487&gt;=0,$P487&lt;4)),INDEX('卡片raw data'!BG:BG,MATCH($D487,'卡片raw data'!$F:$F,)),0)+IF(OR(AND($F487="UR",$P487&gt;=1,$P487&lt;=4),AND($F487="SR",$P487&lt;=4,$P487&gt;=3),AND($F487="R",$P487=4)),INDEX('卡片raw data'!BH:BH,MATCH($D487,'卡片raw data'!$F:$F,)),0)+IF($P487=5,INDEX('卡片raw data'!BI:BI,MATCH($D487,'卡片raw data'!$F:$F,)),0)))</f>
        <v>0</v>
      </c>
      <c r="CC487" s="424">
        <f t="shared" si="640"/>
        <v>0</v>
      </c>
      <c r="CD487" s="420">
        <f>IF(BZ487="ap",CB487*(1-$FI$26)*$FB$5/$FB$11*(+IF(CA487="全员",$FA$24,0)+IF(CA487="同作战",$FA$24,0)+IF(CA487="仲间",$FA$24*2/3,0)+IF(CA487="同属性",$FA$24*$FA$37/3,0)+IF(CA487="同年级",$FA$24*$FA$40/3,0)+IF(CA487="同学校",$FA$24*$FA$43/3,0)+IF(CA487="同小队",$FA$24*$FA$46/3,0)+IF(CA487="同type",$FA$24*INDEX($FB$49:$FB$52,MATCH(X487,$FA$49:$FA$52,))/3,0)+IF(CA487="自身",#REF!/3,0)),0)+IF(BZ487="te",CB487*(1-$FI$27)*($FA$20-1)*$FB$7/$FB$13*(+IF(CA487="全员",$FA$19*$FA$24/(1+($FA$20-1)*$FA$19),0)+IF(CA487="同作战",$FA$19*$FA$24/(1+($FA$20-1)*$FA$19),0)+IF(CA487="仲间",$FA$19*$FA$24*2/3/(1+($FA$20-1)*$FA$19),0)+IF(CA487="同属性",$FA$19*$FA$24*$FA$37/3/(1+($FA$20-1)*$FA$19),0)+IF(CA487="同年级",$FA$19*$FA$24*$FA$40/3/(1+($FA$20-1)*$FA$19),0)+IF(CA487="同学校",$FA$19*$FA$24*$FA$43/3/(1+($FA$20-1)*$FA$19),0)+IF(CA487="同小队",$FA$19*$FA$24*$FA$46/3/(1+($FA$20-1)*$FA$19),0)+IF(CA487="同type",$FA$19*$FA$24*INDEX($FB$49:$FB$52,MATCH(X487,$FA$49:$FA$52,))/3/(1+($FA$20-1)*$FA$19),0)+IF(CA487="自身",$FA$19*#REF!/3/(1+(BH487-1)*$BD487),0)),0)</f>
        <v>0</v>
      </c>
      <c r="CE487" s="420">
        <f t="shared" si="641"/>
        <v>0</v>
      </c>
      <c r="CF487" s="436">
        <f t="shared" si="642"/>
        <v>0</v>
      </c>
      <c r="CG487" s="423">
        <f t="shared" si="643"/>
        <v>0</v>
      </c>
      <c r="CH487" s="433">
        <f t="shared" si="644"/>
        <v>0</v>
      </c>
      <c r="CI487" s="437" t="s">
        <v>162</v>
      </c>
      <c r="CJ487" s="438">
        <v>0.3</v>
      </c>
      <c r="CK487" s="439" t="s">
        <v>295</v>
      </c>
      <c r="CL487" s="439" t="s">
        <v>161</v>
      </c>
      <c r="CM487" s="443">
        <v>0.08</v>
      </c>
      <c r="CN487" s="439">
        <v>10</v>
      </c>
      <c r="CO487" s="1115"/>
      <c r="CP487" s="1118">
        <f t="shared" si="645"/>
        <v>5.1428571428571426E-3</v>
      </c>
      <c r="CQ487" s="1118">
        <f t="shared" si="646"/>
        <v>8.0000000000000002E-3</v>
      </c>
      <c r="CR487" s="1118">
        <f t="shared" si="647"/>
        <v>5.1428571428571426E-3</v>
      </c>
      <c r="CS487" s="442">
        <f t="shared" si="648"/>
        <v>6.8333333333333319E-3</v>
      </c>
      <c r="CT487" s="432">
        <f t="shared" si="649"/>
        <v>0</v>
      </c>
      <c r="CU487" s="1101">
        <f t="shared" si="650"/>
        <v>218.18181818181816</v>
      </c>
      <c r="CV487" s="1108">
        <f t="shared" si="685"/>
        <v>181.81818181818181</v>
      </c>
      <c r="CW487" s="420">
        <f t="shared" si="651"/>
        <v>218.18181818181816</v>
      </c>
      <c r="CX487" s="420">
        <f t="shared" si="652"/>
        <v>218.18181818181816</v>
      </c>
      <c r="CY487" s="433">
        <f t="shared" si="653"/>
        <v>218.18181818181816</v>
      </c>
      <c r="CZ487" s="437"/>
      <c r="DA487" s="438"/>
      <c r="DB487" s="439" t="s">
        <v>569</v>
      </c>
      <c r="DC487" s="439"/>
      <c r="DD487" s="443"/>
      <c r="DE487" s="411"/>
      <c r="DF487" s="411"/>
      <c r="DG487" s="1116">
        <f t="shared" si="654"/>
        <v>0</v>
      </c>
      <c r="DH487" s="1116">
        <f t="shared" si="655"/>
        <v>0</v>
      </c>
      <c r="DI487" s="1116">
        <f t="shared" si="656"/>
        <v>0</v>
      </c>
      <c r="DJ487" s="442">
        <f t="shared" si="657"/>
        <v>0</v>
      </c>
      <c r="DK487" s="432">
        <f t="shared" si="658"/>
        <v>0</v>
      </c>
      <c r="DL487" s="424">
        <f t="shared" si="659"/>
        <v>0</v>
      </c>
      <c r="DM487" s="420">
        <f t="shared" si="660"/>
        <v>0</v>
      </c>
      <c r="DN487" s="420">
        <f t="shared" si="661"/>
        <v>0</v>
      </c>
      <c r="DO487" s="420">
        <f t="shared" si="662"/>
        <v>0</v>
      </c>
      <c r="DP487" s="433">
        <f t="shared" si="663"/>
        <v>0</v>
      </c>
      <c r="DQ487" s="437" t="s">
        <v>635</v>
      </c>
      <c r="DR487" s="444">
        <f t="shared" si="664"/>
        <v>0.3</v>
      </c>
      <c r="DS487" s="450"/>
      <c r="DT487" s="1093" t="s">
        <v>134</v>
      </c>
      <c r="DU487" s="1093"/>
      <c r="DV487" s="1098">
        <f>IF($P487="","N/A",IF(P487=-1,INDEX('卡片raw data'!AN:AN,MATCH(D487,'卡片raw data'!$F:$F,)),0)+IF(AND(L487&lt;&gt;"party卡",P487&lt;=2,P487&gt;=0),INDEX('卡片raw data'!AP:AP,MATCH(D487,'卡片raw data'!$F:$F,)),0)+IF(OR(AND(L487="party卡",P487&lt;=1),AND(P487&lt;=4,L487&lt;&gt;"party卡",P487&gt;=3)),INDEX('卡片raw data'!AQ:AQ,MATCH(D487,'卡片raw data'!$F:$F,)),0)+IF(OR(P487=5,AND(L487="party卡",P487&gt;=2)),INDEX('卡片raw data'!AR:AR,MATCH(D487,'卡片raw data'!$F:$F,)),0))</f>
        <v>0.32</v>
      </c>
      <c r="DW487" s="1098">
        <f t="shared" si="665"/>
        <v>0.3</v>
      </c>
      <c r="DX487" s="1098">
        <f t="shared" si="666"/>
        <v>0.3</v>
      </c>
      <c r="DY487" s="1097">
        <f t="shared" si="667"/>
        <v>544.33886507520003</v>
      </c>
      <c r="DZ487" s="1097">
        <f t="shared" si="668"/>
        <v>470.85311829004803</v>
      </c>
      <c r="EA487" s="421">
        <f t="shared" si="669"/>
        <v>0</v>
      </c>
      <c r="EB487" s="445">
        <f t="shared" si="670"/>
        <v>0</v>
      </c>
      <c r="EC487" s="424">
        <f t="shared" si="671"/>
        <v>0</v>
      </c>
      <c r="ED487" s="420">
        <f t="shared" si="672"/>
        <v>0</v>
      </c>
      <c r="EE487" s="433">
        <f t="shared" si="683"/>
        <v>48435.03108962375</v>
      </c>
      <c r="EF487" s="1115" t="s">
        <v>569</v>
      </c>
      <c r="EG487" s="444">
        <f t="shared" si="673"/>
        <v>0.3</v>
      </c>
      <c r="EH487" s="450"/>
      <c r="EI487" s="1093"/>
      <c r="EJ487" s="1093"/>
      <c r="EK487" s="1097">
        <f>IF($P487="","N/A",IF(P487=-1,INDEX('卡片raw data'!AS:AS,MATCH(D487,'卡片raw data'!$F:$F,)),0)+IF(AND(L487&lt;&gt;"party卡",P487&lt;=2,P487&gt;=0),INDEX('卡片raw data'!AU:AU,MATCH(D487,'卡片raw data'!$F:$F,)),0)+IF(OR(AND(L487="party卡",P487&lt;=1),AND(P487&lt;=4,L487&lt;&gt;"party卡",P487&gt;=3)),INDEX('卡片raw data'!AV:AV,MATCH(D487,'卡片raw data'!$F:$F,)),0)+IF(OR(P487=5,AND(L487="party卡",P487&gt;=2)),INDEX('卡片raw data'!AW:AW,MATCH(D487,'卡片raw data'!$F:$F,)),0))</f>
        <v>0</v>
      </c>
      <c r="EL487" s="1098">
        <f t="shared" si="674"/>
        <v>0.3</v>
      </c>
      <c r="EM487" s="1098">
        <f t="shared" si="675"/>
        <v>0.3</v>
      </c>
      <c r="EN487" s="1097">
        <f t="shared" si="676"/>
        <v>0</v>
      </c>
      <c r="EO487" s="1097">
        <f t="shared" si="677"/>
        <v>0</v>
      </c>
      <c r="EP487" s="421">
        <f t="shared" si="678"/>
        <v>0</v>
      </c>
      <c r="EQ487" s="445">
        <f t="shared" si="679"/>
        <v>0</v>
      </c>
      <c r="ER487" s="424">
        <f t="shared" si="680"/>
        <v>0</v>
      </c>
      <c r="ES487" s="420">
        <f t="shared" si="681"/>
        <v>0</v>
      </c>
      <c r="ET487" s="446">
        <f t="shared" si="684"/>
        <v>0</v>
      </c>
    </row>
    <row r="488" spans="2:150" ht="16.5" customHeight="1">
      <c r="B488" s="448" t="str">
        <f>INDEX('卡片raw data'!B:B,MATCH($D488,'卡片raw data'!$F:$F,))</f>
        <v>nbg凛</v>
      </c>
      <c r="C488" s="449" t="s">
        <v>3190</v>
      </c>
      <c r="D488" s="408">
        <v>485</v>
      </c>
      <c r="E488" s="477">
        <v>400052004</v>
      </c>
      <c r="F488" s="409" t="str">
        <f>INDEX('卡片raw data'!C:C,MATCH($D488,'卡片raw data'!$F:$F,))</f>
        <v>SR</v>
      </c>
      <c r="G488" s="1094" t="s">
        <v>3191</v>
      </c>
      <c r="H488" s="411">
        <f>IFERROR(INDEX(绊状态确认!C:C,MATCH($G488,绊状态确认!$B:$B,)),"")</f>
        <v>5</v>
      </c>
      <c r="I488" s="450" t="str">
        <f>IFERROR(INDEX(绊状态确认!D:D,MATCH($G488,绊状态确认!$B:$B,)),"")</f>
        <v>缪</v>
      </c>
      <c r="J488" s="450" t="str">
        <f>IFERROR(INDEX(绊状态确认!E:E,MATCH($G488,绊状态确认!$B:$B,)),"")</f>
        <v>1年级</v>
      </c>
      <c r="K488" s="451" t="str">
        <f>IFERROR(INDEX(绊状态确认!F:F,MATCH($G488,绊状态确认!$B:$B,)),"")</f>
        <v>lilywhite</v>
      </c>
      <c r="L488" s="414" t="str">
        <f>INDEX('卡片raw data'!E:E,MATCH($D488,'卡片raw data'!$F:$F,))</f>
        <v>活动卡</v>
      </c>
      <c r="M488" s="478">
        <v>44366</v>
      </c>
      <c r="N488" s="479">
        <v>42</v>
      </c>
      <c r="O488" s="410" t="str">
        <f>INDEX('卡片raw data'!D:D,MATCH($D488,'卡片raw data'!$F:$F,))</f>
        <v>vo</v>
      </c>
      <c r="P488" s="1126">
        <v>5</v>
      </c>
      <c r="Q488" s="418">
        <f t="shared" si="600"/>
        <v>35827.804690301309</v>
      </c>
      <c r="R488" s="419">
        <f t="shared" si="601"/>
        <v>0.41599999999999998</v>
      </c>
      <c r="S488" s="420">
        <f t="shared" si="602"/>
        <v>16030.224565866414</v>
      </c>
      <c r="T488" s="421">
        <f t="shared" si="603"/>
        <v>0.80100000000000005</v>
      </c>
      <c r="U488" s="422">
        <f t="shared" si="604"/>
        <v>-13.936547590677144</v>
      </c>
      <c r="V488" s="423">
        <f t="shared" si="605"/>
        <v>35404.038170998661</v>
      </c>
      <c r="W488" s="424">
        <f t="shared" si="606"/>
        <v>6037.5294668193856</v>
      </c>
      <c r="X488" s="419">
        <f t="shared" si="607"/>
        <v>7.0000000000000007E-2</v>
      </c>
      <c r="Y488" s="420">
        <f t="shared" si="608"/>
        <v>880.90193093904236</v>
      </c>
      <c r="Z488" s="425">
        <f t="shared" si="609"/>
        <v>11.063452409322856</v>
      </c>
      <c r="AA488" s="426">
        <f t="shared" si="610"/>
        <v>6918.4313977584279</v>
      </c>
      <c r="AB488" s="424">
        <f t="shared" si="611"/>
        <v>6693.3322766426181</v>
      </c>
      <c r="AC488" s="427">
        <f t="shared" si="612"/>
        <v>7.6999999999999999E-2</v>
      </c>
      <c r="AD488" s="428">
        <f t="shared" si="613"/>
        <v>-3.8207812500000026E-3</v>
      </c>
      <c r="AE488" s="516">
        <f t="shared" si="614"/>
        <v>-12.27536231884058</v>
      </c>
      <c r="AF488" s="1130">
        <f t="shared" si="615"/>
        <v>0</v>
      </c>
      <c r="AG488" s="420">
        <f t="shared" si="616"/>
        <v>0</v>
      </c>
      <c r="AH488" s="420">
        <f t="shared" si="617"/>
        <v>0</v>
      </c>
      <c r="AI488" s="1097">
        <f t="shared" si="618"/>
        <v>0</v>
      </c>
      <c r="AJ488" s="420">
        <f t="shared" si="619"/>
        <v>0</v>
      </c>
      <c r="AK488" s="518">
        <f t="shared" si="620"/>
        <v>0</v>
      </c>
      <c r="AL488" s="429">
        <f>IF($P488="","N/A",(IF($P488=-1,INDEX('卡片raw data'!S:S,MATCH($D488,'卡片raw data'!$F:$F,)),0)+IF($P488=0,INDEX('卡片raw data'!V:V,MATCH($D488,'卡片raw data'!$F:$F,)),0)+IF($P488=1,INDEX('卡片raw data'!Y:Y,MATCH($D488,'卡片raw data'!$F:$F,)),0)+IF($P488=2,INDEX('卡片raw data'!AB:AB,MATCH($D488,'卡片raw data'!$F:$F,)),0)+IF($P488=3,INDEX('卡片raw data'!AE:AE,MATCH($D488,'卡片raw data'!$F:$F,)),0)+IF($P488=4,INDEX('卡片raw data'!AH:AH,MATCH($D488,'卡片raw data'!$F:$F,)),0)+IF($P488=5,INDEX('卡片raw data'!AK:AK,MATCH($D488,'卡片raw data'!$F:$F,)),0)+INDEX('卡片raw data'!S:S,MATCH($D488,'卡片raw data'!$F:$F,))*(IF($F488="UR",0.04,0.033))*(IF($F488="UR",INDEX(绊状态确认!$S:$S,MATCH($G488,绊状态确认!$B:$B,))/2-40)+IF($F488="SR",INDEX(绊状态确认!$R:$R,MATCH($G488,绊状态确认!$B:$B,))/4-15))+IF($F488="R",INDEX(绊状态确认!$Q:$Q,MATCH($G488,绊状态确认!$B:$B,))/6-40/6)))*(INDEX(绊状态确认!$H:$H,MATCH($G488,绊状态确认!$B:$B,))+INDEX(绊状态确认!J:J,MATCH($G488,绊状态确认!$B:$B,)))</f>
        <v>8086.0519271999983</v>
      </c>
      <c r="AM488" s="429">
        <f>IF($P488="","N/A",(IF($P488=-1,INDEX('卡片raw data'!T:T,MATCH($D488,'卡片raw data'!$F:$F,)),0)+IF($P488=0,INDEX('卡片raw data'!W:W,MATCH($D488,'卡片raw data'!$F:$F,)),0)+IF($P488=1,INDEX('卡片raw data'!Z:Z,MATCH($D488,'卡片raw data'!$F:$F,)),0)+IF($P488=2,INDEX('卡片raw data'!AC:AC,MATCH($D488,'卡片raw data'!$F:$F,)),0)+IF($P488=3,INDEX('卡片raw data'!AF:AF,MATCH($D488,'卡片raw data'!$F:$F,)),0)+IF($P488=4,INDEX('卡片raw data'!AI:AI,MATCH($D488,'卡片raw data'!$F:$F,)),0)+IF($P488=5,INDEX('卡片raw data'!AL:AL,MATCH($D488,'卡片raw data'!$F:$F,)),0)+INDEX('卡片raw data'!T:T,MATCH($D488,'卡片raw data'!$F:$F,))*(IF($F488="UR",0.04,0.033))*(IF($F488="UR",INDEX(绊状态确认!$S:$S,MATCH($G488,绊状态确认!$B:$B,))/2-40)+IF($F488="SR",INDEX(绊状态确认!$R:$R,MATCH($G488,绊状态确认!$B:$B,))/4-15))+IF($F488="R",INDEX(绊状态确认!$Q:$Q,MATCH($G488,绊状态确认!$B:$B,))/6-40/6)))*(INDEX(绊状态确认!$H:$H,MATCH($G488,绊状态确认!$B:$B,))+INDEX(绊状态确认!K:K,MATCH($G488,绊状态确认!$B:$B,)))</f>
        <v>5583.8014031999992</v>
      </c>
      <c r="AN488" s="429">
        <f>IF($P488="","N/A",(IF($P488=-1,INDEX('卡片raw data'!U:U,MATCH($D488,'卡片raw data'!$F:$F,)),0)+IF($P488=0,INDEX('卡片raw data'!X:X,MATCH($D488,'卡片raw data'!$F:$F,)),0)+IF($P488=1,INDEX('卡片raw data'!AA:AA,MATCH($D488,'卡片raw data'!$F:$F,)),0)+IF($P488=2,INDEX('卡片raw data'!AD:AD,MATCH($D488,'卡片raw data'!$F:$F,)),0)+IF($P488=3,INDEX('卡片raw data'!AG:AG,MATCH($D488,'卡片raw data'!$F:$F,)),0)+IF($P488=4,INDEX('卡片raw data'!AJ:AJ,MATCH($D488,'卡片raw data'!$F:$F,)),0)+IF($P488=5,INDEX('卡片raw data'!AM:AM,MATCH($D488,'卡片raw data'!$F:$F,)),0)+INDEX('卡片raw data'!U:U,MATCH($D488,'卡片raw data'!$F:$F,))*(IF($F488="UR",0.04,0.033))*(IF($F488="UR",INDEX(绊状态确认!$S:$S,MATCH($G488,绊状态确认!$B:$B,))/2-40)+IF($F488="SR",INDEX(绊状态确认!$R:$R,MATCH($G488,绊状态确认!$B:$B,))/4-15))+IF($F488="R",INDEX(绊状态确认!$Q:$Q,MATCH($G488,绊状态确认!$B:$B,))/6-40/6)))*(INDEX(绊状态确认!$H:$H,MATCH($G488,绊状态确认!$B:$B,))+INDEX(绊状态确认!L:L,MATCH($G488,绊状态确认!$B:$B,)))</f>
        <v>5583.8014031999992</v>
      </c>
      <c r="AO488" s="430">
        <f t="shared" si="621"/>
        <v>1</v>
      </c>
      <c r="AP488" s="556">
        <f>1+(INDEX(绊状态确认!$T:$T,MATCH($G488,绊状态确认!$B:$B,))+0.2)*$AO488</f>
        <v>1.3</v>
      </c>
      <c r="AQ488" s="431">
        <f t="shared" si="622"/>
        <v>24475.886308899993</v>
      </c>
      <c r="AR488" s="420">
        <f>(AM488*(1+$EX$9)+$EX$35)*(1+(INDEX(绊状态确认!$T:$T,MATCH($G488,绊状态确认!$B:$B,))+0.2)*AO488)*IF(J488=$FF$17,1+$FE$17,1)*IF(I488=$FF$14,1+$FE$14,1)</f>
        <v>10325.888915367999</v>
      </c>
      <c r="AS488" s="420">
        <f>(AN488*(1+$EX$10)+$EX$36)*(1+(INDEX(绊状态确认!$T:$T,MATCH($G488,绊状态确认!$B:$B,))+0.2)*AO488)*IF(J488=$FF$17,1+$FE$17,1)*IF(I488=$FF$14,1+$FE$14,1)</f>
        <v>12403.783097784</v>
      </c>
      <c r="AT488" s="412">
        <f>IF(AND(INDEX('卡片raw data'!AK:AK,MATCH($D488,'卡片raw data'!$F:$F,))&lt;INDEX('卡片raw data'!AM:AM,MATCH($D488,'卡片raw data'!$F:$F,)),INDEX('卡片raw data'!AL:AL,MATCH($D488,'卡片raw data'!$F:$F,))&lt;INDEX('卡片raw data'!AM:AM,MATCH($D488,'卡片raw data'!$F:$F,))),1,0)</f>
        <v>0</v>
      </c>
      <c r="AU488" s="421">
        <f>MIN(AT488*0.15+AS488*0.00003+INDEX(绊状态确认!M:M,MATCH($G488,绊状态确认!$B:$B,)),1)</f>
        <v>0.40211349293352006</v>
      </c>
      <c r="AV488" s="432">
        <f>(INDEX(绊状态确认!$N:$N,MATCH($G488,绊状态确认!$B:$B,))+1.5)*$EW$21</f>
        <v>2.6599999999999997</v>
      </c>
      <c r="AW488" s="424">
        <f t="shared" si="623"/>
        <v>21196.483674643758</v>
      </c>
      <c r="AX488" s="420">
        <f t="shared" si="624"/>
        <v>880.90193093904202</v>
      </c>
      <c r="AY488" s="433">
        <f t="shared" si="625"/>
        <v>22077.3856055828</v>
      </c>
      <c r="AZ488" s="429">
        <f t="shared" si="626"/>
        <v>18367.801258039995</v>
      </c>
      <c r="BA488" s="431">
        <f t="shared" si="627"/>
        <v>22041.361509647995</v>
      </c>
      <c r="BB488" s="420">
        <f>(AM488*(1+$FB$9)+$FB$35)*(1+(INDEX(绊状态确认!$T:$T,MATCH($G488,绊状态确认!$B:$B,))+0.2)*AO488)*IF(J488=$FF$17,1+$FE$17,1)*IF(I488=$FF$14,1+$FE$14,1)*(1+$FE$15)</f>
        <v>10325.888915367999</v>
      </c>
      <c r="BC488" s="420">
        <f>(AN488*(1+$FB$10)+$FB$36)*(1+(INDEX(绊状态确认!$T:$T,MATCH($G488,绊状态确认!$B:$B,))+0.2)*AO488)*IF(J488=$FF$17,1+$FE$17,1)*IF(I488=$FF$14,1+$FE$14,1)*(1+$FE$15)</f>
        <v>12403.783097784</v>
      </c>
      <c r="BD488" s="427">
        <f>MIN(AT488*0.15+BC488*0.00003+INDEX(绊状态确认!M:M,MATCH($G488,绊状态确认!$B:$B,)),1)</f>
        <v>0.40211349293352006</v>
      </c>
      <c r="BE488" s="432">
        <f>(INDEX(绊状态确认!$N:$N,MATCH($G488,绊状态确认!$B:$B,))+1.5)</f>
        <v>1.9</v>
      </c>
      <c r="BF488" s="645">
        <f t="array" ref="BF488">SUMPRODUCT(IF(AZ488*AP488*$FI$16:$FI$23*$FA$22&gt;=$FI$24,$FI$24,AZ488*AP488*$FI$16:$FI$23*$FA$22),$FJ$16:$FJ$23)</f>
        <v>36533.556702241549</v>
      </c>
      <c r="BG488" s="453">
        <f t="array" ref="BG488">SUMPRODUCT(IF(BE488*AZ488*AP488*$FI$16:$FI$23*$FA$22&gt;=$FI$24,$FI$24,BE488*AZ488*AP488*$FI$16:$FI$23*$FA$22),$FJ$16:$FJ$23)</f>
        <v>59342.117276839694</v>
      </c>
      <c r="BH488" s="433">
        <f t="shared" si="628"/>
        <v>15235.062221226326</v>
      </c>
      <c r="BI488" s="434">
        <f>IF(O488="vo",$EW$26/$EW$24*0.05,0)+IF(O488="sk",-$EW$26/$EW$24*(0.05-INDEX(绊状态确认!W:W,MATCH($G488,绊状态确认!$B:$B,)))+0.05*$EW$28,0)+IF(O488="sp",0.05*$EW$32*$EW$30*(1-$EW$33)-(0.05-INDEX(绊状态确认!V:V,MATCH($G488,绊状态确认!$B:$B,)))*$EW$28,0)+IF(O488="gd",-(0.05-INDEX(绊状态确认!X:X,MATCH($G488,绊状态确认!$B:$B,)))*$EW$32*$EW$30*(1-$EW$33),0)</f>
        <v>7726.3029277443748</v>
      </c>
      <c r="BJ488" s="420">
        <f>IF(O488="vo",0.05*(1-$FI$26)*$FA$24,0)+IF(O488="sk",-(0.05-INDEX(绊状态确认!W:W,MATCH($G488,绊状态确认!$B:$B,)))*(1-$FI$26)*$FA$24+0.05*$FA$26,0)+IF(O488="sp",0.05*$FA$32*$FA$27*(1-$FA$33)/$FA$30+0.05*$FA$29/$FA$69*$FA$27*(1-$FA$33)-(0.05-INDEX(绊状态确认!V:V,MATCH($G488,绊状态确认!$B:$B,)))*$FA$26,0)+IF(O488="gd",-(0.05-INDEX(绊状态确认!X:X,MATCH($G488,绊状态确认!$B:$B,)))*$FA$32*$FA$27*(1-$FA$33)/$FA$30-(0.05-INDEX(绊状态确认!X:X,MATCH($G488,绊状态确认!$B:$B,)))*$FA$29/$FA$69*$FA$27*(1-$FA$33),0)</f>
        <v>393.93433687500004</v>
      </c>
      <c r="BK488" s="433">
        <f>IF(O488="vo",$EW$26/$EW$24*0.05+$EW$26*(-HP($EW$62,$EW$65,$EW$64)+HP($EW$62,$EW$65,(1.05-INDEX(绊状态确认!U:U,MATCH($G488,绊状态确认!$B:$B,)))*$EW$64)),0)+IF(O488="sk",-$EW$26/$EW$24*(0.05-INDEX(绊状态确认!W:W,MATCH($G488,绊状态确认!$B:$B,)))+0.05*$EW$29,0)+IF(O488="sp",0.05*$EW$32*$EW$30*(1-$EW$33)-(0.05-INDEX(绊状态确认!V:V,MATCH($G488,绊状态确认!$B:$B,)))*$EW$29,0)+IF(O488="gd",-(0.05-INDEX(绊状态确认!X:X,MATCH($G488,绊状态确认!$B:$B,)))*$EW$32*$EW$30*(1-$EW$33)+$EW$26*(-HP($EW$62,$EW$65,$EW$64)+HP($EW$62,$EW$65,0.95*$EW$64)),0)</f>
        <v>6421.6344775026746</v>
      </c>
      <c r="BL488" s="434">
        <f t="shared" si="629"/>
        <v>-1083.3333333333333</v>
      </c>
      <c r="BM488" s="433">
        <f t="shared" si="630"/>
        <v>-830.55555555555543</v>
      </c>
      <c r="BN488" s="437">
        <f t="shared" si="631"/>
        <v>3</v>
      </c>
      <c r="BO488" s="1108">
        <f t="shared" si="632"/>
        <v>4507.7214871259994</v>
      </c>
      <c r="BP488" s="1100">
        <f t="shared" si="633"/>
        <v>221.34103209030098</v>
      </c>
      <c r="BQ488" s="437" t="s">
        <v>132</v>
      </c>
      <c r="BR488" s="450" t="s">
        <v>166</v>
      </c>
      <c r="BS488" s="421">
        <f>IF($P488="","N/A",IF($P488=-1,INDEX('卡片raw data'!AX:AX,MATCH($D488,'卡片raw data'!$F:$F,)),0)+IF($L488="party卡",IF($P488=5,INDEX('卡片raw data'!BD:BD,MATCH($D488,'卡片raw data'!$F:$F,)),IF($P488&gt;=3,INDEX('卡片raw data'!BC:BC,MATCH($D488,'卡片raw data'!$F:$F,)),INDEX('卡片raw data'!BB:BB,MATCH($D488,'卡片raw data'!$F:$F,)))),IF(OR(AND($F488="UR",$P488=0),AND($F488="SR",$P488&gt;=0,$P488&lt;=2),AND($F488="R",$P488&gt;=0,$P488&lt;4)),INDEX('卡片raw data'!AZ:AZ,MATCH($D488,'卡片raw data'!$F:$F,)),0)+IF(OR(AND($F488="UR",$P488&gt;=1,$P488&lt;=4),AND($F488="SR",$P488&lt;=4,$P488&gt;=3),AND($F488="R",$P488=4)),INDEX('卡片raw data'!BA:BA,MATCH($D488,'卡片raw data'!$F:$F,)),0)+IF($P488=5,INDEX('卡片raw data'!BB:BB,MATCH($D488,'卡片raw data'!$F:$F,)),0)))</f>
        <v>7.0000000000000007E-2</v>
      </c>
      <c r="BT488" s="424">
        <f t="shared" si="634"/>
        <v>655.80280982323234</v>
      </c>
      <c r="BU488" s="420">
        <f t="shared" si="635"/>
        <v>22.47044294167495</v>
      </c>
      <c r="BV488" s="420">
        <f t="shared" si="636"/>
        <v>0</v>
      </c>
      <c r="BW488" s="436">
        <f t="shared" si="637"/>
        <v>0</v>
      </c>
      <c r="BX488" s="423">
        <f t="shared" si="638"/>
        <v>655.80280982323234</v>
      </c>
      <c r="BY488" s="433">
        <f t="shared" si="639"/>
        <v>0</v>
      </c>
      <c r="BZ488" s="1113" t="s">
        <v>569</v>
      </c>
      <c r="CA488" s="450"/>
      <c r="CB488" s="421">
        <f>IF($P488="","N/A",IF($P488=-1,INDEX('卡片raw data'!BE:BE,MATCH($D488,'卡片raw data'!$F:$F,)),0)+IF($L488="party卡",IF($P488=5,INDEX('卡片raw data'!BK:BK,MATCH($D488,'卡片raw data'!$F:$F,)),IF($P488&gt;=3,INDEX('卡片raw data'!BJ:BJ,MATCH($D488,'卡片raw data'!$F:$F,)),INDEX('卡片raw data'!BI:BI,MATCH($D488,'卡片raw data'!$F:$F,)))),IF(OR(AND($F488="UR",$P488=0),AND($F488="SR",$P488&gt;=0,$P488&lt;=2),AND($F488="R",$P488&gt;=0,$P488&lt;4)),INDEX('卡片raw data'!BG:BG,MATCH($D488,'卡片raw data'!$F:$F,)),0)+IF(OR(AND($F488="UR",$P488&gt;=1,$P488&lt;=4),AND($F488="SR",$P488&lt;=4,$P488&gt;=3),AND($F488="R",$P488=4)),INDEX('卡片raw data'!BH:BH,MATCH($D488,'卡片raw data'!$F:$F,)),0)+IF($P488=5,INDEX('卡片raw data'!BI:BI,MATCH($D488,'卡片raw data'!$F:$F,)),0)))</f>
        <v>0</v>
      </c>
      <c r="CC488" s="424">
        <f t="shared" si="640"/>
        <v>0</v>
      </c>
      <c r="CD488" s="420">
        <f>IF(BZ488="ap",CB488*(1-$FI$26)*$FB$5/$FB$11*(+IF(CA488="全员",$FA$24,0)+IF(CA488="同作战",$FA$24,0)+IF(CA488="仲间",$FA$24*2/3,0)+IF(CA488="同属性",$FA$24*$FA$37/3,0)+IF(CA488="同年级",$FA$24*$FA$40/3,0)+IF(CA488="同学校",$FA$24*$FA$43/3,0)+IF(CA488="同小队",$FA$24*$FA$46/3,0)+IF(CA488="同type",$FA$24*INDEX($FB$49:$FB$52,MATCH(X488,$FA$49:$FA$52,))/3,0)+IF(CA488="自身",#REF!/3,0)),0)+IF(BZ488="te",CB488*(1-$FI$27)*($FA$20-1)*$FB$7/$FB$13*(+IF(CA488="全员",$FA$19*$FA$24/(1+($FA$20-1)*$FA$19),0)+IF(CA488="同作战",$FA$19*$FA$24/(1+($FA$20-1)*$FA$19),0)+IF(CA488="仲间",$FA$19*$FA$24*2/3/(1+($FA$20-1)*$FA$19),0)+IF(CA488="同属性",$FA$19*$FA$24*$FA$37/3/(1+($FA$20-1)*$FA$19),0)+IF(CA488="同年级",$FA$19*$FA$24*$FA$40/3/(1+($FA$20-1)*$FA$19),0)+IF(CA488="同学校",$FA$19*$FA$24*$FA$43/3/(1+($FA$20-1)*$FA$19),0)+IF(CA488="同小队",$FA$19*$FA$24*$FA$46/3/(1+($FA$20-1)*$FA$19),0)+IF(CA488="同type",$FA$19*$FA$24*INDEX($FB$49:$FB$52,MATCH(X488,$FA$49:$FA$52,))/3/(1+($FA$20-1)*$FA$19),0)+IF(CA488="自身",$FA$19*#REF!/3/(1+(BH488-1)*$BD488),0)),0)</f>
        <v>0</v>
      </c>
      <c r="CE488" s="420">
        <f t="shared" si="641"/>
        <v>0</v>
      </c>
      <c r="CF488" s="436">
        <f t="shared" si="642"/>
        <v>0</v>
      </c>
      <c r="CG488" s="423">
        <f t="shared" si="643"/>
        <v>0</v>
      </c>
      <c r="CH488" s="433">
        <f t="shared" si="644"/>
        <v>0</v>
      </c>
      <c r="CI488" s="437" t="s">
        <v>165</v>
      </c>
      <c r="CJ488" s="438">
        <v>0.3</v>
      </c>
      <c r="CK488" s="439" t="s">
        <v>2074</v>
      </c>
      <c r="CL488" s="439" t="s">
        <v>161</v>
      </c>
      <c r="CM488" s="443">
        <v>0.03</v>
      </c>
      <c r="CN488" s="439" t="s">
        <v>2076</v>
      </c>
      <c r="CO488" s="1092"/>
      <c r="CP488" s="1118">
        <f t="shared" si="645"/>
        <v>8.9999999999999993E-3</v>
      </c>
      <c r="CQ488" s="1118">
        <f t="shared" si="646"/>
        <v>8.9999999999999993E-3</v>
      </c>
      <c r="CR488" s="1118">
        <f t="shared" si="647"/>
        <v>8.9999999999999993E-3</v>
      </c>
      <c r="CS488" s="1118">
        <f t="shared" si="648"/>
        <v>0</v>
      </c>
      <c r="CT488" s="1109">
        <f t="shared" si="649"/>
        <v>0</v>
      </c>
      <c r="CU488" s="1101">
        <f t="shared" si="650"/>
        <v>1529.8079796933862</v>
      </c>
      <c r="CV488" s="1108">
        <f t="shared" si="685"/>
        <v>70.90818063750001</v>
      </c>
      <c r="CW488" s="1097">
        <f t="shared" si="651"/>
        <v>1529.8079796933862</v>
      </c>
      <c r="CX488" s="1097">
        <f t="shared" si="652"/>
        <v>1529.8079796933862</v>
      </c>
      <c r="CY488" s="1110">
        <f t="shared" si="653"/>
        <v>1529.8079796933862</v>
      </c>
      <c r="CZ488" s="437"/>
      <c r="DA488" s="438"/>
      <c r="DB488" s="439" t="s">
        <v>569</v>
      </c>
      <c r="DC488" s="439"/>
      <c r="DD488" s="443"/>
      <c r="DE488" s="411"/>
      <c r="DF488" s="411"/>
      <c r="DG488" s="1116">
        <f t="shared" si="654"/>
        <v>0</v>
      </c>
      <c r="DH488" s="1116">
        <f t="shared" si="655"/>
        <v>0</v>
      </c>
      <c r="DI488" s="1116">
        <f t="shared" si="656"/>
        <v>0</v>
      </c>
      <c r="DJ488" s="442">
        <f t="shared" si="657"/>
        <v>0</v>
      </c>
      <c r="DK488" s="432">
        <f t="shared" si="658"/>
        <v>0</v>
      </c>
      <c r="DL488" s="424">
        <f t="shared" si="659"/>
        <v>0</v>
      </c>
      <c r="DM488" s="420">
        <f t="shared" si="660"/>
        <v>0</v>
      </c>
      <c r="DN488" s="420">
        <f t="shared" si="661"/>
        <v>0</v>
      </c>
      <c r="DO488" s="420">
        <f t="shared" si="662"/>
        <v>0</v>
      </c>
      <c r="DP488" s="433">
        <f t="shared" si="663"/>
        <v>0</v>
      </c>
      <c r="DQ488" s="437" t="s">
        <v>545</v>
      </c>
      <c r="DR488" s="444">
        <f t="shared" si="664"/>
        <v>0.3</v>
      </c>
      <c r="DS488" s="450"/>
      <c r="DT488" s="1093" t="s">
        <v>132</v>
      </c>
      <c r="DU488" s="1093"/>
      <c r="DV488" s="1098">
        <f>IF($P488="","N/A",IF(P488=-1,INDEX('卡片raw data'!AN:AN,MATCH(D488,'卡片raw data'!$F:$F,)),0)+IF(AND(L488&lt;&gt;"party卡",P488&lt;=2,P488&gt;=0),INDEX('卡片raw data'!AP:AP,MATCH(D488,'卡片raw data'!$F:$F,)),0)+IF(OR(AND(L488="party卡",P488&lt;=1),AND(P488&lt;=4,L488&lt;&gt;"party卡",P488&gt;=3)),INDEX('卡片raw data'!AQ:AQ,MATCH(D488,'卡片raw data'!$F:$F,)),0)+IF(OR(P488=5,AND(L488="party卡",P488&gt;=2)),INDEX('卡片raw data'!AR:AR,MATCH(D488,'卡片raw data'!$F:$F,)),0))</f>
        <v>0.37</v>
      </c>
      <c r="DW488" s="1098">
        <f t="shared" si="665"/>
        <v>0.3</v>
      </c>
      <c r="DX488" s="1098">
        <f t="shared" si="666"/>
        <v>0.3</v>
      </c>
      <c r="DY488" s="1097">
        <f t="shared" si="667"/>
        <v>1177.2901314580897</v>
      </c>
      <c r="DZ488" s="1097">
        <f t="shared" si="668"/>
        <v>917.0639076511693</v>
      </c>
      <c r="EA488" s="421">
        <f t="shared" si="669"/>
        <v>0</v>
      </c>
      <c r="EB488" s="445">
        <f t="shared" si="670"/>
        <v>0</v>
      </c>
      <c r="EC488" s="424">
        <f t="shared" si="671"/>
        <v>1295.0191446038989</v>
      </c>
      <c r="ED488" s="420">
        <f t="shared" si="672"/>
        <v>917.0639076511693</v>
      </c>
      <c r="EE488" s="433">
        <f t="shared" si="683"/>
        <v>1295.0191446038989</v>
      </c>
      <c r="EF488" s="1115" t="s">
        <v>569</v>
      </c>
      <c r="EG488" s="444">
        <f t="shared" si="673"/>
        <v>0.3</v>
      </c>
      <c r="EH488" s="450"/>
      <c r="EI488" s="1093"/>
      <c r="EJ488" s="1093"/>
      <c r="EK488" s="420">
        <f>IF($P488="","N/A",IF(P488=-1,INDEX('卡片raw data'!AS:AS,MATCH(D488,'卡片raw data'!$F:$F,)),0)+IF(AND(L488&lt;&gt;"party卡",P488&lt;=2,P488&gt;=0),INDEX('卡片raw data'!AU:AU,MATCH(D488,'卡片raw data'!$F:$F,)),0)+IF(OR(AND(L488="party卡",P488&lt;=1),AND(P488&lt;=4,L488&lt;&gt;"party卡",P488&gt;=3)),INDEX('卡片raw data'!AV:AV,MATCH(D488,'卡片raw data'!$F:$F,)),0)+IF(OR(P488=5,AND(L488="party卡",P488&gt;=2)),INDEX('卡片raw data'!AW:AW,MATCH(D488,'卡片raw data'!$F:$F,)),0))</f>
        <v>0</v>
      </c>
      <c r="EL488" s="1098">
        <f t="shared" si="674"/>
        <v>0.3</v>
      </c>
      <c r="EM488" s="1098">
        <f t="shared" si="675"/>
        <v>0.3</v>
      </c>
      <c r="EN488" s="1097">
        <f t="shared" si="676"/>
        <v>0</v>
      </c>
      <c r="EO488" s="1097">
        <f t="shared" si="677"/>
        <v>0</v>
      </c>
      <c r="EP488" s="421">
        <f t="shared" si="678"/>
        <v>0</v>
      </c>
      <c r="EQ488" s="445">
        <f t="shared" si="679"/>
        <v>0</v>
      </c>
      <c r="ER488" s="424">
        <f t="shared" si="680"/>
        <v>0</v>
      </c>
      <c r="ES488" s="420">
        <f t="shared" si="681"/>
        <v>0</v>
      </c>
      <c r="ET488" s="446">
        <f t="shared" si="684"/>
        <v>0</v>
      </c>
    </row>
    <row r="489" spans="2:150" ht="16.5" customHeight="1">
      <c r="B489" s="448" t="str">
        <f>INDEX('卡片raw data'!B:B,MATCH($D489,'卡片raw data'!$F:$F,))</f>
        <v>fes2鸟</v>
      </c>
      <c r="C489" s="449" t="s">
        <v>3237</v>
      </c>
      <c r="D489" s="408">
        <v>486</v>
      </c>
      <c r="E489" s="477">
        <v>200033002</v>
      </c>
      <c r="F489" s="409" t="str">
        <f>INDEX('卡片raw data'!C:C,MATCH($D489,'卡片raw data'!$F:$F,))</f>
        <v>UR</v>
      </c>
      <c r="G489" s="414" t="s">
        <v>3238</v>
      </c>
      <c r="H489" s="411">
        <f>IFERROR(INDEX(绊状态确认!C:C,MATCH($G489,绊状态确认!$B:$B,)),"")</f>
        <v>3</v>
      </c>
      <c r="I489" s="450" t="str">
        <f>IFERROR(INDEX(绊状态确认!D:D,MATCH($G489,绊状态确认!$B:$B,)),"")</f>
        <v>缪</v>
      </c>
      <c r="J489" s="450" t="str">
        <f>IFERROR(INDEX(绊状态确认!E:E,MATCH($G489,绊状态确认!$B:$B,)),"")</f>
        <v>2年级</v>
      </c>
      <c r="K489" s="451" t="str">
        <f>IFERROR(INDEX(绊状态确认!F:F,MATCH($G489,绊状态确认!$B:$B,)),"")</f>
        <v>Printemps</v>
      </c>
      <c r="L489" s="414" t="str">
        <f>INDEX('卡片raw data'!E:E,MATCH($D489,'卡片raw data'!$F:$F,))</f>
        <v>fes卡</v>
      </c>
      <c r="M489" s="478">
        <v>44376</v>
      </c>
      <c r="N489" s="479">
        <v>42.5</v>
      </c>
      <c r="O489" s="410" t="str">
        <f>INDEX('卡片raw data'!D:D,MATCH($D489,'卡片raw data'!$F:$F,))</f>
        <v>sk</v>
      </c>
      <c r="P489" s="1126">
        <v>5</v>
      </c>
      <c r="Q489" s="418">
        <f t="shared" si="600"/>
        <v>72981.260316336484</v>
      </c>
      <c r="R489" s="419">
        <f t="shared" si="601"/>
        <v>0.84799999999999998</v>
      </c>
      <c r="S489" s="420">
        <f t="shared" si="602"/>
        <v>20737.950984069506</v>
      </c>
      <c r="T489" s="421">
        <f t="shared" si="603"/>
        <v>1.036</v>
      </c>
      <c r="U489" s="422">
        <f t="shared" si="604"/>
        <v>12.298659605142854</v>
      </c>
      <c r="V489" s="423">
        <f t="shared" si="605"/>
        <v>75962.992941674136</v>
      </c>
      <c r="W489" s="424">
        <f t="shared" si="606"/>
        <v>6010.2953161679998</v>
      </c>
      <c r="X489" s="419">
        <f t="shared" si="607"/>
        <v>6.9000000000000006E-2</v>
      </c>
      <c r="Y489" s="420">
        <f t="shared" si="608"/>
        <v>981.73262533765956</v>
      </c>
      <c r="Z489" s="425">
        <f t="shared" si="609"/>
        <v>12.298659605142854</v>
      </c>
      <c r="AA489" s="426">
        <f t="shared" si="610"/>
        <v>6992.0279415056593</v>
      </c>
      <c r="AB489" s="424">
        <f t="shared" si="611"/>
        <v>14668.877006022525</v>
      </c>
      <c r="AC489" s="427">
        <f t="shared" si="612"/>
        <v>0.17</v>
      </c>
      <c r="AD489" s="428">
        <f t="shared" si="613"/>
        <v>2.1769318181818181E-2</v>
      </c>
      <c r="AE489" s="516">
        <f t="shared" si="614"/>
        <v>11.953757704745847</v>
      </c>
      <c r="AF489" s="1130">
        <f t="shared" si="615"/>
        <v>0</v>
      </c>
      <c r="AG489" s="420">
        <f t="shared" si="616"/>
        <v>0</v>
      </c>
      <c r="AH489" s="420">
        <f t="shared" si="617"/>
        <v>0</v>
      </c>
      <c r="AI489" s="1097">
        <f t="shared" si="618"/>
        <v>0</v>
      </c>
      <c r="AJ489" s="420">
        <f t="shared" si="619"/>
        <v>0</v>
      </c>
      <c r="AK489" s="518">
        <f t="shared" si="620"/>
        <v>0</v>
      </c>
      <c r="AL489" s="429">
        <f>IF($P489="","N/A",(IF($P489=-1,INDEX('卡片raw data'!S:S,MATCH($D489,'卡片raw data'!$F:$F,)),0)+IF($P489=0,INDEX('卡片raw data'!V:V,MATCH($D489,'卡片raw data'!$F:$F,)),0)+IF($P489=1,INDEX('卡片raw data'!Y:Y,MATCH($D489,'卡片raw data'!$F:$F,)),0)+IF($P489=2,INDEX('卡片raw data'!AB:AB,MATCH($D489,'卡片raw data'!$F:$F,)),0)+IF($P489=3,INDEX('卡片raw data'!AE:AE,MATCH($D489,'卡片raw data'!$F:$F,)),0)+IF($P489=4,INDEX('卡片raw data'!AH:AH,MATCH($D489,'卡片raw data'!$F:$F,)),0)+IF($P489=5,INDEX('卡片raw data'!AK:AK,MATCH($D489,'卡片raw data'!$F:$F,)),0)+INDEX('卡片raw data'!S:S,MATCH($D489,'卡片raw data'!$F:$F,))*(IF($F489="UR",0.04,0.033))*(IF($F489="UR",INDEX(绊状态确认!$S:$S,MATCH($G489,绊状态确认!$B:$B,))/2-40)+IF($F489="SR",INDEX(绊状态确认!$R:$R,MATCH($G489,绊状态确认!$B:$B,))/4-15))+IF($F489="R",INDEX(绊状态确认!$Q:$Q,MATCH($G489,绊状态确认!$B:$B,))/6-40/6)))*(INDEX(绊状态确认!$H:$H,MATCH($G489,绊状态确认!$B:$B,))+INDEX(绊状态确认!J:J,MATCH($G489,绊状态确认!$B:$B,)))</f>
        <v>14748.881039999998</v>
      </c>
      <c r="AM489" s="429">
        <f>IF($P489="","N/A",(IF($P489=-1,INDEX('卡片raw data'!T:T,MATCH($D489,'卡片raw data'!$F:$F,)),0)+IF($P489=0,INDEX('卡片raw data'!W:W,MATCH($D489,'卡片raw data'!$F:$F,)),0)+IF($P489=1,INDEX('卡片raw data'!Z:Z,MATCH($D489,'卡片raw data'!$F:$F,)),0)+IF($P489=2,INDEX('卡片raw data'!AC:AC,MATCH($D489,'卡片raw data'!$F:$F,)),0)+IF($P489=3,INDEX('卡片raw data'!AF:AF,MATCH($D489,'卡片raw data'!$F:$F,)),0)+IF($P489=4,INDEX('卡片raw data'!AI:AI,MATCH($D489,'卡片raw data'!$F:$F,)),0)+IF($P489=5,INDEX('卡片raw data'!AL:AL,MATCH($D489,'卡片raw data'!$F:$F,)),0)+INDEX('卡片raw data'!T:T,MATCH($D489,'卡片raw data'!$F:$F,))*(IF($F489="UR",0.04,0.033))*(IF($F489="UR",INDEX(绊状态确认!$S:$S,MATCH($G489,绊状态确认!$B:$B,))/2-40)+IF($F489="SR",INDEX(绊状态确认!$R:$R,MATCH($G489,绊状态确认!$B:$B,))/4-15))+IF($F489="R",INDEX(绊状态确认!$Q:$Q,MATCH($G489,绊状态确认!$B:$B,))/6-40/6)))*(INDEX(绊状态确认!$H:$H,MATCH($G489,绊状态确认!$B:$B,))+INDEX(绊状态确认!K:K,MATCH($G489,绊状态确认!$B:$B,)))</f>
        <v>6428.3875199999993</v>
      </c>
      <c r="AN489" s="429">
        <f>IF($P489="","N/A",(IF($P489=-1,INDEX('卡片raw data'!U:U,MATCH($D489,'卡片raw data'!$F:$F,)),0)+IF($P489=0,INDEX('卡片raw data'!X:X,MATCH($D489,'卡片raw data'!$F:$F,)),0)+IF($P489=1,INDEX('卡片raw data'!AA:AA,MATCH($D489,'卡片raw data'!$F:$F,)),0)+IF($P489=2,INDEX('卡片raw data'!AD:AD,MATCH($D489,'卡片raw data'!$F:$F,)),0)+IF($P489=3,INDEX('卡片raw data'!AG:AG,MATCH($D489,'卡片raw data'!$F:$F,)),0)+IF($P489=4,INDEX('卡片raw data'!AJ:AJ,MATCH($D489,'卡片raw data'!$F:$F,)),0)+IF($P489=5,INDEX('卡片raw data'!AM:AM,MATCH($D489,'卡片raw data'!$F:$F,)),0)+INDEX('卡片raw data'!U:U,MATCH($D489,'卡片raw data'!$F:$F,))*(IF($F489="UR",0.04,0.033))*(IF($F489="UR",INDEX(绊状态确认!$S:$S,MATCH($G489,绊状态确认!$B:$B,))/2-40)+IF($F489="SR",INDEX(绊状态确认!$R:$R,MATCH($G489,绊状态确认!$B:$B,))/4-15))+IF($F489="R",INDEX(绊状态确认!$Q:$Q,MATCH($G489,绊状态确认!$B:$B,))/6-40/6)))*(INDEX(绊状态确认!$H:$H,MATCH($G489,绊状态确认!$B:$B,))+INDEX(绊状态确认!L:L,MATCH($G489,绊状态确认!$B:$B,)))</f>
        <v>16639.850639999997</v>
      </c>
      <c r="AO489" s="430">
        <f t="shared" si="621"/>
        <v>1</v>
      </c>
      <c r="AP489" s="556">
        <f>1+(INDEX(绊状态确认!$T:$T,MATCH($G489,绊状态确认!$B:$B,))+0.2)*$AO489</f>
        <v>1.3</v>
      </c>
      <c r="AQ489" s="431">
        <f t="shared" si="622"/>
        <v>41965.812729999998</v>
      </c>
      <c r="AR489" s="420">
        <f>(AM489*(1+$EX$9)+$EX$35)*(1+(INDEX(绊状态确认!$T:$T,MATCH($G489,绊状态确认!$B:$B,))+0.2)*AO489)*IF(J489=$FF$17,1+$FE$17,1)*IF(I489=$FF$14,1+$FE$14,1)</f>
        <v>11478.748964799997</v>
      </c>
      <c r="AS489" s="420">
        <f>(AN489*(1+$EX$10)+$EX$36)*(1+(INDEX(绊状态确认!$T:$T,MATCH($G489,绊状态确认!$B:$B,))+0.2)*AO489)*IF(J489=$FF$17,1+$FE$17,1)*IF(I489=$FF$14,1+$FE$14,1)</f>
        <v>28932.576706799991</v>
      </c>
      <c r="AT489" s="412">
        <f>IF(AND(INDEX('卡片raw data'!AK:AK,MATCH($D489,'卡片raw data'!$F:$F,))&lt;INDEX('卡片raw data'!AM:AM,MATCH($D489,'卡片raw data'!$F:$F,)),INDEX('卡片raw data'!AL:AL,MATCH($D489,'卡片raw data'!$F:$F,))&lt;INDEX('卡片raw data'!AM:AM,MATCH($D489,'卡片raw data'!$F:$F,))),1,0)</f>
        <v>1</v>
      </c>
      <c r="AU489" s="421">
        <f>MIN(AT489*0.15+AS489*0.00003+INDEX(绊状态确认!M:M,MATCH($G489,绊状态确认!$B:$B,)),1)</f>
        <v>1</v>
      </c>
      <c r="AV489" s="432">
        <f>(INDEX(绊状态确认!$N:$N,MATCH($G489,绊状态确认!$B:$B,))+1.5)*$EW$21</f>
        <v>2.6599999999999997</v>
      </c>
      <c r="AW489" s="424">
        <f t="shared" si="623"/>
        <v>57974.18322758576</v>
      </c>
      <c r="AX489" s="420">
        <f t="shared" si="624"/>
        <v>981.73262533766001</v>
      </c>
      <c r="AY489" s="433">
        <f t="shared" si="625"/>
        <v>58955.915852923419</v>
      </c>
      <c r="AZ489" s="429">
        <f t="shared" si="626"/>
        <v>31360.318027999998</v>
      </c>
      <c r="BA489" s="431">
        <f t="shared" si="627"/>
        <v>37632.381633599995</v>
      </c>
      <c r="BB489" s="420">
        <f>(AM489*(1+$FB$9)+$FB$35)*(1+(INDEX(绊状态确认!$T:$T,MATCH($G489,绊状态确认!$B:$B,))+0.2)*AO489)*IF(J489=$FF$17,1+$FE$17,1)*IF(I489=$FF$14,1+$FE$14,1)*(1+$FE$15)</f>
        <v>11478.748964799997</v>
      </c>
      <c r="BC489" s="420">
        <f>(AN489*(1+$FB$10)+$FB$36)*(1+(INDEX(绊状态确认!$T:$T,MATCH($G489,绊状态确认!$B:$B,))+0.2)*AO489)*IF(J489=$FF$17,1+$FE$17,1)*IF(I489=$FF$14,1+$FE$14,1)*(1+$FE$15)</f>
        <v>28932.576706799991</v>
      </c>
      <c r="BD489" s="427">
        <f>MIN(AT489*0.15+BC489*0.00003+INDEX(绊状态确认!M:M,MATCH($G489,绊状态确认!$B:$B,)),1)</f>
        <v>1</v>
      </c>
      <c r="BE489" s="432">
        <f>(INDEX(绊状态确认!$N:$N,MATCH($G489,绊状态确认!$B:$B,))+1.5)</f>
        <v>1.9</v>
      </c>
      <c r="BF489" s="645">
        <f t="array" ref="BF489">SUMPRODUCT(IF(AZ489*AP489*$FI$16:$FI$23*$FA$22&gt;=$FI$24,$FI$24,AZ489*AP489*$FI$16:$FI$23*$FA$22),$FJ$16:$FJ$23)</f>
        <v>57607.259121292002</v>
      </c>
      <c r="BG489" s="453">
        <f t="array" ref="BG489">SUMPRODUCT(IF(BE489*AZ489*AP489*$FI$16:$FI$23*$FA$22&gt;=$FI$24,$FI$24,BE489*AZ489*AP489*$FI$16:$FI$23*$FA$22),$FJ$16:$FJ$23)</f>
        <v>60000</v>
      </c>
      <c r="BH489" s="433">
        <f t="shared" si="628"/>
        <v>20000</v>
      </c>
      <c r="BI489" s="434">
        <f>IF(O489="vo",$EW$26/$EW$24*0.05,0)+IF(O489="sk",-$EW$26/$EW$24*(0.05-INDEX(绊状态确认!W:W,MATCH($G489,绊状态确认!$B:$B,)))+0.05*$EW$28,0)+IF(O489="sp",0.05*$EW$32*$EW$30*(1-$EW$33)-(0.05-INDEX(绊状态确认!V:V,MATCH($G489,绊状态确认!$B:$B,)))*$EW$28,0)+IF(O489="gd",-(0.05-INDEX(绊状态确认!X:X,MATCH($G489,绊状态确认!$B:$B,)))*$EW$32*$EW$30*(1-$EW$33),0)</f>
        <v>-6253.6726349699375</v>
      </c>
      <c r="BJ489" s="420">
        <f>IF(O489="vo",0.05*(1-$FI$26)*$FA$24,0)+IF(O489="sk",-(0.05-INDEX(绊状态确认!W:W,MATCH($G489,绊状态确认!$B:$B,)))*(1-$FI$26)*$FA$24+0.05*$FA$26,0)+IF(O489="sp",0.05*$FA$32*$FA$27*(1-$FA$33)/$FA$30+0.05*$FA$29/$FA$69*$FA$27*(1-$FA$33)-(0.05-INDEX(绊状态确认!V:V,MATCH($G489,绊状态确认!$B:$B,)))*$FA$26,0)+IF(O489="gd",-(0.05-INDEX(绊状态确认!X:X,MATCH($G489,绊状态确认!$B:$B,)))*$FA$32*$FA$27*(1-$FA$33)/$FA$30-(0.05-INDEX(绊状态确认!X:X,MATCH($G489,绊状态确认!$B:$B,)))*$FA$29/$FA$69*$FA$27*(1-$FA$33),0)</f>
        <v>20.459096812499922</v>
      </c>
      <c r="BK489" s="433">
        <f>IF(O489="vo",$EW$26/$EW$24*0.05+$EW$26*(-HP($EW$62,$EW$65,$EW$64)+HP($EW$62,$EW$65,(1.05-INDEX(绊状态确认!U:U,MATCH($G489,绊状态确认!$B:$B,)))*$EW$64)),0)+IF(O489="sk",-$EW$26/$EW$24*(0.05-INDEX(绊状态确认!W:W,MATCH($G489,绊状态确认!$B:$B,)))+0.05*$EW$29,0)+IF(O489="sp",0.05*$EW$32*$EW$30*(1-$EW$33)-(0.05-INDEX(绊状态确认!V:V,MATCH($G489,绊状态确认!$B:$B,)))*$EW$29,0)+IF(O489="gd",-(0.05-INDEX(绊状态确认!X:X,MATCH($G489,绊状态确认!$B:$B,)))*$EW$32*$EW$30*(1-$EW$33)+$EW$26*(-HP($EW$62,$EW$65,$EW$64)+HP($EW$62,$EW$65,0.95*$EW$64)),0)</f>
        <v>-4253.6726349699375</v>
      </c>
      <c r="BL489" s="434">
        <f t="shared" si="629"/>
        <v>0</v>
      </c>
      <c r="BM489" s="433">
        <f t="shared" si="630"/>
        <v>0</v>
      </c>
      <c r="BN489" s="437">
        <f t="shared" si="631"/>
        <v>4</v>
      </c>
      <c r="BO489" s="1108">
        <f t="shared" si="632"/>
        <v>6010.2953161679998</v>
      </c>
      <c r="BP489" s="1100">
        <f t="shared" si="633"/>
        <v>295.12137612040135</v>
      </c>
      <c r="BQ489" s="437" t="s">
        <v>132</v>
      </c>
      <c r="BR489" s="450" t="s">
        <v>168</v>
      </c>
      <c r="BS489" s="421">
        <f>IF($P489="","N/A",IF($P489=-1,INDEX('卡片raw data'!AX:AX,MATCH($D489,'卡片raw data'!$F:$F,)),0)+IF($L489="party卡",IF($P489=5,INDEX('卡片raw data'!BD:BD,MATCH($D489,'卡片raw data'!$F:$F,)),IF($P489&gt;=3,INDEX('卡片raw data'!BC:BC,MATCH($D489,'卡片raw data'!$F:$F,)),INDEX('卡片raw data'!BB:BB,MATCH($D489,'卡片raw data'!$F:$F,)))),IF(OR(AND($F489="UR",$P489=0),AND($F489="SR",$P489&gt;=0,$P489&lt;=2),AND($F489="R",$P489&gt;=0,$P489&lt;4)),INDEX('卡片raw data'!AZ:AZ,MATCH($D489,'卡片raw data'!$F:$F,)),0)+IF(OR(AND($F489="UR",$P489&gt;=1,$P489&lt;=4),AND($F489="SR",$P489&lt;=4,$P489&gt;=3),AND($F489="R",$P489=4)),INDEX('卡片raw data'!BA:BA,MATCH($D489,'卡片raw data'!$F:$F,)),0)+IF($P489=5,INDEX('卡片raw data'!BB:BB,MATCH($D489,'卡片raw data'!$F:$F,)),0)))</f>
        <v>7.0000000000000007E-2</v>
      </c>
      <c r="BT489" s="424">
        <f t="shared" si="634"/>
        <v>5259.008401647</v>
      </c>
      <c r="BU489" s="420">
        <f t="shared" si="635"/>
        <v>258.2312041053512</v>
      </c>
      <c r="BV489" s="420">
        <f t="shared" si="636"/>
        <v>0</v>
      </c>
      <c r="BW489" s="436">
        <f t="shared" si="637"/>
        <v>0</v>
      </c>
      <c r="BX489" s="423">
        <f t="shared" si="638"/>
        <v>5259.008401647</v>
      </c>
      <c r="BY489" s="433">
        <f t="shared" si="639"/>
        <v>0</v>
      </c>
      <c r="BZ489" s="1113" t="s">
        <v>569</v>
      </c>
      <c r="CA489" s="450"/>
      <c r="CB489" s="421">
        <f>IF($P489="","N/A",IF($P489=-1,INDEX('卡片raw data'!BE:BE,MATCH($D489,'卡片raw data'!$F:$F,)),0)+IF($L489="party卡",IF($P489=5,INDEX('卡片raw data'!BK:BK,MATCH($D489,'卡片raw data'!$F:$F,)),IF($P489&gt;=3,INDEX('卡片raw data'!BJ:BJ,MATCH($D489,'卡片raw data'!$F:$F,)),INDEX('卡片raw data'!BI:BI,MATCH($D489,'卡片raw data'!$F:$F,)))),IF(OR(AND($F489="UR",$P489=0),AND($F489="SR",$P489&gt;=0,$P489&lt;=2),AND($F489="R",$P489&gt;=0,$P489&lt;4)),INDEX('卡片raw data'!BG:BG,MATCH($D489,'卡片raw data'!$F:$F,)),0)+IF(OR(AND($F489="UR",$P489&gt;=1,$P489&lt;=4),AND($F489="SR",$P489&lt;=4,$P489&gt;=3),AND($F489="R",$P489=4)),INDEX('卡片raw data'!BH:BH,MATCH($D489,'卡片raw data'!$F:$F,)),0)+IF($P489=5,INDEX('卡片raw data'!BI:BI,MATCH($D489,'卡片raw data'!$F:$F,)),0)))</f>
        <v>0</v>
      </c>
      <c r="CC489" s="424">
        <f t="shared" si="640"/>
        <v>0</v>
      </c>
      <c r="CD489" s="420">
        <f>IF(BZ489="ap",CB489*(1-$FI$26)*$FB$5/$FB$11*(+IF(CA489="全员",$FA$24,0)+IF(CA489="同作战",$FA$24,0)+IF(CA489="仲间",$FA$24*2/3,0)+IF(CA489="同属性",$FA$24*$FA$37/3,0)+IF(CA489="同年级",$FA$24*$FA$40/3,0)+IF(CA489="同学校",$FA$24*$FA$43/3,0)+IF(CA489="同小队",$FA$24*$FA$46/3,0)+IF(CA489="同type",$FA$24*INDEX($FB$49:$FB$52,MATCH(X489,$FA$49:$FA$52,))/3,0)+IF(CA489="自身",#REF!/3,0)),0)+IF(BZ489="te",CB489*(1-$FI$27)*($FA$20-1)*$FB$7/$FB$13*(+IF(CA489="全员",$FA$19*$FA$24/(1+($FA$20-1)*$FA$19),0)+IF(CA489="同作战",$FA$19*$FA$24/(1+($FA$20-1)*$FA$19),0)+IF(CA489="仲间",$FA$19*$FA$24*2/3/(1+($FA$20-1)*$FA$19),0)+IF(CA489="同属性",$FA$19*$FA$24*$FA$37/3/(1+($FA$20-1)*$FA$19),0)+IF(CA489="同年级",$FA$19*$FA$24*$FA$40/3/(1+($FA$20-1)*$FA$19),0)+IF(CA489="同学校",$FA$19*$FA$24*$FA$43/3/(1+($FA$20-1)*$FA$19),0)+IF(CA489="同小队",$FA$19*$FA$24*$FA$46/3/(1+($FA$20-1)*$FA$19),0)+IF(CA489="同type",$FA$19*$FA$24*INDEX($FB$49:$FB$52,MATCH(X489,$FA$49:$FA$52,))/3/(1+($FA$20-1)*$FA$19),0)+IF(CA489="自身",$FA$19*#REF!/3/(1+(BH489-1)*$BD489),0)),0)</f>
        <v>0</v>
      </c>
      <c r="CE489" s="420">
        <f t="shared" si="641"/>
        <v>0</v>
      </c>
      <c r="CF489" s="436">
        <f t="shared" si="642"/>
        <v>0</v>
      </c>
      <c r="CG489" s="423">
        <f t="shared" si="643"/>
        <v>0</v>
      </c>
      <c r="CH489" s="433">
        <f t="shared" si="644"/>
        <v>0</v>
      </c>
      <c r="CI489" s="437" t="s">
        <v>165</v>
      </c>
      <c r="CJ489" s="438">
        <v>1</v>
      </c>
      <c r="CK489" s="439" t="s">
        <v>167</v>
      </c>
      <c r="CL489" s="439" t="s">
        <v>168</v>
      </c>
      <c r="CM489" s="1119">
        <v>2.5000000000000001E-2</v>
      </c>
      <c r="CN489" s="439" t="s">
        <v>163</v>
      </c>
      <c r="CO489" s="1092"/>
      <c r="CP489" s="1118">
        <f t="shared" si="645"/>
        <v>2.5000000000000001E-2</v>
      </c>
      <c r="CQ489" s="1118">
        <f t="shared" si="646"/>
        <v>2.5000000000000001E-2</v>
      </c>
      <c r="CR489" s="1118">
        <f t="shared" si="647"/>
        <v>0</v>
      </c>
      <c r="CS489" s="442">
        <f t="shared" si="648"/>
        <v>0</v>
      </c>
      <c r="CT489" s="432">
        <f t="shared" si="649"/>
        <v>0</v>
      </c>
      <c r="CU489" s="1101">
        <f t="shared" si="650"/>
        <v>3399.5732882075254</v>
      </c>
      <c r="CV489" s="1108">
        <f t="shared" si="685"/>
        <v>164.13930703125001</v>
      </c>
      <c r="CW489" s="1097">
        <f t="shared" si="651"/>
        <v>0</v>
      </c>
      <c r="CX489" s="1097">
        <f t="shared" si="652"/>
        <v>3399.5732882075254</v>
      </c>
      <c r="CY489" s="1110">
        <f t="shared" si="653"/>
        <v>0</v>
      </c>
      <c r="CZ489" s="437"/>
      <c r="DA489" s="438"/>
      <c r="DB489" s="439" t="s">
        <v>569</v>
      </c>
      <c r="DC489" s="439"/>
      <c r="DD489" s="443"/>
      <c r="DE489" s="411"/>
      <c r="DF489" s="411"/>
      <c r="DG489" s="1116">
        <f t="shared" si="654"/>
        <v>0</v>
      </c>
      <c r="DH489" s="1116">
        <f t="shared" si="655"/>
        <v>0</v>
      </c>
      <c r="DI489" s="1116">
        <f t="shared" si="656"/>
        <v>0</v>
      </c>
      <c r="DJ489" s="442">
        <f t="shared" si="657"/>
        <v>0</v>
      </c>
      <c r="DK489" s="432">
        <f t="shared" si="658"/>
        <v>0</v>
      </c>
      <c r="DL489" s="424">
        <f t="shared" si="659"/>
        <v>0</v>
      </c>
      <c r="DM489" s="420">
        <f t="shared" si="660"/>
        <v>0</v>
      </c>
      <c r="DN489" s="420">
        <f t="shared" si="661"/>
        <v>0</v>
      </c>
      <c r="DO489" s="420">
        <f t="shared" si="662"/>
        <v>0</v>
      </c>
      <c r="DP489" s="433">
        <f t="shared" si="663"/>
        <v>0</v>
      </c>
      <c r="DQ489" s="437" t="s">
        <v>551</v>
      </c>
      <c r="DR489" s="1120">
        <f t="shared" si="664"/>
        <v>0.33</v>
      </c>
      <c r="DS489" s="450">
        <v>5</v>
      </c>
      <c r="DT489" s="1093" t="s">
        <v>168</v>
      </c>
      <c r="DU489" s="1124" t="s">
        <v>544</v>
      </c>
      <c r="DV489" s="1098">
        <f>IF($P489="","N/A",IF(P489=-1,INDEX('卡片raw data'!AN:AN,MATCH(D489,'卡片raw data'!$F:$F,)),0)+IF(AND(L489&lt;&gt;"party卡",P489&lt;=2,P489&gt;=0),INDEX('卡片raw data'!AP:AP,MATCH(D489,'卡片raw data'!$F:$F,)),0)+IF(OR(AND(L489="party卡",P489&lt;=1),AND(P489&lt;=4,L489&lt;&gt;"party卡",P489&gt;=3)),INDEX('卡片raw data'!AQ:AQ,MATCH(D489,'卡片raw data'!$F:$F,)),0)+IF(OR(P489=5,AND(L489="party卡",P489&gt;=2)),INDEX('卡片raw data'!AR:AR,MATCH(D489,'卡片raw data'!$F:$F,)),0))</f>
        <v>0.2</v>
      </c>
      <c r="DW489" s="1098">
        <f t="shared" si="665"/>
        <v>0.33</v>
      </c>
      <c r="DX489" s="1098">
        <f t="shared" si="666"/>
        <v>0.33</v>
      </c>
      <c r="DY489" s="1098">
        <f t="shared" si="667"/>
        <v>0.11000000000000001</v>
      </c>
      <c r="DZ489" s="1098">
        <f t="shared" si="668"/>
        <v>9.5150000000000012E-2</v>
      </c>
      <c r="EA489" s="421">
        <f t="shared" si="669"/>
        <v>0</v>
      </c>
      <c r="EB489" s="445">
        <f t="shared" si="670"/>
        <v>0</v>
      </c>
      <c r="EC489" s="424">
        <f t="shared" si="671"/>
        <v>6591.8727176981274</v>
      </c>
      <c r="ED489" s="420">
        <f t="shared" si="672"/>
        <v>0</v>
      </c>
      <c r="EE489" s="433">
        <f t="shared" si="683"/>
        <v>6591.8727176981274</v>
      </c>
      <c r="EF489" s="1115" t="s">
        <v>569</v>
      </c>
      <c r="EG489" s="1120">
        <f t="shared" si="673"/>
        <v>0.33</v>
      </c>
      <c r="EH489" s="450"/>
      <c r="EI489" s="1093"/>
      <c r="EJ489" s="1093"/>
      <c r="EK489" s="1097">
        <f>IF($P489="","N/A",IF(P489=-1,INDEX('卡片raw data'!AS:AS,MATCH(D489,'卡片raw data'!$F:$F,)),0)+IF(AND(L489&lt;&gt;"party卡",P489&lt;=2,P489&gt;=0),INDEX('卡片raw data'!AU:AU,MATCH(D489,'卡片raw data'!$F:$F,)),0)+IF(OR(AND(L489="party卡",P489&lt;=1),AND(P489&lt;=4,L489&lt;&gt;"party卡",P489&gt;=3)),INDEX('卡片raw data'!AV:AV,MATCH(D489,'卡片raw data'!$F:$F,)),0)+IF(OR(P489=5,AND(L489="party卡",P489&gt;=2)),INDEX('卡片raw data'!AW:AW,MATCH(D489,'卡片raw data'!$F:$F,)),0))</f>
        <v>0</v>
      </c>
      <c r="EL489" s="1098">
        <f t="shared" si="674"/>
        <v>0.33</v>
      </c>
      <c r="EM489" s="1098">
        <f t="shared" si="675"/>
        <v>0.33</v>
      </c>
      <c r="EN489" s="1097">
        <f t="shared" si="676"/>
        <v>0</v>
      </c>
      <c r="EO489" s="1097">
        <f t="shared" si="677"/>
        <v>0</v>
      </c>
      <c r="EP489" s="421">
        <f t="shared" si="678"/>
        <v>0</v>
      </c>
      <c r="EQ489" s="445">
        <f t="shared" si="679"/>
        <v>0</v>
      </c>
      <c r="ER489" s="424">
        <f t="shared" si="680"/>
        <v>0</v>
      </c>
      <c r="ES489" s="420">
        <f t="shared" si="681"/>
        <v>0</v>
      </c>
      <c r="ET489" s="446">
        <f t="shared" si="684"/>
        <v>0</v>
      </c>
    </row>
    <row r="490" spans="2:150" ht="16.5" customHeight="1">
      <c r="B490" s="448" t="str">
        <f>INDEX('卡片raw data'!B:B,MATCH($D490,'卡片raw data'!$F:$F,))</f>
        <v>fes2璃</v>
      </c>
      <c r="C490" s="449" t="s">
        <v>3242</v>
      </c>
      <c r="D490" s="408">
        <v>487</v>
      </c>
      <c r="E490" s="477">
        <v>202093002</v>
      </c>
      <c r="F490" s="409" t="str">
        <f>INDEX('卡片raw data'!C:C,MATCH($D490,'卡片raw data'!$F:$F,))</f>
        <v>UR</v>
      </c>
      <c r="G490" s="1094" t="s">
        <v>3243</v>
      </c>
      <c r="H490" s="411">
        <f>IFERROR(INDEX(绊状态确认!C:C,MATCH($G490,绊状态确认!$B:$B,)),"")</f>
        <v>209</v>
      </c>
      <c r="I490" s="450" t="str">
        <f>IFERROR(INDEX(绊状态确认!D:D,MATCH($G490,绊状态确认!$B:$B,)),"")</f>
        <v>虹</v>
      </c>
      <c r="J490" s="450" t="str">
        <f>IFERROR(INDEX(绊状态确认!E:E,MATCH($G490,绊状态确认!$B:$B,)),"")</f>
        <v>1年级</v>
      </c>
      <c r="K490" s="451" t="str">
        <f>IFERROR(INDEX(绊状态确认!F:F,MATCH($G490,绊状态确认!$B:$B,)),"")</f>
        <v>QU4RTZ</v>
      </c>
      <c r="L490" s="414" t="str">
        <f>INDEX('卡片raw data'!E:E,MATCH($D490,'卡片raw data'!$F:$F,))</f>
        <v>fes卡</v>
      </c>
      <c r="M490" s="478">
        <v>44376</v>
      </c>
      <c r="N490" s="479">
        <v>42.5</v>
      </c>
      <c r="O490" s="410" t="str">
        <f>INDEX('卡片raw data'!D:D,MATCH($D490,'卡片raw data'!$F:$F,))</f>
        <v>sp</v>
      </c>
      <c r="P490" s="1126">
        <v>5</v>
      </c>
      <c r="Q490" s="418">
        <f t="shared" si="600"/>
        <v>77359.695178878334</v>
      </c>
      <c r="R490" s="419">
        <f t="shared" si="601"/>
        <v>0.89900000000000002</v>
      </c>
      <c r="S490" s="420">
        <f t="shared" si="602"/>
        <v>23895.604500666945</v>
      </c>
      <c r="T490" s="421">
        <f t="shared" si="603"/>
        <v>1.194</v>
      </c>
      <c r="U490" s="422">
        <f t="shared" si="604"/>
        <v>10.087222364142855</v>
      </c>
      <c r="V490" s="423">
        <f t="shared" si="605"/>
        <v>76361.266590493469</v>
      </c>
      <c r="W490" s="424">
        <f t="shared" si="606"/>
        <v>13536.580299137302</v>
      </c>
      <c r="X490" s="419">
        <f t="shared" si="607"/>
        <v>0.157</v>
      </c>
      <c r="Y490" s="420">
        <f t="shared" si="608"/>
        <v>801.57141161513937</v>
      </c>
      <c r="Z490" s="425">
        <f t="shared" si="609"/>
        <v>10.087222364142855</v>
      </c>
      <c r="AA490" s="426">
        <f t="shared" si="610"/>
        <v>14338.151710752441</v>
      </c>
      <c r="AB490" s="424">
        <f t="shared" si="611"/>
        <v>13536.580299137302</v>
      </c>
      <c r="AC490" s="427">
        <f t="shared" si="612"/>
        <v>0.157</v>
      </c>
      <c r="AD490" s="428">
        <f t="shared" si="613"/>
        <v>-1.6087500000000001E-2</v>
      </c>
      <c r="AE490" s="516">
        <f t="shared" si="614"/>
        <v>71.261690543478238</v>
      </c>
      <c r="AF490" s="1130">
        <f t="shared" si="615"/>
        <v>0</v>
      </c>
      <c r="AG490" s="420">
        <f t="shared" si="616"/>
        <v>0</v>
      </c>
      <c r="AH490" s="420">
        <f t="shared" si="617"/>
        <v>0</v>
      </c>
      <c r="AI490" s="1097">
        <f t="shared" si="618"/>
        <v>0</v>
      </c>
      <c r="AJ490" s="420">
        <f t="shared" si="619"/>
        <v>0</v>
      </c>
      <c r="AK490" s="518">
        <f t="shared" si="620"/>
        <v>0</v>
      </c>
      <c r="AL490" s="1106">
        <f>IF($P490="","N/A",(IF($P490=-1,INDEX('卡片raw data'!S:S,MATCH($D490,'卡片raw data'!$F:$F,)),0)+IF($P490=0,INDEX('卡片raw data'!V:V,MATCH($D490,'卡片raw data'!$F:$F,)),0)+IF($P490=1,INDEX('卡片raw data'!Y:Y,MATCH($D490,'卡片raw data'!$F:$F,)),0)+IF($P490=2,INDEX('卡片raw data'!AB:AB,MATCH($D490,'卡片raw data'!$F:$F,)),0)+IF($P490=3,INDEX('卡片raw data'!AE:AE,MATCH($D490,'卡片raw data'!$F:$F,)),0)+IF($P490=4,INDEX('卡片raw data'!AH:AH,MATCH($D490,'卡片raw data'!$F:$F,)),0)+IF($P490=5,INDEX('卡片raw data'!AK:AK,MATCH($D490,'卡片raw data'!$F:$F,)),0)+INDEX('卡片raw data'!S:S,MATCH($D490,'卡片raw data'!$F:$F,))*(IF($F490="UR",0.04,0.033))*(IF($F490="UR",INDEX(绊状态确认!$S:$S,MATCH($G490,绊状态确认!$B:$B,))/2-40)+IF($F490="SR",INDEX(绊状态确认!$R:$R,MATCH($G490,绊状态确认!$B:$B,))/4-15))+IF($F490="R",INDEX(绊状态确认!$Q:$Q,MATCH($G490,绊状态确认!$B:$B,))/6-40/6)))*(INDEX(绊状态确认!$H:$H,MATCH($G490,绊状态确认!$B:$B,))+INDEX(绊状态确认!J:J,MATCH($G490,绊状态确认!$B:$B,)))</f>
        <v>15127.756799999997</v>
      </c>
      <c r="AM490" s="1106">
        <f>IF($P490="","N/A",(IF($P490=-1,INDEX('卡片raw data'!T:T,MATCH($D490,'卡片raw data'!$F:$F,)),0)+IF($P490=0,INDEX('卡片raw data'!W:W,MATCH($D490,'卡片raw data'!$F:$F,)),0)+IF($P490=1,INDEX('卡片raw data'!Z:Z,MATCH($D490,'卡片raw data'!$F:$F,)),0)+IF($P490=2,INDEX('卡片raw data'!AC:AC,MATCH($D490,'卡片raw data'!$F:$F,)),0)+IF($P490=3,INDEX('卡片raw data'!AF:AF,MATCH($D490,'卡片raw data'!$F:$F,)),0)+IF($P490=4,INDEX('卡片raw data'!AI:AI,MATCH($D490,'卡片raw data'!$F:$F,)),0)+IF($P490=5,INDEX('卡片raw data'!AL:AL,MATCH($D490,'卡片raw data'!$F:$F,)),0)+INDEX('卡片raw data'!T:T,MATCH($D490,'卡片raw data'!$F:$F,))*(IF($F490="UR",0.04,0.033))*(IF($F490="UR",INDEX(绊状态确认!$S:$S,MATCH($G490,绊状态确认!$B:$B,))/2-40)+IF($F490="SR",INDEX(绊状态确认!$R:$R,MATCH($G490,绊状态确认!$B:$B,))/4-15))+IF($F490="R",INDEX(绊状态确认!$Q:$Q,MATCH($G490,绊状态确认!$B:$B,))/6-40/6)))*(INDEX(绊状态确认!$H:$H,MATCH($G490,绊状态确认!$B:$B,))+INDEX(绊状态确认!K:K,MATCH($G490,绊状态确认!$B:$B,)))</f>
        <v>4916.2936799999989</v>
      </c>
      <c r="AN490" s="1106">
        <f>IF($P490="","N/A",(IF($P490=-1,INDEX('卡片raw data'!U:U,MATCH($D490,'卡片raw data'!$F:$F,)),0)+IF($P490=0,INDEX('卡片raw data'!X:X,MATCH($D490,'卡片raw data'!$F:$F,)),0)+IF($P490=1,INDEX('卡片raw data'!AA:AA,MATCH($D490,'卡片raw data'!$F:$F,)),0)+IF($P490=2,INDEX('卡片raw data'!AD:AD,MATCH($D490,'卡片raw data'!$F:$F,)),0)+IF($P490=3,INDEX('卡片raw data'!AG:AG,MATCH($D490,'卡片raw data'!$F:$F,)),0)+IF($P490=4,INDEX('卡片raw data'!AJ:AJ,MATCH($D490,'卡片raw data'!$F:$F,)),0)+IF($P490=5,INDEX('卡片raw data'!AM:AM,MATCH($D490,'卡片raw data'!$F:$F,)),0)+INDEX('卡片raw data'!U:U,MATCH($D490,'卡片raw data'!$F:$F,))*(IF($F490="UR",0.04,0.033))*(IF($F490="UR",INDEX(绊状态确认!$S:$S,MATCH($G490,绊状态确认!$B:$B,))/2-40)+IF($F490="SR",INDEX(绊状态确认!$R:$R,MATCH($G490,绊状态确认!$B:$B,))/4-15))+IF($F490="R",INDEX(绊状态确认!$Q:$Q,MATCH($G490,绊状态确认!$B:$B,))/6-40/6)))*(INDEX(绊状态确认!$H:$H,MATCH($G490,绊状态确认!$B:$B,))+INDEX(绊状态确认!L:L,MATCH($G490,绊状态确认!$B:$B,)))</f>
        <v>17774.205119999999</v>
      </c>
      <c r="AO490" s="1107">
        <f t="shared" si="621"/>
        <v>1</v>
      </c>
      <c r="AP490" s="1131">
        <f>1+(INDEX(绊状态确认!$T:$T,MATCH($G490,绊状态确认!$B:$B,))+0.2)*$AO490</f>
        <v>1.3</v>
      </c>
      <c r="AQ490" s="1108">
        <f t="shared" si="622"/>
        <v>42960.361599999997</v>
      </c>
      <c r="AR490" s="1097">
        <f>(AM490*(1+$EX$9)+$EX$35)*(1+(INDEX(绊状态确认!$T:$T,MATCH($G490,绊状态确认!$B:$B,))+0.2)*AO490)*IF(J490=$FF$17,1+$FE$17,1)*IF(I490=$FF$14,1+$FE$14,1)</f>
        <v>9414.7408731999985</v>
      </c>
      <c r="AS490" s="1097">
        <f>(AN490*(1+$EX$10)+$EX$36)*(1+(INDEX(绊状态确认!$T:$T,MATCH($G490,绊状态确认!$B:$B,))+0.2)*AO490)*IF(J490=$FF$17,1+$FE$17,1)*IF(I490=$FF$14,1+$FE$14,1)</f>
        <v>30628.436654399997</v>
      </c>
      <c r="AT490" s="1093">
        <f>IF(AND(INDEX('卡片raw data'!AK:AK,MATCH($D490,'卡片raw data'!$F:$F,))&lt;INDEX('卡片raw data'!AM:AM,MATCH($D490,'卡片raw data'!$F:$F,)),INDEX('卡片raw data'!AL:AL,MATCH($D490,'卡片raw data'!$F:$F,))&lt;INDEX('卡片raw data'!AM:AM,MATCH($D490,'卡片raw data'!$F:$F,))),1,0)</f>
        <v>1</v>
      </c>
      <c r="AU490" s="1098">
        <f>MIN(AT490*0.15+AS490*0.00003+INDEX(绊状态确认!M:M,MATCH($G490,绊状态确认!$B:$B,)),1)</f>
        <v>1</v>
      </c>
      <c r="AV490" s="1109">
        <f>(INDEX(绊状态确认!$N:$N,MATCH($G490,绊状态确认!$B:$B,))+1.5)*$EW$21</f>
        <v>2.6599999999999997</v>
      </c>
      <c r="AW490" s="1101">
        <f t="shared" si="623"/>
        <v>59348.114879741035</v>
      </c>
      <c r="AX490" s="1097">
        <f t="shared" si="624"/>
        <v>801.57141161514016</v>
      </c>
      <c r="AY490" s="1110">
        <f t="shared" si="625"/>
        <v>60149.686291356178</v>
      </c>
      <c r="AZ490" s="429">
        <f t="shared" si="626"/>
        <v>32099.125759999995</v>
      </c>
      <c r="BA490" s="431">
        <f t="shared" si="627"/>
        <v>38518.950911999993</v>
      </c>
      <c r="BB490" s="1097">
        <f>(AM490*(1+$FB$9)+$FB$35)*(1+(INDEX(绊状态确认!$T:$T,MATCH($G490,绊状态确认!$B:$B,))+0.2)*AO490)*IF(J490=$FF$17,1+$FE$17,1)*IF(I490=$FF$14,1+$FE$14,1)*(1+$FE$15)</f>
        <v>9414.7408731999985</v>
      </c>
      <c r="BC490" s="1097">
        <f>(AN490*(1+$FB$10)+$FB$36)*(1+(INDEX(绊状态确认!$T:$T,MATCH($G490,绊状态确认!$B:$B,))+0.2)*AO490)*IF(J490=$FF$17,1+$FE$17,1)*IF(I490=$FF$14,1+$FE$14,1)*(1+$FE$15)</f>
        <v>30628.436654399997</v>
      </c>
      <c r="BD490" s="1104">
        <f>MIN(AT490*0.15+BC490*0.00003+INDEX(绊状态确认!M:M,MATCH($G490,绊状态确认!$B:$B,)),1)</f>
        <v>1</v>
      </c>
      <c r="BE490" s="432">
        <f>(INDEX(绊状态确认!$N:$N,MATCH($G490,绊状态确认!$B:$B,))+1.5)</f>
        <v>1.9</v>
      </c>
      <c r="BF490" s="1139">
        <f t="array" ref="BF490">SUMPRODUCT(IF(AZ490*AP490*$FI$16:$FI$23*$FA$22&gt;=$FI$24,$FI$24,AZ490*AP490*$FI$16:$FI$23*$FA$22),$FJ$16:$FJ$23)</f>
        <v>58116.29764864</v>
      </c>
      <c r="BG490" s="1125">
        <f t="array" ref="BG490">SUMPRODUCT(IF(BE490*AZ490*AP490*$FI$16:$FI$23*$FA$22&gt;=$FI$24,$FI$24,BE490*AZ490*AP490*$FI$16:$FI$23*$FA$22),$FJ$16:$FJ$23)</f>
        <v>60000</v>
      </c>
      <c r="BH490" s="1110">
        <f t="shared" si="628"/>
        <v>20000</v>
      </c>
      <c r="BI490" s="1111">
        <f>IF(O490="vo",$EW$26/$EW$24*0.05,0)+IF(O490="sk",-$EW$26/$EW$24*(0.05-INDEX(绊状态确认!W:W,MATCH($G490,绊状态确认!$B:$B,)))+0.05*$EW$28,0)+IF(O490="sp",0.05*$EW$32*$EW$30*(1-$EW$33)-(0.05-INDEX(绊状态确认!V:V,MATCH($G490,绊状态确认!$B:$B,)))*$EW$28,0)+IF(O490="gd",-(0.05-INDEX(绊状态确认!X:X,MATCH($G490,绊状态确认!$B:$B,)))*$EW$32*$EW$30*(1-$EW$33),0)</f>
        <v>19.999999999999886</v>
      </c>
      <c r="BJ490" s="420">
        <f>IF(O490="vo",0.05*(1-$FI$26)*$FA$24,0)+IF(O490="sk",-(0.05-INDEX(绊状态确认!W:W,MATCH($G490,绊状态确认!$B:$B,)))*(1-$FI$26)*$FA$24+0.05*$FA$26,0)+IF(O490="sp",0.05*$FA$32*$FA$27*(1-$FA$33)/$FA$30+0.05*$FA$29/$FA$69*$FA$27*(1-$FA$33)-(0.05-INDEX(绊状态确认!V:V,MATCH($G490,绊状态确认!$B:$B,)))*$FA$26,0)+IF(O490="gd",-(0.05-INDEX(绊状态确认!X:X,MATCH($G490,绊状态确认!$B:$B,)))*$FA$32*$FA$27*(1-$FA$33)/$FA$30-(0.05-INDEX(绊状态确认!X:X,MATCH($G490,绊状态确认!$B:$B,)))*$FA$29/$FA$69*$FA$27*(1-$FA$33),0)</f>
        <v>545.83333333333326</v>
      </c>
      <c r="BK490" s="1110">
        <f>IF(O490="vo",$EW$26/$EW$24*0.05+$EW$26*(-HP($EW$62,$EW$65,$EW$64)+HP($EW$62,$EW$65,(1.05-INDEX(绊状态确认!U:U,MATCH($G490,绊状态确认!$B:$B,)))*$EW$64)),0)+IF(O490="sk",-$EW$26/$EW$24*(0.05-INDEX(绊状态确认!W:W,MATCH($G490,绊状态确认!$B:$B,)))+0.05*$EW$29,0)+IF(O490="sp",0.05*$EW$32*$EW$30*(1-$EW$33)-(0.05-INDEX(绊状态确认!V:V,MATCH($G490,绊状态确认!$B:$B,)))*$EW$29,0)+IF(O490="gd",-(0.05-INDEX(绊状态确认!X:X,MATCH($G490,绊状态确认!$B:$B,)))*$EW$32*$EW$30*(1-$EW$33)+$EW$26*(-HP($EW$62,$EW$65,$EW$64)+HP($EW$62,$EW$65,0.95*$EW$64)),0)</f>
        <v>-1780.0000000000005</v>
      </c>
      <c r="BL490" s="1111">
        <f t="shared" si="629"/>
        <v>0</v>
      </c>
      <c r="BM490" s="1110">
        <f t="shared" si="630"/>
        <v>0</v>
      </c>
      <c r="BN490" s="1113">
        <f t="shared" si="631"/>
        <v>4</v>
      </c>
      <c r="BO490" s="1108">
        <f t="shared" si="632"/>
        <v>6010.2953161679998</v>
      </c>
      <c r="BP490" s="1100">
        <f t="shared" si="633"/>
        <v>295.12137612040135</v>
      </c>
      <c r="BQ490" s="1113" t="s">
        <v>1940</v>
      </c>
      <c r="BR490" s="450" t="s">
        <v>1947</v>
      </c>
      <c r="BS490" s="421">
        <f>IF($P490="","N/A",IF($P490=-1,INDEX('卡片raw data'!AX:AX,MATCH($D490,'卡片raw data'!$F:$F,)),0)+IF($L490="party卡",IF($P490=5,INDEX('卡片raw data'!BD:BD,MATCH($D490,'卡片raw data'!$F:$F,)),IF($P490&gt;=3,INDEX('卡片raw data'!BC:BC,MATCH($D490,'卡片raw data'!$F:$F,)),INDEX('卡片raw data'!BB:BB,MATCH($D490,'卡片raw data'!$F:$F,)))),IF(OR(AND($F490="UR",$P490=0),AND($F490="SR",$P490&gt;=0,$P490&lt;=2),AND($F490="R",$P490&gt;=0,$P490&lt;4)),INDEX('卡片raw data'!AZ:AZ,MATCH($D490,'卡片raw data'!$F:$F,)),0)+IF(OR(AND($F490="UR",$P490&gt;=1,$P490&lt;=4),AND($F490="SR",$P490&lt;=4,$P490&gt;=3),AND($F490="R",$P490=4)),INDEX('卡片raw data'!BA:BA,MATCH($D490,'卡片raw data'!$F:$F,)),0)+IF($P490=5,INDEX('卡片raw data'!BB:BB,MATCH($D490,'卡片raw data'!$F:$F,)),0)))</f>
        <v>4.2000000000000003E-2</v>
      </c>
      <c r="BT490" s="424">
        <f t="shared" si="634"/>
        <v>3155.4050409881997</v>
      </c>
      <c r="BU490" s="420">
        <f t="shared" si="635"/>
        <v>154.93872246321072</v>
      </c>
      <c r="BV490" s="420">
        <f t="shared" si="636"/>
        <v>3155.4050409882002</v>
      </c>
      <c r="BW490" s="436">
        <f t="shared" si="637"/>
        <v>0</v>
      </c>
      <c r="BX490" s="423">
        <f t="shared" si="638"/>
        <v>3155.4050409881997</v>
      </c>
      <c r="BY490" s="433">
        <f t="shared" si="639"/>
        <v>3155.4050409882002</v>
      </c>
      <c r="BZ490" s="1113" t="s">
        <v>569</v>
      </c>
      <c r="CA490" s="450"/>
      <c r="CB490" s="421">
        <f>IF($P490="","N/A",IF($P490=-1,INDEX('卡片raw data'!BE:BE,MATCH($D490,'卡片raw data'!$F:$F,)),0)+IF($L490="party卡",IF($P490=5,INDEX('卡片raw data'!BK:BK,MATCH($D490,'卡片raw data'!$F:$F,)),IF($P490&gt;=3,INDEX('卡片raw data'!BJ:BJ,MATCH($D490,'卡片raw data'!$F:$F,)),INDEX('卡片raw data'!BI:BI,MATCH($D490,'卡片raw data'!$F:$F,)))),IF(OR(AND($F490="UR",$P490=0),AND($F490="SR",$P490&gt;=0,$P490&lt;=2),AND($F490="R",$P490&gt;=0,$P490&lt;4)),INDEX('卡片raw data'!BG:BG,MATCH($D490,'卡片raw data'!$F:$F,)),0)+IF(OR(AND($F490="UR",$P490&gt;=1,$P490&lt;=4),AND($F490="SR",$P490&lt;=4,$P490&gt;=3),AND($F490="R",$P490=4)),INDEX('卡片raw data'!BH:BH,MATCH($D490,'卡片raw data'!$F:$F,)),0)+IF($P490=5,INDEX('卡片raw data'!BI:BI,MATCH($D490,'卡片raw data'!$F:$F,)),0)))</f>
        <v>0</v>
      </c>
      <c r="CC490" s="424">
        <f t="shared" si="640"/>
        <v>0</v>
      </c>
      <c r="CD490" s="420">
        <f>IF(BZ490="ap",CB490*(1-$FI$26)*$FB$5/$FB$11*(+IF(CA490="全员",$FA$24,0)+IF(CA490="同作战",$FA$24,0)+IF(CA490="仲间",$FA$24*2/3,0)+IF(CA490="同属性",$FA$24*$FA$37/3,0)+IF(CA490="同年级",$FA$24*$FA$40/3,0)+IF(CA490="同学校",$FA$24*$FA$43/3,0)+IF(CA490="同小队",$FA$24*$FA$46/3,0)+IF(CA490="同type",$FA$24*INDEX($FB$49:$FB$52,MATCH(X490,$FA$49:$FA$52,))/3,0)+IF(CA490="自身",#REF!/3,0)),0)+IF(BZ490="te",CB490*(1-$FI$27)*($FA$20-1)*$FB$7/$FB$13*(+IF(CA490="全员",$FA$19*$FA$24/(1+($FA$20-1)*$FA$19),0)+IF(CA490="同作战",$FA$19*$FA$24/(1+($FA$20-1)*$FA$19),0)+IF(CA490="仲间",$FA$19*$FA$24*2/3/(1+($FA$20-1)*$FA$19),0)+IF(CA490="同属性",$FA$19*$FA$24*$FA$37/3/(1+($FA$20-1)*$FA$19),0)+IF(CA490="同年级",$FA$19*$FA$24*$FA$40/3/(1+($FA$20-1)*$FA$19),0)+IF(CA490="同学校",$FA$19*$FA$24*$FA$43/3/(1+($FA$20-1)*$FA$19),0)+IF(CA490="同小队",$FA$19*$FA$24*$FA$46/3/(1+($FA$20-1)*$FA$19),0)+IF(CA490="同type",$FA$19*$FA$24*INDEX($FB$49:$FB$52,MATCH(X490,$FA$49:$FA$52,))/3/(1+($FA$20-1)*$FA$19),0)+IF(CA490="自身",$FA$19*#REF!/3/(1+(BH490-1)*$BD490),0)),0)</f>
        <v>0</v>
      </c>
      <c r="CE490" s="420">
        <f t="shared" si="641"/>
        <v>0</v>
      </c>
      <c r="CF490" s="436">
        <f t="shared" si="642"/>
        <v>0</v>
      </c>
      <c r="CG490" s="423">
        <f t="shared" si="643"/>
        <v>0</v>
      </c>
      <c r="CH490" s="433">
        <f t="shared" si="644"/>
        <v>0</v>
      </c>
      <c r="CI490" s="437" t="s">
        <v>160</v>
      </c>
      <c r="CJ490" s="438">
        <v>1</v>
      </c>
      <c r="CK490" s="439" t="s">
        <v>167</v>
      </c>
      <c r="CL490" s="439" t="s">
        <v>161</v>
      </c>
      <c r="CM490" s="443">
        <v>0.12</v>
      </c>
      <c r="CN490" s="439">
        <v>5</v>
      </c>
      <c r="CO490" s="1115"/>
      <c r="CP490" s="1118">
        <f t="shared" si="645"/>
        <v>3.214285714285714E-2</v>
      </c>
      <c r="CQ490" s="1118">
        <f t="shared" si="646"/>
        <v>6.6666666666666666E-2</v>
      </c>
      <c r="CR490" s="1118">
        <f t="shared" si="647"/>
        <v>3.214285714285714E-2</v>
      </c>
      <c r="CS490" s="442">
        <f t="shared" si="648"/>
        <v>0</v>
      </c>
      <c r="CT490" s="432">
        <f t="shared" si="649"/>
        <v>0</v>
      </c>
      <c r="CU490" s="1101">
        <f t="shared" si="650"/>
        <v>4370.879941981103</v>
      </c>
      <c r="CV490" s="1108">
        <f t="shared" si="685"/>
        <v>437.70481875000007</v>
      </c>
      <c r="CW490" s="1097">
        <f t="shared" si="651"/>
        <v>4370.879941981103</v>
      </c>
      <c r="CX490" s="1097">
        <f t="shared" si="652"/>
        <v>4370.879941981103</v>
      </c>
      <c r="CY490" s="1110">
        <f t="shared" si="653"/>
        <v>4370.879941981103</v>
      </c>
      <c r="CZ490" s="437"/>
      <c r="DA490" s="438"/>
      <c r="DB490" s="439" t="s">
        <v>569</v>
      </c>
      <c r="DC490" s="439"/>
      <c r="DD490" s="443"/>
      <c r="DE490" s="411"/>
      <c r="DF490" s="411"/>
      <c r="DG490" s="1116">
        <f t="shared" si="654"/>
        <v>0</v>
      </c>
      <c r="DH490" s="1116">
        <f t="shared" si="655"/>
        <v>0</v>
      </c>
      <c r="DI490" s="1116">
        <f t="shared" si="656"/>
        <v>0</v>
      </c>
      <c r="DJ490" s="442">
        <f t="shared" si="657"/>
        <v>0</v>
      </c>
      <c r="DK490" s="432">
        <f t="shared" si="658"/>
        <v>0</v>
      </c>
      <c r="DL490" s="424">
        <f t="shared" si="659"/>
        <v>0</v>
      </c>
      <c r="DM490" s="420">
        <f t="shared" si="660"/>
        <v>0</v>
      </c>
      <c r="DN490" s="420">
        <f t="shared" si="661"/>
        <v>0</v>
      </c>
      <c r="DO490" s="420">
        <f t="shared" si="662"/>
        <v>0</v>
      </c>
      <c r="DP490" s="433">
        <f t="shared" si="663"/>
        <v>0</v>
      </c>
      <c r="DQ490" s="1113" t="s">
        <v>549</v>
      </c>
      <c r="DR490" s="1120">
        <f t="shared" si="664"/>
        <v>0.33</v>
      </c>
      <c r="DS490" s="1124"/>
      <c r="DT490" s="1124" t="s">
        <v>179</v>
      </c>
      <c r="DU490" s="1093"/>
      <c r="DV490" s="1098">
        <f>IF($P490="","N/A",IF(P490=-1,INDEX('卡片raw data'!AN:AN,MATCH(D490,'卡片raw data'!$F:$F,)),0)+IF(AND(L490&lt;&gt;"party卡",P490&lt;=2,P490&gt;=0),INDEX('卡片raw data'!AP:AP,MATCH(D490,'卡片raw data'!$F:$F,)),0)+IF(OR(AND(L490="party卡",P490&lt;=1),AND(P490&lt;=4,L490&lt;&gt;"party卡",P490&gt;=3)),INDEX('卡片raw data'!AQ:AQ,MATCH(D490,'卡片raw data'!$F:$F,)),0)+IF(OR(P490=5,AND(L490="party卡",P490&gt;=2)),INDEX('卡片raw data'!AR:AR,MATCH(D490,'卡片raw data'!$F:$F,)),0))</f>
        <v>0.09</v>
      </c>
      <c r="DW490" s="1098">
        <f t="shared" si="665"/>
        <v>0.33</v>
      </c>
      <c r="DX490" s="1098">
        <f t="shared" si="666"/>
        <v>0.33</v>
      </c>
      <c r="DY490" s="1098">
        <f t="shared" si="667"/>
        <v>9.9000000000000008E-3</v>
      </c>
      <c r="DZ490" s="1098">
        <f t="shared" si="668"/>
        <v>9.8480249999999998E-3</v>
      </c>
      <c r="EA490" s="421">
        <f t="shared" si="669"/>
        <v>0</v>
      </c>
      <c r="EB490" s="445">
        <f t="shared" si="670"/>
        <v>60.337777499999987</v>
      </c>
      <c r="EC490" s="424">
        <f t="shared" si="671"/>
        <v>4455</v>
      </c>
      <c r="ED490" s="420">
        <f t="shared" si="672"/>
        <v>2462.0062499999999</v>
      </c>
      <c r="EE490" s="433">
        <f t="shared" si="683"/>
        <v>4455</v>
      </c>
      <c r="EF490" s="1115" t="s">
        <v>569</v>
      </c>
      <c r="EG490" s="1120">
        <f t="shared" si="673"/>
        <v>0.33</v>
      </c>
      <c r="EH490" s="450"/>
      <c r="EI490" s="1093"/>
      <c r="EJ490" s="1093"/>
      <c r="EK490" s="420">
        <f>IF($P490="","N/A",IF(P490=-1,INDEX('卡片raw data'!AS:AS,MATCH(D490,'卡片raw data'!$F:$F,)),0)+IF(AND(L490&lt;&gt;"party卡",P490&lt;=2,P490&gt;=0),INDEX('卡片raw data'!AU:AU,MATCH(D490,'卡片raw data'!$F:$F,)),0)+IF(OR(AND(L490="party卡",P490&lt;=1),AND(P490&lt;=4,L490&lt;&gt;"party卡",P490&gt;=3)),INDEX('卡片raw data'!AV:AV,MATCH(D490,'卡片raw data'!$F:$F,)),0)+IF(OR(P490=5,AND(L490="party卡",P490&gt;=2)),INDEX('卡片raw data'!AW:AW,MATCH(D490,'卡片raw data'!$F:$F,)),0))</f>
        <v>0</v>
      </c>
      <c r="EL490" s="1098">
        <f t="shared" si="674"/>
        <v>0.33</v>
      </c>
      <c r="EM490" s="1098">
        <f t="shared" si="675"/>
        <v>0.33</v>
      </c>
      <c r="EN490" s="1097">
        <f t="shared" si="676"/>
        <v>0</v>
      </c>
      <c r="EO490" s="1097">
        <f t="shared" si="677"/>
        <v>0</v>
      </c>
      <c r="EP490" s="421">
        <f t="shared" si="678"/>
        <v>0</v>
      </c>
      <c r="EQ490" s="445">
        <f t="shared" si="679"/>
        <v>0</v>
      </c>
      <c r="ER490" s="424">
        <f t="shared" si="680"/>
        <v>0</v>
      </c>
      <c r="ES490" s="420">
        <f t="shared" si="681"/>
        <v>0</v>
      </c>
      <c r="ET490" s="446">
        <f t="shared" si="684"/>
        <v>0</v>
      </c>
    </row>
    <row r="491" spans="2:150" ht="16.5" customHeight="1">
      <c r="B491" s="448" t="str">
        <f>INDEX('卡片raw data'!B:B,MATCH($D491,'卡片raw data'!$F:$F,))</f>
        <v>jb雫</v>
      </c>
      <c r="C491" s="449" t="s">
        <v>3246</v>
      </c>
      <c r="D491" s="408">
        <v>488</v>
      </c>
      <c r="E491" s="477">
        <v>202032002</v>
      </c>
      <c r="F491" s="409" t="str">
        <f>INDEX('卡片raw data'!C:C,MATCH($D491,'卡片raw data'!$F:$F,))</f>
        <v>SR</v>
      </c>
      <c r="G491" s="1094" t="s">
        <v>3247</v>
      </c>
      <c r="H491" s="411">
        <f>IFERROR(INDEX(绊状态确认!C:C,MATCH($G491,绊状态确认!$B:$B,)),"")</f>
        <v>203</v>
      </c>
      <c r="I491" s="450" t="str">
        <f>IFERROR(INDEX(绊状态确认!D:D,MATCH($G491,绊状态确认!$B:$B,)),"")</f>
        <v>虹</v>
      </c>
      <c r="J491" s="450" t="str">
        <f>IFERROR(INDEX(绊状态确认!E:E,MATCH($G491,绊状态确认!$B:$B,)),"")</f>
        <v>1年级</v>
      </c>
      <c r="K491" s="451" t="str">
        <f>IFERROR(INDEX(绊状态确认!F:F,MATCH($G491,绊状态确认!$B:$B,)),"")</f>
        <v>A·ZU·NA</v>
      </c>
      <c r="L491" s="414" t="str">
        <f>INDEX('卡片raw data'!E:E,MATCH($D491,'卡片raw data'!$F:$F,))</f>
        <v>卡池卡</v>
      </c>
      <c r="M491" s="478">
        <v>44376</v>
      </c>
      <c r="N491" s="479">
        <v>42.5</v>
      </c>
      <c r="O491" s="410" t="str">
        <f>INDEX('卡片raw data'!D:D,MATCH($D491,'卡片raw data'!$F:$F,))</f>
        <v>sp</v>
      </c>
      <c r="P491" s="1126">
        <v>5</v>
      </c>
      <c r="Q491" s="418">
        <f t="shared" si="600"/>
        <v>31059.908881509269</v>
      </c>
      <c r="R491" s="419">
        <f t="shared" si="601"/>
        <v>0.36099999999999999</v>
      </c>
      <c r="S491" s="420">
        <f t="shared" si="602"/>
        <v>17705.054157702612</v>
      </c>
      <c r="T491" s="421">
        <f t="shared" si="603"/>
        <v>0.88500000000000001</v>
      </c>
      <c r="U491" s="422">
        <f t="shared" si="604"/>
        <v>42.16561994599499</v>
      </c>
      <c r="V491" s="423">
        <f t="shared" si="605"/>
        <v>32731.850908160577</v>
      </c>
      <c r="W491" s="424">
        <f t="shared" si="606"/>
        <v>4507.7214871259994</v>
      </c>
      <c r="X491" s="419">
        <f t="shared" si="607"/>
        <v>5.1999999999999998E-2</v>
      </c>
      <c r="Y491" s="420">
        <f t="shared" si="608"/>
        <v>3471.9420266513062</v>
      </c>
      <c r="Z491" s="425">
        <f t="shared" si="609"/>
        <v>42.16561994599499</v>
      </c>
      <c r="AA491" s="426">
        <f t="shared" si="610"/>
        <v>7979.6635137773055</v>
      </c>
      <c r="AB491" s="424">
        <f t="shared" si="611"/>
        <v>5110.2512921256503</v>
      </c>
      <c r="AC491" s="427">
        <f t="shared" si="612"/>
        <v>5.8999999999999997E-2</v>
      </c>
      <c r="AD491" s="428">
        <f t="shared" si="613"/>
        <v>-1.9908281250000003E-2</v>
      </c>
      <c r="AE491" s="516">
        <f t="shared" si="614"/>
        <v>2.8386741621376803</v>
      </c>
      <c r="AF491" s="1130">
        <f t="shared" si="615"/>
        <v>0</v>
      </c>
      <c r="AG491" s="420">
        <f t="shared" si="616"/>
        <v>0</v>
      </c>
      <c r="AH491" s="420">
        <f t="shared" si="617"/>
        <v>0</v>
      </c>
      <c r="AI491" s="1097">
        <f t="shared" si="618"/>
        <v>0</v>
      </c>
      <c r="AJ491" s="420">
        <f t="shared" si="619"/>
        <v>0</v>
      </c>
      <c r="AK491" s="518">
        <f t="shared" si="620"/>
        <v>0</v>
      </c>
      <c r="AL491" s="1106">
        <f>IF($P491="","N/A",(IF($P491=-1,INDEX('卡片raw data'!S:S,MATCH($D491,'卡片raw data'!$F:$F,)),0)+IF($P491=0,INDEX('卡片raw data'!V:V,MATCH($D491,'卡片raw data'!$F:$F,)),0)+IF($P491=1,INDEX('卡片raw data'!Y:Y,MATCH($D491,'卡片raw data'!$F:$F,)),0)+IF($P491=2,INDEX('卡片raw data'!AB:AB,MATCH($D491,'卡片raw data'!$F:$F,)),0)+IF($P491=3,INDEX('卡片raw data'!AE:AE,MATCH($D491,'卡片raw data'!$F:$F,)),0)+IF($P491=4,INDEX('卡片raw data'!AH:AH,MATCH($D491,'卡片raw data'!$F:$F,)),0)+IF($P491=5,INDEX('卡片raw data'!AK:AK,MATCH($D491,'卡片raw data'!$F:$F,)),0)+INDEX('卡片raw data'!S:S,MATCH($D491,'卡片raw data'!$F:$F,))*(IF($F491="UR",0.04,0.033))*(IF($F491="UR",INDEX(绊状态确认!$S:$S,MATCH($G491,绊状态确认!$B:$B,))/2-40)+IF($F491="SR",INDEX(绊状态确认!$R:$R,MATCH($G491,绊状态确认!$B:$B,))/4-15))+IF($F491="R",INDEX(绊状态确认!$Q:$Q,MATCH($G491,绊状态确认!$B:$B,))/6-40/6)))*(INDEX(绊状态确认!$H:$H,MATCH($G491,绊状态确认!$B:$B,))+INDEX(绊状态确认!J:J,MATCH($G491,绊状态确认!$B:$B,)))</f>
        <v>7294.8152447999992</v>
      </c>
      <c r="AM491" s="1106">
        <f>IF($P491="","N/A",(IF($P491=-1,INDEX('卡片raw data'!T:T,MATCH($D491,'卡片raw data'!$F:$F,)),0)+IF($P491=0,INDEX('卡片raw data'!W:W,MATCH($D491,'卡片raw data'!$F:$F,)),0)+IF($P491=1,INDEX('卡片raw data'!Z:Z,MATCH($D491,'卡片raw data'!$F:$F,)),0)+IF($P491=2,INDEX('卡片raw data'!AC:AC,MATCH($D491,'卡片raw data'!$F:$F,)),0)+IF($P491=3,INDEX('卡片raw data'!AF:AF,MATCH($D491,'卡片raw data'!$F:$F,)),0)+IF($P491=4,INDEX('卡片raw data'!AI:AI,MATCH($D491,'卡片raw data'!$F:$F,)),0)+IF($P491=5,INDEX('卡片raw data'!AL:AL,MATCH($D491,'卡片raw data'!$F:$F,)),0)+INDEX('卡片raw data'!T:T,MATCH($D491,'卡片raw data'!$F:$F,))*(IF($F491="UR",0.04,0.033))*(IF($F491="UR",INDEX(绊状态确认!$S:$S,MATCH($G491,绊状态确认!$B:$B,))/2-40)+IF($F491="SR",INDEX(绊状态确认!$R:$R,MATCH($G491,绊状态确认!$B:$B,))/4-15))+IF($F491="R",INDEX(绊状态确认!$Q:$Q,MATCH($G491,绊状态确认!$B:$B,))/6-40/6)))*(INDEX(绊状态确认!$H:$H,MATCH($G491,绊状态确认!$B:$B,))+INDEX(绊状态确认!K:K,MATCH($G491,绊状态确认!$B:$B,)))</f>
        <v>4786.7327159999986</v>
      </c>
      <c r="AN491" s="1106">
        <f>IF($P491="","N/A",(IF($P491=-1,INDEX('卡片raw data'!U:U,MATCH($D491,'卡片raw data'!$F:$F,)),0)+IF($P491=0,INDEX('卡片raw data'!X:X,MATCH($D491,'卡片raw data'!$F:$F,)),0)+IF($P491=1,INDEX('卡片raw data'!AA:AA,MATCH($D491,'卡片raw data'!$F:$F,)),0)+IF($P491=2,INDEX('卡片raw data'!AD:AD,MATCH($D491,'卡片raw data'!$F:$F,)),0)+IF($P491=3,INDEX('卡片raw data'!AG:AG,MATCH($D491,'卡片raw data'!$F:$F,)),0)+IF($P491=4,INDEX('卡片raw data'!AJ:AJ,MATCH($D491,'卡片raw data'!$F:$F,)),0)+IF($P491=5,INDEX('卡片raw data'!AM:AM,MATCH($D491,'卡片raw data'!$F:$F,)),0)+INDEX('卡片raw data'!U:U,MATCH($D491,'卡片raw data'!$F:$F,))*(IF($F491="UR",0.04,0.033))*(IF($F491="UR",INDEX(绊状态确认!$S:$S,MATCH($G491,绊状态确认!$B:$B,))/2-40)+IF($F491="SR",INDEX(绊状态确认!$R:$R,MATCH($G491,绊状态确认!$B:$B,))/4-15))+IF($F491="R",INDEX(绊状态确认!$Q:$Q,MATCH($G491,绊状态确认!$B:$B,))/6-40/6)))*(INDEX(绊状态确认!$H:$H,MATCH($G491,绊状态确认!$B:$B,))+INDEX(绊状态确认!L:L,MATCH($G491,绊状态确认!$B:$B,)))</f>
        <v>10716.917930399997</v>
      </c>
      <c r="AO491" s="1107">
        <f t="shared" si="621"/>
        <v>1</v>
      </c>
      <c r="AP491" s="1131">
        <f>1+(INDEX(绊状态确认!$T:$T,MATCH($G491,绊状态确认!$B:$B,))+0.2)*$AO491</f>
        <v>1.3</v>
      </c>
      <c r="AQ491" s="1108">
        <f t="shared" si="622"/>
        <v>22398.890017599995</v>
      </c>
      <c r="AR491" s="1097">
        <f>(AM491*(1+$EX$9)+$EX$35)*(1+(INDEX(绊状态确认!$T:$T,MATCH($G491,绊状态确认!$B:$B,))+0.2)*AO491)*IF(J491=$FF$17,1+$FE$17,1)*IF(I491=$FF$14,1+$FE$14,1)</f>
        <v>9237.890157339998</v>
      </c>
      <c r="AS491" s="1097">
        <f>(AN491*(1+$EX$10)+$EX$36)*(1+(INDEX(绊状态确认!$T:$T,MATCH($G491,绊状态确认!$B:$B,))+0.2)*AO491)*IF(J491=$FF$17,1+$FE$17,1)*IF(I491=$FF$14,1+$FE$14,1)</f>
        <v>20077.792305947994</v>
      </c>
      <c r="AT491" s="1093">
        <f>IF(AND(INDEX('卡片raw data'!AK:AK,MATCH($D491,'卡片raw data'!$F:$F,))&lt;INDEX('卡片raw data'!AM:AM,MATCH($D491,'卡片raw data'!$F:$F,)),INDEX('卡片raw data'!AL:AL,MATCH($D491,'卡片raw data'!$F:$F,))&lt;INDEX('卡片raw data'!AM:AM,MATCH($D491,'卡片raw data'!$F:$F,))),1,0)</f>
        <v>1</v>
      </c>
      <c r="AU491" s="1098">
        <f>MIN(AT491*0.15+AS491*0.00003+INDEX(绊状态确认!M:M,MATCH($G491,绊状态确认!$B:$B,)),1)</f>
        <v>0.78233376917843989</v>
      </c>
      <c r="AV491" s="1109">
        <f>(INDEX(绊状态确认!$N:$N,MATCH($G491,绊状态确认!$B:$B,))+1.5)*$EW$21</f>
        <v>2.6599999999999997</v>
      </c>
      <c r="AW491" s="1101">
        <f t="shared" si="623"/>
        <v>26739.990922716948</v>
      </c>
      <c r="AX491" s="1097">
        <f t="shared" si="624"/>
        <v>786.21025315939619</v>
      </c>
      <c r="AY491" s="1110">
        <f t="shared" si="625"/>
        <v>27526.201175876344</v>
      </c>
      <c r="AZ491" s="429">
        <f t="shared" si="626"/>
        <v>16824.889727359998</v>
      </c>
      <c r="BA491" s="431">
        <f t="shared" si="627"/>
        <v>20189.867672831995</v>
      </c>
      <c r="BB491" s="1097">
        <f>(AM491*(1+$FB$9)+$FB$35)*(1+(INDEX(绊状态确认!$T:$T,MATCH($G491,绊状态确认!$B:$B,))+0.2)*AO491)*IF(J491=$FF$17,1+$FE$17,1)*IF(I491=$FF$14,1+$FE$14,1)*(1+$FE$15)</f>
        <v>9237.890157339998</v>
      </c>
      <c r="BC491" s="1097">
        <f>(AN491*(1+$FB$10)+$FB$36)*(1+(INDEX(绊状态确认!$T:$T,MATCH($G491,绊状态确认!$B:$B,))+0.2)*AO491)*IF(J491=$FF$17,1+$FE$17,1)*IF(I491=$FF$14,1+$FE$14,1)*(1+$FE$15)</f>
        <v>20077.792305947994</v>
      </c>
      <c r="BD491" s="1104">
        <f>MIN(AT491*0.15+BC491*0.00003+INDEX(绊状态确认!M:M,MATCH($G491,绊状态确认!$B:$B,)),1)</f>
        <v>0.78233376917843989</v>
      </c>
      <c r="BE491" s="432">
        <f>(INDEX(绊状态确认!$N:$N,MATCH($G491,绊状态确认!$B:$B,))+1.5)</f>
        <v>1.9</v>
      </c>
      <c r="BF491" s="1139">
        <f t="array" ref="BF491">SUMPRODUCT(IF(AZ491*AP491*$FI$16:$FI$23*$FA$22&gt;=$FI$24,$FI$24,AZ491*AP491*$FI$16:$FI$23*$FA$22),$FJ$16:$FJ$23)</f>
        <v>33464.705667719034</v>
      </c>
      <c r="BG491" s="1125">
        <f t="array" ref="BG491">SUMPRODUCT(IF(BE491*AZ491*AP491*$FI$16:$FI$23*$FA$22&gt;=$FI$24,$FI$24,BE491*AZ491*AP491*$FI$16:$FI$23*$FA$22),$FJ$16:$FJ$23)</f>
        <v>58025.463142086977</v>
      </c>
      <c r="BH491" s="1110">
        <f t="shared" si="628"/>
        <v>17559.805212172949</v>
      </c>
      <c r="BI491" s="1111">
        <f>IF(O491="vo",$EW$26/$EW$24*0.05,0)+IF(O491="sk",-$EW$26/$EW$24*(0.05-INDEX(绊状态确认!W:W,MATCH($G491,绊状态确认!$B:$B,)))+0.05*$EW$28,0)+IF(O491="sp",0.05*$EW$32*$EW$30*(1-$EW$33)-(0.05-INDEX(绊状态确认!V:V,MATCH($G491,绊状态确认!$B:$B,)))*$EW$28,0)+IF(O491="gd",-(0.05-INDEX(绊状态确认!X:X,MATCH($G491,绊状态确认!$B:$B,)))*$EW$32*$EW$30*(1-$EW$33),0)</f>
        <v>19.999999999999886</v>
      </c>
      <c r="BJ491" s="420">
        <f>IF(O491="vo",0.05*(1-$FI$26)*$FA$24,0)+IF(O491="sk",-(0.05-INDEX(绊状态确认!W:W,MATCH($G491,绊状态确认!$B:$B,)))*(1-$FI$26)*$FA$24+0.05*$FA$26,0)+IF(O491="sp",0.05*$FA$32*$FA$27*(1-$FA$33)/$FA$30+0.05*$FA$29/$FA$69*$FA$27*(1-$FA$33)-(0.05-INDEX(绊状态确认!V:V,MATCH($G491,绊状态确认!$B:$B,)))*$FA$26,0)+IF(O491="gd",-(0.05-INDEX(绊状态确认!X:X,MATCH($G491,绊状态确认!$B:$B,)))*$FA$32*$FA$27*(1-$FA$33)/$FA$30-(0.05-INDEX(绊状态确认!X:X,MATCH($G491,绊状态确认!$B:$B,)))*$FA$29/$FA$69*$FA$27*(1-$FA$33),0)</f>
        <v>545.83333333333326</v>
      </c>
      <c r="BK491" s="1110">
        <f>IF(O491="vo",$EW$26/$EW$24*0.05+$EW$26*(-HP($EW$62,$EW$65,$EW$64)+HP($EW$62,$EW$65,(1.05-INDEX(绊状态确认!U:U,MATCH($G491,绊状态确认!$B:$B,)))*$EW$64)),0)+IF(O491="sk",-$EW$26/$EW$24*(0.05-INDEX(绊状态确认!W:W,MATCH($G491,绊状态确认!$B:$B,)))+0.05*$EW$29,0)+IF(O491="sp",0.05*$EW$32*$EW$30*(1-$EW$33)-(0.05-INDEX(绊状态确认!V:V,MATCH($G491,绊状态确认!$B:$B,)))*$EW$29,0)+IF(O491="gd",-(0.05-INDEX(绊状态确认!X:X,MATCH($G491,绊状态确认!$B:$B,)))*$EW$32*$EW$30*(1-$EW$33)+$EW$26*(-HP($EW$62,$EW$65,$EW$64)+HP($EW$62,$EW$65,0.95*$EW$64)),0)</f>
        <v>-1780.0000000000005</v>
      </c>
      <c r="BL491" s="1111">
        <f t="shared" si="629"/>
        <v>-1083.3333333333333</v>
      </c>
      <c r="BM491" s="1110">
        <f t="shared" si="630"/>
        <v>-830.55555555555543</v>
      </c>
      <c r="BN491" s="1113">
        <f t="shared" si="631"/>
        <v>3</v>
      </c>
      <c r="BO491" s="1108">
        <f t="shared" si="632"/>
        <v>4507.7214871259994</v>
      </c>
      <c r="BP491" s="1100">
        <f t="shared" si="633"/>
        <v>221.34103209030098</v>
      </c>
      <c r="BQ491" s="437" t="s">
        <v>134</v>
      </c>
      <c r="BR491" s="450" t="s">
        <v>166</v>
      </c>
      <c r="BS491" s="421">
        <f>IF($P491="","N/A",IF($P491=-1,INDEX('卡片raw data'!AX:AX,MATCH($D491,'卡片raw data'!$F:$F,)),0)+IF($L491="party卡",IF($P491=5,INDEX('卡片raw data'!BD:BD,MATCH($D491,'卡片raw data'!$F:$F,)),IF($P491&gt;=3,INDEX('卡片raw data'!BC:BC,MATCH($D491,'卡片raw data'!$F:$F,)),INDEX('卡片raw data'!BB:BB,MATCH($D491,'卡片raw data'!$F:$F,)))),IF(OR(AND($F491="UR",$P491=0),AND($F491="SR",$P491&gt;=0,$P491&lt;=2),AND($F491="R",$P491&gt;=0,$P491&lt;4)),INDEX('卡片raw data'!AZ:AZ,MATCH($D491,'卡片raw data'!$F:$F,)),0)+IF(OR(AND($F491="UR",$P491&gt;=1,$P491&lt;=4),AND($F491="SR",$P491&lt;=4,$P491&gt;=3),AND($F491="R",$P491=4)),INDEX('卡片raw data'!BA:BA,MATCH($D491,'卡片raw data'!$F:$F,)),0)+IF($P491=5,INDEX('卡片raw data'!BB:BB,MATCH($D491,'卡片raw data'!$F:$F,)),0)))</f>
        <v>7.0000000000000007E-2</v>
      </c>
      <c r="BT491" s="424">
        <f t="shared" si="634"/>
        <v>602.52980499965099</v>
      </c>
      <c r="BU491" s="420">
        <f t="shared" si="635"/>
        <v>27.585635661585055</v>
      </c>
      <c r="BV491" s="420">
        <f t="shared" si="636"/>
        <v>0</v>
      </c>
      <c r="BW491" s="436">
        <f t="shared" si="637"/>
        <v>0</v>
      </c>
      <c r="BX491" s="423">
        <f t="shared" si="638"/>
        <v>602.52980499965099</v>
      </c>
      <c r="BY491" s="433">
        <f t="shared" si="639"/>
        <v>0</v>
      </c>
      <c r="BZ491" s="1113" t="s">
        <v>569</v>
      </c>
      <c r="CA491" s="450"/>
      <c r="CB491" s="421">
        <f>IF($P491="","N/A",IF($P491=-1,INDEX('卡片raw data'!BE:BE,MATCH($D491,'卡片raw data'!$F:$F,)),0)+IF($L491="party卡",IF($P491=5,INDEX('卡片raw data'!BK:BK,MATCH($D491,'卡片raw data'!$F:$F,)),IF($P491&gt;=3,INDEX('卡片raw data'!BJ:BJ,MATCH($D491,'卡片raw data'!$F:$F,)),INDEX('卡片raw data'!BI:BI,MATCH($D491,'卡片raw data'!$F:$F,)))),IF(OR(AND($F491="UR",$P491=0),AND($F491="SR",$P491&gt;=0,$P491&lt;=2),AND($F491="R",$P491&gt;=0,$P491&lt;4)),INDEX('卡片raw data'!BG:BG,MATCH($D491,'卡片raw data'!$F:$F,)),0)+IF(OR(AND($F491="UR",$P491&gt;=1,$P491&lt;=4),AND($F491="SR",$P491&lt;=4,$P491&gt;=3),AND($F491="R",$P491=4)),INDEX('卡片raw data'!BH:BH,MATCH($D491,'卡片raw data'!$F:$F,)),0)+IF($P491=5,INDEX('卡片raw data'!BI:BI,MATCH($D491,'卡片raw data'!$F:$F,)),0)))</f>
        <v>0</v>
      </c>
      <c r="CC491" s="424">
        <f t="shared" si="640"/>
        <v>0</v>
      </c>
      <c r="CD491" s="420">
        <f>IF(BZ491="ap",CB491*(1-$FI$26)*$FB$5/$FB$11*(+IF(CA491="全员",$FA$24,0)+IF(CA491="同作战",$FA$24,0)+IF(CA491="仲间",$FA$24*2/3,0)+IF(CA491="同属性",$FA$24*$FA$37/3,0)+IF(CA491="同年级",$FA$24*$FA$40/3,0)+IF(CA491="同学校",$FA$24*$FA$43/3,0)+IF(CA491="同小队",$FA$24*$FA$46/3,0)+IF(CA491="同type",$FA$24*INDEX($FB$49:$FB$52,MATCH(X491,$FA$49:$FA$52,))/3,0)+IF(CA491="自身",#REF!/3,0)),0)+IF(BZ491="te",CB491*(1-$FI$27)*($FA$20-1)*$FB$7/$FB$13*(+IF(CA491="全员",$FA$19*$FA$24/(1+($FA$20-1)*$FA$19),0)+IF(CA491="同作战",$FA$19*$FA$24/(1+($FA$20-1)*$FA$19),0)+IF(CA491="仲间",$FA$19*$FA$24*2/3/(1+($FA$20-1)*$FA$19),0)+IF(CA491="同属性",$FA$19*$FA$24*$FA$37/3/(1+($FA$20-1)*$FA$19),0)+IF(CA491="同年级",$FA$19*$FA$24*$FA$40/3/(1+($FA$20-1)*$FA$19),0)+IF(CA491="同学校",$FA$19*$FA$24*$FA$43/3/(1+($FA$20-1)*$FA$19),0)+IF(CA491="同小队",$FA$19*$FA$24*$FA$46/3/(1+($FA$20-1)*$FA$19),0)+IF(CA491="同type",$FA$19*$FA$24*INDEX($FB$49:$FB$52,MATCH(X491,$FA$49:$FA$52,))/3/(1+($FA$20-1)*$FA$19),0)+IF(CA491="自身",$FA$19*#REF!/3/(1+(BH491-1)*$BD491),0)),0)</f>
        <v>0</v>
      </c>
      <c r="CE491" s="420">
        <f t="shared" si="641"/>
        <v>0</v>
      </c>
      <c r="CF491" s="436">
        <f t="shared" si="642"/>
        <v>0</v>
      </c>
      <c r="CG491" s="423">
        <f t="shared" si="643"/>
        <v>0</v>
      </c>
      <c r="CH491" s="433">
        <f t="shared" si="644"/>
        <v>0</v>
      </c>
      <c r="CI491" s="437" t="s">
        <v>160</v>
      </c>
      <c r="CJ491" s="438">
        <v>0.5</v>
      </c>
      <c r="CK491" s="439" t="s">
        <v>3248</v>
      </c>
      <c r="CL491" s="1115" t="s">
        <v>3249</v>
      </c>
      <c r="CM491" s="1119">
        <v>0.06</v>
      </c>
      <c r="CN491" s="1115"/>
      <c r="CO491" s="1115"/>
      <c r="CP491" s="1116">
        <f t="shared" si="645"/>
        <v>32.267880491702137</v>
      </c>
      <c r="CQ491" s="1116">
        <f t="shared" si="646"/>
        <v>66.925974353159987</v>
      </c>
      <c r="CR491" s="1117">
        <f t="shared" si="647"/>
        <v>32.267880491702137</v>
      </c>
      <c r="CS491" s="442">
        <f t="shared" si="648"/>
        <v>0</v>
      </c>
      <c r="CT491" s="432">
        <f t="shared" si="649"/>
        <v>0</v>
      </c>
      <c r="CU491" s="1101">
        <f t="shared" si="650"/>
        <v>0</v>
      </c>
      <c r="CV491" s="1108">
        <f t="shared" si="685"/>
        <v>0</v>
      </c>
      <c r="CW491" s="1097">
        <f t="shared" si="651"/>
        <v>0</v>
      </c>
      <c r="CX491" s="420">
        <f t="shared" si="652"/>
        <v>2685.7317734919102</v>
      </c>
      <c r="CY491" s="433">
        <f t="shared" si="653"/>
        <v>2685.7317734919102</v>
      </c>
      <c r="CZ491" s="437"/>
      <c r="DA491" s="438"/>
      <c r="DB491" s="439" t="s">
        <v>569</v>
      </c>
      <c r="DC491" s="439"/>
      <c r="DD491" s="443"/>
      <c r="DE491" s="411"/>
      <c r="DF491" s="411"/>
      <c r="DG491" s="1116">
        <f t="shared" si="654"/>
        <v>0</v>
      </c>
      <c r="DH491" s="1116">
        <f t="shared" si="655"/>
        <v>0</v>
      </c>
      <c r="DI491" s="1116">
        <f t="shared" si="656"/>
        <v>0</v>
      </c>
      <c r="DJ491" s="442">
        <f t="shared" si="657"/>
        <v>0</v>
      </c>
      <c r="DK491" s="432">
        <f t="shared" si="658"/>
        <v>0</v>
      </c>
      <c r="DL491" s="424">
        <f t="shared" si="659"/>
        <v>0</v>
      </c>
      <c r="DM491" s="420">
        <f t="shared" si="660"/>
        <v>0</v>
      </c>
      <c r="DN491" s="420">
        <f t="shared" si="661"/>
        <v>0</v>
      </c>
      <c r="DO491" s="420">
        <f t="shared" si="662"/>
        <v>0</v>
      </c>
      <c r="DP491" s="433">
        <f t="shared" si="663"/>
        <v>0</v>
      </c>
      <c r="DQ491" s="1113" t="s">
        <v>3250</v>
      </c>
      <c r="DR491" s="1120">
        <f t="shared" si="664"/>
        <v>0.3</v>
      </c>
      <c r="DS491" s="1124">
        <v>5</v>
      </c>
      <c r="DT491" s="1124" t="s">
        <v>3251</v>
      </c>
      <c r="DU491" s="1124" t="s">
        <v>544</v>
      </c>
      <c r="DV491" s="480">
        <v>4.2000000000000003E-2</v>
      </c>
      <c r="DW491" s="1098">
        <f t="shared" si="665"/>
        <v>0.3</v>
      </c>
      <c r="DX491" s="1098">
        <f t="shared" si="666"/>
        <v>0.3</v>
      </c>
      <c r="DY491" s="1098">
        <f t="shared" si="667"/>
        <v>2.0999999999999998E-2</v>
      </c>
      <c r="DZ491" s="1098">
        <f t="shared" si="668"/>
        <v>1.8164999999999997E-2</v>
      </c>
      <c r="EA491" s="421">
        <f t="shared" si="669"/>
        <v>0</v>
      </c>
      <c r="EB491" s="445">
        <f t="shared" si="670"/>
        <v>4.1901234374999996</v>
      </c>
      <c r="EC491" s="424">
        <f t="shared" si="671"/>
        <v>272.99999999999994</v>
      </c>
      <c r="ED491" s="420">
        <f t="shared" si="672"/>
        <v>181.04449999999994</v>
      </c>
      <c r="EE491" s="433">
        <f t="shared" si="683"/>
        <v>272.99999999999994</v>
      </c>
      <c r="EF491" s="1115" t="s">
        <v>569</v>
      </c>
      <c r="EG491" s="1120">
        <f t="shared" si="673"/>
        <v>0.3</v>
      </c>
      <c r="EH491" s="450"/>
      <c r="EI491" s="1093"/>
      <c r="EJ491" s="1093"/>
      <c r="EK491" s="420">
        <f>IF($P491="","N/A",IF(P491=-1,INDEX('卡片raw data'!AS:AS,MATCH(D491,'卡片raw data'!$F:$F,)),0)+IF(AND(L491&lt;&gt;"party卡",P491&lt;=2,P491&gt;=0),INDEX('卡片raw data'!AU:AU,MATCH(D491,'卡片raw data'!$F:$F,)),0)+IF(OR(AND(L491="party卡",P491&lt;=1),AND(P491&lt;=4,L491&lt;&gt;"party卡",P491&gt;=3)),INDEX('卡片raw data'!AV:AV,MATCH(D491,'卡片raw data'!$F:$F,)),0)+IF(OR(P491=5,AND(L491="party卡",P491&gt;=2)),INDEX('卡片raw data'!AW:AW,MATCH(D491,'卡片raw data'!$F:$F,)),0))</f>
        <v>0</v>
      </c>
      <c r="EL491" s="1098">
        <f t="shared" si="674"/>
        <v>0.3</v>
      </c>
      <c r="EM491" s="1098">
        <f t="shared" si="675"/>
        <v>0.3</v>
      </c>
      <c r="EN491" s="1097">
        <f t="shared" si="676"/>
        <v>0</v>
      </c>
      <c r="EO491" s="1097">
        <f t="shared" si="677"/>
        <v>0</v>
      </c>
      <c r="EP491" s="421">
        <f t="shared" si="678"/>
        <v>0</v>
      </c>
      <c r="EQ491" s="445">
        <f t="shared" si="679"/>
        <v>0</v>
      </c>
      <c r="ER491" s="424">
        <f t="shared" si="680"/>
        <v>0</v>
      </c>
      <c r="ES491" s="420">
        <f t="shared" si="681"/>
        <v>0</v>
      </c>
      <c r="ET491" s="446">
        <f t="shared" si="684"/>
        <v>0</v>
      </c>
    </row>
    <row r="492" spans="2:150" ht="16.5" customHeight="1">
      <c r="B492" s="448" t="str">
        <f>INDEX('卡片raw data'!B:B,MATCH($D492,'卡片raw data'!$F:$F,))</f>
        <v>三单南</v>
      </c>
      <c r="C492" s="449" t="s">
        <v>3237</v>
      </c>
      <c r="D492" s="408">
        <v>489</v>
      </c>
      <c r="E492" s="477">
        <v>201032002</v>
      </c>
      <c r="F492" s="409" t="str">
        <f>INDEX('卡片raw data'!C:C,MATCH($D492,'卡片raw data'!$F:$F,))</f>
        <v>SR</v>
      </c>
      <c r="G492" s="1094" t="s">
        <v>3255</v>
      </c>
      <c r="H492" s="411">
        <f>IFERROR(INDEX(绊状态确认!C:C,MATCH($G492,绊状态确认!$B:$B,)),"")</f>
        <v>103</v>
      </c>
      <c r="I492" s="450" t="str">
        <f>IFERROR(INDEX(绊状态确认!D:D,MATCH($G492,绊状态确认!$B:$B,)),"")</f>
        <v>水</v>
      </c>
      <c r="J492" s="450" t="str">
        <f>IFERROR(INDEX(绊状态确认!E:E,MATCH($G492,绊状态确认!$B:$B,)),"")</f>
        <v>3年级</v>
      </c>
      <c r="K492" s="451" t="str">
        <f>IFERROR(INDEX(绊状态确认!F:F,MATCH($G492,绊状态确认!$B:$B,)),"")</f>
        <v>AZALEA</v>
      </c>
      <c r="L492" s="414" t="str">
        <f>INDEX('卡片raw data'!E:E,MATCH($D492,'卡片raw data'!$F:$F,))</f>
        <v>卡池卡</v>
      </c>
      <c r="M492" s="478">
        <v>44376</v>
      </c>
      <c r="N492" s="479">
        <v>42.5</v>
      </c>
      <c r="O492" s="410" t="str">
        <f>INDEX('卡片raw data'!D:D,MATCH($D492,'卡片raw data'!$F:$F,))</f>
        <v>gd</v>
      </c>
      <c r="P492" s="1126">
        <v>5</v>
      </c>
      <c r="Q492" s="418">
        <f t="shared" si="600"/>
        <v>21667.549576636913</v>
      </c>
      <c r="R492" s="419">
        <f t="shared" si="601"/>
        <v>0.251</v>
      </c>
      <c r="S492" s="420">
        <f t="shared" si="602"/>
        <v>12627.555421961264</v>
      </c>
      <c r="T492" s="421">
        <f t="shared" si="603"/>
        <v>0.63100000000000001</v>
      </c>
      <c r="U492" s="422">
        <f t="shared" si="604"/>
        <v>464.38495349916161</v>
      </c>
      <c r="V492" s="423">
        <f t="shared" si="605"/>
        <v>73113.199458213363</v>
      </c>
      <c r="W492" s="424">
        <f t="shared" si="606"/>
        <v>4507.7214871259994</v>
      </c>
      <c r="X492" s="419">
        <f t="shared" si="607"/>
        <v>5.1999999999999998E-2</v>
      </c>
      <c r="Y492" s="420">
        <f t="shared" si="608"/>
        <v>3122.0176338107658</v>
      </c>
      <c r="Z492" s="425">
        <f t="shared" si="609"/>
        <v>38.648958652545602</v>
      </c>
      <c r="AA492" s="426">
        <f t="shared" si="610"/>
        <v>7629.7391209367652</v>
      </c>
      <c r="AB492" s="424">
        <f t="shared" si="611"/>
        <v>4507.7214871259994</v>
      </c>
      <c r="AC492" s="427">
        <f t="shared" si="612"/>
        <v>5.1999999999999998E-2</v>
      </c>
      <c r="AD492" s="428">
        <f t="shared" si="613"/>
        <v>-3.8207812500000026E-3</v>
      </c>
      <c r="AE492" s="516">
        <f t="shared" si="614"/>
        <v>-18.525362318840578</v>
      </c>
      <c r="AF492" s="1130">
        <f t="shared" si="615"/>
        <v>6352.4076220130237</v>
      </c>
      <c r="AG492" s="420">
        <f t="shared" si="616"/>
        <v>94074.189859041639</v>
      </c>
      <c r="AH492" s="420">
        <f t="shared" si="617"/>
        <v>14.809218088122364</v>
      </c>
      <c r="AI492" s="1097">
        <f t="shared" si="618"/>
        <v>98173.795129323524</v>
      </c>
      <c r="AJ492" s="420">
        <f t="shared" si="619"/>
        <v>73113.199458213363</v>
      </c>
      <c r="AK492" s="518">
        <f t="shared" si="620"/>
        <v>25060.595671110161</v>
      </c>
      <c r="AL492" s="1106">
        <f>IF($P492="","N/A",(IF($P492=-1,INDEX('卡片raw data'!S:S,MATCH($D492,'卡片raw data'!$F:$F,)),0)+IF($P492=0,INDEX('卡片raw data'!V:V,MATCH($D492,'卡片raw data'!$F:$F,)),0)+IF($P492=1,INDEX('卡片raw data'!Y:Y,MATCH($D492,'卡片raw data'!$F:$F,)),0)+IF($P492=2,INDEX('卡片raw data'!AB:AB,MATCH($D492,'卡片raw data'!$F:$F,)),0)+IF($P492=3,INDEX('卡片raw data'!AE:AE,MATCH($D492,'卡片raw data'!$F:$F,)),0)+IF($P492=4,INDEX('卡片raw data'!AH:AH,MATCH($D492,'卡片raw data'!$F:$F,)),0)+IF($P492=5,INDEX('卡片raw data'!AK:AK,MATCH($D492,'卡片raw data'!$F:$F,)),0)+INDEX('卡片raw data'!S:S,MATCH($D492,'卡片raw data'!$F:$F,))*(IF($F492="UR",0.04,0.033))*(IF($F492="UR",INDEX(绊状态确认!$S:$S,MATCH($G492,绊状态确认!$B:$B,))/2-40)+IF($F492="SR",INDEX(绊状态确认!$R:$R,MATCH($G492,绊状态确认!$B:$B,))/4-15))+IF($F492="R",INDEX(绊状态确认!$Q:$Q,MATCH($G492,绊状态确认!$B:$B,))/6-40/6)))*(INDEX(绊状态确认!$H:$H,MATCH($G492,绊状态确认!$B:$B,))+INDEX(绊状态确认!J:J,MATCH($G492,绊状态确认!$B:$B,)))</f>
        <v>6384.2792903999989</v>
      </c>
      <c r="AM492" s="1106">
        <f>IF($P492="","N/A",(IF($P492=-1,INDEX('卡片raw data'!T:T,MATCH($D492,'卡片raw data'!$F:$F,)),0)+IF($P492=0,INDEX('卡片raw data'!W:W,MATCH($D492,'卡片raw data'!$F:$F,)),0)+IF($P492=1,INDEX('卡片raw data'!Z:Z,MATCH($D492,'卡片raw data'!$F:$F,)),0)+IF($P492=2,INDEX('卡片raw data'!AC:AC,MATCH($D492,'卡片raw data'!$F:$F,)),0)+IF($P492=3,INDEX('卡片raw data'!AF:AF,MATCH($D492,'卡片raw data'!$F:$F,)),0)+IF($P492=4,INDEX('卡片raw data'!AI:AI,MATCH($D492,'卡片raw data'!$F:$F,)),0)+IF($P492=5,INDEX('卡片raw data'!AL:AL,MATCH($D492,'卡片raw data'!$F:$F,)),0)+INDEX('卡片raw data'!T:T,MATCH($D492,'卡片raw data'!$F:$F,))*(IF($F492="UR",0.04,0.033))*(IF($F492="UR",INDEX(绊状态确认!$S:$S,MATCH($G492,绊状态确认!$B:$B,))/2-40)+IF($F492="SR",INDEX(绊状态确认!$R:$R,MATCH($G492,绊状态确认!$B:$B,))/4-15))+IF($F492="R",INDEX(绊状态确认!$Q:$Q,MATCH($G492,绊状态确认!$B:$B,))/6-40/6)))*(INDEX(绊状态确认!$H:$H,MATCH($G492,绊状态确认!$B:$B,))+INDEX(绊状态确认!K:K,MATCH($G492,绊状态确认!$B:$B,)))</f>
        <v>8892.3618191999994</v>
      </c>
      <c r="AN492" s="1106">
        <f>IF($P492="","N/A",(IF($P492=-1,INDEX('卡片raw data'!U:U,MATCH($D492,'卡片raw data'!$F:$F,)),0)+IF($P492=0,INDEX('卡片raw data'!X:X,MATCH($D492,'卡片raw data'!$F:$F,)),0)+IF($P492=1,INDEX('卡片raw data'!AA:AA,MATCH($D492,'卡片raw data'!$F:$F,)),0)+IF($P492=2,INDEX('卡片raw data'!AD:AD,MATCH($D492,'卡片raw data'!$F:$F,)),0)+IF($P492=3,INDEX('卡片raw data'!AG:AG,MATCH($D492,'卡片raw data'!$F:$F,)),0)+IF($P492=4,INDEX('卡片raw data'!AJ:AJ,MATCH($D492,'卡片raw data'!$F:$F,)),0)+IF($P492=5,INDEX('卡片raw data'!AM:AM,MATCH($D492,'卡片raw data'!$F:$F,)),0)+INDEX('卡片raw data'!U:U,MATCH($D492,'卡片raw data'!$F:$F,))*(IF($F492="UR",0.04,0.033))*(IF($F492="UR",INDEX(绊状态确认!$S:$S,MATCH($G492,绊状态确认!$B:$B,))/2-40)+IF($F492="SR",INDEX(绊状态确认!$R:$R,MATCH($G492,绊状态确认!$B:$B,))/4-15))+IF($F492="R",INDEX(绊状态确认!$Q:$Q,MATCH($G492,绊状态确认!$B:$B,))/6-40/6)))*(INDEX(绊状态确认!$H:$H,MATCH($G492,绊状态确认!$B:$B,))+INDEX(绊状态确认!L:L,MATCH($G492,绊状态确认!$B:$B,)))</f>
        <v>7523.0361839999996</v>
      </c>
      <c r="AO492" s="1107">
        <f t="shared" si="621"/>
        <v>1</v>
      </c>
      <c r="AP492" s="1131">
        <f>1+(INDEX(绊状态确认!$T:$T,MATCH($G492,绊状态确认!$B:$B,))+0.2)*$AO492</f>
        <v>1.3</v>
      </c>
      <c r="AQ492" s="1108">
        <f t="shared" si="622"/>
        <v>20008.733137299998</v>
      </c>
      <c r="AR492" s="1097">
        <f>(AM492*(1+$EX$9)+$EX$35)*(1+(INDEX(绊状态确认!$T:$T,MATCH($G492,绊状态确认!$B:$B,))+0.2)*AO492)*IF(J492=$FF$17,1+$FE$17,1)*IF(I492=$FF$14,1+$FE$14,1)</f>
        <v>14842.073883208001</v>
      </c>
      <c r="AS492" s="1097">
        <f>(AN492*(1+$EX$10)+$EX$36)*(1+(INDEX(绊状态确认!$T:$T,MATCH($G492,绊状态确认!$B:$B,))+0.2)*AO492)*IF(J492=$FF$17,1+$FE$17,1)*IF(I492=$FF$14,1+$FE$14,1)</f>
        <v>15302.939095079999</v>
      </c>
      <c r="AT492" s="1093">
        <f>IF(AND(INDEX('卡片raw data'!AK:AK,MATCH($D492,'卡片raw data'!$F:$F,))&lt;INDEX('卡片raw data'!AM:AM,MATCH($D492,'卡片raw data'!$F:$F,)),INDEX('卡片raw data'!AL:AL,MATCH($D492,'卡片raw data'!$F:$F,))&lt;INDEX('卡片raw data'!AM:AM,MATCH($D492,'卡片raw data'!$F:$F,))),1,0)</f>
        <v>0</v>
      </c>
      <c r="AU492" s="1098">
        <f>MIN(AT492*0.15+AS492*0.00003+INDEX(绊状态确认!M:M,MATCH($G492,绊状态确认!$B:$B,)),1)</f>
        <v>0.48908817285240003</v>
      </c>
      <c r="AV492" s="1109">
        <f>(INDEX(绊状态确认!$N:$N,MATCH($G492,绊状态确认!$B:$B,))+1.5)*$EW$21</f>
        <v>2.6599999999999997</v>
      </c>
      <c r="AW492" s="1101">
        <f t="shared" si="623"/>
        <v>18828.161422844245</v>
      </c>
      <c r="AX492" s="1097">
        <f t="shared" si="624"/>
        <v>1278.833825221742</v>
      </c>
      <c r="AY492" s="1110">
        <f t="shared" si="625"/>
        <v>20106.995248065989</v>
      </c>
      <c r="AZ492" s="429">
        <f t="shared" si="626"/>
        <v>15049.344616279997</v>
      </c>
      <c r="BA492" s="431">
        <f t="shared" si="627"/>
        <v>18059.213539535995</v>
      </c>
      <c r="BB492" s="1097">
        <f>(AM492*(1+$FB$9)+$FB$35)*(1+(INDEX(绊状态确认!$T:$T,MATCH($G492,绊状态确认!$B:$B,))+0.2)*AO492)*IF(J492=$FF$17,1+$FE$17,1)*IF(I492=$FF$14,1+$FE$14,1)*(1+$FE$15)</f>
        <v>14842.073883208001</v>
      </c>
      <c r="BC492" s="1097">
        <f>(AN492*(1+$FB$10)+$FB$36)*(1+(INDEX(绊状态确认!$T:$T,MATCH($G492,绊状态确认!$B:$B,))+0.2)*AO492)*IF(J492=$FF$17,1+$FE$17,1)*IF(I492=$FF$14,1+$FE$14,1)*(1+$FE$15)</f>
        <v>15302.939095079999</v>
      </c>
      <c r="BD492" s="1104">
        <f>MIN(AT492*0.15+BC492*0.00003+INDEX(绊状态确认!M:M,MATCH($G492,绊状态确认!$B:$B,)),1)</f>
        <v>0.48908817285240003</v>
      </c>
      <c r="BE492" s="432">
        <f>(INDEX(绊状态确认!$N:$N,MATCH($G492,绊状态确认!$B:$B,))+1.5)</f>
        <v>1.9</v>
      </c>
      <c r="BF492" s="1139">
        <f t="array" ref="BF492">SUMPRODUCT(IF(AZ492*AP492*$FI$16:$FI$23*$FA$22&gt;=$FI$24,$FI$24,AZ492*AP492*$FI$16:$FI$23*$FA$22),$FJ$16:$FJ$23)</f>
        <v>29933.146441780918</v>
      </c>
      <c r="BG492" s="1125">
        <f t="array" ref="BG492">SUMPRODUCT(IF(BE492*AZ492*AP492*$FI$16:$FI$23*$FA$22&gt;=$FI$24,$FI$24,BE492*AZ492*AP492*$FI$16:$FI$23*$FA$22),$FJ$16:$FJ$23)</f>
        <v>54800.162390189478</v>
      </c>
      <c r="BH492" s="1110">
        <f t="shared" si="628"/>
        <v>14031.769945426518</v>
      </c>
      <c r="BI492" s="1111">
        <f>IF(O492="vo",$EW$26/$EW$24*0.05,0)+IF(O492="sk",-$EW$26/$EW$24*(0.05-INDEX(绊状态确认!W:W,MATCH($G492,绊状态确认!$B:$B,)))+0.05*$EW$28,0)+IF(O492="sp",0.05*$EW$32*$EW$30*(1-$EW$33)-(0.05-INDEX(绊状态确认!V:V,MATCH($G492,绊状态确认!$B:$B,)))*$EW$28,0)+IF(O492="gd",-(0.05-INDEX(绊状态确认!X:X,MATCH($G492,绊状态确认!$B:$B,)))*$EW$32*$EW$30*(1-$EW$33),0)</f>
        <v>-585.00000000000011</v>
      </c>
      <c r="BJ492" s="420">
        <f>IF(O492="vo",0.05*(1-$FI$26)*$FA$24,0)+IF(O492="sk",-(0.05-INDEX(绊状态确认!W:W,MATCH($G492,绊状态确认!$B:$B,)))*(1-$FI$26)*$FA$24+0.05*$FA$26,0)+IF(O492="sp",0.05*$FA$32*$FA$27*(1-$FA$33)/$FA$30+0.05*$FA$29/$FA$69*$FA$27*(1-$FA$33)-(0.05-INDEX(绊状态确认!V:V,MATCH($G492,绊状态确认!$B:$B,)))*$FA$26,0)+IF(O492="gd",-(0.05-INDEX(绊状态确认!X:X,MATCH($G492,绊状态确认!$B:$B,)))*$FA$32*$FA$27*(1-$FA$33)/$FA$30-(0.05-INDEX(绊状态确认!X:X,MATCH($G492,绊状态确认!$B:$B,)))*$FA$29/$FA$69*$FA$27*(1-$FA$33),0)</f>
        <v>-795.00000000000011</v>
      </c>
      <c r="BK492" s="1110">
        <f>IF(O492="vo",$EW$26/$EW$24*0.05+$EW$26*(-HP($EW$62,$EW$65,$EW$64)+HP($EW$62,$EW$65,(1.05-INDEX(绊状态确认!U:U,MATCH($G492,绊状态确认!$B:$B,)))*$EW$64)),0)+IF(O492="sk",-$EW$26/$EW$24*(0.05-INDEX(绊状态确认!W:W,MATCH($G492,绊状态确认!$B:$B,)))+0.05*$EW$29,0)+IF(O492="sp",0.05*$EW$32*$EW$30*(1-$EW$33)-(0.05-INDEX(绊状态确认!V:V,MATCH($G492,绊状态确认!$B:$B,)))*$EW$29,0)+IF(O492="gd",-(0.05-INDEX(绊状态确认!X:X,MATCH($G492,绊状态确认!$B:$B,)))*$EW$32*$EW$30*(1-$EW$33)+$EW$26*(-HP($EW$62,$EW$65,$EW$64)+HP($EW$62,$EW$65,0.95*$EW$64)),0)</f>
        <v>1009.5947725176144</v>
      </c>
      <c r="BL492" s="1111">
        <f t="shared" si="629"/>
        <v>-1083.3333333333333</v>
      </c>
      <c r="BM492" s="1110">
        <f t="shared" si="630"/>
        <v>-830.55555555555543</v>
      </c>
      <c r="BN492" s="1113">
        <f t="shared" si="631"/>
        <v>3</v>
      </c>
      <c r="BO492" s="1108">
        <f t="shared" si="632"/>
        <v>4507.7214871259994</v>
      </c>
      <c r="BP492" s="1100">
        <f t="shared" si="633"/>
        <v>221.34103209030098</v>
      </c>
      <c r="BQ492" s="1113" t="s">
        <v>133</v>
      </c>
      <c r="BR492" s="450" t="s">
        <v>168</v>
      </c>
      <c r="BS492" s="421">
        <f>IF($P492="","N/A",IF($P492=-1,INDEX('卡片raw data'!AX:AX,MATCH($D492,'卡片raw data'!$F:$F,)),0)+IF($L492="party卡",IF($P492=5,INDEX('卡片raw data'!BD:BD,MATCH($D492,'卡片raw data'!$F:$F,)),IF($P492&gt;=3,INDEX('卡片raw data'!BC:BC,MATCH($D492,'卡片raw data'!$F:$F,)),INDEX('卡片raw data'!BB:BB,MATCH($D492,'卡片raw data'!$F:$F,)))),IF(OR(AND($F492="UR",$P492=0),AND($F492="SR",$P492&gt;=0,$P492&lt;=2),AND($F492="R",$P492&gt;=0,$P492&lt;4)),INDEX('卡片raw data'!AZ:AZ,MATCH($D492,'卡片raw data'!$F:$F,)),0)+IF(OR(AND($F492="UR",$P492&gt;=1,$P492&lt;=4),AND($F492="SR",$P492&lt;=4,$P492&gt;=3),AND($F492="R",$P492=4)),INDEX('卡片raw data'!BA:BA,MATCH($D492,'卡片raw data'!$F:$F,)),0)+IF($P492=5,INDEX('卡片raw data'!BB:BB,MATCH($D492,'卡片raw data'!$F:$F,)),0)))</f>
        <v>0.05</v>
      </c>
      <c r="BT492" s="424">
        <f t="shared" si="634"/>
        <v>0</v>
      </c>
      <c r="BU492" s="420">
        <f t="shared" si="635"/>
        <v>0</v>
      </c>
      <c r="BV492" s="420">
        <f t="shared" si="636"/>
        <v>0</v>
      </c>
      <c r="BW492" s="436">
        <f t="shared" si="637"/>
        <v>1.7558035714285711</v>
      </c>
      <c r="BX492" s="423">
        <f t="shared" si="638"/>
        <v>137.19019421334193</v>
      </c>
      <c r="BY492" s="433">
        <f t="shared" si="639"/>
        <v>137.19019421334193</v>
      </c>
      <c r="BZ492" s="1113" t="s">
        <v>569</v>
      </c>
      <c r="CA492" s="450"/>
      <c r="CB492" s="421">
        <f>IF($P492="","N/A",IF($P492=-1,INDEX('卡片raw data'!BE:BE,MATCH($D492,'卡片raw data'!$F:$F,)),0)+IF($L492="party卡",IF($P492=5,INDEX('卡片raw data'!BK:BK,MATCH($D492,'卡片raw data'!$F:$F,)),IF($P492&gt;=3,INDEX('卡片raw data'!BJ:BJ,MATCH($D492,'卡片raw data'!$F:$F,)),INDEX('卡片raw data'!BI:BI,MATCH($D492,'卡片raw data'!$F:$F,)))),IF(OR(AND($F492="UR",$P492=0),AND($F492="SR",$P492&gt;=0,$P492&lt;=2),AND($F492="R",$P492&gt;=0,$P492&lt;4)),INDEX('卡片raw data'!BG:BG,MATCH($D492,'卡片raw data'!$F:$F,)),0)+IF(OR(AND($F492="UR",$P492&gt;=1,$P492&lt;=4),AND($F492="SR",$P492&lt;=4,$P492&gt;=3),AND($F492="R",$P492=4)),INDEX('卡片raw data'!BH:BH,MATCH($D492,'卡片raw data'!$F:$F,)),0)+IF($P492=5,INDEX('卡片raw data'!BI:BI,MATCH($D492,'卡片raw data'!$F:$F,)),0)))</f>
        <v>0</v>
      </c>
      <c r="CC492" s="424">
        <f t="shared" si="640"/>
        <v>0</v>
      </c>
      <c r="CD492" s="420">
        <f>IF(BZ492="ap",CB492*(1-$FI$26)*$FB$5/$FB$11*(+IF(CA492="全员",$FA$24,0)+IF(CA492="同作战",$FA$24,0)+IF(CA492="仲间",$FA$24*2/3,0)+IF(CA492="同属性",$FA$24*$FA$37/3,0)+IF(CA492="同年级",$FA$24*$FA$40/3,0)+IF(CA492="同学校",$FA$24*$FA$43/3,0)+IF(CA492="同小队",$FA$24*$FA$46/3,0)+IF(CA492="同type",$FA$24*INDEX($FB$49:$FB$52,MATCH(X492,$FA$49:$FA$52,))/3,0)+IF(CA492="自身",#REF!/3,0)),0)+IF(BZ492="te",CB492*(1-$FI$27)*($FA$20-1)*$FB$7/$FB$13*(+IF(CA492="全员",$FA$19*$FA$24/(1+($FA$20-1)*$FA$19),0)+IF(CA492="同作战",$FA$19*$FA$24/(1+($FA$20-1)*$FA$19),0)+IF(CA492="仲间",$FA$19*$FA$24*2/3/(1+($FA$20-1)*$FA$19),0)+IF(CA492="同属性",$FA$19*$FA$24*$FA$37/3/(1+($FA$20-1)*$FA$19),0)+IF(CA492="同年级",$FA$19*$FA$24*$FA$40/3/(1+($FA$20-1)*$FA$19),0)+IF(CA492="同学校",$FA$19*$FA$24*$FA$43/3/(1+($FA$20-1)*$FA$19),0)+IF(CA492="同小队",$FA$19*$FA$24*$FA$46/3/(1+($FA$20-1)*$FA$19),0)+IF(CA492="同type",$FA$19*$FA$24*INDEX($FB$49:$FB$52,MATCH(X492,$FA$49:$FA$52,))/3/(1+($FA$20-1)*$FA$19),0)+IF(CA492="自身",$FA$19*#REF!/3/(1+(BH492-1)*$BD492),0)),0)</f>
        <v>0</v>
      </c>
      <c r="CE492" s="420">
        <f t="shared" si="641"/>
        <v>0</v>
      </c>
      <c r="CF492" s="436">
        <f t="shared" si="642"/>
        <v>0</v>
      </c>
      <c r="CG492" s="423">
        <f t="shared" si="643"/>
        <v>0</v>
      </c>
      <c r="CH492" s="433">
        <f t="shared" si="644"/>
        <v>0</v>
      </c>
      <c r="CI492" s="437" t="s">
        <v>164</v>
      </c>
      <c r="CJ492" s="438">
        <v>1</v>
      </c>
      <c r="CK492" s="439" t="s">
        <v>2080</v>
      </c>
      <c r="CL492" s="1115" t="s">
        <v>1943</v>
      </c>
      <c r="CM492" s="1119">
        <v>6.6000000000000003E-2</v>
      </c>
      <c r="CN492" s="1115"/>
      <c r="CO492" s="1115"/>
      <c r="CP492" s="1116">
        <f t="shared" si="645"/>
        <v>20.990933063394174</v>
      </c>
      <c r="CQ492" s="1116">
        <f t="shared" si="646"/>
        <v>32.652562543057606</v>
      </c>
      <c r="CR492" s="1117">
        <f t="shared" si="647"/>
        <v>20.990933063394174</v>
      </c>
      <c r="CS492" s="1118">
        <f t="shared" si="648"/>
        <v>0</v>
      </c>
      <c r="CT492" s="1109">
        <f t="shared" si="649"/>
        <v>0</v>
      </c>
      <c r="CU492" s="1101">
        <f t="shared" si="650"/>
        <v>0</v>
      </c>
      <c r="CV492" s="1108">
        <f t="shared" si="685"/>
        <v>0</v>
      </c>
      <c r="CW492" s="1097">
        <f t="shared" si="651"/>
        <v>0</v>
      </c>
      <c r="CX492" s="1097">
        <f t="shared" si="652"/>
        <v>0</v>
      </c>
      <c r="CY492" s="1110">
        <f t="shared" si="653"/>
        <v>1705.9936143756818</v>
      </c>
      <c r="CZ492" s="437"/>
      <c r="DA492" s="438"/>
      <c r="DB492" s="439" t="s">
        <v>569</v>
      </c>
      <c r="DC492" s="439"/>
      <c r="DD492" s="443"/>
      <c r="DE492" s="411"/>
      <c r="DF492" s="411"/>
      <c r="DG492" s="1116">
        <f t="shared" si="654"/>
        <v>0</v>
      </c>
      <c r="DH492" s="1116">
        <f t="shared" si="655"/>
        <v>0</v>
      </c>
      <c r="DI492" s="1116">
        <f t="shared" si="656"/>
        <v>0</v>
      </c>
      <c r="DJ492" s="442">
        <f t="shared" si="657"/>
        <v>0</v>
      </c>
      <c r="DK492" s="432">
        <f t="shared" si="658"/>
        <v>0</v>
      </c>
      <c r="DL492" s="424">
        <f t="shared" si="659"/>
        <v>0</v>
      </c>
      <c r="DM492" s="420">
        <f t="shared" si="660"/>
        <v>0</v>
      </c>
      <c r="DN492" s="420">
        <f t="shared" si="661"/>
        <v>0</v>
      </c>
      <c r="DO492" s="420">
        <f t="shared" si="662"/>
        <v>0</v>
      </c>
      <c r="DP492" s="433">
        <f t="shared" si="663"/>
        <v>0</v>
      </c>
      <c r="DQ492" s="437" t="s">
        <v>2080</v>
      </c>
      <c r="DR492" s="1120">
        <f t="shared" si="664"/>
        <v>0.3</v>
      </c>
      <c r="DS492" s="1124"/>
      <c r="DT492" s="1093" t="s">
        <v>133</v>
      </c>
      <c r="DU492" s="1124"/>
      <c r="DV492" s="1098">
        <f>IF($P492="","N/A",IF(P492=-1,INDEX('卡片raw data'!AN:AN,MATCH(D492,'卡片raw data'!$F:$F,)),0)+IF(AND(L492&lt;&gt;"party卡",P492&lt;=2,P492&gt;=0),INDEX('卡片raw data'!AP:AP,MATCH(D492,'卡片raw data'!$F:$F,)),0)+IF(OR(AND(L492="party卡",P492&lt;=1),AND(P492&lt;=4,L492&lt;&gt;"party卡",P492&gt;=3)),INDEX('卡片raw data'!AQ:AQ,MATCH(D492,'卡片raw data'!$F:$F,)),0)+IF(OR(P492=5,AND(L492="party卡",P492&gt;=2)),INDEX('卡片raw data'!AR:AR,MATCH(D492,'卡片raw data'!$F:$F,)),0))</f>
        <v>0.27</v>
      </c>
      <c r="DW492" s="1098">
        <f t="shared" si="665"/>
        <v>0.3</v>
      </c>
      <c r="DX492" s="1098">
        <f t="shared" si="666"/>
        <v>0.3</v>
      </c>
      <c r="DY492" s="1097">
        <f t="shared" si="667"/>
        <v>400.73599484661599</v>
      </c>
      <c r="DZ492" s="1097">
        <f t="shared" si="668"/>
        <v>346.63663554232284</v>
      </c>
      <c r="EA492" s="421">
        <f t="shared" si="669"/>
        <v>0</v>
      </c>
      <c r="EB492" s="445">
        <f t="shared" si="670"/>
        <v>0</v>
      </c>
      <c r="EC492" s="424">
        <f t="shared" si="671"/>
        <v>0</v>
      </c>
      <c r="ED492" s="420">
        <f t="shared" si="672"/>
        <v>0</v>
      </c>
      <c r="EE492" s="433">
        <f t="shared" si="683"/>
        <v>48435.03108962375</v>
      </c>
      <c r="EF492" s="1115" t="s">
        <v>569</v>
      </c>
      <c r="EG492" s="1120">
        <f t="shared" si="673"/>
        <v>0.3</v>
      </c>
      <c r="EH492" s="450"/>
      <c r="EI492" s="1093"/>
      <c r="EJ492" s="1093"/>
      <c r="EK492" s="1097">
        <f>IF($P492="","N/A",IF(P492=-1,INDEX('卡片raw data'!AS:AS,MATCH(D492,'卡片raw data'!$F:$F,)),0)+IF(AND(L492&lt;&gt;"party卡",P492&lt;=2,P492&gt;=0),INDEX('卡片raw data'!AU:AU,MATCH(D492,'卡片raw data'!$F:$F,)),0)+IF(OR(AND(L492="party卡",P492&lt;=1),AND(P492&lt;=4,L492&lt;&gt;"party卡",P492&gt;=3)),INDEX('卡片raw data'!AV:AV,MATCH(D492,'卡片raw data'!$F:$F,)),0)+IF(OR(P492=5,AND(L492="party卡",P492&gt;=2)),INDEX('卡片raw data'!AW:AW,MATCH(D492,'卡片raw data'!$F:$F,)),0))</f>
        <v>0</v>
      </c>
      <c r="EL492" s="1098">
        <f t="shared" si="674"/>
        <v>0.3</v>
      </c>
      <c r="EM492" s="1098">
        <f t="shared" si="675"/>
        <v>0.3</v>
      </c>
      <c r="EN492" s="1097">
        <f t="shared" si="676"/>
        <v>0</v>
      </c>
      <c r="EO492" s="1097">
        <f t="shared" si="677"/>
        <v>0</v>
      </c>
      <c r="EP492" s="421">
        <f t="shared" si="678"/>
        <v>0</v>
      </c>
      <c r="EQ492" s="445">
        <f t="shared" si="679"/>
        <v>0</v>
      </c>
      <c r="ER492" s="424">
        <f t="shared" si="680"/>
        <v>0</v>
      </c>
      <c r="ES492" s="420">
        <f t="shared" si="681"/>
        <v>0</v>
      </c>
      <c r="ET492" s="446">
        <f t="shared" si="684"/>
        <v>0</v>
      </c>
    </row>
    <row r="493" spans="2:150" ht="16.5" customHeight="1">
      <c r="B493" s="448" t="str">
        <f>INDEX('卡片raw data'!B:B,MATCH($D493,'卡片raw data'!$F:$F,))</f>
        <v>七夕梨</v>
      </c>
      <c r="C493" s="449" t="s">
        <v>4091</v>
      </c>
      <c r="D493" s="408">
        <v>490</v>
      </c>
      <c r="E493" s="477">
        <v>401023005</v>
      </c>
      <c r="F493" s="409" t="str">
        <f>INDEX('卡片raw data'!C:C,MATCH($D493,'卡片raw data'!$F:$F,))</f>
        <v>UR</v>
      </c>
      <c r="G493" s="414" t="s">
        <v>4092</v>
      </c>
      <c r="H493" s="411">
        <f>IFERROR(INDEX(绊状态确认!C:C,MATCH($G493,绊状态确认!$B:$B,)),"")</f>
        <v>102</v>
      </c>
      <c r="I493" s="450" t="str">
        <f>IFERROR(INDEX(绊状态确认!D:D,MATCH($G493,绊状态确认!$B:$B,)),"")</f>
        <v>水</v>
      </c>
      <c r="J493" s="450" t="str">
        <f>IFERROR(INDEX(绊状态确认!E:E,MATCH($G493,绊状态确认!$B:$B,)),"")</f>
        <v>2年级</v>
      </c>
      <c r="K493" s="451" t="str">
        <f>IFERROR(INDEX(绊状态确认!F:F,MATCH($G493,绊状态确认!$B:$B,)),"")</f>
        <v>Guilty Kiss</v>
      </c>
      <c r="L493" s="414" t="str">
        <f>INDEX('卡片raw data'!E:E,MATCH($D493,'卡片raw data'!$F:$F,))</f>
        <v>卡池卡</v>
      </c>
      <c r="M493" s="478">
        <v>44381</v>
      </c>
      <c r="N493" s="479">
        <v>43</v>
      </c>
      <c r="O493" s="410" t="str">
        <f>INDEX('卡片raw data'!D:D,MATCH($D493,'卡片raw data'!$F:$F,))</f>
        <v>vo</v>
      </c>
      <c r="P493" s="1126">
        <v>5</v>
      </c>
      <c r="Q493" s="418">
        <f t="shared" si="600"/>
        <v>74326.875988019921</v>
      </c>
      <c r="R493" s="419">
        <f t="shared" si="601"/>
        <v>0.86399999999999999</v>
      </c>
      <c r="S493" s="420">
        <f t="shared" si="602"/>
        <v>21016.359071589093</v>
      </c>
      <c r="T493" s="421">
        <f t="shared" si="603"/>
        <v>1.05</v>
      </c>
      <c r="U493" s="422">
        <f t="shared" si="604"/>
        <v>-7.1702543148571465</v>
      </c>
      <c r="V493" s="423">
        <f t="shared" si="605"/>
        <v>74461.781972690704</v>
      </c>
      <c r="W493" s="424">
        <f t="shared" si="606"/>
        <v>5809.9521389623987</v>
      </c>
      <c r="X493" s="419">
        <f t="shared" si="607"/>
        <v>6.7000000000000004E-2</v>
      </c>
      <c r="Y493" s="420">
        <f t="shared" si="608"/>
        <v>1439.5744349124889</v>
      </c>
      <c r="Z493" s="425">
        <f t="shared" si="609"/>
        <v>17.829745685142854</v>
      </c>
      <c r="AA493" s="426">
        <f t="shared" si="610"/>
        <v>7249.5265738748876</v>
      </c>
      <c r="AB493" s="424">
        <f t="shared" si="611"/>
        <v>11665.182730362449</v>
      </c>
      <c r="AC493" s="427">
        <f t="shared" si="612"/>
        <v>0.13500000000000001</v>
      </c>
      <c r="AD493" s="428">
        <f t="shared" si="613"/>
        <v>0</v>
      </c>
      <c r="AE493" s="516">
        <f t="shared" si="614"/>
        <v>0</v>
      </c>
      <c r="AF493" s="1130">
        <f t="shared" si="615"/>
        <v>0</v>
      </c>
      <c r="AG493" s="420">
        <f t="shared" si="616"/>
        <v>0</v>
      </c>
      <c r="AH493" s="420">
        <f t="shared" si="617"/>
        <v>0</v>
      </c>
      <c r="AI493" s="1097">
        <f t="shared" si="618"/>
        <v>0</v>
      </c>
      <c r="AJ493" s="420">
        <f t="shared" si="619"/>
        <v>0</v>
      </c>
      <c r="AK493" s="518">
        <f t="shared" si="620"/>
        <v>0</v>
      </c>
      <c r="AL493" s="429">
        <f>IF($P493="","N/A",(IF($P493=-1,INDEX('卡片raw data'!S:S,MATCH($D493,'卡片raw data'!$F:$F,)),0)+IF($P493=0,INDEX('卡片raw data'!V:V,MATCH($D493,'卡片raw data'!$F:$F,)),0)+IF($P493=1,INDEX('卡片raw data'!Y:Y,MATCH($D493,'卡片raw data'!$F:$F,)),0)+IF($P493=2,INDEX('卡片raw data'!AB:AB,MATCH($D493,'卡片raw data'!$F:$F,)),0)+IF($P493=3,INDEX('卡片raw data'!AE:AE,MATCH($D493,'卡片raw data'!$F:$F,)),0)+IF($P493=4,INDEX('卡片raw data'!AH:AH,MATCH($D493,'卡片raw data'!$F:$F,)),0)+IF($P493=5,INDEX('卡片raw data'!AK:AK,MATCH($D493,'卡片raw data'!$F:$F,)),0)+INDEX('卡片raw data'!S:S,MATCH($D493,'卡片raw data'!$F:$F,))*(IF($F493="UR",0.04,0.033))*(IF($F493="UR",INDEX(绊状态确认!$S:$S,MATCH($G493,绊状态确认!$B:$B,))/2-40)+IF($F493="SR",INDEX(绊状态确认!$R:$R,MATCH($G493,绊状态确认!$B:$B,))/4-15))+IF($F493="R",INDEX(绊状态确认!$Q:$Q,MATCH($G493,绊状态确认!$B:$B,))/6-40/6)))*(INDEX(绊状态确认!$H:$H,MATCH($G493,绊状态确认!$B:$B,))+INDEX(绊状态确认!J:J,MATCH($G493,绊状态确认!$B:$B,)))</f>
        <v>15505.496159999997</v>
      </c>
      <c r="AM493" s="429">
        <f>IF($P493="","N/A",(IF($P493=-1,INDEX('卡片raw data'!T:T,MATCH($D493,'卡片raw data'!$F:$F,)),0)+IF($P493=0,INDEX('卡片raw data'!W:W,MATCH($D493,'卡片raw data'!$F:$F,)),0)+IF($P493=1,INDEX('卡片raw data'!Z:Z,MATCH($D493,'卡片raw data'!$F:$F,)),0)+IF($P493=2,INDEX('卡片raw data'!AC:AC,MATCH($D493,'卡片raw data'!$F:$F,)),0)+IF($P493=3,INDEX('卡片raw data'!AF:AF,MATCH($D493,'卡片raw data'!$F:$F,)),0)+IF($P493=4,INDEX('卡片raw data'!AI:AI,MATCH($D493,'卡片raw data'!$F:$F,)),0)+IF($P493=5,INDEX('卡片raw data'!AL:AL,MATCH($D493,'卡片raw data'!$F:$F,)),0)+INDEX('卡片raw data'!T:T,MATCH($D493,'卡片raw data'!$F:$F,))*(IF($F493="UR",0.04,0.033))*(IF($F493="UR",INDEX(绊状态确认!$S:$S,MATCH($G493,绊状态确认!$B:$B,))/2-40)+IF($F493="SR",INDEX(绊状态确认!$R:$R,MATCH($G493,绊状态确认!$B:$B,))/4-15))+IF($F493="R",INDEX(绊状态确认!$Q:$Q,MATCH($G493,绊状态确认!$B:$B,))/6-40/6)))*(INDEX(绊状态确认!$H:$H,MATCH($G493,绊状态确认!$B:$B,))+INDEX(绊状态确认!K:K,MATCH($G493,绊状态确认!$B:$B,)))</f>
        <v>10210.326719999997</v>
      </c>
      <c r="AN493" s="429">
        <f>IF($P493="","N/A",(IF($P493=-1,INDEX('卡片raw data'!U:U,MATCH($D493,'卡片raw data'!$F:$F,)),0)+IF($P493=0,INDEX('卡片raw data'!X:X,MATCH($D493,'卡片raw data'!$F:$F,)),0)+IF($P493=1,INDEX('卡片raw data'!AA:AA,MATCH($D493,'卡片raw data'!$F:$F,)),0)+IF($P493=2,INDEX('卡片raw data'!AD:AD,MATCH($D493,'卡片raw data'!$F:$F,)),0)+IF($P493=3,INDEX('卡片raw data'!AG:AG,MATCH($D493,'卡片raw data'!$F:$F,)),0)+IF($P493=4,INDEX('卡片raw data'!AJ:AJ,MATCH($D493,'卡片raw data'!$F:$F,)),0)+IF($P493=5,INDEX('卡片raw data'!AM:AM,MATCH($D493,'卡片raw data'!$F:$F,)),0)+INDEX('卡片raw data'!U:U,MATCH($D493,'卡片raw data'!$F:$F,))*(IF($F493="UR",0.04,0.033))*(IF($F493="UR",INDEX(绊状态确认!$S:$S,MATCH($G493,绊状态确认!$B:$B,))/2-40)+IF($F493="SR",INDEX(绊状态确认!$R:$R,MATCH($G493,绊状态确认!$B:$B,))/4-15))+IF($F493="R",INDEX(绊状态确认!$Q:$Q,MATCH($G493,绊状态确认!$B:$B,))/6-40/6)))*(INDEX(绊状态确认!$H:$H,MATCH($G493,绊状态确认!$B:$B,))+INDEX(绊状态确认!L:L,MATCH($G493,绊状态确认!$B:$B,)))</f>
        <v>12101.296319999998</v>
      </c>
      <c r="AO493" s="430">
        <f t="shared" si="621"/>
        <v>1</v>
      </c>
      <c r="AP493" s="556">
        <f>1+(INDEX(绊状态确认!$T:$T,MATCH($G493,绊状态确认!$B:$B,))+0.2)*$AO493</f>
        <v>1.3</v>
      </c>
      <c r="AQ493" s="431">
        <f t="shared" si="622"/>
        <v>43951.927419999993</v>
      </c>
      <c r="AR493" s="420">
        <f>(AM493*(1+$EX$9)+$EX$35)*(1+(INDEX(绊状态确认!$T:$T,MATCH($G493,绊状态确认!$B:$B,))+0.2)*AO493)*IF(J493=$FF$17,1+$FE$17,1)*IF(I493=$FF$14,1+$FE$14,1)</f>
        <v>16641.095972799998</v>
      </c>
      <c r="AS493" s="420">
        <f>(AN493*(1+$EX$10)+$EX$36)*(1+(INDEX(绊状态确认!$T:$T,MATCH($G493,绊状态确认!$B:$B,))+0.2)*AO493)*IF(J493=$FF$17,1+$FE$17,1)*IF(I493=$FF$14,1+$FE$14,1)</f>
        <v>22147.437998399997</v>
      </c>
      <c r="AT493" s="412">
        <f>IF(AND(INDEX('卡片raw data'!AK:AK,MATCH($D493,'卡片raw data'!$F:$F,))&lt;INDEX('卡片raw data'!AM:AM,MATCH($D493,'卡片raw data'!$F:$F,)),INDEX('卡片raw data'!AL:AL,MATCH($D493,'卡片raw data'!$F:$F,))&lt;INDEX('卡片raw data'!AM:AM,MATCH($D493,'卡片raw data'!$F:$F,))),1,0)</f>
        <v>0</v>
      </c>
      <c r="AU493" s="421">
        <f>MIN(AT493*0.15+AS493*0.00003+INDEX(绊状态确认!M:M,MATCH($G493,绊状态确认!$B:$B,)),1)</f>
        <v>0.694423139952</v>
      </c>
      <c r="AV493" s="432">
        <f>(INDEX(绊状态确认!$N:$N,MATCH($G493,绊状态确认!$B:$B,))+1.5)*$EW$21</f>
        <v>2.6599999999999997</v>
      </c>
      <c r="AW493" s="424">
        <f t="shared" si="623"/>
        <v>49139.117873519273</v>
      </c>
      <c r="AX493" s="420">
        <f t="shared" si="624"/>
        <v>1439.5744349124891</v>
      </c>
      <c r="AY493" s="433">
        <f t="shared" si="625"/>
        <v>50578.69230843176</v>
      </c>
      <c r="AZ493" s="429">
        <f t="shared" si="626"/>
        <v>32835.717511999988</v>
      </c>
      <c r="BA493" s="431">
        <f t="shared" si="627"/>
        <v>39402.861014399983</v>
      </c>
      <c r="BB493" s="420">
        <f>(AM493*(1+$FB$9)+$FB$35)*(1+(INDEX(绊状态确认!$T:$T,MATCH($G493,绊状态确认!$B:$B,))+0.2)*AO493)*IF(J493=$FF$17,1+$FE$17,1)*IF(I493=$FF$14,1+$FE$14,1)*(1+$FE$15)</f>
        <v>16641.095972799998</v>
      </c>
      <c r="BC493" s="420">
        <f>(AN493*(1+$FB$10)+$FB$36)*(1+(INDEX(绊状态确认!$T:$T,MATCH($G493,绊状态确认!$B:$B,))+0.2)*AO493)*IF(J493=$FF$17,1+$FE$17,1)*IF(I493=$FF$14,1+$FE$14,1)*(1+$FE$15)</f>
        <v>22147.437998399997</v>
      </c>
      <c r="BD493" s="427">
        <f>MIN(AT493*0.15+BC493*0.00003+INDEX(绊状态确认!M:M,MATCH($G493,绊状态确认!$B:$B,)),1)</f>
        <v>0.694423139952</v>
      </c>
      <c r="BE493" s="432">
        <f>(INDEX(绊状态确认!$N:$N,MATCH($G493,绊状态确认!$B:$B,))+1.5)</f>
        <v>1.9</v>
      </c>
      <c r="BF493" s="645">
        <f t="array" ref="BF493">SUMPRODUCT(IF(AZ493*AP493*$FI$16:$FI$23*$FA$22&gt;=$FI$24,$FI$24,AZ493*AP493*$FI$16:$FI$23*$FA$22),$FJ$16:$FJ$23)</f>
        <v>58623.809365768</v>
      </c>
      <c r="BG493" s="453">
        <f t="array" ref="BG493">SUMPRODUCT(IF(BE493*AZ493*AP493*$FI$16:$FI$23*$FA$22&gt;=$FI$24,$FI$24,BE493*AZ493*AP493*$FI$16:$FI$23*$FA$22),$FJ$16:$FJ$23)</f>
        <v>60000</v>
      </c>
      <c r="BH493" s="433">
        <f t="shared" si="628"/>
        <v>19859.822662387971</v>
      </c>
      <c r="BI493" s="434">
        <f>IF(O493="vo",$EW$26/$EW$24*0.05,0)+IF(O493="sk",-$EW$26/$EW$24*(0.05-INDEX(绊状态确认!W:W,MATCH($G493,绊状态确认!$B:$B,)))+0.05*$EW$28,0)+IF(O493="sp",0.05*$EW$32*$EW$30*(1-$EW$33)-(0.05-INDEX(绊状态确认!V:V,MATCH($G493,绊状态确认!$B:$B,)))*$EW$28,0)+IF(O493="gd",-(0.05-INDEX(绊状态确认!X:X,MATCH($G493,绊状态确认!$B:$B,)))*$EW$32*$EW$30*(1-$EW$33),0)</f>
        <v>7726.3029277443748</v>
      </c>
      <c r="BJ493" s="420">
        <f>IF(O493="vo",0.05*(1-$FI$26)*$FA$24,0)+IF(O493="sk",-(0.05-INDEX(绊状态确认!W:W,MATCH($G493,绊状态确认!$B:$B,)))*(1-$FI$26)*$FA$24+0.05*$FA$26,0)+IF(O493="sp",0.05*$FA$32*$FA$27*(1-$FA$33)/$FA$30+0.05*$FA$29/$FA$69*$FA$27*(1-$FA$33)-(0.05-INDEX(绊状态确认!V:V,MATCH($G493,绊状态确认!$B:$B,)))*$FA$26,0)+IF(O493="gd",-(0.05-INDEX(绊状态确认!X:X,MATCH($G493,绊状态确认!$B:$B,)))*$FA$32*$FA$27*(1-$FA$33)/$FA$30-(0.05-INDEX(绊状态确认!X:X,MATCH($G493,绊状态确认!$B:$B,)))*$FA$29/$FA$69*$FA$27*(1-$FA$33),0)</f>
        <v>393.93433687500004</v>
      </c>
      <c r="BK493" s="433">
        <f>IF(O493="vo",$EW$26/$EW$24*0.05+$EW$26*(-HP($EW$62,$EW$65,$EW$64)+HP($EW$62,$EW$65,(1.05-INDEX(绊状态确认!U:U,MATCH($G493,绊状态确认!$B:$B,)))*$EW$64)),0)+IF(O493="sk",-$EW$26/$EW$24*(0.05-INDEX(绊状态确认!W:W,MATCH($G493,绊状态确认!$B:$B,)))+0.05*$EW$29,0)+IF(O493="sp",0.05*$EW$32*$EW$30*(1-$EW$33)-(0.05-INDEX(绊状态确认!V:V,MATCH($G493,绊状态确认!$B:$B,)))*$EW$29,0)+IF(O493="gd",-(0.05-INDEX(绊状态确认!X:X,MATCH($G493,绊状态确认!$B:$B,)))*$EW$32*$EW$30*(1-$EW$33)+$EW$26*(-HP($EW$62,$EW$65,$EW$64)+HP($EW$62,$EW$65,0.95*$EW$64)),0)</f>
        <v>6421.6344775026746</v>
      </c>
      <c r="BL493" s="434">
        <f t="shared" si="629"/>
        <v>0</v>
      </c>
      <c r="BM493" s="433">
        <f t="shared" si="630"/>
        <v>0</v>
      </c>
      <c r="BN493" s="437">
        <f t="shared" si="631"/>
        <v>3</v>
      </c>
      <c r="BO493" s="1108">
        <f t="shared" si="632"/>
        <v>4507.7214871259994</v>
      </c>
      <c r="BP493" s="1100">
        <f t="shared" si="633"/>
        <v>221.34103209030098</v>
      </c>
      <c r="BQ493" s="437" t="s">
        <v>132</v>
      </c>
      <c r="BR493" s="450" t="s">
        <v>171</v>
      </c>
      <c r="BS493" s="421">
        <f>IF($P493="","N/A",IF($P493=-1,INDEX('卡片raw data'!AX:AX,MATCH($D493,'卡片raw data'!$F:$F,)),0)+IF($L493="party卡",IF($P493=5,INDEX('卡片raw data'!BD:BD,MATCH($D493,'卡片raw data'!$F:$F,)),IF($P493&gt;=3,INDEX('卡片raw data'!BC:BC,MATCH($D493,'卡片raw data'!$F:$F,)),INDEX('卡片raw data'!BB:BB,MATCH($D493,'卡片raw data'!$F:$F,)))),IF(OR(AND($F493="UR",$P493=0),AND($F493="SR",$P493&gt;=0,$P493&lt;=2),AND($F493="R",$P493&gt;=0,$P493&lt;4)),INDEX('卡片raw data'!AZ:AZ,MATCH($D493,'卡片raw data'!$F:$F,)),0)+IF(OR(AND($F493="UR",$P493&gt;=1,$P493&lt;=4),AND($F493="SR",$P493&lt;=4,$P493&gt;=3),AND($F493="R",$P493=4)),INDEX('卡片raw data'!BA:BA,MATCH($D493,'卡片raw data'!$F:$F,)),0)+IF($P493=5,INDEX('卡片raw data'!BB:BB,MATCH($D493,'卡片raw data'!$F:$F,)),0)))</f>
        <v>5.1999999999999998E-2</v>
      </c>
      <c r="BT493" s="424">
        <f t="shared" si="634"/>
        <v>2604.4613036728001</v>
      </c>
      <c r="BU493" s="420">
        <f t="shared" si="635"/>
        <v>111.90018844565216</v>
      </c>
      <c r="BV493" s="420">
        <f t="shared" si="636"/>
        <v>1302.2306518363998</v>
      </c>
      <c r="BW493" s="436">
        <f t="shared" si="637"/>
        <v>0</v>
      </c>
      <c r="BX493" s="423">
        <f t="shared" si="638"/>
        <v>2604.4613036728001</v>
      </c>
      <c r="BY493" s="433">
        <f t="shared" si="639"/>
        <v>1302.2306518363998</v>
      </c>
      <c r="BZ493" s="1113" t="s">
        <v>569</v>
      </c>
      <c r="CA493" s="450"/>
      <c r="CB493" s="421">
        <f>IF($P493="","N/A",IF($P493=-1,INDEX('卡片raw data'!BE:BE,MATCH($D493,'卡片raw data'!$F:$F,)),0)+IF($L493="party卡",IF($P493=5,INDEX('卡片raw data'!BK:BK,MATCH($D493,'卡片raw data'!$F:$F,)),IF($P493&gt;=3,INDEX('卡片raw data'!BJ:BJ,MATCH($D493,'卡片raw data'!$F:$F,)),INDEX('卡片raw data'!BI:BI,MATCH($D493,'卡片raw data'!$F:$F,)))),IF(OR(AND($F493="UR",$P493=0),AND($F493="SR",$P493&gt;=0,$P493&lt;=2),AND($F493="R",$P493&gt;=0,$P493&lt;4)),INDEX('卡片raw data'!BG:BG,MATCH($D493,'卡片raw data'!$F:$F,)),0)+IF(OR(AND($F493="UR",$P493&gt;=1,$P493&lt;=4),AND($F493="SR",$P493&lt;=4,$P493&gt;=3),AND($F493="R",$P493=4)),INDEX('卡片raw data'!BH:BH,MATCH($D493,'卡片raw data'!$F:$F,)),0)+IF($P493=5,INDEX('卡片raw data'!BI:BI,MATCH($D493,'卡片raw data'!$F:$F,)),0)))</f>
        <v>0</v>
      </c>
      <c r="CC493" s="424">
        <f t="shared" si="640"/>
        <v>0</v>
      </c>
      <c r="CD493" s="420">
        <f>IF(BZ493="ap",CB493*(1-$FI$26)*$FB$5/$FB$11*(+IF(CA493="全员",$FA$24,0)+IF(CA493="同作战",$FA$24,0)+IF(CA493="仲间",$FA$24*2/3,0)+IF(CA493="同属性",$FA$24*$FA$37/3,0)+IF(CA493="同年级",$FA$24*$FA$40/3,0)+IF(CA493="同学校",$FA$24*$FA$43/3,0)+IF(CA493="同小队",$FA$24*$FA$46/3,0)+IF(CA493="同type",$FA$24*INDEX($FB$49:$FB$52,MATCH(X493,$FA$49:$FA$52,))/3,0)+IF(CA493="自身",#REF!/3,0)),0)+IF(BZ493="te",CB493*(1-$FI$27)*($FA$20-1)*$FB$7/$FB$13*(+IF(CA493="全员",$FA$19*$FA$24/(1+($FA$20-1)*$FA$19),0)+IF(CA493="同作战",$FA$19*$FA$24/(1+($FA$20-1)*$FA$19),0)+IF(CA493="仲间",$FA$19*$FA$24*2/3/(1+($FA$20-1)*$FA$19),0)+IF(CA493="同属性",$FA$19*$FA$24*$FA$37/3/(1+($FA$20-1)*$FA$19),0)+IF(CA493="同年级",$FA$19*$FA$24*$FA$40/3/(1+($FA$20-1)*$FA$19),0)+IF(CA493="同学校",$FA$19*$FA$24*$FA$43/3/(1+($FA$20-1)*$FA$19),0)+IF(CA493="同小队",$FA$19*$FA$24*$FA$46/3/(1+($FA$20-1)*$FA$19),0)+IF(CA493="同type",$FA$19*$FA$24*INDEX($FB$49:$FB$52,MATCH(X493,$FA$49:$FA$52,))/3/(1+($FA$20-1)*$FA$19),0)+IF(CA493="自身",$FA$19*#REF!/3/(1+(BH493-1)*$BD493),0)),0)</f>
        <v>0</v>
      </c>
      <c r="CE493" s="420">
        <f t="shared" si="641"/>
        <v>0</v>
      </c>
      <c r="CF493" s="436">
        <f t="shared" si="642"/>
        <v>0</v>
      </c>
      <c r="CG493" s="423">
        <f t="shared" si="643"/>
        <v>0</v>
      </c>
      <c r="CH493" s="433">
        <f t="shared" si="644"/>
        <v>0</v>
      </c>
      <c r="CI493" s="437" t="s">
        <v>162</v>
      </c>
      <c r="CJ493" s="438">
        <v>1</v>
      </c>
      <c r="CK493" s="439" t="s">
        <v>2074</v>
      </c>
      <c r="CL493" s="439" t="s">
        <v>2667</v>
      </c>
      <c r="CM493" s="443">
        <v>0.15</v>
      </c>
      <c r="CN493" s="439" t="s">
        <v>1948</v>
      </c>
      <c r="CO493" s="1115"/>
      <c r="CP493" s="1118">
        <f t="shared" si="645"/>
        <v>2.6785714285714288E-2</v>
      </c>
      <c r="CQ493" s="1118">
        <f t="shared" si="646"/>
        <v>2.4999999999999998E-2</v>
      </c>
      <c r="CR493" s="1118">
        <f t="shared" si="647"/>
        <v>0</v>
      </c>
      <c r="CS493" s="1118">
        <f t="shared" si="648"/>
        <v>0</v>
      </c>
      <c r="CT493" s="1109">
        <f t="shared" si="649"/>
        <v>0</v>
      </c>
      <c r="CU493" s="1101">
        <f t="shared" si="650"/>
        <v>4552.9999395636496</v>
      </c>
      <c r="CV493" s="1108">
        <f t="shared" si="685"/>
        <v>196.96716843749999</v>
      </c>
      <c r="CW493" s="1097">
        <f t="shared" si="651"/>
        <v>0</v>
      </c>
      <c r="CX493" s="1097">
        <f t="shared" si="652"/>
        <v>4552.9999395636496</v>
      </c>
      <c r="CY493" s="1110">
        <f t="shared" si="653"/>
        <v>0</v>
      </c>
      <c r="CZ493" s="437"/>
      <c r="DA493" s="438"/>
      <c r="DB493" s="439" t="s">
        <v>569</v>
      </c>
      <c r="DC493" s="439"/>
      <c r="DD493" s="443"/>
      <c r="DE493" s="411"/>
      <c r="DF493" s="411"/>
      <c r="DG493" s="1116">
        <f t="shared" si="654"/>
        <v>0</v>
      </c>
      <c r="DH493" s="1116">
        <f t="shared" si="655"/>
        <v>0</v>
      </c>
      <c r="DI493" s="1116">
        <f t="shared" si="656"/>
        <v>0</v>
      </c>
      <c r="DJ493" s="442">
        <f t="shared" si="657"/>
        <v>0</v>
      </c>
      <c r="DK493" s="432">
        <f t="shared" si="658"/>
        <v>0</v>
      </c>
      <c r="DL493" s="424">
        <f t="shared" si="659"/>
        <v>0</v>
      </c>
      <c r="DM493" s="420">
        <f t="shared" si="660"/>
        <v>0</v>
      </c>
      <c r="DN493" s="420">
        <f t="shared" si="661"/>
        <v>0</v>
      </c>
      <c r="DO493" s="420">
        <f t="shared" si="662"/>
        <v>0</v>
      </c>
      <c r="DP493" s="433">
        <f t="shared" si="663"/>
        <v>0</v>
      </c>
      <c r="DQ493" s="437" t="s">
        <v>2074</v>
      </c>
      <c r="DR493" s="1120">
        <f t="shared" si="664"/>
        <v>0.33</v>
      </c>
      <c r="DS493" s="450">
        <v>5</v>
      </c>
      <c r="DT493" s="1124" t="s">
        <v>1947</v>
      </c>
      <c r="DU493" s="1124" t="s">
        <v>2145</v>
      </c>
      <c r="DV493" s="1098">
        <f>IF($P493="","N/A",IF(P493=-1,INDEX('卡片raw data'!AN:AN,MATCH(D493,'卡片raw data'!$F:$F,)),0)+IF(AND(L493&lt;&gt;"party卡",P493&lt;=2,P493&gt;=0),INDEX('卡片raw data'!AP:AP,MATCH(D493,'卡片raw data'!$F:$F,)),0)+IF(OR(AND(L493="party卡",P493&lt;=1),AND(P493&lt;=4,L493&lt;&gt;"party卡",P493&gt;=3)),INDEX('卡片raw data'!AQ:AQ,MATCH(D493,'卡片raw data'!$F:$F,)),0)+IF(OR(P493=5,AND(L493="party卡",P493&gt;=2)),INDEX('卡片raw data'!AR:AR,MATCH(D493,'卡片raw data'!$F:$F,)),0))</f>
        <v>6.2E-2</v>
      </c>
      <c r="DW493" s="1098">
        <f t="shared" si="665"/>
        <v>0.33</v>
      </c>
      <c r="DX493" s="1098">
        <f t="shared" si="666"/>
        <v>0.33</v>
      </c>
      <c r="DY493" s="1098">
        <f t="shared" si="667"/>
        <v>3.4100000000000005E-2</v>
      </c>
      <c r="DZ493" s="1098">
        <f t="shared" si="668"/>
        <v>2.9496500000000005E-2</v>
      </c>
      <c r="EA493" s="421">
        <f t="shared" si="669"/>
        <v>0</v>
      </c>
      <c r="EB493" s="445">
        <f t="shared" si="670"/>
        <v>0</v>
      </c>
      <c r="EC493" s="424">
        <f t="shared" si="671"/>
        <v>5796.2724563938309</v>
      </c>
      <c r="ED493" s="420">
        <f t="shared" si="672"/>
        <v>232.39368335266883</v>
      </c>
      <c r="EE493" s="433">
        <f t="shared" si="683"/>
        <v>5796.2724563938309</v>
      </c>
      <c r="EF493" s="1115" t="s">
        <v>569</v>
      </c>
      <c r="EG493" s="1120">
        <f t="shared" si="673"/>
        <v>0.33</v>
      </c>
      <c r="EH493" s="450"/>
      <c r="EI493" s="1093"/>
      <c r="EJ493" s="1093"/>
      <c r="EK493" s="420">
        <f>IF($P493="","N/A",IF(P493=-1,INDEX('卡片raw data'!AS:AS,MATCH(D493,'卡片raw data'!$F:$F,)),0)+IF(AND(L493&lt;&gt;"party卡",P493&lt;=2,P493&gt;=0),INDEX('卡片raw data'!AU:AU,MATCH(D493,'卡片raw data'!$F:$F,)),0)+IF(OR(AND(L493="party卡",P493&lt;=1),AND(P493&lt;=4,L493&lt;&gt;"party卡",P493&gt;=3)),INDEX('卡片raw data'!AV:AV,MATCH(D493,'卡片raw data'!$F:$F,)),0)+IF(OR(P493=5,AND(L493="party卡",P493&gt;=2)),INDEX('卡片raw data'!AW:AW,MATCH(D493,'卡片raw data'!$F:$F,)),0))</f>
        <v>0</v>
      </c>
      <c r="EL493" s="1098">
        <f t="shared" si="674"/>
        <v>0.33</v>
      </c>
      <c r="EM493" s="1098">
        <f t="shared" si="675"/>
        <v>0.33</v>
      </c>
      <c r="EN493" s="1097">
        <f t="shared" si="676"/>
        <v>0</v>
      </c>
      <c r="EO493" s="1097">
        <f t="shared" si="677"/>
        <v>0</v>
      </c>
      <c r="EP493" s="421">
        <f t="shared" si="678"/>
        <v>0</v>
      </c>
      <c r="EQ493" s="445">
        <f t="shared" si="679"/>
        <v>0</v>
      </c>
      <c r="ER493" s="424">
        <f t="shared" si="680"/>
        <v>0</v>
      </c>
      <c r="ES493" s="420">
        <f t="shared" si="681"/>
        <v>0</v>
      </c>
      <c r="ET493" s="446">
        <f t="shared" si="684"/>
        <v>0</v>
      </c>
    </row>
    <row r="494" spans="2:150" ht="16.5" customHeight="1">
      <c r="B494" s="448" t="str">
        <f>INDEX('卡片raw data'!B:B,MATCH($D494,'卡片raw data'!$F:$F,))</f>
        <v>aa希</v>
      </c>
      <c r="C494" s="449" t="s">
        <v>4091</v>
      </c>
      <c r="D494" s="408">
        <v>491</v>
      </c>
      <c r="E494" s="477">
        <v>400072005</v>
      </c>
      <c r="F494" s="409" t="str">
        <f>INDEX('卡片raw data'!C:C,MATCH($D494,'卡片raw data'!$F:$F,))</f>
        <v>SR</v>
      </c>
      <c r="G494" s="1094" t="s">
        <v>4094</v>
      </c>
      <c r="H494" s="411">
        <f>IFERROR(INDEX(绊状态确认!C:C,MATCH($G494,绊状态确认!$B:$B,)),"")</f>
        <v>7</v>
      </c>
      <c r="I494" s="450" t="str">
        <f>IFERROR(INDEX(绊状态确认!D:D,MATCH($G494,绊状态确认!$B:$B,)),"")</f>
        <v>缪</v>
      </c>
      <c r="J494" s="450" t="str">
        <f>IFERROR(INDEX(绊状态确认!E:E,MATCH($G494,绊状态确认!$B:$B,)),"")</f>
        <v>3年级</v>
      </c>
      <c r="K494" s="451" t="str">
        <f>IFERROR(INDEX(绊状态确认!F:F,MATCH($G494,绊状态确认!$B:$B,)),"")</f>
        <v>lilywhite</v>
      </c>
      <c r="L494" s="414" t="str">
        <f>INDEX('卡片raw data'!E:E,MATCH($D494,'卡片raw data'!$F:$F,))</f>
        <v>卡池卡</v>
      </c>
      <c r="M494" s="478">
        <v>44381</v>
      </c>
      <c r="N494" s="479">
        <v>43</v>
      </c>
      <c r="O494" s="410" t="str">
        <f>INDEX('卡片raw data'!D:D,MATCH($D494,'卡片raw data'!$F:$F,))</f>
        <v>gd</v>
      </c>
      <c r="P494" s="1126">
        <v>5</v>
      </c>
      <c r="Q494" s="418">
        <f t="shared" si="600"/>
        <v>22203.529003744639</v>
      </c>
      <c r="R494" s="419">
        <f t="shared" si="601"/>
        <v>0.25800000000000001</v>
      </c>
      <c r="S494" s="420">
        <f t="shared" si="602"/>
        <v>12940.145493441374</v>
      </c>
      <c r="T494" s="421">
        <f t="shared" si="603"/>
        <v>0.64700000000000002</v>
      </c>
      <c r="U494" s="422">
        <f t="shared" si="604"/>
        <v>465.23402856093071</v>
      </c>
      <c r="V494" s="423">
        <f t="shared" si="605"/>
        <v>73674.078461368816</v>
      </c>
      <c r="W494" s="424">
        <f t="shared" si="606"/>
        <v>4507.7214871259994</v>
      </c>
      <c r="X494" s="419">
        <f t="shared" si="607"/>
        <v>5.1999999999999998E-2</v>
      </c>
      <c r="Y494" s="420">
        <f t="shared" si="608"/>
        <v>2065.3604677102276</v>
      </c>
      <c r="Z494" s="425">
        <f t="shared" si="609"/>
        <v>25.835950609826742</v>
      </c>
      <c r="AA494" s="426">
        <f t="shared" si="610"/>
        <v>6573.0819548362269</v>
      </c>
      <c r="AB494" s="424">
        <f t="shared" si="611"/>
        <v>4507.7214871259994</v>
      </c>
      <c r="AC494" s="427">
        <f t="shared" si="612"/>
        <v>5.1999999999999998E-2</v>
      </c>
      <c r="AD494" s="428">
        <f t="shared" si="613"/>
        <v>-3.8207812500000026E-3</v>
      </c>
      <c r="AE494" s="516">
        <f t="shared" si="614"/>
        <v>-18.525362318840578</v>
      </c>
      <c r="AF494" s="1130">
        <f t="shared" si="615"/>
        <v>6568.9769393730558</v>
      </c>
      <c r="AG494" s="420">
        <f t="shared" si="616"/>
        <v>97475.87495644213</v>
      </c>
      <c r="AH494" s="420">
        <f t="shared" si="617"/>
        <v>14.838821304454944</v>
      </c>
      <c r="AI494" s="1097">
        <f t="shared" si="618"/>
        <v>98292.686626935538</v>
      </c>
      <c r="AJ494" s="420">
        <f t="shared" si="619"/>
        <v>73674.078461368816</v>
      </c>
      <c r="AK494" s="518">
        <f t="shared" si="620"/>
        <v>24618.608165566722</v>
      </c>
      <c r="AL494" s="429">
        <f>IF($P494="","N/A",(IF($P494=-1,INDEX('卡片raw data'!S:S,MATCH($D494,'卡片raw data'!$F:$F,)),0)+IF($P494=0,INDEX('卡片raw data'!V:V,MATCH($D494,'卡片raw data'!$F:$F,)),0)+IF($P494=1,INDEX('卡片raw data'!Y:Y,MATCH($D494,'卡片raw data'!$F:$F,)),0)+IF($P494=2,INDEX('卡片raw data'!AB:AB,MATCH($D494,'卡片raw data'!$F:$F,)),0)+IF($P494=3,INDEX('卡片raw data'!AE:AE,MATCH($D494,'卡片raw data'!$F:$F,)),0)+IF($P494=4,INDEX('卡片raw data'!AH:AH,MATCH($D494,'卡片raw data'!$F:$F,)),0)+IF($P494=5,INDEX('卡片raw data'!AK:AK,MATCH($D494,'卡片raw data'!$F:$F,)),0)+INDEX('卡片raw data'!S:S,MATCH($D494,'卡片raw data'!$F:$F,))*(IF($F494="UR",0.04,0.033))*(IF($F494="UR",INDEX(绊状态确认!$S:$S,MATCH($G494,绊状态确认!$B:$B,))/2-40)+IF($F494="SR",INDEX(绊状态确认!$R:$R,MATCH($G494,绊状态确认!$B:$B,))/4-15))+IF($F494="R",INDEX(绊状态确认!$Q:$Q,MATCH($G494,绊状态确认!$B:$B,))/6-40/6)))*(INDEX(绊状态确认!$H:$H,MATCH($G494,绊状态确认!$B:$B,))+INDEX(绊状态确认!J:J,MATCH($G494,绊状态确认!$B:$B,)))</f>
        <v>6714.4534919999987</v>
      </c>
      <c r="AM494" s="429">
        <f>IF($P494="","N/A",(IF($P494=-1,INDEX('卡片raw data'!T:T,MATCH($D494,'卡片raw data'!$F:$F,)),0)+IF($P494=0,INDEX('卡片raw data'!W:W,MATCH($D494,'卡片raw data'!$F:$F,)),0)+IF($P494=1,INDEX('卡片raw data'!Z:Z,MATCH($D494,'卡片raw data'!$F:$F,)),0)+IF($P494=2,INDEX('卡片raw data'!AC:AC,MATCH($D494,'卡片raw data'!$F:$F,)),0)+IF($P494=3,INDEX('卡片raw data'!AF:AF,MATCH($D494,'卡片raw data'!$F:$F,)),0)+IF($P494=4,INDEX('卡片raw data'!AI:AI,MATCH($D494,'卡片raw data'!$F:$F,)),0)+IF($P494=5,INDEX('卡片raw data'!AL:AL,MATCH($D494,'卡片raw data'!$F:$F,)),0)+INDEX('卡片raw data'!T:T,MATCH($D494,'卡片raw data'!$F:$F,))*(IF($F494="UR",0.04,0.033))*(IF($F494="UR",INDEX(绊状态确认!$S:$S,MATCH($G494,绊状态确认!$B:$B,))/2-40)+IF($F494="SR",INDEX(绊状态确认!$R:$R,MATCH($G494,绊状态确认!$B:$B,))/4-15))+IF($F494="R",INDEX(绊状态确认!$Q:$Q,MATCH($G494,绊状态确认!$B:$B,))/6-40/6)))*(INDEX(绊状态确认!$H:$H,MATCH($G494,绊状态确认!$B:$B,))+INDEX(绊状态确认!K:K,MATCH($G494,绊状态确认!$B:$B,)))</f>
        <v>9263.0600447999986</v>
      </c>
      <c r="AN494" s="429">
        <f>IF($P494="","N/A",(IF($P494=-1,INDEX('卡片raw data'!U:U,MATCH($D494,'卡片raw data'!$F:$F,)),0)+IF($P494=0,INDEX('卡片raw data'!X:X,MATCH($D494,'卡片raw data'!$F:$F,)),0)+IF($P494=1,INDEX('卡片raw data'!AA:AA,MATCH($D494,'卡片raw data'!$F:$F,)),0)+IF($P494=2,INDEX('卡片raw data'!AD:AD,MATCH($D494,'卡片raw data'!$F:$F,)),0)+IF($P494=3,INDEX('卡片raw data'!AG:AG,MATCH($D494,'卡片raw data'!$F:$F,)),0)+IF($P494=4,INDEX('卡片raw data'!AJ:AJ,MATCH($D494,'卡片raw data'!$F:$F,)),0)+IF($P494=5,INDEX('卡片raw data'!AM:AM,MATCH($D494,'卡片raw data'!$F:$F,)),0)+INDEX('卡片raw data'!U:U,MATCH($D494,'卡片raw data'!$F:$F,))*(IF($F494="UR",0.04,0.033))*(IF($F494="UR",INDEX(绊状态确认!$S:$S,MATCH($G494,绊状态确认!$B:$B,))/2-40)+IF($F494="SR",INDEX(绊状态确认!$R:$R,MATCH($G494,绊状态确认!$B:$B,))/4-15))+IF($F494="R",INDEX(绊状态确认!$Q:$Q,MATCH($G494,绊状态确认!$B:$B,))/6-40/6)))*(INDEX(绊状态确认!$H:$H,MATCH($G494,绊状态确认!$B:$B,))+INDEX(绊状态确认!L:L,MATCH($G494,绊状态确认!$B:$B,)))</f>
        <v>7176.6523727999993</v>
      </c>
      <c r="AO494" s="430">
        <f t="shared" si="621"/>
        <v>1</v>
      </c>
      <c r="AP494" s="556">
        <f>1+(INDEX(绊状态确认!$T:$T,MATCH($G494,绊状态确认!$B:$B,))+0.2)*$AO494</f>
        <v>1.3</v>
      </c>
      <c r="AQ494" s="431">
        <f t="shared" si="622"/>
        <v>20875.440416499994</v>
      </c>
      <c r="AR494" s="420">
        <f>(AM494*(1+$EX$9)+$EX$35)*(1+(INDEX(绊状态确认!$T:$T,MATCH($G494,绊状态确认!$B:$B,))+0.2)*AO494)*IF(J494=$FF$17,1+$FE$17,1)*IF(I494=$FF$14,1+$FE$14,1)</f>
        <v>15348.076961151999</v>
      </c>
      <c r="AS494" s="420">
        <f>(AN494*(1+$EX$10)+$EX$36)*(1+(INDEX(绊状态确认!$T:$T,MATCH($G494,绊状态确认!$B:$B,))+0.2)*AO494)*IF(J494=$FF$17,1+$FE$17,1)*IF(I494=$FF$14,1+$FE$14,1)</f>
        <v>14785.095297335998</v>
      </c>
      <c r="AT494" s="412">
        <f>IF(AND(INDEX('卡片raw data'!AK:AK,MATCH($D494,'卡片raw data'!$F:$F,))&lt;INDEX('卡片raw data'!AM:AM,MATCH($D494,'卡片raw data'!$F:$F,)),INDEX('卡片raw data'!AL:AL,MATCH($D494,'卡片raw data'!$F:$F,))&lt;INDEX('卡片raw data'!AM:AM,MATCH($D494,'卡片raw data'!$F:$F,))),1,0)</f>
        <v>0</v>
      </c>
      <c r="AU494" s="421">
        <f>MIN(AT494*0.15+AS494*0.00003+INDEX(绊状态确认!M:M,MATCH($G494,绊状态确认!$B:$B,)),1)</f>
        <v>0.47355285892007998</v>
      </c>
      <c r="AV494" s="432">
        <f>(INDEX(绊状态确认!$N:$N,MATCH($G494,绊状态确认!$B:$B,))+1.5)*$EW$21</f>
        <v>2.6599999999999997</v>
      </c>
      <c r="AW494" s="424">
        <f t="shared" si="623"/>
        <v>19364.140849951971</v>
      </c>
      <c r="AX494" s="420">
        <f t="shared" si="624"/>
        <v>1323.915105672874</v>
      </c>
      <c r="AY494" s="433">
        <f t="shared" si="625"/>
        <v>20688.055955624845</v>
      </c>
      <c r="AZ494" s="429">
        <f t="shared" si="626"/>
        <v>15693.184309399998</v>
      </c>
      <c r="BA494" s="431">
        <f t="shared" si="627"/>
        <v>18831.821171279997</v>
      </c>
      <c r="BB494" s="420">
        <f>(AM494*(1+$FB$9)+$FB$35)*(1+(INDEX(绊状态确认!$T:$T,MATCH($G494,绊状态确认!$B:$B,))+0.2)*AO494)*IF(J494=$FF$17,1+$FE$17,1)*IF(I494=$FF$14,1+$FE$14,1)*(1+$FE$15)</f>
        <v>15348.076961151999</v>
      </c>
      <c r="BC494" s="420">
        <f>(AN494*(1+$FB$10)+$FB$36)*(1+(INDEX(绊状态确认!$T:$T,MATCH($G494,绊状态确认!$B:$B,))+0.2)*AO494)*IF(J494=$FF$17,1+$FE$17,1)*IF(I494=$FF$14,1+$FE$14,1)*(1+$FE$15)</f>
        <v>14785.095297335998</v>
      </c>
      <c r="BD494" s="427">
        <f>MIN(AT494*0.15+BC494*0.00003+INDEX(绊状态确认!M:M,MATCH($G494,绊状态确认!$B:$B,)),1)</f>
        <v>0.47355285892007998</v>
      </c>
      <c r="BE494" s="432">
        <f>(INDEX(绊状态确认!$N:$N,MATCH($G494,绊状态确认!$B:$B,))+1.5)</f>
        <v>1.9</v>
      </c>
      <c r="BF494" s="645">
        <f t="array" ref="BF494">SUMPRODUCT(IF(AZ494*AP494*$FI$16:$FI$23*$FA$22&gt;=$FI$24,$FI$24,AZ494*AP494*$FI$16:$FI$23*$FA$22),$FJ$16:$FJ$23)</f>
        <v>31213.7435913966</v>
      </c>
      <c r="BG494" s="453">
        <f t="array" ref="BG494">SUMPRODUCT(IF(BE494*AZ494*AP494*$FI$16:$FI$23*$FA$22&gt;=$FI$24,$FI$24,BE494*AZ494*AP494*$FI$16:$FI$23*$FA$22),$FJ$16:$FJ$23)</f>
        <v>56172.597152700931</v>
      </c>
      <c r="BH494" s="433">
        <f t="shared" si="628"/>
        <v>14344.360016906629</v>
      </c>
      <c r="BI494" s="434">
        <f>IF(O494="vo",$EW$26/$EW$24*0.05,0)+IF(O494="sk",-$EW$26/$EW$24*(0.05-INDEX(绊状态确认!W:W,MATCH($G494,绊状态确认!$B:$B,)))+0.05*$EW$28,0)+IF(O494="sp",0.05*$EW$32*$EW$30*(1-$EW$33)-(0.05-INDEX(绊状态确认!V:V,MATCH($G494,绊状态确认!$B:$B,)))*$EW$28,0)+IF(O494="gd",-(0.05-INDEX(绊状态确认!X:X,MATCH($G494,绊状态确认!$B:$B,)))*$EW$32*$EW$30*(1-$EW$33),0)</f>
        <v>-585.00000000000011</v>
      </c>
      <c r="BJ494" s="420">
        <f>IF(O494="vo",0.05*(1-$FI$26)*$FA$24,0)+IF(O494="sk",-(0.05-INDEX(绊状态确认!W:W,MATCH($G494,绊状态确认!$B:$B,)))*(1-$FI$26)*$FA$24+0.05*$FA$26,0)+IF(O494="sp",0.05*$FA$32*$FA$27*(1-$FA$33)/$FA$30+0.05*$FA$29/$FA$69*$FA$27*(1-$FA$33)-(0.05-INDEX(绊状态确认!V:V,MATCH($G494,绊状态确认!$B:$B,)))*$FA$26,0)+IF(O494="gd",-(0.05-INDEX(绊状态确认!X:X,MATCH($G494,绊状态确认!$B:$B,)))*$FA$32*$FA$27*(1-$FA$33)/$FA$30-(0.05-INDEX(绊状态确认!X:X,MATCH($G494,绊状态确认!$B:$B,)))*$FA$29/$FA$69*$FA$27*(1-$FA$33),0)</f>
        <v>-795.00000000000011</v>
      </c>
      <c r="BK494" s="433">
        <f>IF(O494="vo",$EW$26/$EW$24*0.05+$EW$26*(-HP($EW$62,$EW$65,$EW$64)+HP($EW$62,$EW$65,(1.05-INDEX(绊状态确认!U:U,MATCH($G494,绊状态确认!$B:$B,)))*$EW$64)),0)+IF(O494="sk",-$EW$26/$EW$24*(0.05-INDEX(绊状态确认!W:W,MATCH($G494,绊状态确认!$B:$B,)))+0.05*$EW$29,0)+IF(O494="sp",0.05*$EW$32*$EW$30*(1-$EW$33)-(0.05-INDEX(绊状态确认!V:V,MATCH($G494,绊状态确认!$B:$B,)))*$EW$29,0)+IF(O494="gd",-(0.05-INDEX(绊状态确认!X:X,MATCH($G494,绊状态确认!$B:$B,)))*$EW$32*$EW$30*(1-$EW$33)+$EW$26*(-HP($EW$62,$EW$65,$EW$64)+HP($EW$62,$EW$65,0.95*$EW$64)),0)</f>
        <v>1009.5947725176144</v>
      </c>
      <c r="BL494" s="434">
        <f t="shared" si="629"/>
        <v>-1083.3333333333333</v>
      </c>
      <c r="BM494" s="433">
        <f t="shared" si="630"/>
        <v>-830.55555555555543</v>
      </c>
      <c r="BN494" s="437">
        <f t="shared" si="631"/>
        <v>3</v>
      </c>
      <c r="BO494" s="1108">
        <f t="shared" si="632"/>
        <v>4507.7214871259994</v>
      </c>
      <c r="BP494" s="1100">
        <f t="shared" si="633"/>
        <v>221.34103209030098</v>
      </c>
      <c r="BQ494" s="437" t="s">
        <v>133</v>
      </c>
      <c r="BR494" s="450" t="s">
        <v>171</v>
      </c>
      <c r="BS494" s="421">
        <f>IF($P494="","N/A",IF($P494=-1,INDEX('卡片raw data'!AX:AX,MATCH($D494,'卡片raw data'!$F:$F,)),0)+IF($L494="party卡",IF($P494=5,INDEX('卡片raw data'!BD:BD,MATCH($D494,'卡片raw data'!$F:$F,)),IF($P494&gt;=3,INDEX('卡片raw data'!BC:BC,MATCH($D494,'卡片raw data'!$F:$F,)),INDEX('卡片raw data'!BB:BB,MATCH($D494,'卡片raw data'!$F:$F,)))),IF(OR(AND($F494="UR",$P494=0),AND($F494="SR",$P494&gt;=0,$P494&lt;=2),AND($F494="R",$P494&gt;=0,$P494&lt;4)),INDEX('卡片raw data'!AZ:AZ,MATCH($D494,'卡片raw data'!$F:$F,)),0)+IF(OR(AND($F494="UR",$P494&gt;=1,$P494&lt;=4),AND($F494="SR",$P494&lt;=4,$P494&gt;=3),AND($F494="R",$P494=4)),INDEX('卡片raw data'!BA:BA,MATCH($D494,'卡片raw data'!$F:$F,)),0)+IF($P494=5,INDEX('卡片raw data'!BB:BB,MATCH($D494,'卡片raw data'!$F:$F,)),0)))</f>
        <v>3.2000000000000001E-2</v>
      </c>
      <c r="BT494" s="424">
        <f t="shared" si="634"/>
        <v>0</v>
      </c>
      <c r="BU494" s="420">
        <f t="shared" si="635"/>
        <v>0</v>
      </c>
      <c r="BV494" s="420">
        <f t="shared" si="636"/>
        <v>0</v>
      </c>
      <c r="BW494" s="436">
        <f t="shared" si="637"/>
        <v>1.498285714285714</v>
      </c>
      <c r="BX494" s="423">
        <f t="shared" si="638"/>
        <v>117.00848980993118</v>
      </c>
      <c r="BY494" s="433">
        <f t="shared" si="639"/>
        <v>117.00848980993118</v>
      </c>
      <c r="BZ494" s="1113" t="s">
        <v>569</v>
      </c>
      <c r="CA494" s="450"/>
      <c r="CB494" s="421">
        <f>IF($P494="","N/A",IF($P494=-1,INDEX('卡片raw data'!BE:BE,MATCH($D494,'卡片raw data'!$F:$F,)),0)+IF($L494="party卡",IF($P494=5,INDEX('卡片raw data'!BK:BK,MATCH($D494,'卡片raw data'!$F:$F,)),IF($P494&gt;=3,INDEX('卡片raw data'!BJ:BJ,MATCH($D494,'卡片raw data'!$F:$F,)),INDEX('卡片raw data'!BI:BI,MATCH($D494,'卡片raw data'!$F:$F,)))),IF(OR(AND($F494="UR",$P494=0),AND($F494="SR",$P494&gt;=0,$P494&lt;=2),AND($F494="R",$P494&gt;=0,$P494&lt;4)),INDEX('卡片raw data'!BG:BG,MATCH($D494,'卡片raw data'!$F:$F,)),0)+IF(OR(AND($F494="UR",$P494&gt;=1,$P494&lt;=4),AND($F494="SR",$P494&lt;=4,$P494&gt;=3),AND($F494="R",$P494=4)),INDEX('卡片raw data'!BH:BH,MATCH($D494,'卡片raw data'!$F:$F,)),0)+IF($P494=5,INDEX('卡片raw data'!BI:BI,MATCH($D494,'卡片raw data'!$F:$F,)),0)))</f>
        <v>0</v>
      </c>
      <c r="CC494" s="424">
        <f t="shared" si="640"/>
        <v>0</v>
      </c>
      <c r="CD494" s="420">
        <f>IF(BZ494="ap",CB494*(1-$FI$26)*$FB$5/$FB$11*(+IF(CA494="全员",$FA$24,0)+IF(CA494="同作战",$FA$24,0)+IF(CA494="仲间",$FA$24*2/3,0)+IF(CA494="同属性",$FA$24*$FA$37/3,0)+IF(CA494="同年级",$FA$24*$FA$40/3,0)+IF(CA494="同学校",$FA$24*$FA$43/3,0)+IF(CA494="同小队",$FA$24*$FA$46/3,0)+IF(CA494="同type",$FA$24*INDEX($FB$49:$FB$52,MATCH(X494,$FA$49:$FA$52,))/3,0)+IF(CA494="自身",#REF!/3,0)),0)+IF(BZ494="te",CB494*(1-$FI$27)*($FA$20-1)*$FB$7/$FB$13*(+IF(CA494="全员",$FA$19*$FA$24/(1+($FA$20-1)*$FA$19),0)+IF(CA494="同作战",$FA$19*$FA$24/(1+($FA$20-1)*$FA$19),0)+IF(CA494="仲间",$FA$19*$FA$24*2/3/(1+($FA$20-1)*$FA$19),0)+IF(CA494="同属性",$FA$19*$FA$24*$FA$37/3/(1+($FA$20-1)*$FA$19),0)+IF(CA494="同年级",$FA$19*$FA$24*$FA$40/3/(1+($FA$20-1)*$FA$19),0)+IF(CA494="同学校",$FA$19*$FA$24*$FA$43/3/(1+($FA$20-1)*$FA$19),0)+IF(CA494="同小队",$FA$19*$FA$24*$FA$46/3/(1+($FA$20-1)*$FA$19),0)+IF(CA494="同type",$FA$19*$FA$24*INDEX($FB$49:$FB$52,MATCH(X494,$FA$49:$FA$52,))/3/(1+($FA$20-1)*$FA$19),0)+IF(CA494="自身",$FA$19*#REF!/3/(1+(BH494-1)*$BD494),0)),0)</f>
        <v>0</v>
      </c>
      <c r="CE494" s="420">
        <f t="shared" si="641"/>
        <v>0</v>
      </c>
      <c r="CF494" s="436">
        <f t="shared" si="642"/>
        <v>0</v>
      </c>
      <c r="CG494" s="423">
        <f t="shared" si="643"/>
        <v>0</v>
      </c>
      <c r="CH494" s="433">
        <f t="shared" si="644"/>
        <v>0</v>
      </c>
      <c r="CI494" s="437" t="s">
        <v>162</v>
      </c>
      <c r="CJ494" s="438">
        <v>0.4</v>
      </c>
      <c r="CK494" s="439" t="s">
        <v>2080</v>
      </c>
      <c r="CL494" s="439" t="s">
        <v>1943</v>
      </c>
      <c r="CM494" s="1119">
        <v>0.06</v>
      </c>
      <c r="CN494" s="439"/>
      <c r="CO494" s="1115"/>
      <c r="CP494" s="1116">
        <f t="shared" si="645"/>
        <v>7.8932967228781727</v>
      </c>
      <c r="CQ494" s="1116">
        <f t="shared" si="646"/>
        <v>12.278461568921603</v>
      </c>
      <c r="CR494" s="1117">
        <f t="shared" si="647"/>
        <v>7.8932967228781727</v>
      </c>
      <c r="CS494" s="442">
        <f t="shared" si="648"/>
        <v>0</v>
      </c>
      <c r="CT494" s="432">
        <f t="shared" si="649"/>
        <v>0</v>
      </c>
      <c r="CU494" s="1101">
        <f t="shared" si="650"/>
        <v>0</v>
      </c>
      <c r="CV494" s="1108">
        <f t="shared" si="685"/>
        <v>0</v>
      </c>
      <c r="CW494" s="1097">
        <f t="shared" si="651"/>
        <v>0</v>
      </c>
      <c r="CX494" s="1097">
        <f t="shared" si="652"/>
        <v>0</v>
      </c>
      <c r="CY494" s="1110">
        <f t="shared" si="653"/>
        <v>624.43687222742176</v>
      </c>
      <c r="CZ494" s="437"/>
      <c r="DA494" s="438"/>
      <c r="DB494" s="439" t="s">
        <v>569</v>
      </c>
      <c r="DC494" s="439"/>
      <c r="DD494" s="443"/>
      <c r="DE494" s="411"/>
      <c r="DF494" s="411"/>
      <c r="DG494" s="1116">
        <f t="shared" si="654"/>
        <v>0</v>
      </c>
      <c r="DH494" s="1116">
        <f t="shared" si="655"/>
        <v>0</v>
      </c>
      <c r="DI494" s="1116">
        <f t="shared" si="656"/>
        <v>0</v>
      </c>
      <c r="DJ494" s="442">
        <f t="shared" si="657"/>
        <v>0</v>
      </c>
      <c r="DK494" s="432">
        <f t="shared" si="658"/>
        <v>0</v>
      </c>
      <c r="DL494" s="424">
        <f t="shared" si="659"/>
        <v>0</v>
      </c>
      <c r="DM494" s="420">
        <f t="shared" si="660"/>
        <v>0</v>
      </c>
      <c r="DN494" s="420">
        <f t="shared" si="661"/>
        <v>0</v>
      </c>
      <c r="DO494" s="420">
        <f t="shared" si="662"/>
        <v>0</v>
      </c>
      <c r="DP494" s="433">
        <f t="shared" si="663"/>
        <v>0</v>
      </c>
      <c r="DQ494" s="437" t="s">
        <v>2080</v>
      </c>
      <c r="DR494" s="1120">
        <f t="shared" si="664"/>
        <v>0.3</v>
      </c>
      <c r="DS494" s="450"/>
      <c r="DT494" s="1093" t="s">
        <v>133</v>
      </c>
      <c r="DU494" s="1124"/>
      <c r="DV494" s="1098">
        <f>IF($P494="","N/A",IF(P494=-1,INDEX('卡片raw data'!AN:AN,MATCH(D494,'卡片raw data'!$F:$F,)),0)+IF(AND(L494&lt;&gt;"party卡",P494&lt;=2,P494&gt;=0),INDEX('卡片raw data'!AP:AP,MATCH(D494,'卡片raw data'!$F:$F,)),0)+IF(OR(AND(L494="party卡",P494&lt;=1),AND(P494&lt;=4,L494&lt;&gt;"party卡",P494&gt;=3)),INDEX('卡片raw data'!AQ:AQ,MATCH(D494,'卡片raw data'!$F:$F,)),0)+IF(OR(P494=5,AND(L494="party卡",P494&gt;=2)),INDEX('卡片raw data'!AR:AR,MATCH(D494,'卡片raw data'!$F:$F,)),0))</f>
        <v>0.27</v>
      </c>
      <c r="DW494" s="1098">
        <f t="shared" si="665"/>
        <v>0.3</v>
      </c>
      <c r="DX494" s="1098">
        <f t="shared" si="666"/>
        <v>0.3</v>
      </c>
      <c r="DY494" s="1097">
        <f t="shared" si="667"/>
        <v>414.39807795110397</v>
      </c>
      <c r="DZ494" s="1097">
        <f t="shared" si="668"/>
        <v>358.45433742770496</v>
      </c>
      <c r="EA494" s="421">
        <f t="shared" si="669"/>
        <v>0</v>
      </c>
      <c r="EB494" s="445">
        <f t="shared" si="670"/>
        <v>0</v>
      </c>
      <c r="EC494" s="424">
        <f t="shared" si="671"/>
        <v>0</v>
      </c>
      <c r="ED494" s="420">
        <f t="shared" si="672"/>
        <v>0</v>
      </c>
      <c r="EE494" s="433">
        <f t="shared" si="683"/>
        <v>48435.03108962375</v>
      </c>
      <c r="EF494" s="1115" t="s">
        <v>569</v>
      </c>
      <c r="EG494" s="1120">
        <f t="shared" si="673"/>
        <v>0.3</v>
      </c>
      <c r="EH494" s="450"/>
      <c r="EI494" s="1093"/>
      <c r="EJ494" s="1093"/>
      <c r="EK494" s="420">
        <f>IF($P494="","N/A",IF(P494=-1,INDEX('卡片raw data'!AS:AS,MATCH(D494,'卡片raw data'!$F:$F,)),0)+IF(AND(L494&lt;&gt;"party卡",P494&lt;=2,P494&gt;=0),INDEX('卡片raw data'!AU:AU,MATCH(D494,'卡片raw data'!$F:$F,)),0)+IF(OR(AND(L494="party卡",P494&lt;=1),AND(P494&lt;=4,L494&lt;&gt;"party卡",P494&gt;=3)),INDEX('卡片raw data'!AV:AV,MATCH(D494,'卡片raw data'!$F:$F,)),0)+IF(OR(P494=5,AND(L494="party卡",P494&gt;=2)),INDEX('卡片raw data'!AW:AW,MATCH(D494,'卡片raw data'!$F:$F,)),0))</f>
        <v>0</v>
      </c>
      <c r="EL494" s="1098">
        <f t="shared" si="674"/>
        <v>0.3</v>
      </c>
      <c r="EM494" s="1098">
        <f t="shared" si="675"/>
        <v>0.3</v>
      </c>
      <c r="EN494" s="1097">
        <f t="shared" si="676"/>
        <v>0</v>
      </c>
      <c r="EO494" s="1097">
        <f t="shared" si="677"/>
        <v>0</v>
      </c>
      <c r="EP494" s="421">
        <f t="shared" si="678"/>
        <v>0</v>
      </c>
      <c r="EQ494" s="445">
        <f t="shared" si="679"/>
        <v>0</v>
      </c>
      <c r="ER494" s="424">
        <f t="shared" si="680"/>
        <v>0</v>
      </c>
      <c r="ES494" s="420">
        <f t="shared" si="681"/>
        <v>0</v>
      </c>
      <c r="ET494" s="446">
        <f t="shared" si="684"/>
        <v>0</v>
      </c>
    </row>
    <row r="495" spans="2:150" ht="16.5" customHeight="1">
      <c r="B495" s="448" t="str">
        <f>INDEX('卡片raw data'!B:B,MATCH($D495,'卡片raw data'!$F:$F,))</f>
        <v>七夕凛</v>
      </c>
      <c r="C495" s="449" t="s">
        <v>4095</v>
      </c>
      <c r="D495" s="408">
        <v>492</v>
      </c>
      <c r="E495" s="477">
        <v>400053004</v>
      </c>
      <c r="F495" s="409" t="str">
        <f>INDEX('卡片raw data'!C:C,MATCH($D495,'卡片raw data'!$F:$F,))</f>
        <v>UR</v>
      </c>
      <c r="G495" s="1094" t="s">
        <v>4096</v>
      </c>
      <c r="H495" s="411">
        <f>IFERROR(INDEX(绊状态确认!C:C,MATCH($G495,绊状态确认!$B:$B,)),"")</f>
        <v>5</v>
      </c>
      <c r="I495" s="450" t="str">
        <f>IFERROR(INDEX(绊状态确认!D:D,MATCH($G495,绊状态确认!$B:$B,)),"")</f>
        <v>缪</v>
      </c>
      <c r="J495" s="450" t="str">
        <f>IFERROR(INDEX(绊状态确认!E:E,MATCH($G495,绊状态确认!$B:$B,)),"")</f>
        <v>1年级</v>
      </c>
      <c r="K495" s="451" t="str">
        <f>IFERROR(INDEX(绊状态确认!F:F,MATCH($G495,绊状态确认!$B:$B,)),"")</f>
        <v>lilywhite</v>
      </c>
      <c r="L495" s="414" t="str">
        <f>INDEX('卡片raw data'!E:E,MATCH($D495,'卡片raw data'!$F:$F,))</f>
        <v>卡池卡</v>
      </c>
      <c r="M495" s="478">
        <v>44381</v>
      </c>
      <c r="N495" s="479">
        <v>43</v>
      </c>
      <c r="O495" s="410" t="str">
        <f>INDEX('卡片raw data'!D:D,MATCH($D495,'卡片raw data'!$F:$F,))</f>
        <v>gd</v>
      </c>
      <c r="P495" s="1126">
        <v>5</v>
      </c>
      <c r="Q495" s="418">
        <f t="shared" si="600"/>
        <v>50260.482872519431</v>
      </c>
      <c r="R495" s="419">
        <f t="shared" si="601"/>
        <v>0.58399999999999996</v>
      </c>
      <c r="S495" s="420">
        <f t="shared" si="602"/>
        <v>19207.868041409136</v>
      </c>
      <c r="T495" s="421">
        <f t="shared" si="603"/>
        <v>0.96</v>
      </c>
      <c r="U495" s="422">
        <f t="shared" si="604"/>
        <v>803.11152578097699</v>
      </c>
      <c r="V495" s="423">
        <f t="shared" si="605"/>
        <v>102056.50120141315</v>
      </c>
      <c r="W495" s="424">
        <f t="shared" si="606"/>
        <v>6911.8396135931998</v>
      </c>
      <c r="X495" s="419">
        <f t="shared" si="607"/>
        <v>0.08</v>
      </c>
      <c r="Y495" s="420">
        <f t="shared" si="608"/>
        <v>5469.7300040710415</v>
      </c>
      <c r="Z495" s="425">
        <f t="shared" si="609"/>
        <v>65.133796911857132</v>
      </c>
      <c r="AA495" s="426">
        <f t="shared" si="610"/>
        <v>12381.569617664241</v>
      </c>
      <c r="AB495" s="424">
        <f t="shared" si="611"/>
        <v>6911.8396135931998</v>
      </c>
      <c r="AC495" s="427">
        <f t="shared" si="612"/>
        <v>0.08</v>
      </c>
      <c r="AD495" s="428">
        <f t="shared" si="613"/>
        <v>0</v>
      </c>
      <c r="AE495" s="516">
        <f t="shared" si="614"/>
        <v>-6.25</v>
      </c>
      <c r="AF495" s="1130">
        <f t="shared" si="615"/>
        <v>10087.014459568798</v>
      </c>
      <c r="AG495" s="420">
        <f t="shared" si="616"/>
        <v>84016.477483759998</v>
      </c>
      <c r="AH495" s="420">
        <f t="shared" si="617"/>
        <v>8.3291719091430299</v>
      </c>
      <c r="AI495" s="1097">
        <f t="shared" si="618"/>
        <v>118148.08719659167</v>
      </c>
      <c r="AJ495" s="420">
        <f t="shared" si="619"/>
        <v>102056.50120141315</v>
      </c>
      <c r="AK495" s="518">
        <f t="shared" si="620"/>
        <v>16091.585995178524</v>
      </c>
      <c r="AL495" s="1106">
        <f>IF($P495="","N/A",(IF($P495=-1,INDEX('卡片raw data'!S:S,MATCH($D495,'卡片raw data'!$F:$F,)),0)+IF($P495=0,INDEX('卡片raw data'!V:V,MATCH($D495,'卡片raw data'!$F:$F,)),0)+IF($P495=1,INDEX('卡片raw data'!Y:Y,MATCH($D495,'卡片raw data'!$F:$F,)),0)+IF($P495=2,INDEX('卡片raw data'!AB:AB,MATCH($D495,'卡片raw data'!$F:$F,)),0)+IF($P495=3,INDEX('卡片raw data'!AE:AE,MATCH($D495,'卡片raw data'!$F:$F,)),0)+IF($P495=4,INDEX('卡片raw data'!AH:AH,MATCH($D495,'卡片raw data'!$F:$F,)),0)+IF($P495=5,INDEX('卡片raw data'!AK:AK,MATCH($D495,'卡片raw data'!$F:$F,)),0)+INDEX('卡片raw data'!S:S,MATCH($D495,'卡片raw data'!$F:$F,))*(IF($F495="UR",0.04,0.033))*(IF($F495="UR",INDEX(绊状态确认!$S:$S,MATCH($G495,绊状态确认!$B:$B,))/2-40)+IF($F495="SR",INDEX(绊状态确认!$R:$R,MATCH($G495,绊状态确认!$B:$B,))/4-15))+IF($F495="R",INDEX(绊状态确认!$Q:$Q,MATCH($G495,绊状态确认!$B:$B,))/6-40/6)))*(INDEX(绊状态确认!$H:$H,MATCH($G495,绊状态确认!$B:$B,))+INDEX(绊状态确认!J:J,MATCH($G495,绊状态确认!$B:$B,)))</f>
        <v>11723.556959999998</v>
      </c>
      <c r="AM495" s="1106">
        <f>IF($P495="","N/A",(IF($P495=-1,INDEX('卡片raw data'!T:T,MATCH($D495,'卡片raw data'!$F:$F,)),0)+IF($P495=0,INDEX('卡片raw data'!W:W,MATCH($D495,'卡片raw data'!$F:$F,)),0)+IF($P495=1,INDEX('卡片raw data'!Z:Z,MATCH($D495,'卡片raw data'!$F:$F,)),0)+IF($P495=2,INDEX('卡片raw data'!AC:AC,MATCH($D495,'卡片raw data'!$F:$F,)),0)+IF($P495=3,INDEX('卡片raw data'!AF:AF,MATCH($D495,'卡片raw data'!$F:$F,)),0)+IF($P495=4,INDEX('卡片raw data'!AI:AI,MATCH($D495,'卡片raw data'!$F:$F,)),0)+IF($P495=5,INDEX('卡片raw data'!AL:AL,MATCH($D495,'卡片raw data'!$F:$F,)),0)+INDEX('卡片raw data'!T:T,MATCH($D495,'卡片raw data'!$F:$F,))*(IF($F495="UR",0.04,0.033))*(IF($F495="UR",INDEX(绊状态确认!$S:$S,MATCH($G495,绊状态确认!$B:$B,))/2-40)+IF($F495="SR",INDEX(绊状态确认!$R:$R,MATCH($G495,绊状态确认!$B:$B,))/4-15))+IF($F495="R",INDEX(绊状态确认!$Q:$Q,MATCH($G495,绊状态确认!$B:$B,))/6-40/6)))*(INDEX(绊状态确认!$H:$H,MATCH($G495,绊状态确认!$B:$B,))+INDEX(绊状态确认!K:K,MATCH($G495,绊状态确认!$B:$B,)))</f>
        <v>12857.911439999998</v>
      </c>
      <c r="AN495" s="1106">
        <f>IF($P495="","N/A",(IF($P495=-1,INDEX('卡片raw data'!U:U,MATCH($D495,'卡片raw data'!$F:$F,)),0)+IF($P495=0,INDEX('卡片raw data'!X:X,MATCH($D495,'卡片raw data'!$F:$F,)),0)+IF($P495=1,INDEX('卡片raw data'!AA:AA,MATCH($D495,'卡片raw data'!$F:$F,)),0)+IF($P495=2,INDEX('卡片raw data'!AD:AD,MATCH($D495,'卡片raw data'!$F:$F,)),0)+IF($P495=3,INDEX('卡片raw data'!AG:AG,MATCH($D495,'卡片raw data'!$F:$F,)),0)+IF($P495=4,INDEX('卡片raw data'!AJ:AJ,MATCH($D495,'卡片raw data'!$F:$F,)),0)+IF($P495=5,INDEX('卡片raw data'!AM:AM,MATCH($D495,'卡片raw data'!$F:$F,)),0)+INDEX('卡片raw data'!U:U,MATCH($D495,'卡片raw data'!$F:$F,))*(IF($F495="UR",0.04,0.033))*(IF($F495="UR",INDEX(绊状态确认!$S:$S,MATCH($G495,绊状态确认!$B:$B,))/2-40)+IF($F495="SR",INDEX(绊状态确认!$R:$R,MATCH($G495,绊状态确认!$B:$B,))/4-15))+IF($F495="R",INDEX(绊状态确认!$Q:$Q,MATCH($G495,绊状态确认!$B:$B,))/6-40/6)))*(INDEX(绊状态确认!$H:$H,MATCH($G495,绊状态确认!$B:$B,))+INDEX(绊状态确认!L:L,MATCH($G495,绊状态确认!$B:$B,)))</f>
        <v>13236.787199999999</v>
      </c>
      <c r="AO495" s="1107">
        <f t="shared" si="621"/>
        <v>1</v>
      </c>
      <c r="AP495" s="1131">
        <f>1+(INDEX(绊状态确认!$T:$T,MATCH($G495,绊状态确认!$B:$B,))+0.2)*$AO495</f>
        <v>1.3</v>
      </c>
      <c r="AQ495" s="1108">
        <f t="shared" si="622"/>
        <v>34024.337019999999</v>
      </c>
      <c r="AR495" s="1097">
        <f>(AM495*(1+$EX$9)+$EX$35)*(1+(INDEX(绊状态确认!$T:$T,MATCH($G495,绊状态确认!$B:$B,))+0.2)*AO495)*IF(J495=$FF$17,1+$FE$17,1)*IF(I495=$FF$14,1+$FE$14,1)</f>
        <v>20255.049115599999</v>
      </c>
      <c r="AS495" s="1097">
        <f>(AN495*(1+$EX$10)+$EX$36)*(1+(INDEX(绊状态确认!$T:$T,MATCH($G495,绊状态确认!$B:$B,))+0.2)*AO495)*IF(J495=$FF$17,1+$FE$17,1)*IF(I495=$FF$14,1+$FE$14,1)</f>
        <v>23844.996863999997</v>
      </c>
      <c r="AT495" s="1093">
        <f>IF(AND(INDEX('卡片raw data'!AK:AK,MATCH($D495,'卡片raw data'!$F:$F,))&lt;INDEX('卡片raw data'!AM:AM,MATCH($D495,'卡片raw data'!$F:$F,)),INDEX('卡片raw data'!AL:AL,MATCH($D495,'卡片raw data'!$F:$F,))&lt;INDEX('卡片raw data'!AM:AM,MATCH($D495,'卡片raw data'!$F:$F,))),1,0)</f>
        <v>1</v>
      </c>
      <c r="AU495" s="1098">
        <f>MIN(AT495*0.15+AS495*0.00003+INDEX(绊状态确认!M:M,MATCH($G495,绊状态确认!$B:$B,)),1)</f>
        <v>0.89534990591999997</v>
      </c>
      <c r="AV495" s="1109">
        <f>(INDEX(绊状态确认!$N:$N,MATCH($G495,绊状态确认!$B:$B,))+1.5)*$EW$21</f>
        <v>2.6599999999999997</v>
      </c>
      <c r="AW495" s="1101">
        <f t="shared" si="623"/>
        <v>43933.643258926233</v>
      </c>
      <c r="AX495" s="1097">
        <f t="shared" si="624"/>
        <v>1766.3924667523543</v>
      </c>
      <c r="AY495" s="1110">
        <f t="shared" si="625"/>
        <v>45700.035725678586</v>
      </c>
      <c r="AZ495" s="429">
        <f t="shared" si="626"/>
        <v>25460.936071999997</v>
      </c>
      <c r="BA495" s="431">
        <f t="shared" si="627"/>
        <v>30553.123286399994</v>
      </c>
      <c r="BB495" s="1097">
        <f>(AM495*(1+$FB$9)+$FB$35)*(1+(INDEX(绊状态确认!$T:$T,MATCH($G495,绊状态确认!$B:$B,))+0.2)*AO495)*IF(J495=$FF$17,1+$FE$17,1)*IF(I495=$FF$14,1+$FE$14,1)*(1+$FE$15)</f>
        <v>20255.049115599999</v>
      </c>
      <c r="BC495" s="1097">
        <f>(AN495*(1+$FB$10)+$FB$36)*(1+(INDEX(绊状态确认!$T:$T,MATCH($G495,绊状态确认!$B:$B,))+0.2)*AO495)*IF(J495=$FF$17,1+$FE$17,1)*IF(I495=$FF$14,1+$FE$14,1)*(1+$FE$15)</f>
        <v>23844.996863999997</v>
      </c>
      <c r="BD495" s="1104">
        <f>MIN(AT495*0.15+BC495*0.00003+INDEX(绊状态确认!M:M,MATCH($G495,绊状态确认!$B:$B,)),1)</f>
        <v>0.89534990591999997</v>
      </c>
      <c r="BE495" s="432">
        <f>(INDEX(绊状态确认!$N:$N,MATCH($G495,绊状态确认!$B:$B,))+1.5)</f>
        <v>1.9</v>
      </c>
      <c r="BF495" s="1139">
        <f t="array" ref="BF495">SUMPRODUCT(IF(AZ495*AP495*$FI$16:$FI$23*$FA$22&gt;=$FI$24,$FI$24,AZ495*AP495*$FI$16:$FI$23*$FA$22),$FJ$16:$FJ$23)</f>
        <v>50352.950637423994</v>
      </c>
      <c r="BG495" s="1125">
        <f t="array" ref="BG495">SUMPRODUCT(IF(BE495*AZ495*AP495*$FI$16:$FI$23*$FA$22&gt;=$FI$24,$FI$24,BE495*AZ495*AP495*$FI$16:$FI$23*$FA$22),$FJ$16:$FJ$23)</f>
        <v>60000</v>
      </c>
      <c r="BH495" s="1110">
        <f t="shared" si="628"/>
        <v>19663.478458870672</v>
      </c>
      <c r="BI495" s="1111">
        <f>IF(O495="vo",$EW$26/$EW$24*0.05,0)+IF(O495="sk",-$EW$26/$EW$24*(0.05-INDEX(绊状态确认!W:W,MATCH($G495,绊状态确认!$B:$B,)))+0.05*$EW$28,0)+IF(O495="sp",0.05*$EW$32*$EW$30*(1-$EW$33)-(0.05-INDEX(绊状态确认!V:V,MATCH($G495,绊状态确认!$B:$B,)))*$EW$28,0)+IF(O495="gd",-(0.05-INDEX(绊状态确认!X:X,MATCH($G495,绊状态确认!$B:$B,)))*$EW$32*$EW$30*(1-$EW$33),0)</f>
        <v>-585.00000000000011</v>
      </c>
      <c r="BJ495" s="420">
        <f>IF(O495="vo",0.05*(1-$FI$26)*$FA$24,0)+IF(O495="sk",-(0.05-INDEX(绊状态确认!W:W,MATCH($G495,绊状态确认!$B:$B,)))*(1-$FI$26)*$FA$24+0.05*$FA$26,0)+IF(O495="sp",0.05*$FA$32*$FA$27*(1-$FA$33)/$FA$30+0.05*$FA$29/$FA$69*$FA$27*(1-$FA$33)-(0.05-INDEX(绊状态确认!V:V,MATCH($G495,绊状态确认!$B:$B,)))*$FA$26,0)+IF(O495="gd",-(0.05-INDEX(绊状态确认!X:X,MATCH($G495,绊状态确认!$B:$B,)))*$FA$32*$FA$27*(1-$FA$33)/$FA$30-(0.05-INDEX(绊状态确认!X:X,MATCH($G495,绊状态确认!$B:$B,)))*$FA$29/$FA$69*$FA$27*(1-$FA$33),0)</f>
        <v>-795.00000000000011</v>
      </c>
      <c r="BK495" s="1110">
        <f>IF(O495="vo",$EW$26/$EW$24*0.05+$EW$26*(-HP($EW$62,$EW$65,$EW$64)+HP($EW$62,$EW$65,(1.05-INDEX(绊状态确认!U:U,MATCH($G495,绊状态确认!$B:$B,)))*$EW$64)),0)+IF(O495="sk",-$EW$26/$EW$24*(0.05-INDEX(绊状态确认!W:W,MATCH($G495,绊状态确认!$B:$B,)))+0.05*$EW$29,0)+IF(O495="sp",0.05*$EW$32*$EW$30*(1-$EW$33)-(0.05-INDEX(绊状态确认!V:V,MATCH($G495,绊状态确认!$B:$B,)))*$EW$29,0)+IF(O495="gd",-(0.05-INDEX(绊状态确认!X:X,MATCH($G495,绊状态确认!$B:$B,)))*$EW$32*$EW$30*(1-$EW$33)+$EW$26*(-HP($EW$62,$EW$65,$EW$64)+HP($EW$62,$EW$65,0.95*$EW$64)),0)</f>
        <v>1009.5947725176144</v>
      </c>
      <c r="BL495" s="1111">
        <f t="shared" si="629"/>
        <v>0</v>
      </c>
      <c r="BM495" s="1110">
        <f t="shared" si="630"/>
        <v>0</v>
      </c>
      <c r="BN495" s="1113">
        <f t="shared" si="631"/>
        <v>3</v>
      </c>
      <c r="BO495" s="1108">
        <f t="shared" si="632"/>
        <v>4507.7214871259994</v>
      </c>
      <c r="BP495" s="1100">
        <f t="shared" si="633"/>
        <v>221.34103209030098</v>
      </c>
      <c r="BQ495" s="1113" t="s">
        <v>1940</v>
      </c>
      <c r="BR495" s="1124" t="s">
        <v>1947</v>
      </c>
      <c r="BS495" s="421">
        <f>IF($P495="","N/A",IF($P495=-1,INDEX('卡片raw data'!AX:AX,MATCH($D495,'卡片raw data'!$F:$F,)),0)+IF($L495="party卡",IF($P495=5,INDEX('卡片raw data'!BD:BD,MATCH($D495,'卡片raw data'!$F:$F,)),IF($P495&gt;=3,INDEX('卡片raw data'!BC:BC,MATCH($D495,'卡片raw data'!$F:$F,)),INDEX('卡片raw data'!BB:BB,MATCH($D495,'卡片raw data'!$F:$F,)))),IF(OR(AND($F495="UR",$P495=0),AND($F495="SR",$P495&gt;=0,$P495&lt;=2),AND($F495="R",$P495&gt;=0,$P495&lt;4)),INDEX('卡片raw data'!AZ:AZ,MATCH($D495,'卡片raw data'!$F:$F,)),0)+IF(OR(AND($F495="UR",$P495&gt;=1,$P495&lt;=4),AND($F495="SR",$P495&lt;=4,$P495&gt;=3),AND($F495="R",$P495=4)),INDEX('卡片raw data'!BA:BA,MATCH($D495,'卡片raw data'!$F:$F,)),0)+IF($P495=5,INDEX('卡片raw data'!BB:BB,MATCH($D495,'卡片raw data'!$F:$F,)),0)))</f>
        <v>3.2000000000000001E-2</v>
      </c>
      <c r="BT495" s="424">
        <f t="shared" si="634"/>
        <v>2404.1181264672</v>
      </c>
      <c r="BU495" s="420">
        <f t="shared" si="635"/>
        <v>118.04855044816054</v>
      </c>
      <c r="BV495" s="420">
        <f t="shared" si="636"/>
        <v>2404.1181264672005</v>
      </c>
      <c r="BW495" s="436">
        <f t="shared" si="637"/>
        <v>0</v>
      </c>
      <c r="BX495" s="423">
        <f t="shared" si="638"/>
        <v>2404.1181264672</v>
      </c>
      <c r="BY495" s="433">
        <f t="shared" si="639"/>
        <v>2404.1181264672005</v>
      </c>
      <c r="BZ495" s="1113" t="s">
        <v>569</v>
      </c>
      <c r="CA495" s="450"/>
      <c r="CB495" s="421">
        <f>IF($P495="","N/A",IF($P495=-1,INDEX('卡片raw data'!BE:BE,MATCH($D495,'卡片raw data'!$F:$F,)),0)+IF($L495="party卡",IF($P495=5,INDEX('卡片raw data'!BK:BK,MATCH($D495,'卡片raw data'!$F:$F,)),IF($P495&gt;=3,INDEX('卡片raw data'!BJ:BJ,MATCH($D495,'卡片raw data'!$F:$F,)),INDEX('卡片raw data'!BI:BI,MATCH($D495,'卡片raw data'!$F:$F,)))),IF(OR(AND($F495="UR",$P495=0),AND($F495="SR",$P495&gt;=0,$P495&lt;=2),AND($F495="R",$P495&gt;=0,$P495&lt;4)),INDEX('卡片raw data'!BG:BG,MATCH($D495,'卡片raw data'!$F:$F,)),0)+IF(OR(AND($F495="UR",$P495&gt;=1,$P495&lt;=4),AND($F495="SR",$P495&lt;=4,$P495&gt;=3),AND($F495="R",$P495=4)),INDEX('卡片raw data'!BH:BH,MATCH($D495,'卡片raw data'!$F:$F,)),0)+IF($P495=5,INDEX('卡片raw data'!BI:BI,MATCH($D495,'卡片raw data'!$F:$F,)),0)))</f>
        <v>0</v>
      </c>
      <c r="CC495" s="424">
        <f t="shared" si="640"/>
        <v>0</v>
      </c>
      <c r="CD495" s="420">
        <f>IF(BZ495="ap",CB495*(1-$FI$26)*$FB$5/$FB$11*(+IF(CA495="全员",$FA$24,0)+IF(CA495="同作战",$FA$24,0)+IF(CA495="仲间",$FA$24*2/3,0)+IF(CA495="同属性",$FA$24*$FA$37/3,0)+IF(CA495="同年级",$FA$24*$FA$40/3,0)+IF(CA495="同学校",$FA$24*$FA$43/3,0)+IF(CA495="同小队",$FA$24*$FA$46/3,0)+IF(CA495="同type",$FA$24*INDEX($FB$49:$FB$52,MATCH(X495,$FA$49:$FA$52,))/3,0)+IF(CA495="自身",#REF!/3,0)),0)+IF(BZ495="te",CB495*(1-$FI$27)*($FA$20-1)*$FB$7/$FB$13*(+IF(CA495="全员",$FA$19*$FA$24/(1+($FA$20-1)*$FA$19),0)+IF(CA495="同作战",$FA$19*$FA$24/(1+($FA$20-1)*$FA$19),0)+IF(CA495="仲间",$FA$19*$FA$24*2/3/(1+($FA$20-1)*$FA$19),0)+IF(CA495="同属性",$FA$19*$FA$24*$FA$37/3/(1+($FA$20-1)*$FA$19),0)+IF(CA495="同年级",$FA$19*$FA$24*$FA$40/3/(1+($FA$20-1)*$FA$19),0)+IF(CA495="同学校",$FA$19*$FA$24*$FA$43/3/(1+($FA$20-1)*$FA$19),0)+IF(CA495="同小队",$FA$19*$FA$24*$FA$46/3/(1+($FA$20-1)*$FA$19),0)+IF(CA495="同type",$FA$19*$FA$24*INDEX($FB$49:$FB$52,MATCH(X495,$FA$49:$FA$52,))/3/(1+($FA$20-1)*$FA$19),0)+IF(CA495="自身",$FA$19*#REF!/3/(1+(BH495-1)*$BD495),0)),0)</f>
        <v>0</v>
      </c>
      <c r="CE495" s="420">
        <f t="shared" si="641"/>
        <v>0</v>
      </c>
      <c r="CF495" s="436">
        <f t="shared" si="642"/>
        <v>0</v>
      </c>
      <c r="CG495" s="423">
        <f t="shared" si="643"/>
        <v>0</v>
      </c>
      <c r="CH495" s="433">
        <f t="shared" si="644"/>
        <v>0</v>
      </c>
      <c r="CI495" s="1113" t="s">
        <v>164</v>
      </c>
      <c r="CJ495" s="438">
        <v>1</v>
      </c>
      <c r="CK495" s="439" t="s">
        <v>2305</v>
      </c>
      <c r="CL495" s="1115" t="s">
        <v>1941</v>
      </c>
      <c r="CM495" s="1119">
        <v>8.5000000000000006E-2</v>
      </c>
      <c r="CN495" s="1115"/>
      <c r="CO495" s="1115"/>
      <c r="CP495" s="1116">
        <f t="shared" si="645"/>
        <v>43.431958573714276</v>
      </c>
      <c r="CQ495" s="1116">
        <f t="shared" si="646"/>
        <v>67.560824447999991</v>
      </c>
      <c r="CR495" s="1117">
        <f t="shared" si="647"/>
        <v>43.431958573714276</v>
      </c>
      <c r="CS495" s="1118">
        <f t="shared" si="648"/>
        <v>0</v>
      </c>
      <c r="CT495" s="1109">
        <f t="shared" si="649"/>
        <v>0</v>
      </c>
      <c r="CU495" s="1101">
        <f t="shared" si="650"/>
        <v>0</v>
      </c>
      <c r="CV495" s="1108">
        <f t="shared" si="685"/>
        <v>0</v>
      </c>
      <c r="CW495" s="1097">
        <f t="shared" si="651"/>
        <v>0</v>
      </c>
      <c r="CX495" s="1097">
        <f t="shared" si="652"/>
        <v>0</v>
      </c>
      <c r="CY495" s="1110">
        <f t="shared" si="653"/>
        <v>3703.3375373186864</v>
      </c>
      <c r="CZ495" s="437"/>
      <c r="DA495" s="438"/>
      <c r="DB495" s="439" t="s">
        <v>569</v>
      </c>
      <c r="DC495" s="439"/>
      <c r="DD495" s="443"/>
      <c r="DE495" s="411"/>
      <c r="DF495" s="411"/>
      <c r="DG495" s="1116">
        <f t="shared" si="654"/>
        <v>0</v>
      </c>
      <c r="DH495" s="1116">
        <f t="shared" si="655"/>
        <v>0</v>
      </c>
      <c r="DI495" s="1116">
        <f t="shared" si="656"/>
        <v>0</v>
      </c>
      <c r="DJ495" s="442">
        <f t="shared" si="657"/>
        <v>0</v>
      </c>
      <c r="DK495" s="432">
        <f t="shared" si="658"/>
        <v>0</v>
      </c>
      <c r="DL495" s="424">
        <f t="shared" si="659"/>
        <v>0</v>
      </c>
      <c r="DM495" s="420">
        <f t="shared" si="660"/>
        <v>0</v>
      </c>
      <c r="DN495" s="420">
        <f t="shared" si="661"/>
        <v>0</v>
      </c>
      <c r="DO495" s="420">
        <f t="shared" si="662"/>
        <v>0</v>
      </c>
      <c r="DP495" s="433">
        <f t="shared" si="663"/>
        <v>0</v>
      </c>
      <c r="DQ495" s="1113" t="s">
        <v>2080</v>
      </c>
      <c r="DR495" s="444">
        <f t="shared" si="664"/>
        <v>0.33</v>
      </c>
      <c r="DS495" s="1124"/>
      <c r="DT495" s="1093" t="s">
        <v>133</v>
      </c>
      <c r="DU495" s="1124"/>
      <c r="DV495" s="421">
        <f>IF($P495="","N/A",IF(P495=-1,INDEX('卡片raw data'!AN:AN,MATCH(D495,'卡片raw data'!$F:$F,)),0)+IF(AND(L495&lt;&gt;"party卡",P495&lt;=2,P495&gt;=0),INDEX('卡片raw data'!AP:AP,MATCH(D495,'卡片raw data'!$F:$F,)),0)+IF(OR(AND(L495="party卡",P495&lt;=1),AND(P495&lt;=4,L495&lt;&gt;"party卡",P495&gt;=3)),INDEX('卡片raw data'!AQ:AQ,MATCH(D495,'卡片raw data'!$F:$F,)),0)+IF(OR(P495=5,AND(L495="party卡",P495&gt;=2)),INDEX('卡片raw data'!AR:AR,MATCH(D495,'卡片raw data'!$F:$F,)),0))</f>
        <v>0.32</v>
      </c>
      <c r="DW495" s="1098">
        <f t="shared" si="665"/>
        <v>0.33</v>
      </c>
      <c r="DX495" s="1098">
        <f t="shared" si="666"/>
        <v>0.33</v>
      </c>
      <c r="DY495" s="1097">
        <f t="shared" si="667"/>
        <v>712.97772886911991</v>
      </c>
      <c r="DZ495" s="1097">
        <f t="shared" si="668"/>
        <v>616.72573547178877</v>
      </c>
      <c r="EA495" s="421">
        <f t="shared" si="669"/>
        <v>0</v>
      </c>
      <c r="EB495" s="445">
        <f t="shared" si="670"/>
        <v>0</v>
      </c>
      <c r="EC495" s="424">
        <f t="shared" si="671"/>
        <v>0</v>
      </c>
      <c r="ED495" s="420">
        <f t="shared" si="672"/>
        <v>0</v>
      </c>
      <c r="EE495" s="433">
        <f t="shared" si="683"/>
        <v>48435.03108962375</v>
      </c>
      <c r="EF495" s="1115" t="s">
        <v>569</v>
      </c>
      <c r="EG495" s="444">
        <f t="shared" si="673"/>
        <v>0.33</v>
      </c>
      <c r="EH495" s="450"/>
      <c r="EI495" s="1093"/>
      <c r="EJ495" s="1093"/>
      <c r="EK495" s="1097">
        <f>IF($P495="","N/A",IF(P495=-1,INDEX('卡片raw data'!AS:AS,MATCH(D495,'卡片raw data'!$F:$F,)),0)+IF(AND(L495&lt;&gt;"party卡",P495&lt;=2,P495&gt;=0),INDEX('卡片raw data'!AU:AU,MATCH(D495,'卡片raw data'!$F:$F,)),0)+IF(OR(AND(L495="party卡",P495&lt;=1),AND(P495&lt;=4,L495&lt;&gt;"party卡",P495&gt;=3)),INDEX('卡片raw data'!AV:AV,MATCH(D495,'卡片raw data'!$F:$F,)),0)+IF(OR(P495=5,AND(L495="party卡",P495&gt;=2)),INDEX('卡片raw data'!AW:AW,MATCH(D495,'卡片raw data'!$F:$F,)),0))</f>
        <v>0</v>
      </c>
      <c r="EL495" s="1098">
        <f t="shared" si="674"/>
        <v>0.33</v>
      </c>
      <c r="EM495" s="1098">
        <f t="shared" si="675"/>
        <v>0.33</v>
      </c>
      <c r="EN495" s="1097">
        <f t="shared" si="676"/>
        <v>0</v>
      </c>
      <c r="EO495" s="1097">
        <f t="shared" si="677"/>
        <v>0</v>
      </c>
      <c r="EP495" s="421">
        <f t="shared" si="678"/>
        <v>0</v>
      </c>
      <c r="EQ495" s="445">
        <f t="shared" si="679"/>
        <v>0</v>
      </c>
      <c r="ER495" s="424">
        <f t="shared" si="680"/>
        <v>0</v>
      </c>
      <c r="ES495" s="420">
        <f t="shared" si="681"/>
        <v>0</v>
      </c>
      <c r="ET495" s="446">
        <f t="shared" si="684"/>
        <v>0</v>
      </c>
    </row>
    <row r="496" spans="2:150" ht="16.5" customHeight="1">
      <c r="B496" s="448" t="str">
        <f>INDEX('卡片raw data'!B:B,MATCH($D496,'卡片raw data'!$F:$F,))</f>
        <v>七夕霞</v>
      </c>
      <c r="C496" s="449" t="s">
        <v>4104</v>
      </c>
      <c r="D496" s="408">
        <v>493</v>
      </c>
      <c r="E496" s="477">
        <v>402023003</v>
      </c>
      <c r="F496" s="409" t="str">
        <f>INDEX('卡片raw data'!C:C,MATCH($D496,'卡片raw data'!$F:$F,))</f>
        <v>UR</v>
      </c>
      <c r="G496" s="414" t="s">
        <v>4105</v>
      </c>
      <c r="H496" s="411">
        <f>IFERROR(INDEX(绊状态确认!C:C,MATCH($G496,绊状态确认!$B:$B,)),"")</f>
        <v>202</v>
      </c>
      <c r="I496" s="450" t="str">
        <f>IFERROR(INDEX(绊状态确认!D:D,MATCH($G496,绊状态确认!$B:$B,)),"")</f>
        <v>虹</v>
      </c>
      <c r="J496" s="450" t="str">
        <f>IFERROR(INDEX(绊状态确认!E:E,MATCH($G496,绊状态确认!$B:$B,)),"")</f>
        <v>1年级</v>
      </c>
      <c r="K496" s="451" t="str">
        <f>IFERROR(INDEX(绊状态确认!F:F,MATCH($G496,绊状态确认!$B:$B,)),"")</f>
        <v>QU4RTZ</v>
      </c>
      <c r="L496" s="414" t="str">
        <f>INDEX('卡片raw data'!E:E,MATCH($D496,'卡片raw data'!$F:$F,))</f>
        <v>活动卡</v>
      </c>
      <c r="M496" s="478">
        <v>44381</v>
      </c>
      <c r="N496" s="479">
        <v>43</v>
      </c>
      <c r="O496" s="410" t="str">
        <f>INDEX('卡片raw data'!D:D,MATCH($D496,'卡片raw data'!$F:$F,))</f>
        <v>sk</v>
      </c>
      <c r="P496" s="1126">
        <v>5</v>
      </c>
      <c r="Q496" s="418">
        <f t="shared" si="600"/>
        <v>48192.360875689214</v>
      </c>
      <c r="R496" s="419">
        <f t="shared" si="601"/>
        <v>0.56000000000000005</v>
      </c>
      <c r="S496" s="420">
        <f t="shared" si="602"/>
        <v>20306.287840460733</v>
      </c>
      <c r="T496" s="421">
        <f t="shared" si="603"/>
        <v>1.0149999999999999</v>
      </c>
      <c r="U496" s="422">
        <f t="shared" si="604"/>
        <v>11.139524786742857</v>
      </c>
      <c r="V496" s="423">
        <f t="shared" si="605"/>
        <v>51079.457915710351</v>
      </c>
      <c r="W496" s="424">
        <f t="shared" si="606"/>
        <v>5559.5231674553997</v>
      </c>
      <c r="X496" s="419">
        <f t="shared" si="607"/>
        <v>6.4000000000000001E-2</v>
      </c>
      <c r="Y496" s="420">
        <f t="shared" si="608"/>
        <v>887.09704002113904</v>
      </c>
      <c r="Z496" s="425">
        <f t="shared" si="609"/>
        <v>11.139524786742857</v>
      </c>
      <c r="AA496" s="426">
        <f t="shared" si="610"/>
        <v>6446.6202074765388</v>
      </c>
      <c r="AB496" s="424">
        <f t="shared" si="611"/>
        <v>7681.4340552033264</v>
      </c>
      <c r="AC496" s="427">
        <f t="shared" si="612"/>
        <v>8.8999999999999996E-2</v>
      </c>
      <c r="AD496" s="428">
        <f t="shared" si="613"/>
        <v>2.1769318181818181E-2</v>
      </c>
      <c r="AE496" s="516">
        <f t="shared" si="614"/>
        <v>11.953757704745847</v>
      </c>
      <c r="AF496" s="1130">
        <f t="shared" si="615"/>
        <v>0</v>
      </c>
      <c r="AG496" s="420">
        <f t="shared" si="616"/>
        <v>0</v>
      </c>
      <c r="AH496" s="420">
        <f t="shared" si="617"/>
        <v>0</v>
      </c>
      <c r="AI496" s="1097">
        <f t="shared" si="618"/>
        <v>0</v>
      </c>
      <c r="AJ496" s="420">
        <f t="shared" si="619"/>
        <v>0</v>
      </c>
      <c r="AK496" s="518">
        <f t="shared" si="620"/>
        <v>0</v>
      </c>
      <c r="AL496" s="429">
        <f>IF($P496="","N/A",(IF($P496=-1,INDEX('卡片raw data'!S:S,MATCH($D496,'卡片raw data'!$F:$F,)),0)+IF($P496=0,INDEX('卡片raw data'!V:V,MATCH($D496,'卡片raw data'!$F:$F,)),0)+IF($P496=1,INDEX('卡片raw data'!Y:Y,MATCH($D496,'卡片raw data'!$F:$F,)),0)+IF($P496=2,INDEX('卡片raw data'!AB:AB,MATCH($D496,'卡片raw data'!$F:$F,)),0)+IF($P496=3,INDEX('卡片raw data'!AE:AE,MATCH($D496,'卡片raw data'!$F:$F,)),0)+IF($P496=4,INDEX('卡片raw data'!AH:AH,MATCH($D496,'卡片raw data'!$F:$F,)),0)+IF($P496=5,INDEX('卡片raw data'!AK:AK,MATCH($D496,'卡片raw data'!$F:$F,)),0)+INDEX('卡片raw data'!S:S,MATCH($D496,'卡片raw data'!$F:$F,))*(IF($F496="UR",0.04,0.033))*(IF($F496="UR",INDEX(绊状态确认!$S:$S,MATCH($G496,绊状态确认!$B:$B,))/2-40)+IF($F496="SR",INDEX(绊状态确认!$R:$R,MATCH($G496,绊状态确认!$B:$B,))/4-15))+IF($F496="R",INDEX(绊状态确认!$Q:$Q,MATCH($G496,绊状态确认!$B:$B,))/6-40/6)))*(INDEX(绊状态确认!$H:$H,MATCH($G496,绊状态确认!$B:$B,))+INDEX(绊状态确认!J:J,MATCH($G496,绊状态确认!$B:$B,)))</f>
        <v>10958.805215999999</v>
      </c>
      <c r="AM496" s="429">
        <f>IF($P496="","N/A",(IF($P496=-1,INDEX('卡片raw data'!T:T,MATCH($D496,'卡片raw data'!$F:$F,)),0)+IF($P496=0,INDEX('卡片raw data'!W:W,MATCH($D496,'卡片raw data'!$F:$F,)),0)+IF($P496=1,INDEX('卡片raw data'!Z:Z,MATCH($D496,'卡片raw data'!$F:$F,)),0)+IF($P496=2,INDEX('卡片raw data'!AC:AC,MATCH($D496,'卡片raw data'!$F:$F,)),0)+IF($P496=3,INDEX('卡片raw data'!AF:AF,MATCH($D496,'卡片raw data'!$F:$F,)),0)+IF($P496=4,INDEX('卡片raw data'!AI:AI,MATCH($D496,'卡片raw data'!$F:$F,)),0)+IF($P496=5,INDEX('卡片raw data'!AL:AL,MATCH($D496,'卡片raw data'!$F:$F,)),0)+INDEX('卡片raw data'!T:T,MATCH($D496,'卡片raw data'!$F:$F,))*(IF($F496="UR",0.04,0.033))*(IF($F496="UR",INDEX(绊状态确认!$S:$S,MATCH($G496,绊状态确认!$B:$B,))/2-40)+IF($F496="SR",INDEX(绊状态确认!$R:$R,MATCH($G496,绊状态确认!$B:$B,))/4-15))+IF($F496="R",INDEX(绊状态确认!$Q:$Q,MATCH($G496,绊状态确认!$B:$B,))/6-40/6)))*(INDEX(绊状态确认!$H:$H,MATCH($G496,绊状态确认!$B:$B,))+INDEX(绊状态确认!K:K,MATCH($G496,绊状态确认!$B:$B,)))</f>
        <v>5635.8167039999989</v>
      </c>
      <c r="AN496" s="429">
        <f>IF($P496="","N/A",(IF($P496=-1,INDEX('卡片raw data'!U:U,MATCH($D496,'卡片raw data'!$F:$F,)),0)+IF($P496=0,INDEX('卡片raw data'!X:X,MATCH($D496,'卡片raw data'!$F:$F,)),0)+IF($P496=1,INDEX('卡片raw data'!AA:AA,MATCH($D496,'卡片raw data'!$F:$F,)),0)+IF($P496=2,INDEX('卡片raw data'!AD:AD,MATCH($D496,'卡片raw data'!$F:$F,)),0)+IF($P496=3,INDEX('卡片raw data'!AG:AG,MATCH($D496,'卡片raw data'!$F:$F,)),0)+IF($P496=4,INDEX('卡片raw data'!AJ:AJ,MATCH($D496,'卡片raw data'!$F:$F,)),0)+IF($P496=5,INDEX('卡片raw data'!AM:AM,MATCH($D496,'卡片raw data'!$F:$F,)),0)+INDEX('卡片raw data'!U:U,MATCH($D496,'卡片raw data'!$F:$F,))*(IF($F496="UR",0.04,0.033))*(IF($F496="UR",INDEX(绊状态确认!$S:$S,MATCH($G496,绊状态确认!$B:$B,))/2-40)+IF($F496="SR",INDEX(绊状态确认!$R:$R,MATCH($G496,绊状态确认!$B:$B,))/4-15))+IF($F496="R",INDEX(绊状态确认!$Q:$Q,MATCH($G496,绊状态确认!$B:$B,))/6-40/6)))*(INDEX(绊状态确认!$H:$H,MATCH($G496,绊状态确认!$B:$B,))+INDEX(绊状态确认!L:L,MATCH($G496,绊状态确认!$B:$B,)))</f>
        <v>14717.561855999998</v>
      </c>
      <c r="AO496" s="430">
        <f t="shared" si="621"/>
        <v>1</v>
      </c>
      <c r="AP496" s="556">
        <f>1+(INDEX(绊状态确认!$T:$T,MATCH($G496,绊状态确认!$B:$B,))+0.2)*$AO496</f>
        <v>1.3</v>
      </c>
      <c r="AQ496" s="431">
        <f t="shared" si="622"/>
        <v>32016.863691999999</v>
      </c>
      <c r="AR496" s="420">
        <f>(AM496*(1+$EX$9)+$EX$35)*(1+(INDEX(绊状态确认!$T:$T,MATCH($G496,绊状态确认!$B:$B,))+0.2)*AO496)*IF(J496=$FF$17,1+$FE$17,1)*IF(I496=$FF$14,1+$FE$14,1)</f>
        <v>10396.88980096</v>
      </c>
      <c r="AS496" s="420">
        <f>(AN496*(1+$EX$10)+$EX$36)*(1+(INDEX(绊状态确认!$T:$T,MATCH($G496,绊状态确认!$B:$B,))+0.2)*AO496)*IF(J496=$FF$17,1+$FE$17,1)*IF(I496=$FF$14,1+$FE$14,1)</f>
        <v>26058.754974719999</v>
      </c>
      <c r="AT496" s="412">
        <f>IF(AND(INDEX('卡片raw data'!AK:AK,MATCH($D496,'卡片raw data'!$F:$F,))&lt;INDEX('卡片raw data'!AM:AM,MATCH($D496,'卡片raw data'!$F:$F,)),INDEX('卡片raw data'!AL:AL,MATCH($D496,'卡片raw data'!$F:$F,))&lt;INDEX('卡片raw data'!AM:AM,MATCH($D496,'卡片raw data'!$F:$F,))),1,0)</f>
        <v>1</v>
      </c>
      <c r="AU496" s="421">
        <f>MIN(AT496*0.15+AS496*0.00003+INDEX(绊状态确认!M:M,MATCH($G496,绊状态确认!$B:$B,)),1)</f>
        <v>0.96176264924160004</v>
      </c>
      <c r="AV496" s="432">
        <f>(INDEX(绊状态确认!$N:$N,MATCH($G496,绊状态确认!$B:$B,))+1.5)*$EW$21</f>
        <v>2.6599999999999997</v>
      </c>
      <c r="AW496" s="424">
        <f t="shared" si="623"/>
        <v>43174.650063108675</v>
      </c>
      <c r="AX496" s="420">
        <f t="shared" si="624"/>
        <v>887.09704002113881</v>
      </c>
      <c r="AY496" s="433">
        <f t="shared" si="625"/>
        <v>44061.747103129812</v>
      </c>
      <c r="AZ496" s="429">
        <f t="shared" si="626"/>
        <v>23969.670171199996</v>
      </c>
      <c r="BA496" s="431">
        <f t="shared" si="627"/>
        <v>28763.604205439995</v>
      </c>
      <c r="BB496" s="420">
        <f>(AM496*(1+$FB$9)+$FB$35)*(1+(INDEX(绊状态确认!$T:$T,MATCH($G496,绊状态确认!$B:$B,))+0.2)*AO496)*IF(J496=$FF$17,1+$FE$17,1)*IF(I496=$FF$14,1+$FE$14,1)*(1+$FE$15)</f>
        <v>10396.88980096</v>
      </c>
      <c r="BC496" s="420">
        <f>(AN496*(1+$FB$10)+$FB$36)*(1+(INDEX(绊状态确认!$T:$T,MATCH($G496,绊状态确认!$B:$B,))+0.2)*AO496)*IF(J496=$FF$17,1+$FE$17,1)*IF(I496=$FF$14,1+$FE$14,1)*(1+$FE$15)</f>
        <v>26058.754974719999</v>
      </c>
      <c r="BD496" s="427">
        <f>MIN(AT496*0.15+BC496*0.00003+INDEX(绊状态确认!M:M,MATCH($G496,绊状态确认!$B:$B,)),1)</f>
        <v>0.96176264924160004</v>
      </c>
      <c r="BE496" s="432">
        <f>(INDEX(绊状态确认!$N:$N,MATCH($G496,绊状态确认!$B:$B,))+1.5)</f>
        <v>1.9</v>
      </c>
      <c r="BF496" s="645">
        <f t="array" ref="BF496">SUMPRODUCT(IF(AZ496*AP496*$FI$16:$FI$23*$FA$22&gt;=$FI$24,$FI$24,AZ496*AP496*$FI$16:$FI$23*$FA$22),$FJ$16:$FJ$23)</f>
        <v>47675.6739705168</v>
      </c>
      <c r="BG496" s="453">
        <f t="array" ref="BG496">SUMPRODUCT(IF(BE496*AZ496*AP496*$FI$16:$FI$23*$FA$22&gt;=$FI$24,$FI$24,BE496*AZ496*AP496*$FI$16:$FI$23*$FA$22),$FJ$16:$FJ$23)</f>
        <v>60000</v>
      </c>
      <c r="BH496" s="433">
        <f t="shared" si="628"/>
        <v>19842.916807583257</v>
      </c>
      <c r="BI496" s="434">
        <f>IF(O496="vo",$EW$26/$EW$24*0.05,0)+IF(O496="sk",-$EW$26/$EW$24*(0.05-INDEX(绊状态确认!W:W,MATCH($G496,绊状态确认!$B:$B,)))+0.05*$EW$28,0)+IF(O496="sp",0.05*$EW$32*$EW$30*(1-$EW$33)-(0.05-INDEX(绊状态确认!V:V,MATCH($G496,绊状态确认!$B:$B,)))*$EW$28,0)+IF(O496="gd",-(0.05-INDEX(绊状态确认!X:X,MATCH($G496,绊状态确认!$B:$B,)))*$EW$32*$EW$30*(1-$EW$33),0)</f>
        <v>-6253.6726349699375</v>
      </c>
      <c r="BJ496" s="420">
        <f>IF(O496="vo",0.05*(1-$FI$26)*$FA$24,0)+IF(O496="sk",-(0.05-INDEX(绊状态确认!W:W,MATCH($G496,绊状态确认!$B:$B,)))*(1-$FI$26)*$FA$24+0.05*$FA$26,0)+IF(O496="sp",0.05*$FA$32*$FA$27*(1-$FA$33)/$FA$30+0.05*$FA$29/$FA$69*$FA$27*(1-$FA$33)-(0.05-INDEX(绊状态确认!V:V,MATCH($G496,绊状态确认!$B:$B,)))*$FA$26,0)+IF(O496="gd",-(0.05-INDEX(绊状态确认!X:X,MATCH($G496,绊状态确认!$B:$B,)))*$FA$32*$FA$27*(1-$FA$33)/$FA$30-(0.05-INDEX(绊状态确认!X:X,MATCH($G496,绊状态确认!$B:$B,)))*$FA$29/$FA$69*$FA$27*(1-$FA$33),0)</f>
        <v>20.459096812499922</v>
      </c>
      <c r="BK496" s="433">
        <f>IF(O496="vo",$EW$26/$EW$24*0.05+$EW$26*(-HP($EW$62,$EW$65,$EW$64)+HP($EW$62,$EW$65,(1.05-INDEX(绊状态确认!U:U,MATCH($G496,绊状态确认!$B:$B,)))*$EW$64)),0)+IF(O496="sk",-$EW$26/$EW$24*(0.05-INDEX(绊状态确认!W:W,MATCH($G496,绊状态确认!$B:$B,)))+0.05*$EW$29,0)+IF(O496="sp",0.05*$EW$32*$EW$30*(1-$EW$33)-(0.05-INDEX(绊状态确认!V:V,MATCH($G496,绊状态确认!$B:$B,)))*$EW$29,0)+IF(O496="gd",-(0.05-INDEX(绊状态确认!X:X,MATCH($G496,绊状态确认!$B:$B,)))*$EW$32*$EW$30*(1-$EW$33)+$EW$26*(-HP($EW$62,$EW$65,$EW$64)+HP($EW$62,$EW$65,0.95*$EW$64)),0)</f>
        <v>-4253.6726349699375</v>
      </c>
      <c r="BL496" s="434">
        <f t="shared" si="629"/>
        <v>0</v>
      </c>
      <c r="BM496" s="433">
        <f t="shared" si="630"/>
        <v>0</v>
      </c>
      <c r="BN496" s="437">
        <f t="shared" si="631"/>
        <v>3</v>
      </c>
      <c r="BO496" s="1108">
        <f t="shared" si="632"/>
        <v>4507.7214871259994</v>
      </c>
      <c r="BP496" s="1100">
        <f t="shared" si="633"/>
        <v>221.34103209030098</v>
      </c>
      <c r="BQ496" s="437" t="s">
        <v>132</v>
      </c>
      <c r="BR496" s="450" t="s">
        <v>171</v>
      </c>
      <c r="BS496" s="421">
        <f>IF($P496="","N/A",IF($P496=-1,INDEX('卡片raw data'!AX:AX,MATCH($D496,'卡片raw data'!$F:$F,)),0)+IF($L496="party卡",IF($P496=5,INDEX('卡片raw data'!BD:BD,MATCH($D496,'卡片raw data'!$F:$F,)),IF($P496&gt;=3,INDEX('卡片raw data'!BC:BC,MATCH($D496,'卡片raw data'!$F:$F,)),INDEX('卡片raw data'!BB:BB,MATCH($D496,'卡片raw data'!$F:$F,)))),IF(OR(AND($F496="UR",$P496=0),AND($F496="SR",$P496&gt;=0,$P496&lt;=2),AND($F496="R",$P496&gt;=0,$P496&lt;4)),INDEX('卡片raw data'!AZ:AZ,MATCH($D496,'卡片raw data'!$F:$F,)),0)+IF(OR(AND($F496="UR",$P496&gt;=1,$P496&lt;=4),AND($F496="SR",$P496&lt;=4,$P496&gt;=3),AND($F496="R",$P496=4)),INDEX('卡片raw data'!BA:BA,MATCH($D496,'卡片raw data'!$F:$F,)),0)+IF($P496=5,INDEX('卡片raw data'!BB:BB,MATCH($D496,'卡片raw data'!$F:$F,)),0)))</f>
        <v>4.2000000000000003E-2</v>
      </c>
      <c r="BT496" s="424">
        <f t="shared" si="634"/>
        <v>2103.6033606587998</v>
      </c>
      <c r="BU496" s="420">
        <f t="shared" si="635"/>
        <v>90.380921436872924</v>
      </c>
      <c r="BV496" s="420">
        <f t="shared" si="636"/>
        <v>1051.8016803293999</v>
      </c>
      <c r="BW496" s="436">
        <f t="shared" si="637"/>
        <v>0</v>
      </c>
      <c r="BX496" s="423">
        <f t="shared" si="638"/>
        <v>2103.6033606587998</v>
      </c>
      <c r="BY496" s="433">
        <f t="shared" si="639"/>
        <v>1051.8016803293999</v>
      </c>
      <c r="BZ496" s="1113" t="s">
        <v>569</v>
      </c>
      <c r="CA496" s="450"/>
      <c r="CB496" s="421">
        <f>IF($P496="","N/A",IF($P496=-1,INDEX('卡片raw data'!BE:BE,MATCH($D496,'卡片raw data'!$F:$F,)),0)+IF($L496="party卡",IF($P496=5,INDEX('卡片raw data'!BK:BK,MATCH($D496,'卡片raw data'!$F:$F,)),IF($P496&gt;=3,INDEX('卡片raw data'!BJ:BJ,MATCH($D496,'卡片raw data'!$F:$F,)),INDEX('卡片raw data'!BI:BI,MATCH($D496,'卡片raw data'!$F:$F,)))),IF(OR(AND($F496="UR",$P496=0),AND($F496="SR",$P496&gt;=0,$P496&lt;=2),AND($F496="R",$P496&gt;=0,$P496&lt;4)),INDEX('卡片raw data'!BG:BG,MATCH($D496,'卡片raw data'!$F:$F,)),0)+IF(OR(AND($F496="UR",$P496&gt;=1,$P496&lt;=4),AND($F496="SR",$P496&lt;=4,$P496&gt;=3),AND($F496="R",$P496=4)),INDEX('卡片raw data'!BH:BH,MATCH($D496,'卡片raw data'!$F:$F,)),0)+IF($P496=5,INDEX('卡片raw data'!BI:BI,MATCH($D496,'卡片raw data'!$F:$F,)),0)))</f>
        <v>0</v>
      </c>
      <c r="CC496" s="424">
        <f t="shared" si="640"/>
        <v>0</v>
      </c>
      <c r="CD496" s="420">
        <f>IF(BZ496="ap",CB496*(1-$FI$26)*$FB$5/$FB$11*(+IF(CA496="全员",$FA$24,0)+IF(CA496="同作战",$FA$24,0)+IF(CA496="仲间",$FA$24*2/3,0)+IF(CA496="同属性",$FA$24*$FA$37/3,0)+IF(CA496="同年级",$FA$24*$FA$40/3,0)+IF(CA496="同学校",$FA$24*$FA$43/3,0)+IF(CA496="同小队",$FA$24*$FA$46/3,0)+IF(CA496="同type",$FA$24*INDEX($FB$49:$FB$52,MATCH(X496,$FA$49:$FA$52,))/3,0)+IF(CA496="自身",#REF!/3,0)),0)+IF(BZ496="te",CB496*(1-$FI$27)*($FA$20-1)*$FB$7/$FB$13*(+IF(CA496="全员",$FA$19*$FA$24/(1+($FA$20-1)*$FA$19),0)+IF(CA496="同作战",$FA$19*$FA$24/(1+($FA$20-1)*$FA$19),0)+IF(CA496="仲间",$FA$19*$FA$24*2/3/(1+($FA$20-1)*$FA$19),0)+IF(CA496="同属性",$FA$19*$FA$24*$FA$37/3/(1+($FA$20-1)*$FA$19),0)+IF(CA496="同年级",$FA$19*$FA$24*$FA$40/3/(1+($FA$20-1)*$FA$19),0)+IF(CA496="同学校",$FA$19*$FA$24*$FA$43/3/(1+($FA$20-1)*$FA$19),0)+IF(CA496="同小队",$FA$19*$FA$24*$FA$46/3/(1+($FA$20-1)*$FA$19),0)+IF(CA496="同type",$FA$19*$FA$24*INDEX($FB$49:$FB$52,MATCH(X496,$FA$49:$FA$52,))/3/(1+($FA$20-1)*$FA$19),0)+IF(CA496="自身",$FA$19*#REF!/3/(1+(BH496-1)*$BD496),0)),0)</f>
        <v>0</v>
      </c>
      <c r="CE496" s="420">
        <f t="shared" si="641"/>
        <v>0</v>
      </c>
      <c r="CF496" s="436">
        <f t="shared" si="642"/>
        <v>0</v>
      </c>
      <c r="CG496" s="423">
        <f t="shared" si="643"/>
        <v>0</v>
      </c>
      <c r="CH496" s="433">
        <f t="shared" si="644"/>
        <v>0</v>
      </c>
      <c r="CI496" s="437" t="s">
        <v>162</v>
      </c>
      <c r="CJ496" s="438">
        <v>1</v>
      </c>
      <c r="CK496" s="439" t="s">
        <v>551</v>
      </c>
      <c r="CL496" s="439" t="s">
        <v>2667</v>
      </c>
      <c r="CM496" s="1119">
        <v>0.1</v>
      </c>
      <c r="CN496" s="439" t="s">
        <v>1948</v>
      </c>
      <c r="CO496" s="1115"/>
      <c r="CP496" s="1118">
        <f t="shared" si="645"/>
        <v>1.7857142857142856E-2</v>
      </c>
      <c r="CQ496" s="1118">
        <f t="shared" si="646"/>
        <v>1.6666666666666666E-2</v>
      </c>
      <c r="CR496" s="1118">
        <f t="shared" si="647"/>
        <v>0</v>
      </c>
      <c r="CS496" s="1118">
        <f t="shared" si="648"/>
        <v>0</v>
      </c>
      <c r="CT496" s="1109">
        <f t="shared" si="649"/>
        <v>0</v>
      </c>
      <c r="CU496" s="1101">
        <f t="shared" si="650"/>
        <v>1070.1092074185269</v>
      </c>
      <c r="CV496" s="1108">
        <f t="shared" si="685"/>
        <v>0</v>
      </c>
      <c r="CW496" s="1097">
        <f t="shared" si="651"/>
        <v>0</v>
      </c>
      <c r="CX496" s="1097">
        <f t="shared" si="652"/>
        <v>1070.1092074185269</v>
      </c>
      <c r="CY496" s="1110">
        <f t="shared" si="653"/>
        <v>0</v>
      </c>
      <c r="CZ496" s="437"/>
      <c r="DA496" s="438"/>
      <c r="DB496" s="439" t="s">
        <v>569</v>
      </c>
      <c r="DC496" s="439"/>
      <c r="DD496" s="443"/>
      <c r="DE496" s="411"/>
      <c r="DF496" s="411"/>
      <c r="DG496" s="1116">
        <f t="shared" si="654"/>
        <v>0</v>
      </c>
      <c r="DH496" s="1116">
        <f t="shared" si="655"/>
        <v>0</v>
      </c>
      <c r="DI496" s="1116">
        <f t="shared" si="656"/>
        <v>0</v>
      </c>
      <c r="DJ496" s="442">
        <f t="shared" si="657"/>
        <v>0</v>
      </c>
      <c r="DK496" s="432">
        <f t="shared" si="658"/>
        <v>0</v>
      </c>
      <c r="DL496" s="424">
        <f t="shared" si="659"/>
        <v>0</v>
      </c>
      <c r="DM496" s="420">
        <f t="shared" si="660"/>
        <v>0</v>
      </c>
      <c r="DN496" s="420">
        <f t="shared" si="661"/>
        <v>0</v>
      </c>
      <c r="DO496" s="420">
        <f t="shared" si="662"/>
        <v>0</v>
      </c>
      <c r="DP496" s="433">
        <f t="shared" si="663"/>
        <v>0</v>
      </c>
      <c r="DQ496" s="437" t="s">
        <v>167</v>
      </c>
      <c r="DR496" s="1120">
        <f t="shared" si="664"/>
        <v>0.33</v>
      </c>
      <c r="DS496" s="450">
        <v>5</v>
      </c>
      <c r="DT496" s="1093" t="s">
        <v>2075</v>
      </c>
      <c r="DU496" s="1093" t="s">
        <v>544</v>
      </c>
      <c r="DV496" s="421">
        <f>IF($P496="","N/A",IF(P496=-1,INDEX('卡片raw data'!AN:AN,MATCH(D496,'卡片raw data'!$F:$F,)),0)+IF(AND(L496&lt;&gt;"party卡",P496&lt;=2,P496&gt;=0),INDEX('卡片raw data'!AP:AP,MATCH(D496,'卡片raw data'!$F:$F,)),0)+IF(OR(AND(L496="party卡",P496&lt;=1),AND(P496&lt;=4,L496&lt;&gt;"party卡",P496&gt;=3)),INDEX('卡片raw data'!AQ:AQ,MATCH(D496,'卡片raw data'!$F:$F,)),0)+IF(OR(P496=5,AND(L496="party卡",P496&gt;=2)),INDEX('卡片raw data'!AR:AR,MATCH(D496,'卡片raw data'!$F:$F,)),0))</f>
        <v>7.1999999999999995E-2</v>
      </c>
      <c r="DW496" s="1098">
        <f t="shared" si="665"/>
        <v>0.33</v>
      </c>
      <c r="DX496" s="1098">
        <f t="shared" si="666"/>
        <v>0.33</v>
      </c>
      <c r="DY496" s="1098">
        <f t="shared" si="667"/>
        <v>2.6399999999999996E-2</v>
      </c>
      <c r="DZ496" s="1098">
        <f t="shared" si="668"/>
        <v>1.9981499999999999E-2</v>
      </c>
      <c r="EA496" s="421">
        <f t="shared" si="669"/>
        <v>0</v>
      </c>
      <c r="EB496" s="445">
        <f t="shared" si="670"/>
        <v>0</v>
      </c>
      <c r="EC496" s="424">
        <f t="shared" si="671"/>
        <v>3589.9493923471459</v>
      </c>
      <c r="ED496" s="420">
        <f t="shared" si="672"/>
        <v>131.18998253779688</v>
      </c>
      <c r="EE496" s="433">
        <f t="shared" si="683"/>
        <v>3589.9493923471459</v>
      </c>
      <c r="EF496" s="1115" t="s">
        <v>569</v>
      </c>
      <c r="EG496" s="1120">
        <f t="shared" si="673"/>
        <v>0.33</v>
      </c>
      <c r="EH496" s="450"/>
      <c r="EI496" s="1093"/>
      <c r="EJ496" s="1093"/>
      <c r="EK496" s="420">
        <f>IF($P496="","N/A",IF(P496=-1,INDEX('卡片raw data'!AS:AS,MATCH(D496,'卡片raw data'!$F:$F,)),0)+IF(AND(L496&lt;&gt;"party卡",P496&lt;=2,P496&gt;=0),INDEX('卡片raw data'!AU:AU,MATCH(D496,'卡片raw data'!$F:$F,)),0)+IF(OR(AND(L496="party卡",P496&lt;=1),AND(P496&lt;=4,L496&lt;&gt;"party卡",P496&gt;=3)),INDEX('卡片raw data'!AV:AV,MATCH(D496,'卡片raw data'!$F:$F,)),0)+IF(OR(P496=5,AND(L496="party卡",P496&gt;=2)),INDEX('卡片raw data'!AW:AW,MATCH(D496,'卡片raw data'!$F:$F,)),0))</f>
        <v>0</v>
      </c>
      <c r="EL496" s="1098">
        <f t="shared" si="674"/>
        <v>0.33</v>
      </c>
      <c r="EM496" s="1098">
        <f t="shared" si="675"/>
        <v>0.33</v>
      </c>
      <c r="EN496" s="1097">
        <f t="shared" si="676"/>
        <v>0</v>
      </c>
      <c r="EO496" s="1097">
        <f t="shared" si="677"/>
        <v>0</v>
      </c>
      <c r="EP496" s="421">
        <f t="shared" si="678"/>
        <v>0</v>
      </c>
      <c r="EQ496" s="445">
        <f t="shared" si="679"/>
        <v>0</v>
      </c>
      <c r="ER496" s="424">
        <f t="shared" si="680"/>
        <v>0</v>
      </c>
      <c r="ES496" s="420">
        <f t="shared" si="681"/>
        <v>0</v>
      </c>
      <c r="ET496" s="446">
        <f t="shared" si="684"/>
        <v>0</v>
      </c>
    </row>
    <row r="497" spans="2:150" ht="16.5" customHeight="1">
      <c r="B497" s="448" t="str">
        <f>INDEX('卡片raw data'!B:B,MATCH($D497,'卡片raw data'!$F:$F,))</f>
        <v>虹心璃</v>
      </c>
      <c r="C497" s="449" t="s">
        <v>4095</v>
      </c>
      <c r="D497" s="408">
        <v>494</v>
      </c>
      <c r="E497" s="477">
        <v>402092006</v>
      </c>
      <c r="F497" s="409" t="str">
        <f>INDEX('卡片raw data'!C:C,MATCH($D497,'卡片raw data'!$F:$F,))</f>
        <v>SR</v>
      </c>
      <c r="G497" s="1094" t="s">
        <v>4108</v>
      </c>
      <c r="H497" s="411">
        <f>IFERROR(INDEX(绊状态确认!C:C,MATCH($G497,绊状态确认!$B:$B,)),"")</f>
        <v>209</v>
      </c>
      <c r="I497" s="450" t="str">
        <f>IFERROR(INDEX(绊状态确认!D:D,MATCH($G497,绊状态确认!$B:$B,)),"")</f>
        <v>虹</v>
      </c>
      <c r="J497" s="450" t="str">
        <f>IFERROR(INDEX(绊状态确认!E:E,MATCH($G497,绊状态确认!$B:$B,)),"")</f>
        <v>1年级</v>
      </c>
      <c r="K497" s="451" t="str">
        <f>IFERROR(INDEX(绊状态确认!F:F,MATCH($G497,绊状态确认!$B:$B,)),"")</f>
        <v>QU4RTZ</v>
      </c>
      <c r="L497" s="414" t="str">
        <f>INDEX('卡片raw data'!E:E,MATCH($D497,'卡片raw data'!$F:$F,))</f>
        <v>活动卡</v>
      </c>
      <c r="M497" s="478">
        <v>44381</v>
      </c>
      <c r="N497" s="479">
        <v>43</v>
      </c>
      <c r="O497" s="410" t="str">
        <f>INDEX('卡片raw data'!D:D,MATCH($D497,'卡片raw data'!$F:$F,))</f>
        <v>sk</v>
      </c>
      <c r="P497" s="1126">
        <v>5</v>
      </c>
      <c r="Q497" s="418">
        <f t="shared" si="600"/>
        <v>22230.621142608506</v>
      </c>
      <c r="R497" s="419">
        <f t="shared" si="601"/>
        <v>0.25800000000000001</v>
      </c>
      <c r="S497" s="420">
        <f t="shared" si="602"/>
        <v>15796.695386148109</v>
      </c>
      <c r="T497" s="421">
        <f t="shared" si="603"/>
        <v>0.78900000000000003</v>
      </c>
      <c r="U497" s="422">
        <f t="shared" si="604"/>
        <v>516.57768867834136</v>
      </c>
      <c r="V497" s="423">
        <f t="shared" si="605"/>
        <v>73395.789686536169</v>
      </c>
      <c r="W497" s="424">
        <f t="shared" si="606"/>
        <v>5298.7086119492187</v>
      </c>
      <c r="X497" s="419">
        <f t="shared" si="607"/>
        <v>6.0999999999999999E-2</v>
      </c>
      <c r="Y497" s="420">
        <f t="shared" si="608"/>
        <v>730.13745430391191</v>
      </c>
      <c r="Z497" s="425">
        <f t="shared" si="609"/>
        <v>9.204824668092856</v>
      </c>
      <c r="AA497" s="426">
        <f t="shared" si="610"/>
        <v>6028.8460662531306</v>
      </c>
      <c r="AB497" s="424">
        <f t="shared" si="611"/>
        <v>6053.3321004088029</v>
      </c>
      <c r="AC497" s="427">
        <f t="shared" si="612"/>
        <v>7.0000000000000007E-2</v>
      </c>
      <c r="AD497" s="428">
        <f t="shared" si="613"/>
        <v>8.0494224431818168E-2</v>
      </c>
      <c r="AE497" s="516">
        <f t="shared" si="614"/>
        <v>34.271665883523589</v>
      </c>
      <c r="AF497" s="1130">
        <f t="shared" si="615"/>
        <v>6765.4515201366448</v>
      </c>
      <c r="AG497" s="420">
        <f t="shared" si="616"/>
        <v>107841.30530978</v>
      </c>
      <c r="AH497" s="420">
        <f t="shared" si="617"/>
        <v>15.940001194126047</v>
      </c>
      <c r="AI497" s="1097">
        <f t="shared" si="618"/>
        <v>98462.524617840696</v>
      </c>
      <c r="AJ497" s="420">
        <f t="shared" si="619"/>
        <v>73395.789686536169</v>
      </c>
      <c r="AK497" s="518">
        <f t="shared" si="620"/>
        <v>25066.734931304527</v>
      </c>
      <c r="AL497" s="1106">
        <f>IF($P497="","N/A",(IF($P497=-1,INDEX('卡片raw data'!S:S,MATCH($D497,'卡片raw data'!$F:$F,)),0)+IF($P497=0,INDEX('卡片raw data'!V:V,MATCH($D497,'卡片raw data'!$F:$F,)),0)+IF($P497=1,INDEX('卡片raw data'!Y:Y,MATCH($D497,'卡片raw data'!$F:$F,)),0)+IF($P497=2,INDEX('卡片raw data'!AB:AB,MATCH($D497,'卡片raw data'!$F:$F,)),0)+IF($P497=3,INDEX('卡片raw data'!AE:AE,MATCH($D497,'卡片raw data'!$F:$F,)),0)+IF($P497=4,INDEX('卡片raw data'!AH:AH,MATCH($D497,'卡片raw data'!$F:$F,)),0)+IF($P497=5,INDEX('卡片raw data'!AK:AK,MATCH($D497,'卡片raw data'!$F:$F,)),0)+INDEX('卡片raw data'!S:S,MATCH($D497,'卡片raw data'!$F:$F,))*(IF($F497="UR",0.04,0.033))*(IF($F497="UR",INDEX(绊状态确认!$S:$S,MATCH($G497,绊状态确认!$B:$B,))/2-40)+IF($F497="SR",INDEX(绊状态确认!$R:$R,MATCH($G497,绊状态确认!$B:$B,))/4-15))+IF($F497="R",INDEX(绊状态确认!$Q:$Q,MATCH($G497,绊状态确认!$B:$B,))/6-40/6)))*(INDEX(绊状态确认!$H:$H,MATCH($G497,绊状态确认!$B:$B,))+INDEX(绊状态确认!J:J,MATCH($G497,绊状态确认!$B:$B,)))</f>
        <v>6865.0355831999996</v>
      </c>
      <c r="AM497" s="1106">
        <f>IF($P497="","N/A",(IF($P497=-1,INDEX('卡片raw data'!T:T,MATCH($D497,'卡片raw data'!$F:$F,)),0)+IF($P497=0,INDEX('卡片raw data'!W:W,MATCH($D497,'卡片raw data'!$F:$F,)),0)+IF($P497=1,INDEX('卡片raw data'!Z:Z,MATCH($D497,'卡片raw data'!$F:$F,)),0)+IF($P497=2,INDEX('卡片raw data'!AC:AC,MATCH($D497,'卡片raw data'!$F:$F,)),0)+IF($P497=3,INDEX('卡片raw data'!AF:AF,MATCH($D497,'卡片raw data'!$F:$F,)),0)+IF($P497=4,INDEX('卡片raw data'!AI:AI,MATCH($D497,'卡片raw data'!$F:$F,)),0)+IF($P497=5,INDEX('卡片raw data'!AL:AL,MATCH($D497,'卡片raw data'!$F:$F,)),0)+INDEX('卡片raw data'!T:T,MATCH($D497,'卡片raw data'!$F:$F,))*(IF($F497="UR",0.04,0.033))*(IF($F497="UR",INDEX(绊状态确认!$S:$S,MATCH($G497,绊状态确认!$B:$B,))/2-40)+IF($F497="SR",INDEX(绊状态确认!$R:$R,MATCH($G497,绊状态确认!$B:$B,))/4-15))+IF($F497="R",INDEX(绊状态确认!$Q:$Q,MATCH($G497,绊状态确认!$B:$B,))/6-40/6)))*(INDEX(绊状态确认!$H:$H,MATCH($G497,绊状态确认!$B:$B,))+INDEX(绊状态确认!K:K,MATCH($G497,绊状态确认!$B:$B,)))</f>
        <v>4312.9448279999997</v>
      </c>
      <c r="AN497" s="1106">
        <f>IF($P497="","N/A",(IF($P497=-1,INDEX('卡片raw data'!U:U,MATCH($D497,'卡片raw data'!$F:$F,)),0)+IF($P497=0,INDEX('卡片raw data'!X:X,MATCH($D497,'卡片raw data'!$F:$F,)),0)+IF($P497=1,INDEX('卡片raw data'!AA:AA,MATCH($D497,'卡片raw data'!$F:$F,)),0)+IF($P497=2,INDEX('卡片raw data'!AD:AD,MATCH($D497,'卡片raw data'!$F:$F,)),0)+IF($P497=3,INDEX('卡片raw data'!AG:AG,MATCH($D497,'卡片raw data'!$F:$F,)),0)+IF($P497=4,INDEX('卡片raw data'!AJ:AJ,MATCH($D497,'卡片raw data'!$F:$F,)),0)+IF($P497=5,INDEX('卡片raw data'!AM:AM,MATCH($D497,'卡片raw data'!$F:$F,)),0)+INDEX('卡片raw data'!U:U,MATCH($D497,'卡片raw data'!$F:$F,))*(IF($F497="UR",0.04,0.033))*(IF($F497="UR",INDEX(绊状态确认!$S:$S,MATCH($G497,绊状态确认!$B:$B,))/2-40)+IF($F497="SR",INDEX(绊状态确认!$R:$R,MATCH($G497,绊状态确认!$B:$B,))/4-15))+IF($F497="R",INDEX(绊状态确认!$Q:$Q,MATCH($G497,绊状态确认!$B:$B,))/6-40/6)))*(INDEX(绊状态确认!$H:$H,MATCH($G497,绊状态确认!$B:$B,))+INDEX(绊状态确认!L:L,MATCH($G497,绊状态确认!$B:$B,)))</f>
        <v>8432.4357383999977</v>
      </c>
      <c r="AO497" s="1107">
        <f t="shared" si="621"/>
        <v>1</v>
      </c>
      <c r="AP497" s="1131">
        <f>1+(INDEX(绊状态确认!$T:$T,MATCH($G497,绊状态确认!$B:$B,))+0.2)*$AO497</f>
        <v>1.3</v>
      </c>
      <c r="AQ497" s="1108">
        <f t="shared" si="622"/>
        <v>21270.718405899999</v>
      </c>
      <c r="AR497" s="1097">
        <f>(AM497*(1+$EX$9)+$EX$35)*(1+(INDEX(绊状态确认!$T:$T,MATCH($G497,绊状态确认!$B:$B,))+0.2)*AO497)*IF(J497=$FF$17,1+$FE$17,1)*IF(I497=$FF$14,1+$FE$14,1)</f>
        <v>8591.1696902200001</v>
      </c>
      <c r="AS497" s="1097">
        <f>(AN497*(1+$EX$10)+$EX$36)*(1+(INDEX(绊状态确认!$T:$T,MATCH($G497,绊状态确认!$B:$B,))+0.2)*AO497)*IF(J497=$FF$17,1+$FE$17,1)*IF(I497=$FF$14,1+$FE$14,1)</f>
        <v>16662.491428907997</v>
      </c>
      <c r="AT497" s="1093">
        <f>IF(AND(INDEX('卡片raw data'!AK:AK,MATCH($D497,'卡片raw data'!$F:$F,))&lt;INDEX('卡片raw data'!AM:AM,MATCH($D497,'卡片raw data'!$F:$F,)),INDEX('卡片raw data'!AL:AL,MATCH($D497,'卡片raw data'!$F:$F,))&lt;INDEX('卡片raw data'!AM:AM,MATCH($D497,'卡片raw data'!$F:$F,))),1,0)</f>
        <v>1</v>
      </c>
      <c r="AU497" s="1098">
        <f>MIN(AT497*0.15+AS497*0.00003+INDEX(绊状态确认!M:M,MATCH($G497,绊状态确认!$B:$B,)),1)</f>
        <v>0.67987474286723992</v>
      </c>
      <c r="AV497" s="1109">
        <f>(INDEX(绊状态确认!$N:$N,MATCH($G497,绊状态确认!$B:$B,))+1.5)*$EW$21</f>
        <v>2.6599999999999997</v>
      </c>
      <c r="AW497" s="1101">
        <f t="shared" si="623"/>
        <v>23514.295010502974</v>
      </c>
      <c r="AX497" s="1097">
        <f t="shared" si="624"/>
        <v>730.1374543039118</v>
      </c>
      <c r="AY497" s="1110">
        <f t="shared" si="625"/>
        <v>24244.432464806887</v>
      </c>
      <c r="AZ497" s="429">
        <f t="shared" si="626"/>
        <v>15986.819387239999</v>
      </c>
      <c r="BA497" s="431">
        <f t="shared" si="627"/>
        <v>19184.183264687999</v>
      </c>
      <c r="BB497" s="1097">
        <f>(AM497*(1+$FB$9)+$FB$35)*(1+(INDEX(绊状态确认!$T:$T,MATCH($G497,绊状态确认!$B:$B,))+0.2)*AO497)*IF(J497=$FF$17,1+$FE$17,1)*IF(I497=$FF$14,1+$FE$14,1)*(1+$FE$15)</f>
        <v>8591.1696902200001</v>
      </c>
      <c r="BC497" s="1097">
        <f>(AN497*(1+$FB$10)+$FB$36)*(1+(INDEX(绊状态确认!$T:$T,MATCH($G497,绊状态确认!$B:$B,))+0.2)*AO497)*IF(J497=$FF$17,1+$FE$17,1)*IF(I497=$FF$14,1+$FE$14,1)*(1+$FE$15)</f>
        <v>16662.491428907997</v>
      </c>
      <c r="BD497" s="1104">
        <f>MIN(AT497*0.15+BC497*0.00003+INDEX(绊状态确认!M:M,MATCH($G497,绊状态确认!$B:$B,)),1)</f>
        <v>0.67987474286723992</v>
      </c>
      <c r="BE497" s="432">
        <f>(INDEX(绊状态确认!$N:$N,MATCH($G497,绊状态确认!$B:$B,))+1.5)</f>
        <v>1.9</v>
      </c>
      <c r="BF497" s="1139">
        <f t="array" ref="BF497">SUMPRODUCT(IF(AZ497*AP497*$FI$16:$FI$23*$FA$22&gt;=$FI$24,$FI$24,AZ497*AP497*$FI$16:$FI$23*$FA$22),$FJ$16:$FJ$23)</f>
        <v>31797.783761220358</v>
      </c>
      <c r="BG497" s="1125">
        <f t="array" ref="BG497">SUMPRODUCT(IF(BE497*AZ497*AP497*$FI$16:$FI$23*$FA$22&gt;=$FI$24,$FI$24,BE497*AZ497*AP497*$FI$16:$FI$23*$FA$22),$FJ$16:$FJ$23)</f>
        <v>56774.578425780725</v>
      </c>
      <c r="BH497" s="1110">
        <f t="shared" si="628"/>
        <v>16259.625203812064</v>
      </c>
      <c r="BI497" s="1111">
        <f>IF(O497="vo",$EW$26/$EW$24*0.05,0)+IF(O497="sk",-$EW$26/$EW$24*(0.05-INDEX(绊状态确认!W:W,MATCH($G497,绊状态确认!$B:$B,)))+0.05*$EW$28,0)+IF(O497="sp",0.05*$EW$32*$EW$30*(1-$EW$33)-(0.05-INDEX(绊状态确认!V:V,MATCH($G497,绊状态确认!$B:$B,)))*$EW$28,0)+IF(O497="gd",-(0.05-INDEX(绊状态确认!X:X,MATCH($G497,绊状态确认!$B:$B,)))*$EW$32*$EW$30*(1-$EW$33),0)</f>
        <v>-6253.6726349699375</v>
      </c>
      <c r="BJ497" s="420">
        <f>IF(O497="vo",0.05*(1-$FI$26)*$FA$24,0)+IF(O497="sk",-(0.05-INDEX(绊状态确认!W:W,MATCH($G497,绊状态确认!$B:$B,)))*(1-$FI$26)*$FA$24+0.05*$FA$26,0)+IF(O497="sp",0.05*$FA$32*$FA$27*(1-$FA$33)/$FA$30+0.05*$FA$29/$FA$69*$FA$27*(1-$FA$33)-(0.05-INDEX(绊状态确认!V:V,MATCH($G497,绊状态确认!$B:$B,)))*$FA$26,0)+IF(O497="gd",-(0.05-INDEX(绊状态确认!X:X,MATCH($G497,绊状态确认!$B:$B,)))*$FA$32*$FA$27*(1-$FA$33)/$FA$30-(0.05-INDEX(绊状态确认!X:X,MATCH($G497,绊状态确认!$B:$B,)))*$FA$29/$FA$69*$FA$27*(1-$FA$33),0)</f>
        <v>20.459096812499922</v>
      </c>
      <c r="BK497" s="1110">
        <f>IF(O497="vo",$EW$26/$EW$24*0.05+$EW$26*(-HP($EW$62,$EW$65,$EW$64)+HP($EW$62,$EW$65,(1.05-INDEX(绊状态确认!U:U,MATCH($G497,绊状态确认!$B:$B,)))*$EW$64)),0)+IF(O497="sk",-$EW$26/$EW$24*(0.05-INDEX(绊状态确认!W:W,MATCH($G497,绊状态确认!$B:$B,)))+0.05*$EW$29,0)+IF(O497="sp",0.05*$EW$32*$EW$30*(1-$EW$33)-(0.05-INDEX(绊状态确认!V:V,MATCH($G497,绊状态确认!$B:$B,)))*$EW$29,0)+IF(O497="gd",-(0.05-INDEX(绊状态确认!X:X,MATCH($G497,绊状态确认!$B:$B,)))*$EW$32*$EW$30*(1-$EW$33)+$EW$26*(-HP($EW$62,$EW$65,$EW$64)+HP($EW$62,$EW$65,0.95*$EW$64)),0)</f>
        <v>-4253.6726349699375</v>
      </c>
      <c r="BL497" s="1111">
        <f t="shared" si="629"/>
        <v>-1083.3333333333333</v>
      </c>
      <c r="BM497" s="1110">
        <f t="shared" si="630"/>
        <v>-830.55555555555543</v>
      </c>
      <c r="BN497" s="1113">
        <f t="shared" si="631"/>
        <v>3</v>
      </c>
      <c r="BO497" s="1108">
        <f t="shared" si="632"/>
        <v>4507.7214871259994</v>
      </c>
      <c r="BP497" s="1100">
        <f t="shared" si="633"/>
        <v>221.34103209030098</v>
      </c>
      <c r="BQ497" s="1113" t="s">
        <v>134</v>
      </c>
      <c r="BR497" s="1124" t="s">
        <v>171</v>
      </c>
      <c r="BS497" s="421">
        <f>IF($P497="","N/A",IF($P497=-1,INDEX('卡片raw data'!AX:AX,MATCH($D497,'卡片raw data'!$F:$F,)),0)+IF($L497="party卡",IF($P497=5,INDEX('卡片raw data'!BD:BD,MATCH($D497,'卡片raw data'!$F:$F,)),IF($P497&gt;=3,INDEX('卡片raw data'!BC:BC,MATCH($D497,'卡片raw data'!$F:$F,)),INDEX('卡片raw data'!BB:BB,MATCH($D497,'卡片raw data'!$F:$F,)))),IF(OR(AND($F497="UR",$P497=0),AND($F497="SR",$P497&gt;=0,$P497&lt;=2),AND($F497="R",$P497&gt;=0,$P497&lt;4)),INDEX('卡片raw data'!AZ:AZ,MATCH($D497,'卡片raw data'!$F:$F,)),0)+IF(OR(AND($F497="UR",$P497&gt;=1,$P497&lt;=4),AND($F497="SR",$P497&lt;=4,$P497&gt;=3),AND($F497="R",$P497=4)),INDEX('卡片raw data'!BA:BA,MATCH($D497,'卡片raw data'!$F:$F,)),0)+IF($P497=5,INDEX('卡片raw data'!BB:BB,MATCH($D497,'卡片raw data'!$F:$F,)),0)))</f>
        <v>3.2000000000000001E-2</v>
      </c>
      <c r="BT497" s="424">
        <f t="shared" si="634"/>
        <v>1509.2469769191675</v>
      </c>
      <c r="BU497" s="420">
        <f t="shared" si="635"/>
        <v>95.522578685765595</v>
      </c>
      <c r="BV497" s="420">
        <f t="shared" si="636"/>
        <v>754.62348845958354</v>
      </c>
      <c r="BW497" s="436">
        <f t="shared" si="637"/>
        <v>0</v>
      </c>
      <c r="BX497" s="423">
        <f t="shared" si="638"/>
        <v>1509.2469769191675</v>
      </c>
      <c r="BY497" s="433">
        <f t="shared" si="639"/>
        <v>754.62348845958354</v>
      </c>
      <c r="BZ497" s="1113" t="s">
        <v>569</v>
      </c>
      <c r="CA497" s="450"/>
      <c r="CB497" s="421">
        <f>IF($P497="","N/A",IF($P497=-1,INDEX('卡片raw data'!BE:BE,MATCH($D497,'卡片raw data'!$F:$F,)),0)+IF($L497="party卡",IF($P497=5,INDEX('卡片raw data'!BK:BK,MATCH($D497,'卡片raw data'!$F:$F,)),IF($P497&gt;=3,INDEX('卡片raw data'!BJ:BJ,MATCH($D497,'卡片raw data'!$F:$F,)),INDEX('卡片raw data'!BI:BI,MATCH($D497,'卡片raw data'!$F:$F,)))),IF(OR(AND($F497="UR",$P497=0),AND($F497="SR",$P497&gt;=0,$P497&lt;=2),AND($F497="R",$P497&gt;=0,$P497&lt;4)),INDEX('卡片raw data'!BG:BG,MATCH($D497,'卡片raw data'!$F:$F,)),0)+IF(OR(AND($F497="UR",$P497&gt;=1,$P497&lt;=4),AND($F497="SR",$P497&lt;=4,$P497&gt;=3),AND($F497="R",$P497=4)),INDEX('卡片raw data'!BH:BH,MATCH($D497,'卡片raw data'!$F:$F,)),0)+IF($P497=5,INDEX('卡片raw data'!BI:BI,MATCH($D497,'卡片raw data'!$F:$F,)),0)))</f>
        <v>0</v>
      </c>
      <c r="CC497" s="424">
        <f t="shared" si="640"/>
        <v>0</v>
      </c>
      <c r="CD497" s="420">
        <f>IF(BZ497="ap",CB497*(1-$FI$26)*$FB$5/$FB$11*(+IF(CA497="全员",$FA$24,0)+IF(CA497="同作战",$FA$24,0)+IF(CA497="仲间",$FA$24*2/3,0)+IF(CA497="同属性",$FA$24*$FA$37/3,0)+IF(CA497="同年级",$FA$24*$FA$40/3,0)+IF(CA497="同学校",$FA$24*$FA$43/3,0)+IF(CA497="同小队",$FA$24*$FA$46/3,0)+IF(CA497="同type",$FA$24*INDEX($FB$49:$FB$52,MATCH(X497,$FA$49:$FA$52,))/3,0)+IF(CA497="自身",#REF!/3,0)),0)+IF(BZ497="te",CB497*(1-$FI$27)*($FA$20-1)*$FB$7/$FB$13*(+IF(CA497="全员",$FA$19*$FA$24/(1+($FA$20-1)*$FA$19),0)+IF(CA497="同作战",$FA$19*$FA$24/(1+($FA$20-1)*$FA$19),0)+IF(CA497="仲间",$FA$19*$FA$24*2/3/(1+($FA$20-1)*$FA$19),0)+IF(CA497="同属性",$FA$19*$FA$24*$FA$37/3/(1+($FA$20-1)*$FA$19),0)+IF(CA497="同年级",$FA$19*$FA$24*$FA$40/3/(1+($FA$20-1)*$FA$19),0)+IF(CA497="同学校",$FA$19*$FA$24*$FA$43/3/(1+($FA$20-1)*$FA$19),0)+IF(CA497="同小队",$FA$19*$FA$24*$FA$46/3/(1+($FA$20-1)*$FA$19),0)+IF(CA497="同type",$FA$19*$FA$24*INDEX($FB$49:$FB$52,MATCH(X497,$FA$49:$FA$52,))/3/(1+($FA$20-1)*$FA$19),0)+IF(CA497="自身",$FA$19*#REF!/3/(1+(BH497-1)*$BD497),0)),0)</f>
        <v>0</v>
      </c>
      <c r="CE497" s="420">
        <f t="shared" si="641"/>
        <v>0</v>
      </c>
      <c r="CF497" s="436">
        <f t="shared" si="642"/>
        <v>0</v>
      </c>
      <c r="CG497" s="423">
        <f t="shared" si="643"/>
        <v>0</v>
      </c>
      <c r="CH497" s="433">
        <f t="shared" si="644"/>
        <v>0</v>
      </c>
      <c r="CI497" s="437" t="s">
        <v>170</v>
      </c>
      <c r="CJ497" s="438">
        <v>0.3</v>
      </c>
      <c r="CK497" s="439" t="s">
        <v>295</v>
      </c>
      <c r="CL497" s="439" t="s">
        <v>161</v>
      </c>
      <c r="CM497" s="1119">
        <v>0.08</v>
      </c>
      <c r="CN497" s="1115">
        <v>10</v>
      </c>
      <c r="CO497" s="1092"/>
      <c r="CP497" s="1118">
        <f t="shared" si="645"/>
        <v>8.571428571428571E-4</v>
      </c>
      <c r="CQ497" s="1118">
        <f t="shared" si="646"/>
        <v>1.3333333333333333E-3</v>
      </c>
      <c r="CR497" s="1118">
        <f t="shared" si="647"/>
        <v>8.571428571428571E-4</v>
      </c>
      <c r="CS497" s="442">
        <f t="shared" si="648"/>
        <v>6.1499999999999992E-2</v>
      </c>
      <c r="CT497" s="432">
        <f t="shared" si="649"/>
        <v>0</v>
      </c>
      <c r="CU497" s="1101">
        <f t="shared" si="650"/>
        <v>36.36363636363636</v>
      </c>
      <c r="CV497" s="1108">
        <f t="shared" si="685"/>
        <v>30.303030303030301</v>
      </c>
      <c r="CW497" s="1097">
        <f t="shared" si="651"/>
        <v>36.36363636363636</v>
      </c>
      <c r="CX497" s="420">
        <f t="shared" si="652"/>
        <v>36.36363636363636</v>
      </c>
      <c r="CY497" s="433">
        <f t="shared" si="653"/>
        <v>36.36363636363636</v>
      </c>
      <c r="CZ497" s="437"/>
      <c r="DA497" s="438"/>
      <c r="DB497" s="439" t="s">
        <v>569</v>
      </c>
      <c r="DC497" s="439"/>
      <c r="DD497" s="443"/>
      <c r="DE497" s="411"/>
      <c r="DF497" s="411"/>
      <c r="DG497" s="1116">
        <f t="shared" si="654"/>
        <v>0</v>
      </c>
      <c r="DH497" s="1116">
        <f t="shared" si="655"/>
        <v>0</v>
      </c>
      <c r="DI497" s="1116">
        <f t="shared" si="656"/>
        <v>0</v>
      </c>
      <c r="DJ497" s="442">
        <f t="shared" si="657"/>
        <v>0</v>
      </c>
      <c r="DK497" s="432">
        <f t="shared" si="658"/>
        <v>0</v>
      </c>
      <c r="DL497" s="424">
        <f t="shared" si="659"/>
        <v>0</v>
      </c>
      <c r="DM497" s="420">
        <f t="shared" si="660"/>
        <v>0</v>
      </c>
      <c r="DN497" s="420">
        <f t="shared" si="661"/>
        <v>0</v>
      </c>
      <c r="DO497" s="420">
        <f t="shared" si="662"/>
        <v>0</v>
      </c>
      <c r="DP497" s="433">
        <f t="shared" si="663"/>
        <v>0</v>
      </c>
      <c r="DQ497" s="1113" t="s">
        <v>635</v>
      </c>
      <c r="DR497" s="444">
        <f t="shared" si="664"/>
        <v>0.3</v>
      </c>
      <c r="DS497" s="1124"/>
      <c r="DT497" s="1093" t="s">
        <v>134</v>
      </c>
      <c r="DU497" s="1093"/>
      <c r="DV497" s="1098">
        <f>IF($P497="","N/A",IF(P497=-1,INDEX('卡片raw data'!AN:AN,MATCH(D497,'卡片raw data'!$F:$F,)),0)+IF(AND(L497&lt;&gt;"party卡",P497&lt;=2,P497&gt;=0),INDEX('卡片raw data'!AP:AP,MATCH(D497,'卡片raw data'!$F:$F,)),0)+IF(OR(AND(L497="party卡",P497&lt;=1),AND(P497&lt;=4,L497&lt;&gt;"party卡",P497&gt;=3)),INDEX('卡片raw data'!AQ:AQ,MATCH(D497,'卡片raw data'!$F:$F,)),0)+IF(OR(P497=5,AND(L497="party卡",P497&gt;=2)),INDEX('卡片raw data'!AR:AR,MATCH(D497,'卡片raw data'!$F:$F,)),0))</f>
        <v>0.28999999999999998</v>
      </c>
      <c r="DW497" s="1098">
        <f t="shared" si="665"/>
        <v>0.3</v>
      </c>
      <c r="DX497" s="1098">
        <f t="shared" si="666"/>
        <v>0.3</v>
      </c>
      <c r="DY497" s="1097">
        <f t="shared" si="667"/>
        <v>483.21225143833186</v>
      </c>
      <c r="DZ497" s="1097">
        <f t="shared" si="668"/>
        <v>417.97859749415704</v>
      </c>
      <c r="EA497" s="421">
        <f t="shared" si="669"/>
        <v>0</v>
      </c>
      <c r="EB497" s="445">
        <f t="shared" si="670"/>
        <v>0</v>
      </c>
      <c r="EC497" s="424">
        <f t="shared" si="671"/>
        <v>0</v>
      </c>
      <c r="ED497" s="420">
        <f t="shared" si="672"/>
        <v>0</v>
      </c>
      <c r="EE497" s="433">
        <f t="shared" si="683"/>
        <v>48435.03108962375</v>
      </c>
      <c r="EF497" s="1115" t="s">
        <v>569</v>
      </c>
      <c r="EG497" s="444">
        <f t="shared" si="673"/>
        <v>0.3</v>
      </c>
      <c r="EH497" s="450"/>
      <c r="EI497" s="1093"/>
      <c r="EJ497" s="1093"/>
      <c r="EK497" s="420">
        <f>IF($P497="","N/A",IF(P497=-1,INDEX('卡片raw data'!AS:AS,MATCH(D497,'卡片raw data'!$F:$F,)),0)+IF(AND(L497&lt;&gt;"party卡",P497&lt;=2,P497&gt;=0),INDEX('卡片raw data'!AU:AU,MATCH(D497,'卡片raw data'!$F:$F,)),0)+IF(OR(AND(L497="party卡",P497&lt;=1),AND(P497&lt;=4,L497&lt;&gt;"party卡",P497&gt;=3)),INDEX('卡片raw data'!AV:AV,MATCH(D497,'卡片raw data'!$F:$F,)),0)+IF(OR(P497=5,AND(L497="party卡",P497&gt;=2)),INDEX('卡片raw data'!AW:AW,MATCH(D497,'卡片raw data'!$F:$F,)),0))</f>
        <v>0</v>
      </c>
      <c r="EL497" s="1098">
        <f t="shared" si="674"/>
        <v>0.3</v>
      </c>
      <c r="EM497" s="1098">
        <f t="shared" si="675"/>
        <v>0.3</v>
      </c>
      <c r="EN497" s="1097">
        <f t="shared" si="676"/>
        <v>0</v>
      </c>
      <c r="EO497" s="1097">
        <f t="shared" si="677"/>
        <v>0</v>
      </c>
      <c r="EP497" s="421">
        <f t="shared" si="678"/>
        <v>0</v>
      </c>
      <c r="EQ497" s="445">
        <f t="shared" si="679"/>
        <v>0</v>
      </c>
      <c r="ER497" s="424">
        <f t="shared" si="680"/>
        <v>0</v>
      </c>
      <c r="ES497" s="420">
        <f t="shared" si="681"/>
        <v>0</v>
      </c>
      <c r="ET497" s="446">
        <f t="shared" si="684"/>
        <v>0</v>
      </c>
    </row>
    <row r="498" spans="2:150" ht="16.5" customHeight="1">
      <c r="B498" s="448" t="str">
        <f>INDEX('卡片raw data'!B:B,MATCH($D498,'卡片raw data'!$F:$F,))</f>
        <v>未熟千</v>
      </c>
      <c r="C498" s="449" t="s">
        <v>4110</v>
      </c>
      <c r="D498" s="408">
        <v>495</v>
      </c>
      <c r="E498" s="477">
        <v>401012005</v>
      </c>
      <c r="F498" s="409" t="str">
        <f>INDEX('卡片raw data'!C:C,MATCH($D498,'卡片raw data'!$F:$F,))</f>
        <v>SR</v>
      </c>
      <c r="G498" s="414" t="s">
        <v>4111</v>
      </c>
      <c r="H498" s="411">
        <f>IFERROR(INDEX(绊状态确认!C:C,MATCH($G498,绊状态确认!$B:$B,)),"")</f>
        <v>101</v>
      </c>
      <c r="I498" s="450" t="str">
        <f>IFERROR(INDEX(绊状态确认!D:D,MATCH($G498,绊状态确认!$B:$B,)),"")</f>
        <v>水</v>
      </c>
      <c r="J498" s="450" t="str">
        <f>IFERROR(INDEX(绊状态确认!E:E,MATCH($G498,绊状态确认!$B:$B,)),"")</f>
        <v>2年级</v>
      </c>
      <c r="K498" s="451" t="str">
        <f>IFERROR(INDEX(绊状态确认!F:F,MATCH($G498,绊状态确认!$B:$B,)),"")</f>
        <v>CYaRon!</v>
      </c>
      <c r="L498" s="414" t="str">
        <f>INDEX('卡片raw data'!E:E,MATCH($D498,'卡片raw data'!$F:$F,))</f>
        <v>活动卡</v>
      </c>
      <c r="M498" s="478">
        <v>44381</v>
      </c>
      <c r="N498" s="479">
        <v>43</v>
      </c>
      <c r="O498" s="410" t="str">
        <f>INDEX('卡片raw data'!D:D,MATCH($D498,'卡片raw data'!$F:$F,))</f>
        <v>vo</v>
      </c>
      <c r="P498" s="1126">
        <v>5</v>
      </c>
      <c r="Q498" s="418">
        <f t="shared" si="600"/>
        <v>39967.487860385154</v>
      </c>
      <c r="R498" s="419">
        <f t="shared" si="601"/>
        <v>0.46400000000000002</v>
      </c>
      <c r="S498" s="420">
        <f t="shared" si="602"/>
        <v>15325.404001670509</v>
      </c>
      <c r="T498" s="421">
        <f t="shared" si="603"/>
        <v>0.76600000000000001</v>
      </c>
      <c r="U498" s="422">
        <f t="shared" si="604"/>
        <v>-13.497756958917142</v>
      </c>
      <c r="V498" s="423">
        <f t="shared" si="605"/>
        <v>39579.481683373146</v>
      </c>
      <c r="W498" s="424">
        <f t="shared" si="606"/>
        <v>4563.249364532111</v>
      </c>
      <c r="X498" s="419">
        <f t="shared" si="607"/>
        <v>5.2999999999999999E-2</v>
      </c>
      <c r="Y498" s="420">
        <f t="shared" si="608"/>
        <v>916.6622732296928</v>
      </c>
      <c r="Z498" s="425">
        <f t="shared" si="609"/>
        <v>11.502243041082858</v>
      </c>
      <c r="AA498" s="426">
        <f t="shared" si="610"/>
        <v>5479.9116377618038</v>
      </c>
      <c r="AB498" s="424">
        <f t="shared" si="611"/>
        <v>8319.6839371371098</v>
      </c>
      <c r="AC498" s="427">
        <f t="shared" si="612"/>
        <v>9.6000000000000002E-2</v>
      </c>
      <c r="AD498" s="428">
        <f t="shared" si="613"/>
        <v>-3.8207812500000026E-3</v>
      </c>
      <c r="AE498" s="516">
        <f t="shared" si="614"/>
        <v>-12.27536231884058</v>
      </c>
      <c r="AF498" s="1130">
        <f t="shared" si="615"/>
        <v>0</v>
      </c>
      <c r="AG498" s="420">
        <f t="shared" si="616"/>
        <v>0</v>
      </c>
      <c r="AH498" s="420">
        <f t="shared" si="617"/>
        <v>0</v>
      </c>
      <c r="AI498" s="1097">
        <f t="shared" si="618"/>
        <v>0</v>
      </c>
      <c r="AJ498" s="420">
        <f t="shared" si="619"/>
        <v>0</v>
      </c>
      <c r="AK498" s="518">
        <f t="shared" si="620"/>
        <v>0</v>
      </c>
      <c r="AL498" s="429">
        <f>IF($P498="","N/A",(IF($P498=-1,INDEX('卡片raw data'!S:S,MATCH($D498,'卡片raw data'!$F:$F,)),0)+IF($P498=0,INDEX('卡片raw data'!V:V,MATCH($D498,'卡片raw data'!$F:$F,)),0)+IF($P498=1,INDEX('卡片raw data'!Y:Y,MATCH($D498,'卡片raw data'!$F:$F,)),0)+IF($P498=2,INDEX('卡片raw data'!AB:AB,MATCH($D498,'卡片raw data'!$F:$F,)),0)+IF($P498=3,INDEX('卡片raw data'!AE:AE,MATCH($D498,'卡片raw data'!$F:$F,)),0)+IF($P498=4,INDEX('卡片raw data'!AH:AH,MATCH($D498,'卡片raw data'!$F:$F,)),0)+IF($P498=5,INDEX('卡片raw data'!AK:AK,MATCH($D498,'卡片raw data'!$F:$F,)),0)+INDEX('卡片raw data'!S:S,MATCH($D498,'卡片raw data'!$F:$F,))*(IF($F498="UR",0.04,0.033))*(IF($F498="UR",INDEX(绊状态确认!$S:$S,MATCH($G498,绊状态确认!$B:$B,))/2-40)+IF($F498="SR",INDEX(绊状态确认!$R:$R,MATCH($G498,绊状态确认!$B:$B,))/4-15))+IF($F498="R",INDEX(绊状态确认!$Q:$Q,MATCH($G498,绊状态确认!$B:$B,))/6-40/6)))*(INDEX(绊状态确认!$H:$H,MATCH($G498,绊状态确认!$B:$B,))+INDEX(绊状态确认!J:J,MATCH($G498,绊状态确认!$B:$B,)))</f>
        <v>7845.1055807999983</v>
      </c>
      <c r="AM498" s="429">
        <f>IF($P498="","N/A",(IF($P498=-1,INDEX('卡片raw data'!T:T,MATCH($D498,'卡片raw data'!$F:$F,)),0)+IF($P498=0,INDEX('卡片raw data'!W:W,MATCH($D498,'卡片raw data'!$F:$F,)),0)+IF($P498=1,INDEX('卡片raw data'!Z:Z,MATCH($D498,'卡片raw data'!$F:$F,)),0)+IF($P498=2,INDEX('卡片raw data'!AC:AC,MATCH($D498,'卡片raw data'!$F:$F,)),0)+IF($P498=3,INDEX('卡片raw data'!AF:AF,MATCH($D498,'卡片raw data'!$F:$F,)),0)+IF($P498=4,INDEX('卡片raw data'!AI:AI,MATCH($D498,'卡片raw data'!$F:$F,)),0)+IF($P498=5,INDEX('卡片raw data'!AL:AL,MATCH($D498,'卡片raw data'!$F:$F,)),0)+INDEX('卡片raw data'!T:T,MATCH($D498,'卡片raw data'!$F:$F,))*(IF($F498="UR",0.04,0.033))*(IF($F498="UR",INDEX(绊状态确认!$S:$S,MATCH($G498,绊状态确认!$B:$B,))/2-40)+IF($F498="SR",INDEX(绊状态确认!$R:$R,MATCH($G498,绊状态确认!$B:$B,))/4-15))+IF($F498="R",INDEX(绊状态确认!$Q:$Q,MATCH($G498,绊状态确认!$B:$B,))/6-40/6)))*(INDEX(绊状态确认!$H:$H,MATCH($G498,绊状态确认!$B:$B,))+INDEX(绊状态确认!K:K,MATCH($G498,绊状态确认!$B:$B,)))</f>
        <v>5883.8291855999996</v>
      </c>
      <c r="AN498" s="429">
        <f>IF($P498="","N/A",(IF($P498=-1,INDEX('卡片raw data'!U:U,MATCH($D498,'卡片raw data'!$F:$F,)),0)+IF($P498=0,INDEX('卡片raw data'!X:X,MATCH($D498,'卡片raw data'!$F:$F,)),0)+IF($P498=1,INDEX('卡片raw data'!AA:AA,MATCH($D498,'卡片raw data'!$F:$F,)),0)+IF($P498=2,INDEX('卡片raw data'!AD:AD,MATCH($D498,'卡片raw data'!$F:$F,)),0)+IF($P498=3,INDEX('卡片raw data'!AG:AG,MATCH($D498,'卡片raw data'!$F:$F,)),0)+IF($P498=4,INDEX('卡片raw data'!AJ:AJ,MATCH($D498,'卡片raw data'!$F:$F,)),0)+IF($P498=5,INDEX('卡片raw data'!AM:AM,MATCH($D498,'卡片raw data'!$F:$F,)),0)+INDEX('卡片raw data'!U:U,MATCH($D498,'卡片raw data'!$F:$F,))*(IF($F498="UR",0.04,0.033))*(IF($F498="UR",INDEX(绊状态确认!$S:$S,MATCH($G498,绊状态确认!$B:$B,))/2-40)+IF($F498="SR",INDEX(绊状态确认!$R:$R,MATCH($G498,绊状态确认!$B:$B,))/4-15))+IF($F498="R",INDEX(绊状态确认!$Q:$Q,MATCH($G498,绊状态确认!$B:$B,))/6-40/6)))*(INDEX(绊状态确认!$H:$H,MATCH($G498,绊状态确认!$B:$B,))+INDEX(绊状态确认!L:L,MATCH($G498,绊状态确认!$B:$B,)))</f>
        <v>5883.8291855999996</v>
      </c>
      <c r="AO498" s="430">
        <f t="shared" si="621"/>
        <v>1</v>
      </c>
      <c r="AP498" s="556">
        <f>1+(INDEX(绊状态确认!$T:$T,MATCH($G498,绊状态确认!$B:$B,))+0.2)*$AO498</f>
        <v>1.3</v>
      </c>
      <c r="AQ498" s="431">
        <f t="shared" si="622"/>
        <v>23843.402149599999</v>
      </c>
      <c r="AR498" s="420">
        <f>(AM498*(1+$EX$9)+$EX$35)*(1+(INDEX(绊状态确认!$T:$T,MATCH($G498,绊状态确认!$B:$B,))+0.2)*AO498)*IF(J498=$FF$17,1+$FE$17,1)*IF(I498=$FF$14,1+$FE$14,1)</f>
        <v>10735.426838344001</v>
      </c>
      <c r="AS498" s="420">
        <f>(AN498*(1+$EX$10)+$EX$36)*(1+(INDEX(绊状态确认!$T:$T,MATCH($G498,绊状态确认!$B:$B,))+0.2)*AO498)*IF(J498=$FF$17,1+$FE$17,1)*IF(I498=$FF$14,1+$FE$14,1)</f>
        <v>12852.324632471998</v>
      </c>
      <c r="AT498" s="412">
        <f>IF(AND(INDEX('卡片raw data'!AK:AK,MATCH($D498,'卡片raw data'!$F:$F,))&lt;INDEX('卡片raw data'!AM:AM,MATCH($D498,'卡片raw data'!$F:$F,)),INDEX('卡片raw data'!AL:AL,MATCH($D498,'卡片raw data'!$F:$F,))&lt;INDEX('卡片raw data'!AM:AM,MATCH($D498,'卡片raw data'!$F:$F,))),1,0)</f>
        <v>0</v>
      </c>
      <c r="AU498" s="421">
        <f>MIN(AT498*0.15+AS498*0.00003+INDEX(绊状态确认!M:M,MATCH($G498,绊状态确认!$B:$B,)),1)</f>
        <v>0.41556973897416</v>
      </c>
      <c r="AV498" s="432">
        <f>(INDEX(绊状态确认!$N:$N,MATCH($G498,绊状态确认!$B:$B,))+1.5)*$EW$21</f>
        <v>2.6599999999999997</v>
      </c>
      <c r="AW498" s="424">
        <f t="shared" si="623"/>
        <v>20925.346382987977</v>
      </c>
      <c r="AX498" s="420">
        <f t="shared" si="624"/>
        <v>916.66227322969314</v>
      </c>
      <c r="AY498" s="433">
        <f t="shared" si="625"/>
        <v>21842.008656217669</v>
      </c>
      <c r="AZ498" s="429">
        <f t="shared" si="626"/>
        <v>17897.955882559996</v>
      </c>
      <c r="BA498" s="431">
        <f t="shared" si="627"/>
        <v>21477.547059071996</v>
      </c>
      <c r="BB498" s="420">
        <f>(AM498*(1+$FB$9)+$FB$35)*(1+(INDEX(绊状态确认!$T:$T,MATCH($G498,绊状态确认!$B:$B,))+0.2)*AO498)*IF(J498=$FF$17,1+$FE$17,1)*IF(I498=$FF$14,1+$FE$14,1)*(1+$FE$15)</f>
        <v>10735.426838344001</v>
      </c>
      <c r="BC498" s="420">
        <f>(AN498*(1+$FB$10)+$FB$36)*(1+(INDEX(绊状态确认!$T:$T,MATCH($G498,绊状态确认!$B:$B,))+0.2)*AO498)*IF(J498=$FF$17,1+$FE$17,1)*IF(I498=$FF$14,1+$FE$14,1)*(1+$FE$15)</f>
        <v>12852.324632471998</v>
      </c>
      <c r="BD498" s="427">
        <f>MIN(AT498*0.15+BC498*0.00003+INDEX(绊状态确认!M:M,MATCH($G498,绊状态确认!$B:$B,)),1)</f>
        <v>0.41556973897416</v>
      </c>
      <c r="BE498" s="432">
        <f>(INDEX(绊状态确认!$N:$N,MATCH($G498,绊状态确认!$B:$B,))+1.5)</f>
        <v>1.9</v>
      </c>
      <c r="BF498" s="645">
        <f t="array" ref="BF498">SUMPRODUCT(IF(AZ498*AP498*$FI$16:$FI$23*$FA$22&gt;=$FI$24,$FI$24,AZ498*AP498*$FI$16:$FI$23*$FA$22),$FJ$16:$FJ$23)</f>
        <v>35599.034250411831</v>
      </c>
      <c r="BG498" s="453">
        <f t="array" ref="BG498">SUMPRODUCT(IF(BE498*AZ498*AP498*$FI$16:$FI$23*$FA$22&gt;=$FI$24,$FI$24,BE498*AZ498*AP498*$FI$16:$FI$23*$FA$22),$FJ$16:$FJ$23)</f>
        <v>59051.987757480798</v>
      </c>
      <c r="BH498" s="433">
        <f t="shared" si="628"/>
        <v>15115.1240058392</v>
      </c>
      <c r="BI498" s="434">
        <f>IF(O498="vo",$EW$26/$EW$24*0.05,0)+IF(O498="sk",-$EW$26/$EW$24*(0.05-INDEX(绊状态确认!W:W,MATCH($G498,绊状态确认!$B:$B,)))+0.05*$EW$28,0)+IF(O498="sp",0.05*$EW$32*$EW$30*(1-$EW$33)-(0.05-INDEX(绊状态确认!V:V,MATCH($G498,绊状态确认!$B:$B,)))*$EW$28,0)+IF(O498="gd",-(0.05-INDEX(绊状态确认!X:X,MATCH($G498,绊状态确认!$B:$B,)))*$EW$32*$EW$30*(1-$EW$33),0)</f>
        <v>7726.3029277443748</v>
      </c>
      <c r="BJ498" s="420">
        <f>IF(O498="vo",0.05*(1-$FI$26)*$FA$24,0)+IF(O498="sk",-(0.05-INDEX(绊状态确认!W:W,MATCH($G498,绊状态确认!$B:$B,)))*(1-$FI$26)*$FA$24+0.05*$FA$26,0)+IF(O498="sp",0.05*$FA$32*$FA$27*(1-$FA$33)/$FA$30+0.05*$FA$29/$FA$69*$FA$27*(1-$FA$33)-(0.05-INDEX(绊状态确认!V:V,MATCH($G498,绊状态确认!$B:$B,)))*$FA$26,0)+IF(O498="gd",-(0.05-INDEX(绊状态确认!X:X,MATCH($G498,绊状态确认!$B:$B,)))*$FA$32*$FA$27*(1-$FA$33)/$FA$30-(0.05-INDEX(绊状态确认!X:X,MATCH($G498,绊状态确认!$B:$B,)))*$FA$29/$FA$69*$FA$27*(1-$FA$33),0)</f>
        <v>393.93433687500004</v>
      </c>
      <c r="BK498" s="433">
        <f>IF(O498="vo",$EW$26/$EW$24*0.05+$EW$26*(-HP($EW$62,$EW$65,$EW$64)+HP($EW$62,$EW$65,(1.05-INDEX(绊状态确认!U:U,MATCH($G498,绊状态确认!$B:$B,)))*$EW$64)),0)+IF(O498="sk",-$EW$26/$EW$24*(0.05-INDEX(绊状态确认!W:W,MATCH($G498,绊状态确认!$B:$B,)))+0.05*$EW$29,0)+IF(O498="sp",0.05*$EW$32*$EW$30*(1-$EW$33)-(0.05-INDEX(绊状态确认!V:V,MATCH($G498,绊状态确认!$B:$B,)))*$EW$29,0)+IF(O498="gd",-(0.05-INDEX(绊状态确认!X:X,MATCH($G498,绊状态确认!$B:$B,)))*$EW$32*$EW$30*(1-$EW$33)+$EW$26*(-HP($EW$62,$EW$65,$EW$64)+HP($EW$62,$EW$65,0.95*$EW$64)),0)</f>
        <v>6421.6344775026746</v>
      </c>
      <c r="BL498" s="434">
        <f t="shared" si="629"/>
        <v>-1083.3333333333333</v>
      </c>
      <c r="BM498" s="433">
        <f t="shared" si="630"/>
        <v>-830.55555555555543</v>
      </c>
      <c r="BN498" s="437">
        <f t="shared" si="631"/>
        <v>3</v>
      </c>
      <c r="BO498" s="1108">
        <f t="shared" si="632"/>
        <v>4507.7214871259994</v>
      </c>
      <c r="BP498" s="1100">
        <f t="shared" si="633"/>
        <v>221.34103209030098</v>
      </c>
      <c r="BQ498" s="437" t="s">
        <v>132</v>
      </c>
      <c r="BR498" s="450" t="s">
        <v>168</v>
      </c>
      <c r="BS498" s="421">
        <f>IF($P498="","N/A",IF($P498=-1,INDEX('卡片raw data'!AX:AX,MATCH($D498,'卡片raw data'!$F:$F,)),0)+IF($L498="party卡",IF($P498=5,INDEX('卡片raw data'!BD:BD,MATCH($D498,'卡片raw data'!$F:$F,)),IF($P498&gt;=3,INDEX('卡片raw data'!BC:BC,MATCH($D498,'卡片raw data'!$F:$F,)),INDEX('卡片raw data'!BB:BB,MATCH($D498,'卡片raw data'!$F:$F,)))),IF(OR(AND($F498="UR",$P498=0),AND($F498="SR",$P498&gt;=0,$P498&lt;=2),AND($F498="R",$P498&gt;=0,$P498&lt;4)),INDEX('卡片raw data'!AZ:AZ,MATCH($D498,'卡片raw data'!$F:$F,)),0)+IF(OR(AND($F498="UR",$P498&gt;=1,$P498&lt;=4),AND($F498="SR",$P498&lt;=4,$P498&gt;=3),AND($F498="R",$P498=4)),INDEX('卡片raw data'!BA:BA,MATCH($D498,'卡片raw data'!$F:$F,)),0)+IF($P498=5,INDEX('卡片raw data'!BB:BB,MATCH($D498,'卡片raw data'!$F:$F,)),0)))</f>
        <v>0.05</v>
      </c>
      <c r="BT498" s="424">
        <f t="shared" si="634"/>
        <v>3756.4345726050001</v>
      </c>
      <c r="BU498" s="420">
        <f t="shared" si="635"/>
        <v>184.45086007525089</v>
      </c>
      <c r="BV498" s="420">
        <f t="shared" si="636"/>
        <v>0</v>
      </c>
      <c r="BW498" s="436">
        <f t="shared" si="637"/>
        <v>0</v>
      </c>
      <c r="BX498" s="423">
        <f t="shared" si="638"/>
        <v>3756.4345726050001</v>
      </c>
      <c r="BY498" s="433">
        <f t="shared" si="639"/>
        <v>0</v>
      </c>
      <c r="BZ498" s="1113" t="s">
        <v>569</v>
      </c>
      <c r="CA498" s="450"/>
      <c r="CB498" s="421">
        <f>IF($P498="","N/A",IF($P498=-1,INDEX('卡片raw data'!BE:BE,MATCH($D498,'卡片raw data'!$F:$F,)),0)+IF($L498="party卡",IF($P498=5,INDEX('卡片raw data'!BK:BK,MATCH($D498,'卡片raw data'!$F:$F,)),IF($P498&gt;=3,INDEX('卡片raw data'!BJ:BJ,MATCH($D498,'卡片raw data'!$F:$F,)),INDEX('卡片raw data'!BI:BI,MATCH($D498,'卡片raw data'!$F:$F,)))),IF(OR(AND($F498="UR",$P498=0),AND($F498="SR",$P498&gt;=0,$P498&lt;=2),AND($F498="R",$P498&gt;=0,$P498&lt;4)),INDEX('卡片raw data'!BG:BG,MATCH($D498,'卡片raw data'!$F:$F,)),0)+IF(OR(AND($F498="UR",$P498&gt;=1,$P498&lt;=4),AND($F498="SR",$P498&lt;=4,$P498&gt;=3),AND($F498="R",$P498=4)),INDEX('卡片raw data'!BH:BH,MATCH($D498,'卡片raw data'!$F:$F,)),0)+IF($P498=5,INDEX('卡片raw data'!BI:BI,MATCH($D498,'卡片raw data'!$F:$F,)),0)))</f>
        <v>0</v>
      </c>
      <c r="CC498" s="424">
        <f t="shared" si="640"/>
        <v>0</v>
      </c>
      <c r="CD498" s="420">
        <f>IF(BZ498="ap",CB498*(1-$FI$26)*$FB$5/$FB$11*(+IF(CA498="全员",$FA$24,0)+IF(CA498="同作战",$FA$24,0)+IF(CA498="仲间",$FA$24*2/3,0)+IF(CA498="同属性",$FA$24*$FA$37/3,0)+IF(CA498="同年级",$FA$24*$FA$40/3,0)+IF(CA498="同学校",$FA$24*$FA$43/3,0)+IF(CA498="同小队",$FA$24*$FA$46/3,0)+IF(CA498="同type",$FA$24*INDEX($FB$49:$FB$52,MATCH(X498,$FA$49:$FA$52,))/3,0)+IF(CA498="自身",#REF!/3,0)),0)+IF(BZ498="te",CB498*(1-$FI$27)*($FA$20-1)*$FB$7/$FB$13*(+IF(CA498="全员",$FA$19*$FA$24/(1+($FA$20-1)*$FA$19),0)+IF(CA498="同作战",$FA$19*$FA$24/(1+($FA$20-1)*$FA$19),0)+IF(CA498="仲间",$FA$19*$FA$24*2/3/(1+($FA$20-1)*$FA$19),0)+IF(CA498="同属性",$FA$19*$FA$24*$FA$37/3/(1+($FA$20-1)*$FA$19),0)+IF(CA498="同年级",$FA$19*$FA$24*$FA$40/3/(1+($FA$20-1)*$FA$19),0)+IF(CA498="同学校",$FA$19*$FA$24*$FA$43/3/(1+($FA$20-1)*$FA$19),0)+IF(CA498="同小队",$FA$19*$FA$24*$FA$46/3/(1+($FA$20-1)*$FA$19),0)+IF(CA498="同type",$FA$19*$FA$24*INDEX($FB$49:$FB$52,MATCH(X498,$FA$49:$FA$52,))/3/(1+($FA$20-1)*$FA$19),0)+IF(CA498="自身",$FA$19*#REF!/3/(1+(BH498-1)*$BD498),0)),0)</f>
        <v>0</v>
      </c>
      <c r="CE498" s="420">
        <f t="shared" si="641"/>
        <v>0</v>
      </c>
      <c r="CF498" s="436">
        <f t="shared" si="642"/>
        <v>0</v>
      </c>
      <c r="CG498" s="423">
        <f t="shared" si="643"/>
        <v>0</v>
      </c>
      <c r="CH498" s="433">
        <f t="shared" si="644"/>
        <v>0</v>
      </c>
      <c r="CI498" s="437" t="s">
        <v>164</v>
      </c>
      <c r="CJ498" s="438">
        <v>1</v>
      </c>
      <c r="CK498" s="439" t="s">
        <v>2046</v>
      </c>
      <c r="CL498" s="439" t="s">
        <v>1940</v>
      </c>
      <c r="CM498" s="443">
        <v>7.5999999999999998E-2</v>
      </c>
      <c r="CN498" s="439"/>
      <c r="CO498" s="1115"/>
      <c r="CP498" s="1116">
        <f t="shared" si="645"/>
        <v>50.479888551010283</v>
      </c>
      <c r="CQ498" s="1116">
        <f t="shared" si="646"/>
        <v>70.732721647877099</v>
      </c>
      <c r="CR498" s="1117">
        <f t="shared" si="647"/>
        <v>50.479888551010283</v>
      </c>
      <c r="CS498" s="442">
        <f t="shared" si="648"/>
        <v>0</v>
      </c>
      <c r="CT498" s="432">
        <f t="shared" si="649"/>
        <v>0</v>
      </c>
      <c r="CU498" s="1101">
        <f t="shared" si="650"/>
        <v>55.527877406111315</v>
      </c>
      <c r="CV498" s="1108">
        <f t="shared" si="685"/>
        <v>70.732721647877099</v>
      </c>
      <c r="CW498" s="420">
        <f t="shared" si="651"/>
        <v>55.527877406111315</v>
      </c>
      <c r="CX498" s="420">
        <f t="shared" si="652"/>
        <v>55.527877406111315</v>
      </c>
      <c r="CY498" s="433">
        <f t="shared" si="653"/>
        <v>55.527877406111315</v>
      </c>
      <c r="CZ498" s="437"/>
      <c r="DA498" s="438"/>
      <c r="DB498" s="439" t="s">
        <v>569</v>
      </c>
      <c r="DC498" s="439"/>
      <c r="DD498" s="443"/>
      <c r="DE498" s="411"/>
      <c r="DF498" s="411"/>
      <c r="DG498" s="1116">
        <f t="shared" si="654"/>
        <v>0</v>
      </c>
      <c r="DH498" s="1116">
        <f t="shared" si="655"/>
        <v>0</v>
      </c>
      <c r="DI498" s="1116">
        <f t="shared" si="656"/>
        <v>0</v>
      </c>
      <c r="DJ498" s="442">
        <f t="shared" si="657"/>
        <v>0</v>
      </c>
      <c r="DK498" s="432">
        <f t="shared" si="658"/>
        <v>0</v>
      </c>
      <c r="DL498" s="424">
        <f t="shared" si="659"/>
        <v>0</v>
      </c>
      <c r="DM498" s="420">
        <f t="shared" si="660"/>
        <v>0</v>
      </c>
      <c r="DN498" s="420">
        <f t="shared" si="661"/>
        <v>0</v>
      </c>
      <c r="DO498" s="420">
        <f t="shared" si="662"/>
        <v>0</v>
      </c>
      <c r="DP498" s="433">
        <f t="shared" si="663"/>
        <v>0</v>
      </c>
      <c r="DQ498" s="437" t="s">
        <v>167</v>
      </c>
      <c r="DR498" s="1120">
        <f t="shared" si="664"/>
        <v>0.3</v>
      </c>
      <c r="DS498" s="450">
        <v>5</v>
      </c>
      <c r="DT498" s="1093" t="s">
        <v>2127</v>
      </c>
      <c r="DU498" s="1093" t="s">
        <v>544</v>
      </c>
      <c r="DV498" s="1098">
        <f>IF($P498="","N/A",IF(P498=-1,INDEX('卡片raw data'!AN:AN,MATCH(D498,'卡片raw data'!$F:$F,)),0)+IF(AND(L498&lt;&gt;"party卡",P498&lt;=2,P498&gt;=0),INDEX('卡片raw data'!AP:AP,MATCH(D498,'卡片raw data'!$F:$F,)),0)+IF(OR(AND(L498="party卡",P498&lt;=1),AND(P498&lt;=4,L498&lt;&gt;"party卡",P498&gt;=3)),INDEX('卡片raw data'!AQ:AQ,MATCH(D498,'卡片raw data'!$F:$F,)),0)+IF(OR(P498=5,AND(L498="party卡",P498&gt;=2)),INDEX('卡片raw data'!AR:AR,MATCH(D498,'卡片raw data'!$F:$F,)),0))</f>
        <v>0.06</v>
      </c>
      <c r="DW498" s="1098">
        <f t="shared" si="665"/>
        <v>0.3</v>
      </c>
      <c r="DX498" s="1098">
        <f t="shared" si="666"/>
        <v>0.3</v>
      </c>
      <c r="DY498" s="1098">
        <f t="shared" si="667"/>
        <v>2.9999999999999995E-2</v>
      </c>
      <c r="DZ498" s="1098">
        <f t="shared" si="668"/>
        <v>2.5949999999999997E-2</v>
      </c>
      <c r="EA498" s="421">
        <f t="shared" si="669"/>
        <v>0</v>
      </c>
      <c r="EB498" s="445">
        <f t="shared" si="670"/>
        <v>0</v>
      </c>
      <c r="EC498" s="424">
        <f t="shared" si="671"/>
        <v>4079.4879458490295</v>
      </c>
      <c r="ED498" s="420">
        <f t="shared" si="672"/>
        <v>170.3766006984375</v>
      </c>
      <c r="EE498" s="433">
        <f t="shared" si="683"/>
        <v>4079.4879458490295</v>
      </c>
      <c r="EF498" s="1115" t="s">
        <v>569</v>
      </c>
      <c r="EG498" s="1120">
        <f t="shared" si="673"/>
        <v>0.3</v>
      </c>
      <c r="EH498" s="450"/>
      <c r="EI498" s="1093"/>
      <c r="EJ498" s="1093"/>
      <c r="EK498" s="420">
        <f>IF($P498="","N/A",IF(P498=-1,INDEX('卡片raw data'!AS:AS,MATCH(D498,'卡片raw data'!$F:$F,)),0)+IF(AND(L498&lt;&gt;"party卡",P498&lt;=2,P498&gt;=0),INDEX('卡片raw data'!AU:AU,MATCH(D498,'卡片raw data'!$F:$F,)),0)+IF(OR(AND(L498="party卡",P498&lt;=1),AND(P498&lt;=4,L498&lt;&gt;"party卡",P498&gt;=3)),INDEX('卡片raw data'!AV:AV,MATCH(D498,'卡片raw data'!$F:$F,)),0)+IF(OR(P498=5,AND(L498="party卡",P498&gt;=2)),INDEX('卡片raw data'!AW:AW,MATCH(D498,'卡片raw data'!$F:$F,)),0))</f>
        <v>0</v>
      </c>
      <c r="EL498" s="1098">
        <f t="shared" si="674"/>
        <v>0.3</v>
      </c>
      <c r="EM498" s="1098">
        <f t="shared" si="675"/>
        <v>0.3</v>
      </c>
      <c r="EN498" s="1097">
        <f t="shared" si="676"/>
        <v>0</v>
      </c>
      <c r="EO498" s="1097">
        <f t="shared" si="677"/>
        <v>0</v>
      </c>
      <c r="EP498" s="421">
        <f t="shared" si="678"/>
        <v>0</v>
      </c>
      <c r="EQ498" s="445">
        <f t="shared" si="679"/>
        <v>0</v>
      </c>
      <c r="ER498" s="424">
        <f t="shared" si="680"/>
        <v>0</v>
      </c>
      <c r="ES498" s="420">
        <f t="shared" si="681"/>
        <v>0</v>
      </c>
      <c r="ET498" s="446">
        <f t="shared" si="684"/>
        <v>0</v>
      </c>
    </row>
    <row r="499" spans="2:150" ht="16.5" customHeight="1">
      <c r="B499" s="1123" t="str">
        <f>INDEX('卡片raw data'!B:B,MATCH($D499,'卡片raw data'!$F:$F,))</f>
        <v>prt菜</v>
      </c>
      <c r="C499" s="449" t="s">
        <v>2051</v>
      </c>
      <c r="D499" s="408">
        <v>496</v>
      </c>
      <c r="E499" s="477">
        <v>302073002</v>
      </c>
      <c r="F499" s="409" t="str">
        <f>INDEX('卡片raw data'!C:C,MATCH($D499,'卡片raw data'!$F:$F,))</f>
        <v>UR</v>
      </c>
      <c r="G499" s="1094" t="s">
        <v>4139</v>
      </c>
      <c r="H499" s="411">
        <f>IFERROR(INDEX(绊状态确认!C:C,MATCH($G499,绊状态确认!$B:$B,)),"")</f>
        <v>207</v>
      </c>
      <c r="I499" s="1124" t="str">
        <f>IFERROR(INDEX(绊状态确认!D:D,MATCH($G499,绊状态确认!$B:$B,)),"")</f>
        <v>虹</v>
      </c>
      <c r="J499" s="1124" t="str">
        <f>IFERROR(INDEX(绊状态确认!E:E,MATCH($G499,绊状态确认!$B:$B,)),"")</f>
        <v>2年级</v>
      </c>
      <c r="K499" s="451" t="str">
        <f>IFERROR(INDEX(绊状态确认!F:F,MATCH($G499,绊状态确认!$B:$B,)),"")</f>
        <v>A·ZU·NA</v>
      </c>
      <c r="L499" s="414" t="str">
        <f>INDEX('卡片raw data'!E:E,MATCH($D499,'卡片raw data'!$F:$F,))</f>
        <v>party卡</v>
      </c>
      <c r="M499" s="478">
        <v>44391</v>
      </c>
      <c r="N499" s="479">
        <v>43.5</v>
      </c>
      <c r="O499" s="410" t="str">
        <f>INDEX('卡片raw data'!D:D,MATCH($D499,'卡片raw data'!$F:$F,))</f>
        <v>sk</v>
      </c>
      <c r="P499" s="1126">
        <v>5</v>
      </c>
      <c r="Q499" s="418">
        <f t="shared" si="600"/>
        <v>75316.965592919296</v>
      </c>
      <c r="R499" s="419">
        <f t="shared" si="601"/>
        <v>0.875</v>
      </c>
      <c r="S499" s="420">
        <f t="shared" si="602"/>
        <v>21218.594063650111</v>
      </c>
      <c r="T499" s="421">
        <f t="shared" si="603"/>
        <v>1.06</v>
      </c>
      <c r="U499" s="422">
        <f t="shared" si="604"/>
        <v>13.239143676942858</v>
      </c>
      <c r="V499" s="423">
        <f t="shared" si="605"/>
        <v>78375.81364120981</v>
      </c>
      <c r="W499" s="424">
        <f t="shared" si="606"/>
        <v>17705.64824750353</v>
      </c>
      <c r="X499" s="419">
        <f t="shared" si="607"/>
        <v>0.20499999999999999</v>
      </c>
      <c r="Y499" s="420">
        <f t="shared" si="608"/>
        <v>1058.8480482905179</v>
      </c>
      <c r="Z499" s="425">
        <f t="shared" si="609"/>
        <v>13.239143676942858</v>
      </c>
      <c r="AA499" s="426">
        <f t="shared" si="610"/>
        <v>18764.496295794048</v>
      </c>
      <c r="AB499" s="424">
        <f t="shared" si="611"/>
        <v>17705.64824750353</v>
      </c>
      <c r="AC499" s="427">
        <f t="shared" si="612"/>
        <v>0.20499999999999999</v>
      </c>
      <c r="AD499" s="428">
        <f t="shared" si="613"/>
        <v>2.1769318181818181E-2</v>
      </c>
      <c r="AE499" s="516">
        <f t="shared" si="614"/>
        <v>11.953757704745847</v>
      </c>
      <c r="AF499" s="1130">
        <f t="shared" si="615"/>
        <v>0</v>
      </c>
      <c r="AG499" s="420">
        <f t="shared" si="616"/>
        <v>0</v>
      </c>
      <c r="AH499" s="420">
        <f t="shared" si="617"/>
        <v>0</v>
      </c>
      <c r="AI499" s="1097">
        <f t="shared" si="618"/>
        <v>0</v>
      </c>
      <c r="AJ499" s="420">
        <f t="shared" si="619"/>
        <v>0</v>
      </c>
      <c r="AK499" s="518">
        <f t="shared" si="620"/>
        <v>0</v>
      </c>
      <c r="AL499" s="429">
        <f>IF($P499="","N/A",(IF($P499=-1,INDEX('卡片raw data'!S:S,MATCH($D499,'卡片raw data'!$F:$F,)),0)+IF($P499=0,INDEX('卡片raw data'!V:V,MATCH($D499,'卡片raw data'!$F:$F,)),0)+IF($P499=1,INDEX('卡片raw data'!Y:Y,MATCH($D499,'卡片raw data'!$F:$F,)),0)+IF($P499=2,INDEX('卡片raw data'!AB:AB,MATCH($D499,'卡片raw data'!$F:$F,)),0)+IF($P499=3,INDEX('卡片raw data'!AE:AE,MATCH($D499,'卡片raw data'!$F:$F,)),0)+IF($P499=4,INDEX('卡片raw data'!AH:AH,MATCH($D499,'卡片raw data'!$F:$F,)),0)+IF($P499=5,INDEX('卡片raw data'!AK:AK,MATCH($D499,'卡片raw data'!$F:$F,)),0)+INDEX('卡片raw data'!S:S,MATCH($D499,'卡片raw data'!$F:$F,))*(IF($F499="UR",0.04,0.033))*(IF($F499="UR",INDEX(绊状态确认!$S:$S,MATCH($G499,绊状态确认!$B:$B,))/2-40)+IF($F499="SR",INDEX(绊状态确认!$R:$R,MATCH($G499,绊状态确认!$B:$B,))/4-15))+IF($F499="R",INDEX(绊状态确认!$Q:$Q,MATCH($G499,绊状态确认!$B:$B,))/6-40/6)))*(INDEX(绊状态确认!$H:$H,MATCH($G499,绊状态确认!$B:$B,))+INDEX(绊状态确认!J:J,MATCH($G499,绊状态确认!$B:$B,)))</f>
        <v>14517.146351999998</v>
      </c>
      <c r="AM499" s="429">
        <f>IF($P499="","N/A",(IF($P499=-1,INDEX('卡片raw data'!T:T,MATCH($D499,'卡片raw data'!$F:$F,)),0)+IF($P499=0,INDEX('卡片raw data'!W:W,MATCH($D499,'卡片raw data'!$F:$F,)),0)+IF($P499=1,INDEX('卡片raw data'!Z:Z,MATCH($D499,'卡片raw data'!$F:$F,)),0)+IF($P499=2,INDEX('卡片raw data'!AC:AC,MATCH($D499,'卡片raw data'!$F:$F,)),0)+IF($P499=3,INDEX('卡片raw data'!AF:AF,MATCH($D499,'卡片raw data'!$F:$F,)),0)+IF($P499=4,INDEX('卡片raw data'!AI:AI,MATCH($D499,'卡片raw data'!$F:$F,)),0)+IF($P499=5,INDEX('卡片raw data'!AL:AL,MATCH($D499,'卡片raw data'!$F:$F,)),0)+INDEX('卡片raw data'!T:T,MATCH($D499,'卡片raw data'!$F:$F,))*(IF($F499="UR",0.04,0.033))*(IF($F499="UR",INDEX(绊状态确认!$S:$S,MATCH($G499,绊状态确认!$B:$B,))/2-40)+IF($F499="SR",INDEX(绊状态确认!$R:$R,MATCH($G499,绊状态确认!$B:$B,))/4-15))+IF($F499="R",INDEX(绊状态确认!$Q:$Q,MATCH($G499,绊状态确认!$B:$B,))/6-40/6)))*(INDEX(绊状态确认!$H:$H,MATCH($G499,绊状态确认!$B:$B,))+INDEX(绊状态确认!K:K,MATCH($G499,绊状态确认!$B:$B,)))</f>
        <v>7071.453551999999</v>
      </c>
      <c r="AN499" s="429">
        <f>IF($P499="","N/A",(IF($P499=-1,INDEX('卡片raw data'!U:U,MATCH($D499,'卡片raw data'!$F:$F,)),0)+IF($P499=0,INDEX('卡片raw data'!X:X,MATCH($D499,'卡片raw data'!$F:$F,)),0)+IF($P499=1,INDEX('卡片raw data'!AA:AA,MATCH($D499,'卡片raw data'!$F:$F,)),0)+IF($P499=2,INDEX('卡片raw data'!AD:AD,MATCH($D499,'卡片raw data'!$F:$F,)),0)+IF($P499=3,INDEX('卡片raw data'!AG:AG,MATCH($D499,'卡片raw data'!$F:$F,)),0)+IF($P499=4,INDEX('卡片raw data'!AJ:AJ,MATCH($D499,'卡片raw data'!$F:$F,)),0)+IF($P499=5,INDEX('卡片raw data'!AM:AM,MATCH($D499,'卡片raw data'!$F:$F,)),0)+INDEX('卡片raw data'!U:U,MATCH($D499,'卡片raw data'!$F:$F,))*(IF($F499="UR",0.04,0.033))*(IF($F499="UR",INDEX(绊状态确认!$S:$S,MATCH($G499,绊状态确认!$B:$B,))/2-40)+IF($F499="SR",INDEX(绊状态确认!$R:$R,MATCH($G499,绊状态确认!$B:$B,))/4-15))+IF($F499="R",INDEX(绊状态确认!$Q:$Q,MATCH($G499,绊状态确认!$B:$B,))/6-40/6)))*(INDEX(绊状态确认!$H:$H,MATCH($G499,绊状态确认!$B:$B,))+INDEX(绊状态确认!L:L,MATCH($G499,绊状态确认!$B:$B,)))</f>
        <v>15634.091183999997</v>
      </c>
      <c r="AO499" s="430">
        <f t="shared" si="621"/>
        <v>1</v>
      </c>
      <c r="AP499" s="556">
        <f>1+(INDEX(绊状态确认!$T:$T,MATCH($G499,绊状态确认!$B:$B,))+0.2)*$AO499</f>
        <v>1.3</v>
      </c>
      <c r="AQ499" s="431">
        <f t="shared" si="622"/>
        <v>41357.509173999999</v>
      </c>
      <c r="AR499" s="420">
        <f>(AM499*(1+$EX$9)+$EX$35)*(1+(INDEX(绊状态确认!$T:$T,MATCH($G499,绊状态确认!$B:$B,))+0.2)*AO499)*IF(J499=$FF$17,1+$FE$17,1)*IF(I499=$FF$14,1+$FE$14,1)</f>
        <v>12356.53409848</v>
      </c>
      <c r="AS499" s="420">
        <f>(AN499*(1+$EX$10)+$EX$36)*(1+(INDEX(绊状态确认!$T:$T,MATCH($G499,绊状态确认!$B:$B,))+0.2)*AO499)*IF(J499=$FF$17,1+$FE$17,1)*IF(I499=$FF$14,1+$FE$14,1)</f>
        <v>27428.966320079995</v>
      </c>
      <c r="AT499" s="412">
        <f>IF(AND(INDEX('卡片raw data'!AK:AK,MATCH($D499,'卡片raw data'!$F:$F,))&lt;INDEX('卡片raw data'!AM:AM,MATCH($D499,'卡片raw data'!$F:$F,)),INDEX('卡片raw data'!AL:AL,MATCH($D499,'卡片raw data'!$F:$F,))&lt;INDEX('卡片raw data'!AM:AM,MATCH($D499,'卡片raw data'!$F:$F,))),1,0)</f>
        <v>1</v>
      </c>
      <c r="AU499" s="421">
        <f>MIN(AT499*0.15+AS499*0.00003+INDEX(绊状态确认!M:M,MATCH($G499,绊状态确认!$B:$B,)),1)</f>
        <v>1</v>
      </c>
      <c r="AV499" s="432">
        <f>(INDEX(绊状态确认!$N:$N,MATCH($G499,绊状态确认!$B:$B,))+1.5)*$EW$21</f>
        <v>2.6599999999999997</v>
      </c>
      <c r="AW499" s="424">
        <f t="shared" si="623"/>
        <v>57133.834869734812</v>
      </c>
      <c r="AX499" s="420">
        <f t="shared" si="624"/>
        <v>1058.848048290515</v>
      </c>
      <c r="AY499" s="433">
        <f t="shared" si="625"/>
        <v>58192.682918025326</v>
      </c>
      <c r="AZ499" s="429">
        <f t="shared" si="626"/>
        <v>30908.435386399997</v>
      </c>
      <c r="BA499" s="431">
        <f t="shared" si="627"/>
        <v>37090.122463679996</v>
      </c>
      <c r="BB499" s="420">
        <f>(AM499*(1+$FB$9)+$FB$35)*(1+(INDEX(绊状态确认!$T:$T,MATCH($G499,绊状态确认!$B:$B,))+0.2)*AO499)*IF(J499=$FF$17,1+$FE$17,1)*IF(I499=$FF$14,1+$FE$14,1)*(1+$FE$15)</f>
        <v>12356.53409848</v>
      </c>
      <c r="BC499" s="420">
        <f>(AN499*(1+$FB$10)+$FB$36)*(1+(INDEX(绊状态确认!$T:$T,MATCH($G499,绊状态确认!$B:$B,))+0.2)*AO499)*IF(J499=$FF$17,1+$FE$17,1)*IF(I499=$FF$14,1+$FE$14,1)*(1+$FE$15)</f>
        <v>27428.966320079995</v>
      </c>
      <c r="BD499" s="427">
        <f>MIN(AT499*0.15+BC499*0.00003+INDEX(绊状态确认!M:M,MATCH($G499,绊状态确认!$B:$B,)),1)</f>
        <v>1</v>
      </c>
      <c r="BE499" s="432">
        <f>(INDEX(绊状态确认!$N:$N,MATCH($G499,绊状态确认!$B:$B,))+1.5)</f>
        <v>1.9</v>
      </c>
      <c r="BF499" s="645">
        <f t="array" ref="BF499">SUMPRODUCT(IF(AZ499*AP499*$FI$16:$FI$23*$FA$22&gt;=$FI$24,$FI$24,AZ499*AP499*$FI$16:$FI$23*$FA$22),$FJ$16:$FJ$23)</f>
        <v>57295.911981229598</v>
      </c>
      <c r="BG499" s="453">
        <f t="array" ref="BG499">SUMPRODUCT(IF(BE499*AZ499*AP499*$FI$16:$FI$23*$FA$22&gt;=$FI$24,$FI$24,BE499*AZ499*AP499*$FI$16:$FI$23*$FA$22),$FJ$16:$FJ$23)</f>
        <v>60000</v>
      </c>
      <c r="BH499" s="433">
        <f t="shared" si="628"/>
        <v>20000</v>
      </c>
      <c r="BI499" s="434">
        <f>IF(O499="vo",$EW$26/$EW$24*0.05,0)+IF(O499="sk",-$EW$26/$EW$24*(0.05-INDEX(绊状态确认!W:W,MATCH($G499,绊状态确认!$B:$B,)))+0.05*$EW$28,0)+IF(O499="sp",0.05*$EW$32*$EW$30*(1-$EW$33)-(0.05-INDEX(绊状态确认!V:V,MATCH($G499,绊状态确认!$B:$B,)))*$EW$28,0)+IF(O499="gd",-(0.05-INDEX(绊状态确认!X:X,MATCH($G499,绊状态确认!$B:$B,)))*$EW$32*$EW$30*(1-$EW$33),0)</f>
        <v>-6253.6726349699375</v>
      </c>
      <c r="BJ499" s="420">
        <f>IF(O499="vo",0.05*(1-$FI$26)*$FA$24,0)+IF(O499="sk",-(0.05-INDEX(绊状态确认!W:W,MATCH($G499,绊状态确认!$B:$B,)))*(1-$FI$26)*$FA$24+0.05*$FA$26,0)+IF(O499="sp",0.05*$FA$32*$FA$27*(1-$FA$33)/$FA$30+0.05*$FA$29/$FA$69*$FA$27*(1-$FA$33)-(0.05-INDEX(绊状态确认!V:V,MATCH($G499,绊状态确认!$B:$B,)))*$FA$26,0)+IF(O499="gd",-(0.05-INDEX(绊状态确认!X:X,MATCH($G499,绊状态确认!$B:$B,)))*$FA$32*$FA$27*(1-$FA$33)/$FA$30-(0.05-INDEX(绊状态确认!X:X,MATCH($G499,绊状态确认!$B:$B,)))*$FA$29/$FA$69*$FA$27*(1-$FA$33),0)</f>
        <v>20.459096812499922</v>
      </c>
      <c r="BK499" s="433">
        <f>IF(O499="vo",$EW$26/$EW$24*0.05+$EW$26*(-HP($EW$62,$EW$65,$EW$64)+HP($EW$62,$EW$65,(1.05-INDEX(绊状态确认!U:U,MATCH($G499,绊状态确认!$B:$B,)))*$EW$64)),0)+IF(O499="sk",-$EW$26/$EW$24*(0.05-INDEX(绊状态确认!W:W,MATCH($G499,绊状态确认!$B:$B,)))+0.05*$EW$29,0)+IF(O499="sp",0.05*$EW$32*$EW$30*(1-$EW$33)-(0.05-INDEX(绊状态确认!V:V,MATCH($G499,绊状态确认!$B:$B,)))*$EW$29,0)+IF(O499="gd",-(0.05-INDEX(绊状态确认!X:X,MATCH($G499,绊状态确认!$B:$B,)))*$EW$32*$EW$30*(1-$EW$33)+$EW$26*(-HP($EW$62,$EW$65,$EW$64)+HP($EW$62,$EW$65,0.95*$EW$64)),0)</f>
        <v>-4253.6726349699375</v>
      </c>
      <c r="BL499" s="434">
        <f t="shared" si="629"/>
        <v>0</v>
      </c>
      <c r="BM499" s="433">
        <f t="shared" si="630"/>
        <v>0</v>
      </c>
      <c r="BN499" s="437">
        <f t="shared" si="631"/>
        <v>4</v>
      </c>
      <c r="BO499" s="1108">
        <f t="shared" si="632"/>
        <v>6010.2953161679998</v>
      </c>
      <c r="BP499" s="1100">
        <f t="shared" si="633"/>
        <v>295.12137612040135</v>
      </c>
      <c r="BQ499" s="1113" t="s">
        <v>1940</v>
      </c>
      <c r="BR499" s="1124" t="s">
        <v>1947</v>
      </c>
      <c r="BS499" s="421">
        <f>IF($P499="","N/A",IF($P499=-1,INDEX('卡片raw data'!AX:AX,MATCH($D499,'卡片raw data'!$F:$F,)),0)+IF($L499="party卡",IF($P499=5,INDEX('卡片raw data'!BD:BD,MATCH($D499,'卡片raw data'!$F:$F,)),IF($P499&gt;=3,INDEX('卡片raw data'!BC:BC,MATCH($D499,'卡片raw data'!$F:$F,)),INDEX('卡片raw data'!BB:BB,MATCH($D499,'卡片raw data'!$F:$F,)))),IF(OR(AND($F499="UR",$P499=0),AND($F499="SR",$P499&gt;=0,$P499&lt;=2),AND($F499="R",$P499&gt;=0,$P499&lt;4)),INDEX('卡片raw data'!AZ:AZ,MATCH($D499,'卡片raw data'!$F:$F,)),0)+IF(OR(AND($F499="UR",$P499&gt;=1,$P499&lt;=4),AND($F499="SR",$P499&lt;=4,$P499&gt;=3),AND($F499="R",$P499=4)),INDEX('卡片raw data'!BA:BA,MATCH($D499,'卡片raw data'!$F:$F,)),0)+IF($P499=5,INDEX('卡片raw data'!BB:BB,MATCH($D499,'卡片raw data'!$F:$F,)),0)))</f>
        <v>5.1999999999999998E-2</v>
      </c>
      <c r="BT499" s="424">
        <f t="shared" si="634"/>
        <v>3906.6919555091999</v>
      </c>
      <c r="BU499" s="420">
        <f t="shared" si="635"/>
        <v>191.82889447826088</v>
      </c>
      <c r="BV499" s="420">
        <f t="shared" si="636"/>
        <v>3906.6919555091999</v>
      </c>
      <c r="BW499" s="436">
        <f t="shared" si="637"/>
        <v>0</v>
      </c>
      <c r="BX499" s="423">
        <f t="shared" si="638"/>
        <v>3906.6919555091999</v>
      </c>
      <c r="BY499" s="433">
        <f t="shared" si="639"/>
        <v>3906.6919555091999</v>
      </c>
      <c r="BZ499" s="1113" t="s">
        <v>134</v>
      </c>
      <c r="CA499" s="1124" t="s">
        <v>161</v>
      </c>
      <c r="CB499" s="421">
        <f>IF($P499="","N/A",IF($P499=-1,INDEX('卡片raw data'!BE:BE,MATCH($D499,'卡片raw data'!$F:$F,)),0)+IF($L499="party卡",IF($P499=5,INDEX('卡片raw data'!BK:BK,MATCH($D499,'卡片raw data'!$F:$F,)),IF($P499&gt;=3,INDEX('卡片raw data'!BJ:BJ,MATCH($D499,'卡片raw data'!$F:$F,)),INDEX('卡片raw data'!BI:BI,MATCH($D499,'卡片raw data'!$F:$F,)))),IF(OR(AND($F499="UR",$P499=0),AND($F499="SR",$P499&gt;=0,$P499&lt;=2),AND($F499="R",$P499&gt;=0,$P499&lt;4)),INDEX('卡片raw data'!BG:BG,MATCH($D499,'卡片raw data'!$F:$F,)),0)+IF(OR(AND($F499="UR",$P499&gt;=1,$P499&lt;=4),AND($F499="SR",$P499&lt;=4,$P499&gt;=3),AND($F499="R",$P499=4)),INDEX('卡片raw data'!BH:BH,MATCH($D499,'卡片raw data'!$F:$F,)),0)+IF($P499=5,INDEX('卡片raw data'!BI:BI,MATCH($D499,'卡片raw data'!$F:$F,)),0)))</f>
        <v>2.5999999999999999E-2</v>
      </c>
      <c r="CC499" s="424">
        <f t="shared" si="640"/>
        <v>1839.394753120235</v>
      </c>
      <c r="CD499" s="420">
        <f>IF(BZ499="ap",CB499*(1-$FI$26)*$FB$5/$FB$11*(+IF(CA499="全员",$FA$24,0)+IF(CA499="同作战",$FA$24,0)+IF(CA499="仲间",$FA$24*2/3,0)+IF(CA499="同属性",$FA$24*$FA$37/3,0)+IF(CA499="同年级",$FA$24*$FA$40/3,0)+IF(CA499="同学校",$FA$24*$FA$43/3,0)+IF(CA499="同小队",$FA$24*$FA$46/3,0)+IF(CA499="同type",$FA$24*INDEX($FB$49:$FB$52,MATCH(X499,$FA$49:$FA$52,))/3,0)+IF(CA499="自身",#REF!/3,0)),0)+IF(BZ499="te",CB499*(1-$FI$27)*($FA$20-1)*$FB$7/$FB$13*(+IF(CA499="全员",$FA$19*$FA$24/(1+($FA$20-1)*$FA$19),0)+IF(CA499="同作战",$FA$19*$FA$24/(1+($FA$20-1)*$FA$19),0)+IF(CA499="仲间",$FA$19*$FA$24*2/3/(1+($FA$20-1)*$FA$19),0)+IF(CA499="同属性",$FA$19*$FA$24*$FA$37/3/(1+($FA$20-1)*$FA$19),0)+IF(CA499="同年级",$FA$19*$FA$24*$FA$40/3/(1+($FA$20-1)*$FA$19),0)+IF(CA499="同学校",$FA$19*$FA$24*$FA$43/3/(1+($FA$20-1)*$FA$19),0)+IF(CA499="同小队",$FA$19*$FA$24*$FA$46/3/(1+($FA$20-1)*$FA$19),0)+IF(CA499="同type",$FA$19*$FA$24*INDEX($FB$49:$FB$52,MATCH(X499,$FA$49:$FA$52,))/3/(1+($FA$20-1)*$FA$19),0)+IF(CA499="自身",$FA$19*#REF!/3/(1+(BH499-1)*$BD499),0)),0)</f>
        <v>133.0493060266021</v>
      </c>
      <c r="CE499" s="420">
        <f t="shared" si="641"/>
        <v>1839.3947531202352</v>
      </c>
      <c r="CF499" s="436">
        <f t="shared" si="642"/>
        <v>0</v>
      </c>
      <c r="CG499" s="423">
        <f t="shared" si="643"/>
        <v>1839.394753120235</v>
      </c>
      <c r="CH499" s="433">
        <f t="shared" si="644"/>
        <v>1839.3947531202352</v>
      </c>
      <c r="CI499" s="437" t="s">
        <v>160</v>
      </c>
      <c r="CJ499" s="438">
        <v>0.5</v>
      </c>
      <c r="CK499" s="439" t="s">
        <v>167</v>
      </c>
      <c r="CL499" s="439" t="s">
        <v>161</v>
      </c>
      <c r="CM499" s="1119">
        <v>0.05</v>
      </c>
      <c r="CN499" s="1115" t="s">
        <v>4140</v>
      </c>
      <c r="CO499" s="1115">
        <v>1</v>
      </c>
      <c r="CP499" s="1118">
        <f t="shared" si="645"/>
        <v>4.3750095367431643E-2</v>
      </c>
      <c r="CQ499" s="1118">
        <f t="shared" si="646"/>
        <v>4.5238097508748375E-2</v>
      </c>
      <c r="CR499" s="1118">
        <f t="shared" si="647"/>
        <v>4.3750095367431643E-2</v>
      </c>
      <c r="CS499" s="1118">
        <f t="shared" si="648"/>
        <v>0</v>
      </c>
      <c r="CT499" s="1109">
        <f t="shared" si="649"/>
        <v>0</v>
      </c>
      <c r="CU499" s="1101">
        <f t="shared" si="650"/>
        <v>5949.2662227060955</v>
      </c>
      <c r="CV499" s="1108">
        <f t="shared" si="685"/>
        <v>297.01399905992304</v>
      </c>
      <c r="CW499" s="1097">
        <f t="shared" si="651"/>
        <v>5949.2662227060955</v>
      </c>
      <c r="CX499" s="1097">
        <f t="shared" si="652"/>
        <v>5949.2662227060955</v>
      </c>
      <c r="CY499" s="1110">
        <f t="shared" si="653"/>
        <v>5949.2662227060955</v>
      </c>
      <c r="CZ499" s="437"/>
      <c r="DA499" s="438"/>
      <c r="DB499" s="439" t="s">
        <v>569</v>
      </c>
      <c r="DC499" s="439"/>
      <c r="DD499" s="443"/>
      <c r="DE499" s="411"/>
      <c r="DF499" s="411"/>
      <c r="DG499" s="1116">
        <f t="shared" si="654"/>
        <v>0</v>
      </c>
      <c r="DH499" s="1116">
        <f t="shared" si="655"/>
        <v>0</v>
      </c>
      <c r="DI499" s="1116">
        <f t="shared" si="656"/>
        <v>0</v>
      </c>
      <c r="DJ499" s="442">
        <f t="shared" si="657"/>
        <v>0</v>
      </c>
      <c r="DK499" s="432">
        <f t="shared" si="658"/>
        <v>0</v>
      </c>
      <c r="DL499" s="424">
        <f t="shared" si="659"/>
        <v>0</v>
      </c>
      <c r="DM499" s="420">
        <f t="shared" si="660"/>
        <v>0</v>
      </c>
      <c r="DN499" s="420">
        <f t="shared" si="661"/>
        <v>0</v>
      </c>
      <c r="DO499" s="420">
        <f t="shared" si="662"/>
        <v>0</v>
      </c>
      <c r="DP499" s="433">
        <f t="shared" si="663"/>
        <v>0</v>
      </c>
      <c r="DQ499" s="1113" t="s">
        <v>167</v>
      </c>
      <c r="DR499" s="1120">
        <f t="shared" si="664"/>
        <v>0.33</v>
      </c>
      <c r="DS499" s="1124">
        <v>5</v>
      </c>
      <c r="DT499" s="1093" t="s">
        <v>2127</v>
      </c>
      <c r="DU499" s="1093" t="s">
        <v>544</v>
      </c>
      <c r="DV499" s="1098">
        <f>IF($P499="","N/A",IF(P499=-1,INDEX('卡片raw data'!AN:AN,MATCH(D499,'卡片raw data'!$F:$F,)),0)+IF(AND(L499&lt;&gt;"party卡",P499&lt;=2,P499&gt;=0),INDEX('卡片raw data'!AP:AP,MATCH(D499,'卡片raw data'!$F:$F,)),0)+IF(OR(AND(L499="party卡",P499&lt;=1),AND(P499&lt;=4,L499&lt;&gt;"party卡",P499&gt;=3)),INDEX('卡片raw data'!AQ:AQ,MATCH(D499,'卡片raw data'!$F:$F,)),0)+IF(OR(P499=5,AND(L499="party卡",P499&gt;=2)),INDEX('卡片raw data'!AR:AR,MATCH(D499,'卡片raw data'!$F:$F,)),0))</f>
        <v>0.09</v>
      </c>
      <c r="DW499" s="1098">
        <f t="shared" si="665"/>
        <v>0.33</v>
      </c>
      <c r="DX499" s="1098">
        <f t="shared" si="666"/>
        <v>0.33</v>
      </c>
      <c r="DY499" s="1098">
        <f t="shared" si="667"/>
        <v>4.9500000000000002E-2</v>
      </c>
      <c r="DZ499" s="1098">
        <f t="shared" si="668"/>
        <v>4.2817500000000001E-2</v>
      </c>
      <c r="EA499" s="421">
        <f t="shared" si="669"/>
        <v>0</v>
      </c>
      <c r="EB499" s="445">
        <f t="shared" si="670"/>
        <v>0</v>
      </c>
      <c r="EC499" s="424">
        <f t="shared" si="671"/>
        <v>6731.1551106509005</v>
      </c>
      <c r="ED499" s="420">
        <f t="shared" si="672"/>
        <v>281.12139115242189</v>
      </c>
      <c r="EE499" s="433">
        <f t="shared" si="683"/>
        <v>6731.1551106509005</v>
      </c>
      <c r="EF499" s="1115" t="s">
        <v>569</v>
      </c>
      <c r="EG499" s="1120">
        <f t="shared" si="673"/>
        <v>0.33</v>
      </c>
      <c r="EH499" s="1124"/>
      <c r="EI499" s="1093"/>
      <c r="EJ499" s="1093"/>
      <c r="EK499" s="420">
        <f>IF($P499="","N/A",IF(P499=-1,INDEX('卡片raw data'!AS:AS,MATCH(D499,'卡片raw data'!$F:$F,)),0)+IF(AND(L499&lt;&gt;"party卡",P499&lt;=2,P499&gt;=0),INDEX('卡片raw data'!AU:AU,MATCH(D499,'卡片raw data'!$F:$F,)),0)+IF(OR(AND(L499="party卡",P499&lt;=1),AND(P499&lt;=4,L499&lt;&gt;"party卡",P499&gt;=3)),INDEX('卡片raw data'!AV:AV,MATCH(D499,'卡片raw data'!$F:$F,)),0)+IF(OR(P499=5,AND(L499="party卡",P499&gt;=2)),INDEX('卡片raw data'!AW:AW,MATCH(D499,'卡片raw data'!$F:$F,)),0))</f>
        <v>0</v>
      </c>
      <c r="EL499" s="1098">
        <f t="shared" si="674"/>
        <v>0.33</v>
      </c>
      <c r="EM499" s="1098">
        <f t="shared" si="675"/>
        <v>0.33</v>
      </c>
      <c r="EN499" s="1097">
        <f t="shared" si="676"/>
        <v>0</v>
      </c>
      <c r="EO499" s="1097">
        <f t="shared" si="677"/>
        <v>0</v>
      </c>
      <c r="EP499" s="421">
        <f t="shared" si="678"/>
        <v>0</v>
      </c>
      <c r="EQ499" s="445">
        <f t="shared" si="679"/>
        <v>0</v>
      </c>
      <c r="ER499" s="424">
        <f t="shared" si="680"/>
        <v>0</v>
      </c>
      <c r="ES499" s="420">
        <f t="shared" si="681"/>
        <v>0</v>
      </c>
      <c r="ET499" s="446">
        <f t="shared" si="684"/>
        <v>0</v>
      </c>
    </row>
    <row r="500" spans="2:150" ht="16.5" customHeight="1">
      <c r="B500" s="448" t="str">
        <f>INDEX('卡片raw data'!B:B,MATCH($D500,'卡片raw data'!$F:$F,))</f>
        <v>未熟鞠</v>
      </c>
      <c r="C500" s="449" t="s">
        <v>4142</v>
      </c>
      <c r="D500" s="408">
        <v>497</v>
      </c>
      <c r="E500" s="477">
        <v>301082003</v>
      </c>
      <c r="F500" s="409" t="str">
        <f>INDEX('卡片raw data'!C:C,MATCH($D500,'卡片raw data'!$F:$F,))</f>
        <v>SR</v>
      </c>
      <c r="G500" s="1094" t="s">
        <v>4143</v>
      </c>
      <c r="H500" s="411">
        <f>IFERROR(INDEX(绊状态确认!C:C,MATCH($G500,绊状态确认!$B:$B,)),"")</f>
        <v>108</v>
      </c>
      <c r="I500" s="450" t="str">
        <f>IFERROR(INDEX(绊状态确认!D:D,MATCH($G500,绊状态确认!$B:$B,)),"")</f>
        <v>水</v>
      </c>
      <c r="J500" s="450" t="str">
        <f>IFERROR(INDEX(绊状态确认!E:E,MATCH($G500,绊状态确认!$B:$B,)),"")</f>
        <v>3年级</v>
      </c>
      <c r="K500" s="451" t="str">
        <f>IFERROR(INDEX(绊状态确认!F:F,MATCH($G500,绊状态确认!$B:$B,)),"")</f>
        <v>Guilty Kiss</v>
      </c>
      <c r="L500" s="414" t="str">
        <f>INDEX('卡片raw data'!E:E,MATCH($D500,'卡片raw data'!$F:$F,))</f>
        <v>卡池卡</v>
      </c>
      <c r="M500" s="478">
        <v>44391</v>
      </c>
      <c r="N500" s="479">
        <v>43.5</v>
      </c>
      <c r="O500" s="410" t="str">
        <f>INDEX('卡片raw data'!D:D,MATCH($D500,'卡片raw data'!$F:$F,))</f>
        <v>sk</v>
      </c>
      <c r="P500" s="1126">
        <v>5</v>
      </c>
      <c r="Q500" s="418">
        <f t="shared" si="600"/>
        <v>28840.398566657612</v>
      </c>
      <c r="R500" s="419">
        <f t="shared" si="601"/>
        <v>0.33500000000000002</v>
      </c>
      <c r="S500" s="420">
        <f t="shared" si="602"/>
        <v>15549.4517089494</v>
      </c>
      <c r="T500" s="421">
        <f t="shared" si="603"/>
        <v>0.77700000000000002</v>
      </c>
      <c r="U500" s="422">
        <f t="shared" si="604"/>
        <v>14.072396476542858</v>
      </c>
      <c r="V500" s="423">
        <f t="shared" si="605"/>
        <v>31967.818953509235</v>
      </c>
      <c r="W500" s="424">
        <f t="shared" si="606"/>
        <v>5047.0565276649368</v>
      </c>
      <c r="X500" s="419">
        <f t="shared" si="607"/>
        <v>5.8000000000000003E-2</v>
      </c>
      <c r="Y500" s="420">
        <f t="shared" si="608"/>
        <v>1127.4203868516233</v>
      </c>
      <c r="Z500" s="425">
        <f t="shared" si="609"/>
        <v>14.072396476542858</v>
      </c>
      <c r="AA500" s="426">
        <f t="shared" si="610"/>
        <v>6174.4769145165601</v>
      </c>
      <c r="AB500" s="424">
        <f t="shared" si="611"/>
        <v>8803.4911002699373</v>
      </c>
      <c r="AC500" s="427">
        <f t="shared" si="612"/>
        <v>0.10199999999999999</v>
      </c>
      <c r="AD500" s="428">
        <f t="shared" si="613"/>
        <v>1.8994224431818179E-2</v>
      </c>
      <c r="AE500" s="516">
        <f t="shared" si="614"/>
        <v>4.3537577047458456</v>
      </c>
      <c r="AF500" s="1130">
        <f t="shared" si="615"/>
        <v>0</v>
      </c>
      <c r="AG500" s="420">
        <f t="shared" si="616"/>
        <v>0</v>
      </c>
      <c r="AH500" s="420">
        <f t="shared" si="617"/>
        <v>0</v>
      </c>
      <c r="AI500" s="1097">
        <f t="shared" si="618"/>
        <v>0</v>
      </c>
      <c r="AJ500" s="420">
        <f t="shared" si="619"/>
        <v>0</v>
      </c>
      <c r="AK500" s="518">
        <f t="shared" si="620"/>
        <v>0</v>
      </c>
      <c r="AL500" s="1106">
        <f>IF($P500="","N/A",(IF($P500=-1,INDEX('卡片raw data'!S:S,MATCH($D500,'卡片raw data'!$F:$F,)),0)+IF($P500=0,INDEX('卡片raw data'!V:V,MATCH($D500,'卡片raw data'!$F:$F,)),0)+IF($P500=1,INDEX('卡片raw data'!Y:Y,MATCH($D500,'卡片raw data'!$F:$F,)),0)+IF($P500=2,INDEX('卡片raw data'!AB:AB,MATCH($D500,'卡片raw data'!$F:$F,)),0)+IF($P500=3,INDEX('卡片raw data'!AE:AE,MATCH($D500,'卡片raw data'!$F:$F,)),0)+IF($P500=4,INDEX('卡片raw data'!AH:AH,MATCH($D500,'卡片raw data'!$F:$F,)),0)+IF($P500=5,INDEX('卡片raw data'!AK:AK,MATCH($D500,'卡片raw data'!$F:$F,)),0)+INDEX('卡片raw data'!S:S,MATCH($D500,'卡片raw data'!$F:$F,))*(IF($F500="UR",0.04,0.033))*(IF($F500="UR",INDEX(绊状态确认!$S:$S,MATCH($G500,绊状态确认!$B:$B,))/2-40)+IF($F500="SR",INDEX(绊状态确认!$R:$R,MATCH($G500,绊状态确认!$B:$B,))/4-15))+IF($F500="R",INDEX(绊状态确认!$Q:$Q,MATCH($G500,绊状态确认!$B:$B,))/6-40/6)))*(INDEX(绊状态确认!$H:$H,MATCH($G500,绊状态确认!$B:$B,))+INDEX(绊状态确认!J:J,MATCH($G500,绊状态确认!$B:$B,)))</f>
        <v>7872.904197599999</v>
      </c>
      <c r="AM500" s="1106">
        <f>IF($P500="","N/A",(IF($P500=-1,INDEX('卡片raw data'!T:T,MATCH($D500,'卡片raw data'!$F:$F,)),0)+IF($P500=0,INDEX('卡片raw data'!W:W,MATCH($D500,'卡片raw data'!$F:$F,)),0)+IF($P500=1,INDEX('卡片raw data'!Z:Z,MATCH($D500,'卡片raw data'!$F:$F,)),0)+IF($P500=2,INDEX('卡片raw data'!AC:AC,MATCH($D500,'卡片raw data'!$F:$F,)),0)+IF($P500=3,INDEX('卡片raw data'!AF:AF,MATCH($D500,'卡片raw data'!$F:$F,)),0)+IF($P500=4,INDEX('卡片raw data'!AI:AI,MATCH($D500,'卡片raw data'!$F:$F,)),0)+IF($P500=5,INDEX('卡片raw data'!AL:AL,MATCH($D500,'卡片raw data'!$F:$F,)),0)+INDEX('卡片raw data'!T:T,MATCH($D500,'卡片raw data'!$F:$F,))*(IF($F500="UR",0.04,0.033))*(IF($F500="UR",INDEX(绊状态确认!$S:$S,MATCH($G500,绊状态确认!$B:$B,))/2-40)+IF($F500="SR",INDEX(绊状态确认!$R:$R,MATCH($G500,绊状态确认!$B:$B,))/4-15))+IF($F500="R",INDEX(绊状态确认!$Q:$Q,MATCH($G500,绊状态确认!$B:$B,))/6-40/6)))*(INDEX(绊状态确认!$H:$H,MATCH($G500,绊状态确认!$B:$B,))+INDEX(绊状态确认!K:K,MATCH($G500,绊状态确认!$B:$B,)))</f>
        <v>7641.1990559999986</v>
      </c>
      <c r="AN500" s="1106">
        <f>IF($P500="","N/A",(IF($P500=-1,INDEX('卡片raw data'!U:U,MATCH($D500,'卡片raw data'!$F:$F,)),0)+IF($P500=0,INDEX('卡片raw data'!X:X,MATCH($D500,'卡片raw data'!$F:$F,)),0)+IF($P500=1,INDEX('卡片raw data'!AA:AA,MATCH($D500,'卡片raw data'!$F:$F,)),0)+IF($P500=2,INDEX('卡片raw data'!AD:AD,MATCH($D500,'卡片raw data'!$F:$F,)),0)+IF($P500=3,INDEX('卡片raw data'!AG:AG,MATCH($D500,'卡片raw data'!$F:$F,)),0)+IF($P500=4,INDEX('卡片raw data'!AJ:AJ,MATCH($D500,'卡片raw data'!$F:$F,)),0)+IF($P500=5,INDEX('卡片raw data'!AM:AM,MATCH($D500,'卡片raw data'!$F:$F,)),0)+INDEX('卡片raw data'!U:U,MATCH($D500,'卡片raw data'!$F:$F,))*(IF($F500="UR",0.04,0.033))*(IF($F500="UR",INDEX(绊状态确认!$S:$S,MATCH($G500,绊状态确认!$B:$B,))/2-40)+IF($F500="SR",INDEX(绊状态确认!$R:$R,MATCH($G500,绊状态确认!$B:$B,))/4-15))+IF($F500="R",INDEX(绊状态确认!$Q:$Q,MATCH($G500,绊状态确认!$B:$B,))/6-40/6)))*(INDEX(绊状态确认!$H:$H,MATCH($G500,绊状态确认!$B:$B,))+INDEX(绊状态确认!L:L,MATCH($G500,绊状态确认!$B:$B,)))</f>
        <v>7641.1990559999986</v>
      </c>
      <c r="AO500" s="1107">
        <f t="shared" si="621"/>
        <v>1</v>
      </c>
      <c r="AP500" s="1131">
        <f>1+(INDEX(绊状态确认!$T:$T,MATCH($G500,绊状态确认!$B:$B,))+0.2)*$AO500</f>
        <v>1.3</v>
      </c>
      <c r="AQ500" s="1108">
        <f t="shared" si="622"/>
        <v>23916.373518699998</v>
      </c>
      <c r="AR500" s="1097">
        <f>(AM500*(1+$EX$9)+$EX$35)*(1+(INDEX(绊状态确认!$T:$T,MATCH($G500,绊状态确认!$B:$B,))+0.2)*AO500)*IF(J500=$FF$17,1+$FE$17,1)*IF(I500=$FF$14,1+$FE$14,1)</f>
        <v>13134.23671144</v>
      </c>
      <c r="AS500" s="1097">
        <f>(AN500*(1+$EX$10)+$EX$36)*(1+(INDEX(绊状态确认!$T:$T,MATCH($G500,绊状态确认!$B:$B,))+0.2)*AO500)*IF(J500=$FF$17,1+$FE$17,1)*IF(I500=$FF$14,1+$FE$14,1)</f>
        <v>15479.592588719999</v>
      </c>
      <c r="AT500" s="1093">
        <f>IF(AND(INDEX('卡片raw data'!AK:AK,MATCH($D500,'卡片raw data'!$F:$F,))&lt;INDEX('卡片raw data'!AM:AM,MATCH($D500,'卡片raw data'!$F:$F,)),INDEX('卡片raw data'!AL:AL,MATCH($D500,'卡片raw data'!$F:$F,))&lt;INDEX('卡片raw data'!AM:AM,MATCH($D500,'卡片raw data'!$F:$F,))),1,0)</f>
        <v>0</v>
      </c>
      <c r="AU500" s="1098">
        <f>MIN(AT500*0.15+AS500*0.00003+INDEX(绊状态确认!M:M,MATCH($G500,绊状态确认!$B:$B,)),1)</f>
        <v>0.49438777766160003</v>
      </c>
      <c r="AV500" s="1109">
        <f>(INDEX(绊状态确认!$N:$N,MATCH($G500,绊状态确认!$B:$B,))+1.5)*$EW$21</f>
        <v>2.6599999999999997</v>
      </c>
      <c r="AW500" s="1101">
        <f t="shared" si="623"/>
        <v>22614.510831200405</v>
      </c>
      <c r="AX500" s="1097">
        <f t="shared" si="624"/>
        <v>1127.4203868516233</v>
      </c>
      <c r="AY500" s="1110">
        <f t="shared" si="625"/>
        <v>23741.931218052028</v>
      </c>
      <c r="AZ500" s="429">
        <f t="shared" si="626"/>
        <v>17952.163185319998</v>
      </c>
      <c r="BA500" s="431">
        <f t="shared" si="627"/>
        <v>21542.595822383995</v>
      </c>
      <c r="BB500" s="1097">
        <f>(AM500*(1+$FB$9)+$FB$35)*(1+(INDEX(绊状态确认!$T:$T,MATCH($G500,绊状态确认!$B:$B,))+0.2)*AO500)*IF(J500=$FF$17,1+$FE$17,1)*IF(I500=$FF$14,1+$FE$14,1)*(1+$FE$15)</f>
        <v>13134.23671144</v>
      </c>
      <c r="BC500" s="1097">
        <f>(AN500*(1+$FB$10)+$FB$36)*(1+(INDEX(绊状态确认!$T:$T,MATCH($G500,绊状态确认!$B:$B,))+0.2)*AO500)*IF(J500=$FF$17,1+$FE$17,1)*IF(I500=$FF$14,1+$FE$14,1)*(1+$FE$15)</f>
        <v>15479.592588719999</v>
      </c>
      <c r="BD500" s="1104">
        <f>MIN(AT500*0.15+BC500*0.00003+INDEX(绊状态确认!M:M,MATCH($G500,绊状态确认!$B:$B,)),1)</f>
        <v>0.49438777766160003</v>
      </c>
      <c r="BE500" s="432">
        <f>(INDEX(绊状态确认!$N:$N,MATCH($G500,绊状态确认!$B:$B,))+1.5)</f>
        <v>1.9</v>
      </c>
      <c r="BF500" s="1139">
        <f t="array" ref="BF500">SUMPRODUCT(IF(AZ500*AP500*$FI$16:$FI$23*$FA$22&gt;=$FI$24,$FI$24,AZ500*AP500*$FI$16:$FI$23*$FA$22),$FJ$16:$FJ$23)</f>
        <v>35706.852575601479</v>
      </c>
      <c r="BG500" s="1125">
        <f t="array" ref="BG500">SUMPRODUCT(IF(BE500*AZ500*AP500*$FI$16:$FI$23*$FA$22&gt;=$FI$24,$FI$24,BE500*AZ500*AP500*$FI$16:$FI$23*$FA$22),$FJ$16:$FJ$23)</f>
        <v>59085.460766935095</v>
      </c>
      <c r="BH500" s="1110">
        <f t="shared" si="628"/>
        <v>15754.983574712061</v>
      </c>
      <c r="BI500" s="1111">
        <f>IF(O500="vo",$EW$26/$EW$24*0.05,0)+IF(O500="sk",-$EW$26/$EW$24*(0.05-INDEX(绊状态确认!W:W,MATCH($G500,绊状态确认!$B:$B,)))+0.05*$EW$28,0)+IF(O500="sp",0.05*$EW$32*$EW$30*(1-$EW$33)-(0.05-INDEX(绊状态确认!V:V,MATCH($G500,绊状态确认!$B:$B,)))*$EW$28,0)+IF(O500="gd",-(0.05-INDEX(绊状态确认!X:X,MATCH($G500,绊状态确认!$B:$B,)))*$EW$32*$EW$30*(1-$EW$33),0)</f>
        <v>-6253.6726349699375</v>
      </c>
      <c r="BJ500" s="420">
        <f>IF(O500="vo",0.05*(1-$FI$26)*$FA$24,0)+IF(O500="sk",-(0.05-INDEX(绊状态确认!W:W,MATCH($G500,绊状态确认!$B:$B,)))*(1-$FI$26)*$FA$24+0.05*$FA$26,0)+IF(O500="sp",0.05*$FA$32*$FA$27*(1-$FA$33)/$FA$30+0.05*$FA$29/$FA$69*$FA$27*(1-$FA$33)-(0.05-INDEX(绊状态确认!V:V,MATCH($G500,绊状态确认!$B:$B,)))*$FA$26,0)+IF(O500="gd",-(0.05-INDEX(绊状态确认!X:X,MATCH($G500,绊状态确认!$B:$B,)))*$FA$32*$FA$27*(1-$FA$33)/$FA$30-(0.05-INDEX(绊状态确认!X:X,MATCH($G500,绊状态确认!$B:$B,)))*$FA$29/$FA$69*$FA$27*(1-$FA$33),0)</f>
        <v>20.459096812499922</v>
      </c>
      <c r="BK500" s="1110">
        <f>IF(O500="vo",$EW$26/$EW$24*0.05+$EW$26*(-HP($EW$62,$EW$65,$EW$64)+HP($EW$62,$EW$65,(1.05-INDEX(绊状态确认!U:U,MATCH($G500,绊状态确认!$B:$B,)))*$EW$64)),0)+IF(O500="sk",-$EW$26/$EW$24*(0.05-INDEX(绊状态确认!W:W,MATCH($G500,绊状态确认!$B:$B,)))+0.05*$EW$29,0)+IF(O500="sp",0.05*$EW$32*$EW$30*(1-$EW$33)-(0.05-INDEX(绊状态确认!V:V,MATCH($G500,绊状态确认!$B:$B,)))*$EW$29,0)+IF(O500="gd",-(0.05-INDEX(绊状态确认!X:X,MATCH($G500,绊状态确认!$B:$B,)))*$EW$32*$EW$30*(1-$EW$33)+$EW$26*(-HP($EW$62,$EW$65,$EW$64)+HP($EW$62,$EW$65,0.95*$EW$64)),0)</f>
        <v>-4253.6726349699375</v>
      </c>
      <c r="BL500" s="1111">
        <f t="shared" si="629"/>
        <v>-1083.3333333333333</v>
      </c>
      <c r="BM500" s="1110">
        <f t="shared" si="630"/>
        <v>-830.55555555555543</v>
      </c>
      <c r="BN500" s="1113">
        <f t="shared" si="631"/>
        <v>3</v>
      </c>
      <c r="BO500" s="1108">
        <f t="shared" si="632"/>
        <v>4507.7214871259994</v>
      </c>
      <c r="BP500" s="1100">
        <f t="shared" si="633"/>
        <v>221.34103209030098</v>
      </c>
      <c r="BQ500" s="1113" t="s">
        <v>132</v>
      </c>
      <c r="BR500" s="450" t="s">
        <v>168</v>
      </c>
      <c r="BS500" s="421">
        <f>IF($P500="","N/A",IF($P500=-1,INDEX('卡片raw data'!AX:AX,MATCH($D500,'卡片raw data'!$F:$F,)),0)+IF($L500="party卡",IF($P500=5,INDEX('卡片raw data'!BD:BD,MATCH($D500,'卡片raw data'!$F:$F,)),IF($P500&gt;=3,INDEX('卡片raw data'!BC:BC,MATCH($D500,'卡片raw data'!$F:$F,)),INDEX('卡片raw data'!BB:BB,MATCH($D500,'卡片raw data'!$F:$F,)))),IF(OR(AND($F500="UR",$P500=0),AND($F500="SR",$P500&gt;=0,$P500&lt;=2),AND($F500="R",$P500&gt;=0,$P500&lt;4)),INDEX('卡片raw data'!AZ:AZ,MATCH($D500,'卡片raw data'!$F:$F,)),0)+IF(OR(AND($F500="UR",$P500&gt;=1,$P500&lt;=4),AND($F500="SR",$P500&lt;=4,$P500&gt;=3),AND($F500="R",$P500=4)),INDEX('卡片raw data'!BA:BA,MATCH($D500,'卡片raw data'!$F:$F,)),0)+IF($P500=5,INDEX('卡片raw data'!BB:BB,MATCH($D500,'卡片raw data'!$F:$F,)),0)))</f>
        <v>0.05</v>
      </c>
      <c r="BT500" s="424">
        <f t="shared" si="634"/>
        <v>3756.4345726050001</v>
      </c>
      <c r="BU500" s="420">
        <f t="shared" si="635"/>
        <v>184.45086007525089</v>
      </c>
      <c r="BV500" s="420">
        <f t="shared" si="636"/>
        <v>0</v>
      </c>
      <c r="BW500" s="436">
        <f t="shared" si="637"/>
        <v>0</v>
      </c>
      <c r="BX500" s="423">
        <f t="shared" si="638"/>
        <v>3756.4345726050001</v>
      </c>
      <c r="BY500" s="433">
        <f t="shared" si="639"/>
        <v>0</v>
      </c>
      <c r="BZ500" s="1113" t="s">
        <v>569</v>
      </c>
      <c r="CA500" s="450"/>
      <c r="CB500" s="421">
        <f>IF($P500="","N/A",IF($P500=-1,INDEX('卡片raw data'!BE:BE,MATCH($D500,'卡片raw data'!$F:$F,)),0)+IF($L500="party卡",IF($P500=5,INDEX('卡片raw data'!BK:BK,MATCH($D500,'卡片raw data'!$F:$F,)),IF($P500&gt;=3,INDEX('卡片raw data'!BJ:BJ,MATCH($D500,'卡片raw data'!$F:$F,)),INDEX('卡片raw data'!BI:BI,MATCH($D500,'卡片raw data'!$F:$F,)))),IF(OR(AND($F500="UR",$P500=0),AND($F500="SR",$P500&gt;=0,$P500&lt;=2),AND($F500="R",$P500&gt;=0,$P500&lt;4)),INDEX('卡片raw data'!BG:BG,MATCH($D500,'卡片raw data'!$F:$F,)),0)+IF(OR(AND($F500="UR",$P500&gt;=1,$P500&lt;=4),AND($F500="SR",$P500&lt;=4,$P500&gt;=3),AND($F500="R",$P500=4)),INDEX('卡片raw data'!BH:BH,MATCH($D500,'卡片raw data'!$F:$F,)),0)+IF($P500=5,INDEX('卡片raw data'!BI:BI,MATCH($D500,'卡片raw data'!$F:$F,)),0)))</f>
        <v>0</v>
      </c>
      <c r="CC500" s="424">
        <f t="shared" si="640"/>
        <v>0</v>
      </c>
      <c r="CD500" s="420">
        <f>IF(BZ500="ap",CB500*(1-$FI$26)*$FB$5/$FB$11*(+IF(CA500="全员",$FA$24,0)+IF(CA500="同作战",$FA$24,0)+IF(CA500="仲间",$FA$24*2/3,0)+IF(CA500="同属性",$FA$24*$FA$37/3,0)+IF(CA500="同年级",$FA$24*$FA$40/3,0)+IF(CA500="同学校",$FA$24*$FA$43/3,0)+IF(CA500="同小队",$FA$24*$FA$46/3,0)+IF(CA500="同type",$FA$24*INDEX($FB$49:$FB$52,MATCH(X500,$FA$49:$FA$52,))/3,0)+IF(CA500="自身",#REF!/3,0)),0)+IF(BZ500="te",CB500*(1-$FI$27)*($FA$20-1)*$FB$7/$FB$13*(+IF(CA500="全员",$FA$19*$FA$24/(1+($FA$20-1)*$FA$19),0)+IF(CA500="同作战",$FA$19*$FA$24/(1+($FA$20-1)*$FA$19),0)+IF(CA500="仲间",$FA$19*$FA$24*2/3/(1+($FA$20-1)*$FA$19),0)+IF(CA500="同属性",$FA$19*$FA$24*$FA$37/3/(1+($FA$20-1)*$FA$19),0)+IF(CA500="同年级",$FA$19*$FA$24*$FA$40/3/(1+($FA$20-1)*$FA$19),0)+IF(CA500="同学校",$FA$19*$FA$24*$FA$43/3/(1+($FA$20-1)*$FA$19),0)+IF(CA500="同小队",$FA$19*$FA$24*$FA$46/3/(1+($FA$20-1)*$FA$19),0)+IF(CA500="同type",$FA$19*$FA$24*INDEX($FB$49:$FB$52,MATCH(X500,$FA$49:$FA$52,))/3/(1+($FA$20-1)*$FA$19),0)+IF(CA500="自身",$FA$19*#REF!/3/(1+(BH500-1)*$BD500),0)),0)</f>
        <v>0</v>
      </c>
      <c r="CE500" s="420">
        <f t="shared" si="641"/>
        <v>0</v>
      </c>
      <c r="CF500" s="436">
        <f t="shared" si="642"/>
        <v>0</v>
      </c>
      <c r="CG500" s="423">
        <f t="shared" si="643"/>
        <v>0</v>
      </c>
      <c r="CH500" s="433">
        <f t="shared" si="644"/>
        <v>0</v>
      </c>
      <c r="CI500" s="437" t="s">
        <v>165</v>
      </c>
      <c r="CJ500" s="438">
        <v>0.3</v>
      </c>
      <c r="CK500" s="439" t="s">
        <v>551</v>
      </c>
      <c r="CL500" s="439" t="s">
        <v>161</v>
      </c>
      <c r="CM500" s="443">
        <v>0.03</v>
      </c>
      <c r="CN500" s="439" t="s">
        <v>163</v>
      </c>
      <c r="CO500" s="1115"/>
      <c r="CP500" s="1118">
        <f t="shared" si="645"/>
        <v>8.9999999999999993E-3</v>
      </c>
      <c r="CQ500" s="1118">
        <f t="shared" si="646"/>
        <v>8.9999999999999993E-3</v>
      </c>
      <c r="CR500" s="1118">
        <f t="shared" si="647"/>
        <v>8.9999999999999993E-3</v>
      </c>
      <c r="CS500" s="442">
        <f t="shared" si="648"/>
        <v>0</v>
      </c>
      <c r="CT500" s="432">
        <f t="shared" si="649"/>
        <v>0</v>
      </c>
      <c r="CU500" s="1101">
        <f t="shared" si="650"/>
        <v>539.33504053893762</v>
      </c>
      <c r="CV500" s="1108">
        <f t="shared" si="685"/>
        <v>0</v>
      </c>
      <c r="CW500" s="1097">
        <f t="shared" si="651"/>
        <v>539.33504053893762</v>
      </c>
      <c r="CX500" s="1097">
        <f t="shared" si="652"/>
        <v>539.33504053893762</v>
      </c>
      <c r="CY500" s="1110">
        <f t="shared" si="653"/>
        <v>539.33504053893762</v>
      </c>
      <c r="CZ500" s="437"/>
      <c r="DA500" s="438"/>
      <c r="DB500" s="439" t="s">
        <v>569</v>
      </c>
      <c r="DC500" s="439"/>
      <c r="DD500" s="443"/>
      <c r="DE500" s="411"/>
      <c r="DF500" s="411"/>
      <c r="DG500" s="1116">
        <f t="shared" si="654"/>
        <v>0</v>
      </c>
      <c r="DH500" s="1116">
        <f t="shared" si="655"/>
        <v>0</v>
      </c>
      <c r="DI500" s="1116">
        <f t="shared" si="656"/>
        <v>0</v>
      </c>
      <c r="DJ500" s="442">
        <f t="shared" si="657"/>
        <v>0</v>
      </c>
      <c r="DK500" s="432">
        <f t="shared" si="658"/>
        <v>0</v>
      </c>
      <c r="DL500" s="424">
        <f t="shared" si="659"/>
        <v>0</v>
      </c>
      <c r="DM500" s="420">
        <f t="shared" si="660"/>
        <v>0</v>
      </c>
      <c r="DN500" s="420">
        <f t="shared" si="661"/>
        <v>0</v>
      </c>
      <c r="DO500" s="420">
        <f t="shared" si="662"/>
        <v>0</v>
      </c>
      <c r="DP500" s="433">
        <f t="shared" si="663"/>
        <v>0</v>
      </c>
      <c r="DQ500" s="1113" t="s">
        <v>167</v>
      </c>
      <c r="DR500" s="1120">
        <f t="shared" si="664"/>
        <v>0.3</v>
      </c>
      <c r="DS500" s="1124">
        <v>5</v>
      </c>
      <c r="DT500" s="1093" t="s">
        <v>2127</v>
      </c>
      <c r="DU500" s="1093" t="s">
        <v>544</v>
      </c>
      <c r="DV500" s="1098">
        <f>IF($P500="","N/A",IF(P500=-1,INDEX('卡片raw data'!AN:AN,MATCH(D500,'卡片raw data'!$F:$F,)),0)+IF(AND(L500&lt;&gt;"party卡",P500&lt;=2,P500&gt;=0),INDEX('卡片raw data'!AP:AP,MATCH(D500,'卡片raw data'!$F:$F,)),0)+IF(OR(AND(L500="party卡",P500&lt;=1),AND(P500&lt;=4,L500&lt;&gt;"party卡",P500&gt;=3)),INDEX('卡片raw data'!AQ:AQ,MATCH(D500,'卡片raw data'!$F:$F,)),0)+IF(OR(P500=5,AND(L500="party卡",P500&gt;=2)),INDEX('卡片raw data'!AR:AR,MATCH(D500,'卡片raw data'!$F:$F,)),0))</f>
        <v>7.0000000000000007E-2</v>
      </c>
      <c r="DW500" s="1098">
        <f t="shared" si="665"/>
        <v>0.3</v>
      </c>
      <c r="DX500" s="1098">
        <f t="shared" si="666"/>
        <v>0.3</v>
      </c>
      <c r="DY500" s="1098">
        <f t="shared" si="667"/>
        <v>3.5000000000000003E-2</v>
      </c>
      <c r="DZ500" s="1098">
        <f t="shared" si="668"/>
        <v>3.0275000000000003E-2</v>
      </c>
      <c r="EA500" s="421">
        <f t="shared" si="669"/>
        <v>0</v>
      </c>
      <c r="EB500" s="445">
        <f t="shared" si="670"/>
        <v>0</v>
      </c>
      <c r="EC500" s="424">
        <f t="shared" si="671"/>
        <v>4759.4026034905355</v>
      </c>
      <c r="ED500" s="420">
        <f t="shared" si="672"/>
        <v>198.7727008148438</v>
      </c>
      <c r="EE500" s="433">
        <f t="shared" si="683"/>
        <v>4759.4026034905355</v>
      </c>
      <c r="EF500" s="1115" t="s">
        <v>569</v>
      </c>
      <c r="EG500" s="1120">
        <f t="shared" si="673"/>
        <v>0.3</v>
      </c>
      <c r="EH500" s="450"/>
      <c r="EI500" s="1093"/>
      <c r="EJ500" s="1093"/>
      <c r="EK500" s="420">
        <f>IF($P500="","N/A",IF(P500=-1,INDEX('卡片raw data'!AS:AS,MATCH(D500,'卡片raw data'!$F:$F,)),0)+IF(AND(L500&lt;&gt;"party卡",P500&lt;=2,P500&gt;=0),INDEX('卡片raw data'!AU:AU,MATCH(D500,'卡片raw data'!$F:$F,)),0)+IF(OR(AND(L500="party卡",P500&lt;=1),AND(P500&lt;=4,L500&lt;&gt;"party卡",P500&gt;=3)),INDEX('卡片raw data'!AV:AV,MATCH(D500,'卡片raw data'!$F:$F,)),0)+IF(OR(P500=5,AND(L500="party卡",P500&gt;=2)),INDEX('卡片raw data'!AW:AW,MATCH(D500,'卡片raw data'!$F:$F,)),0))</f>
        <v>0</v>
      </c>
      <c r="EL500" s="1098">
        <f t="shared" si="674"/>
        <v>0.3</v>
      </c>
      <c r="EM500" s="1098">
        <f t="shared" si="675"/>
        <v>0.3</v>
      </c>
      <c r="EN500" s="1097">
        <f t="shared" si="676"/>
        <v>0</v>
      </c>
      <c r="EO500" s="1097">
        <f t="shared" si="677"/>
        <v>0</v>
      </c>
      <c r="EP500" s="421">
        <f t="shared" si="678"/>
        <v>0</v>
      </c>
      <c r="EQ500" s="445">
        <f t="shared" si="679"/>
        <v>0</v>
      </c>
      <c r="ER500" s="424">
        <f t="shared" si="680"/>
        <v>0</v>
      </c>
      <c r="ES500" s="420">
        <f t="shared" si="681"/>
        <v>0</v>
      </c>
      <c r="ET500" s="446">
        <f t="shared" si="684"/>
        <v>0</v>
      </c>
    </row>
    <row r="501" spans="2:150" ht="16.5" customHeight="1">
      <c r="B501" s="448" t="str">
        <f>INDEX('卡片raw data'!B:B,MATCH($D501,'卡片raw data'!$F:$F,))</f>
        <v>浴衣林</v>
      </c>
      <c r="C501" s="449" t="s">
        <v>4155</v>
      </c>
      <c r="D501" s="408">
        <v>498</v>
      </c>
      <c r="E501" s="477">
        <v>402043005</v>
      </c>
      <c r="F501" s="409" t="str">
        <f>INDEX('卡片raw data'!C:C,MATCH($D501,'卡片raw data'!$F:$F,))</f>
        <v>UR</v>
      </c>
      <c r="G501" s="1094" t="s">
        <v>4156</v>
      </c>
      <c r="H501" s="411">
        <f>IFERROR(INDEX(绊状态确认!C:C,MATCH($G501,绊状态确认!$B:$B,)),"")</f>
        <v>204</v>
      </c>
      <c r="I501" s="450" t="str">
        <f>IFERROR(INDEX(绊状态确认!D:D,MATCH($G501,绊状态确认!$B:$B,)),"")</f>
        <v>虹</v>
      </c>
      <c r="J501" s="450" t="str">
        <f>IFERROR(INDEX(绊状态确认!E:E,MATCH($G501,绊状态确认!$B:$B,)),"")</f>
        <v>3年级</v>
      </c>
      <c r="K501" s="451" t="str">
        <f>IFERROR(INDEX(绊状态确认!F:F,MATCH($G501,绊状态确认!$B:$B,)),"")</f>
        <v>Diver Diva</v>
      </c>
      <c r="L501" s="414" t="str">
        <f>INDEX('卡片raw data'!E:E,MATCH($D501,'卡片raw data'!$F:$F,))</f>
        <v>卡池卡</v>
      </c>
      <c r="M501" s="478">
        <v>44397</v>
      </c>
      <c r="N501" s="479">
        <v>44</v>
      </c>
      <c r="O501" s="410" t="str">
        <f>INDEX('卡片raw data'!D:D,MATCH($D501,'卡片raw data'!$F:$F,))</f>
        <v>sk</v>
      </c>
      <c r="P501" s="1126">
        <v>5</v>
      </c>
      <c r="Q501" s="418">
        <f t="shared" si="600"/>
        <v>68600.258765757433</v>
      </c>
      <c r="R501" s="419">
        <f t="shared" si="601"/>
        <v>0.79700000000000004</v>
      </c>
      <c r="S501" s="420">
        <f t="shared" si="602"/>
        <v>20908.641357652254</v>
      </c>
      <c r="T501" s="421">
        <f t="shared" si="603"/>
        <v>1.0449999999999999</v>
      </c>
      <c r="U501" s="422">
        <f t="shared" si="604"/>
        <v>13.239143676942858</v>
      </c>
      <c r="V501" s="423">
        <f t="shared" si="605"/>
        <v>71659.106814047947</v>
      </c>
      <c r="W501" s="424">
        <f t="shared" si="606"/>
        <v>5809.9521389623987</v>
      </c>
      <c r="X501" s="419">
        <f t="shared" si="607"/>
        <v>6.7000000000000004E-2</v>
      </c>
      <c r="Y501" s="420">
        <f t="shared" si="608"/>
        <v>1058.8480482905152</v>
      </c>
      <c r="Z501" s="425">
        <f t="shared" si="609"/>
        <v>13.239143676942858</v>
      </c>
      <c r="AA501" s="426">
        <f t="shared" si="610"/>
        <v>6868.8001872529139</v>
      </c>
      <c r="AB501" s="424">
        <f t="shared" si="611"/>
        <v>11283.690899151028</v>
      </c>
      <c r="AC501" s="427">
        <f t="shared" si="612"/>
        <v>0.13100000000000001</v>
      </c>
      <c r="AD501" s="428">
        <f t="shared" si="613"/>
        <v>2.1769318181818181E-2</v>
      </c>
      <c r="AE501" s="516">
        <f t="shared" si="614"/>
        <v>11.953757704745847</v>
      </c>
      <c r="AF501" s="1130">
        <f t="shared" si="615"/>
        <v>0</v>
      </c>
      <c r="AG501" s="420">
        <f t="shared" si="616"/>
        <v>0</v>
      </c>
      <c r="AH501" s="420">
        <f t="shared" si="617"/>
        <v>0</v>
      </c>
      <c r="AI501" s="1097">
        <f t="shared" si="618"/>
        <v>0</v>
      </c>
      <c r="AJ501" s="420">
        <f t="shared" si="619"/>
        <v>0</v>
      </c>
      <c r="AK501" s="518">
        <f t="shared" si="620"/>
        <v>0</v>
      </c>
      <c r="AL501" s="1106">
        <f>IF($P501="","N/A",(IF($P501=-1,INDEX('卡片raw data'!S:S,MATCH($D501,'卡片raw data'!$F:$F,)),0)+IF($P501=0,INDEX('卡片raw data'!V:V,MATCH($D501,'卡片raw data'!$F:$F,)),0)+IF($P501=1,INDEX('卡片raw data'!Y:Y,MATCH($D501,'卡片raw data'!$F:$F,)),0)+IF($P501=2,INDEX('卡片raw data'!AB:AB,MATCH($D501,'卡片raw data'!$F:$F,)),0)+IF($P501=3,INDEX('卡片raw data'!AE:AE,MATCH($D501,'卡片raw data'!$F:$F,)),0)+IF($P501=4,INDEX('卡片raw data'!AH:AH,MATCH($D501,'卡片raw data'!$F:$F,)),0)+IF($P501=5,INDEX('卡片raw data'!AK:AK,MATCH($D501,'卡片raw data'!$F:$F,)),0)+INDEX('卡片raw data'!S:S,MATCH($D501,'卡片raw data'!$F:$F,))*(IF($F501="UR",0.04,0.033))*(IF($F501="UR",INDEX(绊状态确认!$S:$S,MATCH($G501,绊状态确认!$B:$B,))/2-40)+IF($F501="SR",INDEX(绊状态确认!$R:$R,MATCH($G501,绊状态确认!$B:$B,))/4-15))+IF($F501="R",INDEX(绊状态确认!$Q:$Q,MATCH($G501,绊状态确认!$B:$B,))/6-40/6)))*(INDEX(绊状态确认!$H:$H,MATCH($G501,绊状态确认!$B:$B,))+INDEX(绊状态确认!J:J,MATCH($G501,绊状态确认!$B:$B,)))</f>
        <v>14891.385599999998</v>
      </c>
      <c r="AM501" s="1106">
        <f>IF($P501="","N/A",(IF($P501=-1,INDEX('卡片raw data'!T:T,MATCH($D501,'卡片raw data'!$F:$F,)),0)+IF($P501=0,INDEX('卡片raw data'!W:W,MATCH($D501,'卡片raw data'!$F:$F,)),0)+IF($P501=1,INDEX('卡片raw data'!Z:Z,MATCH($D501,'卡片raw data'!$F:$F,)),0)+IF($P501=2,INDEX('卡片raw data'!AC:AC,MATCH($D501,'卡片raw data'!$F:$F,)),0)+IF($P501=3,INDEX('卡片raw data'!AF:AF,MATCH($D501,'卡片raw data'!$F:$F,)),0)+IF($P501=4,INDEX('卡片raw data'!AI:AI,MATCH($D501,'卡片raw data'!$F:$F,)),0)+IF($P501=5,INDEX('卡片raw data'!AL:AL,MATCH($D501,'卡片raw data'!$F:$F,)),0)+INDEX('卡片raw data'!T:T,MATCH($D501,'卡片raw data'!$F:$F,))*(IF($F501="UR",0.04,0.033))*(IF($F501="UR",INDEX(绊状态确认!$S:$S,MATCH($G501,绊状态确认!$B:$B,))/2-40)+IF($F501="SR",INDEX(绊状态确认!$R:$R,MATCH($G501,绊状态确认!$B:$B,))/4-15))+IF($F501="R",INDEX(绊状态确认!$Q:$Q,MATCH($G501,绊状态确认!$B:$B,))/6-40/6)))*(INDEX(绊状态确认!$H:$H,MATCH($G501,绊状态确认!$B:$B,))+INDEX(绊状态确认!K:K,MATCH($G501,绊状态确认!$B:$B,)))</f>
        <v>7071.453551999999</v>
      </c>
      <c r="AN501" s="1106">
        <f>IF($P501="","N/A",(IF($P501=-1,INDEX('卡片raw data'!U:U,MATCH($D501,'卡片raw data'!$F:$F,)),0)+IF($P501=0,INDEX('卡片raw data'!X:X,MATCH($D501,'卡片raw data'!$F:$F,)),0)+IF($P501=1,INDEX('卡片raw data'!AA:AA,MATCH($D501,'卡片raw data'!$F:$F,)),0)+IF($P501=2,INDEX('卡片raw data'!AD:AD,MATCH($D501,'卡片raw data'!$F:$F,)),0)+IF($P501=3,INDEX('卡片raw data'!AG:AG,MATCH($D501,'卡片raw data'!$F:$F,)),0)+IF($P501=4,INDEX('卡片raw data'!AJ:AJ,MATCH($D501,'卡片raw data'!$F:$F,)),0)+IF($P501=5,INDEX('卡片raw data'!AM:AM,MATCH($D501,'卡片raw data'!$F:$F,)),0)+INDEX('卡片raw data'!U:U,MATCH($D501,'卡片raw data'!$F:$F,))*(IF($F501="UR",0.04,0.033))*(IF($F501="UR",INDEX(绊状态确认!$S:$S,MATCH($G501,绊状态确认!$B:$B,))/2-40)+IF($F501="SR",INDEX(绊状态确认!$R:$R,MATCH($G501,绊状态确认!$B:$B,))/4-15))+IF($F501="R",INDEX(绊状态确认!$Q:$Q,MATCH($G501,绊状态确认!$B:$B,))/6-40/6)))*(INDEX(绊状态确认!$H:$H,MATCH($G501,绊状态确认!$B:$B,))+INDEX(绊状态确认!L:L,MATCH($G501,绊状态确认!$B:$B,)))</f>
        <v>15260.988335999999</v>
      </c>
      <c r="AO501" s="1107">
        <f t="shared" si="621"/>
        <v>1</v>
      </c>
      <c r="AP501" s="1131">
        <f>1+(INDEX(绊状态确认!$T:$T,MATCH($G501,绊状态确认!$B:$B,))+0.2)*$AO501</f>
        <v>1.3</v>
      </c>
      <c r="AQ501" s="1108">
        <f t="shared" si="622"/>
        <v>42339.887199999997</v>
      </c>
      <c r="AR501" s="1097">
        <f>(AM501*(1+$EX$9)+$EX$35)*(1+(INDEX(绊状态确认!$T:$T,MATCH($G501,绊状态确认!$B:$B,))+0.2)*AO501)*IF(J501=$FF$17,1+$FE$17,1)*IF(I501=$FF$14,1+$FE$14,1)</f>
        <v>12356.53409848</v>
      </c>
      <c r="AS501" s="1097">
        <f>(AN501*(1+$EX$10)+$EX$36)*(1+(INDEX(绊状态确认!$T:$T,MATCH($G501,绊状态确认!$B:$B,))+0.2)*AO501)*IF(J501=$FF$17,1+$FE$17,1)*IF(I501=$FF$14,1+$FE$14,1)</f>
        <v>26871.177562319997</v>
      </c>
      <c r="AT501" s="1093">
        <f>IF(AND(INDEX('卡片raw data'!AK:AK,MATCH($D501,'卡片raw data'!$F:$F,))&lt;INDEX('卡片raw data'!AM:AM,MATCH($D501,'卡片raw data'!$F:$F,)),INDEX('卡片raw data'!AL:AL,MATCH($D501,'卡片raw data'!$F:$F,))&lt;INDEX('卡片raw data'!AM:AM,MATCH($D501,'卡片raw data'!$F:$F,))),1,0)</f>
        <v>1</v>
      </c>
      <c r="AU501" s="1098">
        <f>MIN(AT501*0.15+AS501*0.00003+INDEX(绊状态确认!M:M,MATCH($G501,绊状态确认!$B:$B,)),1)</f>
        <v>0.98613532686960004</v>
      </c>
      <c r="AV501" s="1109">
        <f>(INDEX(绊状态确认!$N:$N,MATCH($G501,绊状态确认!$B:$B,))+1.5)*$EW$21</f>
        <v>2.6599999999999997</v>
      </c>
      <c r="AW501" s="1101">
        <f t="shared" si="623"/>
        <v>57984.866424765816</v>
      </c>
      <c r="AX501" s="1097">
        <f t="shared" si="624"/>
        <v>1058.848048290515</v>
      </c>
      <c r="AY501" s="1110">
        <f t="shared" si="625"/>
        <v>59043.71447305633</v>
      </c>
      <c r="AZ501" s="429">
        <f t="shared" si="626"/>
        <v>31638.201919999996</v>
      </c>
      <c r="BA501" s="431">
        <f t="shared" si="627"/>
        <v>37965.842303999991</v>
      </c>
      <c r="BB501" s="1097">
        <f>(AM501*(1+$FB$9)+$FB$35)*(1+(INDEX(绊状态确认!$T:$T,MATCH($G501,绊状态确认!$B:$B,))+0.2)*AO501)*IF(J501=$FF$17,1+$FE$17,1)*IF(I501=$FF$14,1+$FE$14,1)*(1+$FE$15)</f>
        <v>12356.53409848</v>
      </c>
      <c r="BC501" s="1097">
        <f>(AN501*(1+$FB$10)+$FB$36)*(1+(INDEX(绊状态确认!$T:$T,MATCH($G501,绊状态确认!$B:$B,))+0.2)*AO501)*IF(J501=$FF$17,1+$FE$17,1)*IF(I501=$FF$14,1+$FE$14,1)*(1+$FE$15)</f>
        <v>26871.177562319997</v>
      </c>
      <c r="BD501" s="1104">
        <f>MIN(AT501*0.15+BC501*0.00003+INDEX(绊状态确认!M:M,MATCH($G501,绊状态确认!$B:$B,)),1)</f>
        <v>0.98613532686960004</v>
      </c>
      <c r="BE501" s="432">
        <f>(INDEX(绊状态确认!$N:$N,MATCH($G501,绊状态确认!$B:$B,))+1.5)</f>
        <v>1.9</v>
      </c>
      <c r="BF501" s="1139">
        <f t="array" ref="BF501">SUMPRODUCT(IF(AZ501*AP501*$FI$16:$FI$23*$FA$22&gt;=$FI$24,$FI$24,AZ501*AP501*$FI$16:$FI$23*$FA$22),$FJ$16:$FJ$23)</f>
        <v>57798.721122880001</v>
      </c>
      <c r="BG501" s="1125">
        <f t="array" ref="BG501">SUMPRODUCT(IF(BE501*AZ501*AP501*$FI$16:$FI$23*$FA$22&gt;=$FI$24,$FI$24,BE501*AZ501*AP501*$FI$16:$FI$23*$FA$22),$FJ$16:$FJ$23)</f>
        <v>60000</v>
      </c>
      <c r="BH501" s="1110">
        <f t="shared" si="628"/>
        <v>19989.826662633292</v>
      </c>
      <c r="BI501" s="1111">
        <f>IF(O501="vo",$EW$26/$EW$24*0.05,0)+IF(O501="sk",-$EW$26/$EW$24*(0.05-INDEX(绊状态确认!W:W,MATCH($G501,绊状态确认!$B:$B,)))+0.05*$EW$28,0)+IF(O501="sp",0.05*$EW$32*$EW$30*(1-$EW$33)-(0.05-INDEX(绊状态确认!V:V,MATCH($G501,绊状态确认!$B:$B,)))*$EW$28,0)+IF(O501="gd",-(0.05-INDEX(绊状态确认!X:X,MATCH($G501,绊状态确认!$B:$B,)))*$EW$32*$EW$30*(1-$EW$33),0)</f>
        <v>-6253.6726349699375</v>
      </c>
      <c r="BJ501" s="420">
        <f>IF(O501="vo",0.05*(1-$FI$26)*$FA$24,0)+IF(O501="sk",-(0.05-INDEX(绊状态确认!W:W,MATCH($G501,绊状态确认!$B:$B,)))*(1-$FI$26)*$FA$24+0.05*$FA$26,0)+IF(O501="sp",0.05*$FA$32*$FA$27*(1-$FA$33)/$FA$30+0.05*$FA$29/$FA$69*$FA$27*(1-$FA$33)-(0.05-INDEX(绊状态确认!V:V,MATCH($G501,绊状态确认!$B:$B,)))*$FA$26,0)+IF(O501="gd",-(0.05-INDEX(绊状态确认!X:X,MATCH($G501,绊状态确认!$B:$B,)))*$FA$32*$FA$27*(1-$FA$33)/$FA$30-(0.05-INDEX(绊状态确认!X:X,MATCH($G501,绊状态确认!$B:$B,)))*$FA$29/$FA$69*$FA$27*(1-$FA$33),0)</f>
        <v>20.459096812499922</v>
      </c>
      <c r="BK501" s="1110">
        <f>IF(O501="vo",$EW$26/$EW$24*0.05+$EW$26*(-HP($EW$62,$EW$65,$EW$64)+HP($EW$62,$EW$65,(1.05-INDEX(绊状态确认!U:U,MATCH($G501,绊状态确认!$B:$B,)))*$EW$64)),0)+IF(O501="sk",-$EW$26/$EW$24*(0.05-INDEX(绊状态确认!W:W,MATCH($G501,绊状态确认!$B:$B,)))+0.05*$EW$29,0)+IF(O501="sp",0.05*$EW$32*$EW$30*(1-$EW$33)-(0.05-INDEX(绊状态确认!V:V,MATCH($G501,绊状态确认!$B:$B,)))*$EW$29,0)+IF(O501="gd",-(0.05-INDEX(绊状态确认!X:X,MATCH($G501,绊状态确认!$B:$B,)))*$EW$32*$EW$30*(1-$EW$33)+$EW$26*(-HP($EW$62,$EW$65,$EW$64)+HP($EW$62,$EW$65,0.95*$EW$64)),0)</f>
        <v>-4253.6726349699375</v>
      </c>
      <c r="BL501" s="1111">
        <f t="shared" si="629"/>
        <v>0</v>
      </c>
      <c r="BM501" s="1110">
        <f t="shared" si="630"/>
        <v>0</v>
      </c>
      <c r="BN501" s="1113">
        <f t="shared" si="631"/>
        <v>3</v>
      </c>
      <c r="BO501" s="1108">
        <f t="shared" si="632"/>
        <v>4507.7214871259994</v>
      </c>
      <c r="BP501" s="1100">
        <f t="shared" si="633"/>
        <v>221.34103209030098</v>
      </c>
      <c r="BQ501" s="1113" t="s">
        <v>132</v>
      </c>
      <c r="BR501" s="450" t="s">
        <v>171</v>
      </c>
      <c r="BS501" s="421">
        <f>IF($P501="","N/A",IF($P501=-1,INDEX('卡片raw data'!AX:AX,MATCH($D501,'卡片raw data'!$F:$F,)),0)+IF($L501="party卡",IF($P501=5,INDEX('卡片raw data'!BD:BD,MATCH($D501,'卡片raw data'!$F:$F,)),IF($P501&gt;=3,INDEX('卡片raw data'!BC:BC,MATCH($D501,'卡片raw data'!$F:$F,)),INDEX('卡片raw data'!BB:BB,MATCH($D501,'卡片raw data'!$F:$F,)))),IF(OR(AND($F501="UR",$P501=0),AND($F501="SR",$P501&gt;=0,$P501&lt;=2),AND($F501="R",$P501&gt;=0,$P501&lt;4)),INDEX('卡片raw data'!AZ:AZ,MATCH($D501,'卡片raw data'!$F:$F,)),0)+IF(OR(AND($F501="UR",$P501&gt;=1,$P501&lt;=4),AND($F501="SR",$P501&lt;=4,$P501&gt;=3),AND($F501="R",$P501=4)),INDEX('卡片raw data'!BA:BA,MATCH($D501,'卡片raw data'!$F:$F,)),0)+IF($P501=5,INDEX('卡片raw data'!BB:BB,MATCH($D501,'卡片raw data'!$F:$F,)),0)))</f>
        <v>5.1999999999999998E-2</v>
      </c>
      <c r="BT501" s="424">
        <f t="shared" si="634"/>
        <v>2604.4613036728001</v>
      </c>
      <c r="BU501" s="420">
        <f t="shared" si="635"/>
        <v>111.90018844565216</v>
      </c>
      <c r="BV501" s="420">
        <f t="shared" si="636"/>
        <v>1302.2306518363998</v>
      </c>
      <c r="BW501" s="436">
        <f t="shared" si="637"/>
        <v>0</v>
      </c>
      <c r="BX501" s="423">
        <f t="shared" si="638"/>
        <v>2604.4613036728001</v>
      </c>
      <c r="BY501" s="433">
        <f t="shared" si="639"/>
        <v>1302.2306518363998</v>
      </c>
      <c r="BZ501" s="1113" t="s">
        <v>569</v>
      </c>
      <c r="CA501" s="450"/>
      <c r="CB501" s="421">
        <f>IF($P501="","N/A",IF($P501=-1,INDEX('卡片raw data'!BE:BE,MATCH($D501,'卡片raw data'!$F:$F,)),0)+IF($L501="party卡",IF($P501=5,INDEX('卡片raw data'!BK:BK,MATCH($D501,'卡片raw data'!$F:$F,)),IF($P501&gt;=3,INDEX('卡片raw data'!BJ:BJ,MATCH($D501,'卡片raw data'!$F:$F,)),INDEX('卡片raw data'!BI:BI,MATCH($D501,'卡片raw data'!$F:$F,)))),IF(OR(AND($F501="UR",$P501=0),AND($F501="SR",$P501&gt;=0,$P501&lt;=2),AND($F501="R",$P501&gt;=0,$P501&lt;4)),INDEX('卡片raw data'!BG:BG,MATCH($D501,'卡片raw data'!$F:$F,)),0)+IF(OR(AND($F501="UR",$P501&gt;=1,$P501&lt;=4),AND($F501="SR",$P501&lt;=4,$P501&gt;=3),AND($F501="R",$P501=4)),INDEX('卡片raw data'!BH:BH,MATCH($D501,'卡片raw data'!$F:$F,)),0)+IF($P501=5,INDEX('卡片raw data'!BI:BI,MATCH($D501,'卡片raw data'!$F:$F,)),0)))</f>
        <v>0</v>
      </c>
      <c r="CC501" s="424">
        <f t="shared" si="640"/>
        <v>0</v>
      </c>
      <c r="CD501" s="420">
        <f>IF(BZ501="ap",CB501*(1-$FI$26)*$FB$5/$FB$11*(+IF(CA501="全员",$FA$24,0)+IF(CA501="同作战",$FA$24,0)+IF(CA501="仲间",$FA$24*2/3,0)+IF(CA501="同属性",$FA$24*$FA$37/3,0)+IF(CA501="同年级",$FA$24*$FA$40/3,0)+IF(CA501="同学校",$FA$24*$FA$43/3,0)+IF(CA501="同小队",$FA$24*$FA$46/3,0)+IF(CA501="同type",$FA$24*INDEX($FB$49:$FB$52,MATCH(X501,$FA$49:$FA$52,))/3,0)+IF(CA501="自身",#REF!/3,0)),0)+IF(BZ501="te",CB501*(1-$FI$27)*($FA$20-1)*$FB$7/$FB$13*(+IF(CA501="全员",$FA$19*$FA$24/(1+($FA$20-1)*$FA$19),0)+IF(CA501="同作战",$FA$19*$FA$24/(1+($FA$20-1)*$FA$19),0)+IF(CA501="仲间",$FA$19*$FA$24*2/3/(1+($FA$20-1)*$FA$19),0)+IF(CA501="同属性",$FA$19*$FA$24*$FA$37/3/(1+($FA$20-1)*$FA$19),0)+IF(CA501="同年级",$FA$19*$FA$24*$FA$40/3/(1+($FA$20-1)*$FA$19),0)+IF(CA501="同学校",$FA$19*$FA$24*$FA$43/3/(1+($FA$20-1)*$FA$19),0)+IF(CA501="同小队",$FA$19*$FA$24*$FA$46/3/(1+($FA$20-1)*$FA$19),0)+IF(CA501="同type",$FA$19*$FA$24*INDEX($FB$49:$FB$52,MATCH(X501,$FA$49:$FA$52,))/3/(1+($FA$20-1)*$FA$19),0)+IF(CA501="自身",$FA$19*#REF!/3/(1+(BH501-1)*$BD501),0)),0)</f>
        <v>0</v>
      </c>
      <c r="CE501" s="420">
        <f t="shared" si="641"/>
        <v>0</v>
      </c>
      <c r="CF501" s="436">
        <f t="shared" si="642"/>
        <v>0</v>
      </c>
      <c r="CG501" s="423">
        <f t="shared" si="643"/>
        <v>0</v>
      </c>
      <c r="CH501" s="433">
        <f t="shared" si="644"/>
        <v>0</v>
      </c>
      <c r="CI501" s="437" t="s">
        <v>172</v>
      </c>
      <c r="CJ501" s="438">
        <v>0.5</v>
      </c>
      <c r="CK501" s="439" t="s">
        <v>4157</v>
      </c>
      <c r="CL501" s="439" t="s">
        <v>4158</v>
      </c>
      <c r="CM501" s="443">
        <v>0.1</v>
      </c>
      <c r="CN501" s="439">
        <v>3</v>
      </c>
      <c r="CO501" s="1115"/>
      <c r="CP501" s="1118">
        <f t="shared" si="645"/>
        <v>3.5644112188399989E-2</v>
      </c>
      <c r="CQ501" s="1118">
        <f t="shared" si="646"/>
        <v>3.5644112188399989E-2</v>
      </c>
      <c r="CR501" s="1118">
        <f t="shared" si="647"/>
        <v>0</v>
      </c>
      <c r="CS501" s="1118">
        <f t="shared" si="648"/>
        <v>0</v>
      </c>
      <c r="CT501" s="1109">
        <f t="shared" si="649"/>
        <v>0</v>
      </c>
      <c r="CU501" s="1101">
        <f t="shared" si="650"/>
        <v>4171.5081083522273</v>
      </c>
      <c r="CV501" s="1108">
        <f t="shared" si="685"/>
        <v>288.62266087594128</v>
      </c>
      <c r="CW501" s="1097">
        <f t="shared" si="651"/>
        <v>0</v>
      </c>
      <c r="CX501" s="1097">
        <f t="shared" si="652"/>
        <v>4171.5081083522273</v>
      </c>
      <c r="CY501" s="1110">
        <f t="shared" si="653"/>
        <v>0</v>
      </c>
      <c r="CZ501" s="437"/>
      <c r="DA501" s="438"/>
      <c r="DB501" s="439" t="s">
        <v>569</v>
      </c>
      <c r="DC501" s="439"/>
      <c r="DD501" s="443"/>
      <c r="DE501" s="411"/>
      <c r="DF501" s="411"/>
      <c r="DG501" s="1116">
        <f t="shared" si="654"/>
        <v>0</v>
      </c>
      <c r="DH501" s="1116">
        <f t="shared" si="655"/>
        <v>0</v>
      </c>
      <c r="DI501" s="1116">
        <f t="shared" si="656"/>
        <v>0</v>
      </c>
      <c r="DJ501" s="442">
        <f t="shared" si="657"/>
        <v>0</v>
      </c>
      <c r="DK501" s="432">
        <f t="shared" si="658"/>
        <v>0</v>
      </c>
      <c r="DL501" s="424">
        <f t="shared" si="659"/>
        <v>0</v>
      </c>
      <c r="DM501" s="420">
        <f t="shared" si="660"/>
        <v>0</v>
      </c>
      <c r="DN501" s="420">
        <f t="shared" si="661"/>
        <v>0</v>
      </c>
      <c r="DO501" s="420">
        <f t="shared" si="662"/>
        <v>0</v>
      </c>
      <c r="DP501" s="433">
        <f t="shared" si="663"/>
        <v>0</v>
      </c>
      <c r="DQ501" s="1113" t="s">
        <v>4157</v>
      </c>
      <c r="DR501" s="1120">
        <f t="shared" si="664"/>
        <v>0.33</v>
      </c>
      <c r="DS501" s="1124">
        <v>5</v>
      </c>
      <c r="DT501" s="1124" t="s">
        <v>4159</v>
      </c>
      <c r="DU501" s="1093" t="s">
        <v>544</v>
      </c>
      <c r="DV501" s="1098">
        <f>IF($P501="","N/A",IF(P501=-1,INDEX('卡片raw data'!AN:AN,MATCH(D501,'卡片raw data'!$F:$F,)),0)+IF(AND(L501&lt;&gt;"party卡",P501&lt;=2,P501&gt;=0),INDEX('卡片raw data'!AP:AP,MATCH(D501,'卡片raw data'!$F:$F,)),0)+IF(OR(AND(L501="party卡",P501&lt;=1),AND(P501&lt;=4,L501&lt;&gt;"party卡",P501&gt;=3)),INDEX('卡片raw data'!AQ:AQ,MATCH(D501,'卡片raw data'!$F:$F,)),0)+IF(OR(P501=5,AND(L501="party卡",P501&gt;=2)),INDEX('卡片raw data'!AR:AR,MATCH(D501,'卡片raw data'!$F:$F,)),0))</f>
        <v>0.18</v>
      </c>
      <c r="DW501" s="1098">
        <f t="shared" si="665"/>
        <v>0.33</v>
      </c>
      <c r="DX501" s="1098">
        <f t="shared" si="666"/>
        <v>0.33</v>
      </c>
      <c r="DY501" s="1098">
        <f t="shared" si="667"/>
        <v>4.7725114044344E-2</v>
      </c>
      <c r="DZ501" s="1098">
        <f t="shared" si="668"/>
        <v>3.4145973648357565E-2</v>
      </c>
      <c r="EA501" s="421">
        <f t="shared" si="669"/>
        <v>0</v>
      </c>
      <c r="EB501" s="445">
        <f t="shared" si="670"/>
        <v>0</v>
      </c>
      <c r="EC501" s="424">
        <f t="shared" si="671"/>
        <v>5585.3740768105363</v>
      </c>
      <c r="ED501" s="420">
        <f t="shared" si="672"/>
        <v>276.49171679456333</v>
      </c>
      <c r="EE501" s="433">
        <f t="shared" si="683"/>
        <v>5585.3740768105363</v>
      </c>
      <c r="EF501" s="1115" t="s">
        <v>569</v>
      </c>
      <c r="EG501" s="1120">
        <f t="shared" si="673"/>
        <v>0.33</v>
      </c>
      <c r="EH501" s="450"/>
      <c r="EI501" s="1093"/>
      <c r="EJ501" s="1093"/>
      <c r="EK501" s="420">
        <f>IF($P501="","N/A",IF(P501=-1,INDEX('卡片raw data'!AS:AS,MATCH(D501,'卡片raw data'!$F:$F,)),0)+IF(AND(L501&lt;&gt;"party卡",P501&lt;=2,P501&gt;=0),INDEX('卡片raw data'!AU:AU,MATCH(D501,'卡片raw data'!$F:$F,)),0)+IF(OR(AND(L501="party卡",P501&lt;=1),AND(P501&lt;=4,L501&lt;&gt;"party卡",P501&gt;=3)),INDEX('卡片raw data'!AV:AV,MATCH(D501,'卡片raw data'!$F:$F,)),0)+IF(OR(P501=5,AND(L501="party卡",P501&gt;=2)),INDEX('卡片raw data'!AW:AW,MATCH(D501,'卡片raw data'!$F:$F,)),0))</f>
        <v>0</v>
      </c>
      <c r="EL501" s="1098">
        <f t="shared" si="674"/>
        <v>0.33</v>
      </c>
      <c r="EM501" s="1098">
        <f t="shared" si="675"/>
        <v>0.33</v>
      </c>
      <c r="EN501" s="1097">
        <f t="shared" si="676"/>
        <v>0</v>
      </c>
      <c r="EO501" s="1097">
        <f t="shared" si="677"/>
        <v>0</v>
      </c>
      <c r="EP501" s="421">
        <f t="shared" si="678"/>
        <v>0</v>
      </c>
      <c r="EQ501" s="445">
        <f t="shared" si="679"/>
        <v>0</v>
      </c>
      <c r="ER501" s="424">
        <f t="shared" si="680"/>
        <v>0</v>
      </c>
      <c r="ES501" s="420">
        <f t="shared" si="681"/>
        <v>0</v>
      </c>
      <c r="ET501" s="446">
        <f t="shared" si="684"/>
        <v>0</v>
      </c>
    </row>
    <row r="502" spans="2:150" ht="16.5" customHeight="1">
      <c r="B502" s="1123" t="str">
        <f>INDEX('卡片raw data'!B:B,MATCH($D502,'卡片raw data'!$F:$F,))</f>
        <v>虹心彼</v>
      </c>
      <c r="C502" s="449" t="s">
        <v>4155</v>
      </c>
      <c r="D502" s="408">
        <v>499</v>
      </c>
      <c r="E502" s="477">
        <v>402062005</v>
      </c>
      <c r="F502" s="409" t="str">
        <f>INDEX('卡片raw data'!C:C,MATCH($D502,'卡片raw data'!$F:$F,))</f>
        <v>SR</v>
      </c>
      <c r="G502" s="1094" t="s">
        <v>4171</v>
      </c>
      <c r="H502" s="411">
        <f>IFERROR(INDEX(绊状态确认!C:C,MATCH($G502,绊状态确认!$B:$B,)),"")</f>
        <v>206</v>
      </c>
      <c r="I502" s="1124" t="str">
        <f>IFERROR(INDEX(绊状态确认!D:D,MATCH($G502,绊状态确认!$B:$B,)),"")</f>
        <v>虹</v>
      </c>
      <c r="J502" s="1124" t="str">
        <f>IFERROR(INDEX(绊状态确认!E:E,MATCH($G502,绊状态确认!$B:$B,)),"")</f>
        <v>3年级</v>
      </c>
      <c r="K502" s="451" t="str">
        <f>IFERROR(INDEX(绊状态确认!F:F,MATCH($G502,绊状态确认!$B:$B,)),"")</f>
        <v>QU4RTZ</v>
      </c>
      <c r="L502" s="414" t="str">
        <f>INDEX('卡片raw data'!E:E,MATCH($D502,'卡片raw data'!$F:$F,))</f>
        <v>卡池卡</v>
      </c>
      <c r="M502" s="478">
        <v>44397</v>
      </c>
      <c r="N502" s="479">
        <v>44</v>
      </c>
      <c r="O502" s="410" t="str">
        <f>INDEX('卡片raw data'!D:D,MATCH($D502,'卡片raw data'!$F:$F,))</f>
        <v>sp</v>
      </c>
      <c r="P502" s="1126">
        <v>5</v>
      </c>
      <c r="Q502" s="418">
        <f t="shared" si="600"/>
        <v>27886.17670150318</v>
      </c>
      <c r="R502" s="419">
        <f t="shared" si="601"/>
        <v>0.32400000000000001</v>
      </c>
      <c r="S502" s="420">
        <f t="shared" si="602"/>
        <v>16000.336074683612</v>
      </c>
      <c r="T502" s="421">
        <f t="shared" si="603"/>
        <v>0.8</v>
      </c>
      <c r="U502" s="422">
        <f t="shared" si="604"/>
        <v>13.392996952362857</v>
      </c>
      <c r="V502" s="423">
        <f t="shared" si="605"/>
        <v>27157.668390356524</v>
      </c>
      <c r="W502" s="424">
        <f t="shared" si="606"/>
        <v>4519.3603736488312</v>
      </c>
      <c r="X502" s="419">
        <f t="shared" si="607"/>
        <v>5.1999999999999998E-2</v>
      </c>
      <c r="Y502" s="420">
        <f t="shared" si="608"/>
        <v>1071.4916888533453</v>
      </c>
      <c r="Z502" s="425">
        <f t="shared" si="609"/>
        <v>13.392996952362857</v>
      </c>
      <c r="AA502" s="426">
        <f t="shared" si="610"/>
        <v>5590.8520625021765</v>
      </c>
      <c r="AB502" s="424">
        <f t="shared" si="611"/>
        <v>5039.4303253876451</v>
      </c>
      <c r="AC502" s="427">
        <f t="shared" si="612"/>
        <v>5.8000000000000003E-2</v>
      </c>
      <c r="AD502" s="428">
        <f t="shared" si="613"/>
        <v>-1.9908281250000003E-2</v>
      </c>
      <c r="AE502" s="516">
        <f t="shared" si="614"/>
        <v>-1.3514492753623202</v>
      </c>
      <c r="AF502" s="1130">
        <f t="shared" si="615"/>
        <v>0</v>
      </c>
      <c r="AG502" s="420">
        <f t="shared" si="616"/>
        <v>0</v>
      </c>
      <c r="AH502" s="420">
        <f t="shared" si="617"/>
        <v>0</v>
      </c>
      <c r="AI502" s="1097">
        <f t="shared" si="618"/>
        <v>0</v>
      </c>
      <c r="AJ502" s="420">
        <f t="shared" si="619"/>
        <v>0</v>
      </c>
      <c r="AK502" s="518">
        <f t="shared" si="620"/>
        <v>0</v>
      </c>
      <c r="AL502" s="429">
        <f>IF($P502="","N/A",(IF($P502=-1,INDEX('卡片raw data'!S:S,MATCH($D502,'卡片raw data'!$F:$F,)),0)+IF($P502=0,INDEX('卡片raw data'!V:V,MATCH($D502,'卡片raw data'!$F:$F,)),0)+IF($P502=1,INDEX('卡片raw data'!Y:Y,MATCH($D502,'卡片raw data'!$F:$F,)),0)+IF($P502=2,INDEX('卡片raw data'!AB:AB,MATCH($D502,'卡片raw data'!$F:$F,)),0)+IF($P502=3,INDEX('卡片raw data'!AE:AE,MATCH($D502,'卡片raw data'!$F:$F,)),0)+IF($P502=4,INDEX('卡片raw data'!AH:AH,MATCH($D502,'卡片raw data'!$F:$F,)),0)+IF($P502=5,INDEX('卡片raw data'!AK:AK,MATCH($D502,'卡片raw data'!$F:$F,)),0)+INDEX('卡片raw data'!S:S,MATCH($D502,'卡片raw data'!$F:$F,))*(IF($F502="UR",0.04,0.033))*(IF($F502="UR",INDEX(绊状态确认!$S:$S,MATCH($G502,绊状态确认!$B:$B,))/2-40)+IF($F502="SR",INDEX(绊状态确认!$R:$R,MATCH($G502,绊状态确认!$B:$B,))/4-15))+IF($F502="R",INDEX(绊状态确认!$Q:$Q,MATCH($G502,绊状态确认!$B:$B,))/6-40/6)))*(INDEX(绊状态确认!$H:$H,MATCH($G502,绊状态确认!$B:$B,))+INDEX(绊状态确认!J:J,MATCH($G502,绊状态确认!$B:$B,)))</f>
        <v>8105.7457391999997</v>
      </c>
      <c r="AM502" s="429">
        <f>IF($P502="","N/A",(IF($P502=-1,INDEX('卡片raw data'!T:T,MATCH($D502,'卡片raw data'!$F:$F,)),0)+IF($P502=0,INDEX('卡片raw data'!W:W,MATCH($D502,'卡片raw data'!$F:$F,)),0)+IF($P502=1,INDEX('卡片raw data'!Z:Z,MATCH($D502,'卡片raw data'!$F:$F,)),0)+IF($P502=2,INDEX('卡片raw data'!AC:AC,MATCH($D502,'卡片raw data'!$F:$F,)),0)+IF($P502=3,INDEX('卡片raw data'!AF:AF,MATCH($D502,'卡片raw data'!$F:$F,)),0)+IF($P502=4,INDEX('卡片raw data'!AI:AI,MATCH($D502,'卡片raw data'!$F:$F,)),0)+IF($P502=5,INDEX('卡片raw data'!AL:AL,MATCH($D502,'卡片raw data'!$F:$F,)),0)+INDEX('卡片raw data'!T:T,MATCH($D502,'卡片raw data'!$F:$F,))*(IF($F502="UR",0.04,0.033))*(IF($F502="UR",INDEX(绊状态确认!$S:$S,MATCH($G502,绊状态确认!$B:$B,))/2-40)+IF($F502="SR",INDEX(绊状态确认!$R:$R,MATCH($G502,绊状态确认!$B:$B,))/4-15))+IF($F502="R",INDEX(绊状态确认!$Q:$Q,MATCH($G502,绊状态确认!$B:$B,))/6-40/6)))*(INDEX(绊状态确认!$H:$H,MATCH($G502,绊状态确认!$B:$B,))+INDEX(绊状态确认!K:K,MATCH($G502,绊状态确认!$B:$B,)))</f>
        <v>7176.6523727999993</v>
      </c>
      <c r="AN502" s="429">
        <f>IF($P502="","N/A",(IF($P502=-1,INDEX('卡片raw data'!U:U,MATCH($D502,'卡片raw data'!$F:$F,)),0)+IF($P502=0,INDEX('卡片raw data'!X:X,MATCH($D502,'卡片raw data'!$F:$F,)),0)+IF($P502=1,INDEX('卡片raw data'!AA:AA,MATCH($D502,'卡片raw data'!$F:$F,)),0)+IF($P502=2,INDEX('卡片raw data'!AD:AD,MATCH($D502,'卡片raw data'!$F:$F,)),0)+IF($P502=3,INDEX('卡片raw data'!AG:AG,MATCH($D502,'卡片raw data'!$F:$F,)),0)+IF($P502=4,INDEX('卡片raw data'!AJ:AJ,MATCH($D502,'卡片raw data'!$F:$F,)),0)+IF($P502=5,INDEX('卡片raw data'!AM:AM,MATCH($D502,'卡片raw data'!$F:$F,)),0)+INDEX('卡片raw data'!U:U,MATCH($D502,'卡片raw data'!$F:$F,))*(IF($F502="UR",0.04,0.033))*(IF($F502="UR",INDEX(绊状态确认!$S:$S,MATCH($G502,绊状态确认!$B:$B,))/2-40)+IF($F502="SR",INDEX(绊状态确认!$R:$R,MATCH($G502,绊状态确认!$B:$B,))/4-15))+IF($F502="R",INDEX(绊状态确认!$Q:$Q,MATCH($G502,绊状态确认!$B:$B,))/6-40/6)))*(INDEX(绊状态确认!$H:$H,MATCH($G502,绊状态确认!$B:$B,))+INDEX(绊状态确认!L:L,MATCH($G502,绊状态确认!$B:$B,)))</f>
        <v>7872.904197599999</v>
      </c>
      <c r="AO502" s="430">
        <f t="shared" si="621"/>
        <v>1</v>
      </c>
      <c r="AP502" s="556">
        <f>1+(INDEX(绊状态确认!$T:$T,MATCH($G502,绊状态确认!$B:$B,))+0.2)*$AO502</f>
        <v>1.3</v>
      </c>
      <c r="AQ502" s="431">
        <f t="shared" si="622"/>
        <v>24527.5825654</v>
      </c>
      <c r="AR502" s="420">
        <f>(AM502*(1+$EX$9)+$EX$35)*(1+(INDEX(绊状态确认!$T:$T,MATCH($G502,绊状态确认!$B:$B,))+0.2)*AO502)*IF(J502=$FF$17,1+$FE$17,1)*IF(I502=$FF$14,1+$FE$14,1)</f>
        <v>12500.130488872001</v>
      </c>
      <c r="AS502" s="420">
        <f>(AN502*(1+$EX$10)+$EX$36)*(1+(INDEX(绊状态确认!$T:$T,MATCH($G502,绊状态确认!$B:$B,))+0.2)*AO502)*IF(J502=$FF$17,1+$FE$17,1)*IF(I502=$FF$14,1+$FE$14,1)</f>
        <v>15825.991775411996</v>
      </c>
      <c r="AT502" s="412">
        <f>IF(AND(INDEX('卡片raw data'!AK:AK,MATCH($D502,'卡片raw data'!$F:$F,))&lt;INDEX('卡片raw data'!AM:AM,MATCH($D502,'卡片raw data'!$F:$F,)),INDEX('卡片raw data'!AL:AL,MATCH($D502,'卡片raw data'!$F:$F,))&lt;INDEX('卡片raw data'!AM:AM,MATCH($D502,'卡片raw data'!$F:$F,))),1,0)</f>
        <v>0</v>
      </c>
      <c r="AU502" s="421">
        <f>MIN(AT502*0.15+AS502*0.00003+INDEX(绊状态确认!M:M,MATCH($G502,绊状态确认!$B:$B,)),1)</f>
        <v>0.50477975326235991</v>
      </c>
      <c r="AV502" s="432">
        <f>(INDEX(绊状态确认!$N:$N,MATCH($G502,绊状态确认!$B:$B,))+1.5)*$EW$21</f>
        <v>2.6599999999999997</v>
      </c>
      <c r="AW502" s="424">
        <f t="shared" si="623"/>
        <v>23412.194008194405</v>
      </c>
      <c r="AX502" s="420">
        <f t="shared" si="624"/>
        <v>1071.4916888533455</v>
      </c>
      <c r="AY502" s="433">
        <f t="shared" si="625"/>
        <v>24483.685697047749</v>
      </c>
      <c r="AZ502" s="429">
        <f t="shared" si="626"/>
        <v>18406.20419144</v>
      </c>
      <c r="BA502" s="431">
        <f t="shared" si="627"/>
        <v>22087.445029727998</v>
      </c>
      <c r="BB502" s="420">
        <f>(AM502*(1+$FB$9)+$FB$35)*(1+(INDEX(绊状态确认!$T:$T,MATCH($G502,绊状态确认!$B:$B,))+0.2)*AO502)*IF(J502=$FF$17,1+$FE$17,1)*IF(I502=$FF$14,1+$FE$14,1)*(1+$FE$15)</f>
        <v>12500.130488872001</v>
      </c>
      <c r="BC502" s="420">
        <f>(AN502*(1+$FB$10)+$FB$36)*(1+(INDEX(绊状态确认!$T:$T,MATCH($G502,绊状态确认!$B:$B,))+0.2)*AO502)*IF(J502=$FF$17,1+$FE$17,1)*IF(I502=$FF$14,1+$FE$14,1)*(1+$FE$15)</f>
        <v>15825.991775411996</v>
      </c>
      <c r="BD502" s="427">
        <f>MIN(AT502*0.15+BC502*0.00003+INDEX(绊状态确认!M:M,MATCH($G502,绊状态确认!$B:$B,)),1)</f>
        <v>0.50477975326235991</v>
      </c>
      <c r="BE502" s="432">
        <f>(INDEX(绊状态确认!$N:$N,MATCH($G502,绊状态确认!$B:$B,))+1.5)</f>
        <v>1.9</v>
      </c>
      <c r="BF502" s="645">
        <f t="array" ref="BF502">SUMPRODUCT(IF(AZ502*AP502*$FI$16:$FI$23*$FA$22&gt;=$FI$24,$FI$24,AZ502*AP502*$FI$16:$FI$23*$FA$22),$FJ$16:$FJ$23)</f>
        <v>36609.940136774159</v>
      </c>
      <c r="BG502" s="453">
        <f t="array" ref="BG502">SUMPRODUCT(IF(BE502*AZ502*AP502*$FI$16:$FI$23*$FA$22&gt;=$FI$24,$FI$24,BE502*AZ502*AP502*$FI$16:$FI$23*$FA$22),$FJ$16:$FJ$23)</f>
        <v>59365.831088214196</v>
      </c>
      <c r="BH502" s="433">
        <f t="shared" si="628"/>
        <v>16032.217718835744</v>
      </c>
      <c r="BI502" s="434">
        <f>IF(O502="vo",$EW$26/$EW$24*0.05,0)+IF(O502="sk",-$EW$26/$EW$24*(0.05-INDEX(绊状态确认!W:W,MATCH($G502,绊状态确认!$B:$B,)))+0.05*$EW$28,0)+IF(O502="sp",0.05*$EW$32*$EW$30*(1-$EW$33)-(0.05-INDEX(绊状态确认!V:V,MATCH($G502,绊状态确认!$B:$B,)))*$EW$28,0)+IF(O502="gd",-(0.05-INDEX(绊状态确认!X:X,MATCH($G502,绊状态确认!$B:$B,)))*$EW$32*$EW$30*(1-$EW$33),0)</f>
        <v>19.999999999999886</v>
      </c>
      <c r="BJ502" s="420">
        <f>IF(O502="vo",0.05*(1-$FI$26)*$FA$24,0)+IF(O502="sk",-(0.05-INDEX(绊状态确认!W:W,MATCH($G502,绊状态确认!$B:$B,)))*(1-$FI$26)*$FA$24+0.05*$FA$26,0)+IF(O502="sp",0.05*$FA$32*$FA$27*(1-$FA$33)/$FA$30+0.05*$FA$29/$FA$69*$FA$27*(1-$FA$33)-(0.05-INDEX(绊状态确认!V:V,MATCH($G502,绊状态确认!$B:$B,)))*$FA$26,0)+IF(O502="gd",-(0.05-INDEX(绊状态确认!X:X,MATCH($G502,绊状态确认!$B:$B,)))*$FA$32*$FA$27*(1-$FA$33)/$FA$30-(0.05-INDEX(绊状态确认!X:X,MATCH($G502,绊状态确认!$B:$B,)))*$FA$29/$FA$69*$FA$27*(1-$FA$33),0)</f>
        <v>545.83333333333326</v>
      </c>
      <c r="BK502" s="433">
        <f>IF(O502="vo",$EW$26/$EW$24*0.05+$EW$26*(-HP($EW$62,$EW$65,$EW$64)+HP($EW$62,$EW$65,(1.05-INDEX(绊状态确认!U:U,MATCH($G502,绊状态确认!$B:$B,)))*$EW$64)),0)+IF(O502="sk",-$EW$26/$EW$24*(0.05-INDEX(绊状态确认!W:W,MATCH($G502,绊状态确认!$B:$B,)))+0.05*$EW$29,0)+IF(O502="sp",0.05*$EW$32*$EW$30*(1-$EW$33)-(0.05-INDEX(绊状态确认!V:V,MATCH($G502,绊状态确认!$B:$B,)))*$EW$29,0)+IF(O502="gd",-(0.05-INDEX(绊状态确认!X:X,MATCH($G502,绊状态确认!$B:$B,)))*$EW$32*$EW$30*(1-$EW$33)+$EW$26*(-HP($EW$62,$EW$65,$EW$64)+HP($EW$62,$EW$65,0.95*$EW$64)),0)</f>
        <v>-1780.0000000000005</v>
      </c>
      <c r="BL502" s="434">
        <f t="shared" si="629"/>
        <v>-1083.3333333333333</v>
      </c>
      <c r="BM502" s="433">
        <f t="shared" si="630"/>
        <v>-830.55555555555543</v>
      </c>
      <c r="BN502" s="437">
        <f t="shared" si="631"/>
        <v>3</v>
      </c>
      <c r="BO502" s="1108">
        <f t="shared" si="632"/>
        <v>4507.7214871259994</v>
      </c>
      <c r="BP502" s="1100">
        <f t="shared" si="633"/>
        <v>221.34103209030098</v>
      </c>
      <c r="BQ502" s="1113" t="s">
        <v>134</v>
      </c>
      <c r="BR502" s="1124" t="s">
        <v>166</v>
      </c>
      <c r="BS502" s="421">
        <f>IF($P502="","N/A",IF($P502=-1,INDEX('卡片raw data'!AX:AX,MATCH($D502,'卡片raw data'!$F:$F,)),0)+IF($L502="party卡",IF($P502=5,INDEX('卡片raw data'!BD:BD,MATCH($D502,'卡片raw data'!$F:$F,)),IF($P502&gt;=3,INDEX('卡片raw data'!BC:BC,MATCH($D502,'卡片raw data'!$F:$F,)),INDEX('卡片raw data'!BB:BB,MATCH($D502,'卡片raw data'!$F:$F,)))),IF(OR(AND($F502="UR",$P502=0),AND($F502="SR",$P502&gt;=0,$P502&lt;=2),AND($F502="R",$P502&gt;=0,$P502&lt;4)),INDEX('卡片raw data'!AZ:AZ,MATCH($D502,'卡片raw data'!$F:$F,)),0)+IF(OR(AND($F502="UR",$P502&gt;=1,$P502&lt;=4),AND($F502="SR",$P502&lt;=4,$P502&gt;=3),AND($F502="R",$P502=4)),INDEX('卡片raw data'!BA:BA,MATCH($D502,'卡片raw data'!$F:$F,)),0)+IF($P502=5,INDEX('卡片raw data'!BB:BB,MATCH($D502,'卡片raw data'!$F:$F,)),0)))</f>
        <v>7.0000000000000007E-2</v>
      </c>
      <c r="BT502" s="424">
        <f t="shared" si="634"/>
        <v>520.06995173881421</v>
      </c>
      <c r="BU502" s="420">
        <f t="shared" si="635"/>
        <v>31.499545979787364</v>
      </c>
      <c r="BV502" s="420">
        <f t="shared" si="636"/>
        <v>0</v>
      </c>
      <c r="BW502" s="436">
        <f t="shared" si="637"/>
        <v>0</v>
      </c>
      <c r="BX502" s="423">
        <f t="shared" si="638"/>
        <v>520.06995173881421</v>
      </c>
      <c r="BY502" s="433">
        <f t="shared" si="639"/>
        <v>0</v>
      </c>
      <c r="BZ502" s="1113" t="s">
        <v>569</v>
      </c>
      <c r="CA502" s="1124"/>
      <c r="CB502" s="421">
        <f>IF($P502="","N/A",IF($P502=-1,INDEX('卡片raw data'!BE:BE,MATCH($D502,'卡片raw data'!$F:$F,)),0)+IF($L502="party卡",IF($P502=5,INDEX('卡片raw data'!BK:BK,MATCH($D502,'卡片raw data'!$F:$F,)),IF($P502&gt;=3,INDEX('卡片raw data'!BJ:BJ,MATCH($D502,'卡片raw data'!$F:$F,)),INDEX('卡片raw data'!BI:BI,MATCH($D502,'卡片raw data'!$F:$F,)))),IF(OR(AND($F502="UR",$P502=0),AND($F502="SR",$P502&gt;=0,$P502&lt;=2),AND($F502="R",$P502&gt;=0,$P502&lt;4)),INDEX('卡片raw data'!BG:BG,MATCH($D502,'卡片raw data'!$F:$F,)),0)+IF(OR(AND($F502="UR",$P502&gt;=1,$P502&lt;=4),AND($F502="SR",$P502&lt;=4,$P502&gt;=3),AND($F502="R",$P502=4)),INDEX('卡片raw data'!BH:BH,MATCH($D502,'卡片raw data'!$F:$F,)),0)+IF($P502=5,INDEX('卡片raw data'!BI:BI,MATCH($D502,'卡片raw data'!$F:$F,)),0)))</f>
        <v>0</v>
      </c>
      <c r="CC502" s="424">
        <f t="shared" si="640"/>
        <v>0</v>
      </c>
      <c r="CD502" s="420">
        <f>IF(BZ502="ap",CB502*(1-$FI$26)*$FB$5/$FB$11*(+IF(CA502="全员",$FA$24,0)+IF(CA502="同作战",$FA$24,0)+IF(CA502="仲间",$FA$24*2/3,0)+IF(CA502="同属性",$FA$24*$FA$37/3,0)+IF(CA502="同年级",$FA$24*$FA$40/3,0)+IF(CA502="同学校",$FA$24*$FA$43/3,0)+IF(CA502="同小队",$FA$24*$FA$46/3,0)+IF(CA502="同type",$FA$24*INDEX($FB$49:$FB$52,MATCH(X502,$FA$49:$FA$52,))/3,0)+IF(CA502="自身",#REF!/3,0)),0)+IF(BZ502="te",CB502*(1-$FI$27)*($FA$20-1)*$FB$7/$FB$13*(+IF(CA502="全员",$FA$19*$FA$24/(1+($FA$20-1)*$FA$19),0)+IF(CA502="同作战",$FA$19*$FA$24/(1+($FA$20-1)*$FA$19),0)+IF(CA502="仲间",$FA$19*$FA$24*2/3/(1+($FA$20-1)*$FA$19),0)+IF(CA502="同属性",$FA$19*$FA$24*$FA$37/3/(1+($FA$20-1)*$FA$19),0)+IF(CA502="同年级",$FA$19*$FA$24*$FA$40/3/(1+($FA$20-1)*$FA$19),0)+IF(CA502="同学校",$FA$19*$FA$24*$FA$43/3/(1+($FA$20-1)*$FA$19),0)+IF(CA502="同小队",$FA$19*$FA$24*$FA$46/3/(1+($FA$20-1)*$FA$19),0)+IF(CA502="同type",$FA$19*$FA$24*INDEX($FB$49:$FB$52,MATCH(X502,$FA$49:$FA$52,))/3/(1+($FA$20-1)*$FA$19),0)+IF(CA502="自身",$FA$19*#REF!/3/(1+(BH502-1)*$BD502),0)),0)</f>
        <v>0</v>
      </c>
      <c r="CE502" s="420">
        <f t="shared" si="641"/>
        <v>0</v>
      </c>
      <c r="CF502" s="436">
        <f t="shared" si="642"/>
        <v>0</v>
      </c>
      <c r="CG502" s="423">
        <f t="shared" si="643"/>
        <v>0</v>
      </c>
      <c r="CH502" s="433">
        <f t="shared" si="644"/>
        <v>0</v>
      </c>
      <c r="CI502" s="437" t="s">
        <v>162</v>
      </c>
      <c r="CJ502" s="438">
        <v>0.3</v>
      </c>
      <c r="CK502" s="439" t="s">
        <v>4172</v>
      </c>
      <c r="CL502" s="439" t="s">
        <v>4173</v>
      </c>
      <c r="CM502" s="443">
        <v>0.08</v>
      </c>
      <c r="CN502" s="1115"/>
      <c r="CO502" s="1115"/>
      <c r="CP502" s="1116">
        <f t="shared" si="645"/>
        <v>8.1390814844975967</v>
      </c>
      <c r="CQ502" s="1116">
        <f t="shared" si="646"/>
        <v>12.660793420329595</v>
      </c>
      <c r="CR502" s="1117">
        <f t="shared" si="647"/>
        <v>8.1390814844975967</v>
      </c>
      <c r="CS502" s="1118">
        <f t="shared" si="648"/>
        <v>0</v>
      </c>
      <c r="CT502" s="1109">
        <f t="shared" si="649"/>
        <v>0</v>
      </c>
      <c r="CU502" s="1101">
        <f t="shared" si="650"/>
        <v>11.638886522831564</v>
      </c>
      <c r="CV502" s="1108">
        <f t="shared" si="685"/>
        <v>0</v>
      </c>
      <c r="CW502" s="1097">
        <f t="shared" si="651"/>
        <v>11.638886522831566</v>
      </c>
      <c r="CX502" s="1097">
        <f t="shared" si="652"/>
        <v>11.638886522831564</v>
      </c>
      <c r="CY502" s="1110">
        <f t="shared" si="653"/>
        <v>11.638886522831566</v>
      </c>
      <c r="CZ502" s="437"/>
      <c r="DA502" s="438"/>
      <c r="DB502" s="439" t="s">
        <v>569</v>
      </c>
      <c r="DC502" s="439"/>
      <c r="DD502" s="443"/>
      <c r="DE502" s="411"/>
      <c r="DF502" s="411"/>
      <c r="DG502" s="1116">
        <f t="shared" si="654"/>
        <v>0</v>
      </c>
      <c r="DH502" s="1116">
        <f t="shared" si="655"/>
        <v>0</v>
      </c>
      <c r="DI502" s="1116">
        <f t="shared" si="656"/>
        <v>0</v>
      </c>
      <c r="DJ502" s="442">
        <f t="shared" si="657"/>
        <v>0</v>
      </c>
      <c r="DK502" s="432">
        <f t="shared" si="658"/>
        <v>0</v>
      </c>
      <c r="DL502" s="424">
        <f t="shared" si="659"/>
        <v>0</v>
      </c>
      <c r="DM502" s="420">
        <f t="shared" si="660"/>
        <v>0</v>
      </c>
      <c r="DN502" s="420">
        <f t="shared" si="661"/>
        <v>0</v>
      </c>
      <c r="DO502" s="420">
        <f t="shared" si="662"/>
        <v>0</v>
      </c>
      <c r="DP502" s="433">
        <f t="shared" si="663"/>
        <v>0</v>
      </c>
      <c r="DQ502" s="1113" t="s">
        <v>4172</v>
      </c>
      <c r="DR502" s="1120">
        <f t="shared" si="664"/>
        <v>0.3</v>
      </c>
      <c r="DS502" s="1124"/>
      <c r="DT502" s="1124" t="s">
        <v>4173</v>
      </c>
      <c r="DU502" s="1124"/>
      <c r="DV502" s="1098">
        <f>IF($P502="","N/A",IF(P502=-1,INDEX('卡片raw data'!AN:AN,MATCH(D502,'卡片raw data'!$F:$F,)),0)+IF(AND(L502&lt;&gt;"party卡",P502&lt;=2,P502&gt;=0),INDEX('卡片raw data'!AP:AP,MATCH(D502,'卡片raw data'!$F:$F,)),0)+IF(OR(AND(L502="party卡",P502&lt;=1),AND(P502&lt;=4,L502&lt;&gt;"party卡",P502&gt;=3)),INDEX('卡片raw data'!AQ:AQ,MATCH(D502,'卡片raw data'!$F:$F,)),0)+IF(OR(P502=5,AND(L502="party卡",P502&gt;=2)),INDEX('卡片raw data'!AR:AR,MATCH(D502,'卡片raw data'!$F:$F,)),0))</f>
        <v>0.22</v>
      </c>
      <c r="DW502" s="1098">
        <f t="shared" si="665"/>
        <v>0.3</v>
      </c>
      <c r="DX502" s="1098">
        <f t="shared" si="666"/>
        <v>0.3</v>
      </c>
      <c r="DY502" s="1097">
        <f t="shared" si="667"/>
        <v>348.17181905906386</v>
      </c>
      <c r="DZ502" s="1097">
        <f t="shared" si="668"/>
        <v>301.16862348609021</v>
      </c>
      <c r="EA502" s="421">
        <f t="shared" si="669"/>
        <v>0</v>
      </c>
      <c r="EB502" s="445">
        <f t="shared" si="670"/>
        <v>0</v>
      </c>
      <c r="EC502" s="424">
        <f t="shared" si="671"/>
        <v>497.88570125446137</v>
      </c>
      <c r="ED502" s="420">
        <f t="shared" si="672"/>
        <v>0</v>
      </c>
      <c r="EE502" s="433">
        <f t="shared" si="683"/>
        <v>497.88570125446137</v>
      </c>
      <c r="EF502" s="1115" t="s">
        <v>569</v>
      </c>
      <c r="EG502" s="1120">
        <f t="shared" si="673"/>
        <v>0.3</v>
      </c>
      <c r="EH502" s="1124"/>
      <c r="EI502" s="1093"/>
      <c r="EJ502" s="1093"/>
      <c r="EK502" s="1097">
        <f>IF($P502="","N/A",IF(P502=-1,INDEX('卡片raw data'!AS:AS,MATCH(D502,'卡片raw data'!$F:$F,)),0)+IF(AND(L502&lt;&gt;"party卡",P502&lt;=2,P502&gt;=0),INDEX('卡片raw data'!AU:AU,MATCH(D502,'卡片raw data'!$F:$F,)),0)+IF(OR(AND(L502="party卡",P502&lt;=1),AND(P502&lt;=4,L502&lt;&gt;"party卡",P502&gt;=3)),INDEX('卡片raw data'!AV:AV,MATCH(D502,'卡片raw data'!$F:$F,)),0)+IF(OR(P502=5,AND(L502="party卡",P502&gt;=2)),INDEX('卡片raw data'!AW:AW,MATCH(D502,'卡片raw data'!$F:$F,)),0))</f>
        <v>0</v>
      </c>
      <c r="EL502" s="1098">
        <f t="shared" si="674"/>
        <v>0.3</v>
      </c>
      <c r="EM502" s="1098">
        <f t="shared" si="675"/>
        <v>0.3</v>
      </c>
      <c r="EN502" s="1097">
        <f t="shared" si="676"/>
        <v>0</v>
      </c>
      <c r="EO502" s="1097">
        <f t="shared" si="677"/>
        <v>0</v>
      </c>
      <c r="EP502" s="421">
        <f t="shared" si="678"/>
        <v>0</v>
      </c>
      <c r="EQ502" s="445">
        <f t="shared" si="679"/>
        <v>0</v>
      </c>
      <c r="ER502" s="424">
        <f t="shared" si="680"/>
        <v>0</v>
      </c>
      <c r="ES502" s="420">
        <f t="shared" si="681"/>
        <v>0</v>
      </c>
      <c r="ET502" s="446">
        <f t="shared" si="684"/>
        <v>0</v>
      </c>
    </row>
    <row r="503" spans="2:150" ht="16.5" customHeight="1">
      <c r="B503" s="448" t="str">
        <f>INDEX('卡片raw data'!B:B,MATCH($D503,'卡片raw data'!$F:$F,))</f>
        <v>浴衣花</v>
      </c>
      <c r="C503" s="449" t="s">
        <v>4161</v>
      </c>
      <c r="D503" s="408">
        <v>500</v>
      </c>
      <c r="E503" s="477">
        <v>400083005</v>
      </c>
      <c r="F503" s="409" t="str">
        <f>INDEX('卡片raw data'!C:C,MATCH($D503,'卡片raw data'!$F:$F,))</f>
        <v>UR</v>
      </c>
      <c r="G503" s="1094" t="s">
        <v>4162</v>
      </c>
      <c r="H503" s="411">
        <f>IFERROR(INDEX(绊状态确认!C:C,MATCH($G503,绊状态确认!$B:$B,)),"")</f>
        <v>8</v>
      </c>
      <c r="I503" s="450" t="str">
        <f>IFERROR(INDEX(绊状态确认!D:D,MATCH($G503,绊状态确认!$B:$B,)),"")</f>
        <v>缪</v>
      </c>
      <c r="J503" s="450" t="str">
        <f>IFERROR(INDEX(绊状态确认!E:E,MATCH($G503,绊状态确认!$B:$B,)),"")</f>
        <v>1年级</v>
      </c>
      <c r="K503" s="451" t="str">
        <f>IFERROR(INDEX(绊状态确认!F:F,MATCH($G503,绊状态确认!$B:$B,)),"")</f>
        <v>Printemps</v>
      </c>
      <c r="L503" s="414" t="str">
        <f>INDEX('卡片raw data'!E:E,MATCH($D503,'卡片raw data'!$F:$F,))</f>
        <v>卡池卡</v>
      </c>
      <c r="M503" s="478">
        <v>44397</v>
      </c>
      <c r="N503" s="479">
        <v>44</v>
      </c>
      <c r="O503" s="410" t="str">
        <f>INDEX('卡片raw data'!D:D,MATCH($D503,'卡片raw data'!$F:$F,))</f>
        <v>gd</v>
      </c>
      <c r="P503" s="1126">
        <v>5</v>
      </c>
      <c r="Q503" s="418">
        <f t="shared" si="600"/>
        <v>37841.794938005645</v>
      </c>
      <c r="R503" s="419">
        <f t="shared" si="601"/>
        <v>0.439</v>
      </c>
      <c r="S503" s="420">
        <f t="shared" si="602"/>
        <v>18191.805013551209</v>
      </c>
      <c r="T503" s="421">
        <f t="shared" si="603"/>
        <v>0.90900000000000003</v>
      </c>
      <c r="U503" s="422">
        <f t="shared" si="604"/>
        <v>855.73713187377723</v>
      </c>
      <c r="V503" s="423">
        <f t="shared" si="605"/>
        <v>90064.989490228327</v>
      </c>
      <c r="W503" s="424">
        <f t="shared" si="606"/>
        <v>4660.6426207393924</v>
      </c>
      <c r="X503" s="419">
        <f t="shared" si="607"/>
        <v>5.3999999999999999E-2</v>
      </c>
      <c r="Y503" s="420">
        <f t="shared" si="608"/>
        <v>2193.5686900813116</v>
      </c>
      <c r="Z503" s="425">
        <f t="shared" si="609"/>
        <v>26.902095663857143</v>
      </c>
      <c r="AA503" s="426">
        <f t="shared" si="610"/>
        <v>6854.2113108207041</v>
      </c>
      <c r="AB503" s="424">
        <f t="shared" si="611"/>
        <v>4660.6426207393924</v>
      </c>
      <c r="AC503" s="427">
        <f t="shared" si="612"/>
        <v>5.3999999999999999E-2</v>
      </c>
      <c r="AD503" s="428">
        <f t="shared" si="613"/>
        <v>0</v>
      </c>
      <c r="AE503" s="516">
        <f t="shared" si="614"/>
        <v>-2.25366104157</v>
      </c>
      <c r="AF503" s="1130">
        <f t="shared" si="615"/>
        <v>11372.4388645608</v>
      </c>
      <c r="AG503" s="420">
        <f t="shared" si="616"/>
        <v>91323.852380400014</v>
      </c>
      <c r="AH503" s="420">
        <f t="shared" si="617"/>
        <v>8.030278594417128</v>
      </c>
      <c r="AI503" s="1097">
        <f t="shared" si="618"/>
        <v>114080.36931804336</v>
      </c>
      <c r="AJ503" s="420">
        <f t="shared" si="619"/>
        <v>90064.989490228327</v>
      </c>
      <c r="AK503" s="518">
        <f t="shared" si="620"/>
        <v>24015.379827815035</v>
      </c>
      <c r="AL503" s="1106">
        <f>IF($P503="","N/A",(IF($P503=-1,INDEX('卡片raw data'!S:S,MATCH($D503,'卡片raw data'!$F:$F,)),0)+IF($P503=0,INDEX('卡片raw data'!V:V,MATCH($D503,'卡片raw data'!$F:$F,)),0)+IF($P503=1,INDEX('卡片raw data'!Y:Y,MATCH($D503,'卡片raw data'!$F:$F,)),0)+IF($P503=2,INDEX('卡片raw data'!AB:AB,MATCH($D503,'卡片raw data'!$F:$F,)),0)+IF($P503=3,INDEX('卡片raw data'!AE:AE,MATCH($D503,'卡片raw data'!$F:$F,)),0)+IF($P503=4,INDEX('卡片raw data'!AH:AH,MATCH($D503,'卡片raw data'!$F:$F,)),0)+IF($P503=5,INDEX('卡片raw data'!AK:AK,MATCH($D503,'卡片raw data'!$F:$F,)),0)+INDEX('卡片raw data'!S:S,MATCH($D503,'卡片raw data'!$F:$F,))*(IF($F503="UR",0.04,0.033))*(IF($F503="UR",INDEX(绊状态确认!$S:$S,MATCH($G503,绊状态确认!$B:$B,))/2-40)+IF($F503="SR",INDEX(绊状态确认!$R:$R,MATCH($G503,绊状态确认!$B:$B,))/4-15))+IF($F503="R",INDEX(绊状态确认!$Q:$Q,MATCH($G503,绊状态确认!$B:$B,))/6-40/6)))*(INDEX(绊状态确认!$H:$H,MATCH($G503,绊状态确认!$B:$B,))+INDEX(绊状态确认!J:J,MATCH($G503,绊状态确认!$B:$B,)))</f>
        <v>9832.5873599999977</v>
      </c>
      <c r="AM503" s="1106">
        <f>IF($P503="","N/A",(IF($P503=-1,INDEX('卡片raw data'!T:T,MATCH($D503,'卡片raw data'!$F:$F,)),0)+IF($P503=0,INDEX('卡片raw data'!W:W,MATCH($D503,'卡片raw data'!$F:$F,)),0)+IF($P503=1,INDEX('卡片raw data'!Z:Z,MATCH($D503,'卡片raw data'!$F:$F,)),0)+IF($P503=2,INDEX('卡片raw data'!AC:AC,MATCH($D503,'卡片raw data'!$F:$F,)),0)+IF($P503=3,INDEX('卡片raw data'!AF:AF,MATCH($D503,'卡片raw data'!$F:$F,)),0)+IF($P503=4,INDEX('卡片raw data'!AI:AI,MATCH($D503,'卡片raw data'!$F:$F,)),0)+IF($P503=5,INDEX('卡片raw data'!AL:AL,MATCH($D503,'卡片raw data'!$F:$F,)),0)+INDEX('卡片raw data'!T:T,MATCH($D503,'卡片raw data'!$F:$F,))*(IF($F503="UR",0.04,0.033))*(IF($F503="UR",INDEX(绊状态确认!$S:$S,MATCH($G503,绊状态确认!$B:$B,))/2-40)+IF($F503="SR",INDEX(绊状态确认!$R:$R,MATCH($G503,绊状态确认!$B:$B,))/4-15))+IF($F503="R",INDEX(绊状态确认!$Q:$Q,MATCH($G503,绊状态确认!$B:$B,))/6-40/6)))*(INDEX(绊状态确认!$H:$H,MATCH($G503,绊状态确认!$B:$B,))+INDEX(绊状态确认!K:K,MATCH($G503,绊状态确认!$B:$B,)))</f>
        <v>14748.881039999998</v>
      </c>
      <c r="AN503" s="1106">
        <f>IF($P503="","N/A",(IF($P503=-1,INDEX('卡片raw data'!U:U,MATCH($D503,'卡片raw data'!$F:$F,)),0)+IF($P503=0,INDEX('卡片raw data'!X:X,MATCH($D503,'卡片raw data'!$F:$F,)),0)+IF($P503=1,INDEX('卡片raw data'!AA:AA,MATCH($D503,'卡片raw data'!$F:$F,)),0)+IF($P503=2,INDEX('卡片raw data'!AD:AD,MATCH($D503,'卡片raw data'!$F:$F,)),0)+IF($P503=3,INDEX('卡片raw data'!AG:AG,MATCH($D503,'卡片raw data'!$F:$F,)),0)+IF($P503=4,INDEX('卡片raw data'!AJ:AJ,MATCH($D503,'卡片raw data'!$F:$F,)),0)+IF($P503=5,INDEX('卡片raw data'!AM:AM,MATCH($D503,'卡片raw data'!$F:$F,)),0)+INDEX('卡片raw data'!U:U,MATCH($D503,'卡片raw data'!$F:$F,))*(IF($F503="UR",0.04,0.033))*(IF($F503="UR",INDEX(绊状态确认!$S:$S,MATCH($G503,绊状态确认!$B:$B,))/2-40)+IF($F503="SR",INDEX(绊状态确认!$R:$R,MATCH($G503,绊状态确认!$B:$B,))/4-15))+IF($F503="R",INDEX(绊状态确认!$Q:$Q,MATCH($G503,绊状态确认!$B:$B,))/6-40/6)))*(INDEX(绊状态确认!$H:$H,MATCH($G503,绊状态确认!$B:$B,))+INDEX(绊状态确认!L:L,MATCH($G503,绊状态确认!$B:$B,)))</f>
        <v>13236.787199999999</v>
      </c>
      <c r="AO503" s="1107">
        <f t="shared" si="621"/>
        <v>1</v>
      </c>
      <c r="AP503" s="1131">
        <f>1+(INDEX(绊状态确认!$T:$T,MATCH($G503,绊状态确认!$B:$B,))+0.2)*$AO503</f>
        <v>1.3</v>
      </c>
      <c r="AQ503" s="1108">
        <f t="shared" si="622"/>
        <v>29060.541819999995</v>
      </c>
      <c r="AR503" s="1097">
        <f>(AM503*(1+$EX$9)+$EX$35)*(1+(INDEX(绊状态确认!$T:$T,MATCH($G503,绊状态确认!$B:$B,))+0.2)*AO503)*IF(J503=$FF$17,1+$FE$17,1)*IF(I503=$FF$14,1+$FE$14,1)</f>
        <v>22836.222619600001</v>
      </c>
      <c r="AS503" s="1097">
        <f>(AN503*(1+$EX$10)+$EX$36)*(1+(INDEX(绊状态确认!$T:$T,MATCH($G503,绊状态确认!$B:$B,))+0.2)*AO503)*IF(J503=$FF$17,1+$FE$17,1)*IF(I503=$FF$14,1+$FE$14,1)</f>
        <v>23844.996863999997</v>
      </c>
      <c r="AT503" s="1093">
        <f>IF(AND(INDEX('卡片raw data'!AK:AK,MATCH($D503,'卡片raw data'!$F:$F,))&lt;INDEX('卡片raw data'!AM:AM,MATCH($D503,'卡片raw data'!$F:$F,)),INDEX('卡片raw data'!AL:AL,MATCH($D503,'卡片raw data'!$F:$F,))&lt;INDEX('卡片raw data'!AM:AM,MATCH($D503,'卡片raw data'!$F:$F,))),1,0)</f>
        <v>0</v>
      </c>
      <c r="AU503" s="1098">
        <f>MIN(AT503*0.15+AS503*0.00003+INDEX(绊状态确认!M:M,MATCH($G503,绊状态确认!$B:$B,)),1)</f>
        <v>0.74534990591999994</v>
      </c>
      <c r="AV503" s="1109">
        <f>(INDEX(绊状态确认!$N:$N,MATCH($G503,绊状态确认!$B:$B,))+1.5)*$EW$21</f>
        <v>2.6599999999999997</v>
      </c>
      <c r="AW503" s="1101">
        <f t="shared" si="623"/>
        <v>33766.152317266249</v>
      </c>
      <c r="AX503" s="1097">
        <f t="shared" si="624"/>
        <v>2003.0720488359264</v>
      </c>
      <c r="AY503" s="1110">
        <f t="shared" si="625"/>
        <v>35769.224366102178</v>
      </c>
      <c r="AZ503" s="429">
        <f t="shared" si="626"/>
        <v>21773.545351999994</v>
      </c>
      <c r="BA503" s="431">
        <f t="shared" si="627"/>
        <v>26128.25442239999</v>
      </c>
      <c r="BB503" s="1097">
        <f>(AM503*(1+$FB$9)+$FB$35)*(1+(INDEX(绊状态确认!$T:$T,MATCH($G503,绊状态确认!$B:$B,))+0.2)*AO503)*IF(J503=$FF$17,1+$FE$17,1)*IF(I503=$FF$14,1+$FE$14,1)*(1+$FE$15)</f>
        <v>22836.222619600001</v>
      </c>
      <c r="BC503" s="1097">
        <f>(AN503*(1+$FB$10)+$FB$36)*(1+(INDEX(绊状态确认!$T:$T,MATCH($G503,绊状态确认!$B:$B,))+0.2)*AO503)*IF(J503=$FF$17,1+$FE$17,1)*IF(I503=$FF$14,1+$FE$14,1)*(1+$FE$15)</f>
        <v>23844.996863999997</v>
      </c>
      <c r="BD503" s="1104">
        <f>MIN(AT503*0.15+BC503*0.00003+INDEX(绊状态确认!M:M,MATCH($G503,绊状态确认!$B:$B,)),1)</f>
        <v>0.74534990591999994</v>
      </c>
      <c r="BE503" s="432">
        <f>(INDEX(绊状态确认!$N:$N,MATCH($G503,绊状态确认!$B:$B,))+1.5)</f>
        <v>1.9</v>
      </c>
      <c r="BF503" s="1139">
        <f t="array" ref="BF503">SUMPRODUCT(IF(AZ503*AP503*$FI$16:$FI$23*$FA$22&gt;=$FI$24,$FI$24,AZ503*AP503*$FI$16:$FI$23*$FA$22),$FJ$16:$FJ$23)</f>
        <v>43307.581705127988</v>
      </c>
      <c r="BG503" s="1125">
        <f t="array" ref="BG503">SUMPRODUCT(IF(BE503*AZ503*AP503*$FI$16:$FI$23*$FA$22&gt;=$FI$24,$FI$24,BE503*AZ503*AP503*$FI$16:$FI$23*$FA$22),$FJ$16:$FJ$23)</f>
        <v>60000</v>
      </c>
      <c r="BH503" s="1110">
        <f t="shared" si="628"/>
        <v>18583.091370262711</v>
      </c>
      <c r="BI503" s="1111">
        <f>IF(O503="vo",$EW$26/$EW$24*0.05,0)+IF(O503="sk",-$EW$26/$EW$24*(0.05-INDEX(绊状态确认!W:W,MATCH($G503,绊状态确认!$B:$B,)))+0.05*$EW$28,0)+IF(O503="sp",0.05*$EW$32*$EW$30*(1-$EW$33)-(0.05-INDEX(绊状态确认!V:V,MATCH($G503,绊状态确认!$B:$B,)))*$EW$28,0)+IF(O503="gd",-(0.05-INDEX(绊状态确认!X:X,MATCH($G503,绊状态确认!$B:$B,)))*$EW$32*$EW$30*(1-$EW$33),0)</f>
        <v>-585.00000000000011</v>
      </c>
      <c r="BJ503" s="420">
        <f>IF(O503="vo",0.05*(1-$FI$26)*$FA$24,0)+IF(O503="sk",-(0.05-INDEX(绊状态确认!W:W,MATCH($G503,绊状态确认!$B:$B,)))*(1-$FI$26)*$FA$24+0.05*$FA$26,0)+IF(O503="sp",0.05*$FA$32*$FA$27*(1-$FA$33)/$FA$30+0.05*$FA$29/$FA$69*$FA$27*(1-$FA$33)-(0.05-INDEX(绊状态确认!V:V,MATCH($G503,绊状态确认!$B:$B,)))*$FA$26,0)+IF(O503="gd",-(0.05-INDEX(绊状态确认!X:X,MATCH($G503,绊状态确认!$B:$B,)))*$FA$32*$FA$27*(1-$FA$33)/$FA$30-(0.05-INDEX(绊状态确认!X:X,MATCH($G503,绊状态确认!$B:$B,)))*$FA$29/$FA$69*$FA$27*(1-$FA$33),0)</f>
        <v>-795.00000000000011</v>
      </c>
      <c r="BK503" s="1110">
        <f>IF(O503="vo",$EW$26/$EW$24*0.05+$EW$26*(-HP($EW$62,$EW$65,$EW$64)+HP($EW$62,$EW$65,(1.05-INDEX(绊状态确认!U:U,MATCH($G503,绊状态确认!$B:$B,)))*$EW$64)),0)+IF(O503="sk",-$EW$26/$EW$24*(0.05-INDEX(绊状态确认!W:W,MATCH($G503,绊状态确认!$B:$B,)))+0.05*$EW$29,0)+IF(O503="sp",0.05*$EW$32*$EW$30*(1-$EW$33)-(0.05-INDEX(绊状态确认!V:V,MATCH($G503,绊状态确认!$B:$B,)))*$EW$29,0)+IF(O503="gd",-(0.05-INDEX(绊状态确认!X:X,MATCH($G503,绊状态确认!$B:$B,)))*$EW$32*$EW$30*(1-$EW$33)+$EW$26*(-HP($EW$62,$EW$65,$EW$64)+HP($EW$62,$EW$65,0.95*$EW$64)),0)</f>
        <v>1009.5947725176144</v>
      </c>
      <c r="BL503" s="1111">
        <f t="shared" si="629"/>
        <v>0</v>
      </c>
      <c r="BM503" s="1110">
        <f t="shared" si="630"/>
        <v>0</v>
      </c>
      <c r="BN503" s="1113">
        <f t="shared" si="631"/>
        <v>3</v>
      </c>
      <c r="BO503" s="1108">
        <f t="shared" si="632"/>
        <v>4507.7214871259994</v>
      </c>
      <c r="BP503" s="1100">
        <f t="shared" si="633"/>
        <v>221.34103209030098</v>
      </c>
      <c r="BQ503" s="437" t="s">
        <v>133</v>
      </c>
      <c r="BR503" s="450" t="s">
        <v>171</v>
      </c>
      <c r="BS503" s="421">
        <f>IF($P503="","N/A",IF($P503=-1,INDEX('卡片raw data'!AX:AX,MATCH($D503,'卡片raw data'!$F:$F,)),0)+IF($L503="party卡",IF($P503=5,INDEX('卡片raw data'!BD:BD,MATCH($D503,'卡片raw data'!$F:$F,)),IF($P503&gt;=3,INDEX('卡片raw data'!BC:BC,MATCH($D503,'卡片raw data'!$F:$F,)),INDEX('卡片raw data'!BB:BB,MATCH($D503,'卡片raw data'!$F:$F,)))),IF(OR(AND($F503="UR",$P503=0),AND($F503="SR",$P503&gt;=0,$P503&lt;=2),AND($F503="R",$P503&gt;=0,$P503&lt;4)),INDEX('卡片raw data'!AZ:AZ,MATCH($D503,'卡片raw data'!$F:$F,)),0)+IF(OR(AND($F503="UR",$P503&gt;=1,$P503&lt;=4),AND($F503="SR",$P503&lt;=4,$P503&gt;=3),AND($F503="R",$P503=4)),INDEX('卡片raw data'!BA:BA,MATCH($D503,'卡片raw data'!$F:$F,)),0)+IF($P503=5,INDEX('卡片raw data'!BB:BB,MATCH($D503,'卡片raw data'!$F:$F,)),0)))</f>
        <v>5.1999999999999998E-2</v>
      </c>
      <c r="BT503" s="424">
        <f t="shared" si="634"/>
        <v>0</v>
      </c>
      <c r="BU503" s="420">
        <f t="shared" si="635"/>
        <v>0</v>
      </c>
      <c r="BV503" s="420">
        <f t="shared" si="636"/>
        <v>0</v>
      </c>
      <c r="BW503" s="436">
        <f t="shared" si="637"/>
        <v>2.4347142857142861</v>
      </c>
      <c r="BX503" s="423">
        <f t="shared" si="638"/>
        <v>190.49664124538464</v>
      </c>
      <c r="BY503" s="433">
        <f t="shared" si="639"/>
        <v>190.49664124538464</v>
      </c>
      <c r="BZ503" s="1113" t="s">
        <v>569</v>
      </c>
      <c r="CA503" s="450"/>
      <c r="CB503" s="421">
        <f>IF($P503="","N/A",IF($P503=-1,INDEX('卡片raw data'!BE:BE,MATCH($D503,'卡片raw data'!$F:$F,)),0)+IF($L503="party卡",IF($P503=5,INDEX('卡片raw data'!BK:BK,MATCH($D503,'卡片raw data'!$F:$F,)),IF($P503&gt;=3,INDEX('卡片raw data'!BJ:BJ,MATCH($D503,'卡片raw data'!$F:$F,)),INDEX('卡片raw data'!BI:BI,MATCH($D503,'卡片raw data'!$F:$F,)))),IF(OR(AND($F503="UR",$P503=0),AND($F503="SR",$P503&gt;=0,$P503&lt;=2),AND($F503="R",$P503&gt;=0,$P503&lt;4)),INDEX('卡片raw data'!BG:BG,MATCH($D503,'卡片raw data'!$F:$F,)),0)+IF(OR(AND($F503="UR",$P503&gt;=1,$P503&lt;=4),AND($F503="SR",$P503&lt;=4,$P503&gt;=3),AND($F503="R",$P503=4)),INDEX('卡片raw data'!BH:BH,MATCH($D503,'卡片raw data'!$F:$F,)),0)+IF($P503=5,INDEX('卡片raw data'!BI:BI,MATCH($D503,'卡片raw data'!$F:$F,)),0)))</f>
        <v>0</v>
      </c>
      <c r="CC503" s="424">
        <f t="shared" si="640"/>
        <v>0</v>
      </c>
      <c r="CD503" s="420">
        <f>IF(BZ503="ap",CB503*(1-$FI$26)*$FB$5/$FB$11*(+IF(CA503="全员",$FA$24,0)+IF(CA503="同作战",$FA$24,0)+IF(CA503="仲间",$FA$24*2/3,0)+IF(CA503="同属性",$FA$24*$FA$37/3,0)+IF(CA503="同年级",$FA$24*$FA$40/3,0)+IF(CA503="同学校",$FA$24*$FA$43/3,0)+IF(CA503="同小队",$FA$24*$FA$46/3,0)+IF(CA503="同type",$FA$24*INDEX($FB$49:$FB$52,MATCH(X503,$FA$49:$FA$52,))/3,0)+IF(CA503="自身",#REF!/3,0)),0)+IF(BZ503="te",CB503*(1-$FI$27)*($FA$20-1)*$FB$7/$FB$13*(+IF(CA503="全员",$FA$19*$FA$24/(1+($FA$20-1)*$FA$19),0)+IF(CA503="同作战",$FA$19*$FA$24/(1+($FA$20-1)*$FA$19),0)+IF(CA503="仲间",$FA$19*$FA$24*2/3/(1+($FA$20-1)*$FA$19),0)+IF(CA503="同属性",$FA$19*$FA$24*$FA$37/3/(1+($FA$20-1)*$FA$19),0)+IF(CA503="同年级",$FA$19*$FA$24*$FA$40/3/(1+($FA$20-1)*$FA$19),0)+IF(CA503="同学校",$FA$19*$FA$24*$FA$43/3/(1+($FA$20-1)*$FA$19),0)+IF(CA503="同小队",$FA$19*$FA$24*$FA$46/3/(1+($FA$20-1)*$FA$19),0)+IF(CA503="同type",$FA$19*$FA$24*INDEX($FB$49:$FB$52,MATCH(X503,$FA$49:$FA$52,))/3/(1+($FA$20-1)*$FA$19),0)+IF(CA503="自身",$FA$19*#REF!/3/(1+(BH503-1)*$BD503),0)),0)</f>
        <v>0</v>
      </c>
      <c r="CE503" s="420">
        <f t="shared" si="641"/>
        <v>0</v>
      </c>
      <c r="CF503" s="436">
        <f t="shared" si="642"/>
        <v>0</v>
      </c>
      <c r="CG503" s="423">
        <f t="shared" si="643"/>
        <v>0</v>
      </c>
      <c r="CH503" s="433">
        <f t="shared" si="644"/>
        <v>0</v>
      </c>
      <c r="CI503" s="437" t="s">
        <v>165</v>
      </c>
      <c r="CJ503" s="438">
        <v>0.3</v>
      </c>
      <c r="CK503" s="1115" t="s">
        <v>4163</v>
      </c>
      <c r="CL503" s="1115" t="s">
        <v>4164</v>
      </c>
      <c r="CM503" s="1119">
        <v>0.1</v>
      </c>
      <c r="CN503" s="1115"/>
      <c r="CO503" s="1115"/>
      <c r="CP503" s="1116">
        <f t="shared" si="645"/>
        <v>2.4467381378142861</v>
      </c>
      <c r="CQ503" s="1116">
        <f t="shared" si="646"/>
        <v>4.3769426687566666</v>
      </c>
      <c r="CR503" s="1117">
        <f t="shared" si="647"/>
        <v>2.4467381378142861</v>
      </c>
      <c r="CS503" s="1118">
        <f t="shared" si="648"/>
        <v>0</v>
      </c>
      <c r="CT503" s="1109">
        <f t="shared" si="649"/>
        <v>3.99633895843</v>
      </c>
      <c r="CU503" s="1101">
        <f t="shared" si="650"/>
        <v>152.9211336133929</v>
      </c>
      <c r="CV503" s="1108">
        <f t="shared" si="685"/>
        <v>182.37261119819445</v>
      </c>
      <c r="CW503" s="1097">
        <f t="shared" si="651"/>
        <v>152.9211336133929</v>
      </c>
      <c r="CX503" s="1097">
        <f t="shared" si="652"/>
        <v>152.9211336133929</v>
      </c>
      <c r="CY503" s="1110">
        <f t="shared" si="653"/>
        <v>152.9211336133929</v>
      </c>
      <c r="CZ503" s="437"/>
      <c r="DA503" s="438"/>
      <c r="DB503" s="439" t="s">
        <v>569</v>
      </c>
      <c r="DC503" s="439"/>
      <c r="DD503" s="443"/>
      <c r="DE503" s="411"/>
      <c r="DF503" s="411"/>
      <c r="DG503" s="1116">
        <f t="shared" si="654"/>
        <v>0</v>
      </c>
      <c r="DH503" s="1116">
        <f t="shared" si="655"/>
        <v>0</v>
      </c>
      <c r="DI503" s="1116">
        <f t="shared" si="656"/>
        <v>0</v>
      </c>
      <c r="DJ503" s="442">
        <f t="shared" si="657"/>
        <v>0</v>
      </c>
      <c r="DK503" s="432">
        <f t="shared" si="658"/>
        <v>0</v>
      </c>
      <c r="DL503" s="424">
        <f t="shared" si="659"/>
        <v>0</v>
      </c>
      <c r="DM503" s="420">
        <f t="shared" si="660"/>
        <v>0</v>
      </c>
      <c r="DN503" s="420">
        <f t="shared" si="661"/>
        <v>0</v>
      </c>
      <c r="DO503" s="420">
        <f t="shared" si="662"/>
        <v>0</v>
      </c>
      <c r="DP503" s="433">
        <f t="shared" si="663"/>
        <v>0</v>
      </c>
      <c r="DQ503" s="437" t="s">
        <v>2080</v>
      </c>
      <c r="DR503" s="1120">
        <f t="shared" si="664"/>
        <v>0.33</v>
      </c>
      <c r="DS503" s="450"/>
      <c r="DT503" s="1093" t="s">
        <v>133</v>
      </c>
      <c r="DU503" s="1124"/>
      <c r="DV503" s="1098">
        <f>IF($P503="","N/A",IF(P503=-1,INDEX('卡片raw data'!AN:AN,MATCH(D503,'卡片raw data'!$F:$F,)),0)+IF(AND(L503&lt;&gt;"party卡",P503&lt;=2,P503&gt;=0),INDEX('卡片raw data'!AP:AP,MATCH(D503,'卡片raw data'!$F:$F,)),0)+IF(OR(AND(L503="party卡",P503&lt;=1),AND(P503&lt;=4,L503&lt;&gt;"party卡",P503&gt;=3)),INDEX('卡片raw data'!AQ:AQ,MATCH(D503,'卡片raw data'!$F:$F,)),0)+IF(OR(P503=5,AND(L503="party卡",P503&gt;=2)),INDEX('卡片raw data'!AR:AR,MATCH(D503,'卡片raw data'!$F:$F,)),0))</f>
        <v>0.32</v>
      </c>
      <c r="DW503" s="1098">
        <f t="shared" si="665"/>
        <v>0.33</v>
      </c>
      <c r="DX503" s="1098">
        <f t="shared" si="666"/>
        <v>0.33</v>
      </c>
      <c r="DY503" s="1097">
        <f t="shared" si="667"/>
        <v>803.83503620992008</v>
      </c>
      <c r="DZ503" s="1097">
        <f t="shared" si="668"/>
        <v>695.31730632158087</v>
      </c>
      <c r="EA503" s="421">
        <f t="shared" si="669"/>
        <v>0</v>
      </c>
      <c r="EB503" s="445">
        <f t="shared" si="670"/>
        <v>0</v>
      </c>
      <c r="EC503" s="424">
        <f t="shared" si="671"/>
        <v>0</v>
      </c>
      <c r="ED503" s="420">
        <f t="shared" si="672"/>
        <v>0</v>
      </c>
      <c r="EE503" s="433">
        <f t="shared" si="683"/>
        <v>48435.03108962375</v>
      </c>
      <c r="EF503" s="1115" t="s">
        <v>569</v>
      </c>
      <c r="EG503" s="1120">
        <f t="shared" si="673"/>
        <v>0.33</v>
      </c>
      <c r="EH503" s="450"/>
      <c r="EI503" s="1093"/>
      <c r="EJ503" s="1093"/>
      <c r="EK503" s="420">
        <f>IF($P503="","N/A",IF(P503=-1,INDEX('卡片raw data'!AS:AS,MATCH(D503,'卡片raw data'!$F:$F,)),0)+IF(AND(L503&lt;&gt;"party卡",P503&lt;=2,P503&gt;=0),INDEX('卡片raw data'!AU:AU,MATCH(D503,'卡片raw data'!$F:$F,)),0)+IF(OR(AND(L503="party卡",P503&lt;=1),AND(P503&lt;=4,L503&lt;&gt;"party卡",P503&gt;=3)),INDEX('卡片raw data'!AV:AV,MATCH(D503,'卡片raw data'!$F:$F,)),0)+IF(OR(P503=5,AND(L503="party卡",P503&gt;=2)),INDEX('卡片raw data'!AW:AW,MATCH(D503,'卡片raw data'!$F:$F,)),0))</f>
        <v>0</v>
      </c>
      <c r="EL503" s="1098">
        <f t="shared" si="674"/>
        <v>0.33</v>
      </c>
      <c r="EM503" s="1098">
        <f t="shared" si="675"/>
        <v>0.33</v>
      </c>
      <c r="EN503" s="1097">
        <f t="shared" si="676"/>
        <v>0</v>
      </c>
      <c r="EO503" s="1097">
        <f t="shared" si="677"/>
        <v>0</v>
      </c>
      <c r="EP503" s="421">
        <f t="shared" si="678"/>
        <v>0</v>
      </c>
      <c r="EQ503" s="445">
        <f t="shared" si="679"/>
        <v>0</v>
      </c>
      <c r="ER503" s="424">
        <f t="shared" si="680"/>
        <v>0</v>
      </c>
      <c r="ES503" s="420">
        <f t="shared" si="681"/>
        <v>0</v>
      </c>
      <c r="ET503" s="446">
        <f t="shared" si="684"/>
        <v>0</v>
      </c>
    </row>
    <row r="504" spans="2:150" ht="16.5" customHeight="1">
      <c r="B504" s="448" t="str">
        <f>INDEX('卡片raw data'!B:B,MATCH($D504,'卡片raw data'!$F:$F,))</f>
        <v>浴衣善</v>
      </c>
      <c r="C504" s="449" t="s">
        <v>4166</v>
      </c>
      <c r="D504" s="408">
        <v>501</v>
      </c>
      <c r="E504" s="477">
        <v>401063004</v>
      </c>
      <c r="F504" s="409" t="str">
        <f>INDEX('卡片raw data'!C:C,MATCH($D504,'卡片raw data'!$F:$F,))</f>
        <v>UR</v>
      </c>
      <c r="G504" s="1094" t="s">
        <v>4167</v>
      </c>
      <c r="H504" s="411">
        <f>IFERROR(INDEX(绊状态确认!C:C,MATCH($G504,绊状态确认!$B:$B,)),"")</f>
        <v>106</v>
      </c>
      <c r="I504" s="450" t="str">
        <f>IFERROR(INDEX(绊状态确认!D:D,MATCH($G504,绊状态确认!$B:$B,)),"")</f>
        <v>水</v>
      </c>
      <c r="J504" s="450" t="str">
        <f>IFERROR(INDEX(绊状态确认!E:E,MATCH($G504,绊状态确认!$B:$B,)),"")</f>
        <v>1年级</v>
      </c>
      <c r="K504" s="451" t="str">
        <f>IFERROR(INDEX(绊状态确认!F:F,MATCH($G504,绊状态确认!$B:$B,)),"")</f>
        <v>Guilty Kiss</v>
      </c>
      <c r="L504" s="414" t="str">
        <f>INDEX('卡片raw data'!E:E,MATCH($D504,'卡片raw data'!$F:$F,))</f>
        <v>活动卡</v>
      </c>
      <c r="M504" s="478">
        <v>44397</v>
      </c>
      <c r="N504" s="479">
        <v>44</v>
      </c>
      <c r="O504" s="410" t="str">
        <f>INDEX('卡片raw data'!D:D,MATCH($D504,'卡片raw data'!$F:$F,))</f>
        <v>vo</v>
      </c>
      <c r="P504" s="1126">
        <v>5</v>
      </c>
      <c r="Q504" s="418">
        <f t="shared" si="600"/>
        <v>65683.357315642163</v>
      </c>
      <c r="R504" s="419">
        <f t="shared" si="601"/>
        <v>0.76300000000000001</v>
      </c>
      <c r="S504" s="420">
        <f t="shared" si="602"/>
        <v>20466.31416504717</v>
      </c>
      <c r="T504" s="421">
        <f t="shared" si="603"/>
        <v>1.0229999999999999</v>
      </c>
      <c r="U504" s="422">
        <f t="shared" si="604"/>
        <v>-12.304857253257143</v>
      </c>
      <c r="V504" s="423">
        <f t="shared" si="605"/>
        <v>65392.895015625429</v>
      </c>
      <c r="W504" s="424">
        <f t="shared" si="606"/>
        <v>5559.5231674553997</v>
      </c>
      <c r="X504" s="419">
        <f t="shared" si="607"/>
        <v>6.4000000000000001E-2</v>
      </c>
      <c r="Y504" s="420">
        <f t="shared" si="608"/>
        <v>1014.2061502249608</v>
      </c>
      <c r="Z504" s="425">
        <f t="shared" si="609"/>
        <v>12.695142746742857</v>
      </c>
      <c r="AA504" s="426">
        <f t="shared" si="610"/>
        <v>6573.7293176803605</v>
      </c>
      <c r="AB504" s="424">
        <f t="shared" si="611"/>
        <v>9646.6581408272323</v>
      </c>
      <c r="AC504" s="427">
        <f t="shared" si="612"/>
        <v>0.112</v>
      </c>
      <c r="AD504" s="428">
        <f t="shared" si="613"/>
        <v>0</v>
      </c>
      <c r="AE504" s="516">
        <f t="shared" si="614"/>
        <v>0</v>
      </c>
      <c r="AF504" s="1130">
        <f t="shared" si="615"/>
        <v>0</v>
      </c>
      <c r="AG504" s="420">
        <f t="shared" si="616"/>
        <v>0</v>
      </c>
      <c r="AH504" s="420">
        <f t="shared" si="617"/>
        <v>0</v>
      </c>
      <c r="AI504" s="1097">
        <f t="shared" si="618"/>
        <v>0</v>
      </c>
      <c r="AJ504" s="420">
        <f t="shared" si="619"/>
        <v>0</v>
      </c>
      <c r="AK504" s="518">
        <f t="shared" si="620"/>
        <v>0</v>
      </c>
      <c r="AL504" s="1106">
        <f>IF($P504="","N/A",(IF($P504=-1,INDEX('卡片raw data'!S:S,MATCH($D504,'卡片raw data'!$F:$F,)),0)+IF($P504=0,INDEX('卡片raw data'!V:V,MATCH($D504,'卡片raw data'!$F:$F,)),0)+IF($P504=1,INDEX('卡片raw data'!Y:Y,MATCH($D504,'卡片raw data'!$F:$F,)),0)+IF($P504=2,INDEX('卡片raw data'!AB:AB,MATCH($D504,'卡片raw data'!$F:$F,)),0)+IF($P504=3,INDEX('卡片raw data'!AE:AE,MATCH($D504,'卡片raw data'!$F:$F,)),0)+IF($P504=4,INDEX('卡片raw data'!AH:AH,MATCH($D504,'卡片raw data'!$F:$F,)),0)+IF($P504=5,INDEX('卡片raw data'!AK:AK,MATCH($D504,'卡片raw data'!$F:$F,)),0)+INDEX('卡片raw data'!S:S,MATCH($D504,'卡片raw data'!$F:$F,))*(IF($F504="UR",0.04,0.033))*(IF($F504="UR",INDEX(绊状态确认!$S:$S,MATCH($G504,绊状态确认!$B:$B,))/2-40)+IF($F504="SR",INDEX(绊状态确认!$R:$R,MATCH($G504,绊状态确认!$B:$B,))/4-15))+IF($F504="R",INDEX(绊状态确认!$Q:$Q,MATCH($G504,绊状态确认!$B:$B,))/6-40/6)))*(INDEX(绊状态确认!$H:$H,MATCH($G504,绊状态确认!$B:$B,))+INDEX(绊状态确认!J:J,MATCH($G504,绊状态确认!$B:$B,)))</f>
        <v>12764.044799999998</v>
      </c>
      <c r="AM504" s="1106">
        <f>IF($P504="","N/A",(IF($P504=-1,INDEX('卡片raw data'!T:T,MATCH($D504,'卡片raw data'!$F:$F,)),0)+IF($P504=0,INDEX('卡片raw data'!W:W,MATCH($D504,'卡片raw data'!$F:$F,)),0)+IF($P504=1,INDEX('卡片raw data'!Z:Z,MATCH($D504,'卡片raw data'!$F:$F,)),0)+IF($P504=2,INDEX('卡片raw data'!AC:AC,MATCH($D504,'卡片raw data'!$F:$F,)),0)+IF($P504=3,INDEX('卡片raw data'!AF:AF,MATCH($D504,'卡片raw data'!$F:$F,)),0)+IF($P504=4,INDEX('卡片raw data'!AI:AI,MATCH($D504,'卡片raw data'!$F:$F,)),0)+IF($P504=5,INDEX('卡片raw data'!AL:AL,MATCH($D504,'卡片raw data'!$F:$F,)),0)+INDEX('卡片raw data'!T:T,MATCH($D504,'卡片raw data'!$F:$F,))*(IF($F504="UR",0.04,0.033))*(IF($F504="UR",INDEX(绊状态确认!$S:$S,MATCH($G504,绊状态确认!$B:$B,))/2-40)+IF($F504="SR",INDEX(绊状态确认!$R:$R,MATCH($G504,绊状态确认!$B:$B,))/4-15))+IF($F504="R",INDEX(绊状态确认!$Q:$Q,MATCH($G504,绊状态确认!$B:$B,))/6-40/6)))*(INDEX(绊状态确认!$H:$H,MATCH($G504,绊状态确认!$B:$B,))+INDEX(绊状态确认!K:K,MATCH($G504,绊状态确认!$B:$B,)))</f>
        <v>6699.4871039999989</v>
      </c>
      <c r="AN504" s="1106">
        <f>IF($P504="","N/A",(IF($P504=-1,INDEX('卡片raw data'!U:U,MATCH($D504,'卡片raw data'!$F:$F,)),0)+IF($P504=0,INDEX('卡片raw data'!X:X,MATCH($D504,'卡片raw data'!$F:$F,)),0)+IF($P504=1,INDEX('卡片raw data'!AA:AA,MATCH($D504,'卡片raw data'!$F:$F,)),0)+IF($P504=2,INDEX('卡片raw data'!AD:AD,MATCH($D504,'卡片raw data'!$F:$F,)),0)+IF($P504=3,INDEX('卡片raw data'!AG:AG,MATCH($D504,'卡片raw data'!$F:$F,)),0)+IF($P504=4,INDEX('卡片raw data'!AJ:AJ,MATCH($D504,'卡片raw data'!$F:$F,)),0)+IF($P504=5,INDEX('卡片raw data'!AM:AM,MATCH($D504,'卡片raw data'!$F:$F,)),0)+INDEX('卡片raw data'!U:U,MATCH($D504,'卡片raw data'!$F:$F,))*(IF($F504="UR",0.04,0.033))*(IF($F504="UR",INDEX(绊状态确认!$S:$S,MATCH($G504,绊状态确认!$B:$B,))/2-40)+IF($F504="SR",INDEX(绊状态确认!$R:$R,MATCH($G504,绊状态确认!$B:$B,))/4-15))+IF($F504="R",INDEX(绊状态确认!$Q:$Q,MATCH($G504,绊状态确认!$B:$B,))/6-40/6)))*(INDEX(绊状态确认!$H:$H,MATCH($G504,绊状态确认!$B:$B,))+INDEX(绊状态确认!L:L,MATCH($G504,绊状态确认!$B:$B,)))</f>
        <v>12443.079983999998</v>
      </c>
      <c r="AO504" s="1107">
        <f t="shared" si="621"/>
        <v>1</v>
      </c>
      <c r="AP504" s="1131">
        <f>1+(INDEX(绊状态确认!$T:$T,MATCH($G504,绊状态确认!$B:$B,))+0.2)*$AO504</f>
        <v>1.3</v>
      </c>
      <c r="AQ504" s="1108">
        <f t="shared" si="622"/>
        <v>36755.617599999998</v>
      </c>
      <c r="AR504" s="1097">
        <f>(AM504*(1+$EX$9)+$EX$35)*(1+(INDEX(绊状态确认!$T:$T,MATCH($G504,绊状态确认!$B:$B,))+0.2)*AO504)*IF(J504=$FF$17,1+$FE$17,1)*IF(I504=$FF$14,1+$FE$14,1)</f>
        <v>11848.799896959999</v>
      </c>
      <c r="AS504" s="1097">
        <f>(AN504*(1+$EX$10)+$EX$36)*(1+(INDEX(绊状态确认!$T:$T,MATCH($G504,绊状态确认!$B:$B,))+0.2)*AO504)*IF(J504=$FF$17,1+$FE$17,1)*IF(I504=$FF$14,1+$FE$14,1)</f>
        <v>22658.40457608</v>
      </c>
      <c r="AT504" s="1093">
        <f>IF(AND(INDEX('卡片raw data'!AK:AK,MATCH($D504,'卡片raw data'!$F:$F,))&lt;INDEX('卡片raw data'!AM:AM,MATCH($D504,'卡片raw data'!$F:$F,)),INDEX('卡片raw data'!AL:AL,MATCH($D504,'卡片raw data'!$F:$F,))&lt;INDEX('卡片raw data'!AM:AM,MATCH($D504,'卡片raw data'!$F:$F,))),1,0)</f>
        <v>0</v>
      </c>
      <c r="AU504" s="1098">
        <f>MIN(AT504*0.15+AS504*0.00003+INDEX(绊状态确认!M:M,MATCH($G504,绊状态确认!$B:$B,)),1)</f>
        <v>0.70975213728240005</v>
      </c>
      <c r="AV504" s="1109">
        <f>(INDEX(绊状态确认!$N:$N,MATCH($G504,绊状态确认!$B:$B,))+1.5)*$EW$21</f>
        <v>2.6599999999999997</v>
      </c>
      <c r="AW504" s="1101">
        <f t="shared" si="623"/>
        <v>41579.241136419652</v>
      </c>
      <c r="AX504" s="1097">
        <f t="shared" si="624"/>
        <v>1014.2061502249604</v>
      </c>
      <c r="AY504" s="1110">
        <f t="shared" si="625"/>
        <v>42593.447286644616</v>
      </c>
      <c r="AZ504" s="429">
        <f t="shared" si="626"/>
        <v>27489.887359999997</v>
      </c>
      <c r="BA504" s="431">
        <f t="shared" si="627"/>
        <v>32987.864831999992</v>
      </c>
      <c r="BB504" s="1097">
        <f>(AM504*(1+$FB$9)+$FB$35)*(1+(INDEX(绊状态确认!$T:$T,MATCH($G504,绊状态确认!$B:$B,))+0.2)*AO504)*IF(J504=$FF$17,1+$FE$17,1)*IF(I504=$FF$14,1+$FE$14,1)*(1+$FE$15)</f>
        <v>11848.799896959999</v>
      </c>
      <c r="BC504" s="1097">
        <f>(AN504*(1+$FB$10)+$FB$36)*(1+(INDEX(绊状态确认!$T:$T,MATCH($G504,绊状态确认!$B:$B,))+0.2)*AO504)*IF(J504=$FF$17,1+$FE$17,1)*IF(I504=$FF$14,1+$FE$14,1)*(1+$FE$15)</f>
        <v>22658.40457608</v>
      </c>
      <c r="BD504" s="1104">
        <f>MIN(AT504*0.15+BC504*0.00003+INDEX(绊状态确认!M:M,MATCH($G504,绊状态确认!$B:$B,)),1)</f>
        <v>0.70975213728240005</v>
      </c>
      <c r="BE504" s="432">
        <f>(INDEX(绊状态确认!$N:$N,MATCH($G504,绊状态确认!$B:$B,))+1.5)</f>
        <v>1.9</v>
      </c>
      <c r="BF504" s="1139">
        <f t="array" ref="BF504">SUMPRODUCT(IF(AZ504*AP504*$FI$16:$FI$23*$FA$22&gt;=$FI$24,$FI$24,AZ504*AP504*$FI$16:$FI$23*$FA$22),$FJ$16:$FJ$23)</f>
        <v>53379.485032320001</v>
      </c>
      <c r="BG504" s="1125">
        <f t="array" ref="BG504">SUMPRODUCT(IF(BE504*AZ504*AP504*$FI$16:$FI$23*$FA$22&gt;=$FI$24,$FI$24,BE504*AZ504*AP504*$FI$16:$FI$23*$FA$22),$FJ$16:$FJ$23)</f>
        <v>60000</v>
      </c>
      <c r="BH504" s="1110">
        <f t="shared" si="628"/>
        <v>19359.469893513666</v>
      </c>
      <c r="BI504" s="1111">
        <f>IF(O504="vo",$EW$26/$EW$24*0.05,0)+IF(O504="sk",-$EW$26/$EW$24*(0.05-INDEX(绊状态确认!W:W,MATCH($G504,绊状态确认!$B:$B,)))+0.05*$EW$28,0)+IF(O504="sp",0.05*$EW$32*$EW$30*(1-$EW$33)-(0.05-INDEX(绊状态确认!V:V,MATCH($G504,绊状态确认!$B:$B,)))*$EW$28,0)+IF(O504="gd",-(0.05-INDEX(绊状态确认!X:X,MATCH($G504,绊状态确认!$B:$B,)))*$EW$32*$EW$30*(1-$EW$33),0)</f>
        <v>7726.3029277443748</v>
      </c>
      <c r="BJ504" s="420">
        <f>IF(O504="vo",0.05*(1-$FI$26)*$FA$24,0)+IF(O504="sk",-(0.05-INDEX(绊状态确认!W:W,MATCH($G504,绊状态确认!$B:$B,)))*(1-$FI$26)*$FA$24+0.05*$FA$26,0)+IF(O504="sp",0.05*$FA$32*$FA$27*(1-$FA$33)/$FA$30+0.05*$FA$29/$FA$69*$FA$27*(1-$FA$33)-(0.05-INDEX(绊状态确认!V:V,MATCH($G504,绊状态确认!$B:$B,)))*$FA$26,0)+IF(O504="gd",-(0.05-INDEX(绊状态确认!X:X,MATCH($G504,绊状态确认!$B:$B,)))*$FA$32*$FA$27*(1-$FA$33)/$FA$30-(0.05-INDEX(绊状态确认!X:X,MATCH($G504,绊状态确认!$B:$B,)))*$FA$29/$FA$69*$FA$27*(1-$FA$33),0)</f>
        <v>393.93433687500004</v>
      </c>
      <c r="BK504" s="1110">
        <f>IF(O504="vo",$EW$26/$EW$24*0.05+$EW$26*(-HP($EW$62,$EW$65,$EW$64)+HP($EW$62,$EW$65,(1.05-INDEX(绊状态确认!U:U,MATCH($G504,绊状态确认!$B:$B,)))*$EW$64)),0)+IF(O504="sk",-$EW$26/$EW$24*(0.05-INDEX(绊状态确认!W:W,MATCH($G504,绊状态确认!$B:$B,)))+0.05*$EW$29,0)+IF(O504="sp",0.05*$EW$32*$EW$30*(1-$EW$33)-(0.05-INDEX(绊状态确认!V:V,MATCH($G504,绊状态确认!$B:$B,)))*$EW$29,0)+IF(O504="gd",-(0.05-INDEX(绊状态确认!X:X,MATCH($G504,绊状态确认!$B:$B,)))*$EW$32*$EW$30*(1-$EW$33)+$EW$26*(-HP($EW$62,$EW$65,$EW$64)+HP($EW$62,$EW$65,0.95*$EW$64)),0)</f>
        <v>6421.6344775026746</v>
      </c>
      <c r="BL504" s="1111">
        <f t="shared" si="629"/>
        <v>0</v>
      </c>
      <c r="BM504" s="1110">
        <f t="shared" si="630"/>
        <v>0</v>
      </c>
      <c r="BN504" s="1113">
        <f t="shared" si="631"/>
        <v>3</v>
      </c>
      <c r="BO504" s="1108">
        <f t="shared" si="632"/>
        <v>4507.7214871259994</v>
      </c>
      <c r="BP504" s="1100">
        <f t="shared" si="633"/>
        <v>221.34103209030098</v>
      </c>
      <c r="BQ504" s="1113" t="s">
        <v>132</v>
      </c>
      <c r="BR504" s="1124" t="s">
        <v>171</v>
      </c>
      <c r="BS504" s="421">
        <f>IF($P504="","N/A",IF($P504=-1,INDEX('卡片raw data'!AX:AX,MATCH($D504,'卡片raw data'!$F:$F,)),0)+IF($L504="party卡",IF($P504=5,INDEX('卡片raw data'!BD:BD,MATCH($D504,'卡片raw data'!$F:$F,)),IF($P504&gt;=3,INDEX('卡片raw data'!BC:BC,MATCH($D504,'卡片raw data'!$F:$F,)),INDEX('卡片raw data'!BB:BB,MATCH($D504,'卡片raw data'!$F:$F,)))),IF(OR(AND($F504="UR",$P504=0),AND($F504="SR",$P504&gt;=0,$P504&lt;=2),AND($F504="R",$P504&gt;=0,$P504&lt;4)),INDEX('卡片raw data'!AZ:AZ,MATCH($D504,'卡片raw data'!$F:$F,)),0)+IF(OR(AND($F504="UR",$P504&gt;=1,$P504&lt;=4),AND($F504="SR",$P504&lt;=4,$P504&gt;=3),AND($F504="R",$P504=4)),INDEX('卡片raw data'!BA:BA,MATCH($D504,'卡片raw data'!$F:$F,)),0)+IF($P504=5,INDEX('卡片raw data'!BB:BB,MATCH($D504,'卡片raw data'!$F:$F,)),0)))</f>
        <v>4.2000000000000003E-2</v>
      </c>
      <c r="BT504" s="424">
        <f t="shared" si="634"/>
        <v>2103.6033606587998</v>
      </c>
      <c r="BU504" s="420">
        <f t="shared" si="635"/>
        <v>90.380921436872924</v>
      </c>
      <c r="BV504" s="420">
        <f t="shared" si="636"/>
        <v>1051.8016803293999</v>
      </c>
      <c r="BW504" s="436">
        <f t="shared" si="637"/>
        <v>0</v>
      </c>
      <c r="BX504" s="423">
        <f t="shared" si="638"/>
        <v>2103.6033606587998</v>
      </c>
      <c r="BY504" s="433">
        <f t="shared" si="639"/>
        <v>1051.8016803293999</v>
      </c>
      <c r="BZ504" s="1113" t="s">
        <v>569</v>
      </c>
      <c r="CA504" s="450"/>
      <c r="CB504" s="421">
        <f>IF($P504="","N/A",IF($P504=-1,INDEX('卡片raw data'!BE:BE,MATCH($D504,'卡片raw data'!$F:$F,)),0)+IF($L504="party卡",IF($P504=5,INDEX('卡片raw data'!BK:BK,MATCH($D504,'卡片raw data'!$F:$F,)),IF($P504&gt;=3,INDEX('卡片raw data'!BJ:BJ,MATCH($D504,'卡片raw data'!$F:$F,)),INDEX('卡片raw data'!BI:BI,MATCH($D504,'卡片raw data'!$F:$F,)))),IF(OR(AND($F504="UR",$P504=0),AND($F504="SR",$P504&gt;=0,$P504&lt;=2),AND($F504="R",$P504&gt;=0,$P504&lt;4)),INDEX('卡片raw data'!BG:BG,MATCH($D504,'卡片raw data'!$F:$F,)),0)+IF(OR(AND($F504="UR",$P504&gt;=1,$P504&lt;=4),AND($F504="SR",$P504&lt;=4,$P504&gt;=3),AND($F504="R",$P504=4)),INDEX('卡片raw data'!BH:BH,MATCH($D504,'卡片raw data'!$F:$F,)),0)+IF($P504=5,INDEX('卡片raw data'!BI:BI,MATCH($D504,'卡片raw data'!$F:$F,)),0)))</f>
        <v>0</v>
      </c>
      <c r="CC504" s="424">
        <f t="shared" si="640"/>
        <v>0</v>
      </c>
      <c r="CD504" s="420">
        <f>IF(BZ504="ap",CB504*(1-$FI$26)*$FB$5/$FB$11*(+IF(CA504="全员",$FA$24,0)+IF(CA504="同作战",$FA$24,0)+IF(CA504="仲间",$FA$24*2/3,0)+IF(CA504="同属性",$FA$24*$FA$37/3,0)+IF(CA504="同年级",$FA$24*$FA$40/3,0)+IF(CA504="同学校",$FA$24*$FA$43/3,0)+IF(CA504="同小队",$FA$24*$FA$46/3,0)+IF(CA504="同type",$FA$24*INDEX($FB$49:$FB$52,MATCH(X504,$FA$49:$FA$52,))/3,0)+IF(CA504="自身",#REF!/3,0)),0)+IF(BZ504="te",CB504*(1-$FI$27)*($FA$20-1)*$FB$7/$FB$13*(+IF(CA504="全员",$FA$19*$FA$24/(1+($FA$20-1)*$FA$19),0)+IF(CA504="同作战",$FA$19*$FA$24/(1+($FA$20-1)*$FA$19),0)+IF(CA504="仲间",$FA$19*$FA$24*2/3/(1+($FA$20-1)*$FA$19),0)+IF(CA504="同属性",$FA$19*$FA$24*$FA$37/3/(1+($FA$20-1)*$FA$19),0)+IF(CA504="同年级",$FA$19*$FA$24*$FA$40/3/(1+($FA$20-1)*$FA$19),0)+IF(CA504="同学校",$FA$19*$FA$24*$FA$43/3/(1+($FA$20-1)*$FA$19),0)+IF(CA504="同小队",$FA$19*$FA$24*$FA$46/3/(1+($FA$20-1)*$FA$19),0)+IF(CA504="同type",$FA$19*$FA$24*INDEX($FB$49:$FB$52,MATCH(X504,$FA$49:$FA$52,))/3/(1+($FA$20-1)*$FA$19),0)+IF(CA504="自身",$FA$19*#REF!/3/(1+(BH504-1)*$BD504),0)),0)</f>
        <v>0</v>
      </c>
      <c r="CE504" s="420">
        <f t="shared" si="641"/>
        <v>0</v>
      </c>
      <c r="CF504" s="436">
        <f t="shared" si="642"/>
        <v>0</v>
      </c>
      <c r="CG504" s="423">
        <f t="shared" si="643"/>
        <v>0</v>
      </c>
      <c r="CH504" s="433">
        <f t="shared" si="644"/>
        <v>0</v>
      </c>
      <c r="CI504" s="437" t="s">
        <v>162</v>
      </c>
      <c r="CJ504" s="438">
        <v>1</v>
      </c>
      <c r="CK504" s="439" t="s">
        <v>2074</v>
      </c>
      <c r="CL504" s="439" t="s">
        <v>2667</v>
      </c>
      <c r="CM504" s="443">
        <v>0.1</v>
      </c>
      <c r="CN504" s="439" t="s">
        <v>1948</v>
      </c>
      <c r="CO504" s="1115"/>
      <c r="CP504" s="1118">
        <f t="shared" si="645"/>
        <v>1.7857142857142856E-2</v>
      </c>
      <c r="CQ504" s="1118">
        <f t="shared" si="646"/>
        <v>1.6666666666666666E-2</v>
      </c>
      <c r="CR504" s="1118">
        <f t="shared" si="647"/>
        <v>0</v>
      </c>
      <c r="CS504" s="1118">
        <f t="shared" si="648"/>
        <v>0</v>
      </c>
      <c r="CT504" s="1109">
        <f t="shared" si="649"/>
        <v>0</v>
      </c>
      <c r="CU504" s="1101">
        <f t="shared" si="650"/>
        <v>3035.3332930424331</v>
      </c>
      <c r="CV504" s="1108">
        <f t="shared" si="685"/>
        <v>131.311445625</v>
      </c>
      <c r="CW504" s="1097">
        <f t="shared" si="651"/>
        <v>0</v>
      </c>
      <c r="CX504" s="1097">
        <f t="shared" si="652"/>
        <v>3035.3332930424331</v>
      </c>
      <c r="CY504" s="1110">
        <f t="shared" si="653"/>
        <v>0</v>
      </c>
      <c r="CZ504" s="437"/>
      <c r="DA504" s="438"/>
      <c r="DB504" s="439" t="s">
        <v>569</v>
      </c>
      <c r="DC504" s="439"/>
      <c r="DD504" s="443"/>
      <c r="DE504" s="411"/>
      <c r="DF504" s="411"/>
      <c r="DG504" s="1116">
        <f t="shared" si="654"/>
        <v>0</v>
      </c>
      <c r="DH504" s="1116">
        <f t="shared" si="655"/>
        <v>0</v>
      </c>
      <c r="DI504" s="1116">
        <f t="shared" si="656"/>
        <v>0</v>
      </c>
      <c r="DJ504" s="442">
        <f t="shared" si="657"/>
        <v>0</v>
      </c>
      <c r="DK504" s="432">
        <f t="shared" si="658"/>
        <v>0</v>
      </c>
      <c r="DL504" s="424">
        <f t="shared" si="659"/>
        <v>0</v>
      </c>
      <c r="DM504" s="420">
        <f t="shared" si="660"/>
        <v>0</v>
      </c>
      <c r="DN504" s="420">
        <f t="shared" si="661"/>
        <v>0</v>
      </c>
      <c r="DO504" s="420">
        <f t="shared" si="662"/>
        <v>0</v>
      </c>
      <c r="DP504" s="433">
        <f t="shared" si="663"/>
        <v>0</v>
      </c>
      <c r="DQ504" s="437" t="s">
        <v>4168</v>
      </c>
      <c r="DR504" s="1120">
        <f t="shared" si="664"/>
        <v>0.33</v>
      </c>
      <c r="DS504" s="450">
        <v>5</v>
      </c>
      <c r="DT504" s="1124" t="s">
        <v>2127</v>
      </c>
      <c r="DU504" s="1124" t="s">
        <v>2145</v>
      </c>
      <c r="DV504" s="1098">
        <f>IF($P504="","N/A",IF(P504=-1,INDEX('卡片raw data'!AN:AN,MATCH(D504,'卡片raw data'!$F:$F,)),0)+IF(AND(L504&lt;&gt;"party卡",P504&lt;=2,P504&gt;=0),INDEX('卡片raw data'!AP:AP,MATCH(D504,'卡片raw data'!$F:$F,)),0)+IF(OR(AND(L504="party卡",P504&lt;=1),AND(P504&lt;=4,L504&lt;&gt;"party卡",P504&gt;=3)),INDEX('卡片raw data'!AQ:AQ,MATCH(D504,'卡片raw data'!$F:$F,)),0)+IF(OR(P504=5,AND(L504="party卡",P504&gt;=2)),INDEX('卡片raw data'!AR:AR,MATCH(D504,'卡片raw data'!$F:$F,)),0))</f>
        <v>7.1999999999999995E-2</v>
      </c>
      <c r="DW504" s="1098">
        <f t="shared" si="665"/>
        <v>0.33</v>
      </c>
      <c r="DX504" s="1098">
        <f t="shared" si="666"/>
        <v>0.33</v>
      </c>
      <c r="DY504" s="1098">
        <f t="shared" si="667"/>
        <v>3.9599999999999996E-2</v>
      </c>
      <c r="DZ504" s="1098">
        <f t="shared" si="668"/>
        <v>3.4254E-2</v>
      </c>
      <c r="EA504" s="421">
        <f t="shared" si="669"/>
        <v>0</v>
      </c>
      <c r="EB504" s="445">
        <f t="shared" si="670"/>
        <v>0</v>
      </c>
      <c r="EC504" s="424">
        <f t="shared" si="671"/>
        <v>6731.1551106508987</v>
      </c>
      <c r="ED504" s="420">
        <f t="shared" si="672"/>
        <v>269.87653550632501</v>
      </c>
      <c r="EE504" s="433">
        <f t="shared" si="683"/>
        <v>6731.1551106508987</v>
      </c>
      <c r="EF504" s="1115" t="s">
        <v>569</v>
      </c>
      <c r="EG504" s="1120">
        <f t="shared" si="673"/>
        <v>0.33</v>
      </c>
      <c r="EH504" s="450"/>
      <c r="EI504" s="1093"/>
      <c r="EJ504" s="1093"/>
      <c r="EK504" s="420">
        <f>IF($P504="","N/A",IF(P504=-1,INDEX('卡片raw data'!AS:AS,MATCH(D504,'卡片raw data'!$F:$F,)),0)+IF(AND(L504&lt;&gt;"party卡",P504&lt;=2,P504&gt;=0),INDEX('卡片raw data'!AU:AU,MATCH(D504,'卡片raw data'!$F:$F,)),0)+IF(OR(AND(L504="party卡",P504&lt;=1),AND(P504&lt;=4,L504&lt;&gt;"party卡",P504&gt;=3)),INDEX('卡片raw data'!AV:AV,MATCH(D504,'卡片raw data'!$F:$F,)),0)+IF(OR(P504=5,AND(L504="party卡",P504&gt;=2)),INDEX('卡片raw data'!AW:AW,MATCH(D504,'卡片raw data'!$F:$F,)),0))</f>
        <v>0</v>
      </c>
      <c r="EL504" s="1098">
        <f t="shared" si="674"/>
        <v>0.33</v>
      </c>
      <c r="EM504" s="1098">
        <f t="shared" si="675"/>
        <v>0.33</v>
      </c>
      <c r="EN504" s="1097">
        <f t="shared" si="676"/>
        <v>0</v>
      </c>
      <c r="EO504" s="1097">
        <f t="shared" si="677"/>
        <v>0</v>
      </c>
      <c r="EP504" s="421">
        <f t="shared" si="678"/>
        <v>0</v>
      </c>
      <c r="EQ504" s="445">
        <f t="shared" si="679"/>
        <v>0</v>
      </c>
      <c r="ER504" s="424">
        <f t="shared" si="680"/>
        <v>0</v>
      </c>
      <c r="ES504" s="420">
        <f t="shared" si="681"/>
        <v>0</v>
      </c>
      <c r="ET504" s="446">
        <f t="shared" si="684"/>
        <v>0</v>
      </c>
    </row>
    <row r="505" spans="2:150" ht="16.5" customHeight="1">
      <c r="B505" s="448" t="str">
        <f>INDEX('卡片raw data'!B:B,MATCH($D505,'卡片raw data'!$F:$F,))</f>
        <v>未熟丸</v>
      </c>
      <c r="C505" s="449" t="s">
        <v>4155</v>
      </c>
      <c r="D505" s="408">
        <v>502</v>
      </c>
      <c r="E505" s="477">
        <v>401072006</v>
      </c>
      <c r="F505" s="409" t="str">
        <f>INDEX('卡片raw data'!C:C,MATCH($D505,'卡片raw data'!$F:$F,))</f>
        <v>SR</v>
      </c>
      <c r="G505" s="1094" t="s">
        <v>4180</v>
      </c>
      <c r="H505" s="411">
        <f>IFERROR(INDEX(绊状态确认!C:C,MATCH($G505,绊状态确认!$B:$B,)),"")</f>
        <v>107</v>
      </c>
      <c r="I505" s="450" t="str">
        <f>IFERROR(INDEX(绊状态确认!D:D,MATCH($G505,绊状态确认!$B:$B,)),"")</f>
        <v>水</v>
      </c>
      <c r="J505" s="450" t="str">
        <f>IFERROR(INDEX(绊状态确认!E:E,MATCH($G505,绊状态确认!$B:$B,)),"")</f>
        <v>1年级</v>
      </c>
      <c r="K505" s="451" t="str">
        <f>IFERROR(INDEX(绊状态确认!F:F,MATCH($G505,绊状态确认!$B:$B,)),"")</f>
        <v>AZALEA</v>
      </c>
      <c r="L505" s="414" t="str">
        <f>INDEX('卡片raw data'!E:E,MATCH($D505,'卡片raw data'!$F:$F,))</f>
        <v>活动卡</v>
      </c>
      <c r="M505" s="478">
        <v>44397</v>
      </c>
      <c r="N505" s="479">
        <v>44</v>
      </c>
      <c r="O505" s="410" t="str">
        <f>INDEX('卡片raw data'!D:D,MATCH($D505,'卡片raw data'!$F:$F,))</f>
        <v>vo</v>
      </c>
      <c r="P505" s="1126">
        <v>5</v>
      </c>
      <c r="Q505" s="418">
        <f t="shared" si="600"/>
        <v>35462.885322552749</v>
      </c>
      <c r="R505" s="419">
        <f t="shared" si="601"/>
        <v>0.41199999999999998</v>
      </c>
      <c r="S505" s="420">
        <f t="shared" si="602"/>
        <v>16512.034983074333</v>
      </c>
      <c r="T505" s="421">
        <f t="shared" si="603"/>
        <v>0.82499999999999996</v>
      </c>
      <c r="U505" s="422">
        <f t="shared" si="604"/>
        <v>-15.507153331407144</v>
      </c>
      <c r="V505" s="423">
        <f t="shared" si="605"/>
        <v>34911.64271462262</v>
      </c>
      <c r="W505" s="424">
        <f t="shared" si="606"/>
        <v>4574.886896334765</v>
      </c>
      <c r="X505" s="419">
        <f t="shared" si="607"/>
        <v>5.2999999999999999E-2</v>
      </c>
      <c r="Y505" s="420">
        <f t="shared" si="608"/>
        <v>753.42584231157252</v>
      </c>
      <c r="Z505" s="425">
        <f t="shared" si="609"/>
        <v>9.4928466685928559</v>
      </c>
      <c r="AA505" s="426">
        <f t="shared" si="610"/>
        <v>5328.3127386463375</v>
      </c>
      <c r="AB505" s="424">
        <f t="shared" si="611"/>
        <v>5051.5525655803576</v>
      </c>
      <c r="AC505" s="427">
        <f t="shared" si="612"/>
        <v>5.8000000000000003E-2</v>
      </c>
      <c r="AD505" s="428">
        <f t="shared" si="613"/>
        <v>-3.8207812500000026E-3</v>
      </c>
      <c r="AE505" s="516">
        <f t="shared" si="614"/>
        <v>-12.27536231884058</v>
      </c>
      <c r="AF505" s="1130">
        <f t="shared" si="615"/>
        <v>0</v>
      </c>
      <c r="AG505" s="420">
        <f t="shared" si="616"/>
        <v>0</v>
      </c>
      <c r="AH505" s="420">
        <f t="shared" si="617"/>
        <v>0</v>
      </c>
      <c r="AI505" s="1097">
        <f t="shared" si="618"/>
        <v>0</v>
      </c>
      <c r="AJ505" s="420">
        <f t="shared" si="619"/>
        <v>0</v>
      </c>
      <c r="AK505" s="518">
        <f t="shared" si="620"/>
        <v>0</v>
      </c>
      <c r="AL505" s="1106">
        <f>IF($P505="","N/A",(IF($P505=-1,INDEX('卡片raw data'!S:S,MATCH($D505,'卡片raw data'!$F:$F,)),0)+IF($P505=0,INDEX('卡片raw data'!V:V,MATCH($D505,'卡片raw data'!$F:$F,)),0)+IF($P505=1,INDEX('卡片raw data'!Y:Y,MATCH($D505,'卡片raw data'!$F:$F,)),0)+IF($P505=2,INDEX('卡片raw data'!AB:AB,MATCH($D505,'卡片raw data'!$F:$F,)),0)+IF($P505=3,INDEX('卡片raw data'!AE:AE,MATCH($D505,'卡片raw data'!$F:$F,)),0)+IF($P505=4,INDEX('卡片raw data'!AH:AH,MATCH($D505,'卡片raw data'!$F:$F,)),0)+IF($P505=5,INDEX('卡片raw data'!AK:AK,MATCH($D505,'卡片raw data'!$F:$F,)),0)+INDEX('卡片raw data'!S:S,MATCH($D505,'卡片raw data'!$F:$F,))*(IF($F505="UR",0.04,0.033))*(IF($F505="UR",INDEX(绊状态确认!$S:$S,MATCH($G505,绊状态确认!$B:$B,))/2-40)+IF($F505="SR",INDEX(绊状态确认!$R:$R,MATCH($G505,绊状态确认!$B:$B,))/4-15))+IF($F505="R",INDEX(绊状态确认!$Q:$Q,MATCH($G505,绊状态确认!$B:$B,))/6-40/6)))*(INDEX(绊状态确认!$H:$H,MATCH($G505,绊状态确认!$B:$B,))+INDEX(绊状态确认!J:J,MATCH($G505,绊状态确认!$B:$B,)))</f>
        <v>8039.6958983999994</v>
      </c>
      <c r="AM505" s="1106">
        <f>IF($P505="","N/A",(IF($P505=-1,INDEX('卡片raw data'!T:T,MATCH($D505,'卡片raw data'!$F:$F,)),0)+IF($P505=0,INDEX('卡片raw data'!W:W,MATCH($D505,'卡片raw data'!$F:$F,)),0)+IF($P505=1,INDEX('卡片raw data'!Z:Z,MATCH($D505,'卡片raw data'!$F:$F,)),0)+IF($P505=2,INDEX('卡片raw data'!AC:AC,MATCH($D505,'卡片raw data'!$F:$F,)),0)+IF($P505=3,INDEX('卡片raw data'!AF:AF,MATCH($D505,'卡片raw data'!$F:$F,)),0)+IF($P505=4,INDEX('卡片raw data'!AI:AI,MATCH($D505,'卡片raw data'!$F:$F,)),0)+IF($P505=5,INDEX('卡片raw data'!AL:AL,MATCH($D505,'卡片raw data'!$F:$F,)),0)+INDEX('卡片raw data'!T:T,MATCH($D505,'卡片raw data'!$F:$F,))*(IF($F505="UR",0.04,0.033))*(IF($F505="UR",INDEX(绊状态确认!$S:$S,MATCH($G505,绊状态确认!$B:$B,))/2-40)+IF($F505="SR",INDEX(绊状态确认!$R:$R,MATCH($G505,绊状态确认!$B:$B,))/4-15))+IF($F505="R",INDEX(绊状态确认!$Q:$Q,MATCH($G505,绊状态确认!$B:$B,))/6-40/6)))*(INDEX(绊状态确认!$H:$H,MATCH($G505,绊状态确认!$B:$B,))+INDEX(绊状态确认!K:K,MATCH($G505,绊状态确认!$B:$B,)))</f>
        <v>4509.8829479999995</v>
      </c>
      <c r="AN505" s="1106">
        <f>IF($P505="","N/A",(IF($P505=-1,INDEX('卡片raw data'!U:U,MATCH($D505,'卡片raw data'!$F:$F,)),0)+IF($P505=0,INDEX('卡片raw data'!X:X,MATCH($D505,'卡片raw data'!$F:$F,)),0)+IF($P505=1,INDEX('卡片raw data'!AA:AA,MATCH($D505,'卡片raw data'!$F:$F,)),0)+IF($P505=2,INDEX('卡片raw data'!AD:AD,MATCH($D505,'卡片raw data'!$F:$F,)),0)+IF($P505=3,INDEX('卡片raw data'!AG:AG,MATCH($D505,'卡片raw data'!$F:$F,)),0)+IF($P505=4,INDEX('卡片raw data'!AJ:AJ,MATCH($D505,'卡片raw data'!$F:$F,)),0)+IF($P505=5,INDEX('卡片raw data'!AM:AM,MATCH($D505,'卡片raw data'!$F:$F,)),0)+INDEX('卡片raw data'!U:U,MATCH($D505,'卡片raw data'!$F:$F,))*(IF($F505="UR",0.04,0.033))*(IF($F505="UR",INDEX(绊状态确认!$S:$S,MATCH($G505,绊状态确认!$B:$B,))/2-40)+IF($F505="SR",INDEX(绊状态确认!$R:$R,MATCH($G505,绊状态确认!$B:$B,))/4-15))+IF($F505="R",INDEX(绊状态确认!$Q:$Q,MATCH($G505,绊状态确认!$B:$B,))/6-40/6)))*(INDEX(绊状态确认!$H:$H,MATCH($G505,绊状态确认!$B:$B,))+INDEX(绊状态确认!L:L,MATCH($G505,绊状态确认!$B:$B,)))</f>
        <v>7058.4895007999994</v>
      </c>
      <c r="AO505" s="1107">
        <f t="shared" si="621"/>
        <v>1</v>
      </c>
      <c r="AP505" s="1131">
        <f>1+(INDEX(绊状态确认!$T:$T,MATCH($G505,绊状态确认!$B:$B,))+0.2)*$AO505</f>
        <v>1.3</v>
      </c>
      <c r="AQ505" s="1108">
        <f t="shared" si="622"/>
        <v>24354.2017333</v>
      </c>
      <c r="AR505" s="1097">
        <f>(AM505*(1+$EX$9)+$EX$35)*(1+(INDEX(绊状态确认!$T:$T,MATCH($G505,绊状态确认!$B:$B,))+0.2)*AO505)*IF(J505=$FF$17,1+$FE$17,1)*IF(I505=$FF$14,1+$FE$14,1)</f>
        <v>8859.990224019999</v>
      </c>
      <c r="AS505" s="1097">
        <f>(AN505*(1+$EX$10)+$EX$36)*(1+(INDEX(绊状态确认!$T:$T,MATCH($G505,绊状态确认!$B:$B,))+0.2)*AO505)*IF(J505=$FF$17,1+$FE$17,1)*IF(I505=$FF$14,1+$FE$14,1)</f>
        <v>14608.441803695998</v>
      </c>
      <c r="AT505" s="1093">
        <f>IF(AND(INDEX('卡片raw data'!AK:AK,MATCH($D505,'卡片raw data'!$F:$F,))&lt;INDEX('卡片raw data'!AM:AM,MATCH($D505,'卡片raw data'!$F:$F,)),INDEX('卡片raw data'!AL:AL,MATCH($D505,'卡片raw data'!$F:$F,))&lt;INDEX('卡片raw data'!AM:AM,MATCH($D505,'卡片raw data'!$F:$F,))),1,0)</f>
        <v>0</v>
      </c>
      <c r="AU505" s="1098">
        <f>MIN(AT505*0.15+AS505*0.00003+INDEX(绊状态确认!M:M,MATCH($G505,绊状态确认!$B:$B,)),1)</f>
        <v>0.46825325411087998</v>
      </c>
      <c r="AV505" s="1109">
        <f>(INDEX(绊状态确认!$N:$N,MATCH($G505,绊状态确认!$B:$B,))+1.5)*$EW$21</f>
        <v>2.6599999999999997</v>
      </c>
      <c r="AW505" s="1101">
        <f t="shared" si="623"/>
        <v>22479.782348852452</v>
      </c>
      <c r="AX505" s="1097">
        <f t="shared" si="624"/>
        <v>753.42584231157241</v>
      </c>
      <c r="AY505" s="1110">
        <f t="shared" si="625"/>
        <v>23233.208191164023</v>
      </c>
      <c r="AZ505" s="429">
        <f t="shared" si="626"/>
        <v>18277.407001879998</v>
      </c>
      <c r="BA505" s="431">
        <f t="shared" si="627"/>
        <v>21932.888402255998</v>
      </c>
      <c r="BB505" s="1097">
        <f>(AM505*(1+$FB$9)+$FB$35)*(1+(INDEX(绊状态确认!$T:$T,MATCH($G505,绊状态确认!$B:$B,))+0.2)*AO505)*IF(J505=$FF$17,1+$FE$17,1)*IF(I505=$FF$14,1+$FE$14,1)*(1+$FE$15)</f>
        <v>8859.990224019999</v>
      </c>
      <c r="BC505" s="1097">
        <f>(AN505*(1+$FB$10)+$FB$36)*(1+(INDEX(绊状态确认!$T:$T,MATCH($G505,绊状态确认!$B:$B,))+0.2)*AO505)*IF(J505=$FF$17,1+$FE$17,1)*IF(I505=$FF$14,1+$FE$14,1)*(1+$FE$15)</f>
        <v>14608.441803695998</v>
      </c>
      <c r="BD505" s="1104">
        <f>MIN(AT505*0.15+BC505*0.00003+INDEX(绊状态确认!M:M,MATCH($G505,绊状态确认!$B:$B,)),1)</f>
        <v>0.46825325411087998</v>
      </c>
      <c r="BE505" s="432">
        <f>(INDEX(绊状态确认!$N:$N,MATCH($G505,绊状态确认!$B:$B,))+1.5)</f>
        <v>1.9</v>
      </c>
      <c r="BF505" s="1139">
        <f t="array" ref="BF505">SUMPRODUCT(IF(AZ505*AP505*$FI$16:$FI$23*$FA$22&gt;=$FI$24,$FI$24,AZ505*AP505*$FI$16:$FI$23*$FA$22),$FJ$16:$FJ$23)</f>
        <v>36353.762526739316</v>
      </c>
      <c r="BG505" s="1125">
        <f t="array" ref="BG505">SUMPRODUCT(IF(BE505*AZ505*AP505*$FI$16:$FI$23*$FA$22&gt;=$FI$24,$FI$24,BE505*AZ505*AP505*$FI$16:$FI$23*$FA$22),$FJ$16:$FJ$23)</f>
        <v>59286.298823660902</v>
      </c>
      <c r="BH505" s="1110">
        <f t="shared" si="628"/>
        <v>15697.332424262908</v>
      </c>
      <c r="BI505" s="1111">
        <f>IF(O505="vo",$EW$26/$EW$24*0.05,0)+IF(O505="sk",-$EW$26/$EW$24*(0.05-INDEX(绊状态确认!W:W,MATCH($G505,绊状态确认!$B:$B,)))+0.05*$EW$28,0)+IF(O505="sp",0.05*$EW$32*$EW$30*(1-$EW$33)-(0.05-INDEX(绊状态确认!V:V,MATCH($G505,绊状态确认!$B:$B,)))*$EW$28,0)+IF(O505="gd",-(0.05-INDEX(绊状态确认!X:X,MATCH($G505,绊状态确认!$B:$B,)))*$EW$32*$EW$30*(1-$EW$33),0)</f>
        <v>7726.3029277443748</v>
      </c>
      <c r="BJ505" s="420">
        <f>IF(O505="vo",0.05*(1-$FI$26)*$FA$24,0)+IF(O505="sk",-(0.05-INDEX(绊状态确认!W:W,MATCH($G505,绊状态确认!$B:$B,)))*(1-$FI$26)*$FA$24+0.05*$FA$26,0)+IF(O505="sp",0.05*$FA$32*$FA$27*(1-$FA$33)/$FA$30+0.05*$FA$29/$FA$69*$FA$27*(1-$FA$33)-(0.05-INDEX(绊状态确认!V:V,MATCH($G505,绊状态确认!$B:$B,)))*$FA$26,0)+IF(O505="gd",-(0.05-INDEX(绊状态确认!X:X,MATCH($G505,绊状态确认!$B:$B,)))*$FA$32*$FA$27*(1-$FA$33)/$FA$30-(0.05-INDEX(绊状态确认!X:X,MATCH($G505,绊状态确认!$B:$B,)))*$FA$29/$FA$69*$FA$27*(1-$FA$33),0)</f>
        <v>393.93433687500004</v>
      </c>
      <c r="BK505" s="1110">
        <f>IF(O505="vo",$EW$26/$EW$24*0.05+$EW$26*(-HP($EW$62,$EW$65,$EW$64)+HP($EW$62,$EW$65,(1.05-INDEX(绊状态确认!U:U,MATCH($G505,绊状态确认!$B:$B,)))*$EW$64)),0)+IF(O505="sk",-$EW$26/$EW$24*(0.05-INDEX(绊状态确认!W:W,MATCH($G505,绊状态确认!$B:$B,)))+0.05*$EW$29,0)+IF(O505="sp",0.05*$EW$32*$EW$30*(1-$EW$33)-(0.05-INDEX(绊状态确认!V:V,MATCH($G505,绊状态确认!$B:$B,)))*$EW$29,0)+IF(O505="gd",-(0.05-INDEX(绊状态确认!X:X,MATCH($G505,绊状态确认!$B:$B,)))*$EW$32*$EW$30*(1-$EW$33)+$EW$26*(-HP($EW$62,$EW$65,$EW$64)+HP($EW$62,$EW$65,0.95*$EW$64)),0)</f>
        <v>6421.6344775026746</v>
      </c>
      <c r="BL505" s="1111">
        <f t="shared" si="629"/>
        <v>-1083.3333333333333</v>
      </c>
      <c r="BM505" s="1110">
        <f t="shared" si="630"/>
        <v>-830.55555555555543</v>
      </c>
      <c r="BN505" s="1113">
        <f t="shared" si="631"/>
        <v>3</v>
      </c>
      <c r="BO505" s="1108">
        <f t="shared" si="632"/>
        <v>4507.7214871259994</v>
      </c>
      <c r="BP505" s="1100">
        <f t="shared" si="633"/>
        <v>221.34103209030098</v>
      </c>
      <c r="BQ505" s="1113" t="s">
        <v>134</v>
      </c>
      <c r="BR505" s="1124" t="s">
        <v>166</v>
      </c>
      <c r="BS505" s="421">
        <f>IF($P505="","N/A",IF($P505=-1,INDEX('卡片raw data'!AX:AX,MATCH($D505,'卡片raw data'!$F:$F,)),0)+IF($L505="party卡",IF($P505=5,INDEX('卡片raw data'!BD:BD,MATCH($D505,'卡片raw data'!$F:$F,)),IF($P505&gt;=3,INDEX('卡片raw data'!BC:BC,MATCH($D505,'卡片raw data'!$F:$F,)),INDEX('卡片raw data'!BB:BB,MATCH($D505,'卡片raw data'!$F:$F,)))),IF(OR(AND($F505="UR",$P505=0),AND($F505="SR",$P505&gt;=0,$P505&lt;=2),AND($F505="R",$P505&gt;=0,$P505&lt;4)),INDEX('卡片raw data'!AZ:AZ,MATCH($D505,'卡片raw data'!$F:$F,)),0)+IF(OR(AND($F505="UR",$P505&gt;=1,$P505&lt;=4),AND($F505="SR",$P505&lt;=4,$P505&gt;=3),AND($F505="R",$P505=4)),INDEX('卡片raw data'!BA:BA,MATCH($D505,'卡片raw data'!$F:$F,)),0)+IF($P505=5,INDEX('卡片raw data'!BB:BB,MATCH($D505,'卡片raw data'!$F:$F,)),0)))</f>
        <v>7.0000000000000007E-2</v>
      </c>
      <c r="BT505" s="424">
        <f t="shared" si="634"/>
        <v>476.66566924559265</v>
      </c>
      <c r="BU505" s="420">
        <f t="shared" si="635"/>
        <v>31.893759324416425</v>
      </c>
      <c r="BV505" s="420">
        <f t="shared" si="636"/>
        <v>0</v>
      </c>
      <c r="BW505" s="436">
        <f t="shared" si="637"/>
        <v>0</v>
      </c>
      <c r="BX505" s="423">
        <f t="shared" si="638"/>
        <v>476.66566924559265</v>
      </c>
      <c r="BY505" s="433">
        <f t="shared" si="639"/>
        <v>0</v>
      </c>
      <c r="BZ505" s="1113" t="s">
        <v>569</v>
      </c>
      <c r="CA505" s="450"/>
      <c r="CB505" s="421">
        <f>IF($P505="","N/A",IF($P505=-1,INDEX('卡片raw data'!BE:BE,MATCH($D505,'卡片raw data'!$F:$F,)),0)+IF($L505="party卡",IF($P505=5,INDEX('卡片raw data'!BK:BK,MATCH($D505,'卡片raw data'!$F:$F,)),IF($P505&gt;=3,INDEX('卡片raw data'!BJ:BJ,MATCH($D505,'卡片raw data'!$F:$F,)),INDEX('卡片raw data'!BI:BI,MATCH($D505,'卡片raw data'!$F:$F,)))),IF(OR(AND($F505="UR",$P505=0),AND($F505="SR",$P505&gt;=0,$P505&lt;=2),AND($F505="R",$P505&gt;=0,$P505&lt;4)),INDEX('卡片raw data'!BG:BG,MATCH($D505,'卡片raw data'!$F:$F,)),0)+IF(OR(AND($F505="UR",$P505&gt;=1,$P505&lt;=4),AND($F505="SR",$P505&lt;=4,$P505&gt;=3),AND($F505="R",$P505=4)),INDEX('卡片raw data'!BH:BH,MATCH($D505,'卡片raw data'!$F:$F,)),0)+IF($P505=5,INDEX('卡片raw data'!BI:BI,MATCH($D505,'卡片raw data'!$F:$F,)),0)))</f>
        <v>0</v>
      </c>
      <c r="CC505" s="424">
        <f t="shared" si="640"/>
        <v>0</v>
      </c>
      <c r="CD505" s="420">
        <f>IF(BZ505="ap",CB505*(1-$FI$26)*$FB$5/$FB$11*(+IF(CA505="全员",$FA$24,0)+IF(CA505="同作战",$FA$24,0)+IF(CA505="仲间",$FA$24*2/3,0)+IF(CA505="同属性",$FA$24*$FA$37/3,0)+IF(CA505="同年级",$FA$24*$FA$40/3,0)+IF(CA505="同学校",$FA$24*$FA$43/3,0)+IF(CA505="同小队",$FA$24*$FA$46/3,0)+IF(CA505="同type",$FA$24*INDEX($FB$49:$FB$52,MATCH(X505,$FA$49:$FA$52,))/3,0)+IF(CA505="自身",#REF!/3,0)),0)+IF(BZ505="te",CB505*(1-$FI$27)*($FA$20-1)*$FB$7/$FB$13*(+IF(CA505="全员",$FA$19*$FA$24/(1+($FA$20-1)*$FA$19),0)+IF(CA505="同作战",$FA$19*$FA$24/(1+($FA$20-1)*$FA$19),0)+IF(CA505="仲间",$FA$19*$FA$24*2/3/(1+($FA$20-1)*$FA$19),0)+IF(CA505="同属性",$FA$19*$FA$24*$FA$37/3/(1+($FA$20-1)*$FA$19),0)+IF(CA505="同年级",$FA$19*$FA$24*$FA$40/3/(1+($FA$20-1)*$FA$19),0)+IF(CA505="同学校",$FA$19*$FA$24*$FA$43/3/(1+($FA$20-1)*$FA$19),0)+IF(CA505="同小队",$FA$19*$FA$24*$FA$46/3/(1+($FA$20-1)*$FA$19),0)+IF(CA505="同type",$FA$19*$FA$24*INDEX($FB$49:$FB$52,MATCH(X505,$FA$49:$FA$52,))/3/(1+($FA$20-1)*$FA$19),0)+IF(CA505="自身",$FA$19*#REF!/3/(1+(BH505-1)*$BD505),0)),0)</f>
        <v>0</v>
      </c>
      <c r="CE505" s="420">
        <f t="shared" si="641"/>
        <v>0</v>
      </c>
      <c r="CF505" s="436">
        <f t="shared" si="642"/>
        <v>0</v>
      </c>
      <c r="CG505" s="423">
        <f t="shared" si="643"/>
        <v>0</v>
      </c>
      <c r="CH505" s="433">
        <f t="shared" si="644"/>
        <v>0</v>
      </c>
      <c r="CI505" s="437" t="s">
        <v>164</v>
      </c>
      <c r="CJ505" s="438">
        <v>0.3</v>
      </c>
      <c r="CK505" s="439" t="s">
        <v>2046</v>
      </c>
      <c r="CL505" s="439" t="s">
        <v>1940</v>
      </c>
      <c r="CM505" s="443">
        <v>0.3</v>
      </c>
      <c r="CN505" s="439"/>
      <c r="CO505" s="1115"/>
      <c r="CP505" s="1116">
        <f t="shared" si="645"/>
        <v>61.059462917059278</v>
      </c>
      <c r="CQ505" s="1116">
        <f t="shared" si="646"/>
        <v>85.538264768798385</v>
      </c>
      <c r="CR505" s="1117">
        <f t="shared" si="647"/>
        <v>61.059462917059278</v>
      </c>
      <c r="CS505" s="1118">
        <f t="shared" si="648"/>
        <v>0</v>
      </c>
      <c r="CT505" s="1109">
        <f t="shared" si="649"/>
        <v>0</v>
      </c>
      <c r="CU505" s="1101">
        <f t="shared" si="650"/>
        <v>67.165409208765212</v>
      </c>
      <c r="CV505" s="1108">
        <f t="shared" si="685"/>
        <v>85.538264768798385</v>
      </c>
      <c r="CW505" s="1097">
        <f t="shared" si="651"/>
        <v>67.165409208765212</v>
      </c>
      <c r="CX505" s="1097">
        <f t="shared" si="652"/>
        <v>67.165409208765212</v>
      </c>
      <c r="CY505" s="1110">
        <f t="shared" si="653"/>
        <v>67.165409208765212</v>
      </c>
      <c r="CZ505" s="437"/>
      <c r="DA505" s="438"/>
      <c r="DB505" s="439" t="s">
        <v>569</v>
      </c>
      <c r="DC505" s="439"/>
      <c r="DD505" s="443"/>
      <c r="DE505" s="411"/>
      <c r="DF505" s="411"/>
      <c r="DG505" s="1116">
        <f t="shared" si="654"/>
        <v>0</v>
      </c>
      <c r="DH505" s="1116">
        <f t="shared" si="655"/>
        <v>0</v>
      </c>
      <c r="DI505" s="1116">
        <f t="shared" si="656"/>
        <v>0</v>
      </c>
      <c r="DJ505" s="442">
        <f t="shared" si="657"/>
        <v>0</v>
      </c>
      <c r="DK505" s="432">
        <f t="shared" si="658"/>
        <v>0</v>
      </c>
      <c r="DL505" s="424">
        <f t="shared" si="659"/>
        <v>0</v>
      </c>
      <c r="DM505" s="420">
        <f t="shared" si="660"/>
        <v>0</v>
      </c>
      <c r="DN505" s="420">
        <f t="shared" si="661"/>
        <v>0</v>
      </c>
      <c r="DO505" s="420">
        <f t="shared" si="662"/>
        <v>0</v>
      </c>
      <c r="DP505" s="433">
        <f t="shared" si="663"/>
        <v>0</v>
      </c>
      <c r="DQ505" s="437" t="s">
        <v>545</v>
      </c>
      <c r="DR505" s="1120">
        <f t="shared" si="664"/>
        <v>0.3</v>
      </c>
      <c r="DS505" s="450"/>
      <c r="DT505" s="1093" t="s">
        <v>132</v>
      </c>
      <c r="DU505" s="1124"/>
      <c r="DV505" s="1098">
        <f>IF($P505="","N/A",IF(P505=-1,INDEX('卡片raw data'!AN:AN,MATCH(D505,'卡片raw data'!$F:$F,)),0)+IF(AND(L505&lt;&gt;"party卡",P505&lt;=2,P505&gt;=0),INDEX('卡片raw data'!AP:AP,MATCH(D505,'卡片raw data'!$F:$F,)),0)+IF(OR(AND(L505="party卡",P505&lt;=1),AND(P505&lt;=4,L505&lt;&gt;"party卡",P505&gt;=3)),INDEX('卡片raw data'!AQ:AQ,MATCH(D505,'卡片raw data'!$F:$F,)),0)+IF(OR(P505=5,AND(L505="party卡",P505&gt;=2)),INDEX('卡片raw data'!AR:AR,MATCH(D505,'卡片raw data'!$F:$F,)),0))</f>
        <v>0.37</v>
      </c>
      <c r="DW505" s="1098">
        <f t="shared" si="665"/>
        <v>0.3</v>
      </c>
      <c r="DX505" s="1098">
        <f t="shared" si="666"/>
        <v>0.3</v>
      </c>
      <c r="DY505" s="1097">
        <f t="shared" si="667"/>
        <v>1171.4371033717298</v>
      </c>
      <c r="DZ505" s="1097">
        <f t="shared" si="668"/>
        <v>912.55072130846406</v>
      </c>
      <c r="EA505" s="421">
        <f t="shared" si="669"/>
        <v>0</v>
      </c>
      <c r="EB505" s="445">
        <f t="shared" si="670"/>
        <v>0</v>
      </c>
      <c r="EC505" s="424">
        <f t="shared" si="671"/>
        <v>1288.580813708903</v>
      </c>
      <c r="ED505" s="420">
        <f t="shared" si="672"/>
        <v>912.55072130846406</v>
      </c>
      <c r="EE505" s="433">
        <f t="shared" si="683"/>
        <v>1288.580813708903</v>
      </c>
      <c r="EF505" s="1115" t="s">
        <v>569</v>
      </c>
      <c r="EG505" s="1120">
        <f t="shared" si="673"/>
        <v>0.3</v>
      </c>
      <c r="EH505" s="450"/>
      <c r="EI505" s="1093"/>
      <c r="EJ505" s="1093"/>
      <c r="EK505" s="420">
        <f>IF($P505="","N/A",IF(P505=-1,INDEX('卡片raw data'!AS:AS,MATCH(D505,'卡片raw data'!$F:$F,)),0)+IF(AND(L505&lt;&gt;"party卡",P505&lt;=2,P505&gt;=0),INDEX('卡片raw data'!AU:AU,MATCH(D505,'卡片raw data'!$F:$F,)),0)+IF(OR(AND(L505="party卡",P505&lt;=1),AND(P505&lt;=4,L505&lt;&gt;"party卡",P505&gt;=3)),INDEX('卡片raw data'!AV:AV,MATCH(D505,'卡片raw data'!$F:$F,)),0)+IF(OR(P505=5,AND(L505="party卡",P505&gt;=2)),INDEX('卡片raw data'!AW:AW,MATCH(D505,'卡片raw data'!$F:$F,)),0))</f>
        <v>0</v>
      </c>
      <c r="EL505" s="1098">
        <f t="shared" si="674"/>
        <v>0.3</v>
      </c>
      <c r="EM505" s="1098">
        <f t="shared" si="675"/>
        <v>0.3</v>
      </c>
      <c r="EN505" s="1097">
        <f t="shared" si="676"/>
        <v>0</v>
      </c>
      <c r="EO505" s="1097">
        <f t="shared" si="677"/>
        <v>0</v>
      </c>
      <c r="EP505" s="421">
        <f t="shared" si="678"/>
        <v>0</v>
      </c>
      <c r="EQ505" s="445">
        <f t="shared" si="679"/>
        <v>0</v>
      </c>
      <c r="ER505" s="424">
        <f t="shared" si="680"/>
        <v>0</v>
      </c>
      <c r="ES505" s="420">
        <f t="shared" si="681"/>
        <v>0</v>
      </c>
      <c r="ET505" s="446">
        <f t="shared" si="684"/>
        <v>0</v>
      </c>
    </row>
    <row r="506" spans="2:150" ht="16.5" customHeight="1">
      <c r="B506" s="448" t="str">
        <f>INDEX('卡片raw data'!B:B,MATCH($D506,'卡片raw data'!$F:$F,))</f>
        <v>aa妮</v>
      </c>
      <c r="C506" s="449" t="s">
        <v>4161</v>
      </c>
      <c r="D506" s="408">
        <v>503</v>
      </c>
      <c r="E506" s="477">
        <v>400092006</v>
      </c>
      <c r="F506" s="409" t="str">
        <f>INDEX('卡片raw data'!C:C,MATCH($D506,'卡片raw data'!$F:$F,))</f>
        <v>SR</v>
      </c>
      <c r="G506" s="414" t="s">
        <v>4176</v>
      </c>
      <c r="H506" s="411">
        <f>IFERROR(INDEX(绊状态确认!C:C,MATCH($G506,绊状态确认!$B:$B,)),"")</f>
        <v>9</v>
      </c>
      <c r="I506" s="450" t="str">
        <f>IFERROR(INDEX(绊状态确认!D:D,MATCH($G506,绊状态确认!$B:$B,)),"")</f>
        <v>缪</v>
      </c>
      <c r="J506" s="450" t="str">
        <f>IFERROR(INDEX(绊状态确认!E:E,MATCH($G506,绊状态确认!$B:$B,)),"")</f>
        <v>3年级</v>
      </c>
      <c r="K506" s="451" t="str">
        <f>IFERROR(INDEX(绊状态确认!F:F,MATCH($G506,绊状态确认!$B:$B,)),"")</f>
        <v>BiBi</v>
      </c>
      <c r="L506" s="414" t="str">
        <f>INDEX('卡片raw data'!E:E,MATCH($D506,'卡片raw data'!$F:$F,))</f>
        <v>活动卡</v>
      </c>
      <c r="M506" s="478">
        <v>44397</v>
      </c>
      <c r="N506" s="479">
        <v>44</v>
      </c>
      <c r="O506" s="410" t="str">
        <f>INDEX('卡片raw data'!D:D,MATCH($D506,'卡片raw data'!$F:$F,))</f>
        <v>gd</v>
      </c>
      <c r="P506" s="1126">
        <v>5</v>
      </c>
      <c r="Q506" s="418">
        <f t="shared" si="600"/>
        <v>18065.236733337122</v>
      </c>
      <c r="R506" s="419">
        <f t="shared" si="601"/>
        <v>0.21</v>
      </c>
      <c r="S506" s="420">
        <f t="shared" si="602"/>
        <v>10348.236282288504</v>
      </c>
      <c r="T506" s="421">
        <f t="shared" si="603"/>
        <v>0.51700000000000002</v>
      </c>
      <c r="U506" s="422">
        <f t="shared" si="604"/>
        <v>397.33976361977426</v>
      </c>
      <c r="V506" s="423">
        <f t="shared" si="605"/>
        <v>66044.051940653968</v>
      </c>
      <c r="W506" s="424">
        <f t="shared" si="606"/>
        <v>4507.7214871259994</v>
      </c>
      <c r="X506" s="419">
        <f t="shared" si="607"/>
        <v>5.1999999999999998E-2</v>
      </c>
      <c r="Y506" s="420">
        <f t="shared" si="608"/>
        <v>1392.0178333800986</v>
      </c>
      <c r="Z506" s="425">
        <f t="shared" si="609"/>
        <v>17.458551851990283</v>
      </c>
      <c r="AA506" s="426">
        <f t="shared" si="610"/>
        <v>5899.739320506098</v>
      </c>
      <c r="AB506" s="424">
        <f t="shared" si="611"/>
        <v>4507.7214871259994</v>
      </c>
      <c r="AC506" s="427">
        <f t="shared" si="612"/>
        <v>5.1999999999999998E-2</v>
      </c>
      <c r="AD506" s="428">
        <f t="shared" si="613"/>
        <v>-3.8207812500000026E-3</v>
      </c>
      <c r="AE506" s="516">
        <f t="shared" si="614"/>
        <v>-18.525362318840578</v>
      </c>
      <c r="AF506" s="1130">
        <f t="shared" si="615"/>
        <v>5625.5243939485754</v>
      </c>
      <c r="AG506" s="420">
        <f t="shared" si="616"/>
        <v>101364.57647264833</v>
      </c>
      <c r="AH506" s="420">
        <f t="shared" si="617"/>
        <v>18.01868934773211</v>
      </c>
      <c r="AI506" s="1097">
        <f t="shared" si="618"/>
        <v>90640.025680784194</v>
      </c>
      <c r="AJ506" s="420">
        <f t="shared" si="619"/>
        <v>66044.051940653968</v>
      </c>
      <c r="AK506" s="518">
        <f t="shared" si="620"/>
        <v>24595.973740130226</v>
      </c>
      <c r="AL506" s="429">
        <f>IF($P506="","N/A",(IF($P506=-1,INDEX('卡片raw data'!S:S,MATCH($D506,'卡片raw data'!$F:$F,)),0)+IF($P506=0,INDEX('卡片raw data'!V:V,MATCH($D506,'卡片raw data'!$F:$F,)),0)+IF($P506=1,INDEX('卡片raw data'!Y:Y,MATCH($D506,'卡片raw data'!$F:$F,)),0)+IF($P506=2,INDEX('卡片raw data'!AB:AB,MATCH($D506,'卡片raw data'!$F:$F,)),0)+IF($P506=3,INDEX('卡片raw data'!AE:AE,MATCH($D506,'卡片raw data'!$F:$F,)),0)+IF($P506=4,INDEX('卡片raw data'!AH:AH,MATCH($D506,'卡片raw data'!$F:$F,)),0)+IF($P506=5,INDEX('卡片raw data'!AK:AK,MATCH($D506,'卡片raw data'!$F:$F,)),0)+INDEX('卡片raw data'!S:S,MATCH($D506,'卡片raw data'!$F:$F,))*(IF($F506="UR",0.04,0.033))*(IF($F506="UR",INDEX(绊状态确认!$S:$S,MATCH($G506,绊状态确认!$B:$B,))/2-40)+IF($F506="SR",INDEX(绊状态确认!$R:$R,MATCH($G506,绊状态确认!$B:$B,))/4-15))+IF($F506="R",INDEX(绊状态确认!$Q:$Q,MATCH($G506,绊状态确认!$B:$B,))/6-40/6)))*(INDEX(绊状态确认!$H:$H,MATCH($G506,绊状态确认!$B:$B,))+INDEX(绊状态确认!J:J,MATCH($G506,绊状态确认!$B:$B,)))</f>
        <v>5097.2131055999998</v>
      </c>
      <c r="AM506" s="429">
        <f>IF($P506="","N/A",(IF($P506=-1,INDEX('卡片raw data'!T:T,MATCH($D506,'卡片raw data'!$F:$F,)),0)+IF($P506=0,INDEX('卡片raw data'!W:W,MATCH($D506,'卡片raw data'!$F:$F,)),0)+IF($P506=1,INDEX('卡片raw data'!Z:Z,MATCH($D506,'卡片raw data'!$F:$F,)),0)+IF($P506=2,INDEX('卡片raw data'!AC:AC,MATCH($D506,'卡片raw data'!$F:$F,)),0)+IF($P506=3,INDEX('卡片raw data'!AF:AF,MATCH($D506,'卡片raw data'!$F:$F,)),0)+IF($P506=4,INDEX('卡片raw data'!AI:AI,MATCH($D506,'卡片raw data'!$F:$F,)),0)+IF($P506=5,INDEX('卡片raw data'!AL:AL,MATCH($D506,'卡片raw data'!$F:$F,)),0)+INDEX('卡片raw data'!T:T,MATCH($D506,'卡片raw data'!$F:$F,))*(IF($F506="UR",0.04,0.033))*(IF($F506="UR",INDEX(绊状态确认!$S:$S,MATCH($G506,绊状态确认!$B:$B,))/2-40)+IF($F506="SR",INDEX(绊状态确认!$R:$R,MATCH($G506,绊状态确认!$B:$B,))/4-15))+IF($F506="R",INDEX(绊状态确认!$Q:$Q,MATCH($G506,绊状态确认!$B:$B,))/6-40/6)))*(INDEX(绊状态确认!$H:$H,MATCH($G506,绊状态确认!$B:$B,))+INDEX(绊状态确认!K:K,MATCH($G506,绊状态确认!$B:$B,)))</f>
        <v>7648.1674607999985</v>
      </c>
      <c r="AN506" s="429">
        <f>IF($P506="","N/A",(IF($P506=-1,INDEX('卡片raw data'!U:U,MATCH($D506,'卡片raw data'!$F:$F,)),0)+IF($P506=0,INDEX('卡片raw data'!X:X,MATCH($D506,'卡片raw data'!$F:$F,)),0)+IF($P506=1,INDEX('卡片raw data'!AA:AA,MATCH($D506,'卡片raw data'!$F:$F,)),0)+IF($P506=2,INDEX('卡片raw data'!AD:AD,MATCH($D506,'卡片raw data'!$F:$F,)),0)+IF($P506=3,INDEX('卡片raw data'!AG:AG,MATCH($D506,'卡片raw data'!$F:$F,)),0)+IF($P506=4,INDEX('卡片raw data'!AJ:AJ,MATCH($D506,'卡片raw data'!$F:$F,)),0)+IF($P506=5,INDEX('卡片raw data'!AM:AM,MATCH($D506,'卡片raw data'!$F:$F,)),0)+INDEX('卡片raw data'!U:U,MATCH($D506,'卡片raw data'!$F:$F,))*(IF($F506="UR",0.04,0.033))*(IF($F506="UR",INDEX(绊状态确认!$S:$S,MATCH($G506,绊状态确认!$B:$B,))/2-40)+IF($F506="SR",INDEX(绊状态确认!$R:$R,MATCH($G506,绊状态确认!$B:$B,))/4-15))+IF($F506="R",INDEX(绊状态确认!$Q:$Q,MATCH($G506,绊状态确认!$B:$B,))/6-40/6)))*(INDEX(绊状态确认!$H:$H,MATCH($G506,绊状态确认!$B:$B,))+INDEX(绊状态确认!L:L,MATCH($G506,绊状态确认!$B:$B,)))</f>
        <v>6865.0355831999996</v>
      </c>
      <c r="AO506" s="430">
        <f t="shared" si="621"/>
        <v>1</v>
      </c>
      <c r="AP506" s="556">
        <f>1+(INDEX(绊状态确认!$T:$T,MATCH($G506,绊状态确认!$B:$B,))+0.2)*$AO506</f>
        <v>1.3</v>
      </c>
      <c r="AQ506" s="431">
        <f t="shared" si="622"/>
        <v>16630.1844022</v>
      </c>
      <c r="AR506" s="420">
        <f>(AM506*(1+$EX$9)+$EX$35)*(1+(INDEX(绊状态确认!$T:$T,MATCH($G506,绊状态确认!$B:$B,))+0.2)*AO506)*IF(J506=$FF$17,1+$FE$17,1)*IF(I506=$FF$14,1+$FE$14,1)</f>
        <v>13143.748583991999</v>
      </c>
      <c r="AS506" s="420">
        <f>(AN506*(1+$EX$10)+$EX$36)*(1+(INDEX(绊状态确认!$T:$T,MATCH($G506,绊状态确认!$B:$B,))+0.2)*AO506)*IF(J506=$FF$17,1+$FE$17,1)*IF(I506=$FF$14,1+$FE$14,1)</f>
        <v>14319.228196884</v>
      </c>
      <c r="AT506" s="412">
        <f>IF(AND(INDEX('卡片raw data'!AK:AK,MATCH($D506,'卡片raw data'!$F:$F,))&lt;INDEX('卡片raw data'!AM:AM,MATCH($D506,'卡片raw data'!$F:$F,)),INDEX('卡片raw data'!AL:AL,MATCH($D506,'卡片raw data'!$F:$F,))&lt;INDEX('卡片raw data'!AM:AM,MATCH($D506,'卡片raw data'!$F:$F,))),1,0)</f>
        <v>0</v>
      </c>
      <c r="AU506" s="421">
        <f>MIN(AT506*0.15+AS506*0.00003+INDEX(绊状态确认!M:M,MATCH($G506,绊状态确认!$B:$B,)),1)</f>
        <v>0.45957684590652004</v>
      </c>
      <c r="AV506" s="432">
        <f>(INDEX(绊状态确认!$N:$N,MATCH($G506,绊状态确认!$B:$B,))+1.5)*$EW$21</f>
        <v>2.6599999999999997</v>
      </c>
      <c r="AW506" s="424">
        <f t="shared" si="623"/>
        <v>15225.848579544454</v>
      </c>
      <c r="AX506" s="420">
        <f t="shared" si="624"/>
        <v>1128.2605325535355</v>
      </c>
      <c r="AY506" s="433">
        <f t="shared" si="625"/>
        <v>16354.109112097989</v>
      </c>
      <c r="AZ506" s="429">
        <f t="shared" si="626"/>
        <v>12539.565555919999</v>
      </c>
      <c r="BA506" s="431">
        <f t="shared" si="627"/>
        <v>15047.478667103998</v>
      </c>
      <c r="BB506" s="420">
        <f>(AM506*(1+$FB$9)+$FB$35)*(1+(INDEX(绊状态确认!$T:$T,MATCH($G506,绊状态确认!$B:$B,))+0.2)*AO506)*IF(J506=$FF$17,1+$FE$17,1)*IF(I506=$FF$14,1+$FE$14,1)*(1+$FE$15)</f>
        <v>13143.748583991999</v>
      </c>
      <c r="BC506" s="420">
        <f>(AN506*(1+$FB$10)+$FB$36)*(1+(INDEX(绊状态确认!$T:$T,MATCH($G506,绊状态确认!$B:$B,))+0.2)*AO506)*IF(J506=$FF$17,1+$FE$17,1)*IF(I506=$FF$14,1+$FE$14,1)*(1+$FE$15)</f>
        <v>14319.228196884</v>
      </c>
      <c r="BD506" s="427">
        <f>MIN(AT506*0.15+BC506*0.00003+INDEX(绊状态确认!M:M,MATCH($G506,绊状态确认!$B:$B,)),1)</f>
        <v>0.45957684590652004</v>
      </c>
      <c r="BE506" s="432">
        <f>(INDEX(绊状态确认!$N:$N,MATCH($G506,绊状态确认!$B:$B,))+1.5)</f>
        <v>1.9</v>
      </c>
      <c r="BF506" s="645">
        <f t="array" ref="BF506">SUMPRODUCT(IF(AZ506*AP506*$FI$16:$FI$23*$FA$22&gt;=$FI$24,$FI$24,AZ506*AP506*$FI$16:$FI$23*$FA$22),$FJ$16:$FJ$23)</f>
        <v>24941.195890724877</v>
      </c>
      <c r="BG506" s="453">
        <f t="array" ref="BG506">SUMPRODUCT(IF(BE506*AZ506*AP506*$FI$16:$FI$23*$FA$22&gt;=$FI$24,$FI$24,BE506*AZ506*AP506*$FI$16:$FI$23*$FA$22),$FJ$16:$FJ$23)</f>
        <v>47388.272192377262</v>
      </c>
      <c r="BH506" s="433">
        <f t="shared" si="628"/>
        <v>11752.450805753759</v>
      </c>
      <c r="BI506" s="434">
        <f>IF(O506="vo",$EW$26/$EW$24*0.05,0)+IF(O506="sk",-$EW$26/$EW$24*(0.05-INDEX(绊状态确认!W:W,MATCH($G506,绊状态确认!$B:$B,)))+0.05*$EW$28,0)+IF(O506="sp",0.05*$EW$32*$EW$30*(1-$EW$33)-(0.05-INDEX(绊状态确认!V:V,MATCH($G506,绊状态确认!$B:$B,)))*$EW$28,0)+IF(O506="gd",-(0.05-INDEX(绊状态确认!X:X,MATCH($G506,绊状态确认!$B:$B,)))*$EW$32*$EW$30*(1-$EW$33),0)</f>
        <v>-585.00000000000011</v>
      </c>
      <c r="BJ506" s="420">
        <f>IF(O506="vo",0.05*(1-$FI$26)*$FA$24,0)+IF(O506="sk",-(0.05-INDEX(绊状态确认!W:W,MATCH($G506,绊状态确认!$B:$B,)))*(1-$FI$26)*$FA$24+0.05*$FA$26,0)+IF(O506="sp",0.05*$FA$32*$FA$27*(1-$FA$33)/$FA$30+0.05*$FA$29/$FA$69*$FA$27*(1-$FA$33)-(0.05-INDEX(绊状态确认!V:V,MATCH($G506,绊状态确认!$B:$B,)))*$FA$26,0)+IF(O506="gd",-(0.05-INDEX(绊状态确认!X:X,MATCH($G506,绊状态确认!$B:$B,)))*$FA$32*$FA$27*(1-$FA$33)/$FA$30-(0.05-INDEX(绊状态确认!X:X,MATCH($G506,绊状态确认!$B:$B,)))*$FA$29/$FA$69*$FA$27*(1-$FA$33),0)</f>
        <v>-795.00000000000011</v>
      </c>
      <c r="BK506" s="433">
        <f>IF(O506="vo",$EW$26/$EW$24*0.05+$EW$26*(-HP($EW$62,$EW$65,$EW$64)+HP($EW$62,$EW$65,(1.05-INDEX(绊状态确认!U:U,MATCH($G506,绊状态确认!$B:$B,)))*$EW$64)),0)+IF(O506="sk",-$EW$26/$EW$24*(0.05-INDEX(绊状态确认!W:W,MATCH($G506,绊状态确认!$B:$B,)))+0.05*$EW$29,0)+IF(O506="sp",0.05*$EW$32*$EW$30*(1-$EW$33)-(0.05-INDEX(绊状态确认!V:V,MATCH($G506,绊状态确认!$B:$B,)))*$EW$29,0)+IF(O506="gd",-(0.05-INDEX(绊状态确认!X:X,MATCH($G506,绊状态确认!$B:$B,)))*$EW$32*$EW$30*(1-$EW$33)+$EW$26*(-HP($EW$62,$EW$65,$EW$64)+HP($EW$62,$EW$65,0.95*$EW$64)),0)</f>
        <v>1009.5947725176144</v>
      </c>
      <c r="BL506" s="434">
        <f t="shared" si="629"/>
        <v>-1083.3333333333333</v>
      </c>
      <c r="BM506" s="433">
        <f t="shared" si="630"/>
        <v>-830.55555555555543</v>
      </c>
      <c r="BN506" s="437">
        <f t="shared" si="631"/>
        <v>3</v>
      </c>
      <c r="BO506" s="1108">
        <f t="shared" si="632"/>
        <v>4507.7214871259994</v>
      </c>
      <c r="BP506" s="1100">
        <f t="shared" si="633"/>
        <v>221.34103209030098</v>
      </c>
      <c r="BQ506" s="437" t="s">
        <v>133</v>
      </c>
      <c r="BR506" s="450" t="s">
        <v>4177</v>
      </c>
      <c r="BS506" s="421">
        <f>IF($P506="","N/A",IF($P506=-1,INDEX('卡片raw data'!AX:AX,MATCH($D506,'卡片raw data'!$F:$F,)),0)+IF($L506="party卡",IF($P506=5,INDEX('卡片raw data'!BD:BD,MATCH($D506,'卡片raw data'!$F:$F,)),IF($P506&gt;=3,INDEX('卡片raw data'!BC:BC,MATCH($D506,'卡片raw data'!$F:$F,)),INDEX('卡片raw data'!BB:BB,MATCH($D506,'卡片raw data'!$F:$F,)))),IF(OR(AND($F506="UR",$P506=0),AND($F506="SR",$P506&gt;=0,$P506&lt;=2),AND($F506="R",$P506&gt;=0,$P506&lt;4)),INDEX('卡片raw data'!AZ:AZ,MATCH($D506,'卡片raw data'!$F:$F,)),0)+IF(OR(AND($F506="UR",$P506&gt;=1,$P506&lt;=4),AND($F506="SR",$P506&lt;=4,$P506&gt;=3),AND($F506="R",$P506=4)),INDEX('卡片raw data'!BA:BA,MATCH($D506,'卡片raw data'!$F:$F,)),0)+IF($P506=5,INDEX('卡片raw data'!BB:BB,MATCH($D506,'卡片raw data'!$F:$F,)),0)))</f>
        <v>3.2000000000000001E-2</v>
      </c>
      <c r="BT506" s="424">
        <f t="shared" si="634"/>
        <v>0</v>
      </c>
      <c r="BU506" s="420">
        <f t="shared" si="635"/>
        <v>0</v>
      </c>
      <c r="BV506" s="420">
        <f t="shared" si="636"/>
        <v>0</v>
      </c>
      <c r="BW506" s="436">
        <f t="shared" si="637"/>
        <v>1.498285714285714</v>
      </c>
      <c r="BX506" s="423">
        <f t="shared" si="638"/>
        <v>117.00848980993118</v>
      </c>
      <c r="BY506" s="433">
        <f t="shared" si="639"/>
        <v>117.00848980993118</v>
      </c>
      <c r="BZ506" s="1113" t="s">
        <v>569</v>
      </c>
      <c r="CA506" s="450"/>
      <c r="CB506" s="421">
        <f>IF($P506="","N/A",IF($P506=-1,INDEX('卡片raw data'!BE:BE,MATCH($D506,'卡片raw data'!$F:$F,)),0)+IF($L506="party卡",IF($P506=5,INDEX('卡片raw data'!BK:BK,MATCH($D506,'卡片raw data'!$F:$F,)),IF($P506&gt;=3,INDEX('卡片raw data'!BJ:BJ,MATCH($D506,'卡片raw data'!$F:$F,)),INDEX('卡片raw data'!BI:BI,MATCH($D506,'卡片raw data'!$F:$F,)))),IF(OR(AND($F506="UR",$P506=0),AND($F506="SR",$P506&gt;=0,$P506&lt;=2),AND($F506="R",$P506&gt;=0,$P506&lt;4)),INDEX('卡片raw data'!BG:BG,MATCH($D506,'卡片raw data'!$F:$F,)),0)+IF(OR(AND($F506="UR",$P506&gt;=1,$P506&lt;=4),AND($F506="SR",$P506&lt;=4,$P506&gt;=3),AND($F506="R",$P506=4)),INDEX('卡片raw data'!BH:BH,MATCH($D506,'卡片raw data'!$F:$F,)),0)+IF($P506=5,INDEX('卡片raw data'!BI:BI,MATCH($D506,'卡片raw data'!$F:$F,)),0)))</f>
        <v>0</v>
      </c>
      <c r="CC506" s="424">
        <f t="shared" si="640"/>
        <v>0</v>
      </c>
      <c r="CD506" s="420">
        <f>IF(BZ506="ap",CB506*(1-$FI$26)*$FB$5/$FB$11*(+IF(CA506="全员",$FA$24,0)+IF(CA506="同作战",$FA$24,0)+IF(CA506="仲间",$FA$24*2/3,0)+IF(CA506="同属性",$FA$24*$FA$37/3,0)+IF(CA506="同年级",$FA$24*$FA$40/3,0)+IF(CA506="同学校",$FA$24*$FA$43/3,0)+IF(CA506="同小队",$FA$24*$FA$46/3,0)+IF(CA506="同type",$FA$24*INDEX($FB$49:$FB$52,MATCH(X506,$FA$49:$FA$52,))/3,0)+IF(CA506="自身",#REF!/3,0)),0)+IF(BZ506="te",CB506*(1-$FI$27)*($FA$20-1)*$FB$7/$FB$13*(+IF(CA506="全员",$FA$19*$FA$24/(1+($FA$20-1)*$FA$19),0)+IF(CA506="同作战",$FA$19*$FA$24/(1+($FA$20-1)*$FA$19),0)+IF(CA506="仲间",$FA$19*$FA$24*2/3/(1+($FA$20-1)*$FA$19),0)+IF(CA506="同属性",$FA$19*$FA$24*$FA$37/3/(1+($FA$20-1)*$FA$19),0)+IF(CA506="同年级",$FA$19*$FA$24*$FA$40/3/(1+($FA$20-1)*$FA$19),0)+IF(CA506="同学校",$FA$19*$FA$24*$FA$43/3/(1+($FA$20-1)*$FA$19),0)+IF(CA506="同小队",$FA$19*$FA$24*$FA$46/3/(1+($FA$20-1)*$FA$19),0)+IF(CA506="同type",$FA$19*$FA$24*INDEX($FB$49:$FB$52,MATCH(X506,$FA$49:$FA$52,))/3/(1+($FA$20-1)*$FA$19),0)+IF(CA506="自身",$FA$19*#REF!/3/(1+(BH506-1)*$BD506),0)),0)</f>
        <v>0</v>
      </c>
      <c r="CE506" s="420">
        <f t="shared" si="641"/>
        <v>0</v>
      </c>
      <c r="CF506" s="436">
        <f t="shared" si="642"/>
        <v>0</v>
      </c>
      <c r="CG506" s="423">
        <f t="shared" si="643"/>
        <v>0</v>
      </c>
      <c r="CH506" s="433">
        <f t="shared" si="644"/>
        <v>0</v>
      </c>
      <c r="CI506" s="437" t="s">
        <v>165</v>
      </c>
      <c r="CJ506" s="438">
        <v>0.2</v>
      </c>
      <c r="CK506" s="439" t="s">
        <v>4178</v>
      </c>
      <c r="CL506" s="439" t="s">
        <v>4164</v>
      </c>
      <c r="CM506" s="1119">
        <v>0.2</v>
      </c>
      <c r="CN506" s="439"/>
      <c r="CO506" s="1115"/>
      <c r="CP506" s="1116">
        <f t="shared" si="645"/>
        <v>1.8776783691417145</v>
      </c>
      <c r="CQ506" s="1116">
        <f t="shared" si="646"/>
        <v>2.9208330186648892</v>
      </c>
      <c r="CR506" s="1117">
        <f t="shared" si="647"/>
        <v>1.8776783691417145</v>
      </c>
      <c r="CS506" s="1118">
        <f t="shared" si="648"/>
        <v>0</v>
      </c>
      <c r="CT506" s="1109">
        <f t="shared" si="649"/>
        <v>0</v>
      </c>
      <c r="CU506" s="1101">
        <f t="shared" si="650"/>
        <v>0</v>
      </c>
      <c r="CV506" s="1108">
        <f t="shared" si="685"/>
        <v>0</v>
      </c>
      <c r="CW506" s="1097">
        <f t="shared" si="651"/>
        <v>0</v>
      </c>
      <c r="CX506" s="1097">
        <f t="shared" si="652"/>
        <v>146.74881101663206</v>
      </c>
      <c r="CY506" s="1110">
        <f t="shared" si="653"/>
        <v>146.74881101663206</v>
      </c>
      <c r="CZ506" s="437"/>
      <c r="DA506" s="438"/>
      <c r="DB506" s="439" t="s">
        <v>569</v>
      </c>
      <c r="DC506" s="439"/>
      <c r="DD506" s="443"/>
      <c r="DE506" s="411"/>
      <c r="DF506" s="411"/>
      <c r="DG506" s="1116">
        <f t="shared" si="654"/>
        <v>0</v>
      </c>
      <c r="DH506" s="1116">
        <f t="shared" si="655"/>
        <v>0</v>
      </c>
      <c r="DI506" s="1116">
        <f t="shared" si="656"/>
        <v>0</v>
      </c>
      <c r="DJ506" s="442">
        <f t="shared" si="657"/>
        <v>0</v>
      </c>
      <c r="DK506" s="432">
        <f t="shared" si="658"/>
        <v>0</v>
      </c>
      <c r="DL506" s="424">
        <f t="shared" si="659"/>
        <v>0</v>
      </c>
      <c r="DM506" s="420">
        <f t="shared" si="660"/>
        <v>0</v>
      </c>
      <c r="DN506" s="420">
        <f t="shared" si="661"/>
        <v>0</v>
      </c>
      <c r="DO506" s="420">
        <f t="shared" si="662"/>
        <v>0</v>
      </c>
      <c r="DP506" s="433">
        <f t="shared" si="663"/>
        <v>0</v>
      </c>
      <c r="DQ506" s="437" t="s">
        <v>2080</v>
      </c>
      <c r="DR506" s="1120">
        <f t="shared" si="664"/>
        <v>0.3</v>
      </c>
      <c r="DS506" s="450"/>
      <c r="DT506" s="1093" t="s">
        <v>133</v>
      </c>
      <c r="DU506" s="1093"/>
      <c r="DV506" s="1098">
        <f>IF($P506="","N/A",IF(P506=-1,INDEX('卡片raw data'!AN:AN,MATCH(D506,'卡片raw data'!$F:$F,)),0)+IF(AND(L506&lt;&gt;"party卡",P506&lt;=2,P506&gt;=0),INDEX('卡片raw data'!AP:AP,MATCH(D506,'卡片raw data'!$F:$F,)),0)+IF(OR(AND(L506="party卡",P506&lt;=1),AND(P506&lt;=4,L506&lt;&gt;"party卡",P506&gt;=3)),INDEX('卡片raw data'!AQ:AQ,MATCH(D506,'卡片raw data'!$F:$F,)),0)+IF(OR(P506=5,AND(L506="party卡",P506&gt;=2)),INDEX('卡片raw data'!AR:AR,MATCH(D506,'卡片raw data'!$F:$F,)),0))</f>
        <v>0.27</v>
      </c>
      <c r="DW506" s="1098">
        <f t="shared" si="665"/>
        <v>0.3</v>
      </c>
      <c r="DX506" s="1098">
        <f t="shared" si="666"/>
        <v>0.3</v>
      </c>
      <c r="DY506" s="1097">
        <f t="shared" si="667"/>
        <v>354.88121176778395</v>
      </c>
      <c r="DZ506" s="1097">
        <f t="shared" si="668"/>
        <v>306.97224817913309</v>
      </c>
      <c r="EA506" s="421">
        <f t="shared" si="669"/>
        <v>0</v>
      </c>
      <c r="EB506" s="445">
        <f t="shared" si="670"/>
        <v>0</v>
      </c>
      <c r="EC506" s="424">
        <f t="shared" si="671"/>
        <v>0</v>
      </c>
      <c r="ED506" s="420">
        <f t="shared" si="672"/>
        <v>0</v>
      </c>
      <c r="EE506" s="433">
        <f t="shared" si="683"/>
        <v>44992.202601419136</v>
      </c>
      <c r="EF506" s="1115" t="s">
        <v>569</v>
      </c>
      <c r="EG506" s="1120">
        <f t="shared" si="673"/>
        <v>0.3</v>
      </c>
      <c r="EH506" s="450"/>
      <c r="EI506" s="1093"/>
      <c r="EJ506" s="1093"/>
      <c r="EK506" s="420">
        <f>IF($P506="","N/A",IF(P506=-1,INDEX('卡片raw data'!AS:AS,MATCH(D506,'卡片raw data'!$F:$F,)),0)+IF(AND(L506&lt;&gt;"party卡",P506&lt;=2,P506&gt;=0),INDEX('卡片raw data'!AU:AU,MATCH(D506,'卡片raw data'!$F:$F,)),0)+IF(OR(AND(L506="party卡",P506&lt;=1),AND(P506&lt;=4,L506&lt;&gt;"party卡",P506&gt;=3)),INDEX('卡片raw data'!AV:AV,MATCH(D506,'卡片raw data'!$F:$F,)),0)+IF(OR(P506=5,AND(L506="party卡",P506&gt;=2)),INDEX('卡片raw data'!AW:AW,MATCH(D506,'卡片raw data'!$F:$F,)),0))</f>
        <v>0</v>
      </c>
      <c r="EL506" s="1098">
        <f t="shared" si="674"/>
        <v>0.3</v>
      </c>
      <c r="EM506" s="1098">
        <f t="shared" si="675"/>
        <v>0.3</v>
      </c>
      <c r="EN506" s="1097">
        <f t="shared" si="676"/>
        <v>0</v>
      </c>
      <c r="EO506" s="1097">
        <f t="shared" si="677"/>
        <v>0</v>
      </c>
      <c r="EP506" s="421">
        <f t="shared" si="678"/>
        <v>0</v>
      </c>
      <c r="EQ506" s="445">
        <f t="shared" si="679"/>
        <v>0</v>
      </c>
      <c r="ER506" s="424">
        <f t="shared" si="680"/>
        <v>0</v>
      </c>
      <c r="ES506" s="420">
        <f t="shared" si="681"/>
        <v>0</v>
      </c>
      <c r="ET506" s="446">
        <f t="shared" si="684"/>
        <v>0</v>
      </c>
    </row>
    <row r="507" spans="2:150" ht="16.5" customHeight="1">
      <c r="B507" s="448" t="str">
        <f>INDEX('卡片raw data'!B:B,MATCH($D507,'卡片raw data'!$F:$F,))</f>
        <v>fes2露</v>
      </c>
      <c r="C507" s="449" t="s">
        <v>4199</v>
      </c>
      <c r="D507" s="408">
        <v>504</v>
      </c>
      <c r="E507" s="477">
        <v>201093002</v>
      </c>
      <c r="F507" s="409" t="str">
        <f>INDEX('卡片raw data'!C:C,MATCH($D507,'卡片raw data'!$F:$F,))</f>
        <v>UR</v>
      </c>
      <c r="G507" s="414" t="s">
        <v>4200</v>
      </c>
      <c r="H507" s="411">
        <f>IFERROR(INDEX(绊状态确认!C:C,MATCH($G507,绊状态确认!$B:$B,)),"")</f>
        <v>109</v>
      </c>
      <c r="I507" s="450" t="str">
        <f>IFERROR(INDEX(绊状态确认!D:D,MATCH($G507,绊状态确认!$B:$B,)),"")</f>
        <v>水</v>
      </c>
      <c r="J507" s="450" t="str">
        <f>IFERROR(INDEX(绊状态确认!E:E,MATCH($G507,绊状态确认!$B:$B,)),"")</f>
        <v>1年级</v>
      </c>
      <c r="K507" s="451" t="str">
        <f>IFERROR(INDEX(绊状态确认!F:F,MATCH($G507,绊状态确认!$B:$B,)),"")</f>
        <v>CYaRon!</v>
      </c>
      <c r="L507" s="414" t="str">
        <f>INDEX('卡片raw data'!E:E,MATCH($D507,'卡片raw data'!$F:$F,))</f>
        <v>fes卡</v>
      </c>
      <c r="M507" s="478">
        <v>44407</v>
      </c>
      <c r="N507" s="479">
        <v>44.5</v>
      </c>
      <c r="O507" s="410" t="str">
        <f>INDEX('卡片raw data'!D:D,MATCH($D507,'卡片raw data'!$F:$F,))</f>
        <v>sp</v>
      </c>
      <c r="P507" s="1126">
        <v>5</v>
      </c>
      <c r="Q507" s="418">
        <f t="shared" si="600"/>
        <v>73361.805484728757</v>
      </c>
      <c r="R507" s="419">
        <f t="shared" si="601"/>
        <v>0.85199999999999998</v>
      </c>
      <c r="S507" s="420">
        <f t="shared" si="602"/>
        <v>23499.517276859384</v>
      </c>
      <c r="T507" s="421">
        <f t="shared" si="603"/>
        <v>1.1739999999999999</v>
      </c>
      <c r="U507" s="422">
        <f t="shared" si="604"/>
        <v>11.885157737142858</v>
      </c>
      <c r="V507" s="423">
        <f t="shared" si="605"/>
        <v>72509.726884822434</v>
      </c>
      <c r="W507" s="424">
        <f t="shared" si="606"/>
        <v>7379.2980345901142</v>
      </c>
      <c r="X507" s="419">
        <f t="shared" si="607"/>
        <v>8.5000000000000006E-2</v>
      </c>
      <c r="Y507" s="420">
        <f t="shared" si="608"/>
        <v>947.92140009368632</v>
      </c>
      <c r="Z507" s="425">
        <f t="shared" si="609"/>
        <v>11.885157737142858</v>
      </c>
      <c r="AA507" s="426">
        <f t="shared" si="610"/>
        <v>8327.2194346838005</v>
      </c>
      <c r="AB507" s="424">
        <f t="shared" si="611"/>
        <v>8681.5286864265145</v>
      </c>
      <c r="AC507" s="427">
        <f t="shared" si="612"/>
        <v>0.1</v>
      </c>
      <c r="AD507" s="428">
        <f t="shared" si="613"/>
        <v>-1.6087500000000001E-2</v>
      </c>
      <c r="AE507" s="516">
        <f t="shared" si="614"/>
        <v>71.261690543478238</v>
      </c>
      <c r="AF507" s="1130">
        <f t="shared" si="615"/>
        <v>0</v>
      </c>
      <c r="AG507" s="420">
        <f t="shared" si="616"/>
        <v>0</v>
      </c>
      <c r="AH507" s="420">
        <f t="shared" si="617"/>
        <v>0</v>
      </c>
      <c r="AI507" s="1097">
        <f t="shared" si="618"/>
        <v>0</v>
      </c>
      <c r="AJ507" s="420">
        <f t="shared" si="619"/>
        <v>0</v>
      </c>
      <c r="AK507" s="518">
        <f t="shared" si="620"/>
        <v>0</v>
      </c>
      <c r="AL507" s="429">
        <f>IF($P507="","N/A",(IF($P507=-1,INDEX('卡片raw data'!S:S,MATCH($D507,'卡片raw data'!$F:$F,)),0)+IF($P507=0,INDEX('卡片raw data'!V:V,MATCH($D507,'卡片raw data'!$F:$F,)),0)+IF($P507=1,INDEX('卡片raw data'!Y:Y,MATCH($D507,'卡片raw data'!$F:$F,)),0)+IF($P507=2,INDEX('卡片raw data'!AB:AB,MATCH($D507,'卡片raw data'!$F:$F,)),0)+IF($P507=3,INDEX('卡片raw data'!AE:AE,MATCH($D507,'卡片raw data'!$F:$F,)),0)+IF($P507=4,INDEX('卡片raw data'!AH:AH,MATCH($D507,'卡片raw data'!$F:$F,)),0)+IF($P507=5,INDEX('卡片raw data'!AK:AK,MATCH($D507,'卡片raw data'!$F:$F,)),0)+INDEX('卡片raw data'!S:S,MATCH($D507,'卡片raw data'!$F:$F,))*(IF($F507="UR",0.04,0.033))*(IF($F507="UR",INDEX(绊状态确认!$S:$S,MATCH($G507,绊状态确认!$B:$B,))/2-40)+IF($F507="SR",INDEX(绊状态确认!$R:$R,MATCH($G507,绊状态确认!$B:$B,))/4-15))+IF($F507="R",INDEX(绊状态确认!$Q:$Q,MATCH($G507,绊状态确认!$B:$B,))/6-40/6)))*(INDEX(绊状态确认!$H:$H,MATCH($G507,绊状态确认!$B:$B,))+INDEX(绊状态确认!J:J,MATCH($G507,绊状态确认!$B:$B,)))</f>
        <v>15364.127999999999</v>
      </c>
      <c r="AM507" s="429">
        <f>IF($P507="","N/A",(IF($P507=-1,INDEX('卡片raw data'!T:T,MATCH($D507,'卡片raw data'!$F:$F,)),0)+IF($P507=0,INDEX('卡片raw data'!W:W,MATCH($D507,'卡片raw data'!$F:$F,)),0)+IF($P507=1,INDEX('卡片raw data'!Z:Z,MATCH($D507,'卡片raw data'!$F:$F,)),0)+IF($P507=2,INDEX('卡片raw data'!AC:AC,MATCH($D507,'卡片raw data'!$F:$F,)),0)+IF($P507=3,INDEX('卡片raw data'!AF:AF,MATCH($D507,'卡片raw data'!$F:$F,)),0)+IF($P507=4,INDEX('卡片raw data'!AI:AI,MATCH($D507,'卡片raw data'!$F:$F,)),0)+IF($P507=5,INDEX('卡片raw data'!AL:AL,MATCH($D507,'卡片raw data'!$F:$F,)),0)+INDEX('卡片raw data'!T:T,MATCH($D507,'卡片raw data'!$F:$F,))*(IF($F507="UR",0.04,0.033))*(IF($F507="UR",INDEX(绊状态确认!$S:$S,MATCH($G507,绊状态确认!$B:$B,))/2-40)+IF($F507="SR",INDEX(绊状态确认!$R:$R,MATCH($G507,绊状态确认!$B:$B,))/4-15))+IF($F507="R",INDEX(绊状态确认!$Q:$Q,MATCH($G507,绊状态确认!$B:$B,))/6-40/6)))*(INDEX(绊状态确认!$H:$H,MATCH($G507,绊状态确认!$B:$B,))+INDEX(绊状态确认!K:K,MATCH($G507,绊状态确认!$B:$B,)))</f>
        <v>6145.6511999999993</v>
      </c>
      <c r="AN507" s="429">
        <f>IF($P507="","N/A",(IF($P507=-1,INDEX('卡片raw data'!U:U,MATCH($D507,'卡片raw data'!$F:$F,)),0)+IF($P507=0,INDEX('卡片raw data'!X:X,MATCH($D507,'卡片raw data'!$F:$F,)),0)+IF($P507=1,INDEX('卡片raw data'!AA:AA,MATCH($D507,'卡片raw data'!$F:$F,)),0)+IF($P507=2,INDEX('卡片raw data'!AD:AD,MATCH($D507,'卡片raw data'!$F:$F,)),0)+IF($P507=3,INDEX('卡片raw data'!AG:AG,MATCH($D507,'卡片raw data'!$F:$F,)),0)+IF($P507=4,INDEX('卡片raw data'!AJ:AJ,MATCH($D507,'卡片raw data'!$F:$F,)),0)+IF($P507=5,INDEX('卡片raw data'!AM:AM,MATCH($D507,'卡片raw data'!$F:$F,)),0)+INDEX('卡片raw data'!U:U,MATCH($D507,'卡片raw data'!$F:$F,))*(IF($F507="UR",0.04,0.033))*(IF($F507="UR",INDEX(绊状态确认!$S:$S,MATCH($G507,绊状态确认!$B:$B,))/2-40)+IF($F507="SR",INDEX(绊状态确认!$R:$R,MATCH($G507,绊状态确认!$B:$B,))/4-15))+IF($F507="R",INDEX(绊状态确认!$Q:$Q,MATCH($G507,绊状态确认!$B:$B,))/6-40/6)))*(INDEX(绊状态确认!$H:$H,MATCH($G507,绊状态确认!$B:$B,))+INDEX(绊状态确认!L:L,MATCH($G507,绊状态确认!$B:$B,)))</f>
        <v>16900.540799999999</v>
      </c>
      <c r="AO507" s="430">
        <f t="shared" si="621"/>
        <v>1</v>
      </c>
      <c r="AP507" s="556">
        <f>1+(INDEX(绊状态确认!$T:$T,MATCH($G507,绊状态确认!$B:$B,))+0.2)*$AO507</f>
        <v>1.3</v>
      </c>
      <c r="AQ507" s="431">
        <f t="shared" si="622"/>
        <v>43580.835999999996</v>
      </c>
      <c r="AR507" s="420">
        <f>(AM507*(1+$EX$9)+$EX$35)*(1+(INDEX(绊状态确认!$T:$T,MATCH($G507,绊状态确认!$B:$B,))+0.2)*AO507)*IF(J507=$FF$17,1+$FE$17,1)*IF(I507=$FF$14,1+$FE$14,1)</f>
        <v>11092.813888000001</v>
      </c>
      <c r="AS507" s="420">
        <f>(AN507*(1+$EX$10)+$EX$36)*(1+(INDEX(绊状态确认!$T:$T,MATCH($G507,绊状态确认!$B:$B,))+0.2)*AO507)*IF(J507=$FF$17,1+$FE$17,1)*IF(I507=$FF$14,1+$FE$14,1)</f>
        <v>29322.308495999998</v>
      </c>
      <c r="AT507" s="412">
        <f>IF(AND(INDEX('卡片raw data'!AK:AK,MATCH($D507,'卡片raw data'!$F:$F,))&lt;INDEX('卡片raw data'!AM:AM,MATCH($D507,'卡片raw data'!$F:$F,)),INDEX('卡片raw data'!AL:AL,MATCH($D507,'卡片raw data'!$F:$F,))&lt;INDEX('卡片raw data'!AM:AM,MATCH($D507,'卡片raw data'!$F:$F,))),1,0)</f>
        <v>1</v>
      </c>
      <c r="AU507" s="421">
        <f>MIN(AT507*0.15+AS507*0.00003+INDEX(绊状态确认!M:M,MATCH($G507,绊状态确认!$B:$B,)),1)</f>
        <v>1</v>
      </c>
      <c r="AV507" s="432">
        <f>(INDEX(绊状态确认!$N:$N,MATCH($G507,绊状态确认!$B:$B,))+1.5)*$EW$21</f>
        <v>2.6599999999999997</v>
      </c>
      <c r="AW507" s="424">
        <f t="shared" si="623"/>
        <v>60205.276798302235</v>
      </c>
      <c r="AX507" s="420">
        <f t="shared" si="624"/>
        <v>947.921400093687</v>
      </c>
      <c r="AY507" s="433">
        <f t="shared" si="625"/>
        <v>61153.198198395919</v>
      </c>
      <c r="AZ507" s="429">
        <f t="shared" si="626"/>
        <v>32560.049599999998</v>
      </c>
      <c r="BA507" s="431">
        <f t="shared" si="627"/>
        <v>39072.059519999995</v>
      </c>
      <c r="BB507" s="420">
        <f>(AM507*(1+$FB$9)+$FB$35)*(1+(INDEX(绊状态确认!$T:$T,MATCH($G507,绊状态确认!$B:$B,))+0.2)*AO507)*IF(J507=$FF$17,1+$FE$17,1)*IF(I507=$FF$14,1+$FE$14,1)*(1+$FE$15)</f>
        <v>11092.813888000001</v>
      </c>
      <c r="BC507" s="420">
        <f>(AN507*(1+$FB$10)+$FB$36)*(1+(INDEX(绊状态确认!$T:$T,MATCH($G507,绊状态确认!$B:$B,))+0.2)*AO507)*IF(J507=$FF$17,1+$FE$17,1)*IF(I507=$FF$14,1+$FE$14,1)*(1+$FE$15)</f>
        <v>29322.308495999998</v>
      </c>
      <c r="BD507" s="427">
        <f>MIN(AT507*0.15+BC507*0.00003+INDEX(绊状态确认!M:M,MATCH($G507,绊状态确认!$B:$B,)),1)</f>
        <v>1</v>
      </c>
      <c r="BE507" s="432">
        <f>(INDEX(绊状态确认!$N:$N,MATCH($G507,绊状态确认!$B:$B,))+1.5)</f>
        <v>1.9</v>
      </c>
      <c r="BF507" s="645">
        <f t="array" ref="BF507">SUMPRODUCT(IF(AZ507*AP507*$FI$16:$FI$23*$FA$22&gt;=$FI$24,$FI$24,AZ507*AP507*$FI$16:$FI$23*$FA$22),$FJ$16:$FJ$23)</f>
        <v>58433.8741744</v>
      </c>
      <c r="BG507" s="453">
        <f t="array" ref="BG507">SUMPRODUCT(IF(BE507*AZ507*AP507*$FI$16:$FI$23*$FA$22&gt;=$FI$24,$FI$24,BE507*AZ507*AP507*$FI$16:$FI$23*$FA$22),$FJ$16:$FJ$23)</f>
        <v>60000</v>
      </c>
      <c r="BH507" s="433">
        <f t="shared" si="628"/>
        <v>20000</v>
      </c>
      <c r="BI507" s="434">
        <f>IF(O507="vo",$EW$26/$EW$24*0.05,0)+IF(O507="sk",-$EW$26/$EW$24*(0.05-INDEX(绊状态确认!W:W,MATCH($G507,绊状态确认!$B:$B,)))+0.05*$EW$28,0)+IF(O507="sp",0.05*$EW$32*$EW$30*(1-$EW$33)-(0.05-INDEX(绊状态确认!V:V,MATCH($G507,绊状态确认!$B:$B,)))*$EW$28,0)+IF(O507="gd",-(0.05-INDEX(绊状态确认!X:X,MATCH($G507,绊状态确认!$B:$B,)))*$EW$32*$EW$30*(1-$EW$33),0)</f>
        <v>19.999999999999886</v>
      </c>
      <c r="BJ507" s="420">
        <f>IF(O507="vo",0.05*(1-$FI$26)*$FA$24,0)+IF(O507="sk",-(0.05-INDEX(绊状态确认!W:W,MATCH($G507,绊状态确认!$B:$B,)))*(1-$FI$26)*$FA$24+0.05*$FA$26,0)+IF(O507="sp",0.05*$FA$32*$FA$27*(1-$FA$33)/$FA$30+0.05*$FA$29/$FA$69*$FA$27*(1-$FA$33)-(0.05-INDEX(绊状态确认!V:V,MATCH($G507,绊状态确认!$B:$B,)))*$FA$26,0)+IF(O507="gd",-(0.05-INDEX(绊状态确认!X:X,MATCH($G507,绊状态确认!$B:$B,)))*$FA$32*$FA$27*(1-$FA$33)/$FA$30-(0.05-INDEX(绊状态确认!X:X,MATCH($G507,绊状态确认!$B:$B,)))*$FA$29/$FA$69*$FA$27*(1-$FA$33),0)</f>
        <v>545.83333333333326</v>
      </c>
      <c r="BK507" s="433">
        <f>IF(O507="vo",$EW$26/$EW$24*0.05+$EW$26*(-HP($EW$62,$EW$65,$EW$64)+HP($EW$62,$EW$65,(1.05-INDEX(绊状态确认!U:U,MATCH($G507,绊状态确认!$B:$B,)))*$EW$64)),0)+IF(O507="sk",-$EW$26/$EW$24*(0.05-INDEX(绊状态确认!W:W,MATCH($G507,绊状态确认!$B:$B,)))+0.05*$EW$29,0)+IF(O507="sp",0.05*$EW$32*$EW$30*(1-$EW$33)-(0.05-INDEX(绊状态确认!V:V,MATCH($G507,绊状态确认!$B:$B,)))*$EW$29,0)+IF(O507="gd",-(0.05-INDEX(绊状态确认!X:X,MATCH($G507,绊状态确认!$B:$B,)))*$EW$32*$EW$30*(1-$EW$33)+$EW$26*(-HP($EW$62,$EW$65,$EW$64)+HP($EW$62,$EW$65,0.95*$EW$64)),0)</f>
        <v>-1780.0000000000005</v>
      </c>
      <c r="BL507" s="434">
        <f t="shared" si="629"/>
        <v>0</v>
      </c>
      <c r="BM507" s="433">
        <f t="shared" si="630"/>
        <v>0</v>
      </c>
      <c r="BN507" s="437">
        <f t="shared" si="631"/>
        <v>4</v>
      </c>
      <c r="BO507" s="1108">
        <f t="shared" si="632"/>
        <v>6010.2953161679998</v>
      </c>
      <c r="BP507" s="1100">
        <f t="shared" si="633"/>
        <v>295.12137612040135</v>
      </c>
      <c r="BQ507" s="437" t="s">
        <v>132</v>
      </c>
      <c r="BR507" s="450" t="s">
        <v>171</v>
      </c>
      <c r="BS507" s="421">
        <f>IF($P507="","N/A",IF($P507=-1,INDEX('卡片raw data'!AX:AX,MATCH($D507,'卡片raw data'!$F:$F,)),0)+IF($L507="party卡",IF($P507=5,INDEX('卡片raw data'!BD:BD,MATCH($D507,'卡片raw data'!$F:$F,)),IF($P507&gt;=3,INDEX('卡片raw data'!BC:BC,MATCH($D507,'卡片raw data'!$F:$F,)),INDEX('卡片raw data'!BB:BB,MATCH($D507,'卡片raw data'!$F:$F,)))),IF(OR(AND($F507="UR",$P507=0),AND($F507="SR",$P507&gt;=0,$P507&lt;=2),AND($F507="R",$P507&gt;=0,$P507&lt;4)),INDEX('卡片raw data'!AZ:AZ,MATCH($D507,'卡片raw data'!$F:$F,)),0)+IF(OR(AND($F507="UR",$P507&gt;=1,$P507&lt;=4),AND($F507="SR",$P507&lt;=4,$P507&gt;=3),AND($F507="R",$P507=4)),INDEX('卡片raw data'!BA:BA,MATCH($D507,'卡片raw data'!$F:$F,)),0)+IF($P507=5,INDEX('卡片raw data'!BB:BB,MATCH($D507,'卡片raw data'!$F:$F,)),0)))</f>
        <v>5.1999999999999998E-2</v>
      </c>
      <c r="BT507" s="424">
        <f t="shared" si="634"/>
        <v>2604.4613036728001</v>
      </c>
      <c r="BU507" s="420">
        <f t="shared" si="635"/>
        <v>111.90018844565216</v>
      </c>
      <c r="BV507" s="420">
        <f t="shared" si="636"/>
        <v>1302.2306518363998</v>
      </c>
      <c r="BW507" s="436">
        <f t="shared" si="637"/>
        <v>0</v>
      </c>
      <c r="BX507" s="423">
        <f t="shared" si="638"/>
        <v>2604.4613036728001</v>
      </c>
      <c r="BY507" s="433">
        <f t="shared" si="639"/>
        <v>1302.2306518363998</v>
      </c>
      <c r="BZ507" s="1113" t="s">
        <v>569</v>
      </c>
      <c r="CA507" s="450"/>
      <c r="CB507" s="421">
        <f>IF($P507="","N/A",IF($P507=-1,INDEX('卡片raw data'!BE:BE,MATCH($D507,'卡片raw data'!$F:$F,)),0)+IF($L507="party卡",IF($P507=5,INDEX('卡片raw data'!BK:BK,MATCH($D507,'卡片raw data'!$F:$F,)),IF($P507&gt;=3,INDEX('卡片raw data'!BJ:BJ,MATCH($D507,'卡片raw data'!$F:$F,)),INDEX('卡片raw data'!BI:BI,MATCH($D507,'卡片raw data'!$F:$F,)))),IF(OR(AND($F507="UR",$P507=0),AND($F507="SR",$P507&gt;=0,$P507&lt;=2),AND($F507="R",$P507&gt;=0,$P507&lt;4)),INDEX('卡片raw data'!BG:BG,MATCH($D507,'卡片raw data'!$F:$F,)),0)+IF(OR(AND($F507="UR",$P507&gt;=1,$P507&lt;=4),AND($F507="SR",$P507&lt;=4,$P507&gt;=3),AND($F507="R",$P507=4)),INDEX('卡片raw data'!BH:BH,MATCH($D507,'卡片raw data'!$F:$F,)),0)+IF($P507=5,INDEX('卡片raw data'!BI:BI,MATCH($D507,'卡片raw data'!$F:$F,)),0)))</f>
        <v>0</v>
      </c>
      <c r="CC507" s="424">
        <f t="shared" si="640"/>
        <v>0</v>
      </c>
      <c r="CD507" s="420">
        <f>IF(BZ507="ap",CB507*(1-$FI$26)*$FB$5/$FB$11*(+IF(CA507="全员",$FA$24,0)+IF(CA507="同作战",$FA$24,0)+IF(CA507="仲间",$FA$24*2/3,0)+IF(CA507="同属性",$FA$24*$FA$37/3,0)+IF(CA507="同年级",$FA$24*$FA$40/3,0)+IF(CA507="同学校",$FA$24*$FA$43/3,0)+IF(CA507="同小队",$FA$24*$FA$46/3,0)+IF(CA507="同type",$FA$24*INDEX($FB$49:$FB$52,MATCH(X507,$FA$49:$FA$52,))/3,0)+IF(CA507="自身",#REF!/3,0)),0)+IF(BZ507="te",CB507*(1-$FI$27)*($FA$20-1)*$FB$7/$FB$13*(+IF(CA507="全员",$FA$19*$FA$24/(1+($FA$20-1)*$FA$19),0)+IF(CA507="同作战",$FA$19*$FA$24/(1+($FA$20-1)*$FA$19),0)+IF(CA507="仲间",$FA$19*$FA$24*2/3/(1+($FA$20-1)*$FA$19),0)+IF(CA507="同属性",$FA$19*$FA$24*$FA$37/3/(1+($FA$20-1)*$FA$19),0)+IF(CA507="同年级",$FA$19*$FA$24*$FA$40/3/(1+($FA$20-1)*$FA$19),0)+IF(CA507="同学校",$FA$19*$FA$24*$FA$43/3/(1+($FA$20-1)*$FA$19),0)+IF(CA507="同小队",$FA$19*$FA$24*$FA$46/3/(1+($FA$20-1)*$FA$19),0)+IF(CA507="同type",$FA$19*$FA$24*INDEX($FB$49:$FB$52,MATCH(X507,$FA$49:$FA$52,))/3/(1+($FA$20-1)*$FA$19),0)+IF(CA507="自身",$FA$19*#REF!/3/(1+(BH507-1)*$BD507),0)),0)</f>
        <v>0</v>
      </c>
      <c r="CE507" s="420">
        <f t="shared" si="641"/>
        <v>0</v>
      </c>
      <c r="CF507" s="436">
        <f t="shared" si="642"/>
        <v>0</v>
      </c>
      <c r="CG507" s="423">
        <f t="shared" si="643"/>
        <v>0</v>
      </c>
      <c r="CH507" s="433">
        <f t="shared" si="644"/>
        <v>0</v>
      </c>
      <c r="CI507" s="437" t="s">
        <v>170</v>
      </c>
      <c r="CJ507" s="438">
        <v>1</v>
      </c>
      <c r="CK507" s="439" t="s">
        <v>2046</v>
      </c>
      <c r="CL507" s="439" t="s">
        <v>1940</v>
      </c>
      <c r="CM507" s="443">
        <v>0.3</v>
      </c>
      <c r="CN507" s="439"/>
      <c r="CO507" s="1115">
        <v>20</v>
      </c>
      <c r="CP507" s="1272">
        <f t="shared" si="645"/>
        <v>60.701878714285705</v>
      </c>
      <c r="CQ507" s="1116">
        <f t="shared" si="646"/>
        <v>84.65612895999999</v>
      </c>
      <c r="CR507" s="1117">
        <f t="shared" si="647"/>
        <v>60.701878714285705</v>
      </c>
      <c r="CS507" s="909">
        <f t="shared" si="648"/>
        <v>0</v>
      </c>
      <c r="CT507" s="482">
        <f t="shared" si="649"/>
        <v>0</v>
      </c>
      <c r="CU507" s="1101">
        <f t="shared" si="650"/>
        <v>66.772066585714285</v>
      </c>
      <c r="CV507" s="1108">
        <f t="shared" si="685"/>
        <v>84.65612895999999</v>
      </c>
      <c r="CW507" s="1108">
        <f t="shared" si="651"/>
        <v>66.772066585714285</v>
      </c>
      <c r="CX507" s="1108">
        <f t="shared" si="652"/>
        <v>66.772066585714285</v>
      </c>
      <c r="CY507" s="483">
        <f t="shared" si="653"/>
        <v>66.772066585714285</v>
      </c>
      <c r="CZ507" s="437"/>
      <c r="DA507" s="438"/>
      <c r="DB507" s="439" t="s">
        <v>569</v>
      </c>
      <c r="DC507" s="439"/>
      <c r="DD507" s="443"/>
      <c r="DE507" s="411"/>
      <c r="DF507" s="411"/>
      <c r="DG507" s="1116">
        <f t="shared" si="654"/>
        <v>0</v>
      </c>
      <c r="DH507" s="1116">
        <f t="shared" si="655"/>
        <v>0</v>
      </c>
      <c r="DI507" s="1116">
        <f t="shared" si="656"/>
        <v>0</v>
      </c>
      <c r="DJ507" s="442">
        <f t="shared" si="657"/>
        <v>0</v>
      </c>
      <c r="DK507" s="432">
        <f t="shared" si="658"/>
        <v>0</v>
      </c>
      <c r="DL507" s="424">
        <f t="shared" si="659"/>
        <v>0</v>
      </c>
      <c r="DM507" s="420">
        <f t="shared" si="660"/>
        <v>0</v>
      </c>
      <c r="DN507" s="420">
        <f t="shared" si="661"/>
        <v>0</v>
      </c>
      <c r="DO507" s="420">
        <f t="shared" si="662"/>
        <v>0</v>
      </c>
      <c r="DP507" s="433">
        <f t="shared" si="663"/>
        <v>0</v>
      </c>
      <c r="DQ507" s="437" t="s">
        <v>549</v>
      </c>
      <c r="DR507" s="1120">
        <f t="shared" si="664"/>
        <v>0.33</v>
      </c>
      <c r="DS507" s="450"/>
      <c r="DT507" s="1124" t="s">
        <v>179</v>
      </c>
      <c r="DU507" s="1124"/>
      <c r="DV507" s="1098">
        <f>IF($P507="","N/A",IF(P507=-1,INDEX('卡片raw data'!AN:AN,MATCH(D507,'卡片raw data'!$F:$F,)),0)+IF(AND(L507&lt;&gt;"party卡",P507&lt;=2,P507&gt;=0),INDEX('卡片raw data'!AP:AP,MATCH(D507,'卡片raw data'!$F:$F,)),0)+IF(OR(AND(L507="party卡",P507&lt;=1),AND(P507&lt;=4,L507&lt;&gt;"party卡",P507&gt;=3)),INDEX('卡片raw data'!AQ:AQ,MATCH(D507,'卡片raw data'!$F:$F,)),0)+IF(OR(P507=5,AND(L507="party卡",P507&gt;=2)),INDEX('卡片raw data'!AR:AR,MATCH(D507,'卡片raw data'!$F:$F,)),0))</f>
        <v>0.09</v>
      </c>
      <c r="DW507" s="1098">
        <f t="shared" si="665"/>
        <v>0.33</v>
      </c>
      <c r="DX507" s="1098">
        <f t="shared" si="666"/>
        <v>0.33</v>
      </c>
      <c r="DY507" s="1098">
        <f t="shared" si="667"/>
        <v>9.9000000000000008E-3</v>
      </c>
      <c r="DZ507" s="1098">
        <f t="shared" si="668"/>
        <v>9.8480249999999998E-3</v>
      </c>
      <c r="EA507" s="421">
        <f t="shared" si="669"/>
        <v>0</v>
      </c>
      <c r="EB507" s="445">
        <f t="shared" si="670"/>
        <v>60.337777499999987</v>
      </c>
      <c r="EC507" s="424">
        <f t="shared" si="671"/>
        <v>4455</v>
      </c>
      <c r="ED507" s="420">
        <f t="shared" si="672"/>
        <v>2462.0062499999999</v>
      </c>
      <c r="EE507" s="433">
        <f t="shared" si="683"/>
        <v>4455</v>
      </c>
      <c r="EF507" s="1113" t="s">
        <v>569</v>
      </c>
      <c r="EG507" s="1120">
        <f t="shared" si="673"/>
        <v>0.33</v>
      </c>
      <c r="EH507" s="450"/>
      <c r="EI507" s="1124"/>
      <c r="EJ507" s="1124"/>
      <c r="EK507" s="420">
        <f>IF($P507="","N/A",IF(P507=-1,INDEX('卡片raw data'!AS:AS,MATCH(D507,'卡片raw data'!$F:$F,)),0)+IF(AND(L507&lt;&gt;"party卡",P507&lt;=2,P507&gt;=0),INDEX('卡片raw data'!AU:AU,MATCH(D507,'卡片raw data'!$F:$F,)),0)+IF(OR(AND(L507="party卡",P507&lt;=1),AND(P507&lt;=4,L507&lt;&gt;"party卡",P507&gt;=3)),INDEX('卡片raw data'!AV:AV,MATCH(D507,'卡片raw data'!$F:$F,)),0)+IF(OR(P507=5,AND(L507="party卡",P507&gt;=2)),INDEX('卡片raw data'!AW:AW,MATCH(D507,'卡片raw data'!$F:$F,)),0))</f>
        <v>0</v>
      </c>
      <c r="EL507" s="1098">
        <f t="shared" si="674"/>
        <v>0.33</v>
      </c>
      <c r="EM507" s="1098">
        <f t="shared" si="675"/>
        <v>0.33</v>
      </c>
      <c r="EN507" s="1097">
        <f t="shared" si="676"/>
        <v>0</v>
      </c>
      <c r="EO507" s="1097">
        <f t="shared" si="677"/>
        <v>0</v>
      </c>
      <c r="EP507" s="421">
        <f t="shared" si="678"/>
        <v>0</v>
      </c>
      <c r="EQ507" s="445">
        <f t="shared" si="679"/>
        <v>0</v>
      </c>
      <c r="ER507" s="424">
        <f t="shared" si="680"/>
        <v>0</v>
      </c>
      <c r="ES507" s="420">
        <f t="shared" si="681"/>
        <v>0</v>
      </c>
      <c r="ET507" s="446">
        <f t="shared" si="684"/>
        <v>0</v>
      </c>
    </row>
    <row r="508" spans="2:150" ht="16.5" customHeight="1">
      <c r="B508" s="448" t="str">
        <f>INDEX('卡片raw data'!B:B,MATCH($D508,'卡片raw data'!$F:$F,))</f>
        <v>fes2姬</v>
      </c>
      <c r="C508" s="449" t="s">
        <v>4195</v>
      </c>
      <c r="D508" s="408">
        <v>505</v>
      </c>
      <c r="E508" s="477">
        <v>200063002</v>
      </c>
      <c r="F508" s="409" t="str">
        <f>INDEX('卡片raw data'!C:C,MATCH($D508,'卡片raw data'!$F:$F,))</f>
        <v>UR</v>
      </c>
      <c r="G508" s="1094" t="s">
        <v>4196</v>
      </c>
      <c r="H508" s="411">
        <f>IFERROR(INDEX(绊状态确认!C:C,MATCH($G508,绊状态确认!$B:$B,)),"")</f>
        <v>6</v>
      </c>
      <c r="I508" s="450" t="str">
        <f>IFERROR(INDEX(绊状态确认!D:D,MATCH($G508,绊状态确认!$B:$B,)),"")</f>
        <v>缪</v>
      </c>
      <c r="J508" s="450" t="str">
        <f>IFERROR(INDEX(绊状态确认!E:E,MATCH($G508,绊状态确认!$B:$B,)),"")</f>
        <v>1年级</v>
      </c>
      <c r="K508" s="451" t="str">
        <f>IFERROR(INDEX(绊状态确认!F:F,MATCH($G508,绊状态确认!$B:$B,)),"")</f>
        <v>BiBi</v>
      </c>
      <c r="L508" s="414" t="str">
        <f>INDEX('卡片raw data'!E:E,MATCH($D508,'卡片raw data'!$F:$F,))</f>
        <v>fes卡</v>
      </c>
      <c r="M508" s="478">
        <v>44407</v>
      </c>
      <c r="N508" s="479">
        <v>44.5</v>
      </c>
      <c r="O508" s="410" t="str">
        <f>INDEX('卡片raw data'!D:D,MATCH($D508,'卡片raw data'!$F:$F,))</f>
        <v>sk</v>
      </c>
      <c r="P508" s="1126">
        <v>5</v>
      </c>
      <c r="Q508" s="418">
        <f t="shared" si="600"/>
        <v>75521.010777241085</v>
      </c>
      <c r="R508" s="419">
        <f t="shared" si="601"/>
        <v>0.878</v>
      </c>
      <c r="S508" s="420">
        <f t="shared" si="602"/>
        <v>23322.904145590652</v>
      </c>
      <c r="T508" s="421">
        <f t="shared" si="603"/>
        <v>1.1659999999999999</v>
      </c>
      <c r="U508" s="422">
        <f t="shared" si="604"/>
        <v>11.319152125542857</v>
      </c>
      <c r="V508" s="423">
        <f t="shared" si="605"/>
        <v>78422.743789849264</v>
      </c>
      <c r="W508" s="424">
        <f t="shared" si="606"/>
        <v>6010.2953161679998</v>
      </c>
      <c r="X508" s="419">
        <f t="shared" si="607"/>
        <v>6.9000000000000006E-2</v>
      </c>
      <c r="Y508" s="420">
        <f t="shared" si="608"/>
        <v>901.73301260816515</v>
      </c>
      <c r="Z508" s="425">
        <f t="shared" si="609"/>
        <v>11.319152125542857</v>
      </c>
      <c r="AA508" s="426">
        <f t="shared" si="610"/>
        <v>6912.0283287761649</v>
      </c>
      <c r="AB508" s="424">
        <f t="shared" si="611"/>
        <v>11269.303717815001</v>
      </c>
      <c r="AC508" s="427">
        <f t="shared" si="612"/>
        <v>0.13100000000000001</v>
      </c>
      <c r="AD508" s="428">
        <f t="shared" si="613"/>
        <v>2.1769318181818181E-2</v>
      </c>
      <c r="AE508" s="516">
        <f t="shared" si="614"/>
        <v>11.953757704745847</v>
      </c>
      <c r="AF508" s="1130">
        <f t="shared" si="615"/>
        <v>0</v>
      </c>
      <c r="AG508" s="420">
        <f t="shared" si="616"/>
        <v>0</v>
      </c>
      <c r="AH508" s="420">
        <f t="shared" si="617"/>
        <v>0</v>
      </c>
      <c r="AI508" s="1097">
        <f t="shared" si="618"/>
        <v>0</v>
      </c>
      <c r="AJ508" s="420">
        <f t="shared" si="619"/>
        <v>0</v>
      </c>
      <c r="AK508" s="518">
        <f t="shared" si="620"/>
        <v>0</v>
      </c>
      <c r="AL508" s="1106">
        <f>IF($P508="","N/A",(IF($P508=-1,INDEX('卡片raw data'!S:S,MATCH($D508,'卡片raw data'!$F:$F,)),0)+IF($P508=0,INDEX('卡片raw data'!V:V,MATCH($D508,'卡片raw data'!$F:$F,)),0)+IF($P508=1,INDEX('卡片raw data'!Y:Y,MATCH($D508,'卡片raw data'!$F:$F,)),0)+IF($P508=2,INDEX('卡片raw data'!AB:AB,MATCH($D508,'卡片raw data'!$F:$F,)),0)+IF($P508=3,INDEX('卡片raw data'!AE:AE,MATCH($D508,'卡片raw data'!$F:$F,)),0)+IF($P508=4,INDEX('卡片raw data'!AH:AH,MATCH($D508,'卡片raw data'!$F:$F,)),0)+IF($P508=5,INDEX('卡片raw data'!AK:AK,MATCH($D508,'卡片raw data'!$F:$F,)),0)+INDEX('卡片raw data'!S:S,MATCH($D508,'卡片raw data'!$F:$F,))*(IF($F508="UR",0.04,0.033))*(IF($F508="UR",INDEX(绊状态确认!$S:$S,MATCH($G508,绊状态确认!$B:$B,))/2-40)+IF($F508="SR",INDEX(绊状态确认!$R:$R,MATCH($G508,绊状态确认!$B:$B,))/4-15))+IF($F508="R",INDEX(绊状态确认!$Q:$Q,MATCH($G508,绊状态确认!$B:$B,))/6-40/6)))*(INDEX(绊状态确认!$H:$H,MATCH($G508,绊状态确认!$B:$B,))+INDEX(绊状态确认!J:J,MATCH($G508,绊状态确认!$B:$B,)))</f>
        <v>16131.152543999997</v>
      </c>
      <c r="AM508" s="1106">
        <f>IF($P508="","N/A",(IF($P508=-1,INDEX('卡片raw data'!T:T,MATCH($D508,'卡片raw data'!$F:$F,)),0)+IF($P508=0,INDEX('卡片raw data'!W:W,MATCH($D508,'卡片raw data'!$F:$F,)),0)+IF($P508=1,INDEX('卡片raw data'!Z:Z,MATCH($D508,'卡片raw data'!$F:$F,)),0)+IF($P508=2,INDEX('卡片raw data'!AC:AC,MATCH($D508,'卡片raw data'!$F:$F,)),0)+IF($P508=3,INDEX('卡片raw data'!AF:AF,MATCH($D508,'卡片raw data'!$F:$F,)),0)+IF($P508=4,INDEX('卡片raw data'!AI:AI,MATCH($D508,'卡片raw data'!$F:$F,)),0)+IF($P508=5,INDEX('卡片raw data'!AL:AL,MATCH($D508,'卡片raw data'!$F:$F,)),0)+INDEX('卡片raw data'!T:T,MATCH($D508,'卡片raw data'!$F:$F,))*(IF($F508="UR",0.04,0.033))*(IF($F508="UR",INDEX(绊状态确认!$S:$S,MATCH($G508,绊状态确认!$B:$B,))/2-40)+IF($F508="SR",INDEX(绊状态确认!$R:$R,MATCH($G508,绊状态确认!$B:$B,))/4-15))+IF($F508="R",INDEX(绊状态确认!$Q:$Q,MATCH($G508,绊状态确认!$B:$B,))/6-40/6)))*(INDEX(绊状态确认!$H:$H,MATCH($G508,绊状态确认!$B:$B,))+INDEX(绊状态确认!K:K,MATCH($G508,绊状态确认!$B:$B,)))</f>
        <v>5758.6388159999988</v>
      </c>
      <c r="AN508" s="1106">
        <f>IF($P508="","N/A",(IF($P508=-1,INDEX('卡片raw data'!U:U,MATCH($D508,'卡片raw data'!$F:$F,)),0)+IF($P508=0,INDEX('卡片raw data'!X:X,MATCH($D508,'卡片raw data'!$F:$F,)),0)+IF($P508=1,INDEX('卡片raw data'!AA:AA,MATCH($D508,'卡片raw data'!$F:$F,)),0)+IF($P508=2,INDEX('卡片raw data'!AD:AD,MATCH($D508,'卡片raw data'!$F:$F,)),0)+IF($P508=3,INDEX('卡片raw data'!AG:AG,MATCH($D508,'卡片raw data'!$F:$F,)),0)+IF($P508=4,INDEX('卡片raw data'!AJ:AJ,MATCH($D508,'卡片raw data'!$F:$F,)),0)+IF($P508=5,INDEX('卡片raw data'!AM:AM,MATCH($D508,'卡片raw data'!$F:$F,)),0)+INDEX('卡片raw data'!U:U,MATCH($D508,'卡片raw data'!$F:$F,))*(IF($F508="UR",0.04,0.033))*(IF($F508="UR",INDEX(绊状态确认!$S:$S,MATCH($G508,绊状态确认!$B:$B,))/2-40)+IF($F508="SR",INDEX(绊状态确认!$R:$R,MATCH($G508,绊状态确认!$B:$B,))/4-15))+IF($F508="R",INDEX(绊状态确认!$Q:$Q,MATCH($G508,绊状态确认!$B:$B,))/6-40/6)))*(INDEX(绊状态确认!$H:$H,MATCH($G508,绊状态确认!$B:$B,))+INDEX(绊状态确认!L:L,MATCH($G508,绊状态确认!$B:$B,)))</f>
        <v>16513.528415999997</v>
      </c>
      <c r="AO508" s="1107">
        <f t="shared" si="621"/>
        <v>1</v>
      </c>
      <c r="AP508" s="1131">
        <f>1+(INDEX(绊状态确认!$T:$T,MATCH($G508,绊状态确认!$B:$B,))+0.2)*$AO508</f>
        <v>1.3</v>
      </c>
      <c r="AQ508" s="1108">
        <f t="shared" si="622"/>
        <v>45594.275427999994</v>
      </c>
      <c r="AR508" s="1097">
        <f>(AM508*(1+$EX$9)+$EX$35)*(1+(INDEX(绊状态确认!$T:$T,MATCH($G508,绊状态确认!$B:$B,))+0.2)*AO508)*IF(J508=$FF$17,1+$FE$17,1)*IF(I508=$FF$14,1+$FE$14,1)</f>
        <v>10564.541983839999</v>
      </c>
      <c r="AS508" s="1097">
        <f>(AN508*(1+$EX$10)+$EX$36)*(1+(INDEX(绊状态确认!$T:$T,MATCH($G508,绊状态确认!$B:$B,))+0.2)*AO508)*IF(J508=$FF$17,1+$FE$17,1)*IF(I508=$FF$14,1+$FE$14,1)</f>
        <v>28743.724981919997</v>
      </c>
      <c r="AT508" s="1093">
        <f>IF(AND(INDEX('卡片raw data'!AK:AK,MATCH($D508,'卡片raw data'!$F:$F,))&lt;INDEX('卡片raw data'!AM:AM,MATCH($D508,'卡片raw data'!$F:$F,)),INDEX('卡片raw data'!AL:AL,MATCH($D508,'卡片raw data'!$F:$F,))&lt;INDEX('卡片raw data'!AM:AM,MATCH($D508,'卡片raw data'!$F:$F,))),1,0)</f>
        <v>1</v>
      </c>
      <c r="AU508" s="1098">
        <f>MIN(AT508*0.15+AS508*0.00003+INDEX(绊状态确认!M:M,MATCH($G508,绊状态确认!$B:$B,)),1)</f>
        <v>1</v>
      </c>
      <c r="AV508" s="1109">
        <f>(INDEX(绊状态确认!$N:$N,MATCH($G508,绊状态确认!$B:$B,))+1.5)*$EW$21</f>
        <v>2.6599999999999997</v>
      </c>
      <c r="AW508" s="1101">
        <f t="shared" si="623"/>
        <v>62986.767224033283</v>
      </c>
      <c r="AX508" s="1097">
        <f t="shared" si="624"/>
        <v>901.7330126081655</v>
      </c>
      <c r="AY508" s="1110">
        <f t="shared" si="625"/>
        <v>63888.500236641448</v>
      </c>
      <c r="AZ508" s="429">
        <f t="shared" si="626"/>
        <v>34055.74746079999</v>
      </c>
      <c r="BA508" s="431">
        <f t="shared" si="627"/>
        <v>40866.896952959985</v>
      </c>
      <c r="BB508" s="1097">
        <f>(AM508*(1+$FB$9)+$FB$35)*(1+(INDEX(绊状态确认!$T:$T,MATCH($G508,绊状态确认!$B:$B,))+0.2)*AO508)*IF(J508=$FF$17,1+$FE$17,1)*IF(I508=$FF$14,1+$FE$14,1)*(1+$FE$15)</f>
        <v>10564.541983839999</v>
      </c>
      <c r="BC508" s="1097">
        <f>(AN508*(1+$FB$10)+$FB$36)*(1+(INDEX(绊状态确认!$T:$T,MATCH($G508,绊状态确认!$B:$B,))+0.2)*AO508)*IF(J508=$FF$17,1+$FE$17,1)*IF(I508=$FF$14,1+$FE$14,1)*(1+$FE$15)</f>
        <v>28743.724981919997</v>
      </c>
      <c r="BD508" s="1104">
        <f>MIN(AT508*0.15+BC508*0.00003+INDEX(绊状态确认!M:M,MATCH($G508,绊状态确认!$B:$B,)),1)</f>
        <v>1</v>
      </c>
      <c r="BE508" s="432">
        <f>(INDEX(绊状态确认!$N:$N,MATCH($G508,绊状态确认!$B:$B,))+1.5)</f>
        <v>1.9</v>
      </c>
      <c r="BF508" s="1139">
        <f t="array" ref="BF508">SUMPRODUCT(IF(AZ508*AP508*$FI$16:$FI$23*$FA$22&gt;=$FI$24,$FI$24,AZ508*AP508*$FI$16:$FI$23*$FA$22),$FJ$16:$FJ$23)</f>
        <v>59068.117924759994</v>
      </c>
      <c r="BG508" s="1125">
        <f t="array" ref="BG508">SUMPRODUCT(IF(BE508*AZ508*AP508*$FI$16:$FI$23*$FA$22&gt;=$FI$24,$FI$24,BE508*AZ508*AP508*$FI$16:$FI$23*$FA$22),$FJ$16:$FJ$23)</f>
        <v>60000</v>
      </c>
      <c r="BH508" s="1110">
        <f t="shared" si="628"/>
        <v>20000</v>
      </c>
      <c r="BI508" s="1111">
        <f>IF(O508="vo",$EW$26/$EW$24*0.05,0)+IF(O508="sk",-$EW$26/$EW$24*(0.05-INDEX(绊状态确认!W:W,MATCH($G508,绊状态确认!$B:$B,)))+0.05*$EW$28,0)+IF(O508="sp",0.05*$EW$32*$EW$30*(1-$EW$33)-(0.05-INDEX(绊状态确认!V:V,MATCH($G508,绊状态确认!$B:$B,)))*$EW$28,0)+IF(O508="gd",-(0.05-INDEX(绊状态确认!X:X,MATCH($G508,绊状态确认!$B:$B,)))*$EW$32*$EW$30*(1-$EW$33),0)</f>
        <v>-6253.6726349699375</v>
      </c>
      <c r="BJ508" s="420">
        <f>IF(O508="vo",0.05*(1-$FI$26)*$FA$24,0)+IF(O508="sk",-(0.05-INDEX(绊状态确认!W:W,MATCH($G508,绊状态确认!$B:$B,)))*(1-$FI$26)*$FA$24+0.05*$FA$26,0)+IF(O508="sp",0.05*$FA$32*$FA$27*(1-$FA$33)/$FA$30+0.05*$FA$29/$FA$69*$FA$27*(1-$FA$33)-(0.05-INDEX(绊状态确认!V:V,MATCH($G508,绊状态确认!$B:$B,)))*$FA$26,0)+IF(O508="gd",-(0.05-INDEX(绊状态确认!X:X,MATCH($G508,绊状态确认!$B:$B,)))*$FA$32*$FA$27*(1-$FA$33)/$FA$30-(0.05-INDEX(绊状态确认!X:X,MATCH($G508,绊状态确认!$B:$B,)))*$FA$29/$FA$69*$FA$27*(1-$FA$33),0)</f>
        <v>20.459096812499922</v>
      </c>
      <c r="BK508" s="1110">
        <f>IF(O508="vo",$EW$26/$EW$24*0.05+$EW$26*(-HP($EW$62,$EW$65,$EW$64)+HP($EW$62,$EW$65,(1.05-INDEX(绊状态确认!U:U,MATCH($G508,绊状态确认!$B:$B,)))*$EW$64)),0)+IF(O508="sk",-$EW$26/$EW$24*(0.05-INDEX(绊状态确认!W:W,MATCH($G508,绊状态确认!$B:$B,)))+0.05*$EW$29,0)+IF(O508="sp",0.05*$EW$32*$EW$30*(1-$EW$33)-(0.05-INDEX(绊状态确认!V:V,MATCH($G508,绊状态确认!$B:$B,)))*$EW$29,0)+IF(O508="gd",-(0.05-INDEX(绊状态确认!X:X,MATCH($G508,绊状态确认!$B:$B,)))*$EW$32*$EW$30*(1-$EW$33)+$EW$26*(-HP($EW$62,$EW$65,$EW$64)+HP($EW$62,$EW$65,0.95*$EW$64)),0)</f>
        <v>-4253.6726349699375</v>
      </c>
      <c r="BL508" s="1111">
        <f t="shared" si="629"/>
        <v>0</v>
      </c>
      <c r="BM508" s="1110">
        <f t="shared" si="630"/>
        <v>0</v>
      </c>
      <c r="BN508" s="1113">
        <f t="shared" si="631"/>
        <v>4</v>
      </c>
      <c r="BO508" s="1108">
        <f t="shared" si="632"/>
        <v>6010.2953161679998</v>
      </c>
      <c r="BP508" s="1100">
        <f t="shared" si="633"/>
        <v>295.12137612040135</v>
      </c>
      <c r="BQ508" s="1113" t="s">
        <v>132</v>
      </c>
      <c r="BR508" s="450" t="s">
        <v>168</v>
      </c>
      <c r="BS508" s="421">
        <f>IF($P508="","N/A",IF($P508=-1,INDEX('卡片raw data'!AX:AX,MATCH($D508,'卡片raw data'!$F:$F,)),0)+IF($L508="party卡",IF($P508=5,INDEX('卡片raw data'!BD:BD,MATCH($D508,'卡片raw data'!$F:$F,)),IF($P508&gt;=3,INDEX('卡片raw data'!BC:BC,MATCH($D508,'卡片raw data'!$F:$F,)),INDEX('卡片raw data'!BB:BB,MATCH($D508,'卡片raw data'!$F:$F,)))),IF(OR(AND($F508="UR",$P508=0),AND($F508="SR",$P508&gt;=0,$P508&lt;=2),AND($F508="R",$P508&gt;=0,$P508&lt;4)),INDEX('卡片raw data'!AZ:AZ,MATCH($D508,'卡片raw data'!$F:$F,)),0)+IF(OR(AND($F508="UR",$P508&gt;=1,$P508&lt;=4),AND($F508="SR",$P508&lt;=4,$P508&gt;=3),AND($F508="R",$P508=4)),INDEX('卡片raw data'!BA:BA,MATCH($D508,'卡片raw data'!$F:$F,)),0)+IF($P508=5,INDEX('卡片raw data'!BB:BB,MATCH($D508,'卡片raw data'!$F:$F,)),0)))</f>
        <v>7.0000000000000007E-2</v>
      </c>
      <c r="BT508" s="424">
        <f t="shared" si="634"/>
        <v>5259.008401647</v>
      </c>
      <c r="BU508" s="420">
        <f t="shared" si="635"/>
        <v>258.2312041053512</v>
      </c>
      <c r="BV508" s="420">
        <f t="shared" si="636"/>
        <v>0</v>
      </c>
      <c r="BW508" s="436">
        <f t="shared" si="637"/>
        <v>0</v>
      </c>
      <c r="BX508" s="423">
        <f t="shared" si="638"/>
        <v>5259.008401647</v>
      </c>
      <c r="BY508" s="433">
        <f t="shared" si="639"/>
        <v>0</v>
      </c>
      <c r="BZ508" s="1113" t="s">
        <v>569</v>
      </c>
      <c r="CA508" s="450"/>
      <c r="CB508" s="421">
        <f>IF($P508="","N/A",IF($P508=-1,INDEX('卡片raw data'!BE:BE,MATCH($D508,'卡片raw data'!$F:$F,)),0)+IF($L508="party卡",IF($P508=5,INDEX('卡片raw data'!BK:BK,MATCH($D508,'卡片raw data'!$F:$F,)),IF($P508&gt;=3,INDEX('卡片raw data'!BJ:BJ,MATCH($D508,'卡片raw data'!$F:$F,)),INDEX('卡片raw data'!BI:BI,MATCH($D508,'卡片raw data'!$F:$F,)))),IF(OR(AND($F508="UR",$P508=0),AND($F508="SR",$P508&gt;=0,$P508&lt;=2),AND($F508="R",$P508&gt;=0,$P508&lt;4)),INDEX('卡片raw data'!BG:BG,MATCH($D508,'卡片raw data'!$F:$F,)),0)+IF(OR(AND($F508="UR",$P508&gt;=1,$P508&lt;=4),AND($F508="SR",$P508&lt;=4,$P508&gt;=3),AND($F508="R",$P508=4)),INDEX('卡片raw data'!BH:BH,MATCH($D508,'卡片raw data'!$F:$F,)),0)+IF($P508=5,INDEX('卡片raw data'!BI:BI,MATCH($D508,'卡片raw data'!$F:$F,)),0)))</f>
        <v>0</v>
      </c>
      <c r="CC508" s="424">
        <f t="shared" si="640"/>
        <v>0</v>
      </c>
      <c r="CD508" s="420">
        <f>IF(BZ508="ap",CB508*(1-$FI$26)*$FB$5/$FB$11*(+IF(CA508="全员",$FA$24,0)+IF(CA508="同作战",$FA$24,0)+IF(CA508="仲间",$FA$24*2/3,0)+IF(CA508="同属性",$FA$24*$FA$37/3,0)+IF(CA508="同年级",$FA$24*$FA$40/3,0)+IF(CA508="同学校",$FA$24*$FA$43/3,0)+IF(CA508="同小队",$FA$24*$FA$46/3,0)+IF(CA508="同type",$FA$24*INDEX($FB$49:$FB$52,MATCH(X508,$FA$49:$FA$52,))/3,0)+IF(CA508="自身",#REF!/3,0)),0)+IF(BZ508="te",CB508*(1-$FI$27)*($FA$20-1)*$FB$7/$FB$13*(+IF(CA508="全员",$FA$19*$FA$24/(1+($FA$20-1)*$FA$19),0)+IF(CA508="同作战",$FA$19*$FA$24/(1+($FA$20-1)*$FA$19),0)+IF(CA508="仲间",$FA$19*$FA$24*2/3/(1+($FA$20-1)*$FA$19),0)+IF(CA508="同属性",$FA$19*$FA$24*$FA$37/3/(1+($FA$20-1)*$FA$19),0)+IF(CA508="同年级",$FA$19*$FA$24*$FA$40/3/(1+($FA$20-1)*$FA$19),0)+IF(CA508="同学校",$FA$19*$FA$24*$FA$43/3/(1+($FA$20-1)*$FA$19),0)+IF(CA508="同小队",$FA$19*$FA$24*$FA$46/3/(1+($FA$20-1)*$FA$19),0)+IF(CA508="同type",$FA$19*$FA$24*INDEX($FB$49:$FB$52,MATCH(X508,$FA$49:$FA$52,))/3/(1+($FA$20-1)*$FA$19),0)+IF(CA508="自身",$FA$19*#REF!/3/(1+(BH508-1)*$BD508),0)),0)</f>
        <v>0</v>
      </c>
      <c r="CE508" s="420">
        <f t="shared" si="641"/>
        <v>0</v>
      </c>
      <c r="CF508" s="436">
        <f t="shared" si="642"/>
        <v>0</v>
      </c>
      <c r="CG508" s="423">
        <f t="shared" si="643"/>
        <v>0</v>
      </c>
      <c r="CH508" s="433">
        <f t="shared" si="644"/>
        <v>0</v>
      </c>
      <c r="CI508" s="437" t="s">
        <v>165</v>
      </c>
      <c r="CJ508" s="438">
        <v>1</v>
      </c>
      <c r="CK508" s="439" t="s">
        <v>4202</v>
      </c>
      <c r="CL508" s="439" t="s">
        <v>4201</v>
      </c>
      <c r="CM508" s="443">
        <v>0.15</v>
      </c>
      <c r="CN508" s="439" t="s">
        <v>163</v>
      </c>
      <c r="CO508" s="1115"/>
      <c r="CP508" s="1118">
        <f t="shared" si="645"/>
        <v>4.9999999999999996E-2</v>
      </c>
      <c r="CQ508" s="1118">
        <f t="shared" si="646"/>
        <v>4.9999999999999996E-2</v>
      </c>
      <c r="CR508" s="1118">
        <f t="shared" si="647"/>
        <v>0</v>
      </c>
      <c r="CS508" s="1118">
        <f t="shared" si="648"/>
        <v>0</v>
      </c>
      <c r="CT508" s="1109">
        <f t="shared" si="649"/>
        <v>0</v>
      </c>
      <c r="CU508" s="1101">
        <f t="shared" si="650"/>
        <v>0</v>
      </c>
      <c r="CV508" s="1108">
        <f t="shared" si="685"/>
        <v>2594.9999999999995</v>
      </c>
      <c r="CW508" s="1108">
        <f t="shared" si="651"/>
        <v>0</v>
      </c>
      <c r="CX508" s="1108">
        <f t="shared" si="652"/>
        <v>0</v>
      </c>
      <c r="CY508" s="483">
        <f t="shared" si="653"/>
        <v>0</v>
      </c>
      <c r="CZ508" s="437"/>
      <c r="DA508" s="438"/>
      <c r="DB508" s="439" t="s">
        <v>569</v>
      </c>
      <c r="DC508" s="439"/>
      <c r="DD508" s="443"/>
      <c r="DE508" s="411"/>
      <c r="DF508" s="411"/>
      <c r="DG508" s="1116">
        <f t="shared" si="654"/>
        <v>0</v>
      </c>
      <c r="DH508" s="1116">
        <f t="shared" si="655"/>
        <v>0</v>
      </c>
      <c r="DI508" s="1116">
        <f t="shared" si="656"/>
        <v>0</v>
      </c>
      <c r="DJ508" s="442">
        <f t="shared" si="657"/>
        <v>0</v>
      </c>
      <c r="DK508" s="432">
        <f t="shared" si="658"/>
        <v>0</v>
      </c>
      <c r="DL508" s="424">
        <f t="shared" si="659"/>
        <v>0</v>
      </c>
      <c r="DM508" s="420">
        <f t="shared" si="660"/>
        <v>0</v>
      </c>
      <c r="DN508" s="420">
        <f t="shared" si="661"/>
        <v>0</v>
      </c>
      <c r="DO508" s="420">
        <f t="shared" si="662"/>
        <v>0</v>
      </c>
      <c r="DP508" s="433">
        <f t="shared" si="663"/>
        <v>0</v>
      </c>
      <c r="DQ508" s="1113" t="s">
        <v>2107</v>
      </c>
      <c r="DR508" s="1120">
        <f t="shared" si="664"/>
        <v>0.33</v>
      </c>
      <c r="DS508" s="1124">
        <v>5</v>
      </c>
      <c r="DT508" s="1124" t="s">
        <v>2127</v>
      </c>
      <c r="DU508" s="1093" t="s">
        <v>2145</v>
      </c>
      <c r="DV508" s="1098">
        <f>IF($P508="","N/A",IF(P508=-1,INDEX('卡片raw data'!AN:AN,MATCH(D508,'卡片raw data'!$F:$F,)),0)+IF(AND(L508&lt;&gt;"party卡",P508&lt;=2,P508&gt;=0),INDEX('卡片raw data'!AP:AP,MATCH(D508,'卡片raw data'!$F:$F,)),0)+IF(OR(AND(L508="party卡",P508&lt;=1),AND(P508&lt;=4,L508&lt;&gt;"party卡",P508&gt;=3)),INDEX('卡片raw data'!AQ:AQ,MATCH(D508,'卡片raw data'!$F:$F,)),0)+IF(OR(P508=5,AND(L508="party卡",P508&gt;=2)),INDEX('卡片raw data'!AR:AR,MATCH(D508,'卡片raw data'!$F:$F,)),0))</f>
        <v>0.05</v>
      </c>
      <c r="DW508" s="1098">
        <f t="shared" si="665"/>
        <v>0.33</v>
      </c>
      <c r="DX508" s="1098">
        <f t="shared" si="666"/>
        <v>0.33</v>
      </c>
      <c r="DY508" s="1098">
        <f t="shared" si="667"/>
        <v>2.1999999999999999E-2</v>
      </c>
      <c r="DZ508" s="1098">
        <f t="shared" si="668"/>
        <v>1.9029999999999998E-2</v>
      </c>
      <c r="EA508" s="421">
        <f t="shared" si="669"/>
        <v>0</v>
      </c>
      <c r="EB508" s="445">
        <f t="shared" si="670"/>
        <v>0</v>
      </c>
      <c r="EC508" s="424">
        <f t="shared" si="671"/>
        <v>2574.7079320891498</v>
      </c>
      <c r="ED508" s="420">
        <f t="shared" si="672"/>
        <v>154.09246855239772</v>
      </c>
      <c r="EE508" s="433">
        <f t="shared" si="683"/>
        <v>2574.7079320891498</v>
      </c>
      <c r="EF508" s="1115" t="s">
        <v>4197</v>
      </c>
      <c r="EG508" s="1120">
        <f t="shared" si="673"/>
        <v>0.33</v>
      </c>
      <c r="EH508" s="450">
        <v>5</v>
      </c>
      <c r="EI508" s="1093" t="s">
        <v>2127</v>
      </c>
      <c r="EJ508" s="1093" t="s">
        <v>2145</v>
      </c>
      <c r="EK508" s="1098">
        <f>IF($P508="","N/A",IF(P508=-1,INDEX('卡片raw data'!AS:AS,MATCH(D508,'卡片raw data'!$F:$F,)),0)+IF(AND(L508&lt;&gt;"party卡",P508&lt;=2,P508&gt;=0),INDEX('卡片raw data'!AU:AU,MATCH(D508,'卡片raw data'!$F:$F,)),0)+IF(OR(AND(L508="party卡",P508&lt;=1),AND(P508&lt;=4,L508&lt;&gt;"party卡",P508&gt;=3)),INDEX('卡片raw data'!AV:AV,MATCH(D508,'卡片raw data'!$F:$F,)),0)+IF(OR(P508=5,AND(L508="party卡",P508&gt;=2)),INDEX('卡片raw data'!AW:AW,MATCH(D508,'卡片raw data'!$F:$F,)),0))</f>
        <v>0.15</v>
      </c>
      <c r="EL508" s="1098">
        <f t="shared" si="674"/>
        <v>0.33</v>
      </c>
      <c r="EM508" s="1098">
        <f t="shared" si="675"/>
        <v>0.33</v>
      </c>
      <c r="EN508" s="1098">
        <f t="shared" si="676"/>
        <v>8.2500000000000004E-2</v>
      </c>
      <c r="EO508" s="1098">
        <f t="shared" si="677"/>
        <v>7.1362500000000009E-2</v>
      </c>
      <c r="EP508" s="421">
        <f t="shared" si="678"/>
        <v>0</v>
      </c>
      <c r="EQ508" s="445">
        <f t="shared" si="679"/>
        <v>0</v>
      </c>
      <c r="ER508" s="424">
        <f t="shared" si="680"/>
        <v>4943.9045382735949</v>
      </c>
      <c r="ES508" s="420">
        <f t="shared" si="681"/>
        <v>0</v>
      </c>
      <c r="ET508" s="446">
        <f t="shared" si="684"/>
        <v>4943.9045382735949</v>
      </c>
    </row>
    <row r="509" spans="2:150" ht="16.5" customHeight="1">
      <c r="B509" s="448" t="str">
        <f>INDEX('卡片raw data'!B:B,MATCH($D509,'卡片raw data'!$F:$F,))</f>
        <v>虹心艾</v>
      </c>
      <c r="C509" s="449" t="s">
        <v>4211</v>
      </c>
      <c r="D509" s="408">
        <v>506</v>
      </c>
      <c r="E509" s="477">
        <v>202082001</v>
      </c>
      <c r="F509" s="409" t="str">
        <f>INDEX('卡片raw data'!C:C,MATCH($D509,'卡片raw data'!$F:$F,))</f>
        <v>SR</v>
      </c>
      <c r="G509" s="1094" t="s">
        <v>4210</v>
      </c>
      <c r="H509" s="411">
        <f>IFERROR(INDEX(绊状态确认!C:C,MATCH($G509,绊状态确认!$B:$B,)),"")</f>
        <v>208</v>
      </c>
      <c r="I509" s="450" t="str">
        <f>IFERROR(INDEX(绊状态确认!D:D,MATCH($G509,绊状态确认!$B:$B,)),"")</f>
        <v>虹</v>
      </c>
      <c r="J509" s="450" t="str">
        <f>IFERROR(INDEX(绊状态确认!E:E,MATCH($G509,绊状态确认!$B:$B,)),"")</f>
        <v>3年级</v>
      </c>
      <c r="K509" s="451" t="str">
        <f>IFERROR(INDEX(绊状态确认!F:F,MATCH($G509,绊状态确认!$B:$B,)),"")</f>
        <v>QU4RTZ</v>
      </c>
      <c r="L509" s="414" t="str">
        <f>INDEX('卡片raw data'!E:E,MATCH($D509,'卡片raw data'!$F:$F,))</f>
        <v>卡池卡</v>
      </c>
      <c r="M509" s="478">
        <v>44407</v>
      </c>
      <c r="N509" s="479">
        <v>44.5</v>
      </c>
      <c r="O509" s="410" t="str">
        <f>INDEX('卡片raw data'!D:D,MATCH($D509,'卡片raw data'!$F:$F,))</f>
        <v>sp</v>
      </c>
      <c r="P509" s="1126">
        <v>5</v>
      </c>
      <c r="Q509" s="418">
        <f t="shared" si="600"/>
        <v>37983.583804267975</v>
      </c>
      <c r="R509" s="419">
        <f t="shared" si="601"/>
        <v>0.441</v>
      </c>
      <c r="S509" s="420">
        <f t="shared" si="602"/>
        <v>19662.204580140064</v>
      </c>
      <c r="T509" s="421">
        <f t="shared" si="603"/>
        <v>0.98299999999999998</v>
      </c>
      <c r="U509" s="422">
        <f t="shared" si="604"/>
        <v>11.364989671842856</v>
      </c>
      <c r="V509" s="423">
        <f t="shared" si="605"/>
        <v>37089.053367393462</v>
      </c>
      <c r="W509" s="424">
        <f t="shared" si="606"/>
        <v>4721.2605364001065</v>
      </c>
      <c r="X509" s="419">
        <f t="shared" si="607"/>
        <v>5.3999999999999999E-2</v>
      </c>
      <c r="Y509" s="420">
        <f t="shared" si="608"/>
        <v>905.469563125489</v>
      </c>
      <c r="Z509" s="425">
        <f t="shared" si="609"/>
        <v>11.364989671842856</v>
      </c>
      <c r="AA509" s="426">
        <f t="shared" si="610"/>
        <v>5626.7300995255955</v>
      </c>
      <c r="AB509" s="424">
        <f t="shared" si="611"/>
        <v>8477.6951090051061</v>
      </c>
      <c r="AC509" s="427">
        <f t="shared" si="612"/>
        <v>9.8000000000000004E-2</v>
      </c>
      <c r="AD509" s="428">
        <f t="shared" si="613"/>
        <v>-1.9908281250000003E-2</v>
      </c>
      <c r="AE509" s="516">
        <f t="shared" si="614"/>
        <v>46.892112879001012</v>
      </c>
      <c r="AF509" s="1130">
        <f t="shared" si="615"/>
        <v>0</v>
      </c>
      <c r="AG509" s="420">
        <f t="shared" si="616"/>
        <v>0</v>
      </c>
      <c r="AH509" s="420">
        <f t="shared" si="617"/>
        <v>0</v>
      </c>
      <c r="AI509" s="1097">
        <f t="shared" si="618"/>
        <v>0</v>
      </c>
      <c r="AJ509" s="420">
        <f t="shared" si="619"/>
        <v>0</v>
      </c>
      <c r="AK509" s="518">
        <f t="shared" si="620"/>
        <v>0</v>
      </c>
      <c r="AL509" s="1106">
        <f>IF($P509="","N/A",(IF($P509=-1,INDEX('卡片raw data'!S:S,MATCH($D509,'卡片raw data'!$F:$F,)),0)+IF($P509=0,INDEX('卡片raw data'!V:V,MATCH($D509,'卡片raw data'!$F:$F,)),0)+IF($P509=1,INDEX('卡片raw data'!Y:Y,MATCH($D509,'卡片raw data'!$F:$F,)),0)+IF($P509=2,INDEX('卡片raw data'!AB:AB,MATCH($D509,'卡片raw data'!$F:$F,)),0)+IF($P509=3,INDEX('卡片raw data'!AE:AE,MATCH($D509,'卡片raw data'!$F:$F,)),0)+IF($P509=4,INDEX('卡片raw data'!AH:AH,MATCH($D509,'卡片raw data'!$F:$F,)),0)+IF($P509=5,INDEX('卡片raw data'!AK:AK,MATCH($D509,'卡片raw data'!$F:$F,)),0)+INDEX('卡片raw data'!S:S,MATCH($D509,'卡片raw data'!$F:$F,))*(IF($F509="UR",0.04,0.033))*(IF($F509="UR",INDEX(绊状态确认!$S:$S,MATCH($G509,绊状态确认!$B:$B,))/2-40)+IF($F509="SR",INDEX(绊状态确认!$R:$R,MATCH($G509,绊状态确认!$B:$B,))/4-15))+IF($F509="R",INDEX(绊状态确认!$Q:$Q,MATCH($G509,绊状态确认!$B:$B,))/6-40/6)))*(INDEX(绊状态确认!$H:$H,MATCH($G509,绊状态确认!$B:$B,))+INDEX(绊状态确认!J:J,MATCH($G509,绊状态确认!$B:$B,)))</f>
        <v>7872.904197599999</v>
      </c>
      <c r="AM509" s="1106">
        <f>IF($P509="","N/A",(IF($P509=-1,INDEX('卡片raw data'!T:T,MATCH($D509,'卡片raw data'!$F:$F,)),0)+IF($P509=0,INDEX('卡片raw data'!W:W,MATCH($D509,'卡片raw data'!$F:$F,)),0)+IF($P509=1,INDEX('卡片raw data'!Z:Z,MATCH($D509,'卡片raw data'!$F:$F,)),0)+IF($P509=2,INDEX('卡片raw data'!AC:AC,MATCH($D509,'卡片raw data'!$F:$F,)),0)+IF($P509=3,INDEX('卡片raw data'!AF:AF,MATCH($D509,'卡片raw data'!$F:$F,)),0)+IF($P509=4,INDEX('卡片raw data'!AI:AI,MATCH($D509,'卡片raw data'!$F:$F,)),0)+IF($P509=5,INDEX('卡片raw data'!AL:AL,MATCH($D509,'卡片raw data'!$F:$F,)),0)+INDEX('卡片raw data'!T:T,MATCH($D509,'卡片raw data'!$F:$F,))*(IF($F509="UR",0.04,0.033))*(IF($F509="UR",INDEX(绊状态确认!$S:$S,MATCH($G509,绊状态确认!$B:$B,))/2-40)+IF($F509="SR",INDEX(绊状态确认!$R:$R,MATCH($G509,绊状态确认!$B:$B,))/4-15))+IF($F509="R",INDEX(绊状态确认!$Q:$Q,MATCH($G509,绊状态确认!$B:$B,))/6-40/6)))*(INDEX(绊状态确认!$H:$H,MATCH($G509,绊状态确认!$B:$B,))+INDEX(绊状态确认!K:K,MATCH($G509,绊状态确认!$B:$B,)))</f>
        <v>5789.9807279999995</v>
      </c>
      <c r="AN509" s="1106">
        <f>IF($P509="","N/A",(IF($P509=-1,INDEX('卡片raw data'!U:U,MATCH($D509,'卡片raw data'!$F:$F,)),0)+IF($P509=0,INDEX('卡片raw data'!X:X,MATCH($D509,'卡片raw data'!$F:$F,)),0)+IF($P509=1,INDEX('卡片raw data'!AA:AA,MATCH($D509,'卡片raw data'!$F:$F,)),0)+IF($P509=2,INDEX('卡片raw data'!AD:AD,MATCH($D509,'卡片raw data'!$F:$F,)),0)+IF($P509=3,INDEX('卡片raw data'!AG:AG,MATCH($D509,'卡片raw data'!$F:$F,)),0)+IF($P509=4,INDEX('卡片raw data'!AJ:AJ,MATCH($D509,'卡片raw data'!$F:$F,)),0)+IF($P509=5,INDEX('卡片raw data'!AM:AM,MATCH($D509,'卡片raw data'!$F:$F,)),0)+INDEX('卡片raw data'!U:U,MATCH($D509,'卡片raw data'!$F:$F,))*(IF($F509="UR",0.04,0.033))*(IF($F509="UR",INDEX(绊状态确认!$S:$S,MATCH($G509,绊状态确认!$B:$B,))/2-40)+IF($F509="SR",INDEX(绊状态确认!$R:$R,MATCH($G509,绊状态确认!$B:$B,))/4-15))+IF($F509="R",INDEX(绊状态确认!$Q:$Q,MATCH($G509,绊状态确认!$B:$B,))/6-40/6)))*(INDEX(绊状态确认!$H:$H,MATCH($G509,绊状态确认!$B:$B,))+INDEX(绊状态确认!L:L,MATCH($G509,绊状态确认!$B:$B,)))</f>
        <v>9492.4173839999985</v>
      </c>
      <c r="AO509" s="1107">
        <f t="shared" si="621"/>
        <v>1</v>
      </c>
      <c r="AP509" s="1131">
        <f>1+(INDEX(绊状态确认!$T:$T,MATCH($G509,绊状态确认!$B:$B,))+0.2)*$AO509</f>
        <v>1.3</v>
      </c>
      <c r="AQ509" s="1108">
        <f t="shared" si="622"/>
        <v>23916.373518699998</v>
      </c>
      <c r="AR509" s="1097">
        <f>(AM509*(1+$EX$9)+$EX$35)*(1+(INDEX(绊状态确认!$T:$T,MATCH($G509,绊状态确认!$B:$B,))+0.2)*AO509)*IF(J509=$FF$17,1+$FE$17,1)*IF(I509=$FF$14,1+$FE$14,1)</f>
        <v>10607.32369372</v>
      </c>
      <c r="AS509" s="1097">
        <f>(AN509*(1+$EX$10)+$EX$36)*(1+(INDEX(绊状态确认!$T:$T,MATCH($G509,绊状态确认!$B:$B,))+0.2)*AO509)*IF(J509=$FF$17,1+$FE$17,1)*IF(I509=$FF$14,1+$FE$14,1)</f>
        <v>18247.163989079996</v>
      </c>
      <c r="AT509" s="1093">
        <f>IF(AND(INDEX('卡片raw data'!AK:AK,MATCH($D509,'卡片raw data'!$F:$F,))&lt;INDEX('卡片raw data'!AM:AM,MATCH($D509,'卡片raw data'!$F:$F,)),INDEX('卡片raw data'!AL:AL,MATCH($D509,'卡片raw data'!$F:$F,))&lt;INDEX('卡片raw data'!AM:AM,MATCH($D509,'卡片raw data'!$F:$F,))),1,0)</f>
        <v>1</v>
      </c>
      <c r="AU509" s="1098">
        <f>MIN(AT509*0.15+AS509*0.00003+INDEX(绊状态确认!M:M,MATCH($G509,绊状态确认!$B:$B,)),1)</f>
        <v>0.72741491967239991</v>
      </c>
      <c r="AV509" s="1109">
        <f>(INDEX(绊状态确认!$N:$N,MATCH($G509,绊状态确认!$B:$B,))+1.5)*$EW$21</f>
        <v>2.6599999999999997</v>
      </c>
      <c r="AW509" s="1101">
        <f t="shared" si="623"/>
        <v>27419.222028596203</v>
      </c>
      <c r="AX509" s="1097">
        <f t="shared" si="624"/>
        <v>905.469563125489</v>
      </c>
      <c r="AY509" s="1110">
        <f t="shared" si="625"/>
        <v>28324.69159172169</v>
      </c>
      <c r="AZ509" s="429">
        <f t="shared" si="626"/>
        <v>17952.163185319998</v>
      </c>
      <c r="BA509" s="431">
        <f t="shared" si="627"/>
        <v>21542.595822383995</v>
      </c>
      <c r="BB509" s="1097">
        <f>(AM509*(1+$FB$9)+$FB$35)*(1+(INDEX(绊状态确认!$T:$T,MATCH($G509,绊状态确认!$B:$B,))+0.2)*AO509)*IF(J509=$FF$17,1+$FE$17,1)*IF(I509=$FF$14,1+$FE$14,1)*(1+$FE$15)</f>
        <v>10607.32369372</v>
      </c>
      <c r="BC509" s="1097">
        <f>(AN509*(1+$FB$10)+$FB$36)*(1+(INDEX(绊状态确认!$T:$T,MATCH($G509,绊状态确认!$B:$B,))+0.2)*AO509)*IF(J509=$FF$17,1+$FE$17,1)*IF(I509=$FF$14,1+$FE$14,1)*(1+$FE$15)</f>
        <v>18247.163989079996</v>
      </c>
      <c r="BD509" s="1104">
        <f>MIN(AT509*0.15+BC509*0.00003+INDEX(绊状态确认!M:M,MATCH($G509,绊状态确认!$B:$B,)),1)</f>
        <v>0.72741491967239991</v>
      </c>
      <c r="BE509" s="432">
        <f>(INDEX(绊状态确认!$N:$N,MATCH($G509,绊状态确认!$B:$B,))+1.5)</f>
        <v>1.9</v>
      </c>
      <c r="BF509" s="1139">
        <f t="array" ref="BF509">SUMPRODUCT(IF(AZ509*AP509*$FI$16:$FI$23*$FA$22&gt;=$FI$24,$FI$24,AZ509*AP509*$FI$16:$FI$23*$FA$22),$FJ$16:$FJ$23)</f>
        <v>35706.852575601479</v>
      </c>
      <c r="BG509" s="1125">
        <f t="array" ref="BG509">SUMPRODUCT(IF(BE509*AZ509*AP509*$FI$16:$FI$23*$FA$22&gt;=$FI$24,$FI$24,BE509*AZ509*AP509*$FI$16:$FI$23*$FA$22),$FJ$16:$FJ$23)</f>
        <v>59085.460766935095</v>
      </c>
      <c r="BH509" s="1110">
        <f t="shared" si="628"/>
        <v>17570.933658384311</v>
      </c>
      <c r="BI509" s="1111">
        <f>IF(O509="vo",$EW$26/$EW$24*0.05,0)+IF(O509="sk",-$EW$26/$EW$24*(0.05-INDEX(绊状态确认!W:W,MATCH($G509,绊状态确认!$B:$B,)))+0.05*$EW$28,0)+IF(O509="sp",0.05*$EW$32*$EW$30*(1-$EW$33)-(0.05-INDEX(绊状态确认!V:V,MATCH($G509,绊状态确认!$B:$B,)))*$EW$28,0)+IF(O509="gd",-(0.05-INDEX(绊状态确认!X:X,MATCH($G509,绊状态确认!$B:$B,)))*$EW$32*$EW$30*(1-$EW$33),0)</f>
        <v>19.999999999999886</v>
      </c>
      <c r="BJ509" s="420">
        <f>IF(O509="vo",0.05*(1-$FI$26)*$FA$24,0)+IF(O509="sk",-(0.05-INDEX(绊状态确认!W:W,MATCH($G509,绊状态确认!$B:$B,)))*(1-$FI$26)*$FA$24+0.05*$FA$26,0)+IF(O509="sp",0.05*$FA$32*$FA$27*(1-$FA$33)/$FA$30+0.05*$FA$29/$FA$69*$FA$27*(1-$FA$33)-(0.05-INDEX(绊状态确认!V:V,MATCH($G509,绊状态确认!$B:$B,)))*$FA$26,0)+IF(O509="gd",-(0.05-INDEX(绊状态确认!X:X,MATCH($G509,绊状态确认!$B:$B,)))*$FA$32*$FA$27*(1-$FA$33)/$FA$30-(0.05-INDEX(绊状态确认!X:X,MATCH($G509,绊状态确认!$B:$B,)))*$FA$29/$FA$69*$FA$27*(1-$FA$33),0)</f>
        <v>545.83333333333326</v>
      </c>
      <c r="BK509" s="1110">
        <f>IF(O509="vo",$EW$26/$EW$24*0.05+$EW$26*(-HP($EW$62,$EW$65,$EW$64)+HP($EW$62,$EW$65,(1.05-INDEX(绊状态确认!U:U,MATCH($G509,绊状态确认!$B:$B,)))*$EW$64)),0)+IF(O509="sk",-$EW$26/$EW$24*(0.05-INDEX(绊状态确认!W:W,MATCH($G509,绊状态确认!$B:$B,)))+0.05*$EW$29,0)+IF(O509="sp",0.05*$EW$32*$EW$30*(1-$EW$33)-(0.05-INDEX(绊状态确认!V:V,MATCH($G509,绊状态确认!$B:$B,)))*$EW$29,0)+IF(O509="gd",-(0.05-INDEX(绊状态确认!X:X,MATCH($G509,绊状态确认!$B:$B,)))*$EW$32*$EW$30*(1-$EW$33)+$EW$26*(-HP($EW$62,$EW$65,$EW$64)+HP($EW$62,$EW$65,0.95*$EW$64)),0)</f>
        <v>-1780.0000000000005</v>
      </c>
      <c r="BL509" s="1111">
        <f t="shared" si="629"/>
        <v>-1083.3333333333333</v>
      </c>
      <c r="BM509" s="1110">
        <f t="shared" si="630"/>
        <v>-830.55555555555543</v>
      </c>
      <c r="BN509" s="1113">
        <f t="shared" si="631"/>
        <v>3</v>
      </c>
      <c r="BO509" s="1108">
        <f t="shared" si="632"/>
        <v>4507.7214871259994</v>
      </c>
      <c r="BP509" s="1100">
        <f t="shared" si="633"/>
        <v>221.34103209030098</v>
      </c>
      <c r="BQ509" s="1113" t="s">
        <v>132</v>
      </c>
      <c r="BR509" s="1124" t="s">
        <v>168</v>
      </c>
      <c r="BS509" s="421">
        <f>IF($P509="","N/A",IF($P509=-1,INDEX('卡片raw data'!AX:AX,MATCH($D509,'卡片raw data'!$F:$F,)),0)+IF($L509="party卡",IF($P509=5,INDEX('卡片raw data'!BD:BD,MATCH($D509,'卡片raw data'!$F:$F,)),IF($P509&gt;=3,INDEX('卡片raw data'!BC:BC,MATCH($D509,'卡片raw data'!$F:$F,)),INDEX('卡片raw data'!BB:BB,MATCH($D509,'卡片raw data'!$F:$F,)))),IF(OR(AND($F509="UR",$P509=0),AND($F509="SR",$P509&gt;=0,$P509&lt;=2),AND($F509="R",$P509&gt;=0,$P509&lt;4)),INDEX('卡片raw data'!AZ:AZ,MATCH($D509,'卡片raw data'!$F:$F,)),0)+IF(OR(AND($F509="UR",$P509&gt;=1,$P509&lt;=4),AND($F509="SR",$P509&lt;=4,$P509&gt;=3),AND($F509="R",$P509=4)),INDEX('卡片raw data'!BA:BA,MATCH($D509,'卡片raw data'!$F:$F,)),0)+IF($P509=5,INDEX('卡片raw data'!BB:BB,MATCH($D509,'卡片raw data'!$F:$F,)),0)))</f>
        <v>0.05</v>
      </c>
      <c r="BT509" s="424">
        <f t="shared" si="634"/>
        <v>3756.4345726050001</v>
      </c>
      <c r="BU509" s="420">
        <f t="shared" si="635"/>
        <v>184.45086007525089</v>
      </c>
      <c r="BV509" s="420">
        <f t="shared" si="636"/>
        <v>0</v>
      </c>
      <c r="BW509" s="436">
        <f t="shared" si="637"/>
        <v>0</v>
      </c>
      <c r="BX509" s="423">
        <f t="shared" si="638"/>
        <v>3756.4345726050001</v>
      </c>
      <c r="BY509" s="433">
        <f t="shared" si="639"/>
        <v>0</v>
      </c>
      <c r="BZ509" s="1113" t="s">
        <v>569</v>
      </c>
      <c r="CA509" s="450"/>
      <c r="CB509" s="421">
        <f>IF($P509="","N/A",IF($P509=-1,INDEX('卡片raw data'!BE:BE,MATCH($D509,'卡片raw data'!$F:$F,)),0)+IF($L509="party卡",IF($P509=5,INDEX('卡片raw data'!BK:BK,MATCH($D509,'卡片raw data'!$F:$F,)),IF($P509&gt;=3,INDEX('卡片raw data'!BJ:BJ,MATCH($D509,'卡片raw data'!$F:$F,)),INDEX('卡片raw data'!BI:BI,MATCH($D509,'卡片raw data'!$F:$F,)))),IF(OR(AND($F509="UR",$P509=0),AND($F509="SR",$P509&gt;=0,$P509&lt;=2),AND($F509="R",$P509&gt;=0,$P509&lt;4)),INDEX('卡片raw data'!BG:BG,MATCH($D509,'卡片raw data'!$F:$F,)),0)+IF(OR(AND($F509="UR",$P509&gt;=1,$P509&lt;=4),AND($F509="SR",$P509&lt;=4,$P509&gt;=3),AND($F509="R",$P509=4)),INDEX('卡片raw data'!BH:BH,MATCH($D509,'卡片raw data'!$F:$F,)),0)+IF($P509=5,INDEX('卡片raw data'!BI:BI,MATCH($D509,'卡片raw data'!$F:$F,)),0)))</f>
        <v>0</v>
      </c>
      <c r="CC509" s="424">
        <f t="shared" si="640"/>
        <v>0</v>
      </c>
      <c r="CD509" s="420">
        <f>IF(BZ509="ap",CB509*(1-$FI$26)*$FB$5/$FB$11*(+IF(CA509="全员",$FA$24,0)+IF(CA509="同作战",$FA$24,0)+IF(CA509="仲间",$FA$24*2/3,0)+IF(CA509="同属性",$FA$24*$FA$37/3,0)+IF(CA509="同年级",$FA$24*$FA$40/3,0)+IF(CA509="同学校",$FA$24*$FA$43/3,0)+IF(CA509="同小队",$FA$24*$FA$46/3,0)+IF(CA509="同type",$FA$24*INDEX($FB$49:$FB$52,MATCH(X509,$FA$49:$FA$52,))/3,0)+IF(CA509="自身",#REF!/3,0)),0)+IF(BZ509="te",CB509*(1-$FI$27)*($FA$20-1)*$FB$7/$FB$13*(+IF(CA509="全员",$FA$19*$FA$24/(1+($FA$20-1)*$FA$19),0)+IF(CA509="同作战",$FA$19*$FA$24/(1+($FA$20-1)*$FA$19),0)+IF(CA509="仲间",$FA$19*$FA$24*2/3/(1+($FA$20-1)*$FA$19),0)+IF(CA509="同属性",$FA$19*$FA$24*$FA$37/3/(1+($FA$20-1)*$FA$19),0)+IF(CA509="同年级",$FA$19*$FA$24*$FA$40/3/(1+($FA$20-1)*$FA$19),0)+IF(CA509="同学校",$FA$19*$FA$24*$FA$43/3/(1+($FA$20-1)*$FA$19),0)+IF(CA509="同小队",$FA$19*$FA$24*$FA$46/3/(1+($FA$20-1)*$FA$19),0)+IF(CA509="同type",$FA$19*$FA$24*INDEX($FB$49:$FB$52,MATCH(X509,$FA$49:$FA$52,))/3/(1+($FA$20-1)*$FA$19),0)+IF(CA509="自身",$FA$19*#REF!/3/(1+(BH509-1)*$BD509),0)),0)</f>
        <v>0</v>
      </c>
      <c r="CE509" s="420">
        <f t="shared" si="641"/>
        <v>0</v>
      </c>
      <c r="CF509" s="436">
        <f t="shared" si="642"/>
        <v>0</v>
      </c>
      <c r="CG509" s="423">
        <f t="shared" si="643"/>
        <v>0</v>
      </c>
      <c r="CH509" s="433">
        <f t="shared" si="644"/>
        <v>0</v>
      </c>
      <c r="CI509" s="437" t="s">
        <v>165</v>
      </c>
      <c r="CJ509" s="438">
        <v>0.5</v>
      </c>
      <c r="CK509" s="439" t="s">
        <v>4163</v>
      </c>
      <c r="CL509" s="439" t="s">
        <v>4213</v>
      </c>
      <c r="CM509" s="443">
        <v>0.08</v>
      </c>
      <c r="CN509" s="439"/>
      <c r="CO509" s="1115"/>
      <c r="CP509" s="1116">
        <f t="shared" si="645"/>
        <v>3.4166247883857142</v>
      </c>
      <c r="CQ509" s="1116">
        <f t="shared" si="646"/>
        <v>5.505330043498132</v>
      </c>
      <c r="CR509" s="1117">
        <f t="shared" si="647"/>
        <v>3.4166247883857142</v>
      </c>
      <c r="CS509" s="1118">
        <f t="shared" si="648"/>
        <v>0</v>
      </c>
      <c r="CT509" s="1109">
        <f t="shared" si="649"/>
        <v>5.5804871543633334</v>
      </c>
      <c r="CU509" s="1101">
        <f t="shared" si="650"/>
        <v>213.53904927410713</v>
      </c>
      <c r="CV509" s="1108">
        <f t="shared" si="685"/>
        <v>229.38875181242219</v>
      </c>
      <c r="CW509" s="1097">
        <f t="shared" si="651"/>
        <v>213.53904927410713</v>
      </c>
      <c r="CX509" s="1097">
        <f t="shared" si="652"/>
        <v>213.53904927410713</v>
      </c>
      <c r="CY509" s="1110">
        <f t="shared" si="653"/>
        <v>213.53904927410713</v>
      </c>
      <c r="CZ509" s="437"/>
      <c r="DA509" s="438"/>
      <c r="DB509" s="439" t="s">
        <v>569</v>
      </c>
      <c r="DC509" s="439"/>
      <c r="DD509" s="443"/>
      <c r="DE509" s="411"/>
      <c r="DF509" s="411"/>
      <c r="DG509" s="1116">
        <f t="shared" si="654"/>
        <v>0</v>
      </c>
      <c r="DH509" s="1116">
        <f t="shared" si="655"/>
        <v>0</v>
      </c>
      <c r="DI509" s="1116">
        <f t="shared" si="656"/>
        <v>0</v>
      </c>
      <c r="DJ509" s="442">
        <f t="shared" si="657"/>
        <v>0</v>
      </c>
      <c r="DK509" s="432">
        <f t="shared" si="658"/>
        <v>0</v>
      </c>
      <c r="DL509" s="424">
        <f t="shared" si="659"/>
        <v>0</v>
      </c>
      <c r="DM509" s="420">
        <f t="shared" si="660"/>
        <v>0</v>
      </c>
      <c r="DN509" s="420">
        <f t="shared" si="661"/>
        <v>0</v>
      </c>
      <c r="DO509" s="420">
        <f t="shared" si="662"/>
        <v>0</v>
      </c>
      <c r="DP509" s="433">
        <f t="shared" si="663"/>
        <v>0</v>
      </c>
      <c r="DQ509" s="437" t="s">
        <v>549</v>
      </c>
      <c r="DR509" s="1120">
        <f t="shared" si="664"/>
        <v>0.3</v>
      </c>
      <c r="DS509" s="450"/>
      <c r="DT509" s="1124" t="s">
        <v>179</v>
      </c>
      <c r="DU509" s="1124"/>
      <c r="DV509" s="1098">
        <f>IF($P509="","N/A",IF(P509=-1,INDEX('卡片raw data'!AN:AN,MATCH(D509,'卡片raw data'!$F:$F,)),0)+IF(AND(L509&lt;&gt;"party卡",P509&lt;=2,P509&gt;=0),INDEX('卡片raw data'!AP:AP,MATCH(D509,'卡片raw data'!$F:$F,)),0)+IF(OR(AND(L509="party卡",P509&lt;=1),AND(P509&lt;=4,L509&lt;&gt;"party卡",P509&gt;=3)),INDEX('卡片raw data'!AQ:AQ,MATCH(D509,'卡片raw data'!$F:$F,)),0)+IF(OR(P509=5,AND(L509="party卡",P509&gt;=2)),INDEX('卡片raw data'!AR:AR,MATCH(D509,'卡片raw data'!$F:$F,)),0))</f>
        <v>7.0000000000000007E-2</v>
      </c>
      <c r="DW509" s="1098">
        <f t="shared" si="665"/>
        <v>0.3</v>
      </c>
      <c r="DX509" s="1098">
        <f t="shared" si="666"/>
        <v>0.3</v>
      </c>
      <c r="DY509" s="1098">
        <f t="shared" si="667"/>
        <v>7.0000000000000001E-3</v>
      </c>
      <c r="DZ509" s="1098">
        <f t="shared" si="668"/>
        <v>6.9632499999999998E-3</v>
      </c>
      <c r="EA509" s="421">
        <f t="shared" si="669"/>
        <v>0</v>
      </c>
      <c r="EB509" s="445">
        <f t="shared" si="670"/>
        <v>42.663074999999999</v>
      </c>
      <c r="EC509" s="424">
        <f t="shared" si="671"/>
        <v>3150</v>
      </c>
      <c r="ED509" s="420">
        <f t="shared" si="672"/>
        <v>1740.8125</v>
      </c>
      <c r="EE509" s="433">
        <f t="shared" si="683"/>
        <v>3150</v>
      </c>
      <c r="EF509" s="1113" t="s">
        <v>569</v>
      </c>
      <c r="EG509" s="1120">
        <f t="shared" si="673"/>
        <v>0.3</v>
      </c>
      <c r="EH509" s="450"/>
      <c r="EI509" s="1124"/>
      <c r="EJ509" s="1124"/>
      <c r="EK509" s="1097">
        <f>IF($P509="","N/A",IF(P509=-1,INDEX('卡片raw data'!AS:AS,MATCH(D509,'卡片raw data'!$F:$F,)),0)+IF(AND(L509&lt;&gt;"party卡",P509&lt;=2,P509&gt;=0),INDEX('卡片raw data'!AU:AU,MATCH(D509,'卡片raw data'!$F:$F,)),0)+IF(OR(AND(L509="party卡",P509&lt;=1),AND(P509&lt;=4,L509&lt;&gt;"party卡",P509&gt;=3)),INDEX('卡片raw data'!AV:AV,MATCH(D509,'卡片raw data'!$F:$F,)),0)+IF(OR(P509=5,AND(L509="party卡",P509&gt;=2)),INDEX('卡片raw data'!AW:AW,MATCH(D509,'卡片raw data'!$F:$F,)),0))</f>
        <v>0</v>
      </c>
      <c r="EL509" s="1098">
        <f t="shared" si="674"/>
        <v>0.3</v>
      </c>
      <c r="EM509" s="1098">
        <f t="shared" si="675"/>
        <v>0.3</v>
      </c>
      <c r="EN509" s="1097">
        <f t="shared" si="676"/>
        <v>0</v>
      </c>
      <c r="EO509" s="1097">
        <f t="shared" si="677"/>
        <v>0</v>
      </c>
      <c r="EP509" s="421">
        <f t="shared" si="678"/>
        <v>0</v>
      </c>
      <c r="EQ509" s="445">
        <f t="shared" si="679"/>
        <v>0</v>
      </c>
      <c r="ER509" s="424">
        <f t="shared" si="680"/>
        <v>0</v>
      </c>
      <c r="ES509" s="420">
        <f t="shared" si="681"/>
        <v>0</v>
      </c>
      <c r="ET509" s="446">
        <f t="shared" si="684"/>
        <v>0</v>
      </c>
    </row>
    <row r="510" spans="2:150" ht="16.5" customHeight="1">
      <c r="B510" s="448" t="str">
        <f>INDEX('卡片raw data'!B:B,MATCH($D510,'卡片raw data'!$F:$F,))</f>
        <v>aa绘</v>
      </c>
      <c r="C510" s="449" t="s">
        <v>4208</v>
      </c>
      <c r="D510" s="408">
        <v>507</v>
      </c>
      <c r="E510" s="477">
        <v>200022001</v>
      </c>
      <c r="F510" s="409" t="str">
        <f>INDEX('卡片raw data'!C:C,MATCH($D510,'卡片raw data'!$F:$F,))</f>
        <v>SR</v>
      </c>
      <c r="G510" s="1094" t="s">
        <v>4209</v>
      </c>
      <c r="H510" s="411">
        <f>IFERROR(INDEX(绊状态确认!C:C,MATCH($G510,绊状态确认!$B:$B,)),"")</f>
        <v>2</v>
      </c>
      <c r="I510" s="450" t="str">
        <f>IFERROR(INDEX(绊状态确认!D:D,MATCH($G510,绊状态确认!$B:$B,)),"")</f>
        <v>缪</v>
      </c>
      <c r="J510" s="450" t="str">
        <f>IFERROR(INDEX(绊状态确认!E:E,MATCH($G510,绊状态确认!$B:$B,)),"")</f>
        <v>3年级</v>
      </c>
      <c r="K510" s="451" t="str">
        <f>IFERROR(INDEX(绊状态确认!F:F,MATCH($G510,绊状态确认!$B:$B,)),"")</f>
        <v>BiBi</v>
      </c>
      <c r="L510" s="414" t="str">
        <f>INDEX('卡片raw data'!E:E,MATCH($D510,'卡片raw data'!$F:$F,))</f>
        <v>卡池卡</v>
      </c>
      <c r="M510" s="478">
        <v>44407</v>
      </c>
      <c r="N510" s="479">
        <v>44.5</v>
      </c>
      <c r="O510" s="410" t="str">
        <f>INDEX('卡片raw data'!D:D,MATCH($D510,'卡片raw data'!$F:$F,))</f>
        <v>sk</v>
      </c>
      <c r="P510" s="1126">
        <v>5</v>
      </c>
      <c r="Q510" s="418">
        <f t="shared" si="600"/>
        <v>31349.036205642657</v>
      </c>
      <c r="R510" s="419">
        <f t="shared" si="601"/>
        <v>0.36399999999999999</v>
      </c>
      <c r="S510" s="420">
        <f t="shared" si="602"/>
        <v>17316.625240497884</v>
      </c>
      <c r="T510" s="421">
        <f t="shared" si="603"/>
        <v>0.86499999999999999</v>
      </c>
      <c r="U510" s="422">
        <f t="shared" si="604"/>
        <v>10.345059393072855</v>
      </c>
      <c r="V510" s="423">
        <f t="shared" si="605"/>
        <v>34171.529259744253</v>
      </c>
      <c r="W510" s="424">
        <f t="shared" si="606"/>
        <v>5047.0565276649368</v>
      </c>
      <c r="X510" s="419">
        <f t="shared" si="607"/>
        <v>5.8000000000000003E-2</v>
      </c>
      <c r="Y510" s="420">
        <f t="shared" si="608"/>
        <v>822.49305410159741</v>
      </c>
      <c r="Z510" s="425">
        <f t="shared" si="609"/>
        <v>10.345059393072855</v>
      </c>
      <c r="AA510" s="426">
        <f t="shared" si="610"/>
        <v>5869.5495817665342</v>
      </c>
      <c r="AB510" s="424">
        <f t="shared" si="611"/>
        <v>5930.6968400868127</v>
      </c>
      <c r="AC510" s="427">
        <f t="shared" si="612"/>
        <v>6.8000000000000005E-2</v>
      </c>
      <c r="AD510" s="428">
        <f t="shared" si="613"/>
        <v>1.8994224431818179E-2</v>
      </c>
      <c r="AE510" s="516">
        <f t="shared" si="614"/>
        <v>4.3537577047458456</v>
      </c>
      <c r="AF510" s="1130">
        <f t="shared" si="615"/>
        <v>0</v>
      </c>
      <c r="AG510" s="420">
        <f t="shared" si="616"/>
        <v>0</v>
      </c>
      <c r="AH510" s="420">
        <f t="shared" si="617"/>
        <v>0</v>
      </c>
      <c r="AI510" s="1097">
        <f t="shared" si="618"/>
        <v>0</v>
      </c>
      <c r="AJ510" s="420">
        <f t="shared" si="619"/>
        <v>0</v>
      </c>
      <c r="AK510" s="518">
        <f t="shared" si="620"/>
        <v>0</v>
      </c>
      <c r="AL510" s="429">
        <f>IF($P510="","N/A",(IF($P510=-1,INDEX('卡片raw data'!S:S,MATCH($D510,'卡片raw data'!$F:$F,)),0)+IF($P510=0,INDEX('卡片raw data'!V:V,MATCH($D510,'卡片raw data'!$F:$F,)),0)+IF($P510=1,INDEX('卡片raw data'!Y:Y,MATCH($D510,'卡片raw data'!$F:$F,)),0)+IF($P510=2,INDEX('卡片raw data'!AB:AB,MATCH($D510,'卡片raw data'!$F:$F,)),0)+IF($P510=3,INDEX('卡片raw data'!AE:AE,MATCH($D510,'卡片raw data'!$F:$F,)),0)+IF($P510=4,INDEX('卡片raw data'!AH:AH,MATCH($D510,'卡片raw data'!$F:$F,)),0)+IF($P510=5,INDEX('卡片raw data'!AK:AK,MATCH($D510,'卡片raw data'!$F:$F,)),0)+INDEX('卡片raw data'!S:S,MATCH($D510,'卡片raw data'!$F:$F,))*(IF($F510="UR",0.04,0.033))*(IF($F510="UR",INDEX(绊状态确认!$S:$S,MATCH($G510,绊状态确认!$B:$B,))/2-40)+IF($F510="SR",INDEX(绊状态确认!$R:$R,MATCH($G510,绊状态确认!$B:$B,))/4-15))+IF($F510="R",INDEX(绊状态确认!$Q:$Q,MATCH($G510,绊状态确认!$B:$B,))/6-40/6)))*(INDEX(绊状态确认!$H:$H,MATCH($G510,绊状态确认!$B:$B,))+INDEX(绊状态确认!J:J,MATCH($G510,绊状态确认!$B:$B,)))</f>
        <v>8105.7457391999997</v>
      </c>
      <c r="AM510" s="429">
        <f>IF($P510="","N/A",(IF($P510=-1,INDEX('卡片raw data'!T:T,MATCH($D510,'卡片raw data'!$F:$F,)),0)+IF($P510=0,INDEX('卡片raw data'!W:W,MATCH($D510,'卡片raw data'!$F:$F,)),0)+IF($P510=1,INDEX('卡片raw data'!Z:Z,MATCH($D510,'卡片raw data'!$F:$F,)),0)+IF($P510=2,INDEX('卡片raw data'!AC:AC,MATCH($D510,'卡片raw data'!$F:$F,)),0)+IF($P510=3,INDEX('卡片raw data'!AF:AF,MATCH($D510,'卡片raw data'!$F:$F,)),0)+IF($P510=4,INDEX('卡片raw data'!AI:AI,MATCH($D510,'卡片raw data'!$F:$F,)),0)+IF($P510=5,INDEX('卡片raw data'!AL:AL,MATCH($D510,'卡片raw data'!$F:$F,)),0)+INDEX('卡片raw data'!T:T,MATCH($D510,'卡片raw data'!$F:$F,))*(IF($F510="UR",0.04,0.033))*(IF($F510="UR",INDEX(绊状态确认!$S:$S,MATCH($G510,绊状态确认!$B:$B,))/2-40)+IF($F510="SR",INDEX(绊状态确认!$R:$R,MATCH($G510,绊状态确认!$B:$B,))/4-15))+IF($F510="R",INDEX(绊状态确认!$Q:$Q,MATCH($G510,绊状态确认!$B:$B,))/6-40/6)))*(INDEX(绊状态确认!$H:$H,MATCH($G510,绊状态确认!$B:$B,))+INDEX(绊状态确认!K:K,MATCH($G510,绊状态确认!$B:$B,)))</f>
        <v>5092.5925031999986</v>
      </c>
      <c r="AN510" s="429">
        <f>IF($P510="","N/A",(IF($P510=-1,INDEX('卡片raw data'!U:U,MATCH($D510,'卡片raw data'!$F:$F,)),0)+IF($P510=0,INDEX('卡片raw data'!X:X,MATCH($D510,'卡片raw data'!$F:$F,)),0)+IF($P510=1,INDEX('卡片raw data'!AA:AA,MATCH($D510,'卡片raw data'!$F:$F,)),0)+IF($P510=2,INDEX('卡片raw data'!AD:AD,MATCH($D510,'卡片raw data'!$F:$F,)),0)+IF($P510=3,INDEX('卡片raw data'!AG:AG,MATCH($D510,'卡片raw data'!$F:$F,)),0)+IF($P510=4,INDEX('卡片raw data'!AJ:AJ,MATCH($D510,'卡片raw data'!$F:$F,)),0)+IF($P510=5,INDEX('卡片raw data'!AM:AM,MATCH($D510,'卡片raw data'!$F:$F,)),0)+INDEX('卡片raw data'!U:U,MATCH($D510,'卡片raw data'!$F:$F,))*(IF($F510="UR",0.04,0.033))*(IF($F510="UR",INDEX(绊状态确认!$S:$S,MATCH($G510,绊状态确认!$B:$B,))/2-40)+IF($F510="SR",INDEX(绊状态确认!$R:$R,MATCH($G510,绊状态确认!$B:$B,))/4-15))+IF($F510="R",INDEX(绊状态确认!$Q:$Q,MATCH($G510,绊状态确认!$B:$B,))/6-40/6)))*(INDEX(绊状态确认!$H:$H,MATCH($G510,绊状态确认!$B:$B,))+INDEX(绊状态确认!L:L,MATCH($G510,绊状态确认!$B:$B,)))</f>
        <v>9956.9640671999987</v>
      </c>
      <c r="AO510" s="430">
        <f t="shared" si="621"/>
        <v>1</v>
      </c>
      <c r="AP510" s="556">
        <f>1+(INDEX(绊状态确认!$T:$T,MATCH($G510,绊状态确认!$B:$B,))+0.2)*$AO510</f>
        <v>1.3</v>
      </c>
      <c r="AQ510" s="431">
        <f t="shared" si="622"/>
        <v>24527.5825654</v>
      </c>
      <c r="AR510" s="420">
        <f>(AM510*(1+$EX$9)+$EX$35)*(1+(INDEX(绊状态确认!$T:$T,MATCH($G510,绊状态确认!$B:$B,))+0.2)*AO510)*IF(J510=$FF$17,1+$FE$17,1)*IF(I510=$FF$14,1+$FE$14,1)</f>
        <v>9655.3887668679981</v>
      </c>
      <c r="AS510" s="420">
        <f>(AN510*(1+$EX$10)+$EX$36)*(1+(INDEX(绊状态确认!$T:$T,MATCH($G510,绊状态确认!$B:$B,))+0.2)*AO510)*IF(J510=$FF$17,1+$FE$17,1)*IF(I510=$FF$14,1+$FE$14,1)</f>
        <v>18941.661280463995</v>
      </c>
      <c r="AT510" s="412">
        <f>IF(AND(INDEX('卡片raw data'!AK:AK,MATCH($D510,'卡片raw data'!$F:$F,))&lt;INDEX('卡片raw data'!AM:AM,MATCH($D510,'卡片raw data'!$F:$F,)),INDEX('卡片raw data'!AL:AL,MATCH($D510,'卡片raw data'!$F:$F,))&lt;INDEX('卡片raw data'!AM:AM,MATCH($D510,'卡片raw data'!$F:$F,))),1,0)</f>
        <v>1</v>
      </c>
      <c r="AU510" s="421">
        <f>MIN(AT510*0.15+AS510*0.00003+INDEX(绊状态确认!M:M,MATCH($G510,绊状态确认!$B:$B,)),1)</f>
        <v>0.7482498384139199</v>
      </c>
      <c r="AV510" s="432">
        <f>(INDEX(绊状态确认!$N:$N,MATCH($G510,绊状态确认!$B:$B,))+1.5)*$EW$21</f>
        <v>2.6599999999999997</v>
      </c>
      <c r="AW510" s="424">
        <f t="shared" si="623"/>
        <v>28560.517240778488</v>
      </c>
      <c r="AX510" s="420">
        <f t="shared" si="624"/>
        <v>822.49305410159729</v>
      </c>
      <c r="AY510" s="433">
        <f t="shared" si="625"/>
        <v>29383.010294880085</v>
      </c>
      <c r="AZ510" s="429">
        <f t="shared" si="626"/>
        <v>18406.20419144</v>
      </c>
      <c r="BA510" s="431">
        <f t="shared" si="627"/>
        <v>22087.445029727998</v>
      </c>
      <c r="BB510" s="420">
        <f>(AM510*(1+$FB$9)+$FB$35)*(1+(INDEX(绊状态确认!$T:$T,MATCH($G510,绊状态确认!$B:$B,))+0.2)*AO510)*IF(J510=$FF$17,1+$FE$17,1)*IF(I510=$FF$14,1+$FE$14,1)*(1+$FE$15)</f>
        <v>9655.3887668679981</v>
      </c>
      <c r="BC510" s="420">
        <f>(AN510*(1+$FB$10)+$FB$36)*(1+(INDEX(绊状态确认!$T:$T,MATCH($G510,绊状态确认!$B:$B,))+0.2)*AO510)*IF(J510=$FF$17,1+$FE$17,1)*IF(I510=$FF$14,1+$FE$14,1)*(1+$FE$15)</f>
        <v>18941.661280463995</v>
      </c>
      <c r="BD510" s="427">
        <f>MIN(AT510*0.15+BC510*0.00003+INDEX(绊状态确认!M:M,MATCH($G510,绊状态确认!$B:$B,)),1)</f>
        <v>0.7482498384139199</v>
      </c>
      <c r="BE510" s="432">
        <f>(INDEX(绊状态确认!$N:$N,MATCH($G510,绊状态确认!$B:$B,))+1.5)</f>
        <v>1.9</v>
      </c>
      <c r="BF510" s="645">
        <f t="array" ref="BF510">SUMPRODUCT(IF(AZ510*AP510*$FI$16:$FI$23*$FA$22&gt;=$FI$24,$FI$24,AZ510*AP510*$FI$16:$FI$23*$FA$22),$FJ$16:$FJ$23)</f>
        <v>36609.940136774159</v>
      </c>
      <c r="BG510" s="453">
        <f t="array" ref="BG510">SUMPRODUCT(IF(BE510*AZ510*AP510*$FI$16:$FI$23*$FA$22&gt;=$FI$24,$FI$24,BE510*AZ510*AP510*$FI$16:$FI$23*$FA$22),$FJ$16:$FJ$23)</f>
        <v>59365.831088214196</v>
      </c>
      <c r="BH510" s="433">
        <f t="shared" si="628"/>
        <v>17879.010621384648</v>
      </c>
      <c r="BI510" s="434">
        <f>IF(O510="vo",$EW$26/$EW$24*0.05,0)+IF(O510="sk",-$EW$26/$EW$24*(0.05-INDEX(绊状态确认!W:W,MATCH($G510,绊状态确认!$B:$B,)))+0.05*$EW$28,0)+IF(O510="sp",0.05*$EW$32*$EW$30*(1-$EW$33)-(0.05-INDEX(绊状态确认!V:V,MATCH($G510,绊状态确认!$B:$B,)))*$EW$28,0)+IF(O510="gd",-(0.05-INDEX(绊状态确认!X:X,MATCH($G510,绊状态确认!$B:$B,)))*$EW$32*$EW$30*(1-$EW$33),0)</f>
        <v>-6253.6726349699375</v>
      </c>
      <c r="BJ510" s="420">
        <f>IF(O510="vo",0.05*(1-$FI$26)*$FA$24,0)+IF(O510="sk",-(0.05-INDEX(绊状态确认!W:W,MATCH($G510,绊状态确认!$B:$B,)))*(1-$FI$26)*$FA$24+0.05*$FA$26,0)+IF(O510="sp",0.05*$FA$32*$FA$27*(1-$FA$33)/$FA$30+0.05*$FA$29/$FA$69*$FA$27*(1-$FA$33)-(0.05-INDEX(绊状态确认!V:V,MATCH($G510,绊状态确认!$B:$B,)))*$FA$26,0)+IF(O510="gd",-(0.05-INDEX(绊状态确认!X:X,MATCH($G510,绊状态确认!$B:$B,)))*$FA$32*$FA$27*(1-$FA$33)/$FA$30-(0.05-INDEX(绊状态确认!X:X,MATCH($G510,绊状态确认!$B:$B,)))*$FA$29/$FA$69*$FA$27*(1-$FA$33),0)</f>
        <v>20.459096812499922</v>
      </c>
      <c r="BK510" s="433">
        <f>IF(O510="vo",$EW$26/$EW$24*0.05+$EW$26*(-HP($EW$62,$EW$65,$EW$64)+HP($EW$62,$EW$65,(1.05-INDEX(绊状态确认!U:U,MATCH($G510,绊状态确认!$B:$B,)))*$EW$64)),0)+IF(O510="sk",-$EW$26/$EW$24*(0.05-INDEX(绊状态确认!W:W,MATCH($G510,绊状态确认!$B:$B,)))+0.05*$EW$29,0)+IF(O510="sp",0.05*$EW$32*$EW$30*(1-$EW$33)-(0.05-INDEX(绊状态确认!V:V,MATCH($G510,绊状态确认!$B:$B,)))*$EW$29,0)+IF(O510="gd",-(0.05-INDEX(绊状态确认!X:X,MATCH($G510,绊状态确认!$B:$B,)))*$EW$32*$EW$30*(1-$EW$33)+$EW$26*(-HP($EW$62,$EW$65,$EW$64)+HP($EW$62,$EW$65,0.95*$EW$64)),0)</f>
        <v>-4253.6726349699375</v>
      </c>
      <c r="BL510" s="434">
        <f t="shared" si="629"/>
        <v>-1083.3333333333333</v>
      </c>
      <c r="BM510" s="433">
        <f t="shared" si="630"/>
        <v>-830.55555555555543</v>
      </c>
      <c r="BN510" s="437">
        <f t="shared" si="631"/>
        <v>3</v>
      </c>
      <c r="BO510" s="1108">
        <f t="shared" si="632"/>
        <v>4507.7214871259994</v>
      </c>
      <c r="BP510" s="1100">
        <f t="shared" si="633"/>
        <v>221.34103209030098</v>
      </c>
      <c r="BQ510" s="437" t="s">
        <v>132</v>
      </c>
      <c r="BR510" s="450" t="s">
        <v>166</v>
      </c>
      <c r="BS510" s="421">
        <f>IF($P510="","N/A",IF($P510=-1,INDEX('卡片raw data'!AX:AX,MATCH($D510,'卡片raw data'!$F:$F,)),0)+IF($L510="party卡",IF($P510=5,INDEX('卡片raw data'!BD:BD,MATCH($D510,'卡片raw data'!$F:$F,)),IF($P510&gt;=3,INDEX('卡片raw data'!BC:BC,MATCH($D510,'卡片raw data'!$F:$F,)),INDEX('卡片raw data'!BB:BB,MATCH($D510,'卡片raw data'!$F:$F,)))),IF(OR(AND($F510="UR",$P510=0),AND($F510="SR",$P510&gt;=0,$P510&lt;=2),AND($F510="R",$P510&gt;=0,$P510&lt;4)),INDEX('卡片raw data'!AZ:AZ,MATCH($D510,'卡片raw data'!$F:$F,)),0)+IF(OR(AND($F510="UR",$P510&gt;=1,$P510&lt;=4),AND($F510="SR",$P510&lt;=4,$P510&gt;=3),AND($F510="R",$P510=4)),INDEX('卡片raw data'!BA:BA,MATCH($D510,'卡片raw data'!$F:$F,)),0)+IF($P510=5,INDEX('卡片raw data'!BB:BB,MATCH($D510,'卡片raw data'!$F:$F,)),0)))</f>
        <v>7.0000000000000007E-2</v>
      </c>
      <c r="BT510" s="424">
        <f t="shared" si="634"/>
        <v>883.64031242187593</v>
      </c>
      <c r="BU510" s="420">
        <f t="shared" si="635"/>
        <v>26.370045765988728</v>
      </c>
      <c r="BV510" s="420">
        <f t="shared" si="636"/>
        <v>0</v>
      </c>
      <c r="BW510" s="436">
        <f t="shared" si="637"/>
        <v>0</v>
      </c>
      <c r="BX510" s="423">
        <f t="shared" si="638"/>
        <v>883.64031242187593</v>
      </c>
      <c r="BY510" s="433">
        <f t="shared" si="639"/>
        <v>0</v>
      </c>
      <c r="BZ510" s="1113" t="s">
        <v>569</v>
      </c>
      <c r="CA510" s="450"/>
      <c r="CB510" s="421">
        <f>IF($P510="","N/A",IF($P510=-1,INDEX('卡片raw data'!BE:BE,MATCH($D510,'卡片raw data'!$F:$F,)),0)+IF($L510="party卡",IF($P510=5,INDEX('卡片raw data'!BK:BK,MATCH($D510,'卡片raw data'!$F:$F,)),IF($P510&gt;=3,INDEX('卡片raw data'!BJ:BJ,MATCH($D510,'卡片raw data'!$F:$F,)),INDEX('卡片raw data'!BI:BI,MATCH($D510,'卡片raw data'!$F:$F,)))),IF(OR(AND($F510="UR",$P510=0),AND($F510="SR",$P510&gt;=0,$P510&lt;=2),AND($F510="R",$P510&gt;=0,$P510&lt;4)),INDEX('卡片raw data'!BG:BG,MATCH($D510,'卡片raw data'!$F:$F,)),0)+IF(OR(AND($F510="UR",$P510&gt;=1,$P510&lt;=4),AND($F510="SR",$P510&lt;=4,$P510&gt;=3),AND($F510="R",$P510=4)),INDEX('卡片raw data'!BH:BH,MATCH($D510,'卡片raw data'!$F:$F,)),0)+IF($P510=5,INDEX('卡片raw data'!BI:BI,MATCH($D510,'卡片raw data'!$F:$F,)),0)))</f>
        <v>0</v>
      </c>
      <c r="CC510" s="424">
        <f t="shared" si="640"/>
        <v>0</v>
      </c>
      <c r="CD510" s="420">
        <f>IF(BZ510="ap",CB510*(1-$FI$26)*$FB$5/$FB$11*(+IF(CA510="全员",$FA$24,0)+IF(CA510="同作战",$FA$24,0)+IF(CA510="仲间",$FA$24*2/3,0)+IF(CA510="同属性",$FA$24*$FA$37/3,0)+IF(CA510="同年级",$FA$24*$FA$40/3,0)+IF(CA510="同学校",$FA$24*$FA$43/3,0)+IF(CA510="同小队",$FA$24*$FA$46/3,0)+IF(CA510="同type",$FA$24*INDEX($FB$49:$FB$52,MATCH(X510,$FA$49:$FA$52,))/3,0)+IF(CA510="自身",#REF!/3,0)),0)+IF(BZ510="te",CB510*(1-$FI$27)*($FA$20-1)*$FB$7/$FB$13*(+IF(CA510="全员",$FA$19*$FA$24/(1+($FA$20-1)*$FA$19),0)+IF(CA510="同作战",$FA$19*$FA$24/(1+($FA$20-1)*$FA$19),0)+IF(CA510="仲间",$FA$19*$FA$24*2/3/(1+($FA$20-1)*$FA$19),0)+IF(CA510="同属性",$FA$19*$FA$24*$FA$37/3/(1+($FA$20-1)*$FA$19),0)+IF(CA510="同年级",$FA$19*$FA$24*$FA$40/3/(1+($FA$20-1)*$FA$19),0)+IF(CA510="同学校",$FA$19*$FA$24*$FA$43/3/(1+($FA$20-1)*$FA$19),0)+IF(CA510="同小队",$FA$19*$FA$24*$FA$46/3/(1+($FA$20-1)*$FA$19),0)+IF(CA510="同type",$FA$19*$FA$24*INDEX($FB$49:$FB$52,MATCH(X510,$FA$49:$FA$52,))/3/(1+($FA$20-1)*$FA$19),0)+IF(CA510="自身",$FA$19*#REF!/3/(1+(BH510-1)*$BD510),0)),0)</f>
        <v>0</v>
      </c>
      <c r="CE510" s="420">
        <f t="shared" si="641"/>
        <v>0</v>
      </c>
      <c r="CF510" s="436">
        <f t="shared" si="642"/>
        <v>0</v>
      </c>
      <c r="CG510" s="423">
        <f t="shared" si="643"/>
        <v>0</v>
      </c>
      <c r="CH510" s="433">
        <f t="shared" si="644"/>
        <v>0</v>
      </c>
      <c r="CI510" s="437" t="s">
        <v>165</v>
      </c>
      <c r="CJ510" s="438">
        <v>0.3</v>
      </c>
      <c r="CK510" s="439" t="s">
        <v>551</v>
      </c>
      <c r="CL510" s="439" t="s">
        <v>161</v>
      </c>
      <c r="CM510" s="443">
        <v>0.03</v>
      </c>
      <c r="CN510" s="439" t="s">
        <v>163</v>
      </c>
      <c r="CO510" s="1115"/>
      <c r="CP510" s="1118">
        <f t="shared" si="645"/>
        <v>8.9999999999999993E-3</v>
      </c>
      <c r="CQ510" s="1118">
        <f t="shared" si="646"/>
        <v>8.9999999999999993E-3</v>
      </c>
      <c r="CR510" s="1118">
        <f t="shared" si="647"/>
        <v>8.9999999999999993E-3</v>
      </c>
      <c r="CS510" s="442">
        <f t="shared" si="648"/>
        <v>0</v>
      </c>
      <c r="CT510" s="432">
        <f t="shared" si="649"/>
        <v>0</v>
      </c>
      <c r="CU510" s="1101">
        <f t="shared" si="650"/>
        <v>539.33504053893762</v>
      </c>
      <c r="CV510" s="1108">
        <f t="shared" si="685"/>
        <v>0</v>
      </c>
      <c r="CW510" s="1097">
        <f t="shared" si="651"/>
        <v>539.33504053893762</v>
      </c>
      <c r="CX510" s="1097">
        <f t="shared" si="652"/>
        <v>539.33504053893762</v>
      </c>
      <c r="CY510" s="1110">
        <f t="shared" si="653"/>
        <v>539.33504053893762</v>
      </c>
      <c r="CZ510" s="437"/>
      <c r="DA510" s="438"/>
      <c r="DB510" s="439" t="s">
        <v>569</v>
      </c>
      <c r="DC510" s="439"/>
      <c r="DD510" s="443"/>
      <c r="DE510" s="411"/>
      <c r="DF510" s="411"/>
      <c r="DG510" s="1116">
        <f t="shared" si="654"/>
        <v>0</v>
      </c>
      <c r="DH510" s="1116">
        <f t="shared" si="655"/>
        <v>0</v>
      </c>
      <c r="DI510" s="1116">
        <f t="shared" si="656"/>
        <v>0</v>
      </c>
      <c r="DJ510" s="442">
        <f t="shared" si="657"/>
        <v>0</v>
      </c>
      <c r="DK510" s="432">
        <f t="shared" si="658"/>
        <v>0</v>
      </c>
      <c r="DL510" s="424">
        <f t="shared" si="659"/>
        <v>0</v>
      </c>
      <c r="DM510" s="420">
        <f t="shared" si="660"/>
        <v>0</v>
      </c>
      <c r="DN510" s="420">
        <f t="shared" si="661"/>
        <v>0</v>
      </c>
      <c r="DO510" s="420">
        <f t="shared" si="662"/>
        <v>0</v>
      </c>
      <c r="DP510" s="433">
        <f t="shared" si="663"/>
        <v>0</v>
      </c>
      <c r="DQ510" s="437" t="s">
        <v>551</v>
      </c>
      <c r="DR510" s="1120">
        <f t="shared" si="664"/>
        <v>0.3</v>
      </c>
      <c r="DS510" s="450">
        <v>10</v>
      </c>
      <c r="DT510" s="1124" t="s">
        <v>2127</v>
      </c>
      <c r="DU510" s="1093" t="s">
        <v>2145</v>
      </c>
      <c r="DV510" s="1098">
        <f>IF($P510="","N/A",IF(P510=-1,INDEX('卡片raw data'!AN:AN,MATCH(D510,'卡片raw data'!$F:$F,)),0)+IF(AND(L510&lt;&gt;"party卡",P510&lt;=2,P510&gt;=0),INDEX('卡片raw data'!AP:AP,MATCH(D510,'卡片raw data'!$F:$F,)),0)+IF(OR(AND(L510="party卡",P510&lt;=1),AND(P510&lt;=4,L510&lt;&gt;"party卡",P510&gt;=3)),INDEX('卡片raw data'!AQ:AQ,MATCH(D510,'卡片raw data'!$F:$F,)),0)+IF(OR(P510=5,AND(L510="party卡",P510&gt;=2)),INDEX('卡片raw data'!AR:AR,MATCH(D510,'卡片raw data'!$F:$F,)),0))</f>
        <v>7.0000000000000007E-2</v>
      </c>
      <c r="DW510" s="1098">
        <f t="shared" si="665"/>
        <v>0.3</v>
      </c>
      <c r="DX510" s="1098">
        <f t="shared" si="666"/>
        <v>0.3</v>
      </c>
      <c r="DY510" s="1098">
        <f t="shared" si="667"/>
        <v>7.0000000000000007E-2</v>
      </c>
      <c r="DZ510" s="1098">
        <f t="shared" si="668"/>
        <v>6.0550000000000007E-2</v>
      </c>
      <c r="EA510" s="421">
        <f t="shared" si="669"/>
        <v>0</v>
      </c>
      <c r="EB510" s="445">
        <f t="shared" si="670"/>
        <v>0</v>
      </c>
      <c r="EC510" s="424">
        <f t="shared" si="671"/>
        <v>4194.8280930806259</v>
      </c>
      <c r="ED510" s="420">
        <f t="shared" si="672"/>
        <v>0</v>
      </c>
      <c r="EE510" s="433">
        <f t="shared" si="683"/>
        <v>4194.8280930806259</v>
      </c>
      <c r="EF510" s="1113" t="s">
        <v>569</v>
      </c>
      <c r="EG510" s="1120">
        <f t="shared" si="673"/>
        <v>0.3</v>
      </c>
      <c r="EH510" s="450"/>
      <c r="EI510" s="1124"/>
      <c r="EJ510" s="1124"/>
      <c r="EK510" s="1097">
        <f>IF($P510="","N/A",IF(P510=-1,INDEX('卡片raw data'!AS:AS,MATCH(D510,'卡片raw data'!$F:$F,)),0)+IF(AND(L510&lt;&gt;"party卡",P510&lt;=2,P510&gt;=0),INDEX('卡片raw data'!AU:AU,MATCH(D510,'卡片raw data'!$F:$F,)),0)+IF(OR(AND(L510="party卡",P510&lt;=1),AND(P510&lt;=4,L510&lt;&gt;"party卡",P510&gt;=3)),INDEX('卡片raw data'!AV:AV,MATCH(D510,'卡片raw data'!$F:$F,)),0)+IF(OR(P510=5,AND(L510="party卡",P510&gt;=2)),INDEX('卡片raw data'!AW:AW,MATCH(D510,'卡片raw data'!$F:$F,)),0))</f>
        <v>0</v>
      </c>
      <c r="EL510" s="1098">
        <f t="shared" si="674"/>
        <v>0.3</v>
      </c>
      <c r="EM510" s="1098">
        <f t="shared" si="675"/>
        <v>0.3</v>
      </c>
      <c r="EN510" s="1097">
        <f t="shared" si="676"/>
        <v>0</v>
      </c>
      <c r="EO510" s="1097">
        <f t="shared" si="677"/>
        <v>0</v>
      </c>
      <c r="EP510" s="421">
        <f t="shared" si="678"/>
        <v>0</v>
      </c>
      <c r="EQ510" s="445">
        <f t="shared" si="679"/>
        <v>0</v>
      </c>
      <c r="ER510" s="424">
        <f t="shared" si="680"/>
        <v>0</v>
      </c>
      <c r="ES510" s="420">
        <f t="shared" si="681"/>
        <v>0</v>
      </c>
      <c r="ET510" s="446">
        <f t="shared" si="684"/>
        <v>0</v>
      </c>
    </row>
    <row r="511" spans="2:150" ht="16.5" customHeight="1">
      <c r="B511" s="448" t="str">
        <f>INDEX('卡片raw data'!B:B,MATCH($D511,'卡片raw data'!$F:$F,))</f>
        <v>泳池南</v>
      </c>
      <c r="C511" s="449" t="s">
        <v>4257</v>
      </c>
      <c r="D511" s="408">
        <v>508</v>
      </c>
      <c r="E511" s="477">
        <v>401033005</v>
      </c>
      <c r="F511" s="409" t="str">
        <f>INDEX('卡片raw data'!C:C,MATCH($D511,'卡片raw data'!$F:$F,))</f>
        <v>UR</v>
      </c>
      <c r="G511" s="1094" t="s">
        <v>4259</v>
      </c>
      <c r="H511" s="411">
        <f>IFERROR(INDEX(绊状态确认!C:C,MATCH($G511,绊状态确认!$B:$B,)),"")</f>
        <v>103</v>
      </c>
      <c r="I511" s="450" t="str">
        <f>IFERROR(INDEX(绊状态确认!D:D,MATCH($G511,绊状态确认!$B:$B,)),"")</f>
        <v>水</v>
      </c>
      <c r="J511" s="450" t="str">
        <f>IFERROR(INDEX(绊状态确认!E:E,MATCH($G511,绊状态确认!$B:$B,)),"")</f>
        <v>3年级</v>
      </c>
      <c r="K511" s="451" t="str">
        <f>IFERROR(INDEX(绊状态确认!F:F,MATCH($G511,绊状态确认!$B:$B,)),"")</f>
        <v>AZALEA</v>
      </c>
      <c r="L511" s="414" t="str">
        <f>INDEX('卡片raw data'!E:E,MATCH($D511,'卡片raw data'!$F:$F,))</f>
        <v>卡池卡</v>
      </c>
      <c r="M511" s="478">
        <v>44412</v>
      </c>
      <c r="N511" s="479">
        <v>45</v>
      </c>
      <c r="O511" s="410" t="str">
        <f>INDEX('卡片raw data'!D:D,MATCH($D511,'卡片raw data'!$F:$F,))</f>
        <v>vo</v>
      </c>
      <c r="P511" s="1126">
        <v>5</v>
      </c>
      <c r="Q511" s="418">
        <f t="shared" si="600"/>
        <v>67820.56421907706</v>
      </c>
      <c r="R511" s="419">
        <f t="shared" si="601"/>
        <v>0.78800000000000003</v>
      </c>
      <c r="S511" s="420">
        <f t="shared" si="602"/>
        <v>21443.585426254122</v>
      </c>
      <c r="T511" s="421">
        <f t="shared" si="603"/>
        <v>1.0720000000000001</v>
      </c>
      <c r="U511" s="422">
        <f t="shared" si="604"/>
        <v>-7.7226981288571466</v>
      </c>
      <c r="V511" s="423">
        <f t="shared" si="605"/>
        <v>67909.269416504554</v>
      </c>
      <c r="W511" s="424">
        <f t="shared" si="606"/>
        <v>5816.3727942069099</v>
      </c>
      <c r="X511" s="419">
        <f t="shared" si="607"/>
        <v>6.7000000000000004E-2</v>
      </c>
      <c r="Y511" s="420">
        <f t="shared" si="608"/>
        <v>1393.3736476692002</v>
      </c>
      <c r="Z511" s="425">
        <f t="shared" si="609"/>
        <v>17.277301871142853</v>
      </c>
      <c r="AA511" s="426">
        <f t="shared" si="610"/>
        <v>7209.7464418761101</v>
      </c>
      <c r="AB511" s="424">
        <f t="shared" si="611"/>
        <v>7125.0241012878214</v>
      </c>
      <c r="AC511" s="427">
        <f t="shared" si="612"/>
        <v>8.2000000000000003E-2</v>
      </c>
      <c r="AD511" s="428">
        <f t="shared" si="613"/>
        <v>-2.8019062499999997E-2</v>
      </c>
      <c r="AE511" s="516">
        <f t="shared" si="614"/>
        <v>-13.630434782608695</v>
      </c>
      <c r="AF511" s="1130">
        <f t="shared" si="615"/>
        <v>0</v>
      </c>
      <c r="AG511" s="420">
        <f t="shared" si="616"/>
        <v>0</v>
      </c>
      <c r="AH511" s="420">
        <f t="shared" si="617"/>
        <v>0</v>
      </c>
      <c r="AI511" s="1097">
        <f t="shared" si="618"/>
        <v>0</v>
      </c>
      <c r="AJ511" s="420">
        <f t="shared" si="619"/>
        <v>0</v>
      </c>
      <c r="AK511" s="518">
        <f t="shared" si="620"/>
        <v>0</v>
      </c>
      <c r="AL511" s="429">
        <f>IF($P511="","N/A",(IF($P511=-1,INDEX('卡片raw data'!S:S,MATCH($D511,'卡片raw data'!$F:$F,)),0)+IF($P511=0,INDEX('卡片raw data'!V:V,MATCH($D511,'卡片raw data'!$F:$F,)),0)+IF($P511=1,INDEX('卡片raw data'!Y:Y,MATCH($D511,'卡片raw data'!$F:$F,)),0)+IF($P511=2,INDEX('卡片raw data'!AB:AB,MATCH($D511,'卡片raw data'!$F:$F,)),0)+IF($P511=3,INDEX('卡片raw data'!AE:AE,MATCH($D511,'卡片raw data'!$F:$F,)),0)+IF($P511=4,INDEX('卡片raw data'!AH:AH,MATCH($D511,'卡片raw data'!$F:$F,)),0)+IF($P511=5,INDEX('卡片raw data'!AK:AK,MATCH($D511,'卡片raw data'!$F:$F,)),0)+INDEX('卡片raw data'!S:S,MATCH($D511,'卡片raw data'!$F:$F,))*(IF($F511="UR",0.04,0.033))*(IF($F511="UR",INDEX(绊状态确认!$S:$S,MATCH($G511,绊状态确认!$B:$B,))/2-40)+IF($F511="SR",INDEX(绊状态确认!$R:$R,MATCH($G511,绊状态确认!$B:$B,))/4-15))+IF($F511="R",INDEX(绊状态确认!$Q:$Q,MATCH($G511,绊状态确认!$B:$B,))/6-40/6)))*(INDEX(绊状态确认!$H:$H,MATCH($G511,绊状态确认!$B:$B,))+INDEX(绊状态确认!J:J,MATCH($G511,绊状态确认!$B:$B,)))</f>
        <v>16262.111279999999</v>
      </c>
      <c r="AM511" s="429">
        <f>IF($P511="","N/A",(IF($P511=-1,INDEX('卡片raw data'!T:T,MATCH($D511,'卡片raw data'!$F:$F,)),0)+IF($P511=0,INDEX('卡片raw data'!W:W,MATCH($D511,'卡片raw data'!$F:$F,)),0)+IF($P511=1,INDEX('卡片raw data'!Z:Z,MATCH($D511,'卡片raw data'!$F:$F,)),0)+IF($P511=2,INDEX('卡片raw data'!AC:AC,MATCH($D511,'卡片raw data'!$F:$F,)),0)+IF($P511=3,INDEX('卡片raw data'!AF:AF,MATCH($D511,'卡片raw data'!$F:$F,)),0)+IF($P511=4,INDEX('卡片raw data'!AI:AI,MATCH($D511,'卡片raw data'!$F:$F,)),0)+IF($P511=5,INDEX('卡片raw data'!AL:AL,MATCH($D511,'卡片raw data'!$F:$F,)),0)+INDEX('卡片raw data'!T:T,MATCH($D511,'卡片raw data'!$F:$F,))*(IF($F511="UR",0.04,0.033))*(IF($F511="UR",INDEX(绊状态确认!$S:$S,MATCH($G511,绊状态确认!$B:$B,))/2-40)+IF($F511="SR",INDEX(绊状态确认!$R:$R,MATCH($G511,绊状态确认!$B:$B,))/4-15))+IF($F511="R",INDEX(绊状态确认!$Q:$Q,MATCH($G511,绊状态确认!$B:$B,))/6-40/6)))*(INDEX(绊状态确认!$H:$H,MATCH($G511,绊状态确认!$B:$B,))+INDEX(绊状态确认!K:K,MATCH($G511,绊状态确认!$B:$B,)))</f>
        <v>9832.5873599999977</v>
      </c>
      <c r="AN511" s="429">
        <f>IF($P511="","N/A",(IF($P511=-1,INDEX('卡片raw data'!U:U,MATCH($D511,'卡片raw data'!$F:$F,)),0)+IF($P511=0,INDEX('卡片raw data'!X:X,MATCH($D511,'卡片raw data'!$F:$F,)),0)+IF($P511=1,INDEX('卡片raw data'!AA:AA,MATCH($D511,'卡片raw data'!$F:$F,)),0)+IF($P511=2,INDEX('卡片raw data'!AD:AD,MATCH($D511,'卡片raw data'!$F:$F,)),0)+IF($P511=3,INDEX('卡片raw data'!AG:AG,MATCH($D511,'卡片raw data'!$F:$F,)),0)+IF($P511=4,INDEX('卡片raw data'!AJ:AJ,MATCH($D511,'卡片raw data'!$F:$F,)),0)+IF($P511=5,INDEX('卡片raw data'!AM:AM,MATCH($D511,'卡片raw data'!$F:$F,)),0)+INDEX('卡片raw data'!U:U,MATCH($D511,'卡片raw data'!$F:$F,))*(IF($F511="UR",0.04,0.033))*(IF($F511="UR",INDEX(绊状态确认!$S:$S,MATCH($G511,绊状态确认!$B:$B,))/2-40)+IF($F511="SR",INDEX(绊状态确认!$R:$R,MATCH($G511,绊状态确认!$B:$B,))/4-15))+IF($F511="R",INDEX(绊状态确认!$Q:$Q,MATCH($G511,绊状态确认!$B:$B,))/6-40/6)))*(INDEX(绊状态确认!$H:$H,MATCH($G511,绊状态确认!$B:$B,))+INDEX(绊状态确认!L:L,MATCH($G511,绊状态确认!$B:$B,)))</f>
        <v>11723.556959999998</v>
      </c>
      <c r="AO511" s="430">
        <f t="shared" si="621"/>
        <v>1</v>
      </c>
      <c r="AP511" s="556">
        <f>1+(INDEX(绊状态确认!$T:$T,MATCH($G511,绊状态确认!$B:$B,))+0.2)*$AO511</f>
        <v>1.3</v>
      </c>
      <c r="AQ511" s="431">
        <f t="shared" si="622"/>
        <v>45938.042109999995</v>
      </c>
      <c r="AR511" s="420">
        <f>(AM511*(1+$EX$9)+$EX$35)*(1+(INDEX(绊状态确认!$T:$T,MATCH($G511,绊状态确认!$B:$B,))+0.2)*AO511)*IF(J511=$FF$17,1+$FE$17,1)*IF(I511=$FF$14,1+$FE$14,1)</f>
        <v>16125.481746399997</v>
      </c>
      <c r="AS511" s="420">
        <f>(AN511*(1+$EX$10)+$EX$36)*(1+(INDEX(绊状态确认!$T:$T,MATCH($G511,绊状态确认!$B:$B,))+0.2)*AO511)*IF(J511=$FF$17,1+$FE$17,1)*IF(I511=$FF$14,1+$FE$14,1)</f>
        <v>21582.717655199995</v>
      </c>
      <c r="AT511" s="412">
        <f>IF(AND(INDEX('卡片raw data'!AK:AK,MATCH($D511,'卡片raw data'!$F:$F,))&lt;INDEX('卡片raw data'!AM:AM,MATCH($D511,'卡片raw data'!$F:$F,)),INDEX('卡片raw data'!AL:AL,MATCH($D511,'卡片raw data'!$F:$F,))&lt;INDEX('卡片raw data'!AM:AM,MATCH($D511,'卡片raw data'!$F:$F,))),1,0)</f>
        <v>0</v>
      </c>
      <c r="AU511" s="421">
        <f>MIN(AT511*0.15+AS511*0.00003+INDEX(绊状态确认!M:M,MATCH($G511,绊状态确认!$B:$B,)),1)</f>
        <v>0.67748152965599984</v>
      </c>
      <c r="AV511" s="432">
        <f>(INDEX(绊状态确认!$N:$N,MATCH($G511,绊状态确认!$B:$B,))+1.5)*$EW$21</f>
        <v>2.6599999999999997</v>
      </c>
      <c r="AW511" s="424">
        <f t="shared" si="623"/>
        <v>50688.679289010361</v>
      </c>
      <c r="AX511" s="420">
        <f t="shared" si="624"/>
        <v>1393.3736476692</v>
      </c>
      <c r="AY511" s="433">
        <f t="shared" si="625"/>
        <v>52082.05293667956</v>
      </c>
      <c r="AZ511" s="429">
        <f t="shared" si="626"/>
        <v>34311.116995999997</v>
      </c>
      <c r="BA511" s="431">
        <f t="shared" si="627"/>
        <v>41173.340395199994</v>
      </c>
      <c r="BB511" s="420">
        <f>(AM511*(1+$FB$9)+$FB$35)*(1+(INDEX(绊状态确认!$T:$T,MATCH($G511,绊状态确认!$B:$B,))+0.2)*AO511)*IF(J511=$FF$17,1+$FE$17,1)*IF(I511=$FF$14,1+$FE$14,1)*(1+$FE$15)</f>
        <v>16125.481746399997</v>
      </c>
      <c r="BC511" s="420">
        <f>(AN511*(1+$FB$10)+$FB$36)*(1+(INDEX(绊状态确认!$T:$T,MATCH($G511,绊状态确认!$B:$B,))+0.2)*AO511)*IF(J511=$FF$17,1+$FE$17,1)*IF(I511=$FF$14,1+$FE$14,1)*(1+$FE$15)</f>
        <v>21582.717655199995</v>
      </c>
      <c r="BD511" s="427">
        <f>MIN(AT511*0.15+BC511*0.00003+INDEX(绊状态确认!M:M,MATCH($G511,绊状态确认!$B:$B,)),1)</f>
        <v>0.67748152965599984</v>
      </c>
      <c r="BE511" s="432">
        <f>(INDEX(绊状态确认!$N:$N,MATCH($G511,绊状态确认!$B:$B,))+1.5)</f>
        <v>1.9</v>
      </c>
      <c r="BF511" s="645">
        <f t="array" ref="BF511">SUMPRODUCT(IF(AZ511*AP511*$FI$16:$FI$23*$FA$22&gt;=$FI$24,$FI$24,AZ511*AP511*$FI$16:$FI$23*$FA$22),$FJ$16:$FJ$23)</f>
        <v>59151.113023700003</v>
      </c>
      <c r="BG511" s="453">
        <f t="array" ref="BG511">SUMPRODUCT(IF(BE511*AZ511*AP511*$FI$16:$FI$23*$FA$22&gt;=$FI$24,$FI$24,BE511*AZ511*AP511*$FI$16:$FI$23*$FA$22),$FJ$16:$FJ$23)</f>
        <v>60000</v>
      </c>
      <c r="BH511" s="433">
        <f t="shared" si="628"/>
        <v>19908.73942363626</v>
      </c>
      <c r="BI511" s="434">
        <f>IF(O511="vo",$EW$26/$EW$24*0.05,0)+IF(O511="sk",-$EW$26/$EW$24*(0.05-INDEX(绊状态确认!W:W,MATCH($G511,绊状态确认!$B:$B,)))+0.05*$EW$28,0)+IF(O511="sp",0.05*$EW$32*$EW$30*(1-$EW$33)-(0.05-INDEX(绊状态确认!V:V,MATCH($G511,绊状态确认!$B:$B,)))*$EW$28,0)+IF(O511="gd",-(0.05-INDEX(绊状态确认!X:X,MATCH($G511,绊状态确认!$B:$B,)))*$EW$32*$EW$30*(1-$EW$33),0)</f>
        <v>7726.3029277443748</v>
      </c>
      <c r="BJ511" s="420">
        <f>IF(O511="vo",0.05*(1-$FI$26)*$FA$24,0)+IF(O511="sk",-(0.05-INDEX(绊状态确认!W:W,MATCH($G511,绊状态确认!$B:$B,)))*(1-$FI$26)*$FA$24+0.05*$FA$26,0)+IF(O511="sp",0.05*$FA$32*$FA$27*(1-$FA$33)/$FA$30+0.05*$FA$29/$FA$69*$FA$27*(1-$FA$33)-(0.05-INDEX(绊状态确认!V:V,MATCH($G511,绊状态确认!$B:$B,)))*$FA$26,0)+IF(O511="gd",-(0.05-INDEX(绊状态确认!X:X,MATCH($G511,绊状态确认!$B:$B,)))*$FA$32*$FA$27*(1-$FA$33)/$FA$30-(0.05-INDEX(绊状态确认!X:X,MATCH($G511,绊状态确认!$B:$B,)))*$FA$29/$FA$69*$FA$27*(1-$FA$33),0)</f>
        <v>393.93433687500004</v>
      </c>
      <c r="BK511" s="433">
        <f>IF(O511="vo",$EW$26/$EW$24*0.05+$EW$26*(-HP($EW$62,$EW$65,$EW$64)+HP($EW$62,$EW$65,(1.05-INDEX(绊状态确认!U:U,MATCH($G511,绊状态确认!$B:$B,)))*$EW$64)),0)+IF(O511="sk",-$EW$26/$EW$24*(0.05-INDEX(绊状态确认!W:W,MATCH($G511,绊状态确认!$B:$B,)))+0.05*$EW$29,0)+IF(O511="sp",0.05*$EW$32*$EW$30*(1-$EW$33)-(0.05-INDEX(绊状态确认!V:V,MATCH($G511,绊状态确认!$B:$B,)))*$EW$29,0)+IF(O511="gd",-(0.05-INDEX(绊状态确认!X:X,MATCH($G511,绊状态确认!$B:$B,)))*$EW$32*$EW$30*(1-$EW$33)+$EW$26*(-HP($EW$62,$EW$65,$EW$64)+HP($EW$62,$EW$65,0.95*$EW$64)),0)</f>
        <v>6421.6344775026746</v>
      </c>
      <c r="BL511" s="434">
        <f t="shared" si="629"/>
        <v>0</v>
      </c>
      <c r="BM511" s="433">
        <f t="shared" si="630"/>
        <v>0</v>
      </c>
      <c r="BN511" s="437">
        <f t="shared" si="631"/>
        <v>3</v>
      </c>
      <c r="BO511" s="1108">
        <f t="shared" si="632"/>
        <v>4507.7214871259994</v>
      </c>
      <c r="BP511" s="1100">
        <f t="shared" si="633"/>
        <v>221.34103209030098</v>
      </c>
      <c r="BQ511" s="437" t="s">
        <v>132</v>
      </c>
      <c r="BR511" s="450" t="s">
        <v>171</v>
      </c>
      <c r="BS511" s="421">
        <f>IF($P511="","N/A",IF($P511=-1,INDEX('卡片raw data'!AX:AX,MATCH($D511,'卡片raw data'!$F:$F,)),0)+IF($L511="party卡",IF($P511=5,INDEX('卡片raw data'!BD:BD,MATCH($D511,'卡片raw data'!$F:$F,)),IF($P511&gt;=3,INDEX('卡片raw data'!BC:BC,MATCH($D511,'卡片raw data'!$F:$F,)),INDEX('卡片raw data'!BB:BB,MATCH($D511,'卡片raw data'!$F:$F,)))),IF(OR(AND($F511="UR",$P511=0),AND($F511="SR",$P511&gt;=0,$P511&lt;=2),AND($F511="R",$P511&gt;=0,$P511&lt;4)),INDEX('卡片raw data'!AZ:AZ,MATCH($D511,'卡片raw data'!$F:$F,)),0)+IF(OR(AND($F511="UR",$P511&gt;=1,$P511&lt;=4),AND($F511="SR",$P511&lt;=4,$P511&gt;=3),AND($F511="R",$P511=4)),INDEX('卡片raw data'!BA:BA,MATCH($D511,'卡片raw data'!$F:$F,)),0)+IF($P511=5,INDEX('卡片raw data'!BB:BB,MATCH($D511,'卡片raw data'!$F:$F,)),0)))</f>
        <v>5.1999999999999998E-2</v>
      </c>
      <c r="BT511" s="424">
        <f t="shared" si="634"/>
        <v>2604.4613036728001</v>
      </c>
      <c r="BU511" s="420">
        <f t="shared" si="635"/>
        <v>111.90018844565216</v>
      </c>
      <c r="BV511" s="420">
        <f t="shared" si="636"/>
        <v>1302.2306518363998</v>
      </c>
      <c r="BW511" s="436">
        <f t="shared" si="637"/>
        <v>0</v>
      </c>
      <c r="BX511" s="423">
        <f t="shared" si="638"/>
        <v>2604.4613036728001</v>
      </c>
      <c r="BY511" s="433">
        <f t="shared" si="639"/>
        <v>1302.2306518363998</v>
      </c>
      <c r="BZ511" s="1113" t="s">
        <v>569</v>
      </c>
      <c r="CA511" s="450"/>
      <c r="CB511" s="421">
        <f>IF($P511="","N/A",IF($P511=-1,INDEX('卡片raw data'!BE:BE,MATCH($D511,'卡片raw data'!$F:$F,)),0)+IF($L511="party卡",IF($P511=5,INDEX('卡片raw data'!BK:BK,MATCH($D511,'卡片raw data'!$F:$F,)),IF($P511&gt;=3,INDEX('卡片raw data'!BJ:BJ,MATCH($D511,'卡片raw data'!$F:$F,)),INDEX('卡片raw data'!BI:BI,MATCH($D511,'卡片raw data'!$F:$F,)))),IF(OR(AND($F511="UR",$P511=0),AND($F511="SR",$P511&gt;=0,$P511&lt;=2),AND($F511="R",$P511&gt;=0,$P511&lt;4)),INDEX('卡片raw data'!BG:BG,MATCH($D511,'卡片raw data'!$F:$F,)),0)+IF(OR(AND($F511="UR",$P511&gt;=1,$P511&lt;=4),AND($F511="SR",$P511&lt;=4,$P511&gt;=3),AND($F511="R",$P511=4)),INDEX('卡片raw data'!BH:BH,MATCH($D511,'卡片raw data'!$F:$F,)),0)+IF($P511=5,INDEX('卡片raw data'!BI:BI,MATCH($D511,'卡片raw data'!$F:$F,)),0)))</f>
        <v>0</v>
      </c>
      <c r="CC511" s="424">
        <f t="shared" si="640"/>
        <v>0</v>
      </c>
      <c r="CD511" s="420">
        <f>IF(BZ511="ap",CB511*(1-$FI$26)*$FB$5/$FB$11*(+IF(CA511="全员",$FA$24,0)+IF(CA511="同作战",$FA$24,0)+IF(CA511="仲间",$FA$24*2/3,0)+IF(CA511="同属性",$FA$24*$FA$37/3,0)+IF(CA511="同年级",$FA$24*$FA$40/3,0)+IF(CA511="同学校",$FA$24*$FA$43/3,0)+IF(CA511="同小队",$FA$24*$FA$46/3,0)+IF(CA511="同type",$FA$24*INDEX($FB$49:$FB$52,MATCH(X511,$FA$49:$FA$52,))/3,0)+IF(CA511="自身",#REF!/3,0)),0)+IF(BZ511="te",CB511*(1-$FI$27)*($FA$20-1)*$FB$7/$FB$13*(+IF(CA511="全员",$FA$19*$FA$24/(1+($FA$20-1)*$FA$19),0)+IF(CA511="同作战",$FA$19*$FA$24/(1+($FA$20-1)*$FA$19),0)+IF(CA511="仲间",$FA$19*$FA$24*2/3/(1+($FA$20-1)*$FA$19),0)+IF(CA511="同属性",$FA$19*$FA$24*$FA$37/3/(1+($FA$20-1)*$FA$19),0)+IF(CA511="同年级",$FA$19*$FA$24*$FA$40/3/(1+($FA$20-1)*$FA$19),0)+IF(CA511="同学校",$FA$19*$FA$24*$FA$43/3/(1+($FA$20-1)*$FA$19),0)+IF(CA511="同小队",$FA$19*$FA$24*$FA$46/3/(1+($FA$20-1)*$FA$19),0)+IF(CA511="同type",$FA$19*$FA$24*INDEX($FB$49:$FB$52,MATCH(X511,$FA$49:$FA$52,))/3/(1+($FA$20-1)*$FA$19),0)+IF(CA511="自身",$FA$19*#REF!/3/(1+(BH511-1)*$BD511),0)),0)</f>
        <v>0</v>
      </c>
      <c r="CE511" s="420">
        <f t="shared" si="641"/>
        <v>0</v>
      </c>
      <c r="CF511" s="436">
        <f t="shared" si="642"/>
        <v>0</v>
      </c>
      <c r="CG511" s="423">
        <f t="shared" si="643"/>
        <v>0</v>
      </c>
      <c r="CH511" s="433">
        <f t="shared" si="644"/>
        <v>0</v>
      </c>
      <c r="CI511" s="437" t="s">
        <v>170</v>
      </c>
      <c r="CJ511" s="1114">
        <v>0.3</v>
      </c>
      <c r="CK511" s="439" t="s">
        <v>551</v>
      </c>
      <c r="CL511" s="1115" t="s">
        <v>2075</v>
      </c>
      <c r="CM511" s="1119">
        <v>0.1</v>
      </c>
      <c r="CN511" s="1115">
        <v>3</v>
      </c>
      <c r="CO511" s="1115"/>
      <c r="CP511" s="1118">
        <f t="shared" si="645"/>
        <v>2.142857142857143E-4</v>
      </c>
      <c r="CQ511" s="1118">
        <f t="shared" si="646"/>
        <v>2.9166666666666669E-4</v>
      </c>
      <c r="CR511" s="1118">
        <f t="shared" si="647"/>
        <v>1.0714285714285714E-4</v>
      </c>
      <c r="CS511" s="1118">
        <f t="shared" si="648"/>
        <v>0</v>
      </c>
      <c r="CT511" s="1109">
        <f t="shared" si="649"/>
        <v>0</v>
      </c>
      <c r="CU511" s="1101">
        <f t="shared" si="650"/>
        <v>12.841310489022325</v>
      </c>
      <c r="CV511" s="1108">
        <f t="shared" si="685"/>
        <v>0</v>
      </c>
      <c r="CW511" s="1097">
        <f t="shared" si="651"/>
        <v>6.4206552445111615</v>
      </c>
      <c r="CX511" s="1097">
        <f t="shared" si="652"/>
        <v>12.841310489022325</v>
      </c>
      <c r="CY511" s="1110">
        <f t="shared" si="653"/>
        <v>6.4206552445111615</v>
      </c>
      <c r="CZ511" s="437"/>
      <c r="DA511" s="438"/>
      <c r="DB511" s="439" t="s">
        <v>569</v>
      </c>
      <c r="DC511" s="439"/>
      <c r="DD511" s="443"/>
      <c r="DE511" s="411"/>
      <c r="DF511" s="411"/>
      <c r="DG511" s="1116">
        <f t="shared" si="654"/>
        <v>0</v>
      </c>
      <c r="DH511" s="1116">
        <f t="shared" si="655"/>
        <v>0</v>
      </c>
      <c r="DI511" s="1116">
        <f t="shared" si="656"/>
        <v>0</v>
      </c>
      <c r="DJ511" s="442">
        <f t="shared" si="657"/>
        <v>0</v>
      </c>
      <c r="DK511" s="432">
        <f t="shared" si="658"/>
        <v>0</v>
      </c>
      <c r="DL511" s="424">
        <f t="shared" si="659"/>
        <v>0</v>
      </c>
      <c r="DM511" s="420">
        <f t="shared" si="660"/>
        <v>0</v>
      </c>
      <c r="DN511" s="420">
        <f t="shared" si="661"/>
        <v>0</v>
      </c>
      <c r="DO511" s="420">
        <f t="shared" si="662"/>
        <v>0</v>
      </c>
      <c r="DP511" s="433">
        <f t="shared" si="663"/>
        <v>0</v>
      </c>
      <c r="DQ511" s="1113" t="s">
        <v>167</v>
      </c>
      <c r="DR511" s="1114">
        <v>0.11</v>
      </c>
      <c r="DS511" s="450">
        <v>3</v>
      </c>
      <c r="DT511" s="1124" t="s">
        <v>2075</v>
      </c>
      <c r="DU511" s="1093" t="s">
        <v>544</v>
      </c>
      <c r="DV511" s="1098">
        <f>IF($P511="","N/A",IF(P511=-1,INDEX('卡片raw data'!AN:AN,MATCH(D511,'卡片raw data'!$F:$F,)),0)+IF(AND(L511&lt;&gt;"party卡",P511&lt;=2,P511&gt;=0),INDEX('卡片raw data'!AP:AP,MATCH(D511,'卡片raw data'!$F:$F,)),0)+IF(OR(AND(L511="party卡",P511&lt;=1),AND(P511&lt;=4,L511&lt;&gt;"party卡",P511&gt;=3)),INDEX('卡片raw data'!AQ:AQ,MATCH(D511,'卡片raw data'!$F:$F,)),0)+IF(OR(P511=5,AND(L511="party卡",P511&gt;=2)),INDEX('卡片raw data'!AR:AR,MATCH(D511,'卡片raw data'!$F:$F,)),0))</f>
        <v>0.12</v>
      </c>
      <c r="DW511" s="1098">
        <f t="shared" si="665"/>
        <v>0.11</v>
      </c>
      <c r="DX511" s="1098">
        <f t="shared" si="666"/>
        <v>0.11</v>
      </c>
      <c r="DY511" s="1098">
        <f t="shared" si="667"/>
        <v>8.8000000000000005E-3</v>
      </c>
      <c r="DZ511" s="1098">
        <f t="shared" si="668"/>
        <v>6.6604999999999998E-3</v>
      </c>
      <c r="EA511" s="421">
        <f t="shared" si="669"/>
        <v>0</v>
      </c>
      <c r="EB511" s="445">
        <f t="shared" si="670"/>
        <v>0</v>
      </c>
      <c r="EC511" s="424">
        <f t="shared" si="671"/>
        <v>1196.6497974490489</v>
      </c>
      <c r="ED511" s="420">
        <f t="shared" si="672"/>
        <v>43.729994179265631</v>
      </c>
      <c r="EE511" s="433">
        <f t="shared" si="683"/>
        <v>1196.6497974490489</v>
      </c>
      <c r="EF511" s="1115" t="s">
        <v>4260</v>
      </c>
      <c r="EG511" s="1114">
        <v>0.11</v>
      </c>
      <c r="EH511" s="450"/>
      <c r="EI511" s="1124" t="s">
        <v>4261</v>
      </c>
      <c r="EJ511" s="1124"/>
      <c r="EK511" s="1098">
        <f>IF($P511="","N/A",IF(P511=-1,INDEX('卡片raw data'!AS:AS,MATCH(D511,'卡片raw data'!$F:$F,)),0)+IF(AND(L511&lt;&gt;"party卡",P511&lt;=2,P511&gt;=0),INDEX('卡片raw data'!AU:AU,MATCH(D511,'卡片raw data'!$F:$F,)),0)+IF(OR(AND(L511="party卡",P511&lt;=1),AND(P511&lt;=4,L511&lt;&gt;"party卡",P511&gt;=3)),INDEX('卡片raw data'!AV:AV,MATCH(D511,'卡片raw data'!$F:$F,)),0)+IF(OR(P511=5,AND(L511="party卡",P511&gt;=2)),INDEX('卡片raw data'!AW:AW,MATCH(D511,'卡片raw data'!$F:$F,)),0))</f>
        <v>0.45</v>
      </c>
      <c r="EL511" s="1098">
        <f t="shared" si="674"/>
        <v>0.11</v>
      </c>
      <c r="EM511" s="1098">
        <f t="shared" si="675"/>
        <v>0.11</v>
      </c>
      <c r="EN511" s="1097">
        <f t="shared" si="676"/>
        <v>985.37100325950007</v>
      </c>
      <c r="EO511" s="1097">
        <f t="shared" si="677"/>
        <v>763.9404510276396</v>
      </c>
      <c r="EP511" s="421">
        <f t="shared" si="678"/>
        <v>0</v>
      </c>
      <c r="EQ511" s="445">
        <f t="shared" si="679"/>
        <v>0</v>
      </c>
      <c r="ER511" s="424">
        <f t="shared" si="680"/>
        <v>1083.9081035854501</v>
      </c>
      <c r="ES511" s="420">
        <f t="shared" si="681"/>
        <v>763.9404510276396</v>
      </c>
      <c r="ET511" s="446">
        <f t="shared" si="684"/>
        <v>1083.9081035854501</v>
      </c>
    </row>
    <row r="512" spans="2:150" ht="16.5" customHeight="1">
      <c r="B512" s="448" t="str">
        <f>INDEX('卡片raw data'!B:B,MATCH($D512,'卡片raw data'!$F:$F,))</f>
        <v>未熟露</v>
      </c>
      <c r="C512" s="449" t="s">
        <v>4262</v>
      </c>
      <c r="D512" s="408">
        <v>509</v>
      </c>
      <c r="E512" s="477">
        <v>401092006</v>
      </c>
      <c r="F512" s="409" t="str">
        <f>INDEX('卡片raw data'!C:C,MATCH($D512,'卡片raw data'!$F:$F,))</f>
        <v>SR</v>
      </c>
      <c r="G512" s="1094" t="s">
        <v>4263</v>
      </c>
      <c r="H512" s="411">
        <f>IFERROR(INDEX(绊状态确认!C:C,MATCH($G512,绊状态确认!$B:$B,)),"")</f>
        <v>109</v>
      </c>
      <c r="I512" s="450" t="str">
        <f>IFERROR(INDEX(绊状态确认!D:D,MATCH($G512,绊状态确认!$B:$B,)),"")</f>
        <v>水</v>
      </c>
      <c r="J512" s="450" t="str">
        <f>IFERROR(INDEX(绊状态确认!E:E,MATCH($G512,绊状态确认!$B:$B,)),"")</f>
        <v>1年级</v>
      </c>
      <c r="K512" s="451" t="str">
        <f>IFERROR(INDEX(绊状态确认!F:F,MATCH($G512,绊状态确认!$B:$B,)),"")</f>
        <v>CYaRon!</v>
      </c>
      <c r="L512" s="414" t="str">
        <f>INDEX('卡片raw data'!E:E,MATCH($D512,'卡片raw data'!$F:$F,))</f>
        <v>卡池卡</v>
      </c>
      <c r="M512" s="478">
        <v>44412</v>
      </c>
      <c r="N512" s="479">
        <v>45</v>
      </c>
      <c r="O512" s="410" t="str">
        <f>INDEX('卡片raw data'!D:D,MATCH($D512,'卡片raw data'!$F:$F,))</f>
        <v>sp</v>
      </c>
      <c r="P512" s="1126">
        <v>5</v>
      </c>
      <c r="Q512" s="418">
        <f t="shared" si="600"/>
        <v>28869.082131914838</v>
      </c>
      <c r="R512" s="419">
        <f t="shared" si="601"/>
        <v>0.33500000000000002</v>
      </c>
      <c r="S512" s="420">
        <f t="shared" si="602"/>
        <v>16805.75984043501</v>
      </c>
      <c r="T512" s="421">
        <f t="shared" si="603"/>
        <v>0.84</v>
      </c>
      <c r="U512" s="422">
        <f t="shared" si="604"/>
        <v>14.813365415211427</v>
      </c>
      <c r="V512" s="423">
        <f t="shared" si="605"/>
        <v>28250.20828429739</v>
      </c>
      <c r="W512" s="424">
        <f t="shared" si="606"/>
        <v>4507.7214871259994</v>
      </c>
      <c r="X512" s="419">
        <f t="shared" si="607"/>
        <v>5.1999999999999998E-2</v>
      </c>
      <c r="Y512" s="420">
        <f t="shared" si="608"/>
        <v>1181.1261523825551</v>
      </c>
      <c r="Z512" s="425">
        <f t="shared" si="609"/>
        <v>14.813365415211427</v>
      </c>
      <c r="AA512" s="426">
        <f t="shared" si="610"/>
        <v>5688.8476395085545</v>
      </c>
      <c r="AB512" s="424">
        <f t="shared" si="611"/>
        <v>4633.0786299831425</v>
      </c>
      <c r="AC512" s="427">
        <f t="shared" si="612"/>
        <v>5.2999999999999999E-2</v>
      </c>
      <c r="AD512" s="428">
        <f t="shared" si="613"/>
        <v>-1.9908281250000003E-2</v>
      </c>
      <c r="AE512" s="516">
        <f t="shared" si="614"/>
        <v>-1.3514492753623202</v>
      </c>
      <c r="AF512" s="1130">
        <f t="shared" si="615"/>
        <v>0</v>
      </c>
      <c r="AG512" s="420">
        <f t="shared" si="616"/>
        <v>0</v>
      </c>
      <c r="AH512" s="420">
        <f t="shared" si="617"/>
        <v>0</v>
      </c>
      <c r="AI512" s="1097">
        <f t="shared" si="618"/>
        <v>0</v>
      </c>
      <c r="AJ512" s="420">
        <f t="shared" si="619"/>
        <v>0</v>
      </c>
      <c r="AK512" s="518">
        <f t="shared" si="620"/>
        <v>0</v>
      </c>
      <c r="AL512" s="429">
        <f>IF($P512="","N/A",(IF($P512=-1,INDEX('卡片raw data'!S:S,MATCH($D512,'卡片raw data'!$F:$F,)),0)+IF($P512=0,INDEX('卡片raw data'!V:V,MATCH($D512,'卡片raw data'!$F:$F,)),0)+IF($P512=1,INDEX('卡片raw data'!Y:Y,MATCH($D512,'卡片raw data'!$F:$F,)),0)+IF($P512=2,INDEX('卡片raw data'!AB:AB,MATCH($D512,'卡片raw data'!$F:$F,)),0)+IF($P512=3,INDEX('卡片raw data'!AE:AE,MATCH($D512,'卡片raw data'!$F:$F,)),0)+IF($P512=4,INDEX('卡片raw data'!AH:AH,MATCH($D512,'卡片raw data'!$F:$F,)),0)+IF($P512=5,INDEX('卡片raw data'!AK:AK,MATCH($D512,'卡片raw data'!$F:$F,)),0)+INDEX('卡片raw data'!S:S,MATCH($D512,'卡片raw data'!$F:$F,))*(IF($F512="UR",0.04,0.033))*(IF($F512="UR",INDEX(绊状态确认!$S:$S,MATCH($G512,绊状态确认!$B:$B,))/2-40)+IF($F512="SR",INDEX(绊状态确认!$R:$R,MATCH($G512,绊状态确认!$B:$B,))/4-15))+IF($F512="R",INDEX(绊状态确认!$Q:$Q,MATCH($G512,绊状态确认!$B:$B,))/6-40/6)))*(INDEX(绊状态确认!$H:$H,MATCH($G512,绊状态确认!$B:$B,))+INDEX(绊状态确认!J:J,MATCH($G512,绊状态确认!$B:$B,)))</f>
        <v>9030.2185031999979</v>
      </c>
      <c r="AM512" s="429">
        <f>IF($P512="","N/A",(IF($P512=-1,INDEX('卡片raw data'!T:T,MATCH($D512,'卡片raw data'!$F:$F,)),0)+IF($P512=0,INDEX('卡片raw data'!W:W,MATCH($D512,'卡片raw data'!$F:$F,)),0)+IF($P512=1,INDEX('卡片raw data'!Z:Z,MATCH($D512,'卡片raw data'!$F:$F,)),0)+IF($P512=2,INDEX('卡片raw data'!AC:AC,MATCH($D512,'卡片raw data'!$F:$F,)),0)+IF($P512=3,INDEX('卡片raw data'!AF:AF,MATCH($D512,'卡片raw data'!$F:$F,)),0)+IF($P512=4,INDEX('卡片raw data'!AI:AI,MATCH($D512,'卡片raw data'!$F:$F,)),0)+IF($P512=5,INDEX('卡片raw data'!AL:AL,MATCH($D512,'卡片raw data'!$F:$F,)),0)+INDEX('卡片raw data'!T:T,MATCH($D512,'卡片raw data'!$F:$F,))*(IF($F512="UR",0.04,0.033))*(IF($F512="UR",INDEX(绊状态确认!$S:$S,MATCH($G512,绊状态确认!$B:$B,))/2-40)+IF($F512="SR",INDEX(绊状态确认!$R:$R,MATCH($G512,绊状态确认!$B:$B,))/4-15))+IF($F512="R",INDEX(绊状态确认!$Q:$Q,MATCH($G512,绊状态确认!$B:$B,))/6-40/6)))*(INDEX(绊状态确认!$H:$H,MATCH($G512,绊状态确认!$B:$B,))+INDEX(绊状态确认!K:K,MATCH($G512,绊状态确认!$B:$B,)))</f>
        <v>6947.2950335999994</v>
      </c>
      <c r="AN512" s="429">
        <f>IF($P512="","N/A",(IF($P512=-1,INDEX('卡片raw data'!U:U,MATCH($D512,'卡片raw data'!$F:$F,)),0)+IF($P512=0,INDEX('卡片raw data'!X:X,MATCH($D512,'卡片raw data'!$F:$F,)),0)+IF($P512=1,INDEX('卡片raw data'!AA:AA,MATCH($D512,'卡片raw data'!$F:$F,)),0)+IF($P512=2,INDEX('卡片raw data'!AD:AD,MATCH($D512,'卡片raw data'!$F:$F,)),0)+IF($P512=3,INDEX('卡片raw data'!AG:AG,MATCH($D512,'卡片raw data'!$F:$F,)),0)+IF($P512=4,INDEX('卡片raw data'!AJ:AJ,MATCH($D512,'卡片raw data'!$F:$F,)),0)+IF($P512=5,INDEX('卡片raw data'!AM:AM,MATCH($D512,'卡片raw data'!$F:$F,)),0)+INDEX('卡片raw data'!U:U,MATCH($D512,'卡片raw data'!$F:$F,))*(IF($F512="UR",0.04,0.033))*(IF($F512="UR",INDEX(绊状态确认!$S:$S,MATCH($G512,绊状态确认!$B:$B,))/2-40)+IF($F512="SR",INDEX(绊状态确认!$R:$R,MATCH($G512,绊状态确认!$B:$B,))/4-15))+IF($F512="R",INDEX(绊状态确认!$Q:$Q,MATCH($G512,绊状态确认!$B:$B,))/6-40/6)))*(INDEX(绊状态确认!$H:$H,MATCH($G512,绊状态确认!$B:$B,))+INDEX(绊状态确认!L:L,MATCH($G512,绊状态确认!$B:$B,)))</f>
        <v>7176.6523727999993</v>
      </c>
      <c r="AO512" s="430">
        <f t="shared" si="621"/>
        <v>1</v>
      </c>
      <c r="AP512" s="556">
        <f>1+(INDEX(绊状态确认!$T:$T,MATCH($G512,绊状态确认!$B:$B,))+0.2)*$AO512</f>
        <v>1.3</v>
      </c>
      <c r="AQ512" s="431">
        <f t="shared" si="622"/>
        <v>26954.323570899996</v>
      </c>
      <c r="AR512" s="420">
        <f>(AM512*(1+$EX$9)+$EX$35)*(1+(INDEX(绊状态确认!$T:$T,MATCH($G512,绊状态确认!$B:$B,))+0.2)*AO512)*IF(J512=$FF$17,1+$FE$17,1)*IF(I512=$FF$14,1+$FE$14,1)</f>
        <v>12187.057720864001</v>
      </c>
      <c r="AS512" s="420">
        <f>(AN512*(1+$EX$10)+$EX$36)*(1+(INDEX(绊状态确认!$T:$T,MATCH($G512,绊状态确认!$B:$B,))+0.2)*AO512)*IF(J512=$FF$17,1+$FE$17,1)*IF(I512=$FF$14,1+$FE$14,1)</f>
        <v>14785.095297335998</v>
      </c>
      <c r="AT512" s="412">
        <f>IF(AND(INDEX('卡片raw data'!AK:AK,MATCH($D512,'卡片raw data'!$F:$F,))&lt;INDEX('卡片raw data'!AM:AM,MATCH($D512,'卡片raw data'!$F:$F,)),INDEX('卡片raw data'!AL:AL,MATCH($D512,'卡片raw data'!$F:$F,))&lt;INDEX('卡片raw data'!AM:AM,MATCH($D512,'卡片raw data'!$F:$F,))),1,0)</f>
        <v>0</v>
      </c>
      <c r="AU512" s="421">
        <f>MIN(AT512*0.15+AS512*0.00003+INDEX(绊状态确认!M:M,MATCH($G512,绊状态确认!$B:$B,)),1)</f>
        <v>0.47355285892007998</v>
      </c>
      <c r="AV512" s="432">
        <f>(INDEX(绊状态确认!$N:$N,MATCH($G512,绊状态确认!$B:$B,))+1.5)*$EW$21</f>
        <v>2.6599999999999997</v>
      </c>
      <c r="AW512" s="424">
        <f t="shared" si="623"/>
        <v>25002.936835265027</v>
      </c>
      <c r="AX512" s="420">
        <f t="shared" si="624"/>
        <v>1043.9359581692129</v>
      </c>
      <c r="AY512" s="433">
        <f t="shared" si="625"/>
        <v>26046.872793434239</v>
      </c>
      <c r="AZ512" s="429">
        <f t="shared" si="626"/>
        <v>20208.926081239995</v>
      </c>
      <c r="BA512" s="431">
        <f t="shared" si="627"/>
        <v>24250.711297487993</v>
      </c>
      <c r="BB512" s="420">
        <f>(AM512*(1+$FB$9)+$FB$35)*(1+(INDEX(绊状态确认!$T:$T,MATCH($G512,绊状态确认!$B:$B,))+0.2)*AO512)*IF(J512=$FF$17,1+$FE$17,1)*IF(I512=$FF$14,1+$FE$14,1)*(1+$FE$15)</f>
        <v>12187.057720864001</v>
      </c>
      <c r="BC512" s="420">
        <f>(AN512*(1+$FB$10)+$FB$36)*(1+(INDEX(绊状态确认!$T:$T,MATCH($G512,绊状态确认!$B:$B,))+0.2)*AO512)*IF(J512=$FF$17,1+$FE$17,1)*IF(I512=$FF$14,1+$FE$14,1)*(1+$FE$15)</f>
        <v>14785.095297335998</v>
      </c>
      <c r="BD512" s="427">
        <f>MIN(AT512*0.15+BC512*0.00003+INDEX(绊状态确认!M:M,MATCH($G512,绊状态确认!$B:$B,)),1)</f>
        <v>0.47355285892007998</v>
      </c>
      <c r="BE512" s="432">
        <f>(INDEX(绊状态确认!$N:$N,MATCH($G512,绊状态确认!$B:$B,))+1.5)</f>
        <v>1.9</v>
      </c>
      <c r="BF512" s="645">
        <f t="array" ref="BF512">SUMPRODUCT(IF(AZ512*AP512*$FI$16:$FI$23*$FA$22&gt;=$FI$24,$FI$24,AZ512*AP512*$FI$16:$FI$23*$FA$22),$FJ$16:$FJ$23)</f>
        <v>40195.553975586357</v>
      </c>
      <c r="BG512" s="453">
        <f t="array" ref="BG512">SUMPRODUCT(IF(BE512*AZ512*AP512*$FI$16:$FI$23*$FA$22&gt;=$FI$24,$FI$24,BE512*AZ512*AP512*$FI$16:$FI$23*$FA$22),$FJ$16:$FJ$23)</f>
        <v>59989.925690479533</v>
      </c>
      <c r="BH512" s="433">
        <f t="shared" si="628"/>
        <v>16523.078430566929</v>
      </c>
      <c r="BI512" s="434">
        <f>IF(O512="vo",$EW$26/$EW$24*0.05,0)+IF(O512="sk",-$EW$26/$EW$24*(0.05-INDEX(绊状态确认!W:W,MATCH($G512,绊状态确认!$B:$B,)))+0.05*$EW$28,0)+IF(O512="sp",0.05*$EW$32*$EW$30*(1-$EW$33)-(0.05-INDEX(绊状态确认!V:V,MATCH($G512,绊状态确认!$B:$B,)))*$EW$28,0)+IF(O512="gd",-(0.05-INDEX(绊状态确认!X:X,MATCH($G512,绊状态确认!$B:$B,)))*$EW$32*$EW$30*(1-$EW$33),0)</f>
        <v>19.999999999999886</v>
      </c>
      <c r="BJ512" s="420">
        <f>IF(O512="vo",0.05*(1-$FI$26)*$FA$24,0)+IF(O512="sk",-(0.05-INDEX(绊状态确认!W:W,MATCH($G512,绊状态确认!$B:$B,)))*(1-$FI$26)*$FA$24+0.05*$FA$26,0)+IF(O512="sp",0.05*$FA$32*$FA$27*(1-$FA$33)/$FA$30+0.05*$FA$29/$FA$69*$FA$27*(1-$FA$33)-(0.05-INDEX(绊状态确认!V:V,MATCH($G512,绊状态确认!$B:$B,)))*$FA$26,0)+IF(O512="gd",-(0.05-INDEX(绊状态确认!X:X,MATCH($G512,绊状态确认!$B:$B,)))*$FA$32*$FA$27*(1-$FA$33)/$FA$30-(0.05-INDEX(绊状态确认!X:X,MATCH($G512,绊状态确认!$B:$B,)))*$FA$29/$FA$69*$FA$27*(1-$FA$33),0)</f>
        <v>545.83333333333326</v>
      </c>
      <c r="BK512" s="433">
        <f>IF(O512="vo",$EW$26/$EW$24*0.05+$EW$26*(-HP($EW$62,$EW$65,$EW$64)+HP($EW$62,$EW$65,(1.05-INDEX(绊状态确认!U:U,MATCH($G512,绊状态确认!$B:$B,)))*$EW$64)),0)+IF(O512="sk",-$EW$26/$EW$24*(0.05-INDEX(绊状态确认!W:W,MATCH($G512,绊状态确认!$B:$B,)))+0.05*$EW$29,0)+IF(O512="sp",0.05*$EW$32*$EW$30*(1-$EW$33)-(0.05-INDEX(绊状态确认!V:V,MATCH($G512,绊状态确认!$B:$B,)))*$EW$29,0)+IF(O512="gd",-(0.05-INDEX(绊状态确认!X:X,MATCH($G512,绊状态确认!$B:$B,)))*$EW$32*$EW$30*(1-$EW$33)+$EW$26*(-HP($EW$62,$EW$65,$EW$64)+HP($EW$62,$EW$65,0.95*$EW$64)),0)</f>
        <v>-1780.0000000000005</v>
      </c>
      <c r="BL512" s="434">
        <f t="shared" si="629"/>
        <v>-1083.3333333333333</v>
      </c>
      <c r="BM512" s="433">
        <f t="shared" si="630"/>
        <v>-830.55555555555543</v>
      </c>
      <c r="BN512" s="437">
        <f t="shared" si="631"/>
        <v>3</v>
      </c>
      <c r="BO512" s="1108">
        <f t="shared" si="632"/>
        <v>4507.7214871259994</v>
      </c>
      <c r="BP512" s="1100">
        <f t="shared" si="633"/>
        <v>221.34103209030098</v>
      </c>
      <c r="BQ512" s="1113" t="s">
        <v>133</v>
      </c>
      <c r="BR512" s="1124" t="s">
        <v>168</v>
      </c>
      <c r="BS512" s="421">
        <f>IF($P512="","N/A",IF($P512=-1,INDEX('卡片raw data'!AX:AX,MATCH($D512,'卡片raw data'!$F:$F,)),0)+IF($L512="party卡",IF($P512=5,INDEX('卡片raw data'!BD:BD,MATCH($D512,'卡片raw data'!$F:$F,)),IF($P512&gt;=3,INDEX('卡片raw data'!BC:BC,MATCH($D512,'卡片raw data'!$F:$F,)),INDEX('卡片raw data'!BB:BB,MATCH($D512,'卡片raw data'!$F:$F,)))),IF(OR(AND($F512="UR",$P512=0),AND($F512="SR",$P512&gt;=0,$P512&lt;=2),AND($F512="R",$P512&gt;=0,$P512&lt;4)),INDEX('卡片raw data'!AZ:AZ,MATCH($D512,'卡片raw data'!$F:$F,)),0)+IF(OR(AND($F512="UR",$P512&gt;=1,$P512&lt;=4),AND($F512="SR",$P512&lt;=4,$P512&gt;=3),AND($F512="R",$P512=4)),INDEX('卡片raw data'!BA:BA,MATCH($D512,'卡片raw data'!$F:$F,)),0)+IF($P512=5,INDEX('卡片raw data'!BB:BB,MATCH($D512,'卡片raw data'!$F:$F,)),0)))</f>
        <v>0.05</v>
      </c>
      <c r="BT512" s="424">
        <f t="shared" si="634"/>
        <v>0</v>
      </c>
      <c r="BU512" s="420">
        <f t="shared" si="635"/>
        <v>0</v>
      </c>
      <c r="BV512" s="420">
        <f t="shared" si="636"/>
        <v>0</v>
      </c>
      <c r="BW512" s="436">
        <f t="shared" si="637"/>
        <v>1.7558035714285711</v>
      </c>
      <c r="BX512" s="423">
        <f t="shared" si="638"/>
        <v>137.19019421334193</v>
      </c>
      <c r="BY512" s="433">
        <f t="shared" si="639"/>
        <v>137.19019421334193</v>
      </c>
      <c r="BZ512" s="1113" t="s">
        <v>569</v>
      </c>
      <c r="CA512" s="450"/>
      <c r="CB512" s="421">
        <f>IF($P512="","N/A",IF($P512=-1,INDEX('卡片raw data'!BE:BE,MATCH($D512,'卡片raw data'!$F:$F,)),0)+IF($L512="party卡",IF($P512=5,INDEX('卡片raw data'!BK:BK,MATCH($D512,'卡片raw data'!$F:$F,)),IF($P512&gt;=3,INDEX('卡片raw data'!BJ:BJ,MATCH($D512,'卡片raw data'!$F:$F,)),INDEX('卡片raw data'!BI:BI,MATCH($D512,'卡片raw data'!$F:$F,)))),IF(OR(AND($F512="UR",$P512=0),AND($F512="SR",$P512&gt;=0,$P512&lt;=2),AND($F512="R",$P512&gt;=0,$P512&lt;4)),INDEX('卡片raw data'!BG:BG,MATCH($D512,'卡片raw data'!$F:$F,)),0)+IF(OR(AND($F512="UR",$P512&gt;=1,$P512&lt;=4),AND($F512="SR",$P512&lt;=4,$P512&gt;=3),AND($F512="R",$P512=4)),INDEX('卡片raw data'!BH:BH,MATCH($D512,'卡片raw data'!$F:$F,)),0)+IF($P512=5,INDEX('卡片raw data'!BI:BI,MATCH($D512,'卡片raw data'!$F:$F,)),0)))</f>
        <v>0</v>
      </c>
      <c r="CC512" s="424">
        <f t="shared" si="640"/>
        <v>0</v>
      </c>
      <c r="CD512" s="420">
        <f>IF(BZ512="ap",CB512*(1-$FI$26)*$FB$5/$FB$11*(+IF(CA512="全员",$FA$24,0)+IF(CA512="同作战",$FA$24,0)+IF(CA512="仲间",$FA$24*2/3,0)+IF(CA512="同属性",$FA$24*$FA$37/3,0)+IF(CA512="同年级",$FA$24*$FA$40/3,0)+IF(CA512="同学校",$FA$24*$FA$43/3,0)+IF(CA512="同小队",$FA$24*$FA$46/3,0)+IF(CA512="同type",$FA$24*INDEX($FB$49:$FB$52,MATCH(X512,$FA$49:$FA$52,))/3,0)+IF(CA512="自身",#REF!/3,0)),0)+IF(BZ512="te",CB512*(1-$FI$27)*($FA$20-1)*$FB$7/$FB$13*(+IF(CA512="全员",$FA$19*$FA$24/(1+($FA$20-1)*$FA$19),0)+IF(CA512="同作战",$FA$19*$FA$24/(1+($FA$20-1)*$FA$19),0)+IF(CA512="仲间",$FA$19*$FA$24*2/3/(1+($FA$20-1)*$FA$19),0)+IF(CA512="同属性",$FA$19*$FA$24*$FA$37/3/(1+($FA$20-1)*$FA$19),0)+IF(CA512="同年级",$FA$19*$FA$24*$FA$40/3/(1+($FA$20-1)*$FA$19),0)+IF(CA512="同学校",$FA$19*$FA$24*$FA$43/3/(1+($FA$20-1)*$FA$19),0)+IF(CA512="同小队",$FA$19*$FA$24*$FA$46/3/(1+($FA$20-1)*$FA$19),0)+IF(CA512="同type",$FA$19*$FA$24*INDEX($FB$49:$FB$52,MATCH(X512,$FA$49:$FA$52,))/3/(1+($FA$20-1)*$FA$19),0)+IF(CA512="自身",$FA$19*#REF!/3/(1+(BH512-1)*$BD512),0)),0)</f>
        <v>0</v>
      </c>
      <c r="CE512" s="420">
        <f t="shared" si="641"/>
        <v>0</v>
      </c>
      <c r="CF512" s="436">
        <f t="shared" si="642"/>
        <v>0</v>
      </c>
      <c r="CG512" s="423">
        <f t="shared" si="643"/>
        <v>0</v>
      </c>
      <c r="CH512" s="433">
        <f t="shared" si="644"/>
        <v>0</v>
      </c>
      <c r="CI512" s="1113" t="s">
        <v>160</v>
      </c>
      <c r="CJ512" s="1114">
        <v>1</v>
      </c>
      <c r="CK512" s="1115" t="s">
        <v>4264</v>
      </c>
      <c r="CL512" s="1115" t="s">
        <v>4265</v>
      </c>
      <c r="CM512" s="1119">
        <v>0.09</v>
      </c>
      <c r="CN512" s="1115">
        <v>30</v>
      </c>
      <c r="CO512" s="1115">
        <v>1</v>
      </c>
      <c r="CP512" s="1118">
        <f t="shared" si="645"/>
        <v>9.6428571428571423E-3</v>
      </c>
      <c r="CQ512" s="1118">
        <f t="shared" si="646"/>
        <v>1.4999999999999998E-2</v>
      </c>
      <c r="CR512" s="1118">
        <f t="shared" si="647"/>
        <v>0</v>
      </c>
      <c r="CS512" s="1118">
        <f t="shared" si="648"/>
        <v>0</v>
      </c>
      <c r="CT512" s="1109">
        <f t="shared" si="649"/>
        <v>0</v>
      </c>
      <c r="CU512" s="1101">
        <f t="shared" si="650"/>
        <v>125.35714285714283</v>
      </c>
      <c r="CV512" s="1108">
        <f t="shared" si="685"/>
        <v>149.49999999999997</v>
      </c>
      <c r="CW512" s="1097">
        <f t="shared" si="651"/>
        <v>0</v>
      </c>
      <c r="CX512" s="1097">
        <f t="shared" si="652"/>
        <v>125.35714285714283</v>
      </c>
      <c r="CY512" s="1110">
        <f t="shared" si="653"/>
        <v>0</v>
      </c>
      <c r="CZ512" s="437"/>
      <c r="DA512" s="438"/>
      <c r="DB512" s="439" t="s">
        <v>569</v>
      </c>
      <c r="DC512" s="439"/>
      <c r="DD512" s="443"/>
      <c r="DE512" s="411"/>
      <c r="DF512" s="411"/>
      <c r="DG512" s="1116">
        <f t="shared" si="654"/>
        <v>0</v>
      </c>
      <c r="DH512" s="1116">
        <f t="shared" si="655"/>
        <v>0</v>
      </c>
      <c r="DI512" s="1116">
        <f t="shared" si="656"/>
        <v>0</v>
      </c>
      <c r="DJ512" s="442">
        <f t="shared" si="657"/>
        <v>0</v>
      </c>
      <c r="DK512" s="432">
        <f t="shared" si="658"/>
        <v>0</v>
      </c>
      <c r="DL512" s="424">
        <f t="shared" si="659"/>
        <v>0</v>
      </c>
      <c r="DM512" s="420">
        <f t="shared" si="660"/>
        <v>0</v>
      </c>
      <c r="DN512" s="420">
        <f t="shared" si="661"/>
        <v>0</v>
      </c>
      <c r="DO512" s="420">
        <f t="shared" si="662"/>
        <v>0</v>
      </c>
      <c r="DP512" s="433">
        <f t="shared" si="663"/>
        <v>0</v>
      </c>
      <c r="DQ512" s="1113" t="s">
        <v>2143</v>
      </c>
      <c r="DR512" s="1120">
        <f>IF(F512="UR",0.33,0.3)</f>
        <v>0.3</v>
      </c>
      <c r="DS512" s="1124">
        <v>3</v>
      </c>
      <c r="DT512" s="1124" t="s">
        <v>2127</v>
      </c>
      <c r="DU512" s="1093" t="s">
        <v>2145</v>
      </c>
      <c r="DV512" s="1098">
        <f>IF($P512="","N/A",IF(P512=-1,INDEX('卡片raw data'!AN:AN,MATCH(D512,'卡片raw data'!$F:$F,)),0)+IF(AND(L512&lt;&gt;"party卡",P512&lt;=2,P512&gt;=0),INDEX('卡片raw data'!AP:AP,MATCH(D512,'卡片raw data'!$F:$F,)),0)+IF(OR(AND(L512="party卡",P512&lt;=1),AND(P512&lt;=4,L512&lt;&gt;"party卡",P512&gt;=3)),INDEX('卡片raw data'!AQ:AQ,MATCH(D512,'卡片raw data'!$F:$F,)),0)+IF(OR(P512=5,AND(L512="party卡",P512&gt;=2)),INDEX('卡片raw data'!AR:AR,MATCH(D512,'卡片raw data'!$F:$F,)),0))</f>
        <v>7.5999999999999998E-2</v>
      </c>
      <c r="DW512" s="1098">
        <f t="shared" si="665"/>
        <v>0.3</v>
      </c>
      <c r="DX512" s="1098">
        <f t="shared" si="666"/>
        <v>0.3</v>
      </c>
      <c r="DY512" s="1098">
        <f t="shared" si="667"/>
        <v>2.2799999999999997E-2</v>
      </c>
      <c r="DZ512" s="1098">
        <f t="shared" si="668"/>
        <v>1.9721999999999996E-2</v>
      </c>
      <c r="EA512" s="421">
        <f t="shared" si="669"/>
        <v>0</v>
      </c>
      <c r="EB512" s="445">
        <f t="shared" si="670"/>
        <v>0</v>
      </c>
      <c r="EC512" s="424">
        <f t="shared" si="671"/>
        <v>296.39999999999992</v>
      </c>
      <c r="ED512" s="420">
        <f t="shared" si="672"/>
        <v>196.56259999999995</v>
      </c>
      <c r="EE512" s="433">
        <f t="shared" si="683"/>
        <v>296.39999999999992</v>
      </c>
      <c r="EF512" s="1113" t="s">
        <v>569</v>
      </c>
      <c r="EG512" s="1120">
        <f>IF(F512="UR",0.33,0.3)</f>
        <v>0.3</v>
      </c>
      <c r="EH512" s="450"/>
      <c r="EI512" s="1124"/>
      <c r="EJ512" s="1124"/>
      <c r="EK512" s="1097">
        <f>IF($P512="","N/A",IF(P512=-1,INDEX('卡片raw data'!AS:AS,MATCH(D512,'卡片raw data'!$F:$F,)),0)+IF(AND(L512&lt;&gt;"party卡",P512&lt;=2,P512&gt;=0),INDEX('卡片raw data'!AU:AU,MATCH(D512,'卡片raw data'!$F:$F,)),0)+IF(OR(AND(L512="party卡",P512&lt;=1),AND(P512&lt;=4,L512&lt;&gt;"party卡",P512&gt;=3)),INDEX('卡片raw data'!AV:AV,MATCH(D512,'卡片raw data'!$F:$F,)),0)+IF(OR(P512=5,AND(L512="party卡",P512&gt;=2)),INDEX('卡片raw data'!AW:AW,MATCH(D512,'卡片raw data'!$F:$F,)),0))</f>
        <v>0</v>
      </c>
      <c r="EL512" s="1098">
        <f t="shared" si="674"/>
        <v>0.3</v>
      </c>
      <c r="EM512" s="1098">
        <f t="shared" si="675"/>
        <v>0.3</v>
      </c>
      <c r="EN512" s="1097">
        <f t="shared" si="676"/>
        <v>0</v>
      </c>
      <c r="EO512" s="1097">
        <f t="shared" si="677"/>
        <v>0</v>
      </c>
      <c r="EP512" s="421">
        <f t="shared" si="678"/>
        <v>0</v>
      </c>
      <c r="EQ512" s="445">
        <f t="shared" si="679"/>
        <v>0</v>
      </c>
      <c r="ER512" s="424">
        <f t="shared" si="680"/>
        <v>0</v>
      </c>
      <c r="ES512" s="420">
        <f t="shared" si="681"/>
        <v>0</v>
      </c>
      <c r="ET512" s="446">
        <f t="shared" si="684"/>
        <v>0</v>
      </c>
    </row>
    <row r="513" spans="2:150" ht="16.5" customHeight="1">
      <c r="B513" s="448" t="str">
        <f>INDEX('卡片raw data'!B:B,MATCH($D513,'卡片raw data'!$F:$F,))</f>
        <v>泳池果</v>
      </c>
      <c r="C513" s="449" t="s">
        <v>4266</v>
      </c>
      <c r="D513" s="408">
        <v>510</v>
      </c>
      <c r="E513" s="477">
        <v>400013005</v>
      </c>
      <c r="F513" s="409" t="str">
        <f>INDEX('卡片raw data'!C:C,MATCH($D513,'卡片raw data'!$F:$F,))</f>
        <v>UR</v>
      </c>
      <c r="G513" s="1094" t="s">
        <v>4267</v>
      </c>
      <c r="H513" s="411">
        <f>IFERROR(INDEX(绊状态确认!C:C,MATCH($G513,绊状态确认!$B:$B,)),"")</f>
        <v>1</v>
      </c>
      <c r="I513" s="450" t="str">
        <f>IFERROR(INDEX(绊状态确认!D:D,MATCH($G513,绊状态确认!$B:$B,)),"")</f>
        <v>缪</v>
      </c>
      <c r="J513" s="450" t="str">
        <f>IFERROR(INDEX(绊状态确认!E:E,MATCH($G513,绊状态确认!$B:$B,)),"")</f>
        <v>2年级</v>
      </c>
      <c r="K513" s="451" t="str">
        <f>IFERROR(INDEX(绊状态确认!F:F,MATCH($G513,绊状态确认!$B:$B,)),"")</f>
        <v>Printemps</v>
      </c>
      <c r="L513" s="414" t="str">
        <f>INDEX('卡片raw data'!E:E,MATCH($D513,'卡片raw data'!$F:$F,))</f>
        <v>卡池卡</v>
      </c>
      <c r="M513" s="478">
        <v>44412</v>
      </c>
      <c r="N513" s="479">
        <v>45</v>
      </c>
      <c r="O513" s="410" t="str">
        <f>INDEX('卡片raw data'!D:D,MATCH($D513,'卡片raw data'!$F:$F,))</f>
        <v>sk</v>
      </c>
      <c r="P513" s="1126">
        <v>5</v>
      </c>
      <c r="Q513" s="418">
        <f t="shared" si="600"/>
        <v>58786.899549346075</v>
      </c>
      <c r="R513" s="419">
        <f t="shared" si="601"/>
        <v>0.68300000000000005</v>
      </c>
      <c r="S513" s="420">
        <f t="shared" si="602"/>
        <v>21265.11870485725</v>
      </c>
      <c r="T513" s="421">
        <f t="shared" si="603"/>
        <v>1.0629999999999999</v>
      </c>
      <c r="U513" s="422">
        <f t="shared" si="604"/>
        <v>13.405209218142858</v>
      </c>
      <c r="V513" s="423">
        <f t="shared" si="605"/>
        <v>61859.395182996195</v>
      </c>
      <c r="W513" s="424">
        <f t="shared" si="606"/>
        <v>5827.4356587303228</v>
      </c>
      <c r="X513" s="419">
        <f t="shared" si="607"/>
        <v>6.7000000000000004E-2</v>
      </c>
      <c r="Y513" s="420">
        <f t="shared" si="608"/>
        <v>1072.49563365012</v>
      </c>
      <c r="Z513" s="425">
        <f t="shared" si="609"/>
        <v>13.405209218142858</v>
      </c>
      <c r="AA513" s="426">
        <f t="shared" si="610"/>
        <v>6899.9312923804428</v>
      </c>
      <c r="AB513" s="424">
        <f t="shared" si="611"/>
        <v>7147.1498303346489</v>
      </c>
      <c r="AC513" s="427">
        <f t="shared" si="612"/>
        <v>8.3000000000000004E-2</v>
      </c>
      <c r="AD513" s="428">
        <f t="shared" si="613"/>
        <v>1.4186306818181789E-3</v>
      </c>
      <c r="AE513" s="516">
        <f t="shared" si="614"/>
        <v>2.0537577047458457</v>
      </c>
      <c r="AF513" s="1130">
        <f t="shared" si="615"/>
        <v>0</v>
      </c>
      <c r="AG513" s="420">
        <f t="shared" si="616"/>
        <v>0</v>
      </c>
      <c r="AH513" s="420">
        <f t="shared" si="617"/>
        <v>0</v>
      </c>
      <c r="AI513" s="1097">
        <f t="shared" si="618"/>
        <v>0</v>
      </c>
      <c r="AJ513" s="420">
        <f t="shared" si="619"/>
        <v>0</v>
      </c>
      <c r="AK513" s="518">
        <f t="shared" si="620"/>
        <v>0</v>
      </c>
      <c r="AL513" s="1106">
        <f>IF($P513="","N/A",(IF($P513=-1,INDEX('卡片raw data'!S:S,MATCH($D513,'卡片raw data'!$F:$F,)),0)+IF($P513=0,INDEX('卡片raw data'!V:V,MATCH($D513,'卡片raw data'!$F:$F,)),0)+IF($P513=1,INDEX('卡片raw data'!Y:Y,MATCH($D513,'卡片raw data'!$F:$F,)),0)+IF($P513=2,INDEX('卡片raw data'!AB:AB,MATCH($D513,'卡片raw data'!$F:$F,)),0)+IF($P513=3,INDEX('卡片raw data'!AE:AE,MATCH($D513,'卡片raw data'!$F:$F,)),0)+IF($P513=4,INDEX('卡片raw data'!AH:AH,MATCH($D513,'卡片raw data'!$F:$F,)),0)+IF($P513=5,INDEX('卡片raw data'!AK:AK,MATCH($D513,'卡片raw data'!$F:$F,)),0)+INDEX('卡片raw data'!S:S,MATCH($D513,'卡片raw data'!$F:$F,))*(IF($F513="UR",0.04,0.033))*(IF($F513="UR",INDEX(绊状态确认!$S:$S,MATCH($G513,绊状态确认!$B:$B,))/2-40)+IF($F513="SR",INDEX(绊状态确认!$R:$R,MATCH($G513,绊状态确认!$B:$B,))/4-15))+IF($F513="R",INDEX(绊状态确认!$Q:$Q,MATCH($G513,绊状态确认!$B:$B,))/6-40/6)))*(INDEX(绊状态确认!$H:$H,MATCH($G513,绊状态确认!$B:$B,))+INDEX(绊状态确认!J:J,MATCH($G513,绊状态确认!$B:$B,)))</f>
        <v>14371.141679999999</v>
      </c>
      <c r="AM513" s="1106">
        <f>IF($P513="","N/A",(IF($P513=-1,INDEX('卡片raw data'!T:T,MATCH($D513,'卡片raw data'!$F:$F,)),0)+IF($P513=0,INDEX('卡片raw data'!W:W,MATCH($D513,'卡片raw data'!$F:$F,)),0)+IF($P513=1,INDEX('卡片raw data'!Z:Z,MATCH($D513,'卡片raw data'!$F:$F,)),0)+IF($P513=2,INDEX('卡片raw data'!AC:AC,MATCH($D513,'卡片raw data'!$F:$F,)),0)+IF($P513=3,INDEX('卡片raw data'!AF:AF,MATCH($D513,'卡片raw data'!$F:$F,)),0)+IF($P513=4,INDEX('卡片raw data'!AI:AI,MATCH($D513,'卡片raw data'!$F:$F,)),0)+IF($P513=5,INDEX('卡片raw data'!AL:AL,MATCH($D513,'卡片raw data'!$F:$F,)),0)+INDEX('卡片raw data'!T:T,MATCH($D513,'卡片raw data'!$F:$F,))*(IF($F513="UR",0.04,0.033))*(IF($F513="UR",INDEX(绊状态确认!$S:$S,MATCH($G513,绊状态确认!$B:$B,))/2-40)+IF($F513="SR",INDEX(绊状态确认!$R:$R,MATCH($G513,绊状态确认!$B:$B,))/4-15))+IF($F513="R",INDEX(绊状态确认!$Q:$Q,MATCH($G513,绊状态确认!$B:$B,))/6-40/6)))*(INDEX(绊状态确认!$H:$H,MATCH($G513,绊状态确认!$B:$B,))+INDEX(绊状态确认!K:K,MATCH($G513,绊状态确认!$B:$B,)))</f>
        <v>7185.0026399999997</v>
      </c>
      <c r="AN513" s="1106">
        <f>IF($P513="","N/A",(IF($P513=-1,INDEX('卡片raw data'!U:U,MATCH($D513,'卡片raw data'!$F:$F,)),0)+IF($P513=0,INDEX('卡片raw data'!X:X,MATCH($D513,'卡片raw data'!$F:$F,)),0)+IF($P513=1,INDEX('卡片raw data'!AA:AA,MATCH($D513,'卡片raw data'!$F:$F,)),0)+IF($P513=2,INDEX('卡片raw data'!AD:AD,MATCH($D513,'卡片raw data'!$F:$F,)),0)+IF($P513=3,INDEX('卡片raw data'!AG:AG,MATCH($D513,'卡片raw data'!$F:$F,)),0)+IF($P513=4,INDEX('卡片raw data'!AJ:AJ,MATCH($D513,'卡片raw data'!$F:$F,)),0)+IF($P513=5,INDEX('卡片raw data'!AM:AM,MATCH($D513,'卡片raw data'!$F:$F,)),0)+INDEX('卡片raw data'!U:U,MATCH($D513,'卡片raw data'!$F:$F,))*(IF($F513="UR",0.04,0.033))*(IF($F513="UR",INDEX(绊状态确认!$S:$S,MATCH($G513,绊状态确认!$B:$B,))/2-40)+IF($F513="SR",INDEX(绊状态确认!$R:$R,MATCH($G513,绊状态确认!$B:$B,))/4-15))+IF($F513="R",INDEX(绊状态确认!$Q:$Q,MATCH($G513,绊状态确认!$B:$B,))/6-40/6)))*(INDEX(绊状态确认!$H:$H,MATCH($G513,绊状态确认!$B:$B,))+INDEX(绊状态确认!L:L,MATCH($G513,绊状态确认!$B:$B,)))</f>
        <v>16262.111279999999</v>
      </c>
      <c r="AO513" s="1107">
        <f t="shared" si="621"/>
        <v>1</v>
      </c>
      <c r="AP513" s="1131">
        <f>1+(INDEX(绊状态确认!$T:$T,MATCH($G513,绊状态确认!$B:$B,))+0.2)*$AO513</f>
        <v>1.3</v>
      </c>
      <c r="AQ513" s="1108">
        <f t="shared" si="622"/>
        <v>40974.246910000002</v>
      </c>
      <c r="AR513" s="1097">
        <f>(AM513*(1+$EX$9)+$EX$35)*(1+(INDEX(绊状态确认!$T:$T,MATCH($G513,绊状态确认!$B:$B,))+0.2)*AO513)*IF(J513=$FF$17,1+$FE$17,1)*IF(I513=$FF$14,1+$FE$14,1)</f>
        <v>12511.5286036</v>
      </c>
      <c r="AS513" s="1097">
        <f>(AN513*(1+$EX$10)+$EX$36)*(1+(INDEX(绊状态确认!$T:$T,MATCH($G513,绊状态确认!$B:$B,))+0.2)*AO513)*IF(J513=$FF$17,1+$FE$17,1)*IF(I513=$FF$14,1+$FE$14,1)</f>
        <v>28367.856363599996</v>
      </c>
      <c r="AT513" s="1093">
        <f>IF(AND(INDEX('卡片raw data'!AK:AK,MATCH($D513,'卡片raw data'!$F:$F,))&lt;INDEX('卡片raw data'!AM:AM,MATCH($D513,'卡片raw data'!$F:$F,)),INDEX('卡片raw data'!AL:AL,MATCH($D513,'卡片raw data'!$F:$F,))&lt;INDEX('卡片raw data'!AM:AM,MATCH($D513,'卡片raw data'!$F:$F,))),1,0)</f>
        <v>1</v>
      </c>
      <c r="AU513" s="1098">
        <f>MIN(AT513*0.15+AS513*0.00003+INDEX(绊状态确认!M:M,MATCH($G513,绊状态确认!$B:$B,)),1)</f>
        <v>1</v>
      </c>
      <c r="AV513" s="1109">
        <f>(INDEX(绊状态确认!$N:$N,MATCH($G513,绊状态确认!$B:$B,))+1.5)*$EW$21</f>
        <v>2.6599999999999997</v>
      </c>
      <c r="AW513" s="1101">
        <f t="shared" si="623"/>
        <v>56604.372546192768</v>
      </c>
      <c r="AX513" s="1097">
        <f t="shared" si="624"/>
        <v>1072.4956336501198</v>
      </c>
      <c r="AY513" s="1110">
        <f t="shared" si="625"/>
        <v>57676.868179842888</v>
      </c>
      <c r="AZ513" s="429">
        <f t="shared" si="626"/>
        <v>30623.726275999998</v>
      </c>
      <c r="BA513" s="431">
        <f t="shared" si="627"/>
        <v>36748.471531199997</v>
      </c>
      <c r="BB513" s="1097">
        <f>(AM513*(1+$FB$9)+$FB$35)*(1+(INDEX(绊状态确认!$T:$T,MATCH($G513,绊状态确认!$B:$B,))+0.2)*AO513)*IF(J513=$FF$17,1+$FE$17,1)*IF(I513=$FF$14,1+$FE$14,1)*(1+$FE$15)</f>
        <v>12511.5286036</v>
      </c>
      <c r="BC513" s="1097">
        <f>(AN513*(1+$FB$10)+$FB$36)*(1+(INDEX(绊状态确认!$T:$T,MATCH($G513,绊状态确认!$B:$B,))+0.2)*AO513)*IF(J513=$FF$17,1+$FE$17,1)*IF(I513=$FF$14,1+$FE$14,1)*(1+$FE$15)</f>
        <v>28367.856363599996</v>
      </c>
      <c r="BD513" s="1104">
        <f>MIN(AT513*0.15+BC513*0.00003+INDEX(绊状态确认!M:M,MATCH($G513,绊状态确认!$B:$B,)),1)</f>
        <v>1</v>
      </c>
      <c r="BE513" s="432">
        <f>(INDEX(绊状态确认!$N:$N,MATCH($G513,绊状态确认!$B:$B,))+1.5)</f>
        <v>1.9</v>
      </c>
      <c r="BF513" s="1139">
        <f t="array" ref="BF513">SUMPRODUCT(IF(AZ513*AP513*$FI$16:$FI$23*$FA$22&gt;=$FI$24,$FI$24,AZ513*AP513*$FI$16:$FI$23*$FA$22),$FJ$16:$FJ$23)</f>
        <v>57043.000651804003</v>
      </c>
      <c r="BG513" s="1125">
        <f t="array" ref="BG513">SUMPRODUCT(IF(BE513*AZ513*AP513*$FI$16:$FI$23*$FA$22&gt;=$FI$24,$FI$24,BE513*AZ513*AP513*$FI$16:$FI$23*$FA$22),$FJ$16:$FJ$23)</f>
        <v>60000</v>
      </c>
      <c r="BH513" s="1110">
        <f t="shared" si="628"/>
        <v>20000</v>
      </c>
      <c r="BI513" s="1111">
        <f>IF(O513="vo",$EW$26/$EW$24*0.05,0)+IF(O513="sk",-$EW$26/$EW$24*(0.05-INDEX(绊状态确认!W:W,MATCH($G513,绊状态确认!$B:$B,)))+0.05*$EW$28,0)+IF(O513="sp",0.05*$EW$32*$EW$30*(1-$EW$33)-(0.05-INDEX(绊状态确认!V:V,MATCH($G513,绊状态确认!$B:$B,)))*$EW$28,0)+IF(O513="gd",-(0.05-INDEX(绊状态确认!X:X,MATCH($G513,绊状态确认!$B:$B,)))*$EW$32*$EW$30*(1-$EW$33),0)</f>
        <v>-6253.6726349699375</v>
      </c>
      <c r="BJ513" s="420">
        <f>IF(O513="vo",0.05*(1-$FI$26)*$FA$24,0)+IF(O513="sk",-(0.05-INDEX(绊状态确认!W:W,MATCH($G513,绊状态确认!$B:$B,)))*(1-$FI$26)*$FA$24+0.05*$FA$26,0)+IF(O513="sp",0.05*$FA$32*$FA$27*(1-$FA$33)/$FA$30+0.05*$FA$29/$FA$69*$FA$27*(1-$FA$33)-(0.05-INDEX(绊状态确认!V:V,MATCH($G513,绊状态确认!$B:$B,)))*$FA$26,0)+IF(O513="gd",-(0.05-INDEX(绊状态确认!X:X,MATCH($G513,绊状态确认!$B:$B,)))*$FA$32*$FA$27*(1-$FA$33)/$FA$30-(0.05-INDEX(绊状态确认!X:X,MATCH($G513,绊状态确认!$B:$B,)))*$FA$29/$FA$69*$FA$27*(1-$FA$33),0)</f>
        <v>20.459096812499922</v>
      </c>
      <c r="BK513" s="1110">
        <f>IF(O513="vo",$EW$26/$EW$24*0.05+$EW$26*(-HP($EW$62,$EW$65,$EW$64)+HP($EW$62,$EW$65,(1.05-INDEX(绊状态确认!U:U,MATCH($G513,绊状态确认!$B:$B,)))*$EW$64)),0)+IF(O513="sk",-$EW$26/$EW$24*(0.05-INDEX(绊状态确认!W:W,MATCH($G513,绊状态确认!$B:$B,)))+0.05*$EW$29,0)+IF(O513="sp",0.05*$EW$32*$EW$30*(1-$EW$33)-(0.05-INDEX(绊状态确认!V:V,MATCH($G513,绊状态确认!$B:$B,)))*$EW$29,0)+IF(O513="gd",-(0.05-INDEX(绊状态确认!X:X,MATCH($G513,绊状态确认!$B:$B,)))*$EW$32*$EW$30*(1-$EW$33)+$EW$26*(-HP($EW$62,$EW$65,$EW$64)+HP($EW$62,$EW$65,0.95*$EW$64)),0)</f>
        <v>-4253.6726349699375</v>
      </c>
      <c r="BL513" s="1111">
        <f t="shared" si="629"/>
        <v>0</v>
      </c>
      <c r="BM513" s="1110">
        <f t="shared" si="630"/>
        <v>0</v>
      </c>
      <c r="BN513" s="1113">
        <f t="shared" si="631"/>
        <v>3</v>
      </c>
      <c r="BO513" s="1108">
        <f t="shared" si="632"/>
        <v>4507.7214871259994</v>
      </c>
      <c r="BP513" s="1100">
        <f t="shared" si="633"/>
        <v>221.34103209030098</v>
      </c>
      <c r="BQ513" s="1113" t="s">
        <v>132</v>
      </c>
      <c r="BR513" s="1124" t="s">
        <v>171</v>
      </c>
      <c r="BS513" s="421">
        <f>IF($P513="","N/A",IF($P513=-1,INDEX('卡片raw data'!AX:AX,MATCH($D513,'卡片raw data'!$F:$F,)),0)+IF($L513="party卡",IF($P513=5,INDEX('卡片raw data'!BD:BD,MATCH($D513,'卡片raw data'!$F:$F,)),IF($P513&gt;=3,INDEX('卡片raw data'!BC:BC,MATCH($D513,'卡片raw data'!$F:$F,)),INDEX('卡片raw data'!BB:BB,MATCH($D513,'卡片raw data'!$F:$F,)))),IF(OR(AND($F513="UR",$P513=0),AND($F513="SR",$P513&gt;=0,$P513&lt;=2),AND($F513="R",$P513&gt;=0,$P513&lt;4)),INDEX('卡片raw data'!AZ:AZ,MATCH($D513,'卡片raw data'!$F:$F,)),0)+IF(OR(AND($F513="UR",$P513&gt;=1,$P513&lt;=4),AND($F513="SR",$P513&lt;=4,$P513&gt;=3),AND($F513="R",$P513=4)),INDEX('卡片raw data'!BA:BA,MATCH($D513,'卡片raw data'!$F:$F,)),0)+IF($P513=5,INDEX('卡片raw data'!BB:BB,MATCH($D513,'卡片raw data'!$F:$F,)),0)))</f>
        <v>5.1999999999999998E-2</v>
      </c>
      <c r="BT513" s="424">
        <f t="shared" si="634"/>
        <v>2604.4613036728001</v>
      </c>
      <c r="BU513" s="420">
        <f t="shared" si="635"/>
        <v>111.90018844565216</v>
      </c>
      <c r="BV513" s="420">
        <f t="shared" si="636"/>
        <v>1302.2306518363998</v>
      </c>
      <c r="BW513" s="436">
        <f t="shared" si="637"/>
        <v>0</v>
      </c>
      <c r="BX513" s="423">
        <f t="shared" si="638"/>
        <v>2604.4613036728001</v>
      </c>
      <c r="BY513" s="433">
        <f t="shared" si="639"/>
        <v>1302.2306518363998</v>
      </c>
      <c r="BZ513" s="1113" t="s">
        <v>569</v>
      </c>
      <c r="CA513" s="450"/>
      <c r="CB513" s="421">
        <f>IF($P513="","N/A",IF($P513=-1,INDEX('卡片raw data'!BE:BE,MATCH($D513,'卡片raw data'!$F:$F,)),0)+IF($L513="party卡",IF($P513=5,INDEX('卡片raw data'!BK:BK,MATCH($D513,'卡片raw data'!$F:$F,)),IF($P513&gt;=3,INDEX('卡片raw data'!BJ:BJ,MATCH($D513,'卡片raw data'!$F:$F,)),INDEX('卡片raw data'!BI:BI,MATCH($D513,'卡片raw data'!$F:$F,)))),IF(OR(AND($F513="UR",$P513=0),AND($F513="SR",$P513&gt;=0,$P513&lt;=2),AND($F513="R",$P513&gt;=0,$P513&lt;4)),INDEX('卡片raw data'!BG:BG,MATCH($D513,'卡片raw data'!$F:$F,)),0)+IF(OR(AND($F513="UR",$P513&gt;=1,$P513&lt;=4),AND($F513="SR",$P513&lt;=4,$P513&gt;=3),AND($F513="R",$P513=4)),INDEX('卡片raw data'!BH:BH,MATCH($D513,'卡片raw data'!$F:$F,)),0)+IF($P513=5,INDEX('卡片raw data'!BI:BI,MATCH($D513,'卡片raw data'!$F:$F,)),0)))</f>
        <v>0</v>
      </c>
      <c r="CC513" s="424">
        <f t="shared" si="640"/>
        <v>0</v>
      </c>
      <c r="CD513" s="420">
        <f>IF(BZ513="ap",CB513*(1-$FI$26)*$FB$5/$FB$11*(+IF(CA513="全员",$FA$24,0)+IF(CA513="同作战",$FA$24,0)+IF(CA513="仲间",$FA$24*2/3,0)+IF(CA513="同属性",$FA$24*$FA$37/3,0)+IF(CA513="同年级",$FA$24*$FA$40/3,0)+IF(CA513="同学校",$FA$24*$FA$43/3,0)+IF(CA513="同小队",$FA$24*$FA$46/3,0)+IF(CA513="同type",$FA$24*INDEX($FB$49:$FB$52,MATCH(X513,$FA$49:$FA$52,))/3,0)+IF(CA513="自身",#REF!/3,0)),0)+IF(BZ513="te",CB513*(1-$FI$27)*($FA$20-1)*$FB$7/$FB$13*(+IF(CA513="全员",$FA$19*$FA$24/(1+($FA$20-1)*$FA$19),0)+IF(CA513="同作战",$FA$19*$FA$24/(1+($FA$20-1)*$FA$19),0)+IF(CA513="仲间",$FA$19*$FA$24*2/3/(1+($FA$20-1)*$FA$19),0)+IF(CA513="同属性",$FA$19*$FA$24*$FA$37/3/(1+($FA$20-1)*$FA$19),0)+IF(CA513="同年级",$FA$19*$FA$24*$FA$40/3/(1+($FA$20-1)*$FA$19),0)+IF(CA513="同学校",$FA$19*$FA$24*$FA$43/3/(1+($FA$20-1)*$FA$19),0)+IF(CA513="同小队",$FA$19*$FA$24*$FA$46/3/(1+($FA$20-1)*$FA$19),0)+IF(CA513="同type",$FA$19*$FA$24*INDEX($FB$49:$FB$52,MATCH(X513,$FA$49:$FA$52,))/3/(1+($FA$20-1)*$FA$19),0)+IF(CA513="自身",$FA$19*#REF!/3/(1+(BH513-1)*$BD513),0)),0)</f>
        <v>0</v>
      </c>
      <c r="CE513" s="420">
        <f t="shared" si="641"/>
        <v>0</v>
      </c>
      <c r="CF513" s="436">
        <f t="shared" si="642"/>
        <v>0</v>
      </c>
      <c r="CG513" s="423">
        <f t="shared" si="643"/>
        <v>0</v>
      </c>
      <c r="CH513" s="433">
        <f t="shared" si="644"/>
        <v>0</v>
      </c>
      <c r="CI513" s="1113" t="s">
        <v>170</v>
      </c>
      <c r="CJ513" s="1114">
        <v>0.3</v>
      </c>
      <c r="CK513" s="1115" t="s">
        <v>4268</v>
      </c>
      <c r="CL513" s="1115" t="s">
        <v>4269</v>
      </c>
      <c r="CM513" s="1119">
        <v>7.1999999999999995E-2</v>
      </c>
      <c r="CN513" s="1115">
        <v>5</v>
      </c>
      <c r="CO513" s="1115"/>
      <c r="CP513" s="1118">
        <f t="shared" si="645"/>
        <v>2.5714285714285715E-4</v>
      </c>
      <c r="CQ513" s="1118">
        <f t="shared" si="646"/>
        <v>3.5E-4</v>
      </c>
      <c r="CR513" s="1118">
        <f t="shared" si="647"/>
        <v>1.2857142857142855E-4</v>
      </c>
      <c r="CS513" s="442">
        <f t="shared" si="648"/>
        <v>0</v>
      </c>
      <c r="CT513" s="432">
        <f t="shared" si="649"/>
        <v>0</v>
      </c>
      <c r="CU513" s="1101">
        <f t="shared" si="650"/>
        <v>34.967039535848826</v>
      </c>
      <c r="CV513" s="1108">
        <f t="shared" si="685"/>
        <v>2.2979502984375002</v>
      </c>
      <c r="CW513" s="1097">
        <f t="shared" si="651"/>
        <v>17.483519767924413</v>
      </c>
      <c r="CX513" s="1097">
        <f t="shared" si="652"/>
        <v>34.967039535848826</v>
      </c>
      <c r="CY513" s="1110">
        <f t="shared" si="653"/>
        <v>17.483519767924413</v>
      </c>
      <c r="CZ513" s="437"/>
      <c r="DA513" s="438"/>
      <c r="DB513" s="439" t="s">
        <v>569</v>
      </c>
      <c r="DC513" s="439"/>
      <c r="DD513" s="443"/>
      <c r="DE513" s="411"/>
      <c r="DF513" s="411"/>
      <c r="DG513" s="1116">
        <f t="shared" si="654"/>
        <v>0</v>
      </c>
      <c r="DH513" s="1116">
        <f t="shared" si="655"/>
        <v>0</v>
      </c>
      <c r="DI513" s="1116">
        <f t="shared" si="656"/>
        <v>0</v>
      </c>
      <c r="DJ513" s="442">
        <f t="shared" si="657"/>
        <v>0</v>
      </c>
      <c r="DK513" s="432">
        <f t="shared" si="658"/>
        <v>0</v>
      </c>
      <c r="DL513" s="424">
        <f t="shared" si="659"/>
        <v>0</v>
      </c>
      <c r="DM513" s="420">
        <f t="shared" si="660"/>
        <v>0</v>
      </c>
      <c r="DN513" s="420">
        <f t="shared" si="661"/>
        <v>0</v>
      </c>
      <c r="DO513" s="420">
        <f t="shared" si="662"/>
        <v>0</v>
      </c>
      <c r="DP513" s="433">
        <f t="shared" si="663"/>
        <v>0</v>
      </c>
      <c r="DQ513" s="1113" t="s">
        <v>545</v>
      </c>
      <c r="DR513" s="1114">
        <v>0.11</v>
      </c>
      <c r="DS513" s="1124"/>
      <c r="DT513" s="1093" t="s">
        <v>132</v>
      </c>
      <c r="DU513" s="1124"/>
      <c r="DV513" s="1098">
        <f>IF($P513="","N/A",IF(P513=-1,INDEX('卡片raw data'!AN:AN,MATCH(D513,'卡片raw data'!$F:$F,)),0)+IF(AND(L513&lt;&gt;"party卡",P513&lt;=2,P513&gt;=0),INDEX('卡片raw data'!AP:AP,MATCH(D513,'卡片raw data'!$F:$F,)),0)+IF(OR(AND(L513="party卡",P513&lt;=1),AND(P513&lt;=4,L513&lt;&gt;"party卡",P513&gt;=3)),INDEX('卡片raw data'!AQ:AQ,MATCH(D513,'卡片raw data'!$F:$F,)),0)+IF(OR(P513=5,AND(L513="party卡",P513&gt;=2)),INDEX('卡片raw data'!AR:AR,MATCH(D513,'卡片raw data'!$F:$F,)),0))</f>
        <v>0.6</v>
      </c>
      <c r="DW513" s="1098">
        <f t="shared" si="665"/>
        <v>0.11</v>
      </c>
      <c r="DX513" s="1098">
        <f t="shared" si="666"/>
        <v>0.11</v>
      </c>
      <c r="DY513" s="1097">
        <f t="shared" si="667"/>
        <v>1171.8634616260001</v>
      </c>
      <c r="DZ513" s="1097">
        <f t="shared" si="668"/>
        <v>909.12043721035673</v>
      </c>
      <c r="EA513" s="421">
        <f t="shared" si="669"/>
        <v>0</v>
      </c>
      <c r="EB513" s="445">
        <f t="shared" si="670"/>
        <v>0</v>
      </c>
      <c r="EC513" s="424">
        <f t="shared" si="671"/>
        <v>1289.0498077886002</v>
      </c>
      <c r="ED513" s="420">
        <f t="shared" si="672"/>
        <v>909.12043721035673</v>
      </c>
      <c r="EE513" s="433">
        <f t="shared" si="683"/>
        <v>1289.0498077886002</v>
      </c>
      <c r="EF513" s="1113" t="s">
        <v>569</v>
      </c>
      <c r="EG513" s="1114">
        <v>0.11</v>
      </c>
      <c r="EH513" s="450"/>
      <c r="EI513" s="1124"/>
      <c r="EJ513" s="1124"/>
      <c r="EK513" s="1097">
        <f>IF($P513="","N/A",IF(P513=-1,INDEX('卡片raw data'!AS:AS,MATCH(D513,'卡片raw data'!$F:$F,)),0)+IF(AND(L513&lt;&gt;"party卡",P513&lt;=2,P513&gt;=0),INDEX('卡片raw data'!AU:AU,MATCH(D513,'卡片raw data'!$F:$F,)),0)+IF(OR(AND(L513="party卡",P513&lt;=1),AND(P513&lt;=4,L513&lt;&gt;"party卡",P513&gt;=3)),INDEX('卡片raw data'!AV:AV,MATCH(D513,'卡片raw data'!$F:$F,)),0)+IF(OR(P513=5,AND(L513="party卡",P513&gt;=2)),INDEX('卡片raw data'!AW:AW,MATCH(D513,'卡片raw data'!$F:$F,)),0))</f>
        <v>0</v>
      </c>
      <c r="EL513" s="1098">
        <f t="shared" si="674"/>
        <v>0.11</v>
      </c>
      <c r="EM513" s="1098">
        <f t="shared" si="675"/>
        <v>0.11</v>
      </c>
      <c r="EN513" s="1097">
        <f t="shared" si="676"/>
        <v>0</v>
      </c>
      <c r="EO513" s="1097">
        <f t="shared" si="677"/>
        <v>0</v>
      </c>
      <c r="EP513" s="421">
        <f t="shared" si="678"/>
        <v>0</v>
      </c>
      <c r="EQ513" s="445">
        <f t="shared" si="679"/>
        <v>0</v>
      </c>
      <c r="ER513" s="424">
        <f t="shared" si="680"/>
        <v>0</v>
      </c>
      <c r="ES513" s="420">
        <f t="shared" si="681"/>
        <v>0</v>
      </c>
      <c r="ET513" s="446">
        <f t="shared" si="684"/>
        <v>0</v>
      </c>
    </row>
    <row r="514" spans="2:150" ht="16.5" customHeight="1">
      <c r="B514" s="448" t="str">
        <f>INDEX('卡片raw data'!B:B,MATCH($D514,'卡片raw data'!$F:$F,))</f>
        <v>泳池彼</v>
      </c>
      <c r="C514" s="449" t="s">
        <v>4257</v>
      </c>
      <c r="D514" s="408">
        <v>511</v>
      </c>
      <c r="E514" s="477">
        <v>402063004</v>
      </c>
      <c r="F514" s="409" t="str">
        <f>INDEX('卡片raw data'!C:C,MATCH($D514,'卡片raw data'!$F:$F,))</f>
        <v>UR</v>
      </c>
      <c r="G514" s="414" t="s">
        <v>4270</v>
      </c>
      <c r="H514" s="411">
        <f>IFERROR(INDEX(绊状态确认!C:C,MATCH($G514,绊状态确认!$B:$B,)),"")</f>
        <v>206</v>
      </c>
      <c r="I514" s="450" t="str">
        <f>IFERROR(INDEX(绊状态确认!D:D,MATCH($G514,绊状态确认!$B:$B,)),"")</f>
        <v>虹</v>
      </c>
      <c r="J514" s="450" t="str">
        <f>IFERROR(INDEX(绊状态确认!E:E,MATCH($G514,绊状态确认!$B:$B,)),"")</f>
        <v>3年级</v>
      </c>
      <c r="K514" s="451" t="str">
        <f>IFERROR(INDEX(绊状态确认!F:F,MATCH($G514,绊状态确认!$B:$B,)),"")</f>
        <v>QU4RTZ</v>
      </c>
      <c r="L514" s="414" t="str">
        <f>INDEX('卡片raw data'!E:E,MATCH($D514,'卡片raw data'!$F:$F,))</f>
        <v>活动卡</v>
      </c>
      <c r="M514" s="478">
        <v>44412</v>
      </c>
      <c r="N514" s="479">
        <v>45</v>
      </c>
      <c r="O514" s="410" t="str">
        <f>INDEX('卡片raw data'!D:D,MATCH($D514,'卡片raw data'!$F:$F,))</f>
        <v>vo</v>
      </c>
      <c r="P514" s="1126">
        <v>5</v>
      </c>
      <c r="Q514" s="418">
        <f t="shared" si="600"/>
        <v>60368.58492306812</v>
      </c>
      <c r="R514" s="419">
        <f t="shared" si="601"/>
        <v>0.70099999999999996</v>
      </c>
      <c r="S514" s="420">
        <f t="shared" si="602"/>
        <v>20377.112027822099</v>
      </c>
      <c r="T514" s="421">
        <f t="shared" si="603"/>
        <v>1.018</v>
      </c>
      <c r="U514" s="422">
        <f t="shared" si="604"/>
        <v>-13.404625967457143</v>
      </c>
      <c r="V514" s="423">
        <f t="shared" si="605"/>
        <v>59988.176955832183</v>
      </c>
      <c r="W514" s="424">
        <f t="shared" si="606"/>
        <v>5627.7049856372178</v>
      </c>
      <c r="X514" s="419">
        <f t="shared" si="607"/>
        <v>6.5000000000000002E-2</v>
      </c>
      <c r="Y514" s="420">
        <f t="shared" si="608"/>
        <v>924.2604830057644</v>
      </c>
      <c r="Z514" s="425">
        <f t="shared" si="609"/>
        <v>11.595374032542857</v>
      </c>
      <c r="AA514" s="426">
        <f t="shared" si="610"/>
        <v>6551.9654686429822</v>
      </c>
      <c r="AB514" s="424">
        <f t="shared" si="611"/>
        <v>6679.5066659666172</v>
      </c>
      <c r="AC514" s="427">
        <f t="shared" si="612"/>
        <v>7.6999999999999999E-2</v>
      </c>
      <c r="AD514" s="428">
        <f t="shared" si="613"/>
        <v>-2.5456562499999998E-2</v>
      </c>
      <c r="AE514" s="516">
        <f t="shared" si="614"/>
        <v>-12.383855275159624</v>
      </c>
      <c r="AF514" s="1130">
        <f t="shared" si="615"/>
        <v>0</v>
      </c>
      <c r="AG514" s="420">
        <f t="shared" si="616"/>
        <v>0</v>
      </c>
      <c r="AH514" s="420">
        <f t="shared" si="617"/>
        <v>0</v>
      </c>
      <c r="AI514" s="1097">
        <f t="shared" si="618"/>
        <v>0</v>
      </c>
      <c r="AJ514" s="420">
        <f t="shared" si="619"/>
        <v>0</v>
      </c>
      <c r="AK514" s="518">
        <f t="shared" si="620"/>
        <v>0</v>
      </c>
      <c r="AL514" s="429">
        <f>IF($P514="","N/A",(IF($P514=-1,INDEX('卡片raw data'!S:S,MATCH($D514,'卡片raw data'!$F:$F,)),0)+IF($P514=0,INDEX('卡片raw data'!V:V,MATCH($D514,'卡片raw data'!$F:$F,)),0)+IF($P514=1,INDEX('卡片raw data'!Y:Y,MATCH($D514,'卡片raw data'!$F:$F,)),0)+IF($P514=2,INDEX('卡片raw data'!AB:AB,MATCH($D514,'卡片raw data'!$F:$F,)),0)+IF($P514=3,INDEX('卡片raw data'!AE:AE,MATCH($D514,'卡片raw data'!$F:$F,)),0)+IF($P514=4,INDEX('卡片raw data'!AH:AH,MATCH($D514,'卡片raw data'!$F:$F,)),0)+IF($P514=5,INDEX('卡片raw data'!AK:AK,MATCH($D514,'卡片raw data'!$F:$F,)),0)+INDEX('卡片raw data'!S:S,MATCH($D514,'卡片raw data'!$F:$F,))*(IF($F514="UR",0.04,0.033))*(IF($F514="UR",INDEX(绊状态确认!$S:$S,MATCH($G514,绊状态确认!$B:$B,))/2-40)+IF($F514="SR",INDEX(绊状态确认!$R:$R,MATCH($G514,绊状态确认!$B:$B,))/4-15))+IF($F514="R",INDEX(绊状态确认!$Q:$Q,MATCH($G514,绊状态确认!$B:$B,))/6-40/6)))*(INDEX(绊状态确认!$H:$H,MATCH($G514,绊状态确认!$B:$B,))+INDEX(绊状态确认!J:J,MATCH($G514,绊状态确认!$B:$B,)))</f>
        <v>13463.885375999998</v>
      </c>
      <c r="AM514" s="429">
        <f>IF($P514="","N/A",(IF($P514=-1,INDEX('卡片raw data'!T:T,MATCH($D514,'卡片raw data'!$F:$F,)),0)+IF($P514=0,INDEX('卡片raw data'!W:W,MATCH($D514,'卡片raw data'!$F:$F,)),0)+IF($P514=1,INDEX('卡片raw data'!Z:Z,MATCH($D514,'卡片raw data'!$F:$F,)),0)+IF($P514=2,INDEX('卡片raw data'!AC:AC,MATCH($D514,'卡片raw data'!$F:$F,)),0)+IF($P514=3,INDEX('卡片raw data'!AF:AF,MATCH($D514,'卡片raw data'!$F:$F,)),0)+IF($P514=4,INDEX('卡片raw data'!AI:AI,MATCH($D514,'卡片raw data'!$F:$F,)),0)+IF($P514=5,INDEX('卡片raw data'!AL:AL,MATCH($D514,'卡片raw data'!$F:$F,)),0)+INDEX('卡片raw data'!T:T,MATCH($D514,'卡片raw data'!$F:$F,))*(IF($F514="UR",0.04,0.033))*(IF($F514="UR",INDEX(绊状态确认!$S:$S,MATCH($G514,绊状态确认!$B:$B,))/2-40)+IF($F514="SR",INDEX(绊状态确认!$R:$R,MATCH($G514,绊状态确认!$B:$B,))/4-15))+IF($F514="R",INDEX(绊状态确认!$Q:$Q,MATCH($G514,绊状态确认!$B:$B,))/6-40/6)))*(INDEX(绊状态确认!$H:$H,MATCH($G514,绊状态确认!$B:$B,))+INDEX(绊状态确认!K:K,MATCH($G514,绊状态确认!$B:$B,)))</f>
        <v>5947.5084959999995</v>
      </c>
      <c r="AN514" s="429">
        <f>IF($P514="","N/A",(IF($P514=-1,INDEX('卡片raw data'!U:U,MATCH($D514,'卡片raw data'!$F:$F,)),0)+IF($P514=0,INDEX('卡片raw data'!X:X,MATCH($D514,'卡片raw data'!$F:$F,)),0)+IF($P514=1,INDEX('卡片raw data'!AA:AA,MATCH($D514,'卡片raw data'!$F:$F,)),0)+IF($P514=2,INDEX('卡片raw data'!AD:AD,MATCH($D514,'卡片raw data'!$F:$F,)),0)+IF($P514=3,INDEX('卡片raw data'!AG:AG,MATCH($D514,'卡片raw data'!$F:$F,)),0)+IF($P514=4,INDEX('卡片raw data'!AJ:AJ,MATCH($D514,'卡片raw data'!$F:$F,)),0)+IF($P514=5,INDEX('卡片raw data'!AM:AM,MATCH($D514,'卡片raw data'!$F:$F,)),0)+INDEX('卡片raw data'!U:U,MATCH($D514,'卡片raw data'!$F:$F,))*(IF($F514="UR",0.04,0.033))*(IF($F514="UR",INDEX(绊状态确认!$S:$S,MATCH($G514,绊状态确认!$B:$B,))/2-40)+IF($F514="SR",INDEX(绊状态确认!$R:$R,MATCH($G514,绊状态确认!$B:$B,))/4-15))+IF($F514="R",INDEX(绊状态确认!$Q:$Q,MATCH($G514,绊状态确认!$B:$B,))/6-40/6)))*(INDEX(绊状态确认!$H:$H,MATCH($G514,绊状态确认!$B:$B,))+INDEX(绊状态确认!L:L,MATCH($G514,绊状态确认!$B:$B,)))</f>
        <v>11899.653504</v>
      </c>
      <c r="AO514" s="430">
        <f t="shared" si="621"/>
        <v>1</v>
      </c>
      <c r="AP514" s="556">
        <f>1+(INDEX(绊状态确认!$T:$T,MATCH($G514,绊状态确认!$B:$B,))+0.2)*$AO514</f>
        <v>1.3</v>
      </c>
      <c r="AQ514" s="431">
        <f t="shared" si="622"/>
        <v>38592.699111999995</v>
      </c>
      <c r="AR514" s="420">
        <f>(AM514*(1+$EX$9)+$EX$35)*(1+(INDEX(绊状态确认!$T:$T,MATCH($G514,绊状态确认!$B:$B,))+0.2)*AO514)*IF(J514=$FF$17,1+$FE$17,1)*IF(I514=$FF$14,1+$FE$14,1)</f>
        <v>10822.34909704</v>
      </c>
      <c r="AS514" s="420">
        <f>(AN514*(1+$EX$10)+$EX$36)*(1+(INDEX(绊状态确认!$T:$T,MATCH($G514,绊状态确认!$B:$B,))+0.2)*AO514)*IF(J514=$FF$17,1+$FE$17,1)*IF(I514=$FF$14,1+$FE$14,1)</f>
        <v>21845.981988479998</v>
      </c>
      <c r="AT514" s="412">
        <f>IF(AND(INDEX('卡片raw data'!AK:AK,MATCH($D514,'卡片raw data'!$F:$F,))&lt;INDEX('卡片raw data'!AM:AM,MATCH($D514,'卡片raw data'!$F:$F,)),INDEX('卡片raw data'!AL:AL,MATCH($D514,'卡片raw data'!$F:$F,))&lt;INDEX('卡片raw data'!AM:AM,MATCH($D514,'卡片raw data'!$F:$F,))),1,0)</f>
        <v>0</v>
      </c>
      <c r="AU514" s="421">
        <f>MIN(AT514*0.15+AS514*0.00003+INDEX(绊状态确认!M:M,MATCH($G514,绊状态确认!$B:$B,)),1)</f>
        <v>0.68537945965439995</v>
      </c>
      <c r="AV514" s="432">
        <f>(INDEX(绊状态确认!$N:$N,MATCH($G514,绊状态确认!$B:$B,))+1.5)*$EW$21</f>
        <v>2.6599999999999997</v>
      </c>
      <c r="AW514" s="424">
        <f t="shared" si="623"/>
        <v>42846.499815166891</v>
      </c>
      <c r="AX514" s="420">
        <f t="shared" si="624"/>
        <v>924.26048300576451</v>
      </c>
      <c r="AY514" s="433">
        <f t="shared" si="625"/>
        <v>43770.76029817266</v>
      </c>
      <c r="AZ514" s="429">
        <f t="shared" si="626"/>
        <v>28854.576483199995</v>
      </c>
      <c r="BA514" s="431">
        <f t="shared" si="627"/>
        <v>34625.491779839991</v>
      </c>
      <c r="BB514" s="420">
        <f>(AM514*(1+$FB$9)+$FB$35)*(1+(INDEX(绊状态确认!$T:$T,MATCH($G514,绊状态确认!$B:$B,))+0.2)*AO514)*IF(J514=$FF$17,1+$FE$17,1)*IF(I514=$FF$14,1+$FE$14,1)*(1+$FE$15)</f>
        <v>10822.34909704</v>
      </c>
      <c r="BC514" s="420">
        <f>(AN514*(1+$FB$10)+$FB$36)*(1+(INDEX(绊状态确认!$T:$T,MATCH($G514,绊状态确认!$B:$B,))+0.2)*AO514)*IF(J514=$FF$17,1+$FE$17,1)*IF(I514=$FF$14,1+$FE$14,1)*(1+$FE$15)</f>
        <v>21845.981988479998</v>
      </c>
      <c r="BD514" s="427">
        <f>MIN(AT514*0.15+BC514*0.00003+INDEX(绊状态确认!M:M,MATCH($G514,绊状态确认!$B:$B,)),1)</f>
        <v>0.68537945965439995</v>
      </c>
      <c r="BE514" s="432">
        <f>(INDEX(绊状态确认!$N:$N,MATCH($G514,绊状态确认!$B:$B,))+1.5)</f>
        <v>1.9</v>
      </c>
      <c r="BF514" s="645">
        <f t="array" ref="BF514">SUMPRODUCT(IF(AZ514*AP514*$FI$16:$FI$23*$FA$22&gt;=$FI$24,$FI$24,AZ514*AP514*$FI$16:$FI$23*$FA$22),$FJ$16:$FJ$23)</f>
        <v>55134.088025372796</v>
      </c>
      <c r="BG514" s="453">
        <f t="array" ref="BG514">SUMPRODUCT(IF(BE514*AZ514*AP514*$FI$16:$FI$23*$FA$22&gt;=$FI$24,$FI$24,BE514*AZ514*AP514*$FI$16:$FI$23*$FA$22),$FJ$16:$FJ$23)</f>
        <v>60000</v>
      </c>
      <c r="BH514" s="433">
        <f t="shared" si="628"/>
        <v>19489.694715089554</v>
      </c>
      <c r="BI514" s="434">
        <f>IF(O514="vo",$EW$26/$EW$24*0.05,0)+IF(O514="sk",-$EW$26/$EW$24*(0.05-INDEX(绊状态确认!W:W,MATCH($G514,绊状态确认!$B:$B,)))+0.05*$EW$28,0)+IF(O514="sp",0.05*$EW$32*$EW$30*(1-$EW$33)-(0.05-INDEX(绊状态确认!V:V,MATCH($G514,绊状态确认!$B:$B,)))*$EW$28,0)+IF(O514="gd",-(0.05-INDEX(绊状态确认!X:X,MATCH($G514,绊状态确认!$B:$B,)))*$EW$32*$EW$30*(1-$EW$33),0)</f>
        <v>7726.3029277443748</v>
      </c>
      <c r="BJ514" s="420">
        <f>IF(O514="vo",0.05*(1-$FI$26)*$FA$24,0)+IF(O514="sk",-(0.05-INDEX(绊状态确认!W:W,MATCH($G514,绊状态确认!$B:$B,)))*(1-$FI$26)*$FA$24+0.05*$FA$26,0)+IF(O514="sp",0.05*$FA$32*$FA$27*(1-$FA$33)/$FA$30+0.05*$FA$29/$FA$69*$FA$27*(1-$FA$33)-(0.05-INDEX(绊状态确认!V:V,MATCH($G514,绊状态确认!$B:$B,)))*$FA$26,0)+IF(O514="gd",-(0.05-INDEX(绊状态确认!X:X,MATCH($G514,绊状态确认!$B:$B,)))*$FA$32*$FA$27*(1-$FA$33)/$FA$30-(0.05-INDEX(绊状态确认!X:X,MATCH($G514,绊状态确认!$B:$B,)))*$FA$29/$FA$69*$FA$27*(1-$FA$33),0)</f>
        <v>393.93433687500004</v>
      </c>
      <c r="BK514" s="433">
        <f>IF(O514="vo",$EW$26/$EW$24*0.05+$EW$26*(-HP($EW$62,$EW$65,$EW$64)+HP($EW$62,$EW$65,(1.05-INDEX(绊状态确认!U:U,MATCH($G514,绊状态确认!$B:$B,)))*$EW$64)),0)+IF(O514="sk",-$EW$26/$EW$24*(0.05-INDEX(绊状态确认!W:W,MATCH($G514,绊状态确认!$B:$B,)))+0.05*$EW$29,0)+IF(O514="sp",0.05*$EW$32*$EW$30*(1-$EW$33)-(0.05-INDEX(绊状态确认!V:V,MATCH($G514,绊状态确认!$B:$B,)))*$EW$29,0)+IF(O514="gd",-(0.05-INDEX(绊状态确认!X:X,MATCH($G514,绊状态确认!$B:$B,)))*$EW$32*$EW$30*(1-$EW$33)+$EW$26*(-HP($EW$62,$EW$65,$EW$64)+HP($EW$62,$EW$65,0.95*$EW$64)),0)</f>
        <v>6421.6344775026746</v>
      </c>
      <c r="BL514" s="434">
        <f t="shared" si="629"/>
        <v>0</v>
      </c>
      <c r="BM514" s="433">
        <f t="shared" si="630"/>
        <v>0</v>
      </c>
      <c r="BN514" s="437">
        <f t="shared" si="631"/>
        <v>3</v>
      </c>
      <c r="BO514" s="1108">
        <f t="shared" si="632"/>
        <v>4507.7214871259994</v>
      </c>
      <c r="BP514" s="1100">
        <f t="shared" si="633"/>
        <v>221.34103209030098</v>
      </c>
      <c r="BQ514" s="437" t="s">
        <v>132</v>
      </c>
      <c r="BR514" s="450" t="s">
        <v>171</v>
      </c>
      <c r="BS514" s="421">
        <f>IF($P514="","N/A",IF($P514=-1,INDEX('卡片raw data'!AX:AX,MATCH($D514,'卡片raw data'!$F:$F,)),0)+IF($L514="party卡",IF($P514=5,INDEX('卡片raw data'!BD:BD,MATCH($D514,'卡片raw data'!$F:$F,)),IF($P514&gt;=3,INDEX('卡片raw data'!BC:BC,MATCH($D514,'卡片raw data'!$F:$F,)),INDEX('卡片raw data'!BB:BB,MATCH($D514,'卡片raw data'!$F:$F,)))),IF(OR(AND($F514="UR",$P514=0),AND($F514="SR",$P514&gt;=0,$P514&lt;=2),AND($F514="R",$P514&gt;=0,$P514&lt;4)),INDEX('卡片raw data'!AZ:AZ,MATCH($D514,'卡片raw data'!$F:$F,)),0)+IF(OR(AND($F514="UR",$P514&gt;=1,$P514&lt;=4),AND($F514="SR",$P514&lt;=4,$P514&gt;=3),AND($F514="R",$P514=4)),INDEX('卡片raw data'!BA:BA,MATCH($D514,'卡片raw data'!$F:$F,)),0)+IF($P514=5,INDEX('卡片raw data'!BB:BB,MATCH($D514,'卡片raw data'!$F:$F,)),0)))</f>
        <v>4.2000000000000003E-2</v>
      </c>
      <c r="BT514" s="424">
        <f t="shared" si="634"/>
        <v>2103.6033606587998</v>
      </c>
      <c r="BU514" s="420">
        <f t="shared" si="635"/>
        <v>90.380921436872924</v>
      </c>
      <c r="BV514" s="420">
        <f t="shared" si="636"/>
        <v>1051.8016803293999</v>
      </c>
      <c r="BW514" s="436">
        <f t="shared" si="637"/>
        <v>0</v>
      </c>
      <c r="BX514" s="423">
        <f t="shared" si="638"/>
        <v>2103.6033606587998</v>
      </c>
      <c r="BY514" s="433">
        <f t="shared" si="639"/>
        <v>1051.8016803293999</v>
      </c>
      <c r="BZ514" s="1113" t="s">
        <v>569</v>
      </c>
      <c r="CA514" s="450"/>
      <c r="CB514" s="421">
        <f>IF($P514="","N/A",IF($P514=-1,INDEX('卡片raw data'!BE:BE,MATCH($D514,'卡片raw data'!$F:$F,)),0)+IF($L514="party卡",IF($P514=5,INDEX('卡片raw data'!BK:BK,MATCH($D514,'卡片raw data'!$F:$F,)),IF($P514&gt;=3,INDEX('卡片raw data'!BJ:BJ,MATCH($D514,'卡片raw data'!$F:$F,)),INDEX('卡片raw data'!BI:BI,MATCH($D514,'卡片raw data'!$F:$F,)))),IF(OR(AND($F514="UR",$P514=0),AND($F514="SR",$P514&gt;=0,$P514&lt;=2),AND($F514="R",$P514&gt;=0,$P514&lt;4)),INDEX('卡片raw data'!BG:BG,MATCH($D514,'卡片raw data'!$F:$F,)),0)+IF(OR(AND($F514="UR",$P514&gt;=1,$P514&lt;=4),AND($F514="SR",$P514&lt;=4,$P514&gt;=3),AND($F514="R",$P514=4)),INDEX('卡片raw data'!BH:BH,MATCH($D514,'卡片raw data'!$F:$F,)),0)+IF($P514=5,INDEX('卡片raw data'!BI:BI,MATCH($D514,'卡片raw data'!$F:$F,)),0)))</f>
        <v>0</v>
      </c>
      <c r="CC514" s="424">
        <f t="shared" si="640"/>
        <v>0</v>
      </c>
      <c r="CD514" s="420">
        <f>IF(BZ514="ap",CB514*(1-$FI$26)*$FB$5/$FB$11*(+IF(CA514="全员",$FA$24,0)+IF(CA514="同作战",$FA$24,0)+IF(CA514="仲间",$FA$24*2/3,0)+IF(CA514="同属性",$FA$24*$FA$37/3,0)+IF(CA514="同年级",$FA$24*$FA$40/3,0)+IF(CA514="同学校",$FA$24*$FA$43/3,0)+IF(CA514="同小队",$FA$24*$FA$46/3,0)+IF(CA514="同type",$FA$24*INDEX($FB$49:$FB$52,MATCH(X514,$FA$49:$FA$52,))/3,0)+IF(CA514="自身",#REF!/3,0)),0)+IF(BZ514="te",CB514*(1-$FI$27)*($FA$20-1)*$FB$7/$FB$13*(+IF(CA514="全员",$FA$19*$FA$24/(1+($FA$20-1)*$FA$19),0)+IF(CA514="同作战",$FA$19*$FA$24/(1+($FA$20-1)*$FA$19),0)+IF(CA514="仲间",$FA$19*$FA$24*2/3/(1+($FA$20-1)*$FA$19),0)+IF(CA514="同属性",$FA$19*$FA$24*$FA$37/3/(1+($FA$20-1)*$FA$19),0)+IF(CA514="同年级",$FA$19*$FA$24*$FA$40/3/(1+($FA$20-1)*$FA$19),0)+IF(CA514="同学校",$FA$19*$FA$24*$FA$43/3/(1+($FA$20-1)*$FA$19),0)+IF(CA514="同小队",$FA$19*$FA$24*$FA$46/3/(1+($FA$20-1)*$FA$19),0)+IF(CA514="同type",$FA$19*$FA$24*INDEX($FB$49:$FB$52,MATCH(X514,$FA$49:$FA$52,))/3/(1+($FA$20-1)*$FA$19),0)+IF(CA514="自身",$FA$19*#REF!/3/(1+(BH514-1)*$BD514),0)),0)</f>
        <v>0</v>
      </c>
      <c r="CE514" s="420">
        <f t="shared" si="641"/>
        <v>0</v>
      </c>
      <c r="CF514" s="436">
        <f t="shared" si="642"/>
        <v>0</v>
      </c>
      <c r="CG514" s="423">
        <f t="shared" si="643"/>
        <v>0</v>
      </c>
      <c r="CH514" s="433">
        <f t="shared" si="644"/>
        <v>0</v>
      </c>
      <c r="CI514" s="437" t="s">
        <v>165</v>
      </c>
      <c r="CJ514" s="438">
        <v>0.3</v>
      </c>
      <c r="CK514" s="439" t="s">
        <v>2160</v>
      </c>
      <c r="CL514" s="439" t="s">
        <v>161</v>
      </c>
      <c r="CM514" s="443">
        <v>0.1</v>
      </c>
      <c r="CN514" s="439">
        <v>15</v>
      </c>
      <c r="CO514" s="1115"/>
      <c r="CP514" s="1118">
        <f t="shared" si="645"/>
        <v>1.6071428571428569E-3</v>
      </c>
      <c r="CQ514" s="1118">
        <f t="shared" si="646"/>
        <v>2.4999999999999996E-3</v>
      </c>
      <c r="CR514" s="1118">
        <f t="shared" si="647"/>
        <v>1.6071428571428569E-3</v>
      </c>
      <c r="CS514" s="442">
        <f t="shared" si="648"/>
        <v>2.5625000000000001E-3</v>
      </c>
      <c r="CT514" s="432">
        <f t="shared" si="649"/>
        <v>0</v>
      </c>
      <c r="CU514" s="1101">
        <f t="shared" si="650"/>
        <v>68.181818181818173</v>
      </c>
      <c r="CV514" s="1108">
        <f t="shared" si="685"/>
        <v>56.818181818181806</v>
      </c>
      <c r="CW514" s="1097">
        <f t="shared" si="651"/>
        <v>68.181818181818173</v>
      </c>
      <c r="CX514" s="1097">
        <f t="shared" si="652"/>
        <v>68.181818181818173</v>
      </c>
      <c r="CY514" s="1110">
        <f t="shared" si="653"/>
        <v>68.181818181818173</v>
      </c>
      <c r="CZ514" s="437"/>
      <c r="DA514" s="438"/>
      <c r="DB514" s="439" t="s">
        <v>569</v>
      </c>
      <c r="DC514" s="439"/>
      <c r="DD514" s="443"/>
      <c r="DE514" s="411"/>
      <c r="DF514" s="411"/>
      <c r="DG514" s="1116">
        <f t="shared" si="654"/>
        <v>0</v>
      </c>
      <c r="DH514" s="1116">
        <f t="shared" si="655"/>
        <v>0</v>
      </c>
      <c r="DI514" s="1116">
        <f t="shared" si="656"/>
        <v>0</v>
      </c>
      <c r="DJ514" s="442">
        <f t="shared" si="657"/>
        <v>0</v>
      </c>
      <c r="DK514" s="432">
        <f t="shared" si="658"/>
        <v>0</v>
      </c>
      <c r="DL514" s="424">
        <f t="shared" si="659"/>
        <v>0</v>
      </c>
      <c r="DM514" s="420">
        <f t="shared" si="660"/>
        <v>0</v>
      </c>
      <c r="DN514" s="420">
        <f t="shared" si="661"/>
        <v>0</v>
      </c>
      <c r="DO514" s="420">
        <f t="shared" si="662"/>
        <v>0</v>
      </c>
      <c r="DP514" s="433">
        <f t="shared" si="663"/>
        <v>0</v>
      </c>
      <c r="DQ514" s="437" t="s">
        <v>2074</v>
      </c>
      <c r="DR514" s="1114">
        <v>0.11</v>
      </c>
      <c r="DS514" s="450">
        <v>5</v>
      </c>
      <c r="DT514" s="1124" t="s">
        <v>2127</v>
      </c>
      <c r="DU514" s="1124" t="s">
        <v>2145</v>
      </c>
      <c r="DV514" s="1098">
        <f>IF($P514="","N/A",IF(P514=-1,INDEX('卡片raw data'!AN:AN,MATCH(D514,'卡片raw data'!$F:$F,)),0)+IF(AND(L514&lt;&gt;"party卡",P514&lt;=2,P514&gt;=0),INDEX('卡片raw data'!AP:AP,MATCH(D514,'卡片raw data'!$F:$F,)),0)+IF(OR(AND(L514="party卡",P514&lt;=1),AND(P514&lt;=4,L514&lt;&gt;"party卡",P514&gt;=3)),INDEX('卡片raw data'!AQ:AQ,MATCH(D514,'卡片raw data'!$F:$F,)),0)+IF(OR(P514=5,AND(L514="party卡",P514&gt;=2)),INDEX('卡片raw data'!AR:AR,MATCH(D514,'卡片raw data'!$F:$F,)),0))</f>
        <v>0.1</v>
      </c>
      <c r="DW514" s="1098">
        <f t="shared" si="665"/>
        <v>0.11</v>
      </c>
      <c r="DX514" s="1098">
        <f t="shared" si="666"/>
        <v>0.11</v>
      </c>
      <c r="DY514" s="1098">
        <f t="shared" si="667"/>
        <v>1.8333333333333333E-2</v>
      </c>
      <c r="DZ514" s="1098">
        <f t="shared" si="668"/>
        <v>1.5858333333333332E-2</v>
      </c>
      <c r="EA514" s="421">
        <f t="shared" si="669"/>
        <v>0</v>
      </c>
      <c r="EB514" s="445">
        <f t="shared" si="670"/>
        <v>0</v>
      </c>
      <c r="EC514" s="424">
        <f t="shared" si="671"/>
        <v>3116.2755141902312</v>
      </c>
      <c r="ED514" s="420">
        <f t="shared" si="672"/>
        <v>124.9428405121875</v>
      </c>
      <c r="EE514" s="433">
        <f t="shared" si="683"/>
        <v>3116.2755141902312</v>
      </c>
      <c r="EF514" s="1113" t="s">
        <v>569</v>
      </c>
      <c r="EG514" s="1114">
        <v>0.11</v>
      </c>
      <c r="EH514" s="450"/>
      <c r="EI514" s="1124"/>
      <c r="EJ514" s="1124"/>
      <c r="EK514" s="420">
        <f>IF($P514="","N/A",IF(P514=-1,INDEX('卡片raw data'!AS:AS,MATCH(D514,'卡片raw data'!$F:$F,)),0)+IF(AND(L514&lt;&gt;"party卡",P514&lt;=2,P514&gt;=0),INDEX('卡片raw data'!AU:AU,MATCH(D514,'卡片raw data'!$F:$F,)),0)+IF(OR(AND(L514="party卡",P514&lt;=1),AND(P514&lt;=4,L514&lt;&gt;"party卡",P514&gt;=3)),INDEX('卡片raw data'!AV:AV,MATCH(D514,'卡片raw data'!$F:$F,)),0)+IF(OR(P514=5,AND(L514="party卡",P514&gt;=2)),INDEX('卡片raw data'!AW:AW,MATCH(D514,'卡片raw data'!$F:$F,)),0))</f>
        <v>0</v>
      </c>
      <c r="EL514" s="1098">
        <f t="shared" si="674"/>
        <v>0.11</v>
      </c>
      <c r="EM514" s="1098">
        <f t="shared" si="675"/>
        <v>0.11</v>
      </c>
      <c r="EN514" s="1097">
        <f t="shared" si="676"/>
        <v>0</v>
      </c>
      <c r="EO514" s="1097">
        <f t="shared" si="677"/>
        <v>0</v>
      </c>
      <c r="EP514" s="421">
        <f t="shared" si="678"/>
        <v>0</v>
      </c>
      <c r="EQ514" s="445">
        <f t="shared" si="679"/>
        <v>0</v>
      </c>
      <c r="ER514" s="424">
        <f t="shared" si="680"/>
        <v>0</v>
      </c>
      <c r="ES514" s="420">
        <f t="shared" si="681"/>
        <v>0</v>
      </c>
      <c r="ET514" s="446">
        <f t="shared" si="684"/>
        <v>0</v>
      </c>
    </row>
    <row r="515" spans="2:150" ht="16.5" customHeight="1">
      <c r="B515" s="448" t="str">
        <f>INDEX('卡片raw data'!B:B,MATCH($D515,'卡片raw data'!$F:$F,))</f>
        <v>虹心霞</v>
      </c>
      <c r="C515" s="449" t="s">
        <v>4257</v>
      </c>
      <c r="D515" s="408">
        <v>512</v>
      </c>
      <c r="E515" s="477">
        <v>402022006</v>
      </c>
      <c r="F515" s="409" t="str">
        <f>INDEX('卡片raw data'!C:C,MATCH($D515,'卡片raw data'!$F:$F,))</f>
        <v>SR</v>
      </c>
      <c r="G515" s="414" t="s">
        <v>4271</v>
      </c>
      <c r="H515" s="411">
        <f>IFERROR(INDEX(绊状态确认!C:C,MATCH($G515,绊状态确认!$B:$B,)),"")</f>
        <v>202</v>
      </c>
      <c r="I515" s="450" t="str">
        <f>IFERROR(INDEX(绊状态确认!D:D,MATCH($G515,绊状态确认!$B:$B,)),"")</f>
        <v>虹</v>
      </c>
      <c r="J515" s="450" t="str">
        <f>IFERROR(INDEX(绊状态确认!E:E,MATCH($G515,绊状态确认!$B:$B,)),"")</f>
        <v>1年级</v>
      </c>
      <c r="K515" s="451" t="str">
        <f>IFERROR(INDEX(绊状态确认!F:F,MATCH($G515,绊状态确认!$B:$B,)),"")</f>
        <v>QU4RTZ</v>
      </c>
      <c r="L515" s="414" t="str">
        <f>INDEX('卡片raw data'!E:E,MATCH($D515,'卡片raw data'!$F:$F,))</f>
        <v>活动卡</v>
      </c>
      <c r="M515" s="478">
        <v>44412</v>
      </c>
      <c r="N515" s="479">
        <v>45</v>
      </c>
      <c r="O515" s="410" t="str">
        <f>INDEX('卡片raw data'!D:D,MATCH($D515,'卡片raw data'!$F:$F,))</f>
        <v>sk</v>
      </c>
      <c r="P515" s="1126">
        <v>5</v>
      </c>
      <c r="Q515" s="418">
        <f t="shared" si="600"/>
        <v>20502.635210915152</v>
      </c>
      <c r="R515" s="419">
        <f t="shared" si="601"/>
        <v>0.23799999999999999</v>
      </c>
      <c r="S515" s="420">
        <f t="shared" si="602"/>
        <v>15416.885910211304</v>
      </c>
      <c r="T515" s="421">
        <f t="shared" si="603"/>
        <v>0.77</v>
      </c>
      <c r="U515" s="422">
        <f t="shared" si="604"/>
        <v>11.214221040582858</v>
      </c>
      <c r="V515" s="423">
        <f t="shared" si="605"/>
        <v>23395.817168937545</v>
      </c>
      <c r="W515" s="424">
        <f t="shared" si="606"/>
        <v>4544.0851234896354</v>
      </c>
      <c r="X515" s="419">
        <f t="shared" si="607"/>
        <v>5.1999999999999998E-2</v>
      </c>
      <c r="Y515" s="420">
        <f t="shared" si="608"/>
        <v>893.1819580223937</v>
      </c>
      <c r="Z515" s="425">
        <f t="shared" si="609"/>
        <v>11.214221040582858</v>
      </c>
      <c r="AA515" s="426">
        <f t="shared" si="610"/>
        <v>5437.2670815120291</v>
      </c>
      <c r="AB515" s="424">
        <f t="shared" si="611"/>
        <v>4960.4001945116343</v>
      </c>
      <c r="AC515" s="427">
        <f t="shared" si="612"/>
        <v>5.7000000000000002E-2</v>
      </c>
      <c r="AD515" s="428">
        <f t="shared" si="613"/>
        <v>8.7058695460464006E-2</v>
      </c>
      <c r="AE515" s="516">
        <f t="shared" si="614"/>
        <v>37.465084444129651</v>
      </c>
      <c r="AF515" s="1130">
        <f t="shared" si="615"/>
        <v>0</v>
      </c>
      <c r="AG515" s="420">
        <f t="shared" si="616"/>
        <v>0</v>
      </c>
      <c r="AH515" s="420">
        <f t="shared" si="617"/>
        <v>0</v>
      </c>
      <c r="AI515" s="1097">
        <f t="shared" si="618"/>
        <v>0</v>
      </c>
      <c r="AJ515" s="420">
        <f t="shared" si="619"/>
        <v>0</v>
      </c>
      <c r="AK515" s="518">
        <f t="shared" si="620"/>
        <v>0</v>
      </c>
      <c r="AL515" s="429">
        <f>IF($P515="","N/A",(IF($P515=-1,INDEX('卡片raw data'!S:S,MATCH($D515,'卡片raw data'!$F:$F,)),0)+IF($P515=0,INDEX('卡片raw data'!V:V,MATCH($D515,'卡片raw data'!$F:$F,)),0)+IF($P515=1,INDEX('卡片raw data'!Y:Y,MATCH($D515,'卡片raw data'!$F:$F,)),0)+IF($P515=2,INDEX('卡片raw data'!AB:AB,MATCH($D515,'卡片raw data'!$F:$F,)),0)+IF($P515=3,INDEX('卡片raw data'!AE:AE,MATCH($D515,'卡片raw data'!$F:$F,)),0)+IF($P515=4,INDEX('卡片raw data'!AH:AH,MATCH($D515,'卡片raw data'!$F:$F,)),0)+IF($P515=5,INDEX('卡片raw data'!AK:AK,MATCH($D515,'卡片raw data'!$F:$F,)),0)+INDEX('卡片raw data'!S:S,MATCH($D515,'卡片raw data'!$F:$F,))*(IF($F515="UR",0.04,0.033))*(IF($F515="UR",INDEX(绊状态确认!$S:$S,MATCH($G515,绊状态确认!$B:$B,))/2-40)+IF($F515="SR",INDEX(绊状态确认!$R:$R,MATCH($G515,绊状态确认!$B:$B,))/4-15))+IF($F515="R",INDEX(绊状态确认!$Q:$Q,MATCH($G515,绊状态确认!$B:$B,))/6-40/6)))*(INDEX(绊状态确认!$H:$H,MATCH($G515,绊状态确认!$B:$B,))+INDEX(绊状态确认!J:J,MATCH($G515,绊状态确认!$B:$B,)))</f>
        <v>6865.0355831999996</v>
      </c>
      <c r="AM515" s="429">
        <f>IF($P515="","N/A",(IF($P515=-1,INDEX('卡片raw data'!T:T,MATCH($D515,'卡片raw data'!$F:$F,)),0)+IF($P515=0,INDEX('卡片raw data'!W:W,MATCH($D515,'卡片raw data'!$F:$F,)),0)+IF($P515=1,INDEX('卡片raw data'!Z:Z,MATCH($D515,'卡片raw data'!$F:$F,)),0)+IF($P515=2,INDEX('卡片raw data'!AC:AC,MATCH($D515,'卡片raw data'!$F:$F,)),0)+IF($P515=3,INDEX('卡片raw data'!AF:AF,MATCH($D515,'卡片raw data'!$F:$F,)),0)+IF($P515=4,INDEX('卡片raw data'!AI:AI,MATCH($D515,'卡片raw data'!$F:$F,)),0)+IF($P515=5,INDEX('卡片raw data'!AL:AL,MATCH($D515,'卡片raw data'!$F:$F,)),0)+INDEX('卡片raw data'!T:T,MATCH($D515,'卡片raw data'!$F:$F,))*(IF($F515="UR",0.04,0.033))*(IF($F515="UR",INDEX(绊状态确认!$S:$S,MATCH($G515,绊状态确认!$B:$B,))/2-40)+IF($F515="SR",INDEX(绊状态确认!$R:$R,MATCH($G515,绊状态确认!$B:$B,))/4-15))+IF($F515="R",INDEX(绊状态确认!$Q:$Q,MATCH($G515,绊状态确认!$B:$B,))/6-40/6)))*(INDEX(绊状态确认!$H:$H,MATCH($G515,绊状态确认!$B:$B,))+INDEX(绊状态确认!K:K,MATCH($G515,绊状态确认!$B:$B,)))</f>
        <v>5686.8910655999998</v>
      </c>
      <c r="AN515" s="429">
        <f>IF($P515="","N/A",(IF($P515=-1,INDEX('卡片raw data'!U:U,MATCH($D515,'卡片raw data'!$F:$F,)),0)+IF($P515=0,INDEX('卡片raw data'!X:X,MATCH($D515,'卡片raw data'!$F:$F,)),0)+IF($P515=1,INDEX('卡片raw data'!AA:AA,MATCH($D515,'卡片raw data'!$F:$F,)),0)+IF($P515=2,INDEX('卡片raw data'!AD:AD,MATCH($D515,'卡片raw data'!$F:$F,)),0)+IF($P515=3,INDEX('卡片raw data'!AG:AG,MATCH($D515,'卡片raw data'!$F:$F,)),0)+IF($P515=4,INDEX('卡片raw data'!AJ:AJ,MATCH($D515,'卡片raw data'!$F:$F,)),0)+IF($P515=5,INDEX('卡片raw data'!AM:AM,MATCH($D515,'卡片raw data'!$F:$F,)),0)+INDEX('卡片raw data'!U:U,MATCH($D515,'卡片raw data'!$F:$F,))*(IF($F515="UR",0.04,0.033))*(IF($F515="UR",INDEX(绊状态确认!$S:$S,MATCH($G515,绊状态确认!$B:$B,))/2-40)+IF($F515="SR",INDEX(绊状态确认!$R:$R,MATCH($G515,绊状态确认!$B:$B,))/4-15))+IF($F515="R",INDEX(绊状态确认!$Q:$Q,MATCH($G515,绊状态确认!$B:$B,))/6-40/6)))*(INDEX(绊状态确认!$H:$H,MATCH($G515,绊状态确认!$B:$B,))+INDEX(绊状态确认!L:L,MATCH($G515,绊状态确认!$B:$B,)))</f>
        <v>7058.4895007999994</v>
      </c>
      <c r="AO515" s="430">
        <f t="shared" si="621"/>
        <v>1</v>
      </c>
      <c r="AP515" s="556">
        <f>1+(INDEX(绊状态确认!$T:$T,MATCH($G515,绊状态确认!$B:$B,))+0.2)*$AO515</f>
        <v>1.3</v>
      </c>
      <c r="AQ515" s="431">
        <f t="shared" si="622"/>
        <v>21270.718405899999</v>
      </c>
      <c r="AR515" s="420">
        <f>(AM515*(1+$EX$9)+$EX$35)*(1+(INDEX(绊状态确认!$T:$T,MATCH($G515,绊状态确认!$B:$B,))+0.2)*AO515)*IF(J515=$FF$17,1+$FE$17,1)*IF(I515=$FF$14,1+$FE$14,1)</f>
        <v>10466.606304544001</v>
      </c>
      <c r="AS515" s="420">
        <f>(AN515*(1+$EX$10)+$EX$36)*(1+(INDEX(绊状态确认!$T:$T,MATCH($G515,绊状态确认!$B:$B,))+0.2)*AO515)*IF(J515=$FF$17,1+$FE$17,1)*IF(I515=$FF$14,1+$FE$14,1)</f>
        <v>14608.441803695998</v>
      </c>
      <c r="AT515" s="412">
        <f>IF(AND(INDEX('卡片raw data'!AK:AK,MATCH($D515,'卡片raw data'!$F:$F,))&lt;INDEX('卡片raw data'!AM:AM,MATCH($D515,'卡片raw data'!$F:$F,)),INDEX('卡片raw data'!AL:AL,MATCH($D515,'卡片raw data'!$F:$F,))&lt;INDEX('卡片raw data'!AM:AM,MATCH($D515,'卡片raw data'!$F:$F,))),1,0)</f>
        <v>1</v>
      </c>
      <c r="AU515" s="421">
        <f>MIN(AT515*0.15+AS515*0.00003+INDEX(绊状态确认!M:M,MATCH($G515,绊状态确认!$B:$B,)),1)</f>
        <v>0.61825325411087995</v>
      </c>
      <c r="AV515" s="432">
        <f>(INDEX(绊状态确认!$N:$N,MATCH($G515,绊状态确认!$B:$B,))+1.5)*$EW$21</f>
        <v>2.6599999999999997</v>
      </c>
      <c r="AW515" s="424">
        <f t="shared" si="623"/>
        <v>22384.291489757292</v>
      </c>
      <c r="AX515" s="420">
        <f t="shared" si="624"/>
        <v>893.18195802239359</v>
      </c>
      <c r="AY515" s="433">
        <f t="shared" si="625"/>
        <v>23277.473447779685</v>
      </c>
      <c r="AZ515" s="429">
        <f t="shared" si="626"/>
        <v>15986.819387239999</v>
      </c>
      <c r="BA515" s="431">
        <f t="shared" si="627"/>
        <v>19184.183264687999</v>
      </c>
      <c r="BB515" s="420">
        <f>(AM515*(1+$FB$9)+$FB$35)*(1+(INDEX(绊状态确认!$T:$T,MATCH($G515,绊状态确认!$B:$B,))+0.2)*AO515)*IF(J515=$FF$17,1+$FE$17,1)*IF(I515=$FF$14,1+$FE$14,1)*(1+$FE$15)</f>
        <v>10466.606304544001</v>
      </c>
      <c r="BC515" s="420">
        <f>(AN515*(1+$FB$10)+$FB$36)*(1+(INDEX(绊状态确认!$T:$T,MATCH($G515,绊状态确认!$B:$B,))+0.2)*AO515)*IF(J515=$FF$17,1+$FE$17,1)*IF(I515=$FF$14,1+$FE$14,1)*(1+$FE$15)</f>
        <v>14608.441803695998</v>
      </c>
      <c r="BD515" s="427">
        <f>MIN(AT515*0.15+BC515*0.00003+INDEX(绊状态确认!M:M,MATCH($G515,绊状态确认!$B:$B,)),1)</f>
        <v>0.61825325411087995</v>
      </c>
      <c r="BE515" s="432">
        <f>(INDEX(绊状态确认!$N:$N,MATCH($G515,绊状态确认!$B:$B,))+1.5)</f>
        <v>1.9</v>
      </c>
      <c r="BF515" s="645">
        <f t="array" ref="BF515">SUMPRODUCT(IF(AZ515*AP515*$FI$16:$FI$23*$FA$22&gt;=$FI$24,$FI$24,AZ515*AP515*$FI$16:$FI$23*$FA$22),$FJ$16:$FJ$23)</f>
        <v>31797.783761220358</v>
      </c>
      <c r="BG515" s="453">
        <f t="array" ref="BG515">SUMPRODUCT(IF(BE515*AZ515*AP515*$FI$16:$FI$23*$FA$22&gt;=$FI$24,$FI$24,BE515*AZ515*AP515*$FI$16:$FI$23*$FA$22),$FJ$16:$FJ$23)</f>
        <v>56774.578425780725</v>
      </c>
      <c r="BH515" s="433">
        <f t="shared" si="628"/>
        <v>15746.589446614687</v>
      </c>
      <c r="BI515" s="434">
        <f>IF(O515="vo",$EW$26/$EW$24*0.05,0)+IF(O515="sk",-$EW$26/$EW$24*(0.05-INDEX(绊状态确认!W:W,MATCH($G515,绊状态确认!$B:$B,)))+0.05*$EW$28,0)+IF(O515="sp",0.05*$EW$32*$EW$30*(1-$EW$33)-(0.05-INDEX(绊状态确认!V:V,MATCH($G515,绊状态确认!$B:$B,)))*$EW$28,0)+IF(O515="gd",-(0.05-INDEX(绊状态确认!X:X,MATCH($G515,绊状态确认!$B:$B,)))*$EW$32*$EW$30*(1-$EW$33),0)</f>
        <v>-6253.6726349699375</v>
      </c>
      <c r="BJ515" s="420">
        <f>IF(O515="vo",0.05*(1-$FI$26)*$FA$24,0)+IF(O515="sk",-(0.05-INDEX(绊状态确认!W:W,MATCH($G515,绊状态确认!$B:$B,)))*(1-$FI$26)*$FA$24+0.05*$FA$26,0)+IF(O515="sp",0.05*$FA$32*$FA$27*(1-$FA$33)/$FA$30+0.05*$FA$29/$FA$69*$FA$27*(1-$FA$33)-(0.05-INDEX(绊状态确认!V:V,MATCH($G515,绊状态确认!$B:$B,)))*$FA$26,0)+IF(O515="gd",-(0.05-INDEX(绊状态确认!X:X,MATCH($G515,绊状态确认!$B:$B,)))*$FA$32*$FA$27*(1-$FA$33)/$FA$30-(0.05-INDEX(绊状态确认!X:X,MATCH($G515,绊状态确认!$B:$B,)))*$FA$29/$FA$69*$FA$27*(1-$FA$33),0)</f>
        <v>20.459096812499922</v>
      </c>
      <c r="BK515" s="433">
        <f>IF(O515="vo",$EW$26/$EW$24*0.05+$EW$26*(-HP($EW$62,$EW$65,$EW$64)+HP($EW$62,$EW$65,(1.05-INDEX(绊状态确认!U:U,MATCH($G515,绊状态确认!$B:$B,)))*$EW$64)),0)+IF(O515="sk",-$EW$26/$EW$24*(0.05-INDEX(绊状态确认!W:W,MATCH($G515,绊状态确认!$B:$B,)))+0.05*$EW$29,0)+IF(O515="sp",0.05*$EW$32*$EW$30*(1-$EW$33)-(0.05-INDEX(绊状态确认!V:V,MATCH($G515,绊状态确认!$B:$B,)))*$EW$29,0)+IF(O515="gd",-(0.05-INDEX(绊状态确认!X:X,MATCH($G515,绊状态确认!$B:$B,)))*$EW$32*$EW$30*(1-$EW$33)+$EW$26*(-HP($EW$62,$EW$65,$EW$64)+HP($EW$62,$EW$65,0.95*$EW$64)),0)</f>
        <v>-4253.6726349699375</v>
      </c>
      <c r="BL515" s="434">
        <f t="shared" si="629"/>
        <v>-1083.3333333333333</v>
      </c>
      <c r="BM515" s="433">
        <f t="shared" si="630"/>
        <v>-830.55555555555543</v>
      </c>
      <c r="BN515" s="437">
        <f t="shared" si="631"/>
        <v>3</v>
      </c>
      <c r="BO515" s="1108">
        <f t="shared" si="632"/>
        <v>4507.7214871259994</v>
      </c>
      <c r="BP515" s="1100">
        <f t="shared" si="633"/>
        <v>221.34103209030098</v>
      </c>
      <c r="BQ515" s="437" t="s">
        <v>134</v>
      </c>
      <c r="BR515" s="450" t="s">
        <v>166</v>
      </c>
      <c r="BS515" s="421">
        <f>IF($P515="","N/A",IF($P515=-1,INDEX('卡片raw data'!AX:AX,MATCH($D515,'卡片raw data'!$F:$F,)),0)+IF($L515="party卡",IF($P515=5,INDEX('卡片raw data'!BD:BD,MATCH($D515,'卡片raw data'!$F:$F,)),IF($P515&gt;=3,INDEX('卡片raw data'!BC:BC,MATCH($D515,'卡片raw data'!$F:$F,)),INDEX('卡片raw data'!BB:BB,MATCH($D515,'卡片raw data'!$F:$F,)))),IF(OR(AND($F515="UR",$P515=0),AND($F515="SR",$P515&gt;=0,$P515&lt;=2),AND($F515="R",$P515&gt;=0,$P515&lt;4)),INDEX('卡片raw data'!AZ:AZ,MATCH($D515,'卡片raw data'!$F:$F,)),0)+IF(OR(AND($F515="UR",$P515&gt;=1,$P515&lt;=4),AND($F515="SR",$P515&lt;=4,$P515&gt;=3),AND($F515="R",$P515=4)),INDEX('卡片raw data'!BA:BA,MATCH($D515,'卡片raw data'!$F:$F,)),0)+IF($P515=5,INDEX('卡片raw data'!BB:BB,MATCH($D515,'卡片raw data'!$F:$F,)),0)))</f>
        <v>7.0000000000000007E-2</v>
      </c>
      <c r="BT515" s="424">
        <f t="shared" si="634"/>
        <v>416.31507102199828</v>
      </c>
      <c r="BU515" s="420">
        <f t="shared" si="635"/>
        <v>28.062306916037592</v>
      </c>
      <c r="BV515" s="420">
        <f t="shared" si="636"/>
        <v>0</v>
      </c>
      <c r="BW515" s="436">
        <f t="shared" si="637"/>
        <v>0</v>
      </c>
      <c r="BX515" s="423">
        <f t="shared" si="638"/>
        <v>416.31507102199828</v>
      </c>
      <c r="BY515" s="433">
        <f t="shared" si="639"/>
        <v>0</v>
      </c>
      <c r="BZ515" s="1113" t="s">
        <v>569</v>
      </c>
      <c r="CA515" s="450"/>
      <c r="CB515" s="421">
        <f>IF($P515="","N/A",IF($P515=-1,INDEX('卡片raw data'!BE:BE,MATCH($D515,'卡片raw data'!$F:$F,)),0)+IF($L515="party卡",IF($P515=5,INDEX('卡片raw data'!BK:BK,MATCH($D515,'卡片raw data'!$F:$F,)),IF($P515&gt;=3,INDEX('卡片raw data'!BJ:BJ,MATCH($D515,'卡片raw data'!$F:$F,)),INDEX('卡片raw data'!BI:BI,MATCH($D515,'卡片raw data'!$F:$F,)))),IF(OR(AND($F515="UR",$P515=0),AND($F515="SR",$P515&gt;=0,$P515&lt;=2),AND($F515="R",$P515&gt;=0,$P515&lt;4)),INDEX('卡片raw data'!BG:BG,MATCH($D515,'卡片raw data'!$F:$F,)),0)+IF(OR(AND($F515="UR",$P515&gt;=1,$P515&lt;=4),AND($F515="SR",$P515&lt;=4,$P515&gt;=3),AND($F515="R",$P515=4)),INDEX('卡片raw data'!BH:BH,MATCH($D515,'卡片raw data'!$F:$F,)),0)+IF($P515=5,INDEX('卡片raw data'!BI:BI,MATCH($D515,'卡片raw data'!$F:$F,)),0)))</f>
        <v>0</v>
      </c>
      <c r="CC515" s="424">
        <f t="shared" si="640"/>
        <v>0</v>
      </c>
      <c r="CD515" s="420">
        <f>IF(BZ515="ap",CB515*(1-$FI$26)*$FB$5/$FB$11*(+IF(CA515="全员",$FA$24,0)+IF(CA515="同作战",$FA$24,0)+IF(CA515="仲间",$FA$24*2/3,0)+IF(CA515="同属性",$FA$24*$FA$37/3,0)+IF(CA515="同年级",$FA$24*$FA$40/3,0)+IF(CA515="同学校",$FA$24*$FA$43/3,0)+IF(CA515="同小队",$FA$24*$FA$46/3,0)+IF(CA515="同type",$FA$24*INDEX($FB$49:$FB$52,MATCH(X515,$FA$49:$FA$52,))/3,0)+IF(CA515="自身",#REF!/3,0)),0)+IF(BZ515="te",CB515*(1-$FI$27)*($FA$20-1)*$FB$7/$FB$13*(+IF(CA515="全员",$FA$19*$FA$24/(1+($FA$20-1)*$FA$19),0)+IF(CA515="同作战",$FA$19*$FA$24/(1+($FA$20-1)*$FA$19),0)+IF(CA515="仲间",$FA$19*$FA$24*2/3/(1+($FA$20-1)*$FA$19),0)+IF(CA515="同属性",$FA$19*$FA$24*$FA$37/3/(1+($FA$20-1)*$FA$19),0)+IF(CA515="同年级",$FA$19*$FA$24*$FA$40/3/(1+($FA$20-1)*$FA$19),0)+IF(CA515="同学校",$FA$19*$FA$24*$FA$43/3/(1+($FA$20-1)*$FA$19),0)+IF(CA515="同小队",$FA$19*$FA$24*$FA$46/3/(1+($FA$20-1)*$FA$19),0)+IF(CA515="同type",$FA$19*$FA$24*INDEX($FB$49:$FB$52,MATCH(X515,$FA$49:$FA$52,))/3/(1+($FA$20-1)*$FA$19),0)+IF(CA515="自身",$FA$19*#REF!/3/(1+(BH515-1)*$BD515),0)),0)</f>
        <v>0</v>
      </c>
      <c r="CE515" s="420">
        <f t="shared" si="641"/>
        <v>0</v>
      </c>
      <c r="CF515" s="436">
        <f t="shared" si="642"/>
        <v>0</v>
      </c>
      <c r="CG515" s="423">
        <f t="shared" si="643"/>
        <v>0</v>
      </c>
      <c r="CH515" s="433">
        <f t="shared" si="644"/>
        <v>0</v>
      </c>
      <c r="CI515" s="437" t="s">
        <v>170</v>
      </c>
      <c r="CJ515" s="438">
        <v>0.3</v>
      </c>
      <c r="CK515" s="439" t="s">
        <v>295</v>
      </c>
      <c r="CL515" s="439" t="s">
        <v>161</v>
      </c>
      <c r="CM515" s="443">
        <v>0.08</v>
      </c>
      <c r="CN515" s="439">
        <v>10</v>
      </c>
      <c r="CO515" s="1092"/>
      <c r="CP515" s="1118">
        <f t="shared" si="645"/>
        <v>8.571428571428571E-4</v>
      </c>
      <c r="CQ515" s="1118">
        <f t="shared" si="646"/>
        <v>1.3333333333333333E-3</v>
      </c>
      <c r="CR515" s="1118">
        <f t="shared" si="647"/>
        <v>8.571428571428571E-4</v>
      </c>
      <c r="CS515" s="1118">
        <f t="shared" si="648"/>
        <v>6.1499999999999992E-2</v>
      </c>
      <c r="CT515" s="1109">
        <f t="shared" si="649"/>
        <v>0</v>
      </c>
      <c r="CU515" s="1101">
        <f t="shared" si="650"/>
        <v>36.36363636363636</v>
      </c>
      <c r="CV515" s="1108">
        <f t="shared" si="685"/>
        <v>30.303030303030301</v>
      </c>
      <c r="CW515" s="1097">
        <f t="shared" si="651"/>
        <v>36.36363636363636</v>
      </c>
      <c r="CX515" s="1097">
        <f t="shared" si="652"/>
        <v>36.36363636363636</v>
      </c>
      <c r="CY515" s="1110">
        <f t="shared" si="653"/>
        <v>36.36363636363636</v>
      </c>
      <c r="CZ515" s="437"/>
      <c r="DA515" s="438"/>
      <c r="DB515" s="439" t="s">
        <v>569</v>
      </c>
      <c r="DC515" s="439"/>
      <c r="DD515" s="443"/>
      <c r="DE515" s="411"/>
      <c r="DF515" s="411"/>
      <c r="DG515" s="1116">
        <f t="shared" si="654"/>
        <v>0</v>
      </c>
      <c r="DH515" s="1116">
        <f t="shared" si="655"/>
        <v>0</v>
      </c>
      <c r="DI515" s="1116">
        <f t="shared" si="656"/>
        <v>0</v>
      </c>
      <c r="DJ515" s="442">
        <f t="shared" si="657"/>
        <v>0</v>
      </c>
      <c r="DK515" s="432">
        <f t="shared" si="658"/>
        <v>0</v>
      </c>
      <c r="DL515" s="424">
        <f t="shared" si="659"/>
        <v>0</v>
      </c>
      <c r="DM515" s="420">
        <f t="shared" si="660"/>
        <v>0</v>
      </c>
      <c r="DN515" s="420">
        <f t="shared" si="661"/>
        <v>0</v>
      </c>
      <c r="DO515" s="420">
        <f t="shared" si="662"/>
        <v>0</v>
      </c>
      <c r="DP515" s="433">
        <f t="shared" si="663"/>
        <v>0</v>
      </c>
      <c r="DQ515" s="437" t="s">
        <v>2160</v>
      </c>
      <c r="DR515" s="1120">
        <f t="shared" ref="DR515:DR525" si="686">IF(F515="UR",0.33,0.3)</f>
        <v>0.3</v>
      </c>
      <c r="DS515" s="450">
        <v>5</v>
      </c>
      <c r="DT515" s="1124" t="s">
        <v>2075</v>
      </c>
      <c r="DU515" s="1093" t="s">
        <v>544</v>
      </c>
      <c r="DV515" s="1098">
        <f>IF($P515="","N/A",IF(P515=-1,INDEX('卡片raw data'!AN:AN,MATCH(D515,'卡片raw data'!$F:$F,)),0)+IF(AND(L515&lt;&gt;"party卡",P515&lt;=2,P515&gt;=0),INDEX('卡片raw data'!AP:AP,MATCH(D515,'卡片raw data'!$F:$F,)),0)+IF(OR(AND(L515="party卡",P515&lt;=1),AND(P515&lt;=4,L515&lt;&gt;"party卡",P515&gt;=3)),INDEX('卡片raw data'!AQ:AQ,MATCH(D515,'卡片raw data'!$F:$F,)),0)+IF(OR(P515=5,AND(L515="party卡",P515&gt;=2)),INDEX('卡片raw data'!AR:AR,MATCH(D515,'卡片raw data'!$F:$F,)),0))</f>
        <v>3.5000000000000003E-2</v>
      </c>
      <c r="DW515" s="1098">
        <f t="shared" si="665"/>
        <v>0.3</v>
      </c>
      <c r="DX515" s="1098">
        <f t="shared" si="666"/>
        <v>0.3</v>
      </c>
      <c r="DY515" s="1098">
        <f t="shared" si="667"/>
        <v>1.1666666666666667E-2</v>
      </c>
      <c r="DZ515" s="1098">
        <f t="shared" si="668"/>
        <v>8.830208333333334E-3</v>
      </c>
      <c r="EA515" s="421">
        <f t="shared" si="669"/>
        <v>6.5644710286458319E-3</v>
      </c>
      <c r="EB515" s="445">
        <f t="shared" si="670"/>
        <v>0</v>
      </c>
      <c r="EC515" s="424">
        <f t="shared" si="671"/>
        <v>494.94949494949498</v>
      </c>
      <c r="ED515" s="420">
        <f t="shared" si="672"/>
        <v>200.68655303030303</v>
      </c>
      <c r="EE515" s="433">
        <f t="shared" si="683"/>
        <v>494.94949494949498</v>
      </c>
      <c r="EF515" s="1113" t="s">
        <v>569</v>
      </c>
      <c r="EG515" s="1120">
        <f t="shared" ref="EG515:EG525" si="687">IF(F515="UR",0.33,0.3)</f>
        <v>0.3</v>
      </c>
      <c r="EH515" s="450"/>
      <c r="EI515" s="1124"/>
      <c r="EJ515" s="1124"/>
      <c r="EK515" s="420">
        <f>IF($P515="","N/A",IF(P515=-1,INDEX('卡片raw data'!AS:AS,MATCH(D515,'卡片raw data'!$F:$F,)),0)+IF(AND(L515&lt;&gt;"party卡",P515&lt;=2,P515&gt;=0),INDEX('卡片raw data'!AU:AU,MATCH(D515,'卡片raw data'!$F:$F,)),0)+IF(OR(AND(L515="party卡",P515&lt;=1),AND(P515&lt;=4,L515&lt;&gt;"party卡",P515&gt;=3)),INDEX('卡片raw data'!AV:AV,MATCH(D515,'卡片raw data'!$F:$F,)),0)+IF(OR(P515=5,AND(L515="party卡",P515&gt;=2)),INDEX('卡片raw data'!AW:AW,MATCH(D515,'卡片raw data'!$F:$F,)),0))</f>
        <v>0</v>
      </c>
      <c r="EL515" s="1098">
        <f t="shared" si="674"/>
        <v>0.3</v>
      </c>
      <c r="EM515" s="1098">
        <f t="shared" si="675"/>
        <v>0.3</v>
      </c>
      <c r="EN515" s="1097">
        <f t="shared" si="676"/>
        <v>0</v>
      </c>
      <c r="EO515" s="1097">
        <f t="shared" si="677"/>
        <v>0</v>
      </c>
      <c r="EP515" s="421">
        <f t="shared" si="678"/>
        <v>0</v>
      </c>
      <c r="EQ515" s="445">
        <f t="shared" si="679"/>
        <v>0</v>
      </c>
      <c r="ER515" s="424">
        <f t="shared" si="680"/>
        <v>0</v>
      </c>
      <c r="ES515" s="420">
        <f t="shared" si="681"/>
        <v>0</v>
      </c>
      <c r="ET515" s="446">
        <f t="shared" si="684"/>
        <v>0</v>
      </c>
    </row>
    <row r="516" spans="2:150" ht="16.5" customHeight="1">
      <c r="B516" s="448" t="str">
        <f>INDEX('卡片raw data'!B:B,MATCH($D516,'卡片raw data'!$F:$F,))</f>
        <v>aa凛</v>
      </c>
      <c r="C516" s="449" t="s">
        <v>4272</v>
      </c>
      <c r="D516" s="408">
        <v>513</v>
      </c>
      <c r="E516" s="477">
        <v>400052005</v>
      </c>
      <c r="F516" s="409" t="str">
        <f>INDEX('卡片raw data'!C:C,MATCH($D516,'卡片raw data'!$F:$F,))</f>
        <v>SR</v>
      </c>
      <c r="G516" s="1094" t="s">
        <v>4273</v>
      </c>
      <c r="H516" s="411">
        <f>IFERROR(INDEX(绊状态确认!C:C,MATCH($G516,绊状态确认!$B:$B,)),"")</f>
        <v>5</v>
      </c>
      <c r="I516" s="450" t="str">
        <f>IFERROR(INDEX(绊状态确认!D:D,MATCH($G516,绊状态确认!$B:$B,)),"")</f>
        <v>缪</v>
      </c>
      <c r="J516" s="450" t="str">
        <f>IFERROR(INDEX(绊状态确认!E:E,MATCH($G516,绊状态确认!$B:$B,)),"")</f>
        <v>1年级</v>
      </c>
      <c r="K516" s="451" t="str">
        <f>IFERROR(INDEX(绊状态确认!F:F,MATCH($G516,绊状态确认!$B:$B,)),"")</f>
        <v>lilywhite</v>
      </c>
      <c r="L516" s="414" t="str">
        <f>INDEX('卡片raw data'!E:E,MATCH($D516,'卡片raw data'!$F:$F,))</f>
        <v>活动卡</v>
      </c>
      <c r="M516" s="478">
        <v>44412</v>
      </c>
      <c r="N516" s="479">
        <v>45</v>
      </c>
      <c r="O516" s="410" t="str">
        <f>INDEX('卡片raw data'!D:D,MATCH($D516,'卡片raw data'!$F:$F,))</f>
        <v>sp</v>
      </c>
      <c r="P516" s="1126">
        <v>5</v>
      </c>
      <c r="Q516" s="418">
        <f t="shared" ref="Q516:Q579" si="688">IF($P516="",0,AW516+BI516+BO516+BT516+CU516+EC516+ER516+CC516+DL516+BL516)</f>
        <v>27734.336068957262</v>
      </c>
      <c r="R516" s="419">
        <f t="shared" ref="R516:R579" si="689">_xlfn.FLOOR.MATH(IF($P516="","N/A",Q516/$EW$81)*1000)/1000</f>
        <v>0.32200000000000001</v>
      </c>
      <c r="S516" s="420">
        <f t="shared" ref="S516:S579" si="690">IF($P516="",0,BH516+BJ516+BP516+BU516+CV516+ED516+ES516+CD516+DM516+BM516)</f>
        <v>16725.450958617053</v>
      </c>
      <c r="T516" s="421">
        <f t="shared" ref="T516:T579" si="691">_xlfn.FLOOR.MATH(IF($P516="","N/A",S516/($FI$24/3))*1000)/1000</f>
        <v>0.83599999999999997</v>
      </c>
      <c r="U516" s="422">
        <f t="shared" ref="U516:U579" si="692">$EW$64*(IF(O516="vo",-0.05)+IF(O516="gd",0.05))+CP516*(IF(CK516="减伤",$EW$64*(1-$EW$75))+IF(OR(CK516="加盾",AND(CK516="回血",OR(CI516&lt;&gt;"切队",CO516=""))),1))+DG516*(IF(DB516="减伤",$EW$64*(1-$EW$75))+IF(OR(DB516="加盾",AND(DB516="回血",OR(CZ516&lt;&gt;"切队",DF516=""))),1))+AR516*$EW$78/$EW$65+BW516+CF516+DY516*(1+IF(O516="sk",0.05)+IF(O516="sp",-0.05))*(IF(DQ516="减伤",$EW$64*(1-$EW$75))+IF(OR(DQ516="回血",DQ516="加盾"),1))+EN516*(1+IF(O516="sk",0.05)+IF(O516="sp",-0.05))*(IF(EF516="减伤",$EW$64*(1-$EW$75))+IF(OR(EF516="回血",EF516="加盾"),1))</f>
        <v>10.926199040082857</v>
      </c>
      <c r="V516" s="423">
        <f t="shared" ref="V516:V579" si="693">IF($P516="",0,AY516+BK516+BO516+BX516+CX516+EE516+ET516+CG516+DO516+BL516)</f>
        <v>26804.065367505871</v>
      </c>
      <c r="W516" s="424">
        <f t="shared" ref="W516:W579" si="694">IF($P516="",0,BO516+BV516+CW516+CE516+DN516)</f>
        <v>4507.7214871259994</v>
      </c>
      <c r="X516" s="419">
        <f t="shared" ref="X516:X579" si="695">_xlfn.FLOOR.MATH(IF($P516="","N/A",W516/$EW$81)*1000)/1000</f>
        <v>5.1999999999999998E-2</v>
      </c>
      <c r="Y516" s="420">
        <f t="shared" ref="Y516:Y579" si="696">IF($P516="",0,AA516-W516)</f>
        <v>869.72929854861013</v>
      </c>
      <c r="Z516" s="425">
        <f t="shared" ref="Z516:Z579" si="697">CP516*IF(OR(CI516="ap时",CI516="ct时"),0,1)*(IF(CK516="减伤",$EW$64*(1-$EW$75))+IF(OR(CK516="加盾",AND(CK516="回血",OR(CI516&lt;&gt;"切队",CO516=""))),1))+DG516*IF(OR(CZ516="ap时",CZ516="ct时"),0,1)*(IF(DB516="减伤",$EW$64*(1-$EW$75))+IF(OR(DB516="加盾",AND(DB516="回血",OR(CZ516&lt;&gt;"切队",DF516=""))),1))+AR516*$EW$78/$EW$65+BW516+CF516</f>
        <v>10.926199040082857</v>
      </c>
      <c r="AA516" s="426">
        <f t="shared" ref="AA516:AA579" si="698">IF($P516="",0,BO516+BY516+CY516+AX516+CH516+DP516)</f>
        <v>5377.4507856746095</v>
      </c>
      <c r="AB516" s="424">
        <f t="shared" ref="AB516:AB579" si="699">IF($P516="",0,BT516+CU516+BO516+CC516+DL516)</f>
        <v>4936.3217598312203</v>
      </c>
      <c r="AC516" s="427">
        <f t="shared" ref="AC516:AC579" si="700">_xlfn.FLOOR.MATH(IF($P516="","N/A",AB516/$EW$81)*1000)/1000</f>
        <v>5.7000000000000002E-2</v>
      </c>
      <c r="AD516" s="428">
        <f t="shared" ref="AD516:AD579" si="701">CS516+DJ516+EA516+EP516+IF(O516="sp",-0.05*FM$14*FM$15/2)+IF(O516="sk",0.05*FM$14*FM$15/2)+IF(O516="sk",FM$11^2/(3-FM$11)*FM$12)-IF(O516="sk",FM$10,FM$9)*IF(O516="sk",FM$18,FM$17)*($FM$14-DR516)</f>
        <v>-1.9908281250000003E-2</v>
      </c>
      <c r="AE516" s="516">
        <f t="shared" ref="AE516:AE579" si="702">AD516/FM$18*FM$29+CT516+DK516+EB516+EQ516+IF(O516="sp",0.05*$FM$9*3*FM$26)-IF(O516="gd",0.05*$FM$9*3*FM$26)+IF(O516="sp",300*1/3*$FM$11/2)+IF(O516="sk",FM$11^2/(3-FM$11)*FM$13)+IF(F516="R",-100*IF(O516="sk",FM$10,FM$9))+IF(F516="SR",-50*IF(O516="sk",FM$10,FM$9))</f>
        <v>41.311625724637679</v>
      </c>
      <c r="AF516" s="1130">
        <f t="shared" ref="AF516:AF579" si="703">IF(OR(DQ516="回血",DQ516="加盾"),EN516/EL516*3*2*IF(EG516=0.11,$EW$71,$EW$70)+DY516/DW516*3*2*IF(DR516=0.11,$EW$71,$EW$70)+IF(O516="gd",AR516*0.05)+IF(OR(CK516="回血",CK516="加盾"),-(CR516-CP516)*6)+IF(AND(CI516="切队",CO516=""),CP516/$EW$79*$EW$65*2),0)</f>
        <v>0</v>
      </c>
      <c r="AG516" s="420">
        <f t="shared" ref="AG516:AG579" si="704">IF(OR(DQ516="回血",DQ516="加盾"),MAX($EW$64*$EW$65*IF(CK516="减伤",(1-IF(CI516="切队",IF(CO516&lt;&gt;"",MAX(CO516/$EW$79,1),0),1)*CR516),1)-$EW$62*0.3+$EX$17-AR516-(BW516+CF516)/$EW$78*$EW$65-IF(OR(CK516="回血",CK516="加盾"),IF(CI516="切队",IF(CO516&lt;&gt;"",MAX(CO516/$EW$79,1),0),1)*CR516*$EW$65),0),0)</f>
        <v>0</v>
      </c>
      <c r="AH516" s="420">
        <f t="shared" ref="AH516:AH579" si="705">IFERROR(AG516/AF516,0)</f>
        <v>0</v>
      </c>
      <c r="AI516" s="1097">
        <f t="shared" ref="AI516:AI579" si="706">IF(OR(DQ516="回血",DQ516="加盾"),$EW$26*(1-$EW$66)/$EW$66-AH516*(($EW$26*IF(O516="sk",14/3-8/3*$EW$68,5-3*$EW$68)-2*3*Q516*$EW$69)/$EW$66)/$EW$65+($EW$26/3+$EW$26/$EW$24*0.05+$EW$61*4*$EW$26*$EX$5/$EX$11+$EW$28)-($EW$72-W516),0)</f>
        <v>0</v>
      </c>
      <c r="AJ516" s="420">
        <f t="shared" ref="AJ516:AJ579" si="707">IF(OR(DQ516="回血",DQ516="加盾"),V516,0)</f>
        <v>0</v>
      </c>
      <c r="AK516" s="518">
        <f t="shared" ref="AK516:AK579" si="708">IFERROR(AI516-AJ516,"")</f>
        <v>0</v>
      </c>
      <c r="AL516" s="429">
        <f>IF($P516="","N/A",(IF($P516=-1,INDEX('卡片raw data'!S:S,MATCH($D516,'卡片raw data'!$F:$F,)),0)+IF($P516=0,INDEX('卡片raw data'!V:V,MATCH($D516,'卡片raw data'!$F:$F,)),0)+IF($P516=1,INDEX('卡片raw data'!Y:Y,MATCH($D516,'卡片raw data'!$F:$F,)),0)+IF($P516=2,INDEX('卡片raw data'!AB:AB,MATCH($D516,'卡片raw data'!$F:$F,)),0)+IF($P516=3,INDEX('卡片raw data'!AE:AE,MATCH($D516,'卡片raw data'!$F:$F,)),0)+IF($P516=4,INDEX('卡片raw data'!AH:AH,MATCH($D516,'卡片raw data'!$F:$F,)),0)+IF($P516=5,INDEX('卡片raw data'!AK:AK,MATCH($D516,'卡片raw data'!$F:$F,)),0)+INDEX('卡片raw data'!S:S,MATCH($D516,'卡片raw data'!$F:$F,))*(IF($F516="UR",0.04,0.033))*(IF($F516="UR",INDEX(绊状态确认!$S:$S,MATCH($G516,绊状态确认!$B:$B,))/2-40)+IF($F516="SR",INDEX(绊状态确认!$R:$R,MATCH($G516,绊状态确认!$B:$B,))/4-15))+IF($F516="R",INDEX(绊状态确认!$Q:$Q,MATCH($G516,绊状态确认!$B:$B,))/6-40/6)))*(INDEX(绊状态确认!$H:$H,MATCH($G516,绊状态确认!$B:$B,))+INDEX(绊状态确认!J:J,MATCH($G516,绊状态确认!$B:$B,)))</f>
        <v>7452.365740799999</v>
      </c>
      <c r="AM516" s="429">
        <f>IF($P516="","N/A",(IF($P516=-1,INDEX('卡片raw data'!T:T,MATCH($D516,'卡片raw data'!$F:$F,)),0)+IF($P516=0,INDEX('卡片raw data'!W:W,MATCH($D516,'卡片raw data'!$F:$F,)),0)+IF($P516=1,INDEX('卡片raw data'!Z:Z,MATCH($D516,'卡片raw data'!$F:$F,)),0)+IF($P516=2,INDEX('卡片raw data'!AC:AC,MATCH($D516,'卡片raw data'!$F:$F,)),0)+IF($P516=3,INDEX('卡片raw data'!AF:AF,MATCH($D516,'卡片raw data'!$F:$F,)),0)+IF($P516=4,INDEX('卡片raw data'!AI:AI,MATCH($D516,'卡片raw data'!$F:$F,)),0)+IF($P516=5,INDEX('卡片raw data'!AL:AL,MATCH($D516,'卡片raw data'!$F:$F,)),0)+INDEX('卡片raw data'!T:T,MATCH($D516,'卡片raw data'!$F:$F,))*(IF($F516="UR",0.04,0.033))*(IF($F516="UR",INDEX(绊状态确认!$S:$S,MATCH($G516,绊状态确认!$B:$B,))/2-40)+IF($F516="SR",INDEX(绊状态确认!$R:$R,MATCH($G516,绊状态确认!$B:$B,))/4-15))+IF($F516="R",INDEX(绊状态确认!$Q:$Q,MATCH($G516,绊状态确认!$B:$B,))/6-40/6)))*(INDEX(绊状态确认!$H:$H,MATCH($G516,绊状态确认!$B:$B,))+INDEX(绊状态确认!K:K,MATCH($G516,绊状态确认!$B:$B,)))</f>
        <v>5489.9529455999991</v>
      </c>
      <c r="AN516" s="429">
        <f>IF($P516="","N/A",(IF($P516=-1,INDEX('卡片raw data'!U:U,MATCH($D516,'卡片raw data'!$F:$F,)),0)+IF($P516=0,INDEX('卡片raw data'!X:X,MATCH($D516,'卡片raw data'!$F:$F,)),0)+IF($P516=1,INDEX('卡片raw data'!AA:AA,MATCH($D516,'卡片raw data'!$F:$F,)),0)+IF($P516=2,INDEX('卡片raw data'!AD:AD,MATCH($D516,'卡片raw data'!$F:$F,)),0)+IF($P516=3,INDEX('卡片raw data'!AG:AG,MATCH($D516,'卡片raw data'!$F:$F,)),0)+IF($P516=4,INDEX('卡片raw data'!AJ:AJ,MATCH($D516,'卡片raw data'!$F:$F,)),0)+IF($P516=5,INDEX('卡片raw data'!AM:AM,MATCH($D516,'卡片raw data'!$F:$F,)),0)+INDEX('卡片raw data'!U:U,MATCH($D516,'卡片raw data'!$F:$F,))*(IF($F516="UR",0.04,0.033))*(IF($F516="UR",INDEX(绊状态确认!$S:$S,MATCH($G516,绊状态确认!$B:$B,))/2-40)+IF($F516="SR",INDEX(绊状态确认!$R:$R,MATCH($G516,绊状态确认!$B:$B,))/4-15))+IF($F516="R",INDEX(绊状态确认!$Q:$Q,MATCH($G516,绊状态确认!$B:$B,))/6-40/6)))*(INDEX(绊状态确认!$H:$H,MATCH($G516,绊状态确认!$B:$B,))+INDEX(绊状态确认!L:L,MATCH($G516,绊状态确认!$B:$B,)))</f>
        <v>6666.9610631999994</v>
      </c>
      <c r="AO516" s="430">
        <f t="shared" ref="AO516:AO579" si="709">IF(OR($FE$5=C516,$FE$5="全"),1,0)</f>
        <v>1</v>
      </c>
      <c r="AP516" s="556">
        <f>1+(INDEX(绊状态确认!$T:$T,MATCH($G516,绊状态确认!$B:$B,))+0.2)*$AO516</f>
        <v>1.3</v>
      </c>
      <c r="AQ516" s="431">
        <f t="shared" ref="AQ516:AQ579" si="710">(AL516*(1+$EX$8)+$EX$34)*(1+$EW$15)*IF(AO516=0,1-$FE$6,1)*IF(AO516=1,1+$FE$7,1)*IF(O516="vo",1+$FE$8,1)*IF(O516="gd",1+$FE$9,1)*IF(O516="sp",1+$FE$10,1)*IF(O516="sk",1+$FE$11,1)*IF(I516=$FF$12,1+$FE$12,1)*IF(I516=$FF$13,1,1-$FE$13)*IF(I516=$FF$14,1+$FE$14,1)*IF(J516=$FF$16,1+$FE$16,1)*IF(J516=$FF$17,1+$FE$17,1)*IF(K516=$FF$18,1+$FE$18,1)*(1+$FE$15)</f>
        <v>22812.460069600002</v>
      </c>
      <c r="AR516" s="420">
        <f>(AM516*(1+$EX$9)+$EX$35)*(1+(INDEX(绊状态确认!$T:$T,MATCH($G516,绊状态确认!$B:$B,))+0.2)*AO516)*IF(J516=$FF$17,1+$FE$17,1)*IF(I516=$FF$14,1+$FE$14,1)</f>
        <v>10197.785770744</v>
      </c>
      <c r="AS516" s="420">
        <f>(AN516*(1+$EX$10)+$EX$36)*(1+(INDEX(绊状态确认!$T:$T,MATCH($G516,绊状态确认!$B:$B,))+0.2)*AO516)*IF(J516=$FF$17,1+$FE$17,1)*IF(I516=$FF$14,1+$FE$14,1)</f>
        <v>14023.106789484</v>
      </c>
      <c r="AT516" s="412">
        <f>IF(AND(INDEX('卡片raw data'!AK:AK,MATCH($D516,'卡片raw data'!$F:$F,))&lt;INDEX('卡片raw data'!AM:AM,MATCH($D516,'卡片raw data'!$F:$F,)),INDEX('卡片raw data'!AL:AL,MATCH($D516,'卡片raw data'!$F:$F,))&lt;INDEX('卡片raw data'!AM:AM,MATCH($D516,'卡片raw data'!$F:$F,))),1,0)</f>
        <v>0</v>
      </c>
      <c r="AU516" s="421">
        <f>MIN(AT516*0.15+AS516*0.00003+INDEX(绊状态确认!M:M,MATCH($G516,绊状态确认!$B:$B,)),1)</f>
        <v>0.45069320368452004</v>
      </c>
      <c r="AV516" s="432">
        <f>(INDEX(绊状态确认!$N:$N,MATCH($G516,绊状态确认!$B:$B,))+1.5)*$EW$21</f>
        <v>2.6599999999999997</v>
      </c>
      <c r="AW516" s="424">
        <f t="shared" ref="AW516:AW579" si="711">AQ516*(1+(AV516-1)*AU516)*(AP516)*(1+EW$25)*EW$66/3*$EW$24</f>
        <v>20711.347642459372</v>
      </c>
      <c r="AX516" s="420">
        <f t="shared" ref="AX516:AX579" si="712">$EW$26*(HP($EW$62,$EW$65,$EW$64-AR516*$EW$78/$EW$65)/$EW$66-1)</f>
        <v>869.72929854861013</v>
      </c>
      <c r="AY516" s="433">
        <f t="shared" ref="AY516:AY579" si="713">AW516+AX516</f>
        <v>21581.076941007981</v>
      </c>
      <c r="AZ516" s="429">
        <f t="shared" ref="AZ516:AZ579" si="714">(AL516*(1+$FB$8)+$FB$34)*IF(AO516=0,1-$FE$6,1)*IF(AO516=1,1+$FE$7,1)*IF(O516="vo",1+$FE$8,1)*IF(O516="gd",1+$FE$9,1)*IF(O516="sp",1+$FE$10,1)*IF(O516="sk",1+$FE$11,1)*IF(I516=$FF$12,1+$FE$12,1)*IF(I516=$FF$13,1,1-$FE$13)*IF(I516=$FF$14,1+$FE$14,1)*IF(J516=$FF$16,1+$FE$16,1)*IF(J516=$FF$17,1+$FE$17,1)*IF(K516=$FF$18,1+$FE$18,1)*(1+$FE$15)</f>
        <v>17132.113194559999</v>
      </c>
      <c r="BA516" s="431">
        <f t="shared" ref="BA516:BA579" si="715">AZ516*(1+$FA$15)</f>
        <v>20558.535833471997</v>
      </c>
      <c r="BB516" s="420">
        <f>(AM516*(1+$FB$9)+$FB$35)*(1+(INDEX(绊状态确认!$T:$T,MATCH($G516,绊状态确认!$B:$B,))+0.2)*AO516)*IF(J516=$FF$17,1+$FE$17,1)*IF(I516=$FF$14,1+$FE$14,1)*(1+$FE$15)</f>
        <v>10197.785770744</v>
      </c>
      <c r="BC516" s="420">
        <f>(AN516*(1+$FB$10)+$FB$36)*(1+(INDEX(绊状态确认!$T:$T,MATCH($G516,绊状态确认!$B:$B,))+0.2)*AO516)*IF(J516=$FF$17,1+$FE$17,1)*IF(I516=$FF$14,1+$FE$14,1)*(1+$FE$15)</f>
        <v>14023.106789484</v>
      </c>
      <c r="BD516" s="427">
        <f>MIN(AT516*0.15+BC516*0.00003+INDEX(绊状态确认!M:M,MATCH($G516,绊状态确认!$B:$B,)),1)</f>
        <v>0.45069320368452004</v>
      </c>
      <c r="BE516" s="432">
        <f>(INDEX(绊状态确认!$N:$N,MATCH($G516,绊状态确认!$B:$B,))+1.5)</f>
        <v>1.9</v>
      </c>
      <c r="BF516" s="645">
        <f t="array" ref="BF516">SUMPRODUCT(IF(AZ516*AP516*$FI$16:$FI$23*$FA$22&gt;=$FI$24,$FI$24,AZ516*AP516*$FI$16:$FI$23*$FA$22),$FJ$16:$FJ$23)</f>
        <v>34075.773143979844</v>
      </c>
      <c r="BG516" s="453">
        <f t="array" ref="BG516">SUMPRODUCT(IF(BE516*AZ516*AP516*$FI$16:$FI$23*$FA$22&gt;=$FI$24,$FI$24,BE516*AZ516*AP516*$FI$16:$FI$23*$FA$22),$FJ$16:$FJ$23)</f>
        <v>58427.64938299849</v>
      </c>
      <c r="BH516" s="433">
        <f t="shared" ref="BH516:BH579" si="716">((1-$BD516)*BF516+$BD516*BG516)/3</f>
        <v>15016.999420624032</v>
      </c>
      <c r="BI516" s="434">
        <f>IF(O516="vo",$EW$26/$EW$24*0.05,0)+IF(O516="sk",-$EW$26/$EW$24*(0.05-INDEX(绊状态确认!W:W,MATCH($G516,绊状态确认!$B:$B,)))+0.05*$EW$28,0)+IF(O516="sp",0.05*$EW$32*$EW$30*(1-$EW$33)-(0.05-INDEX(绊状态确认!V:V,MATCH($G516,绊状态确认!$B:$B,)))*$EW$28,0)+IF(O516="gd",-(0.05-INDEX(绊状态确认!X:X,MATCH($G516,绊状态确认!$B:$B,)))*$EW$32*$EW$30*(1-$EW$33),0)</f>
        <v>19.999999999999886</v>
      </c>
      <c r="BJ516" s="420">
        <f>IF(O516="vo",0.05*(1-$FI$26)*$FA$24,0)+IF(O516="sk",-(0.05-INDEX(绊状态确认!W:W,MATCH($G516,绊状态确认!$B:$B,)))*(1-$FI$26)*$FA$24+0.05*$FA$26,0)+IF(O516="sp",0.05*$FA$32*$FA$27*(1-$FA$33)/$FA$30+0.05*$FA$29/$FA$69*$FA$27*(1-$FA$33)-(0.05-INDEX(绊状态确认!V:V,MATCH($G516,绊状态确认!$B:$B,)))*$FA$26,0)+IF(O516="gd",-(0.05-INDEX(绊状态确认!X:X,MATCH($G516,绊状态确认!$B:$B,)))*$FA$32*$FA$27*(1-$FA$33)/$FA$30-(0.05-INDEX(绊状态确认!X:X,MATCH($G516,绊状态确认!$B:$B,)))*$FA$29/$FA$69*$FA$27*(1-$FA$33),0)</f>
        <v>545.83333333333326</v>
      </c>
      <c r="BK516" s="433">
        <f>IF(O516="vo",$EW$26/$EW$24*0.05+$EW$26*(-HP($EW$62,$EW$65,$EW$64)+HP($EW$62,$EW$65,(1.05-INDEX(绊状态确认!U:U,MATCH($G516,绊状态确认!$B:$B,)))*$EW$64)),0)+IF(O516="sk",-$EW$26/$EW$24*(0.05-INDEX(绊状态确认!W:W,MATCH($G516,绊状态确认!$B:$B,)))+0.05*$EW$29,0)+IF(O516="sp",0.05*$EW$32*$EW$30*(1-$EW$33)-(0.05-INDEX(绊状态确认!V:V,MATCH($G516,绊状态确认!$B:$B,)))*$EW$29,0)+IF(O516="gd",-(0.05-INDEX(绊状态确认!X:X,MATCH($G516,绊状态确认!$B:$B,)))*$EW$32*$EW$30*(1-$EW$33)+$EW$26*(-HP($EW$62,$EW$65,$EW$64)+HP($EW$62,$EW$65,0.95*$EW$64)),0)</f>
        <v>-1780.0000000000005</v>
      </c>
      <c r="BL516" s="434">
        <f t="shared" ref="BL516:BL579" si="717">(IF(F516="UR",0)+IF(F516="SR",-1/4)+IF(F516="R",-1/2))*1/3*$EW$31/$EW$77*$EW$30</f>
        <v>-1083.3333333333333</v>
      </c>
      <c r="BM516" s="433">
        <f t="shared" ref="BM516:BM579" si="718">(IF(F516="UR",0)+IF(F516="SR",-1/4)+IF(F516="R",-1/2))*1/3*$FA$31/$FA$69*$FA$27</f>
        <v>-830.55555555555543</v>
      </c>
      <c r="BN516" s="437">
        <f t="shared" ref="BN516:BN579" si="719">IF($P516="","N/A",IF(P516=-1,IF(OR(L516="fes卡",L516="party卡"),2,1),IF(F516="UR",IF(L516="party卡",4-IF(P516=0,1),IF(L516="fes卡",4,3)-IF(P516&gt;=4,0,1)))+IF(F516="SR",IF(P516&gt;=4,3,2))+IF(F516="R",2)))</f>
        <v>3</v>
      </c>
      <c r="BO516" s="1108">
        <f t="shared" ref="BO516:BO579" si="720">$EW$61*$BN516*$EW$26*$EX$5/$EX$11</f>
        <v>4507.7214871259994</v>
      </c>
      <c r="BP516" s="1100">
        <f t="shared" ref="BP516:BP579" si="721">BN516*$FA$58*(1-$FI$26)*$FA$24*$FB$5/$FB$11</f>
        <v>221.34103209030098</v>
      </c>
      <c r="BQ516" s="1113" t="s">
        <v>134</v>
      </c>
      <c r="BR516" s="1124" t="s">
        <v>166</v>
      </c>
      <c r="BS516" s="421">
        <f>IF($P516="","N/A",IF($P516=-1,INDEX('卡片raw data'!AX:AX,MATCH($D516,'卡片raw data'!$F:$F,)),0)+IF($L516="party卡",IF($P516=5,INDEX('卡片raw data'!BD:BD,MATCH($D516,'卡片raw data'!$F:$F,)),IF($P516&gt;=3,INDEX('卡片raw data'!BC:BC,MATCH($D516,'卡片raw data'!$F:$F,)),INDEX('卡片raw data'!BB:BB,MATCH($D516,'卡片raw data'!$F:$F,)))),IF(OR(AND($F516="UR",$P516=0),AND($F516="SR",$P516&gt;=0,$P516&lt;=2),AND($F516="R",$P516&gt;=0,$P516&lt;4)),INDEX('卡片raw data'!AZ:AZ,MATCH($D516,'卡片raw data'!$F:$F,)),0)+IF(OR(AND($F516="UR",$P516&gt;=1,$P516&lt;=4),AND($F516="SR",$P516&lt;=4,$P516&gt;=3),AND($F516="R",$P516=4)),INDEX('卡片raw data'!BA:BA,MATCH($D516,'卡片raw data'!$F:$F,)),0)+IF($P516=5,INDEX('卡片raw data'!BB:BB,MATCH($D516,'卡片raw data'!$F:$F,)),0)))</f>
        <v>7.0000000000000007E-2</v>
      </c>
      <c r="BT516" s="424">
        <f t="shared" ref="BT516:BT579" si="722">IF(BQ516="ap",BS516*$EX$5/$EX$11*(+IF(BR516="全员",$EW$26,0)+IF(BR516="同作战",$EW$26,0)+IF(BR516="仲间",$EW$26*2/3,0)+IF(BR516="同属性",$EW$26*$EW$37/3,0)+IF(BR516="同年级",$EW$26*$EW$40/3,0)+IF(BR516="同学校",$EW$26*$EW$43/3,0)+IF(BR516="同小队",$EW$26*$EW$46/3,0)+IF(BR516="同type",$EW$26*INDEX($EX$49:$EX$52,MATCH(O516,$EW$49:$EW$52,))/3,0)+IF(BR516="自身",$AW516,0)),0)+IF(BQ516="te",BS516*($EW$22-1)*0.00003*$EX$7/$EX$13*(+IF(BR516="全员",$EX$18*$EW$26/(1+($EW$22-1)*$EW$19),0)+IF(BR516="同作战",$EX$18*$EW$26/(1+($EW$22-1)*$EW$19),0)+IF(BR516="仲间",$EX$18*$EW$26/(1+($EW$22-1)*$EW$19)*2/3,0)+IF(BR516="同属性",$EX$18*$EW$26/(1+($EW$22-1)*$EW$19)*$EW$37/3,0)+IF(BR516="同年级",$EX$18*$EW$26/(1+($EW$22-1)*$EW$19)*$EW$40/3,0)+IF(BR516="同学校",$EX$18*$EW$26/(1+($EW$22-1)*$EW$19)*$EW$43/3,0)+IF(BR516="同小队",$EX$18*$EW$26/(1+($EW$22-1)*$EW$19)*$EW$46/3,0)+IF(BR516="同type",$EX$18*$EW$26/(1+($EW$22-1)*$EW$19)*INDEX($EX$49:$EX$52,MATCH(O516,$EW$49:$EW$52,))/3,0)+IF(BR516="自身",$AS516*$AW516/(1+(AV516-1)*$AU516),0)),0)</f>
        <v>428.60027270522068</v>
      </c>
      <c r="BU516" s="420">
        <f t="shared" ref="BU516:BU579" si="723">IF(BQ516="ap",BS516*(1-$FI$26)*$FB$5/$FB$11*(+IF(BR516="全员",$FA$24,0)+IF(BR516="同作战",$FA$24,0)+IF(BR516="仲间",$FA$24*2/3,0)+IF(BR516="同属性",$FA$24*$FA$37/3,0)+IF(BR516="同年级",$FA$24*$FA$40/3,0)+IF(BR516="同学校",$FA$24*$FA$43/3,0)+IF(BR516="同小队",$FA$24*$FA$46/3,0)+IF(BR516="同type",$FA$24*INDEX($FB$49:$FB$52,MATCH(O516,$FA$49:$FA$52,))/3,0)+IF(BR516="自身",BH516/3,0)),0)+IF(BQ516="te",BS516*(1-$FI$27)*($FA$20-1)*$FB$7/$FB$13*(+IF(BR516="全员",$FA$19*$FA$24/(1+($FA$20-1)*$FA$19),0)+IF(BR516="同作战",$FA$19*$FA$24/(1+($FA$20-1)*$FA$19),0)+IF(BR516="仲间",$FA$19*$FA$24*2/3/(1+($FA$20-1)*$FA$19),0)+IF(BR516="同属性",$FA$19*$FA$24*$FA$37/3/(1+($FA$20-1)*$FA$19),0)+IF(BR516="同年级",$FA$19*$FA$24*$FA$40/3/(1+($FA$20-1)*$FA$19),0)+IF(BR516="同学校",$FA$19*$FA$24*$FA$43/3/(1+($FA$20-1)*$FA$19),0)+IF(BR516="同小队",$FA$19*$FA$24*$FA$46/3/(1+($FA$20-1)*$FA$19),0)+IF(BR516="同type",$FA$19*$FA$24*INDEX($FB$49:$FB$52,MATCH(O516,$FA$49:$FA$52,))/3/(1+($FA$20-1)*$FA$19),0)+IF(BR516="自身",$FA$19*BH516/3/(1+(AV516-1)*$BD516),0)),0)</f>
        <v>31.020228124940076</v>
      </c>
      <c r="BV516" s="420">
        <f t="shared" ref="BV516:BV579" si="724">IF(BQ516="ap",BS516*$EW$26*$EX$5/$EX$11*(+IF(BR516="全员",1,0)+IF(BR516="仲间",1,0)+IF(BR516="同属性",$EW$38/3,0)+IF(BR516="同年级",$EW$41/3,0)+IF(BR516="同学校",$EW$44/3,0)+IF(BR516="同小队",$EW$47/3,0)+IF(BR516="同type",INDEX($EX$53:$EX$56,MATCH(O516,$EW$53:$EW$56,))/3,0)),0)+IF(BQ516="te",BS516*($EW$22-1)*0.00003*$EX$18*$EW$26/(1+($EW$22-1)*$EW$19)*$EX$7/$EX$13*(+IF(BR516="全员",1,0)+IF(BR516="仲间",1,0)+IF(BR516="同属性",$EW$38/3,0)+IF(BR516="同年级",$EW$41/3,0)+IF(BR516="同学校",$EW$44/3,0)+IF(BR516="同小队",$EW$47/3,0)+IF(BR516="同type",INDEX($EX$53:$EX$56,MATCH(O516,$EW$53:$EW$56,))/3,0)),0)</f>
        <v>0</v>
      </c>
      <c r="BW516" s="436">
        <f t="shared" ref="BW516:BW579" si="725">IF(BQ516="st",BS516*$EX$6/$EX$12*(+IF(BR516="全员",$EX$17*9,0)+IF(BR516="仲间",$EX$17*8,0)+IF(BR516="同作战",$EX$17*3,0)+IF(BR516="同属性",$EX$17*$EW$39,0)+IF(BR516="同年级",$EX$17*$EW$42,0)+IF(BR516="同学校",$EX$17*$EW$45,0)+IF(BR516="同小队",$EX$17*$EW$48,0)+IF(BR516="同type",$EX$17*INDEX($EX$57:$EX$60,MATCH(O516,$EW$57:$EW$60,)),0)+IF(BR516="自身",$AR516)),0)/$EW$65*$EW$78</f>
        <v>0</v>
      </c>
      <c r="BX516" s="423">
        <f t="shared" ref="BX516:BX579" si="726">IF(BQ516="st",$EW$26*(HP($EW$62,$EW$65,$EW$64-BW516)/$EW$66-1),BT516)</f>
        <v>428.60027270522068</v>
      </c>
      <c r="BY516" s="433">
        <f t="shared" ref="BY516:BY579" si="727">IF(BQ516="st",$EW$26*(HP($EW$62,$EW$65,$EW$64-BW516)/$EW$66-1),BV516)</f>
        <v>0</v>
      </c>
      <c r="BZ516" s="1113" t="s">
        <v>569</v>
      </c>
      <c r="CA516" s="450"/>
      <c r="CB516" s="421">
        <f>IF($P516="","N/A",IF($P516=-1,INDEX('卡片raw data'!BE:BE,MATCH($D516,'卡片raw data'!$F:$F,)),0)+IF($L516="party卡",IF($P516=5,INDEX('卡片raw data'!BK:BK,MATCH($D516,'卡片raw data'!$F:$F,)),IF($P516&gt;=3,INDEX('卡片raw data'!BJ:BJ,MATCH($D516,'卡片raw data'!$F:$F,)),INDEX('卡片raw data'!BI:BI,MATCH($D516,'卡片raw data'!$F:$F,)))),IF(OR(AND($F516="UR",$P516=0),AND($F516="SR",$P516&gt;=0,$P516&lt;=2),AND($F516="R",$P516&gt;=0,$P516&lt;4)),INDEX('卡片raw data'!BG:BG,MATCH($D516,'卡片raw data'!$F:$F,)),0)+IF(OR(AND($F516="UR",$P516&gt;=1,$P516&lt;=4),AND($F516="SR",$P516&lt;=4,$P516&gt;=3),AND($F516="R",$P516=4)),INDEX('卡片raw data'!BH:BH,MATCH($D516,'卡片raw data'!$F:$F,)),0)+IF($P516=5,INDEX('卡片raw data'!BI:BI,MATCH($D516,'卡片raw data'!$F:$F,)),0)))</f>
        <v>0</v>
      </c>
      <c r="CC516" s="424">
        <f t="shared" ref="CC516:CC540" si="728">IF(BZ516="ap",CB516*$EX$5/$EX$11*(+IF(CA516="全员",$EW$26,0)+IF(CA516="同作战",$EW$26,0)+IF(CA516="仲间",$EW$26*2/3,0)+IF(CA516="同属性",$EW$26*$EW$37/3,0)+IF(CA516="同年级",$EW$26*$EW$40/3,0)+IF(CA516="同学校",$EW$26*$EW$43/3,0)+IF(CA516="同小队",$EW$26*$EW$46/3,0)+IF(CA516="同type",$EW$26*INDEX($EX$49:$EX$52,MATCH(O516,$EW$49:$EW$52,))/3,0)+IF(CA516="自身",$AW516,0)),0)+IF(BZ516="te",CB516*($EW$22-1)*0.00003*$EX$7/$EX$13*(+IF(CA516="全员",$EX$18*$EW$26/(1+($EW$22-1)*$EW$19),0)+IF(CA516="同作战",$EX$18*$EW$26/(1+($EW$22-1)*$EW$19),0)+IF(CA516="仲间",$EX$18*$EW$26/(1+($EW$22-1)*$EW$19)*2/3,0)+IF(CA516="同属性",$EX$18*$EW$26/(1+($EW$22-1)*$EW$19)*$EW$37/3,0)+IF(CA516="同年级",$EX$18*$EW$26/(1+($EW$22-1)*$EW$19)*$EW$40/3,0)+IF(CA516="同学校",$EX$18*$EW$26/(1+($EW$22-1)*$EW$19)*$EW$43/3,0)+IF(CA516="同小队",$EX$18*$EW$26/(1+($EW$22-1)*$EW$19)*$EW$46/3,0)+IF(CA516="同type",$EX$18*$EW$26/(1+($EW$22-1)*$EW$19)*INDEX($EX$49:$EX$52,MATCH(O516,$EW$49:$EW$52,))/3,0)+IF(CA516="自身",$AS516*$AW516/(1+(AV516-1)*$AU516),0)),0)</f>
        <v>0</v>
      </c>
      <c r="CD516" s="420">
        <f>IF(BZ516="ap",CB516*(1-$FI$26)*$FB$5/$FB$11*(+IF(CA516="全员",$FA$24,0)+IF(CA516="同作战",$FA$24,0)+IF(CA516="仲间",$FA$24*2/3,0)+IF(CA516="同属性",$FA$24*$FA$37/3,0)+IF(CA516="同年级",$FA$24*$FA$40/3,0)+IF(CA516="同学校",$FA$24*$FA$43/3,0)+IF(CA516="同小队",$FA$24*$FA$46/3,0)+IF(CA516="同type",$FA$24*INDEX($FB$49:$FB$52,MATCH(X516,$FA$49:$FA$52,))/3,0)+IF(CA516="自身",#REF!/3,0)),0)+IF(BZ516="te",CB516*(1-$FI$27)*($FA$20-1)*$FB$7/$FB$13*(+IF(CA516="全员",$FA$19*$FA$24/(1+($FA$20-1)*$FA$19),0)+IF(CA516="同作战",$FA$19*$FA$24/(1+($FA$20-1)*$FA$19),0)+IF(CA516="仲间",$FA$19*$FA$24*2/3/(1+($FA$20-1)*$FA$19),0)+IF(CA516="同属性",$FA$19*$FA$24*$FA$37/3/(1+($FA$20-1)*$FA$19),0)+IF(CA516="同年级",$FA$19*$FA$24*$FA$40/3/(1+($FA$20-1)*$FA$19),0)+IF(CA516="同学校",$FA$19*$FA$24*$FA$43/3/(1+($FA$20-1)*$FA$19),0)+IF(CA516="同小队",$FA$19*$FA$24*$FA$46/3/(1+($FA$20-1)*$FA$19),0)+IF(CA516="同type",$FA$19*$FA$24*INDEX($FB$49:$FB$52,MATCH(X516,$FA$49:$FA$52,))/3/(1+($FA$20-1)*$FA$19),0)+IF(CA516="自身",$FA$19*#REF!/3/(1+(BH516-1)*$BD516),0)),0)</f>
        <v>0</v>
      </c>
      <c r="CE516" s="420">
        <f t="shared" ref="CE516:CE579" si="729">IF(BZ516="ap",CB516*$EW$26*$EX$5/$EX$11*(+IF(CA516="全员",1,0)+IF(CA516="仲间",1,0)+IF(CA516="同属性",$EW$38/3,0)+IF(CA516="同年级",$EW$41/3,0)+IF(CA516="同学校",$EW$44/3,0)+IF(CA516="同小队",$EW$47/3,0)+IF(CA516="同type",INDEX($EX$53:$EX$56,MATCH(X516,$EW$53:$EW$56,))/3,0)),0)+IF(BZ516="te",CB516*($EW$22-1)*0.00003*$EX$18*$EW$26/(1+($EW$22-1)*$EW$19)*$EX$7/$EX$13*(+IF(CA516="全员",1,0)+IF(CA516="仲间",1,0)+IF(CA516="同属性",$EW$38/3,0)+IF(CA516="同年级",$EW$41/3,0)+IF(CA516="同学校",$EW$44/3,0)+IF(CA516="同小队",$EW$47/3,0)+IF(CA516="同type",INDEX($EX$53:$EX$56,MATCH(X516,$EW$53:$EW$56,))/3,0)),0)</f>
        <v>0</v>
      </c>
      <c r="CF516" s="436">
        <f t="shared" ref="CF516:CF540" si="730">IF(BZ516="st",CB516*$EX$6/$EX$12*(+IF(CA516="全员",$EX$17*9,0)+IF(CA516="仲间",$EX$17*8,0)+IF(CA516="同作战",$EX$17*3,0)+IF(CA516="同属性",$EX$17*$EW$39,0)+IF(CA516="同年级",$EX$17*$EW$42,0)+IF(CA516="同学校",$EX$17*$EW$45,0)+IF(CA516="同小队",$EX$17*$EW$48,0)+IF(CA516="同type",$EX$17*INDEX($EX$57:$EX$60,MATCH(O516,$EW$57:$EW$60,)),0)+IF(CA516="自身",$AR516)),0)/$EW$65*$EW$78</f>
        <v>0</v>
      </c>
      <c r="CG516" s="423">
        <f t="shared" ref="CG516:CG579" si="731">IF(BZ516="st",$EW$26*(HP($EW$62,$EW$65,$EW$64-CF516)/$EW$66-1),CC516)</f>
        <v>0</v>
      </c>
      <c r="CH516" s="433">
        <f t="shared" ref="CH516:CH579" si="732">IF(BZ516="st",$EW$26*(HP($EW$62,$EW$65,$EW$64-CF516)/$EW$66-1),CE516)</f>
        <v>0</v>
      </c>
      <c r="CI516" s="437" t="s">
        <v>164</v>
      </c>
      <c r="CJ516" s="438">
        <v>0.5</v>
      </c>
      <c r="CK516" s="439" t="s">
        <v>156</v>
      </c>
      <c r="CL516" s="439" t="s">
        <v>1941</v>
      </c>
      <c r="CM516" s="443">
        <v>0.02</v>
      </c>
      <c r="CN516" s="439"/>
      <c r="CO516" s="1115"/>
      <c r="CP516" s="1116">
        <f t="shared" ref="CP516:CP579" si="733">IF(OR(CK516="无",CI516="大量伤害",CI516="AC失败",CI516="低血量",CK516="复活",CK516="驱散",CK516="Gd切队效果up"),0,IF(AND(CK516="sp获得",CI516="AC成功"),0,IF(CK516="其他",0,IF(CN516=0,CM516*(IF(CL516="ap",AQ516*IF(CK516="vo获得",AP516,1))+IF(CL516="st",AR516)+IF(CL516="te",AS516)+IF(CL516="sp槽",$EW$77)+IF(CL516="",1))*(IF(CI516="曲开始",CJ516,0)+IF(CI516="切队",IF(CO516&lt;&gt;"",MIN(CO516,CJ516*$EW$79),CJ516*$EW$79))+IF(CI516="SP发动",IF(CO516&lt;&gt;"",MIN(CO516,CJ516*$EW$76),CJ516*$EW$76))+IF(CI516="ap时",IF(CO516&lt;&gt;"",MIN(CO516,CJ516*$EW$65/3),CJ516*$EW$65/3),0)+IF(CI516="伤害时",IF(CO516&lt;&gt;"",MIN(CO516,CJ516*$EW$65*(1-$EW$75)),CJ516*$EW$65*(1-$EW$75)),0)+IF(CI516="ct时",IF(CO516&lt;&gt;"",MIN(CO516,CJ516*$EW$65/3*$AU516),CJ516*$EW$65/3*$AU516),0)+IF(OR(CI516="AC时",CI516="AC成功"),IF(CO516&lt;&gt;"",MIN(CO516,CJ516*$EW$73),CJ516*$EW$73))),0)/$EW$65+IF(CN516="infty",IF(OR(CI516="曲开始",AND(CJ516=1,CO516=1)),CM516*CJ516,IF(CI516="SP发动",IF(CO516=1,CM516*(1-(1-(1-CJ516)^($EW$76+1))/(($EW$76+1)*CJ516)))+IF(CO516="",CJ516*CM516*$EW$76/2),0)+IF(CI516="AC时",IF(CO516=1,CM516*(1-(1-(1-CJ516)^($EW$73+1))/(($EW$73+1)*CJ516)))+IF(CO516="",CJ516*CM516*$EW$73/2),0)+IF(CI516="AC成功",IF(CO516=1,CM516*(1-(1-(1-CJ516)^($EW$73+1))/(($EW$73+1)*CJ516)))+IF(CO516="",CJ516*CM516*$EW$73/2),0)),0)*(IF(CL516="全员",1,0)+IF(CL516="同属性",$EW$37/3,0)+IF(CL516="同年级",$EW$40/3,0)+IF(CL516="同作战",1,0)+IF(CL516="自身",1/3,0)+IF(CL516="同type",INDEX($EX$49:$EX$52,MATCH($O516,$EW$49:$EW$52,))/3))+IF(AND(CN516&lt;&gt;0,CN516&lt;&gt;"infty"),IF(CN516="AC内",$EW$74,CN516)*CM516*(IF(CI516="曲开始",CJ516,0)+IF(CI516="切队",IF(CO516&lt;&gt;"",MIN(CO516,CJ516*$EW$79),CJ516*$EW$79))+IF(CI516="SP发动",IF(CO516&lt;&gt;"",MIN(CO516,CJ516*$EW$76),CJ516*$EW$76))+IF(CI516="ap时",IF(CO516&lt;&gt;"",MIN(CO516,CJ516*$EW$65/3),CJ516*$EW$65/3),0)+IF(CI516="伤害时",IF(CO516&lt;&gt;"",MIN(CO516,CJ516*$EW$65*(1-$EW$75)),CJ516*$EW$65*(1-$EW$75)),0)+IF(CI516="ct时",IF(CO516&lt;&gt;"",MIN(CO516,CJ516*$EW$65/3*$AU516),CJ516*$EW$65/3*$AU516),0)+IF(OR(CI516="AC时",CI516="AC成功"),IF(CO516&lt;&gt;"",MIN(CO516,CJ516*$EW$73),CJ516*$EW$73))),0)/$EW$65*(IF(CL516="全员",1,0)+IF(CL516="同属性",$EW$37/3,0)+IF(CL516="同年级",$EW$40/3,0)+IF(CL516="同学校",$EW$43/3,0)+IF(CL516="同作战",1,0)+IF(CL516="自身",1/3,0)+IF(CL516="同type",INDEX($EX$49:$EX$52,MATCH($O516,$EW$49:$EW$52,))/3)-IF(AND(CK516="ct+",CL516&lt;&gt;"仲间"),MAX(CM516+$AU516-1,0)/CM516/3)))))</f>
        <v>0</v>
      </c>
      <c r="CQ516" s="1116">
        <f t="shared" ref="CQ516:CQ579" si="734">IF(OR(CK516="无",CI516="大量伤害",CI516="AC失败",CI516="低血量",CK516="复活",CK516="驱散",CK516="Gd切队效果up"),0,IF(AND(CK516="sp获得",CI516="AC成功"),0,IF(CK516="其他",0,IF(CN516=0,CM516*(IF(CL516="ap",BA516*IF(CK516="vo获得",AP516,1))+IF(CL516="st",BB516)+IF(CL516="te",BC516)+IF(CL516="sp槽",$FA$69)+IF(CL516="",1))*(IF(CK516="sp获得",$FA$30,1))*(IF(CI516="曲开始",CJ516,0)+IF(CI516="切队",IF(CO516&lt;&gt;"",MIN(CO516,CJ516*$FA$71),CJ516*$FA$71))+IF(CI516="SP发动",IF(CO516&lt;&gt;"",MIN(CO516,CJ516*$FA$68),CJ516*$FA$68))+IF(CI516="ap时",IF(CO516&lt;&gt;"",MIN(CO516,CJ516*$FA$62/3),CJ516*$FA$62/3),0)+IF(CI516="伤害时",IF(CO516&lt;&gt;"",MIN(CO516,CJ516*$FA$62*(1-$FA$67)),CJ516*$FA$62*(1-$FA$67)),0)+IF(CI516="ct时",IF(CO516&lt;&gt;"",MIN(CO516,CJ516*$FA$62/3*$BD516),CJ516*$FA$62/3*$BD516),0)+IF(OR(CI516="AC时",CI516="AC成功"),IF(CO516&lt;&gt;"",MIN(CO516,CJ516*$FA$65),CJ516*$FA$65))),0)/$FA$62+IF(CN516="infty",IF(OR(CI516="曲开始",AND(CJ516=1,CO516=1)),CM516*CJ516,IF(CI516="SP发动",IF(CO516=1,CM516*(1-(1-(1-CJ516)^($FA$68+1))/(($FA$68+1)*CJ516)))+IF(CO516="",CJ516*CM516*$FA$68/2),0)+IF(CI516="AC时",IF(CO516=1,CM516*(1-(1-(1-CJ516)^($FA$65+1))/(($FA$65+1)*CJ516)))+IF(CO516="",CJ516*CM516*$FA$65/2),0)+IF(CI516="AC成功",IF(CO516=1,CM516*(1-(1-(1-CJ516)^($FA$65+1))/(($FA$65+1)*CJ516)))+IF(CO516="",CJ516*CM516*$FA$65/2),0)),0)*(IF(CL516="全员",1,0)+IF(CL516="同属性",$FA$37/3,0)+IF(CL516="同年级",$FA$40/3,0)+IF(CL516="同作战",1,0)+IF(CL516="自身",1/3,0)+IF(CL516="同type",INDEX($FB$49:$FB$52,MATCH($O516,$FA$49:$FA$52,))/3))+IF(AND(CN516&lt;&gt;0,CN516&lt;&gt;"infty"),IF(CN516="AC内",$FA$66,CN516)*CM516*(IF(CI516="曲开始",CJ516,0)+IF(CI516="切队",IF(CO516&lt;&gt;"",MIN(CO516,CJ516*$FA$71),CJ516*$FA$71))+IF(CI516="SP发动",IF(CO516&lt;&gt;"",MIN(CO516,CJ516*$FA$68),CJ516*$FA$68))+IF(CI516="ap时",IF(CO516&lt;&gt;"",MIN(CO516,CJ516*$FA$62/3),CJ516*$FA$62/3),0)+IF(CI516="伤害时",IF(CO516&lt;&gt;"",MIN(CO516,CJ516*$FA$62*(1-$FA$67)),CJ516*$FA$62*(1-$FA$67)),0)+IF(CI516="ct时",IF(CO516&lt;&gt;"",MIN(CO516,CJ516*$FA$62/3*$BD516),CJ516*$FA$62/3*$BD516),0)+IF(OR(CI516="AC时",CI516="AC成功"),IF(CO516&lt;&gt;"",MIN(CO516,CJ516*$FA$65),CJ516*$FA$65))),0)/$FA$62*(IF(CL516="全员",1,0)+IF(CL516="同属性",$FA$37/3,0)+IF(CL516="同年级",$FA$40/3,0)+IF(CL516="同学校",$FA$43/3,0)+IF(CL516="同作战",1,0)+IF(CL516="自身",1/3,0)+IF(CL516="同type",INDEX($FB$49:$FB$52,MATCH($O516,$FA$49:$FA$52,))/3)-IF(AND(CK516="ct+",CL516&lt;&gt;"仲间"),MAX(CM516+$BD516-1,0)/3/CM516)))))</f>
        <v>0</v>
      </c>
      <c r="CR516" s="1117">
        <f t="shared" ref="CR516:CR579" si="735">IF(OR(CK516="无",CI516="大量伤害",CI516="AC失败",CI516="低血量",CK516="复活",CK516="驱散",CK516="Gd切队效果up"),0,IF(AND(CK516="sp获得",CI516="AC成功"),0,IF(CK516="其他",0,IF(CN516=0,CM516*(IF(CL516="ap",AQ516*IF(CK516="vo获得",AP516,1))+IF(CL516="st",AR516)+IF(CL516="te",AS516)+IF(CL516="sp槽",$EW$77)+IF(CL516="",1))*(IF(CI516="曲开始",CJ516,0)+IF(CI516="切队",IF(CO516&lt;&gt;"",MIN(CO516,CJ516*$EW$79),CJ516*$EW$79))+IF(CI516="SP发动",IF(CO516&lt;&gt;"",MIN(CO516,CJ516*$EW$76),CJ516*$EW$76))+IF(CI516="ap时",0)+IF(CI516="伤害时",IF(CO516&lt;&gt;"",MIN(CO516,CJ516*$EW$65*(1-$EW$75)),CJ516*$EW$65*(1-$EW$75)),0)+IF(CI516="ct时",0)+IF(OR(CI516="AC时",CI516="AC成功"),IF(CO516&lt;&gt;"",MIN(CO516,CJ516*$EW$73),CJ516*$EW$73))),0)/$EW$65+IF(CN516="infty",IF(OR(CI516="曲开始",AND(CJ516=1,CO516=1)),CM516*CJ516,IF(CI516="SP发动",IF(CO516=1,CM516*(1-(1-(1-CJ516)^($EW$76+1))/(($EW$76+1)*CJ516)))+IF(CO516="",CJ516*CM516*$EW$76/2),0)+IF(CI516="AC时",IF(CO516=1,CM516*(1-(1-(1-CJ516)^($EW$73+1))/(($EW$73+1)*CJ516)))+IF(CO516="",CJ516*CM516*$EW$73/2),0)+IF(CI516="AC成功",IF(CO516=1,CM516*(1-(1-(1-CJ516)^($EW$73+1))/(($EW$73+1)*CJ516)))+IF(CO516="",CJ516*CM516*$EW$73/2),0)),0)*(IF(CL516="全员",1,0)+IF(CL516="同属性",$EW$38/3,0)+IF(CL516="同年级",$EW$41/3,0)+IF(CL516="同作战",0,0)+IF(CL516="自身",0,0)+IF(CL516="同type",INDEX($EX$53:$EX$56,MATCH($O516,$EW$53:$EW$56,))/3))+IF(AND(CN516&lt;&gt;0,CN516&lt;&gt;"infty"),IF(CN516="AC内",$EW$74,CN516)*(IF(CI516="曲开始",CM516*CJ516,0)+IF(CI516="切队",CM516*IF(CO516&lt;&gt;"",MIN(CO516,CJ516*$EW$79),CJ516*$EW$79))+IF(CI516="SP发动",CM516*IF(CO516&lt;&gt;"",MIN(CO516,CJ516*$EW$76),CJ516*$EW$76))+IF(CI516="ap时",0,0)+IF(CI516="伤害时",CM516*IF(CO516&lt;&gt;"",MIN(CO516,CJ516*$EW$65*(1-$EW$75)),CJ516*$EW$65*(1-$EW$75)),0)+IF(CI516="ct时",0,0)+IF(OR(CI516="AC时",CI516="AC成功"),CM516*IF(CO516&lt;&gt;"",MIN(CO516,CJ516*$EW$73),CJ516*$EW$73))),0)/$EW$65*(IF(CL516="全员",1,0)+IF(CL516="同属性",$EW$38/3,0)+IF(CL516="同年级",$EW$41/3,0)+IF(CL516="同学校",$EW$44/3,0)+IF(CL516="同作战",0,0)+IF(CL516="自身",0,0)+IF(CL516="同type",INDEX($EX$53:$EX$56,MATCH($O516,$EW$53:$EW$56,))/3)))))</f>
        <v>0</v>
      </c>
      <c r="CS516" s="1118">
        <f t="shared" ref="CS516:CS551" si="736">IF(CK516="技能+",IF(CN516="infty",(IF(CI516="曲开始",CM516*CJ516)+IF(OR(CI516="AC时",CI516="AC成功"),(1-(1-(1-CJ516)^($FM$20+1))/(($FM$20+1)*CJ516))*CM516))*(IF(CL516="全员",1)))+IF(CN516&lt;&gt;"infty",CM516*(IF(CI516="曲开始",CJ516*CN516/$FM$19)+IF(OR(CI516="AC时",CI516="AC成功"),CN516*IF(CO516&lt;&gt;"",MIN(CO516,CJ516*$FM$20),CJ516*$FM$20)/$FM$19)+IF(CI516="切队",CN516*IF(CO516&lt;&gt;"",MIN(CJ516*$FM$11,CO516/$FM$19),CJ516*$FM$11))+IF(CI516="ap时",IF(CO516&lt;&gt;"",MIN(CO516/$FM531,IF($O516="sk",$FM$10,$FM$9)*CJ516),IF($O516="sk",$FM$10,$FM$9)*CJ516)*CN516)+IF(CI516="ct时",IF(CO516&lt;&gt;"",MIN(CO516/$FM531,$AU516*IF($O516="sk",$FM$10,$FM$9)*CJ516),$AU516*IF($O516="sk",$FM$10,$FM$9)*CJ516)*CN516))*(IF(CL516="全员",1)+IF(CL516="同作战",IF($O516="sk",$FM$10*3,$FM$9*3))+IF(CL516="同属性",$FM$23/6)+IF(CL516="同年级",$FM$24/6)+IF(CL516="自身",IF($O516="sk",$FM$10,$FM$9)))),0)*$FM$16</f>
        <v>0</v>
      </c>
      <c r="CT516" s="1109">
        <f t="shared" ref="CT516:CT551" si="737">IF(CK516="sp+",IF(CN516="infty",(IF(CI516="曲开始",CM516*CJ516*$FM$28)+IF(OR(CI516="AC时",CI516="AC成功"),(1-(1-(1-CJ516)^($FM$20+1))/(($FM$20+1)*CJ516))*CM516*$FM$28))*(IF(CL516="全员",1)))+IF(CN516&lt;&gt;"infty",CM516*$FM$28*(IF(CI516="曲开始",CJ516*CN516/$FM$19)+IF(OR(CI516="AC时",CI516="AC成功"),CN516*IF(CO516&lt;&gt;"",MIN(CO516,CJ516*$FM$20),CJ516*$FM$20)/$FM$19)+IF(CI516="切队",CN516*IF(CO516&lt;&gt;"",MIN(CJ516*$FM$11,CO516/$FM$19),CJ516*$FM$11))+IF(CI516="ap时",IF(CO516&lt;&gt;"",MIN(CO516/$FM531,IF($O516="sk",$FM$10,$FM$9)*CJ516),IF($O516="sk",$FM$10,$FM$9)*CJ516)*CN516)+IF(CI516="ct时",IF(CO516&lt;&gt;"",MIN(CO516/$FM531,$AU516*IF($O516="sk",$FM$10,$FM$9)*CJ516),$AU516*IF($O516="sk",$FM$10,$FM$9)*CJ516)*CN516))*(IF(CL516="全员",1)+IF(CL516="同作战",IF($O516="sk",$FM$10*3,$FM$9*3))+IF(CL516="同属性",$FM$23/6)+IF(CL516="同年级",$FM$24/6)+IF(CL516="同type",IF(O516="sp",$FN$6*$FM$9)))),0)+IF(CK516="sp获得",IF(CI516="AC成功",0,CM516*(IF(CL516="ap",AQ516)+IF(CL516="st",AR516)+IF(CL516="te",AS516)+IF(CL516="sp槽",$EW$77)+IF(CL516="",1))*IF($O516="sk",1,1+(1+$FM$10/$FM$9)*($FM$27-1))*(IF(CI516="曲开始",CJ516/$FM$19)+IF(CI516="SP发动",IF(CO516&lt;&gt;"",MIN(CO516/$FM$19,CJ516*$FM$30/$FM$19),CJ516*$FM$30/$FM$19))+IF(CI516="切队",IF(CO516&lt;&gt;"",MIN(CO516/$FM$19,CJ516*$FM$11),CJ516*$FM$11))+IF(OR(CI516="AC时",CI516="AC成功"),IF(CO516&lt;&gt;"",MIN(CO516/$FM$19,CJ516*$FM$20/$FM$19),CJ516*$FM$20/$FM$19))+IF(CI516="ap时",IF(CO516&lt;&gt;"",MIN(CO516/$FM$19,CJ516*IF($O516="sk",$FM$10,$FM$9)),CJ516*IF($O516="sk",$FM$10,$FM$9)))+IF(CI516="ct时",IF(CO516&lt;&gt;"",MIN(CO516/$FM$19,CJ516*IF($O516="sk",$FM$10,$FM$9)*$AU516),CJ516*IF($O516="sk",$FM$10,$FM$9)*$AU516)))))</f>
        <v>0</v>
      </c>
      <c r="CU516" s="1101">
        <f t="shared" ref="CU516:CU579" si="738">IF(AND(CK516="技能+",CL516="自身",$DR516=0.11),0,IF(CK516="sp+",CP516*$EW$30*$EW$32*(1-$EW$33),0)+IF(CK516="ap+",CP516*$EW$26/(1+$EW$15),0)+IF(CK516="ap+元气",CP516*$EW$26/(1+$EW$15)*$EW$67,0)+IF(CK516="技能+",$EW$28*CP516/$EW$27,0)+IF(CK516="vo+",$EW$26*CP516,0)+IF(CK516="sp获得",CP516*(1-$EW$33)*$EW$30/$EW$77)+IF(CK516="vo获得",CP516*$EW$24)+IF(CK516="ct+",$EW$26/(1+($EW$22-1)*$EW$19)*($EW$22-1)*CP516)+IF(CK516="核弹",$EW$24*CP516*(1+$EW$23))+IF(CK516="ct值+",$EW$26/(1+($EW$22-1)*$EW$19)*$EW$19*CP516))</f>
        <v>0</v>
      </c>
      <c r="CV516" s="1108">
        <f t="shared" si="685"/>
        <v>0</v>
      </c>
      <c r="CW516" s="1097">
        <f t="shared" ref="CW516:CW579" si="739">IF(CK516="sp+",CR516*$EW$30*$EW$32*(1-$EW$33),0)+IF(CK516="ap+",CR516*$EW$26/(1+$EW$15),0)+IF(CK516="ap+元气",CR516*$EW$26/(1+$EW$15)*$EW$67,0)+IF(CK516="技能+",$EW$28*CR516/$EW$27,0)+IF(CK516="vo+",$EW$26*CR516,0)+IF(CK516="sp获得",CR516*(1-$EW$33)*$EW$30/$EW$77)+IF(CK516="vo获得",CR516*$EW$24)+IF(CK516="ct+",$EW$26/(1+($EW$22-1)*$EW$19)*($EW$22-1)*CR516)+IF(CK516="核弹",CR516*(1+$EW$23)*$EW$24)+IF(CK516="ct值+",$EW$26/(1+($EW$22-1)*$EW$19)*$EW$19*CR516)</f>
        <v>0</v>
      </c>
      <c r="CX516" s="1097">
        <f t="shared" ref="CX516:CX579" si="740">CU516+IF(OR(CK516="加盾",AND(CK516="回血",OR(CI516&lt;&gt;"切队",CO516=""))),MIN($EW$26/$EW$66*(1-$EW$66)-$EE516+$EC516-$ET516+$ER516, $EW$26*(HP($EW$62,$EW$65,$EW$64-CP516)/$EW$66-1)))+IF(CK516="减伤",MIN($EW$26/$EW$66*(1-$EW$66)-$EE516+$EC516-$ET516+$ER516, $EW$26*(HP($EW$62,$EW$65,$EW$64*(1-CP516))/$EW$66-1)))</f>
        <v>0</v>
      </c>
      <c r="CY516" s="1110">
        <f t="shared" ref="CY516:CY579" si="741">CW516+(IF(OR(CK516="加盾",AND(CK516="回血",OR(CI516&lt;&gt;"切队",CO516=""))),$EW$26*(HP($EW$62,$EW$65,$EW$64-CP516)/$EW$66-1))+IF(CK516="减伤",$EW$26*(HP($EW$62,$EW$65,$EW$64*(1-CP516))/$EW$66-1)))*IF(OR(CL516="自身",CL516="同作战"),0,1)*IF(OR(CI516="ap时",CI516="ct时"),0,1)</f>
        <v>0</v>
      </c>
      <c r="CZ516" s="437"/>
      <c r="DA516" s="438"/>
      <c r="DB516" s="439" t="s">
        <v>569</v>
      </c>
      <c r="DC516" s="439"/>
      <c r="DD516" s="443"/>
      <c r="DE516" s="411"/>
      <c r="DF516" s="411"/>
      <c r="DG516" s="1116">
        <f t="shared" ref="DG516:DG579" si="742">IF(OR(DB516="无",CZ516="大量伤害",CZ516="AC失败",CZ516="低血量",DB516="复活",DB516="驱散",DB516="Gd切队效果up"),0,IF(AND(DB516="sp获得",CZ516="AC成功"),0,IF(DB516="其他",0,IF(DE516=0,DD516*(IF(DC516="ap",BH516*IF(DB516="vo获得",BG516,1))+IF(DC516="st",BI516)+IF(DC516="te",BJ516)+IF(DC516="sp槽",$EW$77)+IF(DC516="",1))*(IF(CZ516="曲开始",DA516,0)+IF(CZ516="切队",IF(DF516&lt;&gt;"",MIN(DF516,DA516*$EW$79),DA516*$EW$79))+IF(CZ516="SP发动",IF(DF516&lt;&gt;"",MIN(DF516,DA516*$EW$76),DA516*$EW$76))+IF(CZ516="ap时",IF(DF516&lt;&gt;"",MIN(DF516,DA516*$EW$65/3),DA516*$EW$65/3),0)+IF(CZ516="伤害时",IF(DF516&lt;&gt;"",MIN(DF516,DA516*$EW$65*(1-$EW$75)),DA516*$EW$65*(1-$EW$75)),0)+IF(CZ516="ct时",IF(DF516&lt;&gt;"",MIN(DF516,DA516*$EW$65/3*$AU516),DA516*$EW$65/3*$AU516),0)+IF(OR(CZ516="AC时",CZ516="AC成功"),IF(DF516&lt;&gt;"",MIN(DF516,DA516*$EW$73),DA516*$EW$73))),0)/$EW$65+IF(DE516="infty",IF(OR(CZ516="曲开始",AND(DA516=1,DF516=1)),DD516*DA516,IF(CZ516="SP发动",IF(DF516=1,DD516*(1-(1-(1-DA516)^($EW$76+1))/(($EW$76+1)*DA516)))+IF(DF516="",DA516*DD516*$EW$76/2),0)+IF(CZ516="AC时",IF(DF516=1,DD516*(1-(1-(1-DA516)^($EW$73+1))/(($EW$73+1)*DA516)))+IF(DF516="",DA516*DD516*$EW$73/2),0)+IF(CZ516="AC成功",IF(DF516=1,DD516*(1-(1-(1-DA516)^($EW$73+1))/(($EW$73+1)*DA516)))+IF(DF516="",DA516*DD516*$EW$73/2),0)),0)*(IF(DC516="全员",1,0)+IF(DC516="同属性",$EW$37/3,0)+IF(DC516="同年级",$EW$40/3,0)+IF(DC516="同作战",1,0)+IF(DC516="自身",1/3,0)+IF(DC516="同type",INDEX($EX$49:$EX$52,MATCH($O516,$EW$49:$EW$52,))/3))+IF(AND(DE516&lt;&gt;0,DE516&lt;&gt;"infty"),IF(DE516="AC内",$EW$74,DE516)*DD516*(IF(CZ516="曲开始",DA516,0)+IF(CZ516="切队",IF(DF516&lt;&gt;"",MIN(DF516,DA516*$EW$79),DA516*$EW$79))+IF(CZ516="SP发动",IF(DF516&lt;&gt;"",MIN(DF516,DA516*$EW$76),DA516*$EW$76))+IF(CZ516="ap时",IF(DF516&lt;&gt;"",MIN(DF516,DA516*$EW$65/3),DA516*$EW$65/3),0)+IF(CZ516="伤害时",IF(DF516&lt;&gt;"",MIN(DF516,DA516*$EW$65*(1-$EW$75)),DA516*$EW$65*(1-$EW$75)),0)+IF(CZ516="ct时",IF(DF516&lt;&gt;"",MIN(DF516,DA516*$EW$65/3*$AU516),DA516*$EW$65/3*$AU516),0)+IF(OR(CZ516="AC时",CZ516="AC成功"),IF(DF516&lt;&gt;"",MIN(DF516,DA516*$EW$73),DA516*$EW$73))),0)/$EW$65*(IF(DC516="全员",1,0)+IF(DC516="同属性",$EW$37/3,0)+IF(DC516="同年级",$EW$40/3,0)+IF(DC516="同学校",$EW$43/3,0)+IF(DC516="同作战",1,0)+IF(DC516="自身",1/3,0)+IF(DC516="同type",INDEX($EX$49:$EX$52,MATCH($O516,$EW$49:$EW$52,))/3)-IF(AND(DB516="ct+",DC516&lt;&gt;"仲间"),MAX(DD516+$AU516-1,0)/DD516/3)))))</f>
        <v>0</v>
      </c>
      <c r="DH516" s="1116">
        <f t="shared" ref="DH516:DH579" si="743">IF(OR(DB516="无",CZ516="大量伤害",CZ516="AC失败",CZ516="低血量",DB516="复活",DB516="驱散",DB516="Gd切队效果up"),0,IF(AND(DB516="sp获得",CZ516="AC成功"),0,IF(DB516="其他",0,IF(DE516=0,DD516*(IF(DC516="ap",BR516*IF(DB516="vo获得",BG516,1))+IF(DC516="st",BS516)+IF(DC516="te",BT516)+IF(DC516="sp槽",$FA$69)+IF(DC516="",1))*(IF(DB516="sp获得",$FA$30,1))*(IF(CZ516="曲开始",DA516,0)+IF(CZ516="切队",IF(DF516&lt;&gt;"",MIN(DF516,DA516*$FA$71),DA516*$FA$71))+IF(CZ516="SP发动",IF(DF516&lt;&gt;"",MIN(DF516,DA516*$FA$68),DA516*$FA$68))+IF(CZ516="ap时",IF(DF516&lt;&gt;"",MIN(DF516,DA516*$FA$62/3),DA516*$FA$62/3),0)+IF(CZ516="伤害时",IF(DF516&lt;&gt;"",MIN(DF516,DA516*$FA$62*(1-$FA$67)),DA516*$FA$62*(1-$FA$67)),0)+IF(CZ516="ct时",IF(DF516&lt;&gt;"",MIN(DF516,DA516*$FA$62/3*$BD516),DA516*$FA$62/3*$BD516),0)+IF(OR(CZ516="AC时",CZ516="AC成功"),IF(DF516&lt;&gt;"",MIN(DF516,DA516*$FA$65),DA516*$FA$65))),0)/$FA$62+IF(DE516="infty",IF(OR(CZ516="曲开始",AND(DA516=1,DF516=1)),DD516*DA516,IF(CZ516="SP发动",IF(DF516=1,DD516*(1-(1-(1-DA516)^($FA$68+1))/(($FA$68+1)*DA516)))+IF(DF516="",DA516*DD516*$FA$68/2),0)+IF(CZ516="AC时",IF(DF516=1,DD516*(1-(1-(1-DA516)^($FA$65+1))/(($FA$65+1)*DA516)))+IF(DF516="",DA516*DD516*$FA$65/2),0)+IF(CZ516="AC成功",IF(DF516=1,DD516*(1-(1-(1-DA516)^($FA$65+1))/(($FA$65+1)*DA516)))+IF(DF516="",DA516*DD516*$FA$65/2),0)),0)*(IF(DC516="全员",1,0)+IF(DC516="同属性",$FA$37/3,0)+IF(DC516="同年级",$FA$40/3,0)+IF(DC516="同作战",1,0)+IF(DC516="自身",1/3,0)+IF(DC516="同type",INDEX($FB$49:$FB$52,MATCH($O516,$FA$49:$FA$52,))/3))+IF(AND(DE516&lt;&gt;0,DE516&lt;&gt;"infty"),IF(DE516="AC内",$FA$66,DE516)*DD516*(IF(CZ516="曲开始",DA516,0)+IF(CZ516="切队",IF(DF516&lt;&gt;"",MIN(DF516,DA516*$FA$71),DA516*$FA$71))+IF(CZ516="SP发动",IF(DF516&lt;&gt;"",MIN(DF516,DA516*$FA$68),DA516*$FA$68))+IF(CZ516="ap时",IF(DF516&lt;&gt;"",MIN(DF516,DA516*$FA$62/3),DA516*$FA$62/3),0)+IF(CZ516="伤害时",IF(DF516&lt;&gt;"",MIN(DF516,DA516*$FA$62*(1-$FA$67)),DA516*$FA$62*(1-$FA$67)),0)+IF(CZ516="ct时",IF(DF516&lt;&gt;"",MIN(DF516,DA516*$FA$62/3*$BD516),DA516*$FA$62/3*$BD516),0)+IF(OR(CZ516="AC时",CZ516="AC成功"),IF(DF516&lt;&gt;"",MIN(DF516,DA516*$FA$65),DA516*$FA$65))),0)/$FA$62*(IF(DC516="全员",1,0)+IF(DC516="同属性",$FA$37/3,0)+IF(DC516="同年级",$FA$40/3,0)+IF(DC516="同学校",$FA$43/3,0)+IF(DC516="同作战",1,0)+IF(DC516="自身",1/3,0)+IF(DC516="同type",INDEX($FB$49:$FB$52,MATCH($O516,$FA$49:$FA$52,))/3)-IF(AND(DB516="ct+",DC516&lt;&gt;"仲间"),MAX(DD516+$BD516-1,0)/3/DD516)))))</f>
        <v>0</v>
      </c>
      <c r="DI516" s="1116">
        <f t="shared" ref="DI516:DI579" si="744">IF(OR(DB516="无",CZ516="大量伤害",CZ516="AC失败",CZ516="低血量",DB516="复活",DB516="驱散",DB516="Gd切队效果up"),0,IF(AND(DB516="sp获得",CZ516="AC成功"),0,IF(DB516="其他",0,IF(DE516=0,DD516*(IF(DC516="ap",BH516*IF(DB516="vo获得",BG516,1))+IF(DC516="st",BI516)+IF(DC516="te",BJ516)+IF(DC516="sp槽",$EW$77)+IF(DC516="",1))*(IF(CZ516="曲开始",DA516,0)+IF(CZ516="切队",IF(DF516&lt;&gt;"",MIN(DF516,DA516*$EW$79),DA516*$EW$79))+IF(CZ516="SP发动",IF(DF516&lt;&gt;"",MIN(DF516,DA516*$EW$76),DA516*$EW$76))+IF(CZ516="ap时",0)+IF(CZ516="伤害时",IF(DF516&lt;&gt;"",MIN(DF516,DA516*$EW$65*(1-$EW$75)),DA516*$EW$65*(1-$EW$75)),0)+IF(CZ516="ct时",0)+IF(OR(CZ516="AC时",CZ516="AC成功"),IF(DF516&lt;&gt;"",MIN(DF516,DA516*$EW$73),DA516*$EW$73))),0)/$EW$65+IF(DE516="infty",IF(OR(CZ516="曲开始",AND(DA516=1,DF516=1)),DD516*DA516,IF(CZ516="SP发动",IF(DF516=1,DD516*(1-(1-(1-DA516)^($EW$76+1))/(($EW$76+1)*DA516)))+IF(DF516="",DA516*DD516*$EW$76/2),0)+IF(CZ516="AC时",IF(DF516=1,DD516*(1-(1-(1-DA516)^($EW$73+1))/(($EW$73+1)*DA516)))+IF(DF516="",DA516*DD516*$EW$73/2),0)+IF(CZ516="AC成功",IF(DF516=1,DD516*(1-(1-(1-DA516)^($EW$73+1))/(($EW$73+1)*DA516)))+IF(DF516="",DA516*DD516*$EW$73/2),0)),0)*(IF(DC516="全员",1,0)+IF(DC516="同属性",$EW$38/3,0)+IF(DC516="同年级",$EW$41/3,0)+IF(DC516="同作战",0,0)+IF(DC516="自身",0,0)+IF(DC516="同type",INDEX($EX$53:$EX$56,MATCH($O516,$EW$53:$EW$56,))/3))+IF(AND(DE516&lt;&gt;0,DE516&lt;&gt;"infty"),IF(DE516="AC内",$EW$74,DE516)*(IF(CZ516="曲开始",DD516*DA516,0)+IF(CZ516="切队",DD516*IF(DF516&lt;&gt;"",MIN(DF516,DA516*$EW$79),DA516*$EW$79))+IF(CZ516="SP发动",DD516*IF(DF516&lt;&gt;"",MIN(DF516,DA516*$EW$76),DA516*$EW$76))+IF(CZ516="ap时",0,0)+IF(CZ516="伤害时",DD516*IF(DF516&lt;&gt;"",MIN(DF516,DA516*$EW$65*(1-$EW$75)),DA516*$EW$65*(1-$EW$75)),0)+IF(CZ516="ct时",0,0)+IF(OR(CZ516="AC时",CZ516="AC成功"),DD516*IF(DF516&lt;&gt;"",MIN(DF516,DA516*$EW$73),DA516*$EW$73))),0)/$EW$65*(IF(DC516="全员",1,0)+IF(DC516="同属性",$EW$38/3,0)+IF(DC516="同年级",$EW$41/3,0)+IF(DC516="同学校",$EW$44/3,0)+IF(DC516="同作战",0,0)+IF(DC516="自身",0,0)+IF(DC516="同type",INDEX($EX$53:$EX$56,MATCH($O516,$EW$53:$EW$56,))/3)))))</f>
        <v>0</v>
      </c>
      <c r="DJ516" s="442">
        <f t="shared" ref="DJ516:DJ551" si="745">IF(DB516="技能+",IF(DE516="infty",(IF(CZ516="曲开始",DD516*DA516)+IF(OR(CZ516="AC时",CZ516="AC成功"),(1-(1-(1-DA516)^($FM$20+1))/(($FM$20+1)*DA516))*DD516))*(IF(DC516="全员",1)))+IF(DE516&lt;&gt;"infty",DD516*(IF(CZ516="曲开始",DA516*DE516/$FM$19)+IF(OR(CZ516="AC时",CZ516="AC成功"),DE516*IF(DF516&lt;&gt;"",MIN(DF516,DA516*$FM$20),DA516*$FM$20)/$FM$19)+IF(CZ516="切队",DE516*IF(DF516&lt;&gt;"",MIN(DA516*$FM$11,DF516/$FM$19),DA516*$FM$11))+IF(CZ516="ap时",IF(DF516&lt;&gt;"",MIN(DF516/$FM531,IF($O516="sk",$FM$10,$FM$9)*DA516),IF($O516="sk",$FM$10,$FM$9)*DA516)*DE516)+IF(CZ516="ct时",IF(DF516&lt;&gt;"",MIN(DF516/$FM531,$AU516*IF($O516="sk",$FM$10,$FM$9)*DA516),$AU516*IF($O516="sk",$FM$10,$FM$9)*DA516)*DE516))*(IF(DC516="全员",1)+IF(DC516="同作战",IF($O516="sk",$FM$10*3,$FM$9*3))+IF(DC516="同属性",$FM$23/6)+IF(DC516="同年级",$FM$24/6)+IF(DC516="自身",IF($O516="sk",$FM$10,$FM$9)))),0)*$FM$16</f>
        <v>0</v>
      </c>
      <c r="DK516" s="432">
        <f t="shared" ref="DK516:DK551" si="746">IF(DB516="sp+",IF(DE516="infty",(IF(CZ516="曲开始",DD516*DA516*$FM$28)+IF(OR(CZ516="AC时",CZ516="AC成功"),(1-(1-(1-DA516)^($FM$20+1))/(($FM$20+1)*DA516))*DD516*$FM$28))*(IF(DC516="全员",1)))+IF(DE516&lt;&gt;"infty",DD516*$FM$28*(IF(CZ516="曲开始",DA516*DE516/$FM$19)+IF(OR(CZ516="AC时",CZ516="AC成功"),DE516*IF(DF516&lt;&gt;"",MIN(DF516,DA516*$FM$20),DA516*$FM$20)/$FM$19)+IF(CZ516="切队",DE516*IF(DF516&lt;&gt;"",MIN(DA516*$FM$11,DF516/$FM$19),DA516*$FM$11))+IF(CZ516="ap时",IF(DF516&lt;&gt;"",MIN(DF516/$FM531,IF($O516="sk",$FM$10,$FM$9)*DA516),IF($O516="sk",$FM$10,$FM$9)*DA516)*DE516)+IF(CZ516="ct时",IF(DF516&lt;&gt;"",MIN(DF516/$FM531,$AU516*IF($O516="sk",$FM$10,$FM$9)*DA516),$AU516*IF($O516="sk",$FM$10,$FM$9)*DA516)*DE516))*(IF(DC516="全员",1)+IF(DC516="同作战",IF($O516="sk",$FM$10*3,$FM$9*3))+IF(DC516="同属性",$FM$23/6)+IF(DC516="同年级",$FM$24/6)+IF(DC516="同type",IF(AF516="sp",$FN$6*$FM$9)))),0)+IF(DB516="sp获得",IF(CZ516="AC成功",0,DD516*(IF(DC516="ap",BI516)+IF(DC516="st",BJ516)+IF(DC516="te",BK516)+IF(DC516="sp槽",$EW$77)+IF(DC516="",1))*IF($O516="sk",1,1+(1+$FM$10/$FM$9)*($FM$27-1))*(IF(CZ516="曲开始",DA516/$FM$19)+IF(CZ516="SP发动",IF(DF516&lt;&gt;"",MIN(DF516/$FM$19,DA516*$FM$30/$FM$19),DA516*$FM$30/$FM$19))+IF(CZ516="切队",IF(DF516&lt;&gt;"",MIN(DF516/$FM$19,DA516*$FM$11),DA516*$FM$11))+IF(OR(CZ516="AC时",CZ516="AC成功"),IF(DF516&lt;&gt;"",MIN(DF516/$FM$19,DA516*$FM$20/$FM$19),DA516*$FM$20/$FM$19))+IF(CZ516="ap时",IF(DF516&lt;&gt;"",MIN(DF516/$FM$19,DA516*IF($O516="sk",$FM$10,$FM$9)),DA516*IF($O516="sk",$FM$10,$FM$9)))+IF(CZ516="ct时",IF(DF516&lt;&gt;"",MIN(DF516/$FM$19,DA516*IF($O516="sk",$FM$10,$FM$9)*$AU516),DA516*IF($O516="sk",$FM$10,$FM$9)*$AU516)))))</f>
        <v>0</v>
      </c>
      <c r="DL516" s="424">
        <f t="shared" ref="DL516:DL579" si="747">IF(DB516="sp+",DG516*$EW$30*$EW$32*(1-$EW$33),0)+IF(DB516="ap+",DG516*$EW$26/(1+$EW$15),0)+IF(DB516="ap+元气",DG516*$EW$26/(1+$EW$15)*$EW$67,0)+IF(DB516="技能+",$EW$28*DG516/$EW$27,0)+IF(DB516="vo+",$EW$26*DG516,0)+IF(DB516="sp获得",DG516*(1-$EW$33)*$EW$30/$EW$77)+IF(DB516="vo获得",DG516*$EW$24)+IF(DB516="ct+",$EW$26/(1+($EW$22-1)*$EW$19)*($EW$22-1)*DG516)+IF(DB516="核弹",DG516*(1+$EW$23))+IF(DB516="ct值+",$EW$26/(1+($EW$22-1)*$EW$19)*$EW$19*DG516)</f>
        <v>0</v>
      </c>
      <c r="DM516" s="420">
        <f t="shared" ref="DM516:DM579" si="748">IF(DB516="sp+",DH516*$FA$27*$FA$32*(1-$FA$33),0)+IF(DB516="ap+",DH516*$FA$24/(1+$FA$15)*(1-$FI$26),0)+IF(DB516="ap+元气",DH516*$FA$24/(1+$FA$15)*(1-$FI$26)*$FA$64,0)+IF(DB516="技能+",$FA$26*DH516/$FA$25,0)+IF(DB516="vo+",$FA$24*DH516*(1-$FI$26),0)+IF(DB516="sp获得",DH516*(1-$FA$33)*$FA$27/$FA$69)+IF(DB516="vo获得",DH516*$FA$22)+IF(DB516="ct+",$FA$24/(1+($FA$20-1)*$FA$19)*($FA$20-1)*DH516*(1-$FI$27))+IF(DB516="核弹",DH516*(1+$FA$21)*(1-$FI$29))+IF(DB516="ct值+",$FA$24/(1+($FA$20-1)*$FA$19)*$FA$19*DH516*(1-$FI$28))</f>
        <v>0</v>
      </c>
      <c r="DN516" s="420">
        <f t="shared" ref="DN516:DN579" si="749">IF(DB516="sp+",DI516*$EW$30*$EW$32*(1-$EW$33),0)+IF(DB516="ap+",DI516*$EW$26/(1+$EW$15),0)+IF(DB516="ap+元气",DI516*$EW$26/(1+$EW$15)*$EW$67,0)+IF(DB516="技能+",$EW$28*DI516/$EW$27,0)+IF(DB516="vo+",$EW$26*DI516,0)+IF(DB516="sp获得",DI516*(1-$EW$33)*$EW$30/$EW$77)+IF(DB516="vo获得",DI516*$EW$24)+IF(DB516="ct+",$EW$26/(1+($EW$22-1)*$EW$19)*($EW$22-1)*DI516)+IF(DB516="核弹",DI516*(1+$EW$23))+IF(DB516="ct值+",$EW$26/(1+($EW$22-1)*$EW$19)*$EW$19*DI516)</f>
        <v>0</v>
      </c>
      <c r="DO516" s="420">
        <f t="shared" ref="DO516:DO579" si="750">DL516+IF(OR(DB516="加盾",AND(DB516="回血",OR(CZ516&lt;&gt;"切队",DF516=""))),MIN($EW$26/$EW$66*(1-$EW$66)-$EE516+$EC516-$ET516+$ER516, $EW$26*(HP($EW$62,$EW$65,$EW$64-DG516)/$EW$66-1)))+IF(DB516="减伤",MIN($EW$26/$EW$66*(1-$EW$66)-$EE516+$EC516-$ET516+$ER516, $EW$26*(HP($EW$62,$EW$65,$EW$64*(1-DG516))/$EW$66-1)))</f>
        <v>0</v>
      </c>
      <c r="DP516" s="433">
        <f t="shared" ref="DP516:DP579" si="751">DN516+(IF(OR(DB516="加盾",AND(DB516="回血",OR(CZ516&lt;&gt;"切队",DF516=""))),$EW$26*(HP($EW$62,$EW$65,$EW$64-DG516)/$EW$66-1))+IF(DB516="减伤",$EW$26*(HP($EW$62,$EW$65,$EW$64*(1-DG516))/$EW$66-1)))*IF(OR(DC516="自身",DC516="同作战"),0,1)*IF(OR(CZ516="ap时",CZ516="ct时"),0,1)</f>
        <v>0</v>
      </c>
      <c r="DQ516" s="437" t="s">
        <v>549</v>
      </c>
      <c r="DR516" s="1120">
        <f t="shared" si="686"/>
        <v>0.3</v>
      </c>
      <c r="DS516" s="450"/>
      <c r="DT516" s="1124" t="s">
        <v>179</v>
      </c>
      <c r="DU516" s="1124"/>
      <c r="DV516" s="1098">
        <f>IF($P516="","N/A",IF(P516=-1,INDEX('卡片raw data'!AN:AN,MATCH(D516,'卡片raw data'!$F:$F,)),0)+IF(AND(L516&lt;&gt;"party卡",P516&lt;=2,P516&gt;=0),INDEX('卡片raw data'!AP:AP,MATCH(D516,'卡片raw data'!$F:$F,)),0)+IF(OR(AND(L516="party卡",P516&lt;=1),AND(P516&lt;=4,L516&lt;&gt;"party卡",P516&gt;=3)),INDEX('卡片raw data'!AQ:AQ,MATCH(D516,'卡片raw data'!$F:$F,)),0)+IF(OR(P516=5,AND(L516="party卡",P516&gt;=2)),INDEX('卡片raw data'!AR:AR,MATCH(D516,'卡片raw data'!$F:$F,)),0))</f>
        <v>7.0000000000000007E-2</v>
      </c>
      <c r="DW516" s="1098">
        <f t="shared" ref="DW516:DW579" si="752">DR516+IF(AND($CK516="技能+",$CL516="自身",DR516=0.11),$CP516*3)</f>
        <v>0.3</v>
      </c>
      <c r="DX516" s="1098">
        <f t="shared" ref="DX516:DX579" si="753">DR516+IF(AND($CK516="技能+",$CL516="自身",DR516=0.11),$CQ516*3)</f>
        <v>0.3</v>
      </c>
      <c r="DY516" s="1098">
        <f t="shared" ref="DY516:DY579" si="754">IF(DS516=0,IF(DT516="ap",DV516*$AQ516*DW516/3*IF(DQ516="vo获得",$AP516,1))+IF(DT516="st",DV516*$AR516*DW516/3)+IF(DT516="te",DV516*$AS516*DW516/3)+IF(DT516="sp槽",DV516*DW516/3)+IF(DT516="固定值",IF(DQ516="sp获得",DV516/3*DW516/$EW$77,DV516*DW516/3)),IF(DU516="百分比",IF(DT516="全员",DV516*DW516/3*DS516)+IF(DT516="仲间",DV516*DW516/3*DS516*2/3)+IF(DT516="同作战",DV516*DW516/3*DS516)+IF(DT516="同年级",DV516*DW516/3*DS516*$EW$40/3)+IF(DT516="同学校",DV516*DW516/3*DS516*$EW$43/3)+IF(DT516="同属性",DV516*DW516/3*DS516*$EW$37/3)+IF(DT516="同type",DV516*DW516/3*DS516*INDEX($EX$49:$EX$52,MATCH(O516,$EW$49:$EW$52,))/3),(IF(DQ516="ap+",DV516/$EX$16*DS516*DW516/3)+IF(DQ516="vo+",DV516*(1+$EW$23)/$EW$26*DS516*DW516/3))*(IF(DT516="全员",1)+IF(DT516="同作战",1)))-IF(AND(DQ516="ct+",DT516&lt;&gt;"仲间"),MAX(DV516+$AU516-1,0)*DW516/3*_xlfn.FLOOR.MATH(DS516/3)))</f>
        <v>7.0000000000000001E-3</v>
      </c>
      <c r="DZ516" s="1098">
        <f t="shared" ref="DZ516:DZ579" si="755">IF(DS516=0,IF(DT516="ap",IF(DQ516="vo获得",MIN(DV516*$BA516*$AP516,$FI$25)*$FA$22*DX516/3,DV516*$BA516*DX516/3))+IF(DT516="st",DV516*$BB516*DX516/3)+IF(DT516="te",DV516*$BC516*DX516/3)+IF(DT516="sp槽",DV516*DX516/3*$FA$30)+IF(DT516="固定值",IF(DQ516="sp获得",DV516/3*DX516/$FA$69*$FA$30,DV516*DX516/3)),IF(DU516="百分比",IF(DT516="全员",DV516*DX516/3*DS516)+IF(DT516="仲间",DV516*DX516/3*DS516*2/3)+IF(DT516="同作战",DV516*DX516/3*DS516)+IF(DT516="同年级",DV516*DX516/3*DS516*$FA$40/3)+IF(DT516="同学校",DV516*DX516/3*DS516*$FA$43/3)+IF(DT516="同属性",DV516*DX516/3*DS516*$FA$37/3)+IF(DT516="同type",DV516*DX516/3*DS516*INDEX($FB$49:$FB$52,MATCH(O516,$FA$49:$FA$52,))/3),(IF(DQ516="ap+",DV516/$FB$16*DS516*DX516/3)+IF(DQ516="vo+",DV516*(1+$FA$21)/$FA$24*DS516*DX516/3))*(IF(DT516="全员",1)+IF(DT516="同作战",1)))-IF(AND(DQ516="ct+",DT516&lt;&gt;"仲间"),MAX(DV516+$BD516-1,0)*DX516/3*_xlfn.FLOOR.MATH(DS516/3)))*$FA$57</f>
        <v>6.9632499999999998E-3</v>
      </c>
      <c r="EA516" s="421">
        <f t="shared" ref="EA516:EA579" si="756">IF(DQ516="技能+",IF(O516="sk",FM$10,FM$9)*(1+0.1*$FM$31/$FM$19)*IF(O516="sk",$FM$18,$FM$17)*DR516/$FM$14*(IF(DT516="全员",DS516*DV516)+IF(DT516="同属性",DS516*DV516*$FM$23/6)+IF(DT516="同作战",DV516*IF(O516="sk",IF(AND(DS516&gt;1,DS516&lt;6),2),$FM$9*DS516*3))),0)*$FM$16</f>
        <v>0</v>
      </c>
      <c r="EB516" s="445">
        <f t="shared" ref="EB516:EB579" si="757">IF(DQ516="sp+",1/6*(1+0.1*$FM$31/$FM$19)*IF(O516="sk",$FM$18,$FM$17)*DR516/$FM$14*$FM$28*(IF(DT516="全员",DS516*DV516)+IF(DT516="同属性",DS516*DV516*$FM$23/6)+IF(DT516="同年级",DS516*DV516*$FM$24/6)),0)+IF(DQ516="sp获得",1/6*(1+0.1*$FM$31/$FM$19)*IF(O516="sk",$FM$18,$FM$17)*DR516/$FM$14*IF(O516="sk",1,1+(1+$FM$10/$FM$9)*($FM$27-1))*IF(DT516="固定值",DV516,DV516*$FM$25))</f>
        <v>42.663074999999999</v>
      </c>
      <c r="EC516" s="424">
        <f t="shared" ref="EC516:EC579" si="758">IF(DQ516="ap+",$EW$26/(1+$EW$15)*DY516)+IF(DQ516="vo+",$EW$26*DY516)+IF(DQ516="vo获得",DY516*$EW$24)+IF(DQ516="sp+",DY516*$EW$30*$EW$32*(1-$EW$33))+IF(DQ516="sp获得",DY516*$EW$30*(1-$EW$33))+IF(DQ516="技能+",DY516*$EW$28/$EW$27)+IF(DQ516="ct+",DY516*$EW$26/(1+($EW$22-1)*$EW$19)*($EW$22-1))+IF(DQ516="核弹",DY516*(1+$EW$23)*$EW$24)+IF(DQ516="ct值+",$EW$26/(1+($EW$22-1)*$EW$19)*$EW$19*DY516)</f>
        <v>3150</v>
      </c>
      <c r="ED516" s="420">
        <f t="shared" ref="ED516:ED579" si="759">IF(DQ516="ap+",$FA$24/(1+$FA$15)*DZ516*(1-$FI$26))+IF(DQ516="vo+",$FA$24*DZ516*(1-$FI$26))+IF(DQ516="vo获得",DZ516)+IF(DQ516="sp+",DZ516*$FA$27*$FA$32*(1-$FA$33))+IF(DQ516="sp获得",DZ516*$FA$27*(1-$FA$33))+IF(DQ516="技能+",DZ516*$FA$26/$FA$25)+IF(DQ516="ct+",DZ516*$FA$24/(1+($FA$20-1)*$FA$19)*($FA$20-1)*(1-$FI$27))+IF(DQ516="核弹",DZ516*(1+$FA$21)*(1-$FI$29))+IF(DQ516="ct值+",$FA$24/(1+($FA$20-1)*$FA$19)*$FA$19*DZ516*(1-$FI$28))</f>
        <v>1740.8125</v>
      </c>
      <c r="EE516" s="433">
        <f t="shared" si="683"/>
        <v>3150</v>
      </c>
      <c r="EF516" s="1113" t="s">
        <v>569</v>
      </c>
      <c r="EG516" s="1120">
        <f t="shared" si="687"/>
        <v>0.3</v>
      </c>
      <c r="EH516" s="450"/>
      <c r="EI516" s="1124"/>
      <c r="EJ516" s="1124"/>
      <c r="EK516" s="420">
        <f>IF($P516="","N/A",IF(P516=-1,INDEX('卡片raw data'!AS:AS,MATCH(D516,'卡片raw data'!$F:$F,)),0)+IF(AND(L516&lt;&gt;"party卡",P516&lt;=2,P516&gt;=0),INDEX('卡片raw data'!AU:AU,MATCH(D516,'卡片raw data'!$F:$F,)),0)+IF(OR(AND(L516="party卡",P516&lt;=1),AND(P516&lt;=4,L516&lt;&gt;"party卡",P516&gt;=3)),INDEX('卡片raw data'!AV:AV,MATCH(D516,'卡片raw data'!$F:$F,)),0)+IF(OR(P516=5,AND(L516="party卡",P516&gt;=2)),INDEX('卡片raw data'!AW:AW,MATCH(D516,'卡片raw data'!$F:$F,)),0))</f>
        <v>0</v>
      </c>
      <c r="EL516" s="1098">
        <f t="shared" ref="EL516:EL579" si="760">EG516+IF(AND($CK516="技能+",$CL516="自身",EG516=0.11),$CP516*3)</f>
        <v>0.3</v>
      </c>
      <c r="EM516" s="1098">
        <f t="shared" ref="EM516:EM579" si="761">EG516+IF(AND($CK516="技能+",$CL516="自身",EG516=0.11),$CQ516*3)</f>
        <v>0.3</v>
      </c>
      <c r="EN516" s="1097">
        <f t="shared" ref="EN516:EN579" si="762">IF(EH516=0,IF(EI516="ap",EK516*$AQ516*EL516/3*IF(EF516="vo获得",$AP516,1))+IF(EI516="st",EK516*$AR516*EL516/3)+IF(EI516="te",EK516*$AS516*EL516/3)+IF(EI516="sp槽",EK516*EL516/3)+IF(EI516="固定值",IF(EF516="sp获得",EK516/3*EL516/$EW$77,EK516*EL516/3)),IF(EJ516="百分比",IF(EI516="全员",EK516*EL516/3*EH516)+IF(EI516="仲间",EK516*EL516/3*EH516*2/3)+IF(EI516="同作战",EK516*EL516/3*EH516)+IF(EI516="同年级",EK516*EL516/3*EH516*$EW$40/3)+IF(EI516="同学校",EK516*EL516/3*EH516*$EW$43/3)+IF(EI516="同属性",EK516*EL516/3*EH516*$EW$37/3)+IF(EI516="同type",EK516*EL516/3*EH516*INDEX($EX$49:$EX$52,MATCH(AD516,$EW$49:$EW$52,))/3),(IF(EF516="ap+",EK516/$EX$16*EH516*EL516/3)+IF(EF516="vo+",EK516*(1+$EW$23)/$EW$26*EH516*EL516/3))*(IF(EI516="全员",1)+IF(EI516="同作战",1)))-IF(AND(EF516="ct+",EI516&lt;&gt;"仲间"),MAX(EK516+$AU516-1,0)*EL516/3*_xlfn.FLOOR.MATH(EH516/3)))</f>
        <v>0</v>
      </c>
      <c r="EO516" s="1097">
        <f t="shared" ref="EO516:EO579" si="763">IF(EH516=0,IF(EI516="ap",IF(EF516="vo获得",MIN(EK516*$BA516*$AP516,$FI$25)*$FA$22*EM516/3,EK516*$BA516*EM516/3))+IF(EI516="st",EK516*$BB516*EM516/3)+IF(EI516="te",EK516*$BC516*EM516/3)+IF(EI516="sp槽",EK516*EM516/3*$FA$30)+IF(EI516="固定值",IF(EF516="sp获得",EK516/3*EM516/$FA$69*$FA$30,EK516*EM516/3)),IF(EJ516="百分比",IF(EI516="全员",EK516*EM516/3*EH516)+IF(EI516="仲间",EK516*EM516/3*EH516*2/3)+IF(EI516="同作战",EK516*EM516/3*EH516)+IF(EI516="同年级",EK516*EM516/3*EH516*$FA$40/3)+IF(EI516="同学校",EK516*EM516/3*EH516*$FA$43/3)+IF(EI516="同属性",EK516*EM516/3*EH516*$FA$37/3)+IF(EI516="同type",EK516*EM516/3*EH516*INDEX($FB$49:$FB$52,MATCH(AD516,$FA$49:$FA$52,))/3),(IF(EF516="ap+",EK516/$FB$16*EH516*EM516/3)+IF(EF516="vo+",EK516*(1+$FA$21)/$FA$24*EH516*EM516/3))*(IF(EI516="全员",1)+IF(EI516="同作战",1)))-IF(AND(EF516="ct+",EI516&lt;&gt;"仲间"),MAX(EK516+$BD516-1,0)*EM516/3*_xlfn.FLOOR.MATH(EH516/3)))*$FA$57</f>
        <v>0</v>
      </c>
      <c r="EP516" s="421">
        <f t="shared" ref="EP516:EP579" si="764">IF(EF516="技能+",IF(AB516="sk",FZ$10,FZ$9)*(1+0.1*$FM$31/$FM$19)*IF(AB516="sk",$FM$18,$FM$17)*EG516/$FM$14*(IF(EI516="全员",EH516*EK516)+IF(EI516="同属性",EH516*EK516*$FM$23/6)+IF(EI516="同作战",EK516*IF(AB516="sk",IF(AND(EH516&gt;1,EH516&lt;6),2),$FM$9*EH516*3))),0)*$FM$16</f>
        <v>0</v>
      </c>
      <c r="EQ516" s="445">
        <f t="shared" ref="EQ516:EQ579" si="765">IF(EF516="sp+",1/6*(1+0.1*$FM$31/$FM$19)*IF(AB516="sk",$FM$18,$FM$17)*EG516/$FM$14*$FM$28*(IF(EI516="全员",EH516*EK516)+IF(EI516="同属性",EH516*EK516*$FM$23/6)+IF(EI516="同年级",EH516*EK516*$FM$24/6)),0)+IF(EF516="sp获得",1/6*(1+0.1*$FM$31/$FM$19)*IF(AB516="sk",$FM$18,$FM$17)*EG516/$FM$14*IF(AB516="sk",1,1+(1+$FM$10/$FM$9)*($FM$27-1))*IF(EI516="固定值",EK516,EK516*$FM$25))</f>
        <v>0</v>
      </c>
      <c r="ER516" s="424">
        <f t="shared" ref="ER516:ER579" si="766">IF(EF516="ap+",$EW$26/(1+$EW$15)*EN516)+IF(EF516="vo+",$EW$26*EN516)+IF(EF516="vo获得",EN516*$EW$24)+IF(EF516="sp+",EN516*$EW$30*$EW$32*(1-$EW$33))+IF(EF516="sp获得",EN516*$EW$30*(1-$EW$33))+IF(EF516="技能+",EN516*$EW$28/$EW$27)+IF(EF516="ct+",EN516*$EW$26/(1+($EW$22-1)*$EW$19)*($EW$22-1))+IF(EF516="核弹",EN516*(1+$EW$23)*$EW$24)+IF(EF516="ct值+",$EW$26/(1+($EW$22-1)*$EW$19)*$EW$19*EN516)</f>
        <v>0</v>
      </c>
      <c r="ES516" s="420">
        <f t="shared" ref="ES516:ES579" si="767">IF(EF516="ap+",$FA$24/(1+$FA$15)*EO516*(1-$FI$26))+IF(EF516="vo+",$FA$24*EO516*(1-$FI$26))+IF(EF516="vo获得",EO516)+IF(EF516="sp+",EO516*$FA$27*$FA$32*(1-$FA$33))+IF(EF516="sp获得",EO516*$FA$27*(1-$FA$33))+IF(EF516="技能+",EO516*$FA$26/$FA$25)+IF(EF516="ct+",EO516*$FA$24/(1+($FA$20-1)*$FA$19)*($FA$20-1)*(1-$FI$27))+IF(EF516="核弹",EO516*(1+$FA$21)*(1-$FI$29))+IF(EF516="ct值+",$FA$24/(1+($FA$20-1)*$FA$19)*$FA$19*EO516*(1-$FI$28))</f>
        <v>0</v>
      </c>
      <c r="ET516" s="446">
        <f t="shared" si="684"/>
        <v>0</v>
      </c>
    </row>
    <row r="517" spans="2:150" ht="16.5" customHeight="1">
      <c r="B517" s="1123" t="str">
        <f>INDEX('卡片raw data'!B:B,MATCH($D517,'卡片raw data'!$F:$F,))</f>
        <v>prt鸟</v>
      </c>
      <c r="C517" s="449" t="s">
        <v>4286</v>
      </c>
      <c r="D517" s="408">
        <v>514</v>
      </c>
      <c r="E517" s="477">
        <v>300033002</v>
      </c>
      <c r="F517" s="409" t="str">
        <f>INDEX('卡片raw data'!C:C,MATCH($D517,'卡片raw data'!$F:$F,))</f>
        <v>UR</v>
      </c>
      <c r="G517" s="1094" t="s">
        <v>4287</v>
      </c>
      <c r="H517" s="411">
        <f>IFERROR(INDEX(绊状态确认!C:C,MATCH($G517,绊状态确认!$B:$B,)),"")</f>
        <v>3</v>
      </c>
      <c r="I517" s="1124" t="str">
        <f>IFERROR(INDEX(绊状态确认!D:D,MATCH($G517,绊状态确认!$B:$B,)),"")</f>
        <v>缪</v>
      </c>
      <c r="J517" s="1124" t="str">
        <f>IFERROR(INDEX(绊状态确认!E:E,MATCH($G517,绊状态确认!$B:$B,)),"")</f>
        <v>2年级</v>
      </c>
      <c r="K517" s="451" t="str">
        <f>IFERROR(INDEX(绊状态确认!F:F,MATCH($G517,绊状态确认!$B:$B,)),"")</f>
        <v>Printemps</v>
      </c>
      <c r="L517" s="414" t="str">
        <f>INDEX('卡片raw data'!E:E,MATCH($D517,'卡片raw data'!$F:$F,))</f>
        <v>party卡</v>
      </c>
      <c r="M517" s="478">
        <v>44422</v>
      </c>
      <c r="N517" s="479">
        <v>45.5</v>
      </c>
      <c r="O517" s="410" t="str">
        <f>INDEX('卡片raw data'!D:D,MATCH($D517,'卡片raw data'!$F:$F,))</f>
        <v>sp</v>
      </c>
      <c r="P517" s="1126">
        <v>5</v>
      </c>
      <c r="Q517" s="418">
        <f t="shared" si="688"/>
        <v>79446.164066085228</v>
      </c>
      <c r="R517" s="419">
        <f t="shared" si="689"/>
        <v>0.92300000000000004</v>
      </c>
      <c r="S517" s="420">
        <f t="shared" si="690"/>
        <v>25721.703600362518</v>
      </c>
      <c r="T517" s="421">
        <f t="shared" si="691"/>
        <v>1.286</v>
      </c>
      <c r="U517" s="422">
        <f t="shared" si="692"/>
        <v>12.852765404142858</v>
      </c>
      <c r="V517" s="423">
        <f t="shared" si="693"/>
        <v>78673.294814765672</v>
      </c>
      <c r="W517" s="424">
        <f t="shared" si="694"/>
        <v>6010.2953161679998</v>
      </c>
      <c r="X517" s="419">
        <f t="shared" si="695"/>
        <v>6.9000000000000006E-2</v>
      </c>
      <c r="Y517" s="420">
        <f t="shared" si="696"/>
        <v>1027.1307486804471</v>
      </c>
      <c r="Z517" s="425">
        <f t="shared" si="697"/>
        <v>12.852765404142858</v>
      </c>
      <c r="AA517" s="426">
        <f t="shared" si="698"/>
        <v>7037.4260648484469</v>
      </c>
      <c r="AB517" s="424">
        <f t="shared" si="699"/>
        <v>16996.980838499465</v>
      </c>
      <c r="AC517" s="427">
        <f t="shared" si="700"/>
        <v>0.19700000000000001</v>
      </c>
      <c r="AD517" s="428">
        <f t="shared" si="701"/>
        <v>-1.6087500000000001E-2</v>
      </c>
      <c r="AE517" s="516">
        <f t="shared" si="702"/>
        <v>71.261690543478238</v>
      </c>
      <c r="AF517" s="1130">
        <f t="shared" si="703"/>
        <v>0</v>
      </c>
      <c r="AG517" s="420">
        <f t="shared" si="704"/>
        <v>0</v>
      </c>
      <c r="AH517" s="420">
        <f t="shared" si="705"/>
        <v>0</v>
      </c>
      <c r="AI517" s="1097">
        <f t="shared" si="706"/>
        <v>0</v>
      </c>
      <c r="AJ517" s="420">
        <f t="shared" si="707"/>
        <v>0</v>
      </c>
      <c r="AK517" s="518">
        <f t="shared" si="708"/>
        <v>0</v>
      </c>
      <c r="AL517" s="429">
        <f>IF($P517="","N/A",(IF($P517=-1,INDEX('卡片raw data'!S:S,MATCH($D517,'卡片raw data'!$F:$F,)),0)+IF($P517=0,INDEX('卡片raw data'!V:V,MATCH($D517,'卡片raw data'!$F:$F,)),0)+IF($P517=1,INDEX('卡片raw data'!Y:Y,MATCH($D517,'卡片raw data'!$F:$F,)),0)+IF($P517=2,INDEX('卡片raw data'!AB:AB,MATCH($D517,'卡片raw data'!$F:$F,)),0)+IF($P517=3,INDEX('卡片raw data'!AE:AE,MATCH($D517,'卡片raw data'!$F:$F,)),0)+IF($P517=4,INDEX('卡片raw data'!AH:AH,MATCH($D517,'卡片raw data'!$F:$F,)),0)+IF($P517=5,INDEX('卡片raw data'!AK:AK,MATCH($D517,'卡片raw data'!$F:$F,)),0)+INDEX('卡片raw data'!S:S,MATCH($D517,'卡片raw data'!$F:$F,))*(IF($F517="UR",0.04,0.033))*(IF($F517="UR",INDEX(绊状态确认!$S:$S,MATCH($G517,绊状态确认!$B:$B,))/2-40)+IF($F517="SR",INDEX(绊状态确认!$R:$R,MATCH($G517,绊状态确认!$B:$B,))/4-15))+IF($F517="R",INDEX(绊状态确认!$Q:$Q,MATCH($G517,绊状态确认!$B:$B,))/6-40/6)))*(INDEX(绊状态确认!$H:$H,MATCH($G517,绊状态确认!$B:$B,))+INDEX(绊状态确认!J:J,MATCH($G517,绊状态确认!$B:$B,)))</f>
        <v>14748.881039999998</v>
      </c>
      <c r="AM517" s="429">
        <f>IF($P517="","N/A",(IF($P517=-1,INDEX('卡片raw data'!T:T,MATCH($D517,'卡片raw data'!$F:$F,)),0)+IF($P517=0,INDEX('卡片raw data'!W:W,MATCH($D517,'卡片raw data'!$F:$F,)),0)+IF($P517=1,INDEX('卡片raw data'!Z:Z,MATCH($D517,'卡片raw data'!$F:$F,)),0)+IF($P517=2,INDEX('卡片raw data'!AC:AC,MATCH($D517,'卡片raw data'!$F:$F,)),0)+IF($P517=3,INDEX('卡片raw data'!AF:AF,MATCH($D517,'卡片raw data'!$F:$F,)),0)+IF($P517=4,INDEX('卡片raw data'!AI:AI,MATCH($D517,'卡片raw data'!$F:$F,)),0)+IF($P517=5,INDEX('卡片raw data'!AL:AL,MATCH($D517,'卡片raw data'!$F:$F,)),0)+INDEX('卡片raw data'!T:T,MATCH($D517,'卡片raw data'!$F:$F,))*(IF($F517="UR",0.04,0.033))*(IF($F517="UR",INDEX(绊状态确认!$S:$S,MATCH($G517,绊状态确认!$B:$B,))/2-40)+IF($F517="SR",INDEX(绊状态确认!$R:$R,MATCH($G517,绊状态确认!$B:$B,))/4-15))+IF($F517="R",INDEX(绊状态确认!$Q:$Q,MATCH($G517,绊状态确认!$B:$B,))/6-40/6)))*(INDEX(绊状态确认!$H:$H,MATCH($G517,绊状态确认!$B:$B,))+INDEX(绊状态确认!K:K,MATCH($G517,绊状态确认!$B:$B,)))</f>
        <v>6807.2632799999992</v>
      </c>
      <c r="AN517" s="429">
        <f>IF($P517="","N/A",(IF($P517=-1,INDEX('卡片raw data'!U:U,MATCH($D517,'卡片raw data'!$F:$F,)),0)+IF($P517=0,INDEX('卡片raw data'!X:X,MATCH($D517,'卡片raw data'!$F:$F,)),0)+IF($P517=1,INDEX('卡片raw data'!AA:AA,MATCH($D517,'卡片raw data'!$F:$F,)),0)+IF($P517=2,INDEX('卡片raw data'!AD:AD,MATCH($D517,'卡片raw data'!$F:$F,)),0)+IF($P517=3,INDEX('卡片raw data'!AG:AG,MATCH($D517,'卡片raw data'!$F:$F,)),0)+IF($P517=4,INDEX('卡片raw data'!AJ:AJ,MATCH($D517,'卡片raw data'!$F:$F,)),0)+IF($P517=5,INDEX('卡片raw data'!AM:AM,MATCH($D517,'卡片raw data'!$F:$F,)),0)+INDEX('卡片raw data'!U:U,MATCH($D517,'卡片raw data'!$F:$F,))*(IF($F517="UR",0.04,0.033))*(IF($F517="UR",INDEX(绊状态确认!$S:$S,MATCH($G517,绊状态确认!$B:$B,))/2-40)+IF($F517="SR",INDEX(绊状态确认!$R:$R,MATCH($G517,绊状态确认!$B:$B,))/4-15))+IF($F517="R",INDEX(绊状态确认!$Q:$Q,MATCH($G517,绊状态确认!$B:$B,))/6-40/6)))*(INDEX(绊状态确认!$H:$H,MATCH($G517,绊状态确认!$B:$B,))+INDEX(绊状态确认!L:L,MATCH($G517,绊状态确认!$B:$B,)))</f>
        <v>16262.111279999999</v>
      </c>
      <c r="AO517" s="430">
        <f t="shared" si="709"/>
        <v>1</v>
      </c>
      <c r="AP517" s="556">
        <f>1+(INDEX(绊状态确认!$T:$T,MATCH($G517,绊状态确认!$B:$B,))+0.2)*$AO517</f>
        <v>1.3</v>
      </c>
      <c r="AQ517" s="431">
        <f t="shared" si="710"/>
        <v>41965.812729999998</v>
      </c>
      <c r="AR517" s="420">
        <f>(AM517*(1+$EX$9)+$EX$35)*(1+(INDEX(绊状态确认!$T:$T,MATCH($G517,绊状态确认!$B:$B,))+0.2)*AO517)*IF(J517=$FF$17,1+$FE$17,1)*IF(I517=$FF$14,1+$FE$14,1)</f>
        <v>11995.914377200001</v>
      </c>
      <c r="AS517" s="420">
        <f>(AN517*(1+$EX$10)+$EX$36)*(1+(INDEX(绊状态确认!$T:$T,MATCH($G517,绊状态确认!$B:$B,))+0.2)*AO517)*IF(J517=$FF$17,1+$FE$17,1)*IF(I517=$FF$14,1+$FE$14,1)</f>
        <v>28367.856363599996</v>
      </c>
      <c r="AT517" s="412">
        <f>IF(AND(INDEX('卡片raw data'!AK:AK,MATCH($D517,'卡片raw data'!$F:$F,))&lt;INDEX('卡片raw data'!AM:AM,MATCH($D517,'卡片raw data'!$F:$F,)),INDEX('卡片raw data'!AL:AL,MATCH($D517,'卡片raw data'!$F:$F,))&lt;INDEX('卡片raw data'!AM:AM,MATCH($D517,'卡片raw data'!$F:$F,))),1,0)</f>
        <v>1</v>
      </c>
      <c r="AU517" s="421">
        <f>MIN(AT517*0.15+AS517*0.00003+INDEX(绊状态确认!M:M,MATCH($G517,绊状态确认!$B:$B,)),1)</f>
        <v>1</v>
      </c>
      <c r="AV517" s="432">
        <f>(INDEX(绊状态确认!$N:$N,MATCH($G517,绊状态确认!$B:$B,))+1.5)*$EW$21</f>
        <v>2.6599999999999997</v>
      </c>
      <c r="AW517" s="424">
        <f t="shared" si="711"/>
        <v>57974.18322758576</v>
      </c>
      <c r="AX517" s="420">
        <f t="shared" si="712"/>
        <v>1027.1307486804474</v>
      </c>
      <c r="AY517" s="433">
        <f t="shared" si="713"/>
        <v>59001.31397626621</v>
      </c>
      <c r="AZ517" s="429">
        <f t="shared" si="714"/>
        <v>31360.318027999998</v>
      </c>
      <c r="BA517" s="431">
        <f t="shared" si="715"/>
        <v>37632.381633599995</v>
      </c>
      <c r="BB517" s="420">
        <f>(AM517*(1+$FB$9)+$FB$35)*(1+(INDEX(绊状态确认!$T:$T,MATCH($G517,绊状态确认!$B:$B,))+0.2)*AO517)*IF(J517=$FF$17,1+$FE$17,1)*IF(I517=$FF$14,1+$FE$14,1)*(1+$FE$15)</f>
        <v>11995.914377200001</v>
      </c>
      <c r="BC517" s="420">
        <f>(AN517*(1+$FB$10)+$FB$36)*(1+(INDEX(绊状态确认!$T:$T,MATCH($G517,绊状态确认!$B:$B,))+0.2)*AO517)*IF(J517=$FF$17,1+$FE$17,1)*IF(I517=$FF$14,1+$FE$14,1)*(1+$FE$15)</f>
        <v>28367.856363599996</v>
      </c>
      <c r="BD517" s="427">
        <f>MIN(AT517*0.15+BC517*0.00003+INDEX(绊状态确认!M:M,MATCH($G517,绊状态确认!$B:$B,)),1)</f>
        <v>1</v>
      </c>
      <c r="BE517" s="432">
        <f>(INDEX(绊状态确认!$N:$N,MATCH($G517,绊状态确认!$B:$B,))+1.5)</f>
        <v>1.9</v>
      </c>
      <c r="BF517" s="645">
        <f t="array" ref="BF517">SUMPRODUCT(IF(AZ517*AP517*$FI$16:$FI$23*$FA$22&gt;=$FI$24,$FI$24,AZ517*AP517*$FI$16:$FI$23*$FA$22),$FJ$16:$FJ$23)</f>
        <v>57607.259121292002</v>
      </c>
      <c r="BG517" s="453">
        <f t="array" ref="BG517">SUMPRODUCT(IF(BE517*AZ517*AP517*$FI$16:$FI$23*$FA$22&gt;=$FI$24,$FI$24,BE517*AZ517*AP517*$FI$16:$FI$23*$FA$22),$FJ$16:$FJ$23)</f>
        <v>60000</v>
      </c>
      <c r="BH517" s="433">
        <f t="shared" si="716"/>
        <v>20000</v>
      </c>
      <c r="BI517" s="434">
        <f>IF(O517="vo",$EW$26/$EW$24*0.05,0)+IF(O517="sk",-$EW$26/$EW$24*(0.05-INDEX(绊状态确认!W:W,MATCH($G517,绊状态确认!$B:$B,)))+0.05*$EW$28,0)+IF(O517="sp",0.05*$EW$32*$EW$30*(1-$EW$33)-(0.05-INDEX(绊状态确认!V:V,MATCH($G517,绊状态确认!$B:$B,)))*$EW$28,0)+IF(O517="gd",-(0.05-INDEX(绊状态确认!X:X,MATCH($G517,绊状态确认!$B:$B,)))*$EW$32*$EW$30*(1-$EW$33),0)</f>
        <v>19.999999999999886</v>
      </c>
      <c r="BJ517" s="420">
        <f>IF(O517="vo",0.05*(1-$FI$26)*$FA$24,0)+IF(O517="sk",-(0.05-INDEX(绊状态确认!W:W,MATCH($G517,绊状态确认!$B:$B,)))*(1-$FI$26)*$FA$24+0.05*$FA$26,0)+IF(O517="sp",0.05*$FA$32*$FA$27*(1-$FA$33)/$FA$30+0.05*$FA$29/$FA$69*$FA$27*(1-$FA$33)-(0.05-INDEX(绊状态确认!V:V,MATCH($G517,绊状态确认!$B:$B,)))*$FA$26,0)+IF(O517="gd",-(0.05-INDEX(绊状态确认!X:X,MATCH($G517,绊状态确认!$B:$B,)))*$FA$32*$FA$27*(1-$FA$33)/$FA$30-(0.05-INDEX(绊状态确认!X:X,MATCH($G517,绊状态确认!$B:$B,)))*$FA$29/$FA$69*$FA$27*(1-$FA$33),0)</f>
        <v>545.83333333333326</v>
      </c>
      <c r="BK517" s="433">
        <f>IF(O517="vo",$EW$26/$EW$24*0.05+$EW$26*(-HP($EW$62,$EW$65,$EW$64)+HP($EW$62,$EW$65,(1.05-INDEX(绊状态确认!U:U,MATCH($G517,绊状态确认!$B:$B,)))*$EW$64)),0)+IF(O517="sk",-$EW$26/$EW$24*(0.05-INDEX(绊状态确认!W:W,MATCH($G517,绊状态确认!$B:$B,)))+0.05*$EW$29,0)+IF(O517="sp",0.05*$EW$32*$EW$30*(1-$EW$33)-(0.05-INDEX(绊状态确认!V:V,MATCH($G517,绊状态确认!$B:$B,)))*$EW$29,0)+IF(O517="gd",-(0.05-INDEX(绊状态确认!X:X,MATCH($G517,绊状态确认!$B:$B,)))*$EW$32*$EW$30*(1-$EW$33)+$EW$26*(-HP($EW$62,$EW$65,$EW$64)+HP($EW$62,$EW$65,0.95*$EW$64)),0)</f>
        <v>-1780.0000000000005</v>
      </c>
      <c r="BL517" s="434">
        <f t="shared" si="717"/>
        <v>0</v>
      </c>
      <c r="BM517" s="433">
        <f t="shared" si="718"/>
        <v>0</v>
      </c>
      <c r="BN517" s="437">
        <f t="shared" si="719"/>
        <v>4</v>
      </c>
      <c r="BO517" s="1108">
        <f t="shared" si="720"/>
        <v>6010.2953161679998</v>
      </c>
      <c r="BP517" s="1100">
        <f t="shared" si="721"/>
        <v>295.12137612040135</v>
      </c>
      <c r="BQ517" s="1113" t="s">
        <v>132</v>
      </c>
      <c r="BR517" s="1124" t="s">
        <v>168</v>
      </c>
      <c r="BS517" s="421">
        <f>IF($P517="","N/A",IF($P517=-1,INDEX('卡片raw data'!AX:AX,MATCH($D517,'卡片raw data'!$F:$F,)),0)+IF($L517="party卡",IF($P517=5,INDEX('卡片raw data'!BD:BD,MATCH($D517,'卡片raw data'!$F:$F,)),IF($P517&gt;=3,INDEX('卡片raw data'!BC:BC,MATCH($D517,'卡片raw data'!$F:$F,)),INDEX('卡片raw data'!BB:BB,MATCH($D517,'卡片raw data'!$F:$F,)))),IF(OR(AND($F517="UR",$P517=0),AND($F517="SR",$P517&gt;=0,$P517&lt;=2),AND($F517="R",$P517&gt;=0,$P517&lt;4)),INDEX('卡片raw data'!AZ:AZ,MATCH($D517,'卡片raw data'!$F:$F,)),0)+IF(OR(AND($F517="UR",$P517&gt;=1,$P517&lt;=4),AND($F517="SR",$P517&lt;=4,$P517&gt;=3),AND($F517="R",$P517=4)),INDEX('卡片raw data'!BA:BA,MATCH($D517,'卡片raw data'!$F:$F,)),0)+IF($P517=5,INDEX('卡片raw data'!BB:BB,MATCH($D517,'卡片raw data'!$F:$F,)),0)))</f>
        <v>8.4000000000000005E-2</v>
      </c>
      <c r="BT517" s="424">
        <f t="shared" si="722"/>
        <v>6310.8100819763995</v>
      </c>
      <c r="BU517" s="420">
        <f t="shared" si="723"/>
        <v>309.87744492642145</v>
      </c>
      <c r="BV517" s="420">
        <f t="shared" si="724"/>
        <v>0</v>
      </c>
      <c r="BW517" s="436">
        <f t="shared" si="725"/>
        <v>0</v>
      </c>
      <c r="BX517" s="423">
        <f t="shared" si="726"/>
        <v>6310.8100819763995</v>
      </c>
      <c r="BY517" s="433">
        <f t="shared" si="727"/>
        <v>0</v>
      </c>
      <c r="BZ517" s="1113" t="s">
        <v>134</v>
      </c>
      <c r="CA517" s="1124" t="s">
        <v>168</v>
      </c>
      <c r="CB517" s="421">
        <f>IF($P517="","N/A",IF($P517=-1,INDEX('卡片raw data'!BE:BE,MATCH($D517,'卡片raw data'!$F:$F,)),0)+IF($L517="party卡",IF($P517=5,INDEX('卡片raw data'!BK:BK,MATCH($D517,'卡片raw data'!$F:$F,)),IF($P517&gt;=3,INDEX('卡片raw data'!BJ:BJ,MATCH($D517,'卡片raw data'!$F:$F,)),INDEX('卡片raw data'!BI:BI,MATCH($D517,'卡片raw data'!$F:$F,)))),IF(OR(AND($F517="UR",$P517=0),AND($F517="SR",$P517&gt;=0,$P517&lt;=2),AND($F517="R",$P517&gt;=0,$P517&lt;4)),INDEX('卡片raw data'!BG:BG,MATCH($D517,'卡片raw data'!$F:$F,)),0)+IF(OR(AND($F517="UR",$P517&gt;=1,$P517&lt;=4),AND($F517="SR",$P517&lt;=4,$P517&gt;=3),AND($F517="R",$P517=4)),INDEX('卡片raw data'!BH:BH,MATCH($D517,'卡片raw data'!$F:$F,)),0)+IF($P517=5,INDEX('卡片raw data'!BI:BI,MATCH($D517,'卡片raw data'!$F:$F,)),0)))</f>
        <v>4.2000000000000003E-2</v>
      </c>
      <c r="CC517" s="424">
        <f t="shared" si="728"/>
        <v>2971.3299858096102</v>
      </c>
      <c r="CD517" s="420">
        <f>IF(BZ517="ap",CB517*(1-$FI$26)*$FB$5/$FB$11*(+IF(CA517="全员",$FA$24,0)+IF(CA517="同作战",$FA$24,0)+IF(CA517="仲间",$FA$24*2/3,0)+IF(CA517="同属性",$FA$24*$FA$37/3,0)+IF(CA517="同年级",$FA$24*$FA$40/3,0)+IF(CA517="同学校",$FA$24*$FA$43/3,0)+IF(CA517="同小队",$FA$24*$FA$46/3,0)+IF(CA517="同type",$FA$24*INDEX($FB$49:$FB$52,MATCH(X517,$FA$49:$FA$52,))/3,0)+IF(CA517="自身",#REF!/3,0)),0)+IF(BZ517="te",CB517*(1-$FI$27)*($FA$20-1)*$FB$7/$FB$13*(+IF(CA517="全员",$FA$19*$FA$24/(1+($FA$20-1)*$FA$19),0)+IF(CA517="同作战",$FA$19*$FA$24/(1+($FA$20-1)*$FA$19),0)+IF(CA517="仲间",$FA$19*$FA$24*2/3/(1+($FA$20-1)*$FA$19),0)+IF(CA517="同属性",$FA$19*$FA$24*$FA$37/3/(1+($FA$20-1)*$FA$19),0)+IF(CA517="同年级",$FA$19*$FA$24*$FA$40/3/(1+($FA$20-1)*$FA$19),0)+IF(CA517="同学校",$FA$19*$FA$24*$FA$43/3/(1+($FA$20-1)*$FA$19),0)+IF(CA517="同小队",$FA$19*$FA$24*$FA$46/3/(1+($FA$20-1)*$FA$19),0)+IF(CA517="同type",$FA$19*$FA$24*INDEX($FB$49:$FB$52,MATCH(X517,$FA$49:$FA$52,))/3/(1+($FA$20-1)*$FA$19),0)+IF(CA517="自身",$FA$19*#REF!/3/(1+(BH517-1)*$BD517),0)),0)</f>
        <v>214.92580204297263</v>
      </c>
      <c r="CE517" s="420">
        <f t="shared" si="729"/>
        <v>0</v>
      </c>
      <c r="CF517" s="436">
        <f t="shared" si="730"/>
        <v>0</v>
      </c>
      <c r="CG517" s="423">
        <f t="shared" si="731"/>
        <v>2971.3299858096102</v>
      </c>
      <c r="CH517" s="433">
        <f t="shared" si="732"/>
        <v>0</v>
      </c>
      <c r="CI517" s="437" t="s">
        <v>160</v>
      </c>
      <c r="CJ517" s="438">
        <v>1</v>
      </c>
      <c r="CK517" s="439" t="s">
        <v>295</v>
      </c>
      <c r="CL517" s="439" t="s">
        <v>2127</v>
      </c>
      <c r="CM517" s="443">
        <v>0.15</v>
      </c>
      <c r="CN517" s="1115">
        <v>5</v>
      </c>
      <c r="CO517" s="1115"/>
      <c r="CP517" s="1118">
        <f t="shared" si="733"/>
        <v>4.0178571428571432E-2</v>
      </c>
      <c r="CQ517" s="1118">
        <f t="shared" si="734"/>
        <v>8.3333333333333329E-2</v>
      </c>
      <c r="CR517" s="1118">
        <f t="shared" si="735"/>
        <v>0</v>
      </c>
      <c r="CS517" s="1118">
        <f t="shared" si="736"/>
        <v>0</v>
      </c>
      <c r="CT517" s="1109">
        <f t="shared" si="737"/>
        <v>0</v>
      </c>
      <c r="CU517" s="1101">
        <f t="shared" si="738"/>
        <v>1704.5454545454545</v>
      </c>
      <c r="CV517" s="1108">
        <f t="shared" ref="CV517:CV548" si="768">IF(AND(CK517="技能+",CL517="自身",$DR517=0.11),0,IF(CK517="sp+",CQ517*$FA$27*$FA$32*(1-$FA$33),0)+IF(CK517="ap+",CQ517*$FA$24/(1+$FA$15)*(1-$FI$26),0)+IF(CK517="ap+元气",CQ517*$FA$24/(1+$FA$15)*(1-$FI$26)*$FA$64,0)+IF(CK517="技能+",$FA$26*CQ517/$FA$25,0)+IF(CK517="vo+",$FA$24*CQ517*(1-$FI$26),0)+IF(CK517="sp获得",CQ517*(1-$FA$33)*$FA$27/$FA$69)+IF(CK517="vo获得",CQ517*$FA$22)+IF(CK517="ct+",$FA$24/(1+($FA$20-1)*$FA$19)*($FA$20-1)*CQ517*(1-$FI$27))+IF(CK517="核弹",CQ517*(1+$FA$21)*(1-$FI$29))+IF(CK517="ct值+",$FA$24/(1+($FA$20-1)*$FA$19)*$FA$19*CQ517*(1-$FI$28))+IF(CK517="自身ct时上限突破",CQ517*$FI$24*$FI$26*BD517,0))</f>
        <v>1893.9393939393938</v>
      </c>
      <c r="CW517" s="1097">
        <f t="shared" si="739"/>
        <v>0</v>
      </c>
      <c r="CX517" s="1097">
        <f t="shared" si="740"/>
        <v>1704.5454545454545</v>
      </c>
      <c r="CY517" s="1110">
        <f t="shared" si="741"/>
        <v>0</v>
      </c>
      <c r="CZ517" s="437"/>
      <c r="DA517" s="438"/>
      <c r="DB517" s="439" t="s">
        <v>569</v>
      </c>
      <c r="DC517" s="439"/>
      <c r="DD517" s="443"/>
      <c r="DE517" s="411"/>
      <c r="DF517" s="411"/>
      <c r="DG517" s="1116">
        <f t="shared" si="742"/>
        <v>0</v>
      </c>
      <c r="DH517" s="1116">
        <f t="shared" si="743"/>
        <v>0</v>
      </c>
      <c r="DI517" s="1116">
        <f t="shared" si="744"/>
        <v>0</v>
      </c>
      <c r="DJ517" s="442">
        <f t="shared" si="745"/>
        <v>0</v>
      </c>
      <c r="DK517" s="432">
        <f t="shared" si="746"/>
        <v>0</v>
      </c>
      <c r="DL517" s="424">
        <f t="shared" si="747"/>
        <v>0</v>
      </c>
      <c r="DM517" s="420">
        <f t="shared" si="748"/>
        <v>0</v>
      </c>
      <c r="DN517" s="420">
        <f t="shared" si="749"/>
        <v>0</v>
      </c>
      <c r="DO517" s="420">
        <f t="shared" si="750"/>
        <v>0</v>
      </c>
      <c r="DP517" s="433">
        <f t="shared" si="751"/>
        <v>0</v>
      </c>
      <c r="DQ517" s="1113" t="s">
        <v>549</v>
      </c>
      <c r="DR517" s="1120">
        <f t="shared" si="686"/>
        <v>0.33</v>
      </c>
      <c r="DS517" s="1124"/>
      <c r="DT517" s="1124" t="s">
        <v>179</v>
      </c>
      <c r="DU517" s="1124"/>
      <c r="DV517" s="1098">
        <f>IF($P517="","N/A",IF(P517=-1,INDEX('卡片raw data'!AN:AN,MATCH(D517,'卡片raw data'!$F:$F,)),0)+IF(AND(L517&lt;&gt;"party卡",P517&lt;=2,P517&gt;=0),INDEX('卡片raw data'!AP:AP,MATCH(D517,'卡片raw data'!$F:$F,)),0)+IF(OR(AND(L517="party卡",P517&lt;=1),AND(P517&lt;=4,L517&lt;&gt;"party卡",P517&gt;=3)),INDEX('卡片raw data'!AQ:AQ,MATCH(D517,'卡片raw data'!$F:$F,)),0)+IF(OR(P517=5,AND(L517="party卡",P517&gt;=2)),INDEX('卡片raw data'!AR:AR,MATCH(D517,'卡片raw data'!$F:$F,)),0))</f>
        <v>0.09</v>
      </c>
      <c r="DW517" s="1098">
        <f t="shared" si="752"/>
        <v>0.33</v>
      </c>
      <c r="DX517" s="1098">
        <f t="shared" si="753"/>
        <v>0.33</v>
      </c>
      <c r="DY517" s="1098">
        <f t="shared" si="754"/>
        <v>9.9000000000000008E-3</v>
      </c>
      <c r="DZ517" s="1098">
        <f t="shared" si="755"/>
        <v>9.8480249999999998E-3</v>
      </c>
      <c r="EA517" s="421">
        <f t="shared" si="756"/>
        <v>0</v>
      </c>
      <c r="EB517" s="445">
        <f t="shared" si="757"/>
        <v>60.337777499999987</v>
      </c>
      <c r="EC517" s="424">
        <f t="shared" si="758"/>
        <v>4455</v>
      </c>
      <c r="ED517" s="420">
        <f t="shared" si="759"/>
        <v>2462.0062499999999</v>
      </c>
      <c r="EE517" s="433">
        <f t="shared" si="683"/>
        <v>4455</v>
      </c>
      <c r="EF517" s="1113" t="s">
        <v>569</v>
      </c>
      <c r="EG517" s="1120">
        <f t="shared" si="687"/>
        <v>0.33</v>
      </c>
      <c r="EH517" s="1124"/>
      <c r="EI517" s="1124"/>
      <c r="EJ517" s="1124"/>
      <c r="EK517" s="420">
        <f>IF($P517="","N/A",IF(P517=-1,INDEX('卡片raw data'!AS:AS,MATCH(D517,'卡片raw data'!$F:$F,)),0)+IF(AND(L517&lt;&gt;"party卡",P517&lt;=2,P517&gt;=0),INDEX('卡片raw data'!AU:AU,MATCH(D517,'卡片raw data'!$F:$F,)),0)+IF(OR(AND(L517="party卡",P517&lt;=1),AND(P517&lt;=4,L517&lt;&gt;"party卡",P517&gt;=3)),INDEX('卡片raw data'!AV:AV,MATCH(D517,'卡片raw data'!$F:$F,)),0)+IF(OR(P517=5,AND(L517="party卡",P517&gt;=2)),INDEX('卡片raw data'!AW:AW,MATCH(D517,'卡片raw data'!$F:$F,)),0))</f>
        <v>0</v>
      </c>
      <c r="EL517" s="1098">
        <f t="shared" si="760"/>
        <v>0.33</v>
      </c>
      <c r="EM517" s="1098">
        <f t="shared" si="761"/>
        <v>0.33</v>
      </c>
      <c r="EN517" s="1097">
        <f t="shared" si="762"/>
        <v>0</v>
      </c>
      <c r="EO517" s="1097">
        <f t="shared" si="763"/>
        <v>0</v>
      </c>
      <c r="EP517" s="421">
        <f t="shared" si="764"/>
        <v>0</v>
      </c>
      <c r="EQ517" s="445">
        <f t="shared" si="765"/>
        <v>0</v>
      </c>
      <c r="ER517" s="424">
        <f t="shared" si="766"/>
        <v>0</v>
      </c>
      <c r="ES517" s="420">
        <f t="shared" si="767"/>
        <v>0</v>
      </c>
      <c r="ET517" s="446">
        <f t="shared" si="684"/>
        <v>0</v>
      </c>
    </row>
    <row r="518" spans="2:150" ht="16.5" customHeight="1">
      <c r="B518" s="448" t="str">
        <f>INDEX('卡片raw data'!B:B,MATCH($D518,'卡片raw data'!$F:$F,))</f>
        <v>虹心爱</v>
      </c>
      <c r="C518" s="449" t="s">
        <v>4290</v>
      </c>
      <c r="D518" s="408">
        <v>515</v>
      </c>
      <c r="E518" s="477">
        <v>302052003</v>
      </c>
      <c r="F518" s="409" t="str">
        <f>INDEX('卡片raw data'!C:C,MATCH($D518,'卡片raw data'!$F:$F,))</f>
        <v>SR</v>
      </c>
      <c r="G518" s="1094" t="s">
        <v>4291</v>
      </c>
      <c r="H518" s="411">
        <f>IFERROR(INDEX(绊状态确认!C:C,MATCH($G518,绊状态确认!$B:$B,)),"")</f>
        <v>205</v>
      </c>
      <c r="I518" s="450" t="str">
        <f>IFERROR(INDEX(绊状态确认!D:D,MATCH($G518,绊状态确认!$B:$B,)),"")</f>
        <v>虹</v>
      </c>
      <c r="J518" s="450" t="str">
        <f>IFERROR(INDEX(绊状态确认!E:E,MATCH($G518,绊状态确认!$B:$B,)),"")</f>
        <v>2年级</v>
      </c>
      <c r="K518" s="451" t="str">
        <f>IFERROR(INDEX(绊状态确认!F:F,MATCH($G518,绊状态确认!$B:$B,)),"")</f>
        <v>Diver Diva</v>
      </c>
      <c r="L518" s="414" t="str">
        <f>INDEX('卡片raw data'!E:E,MATCH($D518,'卡片raw data'!$F:$F,))</f>
        <v>卡池卡</v>
      </c>
      <c r="M518" s="478">
        <v>44422</v>
      </c>
      <c r="N518" s="479">
        <v>45.5</v>
      </c>
      <c r="O518" s="410" t="str">
        <f>INDEX('卡片raw data'!D:D,MATCH($D518,'卡片raw data'!$F:$F,))</f>
        <v>gd</v>
      </c>
      <c r="P518" s="1126">
        <v>5</v>
      </c>
      <c r="Q518" s="418">
        <f t="shared" si="688"/>
        <v>22203.529003744639</v>
      </c>
      <c r="R518" s="419">
        <f t="shared" si="689"/>
        <v>0.25800000000000001</v>
      </c>
      <c r="S518" s="420">
        <f t="shared" si="690"/>
        <v>12940.145493441374</v>
      </c>
      <c r="T518" s="421">
        <f t="shared" si="691"/>
        <v>0.64700000000000002</v>
      </c>
      <c r="U518" s="422">
        <f t="shared" si="692"/>
        <v>488.85626076035646</v>
      </c>
      <c r="V518" s="423">
        <f t="shared" si="693"/>
        <v>73738.36547018314</v>
      </c>
      <c r="W518" s="424">
        <f t="shared" si="694"/>
        <v>4507.7214871259994</v>
      </c>
      <c r="X518" s="419">
        <f t="shared" si="695"/>
        <v>5.1999999999999998E-2</v>
      </c>
      <c r="Y518" s="420">
        <f t="shared" si="696"/>
        <v>1505.2106042971336</v>
      </c>
      <c r="Z518" s="425">
        <f t="shared" si="697"/>
        <v>18.762028886948571</v>
      </c>
      <c r="AA518" s="426">
        <f t="shared" si="698"/>
        <v>6012.932091423133</v>
      </c>
      <c r="AB518" s="424">
        <f t="shared" si="699"/>
        <v>4507.7214871259994</v>
      </c>
      <c r="AC518" s="427">
        <f t="shared" si="700"/>
        <v>5.1999999999999998E-2</v>
      </c>
      <c r="AD518" s="428">
        <f t="shared" si="701"/>
        <v>-3.8207812500000026E-3</v>
      </c>
      <c r="AE518" s="516">
        <f t="shared" si="702"/>
        <v>-18.525362318840578</v>
      </c>
      <c r="AF518" s="1130">
        <f t="shared" si="703"/>
        <v>6998.7230942853103</v>
      </c>
      <c r="AG518" s="420">
        <f t="shared" si="704"/>
        <v>98921.248038848018</v>
      </c>
      <c r="AH518" s="420">
        <f t="shared" si="705"/>
        <v>14.134185151520068</v>
      </c>
      <c r="AI518" s="1097">
        <f t="shared" si="706"/>
        <v>99624.489163880484</v>
      </c>
      <c r="AJ518" s="420">
        <f t="shared" si="707"/>
        <v>73738.36547018314</v>
      </c>
      <c r="AK518" s="518">
        <f t="shared" si="708"/>
        <v>25886.123693697344</v>
      </c>
      <c r="AL518" s="429">
        <f>IF($P518="","N/A",(IF($P518=-1,INDEX('卡片raw data'!S:S,MATCH($D518,'卡片raw data'!$F:$F,)),0)+IF($P518=0,INDEX('卡片raw data'!V:V,MATCH($D518,'卡片raw data'!$F:$F,)),0)+IF($P518=1,INDEX('卡片raw data'!Y:Y,MATCH($D518,'卡片raw data'!$F:$F,)),0)+IF($P518=2,INDEX('卡片raw data'!AB:AB,MATCH($D518,'卡片raw data'!$F:$F,)),0)+IF($P518=3,INDEX('卡片raw data'!AE:AE,MATCH($D518,'卡片raw data'!$F:$F,)),0)+IF($P518=4,INDEX('卡片raw data'!AH:AH,MATCH($D518,'卡片raw data'!$F:$F,)),0)+IF($P518=5,INDEX('卡片raw data'!AK:AK,MATCH($D518,'卡片raw data'!$F:$F,)),0)+INDEX('卡片raw data'!S:S,MATCH($D518,'卡片raw data'!$F:$F,))*(IF($F518="UR",0.04,0.033))*(IF($F518="UR",INDEX(绊状态确认!$S:$S,MATCH($G518,绊状态确认!$B:$B,))/2-40)+IF($F518="SR",INDEX(绊状态确认!$R:$R,MATCH($G518,绊状态确认!$B:$B,))/4-15))+IF($F518="R",INDEX(绊状态确认!$Q:$Q,MATCH($G518,绊状态确认!$B:$B,))/6-40/6)))*(INDEX(绊状态确认!$H:$H,MATCH($G518,绊状态确认!$B:$B,))+INDEX(绊状态确认!J:J,MATCH($G518,绊状态确认!$B:$B,)))</f>
        <v>6714.4534919999987</v>
      </c>
      <c r="AM518" s="429">
        <f>IF($P518="","N/A",(IF($P518=-1,INDEX('卡片raw data'!T:T,MATCH($D518,'卡片raw data'!$F:$F,)),0)+IF($P518=0,INDEX('卡片raw data'!W:W,MATCH($D518,'卡片raw data'!$F:$F,)),0)+IF($P518=1,INDEX('卡片raw data'!Z:Z,MATCH($D518,'卡片raw data'!$F:$F,)),0)+IF($P518=2,INDEX('卡片raw data'!AC:AC,MATCH($D518,'卡片raw data'!$F:$F,)),0)+IF($P518=3,INDEX('卡片raw data'!AF:AF,MATCH($D518,'卡片raw data'!$F:$F,)),0)+IF($P518=4,INDEX('卡片raw data'!AI:AI,MATCH($D518,'卡片raw data'!$F:$F,)),0)+IF($P518=5,INDEX('卡片raw data'!AL:AL,MATCH($D518,'卡片raw data'!$F:$F,)),0)+INDEX('卡片raw data'!T:T,MATCH($D518,'卡片raw data'!$F:$F,))*(IF($F518="UR",0.04,0.033))*(IF($F518="UR",INDEX(绊状态确认!$S:$S,MATCH($G518,绊状态确认!$B:$B,))/2-40)+IF($F518="SR",INDEX(绊状态确认!$R:$R,MATCH($G518,绊状态确认!$B:$B,))/4-15))+IF($F518="R",INDEX(绊状态确认!$Q:$Q,MATCH($G518,绊状态确认!$B:$B,))/6-40/6)))*(INDEX(绊状态确认!$H:$H,MATCH($G518,绊状态确认!$B:$B,))+INDEX(绊状态确认!K:K,MATCH($G518,绊状态确认!$B:$B,)))</f>
        <v>9263.0600447999986</v>
      </c>
      <c r="AN518" s="429">
        <f>IF($P518="","N/A",(IF($P518=-1,INDEX('卡片raw data'!U:U,MATCH($D518,'卡片raw data'!$F:$F,)),0)+IF($P518=0,INDEX('卡片raw data'!X:X,MATCH($D518,'卡片raw data'!$F:$F,)),0)+IF($P518=1,INDEX('卡片raw data'!AA:AA,MATCH($D518,'卡片raw data'!$F:$F,)),0)+IF($P518=2,INDEX('卡片raw data'!AD:AD,MATCH($D518,'卡片raw data'!$F:$F,)),0)+IF($P518=3,INDEX('卡片raw data'!AG:AG,MATCH($D518,'卡片raw data'!$F:$F,)),0)+IF($P518=4,INDEX('卡片raw data'!AJ:AJ,MATCH($D518,'卡片raw data'!$F:$F,)),0)+IF($P518=5,INDEX('卡片raw data'!AM:AM,MATCH($D518,'卡片raw data'!$F:$F,)),0)+INDEX('卡片raw data'!U:U,MATCH($D518,'卡片raw data'!$F:$F,))*(IF($F518="UR",0.04,0.033))*(IF($F518="UR",INDEX(绊状态确认!$S:$S,MATCH($G518,绊状态确认!$B:$B,))/2-40)+IF($F518="SR",INDEX(绊状态确认!$R:$R,MATCH($G518,绊状态确认!$B:$B,))/4-15))+IF($F518="R",INDEX(绊状态确认!$Q:$Q,MATCH($G518,绊状态确认!$B:$B,))/6-40/6)))*(INDEX(绊状态确认!$H:$H,MATCH($G518,绊状态确认!$B:$B,))+INDEX(绊状态确认!L:L,MATCH($G518,绊状态确认!$B:$B,)))</f>
        <v>7176.6523727999993</v>
      </c>
      <c r="AO518" s="430">
        <f t="shared" si="709"/>
        <v>1</v>
      </c>
      <c r="AP518" s="556">
        <f>1+(INDEX(绊状态确认!$T:$T,MATCH($G518,绊状态确认!$B:$B,))+0.2)*$AO518</f>
        <v>1.3</v>
      </c>
      <c r="AQ518" s="431">
        <f t="shared" si="710"/>
        <v>20875.440416499994</v>
      </c>
      <c r="AR518" s="420">
        <f>(AM518*(1+$EX$9)+$EX$35)*(1+(INDEX(绊状态确认!$T:$T,MATCH($G518,绊状态确认!$B:$B,))+0.2)*AO518)*IF(J518=$FF$17,1+$FE$17,1)*IF(I518=$FF$14,1+$FE$14,1)</f>
        <v>15348.076961151999</v>
      </c>
      <c r="AS518" s="420">
        <f>(AN518*(1+$EX$10)+$EX$36)*(1+(INDEX(绊状态确认!$T:$T,MATCH($G518,绊状态确认!$B:$B,))+0.2)*AO518)*IF(J518=$FF$17,1+$FE$17,1)*IF(I518=$FF$14,1+$FE$14,1)</f>
        <v>14785.095297335998</v>
      </c>
      <c r="AT518" s="412">
        <f>IF(AND(INDEX('卡片raw data'!AK:AK,MATCH($D518,'卡片raw data'!$F:$F,))&lt;INDEX('卡片raw data'!AM:AM,MATCH($D518,'卡片raw data'!$F:$F,)),INDEX('卡片raw data'!AL:AL,MATCH($D518,'卡片raw data'!$F:$F,))&lt;INDEX('卡片raw data'!AM:AM,MATCH($D518,'卡片raw data'!$F:$F,))),1,0)</f>
        <v>0</v>
      </c>
      <c r="AU518" s="421">
        <f>MIN(AT518*0.15+AS518*0.00003+INDEX(绊状态确认!M:M,MATCH($G518,绊状态确认!$B:$B,)),1)</f>
        <v>0.47355285892007998</v>
      </c>
      <c r="AV518" s="432">
        <f>(INDEX(绊状态确认!$N:$N,MATCH($G518,绊状态确认!$B:$B,))+1.5)*$EW$21</f>
        <v>2.6599999999999997</v>
      </c>
      <c r="AW518" s="424">
        <f t="shared" si="711"/>
        <v>19364.140849951971</v>
      </c>
      <c r="AX518" s="420">
        <f t="shared" si="712"/>
        <v>1323.915105672874</v>
      </c>
      <c r="AY518" s="433">
        <f t="shared" si="713"/>
        <v>20688.055955624845</v>
      </c>
      <c r="AZ518" s="429">
        <f t="shared" si="714"/>
        <v>15693.184309399998</v>
      </c>
      <c r="BA518" s="431">
        <f t="shared" si="715"/>
        <v>18831.821171279997</v>
      </c>
      <c r="BB518" s="420">
        <f>(AM518*(1+$FB$9)+$FB$35)*(1+(INDEX(绊状态确认!$T:$T,MATCH($G518,绊状态确认!$B:$B,))+0.2)*AO518)*IF(J518=$FF$17,1+$FE$17,1)*IF(I518=$FF$14,1+$FE$14,1)*(1+$FE$15)</f>
        <v>15348.076961151999</v>
      </c>
      <c r="BC518" s="420">
        <f>(AN518*(1+$FB$10)+$FB$36)*(1+(INDEX(绊状态确认!$T:$T,MATCH($G518,绊状态确认!$B:$B,))+0.2)*AO518)*IF(J518=$FF$17,1+$FE$17,1)*IF(I518=$FF$14,1+$FE$14,1)*(1+$FE$15)</f>
        <v>14785.095297335998</v>
      </c>
      <c r="BD518" s="427">
        <f>MIN(AT518*0.15+BC518*0.00003+INDEX(绊状态确认!M:M,MATCH($G518,绊状态确认!$B:$B,)),1)</f>
        <v>0.47355285892007998</v>
      </c>
      <c r="BE518" s="432">
        <f>(INDEX(绊状态确认!$N:$N,MATCH($G518,绊状态确认!$B:$B,))+1.5)</f>
        <v>1.9</v>
      </c>
      <c r="BF518" s="645">
        <f t="array" ref="BF518">SUMPRODUCT(IF(AZ518*AP518*$FI$16:$FI$23*$FA$22&gt;=$FI$24,$FI$24,AZ518*AP518*$FI$16:$FI$23*$FA$22),$FJ$16:$FJ$23)</f>
        <v>31213.7435913966</v>
      </c>
      <c r="BG518" s="453">
        <f t="array" ref="BG518">SUMPRODUCT(IF(BE518*AZ518*AP518*$FI$16:$FI$23*$FA$22&gt;=$FI$24,$FI$24,BE518*AZ518*AP518*$FI$16:$FI$23*$FA$22),$FJ$16:$FJ$23)</f>
        <v>56172.597152700931</v>
      </c>
      <c r="BH518" s="433">
        <f t="shared" si="716"/>
        <v>14344.360016906629</v>
      </c>
      <c r="BI518" s="434">
        <f>IF(O518="vo",$EW$26/$EW$24*0.05,0)+IF(O518="sk",-$EW$26/$EW$24*(0.05-INDEX(绊状态确认!W:W,MATCH($G518,绊状态确认!$B:$B,)))+0.05*$EW$28,0)+IF(O518="sp",0.05*$EW$32*$EW$30*(1-$EW$33)-(0.05-INDEX(绊状态确认!V:V,MATCH($G518,绊状态确认!$B:$B,)))*$EW$28,0)+IF(O518="gd",-(0.05-INDEX(绊状态确认!X:X,MATCH($G518,绊状态确认!$B:$B,)))*$EW$32*$EW$30*(1-$EW$33),0)</f>
        <v>-585.00000000000011</v>
      </c>
      <c r="BJ518" s="420">
        <f>IF(O518="vo",0.05*(1-$FI$26)*$FA$24,0)+IF(O518="sk",-(0.05-INDEX(绊状态确认!W:W,MATCH($G518,绊状态确认!$B:$B,)))*(1-$FI$26)*$FA$24+0.05*$FA$26,0)+IF(O518="sp",0.05*$FA$32*$FA$27*(1-$FA$33)/$FA$30+0.05*$FA$29/$FA$69*$FA$27*(1-$FA$33)-(0.05-INDEX(绊状态确认!V:V,MATCH($G518,绊状态确认!$B:$B,)))*$FA$26,0)+IF(O518="gd",-(0.05-INDEX(绊状态确认!X:X,MATCH($G518,绊状态确认!$B:$B,)))*$FA$32*$FA$27*(1-$FA$33)/$FA$30-(0.05-INDEX(绊状态确认!X:X,MATCH($G518,绊状态确认!$B:$B,)))*$FA$29/$FA$69*$FA$27*(1-$FA$33),0)</f>
        <v>-795.00000000000011</v>
      </c>
      <c r="BK518" s="433">
        <f>IF(O518="vo",$EW$26/$EW$24*0.05+$EW$26*(-HP($EW$62,$EW$65,$EW$64)+HP($EW$62,$EW$65,(1.05-INDEX(绊状态确认!U:U,MATCH($G518,绊状态确认!$B:$B,)))*$EW$64)),0)+IF(O518="sk",-$EW$26/$EW$24*(0.05-INDEX(绊状态确认!W:W,MATCH($G518,绊状态确认!$B:$B,)))+0.05*$EW$29,0)+IF(O518="sp",0.05*$EW$32*$EW$30*(1-$EW$33)-(0.05-INDEX(绊状态确认!V:V,MATCH($G518,绊状态确认!$B:$B,)))*$EW$29,0)+IF(O518="gd",-(0.05-INDEX(绊状态确认!X:X,MATCH($G518,绊状态确认!$B:$B,)))*$EW$32*$EW$30*(1-$EW$33)+$EW$26*(-HP($EW$62,$EW$65,$EW$64)+HP($EW$62,$EW$65,0.95*$EW$64)),0)</f>
        <v>1009.5947725176144</v>
      </c>
      <c r="BL518" s="434">
        <f t="shared" si="717"/>
        <v>-1083.3333333333333</v>
      </c>
      <c r="BM518" s="433">
        <f t="shared" si="718"/>
        <v>-830.55555555555543</v>
      </c>
      <c r="BN518" s="437">
        <f t="shared" si="719"/>
        <v>3</v>
      </c>
      <c r="BO518" s="1108">
        <f t="shared" si="720"/>
        <v>4507.7214871259994</v>
      </c>
      <c r="BP518" s="1100">
        <f t="shared" si="721"/>
        <v>221.34103209030098</v>
      </c>
      <c r="BQ518" s="1113" t="s">
        <v>133</v>
      </c>
      <c r="BR518" s="1124" t="s">
        <v>161</v>
      </c>
      <c r="BS518" s="421">
        <f>IF($P518="","N/A",IF($P518=-1,INDEX('卡片raw data'!AX:AX,MATCH($D518,'卡片raw data'!$F:$F,)),0)+IF($L518="party卡",IF($P518=5,INDEX('卡片raw data'!BD:BD,MATCH($D518,'卡片raw data'!$F:$F,)),IF($P518&gt;=3,INDEX('卡片raw data'!BC:BC,MATCH($D518,'卡片raw data'!$F:$F,)),INDEX('卡片raw data'!BB:BB,MATCH($D518,'卡片raw data'!$F:$F,)))),IF(OR(AND($F518="UR",$P518=0),AND($F518="SR",$P518&gt;=0,$P518&lt;=2),AND($F518="R",$P518&gt;=0,$P518&lt;4)),INDEX('卡片raw data'!AZ:AZ,MATCH($D518,'卡片raw data'!$F:$F,)),0)+IF(OR(AND($F518="UR",$P518&gt;=1,$P518&lt;=4),AND($F518="SR",$P518&lt;=4,$P518&gt;=3),AND($F518="R",$P518=4)),INDEX('卡片raw data'!BA:BA,MATCH($D518,'卡片raw data'!$F:$F,)),0)+IF($P518=5,INDEX('卡片raw data'!BB:BB,MATCH($D518,'卡片raw data'!$F:$F,)),0)))</f>
        <v>2.1999999999999999E-2</v>
      </c>
      <c r="BT518" s="424">
        <f t="shared" si="722"/>
        <v>0</v>
      </c>
      <c r="BU518" s="420">
        <f t="shared" si="723"/>
        <v>0</v>
      </c>
      <c r="BV518" s="420">
        <f t="shared" si="724"/>
        <v>0</v>
      </c>
      <c r="BW518" s="436">
        <f t="shared" si="725"/>
        <v>2.3176607142857137</v>
      </c>
      <c r="BX518" s="423">
        <f t="shared" si="726"/>
        <v>181.29549862425898</v>
      </c>
      <c r="BY518" s="433">
        <f t="shared" si="727"/>
        <v>181.29549862425898</v>
      </c>
      <c r="BZ518" s="1113" t="s">
        <v>569</v>
      </c>
      <c r="CA518" s="450"/>
      <c r="CB518" s="421">
        <f>IF($P518="","N/A",IF($P518=-1,INDEX('卡片raw data'!BE:BE,MATCH($D518,'卡片raw data'!$F:$F,)),0)+IF($L518="party卡",IF($P518=5,INDEX('卡片raw data'!BK:BK,MATCH($D518,'卡片raw data'!$F:$F,)),IF($P518&gt;=3,INDEX('卡片raw data'!BJ:BJ,MATCH($D518,'卡片raw data'!$F:$F,)),INDEX('卡片raw data'!BI:BI,MATCH($D518,'卡片raw data'!$F:$F,)))),IF(OR(AND($F518="UR",$P518=0),AND($F518="SR",$P518&gt;=0,$P518&lt;=2),AND($F518="R",$P518&gt;=0,$P518&lt;4)),INDEX('卡片raw data'!BG:BG,MATCH($D518,'卡片raw data'!$F:$F,)),0)+IF(OR(AND($F518="UR",$P518&gt;=1,$P518&lt;=4),AND($F518="SR",$P518&lt;=4,$P518&gt;=3),AND($F518="R",$P518=4)),INDEX('卡片raw data'!BH:BH,MATCH($D518,'卡片raw data'!$F:$F,)),0)+IF($P518=5,INDEX('卡片raw data'!BI:BI,MATCH($D518,'卡片raw data'!$F:$F,)),0)))</f>
        <v>0</v>
      </c>
      <c r="CC518" s="424">
        <f t="shared" si="728"/>
        <v>0</v>
      </c>
      <c r="CD518" s="420">
        <f>IF(BZ518="ap",CB518*(1-$FI$26)*$FB$5/$FB$11*(+IF(CA518="全员",$FA$24,0)+IF(CA518="同作战",$FA$24,0)+IF(CA518="仲间",$FA$24*2/3,0)+IF(CA518="同属性",$FA$24*$FA$37/3,0)+IF(CA518="同年级",$FA$24*$FA$40/3,0)+IF(CA518="同学校",$FA$24*$FA$43/3,0)+IF(CA518="同小队",$FA$24*$FA$46/3,0)+IF(CA518="同type",$FA$24*INDEX($FB$49:$FB$52,MATCH(X518,$FA$49:$FA$52,))/3,0)+IF(CA518="自身",#REF!/3,0)),0)+IF(BZ518="te",CB518*(1-$FI$27)*($FA$20-1)*$FB$7/$FB$13*(+IF(CA518="全员",$FA$19*$FA$24/(1+($FA$20-1)*$FA$19),0)+IF(CA518="同作战",$FA$19*$FA$24/(1+($FA$20-1)*$FA$19),0)+IF(CA518="仲间",$FA$19*$FA$24*2/3/(1+($FA$20-1)*$FA$19),0)+IF(CA518="同属性",$FA$19*$FA$24*$FA$37/3/(1+($FA$20-1)*$FA$19),0)+IF(CA518="同年级",$FA$19*$FA$24*$FA$40/3/(1+($FA$20-1)*$FA$19),0)+IF(CA518="同学校",$FA$19*$FA$24*$FA$43/3/(1+($FA$20-1)*$FA$19),0)+IF(CA518="同小队",$FA$19*$FA$24*$FA$46/3/(1+($FA$20-1)*$FA$19),0)+IF(CA518="同type",$FA$19*$FA$24*INDEX($FB$49:$FB$52,MATCH(X518,$FA$49:$FA$52,))/3/(1+($FA$20-1)*$FA$19),0)+IF(CA518="自身",$FA$19*#REF!/3/(1+(BH518-1)*$BD518),0)),0)</f>
        <v>0</v>
      </c>
      <c r="CE518" s="420">
        <f t="shared" si="729"/>
        <v>0</v>
      </c>
      <c r="CF518" s="436">
        <f t="shared" si="730"/>
        <v>0</v>
      </c>
      <c r="CG518" s="423">
        <f t="shared" si="731"/>
        <v>0</v>
      </c>
      <c r="CH518" s="433">
        <f t="shared" si="732"/>
        <v>0</v>
      </c>
      <c r="CI518" s="437" t="s">
        <v>571</v>
      </c>
      <c r="CJ518" s="438">
        <v>1</v>
      </c>
      <c r="CK518" s="439" t="s">
        <v>635</v>
      </c>
      <c r="CL518" s="439" t="s">
        <v>1943</v>
      </c>
      <c r="CM518" s="443">
        <v>0.1</v>
      </c>
      <c r="CN518" s="439"/>
      <c r="CO518" s="1115"/>
      <c r="CP518" s="1116">
        <f t="shared" si="733"/>
        <v>0</v>
      </c>
      <c r="CQ518" s="1116">
        <f t="shared" si="734"/>
        <v>0</v>
      </c>
      <c r="CR518" s="1117">
        <f t="shared" si="735"/>
        <v>0</v>
      </c>
      <c r="CS518" s="442">
        <f t="shared" si="736"/>
        <v>0</v>
      </c>
      <c r="CT518" s="432">
        <f t="shared" si="737"/>
        <v>0</v>
      </c>
      <c r="CU518" s="1101">
        <f t="shared" si="738"/>
        <v>0</v>
      </c>
      <c r="CV518" s="1108">
        <f t="shared" si="768"/>
        <v>0</v>
      </c>
      <c r="CW518" s="1097">
        <f t="shared" si="739"/>
        <v>0</v>
      </c>
      <c r="CX518" s="1097">
        <f t="shared" si="740"/>
        <v>0</v>
      </c>
      <c r="CY518" s="1110">
        <f t="shared" si="741"/>
        <v>0</v>
      </c>
      <c r="CZ518" s="437"/>
      <c r="DA518" s="438"/>
      <c r="DB518" s="439" t="s">
        <v>569</v>
      </c>
      <c r="DC518" s="439"/>
      <c r="DD518" s="443"/>
      <c r="DE518" s="411"/>
      <c r="DF518" s="411"/>
      <c r="DG518" s="1116">
        <f t="shared" si="742"/>
        <v>0</v>
      </c>
      <c r="DH518" s="1116">
        <f t="shared" si="743"/>
        <v>0</v>
      </c>
      <c r="DI518" s="1116">
        <f t="shared" si="744"/>
        <v>0</v>
      </c>
      <c r="DJ518" s="442">
        <f t="shared" si="745"/>
        <v>0</v>
      </c>
      <c r="DK518" s="432">
        <f t="shared" si="746"/>
        <v>0</v>
      </c>
      <c r="DL518" s="424">
        <f t="shared" si="747"/>
        <v>0</v>
      </c>
      <c r="DM518" s="420">
        <f t="shared" si="748"/>
        <v>0</v>
      </c>
      <c r="DN518" s="420">
        <f t="shared" si="749"/>
        <v>0</v>
      </c>
      <c r="DO518" s="420">
        <f t="shared" si="750"/>
        <v>0</v>
      </c>
      <c r="DP518" s="433">
        <f t="shared" si="751"/>
        <v>0</v>
      </c>
      <c r="DQ518" s="437" t="s">
        <v>635</v>
      </c>
      <c r="DR518" s="1120">
        <f t="shared" si="686"/>
        <v>0.3</v>
      </c>
      <c r="DS518" s="450"/>
      <c r="DT518" s="1093" t="s">
        <v>133</v>
      </c>
      <c r="DU518" s="1124"/>
      <c r="DV518" s="1098">
        <f>IF($P518="","N/A",IF(P518=-1,INDEX('卡片raw data'!AN:AN,MATCH(D518,'卡片raw data'!$F:$F,)),0)+IF(AND(L518&lt;&gt;"party卡",P518&lt;=2,P518&gt;=0),INDEX('卡片raw data'!AP:AP,MATCH(D518,'卡片raw data'!$F:$F,)),0)+IF(OR(AND(L518="party卡",P518&lt;=1),AND(P518&lt;=4,L518&lt;&gt;"party卡",P518&gt;=3)),INDEX('卡片raw data'!AQ:AQ,MATCH(D518,'卡片raw data'!$F:$F,)),0)+IF(OR(P518=5,AND(L518="party卡",P518&gt;=2)),INDEX('卡片raw data'!AR:AR,MATCH(D518,'卡片raw data'!$F:$F,)),0))</f>
        <v>0.28999999999999998</v>
      </c>
      <c r="DW518" s="1098">
        <f t="shared" si="752"/>
        <v>0.3</v>
      </c>
      <c r="DX518" s="1098">
        <f t="shared" si="753"/>
        <v>0.3</v>
      </c>
      <c r="DY518" s="1097">
        <f t="shared" si="754"/>
        <v>445.09423187340786</v>
      </c>
      <c r="DZ518" s="1097">
        <f t="shared" si="755"/>
        <v>385.00651057049782</v>
      </c>
      <c r="EA518" s="421">
        <f t="shared" si="756"/>
        <v>0</v>
      </c>
      <c r="EB518" s="445">
        <f t="shared" si="757"/>
        <v>0</v>
      </c>
      <c r="EC518" s="424">
        <f t="shared" si="758"/>
        <v>0</v>
      </c>
      <c r="ED518" s="420">
        <f t="shared" si="759"/>
        <v>0</v>
      </c>
      <c r="EE518" s="433">
        <f t="shared" si="683"/>
        <v>48435.03108962375</v>
      </c>
      <c r="EF518" s="1115" t="s">
        <v>569</v>
      </c>
      <c r="EG518" s="1120">
        <f t="shared" si="687"/>
        <v>0.3</v>
      </c>
      <c r="EH518" s="450"/>
      <c r="EI518" s="1093"/>
      <c r="EJ518" s="1093"/>
      <c r="EK518" s="420">
        <f>IF($P518="","N/A",IF(P518=-1,INDEX('卡片raw data'!AS:AS,MATCH(D518,'卡片raw data'!$F:$F,)),0)+IF(AND(L518&lt;&gt;"party卡",P518&lt;=2,P518&gt;=0),INDEX('卡片raw data'!AU:AU,MATCH(D518,'卡片raw data'!$F:$F,)),0)+IF(OR(AND(L518="party卡",P518&lt;=1),AND(P518&lt;=4,L518&lt;&gt;"party卡",P518&gt;=3)),INDEX('卡片raw data'!AV:AV,MATCH(D518,'卡片raw data'!$F:$F,)),0)+IF(OR(P518=5,AND(L518="party卡",P518&gt;=2)),INDEX('卡片raw data'!AW:AW,MATCH(D518,'卡片raw data'!$F:$F,)),0))</f>
        <v>0</v>
      </c>
      <c r="EL518" s="1098">
        <f t="shared" si="760"/>
        <v>0.3</v>
      </c>
      <c r="EM518" s="1098">
        <f t="shared" si="761"/>
        <v>0.3</v>
      </c>
      <c r="EN518" s="1097">
        <f t="shared" si="762"/>
        <v>0</v>
      </c>
      <c r="EO518" s="1097">
        <f t="shared" si="763"/>
        <v>0</v>
      </c>
      <c r="EP518" s="421">
        <f t="shared" si="764"/>
        <v>0</v>
      </c>
      <c r="EQ518" s="445">
        <f t="shared" si="765"/>
        <v>0</v>
      </c>
      <c r="ER518" s="424">
        <f t="shared" si="766"/>
        <v>0</v>
      </c>
      <c r="ES518" s="420">
        <f t="shared" si="767"/>
        <v>0</v>
      </c>
      <c r="ET518" s="446">
        <f t="shared" si="684"/>
        <v>0</v>
      </c>
    </row>
    <row r="519" spans="2:150" ht="16.5" customHeight="1">
      <c r="B519" s="448" t="str">
        <f>INDEX('卡片raw data'!B:B,MATCH($D519,'卡片raw data'!$F:$F,))</f>
        <v>夏祭希</v>
      </c>
      <c r="C519" s="449" t="s">
        <v>4294</v>
      </c>
      <c r="D519" s="408">
        <v>516</v>
      </c>
      <c r="E519" s="477">
        <v>400073004</v>
      </c>
      <c r="F519" s="409" t="str">
        <f>INDEX('卡片raw data'!C:C,MATCH($D519,'卡片raw data'!$F:$F,))</f>
        <v>UR</v>
      </c>
      <c r="G519" s="1094" t="s">
        <v>4295</v>
      </c>
      <c r="H519" s="411">
        <f>IFERROR(INDEX(绊状态确认!C:C,MATCH($G519,绊状态确认!$B:$B,)),"")</f>
        <v>7</v>
      </c>
      <c r="I519" s="450" t="str">
        <f>IFERROR(INDEX(绊状态确认!D:D,MATCH($G519,绊状态确认!$B:$B,)),"")</f>
        <v>缪</v>
      </c>
      <c r="J519" s="450" t="str">
        <f>IFERROR(INDEX(绊状态确认!E:E,MATCH($G519,绊状态确认!$B:$B,)),"")</f>
        <v>3年级</v>
      </c>
      <c r="K519" s="451" t="str">
        <f>IFERROR(INDEX(绊状态确认!F:F,MATCH($G519,绊状态确认!$B:$B,)),"")</f>
        <v>lilywhite</v>
      </c>
      <c r="L519" s="414" t="str">
        <f>INDEX('卡片raw data'!E:E,MATCH($D519,'卡片raw data'!$F:$F,))</f>
        <v>卡池卡</v>
      </c>
      <c r="M519" s="478">
        <v>44427</v>
      </c>
      <c r="N519" s="479">
        <v>46</v>
      </c>
      <c r="O519" s="410" t="str">
        <f>INDEX('卡片raw data'!D:D,MATCH($D519,'卡片raw data'!$F:$F,))</f>
        <v>gd</v>
      </c>
      <c r="P519" s="1126">
        <v>5</v>
      </c>
      <c r="Q519" s="418">
        <f t="shared" si="688"/>
        <v>38180.037266130057</v>
      </c>
      <c r="R519" s="419">
        <f t="shared" si="689"/>
        <v>0.443</v>
      </c>
      <c r="S519" s="420">
        <f t="shared" si="690"/>
        <v>17947.287590495536</v>
      </c>
      <c r="T519" s="421">
        <f t="shared" si="691"/>
        <v>0.89700000000000002</v>
      </c>
      <c r="U519" s="422">
        <f t="shared" si="692"/>
        <v>893.77788191539412</v>
      </c>
      <c r="V519" s="423">
        <f t="shared" si="693"/>
        <v>90498.705007418801</v>
      </c>
      <c r="W519" s="424">
        <f t="shared" si="694"/>
        <v>4507.7214871259994</v>
      </c>
      <c r="X519" s="419">
        <f t="shared" si="695"/>
        <v>5.1999999999999998E-2</v>
      </c>
      <c r="Y519" s="420">
        <f t="shared" si="696"/>
        <v>2358.6848972339167</v>
      </c>
      <c r="Z519" s="425">
        <f t="shared" si="697"/>
        <v>28.58900241971428</v>
      </c>
      <c r="AA519" s="426">
        <f t="shared" si="698"/>
        <v>6866.406384359916</v>
      </c>
      <c r="AB519" s="424">
        <f t="shared" si="699"/>
        <v>4507.7214871259994</v>
      </c>
      <c r="AC519" s="427">
        <f t="shared" si="700"/>
        <v>5.1999999999999998E-2</v>
      </c>
      <c r="AD519" s="428">
        <f t="shared" si="701"/>
        <v>0</v>
      </c>
      <c r="AE519" s="516">
        <f t="shared" si="702"/>
        <v>-6.25</v>
      </c>
      <c r="AF519" s="1130">
        <f t="shared" si="703"/>
        <v>11886.763124683197</v>
      </c>
      <c r="AG519" s="420">
        <f t="shared" si="704"/>
        <v>90041.072741600015</v>
      </c>
      <c r="AH519" s="420">
        <f t="shared" si="705"/>
        <v>7.5749025867796762</v>
      </c>
      <c r="AI519" s="1097">
        <f t="shared" si="706"/>
        <v>114687.70760398271</v>
      </c>
      <c r="AJ519" s="420">
        <f t="shared" si="707"/>
        <v>90498.705007418801</v>
      </c>
      <c r="AK519" s="518">
        <f t="shared" si="708"/>
        <v>24189.002596563907</v>
      </c>
      <c r="AL519" s="429">
        <f>IF($P519="","N/A",(IF($P519=-1,INDEX('卡片raw data'!S:S,MATCH($D519,'卡片raw data'!$F:$F,)),0)+IF($P519=0,INDEX('卡片raw data'!V:V,MATCH($D519,'卡片raw data'!$F:$F,)),0)+IF($P519=1,INDEX('卡片raw data'!Y:Y,MATCH($D519,'卡片raw data'!$F:$F,)),0)+IF($P519=2,INDEX('卡片raw data'!AB:AB,MATCH($D519,'卡片raw data'!$F:$F,)),0)+IF($P519=3,INDEX('卡片raw data'!AE:AE,MATCH($D519,'卡片raw data'!$F:$F,)),0)+IF($P519=4,INDEX('卡片raw data'!AH:AH,MATCH($D519,'卡片raw data'!$F:$F,)),0)+IF($P519=5,INDEX('卡片raw data'!AK:AK,MATCH($D519,'卡片raw data'!$F:$F,)),0)+INDEX('卡片raw data'!S:S,MATCH($D519,'卡片raw data'!$F:$F,))*(IF($F519="UR",0.04,0.033))*(IF($F519="UR",INDEX(绊状态确认!$S:$S,MATCH($G519,绊状态确认!$B:$B,))/2-40)+IF($F519="SR",INDEX(绊状态确认!$R:$R,MATCH($G519,绊状态确认!$B:$B,))/4-15))+IF($F519="R",INDEX(绊状态确认!$Q:$Q,MATCH($G519,绊状态确认!$B:$B,))/6-40/6)))*(INDEX(绊状态确认!$H:$H,MATCH($G519,绊状态确认!$B:$B,))+INDEX(绊状态确认!J:J,MATCH($G519,绊状态确认!$B:$B,)))</f>
        <v>10589.20248</v>
      </c>
      <c r="AM519" s="429">
        <f>IF($P519="","N/A",(IF($P519=-1,INDEX('卡片raw data'!T:T,MATCH($D519,'卡片raw data'!$F:$F,)),0)+IF($P519=0,INDEX('卡片raw data'!W:W,MATCH($D519,'卡片raw data'!$F:$F,)),0)+IF($P519=1,INDEX('卡片raw data'!Z:Z,MATCH($D519,'卡片raw data'!$F:$F,)),0)+IF($P519=2,INDEX('卡片raw data'!AC:AC,MATCH($D519,'卡片raw data'!$F:$F,)),0)+IF($P519=3,INDEX('卡片raw data'!AF:AF,MATCH($D519,'卡片raw data'!$F:$F,)),0)+IF($P519=4,INDEX('卡片raw data'!AI:AI,MATCH($D519,'卡片raw data'!$F:$F,)),0)+IF($P519=5,INDEX('卡片raw data'!AL:AL,MATCH($D519,'卡片raw data'!$F:$F,)),0)+INDEX('卡片raw data'!T:T,MATCH($D519,'卡片raw data'!$F:$F,))*(IF($F519="UR",0.04,0.033))*(IF($F519="UR",INDEX(绊状态确认!$S:$S,MATCH($G519,绊状态确认!$B:$B,))/2-40)+IF($F519="SR",INDEX(绊状态确认!$R:$R,MATCH($G519,绊状态确认!$B:$B,))/4-15))+IF($F519="R",INDEX(绊状态确认!$Q:$Q,MATCH($G519,绊状态确认!$B:$B,))/6-40/6)))*(INDEX(绊状态确认!$H:$H,MATCH($G519,绊状态确认!$B:$B,))+INDEX(绊状态确认!K:K,MATCH($G519,绊状态确认!$B:$B,)))</f>
        <v>15505.496159999997</v>
      </c>
      <c r="AN519" s="429">
        <f>IF($P519="","N/A",(IF($P519=-1,INDEX('卡片raw data'!U:U,MATCH($D519,'卡片raw data'!$F:$F,)),0)+IF($P519=0,INDEX('卡片raw data'!X:X,MATCH($D519,'卡片raw data'!$F:$F,)),0)+IF($P519=1,INDEX('卡片raw data'!AA:AA,MATCH($D519,'卡片raw data'!$F:$F,)),0)+IF($P519=2,INDEX('卡片raw data'!AD:AD,MATCH($D519,'卡片raw data'!$F:$F,)),0)+IF($P519=3,INDEX('卡片raw data'!AG:AG,MATCH($D519,'卡片raw data'!$F:$F,)),0)+IF($P519=4,INDEX('卡片raw data'!AJ:AJ,MATCH($D519,'卡片raw data'!$F:$F,)),0)+IF($P519=5,INDEX('卡片raw data'!AM:AM,MATCH($D519,'卡片raw data'!$F:$F,)),0)+INDEX('卡片raw data'!U:U,MATCH($D519,'卡片raw data'!$F:$F,))*(IF($F519="UR",0.04,0.033))*(IF($F519="UR",INDEX(绊状态确认!$S:$S,MATCH($G519,绊状态确认!$B:$B,))/2-40)+IF($F519="SR",INDEX(绊状态确认!$R:$R,MATCH($G519,绊状态确认!$B:$B,))/4-15))+IF($F519="R",INDEX(绊状态确认!$Q:$Q,MATCH($G519,绊状态确认!$B:$B,))/6-40/6)))*(INDEX(绊状态确认!$H:$H,MATCH($G519,绊状态确认!$B:$B,))+INDEX(绊状态确认!L:L,MATCH($G519,绊状态确认!$B:$B,)))</f>
        <v>11723.556959999998</v>
      </c>
      <c r="AO519" s="430">
        <f t="shared" si="709"/>
        <v>1</v>
      </c>
      <c r="AP519" s="556">
        <f>1+(INDEX(绊状态确认!$T:$T,MATCH($G519,绊状态确认!$B:$B,))+0.2)*$AO519</f>
        <v>1.3</v>
      </c>
      <c r="AQ519" s="431">
        <f t="shared" si="710"/>
        <v>31046.656510000001</v>
      </c>
      <c r="AR519" s="420">
        <f>(AM519*(1+$EX$9)+$EX$35)*(1+(INDEX(绊状态确认!$T:$T,MATCH($G519,绊状态确认!$B:$B,))+0.2)*AO519)*IF(J519=$FF$17,1+$FE$17,1)*IF(I519=$FF$14,1+$FE$14,1)</f>
        <v>23869.002258399996</v>
      </c>
      <c r="AS519" s="420">
        <f>(AN519*(1+$EX$10)+$EX$36)*(1+(INDEX(绊状态确认!$T:$T,MATCH($G519,绊状态确认!$B:$B,))+0.2)*AO519)*IF(J519=$FF$17,1+$FE$17,1)*IF(I519=$FF$14,1+$FE$14,1)</f>
        <v>21582.717655199995</v>
      </c>
      <c r="AT519" s="412">
        <f>IF(AND(INDEX('卡片raw data'!AK:AK,MATCH($D519,'卡片raw data'!$F:$F,))&lt;INDEX('卡片raw data'!AM:AM,MATCH($D519,'卡片raw data'!$F:$F,)),INDEX('卡片raw data'!AL:AL,MATCH($D519,'卡片raw data'!$F:$F,))&lt;INDEX('卡片raw data'!AM:AM,MATCH($D519,'卡片raw data'!$F:$F,))),1,0)</f>
        <v>0</v>
      </c>
      <c r="AU519" s="421">
        <f>MIN(AT519*0.15+AS519*0.00003+INDEX(绊状态确认!M:M,MATCH($G519,绊状态确认!$B:$B,)),1)</f>
        <v>0.67748152965599984</v>
      </c>
      <c r="AV519" s="432">
        <f>(INDEX(绊状态确认!$N:$N,MATCH($G519,绊状态确认!$B:$B,))+1.5)*$EW$21</f>
        <v>2.6599999999999997</v>
      </c>
      <c r="AW519" s="424">
        <f t="shared" si="711"/>
        <v>34257.315779004057</v>
      </c>
      <c r="AX519" s="420">
        <f t="shared" si="712"/>
        <v>2098.5452379019926</v>
      </c>
      <c r="AY519" s="433">
        <f t="shared" si="713"/>
        <v>36355.861016906048</v>
      </c>
      <c r="AZ519" s="429">
        <f t="shared" si="714"/>
        <v>23248.944835999999</v>
      </c>
      <c r="BA519" s="431">
        <f t="shared" si="715"/>
        <v>27898.733803199997</v>
      </c>
      <c r="BB519" s="420">
        <f>(AM519*(1+$FB$9)+$FB$35)*(1+(INDEX(绊状态确认!$T:$T,MATCH($G519,绊状态确认!$B:$B,))+0.2)*AO519)*IF(J519=$FF$17,1+$FE$17,1)*IF(I519=$FF$14,1+$FE$14,1)*(1+$FE$15)</f>
        <v>23869.002258399996</v>
      </c>
      <c r="BC519" s="420">
        <f>(AN519*(1+$FB$10)+$FB$36)*(1+(INDEX(绊状态确认!$T:$T,MATCH($G519,绊状态确认!$B:$B,))+0.2)*AO519)*IF(J519=$FF$17,1+$FE$17,1)*IF(I519=$FF$14,1+$FE$14,1)*(1+$FE$15)</f>
        <v>21582.717655199995</v>
      </c>
      <c r="BD519" s="427">
        <f>MIN(AT519*0.15+BC519*0.00003+INDEX(绊状态确认!M:M,MATCH($G519,绊状态确认!$B:$B,)),1)</f>
        <v>0.67748152965599984</v>
      </c>
      <c r="BE519" s="432">
        <f>(INDEX(绊状态确认!$N:$N,MATCH($G519,绊状态确认!$B:$B,))+1.5)</f>
        <v>1.9</v>
      </c>
      <c r="BF519" s="645">
        <f t="array" ref="BF519">SUMPRODUCT(IF(AZ519*AP519*$FI$16:$FI$23*$FA$22&gt;=$FI$24,$FI$24,AZ519*AP519*$FI$16:$FI$23*$FA$22),$FJ$16:$FJ$23)</f>
        <v>46242.151278803991</v>
      </c>
      <c r="BG519" s="453">
        <f t="array" ref="BG519">SUMPRODUCT(IF(BE519*AZ519*AP519*$FI$16:$FI$23*$FA$22&gt;=$FI$24,$FI$24,BE519*AZ519*AP519*$FI$16:$FI$23*$FA$22),$FJ$16:$FJ$23)</f>
        <v>60000</v>
      </c>
      <c r="BH519" s="433">
        <f t="shared" si="716"/>
        <v>18520.946558405234</v>
      </c>
      <c r="BI519" s="434">
        <f>IF(O519="vo",$EW$26/$EW$24*0.05,0)+IF(O519="sk",-$EW$26/$EW$24*(0.05-INDEX(绊状态确认!W:W,MATCH($G519,绊状态确认!$B:$B,)))+0.05*$EW$28,0)+IF(O519="sp",0.05*$EW$32*$EW$30*(1-$EW$33)-(0.05-INDEX(绊状态确认!V:V,MATCH($G519,绊状态确认!$B:$B,)))*$EW$28,0)+IF(O519="gd",-(0.05-INDEX(绊状态确认!X:X,MATCH($G519,绊状态确认!$B:$B,)))*$EW$32*$EW$30*(1-$EW$33),0)</f>
        <v>-585.00000000000011</v>
      </c>
      <c r="BJ519" s="420">
        <f>IF(O519="vo",0.05*(1-$FI$26)*$FA$24,0)+IF(O519="sk",-(0.05-INDEX(绊状态确认!W:W,MATCH($G519,绊状态确认!$B:$B,)))*(1-$FI$26)*$FA$24+0.05*$FA$26,0)+IF(O519="sp",0.05*$FA$32*$FA$27*(1-$FA$33)/$FA$30+0.05*$FA$29/$FA$69*$FA$27*(1-$FA$33)-(0.05-INDEX(绊状态确认!V:V,MATCH($G519,绊状态确认!$B:$B,)))*$FA$26,0)+IF(O519="gd",-(0.05-INDEX(绊状态确认!X:X,MATCH($G519,绊状态确认!$B:$B,)))*$FA$32*$FA$27*(1-$FA$33)/$FA$30-(0.05-INDEX(绊状态确认!X:X,MATCH($G519,绊状态确认!$B:$B,)))*$FA$29/$FA$69*$FA$27*(1-$FA$33),0)</f>
        <v>-795.00000000000011</v>
      </c>
      <c r="BK519" s="433">
        <f>IF(O519="vo",$EW$26/$EW$24*0.05+$EW$26*(-HP($EW$62,$EW$65,$EW$64)+HP($EW$62,$EW$65,(1.05-INDEX(绊状态确认!U:U,MATCH($G519,绊状态确认!$B:$B,)))*$EW$64)),0)+IF(O519="sk",-$EW$26/$EW$24*(0.05-INDEX(绊状态确认!W:W,MATCH($G519,绊状态确认!$B:$B,)))+0.05*$EW$29,0)+IF(O519="sp",0.05*$EW$32*$EW$30*(1-$EW$33)-(0.05-INDEX(绊状态确认!V:V,MATCH($G519,绊状态确认!$B:$B,)))*$EW$29,0)+IF(O519="gd",-(0.05-INDEX(绊状态确认!X:X,MATCH($G519,绊状态确认!$B:$B,)))*$EW$32*$EW$30*(1-$EW$33)+$EW$26*(-HP($EW$62,$EW$65,$EW$64)+HP($EW$62,$EW$65,0.95*$EW$64)),0)</f>
        <v>1009.5947725176144</v>
      </c>
      <c r="BL519" s="434">
        <f t="shared" si="717"/>
        <v>0</v>
      </c>
      <c r="BM519" s="433">
        <f t="shared" si="718"/>
        <v>0</v>
      </c>
      <c r="BN519" s="437">
        <f t="shared" si="719"/>
        <v>3</v>
      </c>
      <c r="BO519" s="1108">
        <f t="shared" si="720"/>
        <v>4507.7214871259994</v>
      </c>
      <c r="BP519" s="1127">
        <f t="shared" si="721"/>
        <v>221.34103209030098</v>
      </c>
      <c r="BQ519" s="1113" t="s">
        <v>133</v>
      </c>
      <c r="BR519" s="450" t="s">
        <v>171</v>
      </c>
      <c r="BS519" s="421">
        <f>IF($P519="","N/A",IF($P519=-1,INDEX('卡片raw data'!AX:AX,MATCH($D519,'卡片raw data'!$F:$F,)),0)+IF($L519="party卡",IF($P519=5,INDEX('卡片raw data'!BD:BD,MATCH($D519,'卡片raw data'!$F:$F,)),IF($P519&gt;=3,INDEX('卡片raw data'!BC:BC,MATCH($D519,'卡片raw data'!$F:$F,)),INDEX('卡片raw data'!BB:BB,MATCH($D519,'卡片raw data'!$F:$F,)))),IF(OR(AND($F519="UR",$P519=0),AND($F519="SR",$P519&gt;=0,$P519&lt;=2),AND($F519="R",$P519&gt;=0,$P519&lt;4)),INDEX('卡片raw data'!AZ:AZ,MATCH($D519,'卡片raw data'!$F:$F,)),0)+IF(OR(AND($F519="UR",$P519&gt;=1,$P519&lt;=4),AND($F519="SR",$P519&lt;=4,$P519&gt;=3),AND($F519="R",$P519=4)),INDEX('卡片raw data'!BA:BA,MATCH($D519,'卡片raw data'!$F:$F,)),0)+IF($P519=5,INDEX('卡片raw data'!BB:BB,MATCH($D519,'卡片raw data'!$F:$F,)),0)))</f>
        <v>5.1999999999999998E-2</v>
      </c>
      <c r="BT519" s="424">
        <f t="shared" si="722"/>
        <v>0</v>
      </c>
      <c r="BU519" s="420">
        <f t="shared" si="723"/>
        <v>0</v>
      </c>
      <c r="BV519" s="420">
        <f t="shared" si="724"/>
        <v>0</v>
      </c>
      <c r="BW519" s="436">
        <f t="shared" si="725"/>
        <v>2.4347142857142861</v>
      </c>
      <c r="BX519" s="423">
        <f t="shared" si="726"/>
        <v>190.49664124538464</v>
      </c>
      <c r="BY519" s="433">
        <f t="shared" si="727"/>
        <v>190.49664124538464</v>
      </c>
      <c r="BZ519" s="1113" t="s">
        <v>569</v>
      </c>
      <c r="CA519" s="450"/>
      <c r="CB519" s="421">
        <f>IF($P519="","N/A",IF($P519=-1,INDEX('卡片raw data'!BE:BE,MATCH($D519,'卡片raw data'!$F:$F,)),0)+IF($L519="party卡",IF($P519=5,INDEX('卡片raw data'!BK:BK,MATCH($D519,'卡片raw data'!$F:$F,)),IF($P519&gt;=3,INDEX('卡片raw data'!BJ:BJ,MATCH($D519,'卡片raw data'!$F:$F,)),INDEX('卡片raw data'!BI:BI,MATCH($D519,'卡片raw data'!$F:$F,)))),IF(OR(AND($F519="UR",$P519=0),AND($F519="SR",$P519&gt;=0,$P519&lt;=2),AND($F519="R",$P519&gt;=0,$P519&lt;4)),INDEX('卡片raw data'!BG:BG,MATCH($D519,'卡片raw data'!$F:$F,)),0)+IF(OR(AND($F519="UR",$P519&gt;=1,$P519&lt;=4),AND($F519="SR",$P519&lt;=4,$P519&gt;=3),AND($F519="R",$P519=4)),INDEX('卡片raw data'!BH:BH,MATCH($D519,'卡片raw data'!$F:$F,)),0)+IF($P519=5,INDEX('卡片raw data'!BI:BI,MATCH($D519,'卡片raw data'!$F:$F,)),0)))</f>
        <v>0</v>
      </c>
      <c r="CC519" s="424">
        <f t="shared" si="728"/>
        <v>0</v>
      </c>
      <c r="CD519" s="420">
        <f>IF(BZ519="ap",CB519*(1-$FI$26)*$FB$5/$FB$11*(+IF(CA519="全员",$FA$24,0)+IF(CA519="同作战",$FA$24,0)+IF(CA519="仲间",$FA$24*2/3,0)+IF(CA519="同属性",$FA$24*$FA$37/3,0)+IF(CA519="同年级",$FA$24*$FA$40/3,0)+IF(CA519="同学校",$FA$24*$FA$43/3,0)+IF(CA519="同小队",$FA$24*$FA$46/3,0)+IF(CA519="同type",$FA$24*INDEX($FB$49:$FB$52,MATCH(X519,$FA$49:$FA$52,))/3,0)+IF(CA519="自身",#REF!/3,0)),0)+IF(BZ519="te",CB519*(1-$FI$27)*($FA$20-1)*$FB$7/$FB$13*(+IF(CA519="全员",$FA$19*$FA$24/(1+($FA$20-1)*$FA$19),0)+IF(CA519="同作战",$FA$19*$FA$24/(1+($FA$20-1)*$FA$19),0)+IF(CA519="仲间",$FA$19*$FA$24*2/3/(1+($FA$20-1)*$FA$19),0)+IF(CA519="同属性",$FA$19*$FA$24*$FA$37/3/(1+($FA$20-1)*$FA$19),0)+IF(CA519="同年级",$FA$19*$FA$24*$FA$40/3/(1+($FA$20-1)*$FA$19),0)+IF(CA519="同学校",$FA$19*$FA$24*$FA$43/3/(1+($FA$20-1)*$FA$19),0)+IF(CA519="同小队",$FA$19*$FA$24*$FA$46/3/(1+($FA$20-1)*$FA$19),0)+IF(CA519="同type",$FA$19*$FA$24*INDEX($FB$49:$FB$52,MATCH(X519,$FA$49:$FA$52,))/3/(1+($FA$20-1)*$FA$19),0)+IF(CA519="自身",$FA$19*#REF!/3/(1+(BH519-1)*$BD519),0)),0)</f>
        <v>0</v>
      </c>
      <c r="CE519" s="420">
        <f t="shared" si="729"/>
        <v>0</v>
      </c>
      <c r="CF519" s="436">
        <f t="shared" si="730"/>
        <v>0</v>
      </c>
      <c r="CG519" s="423">
        <f t="shared" si="731"/>
        <v>0</v>
      </c>
      <c r="CH519" s="433">
        <f t="shared" si="732"/>
        <v>0</v>
      </c>
      <c r="CI519" s="437" t="s">
        <v>165</v>
      </c>
      <c r="CJ519" s="438">
        <v>1</v>
      </c>
      <c r="CK519" s="439" t="s">
        <v>4296</v>
      </c>
      <c r="CL519" s="439" t="s">
        <v>4297</v>
      </c>
      <c r="CM519" s="443">
        <v>0.1</v>
      </c>
      <c r="CN519" s="1115">
        <v>5</v>
      </c>
      <c r="CO519" s="1115"/>
      <c r="CP519" s="1118">
        <f t="shared" si="733"/>
        <v>1.7857142857142857E-3</v>
      </c>
      <c r="CQ519" s="1118">
        <f t="shared" si="734"/>
        <v>2.7777777777777779E-3</v>
      </c>
      <c r="CR519" s="1118">
        <f t="shared" si="735"/>
        <v>1.7857142857142857E-3</v>
      </c>
      <c r="CS519" s="442">
        <f t="shared" si="736"/>
        <v>0</v>
      </c>
      <c r="CT519" s="432">
        <f t="shared" si="737"/>
        <v>0</v>
      </c>
      <c r="CU519" s="1101">
        <f t="shared" si="738"/>
        <v>0</v>
      </c>
      <c r="CV519" s="1108">
        <f t="shared" si="768"/>
        <v>0</v>
      </c>
      <c r="CW519" s="420">
        <f t="shared" si="739"/>
        <v>0</v>
      </c>
      <c r="CX519" s="420">
        <f t="shared" si="740"/>
        <v>0</v>
      </c>
      <c r="CY519" s="433">
        <f t="shared" si="741"/>
        <v>69.643018086538646</v>
      </c>
      <c r="CZ519" s="437"/>
      <c r="DA519" s="438"/>
      <c r="DB519" s="439" t="s">
        <v>569</v>
      </c>
      <c r="DC519" s="439"/>
      <c r="DD519" s="443"/>
      <c r="DE519" s="411"/>
      <c r="DF519" s="411"/>
      <c r="DG519" s="1116">
        <f t="shared" si="742"/>
        <v>0</v>
      </c>
      <c r="DH519" s="1116">
        <f t="shared" si="743"/>
        <v>0</v>
      </c>
      <c r="DI519" s="1116">
        <f t="shared" si="744"/>
        <v>0</v>
      </c>
      <c r="DJ519" s="442">
        <f t="shared" si="745"/>
        <v>0</v>
      </c>
      <c r="DK519" s="432">
        <f t="shared" si="746"/>
        <v>0</v>
      </c>
      <c r="DL519" s="424">
        <f t="shared" si="747"/>
        <v>0</v>
      </c>
      <c r="DM519" s="420">
        <f t="shared" si="748"/>
        <v>0</v>
      </c>
      <c r="DN519" s="420">
        <f t="shared" si="749"/>
        <v>0</v>
      </c>
      <c r="DO519" s="420">
        <f t="shared" si="750"/>
        <v>0</v>
      </c>
      <c r="DP519" s="433">
        <f t="shared" si="751"/>
        <v>0</v>
      </c>
      <c r="DQ519" s="437" t="s">
        <v>635</v>
      </c>
      <c r="DR519" s="1120">
        <f t="shared" si="686"/>
        <v>0.33</v>
      </c>
      <c r="DS519" s="450"/>
      <c r="DT519" s="1093" t="s">
        <v>133</v>
      </c>
      <c r="DU519" s="1124"/>
      <c r="DV519" s="1098">
        <f>IF($P519="","N/A",IF(P519=-1,INDEX('卡片raw data'!AN:AN,MATCH(D519,'卡片raw data'!$F:$F,)),0)+IF(AND(L519&lt;&gt;"party卡",P519&lt;=2,P519&gt;=0),INDEX('卡片raw data'!AP:AP,MATCH(D519,'卡片raw data'!$F:$F,)),0)+IF(OR(AND(L519="party卡",P519&lt;=1),AND(P519&lt;=4,L519&lt;&gt;"party卡",P519&gt;=3)),INDEX('卡片raw data'!AQ:AQ,MATCH(D519,'卡片raw data'!$F:$F,)),0)+IF(OR(P519=5,AND(L519="party卡",P519&gt;=2)),INDEX('卡片raw data'!AR:AR,MATCH(D519,'卡片raw data'!$F:$F,)),0))</f>
        <v>0.32</v>
      </c>
      <c r="DW519" s="1098">
        <f t="shared" si="752"/>
        <v>0.33</v>
      </c>
      <c r="DX519" s="1098">
        <f t="shared" si="753"/>
        <v>0.33</v>
      </c>
      <c r="DY519" s="1097">
        <f t="shared" si="754"/>
        <v>840.18887949567988</v>
      </c>
      <c r="DZ519" s="1097">
        <f t="shared" si="755"/>
        <v>726.76338076376305</v>
      </c>
      <c r="EA519" s="421">
        <f t="shared" si="756"/>
        <v>0</v>
      </c>
      <c r="EB519" s="445">
        <f t="shared" si="757"/>
        <v>0</v>
      </c>
      <c r="EC519" s="424">
        <f t="shared" si="758"/>
        <v>0</v>
      </c>
      <c r="ED519" s="420">
        <f t="shared" si="759"/>
        <v>0</v>
      </c>
      <c r="EE519" s="433">
        <f t="shared" si="683"/>
        <v>48435.03108962375</v>
      </c>
      <c r="EF519" s="1115" t="s">
        <v>569</v>
      </c>
      <c r="EG519" s="1120">
        <f t="shared" si="687"/>
        <v>0.33</v>
      </c>
      <c r="EH519" s="450"/>
      <c r="EI519" s="1093"/>
      <c r="EJ519" s="1093"/>
      <c r="EK519" s="420">
        <f>IF($P519="","N/A",IF(P519=-1,INDEX('卡片raw data'!AS:AS,MATCH(D519,'卡片raw data'!$F:$F,)),0)+IF(AND(L519&lt;&gt;"party卡",P519&lt;=2,P519&gt;=0),INDEX('卡片raw data'!AU:AU,MATCH(D519,'卡片raw data'!$F:$F,)),0)+IF(OR(AND(L519="party卡",P519&lt;=1),AND(P519&lt;=4,L519&lt;&gt;"party卡",P519&gt;=3)),INDEX('卡片raw data'!AV:AV,MATCH(D519,'卡片raw data'!$F:$F,)),0)+IF(OR(P519=5,AND(L519="party卡",P519&gt;=2)),INDEX('卡片raw data'!AW:AW,MATCH(D519,'卡片raw data'!$F:$F,)),0))</f>
        <v>0</v>
      </c>
      <c r="EL519" s="1098">
        <f t="shared" si="760"/>
        <v>0.33</v>
      </c>
      <c r="EM519" s="1098">
        <f t="shared" si="761"/>
        <v>0.33</v>
      </c>
      <c r="EN519" s="1097">
        <f t="shared" si="762"/>
        <v>0</v>
      </c>
      <c r="EO519" s="1097">
        <f t="shared" si="763"/>
        <v>0</v>
      </c>
      <c r="EP519" s="421">
        <f t="shared" si="764"/>
        <v>0</v>
      </c>
      <c r="EQ519" s="445">
        <f t="shared" si="765"/>
        <v>0</v>
      </c>
      <c r="ER519" s="424">
        <f t="shared" si="766"/>
        <v>0</v>
      </c>
      <c r="ES519" s="420">
        <f t="shared" si="767"/>
        <v>0</v>
      </c>
      <c r="ET519" s="446">
        <f t="shared" si="684"/>
        <v>0</v>
      </c>
    </row>
    <row r="520" spans="2:150" ht="16.5" customHeight="1">
      <c r="B520" s="448" t="str">
        <f>INDEX('卡片raw data'!B:B,MATCH($D520,'卡片raw data'!$F:$F,))</f>
        <v>虹心林</v>
      </c>
      <c r="C520" s="449" t="s">
        <v>4300</v>
      </c>
      <c r="D520" s="408">
        <v>517</v>
      </c>
      <c r="E520" s="477">
        <v>402042005</v>
      </c>
      <c r="F520" s="409" t="str">
        <f>INDEX('卡片raw data'!C:C,MATCH($D520,'卡片raw data'!$F:$F,))</f>
        <v>SR</v>
      </c>
      <c r="G520" s="1094" t="s">
        <v>4301</v>
      </c>
      <c r="H520" s="411">
        <f>IFERROR(INDEX(绊状态确认!C:C,MATCH($G520,绊状态确认!$B:$B,)),"")</f>
        <v>204</v>
      </c>
      <c r="I520" s="450" t="str">
        <f>IFERROR(INDEX(绊状态确认!D:D,MATCH($G520,绊状态确认!$B:$B,)),"")</f>
        <v>虹</v>
      </c>
      <c r="J520" s="450" t="str">
        <f>IFERROR(INDEX(绊状态确认!E:E,MATCH($G520,绊状态确认!$B:$B,)),"")</f>
        <v>3年级</v>
      </c>
      <c r="K520" s="451" t="str">
        <f>IFERROR(INDEX(绊状态确认!F:F,MATCH($G520,绊状态确认!$B:$B,)),"")</f>
        <v>Diver Diva</v>
      </c>
      <c r="L520" s="414" t="str">
        <f>INDEX('卡片raw data'!E:E,MATCH($D520,'卡片raw data'!$F:$F,))</f>
        <v>卡池卡</v>
      </c>
      <c r="M520" s="478">
        <v>44427</v>
      </c>
      <c r="N520" s="479">
        <v>46</v>
      </c>
      <c r="O520" s="410" t="str">
        <f>INDEX('卡片raw data'!D:D,MATCH($D520,'卡片raw data'!$F:$F,))</f>
        <v>sp</v>
      </c>
      <c r="P520" s="1126">
        <v>5</v>
      </c>
      <c r="Q520" s="418">
        <f t="shared" si="688"/>
        <v>32337.928418493993</v>
      </c>
      <c r="R520" s="419">
        <f t="shared" si="689"/>
        <v>0.375</v>
      </c>
      <c r="S520" s="420">
        <f t="shared" si="690"/>
        <v>17522.901482907517</v>
      </c>
      <c r="T520" s="421">
        <f t="shared" si="691"/>
        <v>0.876</v>
      </c>
      <c r="U520" s="422">
        <f t="shared" si="692"/>
        <v>12.717031089192854</v>
      </c>
      <c r="V520" s="423">
        <f t="shared" si="693"/>
        <v>31553.928849055814</v>
      </c>
      <c r="W520" s="424">
        <f t="shared" si="694"/>
        <v>5346.2370530912567</v>
      </c>
      <c r="X520" s="419">
        <f t="shared" si="695"/>
        <v>6.2E-2</v>
      </c>
      <c r="Y520" s="420">
        <f t="shared" si="696"/>
        <v>1016.0004305618168</v>
      </c>
      <c r="Z520" s="425">
        <f t="shared" si="697"/>
        <v>12.717031089192854</v>
      </c>
      <c r="AA520" s="426">
        <f t="shared" si="698"/>
        <v>6362.2374836530735</v>
      </c>
      <c r="AB520" s="424">
        <f t="shared" si="699"/>
        <v>6184.7526190565131</v>
      </c>
      <c r="AC520" s="427">
        <f t="shared" si="700"/>
        <v>7.0999999999999994E-2</v>
      </c>
      <c r="AD520" s="428">
        <f t="shared" si="701"/>
        <v>-1.9908281250000003E-2</v>
      </c>
      <c r="AE520" s="516">
        <f t="shared" si="702"/>
        <v>0.51082780797101357</v>
      </c>
      <c r="AF520" s="1130">
        <f t="shared" si="703"/>
        <v>0</v>
      </c>
      <c r="AG520" s="420">
        <f t="shared" si="704"/>
        <v>0</v>
      </c>
      <c r="AH520" s="420">
        <f t="shared" si="705"/>
        <v>0</v>
      </c>
      <c r="AI520" s="1097">
        <f t="shared" si="706"/>
        <v>0</v>
      </c>
      <c r="AJ520" s="420">
        <f t="shared" si="707"/>
        <v>0</v>
      </c>
      <c r="AK520" s="518">
        <f t="shared" si="708"/>
        <v>0</v>
      </c>
      <c r="AL520" s="1106">
        <f>IF($P520="","N/A",(IF($P520=-1,INDEX('卡片raw data'!S:S,MATCH($D520,'卡片raw data'!$F:$F,)),0)+IF($P520=0,INDEX('卡片raw data'!V:V,MATCH($D520,'卡片raw data'!$F:$F,)),0)+IF($P520=1,INDEX('卡片raw data'!Y:Y,MATCH($D520,'卡片raw data'!$F:$F,)),0)+IF($P520=2,INDEX('卡片raw data'!AB:AB,MATCH($D520,'卡片raw data'!$F:$F,)),0)+IF($P520=3,INDEX('卡片raw data'!AE:AE,MATCH($D520,'卡片raw data'!$F:$F,)),0)+IF($P520=4,INDEX('卡片raw data'!AH:AH,MATCH($D520,'卡片raw data'!$F:$F,)),0)+IF($P520=5,INDEX('卡片raw data'!AK:AK,MATCH($D520,'卡片raw data'!$F:$F,)),0)+INDEX('卡片raw data'!S:S,MATCH($D520,'卡片raw data'!$F:$F,))*(IF($F520="UR",0.04,0.033))*(IF($F520="UR",INDEX(绊状态确认!$S:$S,MATCH($G520,绊状态确认!$B:$B,))/2-40)+IF($F520="SR",INDEX(绊状态确认!$R:$R,MATCH($G520,绊状态确认!$B:$B,))/4-15))+IF($F520="R",INDEX(绊状态确认!$Q:$Q,MATCH($G520,绊状态确认!$B:$B,))/6-40/6)))*(INDEX(绊状态确认!$H:$H,MATCH($G520,绊状态确认!$B:$B,))+INDEX(绊状态确认!J:J,MATCH($G520,绊状态确认!$B:$B,)))</f>
        <v>8105.7457391999997</v>
      </c>
      <c r="AM520" s="1106">
        <f>IF($P520="","N/A",(IF($P520=-1,INDEX('卡片raw data'!T:T,MATCH($D520,'卡片raw data'!$F:$F,)),0)+IF($P520=0,INDEX('卡片raw data'!W:W,MATCH($D520,'卡片raw data'!$F:$F,)),0)+IF($P520=1,INDEX('卡片raw data'!Z:Z,MATCH($D520,'卡片raw data'!$F:$F,)),0)+IF($P520=2,INDEX('卡片raw data'!AC:AC,MATCH($D520,'卡片raw data'!$F:$F,)),0)+IF($P520=3,INDEX('卡片raw data'!AF:AF,MATCH($D520,'卡片raw data'!$F:$F,)),0)+IF($P520=4,INDEX('卡片raw data'!AI:AI,MATCH($D520,'卡片raw data'!$F:$F,)),0)+IF($P520=5,INDEX('卡片raw data'!AL:AL,MATCH($D520,'卡片raw data'!$F:$F,)),0)+INDEX('卡片raw data'!T:T,MATCH($D520,'卡片raw data'!$F:$F,))*(IF($F520="UR",0.04,0.033))*(IF($F520="UR",INDEX(绊状态确认!$S:$S,MATCH($G520,绊状态确认!$B:$B,))/2-40)+IF($F520="SR",INDEX(绊状态确认!$R:$R,MATCH($G520,绊状态确认!$B:$B,))/4-15))+IF($F520="R",INDEX(绊状态确认!$Q:$Q,MATCH($G520,绊状态确认!$B:$B,))/6-40/6)))*(INDEX(绊状态确认!$H:$H,MATCH($G520,绊状态确认!$B:$B,))+INDEX(绊状态确认!K:K,MATCH($G520,绊状态确认!$B:$B,)))</f>
        <v>6714.4534919999987</v>
      </c>
      <c r="AN520" s="1106">
        <f>IF($P520="","N/A",(IF($P520=-1,INDEX('卡片raw data'!U:U,MATCH($D520,'卡片raw data'!$F:$F,)),0)+IF($P520=0,INDEX('卡片raw data'!X:X,MATCH($D520,'卡片raw data'!$F:$F,)),0)+IF($P520=1,INDEX('卡片raw data'!AA:AA,MATCH($D520,'卡片raw data'!$F:$F,)),0)+IF($P520=2,INDEX('卡片raw data'!AD:AD,MATCH($D520,'卡片raw data'!$F:$F,)),0)+IF($P520=3,INDEX('卡片raw data'!AG:AG,MATCH($D520,'卡片raw data'!$F:$F,)),0)+IF($P520=4,INDEX('卡片raw data'!AJ:AJ,MATCH($D520,'卡片raw data'!$F:$F,)),0)+IF($P520=5,INDEX('卡片raw data'!AM:AM,MATCH($D520,'卡片raw data'!$F:$F,)),0)+INDEX('卡片raw data'!U:U,MATCH($D520,'卡片raw data'!$F:$F,))*(IF($F520="UR",0.04,0.033))*(IF($F520="UR",INDEX(绊状态确认!$S:$S,MATCH($G520,绊状态确认!$B:$B,))/2-40)+IF($F520="SR",INDEX(绊状态确认!$R:$R,MATCH($G520,绊状态确认!$B:$B,))/4-15))+IF($F520="R",INDEX(绊状态确认!$Q:$Q,MATCH($G520,绊状态确认!$B:$B,))/6-40/6)))*(INDEX(绊状态确认!$H:$H,MATCH($G520,绊状态确认!$B:$B,))+INDEX(绊状态确认!L:L,MATCH($G520,绊状态确认!$B:$B,)))</f>
        <v>8335.1030783999995</v>
      </c>
      <c r="AO520" s="1107">
        <f t="shared" si="709"/>
        <v>1</v>
      </c>
      <c r="AP520" s="1131">
        <f>1+(INDEX(绊状态确认!$T:$T,MATCH($G520,绊状态确认!$B:$B,))+0.2)*$AO520</f>
        <v>1.3</v>
      </c>
      <c r="AQ520" s="1108">
        <f t="shared" si="710"/>
        <v>24527.5825654</v>
      </c>
      <c r="AR520" s="1097">
        <f>(AM520*(1+$EX$9)+$EX$35)*(1+(INDEX(绊状态确认!$T:$T,MATCH($G520,绊状态确认!$B:$B,))+0.2)*AO520)*IF(J520=$FF$17,1+$FE$17,1)*IF(I520=$FF$14,1+$FE$14,1)</f>
        <v>11869.229016579999</v>
      </c>
      <c r="AS520" s="1097">
        <f>(AN520*(1+$EX$10)+$EX$36)*(1+(INDEX(绊状态确认!$T:$T,MATCH($G520,绊状态确认!$B:$B,))+0.2)*AO520)*IF(J520=$FF$17,1+$FE$17,1)*IF(I520=$FF$14,1+$FE$14,1)</f>
        <v>16516.979102207999</v>
      </c>
      <c r="AT520" s="1093">
        <f>IF(AND(INDEX('卡片raw data'!AK:AK,MATCH($D520,'卡片raw data'!$F:$F,))&lt;INDEX('卡片raw data'!AM:AM,MATCH($D520,'卡片raw data'!$F:$F,)),INDEX('卡片raw data'!AL:AL,MATCH($D520,'卡片raw data'!$F:$F,))&lt;INDEX('卡片raw data'!AM:AM,MATCH($D520,'卡片raw data'!$F:$F,))),1,0)</f>
        <v>1</v>
      </c>
      <c r="AU520" s="1098">
        <f>MIN(AT520*0.15+AS520*0.00003+INDEX(绊状态确认!M:M,MATCH($G520,绊状态确认!$B:$B,)),1)</f>
        <v>0.67550937306624004</v>
      </c>
      <c r="AV520" s="1109">
        <f>(INDEX(绊状态确认!$N:$N,MATCH($G520,绊状态确认!$B:$B,))+1.5)*$EW$21</f>
        <v>2.6599999999999997</v>
      </c>
      <c r="AW520" s="1101">
        <f t="shared" si="711"/>
        <v>27022.375799437479</v>
      </c>
      <c r="AX520" s="1097">
        <f t="shared" si="712"/>
        <v>1016.0004305618168</v>
      </c>
      <c r="AY520" s="1110">
        <f t="shared" si="713"/>
        <v>28038.376229999296</v>
      </c>
      <c r="AZ520" s="429">
        <f t="shared" si="714"/>
        <v>18406.20419144</v>
      </c>
      <c r="BA520" s="431">
        <f t="shared" si="715"/>
        <v>22087.445029727998</v>
      </c>
      <c r="BB520" s="1097">
        <f>(AM520*(1+$FB$9)+$FB$35)*(1+(INDEX(绊状态确认!$T:$T,MATCH($G520,绊状态确认!$B:$B,))+0.2)*AO520)*IF(J520=$FF$17,1+$FE$17,1)*IF(I520=$FF$14,1+$FE$14,1)*(1+$FE$15)</f>
        <v>11869.229016579999</v>
      </c>
      <c r="BC520" s="1097">
        <f>(AN520*(1+$FB$10)+$FB$36)*(1+(INDEX(绊状态确认!$T:$T,MATCH($G520,绊状态确认!$B:$B,))+0.2)*AO520)*IF(J520=$FF$17,1+$FE$17,1)*IF(I520=$FF$14,1+$FE$14,1)*(1+$FE$15)</f>
        <v>16516.979102207999</v>
      </c>
      <c r="BD520" s="1104">
        <f>MIN(AT520*0.15+BC520*0.00003+INDEX(绊状态确认!M:M,MATCH($G520,绊状态确认!$B:$B,)),1)</f>
        <v>0.67550937306624004</v>
      </c>
      <c r="BE520" s="432">
        <f>(INDEX(绊状态确认!$N:$N,MATCH($G520,绊状态确认!$B:$B,))+1.5)</f>
        <v>1.9</v>
      </c>
      <c r="BF520" s="1139">
        <f t="array" ref="BF520">SUMPRODUCT(IF(AZ520*AP520*$FI$16:$FI$23*$FA$22&gt;=$FI$24,$FI$24,AZ520*AP520*$FI$16:$FI$23*$FA$22),$FJ$16:$FJ$23)</f>
        <v>36609.940136774159</v>
      </c>
      <c r="BG520" s="1125">
        <f t="array" ref="BG520">SUMPRODUCT(IF(BE520*AZ520*AP520*$FI$16:$FI$23*$FA$22&gt;=$FI$24,$FI$24,BE520*AZ520*AP520*$FI$16:$FI$23*$FA$22),$FJ$16:$FJ$23)</f>
        <v>59365.831088214196</v>
      </c>
      <c r="BH520" s="1110">
        <f t="shared" si="716"/>
        <v>17327.252588981715</v>
      </c>
      <c r="BI520" s="1111">
        <f>IF(O520="vo",$EW$26/$EW$24*0.05,0)+IF(O520="sk",-$EW$26/$EW$24*(0.05-INDEX(绊状态确认!W:W,MATCH($G520,绊状态确认!$B:$B,)))+0.05*$EW$28,0)+IF(O520="sp",0.05*$EW$32*$EW$30*(1-$EW$33)-(0.05-INDEX(绊状态确认!V:V,MATCH($G520,绊状态确认!$B:$B,)))*$EW$28,0)+IF(O520="gd",-(0.05-INDEX(绊状态确认!X:X,MATCH($G520,绊状态确认!$B:$B,)))*$EW$32*$EW$30*(1-$EW$33),0)</f>
        <v>19.999999999999886</v>
      </c>
      <c r="BJ520" s="420">
        <f>IF(O520="vo",0.05*(1-$FI$26)*$FA$24,0)+IF(O520="sk",-(0.05-INDEX(绊状态确认!W:W,MATCH($G520,绊状态确认!$B:$B,)))*(1-$FI$26)*$FA$24+0.05*$FA$26,0)+IF(O520="sp",0.05*$FA$32*$FA$27*(1-$FA$33)/$FA$30+0.05*$FA$29/$FA$69*$FA$27*(1-$FA$33)-(0.05-INDEX(绊状态确认!V:V,MATCH($G520,绊状态确认!$B:$B,)))*$FA$26,0)+IF(O520="gd",-(0.05-INDEX(绊状态确认!X:X,MATCH($G520,绊状态确认!$B:$B,)))*$FA$32*$FA$27*(1-$FA$33)/$FA$30-(0.05-INDEX(绊状态确认!X:X,MATCH($G520,绊状态确认!$B:$B,)))*$FA$29/$FA$69*$FA$27*(1-$FA$33),0)</f>
        <v>545.83333333333326</v>
      </c>
      <c r="BK520" s="1110">
        <f>IF(O520="vo",$EW$26/$EW$24*0.05+$EW$26*(-HP($EW$62,$EW$65,$EW$64)+HP($EW$62,$EW$65,(1.05-INDEX(绊状态确认!U:U,MATCH($G520,绊状态确认!$B:$B,)))*$EW$64)),0)+IF(O520="sk",-$EW$26/$EW$24*(0.05-INDEX(绊状态确认!W:W,MATCH($G520,绊状态确认!$B:$B,)))+0.05*$EW$29,0)+IF(O520="sp",0.05*$EW$32*$EW$30*(1-$EW$33)-(0.05-INDEX(绊状态确认!V:V,MATCH($G520,绊状态确认!$B:$B,)))*$EW$29,0)+IF(O520="gd",-(0.05-INDEX(绊状态确认!X:X,MATCH($G520,绊状态确认!$B:$B,)))*$EW$32*$EW$30*(1-$EW$33)+$EW$26*(-HP($EW$62,$EW$65,$EW$64)+HP($EW$62,$EW$65,0.95*$EW$64)),0)</f>
        <v>-1780.0000000000005</v>
      </c>
      <c r="BL520" s="1111">
        <f t="shared" si="717"/>
        <v>-1083.3333333333333</v>
      </c>
      <c r="BM520" s="1110">
        <f t="shared" si="718"/>
        <v>-830.55555555555543</v>
      </c>
      <c r="BN520" s="1113">
        <f t="shared" si="719"/>
        <v>3</v>
      </c>
      <c r="BO520" s="1108">
        <f t="shared" si="720"/>
        <v>4507.7214871259994</v>
      </c>
      <c r="BP520" s="1127">
        <f t="shared" si="721"/>
        <v>221.34103209030098</v>
      </c>
      <c r="BQ520" s="1113" t="s">
        <v>132</v>
      </c>
      <c r="BR520" s="1124" t="s">
        <v>171</v>
      </c>
      <c r="BS520" s="421">
        <f>IF($P520="","N/A",IF($P520=-1,INDEX('卡片raw data'!AX:AX,MATCH($D520,'卡片raw data'!$F:$F,)),0)+IF($L520="party卡",IF($P520=5,INDEX('卡片raw data'!BD:BD,MATCH($D520,'卡片raw data'!$F:$F,)),IF($P520&gt;=3,INDEX('卡片raw data'!BC:BC,MATCH($D520,'卡片raw data'!$F:$F,)),INDEX('卡片raw data'!BB:BB,MATCH($D520,'卡片raw data'!$F:$F,)))),IF(OR(AND($F520="UR",$P520=0),AND($F520="SR",$P520&gt;=0,$P520&lt;=2),AND($F520="R",$P520&gt;=0,$P520&lt;4)),INDEX('卡片raw data'!AZ:AZ,MATCH($D520,'卡片raw data'!$F:$F,)),0)+IF(OR(AND($F520="UR",$P520&gt;=1,$P520&lt;=4),AND($F520="SR",$P520&lt;=4,$P520&gt;=3),AND($F520="R",$P520=4)),INDEX('卡片raw data'!BA:BA,MATCH($D520,'卡片raw data'!$F:$F,)),0)+IF($P520=5,INDEX('卡片raw data'!BB:BB,MATCH($D520,'卡片raw data'!$F:$F,)),0)))</f>
        <v>3.2000000000000001E-2</v>
      </c>
      <c r="BT520" s="424">
        <f t="shared" si="722"/>
        <v>1602.7454176448</v>
      </c>
      <c r="BU520" s="420">
        <f t="shared" si="723"/>
        <v>68.861654428093644</v>
      </c>
      <c r="BV520" s="420">
        <f t="shared" si="724"/>
        <v>801.37270882240011</v>
      </c>
      <c r="BW520" s="436">
        <f t="shared" si="725"/>
        <v>0</v>
      </c>
      <c r="BX520" s="423">
        <f t="shared" si="726"/>
        <v>1602.7454176448</v>
      </c>
      <c r="BY520" s="433">
        <f t="shared" si="727"/>
        <v>801.37270882240011</v>
      </c>
      <c r="BZ520" s="1113" t="s">
        <v>569</v>
      </c>
      <c r="CA520" s="450"/>
      <c r="CB520" s="421">
        <f>IF($P520="","N/A",IF($P520=-1,INDEX('卡片raw data'!BE:BE,MATCH($D520,'卡片raw data'!$F:$F,)),0)+IF($L520="party卡",IF($P520=5,INDEX('卡片raw data'!BK:BK,MATCH($D520,'卡片raw data'!$F:$F,)),IF($P520&gt;=3,INDEX('卡片raw data'!BJ:BJ,MATCH($D520,'卡片raw data'!$F:$F,)),INDEX('卡片raw data'!BI:BI,MATCH($D520,'卡片raw data'!$F:$F,)))),IF(OR(AND($F520="UR",$P520=0),AND($F520="SR",$P520&gt;=0,$P520&lt;=2),AND($F520="R",$P520&gt;=0,$P520&lt;4)),INDEX('卡片raw data'!BG:BG,MATCH($D520,'卡片raw data'!$F:$F,)),0)+IF(OR(AND($F520="UR",$P520&gt;=1,$P520&lt;=4),AND($F520="SR",$P520&lt;=4,$P520&gt;=3),AND($F520="R",$P520=4)),INDEX('卡片raw data'!BH:BH,MATCH($D520,'卡片raw data'!$F:$F,)),0)+IF($P520=5,INDEX('卡片raw data'!BI:BI,MATCH($D520,'卡片raw data'!$F:$F,)),0)))</f>
        <v>0</v>
      </c>
      <c r="CC520" s="424">
        <f t="shared" si="728"/>
        <v>0</v>
      </c>
      <c r="CD520" s="420">
        <f>IF(BZ520="ap",CB520*(1-$FI$26)*$FB$5/$FB$11*(+IF(CA520="全员",$FA$24,0)+IF(CA520="同作战",$FA$24,0)+IF(CA520="仲间",$FA$24*2/3,0)+IF(CA520="同属性",$FA$24*$FA$37/3,0)+IF(CA520="同年级",$FA$24*$FA$40/3,0)+IF(CA520="同学校",$FA$24*$FA$43/3,0)+IF(CA520="同小队",$FA$24*$FA$46/3,0)+IF(CA520="同type",$FA$24*INDEX($FB$49:$FB$52,MATCH(X520,$FA$49:$FA$52,))/3,0)+IF(CA520="自身",#REF!/3,0)),0)+IF(BZ520="te",CB520*(1-$FI$27)*($FA$20-1)*$FB$7/$FB$13*(+IF(CA520="全员",$FA$19*$FA$24/(1+($FA$20-1)*$FA$19),0)+IF(CA520="同作战",$FA$19*$FA$24/(1+($FA$20-1)*$FA$19),0)+IF(CA520="仲间",$FA$19*$FA$24*2/3/(1+($FA$20-1)*$FA$19),0)+IF(CA520="同属性",$FA$19*$FA$24*$FA$37/3/(1+($FA$20-1)*$FA$19),0)+IF(CA520="同年级",$FA$19*$FA$24*$FA$40/3/(1+($FA$20-1)*$FA$19),0)+IF(CA520="同学校",$FA$19*$FA$24*$FA$43/3/(1+($FA$20-1)*$FA$19),0)+IF(CA520="同小队",$FA$19*$FA$24*$FA$46/3/(1+($FA$20-1)*$FA$19),0)+IF(CA520="同type",$FA$19*$FA$24*INDEX($FB$49:$FB$52,MATCH(X520,$FA$49:$FA$52,))/3/(1+($FA$20-1)*$FA$19),0)+IF(CA520="自身",$FA$19*#REF!/3/(1+(BH520-1)*$BD520),0)),0)</f>
        <v>0</v>
      </c>
      <c r="CE520" s="420">
        <f t="shared" si="729"/>
        <v>0</v>
      </c>
      <c r="CF520" s="436">
        <f t="shared" si="730"/>
        <v>0</v>
      </c>
      <c r="CG520" s="423">
        <f t="shared" si="731"/>
        <v>0</v>
      </c>
      <c r="CH520" s="433">
        <f t="shared" si="732"/>
        <v>0</v>
      </c>
      <c r="CI520" s="1113" t="s">
        <v>160</v>
      </c>
      <c r="CJ520" s="1114">
        <v>1</v>
      </c>
      <c r="CK520" s="1115" t="s">
        <v>4302</v>
      </c>
      <c r="CL520" s="1115" t="s">
        <v>4303</v>
      </c>
      <c r="CM520" s="1119">
        <v>0.24</v>
      </c>
      <c r="CN520" s="1115">
        <v>10</v>
      </c>
      <c r="CO520" s="1115">
        <v>1</v>
      </c>
      <c r="CP520" s="1118">
        <f t="shared" si="733"/>
        <v>5.7142857142857143E-3</v>
      </c>
      <c r="CQ520" s="1118">
        <f t="shared" si="734"/>
        <v>7.7777777777777776E-3</v>
      </c>
      <c r="CR520" s="1118">
        <f t="shared" si="735"/>
        <v>2.8571428571428571E-3</v>
      </c>
      <c r="CS520" s="442">
        <f t="shared" si="736"/>
        <v>0</v>
      </c>
      <c r="CT520" s="432">
        <f t="shared" si="737"/>
        <v>0</v>
      </c>
      <c r="CU520" s="1101">
        <f t="shared" si="738"/>
        <v>74.285714285714292</v>
      </c>
      <c r="CV520" s="1108">
        <f t="shared" si="768"/>
        <v>77.518518518518505</v>
      </c>
      <c r="CW520" s="1097">
        <f t="shared" si="739"/>
        <v>37.142857142857146</v>
      </c>
      <c r="CX520" s="1097">
        <f t="shared" si="740"/>
        <v>74.285714285714292</v>
      </c>
      <c r="CY520" s="1110">
        <f t="shared" si="741"/>
        <v>37.142857142857146</v>
      </c>
      <c r="CZ520" s="437"/>
      <c r="DA520" s="438"/>
      <c r="DB520" s="439" t="s">
        <v>569</v>
      </c>
      <c r="DC520" s="439"/>
      <c r="DD520" s="443"/>
      <c r="DE520" s="411"/>
      <c r="DF520" s="411"/>
      <c r="DG520" s="1116">
        <f t="shared" si="742"/>
        <v>0</v>
      </c>
      <c r="DH520" s="1116">
        <f t="shared" si="743"/>
        <v>0</v>
      </c>
      <c r="DI520" s="1116">
        <f t="shared" si="744"/>
        <v>0</v>
      </c>
      <c r="DJ520" s="442">
        <f t="shared" si="745"/>
        <v>0</v>
      </c>
      <c r="DK520" s="432">
        <f t="shared" si="746"/>
        <v>0</v>
      </c>
      <c r="DL520" s="424">
        <f t="shared" si="747"/>
        <v>0</v>
      </c>
      <c r="DM520" s="420">
        <f t="shared" si="748"/>
        <v>0</v>
      </c>
      <c r="DN520" s="420">
        <f t="shared" si="749"/>
        <v>0</v>
      </c>
      <c r="DO520" s="420">
        <f t="shared" si="750"/>
        <v>0</v>
      </c>
      <c r="DP520" s="433">
        <f t="shared" si="751"/>
        <v>0</v>
      </c>
      <c r="DQ520" s="1113" t="s">
        <v>2143</v>
      </c>
      <c r="DR520" s="1120">
        <f t="shared" si="686"/>
        <v>0.3</v>
      </c>
      <c r="DS520" s="1124">
        <v>2</v>
      </c>
      <c r="DT520" s="1124" t="s">
        <v>2075</v>
      </c>
      <c r="DU520" s="1093" t="s">
        <v>2145</v>
      </c>
      <c r="DV520" s="1098">
        <f>IF($P520="","N/A",IF(P520=-1,INDEX('卡片raw data'!AN:AN,MATCH(D520,'卡片raw data'!$F:$F,)),0)+IF(AND(L520&lt;&gt;"party卡",P520&lt;=2,P520&gt;=0),INDEX('卡片raw data'!AP:AP,MATCH(D520,'卡片raw data'!$F:$F,)),0)+IF(OR(AND(L520="party卡",P520&lt;=1),AND(P520&lt;=4,L520&lt;&gt;"party卡",P520&gt;=3)),INDEX('卡片raw data'!AQ:AQ,MATCH(D520,'卡片raw data'!$F:$F,)),0)+IF(OR(P520=5,AND(L520="party卡",P520&gt;=2)),INDEX('卡片raw data'!AR:AR,MATCH(D520,'卡片raw data'!$F:$F,)),0))</f>
        <v>0.112</v>
      </c>
      <c r="DW520" s="1098">
        <f t="shared" si="752"/>
        <v>0.3</v>
      </c>
      <c r="DX520" s="1098">
        <f t="shared" si="753"/>
        <v>0.3</v>
      </c>
      <c r="DY520" s="1098">
        <f t="shared" si="754"/>
        <v>1.4933333333333333E-2</v>
      </c>
      <c r="DZ520" s="1098">
        <f t="shared" si="755"/>
        <v>1.1302666666666666E-2</v>
      </c>
      <c r="EA520" s="421">
        <f t="shared" si="756"/>
        <v>0</v>
      </c>
      <c r="EB520" s="445">
        <f t="shared" si="757"/>
        <v>1.8622770833333331</v>
      </c>
      <c r="EC520" s="424">
        <f t="shared" si="758"/>
        <v>194.13333333333333</v>
      </c>
      <c r="ED520" s="420">
        <f t="shared" si="759"/>
        <v>112.64991111111109</v>
      </c>
      <c r="EE520" s="433">
        <f t="shared" si="683"/>
        <v>194.13333333333333</v>
      </c>
      <c r="EF520" s="1115" t="s">
        <v>569</v>
      </c>
      <c r="EG520" s="1120">
        <f t="shared" si="687"/>
        <v>0.3</v>
      </c>
      <c r="EH520" s="450"/>
      <c r="EI520" s="1093"/>
      <c r="EJ520" s="1093"/>
      <c r="EK520" s="420">
        <f>IF($P520="","N/A",IF(P520=-1,INDEX('卡片raw data'!AS:AS,MATCH(D520,'卡片raw data'!$F:$F,)),0)+IF(AND(L520&lt;&gt;"party卡",P520&lt;=2,P520&gt;=0),INDEX('卡片raw data'!AU:AU,MATCH(D520,'卡片raw data'!$F:$F,)),0)+IF(OR(AND(L520="party卡",P520&lt;=1),AND(P520&lt;=4,L520&lt;&gt;"party卡",P520&gt;=3)),INDEX('卡片raw data'!AV:AV,MATCH(D520,'卡片raw data'!$F:$F,)),0)+IF(OR(P520=5,AND(L520="party卡",P520&gt;=2)),INDEX('卡片raw data'!AW:AW,MATCH(D520,'卡片raw data'!$F:$F,)),0))</f>
        <v>0</v>
      </c>
      <c r="EL520" s="1098">
        <f t="shared" si="760"/>
        <v>0.3</v>
      </c>
      <c r="EM520" s="1098">
        <f t="shared" si="761"/>
        <v>0.3</v>
      </c>
      <c r="EN520" s="1097">
        <f t="shared" si="762"/>
        <v>0</v>
      </c>
      <c r="EO520" s="1097">
        <f t="shared" si="763"/>
        <v>0</v>
      </c>
      <c r="EP520" s="421">
        <f t="shared" si="764"/>
        <v>0</v>
      </c>
      <c r="EQ520" s="445">
        <f t="shared" si="765"/>
        <v>0</v>
      </c>
      <c r="ER520" s="424">
        <f t="shared" si="766"/>
        <v>0</v>
      </c>
      <c r="ES520" s="420">
        <f t="shared" si="767"/>
        <v>0</v>
      </c>
      <c r="ET520" s="446">
        <f t="shared" si="684"/>
        <v>0</v>
      </c>
    </row>
    <row r="521" spans="2:150" ht="16.5" customHeight="1">
      <c r="B521" s="448" t="str">
        <f>INDEX('卡片raw data'!B:B,MATCH($D521,'卡片raw data'!$F:$F,))</f>
        <v>夏祭步</v>
      </c>
      <c r="C521" s="449" t="s">
        <v>4305</v>
      </c>
      <c r="D521" s="408">
        <v>518</v>
      </c>
      <c r="E521" s="477">
        <v>402013004</v>
      </c>
      <c r="F521" s="409" t="str">
        <f>INDEX('卡片raw data'!C:C,MATCH($D521,'卡片raw data'!$F:$F,))</f>
        <v>UR</v>
      </c>
      <c r="G521" s="1094" t="s">
        <v>4306</v>
      </c>
      <c r="H521" s="411">
        <f>IFERROR(INDEX(绊状态确认!C:C,MATCH($G521,绊状态确认!$B:$B,)),"")</f>
        <v>201</v>
      </c>
      <c r="I521" s="450" t="str">
        <f>IFERROR(INDEX(绊状态确认!D:D,MATCH($G521,绊状态确认!$B:$B,)),"")</f>
        <v>虹</v>
      </c>
      <c r="J521" s="450" t="str">
        <f>IFERROR(INDEX(绊状态确认!E:E,MATCH($G521,绊状态确认!$B:$B,)),"")</f>
        <v>2年级</v>
      </c>
      <c r="K521" s="451" t="str">
        <f>IFERROR(INDEX(绊状态确认!F:F,MATCH($G521,绊状态确认!$B:$B,)),"")</f>
        <v>A·ZU·NA</v>
      </c>
      <c r="L521" s="414" t="str">
        <f>INDEX('卡片raw data'!E:E,MATCH($D521,'卡片raw data'!$F:$F,))</f>
        <v>卡池卡</v>
      </c>
      <c r="M521" s="478">
        <v>44427</v>
      </c>
      <c r="N521" s="479">
        <v>46</v>
      </c>
      <c r="O521" s="410" t="str">
        <f>INDEX('卡片raw data'!D:D,MATCH($D521,'卡片raw data'!$F:$F,))</f>
        <v>sk</v>
      </c>
      <c r="P521" s="1126">
        <v>5</v>
      </c>
      <c r="Q521" s="418">
        <f t="shared" si="688"/>
        <v>62301.109145915558</v>
      </c>
      <c r="R521" s="419">
        <f t="shared" si="689"/>
        <v>0.72399999999999998</v>
      </c>
      <c r="S521" s="420">
        <f t="shared" si="690"/>
        <v>20500.955617544631</v>
      </c>
      <c r="T521" s="421">
        <f t="shared" si="691"/>
        <v>1.0249999999999999</v>
      </c>
      <c r="U521" s="422">
        <f t="shared" si="692"/>
        <v>15.618308444142855</v>
      </c>
      <c r="V521" s="423">
        <f t="shared" si="693"/>
        <v>65556.374861853794</v>
      </c>
      <c r="W521" s="424">
        <f t="shared" si="694"/>
        <v>4548.1925976998982</v>
      </c>
      <c r="X521" s="419">
        <f t="shared" si="695"/>
        <v>5.1999999999999998E-2</v>
      </c>
      <c r="Y521" s="420">
        <f t="shared" si="696"/>
        <v>1255.2657159382388</v>
      </c>
      <c r="Z521" s="425">
        <f t="shared" si="697"/>
        <v>15.618308444142855</v>
      </c>
      <c r="AA521" s="426">
        <f t="shared" si="698"/>
        <v>5803.458313638137</v>
      </c>
      <c r="AB521" s="424">
        <f t="shared" si="699"/>
        <v>9847.6721099207971</v>
      </c>
      <c r="AC521" s="427">
        <f t="shared" si="700"/>
        <v>0.114</v>
      </c>
      <c r="AD521" s="428">
        <f t="shared" si="701"/>
        <v>2.1769318181818181E-2</v>
      </c>
      <c r="AE521" s="516">
        <f t="shared" si="702"/>
        <v>11.953757704745847</v>
      </c>
      <c r="AF521" s="1130">
        <f t="shared" si="703"/>
        <v>0</v>
      </c>
      <c r="AG521" s="420">
        <f t="shared" si="704"/>
        <v>0</v>
      </c>
      <c r="AH521" s="420">
        <f t="shared" si="705"/>
        <v>0</v>
      </c>
      <c r="AI521" s="1097">
        <f t="shared" si="706"/>
        <v>0</v>
      </c>
      <c r="AJ521" s="420">
        <f t="shared" si="707"/>
        <v>0</v>
      </c>
      <c r="AK521" s="518">
        <f t="shared" si="708"/>
        <v>0</v>
      </c>
      <c r="AL521" s="1106">
        <f>IF($P521="","N/A",(IF($P521=-1,INDEX('卡片raw data'!S:S,MATCH($D521,'卡片raw data'!$F:$F,)),0)+IF($P521=0,INDEX('卡片raw data'!V:V,MATCH($D521,'卡片raw data'!$F:$F,)),0)+IF($P521=1,INDEX('卡片raw data'!Y:Y,MATCH($D521,'卡片raw data'!$F:$F,)),0)+IF($P521=2,INDEX('卡片raw data'!AB:AB,MATCH($D521,'卡片raw data'!$F:$F,)),0)+IF($P521=3,INDEX('卡片raw data'!AE:AE,MATCH($D521,'卡片raw data'!$F:$F,)),0)+IF($P521=4,INDEX('卡片raw data'!AH:AH,MATCH($D521,'卡片raw data'!$F:$F,)),0)+IF($P521=5,INDEX('卡片raw data'!AK:AK,MATCH($D521,'卡片raw data'!$F:$F,)),0)+INDEX('卡片raw data'!S:S,MATCH($D521,'卡片raw data'!$F:$F,))*(IF($F521="UR",0.04,0.033))*(IF($F521="UR",INDEX(绊状态确认!$S:$S,MATCH($G521,绊状态确认!$B:$B,))/2-40)+IF($F521="SR",INDEX(绊状态确认!$R:$R,MATCH($G521,绊状态确认!$B:$B,))/4-15))+IF($F521="R",INDEX(绊状态确认!$Q:$Q,MATCH($G521,绊状态确认!$B:$B,))/6-40/6)))*(INDEX(绊状态确认!$H:$H,MATCH($G521,绊状态确认!$B:$B,))+INDEX(绊状态确认!J:J,MATCH($G521,绊状态确认!$B:$B,)))</f>
        <v>13614.526559999998</v>
      </c>
      <c r="AM521" s="1106">
        <f>IF($P521="","N/A",(IF($P521=-1,INDEX('卡片raw data'!T:T,MATCH($D521,'卡片raw data'!$F:$F,)),0)+IF($P521=0,INDEX('卡片raw data'!W:W,MATCH($D521,'卡片raw data'!$F:$F,)),0)+IF($P521=1,INDEX('卡片raw data'!Z:Z,MATCH($D521,'卡片raw data'!$F:$F,)),0)+IF($P521=2,INDEX('卡片raw data'!AC:AC,MATCH($D521,'卡片raw data'!$F:$F,)),0)+IF($P521=3,INDEX('卡片raw data'!AF:AF,MATCH($D521,'卡片raw data'!$F:$F,)),0)+IF($P521=4,INDEX('卡片raw data'!AI:AI,MATCH($D521,'卡片raw data'!$F:$F,)),0)+IF($P521=5,INDEX('卡片raw data'!AL:AL,MATCH($D521,'卡片raw data'!$F:$F,)),0)+INDEX('卡片raw data'!T:T,MATCH($D521,'卡片raw data'!$F:$F,))*(IF($F521="UR",0.04,0.033))*(IF($F521="UR",INDEX(绊状态确认!$S:$S,MATCH($G521,绊状态确认!$B:$B,))/2-40)+IF($F521="SR",INDEX(绊状态确认!$R:$R,MATCH($G521,绊状态确认!$B:$B,))/4-15))+IF($F521="R",INDEX(绊状态确认!$Q:$Q,MATCH($G521,绊状态确认!$B:$B,))/6-40/6)))*(INDEX(绊状态确认!$H:$H,MATCH($G521,绊状态确认!$B:$B,))+INDEX(绊状态确认!K:K,MATCH($G521,绊状态确认!$B:$B,)))</f>
        <v>8698.2328799999996</v>
      </c>
      <c r="AN521" s="1106">
        <f>IF($P521="","N/A",(IF($P521=-1,INDEX('卡片raw data'!U:U,MATCH($D521,'卡片raw data'!$F:$F,)),0)+IF($P521=0,INDEX('卡片raw data'!X:X,MATCH($D521,'卡片raw data'!$F:$F,)),0)+IF($P521=1,INDEX('卡片raw data'!AA:AA,MATCH($D521,'卡片raw data'!$F:$F,)),0)+IF($P521=2,INDEX('卡片raw data'!AD:AD,MATCH($D521,'卡片raw data'!$F:$F,)),0)+IF($P521=3,INDEX('卡片raw data'!AG:AG,MATCH($D521,'卡片raw data'!$F:$F,)),0)+IF($P521=4,INDEX('卡片raw data'!AJ:AJ,MATCH($D521,'卡片raw data'!$F:$F,)),0)+IF($P521=5,INDEX('卡片raw data'!AM:AM,MATCH($D521,'卡片raw data'!$F:$F,)),0)+INDEX('卡片raw data'!U:U,MATCH($D521,'卡片raw data'!$F:$F,))*(IF($F521="UR",0.04,0.033))*(IF($F521="UR",INDEX(绊状态确认!$S:$S,MATCH($G521,绊状态确认!$B:$B,))/2-40)+IF($F521="SR",INDEX(绊状态确认!$R:$R,MATCH($G521,绊状态确认!$B:$B,))/4-15))+IF($F521="R",INDEX(绊状态确认!$Q:$Q,MATCH($G521,绊状态确认!$B:$B,))/6-40/6)))*(INDEX(绊状态确认!$H:$H,MATCH($G521,绊状态确认!$B:$B,))+INDEX(绊状态确认!L:L,MATCH($G521,绊状态确认!$B:$B,)))</f>
        <v>15505.496159999997</v>
      </c>
      <c r="AO521" s="1107">
        <f t="shared" si="709"/>
        <v>1</v>
      </c>
      <c r="AP521" s="1131">
        <f>1+(INDEX(绊状态确认!$T:$T,MATCH($G521,绊状态确认!$B:$B,))+0.2)*$AO521</f>
        <v>1.3</v>
      </c>
      <c r="AQ521" s="1108">
        <f t="shared" si="710"/>
        <v>38988.13222</v>
      </c>
      <c r="AR521" s="1097">
        <f>(AM521*(1+$EX$9)+$EX$35)*(1+(INDEX(绊状态确认!$T:$T,MATCH($G521,绊状态确认!$B:$B,))+0.2)*AO521)*IF(J521=$FF$17,1+$FE$17,1)*IF(I521=$FF$14,1+$FE$14,1)</f>
        <v>14577.087881199999</v>
      </c>
      <c r="AS521" s="1097">
        <f>(AN521*(1+$EX$10)+$EX$36)*(1+(INDEX(绊状态确认!$T:$T,MATCH($G521,绊状态确认!$B:$B,))+0.2)*AO521)*IF(J521=$FF$17,1+$FE$17,1)*IF(I521=$FF$14,1+$FE$14,1)</f>
        <v>27236.716759199993</v>
      </c>
      <c r="AT521" s="1093">
        <f>IF(AND(INDEX('卡片raw data'!AK:AK,MATCH($D521,'卡片raw data'!$F:$F,))&lt;INDEX('卡片raw data'!AM:AM,MATCH($D521,'卡片raw data'!$F:$F,)),INDEX('卡片raw data'!AL:AL,MATCH($D521,'卡片raw data'!$F:$F,))&lt;INDEX('卡片raw data'!AM:AM,MATCH($D521,'卡片raw data'!$F:$F,))),1,0)</f>
        <v>1</v>
      </c>
      <c r="AU521" s="1098">
        <f>MIN(AT521*0.15+AS521*0.00003+INDEX(绊状态确认!M:M,MATCH($G521,绊状态确认!$B:$B,)),1)</f>
        <v>0.99710150277599985</v>
      </c>
      <c r="AV521" s="1109">
        <f>(INDEX(绊状态确认!$N:$N,MATCH($G521,绊状态确认!$B:$B,))+1.5)*$EW$21</f>
        <v>2.6599999999999997</v>
      </c>
      <c r="AW521" s="1101">
        <f t="shared" si="711"/>
        <v>53763.205132691102</v>
      </c>
      <c r="AX521" s="1097">
        <f t="shared" si="712"/>
        <v>1255.2657159382393</v>
      </c>
      <c r="AY521" s="1110">
        <f t="shared" si="713"/>
        <v>55018.470848629338</v>
      </c>
      <c r="AZ521" s="429">
        <f t="shared" si="714"/>
        <v>29148.326791999996</v>
      </c>
      <c r="BA521" s="431">
        <f t="shared" si="715"/>
        <v>34977.992150399994</v>
      </c>
      <c r="BB521" s="1097">
        <f>(AM521*(1+$FB$9)+$FB$35)*(1+(INDEX(绊状态确认!$T:$T,MATCH($G521,绊状态确认!$B:$B,))+0.2)*AO521)*IF(J521=$FF$17,1+$FE$17,1)*IF(I521=$FF$14,1+$FE$14,1)*(1+$FE$15)</f>
        <v>14577.087881199999</v>
      </c>
      <c r="BC521" s="1097">
        <f>(AN521*(1+$FB$10)+$FB$36)*(1+(INDEX(绊状态确认!$T:$T,MATCH($G521,绊状态确认!$B:$B,))+0.2)*AO521)*IF(J521=$FF$17,1+$FE$17,1)*IF(I521=$FF$14,1+$FE$14,1)*(1+$FE$15)</f>
        <v>27236.716759199993</v>
      </c>
      <c r="BD521" s="1104">
        <f>MIN(AT521*0.15+BC521*0.00003+INDEX(绊状态确认!M:M,MATCH($G521,绊状态确认!$B:$B,)),1)</f>
        <v>0.99710150277599985</v>
      </c>
      <c r="BE521" s="432">
        <f>(INDEX(绊状态确认!$N:$N,MATCH($G521,绊状态确认!$B:$B,))+1.5)</f>
        <v>1.9</v>
      </c>
      <c r="BF521" s="1139">
        <f t="array" ref="BF521">SUMPRODUCT(IF(AZ521*AP521*$FI$16:$FI$23*$FA$22&gt;=$FI$24,$FI$24,AZ521*AP521*$FI$16:$FI$23*$FA$22),$FJ$16:$FJ$23)</f>
        <v>55451.044608567994</v>
      </c>
      <c r="BG521" s="1125">
        <f t="array" ref="BG521">SUMPRODUCT(IF(BE521*AZ521*AP521*$FI$16:$FI$23*$FA$22&gt;=$FI$24,$FI$24,BE521*AZ521*AP521*$FI$16:$FI$23*$FA$22),$FJ$16:$FJ$23)</f>
        <v>60000</v>
      </c>
      <c r="BH521" s="1110">
        <f t="shared" si="716"/>
        <v>19995.604955141946</v>
      </c>
      <c r="BI521" s="1111">
        <f>IF(O521="vo",$EW$26/$EW$24*0.05,0)+IF(O521="sk",-$EW$26/$EW$24*(0.05-INDEX(绊状态确认!W:W,MATCH($G521,绊状态确认!$B:$B,)))+0.05*$EW$28,0)+IF(O521="sp",0.05*$EW$32*$EW$30*(1-$EW$33)-(0.05-INDEX(绊状态确认!V:V,MATCH($G521,绊状态确认!$B:$B,)))*$EW$28,0)+IF(O521="gd",-(0.05-INDEX(绊状态确认!X:X,MATCH($G521,绊状态确认!$B:$B,)))*$EW$32*$EW$30*(1-$EW$33),0)</f>
        <v>-6253.6726349699375</v>
      </c>
      <c r="BJ521" s="420">
        <f>IF(O521="vo",0.05*(1-$FI$26)*$FA$24,0)+IF(O521="sk",-(0.05-INDEX(绊状态确认!W:W,MATCH($G521,绊状态确认!$B:$B,)))*(1-$FI$26)*$FA$24+0.05*$FA$26,0)+IF(O521="sp",0.05*$FA$32*$FA$27*(1-$FA$33)/$FA$30+0.05*$FA$29/$FA$69*$FA$27*(1-$FA$33)-(0.05-INDEX(绊状态确认!V:V,MATCH($G521,绊状态确认!$B:$B,)))*$FA$26,0)+IF(O521="gd",-(0.05-INDEX(绊状态确认!X:X,MATCH($G521,绊状态确认!$B:$B,)))*$FA$32*$FA$27*(1-$FA$33)/$FA$30-(0.05-INDEX(绊状态确认!X:X,MATCH($G521,绊状态确认!$B:$B,)))*$FA$29/$FA$69*$FA$27*(1-$FA$33),0)</f>
        <v>20.459096812499922</v>
      </c>
      <c r="BK521" s="1110">
        <f>IF(O521="vo",$EW$26/$EW$24*0.05+$EW$26*(-HP($EW$62,$EW$65,$EW$64)+HP($EW$62,$EW$65,(1.05-INDEX(绊状态确认!U:U,MATCH($G521,绊状态确认!$B:$B,)))*$EW$64)),0)+IF(O521="sk",-$EW$26/$EW$24*(0.05-INDEX(绊状态确认!W:W,MATCH($G521,绊状态确认!$B:$B,)))+0.05*$EW$29,0)+IF(O521="sp",0.05*$EW$32*$EW$30*(1-$EW$33)-(0.05-INDEX(绊状态确认!V:V,MATCH($G521,绊状态确认!$B:$B,)))*$EW$29,0)+IF(O521="gd",-(0.05-INDEX(绊状态确认!X:X,MATCH($G521,绊状态确认!$B:$B,)))*$EW$32*$EW$30*(1-$EW$33)+$EW$26*(-HP($EW$62,$EW$65,$EW$64)+HP($EW$62,$EW$65,0.95*$EW$64)),0)</f>
        <v>-4253.6726349699375</v>
      </c>
      <c r="BL521" s="1111">
        <f t="shared" si="717"/>
        <v>0</v>
      </c>
      <c r="BM521" s="1110">
        <f t="shared" si="718"/>
        <v>0</v>
      </c>
      <c r="BN521" s="1113">
        <f t="shared" si="719"/>
        <v>3</v>
      </c>
      <c r="BO521" s="1108">
        <f t="shared" si="720"/>
        <v>4507.7214871259994</v>
      </c>
      <c r="BP521" s="1127">
        <f t="shared" si="721"/>
        <v>221.34103209030098</v>
      </c>
      <c r="BQ521" s="437" t="s">
        <v>132</v>
      </c>
      <c r="BR521" s="450" t="s">
        <v>168</v>
      </c>
      <c r="BS521" s="421">
        <f>IF($P521="","N/A",IF($P521=-1,INDEX('卡片raw data'!AX:AX,MATCH($D521,'卡片raw data'!$F:$F,)),0)+IF($L521="party卡",IF($P521=5,INDEX('卡片raw data'!BD:BD,MATCH($D521,'卡片raw data'!$F:$F,)),IF($P521&gt;=3,INDEX('卡片raw data'!BC:BC,MATCH($D521,'卡片raw data'!$F:$F,)),INDEX('卡片raw data'!BB:BB,MATCH($D521,'卡片raw data'!$F:$F,)))),IF(OR(AND($F521="UR",$P521=0),AND($F521="SR",$P521&gt;=0,$P521&lt;=2),AND($F521="R",$P521&gt;=0,$P521&lt;4)),INDEX('卡片raw data'!AZ:AZ,MATCH($D521,'卡片raw data'!$F:$F,)),0)+IF(OR(AND($F521="UR",$P521&gt;=1,$P521&lt;=4),AND($F521="SR",$P521&lt;=4,$P521&gt;=3),AND($F521="R",$P521=4)),INDEX('卡片raw data'!BA:BA,MATCH($D521,'卡片raw data'!$F:$F,)),0)+IF($P521=5,INDEX('卡片raw data'!BB:BB,MATCH($D521,'卡片raw data'!$F:$F,)),0)))</f>
        <v>7.0000000000000007E-2</v>
      </c>
      <c r="BT521" s="424">
        <f t="shared" si="722"/>
        <v>5259.008401647</v>
      </c>
      <c r="BU521" s="420">
        <f t="shared" si="723"/>
        <v>258.2312041053512</v>
      </c>
      <c r="BV521" s="420">
        <f t="shared" si="724"/>
        <v>0</v>
      </c>
      <c r="BW521" s="436">
        <f t="shared" si="725"/>
        <v>0</v>
      </c>
      <c r="BX521" s="423">
        <f t="shared" si="726"/>
        <v>5259.008401647</v>
      </c>
      <c r="BY521" s="433">
        <f t="shared" si="727"/>
        <v>0</v>
      </c>
      <c r="BZ521" s="1113" t="s">
        <v>569</v>
      </c>
      <c r="CA521" s="450"/>
      <c r="CB521" s="421">
        <f>IF($P521="","N/A",IF($P521=-1,INDEX('卡片raw data'!BE:BE,MATCH($D521,'卡片raw data'!$F:$F,)),0)+IF($L521="party卡",IF($P521=5,INDEX('卡片raw data'!BK:BK,MATCH($D521,'卡片raw data'!$F:$F,)),IF($P521&gt;=3,INDEX('卡片raw data'!BJ:BJ,MATCH($D521,'卡片raw data'!$F:$F,)),INDEX('卡片raw data'!BI:BI,MATCH($D521,'卡片raw data'!$F:$F,)))),IF(OR(AND($F521="UR",$P521=0),AND($F521="SR",$P521&gt;=0,$P521&lt;=2),AND($F521="R",$P521&gt;=0,$P521&lt;4)),INDEX('卡片raw data'!BG:BG,MATCH($D521,'卡片raw data'!$F:$F,)),0)+IF(OR(AND($F521="UR",$P521&gt;=1,$P521&lt;=4),AND($F521="SR",$P521&lt;=4,$P521&gt;=3),AND($F521="R",$P521=4)),INDEX('卡片raw data'!BH:BH,MATCH($D521,'卡片raw data'!$F:$F,)),0)+IF($P521=5,INDEX('卡片raw data'!BI:BI,MATCH($D521,'卡片raw data'!$F:$F,)),0)))</f>
        <v>0</v>
      </c>
      <c r="CC521" s="424">
        <f t="shared" si="728"/>
        <v>0</v>
      </c>
      <c r="CD521" s="420">
        <f>IF(BZ521="ap",CB521*(1-$FI$26)*$FB$5/$FB$11*(+IF(CA521="全员",$FA$24,0)+IF(CA521="同作战",$FA$24,0)+IF(CA521="仲间",$FA$24*2/3,0)+IF(CA521="同属性",$FA$24*$FA$37/3,0)+IF(CA521="同年级",$FA$24*$FA$40/3,0)+IF(CA521="同学校",$FA$24*$FA$43/3,0)+IF(CA521="同小队",$FA$24*$FA$46/3,0)+IF(CA521="同type",$FA$24*INDEX($FB$49:$FB$52,MATCH(X521,$FA$49:$FA$52,))/3,0)+IF(CA521="自身",#REF!/3,0)),0)+IF(BZ521="te",CB521*(1-$FI$27)*($FA$20-1)*$FB$7/$FB$13*(+IF(CA521="全员",$FA$19*$FA$24/(1+($FA$20-1)*$FA$19),0)+IF(CA521="同作战",$FA$19*$FA$24/(1+($FA$20-1)*$FA$19),0)+IF(CA521="仲间",$FA$19*$FA$24*2/3/(1+($FA$20-1)*$FA$19),0)+IF(CA521="同属性",$FA$19*$FA$24*$FA$37/3/(1+($FA$20-1)*$FA$19),0)+IF(CA521="同年级",$FA$19*$FA$24*$FA$40/3/(1+($FA$20-1)*$FA$19),0)+IF(CA521="同学校",$FA$19*$FA$24*$FA$43/3/(1+($FA$20-1)*$FA$19),0)+IF(CA521="同小队",$FA$19*$FA$24*$FA$46/3/(1+($FA$20-1)*$FA$19),0)+IF(CA521="同type",$FA$19*$FA$24*INDEX($FB$49:$FB$52,MATCH(X521,$FA$49:$FA$52,))/3/(1+($FA$20-1)*$FA$19),0)+IF(CA521="自身",$FA$19*#REF!/3/(1+(BH521-1)*$BD521),0)),0)</f>
        <v>0</v>
      </c>
      <c r="CE521" s="420">
        <f t="shared" si="729"/>
        <v>0</v>
      </c>
      <c r="CF521" s="436">
        <f t="shared" si="730"/>
        <v>0</v>
      </c>
      <c r="CG521" s="423">
        <f t="shared" si="731"/>
        <v>0</v>
      </c>
      <c r="CH521" s="433">
        <f t="shared" si="732"/>
        <v>0</v>
      </c>
      <c r="CI521" s="437" t="s">
        <v>170</v>
      </c>
      <c r="CJ521" s="438">
        <v>1</v>
      </c>
      <c r="CK521" s="439" t="s">
        <v>4307</v>
      </c>
      <c r="CL521" s="1115" t="s">
        <v>4303</v>
      </c>
      <c r="CM521" s="1119">
        <v>0.05</v>
      </c>
      <c r="CN521" s="1115">
        <v>5</v>
      </c>
      <c r="CO521" s="1115">
        <v>6</v>
      </c>
      <c r="CP521" s="1118">
        <f t="shared" si="733"/>
        <v>5.9523809523809518E-4</v>
      </c>
      <c r="CQ521" s="1118">
        <f t="shared" si="734"/>
        <v>8.1018518518518527E-4</v>
      </c>
      <c r="CR521" s="1118">
        <f t="shared" si="735"/>
        <v>2.9761904761904759E-4</v>
      </c>
      <c r="CS521" s="442">
        <f t="shared" si="736"/>
        <v>0</v>
      </c>
      <c r="CT521" s="432">
        <f t="shared" si="737"/>
        <v>0</v>
      </c>
      <c r="CU521" s="1101">
        <f t="shared" si="738"/>
        <v>80.942221147798207</v>
      </c>
      <c r="CV521" s="1108">
        <f t="shared" si="768"/>
        <v>5.319329394531251</v>
      </c>
      <c r="CW521" s="1097">
        <f t="shared" si="739"/>
        <v>40.471110573899104</v>
      </c>
      <c r="CX521" s="420">
        <f t="shared" si="740"/>
        <v>80.942221147798207</v>
      </c>
      <c r="CY521" s="433">
        <f t="shared" si="741"/>
        <v>40.471110573899104</v>
      </c>
      <c r="CZ521" s="437"/>
      <c r="DA521" s="438"/>
      <c r="DB521" s="439" t="s">
        <v>569</v>
      </c>
      <c r="DC521" s="439"/>
      <c r="DD521" s="443"/>
      <c r="DE521" s="411"/>
      <c r="DF521" s="411"/>
      <c r="DG521" s="1116">
        <f t="shared" si="742"/>
        <v>0</v>
      </c>
      <c r="DH521" s="1116">
        <f t="shared" si="743"/>
        <v>0</v>
      </c>
      <c r="DI521" s="1116">
        <f t="shared" si="744"/>
        <v>0</v>
      </c>
      <c r="DJ521" s="442">
        <f t="shared" si="745"/>
        <v>0</v>
      </c>
      <c r="DK521" s="432">
        <f t="shared" si="746"/>
        <v>0</v>
      </c>
      <c r="DL521" s="424">
        <f t="shared" si="747"/>
        <v>0</v>
      </c>
      <c r="DM521" s="420">
        <f t="shared" si="748"/>
        <v>0</v>
      </c>
      <c r="DN521" s="420">
        <f t="shared" si="749"/>
        <v>0</v>
      </c>
      <c r="DO521" s="420">
        <f t="shared" si="750"/>
        <v>0</v>
      </c>
      <c r="DP521" s="433">
        <f t="shared" si="751"/>
        <v>0</v>
      </c>
      <c r="DQ521" s="1113" t="s">
        <v>551</v>
      </c>
      <c r="DR521" s="1120">
        <f t="shared" si="686"/>
        <v>0.33</v>
      </c>
      <c r="DS521" s="1124">
        <v>5</v>
      </c>
      <c r="DT521" s="1124" t="s">
        <v>2127</v>
      </c>
      <c r="DU521" s="1093" t="s">
        <v>2145</v>
      </c>
      <c r="DV521" s="1098">
        <f>IF($P521="","N/A",IF(P521=-1,INDEX('卡片raw data'!AN:AN,MATCH(D521,'卡片raw data'!$F:$F,)),0)+IF(AND(L521&lt;&gt;"party卡",P521&lt;=2,P521&gt;=0),INDEX('卡片raw data'!AP:AP,MATCH(D521,'卡片raw data'!$F:$F,)),0)+IF(OR(AND(L521="party卡",P521&lt;=1),AND(P521&lt;=4,L521&lt;&gt;"party卡",P521&gt;=3)),INDEX('卡片raw data'!AQ:AQ,MATCH(D521,'卡片raw data'!$F:$F,)),0)+IF(OR(P521=5,AND(L521="party卡",P521&gt;=2)),INDEX('卡片raw data'!AR:AR,MATCH(D521,'卡片raw data'!$F:$F,)),0))</f>
        <v>0.15</v>
      </c>
      <c r="DW521" s="1098">
        <f t="shared" si="752"/>
        <v>0.33</v>
      </c>
      <c r="DX521" s="1098">
        <f t="shared" si="753"/>
        <v>0.33</v>
      </c>
      <c r="DY521" s="1098">
        <f t="shared" si="754"/>
        <v>8.2500000000000004E-2</v>
      </c>
      <c r="DZ521" s="1098">
        <f t="shared" si="755"/>
        <v>7.1362500000000009E-2</v>
      </c>
      <c r="EA521" s="421">
        <f t="shared" si="756"/>
        <v>0</v>
      </c>
      <c r="EB521" s="445">
        <f t="shared" si="757"/>
        <v>0</v>
      </c>
      <c r="EC521" s="424">
        <f t="shared" si="758"/>
        <v>4943.9045382735949</v>
      </c>
      <c r="ED521" s="420">
        <f t="shared" si="759"/>
        <v>0</v>
      </c>
      <c r="EE521" s="433">
        <f t="shared" si="683"/>
        <v>4943.9045382735949</v>
      </c>
      <c r="EF521" s="1115" t="s">
        <v>569</v>
      </c>
      <c r="EG521" s="1120">
        <f t="shared" si="687"/>
        <v>0.33</v>
      </c>
      <c r="EH521" s="450"/>
      <c r="EI521" s="1093"/>
      <c r="EJ521" s="1093"/>
      <c r="EK521" s="420">
        <f>IF($P521="","N/A",IF(P521=-1,INDEX('卡片raw data'!AS:AS,MATCH(D521,'卡片raw data'!$F:$F,)),0)+IF(AND(L521&lt;&gt;"party卡",P521&lt;=2,P521&gt;=0),INDEX('卡片raw data'!AU:AU,MATCH(D521,'卡片raw data'!$F:$F,)),0)+IF(OR(AND(L521="party卡",P521&lt;=1),AND(P521&lt;=4,L521&lt;&gt;"party卡",P521&gt;=3)),INDEX('卡片raw data'!AV:AV,MATCH(D521,'卡片raw data'!$F:$F,)),0)+IF(OR(P521=5,AND(L521="party卡",P521&gt;=2)),INDEX('卡片raw data'!AW:AW,MATCH(D521,'卡片raw data'!$F:$F,)),0))</f>
        <v>0</v>
      </c>
      <c r="EL521" s="1098">
        <f t="shared" si="760"/>
        <v>0.33</v>
      </c>
      <c r="EM521" s="1098">
        <f t="shared" si="761"/>
        <v>0.33</v>
      </c>
      <c r="EN521" s="1097">
        <f t="shared" si="762"/>
        <v>0</v>
      </c>
      <c r="EO521" s="1097">
        <f t="shared" si="763"/>
        <v>0</v>
      </c>
      <c r="EP521" s="421">
        <f t="shared" si="764"/>
        <v>0</v>
      </c>
      <c r="EQ521" s="445">
        <f t="shared" si="765"/>
        <v>0</v>
      </c>
      <c r="ER521" s="424">
        <f t="shared" si="766"/>
        <v>0</v>
      </c>
      <c r="ES521" s="420">
        <f t="shared" si="767"/>
        <v>0</v>
      </c>
      <c r="ET521" s="446">
        <f t="shared" si="684"/>
        <v>0</v>
      </c>
    </row>
    <row r="522" spans="2:150" ht="16.5" customHeight="1">
      <c r="B522" s="448" t="str">
        <f>INDEX('卡片raw data'!B:B,MATCH($D522,'卡片raw data'!$F:$F,))</f>
        <v>夏祭曜</v>
      </c>
      <c r="C522" s="449" t="s">
        <v>4305</v>
      </c>
      <c r="D522" s="408">
        <v>519</v>
      </c>
      <c r="E522" s="477">
        <v>401053004</v>
      </c>
      <c r="F522" s="409" t="str">
        <f>INDEX('卡片raw data'!C:C,MATCH($D522,'卡片raw data'!$F:$F,))</f>
        <v>UR</v>
      </c>
      <c r="G522" s="1094" t="s">
        <v>4308</v>
      </c>
      <c r="H522" s="411">
        <f>IFERROR(INDEX(绊状态确认!C:C,MATCH($G522,绊状态确认!$B:$B,)),"")</f>
        <v>105</v>
      </c>
      <c r="I522" s="450" t="str">
        <f>IFERROR(INDEX(绊状态确认!D:D,MATCH($G522,绊状态确认!$B:$B,)),"")</f>
        <v>水</v>
      </c>
      <c r="J522" s="450" t="str">
        <f>IFERROR(INDEX(绊状态确认!E:E,MATCH($G522,绊状态确认!$B:$B,)),"")</f>
        <v>2年级</v>
      </c>
      <c r="K522" s="451" t="str">
        <f>IFERROR(INDEX(绊状态确认!F:F,MATCH($G522,绊状态确认!$B:$B,)),"")</f>
        <v>CYaRon!</v>
      </c>
      <c r="L522" s="414" t="str">
        <f>INDEX('卡片raw data'!E:E,MATCH($D522,'卡片raw data'!$F:$F,))</f>
        <v>活动卡</v>
      </c>
      <c r="M522" s="478">
        <v>44427</v>
      </c>
      <c r="N522" s="479">
        <v>46</v>
      </c>
      <c r="O522" s="410" t="str">
        <f>INDEX('卡片raw data'!D:D,MATCH($D522,'卡片raw data'!$F:$F,))</f>
        <v>sk</v>
      </c>
      <c r="P522" s="1126">
        <v>5</v>
      </c>
      <c r="Q522" s="418">
        <f t="shared" si="688"/>
        <v>26166.066936169427</v>
      </c>
      <c r="R522" s="419">
        <f t="shared" si="689"/>
        <v>0.30399999999999999</v>
      </c>
      <c r="S522" s="420">
        <f t="shared" si="690"/>
        <v>17757.409662619611</v>
      </c>
      <c r="T522" s="421">
        <f t="shared" si="691"/>
        <v>0.88700000000000001</v>
      </c>
      <c r="U522" s="422">
        <f t="shared" si="692"/>
        <v>1013.6143202221917</v>
      </c>
      <c r="V522" s="423">
        <f t="shared" si="693"/>
        <v>78158.200852012873</v>
      </c>
      <c r="W522" s="424">
        <f t="shared" si="694"/>
        <v>5559.5231674553997</v>
      </c>
      <c r="X522" s="419">
        <f t="shared" si="695"/>
        <v>6.4000000000000001E-2</v>
      </c>
      <c r="Y522" s="420">
        <f t="shared" si="696"/>
        <v>4346.3522900676344</v>
      </c>
      <c r="Z522" s="425">
        <f t="shared" si="697"/>
        <v>52.65785155799999</v>
      </c>
      <c r="AA522" s="426">
        <f t="shared" si="698"/>
        <v>9905.8754575230341</v>
      </c>
      <c r="AB522" s="424">
        <f t="shared" si="699"/>
        <v>6611.3248477847992</v>
      </c>
      <c r="AC522" s="427">
        <f t="shared" si="700"/>
        <v>7.5999999999999998E-2</v>
      </c>
      <c r="AD522" s="428">
        <f t="shared" si="701"/>
        <v>2.1769318181818181E-2</v>
      </c>
      <c r="AE522" s="516">
        <f t="shared" si="702"/>
        <v>11.953757704745847</v>
      </c>
      <c r="AF522" s="1130">
        <f t="shared" si="703"/>
        <v>11647.957195929595</v>
      </c>
      <c r="AG522" s="420">
        <f t="shared" si="704"/>
        <v>89125.06662156801</v>
      </c>
      <c r="AH522" s="420">
        <f t="shared" si="705"/>
        <v>7.6515619968721182</v>
      </c>
      <c r="AI522" s="1097">
        <f t="shared" si="706"/>
        <v>114293.02472059011</v>
      </c>
      <c r="AJ522" s="420">
        <f t="shared" si="707"/>
        <v>78158.200852012873</v>
      </c>
      <c r="AK522" s="518">
        <f t="shared" si="708"/>
        <v>36134.823868577238</v>
      </c>
      <c r="AL522" s="1106">
        <f>IF($P522="","N/A",(IF($P522=-1,INDEX('卡片raw data'!S:S,MATCH($D522,'卡片raw data'!$F:$F,)),0)+IF($P522=0,INDEX('卡片raw data'!V:V,MATCH($D522,'卡片raw data'!$F:$F,)),0)+IF($P522=1,INDEX('卡片raw data'!Y:Y,MATCH($D522,'卡片raw data'!$F:$F,)),0)+IF($P522=2,INDEX('卡片raw data'!AB:AB,MATCH($D522,'卡片raw data'!$F:$F,)),0)+IF($P522=3,INDEX('卡片raw data'!AE:AE,MATCH($D522,'卡片raw data'!$F:$F,)),0)+IF($P522=4,INDEX('卡片raw data'!AH:AH,MATCH($D522,'卡片raw data'!$F:$F,)),0)+IF($P522=5,INDEX('卡片raw data'!AK:AK,MATCH($D522,'卡片raw data'!$F:$F,)),0)+INDEX('卡片raw data'!S:S,MATCH($D522,'卡片raw data'!$F:$F,))*(IF($F522="UR",0.04,0.033))*(IF($F522="UR",INDEX(绊状态确认!$S:$S,MATCH($G522,绊状态确认!$B:$B,))/2-40)+IF($F522="SR",INDEX(绊状态确认!$R:$R,MATCH($G522,绊状态确认!$B:$B,))/4-15))+IF($F522="R",INDEX(绊状态确认!$Q:$Q,MATCH($G522,绊状态确认!$B:$B,))/6-40/6)))*(INDEX(绊状态确认!$H:$H,MATCH($G522,绊状态确认!$B:$B,))+INDEX(绊状态确认!J:J,MATCH($G522,绊状态确认!$B:$B,)))</f>
        <v>6061.0575840000001</v>
      </c>
      <c r="AM522" s="1106">
        <f>IF($P522="","N/A",(IF($P522=-1,INDEX('卡片raw data'!T:T,MATCH($D522,'卡片raw data'!$F:$F,)),0)+IF($P522=0,INDEX('卡片raw data'!W:W,MATCH($D522,'卡片raw data'!$F:$F,)),0)+IF($P522=1,INDEX('卡片raw data'!Z:Z,MATCH($D522,'卡片raw data'!$F:$F,)),0)+IF($P522=2,INDEX('卡片raw data'!AC:AC,MATCH($D522,'卡片raw data'!$F:$F,)),0)+IF($P522=3,INDEX('卡片raw data'!AF:AF,MATCH($D522,'卡片raw data'!$F:$F,)),0)+IF($P522=4,INDEX('卡片raw data'!AI:AI,MATCH($D522,'卡片raw data'!$F:$F,)),0)+IF($P522=5,INDEX('卡片raw data'!AL:AL,MATCH($D522,'卡片raw data'!$F:$F,)),0)+INDEX('卡片raw data'!T:T,MATCH($D522,'卡片raw data'!$F:$F,))*(IF($F522="UR",0.04,0.033))*(IF($F522="UR",INDEX(绊状态确认!$S:$S,MATCH($G522,绊状态确认!$B:$B,))/2-40)+IF($F522="SR",INDEX(绊状态确认!$R:$R,MATCH($G522,绊状态确认!$B:$B,))/4-15))+IF($F522="R",INDEX(绊状态确认!$Q:$Q,MATCH($G522,绊状态确认!$B:$B,))/6-40/6)))*(INDEX(绊状态确认!$H:$H,MATCH($G522,绊状态确认!$B:$B,))+INDEX(绊状态确认!K:K,MATCH($G522,绊状态确认!$B:$B,)))</f>
        <v>11167.357343999998</v>
      </c>
      <c r="AN522" s="1106">
        <f>IF($P522="","N/A",(IF($P522=-1,INDEX('卡片raw data'!U:U,MATCH($D522,'卡片raw data'!$F:$F,)),0)+IF($P522=0,INDEX('卡片raw data'!X:X,MATCH($D522,'卡片raw data'!$F:$F,)),0)+IF($P522=1,INDEX('卡片raw data'!AA:AA,MATCH($D522,'卡片raw data'!$F:$F,)),0)+IF($P522=2,INDEX('卡片raw data'!AD:AD,MATCH($D522,'卡片raw data'!$F:$F,)),0)+IF($P522=3,INDEX('卡片raw data'!AG:AG,MATCH($D522,'卡片raw data'!$F:$F,)),0)+IF($P522=4,INDEX('卡片raw data'!AJ:AJ,MATCH($D522,'卡片raw data'!$F:$F,)),0)+IF($P522=5,INDEX('卡片raw data'!AM:AM,MATCH($D522,'卡片raw data'!$F:$F,)),0)+INDEX('卡片raw data'!U:U,MATCH($D522,'卡片raw data'!$F:$F,))*(IF($F522="UR",0.04,0.033))*(IF($F522="UR",INDEX(绊状态确认!$S:$S,MATCH($G522,绊状态确认!$B:$B,))/2-40)+IF($F522="SR",INDEX(绊状态确认!$R:$R,MATCH($G522,绊状态确认!$B:$B,))/4-15))+IF($F522="R",INDEX(绊状态确认!$Q:$Q,MATCH($G522,绊状态确认!$B:$B,))/6-40/6)))*(INDEX(绊状态确认!$H:$H,MATCH($G522,绊状态确认!$B:$B,))+INDEX(绊状态确认!L:L,MATCH($G522,绊状态确认!$B:$B,)))</f>
        <v>14678.196959999997</v>
      </c>
      <c r="AO522" s="1107">
        <f t="shared" si="709"/>
        <v>1</v>
      </c>
      <c r="AP522" s="1131">
        <f>1+(INDEX(绊状态确认!$T:$T,MATCH($G522,绊状态确认!$B:$B,))+0.2)*$AO522</f>
        <v>1.3</v>
      </c>
      <c r="AQ522" s="1108">
        <f t="shared" si="710"/>
        <v>19160.276158000001</v>
      </c>
      <c r="AR522" s="1097">
        <f>(AM522*(1+$EX$9)+$EX$35)*(1+(INDEX(绊状态确认!$T:$T,MATCH($G522,绊状态确认!$B:$B,))+0.2)*AO522)*IF(J522=$FF$17,1+$FE$17,1)*IF(I522=$FF$14,1+$FE$14,1)</f>
        <v>17947.442774560001</v>
      </c>
      <c r="AS522" s="1097">
        <f>(AN522*(1+$EX$10)+$EX$36)*(1+(INDEX(绊状态确认!$T:$T,MATCH($G522,绊状态确认!$B:$B,))+0.2)*AO522)*IF(J522=$FF$17,1+$FE$17,1)*IF(I522=$FF$14,1+$FE$14,1)</f>
        <v>25999.904455199994</v>
      </c>
      <c r="AT522" s="1093">
        <f>IF(AND(INDEX('卡片raw data'!AK:AK,MATCH($D522,'卡片raw data'!$F:$F,))&lt;INDEX('卡片raw data'!AM:AM,MATCH($D522,'卡片raw data'!$F:$F,)),INDEX('卡片raw data'!AL:AL,MATCH($D522,'卡片raw data'!$F:$F,))&lt;INDEX('卡片raw data'!AM:AM,MATCH($D522,'卡片raw data'!$F:$F,))),1,0)</f>
        <v>1</v>
      </c>
      <c r="AU522" s="1098">
        <f>MIN(AT522*0.15+AS522*0.00003+INDEX(绊状态确认!M:M,MATCH($G522,绊状态确认!$B:$B,)),1)</f>
        <v>0.95999713365599992</v>
      </c>
      <c r="AV522" s="1109">
        <f>(INDEX(绊状态确认!$N:$N,MATCH($G522,绊状态确认!$B:$B,))+1.5)*$EW$21</f>
        <v>2.6599999999999997</v>
      </c>
      <c r="AW522" s="1101">
        <f t="shared" si="711"/>
        <v>25808.414723354566</v>
      </c>
      <c r="AX522" s="1097">
        <f t="shared" si="712"/>
        <v>1557.1028262196908</v>
      </c>
      <c r="AY522" s="1110">
        <f t="shared" si="713"/>
        <v>27365.517549574259</v>
      </c>
      <c r="AZ522" s="429">
        <f t="shared" si="714"/>
        <v>14419.0622888</v>
      </c>
      <c r="BA522" s="431">
        <f t="shared" si="715"/>
        <v>17302.874746559999</v>
      </c>
      <c r="BB522" s="1097">
        <f>(AM522*(1+$FB$9)+$FB$35)*(1+(INDEX(绊状态确认!$T:$T,MATCH($G522,绊状态确认!$B:$B,))+0.2)*AO522)*IF(J522=$FF$17,1+$FE$17,1)*IF(I522=$FF$14,1+$FE$14,1)*(1+$FE$15)</f>
        <v>17947.442774560001</v>
      </c>
      <c r="BC522" s="1097">
        <f>(AN522*(1+$FB$10)+$FB$36)*(1+(INDEX(绊状态确认!$T:$T,MATCH($G522,绊状态确认!$B:$B,))+0.2)*AO522)*IF(J522=$FF$17,1+$FE$17,1)*IF(I522=$FF$14,1+$FE$14,1)*(1+$FE$15)</f>
        <v>25999.904455199994</v>
      </c>
      <c r="BD522" s="1104">
        <f>MIN(AT522*0.15+BC522*0.00003+INDEX(绊状态确认!M:M,MATCH($G522,绊状态确认!$B:$B,)),1)</f>
        <v>0.95999713365599992</v>
      </c>
      <c r="BE522" s="432">
        <f>(INDEX(绊状态确认!$N:$N,MATCH($G522,绊状态确认!$B:$B,))+1.5)</f>
        <v>1.9</v>
      </c>
      <c r="BF522" s="1139">
        <f t="array" ref="BF522">SUMPRODUCT(IF(AZ522*AP522*$FI$16:$FI$23*$FA$22&gt;=$FI$24,$FI$24,AZ522*AP522*$FI$16:$FI$23*$FA$22),$FJ$16:$FJ$23)</f>
        <v>28679.514892423202</v>
      </c>
      <c r="BG522" s="1125">
        <f t="array" ref="BG522">SUMPRODUCT(IF(BE522*AZ522*AP522*$FI$16:$FI$23*$FA$22&gt;=$FI$24,$FI$24,BE522*AZ522*AP522*$FI$16:$FI$23*$FA$22),$FJ$16:$FJ$23)</f>
        <v>53258.933014802642</v>
      </c>
      <c r="BH522" s="1110">
        <f t="shared" si="716"/>
        <v>17425.228612279934</v>
      </c>
      <c r="BI522" s="1111">
        <f>IF(O522="vo",$EW$26/$EW$24*0.05,0)+IF(O522="sk",-$EW$26/$EW$24*(0.05-INDEX(绊状态确认!W:W,MATCH($G522,绊状态确认!$B:$B,)))+0.05*$EW$28,0)+IF(O522="sp",0.05*$EW$32*$EW$30*(1-$EW$33)-(0.05-INDEX(绊状态确认!V:V,MATCH($G522,绊状态确认!$B:$B,)))*$EW$28,0)+IF(O522="gd",-(0.05-INDEX(绊状态确认!X:X,MATCH($G522,绊状态确认!$B:$B,)))*$EW$32*$EW$30*(1-$EW$33),0)</f>
        <v>-6253.6726349699375</v>
      </c>
      <c r="BJ522" s="420">
        <f>IF(O522="vo",0.05*(1-$FI$26)*$FA$24,0)+IF(O522="sk",-(0.05-INDEX(绊状态确认!W:W,MATCH($G522,绊状态确认!$B:$B,)))*(1-$FI$26)*$FA$24+0.05*$FA$26,0)+IF(O522="sp",0.05*$FA$32*$FA$27*(1-$FA$33)/$FA$30+0.05*$FA$29/$FA$69*$FA$27*(1-$FA$33)-(0.05-INDEX(绊状态确认!V:V,MATCH($G522,绊状态确认!$B:$B,)))*$FA$26,0)+IF(O522="gd",-(0.05-INDEX(绊状态确认!X:X,MATCH($G522,绊状态确认!$B:$B,)))*$FA$32*$FA$27*(1-$FA$33)/$FA$30-(0.05-INDEX(绊状态确认!X:X,MATCH($G522,绊状态确认!$B:$B,)))*$FA$29/$FA$69*$FA$27*(1-$FA$33),0)</f>
        <v>20.459096812499922</v>
      </c>
      <c r="BK522" s="1110">
        <f>IF(O522="vo",$EW$26/$EW$24*0.05+$EW$26*(-HP($EW$62,$EW$65,$EW$64)+HP($EW$62,$EW$65,(1.05-INDEX(绊状态确认!U:U,MATCH($G522,绊状态确认!$B:$B,)))*$EW$64)),0)+IF(O522="sk",-$EW$26/$EW$24*(0.05-INDEX(绊状态确认!W:W,MATCH($G522,绊状态确认!$B:$B,)))+0.05*$EW$29,0)+IF(O522="sp",0.05*$EW$32*$EW$30*(1-$EW$33)-(0.05-INDEX(绊状态确认!V:V,MATCH($G522,绊状态确认!$B:$B,)))*$EW$29,0)+IF(O522="gd",-(0.05-INDEX(绊状态确认!X:X,MATCH($G522,绊状态确认!$B:$B,)))*$EW$32*$EW$30*(1-$EW$33)+$EW$26*(-HP($EW$62,$EW$65,$EW$64)+HP($EW$62,$EW$65,0.95*$EW$64)),0)</f>
        <v>-4253.6726349699375</v>
      </c>
      <c r="BL522" s="1111">
        <f t="shared" si="717"/>
        <v>0</v>
      </c>
      <c r="BM522" s="1110">
        <f t="shared" si="718"/>
        <v>0</v>
      </c>
      <c r="BN522" s="1113">
        <f t="shared" si="719"/>
        <v>3</v>
      </c>
      <c r="BO522" s="1108">
        <f t="shared" si="720"/>
        <v>4507.7214871259994</v>
      </c>
      <c r="BP522" s="1127">
        <f t="shared" si="721"/>
        <v>221.34103209030098</v>
      </c>
      <c r="BQ522" s="1113" t="s">
        <v>132</v>
      </c>
      <c r="BR522" s="1124" t="s">
        <v>171</v>
      </c>
      <c r="BS522" s="421">
        <f>IF($P522="","N/A",IF($P522=-1,INDEX('卡片raw data'!AX:AX,MATCH($D522,'卡片raw data'!$F:$F,)),0)+IF($L522="party卡",IF($P522=5,INDEX('卡片raw data'!BD:BD,MATCH($D522,'卡片raw data'!$F:$F,)),IF($P522&gt;=3,INDEX('卡片raw data'!BC:BC,MATCH($D522,'卡片raw data'!$F:$F,)),INDEX('卡片raw data'!BB:BB,MATCH($D522,'卡片raw data'!$F:$F,)))),IF(OR(AND($F522="UR",$P522=0),AND($F522="SR",$P522&gt;=0,$P522&lt;=2),AND($F522="R",$P522&gt;=0,$P522&lt;4)),INDEX('卡片raw data'!AZ:AZ,MATCH($D522,'卡片raw data'!$F:$F,)),0)+IF(OR(AND($F522="UR",$P522&gt;=1,$P522&lt;=4),AND($F522="SR",$P522&lt;=4,$P522&gt;=3),AND($F522="R",$P522=4)),INDEX('卡片raw data'!BA:BA,MATCH($D522,'卡片raw data'!$F:$F,)),0)+IF($P522=5,INDEX('卡片raw data'!BB:BB,MATCH($D522,'卡片raw data'!$F:$F,)),0)))</f>
        <v>4.2000000000000003E-2</v>
      </c>
      <c r="BT522" s="424">
        <f t="shared" si="722"/>
        <v>2103.6033606587998</v>
      </c>
      <c r="BU522" s="420">
        <f t="shared" si="723"/>
        <v>90.380921436872924</v>
      </c>
      <c r="BV522" s="420">
        <f t="shared" si="724"/>
        <v>1051.8016803293999</v>
      </c>
      <c r="BW522" s="436">
        <f t="shared" si="725"/>
        <v>0</v>
      </c>
      <c r="BX522" s="423">
        <f t="shared" si="726"/>
        <v>2103.6033606587998</v>
      </c>
      <c r="BY522" s="433">
        <f t="shared" si="727"/>
        <v>1051.8016803293999</v>
      </c>
      <c r="BZ522" s="1113" t="s">
        <v>569</v>
      </c>
      <c r="CA522" s="450"/>
      <c r="CB522" s="421">
        <f>IF($P522="","N/A",IF($P522=-1,INDEX('卡片raw data'!BE:BE,MATCH($D522,'卡片raw data'!$F:$F,)),0)+IF($L522="party卡",IF($P522=5,INDEX('卡片raw data'!BK:BK,MATCH($D522,'卡片raw data'!$F:$F,)),IF($P522&gt;=3,INDEX('卡片raw data'!BJ:BJ,MATCH($D522,'卡片raw data'!$F:$F,)),INDEX('卡片raw data'!BI:BI,MATCH($D522,'卡片raw data'!$F:$F,)))),IF(OR(AND($F522="UR",$P522=0),AND($F522="SR",$P522&gt;=0,$P522&lt;=2),AND($F522="R",$P522&gt;=0,$P522&lt;4)),INDEX('卡片raw data'!BG:BG,MATCH($D522,'卡片raw data'!$F:$F,)),0)+IF(OR(AND($F522="UR",$P522&gt;=1,$P522&lt;=4),AND($F522="SR",$P522&lt;=4,$P522&gt;=3),AND($F522="R",$P522=4)),INDEX('卡片raw data'!BH:BH,MATCH($D522,'卡片raw data'!$F:$F,)),0)+IF($P522=5,INDEX('卡片raw data'!BI:BI,MATCH($D522,'卡片raw data'!$F:$F,)),0)))</f>
        <v>0</v>
      </c>
      <c r="CC522" s="424">
        <f t="shared" si="728"/>
        <v>0</v>
      </c>
      <c r="CD522" s="420">
        <f>IF(BZ522="ap",CB522*(1-$FI$26)*$FB$5/$FB$11*(+IF(CA522="全员",$FA$24,0)+IF(CA522="同作战",$FA$24,0)+IF(CA522="仲间",$FA$24*2/3,0)+IF(CA522="同属性",$FA$24*$FA$37/3,0)+IF(CA522="同年级",$FA$24*$FA$40/3,0)+IF(CA522="同学校",$FA$24*$FA$43/3,0)+IF(CA522="同小队",$FA$24*$FA$46/3,0)+IF(CA522="同type",$FA$24*INDEX($FB$49:$FB$52,MATCH(X522,$FA$49:$FA$52,))/3,0)+IF(CA522="自身",#REF!/3,0)),0)+IF(BZ522="te",CB522*(1-$FI$27)*($FA$20-1)*$FB$7/$FB$13*(+IF(CA522="全员",$FA$19*$FA$24/(1+($FA$20-1)*$FA$19),0)+IF(CA522="同作战",$FA$19*$FA$24/(1+($FA$20-1)*$FA$19),0)+IF(CA522="仲间",$FA$19*$FA$24*2/3/(1+($FA$20-1)*$FA$19),0)+IF(CA522="同属性",$FA$19*$FA$24*$FA$37/3/(1+($FA$20-1)*$FA$19),0)+IF(CA522="同年级",$FA$19*$FA$24*$FA$40/3/(1+($FA$20-1)*$FA$19),0)+IF(CA522="同学校",$FA$19*$FA$24*$FA$43/3/(1+($FA$20-1)*$FA$19),0)+IF(CA522="同小队",$FA$19*$FA$24*$FA$46/3/(1+($FA$20-1)*$FA$19),0)+IF(CA522="同type",$FA$19*$FA$24*INDEX($FB$49:$FB$52,MATCH(X522,$FA$49:$FA$52,))/3/(1+($FA$20-1)*$FA$19),0)+IF(CA522="自身",$FA$19*#REF!/3/(1+(BH522-1)*$BD522),0)),0)</f>
        <v>0</v>
      </c>
      <c r="CE522" s="420">
        <f t="shared" si="729"/>
        <v>0</v>
      </c>
      <c r="CF522" s="436">
        <f t="shared" si="730"/>
        <v>0</v>
      </c>
      <c r="CG522" s="423">
        <f t="shared" si="731"/>
        <v>0</v>
      </c>
      <c r="CH522" s="433">
        <f t="shared" si="732"/>
        <v>0</v>
      </c>
      <c r="CI522" s="437" t="s">
        <v>164</v>
      </c>
      <c r="CJ522" s="438">
        <v>0.3</v>
      </c>
      <c r="CK522" s="439" t="s">
        <v>4309</v>
      </c>
      <c r="CL522" s="439" t="s">
        <v>4310</v>
      </c>
      <c r="CM522" s="1119">
        <v>0.2</v>
      </c>
      <c r="CN522" s="1115"/>
      <c r="CO522" s="1115"/>
      <c r="CP522" s="1116">
        <f t="shared" si="733"/>
        <v>33.428448585257129</v>
      </c>
      <c r="CQ522" s="1116">
        <f t="shared" si="734"/>
        <v>51.999808910399985</v>
      </c>
      <c r="CR522" s="1117">
        <f t="shared" si="735"/>
        <v>33.428448585257129</v>
      </c>
      <c r="CS522" s="1118">
        <f t="shared" si="736"/>
        <v>0</v>
      </c>
      <c r="CT522" s="1109">
        <f t="shared" si="737"/>
        <v>0</v>
      </c>
      <c r="CU522" s="1101">
        <f t="shared" si="738"/>
        <v>0</v>
      </c>
      <c r="CV522" s="1108">
        <f t="shared" si="768"/>
        <v>0</v>
      </c>
      <c r="CW522" s="1097">
        <f t="shared" si="739"/>
        <v>0</v>
      </c>
      <c r="CX522" s="1097">
        <f t="shared" si="740"/>
        <v>0</v>
      </c>
      <c r="CY522" s="1110">
        <f t="shared" si="741"/>
        <v>2789.2494638479438</v>
      </c>
      <c r="CZ522" s="437"/>
      <c r="DA522" s="438"/>
      <c r="DB522" s="439" t="s">
        <v>569</v>
      </c>
      <c r="DC522" s="439"/>
      <c r="DD522" s="443"/>
      <c r="DE522" s="411"/>
      <c r="DF522" s="411"/>
      <c r="DG522" s="1116">
        <f t="shared" si="742"/>
        <v>0</v>
      </c>
      <c r="DH522" s="1116">
        <f t="shared" si="743"/>
        <v>0</v>
      </c>
      <c r="DI522" s="1116">
        <f t="shared" si="744"/>
        <v>0</v>
      </c>
      <c r="DJ522" s="442">
        <f t="shared" si="745"/>
        <v>0</v>
      </c>
      <c r="DK522" s="432">
        <f t="shared" si="746"/>
        <v>0</v>
      </c>
      <c r="DL522" s="424">
        <f t="shared" si="747"/>
        <v>0</v>
      </c>
      <c r="DM522" s="420">
        <f t="shared" si="748"/>
        <v>0</v>
      </c>
      <c r="DN522" s="420">
        <f t="shared" si="749"/>
        <v>0</v>
      </c>
      <c r="DO522" s="420">
        <f t="shared" si="750"/>
        <v>0</v>
      </c>
      <c r="DP522" s="433">
        <f t="shared" si="751"/>
        <v>0</v>
      </c>
      <c r="DQ522" s="437" t="s">
        <v>635</v>
      </c>
      <c r="DR522" s="1120">
        <f t="shared" si="686"/>
        <v>0.33</v>
      </c>
      <c r="DS522" s="1124"/>
      <c r="DT522" s="1093" t="s">
        <v>134</v>
      </c>
      <c r="DU522" s="1124"/>
      <c r="DV522" s="1098">
        <f>IF($P522="","N/A",IF(P522=-1,INDEX('卡片raw data'!AN:AN,MATCH(D522,'卡片raw data'!$F:$F,)),0)+IF(AND(L522&lt;&gt;"party卡",P522&lt;=2,P522&gt;=0),INDEX('卡片raw data'!AP:AP,MATCH(D522,'卡片raw data'!$F:$F,)),0)+IF(OR(AND(L522="party卡",P522&lt;=1),AND(P522&lt;=4,L522&lt;&gt;"party卡",P522&gt;=3)),INDEX('卡片raw data'!AQ:AQ,MATCH(D522,'卡片raw data'!$F:$F,)),0)+IF(OR(P522=5,AND(L522="party卡",P522&gt;=2)),INDEX('卡片raw data'!AR:AR,MATCH(D522,'卡片raw data'!$F:$F,)),0))</f>
        <v>0.32</v>
      </c>
      <c r="DW522" s="1098">
        <f t="shared" si="752"/>
        <v>0.33</v>
      </c>
      <c r="DX522" s="1098">
        <f t="shared" si="753"/>
        <v>0.33</v>
      </c>
      <c r="DY522" s="1097">
        <f t="shared" si="754"/>
        <v>915.19663682303974</v>
      </c>
      <c r="DZ522" s="1097">
        <f t="shared" si="755"/>
        <v>791.64509085192935</v>
      </c>
      <c r="EA522" s="421">
        <f t="shared" si="756"/>
        <v>0</v>
      </c>
      <c r="EB522" s="445">
        <f t="shared" si="757"/>
        <v>0</v>
      </c>
      <c r="EC522" s="424">
        <f t="shared" si="758"/>
        <v>0</v>
      </c>
      <c r="ED522" s="420">
        <f t="shared" si="759"/>
        <v>0</v>
      </c>
      <c r="EE522" s="433">
        <f t="shared" si="683"/>
        <v>48435.03108962375</v>
      </c>
      <c r="EF522" s="1115" t="s">
        <v>569</v>
      </c>
      <c r="EG522" s="1120">
        <f t="shared" si="687"/>
        <v>0.33</v>
      </c>
      <c r="EH522" s="450"/>
      <c r="EI522" s="1093"/>
      <c r="EJ522" s="1093"/>
      <c r="EK522" s="420">
        <f>IF($P522="","N/A",IF(P522=-1,INDEX('卡片raw data'!AS:AS,MATCH(D522,'卡片raw data'!$F:$F,)),0)+IF(AND(L522&lt;&gt;"party卡",P522&lt;=2,P522&gt;=0),INDEX('卡片raw data'!AU:AU,MATCH(D522,'卡片raw data'!$F:$F,)),0)+IF(OR(AND(L522="party卡",P522&lt;=1),AND(P522&lt;=4,L522&lt;&gt;"party卡",P522&gt;=3)),INDEX('卡片raw data'!AV:AV,MATCH(D522,'卡片raw data'!$F:$F,)),0)+IF(OR(P522=5,AND(L522="party卡",P522&gt;=2)),INDEX('卡片raw data'!AW:AW,MATCH(D522,'卡片raw data'!$F:$F,)),0))</f>
        <v>0</v>
      </c>
      <c r="EL522" s="1098">
        <f t="shared" si="760"/>
        <v>0.33</v>
      </c>
      <c r="EM522" s="1098">
        <f t="shared" si="761"/>
        <v>0.33</v>
      </c>
      <c r="EN522" s="1097">
        <f t="shared" si="762"/>
        <v>0</v>
      </c>
      <c r="EO522" s="1097">
        <f t="shared" si="763"/>
        <v>0</v>
      </c>
      <c r="EP522" s="421">
        <f t="shared" si="764"/>
        <v>0</v>
      </c>
      <c r="EQ522" s="445">
        <f t="shared" si="765"/>
        <v>0</v>
      </c>
      <c r="ER522" s="424">
        <f t="shared" si="766"/>
        <v>0</v>
      </c>
      <c r="ES522" s="420">
        <f t="shared" si="767"/>
        <v>0</v>
      </c>
      <c r="ET522" s="446">
        <f t="shared" si="684"/>
        <v>0</v>
      </c>
    </row>
    <row r="523" spans="2:150" ht="16.5" customHeight="1">
      <c r="B523" s="448" t="str">
        <f>INDEX('卡片raw data'!B:B,MATCH($D523,'卡片raw data'!$F:$F,))</f>
        <v>aa海</v>
      </c>
      <c r="C523" s="449" t="s">
        <v>4300</v>
      </c>
      <c r="D523" s="408">
        <v>520</v>
      </c>
      <c r="E523" s="477">
        <v>400042004</v>
      </c>
      <c r="F523" s="409" t="str">
        <f>INDEX('卡片raw data'!C:C,MATCH($D523,'卡片raw data'!$F:$F,))</f>
        <v>SR</v>
      </c>
      <c r="G523" s="1094" t="s">
        <v>4312</v>
      </c>
      <c r="H523" s="411">
        <f>IFERROR(INDEX(绊状态确认!C:C,MATCH($G523,绊状态确认!$B:$B,)),"")</f>
        <v>4</v>
      </c>
      <c r="I523" s="450" t="str">
        <f>IFERROR(INDEX(绊状态确认!D:D,MATCH($G523,绊状态确认!$B:$B,)),"")</f>
        <v>缪</v>
      </c>
      <c r="J523" s="450" t="str">
        <f>IFERROR(INDEX(绊状态确认!E:E,MATCH($G523,绊状态确认!$B:$B,)),"")</f>
        <v>2年级</v>
      </c>
      <c r="K523" s="451" t="str">
        <f>IFERROR(INDEX(绊状态确认!F:F,MATCH($G523,绊状态确认!$B:$B,)),"")</f>
        <v>lilywhite</v>
      </c>
      <c r="L523" s="414" t="str">
        <f>INDEX('卡片raw data'!E:E,MATCH($D523,'卡片raw data'!$F:$F,))</f>
        <v>活动卡</v>
      </c>
      <c r="M523" s="478">
        <v>44427</v>
      </c>
      <c r="N523" s="479">
        <v>46</v>
      </c>
      <c r="O523" s="410" t="str">
        <f>INDEX('卡片raw data'!D:D,MATCH($D523,'卡片raw data'!$F:$F,))</f>
        <v>gd</v>
      </c>
      <c r="P523" s="1126">
        <v>5</v>
      </c>
      <c r="Q523" s="418">
        <f t="shared" si="688"/>
        <v>18471.178140300981</v>
      </c>
      <c r="R523" s="419">
        <f t="shared" si="689"/>
        <v>0.214</v>
      </c>
      <c r="S523" s="420">
        <f t="shared" si="690"/>
        <v>10750.966709139477</v>
      </c>
      <c r="T523" s="421">
        <f t="shared" si="691"/>
        <v>0.53700000000000003</v>
      </c>
      <c r="U523" s="422">
        <f t="shared" si="692"/>
        <v>73.653483822838567</v>
      </c>
      <c r="V523" s="423">
        <f t="shared" si="693"/>
        <v>25683.908477739551</v>
      </c>
      <c r="W523" s="424">
        <f t="shared" si="694"/>
        <v>4507.7214871259994</v>
      </c>
      <c r="X523" s="419">
        <f t="shared" si="695"/>
        <v>5.1999999999999998E-2</v>
      </c>
      <c r="Y523" s="420">
        <f t="shared" si="696"/>
        <v>1292.530330434708</v>
      </c>
      <c r="Z523" s="425">
        <f t="shared" si="697"/>
        <v>16.15348382283857</v>
      </c>
      <c r="AA523" s="426">
        <f t="shared" si="698"/>
        <v>5800.2518175607074</v>
      </c>
      <c r="AB523" s="424">
        <f t="shared" si="699"/>
        <v>4507.7214871259994</v>
      </c>
      <c r="AC523" s="427">
        <f t="shared" si="700"/>
        <v>5.1999999999999998E-2</v>
      </c>
      <c r="AD523" s="428">
        <f t="shared" si="701"/>
        <v>-3.8207812500000026E-3</v>
      </c>
      <c r="AE523" s="516">
        <f t="shared" si="702"/>
        <v>-18.525362318840578</v>
      </c>
      <c r="AF523" s="1130">
        <f t="shared" si="703"/>
        <v>0</v>
      </c>
      <c r="AG523" s="420">
        <f t="shared" si="704"/>
        <v>0</v>
      </c>
      <c r="AH523" s="420">
        <f t="shared" si="705"/>
        <v>0</v>
      </c>
      <c r="AI523" s="1097">
        <f t="shared" si="706"/>
        <v>0</v>
      </c>
      <c r="AJ523" s="420">
        <f t="shared" si="707"/>
        <v>0</v>
      </c>
      <c r="AK523" s="518">
        <f t="shared" si="708"/>
        <v>0</v>
      </c>
      <c r="AL523" s="1106">
        <f>IF($P523="","N/A",(IF($P523=-1,INDEX('卡片raw data'!S:S,MATCH($D523,'卡片raw data'!$F:$F,)),0)+IF($P523=0,INDEX('卡片raw data'!V:V,MATCH($D523,'卡片raw data'!$F:$F,)),0)+IF($P523=1,INDEX('卡片raw data'!Y:Y,MATCH($D523,'卡片raw data'!$F:$F,)),0)+IF($P523=2,INDEX('卡片raw data'!AB:AB,MATCH($D523,'卡片raw data'!$F:$F,)),0)+IF($P523=3,INDEX('卡片raw data'!AE:AE,MATCH($D523,'卡片raw data'!$F:$F,)),0)+IF($P523=4,INDEX('卡片raw data'!AH:AH,MATCH($D523,'卡片raw data'!$F:$F,)),0)+IF($P523=5,INDEX('卡片raw data'!AK:AK,MATCH($D523,'卡片raw data'!$F:$F,)),0)+INDEX('卡片raw data'!S:S,MATCH($D523,'卡片raw data'!$F:$F,))*(IF($F523="UR",0.04,0.033))*(IF($F523="UR",INDEX(绊状态确认!$S:$S,MATCH($G523,绊状态确认!$B:$B,))/2-40)+IF($F523="SR",INDEX(绊状态确认!$R:$R,MATCH($G523,绊状态确认!$B:$B,))/4-15))+IF($F523="R",INDEX(绊状态确认!$Q:$Q,MATCH($G523,绊状态确认!$B:$B,))/6-40/6)))*(INDEX(绊状态确认!$H:$H,MATCH($G523,绊状态确认!$B:$B,))+INDEX(绊状态确认!J:J,MATCH($G523,绊状态确认!$B:$B,)))</f>
        <v>5489.9529455999991</v>
      </c>
      <c r="AM523" s="1106">
        <f>IF($P523="","N/A",(IF($P523=-1,INDEX('卡片raw data'!T:T,MATCH($D523,'卡片raw data'!$F:$F,)),0)+IF($P523=0,INDEX('卡片raw data'!W:W,MATCH($D523,'卡片raw data'!$F:$F,)),0)+IF($P523=1,INDEX('卡片raw data'!Z:Z,MATCH($D523,'卡片raw data'!$F:$F,)),0)+IF($P523=2,INDEX('卡片raw data'!AC:AC,MATCH($D523,'卡片raw data'!$F:$F,)),0)+IF($P523=3,INDEX('卡片raw data'!AF:AF,MATCH($D523,'卡片raw data'!$F:$F,)),0)+IF($P523=4,INDEX('卡片raw data'!AI:AI,MATCH($D523,'卡片raw data'!$F:$F,)),0)+IF($P523=5,INDEX('卡片raw data'!AL:AL,MATCH($D523,'卡片raw data'!$F:$F,)),0)+INDEX('卡片raw data'!T:T,MATCH($D523,'卡片raw data'!$F:$F,))*(IF($F523="UR",0.04,0.033))*(IF($F523="UR",INDEX(绊状态确认!$S:$S,MATCH($G523,绊状态确认!$B:$B,))/2-40)+IF($F523="SR",INDEX(绊状态确认!$R:$R,MATCH($G523,绊状态确认!$B:$B,))/4-15))+IF($F523="R",INDEX(绊状态确认!$Q:$Q,MATCH($G523,绊状态确认!$B:$B,))/6-40/6)))*(INDEX(绊状态确认!$H:$H,MATCH($G523,绊状态确认!$B:$B,))+INDEX(绊状态确认!K:K,MATCH($G523,绊状态确认!$B:$B,)))</f>
        <v>8039.6958983999994</v>
      </c>
      <c r="AN523" s="1106">
        <f>IF($P523="","N/A",(IF($P523=-1,INDEX('卡片raw data'!U:U,MATCH($D523,'卡片raw data'!$F:$F,)),0)+IF($P523=0,INDEX('卡片raw data'!X:X,MATCH($D523,'卡片raw data'!$F:$F,)),0)+IF($P523=1,INDEX('卡片raw data'!AA:AA,MATCH($D523,'卡片raw data'!$F:$F,)),0)+IF($P523=2,INDEX('卡片raw data'!AD:AD,MATCH($D523,'卡片raw data'!$F:$F,)),0)+IF($P523=3,INDEX('卡片raw data'!AG:AG,MATCH($D523,'卡片raw data'!$F:$F,)),0)+IF($P523=4,INDEX('卡片raw data'!AJ:AJ,MATCH($D523,'卡片raw data'!$F:$F,)),0)+IF($P523=5,INDEX('卡片raw data'!AM:AM,MATCH($D523,'卡片raw data'!$F:$F,)),0)+INDEX('卡片raw data'!U:U,MATCH($D523,'卡片raw data'!$F:$F,))*(IF($F523="UR",0.04,0.033))*(IF($F523="UR",INDEX(绊状态确认!$S:$S,MATCH($G523,绊状态确认!$B:$B,))/2-40)+IF($F523="SR",INDEX(绊状态确认!$R:$R,MATCH($G523,绊状态确认!$B:$B,))/4-15))+IF($F523="R",INDEX(绊状态确认!$Q:$Q,MATCH($G523,绊状态确认!$B:$B,))/6-40/6)))*(INDEX(绊状态确认!$H:$H,MATCH($G523,绊状态确认!$B:$B,))+INDEX(绊状态确认!L:L,MATCH($G523,绊状态确认!$B:$B,)))</f>
        <v>6077.2831031999985</v>
      </c>
      <c r="AO523" s="1107">
        <f t="shared" si="709"/>
        <v>1</v>
      </c>
      <c r="AP523" s="1131">
        <f>1+(INDEX(绊状态确认!$T:$T,MATCH($G523,绊状态确认!$B:$B,))+0.2)*$AO523</f>
        <v>1.3</v>
      </c>
      <c r="AQ523" s="1108">
        <f t="shared" si="710"/>
        <v>17661.126482199998</v>
      </c>
      <c r="AR523" s="1097">
        <f>(AM523*(1+$EX$9)+$EX$35)*(1+(INDEX(绊状态确认!$T:$T,MATCH($G523,绊状态确认!$B:$B,))+0.2)*AO523)*IF(J523=$FF$17,1+$FE$17,1)*IF(I523=$FF$14,1+$FE$14,1)</f>
        <v>13678.184901316001</v>
      </c>
      <c r="AS523" s="1097">
        <f>(AN523*(1+$EX$10)+$EX$36)*(1+(INDEX(绊状态确认!$T:$T,MATCH($G523,绊状态确认!$B:$B,))+0.2)*AO523)*IF(J523=$FF$17,1+$FE$17,1)*IF(I523=$FF$14,1+$FE$14,1)</f>
        <v>13141.538239283998</v>
      </c>
      <c r="AT523" s="1093">
        <f>IF(AND(INDEX('卡片raw data'!AK:AK,MATCH($D523,'卡片raw data'!$F:$F,))&lt;INDEX('卡片raw data'!AM:AM,MATCH($D523,'卡片raw data'!$F:$F,)),INDEX('卡片raw data'!AL:AL,MATCH($D523,'卡片raw data'!$F:$F,))&lt;INDEX('卡片raw data'!AM:AM,MATCH($D523,'卡片raw data'!$F:$F,))),1,0)</f>
        <v>0</v>
      </c>
      <c r="AU523" s="1098">
        <f>MIN(AT523*0.15+AS523*0.00003+INDEX(绊状态确认!M:M,MATCH($G523,绊状态确认!$B:$B,)),1)</f>
        <v>0.42424614717851999</v>
      </c>
      <c r="AV523" s="1109">
        <f>(INDEX(绊状态确认!$N:$N,MATCH($G523,绊状态确认!$B:$B,))+1.5)*$EW$21</f>
        <v>2.6599999999999997</v>
      </c>
      <c r="AW523" s="1101">
        <f t="shared" si="711"/>
        <v>15631.789986508313</v>
      </c>
      <c r="AX523" s="1097">
        <f t="shared" si="712"/>
        <v>1175.5218406247768</v>
      </c>
      <c r="AY523" s="1110">
        <f t="shared" si="713"/>
        <v>16807.31182713309</v>
      </c>
      <c r="AZ523" s="429">
        <f t="shared" si="714"/>
        <v>13305.408243919997</v>
      </c>
      <c r="BA523" s="431">
        <f t="shared" si="715"/>
        <v>15966.489892703996</v>
      </c>
      <c r="BB523" s="1097">
        <f>(AM523*(1+$FB$9)+$FB$35)*(1+(INDEX(绊状态确认!$T:$T,MATCH($G523,绊状态确认!$B:$B,))+0.2)*AO523)*IF(J523=$FF$17,1+$FE$17,1)*IF(I523=$FF$14,1+$FE$14,1)*(1+$FE$15)</f>
        <v>13678.184901316001</v>
      </c>
      <c r="BC523" s="1097">
        <f>(AN523*(1+$FB$10)+$FB$36)*(1+(INDEX(绊状态确认!$T:$T,MATCH($G523,绊状态确认!$B:$B,))+0.2)*AO523)*IF(J523=$FF$17,1+$FE$17,1)*IF(I523=$FF$14,1+$FE$14,1)*(1+$FE$15)</f>
        <v>13141.538239283998</v>
      </c>
      <c r="BD523" s="1104">
        <f>MIN(AT523*0.15+BC523*0.00003+INDEX(绊状态确认!M:M,MATCH($G523,绊状态确认!$B:$B,)),1)</f>
        <v>0.42424614717851999</v>
      </c>
      <c r="BE523" s="432">
        <f>(INDEX(绊状态确认!$N:$N,MATCH($G523,绊状态确认!$B:$B,))+1.5)</f>
        <v>1.9</v>
      </c>
      <c r="BF523" s="1139">
        <f t="array" ref="BF523">SUMPRODUCT(IF(AZ523*AP523*$FI$16:$FI$23*$FA$22&gt;=$FI$24,$FI$24,AZ523*AP523*$FI$16:$FI$23*$FA$22),$FJ$16:$FJ$23)</f>
        <v>26464.456997156878</v>
      </c>
      <c r="BG523" s="1125">
        <f t="array" ref="BG523">SUMPRODUCT(IF(BE523*AZ523*AP523*$FI$16:$FI$23*$FA$22&gt;=$FI$24,$FI$24,BE523*AZ523*AP523*$FI$16:$FI$23*$FA$22),$FJ$16:$FJ$23)</f>
        <v>50038.240205726412</v>
      </c>
      <c r="BH523" s="1110">
        <f t="shared" si="716"/>
        <v>12155.181232604731</v>
      </c>
      <c r="BI523" s="1111">
        <f>IF(O523="vo",$EW$26/$EW$24*0.05,0)+IF(O523="sk",-$EW$26/$EW$24*(0.05-INDEX(绊状态确认!W:W,MATCH($G523,绊状态确认!$B:$B,)))+0.05*$EW$28,0)+IF(O523="sp",0.05*$EW$32*$EW$30*(1-$EW$33)-(0.05-INDEX(绊状态确认!V:V,MATCH($G523,绊状态确认!$B:$B,)))*$EW$28,0)+IF(O523="gd",-(0.05-INDEX(绊状态确认!X:X,MATCH($G523,绊状态确认!$B:$B,)))*$EW$32*$EW$30*(1-$EW$33),0)</f>
        <v>-585.00000000000011</v>
      </c>
      <c r="BJ523" s="420">
        <f>IF(O523="vo",0.05*(1-$FI$26)*$FA$24,0)+IF(O523="sk",-(0.05-INDEX(绊状态确认!W:W,MATCH($G523,绊状态确认!$B:$B,)))*(1-$FI$26)*$FA$24+0.05*$FA$26,0)+IF(O523="sp",0.05*$FA$32*$FA$27*(1-$FA$33)/$FA$30+0.05*$FA$29/$FA$69*$FA$27*(1-$FA$33)-(0.05-INDEX(绊状态确认!V:V,MATCH($G523,绊状态确认!$B:$B,)))*$FA$26,0)+IF(O523="gd",-(0.05-INDEX(绊状态确认!X:X,MATCH($G523,绊状态确认!$B:$B,)))*$FA$32*$FA$27*(1-$FA$33)/$FA$30-(0.05-INDEX(绊状态确认!X:X,MATCH($G523,绊状态确认!$B:$B,)))*$FA$29/$FA$69*$FA$27*(1-$FA$33),0)</f>
        <v>-795.00000000000011</v>
      </c>
      <c r="BK523" s="1110">
        <f>IF(O523="vo",$EW$26/$EW$24*0.05+$EW$26*(-HP($EW$62,$EW$65,$EW$64)+HP($EW$62,$EW$65,(1.05-INDEX(绊状态确认!U:U,MATCH($G523,绊状态确认!$B:$B,)))*$EW$64)),0)+IF(O523="sk",-$EW$26/$EW$24*(0.05-INDEX(绊状态确认!W:W,MATCH($G523,绊状态确认!$B:$B,)))+0.05*$EW$29,0)+IF(O523="sp",0.05*$EW$32*$EW$30*(1-$EW$33)-(0.05-INDEX(绊状态确认!V:V,MATCH($G523,绊状态确认!$B:$B,)))*$EW$29,0)+IF(O523="gd",-(0.05-INDEX(绊状态确认!X:X,MATCH($G523,绊状态确认!$B:$B,)))*$EW$32*$EW$30*(1-$EW$33)+$EW$26*(-HP($EW$62,$EW$65,$EW$64)+HP($EW$62,$EW$65,0.95*$EW$64)),0)</f>
        <v>1009.5947725176144</v>
      </c>
      <c r="BL523" s="1111">
        <f t="shared" si="717"/>
        <v>-1083.3333333333333</v>
      </c>
      <c r="BM523" s="1110">
        <f t="shared" si="718"/>
        <v>-830.55555555555543</v>
      </c>
      <c r="BN523" s="1113">
        <f t="shared" si="719"/>
        <v>3</v>
      </c>
      <c r="BO523" s="1108">
        <f t="shared" si="720"/>
        <v>4507.7214871259994</v>
      </c>
      <c r="BP523" s="1127">
        <f t="shared" si="721"/>
        <v>221.34103209030098</v>
      </c>
      <c r="BQ523" s="1113" t="s">
        <v>133</v>
      </c>
      <c r="BR523" s="1124" t="s">
        <v>171</v>
      </c>
      <c r="BS523" s="421">
        <f>IF($P523="","N/A",IF($P523=-1,INDEX('卡片raw data'!AX:AX,MATCH($D523,'卡片raw data'!$F:$F,)),0)+IF($L523="party卡",IF($P523=5,INDEX('卡片raw data'!BD:BD,MATCH($D523,'卡片raw data'!$F:$F,)),IF($P523&gt;=3,INDEX('卡片raw data'!BC:BC,MATCH($D523,'卡片raw data'!$F:$F,)),INDEX('卡片raw data'!BB:BB,MATCH($D523,'卡片raw data'!$F:$F,)))),IF(OR(AND($F523="UR",$P523=0),AND($F523="SR",$P523&gt;=0,$P523&lt;=2),AND($F523="R",$P523&gt;=0,$P523&lt;4)),INDEX('卡片raw data'!AZ:AZ,MATCH($D523,'卡片raw data'!$F:$F,)),0)+IF(OR(AND($F523="UR",$P523&gt;=1,$P523&lt;=4),AND($F523="SR",$P523&lt;=4,$P523&gt;=3),AND($F523="R",$P523=4)),INDEX('卡片raw data'!BA:BA,MATCH($D523,'卡片raw data'!$F:$F,)),0)+IF($P523=5,INDEX('卡片raw data'!BB:BB,MATCH($D523,'卡片raw data'!$F:$F,)),0)))</f>
        <v>3.2000000000000001E-2</v>
      </c>
      <c r="BT523" s="424">
        <f t="shared" si="722"/>
        <v>0</v>
      </c>
      <c r="BU523" s="420">
        <f t="shared" si="723"/>
        <v>0</v>
      </c>
      <c r="BV523" s="420">
        <f t="shared" si="724"/>
        <v>0</v>
      </c>
      <c r="BW523" s="436">
        <f t="shared" si="725"/>
        <v>1.498285714285714</v>
      </c>
      <c r="BX523" s="423">
        <f t="shared" si="726"/>
        <v>117.00848980993118</v>
      </c>
      <c r="BY523" s="433">
        <f t="shared" si="727"/>
        <v>117.00848980993118</v>
      </c>
      <c r="BZ523" s="1113" t="s">
        <v>569</v>
      </c>
      <c r="CA523" s="450"/>
      <c r="CB523" s="421">
        <f>IF($P523="","N/A",IF($P523=-1,INDEX('卡片raw data'!BE:BE,MATCH($D523,'卡片raw data'!$F:$F,)),0)+IF($L523="party卡",IF($P523=5,INDEX('卡片raw data'!BK:BK,MATCH($D523,'卡片raw data'!$F:$F,)),IF($P523&gt;=3,INDEX('卡片raw data'!BJ:BJ,MATCH($D523,'卡片raw data'!$F:$F,)),INDEX('卡片raw data'!BI:BI,MATCH($D523,'卡片raw data'!$F:$F,)))),IF(OR(AND($F523="UR",$P523=0),AND($F523="SR",$P523&gt;=0,$P523&lt;=2),AND($F523="R",$P523&gt;=0,$P523&lt;4)),INDEX('卡片raw data'!BG:BG,MATCH($D523,'卡片raw data'!$F:$F,)),0)+IF(OR(AND($F523="UR",$P523&gt;=1,$P523&lt;=4),AND($F523="SR",$P523&lt;=4,$P523&gt;=3),AND($F523="R",$P523=4)),INDEX('卡片raw data'!BH:BH,MATCH($D523,'卡片raw data'!$F:$F,)),0)+IF($P523=5,INDEX('卡片raw data'!BI:BI,MATCH($D523,'卡片raw data'!$F:$F,)),0)))</f>
        <v>0</v>
      </c>
      <c r="CC523" s="424">
        <f t="shared" si="728"/>
        <v>0</v>
      </c>
      <c r="CD523" s="420">
        <f>IF(BZ523="ap",CB523*(1-$FI$26)*$FB$5/$FB$11*(+IF(CA523="全员",$FA$24,0)+IF(CA523="同作战",$FA$24,0)+IF(CA523="仲间",$FA$24*2/3,0)+IF(CA523="同属性",$FA$24*$FA$37/3,0)+IF(CA523="同年级",$FA$24*$FA$40/3,0)+IF(CA523="同学校",$FA$24*$FA$43/3,0)+IF(CA523="同小队",$FA$24*$FA$46/3,0)+IF(CA523="同type",$FA$24*INDEX($FB$49:$FB$52,MATCH(X523,$FA$49:$FA$52,))/3,0)+IF(CA523="自身",#REF!/3,0)),0)+IF(BZ523="te",CB523*(1-$FI$27)*($FA$20-1)*$FB$7/$FB$13*(+IF(CA523="全员",$FA$19*$FA$24/(1+($FA$20-1)*$FA$19),0)+IF(CA523="同作战",$FA$19*$FA$24/(1+($FA$20-1)*$FA$19),0)+IF(CA523="仲间",$FA$19*$FA$24*2/3/(1+($FA$20-1)*$FA$19),0)+IF(CA523="同属性",$FA$19*$FA$24*$FA$37/3/(1+($FA$20-1)*$FA$19),0)+IF(CA523="同年级",$FA$19*$FA$24*$FA$40/3/(1+($FA$20-1)*$FA$19),0)+IF(CA523="同学校",$FA$19*$FA$24*$FA$43/3/(1+($FA$20-1)*$FA$19),0)+IF(CA523="同小队",$FA$19*$FA$24*$FA$46/3/(1+($FA$20-1)*$FA$19),0)+IF(CA523="同type",$FA$19*$FA$24*INDEX($FB$49:$FB$52,MATCH(X523,$FA$49:$FA$52,))/3/(1+($FA$20-1)*$FA$19),0)+IF(CA523="自身",$FA$19*#REF!/3/(1+(BH523-1)*$BD523),0)),0)</f>
        <v>0</v>
      </c>
      <c r="CE523" s="420">
        <f t="shared" si="729"/>
        <v>0</v>
      </c>
      <c r="CF523" s="436">
        <f t="shared" si="730"/>
        <v>0</v>
      </c>
      <c r="CG523" s="423">
        <f t="shared" si="731"/>
        <v>0</v>
      </c>
      <c r="CH523" s="433">
        <f t="shared" si="732"/>
        <v>0</v>
      </c>
      <c r="CI523" s="437" t="s">
        <v>170</v>
      </c>
      <c r="CJ523" s="1114">
        <v>0.2</v>
      </c>
      <c r="CK523" s="439" t="s">
        <v>311</v>
      </c>
      <c r="CL523" s="439" t="s">
        <v>161</v>
      </c>
      <c r="CM523" s="1119"/>
      <c r="CN523" s="1115"/>
      <c r="CO523" s="1092"/>
      <c r="CP523" s="1118">
        <f t="shared" si="733"/>
        <v>0</v>
      </c>
      <c r="CQ523" s="1118">
        <f t="shared" si="734"/>
        <v>0</v>
      </c>
      <c r="CR523" s="1118">
        <f t="shared" si="735"/>
        <v>0</v>
      </c>
      <c r="CS523" s="1118">
        <f t="shared" si="736"/>
        <v>0</v>
      </c>
      <c r="CT523" s="1109">
        <f t="shared" si="737"/>
        <v>0</v>
      </c>
      <c r="CU523" s="1101">
        <f t="shared" si="738"/>
        <v>0</v>
      </c>
      <c r="CV523" s="1108">
        <f t="shared" si="768"/>
        <v>0</v>
      </c>
      <c r="CW523" s="1097">
        <f t="shared" si="739"/>
        <v>0</v>
      </c>
      <c r="CX523" s="1097">
        <f t="shared" si="740"/>
        <v>0</v>
      </c>
      <c r="CY523" s="1110">
        <f t="shared" si="741"/>
        <v>0</v>
      </c>
      <c r="CZ523" s="437"/>
      <c r="DA523" s="438"/>
      <c r="DB523" s="439" t="s">
        <v>569</v>
      </c>
      <c r="DC523" s="439"/>
      <c r="DD523" s="443"/>
      <c r="DE523" s="411"/>
      <c r="DF523" s="411"/>
      <c r="DG523" s="1116">
        <f t="shared" si="742"/>
        <v>0</v>
      </c>
      <c r="DH523" s="1116">
        <f t="shared" si="743"/>
        <v>0</v>
      </c>
      <c r="DI523" s="1116">
        <f t="shared" si="744"/>
        <v>0</v>
      </c>
      <c r="DJ523" s="442">
        <f t="shared" si="745"/>
        <v>0</v>
      </c>
      <c r="DK523" s="432">
        <f t="shared" si="746"/>
        <v>0</v>
      </c>
      <c r="DL523" s="424">
        <f t="shared" si="747"/>
        <v>0</v>
      </c>
      <c r="DM523" s="420">
        <f t="shared" si="748"/>
        <v>0</v>
      </c>
      <c r="DN523" s="420">
        <f t="shared" si="749"/>
        <v>0</v>
      </c>
      <c r="DO523" s="420">
        <f t="shared" si="750"/>
        <v>0</v>
      </c>
      <c r="DP523" s="433">
        <f t="shared" si="751"/>
        <v>0</v>
      </c>
      <c r="DQ523" s="1113" t="s">
        <v>4296</v>
      </c>
      <c r="DR523" s="1120">
        <f t="shared" si="686"/>
        <v>0.3</v>
      </c>
      <c r="DS523" s="1124">
        <v>5</v>
      </c>
      <c r="DT523" s="1124" t="s">
        <v>1947</v>
      </c>
      <c r="DU523" s="1124" t="s">
        <v>2145</v>
      </c>
      <c r="DV523" s="1098">
        <f>IF($P523="","N/A",IF(P523=-1,INDEX('卡片raw data'!AN:AN,MATCH(D523,'卡片raw data'!$F:$F,)),0)+IF(AND(L523&lt;&gt;"party卡",P523&lt;=2,P523&gt;=0),INDEX('卡片raw data'!AP:AP,MATCH(D523,'卡片raw data'!$F:$F,)),0)+IF(OR(AND(L523="party卡",P523&lt;=1),AND(P523&lt;=4,L523&lt;&gt;"party卡",P523&gt;=3)),INDEX('卡片raw data'!AQ:AQ,MATCH(D523,'卡片raw data'!$F:$F,)),0)+IF(OR(P523=5,AND(L523="party卡",P523&gt;=2)),INDEX('卡片raw data'!AR:AR,MATCH(D523,'卡片raw data'!$F:$F,)),0))</f>
        <v>0.2</v>
      </c>
      <c r="DW523" s="1098">
        <f t="shared" si="752"/>
        <v>0.3</v>
      </c>
      <c r="DX523" s="1098">
        <f t="shared" si="753"/>
        <v>0.3</v>
      </c>
      <c r="DY523" s="1098">
        <f t="shared" si="754"/>
        <v>0.1</v>
      </c>
      <c r="DZ523" s="1098">
        <f t="shared" si="755"/>
        <v>8.6500000000000007E-2</v>
      </c>
      <c r="EA523" s="421">
        <f t="shared" si="756"/>
        <v>0</v>
      </c>
      <c r="EB523" s="445">
        <f t="shared" si="757"/>
        <v>0</v>
      </c>
      <c r="EC523" s="424">
        <f t="shared" si="758"/>
        <v>0</v>
      </c>
      <c r="ED523" s="420">
        <f t="shared" si="759"/>
        <v>0</v>
      </c>
      <c r="EE523" s="433">
        <f t="shared" si="683"/>
        <v>4325.6052344862483</v>
      </c>
      <c r="EF523" s="1115" t="s">
        <v>569</v>
      </c>
      <c r="EG523" s="1120">
        <f t="shared" si="687"/>
        <v>0.3</v>
      </c>
      <c r="EH523" s="450"/>
      <c r="EI523" s="1093"/>
      <c r="EJ523" s="1093"/>
      <c r="EK523" s="420">
        <f>IF($P523="","N/A",IF(P523=-1,INDEX('卡片raw data'!AS:AS,MATCH(D523,'卡片raw data'!$F:$F,)),0)+IF(AND(L523&lt;&gt;"party卡",P523&lt;=2,P523&gt;=0),INDEX('卡片raw data'!AU:AU,MATCH(D523,'卡片raw data'!$F:$F,)),0)+IF(OR(AND(L523="party卡",P523&lt;=1),AND(P523&lt;=4,L523&lt;&gt;"party卡",P523&gt;=3)),INDEX('卡片raw data'!AV:AV,MATCH(D523,'卡片raw data'!$F:$F,)),0)+IF(OR(P523=5,AND(L523="party卡",P523&gt;=2)),INDEX('卡片raw data'!AW:AW,MATCH(D523,'卡片raw data'!$F:$F,)),0))</f>
        <v>0</v>
      </c>
      <c r="EL523" s="1098">
        <f t="shared" si="760"/>
        <v>0.3</v>
      </c>
      <c r="EM523" s="1098">
        <f t="shared" si="761"/>
        <v>0.3</v>
      </c>
      <c r="EN523" s="1097">
        <f t="shared" si="762"/>
        <v>0</v>
      </c>
      <c r="EO523" s="1097">
        <f t="shared" si="763"/>
        <v>0</v>
      </c>
      <c r="EP523" s="421">
        <f t="shared" si="764"/>
        <v>0</v>
      </c>
      <c r="EQ523" s="445">
        <f t="shared" si="765"/>
        <v>0</v>
      </c>
      <c r="ER523" s="424">
        <f t="shared" si="766"/>
        <v>0</v>
      </c>
      <c r="ES523" s="420">
        <f t="shared" si="767"/>
        <v>0</v>
      </c>
      <c r="ET523" s="446">
        <f t="shared" si="684"/>
        <v>0</v>
      </c>
    </row>
    <row r="524" spans="2:150" ht="16.5" customHeight="1">
      <c r="B524" s="448" t="str">
        <f>INDEX('卡片raw data'!B:B,MATCH($D524,'卡片raw data'!$F:$F,))</f>
        <v>未熟梨</v>
      </c>
      <c r="C524" s="449" t="s">
        <v>4314</v>
      </c>
      <c r="D524" s="408">
        <v>521</v>
      </c>
      <c r="E524" s="477">
        <v>401022005</v>
      </c>
      <c r="F524" s="409" t="str">
        <f>INDEX('卡片raw data'!C:C,MATCH($D524,'卡片raw data'!$F:$F,))</f>
        <v>SR</v>
      </c>
      <c r="G524" s="1094" t="s">
        <v>4315</v>
      </c>
      <c r="H524" s="411">
        <f>IFERROR(INDEX(绊状态确认!C:C,MATCH($G524,绊状态确认!$B:$B,)),"")</f>
        <v>102</v>
      </c>
      <c r="I524" s="450" t="str">
        <f>IFERROR(INDEX(绊状态确认!D:D,MATCH($G524,绊状态确认!$B:$B,)),"")</f>
        <v>水</v>
      </c>
      <c r="J524" s="450" t="str">
        <f>IFERROR(INDEX(绊状态确认!E:E,MATCH($G524,绊状态确认!$B:$B,)),"")</f>
        <v>2年级</v>
      </c>
      <c r="K524" s="451" t="str">
        <f>IFERROR(INDEX(绊状态确认!F:F,MATCH($G524,绊状态确认!$B:$B,)),"")</f>
        <v>Guilty Kiss</v>
      </c>
      <c r="L524" s="414" t="str">
        <f>INDEX('卡片raw data'!E:E,MATCH($D524,'卡片raw data'!$F:$F,))</f>
        <v>活动卡</v>
      </c>
      <c r="M524" s="478">
        <v>44427</v>
      </c>
      <c r="N524" s="479">
        <v>46</v>
      </c>
      <c r="O524" s="410" t="str">
        <f>INDEX('卡片raw data'!D:D,MATCH($D524,'卡片raw data'!$F:$F,))</f>
        <v>sk</v>
      </c>
      <c r="P524" s="1126">
        <v>5</v>
      </c>
      <c r="Q524" s="418">
        <f t="shared" si="688"/>
        <v>25557.196038640104</v>
      </c>
      <c r="R524" s="419">
        <f t="shared" si="689"/>
        <v>0.29699999999999999</v>
      </c>
      <c r="S524" s="420">
        <f t="shared" si="690"/>
        <v>16244.531087419731</v>
      </c>
      <c r="T524" s="421">
        <f t="shared" si="691"/>
        <v>0.81200000000000006</v>
      </c>
      <c r="U524" s="422">
        <f t="shared" si="692"/>
        <v>9.204824668092856</v>
      </c>
      <c r="V524" s="423">
        <f t="shared" si="693"/>
        <v>28287.333492944017</v>
      </c>
      <c r="W524" s="424">
        <f t="shared" si="694"/>
        <v>5309.0941959483998</v>
      </c>
      <c r="X524" s="419">
        <f t="shared" si="695"/>
        <v>6.0999999999999999E-2</v>
      </c>
      <c r="Y524" s="420">
        <f t="shared" si="696"/>
        <v>730.13745430391191</v>
      </c>
      <c r="Z524" s="425">
        <f t="shared" si="697"/>
        <v>9.204824668092856</v>
      </c>
      <c r="AA524" s="426">
        <f t="shared" si="698"/>
        <v>6039.2316502523117</v>
      </c>
      <c r="AB524" s="424">
        <f t="shared" si="699"/>
        <v>6248.2170598677931</v>
      </c>
      <c r="AC524" s="427">
        <f t="shared" si="700"/>
        <v>7.1999999999999995E-2</v>
      </c>
      <c r="AD524" s="428">
        <f t="shared" si="701"/>
        <v>1.8994224431818179E-2</v>
      </c>
      <c r="AE524" s="516">
        <f t="shared" si="702"/>
        <v>5.1733049015368557</v>
      </c>
      <c r="AF524" s="1130">
        <f t="shared" si="703"/>
        <v>0</v>
      </c>
      <c r="AG524" s="420">
        <f t="shared" si="704"/>
        <v>0</v>
      </c>
      <c r="AH524" s="420">
        <f t="shared" si="705"/>
        <v>0</v>
      </c>
      <c r="AI524" s="1097">
        <f t="shared" si="706"/>
        <v>0</v>
      </c>
      <c r="AJ524" s="420">
        <f t="shared" si="707"/>
        <v>0</v>
      </c>
      <c r="AK524" s="518">
        <f t="shared" si="708"/>
        <v>0</v>
      </c>
      <c r="AL524" s="429">
        <f>IF($P524="","N/A",(IF($P524=-1,INDEX('卡片raw data'!S:S,MATCH($D524,'卡片raw data'!$F:$F,)),0)+IF($P524=0,INDEX('卡片raw data'!V:V,MATCH($D524,'卡片raw data'!$F:$F,)),0)+IF($P524=1,INDEX('卡片raw data'!Y:Y,MATCH($D524,'卡片raw data'!$F:$F,)),0)+IF($P524=2,INDEX('卡片raw data'!AB:AB,MATCH($D524,'卡片raw data'!$F:$F,)),0)+IF($P524=3,INDEX('卡片raw data'!AE:AE,MATCH($D524,'卡片raw data'!$F:$F,)),0)+IF($P524=4,INDEX('卡片raw data'!AH:AH,MATCH($D524,'卡片raw data'!$F:$F,)),0)+IF($P524=5,INDEX('卡片raw data'!AK:AK,MATCH($D524,'卡片raw data'!$F:$F,)),0)+INDEX('卡片raw data'!S:S,MATCH($D524,'卡片raw data'!$F:$F,))*(IF($F524="UR",0.04,0.033))*(IF($F524="UR",INDEX(绊状态确认!$S:$S,MATCH($G524,绊状态确认!$B:$B,))/2-40)+IF($F524="SR",INDEX(绊状态确认!$R:$R,MATCH($G524,绊状态确认!$B:$B,))/4-15))+IF($F524="R",INDEX(绊状态确认!$Q:$Q,MATCH($G524,绊状态确认!$B:$B,))/6-40/6)))*(INDEX(绊状态确认!$H:$H,MATCH($G524,绊状态确认!$B:$B,))+INDEX(绊状态确认!J:J,MATCH($G524,绊状态确认!$B:$B,)))</f>
        <v>7254.2912207999989</v>
      </c>
      <c r="AM524" s="429">
        <f>IF($P524="","N/A",(IF($P524=-1,INDEX('卡片raw data'!T:T,MATCH($D524,'卡片raw data'!$F:$F,)),0)+IF($P524=0,INDEX('卡片raw data'!W:W,MATCH($D524,'卡片raw data'!$F:$F,)),0)+IF($P524=1,INDEX('卡片raw data'!Z:Z,MATCH($D524,'卡片raw data'!$F:$F,)),0)+IF($P524=2,INDEX('卡片raw data'!AC:AC,MATCH($D524,'卡片raw data'!$F:$F,)),0)+IF($P524=3,INDEX('卡片raw data'!AF:AF,MATCH($D524,'卡片raw data'!$F:$F,)),0)+IF($P524=4,INDEX('卡片raw data'!AI:AI,MATCH($D524,'卡片raw data'!$F:$F,)),0)+IF($P524=5,INDEX('卡片raw data'!AL:AL,MATCH($D524,'卡片raw data'!$F:$F,)),0)+INDEX('卡片raw data'!T:T,MATCH($D524,'卡片raw data'!$F:$F,))*(IF($F524="UR",0.04,0.033))*(IF($F524="UR",INDEX(绊状态确认!$S:$S,MATCH($G524,绊状态确认!$B:$B,))/2-40)+IF($F524="SR",INDEX(绊状态确认!$R:$R,MATCH($G524,绊状态确认!$B:$B,))/4-15))+IF($F524="R",INDEX(绊状态确认!$Q:$Q,MATCH($G524,绊状态确认!$B:$B,))/6-40/6)))*(INDEX(绊状态确认!$H:$H,MATCH($G524,绊状态确认!$B:$B,))+INDEX(绊状态确认!K:K,MATCH($G524,绊状态确认!$B:$B,)))</f>
        <v>4312.9448279999997</v>
      </c>
      <c r="AN524" s="429">
        <f>IF($P524="","N/A",(IF($P524=-1,INDEX('卡片raw data'!U:U,MATCH($D524,'卡片raw data'!$F:$F,)),0)+IF($P524=0,INDEX('卡片raw data'!X:X,MATCH($D524,'卡片raw data'!$F:$F,)),0)+IF($P524=1,INDEX('卡片raw data'!AA:AA,MATCH($D524,'卡片raw data'!$F:$F,)),0)+IF($P524=2,INDEX('卡片raw data'!AD:AD,MATCH($D524,'卡片raw data'!$F:$F,)),0)+IF($P524=3,INDEX('卡片raw data'!AG:AG,MATCH($D524,'卡片raw data'!$F:$F,)),0)+IF($P524=4,INDEX('卡片raw data'!AJ:AJ,MATCH($D524,'卡片raw data'!$F:$F,)),0)+IF($P524=5,INDEX('卡片raw data'!AM:AM,MATCH($D524,'卡片raw data'!$F:$F,)),0)+INDEX('卡片raw data'!U:U,MATCH($D524,'卡片raw data'!$F:$F,))*(IF($F524="UR",0.04,0.033))*(IF($F524="UR",INDEX(绊状态确认!$S:$S,MATCH($G524,绊状态确认!$B:$B,))/2-40)+IF($F524="SR",INDEX(绊状态确认!$R:$R,MATCH($G524,绊状态确认!$B:$B,))/4-15))+IF($F524="R",INDEX(绊状态确认!$Q:$Q,MATCH($G524,绊状态确认!$B:$B,))/6-40/6)))*(INDEX(绊状态确认!$H:$H,MATCH($G524,绊状态确认!$B:$B,))+INDEX(绊状态确认!L:L,MATCH($G524,绊状态确认!$B:$B,)))</f>
        <v>8039.6958983999994</v>
      </c>
      <c r="AO524" s="430">
        <f t="shared" si="709"/>
        <v>1</v>
      </c>
      <c r="AP524" s="556">
        <f>1+(INDEX(绊状态确认!$T:$T,MATCH($G524,绊状态确认!$B:$B,))+0.2)*$AO524</f>
        <v>1.3</v>
      </c>
      <c r="AQ524" s="431">
        <f t="shared" si="710"/>
        <v>22292.514454599994</v>
      </c>
      <c r="AR524" s="420">
        <f>(AM524*(1+$EX$9)+$EX$35)*(1+(INDEX(绊状态确认!$T:$T,MATCH($G524,绊状态确认!$B:$B,))+0.2)*AO524)*IF(J524=$FF$17,1+$FE$17,1)*IF(I524=$FF$14,1+$FE$14,1)</f>
        <v>8591.1696902200001</v>
      </c>
      <c r="AS524" s="420">
        <f>(AN524*(1+$EX$10)+$EX$36)*(1+(INDEX(绊状态确认!$T:$T,MATCH($G524,绊状态确认!$B:$B,))+0.2)*AO524)*IF(J524=$FF$17,1+$FE$17,1)*IF(I524=$FF$14,1+$FE$14,1)</f>
        <v>16075.345368107999</v>
      </c>
      <c r="AT524" s="412">
        <f>IF(AND(INDEX('卡片raw data'!AK:AK,MATCH($D524,'卡片raw data'!$F:$F,))&lt;INDEX('卡片raw data'!AM:AM,MATCH($D524,'卡片raw data'!$F:$F,)),INDEX('卡片raw data'!AL:AL,MATCH($D524,'卡片raw data'!$F:$F,))&lt;INDEX('卡片raw data'!AM:AM,MATCH($D524,'卡片raw data'!$F:$F,))),1,0)</f>
        <v>1</v>
      </c>
      <c r="AU524" s="421">
        <f>MIN(AT524*0.15+AS524*0.00003+INDEX(绊状态确认!M:M,MATCH($G524,绊状态确认!$B:$B,)),1)</f>
        <v>0.66226036104324004</v>
      </c>
      <c r="AV524" s="432">
        <f>(INDEX(绊状态确认!$N:$N,MATCH($G524,绊状态确认!$B:$B,))+1.5)*$EW$21</f>
        <v>2.6599999999999997</v>
      </c>
      <c r="AW524" s="424">
        <f t="shared" si="711"/>
        <v>24305.341372449078</v>
      </c>
      <c r="AX524" s="420">
        <f t="shared" si="712"/>
        <v>730.1374543039118</v>
      </c>
      <c r="AY524" s="433">
        <f t="shared" si="713"/>
        <v>25035.478826752991</v>
      </c>
      <c r="AZ524" s="429">
        <f t="shared" si="714"/>
        <v>16745.867880559999</v>
      </c>
      <c r="BA524" s="431">
        <f t="shared" si="715"/>
        <v>20095.041456671999</v>
      </c>
      <c r="BB524" s="420">
        <f>(AM524*(1+$FB$9)+$FB$35)*(1+(INDEX(绊状态确认!$T:$T,MATCH($G524,绊状态确认!$B:$B,))+0.2)*AO524)*IF(J524=$FF$17,1+$FE$17,1)*IF(I524=$FF$14,1+$FE$14,1)*(1+$FE$15)</f>
        <v>8591.1696902200001</v>
      </c>
      <c r="BC524" s="420">
        <f>(AN524*(1+$FB$10)+$FB$36)*(1+(INDEX(绊状态确认!$T:$T,MATCH($G524,绊状态确认!$B:$B,))+0.2)*AO524)*IF(J524=$FF$17,1+$FE$17,1)*IF(I524=$FF$14,1+$FE$14,1)*(1+$FE$15)</f>
        <v>16075.345368107999</v>
      </c>
      <c r="BD524" s="427">
        <f>MIN(AT524*0.15+BC524*0.00003+INDEX(绊状态确认!M:M,MATCH($G524,绊状态确认!$B:$B,)),1)</f>
        <v>0.66226036104324004</v>
      </c>
      <c r="BE524" s="432">
        <f>(INDEX(绊状态确认!$N:$N,MATCH($G524,绊状态确认!$B:$B,))+1.5)</f>
        <v>1.9</v>
      </c>
      <c r="BF524" s="645">
        <f t="array" ref="BF524">SUMPRODUCT(IF(AZ524*AP524*$FI$16:$FI$23*$FA$22&gt;=$FI$24,$FI$24,AZ524*AP524*$FI$16:$FI$23*$FA$22),$FJ$16:$FJ$23)</f>
        <v>33307.531214433839</v>
      </c>
      <c r="BG524" s="453">
        <f t="array" ref="BG524">SUMPRODUCT(IF(BE524*AZ524*AP524*$FI$16:$FI$23*$FA$22&gt;=$FI$24,$FI$24,BE524*AZ524*AP524*$FI$16:$FI$23*$FA$22),$FJ$16:$FJ$23)</f>
        <v>57922.015642441096</v>
      </c>
      <c r="BH524" s="433">
        <f t="shared" si="716"/>
        <v>16536.242852873045</v>
      </c>
      <c r="BI524" s="434">
        <f>IF(O524="vo",$EW$26/$EW$24*0.05,0)+IF(O524="sk",-$EW$26/$EW$24*(0.05-INDEX(绊状态确认!W:W,MATCH($G524,绊状态确认!$B:$B,)))+0.05*$EW$28,0)+IF(O524="sp",0.05*$EW$32*$EW$30*(1-$EW$33)-(0.05-INDEX(绊状态确认!V:V,MATCH($G524,绊状态确认!$B:$B,)))*$EW$28,0)+IF(O524="gd",-(0.05-INDEX(绊状态确认!X:X,MATCH($G524,绊状态确认!$B:$B,)))*$EW$32*$EW$30*(1-$EW$33),0)</f>
        <v>-6253.6726349699375</v>
      </c>
      <c r="BJ524" s="420">
        <f>IF(O524="vo",0.05*(1-$FI$26)*$FA$24,0)+IF(O524="sk",-(0.05-INDEX(绊状态确认!W:W,MATCH($G524,绊状态确认!$B:$B,)))*(1-$FI$26)*$FA$24+0.05*$FA$26,0)+IF(O524="sp",0.05*$FA$32*$FA$27*(1-$FA$33)/$FA$30+0.05*$FA$29/$FA$69*$FA$27*(1-$FA$33)-(0.05-INDEX(绊状态确认!V:V,MATCH($G524,绊状态确认!$B:$B,)))*$FA$26,0)+IF(O524="gd",-(0.05-INDEX(绊状态确认!X:X,MATCH($G524,绊状态确认!$B:$B,)))*$FA$32*$FA$27*(1-$FA$33)/$FA$30-(0.05-INDEX(绊状态确认!X:X,MATCH($G524,绊状态确认!$B:$B,)))*$FA$29/$FA$69*$FA$27*(1-$FA$33),0)</f>
        <v>20.459096812499922</v>
      </c>
      <c r="BK524" s="433">
        <f>IF(O524="vo",$EW$26/$EW$24*0.05+$EW$26*(-HP($EW$62,$EW$65,$EW$64)+HP($EW$62,$EW$65,(1.05-INDEX(绊状态确认!U:U,MATCH($G524,绊状态确认!$B:$B,)))*$EW$64)),0)+IF(O524="sk",-$EW$26/$EW$24*(0.05-INDEX(绊状态确认!W:W,MATCH($G524,绊状态确认!$B:$B,)))+0.05*$EW$29,0)+IF(O524="sp",0.05*$EW$32*$EW$30*(1-$EW$33)-(0.05-INDEX(绊状态确认!V:V,MATCH($G524,绊状态确认!$B:$B,)))*$EW$29,0)+IF(O524="gd",-(0.05-INDEX(绊状态确认!X:X,MATCH($G524,绊状态确认!$B:$B,)))*$EW$32*$EW$30*(1-$EW$33)+$EW$26*(-HP($EW$62,$EW$65,$EW$64)+HP($EW$62,$EW$65,0.95*$EW$64)),0)</f>
        <v>-4253.6726349699375</v>
      </c>
      <c r="BL524" s="434">
        <f t="shared" si="717"/>
        <v>-1083.3333333333333</v>
      </c>
      <c r="BM524" s="433">
        <f t="shared" si="718"/>
        <v>-830.55555555555543</v>
      </c>
      <c r="BN524" s="437">
        <f t="shared" si="719"/>
        <v>3</v>
      </c>
      <c r="BO524" s="1108">
        <f t="shared" si="720"/>
        <v>4507.7214871259994</v>
      </c>
      <c r="BP524" s="1127">
        <f t="shared" si="721"/>
        <v>221.34103209030098</v>
      </c>
      <c r="BQ524" s="437" t="s">
        <v>132</v>
      </c>
      <c r="BR524" s="450" t="s">
        <v>171</v>
      </c>
      <c r="BS524" s="421">
        <f>IF($P524="","N/A",IF($P524=-1,INDEX('卡片raw data'!AX:AX,MATCH($D524,'卡片raw data'!$F:$F,)),0)+IF($L524="party卡",IF($P524=5,INDEX('卡片raw data'!BD:BD,MATCH($D524,'卡片raw data'!$F:$F,)),IF($P524&gt;=3,INDEX('卡片raw data'!BC:BC,MATCH($D524,'卡片raw data'!$F:$F,)),INDEX('卡片raw data'!BB:BB,MATCH($D524,'卡片raw data'!$F:$F,)))),IF(OR(AND($F524="UR",$P524=0),AND($F524="SR",$P524&gt;=0,$P524&lt;=2),AND($F524="R",$P524&gt;=0,$P524&lt;4)),INDEX('卡片raw data'!AZ:AZ,MATCH($D524,'卡片raw data'!$F:$F,)),0)+IF(OR(AND($F524="UR",$P524&gt;=1,$P524&lt;=4),AND($F524="SR",$P524&lt;=4,$P524&gt;=3),AND($F524="R",$P524=4)),INDEX('卡片raw data'!BA:BA,MATCH($D524,'卡片raw data'!$F:$F,)),0)+IF($P524=5,INDEX('卡片raw data'!BB:BB,MATCH($D524,'卡片raw data'!$F:$F,)),0)))</f>
        <v>3.2000000000000001E-2</v>
      </c>
      <c r="BT524" s="424">
        <f t="shared" si="722"/>
        <v>1602.7454176448</v>
      </c>
      <c r="BU524" s="420">
        <f t="shared" si="723"/>
        <v>68.861654428093644</v>
      </c>
      <c r="BV524" s="420">
        <f t="shared" si="724"/>
        <v>801.37270882240011</v>
      </c>
      <c r="BW524" s="436">
        <f t="shared" si="725"/>
        <v>0</v>
      </c>
      <c r="BX524" s="423">
        <f t="shared" si="726"/>
        <v>1602.7454176448</v>
      </c>
      <c r="BY524" s="433">
        <f t="shared" si="727"/>
        <v>801.37270882240011</v>
      </c>
      <c r="BZ524" s="1113" t="s">
        <v>569</v>
      </c>
      <c r="CA524" s="450"/>
      <c r="CB524" s="421">
        <f>IF($P524="","N/A",IF($P524=-1,INDEX('卡片raw data'!BE:BE,MATCH($D524,'卡片raw data'!$F:$F,)),0)+IF($L524="party卡",IF($P524=5,INDEX('卡片raw data'!BK:BK,MATCH($D524,'卡片raw data'!$F:$F,)),IF($P524&gt;=3,INDEX('卡片raw data'!BJ:BJ,MATCH($D524,'卡片raw data'!$F:$F,)),INDEX('卡片raw data'!BI:BI,MATCH($D524,'卡片raw data'!$F:$F,)))),IF(OR(AND($F524="UR",$P524=0),AND($F524="SR",$P524&gt;=0,$P524&lt;=2),AND($F524="R",$P524&gt;=0,$P524&lt;4)),INDEX('卡片raw data'!BG:BG,MATCH($D524,'卡片raw data'!$F:$F,)),0)+IF(OR(AND($F524="UR",$P524&gt;=1,$P524&lt;=4),AND($F524="SR",$P524&lt;=4,$P524&gt;=3),AND($F524="R",$P524=4)),INDEX('卡片raw data'!BH:BH,MATCH($D524,'卡片raw data'!$F:$F,)),0)+IF($P524=5,INDEX('卡片raw data'!BI:BI,MATCH($D524,'卡片raw data'!$F:$F,)),0)))</f>
        <v>0</v>
      </c>
      <c r="CC524" s="424">
        <f t="shared" si="728"/>
        <v>0</v>
      </c>
      <c r="CD524" s="420">
        <f>IF(BZ524="ap",CB524*(1-$FI$26)*$FB$5/$FB$11*(+IF(CA524="全员",$FA$24,0)+IF(CA524="同作战",$FA$24,0)+IF(CA524="仲间",$FA$24*2/3,0)+IF(CA524="同属性",$FA$24*$FA$37/3,0)+IF(CA524="同年级",$FA$24*$FA$40/3,0)+IF(CA524="同学校",$FA$24*$FA$43/3,0)+IF(CA524="同小队",$FA$24*$FA$46/3,0)+IF(CA524="同type",$FA$24*INDEX($FB$49:$FB$52,MATCH(X524,$FA$49:$FA$52,))/3,0)+IF(CA524="自身",#REF!/3,0)),0)+IF(BZ524="te",CB524*(1-$FI$27)*($FA$20-1)*$FB$7/$FB$13*(+IF(CA524="全员",$FA$19*$FA$24/(1+($FA$20-1)*$FA$19),0)+IF(CA524="同作战",$FA$19*$FA$24/(1+($FA$20-1)*$FA$19),0)+IF(CA524="仲间",$FA$19*$FA$24*2/3/(1+($FA$20-1)*$FA$19),0)+IF(CA524="同属性",$FA$19*$FA$24*$FA$37/3/(1+($FA$20-1)*$FA$19),0)+IF(CA524="同年级",$FA$19*$FA$24*$FA$40/3/(1+($FA$20-1)*$FA$19),0)+IF(CA524="同学校",$FA$19*$FA$24*$FA$43/3/(1+($FA$20-1)*$FA$19),0)+IF(CA524="同小队",$FA$19*$FA$24*$FA$46/3/(1+($FA$20-1)*$FA$19),0)+IF(CA524="同type",$FA$19*$FA$24*INDEX($FB$49:$FB$52,MATCH(X524,$FA$49:$FA$52,))/3/(1+($FA$20-1)*$FA$19),0)+IF(CA524="自身",$FA$19*#REF!/3/(1+(BH524-1)*$BD524),0)),0)</f>
        <v>0</v>
      </c>
      <c r="CE524" s="420">
        <f t="shared" si="729"/>
        <v>0</v>
      </c>
      <c r="CF524" s="436">
        <f t="shared" si="730"/>
        <v>0</v>
      </c>
      <c r="CG524" s="423">
        <f t="shared" si="731"/>
        <v>0</v>
      </c>
      <c r="CH524" s="433">
        <f t="shared" si="732"/>
        <v>0</v>
      </c>
      <c r="CI524" s="437" t="s">
        <v>173</v>
      </c>
      <c r="CJ524" s="438">
        <v>0.2</v>
      </c>
      <c r="CK524" s="439" t="s">
        <v>4302</v>
      </c>
      <c r="CL524" s="439" t="s">
        <v>4297</v>
      </c>
      <c r="CM524" s="1119">
        <v>0.08</v>
      </c>
      <c r="CN524" s="439">
        <v>3</v>
      </c>
      <c r="CO524" s="1115"/>
      <c r="CP524" s="1118">
        <f t="shared" si="733"/>
        <v>1.059616577669184E-2</v>
      </c>
      <c r="CQ524" s="1118">
        <f t="shared" si="734"/>
        <v>1.059616577669184E-2</v>
      </c>
      <c r="CR524" s="1118">
        <f t="shared" si="735"/>
        <v>0</v>
      </c>
      <c r="CS524" s="442">
        <f t="shared" si="736"/>
        <v>0</v>
      </c>
      <c r="CT524" s="432">
        <f t="shared" si="737"/>
        <v>0.81954719679100962</v>
      </c>
      <c r="CU524" s="1101">
        <f t="shared" si="738"/>
        <v>137.75015509699392</v>
      </c>
      <c r="CV524" s="1108">
        <f t="shared" si="768"/>
        <v>105.60845224102866</v>
      </c>
      <c r="CW524" s="420">
        <f t="shared" si="739"/>
        <v>0</v>
      </c>
      <c r="CX524" s="420">
        <f t="shared" si="740"/>
        <v>137.75015509699392</v>
      </c>
      <c r="CY524" s="433">
        <f t="shared" si="741"/>
        <v>0</v>
      </c>
      <c r="CZ524" s="437"/>
      <c r="DA524" s="438"/>
      <c r="DB524" s="439" t="s">
        <v>569</v>
      </c>
      <c r="DC524" s="439"/>
      <c r="DD524" s="443"/>
      <c r="DE524" s="411"/>
      <c r="DF524" s="411"/>
      <c r="DG524" s="1116">
        <f t="shared" si="742"/>
        <v>0</v>
      </c>
      <c r="DH524" s="1116">
        <f t="shared" si="743"/>
        <v>0</v>
      </c>
      <c r="DI524" s="1116">
        <f t="shared" si="744"/>
        <v>0</v>
      </c>
      <c r="DJ524" s="442">
        <f t="shared" si="745"/>
        <v>0</v>
      </c>
      <c r="DK524" s="432">
        <f t="shared" si="746"/>
        <v>0</v>
      </c>
      <c r="DL524" s="424">
        <f t="shared" si="747"/>
        <v>0</v>
      </c>
      <c r="DM524" s="420">
        <f t="shared" si="748"/>
        <v>0</v>
      </c>
      <c r="DN524" s="420">
        <f t="shared" si="749"/>
        <v>0</v>
      </c>
      <c r="DO524" s="420">
        <f t="shared" si="750"/>
        <v>0</v>
      </c>
      <c r="DP524" s="433">
        <f t="shared" si="751"/>
        <v>0</v>
      </c>
      <c r="DQ524" s="437" t="s">
        <v>2107</v>
      </c>
      <c r="DR524" s="1120">
        <f t="shared" si="686"/>
        <v>0.3</v>
      </c>
      <c r="DS524" s="450">
        <v>3</v>
      </c>
      <c r="DT524" s="1124" t="s">
        <v>4303</v>
      </c>
      <c r="DU524" s="1124" t="s">
        <v>2145</v>
      </c>
      <c r="DV524" s="1098">
        <f>IF($P524="","N/A",IF(P524=-1,INDEX('卡片raw data'!AN:AN,MATCH(D524,'卡片raw data'!$F:$F,)),0)+IF(AND(L524&lt;&gt;"party卡",P524&lt;=2,P524&gt;=0),INDEX('卡片raw data'!AP:AP,MATCH(D524,'卡片raw data'!$F:$F,)),0)+IF(OR(AND(L524="party卡",P524&lt;=1),AND(P524&lt;=4,L524&lt;&gt;"party卡",P524&gt;=3)),INDEX('卡片raw data'!AQ:AQ,MATCH(D524,'卡片raw data'!$F:$F,)),0)+IF(OR(P524=5,AND(L524="party卡",P524&gt;=2)),INDEX('卡片raw data'!AR:AR,MATCH(D524,'卡片raw data'!$F:$F,)),0))</f>
        <v>0.1</v>
      </c>
      <c r="DW524" s="1098">
        <f t="shared" si="752"/>
        <v>0.3</v>
      </c>
      <c r="DX524" s="1098">
        <f t="shared" si="753"/>
        <v>0.3</v>
      </c>
      <c r="DY524" s="1098">
        <f t="shared" si="754"/>
        <v>0.02</v>
      </c>
      <c r="DZ524" s="1098">
        <f t="shared" si="755"/>
        <v>1.5137499999999998E-2</v>
      </c>
      <c r="EA524" s="421">
        <f t="shared" si="756"/>
        <v>0</v>
      </c>
      <c r="EB524" s="445">
        <f t="shared" si="757"/>
        <v>0</v>
      </c>
      <c r="EC524" s="424">
        <f t="shared" si="758"/>
        <v>2340.6435746265001</v>
      </c>
      <c r="ED524" s="420">
        <f t="shared" si="759"/>
        <v>122.57355453031639</v>
      </c>
      <c r="EE524" s="433">
        <f t="shared" si="683"/>
        <v>2340.6435746265001</v>
      </c>
      <c r="EF524" s="1115" t="s">
        <v>569</v>
      </c>
      <c r="EG524" s="444">
        <f t="shared" si="687"/>
        <v>0.3</v>
      </c>
      <c r="EH524" s="450"/>
      <c r="EI524" s="1093"/>
      <c r="EJ524" s="1093"/>
      <c r="EK524" s="420">
        <f>IF($P524="","N/A",IF(P524=-1,INDEX('卡片raw data'!AS:AS,MATCH(D524,'卡片raw data'!$F:$F,)),0)+IF(AND(L524&lt;&gt;"party卡",P524&lt;=2,P524&gt;=0),INDEX('卡片raw data'!AU:AU,MATCH(D524,'卡片raw data'!$F:$F,)),0)+IF(OR(AND(L524="party卡",P524&lt;=1),AND(P524&lt;=4,L524&lt;&gt;"party卡",P524&gt;=3)),INDEX('卡片raw data'!AV:AV,MATCH(D524,'卡片raw data'!$F:$F,)),0)+IF(OR(P524=5,AND(L524="party卡",P524&gt;=2)),INDEX('卡片raw data'!AW:AW,MATCH(D524,'卡片raw data'!$F:$F,)),0))</f>
        <v>0</v>
      </c>
      <c r="EL524" s="1098">
        <f t="shared" si="760"/>
        <v>0.3</v>
      </c>
      <c r="EM524" s="1098">
        <f t="shared" si="761"/>
        <v>0.3</v>
      </c>
      <c r="EN524" s="1097">
        <f t="shared" si="762"/>
        <v>0</v>
      </c>
      <c r="EO524" s="1097">
        <f t="shared" si="763"/>
        <v>0</v>
      </c>
      <c r="EP524" s="421">
        <f t="shared" si="764"/>
        <v>0</v>
      </c>
      <c r="EQ524" s="445">
        <f t="shared" si="765"/>
        <v>0</v>
      </c>
      <c r="ER524" s="424">
        <f t="shared" si="766"/>
        <v>0</v>
      </c>
      <c r="ES524" s="420">
        <f t="shared" si="767"/>
        <v>0</v>
      </c>
      <c r="ET524" s="446">
        <f t="shared" si="684"/>
        <v>0</v>
      </c>
    </row>
    <row r="525" spans="2:150" ht="16.5" customHeight="1">
      <c r="B525" s="448" t="str">
        <f>INDEX('卡片raw data'!B:B,MATCH($D525,'卡片raw data'!$F:$F,))</f>
        <v>fes2雫</v>
      </c>
      <c r="C525" s="449" t="s">
        <v>4340</v>
      </c>
      <c r="D525" s="408">
        <v>522</v>
      </c>
      <c r="E525" s="477">
        <v>202033002</v>
      </c>
      <c r="F525" s="409" t="str">
        <f>INDEX('卡片raw data'!C:C,MATCH($D525,'卡片raw data'!$F:$F,))</f>
        <v>UR</v>
      </c>
      <c r="G525" s="1094" t="s">
        <v>4341</v>
      </c>
      <c r="H525" s="411">
        <f>IFERROR(INDEX(绊状态确认!C:C,MATCH($G525,绊状态确认!$B:$B,)),"")</f>
        <v>203</v>
      </c>
      <c r="I525" s="450" t="str">
        <f>IFERROR(INDEX(绊状态确认!D:D,MATCH($G525,绊状态确认!$B:$B,)),"")</f>
        <v>虹</v>
      </c>
      <c r="J525" s="450" t="str">
        <f>IFERROR(INDEX(绊状态确认!E:E,MATCH($G525,绊状态确认!$B:$B,)),"")</f>
        <v>1年级</v>
      </c>
      <c r="K525" s="451" t="str">
        <f>IFERROR(INDEX(绊状态确认!F:F,MATCH($G525,绊状态确认!$B:$B,)),"")</f>
        <v>A·ZU·NA</v>
      </c>
      <c r="L525" s="414" t="str">
        <f>INDEX('卡片raw data'!E:E,MATCH($D525,'卡片raw data'!$F:$F,))</f>
        <v>fes卡</v>
      </c>
      <c r="M525" s="478">
        <v>44438</v>
      </c>
      <c r="N525" s="479">
        <v>46.5</v>
      </c>
      <c r="O525" s="410" t="str">
        <f>INDEX('卡片raw data'!D:D,MATCH($D525,'卡片raw data'!$F:$F,))</f>
        <v>vo</v>
      </c>
      <c r="P525" s="1126">
        <v>5</v>
      </c>
      <c r="Q525" s="418">
        <f t="shared" si="688"/>
        <v>79165.362488752973</v>
      </c>
      <c r="R525" s="419">
        <f t="shared" si="689"/>
        <v>0.92</v>
      </c>
      <c r="S525" s="420">
        <f t="shared" si="690"/>
        <v>22950.10941940983</v>
      </c>
      <c r="T525" s="421">
        <f t="shared" si="691"/>
        <v>1.147</v>
      </c>
      <c r="U525" s="422">
        <f t="shared" si="692"/>
        <v>-11.594790781857142</v>
      </c>
      <c r="V525" s="423">
        <f t="shared" si="693"/>
        <v>78933.189672161388</v>
      </c>
      <c r="W525" s="424">
        <f t="shared" si="694"/>
        <v>6010.2953161679998</v>
      </c>
      <c r="X525" s="419">
        <f t="shared" si="695"/>
        <v>6.9000000000000006E-2</v>
      </c>
      <c r="Y525" s="420">
        <f t="shared" si="696"/>
        <v>1072.49563365012</v>
      </c>
      <c r="Z525" s="425">
        <f t="shared" si="697"/>
        <v>13.405209218142858</v>
      </c>
      <c r="AA525" s="426">
        <f t="shared" si="698"/>
        <v>7082.7909498181198</v>
      </c>
      <c r="AB525" s="424">
        <f t="shared" si="699"/>
        <v>11888.693326042654</v>
      </c>
      <c r="AC525" s="427">
        <f t="shared" si="700"/>
        <v>0.13800000000000001</v>
      </c>
      <c r="AD525" s="428">
        <f t="shared" si="701"/>
        <v>0</v>
      </c>
      <c r="AE525" s="516">
        <f t="shared" si="702"/>
        <v>0</v>
      </c>
      <c r="AF525" s="1130">
        <f t="shared" si="703"/>
        <v>0</v>
      </c>
      <c r="AG525" s="420">
        <f t="shared" si="704"/>
        <v>0</v>
      </c>
      <c r="AH525" s="420">
        <f t="shared" si="705"/>
        <v>0</v>
      </c>
      <c r="AI525" s="1097">
        <f t="shared" si="706"/>
        <v>0</v>
      </c>
      <c r="AJ525" s="420">
        <f t="shared" si="707"/>
        <v>0</v>
      </c>
      <c r="AK525" s="518">
        <f t="shared" si="708"/>
        <v>0</v>
      </c>
      <c r="AL525" s="1106">
        <f>IF($P525="","N/A",(IF($P525=-1,INDEX('卡片raw data'!S:S,MATCH($D525,'卡片raw data'!$F:$F,)),0)+IF($P525=0,INDEX('卡片raw data'!V:V,MATCH($D525,'卡片raw data'!$F:$F,)),0)+IF($P525=1,INDEX('卡片raw data'!Y:Y,MATCH($D525,'卡片raw data'!$F:$F,)),0)+IF($P525=2,INDEX('卡片raw data'!AB:AB,MATCH($D525,'卡片raw data'!$F:$F,)),0)+IF($P525=3,INDEX('卡片raw data'!AE:AE,MATCH($D525,'卡片raw data'!$F:$F,)),0)+IF($P525=4,INDEX('卡片raw data'!AH:AH,MATCH($D525,'卡片raw data'!$F:$F,)),0)+IF($P525=5,INDEX('卡片raw data'!AK:AK,MATCH($D525,'卡片raw data'!$F:$F,)),0)+INDEX('卡片raw data'!S:S,MATCH($D525,'卡片raw data'!$F:$F,))*(IF($F525="UR",0.04,0.033))*(IF($F525="UR",INDEX(绊状态确认!$S:$S,MATCH($G525,绊状态确认!$B:$B,))/2-40)+IF($F525="SR",INDEX(绊状态确认!$R:$R,MATCH($G525,绊状态确认!$B:$B,))/4-15))+IF($F525="R",INDEX(绊状态确认!$Q:$Q,MATCH($G525,绊状态确认!$B:$B,))/6-40/6)))*(INDEX(绊状态确认!$H:$H,MATCH($G525,绊状态确认!$B:$B,))+INDEX(绊状态确认!J:J,MATCH($G525,绊状态确认!$B:$B,)))</f>
        <v>17018.7264</v>
      </c>
      <c r="AM525" s="1106">
        <f>IF($P525="","N/A",(IF($P525=-1,INDEX('卡片raw data'!T:T,MATCH($D525,'卡片raw data'!$F:$F,)),0)+IF($P525=0,INDEX('卡片raw data'!W:W,MATCH($D525,'卡片raw data'!$F:$F,)),0)+IF($P525=1,INDEX('卡片raw data'!Z:Z,MATCH($D525,'卡片raw data'!$F:$F,)),0)+IF($P525=2,INDEX('卡片raw data'!AC:AC,MATCH($D525,'卡片raw data'!$F:$F,)),0)+IF($P525=3,INDEX('卡片raw data'!AF:AF,MATCH($D525,'卡片raw data'!$F:$F,)),0)+IF($P525=4,INDEX('卡片raw data'!AI:AI,MATCH($D525,'卡片raw data'!$F:$F,)),0)+IF($P525=5,INDEX('卡片raw data'!AL:AL,MATCH($D525,'卡片raw data'!$F:$F,)),0)+INDEX('卡片raw data'!T:T,MATCH($D525,'卡片raw data'!$F:$F,))*(IF($F525="UR",0.04,0.033))*(IF($F525="UR",INDEX(绊状态确认!$S:$S,MATCH($G525,绊状态确认!$B:$B,))/2-40)+IF($F525="SR",INDEX(绊状态确认!$R:$R,MATCH($G525,绊状态确认!$B:$B,))/4-15))+IF($F525="R",INDEX(绊状态确认!$Q:$Q,MATCH($G525,绊状态确认!$B:$B,))/6-40/6)))*(INDEX(绊状态确认!$H:$H,MATCH($G525,绊状态确认!$B:$B,))+INDEX(绊状态确认!K:K,MATCH($G525,绊状态确认!$B:$B,)))</f>
        <v>7185.0026399999997</v>
      </c>
      <c r="AN525" s="1106">
        <f>IF($P525="","N/A",(IF($P525=-1,INDEX('卡片raw data'!U:U,MATCH($D525,'卡片raw data'!$F:$F,)),0)+IF($P525=0,INDEX('卡片raw data'!X:X,MATCH($D525,'卡片raw data'!$F:$F,)),0)+IF($P525=1,INDEX('卡片raw data'!AA:AA,MATCH($D525,'卡片raw data'!$F:$F,)),0)+IF($P525=2,INDEX('卡片raw data'!AD:AD,MATCH($D525,'卡片raw data'!$F:$F,)),0)+IF($P525=3,INDEX('卡片raw data'!AG:AG,MATCH($D525,'卡片raw data'!$F:$F,)),0)+IF($P525=4,INDEX('卡片raw data'!AJ:AJ,MATCH($D525,'卡片raw data'!$F:$F,)),0)+IF($P525=5,INDEX('卡片raw data'!AM:AM,MATCH($D525,'卡片raw data'!$F:$F,)),0)+INDEX('卡片raw data'!U:U,MATCH($D525,'卡片raw data'!$F:$F,))*(IF($F525="UR",0.04,0.033))*(IF($F525="UR",INDEX(绊状态确认!$S:$S,MATCH($G525,绊状态确认!$B:$B,))/2-40)+IF($F525="SR",INDEX(绊状态确认!$R:$R,MATCH($G525,绊状态确认!$B:$B,))/4-15))+IF($F525="R",INDEX(绊状态确认!$Q:$Q,MATCH($G525,绊状态确认!$B:$B,))/6-40/6)))*(INDEX(绊状态确认!$H:$H,MATCH($G525,绊状态确认!$B:$B,))+INDEX(绊状态确认!L:L,MATCH($G525,绊状态确认!$B:$B,)))</f>
        <v>13614.526559999998</v>
      </c>
      <c r="AO525" s="1107">
        <f t="shared" si="709"/>
        <v>1</v>
      </c>
      <c r="AP525" s="1131">
        <f>1+(INDEX(绊状态确认!$T:$T,MATCH($G525,绊状态确认!$B:$B,))+0.2)*$AO525</f>
        <v>1.3</v>
      </c>
      <c r="AQ525" s="1108">
        <f t="shared" si="710"/>
        <v>47924.156799999997</v>
      </c>
      <c r="AR525" s="1097">
        <f>(AM525*(1+$EX$9)+$EX$35)*(1+(INDEX(绊状态确认!$T:$T,MATCH($G525,绊状态确认!$B:$B,))+0.2)*AO525)*IF(J525=$FF$17,1+$FE$17,1)*IF(I525=$FF$14,1+$FE$14,1)</f>
        <v>12511.5286036</v>
      </c>
      <c r="AS525" s="1097">
        <f>(AN525*(1+$EX$10)+$EX$36)*(1+(INDEX(绊状态确认!$T:$T,MATCH($G525,绊状态确认!$B:$B,))+0.2)*AO525)*IF(J525=$FF$17,1+$FE$17,1)*IF(I525=$FF$14,1+$FE$14,1)</f>
        <v>24409.717207199996</v>
      </c>
      <c r="AT525" s="1093">
        <f>IF(AND(INDEX('卡片raw data'!AK:AK,MATCH($D525,'卡片raw data'!$F:$F,))&lt;INDEX('卡片raw data'!AM:AM,MATCH($D525,'卡片raw data'!$F:$F,)),INDEX('卡片raw data'!AL:AL,MATCH($D525,'卡片raw data'!$F:$F,))&lt;INDEX('卡片raw data'!AM:AM,MATCH($D525,'卡片raw data'!$F:$F,))),1,0)</f>
        <v>0</v>
      </c>
      <c r="AU525" s="1098">
        <f>MIN(AT525*0.15+AS525*0.00003+INDEX(绊状态确认!M:M,MATCH($G525,绊状态确认!$B:$B,)),1)</f>
        <v>0.76229151621599989</v>
      </c>
      <c r="AV525" s="1109">
        <f>(INDEX(绊状态确认!$N:$N,MATCH($G525,绊状态确认!$B:$B,))+1.5)*$EW$21</f>
        <v>2.6599999999999997</v>
      </c>
      <c r="AW525" s="1101">
        <f t="shared" si="711"/>
        <v>56384.208891817136</v>
      </c>
      <c r="AX525" s="1097">
        <f t="shared" si="712"/>
        <v>1072.4956336501198</v>
      </c>
      <c r="AY525" s="1110">
        <f t="shared" si="713"/>
        <v>57456.704525467256</v>
      </c>
      <c r="AZ525" s="429">
        <f t="shared" si="714"/>
        <v>35786.516479999998</v>
      </c>
      <c r="BA525" s="431">
        <f t="shared" si="715"/>
        <v>42943.819775999997</v>
      </c>
      <c r="BB525" s="1097">
        <f>(AM525*(1+$FB$9)+$FB$35)*(1+(INDEX(绊状态确认!$T:$T,MATCH($G525,绊状态确认!$B:$B,))+0.2)*AO525)*IF(J525=$FF$17,1+$FE$17,1)*IF(I525=$FF$14,1+$FE$14,1)*(1+$FE$15)</f>
        <v>12511.5286036</v>
      </c>
      <c r="BC525" s="1097">
        <f>(AN525*(1+$FB$10)+$FB$36)*(1+(INDEX(绊状态确认!$T:$T,MATCH($G525,绊状态确认!$B:$B,))+0.2)*AO525)*IF(J525=$FF$17,1+$FE$17,1)*IF(I525=$FF$14,1+$FE$14,1)*(1+$FE$15)</f>
        <v>24409.717207199996</v>
      </c>
      <c r="BD525" s="1104">
        <f>MIN(AT525*0.15+BC525*0.00003+INDEX(绊状态确认!M:M,MATCH($G525,绊状态确认!$B:$B,)),1)</f>
        <v>0.76229151621599989</v>
      </c>
      <c r="BE525" s="432">
        <f>(INDEX(绊状态确认!$N:$N,MATCH($G525,绊状态确认!$B:$B,))+1.5)</f>
        <v>1.9</v>
      </c>
      <c r="BF525" s="1139">
        <f t="array" ref="BF525">SUMPRODUCT(IF(AZ525*AP525*$FI$16:$FI$23*$FA$22&gt;=$FI$24,$FI$24,AZ525*AP525*$FI$16:$FI$23*$FA$22),$FJ$16:$FJ$23)</f>
        <v>59582.696570879998</v>
      </c>
      <c r="BG525" s="1125">
        <f t="array" ref="BG525">SUMPRODUCT(IF(BE525*AZ525*AP525*$FI$16:$FI$23*$FA$22&gt;=$FI$24,$FI$24,BE525*AZ525*AP525*$FI$16:$FI$23*$FA$22),$FJ$16:$FJ$23)</f>
        <v>60000</v>
      </c>
      <c r="BH525" s="1110">
        <f t="shared" si="716"/>
        <v>19966.93447819534</v>
      </c>
      <c r="BI525" s="1111">
        <f>IF(O525="vo",$EW$26/$EW$24*0.05,0)+IF(O525="sk",-$EW$26/$EW$24*(0.05-INDEX(绊状态确认!W:W,MATCH($G525,绊状态确认!$B:$B,)))+0.05*$EW$28,0)+IF(O525="sp",0.05*$EW$32*$EW$30*(1-$EW$33)-(0.05-INDEX(绊状态确认!V:V,MATCH($G525,绊状态确认!$B:$B,)))*$EW$28,0)+IF(O525="gd",-(0.05-INDEX(绊状态确认!X:X,MATCH($G525,绊状态确认!$B:$B,)))*$EW$32*$EW$30*(1-$EW$33),0)</f>
        <v>7726.3029277443748</v>
      </c>
      <c r="BJ525" s="420">
        <f>IF(O525="vo",0.05*(1-$FI$26)*$FA$24,0)+IF(O525="sk",-(0.05-INDEX(绊状态确认!W:W,MATCH($G525,绊状态确认!$B:$B,)))*(1-$FI$26)*$FA$24+0.05*$FA$26,0)+IF(O525="sp",0.05*$FA$32*$FA$27*(1-$FA$33)/$FA$30+0.05*$FA$29/$FA$69*$FA$27*(1-$FA$33)-(0.05-INDEX(绊状态确认!V:V,MATCH($G525,绊状态确认!$B:$B,)))*$FA$26,0)+IF(O525="gd",-(0.05-INDEX(绊状态确认!X:X,MATCH($G525,绊状态确认!$B:$B,)))*$FA$32*$FA$27*(1-$FA$33)/$FA$30-(0.05-INDEX(绊状态确认!X:X,MATCH($G525,绊状态确认!$B:$B,)))*$FA$29/$FA$69*$FA$27*(1-$FA$33),0)</f>
        <v>393.93433687500004</v>
      </c>
      <c r="BK525" s="1110">
        <f>IF(O525="vo",$EW$26/$EW$24*0.05+$EW$26*(-HP($EW$62,$EW$65,$EW$64)+HP($EW$62,$EW$65,(1.05-INDEX(绊状态确认!U:U,MATCH($G525,绊状态确认!$B:$B,)))*$EW$64)),0)+IF(O525="sk",-$EW$26/$EW$24*(0.05-INDEX(绊状态确认!W:W,MATCH($G525,绊状态确认!$B:$B,)))+0.05*$EW$29,0)+IF(O525="sp",0.05*$EW$32*$EW$30*(1-$EW$33)-(0.05-INDEX(绊状态确认!V:V,MATCH($G525,绊状态确认!$B:$B,)))*$EW$29,0)+IF(O525="gd",-(0.05-INDEX(绊状态确认!X:X,MATCH($G525,绊状态确认!$B:$B,)))*$EW$32*$EW$30*(1-$EW$33)+$EW$26*(-HP($EW$62,$EW$65,$EW$64)+HP($EW$62,$EW$65,0.95*$EW$64)),0)</f>
        <v>6421.6344775026746</v>
      </c>
      <c r="BL525" s="1111">
        <f t="shared" si="717"/>
        <v>0</v>
      </c>
      <c r="BM525" s="1110">
        <f t="shared" si="718"/>
        <v>0</v>
      </c>
      <c r="BN525" s="1113">
        <f t="shared" si="719"/>
        <v>4</v>
      </c>
      <c r="BO525" s="1108">
        <f t="shared" si="720"/>
        <v>6010.2953161679998</v>
      </c>
      <c r="BP525" s="1127">
        <f t="shared" si="721"/>
        <v>295.12137612040135</v>
      </c>
      <c r="BQ525" s="1113" t="s">
        <v>132</v>
      </c>
      <c r="BR525" s="1124" t="s">
        <v>166</v>
      </c>
      <c r="BS525" s="421">
        <f>IF($P525="","N/A",IF($P525=-1,INDEX('卡片raw data'!AX:AX,MATCH($D525,'卡片raw data'!$F:$F,)),0)+IF($L525="party卡",IF($P525=5,INDEX('卡片raw data'!BD:BD,MATCH($D525,'卡片raw data'!$F:$F,)),IF($P525&gt;=3,INDEX('卡片raw data'!BC:BC,MATCH($D525,'卡片raw data'!$F:$F,)),INDEX('卡片raw data'!BB:BB,MATCH($D525,'卡片raw data'!$F:$F,)))),IF(OR(AND($F525="UR",$P525=0),AND($F525="SR",$P525&gt;=0,$P525&lt;=2),AND($F525="R",$P525&gt;=0,$P525&lt;4)),INDEX('卡片raw data'!AZ:AZ,MATCH($D525,'卡片raw data'!$F:$F,)),0)+IF(OR(AND($F525="UR",$P525&gt;=1,$P525&lt;=4),AND($F525="SR",$P525&lt;=4,$P525&gt;=3),AND($F525="R",$P525=4)),INDEX('卡片raw data'!BA:BA,MATCH($D525,'卡片raw data'!$F:$F,)),0)+IF($P525=5,INDEX('卡片raw data'!BB:BB,MATCH($D525,'卡片raw data'!$F:$F,)),0)))</f>
        <v>0.15</v>
      </c>
      <c r="BT525" s="424">
        <f t="shared" si="722"/>
        <v>3738.1795950375999</v>
      </c>
      <c r="BU525" s="420">
        <f t="shared" si="723"/>
        <v>63.106197598309684</v>
      </c>
      <c r="BV525" s="420">
        <f t="shared" si="724"/>
        <v>0</v>
      </c>
      <c r="BW525" s="436">
        <f t="shared" si="725"/>
        <v>0</v>
      </c>
      <c r="BX525" s="423">
        <f t="shared" si="726"/>
        <v>3738.1795950375999</v>
      </c>
      <c r="BY525" s="433">
        <f t="shared" si="727"/>
        <v>0</v>
      </c>
      <c r="BZ525" s="1113" t="s">
        <v>569</v>
      </c>
      <c r="CA525" s="450"/>
      <c r="CB525" s="421">
        <f>IF($P525="","N/A",IF($P525=-1,INDEX('卡片raw data'!BE:BE,MATCH($D525,'卡片raw data'!$F:$F,)),0)+IF($L525="party卡",IF($P525=5,INDEX('卡片raw data'!BK:BK,MATCH($D525,'卡片raw data'!$F:$F,)),IF($P525&gt;=3,INDEX('卡片raw data'!BJ:BJ,MATCH($D525,'卡片raw data'!$F:$F,)),INDEX('卡片raw data'!BI:BI,MATCH($D525,'卡片raw data'!$F:$F,)))),IF(OR(AND($F525="UR",$P525=0),AND($F525="SR",$P525&gt;=0,$P525&lt;=2),AND($F525="R",$P525&gt;=0,$P525&lt;4)),INDEX('卡片raw data'!BG:BG,MATCH($D525,'卡片raw data'!$F:$F,)),0)+IF(OR(AND($F525="UR",$P525&gt;=1,$P525&lt;=4),AND($F525="SR",$P525&lt;=4,$P525&gt;=3),AND($F525="R",$P525=4)),INDEX('卡片raw data'!BH:BH,MATCH($D525,'卡片raw data'!$F:$F,)),0)+IF($P525=5,INDEX('卡片raw data'!BI:BI,MATCH($D525,'卡片raw data'!$F:$F,)),0)))</f>
        <v>0</v>
      </c>
      <c r="CC525" s="424">
        <f t="shared" si="728"/>
        <v>0</v>
      </c>
      <c r="CD525" s="420">
        <f>IF(BZ525="ap",CB525*(1-$FI$26)*$FB$5/$FB$11*(+IF(CA525="全员",$FA$24,0)+IF(CA525="同作战",$FA$24,0)+IF(CA525="仲间",$FA$24*2/3,0)+IF(CA525="同属性",$FA$24*$FA$37/3,0)+IF(CA525="同年级",$FA$24*$FA$40/3,0)+IF(CA525="同学校",$FA$24*$FA$43/3,0)+IF(CA525="同小队",$FA$24*$FA$46/3,0)+IF(CA525="同type",$FA$24*INDEX($FB$49:$FB$52,MATCH(X525,$FA$49:$FA$52,))/3,0)+IF(CA525="自身",#REF!/3,0)),0)+IF(BZ525="te",CB525*(1-$FI$27)*($FA$20-1)*$FB$7/$FB$13*(+IF(CA525="全员",$FA$19*$FA$24/(1+($FA$20-1)*$FA$19),0)+IF(CA525="同作战",$FA$19*$FA$24/(1+($FA$20-1)*$FA$19),0)+IF(CA525="仲间",$FA$19*$FA$24*2/3/(1+($FA$20-1)*$FA$19),0)+IF(CA525="同属性",$FA$19*$FA$24*$FA$37/3/(1+($FA$20-1)*$FA$19),0)+IF(CA525="同年级",$FA$19*$FA$24*$FA$40/3/(1+($FA$20-1)*$FA$19),0)+IF(CA525="同学校",$FA$19*$FA$24*$FA$43/3/(1+($FA$20-1)*$FA$19),0)+IF(CA525="同小队",$FA$19*$FA$24*$FA$46/3/(1+($FA$20-1)*$FA$19),0)+IF(CA525="同type",$FA$19*$FA$24*INDEX($FB$49:$FB$52,MATCH(X525,$FA$49:$FA$52,))/3/(1+($FA$20-1)*$FA$19),0)+IF(CA525="自身",$FA$19*#REF!/3/(1+(BH525-1)*$BD525),0)),0)</f>
        <v>0</v>
      </c>
      <c r="CE525" s="420">
        <f t="shared" si="729"/>
        <v>0</v>
      </c>
      <c r="CF525" s="436">
        <f t="shared" si="730"/>
        <v>0</v>
      </c>
      <c r="CG525" s="423">
        <f t="shared" si="731"/>
        <v>0</v>
      </c>
      <c r="CH525" s="433">
        <f t="shared" si="732"/>
        <v>0</v>
      </c>
      <c r="CI525" s="1113" t="s">
        <v>162</v>
      </c>
      <c r="CJ525" s="1114">
        <v>1</v>
      </c>
      <c r="CK525" s="1115" t="s">
        <v>551</v>
      </c>
      <c r="CL525" s="1115" t="s">
        <v>2667</v>
      </c>
      <c r="CM525" s="1119">
        <v>0.2</v>
      </c>
      <c r="CN525" s="1115" t="s">
        <v>1948</v>
      </c>
      <c r="CO525" s="1115"/>
      <c r="CP525" s="1118">
        <f t="shared" si="733"/>
        <v>3.5714285714285712E-2</v>
      </c>
      <c r="CQ525" s="1118">
        <f t="shared" si="734"/>
        <v>3.3333333333333333E-2</v>
      </c>
      <c r="CR525" s="1118">
        <f t="shared" si="735"/>
        <v>0</v>
      </c>
      <c r="CS525" s="1118">
        <f t="shared" si="736"/>
        <v>0</v>
      </c>
      <c r="CT525" s="1109">
        <f t="shared" si="737"/>
        <v>0</v>
      </c>
      <c r="CU525" s="1101">
        <f t="shared" si="738"/>
        <v>2140.2184148370538</v>
      </c>
      <c r="CV525" s="1108">
        <f t="shared" si="768"/>
        <v>0</v>
      </c>
      <c r="CW525" s="1097">
        <f t="shared" si="739"/>
        <v>0</v>
      </c>
      <c r="CX525" s="1097">
        <f t="shared" si="740"/>
        <v>2140.2184148370538</v>
      </c>
      <c r="CY525" s="1110">
        <f t="shared" si="741"/>
        <v>0</v>
      </c>
      <c r="CZ525" s="437"/>
      <c r="DA525" s="438"/>
      <c r="DB525" s="439" t="s">
        <v>569</v>
      </c>
      <c r="DC525" s="439"/>
      <c r="DD525" s="443"/>
      <c r="DE525" s="411"/>
      <c r="DF525" s="411"/>
      <c r="DG525" s="1116">
        <f t="shared" si="742"/>
        <v>0</v>
      </c>
      <c r="DH525" s="1116">
        <f t="shared" si="743"/>
        <v>0</v>
      </c>
      <c r="DI525" s="1116">
        <f t="shared" si="744"/>
        <v>0</v>
      </c>
      <c r="DJ525" s="442">
        <f t="shared" si="745"/>
        <v>0</v>
      </c>
      <c r="DK525" s="432">
        <f t="shared" si="746"/>
        <v>0</v>
      </c>
      <c r="DL525" s="424">
        <f t="shared" si="747"/>
        <v>0</v>
      </c>
      <c r="DM525" s="420">
        <f t="shared" si="748"/>
        <v>0</v>
      </c>
      <c r="DN525" s="420">
        <f t="shared" si="749"/>
        <v>0</v>
      </c>
      <c r="DO525" s="420">
        <f t="shared" si="750"/>
        <v>0</v>
      </c>
      <c r="DP525" s="433">
        <f t="shared" si="751"/>
        <v>0</v>
      </c>
      <c r="DQ525" s="1113" t="s">
        <v>545</v>
      </c>
      <c r="DR525" s="1120">
        <f t="shared" si="686"/>
        <v>0.33</v>
      </c>
      <c r="DS525" s="1124"/>
      <c r="DT525" s="1093" t="s">
        <v>132</v>
      </c>
      <c r="DU525" s="1124"/>
      <c r="DV525" s="1098">
        <f>IF($P525="","N/A",IF(P525=-1,INDEX('卡片raw data'!AN:AN,MATCH(D525,'卡片raw data'!$F:$F,)),0)+IF(AND(L525&lt;&gt;"party卡",P525&lt;=2,P525&gt;=0),INDEX('卡片raw data'!AP:AP,MATCH(D525,'卡片raw data'!$F:$F,)),0)+IF(OR(AND(L525="party卡",P525&lt;=1),AND(P525&lt;=4,L525&lt;&gt;"party卡",P525&gt;=3)),INDEX('卡片raw data'!AQ:AQ,MATCH(D525,'卡片raw data'!$F:$F,)),0)+IF(OR(P525=5,AND(L525="party卡",P525&gt;=2)),INDEX('卡片raw data'!AR:AR,MATCH(D525,'卡片raw data'!$F:$F,)),0))</f>
        <v>0.42</v>
      </c>
      <c r="DW525" s="1098">
        <f t="shared" si="752"/>
        <v>0.33</v>
      </c>
      <c r="DX525" s="1098">
        <f t="shared" si="753"/>
        <v>0.33</v>
      </c>
      <c r="DY525" s="1097">
        <f t="shared" si="754"/>
        <v>2878.3248574080003</v>
      </c>
      <c r="DZ525" s="1097">
        <f t="shared" si="755"/>
        <v>2231.0130306207743</v>
      </c>
      <c r="EA525" s="421">
        <f t="shared" si="756"/>
        <v>0</v>
      </c>
      <c r="EB525" s="445">
        <f t="shared" si="757"/>
        <v>0</v>
      </c>
      <c r="EC525" s="424">
        <f t="shared" si="758"/>
        <v>3166.1573431488005</v>
      </c>
      <c r="ED525" s="420">
        <f t="shared" si="759"/>
        <v>2231.0130306207743</v>
      </c>
      <c r="EE525" s="433">
        <f t="shared" si="683"/>
        <v>3166.1573431488005</v>
      </c>
      <c r="EF525" s="1113" t="s">
        <v>569</v>
      </c>
      <c r="EG525" s="1120">
        <f t="shared" si="687"/>
        <v>0.33</v>
      </c>
      <c r="EH525" s="450"/>
      <c r="EI525" s="1124"/>
      <c r="EJ525" s="1124"/>
      <c r="EK525" s="420">
        <f>IF($P525="","N/A",IF(P525=-1,INDEX('卡片raw data'!AS:AS,MATCH(D525,'卡片raw data'!$F:$F,)),0)+IF(AND(L525&lt;&gt;"party卡",P525&lt;=2,P525&gt;=0),INDEX('卡片raw data'!AU:AU,MATCH(D525,'卡片raw data'!$F:$F,)),0)+IF(OR(AND(L525="party卡",P525&lt;=1),AND(P525&lt;=4,L525&lt;&gt;"party卡",P525&gt;=3)),INDEX('卡片raw data'!AV:AV,MATCH(D525,'卡片raw data'!$F:$F,)),0)+IF(OR(P525=5,AND(L525="party卡",P525&gt;=2)),INDEX('卡片raw data'!AW:AW,MATCH(D525,'卡片raw data'!$F:$F,)),0))</f>
        <v>0</v>
      </c>
      <c r="EL525" s="1098">
        <f t="shared" si="760"/>
        <v>0.33</v>
      </c>
      <c r="EM525" s="1098">
        <f t="shared" si="761"/>
        <v>0.33</v>
      </c>
      <c r="EN525" s="1097">
        <f t="shared" si="762"/>
        <v>0</v>
      </c>
      <c r="EO525" s="1097">
        <f t="shared" si="763"/>
        <v>0</v>
      </c>
      <c r="EP525" s="421">
        <f t="shared" si="764"/>
        <v>0</v>
      </c>
      <c r="EQ525" s="445">
        <f t="shared" si="765"/>
        <v>0</v>
      </c>
      <c r="ER525" s="424">
        <f t="shared" si="766"/>
        <v>0</v>
      </c>
      <c r="ES525" s="420">
        <f t="shared" si="767"/>
        <v>0</v>
      </c>
      <c r="ET525" s="446">
        <f t="shared" si="684"/>
        <v>0</v>
      </c>
    </row>
    <row r="526" spans="2:150" ht="16.5" customHeight="1">
      <c r="B526" s="448" t="str">
        <f>INDEX('卡片raw data'!B:B,MATCH($D526,'卡片raw data'!$F:$F,))</f>
        <v>fes2千</v>
      </c>
      <c r="C526" s="449" t="s">
        <v>4342</v>
      </c>
      <c r="D526" s="408">
        <v>523</v>
      </c>
      <c r="E526" s="477">
        <v>201013002</v>
      </c>
      <c r="F526" s="409" t="str">
        <f>INDEX('卡片raw data'!C:C,MATCH($D526,'卡片raw data'!$F:$F,))</f>
        <v>UR</v>
      </c>
      <c r="G526" s="1094" t="s">
        <v>4343</v>
      </c>
      <c r="H526" s="411">
        <f>IFERROR(INDEX(绊状态确认!C:C,MATCH($G526,绊状态确认!$B:$B,)),"")</f>
        <v>101</v>
      </c>
      <c r="I526" s="450" t="str">
        <f>IFERROR(INDEX(绊状态确认!D:D,MATCH($G526,绊状态确认!$B:$B,)),"")</f>
        <v>水</v>
      </c>
      <c r="J526" s="450" t="str">
        <f>IFERROR(INDEX(绊状态确认!E:E,MATCH($G526,绊状态确认!$B:$B,)),"")</f>
        <v>2年级</v>
      </c>
      <c r="K526" s="451" t="str">
        <f>IFERROR(INDEX(绊状态确认!F:F,MATCH($G526,绊状态确认!$B:$B,)),"")</f>
        <v>CYaRon!</v>
      </c>
      <c r="L526" s="414" t="str">
        <f>INDEX('卡片raw data'!E:E,MATCH($D526,'卡片raw data'!$F:$F,))</f>
        <v>fes卡</v>
      </c>
      <c r="M526" s="478">
        <v>44438</v>
      </c>
      <c r="N526" s="479">
        <v>46.5</v>
      </c>
      <c r="O526" s="410" t="str">
        <f>INDEX('卡片raw data'!D:D,MATCH($D526,'卡片raw data'!$F:$F,))</f>
        <v>sk</v>
      </c>
      <c r="P526" s="1126">
        <v>5</v>
      </c>
      <c r="Q526" s="418">
        <f t="shared" si="688"/>
        <v>62290.003983199997</v>
      </c>
      <c r="R526" s="419">
        <f t="shared" si="689"/>
        <v>0.72399999999999998</v>
      </c>
      <c r="S526" s="420">
        <f t="shared" si="690"/>
        <v>22516.455661378553</v>
      </c>
      <c r="T526" s="421">
        <f t="shared" si="691"/>
        <v>1.125</v>
      </c>
      <c r="U526" s="422">
        <f t="shared" si="692"/>
        <v>14.132161457142855</v>
      </c>
      <c r="V526" s="423">
        <f t="shared" si="693"/>
        <v>65422.351754586947</v>
      </c>
      <c r="W526" s="424">
        <f t="shared" si="694"/>
        <v>7312.5259680044001</v>
      </c>
      <c r="X526" s="419">
        <f t="shared" si="695"/>
        <v>8.5000000000000006E-2</v>
      </c>
      <c r="Y526" s="420">
        <f t="shared" si="696"/>
        <v>1132.3477713869506</v>
      </c>
      <c r="Z526" s="425">
        <f t="shared" si="697"/>
        <v>14.132161457142855</v>
      </c>
      <c r="AA526" s="426">
        <f t="shared" si="698"/>
        <v>8444.8737393913507</v>
      </c>
      <c r="AB526" s="424">
        <f t="shared" si="699"/>
        <v>8614.7566198408003</v>
      </c>
      <c r="AC526" s="427">
        <f t="shared" si="700"/>
        <v>0.1</v>
      </c>
      <c r="AD526" s="428" t="e">
        <f t="shared" si="701"/>
        <v>#VALUE!</v>
      </c>
      <c r="AE526" s="516" t="e">
        <f t="shared" si="702"/>
        <v>#VALUE!</v>
      </c>
      <c r="AF526" s="1130">
        <f t="shared" si="703"/>
        <v>0</v>
      </c>
      <c r="AG526" s="420">
        <f t="shared" si="704"/>
        <v>0</v>
      </c>
      <c r="AH526" s="420">
        <f t="shared" si="705"/>
        <v>0</v>
      </c>
      <c r="AI526" s="1097">
        <f t="shared" si="706"/>
        <v>0</v>
      </c>
      <c r="AJ526" s="420">
        <f t="shared" si="707"/>
        <v>0</v>
      </c>
      <c r="AK526" s="518">
        <f t="shared" si="708"/>
        <v>0</v>
      </c>
      <c r="AL526" s="1106">
        <f>IF($P526="","N/A",(IF($P526=-1,INDEX('卡片raw data'!S:S,MATCH($D526,'卡片raw data'!$F:$F,)),0)+IF($P526=0,INDEX('卡片raw data'!V:V,MATCH($D526,'卡片raw data'!$F:$F,)),0)+IF($P526=1,INDEX('卡片raw data'!Y:Y,MATCH($D526,'卡片raw data'!$F:$F,)),0)+IF($P526=2,INDEX('卡片raw data'!AB:AB,MATCH($D526,'卡片raw data'!$F:$F,)),0)+IF($P526=3,INDEX('卡片raw data'!AE:AE,MATCH($D526,'卡片raw data'!$F:$F,)),0)+IF($P526=4,INDEX('卡片raw data'!AH:AH,MATCH($D526,'卡片raw data'!$F:$F,)),0)+IF($P526=5,INDEX('卡片raw data'!AK:AK,MATCH($D526,'卡片raw data'!$F:$F,)),0)+INDEX('卡片raw data'!S:S,MATCH($D526,'卡片raw data'!$F:$F,))*(IF($F526="UR",0.04,0.033))*(IF($F526="UR",INDEX(绊状态确认!$S:$S,MATCH($G526,绊状态确认!$B:$B,))/2-40)+IF($F526="SR",INDEX(绊状态确认!$R:$R,MATCH($G526,绊状态确认!$B:$B,))/4-15))+IF($F526="R",INDEX(绊状态确认!$Q:$Q,MATCH($G526,绊状态确认!$B:$B,))/6-40/6)))*(INDEX(绊状态确认!$H:$H,MATCH($G526,绊状态确认!$B:$B,))+INDEX(绊状态确认!J:J,MATCH($G526,绊状态确认!$B:$B,)))</f>
        <v>14210.091071999997</v>
      </c>
      <c r="AM526" s="1106">
        <f>IF($P526="","N/A",(IF($P526=-1,INDEX('卡片raw data'!T:T,MATCH($D526,'卡片raw data'!$F:$F,)),0)+IF($P526=0,INDEX('卡片raw data'!W:W,MATCH($D526,'卡片raw data'!$F:$F,)),0)+IF($P526=1,INDEX('卡片raw data'!Z:Z,MATCH($D526,'卡片raw data'!$F:$F,)),0)+IF($P526=2,INDEX('卡片raw data'!AC:AC,MATCH($D526,'卡片raw data'!$F:$F,)),0)+IF($P526=3,INDEX('卡片raw data'!AF:AF,MATCH($D526,'卡片raw data'!$F:$F,)),0)+IF($P526=4,INDEX('卡片raw data'!AI:AI,MATCH($D526,'卡片raw data'!$F:$F,)),0)+IF($P526=5,INDEX('卡片raw data'!AL:AL,MATCH($D526,'卡片raw data'!$F:$F,)),0)+INDEX('卡片raw data'!T:T,MATCH($D526,'卡片raw data'!$F:$F,))*(IF($F526="UR",0.04,0.033))*(IF($F526="UR",INDEX(绊状态确认!$S:$S,MATCH($G526,绊状态确认!$B:$B,))/2-40)+IF($F526="SR",INDEX(绊状态确认!$R:$R,MATCH($G526,绊状态确认!$B:$B,))/4-15))+IF($F526="R",INDEX(绊状态确认!$Q:$Q,MATCH($G526,绊状态确认!$B:$B,))/6-40/6)))*(INDEX(绊状态确认!$H:$H,MATCH($G526,绊状态确认!$B:$B,))+INDEX(绊状态确认!K:K,MATCH($G526,绊状态确认!$B:$B,)))</f>
        <v>7682.0639999999994</v>
      </c>
      <c r="AN526" s="1106">
        <f>IF($P526="","N/A",(IF($P526=-1,INDEX('卡片raw data'!U:U,MATCH($D526,'卡片raw data'!$F:$F,)),0)+IF($P526=0,INDEX('卡片raw data'!X:X,MATCH($D526,'卡片raw data'!$F:$F,)),0)+IF($P526=1,INDEX('卡片raw data'!AA:AA,MATCH($D526,'卡片raw data'!$F:$F,)),0)+IF($P526=2,INDEX('卡片raw data'!AD:AD,MATCH($D526,'卡片raw data'!$F:$F,)),0)+IF($P526=3,INDEX('卡片raw data'!AG:AG,MATCH($D526,'卡片raw data'!$F:$F,)),0)+IF($P526=4,INDEX('卡片raw data'!AJ:AJ,MATCH($D526,'卡片raw data'!$F:$F,)),0)+IF($P526=5,INDEX('卡片raw data'!AM:AM,MATCH($D526,'卡片raw data'!$F:$F,)),0)+INDEX('卡片raw data'!U:U,MATCH($D526,'卡片raw data'!$F:$F,))*(IF($F526="UR",0.04,0.033))*(IF($F526="UR",INDEX(绊状态确认!$S:$S,MATCH($G526,绊状态确认!$B:$B,))/2-40)+IF($F526="SR",INDEX(绊状态确认!$R:$R,MATCH($G526,绊状态确认!$B:$B,))/4-15))+IF($F526="R",INDEX(绊状态确认!$Q:$Q,MATCH($G526,绊状态确认!$B:$B,))/6-40/6)))*(INDEX(绊状态确认!$H:$H,MATCH($G526,绊状态确认!$B:$B,))+INDEX(绊状态确认!L:L,MATCH($G526,绊状态确认!$B:$B,)))</f>
        <v>16513.528415999997</v>
      </c>
      <c r="AO526" s="1107">
        <f t="shared" si="709"/>
        <v>1</v>
      </c>
      <c r="AP526" s="1131">
        <f>1+(INDEX(绊状态确认!$T:$T,MATCH($G526,绊状态确认!$B:$B,))+0.2)*$AO526</f>
        <v>1.3</v>
      </c>
      <c r="AQ526" s="1108">
        <f t="shared" si="710"/>
        <v>40551.489063999994</v>
      </c>
      <c r="AR526" s="1097">
        <f>(AM526*(1+$EX$9)+$EX$35)*(1+(INDEX(绊状态确认!$T:$T,MATCH($G526,绊状态确认!$B:$B,))+0.2)*AO526)*IF(J526=$FF$17,1+$FE$17,1)*IF(I526=$FF$14,1+$FE$14,1)</f>
        <v>13190.01736</v>
      </c>
      <c r="AS526" s="1097">
        <f>(AN526*(1+$EX$10)+$EX$36)*(1+(INDEX(绊状态确认!$T:$T,MATCH($G526,绊状态确认!$B:$B,))+0.2)*AO526)*IF(J526=$FF$17,1+$FE$17,1)*IF(I526=$FF$14,1+$FE$14,1)</f>
        <v>28743.724981919997</v>
      </c>
      <c r="AT526" s="1093">
        <f>IF(AND(INDEX('卡片raw data'!AK:AK,MATCH($D526,'卡片raw data'!$F:$F,))&lt;INDEX('卡片raw data'!AM:AM,MATCH($D526,'卡片raw data'!$F:$F,)),INDEX('卡片raw data'!AL:AL,MATCH($D526,'卡片raw data'!$F:$F,))&lt;INDEX('卡片raw data'!AM:AM,MATCH($D526,'卡片raw data'!$F:$F,))),1,0)</f>
        <v>1</v>
      </c>
      <c r="AU526" s="1098">
        <f>MIN(AT526*0.15+AS526*0.00003+INDEX(绊状态确认!M:M,MATCH($G526,绊状态确认!$B:$B,)),1)</f>
        <v>1</v>
      </c>
      <c r="AV526" s="1109">
        <f>(INDEX(绊状态确认!$N:$N,MATCH($G526,绊状态确认!$B:$B,))+1.5)*$EW$21</f>
        <v>2.6599999999999997</v>
      </c>
      <c r="AW526" s="1101">
        <f t="shared" si="711"/>
        <v>56020.348569757713</v>
      </c>
      <c r="AX526" s="1097">
        <f t="shared" si="712"/>
        <v>1132.3477713869502</v>
      </c>
      <c r="AY526" s="1110">
        <f t="shared" si="713"/>
        <v>57152.696341144663</v>
      </c>
      <c r="AZ526" s="429">
        <f t="shared" si="714"/>
        <v>30309.677590399995</v>
      </c>
      <c r="BA526" s="431">
        <f t="shared" si="715"/>
        <v>36371.613108479993</v>
      </c>
      <c r="BB526" s="1097">
        <f>(AM526*(1+$FB$9)+$FB$35)*(1+(INDEX(绊状态确认!$T:$T,MATCH($G526,绊状态确认!$B:$B,))+0.2)*AO526)*IF(J526=$FF$17,1+$FE$17,1)*IF(I526=$FF$14,1+$FE$14,1)*(1+$FE$15)</f>
        <v>13190.01736</v>
      </c>
      <c r="BC526" s="1097">
        <f>(AN526*(1+$FB$10)+$FB$36)*(1+(INDEX(绊状态确认!$T:$T,MATCH($G526,绊状态确认!$B:$B,))+0.2)*AO526)*IF(J526=$FF$17,1+$FE$17,1)*IF(I526=$FF$14,1+$FE$14,1)*(1+$FE$15)</f>
        <v>28743.724981919997</v>
      </c>
      <c r="BD526" s="1104">
        <f>MIN(AT526*0.15+BC526*0.00003+INDEX(绊状态确认!M:M,MATCH($G526,绊状态确认!$B:$B,)),1)</f>
        <v>1</v>
      </c>
      <c r="BE526" s="432">
        <f>(INDEX(绊状态确认!$N:$N,MATCH($G526,绊状态确认!$B:$B,))+1.5)</f>
        <v>1.9</v>
      </c>
      <c r="BF526" s="1139">
        <f t="array" ref="BF526">SUMPRODUCT(IF(AZ526*AP526*$FI$16:$FI$23*$FA$22&gt;=$FI$24,$FI$24,AZ526*AP526*$FI$16:$FI$23*$FA$22),$FJ$16:$FJ$23)</f>
        <v>56704.142120041593</v>
      </c>
      <c r="BG526" s="1125">
        <f t="array" ref="BG526">SUMPRODUCT(IF(BE526*AZ526*AP526*$FI$16:$FI$23*$FA$22&gt;=$FI$24,$FI$24,BE526*AZ526*AP526*$FI$16:$FI$23*$FA$22),$FJ$16:$FJ$23)</f>
        <v>60000</v>
      </c>
      <c r="BH526" s="1110">
        <f t="shared" si="716"/>
        <v>20000</v>
      </c>
      <c r="BI526" s="1111">
        <f>IF(O526="vo",$EW$26/$EW$24*0.05,0)+IF(O526="sk",-$EW$26/$EW$24*(0.05-INDEX(绊状态确认!W:W,MATCH($G526,绊状态确认!$B:$B,)))+0.05*$EW$28,0)+IF(O526="sp",0.05*$EW$32*$EW$30*(1-$EW$33)-(0.05-INDEX(绊状态确认!V:V,MATCH($G526,绊状态确认!$B:$B,)))*$EW$28,0)+IF(O526="gd",-(0.05-INDEX(绊状态确认!X:X,MATCH($G526,绊状态确认!$B:$B,)))*$EW$32*$EW$30*(1-$EW$33),0)</f>
        <v>-6253.6726349699375</v>
      </c>
      <c r="BJ526" s="420">
        <f>IF(O526="vo",0.05*(1-$FI$26)*$FA$24,0)+IF(O526="sk",-(0.05-INDEX(绊状态确认!W:W,MATCH($G526,绊状态确认!$B:$B,)))*(1-$FI$26)*$FA$24+0.05*$FA$26,0)+IF(O526="sp",0.05*$FA$32*$FA$27*(1-$FA$33)/$FA$30+0.05*$FA$29/$FA$69*$FA$27*(1-$FA$33)-(0.05-INDEX(绊状态确认!V:V,MATCH($G526,绊状态确认!$B:$B,)))*$FA$26,0)+IF(O526="gd",-(0.05-INDEX(绊状态确认!X:X,MATCH($G526,绊状态确认!$B:$B,)))*$FA$32*$FA$27*(1-$FA$33)/$FA$30-(0.05-INDEX(绊状态确认!X:X,MATCH($G526,绊状态确认!$B:$B,)))*$FA$29/$FA$69*$FA$27*(1-$FA$33),0)</f>
        <v>20.459096812499922</v>
      </c>
      <c r="BK526" s="1110">
        <f>IF(O526="vo",$EW$26/$EW$24*0.05+$EW$26*(-HP($EW$62,$EW$65,$EW$64)+HP($EW$62,$EW$65,(1.05-INDEX(绊状态确认!U:U,MATCH($G526,绊状态确认!$B:$B,)))*$EW$64)),0)+IF(O526="sk",-$EW$26/$EW$24*(0.05-INDEX(绊状态确认!W:W,MATCH($G526,绊状态确认!$B:$B,)))+0.05*$EW$29,0)+IF(O526="sp",0.05*$EW$32*$EW$30*(1-$EW$33)-(0.05-INDEX(绊状态确认!V:V,MATCH($G526,绊状态确认!$B:$B,)))*$EW$29,0)+IF(O526="gd",-(0.05-INDEX(绊状态确认!X:X,MATCH($G526,绊状态确认!$B:$B,)))*$EW$32*$EW$30*(1-$EW$33)+$EW$26*(-HP($EW$62,$EW$65,$EW$64)+HP($EW$62,$EW$65,0.95*$EW$64)),0)</f>
        <v>-4253.6726349699375</v>
      </c>
      <c r="BL526" s="1111">
        <f t="shared" si="717"/>
        <v>0</v>
      </c>
      <c r="BM526" s="1110">
        <f t="shared" si="718"/>
        <v>0</v>
      </c>
      <c r="BN526" s="1113">
        <f t="shared" si="719"/>
        <v>4</v>
      </c>
      <c r="BO526" s="1108">
        <f t="shared" si="720"/>
        <v>6010.2953161679998</v>
      </c>
      <c r="BP526" s="1127">
        <f t="shared" si="721"/>
        <v>295.12137612040135</v>
      </c>
      <c r="BQ526" s="1113" t="s">
        <v>132</v>
      </c>
      <c r="BR526" s="1124" t="s">
        <v>171</v>
      </c>
      <c r="BS526" s="421">
        <f>IF($P526="","N/A",IF($P526=-1,INDEX('卡片raw data'!AX:AX,MATCH($D526,'卡片raw data'!$F:$F,)),0)+IF($L526="party卡",IF($P526=5,INDEX('卡片raw data'!BD:BD,MATCH($D526,'卡片raw data'!$F:$F,)),IF($P526&gt;=3,INDEX('卡片raw data'!BC:BC,MATCH($D526,'卡片raw data'!$F:$F,)),INDEX('卡片raw data'!BB:BB,MATCH($D526,'卡片raw data'!$F:$F,)))),IF(OR(AND($F526="UR",$P526=0),AND($F526="SR",$P526&gt;=0,$P526&lt;=2),AND($F526="R",$P526&gt;=0,$P526&lt;4)),INDEX('卡片raw data'!AZ:AZ,MATCH($D526,'卡片raw data'!$F:$F,)),0)+IF(OR(AND($F526="UR",$P526&gt;=1,$P526&lt;=4),AND($F526="SR",$P526&lt;=4,$P526&gt;=3),AND($F526="R",$P526=4)),INDEX('卡片raw data'!BA:BA,MATCH($D526,'卡片raw data'!$F:$F,)),0)+IF($P526=5,INDEX('卡片raw data'!BB:BB,MATCH($D526,'卡片raw data'!$F:$F,)),0)))</f>
        <v>5.1999999999999998E-2</v>
      </c>
      <c r="BT526" s="424">
        <f t="shared" si="722"/>
        <v>2604.4613036728001</v>
      </c>
      <c r="BU526" s="420">
        <f t="shared" si="723"/>
        <v>111.90018844565216</v>
      </c>
      <c r="BV526" s="420">
        <f t="shared" si="724"/>
        <v>1302.2306518363998</v>
      </c>
      <c r="BW526" s="436">
        <f t="shared" si="725"/>
        <v>0</v>
      </c>
      <c r="BX526" s="423">
        <f t="shared" si="726"/>
        <v>2604.4613036728001</v>
      </c>
      <c r="BY526" s="433">
        <f t="shared" si="727"/>
        <v>1302.2306518363998</v>
      </c>
      <c r="BZ526" s="1113" t="s">
        <v>569</v>
      </c>
      <c r="CA526" s="450"/>
      <c r="CB526" s="421">
        <f>IF($P526="","N/A",IF($P526=-1,INDEX('卡片raw data'!BE:BE,MATCH($D526,'卡片raw data'!$F:$F,)),0)+IF($L526="party卡",IF($P526=5,INDEX('卡片raw data'!BK:BK,MATCH($D526,'卡片raw data'!$F:$F,)),IF($P526&gt;=3,INDEX('卡片raw data'!BJ:BJ,MATCH($D526,'卡片raw data'!$F:$F,)),INDEX('卡片raw data'!BI:BI,MATCH($D526,'卡片raw data'!$F:$F,)))),IF(OR(AND($F526="UR",$P526=0),AND($F526="SR",$P526&gt;=0,$P526&lt;=2),AND($F526="R",$P526&gt;=0,$P526&lt;4)),INDEX('卡片raw data'!BG:BG,MATCH($D526,'卡片raw data'!$F:$F,)),0)+IF(OR(AND($F526="UR",$P526&gt;=1,$P526&lt;=4),AND($F526="SR",$P526&lt;=4,$P526&gt;=3),AND($F526="R",$P526=4)),INDEX('卡片raw data'!BH:BH,MATCH($D526,'卡片raw data'!$F:$F,)),0)+IF($P526=5,INDEX('卡片raw data'!BI:BI,MATCH($D526,'卡片raw data'!$F:$F,)),0)))</f>
        <v>0</v>
      </c>
      <c r="CC526" s="424">
        <f t="shared" si="728"/>
        <v>0</v>
      </c>
      <c r="CD526" s="420">
        <f>IF(BZ526="ap",CB526*(1-$FI$26)*$FB$5/$FB$11*(+IF(CA526="全员",$FA$24,0)+IF(CA526="同作战",$FA$24,0)+IF(CA526="仲间",$FA$24*2/3,0)+IF(CA526="同属性",$FA$24*$FA$37/3,0)+IF(CA526="同年级",$FA$24*$FA$40/3,0)+IF(CA526="同学校",$FA$24*$FA$43/3,0)+IF(CA526="同小队",$FA$24*$FA$46/3,0)+IF(CA526="同type",$FA$24*INDEX($FB$49:$FB$52,MATCH(X526,$FA$49:$FA$52,))/3,0)+IF(CA526="自身",#REF!/3,0)),0)+IF(BZ526="te",CB526*(1-$FI$27)*($FA$20-1)*$FB$7/$FB$13*(+IF(CA526="全员",$FA$19*$FA$24/(1+($FA$20-1)*$FA$19),0)+IF(CA526="同作战",$FA$19*$FA$24/(1+($FA$20-1)*$FA$19),0)+IF(CA526="仲间",$FA$19*$FA$24*2/3/(1+($FA$20-1)*$FA$19),0)+IF(CA526="同属性",$FA$19*$FA$24*$FA$37/3/(1+($FA$20-1)*$FA$19),0)+IF(CA526="同年级",$FA$19*$FA$24*$FA$40/3/(1+($FA$20-1)*$FA$19),0)+IF(CA526="同学校",$FA$19*$FA$24*$FA$43/3/(1+($FA$20-1)*$FA$19),0)+IF(CA526="同小队",$FA$19*$FA$24*$FA$46/3/(1+($FA$20-1)*$FA$19),0)+IF(CA526="同type",$FA$19*$FA$24*INDEX($FB$49:$FB$52,MATCH(X526,$FA$49:$FA$52,))/3/(1+($FA$20-1)*$FA$19),0)+IF(CA526="自身",$FA$19*#REF!/3/(1+(BH526-1)*$BD526),0)),0)</f>
        <v>0</v>
      </c>
      <c r="CE526" s="420">
        <f t="shared" si="729"/>
        <v>0</v>
      </c>
      <c r="CF526" s="436">
        <f t="shared" si="730"/>
        <v>0</v>
      </c>
      <c r="CG526" s="423">
        <f t="shared" si="731"/>
        <v>0</v>
      </c>
      <c r="CH526" s="433">
        <f t="shared" si="732"/>
        <v>0</v>
      </c>
      <c r="CI526" s="1113" t="s">
        <v>162</v>
      </c>
      <c r="CJ526" s="1114">
        <v>1</v>
      </c>
      <c r="CK526" s="1115" t="s">
        <v>295</v>
      </c>
      <c r="CL526" s="1115" t="s">
        <v>2667</v>
      </c>
      <c r="CM526" s="1119">
        <v>0.2</v>
      </c>
      <c r="CN526" s="1115" t="s">
        <v>1948</v>
      </c>
      <c r="CO526" s="1115"/>
      <c r="CP526" s="1118">
        <f t="shared" si="733"/>
        <v>3.5714285714285712E-2</v>
      </c>
      <c r="CQ526" s="1118">
        <f t="shared" si="734"/>
        <v>3.3333333333333333E-2</v>
      </c>
      <c r="CR526" s="1118">
        <f t="shared" si="735"/>
        <v>0</v>
      </c>
      <c r="CS526" s="1118" t="e">
        <f t="shared" si="736"/>
        <v>#VALUE!</v>
      </c>
      <c r="CT526" s="1109">
        <f t="shared" si="737"/>
        <v>0</v>
      </c>
      <c r="CU526" s="1101">
        <f t="shared" si="738"/>
        <v>0</v>
      </c>
      <c r="CV526" s="1108">
        <f t="shared" si="768"/>
        <v>0</v>
      </c>
      <c r="CW526" s="1097">
        <f t="shared" si="739"/>
        <v>0</v>
      </c>
      <c r="CX526" s="1097">
        <f t="shared" si="740"/>
        <v>0</v>
      </c>
      <c r="CY526" s="1110">
        <f t="shared" si="741"/>
        <v>0</v>
      </c>
      <c r="CZ526" s="437"/>
      <c r="DA526" s="438"/>
      <c r="DB526" s="439" t="s">
        <v>569</v>
      </c>
      <c r="DC526" s="439"/>
      <c r="DD526" s="443"/>
      <c r="DE526" s="411"/>
      <c r="DF526" s="411"/>
      <c r="DG526" s="1116">
        <f t="shared" si="742"/>
        <v>0</v>
      </c>
      <c r="DH526" s="1116">
        <f t="shared" si="743"/>
        <v>0</v>
      </c>
      <c r="DI526" s="1116">
        <f t="shared" si="744"/>
        <v>0</v>
      </c>
      <c r="DJ526" s="442">
        <f t="shared" si="745"/>
        <v>0</v>
      </c>
      <c r="DK526" s="432">
        <f t="shared" si="746"/>
        <v>0</v>
      </c>
      <c r="DL526" s="424">
        <f t="shared" si="747"/>
        <v>0</v>
      </c>
      <c r="DM526" s="420">
        <f t="shared" si="748"/>
        <v>0</v>
      </c>
      <c r="DN526" s="420">
        <f t="shared" si="749"/>
        <v>0</v>
      </c>
      <c r="DO526" s="420">
        <f t="shared" si="750"/>
        <v>0</v>
      </c>
      <c r="DP526" s="433">
        <f t="shared" si="751"/>
        <v>0</v>
      </c>
      <c r="DQ526" s="1113" t="s">
        <v>549</v>
      </c>
      <c r="DR526" s="1114">
        <v>0.11</v>
      </c>
      <c r="DS526" s="1124"/>
      <c r="DT526" s="1124" t="s">
        <v>179</v>
      </c>
      <c r="DU526" s="1124"/>
      <c r="DV526" s="1098">
        <f>IF($P526="","N/A",IF(P526=-1,INDEX('卡片raw data'!AN:AN,MATCH(D526,'卡片raw data'!$F:$F,)),0)+IF(AND(L526&lt;&gt;"party卡",P526&lt;=2,P526&gt;=0),INDEX('卡片raw data'!AP:AP,MATCH(D526,'卡片raw data'!$F:$F,)),0)+IF(OR(AND(L526="party卡",P526&lt;=1),AND(P526&lt;=4,L526&lt;&gt;"party卡",P526&gt;=3)),INDEX('卡片raw data'!AQ:AQ,MATCH(D526,'卡片raw data'!$F:$F,)),0)+IF(OR(P526=5,AND(L526="party卡",P526&gt;=2)),INDEX('卡片raw data'!AR:AR,MATCH(D526,'卡片raw data'!$F:$F,)),0))</f>
        <v>0.12</v>
      </c>
      <c r="DW526" s="1098">
        <f t="shared" si="752"/>
        <v>0.21714285714285714</v>
      </c>
      <c r="DX526" s="1098">
        <f t="shared" si="753"/>
        <v>0.21000000000000002</v>
      </c>
      <c r="DY526" s="1098">
        <f t="shared" si="754"/>
        <v>8.6857142857142845E-3</v>
      </c>
      <c r="DZ526" s="1098">
        <f t="shared" si="755"/>
        <v>8.3558999999999994E-3</v>
      </c>
      <c r="EA526" s="421">
        <f t="shared" si="756"/>
        <v>0</v>
      </c>
      <c r="EB526" s="445">
        <f t="shared" si="757"/>
        <v>30.916599999999999</v>
      </c>
      <c r="EC526" s="424">
        <f t="shared" si="758"/>
        <v>3908.571428571428</v>
      </c>
      <c r="ED526" s="420">
        <f t="shared" si="759"/>
        <v>2088.9749999999999</v>
      </c>
      <c r="EE526" s="433">
        <f t="shared" si="683"/>
        <v>3908.571428571428</v>
      </c>
      <c r="EF526" s="1113" t="s">
        <v>569</v>
      </c>
      <c r="EG526" s="1120">
        <v>0.11</v>
      </c>
      <c r="EH526" s="450"/>
      <c r="EI526" s="1124"/>
      <c r="EJ526" s="1124"/>
      <c r="EK526" s="1097">
        <f>IF($P526="","N/A",IF(P526=-1,INDEX('卡片raw data'!AS:AS,MATCH(D526,'卡片raw data'!$F:$F,)),0)+IF(AND(L526&lt;&gt;"party卡",P526&lt;=2,P526&gt;=0),INDEX('卡片raw data'!AU:AU,MATCH(D526,'卡片raw data'!$F:$F,)),0)+IF(OR(AND(L526="party卡",P526&lt;=1),AND(P526&lt;=4,L526&lt;&gt;"party卡",P526&gt;=3)),INDEX('卡片raw data'!AV:AV,MATCH(D526,'卡片raw data'!$F:$F,)),0)+IF(OR(P526=5,AND(L526="party卡",P526&gt;=2)),INDEX('卡片raw data'!AW:AW,MATCH(D526,'卡片raw data'!$F:$F,)),0))</f>
        <v>0</v>
      </c>
      <c r="EL526" s="1098">
        <f t="shared" si="760"/>
        <v>0.21714285714285714</v>
      </c>
      <c r="EM526" s="1098">
        <f t="shared" si="761"/>
        <v>0.21000000000000002</v>
      </c>
      <c r="EN526" s="1097">
        <f t="shared" si="762"/>
        <v>0</v>
      </c>
      <c r="EO526" s="1097">
        <f t="shared" si="763"/>
        <v>0</v>
      </c>
      <c r="EP526" s="421">
        <f t="shared" si="764"/>
        <v>0</v>
      </c>
      <c r="EQ526" s="445">
        <f t="shared" si="765"/>
        <v>0</v>
      </c>
      <c r="ER526" s="424">
        <f t="shared" si="766"/>
        <v>0</v>
      </c>
      <c r="ES526" s="420">
        <f t="shared" si="767"/>
        <v>0</v>
      </c>
      <c r="ET526" s="446">
        <f t="shared" si="684"/>
        <v>0</v>
      </c>
    </row>
    <row r="527" spans="2:150" ht="16.5" customHeight="1">
      <c r="B527" s="448" t="str">
        <f>INDEX('卡片raw data'!B:B,MATCH($D527,'卡片raw data'!$F:$F,))</f>
        <v>未熟黛</v>
      </c>
      <c r="C527" s="449" t="s">
        <v>4345</v>
      </c>
      <c r="D527" s="408">
        <v>524</v>
      </c>
      <c r="E527" s="477">
        <v>201042001</v>
      </c>
      <c r="F527" s="409" t="str">
        <f>INDEX('卡片raw data'!C:C,MATCH($D527,'卡片raw data'!$F:$F,))</f>
        <v>SR</v>
      </c>
      <c r="G527" s="1094" t="s">
        <v>4346</v>
      </c>
      <c r="H527" s="411">
        <f>IFERROR(INDEX(绊状态确认!C:C,MATCH($G527,绊状态确认!$B:$B,)),"")</f>
        <v>104</v>
      </c>
      <c r="I527" s="450" t="str">
        <f>IFERROR(INDEX(绊状态确认!D:D,MATCH($G527,绊状态确认!$B:$B,)),"")</f>
        <v>水</v>
      </c>
      <c r="J527" s="450" t="str">
        <f>IFERROR(INDEX(绊状态确认!E:E,MATCH($G527,绊状态确认!$B:$B,)),"")</f>
        <v>3年级</v>
      </c>
      <c r="K527" s="451" t="str">
        <f>IFERROR(INDEX(绊状态确认!F:F,MATCH($G527,绊状态确认!$B:$B,)),"")</f>
        <v>AZALEA</v>
      </c>
      <c r="L527" s="414" t="str">
        <f>INDEX('卡片raw data'!E:E,MATCH($D527,'卡片raw data'!$F:$F,))</f>
        <v>卡池卡</v>
      </c>
      <c r="M527" s="478">
        <v>44438</v>
      </c>
      <c r="N527" s="479">
        <v>46.5</v>
      </c>
      <c r="O527" s="410" t="str">
        <f>INDEX('卡片raw data'!D:D,MATCH($D527,'卡片raw data'!$F:$F,))</f>
        <v>vo</v>
      </c>
      <c r="P527" s="1126">
        <v>5</v>
      </c>
      <c r="Q527" s="418">
        <f t="shared" si="688"/>
        <v>40526.312450297133</v>
      </c>
      <c r="R527" s="419">
        <f t="shared" si="689"/>
        <v>0.47099999999999997</v>
      </c>
      <c r="S527" s="420">
        <f t="shared" si="690"/>
        <v>17560.995933372662</v>
      </c>
      <c r="T527" s="421">
        <f t="shared" si="691"/>
        <v>0.878</v>
      </c>
      <c r="U527" s="422">
        <f t="shared" si="692"/>
        <v>-13.301237204577143</v>
      </c>
      <c r="V527" s="423">
        <f t="shared" si="693"/>
        <v>40154.342980855334</v>
      </c>
      <c r="W527" s="424">
        <f t="shared" si="694"/>
        <v>5794.300328243211</v>
      </c>
      <c r="X527" s="419">
        <f t="shared" si="695"/>
        <v>6.7000000000000004E-2</v>
      </c>
      <c r="Y527" s="420">
        <f t="shared" si="696"/>
        <v>932.69898079990253</v>
      </c>
      <c r="Z527" s="425">
        <f t="shared" si="697"/>
        <v>11.698762795422857</v>
      </c>
      <c r="AA527" s="426">
        <f t="shared" si="698"/>
        <v>6726.9993090431135</v>
      </c>
      <c r="AB527" s="424">
        <f t="shared" si="699"/>
        <v>6870.5188332945445</v>
      </c>
      <c r="AC527" s="427">
        <f t="shared" si="700"/>
        <v>7.9000000000000001E-2</v>
      </c>
      <c r="AD527" s="428">
        <f t="shared" si="701"/>
        <v>-3.8207812500000026E-3</v>
      </c>
      <c r="AE527" s="516">
        <f t="shared" si="702"/>
        <v>-12.27536231884058</v>
      </c>
      <c r="AF527" s="1130">
        <f t="shared" si="703"/>
        <v>0</v>
      </c>
      <c r="AG527" s="420">
        <f t="shared" si="704"/>
        <v>0</v>
      </c>
      <c r="AH527" s="420">
        <f t="shared" si="705"/>
        <v>0</v>
      </c>
      <c r="AI527" s="1097">
        <f t="shared" si="706"/>
        <v>0</v>
      </c>
      <c r="AJ527" s="420">
        <f t="shared" si="707"/>
        <v>0</v>
      </c>
      <c r="AK527" s="518">
        <f t="shared" si="708"/>
        <v>0</v>
      </c>
      <c r="AL527" s="1106">
        <f>IF($P527="","N/A",(IF($P527=-1,INDEX('卡片raw data'!S:S,MATCH($D527,'卡片raw data'!$F:$F,)),0)+IF($P527=0,INDEX('卡片raw data'!V:V,MATCH($D527,'卡片raw data'!$F:$F,)),0)+IF($P527=1,INDEX('卡片raw data'!Y:Y,MATCH($D527,'卡片raw data'!$F:$F,)),0)+IF($P527=2,INDEX('卡片raw data'!AB:AB,MATCH($D527,'卡片raw data'!$F:$F,)),0)+IF($P527=3,INDEX('卡片raw data'!AE:AE,MATCH($D527,'卡片raw data'!$F:$F,)),0)+IF($P527=4,INDEX('卡片raw data'!AH:AH,MATCH($D527,'卡片raw data'!$F:$F,)),0)+IF($P527=5,INDEX('卡片raw data'!AK:AK,MATCH($D527,'卡片raw data'!$F:$F,)),0)+INDEX('卡片raw data'!S:S,MATCH($D527,'卡片raw data'!$F:$F,))*(IF($F527="UR",0.04,0.033))*(IF($F527="UR",INDEX(绊状态确认!$S:$S,MATCH($G527,绊状态确认!$B:$B,))/2-40)+IF($F527="SR",INDEX(绊状态确认!$R:$R,MATCH($G527,绊状态确认!$B:$B,))/4-15))+IF($F527="R",INDEX(绊状态确认!$Q:$Q,MATCH($G527,绊状态确认!$B:$B,))/6-40/6)))*(INDEX(绊状态确认!$H:$H,MATCH($G527,绊状态确认!$B:$B,))+INDEX(绊状态确认!J:J,MATCH($G527,绊状态确认!$B:$B,)))</f>
        <v>8798.5133615999985</v>
      </c>
      <c r="AM527" s="1106">
        <f>IF($P527="","N/A",(IF($P527=-1,INDEX('卡片raw data'!T:T,MATCH($D527,'卡片raw data'!$F:$F,)),0)+IF($P527=0,INDEX('卡片raw data'!W:W,MATCH($D527,'卡片raw data'!$F:$F,)),0)+IF($P527=1,INDEX('卡片raw data'!Z:Z,MATCH($D527,'卡片raw data'!$F:$F,)),0)+IF($P527=2,INDEX('卡片raw data'!AC:AC,MATCH($D527,'卡片raw data'!$F:$F,)),0)+IF($P527=3,INDEX('卡片raw data'!AF:AF,MATCH($D527,'卡片raw data'!$F:$F,)),0)+IF($P527=4,INDEX('卡片raw data'!AI:AI,MATCH($D527,'卡片raw data'!$F:$F,)),0)+IF($P527=5,INDEX('卡片raw data'!AL:AL,MATCH($D527,'卡片raw data'!$F:$F,)),0)+INDEX('卡片raw data'!T:T,MATCH($D527,'卡片raw data'!$F:$F,))*(IF($F527="UR",0.04,0.033))*(IF($F527="UR",INDEX(绊状态确认!$S:$S,MATCH($G527,绊状态确认!$B:$B,))/2-40)+IF($F527="SR",INDEX(绊状态确认!$R:$R,MATCH($G527,绊状态确认!$B:$B,))/4-15))+IF($F527="R",INDEX(绊状态确认!$Q:$Q,MATCH($G527,绊状态确认!$B:$B,))/6-40/6)))*(INDEX(绊状态确认!$H:$H,MATCH($G527,绊状态确认!$B:$B,))+INDEX(绊状态确认!K:K,MATCH($G527,绊状态确认!$B:$B,)))</f>
        <v>6018.2016671999991</v>
      </c>
      <c r="AN527" s="1106">
        <f>IF($P527="","N/A",(IF($P527=-1,INDEX('卡片raw data'!U:U,MATCH($D527,'卡片raw data'!$F:$F,)),0)+IF($P527=0,INDEX('卡片raw data'!X:X,MATCH($D527,'卡片raw data'!$F:$F,)),0)+IF($P527=1,INDEX('卡片raw data'!AA:AA,MATCH($D527,'卡片raw data'!$F:$F,)),0)+IF($P527=2,INDEX('卡片raw data'!AD:AD,MATCH($D527,'卡片raw data'!$F:$F,)),0)+IF($P527=3,INDEX('卡片raw data'!AG:AG,MATCH($D527,'卡片raw data'!$F:$F,)),0)+IF($P527=4,INDEX('卡片raw data'!AJ:AJ,MATCH($D527,'卡片raw data'!$F:$F,)),0)+IF($P527=5,INDEX('卡片raw data'!AM:AM,MATCH($D527,'卡片raw data'!$F:$F,)),0)+INDEX('卡片raw data'!U:U,MATCH($D527,'卡片raw data'!$F:$F,))*(IF($F527="UR",0.04,0.033))*(IF($F527="UR",INDEX(绊状态确认!$S:$S,MATCH($G527,绊状态确认!$B:$B,))/2-40)+IF($F527="SR",INDEX(绊状态确认!$R:$R,MATCH($G527,绊状态确认!$B:$B,))/4-15))+IF($F527="R",INDEX(绊状态确认!$Q:$Q,MATCH($G527,绊状态确认!$B:$B,))/6-40/6)))*(INDEX(绊状态确认!$H:$H,MATCH($G527,绊状态确认!$B:$B,))+INDEX(绊状态确认!L:L,MATCH($G527,绊状态确认!$B:$B,)))</f>
        <v>8335.1030783999995</v>
      </c>
      <c r="AO527" s="1107">
        <f t="shared" si="709"/>
        <v>1</v>
      </c>
      <c r="AP527" s="1131">
        <f>1+(INDEX(绊状态确认!$T:$T,MATCH($G527,绊状态确认!$B:$B,))+0.2)*$AO527</f>
        <v>1.3</v>
      </c>
      <c r="AQ527" s="1108">
        <f t="shared" si="710"/>
        <v>26346.097574199997</v>
      </c>
      <c r="AR527" s="1097">
        <f>(AM527*(1+$EX$9)+$EX$35)*(1+(INDEX(绊状态确认!$T:$T,MATCH($G527,绊状态确认!$B:$B,))+0.2)*AO527)*IF(J527=$FF$17,1+$FE$17,1)*IF(I527=$FF$14,1+$FE$14,1)</f>
        <v>10918.845275727999</v>
      </c>
      <c r="AS527" s="1097">
        <f>(AN527*(1+$EX$10)+$EX$36)*(1+(INDEX(绊状态确认!$T:$T,MATCH($G527,绊状态确认!$B:$B,))+0.2)*AO527)*IF(J527=$FF$17,1+$FE$17,1)*IF(I527=$FF$14,1+$FE$14,1)</f>
        <v>16516.979102207999</v>
      </c>
      <c r="AT527" s="1093">
        <f>IF(AND(INDEX('卡片raw data'!AK:AK,MATCH($D527,'卡片raw data'!$F:$F,))&lt;INDEX('卡片raw data'!AM:AM,MATCH($D527,'卡片raw data'!$F:$F,)),INDEX('卡片raw data'!AL:AL,MATCH($D527,'卡片raw data'!$F:$F,))&lt;INDEX('卡片raw data'!AM:AM,MATCH($D527,'卡片raw data'!$F:$F,))),1,0)</f>
        <v>0</v>
      </c>
      <c r="AU527" s="1098">
        <f>MIN(AT527*0.15+AS527*0.00003+INDEX(绊状态确认!M:M,MATCH($G527,绊状态确认!$B:$B,)),1)</f>
        <v>0.52550937306624002</v>
      </c>
      <c r="AV527" s="1109">
        <f>(INDEX(绊状态确认!$N:$N,MATCH($G527,绊状态确认!$B:$B,))+1.5)*$EW$21</f>
        <v>2.6599999999999997</v>
      </c>
      <c r="AW527" s="1101">
        <f t="shared" si="711"/>
        <v>25618.85199994062</v>
      </c>
      <c r="AX527" s="1097">
        <f t="shared" si="712"/>
        <v>932.69898079990242</v>
      </c>
      <c r="AY527" s="1110">
        <f t="shared" si="713"/>
        <v>26551.550980740521</v>
      </c>
      <c r="AZ527" s="429">
        <f t="shared" si="714"/>
        <v>19757.101055119998</v>
      </c>
      <c r="BA527" s="431">
        <f t="shared" si="715"/>
        <v>23708.521266143998</v>
      </c>
      <c r="BB527" s="1097">
        <f>(AM527*(1+$FB$9)+$FB$35)*(1+(INDEX(绊状态确认!$T:$T,MATCH($G527,绊状态确认!$B:$B,))+0.2)*AO527)*IF(J527=$FF$17,1+$FE$17,1)*IF(I527=$FF$14,1+$FE$14,1)*(1+$FE$15)</f>
        <v>10918.845275727999</v>
      </c>
      <c r="BC527" s="1097">
        <f>(AN527*(1+$FB$10)+$FB$36)*(1+(INDEX(绊状态确认!$T:$T,MATCH($G527,绊状态确认!$B:$B,))+0.2)*AO527)*IF(J527=$FF$17,1+$FE$17,1)*IF(I527=$FF$14,1+$FE$14,1)*(1+$FE$15)</f>
        <v>16516.979102207999</v>
      </c>
      <c r="BD527" s="1104">
        <f>MIN(AT527*0.15+BC527*0.00003+INDEX(绊状态确认!M:M,MATCH($G527,绊状态确认!$B:$B,)),1)</f>
        <v>0.52550937306624002</v>
      </c>
      <c r="BE527" s="432">
        <f>(INDEX(绊状态确认!$N:$N,MATCH($G527,绊状态确认!$B:$B,))+1.5)</f>
        <v>1.9</v>
      </c>
      <c r="BF527" s="1139">
        <f t="array" ref="BF527">SUMPRODUCT(IF(AZ527*AP527*$FI$16:$FI$23*$FA$22&gt;=$FI$24,$FI$24,AZ527*AP527*$FI$16:$FI$23*$FA$22),$FJ$16:$FJ$23)</f>
        <v>39296.87399863368</v>
      </c>
      <c r="BG527" s="1125">
        <f t="array" ref="BG527">SUMPRODUCT(IF(BE527*AZ527*AP527*$FI$16:$FI$23*$FA$22&gt;=$FI$24,$FI$24,BE527*AZ527*AP527*$FI$16:$FI$23*$FA$22),$FJ$16:$FJ$23)</f>
        <v>59856.004752737572</v>
      </c>
      <c r="BH527" s="1110">
        <f t="shared" si="716"/>
        <v>16700.29663733656</v>
      </c>
      <c r="BI527" s="1111">
        <f>IF(O527="vo",$EW$26/$EW$24*0.05,0)+IF(O527="sk",-$EW$26/$EW$24*(0.05-INDEX(绊状态确认!W:W,MATCH($G527,绊状态确认!$B:$B,)))+0.05*$EW$28,0)+IF(O527="sp",0.05*$EW$32*$EW$30*(1-$EW$33)-(0.05-INDEX(绊状态确认!V:V,MATCH($G527,绊状态确认!$B:$B,)))*$EW$28,0)+IF(O527="gd",-(0.05-INDEX(绊状态确认!X:X,MATCH($G527,绊状态确认!$B:$B,)))*$EW$32*$EW$30*(1-$EW$33),0)</f>
        <v>7726.3029277443748</v>
      </c>
      <c r="BJ527" s="420">
        <f>IF(O527="vo",0.05*(1-$FI$26)*$FA$24,0)+IF(O527="sk",-(0.05-INDEX(绊状态确认!W:W,MATCH($G527,绊状态确认!$B:$B,)))*(1-$FI$26)*$FA$24+0.05*$FA$26,0)+IF(O527="sp",0.05*$FA$32*$FA$27*(1-$FA$33)/$FA$30+0.05*$FA$29/$FA$69*$FA$27*(1-$FA$33)-(0.05-INDEX(绊状态确认!V:V,MATCH($G527,绊状态确认!$B:$B,)))*$FA$26,0)+IF(O527="gd",-(0.05-INDEX(绊状态确认!X:X,MATCH($G527,绊状态确认!$B:$B,)))*$FA$32*$FA$27*(1-$FA$33)/$FA$30-(0.05-INDEX(绊状态确认!X:X,MATCH($G527,绊状态确认!$B:$B,)))*$FA$29/$FA$69*$FA$27*(1-$FA$33),0)</f>
        <v>393.93433687500004</v>
      </c>
      <c r="BK527" s="1110">
        <f>IF(O527="vo",$EW$26/$EW$24*0.05+$EW$26*(-HP($EW$62,$EW$65,$EW$64)+HP($EW$62,$EW$65,(1.05-INDEX(绊状态确认!U:U,MATCH($G527,绊状态确认!$B:$B,)))*$EW$64)),0)+IF(O527="sk",-$EW$26/$EW$24*(0.05-INDEX(绊状态确认!W:W,MATCH($G527,绊状态确认!$B:$B,)))+0.05*$EW$29,0)+IF(O527="sp",0.05*$EW$32*$EW$30*(1-$EW$33)-(0.05-INDEX(绊状态确认!V:V,MATCH($G527,绊状态确认!$B:$B,)))*$EW$29,0)+IF(O527="gd",-(0.05-INDEX(绊状态确认!X:X,MATCH($G527,绊状态确认!$B:$B,)))*$EW$32*$EW$30*(1-$EW$33)+$EW$26*(-HP($EW$62,$EW$65,$EW$64)+HP($EW$62,$EW$65,0.95*$EW$64)),0)</f>
        <v>6421.6344775026746</v>
      </c>
      <c r="BL527" s="1111">
        <f t="shared" si="717"/>
        <v>-1083.3333333333333</v>
      </c>
      <c r="BM527" s="1110">
        <f t="shared" si="718"/>
        <v>-830.55555555555543</v>
      </c>
      <c r="BN527" s="1113">
        <f t="shared" si="719"/>
        <v>3</v>
      </c>
      <c r="BO527" s="1108">
        <f t="shared" si="720"/>
        <v>4507.7214871259994</v>
      </c>
      <c r="BP527" s="1127">
        <f t="shared" si="721"/>
        <v>221.34103209030098</v>
      </c>
      <c r="BQ527" s="1113" t="s">
        <v>132</v>
      </c>
      <c r="BR527" s="1124" t="s">
        <v>557</v>
      </c>
      <c r="BS527" s="421">
        <f>IF($P527="","N/A",IF($P527=-1,INDEX('卡片raw data'!AX:AX,MATCH($D527,'卡片raw data'!$F:$F,)),0)+IF($L527="party卡",IF($P527=5,INDEX('卡片raw data'!BD:BD,MATCH($D527,'卡片raw data'!$F:$F,)),IF($P527&gt;=3,INDEX('卡片raw data'!BC:BC,MATCH($D527,'卡片raw data'!$F:$F,)),INDEX('卡片raw data'!BB:BB,MATCH($D527,'卡片raw data'!$F:$F,)))),IF(OR(AND($F527="UR",$P527=0),AND($F527="SR",$P527&gt;=0,$P527&lt;=2),AND($F527="R",$P527&gt;=0,$P527&lt;4)),INDEX('卡片raw data'!AZ:AZ,MATCH($D527,'卡片raw data'!$F:$F,)),0)+IF(OR(AND($F527="UR",$P527&gt;=1,$P527&lt;=4),AND($F527="SR",$P527&lt;=4,$P527&gt;=3),AND($F527="R",$P527=4)),INDEX('卡片raw data'!BA:BA,MATCH($D527,'卡片raw data'!$F:$F,)),0)+IF($P527=5,INDEX('卡片raw data'!BB:BB,MATCH($D527,'卡片raw data'!$F:$F,)),0)))</f>
        <v>4.2000000000000003E-2</v>
      </c>
      <c r="BT527" s="424">
        <f t="shared" si="722"/>
        <v>1682.88268852704</v>
      </c>
      <c r="BU527" s="420">
        <f t="shared" si="723"/>
        <v>61.975488985284287</v>
      </c>
      <c r="BV527" s="420">
        <f t="shared" si="724"/>
        <v>946.62151229645997</v>
      </c>
      <c r="BW527" s="436">
        <f t="shared" si="725"/>
        <v>0</v>
      </c>
      <c r="BX527" s="423">
        <f t="shared" si="726"/>
        <v>1682.88268852704</v>
      </c>
      <c r="BY527" s="433">
        <f t="shared" si="727"/>
        <v>946.62151229645997</v>
      </c>
      <c r="BZ527" s="1113" t="s">
        <v>569</v>
      </c>
      <c r="CA527" s="450"/>
      <c r="CB527" s="421">
        <f>IF($P527="","N/A",IF($P527=-1,INDEX('卡片raw data'!BE:BE,MATCH($D527,'卡片raw data'!$F:$F,)),0)+IF($L527="party卡",IF($P527=5,INDEX('卡片raw data'!BK:BK,MATCH($D527,'卡片raw data'!$F:$F,)),IF($P527&gt;=3,INDEX('卡片raw data'!BJ:BJ,MATCH($D527,'卡片raw data'!$F:$F,)),INDEX('卡片raw data'!BI:BI,MATCH($D527,'卡片raw data'!$F:$F,)))),IF(OR(AND($F527="UR",$P527=0),AND($F527="SR",$P527&gt;=0,$P527&lt;=2),AND($F527="R",$P527&gt;=0,$P527&lt;4)),INDEX('卡片raw data'!BG:BG,MATCH($D527,'卡片raw data'!$F:$F,)),0)+IF(OR(AND($F527="UR",$P527&gt;=1,$P527&lt;=4),AND($F527="SR",$P527&lt;=4,$P527&gt;=3),AND($F527="R",$P527=4)),INDEX('卡片raw data'!BH:BH,MATCH($D527,'卡片raw data'!$F:$F,)),0)+IF($P527=5,INDEX('卡片raw data'!BI:BI,MATCH($D527,'卡片raw data'!$F:$F,)),0)))</f>
        <v>0</v>
      </c>
      <c r="CC527" s="424">
        <f t="shared" si="728"/>
        <v>0</v>
      </c>
      <c r="CD527" s="420">
        <f>IF(BZ527="ap",CB527*(1-$FI$26)*$FB$5/$FB$11*(+IF(CA527="全员",$FA$24,0)+IF(CA527="同作战",$FA$24,0)+IF(CA527="仲间",$FA$24*2/3,0)+IF(CA527="同属性",$FA$24*$FA$37/3,0)+IF(CA527="同年级",$FA$24*$FA$40/3,0)+IF(CA527="同学校",$FA$24*$FA$43/3,0)+IF(CA527="同小队",$FA$24*$FA$46/3,0)+IF(CA527="同type",$FA$24*INDEX($FB$49:$FB$52,MATCH(X527,$FA$49:$FA$52,))/3,0)+IF(CA527="自身",#REF!/3,0)),0)+IF(BZ527="te",CB527*(1-$FI$27)*($FA$20-1)*$FB$7/$FB$13*(+IF(CA527="全员",$FA$19*$FA$24/(1+($FA$20-1)*$FA$19),0)+IF(CA527="同作战",$FA$19*$FA$24/(1+($FA$20-1)*$FA$19),0)+IF(CA527="仲间",$FA$19*$FA$24*2/3/(1+($FA$20-1)*$FA$19),0)+IF(CA527="同属性",$FA$19*$FA$24*$FA$37/3/(1+($FA$20-1)*$FA$19),0)+IF(CA527="同年级",$FA$19*$FA$24*$FA$40/3/(1+($FA$20-1)*$FA$19),0)+IF(CA527="同学校",$FA$19*$FA$24*$FA$43/3/(1+($FA$20-1)*$FA$19),0)+IF(CA527="同小队",$FA$19*$FA$24*$FA$46/3/(1+($FA$20-1)*$FA$19),0)+IF(CA527="同type",$FA$19*$FA$24*INDEX($FB$49:$FB$52,MATCH(X527,$FA$49:$FA$52,))/3/(1+($FA$20-1)*$FA$19),0)+IF(CA527="自身",$FA$19*#REF!/3/(1+(BH527-1)*$BD527),0)),0)</f>
        <v>0</v>
      </c>
      <c r="CE527" s="420">
        <f t="shared" si="729"/>
        <v>0</v>
      </c>
      <c r="CF527" s="436">
        <f t="shared" si="730"/>
        <v>0</v>
      </c>
      <c r="CG527" s="423">
        <f t="shared" si="731"/>
        <v>0</v>
      </c>
      <c r="CH527" s="433">
        <f t="shared" si="732"/>
        <v>0</v>
      </c>
      <c r="CI527" s="1113" t="s">
        <v>165</v>
      </c>
      <c r="CJ527" s="1114">
        <v>0.3</v>
      </c>
      <c r="CK527" s="1115" t="s">
        <v>2074</v>
      </c>
      <c r="CL527" s="1115" t="s">
        <v>2075</v>
      </c>
      <c r="CM527" s="1119">
        <v>0.02</v>
      </c>
      <c r="CN527" s="1115" t="s">
        <v>4347</v>
      </c>
      <c r="CO527" s="1115"/>
      <c r="CP527" s="1118">
        <f t="shared" si="733"/>
        <v>4.0000000000000001E-3</v>
      </c>
      <c r="CQ527" s="1118">
        <f t="shared" si="734"/>
        <v>3.5000000000000005E-3</v>
      </c>
      <c r="CR527" s="1118">
        <f t="shared" si="735"/>
        <v>2E-3</v>
      </c>
      <c r="CS527" s="442">
        <f t="shared" si="736"/>
        <v>0</v>
      </c>
      <c r="CT527" s="432">
        <f t="shared" si="737"/>
        <v>0</v>
      </c>
      <c r="CU527" s="1101">
        <f t="shared" si="738"/>
        <v>679.91465764150507</v>
      </c>
      <c r="CV527" s="1108">
        <f t="shared" si="768"/>
        <v>27.575403581250004</v>
      </c>
      <c r="CW527" s="1097">
        <f t="shared" si="739"/>
        <v>339.95732882075254</v>
      </c>
      <c r="CX527" s="1097">
        <f t="shared" si="740"/>
        <v>679.91465764150507</v>
      </c>
      <c r="CY527" s="1110">
        <f t="shared" si="741"/>
        <v>339.95732882075254</v>
      </c>
      <c r="CZ527" s="437"/>
      <c r="DA527" s="438"/>
      <c r="DB527" s="439" t="s">
        <v>569</v>
      </c>
      <c r="DC527" s="439"/>
      <c r="DD527" s="443"/>
      <c r="DE527" s="411"/>
      <c r="DF527" s="411"/>
      <c r="DG527" s="1116">
        <f t="shared" si="742"/>
        <v>0</v>
      </c>
      <c r="DH527" s="1116">
        <f t="shared" si="743"/>
        <v>0</v>
      </c>
      <c r="DI527" s="1116">
        <f t="shared" si="744"/>
        <v>0</v>
      </c>
      <c r="DJ527" s="442">
        <f t="shared" si="745"/>
        <v>0</v>
      </c>
      <c r="DK527" s="432">
        <f t="shared" si="746"/>
        <v>0</v>
      </c>
      <c r="DL527" s="424">
        <f t="shared" si="747"/>
        <v>0</v>
      </c>
      <c r="DM527" s="420">
        <f t="shared" si="748"/>
        <v>0</v>
      </c>
      <c r="DN527" s="420">
        <f t="shared" si="749"/>
        <v>0</v>
      </c>
      <c r="DO527" s="420">
        <f t="shared" si="750"/>
        <v>0</v>
      </c>
      <c r="DP527" s="433">
        <f t="shared" si="751"/>
        <v>0</v>
      </c>
      <c r="DQ527" s="1113" t="s">
        <v>545</v>
      </c>
      <c r="DR527" s="1120">
        <f t="shared" ref="DR527:DR540" si="769">IF(F527="UR",0.33,0.3)</f>
        <v>0.3</v>
      </c>
      <c r="DS527" s="1124"/>
      <c r="DT527" s="1093" t="s">
        <v>132</v>
      </c>
      <c r="DU527" s="1124"/>
      <c r="DV527" s="1098">
        <f>IF($P527="","N/A",IF(P527=-1,INDEX('卡片raw data'!AN:AN,MATCH(D527,'卡片raw data'!$F:$F,)),0)+IF(AND(L527&lt;&gt;"party卡",P527&lt;=2,P527&gt;=0),INDEX('卡片raw data'!AP:AP,MATCH(D527,'卡片raw data'!$F:$F,)),0)+IF(OR(AND(L527="party卡",P527&lt;=1),AND(P527&lt;=4,L527&lt;&gt;"party卡",P527&gt;=3)),INDEX('卡片raw data'!AQ:AQ,MATCH(D527,'卡片raw data'!$F:$F,)),0)+IF(OR(P527=5,AND(L527="party卡",P527&gt;=2)),INDEX('卡片raw data'!AR:AR,MATCH(D527,'卡片raw data'!$F:$F,)),0))</f>
        <v>0.37</v>
      </c>
      <c r="DW527" s="1098">
        <f t="shared" si="752"/>
        <v>0.3</v>
      </c>
      <c r="DX527" s="1098">
        <f t="shared" si="753"/>
        <v>0.3</v>
      </c>
      <c r="DY527" s="1097">
        <f t="shared" si="754"/>
        <v>1267.2472933190197</v>
      </c>
      <c r="DZ527" s="1097">
        <f t="shared" si="755"/>
        <v>986.42859005982029</v>
      </c>
      <c r="EA527" s="421">
        <f t="shared" si="756"/>
        <v>0</v>
      </c>
      <c r="EB527" s="445">
        <f t="shared" si="757"/>
        <v>0</v>
      </c>
      <c r="EC527" s="424">
        <f t="shared" si="758"/>
        <v>1393.9720226509219</v>
      </c>
      <c r="ED527" s="420">
        <f t="shared" si="759"/>
        <v>986.42859005982029</v>
      </c>
      <c r="EE527" s="433">
        <f t="shared" si="683"/>
        <v>1393.9720226509219</v>
      </c>
      <c r="EF527" s="1113" t="s">
        <v>569</v>
      </c>
      <c r="EG527" s="1120">
        <f t="shared" ref="EG527:EG540" si="770">IF(F527="UR",0.33,0.3)</f>
        <v>0.3</v>
      </c>
      <c r="EH527" s="450"/>
      <c r="EI527" s="1124"/>
      <c r="EJ527" s="1124"/>
      <c r="EK527" s="420">
        <f>IF($P527="","N/A",IF(P527=-1,INDEX('卡片raw data'!AS:AS,MATCH(D527,'卡片raw data'!$F:$F,)),0)+IF(AND(L527&lt;&gt;"party卡",P527&lt;=2,P527&gt;=0),INDEX('卡片raw data'!AU:AU,MATCH(D527,'卡片raw data'!$F:$F,)),0)+IF(OR(AND(L527="party卡",P527&lt;=1),AND(P527&lt;=4,L527&lt;&gt;"party卡",P527&gt;=3)),INDEX('卡片raw data'!AV:AV,MATCH(D527,'卡片raw data'!$F:$F,)),0)+IF(OR(P527=5,AND(L527="party卡",P527&gt;=2)),INDEX('卡片raw data'!AW:AW,MATCH(D527,'卡片raw data'!$F:$F,)),0))</f>
        <v>0</v>
      </c>
      <c r="EL527" s="1098">
        <f t="shared" si="760"/>
        <v>0.3</v>
      </c>
      <c r="EM527" s="1098">
        <f t="shared" si="761"/>
        <v>0.3</v>
      </c>
      <c r="EN527" s="1097">
        <f t="shared" si="762"/>
        <v>0</v>
      </c>
      <c r="EO527" s="1097">
        <f t="shared" si="763"/>
        <v>0</v>
      </c>
      <c r="EP527" s="421">
        <f t="shared" si="764"/>
        <v>0</v>
      </c>
      <c r="EQ527" s="445">
        <f t="shared" si="765"/>
        <v>0</v>
      </c>
      <c r="ER527" s="424">
        <f t="shared" si="766"/>
        <v>0</v>
      </c>
      <c r="ES527" s="420">
        <f t="shared" si="767"/>
        <v>0</v>
      </c>
      <c r="ET527" s="446">
        <f t="shared" si="684"/>
        <v>0</v>
      </c>
    </row>
    <row r="528" spans="2:150" ht="16.5" customHeight="1">
      <c r="B528" s="448" t="str">
        <f>INDEX('卡片raw data'!B:B,MATCH($D528,'卡片raw data'!$F:$F,))</f>
        <v>aa花</v>
      </c>
      <c r="C528" s="449" t="s">
        <v>4349</v>
      </c>
      <c r="D528" s="408">
        <v>525</v>
      </c>
      <c r="E528" s="477">
        <v>200082001</v>
      </c>
      <c r="F528" s="409" t="str">
        <f>INDEX('卡片raw data'!C:C,MATCH($D528,'卡片raw data'!$F:$F,))</f>
        <v>SR</v>
      </c>
      <c r="G528" s="1094" t="s">
        <v>4348</v>
      </c>
      <c r="H528" s="411">
        <f>IFERROR(INDEX(绊状态确认!C:C,MATCH($G528,绊状态确认!$B:$B,)),"")</f>
        <v>8</v>
      </c>
      <c r="I528" s="450" t="str">
        <f>IFERROR(INDEX(绊状态确认!D:D,MATCH($G528,绊状态确认!$B:$B,)),"")</f>
        <v>缪</v>
      </c>
      <c r="J528" s="450" t="str">
        <f>IFERROR(INDEX(绊状态确认!E:E,MATCH($G528,绊状态确认!$B:$B,)),"")</f>
        <v>1年级</v>
      </c>
      <c r="K528" s="451" t="str">
        <f>IFERROR(INDEX(绊状态确认!F:F,MATCH($G528,绊状态确认!$B:$B,)),"")</f>
        <v>Printemps</v>
      </c>
      <c r="L528" s="414" t="str">
        <f>INDEX('卡片raw data'!E:E,MATCH($D528,'卡片raw data'!$F:$F,))</f>
        <v>卡池卡</v>
      </c>
      <c r="M528" s="478">
        <v>44438</v>
      </c>
      <c r="N528" s="479">
        <v>46.5</v>
      </c>
      <c r="O528" s="410" t="str">
        <f>INDEX('卡片raw data'!D:D,MATCH($D528,'卡片raw data'!$F:$F,))</f>
        <v>sp</v>
      </c>
      <c r="P528" s="1126">
        <v>5</v>
      </c>
      <c r="Q528" s="418">
        <f t="shared" si="688"/>
        <v>32456.167873550254</v>
      </c>
      <c r="R528" s="419">
        <f t="shared" si="689"/>
        <v>0.377</v>
      </c>
      <c r="S528" s="420">
        <f t="shared" si="690"/>
        <v>17789.270702822665</v>
      </c>
      <c r="T528" s="421">
        <f t="shared" si="691"/>
        <v>0.88900000000000001</v>
      </c>
      <c r="U528" s="422">
        <f t="shared" si="692"/>
        <v>39.357333738338568</v>
      </c>
      <c r="V528" s="423">
        <f t="shared" si="693"/>
        <v>33868.490167069634</v>
      </c>
      <c r="W528" s="424">
        <f t="shared" si="694"/>
        <v>4507.7214871259994</v>
      </c>
      <c r="X528" s="419">
        <f t="shared" si="695"/>
        <v>5.1999999999999998E-2</v>
      </c>
      <c r="Y528" s="420">
        <f t="shared" si="696"/>
        <v>3212.3222935193835</v>
      </c>
      <c r="Z528" s="425">
        <f t="shared" si="697"/>
        <v>39.357333738338568</v>
      </c>
      <c r="AA528" s="426">
        <f t="shared" si="698"/>
        <v>7720.0437806453829</v>
      </c>
      <c r="AB528" s="424">
        <f t="shared" si="699"/>
        <v>5087.1471129317397</v>
      </c>
      <c r="AC528" s="427">
        <f t="shared" si="700"/>
        <v>5.8999999999999997E-2</v>
      </c>
      <c r="AD528" s="428">
        <f t="shared" si="701"/>
        <v>-1.9908281250000003E-2</v>
      </c>
      <c r="AE528" s="516">
        <f t="shared" si="702"/>
        <v>-1.3514492753623202</v>
      </c>
      <c r="AF528" s="1130">
        <f t="shared" si="703"/>
        <v>0</v>
      </c>
      <c r="AG528" s="420">
        <f t="shared" si="704"/>
        <v>0</v>
      </c>
      <c r="AH528" s="420">
        <f t="shared" si="705"/>
        <v>0</v>
      </c>
      <c r="AI528" s="1097">
        <f t="shared" si="706"/>
        <v>0</v>
      </c>
      <c r="AJ528" s="420">
        <f t="shared" si="707"/>
        <v>0</v>
      </c>
      <c r="AK528" s="518">
        <f t="shared" si="708"/>
        <v>0</v>
      </c>
      <c r="AL528" s="1106">
        <f>IF($P528="","N/A",(IF($P528=-1,INDEX('卡片raw data'!S:S,MATCH($D528,'卡片raw data'!$F:$F,)),0)+IF($P528=0,INDEX('卡片raw data'!V:V,MATCH($D528,'卡片raw data'!$F:$F,)),0)+IF($P528=1,INDEX('卡片raw data'!Y:Y,MATCH($D528,'卡片raw data'!$F:$F,)),0)+IF($P528=2,INDEX('卡片raw data'!AB:AB,MATCH($D528,'卡片raw data'!$F:$F,)),0)+IF($P528=3,INDEX('卡片raw data'!AE:AE,MATCH($D528,'卡片raw data'!$F:$F,)),0)+IF($P528=4,INDEX('卡片raw data'!AH:AH,MATCH($D528,'卡片raw data'!$F:$F,)),0)+IF($P528=5,INDEX('卡片raw data'!AK:AK,MATCH($D528,'卡片raw data'!$F:$F,)),0)+INDEX('卡片raw data'!S:S,MATCH($D528,'卡片raw data'!$F:$F,))*(IF($F528="UR",0.04,0.033))*(IF($F528="UR",INDEX(绊状态确认!$S:$S,MATCH($G528,绊状态确认!$B:$B,))/2-40)+IF($F528="SR",INDEX(绊状态确认!$R:$R,MATCH($G528,绊状态确认!$B:$B,))/4-15))+IF($F528="R",INDEX(绊状态确认!$Q:$Q,MATCH($G528,绊状态确认!$B:$B,))/6-40/6)))*(INDEX(绊状态确认!$H:$H,MATCH($G528,绊状态确认!$B:$B,))+INDEX(绊状态确认!J:J,MATCH($G528,绊状态确认!$B:$B,)))</f>
        <v>8335.1030783999995</v>
      </c>
      <c r="AM528" s="1106">
        <f>IF($P528="","N/A",(IF($P528=-1,INDEX('卡片raw data'!T:T,MATCH($D528,'卡片raw data'!$F:$F,)),0)+IF($P528=0,INDEX('卡片raw data'!W:W,MATCH($D528,'卡片raw data'!$F:$F,)),0)+IF($P528=1,INDEX('卡片raw data'!Z:Z,MATCH($D528,'卡片raw data'!$F:$F,)),0)+IF($P528=2,INDEX('卡片raw data'!AC:AC,MATCH($D528,'卡片raw data'!$F:$F,)),0)+IF($P528=3,INDEX('卡片raw data'!AF:AF,MATCH($D528,'卡片raw data'!$F:$F,)),0)+IF($P528=4,INDEX('卡片raw data'!AI:AI,MATCH($D528,'卡片raw data'!$F:$F,)),0)+IF($P528=5,INDEX('卡片raw data'!AL:AL,MATCH($D528,'卡片raw data'!$F:$F,)),0)+INDEX('卡片raw data'!T:T,MATCH($D528,'卡片raw data'!$F:$F,))*(IF($F528="UR",0.04,0.033))*(IF($F528="UR",INDEX(绊状态确认!$S:$S,MATCH($G528,绊状态确认!$B:$B,))/2-40)+IF($F528="SR",INDEX(绊状态确认!$R:$R,MATCH($G528,绊状态确认!$B:$B,))/4-15))+IF($F528="R",INDEX(绊状态确认!$Q:$Q,MATCH($G528,绊状态确认!$B:$B,))/6-40/6)))*(INDEX(绊状态确认!$H:$H,MATCH($G528,绊状态确认!$B:$B,))+INDEX(绊状态确认!K:K,MATCH($G528,绊状态确认!$B:$B,)))</f>
        <v>6018.2016671999991</v>
      </c>
      <c r="AN528" s="1106">
        <f>IF($P528="","N/A",(IF($P528=-1,INDEX('卡片raw data'!U:U,MATCH($D528,'卡片raw data'!$F:$F,)),0)+IF($P528=0,INDEX('卡片raw data'!X:X,MATCH($D528,'卡片raw data'!$F:$F,)),0)+IF($P528=1,INDEX('卡片raw data'!AA:AA,MATCH($D528,'卡片raw data'!$F:$F,)),0)+IF($P528=2,INDEX('卡片raw data'!AD:AD,MATCH($D528,'卡片raw data'!$F:$F,)),0)+IF($P528=3,INDEX('卡片raw data'!AG:AG,MATCH($D528,'卡片raw data'!$F:$F,)),0)+IF($P528=4,INDEX('卡片raw data'!AJ:AJ,MATCH($D528,'卡片raw data'!$F:$F,)),0)+IF($P528=5,INDEX('卡片raw data'!AM:AM,MATCH($D528,'卡片raw data'!$F:$F,)),0)+INDEX('卡片raw data'!U:U,MATCH($D528,'卡片raw data'!$F:$F,))*(IF($F528="UR",0.04,0.033))*(IF($F528="UR",INDEX(绊状态确认!$S:$S,MATCH($G528,绊状态确认!$B:$B,))/2-40)+IF($F528="SR",INDEX(绊状态确认!$R:$R,MATCH($G528,绊状态确认!$B:$B,))/4-15))+IF($F528="R",INDEX(绊状态确认!$Q:$Q,MATCH($G528,绊状态确认!$B:$B,))/6-40/6)))*(INDEX(绊状态确认!$H:$H,MATCH($G528,绊状态确认!$B:$B,))+INDEX(绊状态确认!L:L,MATCH($G528,绊状态确认!$B:$B,)))</f>
        <v>8798.5133615999985</v>
      </c>
      <c r="AO528" s="1107">
        <f t="shared" si="709"/>
        <v>1</v>
      </c>
      <c r="AP528" s="1131">
        <f>1+(INDEX(绊状态确认!$T:$T,MATCH($G528,绊状态确认!$B:$B,))+0.2)*$AO528</f>
        <v>1.3</v>
      </c>
      <c r="AQ528" s="1108">
        <f t="shared" si="710"/>
        <v>25129.645580800003</v>
      </c>
      <c r="AR528" s="1097">
        <f>(AM528*(1+$EX$9)+$EX$35)*(1+(INDEX(绊状态确认!$T:$T,MATCH($G528,绊状态确认!$B:$B,))+0.2)*AO528)*IF(J528=$FF$17,1+$FE$17,1)*IF(I528=$FF$14,1+$FE$14,1)</f>
        <v>10918.845275727999</v>
      </c>
      <c r="AS528" s="1097">
        <f>(AN528*(1+$EX$10)+$EX$36)*(1+(INDEX(绊状态确认!$T:$T,MATCH($G528,绊状态确认!$B:$B,))+0.2)*AO528)*IF(J528=$FF$17,1+$FE$17,1)*IF(I528=$FF$14,1+$FE$14,1)</f>
        <v>17209.777475591996</v>
      </c>
      <c r="AT528" s="1093">
        <f>IF(AND(INDEX('卡片raw data'!AK:AK,MATCH($D528,'卡片raw data'!$F:$F,))&lt;INDEX('卡片raw data'!AM:AM,MATCH($D528,'卡片raw data'!$F:$F,)),INDEX('卡片raw data'!AL:AL,MATCH($D528,'卡片raw data'!$F:$F,))&lt;INDEX('卡片raw data'!AM:AM,MATCH($D528,'卡片raw data'!$F:$F,))),1,0)</f>
        <v>1</v>
      </c>
      <c r="AU528" s="1098">
        <f>MIN(AT528*0.15+AS528*0.00003+INDEX(绊状态确认!M:M,MATCH($G528,绊状态确认!$B:$B,)),1)</f>
        <v>0.69629332426775992</v>
      </c>
      <c r="AV528" s="1109">
        <f>(INDEX(绊状态确认!$N:$N,MATCH($G528,绊状态确认!$B:$B,))+1.5)*$EW$21</f>
        <v>2.6599999999999997</v>
      </c>
      <c r="AW528" s="1101">
        <f t="shared" si="711"/>
        <v>28135.954093951845</v>
      </c>
      <c r="AX528" s="1097">
        <f t="shared" si="712"/>
        <v>932.69898079990242</v>
      </c>
      <c r="AY528" s="1110">
        <f t="shared" si="713"/>
        <v>29068.653074751746</v>
      </c>
      <c r="AZ528" s="429">
        <f t="shared" si="714"/>
        <v>18853.45100288</v>
      </c>
      <c r="BA528" s="431">
        <f t="shared" si="715"/>
        <v>22624.141203455998</v>
      </c>
      <c r="BB528" s="1097">
        <f>(AM528*(1+$FB$9)+$FB$35)*(1+(INDEX(绊状态确认!$T:$T,MATCH($G528,绊状态确认!$B:$B,))+0.2)*AO528)*IF(J528=$FF$17,1+$FE$17,1)*IF(I528=$FF$14,1+$FE$14,1)*(1+$FE$15)</f>
        <v>10918.845275727999</v>
      </c>
      <c r="BC528" s="1097">
        <f>(AN528*(1+$FB$10)+$FB$36)*(1+(INDEX(绊状态确认!$T:$T,MATCH($G528,绊状态确认!$B:$B,))+0.2)*AO528)*IF(J528=$FF$17,1+$FE$17,1)*IF(I528=$FF$14,1+$FE$14,1)*(1+$FE$15)</f>
        <v>17209.777475591996</v>
      </c>
      <c r="BD528" s="1104">
        <f>MIN(AT528*0.15+BC528*0.00003+INDEX(绊状态确认!M:M,MATCH($G528,绊状态确认!$B:$B,)),1)</f>
        <v>0.69629332426775992</v>
      </c>
      <c r="BE528" s="432">
        <f>(INDEX(绊状态确认!$N:$N,MATCH($G528,绊状态确认!$B:$B,))+1.5)</f>
        <v>1.9</v>
      </c>
      <c r="BF528" s="1139">
        <f t="array" ref="BF528">SUMPRODUCT(IF(AZ528*AP528*$FI$16:$FI$23*$FA$22&gt;=$FI$24,$FI$24,AZ528*AP528*$FI$16:$FI$23*$FA$22),$FJ$16:$FJ$23)</f>
        <v>37499.514044728327</v>
      </c>
      <c r="BG528" s="1125">
        <f t="array" ref="BG528">SUMPRODUCT(IF(BE528*AZ528*AP528*$FI$16:$FI$23*$FA$22&gt;=$FI$24,$FI$24,BE528*AZ528*AP528*$FI$16:$FI$23*$FA$22),$FJ$16:$FJ$23)</f>
        <v>59588.162877253635</v>
      </c>
      <c r="BH528" s="1110">
        <f t="shared" si="716"/>
        <v>17626.564256303514</v>
      </c>
      <c r="BI528" s="1111">
        <f>IF(O528="vo",$EW$26/$EW$24*0.05,0)+IF(O528="sk",-$EW$26/$EW$24*(0.05-INDEX(绊状态确认!W:W,MATCH($G528,绊状态确认!$B:$B,)))+0.05*$EW$28,0)+IF(O528="sp",0.05*$EW$32*$EW$30*(1-$EW$33)-(0.05-INDEX(绊状态确认!V:V,MATCH($G528,绊状态确认!$B:$B,)))*$EW$28,0)+IF(O528="gd",-(0.05-INDEX(绊状态确认!X:X,MATCH($G528,绊状态确认!$B:$B,)))*$EW$32*$EW$30*(1-$EW$33),0)</f>
        <v>19.999999999999886</v>
      </c>
      <c r="BJ528" s="420">
        <f>IF(O528="vo",0.05*(1-$FI$26)*$FA$24,0)+IF(O528="sk",-(0.05-INDEX(绊状态确认!W:W,MATCH($G528,绊状态确认!$B:$B,)))*(1-$FI$26)*$FA$24+0.05*$FA$26,0)+IF(O528="sp",0.05*$FA$32*$FA$27*(1-$FA$33)/$FA$30+0.05*$FA$29/$FA$69*$FA$27*(1-$FA$33)-(0.05-INDEX(绊状态确认!V:V,MATCH($G528,绊状态确认!$B:$B,)))*$FA$26,0)+IF(O528="gd",-(0.05-INDEX(绊状态确认!X:X,MATCH($G528,绊状态确认!$B:$B,)))*$FA$32*$FA$27*(1-$FA$33)/$FA$30-(0.05-INDEX(绊状态确认!X:X,MATCH($G528,绊状态确认!$B:$B,)))*$FA$29/$FA$69*$FA$27*(1-$FA$33),0)</f>
        <v>545.83333333333326</v>
      </c>
      <c r="BK528" s="1110">
        <f>IF(O528="vo",$EW$26/$EW$24*0.05+$EW$26*(-HP($EW$62,$EW$65,$EW$64)+HP($EW$62,$EW$65,(1.05-INDEX(绊状态确认!U:U,MATCH($G528,绊状态确认!$B:$B,)))*$EW$64)),0)+IF(O528="sk",-$EW$26/$EW$24*(0.05-INDEX(绊状态确认!W:W,MATCH($G528,绊状态确认!$B:$B,)))+0.05*$EW$29,0)+IF(O528="sp",0.05*$EW$32*$EW$30*(1-$EW$33)-(0.05-INDEX(绊状态确认!V:V,MATCH($G528,绊状态确认!$B:$B,)))*$EW$29,0)+IF(O528="gd",-(0.05-INDEX(绊状态确认!X:X,MATCH($G528,绊状态确认!$B:$B,)))*$EW$32*$EW$30*(1-$EW$33)+$EW$26*(-HP($EW$62,$EW$65,$EW$64)+HP($EW$62,$EW$65,0.95*$EW$64)),0)</f>
        <v>-1780.0000000000005</v>
      </c>
      <c r="BL528" s="1111">
        <f t="shared" si="717"/>
        <v>-1083.3333333333333</v>
      </c>
      <c r="BM528" s="1110">
        <f t="shared" si="718"/>
        <v>-830.55555555555543</v>
      </c>
      <c r="BN528" s="1113">
        <f t="shared" si="719"/>
        <v>3</v>
      </c>
      <c r="BO528" s="1108">
        <f t="shared" si="720"/>
        <v>4507.7214871259994</v>
      </c>
      <c r="BP528" s="1127">
        <f t="shared" si="721"/>
        <v>221.34103209030098</v>
      </c>
      <c r="BQ528" s="1113" t="s">
        <v>134</v>
      </c>
      <c r="BR528" s="1124" t="s">
        <v>166</v>
      </c>
      <c r="BS528" s="421">
        <f>IF($P528="","N/A",IF($P528=-1,INDEX('卡片raw data'!AX:AX,MATCH($D528,'卡片raw data'!$F:$F,)),0)+IF($L528="party卡",IF($P528=5,INDEX('卡片raw data'!BD:BD,MATCH($D528,'卡片raw data'!$F:$F,)),IF($P528&gt;=3,INDEX('卡片raw data'!BC:BC,MATCH($D528,'卡片raw data'!$F:$F,)),INDEX('卡片raw data'!BB:BB,MATCH($D528,'卡片raw data'!$F:$F,)))),IF(OR(AND($F528="UR",$P528=0),AND($F528="SR",$P528&gt;=0,$P528&lt;=2),AND($F528="R",$P528&gt;=0,$P528&lt;4)),INDEX('卡片raw data'!AZ:AZ,MATCH($D528,'卡片raw data'!$F:$F,)),0)+IF(OR(AND($F528="UR",$P528&gt;=1,$P528&lt;=4),AND($F528="SR",$P528&lt;=4,$P528&gt;=3),AND($F528="R",$P528=4)),INDEX('卡片raw data'!BA:BA,MATCH($D528,'卡片raw data'!$F:$F,)),0)+IF($P528=5,INDEX('卡片raw data'!BB:BB,MATCH($D528,'卡片raw data'!$F:$F,)),0)))</f>
        <v>7.0000000000000007E-2</v>
      </c>
      <c r="BT528" s="424">
        <f t="shared" si="722"/>
        <v>579.42562580574031</v>
      </c>
      <c r="BU528" s="420">
        <f t="shared" si="723"/>
        <v>29.525036651070241</v>
      </c>
      <c r="BV528" s="420">
        <f t="shared" si="724"/>
        <v>0</v>
      </c>
      <c r="BW528" s="436">
        <f t="shared" si="725"/>
        <v>0</v>
      </c>
      <c r="BX528" s="423">
        <f t="shared" si="726"/>
        <v>579.42562580574031</v>
      </c>
      <c r="BY528" s="433">
        <f t="shared" si="727"/>
        <v>0</v>
      </c>
      <c r="BZ528" s="1113" t="s">
        <v>569</v>
      </c>
      <c r="CA528" s="450"/>
      <c r="CB528" s="421">
        <f>IF($P528="","N/A",IF($P528=-1,INDEX('卡片raw data'!BE:BE,MATCH($D528,'卡片raw data'!$F:$F,)),0)+IF($L528="party卡",IF($P528=5,INDEX('卡片raw data'!BK:BK,MATCH($D528,'卡片raw data'!$F:$F,)),IF($P528&gt;=3,INDEX('卡片raw data'!BJ:BJ,MATCH($D528,'卡片raw data'!$F:$F,)),INDEX('卡片raw data'!BI:BI,MATCH($D528,'卡片raw data'!$F:$F,)))),IF(OR(AND($F528="UR",$P528=0),AND($F528="SR",$P528&gt;=0,$P528&lt;=2),AND($F528="R",$P528&gt;=0,$P528&lt;4)),INDEX('卡片raw data'!BG:BG,MATCH($D528,'卡片raw data'!$F:$F,)),0)+IF(OR(AND($F528="UR",$P528&gt;=1,$P528&lt;=4),AND($F528="SR",$P528&lt;=4,$P528&gt;=3),AND($F528="R",$P528=4)),INDEX('卡片raw data'!BH:BH,MATCH($D528,'卡片raw data'!$F:$F,)),0)+IF($P528=5,INDEX('卡片raw data'!BI:BI,MATCH($D528,'卡片raw data'!$F:$F,)),0)))</f>
        <v>0</v>
      </c>
      <c r="CC528" s="424">
        <f t="shared" si="728"/>
        <v>0</v>
      </c>
      <c r="CD528" s="420">
        <f>IF(BZ528="ap",CB528*(1-$FI$26)*$FB$5/$FB$11*(+IF(CA528="全员",$FA$24,0)+IF(CA528="同作战",$FA$24,0)+IF(CA528="仲间",$FA$24*2/3,0)+IF(CA528="同属性",$FA$24*$FA$37/3,0)+IF(CA528="同年级",$FA$24*$FA$40/3,0)+IF(CA528="同学校",$FA$24*$FA$43/3,0)+IF(CA528="同小队",$FA$24*$FA$46/3,0)+IF(CA528="同type",$FA$24*INDEX($FB$49:$FB$52,MATCH(X528,$FA$49:$FA$52,))/3,0)+IF(CA528="自身",#REF!/3,0)),0)+IF(BZ528="te",CB528*(1-$FI$27)*($FA$20-1)*$FB$7/$FB$13*(+IF(CA528="全员",$FA$19*$FA$24/(1+($FA$20-1)*$FA$19),0)+IF(CA528="同作战",$FA$19*$FA$24/(1+($FA$20-1)*$FA$19),0)+IF(CA528="仲间",$FA$19*$FA$24*2/3/(1+($FA$20-1)*$FA$19),0)+IF(CA528="同属性",$FA$19*$FA$24*$FA$37/3/(1+($FA$20-1)*$FA$19),0)+IF(CA528="同年级",$FA$19*$FA$24*$FA$40/3/(1+($FA$20-1)*$FA$19),0)+IF(CA528="同学校",$FA$19*$FA$24*$FA$43/3/(1+($FA$20-1)*$FA$19),0)+IF(CA528="同小队",$FA$19*$FA$24*$FA$46/3/(1+($FA$20-1)*$FA$19),0)+IF(CA528="同type",$FA$19*$FA$24*INDEX($FB$49:$FB$52,MATCH(X528,$FA$49:$FA$52,))/3/(1+($FA$20-1)*$FA$19),0)+IF(CA528="自身",$FA$19*#REF!/3/(1+(BH528-1)*$BD528),0)),0)</f>
        <v>0</v>
      </c>
      <c r="CE528" s="420">
        <f t="shared" si="729"/>
        <v>0</v>
      </c>
      <c r="CF528" s="436">
        <f t="shared" si="730"/>
        <v>0</v>
      </c>
      <c r="CG528" s="423">
        <f t="shared" si="731"/>
        <v>0</v>
      </c>
      <c r="CH528" s="433">
        <f t="shared" si="732"/>
        <v>0</v>
      </c>
      <c r="CI528" s="437" t="s">
        <v>160</v>
      </c>
      <c r="CJ528" s="438">
        <v>0.5</v>
      </c>
      <c r="CK528" s="439" t="s">
        <v>4350</v>
      </c>
      <c r="CL528" s="439" t="s">
        <v>4351</v>
      </c>
      <c r="CM528" s="443">
        <v>0.06</v>
      </c>
      <c r="CN528" s="439"/>
      <c r="CO528" s="1115"/>
      <c r="CP528" s="1116">
        <f t="shared" si="733"/>
        <v>27.658570942915709</v>
      </c>
      <c r="CQ528" s="1116">
        <f t="shared" si="734"/>
        <v>57.36592491863999</v>
      </c>
      <c r="CR528" s="1117">
        <f t="shared" si="735"/>
        <v>27.658570942915709</v>
      </c>
      <c r="CS528" s="442">
        <f t="shared" si="736"/>
        <v>0</v>
      </c>
      <c r="CT528" s="432">
        <f t="shared" si="737"/>
        <v>0</v>
      </c>
      <c r="CU528" s="1101">
        <f t="shared" si="738"/>
        <v>0</v>
      </c>
      <c r="CV528" s="1108">
        <f t="shared" si="768"/>
        <v>0</v>
      </c>
      <c r="CW528" s="420">
        <f t="shared" si="739"/>
        <v>0</v>
      </c>
      <c r="CX528" s="420">
        <f t="shared" si="740"/>
        <v>2279.623312719481</v>
      </c>
      <c r="CY528" s="433">
        <f t="shared" si="741"/>
        <v>2279.623312719481</v>
      </c>
      <c r="CZ528" s="437"/>
      <c r="DA528" s="438"/>
      <c r="DB528" s="439" t="s">
        <v>569</v>
      </c>
      <c r="DC528" s="439"/>
      <c r="DD528" s="443"/>
      <c r="DE528" s="411"/>
      <c r="DF528" s="411"/>
      <c r="DG528" s="1116">
        <f t="shared" si="742"/>
        <v>0</v>
      </c>
      <c r="DH528" s="1116">
        <f t="shared" si="743"/>
        <v>0</v>
      </c>
      <c r="DI528" s="1116">
        <f t="shared" si="744"/>
        <v>0</v>
      </c>
      <c r="DJ528" s="442">
        <f t="shared" si="745"/>
        <v>0</v>
      </c>
      <c r="DK528" s="432">
        <f t="shared" si="746"/>
        <v>0</v>
      </c>
      <c r="DL528" s="424">
        <f t="shared" si="747"/>
        <v>0</v>
      </c>
      <c r="DM528" s="420">
        <f t="shared" si="748"/>
        <v>0</v>
      </c>
      <c r="DN528" s="420">
        <f t="shared" si="749"/>
        <v>0</v>
      </c>
      <c r="DO528" s="420">
        <f t="shared" si="750"/>
        <v>0</v>
      </c>
      <c r="DP528" s="433">
        <f t="shared" si="751"/>
        <v>0</v>
      </c>
      <c r="DQ528" s="1113" t="s">
        <v>2143</v>
      </c>
      <c r="DR528" s="1120">
        <f t="shared" si="769"/>
        <v>0.3</v>
      </c>
      <c r="DS528" s="1124">
        <v>3</v>
      </c>
      <c r="DT528" s="1124" t="s">
        <v>2127</v>
      </c>
      <c r="DU528" s="1093" t="s">
        <v>2145</v>
      </c>
      <c r="DV528" s="1098">
        <f>IF($P528="","N/A",IF(P528=-1,INDEX('卡片raw data'!AN:AN,MATCH(D528,'卡片raw data'!$F:$F,)),0)+IF(AND(L528&lt;&gt;"party卡",P528&lt;=2,P528&gt;=0),INDEX('卡片raw data'!AP:AP,MATCH(D528,'卡片raw data'!$F:$F,)),0)+IF(OR(AND(L528="party卡",P528&lt;=1),AND(P528&lt;=4,L528&lt;&gt;"party卡",P528&gt;=3)),INDEX('卡片raw data'!AQ:AQ,MATCH(D528,'卡片raw data'!$F:$F,)),0)+IF(OR(P528=5,AND(L528="party卡",P528&gt;=2)),INDEX('卡片raw data'!AR:AR,MATCH(D528,'卡片raw data'!$F:$F,)),0))</f>
        <v>7.5999999999999998E-2</v>
      </c>
      <c r="DW528" s="1098">
        <f t="shared" si="752"/>
        <v>0.3</v>
      </c>
      <c r="DX528" s="1098">
        <f t="shared" si="753"/>
        <v>0.3</v>
      </c>
      <c r="DY528" s="1098">
        <f t="shared" si="754"/>
        <v>2.2799999999999997E-2</v>
      </c>
      <c r="DZ528" s="1098">
        <f t="shared" si="755"/>
        <v>1.9721999999999996E-2</v>
      </c>
      <c r="EA528" s="421">
        <f t="shared" si="756"/>
        <v>0</v>
      </c>
      <c r="EB528" s="445">
        <f t="shared" si="757"/>
        <v>0</v>
      </c>
      <c r="EC528" s="424">
        <f t="shared" si="758"/>
        <v>296.39999999999992</v>
      </c>
      <c r="ED528" s="420">
        <f t="shared" si="759"/>
        <v>196.56259999999995</v>
      </c>
      <c r="EE528" s="433">
        <f t="shared" si="683"/>
        <v>296.39999999999992</v>
      </c>
      <c r="EF528" s="1113" t="s">
        <v>569</v>
      </c>
      <c r="EG528" s="1120">
        <f t="shared" si="770"/>
        <v>0.3</v>
      </c>
      <c r="EH528" s="450"/>
      <c r="EI528" s="1124"/>
      <c r="EJ528" s="1124"/>
      <c r="EK528" s="420">
        <f>IF($P528="","N/A",IF(P528=-1,INDEX('卡片raw data'!AS:AS,MATCH(D528,'卡片raw data'!$F:$F,)),0)+IF(AND(L528&lt;&gt;"party卡",P528&lt;=2,P528&gt;=0),INDEX('卡片raw data'!AU:AU,MATCH(D528,'卡片raw data'!$F:$F,)),0)+IF(OR(AND(L528="party卡",P528&lt;=1),AND(P528&lt;=4,L528&lt;&gt;"party卡",P528&gt;=3)),INDEX('卡片raw data'!AV:AV,MATCH(D528,'卡片raw data'!$F:$F,)),0)+IF(OR(P528=5,AND(L528="party卡",P528&gt;=2)),INDEX('卡片raw data'!AW:AW,MATCH(D528,'卡片raw data'!$F:$F,)),0))</f>
        <v>0</v>
      </c>
      <c r="EL528" s="1098">
        <f t="shared" si="760"/>
        <v>0.3</v>
      </c>
      <c r="EM528" s="1098">
        <f t="shared" si="761"/>
        <v>0.3</v>
      </c>
      <c r="EN528" s="1097">
        <f t="shared" si="762"/>
        <v>0</v>
      </c>
      <c r="EO528" s="1097">
        <f t="shared" si="763"/>
        <v>0</v>
      </c>
      <c r="EP528" s="421">
        <f t="shared" si="764"/>
        <v>0</v>
      </c>
      <c r="EQ528" s="445">
        <f t="shared" si="765"/>
        <v>0</v>
      </c>
      <c r="ER528" s="424">
        <f t="shared" si="766"/>
        <v>0</v>
      </c>
      <c r="ES528" s="420">
        <f t="shared" si="767"/>
        <v>0</v>
      </c>
      <c r="ET528" s="446">
        <f t="shared" si="684"/>
        <v>0</v>
      </c>
    </row>
    <row r="529" spans="2:150" ht="16.5" customHeight="1">
      <c r="B529" s="448" t="str">
        <f>INDEX('卡片raw data'!B:B,MATCH($D529,'卡片raw data'!$F:$F,))</f>
        <v>校服米</v>
      </c>
      <c r="C529" s="449" t="s">
        <v>4373</v>
      </c>
      <c r="D529" s="408">
        <v>526</v>
      </c>
      <c r="E529" s="477">
        <v>102111001</v>
      </c>
      <c r="F529" s="409" t="str">
        <f>INDEX('卡片raw data'!C:C,MATCH($D529,'卡片raw data'!$F:$F,))</f>
        <v>R</v>
      </c>
      <c r="G529" s="1094" t="s">
        <v>4369</v>
      </c>
      <c r="H529" s="411">
        <f>IFERROR(INDEX(绊状态确认!C:C,MATCH($G529,绊状态确认!$B:$B,)),"")</f>
        <v>211</v>
      </c>
      <c r="I529" s="450" t="str">
        <f>IFERROR(INDEX(绊状态确认!D:D,MATCH($G529,绊状态确认!$B:$B,)),"")</f>
        <v>虹</v>
      </c>
      <c r="J529" s="450" t="str">
        <f>IFERROR(INDEX(绊状态确认!E:E,MATCH($G529,绊状态确认!$B:$B,)),"")</f>
        <v>3年级</v>
      </c>
      <c r="K529" s="451" t="str">
        <f>IFERROR(INDEX(绊状态确认!F:F,MATCH($G529,绊状态确认!$B:$B,)),"")</f>
        <v>R3BIRTH</v>
      </c>
      <c r="L529" s="414" t="str">
        <f>INDEX('卡片raw data'!E:E,MATCH($D529,'卡片raw data'!$F:$F,))</f>
        <v>卡池卡</v>
      </c>
      <c r="M529" s="478">
        <v>44442</v>
      </c>
      <c r="N529" s="479">
        <v>47</v>
      </c>
      <c r="O529" s="410" t="str">
        <f>INDEX('卡片raw data'!D:D,MATCH($D529,'卡片raw data'!$F:$F,))</f>
        <v>sp</v>
      </c>
      <c r="P529" s="1126">
        <v>5</v>
      </c>
      <c r="Q529" s="418">
        <f t="shared" si="688"/>
        <v>16064.565504901444</v>
      </c>
      <c r="R529" s="419">
        <f t="shared" si="689"/>
        <v>0.186</v>
      </c>
      <c r="S529" s="420">
        <f t="shared" si="690"/>
        <v>9015.860485968873</v>
      </c>
      <c r="T529" s="421">
        <f t="shared" si="691"/>
        <v>0.45</v>
      </c>
      <c r="U529" s="422">
        <f t="shared" si="692"/>
        <v>8.0408192042410693</v>
      </c>
      <c r="V529" s="423">
        <f t="shared" si="693"/>
        <v>14900.863594203203</v>
      </c>
      <c r="W529" s="424">
        <f t="shared" si="694"/>
        <v>3005.1476580839999</v>
      </c>
      <c r="X529" s="419">
        <f t="shared" si="695"/>
        <v>3.4000000000000002E-2</v>
      </c>
      <c r="Y529" s="420">
        <f t="shared" si="696"/>
        <v>636.2980893017575</v>
      </c>
      <c r="Z529" s="425">
        <f t="shared" si="697"/>
        <v>8.0408192042410693</v>
      </c>
      <c r="AA529" s="426">
        <f t="shared" si="698"/>
        <v>3641.4457473857574</v>
      </c>
      <c r="AB529" s="424">
        <f t="shared" si="699"/>
        <v>6010.2953161679998</v>
      </c>
      <c r="AC529" s="427">
        <f t="shared" si="700"/>
        <v>6.9000000000000006E-2</v>
      </c>
      <c r="AD529" s="428">
        <f t="shared" si="701"/>
        <v>-1.9908281250000003E-2</v>
      </c>
      <c r="AE529" s="516">
        <f t="shared" si="702"/>
        <v>3.4686965579710112</v>
      </c>
      <c r="AF529" s="1130">
        <f t="shared" si="703"/>
        <v>0</v>
      </c>
      <c r="AG529" s="420">
        <f t="shared" si="704"/>
        <v>0</v>
      </c>
      <c r="AH529" s="420">
        <f t="shared" si="705"/>
        <v>0</v>
      </c>
      <c r="AI529" s="1097">
        <f t="shared" si="706"/>
        <v>0</v>
      </c>
      <c r="AJ529" s="420">
        <f t="shared" si="707"/>
        <v>0</v>
      </c>
      <c r="AK529" s="518">
        <f t="shared" si="708"/>
        <v>0</v>
      </c>
      <c r="AL529" s="1106">
        <f>IF($P529="","N/A",(IF($P529=-1,INDEX('卡片raw data'!S:S,MATCH($D529,'卡片raw data'!$F:$F,)),0)+IF($P529=0,INDEX('卡片raw data'!V:V,MATCH($D529,'卡片raw data'!$F:$F,)),0)+IF($P529=1,INDEX('卡片raw data'!Y:Y,MATCH($D529,'卡片raw data'!$F:$F,)),0)+IF($P529=2,INDEX('卡片raw data'!AB:AB,MATCH($D529,'卡片raw data'!$F:$F,)),0)+IF($P529=3,INDEX('卡片raw data'!AE:AE,MATCH($D529,'卡片raw data'!$F:$F,)),0)+IF($P529=4,INDEX('卡片raw data'!AH:AH,MATCH($D529,'卡片raw data'!$F:$F,)),0)+IF($P529=5,INDEX('卡片raw data'!AK:AK,MATCH($D529,'卡片raw data'!$F:$F,)),0)+INDEX('卡片raw data'!S:S,MATCH($D529,'卡片raw data'!$F:$F,))*(IF($F529="UR",0.04,0.033))*(IF($F529="UR",INDEX(绊状态确认!$S:$S,MATCH($G529,绊状态确认!$B:$B,))/2-40)+IF($F529="SR",INDEX(绊状态确认!$R:$R,MATCH($G529,绊状态确认!$B:$B,))/4-15))+IF($F529="R",INDEX(绊状态确认!$Q:$Q,MATCH($G529,绊状态确认!$B:$B,))/6-40/6)))*(INDEX(绊状态确认!$H:$H,MATCH($G529,绊状态确认!$B:$B,))+INDEX(绊状态确认!J:J,MATCH($G529,绊状态确认!$B:$B,)))</f>
        <v>4442.1824999999999</v>
      </c>
      <c r="AM529" s="1106">
        <f>IF($P529="","N/A",(IF($P529=-1,INDEX('卡片raw data'!T:T,MATCH($D529,'卡片raw data'!$F:$F,)),0)+IF($P529=0,INDEX('卡片raw data'!W:W,MATCH($D529,'卡片raw data'!$F:$F,)),0)+IF($P529=1,INDEX('卡片raw data'!Z:Z,MATCH($D529,'卡片raw data'!$F:$F,)),0)+IF($P529=2,INDEX('卡片raw data'!AC:AC,MATCH($D529,'卡片raw data'!$F:$F,)),0)+IF($P529=3,INDEX('卡片raw data'!AF:AF,MATCH($D529,'卡片raw data'!$F:$F,)),0)+IF($P529=4,INDEX('卡片raw data'!AI:AI,MATCH($D529,'卡片raw data'!$F:$F,)),0)+IF($P529=5,INDEX('卡片raw data'!AL:AL,MATCH($D529,'卡片raw data'!$F:$F,)),0)+INDEX('卡片raw data'!T:T,MATCH($D529,'卡片raw data'!$F:$F,))*(IF($F529="UR",0.04,0.033))*(IF($F529="UR",INDEX(绊状态确认!$S:$S,MATCH($G529,绊状态确认!$B:$B,))/2-40)+IF($F529="SR",INDEX(绊状态确认!$R:$R,MATCH($G529,绊状态确认!$B:$B,))/4-15))+IF($F529="R",INDEX(绊状态确认!$Q:$Q,MATCH($G529,绊状态确认!$B:$B,))/6-40/6)))*(INDEX(绊状态确认!$H:$H,MATCH($G529,绊状态确认!$B:$B,))+INDEX(绊状态确认!K:K,MATCH($G529,绊状态确认!$B:$B,)))</f>
        <v>3624.8474999999999</v>
      </c>
      <c r="AN529" s="1106">
        <f>IF($P529="","N/A",(IF($P529=-1,INDEX('卡片raw data'!U:U,MATCH($D529,'卡片raw data'!$F:$F,)),0)+IF($P529=0,INDEX('卡片raw data'!X:X,MATCH($D529,'卡片raw data'!$F:$F,)),0)+IF($P529=1,INDEX('卡片raw data'!AA:AA,MATCH($D529,'卡片raw data'!$F:$F,)),0)+IF($P529=2,INDEX('卡片raw data'!AD:AD,MATCH($D529,'卡片raw data'!$F:$F,)),0)+IF($P529=3,INDEX('卡片raw data'!AG:AG,MATCH($D529,'卡片raw data'!$F:$F,)),0)+IF($P529=4,INDEX('卡片raw data'!AJ:AJ,MATCH($D529,'卡片raw data'!$F:$F,)),0)+IF($P529=5,INDEX('卡片raw data'!AM:AM,MATCH($D529,'卡片raw data'!$F:$F,)),0)+INDEX('卡片raw data'!U:U,MATCH($D529,'卡片raw data'!$F:$F,))*(IF($F529="UR",0.04,0.033))*(IF($F529="UR",INDEX(绊状态确认!$S:$S,MATCH($G529,绊状态确认!$B:$B,))/2-40)+IF($F529="SR",INDEX(绊状态确认!$R:$R,MATCH($G529,绊状态确认!$B:$B,))/4-15))+IF($F529="R",INDEX(绊状态确认!$Q:$Q,MATCH($G529,绊状态确认!$B:$B,))/6-40/6)))*(INDEX(绊状态确认!$H:$H,MATCH($G529,绊状态确认!$B:$B,))+INDEX(绊状态确认!L:L,MATCH($G529,绊状态确认!$B:$B,)))</f>
        <v>3624.8474999999999</v>
      </c>
      <c r="AO529" s="1107">
        <f t="shared" si="709"/>
        <v>1</v>
      </c>
      <c r="AP529" s="1131">
        <f>1+(INDEX(绊状态确认!$T:$T,MATCH($G529,绊状态确认!$B:$B,))+0.2)*$AO529</f>
        <v>1.2749999999999999</v>
      </c>
      <c r="AQ529" s="1108">
        <f t="shared" si="710"/>
        <v>14910.729062499999</v>
      </c>
      <c r="AR529" s="1097">
        <f>(AM529*(1+$EX$9)+$EX$35)*(1+(INDEX(绊状态确认!$T:$T,MATCH($G529,绊状态确认!$B:$B,))+0.2)*AO529)*IF(J529=$FF$17,1+$FE$17,1)*IF(I529=$FF$14,1+$FE$14,1)</f>
        <v>7504.7645906249991</v>
      </c>
      <c r="AS529" s="1097">
        <f>(AN529*(1+$EX$10)+$EX$36)*(1+(INDEX(绊状态确认!$T:$T,MATCH($G529,绊状态确认!$B:$B,))+0.2)*AO529)*IF(J529=$FF$17,1+$FE$17,1)*IF(I529=$FF$14,1+$FE$14,1)</f>
        <v>9292.9326468749987</v>
      </c>
      <c r="AT529" s="1093">
        <f>IF(AND(INDEX('卡片raw data'!AK:AK,MATCH($D529,'卡片raw data'!$F:$F,))&lt;INDEX('卡片raw data'!AM:AM,MATCH($D529,'卡片raw data'!$F:$F,)),INDEX('卡片raw data'!AL:AL,MATCH($D529,'卡片raw data'!$F:$F,))&lt;INDEX('卡片raw data'!AM:AM,MATCH($D529,'卡片raw data'!$F:$F,))),1,0)</f>
        <v>0</v>
      </c>
      <c r="AU529" s="1098">
        <f>MIN(AT529*0.15+AS529*0.00003+INDEX(绊状态确认!M:M,MATCH($G529,绊状态确认!$B:$B,)),1)</f>
        <v>0.30378797940624996</v>
      </c>
      <c r="AV529" s="1109">
        <f>(INDEX(绊状态确认!$N:$N,MATCH($G529,绊状态确认!$B:$B,))+1.5)*$EW$21</f>
        <v>2.59</v>
      </c>
      <c r="AW529" s="1101">
        <f t="shared" si="711"/>
        <v>11263.43685540011</v>
      </c>
      <c r="AX529" s="1097">
        <f t="shared" si="712"/>
        <v>636.29808930175727</v>
      </c>
      <c r="AY529" s="1110">
        <f t="shared" si="713"/>
        <v>11899.734944701868</v>
      </c>
      <c r="AZ529" s="429">
        <f t="shared" si="714"/>
        <v>11262.255874999999</v>
      </c>
      <c r="BA529" s="431">
        <f t="shared" si="715"/>
        <v>13514.707049999999</v>
      </c>
      <c r="BB529" s="1097">
        <f>(AM529*(1+$FB$9)+$FB$35)*(1+(INDEX(绊状态确认!$T:$T,MATCH($G529,绊状态确认!$B:$B,))+0.2)*AO529)*IF(J529=$FF$17,1+$FE$17,1)*IF(I529=$FF$14,1+$FE$14,1)*(1+$FE$15)</f>
        <v>7504.7645906249991</v>
      </c>
      <c r="BC529" s="1097">
        <f>(AN529*(1+$FB$10)+$FB$36)*(1+(INDEX(绊状态确认!$T:$T,MATCH($G529,绊状态确认!$B:$B,))+0.2)*AO529)*IF(J529=$FF$17,1+$FE$17,1)*IF(I529=$FF$14,1+$FE$14,1)*(1+$FE$15)</f>
        <v>9292.9326468749987</v>
      </c>
      <c r="BD529" s="1104">
        <f>MIN(AT529*0.15+BC529*0.00003+INDEX(绊状态确认!M:M,MATCH($G529,绊状态确认!$B:$B,)),1)</f>
        <v>0.30378797940624996</v>
      </c>
      <c r="BE529" s="432">
        <f>(INDEX(绊状态确认!$N:$N,MATCH($G529,绊状态确认!$B:$B,))+1.5)</f>
        <v>1.85</v>
      </c>
      <c r="BF529" s="1139">
        <f t="array" ref="BF529">SUMPRODUCT(IF(AZ529*AP529*$FI$16:$FI$23*$FA$22&gt;=$FI$24,$FI$24,AZ529*AP529*$FI$16:$FI$23*$FA$22),$FJ$16:$FJ$23)</f>
        <v>21969.845648156246</v>
      </c>
      <c r="BG529" s="1125">
        <f t="array" ref="BG529">SUMPRODUCT(IF(BE529*AZ529*AP529*$FI$16:$FI$23*$FA$22&gt;=$FI$24,$FI$24,BE529*AZ529*AP529*$FI$16:$FI$23*$FA$22),$FJ$16:$FJ$23)</f>
        <v>40644.214449089064</v>
      </c>
      <c r="BH529" s="1110">
        <f t="shared" si="716"/>
        <v>9214.2981376262487</v>
      </c>
      <c r="BI529" s="1111">
        <f>IF(O529="vo",$EW$26/$EW$24*0.05,0)+IF(O529="sk",-$EW$26/$EW$24*(0.05-INDEX(绊状态确认!W:W,MATCH($G529,绊状态确认!$B:$B,)))+0.05*$EW$28,0)+IF(O529="sp",0.05*$EW$32*$EW$30*(1-$EW$33)-(0.05-INDEX(绊状态确认!V:V,MATCH($G529,绊状态确认!$B:$B,)))*$EW$28,0)+IF(O529="gd",-(0.05-INDEX(绊状态确认!X:X,MATCH($G529,绊状态确认!$B:$B,)))*$EW$32*$EW$30*(1-$EW$33),0)</f>
        <v>19.999999999999886</v>
      </c>
      <c r="BJ529" s="420">
        <f>IF(O529="vo",0.05*(1-$FI$26)*$FA$24,0)+IF(O529="sk",-(0.05-INDEX(绊状态确认!W:W,MATCH($G529,绊状态确认!$B:$B,)))*(1-$FI$26)*$FA$24+0.05*$FA$26,0)+IF(O529="sp",0.05*$FA$32*$FA$27*(1-$FA$33)/$FA$30+0.05*$FA$29/$FA$69*$FA$27*(1-$FA$33)-(0.05-INDEX(绊状态确认!V:V,MATCH($G529,绊状态确认!$B:$B,)))*$FA$26,0)+IF(O529="gd",-(0.05-INDEX(绊状态确认!X:X,MATCH($G529,绊状态确认!$B:$B,)))*$FA$32*$FA$27*(1-$FA$33)/$FA$30-(0.05-INDEX(绊状态确认!X:X,MATCH($G529,绊状态确认!$B:$B,)))*$FA$29/$FA$69*$FA$27*(1-$FA$33),0)</f>
        <v>545.83333333333326</v>
      </c>
      <c r="BK529" s="1110">
        <f>IF(O529="vo",$EW$26/$EW$24*0.05+$EW$26*(-HP($EW$62,$EW$65,$EW$64)+HP($EW$62,$EW$65,(1.05-INDEX(绊状态确认!U:U,MATCH($G529,绊状态确认!$B:$B,)))*$EW$64)),0)+IF(O529="sk",-$EW$26/$EW$24*(0.05-INDEX(绊状态确认!W:W,MATCH($G529,绊状态确认!$B:$B,)))+0.05*$EW$29,0)+IF(O529="sp",0.05*$EW$32*$EW$30*(1-$EW$33)-(0.05-INDEX(绊状态确认!V:V,MATCH($G529,绊状态确认!$B:$B,)))*$EW$29,0)+IF(O529="gd",-(0.05-INDEX(绊状态确认!X:X,MATCH($G529,绊状态确认!$B:$B,)))*$EW$32*$EW$30*(1-$EW$33)+$EW$26*(-HP($EW$62,$EW$65,$EW$64)+HP($EW$62,$EW$65,0.95*$EW$64)),0)</f>
        <v>-1780.0000000000005</v>
      </c>
      <c r="BL529" s="1111">
        <f t="shared" si="717"/>
        <v>-2166.6666666666665</v>
      </c>
      <c r="BM529" s="1110">
        <f t="shared" si="718"/>
        <v>-1661.1111111111109</v>
      </c>
      <c r="BN529" s="1113">
        <f t="shared" si="719"/>
        <v>2</v>
      </c>
      <c r="BO529" s="1108">
        <f t="shared" si="720"/>
        <v>3005.1476580839999</v>
      </c>
      <c r="BP529" s="1127">
        <f t="shared" si="721"/>
        <v>147.56068806020068</v>
      </c>
      <c r="BQ529" s="1113" t="s">
        <v>132</v>
      </c>
      <c r="BR529" s="1124" t="s">
        <v>168</v>
      </c>
      <c r="BS529" s="421">
        <f>IF($P529="","N/A",IF($P529=-1,INDEX('卡片raw data'!AX:AX,MATCH($D529,'卡片raw data'!$F:$F,)),0)+IF($L529="party卡",IF($P529=5,INDEX('卡片raw data'!BD:BD,MATCH($D529,'卡片raw data'!$F:$F,)),IF($P529&gt;=3,INDEX('卡片raw data'!BC:BC,MATCH($D529,'卡片raw data'!$F:$F,)),INDEX('卡片raw data'!BB:BB,MATCH($D529,'卡片raw data'!$F:$F,)))),IF(OR(AND($F529="UR",$P529=0),AND($F529="SR",$P529&gt;=0,$P529&lt;=2),AND($F529="R",$P529&gt;=0,$P529&lt;4)),INDEX('卡片raw data'!AZ:AZ,MATCH($D529,'卡片raw data'!$F:$F,)),0)+IF(OR(AND($F529="UR",$P529&gt;=1,$P529&lt;=4),AND($F529="SR",$P529&lt;=4,$P529&gt;=3),AND($F529="R",$P529=4)),INDEX('卡片raw data'!BA:BA,MATCH($D529,'卡片raw data'!$F:$F,)),0)+IF($P529=5,INDEX('卡片raw data'!BB:BB,MATCH($D529,'卡片raw data'!$F:$F,)),0)))</f>
        <v>0.04</v>
      </c>
      <c r="BT529" s="424">
        <f t="shared" si="722"/>
        <v>3005.1476580840003</v>
      </c>
      <c r="BU529" s="420">
        <f t="shared" si="723"/>
        <v>147.56068806020068</v>
      </c>
      <c r="BV529" s="420">
        <f t="shared" si="724"/>
        <v>0</v>
      </c>
      <c r="BW529" s="436">
        <f t="shared" si="725"/>
        <v>0</v>
      </c>
      <c r="BX529" s="423">
        <f t="shared" si="726"/>
        <v>3005.1476580840003</v>
      </c>
      <c r="BY529" s="433">
        <f t="shared" si="727"/>
        <v>0</v>
      </c>
      <c r="BZ529" s="1113" t="s">
        <v>569</v>
      </c>
      <c r="CA529" s="450"/>
      <c r="CB529" s="421">
        <f>IF($P529="","N/A",IF($P529=-1,INDEX('卡片raw data'!BE:BE,MATCH($D529,'卡片raw data'!$F:$F,)),0)+IF($L529="party卡",IF($P529=5,INDEX('卡片raw data'!BK:BK,MATCH($D529,'卡片raw data'!$F:$F,)),IF($P529&gt;=3,INDEX('卡片raw data'!BJ:BJ,MATCH($D529,'卡片raw data'!$F:$F,)),INDEX('卡片raw data'!BI:BI,MATCH($D529,'卡片raw data'!$F:$F,)))),IF(OR(AND($F529="UR",$P529=0),AND($F529="SR",$P529&gt;=0,$P529&lt;=2),AND($F529="R",$P529&gt;=0,$P529&lt;4)),INDEX('卡片raw data'!BG:BG,MATCH($D529,'卡片raw data'!$F:$F,)),0)+IF(OR(AND($F529="UR",$P529&gt;=1,$P529&lt;=4),AND($F529="SR",$P529&lt;=4,$P529&gt;=3),AND($F529="R",$P529=4)),INDEX('卡片raw data'!BH:BH,MATCH($D529,'卡片raw data'!$F:$F,)),0)+IF($P529=5,INDEX('卡片raw data'!BI:BI,MATCH($D529,'卡片raw data'!$F:$F,)),0)))</f>
        <v>0</v>
      </c>
      <c r="CC529" s="424">
        <f t="shared" si="728"/>
        <v>0</v>
      </c>
      <c r="CD529" s="420">
        <f>IF(BZ529="ap",CB529*(1-$FI$26)*$FB$5/$FB$11*(+IF(CA529="全员",$FA$24,0)+IF(CA529="同作战",$FA$24,0)+IF(CA529="仲间",$FA$24*2/3,0)+IF(CA529="同属性",$FA$24*$FA$37/3,0)+IF(CA529="同年级",$FA$24*$FA$40/3,0)+IF(CA529="同学校",$FA$24*$FA$43/3,0)+IF(CA529="同小队",$FA$24*$FA$46/3,0)+IF(CA529="同type",$FA$24*INDEX($FB$49:$FB$52,MATCH(X529,$FA$49:$FA$52,))/3,0)+IF(CA529="自身",#REF!/3,0)),0)+IF(BZ529="te",CB529*(1-$FI$27)*($FA$20-1)*$FB$7/$FB$13*(+IF(CA529="全员",$FA$19*$FA$24/(1+($FA$20-1)*$FA$19),0)+IF(CA529="同作战",$FA$19*$FA$24/(1+($FA$20-1)*$FA$19),0)+IF(CA529="仲间",$FA$19*$FA$24*2/3/(1+($FA$20-1)*$FA$19),0)+IF(CA529="同属性",$FA$19*$FA$24*$FA$37/3/(1+($FA$20-1)*$FA$19),0)+IF(CA529="同年级",$FA$19*$FA$24*$FA$40/3/(1+($FA$20-1)*$FA$19),0)+IF(CA529="同学校",$FA$19*$FA$24*$FA$43/3/(1+($FA$20-1)*$FA$19),0)+IF(CA529="同小队",$FA$19*$FA$24*$FA$46/3/(1+($FA$20-1)*$FA$19),0)+IF(CA529="同type",$FA$19*$FA$24*INDEX($FB$49:$FB$52,MATCH(X529,$FA$49:$FA$52,))/3/(1+($FA$20-1)*$FA$19),0)+IF(CA529="自身",$FA$19*#REF!/3/(1+(BH529-1)*$BD529),0)),0)</f>
        <v>0</v>
      </c>
      <c r="CE529" s="420">
        <f t="shared" si="729"/>
        <v>0</v>
      </c>
      <c r="CF529" s="436">
        <f t="shared" si="730"/>
        <v>0</v>
      </c>
      <c r="CG529" s="423">
        <f t="shared" si="731"/>
        <v>0</v>
      </c>
      <c r="CH529" s="433">
        <f t="shared" si="732"/>
        <v>0</v>
      </c>
      <c r="CI529" s="1113"/>
      <c r="CJ529" s="1114"/>
      <c r="CK529" s="439" t="s">
        <v>569</v>
      </c>
      <c r="CL529" s="439"/>
      <c r="CM529" s="1119"/>
      <c r="CN529" s="1115"/>
      <c r="CO529" s="1092"/>
      <c r="CP529" s="1117">
        <f t="shared" si="733"/>
        <v>0</v>
      </c>
      <c r="CQ529" s="1117">
        <f t="shared" si="734"/>
        <v>0</v>
      </c>
      <c r="CR529" s="1117">
        <f t="shared" si="735"/>
        <v>0</v>
      </c>
      <c r="CS529" s="1118">
        <f t="shared" si="736"/>
        <v>0</v>
      </c>
      <c r="CT529" s="1109">
        <f t="shared" si="737"/>
        <v>0</v>
      </c>
      <c r="CU529" s="1101">
        <f t="shared" si="738"/>
        <v>0</v>
      </c>
      <c r="CV529" s="1108">
        <f t="shared" si="768"/>
        <v>0</v>
      </c>
      <c r="CW529" s="1097">
        <f t="shared" si="739"/>
        <v>0</v>
      </c>
      <c r="CX529" s="1097">
        <f t="shared" si="740"/>
        <v>0</v>
      </c>
      <c r="CY529" s="1110">
        <f t="shared" si="741"/>
        <v>0</v>
      </c>
      <c r="CZ529" s="437"/>
      <c r="DA529" s="438"/>
      <c r="DB529" s="439" t="s">
        <v>569</v>
      </c>
      <c r="DC529" s="439"/>
      <c r="DD529" s="443"/>
      <c r="DE529" s="411"/>
      <c r="DF529" s="411"/>
      <c r="DG529" s="1116">
        <f t="shared" si="742"/>
        <v>0</v>
      </c>
      <c r="DH529" s="1116">
        <f t="shared" si="743"/>
        <v>0</v>
      </c>
      <c r="DI529" s="1116">
        <f t="shared" si="744"/>
        <v>0</v>
      </c>
      <c r="DJ529" s="442">
        <f t="shared" si="745"/>
        <v>0</v>
      </c>
      <c r="DK529" s="432">
        <f t="shared" si="746"/>
        <v>0</v>
      </c>
      <c r="DL529" s="424">
        <f t="shared" si="747"/>
        <v>0</v>
      </c>
      <c r="DM529" s="420">
        <f t="shared" si="748"/>
        <v>0</v>
      </c>
      <c r="DN529" s="420">
        <f t="shared" si="749"/>
        <v>0</v>
      </c>
      <c r="DO529" s="420">
        <f t="shared" si="750"/>
        <v>0</v>
      </c>
      <c r="DP529" s="433">
        <f t="shared" si="751"/>
        <v>0</v>
      </c>
      <c r="DQ529" s="1113" t="s">
        <v>549</v>
      </c>
      <c r="DR529" s="1120">
        <f t="shared" si="769"/>
        <v>0.3</v>
      </c>
      <c r="DS529" s="450"/>
      <c r="DT529" s="1124" t="s">
        <v>546</v>
      </c>
      <c r="DU529" s="1124"/>
      <c r="DV529" s="1097">
        <f>IF($P529="","N/A",IF(P529=-1,INDEX('卡片raw data'!AN:AN,MATCH(D529,'卡片raw data'!$F:$F,)),0)+IF(AND(L529&lt;&gt;"party卡",P529&lt;=2,P529&gt;=0),INDEX('卡片raw data'!AP:AP,MATCH(D529,'卡片raw data'!$F:$F,)),0)+IF(OR(AND(L529="party卡",P529&lt;=1),AND(P529&lt;=4,L529&lt;&gt;"party卡",P529&gt;=3)),INDEX('卡片raw data'!AQ:AQ,MATCH(D529,'卡片raw data'!$F:$F,)),0)+IF(OR(P529=5,AND(L529="party卡",P529&gt;=2)),INDEX('卡片raw data'!AR:AR,MATCH(D529,'卡片raw data'!$F:$F,)),0))</f>
        <v>150</v>
      </c>
      <c r="DW529" s="1098">
        <f t="shared" si="752"/>
        <v>0.3</v>
      </c>
      <c r="DX529" s="1098">
        <f t="shared" si="753"/>
        <v>0.3</v>
      </c>
      <c r="DY529" s="1098">
        <f t="shared" si="754"/>
        <v>2.0833333333333333E-3</v>
      </c>
      <c r="DZ529" s="1098">
        <f t="shared" si="755"/>
        <v>2.4868749999999999E-3</v>
      </c>
      <c r="EA529" s="421">
        <f t="shared" si="756"/>
        <v>0</v>
      </c>
      <c r="EB529" s="445">
        <f t="shared" si="757"/>
        <v>15.236812499999997</v>
      </c>
      <c r="EC529" s="424">
        <f t="shared" si="758"/>
        <v>937.5</v>
      </c>
      <c r="ED529" s="420">
        <f t="shared" si="759"/>
        <v>621.71875</v>
      </c>
      <c r="EE529" s="433">
        <f t="shared" si="683"/>
        <v>937.5</v>
      </c>
      <c r="EF529" s="1113" t="s">
        <v>569</v>
      </c>
      <c r="EG529" s="1120">
        <f t="shared" si="770"/>
        <v>0.3</v>
      </c>
      <c r="EH529" s="450"/>
      <c r="EI529" s="1124"/>
      <c r="EJ529" s="1124"/>
      <c r="EK529" s="1097">
        <f>IF($P529="","N/A",IF(P529=-1,INDEX('卡片raw data'!AS:AS,MATCH(D529,'卡片raw data'!$F:$F,)),0)+IF(AND(L529&lt;&gt;"party卡",P529&lt;=2,P529&gt;=0),INDEX('卡片raw data'!AU:AU,MATCH(D529,'卡片raw data'!$F:$F,)),0)+IF(OR(AND(L529="party卡",P529&lt;=1),AND(P529&lt;=4,L529&lt;&gt;"party卡",P529&gt;=3)),INDEX('卡片raw data'!AV:AV,MATCH(D529,'卡片raw data'!$F:$F,)),0)+IF(OR(P529=5,AND(L529="party卡",P529&gt;=2)),INDEX('卡片raw data'!AW:AW,MATCH(D529,'卡片raw data'!$F:$F,)),0))</f>
        <v>0</v>
      </c>
      <c r="EL529" s="1098">
        <f t="shared" si="760"/>
        <v>0.3</v>
      </c>
      <c r="EM529" s="1098">
        <f t="shared" si="761"/>
        <v>0.3</v>
      </c>
      <c r="EN529" s="1097">
        <f t="shared" si="762"/>
        <v>0</v>
      </c>
      <c r="EO529" s="1097">
        <f t="shared" si="763"/>
        <v>0</v>
      </c>
      <c r="EP529" s="421">
        <f t="shared" si="764"/>
        <v>0</v>
      </c>
      <c r="EQ529" s="445">
        <f t="shared" si="765"/>
        <v>0</v>
      </c>
      <c r="ER529" s="424">
        <f t="shared" si="766"/>
        <v>0</v>
      </c>
      <c r="ES529" s="420">
        <f t="shared" si="767"/>
        <v>0</v>
      </c>
      <c r="ET529" s="446">
        <f t="shared" si="684"/>
        <v>0</v>
      </c>
    </row>
    <row r="530" spans="2:150" ht="16.5" customHeight="1">
      <c r="B530" s="448" t="str">
        <f>INDEX('卡片raw data'!B:B,MATCH($D530,'卡片raw data'!$F:$F,))</f>
        <v>练习米</v>
      </c>
      <c r="C530" s="449" t="s">
        <v>4374</v>
      </c>
      <c r="D530" s="408">
        <v>527</v>
      </c>
      <c r="E530" s="477">
        <v>102111002</v>
      </c>
      <c r="F530" s="409" t="str">
        <f>INDEX('卡片raw data'!C:C,MATCH($D530,'卡片raw data'!$F:$F,))</f>
        <v>R</v>
      </c>
      <c r="G530" s="1094" t="s">
        <v>4369</v>
      </c>
      <c r="H530" s="411">
        <f>IFERROR(INDEX(绊状态确认!C:C,MATCH($G530,绊状态确认!$B:$B,)),"")</f>
        <v>211</v>
      </c>
      <c r="I530" s="450" t="str">
        <f>IFERROR(INDEX(绊状态确认!D:D,MATCH($G530,绊状态确认!$B:$B,)),"")</f>
        <v>虹</v>
      </c>
      <c r="J530" s="450" t="str">
        <f>IFERROR(INDEX(绊状态确认!E:E,MATCH($G530,绊状态确认!$B:$B,)),"")</f>
        <v>3年级</v>
      </c>
      <c r="K530" s="451" t="str">
        <f>IFERROR(INDEX(绊状态确认!F:F,MATCH($G530,绊状态确认!$B:$B,)),"")</f>
        <v>R3BIRTH</v>
      </c>
      <c r="L530" s="414" t="str">
        <f>INDEX('卡片raw data'!E:E,MATCH($D530,'卡片raw data'!$F:$F,))</f>
        <v>卡池卡</v>
      </c>
      <c r="M530" s="478">
        <v>44442</v>
      </c>
      <c r="N530" s="479">
        <v>47</v>
      </c>
      <c r="O530" s="410" t="str">
        <f>INDEX('卡片raw data'!D:D,MATCH($D530,'卡片raw data'!$F:$F,))</f>
        <v>gd</v>
      </c>
      <c r="P530" s="1126">
        <v>5</v>
      </c>
      <c r="Q530" s="418">
        <f t="shared" si="688"/>
        <v>13200.057434883454</v>
      </c>
      <c r="R530" s="419">
        <f t="shared" si="689"/>
        <v>0.153</v>
      </c>
      <c r="S530" s="420">
        <f t="shared" si="690"/>
        <v>7531.2922519759941</v>
      </c>
      <c r="T530" s="421">
        <f t="shared" si="691"/>
        <v>0.376</v>
      </c>
      <c r="U530" s="422">
        <f t="shared" si="692"/>
        <v>79.633244523437497</v>
      </c>
      <c r="V530" s="423">
        <f t="shared" si="693"/>
        <v>19406.86228025439</v>
      </c>
      <c r="W530" s="424">
        <f t="shared" si="694"/>
        <v>3005.1476580839999</v>
      </c>
      <c r="X530" s="419">
        <f t="shared" si="695"/>
        <v>3.4000000000000002E-2</v>
      </c>
      <c r="Y530" s="420">
        <f t="shared" si="696"/>
        <v>761.94607292600904</v>
      </c>
      <c r="Z530" s="425">
        <f t="shared" si="697"/>
        <v>9.633244523437499</v>
      </c>
      <c r="AA530" s="426">
        <f t="shared" si="698"/>
        <v>3767.0937310100089</v>
      </c>
      <c r="AB530" s="424">
        <f t="shared" si="699"/>
        <v>3005.1476580839999</v>
      </c>
      <c r="AC530" s="427">
        <f t="shared" si="700"/>
        <v>3.4000000000000002E-2</v>
      </c>
      <c r="AD530" s="428">
        <f t="shared" si="701"/>
        <v>-3.8207812500000026E-3</v>
      </c>
      <c r="AE530" s="516">
        <f t="shared" si="702"/>
        <v>-28.942028985507246</v>
      </c>
      <c r="AF530" s="1130">
        <f t="shared" si="703"/>
        <v>1031.48141109375</v>
      </c>
      <c r="AG530" s="420">
        <f t="shared" si="704"/>
        <v>107441.44677812501</v>
      </c>
      <c r="AH530" s="420">
        <f t="shared" si="705"/>
        <v>104.16227148892342</v>
      </c>
      <c r="AI530" s="1097">
        <f t="shared" si="706"/>
        <v>-92694.344361056661</v>
      </c>
      <c r="AJ530" s="420">
        <f t="shared" si="707"/>
        <v>19406.86228025439</v>
      </c>
      <c r="AK530" s="518">
        <f t="shared" si="708"/>
        <v>-112101.20664131106</v>
      </c>
      <c r="AL530" s="1106">
        <f>IF($P530="","N/A",(IF($P530=-1,INDEX('卡片raw data'!S:S,MATCH($D530,'卡片raw data'!$F:$F,)),0)+IF($P530=0,INDEX('卡片raw data'!V:V,MATCH($D530,'卡片raw data'!$F:$F,)),0)+IF($P530=1,INDEX('卡片raw data'!Y:Y,MATCH($D530,'卡片raw data'!$F:$F,)),0)+IF($P530=2,INDEX('卡片raw data'!AB:AB,MATCH($D530,'卡片raw data'!$F:$F,)),0)+IF($P530=3,INDEX('卡片raw data'!AE:AE,MATCH($D530,'卡片raw data'!$F:$F,)),0)+IF($P530=4,INDEX('卡片raw data'!AH:AH,MATCH($D530,'卡片raw data'!$F:$F,)),0)+IF($P530=5,INDEX('卡片raw data'!AK:AK,MATCH($D530,'卡片raw data'!$F:$F,)),0)+INDEX('卡片raw data'!S:S,MATCH($D530,'卡片raw data'!$F:$F,))*(IF($F530="UR",0.04,0.033))*(IF($F530="UR",INDEX(绊状态确认!$S:$S,MATCH($G530,绊状态确认!$B:$B,))/2-40)+IF($F530="SR",INDEX(绊状态确认!$R:$R,MATCH($G530,绊状态确认!$B:$B,))/4-15))+IF($F530="R",INDEX(绊状态确认!$Q:$Q,MATCH($G530,绊状态确认!$B:$B,))/6-40/6)))*(INDEX(绊状态确认!$H:$H,MATCH($G530,绊状态确认!$B:$B,))+INDEX(绊状态确认!J:J,MATCH($G530,绊状态确认!$B:$B,)))</f>
        <v>4016.9024999999997</v>
      </c>
      <c r="AM530" s="1106">
        <f>IF($P530="","N/A",(IF($P530=-1,INDEX('卡片raw data'!T:T,MATCH($D530,'卡片raw data'!$F:$F,)),0)+IF($P530=0,INDEX('卡片raw data'!W:W,MATCH($D530,'卡片raw data'!$F:$F,)),0)+IF($P530=1,INDEX('卡片raw data'!Z:Z,MATCH($D530,'卡片raw data'!$F:$F,)),0)+IF($P530=2,INDEX('卡片raw data'!AC:AC,MATCH($D530,'卡片raw data'!$F:$F,)),0)+IF($P530=3,INDEX('卡片raw data'!AF:AF,MATCH($D530,'卡片raw data'!$F:$F,)),0)+IF($P530=4,INDEX('卡片raw data'!AI:AI,MATCH($D530,'卡片raw data'!$F:$F,)),0)+IF($P530=5,INDEX('卡片raw data'!AL:AL,MATCH($D530,'卡片raw data'!$F:$F,)),0)+INDEX('卡片raw data'!T:T,MATCH($D530,'卡片raw data'!$F:$F,))*(IF($F530="UR",0.04,0.033))*(IF($F530="UR",INDEX(绊状态确认!$S:$S,MATCH($G530,绊状态确认!$B:$B,))/2-40)+IF($F530="SR",INDEX(绊状态确认!$R:$R,MATCH($G530,绊状态确认!$B:$B,))/4-15))+IF($F530="R",INDEX(绊状态确认!$Q:$Q,MATCH($G530,绊状态确认!$B:$B,))/6-40/6)))*(INDEX(绊状态确认!$H:$H,MATCH($G530,绊状态确认!$B:$B,))+INDEX(绊状态确认!K:K,MATCH($G530,绊状态确认!$B:$B,)))</f>
        <v>4016.9024999999997</v>
      </c>
      <c r="AN530" s="1106">
        <f>IF($P530="","N/A",(IF($P530=-1,INDEX('卡片raw data'!U:U,MATCH($D530,'卡片raw data'!$F:$F,)),0)+IF($P530=0,INDEX('卡片raw data'!X:X,MATCH($D530,'卡片raw data'!$F:$F,)),0)+IF($P530=1,INDEX('卡片raw data'!AA:AA,MATCH($D530,'卡片raw data'!$F:$F,)),0)+IF($P530=2,INDEX('卡片raw data'!AD:AD,MATCH($D530,'卡片raw data'!$F:$F,)),0)+IF($P530=3,INDEX('卡片raw data'!AG:AG,MATCH($D530,'卡片raw data'!$F:$F,)),0)+IF($P530=4,INDEX('卡片raw data'!AJ:AJ,MATCH($D530,'卡片raw data'!$F:$F,)),0)+IF($P530=5,INDEX('卡片raw data'!AM:AM,MATCH($D530,'卡片raw data'!$F:$F,)),0)+INDEX('卡片raw data'!U:U,MATCH($D530,'卡片raw data'!$F:$F,))*(IF($F530="UR",0.04,0.033))*(IF($F530="UR",INDEX(绊状态确认!$S:$S,MATCH($G530,绊状态确认!$B:$B,))/2-40)+IF($F530="SR",INDEX(绊状态确认!$R:$R,MATCH($G530,绊状态确认!$B:$B,))/4-15))+IF($F530="R",INDEX(绊状态确认!$Q:$Q,MATCH($G530,绊状态确认!$B:$B,))/6-40/6)))*(INDEX(绊状态确认!$H:$H,MATCH($G530,绊状态确认!$B:$B,))+INDEX(绊状态确认!L:L,MATCH($G530,绊状态确认!$B:$B,)))</f>
        <v>5355.87</v>
      </c>
      <c r="AO530" s="1107">
        <f t="shared" si="709"/>
        <v>1</v>
      </c>
      <c r="AP530" s="1131">
        <f>1+(INDEX(绊状态确认!$T:$T,MATCH($G530,绊状态确认!$B:$B,))+0.2)*$AO530</f>
        <v>1.2749999999999999</v>
      </c>
      <c r="AQ530" s="1108">
        <f t="shared" si="710"/>
        <v>13794.3690625</v>
      </c>
      <c r="AR530" s="1097">
        <f>(AM530*(1+$EX$9)+$EX$35)*(1+(INDEX(绊状态确认!$T:$T,MATCH($G530,绊状态确认!$B:$B,))+0.2)*AO530)*IF(J530=$FF$17,1+$FE$17,1)*IF(I530=$FF$14,1+$FE$14,1)</f>
        <v>8029.6282218749993</v>
      </c>
      <c r="AS530" s="1097">
        <f>(AN530*(1+$EX$10)+$EX$36)*(1+(INDEX(绊状态确认!$T:$T,MATCH($G530,绊状态确认!$B:$B,))+0.2)*AO530)*IF(J530=$FF$17,1+$FE$17,1)*IF(I530=$FF$14,1+$FE$14,1)</f>
        <v>11831.044387499996</v>
      </c>
      <c r="AT530" s="1093">
        <f>IF(AND(INDEX('卡片raw data'!AK:AK,MATCH($D530,'卡片raw data'!$F:$F,))&lt;INDEX('卡片raw data'!AM:AM,MATCH($D530,'卡片raw data'!$F:$F,)),INDEX('卡片raw data'!AL:AL,MATCH($D530,'卡片raw data'!$F:$F,))&lt;INDEX('卡片raw data'!AM:AM,MATCH($D530,'卡片raw data'!$F:$F,))),1,0)</f>
        <v>1</v>
      </c>
      <c r="AU530" s="1098">
        <f>MIN(AT530*0.15+AS530*0.00003+INDEX(绊状态确认!M:M,MATCH($G530,绊状态确认!$B:$B,)),1)</f>
        <v>0.52993133162499995</v>
      </c>
      <c r="AV530" s="1109">
        <f>(INDEX(绊状态确认!$N:$N,MATCH($G530,绊状态确认!$B:$B,))+1.5)*$EW$21</f>
        <v>2.59</v>
      </c>
      <c r="AW530" s="1101">
        <f t="shared" si="711"/>
        <v>12946.576443466121</v>
      </c>
      <c r="AX530" s="1097">
        <f t="shared" si="712"/>
        <v>681.57822113035331</v>
      </c>
      <c r="AY530" s="1110">
        <f t="shared" si="713"/>
        <v>13628.154664596475</v>
      </c>
      <c r="AZ530" s="429">
        <f t="shared" si="714"/>
        <v>10432.959875</v>
      </c>
      <c r="BA530" s="431">
        <f t="shared" si="715"/>
        <v>12519.55185</v>
      </c>
      <c r="BB530" s="1097">
        <f>(AM530*(1+$FB$9)+$FB$35)*(1+(INDEX(绊状态确认!$T:$T,MATCH($G530,绊状态确认!$B:$B,))+0.2)*AO530)*IF(J530=$FF$17,1+$FE$17,1)*IF(I530=$FF$14,1+$FE$14,1)*(1+$FE$15)</f>
        <v>8029.6282218749993</v>
      </c>
      <c r="BC530" s="1097">
        <f>(AN530*(1+$FB$10)+$FB$36)*(1+(INDEX(绊状态确认!$T:$T,MATCH($G530,绊状态确认!$B:$B,))+0.2)*AO530)*IF(J530=$FF$17,1+$FE$17,1)*IF(I530=$FF$14,1+$FE$14,1)*(1+$FE$15)</f>
        <v>11831.044387499996</v>
      </c>
      <c r="BD530" s="1104">
        <f>MIN(AT530*0.15+BC530*0.00003+INDEX(绊状态确认!M:M,MATCH($G530,绊状态确认!$B:$B,)),1)</f>
        <v>0.52993133162499995</v>
      </c>
      <c r="BE530" s="432">
        <f>(INDEX(绊状态确认!$N:$N,MATCH($G530,绊状态确认!$B:$B,))+1.5)</f>
        <v>1.85</v>
      </c>
      <c r="BF530" s="1139">
        <f t="array" ref="BF530">SUMPRODUCT(IF(AZ530*AP530*$FI$16:$FI$23*$FA$22&gt;=$FI$24,$FI$24,AZ530*AP530*$FI$16:$FI$23*$FA$22),$FJ$16:$FJ$23)</f>
        <v>20352.09647615625</v>
      </c>
      <c r="BG530" s="1125">
        <f t="array" ref="BG530">SUMPRODUCT(IF(BE530*AZ530*AP530*$FI$16:$FI$23*$FA$22&gt;=$FI$24,$FI$24,BE530*AZ530*AP530*$FI$16:$FI$23*$FA$22),$FJ$16:$FJ$23)</f>
        <v>37651.37848088907</v>
      </c>
      <c r="BH530" s="1110">
        <f t="shared" si="716"/>
        <v>9839.8426750269045</v>
      </c>
      <c r="BI530" s="1111">
        <f>IF(O530="vo",$EW$26/$EW$24*0.05,0)+IF(O530="sk",-$EW$26/$EW$24*(0.05-INDEX(绊状态确认!W:W,MATCH($G530,绊状态确认!$B:$B,)))+0.05*$EW$28,0)+IF(O530="sp",0.05*$EW$32*$EW$30*(1-$EW$33)-(0.05-INDEX(绊状态确认!V:V,MATCH($G530,绊状态确认!$B:$B,)))*$EW$28,0)+IF(O530="gd",-(0.05-INDEX(绊状态确认!X:X,MATCH($G530,绊状态确认!$B:$B,)))*$EW$32*$EW$30*(1-$EW$33),0)</f>
        <v>-585.00000000000011</v>
      </c>
      <c r="BJ530" s="420">
        <f>IF(O530="vo",0.05*(1-$FI$26)*$FA$24,0)+IF(O530="sk",-(0.05-INDEX(绊状态确认!W:W,MATCH($G530,绊状态确认!$B:$B,)))*(1-$FI$26)*$FA$24+0.05*$FA$26,0)+IF(O530="sp",0.05*$FA$32*$FA$27*(1-$FA$33)/$FA$30+0.05*$FA$29/$FA$69*$FA$27*(1-$FA$33)-(0.05-INDEX(绊状态确认!V:V,MATCH($G530,绊状态确认!$B:$B,)))*$FA$26,0)+IF(O530="gd",-(0.05-INDEX(绊状态确认!X:X,MATCH($G530,绊状态确认!$B:$B,)))*$FA$32*$FA$27*(1-$FA$33)/$FA$30-(0.05-INDEX(绊状态确认!X:X,MATCH($G530,绊状态确认!$B:$B,)))*$FA$29/$FA$69*$FA$27*(1-$FA$33),0)</f>
        <v>-795.00000000000011</v>
      </c>
      <c r="BK530" s="1110">
        <f>IF(O530="vo",$EW$26/$EW$24*0.05+$EW$26*(-HP($EW$62,$EW$65,$EW$64)+HP($EW$62,$EW$65,(1.05-INDEX(绊状态确认!U:U,MATCH($G530,绊状态确认!$B:$B,)))*$EW$64)),0)+IF(O530="sk",-$EW$26/$EW$24*(0.05-INDEX(绊状态确认!W:W,MATCH($G530,绊状态确认!$B:$B,)))+0.05*$EW$29,0)+IF(O530="sp",0.05*$EW$32*$EW$30*(1-$EW$33)-(0.05-INDEX(绊状态确认!V:V,MATCH($G530,绊状态确认!$B:$B,)))*$EW$29,0)+IF(O530="gd",-(0.05-INDEX(绊状态确认!X:X,MATCH($G530,绊状态确认!$B:$B,)))*$EW$32*$EW$30*(1-$EW$33)+$EW$26*(-HP($EW$62,$EW$65,$EW$64)+HP($EW$62,$EW$65,0.95*$EW$64)),0)</f>
        <v>1009.5947725176144</v>
      </c>
      <c r="BL530" s="1111">
        <f t="shared" si="717"/>
        <v>-2166.6666666666665</v>
      </c>
      <c r="BM530" s="1110">
        <f t="shared" si="718"/>
        <v>-1661.1111111111109</v>
      </c>
      <c r="BN530" s="1113">
        <f t="shared" si="719"/>
        <v>2</v>
      </c>
      <c r="BO530" s="1108">
        <f t="shared" si="720"/>
        <v>3005.1476580839999</v>
      </c>
      <c r="BP530" s="1127">
        <f t="shared" si="721"/>
        <v>147.56068806020068</v>
      </c>
      <c r="BQ530" s="1113" t="s">
        <v>133</v>
      </c>
      <c r="BR530" s="1124" t="s">
        <v>171</v>
      </c>
      <c r="BS530" s="421">
        <f>IF($P530="","N/A",IF($P530=-1,INDEX('卡片raw data'!AX:AX,MATCH($D530,'卡片raw data'!$F:$F,)),0)+IF($L530="party卡",IF($P530=5,INDEX('卡片raw data'!BD:BD,MATCH($D530,'卡片raw data'!$F:$F,)),IF($P530&gt;=3,INDEX('卡片raw data'!BC:BC,MATCH($D530,'卡片raw data'!$F:$F,)),INDEX('卡片raw data'!BB:BB,MATCH($D530,'卡片raw data'!$F:$F,)))),IF(OR(AND($F530="UR",$P530=0),AND($F530="SR",$P530&gt;=0,$P530&lt;=2),AND($F530="R",$P530&gt;=0,$P530&lt;4)),INDEX('卡片raw data'!AZ:AZ,MATCH($D530,'卡片raw data'!$F:$F,)),0)+IF(OR(AND($F530="UR",$P530&gt;=1,$P530&lt;=4),AND($F530="SR",$P530&lt;=4,$P530&gt;=3),AND($F530="R",$P530=4)),INDEX('卡片raw data'!BA:BA,MATCH($D530,'卡片raw data'!$F:$F,)),0)+IF($P530=5,INDEX('卡片raw data'!BB:BB,MATCH($D530,'卡片raw data'!$F:$F,)),0)))</f>
        <v>2.1999999999999999E-2</v>
      </c>
      <c r="BT530" s="424">
        <f t="shared" si="722"/>
        <v>0</v>
      </c>
      <c r="BU530" s="420">
        <f t="shared" si="723"/>
        <v>0</v>
      </c>
      <c r="BV530" s="420">
        <f t="shared" si="724"/>
        <v>0</v>
      </c>
      <c r="BW530" s="436">
        <f t="shared" si="725"/>
        <v>1.0300714285714283</v>
      </c>
      <c r="BX530" s="423">
        <f t="shared" si="726"/>
        <v>80.367851795655781</v>
      </c>
      <c r="BY530" s="433">
        <f t="shared" si="727"/>
        <v>80.367851795655781</v>
      </c>
      <c r="BZ530" s="1113" t="s">
        <v>569</v>
      </c>
      <c r="CA530" s="450"/>
      <c r="CB530" s="421">
        <f>IF($P530="","N/A",IF($P530=-1,INDEX('卡片raw data'!BE:BE,MATCH($D530,'卡片raw data'!$F:$F,)),0)+IF($L530="party卡",IF($P530=5,INDEX('卡片raw data'!BK:BK,MATCH($D530,'卡片raw data'!$F:$F,)),IF($P530&gt;=3,INDEX('卡片raw data'!BJ:BJ,MATCH($D530,'卡片raw data'!$F:$F,)),INDEX('卡片raw data'!BI:BI,MATCH($D530,'卡片raw data'!$F:$F,)))),IF(OR(AND($F530="UR",$P530=0),AND($F530="SR",$P530&gt;=0,$P530&lt;=2),AND($F530="R",$P530&gt;=0,$P530&lt;4)),INDEX('卡片raw data'!BG:BG,MATCH($D530,'卡片raw data'!$F:$F,)),0)+IF(OR(AND($F530="UR",$P530&gt;=1,$P530&lt;=4),AND($F530="SR",$P530&lt;=4,$P530&gt;=3),AND($F530="R",$P530=4)),INDEX('卡片raw data'!BH:BH,MATCH($D530,'卡片raw data'!$F:$F,)),0)+IF($P530=5,INDEX('卡片raw data'!BI:BI,MATCH($D530,'卡片raw data'!$F:$F,)),0)))</f>
        <v>0</v>
      </c>
      <c r="CC530" s="424">
        <f t="shared" si="728"/>
        <v>0</v>
      </c>
      <c r="CD530" s="420">
        <f>IF(BZ530="ap",CB530*(1-$FI$26)*$FB$5/$FB$11*(+IF(CA530="全员",$FA$24,0)+IF(CA530="同作战",$FA$24,0)+IF(CA530="仲间",$FA$24*2/3,0)+IF(CA530="同属性",$FA$24*$FA$37/3,0)+IF(CA530="同年级",$FA$24*$FA$40/3,0)+IF(CA530="同学校",$FA$24*$FA$43/3,0)+IF(CA530="同小队",$FA$24*$FA$46/3,0)+IF(CA530="同type",$FA$24*INDEX($FB$49:$FB$52,MATCH(X530,$FA$49:$FA$52,))/3,0)+IF(CA530="自身",#REF!/3,0)),0)+IF(BZ530="te",CB530*(1-$FI$27)*($FA$20-1)*$FB$7/$FB$13*(+IF(CA530="全员",$FA$19*$FA$24/(1+($FA$20-1)*$FA$19),0)+IF(CA530="同作战",$FA$19*$FA$24/(1+($FA$20-1)*$FA$19),0)+IF(CA530="仲间",$FA$19*$FA$24*2/3/(1+($FA$20-1)*$FA$19),0)+IF(CA530="同属性",$FA$19*$FA$24*$FA$37/3/(1+($FA$20-1)*$FA$19),0)+IF(CA530="同年级",$FA$19*$FA$24*$FA$40/3/(1+($FA$20-1)*$FA$19),0)+IF(CA530="同学校",$FA$19*$FA$24*$FA$43/3/(1+($FA$20-1)*$FA$19),0)+IF(CA530="同小队",$FA$19*$FA$24*$FA$46/3/(1+($FA$20-1)*$FA$19),0)+IF(CA530="同type",$FA$19*$FA$24*INDEX($FB$49:$FB$52,MATCH(X530,$FA$49:$FA$52,))/3/(1+($FA$20-1)*$FA$19),0)+IF(CA530="自身",$FA$19*#REF!/3/(1+(BH530-1)*$BD530),0)),0)</f>
        <v>0</v>
      </c>
      <c r="CE530" s="420">
        <f t="shared" si="729"/>
        <v>0</v>
      </c>
      <c r="CF530" s="436">
        <f t="shared" si="730"/>
        <v>0</v>
      </c>
      <c r="CG530" s="423">
        <f t="shared" si="731"/>
        <v>0</v>
      </c>
      <c r="CH530" s="433">
        <f t="shared" si="732"/>
        <v>0</v>
      </c>
      <c r="CI530" s="1113"/>
      <c r="CJ530" s="1114"/>
      <c r="CK530" s="1115" t="s">
        <v>569</v>
      </c>
      <c r="CL530" s="1115"/>
      <c r="CM530" s="1119"/>
      <c r="CN530" s="1115"/>
      <c r="CO530" s="1092"/>
      <c r="CP530" s="1117">
        <f t="shared" si="733"/>
        <v>0</v>
      </c>
      <c r="CQ530" s="1117">
        <f t="shared" si="734"/>
        <v>0</v>
      </c>
      <c r="CR530" s="1117">
        <f t="shared" si="735"/>
        <v>0</v>
      </c>
      <c r="CS530" s="442">
        <f t="shared" si="736"/>
        <v>0</v>
      </c>
      <c r="CT530" s="432">
        <f t="shared" si="737"/>
        <v>0</v>
      </c>
      <c r="CU530" s="1101">
        <f t="shared" si="738"/>
        <v>0</v>
      </c>
      <c r="CV530" s="1108">
        <f t="shared" si="768"/>
        <v>0</v>
      </c>
      <c r="CW530" s="1097">
        <f t="shared" si="739"/>
        <v>0</v>
      </c>
      <c r="CX530" s="420">
        <f t="shared" si="740"/>
        <v>0</v>
      </c>
      <c r="CY530" s="433">
        <f t="shared" si="741"/>
        <v>0</v>
      </c>
      <c r="CZ530" s="437"/>
      <c r="DA530" s="438"/>
      <c r="DB530" s="439" t="s">
        <v>569</v>
      </c>
      <c r="DC530" s="439"/>
      <c r="DD530" s="443"/>
      <c r="DE530" s="411"/>
      <c r="DF530" s="411"/>
      <c r="DG530" s="1116">
        <f t="shared" si="742"/>
        <v>0</v>
      </c>
      <c r="DH530" s="1116">
        <f t="shared" si="743"/>
        <v>0</v>
      </c>
      <c r="DI530" s="1116">
        <f t="shared" si="744"/>
        <v>0</v>
      </c>
      <c r="DJ530" s="442">
        <f t="shared" si="745"/>
        <v>0</v>
      </c>
      <c r="DK530" s="432">
        <f t="shared" si="746"/>
        <v>0</v>
      </c>
      <c r="DL530" s="424">
        <f t="shared" si="747"/>
        <v>0</v>
      </c>
      <c r="DM530" s="420">
        <f t="shared" si="748"/>
        <v>0</v>
      </c>
      <c r="DN530" s="420">
        <f t="shared" si="749"/>
        <v>0</v>
      </c>
      <c r="DO530" s="420">
        <f t="shared" si="750"/>
        <v>0</v>
      </c>
      <c r="DP530" s="433">
        <f t="shared" si="751"/>
        <v>0</v>
      </c>
      <c r="DQ530" s="1113" t="s">
        <v>2080</v>
      </c>
      <c r="DR530" s="1120">
        <f t="shared" si="769"/>
        <v>0.3</v>
      </c>
      <c r="DS530" s="1124"/>
      <c r="DT530" s="1124" t="s">
        <v>546</v>
      </c>
      <c r="DU530" s="1124"/>
      <c r="DV530" s="1097">
        <f>IF($P530="","N/A",IF(P530=-1,INDEX('卡片raw data'!AN:AN,MATCH(D530,'卡片raw data'!$F:$F,)),0)+IF(AND(L530&lt;&gt;"party卡",P530&lt;=2,P530&gt;=0),INDEX('卡片raw data'!AP:AP,MATCH(D530,'卡片raw data'!$F:$F,)),0)+IF(OR(AND(L530="party卡",P530&lt;=1),AND(P530&lt;=4,L530&lt;&gt;"party卡",P530&gt;=3)),INDEX('卡片raw data'!AQ:AQ,MATCH(D530,'卡片raw data'!$F:$F,)),0)+IF(OR(P530=5,AND(L530="party卡",P530&gt;=2)),INDEX('卡片raw data'!AR:AR,MATCH(D530,'卡片raw data'!$F:$F,)),0))</f>
        <v>450</v>
      </c>
      <c r="DW530" s="1098">
        <f t="shared" si="752"/>
        <v>0.3</v>
      </c>
      <c r="DX530" s="1098">
        <f t="shared" si="753"/>
        <v>0.3</v>
      </c>
      <c r="DY530" s="1097">
        <f t="shared" si="754"/>
        <v>45</v>
      </c>
      <c r="DZ530" s="1097">
        <f t="shared" si="755"/>
        <v>38.924999999999997</v>
      </c>
      <c r="EA530" s="421">
        <f t="shared" si="756"/>
        <v>0</v>
      </c>
      <c r="EB530" s="445">
        <f t="shared" si="757"/>
        <v>0</v>
      </c>
      <c r="EC530" s="424">
        <f t="shared" si="758"/>
        <v>0</v>
      </c>
      <c r="ED530" s="420">
        <f t="shared" si="759"/>
        <v>0</v>
      </c>
      <c r="EE530" s="433">
        <f t="shared" si="683"/>
        <v>3850.2639999273156</v>
      </c>
      <c r="EF530" s="1113" t="s">
        <v>569</v>
      </c>
      <c r="EG530" s="1120">
        <f t="shared" si="770"/>
        <v>0.3</v>
      </c>
      <c r="EH530" s="450"/>
      <c r="EI530" s="1124"/>
      <c r="EJ530" s="1124"/>
      <c r="EK530" s="420">
        <f>IF($P530="","N/A",IF(P530=-1,INDEX('卡片raw data'!AS:AS,MATCH(D530,'卡片raw data'!$F:$F,)),0)+IF(AND(L530&lt;&gt;"party卡",P530&lt;=2,P530&gt;=0),INDEX('卡片raw data'!AU:AU,MATCH(D530,'卡片raw data'!$F:$F,)),0)+IF(OR(AND(L530="party卡",P530&lt;=1),AND(P530&lt;=4,L530&lt;&gt;"party卡",P530&gt;=3)),INDEX('卡片raw data'!AV:AV,MATCH(D530,'卡片raw data'!$F:$F,)),0)+IF(OR(P530=5,AND(L530="party卡",P530&gt;=2)),INDEX('卡片raw data'!AW:AW,MATCH(D530,'卡片raw data'!$F:$F,)),0))</f>
        <v>0</v>
      </c>
      <c r="EL530" s="1098">
        <f t="shared" si="760"/>
        <v>0.3</v>
      </c>
      <c r="EM530" s="1098">
        <f t="shared" si="761"/>
        <v>0.3</v>
      </c>
      <c r="EN530" s="1097">
        <f t="shared" si="762"/>
        <v>0</v>
      </c>
      <c r="EO530" s="1097">
        <f t="shared" si="763"/>
        <v>0</v>
      </c>
      <c r="EP530" s="421">
        <f t="shared" si="764"/>
        <v>0</v>
      </c>
      <c r="EQ530" s="445">
        <f t="shared" si="765"/>
        <v>0</v>
      </c>
      <c r="ER530" s="424">
        <f t="shared" si="766"/>
        <v>0</v>
      </c>
      <c r="ES530" s="420">
        <f t="shared" si="767"/>
        <v>0</v>
      </c>
      <c r="ET530" s="446">
        <f t="shared" si="684"/>
        <v>0</v>
      </c>
    </row>
    <row r="531" spans="2:150" ht="16.5" customHeight="1">
      <c r="B531" s="448" t="str">
        <f>INDEX('卡片raw data'!B:B,MATCH($D531,'卡片raw data'!$F:$F,))</f>
        <v>is米</v>
      </c>
      <c r="C531" s="449" t="s">
        <v>4375</v>
      </c>
      <c r="D531" s="408">
        <v>528</v>
      </c>
      <c r="E531" s="477">
        <v>102112001</v>
      </c>
      <c r="F531" s="409" t="str">
        <f>INDEX('卡片raw data'!C:C,MATCH($D531,'卡片raw data'!$F:$F,))</f>
        <v>SR</v>
      </c>
      <c r="G531" s="1094" t="s">
        <v>4369</v>
      </c>
      <c r="H531" s="411">
        <f>IFERROR(INDEX(绊状态确认!C:C,MATCH($G531,绊状态确认!$B:$B,)),"")</f>
        <v>211</v>
      </c>
      <c r="I531" s="450" t="str">
        <f>IFERROR(INDEX(绊状态确认!D:D,MATCH($G531,绊状态确认!$B:$B,)),"")</f>
        <v>虹</v>
      </c>
      <c r="J531" s="450" t="str">
        <f>IFERROR(INDEX(绊状态确认!E:E,MATCH($G531,绊状态确认!$B:$B,)),"")</f>
        <v>3年级</v>
      </c>
      <c r="K531" s="451" t="str">
        <f>IFERROR(INDEX(绊状态确认!F:F,MATCH($G531,绊状态确认!$B:$B,)),"")</f>
        <v>R3BIRTH</v>
      </c>
      <c r="L531" s="414" t="str">
        <f>INDEX('卡片raw data'!E:E,MATCH($D531,'卡片raw data'!$F:$F,))</f>
        <v>卡池卡</v>
      </c>
      <c r="M531" s="478">
        <v>44442</v>
      </c>
      <c r="N531" s="479">
        <v>47</v>
      </c>
      <c r="O531" s="410" t="str">
        <f>INDEX('卡片raw data'!D:D,MATCH($D531,'卡片raw data'!$F:$F,))</f>
        <v>gd</v>
      </c>
      <c r="P531" s="1126">
        <v>5</v>
      </c>
      <c r="Q531" s="418">
        <f t="shared" si="688"/>
        <v>19859.726651125115</v>
      </c>
      <c r="R531" s="419">
        <f t="shared" si="689"/>
        <v>0.23</v>
      </c>
      <c r="S531" s="420">
        <f t="shared" si="690"/>
        <v>10647.442247791012</v>
      </c>
      <c r="T531" s="421">
        <f t="shared" si="691"/>
        <v>0.53200000000000003</v>
      </c>
      <c r="U531" s="422">
        <f t="shared" si="692"/>
        <v>451.80875157695704</v>
      </c>
      <c r="V531" s="423">
        <f t="shared" si="693"/>
        <v>70980.596640598145</v>
      </c>
      <c r="W531" s="424">
        <f t="shared" si="694"/>
        <v>5309.0941959483998</v>
      </c>
      <c r="X531" s="419">
        <f t="shared" si="695"/>
        <v>6.0999999999999999E-2</v>
      </c>
      <c r="Y531" s="420">
        <f t="shared" si="696"/>
        <v>1563.9710817742371</v>
      </c>
      <c r="Z531" s="425">
        <f t="shared" si="697"/>
        <v>19.63174836895714</v>
      </c>
      <c r="AA531" s="426">
        <f t="shared" si="698"/>
        <v>6873.0652777226369</v>
      </c>
      <c r="AB531" s="424">
        <f t="shared" si="699"/>
        <v>6110.4669047707994</v>
      </c>
      <c r="AC531" s="427">
        <f t="shared" si="700"/>
        <v>7.0999999999999994E-2</v>
      </c>
      <c r="AD531" s="428">
        <f t="shared" si="701"/>
        <v>-3.8207812500000026E-3</v>
      </c>
      <c r="AE531" s="516">
        <f t="shared" si="702"/>
        <v>-18.525362318840578</v>
      </c>
      <c r="AF531" s="1130">
        <f t="shared" si="703"/>
        <v>6336.6921124244982</v>
      </c>
      <c r="AG531" s="420">
        <f t="shared" si="704"/>
        <v>102028.58851151701</v>
      </c>
      <c r="AH531" s="420">
        <f t="shared" si="705"/>
        <v>16.101238106782436</v>
      </c>
      <c r="AI531" s="1097">
        <f t="shared" si="706"/>
        <v>95876.736505589783</v>
      </c>
      <c r="AJ531" s="420">
        <f t="shared" si="707"/>
        <v>70980.596640598145</v>
      </c>
      <c r="AK531" s="518">
        <f t="shared" si="708"/>
        <v>24896.139864991637</v>
      </c>
      <c r="AL531" s="1106">
        <f>IF($P531="","N/A",(IF($P531=-1,INDEX('卡片raw data'!S:S,MATCH($D531,'卡片raw data'!$F:$F,)),0)+IF($P531=0,INDEX('卡片raw data'!V:V,MATCH($D531,'卡片raw data'!$F:$F,)),0)+IF($P531=1,INDEX('卡片raw data'!Y:Y,MATCH($D531,'卡片raw data'!$F:$F,)),0)+IF($P531=2,INDEX('卡片raw data'!AB:AB,MATCH($D531,'卡片raw data'!$F:$F,)),0)+IF($P531=3,INDEX('卡片raw data'!AE:AE,MATCH($D531,'卡片raw data'!$F:$F,)),0)+IF($P531=4,INDEX('卡片raw data'!AH:AH,MATCH($D531,'卡片raw data'!$F:$F,)),0)+IF($P531=5,INDEX('卡片raw data'!AK:AK,MATCH($D531,'卡片raw data'!$F:$F,)),0)+INDEX('卡片raw data'!S:S,MATCH($D531,'卡片raw data'!$F:$F,))*(IF($F531="UR",0.04,0.033))*(IF($F531="UR",INDEX(绊状态确认!$S:$S,MATCH($G531,绊状态确认!$B:$B,))/2-40)+IF($F531="SR",INDEX(绊状态确认!$R:$R,MATCH($G531,绊状态确认!$B:$B,))/4-15))+IF($F531="R",INDEX(绊状态确认!$Q:$Q,MATCH($G531,绊状态确认!$B:$B,))/6-40/6)))*(INDEX(绊状态确认!$H:$H,MATCH($G531,绊状态确认!$B:$B,))+INDEX(绊状态确认!J:J,MATCH($G531,绊状态确认!$B:$B,)))</f>
        <v>5543.3741799999998</v>
      </c>
      <c r="AM531" s="1106">
        <f>IF($P531="","N/A",(IF($P531=-1,INDEX('卡片raw data'!T:T,MATCH($D531,'卡片raw data'!$F:$F,)),0)+IF($P531=0,INDEX('卡片raw data'!W:W,MATCH($D531,'卡片raw data'!$F:$F,)),0)+IF($P531=1,INDEX('卡片raw data'!Z:Z,MATCH($D531,'卡片raw data'!$F:$F,)),0)+IF($P531=2,INDEX('卡片raw data'!AC:AC,MATCH($D531,'卡片raw data'!$F:$F,)),0)+IF($P531=3,INDEX('卡片raw data'!AF:AF,MATCH($D531,'卡片raw data'!$F:$F,)),0)+IF($P531=4,INDEX('卡片raw data'!AI:AI,MATCH($D531,'卡片raw data'!$F:$F,)),0)+IF($P531=5,INDEX('卡片raw data'!AL:AL,MATCH($D531,'卡片raw data'!$F:$F,)),0)+INDEX('卡片raw data'!T:T,MATCH($D531,'卡片raw data'!$F:$F,))*(IF($F531="UR",0.04,0.033))*(IF($F531="UR",INDEX(绊状态确认!$S:$S,MATCH($G531,绊状态确认!$B:$B,))/2-40)+IF($F531="SR",INDEX(绊状态确认!$R:$R,MATCH($G531,绊状态确认!$B:$B,))/4-15))+IF($F531="R",INDEX(绊状态确认!$Q:$Q,MATCH($G531,绊状态确认!$B:$B,))/6-40/6)))*(INDEX(绊状态确认!$H:$H,MATCH($G531,绊状态确认!$B:$B,))+INDEX(绊状态确认!K:K,MATCH($G531,绊状态确认!$B:$B,)))</f>
        <v>7523.6461999999992</v>
      </c>
      <c r="AN531" s="1106">
        <f>IF($P531="","N/A",(IF($P531=-1,INDEX('卡片raw data'!U:U,MATCH($D531,'卡片raw data'!$F:$F,)),0)+IF($P531=0,INDEX('卡片raw data'!X:X,MATCH($D531,'卡片raw data'!$F:$F,)),0)+IF($P531=1,INDEX('卡片raw data'!AA:AA,MATCH($D531,'卡片raw data'!$F:$F,)),0)+IF($P531=2,INDEX('卡片raw data'!AD:AD,MATCH($D531,'卡片raw data'!$F:$F,)),0)+IF($P531=3,INDEX('卡片raw data'!AG:AG,MATCH($D531,'卡片raw data'!$F:$F,)),0)+IF($P531=4,INDEX('卡片raw data'!AJ:AJ,MATCH($D531,'卡片raw data'!$F:$F,)),0)+IF($P531=5,INDEX('卡片raw data'!AM:AM,MATCH($D531,'卡片raw data'!$F:$F,)),0)+INDEX('卡片raw data'!U:U,MATCH($D531,'卡片raw data'!$F:$F,))*(IF($F531="UR",0.04,0.033))*(IF($F531="UR",INDEX(绊状态确认!$S:$S,MATCH($G531,绊状态确认!$B:$B,))/2-40)+IF($F531="SR",INDEX(绊状态确认!$R:$R,MATCH($G531,绊状态确认!$B:$B,))/4-15))+IF($F531="R",INDEX(绊状态确认!$Q:$Q,MATCH($G531,绊状态确认!$B:$B,))/6-40/6)))*(INDEX(绊状态确认!$H:$H,MATCH($G531,绊状态确认!$B:$B,))+INDEX(绊状态确认!L:L,MATCH($G531,绊状态确认!$B:$B,)))</f>
        <v>6732.2311300000001</v>
      </c>
      <c r="AO531" s="1107">
        <f t="shared" si="709"/>
        <v>1</v>
      </c>
      <c r="AP531" s="1131">
        <f>1+(INDEX(绊状态确认!$T:$T,MATCH($G531,绊状态确认!$B:$B,))+0.2)*$AO531</f>
        <v>1.2749999999999999</v>
      </c>
      <c r="AQ531" s="1108">
        <f t="shared" si="710"/>
        <v>17801.357222500003</v>
      </c>
      <c r="AR531" s="1097">
        <f>(AM531*(1+$EX$9)+$EX$35)*(1+(INDEX(绊状态确认!$T:$T,MATCH($G531,绊状态确认!$B:$B,))+0.2)*AO531)*IF(J531=$FF$17,1+$FE$17,1)*IF(I531=$FF$14,1+$FE$14,1)</f>
        <v>12724.281350249998</v>
      </c>
      <c r="AS531" s="1097">
        <f>(AN531*(1+$EX$10)+$EX$36)*(1+(INDEX(绊状态确认!$T:$T,MATCH($G531,绊状态确认!$B:$B,))+0.2)*AO531)*IF(J531=$FF$17,1+$FE$17,1)*IF(I531=$FF$14,1+$FE$14,1)</f>
        <v>13849.1338943625</v>
      </c>
      <c r="AT531" s="1093">
        <f>IF(AND(INDEX('卡片raw data'!AK:AK,MATCH($D531,'卡片raw data'!$F:$F,))&lt;INDEX('卡片raw data'!AM:AM,MATCH($D531,'卡片raw data'!$F:$F,)),INDEX('卡片raw data'!AL:AL,MATCH($D531,'卡片raw data'!$F:$F,))&lt;INDEX('卡片raw data'!AM:AM,MATCH($D531,'卡片raw data'!$F:$F,))),1,0)</f>
        <v>0</v>
      </c>
      <c r="AU531" s="1098">
        <f>MIN(AT531*0.15+AS531*0.00003+INDEX(绊状态确认!M:M,MATCH($G531,绊状态确认!$B:$B,)),1)</f>
        <v>0.440474016830875</v>
      </c>
      <c r="AV531" s="1109">
        <f>(INDEX(绊状态确认!$N:$N,MATCH($G531,绊状态确认!$B:$B,))+1.5)*$EW$21</f>
        <v>2.59</v>
      </c>
      <c r="AW531" s="1101">
        <f t="shared" si="711"/>
        <v>15417.593079687646</v>
      </c>
      <c r="AX531" s="1097">
        <f t="shared" si="712"/>
        <v>1091.2441273316576</v>
      </c>
      <c r="AY531" s="1110">
        <f t="shared" si="713"/>
        <v>16508.837207019304</v>
      </c>
      <c r="AZ531" s="429">
        <f t="shared" si="714"/>
        <v>13409.579651</v>
      </c>
      <c r="BA531" s="431">
        <f t="shared" si="715"/>
        <v>16091.495581199999</v>
      </c>
      <c r="BB531" s="1097">
        <f>(AM531*(1+$FB$9)+$FB$35)*(1+(INDEX(绊状态确认!$T:$T,MATCH($G531,绊状态确认!$B:$B,))+0.2)*AO531)*IF(J531=$FF$17,1+$FE$17,1)*IF(I531=$FF$14,1+$FE$14,1)*(1+$FE$15)</f>
        <v>12724.281350249998</v>
      </c>
      <c r="BC531" s="1097">
        <f>(AN531*(1+$FB$10)+$FB$36)*(1+(INDEX(绊状态确认!$T:$T,MATCH($G531,绊状态确认!$B:$B,))+0.2)*AO531)*IF(J531=$FF$17,1+$FE$17,1)*IF(I531=$FF$14,1+$FE$14,1)*(1+$FE$15)</f>
        <v>13849.1338943625</v>
      </c>
      <c r="BD531" s="1104">
        <f>MIN(AT531*0.15+BC531*0.00003+INDEX(绊状态确认!M:M,MATCH($G531,绊状态确认!$B:$B,)),1)</f>
        <v>0.440474016830875</v>
      </c>
      <c r="BE531" s="432">
        <f>(INDEX(绊状态确认!$N:$N,MATCH($G531,绊状态确认!$B:$B,))+1.5)</f>
        <v>1.85</v>
      </c>
      <c r="BF531" s="1139">
        <f t="array" ref="BF531">SUMPRODUCT(IF(AZ531*AP531*$FI$16:$FI$23*$FA$22&gt;=$FI$24,$FI$24,AZ531*AP531*$FI$16:$FI$23*$FA$22),$FJ$16:$FJ$23)</f>
        <v>26158.737504188251</v>
      </c>
      <c r="BG531" s="1125">
        <f t="array" ref="BG531">SUMPRODUCT(IF(BE531*AZ531*AP531*$FI$16:$FI$23*$FA$22&gt;=$FI$24,$FI$24,BE531*AZ531*AP531*$FI$16:$FI$23*$FA$22),$FJ$16:$FJ$23)</f>
        <v>48383.993642406975</v>
      </c>
      <c r="BH531" s="1110">
        <f t="shared" si="716"/>
        <v>11982.795116828172</v>
      </c>
      <c r="BI531" s="1111">
        <f>IF(O531="vo",$EW$26/$EW$24*0.05,0)+IF(O531="sk",-$EW$26/$EW$24*(0.05-INDEX(绊状态确认!W:W,MATCH($G531,绊状态确认!$B:$B,)))+0.05*$EW$28,0)+IF(O531="sp",0.05*$EW$32*$EW$30*(1-$EW$33)-(0.05-INDEX(绊状态确认!V:V,MATCH($G531,绊状态确认!$B:$B,)))*$EW$28,0)+IF(O531="gd",-(0.05-INDEX(绊状态确认!X:X,MATCH($G531,绊状态确认!$B:$B,)))*$EW$32*$EW$30*(1-$EW$33),0)</f>
        <v>-585.00000000000011</v>
      </c>
      <c r="BJ531" s="420">
        <f>IF(O531="vo",0.05*(1-$FI$26)*$FA$24,0)+IF(O531="sk",-(0.05-INDEX(绊状态确认!W:W,MATCH($G531,绊状态确认!$B:$B,)))*(1-$FI$26)*$FA$24+0.05*$FA$26,0)+IF(O531="sp",0.05*$FA$32*$FA$27*(1-$FA$33)/$FA$30+0.05*$FA$29/$FA$69*$FA$27*(1-$FA$33)-(0.05-INDEX(绊状态确认!V:V,MATCH($G531,绊状态确认!$B:$B,)))*$FA$26,0)+IF(O531="gd",-(0.05-INDEX(绊状态确认!X:X,MATCH($G531,绊状态确认!$B:$B,)))*$FA$32*$FA$27*(1-$FA$33)/$FA$30-(0.05-INDEX(绊状态确认!X:X,MATCH($G531,绊状态确认!$B:$B,)))*$FA$29/$FA$69*$FA$27*(1-$FA$33),0)</f>
        <v>-795.00000000000011</v>
      </c>
      <c r="BK531" s="1110">
        <f>IF(O531="vo",$EW$26/$EW$24*0.05+$EW$26*(-HP($EW$62,$EW$65,$EW$64)+HP($EW$62,$EW$65,(1.05-INDEX(绊状态确认!U:U,MATCH($G531,绊状态确认!$B:$B,)))*$EW$64)),0)+IF(O531="sk",-$EW$26/$EW$24*(0.05-INDEX(绊状态确认!W:W,MATCH($G531,绊状态确认!$B:$B,)))+0.05*$EW$29,0)+IF(O531="sp",0.05*$EW$32*$EW$30*(1-$EW$33)-(0.05-INDEX(绊状态确认!V:V,MATCH($G531,绊状态确认!$B:$B,)))*$EW$29,0)+IF(O531="gd",-(0.05-INDEX(绊状态确认!X:X,MATCH($G531,绊状态确认!$B:$B,)))*$EW$32*$EW$30*(1-$EW$33)+$EW$26*(-HP($EW$62,$EW$65,$EW$64)+HP($EW$62,$EW$65,0.95*$EW$64)),0)</f>
        <v>1009.5947725176144</v>
      </c>
      <c r="BL531" s="1111">
        <f t="shared" si="717"/>
        <v>-1083.3333333333333</v>
      </c>
      <c r="BM531" s="1110">
        <f t="shared" si="718"/>
        <v>-830.55555555555543</v>
      </c>
      <c r="BN531" s="1113">
        <f t="shared" si="719"/>
        <v>3</v>
      </c>
      <c r="BO531" s="1108">
        <f t="shared" si="720"/>
        <v>4507.7214871259994</v>
      </c>
      <c r="BP531" s="1127">
        <f t="shared" si="721"/>
        <v>221.34103209030098</v>
      </c>
      <c r="BQ531" s="1113" t="s">
        <v>132</v>
      </c>
      <c r="BR531" s="1124" t="s">
        <v>171</v>
      </c>
      <c r="BS531" s="421">
        <f>IF($P531="","N/A",IF($P531=-1,INDEX('卡片raw data'!AX:AX,MATCH($D531,'卡片raw data'!$F:$F,)),0)+IF($L531="party卡",IF($P531=5,INDEX('卡片raw data'!BD:BD,MATCH($D531,'卡片raw data'!$F:$F,)),IF($P531&gt;=3,INDEX('卡片raw data'!BC:BC,MATCH($D531,'卡片raw data'!$F:$F,)),INDEX('卡片raw data'!BB:BB,MATCH($D531,'卡片raw data'!$F:$F,)))),IF(OR(AND($F531="UR",$P531=0),AND($F531="SR",$P531&gt;=0,$P531&lt;=2),AND($F531="R",$P531&gt;=0,$P531&lt;4)),INDEX('卡片raw data'!AZ:AZ,MATCH($D531,'卡片raw data'!$F:$F,)),0)+IF(OR(AND($F531="UR",$P531&gt;=1,$P531&lt;=4),AND($F531="SR",$P531&lt;=4,$P531&gt;=3),AND($F531="R",$P531=4)),INDEX('卡片raw data'!BA:BA,MATCH($D531,'卡片raw data'!$F:$F,)),0)+IF($P531=5,INDEX('卡片raw data'!BB:BB,MATCH($D531,'卡片raw data'!$F:$F,)),0)))</f>
        <v>3.2000000000000001E-2</v>
      </c>
      <c r="BT531" s="424">
        <f t="shared" si="722"/>
        <v>1602.7454176448</v>
      </c>
      <c r="BU531" s="420">
        <f t="shared" si="723"/>
        <v>68.861654428093644</v>
      </c>
      <c r="BV531" s="420">
        <f t="shared" si="724"/>
        <v>801.37270882240011</v>
      </c>
      <c r="BW531" s="436">
        <f t="shared" si="725"/>
        <v>0</v>
      </c>
      <c r="BX531" s="423">
        <f t="shared" si="726"/>
        <v>1602.7454176448</v>
      </c>
      <c r="BY531" s="433">
        <f t="shared" si="727"/>
        <v>801.37270882240011</v>
      </c>
      <c r="BZ531" s="1113" t="s">
        <v>569</v>
      </c>
      <c r="CA531" s="450"/>
      <c r="CB531" s="421">
        <f>IF($P531="","N/A",IF($P531=-1,INDEX('卡片raw data'!BE:BE,MATCH($D531,'卡片raw data'!$F:$F,)),0)+IF($L531="party卡",IF($P531=5,INDEX('卡片raw data'!BK:BK,MATCH($D531,'卡片raw data'!$F:$F,)),IF($P531&gt;=3,INDEX('卡片raw data'!BJ:BJ,MATCH($D531,'卡片raw data'!$F:$F,)),INDEX('卡片raw data'!BI:BI,MATCH($D531,'卡片raw data'!$F:$F,)))),IF(OR(AND($F531="UR",$P531=0),AND($F531="SR",$P531&gt;=0,$P531&lt;=2),AND($F531="R",$P531&gt;=0,$P531&lt;4)),INDEX('卡片raw data'!BG:BG,MATCH($D531,'卡片raw data'!$F:$F,)),0)+IF(OR(AND($F531="UR",$P531&gt;=1,$P531&lt;=4),AND($F531="SR",$P531&lt;=4,$P531&gt;=3),AND($F531="R",$P531=4)),INDEX('卡片raw data'!BH:BH,MATCH($D531,'卡片raw data'!$F:$F,)),0)+IF($P531=5,INDEX('卡片raw data'!BI:BI,MATCH($D531,'卡片raw data'!$F:$F,)),0)))</f>
        <v>0</v>
      </c>
      <c r="CC531" s="424">
        <f t="shared" si="728"/>
        <v>0</v>
      </c>
      <c r="CD531" s="420">
        <f>IF(BZ531="ap",CB531*(1-$FI$26)*$FB$5/$FB$11*(+IF(CA531="全员",$FA$24,0)+IF(CA531="同作战",$FA$24,0)+IF(CA531="仲间",$FA$24*2/3,0)+IF(CA531="同属性",$FA$24*$FA$37/3,0)+IF(CA531="同年级",$FA$24*$FA$40/3,0)+IF(CA531="同学校",$FA$24*$FA$43/3,0)+IF(CA531="同小队",$FA$24*$FA$46/3,0)+IF(CA531="同type",$FA$24*INDEX($FB$49:$FB$52,MATCH(X531,$FA$49:$FA$52,))/3,0)+IF(CA531="自身",#REF!/3,0)),0)+IF(BZ531="te",CB531*(1-$FI$27)*($FA$20-1)*$FB$7/$FB$13*(+IF(CA531="全员",$FA$19*$FA$24/(1+($FA$20-1)*$FA$19),0)+IF(CA531="同作战",$FA$19*$FA$24/(1+($FA$20-1)*$FA$19),0)+IF(CA531="仲间",$FA$19*$FA$24*2/3/(1+($FA$20-1)*$FA$19),0)+IF(CA531="同属性",$FA$19*$FA$24*$FA$37/3/(1+($FA$20-1)*$FA$19),0)+IF(CA531="同年级",$FA$19*$FA$24*$FA$40/3/(1+($FA$20-1)*$FA$19),0)+IF(CA531="同学校",$FA$19*$FA$24*$FA$43/3/(1+($FA$20-1)*$FA$19),0)+IF(CA531="同小队",$FA$19*$FA$24*$FA$46/3/(1+($FA$20-1)*$FA$19),0)+IF(CA531="同type",$FA$19*$FA$24*INDEX($FB$49:$FB$52,MATCH(X531,$FA$49:$FA$52,))/3/(1+($FA$20-1)*$FA$19),0)+IF(CA531="自身",$FA$19*#REF!/3/(1+(BH531-1)*$BD531),0)),0)</f>
        <v>0</v>
      </c>
      <c r="CE531" s="420">
        <f t="shared" si="729"/>
        <v>0</v>
      </c>
      <c r="CF531" s="436">
        <f t="shared" si="730"/>
        <v>0</v>
      </c>
      <c r="CG531" s="423">
        <f t="shared" si="731"/>
        <v>0</v>
      </c>
      <c r="CH531" s="433">
        <f t="shared" si="732"/>
        <v>0</v>
      </c>
      <c r="CI531" s="1113" t="s">
        <v>288</v>
      </c>
      <c r="CJ531" s="1114">
        <v>1</v>
      </c>
      <c r="CK531" s="1115" t="s">
        <v>4398</v>
      </c>
      <c r="CL531" s="1115" t="s">
        <v>4399</v>
      </c>
      <c r="CM531" s="1119">
        <v>0.13200000000000001</v>
      </c>
      <c r="CN531" s="1115"/>
      <c r="CO531" s="1115">
        <v>1</v>
      </c>
      <c r="CP531" s="1116">
        <f t="shared" si="733"/>
        <v>5.9985897794035701</v>
      </c>
      <c r="CQ531" s="1116">
        <f t="shared" si="734"/>
        <v>9.3311396568499987</v>
      </c>
      <c r="CR531" s="1117">
        <f t="shared" si="735"/>
        <v>5.9985897794035701</v>
      </c>
      <c r="CS531" s="1118">
        <f t="shared" si="736"/>
        <v>0</v>
      </c>
      <c r="CT531" s="1109">
        <f t="shared" si="737"/>
        <v>0</v>
      </c>
      <c r="CU531" s="1101">
        <f t="shared" si="738"/>
        <v>0</v>
      </c>
      <c r="CV531" s="1108">
        <f t="shared" si="768"/>
        <v>0</v>
      </c>
      <c r="CW531" s="1097">
        <f t="shared" si="739"/>
        <v>0</v>
      </c>
      <c r="CX531" s="1097">
        <f t="shared" si="740"/>
        <v>0</v>
      </c>
      <c r="CY531" s="1110">
        <f t="shared" si="741"/>
        <v>472.72695444257999</v>
      </c>
      <c r="CZ531" s="437"/>
      <c r="DA531" s="438"/>
      <c r="DB531" s="439" t="s">
        <v>569</v>
      </c>
      <c r="DC531" s="439"/>
      <c r="DD531" s="443"/>
      <c r="DE531" s="411"/>
      <c r="DF531" s="411"/>
      <c r="DG531" s="1116">
        <f t="shared" si="742"/>
        <v>0</v>
      </c>
      <c r="DH531" s="1116">
        <f t="shared" si="743"/>
        <v>0</v>
      </c>
      <c r="DI531" s="1116">
        <f t="shared" si="744"/>
        <v>0</v>
      </c>
      <c r="DJ531" s="442">
        <f t="shared" si="745"/>
        <v>0</v>
      </c>
      <c r="DK531" s="432">
        <f t="shared" si="746"/>
        <v>0</v>
      </c>
      <c r="DL531" s="424">
        <f t="shared" si="747"/>
        <v>0</v>
      </c>
      <c r="DM531" s="420">
        <f t="shared" si="748"/>
        <v>0</v>
      </c>
      <c r="DN531" s="420">
        <f t="shared" si="749"/>
        <v>0</v>
      </c>
      <c r="DO531" s="420">
        <f t="shared" si="750"/>
        <v>0</v>
      </c>
      <c r="DP531" s="433">
        <f t="shared" si="751"/>
        <v>0</v>
      </c>
      <c r="DQ531" s="1113" t="s">
        <v>635</v>
      </c>
      <c r="DR531" s="1120">
        <f t="shared" si="769"/>
        <v>0.3</v>
      </c>
      <c r="DS531" s="1124"/>
      <c r="DT531" s="1093" t="s">
        <v>133</v>
      </c>
      <c r="DU531" s="1124"/>
      <c r="DV531" s="1098">
        <f>IF($P531="","N/A",IF(P531=-1,INDEX('卡片raw data'!AN:AN,MATCH(D531,'卡片raw data'!$F:$F,)),0)+IF(AND(L531&lt;&gt;"party卡",P531&lt;=2,P531&gt;=0),INDEX('卡片raw data'!AP:AP,MATCH(D531,'卡片raw data'!$F:$F,)),0)+IF(OR(AND(L531="party卡",P531&lt;=1),AND(P531&lt;=4,L531&lt;&gt;"party卡",P531&gt;=3)),INDEX('卡片raw data'!AQ:AQ,MATCH(D531,'卡片raw data'!$F:$F,)),0)+IF(OR(P531=5,AND(L531="party卡",P531&gt;=2)),INDEX('卡片raw data'!AR:AR,MATCH(D531,'卡片raw data'!$F:$F,)),0))</f>
        <v>0.32</v>
      </c>
      <c r="DW531" s="1098">
        <f t="shared" si="752"/>
        <v>0.3</v>
      </c>
      <c r="DX531" s="1098">
        <f t="shared" si="753"/>
        <v>0.3</v>
      </c>
      <c r="DY531" s="1097">
        <f t="shared" si="754"/>
        <v>407.17700320799992</v>
      </c>
      <c r="DZ531" s="1097">
        <f t="shared" si="755"/>
        <v>352.20810777491994</v>
      </c>
      <c r="EA531" s="421">
        <f t="shared" si="756"/>
        <v>0</v>
      </c>
      <c r="EB531" s="445">
        <f t="shared" si="757"/>
        <v>0</v>
      </c>
      <c r="EC531" s="424">
        <f t="shared" si="758"/>
        <v>0</v>
      </c>
      <c r="ED531" s="420">
        <f t="shared" si="759"/>
        <v>0</v>
      </c>
      <c r="EE531" s="433">
        <f t="shared" si="683"/>
        <v>48435.03108962375</v>
      </c>
      <c r="EF531" s="1113" t="s">
        <v>569</v>
      </c>
      <c r="EG531" s="1120">
        <f t="shared" si="770"/>
        <v>0.3</v>
      </c>
      <c r="EH531" s="450"/>
      <c r="EI531" s="1124"/>
      <c r="EJ531" s="1124"/>
      <c r="EK531" s="420">
        <f>IF($P531="","N/A",IF(P531=-1,INDEX('卡片raw data'!AS:AS,MATCH(D531,'卡片raw data'!$F:$F,)),0)+IF(AND(L531&lt;&gt;"party卡",P531&lt;=2,P531&gt;=0),INDEX('卡片raw data'!AU:AU,MATCH(D531,'卡片raw data'!$F:$F,)),0)+IF(OR(AND(L531="party卡",P531&lt;=1),AND(P531&lt;=4,L531&lt;&gt;"party卡",P531&gt;=3)),INDEX('卡片raw data'!AV:AV,MATCH(D531,'卡片raw data'!$F:$F,)),0)+IF(OR(P531=5,AND(L531="party卡",P531&gt;=2)),INDEX('卡片raw data'!AW:AW,MATCH(D531,'卡片raw data'!$F:$F,)),0))</f>
        <v>0</v>
      </c>
      <c r="EL531" s="1098">
        <f t="shared" si="760"/>
        <v>0.3</v>
      </c>
      <c r="EM531" s="1098">
        <f t="shared" si="761"/>
        <v>0.3</v>
      </c>
      <c r="EN531" s="1097">
        <f t="shared" si="762"/>
        <v>0</v>
      </c>
      <c r="EO531" s="1097">
        <f t="shared" si="763"/>
        <v>0</v>
      </c>
      <c r="EP531" s="421">
        <f t="shared" si="764"/>
        <v>0</v>
      </c>
      <c r="EQ531" s="445">
        <f t="shared" si="765"/>
        <v>0</v>
      </c>
      <c r="ER531" s="424">
        <f t="shared" si="766"/>
        <v>0</v>
      </c>
      <c r="ES531" s="420">
        <f t="shared" si="767"/>
        <v>0</v>
      </c>
      <c r="ET531" s="446">
        <f t="shared" si="684"/>
        <v>0</v>
      </c>
    </row>
    <row r="532" spans="2:150" ht="16.5" customHeight="1">
      <c r="B532" s="448" t="str">
        <f>INDEX('卡片raw data'!B:B,MATCH($D532,'卡片raw data'!$F:$F,))</f>
        <v>校服珠</v>
      </c>
      <c r="C532" s="449" t="s">
        <v>4375</v>
      </c>
      <c r="D532" s="408">
        <v>529</v>
      </c>
      <c r="E532" s="477">
        <v>102121001</v>
      </c>
      <c r="F532" s="409" t="str">
        <f>INDEX('卡片raw data'!C:C,MATCH($D532,'卡片raw data'!$F:$F,))</f>
        <v>R</v>
      </c>
      <c r="G532" s="1094" t="s">
        <v>4371</v>
      </c>
      <c r="H532" s="411">
        <f>IFERROR(INDEX(绊状态确认!C:C,MATCH($G532,绊状态确认!$B:$B,)),"")</f>
        <v>212</v>
      </c>
      <c r="I532" s="450" t="str">
        <f>IFERROR(INDEX(绊状态确认!D:D,MATCH($G532,绊状态确认!$B:$B,)),"")</f>
        <v>虹</v>
      </c>
      <c r="J532" s="450" t="str">
        <f>IFERROR(INDEX(绊状态确认!E:E,MATCH($G532,绊状态确认!$B:$B,)),"")</f>
        <v>2年级</v>
      </c>
      <c r="K532" s="451" t="str">
        <f>IFERROR(INDEX(绊状态确认!F:F,MATCH($G532,绊状态确认!$B:$B,)),"")</f>
        <v>R3BIRTH</v>
      </c>
      <c r="L532" s="414" t="str">
        <f>INDEX('卡片raw data'!E:E,MATCH($D532,'卡片raw data'!$F:$F,))</f>
        <v>卡池卡</v>
      </c>
      <c r="M532" s="478">
        <v>44442</v>
      </c>
      <c r="N532" s="479">
        <v>47</v>
      </c>
      <c r="O532" s="410" t="str">
        <f>INDEX('卡片raw data'!D:D,MATCH($D532,'卡片raw data'!$F:$F,))</f>
        <v>vo</v>
      </c>
      <c r="P532" s="1126">
        <v>5</v>
      </c>
      <c r="Q532" s="418">
        <f t="shared" si="688"/>
        <v>18227.293338132131</v>
      </c>
      <c r="R532" s="419">
        <f t="shared" si="689"/>
        <v>0.21099999999999999</v>
      </c>
      <c r="S532" s="420">
        <f t="shared" si="690"/>
        <v>6712.4581273363601</v>
      </c>
      <c r="T532" s="421">
        <f t="shared" si="691"/>
        <v>0.33500000000000002</v>
      </c>
      <c r="U532" s="422">
        <f t="shared" si="692"/>
        <v>-14.550558588169643</v>
      </c>
      <c r="V532" s="423">
        <f t="shared" si="693"/>
        <v>17748.726362165857</v>
      </c>
      <c r="W532" s="424">
        <f t="shared" si="694"/>
        <v>3005.1476580839999</v>
      </c>
      <c r="X532" s="419">
        <f t="shared" si="695"/>
        <v>3.4000000000000002E-2</v>
      </c>
      <c r="Y532" s="420">
        <f t="shared" si="696"/>
        <v>826.10147427542506</v>
      </c>
      <c r="Z532" s="425">
        <f t="shared" si="697"/>
        <v>10.449441411830357</v>
      </c>
      <c r="AA532" s="426">
        <f t="shared" si="698"/>
        <v>3831.2491323594249</v>
      </c>
      <c r="AB532" s="424">
        <f t="shared" si="699"/>
        <v>3005.1476580839999</v>
      </c>
      <c r="AC532" s="427">
        <f t="shared" si="700"/>
        <v>3.4000000000000002E-2</v>
      </c>
      <c r="AD532" s="428">
        <f t="shared" si="701"/>
        <v>-3.8207812500000026E-3</v>
      </c>
      <c r="AE532" s="516">
        <f t="shared" si="702"/>
        <v>-22.692028985507246</v>
      </c>
      <c r="AF532" s="1130">
        <f t="shared" si="703"/>
        <v>0</v>
      </c>
      <c r="AG532" s="420">
        <f t="shared" si="704"/>
        <v>0</v>
      </c>
      <c r="AH532" s="420">
        <f t="shared" si="705"/>
        <v>0</v>
      </c>
      <c r="AI532" s="1097">
        <f t="shared" si="706"/>
        <v>0</v>
      </c>
      <c r="AJ532" s="420">
        <f t="shared" si="707"/>
        <v>0</v>
      </c>
      <c r="AK532" s="518">
        <f t="shared" si="708"/>
        <v>0</v>
      </c>
      <c r="AL532" s="1106">
        <f>IF($P532="","N/A",(IF($P532=-1,INDEX('卡片raw data'!S:S,MATCH($D532,'卡片raw data'!$F:$F,)),0)+IF($P532=0,INDEX('卡片raw data'!V:V,MATCH($D532,'卡片raw data'!$F:$F,)),0)+IF($P532=1,INDEX('卡片raw data'!Y:Y,MATCH($D532,'卡片raw data'!$F:$F,)),0)+IF($P532=2,INDEX('卡片raw data'!AB:AB,MATCH($D532,'卡片raw data'!$F:$F,)),0)+IF($P532=3,INDEX('卡片raw data'!AE:AE,MATCH($D532,'卡片raw data'!$F:$F,)),0)+IF($P532=4,INDEX('卡片raw data'!AH:AH,MATCH($D532,'卡片raw data'!$F:$F,)),0)+IF($P532=5,INDEX('卡片raw data'!AK:AK,MATCH($D532,'卡片raw data'!$F:$F,)),0)+INDEX('卡片raw data'!S:S,MATCH($D532,'卡片raw data'!$F:$F,))*(IF($F532="UR",0.04,0.033))*(IF($F532="UR",INDEX(绊状态确认!$S:$S,MATCH($G532,绊状态确认!$B:$B,))/2-40)+IF($F532="SR",INDEX(绊状态确认!$R:$R,MATCH($G532,绊状态确认!$B:$B,))/4-15))+IF($F532="R",INDEX(绊状态确认!$Q:$Q,MATCH($G532,绊状态确认!$B:$B,))/6-40/6)))*(INDEX(绊状态确认!$H:$H,MATCH($G532,绊状态确认!$B:$B,))+INDEX(绊状态确认!J:J,MATCH($G532,绊状态确认!$B:$B,)))</f>
        <v>3508.56</v>
      </c>
      <c r="AM532" s="1106">
        <f>IF($P532="","N/A",(IF($P532=-1,INDEX('卡片raw data'!T:T,MATCH($D532,'卡片raw data'!$F:$F,)),0)+IF($P532=0,INDEX('卡片raw data'!W:W,MATCH($D532,'卡片raw data'!$F:$F,)),0)+IF($P532=1,INDEX('卡片raw data'!Z:Z,MATCH($D532,'卡片raw data'!$F:$F,)),0)+IF($P532=2,INDEX('卡片raw data'!AC:AC,MATCH($D532,'卡片raw data'!$F:$F,)),0)+IF($P532=3,INDEX('卡片raw data'!AF:AF,MATCH($D532,'卡片raw data'!$F:$F,)),0)+IF($P532=4,INDEX('卡片raw data'!AI:AI,MATCH($D532,'卡片raw data'!$F:$F,)),0)+IF($P532=5,INDEX('卡片raw data'!AL:AL,MATCH($D532,'卡片raw data'!$F:$F,)),0)+INDEX('卡片raw data'!T:T,MATCH($D532,'卡片raw data'!$F:$F,))*(IF($F532="UR",0.04,0.033))*(IF($F532="UR",INDEX(绊状态确认!$S:$S,MATCH($G532,绊状态确认!$B:$B,))/2-40)+IF($F532="SR",INDEX(绊状态确认!$R:$R,MATCH($G532,绊状态确认!$B:$B,))/4-15))+IF($F532="R",INDEX(绊状态确认!$Q:$Q,MATCH($G532,绊状态确认!$B:$B,))/6-40/6)))*(INDEX(绊状态确认!$H:$H,MATCH($G532,绊状态确认!$B:$B,))+INDEX(绊状态确认!K:K,MATCH($G532,绊状态确认!$B:$B,)))</f>
        <v>4092.2124999999996</v>
      </c>
      <c r="AN532" s="1106">
        <f>IF($P532="","N/A",(IF($P532=-1,INDEX('卡片raw data'!U:U,MATCH($D532,'卡片raw data'!$F:$F,)),0)+IF($P532=0,INDEX('卡片raw data'!X:X,MATCH($D532,'卡片raw data'!$F:$F,)),0)+IF($P532=1,INDEX('卡片raw data'!AA:AA,MATCH($D532,'卡片raw data'!$F:$F,)),0)+IF($P532=2,INDEX('卡片raw data'!AD:AD,MATCH($D532,'卡片raw data'!$F:$F,)),0)+IF($P532=3,INDEX('卡片raw data'!AG:AG,MATCH($D532,'卡片raw data'!$F:$F,)),0)+IF($P532=4,INDEX('卡片raw data'!AJ:AJ,MATCH($D532,'卡片raw data'!$F:$F,)),0)+IF($P532=5,INDEX('卡片raw data'!AM:AM,MATCH($D532,'卡片raw data'!$F:$F,)),0)+INDEX('卡片raw data'!U:U,MATCH($D532,'卡片raw data'!$F:$F,))*(IF($F532="UR",0.04,0.033))*(IF($F532="UR",INDEX(绊状态确认!$S:$S,MATCH($G532,绊状态确认!$B:$B,))/2-40)+IF($F532="SR",INDEX(绊状态确认!$R:$R,MATCH($G532,绊状态确认!$B:$B,))/4-15))+IF($F532="R",INDEX(绊状态确认!$Q:$Q,MATCH($G532,绊状态确认!$B:$B,))/6-40/6)))*(INDEX(绊状态确认!$H:$H,MATCH($G532,绊状态确认!$B:$B,))+INDEX(绊状态确认!L:L,MATCH($G532,绊状态确认!$B:$B,)))</f>
        <v>4092.2124999999996</v>
      </c>
      <c r="AO532" s="1107">
        <f t="shared" si="709"/>
        <v>1</v>
      </c>
      <c r="AP532" s="1131">
        <f>1+(INDEX(绊状态确认!$T:$T,MATCH($G532,绊状态确认!$B:$B,))+0.2)*$AO532</f>
        <v>1.2749999999999999</v>
      </c>
      <c r="AQ532" s="1108">
        <f t="shared" si="710"/>
        <v>12459.970000000001</v>
      </c>
      <c r="AR532" s="1097">
        <f>(AM532*(1+$EX$9)+$EX$35)*(1+(INDEX(绊状态确认!$T:$T,MATCH($G532,绊状态确认!$B:$B,))+0.2)*AO532)*IF(J532=$FF$17,1+$FE$17,1)*IF(I532=$FF$14,1+$FE$14,1)</f>
        <v>8130.449484374999</v>
      </c>
      <c r="AS532" s="1097">
        <f>(AN532*(1+$EX$10)+$EX$36)*(1+(INDEX(绊状态确认!$T:$T,MATCH($G532,绊状态确认!$B:$B,))+0.2)*AO532)*IF(J532=$FF$17,1+$FE$17,1)*IF(I532=$FF$14,1+$FE$14,1)</f>
        <v>9978.2065781249985</v>
      </c>
      <c r="AT532" s="1093">
        <f>IF(AND(INDEX('卡片raw data'!AK:AK,MATCH($D532,'卡片raw data'!$F:$F,))&lt;INDEX('卡片raw data'!AM:AM,MATCH($D532,'卡片raw data'!$F:$F,)),INDEX('卡片raw data'!AL:AL,MATCH($D532,'卡片raw data'!$F:$F,))&lt;INDEX('卡片raw data'!AM:AM,MATCH($D532,'卡片raw data'!$F:$F,))),1,0)</f>
        <v>0</v>
      </c>
      <c r="AU532" s="1098">
        <f>MIN(AT532*0.15+AS532*0.00003+INDEX(绊状态确认!M:M,MATCH($G532,绊状态确认!$B:$B,)),1)</f>
        <v>0.32434619734374998</v>
      </c>
      <c r="AV532" s="1109">
        <f>(INDEX(绊状态确认!$N:$N,MATCH($G532,绊状态确认!$B:$B,))+1.5)*$EW$21</f>
        <v>2.59</v>
      </c>
      <c r="AW532" s="1101">
        <f t="shared" si="711"/>
        <v>9619.6094189704236</v>
      </c>
      <c r="AX532" s="1097">
        <f t="shared" si="712"/>
        <v>690.28796804771378</v>
      </c>
      <c r="AY532" s="1110">
        <f t="shared" si="713"/>
        <v>10309.897387018138</v>
      </c>
      <c r="AZ532" s="429">
        <f t="shared" si="714"/>
        <v>9441.6919999999991</v>
      </c>
      <c r="BA532" s="431">
        <f t="shared" si="715"/>
        <v>11330.030399999998</v>
      </c>
      <c r="BB532" s="1097">
        <f>(AM532*(1+$FB$9)+$FB$35)*(1+(INDEX(绊状态确认!$T:$T,MATCH($G532,绊状态确认!$B:$B,))+0.2)*AO532)*IF(J532=$FF$17,1+$FE$17,1)*IF(I532=$FF$14,1+$FE$14,1)*(1+$FE$15)</f>
        <v>8130.449484374999</v>
      </c>
      <c r="BC532" s="1097">
        <f>(AN532*(1+$FB$10)+$FB$36)*(1+(INDEX(绊状态确认!$T:$T,MATCH($G532,绊状态确认!$B:$B,))+0.2)*AO532)*IF(J532=$FF$17,1+$FE$17,1)*IF(I532=$FF$14,1+$FE$14,1)*(1+$FE$15)</f>
        <v>9978.2065781249985</v>
      </c>
      <c r="BD532" s="1104">
        <f>MIN(AT532*0.15+BC532*0.00003+INDEX(绊状态确认!M:M,MATCH($G532,绊状态确认!$B:$B,)),1)</f>
        <v>0.32434619734374998</v>
      </c>
      <c r="BE532" s="432">
        <f>(INDEX(绊状态确认!$N:$N,MATCH($G532,绊状态确认!$B:$B,))+1.5)</f>
        <v>1.85</v>
      </c>
      <c r="BF532" s="1139">
        <f t="array" ref="BF532">SUMPRODUCT(IF(AZ532*AP532*$FI$16:$FI$23*$FA$22&gt;=$FI$24,$FI$24,AZ532*AP532*$FI$16:$FI$23*$FA$22),$FJ$16:$FJ$23)</f>
        <v>18418.380668999995</v>
      </c>
      <c r="BG532" s="1125">
        <f t="array" ref="BG532">SUMPRODUCT(IF(BE532*AZ532*AP532*$FI$16:$FI$23*$FA$22&gt;=$FI$24,$FI$24,BE532*AZ532*AP532*$FI$16:$FI$23*$FA$22),$FJ$16:$FJ$23)</f>
        <v>34074.004237649999</v>
      </c>
      <c r="BH532" s="1110">
        <f t="shared" si="716"/>
        <v>7832.0742135122709</v>
      </c>
      <c r="BI532" s="1111">
        <f>IF(O532="vo",$EW$26/$EW$24*0.05,0)+IF(O532="sk",-$EW$26/$EW$24*(0.05-INDEX(绊状态确认!W:W,MATCH($G532,绊状态确认!$B:$B,)))+0.05*$EW$28,0)+IF(O532="sp",0.05*$EW$32*$EW$30*(1-$EW$33)-(0.05-INDEX(绊状态确认!V:V,MATCH($G532,绊状态确认!$B:$B,)))*$EW$28,0)+IF(O532="gd",-(0.05-INDEX(绊状态确认!X:X,MATCH($G532,绊状态确认!$B:$B,)))*$EW$32*$EW$30*(1-$EW$33),0)</f>
        <v>7726.3029277443748</v>
      </c>
      <c r="BJ532" s="420">
        <f>IF(O532="vo",0.05*(1-$FI$26)*$FA$24,0)+IF(O532="sk",-(0.05-INDEX(绊状态确认!W:W,MATCH($G532,绊状态确认!$B:$B,)))*(1-$FI$26)*$FA$24+0.05*$FA$26,0)+IF(O532="sp",0.05*$FA$32*$FA$27*(1-$FA$33)/$FA$30+0.05*$FA$29/$FA$69*$FA$27*(1-$FA$33)-(0.05-INDEX(绊状态确认!V:V,MATCH($G532,绊状态确认!$B:$B,)))*$FA$26,0)+IF(O532="gd",-(0.05-INDEX(绊状态确认!X:X,MATCH($G532,绊状态确认!$B:$B,)))*$FA$32*$FA$27*(1-$FA$33)/$FA$30-(0.05-INDEX(绊状态确认!X:X,MATCH($G532,绊状态确认!$B:$B,)))*$FA$29/$FA$69*$FA$27*(1-$FA$33),0)</f>
        <v>393.93433687500004</v>
      </c>
      <c r="BK532" s="1110">
        <f>IF(O532="vo",$EW$26/$EW$24*0.05+$EW$26*(-HP($EW$62,$EW$65,$EW$64)+HP($EW$62,$EW$65,(1.05-INDEX(绊状态确认!U:U,MATCH($G532,绊状态确认!$B:$B,)))*$EW$64)),0)+IF(O532="sk",-$EW$26/$EW$24*(0.05-INDEX(绊状态确认!W:W,MATCH($G532,绊状态确认!$B:$B,)))+0.05*$EW$29,0)+IF(O532="sp",0.05*$EW$32*$EW$30*(1-$EW$33)-(0.05-INDEX(绊状态确认!V:V,MATCH($G532,绊状态确认!$B:$B,)))*$EW$29,0)+IF(O532="gd",-(0.05-INDEX(绊状态确认!X:X,MATCH($G532,绊状态确认!$B:$B,)))*$EW$32*$EW$30*(1-$EW$33)+$EW$26*(-HP($EW$62,$EW$65,$EW$64)+HP($EW$62,$EW$65,0.95*$EW$64)),0)</f>
        <v>6421.6344775026746</v>
      </c>
      <c r="BL532" s="1111">
        <f t="shared" si="717"/>
        <v>-2166.6666666666665</v>
      </c>
      <c r="BM532" s="1110">
        <f t="shared" si="718"/>
        <v>-1661.1111111111109</v>
      </c>
      <c r="BN532" s="1113">
        <f t="shared" si="719"/>
        <v>2</v>
      </c>
      <c r="BO532" s="1108">
        <f t="shared" si="720"/>
        <v>3005.1476580839999</v>
      </c>
      <c r="BP532" s="1127">
        <f t="shared" si="721"/>
        <v>147.56068806020068</v>
      </c>
      <c r="BQ532" s="1113" t="s">
        <v>133</v>
      </c>
      <c r="BR532" s="1124" t="s">
        <v>557</v>
      </c>
      <c r="BS532" s="421">
        <f>IF($P532="","N/A",IF($P532=-1,INDEX('卡片raw data'!AX:AX,MATCH($D532,'卡片raw data'!$F:$F,)),0)+IF($L532="party卡",IF($P532=5,INDEX('卡片raw data'!BD:BD,MATCH($D532,'卡片raw data'!$F:$F,)),IF($P532&gt;=3,INDEX('卡片raw data'!BC:BC,MATCH($D532,'卡片raw data'!$F:$F,)),INDEX('卡片raw data'!BB:BB,MATCH($D532,'卡片raw data'!$F:$F,)))),IF(OR(AND($F532="UR",$P532=0),AND($F532="SR",$P532&gt;=0,$P532&lt;=2),AND($F532="R",$P532&gt;=0,$P532&lt;4)),INDEX('卡片raw data'!AZ:AZ,MATCH($D532,'卡片raw data'!$F:$F,)),0)+IF(OR(AND($F532="UR",$P532&gt;=1,$P532&lt;=4),AND($F532="SR",$P532&lt;=4,$P532&gt;=3),AND($F532="R",$P532=4)),INDEX('卡片raw data'!BA:BA,MATCH($D532,'卡片raw data'!$F:$F,)),0)+IF($P532=5,INDEX('卡片raw data'!BB:BB,MATCH($D532,'卡片raw data'!$F:$F,)),0)))</f>
        <v>2.7E-2</v>
      </c>
      <c r="BT532" s="424">
        <f t="shared" si="722"/>
        <v>0</v>
      </c>
      <c r="BU532" s="420">
        <f t="shared" si="723"/>
        <v>0</v>
      </c>
      <c r="BV532" s="420">
        <f t="shared" si="724"/>
        <v>0</v>
      </c>
      <c r="BW532" s="436">
        <f t="shared" si="725"/>
        <v>1.7382455357142854</v>
      </c>
      <c r="BX532" s="423">
        <f t="shared" si="726"/>
        <v>135.81350622771103</v>
      </c>
      <c r="BY532" s="433">
        <f t="shared" si="727"/>
        <v>135.81350622771103</v>
      </c>
      <c r="BZ532" s="1113" t="s">
        <v>569</v>
      </c>
      <c r="CA532" s="450"/>
      <c r="CB532" s="421">
        <f>IF($P532="","N/A",IF($P532=-1,INDEX('卡片raw data'!BE:BE,MATCH($D532,'卡片raw data'!$F:$F,)),0)+IF($L532="party卡",IF($P532=5,INDEX('卡片raw data'!BK:BK,MATCH($D532,'卡片raw data'!$F:$F,)),IF($P532&gt;=3,INDEX('卡片raw data'!BJ:BJ,MATCH($D532,'卡片raw data'!$F:$F,)),INDEX('卡片raw data'!BI:BI,MATCH($D532,'卡片raw data'!$F:$F,)))),IF(OR(AND($F532="UR",$P532=0),AND($F532="SR",$P532&gt;=0,$P532&lt;=2),AND($F532="R",$P532&gt;=0,$P532&lt;4)),INDEX('卡片raw data'!BG:BG,MATCH($D532,'卡片raw data'!$F:$F,)),0)+IF(OR(AND($F532="UR",$P532&gt;=1,$P532&lt;=4),AND($F532="SR",$P532&lt;=4,$P532&gt;=3),AND($F532="R",$P532=4)),INDEX('卡片raw data'!BH:BH,MATCH($D532,'卡片raw data'!$F:$F,)),0)+IF($P532=5,INDEX('卡片raw data'!BI:BI,MATCH($D532,'卡片raw data'!$F:$F,)),0)))</f>
        <v>0</v>
      </c>
      <c r="CC532" s="424">
        <f t="shared" si="728"/>
        <v>0</v>
      </c>
      <c r="CD532" s="420">
        <f>IF(BZ532="ap",CB532*(1-$FI$26)*$FB$5/$FB$11*(+IF(CA532="全员",$FA$24,0)+IF(CA532="同作战",$FA$24,0)+IF(CA532="仲间",$FA$24*2/3,0)+IF(CA532="同属性",$FA$24*$FA$37/3,0)+IF(CA532="同年级",$FA$24*$FA$40/3,0)+IF(CA532="同学校",$FA$24*$FA$43/3,0)+IF(CA532="同小队",$FA$24*$FA$46/3,0)+IF(CA532="同type",$FA$24*INDEX($FB$49:$FB$52,MATCH(X532,$FA$49:$FA$52,))/3,0)+IF(CA532="自身",#REF!/3,0)),0)+IF(BZ532="te",CB532*(1-$FI$27)*($FA$20-1)*$FB$7/$FB$13*(+IF(CA532="全员",$FA$19*$FA$24/(1+($FA$20-1)*$FA$19),0)+IF(CA532="同作战",$FA$19*$FA$24/(1+($FA$20-1)*$FA$19),0)+IF(CA532="仲间",$FA$19*$FA$24*2/3/(1+($FA$20-1)*$FA$19),0)+IF(CA532="同属性",$FA$19*$FA$24*$FA$37/3/(1+($FA$20-1)*$FA$19),0)+IF(CA532="同年级",$FA$19*$FA$24*$FA$40/3/(1+($FA$20-1)*$FA$19),0)+IF(CA532="同学校",$FA$19*$FA$24*$FA$43/3/(1+($FA$20-1)*$FA$19),0)+IF(CA532="同小队",$FA$19*$FA$24*$FA$46/3/(1+($FA$20-1)*$FA$19),0)+IF(CA532="同type",$FA$19*$FA$24*INDEX($FB$49:$FB$52,MATCH(X532,$FA$49:$FA$52,))/3/(1+($FA$20-1)*$FA$19),0)+IF(CA532="自身",$FA$19*#REF!/3/(1+(BH532-1)*$BD532),0)),0)</f>
        <v>0</v>
      </c>
      <c r="CE532" s="420">
        <f t="shared" si="729"/>
        <v>0</v>
      </c>
      <c r="CF532" s="436">
        <f t="shared" si="730"/>
        <v>0</v>
      </c>
      <c r="CG532" s="423">
        <f t="shared" si="731"/>
        <v>0</v>
      </c>
      <c r="CH532" s="433">
        <f t="shared" si="732"/>
        <v>0</v>
      </c>
      <c r="CI532" s="1113"/>
      <c r="CJ532" s="1114"/>
      <c r="CK532" s="1115" t="s">
        <v>569</v>
      </c>
      <c r="CL532" s="1115"/>
      <c r="CM532" s="1119"/>
      <c r="CN532" s="1115"/>
      <c r="CO532" s="1092"/>
      <c r="CP532" s="1117">
        <f t="shared" si="733"/>
        <v>0</v>
      </c>
      <c r="CQ532" s="1117">
        <f t="shared" si="734"/>
        <v>0</v>
      </c>
      <c r="CR532" s="1117">
        <f t="shared" si="735"/>
        <v>0</v>
      </c>
      <c r="CS532" s="1118">
        <f t="shared" si="736"/>
        <v>0</v>
      </c>
      <c r="CT532" s="1109">
        <f t="shared" si="737"/>
        <v>0</v>
      </c>
      <c r="CU532" s="1101">
        <f t="shared" si="738"/>
        <v>0</v>
      </c>
      <c r="CV532" s="1108">
        <f t="shared" si="768"/>
        <v>0</v>
      </c>
      <c r="CW532" s="1097">
        <f t="shared" si="739"/>
        <v>0</v>
      </c>
      <c r="CX532" s="1097">
        <f t="shared" si="740"/>
        <v>0</v>
      </c>
      <c r="CY532" s="1110">
        <f t="shared" si="741"/>
        <v>0</v>
      </c>
      <c r="CZ532" s="437"/>
      <c r="DA532" s="438"/>
      <c r="DB532" s="439" t="s">
        <v>569</v>
      </c>
      <c r="DC532" s="439"/>
      <c r="DD532" s="443"/>
      <c r="DE532" s="411"/>
      <c r="DF532" s="411"/>
      <c r="DG532" s="1116">
        <f t="shared" si="742"/>
        <v>0</v>
      </c>
      <c r="DH532" s="1116">
        <f t="shared" si="743"/>
        <v>0</v>
      </c>
      <c r="DI532" s="1116">
        <f t="shared" si="744"/>
        <v>0</v>
      </c>
      <c r="DJ532" s="442">
        <f t="shared" si="745"/>
        <v>0</v>
      </c>
      <c r="DK532" s="432">
        <f t="shared" si="746"/>
        <v>0</v>
      </c>
      <c r="DL532" s="424">
        <f t="shared" si="747"/>
        <v>0</v>
      </c>
      <c r="DM532" s="420">
        <f t="shared" si="748"/>
        <v>0</v>
      </c>
      <c r="DN532" s="420">
        <f t="shared" si="749"/>
        <v>0</v>
      </c>
      <c r="DO532" s="420">
        <f t="shared" si="750"/>
        <v>0</v>
      </c>
      <c r="DP532" s="433">
        <f t="shared" si="751"/>
        <v>0</v>
      </c>
      <c r="DQ532" s="1113" t="s">
        <v>4400</v>
      </c>
      <c r="DR532" s="1120">
        <f t="shared" si="769"/>
        <v>0.3</v>
      </c>
      <c r="DS532" s="1124"/>
      <c r="DT532" s="1124" t="s">
        <v>546</v>
      </c>
      <c r="DU532" s="1124"/>
      <c r="DV532" s="1097">
        <f>IF($P532="","N/A",IF(P532=-1,INDEX('卡片raw data'!AN:AN,MATCH(D532,'卡片raw data'!$F:$F,)),0)+IF(AND(L532&lt;&gt;"party卡",P532&lt;=2,P532&gt;=0),INDEX('卡片raw data'!AP:AP,MATCH(D532,'卡片raw data'!$F:$F,)),0)+IF(OR(AND(L532="party卡",P532&lt;=1),AND(P532&lt;=4,L532&lt;&gt;"party卡",P532&gt;=3)),INDEX('卡片raw data'!AQ:AQ,MATCH(D532,'卡片raw data'!$F:$F,)),0)+IF(OR(P532=5,AND(L532="party卡",P532&gt;=2)),INDEX('卡片raw data'!AR:AR,MATCH(D532,'卡片raw data'!$F:$F,)),0))</f>
        <v>300</v>
      </c>
      <c r="DW532" s="1098">
        <f t="shared" si="752"/>
        <v>0.3</v>
      </c>
      <c r="DX532" s="1098">
        <f t="shared" si="753"/>
        <v>0.3</v>
      </c>
      <c r="DY532" s="1097">
        <f t="shared" si="754"/>
        <v>30</v>
      </c>
      <c r="DZ532" s="1097">
        <f t="shared" si="755"/>
        <v>25.95</v>
      </c>
      <c r="EA532" s="421">
        <f t="shared" si="756"/>
        <v>0</v>
      </c>
      <c r="EB532" s="445">
        <f t="shared" si="757"/>
        <v>0</v>
      </c>
      <c r="EC532" s="424">
        <f t="shared" si="758"/>
        <v>42.900000000000006</v>
      </c>
      <c r="ED532" s="420">
        <f t="shared" si="759"/>
        <v>0</v>
      </c>
      <c r="EE532" s="433">
        <f t="shared" si="683"/>
        <v>42.900000000000006</v>
      </c>
      <c r="EF532" s="1113" t="s">
        <v>569</v>
      </c>
      <c r="EG532" s="1120">
        <f t="shared" si="770"/>
        <v>0.3</v>
      </c>
      <c r="EH532" s="450"/>
      <c r="EI532" s="1124"/>
      <c r="EJ532" s="1124"/>
      <c r="EK532" s="420">
        <f>IF($P532="","N/A",IF(P532=-1,INDEX('卡片raw data'!AS:AS,MATCH(D532,'卡片raw data'!$F:$F,)),0)+IF(AND(L532&lt;&gt;"party卡",P532&lt;=2,P532&gt;=0),INDEX('卡片raw data'!AU:AU,MATCH(D532,'卡片raw data'!$F:$F,)),0)+IF(OR(AND(L532="party卡",P532&lt;=1),AND(P532&lt;=4,L532&lt;&gt;"party卡",P532&gt;=3)),INDEX('卡片raw data'!AV:AV,MATCH(D532,'卡片raw data'!$F:$F,)),0)+IF(OR(P532=5,AND(L532="party卡",P532&gt;=2)),INDEX('卡片raw data'!AW:AW,MATCH(D532,'卡片raw data'!$F:$F,)),0))</f>
        <v>0</v>
      </c>
      <c r="EL532" s="1098">
        <f t="shared" si="760"/>
        <v>0.3</v>
      </c>
      <c r="EM532" s="1098">
        <f t="shared" si="761"/>
        <v>0.3</v>
      </c>
      <c r="EN532" s="1097">
        <f t="shared" si="762"/>
        <v>0</v>
      </c>
      <c r="EO532" s="1097">
        <f t="shared" si="763"/>
        <v>0</v>
      </c>
      <c r="EP532" s="421">
        <f t="shared" si="764"/>
        <v>0</v>
      </c>
      <c r="EQ532" s="445">
        <f t="shared" si="765"/>
        <v>0</v>
      </c>
      <c r="ER532" s="424">
        <f t="shared" si="766"/>
        <v>0</v>
      </c>
      <c r="ES532" s="420">
        <f t="shared" si="767"/>
        <v>0</v>
      </c>
      <c r="ET532" s="446">
        <f t="shared" si="684"/>
        <v>0</v>
      </c>
    </row>
    <row r="533" spans="2:150" ht="16.5" customHeight="1">
      <c r="B533" s="448" t="str">
        <f>INDEX('卡片raw data'!B:B,MATCH($D533,'卡片raw data'!$F:$F,))</f>
        <v>练习珠</v>
      </c>
      <c r="C533" s="449" t="s">
        <v>4380</v>
      </c>
      <c r="D533" s="408">
        <v>530</v>
      </c>
      <c r="E533" s="477">
        <v>102121002</v>
      </c>
      <c r="F533" s="409" t="str">
        <f>INDEX('卡片raw data'!C:C,MATCH($D533,'卡片raw data'!$F:$F,))</f>
        <v>R</v>
      </c>
      <c r="G533" s="1094" t="s">
        <v>4371</v>
      </c>
      <c r="H533" s="411">
        <f>IFERROR(INDEX(绊状态确认!C:C,MATCH($G533,绊状态确认!$B:$B,)),"")</f>
        <v>212</v>
      </c>
      <c r="I533" s="450" t="str">
        <f>IFERROR(INDEX(绊状态确认!D:D,MATCH($G533,绊状态确认!$B:$B,)),"")</f>
        <v>虹</v>
      </c>
      <c r="J533" s="450" t="str">
        <f>IFERROR(INDEX(绊状态确认!E:E,MATCH($G533,绊状态确认!$B:$B,)),"")</f>
        <v>2年级</v>
      </c>
      <c r="K533" s="451" t="str">
        <f>IFERROR(INDEX(绊状态确认!F:F,MATCH($G533,绊状态确认!$B:$B,)),"")</f>
        <v>R3BIRTH</v>
      </c>
      <c r="L533" s="414" t="str">
        <f>INDEX('卡片raw data'!E:E,MATCH($D533,'卡片raw data'!$F:$F,))</f>
        <v>卡池卡</v>
      </c>
      <c r="M533" s="478">
        <v>44442</v>
      </c>
      <c r="N533" s="479">
        <v>47</v>
      </c>
      <c r="O533" s="410" t="str">
        <f>INDEX('卡片raw data'!D:D,MATCH($D533,'卡片raw data'!$F:$F,))</f>
        <v>sp</v>
      </c>
      <c r="P533" s="1126">
        <v>5</v>
      </c>
      <c r="Q533" s="418">
        <f t="shared" si="688"/>
        <v>15175.855944116121</v>
      </c>
      <c r="R533" s="419">
        <f t="shared" si="689"/>
        <v>0.17599999999999999</v>
      </c>
      <c r="S533" s="420">
        <f t="shared" si="690"/>
        <v>8403.9862292072776</v>
      </c>
      <c r="T533" s="421">
        <f t="shared" si="691"/>
        <v>0.42</v>
      </c>
      <c r="U533" s="422">
        <f t="shared" si="692"/>
        <v>9.562669563616069</v>
      </c>
      <c r="V533" s="423">
        <f t="shared" si="693"/>
        <v>14134.931525391936</v>
      </c>
      <c r="W533" s="424">
        <f t="shared" si="694"/>
        <v>3005.1476580839999</v>
      </c>
      <c r="X533" s="419">
        <f t="shared" si="695"/>
        <v>3.4000000000000002E-2</v>
      </c>
      <c r="Y533" s="420">
        <f t="shared" si="696"/>
        <v>759.07558127581342</v>
      </c>
      <c r="Z533" s="425">
        <f t="shared" si="697"/>
        <v>9.562669563616069</v>
      </c>
      <c r="AA533" s="426">
        <f t="shared" si="698"/>
        <v>3764.2232393598133</v>
      </c>
      <c r="AB533" s="424">
        <f t="shared" si="699"/>
        <v>5834.9857398074382</v>
      </c>
      <c r="AC533" s="427">
        <f t="shared" si="700"/>
        <v>6.7000000000000004E-2</v>
      </c>
      <c r="AD533" s="428">
        <f t="shared" si="701"/>
        <v>-1.9908281250000003E-2</v>
      </c>
      <c r="AE533" s="516">
        <f t="shared" si="702"/>
        <v>-3.387869067028987</v>
      </c>
      <c r="AF533" s="1130">
        <f t="shared" si="703"/>
        <v>0</v>
      </c>
      <c r="AG533" s="420">
        <f t="shared" si="704"/>
        <v>0</v>
      </c>
      <c r="AH533" s="420">
        <f t="shared" si="705"/>
        <v>0</v>
      </c>
      <c r="AI533" s="1097">
        <f t="shared" si="706"/>
        <v>0</v>
      </c>
      <c r="AJ533" s="420">
        <f t="shared" si="707"/>
        <v>0</v>
      </c>
      <c r="AK533" s="518">
        <f t="shared" si="708"/>
        <v>0</v>
      </c>
      <c r="AL533" s="1106">
        <f>IF($P533="","N/A",(IF($P533=-1,INDEX('卡片raw data'!S:S,MATCH($D533,'卡片raw data'!$F:$F,)),0)+IF($P533=0,INDEX('卡片raw data'!V:V,MATCH($D533,'卡片raw data'!$F:$F,)),0)+IF($P533=1,INDEX('卡片raw data'!Y:Y,MATCH($D533,'卡片raw data'!$F:$F,)),0)+IF($P533=2,INDEX('卡片raw data'!AB:AB,MATCH($D533,'卡片raw data'!$F:$F,)),0)+IF($P533=3,INDEX('卡片raw data'!AE:AE,MATCH($D533,'卡片raw data'!$F:$F,)),0)+IF($P533=4,INDEX('卡片raw data'!AH:AH,MATCH($D533,'卡片raw data'!$F:$F,)),0)+IF($P533=5,INDEX('卡片raw data'!AK:AK,MATCH($D533,'卡片raw data'!$F:$F,)),0)+INDEX('卡片raw data'!S:S,MATCH($D533,'卡片raw data'!$F:$F,))*(IF($F533="UR",0.04,0.033))*(IF($F533="UR",INDEX(绊状态确认!$S:$S,MATCH($G533,绊状态确认!$B:$B,))/2-40)+IF($F533="SR",INDEX(绊状态确认!$R:$R,MATCH($G533,绊状态确认!$B:$B,))/4-15))+IF($F533="R",INDEX(绊状态确认!$Q:$Q,MATCH($G533,绊状态确认!$B:$B,))/6-40/6)))*(INDEX(绊状态确认!$H:$H,MATCH($G533,绊状态确认!$B:$B,))+INDEX(绊状态确认!J:J,MATCH($G533,绊状态确认!$B:$B,)))</f>
        <v>4016.9024999999997</v>
      </c>
      <c r="AM533" s="1106">
        <f>IF($P533="","N/A",(IF($P533=-1,INDEX('卡片raw data'!T:T,MATCH($D533,'卡片raw data'!$F:$F,)),0)+IF($P533=0,INDEX('卡片raw data'!W:W,MATCH($D533,'卡片raw data'!$F:$F,)),0)+IF($P533=1,INDEX('卡片raw data'!Z:Z,MATCH($D533,'卡片raw data'!$F:$F,)),0)+IF($P533=2,INDEX('卡片raw data'!AC:AC,MATCH($D533,'卡片raw data'!$F:$F,)),0)+IF($P533=3,INDEX('卡片raw data'!AF:AF,MATCH($D533,'卡片raw data'!$F:$F,)),0)+IF($P533=4,INDEX('卡片raw data'!AI:AI,MATCH($D533,'卡片raw data'!$F:$F,)),0)+IF($P533=5,INDEX('卡片raw data'!AL:AL,MATCH($D533,'卡片raw data'!$F:$F,)),0)+INDEX('卡片raw data'!T:T,MATCH($D533,'卡片raw data'!$F:$F,))*(IF($F533="UR",0.04,0.033))*(IF($F533="UR",INDEX(绊状态确认!$S:$S,MATCH($G533,绊状态确认!$B:$B,))/2-40)+IF($F533="SR",INDEX(绊状态确认!$R:$R,MATCH($G533,绊状态确认!$B:$B,))/4-15))+IF($F533="R",INDEX(绊状态确认!$Q:$Q,MATCH($G533,绊状态确认!$B:$B,))/6-40/6)))*(INDEX(绊状态确认!$H:$H,MATCH($G533,绊状态确认!$B:$B,))+INDEX(绊状态确认!K:K,MATCH($G533,绊状态确认!$B:$B,)))</f>
        <v>4685.8324999999995</v>
      </c>
      <c r="AN533" s="1106">
        <f>IF($P533="","N/A",(IF($P533=-1,INDEX('卡片raw data'!U:U,MATCH($D533,'卡片raw data'!$F:$F,)),0)+IF($P533=0,INDEX('卡片raw data'!X:X,MATCH($D533,'卡片raw data'!$F:$F,)),0)+IF($P533=1,INDEX('卡片raw data'!AA:AA,MATCH($D533,'卡片raw data'!$F:$F,)),0)+IF($P533=2,INDEX('卡片raw data'!AD:AD,MATCH($D533,'卡片raw data'!$F:$F,)),0)+IF($P533=3,INDEX('卡片raw data'!AG:AG,MATCH($D533,'卡片raw data'!$F:$F,)),0)+IF($P533=4,INDEX('卡片raw data'!AJ:AJ,MATCH($D533,'卡片raw data'!$F:$F,)),0)+IF($P533=5,INDEX('卡片raw data'!AM:AM,MATCH($D533,'卡片raw data'!$F:$F,)),0)+INDEX('卡片raw data'!U:U,MATCH($D533,'卡片raw data'!$F:$F,))*(IF($F533="UR",0.04,0.033))*(IF($F533="UR",INDEX(绊状态确认!$S:$S,MATCH($G533,绊状态确认!$B:$B,))/2-40)+IF($F533="SR",INDEX(绊状态确认!$R:$R,MATCH($G533,绊状态确认!$B:$B,))/4-15))+IF($F533="R",INDEX(绊状态确认!$Q:$Q,MATCH($G533,绊状态确认!$B:$B,))/6-40/6)))*(INDEX(绊状态确认!$H:$H,MATCH($G533,绊状态确认!$B:$B,))+INDEX(绊状态确认!L:L,MATCH($G533,绊状态确认!$B:$B,)))</f>
        <v>4685.8324999999995</v>
      </c>
      <c r="AO533" s="1107">
        <f t="shared" si="709"/>
        <v>1</v>
      </c>
      <c r="AP533" s="1131">
        <f>1+(INDEX(绊状态确认!$T:$T,MATCH($G533,绊状态确认!$B:$B,))+0.2)*$AO533</f>
        <v>1.2749999999999999</v>
      </c>
      <c r="AQ533" s="1108">
        <f t="shared" si="710"/>
        <v>13794.3690625</v>
      </c>
      <c r="AR533" s="1097">
        <f>(AM533*(1+$EX$9)+$EX$35)*(1+(INDEX(绊状态确认!$T:$T,MATCH($G533,绊状态确认!$B:$B,))+0.2)*AO533)*IF(J533=$FF$17,1+$FE$17,1)*IF(I533=$FF$14,1+$FE$14,1)</f>
        <v>8925.158259374999</v>
      </c>
      <c r="AS533" s="1097">
        <f>(AN533*(1+$EX$10)+$EX$36)*(1+(INDEX(绊状态确认!$T:$T,MATCH($G533,绊状态确认!$B:$B,))+0.2)*AO533)*IF(J533=$FF$17,1+$FE$17,1)*IF(I533=$FF$14,1+$FE$14,1)</f>
        <v>10848.601903124996</v>
      </c>
      <c r="AT533" s="1093">
        <f>IF(AND(INDEX('卡片raw data'!AK:AK,MATCH($D533,'卡片raw data'!$F:$F,))&lt;INDEX('卡片raw data'!AM:AM,MATCH($D533,'卡片raw data'!$F:$F,)),INDEX('卡片raw data'!AL:AL,MATCH($D533,'卡片raw data'!$F:$F,))&lt;INDEX('卡片raw data'!AM:AM,MATCH($D533,'卡片raw data'!$F:$F,))),1,0)</f>
        <v>0</v>
      </c>
      <c r="AU533" s="1098">
        <f>MIN(AT533*0.15+AS533*0.00003+INDEX(绊状态确认!M:M,MATCH($G533,绊状态确认!$B:$B,)),1)</f>
        <v>0.35045805709374994</v>
      </c>
      <c r="AV533" s="1109">
        <f>(INDEX(绊状态确认!$N:$N,MATCH($G533,绊状态确认!$B:$B,))+1.5)*$EW$21</f>
        <v>2.59</v>
      </c>
      <c r="AW533" s="1101">
        <f t="shared" si="711"/>
        <v>10941.536870975347</v>
      </c>
      <c r="AX533" s="1097">
        <f t="shared" si="712"/>
        <v>759.07558127581365</v>
      </c>
      <c r="AY533" s="1110">
        <f t="shared" si="713"/>
        <v>11700.612452251162</v>
      </c>
      <c r="AZ533" s="429">
        <f t="shared" si="714"/>
        <v>10432.959875</v>
      </c>
      <c r="BA533" s="431">
        <f t="shared" si="715"/>
        <v>12519.55185</v>
      </c>
      <c r="BB533" s="1097">
        <f>(AM533*(1+$FB$9)+$FB$35)*(1+(INDEX(绊状态确认!$T:$T,MATCH($G533,绊状态确认!$B:$B,))+0.2)*AO533)*IF(J533=$FF$17,1+$FE$17,1)*IF(I533=$FF$14,1+$FE$14,1)*(1+$FE$15)</f>
        <v>8925.158259374999</v>
      </c>
      <c r="BC533" s="1097">
        <f>(AN533*(1+$FB$10)+$FB$36)*(1+(INDEX(绊状态确认!$T:$T,MATCH($G533,绊状态确认!$B:$B,))+0.2)*AO533)*IF(J533=$FF$17,1+$FE$17,1)*IF(I533=$FF$14,1+$FE$14,1)*(1+$FE$15)</f>
        <v>10848.601903124996</v>
      </c>
      <c r="BD533" s="1104">
        <f>MIN(AT533*0.15+BC533*0.00003+INDEX(绊状态确认!M:M,MATCH($G533,绊状态确认!$B:$B,)),1)</f>
        <v>0.35045805709374994</v>
      </c>
      <c r="BE533" s="432">
        <f>(INDEX(绊状态确认!$N:$N,MATCH($G533,绊状态确认!$B:$B,))+1.5)</f>
        <v>1.85</v>
      </c>
      <c r="BF533" s="1139">
        <f t="array" ref="BF533">SUMPRODUCT(IF(AZ533*AP533*$FI$16:$FI$23*$FA$22&gt;=$FI$24,$FI$24,AZ533*AP533*$FI$16:$FI$23*$FA$22),$FJ$16:$FJ$23)</f>
        <v>20352.09647615625</v>
      </c>
      <c r="BG533" s="1125">
        <f t="array" ref="BG533">SUMPRODUCT(IF(BE533*AZ533*AP533*$FI$16:$FI$23*$FA$22&gt;=$FI$24,$FI$24,BE533*AZ533*AP533*$FI$16:$FI$23*$FA$22),$FJ$16:$FJ$23)</f>
        <v>37651.37848088907</v>
      </c>
      <c r="BH533" s="1110">
        <f t="shared" si="716"/>
        <v>8804.9230788839286</v>
      </c>
      <c r="BI533" s="1111">
        <f>IF(O533="vo",$EW$26/$EW$24*0.05,0)+IF(O533="sk",-$EW$26/$EW$24*(0.05-INDEX(绊状态确认!W:W,MATCH($G533,绊状态确认!$B:$B,)))+0.05*$EW$28,0)+IF(O533="sp",0.05*$EW$32*$EW$30*(1-$EW$33)-(0.05-INDEX(绊状态确认!V:V,MATCH($G533,绊状态确认!$B:$B,)))*$EW$28,0)+IF(O533="gd",-(0.05-INDEX(绊状态确认!X:X,MATCH($G533,绊状态确认!$B:$B,)))*$EW$32*$EW$30*(1-$EW$33),0)</f>
        <v>19.999999999999886</v>
      </c>
      <c r="BJ533" s="420">
        <f>IF(O533="vo",0.05*(1-$FI$26)*$FA$24,0)+IF(O533="sk",-(0.05-INDEX(绊状态确认!W:W,MATCH($G533,绊状态确认!$B:$B,)))*(1-$FI$26)*$FA$24+0.05*$FA$26,0)+IF(O533="sp",0.05*$FA$32*$FA$27*(1-$FA$33)/$FA$30+0.05*$FA$29/$FA$69*$FA$27*(1-$FA$33)-(0.05-INDEX(绊状态确认!V:V,MATCH($G533,绊状态确认!$B:$B,)))*$FA$26,0)+IF(O533="gd",-(0.05-INDEX(绊状态确认!X:X,MATCH($G533,绊状态确认!$B:$B,)))*$FA$32*$FA$27*(1-$FA$33)/$FA$30-(0.05-INDEX(绊状态确认!X:X,MATCH($G533,绊状态确认!$B:$B,)))*$FA$29/$FA$69*$FA$27*(1-$FA$33),0)</f>
        <v>545.83333333333326</v>
      </c>
      <c r="BK533" s="1110">
        <f>IF(O533="vo",$EW$26/$EW$24*0.05+$EW$26*(-HP($EW$62,$EW$65,$EW$64)+HP($EW$62,$EW$65,(1.05-INDEX(绊状态确认!U:U,MATCH($G533,绊状态确认!$B:$B,)))*$EW$64)),0)+IF(O533="sk",-$EW$26/$EW$24*(0.05-INDEX(绊状态确认!W:W,MATCH($G533,绊状态确认!$B:$B,)))+0.05*$EW$29,0)+IF(O533="sp",0.05*$EW$32*$EW$30*(1-$EW$33)-(0.05-INDEX(绊状态确认!V:V,MATCH($G533,绊状态确认!$B:$B,)))*$EW$29,0)+IF(O533="gd",-(0.05-INDEX(绊状态确认!X:X,MATCH($G533,绊状态确认!$B:$B,)))*$EW$32*$EW$30*(1-$EW$33)+$EW$26*(-HP($EW$62,$EW$65,$EW$64)+HP($EW$62,$EW$65,0.95*$EW$64)),0)</f>
        <v>-1780.0000000000005</v>
      </c>
      <c r="BL533" s="1111">
        <f t="shared" si="717"/>
        <v>-2166.6666666666665</v>
      </c>
      <c r="BM533" s="1110">
        <f t="shared" si="718"/>
        <v>-1661.1111111111109</v>
      </c>
      <c r="BN533" s="1113">
        <f t="shared" si="719"/>
        <v>2</v>
      </c>
      <c r="BO533" s="1108">
        <f t="shared" si="720"/>
        <v>3005.1476580839999</v>
      </c>
      <c r="BP533" s="1127">
        <f t="shared" si="721"/>
        <v>147.56068806020068</v>
      </c>
      <c r="BQ533" s="1113" t="s">
        <v>134</v>
      </c>
      <c r="BR533" s="1124" t="s">
        <v>168</v>
      </c>
      <c r="BS533" s="421">
        <f>IF($P533="","N/A",IF($P533=-1,INDEX('卡片raw data'!AX:AX,MATCH($D533,'卡片raw data'!$F:$F,)),0)+IF($L533="party卡",IF($P533=5,INDEX('卡片raw data'!BD:BD,MATCH($D533,'卡片raw data'!$F:$F,)),IF($P533&gt;=3,INDEX('卡片raw data'!BC:BC,MATCH($D533,'卡片raw data'!$F:$F,)),INDEX('卡片raw data'!BB:BB,MATCH($D533,'卡片raw data'!$F:$F,)))),IF(OR(AND($F533="UR",$P533=0),AND($F533="SR",$P533&gt;=0,$P533&lt;=2),AND($F533="R",$P533&gt;=0,$P533&lt;4)),INDEX('卡片raw data'!AZ:AZ,MATCH($D533,'卡片raw data'!$F:$F,)),0)+IF(OR(AND($F533="UR",$P533&gt;=1,$P533&lt;=4),AND($F533="SR",$P533&lt;=4,$P533&gt;=3),AND($F533="R",$P533=4)),INDEX('卡片raw data'!BA:BA,MATCH($D533,'卡片raw data'!$F:$F,)),0)+IF($P533=5,INDEX('卡片raw data'!BB:BB,MATCH($D533,'卡片raw data'!$F:$F,)),0)))</f>
        <v>0.04</v>
      </c>
      <c r="BT533" s="424">
        <f t="shared" si="722"/>
        <v>2829.8380817234388</v>
      </c>
      <c r="BU533" s="420">
        <f t="shared" si="723"/>
        <v>204.69124004092632</v>
      </c>
      <c r="BV533" s="420">
        <f t="shared" si="724"/>
        <v>0</v>
      </c>
      <c r="BW533" s="436">
        <f t="shared" si="725"/>
        <v>0</v>
      </c>
      <c r="BX533" s="423">
        <f t="shared" si="726"/>
        <v>2829.8380817234388</v>
      </c>
      <c r="BY533" s="433">
        <f t="shared" si="727"/>
        <v>0</v>
      </c>
      <c r="BZ533" s="1113" t="s">
        <v>569</v>
      </c>
      <c r="CA533" s="450"/>
      <c r="CB533" s="421">
        <f>IF($P533="","N/A",IF($P533=-1,INDEX('卡片raw data'!BE:BE,MATCH($D533,'卡片raw data'!$F:$F,)),0)+IF($L533="party卡",IF($P533=5,INDEX('卡片raw data'!BK:BK,MATCH($D533,'卡片raw data'!$F:$F,)),IF($P533&gt;=3,INDEX('卡片raw data'!BJ:BJ,MATCH($D533,'卡片raw data'!$F:$F,)),INDEX('卡片raw data'!BI:BI,MATCH($D533,'卡片raw data'!$F:$F,)))),IF(OR(AND($F533="UR",$P533=0),AND($F533="SR",$P533&gt;=0,$P533&lt;=2),AND($F533="R",$P533&gt;=0,$P533&lt;4)),INDEX('卡片raw data'!BG:BG,MATCH($D533,'卡片raw data'!$F:$F,)),0)+IF(OR(AND($F533="UR",$P533&gt;=1,$P533&lt;=4),AND($F533="SR",$P533&lt;=4,$P533&gt;=3),AND($F533="R",$P533=4)),INDEX('卡片raw data'!BH:BH,MATCH($D533,'卡片raw data'!$F:$F,)),0)+IF($P533=5,INDEX('卡片raw data'!BI:BI,MATCH($D533,'卡片raw data'!$F:$F,)),0)))</f>
        <v>0</v>
      </c>
      <c r="CC533" s="424">
        <f t="shared" si="728"/>
        <v>0</v>
      </c>
      <c r="CD533" s="420">
        <f>IF(BZ533="ap",CB533*(1-$FI$26)*$FB$5/$FB$11*(+IF(CA533="全员",$FA$24,0)+IF(CA533="同作战",$FA$24,0)+IF(CA533="仲间",$FA$24*2/3,0)+IF(CA533="同属性",$FA$24*$FA$37/3,0)+IF(CA533="同年级",$FA$24*$FA$40/3,0)+IF(CA533="同学校",$FA$24*$FA$43/3,0)+IF(CA533="同小队",$FA$24*$FA$46/3,0)+IF(CA533="同type",$FA$24*INDEX($FB$49:$FB$52,MATCH(X533,$FA$49:$FA$52,))/3,0)+IF(CA533="自身",#REF!/3,0)),0)+IF(BZ533="te",CB533*(1-$FI$27)*($FA$20-1)*$FB$7/$FB$13*(+IF(CA533="全员",$FA$19*$FA$24/(1+($FA$20-1)*$FA$19),0)+IF(CA533="同作战",$FA$19*$FA$24/(1+($FA$20-1)*$FA$19),0)+IF(CA533="仲间",$FA$19*$FA$24*2/3/(1+($FA$20-1)*$FA$19),0)+IF(CA533="同属性",$FA$19*$FA$24*$FA$37/3/(1+($FA$20-1)*$FA$19),0)+IF(CA533="同年级",$FA$19*$FA$24*$FA$40/3/(1+($FA$20-1)*$FA$19),0)+IF(CA533="同学校",$FA$19*$FA$24*$FA$43/3/(1+($FA$20-1)*$FA$19),0)+IF(CA533="同小队",$FA$19*$FA$24*$FA$46/3/(1+($FA$20-1)*$FA$19),0)+IF(CA533="同type",$FA$19*$FA$24*INDEX($FB$49:$FB$52,MATCH(X533,$FA$49:$FA$52,))/3/(1+($FA$20-1)*$FA$19),0)+IF(CA533="自身",$FA$19*#REF!/3/(1+(BH533-1)*$BD533),0)),0)</f>
        <v>0</v>
      </c>
      <c r="CE533" s="420">
        <f t="shared" si="729"/>
        <v>0</v>
      </c>
      <c r="CF533" s="436">
        <f t="shared" si="730"/>
        <v>0</v>
      </c>
      <c r="CG533" s="423">
        <f t="shared" si="731"/>
        <v>0</v>
      </c>
      <c r="CH533" s="433">
        <f t="shared" si="732"/>
        <v>0</v>
      </c>
      <c r="CI533" s="1113"/>
      <c r="CJ533" s="1114"/>
      <c r="CK533" s="1115" t="s">
        <v>569</v>
      </c>
      <c r="CL533" s="1115"/>
      <c r="CM533" s="1119"/>
      <c r="CN533" s="1115"/>
      <c r="CO533" s="1092"/>
      <c r="CP533" s="1117">
        <f t="shared" si="733"/>
        <v>0</v>
      </c>
      <c r="CQ533" s="1117">
        <f t="shared" si="734"/>
        <v>0</v>
      </c>
      <c r="CR533" s="1117">
        <f t="shared" si="735"/>
        <v>0</v>
      </c>
      <c r="CS533" s="442">
        <f t="shared" si="736"/>
        <v>0</v>
      </c>
      <c r="CT533" s="432">
        <f t="shared" si="737"/>
        <v>0</v>
      </c>
      <c r="CU533" s="1101">
        <f t="shared" si="738"/>
        <v>0</v>
      </c>
      <c r="CV533" s="1108">
        <f t="shared" si="768"/>
        <v>0</v>
      </c>
      <c r="CW533" s="1097">
        <f t="shared" si="739"/>
        <v>0</v>
      </c>
      <c r="CX533" s="1097">
        <f t="shared" si="740"/>
        <v>0</v>
      </c>
      <c r="CY533" s="1110">
        <f t="shared" si="741"/>
        <v>0</v>
      </c>
      <c r="CZ533" s="437"/>
      <c r="DA533" s="438"/>
      <c r="DB533" s="439" t="s">
        <v>569</v>
      </c>
      <c r="DC533" s="439"/>
      <c r="DD533" s="443"/>
      <c r="DE533" s="411"/>
      <c r="DF533" s="411"/>
      <c r="DG533" s="1116">
        <f t="shared" si="742"/>
        <v>0</v>
      </c>
      <c r="DH533" s="1116">
        <f t="shared" si="743"/>
        <v>0</v>
      </c>
      <c r="DI533" s="1116">
        <f t="shared" si="744"/>
        <v>0</v>
      </c>
      <c r="DJ533" s="442">
        <f t="shared" si="745"/>
        <v>0</v>
      </c>
      <c r="DK533" s="432">
        <f t="shared" si="746"/>
        <v>0</v>
      </c>
      <c r="DL533" s="424">
        <f t="shared" si="747"/>
        <v>0</v>
      </c>
      <c r="DM533" s="420">
        <f t="shared" si="748"/>
        <v>0</v>
      </c>
      <c r="DN533" s="420">
        <f t="shared" si="749"/>
        <v>0</v>
      </c>
      <c r="DO533" s="420">
        <f t="shared" si="750"/>
        <v>0</v>
      </c>
      <c r="DP533" s="433">
        <f t="shared" si="751"/>
        <v>0</v>
      </c>
      <c r="DQ533" s="1113" t="s">
        <v>2143</v>
      </c>
      <c r="DR533" s="1120">
        <f t="shared" si="769"/>
        <v>0.3</v>
      </c>
      <c r="DS533" s="1124">
        <v>10</v>
      </c>
      <c r="DT533" s="1124" t="s">
        <v>1947</v>
      </c>
      <c r="DU533" s="1093" t="s">
        <v>2145</v>
      </c>
      <c r="DV533" s="1098">
        <f>IF($P533="","N/A",IF(P533=-1,INDEX('卡片raw data'!AN:AN,MATCH(D533,'卡片raw data'!$F:$F,)),0)+IF(AND(L533&lt;&gt;"party卡",P533&lt;=2,P533&gt;=0),INDEX('卡片raw data'!AP:AP,MATCH(D533,'卡片raw data'!$F:$F,)),0)+IF(OR(AND(L533="party卡",P533&lt;=1),AND(P533&lt;=4,L533&lt;&gt;"party卡",P533&gt;=3)),INDEX('卡片raw data'!AQ:AQ,MATCH(D533,'卡片raw data'!$F:$F,)),0)+IF(OR(P533=5,AND(L533="party卡",P533&gt;=2)),INDEX('卡片raw data'!AR:AR,MATCH(D533,'卡片raw data'!$F:$F,)),0))</f>
        <v>4.2000000000000003E-2</v>
      </c>
      <c r="DW533" s="1098">
        <f t="shared" si="752"/>
        <v>0.3</v>
      </c>
      <c r="DX533" s="1098">
        <f t="shared" si="753"/>
        <v>0.3</v>
      </c>
      <c r="DY533" s="1098">
        <f t="shared" si="754"/>
        <v>4.1999999999999996E-2</v>
      </c>
      <c r="DZ533" s="1098">
        <f t="shared" si="755"/>
        <v>3.6329999999999994E-2</v>
      </c>
      <c r="EA533" s="421">
        <f t="shared" si="756"/>
        <v>0</v>
      </c>
      <c r="EB533" s="445">
        <f t="shared" si="757"/>
        <v>8.3802468749999992</v>
      </c>
      <c r="EC533" s="424">
        <f t="shared" si="758"/>
        <v>545.99999999999989</v>
      </c>
      <c r="ED533" s="420">
        <f t="shared" si="759"/>
        <v>362.08899999999988</v>
      </c>
      <c r="EE533" s="433">
        <f t="shared" si="683"/>
        <v>545.99999999999989</v>
      </c>
      <c r="EF533" s="1113" t="s">
        <v>569</v>
      </c>
      <c r="EG533" s="1120">
        <f t="shared" si="770"/>
        <v>0.3</v>
      </c>
      <c r="EH533" s="450"/>
      <c r="EI533" s="1124"/>
      <c r="EJ533" s="1124"/>
      <c r="EK533" s="420">
        <f>IF($P533="","N/A",IF(P533=-1,INDEX('卡片raw data'!AS:AS,MATCH(D533,'卡片raw data'!$F:$F,)),0)+IF(AND(L533&lt;&gt;"party卡",P533&lt;=2,P533&gt;=0),INDEX('卡片raw data'!AU:AU,MATCH(D533,'卡片raw data'!$F:$F,)),0)+IF(OR(AND(L533="party卡",P533&lt;=1),AND(P533&lt;=4,L533&lt;&gt;"party卡",P533&gt;=3)),INDEX('卡片raw data'!AV:AV,MATCH(D533,'卡片raw data'!$F:$F,)),0)+IF(OR(P533=5,AND(L533="party卡",P533&gt;=2)),INDEX('卡片raw data'!AW:AW,MATCH(D533,'卡片raw data'!$F:$F,)),0))</f>
        <v>0</v>
      </c>
      <c r="EL533" s="1098">
        <f t="shared" si="760"/>
        <v>0.3</v>
      </c>
      <c r="EM533" s="1098">
        <f t="shared" si="761"/>
        <v>0.3</v>
      </c>
      <c r="EN533" s="1097">
        <f t="shared" si="762"/>
        <v>0</v>
      </c>
      <c r="EO533" s="1097">
        <f t="shared" si="763"/>
        <v>0</v>
      </c>
      <c r="EP533" s="421">
        <f t="shared" si="764"/>
        <v>0</v>
      </c>
      <c r="EQ533" s="445">
        <f t="shared" si="765"/>
        <v>0</v>
      </c>
      <c r="ER533" s="424">
        <f t="shared" si="766"/>
        <v>0</v>
      </c>
      <c r="ES533" s="420">
        <f t="shared" si="767"/>
        <v>0</v>
      </c>
      <c r="ET533" s="446">
        <f t="shared" si="684"/>
        <v>0</v>
      </c>
    </row>
    <row r="534" spans="2:150" ht="16.5" customHeight="1">
      <c r="B534" s="448" t="str">
        <f>INDEX('卡片raw data'!B:B,MATCH($D534,'卡片raw data'!$F:$F,))</f>
        <v>qd珠</v>
      </c>
      <c r="C534" s="449" t="s">
        <v>4374</v>
      </c>
      <c r="D534" s="408">
        <v>531</v>
      </c>
      <c r="E534" s="477">
        <v>102122001</v>
      </c>
      <c r="F534" s="409" t="str">
        <f>INDEX('卡片raw data'!C:C,MATCH($D534,'卡片raw data'!$F:$F,))</f>
        <v>SR</v>
      </c>
      <c r="G534" s="1094" t="s">
        <v>4371</v>
      </c>
      <c r="H534" s="411">
        <f>IFERROR(INDEX(绊状态确认!C:C,MATCH($G534,绊状态确认!$B:$B,)),"")</f>
        <v>212</v>
      </c>
      <c r="I534" s="450" t="str">
        <f>IFERROR(INDEX(绊状态确认!D:D,MATCH($G534,绊状态确认!$B:$B,)),"")</f>
        <v>虹</v>
      </c>
      <c r="J534" s="450" t="str">
        <f>IFERROR(INDEX(绊状态确认!E:E,MATCH($G534,绊状态确认!$B:$B,)),"")</f>
        <v>2年级</v>
      </c>
      <c r="K534" s="451" t="str">
        <f>IFERROR(INDEX(绊状态确认!F:F,MATCH($G534,绊状态确认!$B:$B,)),"")</f>
        <v>R3BIRTH</v>
      </c>
      <c r="L534" s="414" t="str">
        <f>INDEX('卡片raw data'!E:E,MATCH($D534,'卡片raw data'!$F:$F,))</f>
        <v>卡池卡</v>
      </c>
      <c r="M534" s="478">
        <v>44442</v>
      </c>
      <c r="N534" s="479">
        <v>47</v>
      </c>
      <c r="O534" s="410" t="str">
        <f>INDEX('卡片raw data'!D:D,MATCH($D534,'卡片raw data'!$F:$F,))</f>
        <v>sk</v>
      </c>
      <c r="P534" s="1126">
        <v>5</v>
      </c>
      <c r="Q534" s="418">
        <f t="shared" si="688"/>
        <v>29709.626194485019</v>
      </c>
      <c r="R534" s="419">
        <f t="shared" si="689"/>
        <v>0.34499999999999997</v>
      </c>
      <c r="S534" s="420">
        <f t="shared" si="690"/>
        <v>15947.2719422923</v>
      </c>
      <c r="T534" s="421">
        <f t="shared" si="691"/>
        <v>0.79700000000000004</v>
      </c>
      <c r="U534" s="422">
        <f t="shared" si="692"/>
        <v>9.0891326391629441</v>
      </c>
      <c r="V534" s="423">
        <f t="shared" si="693"/>
        <v>32430.416914377627</v>
      </c>
      <c r="W534" s="424">
        <f t="shared" si="694"/>
        <v>4507.7214871259994</v>
      </c>
      <c r="X534" s="419">
        <f t="shared" si="695"/>
        <v>5.1999999999999998E-2</v>
      </c>
      <c r="Y534" s="420">
        <f t="shared" si="696"/>
        <v>720.7907198926041</v>
      </c>
      <c r="Z534" s="425">
        <f t="shared" si="697"/>
        <v>9.0891326391629441</v>
      </c>
      <c r="AA534" s="426">
        <f t="shared" si="698"/>
        <v>5228.5122070186035</v>
      </c>
      <c r="AB534" s="424">
        <f t="shared" si="699"/>
        <v>9163.0477939625634</v>
      </c>
      <c r="AC534" s="427">
        <f t="shared" si="700"/>
        <v>0.106</v>
      </c>
      <c r="AD534" s="428">
        <f t="shared" si="701"/>
        <v>1.8994224431818179E-2</v>
      </c>
      <c r="AE534" s="516">
        <f t="shared" si="702"/>
        <v>4.3537577047458456</v>
      </c>
      <c r="AF534" s="1130">
        <f t="shared" si="703"/>
        <v>0</v>
      </c>
      <c r="AG534" s="420">
        <f t="shared" si="704"/>
        <v>0</v>
      </c>
      <c r="AH534" s="420">
        <f t="shared" si="705"/>
        <v>0</v>
      </c>
      <c r="AI534" s="1097">
        <f t="shared" si="706"/>
        <v>0</v>
      </c>
      <c r="AJ534" s="420">
        <f t="shared" si="707"/>
        <v>0</v>
      </c>
      <c r="AK534" s="518">
        <f t="shared" si="708"/>
        <v>0</v>
      </c>
      <c r="AL534" s="1106">
        <f>IF($P534="","N/A",(IF($P534=-1,INDEX('卡片raw data'!S:S,MATCH($D534,'卡片raw data'!$F:$F,)),0)+IF($P534=0,INDEX('卡片raw data'!V:V,MATCH($D534,'卡片raw data'!$F:$F,)),0)+IF($P534=1,INDEX('卡片raw data'!Y:Y,MATCH($D534,'卡片raw data'!$F:$F,)),0)+IF($P534=2,INDEX('卡片raw data'!AB:AB,MATCH($D534,'卡片raw data'!$F:$F,)),0)+IF($P534=3,INDEX('卡片raw data'!AE:AE,MATCH($D534,'卡片raw data'!$F:$F,)),0)+IF($P534=4,INDEX('卡片raw data'!AH:AH,MATCH($D534,'卡片raw data'!$F:$F,)),0)+IF($P534=5,INDEX('卡片raw data'!AK:AK,MATCH($D534,'卡片raw data'!$F:$F,)),0)+INDEX('卡片raw data'!S:S,MATCH($D534,'卡片raw data'!$F:$F,))*(IF($F534="UR",0.04,0.033))*(IF($F534="UR",INDEX(绊状态确认!$S:$S,MATCH($G534,绊状态确认!$B:$B,))/2-40)+IF($F534="SR",INDEX(绊状态确认!$R:$R,MATCH($G534,绊状态确认!$B:$B,))/4-15))+IF($F534="R",INDEX(绊状态确认!$Q:$Q,MATCH($G534,绊状态确认!$B:$B,))/6-40/6)))*(INDEX(绊状态确认!$H:$H,MATCH($G534,绊状态确认!$B:$B,))+INDEX(绊状态确认!J:J,MATCH($G534,绊状态确认!$B:$B,)))</f>
        <v>7523.6461999999992</v>
      </c>
      <c r="AM534" s="1106">
        <f>IF($P534="","N/A",(IF($P534=-1,INDEX('卡片raw data'!T:T,MATCH($D534,'卡片raw data'!$F:$F,)),0)+IF($P534=0,INDEX('卡片raw data'!W:W,MATCH($D534,'卡片raw data'!$F:$F,)),0)+IF($P534=1,INDEX('卡片raw data'!Z:Z,MATCH($D534,'卡片raw data'!$F:$F,)),0)+IF($P534=2,INDEX('卡片raw data'!AC:AC,MATCH($D534,'卡片raw data'!$F:$F,)),0)+IF($P534=3,INDEX('卡片raw data'!AF:AF,MATCH($D534,'卡片raw data'!$F:$F,)),0)+IF($P534=4,INDEX('卡片raw data'!AI:AI,MATCH($D534,'卡片raw data'!$F:$F,)),0)+IF($P534=5,INDEX('卡片raw data'!AL:AL,MATCH($D534,'卡片raw data'!$F:$F,)),0)+INDEX('卡片raw data'!T:T,MATCH($D534,'卡片raw data'!$F:$F,))*(IF($F534="UR",0.04,0.033))*(IF($F534="UR",INDEX(绊状态确认!$S:$S,MATCH($G534,绊状态确认!$B:$B,))/2-40)+IF($F534="SR",INDEX(绊状态确认!$R:$R,MATCH($G534,绊状态确认!$B:$B,))/4-15))+IF($F534="R",INDEX(绊状态确认!$Q:$Q,MATCH($G534,绊状态确认!$B:$B,))/6-40/6)))*(INDEX(绊状态确认!$H:$H,MATCH($G534,绊状态确认!$B:$B,))+INDEX(绊状态确认!K:K,MATCH($G534,绊状态确认!$B:$B,)))</f>
        <v>4355.6978249999993</v>
      </c>
      <c r="AN534" s="1106">
        <f>IF($P534="","N/A",(IF($P534=-1,INDEX('卡片raw data'!U:U,MATCH($D534,'卡片raw data'!$F:$F,)),0)+IF($P534=0,INDEX('卡片raw data'!X:X,MATCH($D534,'卡片raw data'!$F:$F,)),0)+IF($P534=1,INDEX('卡片raw data'!AA:AA,MATCH($D534,'卡片raw data'!$F:$F,)),0)+IF($P534=2,INDEX('卡片raw data'!AD:AD,MATCH($D534,'卡片raw data'!$F:$F,)),0)+IF($P534=3,INDEX('卡片raw data'!AG:AG,MATCH($D534,'卡片raw data'!$F:$F,)),0)+IF($P534=4,INDEX('卡片raw data'!AJ:AJ,MATCH($D534,'卡片raw data'!$F:$F,)),0)+IF($P534=5,INDEX('卡片raw data'!AM:AM,MATCH($D534,'卡片raw data'!$F:$F,)),0)+INDEX('卡片raw data'!U:U,MATCH($D534,'卡片raw data'!$F:$F,))*(IF($F534="UR",0.04,0.033))*(IF($F534="UR",INDEX(绊状态确认!$S:$S,MATCH($G534,绊状态确认!$B:$B,))/2-40)+IF($F534="SR",INDEX(绊状态确认!$R:$R,MATCH($G534,绊状态确认!$B:$B,))/4-15))+IF($F534="R",INDEX(绊状态确认!$Q:$Q,MATCH($G534,绊状态确认!$B:$B,))/6-40/6)))*(INDEX(绊状态确认!$H:$H,MATCH($G534,绊状态确认!$B:$B,))+INDEX(绊状态确认!L:L,MATCH($G534,绊状态确认!$B:$B,)))</f>
        <v>7922.1955799999996</v>
      </c>
      <c r="AO534" s="1107">
        <f t="shared" si="709"/>
        <v>1</v>
      </c>
      <c r="AP534" s="1131">
        <f>1+(INDEX(绊状态确认!$T:$T,MATCH($G534,绊状态确认!$B:$B,))+0.2)*$AO534</f>
        <v>1.2749999999999999</v>
      </c>
      <c r="AQ534" s="1108">
        <f t="shared" si="710"/>
        <v>22999.571274999998</v>
      </c>
      <c r="AR534" s="1097">
        <f>(AM534*(1+$EX$9)+$EX$35)*(1+(INDEX(绊状态确认!$T:$T,MATCH($G534,绊状态确认!$B:$B,))+0.2)*AO534)*IF(J534=$FF$17,1+$FE$17,1)*IF(I534=$FF$14,1+$FE$14,1)</f>
        <v>8483.1904632187488</v>
      </c>
      <c r="AS534" s="1097">
        <f>(AN534*(1+$EX$10)+$EX$36)*(1+(INDEX(绊状态确认!$T:$T,MATCH($G534,绊状态确认!$B:$B,))+0.2)*AO534)*IF(J534=$FF$17,1+$FE$17,1)*IF(I534=$FF$14,1+$FE$14,1)</f>
        <v>15593.919269174998</v>
      </c>
      <c r="AT534" s="1093">
        <f>IF(AND(INDEX('卡片raw data'!AK:AK,MATCH($D534,'卡片raw data'!$F:$F,))&lt;INDEX('卡片raw data'!AM:AM,MATCH($D534,'卡片raw data'!$F:$F,)),INDEX('卡片raw data'!AL:AL,MATCH($D534,'卡片raw data'!$F:$F,))&lt;INDEX('卡片raw data'!AM:AM,MATCH($D534,'卡片raw data'!$F:$F,))),1,0)</f>
        <v>1</v>
      </c>
      <c r="AU534" s="1098">
        <f>MIN(AT534*0.15+AS534*0.00003+INDEX(绊状态确认!M:M,MATCH($G534,绊状态确认!$B:$B,)),1)</f>
        <v>0.64281757807524997</v>
      </c>
      <c r="AV534" s="1109">
        <f>(INDEX(绊状态确认!$N:$N,MATCH($G534,绊状态确认!$B:$B,))+1.5)*$EW$21</f>
        <v>2.59</v>
      </c>
      <c r="AW534" s="1101">
        <f t="shared" si="711"/>
        <v>23688.756275745101</v>
      </c>
      <c r="AX534" s="1097">
        <f t="shared" si="712"/>
        <v>720.7907198926041</v>
      </c>
      <c r="AY534" s="1110">
        <f t="shared" si="713"/>
        <v>24409.546995637706</v>
      </c>
      <c r="AZ534" s="429">
        <f t="shared" si="714"/>
        <v>17271.110089999998</v>
      </c>
      <c r="BA534" s="431">
        <f t="shared" si="715"/>
        <v>20725.332107999999</v>
      </c>
      <c r="BB534" s="1097">
        <f>(AM534*(1+$FB$9)+$FB$35)*(1+(INDEX(绊状态确认!$T:$T,MATCH($G534,绊状态确认!$B:$B,))+0.2)*AO534)*IF(J534=$FF$17,1+$FE$17,1)*IF(I534=$FF$14,1+$FE$14,1)*(1+$FE$15)</f>
        <v>8483.1904632187488</v>
      </c>
      <c r="BC534" s="1097">
        <f>(AN534*(1+$FB$10)+$FB$36)*(1+(INDEX(绊状态确认!$T:$T,MATCH($G534,绊状态确认!$B:$B,))+0.2)*AO534)*IF(J534=$FF$17,1+$FE$17,1)*IF(I534=$FF$14,1+$FE$14,1)*(1+$FE$15)</f>
        <v>15593.919269174998</v>
      </c>
      <c r="BD534" s="1104">
        <f>MIN(AT534*0.15+BC534*0.00003+INDEX(绊状态确认!M:M,MATCH($G534,绊状态确认!$B:$B,)),1)</f>
        <v>0.64281757807524997</v>
      </c>
      <c r="BE534" s="432">
        <f>(INDEX(绊状态确认!$N:$N,MATCH($G534,绊状态确认!$B:$B,))+1.5)</f>
        <v>1.85</v>
      </c>
      <c r="BF534" s="1139">
        <f t="array" ref="BF534">SUMPRODUCT(IF(AZ534*AP534*$FI$16:$FI$23*$FA$22&gt;=$FI$24,$FI$24,AZ534*AP534*$FI$16:$FI$23*$FA$22),$FJ$16:$FJ$23)</f>
        <v>33691.618008067497</v>
      </c>
      <c r="BG534" s="1125">
        <f t="array" ref="BG534">SUMPRODUCT(IF(BE534*AZ534*AP534*$FI$16:$FI$23*$FA$22&gt;=$FI$24,$FI$24,BE534*AZ534*AP534*$FI$16:$FI$23*$FA$22),$FJ$16:$FJ$23)</f>
        <v>57591.262390137374</v>
      </c>
      <c r="BH534" s="1110">
        <f t="shared" si="716"/>
        <v>16351.576508869803</v>
      </c>
      <c r="BI534" s="1111">
        <f>IF(O534="vo",$EW$26/$EW$24*0.05,0)+IF(O534="sk",-$EW$26/$EW$24*(0.05-INDEX(绊状态确认!W:W,MATCH($G534,绊状态确认!$B:$B,)))+0.05*$EW$28,0)+IF(O534="sp",0.05*$EW$32*$EW$30*(1-$EW$33)-(0.05-INDEX(绊状态确认!V:V,MATCH($G534,绊状态确认!$B:$B,)))*$EW$28,0)+IF(O534="gd",-(0.05-INDEX(绊状态确认!X:X,MATCH($G534,绊状态确认!$B:$B,)))*$EW$32*$EW$30*(1-$EW$33),0)</f>
        <v>-6253.6726349699375</v>
      </c>
      <c r="BJ534" s="420">
        <f>IF(O534="vo",0.05*(1-$FI$26)*$FA$24,0)+IF(O534="sk",-(0.05-INDEX(绊状态确认!W:W,MATCH($G534,绊状态确认!$B:$B,)))*(1-$FI$26)*$FA$24+0.05*$FA$26,0)+IF(O534="sp",0.05*$FA$32*$FA$27*(1-$FA$33)/$FA$30+0.05*$FA$29/$FA$69*$FA$27*(1-$FA$33)-(0.05-INDEX(绊状态确认!V:V,MATCH($G534,绊状态确认!$B:$B,)))*$FA$26,0)+IF(O534="gd",-(0.05-INDEX(绊状态确认!X:X,MATCH($G534,绊状态确认!$B:$B,)))*$FA$32*$FA$27*(1-$FA$33)/$FA$30-(0.05-INDEX(绊状态确认!X:X,MATCH($G534,绊状态确认!$B:$B,)))*$FA$29/$FA$69*$FA$27*(1-$FA$33),0)</f>
        <v>20.459096812499922</v>
      </c>
      <c r="BK534" s="1110">
        <f>IF(O534="vo",$EW$26/$EW$24*0.05+$EW$26*(-HP($EW$62,$EW$65,$EW$64)+HP($EW$62,$EW$65,(1.05-INDEX(绊状态确认!U:U,MATCH($G534,绊状态确认!$B:$B,)))*$EW$64)),0)+IF(O534="sk",-$EW$26/$EW$24*(0.05-INDEX(绊状态确认!W:W,MATCH($G534,绊状态确认!$B:$B,)))+0.05*$EW$29,0)+IF(O534="sp",0.05*$EW$32*$EW$30*(1-$EW$33)-(0.05-INDEX(绊状态确认!V:V,MATCH($G534,绊状态确认!$B:$B,)))*$EW$29,0)+IF(O534="gd",-(0.05-INDEX(绊状态确认!X:X,MATCH($G534,绊状态确认!$B:$B,)))*$EW$32*$EW$30*(1-$EW$33)+$EW$26*(-HP($EW$62,$EW$65,$EW$64)+HP($EW$62,$EW$65,0.95*$EW$64)),0)</f>
        <v>-4253.6726349699375</v>
      </c>
      <c r="BL534" s="1111">
        <f t="shared" si="717"/>
        <v>-1083.3333333333333</v>
      </c>
      <c r="BM534" s="1110">
        <f t="shared" si="718"/>
        <v>-830.55555555555543</v>
      </c>
      <c r="BN534" s="1113">
        <f t="shared" si="719"/>
        <v>3</v>
      </c>
      <c r="BO534" s="1108">
        <f t="shared" si="720"/>
        <v>4507.7214871259994</v>
      </c>
      <c r="BP534" s="1127">
        <f t="shared" si="721"/>
        <v>221.34103209030098</v>
      </c>
      <c r="BQ534" s="1113" t="s">
        <v>132</v>
      </c>
      <c r="BR534" s="1124" t="s">
        <v>168</v>
      </c>
      <c r="BS534" s="421">
        <f>IF($P534="","N/A",IF($P534=-1,INDEX('卡片raw data'!AX:AX,MATCH($D534,'卡片raw data'!$F:$F,)),0)+IF($L534="party卡",IF($P534=5,INDEX('卡片raw data'!BD:BD,MATCH($D534,'卡片raw data'!$F:$F,)),IF($P534&gt;=3,INDEX('卡片raw data'!BC:BC,MATCH($D534,'卡片raw data'!$F:$F,)),INDEX('卡片raw data'!BB:BB,MATCH($D534,'卡片raw data'!$F:$F,)))),IF(OR(AND($F534="UR",$P534=0),AND($F534="SR",$P534&gt;=0,$P534&lt;=2),AND($F534="R",$P534&gt;=0,$P534&lt;4)),INDEX('卡片raw data'!AZ:AZ,MATCH($D534,'卡片raw data'!$F:$F,)),0)+IF(OR(AND($F534="UR",$P534&gt;=1,$P534&lt;=4),AND($F534="SR",$P534&lt;=4,$P534&gt;=3),AND($F534="R",$P534=4)),INDEX('卡片raw data'!BA:BA,MATCH($D534,'卡片raw data'!$F:$F,)),0)+IF($P534=5,INDEX('卡片raw data'!BB:BB,MATCH($D534,'卡片raw data'!$F:$F,)),0)))</f>
        <v>0.05</v>
      </c>
      <c r="BT534" s="424">
        <f t="shared" si="722"/>
        <v>3756.4345726050001</v>
      </c>
      <c r="BU534" s="420">
        <f t="shared" si="723"/>
        <v>184.45086007525089</v>
      </c>
      <c r="BV534" s="420">
        <f t="shared" si="724"/>
        <v>0</v>
      </c>
      <c r="BW534" s="436">
        <f t="shared" si="725"/>
        <v>0</v>
      </c>
      <c r="BX534" s="423">
        <f t="shared" si="726"/>
        <v>3756.4345726050001</v>
      </c>
      <c r="BY534" s="433">
        <f t="shared" si="727"/>
        <v>0</v>
      </c>
      <c r="BZ534" s="1113" t="s">
        <v>569</v>
      </c>
      <c r="CA534" s="450"/>
      <c r="CB534" s="421">
        <f>IF($P534="","N/A",IF($P534=-1,INDEX('卡片raw data'!BE:BE,MATCH($D534,'卡片raw data'!$F:$F,)),0)+IF($L534="party卡",IF($P534=5,INDEX('卡片raw data'!BK:BK,MATCH($D534,'卡片raw data'!$F:$F,)),IF($P534&gt;=3,INDEX('卡片raw data'!BJ:BJ,MATCH($D534,'卡片raw data'!$F:$F,)),INDEX('卡片raw data'!BI:BI,MATCH($D534,'卡片raw data'!$F:$F,)))),IF(OR(AND($F534="UR",$P534=0),AND($F534="SR",$P534&gt;=0,$P534&lt;=2),AND($F534="R",$P534&gt;=0,$P534&lt;4)),INDEX('卡片raw data'!BG:BG,MATCH($D534,'卡片raw data'!$F:$F,)),0)+IF(OR(AND($F534="UR",$P534&gt;=1,$P534&lt;=4),AND($F534="SR",$P534&lt;=4,$P534&gt;=3),AND($F534="R",$P534=4)),INDEX('卡片raw data'!BH:BH,MATCH($D534,'卡片raw data'!$F:$F,)),0)+IF($P534=5,INDEX('卡片raw data'!BI:BI,MATCH($D534,'卡片raw data'!$F:$F,)),0)))</f>
        <v>0</v>
      </c>
      <c r="CC534" s="424">
        <f t="shared" si="728"/>
        <v>0</v>
      </c>
      <c r="CD534" s="420">
        <f>IF(BZ534="ap",CB534*(1-$FI$26)*$FB$5/$FB$11*(+IF(CA534="全员",$FA$24,0)+IF(CA534="同作战",$FA$24,0)+IF(CA534="仲间",$FA$24*2/3,0)+IF(CA534="同属性",$FA$24*$FA$37/3,0)+IF(CA534="同年级",$FA$24*$FA$40/3,0)+IF(CA534="同学校",$FA$24*$FA$43/3,0)+IF(CA534="同小队",$FA$24*$FA$46/3,0)+IF(CA534="同type",$FA$24*INDEX($FB$49:$FB$52,MATCH(X534,$FA$49:$FA$52,))/3,0)+IF(CA534="自身",#REF!/3,0)),0)+IF(BZ534="te",CB534*(1-$FI$27)*($FA$20-1)*$FB$7/$FB$13*(+IF(CA534="全员",$FA$19*$FA$24/(1+($FA$20-1)*$FA$19),0)+IF(CA534="同作战",$FA$19*$FA$24/(1+($FA$20-1)*$FA$19),0)+IF(CA534="仲间",$FA$19*$FA$24*2/3/(1+($FA$20-1)*$FA$19),0)+IF(CA534="同属性",$FA$19*$FA$24*$FA$37/3/(1+($FA$20-1)*$FA$19),0)+IF(CA534="同年级",$FA$19*$FA$24*$FA$40/3/(1+($FA$20-1)*$FA$19),0)+IF(CA534="同学校",$FA$19*$FA$24*$FA$43/3/(1+($FA$20-1)*$FA$19),0)+IF(CA534="同小队",$FA$19*$FA$24*$FA$46/3/(1+($FA$20-1)*$FA$19),0)+IF(CA534="同type",$FA$19*$FA$24*INDEX($FB$49:$FB$52,MATCH(X534,$FA$49:$FA$52,))/3/(1+($FA$20-1)*$FA$19),0)+IF(CA534="自身",$FA$19*#REF!/3/(1+(BH534-1)*$BD534),0)),0)</f>
        <v>0</v>
      </c>
      <c r="CE534" s="420">
        <f t="shared" si="729"/>
        <v>0</v>
      </c>
      <c r="CF534" s="436">
        <f t="shared" si="730"/>
        <v>0</v>
      </c>
      <c r="CG534" s="423">
        <f t="shared" si="731"/>
        <v>0</v>
      </c>
      <c r="CH534" s="433">
        <f t="shared" si="732"/>
        <v>0</v>
      </c>
      <c r="CI534" s="1113" t="s">
        <v>165</v>
      </c>
      <c r="CJ534" s="1114">
        <v>0.3</v>
      </c>
      <c r="CK534" s="1115" t="s">
        <v>4401</v>
      </c>
      <c r="CL534" s="1115" t="s">
        <v>4396</v>
      </c>
      <c r="CM534" s="1119">
        <v>0.05</v>
      </c>
      <c r="CN534" s="1115" t="s">
        <v>4402</v>
      </c>
      <c r="CO534" s="1115"/>
      <c r="CP534" s="1118">
        <f t="shared" si="733"/>
        <v>1.4999999999999999E-2</v>
      </c>
      <c r="CQ534" s="1118">
        <f t="shared" si="734"/>
        <v>1.4999999999999999E-2</v>
      </c>
      <c r="CR534" s="1118">
        <f t="shared" si="735"/>
        <v>0</v>
      </c>
      <c r="CS534" s="442">
        <f t="shared" si="736"/>
        <v>0</v>
      </c>
      <c r="CT534" s="432">
        <f t="shared" si="737"/>
        <v>0</v>
      </c>
      <c r="CU534" s="1101">
        <f t="shared" si="738"/>
        <v>898.89173423156262</v>
      </c>
      <c r="CV534" s="1108">
        <f t="shared" si="768"/>
        <v>0</v>
      </c>
      <c r="CW534" s="1097">
        <f t="shared" si="739"/>
        <v>0</v>
      </c>
      <c r="CX534" s="420">
        <f t="shared" si="740"/>
        <v>898.89173423156262</v>
      </c>
      <c r="CY534" s="433">
        <f t="shared" si="741"/>
        <v>0</v>
      </c>
      <c r="CZ534" s="437"/>
      <c r="DA534" s="438"/>
      <c r="DB534" s="439" t="s">
        <v>569</v>
      </c>
      <c r="DC534" s="439"/>
      <c r="DD534" s="443"/>
      <c r="DE534" s="411"/>
      <c r="DF534" s="411"/>
      <c r="DG534" s="1116">
        <f t="shared" si="742"/>
        <v>0</v>
      </c>
      <c r="DH534" s="1116">
        <f t="shared" si="743"/>
        <v>0</v>
      </c>
      <c r="DI534" s="1116">
        <f t="shared" si="744"/>
        <v>0</v>
      </c>
      <c r="DJ534" s="442">
        <f t="shared" si="745"/>
        <v>0</v>
      </c>
      <c r="DK534" s="432">
        <f t="shared" si="746"/>
        <v>0</v>
      </c>
      <c r="DL534" s="424">
        <f t="shared" si="747"/>
        <v>0</v>
      </c>
      <c r="DM534" s="420">
        <f t="shared" si="748"/>
        <v>0</v>
      </c>
      <c r="DN534" s="420">
        <f t="shared" si="749"/>
        <v>0</v>
      </c>
      <c r="DO534" s="420">
        <f t="shared" si="750"/>
        <v>0</v>
      </c>
      <c r="DP534" s="433">
        <f t="shared" si="751"/>
        <v>0</v>
      </c>
      <c r="DQ534" s="1113" t="s">
        <v>551</v>
      </c>
      <c r="DR534" s="1120">
        <f t="shared" si="769"/>
        <v>0.3</v>
      </c>
      <c r="DS534" s="1124">
        <v>10</v>
      </c>
      <c r="DT534" s="1124" t="s">
        <v>2127</v>
      </c>
      <c r="DU534" s="1093" t="s">
        <v>2145</v>
      </c>
      <c r="DV534" s="1098">
        <f>IF($P534="","N/A",IF(P534=-1,INDEX('卡片raw data'!AN:AN,MATCH(D534,'卡片raw data'!$F:$F,)),0)+IF(AND(L534&lt;&gt;"party卡",P534&lt;=2,P534&gt;=0),INDEX('卡片raw data'!AP:AP,MATCH(D534,'卡片raw data'!$F:$F,)),0)+IF(OR(AND(L534="party卡",P534&lt;=1),AND(P534&lt;=4,L534&lt;&gt;"party卡",P534&gt;=3)),INDEX('卡片raw data'!AQ:AQ,MATCH(D534,'卡片raw data'!$F:$F,)),0)+IF(OR(P534=5,AND(L534="party卡",P534&gt;=2)),INDEX('卡片raw data'!AR:AR,MATCH(D534,'卡片raw data'!$F:$F,)),0))</f>
        <v>7.0000000000000007E-2</v>
      </c>
      <c r="DW534" s="1098">
        <f t="shared" si="752"/>
        <v>0.3</v>
      </c>
      <c r="DX534" s="1098">
        <f t="shared" si="753"/>
        <v>0.3</v>
      </c>
      <c r="DY534" s="1098">
        <f t="shared" si="754"/>
        <v>7.0000000000000007E-2</v>
      </c>
      <c r="DZ534" s="1098">
        <f t="shared" si="755"/>
        <v>6.0550000000000007E-2</v>
      </c>
      <c r="EA534" s="421">
        <f t="shared" si="756"/>
        <v>0</v>
      </c>
      <c r="EB534" s="445">
        <f t="shared" si="757"/>
        <v>0</v>
      </c>
      <c r="EC534" s="424">
        <f t="shared" si="758"/>
        <v>4194.8280930806259</v>
      </c>
      <c r="ED534" s="420">
        <f t="shared" si="759"/>
        <v>0</v>
      </c>
      <c r="EE534" s="433">
        <f t="shared" si="683"/>
        <v>4194.8280930806259</v>
      </c>
      <c r="EF534" s="1113" t="s">
        <v>569</v>
      </c>
      <c r="EG534" s="1120">
        <f t="shared" si="770"/>
        <v>0.3</v>
      </c>
      <c r="EH534" s="450"/>
      <c r="EI534" s="1124"/>
      <c r="EJ534" s="1124"/>
      <c r="EK534" s="420">
        <f>IF($P534="","N/A",IF(P534=-1,INDEX('卡片raw data'!AS:AS,MATCH(D534,'卡片raw data'!$F:$F,)),0)+IF(AND(L534&lt;&gt;"party卡",P534&lt;=2,P534&gt;=0),INDEX('卡片raw data'!AU:AU,MATCH(D534,'卡片raw data'!$F:$F,)),0)+IF(OR(AND(L534="party卡",P534&lt;=1),AND(P534&lt;=4,L534&lt;&gt;"party卡",P534&gt;=3)),INDEX('卡片raw data'!AV:AV,MATCH(D534,'卡片raw data'!$F:$F,)),0)+IF(OR(P534=5,AND(L534="party卡",P534&gt;=2)),INDEX('卡片raw data'!AW:AW,MATCH(D534,'卡片raw data'!$F:$F,)),0))</f>
        <v>0</v>
      </c>
      <c r="EL534" s="1098">
        <f t="shared" si="760"/>
        <v>0.3</v>
      </c>
      <c r="EM534" s="1098">
        <f t="shared" si="761"/>
        <v>0.3</v>
      </c>
      <c r="EN534" s="1097">
        <f t="shared" si="762"/>
        <v>0</v>
      </c>
      <c r="EO534" s="1097">
        <f t="shared" si="763"/>
        <v>0</v>
      </c>
      <c r="EP534" s="421">
        <f t="shared" si="764"/>
        <v>0</v>
      </c>
      <c r="EQ534" s="445">
        <f t="shared" si="765"/>
        <v>0</v>
      </c>
      <c r="ER534" s="424">
        <f t="shared" si="766"/>
        <v>0</v>
      </c>
      <c r="ES534" s="420">
        <f t="shared" si="767"/>
        <v>0</v>
      </c>
      <c r="ET534" s="446">
        <f t="shared" si="684"/>
        <v>0</v>
      </c>
    </row>
    <row r="535" spans="2:150" ht="16.5" customHeight="1">
      <c r="B535" s="448" t="str">
        <f>INDEX('卡片raw data'!B:B,MATCH($D535,'卡片raw data'!$F:$F,))</f>
        <v>月夜鞠</v>
      </c>
      <c r="C535" s="449" t="s">
        <v>4382</v>
      </c>
      <c r="D535" s="408">
        <v>532</v>
      </c>
      <c r="E535" s="477">
        <v>401083006</v>
      </c>
      <c r="F535" s="409" t="str">
        <f>INDEX('卡片raw data'!C:C,MATCH($D535,'卡片raw data'!$F:$F,))</f>
        <v>UR</v>
      </c>
      <c r="G535" s="1094" t="s">
        <v>4387</v>
      </c>
      <c r="H535" s="411">
        <f>IFERROR(INDEX(绊状态确认!C:C,MATCH($G535,绊状态确认!$B:$B,)),"")</f>
        <v>108</v>
      </c>
      <c r="I535" s="450" t="str">
        <f>IFERROR(INDEX(绊状态确认!D:D,MATCH($G535,绊状态确认!$B:$B,)),"")</f>
        <v>水</v>
      </c>
      <c r="J535" s="450" t="str">
        <f>IFERROR(INDEX(绊状态确认!E:E,MATCH($G535,绊状态确认!$B:$B,)),"")</f>
        <v>3年级</v>
      </c>
      <c r="K535" s="451" t="str">
        <f>IFERROR(INDEX(绊状态确认!F:F,MATCH($G535,绊状态确认!$B:$B,)),"")</f>
        <v>Guilty Kiss</v>
      </c>
      <c r="L535" s="414" t="str">
        <f>INDEX('卡片raw data'!E:E,MATCH($D535,'卡片raw data'!$F:$F,))</f>
        <v>卡池卡</v>
      </c>
      <c r="M535" s="478">
        <v>44443</v>
      </c>
      <c r="N535" s="479">
        <v>47</v>
      </c>
      <c r="O535" s="410" t="str">
        <f>INDEX('卡片raw data'!D:D,MATCH($D535,'卡片raw data'!$F:$F,))</f>
        <v>sp</v>
      </c>
      <c r="P535" s="1126">
        <v>5</v>
      </c>
      <c r="Q535" s="418">
        <f t="shared" si="688"/>
        <v>62639.013321904618</v>
      </c>
      <c r="R535" s="419">
        <f t="shared" si="689"/>
        <v>0.72799999999999998</v>
      </c>
      <c r="S535" s="420">
        <f t="shared" si="690"/>
        <v>22396.215965846059</v>
      </c>
      <c r="T535" s="421">
        <f t="shared" si="691"/>
        <v>1.119</v>
      </c>
      <c r="U535" s="422">
        <f t="shared" si="692"/>
        <v>16.170752258142855</v>
      </c>
      <c r="V535" s="423">
        <f t="shared" si="693"/>
        <v>62140.163714235809</v>
      </c>
      <c r="W535" s="424">
        <f t="shared" si="694"/>
        <v>5835.0235675338272</v>
      </c>
      <c r="X535" s="419">
        <f t="shared" si="695"/>
        <v>6.7000000000000004E-2</v>
      </c>
      <c r="Y535" s="420">
        <f t="shared" si="696"/>
        <v>1301.150392331193</v>
      </c>
      <c r="Z535" s="425">
        <f t="shared" si="697"/>
        <v>16.170752258142855</v>
      </c>
      <c r="AA535" s="426">
        <f t="shared" si="698"/>
        <v>7136.1739598650202</v>
      </c>
      <c r="AB535" s="424">
        <f t="shared" si="699"/>
        <v>7137.2542193702284</v>
      </c>
      <c r="AC535" s="427">
        <f t="shared" si="700"/>
        <v>8.2000000000000003E-2</v>
      </c>
      <c r="AD535" s="428">
        <f t="shared" si="701"/>
        <v>-1.6087500000000001E-2</v>
      </c>
      <c r="AE535" s="516">
        <f t="shared" si="702"/>
        <v>38.767663043478258</v>
      </c>
      <c r="AF535" s="1130">
        <f t="shared" si="703"/>
        <v>0</v>
      </c>
      <c r="AG535" s="420">
        <f t="shared" si="704"/>
        <v>0</v>
      </c>
      <c r="AH535" s="420">
        <f t="shared" si="705"/>
        <v>0</v>
      </c>
      <c r="AI535" s="1097">
        <f t="shared" si="706"/>
        <v>0</v>
      </c>
      <c r="AJ535" s="420">
        <f t="shared" si="707"/>
        <v>0</v>
      </c>
      <c r="AK535" s="518">
        <f t="shared" si="708"/>
        <v>0</v>
      </c>
      <c r="AL535" s="1106">
        <f>IF($P535="","N/A",(IF($P535=-1,INDEX('卡片raw data'!S:S,MATCH($D535,'卡片raw data'!$F:$F,)),0)+IF($P535=0,INDEX('卡片raw data'!V:V,MATCH($D535,'卡片raw data'!$F:$F,)),0)+IF($P535=1,INDEX('卡片raw data'!Y:Y,MATCH($D535,'卡片raw data'!$F:$F,)),0)+IF($P535=2,INDEX('卡片raw data'!AB:AB,MATCH($D535,'卡片raw data'!$F:$F,)),0)+IF($P535=3,INDEX('卡片raw data'!AE:AE,MATCH($D535,'卡片raw data'!$F:$F,)),0)+IF($P535=4,INDEX('卡片raw data'!AH:AH,MATCH($D535,'卡片raw data'!$F:$F,)),0)+IF($P535=5,INDEX('卡片raw data'!AK:AK,MATCH($D535,'卡片raw data'!$F:$F,)),0)+INDEX('卡片raw data'!S:S,MATCH($D535,'卡片raw data'!$F:$F,))*(IF($F535="UR",0.04,0.033))*(IF($F535="UR",INDEX(绊状态确认!$S:$S,MATCH($G535,绊状态确认!$B:$B,))/2-40)+IF($F535="SR",INDEX(绊状态确认!$R:$R,MATCH($G535,绊状态确认!$B:$B,))/4-15))+IF($F535="R",INDEX(绊状态确认!$Q:$Q,MATCH($G535,绊状态确认!$B:$B,))/6-40/6)))*(INDEX(绊状态确认!$H:$H,MATCH($G535,绊状态确认!$B:$B,))+INDEX(绊状态确认!J:J,MATCH($G535,绊状态确认!$B:$B,)))</f>
        <v>13614.526559999998</v>
      </c>
      <c r="AM535" s="1106">
        <f>IF($P535="","N/A",(IF($P535=-1,INDEX('卡片raw data'!T:T,MATCH($D535,'卡片raw data'!$F:$F,)),0)+IF($P535=0,INDEX('卡片raw data'!W:W,MATCH($D535,'卡片raw data'!$F:$F,)),0)+IF($P535=1,INDEX('卡片raw data'!Z:Z,MATCH($D535,'卡片raw data'!$F:$F,)),0)+IF($P535=2,INDEX('卡片raw data'!AC:AC,MATCH($D535,'卡片raw data'!$F:$F,)),0)+IF($P535=3,INDEX('卡片raw data'!AF:AF,MATCH($D535,'卡片raw data'!$F:$F,)),0)+IF($P535=4,INDEX('卡片raw data'!AI:AI,MATCH($D535,'卡片raw data'!$F:$F,)),0)+IF($P535=5,INDEX('卡片raw data'!AL:AL,MATCH($D535,'卡片raw data'!$F:$F,)),0)+INDEX('卡片raw data'!T:T,MATCH($D535,'卡片raw data'!$F:$F,))*(IF($F535="UR",0.04,0.033))*(IF($F535="UR",INDEX(绊状态确认!$S:$S,MATCH($G535,绊状态确认!$B:$B,))/2-40)+IF($F535="SR",INDEX(绊状态确认!$R:$R,MATCH($G535,绊状态确认!$B:$B,))/4-15))+IF($F535="R",INDEX(绊状态确认!$Q:$Q,MATCH($G535,绊状态确认!$B:$B,))/6-40/6)))*(INDEX(绊状态确认!$H:$H,MATCH($G535,绊状态确认!$B:$B,))+INDEX(绊状态确认!K:K,MATCH($G535,绊状态确认!$B:$B,)))</f>
        <v>9075.9722399999991</v>
      </c>
      <c r="AN535" s="1106">
        <f>IF($P535="","N/A",(IF($P535=-1,INDEX('卡片raw data'!U:U,MATCH($D535,'卡片raw data'!$F:$F,)),0)+IF($P535=0,INDEX('卡片raw data'!X:X,MATCH($D535,'卡片raw data'!$F:$F,)),0)+IF($P535=1,INDEX('卡片raw data'!AA:AA,MATCH($D535,'卡片raw data'!$F:$F,)),0)+IF($P535=2,INDEX('卡片raw data'!AD:AD,MATCH($D535,'卡片raw data'!$F:$F,)),0)+IF($P535=3,INDEX('卡片raw data'!AG:AG,MATCH($D535,'卡片raw data'!$F:$F,)),0)+IF($P535=4,INDEX('卡片raw data'!AJ:AJ,MATCH($D535,'卡片raw data'!$F:$F,)),0)+IF($P535=5,INDEX('卡片raw data'!AM:AM,MATCH($D535,'卡片raw data'!$F:$F,)),0)+INDEX('卡片raw data'!U:U,MATCH($D535,'卡片raw data'!$F:$F,))*(IF($F535="UR",0.04,0.033))*(IF($F535="UR",INDEX(绊状态确认!$S:$S,MATCH($G535,绊状态确认!$B:$B,))/2-40)+IF($F535="SR",INDEX(绊状态确认!$R:$R,MATCH($G535,绊状态确认!$B:$B,))/4-15))+IF($F535="R",INDEX(绊状态确认!$Q:$Q,MATCH($G535,绊状态确认!$B:$B,))/6-40/6)))*(INDEX(绊状态确认!$H:$H,MATCH($G535,绊状态确认!$B:$B,))+INDEX(绊状态确认!L:L,MATCH($G535,绊状态确认!$B:$B,)))</f>
        <v>15127.756799999997</v>
      </c>
      <c r="AO535" s="1107">
        <f t="shared" si="709"/>
        <v>1</v>
      </c>
      <c r="AP535" s="1131">
        <f>1+(INDEX(绊状态确认!$T:$T,MATCH($G535,绊状态确认!$B:$B,))+0.2)*$AO535</f>
        <v>1.3</v>
      </c>
      <c r="AQ535" s="1108">
        <f t="shared" si="710"/>
        <v>38988.13222</v>
      </c>
      <c r="AR535" s="1097">
        <f>(AM535*(1+$EX$9)+$EX$35)*(1+(INDEX(绊状态确认!$T:$T,MATCH($G535,绊状态确认!$B:$B,))+0.2)*AO535)*IF(J535=$FF$17,1+$FE$17,1)*IF(I535=$FF$14,1+$FE$14,1)</f>
        <v>15092.7021076</v>
      </c>
      <c r="AS535" s="1097">
        <f>(AN535*(1+$EX$10)+$EX$36)*(1+(INDEX(绊状态确认!$T:$T,MATCH($G535,绊状态确认!$B:$B,))+0.2)*AO535)*IF(J535=$FF$17,1+$FE$17,1)*IF(I535=$FF$14,1+$FE$14,1)</f>
        <v>26671.996415999998</v>
      </c>
      <c r="AT535" s="1093">
        <f>IF(AND(INDEX('卡片raw data'!AK:AK,MATCH($D535,'卡片raw data'!$F:$F,))&lt;INDEX('卡片raw data'!AM:AM,MATCH($D535,'卡片raw data'!$F:$F,)),INDEX('卡片raw data'!AL:AL,MATCH($D535,'卡片raw data'!$F:$F,))&lt;INDEX('卡片raw data'!AM:AM,MATCH($D535,'卡片raw data'!$F:$F,))),1,0)</f>
        <v>1</v>
      </c>
      <c r="AU535" s="1098">
        <f>MIN(AT535*0.15+AS535*0.00003+INDEX(绊状态确认!M:M,MATCH($G535,绊状态确认!$B:$B,)),1)</f>
        <v>0.98015989248000002</v>
      </c>
      <c r="AV535" s="1109">
        <f>(INDEX(绊状态确认!$N:$N,MATCH($G535,绊状态确认!$B:$B,))+1.5)*$EW$21</f>
        <v>2.6599999999999997</v>
      </c>
      <c r="AW535" s="1101">
        <f t="shared" si="711"/>
        <v>53193.759102534394</v>
      </c>
      <c r="AX535" s="1097">
        <f t="shared" si="712"/>
        <v>1301.150392331193</v>
      </c>
      <c r="AY535" s="1110">
        <f t="shared" si="713"/>
        <v>54494.909494865584</v>
      </c>
      <c r="AZ535" s="429">
        <f t="shared" si="714"/>
        <v>29148.326791999996</v>
      </c>
      <c r="BA535" s="431">
        <f t="shared" si="715"/>
        <v>34977.992150399994</v>
      </c>
      <c r="BB535" s="1097">
        <f>(AM535*(1+$FB$9)+$FB$35)*(1+(INDEX(绊状态确认!$T:$T,MATCH($G535,绊状态确认!$B:$B,))+0.2)*AO535)*IF(J535=$FF$17,1+$FE$17,1)*IF(I535=$FF$14,1+$FE$14,1)*(1+$FE$15)</f>
        <v>15092.7021076</v>
      </c>
      <c r="BC535" s="1097">
        <f>(AN535*(1+$FB$10)+$FB$36)*(1+(INDEX(绊状态确认!$T:$T,MATCH($G535,绊状态确认!$B:$B,))+0.2)*AO535)*IF(J535=$FF$17,1+$FE$17,1)*IF(I535=$FF$14,1+$FE$14,1)*(1+$FE$15)</f>
        <v>26671.996415999998</v>
      </c>
      <c r="BD535" s="1104">
        <f>MIN(AT535*0.15+BC535*0.00003+INDEX(绊状态确认!M:M,MATCH($G535,绊状态确认!$B:$B,)),1)</f>
        <v>0.98015989248000002</v>
      </c>
      <c r="BE535" s="432">
        <f>(INDEX(绊状态确认!$N:$N,MATCH($G535,绊状态确认!$B:$B,))+1.5)</f>
        <v>1.9</v>
      </c>
      <c r="BF535" s="1139">
        <f t="array" ref="BF535">SUMPRODUCT(IF(AZ535*AP535*$FI$16:$FI$23*$FA$22&gt;=$FI$24,$FI$24,AZ535*AP535*$FI$16:$FI$23*$FA$22),$FJ$16:$FJ$23)</f>
        <v>55451.044608567994</v>
      </c>
      <c r="BG535" s="1125">
        <f t="array" ref="BG535">SUMPRODUCT(IF(BE535*AZ535*AP535*$FI$16:$FI$23*$FA$22&gt;=$FI$24,$FI$24,BE535*AZ535*AP535*$FI$16:$FI$23*$FA$22),$FJ$16:$FJ$23)</f>
        <v>60000</v>
      </c>
      <c r="BH535" s="1110">
        <f t="shared" si="716"/>
        <v>19969.916078643437</v>
      </c>
      <c r="BI535" s="1111">
        <f>IF(O535="vo",$EW$26/$EW$24*0.05,0)+IF(O535="sk",-$EW$26/$EW$24*(0.05-INDEX(绊状态确认!W:W,MATCH($G535,绊状态确认!$B:$B,)))+0.05*$EW$28,0)+IF(O535="sp",0.05*$EW$32*$EW$30*(1-$EW$33)-(0.05-INDEX(绊状态确认!V:V,MATCH($G535,绊状态确认!$B:$B,)))*$EW$28,0)+IF(O535="gd",-(0.05-INDEX(绊状态确认!X:X,MATCH($G535,绊状态确认!$B:$B,)))*$EW$32*$EW$30*(1-$EW$33),0)</f>
        <v>19.999999999999886</v>
      </c>
      <c r="BJ535" s="420">
        <f>IF(O535="vo",0.05*(1-$FI$26)*$FA$24,0)+IF(O535="sk",-(0.05-INDEX(绊状态确认!W:W,MATCH($G535,绊状态确认!$B:$B,)))*(1-$FI$26)*$FA$24+0.05*$FA$26,0)+IF(O535="sp",0.05*$FA$32*$FA$27*(1-$FA$33)/$FA$30+0.05*$FA$29/$FA$69*$FA$27*(1-$FA$33)-(0.05-INDEX(绊状态确认!V:V,MATCH($G535,绊状态确认!$B:$B,)))*$FA$26,0)+IF(O535="gd",-(0.05-INDEX(绊状态确认!X:X,MATCH($G535,绊状态确认!$B:$B,)))*$FA$32*$FA$27*(1-$FA$33)/$FA$30-(0.05-INDEX(绊状态确认!X:X,MATCH($G535,绊状态确认!$B:$B,)))*$FA$29/$FA$69*$FA$27*(1-$FA$33),0)</f>
        <v>545.83333333333326</v>
      </c>
      <c r="BK535" s="1110">
        <f>IF(O535="vo",$EW$26/$EW$24*0.05+$EW$26*(-HP($EW$62,$EW$65,$EW$64)+HP($EW$62,$EW$65,(1.05-INDEX(绊状态确认!U:U,MATCH($G535,绊状态确认!$B:$B,)))*$EW$64)),0)+IF(O535="sk",-$EW$26/$EW$24*(0.05-INDEX(绊状态确认!W:W,MATCH($G535,绊状态确认!$B:$B,)))+0.05*$EW$29,0)+IF(O535="sp",0.05*$EW$32*$EW$30*(1-$EW$33)-(0.05-INDEX(绊状态确认!V:V,MATCH($G535,绊状态确认!$B:$B,)))*$EW$29,0)+IF(O535="gd",-(0.05-INDEX(绊状态确认!X:X,MATCH($G535,绊状态确认!$B:$B,)))*$EW$32*$EW$30*(1-$EW$33)+$EW$26*(-HP($EW$62,$EW$65,$EW$64)+HP($EW$62,$EW$65,0.95*$EW$64)),0)</f>
        <v>-1780.0000000000005</v>
      </c>
      <c r="BL535" s="1111">
        <f t="shared" si="717"/>
        <v>0</v>
      </c>
      <c r="BM535" s="1110">
        <f t="shared" si="718"/>
        <v>0</v>
      </c>
      <c r="BN535" s="1113">
        <f t="shared" si="719"/>
        <v>3</v>
      </c>
      <c r="BO535" s="1108">
        <f t="shared" si="720"/>
        <v>4507.7214871259994</v>
      </c>
      <c r="BP535" s="1127">
        <f t="shared" si="721"/>
        <v>221.34103209030098</v>
      </c>
      <c r="BQ535" s="1113" t="s">
        <v>132</v>
      </c>
      <c r="BR535" s="1124" t="s">
        <v>171</v>
      </c>
      <c r="BS535" s="421">
        <f>IF($P535="","N/A",IF($P535=-1,INDEX('卡片raw data'!AX:AX,MATCH($D535,'卡片raw data'!$F:$F,)),0)+IF($L535="party卡",IF($P535=5,INDEX('卡片raw data'!BD:BD,MATCH($D535,'卡片raw data'!$F:$F,)),IF($P535&gt;=3,INDEX('卡片raw data'!BC:BC,MATCH($D535,'卡片raw data'!$F:$F,)),INDEX('卡片raw data'!BB:BB,MATCH($D535,'卡片raw data'!$F:$F,)))),IF(OR(AND($F535="UR",$P535=0),AND($F535="SR",$P535&gt;=0,$P535&lt;=2),AND($F535="R",$P535&gt;=0,$P535&lt;4)),INDEX('卡片raw data'!AZ:AZ,MATCH($D535,'卡片raw data'!$F:$F,)),0)+IF(OR(AND($F535="UR",$P535&gt;=1,$P535&lt;=4),AND($F535="SR",$P535&lt;=4,$P535&gt;=3),AND($F535="R",$P535=4)),INDEX('卡片raw data'!BA:BA,MATCH($D535,'卡片raw data'!$F:$F,)),0)+IF($P535=5,INDEX('卡片raw data'!BB:BB,MATCH($D535,'卡片raw data'!$F:$F,)),0)))</f>
        <v>5.1999999999999998E-2</v>
      </c>
      <c r="BT535" s="424">
        <f t="shared" si="722"/>
        <v>2604.4613036728001</v>
      </c>
      <c r="BU535" s="420">
        <f t="shared" si="723"/>
        <v>111.90018844565216</v>
      </c>
      <c r="BV535" s="420">
        <f t="shared" si="724"/>
        <v>1302.2306518363998</v>
      </c>
      <c r="BW535" s="436">
        <f t="shared" si="725"/>
        <v>0</v>
      </c>
      <c r="BX535" s="423">
        <f t="shared" si="726"/>
        <v>2604.4613036728001</v>
      </c>
      <c r="BY535" s="433">
        <f t="shared" si="727"/>
        <v>1302.2306518363998</v>
      </c>
      <c r="BZ535" s="1113" t="s">
        <v>569</v>
      </c>
      <c r="CA535" s="450"/>
      <c r="CB535" s="421">
        <f>IF($P535="","N/A",IF($P535=-1,INDEX('卡片raw data'!BE:BE,MATCH($D535,'卡片raw data'!$F:$F,)),0)+IF($L535="party卡",IF($P535=5,INDEX('卡片raw data'!BK:BK,MATCH($D535,'卡片raw data'!$F:$F,)),IF($P535&gt;=3,INDEX('卡片raw data'!BJ:BJ,MATCH($D535,'卡片raw data'!$F:$F,)),INDEX('卡片raw data'!BI:BI,MATCH($D535,'卡片raw data'!$F:$F,)))),IF(OR(AND($F535="UR",$P535=0),AND($F535="SR",$P535&gt;=0,$P535&lt;=2),AND($F535="R",$P535&gt;=0,$P535&lt;4)),INDEX('卡片raw data'!BG:BG,MATCH($D535,'卡片raw data'!$F:$F,)),0)+IF(OR(AND($F535="UR",$P535&gt;=1,$P535&lt;=4),AND($F535="SR",$P535&lt;=4,$P535&gt;=3),AND($F535="R",$P535=4)),INDEX('卡片raw data'!BH:BH,MATCH($D535,'卡片raw data'!$F:$F,)),0)+IF($P535=5,INDEX('卡片raw data'!BI:BI,MATCH($D535,'卡片raw data'!$F:$F,)),0)))</f>
        <v>0</v>
      </c>
      <c r="CC535" s="424">
        <f t="shared" si="728"/>
        <v>0</v>
      </c>
      <c r="CD535" s="420">
        <f>IF(BZ535="ap",CB535*(1-$FI$26)*$FB$5/$FB$11*(+IF(CA535="全员",$FA$24,0)+IF(CA535="同作战",$FA$24,0)+IF(CA535="仲间",$FA$24*2/3,0)+IF(CA535="同属性",$FA$24*$FA$37/3,0)+IF(CA535="同年级",$FA$24*$FA$40/3,0)+IF(CA535="同学校",$FA$24*$FA$43/3,0)+IF(CA535="同小队",$FA$24*$FA$46/3,0)+IF(CA535="同type",$FA$24*INDEX($FB$49:$FB$52,MATCH(X535,$FA$49:$FA$52,))/3,0)+IF(CA535="自身",#REF!/3,0)),0)+IF(BZ535="te",CB535*(1-$FI$27)*($FA$20-1)*$FB$7/$FB$13*(+IF(CA535="全员",$FA$19*$FA$24/(1+($FA$20-1)*$FA$19),0)+IF(CA535="同作战",$FA$19*$FA$24/(1+($FA$20-1)*$FA$19),0)+IF(CA535="仲间",$FA$19*$FA$24*2/3/(1+($FA$20-1)*$FA$19),0)+IF(CA535="同属性",$FA$19*$FA$24*$FA$37/3/(1+($FA$20-1)*$FA$19),0)+IF(CA535="同年级",$FA$19*$FA$24*$FA$40/3/(1+($FA$20-1)*$FA$19),0)+IF(CA535="同学校",$FA$19*$FA$24*$FA$43/3/(1+($FA$20-1)*$FA$19),0)+IF(CA535="同小队",$FA$19*$FA$24*$FA$46/3/(1+($FA$20-1)*$FA$19),0)+IF(CA535="同type",$FA$19*$FA$24*INDEX($FB$49:$FB$52,MATCH(X535,$FA$49:$FA$52,))/3/(1+($FA$20-1)*$FA$19),0)+IF(CA535="自身",$FA$19*#REF!/3/(1+(BH535-1)*$BD535),0)),0)</f>
        <v>0</v>
      </c>
      <c r="CE535" s="420">
        <f t="shared" si="729"/>
        <v>0</v>
      </c>
      <c r="CF535" s="436">
        <f t="shared" si="730"/>
        <v>0</v>
      </c>
      <c r="CG535" s="423">
        <f t="shared" si="731"/>
        <v>0</v>
      </c>
      <c r="CH535" s="433">
        <f t="shared" si="732"/>
        <v>0</v>
      </c>
      <c r="CI535" s="1113" t="s">
        <v>170</v>
      </c>
      <c r="CJ535" s="1114">
        <v>0.3</v>
      </c>
      <c r="CK535" s="1115" t="s">
        <v>4393</v>
      </c>
      <c r="CL535" s="1115" t="s">
        <v>4394</v>
      </c>
      <c r="CM535" s="1119">
        <v>0.18</v>
      </c>
      <c r="CN535" s="1115">
        <v>10</v>
      </c>
      <c r="CO535" s="1115"/>
      <c r="CP535" s="1118">
        <f t="shared" si="733"/>
        <v>1.9285714285714284E-3</v>
      </c>
      <c r="CQ535" s="1118">
        <f t="shared" si="734"/>
        <v>2.9999999999999996E-3</v>
      </c>
      <c r="CR535" s="1118">
        <f t="shared" si="735"/>
        <v>1.9285714285714288E-3</v>
      </c>
      <c r="CS535" s="442">
        <f t="shared" si="736"/>
        <v>0</v>
      </c>
      <c r="CT535" s="432">
        <f t="shared" si="737"/>
        <v>27.84375</v>
      </c>
      <c r="CU535" s="1101">
        <f t="shared" si="738"/>
        <v>25.071428571428569</v>
      </c>
      <c r="CV535" s="1108">
        <f t="shared" si="768"/>
        <v>29.899999999999991</v>
      </c>
      <c r="CW535" s="420">
        <f t="shared" si="739"/>
        <v>25.071428571428573</v>
      </c>
      <c r="CX535" s="420">
        <f t="shared" si="740"/>
        <v>25.071428571428569</v>
      </c>
      <c r="CY535" s="433">
        <f t="shared" si="741"/>
        <v>25.071428571428573</v>
      </c>
      <c r="CZ535" s="437"/>
      <c r="DA535" s="438"/>
      <c r="DB535" s="439" t="s">
        <v>569</v>
      </c>
      <c r="DC535" s="439"/>
      <c r="DD535" s="443"/>
      <c r="DE535" s="411"/>
      <c r="DF535" s="411"/>
      <c r="DG535" s="1116">
        <f t="shared" si="742"/>
        <v>0</v>
      </c>
      <c r="DH535" s="1116">
        <f t="shared" si="743"/>
        <v>0</v>
      </c>
      <c r="DI535" s="1116">
        <f t="shared" si="744"/>
        <v>0</v>
      </c>
      <c r="DJ535" s="442">
        <f t="shared" si="745"/>
        <v>0</v>
      </c>
      <c r="DK535" s="432">
        <f t="shared" si="746"/>
        <v>0</v>
      </c>
      <c r="DL535" s="424">
        <f t="shared" si="747"/>
        <v>0</v>
      </c>
      <c r="DM535" s="420">
        <f t="shared" si="748"/>
        <v>0</v>
      </c>
      <c r="DN535" s="420">
        <f t="shared" si="749"/>
        <v>0</v>
      </c>
      <c r="DO535" s="420">
        <f t="shared" si="750"/>
        <v>0</v>
      </c>
      <c r="DP535" s="433">
        <f t="shared" si="751"/>
        <v>0</v>
      </c>
      <c r="DQ535" s="1113" t="s">
        <v>2143</v>
      </c>
      <c r="DR535" s="1120">
        <f t="shared" si="769"/>
        <v>0.33</v>
      </c>
      <c r="DS535" s="1124">
        <v>5</v>
      </c>
      <c r="DT535" s="1124" t="s">
        <v>2127</v>
      </c>
      <c r="DU535" s="1093" t="s">
        <v>2145</v>
      </c>
      <c r="DV535" s="1098">
        <f>IF($P535="","N/A",IF(P535=-1,INDEX('卡片raw data'!AN:AN,MATCH(D535,'卡片raw data'!$F:$F,)),0)+IF(AND(L535&lt;&gt;"party卡",P535&lt;=2,P535&gt;=0),INDEX('卡片raw data'!AP:AP,MATCH(D535,'卡片raw data'!$F:$F,)),0)+IF(OR(AND(L535="party卡",P535&lt;=1),AND(P535&lt;=4,L535&lt;&gt;"party卡",P535&gt;=3)),INDEX('卡片raw data'!AQ:AQ,MATCH(D535,'卡片raw data'!$F:$F,)),0)+IF(OR(P535=5,AND(L535="party卡",P535&gt;=2)),INDEX('卡片raw data'!AR:AR,MATCH(D535,'卡片raw data'!$F:$F,)),0))</f>
        <v>0.32</v>
      </c>
      <c r="DW535" s="1098">
        <f t="shared" si="752"/>
        <v>0.33</v>
      </c>
      <c r="DX535" s="1098">
        <f t="shared" si="753"/>
        <v>0.33</v>
      </c>
      <c r="DY535" s="1098">
        <f t="shared" si="754"/>
        <v>0.17600000000000002</v>
      </c>
      <c r="DZ535" s="1098">
        <f t="shared" si="755"/>
        <v>0.15224000000000001</v>
      </c>
      <c r="EA535" s="421">
        <f t="shared" si="756"/>
        <v>0</v>
      </c>
      <c r="EB535" s="445">
        <f t="shared" si="757"/>
        <v>0</v>
      </c>
      <c r="EC535" s="424">
        <f t="shared" si="758"/>
        <v>2288.0000000000005</v>
      </c>
      <c r="ED535" s="420">
        <f t="shared" si="759"/>
        <v>1517.3253333333332</v>
      </c>
      <c r="EE535" s="433">
        <f t="shared" si="683"/>
        <v>2288.0000000000005</v>
      </c>
      <c r="EF535" s="1113" t="s">
        <v>569</v>
      </c>
      <c r="EG535" s="444">
        <f t="shared" si="770"/>
        <v>0.33</v>
      </c>
      <c r="EH535" s="450"/>
      <c r="EI535" s="1124"/>
      <c r="EJ535" s="1124"/>
      <c r="EK535" s="420">
        <f>IF($P535="","N/A",IF(P535=-1,INDEX('卡片raw data'!AS:AS,MATCH(D535,'卡片raw data'!$F:$F,)),0)+IF(AND(L535&lt;&gt;"party卡",P535&lt;=2,P535&gt;=0),INDEX('卡片raw data'!AU:AU,MATCH(D535,'卡片raw data'!$F:$F,)),0)+IF(OR(AND(L535="party卡",P535&lt;=1),AND(P535&lt;=4,L535&lt;&gt;"party卡",P535&gt;=3)),INDEX('卡片raw data'!AV:AV,MATCH(D535,'卡片raw data'!$F:$F,)),0)+IF(OR(P535=5,AND(L535="party卡",P535&gt;=2)),INDEX('卡片raw data'!AW:AW,MATCH(D535,'卡片raw data'!$F:$F,)),0))</f>
        <v>0</v>
      </c>
      <c r="EL535" s="1098">
        <f t="shared" si="760"/>
        <v>0.33</v>
      </c>
      <c r="EM535" s="1098">
        <f t="shared" si="761"/>
        <v>0.33</v>
      </c>
      <c r="EN535" s="1097">
        <f t="shared" si="762"/>
        <v>0</v>
      </c>
      <c r="EO535" s="1097">
        <f t="shared" si="763"/>
        <v>0</v>
      </c>
      <c r="EP535" s="421">
        <f t="shared" si="764"/>
        <v>0</v>
      </c>
      <c r="EQ535" s="445">
        <f t="shared" si="765"/>
        <v>0</v>
      </c>
      <c r="ER535" s="424">
        <f t="shared" si="766"/>
        <v>0</v>
      </c>
      <c r="ES535" s="420">
        <f t="shared" si="767"/>
        <v>0</v>
      </c>
      <c r="ET535" s="446">
        <f t="shared" si="684"/>
        <v>0</v>
      </c>
    </row>
    <row r="536" spans="2:150" ht="16.5" customHeight="1">
      <c r="B536" s="448" t="str">
        <f>INDEX('卡片raw data'!B:B,MATCH($D536,'卡片raw data'!$F:$F,))</f>
        <v>aa果</v>
      </c>
      <c r="C536" s="449" t="s">
        <v>4373</v>
      </c>
      <c r="D536" s="408">
        <v>533</v>
      </c>
      <c r="E536" s="477">
        <v>400012004</v>
      </c>
      <c r="F536" s="409" t="str">
        <f>INDEX('卡片raw data'!C:C,MATCH($D536,'卡片raw data'!$F:$F,))</f>
        <v>SR</v>
      </c>
      <c r="G536" s="1094" t="s">
        <v>4388</v>
      </c>
      <c r="H536" s="411">
        <f>IFERROR(INDEX(绊状态确认!C:C,MATCH($G536,绊状态确认!$B:$B,)),"")</f>
        <v>1</v>
      </c>
      <c r="I536" s="450" t="str">
        <f>IFERROR(INDEX(绊状态确认!D:D,MATCH($G536,绊状态确认!$B:$B,)),"")</f>
        <v>缪</v>
      </c>
      <c r="J536" s="450" t="str">
        <f>IFERROR(INDEX(绊状态确认!E:E,MATCH($G536,绊状态确认!$B:$B,)),"")</f>
        <v>2年级</v>
      </c>
      <c r="K536" s="451" t="str">
        <f>IFERROR(INDEX(绊状态确认!F:F,MATCH($G536,绊状态确认!$B:$B,)),"")</f>
        <v>Printemps</v>
      </c>
      <c r="L536" s="414" t="str">
        <f>INDEX('卡片raw data'!E:E,MATCH($D536,'卡片raw data'!$F:$F,))</f>
        <v>卡池卡</v>
      </c>
      <c r="M536" s="478">
        <v>44443</v>
      </c>
      <c r="N536" s="479">
        <v>47</v>
      </c>
      <c r="O536" s="410" t="str">
        <f>INDEX('卡片raw data'!D:D,MATCH($D536,'卡片raw data'!$F:$F,))</f>
        <v>vo</v>
      </c>
      <c r="P536" s="1126">
        <v>5</v>
      </c>
      <c r="Q536" s="418">
        <f t="shared" si="688"/>
        <v>41789.910519673998</v>
      </c>
      <c r="R536" s="419">
        <f t="shared" si="689"/>
        <v>0.48499999999999999</v>
      </c>
      <c r="S536" s="420">
        <f t="shared" si="690"/>
        <v>17717.246578408456</v>
      </c>
      <c r="T536" s="421">
        <f t="shared" si="691"/>
        <v>0.88500000000000001</v>
      </c>
      <c r="U536" s="422">
        <f t="shared" si="692"/>
        <v>-12.962368434987145</v>
      </c>
      <c r="V536" s="423">
        <f t="shared" si="693"/>
        <v>41445.624281853568</v>
      </c>
      <c r="W536" s="424">
        <f t="shared" si="694"/>
        <v>4611.3275158365404</v>
      </c>
      <c r="X536" s="419">
        <f t="shared" si="695"/>
        <v>5.2999999999999999E-2</v>
      </c>
      <c r="Y536" s="420">
        <f t="shared" si="696"/>
        <v>960.38221242127383</v>
      </c>
      <c r="Z536" s="425">
        <f t="shared" si="697"/>
        <v>12.037631565012855</v>
      </c>
      <c r="AA536" s="426">
        <f t="shared" si="698"/>
        <v>5571.7097282578143</v>
      </c>
      <c r="AB536" s="424">
        <f t="shared" si="699"/>
        <v>8367.762088441541</v>
      </c>
      <c r="AC536" s="427">
        <f t="shared" si="700"/>
        <v>9.7000000000000003E-2</v>
      </c>
      <c r="AD536" s="428">
        <f t="shared" si="701"/>
        <v>-3.8207812500000026E-3</v>
      </c>
      <c r="AE536" s="516">
        <f t="shared" si="702"/>
        <v>-12.27536231884058</v>
      </c>
      <c r="AF536" s="1130">
        <f t="shared" si="703"/>
        <v>0</v>
      </c>
      <c r="AG536" s="420">
        <f t="shared" si="704"/>
        <v>0</v>
      </c>
      <c r="AH536" s="420">
        <f t="shared" si="705"/>
        <v>0</v>
      </c>
      <c r="AI536" s="1097">
        <f t="shared" si="706"/>
        <v>0</v>
      </c>
      <c r="AJ536" s="420">
        <f t="shared" si="707"/>
        <v>0</v>
      </c>
      <c r="AK536" s="518">
        <f t="shared" si="708"/>
        <v>0</v>
      </c>
      <c r="AL536" s="429">
        <f>IF($P536="","N/A",(IF($P536=-1,INDEX('卡片raw data'!S:S,MATCH($D536,'卡片raw data'!$F:$F,)),0)+IF($P536=0,INDEX('卡片raw data'!V:V,MATCH($D536,'卡片raw data'!$F:$F,)),0)+IF($P536=1,INDEX('卡片raw data'!Y:Y,MATCH($D536,'卡片raw data'!$F:$F,)),0)+IF($P536=2,INDEX('卡片raw data'!AB:AB,MATCH($D536,'卡片raw data'!$F:$F,)),0)+IF($P536=3,INDEX('卡片raw data'!AE:AE,MATCH($D536,'卡片raw data'!$F:$F,)),0)+IF($P536=4,INDEX('卡片raw data'!AH:AH,MATCH($D536,'卡片raw data'!$F:$F,)),0)+IF($P536=5,INDEX('卡片raw data'!AK:AK,MATCH($D536,'卡片raw data'!$F:$F,)),0)+INDEX('卡片raw data'!S:S,MATCH($D536,'卡片raw data'!$F:$F,))*(IF($F536="UR",0.04,0.033))*(IF($F536="UR",INDEX(绊状态确认!$S:$S,MATCH($G536,绊状态确认!$B:$B,))/2-40)+IF($F536="SR",INDEX(绊状态确认!$R:$R,MATCH($G536,绊状态确认!$B:$B,))/4-15))+IF($F536="R",INDEX(绊状态确认!$Q:$Q,MATCH($G536,绊状态确认!$B:$B,))/6-40/6)))*(INDEX(绊状态确认!$H:$H,MATCH($G536,绊状态确认!$B:$B,))+INDEX(绊状态确认!J:J,MATCH($G536,绊状态确认!$B:$B,)))</f>
        <v>8798.5133615999985</v>
      </c>
      <c r="AM536" s="429">
        <f>IF($P536="","N/A",(IF($P536=-1,INDEX('卡片raw data'!T:T,MATCH($D536,'卡片raw data'!$F:$F,)),0)+IF($P536=0,INDEX('卡片raw data'!W:W,MATCH($D536,'卡片raw data'!$F:$F,)),0)+IF($P536=1,INDEX('卡片raw data'!Z:Z,MATCH($D536,'卡片raw data'!$F:$F,)),0)+IF($P536=2,INDEX('卡片raw data'!AC:AC,MATCH($D536,'卡片raw data'!$F:$F,)),0)+IF($P536=3,INDEX('卡片raw data'!AF:AF,MATCH($D536,'卡片raw data'!$F:$F,)),0)+IF($P536=4,INDEX('卡片raw data'!AI:AI,MATCH($D536,'卡片raw data'!$F:$F,)),0)+IF($P536=5,INDEX('卡片raw data'!AL:AL,MATCH($D536,'卡片raw data'!$F:$F,)),0)+INDEX('卡片raw data'!T:T,MATCH($D536,'卡片raw data'!$F:$F,))*(IF($F536="UR",0.04,0.033))*(IF($F536="UR",INDEX(绊状态确认!$S:$S,MATCH($G536,绊状态确认!$B:$B,))/2-40)+IF($F536="SR",INDEX(绊状态确认!$R:$R,MATCH($G536,绊状态确认!$B:$B,))/4-15))+IF($F536="R",INDEX(绊状态确认!$Q:$Q,MATCH($G536,绊状态确认!$B:$B,))/6-40/6)))*(INDEX(绊状态确认!$H:$H,MATCH($G536,绊状态确认!$B:$B,))+INDEX(绊状态确认!K:K,MATCH($G536,绊状态确认!$B:$B,)))</f>
        <v>6249.9068087999995</v>
      </c>
      <c r="AN536" s="429">
        <f>IF($P536="","N/A",(IF($P536=-1,INDEX('卡片raw data'!U:U,MATCH($D536,'卡片raw data'!$F:$F,)),0)+IF($P536=0,INDEX('卡片raw data'!X:X,MATCH($D536,'卡片raw data'!$F:$F,)),0)+IF($P536=1,INDEX('卡片raw data'!AA:AA,MATCH($D536,'卡片raw data'!$F:$F,)),0)+IF($P536=2,INDEX('卡片raw data'!AD:AD,MATCH($D536,'卡片raw data'!$F:$F,)),0)+IF($P536=3,INDEX('卡片raw data'!AG:AG,MATCH($D536,'卡片raw data'!$F:$F,)),0)+IF($P536=4,INDEX('卡片raw data'!AJ:AJ,MATCH($D536,'卡片raw data'!$F:$F,)),0)+IF($P536=5,INDEX('卡片raw data'!AM:AM,MATCH($D536,'卡片raw data'!$F:$F,)),0)+INDEX('卡片raw data'!U:U,MATCH($D536,'卡片raw data'!$F:$F,))*(IF($F536="UR",0.04,0.033))*(IF($F536="UR",INDEX(绊状态确认!$S:$S,MATCH($G536,绊状态确认!$B:$B,))/2-40)+IF($F536="SR",INDEX(绊状态确认!$R:$R,MATCH($G536,绊状态确认!$B:$B,))/4-15))+IF($F536="R",INDEX(绊状态确认!$Q:$Q,MATCH($G536,绊状态确认!$B:$B,))/6-40/6)))*(INDEX(绊状态确认!$H:$H,MATCH($G536,绊状态确认!$B:$B,))+INDEX(绊状态确认!L:L,MATCH($G536,绊状态确认!$B:$B,)))</f>
        <v>8105.7457391999997</v>
      </c>
      <c r="AO536" s="430">
        <f t="shared" si="709"/>
        <v>1</v>
      </c>
      <c r="AP536" s="556">
        <f>1+(INDEX(绊状态确认!$T:$T,MATCH($G536,绊状态确认!$B:$B,))+0.2)*$AO536</f>
        <v>1.3</v>
      </c>
      <c r="AQ536" s="431">
        <f t="shared" si="710"/>
        <v>26346.097574199997</v>
      </c>
      <c r="AR536" s="420">
        <f>(AM536*(1+$EX$9)+$EX$35)*(1+(INDEX(绊状态确认!$T:$T,MATCH($G536,绊状态确认!$B:$B,))+0.2)*AO536)*IF(J536=$FF$17,1+$FE$17,1)*IF(I536=$FF$14,1+$FE$14,1)</f>
        <v>11235.122794011999</v>
      </c>
      <c r="AS536" s="420">
        <f>(AN536*(1+$EX$10)+$EX$36)*(1+(INDEX(绊状态确认!$T:$T,MATCH($G536,绊状态确认!$B:$B,))+0.2)*AO536)*IF(J536=$FF$17,1+$FE$17,1)*IF(I536=$FF$14,1+$FE$14,1)</f>
        <v>16174.089880103998</v>
      </c>
      <c r="AT536" s="412">
        <f>IF(AND(INDEX('卡片raw data'!AK:AK,MATCH($D536,'卡片raw data'!$F:$F,))&lt;INDEX('卡片raw data'!AM:AM,MATCH($D536,'卡片raw data'!$F:$F,)),INDEX('卡片raw data'!AL:AL,MATCH($D536,'卡片raw data'!$F:$F,))&lt;INDEX('卡片raw data'!AM:AM,MATCH($D536,'卡片raw data'!$F:$F,))),1,0)</f>
        <v>0</v>
      </c>
      <c r="AU536" s="421">
        <f>MIN(AT536*0.15+AS536*0.00003+INDEX(绊状态确认!M:M,MATCH($G536,绊状态确认!$B:$B,)),1)</f>
        <v>0.51522269640312002</v>
      </c>
      <c r="AV536" s="432">
        <f>(INDEX(绊状态确认!$N:$N,MATCH($G536,绊状态确认!$B:$B,))+1.5)*$EW$21</f>
        <v>2.6599999999999997</v>
      </c>
      <c r="AW536" s="424">
        <f t="shared" si="711"/>
        <v>25385.206814170491</v>
      </c>
      <c r="AX536" s="420">
        <f t="shared" si="712"/>
        <v>960.38221242127418</v>
      </c>
      <c r="AY536" s="433">
        <f t="shared" si="713"/>
        <v>26345.589026591766</v>
      </c>
      <c r="AZ536" s="429">
        <f t="shared" si="714"/>
        <v>19757.101055119998</v>
      </c>
      <c r="BA536" s="431">
        <f t="shared" si="715"/>
        <v>23708.521266143998</v>
      </c>
      <c r="BB536" s="420">
        <f>(AM536*(1+$FB$9)+$FB$35)*(1+(INDEX(绊状态确认!$T:$T,MATCH($G536,绊状态确认!$B:$B,))+0.2)*AO536)*IF(J536=$FF$17,1+$FE$17,1)*IF(I536=$FF$14,1+$FE$14,1)*(1+$FE$15)</f>
        <v>11235.122794011999</v>
      </c>
      <c r="BC536" s="420">
        <f>(AN536*(1+$FB$10)+$FB$36)*(1+(INDEX(绊状态确认!$T:$T,MATCH($G536,绊状态确认!$B:$B,))+0.2)*AO536)*IF(J536=$FF$17,1+$FE$17,1)*IF(I536=$FF$14,1+$FE$14,1)*(1+$FE$15)</f>
        <v>16174.089880103998</v>
      </c>
      <c r="BD536" s="427">
        <f>MIN(AT536*0.15+BC536*0.00003+INDEX(绊状态确认!M:M,MATCH($G536,绊状态确认!$B:$B,)),1)</f>
        <v>0.51522269640312002</v>
      </c>
      <c r="BE536" s="432">
        <f>(INDEX(绊状态确认!$N:$N,MATCH($G536,绊状态确认!$B:$B,))+1.5)</f>
        <v>1.9</v>
      </c>
      <c r="BF536" s="645">
        <f t="array" ref="BF536">SUMPRODUCT(IF(AZ536*AP536*$FI$16:$FI$23*$FA$22&gt;=$FI$24,$FI$24,AZ536*AP536*$FI$16:$FI$23*$FA$22),$FJ$16:$FJ$23)</f>
        <v>39296.87399863368</v>
      </c>
      <c r="BG536" s="453">
        <f t="array" ref="BG536">SUMPRODUCT(IF(BE536*AZ536*AP536*$FI$16:$FI$23*$FA$22&gt;=$FI$24,$FI$24,BE536*AZ536*AP536*$FI$16:$FI$23*$FA$22),$FJ$16:$FJ$23)</f>
        <v>59856.004752737572</v>
      </c>
      <c r="BH536" s="433">
        <f t="shared" si="716"/>
        <v>16629.801593822467</v>
      </c>
      <c r="BI536" s="434">
        <f>IF(O536="vo",$EW$26/$EW$24*0.05,0)+IF(O536="sk",-$EW$26/$EW$24*(0.05-INDEX(绊状态确认!W:W,MATCH($G536,绊状态确认!$B:$B,)))+0.05*$EW$28,0)+IF(O536="sp",0.05*$EW$32*$EW$30*(1-$EW$33)-(0.05-INDEX(绊状态确认!V:V,MATCH($G536,绊状态确认!$B:$B,)))*$EW$28,0)+IF(O536="gd",-(0.05-INDEX(绊状态确认!X:X,MATCH($G536,绊状态确认!$B:$B,)))*$EW$32*$EW$30*(1-$EW$33),0)</f>
        <v>7726.3029277443748</v>
      </c>
      <c r="BJ536" s="420">
        <f>IF(O536="vo",0.05*(1-$FI$26)*$FA$24,0)+IF(O536="sk",-(0.05-INDEX(绊状态确认!W:W,MATCH($G536,绊状态确认!$B:$B,)))*(1-$FI$26)*$FA$24+0.05*$FA$26,0)+IF(O536="sp",0.05*$FA$32*$FA$27*(1-$FA$33)/$FA$30+0.05*$FA$29/$FA$69*$FA$27*(1-$FA$33)-(0.05-INDEX(绊状态确认!V:V,MATCH($G536,绊状态确认!$B:$B,)))*$FA$26,0)+IF(O536="gd",-(0.05-INDEX(绊状态确认!X:X,MATCH($G536,绊状态确认!$B:$B,)))*$FA$32*$FA$27*(1-$FA$33)/$FA$30-(0.05-INDEX(绊状态确认!X:X,MATCH($G536,绊状态确认!$B:$B,)))*$FA$29/$FA$69*$FA$27*(1-$FA$33),0)</f>
        <v>393.93433687500004</v>
      </c>
      <c r="BK536" s="433">
        <f>IF(O536="vo",$EW$26/$EW$24*0.05+$EW$26*(-HP($EW$62,$EW$65,$EW$64)+HP($EW$62,$EW$65,(1.05-INDEX(绊状态确认!U:U,MATCH($G536,绊状态确认!$B:$B,)))*$EW$64)),0)+IF(O536="sk",-$EW$26/$EW$24*(0.05-INDEX(绊状态确认!W:W,MATCH($G536,绊状态确认!$B:$B,)))+0.05*$EW$29,0)+IF(O536="sp",0.05*$EW$32*$EW$30*(1-$EW$33)-(0.05-INDEX(绊状态确认!V:V,MATCH($G536,绊状态确认!$B:$B,)))*$EW$29,0)+IF(O536="gd",-(0.05-INDEX(绊状态确认!X:X,MATCH($G536,绊状态确认!$B:$B,)))*$EW$32*$EW$30*(1-$EW$33)+$EW$26*(-HP($EW$62,$EW$65,$EW$64)+HP($EW$62,$EW$65,0.95*$EW$64)),0)</f>
        <v>6421.6344775026746</v>
      </c>
      <c r="BL536" s="434">
        <f t="shared" si="717"/>
        <v>-1083.3333333333333</v>
      </c>
      <c r="BM536" s="433">
        <f t="shared" si="718"/>
        <v>-830.55555555555543</v>
      </c>
      <c r="BN536" s="437">
        <f t="shared" si="719"/>
        <v>3</v>
      </c>
      <c r="BO536" s="1108">
        <f t="shared" si="720"/>
        <v>4507.7214871259994</v>
      </c>
      <c r="BP536" s="1127">
        <f t="shared" si="721"/>
        <v>221.34103209030098</v>
      </c>
      <c r="BQ536" s="1113" t="s">
        <v>132</v>
      </c>
      <c r="BR536" s="450" t="s">
        <v>168</v>
      </c>
      <c r="BS536" s="421">
        <f>IF($P536="","N/A",IF($P536=-1,INDEX('卡片raw data'!AX:AX,MATCH($D536,'卡片raw data'!$F:$F,)),0)+IF($L536="party卡",IF($P536=5,INDEX('卡片raw data'!BD:BD,MATCH($D536,'卡片raw data'!$F:$F,)),IF($P536&gt;=3,INDEX('卡片raw data'!BC:BC,MATCH($D536,'卡片raw data'!$F:$F,)),INDEX('卡片raw data'!BB:BB,MATCH($D536,'卡片raw data'!$F:$F,)))),IF(OR(AND($F536="UR",$P536=0),AND($F536="SR",$P536&gt;=0,$P536&lt;=2),AND($F536="R",$P536&gt;=0,$P536&lt;4)),INDEX('卡片raw data'!AZ:AZ,MATCH($D536,'卡片raw data'!$F:$F,)),0)+IF(OR(AND($F536="UR",$P536&gt;=1,$P536&lt;=4),AND($F536="SR",$P536&lt;=4,$P536&gt;=3),AND($F536="R",$P536=4)),INDEX('卡片raw data'!BA:BA,MATCH($D536,'卡片raw data'!$F:$F,)),0)+IF($P536=5,INDEX('卡片raw data'!BB:BB,MATCH($D536,'卡片raw data'!$F:$F,)),0)))</f>
        <v>0.05</v>
      </c>
      <c r="BT536" s="424">
        <f t="shared" si="722"/>
        <v>3756.4345726050001</v>
      </c>
      <c r="BU536" s="420">
        <f t="shared" si="723"/>
        <v>184.45086007525089</v>
      </c>
      <c r="BV536" s="420">
        <f t="shared" si="724"/>
        <v>0</v>
      </c>
      <c r="BW536" s="436">
        <f t="shared" si="725"/>
        <v>0</v>
      </c>
      <c r="BX536" s="423">
        <f t="shared" si="726"/>
        <v>3756.4345726050001</v>
      </c>
      <c r="BY536" s="433">
        <f t="shared" si="727"/>
        <v>0</v>
      </c>
      <c r="BZ536" s="1113" t="s">
        <v>569</v>
      </c>
      <c r="CA536" s="450"/>
      <c r="CB536" s="421">
        <f>IF($P536="","N/A",IF($P536=-1,INDEX('卡片raw data'!BE:BE,MATCH($D536,'卡片raw data'!$F:$F,)),0)+IF($L536="party卡",IF($P536=5,INDEX('卡片raw data'!BK:BK,MATCH($D536,'卡片raw data'!$F:$F,)),IF($P536&gt;=3,INDEX('卡片raw data'!BJ:BJ,MATCH($D536,'卡片raw data'!$F:$F,)),INDEX('卡片raw data'!BI:BI,MATCH($D536,'卡片raw data'!$F:$F,)))),IF(OR(AND($F536="UR",$P536=0),AND($F536="SR",$P536&gt;=0,$P536&lt;=2),AND($F536="R",$P536&gt;=0,$P536&lt;4)),INDEX('卡片raw data'!BG:BG,MATCH($D536,'卡片raw data'!$F:$F,)),0)+IF(OR(AND($F536="UR",$P536&gt;=1,$P536&lt;=4),AND($F536="SR",$P536&lt;=4,$P536&gt;=3),AND($F536="R",$P536=4)),INDEX('卡片raw data'!BH:BH,MATCH($D536,'卡片raw data'!$F:$F,)),0)+IF($P536=5,INDEX('卡片raw data'!BI:BI,MATCH($D536,'卡片raw data'!$F:$F,)),0)))</f>
        <v>0</v>
      </c>
      <c r="CC536" s="424">
        <f t="shared" si="728"/>
        <v>0</v>
      </c>
      <c r="CD536" s="420">
        <f>IF(BZ536="ap",CB536*(1-$FI$26)*$FB$5/$FB$11*(+IF(CA536="全员",$FA$24,0)+IF(CA536="同作战",$FA$24,0)+IF(CA536="仲间",$FA$24*2/3,0)+IF(CA536="同属性",$FA$24*$FA$37/3,0)+IF(CA536="同年级",$FA$24*$FA$40/3,0)+IF(CA536="同学校",$FA$24*$FA$43/3,0)+IF(CA536="同小队",$FA$24*$FA$46/3,0)+IF(CA536="同type",$FA$24*INDEX($FB$49:$FB$52,MATCH(X536,$FA$49:$FA$52,))/3,0)+IF(CA536="自身",#REF!/3,0)),0)+IF(BZ536="te",CB536*(1-$FI$27)*($FA$20-1)*$FB$7/$FB$13*(+IF(CA536="全员",$FA$19*$FA$24/(1+($FA$20-1)*$FA$19),0)+IF(CA536="同作战",$FA$19*$FA$24/(1+($FA$20-1)*$FA$19),0)+IF(CA536="仲间",$FA$19*$FA$24*2/3/(1+($FA$20-1)*$FA$19),0)+IF(CA536="同属性",$FA$19*$FA$24*$FA$37/3/(1+($FA$20-1)*$FA$19),0)+IF(CA536="同年级",$FA$19*$FA$24*$FA$40/3/(1+($FA$20-1)*$FA$19),0)+IF(CA536="同学校",$FA$19*$FA$24*$FA$43/3/(1+($FA$20-1)*$FA$19),0)+IF(CA536="同小队",$FA$19*$FA$24*$FA$46/3/(1+($FA$20-1)*$FA$19),0)+IF(CA536="同type",$FA$19*$FA$24*INDEX($FB$49:$FB$52,MATCH(X536,$FA$49:$FA$52,))/3/(1+($FA$20-1)*$FA$19),0)+IF(CA536="自身",$FA$19*#REF!/3/(1+(BH536-1)*$BD536),0)),0)</f>
        <v>0</v>
      </c>
      <c r="CE536" s="420">
        <f t="shared" si="729"/>
        <v>0</v>
      </c>
      <c r="CF536" s="436">
        <f t="shared" si="730"/>
        <v>0</v>
      </c>
      <c r="CG536" s="423">
        <f t="shared" si="731"/>
        <v>0</v>
      </c>
      <c r="CH536" s="433">
        <f t="shared" si="732"/>
        <v>0</v>
      </c>
      <c r="CI536" s="437" t="s">
        <v>162</v>
      </c>
      <c r="CJ536" s="438">
        <v>1</v>
      </c>
      <c r="CK536" s="439" t="s">
        <v>4403</v>
      </c>
      <c r="CL536" s="439" t="s">
        <v>4404</v>
      </c>
      <c r="CM536" s="443">
        <v>0.77</v>
      </c>
      <c r="CN536" s="1115"/>
      <c r="CO536" s="1115">
        <v>1</v>
      </c>
      <c r="CP536" s="1116">
        <f t="shared" si="733"/>
        <v>94.187298827764991</v>
      </c>
      <c r="CQ536" s="1116">
        <f t="shared" si="734"/>
        <v>131.84572104116748</v>
      </c>
      <c r="CR536" s="1117">
        <f t="shared" si="735"/>
        <v>94.187298827764991</v>
      </c>
      <c r="CS536" s="442">
        <f t="shared" si="736"/>
        <v>0</v>
      </c>
      <c r="CT536" s="432">
        <f t="shared" si="737"/>
        <v>0</v>
      </c>
      <c r="CU536" s="1101">
        <f t="shared" si="738"/>
        <v>103.60602871054149</v>
      </c>
      <c r="CV536" s="1108">
        <f t="shared" si="768"/>
        <v>131.84572104116748</v>
      </c>
      <c r="CW536" s="420">
        <f t="shared" si="739"/>
        <v>103.60602871054149</v>
      </c>
      <c r="CX536" s="420">
        <f t="shared" si="740"/>
        <v>103.60602871054149</v>
      </c>
      <c r="CY536" s="433">
        <f t="shared" si="741"/>
        <v>103.60602871054149</v>
      </c>
      <c r="CZ536" s="437"/>
      <c r="DA536" s="438"/>
      <c r="DB536" s="439" t="s">
        <v>569</v>
      </c>
      <c r="DC536" s="439"/>
      <c r="DD536" s="443"/>
      <c r="DE536" s="411"/>
      <c r="DF536" s="411"/>
      <c r="DG536" s="1116">
        <f t="shared" si="742"/>
        <v>0</v>
      </c>
      <c r="DH536" s="1116">
        <f t="shared" si="743"/>
        <v>0</v>
      </c>
      <c r="DI536" s="1116">
        <f t="shared" si="744"/>
        <v>0</v>
      </c>
      <c r="DJ536" s="442">
        <f t="shared" si="745"/>
        <v>0</v>
      </c>
      <c r="DK536" s="432">
        <f t="shared" si="746"/>
        <v>0</v>
      </c>
      <c r="DL536" s="424">
        <f t="shared" si="747"/>
        <v>0</v>
      </c>
      <c r="DM536" s="420">
        <f t="shared" si="748"/>
        <v>0</v>
      </c>
      <c r="DN536" s="420">
        <f t="shared" si="749"/>
        <v>0</v>
      </c>
      <c r="DO536" s="420">
        <f t="shared" si="750"/>
        <v>0</v>
      </c>
      <c r="DP536" s="433">
        <f t="shared" si="751"/>
        <v>0</v>
      </c>
      <c r="DQ536" s="437" t="s">
        <v>545</v>
      </c>
      <c r="DR536" s="1120">
        <f t="shared" si="769"/>
        <v>0.3</v>
      </c>
      <c r="DS536" s="450"/>
      <c r="DT536" s="1093" t="s">
        <v>132</v>
      </c>
      <c r="DU536" s="1124"/>
      <c r="DV536" s="1098">
        <f>IF($P536="","N/A",IF(P536=-1,INDEX('卡片raw data'!AN:AN,MATCH(D536,'卡片raw data'!$F:$F,)),0)+IF(AND(L536&lt;&gt;"party卡",P536&lt;=2,P536&gt;=0),INDEX('卡片raw data'!AP:AP,MATCH(D536,'卡片raw data'!$F:$F,)),0)+IF(OR(AND(L536="party卡",P536&lt;=1),AND(P536&lt;=4,L536&lt;&gt;"party卡",P536&gt;=3)),INDEX('卡片raw data'!AQ:AQ,MATCH(D536,'卡片raw data'!$F:$F,)),0)+IF(OR(P536=5,AND(L536="party卡",P536&gt;=2)),INDEX('卡片raw data'!AR:AR,MATCH(D536,'卡片raw data'!$F:$F,)),0))</f>
        <v>0.37</v>
      </c>
      <c r="DW536" s="1098">
        <f t="shared" si="752"/>
        <v>0.3</v>
      </c>
      <c r="DX536" s="1098">
        <f t="shared" si="753"/>
        <v>0.3</v>
      </c>
      <c r="DY536" s="1097">
        <f t="shared" si="754"/>
        <v>1267.2472933190197</v>
      </c>
      <c r="DZ536" s="1097">
        <f t="shared" si="755"/>
        <v>986.42859005982029</v>
      </c>
      <c r="EA536" s="421">
        <f t="shared" si="756"/>
        <v>0</v>
      </c>
      <c r="EB536" s="445">
        <f t="shared" si="757"/>
        <v>0</v>
      </c>
      <c r="EC536" s="424">
        <f t="shared" si="758"/>
        <v>1393.9720226509219</v>
      </c>
      <c r="ED536" s="420">
        <f t="shared" si="759"/>
        <v>986.42859005982029</v>
      </c>
      <c r="EE536" s="433">
        <f t="shared" si="683"/>
        <v>1393.9720226509219</v>
      </c>
      <c r="EF536" s="1113" t="s">
        <v>569</v>
      </c>
      <c r="EG536" s="1120">
        <f t="shared" si="770"/>
        <v>0.3</v>
      </c>
      <c r="EH536" s="450"/>
      <c r="EI536" s="1124"/>
      <c r="EJ536" s="1124"/>
      <c r="EK536" s="420">
        <f>IF($P536="","N/A",IF(P536=-1,INDEX('卡片raw data'!AS:AS,MATCH(D536,'卡片raw data'!$F:$F,)),0)+IF(AND(L536&lt;&gt;"party卡",P536&lt;=2,P536&gt;=0),INDEX('卡片raw data'!AU:AU,MATCH(D536,'卡片raw data'!$F:$F,)),0)+IF(OR(AND(L536="party卡",P536&lt;=1),AND(P536&lt;=4,L536&lt;&gt;"party卡",P536&gt;=3)),INDEX('卡片raw data'!AV:AV,MATCH(D536,'卡片raw data'!$F:$F,)),0)+IF(OR(P536=5,AND(L536="party卡",P536&gt;=2)),INDEX('卡片raw data'!AW:AW,MATCH(D536,'卡片raw data'!$F:$F,)),0))</f>
        <v>0</v>
      </c>
      <c r="EL536" s="1098">
        <f t="shared" si="760"/>
        <v>0.3</v>
      </c>
      <c r="EM536" s="1098">
        <f t="shared" si="761"/>
        <v>0.3</v>
      </c>
      <c r="EN536" s="1097">
        <f t="shared" si="762"/>
        <v>0</v>
      </c>
      <c r="EO536" s="1097">
        <f t="shared" si="763"/>
        <v>0</v>
      </c>
      <c r="EP536" s="421">
        <f t="shared" si="764"/>
        <v>0</v>
      </c>
      <c r="EQ536" s="445">
        <f t="shared" si="765"/>
        <v>0</v>
      </c>
      <c r="ER536" s="424">
        <f t="shared" si="766"/>
        <v>0</v>
      </c>
      <c r="ES536" s="420">
        <f t="shared" si="767"/>
        <v>0</v>
      </c>
      <c r="ET536" s="446">
        <f t="shared" si="684"/>
        <v>0</v>
      </c>
    </row>
    <row r="537" spans="2:150" ht="16.5" customHeight="1">
      <c r="B537" s="448" t="str">
        <f>INDEX('卡片raw data'!B:B,MATCH($D537,'卡片raw data'!$F:$F,))</f>
        <v>月夜绘</v>
      </c>
      <c r="C537" s="449" t="s">
        <v>4375</v>
      </c>
      <c r="D537" s="408">
        <v>534</v>
      </c>
      <c r="E537" s="477">
        <v>400023005</v>
      </c>
      <c r="F537" s="409" t="str">
        <f>INDEX('卡片raw data'!C:C,MATCH($D537,'卡片raw data'!$F:$F,))</f>
        <v>UR</v>
      </c>
      <c r="G537" s="1094" t="s">
        <v>4389</v>
      </c>
      <c r="H537" s="411">
        <f>IFERROR(INDEX(绊状态确认!C:C,MATCH($G537,绊状态确认!$B:$B,)),"")</f>
        <v>2</v>
      </c>
      <c r="I537" s="450" t="str">
        <f>IFERROR(INDEX(绊状态确认!D:D,MATCH($G537,绊状态确认!$B:$B,)),"")</f>
        <v>缪</v>
      </c>
      <c r="J537" s="450" t="str">
        <f>IFERROR(INDEX(绊状态确认!E:E,MATCH($G537,绊状态确认!$B:$B,)),"")</f>
        <v>3年级</v>
      </c>
      <c r="K537" s="451" t="str">
        <f>IFERROR(INDEX(绊状态确认!F:F,MATCH($G537,绊状态确认!$B:$B,)),"")</f>
        <v>BiBi</v>
      </c>
      <c r="L537" s="414" t="str">
        <f>INDEX('卡片raw data'!E:E,MATCH($D537,'卡片raw data'!$F:$F,))</f>
        <v>卡池卡</v>
      </c>
      <c r="M537" s="478">
        <v>44443</v>
      </c>
      <c r="N537" s="479">
        <v>47</v>
      </c>
      <c r="O537" s="410" t="str">
        <f>INDEX('卡片raw data'!D:D,MATCH($D537,'卡片raw data'!$F:$F,))</f>
        <v>vo</v>
      </c>
      <c r="P537" s="1126">
        <v>5</v>
      </c>
      <c r="Q537" s="418">
        <f t="shared" si="688"/>
        <v>74692.196852469977</v>
      </c>
      <c r="R537" s="419">
        <f t="shared" si="689"/>
        <v>0.86799999999999999</v>
      </c>
      <c r="S537" s="420">
        <f t="shared" si="690"/>
        <v>20946.288645365912</v>
      </c>
      <c r="T537" s="421">
        <f t="shared" si="691"/>
        <v>1.0469999999999999</v>
      </c>
      <c r="U537" s="422">
        <f t="shared" si="692"/>
        <v>-9.3816915558571452</v>
      </c>
      <c r="V537" s="423">
        <f t="shared" si="693"/>
        <v>74642.794118166508</v>
      </c>
      <c r="W537" s="424">
        <f t="shared" si="694"/>
        <v>5809.9521389623987</v>
      </c>
      <c r="X537" s="419">
        <f t="shared" si="695"/>
        <v>6.7000000000000004E-2</v>
      </c>
      <c r="Y537" s="420">
        <f t="shared" si="696"/>
        <v>1255.2657159382397</v>
      </c>
      <c r="Z537" s="425">
        <f t="shared" si="697"/>
        <v>15.618308444142855</v>
      </c>
      <c r="AA537" s="426">
        <f t="shared" si="698"/>
        <v>7065.2178549006385</v>
      </c>
      <c r="AB537" s="424">
        <f t="shared" si="699"/>
        <v>11665.182730362449</v>
      </c>
      <c r="AC537" s="427">
        <f t="shared" si="700"/>
        <v>0.13500000000000001</v>
      </c>
      <c r="AD537" s="428">
        <f t="shared" si="701"/>
        <v>0</v>
      </c>
      <c r="AE537" s="516">
        <f t="shared" si="702"/>
        <v>0</v>
      </c>
      <c r="AF537" s="1130">
        <f t="shared" si="703"/>
        <v>0</v>
      </c>
      <c r="AG537" s="420">
        <f t="shared" si="704"/>
        <v>0</v>
      </c>
      <c r="AH537" s="420">
        <f t="shared" si="705"/>
        <v>0</v>
      </c>
      <c r="AI537" s="1097">
        <f t="shared" si="706"/>
        <v>0</v>
      </c>
      <c r="AJ537" s="420">
        <f t="shared" si="707"/>
        <v>0</v>
      </c>
      <c r="AK537" s="518">
        <f t="shared" si="708"/>
        <v>0</v>
      </c>
      <c r="AL537" s="1106">
        <f>IF($P537="","N/A",(IF($P537=-1,INDEX('卡片raw data'!S:S,MATCH($D537,'卡片raw data'!$F:$F,)),0)+IF($P537=0,INDEX('卡片raw data'!V:V,MATCH($D537,'卡片raw data'!$F:$F,)),0)+IF($P537=1,INDEX('卡片raw data'!Y:Y,MATCH($D537,'卡片raw data'!$F:$F,)),0)+IF($P537=2,INDEX('卡片raw data'!AB:AB,MATCH($D537,'卡片raw data'!$F:$F,)),0)+IF($P537=3,INDEX('卡片raw data'!AE:AE,MATCH($D537,'卡片raw data'!$F:$F,)),0)+IF($P537=4,INDEX('卡片raw data'!AH:AH,MATCH($D537,'卡片raw data'!$F:$F,)),0)+IF($P537=5,INDEX('卡片raw data'!AK:AK,MATCH($D537,'卡片raw data'!$F:$F,)),0)+INDEX('卡片raw data'!S:S,MATCH($D537,'卡片raw data'!$F:$F,))*(IF($F537="UR",0.04,0.033))*(IF($F537="UR",INDEX(绊状态确认!$S:$S,MATCH($G537,绊状态确认!$B:$B,))/2-40)+IF($F537="SR",INDEX(绊状态确认!$R:$R,MATCH($G537,绊状态确认!$B:$B,))/4-15))+IF($F537="R",INDEX(绊状态确认!$Q:$Q,MATCH($G537,绊状态确认!$B:$B,))/6-40/6)))*(INDEX(绊状态确认!$H:$H,MATCH($G537,绊状态确认!$B:$B,))+INDEX(绊状态确认!J:J,MATCH($G537,绊状态确认!$B:$B,)))</f>
        <v>15505.496159999997</v>
      </c>
      <c r="AM537" s="1106">
        <f>IF($P537="","N/A",(IF($P537=-1,INDEX('卡片raw data'!T:T,MATCH($D537,'卡片raw data'!$F:$F,)),0)+IF($P537=0,INDEX('卡片raw data'!W:W,MATCH($D537,'卡片raw data'!$F:$F,)),0)+IF($P537=1,INDEX('卡片raw data'!Z:Z,MATCH($D537,'卡片raw data'!$F:$F,)),0)+IF($P537=2,INDEX('卡片raw data'!AC:AC,MATCH($D537,'卡片raw data'!$F:$F,)),0)+IF($P537=3,INDEX('卡片raw data'!AF:AF,MATCH($D537,'卡片raw data'!$F:$F,)),0)+IF($P537=4,INDEX('卡片raw data'!AI:AI,MATCH($D537,'卡片raw data'!$F:$F,)),0)+IF($P537=5,INDEX('卡片raw data'!AL:AL,MATCH($D537,'卡片raw data'!$F:$F,)),0)+INDEX('卡片raw data'!T:T,MATCH($D537,'卡片raw data'!$F:$F,))*(IF($F537="UR",0.04,0.033))*(IF($F537="UR",INDEX(绊状态确认!$S:$S,MATCH($G537,绊状态确认!$B:$B,))/2-40)+IF($F537="SR",INDEX(绊状态确认!$R:$R,MATCH($G537,绊状态确认!$B:$B,))/4-15))+IF($F537="R",INDEX(绊状态确认!$Q:$Q,MATCH($G537,绊状态确认!$B:$B,))/6-40/6)))*(INDEX(绊状态确认!$H:$H,MATCH($G537,绊状态确认!$B:$B,))+INDEX(绊状态确认!K:K,MATCH($G537,绊状态确认!$B:$B,)))</f>
        <v>8698.2328799999996</v>
      </c>
      <c r="AN537" s="1106">
        <f>IF($P537="","N/A",(IF($P537=-1,INDEX('卡片raw data'!U:U,MATCH($D537,'卡片raw data'!$F:$F,)),0)+IF($P537=0,INDEX('卡片raw data'!X:X,MATCH($D537,'卡片raw data'!$F:$F,)),0)+IF($P537=1,INDEX('卡片raw data'!AA:AA,MATCH($D537,'卡片raw data'!$F:$F,)),0)+IF($P537=2,INDEX('卡片raw data'!AD:AD,MATCH($D537,'卡片raw data'!$F:$F,)),0)+IF($P537=3,INDEX('卡片raw data'!AG:AG,MATCH($D537,'卡片raw data'!$F:$F,)),0)+IF($P537=4,INDEX('卡片raw data'!AJ:AJ,MATCH($D537,'卡片raw data'!$F:$F,)),0)+IF($P537=5,INDEX('卡片raw data'!AM:AM,MATCH($D537,'卡片raw data'!$F:$F,)),0)+INDEX('卡片raw data'!U:U,MATCH($D537,'卡片raw data'!$F:$F,))*(IF($F537="UR",0.04,0.033))*(IF($F537="UR",INDEX(绊状态确认!$S:$S,MATCH($G537,绊状态确认!$B:$B,))/2-40)+IF($F537="SR",INDEX(绊状态确认!$R:$R,MATCH($G537,绊状态确认!$B:$B,))/4-15))+IF($F537="R",INDEX(绊状态确认!$Q:$Q,MATCH($G537,绊状态确认!$B:$B,))/6-40/6)))*(INDEX(绊状态确认!$H:$H,MATCH($G537,绊状态确认!$B:$B,))+INDEX(绊状态确认!L:L,MATCH($G537,绊状态确认!$B:$B,)))</f>
        <v>13614.526559999998</v>
      </c>
      <c r="AO537" s="1107">
        <f t="shared" si="709"/>
        <v>1</v>
      </c>
      <c r="AP537" s="1131">
        <f>1+(INDEX(绊状态确认!$T:$T,MATCH($G537,绊状态确认!$B:$B,))+0.2)*$AO537</f>
        <v>1.3</v>
      </c>
      <c r="AQ537" s="1108">
        <f t="shared" si="710"/>
        <v>43951.927419999993</v>
      </c>
      <c r="AR537" s="1097">
        <f>(AM537*(1+$EX$9)+$EX$35)*(1+(INDEX(绊状态确认!$T:$T,MATCH($G537,绊状态确认!$B:$B,))+0.2)*AO537)*IF(J537=$FF$17,1+$FE$17,1)*IF(I537=$FF$14,1+$FE$14,1)</f>
        <v>14577.087881199999</v>
      </c>
      <c r="AS537" s="1097">
        <f>(AN537*(1+$EX$10)+$EX$36)*(1+(INDEX(绊状态确认!$T:$T,MATCH($G537,绊状态确认!$B:$B,))+0.2)*AO537)*IF(J537=$FF$17,1+$FE$17,1)*IF(I537=$FF$14,1+$FE$14,1)</f>
        <v>24409.717207199996</v>
      </c>
      <c r="AT537" s="1093">
        <f>IF(AND(INDEX('卡片raw data'!AK:AK,MATCH($D537,'卡片raw data'!$F:$F,))&lt;INDEX('卡片raw data'!AM:AM,MATCH($D537,'卡片raw data'!$F:$F,)),INDEX('卡片raw data'!AL:AL,MATCH($D537,'卡片raw data'!$F:$F,))&lt;INDEX('卡片raw data'!AM:AM,MATCH($D537,'卡片raw data'!$F:$F,))),1,0)</f>
        <v>0</v>
      </c>
      <c r="AU537" s="1098">
        <f>MIN(AT537*0.15+AS537*0.00003+INDEX(绊状态确认!M:M,MATCH($G537,绊状态确认!$B:$B,)),1)</f>
        <v>0.76229151621599989</v>
      </c>
      <c r="AV537" s="1109">
        <f>(INDEX(绊状态确认!$N:$N,MATCH($G537,绊状态确认!$B:$B,))+1.5)*$EW$21</f>
        <v>2.6599999999999997</v>
      </c>
      <c r="AW537" s="1101">
        <f t="shared" si="711"/>
        <v>51710.761802015993</v>
      </c>
      <c r="AX537" s="1097">
        <f t="shared" si="712"/>
        <v>1255.2657159382393</v>
      </c>
      <c r="AY537" s="1110">
        <f t="shared" si="713"/>
        <v>52966.02751795423</v>
      </c>
      <c r="AZ537" s="429">
        <f t="shared" si="714"/>
        <v>32835.717511999988</v>
      </c>
      <c r="BA537" s="431">
        <f t="shared" si="715"/>
        <v>39402.861014399983</v>
      </c>
      <c r="BB537" s="1097">
        <f>(AM537*(1+$FB$9)+$FB$35)*(1+(INDEX(绊状态确认!$T:$T,MATCH($G537,绊状态确认!$B:$B,))+0.2)*AO537)*IF(J537=$FF$17,1+$FE$17,1)*IF(I537=$FF$14,1+$FE$14,1)*(1+$FE$15)</f>
        <v>14577.087881199999</v>
      </c>
      <c r="BC537" s="1097">
        <f>(AN537*(1+$FB$10)+$FB$36)*(1+(INDEX(绊状态确认!$T:$T,MATCH($G537,绊状态确认!$B:$B,))+0.2)*AO537)*IF(J537=$FF$17,1+$FE$17,1)*IF(I537=$FF$14,1+$FE$14,1)*(1+$FE$15)</f>
        <v>24409.717207199996</v>
      </c>
      <c r="BD537" s="1104">
        <f>MIN(AT537*0.15+BC537*0.00003+INDEX(绊状态确认!M:M,MATCH($G537,绊状态确认!$B:$B,)),1)</f>
        <v>0.76229151621599989</v>
      </c>
      <c r="BE537" s="432">
        <f>(INDEX(绊状态确认!$N:$N,MATCH($G537,绊状态确认!$B:$B,))+1.5)</f>
        <v>1.9</v>
      </c>
      <c r="BF537" s="1139">
        <f t="array" ref="BF537">SUMPRODUCT(IF(AZ537*AP537*$FI$16:$FI$23*$FA$22&gt;=$FI$24,$FI$24,AZ537*AP537*$FI$16:$FI$23*$FA$22),$FJ$16:$FJ$23)</f>
        <v>58623.809365768</v>
      </c>
      <c r="BG537" s="1125">
        <f t="array" ref="BG537">SUMPRODUCT(IF(BE537*AZ537*AP537*$FI$16:$FI$23*$FA$22&gt;=$FI$24,$FI$24,BE537*AZ537*AP537*$FI$16:$FI$23*$FA$22),$FJ$16:$FJ$23)</f>
        <v>60000</v>
      </c>
      <c r="BH537" s="1110">
        <f t="shared" si="716"/>
        <v>19890.955936979659</v>
      </c>
      <c r="BI537" s="1111">
        <f>IF(O537="vo",$EW$26/$EW$24*0.05,0)+IF(O537="sk",-$EW$26/$EW$24*(0.05-INDEX(绊状态确认!W:W,MATCH($G537,绊状态确认!$B:$B,)))+0.05*$EW$28,0)+IF(O537="sp",0.05*$EW$32*$EW$30*(1-$EW$33)-(0.05-INDEX(绊状态确认!V:V,MATCH($G537,绊状态确认!$B:$B,)))*$EW$28,0)+IF(O537="gd",-(0.05-INDEX(绊状态确认!X:X,MATCH($G537,绊状态确认!$B:$B,)))*$EW$32*$EW$30*(1-$EW$33),0)</f>
        <v>7726.3029277443748</v>
      </c>
      <c r="BJ537" s="420">
        <f>IF(O537="vo",0.05*(1-$FI$26)*$FA$24,0)+IF(O537="sk",-(0.05-INDEX(绊状态确认!W:W,MATCH($G537,绊状态确认!$B:$B,)))*(1-$FI$26)*$FA$24+0.05*$FA$26,0)+IF(O537="sp",0.05*$FA$32*$FA$27*(1-$FA$33)/$FA$30+0.05*$FA$29/$FA$69*$FA$27*(1-$FA$33)-(0.05-INDEX(绊状态确认!V:V,MATCH($G537,绊状态确认!$B:$B,)))*$FA$26,0)+IF(O537="gd",-(0.05-INDEX(绊状态确认!X:X,MATCH($G537,绊状态确认!$B:$B,)))*$FA$32*$FA$27*(1-$FA$33)/$FA$30-(0.05-INDEX(绊状态确认!X:X,MATCH($G537,绊状态确认!$B:$B,)))*$FA$29/$FA$69*$FA$27*(1-$FA$33),0)</f>
        <v>393.93433687500004</v>
      </c>
      <c r="BK537" s="1110">
        <f>IF(O537="vo",$EW$26/$EW$24*0.05+$EW$26*(-HP($EW$62,$EW$65,$EW$64)+HP($EW$62,$EW$65,(1.05-INDEX(绊状态确认!U:U,MATCH($G537,绊状态确认!$B:$B,)))*$EW$64)),0)+IF(O537="sk",-$EW$26/$EW$24*(0.05-INDEX(绊状态确认!W:W,MATCH($G537,绊状态确认!$B:$B,)))+0.05*$EW$29,0)+IF(O537="sp",0.05*$EW$32*$EW$30*(1-$EW$33)-(0.05-INDEX(绊状态确认!V:V,MATCH($G537,绊状态确认!$B:$B,)))*$EW$29,0)+IF(O537="gd",-(0.05-INDEX(绊状态确认!X:X,MATCH($G537,绊状态确认!$B:$B,)))*$EW$32*$EW$30*(1-$EW$33)+$EW$26*(-HP($EW$62,$EW$65,$EW$64)+HP($EW$62,$EW$65,0.95*$EW$64)),0)</f>
        <v>6421.6344775026746</v>
      </c>
      <c r="BL537" s="1111">
        <f t="shared" si="717"/>
        <v>0</v>
      </c>
      <c r="BM537" s="1110">
        <f t="shared" si="718"/>
        <v>0</v>
      </c>
      <c r="BN537" s="1113">
        <f t="shared" si="719"/>
        <v>3</v>
      </c>
      <c r="BO537" s="1108">
        <f t="shared" si="720"/>
        <v>4507.7214871259994</v>
      </c>
      <c r="BP537" s="1127">
        <f t="shared" si="721"/>
        <v>221.34103209030098</v>
      </c>
      <c r="BQ537" s="1113" t="s">
        <v>132</v>
      </c>
      <c r="BR537" s="450" t="s">
        <v>171</v>
      </c>
      <c r="BS537" s="421">
        <f>IF($P537="","N/A",IF($P537=-1,INDEX('卡片raw data'!AX:AX,MATCH($D537,'卡片raw data'!$F:$F,)),0)+IF($L537="party卡",IF($P537=5,INDEX('卡片raw data'!BD:BD,MATCH($D537,'卡片raw data'!$F:$F,)),IF($P537&gt;=3,INDEX('卡片raw data'!BC:BC,MATCH($D537,'卡片raw data'!$F:$F,)),INDEX('卡片raw data'!BB:BB,MATCH($D537,'卡片raw data'!$F:$F,)))),IF(OR(AND($F537="UR",$P537=0),AND($F537="SR",$P537&gt;=0,$P537&lt;=2),AND($F537="R",$P537&gt;=0,$P537&lt;4)),INDEX('卡片raw data'!AZ:AZ,MATCH($D537,'卡片raw data'!$F:$F,)),0)+IF(OR(AND($F537="UR",$P537&gt;=1,$P537&lt;=4),AND($F537="SR",$P537&lt;=4,$P537&gt;=3),AND($F537="R",$P537=4)),INDEX('卡片raw data'!BA:BA,MATCH($D537,'卡片raw data'!$F:$F,)),0)+IF($P537=5,INDEX('卡片raw data'!BB:BB,MATCH($D537,'卡片raw data'!$F:$F,)),0)))</f>
        <v>5.1999999999999998E-2</v>
      </c>
      <c r="BT537" s="424">
        <f t="shared" si="722"/>
        <v>2604.4613036728001</v>
      </c>
      <c r="BU537" s="420">
        <f t="shared" si="723"/>
        <v>111.90018844565216</v>
      </c>
      <c r="BV537" s="420">
        <f t="shared" si="724"/>
        <v>1302.2306518363998</v>
      </c>
      <c r="BW537" s="436">
        <f t="shared" si="725"/>
        <v>0</v>
      </c>
      <c r="BX537" s="423">
        <f t="shared" si="726"/>
        <v>2604.4613036728001</v>
      </c>
      <c r="BY537" s="433">
        <f t="shared" si="727"/>
        <v>1302.2306518363998</v>
      </c>
      <c r="BZ537" s="1113" t="s">
        <v>569</v>
      </c>
      <c r="CA537" s="450"/>
      <c r="CB537" s="421">
        <f>IF($P537="","N/A",IF($P537=-1,INDEX('卡片raw data'!BE:BE,MATCH($D537,'卡片raw data'!$F:$F,)),0)+IF($L537="party卡",IF($P537=5,INDEX('卡片raw data'!BK:BK,MATCH($D537,'卡片raw data'!$F:$F,)),IF($P537&gt;=3,INDEX('卡片raw data'!BJ:BJ,MATCH($D537,'卡片raw data'!$F:$F,)),INDEX('卡片raw data'!BI:BI,MATCH($D537,'卡片raw data'!$F:$F,)))),IF(OR(AND($F537="UR",$P537=0),AND($F537="SR",$P537&gt;=0,$P537&lt;=2),AND($F537="R",$P537&gt;=0,$P537&lt;4)),INDEX('卡片raw data'!BG:BG,MATCH($D537,'卡片raw data'!$F:$F,)),0)+IF(OR(AND($F537="UR",$P537&gt;=1,$P537&lt;=4),AND($F537="SR",$P537&lt;=4,$P537&gt;=3),AND($F537="R",$P537=4)),INDEX('卡片raw data'!BH:BH,MATCH($D537,'卡片raw data'!$F:$F,)),0)+IF($P537=5,INDEX('卡片raw data'!BI:BI,MATCH($D537,'卡片raw data'!$F:$F,)),0)))</f>
        <v>0</v>
      </c>
      <c r="CC537" s="424">
        <f t="shared" si="728"/>
        <v>0</v>
      </c>
      <c r="CD537" s="420">
        <f>IF(BZ537="ap",CB537*(1-$FI$26)*$FB$5/$FB$11*(+IF(CA537="全员",$FA$24,0)+IF(CA537="同作战",$FA$24,0)+IF(CA537="仲间",$FA$24*2/3,0)+IF(CA537="同属性",$FA$24*$FA$37/3,0)+IF(CA537="同年级",$FA$24*$FA$40/3,0)+IF(CA537="同学校",$FA$24*$FA$43/3,0)+IF(CA537="同小队",$FA$24*$FA$46/3,0)+IF(CA537="同type",$FA$24*INDEX($FB$49:$FB$52,MATCH(X537,$FA$49:$FA$52,))/3,0)+IF(CA537="自身",#REF!/3,0)),0)+IF(BZ537="te",CB537*(1-$FI$27)*($FA$20-1)*$FB$7/$FB$13*(+IF(CA537="全员",$FA$19*$FA$24/(1+($FA$20-1)*$FA$19),0)+IF(CA537="同作战",$FA$19*$FA$24/(1+($FA$20-1)*$FA$19),0)+IF(CA537="仲间",$FA$19*$FA$24*2/3/(1+($FA$20-1)*$FA$19),0)+IF(CA537="同属性",$FA$19*$FA$24*$FA$37/3/(1+($FA$20-1)*$FA$19),0)+IF(CA537="同年级",$FA$19*$FA$24*$FA$40/3/(1+($FA$20-1)*$FA$19),0)+IF(CA537="同学校",$FA$19*$FA$24*$FA$43/3/(1+($FA$20-1)*$FA$19),0)+IF(CA537="同小队",$FA$19*$FA$24*$FA$46/3/(1+($FA$20-1)*$FA$19),0)+IF(CA537="同type",$FA$19*$FA$24*INDEX($FB$49:$FB$52,MATCH(X537,$FA$49:$FA$52,))/3/(1+($FA$20-1)*$FA$19),0)+IF(CA537="自身",$FA$19*#REF!/3/(1+(BH537-1)*$BD537),0)),0)</f>
        <v>0</v>
      </c>
      <c r="CE537" s="420">
        <f t="shared" si="729"/>
        <v>0</v>
      </c>
      <c r="CF537" s="436">
        <f t="shared" si="730"/>
        <v>0</v>
      </c>
      <c r="CG537" s="423">
        <f t="shared" si="731"/>
        <v>0</v>
      </c>
      <c r="CH537" s="433">
        <f t="shared" si="732"/>
        <v>0</v>
      </c>
      <c r="CI537" s="1113" t="s">
        <v>162</v>
      </c>
      <c r="CJ537" s="1114">
        <v>1</v>
      </c>
      <c r="CK537" s="439" t="s">
        <v>4395</v>
      </c>
      <c r="CL537" s="1115" t="s">
        <v>4396</v>
      </c>
      <c r="CM537" s="1119">
        <v>0.05</v>
      </c>
      <c r="CN537" s="1115" t="s">
        <v>1948</v>
      </c>
      <c r="CO537" s="1115"/>
      <c r="CP537" s="1118">
        <f t="shared" si="733"/>
        <v>2.6785714285714284E-2</v>
      </c>
      <c r="CQ537" s="1118">
        <f t="shared" si="734"/>
        <v>2.5000000000000001E-2</v>
      </c>
      <c r="CR537" s="1118">
        <f t="shared" si="735"/>
        <v>0</v>
      </c>
      <c r="CS537" s="442">
        <f t="shared" si="736"/>
        <v>0</v>
      </c>
      <c r="CT537" s="432">
        <f t="shared" si="737"/>
        <v>0</v>
      </c>
      <c r="CU537" s="1101">
        <f t="shared" si="738"/>
        <v>4552.9999395636496</v>
      </c>
      <c r="CV537" s="1108">
        <f t="shared" si="768"/>
        <v>196.96716843750002</v>
      </c>
      <c r="CW537" s="420">
        <f t="shared" si="739"/>
        <v>0</v>
      </c>
      <c r="CX537" s="420">
        <f t="shared" si="740"/>
        <v>4552.9999395636496</v>
      </c>
      <c r="CY537" s="433">
        <f t="shared" si="741"/>
        <v>0</v>
      </c>
      <c r="CZ537" s="437"/>
      <c r="DA537" s="438"/>
      <c r="DB537" s="439" t="s">
        <v>569</v>
      </c>
      <c r="DC537" s="439"/>
      <c r="DD537" s="443"/>
      <c r="DE537" s="411"/>
      <c r="DF537" s="411"/>
      <c r="DG537" s="1116">
        <f t="shared" si="742"/>
        <v>0</v>
      </c>
      <c r="DH537" s="1116">
        <f t="shared" si="743"/>
        <v>0</v>
      </c>
      <c r="DI537" s="1116">
        <f t="shared" si="744"/>
        <v>0</v>
      </c>
      <c r="DJ537" s="442">
        <f t="shared" si="745"/>
        <v>0</v>
      </c>
      <c r="DK537" s="432">
        <f t="shared" si="746"/>
        <v>0</v>
      </c>
      <c r="DL537" s="424">
        <f t="shared" si="747"/>
        <v>0</v>
      </c>
      <c r="DM537" s="420">
        <f t="shared" si="748"/>
        <v>0</v>
      </c>
      <c r="DN537" s="420">
        <f t="shared" si="749"/>
        <v>0</v>
      </c>
      <c r="DO537" s="420">
        <f t="shared" si="750"/>
        <v>0</v>
      </c>
      <c r="DP537" s="433">
        <f t="shared" si="751"/>
        <v>0</v>
      </c>
      <c r="DQ537" s="1113" t="s">
        <v>167</v>
      </c>
      <c r="DR537" s="1120">
        <f t="shared" si="769"/>
        <v>0.33</v>
      </c>
      <c r="DS537" s="1124">
        <v>5</v>
      </c>
      <c r="DT537" s="1093" t="s">
        <v>2075</v>
      </c>
      <c r="DU537" s="1093" t="s">
        <v>544</v>
      </c>
      <c r="DV537" s="1098">
        <f>IF($P537="","N/A",IF(P537=-1,INDEX('卡片raw data'!AN:AN,MATCH(D537,'卡片raw data'!$F:$F,)),0)+IF(AND(L537&lt;&gt;"party卡",P537&lt;=2,P537&gt;=0),INDEX('卡片raw data'!AP:AP,MATCH(D537,'卡片raw data'!$F:$F,)),0)+IF(OR(AND(L537="party卡",P537&lt;=1),AND(P537&lt;=4,L537&lt;&gt;"party卡",P537&gt;=3)),INDEX('卡片raw data'!AQ:AQ,MATCH(D537,'卡片raw data'!$F:$F,)),0)+IF(OR(P537=5,AND(L537="party卡",P537&gt;=2)),INDEX('卡片raw data'!AR:AR,MATCH(D537,'卡片raw data'!$F:$F,)),0))</f>
        <v>7.1999999999999995E-2</v>
      </c>
      <c r="DW537" s="1098">
        <f t="shared" si="752"/>
        <v>0.33</v>
      </c>
      <c r="DX537" s="1098">
        <f t="shared" si="753"/>
        <v>0.33</v>
      </c>
      <c r="DY537" s="1098">
        <f t="shared" si="754"/>
        <v>2.6399999999999996E-2</v>
      </c>
      <c r="DZ537" s="1098">
        <f t="shared" si="755"/>
        <v>1.9981499999999999E-2</v>
      </c>
      <c r="EA537" s="421">
        <f t="shared" si="756"/>
        <v>0</v>
      </c>
      <c r="EB537" s="445">
        <f t="shared" si="757"/>
        <v>0</v>
      </c>
      <c r="EC537" s="424">
        <f t="shared" si="758"/>
        <v>3589.9493923471459</v>
      </c>
      <c r="ED537" s="420">
        <f t="shared" si="759"/>
        <v>131.18998253779688</v>
      </c>
      <c r="EE537" s="433">
        <f t="shared" si="683"/>
        <v>3589.9493923471459</v>
      </c>
      <c r="EF537" s="1113" t="s">
        <v>569</v>
      </c>
      <c r="EG537" s="1120">
        <f t="shared" si="770"/>
        <v>0.33</v>
      </c>
      <c r="EH537" s="450"/>
      <c r="EI537" s="1124"/>
      <c r="EJ537" s="1124"/>
      <c r="EK537" s="420">
        <f>IF($P537="","N/A",IF(P537=-1,INDEX('卡片raw data'!AS:AS,MATCH(D537,'卡片raw data'!$F:$F,)),0)+IF(AND(L537&lt;&gt;"party卡",P537&lt;=2,P537&gt;=0),INDEX('卡片raw data'!AU:AU,MATCH(D537,'卡片raw data'!$F:$F,)),0)+IF(OR(AND(L537="party卡",P537&lt;=1),AND(P537&lt;=4,L537&lt;&gt;"party卡",P537&gt;=3)),INDEX('卡片raw data'!AV:AV,MATCH(D537,'卡片raw data'!$F:$F,)),0)+IF(OR(P537=5,AND(L537="party卡",P537&gt;=2)),INDEX('卡片raw data'!AW:AW,MATCH(D537,'卡片raw data'!$F:$F,)),0))</f>
        <v>0</v>
      </c>
      <c r="EL537" s="1098">
        <f t="shared" si="760"/>
        <v>0.33</v>
      </c>
      <c r="EM537" s="1098">
        <f t="shared" si="761"/>
        <v>0.33</v>
      </c>
      <c r="EN537" s="1097">
        <f t="shared" si="762"/>
        <v>0</v>
      </c>
      <c r="EO537" s="1097">
        <f t="shared" si="763"/>
        <v>0</v>
      </c>
      <c r="EP537" s="421">
        <f t="shared" si="764"/>
        <v>0</v>
      </c>
      <c r="EQ537" s="445">
        <f t="shared" si="765"/>
        <v>0</v>
      </c>
      <c r="ER537" s="424">
        <f t="shared" si="766"/>
        <v>0</v>
      </c>
      <c r="ES537" s="420">
        <f t="shared" si="767"/>
        <v>0</v>
      </c>
      <c r="ET537" s="446">
        <f t="shared" si="684"/>
        <v>0</v>
      </c>
    </row>
    <row r="538" spans="2:150" ht="16.5" customHeight="1">
      <c r="B538" s="448" t="str">
        <f>INDEX('卡片raw data'!B:B,MATCH($D538,'卡片raw data'!$F:$F,))</f>
        <v>月夜爱</v>
      </c>
      <c r="C538" s="449" t="s">
        <v>4374</v>
      </c>
      <c r="D538" s="408">
        <v>535</v>
      </c>
      <c r="E538" s="477">
        <v>402053005</v>
      </c>
      <c r="F538" s="409" t="str">
        <f>INDEX('卡片raw data'!C:C,MATCH($D538,'卡片raw data'!$F:$F,))</f>
        <v>UR</v>
      </c>
      <c r="G538" s="1094" t="s">
        <v>4390</v>
      </c>
      <c r="H538" s="411">
        <f>IFERROR(INDEX(绊状态确认!C:C,MATCH($G538,绊状态确认!$B:$B,)),"")</f>
        <v>205</v>
      </c>
      <c r="I538" s="450" t="str">
        <f>IFERROR(INDEX(绊状态确认!D:D,MATCH($G538,绊状态确认!$B:$B,)),"")</f>
        <v>虹</v>
      </c>
      <c r="J538" s="450" t="str">
        <f>IFERROR(INDEX(绊状态确认!E:E,MATCH($G538,绊状态确认!$B:$B,)),"")</f>
        <v>2年级</v>
      </c>
      <c r="K538" s="451" t="str">
        <f>IFERROR(INDEX(绊状态确认!F:F,MATCH($G538,绊状态确认!$B:$B,)),"")</f>
        <v>Diver Diva</v>
      </c>
      <c r="L538" s="414" t="str">
        <f>INDEX('卡片raw data'!E:E,MATCH($D538,'卡片raw data'!$F:$F,))</f>
        <v>活动卡</v>
      </c>
      <c r="M538" s="478">
        <v>44443</v>
      </c>
      <c r="N538" s="479">
        <v>47</v>
      </c>
      <c r="O538" s="410" t="str">
        <f>INDEX('卡片raw data'!D:D,MATCH($D538,'卡片raw data'!$F:$F,))</f>
        <v>vo</v>
      </c>
      <c r="P538" s="1126">
        <v>5</v>
      </c>
      <c r="Q538" s="418">
        <f t="shared" si="688"/>
        <v>67408.209788855878</v>
      </c>
      <c r="R538" s="419">
        <f t="shared" si="689"/>
        <v>0.78300000000000003</v>
      </c>
      <c r="S538" s="420">
        <f t="shared" si="690"/>
        <v>20689.176121388791</v>
      </c>
      <c r="T538" s="421">
        <f t="shared" si="691"/>
        <v>1.034</v>
      </c>
      <c r="U538" s="422">
        <f t="shared" si="692"/>
        <v>-16.038007960257147</v>
      </c>
      <c r="V538" s="423">
        <f t="shared" si="693"/>
        <v>66814.065476157266</v>
      </c>
      <c r="W538" s="424">
        <f t="shared" si="694"/>
        <v>5559.5231674553997</v>
      </c>
      <c r="X538" s="419">
        <f t="shared" si="695"/>
        <v>6.4000000000000001E-2</v>
      </c>
      <c r="Y538" s="420">
        <f t="shared" si="696"/>
        <v>710.5241375430769</v>
      </c>
      <c r="Z538" s="425">
        <f t="shared" si="697"/>
        <v>8.9619920397428547</v>
      </c>
      <c r="AA538" s="426">
        <f t="shared" si="698"/>
        <v>6270.0473049984766</v>
      </c>
      <c r="AB538" s="424">
        <f t="shared" si="699"/>
        <v>9296.0575807174318</v>
      </c>
      <c r="AC538" s="427">
        <f t="shared" si="700"/>
        <v>0.108</v>
      </c>
      <c r="AD538" s="428">
        <f t="shared" si="701"/>
        <v>0</v>
      </c>
      <c r="AE538" s="516">
        <f t="shared" si="702"/>
        <v>0</v>
      </c>
      <c r="AF538" s="1130">
        <f t="shared" si="703"/>
        <v>0</v>
      </c>
      <c r="AG538" s="420">
        <f t="shared" si="704"/>
        <v>0</v>
      </c>
      <c r="AH538" s="420">
        <f t="shared" si="705"/>
        <v>0</v>
      </c>
      <c r="AI538" s="1097">
        <f t="shared" si="706"/>
        <v>0</v>
      </c>
      <c r="AJ538" s="420">
        <f t="shared" si="707"/>
        <v>0</v>
      </c>
      <c r="AK538" s="518">
        <f t="shared" si="708"/>
        <v>0</v>
      </c>
      <c r="AL538" s="1106">
        <f>IF($P538="","N/A",(IF($P538=-1,INDEX('卡片raw data'!S:S,MATCH($D538,'卡片raw data'!$F:$F,)),0)+IF($P538=0,INDEX('卡片raw data'!V:V,MATCH($D538,'卡片raw data'!$F:$F,)),0)+IF($P538=1,INDEX('卡片raw data'!Y:Y,MATCH($D538,'卡片raw data'!$F:$F,)),0)+IF($P538=2,INDEX('卡片raw data'!AB:AB,MATCH($D538,'卡片raw data'!$F:$F,)),0)+IF($P538=3,INDEX('卡片raw data'!AE:AE,MATCH($D538,'卡片raw data'!$F:$F,)),0)+IF($P538=4,INDEX('卡片raw data'!AH:AH,MATCH($D538,'卡片raw data'!$F:$F,)),0)+IF($P538=5,INDEX('卡片raw data'!AK:AK,MATCH($D538,'卡片raw data'!$F:$F,)),0)+INDEX('卡片raw data'!S:S,MATCH($D538,'卡片raw data'!$F:$F,))*(IF($F538="UR",0.04,0.033))*(IF($F538="UR",INDEX(绊状态确认!$S:$S,MATCH($G538,绊状态确认!$B:$B,))/2-40)+IF($F538="SR",INDEX(绊状态确认!$R:$R,MATCH($G538,绊状态确认!$B:$B,))/4-15))+IF($F538="R",INDEX(绊状态确认!$Q:$Q,MATCH($G538,绊状态确认!$B:$B,))/6-40/6)))*(INDEX(绊状态确认!$H:$H,MATCH($G538,绊状态确认!$B:$B,))+INDEX(绊状态确认!J:J,MATCH($G538,绊状态确认!$B:$B,)))</f>
        <v>14358.368543999997</v>
      </c>
      <c r="AM538" s="1106">
        <f>IF($P538="","N/A",(IF($P538=-1,INDEX('卡片raw data'!T:T,MATCH($D538,'卡片raw data'!$F:$F,)),0)+IF($P538=0,INDEX('卡片raw data'!W:W,MATCH($D538,'卡片raw data'!$F:$F,)),0)+IF($P538=1,INDEX('卡片raw data'!Z:Z,MATCH($D538,'卡片raw data'!$F:$F,)),0)+IF($P538=2,INDEX('卡片raw data'!AC:AC,MATCH($D538,'卡片raw data'!$F:$F,)),0)+IF($P538=3,INDEX('卡片raw data'!AF:AF,MATCH($D538,'卡片raw data'!$F:$F,)),0)+IF($P538=4,INDEX('卡片raw data'!AI:AI,MATCH($D538,'卡片raw data'!$F:$F,)),0)+IF($P538=5,INDEX('卡片raw data'!AL:AL,MATCH($D538,'卡片raw data'!$F:$F,)),0)+INDEX('卡片raw data'!T:T,MATCH($D538,'卡片raw data'!$F:$F,))*(IF($F538="UR",0.04,0.033))*(IF($F538="UR",INDEX(绊状态确认!$S:$S,MATCH($G538,绊状态确认!$B:$B,))/2-40)+IF($F538="SR",INDEX(绊状态确认!$R:$R,MATCH($G538,绊状态确认!$B:$B,))/4-15))+IF($F538="R",INDEX(绊状态确认!$Q:$Q,MATCH($G538,绊状态确认!$B:$B,))/6-40/6)))*(INDEX(绊状态确认!$H:$H,MATCH($G538,绊状态确认!$B:$B,))+INDEX(绊状态确认!K:K,MATCH($G538,绊状态确认!$B:$B,)))</f>
        <v>4146.9054239999996</v>
      </c>
      <c r="AN538" s="1106">
        <f>IF($P538="","N/A",(IF($P538=-1,INDEX('卡片raw data'!U:U,MATCH($D538,'卡片raw data'!$F:$F,)),0)+IF($P538=0,INDEX('卡片raw data'!X:X,MATCH($D538,'卡片raw data'!$F:$F,)),0)+IF($P538=1,INDEX('卡片raw data'!AA:AA,MATCH($D538,'卡片raw data'!$F:$F,)),0)+IF($P538=2,INDEX('卡片raw data'!AD:AD,MATCH($D538,'卡片raw data'!$F:$F,)),0)+IF($P538=3,INDEX('卡片raw data'!AG:AG,MATCH($D538,'卡片raw data'!$F:$F,)),0)+IF($P538=4,INDEX('卡片raw data'!AJ:AJ,MATCH($D538,'卡片raw data'!$F:$F,)),0)+IF($P538=5,INDEX('卡片raw data'!AM:AM,MATCH($D538,'卡片raw data'!$F:$F,)),0)+INDEX('卡片raw data'!U:U,MATCH($D538,'卡片raw data'!$F:$F,))*(IF($F538="UR",0.04,0.033))*(IF($F538="UR",INDEX(绊状态确认!$S:$S,MATCH($G538,绊状态确认!$B:$B,))/2-40)+IF($F538="SR",INDEX(绊状态确认!$R:$R,MATCH($G538,绊状态确认!$B:$B,))/4-15))+IF($F538="R",INDEX(绊状态确认!$Q:$Q,MATCH($G538,绊状态确认!$B:$B,))/6-40/6)))*(INDEX(绊状态确认!$H:$H,MATCH($G538,绊状态确认!$B:$B,))+INDEX(绊状态确认!L:L,MATCH($G538,绊状态确认!$B:$B,)))</f>
        <v>13401.337919999998</v>
      </c>
      <c r="AO538" s="1107">
        <f t="shared" si="709"/>
        <v>1</v>
      </c>
      <c r="AP538" s="1131">
        <f>1+(INDEX(绊状态确认!$T:$T,MATCH($G538,绊状态确认!$B:$B,))+0.2)*$AO538</f>
        <v>1.3</v>
      </c>
      <c r="AQ538" s="1108">
        <f t="shared" si="710"/>
        <v>40940.717427999996</v>
      </c>
      <c r="AR538" s="1097">
        <f>(AM538*(1+$EX$9)+$EX$35)*(1+(INDEX(绊状态确认!$T:$T,MATCH($G538,绊状态确认!$B:$B,))+0.2)*AO538)*IF(J538=$FF$17,1+$FE$17,1)*IF(I538=$FF$14,1+$FE$14,1)</f>
        <v>8364.525903759999</v>
      </c>
      <c r="AS538" s="1097">
        <f>(AN538*(1+$EX$10)+$EX$36)*(1+(INDEX(绊状态确认!$T:$T,MATCH($G538,绊状态确认!$B:$B,))+0.2)*AO538)*IF(J538=$FF$17,1+$FE$17,1)*IF(I538=$FF$14,1+$FE$14,1)</f>
        <v>24091.000190399995</v>
      </c>
      <c r="AT538" s="1093">
        <f>IF(AND(INDEX('卡片raw data'!AK:AK,MATCH($D538,'卡片raw data'!$F:$F,))&lt;INDEX('卡片raw data'!AM:AM,MATCH($D538,'卡片raw data'!$F:$F,)),INDEX('卡片raw data'!AL:AL,MATCH($D538,'卡片raw data'!$F:$F,))&lt;INDEX('卡片raw data'!AM:AM,MATCH($D538,'卡片raw data'!$F:$F,))),1,0)</f>
        <v>0</v>
      </c>
      <c r="AU538" s="1098">
        <f>MIN(AT538*0.15+AS538*0.00003+INDEX(绊状态确认!M:M,MATCH($G538,绊状态确认!$B:$B,)),1)</f>
        <v>0.75273000571199988</v>
      </c>
      <c r="AV538" s="1109">
        <f>(INDEX(绊状态确认!$N:$N,MATCH($G538,绊状态确认!$B:$B,))+1.5)*$EW$21</f>
        <v>2.6599999999999997</v>
      </c>
      <c r="AW538" s="1101">
        <f t="shared" si="711"/>
        <v>47830.503358758084</v>
      </c>
      <c r="AX538" s="1097">
        <f t="shared" si="712"/>
        <v>710.52413754307656</v>
      </c>
      <c r="AY538" s="1110">
        <f t="shared" si="713"/>
        <v>48541.027496301162</v>
      </c>
      <c r="AZ538" s="429">
        <f t="shared" si="714"/>
        <v>30598.818660799992</v>
      </c>
      <c r="BA538" s="431">
        <f t="shared" si="715"/>
        <v>36718.582392959986</v>
      </c>
      <c r="BB538" s="1097">
        <f>(AM538*(1+$FB$9)+$FB$35)*(1+(INDEX(绊状态确认!$T:$T,MATCH($G538,绊状态确认!$B:$B,))+0.2)*AO538)*IF(J538=$FF$17,1+$FE$17,1)*IF(I538=$FF$14,1+$FE$14,1)*(1+$FE$15)</f>
        <v>8364.525903759999</v>
      </c>
      <c r="BC538" s="1097">
        <f>(AN538*(1+$FB$10)+$FB$36)*(1+(INDEX(绊状态确认!$T:$T,MATCH($G538,绊状态确认!$B:$B,))+0.2)*AO538)*IF(J538=$FF$17,1+$FE$17,1)*IF(I538=$FF$14,1+$FE$14,1)*(1+$FE$15)</f>
        <v>24091.000190399995</v>
      </c>
      <c r="BD538" s="1104">
        <f>MIN(AT538*0.15+BC538*0.00003+INDEX(绊状态确认!M:M,MATCH($G538,绊状态确认!$B:$B,)),1)</f>
        <v>0.75273000571199988</v>
      </c>
      <c r="BE538" s="432">
        <f>(INDEX(绊状态确认!$N:$N,MATCH($G538,绊状态确认!$B:$B,))+1.5)</f>
        <v>1.9</v>
      </c>
      <c r="BF538" s="1139">
        <f t="array" ref="BF538">SUMPRODUCT(IF(AZ538*AP538*$FI$16:$FI$23*$FA$22&gt;=$FI$24,$FI$24,AZ538*AP538*$FI$16:$FI$23*$FA$22),$FJ$16:$FJ$23)</f>
        <v>57016.125335003191</v>
      </c>
      <c r="BG538" s="1125">
        <f t="array" ref="BG538">SUMPRODUCT(IF(BE538*AZ538*AP538*$FI$16:$FI$23*$FA$22&gt;=$FI$24,$FI$24,BE538*AZ538*AP538*$FI$16:$FI$23*$FA$22),$FJ$16:$FJ$23)</f>
        <v>60000</v>
      </c>
      <c r="BH538" s="1110">
        <f t="shared" si="716"/>
        <v>19754.059109543377</v>
      </c>
      <c r="BI538" s="1111">
        <f>IF(O538="vo",$EW$26/$EW$24*0.05,0)+IF(O538="sk",-$EW$26/$EW$24*(0.05-INDEX(绊状态确认!W:W,MATCH($G538,绊状态确认!$B:$B,)))+0.05*$EW$28,0)+IF(O538="sp",0.05*$EW$32*$EW$30*(1-$EW$33)-(0.05-INDEX(绊状态确认!V:V,MATCH($G538,绊状态确认!$B:$B,)))*$EW$28,0)+IF(O538="gd",-(0.05-INDEX(绊状态确认!X:X,MATCH($G538,绊状态确认!$B:$B,)))*$EW$32*$EW$30*(1-$EW$33),0)</f>
        <v>7726.3029277443748</v>
      </c>
      <c r="BJ538" s="420">
        <f>IF(O538="vo",0.05*(1-$FI$26)*$FA$24,0)+IF(O538="sk",-(0.05-INDEX(绊状态确认!W:W,MATCH($G538,绊状态确认!$B:$B,)))*(1-$FI$26)*$FA$24+0.05*$FA$26,0)+IF(O538="sp",0.05*$FA$32*$FA$27*(1-$FA$33)/$FA$30+0.05*$FA$29/$FA$69*$FA$27*(1-$FA$33)-(0.05-INDEX(绊状态确认!V:V,MATCH($G538,绊状态确认!$B:$B,)))*$FA$26,0)+IF(O538="gd",-(0.05-INDEX(绊状态确认!X:X,MATCH($G538,绊状态确认!$B:$B,)))*$FA$32*$FA$27*(1-$FA$33)/$FA$30-(0.05-INDEX(绊状态确认!X:X,MATCH($G538,绊状态确认!$B:$B,)))*$FA$29/$FA$69*$FA$27*(1-$FA$33),0)</f>
        <v>393.93433687500004</v>
      </c>
      <c r="BK538" s="1110">
        <f>IF(O538="vo",$EW$26/$EW$24*0.05+$EW$26*(-HP($EW$62,$EW$65,$EW$64)+HP($EW$62,$EW$65,(1.05-INDEX(绊状态确认!U:U,MATCH($G538,绊状态确认!$B:$B,)))*$EW$64)),0)+IF(O538="sk",-$EW$26/$EW$24*(0.05-INDEX(绊状态确认!W:W,MATCH($G538,绊状态确认!$B:$B,)))+0.05*$EW$29,0)+IF(O538="sp",0.05*$EW$32*$EW$30*(1-$EW$33)-(0.05-INDEX(绊状态确认!V:V,MATCH($G538,绊状态确认!$B:$B,)))*$EW$29,0)+IF(O538="gd",-(0.05-INDEX(绊状态确认!X:X,MATCH($G538,绊状态确认!$B:$B,)))*$EW$32*$EW$30*(1-$EW$33)+$EW$26*(-HP($EW$62,$EW$65,$EW$64)+HP($EW$62,$EW$65,0.95*$EW$64)),0)</f>
        <v>6421.6344775026746</v>
      </c>
      <c r="BL538" s="1111">
        <f t="shared" si="717"/>
        <v>0</v>
      </c>
      <c r="BM538" s="1110">
        <f t="shared" si="718"/>
        <v>0</v>
      </c>
      <c r="BN538" s="1113">
        <f t="shared" si="719"/>
        <v>3</v>
      </c>
      <c r="BO538" s="1108">
        <f t="shared" si="720"/>
        <v>4507.7214871259994</v>
      </c>
      <c r="BP538" s="1127">
        <f t="shared" si="721"/>
        <v>221.34103209030098</v>
      </c>
      <c r="BQ538" s="1113" t="s">
        <v>132</v>
      </c>
      <c r="BR538" s="1124" t="s">
        <v>169</v>
      </c>
      <c r="BS538" s="421">
        <f>IF($P538="","N/A",IF($P538=-1,INDEX('卡片raw data'!AX:AX,MATCH($D538,'卡片raw data'!$F:$F,)),0)+IF($L538="party卡",IF($P538=5,INDEX('卡片raw data'!BD:BD,MATCH($D538,'卡片raw data'!$F:$F,)),IF($P538&gt;=3,INDEX('卡片raw data'!BC:BC,MATCH($D538,'卡片raw data'!$F:$F,)),INDEX('卡片raw data'!BB:BB,MATCH($D538,'卡片raw data'!$F:$F,)))),IF(OR(AND($F538="UR",$P538=0),AND($F538="SR",$P538&gt;=0,$P538&lt;=2),AND($F538="R",$P538&gt;=0,$P538&lt;4)),INDEX('卡片raw data'!AZ:AZ,MATCH($D538,'卡片raw data'!$F:$F,)),0)+IF(OR(AND($F538="UR",$P538&gt;=1,$P538&lt;=4),AND($F538="SR",$P538&lt;=4,$P538&gt;=3),AND($F538="R",$P538=4)),INDEX('卡片raw data'!BA:BA,MATCH($D538,'卡片raw data'!$F:$F,)),0)+IF($P538=5,INDEX('卡片raw data'!BB:BB,MATCH($D538,'卡片raw data'!$F:$F,)),0)))</f>
        <v>4.2000000000000003E-2</v>
      </c>
      <c r="BT538" s="424">
        <f t="shared" si="722"/>
        <v>1753.0028005490001</v>
      </c>
      <c r="BU538" s="420">
        <f t="shared" si="723"/>
        <v>86.077068035117065</v>
      </c>
      <c r="BV538" s="420">
        <f t="shared" si="724"/>
        <v>1051.8016803293999</v>
      </c>
      <c r="BW538" s="436">
        <f t="shared" si="725"/>
        <v>0</v>
      </c>
      <c r="BX538" s="423">
        <f t="shared" si="726"/>
        <v>1753.0028005490001</v>
      </c>
      <c r="BY538" s="433">
        <f t="shared" si="727"/>
        <v>1051.8016803293999</v>
      </c>
      <c r="BZ538" s="1113" t="s">
        <v>569</v>
      </c>
      <c r="CA538" s="450"/>
      <c r="CB538" s="421">
        <f>IF($P538="","N/A",IF($P538=-1,INDEX('卡片raw data'!BE:BE,MATCH($D538,'卡片raw data'!$F:$F,)),0)+IF($L538="party卡",IF($P538=5,INDEX('卡片raw data'!BK:BK,MATCH($D538,'卡片raw data'!$F:$F,)),IF($P538&gt;=3,INDEX('卡片raw data'!BJ:BJ,MATCH($D538,'卡片raw data'!$F:$F,)),INDEX('卡片raw data'!BI:BI,MATCH($D538,'卡片raw data'!$F:$F,)))),IF(OR(AND($F538="UR",$P538=0),AND($F538="SR",$P538&gt;=0,$P538&lt;=2),AND($F538="R",$P538&gt;=0,$P538&lt;4)),INDEX('卡片raw data'!BG:BG,MATCH($D538,'卡片raw data'!$F:$F,)),0)+IF(OR(AND($F538="UR",$P538&gt;=1,$P538&lt;=4),AND($F538="SR",$P538&lt;=4,$P538&gt;=3),AND($F538="R",$P538=4)),INDEX('卡片raw data'!BH:BH,MATCH($D538,'卡片raw data'!$F:$F,)),0)+IF($P538=5,INDEX('卡片raw data'!BI:BI,MATCH($D538,'卡片raw data'!$F:$F,)),0)))</f>
        <v>0</v>
      </c>
      <c r="CC538" s="424">
        <f t="shared" si="728"/>
        <v>0</v>
      </c>
      <c r="CD538" s="420">
        <f>IF(BZ538="ap",CB538*(1-$FI$26)*$FB$5/$FB$11*(+IF(CA538="全员",$FA$24,0)+IF(CA538="同作战",$FA$24,0)+IF(CA538="仲间",$FA$24*2/3,0)+IF(CA538="同属性",$FA$24*$FA$37/3,0)+IF(CA538="同年级",$FA$24*$FA$40/3,0)+IF(CA538="同学校",$FA$24*$FA$43/3,0)+IF(CA538="同小队",$FA$24*$FA$46/3,0)+IF(CA538="同type",$FA$24*INDEX($FB$49:$FB$52,MATCH(X538,$FA$49:$FA$52,))/3,0)+IF(CA538="自身",#REF!/3,0)),0)+IF(BZ538="te",CB538*(1-$FI$27)*($FA$20-1)*$FB$7/$FB$13*(+IF(CA538="全员",$FA$19*$FA$24/(1+($FA$20-1)*$FA$19),0)+IF(CA538="同作战",$FA$19*$FA$24/(1+($FA$20-1)*$FA$19),0)+IF(CA538="仲间",$FA$19*$FA$24*2/3/(1+($FA$20-1)*$FA$19),0)+IF(CA538="同属性",$FA$19*$FA$24*$FA$37/3/(1+($FA$20-1)*$FA$19),0)+IF(CA538="同年级",$FA$19*$FA$24*$FA$40/3/(1+($FA$20-1)*$FA$19),0)+IF(CA538="同学校",$FA$19*$FA$24*$FA$43/3/(1+($FA$20-1)*$FA$19),0)+IF(CA538="同小队",$FA$19*$FA$24*$FA$46/3/(1+($FA$20-1)*$FA$19),0)+IF(CA538="同type",$FA$19*$FA$24*INDEX($FB$49:$FB$52,MATCH(X538,$FA$49:$FA$52,))/3/(1+($FA$20-1)*$FA$19),0)+IF(CA538="自身",$FA$19*#REF!/3/(1+(BH538-1)*$BD538),0)),0)</f>
        <v>0</v>
      </c>
      <c r="CE538" s="420">
        <f t="shared" si="729"/>
        <v>0</v>
      </c>
      <c r="CF538" s="436">
        <f t="shared" si="730"/>
        <v>0</v>
      </c>
      <c r="CG538" s="423">
        <f t="shared" si="731"/>
        <v>0</v>
      </c>
      <c r="CH538" s="433">
        <f t="shared" si="732"/>
        <v>0</v>
      </c>
      <c r="CI538" s="1113" t="s">
        <v>162</v>
      </c>
      <c r="CJ538" s="1114">
        <v>1</v>
      </c>
      <c r="CK538" s="439" t="s">
        <v>4395</v>
      </c>
      <c r="CL538" s="1115" t="s">
        <v>4397</v>
      </c>
      <c r="CM538" s="1119">
        <v>0.1</v>
      </c>
      <c r="CN538" s="1115" t="s">
        <v>1948</v>
      </c>
      <c r="CO538" s="1115"/>
      <c r="CP538" s="1118">
        <f t="shared" si="733"/>
        <v>1.7857142857142856E-2</v>
      </c>
      <c r="CQ538" s="1118">
        <f t="shared" si="734"/>
        <v>1.6666666666666666E-2</v>
      </c>
      <c r="CR538" s="1118">
        <f t="shared" si="735"/>
        <v>0</v>
      </c>
      <c r="CS538" s="442">
        <f t="shared" si="736"/>
        <v>0</v>
      </c>
      <c r="CT538" s="432">
        <f t="shared" si="737"/>
        <v>0</v>
      </c>
      <c r="CU538" s="1101">
        <f t="shared" si="738"/>
        <v>3035.3332930424331</v>
      </c>
      <c r="CV538" s="1108">
        <f t="shared" si="768"/>
        <v>131.311445625</v>
      </c>
      <c r="CW538" s="1097">
        <f t="shared" si="739"/>
        <v>0</v>
      </c>
      <c r="CX538" s="420">
        <f t="shared" si="740"/>
        <v>3035.3332930424331</v>
      </c>
      <c r="CY538" s="433">
        <f t="shared" si="741"/>
        <v>0</v>
      </c>
      <c r="CZ538" s="437"/>
      <c r="DA538" s="438"/>
      <c r="DB538" s="439" t="s">
        <v>569</v>
      </c>
      <c r="DC538" s="439"/>
      <c r="DD538" s="443"/>
      <c r="DE538" s="411"/>
      <c r="DF538" s="411"/>
      <c r="DG538" s="1116">
        <f t="shared" si="742"/>
        <v>0</v>
      </c>
      <c r="DH538" s="1116">
        <f t="shared" si="743"/>
        <v>0</v>
      </c>
      <c r="DI538" s="1116">
        <f t="shared" si="744"/>
        <v>0</v>
      </c>
      <c r="DJ538" s="442">
        <f t="shared" si="745"/>
        <v>0</v>
      </c>
      <c r="DK538" s="432">
        <f t="shared" si="746"/>
        <v>0</v>
      </c>
      <c r="DL538" s="424">
        <f t="shared" si="747"/>
        <v>0</v>
      </c>
      <c r="DM538" s="420">
        <f t="shared" si="748"/>
        <v>0</v>
      </c>
      <c r="DN538" s="420">
        <f t="shared" si="749"/>
        <v>0</v>
      </c>
      <c r="DO538" s="420">
        <f t="shared" si="750"/>
        <v>0</v>
      </c>
      <c r="DP538" s="433">
        <f t="shared" si="751"/>
        <v>0</v>
      </c>
      <c r="DQ538" s="1113" t="s">
        <v>4395</v>
      </c>
      <c r="DR538" s="1120">
        <f t="shared" si="769"/>
        <v>0.33</v>
      </c>
      <c r="DS538" s="1124">
        <v>3</v>
      </c>
      <c r="DT538" s="1093" t="s">
        <v>169</v>
      </c>
      <c r="DU538" s="1124" t="s">
        <v>544</v>
      </c>
      <c r="DV538" s="1098">
        <f>IF($P538="","N/A",IF(P538=-1,INDEX('卡片raw data'!AN:AN,MATCH(D538,'卡片raw data'!$F:$F,)),0)+IF(AND(L538&lt;&gt;"party卡",P538&lt;=2,P538&gt;=0),INDEX('卡片raw data'!AP:AP,MATCH(D538,'卡片raw data'!$F:$F,)),0)+IF(OR(AND(L538="party卡",P538&lt;=1),AND(P538&lt;=4,L538&lt;&gt;"party卡",P538&gt;=3)),INDEX('卡片raw data'!AQ:AQ,MATCH(D538,'卡片raw data'!$F:$F,)),0)+IF(OR(P538=5,AND(L538="party卡",P538&gt;=2)),INDEX('卡片raw data'!AR:AR,MATCH(D538,'卡片raw data'!$F:$F,)),0))</f>
        <v>8.2000000000000003E-2</v>
      </c>
      <c r="DW538" s="1098">
        <f t="shared" si="752"/>
        <v>0.33</v>
      </c>
      <c r="DX538" s="1098">
        <f t="shared" si="753"/>
        <v>0.33</v>
      </c>
      <c r="DY538" s="1098">
        <f t="shared" si="754"/>
        <v>1.5033333333333334E-2</v>
      </c>
      <c r="DZ538" s="1098">
        <f t="shared" si="755"/>
        <v>1.3003833333333334E-2</v>
      </c>
      <c r="EA538" s="421">
        <f t="shared" si="756"/>
        <v>0</v>
      </c>
      <c r="EB538" s="445">
        <f t="shared" si="757"/>
        <v>0</v>
      </c>
      <c r="EC538" s="424">
        <f t="shared" si="758"/>
        <v>2555.3459216359897</v>
      </c>
      <c r="ED538" s="420">
        <f t="shared" si="759"/>
        <v>102.45312921999376</v>
      </c>
      <c r="EE538" s="433">
        <f t="shared" si="683"/>
        <v>2555.3459216359897</v>
      </c>
      <c r="EF538" s="1115" t="s">
        <v>569</v>
      </c>
      <c r="EG538" s="1120">
        <f t="shared" si="770"/>
        <v>0.33</v>
      </c>
      <c r="EH538" s="450"/>
      <c r="EI538" s="1093"/>
      <c r="EJ538" s="1093"/>
      <c r="EK538" s="420">
        <f>IF($P538="","N/A",IF(P538=-1,INDEX('卡片raw data'!AS:AS,MATCH(D538,'卡片raw data'!$F:$F,)),0)+IF(AND(L538&lt;&gt;"party卡",P538&lt;=2,P538&gt;=0),INDEX('卡片raw data'!AU:AU,MATCH(D538,'卡片raw data'!$F:$F,)),0)+IF(OR(AND(L538="party卡",P538&lt;=1),AND(P538&lt;=4,L538&lt;&gt;"party卡",P538&gt;=3)),INDEX('卡片raw data'!AV:AV,MATCH(D538,'卡片raw data'!$F:$F,)),0)+IF(OR(P538=5,AND(L538="party卡",P538&gt;=2)),INDEX('卡片raw data'!AW:AW,MATCH(D538,'卡片raw data'!$F:$F,)),0))</f>
        <v>0</v>
      </c>
      <c r="EL538" s="1098">
        <f t="shared" si="760"/>
        <v>0.33</v>
      </c>
      <c r="EM538" s="1098">
        <f t="shared" si="761"/>
        <v>0.33</v>
      </c>
      <c r="EN538" s="1097">
        <f t="shared" si="762"/>
        <v>0</v>
      </c>
      <c r="EO538" s="1097">
        <f t="shared" si="763"/>
        <v>0</v>
      </c>
      <c r="EP538" s="421">
        <f t="shared" si="764"/>
        <v>0</v>
      </c>
      <c r="EQ538" s="445">
        <f t="shared" si="765"/>
        <v>0</v>
      </c>
      <c r="ER538" s="424">
        <f t="shared" si="766"/>
        <v>0</v>
      </c>
      <c r="ES538" s="420">
        <f t="shared" si="767"/>
        <v>0</v>
      </c>
      <c r="ET538" s="446">
        <f t="shared" si="684"/>
        <v>0</v>
      </c>
    </row>
    <row r="539" spans="2:150" ht="16.5" customHeight="1">
      <c r="B539" s="448" t="str">
        <f>INDEX('卡片raw data'!B:B,MATCH($D539,'卡片raw data'!$F:$F,))</f>
        <v>虹心菜</v>
      </c>
      <c r="C539" s="449" t="s">
        <v>4382</v>
      </c>
      <c r="D539" s="408">
        <v>536</v>
      </c>
      <c r="E539" s="477">
        <v>402072004</v>
      </c>
      <c r="F539" s="409" t="str">
        <f>INDEX('卡片raw data'!C:C,MATCH($D539,'卡片raw data'!$F:$F,))</f>
        <v>SR</v>
      </c>
      <c r="G539" s="1094" t="s">
        <v>4391</v>
      </c>
      <c r="H539" s="411">
        <f>IFERROR(INDEX(绊状态确认!C:C,MATCH($G539,绊状态确认!$B:$B,)),"")</f>
        <v>207</v>
      </c>
      <c r="I539" s="450" t="str">
        <f>IFERROR(INDEX(绊状态确认!D:D,MATCH($G539,绊状态确认!$B:$B,)),"")</f>
        <v>虹</v>
      </c>
      <c r="J539" s="450" t="str">
        <f>IFERROR(INDEX(绊状态确认!E:E,MATCH($G539,绊状态确认!$B:$B,)),"")</f>
        <v>2年级</v>
      </c>
      <c r="K539" s="451" t="str">
        <f>IFERROR(INDEX(绊状态确认!F:F,MATCH($G539,绊状态确认!$B:$B,)),"")</f>
        <v>A·ZU·NA</v>
      </c>
      <c r="L539" s="414" t="str">
        <f>INDEX('卡片raw data'!E:E,MATCH($D539,'卡片raw data'!$F:$F,))</f>
        <v>活动卡</v>
      </c>
      <c r="M539" s="478">
        <v>44443</v>
      </c>
      <c r="N539" s="479">
        <v>47</v>
      </c>
      <c r="O539" s="410" t="str">
        <f>INDEX('卡片raw data'!D:D,MATCH($D539,'卡片raw data'!$F:$F,))</f>
        <v>sp</v>
      </c>
      <c r="P539" s="1126">
        <v>5</v>
      </c>
      <c r="Q539" s="418">
        <f t="shared" si="688"/>
        <v>27506.295006235905</v>
      </c>
      <c r="R539" s="419">
        <f t="shared" si="689"/>
        <v>0.31900000000000001</v>
      </c>
      <c r="S539" s="420">
        <f t="shared" si="690"/>
        <v>15173.898046030956</v>
      </c>
      <c r="T539" s="421">
        <f t="shared" si="691"/>
        <v>0.75800000000000001</v>
      </c>
      <c r="U539" s="422">
        <f t="shared" si="692"/>
        <v>11.214221040582858</v>
      </c>
      <c r="V539" s="423">
        <f t="shared" si="693"/>
        <v>26599.476964258298</v>
      </c>
      <c r="W539" s="424">
        <f t="shared" si="694"/>
        <v>4520.0397847900758</v>
      </c>
      <c r="X539" s="419">
        <f t="shared" si="695"/>
        <v>5.1999999999999998E-2</v>
      </c>
      <c r="Y539" s="420">
        <f t="shared" si="696"/>
        <v>893.1819580223937</v>
      </c>
      <c r="Z539" s="425">
        <f t="shared" si="697"/>
        <v>11.214221040582858</v>
      </c>
      <c r="AA539" s="426">
        <f t="shared" si="698"/>
        <v>5413.2217428124695</v>
      </c>
      <c r="AB539" s="424">
        <f t="shared" si="699"/>
        <v>8057.3373869443749</v>
      </c>
      <c r="AC539" s="427">
        <f t="shared" si="700"/>
        <v>9.2999999999999999E-2</v>
      </c>
      <c r="AD539" s="428">
        <f t="shared" si="701"/>
        <v>-1.9908281250000003E-2</v>
      </c>
      <c r="AE539" s="516">
        <f t="shared" si="702"/>
        <v>2.8386741621376803</v>
      </c>
      <c r="AF539" s="1130">
        <f t="shared" si="703"/>
        <v>0</v>
      </c>
      <c r="AG539" s="420">
        <f t="shared" si="704"/>
        <v>0</v>
      </c>
      <c r="AH539" s="420">
        <f t="shared" si="705"/>
        <v>0</v>
      </c>
      <c r="AI539" s="1097">
        <f t="shared" si="706"/>
        <v>0</v>
      </c>
      <c r="AJ539" s="420">
        <f t="shared" si="707"/>
        <v>0</v>
      </c>
      <c r="AK539" s="518">
        <f t="shared" si="708"/>
        <v>0</v>
      </c>
      <c r="AL539" s="1106">
        <f>IF($P539="","N/A",(IF($P539=-1,INDEX('卡片raw data'!S:S,MATCH($D539,'卡片raw data'!$F:$F,)),0)+IF($P539=0,INDEX('卡片raw data'!V:V,MATCH($D539,'卡片raw data'!$F:$F,)),0)+IF($P539=1,INDEX('卡片raw data'!Y:Y,MATCH($D539,'卡片raw data'!$F:$F,)),0)+IF($P539=2,INDEX('卡片raw data'!AB:AB,MATCH($D539,'卡片raw data'!$F:$F,)),0)+IF($P539=3,INDEX('卡片raw data'!AE:AE,MATCH($D539,'卡片raw data'!$F:$F,)),0)+IF($P539=4,INDEX('卡片raw data'!AH:AH,MATCH($D539,'卡片raw data'!$F:$F,)),0)+IF($P539=5,INDEX('卡片raw data'!AK:AK,MATCH($D539,'卡片raw data'!$F:$F,)),0)+INDEX('卡片raw data'!S:S,MATCH($D539,'卡片raw data'!$F:$F,))*(IF($F539="UR",0.04,0.033))*(IF($F539="UR",INDEX(绊状态确认!$S:$S,MATCH($G539,绊状态确认!$B:$B,))/2-40)+IF($F539="SR",INDEX(绊状态确认!$R:$R,MATCH($G539,绊状态确认!$B:$B,))/4-15))+IF($F539="R",INDEX(绊状态确认!$Q:$Q,MATCH($G539,绊状态确认!$B:$B,))/6-40/6)))*(INDEX(绊状态确认!$H:$H,MATCH($G539,绊状态确认!$B:$B,))+INDEX(绊状态确认!J:J,MATCH($G539,绊状态确认!$B:$B,)))</f>
        <v>7254.2912207999989</v>
      </c>
      <c r="AM539" s="1106">
        <f>IF($P539="","N/A",(IF($P539=-1,INDEX('卡片raw data'!T:T,MATCH($D539,'卡片raw data'!$F:$F,)),0)+IF($P539=0,INDEX('卡片raw data'!W:W,MATCH($D539,'卡片raw data'!$F:$F,)),0)+IF($P539=1,INDEX('卡片raw data'!Z:Z,MATCH($D539,'卡片raw data'!$F:$F,)),0)+IF($P539=2,INDEX('卡片raw data'!AC:AC,MATCH($D539,'卡片raw data'!$F:$F,)),0)+IF($P539=3,INDEX('卡片raw data'!AF:AF,MATCH($D539,'卡片raw data'!$F:$F,)),0)+IF($P539=4,INDEX('卡片raw data'!AI:AI,MATCH($D539,'卡片raw data'!$F:$F,)),0)+IF($P539=5,INDEX('卡片raw data'!AL:AL,MATCH($D539,'卡片raw data'!$F:$F,)),0)+INDEX('卡片raw data'!T:T,MATCH($D539,'卡片raw data'!$F:$F,))*(IF($F539="UR",0.04,0.033))*(IF($F539="UR",INDEX(绊状态确认!$S:$S,MATCH($G539,绊状态确认!$B:$B,))/2-40)+IF($F539="SR",INDEX(绊状态确认!$R:$R,MATCH($G539,绊状态确认!$B:$B,))/4-15))+IF($F539="R",INDEX(绊状态确认!$Q:$Q,MATCH($G539,绊状态确认!$B:$B,))/6-40/6)))*(INDEX(绊状态确认!$H:$H,MATCH($G539,绊状态确认!$B:$B,))+INDEX(绊状态确认!K:K,MATCH($G539,绊状态确认!$B:$B,)))</f>
        <v>5686.8910655999998</v>
      </c>
      <c r="AN539" s="1106">
        <f>IF($P539="","N/A",(IF($P539=-1,INDEX('卡片raw data'!U:U,MATCH($D539,'卡片raw data'!$F:$F,)),0)+IF($P539=0,INDEX('卡片raw data'!X:X,MATCH($D539,'卡片raw data'!$F:$F,)),0)+IF($P539=1,INDEX('卡片raw data'!AA:AA,MATCH($D539,'卡片raw data'!$F:$F,)),0)+IF($P539=2,INDEX('卡片raw data'!AD:AD,MATCH($D539,'卡片raw data'!$F:$F,)),0)+IF($P539=3,INDEX('卡片raw data'!AG:AG,MATCH($D539,'卡片raw data'!$F:$F,)),0)+IF($P539=4,INDEX('卡片raw data'!AJ:AJ,MATCH($D539,'卡片raw data'!$F:$F,)),0)+IF($P539=5,INDEX('卡片raw data'!AM:AM,MATCH($D539,'卡片raw data'!$F:$F,)),0)+INDEX('卡片raw data'!U:U,MATCH($D539,'卡片raw data'!$F:$F,))*(IF($F539="UR",0.04,0.033))*(IF($F539="UR",INDEX(绊状态确认!$S:$S,MATCH($G539,绊状态确认!$B:$B,))/2-40)+IF($F539="SR",INDEX(绊状态确认!$R:$R,MATCH($G539,绊状态确认!$B:$B,))/4-15))+IF($F539="R",INDEX(绊状态确认!$Q:$Q,MATCH($G539,绊状态确认!$B:$B,))/6-40/6)))*(INDEX(绊状态确认!$H:$H,MATCH($G539,绊状态确认!$B:$B,))+INDEX(绊状态确认!L:L,MATCH($G539,绊状态确认!$B:$B,)))</f>
        <v>6666.9610631999994</v>
      </c>
      <c r="AO539" s="1107">
        <f t="shared" si="709"/>
        <v>1</v>
      </c>
      <c r="AP539" s="1131">
        <f>1+(INDEX(绊状态确认!$T:$T,MATCH($G539,绊状态确认!$B:$B,))+0.2)*$AO539</f>
        <v>1.3</v>
      </c>
      <c r="AQ539" s="1108">
        <f t="shared" si="710"/>
        <v>22292.514454599994</v>
      </c>
      <c r="AR539" s="1097">
        <f>(AM539*(1+$EX$9)+$EX$35)*(1+(INDEX(绊状态确认!$T:$T,MATCH($G539,绊状态确认!$B:$B,))+0.2)*AO539)*IF(J539=$FF$17,1+$FE$17,1)*IF(I539=$FF$14,1+$FE$14,1)</f>
        <v>10466.606304544001</v>
      </c>
      <c r="AS539" s="1097">
        <f>(AN539*(1+$EX$10)+$EX$36)*(1+(INDEX(绊状态确认!$T:$T,MATCH($G539,绊状态确认!$B:$B,))+0.2)*AO539)*IF(J539=$FF$17,1+$FE$17,1)*IF(I539=$FF$14,1+$FE$14,1)</f>
        <v>14023.106789484</v>
      </c>
      <c r="AT539" s="1093">
        <f>IF(AND(INDEX('卡片raw data'!AK:AK,MATCH($D539,'卡片raw data'!$F:$F,))&lt;INDEX('卡片raw data'!AM:AM,MATCH($D539,'卡片raw data'!$F:$F,)),INDEX('卡片raw data'!AL:AL,MATCH($D539,'卡片raw data'!$F:$F,))&lt;INDEX('卡片raw data'!AM:AM,MATCH($D539,'卡片raw data'!$F:$F,))),1,0)</f>
        <v>0</v>
      </c>
      <c r="AU539" s="1098">
        <f>MIN(AT539*0.15+AS539*0.00003+INDEX(绊状态确认!M:M,MATCH($G539,绊状态确认!$B:$B,)),1)</f>
        <v>0.45069320368452004</v>
      </c>
      <c r="AV539" s="1109">
        <f>(INDEX(绊状态确认!$N:$N,MATCH($G539,绊状态确认!$B:$B,))+1.5)*$EW$21</f>
        <v>2.6599999999999997</v>
      </c>
      <c r="AW539" s="1101">
        <f t="shared" si="711"/>
        <v>20239.290952624859</v>
      </c>
      <c r="AX539" s="1097">
        <f t="shared" si="712"/>
        <v>893.18195802239359</v>
      </c>
      <c r="AY539" s="1110">
        <f t="shared" si="713"/>
        <v>21132.472910647251</v>
      </c>
      <c r="AZ539" s="429">
        <f t="shared" si="714"/>
        <v>16745.867880559999</v>
      </c>
      <c r="BA539" s="431">
        <f t="shared" si="715"/>
        <v>20095.041456671999</v>
      </c>
      <c r="BB539" s="1097">
        <f>(AM539*(1+$FB$9)+$FB$35)*(1+(INDEX(绊状态确认!$T:$T,MATCH($G539,绊状态确认!$B:$B,))+0.2)*AO539)*IF(J539=$FF$17,1+$FE$17,1)*IF(I539=$FF$14,1+$FE$14,1)*(1+$FE$15)</f>
        <v>10466.606304544001</v>
      </c>
      <c r="BC539" s="1097">
        <f>(AN539*(1+$FB$10)+$FB$36)*(1+(INDEX(绊状态确认!$T:$T,MATCH($G539,绊状态确认!$B:$B,))+0.2)*AO539)*IF(J539=$FF$17,1+$FE$17,1)*IF(I539=$FF$14,1+$FE$14,1)*(1+$FE$15)</f>
        <v>14023.106789484</v>
      </c>
      <c r="BD539" s="1104">
        <f>MIN(AT539*0.15+BC539*0.00003+INDEX(绊状态确认!M:M,MATCH($G539,绊状态确认!$B:$B,)),1)</f>
        <v>0.45069320368452004</v>
      </c>
      <c r="BE539" s="432">
        <f>(INDEX(绊状态确认!$N:$N,MATCH($G539,绊状态确认!$B:$B,))+1.5)</f>
        <v>1.9</v>
      </c>
      <c r="BF539" s="1139">
        <f t="array" ref="BF539">SUMPRODUCT(IF(AZ539*AP539*$FI$16:$FI$23*$FA$22&gt;=$FI$24,$FI$24,AZ539*AP539*$FI$16:$FI$23*$FA$22),$FJ$16:$FJ$23)</f>
        <v>33307.531214433839</v>
      </c>
      <c r="BG539" s="1125">
        <f t="array" ref="BG539">SUMPRODUCT(IF(BE539*AZ539*AP539*$FI$16:$FI$23*$FA$22&gt;=$FI$24,$FI$24,BE539*AZ539*AP539*$FI$16:$FI$23*$FA$22),$FJ$16:$FJ$23)</f>
        <v>57922.015642441096</v>
      </c>
      <c r="BH539" s="1110">
        <f t="shared" si="716"/>
        <v>14800.370686111719</v>
      </c>
      <c r="BI539" s="1111">
        <f>IF(O539="vo",$EW$26/$EW$24*0.05,0)+IF(O539="sk",-$EW$26/$EW$24*(0.05-INDEX(绊状态确认!W:W,MATCH($G539,绊状态确认!$B:$B,)))+0.05*$EW$28,0)+IF(O539="sp",0.05*$EW$32*$EW$30*(1-$EW$33)-(0.05-INDEX(绊状态确认!V:V,MATCH($G539,绊状态确认!$B:$B,)))*$EW$28,0)+IF(O539="gd",-(0.05-INDEX(绊状态确认!X:X,MATCH($G539,绊状态确认!$B:$B,)))*$EW$32*$EW$30*(1-$EW$33),0)</f>
        <v>19.999999999999886</v>
      </c>
      <c r="BJ539" s="420">
        <f>IF(O539="vo",0.05*(1-$FI$26)*$FA$24,0)+IF(O539="sk",-(0.05-INDEX(绊状态确认!W:W,MATCH($G539,绊状态确认!$B:$B,)))*(1-$FI$26)*$FA$24+0.05*$FA$26,0)+IF(O539="sp",0.05*$FA$32*$FA$27*(1-$FA$33)/$FA$30+0.05*$FA$29/$FA$69*$FA$27*(1-$FA$33)-(0.05-INDEX(绊状态确认!V:V,MATCH($G539,绊状态确认!$B:$B,)))*$FA$26,0)+IF(O539="gd",-(0.05-INDEX(绊状态确认!X:X,MATCH($G539,绊状态确认!$B:$B,)))*$FA$32*$FA$27*(1-$FA$33)/$FA$30-(0.05-INDEX(绊状态确认!X:X,MATCH($G539,绊状态确认!$B:$B,)))*$FA$29/$FA$69*$FA$27*(1-$FA$33),0)</f>
        <v>545.83333333333326</v>
      </c>
      <c r="BK539" s="1110">
        <f>IF(O539="vo",$EW$26/$EW$24*0.05+$EW$26*(-HP($EW$62,$EW$65,$EW$64)+HP($EW$62,$EW$65,(1.05-INDEX(绊状态确认!U:U,MATCH($G539,绊状态确认!$B:$B,)))*$EW$64)),0)+IF(O539="sk",-$EW$26/$EW$24*(0.05-INDEX(绊状态确认!W:W,MATCH($G539,绊状态确认!$B:$B,)))+0.05*$EW$29,0)+IF(O539="sp",0.05*$EW$32*$EW$30*(1-$EW$33)-(0.05-INDEX(绊状态确认!V:V,MATCH($G539,绊状态确认!$B:$B,)))*$EW$29,0)+IF(O539="gd",-(0.05-INDEX(绊状态确认!X:X,MATCH($G539,绊状态确认!$B:$B,)))*$EW$32*$EW$30*(1-$EW$33)+$EW$26*(-HP($EW$62,$EW$65,$EW$64)+HP($EW$62,$EW$65,0.95*$EW$64)),0)</f>
        <v>-1780.0000000000005</v>
      </c>
      <c r="BL539" s="1111">
        <f t="shared" si="717"/>
        <v>-1083.3333333333333</v>
      </c>
      <c r="BM539" s="1110">
        <f t="shared" si="718"/>
        <v>-830.55555555555543</v>
      </c>
      <c r="BN539" s="1113">
        <f t="shared" si="719"/>
        <v>3</v>
      </c>
      <c r="BO539" s="1108">
        <f t="shared" si="720"/>
        <v>4507.7214871259994</v>
      </c>
      <c r="BP539" s="1127">
        <f t="shared" si="721"/>
        <v>221.34103209030098</v>
      </c>
      <c r="BQ539" s="1113" t="s">
        <v>134</v>
      </c>
      <c r="BR539" s="1124" t="s">
        <v>168</v>
      </c>
      <c r="BS539" s="421">
        <f>IF($P539="","N/A",IF($P539=-1,INDEX('卡片raw data'!AX:AX,MATCH($D539,'卡片raw data'!$F:$F,)),0)+IF($L539="party卡",IF($P539=5,INDEX('卡片raw data'!BD:BD,MATCH($D539,'卡片raw data'!$F:$F,)),IF($P539&gt;=3,INDEX('卡片raw data'!BC:BC,MATCH($D539,'卡片raw data'!$F:$F,)),INDEX('卡片raw data'!BB:BB,MATCH($D539,'卡片raw data'!$F:$F,)))),IF(OR(AND($F539="UR",$P539=0),AND($F539="SR",$P539&gt;=0,$P539&lt;=2),AND($F539="R",$P539&gt;=0,$P539&lt;4)),INDEX('卡片raw data'!AZ:AZ,MATCH($D539,'卡片raw data'!$F:$F,)),0)+IF(OR(AND($F539="UR",$P539&gt;=1,$P539&lt;=4),AND($F539="SR",$P539&lt;=4,$P539&gt;=3),AND($F539="R",$P539=4)),INDEX('卡片raw data'!BA:BA,MATCH($D539,'卡片raw data'!$F:$F,)),0)+IF($P539=5,INDEX('卡片raw data'!BB:BB,MATCH($D539,'卡片raw data'!$F:$F,)),0)))</f>
        <v>0.05</v>
      </c>
      <c r="BT539" s="424">
        <f t="shared" si="722"/>
        <v>3537.2976021542986</v>
      </c>
      <c r="BU539" s="420">
        <f t="shared" si="723"/>
        <v>255.86405005115788</v>
      </c>
      <c r="BV539" s="420">
        <f t="shared" si="724"/>
        <v>0</v>
      </c>
      <c r="BW539" s="436">
        <f t="shared" si="725"/>
        <v>0</v>
      </c>
      <c r="BX539" s="423">
        <f t="shared" si="726"/>
        <v>3537.2976021542986</v>
      </c>
      <c r="BY539" s="433">
        <f t="shared" si="727"/>
        <v>0</v>
      </c>
      <c r="BZ539" s="1113" t="s">
        <v>569</v>
      </c>
      <c r="CA539" s="450"/>
      <c r="CB539" s="421">
        <f>IF($P539="","N/A",IF($P539=-1,INDEX('卡片raw data'!BE:BE,MATCH($D539,'卡片raw data'!$F:$F,)),0)+IF($L539="party卡",IF($P539=5,INDEX('卡片raw data'!BK:BK,MATCH($D539,'卡片raw data'!$F:$F,)),IF($P539&gt;=3,INDEX('卡片raw data'!BJ:BJ,MATCH($D539,'卡片raw data'!$F:$F,)),INDEX('卡片raw data'!BI:BI,MATCH($D539,'卡片raw data'!$F:$F,)))),IF(OR(AND($F539="UR",$P539=0),AND($F539="SR",$P539&gt;=0,$P539&lt;=2),AND($F539="R",$P539&gt;=0,$P539&lt;4)),INDEX('卡片raw data'!BG:BG,MATCH($D539,'卡片raw data'!$F:$F,)),0)+IF(OR(AND($F539="UR",$P539&gt;=1,$P539&lt;=4),AND($F539="SR",$P539&lt;=4,$P539&gt;=3),AND($F539="R",$P539=4)),INDEX('卡片raw data'!BH:BH,MATCH($D539,'卡片raw data'!$F:$F,)),0)+IF($P539=5,INDEX('卡片raw data'!BI:BI,MATCH($D539,'卡片raw data'!$F:$F,)),0)))</f>
        <v>0</v>
      </c>
      <c r="CC539" s="424">
        <f t="shared" si="728"/>
        <v>0</v>
      </c>
      <c r="CD539" s="420">
        <f>IF(BZ539="ap",CB539*(1-$FI$26)*$FB$5/$FB$11*(+IF(CA539="全员",$FA$24,0)+IF(CA539="同作战",$FA$24,0)+IF(CA539="仲间",$FA$24*2/3,0)+IF(CA539="同属性",$FA$24*$FA$37/3,0)+IF(CA539="同年级",$FA$24*$FA$40/3,0)+IF(CA539="同学校",$FA$24*$FA$43/3,0)+IF(CA539="同小队",$FA$24*$FA$46/3,0)+IF(CA539="同type",$FA$24*INDEX($FB$49:$FB$52,MATCH(X539,$FA$49:$FA$52,))/3,0)+IF(CA539="自身",#REF!/3,0)),0)+IF(BZ539="te",CB539*(1-$FI$27)*($FA$20-1)*$FB$7/$FB$13*(+IF(CA539="全员",$FA$19*$FA$24/(1+($FA$20-1)*$FA$19),0)+IF(CA539="同作战",$FA$19*$FA$24/(1+($FA$20-1)*$FA$19),0)+IF(CA539="仲间",$FA$19*$FA$24*2/3/(1+($FA$20-1)*$FA$19),0)+IF(CA539="同属性",$FA$19*$FA$24*$FA$37/3/(1+($FA$20-1)*$FA$19),0)+IF(CA539="同年级",$FA$19*$FA$24*$FA$40/3/(1+($FA$20-1)*$FA$19),0)+IF(CA539="同学校",$FA$19*$FA$24*$FA$43/3/(1+($FA$20-1)*$FA$19),0)+IF(CA539="同小队",$FA$19*$FA$24*$FA$46/3/(1+($FA$20-1)*$FA$19),0)+IF(CA539="同type",$FA$19*$FA$24*INDEX($FB$49:$FB$52,MATCH(X539,$FA$49:$FA$52,))/3/(1+($FA$20-1)*$FA$19),0)+IF(CA539="自身",$FA$19*#REF!/3/(1+(BH539-1)*$BD539),0)),0)</f>
        <v>0</v>
      </c>
      <c r="CE539" s="420">
        <f t="shared" si="729"/>
        <v>0</v>
      </c>
      <c r="CF539" s="436">
        <f t="shared" si="730"/>
        <v>0</v>
      </c>
      <c r="CG539" s="423">
        <f t="shared" si="731"/>
        <v>0</v>
      </c>
      <c r="CH539" s="433">
        <f t="shared" si="732"/>
        <v>0</v>
      </c>
      <c r="CI539" s="1113" t="s">
        <v>162</v>
      </c>
      <c r="CJ539" s="1114">
        <v>1</v>
      </c>
      <c r="CK539" s="1115" t="s">
        <v>4400</v>
      </c>
      <c r="CL539" s="1115" t="s">
        <v>4405</v>
      </c>
      <c r="CM539" s="1119">
        <v>8.5999999999999993E-2</v>
      </c>
      <c r="CN539" s="1115"/>
      <c r="CO539" s="1115">
        <v>2</v>
      </c>
      <c r="CP539" s="1116">
        <f t="shared" si="733"/>
        <v>8.6141941706830281</v>
      </c>
      <c r="CQ539" s="1116">
        <f t="shared" si="734"/>
        <v>13.399857598840267</v>
      </c>
      <c r="CR539" s="1117">
        <f t="shared" si="735"/>
        <v>8.6141941706830281</v>
      </c>
      <c r="CS539" s="442">
        <f t="shared" si="736"/>
        <v>0</v>
      </c>
      <c r="CT539" s="432">
        <f t="shared" si="737"/>
        <v>0</v>
      </c>
      <c r="CU539" s="1101">
        <f t="shared" si="738"/>
        <v>12.318297664076731</v>
      </c>
      <c r="CV539" s="1108">
        <f t="shared" si="768"/>
        <v>0</v>
      </c>
      <c r="CW539" s="420">
        <f t="shared" si="739"/>
        <v>12.318297664076733</v>
      </c>
      <c r="CX539" s="420">
        <f t="shared" si="740"/>
        <v>12.318297664076731</v>
      </c>
      <c r="CY539" s="433">
        <f t="shared" si="741"/>
        <v>12.318297664076733</v>
      </c>
      <c r="CZ539" s="437"/>
      <c r="DA539" s="438"/>
      <c r="DB539" s="439" t="s">
        <v>569</v>
      </c>
      <c r="DC539" s="439"/>
      <c r="DD539" s="443"/>
      <c r="DE539" s="411"/>
      <c r="DF539" s="411"/>
      <c r="DG539" s="1116">
        <f t="shared" si="742"/>
        <v>0</v>
      </c>
      <c r="DH539" s="1116">
        <f t="shared" si="743"/>
        <v>0</v>
      </c>
      <c r="DI539" s="1116">
        <f t="shared" si="744"/>
        <v>0</v>
      </c>
      <c r="DJ539" s="442">
        <f t="shared" si="745"/>
        <v>0</v>
      </c>
      <c r="DK539" s="432">
        <f t="shared" si="746"/>
        <v>0</v>
      </c>
      <c r="DL539" s="424">
        <f t="shared" si="747"/>
        <v>0</v>
      </c>
      <c r="DM539" s="420">
        <f t="shared" si="748"/>
        <v>0</v>
      </c>
      <c r="DN539" s="420">
        <f t="shared" si="749"/>
        <v>0</v>
      </c>
      <c r="DO539" s="420">
        <f t="shared" si="750"/>
        <v>0</v>
      </c>
      <c r="DP539" s="433">
        <f t="shared" si="751"/>
        <v>0</v>
      </c>
      <c r="DQ539" s="1113" t="s">
        <v>2143</v>
      </c>
      <c r="DR539" s="1120">
        <f t="shared" si="769"/>
        <v>0.3</v>
      </c>
      <c r="DS539" s="1124">
        <v>5</v>
      </c>
      <c r="DT539" s="1124" t="s">
        <v>1947</v>
      </c>
      <c r="DU539" s="1093" t="s">
        <v>2145</v>
      </c>
      <c r="DV539" s="1098">
        <f>IF($P539="","N/A",IF(P539=-1,INDEX('卡片raw data'!AN:AN,MATCH(D539,'卡片raw data'!$F:$F,)),0)+IF(AND(L539&lt;&gt;"party卡",P539&lt;=2,P539&gt;=0),INDEX('卡片raw data'!AP:AP,MATCH(D539,'卡片raw data'!$F:$F,)),0)+IF(OR(AND(L539="party卡",P539&lt;=1),AND(P539&lt;=4,L539&lt;&gt;"party卡",P539&gt;=3)),INDEX('卡片raw data'!AQ:AQ,MATCH(D539,'卡片raw data'!$F:$F,)),0)+IF(OR(P539=5,AND(L539="party卡",P539&gt;=2)),INDEX('卡片raw data'!AR:AR,MATCH(D539,'卡片raw data'!$F:$F,)),0))</f>
        <v>4.2000000000000003E-2</v>
      </c>
      <c r="DW539" s="1098">
        <f t="shared" si="752"/>
        <v>0.3</v>
      </c>
      <c r="DX539" s="1098">
        <f t="shared" si="753"/>
        <v>0.3</v>
      </c>
      <c r="DY539" s="1098">
        <f t="shared" si="754"/>
        <v>2.0999999999999998E-2</v>
      </c>
      <c r="DZ539" s="1098">
        <f t="shared" si="755"/>
        <v>1.8164999999999997E-2</v>
      </c>
      <c r="EA539" s="421">
        <f t="shared" si="756"/>
        <v>0</v>
      </c>
      <c r="EB539" s="445">
        <f t="shared" si="757"/>
        <v>4.1901234374999996</v>
      </c>
      <c r="EC539" s="424">
        <f t="shared" si="758"/>
        <v>272.99999999999994</v>
      </c>
      <c r="ED539" s="420">
        <f t="shared" si="759"/>
        <v>181.04449999999994</v>
      </c>
      <c r="EE539" s="433">
        <f t="shared" si="683"/>
        <v>272.99999999999994</v>
      </c>
      <c r="EF539" s="1113" t="s">
        <v>569</v>
      </c>
      <c r="EG539" s="1120">
        <f t="shared" si="770"/>
        <v>0.3</v>
      </c>
      <c r="EH539" s="450"/>
      <c r="EI539" s="1124"/>
      <c r="EJ539" s="1124"/>
      <c r="EK539" s="420">
        <f>IF($P539="","N/A",IF(P539=-1,INDEX('卡片raw data'!AS:AS,MATCH(D539,'卡片raw data'!$F:$F,)),0)+IF(AND(L539&lt;&gt;"party卡",P539&lt;=2,P539&gt;=0),INDEX('卡片raw data'!AU:AU,MATCH(D539,'卡片raw data'!$F:$F,)),0)+IF(OR(AND(L539="party卡",P539&lt;=1),AND(P539&lt;=4,L539&lt;&gt;"party卡",P539&gt;=3)),INDEX('卡片raw data'!AV:AV,MATCH(D539,'卡片raw data'!$F:$F,)),0)+IF(OR(P539=5,AND(L539="party卡",P539&gt;=2)),INDEX('卡片raw data'!AW:AW,MATCH(D539,'卡片raw data'!$F:$F,)),0))</f>
        <v>0</v>
      </c>
      <c r="EL539" s="1098">
        <f t="shared" si="760"/>
        <v>0.3</v>
      </c>
      <c r="EM539" s="1098">
        <f t="shared" si="761"/>
        <v>0.3</v>
      </c>
      <c r="EN539" s="1097">
        <f t="shared" si="762"/>
        <v>0</v>
      </c>
      <c r="EO539" s="1097">
        <f t="shared" si="763"/>
        <v>0</v>
      </c>
      <c r="EP539" s="421">
        <f t="shared" si="764"/>
        <v>0</v>
      </c>
      <c r="EQ539" s="445">
        <f t="shared" si="765"/>
        <v>0</v>
      </c>
      <c r="ER539" s="424">
        <f t="shared" si="766"/>
        <v>0</v>
      </c>
      <c r="ES539" s="420">
        <f t="shared" si="767"/>
        <v>0</v>
      </c>
      <c r="ET539" s="446">
        <f t="shared" si="684"/>
        <v>0</v>
      </c>
    </row>
    <row r="540" spans="2:150" ht="16.5" customHeight="1">
      <c r="B540" s="448" t="str">
        <f>INDEX('卡片raw data'!B:B,MATCH($D540,'卡片raw data'!$F:$F,))</f>
        <v>未熟善</v>
      </c>
      <c r="C540" s="449" t="s">
        <v>4380</v>
      </c>
      <c r="D540" s="408">
        <v>537</v>
      </c>
      <c r="E540" s="477">
        <v>401062005</v>
      </c>
      <c r="F540" s="409" t="str">
        <f>INDEX('卡片raw data'!C:C,MATCH($D540,'卡片raw data'!$F:$F,))</f>
        <v>SR</v>
      </c>
      <c r="G540" s="1094" t="s">
        <v>4392</v>
      </c>
      <c r="H540" s="411">
        <f>IFERROR(INDEX(绊状态确认!C:C,MATCH($G540,绊状态确认!$B:$B,)),"")</f>
        <v>106</v>
      </c>
      <c r="I540" s="450" t="str">
        <f>IFERROR(INDEX(绊状态确认!D:D,MATCH($G540,绊状态确认!$B:$B,)),"")</f>
        <v>水</v>
      </c>
      <c r="J540" s="450" t="str">
        <f>IFERROR(INDEX(绊状态确认!E:E,MATCH($G540,绊状态确认!$B:$B,)),"")</f>
        <v>1年级</v>
      </c>
      <c r="K540" s="451" t="str">
        <f>IFERROR(INDEX(绊状态确认!F:F,MATCH($G540,绊状态确认!$B:$B,)),"")</f>
        <v>Guilty Kiss</v>
      </c>
      <c r="L540" s="414" t="str">
        <f>INDEX('卡片raw data'!E:E,MATCH($D540,'卡片raw data'!$F:$F,))</f>
        <v>活动卡</v>
      </c>
      <c r="M540" s="478">
        <v>44443</v>
      </c>
      <c r="N540" s="479">
        <v>47</v>
      </c>
      <c r="O540" s="410" t="str">
        <f>INDEX('卡片raw data'!D:D,MATCH($D540,'卡片raw data'!$F:$F,))</f>
        <v>gd</v>
      </c>
      <c r="P540" s="1126">
        <v>5</v>
      </c>
      <c r="Q540" s="418">
        <f t="shared" si="688"/>
        <v>17004.769281946858</v>
      </c>
      <c r="R540" s="419">
        <f t="shared" si="689"/>
        <v>0.19700000000000001</v>
      </c>
      <c r="S540" s="420">
        <f t="shared" si="690"/>
        <v>9570.2563875881679</v>
      </c>
      <c r="T540" s="421">
        <f t="shared" si="691"/>
        <v>0.47799999999999998</v>
      </c>
      <c r="U540" s="422">
        <f t="shared" si="692"/>
        <v>487.69437981005052</v>
      </c>
      <c r="V540" s="423">
        <f t="shared" si="693"/>
        <v>68350.602509904566</v>
      </c>
      <c r="W540" s="424">
        <f t="shared" si="694"/>
        <v>4507.7214871259994</v>
      </c>
      <c r="X540" s="419">
        <f t="shared" si="695"/>
        <v>5.1999999999999998E-2</v>
      </c>
      <c r="Y540" s="420">
        <f t="shared" si="696"/>
        <v>1316.2073658163381</v>
      </c>
      <c r="Z540" s="425">
        <f t="shared" si="697"/>
        <v>16.439843838338568</v>
      </c>
      <c r="AA540" s="426">
        <f t="shared" si="698"/>
        <v>5823.9288529423375</v>
      </c>
      <c r="AB540" s="424">
        <f t="shared" si="699"/>
        <v>4507.7214871259994</v>
      </c>
      <c r="AC540" s="427">
        <f t="shared" si="700"/>
        <v>5.1999999999999998E-2</v>
      </c>
      <c r="AD540" s="428">
        <f t="shared" si="701"/>
        <v>-3.8207812500000026E-3</v>
      </c>
      <c r="AE540" s="516">
        <f t="shared" si="702"/>
        <v>-18.525362318840578</v>
      </c>
      <c r="AF540" s="1130">
        <f t="shared" si="703"/>
        <v>6944.836216059768</v>
      </c>
      <c r="AG540" s="420">
        <f t="shared" si="704"/>
        <v>101088.62075088402</v>
      </c>
      <c r="AH540" s="420">
        <f t="shared" si="705"/>
        <v>14.55594021312108</v>
      </c>
      <c r="AI540" s="1097">
        <f t="shared" si="706"/>
        <v>97160.451398797435</v>
      </c>
      <c r="AJ540" s="420">
        <f t="shared" si="707"/>
        <v>68350.602509904566</v>
      </c>
      <c r="AK540" s="518">
        <f t="shared" si="708"/>
        <v>28809.84888889287</v>
      </c>
      <c r="AL540" s="1106">
        <f>IF($P540="","N/A",(IF($P540=-1,INDEX('卡片raw data'!S:S,MATCH($D540,'卡片raw data'!$F:$F,)),0)+IF($P540=0,INDEX('卡片raw data'!V:V,MATCH($D540,'卡片raw data'!$F:$F,)),0)+IF($P540=1,INDEX('卡片raw data'!Y:Y,MATCH($D540,'卡片raw data'!$F:$F,)),0)+IF($P540=2,INDEX('卡片raw data'!AB:AB,MATCH($D540,'卡片raw data'!$F:$F,)),0)+IF($P540=3,INDEX('卡片raw data'!AE:AE,MATCH($D540,'卡片raw data'!$F:$F,)),0)+IF($P540=4,INDEX('卡片raw data'!AH:AH,MATCH($D540,'卡片raw data'!$F:$F,)),0)+IF($P540=5,INDEX('卡片raw data'!AK:AK,MATCH($D540,'卡片raw data'!$F:$F,)),0)+INDEX('卡片raw data'!S:S,MATCH($D540,'卡片raw data'!$F:$F,))*(IF($F540="UR",0.04,0.033))*(IF($F540="UR",INDEX(绊状态确认!$S:$S,MATCH($G540,绊状态确认!$B:$B,))/2-40)+IF($F540="SR",INDEX(绊状态确认!$R:$R,MATCH($G540,绊状态确认!$B:$B,))/4-15))+IF($F540="R",INDEX(绊状态确认!$Q:$Q,MATCH($G540,绊状态确认!$B:$B,))/6-40/6)))*(INDEX(绊状态确认!$H:$H,MATCH($G540,绊状态确认!$B:$B,))+INDEX(绊状态确认!J:J,MATCH($G540,绊状态确认!$B:$B,)))</f>
        <v>4705.684667999999</v>
      </c>
      <c r="AM540" s="1106">
        <f>IF($P540="","N/A",(IF($P540=-1,INDEX('卡片raw data'!T:T,MATCH($D540,'卡片raw data'!$F:$F,)),0)+IF($P540=0,INDEX('卡片raw data'!W:W,MATCH($D540,'卡片raw data'!$F:$F,)),0)+IF($P540=1,INDEX('卡片raw data'!Z:Z,MATCH($D540,'卡片raw data'!$F:$F,)),0)+IF($P540=2,INDEX('卡片raw data'!AC:AC,MATCH($D540,'卡片raw data'!$F:$F,)),0)+IF($P540=3,INDEX('卡片raw data'!AF:AF,MATCH($D540,'卡片raw data'!$F:$F,)),0)+IF($P540=4,INDEX('卡片raw data'!AI:AI,MATCH($D540,'卡片raw data'!$F:$F,)),0)+IF($P540=5,INDEX('卡片raw data'!AL:AL,MATCH($D540,'卡片raw data'!$F:$F,)),0)+INDEX('卡片raw data'!T:T,MATCH($D540,'卡片raw data'!$F:$F,))*(IF($F540="UR",0.04,0.033))*(IF($F540="UR",INDEX(绊状态确认!$S:$S,MATCH($G540,绊状态确认!$B:$B,))/2-40)+IF($F540="SR",INDEX(绊状态确认!$R:$R,MATCH($G540,绊状态确认!$B:$B,))/4-15))+IF($F540="R",INDEX(绊状态确认!$Q:$Q,MATCH($G540,绊状态确认!$B:$B,))/6-40/6)))*(INDEX(绊状态确认!$H:$H,MATCH($G540,绊状态确认!$B:$B,))+INDEX(绊状态确认!K:K,MATCH($G540,绊状态确认!$B:$B,)))</f>
        <v>8235.4976183999988</v>
      </c>
      <c r="AN540" s="1106">
        <f>IF($P540="","N/A",(IF($P540=-1,INDEX('卡片raw data'!U:U,MATCH($D540,'卡片raw data'!$F:$F,)),0)+IF($P540=0,INDEX('卡片raw data'!X:X,MATCH($D540,'卡片raw data'!$F:$F,)),0)+IF($P540=1,INDEX('卡片raw data'!AA:AA,MATCH($D540,'卡片raw data'!$F:$F,)),0)+IF($P540=2,INDEX('卡片raw data'!AD:AD,MATCH($D540,'卡片raw data'!$F:$F,)),0)+IF($P540=3,INDEX('卡片raw data'!AG:AG,MATCH($D540,'卡片raw data'!$F:$F,)),0)+IF($P540=4,INDEX('卡片raw data'!AJ:AJ,MATCH($D540,'卡片raw data'!$F:$F,)),0)+IF($P540=5,INDEX('卡片raw data'!AM:AM,MATCH($D540,'卡片raw data'!$F:$F,)),0)+INDEX('卡片raw data'!U:U,MATCH($D540,'卡片raw data'!$F:$F,))*(IF($F540="UR",0.04,0.033))*(IF($F540="UR",INDEX(绊状态确认!$S:$S,MATCH($G540,绊状态确认!$B:$B,))/2-40)+IF($F540="SR",INDEX(绊状态确认!$R:$R,MATCH($G540,绊状态确认!$B:$B,))/4-15))+IF($F540="R",INDEX(绊状态确认!$Q:$Q,MATCH($G540,绊状态确认!$B:$B,))/6-40/6)))*(INDEX(绊状态确认!$H:$H,MATCH($G540,绊状态确认!$B:$B,))+INDEX(绊状态确认!L:L,MATCH($G540,绊状态确认!$B:$B,)))</f>
        <v>6666.9610631999994</v>
      </c>
      <c r="AO540" s="1107">
        <f t="shared" si="709"/>
        <v>1</v>
      </c>
      <c r="AP540" s="1131">
        <f>1+(INDEX(绊状态确认!$T:$T,MATCH($G540,绊状态确认!$B:$B,))+0.2)*$AO540</f>
        <v>1.3</v>
      </c>
      <c r="AQ540" s="1108">
        <f t="shared" si="710"/>
        <v>15602.422253499997</v>
      </c>
      <c r="AR540" s="1097">
        <f>(AM540*(1+$EX$9)+$EX$35)*(1+(INDEX(绊状态确认!$T:$T,MATCH($G540,绊状态确认!$B:$B,))+0.2)*AO540)*IF(J540=$FF$17,1+$FE$17,1)*IF(I540=$FF$14,1+$FE$14,1)</f>
        <v>13945.454249115999</v>
      </c>
      <c r="AS540" s="1097">
        <f>(AN540*(1+$EX$10)+$EX$36)*(1+(INDEX(绊状态确认!$T:$T,MATCH($G540,绊状态确认!$B:$B,))+0.2)*AO540)*IF(J540=$FF$17,1+$FE$17,1)*IF(I540=$FF$14,1+$FE$14,1)</f>
        <v>14023.106789484</v>
      </c>
      <c r="AT540" s="1093">
        <f>IF(AND(INDEX('卡片raw data'!AK:AK,MATCH($D540,'卡片raw data'!$F:$F,))&lt;INDEX('卡片raw data'!AM:AM,MATCH($D540,'卡片raw data'!$F:$F,)),INDEX('卡片raw data'!AL:AL,MATCH($D540,'卡片raw data'!$F:$F,))&lt;INDEX('卡片raw data'!AM:AM,MATCH($D540,'卡片raw data'!$F:$F,))),1,0)</f>
        <v>0</v>
      </c>
      <c r="AU540" s="1098">
        <f>MIN(AT540*0.15+AS540*0.00003+INDEX(绊状态确认!M:M,MATCH($G540,绊状态确认!$B:$B,)),1)</f>
        <v>0.45069320368452004</v>
      </c>
      <c r="AV540" s="1109">
        <f>(INDEX(绊状态确认!$N:$N,MATCH($G540,绊状态确认!$B:$B,))+1.5)*$EW$21</f>
        <v>2.6599999999999997</v>
      </c>
      <c r="AW540" s="1101">
        <f t="shared" si="711"/>
        <v>14165.381128154191</v>
      </c>
      <c r="AX540" s="1097">
        <f t="shared" si="712"/>
        <v>1199.1988760064073</v>
      </c>
      <c r="AY540" s="1110">
        <f t="shared" si="713"/>
        <v>15364.580004160598</v>
      </c>
      <c r="AZ540" s="429">
        <f t="shared" si="714"/>
        <v>11776.085102599998</v>
      </c>
      <c r="BA540" s="431">
        <f t="shared" si="715"/>
        <v>14131.302123119998</v>
      </c>
      <c r="BB540" s="1097">
        <f>(AM540*(1+$FB$9)+$FB$35)*(1+(INDEX(绊状态确认!$T:$T,MATCH($G540,绊状态确认!$B:$B,))+0.2)*AO540)*IF(J540=$FF$17,1+$FE$17,1)*IF(I540=$FF$14,1+$FE$14,1)*(1+$FE$15)</f>
        <v>13945.454249115999</v>
      </c>
      <c r="BC540" s="1097">
        <f>(AN540*(1+$FB$10)+$FB$36)*(1+(INDEX(绊状态确认!$T:$T,MATCH($G540,绊状态确认!$B:$B,))+0.2)*AO540)*IF(J540=$FF$17,1+$FE$17,1)*IF(I540=$FF$14,1+$FE$14,1)*(1+$FE$15)</f>
        <v>14023.106789484</v>
      </c>
      <c r="BD540" s="1104">
        <f>MIN(AT540*0.15+BC540*0.00003+INDEX(绊状态确认!M:M,MATCH($G540,绊状态确认!$B:$B,)),1)</f>
        <v>0.45069320368452004</v>
      </c>
      <c r="BE540" s="432">
        <f>(INDEX(绊状态确认!$N:$N,MATCH($G540,绊状态确认!$B:$B,))+1.5)</f>
        <v>1.9</v>
      </c>
      <c r="BF540" s="1139">
        <f t="array" ref="BF540">SUMPRODUCT(IF(AZ540*AP540*$FI$16:$FI$23*$FA$22&gt;=$FI$24,$FI$24,AZ540*AP540*$FI$16:$FI$23*$FA$22),$FJ$16:$FJ$23)</f>
        <v>23422.633269071397</v>
      </c>
      <c r="BG540" s="1125">
        <f t="array" ref="BG540">SUMPRODUCT(IF(BE540*AZ540*AP540*$FI$16:$FI$23*$FA$22&gt;=$FI$24,$FI$24,BE540*AZ540*AP540*$FI$16:$FI$23*$FA$22),$FJ$16:$FJ$23)</f>
        <v>44503.003211235649</v>
      </c>
      <c r="BH540" s="1110">
        <f t="shared" si="716"/>
        <v>10974.470911053422</v>
      </c>
      <c r="BI540" s="1111">
        <f>IF(O540="vo",$EW$26/$EW$24*0.05,0)+IF(O540="sk",-$EW$26/$EW$24*(0.05-INDEX(绊状态确认!W:W,MATCH($G540,绊状态确认!$B:$B,)))+0.05*$EW$28,0)+IF(O540="sp",0.05*$EW$32*$EW$30*(1-$EW$33)-(0.05-INDEX(绊状态确认!V:V,MATCH($G540,绊状态确认!$B:$B,)))*$EW$28,0)+IF(O540="gd",-(0.05-INDEX(绊状态确认!X:X,MATCH($G540,绊状态确认!$B:$B,)))*$EW$32*$EW$30*(1-$EW$33),0)</f>
        <v>-585.00000000000011</v>
      </c>
      <c r="BJ540" s="420">
        <f>IF(O540="vo",0.05*(1-$FI$26)*$FA$24,0)+IF(O540="sk",-(0.05-INDEX(绊状态确认!W:W,MATCH($G540,绊状态确认!$B:$B,)))*(1-$FI$26)*$FA$24+0.05*$FA$26,0)+IF(O540="sp",0.05*$FA$32*$FA$27*(1-$FA$33)/$FA$30+0.05*$FA$29/$FA$69*$FA$27*(1-$FA$33)-(0.05-INDEX(绊状态确认!V:V,MATCH($G540,绊状态确认!$B:$B,)))*$FA$26,0)+IF(O540="gd",-(0.05-INDEX(绊状态确认!X:X,MATCH($G540,绊状态确认!$B:$B,)))*$FA$32*$FA$27*(1-$FA$33)/$FA$30-(0.05-INDEX(绊状态确认!X:X,MATCH($G540,绊状态确认!$B:$B,)))*$FA$29/$FA$69*$FA$27*(1-$FA$33),0)</f>
        <v>-795.00000000000011</v>
      </c>
      <c r="BK540" s="1110">
        <f>IF(O540="vo",$EW$26/$EW$24*0.05+$EW$26*(-HP($EW$62,$EW$65,$EW$64)+HP($EW$62,$EW$65,(1.05-INDEX(绊状态确认!U:U,MATCH($G540,绊状态确认!$B:$B,)))*$EW$64)),0)+IF(O540="sk",-$EW$26/$EW$24*(0.05-INDEX(绊状态确认!W:W,MATCH($G540,绊状态确认!$B:$B,)))+0.05*$EW$29,0)+IF(O540="sp",0.05*$EW$32*$EW$30*(1-$EW$33)-(0.05-INDEX(绊状态确认!V:V,MATCH($G540,绊状态确认!$B:$B,)))*$EW$29,0)+IF(O540="gd",-(0.05-INDEX(绊状态确认!X:X,MATCH($G540,绊状态确认!$B:$B,)))*$EW$32*$EW$30*(1-$EW$33)+$EW$26*(-HP($EW$62,$EW$65,$EW$64)+HP($EW$62,$EW$65,0.95*$EW$64)),0)</f>
        <v>1009.5947725176144</v>
      </c>
      <c r="BL540" s="1111">
        <f t="shared" si="717"/>
        <v>-1083.3333333333333</v>
      </c>
      <c r="BM540" s="1110">
        <f t="shared" si="718"/>
        <v>-830.55555555555543</v>
      </c>
      <c r="BN540" s="1113">
        <f t="shared" si="719"/>
        <v>3</v>
      </c>
      <c r="BO540" s="1108">
        <f t="shared" si="720"/>
        <v>4507.7214871259994</v>
      </c>
      <c r="BP540" s="1127">
        <f t="shared" si="721"/>
        <v>221.34103209030098</v>
      </c>
      <c r="BQ540" s="1113" t="s">
        <v>133</v>
      </c>
      <c r="BR540" s="1124" t="s">
        <v>171</v>
      </c>
      <c r="BS540" s="421">
        <f>IF($P540="","N/A",IF($P540=-1,INDEX('卡片raw data'!AX:AX,MATCH($D540,'卡片raw data'!$F:$F,)),0)+IF($L540="party卡",IF($P540=5,INDEX('卡片raw data'!BD:BD,MATCH($D540,'卡片raw data'!$F:$F,)),IF($P540&gt;=3,INDEX('卡片raw data'!BC:BC,MATCH($D540,'卡片raw data'!$F:$F,)),INDEX('卡片raw data'!BB:BB,MATCH($D540,'卡片raw data'!$F:$F,)))),IF(OR(AND($F540="UR",$P540=0),AND($F540="SR",$P540&gt;=0,$P540&lt;=2),AND($F540="R",$P540&gt;=0,$P540&lt;4)),INDEX('卡片raw data'!AZ:AZ,MATCH($D540,'卡片raw data'!$F:$F,)),0)+IF(OR(AND($F540="UR",$P540&gt;=1,$P540&lt;=4),AND($F540="SR",$P540&lt;=4,$P540&gt;=3),AND($F540="R",$P540=4)),INDEX('卡片raw data'!BA:BA,MATCH($D540,'卡片raw data'!$F:$F,)),0)+IF($P540=5,INDEX('卡片raw data'!BB:BB,MATCH($D540,'卡片raw data'!$F:$F,)),0)))</f>
        <v>3.2000000000000001E-2</v>
      </c>
      <c r="BT540" s="424">
        <f t="shared" si="722"/>
        <v>0</v>
      </c>
      <c r="BU540" s="420">
        <f t="shared" si="723"/>
        <v>0</v>
      </c>
      <c r="BV540" s="420">
        <f t="shared" si="724"/>
        <v>0</v>
      </c>
      <c r="BW540" s="436">
        <f t="shared" si="725"/>
        <v>1.498285714285714</v>
      </c>
      <c r="BX540" s="423">
        <f t="shared" si="726"/>
        <v>117.00848980993118</v>
      </c>
      <c r="BY540" s="433">
        <f t="shared" si="727"/>
        <v>117.00848980993118</v>
      </c>
      <c r="BZ540" s="1113" t="s">
        <v>569</v>
      </c>
      <c r="CA540" s="450"/>
      <c r="CB540" s="421">
        <f>IF($P540="","N/A",IF($P540=-1,INDEX('卡片raw data'!BE:BE,MATCH($D540,'卡片raw data'!$F:$F,)),0)+IF($L540="party卡",IF($P540=5,INDEX('卡片raw data'!BK:BK,MATCH($D540,'卡片raw data'!$F:$F,)),IF($P540&gt;=3,INDEX('卡片raw data'!BJ:BJ,MATCH($D540,'卡片raw data'!$F:$F,)),INDEX('卡片raw data'!BI:BI,MATCH($D540,'卡片raw data'!$F:$F,)))),IF(OR(AND($F540="UR",$P540=0),AND($F540="SR",$P540&gt;=0,$P540&lt;=2),AND($F540="R",$P540&gt;=0,$P540&lt;4)),INDEX('卡片raw data'!BG:BG,MATCH($D540,'卡片raw data'!$F:$F,)),0)+IF(OR(AND($F540="UR",$P540&gt;=1,$P540&lt;=4),AND($F540="SR",$P540&lt;=4,$P540&gt;=3),AND($F540="R",$P540=4)),INDEX('卡片raw data'!BH:BH,MATCH($D540,'卡片raw data'!$F:$F,)),0)+IF($P540=5,INDEX('卡片raw data'!BI:BI,MATCH($D540,'卡片raw data'!$F:$F,)),0)))</f>
        <v>0</v>
      </c>
      <c r="CC540" s="424">
        <f t="shared" si="728"/>
        <v>0</v>
      </c>
      <c r="CD540" s="420">
        <f>IF(BZ540="ap",CB540*(1-$FI$26)*$FB$5/$FB$11*(+IF(CA540="全员",$FA$24,0)+IF(CA540="同作战",$FA$24,0)+IF(CA540="仲间",$FA$24*2/3,0)+IF(CA540="同属性",$FA$24*$FA$37/3,0)+IF(CA540="同年级",$FA$24*$FA$40/3,0)+IF(CA540="同学校",$FA$24*$FA$43/3,0)+IF(CA540="同小队",$FA$24*$FA$46/3,0)+IF(CA540="同type",$FA$24*INDEX($FB$49:$FB$52,MATCH(X540,$FA$49:$FA$52,))/3,0)+IF(CA540="自身",#REF!/3,0)),0)+IF(BZ540="te",CB540*(1-$FI$27)*($FA$20-1)*$FB$7/$FB$13*(+IF(CA540="全员",$FA$19*$FA$24/(1+($FA$20-1)*$FA$19),0)+IF(CA540="同作战",$FA$19*$FA$24/(1+($FA$20-1)*$FA$19),0)+IF(CA540="仲间",$FA$19*$FA$24*2/3/(1+($FA$20-1)*$FA$19),0)+IF(CA540="同属性",$FA$19*$FA$24*$FA$37/3/(1+($FA$20-1)*$FA$19),0)+IF(CA540="同年级",$FA$19*$FA$24*$FA$40/3/(1+($FA$20-1)*$FA$19),0)+IF(CA540="同学校",$FA$19*$FA$24*$FA$43/3/(1+($FA$20-1)*$FA$19),0)+IF(CA540="同小队",$FA$19*$FA$24*$FA$46/3/(1+($FA$20-1)*$FA$19),0)+IF(CA540="同type",$FA$19*$FA$24*INDEX($FB$49:$FB$52,MATCH(X540,$FA$49:$FA$52,))/3/(1+($FA$20-1)*$FA$19),0)+IF(CA540="自身",$FA$19*#REF!/3/(1+(BH540-1)*$BD540),0)),0)</f>
        <v>0</v>
      </c>
      <c r="CE540" s="420">
        <f t="shared" si="729"/>
        <v>0</v>
      </c>
      <c r="CF540" s="436">
        <f t="shared" si="730"/>
        <v>0</v>
      </c>
      <c r="CG540" s="423">
        <f t="shared" si="731"/>
        <v>0</v>
      </c>
      <c r="CH540" s="433">
        <f t="shared" si="732"/>
        <v>0</v>
      </c>
      <c r="CI540" s="1113" t="s">
        <v>4406</v>
      </c>
      <c r="CJ540" s="1114">
        <v>1</v>
      </c>
      <c r="CK540" s="1115" t="s">
        <v>4407</v>
      </c>
      <c r="CL540" s="1115" t="s">
        <v>4405</v>
      </c>
      <c r="CM540" s="1119">
        <v>0.2</v>
      </c>
      <c r="CN540" s="1115"/>
      <c r="CO540" s="1115"/>
      <c r="CP540" s="1116">
        <f t="shared" si="733"/>
        <v>0</v>
      </c>
      <c r="CQ540" s="1116">
        <f t="shared" si="734"/>
        <v>0</v>
      </c>
      <c r="CR540" s="1117">
        <f t="shared" si="735"/>
        <v>0</v>
      </c>
      <c r="CS540" s="442">
        <f t="shared" si="736"/>
        <v>0</v>
      </c>
      <c r="CT540" s="432">
        <f t="shared" si="737"/>
        <v>0</v>
      </c>
      <c r="CU540" s="1101">
        <f t="shared" si="738"/>
        <v>0</v>
      </c>
      <c r="CV540" s="1108">
        <f t="shared" si="768"/>
        <v>0</v>
      </c>
      <c r="CW540" s="1097">
        <f t="shared" si="739"/>
        <v>0</v>
      </c>
      <c r="CX540" s="1097">
        <f t="shared" si="740"/>
        <v>0</v>
      </c>
      <c r="CY540" s="1110">
        <f t="shared" si="741"/>
        <v>0</v>
      </c>
      <c r="CZ540" s="437"/>
      <c r="DA540" s="438"/>
      <c r="DB540" s="439" t="s">
        <v>569</v>
      </c>
      <c r="DC540" s="439"/>
      <c r="DD540" s="443"/>
      <c r="DE540" s="411"/>
      <c r="DF540" s="411"/>
      <c r="DG540" s="1116">
        <f t="shared" si="742"/>
        <v>0</v>
      </c>
      <c r="DH540" s="1116">
        <f t="shared" si="743"/>
        <v>0</v>
      </c>
      <c r="DI540" s="1116">
        <f t="shared" si="744"/>
        <v>0</v>
      </c>
      <c r="DJ540" s="442">
        <f t="shared" si="745"/>
        <v>0</v>
      </c>
      <c r="DK540" s="432">
        <f t="shared" si="746"/>
        <v>0</v>
      </c>
      <c r="DL540" s="424">
        <f t="shared" si="747"/>
        <v>0</v>
      </c>
      <c r="DM540" s="420">
        <f t="shared" si="748"/>
        <v>0</v>
      </c>
      <c r="DN540" s="420">
        <f t="shared" si="749"/>
        <v>0</v>
      </c>
      <c r="DO540" s="420">
        <f t="shared" si="750"/>
        <v>0</v>
      </c>
      <c r="DP540" s="433">
        <f t="shared" si="751"/>
        <v>0</v>
      </c>
      <c r="DQ540" s="1113" t="s">
        <v>635</v>
      </c>
      <c r="DR540" s="1120">
        <f t="shared" si="769"/>
        <v>0.3</v>
      </c>
      <c r="DS540" s="1124"/>
      <c r="DT540" s="1093" t="s">
        <v>133</v>
      </c>
      <c r="DU540" s="1124"/>
      <c r="DV540" s="1098">
        <f>IF($P540="","N/A",IF(P540=-1,INDEX('卡片raw data'!AN:AN,MATCH(D540,'卡片raw data'!$F:$F,)),0)+IF(AND(L540&lt;&gt;"party卡",P540&lt;=2,P540&gt;=0),INDEX('卡片raw data'!AP:AP,MATCH(D540,'卡片raw data'!$F:$F,)),0)+IF(OR(AND(L540="party卡",P540&lt;=1),AND(P540&lt;=4,L540&lt;&gt;"party卡",P540&gt;=3)),INDEX('卡片raw data'!AQ:AQ,MATCH(D540,'卡片raw data'!$F:$F,)),0)+IF(OR(P540=5,AND(L540="party卡",P540&gt;=2)),INDEX('卡片raw data'!AR:AR,MATCH(D540,'卡片raw data'!$F:$F,)),0))</f>
        <v>0.32</v>
      </c>
      <c r="DW540" s="1098">
        <f t="shared" si="752"/>
        <v>0.3</v>
      </c>
      <c r="DX540" s="1098">
        <f t="shared" si="753"/>
        <v>0.3</v>
      </c>
      <c r="DY540" s="1097">
        <f t="shared" si="754"/>
        <v>446.25453597171196</v>
      </c>
      <c r="DZ540" s="1097">
        <f t="shared" si="755"/>
        <v>386.01017361553085</v>
      </c>
      <c r="EA540" s="421">
        <f t="shared" si="756"/>
        <v>0</v>
      </c>
      <c r="EB540" s="445">
        <f t="shared" si="757"/>
        <v>0</v>
      </c>
      <c r="EC540" s="424">
        <f t="shared" si="758"/>
        <v>0</v>
      </c>
      <c r="ED540" s="420">
        <f t="shared" si="759"/>
        <v>0</v>
      </c>
      <c r="EE540" s="433">
        <f t="shared" si="683"/>
        <v>48435.03108962375</v>
      </c>
      <c r="EF540" s="1113" t="s">
        <v>569</v>
      </c>
      <c r="EG540" s="1120">
        <f t="shared" si="770"/>
        <v>0.3</v>
      </c>
      <c r="EH540" s="450"/>
      <c r="EI540" s="1124"/>
      <c r="EJ540" s="1124"/>
      <c r="EK540" s="420">
        <f>IF($P540="","N/A",IF(P540=-1,INDEX('卡片raw data'!AS:AS,MATCH(D540,'卡片raw data'!$F:$F,)),0)+IF(AND(L540&lt;&gt;"party卡",P540&lt;=2,P540&gt;=0),INDEX('卡片raw data'!AU:AU,MATCH(D540,'卡片raw data'!$F:$F,)),0)+IF(OR(AND(L540="party卡",P540&lt;=1),AND(P540&lt;=4,L540&lt;&gt;"party卡",P540&gt;=3)),INDEX('卡片raw data'!AV:AV,MATCH(D540,'卡片raw data'!$F:$F,)),0)+IF(OR(P540=5,AND(L540="party卡",P540&gt;=2)),INDEX('卡片raw data'!AW:AW,MATCH(D540,'卡片raw data'!$F:$F,)),0))</f>
        <v>0</v>
      </c>
      <c r="EL540" s="1098">
        <f t="shared" si="760"/>
        <v>0.3</v>
      </c>
      <c r="EM540" s="1098">
        <f t="shared" si="761"/>
        <v>0.3</v>
      </c>
      <c r="EN540" s="1097">
        <f t="shared" si="762"/>
        <v>0</v>
      </c>
      <c r="EO540" s="1097">
        <f t="shared" si="763"/>
        <v>0</v>
      </c>
      <c r="EP540" s="421">
        <f t="shared" si="764"/>
        <v>0</v>
      </c>
      <c r="EQ540" s="445">
        <f t="shared" si="765"/>
        <v>0</v>
      </c>
      <c r="ER540" s="424">
        <f t="shared" si="766"/>
        <v>0</v>
      </c>
      <c r="ES540" s="420">
        <f t="shared" si="767"/>
        <v>0</v>
      </c>
      <c r="ET540" s="446">
        <f t="shared" si="684"/>
        <v>0</v>
      </c>
    </row>
    <row r="541" spans="2:150" ht="16.5" customHeight="1">
      <c r="B541" s="448" t="str">
        <f>INDEX('卡片raw data'!B:B,MATCH($D541,'卡片raw data'!$F:$F,))</f>
        <v>prt艾</v>
      </c>
      <c r="C541" s="449" t="s">
        <v>4434</v>
      </c>
      <c r="D541" s="408">
        <v>538</v>
      </c>
      <c r="E541" s="477">
        <v>302083002</v>
      </c>
      <c r="F541" s="409" t="str">
        <f>INDEX('卡片raw data'!C:C,MATCH($D541,'卡片raw data'!$F:$F,))</f>
        <v>UR</v>
      </c>
      <c r="G541" s="1094" t="s">
        <v>4435</v>
      </c>
      <c r="H541" s="411">
        <f>IFERROR(INDEX(绊状态确认!C:C,MATCH($G541,绊状态确认!$B:$B,)),"")</f>
        <v>208</v>
      </c>
      <c r="I541" s="450" t="str">
        <f>IFERROR(INDEX(绊状态确认!D:D,MATCH($G541,绊状态确认!$B:$B,)),"")</f>
        <v>虹</v>
      </c>
      <c r="J541" s="450" t="str">
        <f>IFERROR(INDEX(绊状态确认!E:E,MATCH($G541,绊状态确认!$B:$B,)),"")</f>
        <v>3年级</v>
      </c>
      <c r="K541" s="451" t="str">
        <f>IFERROR(INDEX(绊状态确认!F:F,MATCH($G541,绊状态确认!$B:$B,)),"")</f>
        <v>QU4RTZ</v>
      </c>
      <c r="L541" s="414" t="str">
        <f>INDEX('卡片raw data'!E:E,MATCH($D541,'卡片raw data'!$F:$F,))</f>
        <v>party卡</v>
      </c>
      <c r="M541" s="478">
        <v>44452</v>
      </c>
      <c r="N541" s="479">
        <v>47.5</v>
      </c>
      <c r="O541" s="410" t="str">
        <f>INDEX('卡片raw data'!D:D,MATCH($D541,'卡片raw data'!$F:$F,))</f>
        <v>sk</v>
      </c>
      <c r="P541" s="1126">
        <v>5</v>
      </c>
      <c r="Q541" s="418">
        <f t="shared" si="688"/>
        <v>62347.290586625131</v>
      </c>
      <c r="R541" s="419">
        <f t="shared" si="689"/>
        <v>0.72399999999999998</v>
      </c>
      <c r="S541" s="420">
        <f t="shared" si="690"/>
        <v>21385.668319031134</v>
      </c>
      <c r="T541" s="421">
        <f t="shared" si="691"/>
        <v>1.069</v>
      </c>
      <c r="U541" s="422">
        <f t="shared" si="692"/>
        <v>14.737429391228572</v>
      </c>
      <c r="V541" s="423">
        <f t="shared" si="693"/>
        <v>65523.147124725576</v>
      </c>
      <c r="W541" s="424">
        <f t="shared" si="694"/>
        <v>7647.1896308426267</v>
      </c>
      <c r="X541" s="419">
        <f t="shared" si="695"/>
        <v>8.7999999999999995E-2</v>
      </c>
      <c r="Y541" s="420">
        <f t="shared" si="696"/>
        <v>1175.8565381004455</v>
      </c>
      <c r="Z541" s="425">
        <f t="shared" si="697"/>
        <v>14.737429391228572</v>
      </c>
      <c r="AA541" s="426">
        <f t="shared" si="698"/>
        <v>8823.0461689430722</v>
      </c>
      <c r="AB541" s="424">
        <f t="shared" si="699"/>
        <v>9284.0839455172536</v>
      </c>
      <c r="AC541" s="427">
        <f t="shared" si="700"/>
        <v>0.107</v>
      </c>
      <c r="AD541" s="428">
        <f t="shared" si="701"/>
        <v>1.4186306818181789E-3</v>
      </c>
      <c r="AE541" s="516">
        <f t="shared" si="702"/>
        <v>2.0537577047458457</v>
      </c>
      <c r="AF541" s="1130">
        <f t="shared" si="703"/>
        <v>0</v>
      </c>
      <c r="AG541" s="420">
        <f t="shared" si="704"/>
        <v>0</v>
      </c>
      <c r="AH541" s="420">
        <f t="shared" si="705"/>
        <v>0</v>
      </c>
      <c r="AI541" s="1097">
        <f t="shared" si="706"/>
        <v>0</v>
      </c>
      <c r="AJ541" s="420">
        <f t="shared" si="707"/>
        <v>0</v>
      </c>
      <c r="AK541" s="518">
        <f t="shared" si="708"/>
        <v>0</v>
      </c>
      <c r="AL541" s="1106">
        <f>IF($P541="","N/A",(IF($P541=-1,INDEX('卡片raw data'!S:S,MATCH($D541,'卡片raw data'!$F:$F,)),0)+IF($P541=0,INDEX('卡片raw data'!V:V,MATCH($D541,'卡片raw data'!$F:$F,)),0)+IF($P541=1,INDEX('卡片raw data'!Y:Y,MATCH($D541,'卡片raw data'!$F:$F,)),0)+IF($P541=2,INDEX('卡片raw data'!AB:AB,MATCH($D541,'卡片raw data'!$F:$F,)),0)+IF($P541=3,INDEX('卡片raw data'!AE:AE,MATCH($D541,'卡片raw data'!$F:$F,)),0)+IF($P541=4,INDEX('卡片raw data'!AH:AH,MATCH($D541,'卡片raw data'!$F:$F,)),0)+IF($P541=5,INDEX('卡片raw data'!AK:AK,MATCH($D541,'卡片raw data'!$F:$F,)),0)+INDEX('卡片raw data'!S:S,MATCH($D541,'卡片raw data'!$F:$F,))*(IF($F541="UR",0.04,0.033))*(IF($F541="UR",INDEX(绊状态确认!$S:$S,MATCH($G541,绊状态确认!$B:$B,))/2-40)+IF($F541="SR",INDEX(绊状态确认!$R:$R,MATCH($G541,绊状态确认!$B:$B,))/4-15))+IF($F541="R",INDEX(绊状态确认!$Q:$Q,MATCH($G541,绊状态确认!$B:$B,))/6-40/6)))*(INDEX(绊状态确认!$H:$H,MATCH($G541,绊状态确认!$B:$B,))+INDEX(绊状态确认!J:J,MATCH($G541,绊状态确认!$B:$B,)))</f>
        <v>14891.385599999998</v>
      </c>
      <c r="AM541" s="1106">
        <f>IF($P541="","N/A",(IF($P541=-1,INDEX('卡片raw data'!T:T,MATCH($D541,'卡片raw data'!$F:$F,)),0)+IF($P541=0,INDEX('卡片raw data'!W:W,MATCH($D541,'卡片raw data'!$F:$F,)),0)+IF($P541=1,INDEX('卡片raw data'!Z:Z,MATCH($D541,'卡片raw data'!$F:$F,)),0)+IF($P541=2,INDEX('卡片raw data'!AC:AC,MATCH($D541,'卡片raw data'!$F:$F,)),0)+IF($P541=3,INDEX('卡片raw data'!AF:AF,MATCH($D541,'卡片raw data'!$F:$F,)),0)+IF($P541=4,INDEX('卡片raw data'!AI:AI,MATCH($D541,'卡片raw data'!$F:$F,)),0)+IF($P541=5,INDEX('卡片raw data'!AL:AL,MATCH($D541,'卡片raw data'!$F:$F,)),0)+INDEX('卡片raw data'!T:T,MATCH($D541,'卡片raw data'!$F:$F,))*(IF($F541="UR",0.04,0.033))*(IF($F541="UR",INDEX(绊状态确认!$S:$S,MATCH($G541,绊状态确认!$B:$B,))/2-40)+IF($F541="SR",INDEX(绊状态确认!$R:$R,MATCH($G541,绊状态确认!$B:$B,))/4-15))+IF($F541="R",INDEX(绊状态确认!$Q:$Q,MATCH($G541,绊状态确认!$B:$B,))/6-40/6)))*(INDEX(绊状态确认!$H:$H,MATCH($G541,绊状态确认!$B:$B,))+INDEX(绊状态确认!K:K,MATCH($G541,绊状态确认!$B:$B,)))</f>
        <v>7071.453551999999</v>
      </c>
      <c r="AN541" s="1106">
        <f>IF($P541="","N/A",(IF($P541=-1,INDEX('卡片raw data'!U:U,MATCH($D541,'卡片raw data'!$F:$F,)),0)+IF($P541=0,INDEX('卡片raw data'!X:X,MATCH($D541,'卡片raw data'!$F:$F,)),0)+IF($P541=1,INDEX('卡片raw data'!AA:AA,MATCH($D541,'卡片raw data'!$F:$F,)),0)+IF($P541=2,INDEX('卡片raw data'!AD:AD,MATCH($D541,'卡片raw data'!$F:$F,)),0)+IF($P541=3,INDEX('卡片raw data'!AG:AG,MATCH($D541,'卡片raw data'!$F:$F,)),0)+IF($P541=4,INDEX('卡片raw data'!AJ:AJ,MATCH($D541,'卡片raw data'!$F:$F,)),0)+IF($P541=5,INDEX('卡片raw data'!AM:AM,MATCH($D541,'卡片raw data'!$F:$F,)),0)+INDEX('卡片raw data'!U:U,MATCH($D541,'卡片raw data'!$F:$F,))*(IF($F541="UR",0.04,0.033))*(IF($F541="UR",INDEX(绊状态确认!$S:$S,MATCH($G541,绊状态确认!$B:$B,))/2-40)+IF($F541="SR",INDEX(绊状态确认!$R:$R,MATCH($G541,绊状态确认!$B:$B,))/4-15))+IF($F541="R",INDEX(绊状态确认!$Q:$Q,MATCH($G541,绊状态确认!$B:$B,))/6-40/6)))*(INDEX(绊状态确认!$H:$H,MATCH($G541,绊状态确认!$B:$B,))+INDEX(绊状态确认!L:L,MATCH($G541,绊状态确认!$B:$B,)))</f>
        <v>15260.988335999999</v>
      </c>
      <c r="AO541" s="1107">
        <f t="shared" si="709"/>
        <v>1</v>
      </c>
      <c r="AP541" s="1131">
        <f>1+(INDEX(绊状态确认!$T:$T,MATCH($G541,绊状态确认!$B:$B,))+0.2)*$AO541</f>
        <v>1.3</v>
      </c>
      <c r="AQ541" s="1108">
        <f t="shared" si="710"/>
        <v>42339.887199999997</v>
      </c>
      <c r="AR541" s="1097">
        <f>(AM541*(1+$EX$9)+$EX$35)*(1+(INDEX(绊状态确认!$T:$T,MATCH($G541,绊状态确认!$B:$B,))+0.2)*AO541)*IF(J541=$FF$17,1+$FE$17,1)*IF(I541=$FF$14,1+$FE$14,1)</f>
        <v>12356.53409848</v>
      </c>
      <c r="AS541" s="1097">
        <f>(AN541*(1+$EX$10)+$EX$36)*(1+(INDEX(绊状态确认!$T:$T,MATCH($G541,绊状态确认!$B:$B,))+0.2)*AO541)*IF(J541=$FF$17,1+$FE$17,1)*IF(I541=$FF$14,1+$FE$14,1)</f>
        <v>26871.177562319997</v>
      </c>
      <c r="AT541" s="1093">
        <f>IF(AND(INDEX('卡片raw data'!AK:AK,MATCH($D541,'卡片raw data'!$F:$F,))&lt;INDEX('卡片raw data'!AM:AM,MATCH($D541,'卡片raw data'!$F:$F,)),INDEX('卡片raw data'!AL:AL,MATCH($D541,'卡片raw data'!$F:$F,))&lt;INDEX('卡片raw data'!AM:AM,MATCH($D541,'卡片raw data'!$F:$F,))),1,0)</f>
        <v>1</v>
      </c>
      <c r="AU541" s="1098">
        <f>MIN(AT541*0.15+AS541*0.00003+INDEX(绊状态确认!M:M,MATCH($G541,绊状态确认!$B:$B,)),1)</f>
        <v>0.98613532686960004</v>
      </c>
      <c r="AV541" s="1109">
        <f>(INDEX(绊状态确认!$N:$N,MATCH($G541,绊状态确认!$B:$B,))+1.5)*$EW$21</f>
        <v>2.6599999999999997</v>
      </c>
      <c r="AW541" s="1101">
        <f t="shared" si="711"/>
        <v>57984.866424765816</v>
      </c>
      <c r="AX541" s="1097">
        <f t="shared" si="712"/>
        <v>1058.848048290515</v>
      </c>
      <c r="AY541" s="1110">
        <f t="shared" si="713"/>
        <v>59043.71447305633</v>
      </c>
      <c r="AZ541" s="429">
        <f t="shared" si="714"/>
        <v>31638.201919999996</v>
      </c>
      <c r="BA541" s="431">
        <f t="shared" si="715"/>
        <v>37965.842303999991</v>
      </c>
      <c r="BB541" s="1097">
        <f>(AM541*(1+$FB$9)+$FB$35)*(1+(INDEX(绊状态确认!$T:$T,MATCH($G541,绊状态确认!$B:$B,))+0.2)*AO541)*IF(J541=$FF$17,1+$FE$17,1)*IF(I541=$FF$14,1+$FE$14,1)*(1+$FE$15)</f>
        <v>12356.53409848</v>
      </c>
      <c r="BC541" s="1097">
        <f>(AN541*(1+$FB$10)+$FB$36)*(1+(INDEX(绊状态确认!$T:$T,MATCH($G541,绊状态确认!$B:$B,))+0.2)*AO541)*IF(J541=$FF$17,1+$FE$17,1)*IF(I541=$FF$14,1+$FE$14,1)*(1+$FE$15)</f>
        <v>26871.177562319997</v>
      </c>
      <c r="BD541" s="1104">
        <f>MIN(AT541*0.15+BC541*0.00003+INDEX(绊状态确认!M:M,MATCH($G541,绊状态确认!$B:$B,)),1)</f>
        <v>0.98613532686960004</v>
      </c>
      <c r="BE541" s="432">
        <f>(INDEX(绊状态确认!$N:$N,MATCH($G541,绊状态确认!$B:$B,))+1.5)</f>
        <v>1.9</v>
      </c>
      <c r="BF541" s="1139">
        <f t="array" ref="BF541">SUMPRODUCT(IF(AZ541*AP541*$FI$16:$FI$23*$FA$22&gt;=$FI$24,$FI$24,AZ541*AP541*$FI$16:$FI$23*$FA$22),$FJ$16:$FJ$23)</f>
        <v>57798.721122880001</v>
      </c>
      <c r="BG541" s="1125">
        <f t="array" ref="BG541">SUMPRODUCT(IF(BE541*AZ541*AP541*$FI$16:$FI$23*$FA$22&gt;=$FI$24,$FI$24,BE541*AZ541*AP541*$FI$16:$FI$23*$FA$22),$FJ$16:$FJ$23)</f>
        <v>60000</v>
      </c>
      <c r="BH541" s="1110">
        <f t="shared" si="716"/>
        <v>19989.826662633292</v>
      </c>
      <c r="BI541" s="1111">
        <f>IF(O541="vo",$EW$26/$EW$24*0.05,0)+IF(O541="sk",-$EW$26/$EW$24*(0.05-INDEX(绊状态确认!W:W,MATCH($G541,绊状态确认!$B:$B,)))+0.05*$EW$28,0)+IF(O541="sp",0.05*$EW$32*$EW$30*(1-$EW$33)-(0.05-INDEX(绊状态确认!V:V,MATCH($G541,绊状态确认!$B:$B,)))*$EW$28,0)+IF(O541="gd",-(0.05-INDEX(绊状态确认!X:X,MATCH($G541,绊状态确认!$B:$B,)))*$EW$32*$EW$30*(1-$EW$33),0)</f>
        <v>-6253.6726349699375</v>
      </c>
      <c r="BJ541" s="420">
        <f>IF(O541="vo",0.05*(1-$FI$26)*$FA$24,0)+IF(O541="sk",-(0.05-INDEX(绊状态确认!W:W,MATCH($G541,绊状态确认!$B:$B,)))*(1-$FI$26)*$FA$24+0.05*$FA$26,0)+IF(O541="sp",0.05*$FA$32*$FA$27*(1-$FA$33)/$FA$30+0.05*$FA$29/$FA$69*$FA$27*(1-$FA$33)-(0.05-INDEX(绊状态确认!V:V,MATCH($G541,绊状态确认!$B:$B,)))*$FA$26,0)+IF(O541="gd",-(0.05-INDEX(绊状态确认!X:X,MATCH($G541,绊状态确认!$B:$B,)))*$FA$32*$FA$27*(1-$FA$33)/$FA$30-(0.05-INDEX(绊状态确认!X:X,MATCH($G541,绊状态确认!$B:$B,)))*$FA$29/$FA$69*$FA$27*(1-$FA$33),0)</f>
        <v>20.459096812499922</v>
      </c>
      <c r="BK541" s="1110">
        <f>IF(O541="vo",$EW$26/$EW$24*0.05+$EW$26*(-HP($EW$62,$EW$65,$EW$64)+HP($EW$62,$EW$65,(1.05-INDEX(绊状态确认!U:U,MATCH($G541,绊状态确认!$B:$B,)))*$EW$64)),0)+IF(O541="sk",-$EW$26/$EW$24*(0.05-INDEX(绊状态确认!W:W,MATCH($G541,绊状态确认!$B:$B,)))+0.05*$EW$29,0)+IF(O541="sp",0.05*$EW$32*$EW$30*(1-$EW$33)-(0.05-INDEX(绊状态确认!V:V,MATCH($G541,绊状态确认!$B:$B,)))*$EW$29,0)+IF(O541="gd",-(0.05-INDEX(绊状态确认!X:X,MATCH($G541,绊状态确认!$B:$B,)))*$EW$32*$EW$30*(1-$EW$33)+$EW$26*(-HP($EW$62,$EW$65,$EW$64)+HP($EW$62,$EW$65,0.95*$EW$64)),0)</f>
        <v>-4253.6726349699375</v>
      </c>
      <c r="BL541" s="1111">
        <f t="shared" si="717"/>
        <v>0</v>
      </c>
      <c r="BM541" s="1110">
        <f t="shared" si="718"/>
        <v>0</v>
      </c>
      <c r="BN541" s="1113">
        <f t="shared" si="719"/>
        <v>4</v>
      </c>
      <c r="BO541" s="1108">
        <f t="shared" si="720"/>
        <v>6010.2953161679998</v>
      </c>
      <c r="BP541" s="1127">
        <f t="shared" si="721"/>
        <v>295.12137612040135</v>
      </c>
      <c r="BQ541" s="1113" t="s">
        <v>132</v>
      </c>
      <c r="BR541" s="1124" t="s">
        <v>171</v>
      </c>
      <c r="BS541" s="421">
        <f>IF($P541="","N/A",IF($P541=-1,INDEX('卡片raw data'!AX:AX,MATCH($D541,'卡片raw data'!$F:$F,)),0)+IF($L541="party卡",IF($P541=5,INDEX('卡片raw data'!BD:BD,MATCH($D541,'卡片raw data'!$F:$F,)),IF($P541&gt;=3,INDEX('卡片raw data'!BC:BC,MATCH($D541,'卡片raw data'!$F:$F,)),INDEX('卡片raw data'!BB:BB,MATCH($D541,'卡片raw data'!$F:$F,)))),IF(OR(AND($F541="UR",$P541=0),AND($F541="SR",$P541&gt;=0,$P541&lt;=2),AND($F541="R",$P541&gt;=0,$P541&lt;4)),INDEX('卡片raw data'!AZ:AZ,MATCH($D541,'卡片raw data'!$F:$F,)),0)+IF(OR(AND($F541="UR",$P541&gt;=1,$P541&lt;=4),AND($F541="SR",$P541&lt;=4,$P541&gt;=3),AND($F541="R",$P541=4)),INDEX('卡片raw data'!BA:BA,MATCH($D541,'卡片raw data'!$F:$F,)),0)+IF($P541=5,INDEX('卡片raw data'!BB:BB,MATCH($D541,'卡片raw data'!$F:$F,)),0)))</f>
        <v>6.5000000000000002E-2</v>
      </c>
      <c r="BT541" s="424">
        <f t="shared" si="722"/>
        <v>3255.5766295909998</v>
      </c>
      <c r="BU541" s="420">
        <f t="shared" si="723"/>
        <v>139.87523555706522</v>
      </c>
      <c r="BV541" s="420">
        <f t="shared" si="724"/>
        <v>1627.7883147955001</v>
      </c>
      <c r="BW541" s="436">
        <f t="shared" si="725"/>
        <v>0</v>
      </c>
      <c r="BX541" s="423">
        <f t="shared" si="726"/>
        <v>3255.5766295909998</v>
      </c>
      <c r="BY541" s="433">
        <f t="shared" si="727"/>
        <v>1627.7883147955001</v>
      </c>
      <c r="BZ541" s="1113" t="s">
        <v>133</v>
      </c>
      <c r="CA541" s="450" t="s">
        <v>171</v>
      </c>
      <c r="CB541" s="421">
        <f>IF($P541="","N/A",IF($P541=-1,INDEX('卡片raw data'!BE:BE,MATCH($D541,'卡片raw data'!$F:$F,)),0)+IF($L541="party卡",IF($P541=5,INDEX('卡片raw data'!BK:BK,MATCH($D541,'卡片raw data'!$F:$F,)),IF($P541&gt;=3,INDEX('卡片raw data'!BJ:BJ,MATCH($D541,'卡片raw data'!$F:$F,)),INDEX('卡片raw data'!BI:BI,MATCH($D541,'卡片raw data'!$F:$F,)))),IF(OR(AND($F541="UR",$P541=0),AND($F541="SR",$P541&gt;=0,$P541&lt;=2),AND($F541="R",$P541&gt;=0,$P541&lt;4)),INDEX('卡片raw data'!BG:BG,MATCH($D541,'卡片raw data'!$F:$F,)),0)+IF(OR(AND($F541="UR",$P541&gt;=1,$P541&lt;=4),AND($F541="SR",$P541&lt;=4,$P541&gt;=3),AND($F541="R",$P541=4)),INDEX('卡片raw data'!BH:BH,MATCH($D541,'卡片raw data'!$F:$F,)),0)+IF($P541=5,INDEX('卡片raw data'!BI:BI,MATCH($D541,'卡片raw data'!$F:$F,)),0)))</f>
        <v>3.2000000000000001E-2</v>
      </c>
      <c r="CC541" s="424">
        <f>IF(BZ541="ap",CB541*$EX$5/$EX$11*(+IF(CA541="全员",$EW$26,0)+IF(CA541="同作战",$EW$26,0)+IF(CA541="仲间",$EW$26*2/3,0)+IF(CA541="同属性",$EW$26*$EW$37/3,0)+IF(CA541="同年级",$EW$26*$EW$40/3,0)+IF(CA541="同学校",$EW$26*$EW$43/3,0)+IF(CA541="同小队",$EW$26*$EW$46/3,0)+IF(CA541="同type",$EW$26*INDEX($EX$49:$EX$52,MATCH(X541,$EW$49:$EW$52,))/3,0)+IF(CA541="自身",$AW541,0)),0)+IF(BZ541="te",CB541*($EW$22-1)*0.00003*$EX$7/$EX$13*(+IF(CA541="全员",$EX$18*$EW$26/(1+($EW$22-1)*$EW$19),0)+IF(CA541="同作战",$EX$18*$EW$26/(1+($EW$22-1)*$EW$19),0)+IF(CA541="仲间",$EX$18*$EW$26/(1+($EW$22-1)*$EW$19)*2/3,0)+IF(CA541="同属性",$EX$18*$EW$26/(1+($EW$22-1)*$EW$19)*$EW$37/3,0)+IF(CA541="同年级",$EX$18*$EW$26/(1+($EW$22-1)*$EW$19)*$EW$40/3,0)+IF(CA541="同学校",$EX$18*$EW$26/(1+($EW$22-1)*$EW$19)*$EW$43/3,0)+IF(CA541="同小队",$EX$18*$EW$26/(1+($EW$22-1)*$EW$19)*$EW$46/3,0)+IF(CA541="同type",$EX$18*$EW$26/(1+($EW$22-1)*$EW$19)*INDEX($EX$49:$EX$52,MATCH(X541,$EW$49:$EW$52,))/3,0)+IF(CA541="自身",$AS541*$AW541/(1+(BE541-1)*$AU541),0)),0)</f>
        <v>0</v>
      </c>
      <c r="CD541" s="420">
        <f>IF(BZ541="ap",CB541*(1-$FI$26)*$FB$5/$FB$11*(+IF(CA541="全员",$FA$24,0)+IF(CA541="同作战",$FA$24,0)+IF(CA541="仲间",$FA$24*2/3,0)+IF(CA541="同属性",$FA$24*$FA$37/3,0)+IF(CA541="同年级",$FA$24*$FA$40/3,0)+IF(CA541="同学校",$FA$24*$FA$43/3,0)+IF(CA541="同小队",$FA$24*$FA$46/3,0)+IF(CA541="同type",$FA$24*INDEX($FB$49:$FB$52,MATCH(X541,$FA$49:$FA$52,))/3,0)+IF(CA541="自身",BQ541/3,0)),0)+IF(BZ541="te",CB541*(1-$FI$27)*($FA$20-1)*$FB$7/$FB$13*(+IF(CA541="全员",$FA$19*$FA$24/(1+($FA$20-1)*$FA$19),0)+IF(CA541="同作战",$FA$19*$FA$24/(1+($FA$20-1)*$FA$19),0)+IF(CA541="仲间",$FA$19*$FA$24*2/3/(1+($FA$20-1)*$FA$19),0)+IF(CA541="同属性",$FA$19*$FA$24*$FA$37/3/(1+($FA$20-1)*$FA$19),0)+IF(CA541="同年级",$FA$19*$FA$24*$FA$40/3/(1+($FA$20-1)*$FA$19),0)+IF(CA541="同学校",$FA$19*$FA$24*$FA$43/3/(1+($FA$20-1)*$FA$19),0)+IF(CA541="同小队",$FA$19*$FA$24*$FA$46/3/(1+($FA$20-1)*$FA$19),0)+IF(CA541="同type",$FA$19*$FA$24*INDEX($FB$49:$FB$52,MATCH(X541,$FA$49:$FA$52,))/3/(1+($FA$20-1)*$FA$19),0)+IF(CA541="自身",$FA$19*BQ541/3/(1+(BE541-1)*$BD541),0)),0)</f>
        <v>0</v>
      </c>
      <c r="CE541" s="420">
        <f t="shared" si="729"/>
        <v>0</v>
      </c>
      <c r="CF541" s="436">
        <f>IF(BZ541="st",CB541*$EX$6/$EX$12*(+IF(CA541="全员",$EX$17*9,0)+IF(CA541="仲间",$EX$17*8,0)+IF(CA541="同作战",$EX$17*3,0)+IF(CA541="同属性",$EX$17*$EW$39,0)+IF(CA541="同年级",$EX$17*$EW$42,0)+IF(CA541="同学校",$EX$17*$EW$45,0)+IF(CA541="同小队",$EX$17*$EW$48,0)+IF(CA541="同type",$EX$17*INDEX($EX$57:$EX$60,MATCH(X541,$EW$57:$EW$60,)),0)+IF(CA541="自身",$AR541)),0)/$EW$65*$EW$78</f>
        <v>1.498285714285714</v>
      </c>
      <c r="CG541" s="423">
        <f t="shared" si="731"/>
        <v>117.00848980993118</v>
      </c>
      <c r="CH541" s="433">
        <f t="shared" si="732"/>
        <v>117.00848980993118</v>
      </c>
      <c r="CI541" s="1113" t="s">
        <v>170</v>
      </c>
      <c r="CJ541" s="1114">
        <v>0.3</v>
      </c>
      <c r="CK541" s="1115" t="s">
        <v>4436</v>
      </c>
      <c r="CL541" s="1115" t="s">
        <v>4437</v>
      </c>
      <c r="CM541" s="1119">
        <v>0.05</v>
      </c>
      <c r="CN541" s="1115">
        <v>3</v>
      </c>
      <c r="CO541" s="1115"/>
      <c r="CP541" s="1118">
        <f t="shared" si="733"/>
        <v>1.0714285714285715E-4</v>
      </c>
      <c r="CQ541" s="1118">
        <f t="shared" si="734"/>
        <v>1.4583333333333335E-4</v>
      </c>
      <c r="CR541" s="1118">
        <f t="shared" si="735"/>
        <v>5.3571428571428569E-5</v>
      </c>
      <c r="CS541" s="442">
        <f t="shared" si="736"/>
        <v>0</v>
      </c>
      <c r="CT541" s="432">
        <f t="shared" si="737"/>
        <v>0</v>
      </c>
      <c r="CU541" s="1101">
        <f t="shared" si="738"/>
        <v>18.211999758254599</v>
      </c>
      <c r="CV541" s="1108">
        <f t="shared" si="768"/>
        <v>1.1489751492187501</v>
      </c>
      <c r="CW541" s="1097">
        <f t="shared" si="739"/>
        <v>9.1059998791272996</v>
      </c>
      <c r="CX541" s="420">
        <f t="shared" si="740"/>
        <v>18.211999758254599</v>
      </c>
      <c r="CY541" s="433">
        <f t="shared" si="741"/>
        <v>9.1059998791272996</v>
      </c>
      <c r="CZ541" s="437"/>
      <c r="DA541" s="438"/>
      <c r="DB541" s="439" t="s">
        <v>569</v>
      </c>
      <c r="DC541" s="439"/>
      <c r="DD541" s="443"/>
      <c r="DE541" s="411"/>
      <c r="DF541" s="411"/>
      <c r="DG541" s="1116">
        <f t="shared" si="742"/>
        <v>0</v>
      </c>
      <c r="DH541" s="1116">
        <f t="shared" si="743"/>
        <v>0</v>
      </c>
      <c r="DI541" s="1116">
        <f t="shared" si="744"/>
        <v>0</v>
      </c>
      <c r="DJ541" s="442">
        <f t="shared" si="745"/>
        <v>0</v>
      </c>
      <c r="DK541" s="432">
        <f t="shared" si="746"/>
        <v>0</v>
      </c>
      <c r="DL541" s="424">
        <f t="shared" si="747"/>
        <v>0</v>
      </c>
      <c r="DM541" s="420">
        <f t="shared" si="748"/>
        <v>0</v>
      </c>
      <c r="DN541" s="420">
        <f t="shared" si="749"/>
        <v>0</v>
      </c>
      <c r="DO541" s="420">
        <f t="shared" si="750"/>
        <v>0</v>
      </c>
      <c r="DP541" s="433">
        <f t="shared" si="751"/>
        <v>0</v>
      </c>
      <c r="DQ541" s="1113" t="s">
        <v>545</v>
      </c>
      <c r="DR541" s="1114">
        <v>0.11</v>
      </c>
      <c r="DS541" s="1124"/>
      <c r="DT541" s="1093" t="s">
        <v>132</v>
      </c>
      <c r="DU541" s="1124"/>
      <c r="DV541" s="1098">
        <f>IF($P541="","N/A",IF(P541=-1,INDEX('卡片raw data'!AN:AN,MATCH(D541,'卡片raw data'!$F:$F,)),0)+IF(AND(L541&lt;&gt;"party卡",P541&lt;=2,P541&gt;=0),INDEX('卡片raw data'!AP:AP,MATCH(D541,'卡片raw data'!$F:$F,)),0)+IF(OR(AND(L541="party卡",P541&lt;=1),AND(P541&lt;=4,L541&lt;&gt;"party卡",P541&gt;=3)),INDEX('卡片raw data'!AQ:AQ,MATCH(D541,'卡片raw data'!$F:$F,)),0)+IF(OR(P541=5,AND(L541="party卡",P541&gt;=2)),INDEX('卡片raw data'!AR:AR,MATCH(D541,'卡片raw data'!$F:$F,)),0))</f>
        <v>0.6</v>
      </c>
      <c r="DW541" s="1098">
        <f t="shared" si="752"/>
        <v>0.11</v>
      </c>
      <c r="DX541" s="1098">
        <f t="shared" si="753"/>
        <v>0.11</v>
      </c>
      <c r="DY541" s="1097">
        <f t="shared" si="754"/>
        <v>1210.9207739199999</v>
      </c>
      <c r="DZ541" s="1097">
        <f t="shared" si="755"/>
        <v>939.23697275865584</v>
      </c>
      <c r="EA541" s="421">
        <f t="shared" si="756"/>
        <v>0</v>
      </c>
      <c r="EB541" s="445">
        <f t="shared" si="757"/>
        <v>0</v>
      </c>
      <c r="EC541" s="424">
        <f t="shared" si="758"/>
        <v>1332.0128513120001</v>
      </c>
      <c r="ED541" s="420">
        <f t="shared" si="759"/>
        <v>939.23697275865584</v>
      </c>
      <c r="EE541" s="433">
        <f t="shared" si="683"/>
        <v>1332.0128513120001</v>
      </c>
      <c r="EF541" s="1113" t="s">
        <v>569</v>
      </c>
      <c r="EG541" s="1114">
        <v>0.11</v>
      </c>
      <c r="EH541" s="450"/>
      <c r="EI541" s="1124"/>
      <c r="EJ541" s="1124"/>
      <c r="EK541" s="420">
        <f>IF($P541="","N/A",IF(P541=-1,INDEX('卡片raw data'!AS:AS,MATCH(D541,'卡片raw data'!$F:$F,)),0)+IF(AND(L541&lt;&gt;"party卡",P541&lt;=2,P541&gt;=0),INDEX('卡片raw data'!AU:AU,MATCH(D541,'卡片raw data'!$F:$F,)),0)+IF(OR(AND(L541="party卡",P541&lt;=1),AND(P541&lt;=4,L541&lt;&gt;"party卡",P541&gt;=3)),INDEX('卡片raw data'!AV:AV,MATCH(D541,'卡片raw data'!$F:$F,)),0)+IF(OR(P541=5,AND(L541="party卡",P541&gt;=2)),INDEX('卡片raw data'!AW:AW,MATCH(D541,'卡片raw data'!$F:$F,)),0))</f>
        <v>0</v>
      </c>
      <c r="EL541" s="1098">
        <f t="shared" si="760"/>
        <v>0.11</v>
      </c>
      <c r="EM541" s="1098">
        <f t="shared" si="761"/>
        <v>0.11</v>
      </c>
      <c r="EN541" s="1097">
        <f t="shared" si="762"/>
        <v>0</v>
      </c>
      <c r="EO541" s="1097">
        <f t="shared" si="763"/>
        <v>0</v>
      </c>
      <c r="EP541" s="421">
        <f t="shared" si="764"/>
        <v>0</v>
      </c>
      <c r="EQ541" s="445">
        <f t="shared" si="765"/>
        <v>0</v>
      </c>
      <c r="ER541" s="424">
        <f t="shared" si="766"/>
        <v>0</v>
      </c>
      <c r="ES541" s="420">
        <f t="shared" si="767"/>
        <v>0</v>
      </c>
      <c r="ET541" s="446">
        <f t="shared" si="684"/>
        <v>0</v>
      </c>
    </row>
    <row r="542" spans="2:150" ht="16.5" customHeight="1">
      <c r="B542" s="448" t="str">
        <f>INDEX('卡片raw data'!B:B,MATCH($D542,'卡片raw data'!$F:$F,))</f>
        <v>未熟南</v>
      </c>
      <c r="C542" s="449" t="s">
        <v>4439</v>
      </c>
      <c r="D542" s="408">
        <v>539</v>
      </c>
      <c r="E542" s="477">
        <v>301032002</v>
      </c>
      <c r="F542" s="409" t="str">
        <f>INDEX('卡片raw data'!C:C,MATCH($D542,'卡片raw data'!$F:$F,))</f>
        <v>SR</v>
      </c>
      <c r="G542" s="1094" t="s">
        <v>4440</v>
      </c>
      <c r="H542" s="411">
        <f>IFERROR(INDEX(绊状态确认!C:C,MATCH($G542,绊状态确认!$B:$B,)),"")</f>
        <v>103</v>
      </c>
      <c r="I542" s="450" t="str">
        <f>IFERROR(INDEX(绊状态确认!D:D,MATCH($G542,绊状态确认!$B:$B,)),"")</f>
        <v>水</v>
      </c>
      <c r="J542" s="450" t="str">
        <f>IFERROR(INDEX(绊状态确认!E:E,MATCH($G542,绊状态确认!$B:$B,)),"")</f>
        <v>3年级</v>
      </c>
      <c r="K542" s="451" t="str">
        <f>IFERROR(INDEX(绊状态确认!F:F,MATCH($G542,绊状态确认!$B:$B,)),"")</f>
        <v>AZALEA</v>
      </c>
      <c r="L542" s="414" t="str">
        <f>INDEX('卡片raw data'!E:E,MATCH($D542,'卡片raw data'!$F:$F,))</f>
        <v>卡池卡</v>
      </c>
      <c r="M542" s="478">
        <v>44452</v>
      </c>
      <c r="N542" s="479">
        <v>47.5</v>
      </c>
      <c r="O542" s="410" t="str">
        <f>INDEX('卡片raw data'!D:D,MATCH($D542,'卡片raw data'!$F:$F,))</f>
        <v>vo</v>
      </c>
      <c r="P542" s="1126">
        <v>5</v>
      </c>
      <c r="Q542" s="418">
        <f t="shared" si="688"/>
        <v>39631.128103036091</v>
      </c>
      <c r="R542" s="419">
        <f t="shared" si="689"/>
        <v>0.46</v>
      </c>
      <c r="S542" s="420">
        <f t="shared" si="690"/>
        <v>16094.954517290142</v>
      </c>
      <c r="T542" s="421">
        <f t="shared" si="691"/>
        <v>0.80400000000000005</v>
      </c>
      <c r="U542" s="422">
        <f t="shared" si="692"/>
        <v>-9.2350313515171436</v>
      </c>
      <c r="V542" s="423">
        <f t="shared" si="693"/>
        <v>39593.896410629844</v>
      </c>
      <c r="W542" s="424">
        <f t="shared" si="694"/>
        <v>5891.8781882125468</v>
      </c>
      <c r="X542" s="419">
        <f t="shared" si="695"/>
        <v>6.8000000000000005E-2</v>
      </c>
      <c r="Y542" s="420">
        <f t="shared" si="696"/>
        <v>1267.4367578354531</v>
      </c>
      <c r="Z542" s="425">
        <f t="shared" si="697"/>
        <v>15.764968648482856</v>
      </c>
      <c r="AA542" s="426">
        <f t="shared" si="698"/>
        <v>7159.3149460479999</v>
      </c>
      <c r="AB542" s="424">
        <f t="shared" si="699"/>
        <v>6693.2508970349463</v>
      </c>
      <c r="AC542" s="427">
        <f t="shared" si="700"/>
        <v>7.6999999999999999E-2</v>
      </c>
      <c r="AD542" s="428">
        <f t="shared" si="701"/>
        <v>-3.8207812500000026E-3</v>
      </c>
      <c r="AE542" s="516">
        <f t="shared" si="702"/>
        <v>-12.27536231884058</v>
      </c>
      <c r="AF542" s="1130">
        <f t="shared" si="703"/>
        <v>0</v>
      </c>
      <c r="AG542" s="420">
        <f t="shared" si="704"/>
        <v>0</v>
      </c>
      <c r="AH542" s="420">
        <f t="shared" si="705"/>
        <v>0</v>
      </c>
      <c r="AI542" s="1097">
        <f t="shared" si="706"/>
        <v>0</v>
      </c>
      <c r="AJ542" s="420">
        <f t="shared" si="707"/>
        <v>0</v>
      </c>
      <c r="AK542" s="518">
        <f t="shared" si="708"/>
        <v>0</v>
      </c>
      <c r="AL542" s="1106">
        <f>IF($P542="","N/A",(IF($P542=-1,INDEX('卡片raw data'!S:S,MATCH($D542,'卡片raw data'!$F:$F,)),0)+IF($P542=0,INDEX('卡片raw data'!V:V,MATCH($D542,'卡片raw data'!$F:$F,)),0)+IF($P542=1,INDEX('卡片raw data'!Y:Y,MATCH($D542,'卡片raw data'!$F:$F,)),0)+IF($P542=2,INDEX('卡片raw data'!AB:AB,MATCH($D542,'卡片raw data'!$F:$F,)),0)+IF($P542=3,INDEX('卡片raw data'!AE:AE,MATCH($D542,'卡片raw data'!$F:$F,)),0)+IF($P542=4,INDEX('卡片raw data'!AH:AH,MATCH($D542,'卡片raw data'!$F:$F,)),0)+IF($P542=5,INDEX('卡片raw data'!AK:AK,MATCH($D542,'卡片raw data'!$F:$F,)),0)+INDEX('卡片raw data'!S:S,MATCH($D542,'卡片raw data'!$F:$F,))*(IF($F542="UR",0.04,0.033))*(IF($F542="UR",INDEX(绊状态确认!$S:$S,MATCH($G542,绊状态确认!$B:$B,))/2-40)+IF($F542="SR",INDEX(绊状态确认!$R:$R,MATCH($G542,绊状态确认!$B:$B,))/4-15))+IF($F542="R",INDEX(绊状态确认!$Q:$Q,MATCH($G542,绊状态确认!$B:$B,))/6-40/6)))*(INDEX(绊状态确认!$H:$H,MATCH($G542,绊状态确认!$B:$B,))+INDEX(绊状态确认!J:J,MATCH($G542,绊状态确认!$B:$B,)))</f>
        <v>9263.0600447999986</v>
      </c>
      <c r="AM542" s="1106">
        <f>IF($P542="","N/A",(IF($P542=-1,INDEX('卡片raw data'!T:T,MATCH($D542,'卡片raw data'!$F:$F,)),0)+IF($P542=0,INDEX('卡片raw data'!W:W,MATCH($D542,'卡片raw data'!$F:$F,)),0)+IF($P542=1,INDEX('卡片raw data'!Z:Z,MATCH($D542,'卡片raw data'!$F:$F,)),0)+IF($P542=2,INDEX('卡片raw data'!AC:AC,MATCH($D542,'卡片raw data'!$F:$F,)),0)+IF($P542=3,INDEX('卡片raw data'!AF:AF,MATCH($D542,'卡片raw data'!$F:$F,)),0)+IF($P542=4,INDEX('卡片raw data'!AI:AI,MATCH($D542,'卡片raw data'!$F:$F,)),0)+IF($P542=5,INDEX('卡片raw data'!AL:AL,MATCH($D542,'卡片raw data'!$F:$F,)),0)+INDEX('卡片raw data'!T:T,MATCH($D542,'卡片raw data'!$F:$F,))*(IF($F542="UR",0.04,0.033))*(IF($F542="UR",INDEX(绊状态确认!$S:$S,MATCH($G542,绊状态确认!$B:$B,))/2-40)+IF($F542="SR",INDEX(绊状态确认!$R:$R,MATCH($G542,绊状态确认!$B:$B,))/4-15))+IF($F542="R",INDEX(绊状态确认!$Q:$Q,MATCH($G542,绊状态确认!$B:$B,))/6-40/6)))*(INDEX(绊状态确认!$H:$H,MATCH($G542,绊状态确认!$B:$B,))+INDEX(绊状态确认!K:K,MATCH($G542,绊状态确认!$B:$B,)))</f>
        <v>8798.5133615999985</v>
      </c>
      <c r="AN542" s="1106">
        <f>IF($P542="","N/A",(IF($P542=-1,INDEX('卡片raw data'!U:U,MATCH($D542,'卡片raw data'!$F:$F,)),0)+IF($P542=0,INDEX('卡片raw data'!X:X,MATCH($D542,'卡片raw data'!$F:$F,)),0)+IF($P542=1,INDEX('卡片raw data'!AA:AA,MATCH($D542,'卡片raw data'!$F:$F,)),0)+IF($P542=2,INDEX('卡片raw data'!AD:AD,MATCH($D542,'卡片raw data'!$F:$F,)),0)+IF($P542=3,INDEX('卡片raw data'!AG:AG,MATCH($D542,'卡片raw data'!$F:$F,)),0)+IF($P542=4,INDEX('卡片raw data'!AJ:AJ,MATCH($D542,'卡片raw data'!$F:$F,)),0)+IF($P542=5,INDEX('卡片raw data'!AM:AM,MATCH($D542,'卡片raw data'!$F:$F,)),0)+INDEX('卡片raw data'!U:U,MATCH($D542,'卡片raw data'!$F:$F,))*(IF($F542="UR",0.04,0.033))*(IF($F542="UR",INDEX(绊状态确认!$S:$S,MATCH($G542,绊状态确认!$B:$B,))/2-40)+IF($F542="SR",INDEX(绊状态确认!$R:$R,MATCH($G542,绊状态确认!$B:$B,))/4-15))+IF($F542="R",INDEX(绊状态确认!$Q:$Q,MATCH($G542,绊状态确认!$B:$B,))/6-40/6)))*(INDEX(绊状态确认!$H:$H,MATCH($G542,绊状态确认!$B:$B,))+INDEX(绊状态确认!L:L,MATCH($G542,绊状态确认!$B:$B,)))</f>
        <v>5092.5925031999986</v>
      </c>
      <c r="AO542" s="1107">
        <f t="shared" si="709"/>
        <v>1</v>
      </c>
      <c r="AP542" s="1131">
        <f>1+(INDEX(绊状态确认!$T:$T,MATCH($G542,绊状态确认!$B:$B,))+0.2)*$AO542</f>
        <v>1.3</v>
      </c>
      <c r="AQ542" s="1108">
        <f t="shared" si="710"/>
        <v>27565.532617599998</v>
      </c>
      <c r="AR542" s="1097">
        <f>(AM542*(1+$EX$9)+$EX$35)*(1+(INDEX(绊状态确认!$T:$T,MATCH($G542,绊状态确认!$B:$B,))+0.2)*AO542)*IF(J542=$FF$17,1+$FE$17,1)*IF(I542=$FF$14,1+$FE$14,1)</f>
        <v>14713.970738583999</v>
      </c>
      <c r="AS542" s="1097">
        <f>(AN542*(1+$EX$10)+$EX$36)*(1+(INDEX(绊状态确认!$T:$T,MATCH($G542,绊状态确认!$B:$B,))+0.2)*AO542)*IF(J542=$FF$17,1+$FE$17,1)*IF(I542=$FF$14,1+$FE$14,1)</f>
        <v>11669.425792283997</v>
      </c>
      <c r="AT542" s="1093">
        <f>IF(AND(INDEX('卡片raw data'!AK:AK,MATCH($D542,'卡片raw data'!$F:$F,))&lt;INDEX('卡片raw data'!AM:AM,MATCH($D542,'卡片raw data'!$F:$F,)),INDEX('卡片raw data'!AL:AL,MATCH($D542,'卡片raw data'!$F:$F,))&lt;INDEX('卡片raw data'!AM:AM,MATCH($D542,'卡片raw data'!$F:$F,))),1,0)</f>
        <v>0</v>
      </c>
      <c r="AU542" s="1098">
        <f>MIN(AT542*0.15+AS542*0.00003+INDEX(绊状态确认!M:M,MATCH($G542,绊状态确认!$B:$B,)),1)</f>
        <v>0.38008277376851995</v>
      </c>
      <c r="AV542" s="1109">
        <f>(INDEX(绊状态确认!$N:$N,MATCH($G542,绊状态确认!$B:$B,))+1.5)*$EW$21</f>
        <v>2.6599999999999997</v>
      </c>
      <c r="AW542" s="1101">
        <f t="shared" si="711"/>
        <v>23348.610761810243</v>
      </c>
      <c r="AX542" s="1097">
        <f t="shared" si="712"/>
        <v>1267.4367578354536</v>
      </c>
      <c r="AY542" s="1110">
        <f t="shared" si="713"/>
        <v>24616.047519645697</v>
      </c>
      <c r="AZ542" s="429">
        <f t="shared" si="714"/>
        <v>20662.967087359997</v>
      </c>
      <c r="BA542" s="431">
        <f t="shared" si="715"/>
        <v>24795.560504831996</v>
      </c>
      <c r="BB542" s="1097">
        <f>(AM542*(1+$FB$9)+$FB$35)*(1+(INDEX(绊状态确认!$T:$T,MATCH($G542,绊状态确认!$B:$B,))+0.2)*AO542)*IF(J542=$FF$17,1+$FE$17,1)*IF(I542=$FF$14,1+$FE$14,1)*(1+$FE$15)</f>
        <v>14713.970738583999</v>
      </c>
      <c r="BC542" s="1097">
        <f>(AN542*(1+$FB$10)+$FB$36)*(1+(INDEX(绊状态确认!$T:$T,MATCH($G542,绊状态确认!$B:$B,))+0.2)*AO542)*IF(J542=$FF$17,1+$FE$17,1)*IF(I542=$FF$14,1+$FE$14,1)*(1+$FE$15)</f>
        <v>11669.425792283997</v>
      </c>
      <c r="BD542" s="1104">
        <f>MIN(AT542*0.15+BC542*0.00003+INDEX(绊状态确认!M:M,MATCH($G542,绊状态确认!$B:$B,)),1)</f>
        <v>0.38008277376851995</v>
      </c>
      <c r="BE542" s="432">
        <f>(INDEX(绊状态确认!$N:$N,MATCH($G542,绊状态确认!$B:$B,))+1.5)</f>
        <v>1.9</v>
      </c>
      <c r="BF542" s="1139">
        <f t="array" ref="BF542">SUMPRODUCT(IF(AZ542*AP542*$FI$16:$FI$23*$FA$22&gt;=$FI$24,$FI$24,AZ542*AP542*$FI$16:$FI$23*$FA$22),$FJ$16:$FJ$23)</f>
        <v>41098.641536759038</v>
      </c>
      <c r="BG542" s="1125">
        <f t="array" ref="BG542">SUMPRODUCT(IF(BE542*AZ542*AP542*$FI$16:$FI$23*$FA$22&gt;=$FI$24,$FI$24,BE542*AZ542*AP542*$FI$16:$FI$23*$FA$22),$FJ$16:$FJ$23)</f>
        <v>60000</v>
      </c>
      <c r="BH542" s="1110">
        <f t="shared" si="716"/>
        <v>16094.240763153584</v>
      </c>
      <c r="BI542" s="1111">
        <f>IF(O542="vo",$EW$26/$EW$24*0.05,0)+IF(O542="sk",-$EW$26/$EW$24*(0.05-INDEX(绊状态确认!W:W,MATCH($G542,绊状态确认!$B:$B,)))+0.05*$EW$28,0)+IF(O542="sp",0.05*$EW$32*$EW$30*(1-$EW$33)-(0.05-INDEX(绊状态确认!V:V,MATCH($G542,绊状态确认!$B:$B,)))*$EW$28,0)+IF(O542="gd",-(0.05-INDEX(绊状态确认!X:X,MATCH($G542,绊状态确认!$B:$B,)))*$EW$32*$EW$30*(1-$EW$33),0)</f>
        <v>7726.3029277443748</v>
      </c>
      <c r="BJ542" s="420">
        <f>IF(O542="vo",0.05*(1-$FI$26)*$FA$24,0)+IF(O542="sk",-(0.05-INDEX(绊状态确认!W:W,MATCH($G542,绊状态确认!$B:$B,)))*(1-$FI$26)*$FA$24+0.05*$FA$26,0)+IF(O542="sp",0.05*$FA$32*$FA$27*(1-$FA$33)/$FA$30+0.05*$FA$29/$FA$69*$FA$27*(1-$FA$33)-(0.05-INDEX(绊状态确认!V:V,MATCH($G542,绊状态确认!$B:$B,)))*$FA$26,0)+IF(O542="gd",-(0.05-INDEX(绊状态确认!X:X,MATCH($G542,绊状态确认!$B:$B,)))*$FA$32*$FA$27*(1-$FA$33)/$FA$30-(0.05-INDEX(绊状态确认!X:X,MATCH($G542,绊状态确认!$B:$B,)))*$FA$29/$FA$69*$FA$27*(1-$FA$33),0)</f>
        <v>393.93433687500004</v>
      </c>
      <c r="BK542" s="1110">
        <f>IF(O542="vo",$EW$26/$EW$24*0.05+$EW$26*(-HP($EW$62,$EW$65,$EW$64)+HP($EW$62,$EW$65,(1.05-INDEX(绊状态确认!U:U,MATCH($G542,绊状态确认!$B:$B,)))*$EW$64)),0)+IF(O542="sk",-$EW$26/$EW$24*(0.05-INDEX(绊状态确认!W:W,MATCH($G542,绊状态确认!$B:$B,)))+0.05*$EW$29,0)+IF(O542="sp",0.05*$EW$32*$EW$30*(1-$EW$33)-(0.05-INDEX(绊状态确认!V:V,MATCH($G542,绊状态确认!$B:$B,)))*$EW$29,0)+IF(O542="gd",-(0.05-INDEX(绊状态确认!X:X,MATCH($G542,绊状态确认!$B:$B,)))*$EW$32*$EW$30*(1-$EW$33)+$EW$26*(-HP($EW$62,$EW$65,$EW$64)+HP($EW$62,$EW$65,0.95*$EW$64)),0)</f>
        <v>6421.6344775026746</v>
      </c>
      <c r="BL542" s="1111">
        <f t="shared" si="717"/>
        <v>-1083.3333333333333</v>
      </c>
      <c r="BM542" s="1110">
        <f t="shared" si="718"/>
        <v>-830.55555555555543</v>
      </c>
      <c r="BN542" s="1113">
        <f t="shared" si="719"/>
        <v>3</v>
      </c>
      <c r="BO542" s="1108">
        <f t="shared" si="720"/>
        <v>4507.7214871259994</v>
      </c>
      <c r="BP542" s="1127">
        <f t="shared" si="721"/>
        <v>221.34103209030098</v>
      </c>
      <c r="BQ542" s="1113" t="s">
        <v>132</v>
      </c>
      <c r="BR542" s="1124" t="s">
        <v>171</v>
      </c>
      <c r="BS542" s="421">
        <f>IF($P542="","N/A",IF($P542=-1,INDEX('卡片raw data'!AX:AX,MATCH($D542,'卡片raw data'!$F:$F,)),0)+IF($L542="party卡",IF($P542=5,INDEX('卡片raw data'!BD:BD,MATCH($D542,'卡片raw data'!$F:$F,)),IF($P542&gt;=3,INDEX('卡片raw data'!BC:BC,MATCH($D542,'卡片raw data'!$F:$F,)),INDEX('卡片raw data'!BB:BB,MATCH($D542,'卡片raw data'!$F:$F,)))),IF(OR(AND($F542="UR",$P542=0),AND($F542="SR",$P542&gt;=0,$P542&lt;=2),AND($F542="R",$P542&gt;=0,$P542&lt;4)),INDEX('卡片raw data'!AZ:AZ,MATCH($D542,'卡片raw data'!$F:$F,)),0)+IF(OR(AND($F542="UR",$P542&gt;=1,$P542&lt;=4),AND($F542="SR",$P542&lt;=4,$P542&gt;=3),AND($F542="R",$P542=4)),INDEX('卡片raw data'!BA:BA,MATCH($D542,'卡片raw data'!$F:$F,)),0)+IF($P542=5,INDEX('卡片raw data'!BB:BB,MATCH($D542,'卡片raw data'!$F:$F,)),0)))</f>
        <v>3.2000000000000001E-2</v>
      </c>
      <c r="BT542" s="424">
        <f t="shared" si="722"/>
        <v>1602.7454176448</v>
      </c>
      <c r="BU542" s="420">
        <f t="shared" si="723"/>
        <v>68.861654428093644</v>
      </c>
      <c r="BV542" s="420">
        <f t="shared" si="724"/>
        <v>801.37270882240011</v>
      </c>
      <c r="BW542" s="436">
        <f t="shared" si="725"/>
        <v>0</v>
      </c>
      <c r="BX542" s="423">
        <f t="shared" si="726"/>
        <v>1602.7454176448</v>
      </c>
      <c r="BY542" s="433">
        <f t="shared" si="727"/>
        <v>801.37270882240011</v>
      </c>
      <c r="BZ542" s="1113" t="s">
        <v>569</v>
      </c>
      <c r="CA542" s="450"/>
      <c r="CB542" s="421">
        <f>IF($P542="","N/A",IF($P542=-1,INDEX('卡片raw data'!BE:BE,MATCH($D542,'卡片raw data'!$F:$F,)),0)+IF($L542="party卡",IF($P542=5,INDEX('卡片raw data'!BK:BK,MATCH($D542,'卡片raw data'!$F:$F,)),IF($P542&gt;=3,INDEX('卡片raw data'!BJ:BJ,MATCH($D542,'卡片raw data'!$F:$F,)),INDEX('卡片raw data'!BI:BI,MATCH($D542,'卡片raw data'!$F:$F,)))),IF(OR(AND($F542="UR",$P542=0),AND($F542="SR",$P542&gt;=0,$P542&lt;=2),AND($F542="R",$P542&gt;=0,$P542&lt;4)),INDEX('卡片raw data'!BG:BG,MATCH($D542,'卡片raw data'!$F:$F,)),0)+IF(OR(AND($F542="UR",$P542&gt;=1,$P542&lt;=4),AND($F542="SR",$P542&lt;=4,$P542&gt;=3),AND($F542="R",$P542=4)),INDEX('卡片raw data'!BH:BH,MATCH($D542,'卡片raw data'!$F:$F,)),0)+IF($P542=5,INDEX('卡片raw data'!BI:BI,MATCH($D542,'卡片raw data'!$F:$F,)),0)))</f>
        <v>0</v>
      </c>
      <c r="CC542" s="424">
        <f t="shared" ref="CC542:CC549" si="771">IF(BZ542="ap",CB542*$EX$5/$EX$11*(+IF(CA542="全员",$EW$26,0)+IF(CA542="同作战",$EW$26,0)+IF(CA542="仲间",$EW$26*2/3,0)+IF(CA542="同属性",$EW$26*$EW$37/3,0)+IF(CA542="同年级",$EW$26*$EW$40/3,0)+IF(CA542="同学校",$EW$26*$EW$43/3,0)+IF(CA542="同小队",$EW$26*$EW$46/3,0)+IF(CA542="同type",$EW$26*INDEX($EX$49:$EX$52,MATCH(O542,$EW$49:$EW$52,))/3,0)+IF(CA542="自身",$AW542,0)),0)+IF(BZ542="te",CB542*($EW$22-1)*0.00003*$EX$7/$EX$13*(+IF(CA542="全员",$EX$18*$EW$26/(1+($EW$22-1)*$EW$19),0)+IF(CA542="同作战",$EX$18*$EW$26/(1+($EW$22-1)*$EW$19),0)+IF(CA542="仲间",$EX$18*$EW$26/(1+($EW$22-1)*$EW$19)*2/3,0)+IF(CA542="同属性",$EX$18*$EW$26/(1+($EW$22-1)*$EW$19)*$EW$37/3,0)+IF(CA542="同年级",$EX$18*$EW$26/(1+($EW$22-1)*$EW$19)*$EW$40/3,0)+IF(CA542="同学校",$EX$18*$EW$26/(1+($EW$22-1)*$EW$19)*$EW$43/3,0)+IF(CA542="同小队",$EX$18*$EW$26/(1+($EW$22-1)*$EW$19)*$EW$46/3,0)+IF(CA542="同type",$EX$18*$EW$26/(1+($EW$22-1)*$EW$19)*INDEX($EX$49:$EX$52,MATCH(O542,$EW$49:$EW$52,))/3,0)+IF(CA542="自身",$AS542*$AW542/(1+(AV542-1)*$AU542),0)),0)</f>
        <v>0</v>
      </c>
      <c r="CD542" s="420">
        <f>IF(BZ542="ap",CB542*(1-$FI$26)*$FB$5/$FB$11*(+IF(CA542="全员",$FA$24,0)+IF(CA542="同作战",$FA$24,0)+IF(CA542="仲间",$FA$24*2/3,0)+IF(CA542="同属性",$FA$24*$FA$37/3,0)+IF(CA542="同年级",$FA$24*$FA$40/3,0)+IF(CA542="同学校",$FA$24*$FA$43/3,0)+IF(CA542="同小队",$FA$24*$FA$46/3,0)+IF(CA542="同type",$FA$24*INDEX($FB$49:$FB$52,MATCH(X542,$FA$49:$FA$52,))/3,0)+IF(CA542="自身",#REF!/3,0)),0)+IF(BZ542="te",CB542*(1-$FI$27)*($FA$20-1)*$FB$7/$FB$13*(+IF(CA542="全员",$FA$19*$FA$24/(1+($FA$20-1)*$FA$19),0)+IF(CA542="同作战",$FA$19*$FA$24/(1+($FA$20-1)*$FA$19),0)+IF(CA542="仲间",$FA$19*$FA$24*2/3/(1+($FA$20-1)*$FA$19),0)+IF(CA542="同属性",$FA$19*$FA$24*$FA$37/3/(1+($FA$20-1)*$FA$19),0)+IF(CA542="同年级",$FA$19*$FA$24*$FA$40/3/(1+($FA$20-1)*$FA$19),0)+IF(CA542="同学校",$FA$19*$FA$24*$FA$43/3/(1+($FA$20-1)*$FA$19),0)+IF(CA542="同小队",$FA$19*$FA$24*$FA$46/3/(1+($FA$20-1)*$FA$19),0)+IF(CA542="同type",$FA$19*$FA$24*INDEX($FB$49:$FB$52,MATCH(X542,$FA$49:$FA$52,))/3/(1+($FA$20-1)*$FA$19),0)+IF(CA542="自身",$FA$19*#REF!/3/(1+(BH542-1)*$BD542),0)),0)</f>
        <v>0</v>
      </c>
      <c r="CE542" s="420">
        <f t="shared" si="729"/>
        <v>0</v>
      </c>
      <c r="CF542" s="436">
        <f t="shared" ref="CF542:CF549" si="772">IF(BZ542="st",CB542*$EX$6/$EX$12*(+IF(CA542="全员",$EX$17*9,0)+IF(CA542="仲间",$EX$17*8,0)+IF(CA542="同作战",$EX$17*3,0)+IF(CA542="同属性",$EX$17*$EW$39,0)+IF(CA542="同年级",$EX$17*$EW$42,0)+IF(CA542="同学校",$EX$17*$EW$45,0)+IF(CA542="同小队",$EX$17*$EW$48,0)+IF(CA542="同type",$EX$17*INDEX($EX$57:$EX$60,MATCH(O542,$EW$57:$EW$60,)),0)+IF(CA542="自身",$AR542)),0)/$EW$65*$EW$78</f>
        <v>0</v>
      </c>
      <c r="CG542" s="423">
        <f t="shared" si="731"/>
        <v>0</v>
      </c>
      <c r="CH542" s="433">
        <f t="shared" si="732"/>
        <v>0</v>
      </c>
      <c r="CI542" s="1113" t="s">
        <v>164</v>
      </c>
      <c r="CJ542" s="1114">
        <v>1</v>
      </c>
      <c r="CK542" s="1115" t="s">
        <v>4441</v>
      </c>
      <c r="CL542" s="1115" t="s">
        <v>4442</v>
      </c>
      <c r="CM542" s="1119">
        <v>0.04</v>
      </c>
      <c r="CN542" s="1115">
        <v>5</v>
      </c>
      <c r="CO542" s="1115"/>
      <c r="CP542" s="1118">
        <f t="shared" si="733"/>
        <v>4.2857142857142859E-3</v>
      </c>
      <c r="CQ542" s="1118">
        <f t="shared" si="734"/>
        <v>6.666666666666668E-3</v>
      </c>
      <c r="CR542" s="1118">
        <f t="shared" si="735"/>
        <v>4.2857142857142859E-3</v>
      </c>
      <c r="CS542" s="442">
        <f t="shared" si="736"/>
        <v>0</v>
      </c>
      <c r="CT542" s="432">
        <f t="shared" si="737"/>
        <v>0</v>
      </c>
      <c r="CU542" s="1101">
        <f t="shared" si="738"/>
        <v>582.78399226414717</v>
      </c>
      <c r="CV542" s="1108">
        <f t="shared" si="768"/>
        <v>43.770481875000016</v>
      </c>
      <c r="CW542" s="420">
        <f t="shared" si="739"/>
        <v>582.78399226414717</v>
      </c>
      <c r="CX542" s="420">
        <f t="shared" si="740"/>
        <v>582.78399226414717</v>
      </c>
      <c r="CY542" s="433">
        <f t="shared" si="741"/>
        <v>582.78399226414717</v>
      </c>
      <c r="CZ542" s="437"/>
      <c r="DA542" s="438"/>
      <c r="DB542" s="439" t="s">
        <v>569</v>
      </c>
      <c r="DC542" s="439"/>
      <c r="DD542" s="443"/>
      <c r="DE542" s="411"/>
      <c r="DF542" s="411"/>
      <c r="DG542" s="1116">
        <f t="shared" si="742"/>
        <v>0</v>
      </c>
      <c r="DH542" s="1116">
        <f t="shared" si="743"/>
        <v>0</v>
      </c>
      <c r="DI542" s="1116">
        <f t="shared" si="744"/>
        <v>0</v>
      </c>
      <c r="DJ542" s="442">
        <f t="shared" si="745"/>
        <v>0</v>
      </c>
      <c r="DK542" s="432">
        <f t="shared" si="746"/>
        <v>0</v>
      </c>
      <c r="DL542" s="424">
        <f t="shared" si="747"/>
        <v>0</v>
      </c>
      <c r="DM542" s="420">
        <f t="shared" si="748"/>
        <v>0</v>
      </c>
      <c r="DN542" s="420">
        <f t="shared" si="749"/>
        <v>0</v>
      </c>
      <c r="DO542" s="420">
        <f t="shared" si="750"/>
        <v>0</v>
      </c>
      <c r="DP542" s="433">
        <f t="shared" si="751"/>
        <v>0</v>
      </c>
      <c r="DQ542" s="1113" t="s">
        <v>2074</v>
      </c>
      <c r="DR542" s="1120">
        <f t="shared" ref="DR542:DR559" si="773">IF(F542="UR",0.33,0.3)</f>
        <v>0.3</v>
      </c>
      <c r="DS542" s="1124">
        <v>5</v>
      </c>
      <c r="DT542" s="1124" t="s">
        <v>4437</v>
      </c>
      <c r="DU542" s="1093" t="s">
        <v>2145</v>
      </c>
      <c r="DV542" s="1098">
        <f>IF($P542="","N/A",IF(P542=-1,INDEX('卡片raw data'!AN:AN,MATCH(D542,'卡片raw data'!$F:$F,)),0)+IF(AND(L542&lt;&gt;"party卡",P542&lt;=2,P542&gt;=0),INDEX('卡片raw data'!AP:AP,MATCH(D542,'卡片raw data'!$F:$F,)),0)+IF(OR(AND(L542="party卡",P542&lt;=1),AND(P542&lt;=4,L542&lt;&gt;"party卡",P542&gt;=3)),INDEX('卡片raw data'!AQ:AQ,MATCH(D542,'卡片raw data'!$F:$F,)),0)+IF(OR(P542=5,AND(L542="party卡",P542&gt;=2)),INDEX('卡片raw data'!AR:AR,MATCH(D542,'卡片raw data'!$F:$F,)),0))</f>
        <v>5.1999999999999998E-2</v>
      </c>
      <c r="DW542" s="1098">
        <f t="shared" si="752"/>
        <v>0.3</v>
      </c>
      <c r="DX542" s="1098">
        <f t="shared" si="753"/>
        <v>0.3</v>
      </c>
      <c r="DY542" s="1098">
        <f t="shared" si="754"/>
        <v>1.7333333333333333E-2</v>
      </c>
      <c r="DZ542" s="1098">
        <f t="shared" si="755"/>
        <v>1.3119166666666666E-2</v>
      </c>
      <c r="EA542" s="421">
        <f t="shared" si="756"/>
        <v>0</v>
      </c>
      <c r="EB542" s="445">
        <f t="shared" si="757"/>
        <v>0</v>
      </c>
      <c r="EC542" s="424">
        <f t="shared" si="758"/>
        <v>2946.2968497798547</v>
      </c>
      <c r="ED542" s="420">
        <f t="shared" si="759"/>
        <v>103.36180442371877</v>
      </c>
      <c r="EE542" s="433">
        <f t="shared" si="683"/>
        <v>2946.2968497798547</v>
      </c>
      <c r="EF542" s="1113" t="s">
        <v>569</v>
      </c>
      <c r="EG542" s="444">
        <f t="shared" ref="EG542:EG559" si="774">IF(F542="UR",0.33,0.3)</f>
        <v>0.3</v>
      </c>
      <c r="EH542" s="450"/>
      <c r="EI542" s="1124"/>
      <c r="EJ542" s="1124"/>
      <c r="EK542" s="1097">
        <f>IF($P542="","N/A",IF(P542=-1,INDEX('卡片raw data'!AS:AS,MATCH(D542,'卡片raw data'!$F:$F,)),0)+IF(AND(L542&lt;&gt;"party卡",P542&lt;=2,P542&gt;=0),INDEX('卡片raw data'!AU:AU,MATCH(D542,'卡片raw data'!$F:$F,)),0)+IF(OR(AND(L542="party卡",P542&lt;=1),AND(P542&lt;=4,L542&lt;&gt;"party卡",P542&gt;=3)),INDEX('卡片raw data'!AV:AV,MATCH(D542,'卡片raw data'!$F:$F,)),0)+IF(OR(P542=5,AND(L542="party卡",P542&gt;=2)),INDEX('卡片raw data'!AW:AW,MATCH(D542,'卡片raw data'!$F:$F,)),0))</f>
        <v>0</v>
      </c>
      <c r="EL542" s="1098">
        <f t="shared" si="760"/>
        <v>0.3</v>
      </c>
      <c r="EM542" s="1098">
        <f t="shared" si="761"/>
        <v>0.3</v>
      </c>
      <c r="EN542" s="1097">
        <f t="shared" si="762"/>
        <v>0</v>
      </c>
      <c r="EO542" s="1097">
        <f t="shared" si="763"/>
        <v>0</v>
      </c>
      <c r="EP542" s="421">
        <f t="shared" si="764"/>
        <v>0</v>
      </c>
      <c r="EQ542" s="445">
        <f t="shared" si="765"/>
        <v>0</v>
      </c>
      <c r="ER542" s="424">
        <f t="shared" si="766"/>
        <v>0</v>
      </c>
      <c r="ES542" s="420">
        <f t="shared" si="767"/>
        <v>0</v>
      </c>
      <c r="ET542" s="446">
        <f t="shared" si="684"/>
        <v>0</v>
      </c>
    </row>
    <row r="543" spans="2:150" ht="16.5" customHeight="1">
      <c r="B543" s="448" t="str">
        <f>INDEX('卡片raw data'!B:B,MATCH($D543,'卡片raw data'!$F:$F,))</f>
        <v>秋雨妮</v>
      </c>
      <c r="C543" s="449" t="s">
        <v>4455</v>
      </c>
      <c r="D543" s="408">
        <v>540</v>
      </c>
      <c r="E543" s="477">
        <v>400093005</v>
      </c>
      <c r="F543" s="409" t="str">
        <f>INDEX('卡片raw data'!C:C,MATCH($D543,'卡片raw data'!$F:$F,))</f>
        <v>UR</v>
      </c>
      <c r="G543" s="1094" t="s">
        <v>4456</v>
      </c>
      <c r="H543" s="411">
        <f>IFERROR(INDEX(绊状态确认!C:C,MATCH($G543,绊状态确认!$B:$B,)),"")</f>
        <v>9</v>
      </c>
      <c r="I543" s="450" t="str">
        <f>IFERROR(INDEX(绊状态确认!D:D,MATCH($G543,绊状态确认!$B:$B,)),"")</f>
        <v>缪</v>
      </c>
      <c r="J543" s="450" t="str">
        <f>IFERROR(INDEX(绊状态确认!E:E,MATCH($G543,绊状态确认!$B:$B,)),"")</f>
        <v>3年级</v>
      </c>
      <c r="K543" s="451" t="str">
        <f>IFERROR(INDEX(绊状态确认!F:F,MATCH($G543,绊状态确认!$B:$B,)),"")</f>
        <v>BiBi</v>
      </c>
      <c r="L543" s="414" t="str">
        <f>INDEX('卡片raw data'!E:E,MATCH($D543,'卡片raw data'!$F:$F,))</f>
        <v>卡池卡</v>
      </c>
      <c r="M543" s="478">
        <v>44455</v>
      </c>
      <c r="N543" s="479">
        <v>48</v>
      </c>
      <c r="O543" s="410" t="str">
        <f>INDEX('卡片raw data'!D:D,MATCH($D543,'卡片raw data'!$F:$F,))</f>
        <v>sk</v>
      </c>
      <c r="P543" s="1126">
        <v>5</v>
      </c>
      <c r="Q543" s="418">
        <f t="shared" si="688"/>
        <v>60846.374687536263</v>
      </c>
      <c r="R543" s="419">
        <f t="shared" si="689"/>
        <v>0.70699999999999996</v>
      </c>
      <c r="S543" s="420">
        <f t="shared" si="690"/>
        <v>20425.48810056458</v>
      </c>
      <c r="T543" s="421">
        <f t="shared" si="691"/>
        <v>1.0209999999999999</v>
      </c>
      <c r="U543" s="422">
        <f t="shared" si="692"/>
        <v>17.500938572742854</v>
      </c>
      <c r="V543" s="423">
        <f t="shared" si="693"/>
        <v>64258.438291292776</v>
      </c>
      <c r="W543" s="424">
        <f t="shared" si="694"/>
        <v>5809.9521389623987</v>
      </c>
      <c r="X543" s="419">
        <f t="shared" si="695"/>
        <v>6.7000000000000004E-2</v>
      </c>
      <c r="Y543" s="420">
        <f t="shared" si="696"/>
        <v>1412.0636037565146</v>
      </c>
      <c r="Z543" s="425">
        <f t="shared" si="697"/>
        <v>17.500938572742854</v>
      </c>
      <c r="AA543" s="426">
        <f t="shared" si="698"/>
        <v>7222.0157427189133</v>
      </c>
      <c r="AB543" s="424">
        <f t="shared" si="699"/>
        <v>9013.9238817920195</v>
      </c>
      <c r="AC543" s="427">
        <f t="shared" si="700"/>
        <v>0.104</v>
      </c>
      <c r="AD543" s="428">
        <f t="shared" si="701"/>
        <v>2.1769318181818181E-2</v>
      </c>
      <c r="AE543" s="516">
        <f t="shared" si="702"/>
        <v>11.953757704745847</v>
      </c>
      <c r="AF543" s="1130">
        <f t="shared" si="703"/>
        <v>0</v>
      </c>
      <c r="AG543" s="420">
        <f t="shared" si="704"/>
        <v>0</v>
      </c>
      <c r="AH543" s="420">
        <f t="shared" si="705"/>
        <v>0</v>
      </c>
      <c r="AI543" s="1097">
        <f t="shared" si="706"/>
        <v>0</v>
      </c>
      <c r="AJ543" s="420">
        <f t="shared" si="707"/>
        <v>0</v>
      </c>
      <c r="AK543" s="518">
        <f t="shared" si="708"/>
        <v>0</v>
      </c>
      <c r="AL543" s="1106">
        <f>IF($P543="","N/A",(IF($P543=-1,INDEX('卡片raw data'!S:S,MATCH($D543,'卡片raw data'!$F:$F,)),0)+IF($P543=0,INDEX('卡片raw data'!V:V,MATCH($D543,'卡片raw data'!$F:$F,)),0)+IF($P543=1,INDEX('卡片raw data'!Y:Y,MATCH($D543,'卡片raw data'!$F:$F,)),0)+IF($P543=2,INDEX('卡片raw data'!AB:AB,MATCH($D543,'卡片raw data'!$F:$F,)),0)+IF($P543=3,INDEX('卡片raw data'!AE:AE,MATCH($D543,'卡片raw data'!$F:$F,)),0)+IF($P543=4,INDEX('卡片raw data'!AH:AH,MATCH($D543,'卡片raw data'!$F:$F,)),0)+IF($P543=5,INDEX('卡片raw data'!AK:AK,MATCH($D543,'卡片raw data'!$F:$F,)),0)+INDEX('卡片raw data'!S:S,MATCH($D543,'卡片raw data'!$F:$F,))*(IF($F543="UR",0.04,0.033))*(IF($F543="UR",INDEX(绊状态确认!$S:$S,MATCH($G543,绊状态确认!$B:$B,))/2-40)+IF($F543="SR",INDEX(绊状态确认!$R:$R,MATCH($G543,绊状态确认!$B:$B,))/4-15))+IF($F543="R",INDEX(绊状态确认!$Q:$Q,MATCH($G543,绊状态确认!$B:$B,))/6-40/6)))*(INDEX(绊状态确认!$H:$H,MATCH($G543,绊状态确认!$B:$B,))+INDEX(绊状态确认!J:J,MATCH($G543,绊状态确认!$B:$B,)))</f>
        <v>13827.715199999999</v>
      </c>
      <c r="AM543" s="1106">
        <f>IF($P543="","N/A",(IF($P543=-1,INDEX('卡片raw data'!T:T,MATCH($D543,'卡片raw data'!$F:$F,)),0)+IF($P543=0,INDEX('卡片raw data'!W:W,MATCH($D543,'卡片raw data'!$F:$F,)),0)+IF($P543=1,INDEX('卡片raw data'!Z:Z,MATCH($D543,'卡片raw data'!$F:$F,)),0)+IF($P543=2,INDEX('卡片raw data'!AC:AC,MATCH($D543,'卡片raw data'!$F:$F,)),0)+IF($P543=3,INDEX('卡片raw data'!AF:AF,MATCH($D543,'卡片raw data'!$F:$F,)),0)+IF($P543=4,INDEX('卡片raw data'!AI:AI,MATCH($D543,'卡片raw data'!$F:$F,)),0)+IF($P543=5,INDEX('卡片raw data'!AL:AL,MATCH($D543,'卡片raw data'!$F:$F,)),0)+INDEX('卡片raw data'!T:T,MATCH($D543,'卡片raw data'!$F:$F,))*(IF($F543="UR",0.04,0.033))*(IF($F543="UR",INDEX(绊状态确认!$S:$S,MATCH($G543,绊状态确认!$B:$B,))/2-40)+IF($F543="SR",INDEX(绊状态确认!$R:$R,MATCH($G543,绊状态确认!$B:$B,))/4-15))+IF($F543="R",INDEX(绊状态确认!$Q:$Q,MATCH($G543,绊状态确认!$B:$B,))/6-40/6)))*(INDEX(绊状态确认!$H:$H,MATCH($G543,绊状态确认!$B:$B,))+INDEX(绊状态确认!K:K,MATCH($G543,绊状态确认!$B:$B,)))</f>
        <v>9985.5013439999984</v>
      </c>
      <c r="AN543" s="1106">
        <f>IF($P543="","N/A",(IF($P543=-1,INDEX('卡片raw data'!U:U,MATCH($D543,'卡片raw data'!$F:$F,)),0)+IF($P543=0,INDEX('卡片raw data'!X:X,MATCH($D543,'卡片raw data'!$F:$F,)),0)+IF($P543=1,INDEX('卡片raw data'!AA:AA,MATCH($D543,'卡片raw data'!$F:$F,)),0)+IF($P543=2,INDEX('卡片raw data'!AD:AD,MATCH($D543,'卡片raw data'!$F:$F,)),0)+IF($P543=3,INDEX('卡片raw data'!AG:AG,MATCH($D543,'卡片raw data'!$F:$F,)),0)+IF($P543=4,INDEX('卡片raw data'!AJ:AJ,MATCH($D543,'卡片raw data'!$F:$F,)),0)+IF($P543=5,INDEX('卡片raw data'!AM:AM,MATCH($D543,'卡片raw data'!$F:$F,)),0)+INDEX('卡片raw data'!U:U,MATCH($D543,'卡片raw data'!$F:$F,))*(IF($F543="UR",0.04,0.033))*(IF($F543="UR",INDEX(绊状态确认!$S:$S,MATCH($G543,绊状态确认!$B:$B,))/2-40)+IF($F543="SR",INDEX(绊状态确认!$R:$R,MATCH($G543,绊状态确认!$B:$B,))/4-15))+IF($F543="R",INDEX(绊状态确认!$Q:$Q,MATCH($G543,绊状态确认!$B:$B,))/6-40/6)))*(INDEX(绊状态确认!$H:$H,MATCH($G543,绊状态确认!$B:$B,))+INDEX(绊状态确认!L:L,MATCH($G543,绊状态确认!$B:$B,)))</f>
        <v>14594.739743999997</v>
      </c>
      <c r="AO543" s="1107">
        <f t="shared" si="709"/>
        <v>1</v>
      </c>
      <c r="AP543" s="1131">
        <f>1+(INDEX(绊状态确认!$T:$T,MATCH($G543,绊状态确认!$B:$B,))+0.2)*$AO543</f>
        <v>1.3</v>
      </c>
      <c r="AQ543" s="1108">
        <f t="shared" si="710"/>
        <v>39547.752399999998</v>
      </c>
      <c r="AR543" s="1097">
        <f>(AM543*(1+$EX$9)+$EX$35)*(1+(INDEX(绊状态确认!$T:$T,MATCH($G543,绊状态确认!$B:$B,))+0.2)*AO543)*IF(J543=$FF$17,1+$FE$17,1)*IF(I543=$FF$14,1+$FE$14,1)</f>
        <v>16334.209334559999</v>
      </c>
      <c r="AS543" s="1097">
        <f>(AN543*(1+$EX$10)+$EX$36)*(1+(INDEX(绊状态确认!$T:$T,MATCH($G543,绊状态确认!$B:$B,))+0.2)*AO543)*IF(J543=$FF$17,1+$FE$17,1)*IF(I543=$FF$14,1+$FE$14,1)</f>
        <v>25875.135917279997</v>
      </c>
      <c r="AT543" s="1093">
        <f>IF(AND(INDEX('卡片raw data'!AK:AK,MATCH($D543,'卡片raw data'!$F:$F,))&lt;INDEX('卡片raw data'!AM:AM,MATCH($D543,'卡片raw data'!$F:$F,)),INDEX('卡片raw data'!AL:AL,MATCH($D543,'卡片raw data'!$F:$F,))&lt;INDEX('卡片raw data'!AM:AM,MATCH($D543,'卡片raw data'!$F:$F,))),1,0)</f>
        <v>1</v>
      </c>
      <c r="AU543" s="1098">
        <f>MIN(AT543*0.15+AS543*0.00003+INDEX(绊状态确认!M:M,MATCH($G543,绊状态确认!$B:$B,)),1)</f>
        <v>0.95625407751839997</v>
      </c>
      <c r="AV543" s="1109">
        <f>(INDEX(绊状态确认!$N:$N,MATCH($G543,绊状态确认!$B:$B,))+1.5)*$EW$21</f>
        <v>2.6599999999999997</v>
      </c>
      <c r="AW543" s="1101">
        <f t="shared" si="711"/>
        <v>53142.218902440589</v>
      </c>
      <c r="AX543" s="1097">
        <f t="shared" si="712"/>
        <v>1412.0636037565143</v>
      </c>
      <c r="AY543" s="1110">
        <f t="shared" si="713"/>
        <v>54554.282506197102</v>
      </c>
      <c r="AZ543" s="429">
        <f t="shared" si="714"/>
        <v>29564.044639999996</v>
      </c>
      <c r="BA543" s="431">
        <f t="shared" si="715"/>
        <v>35476.853567999991</v>
      </c>
      <c r="BB543" s="1097">
        <f>(AM543*(1+$FB$9)+$FB$35)*(1+(INDEX(绊状态确认!$T:$T,MATCH($G543,绊状态确认!$B:$B,))+0.2)*AO543)*IF(J543=$FF$17,1+$FE$17,1)*IF(I543=$FF$14,1+$FE$14,1)*(1+$FE$15)</f>
        <v>16334.209334559999</v>
      </c>
      <c r="BC543" s="1097">
        <f>(AN543*(1+$FB$10)+$FB$36)*(1+(INDEX(绊状态确认!$T:$T,MATCH($G543,绊状态确认!$B:$B,))+0.2)*AO543)*IF(J543=$FF$17,1+$FE$17,1)*IF(I543=$FF$14,1+$FE$14,1)*(1+$FE$15)</f>
        <v>25875.135917279997</v>
      </c>
      <c r="BD543" s="1104">
        <f>MIN(AT543*0.15+BC543*0.00003+INDEX(绊状态确认!M:M,MATCH($G543,绊状态确认!$B:$B,)),1)</f>
        <v>0.95625407751839997</v>
      </c>
      <c r="BE543" s="432">
        <f>(INDEX(绊状态确认!$N:$N,MATCH($G543,绊状态确认!$B:$B,))+1.5)</f>
        <v>1.9</v>
      </c>
      <c r="BF543" s="1139">
        <f t="array" ref="BF543">SUMPRODUCT(IF(AZ543*AP543*$FI$16:$FI$23*$FA$22&gt;=$FI$24,$FI$24,AZ543*AP543*$FI$16:$FI$23*$FA$22),$FJ$16:$FJ$23)</f>
        <v>55899.604166559999</v>
      </c>
      <c r="BG543" s="1125">
        <f t="array" ref="BG543">SUMPRODUCT(IF(BE543*AZ543*AP543*$FI$16:$FI$23*$FA$22&gt;=$FI$24,$FI$24,BE543*AZ543*AP543*$FI$16:$FI$23*$FA$22),$FJ$16:$FJ$23)</f>
        <v>60000</v>
      </c>
      <c r="BH543" s="1110">
        <f t="shared" si="716"/>
        <v>19940.208133908818</v>
      </c>
      <c r="BI543" s="1111">
        <f>IF(O543="vo",$EW$26/$EW$24*0.05,0)+IF(O543="sk",-$EW$26/$EW$24*(0.05-INDEX(绊状态确认!W:W,MATCH($G543,绊状态确认!$B:$B,)))+0.05*$EW$28,0)+IF(O543="sp",0.05*$EW$32*$EW$30*(1-$EW$33)-(0.05-INDEX(绊状态确认!V:V,MATCH($G543,绊状态确认!$B:$B,)))*$EW$28,0)+IF(O543="gd",-(0.05-INDEX(绊状态确认!X:X,MATCH($G543,绊状态确认!$B:$B,)))*$EW$32*$EW$30*(1-$EW$33),0)</f>
        <v>-6253.6726349699375</v>
      </c>
      <c r="BJ543" s="420">
        <f>IF(O543="vo",0.05*(1-$FI$26)*$FA$24,0)+IF(O543="sk",-(0.05-INDEX(绊状态确认!W:W,MATCH($G543,绊状态确认!$B:$B,)))*(1-$FI$26)*$FA$24+0.05*$FA$26,0)+IF(O543="sp",0.05*$FA$32*$FA$27*(1-$FA$33)/$FA$30+0.05*$FA$29/$FA$69*$FA$27*(1-$FA$33)-(0.05-INDEX(绊状态确认!V:V,MATCH($G543,绊状态确认!$B:$B,)))*$FA$26,0)+IF(O543="gd",-(0.05-INDEX(绊状态确认!X:X,MATCH($G543,绊状态确认!$B:$B,)))*$FA$32*$FA$27*(1-$FA$33)/$FA$30-(0.05-INDEX(绊状态确认!X:X,MATCH($G543,绊状态确认!$B:$B,)))*$FA$29/$FA$69*$FA$27*(1-$FA$33),0)</f>
        <v>20.459096812499922</v>
      </c>
      <c r="BK543" s="1110">
        <f>IF(O543="vo",$EW$26/$EW$24*0.05+$EW$26*(-HP($EW$62,$EW$65,$EW$64)+HP($EW$62,$EW$65,(1.05-INDEX(绊状态确认!U:U,MATCH($G543,绊状态确认!$B:$B,)))*$EW$64)),0)+IF(O543="sk",-$EW$26/$EW$24*(0.05-INDEX(绊状态确认!W:W,MATCH($G543,绊状态确认!$B:$B,)))+0.05*$EW$29,0)+IF(O543="sp",0.05*$EW$32*$EW$30*(1-$EW$33)-(0.05-INDEX(绊状态确认!V:V,MATCH($G543,绊状态确认!$B:$B,)))*$EW$29,0)+IF(O543="gd",-(0.05-INDEX(绊状态确认!X:X,MATCH($G543,绊状态确认!$B:$B,)))*$EW$32*$EW$30*(1-$EW$33)+$EW$26*(-HP($EW$62,$EW$65,$EW$64)+HP($EW$62,$EW$65,0.95*$EW$64)),0)</f>
        <v>-4253.6726349699375</v>
      </c>
      <c r="BL543" s="1111">
        <f t="shared" si="717"/>
        <v>0</v>
      </c>
      <c r="BM543" s="1110">
        <f t="shared" si="718"/>
        <v>0</v>
      </c>
      <c r="BN543" s="1113">
        <f t="shared" si="719"/>
        <v>3</v>
      </c>
      <c r="BO543" s="1108">
        <f t="shared" si="720"/>
        <v>4507.7214871259994</v>
      </c>
      <c r="BP543" s="1127">
        <f t="shared" si="721"/>
        <v>221.34103209030098</v>
      </c>
      <c r="BQ543" s="1113" t="s">
        <v>132</v>
      </c>
      <c r="BR543" s="1124" t="s">
        <v>171</v>
      </c>
      <c r="BS543" s="421">
        <f>IF($P543="","N/A",IF($P543=-1,INDEX('卡片raw data'!AX:AX,MATCH($D543,'卡片raw data'!$F:$F,)),0)+IF($L543="party卡",IF($P543=5,INDEX('卡片raw data'!BD:BD,MATCH($D543,'卡片raw data'!$F:$F,)),IF($P543&gt;=3,INDEX('卡片raw data'!BC:BC,MATCH($D543,'卡片raw data'!$F:$F,)),INDEX('卡片raw data'!BB:BB,MATCH($D543,'卡片raw data'!$F:$F,)))),IF(OR(AND($F543="UR",$P543=0),AND($F543="SR",$P543&gt;=0,$P543&lt;=2),AND($F543="R",$P543&gt;=0,$P543&lt;4)),INDEX('卡片raw data'!AZ:AZ,MATCH($D543,'卡片raw data'!$F:$F,)),0)+IF(OR(AND($F543="UR",$P543&gt;=1,$P543&lt;=4),AND($F543="SR",$P543&lt;=4,$P543&gt;=3),AND($F543="R",$P543=4)),INDEX('卡片raw data'!BA:BA,MATCH($D543,'卡片raw data'!$F:$F,)),0)+IF($P543=5,INDEX('卡片raw data'!BB:BB,MATCH($D543,'卡片raw data'!$F:$F,)),0)))</f>
        <v>5.1999999999999998E-2</v>
      </c>
      <c r="BT543" s="424">
        <f t="shared" si="722"/>
        <v>2604.4613036728001</v>
      </c>
      <c r="BU543" s="420">
        <f t="shared" si="723"/>
        <v>111.90018844565216</v>
      </c>
      <c r="BV543" s="420">
        <f t="shared" si="724"/>
        <v>1302.2306518363998</v>
      </c>
      <c r="BW543" s="436">
        <f t="shared" si="725"/>
        <v>0</v>
      </c>
      <c r="BX543" s="423">
        <f t="shared" si="726"/>
        <v>2604.4613036728001</v>
      </c>
      <c r="BY543" s="433">
        <f t="shared" si="727"/>
        <v>1302.2306518363998</v>
      </c>
      <c r="BZ543" s="1113" t="s">
        <v>569</v>
      </c>
      <c r="CA543" s="450"/>
      <c r="CB543" s="421">
        <f>IF($P543="","N/A",IF($P543=-1,INDEX('卡片raw data'!BE:BE,MATCH($D543,'卡片raw data'!$F:$F,)),0)+IF($L543="party卡",IF($P543=5,INDEX('卡片raw data'!BK:BK,MATCH($D543,'卡片raw data'!$F:$F,)),IF($P543&gt;=3,INDEX('卡片raw data'!BJ:BJ,MATCH($D543,'卡片raw data'!$F:$F,)),INDEX('卡片raw data'!BI:BI,MATCH($D543,'卡片raw data'!$F:$F,)))),IF(OR(AND($F543="UR",$P543=0),AND($F543="SR",$P543&gt;=0,$P543&lt;=2),AND($F543="R",$P543&gt;=0,$P543&lt;4)),INDEX('卡片raw data'!BG:BG,MATCH($D543,'卡片raw data'!$F:$F,)),0)+IF(OR(AND($F543="UR",$P543&gt;=1,$P543&lt;=4),AND($F543="SR",$P543&lt;=4,$P543&gt;=3),AND($F543="R",$P543=4)),INDEX('卡片raw data'!BH:BH,MATCH($D543,'卡片raw data'!$F:$F,)),0)+IF($P543=5,INDEX('卡片raw data'!BI:BI,MATCH($D543,'卡片raw data'!$F:$F,)),0)))</f>
        <v>0</v>
      </c>
      <c r="CC543" s="424">
        <f t="shared" si="771"/>
        <v>0</v>
      </c>
      <c r="CD543" s="420">
        <f>IF(BZ543="ap",CB543*(1-$FI$26)*$FB$5/$FB$11*(+IF(CA543="全员",$FA$24,0)+IF(CA543="同作战",$FA$24,0)+IF(CA543="仲间",$FA$24*2/3,0)+IF(CA543="同属性",$FA$24*$FA$37/3,0)+IF(CA543="同年级",$FA$24*$FA$40/3,0)+IF(CA543="同学校",$FA$24*$FA$43/3,0)+IF(CA543="同小队",$FA$24*$FA$46/3,0)+IF(CA543="同type",$FA$24*INDEX($FB$49:$FB$52,MATCH(X543,$FA$49:$FA$52,))/3,0)+IF(CA543="自身",#REF!/3,0)),0)+IF(BZ543="te",CB543*(1-$FI$27)*($FA$20-1)*$FB$7/$FB$13*(+IF(CA543="全员",$FA$19*$FA$24/(1+($FA$20-1)*$FA$19),0)+IF(CA543="同作战",$FA$19*$FA$24/(1+($FA$20-1)*$FA$19),0)+IF(CA543="仲间",$FA$19*$FA$24*2/3/(1+($FA$20-1)*$FA$19),0)+IF(CA543="同属性",$FA$19*$FA$24*$FA$37/3/(1+($FA$20-1)*$FA$19),0)+IF(CA543="同年级",$FA$19*$FA$24*$FA$40/3/(1+($FA$20-1)*$FA$19),0)+IF(CA543="同学校",$FA$19*$FA$24*$FA$43/3/(1+($FA$20-1)*$FA$19),0)+IF(CA543="同小队",$FA$19*$FA$24*$FA$46/3/(1+($FA$20-1)*$FA$19),0)+IF(CA543="同type",$FA$19*$FA$24*INDEX($FB$49:$FB$52,MATCH(X543,$FA$49:$FA$52,))/3/(1+($FA$20-1)*$FA$19),0)+IF(CA543="自身",$FA$19*#REF!/3/(1+(BH543-1)*$BD543),0)),0)</f>
        <v>0</v>
      </c>
      <c r="CE543" s="420">
        <f t="shared" si="729"/>
        <v>0</v>
      </c>
      <c r="CF543" s="436">
        <f t="shared" si="772"/>
        <v>0</v>
      </c>
      <c r="CG543" s="423">
        <f t="shared" si="731"/>
        <v>0</v>
      </c>
      <c r="CH543" s="433">
        <f t="shared" si="732"/>
        <v>0</v>
      </c>
      <c r="CI543" s="437" t="s">
        <v>172</v>
      </c>
      <c r="CJ543" s="438">
        <v>0.2</v>
      </c>
      <c r="CK543" s="439" t="s">
        <v>2107</v>
      </c>
      <c r="CL543" s="439" t="s">
        <v>2127</v>
      </c>
      <c r="CM543" s="1119">
        <v>0.1</v>
      </c>
      <c r="CN543" s="1115">
        <v>3</v>
      </c>
      <c r="CO543" s="1115"/>
      <c r="CP543" s="1118">
        <f t="shared" si="733"/>
        <v>1.6249728165440007E-2</v>
      </c>
      <c r="CQ543" s="1118">
        <f t="shared" si="734"/>
        <v>1.6249728165440007E-2</v>
      </c>
      <c r="CR543" s="1118">
        <f t="shared" si="735"/>
        <v>0</v>
      </c>
      <c r="CS543" s="442">
        <f t="shared" si="736"/>
        <v>0</v>
      </c>
      <c r="CT543" s="432">
        <f t="shared" si="737"/>
        <v>0</v>
      </c>
      <c r="CU543" s="1101">
        <f t="shared" si="738"/>
        <v>1901.741090993221</v>
      </c>
      <c r="CV543" s="1108">
        <f t="shared" si="768"/>
        <v>131.57964930730824</v>
      </c>
      <c r="CW543" s="420">
        <f t="shared" si="739"/>
        <v>0</v>
      </c>
      <c r="CX543" s="420">
        <f t="shared" si="740"/>
        <v>1901.741090993221</v>
      </c>
      <c r="CY543" s="433">
        <f t="shared" si="741"/>
        <v>0</v>
      </c>
      <c r="CZ543" s="437"/>
      <c r="DA543" s="438"/>
      <c r="DB543" s="439" t="s">
        <v>569</v>
      </c>
      <c r="DC543" s="439"/>
      <c r="DD543" s="443"/>
      <c r="DE543" s="411"/>
      <c r="DF543" s="411"/>
      <c r="DG543" s="1116">
        <f t="shared" si="742"/>
        <v>0</v>
      </c>
      <c r="DH543" s="1116">
        <f t="shared" si="743"/>
        <v>0</v>
      </c>
      <c r="DI543" s="1116">
        <f t="shared" si="744"/>
        <v>0</v>
      </c>
      <c r="DJ543" s="442">
        <f t="shared" si="745"/>
        <v>0</v>
      </c>
      <c r="DK543" s="432">
        <f t="shared" si="746"/>
        <v>0</v>
      </c>
      <c r="DL543" s="424">
        <f t="shared" si="747"/>
        <v>0</v>
      </c>
      <c r="DM543" s="420">
        <f t="shared" si="748"/>
        <v>0</v>
      </c>
      <c r="DN543" s="420">
        <f t="shared" si="749"/>
        <v>0</v>
      </c>
      <c r="DO543" s="420">
        <f t="shared" si="750"/>
        <v>0</v>
      </c>
      <c r="DP543" s="433">
        <f t="shared" si="751"/>
        <v>0</v>
      </c>
      <c r="DQ543" s="1113" t="s">
        <v>551</v>
      </c>
      <c r="DR543" s="1120">
        <f t="shared" si="773"/>
        <v>0.33</v>
      </c>
      <c r="DS543" s="450">
        <v>5</v>
      </c>
      <c r="DT543" s="1124" t="s">
        <v>2127</v>
      </c>
      <c r="DU543" s="1093" t="s">
        <v>2145</v>
      </c>
      <c r="DV543" s="1098">
        <f>IF($P543="","N/A",IF(P543=-1,INDEX('卡片raw data'!AN:AN,MATCH(D543,'卡片raw data'!$F:$F,)),0)+IF(AND(L543&lt;&gt;"party卡",P543&lt;=2,P543&gt;=0),INDEX('卡片raw data'!AP:AP,MATCH(D543,'卡片raw data'!$F:$F,)),0)+IF(OR(AND(L543="party卡",P543&lt;=1),AND(P543&lt;=4,L543&lt;&gt;"party卡",P543&gt;=3)),INDEX('卡片raw data'!AQ:AQ,MATCH(D543,'卡片raw data'!$F:$F,)),0)+IF(OR(P543=5,AND(L543="party卡",P543&gt;=2)),INDEX('卡片raw data'!AR:AR,MATCH(D543,'卡片raw data'!$F:$F,)),0))</f>
        <v>0.15</v>
      </c>
      <c r="DW543" s="1098">
        <f t="shared" si="752"/>
        <v>0.33</v>
      </c>
      <c r="DX543" s="1098">
        <f t="shared" si="753"/>
        <v>0.33</v>
      </c>
      <c r="DY543" s="1098">
        <f t="shared" si="754"/>
        <v>8.2500000000000004E-2</v>
      </c>
      <c r="DZ543" s="1098">
        <f t="shared" si="755"/>
        <v>7.1362500000000009E-2</v>
      </c>
      <c r="EA543" s="421">
        <f t="shared" si="756"/>
        <v>0</v>
      </c>
      <c r="EB543" s="445">
        <f t="shared" si="757"/>
        <v>0</v>
      </c>
      <c r="EC543" s="424">
        <f t="shared" si="758"/>
        <v>4943.9045382735949</v>
      </c>
      <c r="ED543" s="420">
        <f t="shared" si="759"/>
        <v>0</v>
      </c>
      <c r="EE543" s="433">
        <f t="shared" ref="EE543:EE606" si="775">EC543+IF(OR(DQ543="回血",DQ543="加盾"),$EW$26*(HP($EW$62,$EW$65,$EW$64-DY543)/$EW$66-1))+IF(DQ543="减伤",$EW$26*(HP($EW$62,$EW$65,$EW$64*(1-DY543))/$EW$66-1))</f>
        <v>4943.9045382735949</v>
      </c>
      <c r="EF543" s="1115" t="s">
        <v>569</v>
      </c>
      <c r="EG543" s="1120">
        <f t="shared" si="774"/>
        <v>0.33</v>
      </c>
      <c r="EH543" s="450"/>
      <c r="EI543" s="1093"/>
      <c r="EJ543" s="1093"/>
      <c r="EK543" s="1097">
        <f>IF($P543="","N/A",IF(P543=-1,INDEX('卡片raw data'!AS:AS,MATCH(D543,'卡片raw data'!$F:$F,)),0)+IF(AND(L543&lt;&gt;"party卡",P543&lt;=2,P543&gt;=0),INDEX('卡片raw data'!AU:AU,MATCH(D543,'卡片raw data'!$F:$F,)),0)+IF(OR(AND(L543="party卡",P543&lt;=1),AND(P543&lt;=4,L543&lt;&gt;"party卡",P543&gt;=3)),INDEX('卡片raw data'!AV:AV,MATCH(D543,'卡片raw data'!$F:$F,)),0)+IF(OR(P543=5,AND(L543="party卡",P543&gt;=2)),INDEX('卡片raw data'!AW:AW,MATCH(D543,'卡片raw data'!$F:$F,)),0))</f>
        <v>0</v>
      </c>
      <c r="EL543" s="1098">
        <f t="shared" si="760"/>
        <v>0.33</v>
      </c>
      <c r="EM543" s="1098">
        <f t="shared" si="761"/>
        <v>0.33</v>
      </c>
      <c r="EN543" s="1097">
        <f t="shared" si="762"/>
        <v>0</v>
      </c>
      <c r="EO543" s="1097">
        <f t="shared" si="763"/>
        <v>0</v>
      </c>
      <c r="EP543" s="421">
        <f t="shared" si="764"/>
        <v>0</v>
      </c>
      <c r="EQ543" s="445">
        <f t="shared" si="765"/>
        <v>0</v>
      </c>
      <c r="ER543" s="424">
        <f t="shared" si="766"/>
        <v>0</v>
      </c>
      <c r="ES543" s="420">
        <f t="shared" si="767"/>
        <v>0</v>
      </c>
      <c r="ET543" s="446">
        <f t="shared" ref="ET543:ET606" si="776">ER543+IF(OR(EF543="回血",EF543="加盾"),$EW$26*(HP($EW$62,$EW$65,$EW$64-EN543)/$EW$66-1))+IF(EF543="减伤",$EW$26*(HP($EW$62,$EW$65,$EW$64*(1-EN543))/$EW$66-1))</f>
        <v>0</v>
      </c>
    </row>
    <row r="544" spans="2:150" ht="16.5" customHeight="1">
      <c r="B544" s="448" t="str">
        <f>INDEX('卡片raw data'!B:B,MATCH($D544,'卡片raw data'!$F:$F,))</f>
        <v>虹心雫</v>
      </c>
      <c r="C544" s="449" t="s">
        <v>4455</v>
      </c>
      <c r="D544" s="408">
        <v>541</v>
      </c>
      <c r="E544" s="477">
        <v>402032005</v>
      </c>
      <c r="F544" s="409" t="str">
        <f>INDEX('卡片raw data'!C:C,MATCH($D544,'卡片raw data'!$F:$F,))</f>
        <v>SR</v>
      </c>
      <c r="G544" s="1094" t="s">
        <v>4459</v>
      </c>
      <c r="H544" s="411">
        <f>IFERROR(INDEX(绊状态确认!C:C,MATCH($G544,绊状态确认!$B:$B,)),"")</f>
        <v>203</v>
      </c>
      <c r="I544" s="450" t="str">
        <f>IFERROR(INDEX(绊状态确认!D:D,MATCH($G544,绊状态确认!$B:$B,)),"")</f>
        <v>虹</v>
      </c>
      <c r="J544" s="450" t="str">
        <f>IFERROR(INDEX(绊状态确认!E:E,MATCH($G544,绊状态确认!$B:$B,)),"")</f>
        <v>1年级</v>
      </c>
      <c r="K544" s="451" t="str">
        <f>IFERROR(INDEX(绊状态确认!F:F,MATCH($G544,绊状态确认!$B:$B,)),"")</f>
        <v>A·ZU·NA</v>
      </c>
      <c r="L544" s="414" t="str">
        <f>INDEX('卡片raw data'!E:E,MATCH($D544,'卡片raw data'!$F:$F,))</f>
        <v>卡池卡</v>
      </c>
      <c r="M544" s="478">
        <v>44455</v>
      </c>
      <c r="N544" s="479">
        <v>48</v>
      </c>
      <c r="O544" s="410" t="str">
        <f>INDEX('卡片raw data'!D:D,MATCH($D544,'卡片raw data'!$F:$F,))</f>
        <v>sp</v>
      </c>
      <c r="P544" s="1126">
        <v>5</v>
      </c>
      <c r="Q544" s="418">
        <f t="shared" si="688"/>
        <v>32506.839890357838</v>
      </c>
      <c r="R544" s="419">
        <f t="shared" si="689"/>
        <v>0.377</v>
      </c>
      <c r="S544" s="420">
        <f t="shared" si="690"/>
        <v>16990.622586314596</v>
      </c>
      <c r="T544" s="421">
        <f t="shared" si="691"/>
        <v>0.84899999999999998</v>
      </c>
      <c r="U544" s="422">
        <f t="shared" si="692"/>
        <v>13.731865721952857</v>
      </c>
      <c r="V544" s="423">
        <f t="shared" si="693"/>
        <v>31806.207984894765</v>
      </c>
      <c r="W544" s="424">
        <f t="shared" si="694"/>
        <v>4507.7214871259994</v>
      </c>
      <c r="X544" s="419">
        <f t="shared" si="695"/>
        <v>5.1999999999999998E-2</v>
      </c>
      <c r="Y544" s="420">
        <f t="shared" si="696"/>
        <v>1099.3680945369188</v>
      </c>
      <c r="Z544" s="425">
        <f t="shared" si="697"/>
        <v>13.731865721952857</v>
      </c>
      <c r="AA544" s="426">
        <f t="shared" si="698"/>
        <v>5607.0895816629181</v>
      </c>
      <c r="AB544" s="424">
        <f t="shared" si="699"/>
        <v>8045.0190892802984</v>
      </c>
      <c r="AC544" s="427">
        <f t="shared" si="700"/>
        <v>9.2999999999999999E-2</v>
      </c>
      <c r="AD544" s="428">
        <f t="shared" si="701"/>
        <v>-1.9908281250000003E-2</v>
      </c>
      <c r="AE544" s="516">
        <f t="shared" si="702"/>
        <v>-1.3514492753623202</v>
      </c>
      <c r="AF544" s="1130">
        <f t="shared" si="703"/>
        <v>0</v>
      </c>
      <c r="AG544" s="420">
        <f t="shared" si="704"/>
        <v>0</v>
      </c>
      <c r="AH544" s="420">
        <f t="shared" si="705"/>
        <v>0</v>
      </c>
      <c r="AI544" s="1097">
        <f t="shared" si="706"/>
        <v>0</v>
      </c>
      <c r="AJ544" s="420">
        <f t="shared" si="707"/>
        <v>0</v>
      </c>
      <c r="AK544" s="518">
        <f t="shared" si="708"/>
        <v>0</v>
      </c>
      <c r="AL544" s="1106">
        <f>IF($P544="","N/A",(IF($P544=-1,INDEX('卡片raw data'!S:S,MATCH($D544,'卡片raw data'!$F:$F,)),0)+IF($P544=0,INDEX('卡片raw data'!V:V,MATCH($D544,'卡片raw data'!$F:$F,)),0)+IF($P544=1,INDEX('卡片raw data'!Y:Y,MATCH($D544,'卡片raw data'!$F:$F,)),0)+IF($P544=2,INDEX('卡片raw data'!AB:AB,MATCH($D544,'卡片raw data'!$F:$F,)),0)+IF($P544=3,INDEX('卡片raw data'!AE:AE,MATCH($D544,'卡片raw data'!$F:$F,)),0)+IF($P544=4,INDEX('卡片raw data'!AH:AH,MATCH($D544,'卡片raw data'!$F:$F,)),0)+IF($P544=5,INDEX('卡片raw data'!AK:AK,MATCH($D544,'卡片raw data'!$F:$F,)),0)+INDEX('卡片raw data'!S:S,MATCH($D544,'卡片raw data'!$F:$F,))*(IF($F544="UR",0.04,0.033))*(IF($F544="UR",INDEX(绊状态确认!$S:$S,MATCH($G544,绊状态确认!$B:$B,))/2-40)+IF($F544="SR",INDEX(绊状态确认!$R:$R,MATCH($G544,绊状态确认!$B:$B,))/4-15))+IF($F544="R",INDEX(绊状态确认!$Q:$Q,MATCH($G544,绊状态确认!$B:$B,))/6-40/6)))*(INDEX(绊状态确认!$H:$H,MATCH($G544,绊状态确认!$B:$B,))+INDEX(绊状态确认!J:J,MATCH($G544,绊状态确认!$B:$B,)))</f>
        <v>7408.3575143999988</v>
      </c>
      <c r="AM544" s="1106">
        <f>IF($P544="","N/A",(IF($P544=-1,INDEX('卡片raw data'!T:T,MATCH($D544,'卡片raw data'!$F:$F,)),0)+IF($P544=0,INDEX('卡片raw data'!W:W,MATCH($D544,'卡片raw data'!$F:$F,)),0)+IF($P544=1,INDEX('卡片raw data'!Z:Z,MATCH($D544,'卡片raw data'!$F:$F,)),0)+IF($P544=2,INDEX('卡片raw data'!AC:AC,MATCH($D544,'卡片raw data'!$F:$F,)),0)+IF($P544=3,INDEX('卡片raw data'!AF:AF,MATCH($D544,'卡片raw data'!$F:$F,)),0)+IF($P544=4,INDEX('卡片raw data'!AI:AI,MATCH($D544,'卡片raw data'!$F:$F,)),0)+IF($P544=5,INDEX('卡片raw data'!AL:AL,MATCH($D544,'卡片raw data'!$F:$F,)),0)+INDEX('卡片raw data'!T:T,MATCH($D544,'卡片raw data'!$F:$F,))*(IF($F544="UR",0.04,0.033))*(IF($F544="UR",INDEX(绊状态确认!$S:$S,MATCH($G544,绊状态确认!$B:$B,))/2-40)+IF($F544="SR",INDEX(绊状态确认!$R:$R,MATCH($G544,绊状态确认!$B:$B,))/4-15))+IF($F544="R",INDEX(绊状态确认!$Q:$Q,MATCH($G544,绊状态确认!$B:$B,))/6-40/6)))*(INDEX(绊状态确认!$H:$H,MATCH($G544,绊状态确认!$B:$B,))+INDEX(绊状态确认!K:K,MATCH($G544,绊状态确认!$B:$B,)))</f>
        <v>7408.3575143999988</v>
      </c>
      <c r="AN544" s="1106">
        <f>IF($P544="","N/A",(IF($P544=-1,INDEX('卡片raw data'!U:U,MATCH($D544,'卡片raw data'!$F:$F,)),0)+IF($P544=0,INDEX('卡片raw data'!X:X,MATCH($D544,'卡片raw data'!$F:$F,)),0)+IF($P544=1,INDEX('卡片raw data'!AA:AA,MATCH($D544,'卡片raw data'!$F:$F,)),0)+IF($P544=2,INDEX('卡片raw data'!AD:AD,MATCH($D544,'卡片raw data'!$F:$F,)),0)+IF($P544=3,INDEX('卡片raw data'!AG:AG,MATCH($D544,'卡片raw data'!$F:$F,)),0)+IF($P544=4,INDEX('卡片raw data'!AJ:AJ,MATCH($D544,'卡片raw data'!$F:$F,)),0)+IF($P544=5,INDEX('卡片raw data'!AM:AM,MATCH($D544,'卡片raw data'!$F:$F,)),0)+INDEX('卡片raw data'!U:U,MATCH($D544,'卡片raw data'!$F:$F,))*(IF($F544="UR",0.04,0.033))*(IF($F544="UR",INDEX(绊状态确认!$S:$S,MATCH($G544,绊状态确认!$B:$B,))/2-40)+IF($F544="SR",INDEX(绊状态确认!$R:$R,MATCH($G544,绊状态确认!$B:$B,))/4-15))+IF($F544="R",INDEX(绊状态确认!$Q:$Q,MATCH($G544,绊状态确认!$B:$B,))/6-40/6)))*(INDEX(绊状态确认!$H:$H,MATCH($G544,绊状态确认!$B:$B,))+INDEX(绊状态确认!L:L,MATCH($G544,绊状态确认!$B:$B,)))</f>
        <v>8335.1030783999995</v>
      </c>
      <c r="AO544" s="1107">
        <f t="shared" si="709"/>
        <v>1</v>
      </c>
      <c r="AP544" s="1131">
        <f>1+(INDEX(绊状态确认!$T:$T,MATCH($G544,绊状态确认!$B:$B,))+0.2)*$AO544</f>
        <v>1.3</v>
      </c>
      <c r="AQ544" s="1108">
        <f t="shared" si="710"/>
        <v>22696.938475299998</v>
      </c>
      <c r="AR544" s="1097">
        <f>(AM544*(1+$EX$9)+$EX$35)*(1+(INDEX(绊状态确认!$T:$T,MATCH($G544,绊状态确认!$B:$B,))+0.2)*AO544)*IF(J544=$FF$17,1+$FE$17,1)*IF(I544=$FF$14,1+$FE$14,1)</f>
        <v>12816.408007156</v>
      </c>
      <c r="AS544" s="1097">
        <f>(AN544*(1+$EX$10)+$EX$36)*(1+(INDEX(绊状态确认!$T:$T,MATCH($G544,绊状态确认!$B:$B,))+0.2)*AO544)*IF(J544=$FF$17,1+$FE$17,1)*IF(I544=$FF$14,1+$FE$14,1)</f>
        <v>16516.979102207999</v>
      </c>
      <c r="AT544" s="1093">
        <f>IF(AND(INDEX('卡片raw data'!AK:AK,MATCH($D544,'卡片raw data'!$F:$F,))&lt;INDEX('卡片raw data'!AM:AM,MATCH($D544,'卡片raw data'!$F:$F,)),INDEX('卡片raw data'!AL:AL,MATCH($D544,'卡片raw data'!$F:$F,))&lt;INDEX('卡片raw data'!AM:AM,MATCH($D544,'卡片raw data'!$F:$F,))),1,0)</f>
        <v>1</v>
      </c>
      <c r="AU544" s="1098">
        <f>MIN(AT544*0.15+AS544*0.00003+INDEX(绊状态确认!M:M,MATCH($G544,绊状态确认!$B:$B,)),1)</f>
        <v>0.67550937306624004</v>
      </c>
      <c r="AV544" s="1109">
        <f>(INDEX(绊状态确认!$N:$N,MATCH($G544,绊状态确认!$B:$B,))+1.5)*$EW$21</f>
        <v>2.6599999999999997</v>
      </c>
      <c r="AW544" s="1101">
        <f t="shared" si="711"/>
        <v>25005.529971855412</v>
      </c>
      <c r="AX544" s="1097">
        <f t="shared" si="712"/>
        <v>1099.3680945369188</v>
      </c>
      <c r="AY544" s="1110">
        <f t="shared" si="713"/>
        <v>26104.898066392332</v>
      </c>
      <c r="AZ544" s="429">
        <f t="shared" si="714"/>
        <v>17046.297153079999</v>
      </c>
      <c r="BA544" s="431">
        <f t="shared" si="715"/>
        <v>20455.556583695998</v>
      </c>
      <c r="BB544" s="1097">
        <f>(AM544*(1+$FB$9)+$FB$35)*(1+(INDEX(绊状态确认!$T:$T,MATCH($G544,绊状态确认!$B:$B,))+0.2)*AO544)*IF(J544=$FF$17,1+$FE$17,1)*IF(I544=$FF$14,1+$FE$14,1)*(1+$FE$15)</f>
        <v>12816.408007156</v>
      </c>
      <c r="BC544" s="1097">
        <f>(AN544*(1+$FB$10)+$FB$36)*(1+(INDEX(绊状态确认!$T:$T,MATCH($G544,绊状态确认!$B:$B,))+0.2)*AO544)*IF(J544=$FF$17,1+$FE$17,1)*IF(I544=$FF$14,1+$FE$14,1)*(1+$FE$15)</f>
        <v>16516.979102207999</v>
      </c>
      <c r="BD544" s="1104">
        <f>MIN(AT544*0.15+BC544*0.00003+INDEX(绊状态确认!M:M,MATCH($G544,绊状态确认!$B:$B,)),1)</f>
        <v>0.67550937306624004</v>
      </c>
      <c r="BE544" s="432">
        <f>(INDEX(绊状态确认!$N:$N,MATCH($G544,绊状态确认!$B:$B,))+1.5)</f>
        <v>1.9</v>
      </c>
      <c r="BF544" s="1139">
        <f t="array" ref="BF544">SUMPRODUCT(IF(AZ544*AP544*$FI$16:$FI$23*$FA$22&gt;=$FI$24,$FI$24,AZ544*AP544*$FI$16:$FI$23*$FA$22),$FJ$16:$FJ$23)</f>
        <v>33905.085037476121</v>
      </c>
      <c r="BG544" s="1125">
        <f t="array" ref="BG544">SUMPRODUCT(IF(BE544*AZ544*AP544*$FI$16:$FI$23*$FA$22&gt;=$FI$24,$FI$24,BE544*AZ544*AP544*$FI$16:$FI$23*$FA$22),$FJ$16:$FJ$23)</f>
        <v>58315.307603097026</v>
      </c>
      <c r="BH544" s="1110">
        <f t="shared" si="716"/>
        <v>16798.139726395359</v>
      </c>
      <c r="BI544" s="1111">
        <f>IF(O544="vo",$EW$26/$EW$24*0.05,0)+IF(O544="sk",-$EW$26/$EW$24*(0.05-INDEX(绊状态确认!W:W,MATCH($G544,绊状态确认!$B:$B,)))+0.05*$EW$28,0)+IF(O544="sp",0.05*$EW$32*$EW$30*(1-$EW$33)-(0.05-INDEX(绊状态确认!V:V,MATCH($G544,绊状态确认!$B:$B,)))*$EW$28,0)+IF(O544="gd",-(0.05-INDEX(绊状态确认!X:X,MATCH($G544,绊状态确认!$B:$B,)))*$EW$32*$EW$30*(1-$EW$33),0)</f>
        <v>19.999999999999886</v>
      </c>
      <c r="BJ544" s="420">
        <f>IF(O544="vo",0.05*(1-$FI$26)*$FA$24,0)+IF(O544="sk",-(0.05-INDEX(绊状态确认!W:W,MATCH($G544,绊状态确认!$B:$B,)))*(1-$FI$26)*$FA$24+0.05*$FA$26,0)+IF(O544="sp",0.05*$FA$32*$FA$27*(1-$FA$33)/$FA$30+0.05*$FA$29/$FA$69*$FA$27*(1-$FA$33)-(0.05-INDEX(绊状态确认!V:V,MATCH($G544,绊状态确认!$B:$B,)))*$FA$26,0)+IF(O544="gd",-(0.05-INDEX(绊状态确认!X:X,MATCH($G544,绊状态确认!$B:$B,)))*$FA$32*$FA$27*(1-$FA$33)/$FA$30-(0.05-INDEX(绊状态确认!X:X,MATCH($G544,绊状态确认!$B:$B,)))*$FA$29/$FA$69*$FA$27*(1-$FA$33),0)</f>
        <v>545.83333333333326</v>
      </c>
      <c r="BK544" s="1110">
        <f>IF(O544="vo",$EW$26/$EW$24*0.05+$EW$26*(-HP($EW$62,$EW$65,$EW$64)+HP($EW$62,$EW$65,(1.05-INDEX(绊状态确认!U:U,MATCH($G544,绊状态确认!$B:$B,)))*$EW$64)),0)+IF(O544="sk",-$EW$26/$EW$24*(0.05-INDEX(绊状态确认!W:W,MATCH($G544,绊状态确认!$B:$B,)))+0.05*$EW$29,0)+IF(O544="sp",0.05*$EW$32*$EW$30*(1-$EW$33)-(0.05-INDEX(绊状态确认!V:V,MATCH($G544,绊状态确认!$B:$B,)))*$EW$29,0)+IF(O544="gd",-(0.05-INDEX(绊状态确认!X:X,MATCH($G544,绊状态确认!$B:$B,)))*$EW$32*$EW$30*(1-$EW$33)+$EW$26*(-HP($EW$62,$EW$65,$EW$64)+HP($EW$62,$EW$65,0.95*$EW$64)),0)</f>
        <v>-1780.0000000000005</v>
      </c>
      <c r="BL544" s="1111">
        <f t="shared" si="717"/>
        <v>-1083.3333333333333</v>
      </c>
      <c r="BM544" s="1110">
        <f t="shared" si="718"/>
        <v>-830.55555555555543</v>
      </c>
      <c r="BN544" s="1113">
        <f t="shared" si="719"/>
        <v>3</v>
      </c>
      <c r="BO544" s="1108">
        <f t="shared" si="720"/>
        <v>4507.7214871259994</v>
      </c>
      <c r="BP544" s="1127">
        <f t="shared" si="721"/>
        <v>221.34103209030098</v>
      </c>
      <c r="BQ544" s="1113" t="s">
        <v>134</v>
      </c>
      <c r="BR544" s="1124" t="s">
        <v>168</v>
      </c>
      <c r="BS544" s="421">
        <f>IF($P544="","N/A",IF($P544=-1,INDEX('卡片raw data'!AX:AX,MATCH($D544,'卡片raw data'!$F:$F,)),0)+IF($L544="party卡",IF($P544=5,INDEX('卡片raw data'!BD:BD,MATCH($D544,'卡片raw data'!$F:$F,)),IF($P544&gt;=3,INDEX('卡片raw data'!BC:BC,MATCH($D544,'卡片raw data'!$F:$F,)),INDEX('卡片raw data'!BB:BB,MATCH($D544,'卡片raw data'!$F:$F,)))),IF(OR(AND($F544="UR",$P544=0),AND($F544="SR",$P544&gt;=0,$P544&lt;=2),AND($F544="R",$P544&gt;=0,$P544&lt;4)),INDEX('卡片raw data'!AZ:AZ,MATCH($D544,'卡片raw data'!$F:$F,)),0)+IF(OR(AND($F544="UR",$P544&gt;=1,$P544&lt;=4),AND($F544="SR",$P544&lt;=4,$P544&gt;=3),AND($F544="R",$P544=4)),INDEX('卡片raw data'!BA:BA,MATCH($D544,'卡片raw data'!$F:$F,)),0)+IF($P544=5,INDEX('卡片raw data'!BB:BB,MATCH($D544,'卡片raw data'!$F:$F,)),0)))</f>
        <v>0.05</v>
      </c>
      <c r="BT544" s="424">
        <f t="shared" si="722"/>
        <v>3537.2976021542986</v>
      </c>
      <c r="BU544" s="420">
        <f t="shared" si="723"/>
        <v>255.86405005115788</v>
      </c>
      <c r="BV544" s="420">
        <f t="shared" si="724"/>
        <v>0</v>
      </c>
      <c r="BW544" s="436">
        <f t="shared" si="725"/>
        <v>0</v>
      </c>
      <c r="BX544" s="423">
        <f t="shared" si="726"/>
        <v>3537.2976021542986</v>
      </c>
      <c r="BY544" s="433">
        <f t="shared" si="727"/>
        <v>0</v>
      </c>
      <c r="BZ544" s="1113" t="s">
        <v>569</v>
      </c>
      <c r="CA544" s="450"/>
      <c r="CB544" s="421">
        <f>IF($P544="","N/A",IF($P544=-1,INDEX('卡片raw data'!BE:BE,MATCH($D544,'卡片raw data'!$F:$F,)),0)+IF($L544="party卡",IF($P544=5,INDEX('卡片raw data'!BK:BK,MATCH($D544,'卡片raw data'!$F:$F,)),IF($P544&gt;=3,INDEX('卡片raw data'!BJ:BJ,MATCH($D544,'卡片raw data'!$F:$F,)),INDEX('卡片raw data'!BI:BI,MATCH($D544,'卡片raw data'!$F:$F,)))),IF(OR(AND($F544="UR",$P544=0),AND($F544="SR",$P544&gt;=0,$P544&lt;=2),AND($F544="R",$P544&gt;=0,$P544&lt;4)),INDEX('卡片raw data'!BG:BG,MATCH($D544,'卡片raw data'!$F:$F,)),0)+IF(OR(AND($F544="UR",$P544&gt;=1,$P544&lt;=4),AND($F544="SR",$P544&lt;=4,$P544&gt;=3),AND($F544="R",$P544=4)),INDEX('卡片raw data'!BH:BH,MATCH($D544,'卡片raw data'!$F:$F,)),0)+IF($P544=5,INDEX('卡片raw data'!BI:BI,MATCH($D544,'卡片raw data'!$F:$F,)),0)))</f>
        <v>0</v>
      </c>
      <c r="CC544" s="424">
        <f t="shared" si="771"/>
        <v>0</v>
      </c>
      <c r="CD544" s="420">
        <f>IF(BZ544="ap",CB544*(1-$FI$26)*$FB$5/$FB$11*(+IF(CA544="全员",$FA$24,0)+IF(CA544="同作战",$FA$24,0)+IF(CA544="仲间",$FA$24*2/3,0)+IF(CA544="同属性",$FA$24*$FA$37/3,0)+IF(CA544="同年级",$FA$24*$FA$40/3,0)+IF(CA544="同学校",$FA$24*$FA$43/3,0)+IF(CA544="同小队",$FA$24*$FA$46/3,0)+IF(CA544="同type",$FA$24*INDEX($FB$49:$FB$52,MATCH(X544,$FA$49:$FA$52,))/3,0)+IF(CA544="自身",#REF!/3,0)),0)+IF(BZ544="te",CB544*(1-$FI$27)*($FA$20-1)*$FB$7/$FB$13*(+IF(CA544="全员",$FA$19*$FA$24/(1+($FA$20-1)*$FA$19),0)+IF(CA544="同作战",$FA$19*$FA$24/(1+($FA$20-1)*$FA$19),0)+IF(CA544="仲间",$FA$19*$FA$24*2/3/(1+($FA$20-1)*$FA$19),0)+IF(CA544="同属性",$FA$19*$FA$24*$FA$37/3/(1+($FA$20-1)*$FA$19),0)+IF(CA544="同年级",$FA$19*$FA$24*$FA$40/3/(1+($FA$20-1)*$FA$19),0)+IF(CA544="同学校",$FA$19*$FA$24*$FA$43/3/(1+($FA$20-1)*$FA$19),0)+IF(CA544="同小队",$FA$19*$FA$24*$FA$46/3/(1+($FA$20-1)*$FA$19),0)+IF(CA544="同type",$FA$19*$FA$24*INDEX($FB$49:$FB$52,MATCH(X544,$FA$49:$FA$52,))/3/(1+($FA$20-1)*$FA$19),0)+IF(CA544="自身",$FA$19*#REF!/3/(1+(BH544-1)*$BD544),0)),0)</f>
        <v>0</v>
      </c>
      <c r="CE544" s="420">
        <f t="shared" si="729"/>
        <v>0</v>
      </c>
      <c r="CF544" s="436">
        <f t="shared" si="772"/>
        <v>0</v>
      </c>
      <c r="CG544" s="423">
        <f t="shared" si="731"/>
        <v>0</v>
      </c>
      <c r="CH544" s="433">
        <f t="shared" si="732"/>
        <v>0</v>
      </c>
      <c r="CI544" s="1113" t="s">
        <v>164</v>
      </c>
      <c r="CJ544" s="1114">
        <v>0.5</v>
      </c>
      <c r="CK544" s="1115" t="s">
        <v>4460</v>
      </c>
      <c r="CL544" s="1115" t="s">
        <v>4461</v>
      </c>
      <c r="CM544" s="1119">
        <v>0.02</v>
      </c>
      <c r="CN544" s="1115"/>
      <c r="CO544" s="1115"/>
      <c r="CP544" s="1116">
        <f t="shared" si="733"/>
        <v>0</v>
      </c>
      <c r="CQ544" s="1116">
        <f t="shared" si="734"/>
        <v>0</v>
      </c>
      <c r="CR544" s="1117">
        <f t="shared" si="735"/>
        <v>0</v>
      </c>
      <c r="CS544" s="442">
        <f t="shared" si="736"/>
        <v>0</v>
      </c>
      <c r="CT544" s="432">
        <f t="shared" si="737"/>
        <v>0</v>
      </c>
      <c r="CU544" s="1101">
        <f t="shared" si="738"/>
        <v>0</v>
      </c>
      <c r="CV544" s="1108">
        <f t="shared" si="768"/>
        <v>0</v>
      </c>
      <c r="CW544" s="420">
        <f t="shared" si="739"/>
        <v>0</v>
      </c>
      <c r="CX544" s="420">
        <f t="shared" si="740"/>
        <v>0</v>
      </c>
      <c r="CY544" s="433">
        <f t="shared" si="741"/>
        <v>0</v>
      </c>
      <c r="CZ544" s="437"/>
      <c r="DA544" s="438"/>
      <c r="DB544" s="439" t="s">
        <v>569</v>
      </c>
      <c r="DC544" s="439"/>
      <c r="DD544" s="443"/>
      <c r="DE544" s="411"/>
      <c r="DF544" s="411"/>
      <c r="DG544" s="1116">
        <f t="shared" si="742"/>
        <v>0</v>
      </c>
      <c r="DH544" s="1116">
        <f t="shared" si="743"/>
        <v>0</v>
      </c>
      <c r="DI544" s="1116">
        <f t="shared" si="744"/>
        <v>0</v>
      </c>
      <c r="DJ544" s="442">
        <f t="shared" si="745"/>
        <v>0</v>
      </c>
      <c r="DK544" s="432">
        <f t="shared" si="746"/>
        <v>0</v>
      </c>
      <c r="DL544" s="424">
        <f t="shared" si="747"/>
        <v>0</v>
      </c>
      <c r="DM544" s="420">
        <f t="shared" si="748"/>
        <v>0</v>
      </c>
      <c r="DN544" s="420">
        <f t="shared" si="749"/>
        <v>0</v>
      </c>
      <c r="DO544" s="420">
        <f t="shared" si="750"/>
        <v>0</v>
      </c>
      <c r="DP544" s="433">
        <f t="shared" si="751"/>
        <v>0</v>
      </c>
      <c r="DQ544" s="1113" t="s">
        <v>2158</v>
      </c>
      <c r="DR544" s="1120">
        <f t="shared" si="773"/>
        <v>0.3</v>
      </c>
      <c r="DS544" s="1124"/>
      <c r="DT544" s="1124" t="s">
        <v>134</v>
      </c>
      <c r="DU544" s="1093"/>
      <c r="DV544" s="1098">
        <f>IF($P544="","N/A",IF(P544=-1,INDEX('卡片raw data'!AN:AN,MATCH(D544,'卡片raw data'!$F:$F,)),0)+IF(AND(L544&lt;&gt;"party卡",P544&lt;=2,P544&gt;=0),INDEX('卡片raw data'!AP:AP,MATCH(D544,'卡片raw data'!$F:$F,)),0)+IF(OR(AND(L544="party卡",P544&lt;=1),AND(P544&lt;=4,L544&lt;&gt;"party卡",P544&gt;=3)),INDEX('卡片raw data'!AQ:AQ,MATCH(D544,'卡片raw data'!$F:$F,)),0)+IF(OR(P544=5,AND(L544="party卡",P544&gt;=2)),INDEX('卡片raw data'!AR:AR,MATCH(D544,'卡片raw data'!$F:$F,)),0))</f>
        <v>0.22</v>
      </c>
      <c r="DW544" s="1098">
        <f t="shared" si="752"/>
        <v>0.3</v>
      </c>
      <c r="DX544" s="1098">
        <f t="shared" si="753"/>
        <v>0.3</v>
      </c>
      <c r="DY544" s="1097">
        <f t="shared" si="754"/>
        <v>363.37354024857603</v>
      </c>
      <c r="DZ544" s="1097">
        <f t="shared" si="755"/>
        <v>314.31811231501825</v>
      </c>
      <c r="EA544" s="421">
        <f t="shared" si="756"/>
        <v>0</v>
      </c>
      <c r="EB544" s="445">
        <f t="shared" si="757"/>
        <v>0</v>
      </c>
      <c r="EC544" s="424">
        <f t="shared" si="758"/>
        <v>519.62416255546384</v>
      </c>
      <c r="ED544" s="420">
        <f t="shared" si="759"/>
        <v>0</v>
      </c>
      <c r="EE544" s="433">
        <f t="shared" si="775"/>
        <v>519.62416255546384</v>
      </c>
      <c r="EF544" s="1113" t="s">
        <v>569</v>
      </c>
      <c r="EG544" s="1120">
        <f t="shared" si="774"/>
        <v>0.3</v>
      </c>
      <c r="EH544" s="450"/>
      <c r="EI544" s="1124"/>
      <c r="EJ544" s="1124"/>
      <c r="EK544" s="1097">
        <f>IF($P544="","N/A",IF(P544=-1,INDEX('卡片raw data'!AS:AS,MATCH(D544,'卡片raw data'!$F:$F,)),0)+IF(AND(L544&lt;&gt;"party卡",P544&lt;=2,P544&gt;=0),INDEX('卡片raw data'!AU:AU,MATCH(D544,'卡片raw data'!$F:$F,)),0)+IF(OR(AND(L544="party卡",P544&lt;=1),AND(P544&lt;=4,L544&lt;&gt;"party卡",P544&gt;=3)),INDEX('卡片raw data'!AV:AV,MATCH(D544,'卡片raw data'!$F:$F,)),0)+IF(OR(P544=5,AND(L544="party卡",P544&gt;=2)),INDEX('卡片raw data'!AW:AW,MATCH(D544,'卡片raw data'!$F:$F,)),0))</f>
        <v>0</v>
      </c>
      <c r="EL544" s="1098">
        <f t="shared" si="760"/>
        <v>0.3</v>
      </c>
      <c r="EM544" s="1098">
        <f t="shared" si="761"/>
        <v>0.3</v>
      </c>
      <c r="EN544" s="1097">
        <f t="shared" si="762"/>
        <v>0</v>
      </c>
      <c r="EO544" s="1097">
        <f t="shared" si="763"/>
        <v>0</v>
      </c>
      <c r="EP544" s="421">
        <f t="shared" si="764"/>
        <v>0</v>
      </c>
      <c r="EQ544" s="445">
        <f t="shared" si="765"/>
        <v>0</v>
      </c>
      <c r="ER544" s="424">
        <f t="shared" si="766"/>
        <v>0</v>
      </c>
      <c r="ES544" s="420">
        <f t="shared" si="767"/>
        <v>0</v>
      </c>
      <c r="ET544" s="446">
        <f t="shared" si="776"/>
        <v>0</v>
      </c>
    </row>
    <row r="545" spans="2:150" ht="16.5" customHeight="1">
      <c r="B545" s="448" t="str">
        <f>INDEX('卡片raw data'!B:B,MATCH($D545,'卡片raw data'!$F:$F,))</f>
        <v>秋雨丸</v>
      </c>
      <c r="C545" s="449" t="s">
        <v>4464</v>
      </c>
      <c r="D545" s="408">
        <v>542</v>
      </c>
      <c r="E545" s="477">
        <v>401073005</v>
      </c>
      <c r="F545" s="409" t="str">
        <f>INDEX('卡片raw data'!C:C,MATCH($D545,'卡片raw data'!$F:$F,))</f>
        <v>UR</v>
      </c>
      <c r="G545" s="1094" t="s">
        <v>4465</v>
      </c>
      <c r="H545" s="411">
        <f>IFERROR(INDEX(绊状态确认!C:C,MATCH($G545,绊状态确认!$B:$B,)),"")</f>
        <v>107</v>
      </c>
      <c r="I545" s="450" t="str">
        <f>IFERROR(INDEX(绊状态确认!D:D,MATCH($G545,绊状态确认!$B:$B,)),"")</f>
        <v>水</v>
      </c>
      <c r="J545" s="450" t="str">
        <f>IFERROR(INDEX(绊状态确认!E:E,MATCH($G545,绊状态确认!$B:$B,)),"")</f>
        <v>1年级</v>
      </c>
      <c r="K545" s="451" t="str">
        <f>IFERROR(INDEX(绊状态确认!F:F,MATCH($G545,绊状态确认!$B:$B,)),"")</f>
        <v>AZALEA</v>
      </c>
      <c r="L545" s="414" t="str">
        <f>INDEX('卡片raw data'!E:E,MATCH($D545,'卡片raw data'!$F:$F,))</f>
        <v>卡池卡</v>
      </c>
      <c r="M545" s="478">
        <v>44455</v>
      </c>
      <c r="N545" s="479">
        <v>48</v>
      </c>
      <c r="O545" s="410" t="str">
        <f>INDEX('卡片raw data'!D:D,MATCH($D545,'卡片raw data'!$F:$F,))</f>
        <v>vo</v>
      </c>
      <c r="P545" s="1126">
        <v>5</v>
      </c>
      <c r="Q545" s="418">
        <f t="shared" si="688"/>
        <v>79906.197267696058</v>
      </c>
      <c r="R545" s="419">
        <f t="shared" si="689"/>
        <v>0.92800000000000005</v>
      </c>
      <c r="S545" s="420">
        <f t="shared" si="690"/>
        <v>21094.067701300311</v>
      </c>
      <c r="T545" s="421">
        <f t="shared" si="691"/>
        <v>1.054</v>
      </c>
      <c r="U545" s="422">
        <f t="shared" si="692"/>
        <v>-11.040684982857144</v>
      </c>
      <c r="V545" s="423">
        <f t="shared" si="693"/>
        <v>79719.629404015606</v>
      </c>
      <c r="W545" s="424">
        <f t="shared" si="694"/>
        <v>5809.9521389623987</v>
      </c>
      <c r="X545" s="419">
        <f t="shared" si="695"/>
        <v>6.7000000000000004E-2</v>
      </c>
      <c r="Y545" s="420">
        <f t="shared" si="696"/>
        <v>1118.1005865612369</v>
      </c>
      <c r="Z545" s="425">
        <f t="shared" si="697"/>
        <v>13.959315017142856</v>
      </c>
      <c r="AA545" s="426">
        <f t="shared" si="698"/>
        <v>6928.0527255236357</v>
      </c>
      <c r="AB545" s="424">
        <f t="shared" si="699"/>
        <v>11665.182730362449</v>
      </c>
      <c r="AC545" s="427">
        <f t="shared" si="700"/>
        <v>0.13500000000000001</v>
      </c>
      <c r="AD545" s="428">
        <f t="shared" si="701"/>
        <v>0</v>
      </c>
      <c r="AE545" s="516">
        <f t="shared" si="702"/>
        <v>0</v>
      </c>
      <c r="AF545" s="1130">
        <f t="shared" si="703"/>
        <v>0</v>
      </c>
      <c r="AG545" s="420">
        <f t="shared" si="704"/>
        <v>0</v>
      </c>
      <c r="AH545" s="420">
        <f t="shared" si="705"/>
        <v>0</v>
      </c>
      <c r="AI545" s="1097">
        <f t="shared" si="706"/>
        <v>0</v>
      </c>
      <c r="AJ545" s="420">
        <f t="shared" si="707"/>
        <v>0</v>
      </c>
      <c r="AK545" s="518">
        <f t="shared" si="708"/>
        <v>0</v>
      </c>
      <c r="AL545" s="1106">
        <f>IF($P545="","N/A",(IF($P545=-1,INDEX('卡片raw data'!S:S,MATCH($D545,'卡片raw data'!$F:$F,)),0)+IF($P545=0,INDEX('卡片raw data'!V:V,MATCH($D545,'卡片raw data'!$F:$F,)),0)+IF($P545=1,INDEX('卡片raw data'!Y:Y,MATCH($D545,'卡片raw data'!$F:$F,)),0)+IF($P545=2,INDEX('卡片raw data'!AB:AB,MATCH($D545,'卡片raw data'!$F:$F,)),0)+IF($P545=3,INDEX('卡片raw data'!AE:AE,MATCH($D545,'卡片raw data'!$F:$F,)),0)+IF($P545=4,INDEX('卡片raw data'!AH:AH,MATCH($D545,'卡片raw data'!$F:$F,)),0)+IF($P545=5,INDEX('卡片raw data'!AK:AK,MATCH($D545,'卡片raw data'!$F:$F,)),0)+INDEX('卡片raw data'!S:S,MATCH($D545,'卡片raw data'!$F:$F,))*(IF($F545="UR",0.04,0.033))*(IF($F545="UR",INDEX(绊状态确认!$S:$S,MATCH($G545,绊状态确认!$B:$B,))/2-40)+IF($F545="SR",INDEX(绊状态确认!$R:$R,MATCH($G545,绊状态确认!$B:$B,))/4-15))+IF($F545="R",INDEX(绊状态确认!$Q:$Q,MATCH($G545,绊状态确认!$B:$B,))/6-40/6)))*(INDEX(绊状态确认!$H:$H,MATCH($G545,绊状态确认!$B:$B,))+INDEX(绊状态确认!J:J,MATCH($G545,绊状态确认!$B:$B,)))</f>
        <v>16262.111279999999</v>
      </c>
      <c r="AM545" s="1106">
        <f>IF($P545="","N/A",(IF($P545=-1,INDEX('卡片raw data'!T:T,MATCH($D545,'卡片raw data'!$F:$F,)),0)+IF($P545=0,INDEX('卡片raw data'!W:W,MATCH($D545,'卡片raw data'!$F:$F,)),0)+IF($P545=1,INDEX('卡片raw data'!Z:Z,MATCH($D545,'卡片raw data'!$F:$F,)),0)+IF($P545=2,INDEX('卡片raw data'!AC:AC,MATCH($D545,'卡片raw data'!$F:$F,)),0)+IF($P545=3,INDEX('卡片raw data'!AF:AF,MATCH($D545,'卡片raw data'!$F:$F,)),0)+IF($P545=4,INDEX('卡片raw data'!AI:AI,MATCH($D545,'卡片raw data'!$F:$F,)),0)+IF($P545=5,INDEX('卡片raw data'!AL:AL,MATCH($D545,'卡片raw data'!$F:$F,)),0)+INDEX('卡片raw data'!T:T,MATCH($D545,'卡片raw data'!$F:$F,))*(IF($F545="UR",0.04,0.033))*(IF($F545="UR",INDEX(绊状态确认!$S:$S,MATCH($G545,绊状态确认!$B:$B,))/2-40)+IF($F545="SR",INDEX(绊状态确认!$R:$R,MATCH($G545,绊状态确认!$B:$B,))/4-15))+IF($F545="R",INDEX(绊状态确认!$Q:$Q,MATCH($G545,绊状态确认!$B:$B,))/6-40/6)))*(INDEX(绊状态确认!$H:$H,MATCH($G545,绊状态确认!$B:$B,))+INDEX(绊状态确认!K:K,MATCH($G545,绊状态确认!$B:$B,)))</f>
        <v>7563.8783999999987</v>
      </c>
      <c r="AN545" s="1106">
        <f>IF($P545="","N/A",(IF($P545=-1,INDEX('卡片raw data'!U:U,MATCH($D545,'卡片raw data'!$F:$F,)),0)+IF($P545=0,INDEX('卡片raw data'!X:X,MATCH($D545,'卡片raw data'!$F:$F,)),0)+IF($P545=1,INDEX('卡片raw data'!AA:AA,MATCH($D545,'卡片raw data'!$F:$F,)),0)+IF($P545=2,INDEX('卡片raw data'!AD:AD,MATCH($D545,'卡片raw data'!$F:$F,)),0)+IF($P545=3,INDEX('卡片raw data'!AG:AG,MATCH($D545,'卡片raw data'!$F:$F,)),0)+IF($P545=4,INDEX('卡片raw data'!AJ:AJ,MATCH($D545,'卡片raw data'!$F:$F,)),0)+IF($P545=5,INDEX('卡片raw data'!AM:AM,MATCH($D545,'卡片raw data'!$F:$F,)),0)+INDEX('卡片raw data'!U:U,MATCH($D545,'卡片raw data'!$F:$F,))*(IF($F545="UR",0.04,0.033))*(IF($F545="UR",INDEX(绊状态确认!$S:$S,MATCH($G545,绊状态确认!$B:$B,))/2-40)+IF($F545="SR",INDEX(绊状态确认!$R:$R,MATCH($G545,绊状态确认!$B:$B,))/4-15))+IF($F545="R",INDEX(绊状态确认!$Q:$Q,MATCH($G545,绊状态确认!$B:$B,))/6-40/6)))*(INDEX(绊状态确认!$H:$H,MATCH($G545,绊状态确认!$B:$B,))+INDEX(绊状态确认!L:L,MATCH($G545,绊状态确认!$B:$B,)))</f>
        <v>13992.265919999998</v>
      </c>
      <c r="AO545" s="1107">
        <f t="shared" si="709"/>
        <v>1</v>
      </c>
      <c r="AP545" s="1131">
        <f>1+(INDEX(绊状态确认!$T:$T,MATCH($G545,绊状态确认!$B:$B,))+0.2)*$AO545</f>
        <v>1.3</v>
      </c>
      <c r="AQ545" s="1108">
        <f t="shared" si="710"/>
        <v>45938.042109999995</v>
      </c>
      <c r="AR545" s="1097">
        <f>(AM545*(1+$EX$9)+$EX$35)*(1+(INDEX(绊状态确认!$T:$T,MATCH($G545,绊状态确认!$B:$B,))+0.2)*AO545)*IF(J545=$FF$17,1+$FE$17,1)*IF(I545=$FF$14,1+$FE$14,1)</f>
        <v>13028.694015999999</v>
      </c>
      <c r="AS545" s="1097">
        <f>(AN545*(1+$EX$10)+$EX$36)*(1+(INDEX(绊状态确认!$T:$T,MATCH($G545,绊状态确认!$B:$B,))+0.2)*AO545)*IF(J545=$FF$17,1+$FE$17,1)*IF(I545=$FF$14,1+$FE$14,1)</f>
        <v>24974.437550399998</v>
      </c>
      <c r="AT545" s="1093">
        <f>IF(AND(INDEX('卡片raw data'!AK:AK,MATCH($D545,'卡片raw data'!$F:$F,))&lt;INDEX('卡片raw data'!AM:AM,MATCH($D545,'卡片raw data'!$F:$F,)),INDEX('卡片raw data'!AL:AL,MATCH($D545,'卡片raw data'!$F:$F,))&lt;INDEX('卡片raw data'!AM:AM,MATCH($D545,'卡片raw data'!$F:$F,))),1,0)</f>
        <v>0</v>
      </c>
      <c r="AU545" s="1098">
        <f>MIN(AT545*0.15+AS545*0.00003+INDEX(绊状态确认!M:M,MATCH($G545,绊状态确认!$B:$B,)),1)</f>
        <v>0.77923312651199994</v>
      </c>
      <c r="AV545" s="1109">
        <f>(INDEX(绊状态确认!$N:$N,MATCH($G545,绊状态确认!$B:$B,))+1.5)*$EW$21</f>
        <v>2.6599999999999997</v>
      </c>
      <c r="AW545" s="1101">
        <f t="shared" si="711"/>
        <v>54718.439153195417</v>
      </c>
      <c r="AX545" s="1097">
        <f t="shared" si="712"/>
        <v>1118.1005865612374</v>
      </c>
      <c r="AY545" s="1110">
        <f t="shared" si="713"/>
        <v>55836.539739756656</v>
      </c>
      <c r="AZ545" s="429">
        <f t="shared" si="714"/>
        <v>34311.116995999997</v>
      </c>
      <c r="BA545" s="431">
        <f t="shared" si="715"/>
        <v>41173.340395199994</v>
      </c>
      <c r="BB545" s="1097">
        <f>(AM545*(1+$FB$9)+$FB$35)*(1+(INDEX(绊状态确认!$T:$T,MATCH($G545,绊状态确认!$B:$B,))+0.2)*AO545)*IF(J545=$FF$17,1+$FE$17,1)*IF(I545=$FF$14,1+$FE$14,1)*(1+$FE$15)</f>
        <v>13028.694015999999</v>
      </c>
      <c r="BC545" s="1097">
        <f>(AN545*(1+$FB$10)+$FB$36)*(1+(INDEX(绊状态确认!$T:$T,MATCH($G545,绊状态确认!$B:$B,))+0.2)*AO545)*IF(J545=$FF$17,1+$FE$17,1)*IF(I545=$FF$14,1+$FE$14,1)*(1+$FE$15)</f>
        <v>24974.437550399998</v>
      </c>
      <c r="BD545" s="1104">
        <f>MIN(AT545*0.15+BC545*0.00003+INDEX(绊状态确认!M:M,MATCH($G545,绊状态确认!$B:$B,)),1)</f>
        <v>0.77923312651199994</v>
      </c>
      <c r="BE545" s="432">
        <f>(INDEX(绊状态确认!$N:$N,MATCH($G545,绊状态确认!$B:$B,))+1.5)</f>
        <v>1.9</v>
      </c>
      <c r="BF545" s="1139">
        <f t="array" ref="BF545">SUMPRODUCT(IF(AZ545*AP545*$FI$16:$FI$23*$FA$22&gt;=$FI$24,$FI$24,AZ545*AP545*$FI$16:$FI$23*$FA$22),$FJ$16:$FJ$23)</f>
        <v>59151.113023700003</v>
      </c>
      <c r="BG545" s="1125">
        <f t="array" ref="BG545">SUMPRODUCT(IF(BE545*AZ545*AP545*$FI$16:$FI$23*$FA$22&gt;=$FI$24,$FI$24,BE545*AZ545*AP545*$FI$16:$FI$23*$FA$22),$FJ$16:$FJ$23)</f>
        <v>60000</v>
      </c>
      <c r="BH545" s="1110">
        <f t="shared" si="716"/>
        <v>19937.531292099189</v>
      </c>
      <c r="BI545" s="1111">
        <f>IF(O545="vo",$EW$26/$EW$24*0.05,0)+IF(O545="sk",-$EW$26/$EW$24*(0.05-INDEX(绊状态确认!W:W,MATCH($G545,绊状态确认!$B:$B,)))+0.05*$EW$28,0)+IF(O545="sp",0.05*$EW$32*$EW$30*(1-$EW$33)-(0.05-INDEX(绊状态确认!V:V,MATCH($G545,绊状态确认!$B:$B,)))*$EW$28,0)+IF(O545="gd",-(0.05-INDEX(绊状态确认!X:X,MATCH($G545,绊状态确认!$B:$B,)))*$EW$32*$EW$30*(1-$EW$33),0)</f>
        <v>7726.3029277443748</v>
      </c>
      <c r="BJ545" s="420">
        <f>IF(O545="vo",0.05*(1-$FI$26)*$FA$24,0)+IF(O545="sk",-(0.05-INDEX(绊状态确认!W:W,MATCH($G545,绊状态确认!$B:$B,)))*(1-$FI$26)*$FA$24+0.05*$FA$26,0)+IF(O545="sp",0.05*$FA$32*$FA$27*(1-$FA$33)/$FA$30+0.05*$FA$29/$FA$69*$FA$27*(1-$FA$33)-(0.05-INDEX(绊状态确认!V:V,MATCH($G545,绊状态确认!$B:$B,)))*$FA$26,0)+IF(O545="gd",-(0.05-INDEX(绊状态确认!X:X,MATCH($G545,绊状态确认!$B:$B,)))*$FA$32*$FA$27*(1-$FA$33)/$FA$30-(0.05-INDEX(绊状态确认!X:X,MATCH($G545,绊状态确认!$B:$B,)))*$FA$29/$FA$69*$FA$27*(1-$FA$33),0)</f>
        <v>393.93433687500004</v>
      </c>
      <c r="BK545" s="1110">
        <f>IF(O545="vo",$EW$26/$EW$24*0.05+$EW$26*(-HP($EW$62,$EW$65,$EW$64)+HP($EW$62,$EW$65,(1.05-INDEX(绊状态确认!U:U,MATCH($G545,绊状态确认!$B:$B,)))*$EW$64)),0)+IF(O545="sk",-$EW$26/$EW$24*(0.05-INDEX(绊状态确认!W:W,MATCH($G545,绊状态确认!$B:$B,)))+0.05*$EW$29,0)+IF(O545="sp",0.05*$EW$32*$EW$30*(1-$EW$33)-(0.05-INDEX(绊状态确认!V:V,MATCH($G545,绊状态确认!$B:$B,)))*$EW$29,0)+IF(O545="gd",-(0.05-INDEX(绊状态确认!X:X,MATCH($G545,绊状态确认!$B:$B,)))*$EW$32*$EW$30*(1-$EW$33)+$EW$26*(-HP($EW$62,$EW$65,$EW$64)+HP($EW$62,$EW$65,0.95*$EW$64)),0)</f>
        <v>6421.6344775026746</v>
      </c>
      <c r="BL545" s="1111">
        <f t="shared" si="717"/>
        <v>0</v>
      </c>
      <c r="BM545" s="1110">
        <f t="shared" si="718"/>
        <v>0</v>
      </c>
      <c r="BN545" s="1113">
        <f t="shared" si="719"/>
        <v>3</v>
      </c>
      <c r="BO545" s="1108">
        <f t="shared" si="720"/>
        <v>4507.7214871259994</v>
      </c>
      <c r="BP545" s="1127">
        <f t="shared" si="721"/>
        <v>221.34103209030098</v>
      </c>
      <c r="BQ545" s="1113" t="s">
        <v>132</v>
      </c>
      <c r="BR545" s="1124" t="s">
        <v>171</v>
      </c>
      <c r="BS545" s="421">
        <f>IF($P545="","N/A",IF($P545=-1,INDEX('卡片raw data'!AX:AX,MATCH($D545,'卡片raw data'!$F:$F,)),0)+IF($L545="party卡",IF($P545=5,INDEX('卡片raw data'!BD:BD,MATCH($D545,'卡片raw data'!$F:$F,)),IF($P545&gt;=3,INDEX('卡片raw data'!BC:BC,MATCH($D545,'卡片raw data'!$F:$F,)),INDEX('卡片raw data'!BB:BB,MATCH($D545,'卡片raw data'!$F:$F,)))),IF(OR(AND($F545="UR",$P545=0),AND($F545="SR",$P545&gt;=0,$P545&lt;=2),AND($F545="R",$P545&gt;=0,$P545&lt;4)),INDEX('卡片raw data'!AZ:AZ,MATCH($D545,'卡片raw data'!$F:$F,)),0)+IF(OR(AND($F545="UR",$P545&gt;=1,$P545&lt;=4),AND($F545="SR",$P545&lt;=4,$P545&gt;=3),AND($F545="R",$P545=4)),INDEX('卡片raw data'!BA:BA,MATCH($D545,'卡片raw data'!$F:$F,)),0)+IF($P545=5,INDEX('卡片raw data'!BB:BB,MATCH($D545,'卡片raw data'!$F:$F,)),0)))</f>
        <v>5.1999999999999998E-2</v>
      </c>
      <c r="BT545" s="424">
        <f t="shared" si="722"/>
        <v>2604.4613036728001</v>
      </c>
      <c r="BU545" s="420">
        <f t="shared" si="723"/>
        <v>111.90018844565216</v>
      </c>
      <c r="BV545" s="420">
        <f t="shared" si="724"/>
        <v>1302.2306518363998</v>
      </c>
      <c r="BW545" s="436">
        <f t="shared" si="725"/>
        <v>0</v>
      </c>
      <c r="BX545" s="423">
        <f t="shared" si="726"/>
        <v>2604.4613036728001</v>
      </c>
      <c r="BY545" s="433">
        <f t="shared" si="727"/>
        <v>1302.2306518363998</v>
      </c>
      <c r="BZ545" s="1113" t="s">
        <v>569</v>
      </c>
      <c r="CA545" s="450"/>
      <c r="CB545" s="421">
        <f>IF($P545="","N/A",IF($P545=-1,INDEX('卡片raw data'!BE:BE,MATCH($D545,'卡片raw data'!$F:$F,)),0)+IF($L545="party卡",IF($P545=5,INDEX('卡片raw data'!BK:BK,MATCH($D545,'卡片raw data'!$F:$F,)),IF($P545&gt;=3,INDEX('卡片raw data'!BJ:BJ,MATCH($D545,'卡片raw data'!$F:$F,)),INDEX('卡片raw data'!BI:BI,MATCH($D545,'卡片raw data'!$F:$F,)))),IF(OR(AND($F545="UR",$P545=0),AND($F545="SR",$P545&gt;=0,$P545&lt;=2),AND($F545="R",$P545&gt;=0,$P545&lt;4)),INDEX('卡片raw data'!BG:BG,MATCH($D545,'卡片raw data'!$F:$F,)),0)+IF(OR(AND($F545="UR",$P545&gt;=1,$P545&lt;=4),AND($F545="SR",$P545&lt;=4,$P545&gt;=3),AND($F545="R",$P545=4)),INDEX('卡片raw data'!BH:BH,MATCH($D545,'卡片raw data'!$F:$F,)),0)+IF($P545=5,INDEX('卡片raw data'!BI:BI,MATCH($D545,'卡片raw data'!$F:$F,)),0)))</f>
        <v>0</v>
      </c>
      <c r="CC545" s="424">
        <f t="shared" si="771"/>
        <v>0</v>
      </c>
      <c r="CD545" s="420">
        <f>IF(BZ545="ap",CB545*(1-$FI$26)*$FB$5/$FB$11*(+IF(CA545="全员",$FA$24,0)+IF(CA545="同作战",$FA$24,0)+IF(CA545="仲间",$FA$24*2/3,0)+IF(CA545="同属性",$FA$24*$FA$37/3,0)+IF(CA545="同年级",$FA$24*$FA$40/3,0)+IF(CA545="同学校",$FA$24*$FA$43/3,0)+IF(CA545="同小队",$FA$24*$FA$46/3,0)+IF(CA545="同type",$FA$24*INDEX($FB$49:$FB$52,MATCH(X545,$FA$49:$FA$52,))/3,0)+IF(CA545="自身",#REF!/3,0)),0)+IF(BZ545="te",CB545*(1-$FI$27)*($FA$20-1)*$FB$7/$FB$13*(+IF(CA545="全员",$FA$19*$FA$24/(1+($FA$20-1)*$FA$19),0)+IF(CA545="同作战",$FA$19*$FA$24/(1+($FA$20-1)*$FA$19),0)+IF(CA545="仲间",$FA$19*$FA$24*2/3/(1+($FA$20-1)*$FA$19),0)+IF(CA545="同属性",$FA$19*$FA$24*$FA$37/3/(1+($FA$20-1)*$FA$19),0)+IF(CA545="同年级",$FA$19*$FA$24*$FA$40/3/(1+($FA$20-1)*$FA$19),0)+IF(CA545="同学校",$FA$19*$FA$24*$FA$43/3/(1+($FA$20-1)*$FA$19),0)+IF(CA545="同小队",$FA$19*$FA$24*$FA$46/3/(1+($FA$20-1)*$FA$19),0)+IF(CA545="同type",$FA$19*$FA$24*INDEX($FB$49:$FB$52,MATCH(X545,$FA$49:$FA$52,))/3/(1+($FA$20-1)*$FA$19),0)+IF(CA545="自身",$FA$19*#REF!/3/(1+(BH545-1)*$BD545),0)),0)</f>
        <v>0</v>
      </c>
      <c r="CE545" s="420">
        <f t="shared" si="729"/>
        <v>0</v>
      </c>
      <c r="CF545" s="436">
        <f t="shared" si="772"/>
        <v>0</v>
      </c>
      <c r="CG545" s="423">
        <f t="shared" si="731"/>
        <v>0</v>
      </c>
      <c r="CH545" s="433">
        <f t="shared" si="732"/>
        <v>0</v>
      </c>
      <c r="CI545" s="1113" t="s">
        <v>162</v>
      </c>
      <c r="CJ545" s="1114">
        <v>1</v>
      </c>
      <c r="CK545" s="1115" t="s">
        <v>2074</v>
      </c>
      <c r="CL545" s="1115" t="s">
        <v>2667</v>
      </c>
      <c r="CM545" s="1119">
        <v>0.15</v>
      </c>
      <c r="CN545" s="1115" t="s">
        <v>1948</v>
      </c>
      <c r="CO545" s="1115"/>
      <c r="CP545" s="1118">
        <f t="shared" si="733"/>
        <v>2.6785714285714288E-2</v>
      </c>
      <c r="CQ545" s="1118">
        <f t="shared" si="734"/>
        <v>2.4999999999999998E-2</v>
      </c>
      <c r="CR545" s="1118">
        <f t="shared" si="735"/>
        <v>0</v>
      </c>
      <c r="CS545" s="442">
        <f t="shared" si="736"/>
        <v>0</v>
      </c>
      <c r="CT545" s="432">
        <f t="shared" si="737"/>
        <v>0</v>
      </c>
      <c r="CU545" s="1101">
        <f t="shared" si="738"/>
        <v>4552.9999395636496</v>
      </c>
      <c r="CV545" s="1108">
        <f t="shared" si="768"/>
        <v>196.96716843749999</v>
      </c>
      <c r="CW545" s="420">
        <f t="shared" si="739"/>
        <v>0</v>
      </c>
      <c r="CX545" s="420">
        <f t="shared" si="740"/>
        <v>4552.9999395636496</v>
      </c>
      <c r="CY545" s="433">
        <f t="shared" si="741"/>
        <v>0</v>
      </c>
      <c r="CZ545" s="437"/>
      <c r="DA545" s="438"/>
      <c r="DB545" s="439" t="s">
        <v>569</v>
      </c>
      <c r="DC545" s="439"/>
      <c r="DD545" s="443"/>
      <c r="DE545" s="411"/>
      <c r="DF545" s="411"/>
      <c r="DG545" s="1116">
        <f t="shared" si="742"/>
        <v>0</v>
      </c>
      <c r="DH545" s="1116">
        <f t="shared" si="743"/>
        <v>0</v>
      </c>
      <c r="DI545" s="1116">
        <f t="shared" si="744"/>
        <v>0</v>
      </c>
      <c r="DJ545" s="442">
        <f t="shared" si="745"/>
        <v>0</v>
      </c>
      <c r="DK545" s="432">
        <f t="shared" si="746"/>
        <v>0</v>
      </c>
      <c r="DL545" s="424">
        <f t="shared" si="747"/>
        <v>0</v>
      </c>
      <c r="DM545" s="420">
        <f t="shared" si="748"/>
        <v>0</v>
      </c>
      <c r="DN545" s="420">
        <f t="shared" si="749"/>
        <v>0</v>
      </c>
      <c r="DO545" s="420">
        <f t="shared" si="750"/>
        <v>0</v>
      </c>
      <c r="DP545" s="433">
        <f t="shared" si="751"/>
        <v>0</v>
      </c>
      <c r="DQ545" s="1113" t="s">
        <v>2074</v>
      </c>
      <c r="DR545" s="1120">
        <f t="shared" si="773"/>
        <v>0.33</v>
      </c>
      <c r="DS545" s="1124">
        <v>5</v>
      </c>
      <c r="DT545" s="1124" t="s">
        <v>4466</v>
      </c>
      <c r="DU545" s="1093" t="s">
        <v>2145</v>
      </c>
      <c r="DV545" s="1098">
        <f>IF($P545="","N/A",IF(P545=-1,INDEX('卡片raw data'!AN:AN,MATCH(D545,'卡片raw data'!$F:$F,)),0)+IF(AND(L545&lt;&gt;"party卡",P545&lt;=2,P545&gt;=0),INDEX('卡片raw data'!AP:AP,MATCH(D545,'卡片raw data'!$F:$F,)),0)+IF(OR(AND(L545="party卡",P545&lt;=1),AND(P545&lt;=4,L545&lt;&gt;"party卡",P545&gt;=3)),INDEX('卡片raw data'!AQ:AQ,MATCH(D545,'卡片raw data'!$F:$F,)),0)+IF(OR(P545=5,AND(L545="party卡",P545&gt;=2)),INDEX('卡片raw data'!AR:AR,MATCH(D545,'卡片raw data'!$F:$F,)),0))</f>
        <v>6.2E-2</v>
      </c>
      <c r="DW545" s="1098">
        <f t="shared" si="752"/>
        <v>0.33</v>
      </c>
      <c r="DX545" s="1098">
        <f t="shared" si="753"/>
        <v>0.33</v>
      </c>
      <c r="DY545" s="1098">
        <f t="shared" si="754"/>
        <v>3.4100000000000005E-2</v>
      </c>
      <c r="DZ545" s="1098">
        <f t="shared" si="755"/>
        <v>2.9496500000000005E-2</v>
      </c>
      <c r="EA545" s="421">
        <f t="shared" si="756"/>
        <v>0</v>
      </c>
      <c r="EB545" s="445">
        <f t="shared" si="757"/>
        <v>0</v>
      </c>
      <c r="EC545" s="424">
        <f t="shared" si="758"/>
        <v>5796.2724563938309</v>
      </c>
      <c r="ED545" s="420">
        <f t="shared" si="759"/>
        <v>232.39368335266883</v>
      </c>
      <c r="EE545" s="433">
        <f t="shared" si="775"/>
        <v>5796.2724563938309</v>
      </c>
      <c r="EF545" s="1113" t="s">
        <v>569</v>
      </c>
      <c r="EG545" s="1120">
        <f t="shared" si="774"/>
        <v>0.33</v>
      </c>
      <c r="EH545" s="450"/>
      <c r="EI545" s="1124"/>
      <c r="EJ545" s="1124"/>
      <c r="EK545" s="420">
        <f>IF($P545="","N/A",IF(P545=-1,INDEX('卡片raw data'!AS:AS,MATCH(D545,'卡片raw data'!$F:$F,)),0)+IF(AND(L545&lt;&gt;"party卡",P545&lt;=2,P545&gt;=0),INDEX('卡片raw data'!AU:AU,MATCH(D545,'卡片raw data'!$F:$F,)),0)+IF(OR(AND(L545="party卡",P545&lt;=1),AND(P545&lt;=4,L545&lt;&gt;"party卡",P545&gt;=3)),INDEX('卡片raw data'!AV:AV,MATCH(D545,'卡片raw data'!$F:$F,)),0)+IF(OR(P545=5,AND(L545="party卡",P545&gt;=2)),INDEX('卡片raw data'!AW:AW,MATCH(D545,'卡片raw data'!$F:$F,)),0))</f>
        <v>0</v>
      </c>
      <c r="EL545" s="1098">
        <f t="shared" si="760"/>
        <v>0.33</v>
      </c>
      <c r="EM545" s="1098">
        <f t="shared" si="761"/>
        <v>0.33</v>
      </c>
      <c r="EN545" s="1097">
        <f t="shared" si="762"/>
        <v>0</v>
      </c>
      <c r="EO545" s="1097">
        <f t="shared" si="763"/>
        <v>0</v>
      </c>
      <c r="EP545" s="421">
        <f t="shared" si="764"/>
        <v>0</v>
      </c>
      <c r="EQ545" s="445">
        <f t="shared" si="765"/>
        <v>0</v>
      </c>
      <c r="ER545" s="424">
        <f t="shared" si="766"/>
        <v>0</v>
      </c>
      <c r="ES545" s="420">
        <f t="shared" si="767"/>
        <v>0</v>
      </c>
      <c r="ET545" s="446">
        <f t="shared" si="776"/>
        <v>0</v>
      </c>
    </row>
    <row r="546" spans="2:150" ht="16.5" customHeight="1">
      <c r="B546" s="448" t="str">
        <f>INDEX('卡片raw data'!B:B,MATCH($D546,'卡片raw data'!$F:$F,))</f>
        <v>秋雨璃</v>
      </c>
      <c r="C546" s="449" t="s">
        <v>4470</v>
      </c>
      <c r="D546" s="408">
        <v>543</v>
      </c>
      <c r="E546" s="477">
        <v>402093004</v>
      </c>
      <c r="F546" s="409" t="str">
        <f>INDEX('卡片raw data'!C:C,MATCH($D546,'卡片raw data'!$F:$F,))</f>
        <v>UR</v>
      </c>
      <c r="G546" s="1094" t="s">
        <v>4471</v>
      </c>
      <c r="H546" s="411">
        <f>IFERROR(INDEX(绊状态确认!C:C,MATCH($G546,绊状态确认!$B:$B,)),"")</f>
        <v>209</v>
      </c>
      <c r="I546" s="450" t="str">
        <f>IFERROR(INDEX(绊状态确认!D:D,MATCH($G546,绊状态确认!$B:$B,)),"")</f>
        <v>虹</v>
      </c>
      <c r="J546" s="450" t="str">
        <f>IFERROR(INDEX(绊状态确认!E:E,MATCH($G546,绊状态确认!$B:$B,)),"")</f>
        <v>1年级</v>
      </c>
      <c r="K546" s="451" t="str">
        <f>IFERROR(INDEX(绊状态确认!F:F,MATCH($G546,绊状态确认!$B:$B,)),"")</f>
        <v>QU4RTZ</v>
      </c>
      <c r="L546" s="414" t="str">
        <f>INDEX('卡片raw data'!E:E,MATCH($D546,'卡片raw data'!$F:$F,))</f>
        <v>活动卡</v>
      </c>
      <c r="M546" s="478">
        <v>44455</v>
      </c>
      <c r="N546" s="479">
        <v>48</v>
      </c>
      <c r="O546" s="410" t="str">
        <f>INDEX('卡片raw data'!D:D,MATCH($D546,'卡片raw data'!$F:$F,))</f>
        <v>gd</v>
      </c>
      <c r="P546" s="1126">
        <v>5</v>
      </c>
      <c r="Q546" s="418">
        <f t="shared" si="688"/>
        <v>28034.096910208529</v>
      </c>
      <c r="R546" s="419">
        <f t="shared" si="689"/>
        <v>0.32500000000000001</v>
      </c>
      <c r="S546" s="420">
        <f t="shared" si="690"/>
        <v>15803.487031579521</v>
      </c>
      <c r="T546" s="421">
        <f t="shared" si="691"/>
        <v>0.79</v>
      </c>
      <c r="U546" s="422">
        <f t="shared" si="692"/>
        <v>768.93412040288217</v>
      </c>
      <c r="V546" s="423">
        <f t="shared" si="693"/>
        <v>80365.272881575511</v>
      </c>
      <c r="W546" s="424">
        <f t="shared" si="694"/>
        <v>4507.7214871259994</v>
      </c>
      <c r="X546" s="419">
        <f t="shared" si="695"/>
        <v>5.1999999999999998E-2</v>
      </c>
      <c r="Y546" s="420">
        <f t="shared" si="696"/>
        <v>4670.0889306261352</v>
      </c>
      <c r="Z546" s="425">
        <f t="shared" si="697"/>
        <v>56.996390076034267</v>
      </c>
      <c r="AA546" s="426">
        <f t="shared" si="698"/>
        <v>9177.8104177521345</v>
      </c>
      <c r="AB546" s="424">
        <f t="shared" si="699"/>
        <v>4507.7214871259994</v>
      </c>
      <c r="AC546" s="427">
        <f t="shared" si="700"/>
        <v>5.1999999999999998E-2</v>
      </c>
      <c r="AD546" s="428">
        <f t="shared" si="701"/>
        <v>0</v>
      </c>
      <c r="AE546" s="516">
        <f t="shared" si="702"/>
        <v>-6.25</v>
      </c>
      <c r="AF546" s="1130">
        <f t="shared" si="703"/>
        <v>9858.0024936515165</v>
      </c>
      <c r="AG546" s="420">
        <f t="shared" si="704"/>
        <v>81970.509634918417</v>
      </c>
      <c r="AH546" s="420">
        <f t="shared" si="705"/>
        <v>8.3151236457595576</v>
      </c>
      <c r="AI546" s="1097">
        <f t="shared" si="706"/>
        <v>111690.79084149099</v>
      </c>
      <c r="AJ546" s="420">
        <f t="shared" si="707"/>
        <v>80365.272881575511</v>
      </c>
      <c r="AK546" s="518">
        <f t="shared" si="708"/>
        <v>31325.51795991548</v>
      </c>
      <c r="AL546" s="1106">
        <f>IF($P546="","N/A",(IF($P546=-1,INDEX('卡片raw data'!S:S,MATCH($D546,'卡片raw data'!$F:$F,)),0)+IF($P546=0,INDEX('卡片raw data'!V:V,MATCH($D546,'卡片raw data'!$F:$F,)),0)+IF($P546=1,INDEX('卡片raw data'!Y:Y,MATCH($D546,'卡片raw data'!$F:$F,)),0)+IF($P546=2,INDEX('卡片raw data'!AB:AB,MATCH($D546,'卡片raw data'!$F:$F,)),0)+IF($P546=3,INDEX('卡片raw data'!AE:AE,MATCH($D546,'卡片raw data'!$F:$F,)),0)+IF($P546=4,INDEX('卡片raw data'!AH:AH,MATCH($D546,'卡片raw data'!$F:$F,)),0)+IF($P546=5,INDEX('卡片raw data'!AK:AK,MATCH($D546,'卡片raw data'!$F:$F,)),0)+INDEX('卡片raw data'!S:S,MATCH($D546,'卡片raw data'!$F:$F,))*(IF($F546="UR",0.04,0.033))*(IF($F546="UR",INDEX(绊状态确认!$S:$S,MATCH($G546,绊状态确认!$B:$B,))/2-40)+IF($F546="SR",INDEX(绊状态确认!$R:$R,MATCH($G546,绊状态确认!$B:$B,))/4-15))+IF($F546="R",INDEX(绊状态确认!$Q:$Q,MATCH($G546,绊状态确认!$B:$B,))/6-40/6)))*(INDEX(绊状态确认!$H:$H,MATCH($G546,绊状态确认!$B:$B,))+INDEX(绊状态确认!J:J,MATCH($G546,绊状态确认!$B:$B,)))</f>
        <v>7657.7450399999998</v>
      </c>
      <c r="AM546" s="1106">
        <f>IF($P546="","N/A",(IF($P546=-1,INDEX('卡片raw data'!T:T,MATCH($D546,'卡片raw data'!$F:$F,)),0)+IF($P546=0,INDEX('卡片raw data'!W:W,MATCH($D546,'卡片raw data'!$F:$F,)),0)+IF($P546=1,INDEX('卡片raw data'!Z:Z,MATCH($D546,'卡片raw data'!$F:$F,)),0)+IF($P546=2,INDEX('卡片raw data'!AC:AC,MATCH($D546,'卡片raw data'!$F:$F,)),0)+IF($P546=3,INDEX('卡片raw data'!AF:AF,MATCH($D546,'卡片raw data'!$F:$F,)),0)+IF($P546=4,INDEX('卡片raw data'!AI:AI,MATCH($D546,'卡片raw data'!$F:$F,)),0)+IF($P546=5,INDEX('卡片raw data'!AL:AL,MATCH($D546,'卡片raw data'!$F:$F,)),0)+INDEX('卡片raw data'!T:T,MATCH($D546,'卡片raw data'!$F:$F,))*(IF($F546="UR",0.04,0.033))*(IF($F546="UR",INDEX(绊状态确认!$S:$S,MATCH($G546,绊状态确认!$B:$B,))/2-40)+IF($F546="SR",INDEX(绊状态确认!$R:$R,MATCH($G546,绊状态确认!$B:$B,))/4-15))+IF($F546="R",INDEX(绊状态确认!$Q:$Q,MATCH($G546,绊状态确认!$B:$B,))/6-40/6)))*(INDEX(绊状态确认!$H:$H,MATCH($G546,绊状态确认!$B:$B,))+INDEX(绊状态确认!K:K,MATCH($G546,绊状态确认!$B:$B,)))</f>
        <v>14358.368543999997</v>
      </c>
      <c r="AN546" s="1106">
        <f>IF($P546="","N/A",(IF($P546=-1,INDEX('卡片raw data'!U:U,MATCH($D546,'卡片raw data'!$F:$F,)),0)+IF($P546=0,INDEX('卡片raw data'!X:X,MATCH($D546,'卡片raw data'!$F:$F,)),0)+IF($P546=1,INDEX('卡片raw data'!AA:AA,MATCH($D546,'卡片raw data'!$F:$F,)),0)+IF($P546=2,INDEX('卡片raw data'!AD:AD,MATCH($D546,'卡片raw data'!$F:$F,)),0)+IF($P546=3,INDEX('卡片raw data'!AG:AG,MATCH($D546,'卡片raw data'!$F:$F,)),0)+IF($P546=4,INDEX('卡片raw data'!AJ:AJ,MATCH($D546,'卡片raw data'!$F:$F,)),0)+IF($P546=5,INDEX('卡片raw data'!AM:AM,MATCH($D546,'卡片raw data'!$F:$F,)),0)+INDEX('卡片raw data'!U:U,MATCH($D546,'卡片raw data'!$F:$F,))*(IF($F546="UR",0.04,0.033))*(IF($F546="UR",INDEX(绊状态确认!$S:$S,MATCH($G546,绊状态确认!$B:$B,))/2-40)+IF($F546="SR",INDEX(绊状态确认!$R:$R,MATCH($G546,绊状态确认!$B:$B,))/4-15))+IF($F546="R",INDEX(绊状态确认!$Q:$Q,MATCH($G546,绊状态确认!$B:$B,))/6-40/6)))*(INDEX(绊状态确认!$H:$H,MATCH($G546,绊状态确认!$B:$B,))+INDEX(绊状态确认!L:L,MATCH($G546,绊状态确认!$B:$B,)))</f>
        <v>9890.4983039999988</v>
      </c>
      <c r="AO546" s="1107">
        <f t="shared" si="709"/>
        <v>1</v>
      </c>
      <c r="AP546" s="1131">
        <f>1+(INDEX(绊状态确认!$T:$T,MATCH($G546,绊状态确认!$B:$B,))+0.2)*$AO546</f>
        <v>1.3</v>
      </c>
      <c r="AQ546" s="1108">
        <f t="shared" si="710"/>
        <v>23351.580730000001</v>
      </c>
      <c r="AR546" s="1097">
        <f>(AM546*(1+$EX$9)+$EX$35)*(1+(INDEX(绊状态确认!$T:$T,MATCH($G546,绊状态确认!$B:$B,))+0.2)*AO546)*IF(J546=$FF$17,1+$FE$17,1)*IF(I546=$FF$14,1+$FE$14,1)</f>
        <v>22303.173062559996</v>
      </c>
      <c r="AS546" s="1097">
        <f>(AN546*(1+$EX$10)+$EX$36)*(1+(INDEX(绊状态确认!$T:$T,MATCH($G546,绊状态确认!$B:$B,))+0.2)*AO546)*IF(J546=$FF$17,1+$FE$17,1)*IF(I546=$FF$14,1+$FE$14,1)</f>
        <v>18842.294964479999</v>
      </c>
      <c r="AT546" s="1093">
        <f>IF(AND(INDEX('卡片raw data'!AK:AK,MATCH($D546,'卡片raw data'!$F:$F,))&lt;INDEX('卡片raw data'!AM:AM,MATCH($D546,'卡片raw data'!$F:$F,)),INDEX('卡片raw data'!AL:AL,MATCH($D546,'卡片raw data'!$F:$F,))&lt;INDEX('卡片raw data'!AM:AM,MATCH($D546,'卡片raw data'!$F:$F,))),1,0)</f>
        <v>0</v>
      </c>
      <c r="AU546" s="1098">
        <f>MIN(AT546*0.15+AS546*0.00003+INDEX(绊状态确认!M:M,MATCH($G546,绊状态确认!$B:$B,)),1)</f>
        <v>0.59526884893440002</v>
      </c>
      <c r="AV546" s="1109">
        <f>(INDEX(绊状态确认!$N:$N,MATCH($G546,绊状态确认!$B:$B,))+1.5)*$EW$21</f>
        <v>2.6599999999999997</v>
      </c>
      <c r="AW546" s="1101">
        <f t="shared" si="711"/>
        <v>24111.375423082529</v>
      </c>
      <c r="AX546" s="1097">
        <f t="shared" si="712"/>
        <v>1953.9690181640262</v>
      </c>
      <c r="AY546" s="1110">
        <f t="shared" si="713"/>
        <v>26065.344441246554</v>
      </c>
      <c r="AZ546" s="429">
        <f t="shared" si="714"/>
        <v>17532.602827999999</v>
      </c>
      <c r="BA546" s="431">
        <f t="shared" si="715"/>
        <v>21039.123393599999</v>
      </c>
      <c r="BB546" s="1097">
        <f>(AM546*(1+$FB$9)+$FB$35)*(1+(INDEX(绊状态确认!$T:$T,MATCH($G546,绊状态确认!$B:$B,))+0.2)*AO546)*IF(J546=$FF$17,1+$FE$17,1)*IF(I546=$FF$14,1+$FE$14,1)*(1+$FE$15)</f>
        <v>22303.173062559996</v>
      </c>
      <c r="BC546" s="1097">
        <f>(AN546*(1+$FB$10)+$FB$36)*(1+(INDEX(绊状态确认!$T:$T,MATCH($G546,绊状态确认!$B:$B,))+0.2)*AO546)*IF(J546=$FF$17,1+$FE$17,1)*IF(I546=$FF$14,1+$FE$14,1)*(1+$FE$15)</f>
        <v>18842.294964479999</v>
      </c>
      <c r="BD546" s="1104">
        <f>MIN(AT546*0.15+BC546*0.00003+INDEX(绊状态确认!M:M,MATCH($G546,绊状态确认!$B:$B,)),1)</f>
        <v>0.59526884893440002</v>
      </c>
      <c r="BE546" s="432">
        <f>(INDEX(绊状态确认!$N:$N,MATCH($G546,绊状态确认!$B:$B,))+1.5)</f>
        <v>1.9</v>
      </c>
      <c r="BF546" s="1139">
        <f t="array" ref="BF546">SUMPRODUCT(IF(AZ546*AP546*$FI$16:$FI$23*$FA$22&gt;=$FI$24,$FI$24,AZ546*AP546*$FI$16:$FI$23*$FA$22),$FJ$16:$FJ$23)</f>
        <v>34872.347024891998</v>
      </c>
      <c r="BG546" s="1125">
        <f t="array" ref="BG546">SUMPRODUCT(IF(BE546*AZ546*AP546*$FI$16:$FI$23*$FA$22&gt;=$FI$24,$FI$24,BE546*AZ546*AP546*$FI$16:$FI$23*$FA$22),$FJ$16:$FJ$23)</f>
        <v>58826.382246289999</v>
      </c>
      <c r="BH546" s="1110">
        <f t="shared" si="716"/>
        <v>16377.145999489221</v>
      </c>
      <c r="BI546" s="1111">
        <f>IF(O546="vo",$EW$26/$EW$24*0.05,0)+IF(O546="sk",-$EW$26/$EW$24*(0.05-INDEX(绊状态确认!W:W,MATCH($G546,绊状态确认!$B:$B,)))+0.05*$EW$28,0)+IF(O546="sp",0.05*$EW$32*$EW$30*(1-$EW$33)-(0.05-INDEX(绊状态确认!V:V,MATCH($G546,绊状态确认!$B:$B,)))*$EW$28,0)+IF(O546="gd",-(0.05-INDEX(绊状态确认!X:X,MATCH($G546,绊状态确认!$B:$B,)))*$EW$32*$EW$30*(1-$EW$33),0)</f>
        <v>-585.00000000000011</v>
      </c>
      <c r="BJ546" s="420">
        <f>IF(O546="vo",0.05*(1-$FI$26)*$FA$24,0)+IF(O546="sk",-(0.05-INDEX(绊状态确认!W:W,MATCH($G546,绊状态确认!$B:$B,)))*(1-$FI$26)*$FA$24+0.05*$FA$26,0)+IF(O546="sp",0.05*$FA$32*$FA$27*(1-$FA$33)/$FA$30+0.05*$FA$29/$FA$69*$FA$27*(1-$FA$33)-(0.05-INDEX(绊状态确认!V:V,MATCH($G546,绊状态确认!$B:$B,)))*$FA$26,0)+IF(O546="gd",-(0.05-INDEX(绊状态确认!X:X,MATCH($G546,绊状态确认!$B:$B,)))*$FA$32*$FA$27*(1-$FA$33)/$FA$30-(0.05-INDEX(绊状态确认!X:X,MATCH($G546,绊状态确认!$B:$B,)))*$FA$29/$FA$69*$FA$27*(1-$FA$33),0)</f>
        <v>-795.00000000000011</v>
      </c>
      <c r="BK546" s="1110">
        <f>IF(O546="vo",$EW$26/$EW$24*0.05+$EW$26*(-HP($EW$62,$EW$65,$EW$64)+HP($EW$62,$EW$65,(1.05-INDEX(绊状态确认!U:U,MATCH($G546,绊状态确认!$B:$B,)))*$EW$64)),0)+IF(O546="sk",-$EW$26/$EW$24*(0.05-INDEX(绊状态确认!W:W,MATCH($G546,绊状态确认!$B:$B,)))+0.05*$EW$29,0)+IF(O546="sp",0.05*$EW$32*$EW$30*(1-$EW$33)-(0.05-INDEX(绊状态确认!V:V,MATCH($G546,绊状态确认!$B:$B,)))*$EW$29,0)+IF(O546="gd",-(0.05-INDEX(绊状态确认!X:X,MATCH($G546,绊状态确认!$B:$B,)))*$EW$32*$EW$30*(1-$EW$33)+$EW$26*(-HP($EW$62,$EW$65,$EW$64)+HP($EW$62,$EW$65,0.95*$EW$64)),0)</f>
        <v>1009.5947725176144</v>
      </c>
      <c r="BL546" s="1111">
        <f t="shared" si="717"/>
        <v>0</v>
      </c>
      <c r="BM546" s="1110">
        <f t="shared" si="718"/>
        <v>0</v>
      </c>
      <c r="BN546" s="1113">
        <f t="shared" si="719"/>
        <v>3</v>
      </c>
      <c r="BO546" s="1108">
        <f t="shared" si="720"/>
        <v>4507.7214871259994</v>
      </c>
      <c r="BP546" s="1127">
        <f t="shared" si="721"/>
        <v>221.34103209030098</v>
      </c>
      <c r="BQ546" s="1113" t="s">
        <v>133</v>
      </c>
      <c r="BR546" s="1124" t="s">
        <v>161</v>
      </c>
      <c r="BS546" s="421">
        <f>IF($P546="","N/A",IF($P546=-1,INDEX('卡片raw data'!AX:AX,MATCH($D546,'卡片raw data'!$F:$F,)),0)+IF($L546="party卡",IF($P546=5,INDEX('卡片raw data'!BD:BD,MATCH($D546,'卡片raw data'!$F:$F,)),IF($P546&gt;=3,INDEX('卡片raw data'!BC:BC,MATCH($D546,'卡片raw data'!$F:$F,)),INDEX('卡片raw data'!BB:BB,MATCH($D546,'卡片raw data'!$F:$F,)))),IF(OR(AND($F546="UR",$P546=0),AND($F546="SR",$P546&gt;=0,$P546&lt;=2),AND($F546="R",$P546&gt;=0,$P546&lt;4)),INDEX('卡片raw data'!AZ:AZ,MATCH($D546,'卡片raw data'!$F:$F,)),0)+IF(OR(AND($F546="UR",$P546&gt;=1,$P546&lt;=4),AND($F546="SR",$P546&lt;=4,$P546&gt;=3),AND($F546="R",$P546=4)),INDEX('卡片raw data'!BA:BA,MATCH($D546,'卡片raw data'!$F:$F,)),0)+IF($P546=5,INDEX('卡片raw data'!BB:BB,MATCH($D546,'卡片raw data'!$F:$F,)),0)))</f>
        <v>4.2000000000000003E-2</v>
      </c>
      <c r="BT546" s="424">
        <f t="shared" si="722"/>
        <v>0</v>
      </c>
      <c r="BU546" s="420">
        <f t="shared" si="723"/>
        <v>0</v>
      </c>
      <c r="BV546" s="420">
        <f t="shared" si="724"/>
        <v>0</v>
      </c>
      <c r="BW546" s="436">
        <f t="shared" si="725"/>
        <v>4.4246249999999989</v>
      </c>
      <c r="BX546" s="423">
        <f t="shared" si="726"/>
        <v>347.58109106159276</v>
      </c>
      <c r="BY546" s="433">
        <f t="shared" si="727"/>
        <v>347.58109106159276</v>
      </c>
      <c r="BZ546" s="1113" t="s">
        <v>569</v>
      </c>
      <c r="CA546" s="450"/>
      <c r="CB546" s="421">
        <f>IF($P546="","N/A",IF($P546=-1,INDEX('卡片raw data'!BE:BE,MATCH($D546,'卡片raw data'!$F:$F,)),0)+IF($L546="party卡",IF($P546=5,INDEX('卡片raw data'!BK:BK,MATCH($D546,'卡片raw data'!$F:$F,)),IF($P546&gt;=3,INDEX('卡片raw data'!BJ:BJ,MATCH($D546,'卡片raw data'!$F:$F,)),INDEX('卡片raw data'!BI:BI,MATCH($D546,'卡片raw data'!$F:$F,)))),IF(OR(AND($F546="UR",$P546=0),AND($F546="SR",$P546&gt;=0,$P546&lt;=2),AND($F546="R",$P546&gt;=0,$P546&lt;4)),INDEX('卡片raw data'!BG:BG,MATCH($D546,'卡片raw data'!$F:$F,)),0)+IF(OR(AND($F546="UR",$P546&gt;=1,$P546&lt;=4),AND($F546="SR",$P546&lt;=4,$P546&gt;=3),AND($F546="R",$P546=4)),INDEX('卡片raw data'!BH:BH,MATCH($D546,'卡片raw data'!$F:$F,)),0)+IF($P546=5,INDEX('卡片raw data'!BI:BI,MATCH($D546,'卡片raw data'!$F:$F,)),0)))</f>
        <v>0</v>
      </c>
      <c r="CC546" s="424">
        <f t="shared" si="771"/>
        <v>0</v>
      </c>
      <c r="CD546" s="420">
        <f>IF(BZ546="ap",CB546*(1-$FI$26)*$FB$5/$FB$11*(+IF(CA546="全员",$FA$24,0)+IF(CA546="同作战",$FA$24,0)+IF(CA546="仲间",$FA$24*2/3,0)+IF(CA546="同属性",$FA$24*$FA$37/3,0)+IF(CA546="同年级",$FA$24*$FA$40/3,0)+IF(CA546="同学校",$FA$24*$FA$43/3,0)+IF(CA546="同小队",$FA$24*$FA$46/3,0)+IF(CA546="同type",$FA$24*INDEX($FB$49:$FB$52,MATCH(X546,$FA$49:$FA$52,))/3,0)+IF(CA546="自身",#REF!/3,0)),0)+IF(BZ546="te",CB546*(1-$FI$27)*($FA$20-1)*$FB$7/$FB$13*(+IF(CA546="全员",$FA$19*$FA$24/(1+($FA$20-1)*$FA$19),0)+IF(CA546="同作战",$FA$19*$FA$24/(1+($FA$20-1)*$FA$19),0)+IF(CA546="仲间",$FA$19*$FA$24*2/3/(1+($FA$20-1)*$FA$19),0)+IF(CA546="同属性",$FA$19*$FA$24*$FA$37/3/(1+($FA$20-1)*$FA$19),0)+IF(CA546="同年级",$FA$19*$FA$24*$FA$40/3/(1+($FA$20-1)*$FA$19),0)+IF(CA546="同学校",$FA$19*$FA$24*$FA$43/3/(1+($FA$20-1)*$FA$19),0)+IF(CA546="同小队",$FA$19*$FA$24*$FA$46/3/(1+($FA$20-1)*$FA$19),0)+IF(CA546="同type",$FA$19*$FA$24*INDEX($FB$49:$FB$52,MATCH(X546,$FA$49:$FA$52,))/3/(1+($FA$20-1)*$FA$19),0)+IF(CA546="自身",$FA$19*#REF!/3/(1+(BH546-1)*$BD546),0)),0)</f>
        <v>0</v>
      </c>
      <c r="CE546" s="420">
        <f t="shared" si="729"/>
        <v>0</v>
      </c>
      <c r="CF546" s="436">
        <f t="shared" si="772"/>
        <v>0</v>
      </c>
      <c r="CG546" s="423">
        <f t="shared" si="731"/>
        <v>0</v>
      </c>
      <c r="CH546" s="433">
        <f t="shared" si="732"/>
        <v>0</v>
      </c>
      <c r="CI546" s="1113" t="s">
        <v>164</v>
      </c>
      <c r="CJ546" s="1114">
        <v>0.3</v>
      </c>
      <c r="CK546" s="1115" t="s">
        <v>2305</v>
      </c>
      <c r="CL546" s="1115" t="s">
        <v>4472</v>
      </c>
      <c r="CM546" s="1119">
        <v>0.2</v>
      </c>
      <c r="CN546" s="1115"/>
      <c r="CO546" s="1115"/>
      <c r="CP546" s="1116">
        <f t="shared" si="733"/>
        <v>28.67550822329142</v>
      </c>
      <c r="CQ546" s="1116">
        <f t="shared" si="734"/>
        <v>44.606346125119984</v>
      </c>
      <c r="CR546" s="1117">
        <f t="shared" si="735"/>
        <v>28.67550822329142</v>
      </c>
      <c r="CS546" s="442">
        <f t="shared" si="736"/>
        <v>0</v>
      </c>
      <c r="CT546" s="432">
        <f t="shared" si="737"/>
        <v>0</v>
      </c>
      <c r="CU546" s="1101">
        <f t="shared" si="738"/>
        <v>0</v>
      </c>
      <c r="CV546" s="1108">
        <f t="shared" si="768"/>
        <v>0</v>
      </c>
      <c r="CW546" s="1097">
        <f t="shared" si="739"/>
        <v>0</v>
      </c>
      <c r="CX546" s="420">
        <f t="shared" si="740"/>
        <v>0</v>
      </c>
      <c r="CY546" s="433">
        <f t="shared" si="741"/>
        <v>2368.5388214005166</v>
      </c>
      <c r="CZ546" s="437"/>
      <c r="DA546" s="438"/>
      <c r="DB546" s="439" t="s">
        <v>569</v>
      </c>
      <c r="DC546" s="439"/>
      <c r="DD546" s="443"/>
      <c r="DE546" s="411"/>
      <c r="DF546" s="411"/>
      <c r="DG546" s="1116">
        <f t="shared" si="742"/>
        <v>0</v>
      </c>
      <c r="DH546" s="1116">
        <f t="shared" si="743"/>
        <v>0</v>
      </c>
      <c r="DI546" s="1116">
        <f t="shared" si="744"/>
        <v>0</v>
      </c>
      <c r="DJ546" s="442">
        <f t="shared" si="745"/>
        <v>0</v>
      </c>
      <c r="DK546" s="432">
        <f t="shared" si="746"/>
        <v>0</v>
      </c>
      <c r="DL546" s="424">
        <f t="shared" si="747"/>
        <v>0</v>
      </c>
      <c r="DM546" s="420">
        <f t="shared" si="748"/>
        <v>0</v>
      </c>
      <c r="DN546" s="420">
        <f t="shared" si="749"/>
        <v>0</v>
      </c>
      <c r="DO546" s="420">
        <f t="shared" si="750"/>
        <v>0</v>
      </c>
      <c r="DP546" s="433">
        <f t="shared" si="751"/>
        <v>0</v>
      </c>
      <c r="DQ546" s="1113" t="s">
        <v>635</v>
      </c>
      <c r="DR546" s="1120">
        <f t="shared" si="773"/>
        <v>0.33</v>
      </c>
      <c r="DS546" s="1124"/>
      <c r="DT546" s="1093" t="s">
        <v>133</v>
      </c>
      <c r="DU546" s="1124"/>
      <c r="DV546" s="1098">
        <f>IF($P546="","N/A",IF(P546=-1,INDEX('卡片raw data'!AN:AN,MATCH(D546,'卡片raw data'!$F:$F,)),0)+IF(AND(L546&lt;&gt;"party卡",P546&lt;=2,P546&gt;=0),INDEX('卡片raw data'!AP:AP,MATCH(D546,'卡片raw data'!$F:$F,)),0)+IF(OR(AND(L546="party卡",P546&lt;=1),AND(P546&lt;=4,L546&lt;&gt;"party卡",P546&gt;=3)),INDEX('卡片raw data'!AQ:AQ,MATCH(D546,'卡片raw data'!$F:$F,)),0)+IF(OR(P546=5,AND(L546="party卡",P546&gt;=2)),INDEX('卡片raw data'!AR:AR,MATCH(D546,'卡片raw data'!$F:$F,)),0))</f>
        <v>0.28000000000000003</v>
      </c>
      <c r="DW546" s="1098">
        <f t="shared" si="752"/>
        <v>0.33</v>
      </c>
      <c r="DX546" s="1098">
        <f t="shared" si="753"/>
        <v>0.33</v>
      </c>
      <c r="DY546" s="1097">
        <f t="shared" si="754"/>
        <v>686.93773032684794</v>
      </c>
      <c r="DZ546" s="1097">
        <f t="shared" si="755"/>
        <v>594.20113673272351</v>
      </c>
      <c r="EA546" s="421">
        <f t="shared" si="756"/>
        <v>0</v>
      </c>
      <c r="EB546" s="445">
        <f t="shared" si="757"/>
        <v>0</v>
      </c>
      <c r="EC546" s="424">
        <f t="shared" si="758"/>
        <v>0</v>
      </c>
      <c r="ED546" s="420">
        <f t="shared" si="759"/>
        <v>0</v>
      </c>
      <c r="EE546" s="433">
        <f t="shared" si="775"/>
        <v>48435.03108962375</v>
      </c>
      <c r="EF546" s="1113" t="s">
        <v>569</v>
      </c>
      <c r="EG546" s="1120">
        <f t="shared" si="774"/>
        <v>0.33</v>
      </c>
      <c r="EH546" s="450"/>
      <c r="EI546" s="1124"/>
      <c r="EJ546" s="1124"/>
      <c r="EK546" s="420">
        <f>IF($P546="","N/A",IF(P546=-1,INDEX('卡片raw data'!AS:AS,MATCH(D546,'卡片raw data'!$F:$F,)),0)+IF(AND(L546&lt;&gt;"party卡",P546&lt;=2,P546&gt;=0),INDEX('卡片raw data'!AU:AU,MATCH(D546,'卡片raw data'!$F:$F,)),0)+IF(OR(AND(L546="party卡",P546&lt;=1),AND(P546&lt;=4,L546&lt;&gt;"party卡",P546&gt;=3)),INDEX('卡片raw data'!AV:AV,MATCH(D546,'卡片raw data'!$F:$F,)),0)+IF(OR(P546=5,AND(L546="party卡",P546&gt;=2)),INDEX('卡片raw data'!AW:AW,MATCH(D546,'卡片raw data'!$F:$F,)),0))</f>
        <v>0</v>
      </c>
      <c r="EL546" s="1098">
        <f t="shared" si="760"/>
        <v>0.33</v>
      </c>
      <c r="EM546" s="1098">
        <f t="shared" si="761"/>
        <v>0.33</v>
      </c>
      <c r="EN546" s="1097">
        <f t="shared" si="762"/>
        <v>0</v>
      </c>
      <c r="EO546" s="1097">
        <f t="shared" si="763"/>
        <v>0</v>
      </c>
      <c r="EP546" s="421">
        <f t="shared" si="764"/>
        <v>0</v>
      </c>
      <c r="EQ546" s="445">
        <f t="shared" si="765"/>
        <v>0</v>
      </c>
      <c r="ER546" s="424">
        <f t="shared" si="766"/>
        <v>0</v>
      </c>
      <c r="ES546" s="420">
        <f t="shared" si="767"/>
        <v>0</v>
      </c>
      <c r="ET546" s="446">
        <f t="shared" si="776"/>
        <v>0</v>
      </c>
    </row>
    <row r="547" spans="2:150" ht="16.5" customHeight="1">
      <c r="B547" s="448" t="str">
        <f>INDEX('卡片raw data'!B:B,MATCH($D547,'卡片raw data'!$F:$F,))</f>
        <v>aa姬</v>
      </c>
      <c r="C547" s="449" t="s">
        <v>4470</v>
      </c>
      <c r="D547" s="408">
        <v>544</v>
      </c>
      <c r="E547" s="477">
        <v>400062005</v>
      </c>
      <c r="F547" s="409" t="str">
        <f>INDEX('卡片raw data'!C:C,MATCH($D547,'卡片raw data'!$F:$F,))</f>
        <v>SR</v>
      </c>
      <c r="G547" s="1094" t="s">
        <v>4474</v>
      </c>
      <c r="H547" s="411">
        <f>IFERROR(INDEX(绊状态确认!C:C,MATCH($G547,绊状态确认!$B:$B,)),"")</f>
        <v>6</v>
      </c>
      <c r="I547" s="450" t="str">
        <f>IFERROR(INDEX(绊状态确认!D:D,MATCH($G547,绊状态确认!$B:$B,)),"")</f>
        <v>缪</v>
      </c>
      <c r="J547" s="450" t="str">
        <f>IFERROR(INDEX(绊状态确认!E:E,MATCH($G547,绊状态确认!$B:$B,)),"")</f>
        <v>1年级</v>
      </c>
      <c r="K547" s="451" t="str">
        <f>IFERROR(INDEX(绊状态确认!F:F,MATCH($G547,绊状态确认!$B:$B,)),"")</f>
        <v>BiBi</v>
      </c>
      <c r="L547" s="414" t="str">
        <f>INDEX('卡片raw data'!E:E,MATCH($D547,'卡片raw data'!$F:$F,))</f>
        <v>活动卡</v>
      </c>
      <c r="M547" s="478">
        <v>44455</v>
      </c>
      <c r="N547" s="479">
        <v>48</v>
      </c>
      <c r="O547" s="410" t="str">
        <f>INDEX('卡片raw data'!D:D,MATCH($D547,'卡片raw data'!$F:$F,))</f>
        <v>gd</v>
      </c>
      <c r="P547" s="1126">
        <v>5</v>
      </c>
      <c r="Q547" s="418">
        <f t="shared" si="688"/>
        <v>16620.32775171614</v>
      </c>
      <c r="R547" s="419">
        <f t="shared" si="689"/>
        <v>0.193</v>
      </c>
      <c r="S547" s="420">
        <f t="shared" si="690"/>
        <v>9483.0061324822946</v>
      </c>
      <c r="T547" s="421">
        <f t="shared" si="691"/>
        <v>0.47399999999999998</v>
      </c>
      <c r="U547" s="422">
        <f t="shared" si="692"/>
        <v>77.173163092872613</v>
      </c>
      <c r="V547" s="423">
        <f t="shared" si="693"/>
        <v>24251.84074912631</v>
      </c>
      <c r="W547" s="424">
        <f t="shared" si="694"/>
        <v>4507.7214871259994</v>
      </c>
      <c r="X547" s="419">
        <f t="shared" si="695"/>
        <v>5.1999999999999998E-2</v>
      </c>
      <c r="Y547" s="420">
        <f t="shared" si="696"/>
        <v>1469.6590666919938</v>
      </c>
      <c r="Z547" s="425">
        <f t="shared" si="697"/>
        <v>18.048163092872617</v>
      </c>
      <c r="AA547" s="426">
        <f t="shared" si="698"/>
        <v>5977.3805538179931</v>
      </c>
      <c r="AB547" s="424">
        <f t="shared" si="699"/>
        <v>4507.7214871259994</v>
      </c>
      <c r="AC547" s="427">
        <f t="shared" si="700"/>
        <v>5.1999999999999998E-2</v>
      </c>
      <c r="AD547" s="428">
        <f t="shared" si="701"/>
        <v>-3.8207812500000026E-3</v>
      </c>
      <c r="AE547" s="516">
        <f t="shared" si="702"/>
        <v>-18.525362318840578</v>
      </c>
      <c r="AF547" s="1130">
        <f t="shared" si="703"/>
        <v>0</v>
      </c>
      <c r="AG547" s="420">
        <f t="shared" si="704"/>
        <v>0</v>
      </c>
      <c r="AH547" s="420">
        <f t="shared" si="705"/>
        <v>0</v>
      </c>
      <c r="AI547" s="1097">
        <f t="shared" si="706"/>
        <v>0</v>
      </c>
      <c r="AJ547" s="420">
        <f t="shared" si="707"/>
        <v>0</v>
      </c>
      <c r="AK547" s="518">
        <f t="shared" si="708"/>
        <v>0</v>
      </c>
      <c r="AL547" s="1106">
        <f>IF($P547="","N/A",(IF($P547=-1,INDEX('卡片raw data'!S:S,MATCH($D547,'卡片raw data'!$F:$F,)),0)+IF($P547=0,INDEX('卡片raw data'!V:V,MATCH($D547,'卡片raw data'!$F:$F,)),0)+IF($P547=1,INDEX('卡片raw data'!Y:Y,MATCH($D547,'卡片raw data'!$F:$F,)),0)+IF($P547=2,INDEX('卡片raw data'!AB:AB,MATCH($D547,'卡片raw data'!$F:$F,)),0)+IF($P547=3,INDEX('卡片raw data'!AE:AE,MATCH($D547,'卡片raw data'!$F:$F,)),0)+IF($P547=4,INDEX('卡片raw data'!AH:AH,MATCH($D547,'卡片raw data'!$F:$F,)),0)+IF($P547=5,INDEX('卡片raw data'!AK:AK,MATCH($D547,'卡片raw data'!$F:$F,)),0)+INDEX('卡片raw data'!S:S,MATCH($D547,'卡片raw data'!$F:$F,))*(IF($F547="UR",0.04,0.033))*(IF($F547="UR",INDEX(绊状态确认!$S:$S,MATCH($G547,绊状态确认!$B:$B,))/2-40)+IF($F547="SR",INDEX(绊状态确认!$R:$R,MATCH($G547,绊状态确认!$B:$B,))/4-15))+IF($F547="R",INDEX(绊状态确认!$Q:$Q,MATCH($G547,绊状态确认!$B:$B,))/6-40/6)))*(INDEX(绊状态确认!$H:$H,MATCH($G547,绊状态确认!$B:$B,))+INDEX(绊状态确认!J:J,MATCH($G547,绊状态确认!$B:$B,)))</f>
        <v>4903.7591879999991</v>
      </c>
      <c r="AM547" s="1106">
        <f>IF($P547="","N/A",(IF($P547=-1,INDEX('卡片raw data'!T:T,MATCH($D547,'卡片raw data'!$F:$F,)),0)+IF($P547=0,INDEX('卡片raw data'!W:W,MATCH($D547,'卡片raw data'!$F:$F,)),0)+IF($P547=1,INDEX('卡片raw data'!Z:Z,MATCH($D547,'卡片raw data'!$F:$F,)),0)+IF($P547=2,INDEX('卡片raw data'!AC:AC,MATCH($D547,'卡片raw data'!$F:$F,)),0)+IF($P547=3,INDEX('卡片raw data'!AF:AF,MATCH($D547,'卡片raw data'!$F:$F,)),0)+IF($P547=4,INDEX('卡片raw data'!AI:AI,MATCH($D547,'卡片raw data'!$F:$F,)),0)+IF($P547=5,INDEX('卡片raw data'!AL:AL,MATCH($D547,'卡片raw data'!$F:$F,)),0)+INDEX('卡片raw data'!T:T,MATCH($D547,'卡片raw data'!$F:$F,))*(IF($F547="UR",0.04,0.033))*(IF($F547="UR",INDEX(绊状态确认!$S:$S,MATCH($G547,绊状态确认!$B:$B,))/2-40)+IF($F547="SR",INDEX(绊状态确认!$R:$R,MATCH($G547,绊状态确认!$B:$B,))/4-15))+IF($F547="R",INDEX(绊状态确认!$Q:$Q,MATCH($G547,绊状态确认!$B:$B,))/6-40/6)))*(INDEX(绊状态确认!$H:$H,MATCH($G547,绊状态确认!$B:$B,))+INDEX(绊状态确认!K:K,MATCH($G547,绊状态确认!$B:$B,)))</f>
        <v>9413.6421359999986</v>
      </c>
      <c r="AN547" s="1106">
        <f>IF($P547="","N/A",(IF($P547=-1,INDEX('卡片raw data'!U:U,MATCH($D547,'卡片raw data'!$F:$F,)),0)+IF($P547=0,INDEX('卡片raw data'!X:X,MATCH($D547,'卡片raw data'!$F:$F,)),0)+IF($P547=1,INDEX('卡片raw data'!AA:AA,MATCH($D547,'卡片raw data'!$F:$F,)),0)+IF($P547=2,INDEX('卡片raw data'!AD:AD,MATCH($D547,'卡片raw data'!$F:$F,)),0)+IF($P547=3,INDEX('卡片raw data'!AG:AG,MATCH($D547,'卡片raw data'!$F:$F,)),0)+IF($P547=4,INDEX('卡片raw data'!AJ:AJ,MATCH($D547,'卡片raw data'!$F:$F,)),0)+IF($P547=5,INDEX('卡片raw data'!AM:AM,MATCH($D547,'卡片raw data'!$F:$F,)),0)+INDEX('卡片raw data'!U:U,MATCH($D547,'卡片raw data'!$F:$F,))*(IF($F547="UR",0.04,0.033))*(IF($F547="UR",INDEX(绊状态确认!$S:$S,MATCH($G547,绊状态确认!$B:$B,))/2-40)+IF($F547="SR",INDEX(绊状态确认!$R:$R,MATCH($G547,绊状态确认!$B:$B,))/4-15))+IF($F547="R",INDEX(绊状态确认!$Q:$Q,MATCH($G547,绊状态确认!$B:$B,))/6-40/6)))*(INDEX(绊状态确认!$H:$H,MATCH($G547,绊状态确认!$B:$B,))+INDEX(绊状态确认!L:L,MATCH($G547,绊状态确认!$B:$B,)))</f>
        <v>5293.0148255999993</v>
      </c>
      <c r="AO547" s="1107">
        <f t="shared" si="709"/>
        <v>1</v>
      </c>
      <c r="AP547" s="1131">
        <f>1+(INDEX(绊状态确认!$T:$T,MATCH($G547,绊状态确认!$B:$B,))+0.2)*$AO547</f>
        <v>1.3</v>
      </c>
      <c r="AQ547" s="1108">
        <f t="shared" si="710"/>
        <v>16122.367868499998</v>
      </c>
      <c r="AR547" s="1097">
        <f>(AM547*(1+$EX$9)+$EX$35)*(1+(INDEX(绊状态确认!$T:$T,MATCH($G547,绊状态确认!$B:$B,))+0.2)*AO547)*IF(J547=$FF$17,1+$FE$17,1)*IF(I547=$FF$14,1+$FE$14,1)</f>
        <v>15553.621515639999</v>
      </c>
      <c r="AS547" s="1097">
        <f>(AN547*(1+$EX$10)+$EX$36)*(1+(INDEX(绊状态确认!$T:$T,MATCH($G547,绊状态确认!$B:$B,))+0.2)*AO547)*IF(J547=$FF$17,1+$FE$17,1)*IF(I547=$FF$14,1+$FE$14,1)</f>
        <v>11969.057164271997</v>
      </c>
      <c r="AT547" s="1093">
        <f>IF(AND(INDEX('卡片raw data'!AK:AK,MATCH($D547,'卡片raw data'!$F:$F,))&lt;INDEX('卡片raw data'!AM:AM,MATCH($D547,'卡片raw data'!$F:$F,)),INDEX('卡片raw data'!AL:AL,MATCH($D547,'卡片raw data'!$F:$F,))&lt;INDEX('卡片raw data'!AM:AM,MATCH($D547,'卡片raw data'!$F:$F,))),1,0)</f>
        <v>0</v>
      </c>
      <c r="AU547" s="1098">
        <f>MIN(AT547*0.15+AS547*0.00003+INDEX(绊状态确认!M:M,MATCH($G547,绊状态确认!$B:$B,)),1)</f>
        <v>0.38907171492815995</v>
      </c>
      <c r="AV547" s="1109">
        <f>(INDEX(绊状态确认!$N:$N,MATCH($G547,绊状态确认!$B:$B,))+1.5)*$EW$21</f>
        <v>2.6599999999999997</v>
      </c>
      <c r="AW547" s="1101">
        <f t="shared" si="711"/>
        <v>13780.939597923474</v>
      </c>
      <c r="AX547" s="1097">
        <f t="shared" si="712"/>
        <v>1342.2565503214705</v>
      </c>
      <c r="AY547" s="1110">
        <f t="shared" si="713"/>
        <v>15123.196148244944</v>
      </c>
      <c r="AZ547" s="429">
        <f t="shared" si="714"/>
        <v>12162.330416599998</v>
      </c>
      <c r="BA547" s="431">
        <f t="shared" si="715"/>
        <v>14594.796499919998</v>
      </c>
      <c r="BB547" s="1097">
        <f>(AM547*(1+$FB$9)+$FB$35)*(1+(INDEX(绊状态确认!$T:$T,MATCH($G547,绊状态确认!$B:$B,))+0.2)*AO547)*IF(J547=$FF$17,1+$FE$17,1)*IF(I547=$FF$14,1+$FE$14,1)*(1+$FE$15)</f>
        <v>15553.621515639999</v>
      </c>
      <c r="BC547" s="1097">
        <f>(AN547*(1+$FB$10)+$FB$36)*(1+(INDEX(绊状态确认!$T:$T,MATCH($G547,绊状态确认!$B:$B,))+0.2)*AO547)*IF(J547=$FF$17,1+$FE$17,1)*IF(I547=$FF$14,1+$FE$14,1)*(1+$FE$15)</f>
        <v>11969.057164271997</v>
      </c>
      <c r="BD547" s="1104">
        <f>MIN(AT547*0.15+BC547*0.00003+INDEX(绊状态确认!M:M,MATCH($G547,绊状态确认!$B:$B,)),1)</f>
        <v>0.38907171492815995</v>
      </c>
      <c r="BE547" s="432">
        <f>(INDEX(绊状态确认!$N:$N,MATCH($G547,绊状态确认!$B:$B,))+1.5)</f>
        <v>1.9</v>
      </c>
      <c r="BF547" s="1139">
        <f t="array" ref="BF547">SUMPRODUCT(IF(AZ547*AP547*$FI$16:$FI$23*$FA$22&gt;=$FI$24,$FI$24,AZ547*AP547*$FI$16:$FI$23*$FA$22),$FJ$16:$FJ$23)</f>
        <v>24190.875198617399</v>
      </c>
      <c r="BG547" s="1125">
        <f t="array" ref="BG547">SUMPRODUCT(IF(BE547*AZ547*AP547*$FI$16:$FI$23*$FA$22&gt;=$FI$24,$FI$24,BE547*AZ547*AP547*$FI$16:$FI$23*$FA$22),$FJ$16:$FJ$23)</f>
        <v>45962.662877373055</v>
      </c>
      <c r="BH547" s="1110">
        <f t="shared" si="716"/>
        <v>10887.220655947549</v>
      </c>
      <c r="BI547" s="1111">
        <f>IF(O547="vo",$EW$26/$EW$24*0.05,0)+IF(O547="sk",-$EW$26/$EW$24*(0.05-INDEX(绊状态确认!W:W,MATCH($G547,绊状态确认!$B:$B,)))+0.05*$EW$28,0)+IF(O547="sp",0.05*$EW$32*$EW$30*(1-$EW$33)-(0.05-INDEX(绊状态确认!V:V,MATCH($G547,绊状态确认!$B:$B,)))*$EW$28,0)+IF(O547="gd",-(0.05-INDEX(绊状态确认!X:X,MATCH($G547,绊状态确认!$B:$B,)))*$EW$32*$EW$30*(1-$EW$33),0)</f>
        <v>-585.00000000000011</v>
      </c>
      <c r="BJ547" s="420">
        <f>IF(O547="vo",0.05*(1-$FI$26)*$FA$24,0)+IF(O547="sk",-(0.05-INDEX(绊状态确认!W:W,MATCH($G547,绊状态确认!$B:$B,)))*(1-$FI$26)*$FA$24+0.05*$FA$26,0)+IF(O547="sp",0.05*$FA$32*$FA$27*(1-$FA$33)/$FA$30+0.05*$FA$29/$FA$69*$FA$27*(1-$FA$33)-(0.05-INDEX(绊状态确认!V:V,MATCH($G547,绊状态确认!$B:$B,)))*$FA$26,0)+IF(O547="gd",-(0.05-INDEX(绊状态确认!X:X,MATCH($G547,绊状态确认!$B:$B,)))*$FA$32*$FA$27*(1-$FA$33)/$FA$30-(0.05-INDEX(绊状态确认!X:X,MATCH($G547,绊状态确认!$B:$B,)))*$FA$29/$FA$69*$FA$27*(1-$FA$33),0)</f>
        <v>-795.00000000000011</v>
      </c>
      <c r="BK547" s="1110">
        <f>IF(O547="vo",$EW$26/$EW$24*0.05+$EW$26*(-HP($EW$62,$EW$65,$EW$64)+HP($EW$62,$EW$65,(1.05-INDEX(绊状态确认!U:U,MATCH($G547,绊状态确认!$B:$B,)))*$EW$64)),0)+IF(O547="sk",-$EW$26/$EW$24*(0.05-INDEX(绊状态确认!W:W,MATCH($G547,绊状态确认!$B:$B,)))+0.05*$EW$29,0)+IF(O547="sp",0.05*$EW$32*$EW$30*(1-$EW$33)-(0.05-INDEX(绊状态确认!V:V,MATCH($G547,绊状态确认!$B:$B,)))*$EW$29,0)+IF(O547="gd",-(0.05-INDEX(绊状态确认!X:X,MATCH($G547,绊状态确认!$B:$B,)))*$EW$32*$EW$30*(1-$EW$33)+$EW$26*(-HP($EW$62,$EW$65,$EW$64)+HP($EW$62,$EW$65,0.95*$EW$64)),0)</f>
        <v>1009.5947725176144</v>
      </c>
      <c r="BL547" s="1111">
        <f t="shared" si="717"/>
        <v>-1083.3333333333333</v>
      </c>
      <c r="BM547" s="1110">
        <f t="shared" si="718"/>
        <v>-830.55555555555543</v>
      </c>
      <c r="BN547" s="1113">
        <f t="shared" si="719"/>
        <v>3</v>
      </c>
      <c r="BO547" s="1108">
        <f t="shared" si="720"/>
        <v>4507.7214871259994</v>
      </c>
      <c r="BP547" s="1127">
        <f t="shared" si="721"/>
        <v>221.34103209030098</v>
      </c>
      <c r="BQ547" s="1113" t="s">
        <v>133</v>
      </c>
      <c r="BR547" s="1124" t="s">
        <v>166</v>
      </c>
      <c r="BS547" s="421">
        <f>IF($P547="","N/A",IF($P547=-1,INDEX('卡片raw data'!AX:AX,MATCH($D547,'卡片raw data'!$F:$F,)),0)+IF($L547="party卡",IF($P547=5,INDEX('卡片raw data'!BD:BD,MATCH($D547,'卡片raw data'!$F:$F,)),IF($P547&gt;=3,INDEX('卡片raw data'!BC:BC,MATCH($D547,'卡片raw data'!$F:$F,)),INDEX('卡片raw data'!BB:BB,MATCH($D547,'卡片raw data'!$F:$F,)))),IF(OR(AND($F547="UR",$P547=0),AND($F547="SR",$P547&gt;=0,$P547&lt;=2),AND($F547="R",$P547&gt;=0,$P547&lt;4)),INDEX('卡片raw data'!AZ:AZ,MATCH($D547,'卡片raw data'!$F:$F,)),0)+IF(OR(AND($F547="UR",$P547&gt;=1,$P547&lt;=4),AND($F547="SR",$P547&lt;=4,$P547&gt;=3),AND($F547="R",$P547=4)),INDEX('卡片raw data'!BA:BA,MATCH($D547,'卡片raw data'!$F:$F,)),0)+IF($P547=5,INDEX('卡片raw data'!BB:BB,MATCH($D547,'卡片raw data'!$F:$F,)),0)))</f>
        <v>7.0000000000000007E-2</v>
      </c>
      <c r="BT547" s="424">
        <f t="shared" si="722"/>
        <v>0</v>
      </c>
      <c r="BU547" s="420">
        <f t="shared" si="723"/>
        <v>0</v>
      </c>
      <c r="BV547" s="420">
        <f t="shared" si="724"/>
        <v>0</v>
      </c>
      <c r="BW547" s="436">
        <f t="shared" si="725"/>
        <v>0.91928289754404824</v>
      </c>
      <c r="BX547" s="423">
        <f t="shared" si="726"/>
        <v>71.708028372831876</v>
      </c>
      <c r="BY547" s="433">
        <f t="shared" si="727"/>
        <v>71.708028372831876</v>
      </c>
      <c r="BZ547" s="1113" t="s">
        <v>569</v>
      </c>
      <c r="CA547" s="450"/>
      <c r="CB547" s="421">
        <f>IF($P547="","N/A",IF($P547=-1,INDEX('卡片raw data'!BE:BE,MATCH($D547,'卡片raw data'!$F:$F,)),0)+IF($L547="party卡",IF($P547=5,INDEX('卡片raw data'!BK:BK,MATCH($D547,'卡片raw data'!$F:$F,)),IF($P547&gt;=3,INDEX('卡片raw data'!BJ:BJ,MATCH($D547,'卡片raw data'!$F:$F,)),INDEX('卡片raw data'!BI:BI,MATCH($D547,'卡片raw data'!$F:$F,)))),IF(OR(AND($F547="UR",$P547=0),AND($F547="SR",$P547&gt;=0,$P547&lt;=2),AND($F547="R",$P547&gt;=0,$P547&lt;4)),INDEX('卡片raw data'!BG:BG,MATCH($D547,'卡片raw data'!$F:$F,)),0)+IF(OR(AND($F547="UR",$P547&gt;=1,$P547&lt;=4),AND($F547="SR",$P547&lt;=4,$P547&gt;=3),AND($F547="R",$P547=4)),INDEX('卡片raw data'!BH:BH,MATCH($D547,'卡片raw data'!$F:$F,)),0)+IF($P547=5,INDEX('卡片raw data'!BI:BI,MATCH($D547,'卡片raw data'!$F:$F,)),0)))</f>
        <v>0</v>
      </c>
      <c r="CC547" s="424">
        <f t="shared" si="771"/>
        <v>0</v>
      </c>
      <c r="CD547" s="420">
        <f>IF(BZ547="ap",CB547*(1-$FI$26)*$FB$5/$FB$11*(+IF(CA547="全员",$FA$24,0)+IF(CA547="同作战",$FA$24,0)+IF(CA547="仲间",$FA$24*2/3,0)+IF(CA547="同属性",$FA$24*$FA$37/3,0)+IF(CA547="同年级",$FA$24*$FA$40/3,0)+IF(CA547="同学校",$FA$24*$FA$43/3,0)+IF(CA547="同小队",$FA$24*$FA$46/3,0)+IF(CA547="同type",$FA$24*INDEX($FB$49:$FB$52,MATCH(X547,$FA$49:$FA$52,))/3,0)+IF(CA547="自身",#REF!/3,0)),0)+IF(BZ547="te",CB547*(1-$FI$27)*($FA$20-1)*$FB$7/$FB$13*(+IF(CA547="全员",$FA$19*$FA$24/(1+($FA$20-1)*$FA$19),0)+IF(CA547="同作战",$FA$19*$FA$24/(1+($FA$20-1)*$FA$19),0)+IF(CA547="仲间",$FA$19*$FA$24*2/3/(1+($FA$20-1)*$FA$19),0)+IF(CA547="同属性",$FA$19*$FA$24*$FA$37/3/(1+($FA$20-1)*$FA$19),0)+IF(CA547="同年级",$FA$19*$FA$24*$FA$40/3/(1+($FA$20-1)*$FA$19),0)+IF(CA547="同学校",$FA$19*$FA$24*$FA$43/3/(1+($FA$20-1)*$FA$19),0)+IF(CA547="同小队",$FA$19*$FA$24*$FA$46/3/(1+($FA$20-1)*$FA$19),0)+IF(CA547="同type",$FA$19*$FA$24*INDEX($FB$49:$FB$52,MATCH(X547,$FA$49:$FA$52,))/3/(1+($FA$20-1)*$FA$19),0)+IF(CA547="自身",$FA$19*#REF!/3/(1+(BH547-1)*$BD547),0)),0)</f>
        <v>0</v>
      </c>
      <c r="CE547" s="420">
        <f t="shared" si="729"/>
        <v>0</v>
      </c>
      <c r="CF547" s="436">
        <f t="shared" si="772"/>
        <v>0</v>
      </c>
      <c r="CG547" s="423">
        <f t="shared" si="731"/>
        <v>0</v>
      </c>
      <c r="CH547" s="433">
        <f t="shared" si="732"/>
        <v>0</v>
      </c>
      <c r="CI547" s="1113" t="s">
        <v>170</v>
      </c>
      <c r="CJ547" s="1114">
        <v>1</v>
      </c>
      <c r="CK547" s="1115" t="s">
        <v>4475</v>
      </c>
      <c r="CL547" s="1115" t="s">
        <v>4466</v>
      </c>
      <c r="CM547" s="1119">
        <v>0.08</v>
      </c>
      <c r="CN547" s="1115">
        <v>5</v>
      </c>
      <c r="CO547" s="1115">
        <v>2</v>
      </c>
      <c r="CP547" s="1118">
        <f t="shared" si="733"/>
        <v>1.4285714285714286E-3</v>
      </c>
      <c r="CQ547" s="1118">
        <f t="shared" si="734"/>
        <v>2.2222222222222222E-3</v>
      </c>
      <c r="CR547" s="1118">
        <f t="shared" si="735"/>
        <v>1.4285714285714286E-3</v>
      </c>
      <c r="CS547" s="442">
        <f t="shared" si="736"/>
        <v>0</v>
      </c>
      <c r="CT547" s="432">
        <f t="shared" si="737"/>
        <v>0</v>
      </c>
      <c r="CU547" s="1101">
        <f t="shared" si="738"/>
        <v>0</v>
      </c>
      <c r="CV547" s="1108">
        <f t="shared" si="768"/>
        <v>0</v>
      </c>
      <c r="CW547" s="1097">
        <f t="shared" si="739"/>
        <v>0</v>
      </c>
      <c r="CX547" s="1097">
        <f t="shared" si="740"/>
        <v>55.694487997690459</v>
      </c>
      <c r="CY547" s="1110">
        <f t="shared" si="741"/>
        <v>55.694487997690459</v>
      </c>
      <c r="CZ547" s="437"/>
      <c r="DA547" s="438"/>
      <c r="DB547" s="439" t="s">
        <v>569</v>
      </c>
      <c r="DC547" s="439"/>
      <c r="DD547" s="443"/>
      <c r="DE547" s="411"/>
      <c r="DF547" s="411"/>
      <c r="DG547" s="1116">
        <f t="shared" si="742"/>
        <v>0</v>
      </c>
      <c r="DH547" s="1116">
        <f t="shared" si="743"/>
        <v>0</v>
      </c>
      <c r="DI547" s="1116">
        <f t="shared" si="744"/>
        <v>0</v>
      </c>
      <c r="DJ547" s="442">
        <f t="shared" si="745"/>
        <v>0</v>
      </c>
      <c r="DK547" s="432">
        <f t="shared" si="746"/>
        <v>0</v>
      </c>
      <c r="DL547" s="424">
        <f t="shared" si="747"/>
        <v>0</v>
      </c>
      <c r="DM547" s="420">
        <f t="shared" si="748"/>
        <v>0</v>
      </c>
      <c r="DN547" s="420">
        <f t="shared" si="749"/>
        <v>0</v>
      </c>
      <c r="DO547" s="420">
        <f t="shared" si="750"/>
        <v>0</v>
      </c>
      <c r="DP547" s="433">
        <f t="shared" si="751"/>
        <v>0</v>
      </c>
      <c r="DQ547" s="1113" t="s">
        <v>556</v>
      </c>
      <c r="DR547" s="1120">
        <f t="shared" si="773"/>
        <v>0.3</v>
      </c>
      <c r="DS547" s="1124">
        <v>3</v>
      </c>
      <c r="DT547" s="1093" t="s">
        <v>161</v>
      </c>
      <c r="DU547" s="1093" t="s">
        <v>544</v>
      </c>
      <c r="DV547" s="1098">
        <f>IF($P547="","N/A",IF(P547=-1,INDEX('卡片raw data'!AN:AN,MATCH(D547,'卡片raw data'!$F:$F,)),0)+IF(AND(L547&lt;&gt;"party卡",P547&lt;=2,P547&gt;=0),INDEX('卡片raw data'!AP:AP,MATCH(D547,'卡片raw data'!$F:$F,)),0)+IF(OR(AND(L547="party卡",P547&lt;=1),AND(P547&lt;=4,L547&lt;&gt;"party卡",P547&gt;=3)),INDEX('卡片raw data'!AQ:AQ,MATCH(D547,'卡片raw data'!$F:$F,)),0)+IF(OR(P547=5,AND(L547="party卡",P547&gt;=2)),INDEX('卡片raw data'!AR:AR,MATCH(D547,'卡片raw data'!$F:$F,)),0))</f>
        <v>0.35</v>
      </c>
      <c r="DW547" s="1098">
        <f t="shared" si="752"/>
        <v>0.3</v>
      </c>
      <c r="DX547" s="1098">
        <f t="shared" si="753"/>
        <v>0.3</v>
      </c>
      <c r="DY547" s="1098">
        <f t="shared" si="754"/>
        <v>0.10499999999999998</v>
      </c>
      <c r="DZ547" s="1098">
        <f t="shared" si="755"/>
        <v>9.0824999999999989E-2</v>
      </c>
      <c r="EA547" s="421">
        <f t="shared" si="756"/>
        <v>0</v>
      </c>
      <c r="EB547" s="445">
        <f t="shared" si="757"/>
        <v>0</v>
      </c>
      <c r="EC547" s="424">
        <f t="shared" si="758"/>
        <v>0</v>
      </c>
      <c r="ED547" s="420">
        <f t="shared" si="759"/>
        <v>0</v>
      </c>
      <c r="EE547" s="433">
        <f t="shared" si="775"/>
        <v>4567.2591582005616</v>
      </c>
      <c r="EF547" s="1115" t="s">
        <v>569</v>
      </c>
      <c r="EG547" s="1120">
        <f t="shared" si="774"/>
        <v>0.3</v>
      </c>
      <c r="EH547" s="450"/>
      <c r="EI547" s="1093"/>
      <c r="EJ547" s="1093"/>
      <c r="EK547" s="1097">
        <f>IF($P547="","N/A",IF(P547=-1,INDEX('卡片raw data'!AS:AS,MATCH(D547,'卡片raw data'!$F:$F,)),0)+IF(AND(L547&lt;&gt;"party卡",P547&lt;=2,P547&gt;=0),INDEX('卡片raw data'!AU:AU,MATCH(D547,'卡片raw data'!$F:$F,)),0)+IF(OR(AND(L547="party卡",P547&lt;=1),AND(P547&lt;=4,L547&lt;&gt;"party卡",P547&gt;=3)),INDEX('卡片raw data'!AV:AV,MATCH(D547,'卡片raw data'!$F:$F,)),0)+IF(OR(P547=5,AND(L547="party卡",P547&gt;=2)),INDEX('卡片raw data'!AW:AW,MATCH(D547,'卡片raw data'!$F:$F,)),0))</f>
        <v>0</v>
      </c>
      <c r="EL547" s="1098">
        <f t="shared" si="760"/>
        <v>0.3</v>
      </c>
      <c r="EM547" s="1098">
        <f t="shared" si="761"/>
        <v>0.3</v>
      </c>
      <c r="EN547" s="1097">
        <f t="shared" si="762"/>
        <v>0</v>
      </c>
      <c r="EO547" s="1097">
        <f t="shared" si="763"/>
        <v>0</v>
      </c>
      <c r="EP547" s="421">
        <f t="shared" si="764"/>
        <v>0</v>
      </c>
      <c r="EQ547" s="445">
        <f t="shared" si="765"/>
        <v>0</v>
      </c>
      <c r="ER547" s="424">
        <f t="shared" si="766"/>
        <v>0</v>
      </c>
      <c r="ES547" s="420">
        <f t="shared" si="767"/>
        <v>0</v>
      </c>
      <c r="ET547" s="446">
        <f t="shared" si="776"/>
        <v>0</v>
      </c>
    </row>
    <row r="548" spans="2:150" ht="16.5" customHeight="1">
      <c r="B548" s="448" t="str">
        <f>INDEX('卡片raw data'!B:B,MATCH($D548,'卡片raw data'!$F:$F,))</f>
        <v>未熟曜</v>
      </c>
      <c r="C548" s="449" t="s">
        <v>4464</v>
      </c>
      <c r="D548" s="408">
        <v>545</v>
      </c>
      <c r="E548" s="477">
        <v>401052005</v>
      </c>
      <c r="F548" s="409" t="str">
        <f>INDEX('卡片raw data'!C:C,MATCH($D548,'卡片raw data'!$F:$F,))</f>
        <v>SR</v>
      </c>
      <c r="G548" s="1094" t="s">
        <v>4477</v>
      </c>
      <c r="H548" s="411">
        <f>IFERROR(INDEX(绊状态确认!C:C,MATCH($G548,绊状态确认!$B:$B,)),"")</f>
        <v>105</v>
      </c>
      <c r="I548" s="450" t="str">
        <f>IFERROR(INDEX(绊状态确认!D:D,MATCH($G548,绊状态确认!$B:$B,)),"")</f>
        <v>水</v>
      </c>
      <c r="J548" s="450" t="str">
        <f>IFERROR(INDEX(绊状态确认!E:E,MATCH($G548,绊状态确认!$B:$B,)),"")</f>
        <v>2年级</v>
      </c>
      <c r="K548" s="451" t="str">
        <f>IFERROR(INDEX(绊状态确认!F:F,MATCH($G548,绊状态确认!$B:$B,)),"")</f>
        <v>CYaRon!</v>
      </c>
      <c r="L548" s="414" t="str">
        <f>INDEX('卡片raw data'!E:E,MATCH($D548,'卡片raw data'!$F:$F,))</f>
        <v>活动卡</v>
      </c>
      <c r="M548" s="478">
        <v>44455</v>
      </c>
      <c r="N548" s="479">
        <v>48</v>
      </c>
      <c r="O548" s="410" t="str">
        <f>INDEX('卡片raw data'!D:D,MATCH($D548,'卡片raw data'!$F:$F,))</f>
        <v>vo</v>
      </c>
      <c r="P548" s="1126">
        <v>5</v>
      </c>
      <c r="Q548" s="418">
        <f t="shared" si="688"/>
        <v>36188.007728894037</v>
      </c>
      <c r="R548" s="419">
        <f t="shared" si="689"/>
        <v>0.42</v>
      </c>
      <c r="S548" s="420">
        <f t="shared" si="690"/>
        <v>16681.249637057052</v>
      </c>
      <c r="T548" s="421">
        <f t="shared" si="691"/>
        <v>0.83399999999999996</v>
      </c>
      <c r="U548" s="422">
        <f t="shared" si="692"/>
        <v>-15.795175331907144</v>
      </c>
      <c r="V548" s="423">
        <f t="shared" si="693"/>
        <v>35613.476732956253</v>
      </c>
      <c r="W548" s="424">
        <f t="shared" si="694"/>
        <v>4564.8738965305747</v>
      </c>
      <c r="X548" s="419">
        <f t="shared" si="695"/>
        <v>5.2999999999999999E-2</v>
      </c>
      <c r="Y548" s="420">
        <f t="shared" si="696"/>
        <v>730.13745430391191</v>
      </c>
      <c r="Z548" s="425">
        <f t="shared" si="697"/>
        <v>9.204824668092856</v>
      </c>
      <c r="AA548" s="426">
        <f t="shared" si="698"/>
        <v>5295.0113508344866</v>
      </c>
      <c r="AB548" s="424">
        <f t="shared" si="699"/>
        <v>5275.0591971810964</v>
      </c>
      <c r="AC548" s="427">
        <f t="shared" si="700"/>
        <v>6.0999999999999999E-2</v>
      </c>
      <c r="AD548" s="428">
        <f t="shared" si="701"/>
        <v>-3.8207812500000026E-3</v>
      </c>
      <c r="AE548" s="516">
        <f t="shared" si="702"/>
        <v>-12.27536231884058</v>
      </c>
      <c r="AF548" s="1130">
        <f t="shared" si="703"/>
        <v>0</v>
      </c>
      <c r="AG548" s="420">
        <f t="shared" si="704"/>
        <v>0</v>
      </c>
      <c r="AH548" s="420">
        <f t="shared" si="705"/>
        <v>0</v>
      </c>
      <c r="AI548" s="1097">
        <f t="shared" si="706"/>
        <v>0</v>
      </c>
      <c r="AJ548" s="420">
        <f t="shared" si="707"/>
        <v>0</v>
      </c>
      <c r="AK548" s="518">
        <f t="shared" si="708"/>
        <v>0</v>
      </c>
      <c r="AL548" s="1106">
        <f>IF($P548="","N/A",(IF($P548=-1,INDEX('卡片raw data'!S:S,MATCH($D548,'卡片raw data'!$F:$F,)),0)+IF($P548=0,INDEX('卡片raw data'!V:V,MATCH($D548,'卡片raw data'!$F:$F,)),0)+IF($P548=1,INDEX('卡片raw data'!Y:Y,MATCH($D548,'卡片raw data'!$F:$F,)),0)+IF($P548=2,INDEX('卡片raw data'!AB:AB,MATCH($D548,'卡片raw data'!$F:$F,)),0)+IF($P548=3,INDEX('卡片raw data'!AE:AE,MATCH($D548,'卡片raw data'!$F:$F,)),0)+IF($P548=4,INDEX('卡片raw data'!AH:AH,MATCH($D548,'卡片raw data'!$F:$F,)),0)+IF($P548=5,INDEX('卡片raw data'!AK:AK,MATCH($D548,'卡片raw data'!$F:$F,)),0)+INDEX('卡片raw data'!S:S,MATCH($D548,'卡片raw data'!$F:$F,))*(IF($F548="UR",0.04,0.033))*(IF($F548="UR",INDEX(绊状态确认!$S:$S,MATCH($G548,绊状态确认!$B:$B,))/2-40)+IF($F548="SR",INDEX(绊状态确认!$R:$R,MATCH($G548,绊状态确认!$B:$B,))/4-15))+IF($F548="R",INDEX(绊状态确认!$Q:$Q,MATCH($G548,绊状态确认!$B:$B,))/6-40/6)))*(INDEX(绊状态确认!$H:$H,MATCH($G548,绊状态确认!$B:$B,))+INDEX(绊状态确认!J:J,MATCH($G548,绊状态确认!$B:$B,)))</f>
        <v>8235.4976183999988</v>
      </c>
      <c r="AM548" s="1106">
        <f>IF($P548="","N/A",(IF($P548=-1,INDEX('卡片raw data'!T:T,MATCH($D548,'卡片raw data'!$F:$F,)),0)+IF($P548=0,INDEX('卡片raw data'!W:W,MATCH($D548,'卡片raw data'!$F:$F,)),0)+IF($P548=1,INDEX('卡片raw data'!Z:Z,MATCH($D548,'卡片raw data'!$F:$F,)),0)+IF($P548=2,INDEX('卡片raw data'!AC:AC,MATCH($D548,'卡片raw data'!$F:$F,)),0)+IF($P548=3,INDEX('卡片raw data'!AF:AF,MATCH($D548,'卡片raw data'!$F:$F,)),0)+IF($P548=4,INDEX('卡片raw data'!AI:AI,MATCH($D548,'卡片raw data'!$F:$F,)),0)+IF($P548=5,INDEX('卡片raw data'!AL:AL,MATCH($D548,'卡片raw data'!$F:$F,)),0)+INDEX('卡片raw data'!T:T,MATCH($D548,'卡片raw data'!$F:$F,))*(IF($F548="UR",0.04,0.033))*(IF($F548="UR",INDEX(绊状态确认!$S:$S,MATCH($G548,绊状态确认!$B:$B,))/2-40)+IF($F548="SR",INDEX(绊状态确认!$R:$R,MATCH($G548,绊状态确认!$B:$B,))/4-15))+IF($F548="R",INDEX(绊状态确认!$Q:$Q,MATCH($G548,绊状态确认!$B:$B,))/6-40/6)))*(INDEX(绊状态确认!$H:$H,MATCH($G548,绊状态确认!$B:$B,))+INDEX(绊状态确认!K:K,MATCH($G548,绊状态确认!$B:$B,)))</f>
        <v>4312.9448279999997</v>
      </c>
      <c r="AN548" s="1106">
        <f>IF($P548="","N/A",(IF($P548=-1,INDEX('卡片raw data'!U:U,MATCH($D548,'卡片raw data'!$F:$F,)),0)+IF($P548=0,INDEX('卡片raw data'!X:X,MATCH($D548,'卡片raw data'!$F:$F,)),0)+IF($P548=1,INDEX('卡片raw data'!AA:AA,MATCH($D548,'卡片raw data'!$F:$F,)),0)+IF($P548=2,INDEX('卡片raw data'!AD:AD,MATCH($D548,'卡片raw data'!$F:$F,)),0)+IF($P548=3,INDEX('卡片raw data'!AG:AG,MATCH($D548,'卡片raw data'!$F:$F,)),0)+IF($P548=4,INDEX('卡片raw data'!AJ:AJ,MATCH($D548,'卡片raw data'!$F:$F,)),0)+IF($P548=5,INDEX('卡片raw data'!AM:AM,MATCH($D548,'卡片raw data'!$F:$F,)),0)+INDEX('卡片raw data'!U:U,MATCH($D548,'卡片raw data'!$F:$F,))*(IF($F548="UR",0.04,0.033))*(IF($F548="UR",INDEX(绊状态确认!$S:$S,MATCH($G548,绊状态确认!$B:$B,))/2-40)+IF($F548="SR",INDEX(绊状态确认!$R:$R,MATCH($G548,绊状态确认!$B:$B,))/4-15))+IF($F548="R",INDEX(绊状态确认!$Q:$Q,MATCH($G548,绊状态确认!$B:$B,))/6-40/6)))*(INDEX(绊状态确认!$H:$H,MATCH($G548,绊状态确认!$B:$B,))+INDEX(绊状态确认!L:L,MATCH($G548,绊状态确认!$B:$B,)))</f>
        <v>7058.4895007999994</v>
      </c>
      <c r="AO548" s="1107">
        <f t="shared" si="709"/>
        <v>1</v>
      </c>
      <c r="AP548" s="1131">
        <f>1+(INDEX(绊状态确认!$T:$T,MATCH($G548,绊状态确认!$B:$B,))+0.2)*$AO548</f>
        <v>1.3</v>
      </c>
      <c r="AQ548" s="1108">
        <f t="shared" si="710"/>
        <v>24868.181248299996</v>
      </c>
      <c r="AR548" s="1097">
        <f>(AM548*(1+$EX$9)+$EX$35)*(1+(INDEX(绊状态确认!$T:$T,MATCH($G548,绊状态确认!$B:$B,))+0.2)*AO548)*IF(J548=$FF$17,1+$FE$17,1)*IF(I548=$FF$14,1+$FE$14,1)</f>
        <v>8591.1696902200001</v>
      </c>
      <c r="AS548" s="1097">
        <f>(AN548*(1+$EX$10)+$EX$36)*(1+(INDEX(绊状态确认!$T:$T,MATCH($G548,绊状态确认!$B:$B,))+0.2)*AO548)*IF(J548=$FF$17,1+$FE$17,1)*IF(I548=$FF$14,1+$FE$14,1)</f>
        <v>14608.441803695998</v>
      </c>
      <c r="AT548" s="1093">
        <f>IF(AND(INDEX('卡片raw data'!AK:AK,MATCH($D548,'卡片raw data'!$F:$F,))&lt;INDEX('卡片raw data'!AM:AM,MATCH($D548,'卡片raw data'!$F:$F,)),INDEX('卡片raw data'!AL:AL,MATCH($D548,'卡片raw data'!$F:$F,))&lt;INDEX('卡片raw data'!AM:AM,MATCH($D548,'卡片raw data'!$F:$F,))),1,0)</f>
        <v>0</v>
      </c>
      <c r="AU548" s="1098">
        <f>MIN(AT548*0.15+AS548*0.00003+INDEX(绊状态确认!M:M,MATCH($G548,绊状态确认!$B:$B,)),1)</f>
        <v>0.46825325411087998</v>
      </c>
      <c r="AV548" s="1109">
        <f>(INDEX(绊状态确认!$N:$N,MATCH($G548,绊状态确认!$B:$B,))+1.5)*$EW$21</f>
        <v>2.6599999999999997</v>
      </c>
      <c r="AW548" s="1101">
        <f t="shared" si="711"/>
        <v>22954.203467454354</v>
      </c>
      <c r="AX548" s="1097">
        <f t="shared" si="712"/>
        <v>730.1374543039118</v>
      </c>
      <c r="AY548" s="1110">
        <f t="shared" si="713"/>
        <v>23684.340921758267</v>
      </c>
      <c r="AZ548" s="429">
        <f t="shared" si="714"/>
        <v>18659.220355879996</v>
      </c>
      <c r="BA548" s="431">
        <f t="shared" si="715"/>
        <v>22391.064427055993</v>
      </c>
      <c r="BB548" s="1097">
        <f>(AM548*(1+$FB$9)+$FB$35)*(1+(INDEX(绊状态确认!$T:$T,MATCH($G548,绊状态确认!$B:$B,))+0.2)*AO548)*IF(J548=$FF$17,1+$FE$17,1)*IF(I548=$FF$14,1+$FE$14,1)*(1+$FE$15)</f>
        <v>8591.1696902200001</v>
      </c>
      <c r="BC548" s="1097">
        <f>(AN548*(1+$FB$10)+$FB$36)*(1+(INDEX(绊状态确认!$T:$T,MATCH($G548,绊状态确认!$B:$B,))+0.2)*AO548)*IF(J548=$FF$17,1+$FE$17,1)*IF(I548=$FF$14,1+$FE$14,1)*(1+$FE$15)</f>
        <v>14608.441803695998</v>
      </c>
      <c r="BD548" s="1104">
        <f>MIN(AT548*0.15+BC548*0.00003+INDEX(绊状态确认!M:M,MATCH($G548,绊状态确认!$B:$B,)),1)</f>
        <v>0.46825325411087998</v>
      </c>
      <c r="BE548" s="432">
        <f>(INDEX(绊状态确认!$N:$N,MATCH($G548,绊状态确认!$B:$B,))+1.5)</f>
        <v>1.9</v>
      </c>
      <c r="BF548" s="1139">
        <f t="array" ref="BF548">SUMPRODUCT(IF(AZ548*AP548*$FI$16:$FI$23*$FA$22&gt;=$FI$24,$FI$24,AZ548*AP548*$FI$16:$FI$23*$FA$22),$FJ$16:$FJ$23)</f>
        <v>37113.189287845315</v>
      </c>
      <c r="BG548" s="1125">
        <f t="array" ref="BG548">SUMPRODUCT(IF(BE548*AZ548*AP548*$FI$16:$FI$23*$FA$22&gt;=$FI$24,$FI$24,BE548*AZ548*AP548*$FI$16:$FI$23*$FA$22),$FJ$16:$FJ$23)</f>
        <v>59522.068569755895</v>
      </c>
      <c r="BH548" s="1110">
        <f t="shared" si="716"/>
        <v>15868.73997752594</v>
      </c>
      <c r="BI548" s="1111">
        <f>IF(O548="vo",$EW$26/$EW$24*0.05,0)+IF(O548="sk",-$EW$26/$EW$24*(0.05-INDEX(绊状态确认!W:W,MATCH($G548,绊状态确认!$B:$B,)))+0.05*$EW$28,0)+IF(O548="sp",0.05*$EW$32*$EW$30*(1-$EW$33)-(0.05-INDEX(绊状态确认!V:V,MATCH($G548,绊状态确认!$B:$B,)))*$EW$28,0)+IF(O548="gd",-(0.05-INDEX(绊状态确认!X:X,MATCH($G548,绊状态确认!$B:$B,)))*$EW$32*$EW$30*(1-$EW$33),0)</f>
        <v>7726.3029277443748</v>
      </c>
      <c r="BJ548" s="420">
        <f>IF(O548="vo",0.05*(1-$FI$26)*$FA$24,0)+IF(O548="sk",-(0.05-INDEX(绊状态确认!W:W,MATCH($G548,绊状态确认!$B:$B,)))*(1-$FI$26)*$FA$24+0.05*$FA$26,0)+IF(O548="sp",0.05*$FA$32*$FA$27*(1-$FA$33)/$FA$30+0.05*$FA$29/$FA$69*$FA$27*(1-$FA$33)-(0.05-INDEX(绊状态确认!V:V,MATCH($G548,绊状态确认!$B:$B,)))*$FA$26,0)+IF(O548="gd",-(0.05-INDEX(绊状态确认!X:X,MATCH($G548,绊状态确认!$B:$B,)))*$FA$32*$FA$27*(1-$FA$33)/$FA$30-(0.05-INDEX(绊状态确认!X:X,MATCH($G548,绊状态确认!$B:$B,)))*$FA$29/$FA$69*$FA$27*(1-$FA$33),0)</f>
        <v>393.93433687500004</v>
      </c>
      <c r="BK548" s="1110">
        <f>IF(O548="vo",$EW$26/$EW$24*0.05+$EW$26*(-HP($EW$62,$EW$65,$EW$64)+HP($EW$62,$EW$65,(1.05-INDEX(绊状态确认!U:U,MATCH($G548,绊状态确认!$B:$B,)))*$EW$64)),0)+IF(O548="sk",-$EW$26/$EW$24*(0.05-INDEX(绊状态确认!W:W,MATCH($G548,绊状态确认!$B:$B,)))+0.05*$EW$29,0)+IF(O548="sp",0.05*$EW$32*$EW$30*(1-$EW$33)-(0.05-INDEX(绊状态确认!V:V,MATCH($G548,绊状态确认!$B:$B,)))*$EW$29,0)+IF(O548="gd",-(0.05-INDEX(绊状态确认!X:X,MATCH($G548,绊状态确认!$B:$B,)))*$EW$32*$EW$30*(1-$EW$33)+$EW$26*(-HP($EW$62,$EW$65,$EW$64)+HP($EW$62,$EW$65,0.95*$EW$64)),0)</f>
        <v>6421.6344775026746</v>
      </c>
      <c r="BL548" s="1111">
        <f t="shared" si="717"/>
        <v>-1083.3333333333333</v>
      </c>
      <c r="BM548" s="1110">
        <f t="shared" si="718"/>
        <v>-830.55555555555543</v>
      </c>
      <c r="BN548" s="1113">
        <f t="shared" si="719"/>
        <v>3</v>
      </c>
      <c r="BO548" s="1108">
        <f t="shared" si="720"/>
        <v>4507.7214871259994</v>
      </c>
      <c r="BP548" s="1127">
        <f t="shared" si="721"/>
        <v>221.34103209030098</v>
      </c>
      <c r="BQ548" s="1113" t="s">
        <v>132</v>
      </c>
      <c r="BR548" s="1124" t="s">
        <v>166</v>
      </c>
      <c r="BS548" s="421">
        <f>IF($P548="","N/A",IF($P548=-1,INDEX('卡片raw data'!AX:AX,MATCH($D548,'卡片raw data'!$F:$F,)),0)+IF($L548="party卡",IF($P548=5,INDEX('卡片raw data'!BD:BD,MATCH($D548,'卡片raw data'!$F:$F,)),IF($P548&gt;=3,INDEX('卡片raw data'!BC:BC,MATCH($D548,'卡片raw data'!$F:$F,)),INDEX('卡片raw data'!BB:BB,MATCH($D548,'卡片raw data'!$F:$F,)))),IF(OR(AND($F548="UR",$P548=0),AND($F548="SR",$P548&gt;=0,$P548&lt;=2),AND($F548="R",$P548&gt;=0,$P548&lt;4)),INDEX('卡片raw data'!AZ:AZ,MATCH($D548,'卡片raw data'!$F:$F,)),0)+IF(OR(AND($F548="UR",$P548&gt;=1,$P548&lt;=4),AND($F548="SR",$P548&lt;=4,$P548&gt;=3),AND($F548="R",$P548=4)),INDEX('卡片raw data'!BA:BA,MATCH($D548,'卡片raw data'!$F:$F,)),0)+IF($P548=5,INDEX('卡片raw data'!BB:BB,MATCH($D548,'卡片raw data'!$F:$F,)),0)))</f>
        <v>7.0000000000000007E-2</v>
      </c>
      <c r="BT548" s="424">
        <f t="shared" si="722"/>
        <v>710.18530065052153</v>
      </c>
      <c r="BU548" s="420">
        <f t="shared" si="723"/>
        <v>23.405064649126889</v>
      </c>
      <c r="BV548" s="420">
        <f t="shared" si="724"/>
        <v>0</v>
      </c>
      <c r="BW548" s="436">
        <f t="shared" si="725"/>
        <v>0</v>
      </c>
      <c r="BX548" s="423">
        <f t="shared" si="726"/>
        <v>710.18530065052153</v>
      </c>
      <c r="BY548" s="433">
        <f t="shared" si="727"/>
        <v>0</v>
      </c>
      <c r="BZ548" s="1113" t="s">
        <v>569</v>
      </c>
      <c r="CA548" s="450"/>
      <c r="CB548" s="421">
        <f>IF($P548="","N/A",IF($P548=-1,INDEX('卡片raw data'!BE:BE,MATCH($D548,'卡片raw data'!$F:$F,)),0)+IF($L548="party卡",IF($P548=5,INDEX('卡片raw data'!BK:BK,MATCH($D548,'卡片raw data'!$F:$F,)),IF($P548&gt;=3,INDEX('卡片raw data'!BJ:BJ,MATCH($D548,'卡片raw data'!$F:$F,)),INDEX('卡片raw data'!BI:BI,MATCH($D548,'卡片raw data'!$F:$F,)))),IF(OR(AND($F548="UR",$P548=0),AND($F548="SR",$P548&gt;=0,$P548&lt;=2),AND($F548="R",$P548&gt;=0,$P548&lt;4)),INDEX('卡片raw data'!BG:BG,MATCH($D548,'卡片raw data'!$F:$F,)),0)+IF(OR(AND($F548="UR",$P548&gt;=1,$P548&lt;=4),AND($F548="SR",$P548&lt;=4,$P548&gt;=3),AND($F548="R",$P548=4)),INDEX('卡片raw data'!BH:BH,MATCH($D548,'卡片raw data'!$F:$F,)),0)+IF($P548=5,INDEX('卡片raw data'!BI:BI,MATCH($D548,'卡片raw data'!$F:$F,)),0)))</f>
        <v>0</v>
      </c>
      <c r="CC548" s="424">
        <f t="shared" si="771"/>
        <v>0</v>
      </c>
      <c r="CD548" s="420">
        <f>IF(BZ548="ap",CB548*(1-$FI$26)*$FB$5/$FB$11*(+IF(CA548="全员",$FA$24,0)+IF(CA548="同作战",$FA$24,0)+IF(CA548="仲间",$FA$24*2/3,0)+IF(CA548="同属性",$FA$24*$FA$37/3,0)+IF(CA548="同年级",$FA$24*$FA$40/3,0)+IF(CA548="同学校",$FA$24*$FA$43/3,0)+IF(CA548="同小队",$FA$24*$FA$46/3,0)+IF(CA548="同type",$FA$24*INDEX($FB$49:$FB$52,MATCH(X548,$FA$49:$FA$52,))/3,0)+IF(CA548="自身",#REF!/3,0)),0)+IF(BZ548="te",CB548*(1-$FI$27)*($FA$20-1)*$FB$7/$FB$13*(+IF(CA548="全员",$FA$19*$FA$24/(1+($FA$20-1)*$FA$19),0)+IF(CA548="同作战",$FA$19*$FA$24/(1+($FA$20-1)*$FA$19),0)+IF(CA548="仲间",$FA$19*$FA$24*2/3/(1+($FA$20-1)*$FA$19),0)+IF(CA548="同属性",$FA$19*$FA$24*$FA$37/3/(1+($FA$20-1)*$FA$19),0)+IF(CA548="同年级",$FA$19*$FA$24*$FA$40/3/(1+($FA$20-1)*$FA$19),0)+IF(CA548="同学校",$FA$19*$FA$24*$FA$43/3/(1+($FA$20-1)*$FA$19),0)+IF(CA548="同小队",$FA$19*$FA$24*$FA$46/3/(1+($FA$20-1)*$FA$19),0)+IF(CA548="同type",$FA$19*$FA$24*INDEX($FB$49:$FB$52,MATCH(X548,$FA$49:$FA$52,))/3/(1+($FA$20-1)*$FA$19),0)+IF(CA548="自身",$FA$19*#REF!/3/(1+(BH548-1)*$BD548),0)),0)</f>
        <v>0</v>
      </c>
      <c r="CE548" s="420">
        <f t="shared" si="729"/>
        <v>0</v>
      </c>
      <c r="CF548" s="436">
        <f t="shared" si="772"/>
        <v>0</v>
      </c>
      <c r="CG548" s="423">
        <f t="shared" si="731"/>
        <v>0</v>
      </c>
      <c r="CH548" s="433">
        <f t="shared" si="732"/>
        <v>0</v>
      </c>
      <c r="CI548" s="1113" t="s">
        <v>164</v>
      </c>
      <c r="CJ548" s="1114">
        <v>0.3</v>
      </c>
      <c r="CK548" s="1115" t="s">
        <v>2046</v>
      </c>
      <c r="CL548" s="1115" t="s">
        <v>1940</v>
      </c>
      <c r="CM548" s="1119">
        <v>0.25</v>
      </c>
      <c r="CN548" s="1115"/>
      <c r="CO548" s="1115"/>
      <c r="CP548" s="1116">
        <f t="shared" si="733"/>
        <v>51.956735822341059</v>
      </c>
      <c r="CQ548" s="1116">
        <f t="shared" si="734"/>
        <v>72.770959387931967</v>
      </c>
      <c r="CR548" s="1117">
        <f t="shared" si="735"/>
        <v>51.956735822341059</v>
      </c>
      <c r="CS548" s="442">
        <f t="shared" si="736"/>
        <v>0</v>
      </c>
      <c r="CT548" s="432">
        <f t="shared" si="737"/>
        <v>0</v>
      </c>
      <c r="CU548" s="1101">
        <f t="shared" si="738"/>
        <v>57.152409404575167</v>
      </c>
      <c r="CV548" s="1108">
        <f t="shared" si="768"/>
        <v>72.770959387931967</v>
      </c>
      <c r="CW548" s="420">
        <f t="shared" si="739"/>
        <v>57.152409404575167</v>
      </c>
      <c r="CX548" s="420">
        <f t="shared" si="740"/>
        <v>57.152409404575167</v>
      </c>
      <c r="CY548" s="433">
        <f t="shared" si="741"/>
        <v>57.152409404575167</v>
      </c>
      <c r="CZ548" s="437"/>
      <c r="DA548" s="438"/>
      <c r="DB548" s="439" t="s">
        <v>569</v>
      </c>
      <c r="DC548" s="439"/>
      <c r="DD548" s="443"/>
      <c r="DE548" s="411"/>
      <c r="DF548" s="411"/>
      <c r="DG548" s="1116">
        <f t="shared" si="742"/>
        <v>0</v>
      </c>
      <c r="DH548" s="1116">
        <f t="shared" si="743"/>
        <v>0</v>
      </c>
      <c r="DI548" s="1116">
        <f t="shared" si="744"/>
        <v>0</v>
      </c>
      <c r="DJ548" s="442">
        <f t="shared" si="745"/>
        <v>0</v>
      </c>
      <c r="DK548" s="432">
        <f t="shared" si="746"/>
        <v>0</v>
      </c>
      <c r="DL548" s="424">
        <f t="shared" si="747"/>
        <v>0</v>
      </c>
      <c r="DM548" s="420">
        <f t="shared" si="748"/>
        <v>0</v>
      </c>
      <c r="DN548" s="420">
        <f t="shared" si="749"/>
        <v>0</v>
      </c>
      <c r="DO548" s="420">
        <f t="shared" si="750"/>
        <v>0</v>
      </c>
      <c r="DP548" s="433">
        <f t="shared" si="751"/>
        <v>0</v>
      </c>
      <c r="DQ548" s="1113" t="s">
        <v>545</v>
      </c>
      <c r="DR548" s="444">
        <f t="shared" si="773"/>
        <v>0.3</v>
      </c>
      <c r="DS548" s="1124"/>
      <c r="DT548" s="1093" t="s">
        <v>132</v>
      </c>
      <c r="DU548" s="1124"/>
      <c r="DV548" s="1098">
        <f>IF($P548="","N/A",IF(P548=-1,INDEX('卡片raw data'!AN:AN,MATCH(D548,'卡片raw data'!$F:$F,)),0)+IF(AND(L548&lt;&gt;"party卡",P548&lt;=2,P548&gt;=0),INDEX('卡片raw data'!AP:AP,MATCH(D548,'卡片raw data'!$F:$F,)),0)+IF(OR(AND(L548="party卡",P548&lt;=1),AND(P548&lt;=4,L548&lt;&gt;"party卡",P548&gt;=3)),INDEX('卡片raw data'!AQ:AQ,MATCH(D548,'卡片raw data'!$F:$F,)),0)+IF(OR(P548=5,AND(L548="party卡",P548&gt;=2)),INDEX('卡片raw data'!AR:AR,MATCH(D548,'卡片raw data'!$F:$F,)),0))</f>
        <v>0.37</v>
      </c>
      <c r="DW548" s="1098">
        <f t="shared" si="752"/>
        <v>0.3</v>
      </c>
      <c r="DX548" s="1098">
        <f t="shared" si="753"/>
        <v>0.3</v>
      </c>
      <c r="DY548" s="1097">
        <f t="shared" si="754"/>
        <v>1196.1595180432298</v>
      </c>
      <c r="DZ548" s="1097">
        <f t="shared" si="755"/>
        <v>931.61382208430507</v>
      </c>
      <c r="EA548" s="421">
        <f t="shared" si="756"/>
        <v>0</v>
      </c>
      <c r="EB548" s="445">
        <f t="shared" si="757"/>
        <v>0</v>
      </c>
      <c r="EC548" s="424">
        <f t="shared" si="758"/>
        <v>1315.7754698475528</v>
      </c>
      <c r="ED548" s="420">
        <f t="shared" si="759"/>
        <v>931.61382208430507</v>
      </c>
      <c r="EE548" s="433">
        <f t="shared" si="775"/>
        <v>1315.7754698475528</v>
      </c>
      <c r="EF548" s="1113" t="s">
        <v>569</v>
      </c>
      <c r="EG548" s="444">
        <f t="shared" si="774"/>
        <v>0.3</v>
      </c>
      <c r="EH548" s="450"/>
      <c r="EI548" s="1124"/>
      <c r="EJ548" s="1124"/>
      <c r="EK548" s="420">
        <f>IF($P548="","N/A",IF(P548=-1,INDEX('卡片raw data'!AS:AS,MATCH(D548,'卡片raw data'!$F:$F,)),0)+IF(AND(L548&lt;&gt;"party卡",P548&lt;=2,P548&gt;=0),INDEX('卡片raw data'!AU:AU,MATCH(D548,'卡片raw data'!$F:$F,)),0)+IF(OR(AND(L548="party卡",P548&lt;=1),AND(P548&lt;=4,L548&lt;&gt;"party卡",P548&gt;=3)),INDEX('卡片raw data'!AV:AV,MATCH(D548,'卡片raw data'!$F:$F,)),0)+IF(OR(P548=5,AND(L548="party卡",P548&gt;=2)),INDEX('卡片raw data'!AW:AW,MATCH(D548,'卡片raw data'!$F:$F,)),0))</f>
        <v>0</v>
      </c>
      <c r="EL548" s="1098">
        <f t="shared" si="760"/>
        <v>0.3</v>
      </c>
      <c r="EM548" s="1098">
        <f t="shared" si="761"/>
        <v>0.3</v>
      </c>
      <c r="EN548" s="1097">
        <f t="shared" si="762"/>
        <v>0</v>
      </c>
      <c r="EO548" s="1097">
        <f t="shared" si="763"/>
        <v>0</v>
      </c>
      <c r="EP548" s="421">
        <f t="shared" si="764"/>
        <v>0</v>
      </c>
      <c r="EQ548" s="445">
        <f t="shared" si="765"/>
        <v>0</v>
      </c>
      <c r="ER548" s="424">
        <f t="shared" si="766"/>
        <v>0</v>
      </c>
      <c r="ES548" s="420">
        <f t="shared" si="767"/>
        <v>0</v>
      </c>
      <c r="ET548" s="446">
        <f t="shared" si="776"/>
        <v>0</v>
      </c>
    </row>
    <row r="549" spans="2:150" ht="16.5" customHeight="1">
      <c r="B549" s="448" t="str">
        <f>INDEX('卡片raw data'!B:B,MATCH($D549,'卡片raw data'!$F:$F,))</f>
        <v>fes2海</v>
      </c>
      <c r="C549" s="449" t="s">
        <v>2263</v>
      </c>
      <c r="D549" s="408">
        <v>546</v>
      </c>
      <c r="E549" s="477">
        <v>200043002</v>
      </c>
      <c r="F549" s="409" t="str">
        <f>INDEX('卡片raw data'!C:C,MATCH($D549,'卡片raw data'!$F:$F,))</f>
        <v>UR</v>
      </c>
      <c r="G549" s="1094" t="s">
        <v>4514</v>
      </c>
      <c r="H549" s="411">
        <f>IFERROR(INDEX(绊状态确认!C:C,MATCH($G549,绊状态确认!$B:$B,)),"")</f>
        <v>4</v>
      </c>
      <c r="I549" s="450" t="str">
        <f>IFERROR(INDEX(绊状态确认!D:D,MATCH($G549,绊状态确认!$B:$B,)),"")</f>
        <v>缪</v>
      </c>
      <c r="J549" s="450" t="str">
        <f>IFERROR(INDEX(绊状态确认!E:E,MATCH($G549,绊状态确认!$B:$B,)),"")</f>
        <v>2年级</v>
      </c>
      <c r="K549" s="451" t="str">
        <f>IFERROR(INDEX(绊状态确认!F:F,MATCH($G549,绊状态确认!$B:$B,)),"")</f>
        <v>lilywhite</v>
      </c>
      <c r="L549" s="414" t="str">
        <f>INDEX('卡片raw data'!E:E,MATCH($D549,'卡片raw data'!$F:$F,))</f>
        <v>fes卡</v>
      </c>
      <c r="M549" s="478">
        <v>44465</v>
      </c>
      <c r="N549" s="479">
        <v>48.5</v>
      </c>
      <c r="O549" s="410" t="str">
        <f>INDEX('卡片raw data'!D:D,MATCH($D549,'卡片raw data'!$F:$F,))</f>
        <v>sk</v>
      </c>
      <c r="P549" s="1126">
        <v>5</v>
      </c>
      <c r="Q549" s="418">
        <f t="shared" si="688"/>
        <v>76567.15487917664</v>
      </c>
      <c r="R549" s="419">
        <f t="shared" si="689"/>
        <v>0.89</v>
      </c>
      <c r="S549" s="420">
        <f t="shared" si="690"/>
        <v>22770.030024542062</v>
      </c>
      <c r="T549" s="421">
        <f t="shared" si="691"/>
        <v>1.1379999999999999</v>
      </c>
      <c r="U549" s="422">
        <f t="shared" si="692"/>
        <v>11.885157737142858</v>
      </c>
      <c r="V549" s="423">
        <f t="shared" si="693"/>
        <v>79515.076279270332</v>
      </c>
      <c r="W549" s="424">
        <f t="shared" si="694"/>
        <v>6010.2953161679998</v>
      </c>
      <c r="X549" s="419">
        <f t="shared" si="695"/>
        <v>6.9000000000000006E-2</v>
      </c>
      <c r="Y549" s="420">
        <f t="shared" si="696"/>
        <v>947.92140009368723</v>
      </c>
      <c r="Z549" s="425">
        <f t="shared" si="697"/>
        <v>11.885157737142858</v>
      </c>
      <c r="AA549" s="426">
        <f t="shared" si="698"/>
        <v>6958.216716261687</v>
      </c>
      <c r="AB549" s="424">
        <f t="shared" si="699"/>
        <v>12604.745049529285</v>
      </c>
      <c r="AC549" s="427">
        <f t="shared" si="700"/>
        <v>0.14599999999999999</v>
      </c>
      <c r="AD549" s="428">
        <f t="shared" si="701"/>
        <v>2.1769318181818181E-2</v>
      </c>
      <c r="AE549" s="516">
        <f t="shared" si="702"/>
        <v>11.953757704745847</v>
      </c>
      <c r="AF549" s="1130">
        <f t="shared" si="703"/>
        <v>0</v>
      </c>
      <c r="AG549" s="420">
        <f t="shared" si="704"/>
        <v>0</v>
      </c>
      <c r="AH549" s="420">
        <f t="shared" si="705"/>
        <v>0</v>
      </c>
      <c r="AI549" s="1097">
        <f t="shared" si="706"/>
        <v>0</v>
      </c>
      <c r="AJ549" s="420">
        <f t="shared" si="707"/>
        <v>0</v>
      </c>
      <c r="AK549" s="518">
        <f t="shared" si="708"/>
        <v>0</v>
      </c>
      <c r="AL549" s="1106">
        <f>IF($P549="","N/A",(IF($P549=-1,INDEX('卡片raw data'!S:S,MATCH($D549,'卡片raw data'!$F:$F,)),0)+IF($P549=0,INDEX('卡片raw data'!V:V,MATCH($D549,'卡片raw data'!$F:$F,)),0)+IF($P549=1,INDEX('卡片raw data'!Y:Y,MATCH($D549,'卡片raw data'!$F:$F,)),0)+IF($P549=2,INDEX('卡片raw data'!AB:AB,MATCH($D549,'卡片raw data'!$F:$F,)),0)+IF($P549=3,INDEX('卡片raw data'!AE:AE,MATCH($D549,'卡片raw data'!$F:$F,)),0)+IF($P549=4,INDEX('卡片raw data'!AH:AH,MATCH($D549,'卡片raw data'!$F:$F,)),0)+IF($P549=5,INDEX('卡片raw data'!AK:AK,MATCH($D549,'卡片raw data'!$F:$F,)),0)+INDEX('卡片raw data'!S:S,MATCH($D549,'卡片raw data'!$F:$F,))*(IF($F549="UR",0.04,0.033))*(IF($F549="UR",INDEX(绊状态确认!$S:$S,MATCH($G549,绊状态确认!$B:$B,))/2-40)+IF($F549="SR",INDEX(绊状态确认!$R:$R,MATCH($G549,绊状态确认!$B:$B,))/4-15))+IF($F549="R",INDEX(绊状态确认!$Q:$Q,MATCH($G549,绊状态确认!$B:$B,))/6-40/6)))*(INDEX(绊状态确认!$H:$H,MATCH($G549,绊状态确认!$B:$B,))+INDEX(绊状态确认!J:J,MATCH($G549,绊状态确认!$B:$B,)))</f>
        <v>15364.127999999999</v>
      </c>
      <c r="AM549" s="1106">
        <f>IF($P549="","N/A",(IF($P549=-1,INDEX('卡片raw data'!T:T,MATCH($D549,'卡片raw data'!$F:$F,)),0)+IF($P549=0,INDEX('卡片raw data'!W:W,MATCH($D549,'卡片raw data'!$F:$F,)),0)+IF($P549=1,INDEX('卡片raw data'!Z:Z,MATCH($D549,'卡片raw data'!$F:$F,)),0)+IF($P549=2,INDEX('卡片raw data'!AC:AC,MATCH($D549,'卡片raw data'!$F:$F,)),0)+IF($P549=3,INDEX('卡片raw data'!AF:AF,MATCH($D549,'卡片raw data'!$F:$F,)),0)+IF($P549=4,INDEX('卡片raw data'!AI:AI,MATCH($D549,'卡片raw data'!$F:$F,)),0)+IF($P549=5,INDEX('卡片raw data'!AL:AL,MATCH($D549,'卡片raw data'!$F:$F,)),0)+INDEX('卡片raw data'!T:T,MATCH($D549,'卡片raw data'!$F:$F,))*(IF($F549="UR",0.04,0.033))*(IF($F549="UR",INDEX(绊状态确认!$S:$S,MATCH($G549,绊状态确认!$B:$B,))/2-40)+IF($F549="SR",INDEX(绊状态确认!$R:$R,MATCH($G549,绊状态确认!$B:$B,))/4-15))+IF($F549="R",INDEX(绊状态确认!$Q:$Q,MATCH($G549,绊状态确认!$B:$B,))/6-40/6)))*(INDEX(绊状态确认!$H:$H,MATCH($G549,绊状态确认!$B:$B,))+INDEX(绊状态确认!K:K,MATCH($G549,绊状态确认!$B:$B,)))</f>
        <v>6145.6511999999993</v>
      </c>
      <c r="AN549" s="1106">
        <f>IF($P549="","N/A",(IF($P549=-1,INDEX('卡片raw data'!U:U,MATCH($D549,'卡片raw data'!$F:$F,)),0)+IF($P549=0,INDEX('卡片raw data'!X:X,MATCH($D549,'卡片raw data'!$F:$F,)),0)+IF($P549=1,INDEX('卡片raw data'!AA:AA,MATCH($D549,'卡片raw data'!$F:$F,)),0)+IF($P549=2,INDEX('卡片raw data'!AD:AD,MATCH($D549,'卡片raw data'!$F:$F,)),0)+IF($P549=3,INDEX('卡片raw data'!AG:AG,MATCH($D549,'卡片raw data'!$F:$F,)),0)+IF($P549=4,INDEX('卡片raw data'!AJ:AJ,MATCH($D549,'卡片raw data'!$F:$F,)),0)+IF($P549=5,INDEX('卡片raw data'!AM:AM,MATCH($D549,'卡片raw data'!$F:$F,)),0)+INDEX('卡片raw data'!U:U,MATCH($D549,'卡片raw data'!$F:$F,))*(IF($F549="UR",0.04,0.033))*(IF($F549="UR",INDEX(绊状态确认!$S:$S,MATCH($G549,绊状态确认!$B:$B,))/2-40)+IF($F549="SR",INDEX(绊状态确认!$R:$R,MATCH($G549,绊状态确认!$B:$B,))/4-15))+IF($F549="R",INDEX(绊状态确认!$Q:$Q,MATCH($G549,绊状态确认!$B:$B,))/6-40/6)))*(INDEX(绊状态确认!$H:$H,MATCH($G549,绊状态确认!$B:$B,))+INDEX(绊状态确认!L:L,MATCH($G549,绊状态确认!$B:$B,)))</f>
        <v>16900.540799999999</v>
      </c>
      <c r="AO549" s="1107">
        <f t="shared" si="709"/>
        <v>1</v>
      </c>
      <c r="AP549" s="1131">
        <f>1+(INDEX(绊状态确认!$T:$T,MATCH($G549,绊状态确认!$B:$B,))+0.2)*$AO549</f>
        <v>1.3</v>
      </c>
      <c r="AQ549" s="1108">
        <f t="shared" si="710"/>
        <v>43580.835999999996</v>
      </c>
      <c r="AR549" s="1097">
        <f>(AM549*(1+$EX$9)+$EX$35)*(1+(INDEX(绊状态确认!$T:$T,MATCH($G549,绊状态确认!$B:$B,))+0.2)*AO549)*IF(J549=$FF$17,1+$FE$17,1)*IF(I549=$FF$14,1+$FE$14,1)</f>
        <v>11092.813888000001</v>
      </c>
      <c r="AS549" s="1097">
        <f>(AN549*(1+$EX$10)+$EX$36)*(1+(INDEX(绊状态确认!$T:$T,MATCH($G549,绊状态确认!$B:$B,))+0.2)*AO549)*IF(J549=$FF$17,1+$FE$17,1)*IF(I549=$FF$14,1+$FE$14,1)</f>
        <v>29322.308495999998</v>
      </c>
      <c r="AT549" s="1093">
        <f>IF(AND(INDEX('卡片raw data'!AK:AK,MATCH($D549,'卡片raw data'!$F:$F,))&lt;INDEX('卡片raw data'!AM:AM,MATCH($D549,'卡片raw data'!$F:$F,)),INDEX('卡片raw data'!AL:AL,MATCH($D549,'卡片raw data'!$F:$F,))&lt;INDEX('卡片raw data'!AM:AM,MATCH($D549,'卡片raw data'!$F:$F,))),1,0)</f>
        <v>1</v>
      </c>
      <c r="AU549" s="1098">
        <f>MIN(AT549*0.15+AS549*0.00003+INDEX(绊状态确认!M:M,MATCH($G549,绊状态确认!$B:$B,)),1)</f>
        <v>1</v>
      </c>
      <c r="AV549" s="1109">
        <f>(INDEX(绊状态确认!$N:$N,MATCH($G549,绊状态确认!$B:$B,))+1.5)*$EW$21</f>
        <v>2.6599999999999997</v>
      </c>
      <c r="AW549" s="1101">
        <f t="shared" si="711"/>
        <v>60205.276798302235</v>
      </c>
      <c r="AX549" s="1097">
        <f t="shared" si="712"/>
        <v>947.921400093687</v>
      </c>
      <c r="AY549" s="1110">
        <f t="shared" si="713"/>
        <v>61153.198198395919</v>
      </c>
      <c r="AZ549" s="429">
        <f t="shared" si="714"/>
        <v>32560.049599999998</v>
      </c>
      <c r="BA549" s="431">
        <f t="shared" si="715"/>
        <v>39072.059519999995</v>
      </c>
      <c r="BB549" s="1097">
        <f>(AM549*(1+$FB$9)+$FB$35)*(1+(INDEX(绊状态确认!$T:$T,MATCH($G549,绊状态确认!$B:$B,))+0.2)*AO549)*IF(J549=$FF$17,1+$FE$17,1)*IF(I549=$FF$14,1+$FE$14,1)*(1+$FE$15)</f>
        <v>11092.813888000001</v>
      </c>
      <c r="BC549" s="1097">
        <f>(AN549*(1+$FB$10)+$FB$36)*(1+(INDEX(绊状态确认!$T:$T,MATCH($G549,绊状态确认!$B:$B,))+0.2)*AO549)*IF(J549=$FF$17,1+$FE$17,1)*IF(I549=$FF$14,1+$FE$14,1)*(1+$FE$15)</f>
        <v>29322.308495999998</v>
      </c>
      <c r="BD549" s="1104">
        <f>MIN(AT549*0.15+BC549*0.00003+INDEX(绊状态确认!M:M,MATCH($G549,绊状态确认!$B:$B,)),1)</f>
        <v>1</v>
      </c>
      <c r="BE549" s="432">
        <f>(INDEX(绊状态确认!$N:$N,MATCH($G549,绊状态确认!$B:$B,))+1.5)</f>
        <v>1.9</v>
      </c>
      <c r="BF549" s="1139">
        <f t="array" ref="BF549">SUMPRODUCT(IF(AZ549*AP549*$FI$16:$FI$23*$FA$22&gt;=$FI$24,$FI$24,AZ549*AP549*$FI$16:$FI$23*$FA$22),$FJ$16:$FJ$23)</f>
        <v>58433.8741744</v>
      </c>
      <c r="BG549" s="1125">
        <f t="array" ref="BG549">SUMPRODUCT(IF(BE549*AZ549*AP549*$FI$16:$FI$23*$FA$22&gt;=$FI$24,$FI$24,BE549*AZ549*AP549*$FI$16:$FI$23*$FA$22),$FJ$16:$FJ$23)</f>
        <v>60000</v>
      </c>
      <c r="BH549" s="1110">
        <f t="shared" si="716"/>
        <v>20000</v>
      </c>
      <c r="BI549" s="1111">
        <f>IF(O549="vo",$EW$26/$EW$24*0.05,0)+IF(O549="sk",-$EW$26/$EW$24*(0.05-INDEX(绊状态确认!W:W,MATCH($G549,绊状态确认!$B:$B,)))+0.05*$EW$28,0)+IF(O549="sp",0.05*$EW$32*$EW$30*(1-$EW$33)-(0.05-INDEX(绊状态确认!V:V,MATCH($G549,绊状态确认!$B:$B,)))*$EW$28,0)+IF(O549="gd",-(0.05-INDEX(绊状态确认!X:X,MATCH($G549,绊状态确认!$B:$B,)))*$EW$32*$EW$30*(1-$EW$33),0)</f>
        <v>-6253.6726349699375</v>
      </c>
      <c r="BJ549" s="420">
        <f>IF(O549="vo",0.05*(1-$FI$26)*$FA$24,0)+IF(O549="sk",-(0.05-INDEX(绊状态确认!W:W,MATCH($G549,绊状态确认!$B:$B,)))*(1-$FI$26)*$FA$24+0.05*$FA$26,0)+IF(O549="sp",0.05*$FA$32*$FA$27*(1-$FA$33)/$FA$30+0.05*$FA$29/$FA$69*$FA$27*(1-$FA$33)-(0.05-INDEX(绊状态确认!V:V,MATCH($G549,绊状态确认!$B:$B,)))*$FA$26,0)+IF(O549="gd",-(0.05-INDEX(绊状态确认!X:X,MATCH($G549,绊状态确认!$B:$B,)))*$FA$32*$FA$27*(1-$FA$33)/$FA$30-(0.05-INDEX(绊状态确认!X:X,MATCH($G549,绊状态确认!$B:$B,)))*$FA$29/$FA$69*$FA$27*(1-$FA$33),0)</f>
        <v>20.459096812499922</v>
      </c>
      <c r="BK549" s="1110">
        <f>IF(O549="vo",$EW$26/$EW$24*0.05+$EW$26*(-HP($EW$62,$EW$65,$EW$64)+HP($EW$62,$EW$65,(1.05-INDEX(绊状态确认!U:U,MATCH($G549,绊状态确认!$B:$B,)))*$EW$64)),0)+IF(O549="sk",-$EW$26/$EW$24*(0.05-INDEX(绊状态确认!W:W,MATCH($G549,绊状态确认!$B:$B,)))+0.05*$EW$29,0)+IF(O549="sp",0.05*$EW$32*$EW$30*(1-$EW$33)-(0.05-INDEX(绊状态确认!V:V,MATCH($G549,绊状态确认!$B:$B,)))*$EW$29,0)+IF(O549="gd",-(0.05-INDEX(绊状态确认!X:X,MATCH($G549,绊状态确认!$B:$B,)))*$EW$32*$EW$30*(1-$EW$33)+$EW$26*(-HP($EW$62,$EW$65,$EW$64)+HP($EW$62,$EW$65,0.95*$EW$64)),0)</f>
        <v>-4253.6726349699375</v>
      </c>
      <c r="BL549" s="1111">
        <f t="shared" si="717"/>
        <v>0</v>
      </c>
      <c r="BM549" s="1110">
        <f t="shared" si="718"/>
        <v>0</v>
      </c>
      <c r="BN549" s="1113">
        <f t="shared" si="719"/>
        <v>4</v>
      </c>
      <c r="BO549" s="1108">
        <f t="shared" si="720"/>
        <v>6010.2953161679998</v>
      </c>
      <c r="BP549" s="1127">
        <f t="shared" si="721"/>
        <v>295.12137612040135</v>
      </c>
      <c r="BQ549" s="1113" t="s">
        <v>132</v>
      </c>
      <c r="BR549" s="1124" t="s">
        <v>168</v>
      </c>
      <c r="BS549" s="421">
        <f>IF($P549="","N/A",IF($P549=-1,INDEX('卡片raw data'!AX:AX,MATCH($D549,'卡片raw data'!$F:$F,)),0)+IF($L549="party卡",IF($P549=5,INDEX('卡片raw data'!BD:BD,MATCH($D549,'卡片raw data'!$F:$F,)),IF($P549&gt;=3,INDEX('卡片raw data'!BC:BC,MATCH($D549,'卡片raw data'!$F:$F,)),INDEX('卡片raw data'!BB:BB,MATCH($D549,'卡片raw data'!$F:$F,)))),IF(OR(AND($F549="UR",$P549=0),AND($F549="SR",$P549&gt;=0,$P549&lt;=2),AND($F549="R",$P549&gt;=0,$P549&lt;4)),INDEX('卡片raw data'!AZ:AZ,MATCH($D549,'卡片raw data'!$F:$F,)),0)+IF(OR(AND($F549="UR",$P549&gt;=1,$P549&lt;=4),AND($F549="SR",$P549&lt;=4,$P549&gt;=3),AND($F549="R",$P549=4)),INDEX('卡片raw data'!BA:BA,MATCH($D549,'卡片raw data'!$F:$F,)),0)+IF($P549=5,INDEX('卡片raw data'!BB:BB,MATCH($D549,'卡片raw data'!$F:$F,)),0)))</f>
        <v>7.0000000000000007E-2</v>
      </c>
      <c r="BT549" s="424">
        <f t="shared" si="722"/>
        <v>5259.008401647</v>
      </c>
      <c r="BU549" s="420">
        <f t="shared" si="723"/>
        <v>258.2312041053512</v>
      </c>
      <c r="BV549" s="420">
        <f t="shared" si="724"/>
        <v>0</v>
      </c>
      <c r="BW549" s="436">
        <f t="shared" si="725"/>
        <v>0</v>
      </c>
      <c r="BX549" s="423">
        <f t="shared" si="726"/>
        <v>5259.008401647</v>
      </c>
      <c r="BY549" s="433">
        <f t="shared" si="727"/>
        <v>0</v>
      </c>
      <c r="BZ549" s="1113" t="s">
        <v>569</v>
      </c>
      <c r="CA549" s="450"/>
      <c r="CB549" s="421">
        <f>IF($P549="","N/A",IF($P549=-1,INDEX('卡片raw data'!BE:BE,MATCH($D549,'卡片raw data'!$F:$F,)),0)+IF($L549="party卡",IF($P549=5,INDEX('卡片raw data'!BK:BK,MATCH($D549,'卡片raw data'!$F:$F,)),IF($P549&gt;=3,INDEX('卡片raw data'!BJ:BJ,MATCH($D549,'卡片raw data'!$F:$F,)),INDEX('卡片raw data'!BI:BI,MATCH($D549,'卡片raw data'!$F:$F,)))),IF(OR(AND($F549="UR",$P549=0),AND($F549="SR",$P549&gt;=0,$P549&lt;=2),AND($F549="R",$P549&gt;=0,$P549&lt;4)),INDEX('卡片raw data'!BG:BG,MATCH($D549,'卡片raw data'!$F:$F,)),0)+IF(OR(AND($F549="UR",$P549&gt;=1,$P549&lt;=4),AND($F549="SR",$P549&lt;=4,$P549&gt;=3),AND($F549="R",$P549=4)),INDEX('卡片raw data'!BH:BH,MATCH($D549,'卡片raw data'!$F:$F,)),0)+IF($P549=5,INDEX('卡片raw data'!BI:BI,MATCH($D549,'卡片raw data'!$F:$F,)),0)))</f>
        <v>0</v>
      </c>
      <c r="CC549" s="424">
        <f t="shared" si="771"/>
        <v>0</v>
      </c>
      <c r="CD549" s="420">
        <f>IF(BZ549="ap",CB549*(1-$FI$26)*$FB$5/$FB$11*(+IF(CA549="全员",$FA$24,0)+IF(CA549="同作战",$FA$24,0)+IF(CA549="仲间",$FA$24*2/3,0)+IF(CA549="同属性",$FA$24*$FA$37/3,0)+IF(CA549="同年级",$FA$24*$FA$40/3,0)+IF(CA549="同学校",$FA$24*$FA$43/3,0)+IF(CA549="同小队",$FA$24*$FA$46/3,0)+IF(CA549="同type",$FA$24*INDEX($FB$49:$FB$52,MATCH(X549,$FA$49:$FA$52,))/3,0)+IF(CA549="自身",#REF!/3,0)),0)+IF(BZ549="te",CB549*(1-$FI$27)*($FA$20-1)*$FB$7/$FB$13*(+IF(CA549="全员",$FA$19*$FA$24/(1+($FA$20-1)*$FA$19),0)+IF(CA549="同作战",$FA$19*$FA$24/(1+($FA$20-1)*$FA$19),0)+IF(CA549="仲间",$FA$19*$FA$24*2/3/(1+($FA$20-1)*$FA$19),0)+IF(CA549="同属性",$FA$19*$FA$24*$FA$37/3/(1+($FA$20-1)*$FA$19),0)+IF(CA549="同年级",$FA$19*$FA$24*$FA$40/3/(1+($FA$20-1)*$FA$19),0)+IF(CA549="同学校",$FA$19*$FA$24*$FA$43/3/(1+($FA$20-1)*$FA$19),0)+IF(CA549="同小队",$FA$19*$FA$24*$FA$46/3/(1+($FA$20-1)*$FA$19),0)+IF(CA549="同type",$FA$19*$FA$24*INDEX($FB$49:$FB$52,MATCH(X549,$FA$49:$FA$52,))/3/(1+($FA$20-1)*$FA$19),0)+IF(CA549="自身",$FA$19*#REF!/3/(1+(BH549-1)*$BD549),0)),0)</f>
        <v>0</v>
      </c>
      <c r="CE549" s="420">
        <f t="shared" si="729"/>
        <v>0</v>
      </c>
      <c r="CF549" s="436">
        <f t="shared" si="772"/>
        <v>0</v>
      </c>
      <c r="CG549" s="423">
        <f t="shared" si="731"/>
        <v>0</v>
      </c>
      <c r="CH549" s="433">
        <f t="shared" si="732"/>
        <v>0</v>
      </c>
      <c r="CI549" s="1113" t="s">
        <v>173</v>
      </c>
      <c r="CJ549" s="1114">
        <v>1</v>
      </c>
      <c r="CK549" s="1115" t="s">
        <v>2046</v>
      </c>
      <c r="CL549" s="1115" t="s">
        <v>1940</v>
      </c>
      <c r="CM549" s="1119">
        <v>0.3</v>
      </c>
      <c r="CN549" s="1115"/>
      <c r="CO549" s="1115">
        <v>20</v>
      </c>
      <c r="CP549" s="1116">
        <f t="shared" si="733"/>
        <v>1214.0375742857141</v>
      </c>
      <c r="CQ549" s="1116">
        <f t="shared" si="734"/>
        <v>1693.1225791999996</v>
      </c>
      <c r="CR549" s="1117">
        <f t="shared" si="735"/>
        <v>0</v>
      </c>
      <c r="CS549" s="1118">
        <f t="shared" si="736"/>
        <v>0</v>
      </c>
      <c r="CT549" s="1109">
        <f t="shared" si="737"/>
        <v>0</v>
      </c>
      <c r="CU549" s="1101">
        <f t="shared" si="738"/>
        <v>1335.4413317142855</v>
      </c>
      <c r="CV549" s="1108">
        <f t="shared" ref="CV549:CV580" si="777">IF(AND(CK549="技能+",CL549="自身",$DR549=0.11),0,IF(CK549="sp+",CQ549*$FA$27*$FA$32*(1-$FA$33),0)+IF(CK549="ap+",CQ549*$FA$24/(1+$FA$15)*(1-$FI$26),0)+IF(CK549="ap+元气",CQ549*$FA$24/(1+$FA$15)*(1-$FI$26)*$FA$64,0)+IF(CK549="技能+",$FA$26*CQ549/$FA$25,0)+IF(CK549="vo+",$FA$24*CQ549*(1-$FI$26),0)+IF(CK549="sp获得",CQ549*(1-$FA$33)*$FA$27/$FA$69)+IF(CK549="vo获得",CQ549*$FA$22)+IF(CK549="ct+",$FA$24/(1+($FA$20-1)*$FA$19)*($FA$20-1)*CQ549*(1-$FI$27))+IF(CK549="核弹",CQ549*(1+$FA$21)*(1-$FI$29))+IF(CK549="ct值+",$FA$24/(1+($FA$20-1)*$FA$19)*$FA$19*CQ549*(1-$FI$28))+IF(CK549="自身ct时上限突破",CQ549*$FI$24*$FI$26*BD549,0))</f>
        <v>1693.1225791999996</v>
      </c>
      <c r="CW549" s="1097">
        <f t="shared" si="739"/>
        <v>0</v>
      </c>
      <c r="CX549" s="1097">
        <f t="shared" si="740"/>
        <v>1335.4413317142855</v>
      </c>
      <c r="CY549" s="1110">
        <f t="shared" si="741"/>
        <v>0</v>
      </c>
      <c r="CZ549" s="437"/>
      <c r="DA549" s="438"/>
      <c r="DB549" s="439" t="s">
        <v>569</v>
      </c>
      <c r="DC549" s="439"/>
      <c r="DD549" s="443"/>
      <c r="DE549" s="411"/>
      <c r="DF549" s="411"/>
      <c r="DG549" s="1116">
        <f t="shared" si="742"/>
        <v>0</v>
      </c>
      <c r="DH549" s="1116">
        <f t="shared" si="743"/>
        <v>0</v>
      </c>
      <c r="DI549" s="1116">
        <f t="shared" si="744"/>
        <v>0</v>
      </c>
      <c r="DJ549" s="442">
        <f t="shared" si="745"/>
        <v>0</v>
      </c>
      <c r="DK549" s="432">
        <f t="shared" si="746"/>
        <v>0</v>
      </c>
      <c r="DL549" s="424">
        <f t="shared" si="747"/>
        <v>0</v>
      </c>
      <c r="DM549" s="420">
        <f t="shared" si="748"/>
        <v>0</v>
      </c>
      <c r="DN549" s="420">
        <f t="shared" si="749"/>
        <v>0</v>
      </c>
      <c r="DO549" s="420">
        <f t="shared" si="750"/>
        <v>0</v>
      </c>
      <c r="DP549" s="433">
        <f t="shared" si="751"/>
        <v>0</v>
      </c>
      <c r="DQ549" s="1113" t="s">
        <v>2107</v>
      </c>
      <c r="DR549" s="1120">
        <f t="shared" si="773"/>
        <v>0.33</v>
      </c>
      <c r="DS549" s="1124">
        <v>5</v>
      </c>
      <c r="DT549" s="1124" t="s">
        <v>2127</v>
      </c>
      <c r="DU549" s="1093" t="s">
        <v>544</v>
      </c>
      <c r="DV549" s="1098">
        <f>IF($P549="","N/A",IF(P549=-1,INDEX('卡片raw data'!AN:AN,MATCH(D549,'卡片raw data'!$F:$F,)),0)+IF(AND(L549&lt;&gt;"party卡",P549&lt;=2,P549&gt;=0),INDEX('卡片raw data'!AP:AP,MATCH(D549,'卡片raw data'!$F:$F,)),0)+IF(OR(AND(L549="party卡",P549&lt;=1),AND(P549&lt;=4,L549&lt;&gt;"party卡",P549&gt;=3)),INDEX('卡片raw data'!AQ:AQ,MATCH(D549,'卡片raw data'!$F:$F,)),0)+IF(OR(P549=5,AND(L549="party卡",P549&gt;=2)),INDEX('卡片raw data'!AR:AR,MATCH(D549,'卡片raw data'!$F:$F,)),0))</f>
        <v>0.1</v>
      </c>
      <c r="DW549" s="1098">
        <f t="shared" si="752"/>
        <v>0.33</v>
      </c>
      <c r="DX549" s="1098">
        <f t="shared" si="753"/>
        <v>0.33</v>
      </c>
      <c r="DY549" s="1098">
        <f t="shared" si="754"/>
        <v>4.3999999999999997E-2</v>
      </c>
      <c r="DZ549" s="1098">
        <f t="shared" si="755"/>
        <v>3.8059999999999997E-2</v>
      </c>
      <c r="EA549" s="421">
        <f t="shared" si="756"/>
        <v>0</v>
      </c>
      <c r="EB549" s="445">
        <f t="shared" si="757"/>
        <v>0</v>
      </c>
      <c r="EC549" s="424">
        <f t="shared" si="758"/>
        <v>5149.4158641782997</v>
      </c>
      <c r="ED549" s="420">
        <f t="shared" si="759"/>
        <v>308.18493710479544</v>
      </c>
      <c r="EE549" s="433">
        <f t="shared" si="775"/>
        <v>5149.4158641782997</v>
      </c>
      <c r="EF549" s="1115" t="s">
        <v>4515</v>
      </c>
      <c r="EG549" s="1120">
        <f t="shared" si="774"/>
        <v>0.33</v>
      </c>
      <c r="EH549" s="450">
        <v>5</v>
      </c>
      <c r="EI549" s="1124" t="s">
        <v>4516</v>
      </c>
      <c r="EJ549" s="1124" t="s">
        <v>4517</v>
      </c>
      <c r="EK549" s="1098">
        <f>IF($P549="","N/A",IF(P549=-1,INDEX('卡片raw data'!AS:AS,MATCH(D549,'卡片raw data'!$F:$F,)),0)+IF(AND(L549&lt;&gt;"party卡",P549&lt;=2,P549&gt;=0),INDEX('卡片raw data'!AU:AU,MATCH(D549,'卡片raw data'!$F:$F,)),0)+IF(OR(AND(L549="party卡",P549&lt;=1),AND(P549&lt;=4,L549&lt;&gt;"party卡",P549&gt;=3)),INDEX('卡片raw data'!AV:AV,MATCH(D549,'卡片raw data'!$F:$F,)),0)+IF(OR(P549=5,AND(L549="party卡",P549&gt;=2)),INDEX('卡片raw data'!AW:AW,MATCH(D549,'卡片raw data'!$F:$F,)),0))</f>
        <v>5.1999999999999998E-2</v>
      </c>
      <c r="EL549" s="1098">
        <f t="shared" si="760"/>
        <v>0.33</v>
      </c>
      <c r="EM549" s="1098">
        <f t="shared" si="761"/>
        <v>0.33</v>
      </c>
      <c r="EN549" s="1098">
        <f t="shared" si="762"/>
        <v>2.86E-2</v>
      </c>
      <c r="EO549" s="1098">
        <f t="shared" si="763"/>
        <v>2.4739000000000001E-2</v>
      </c>
      <c r="EP549" s="421">
        <f t="shared" si="764"/>
        <v>0</v>
      </c>
      <c r="EQ549" s="445">
        <f t="shared" si="765"/>
        <v>0</v>
      </c>
      <c r="ER549" s="424">
        <f t="shared" si="766"/>
        <v>4861.3898021367613</v>
      </c>
      <c r="ES549" s="420">
        <f t="shared" si="767"/>
        <v>194.91083119901253</v>
      </c>
      <c r="ET549" s="446">
        <f t="shared" si="776"/>
        <v>4861.3898021367613</v>
      </c>
    </row>
    <row r="550" spans="2:150" ht="16.5" customHeight="1">
      <c r="B550" s="448" t="str">
        <f>INDEX('卡片raw data'!B:B,MATCH($D550,'卡片raw data'!$F:$F,))</f>
        <v>fes2黛</v>
      </c>
      <c r="C550" s="449" t="s">
        <v>4520</v>
      </c>
      <c r="D550" s="408">
        <v>547</v>
      </c>
      <c r="E550" s="477">
        <v>201043002</v>
      </c>
      <c r="F550" s="409" t="str">
        <f>INDEX('卡片raw data'!C:C,MATCH($D550,'卡片raw data'!$F:$F,))</f>
        <v>UR</v>
      </c>
      <c r="G550" s="1094" t="s">
        <v>4521</v>
      </c>
      <c r="H550" s="411">
        <f>IFERROR(INDEX(绊状态确认!C:C,MATCH($G550,绊状态确认!$B:$B,)),"")</f>
        <v>104</v>
      </c>
      <c r="I550" s="450" t="str">
        <f>IFERROR(INDEX(绊状态确认!D:D,MATCH($G550,绊状态确认!$B:$B,)),"")</f>
        <v>水</v>
      </c>
      <c r="J550" s="450" t="str">
        <f>IFERROR(INDEX(绊状态确认!E:E,MATCH($G550,绊状态确认!$B:$B,)),"")</f>
        <v>3年级</v>
      </c>
      <c r="K550" s="451" t="str">
        <f>IFERROR(INDEX(绊状态确认!F:F,MATCH($G550,绊状态确认!$B:$B,)),"")</f>
        <v>AZALEA</v>
      </c>
      <c r="L550" s="414" t="str">
        <f>INDEX('卡片raw data'!E:E,MATCH($D550,'卡片raw data'!$F:$F,))</f>
        <v>fes卡</v>
      </c>
      <c r="M550" s="478">
        <v>44465</v>
      </c>
      <c r="N550" s="479">
        <v>48.5</v>
      </c>
      <c r="O550" s="410" t="str">
        <f>INDEX('卡片raw data'!D:D,MATCH($D550,'卡片raw data'!$F:$F,))</f>
        <v>sp</v>
      </c>
      <c r="P550" s="1126">
        <v>5</v>
      </c>
      <c r="Q550" s="418">
        <f t="shared" si="688"/>
        <v>73117.858784076394</v>
      </c>
      <c r="R550" s="419">
        <f t="shared" si="689"/>
        <v>0.85</v>
      </c>
      <c r="S550" s="420">
        <f t="shared" si="690"/>
        <v>23492.473243081567</v>
      </c>
      <c r="T550" s="421">
        <f t="shared" si="691"/>
        <v>1.1739999999999999</v>
      </c>
      <c r="U550" s="422">
        <f t="shared" si="692"/>
        <v>11.319152125542857</v>
      </c>
      <c r="V550" s="423">
        <f t="shared" si="693"/>
        <v>72219.591796684559</v>
      </c>
      <c r="W550" s="424">
        <f t="shared" si="694"/>
        <v>7925.657552377812</v>
      </c>
      <c r="X550" s="419">
        <f t="shared" si="695"/>
        <v>9.1999999999999998E-2</v>
      </c>
      <c r="Y550" s="420">
        <f t="shared" si="696"/>
        <v>901.73301260816515</v>
      </c>
      <c r="Z550" s="425">
        <f t="shared" si="697"/>
        <v>11.319152125542857</v>
      </c>
      <c r="AA550" s="426">
        <f t="shared" si="698"/>
        <v>8827.3905649859771</v>
      </c>
      <c r="AB550" s="424">
        <f t="shared" si="699"/>
        <v>9841.0197885876241</v>
      </c>
      <c r="AC550" s="427">
        <f t="shared" si="700"/>
        <v>0.114</v>
      </c>
      <c r="AD550" s="428">
        <f t="shared" si="701"/>
        <v>-1.6087500000000001E-2</v>
      </c>
      <c r="AE550" s="516">
        <f t="shared" si="702"/>
        <v>71.261690543478238</v>
      </c>
      <c r="AF550" s="1130">
        <f t="shared" si="703"/>
        <v>0</v>
      </c>
      <c r="AG550" s="420">
        <f t="shared" si="704"/>
        <v>0</v>
      </c>
      <c r="AH550" s="420">
        <f t="shared" si="705"/>
        <v>0</v>
      </c>
      <c r="AI550" s="1097">
        <f t="shared" si="706"/>
        <v>0</v>
      </c>
      <c r="AJ550" s="420">
        <f t="shared" si="707"/>
        <v>0</v>
      </c>
      <c r="AK550" s="518">
        <f t="shared" si="708"/>
        <v>0</v>
      </c>
      <c r="AL550" s="1106">
        <f>IF($P550="","N/A",(IF($P550=-1,INDEX('卡片raw data'!S:S,MATCH($D550,'卡片raw data'!$F:$F,)),0)+IF($P550=0,INDEX('卡片raw data'!V:V,MATCH($D550,'卡片raw data'!$F:$F,)),0)+IF($P550=1,INDEX('卡片raw data'!Y:Y,MATCH($D550,'卡片raw data'!$F:$F,)),0)+IF($P550=2,INDEX('卡片raw data'!AB:AB,MATCH($D550,'卡片raw data'!$F:$F,)),0)+IF($P550=3,INDEX('卡片raw data'!AE:AE,MATCH($D550,'卡片raw data'!$F:$F,)),0)+IF($P550=4,INDEX('卡片raw data'!AH:AH,MATCH($D550,'卡片raw data'!$F:$F,)),0)+IF($P550=5,INDEX('卡片raw data'!AK:AK,MATCH($D550,'卡片raw data'!$F:$F,)),0)+INDEX('卡片raw data'!S:S,MATCH($D550,'卡片raw data'!$F:$F,))*(IF($F550="UR",0.04,0.033))*(IF($F550="UR",INDEX(绊状态确认!$S:$S,MATCH($G550,绊状态确认!$B:$B,))/2-40)+IF($F550="SR",INDEX(绊状态确认!$R:$R,MATCH($G550,绊状态确认!$B:$B,))/4-15))+IF($F550="R",INDEX(绊状态确认!$Q:$Q,MATCH($G550,绊状态确认!$B:$B,))/6-40/6)))*(INDEX(绊状态确认!$H:$H,MATCH($G550,绊状态确认!$B:$B,))+INDEX(绊状态确认!J:J,MATCH($G550,绊状态确认!$B:$B,)))</f>
        <v>14977.115615999999</v>
      </c>
      <c r="AM550" s="1106">
        <f>IF($P550="","N/A",(IF($P550=-1,INDEX('卡片raw data'!T:T,MATCH($D550,'卡片raw data'!$F:$F,)),0)+IF($P550=0,INDEX('卡片raw data'!W:W,MATCH($D550,'卡片raw data'!$F:$F,)),0)+IF($P550=1,INDEX('卡片raw data'!Z:Z,MATCH($D550,'卡片raw data'!$F:$F,)),0)+IF($P550=2,INDEX('卡片raw data'!AC:AC,MATCH($D550,'卡片raw data'!$F:$F,)),0)+IF($P550=3,INDEX('卡片raw data'!AF:AF,MATCH($D550,'卡片raw data'!$F:$F,)),0)+IF($P550=4,INDEX('卡片raw data'!AI:AI,MATCH($D550,'卡片raw data'!$F:$F,)),0)+IF($P550=5,INDEX('卡片raw data'!AL:AL,MATCH($D550,'卡片raw data'!$F:$F,)),0)+INDEX('卡片raw data'!T:T,MATCH($D550,'卡片raw data'!$F:$F,))*(IF($F550="UR",0.04,0.033))*(IF($F550="UR",INDEX(绊状态确认!$S:$S,MATCH($G550,绊状态确认!$B:$B,))/2-40)+IF($F550="SR",INDEX(绊状态确认!$R:$R,MATCH($G550,绊状态确认!$B:$B,))/4-15))+IF($F550="R",INDEX(绊状态确认!$Q:$Q,MATCH($G550,绊状态确认!$B:$B,))/6-40/6)))*(INDEX(绊状态确认!$H:$H,MATCH($G550,绊状态确认!$B:$B,))+INDEX(绊状态确认!K:K,MATCH($G550,绊状态确认!$B:$B,)))</f>
        <v>5758.6388159999988</v>
      </c>
      <c r="AN550" s="1106">
        <f>IF($P550="","N/A",(IF($P550=-1,INDEX('卡片raw data'!U:U,MATCH($D550,'卡片raw data'!$F:$F,)),0)+IF($P550=0,INDEX('卡片raw data'!X:X,MATCH($D550,'卡片raw data'!$F:$F,)),0)+IF($P550=1,INDEX('卡片raw data'!AA:AA,MATCH($D550,'卡片raw data'!$F:$F,)),0)+IF($P550=2,INDEX('卡片raw data'!AD:AD,MATCH($D550,'卡片raw data'!$F:$F,)),0)+IF($P550=3,INDEX('卡片raw data'!AG:AG,MATCH($D550,'卡片raw data'!$F:$F,)),0)+IF($P550=4,INDEX('卡片raw data'!AJ:AJ,MATCH($D550,'卡片raw data'!$F:$F,)),0)+IF($P550=5,INDEX('卡片raw data'!AM:AM,MATCH($D550,'卡片raw data'!$F:$F,)),0)+INDEX('卡片raw data'!U:U,MATCH($D550,'卡片raw data'!$F:$F,))*(IF($F550="UR",0.04,0.033))*(IF($F550="UR",INDEX(绊状态确认!$S:$S,MATCH($G550,绊状态确认!$B:$B,))/2-40)+IF($F550="SR",INDEX(绊状态确认!$R:$R,MATCH($G550,绊状态确认!$B:$B,))/4-15))+IF($F550="R",INDEX(绊状态确认!$Q:$Q,MATCH($G550,绊状态确认!$B:$B,))/6-40/6)))*(INDEX(绊状态确认!$H:$H,MATCH($G550,绊状态确认!$B:$B,))+INDEX(绊状态确认!L:L,MATCH($G550,绊状态确认!$B:$B,)))</f>
        <v>17667.565343999995</v>
      </c>
      <c r="AO550" s="1107">
        <f t="shared" si="709"/>
        <v>1</v>
      </c>
      <c r="AP550" s="1131">
        <f>1+(INDEX(绊状态确认!$T:$T,MATCH($G550,绊状态确认!$B:$B,))+0.2)*$AO550</f>
        <v>1.3</v>
      </c>
      <c r="AQ550" s="1108">
        <f t="shared" si="710"/>
        <v>42564.928491999999</v>
      </c>
      <c r="AR550" s="1097">
        <f>(AM550*(1+$EX$9)+$EX$35)*(1+(INDEX(绊状态确认!$T:$T,MATCH($G550,绊状态确认!$B:$B,))+0.2)*AO550)*IF(J550=$FF$17,1+$FE$17,1)*IF(I550=$FF$14,1+$FE$14,1)</f>
        <v>10564.541983839999</v>
      </c>
      <c r="AS550" s="1097">
        <f>(AN550*(1+$EX$10)+$EX$36)*(1+(INDEX(绊状态确认!$T:$T,MATCH($G550,绊状态确认!$B:$B,))+0.2)*AO550)*IF(J550=$FF$17,1+$FE$17,1)*IF(I550=$FF$14,1+$FE$14,1)</f>
        <v>30469.01018927999</v>
      </c>
      <c r="AT550" s="1093">
        <f>IF(AND(INDEX('卡片raw data'!AK:AK,MATCH($D550,'卡片raw data'!$F:$F,))&lt;INDEX('卡片raw data'!AM:AM,MATCH($D550,'卡片raw data'!$F:$F,)),INDEX('卡片raw data'!AL:AL,MATCH($D550,'卡片raw data'!$F:$F,))&lt;INDEX('卡片raw data'!AM:AM,MATCH($D550,'卡片raw data'!$F:$F,))),1,0)</f>
        <v>1</v>
      </c>
      <c r="AU550" s="1098">
        <f>MIN(AT550*0.15+AS550*0.00003+INDEX(绊状态确认!M:M,MATCH($G550,绊状态确认!$B:$B,)),1)</f>
        <v>1</v>
      </c>
      <c r="AV550" s="1109">
        <f>(INDEX(绊状态确认!$N:$N,MATCH($G550,绊状态确认!$B:$B,))+1.5)*$EW$21</f>
        <v>2.6599999999999997</v>
      </c>
      <c r="AW550" s="1101">
        <f t="shared" si="711"/>
        <v>58801.838995488768</v>
      </c>
      <c r="AX550" s="1097">
        <f t="shared" si="712"/>
        <v>901.7330126081655</v>
      </c>
      <c r="AY550" s="1110">
        <f t="shared" si="713"/>
        <v>59703.572008096933</v>
      </c>
      <c r="AZ550" s="429">
        <f t="shared" si="714"/>
        <v>31805.375451199998</v>
      </c>
      <c r="BA550" s="431">
        <f t="shared" si="715"/>
        <v>38166.450541439997</v>
      </c>
      <c r="BB550" s="1097">
        <f>(AM550*(1+$FB$9)+$FB$35)*(1+(INDEX(绊状态确认!$T:$T,MATCH($G550,绊状态确认!$B:$B,))+0.2)*AO550)*IF(J550=$FF$17,1+$FE$17,1)*IF(I550=$FF$14,1+$FE$14,1)*(1+$FE$15)</f>
        <v>10564.541983839999</v>
      </c>
      <c r="BC550" s="1097">
        <f>(AN550*(1+$FB$10)+$FB$36)*(1+(INDEX(绊状态确认!$T:$T,MATCH($G550,绊状态确认!$B:$B,))+0.2)*AO550)*IF(J550=$FF$17,1+$FE$17,1)*IF(I550=$FF$14,1+$FE$14,1)*(1+$FE$15)</f>
        <v>30469.01018927999</v>
      </c>
      <c r="BD550" s="1104">
        <f>MIN(AT550*0.15+BC550*0.00003+INDEX(绊状态确认!M:M,MATCH($G550,绊状态确认!$B:$B,)),1)</f>
        <v>1</v>
      </c>
      <c r="BE550" s="432">
        <f>(INDEX(绊状态确认!$N:$N,MATCH($G550,绊状态确认!$B:$B,))+1.5)</f>
        <v>1.9</v>
      </c>
      <c r="BF550" s="1139">
        <f t="array" ref="BF550">SUMPRODUCT(IF(AZ550*AP550*$FI$16:$FI$23*$FA$22&gt;=$FI$24,$FI$24,AZ550*AP550*$FI$16:$FI$23*$FA$22),$FJ$16:$FJ$23)</f>
        <v>57913.903685876801</v>
      </c>
      <c r="BG550" s="1125">
        <f t="array" ref="BG550">SUMPRODUCT(IF(BE550*AZ550*AP550*$FI$16:$FI$23*$FA$22&gt;=$FI$24,$FI$24,BE550*AZ550*AP550*$FI$16:$FI$23*$FA$22),$FJ$16:$FJ$23)</f>
        <v>60000</v>
      </c>
      <c r="BH550" s="1110">
        <f t="shared" si="716"/>
        <v>20000</v>
      </c>
      <c r="BI550" s="1111">
        <f>IF(O550="vo",$EW$26/$EW$24*0.05,0)+IF(O550="sk",-$EW$26/$EW$24*(0.05-INDEX(绊状态确认!W:W,MATCH($G550,绊状态确认!$B:$B,)))+0.05*$EW$28,0)+IF(O550="sp",0.05*$EW$32*$EW$30*(1-$EW$33)-(0.05-INDEX(绊状态确认!V:V,MATCH($G550,绊状态确认!$B:$B,)))*$EW$28,0)+IF(O550="gd",-(0.05-INDEX(绊状态确认!X:X,MATCH($G550,绊状态确认!$B:$B,)))*$EW$32*$EW$30*(1-$EW$33),0)</f>
        <v>19.999999999999886</v>
      </c>
      <c r="BJ550" s="420">
        <f>IF(O550="vo",0.05*(1-$FI$26)*$FA$24,0)+IF(O550="sk",-(0.05-INDEX(绊状态确认!W:W,MATCH($G550,绊状态确认!$B:$B,)))*(1-$FI$26)*$FA$24+0.05*$FA$26,0)+IF(O550="sp",0.05*$FA$32*$FA$27*(1-$FA$33)/$FA$30+0.05*$FA$29/$FA$69*$FA$27*(1-$FA$33)-(0.05-INDEX(绊状态确认!V:V,MATCH($G550,绊状态确认!$B:$B,)))*$FA$26,0)+IF(O550="gd",-(0.05-INDEX(绊状态确认!X:X,MATCH($G550,绊状态确认!$B:$B,)))*$FA$32*$FA$27*(1-$FA$33)/$FA$30-(0.05-INDEX(绊状态确认!X:X,MATCH($G550,绊状态确认!$B:$B,)))*$FA$29/$FA$69*$FA$27*(1-$FA$33),0)</f>
        <v>545.83333333333326</v>
      </c>
      <c r="BK550" s="1110">
        <f>IF(O550="vo",$EW$26/$EW$24*0.05+$EW$26*(-HP($EW$62,$EW$65,$EW$64)+HP($EW$62,$EW$65,(1.05-INDEX(绊状态确认!U:U,MATCH($G550,绊状态确认!$B:$B,)))*$EW$64)),0)+IF(O550="sk",-$EW$26/$EW$24*(0.05-INDEX(绊状态确认!W:W,MATCH($G550,绊状态确认!$B:$B,)))+0.05*$EW$29,0)+IF(O550="sp",0.05*$EW$32*$EW$30*(1-$EW$33)-(0.05-INDEX(绊状态确认!V:V,MATCH($G550,绊状态确认!$B:$B,)))*$EW$29,0)+IF(O550="gd",-(0.05-INDEX(绊状态确认!X:X,MATCH($G550,绊状态确认!$B:$B,)))*$EW$32*$EW$30*(1-$EW$33)+$EW$26*(-HP($EW$62,$EW$65,$EW$64)+HP($EW$62,$EW$65,0.95*$EW$64)),0)</f>
        <v>-1780.0000000000005</v>
      </c>
      <c r="BL550" s="1111">
        <f t="shared" si="717"/>
        <v>0</v>
      </c>
      <c r="BM550" s="1110">
        <f t="shared" si="718"/>
        <v>0</v>
      </c>
      <c r="BN550" s="1113">
        <f t="shared" si="719"/>
        <v>4</v>
      </c>
      <c r="BO550" s="1108">
        <f t="shared" si="720"/>
        <v>6010.2953161679998</v>
      </c>
      <c r="BP550" s="1127">
        <f t="shared" si="721"/>
        <v>295.12137612040135</v>
      </c>
      <c r="BQ550" s="1113" t="s">
        <v>132</v>
      </c>
      <c r="BR550" s="1124" t="s">
        <v>171</v>
      </c>
      <c r="BS550" s="421">
        <f>IF($P550="","N/A",IF($P550=-1,INDEX('卡片raw data'!AX:AX,MATCH($D550,'卡片raw data'!$F:$F,)),0)+IF($L550="party卡",IF($P550=5,INDEX('卡片raw data'!BD:BD,MATCH($D550,'卡片raw data'!$F:$F,)),IF($P550&gt;=3,INDEX('卡片raw data'!BC:BC,MATCH($D550,'卡片raw data'!$F:$F,)),INDEX('卡片raw data'!BB:BB,MATCH($D550,'卡片raw data'!$F:$F,)))),IF(OR(AND($F550="UR",$P550=0),AND($F550="SR",$P550&gt;=0,$P550&lt;=2),AND($F550="R",$P550&gt;=0,$P550&lt;4)),INDEX('卡片raw data'!AZ:AZ,MATCH($D550,'卡片raw data'!$F:$F,)),0)+IF(OR(AND($F550="UR",$P550&gt;=1,$P550&lt;=4),AND($F550="SR",$P550&lt;=4,$P550&gt;=3),AND($F550="R",$P550=4)),INDEX('卡片raw data'!BA:BA,MATCH($D550,'卡片raw data'!$F:$F,)),0)+IF($P550=5,INDEX('卡片raw data'!BB:BB,MATCH($D550,'卡片raw data'!$F:$F,)),0)))</f>
        <v>5.1999999999999998E-2</v>
      </c>
      <c r="BT550" s="424">
        <f t="shared" si="722"/>
        <v>2604.4613036728001</v>
      </c>
      <c r="BU550" s="420">
        <f t="shared" si="723"/>
        <v>111.90018844565216</v>
      </c>
      <c r="BV550" s="420">
        <f t="shared" si="724"/>
        <v>1302.2306518363998</v>
      </c>
      <c r="BW550" s="436">
        <f t="shared" si="725"/>
        <v>0</v>
      </c>
      <c r="BX550" s="423">
        <f t="shared" si="726"/>
        <v>2604.4613036728001</v>
      </c>
      <c r="BY550" s="433">
        <f t="shared" si="727"/>
        <v>1302.2306518363998</v>
      </c>
      <c r="BZ550" s="1113" t="s">
        <v>134</v>
      </c>
      <c r="CA550" s="450" t="s">
        <v>171</v>
      </c>
      <c r="CB550" s="421">
        <f>IF($P550="","N/A",IF($P550=-1,INDEX('卡片raw data'!BE:BE,MATCH($D550,'卡片raw data'!$F:$F,)),0)+IF($L550="party卡",IF($P550=5,INDEX('卡片raw data'!BK:BK,MATCH($D550,'卡片raw data'!$F:$F,)),IF($P550&gt;=3,INDEX('卡片raw data'!BJ:BJ,MATCH($D550,'卡片raw data'!$F:$F,)),INDEX('卡片raw data'!BI:BI,MATCH($D550,'卡片raw data'!$F:$F,)))),IF(OR(AND($F550="UR",$P550=0),AND($F550="SR",$P550&gt;=0,$P550&lt;=2),AND($F550="R",$P550&gt;=0,$P550&lt;4)),INDEX('卡片raw data'!BG:BG,MATCH($D550,'卡片raw data'!$F:$F,)),0)+IF(OR(AND($F550="UR",$P550&gt;=1,$P550&lt;=4),AND($F550="SR",$P550&lt;=4,$P550&gt;=3),AND($F550="R",$P550=4)),INDEX('卡片raw data'!BH:BH,MATCH($D550,'卡片raw data'!$F:$F,)),0)+IF($P550=5,INDEX('卡片raw data'!BI:BI,MATCH($D550,'卡片raw data'!$F:$F,)),0)))</f>
        <v>2.5999999999999999E-2</v>
      </c>
      <c r="CC550" s="424">
        <f>IF(BZ550="ap",CB550*$EX$5/$EX$11*(+IF(CA550="全员",$EW$26,0)+IF(CA550="同作战",$EW$26,0)+IF(CA550="仲间",$EW$26*2/3,0)+IF(CA550="同属性",$EW$26*$EW$37/3,0)+IF(CA550="同年级",$EW$26*$EW$40/3,0)+IF(CA550="同学校",$EW$26*$EW$43/3,0)+IF(CA550="同小队",$EW$26*$EW$46/3,0)+IF(CA550="同type",$EW$26*INDEX($EX$49:$EX$52,MATCH(X550,$EW$49:$EW$52,))/3,0)+IF(CA550="自身",$AW550,0)),0)+IF(BZ550="te",CB550*($EW$22-1)*0.00003*$EX$7/$EX$13*(+IF(CA550="全员",$EX$18*$EW$26/(1+($EW$22-1)*$EW$19),0)+IF(CA550="同作战",$EX$18*$EW$26/(1+($EW$22-1)*$EW$19),0)+IF(CA550="仲间",$EX$18*$EW$26/(1+($EW$22-1)*$EW$19)*2/3,0)+IF(CA550="同属性",$EX$18*$EW$26/(1+($EW$22-1)*$EW$19)*$EW$37/3,0)+IF(CA550="同年级",$EX$18*$EW$26/(1+($EW$22-1)*$EW$19)*$EW$40/3,0)+IF(CA550="同学校",$EX$18*$EW$26/(1+($EW$22-1)*$EW$19)*$EW$43/3,0)+IF(CA550="同小队",$EX$18*$EW$26/(1+($EW$22-1)*$EW$19)*$EW$46/3,0)+IF(CA550="同type",$EX$18*$EW$26/(1+($EW$22-1)*$EW$19)*INDEX($EX$49:$EX$52,MATCH(X550,$EW$49:$EW$52,))/3,0)+IF(CA550="自身",$AS550*$AW550/(1+(BE550-1)*$AU550),0)),0)</f>
        <v>1226.2631687468233</v>
      </c>
      <c r="CD550" s="420">
        <f>IF(BZ550="ap",CB550*(1-$FI$26)*$FB$5/$FB$11*(+IF(CA550="全员",$FA$24,0)+IF(CA550="同作战",$FA$24,0)+IF(CA550="仲间",$FA$24*2/3,0)+IF(CA550="同属性",$FA$24*$FA$37/3,0)+IF(CA550="同年级",$FA$24*$FA$40/3,0)+IF(CA550="同学校",$FA$24*$FA$43/3,0)+IF(CA550="同小队",$FA$24*$FA$46/3,0)+IF(CA550="同type",$FA$24*INDEX($FB$49:$FB$52,MATCH(X550,$FA$49:$FA$52,))/3,0)+IF(CA550="自身",BQ550/3,0)),0)+IF(BZ550="te",CB550*(1-$FI$27)*($FA$20-1)*$FB$7/$FB$13*(+IF(CA550="全员",$FA$19*$FA$24/(1+($FA$20-1)*$FA$19),0)+IF(CA550="同作战",$FA$19*$FA$24/(1+($FA$20-1)*$FA$19),0)+IF(CA550="仲间",$FA$19*$FA$24*2/3/(1+($FA$20-1)*$FA$19),0)+IF(CA550="同属性",$FA$19*$FA$24*$FA$37/3/(1+($FA$20-1)*$FA$19),0)+IF(CA550="同年级",$FA$19*$FA$24*$FA$40/3/(1+($FA$20-1)*$FA$19),0)+IF(CA550="同学校",$FA$19*$FA$24*$FA$43/3/(1+($FA$20-1)*$FA$19),0)+IF(CA550="同小队",$FA$19*$FA$24*$FA$46/3/(1+($FA$20-1)*$FA$19),0)+IF(CA550="同type",$FA$19*$FA$24*INDEX($FB$49:$FB$52,MATCH(X550,$FA$49:$FA$52,))/3/(1+($FA$20-1)*$FA$19),0)+IF(CA550="自身",$FA$19*BQ550/3/(1+(BE550-1)*$BD550),0)),0)</f>
        <v>77.612095182184547</v>
      </c>
      <c r="CE550" s="420">
        <f t="shared" si="729"/>
        <v>613.13158437341167</v>
      </c>
      <c r="CF550" s="436">
        <f>IF(BZ550="st",CB550*$EX$6/$EX$12*(+IF(CA550="全员",$EX$17*9,0)+IF(CA550="仲间",$EX$17*8,0)+IF(CA550="同作战",$EX$17*3,0)+IF(CA550="同属性",$EX$17*$EW$39,0)+IF(CA550="同年级",$EX$17*$EW$42,0)+IF(CA550="同学校",$EX$17*$EW$45,0)+IF(CA550="同小队",$EX$17*$EW$48,0)+IF(CA550="同type",$EX$17*INDEX($EX$57:$EX$60,MATCH(X550,$EW$57:$EW$60,)),0)+IF(CA550="自身",$AR550)),0)/$EW$65*$EW$78</f>
        <v>0</v>
      </c>
      <c r="CG550" s="423">
        <f t="shared" si="731"/>
        <v>1226.2631687468233</v>
      </c>
      <c r="CH550" s="433">
        <f t="shared" si="732"/>
        <v>613.13158437341167</v>
      </c>
      <c r="CI550" s="1113"/>
      <c r="CJ550" s="1114"/>
      <c r="CK550" s="1115" t="s">
        <v>4522</v>
      </c>
      <c r="CL550" s="1115"/>
      <c r="CM550" s="1119"/>
      <c r="CN550" s="1115"/>
      <c r="CO550" s="1092"/>
      <c r="CP550" s="1117">
        <f t="shared" si="733"/>
        <v>0</v>
      </c>
      <c r="CQ550" s="1117">
        <f t="shared" si="734"/>
        <v>0</v>
      </c>
      <c r="CR550" s="1117">
        <f t="shared" si="735"/>
        <v>0</v>
      </c>
      <c r="CS550" s="1118">
        <f t="shared" si="736"/>
        <v>0</v>
      </c>
      <c r="CT550" s="1109">
        <f t="shared" si="737"/>
        <v>0</v>
      </c>
      <c r="CU550" s="1101">
        <f t="shared" si="738"/>
        <v>0</v>
      </c>
      <c r="CV550" s="1108">
        <f t="shared" si="777"/>
        <v>0</v>
      </c>
      <c r="CW550" s="1097">
        <f t="shared" si="739"/>
        <v>0</v>
      </c>
      <c r="CX550" s="1097">
        <f t="shared" si="740"/>
        <v>0</v>
      </c>
      <c r="CY550" s="1110">
        <f t="shared" si="741"/>
        <v>0</v>
      </c>
      <c r="CZ550" s="437"/>
      <c r="DA550" s="438"/>
      <c r="DB550" s="439" t="s">
        <v>569</v>
      </c>
      <c r="DC550" s="439"/>
      <c r="DD550" s="443"/>
      <c r="DE550" s="411"/>
      <c r="DF550" s="411"/>
      <c r="DG550" s="1116">
        <f t="shared" si="742"/>
        <v>0</v>
      </c>
      <c r="DH550" s="1116">
        <f t="shared" si="743"/>
        <v>0</v>
      </c>
      <c r="DI550" s="1116">
        <f t="shared" si="744"/>
        <v>0</v>
      </c>
      <c r="DJ550" s="442">
        <f t="shared" si="745"/>
        <v>0</v>
      </c>
      <c r="DK550" s="432">
        <f t="shared" si="746"/>
        <v>0</v>
      </c>
      <c r="DL550" s="424">
        <f t="shared" si="747"/>
        <v>0</v>
      </c>
      <c r="DM550" s="420">
        <f t="shared" si="748"/>
        <v>0</v>
      </c>
      <c r="DN550" s="420">
        <f t="shared" si="749"/>
        <v>0</v>
      </c>
      <c r="DO550" s="420">
        <f t="shared" si="750"/>
        <v>0</v>
      </c>
      <c r="DP550" s="433">
        <f t="shared" si="751"/>
        <v>0</v>
      </c>
      <c r="DQ550" s="1113" t="s">
        <v>549</v>
      </c>
      <c r="DR550" s="1120">
        <f t="shared" si="773"/>
        <v>0.33</v>
      </c>
      <c r="DS550" s="1124"/>
      <c r="DT550" s="1124" t="s">
        <v>179</v>
      </c>
      <c r="DU550" s="1124"/>
      <c r="DV550" s="1098">
        <f>IF($P550="","N/A",IF(P550=-1,INDEX('卡片raw data'!AN:AN,MATCH(D550,'卡片raw data'!$F:$F,)),0)+IF(AND(L550&lt;&gt;"party卡",P550&lt;=2,P550&gt;=0),INDEX('卡片raw data'!AP:AP,MATCH(D550,'卡片raw data'!$F:$F,)),0)+IF(OR(AND(L550="party卡",P550&lt;=1),AND(P550&lt;=4,L550&lt;&gt;"party卡",P550&gt;=3)),INDEX('卡片raw data'!AQ:AQ,MATCH(D550,'卡片raw data'!$F:$F,)),0)+IF(OR(P550=5,AND(L550="party卡",P550&gt;=2)),INDEX('卡片raw data'!AR:AR,MATCH(D550,'卡片raw data'!$F:$F,)),0))</f>
        <v>0.09</v>
      </c>
      <c r="DW550" s="1098">
        <f t="shared" si="752"/>
        <v>0.33</v>
      </c>
      <c r="DX550" s="1098">
        <f t="shared" si="753"/>
        <v>0.33</v>
      </c>
      <c r="DY550" s="1098">
        <f t="shared" si="754"/>
        <v>9.9000000000000008E-3</v>
      </c>
      <c r="DZ550" s="1098">
        <f t="shared" si="755"/>
        <v>9.8480249999999998E-3</v>
      </c>
      <c r="EA550" s="421">
        <f t="shared" si="756"/>
        <v>0</v>
      </c>
      <c r="EB550" s="445">
        <f t="shared" si="757"/>
        <v>60.337777499999987</v>
      </c>
      <c r="EC550" s="424">
        <f t="shared" si="758"/>
        <v>4455</v>
      </c>
      <c r="ED550" s="420">
        <f t="shared" si="759"/>
        <v>2462.0062499999999</v>
      </c>
      <c r="EE550" s="433">
        <f t="shared" si="775"/>
        <v>4455</v>
      </c>
      <c r="EF550" s="1113" t="s">
        <v>569</v>
      </c>
      <c r="EG550" s="1120">
        <f t="shared" si="774"/>
        <v>0.33</v>
      </c>
      <c r="EH550" s="450"/>
      <c r="EI550" s="1124"/>
      <c r="EJ550" s="1124"/>
      <c r="EK550" s="420">
        <f>IF($P550="","N/A",IF(P550=-1,INDEX('卡片raw data'!AS:AS,MATCH(D550,'卡片raw data'!$F:$F,)),0)+IF(AND(L550&lt;&gt;"party卡",P550&lt;=2,P550&gt;=0),INDEX('卡片raw data'!AU:AU,MATCH(D550,'卡片raw data'!$F:$F,)),0)+IF(OR(AND(L550="party卡",P550&lt;=1),AND(P550&lt;=4,L550&lt;&gt;"party卡",P550&gt;=3)),INDEX('卡片raw data'!AV:AV,MATCH(D550,'卡片raw data'!$F:$F,)),0)+IF(OR(P550=5,AND(L550="party卡",P550&gt;=2)),INDEX('卡片raw data'!AW:AW,MATCH(D550,'卡片raw data'!$F:$F,)),0))</f>
        <v>0</v>
      </c>
      <c r="EL550" s="1098">
        <f t="shared" si="760"/>
        <v>0.33</v>
      </c>
      <c r="EM550" s="1098">
        <f t="shared" si="761"/>
        <v>0.33</v>
      </c>
      <c r="EN550" s="1097">
        <f t="shared" si="762"/>
        <v>0</v>
      </c>
      <c r="EO550" s="1097">
        <f t="shared" si="763"/>
        <v>0</v>
      </c>
      <c r="EP550" s="421">
        <f t="shared" si="764"/>
        <v>0</v>
      </c>
      <c r="EQ550" s="445">
        <f t="shared" si="765"/>
        <v>0</v>
      </c>
      <c r="ER550" s="424">
        <f t="shared" si="766"/>
        <v>0</v>
      </c>
      <c r="ES550" s="420">
        <f t="shared" si="767"/>
        <v>0</v>
      </c>
      <c r="ET550" s="446">
        <f t="shared" si="776"/>
        <v>0</v>
      </c>
    </row>
    <row r="551" spans="2:150" ht="16.5" customHeight="1">
      <c r="B551" s="1123" t="str">
        <f>INDEX('卡片raw data'!B:B,MATCH($D551,'卡片raw data'!$F:$F,))</f>
        <v>aa鸟</v>
      </c>
      <c r="C551" s="449" t="s">
        <v>4520</v>
      </c>
      <c r="D551" s="408">
        <v>548</v>
      </c>
      <c r="E551" s="477">
        <v>200032002</v>
      </c>
      <c r="F551" s="409" t="str">
        <f>INDEX('卡片raw data'!C:C,MATCH($D551,'卡片raw data'!$F:$F,))</f>
        <v>SR</v>
      </c>
      <c r="G551" s="1094" t="s">
        <v>4530</v>
      </c>
      <c r="H551" s="411">
        <f>IFERROR(INDEX(绊状态确认!C:C,MATCH($G551,绊状态确认!$B:$B,)),"")</f>
        <v>3</v>
      </c>
      <c r="I551" s="1124" t="str">
        <f>IFERROR(INDEX(绊状态确认!D:D,MATCH($G551,绊状态确认!$B:$B,)),"")</f>
        <v>缪</v>
      </c>
      <c r="J551" s="1124" t="str">
        <f>IFERROR(INDEX(绊状态确认!E:E,MATCH($G551,绊状态确认!$B:$B,)),"")</f>
        <v>2年级</v>
      </c>
      <c r="K551" s="451" t="str">
        <f>IFERROR(INDEX(绊状态确认!F:F,MATCH($G551,绊状态确认!$B:$B,)),"")</f>
        <v>Printemps</v>
      </c>
      <c r="L551" s="414" t="str">
        <f>INDEX('卡片raw data'!E:E,MATCH($D551,'卡片raw data'!$F:$F,))</f>
        <v>卡池卡</v>
      </c>
      <c r="M551" s="478">
        <v>44465</v>
      </c>
      <c r="N551" s="479">
        <v>48.5</v>
      </c>
      <c r="O551" s="410" t="str">
        <f>INDEX('卡片raw data'!D:D,MATCH($D551,'卡片raw data'!$F:$F,))</f>
        <v>sk</v>
      </c>
      <c r="P551" s="1126">
        <v>5</v>
      </c>
      <c r="Q551" s="418">
        <f t="shared" si="688"/>
        <v>26241.517422442976</v>
      </c>
      <c r="R551" s="419">
        <f t="shared" si="689"/>
        <v>0.30499999999999999</v>
      </c>
      <c r="S551" s="420">
        <f t="shared" si="690"/>
        <v>17265.002753193381</v>
      </c>
      <c r="T551" s="421">
        <f t="shared" si="691"/>
        <v>0.86299999999999999</v>
      </c>
      <c r="U551" s="422">
        <f t="shared" si="692"/>
        <v>567.03015490496352</v>
      </c>
      <c r="V551" s="423">
        <f t="shared" si="693"/>
        <v>77499.041566168322</v>
      </c>
      <c r="W551" s="424">
        <f t="shared" si="694"/>
        <v>5264.6592371315501</v>
      </c>
      <c r="X551" s="419">
        <f t="shared" si="695"/>
        <v>6.0999999999999999E-2</v>
      </c>
      <c r="Y551" s="420">
        <f t="shared" si="696"/>
        <v>822.49305410159741</v>
      </c>
      <c r="Z551" s="425">
        <f t="shared" si="697"/>
        <v>10.345059393072855</v>
      </c>
      <c r="AA551" s="426">
        <f t="shared" si="698"/>
        <v>6087.1522912331475</v>
      </c>
      <c r="AB551" s="424">
        <f t="shared" si="699"/>
        <v>6019.2827255911343</v>
      </c>
      <c r="AC551" s="427">
        <f t="shared" si="700"/>
        <v>6.9000000000000006E-2</v>
      </c>
      <c r="AD551" s="428">
        <f t="shared" si="701"/>
        <v>1.8994224431818179E-2</v>
      </c>
      <c r="AE551" s="516">
        <f t="shared" si="702"/>
        <v>4.3537577047458456</v>
      </c>
      <c r="AF551" s="1130">
        <f t="shared" si="703"/>
        <v>8600.6374544694227</v>
      </c>
      <c r="AG551" s="420">
        <f t="shared" si="704"/>
        <v>106777.08623313201</v>
      </c>
      <c r="AH551" s="420">
        <f t="shared" si="705"/>
        <v>12.415020025945175</v>
      </c>
      <c r="AI551" s="1097">
        <f t="shared" si="706"/>
        <v>105864.86972008135</v>
      </c>
      <c r="AJ551" s="420">
        <f t="shared" si="707"/>
        <v>77499.041566168322</v>
      </c>
      <c r="AK551" s="518">
        <f t="shared" si="708"/>
        <v>28365.828153913026</v>
      </c>
      <c r="AL551" s="1106">
        <f>IF($P551="","N/A",(IF($P551=-1,INDEX('卡片raw data'!S:S,MATCH($D551,'卡片raw data'!$F:$F,)),0)+IF($P551=0,INDEX('卡片raw data'!V:V,MATCH($D551,'卡片raw data'!$F:$F,)),0)+IF($P551=1,INDEX('卡片raw data'!Y:Y,MATCH($D551,'卡片raw data'!$F:$F,)),0)+IF($P551=2,INDEX('卡片raw data'!AB:AB,MATCH($D551,'卡片raw data'!$F:$F,)),0)+IF($P551=3,INDEX('卡片raw data'!AE:AE,MATCH($D551,'卡片raw data'!$F:$F,)),0)+IF($P551=4,INDEX('卡片raw data'!AH:AH,MATCH($D551,'卡片raw data'!$F:$F,)),0)+IF($P551=5,INDEX('卡片raw data'!AK:AK,MATCH($D551,'卡片raw data'!$F:$F,)),0)+INDEX('卡片raw data'!S:S,MATCH($D551,'卡片raw data'!$F:$F,))*(IF($F551="UR",0.04,0.033))*(IF($F551="UR",INDEX(绊状态确认!$S:$S,MATCH($G551,绊状态确认!$B:$B,))/2-40)+IF($F551="SR",INDEX(绊状态确认!$R:$R,MATCH($G551,绊状态确认!$B:$B,))/4-15))+IF($F551="R",INDEX(绊状态确认!$Q:$Q,MATCH($G551,绊状态确认!$B:$B,))/6-40/6)))*(INDEX(绊状态确认!$H:$H,MATCH($G551,绊状态确认!$B:$B,))+INDEX(绊状态确认!J:J,MATCH($G551,绊状态确认!$B:$B,)))</f>
        <v>7641.1990559999986</v>
      </c>
      <c r="AM551" s="1106">
        <f>IF($P551="","N/A",(IF($P551=-1,INDEX('卡片raw data'!T:T,MATCH($D551,'卡片raw data'!$F:$F,)),0)+IF($P551=0,INDEX('卡片raw data'!W:W,MATCH($D551,'卡片raw data'!$F:$F,)),0)+IF($P551=1,INDEX('卡片raw data'!Z:Z,MATCH($D551,'卡片raw data'!$F:$F,)),0)+IF($P551=2,INDEX('卡片raw data'!AC:AC,MATCH($D551,'卡片raw data'!$F:$F,)),0)+IF($P551=3,INDEX('卡片raw data'!AF:AF,MATCH($D551,'卡片raw data'!$F:$F,)),0)+IF($P551=4,INDEX('卡片raw data'!AI:AI,MATCH($D551,'卡片raw data'!$F:$F,)),0)+IF($P551=5,INDEX('卡片raw data'!AL:AL,MATCH($D551,'卡片raw data'!$F:$F,)),0)+INDEX('卡片raw data'!T:T,MATCH($D551,'卡片raw data'!$F:$F,))*(IF($F551="UR",0.04,0.033))*(IF($F551="UR",INDEX(绊状态确认!$S:$S,MATCH($G551,绊状态确认!$B:$B,))/2-40)+IF($F551="SR",INDEX(绊状态确认!$R:$R,MATCH($G551,绊状态确认!$B:$B,))/4-15))+IF($F551="R",INDEX(绊状态确认!$Q:$Q,MATCH($G551,绊状态确认!$B:$B,))/6-40/6)))*(INDEX(绊状态确认!$H:$H,MATCH($G551,绊状态确认!$B:$B,))+INDEX(绊状态确认!K:K,MATCH($G551,绊状态确认!$B:$B,)))</f>
        <v>5092.5925031999986</v>
      </c>
      <c r="AN551" s="1106">
        <f>IF($P551="","N/A",(IF($P551=-1,INDEX('卡片raw data'!U:U,MATCH($D551,'卡片raw data'!$F:$F,)),0)+IF($P551=0,INDEX('卡片raw data'!X:X,MATCH($D551,'卡片raw data'!$F:$F,)),0)+IF($P551=1,INDEX('卡片raw data'!AA:AA,MATCH($D551,'卡片raw data'!$F:$F,)),0)+IF($P551=2,INDEX('卡片raw data'!AD:AD,MATCH($D551,'卡片raw data'!$F:$F,)),0)+IF($P551=3,INDEX('卡片raw data'!AG:AG,MATCH($D551,'卡片raw data'!$F:$F,)),0)+IF($P551=4,INDEX('卡片raw data'!AJ:AJ,MATCH($D551,'卡片raw data'!$F:$F,)),0)+IF($P551=5,INDEX('卡片raw data'!AM:AM,MATCH($D551,'卡片raw data'!$F:$F,)),0)+INDEX('卡片raw data'!U:U,MATCH($D551,'卡片raw data'!$F:$F,))*(IF($F551="UR",0.04,0.033))*(IF($F551="UR",INDEX(绊状态确认!$S:$S,MATCH($G551,绊状态确认!$B:$B,))/2-40)+IF($F551="SR",INDEX(绊状态确认!$R:$R,MATCH($G551,绊状态确认!$B:$B,))/4-15))+IF($F551="R",INDEX(绊状态确认!$Q:$Q,MATCH($G551,绊状态确认!$B:$B,))/6-40/6)))*(INDEX(绊状态确认!$H:$H,MATCH($G551,绊状态确认!$B:$B,))+INDEX(绊状态确认!L:L,MATCH($G551,绊状态确认!$B:$B,)))</f>
        <v>10421.510750399999</v>
      </c>
      <c r="AO551" s="1107">
        <f t="shared" si="709"/>
        <v>1</v>
      </c>
      <c r="AP551" s="1131">
        <f>1+(INDEX(绊状态确认!$T:$T,MATCH($G551,绊状态确认!$B:$B,))+0.2)*$AO551</f>
        <v>1.3</v>
      </c>
      <c r="AQ551" s="1108">
        <f t="shared" si="710"/>
        <v>23308.147521999999</v>
      </c>
      <c r="AR551" s="1097">
        <f>(AM551*(1+$EX$9)+$EX$35)*(1+(INDEX(绊状态确认!$T:$T,MATCH($G551,绊状态确认!$B:$B,))+0.2)*AO551)*IF(J551=$FF$17,1+$FE$17,1)*IF(I551=$FF$14,1+$FE$14,1)</f>
        <v>9655.3887668679981</v>
      </c>
      <c r="AS551" s="1097">
        <f>(AN551*(1+$EX$10)+$EX$36)*(1+(INDEX(绊状态确认!$T:$T,MATCH($G551,绊状态确认!$B:$B,))+0.2)*AO551)*IF(J551=$FF$17,1+$FE$17,1)*IF(I551=$FF$14,1+$FE$14,1)</f>
        <v>19636.158571847998</v>
      </c>
      <c r="AT551" s="1093">
        <f>IF(AND(INDEX('卡片raw data'!AK:AK,MATCH($D551,'卡片raw data'!$F:$F,))&lt;INDEX('卡片raw data'!AM:AM,MATCH($D551,'卡片raw data'!$F:$F,)),INDEX('卡片raw data'!AL:AL,MATCH($D551,'卡片raw data'!$F:$F,))&lt;INDEX('卡片raw data'!AM:AM,MATCH($D551,'卡片raw data'!$F:$F,))),1,0)</f>
        <v>1</v>
      </c>
      <c r="AU551" s="1098">
        <f>MIN(AT551*0.15+AS551*0.00003+INDEX(绊状态确认!M:M,MATCH($G551,绊状态确认!$B:$B,)),1)</f>
        <v>0.76908475715544</v>
      </c>
      <c r="AV551" s="1109">
        <f>(INDEX(绊状态确认!$N:$N,MATCH($G551,绊状态确认!$B:$B,))+1.5)*$EW$21</f>
        <v>2.6599999999999997</v>
      </c>
      <c r="AW551" s="1101">
        <f t="shared" si="711"/>
        <v>27559.24066515511</v>
      </c>
      <c r="AX551" s="1097">
        <f t="shared" si="712"/>
        <v>822.49305410159729</v>
      </c>
      <c r="AY551" s="1110">
        <f t="shared" si="713"/>
        <v>28381.733719256707</v>
      </c>
      <c r="AZ551" s="429">
        <f t="shared" si="714"/>
        <v>17500.338159199997</v>
      </c>
      <c r="BA551" s="431">
        <f t="shared" si="715"/>
        <v>21000.405791039997</v>
      </c>
      <c r="BB551" s="1097">
        <f>(AM551*(1+$FB$9)+$FB$35)*(1+(INDEX(绊状态确认!$T:$T,MATCH($G551,绊状态确认!$B:$B,))+0.2)*AO551)*IF(J551=$FF$17,1+$FE$17,1)*IF(I551=$FF$14,1+$FE$14,1)*(1+$FE$15)</f>
        <v>9655.3887668679981</v>
      </c>
      <c r="BC551" s="1097">
        <f>(AN551*(1+$FB$10)+$FB$36)*(1+(INDEX(绊状态确认!$T:$T,MATCH($G551,绊状态确认!$B:$B,))+0.2)*AO551)*IF(J551=$FF$17,1+$FE$17,1)*IF(I551=$FF$14,1+$FE$14,1)*(1+$FE$15)</f>
        <v>19636.158571847998</v>
      </c>
      <c r="BD551" s="1104">
        <f>MIN(AT551*0.15+BC551*0.00003+INDEX(绊状态确认!M:M,MATCH($G551,绊状态确认!$B:$B,)),1)</f>
        <v>0.76908475715544</v>
      </c>
      <c r="BE551" s="432">
        <f>(INDEX(绊状态确认!$N:$N,MATCH($G551,绊状态确认!$B:$B,))+1.5)</f>
        <v>1.9</v>
      </c>
      <c r="BF551" s="1139">
        <f t="array" ref="BF551">SUMPRODUCT(IF(AZ551*AP551*$FI$16:$FI$23*$FA$22&gt;=$FI$24,$FI$24,AZ551*AP551*$FI$16:$FI$23*$FA$22),$FJ$16:$FJ$23)</f>
        <v>34808.172598648802</v>
      </c>
      <c r="BG551" s="1125">
        <f t="array" ref="BG551">SUMPRODUCT(IF(BE551*AZ551*AP551*$FI$16:$FI$23*$FA$22&gt;=$FI$24,$FI$24,BE551*AZ551*AP551*$FI$16:$FI$23*$FA$22),$FJ$16:$FJ$23)</f>
        <v>58806.458813306002</v>
      </c>
      <c r="BH551" s="1110">
        <f t="shared" si="716"/>
        <v>17754.962908065059</v>
      </c>
      <c r="BI551" s="1111">
        <f>IF(O551="vo",$EW$26/$EW$24*0.05,0)+IF(O551="sk",-$EW$26/$EW$24*(0.05-INDEX(绊状态确认!W:W,MATCH($G551,绊状态确认!$B:$B,)))+0.05*$EW$28,0)+IF(O551="sp",0.05*$EW$32*$EW$30*(1-$EW$33)-(0.05-INDEX(绊状态确认!V:V,MATCH($G551,绊状态确认!$B:$B,)))*$EW$28,0)+IF(O551="gd",-(0.05-INDEX(绊状态确认!X:X,MATCH($G551,绊状态确认!$B:$B,)))*$EW$32*$EW$30*(1-$EW$33),0)</f>
        <v>-6253.6726349699375</v>
      </c>
      <c r="BJ551" s="420">
        <f>IF(O551="vo",0.05*(1-$FI$26)*$FA$24,0)+IF(O551="sk",-(0.05-INDEX(绊状态确认!W:W,MATCH($G551,绊状态确认!$B:$B,)))*(1-$FI$26)*$FA$24+0.05*$FA$26,0)+IF(O551="sp",0.05*$FA$32*$FA$27*(1-$FA$33)/$FA$30+0.05*$FA$29/$FA$69*$FA$27*(1-$FA$33)-(0.05-INDEX(绊状态确认!V:V,MATCH($G551,绊状态确认!$B:$B,)))*$FA$26,0)+IF(O551="gd",-(0.05-INDEX(绊状态确认!X:X,MATCH($G551,绊状态确认!$B:$B,)))*$FA$32*$FA$27*(1-$FA$33)/$FA$30-(0.05-INDEX(绊状态确认!X:X,MATCH($G551,绊状态确认!$B:$B,)))*$FA$29/$FA$69*$FA$27*(1-$FA$33),0)</f>
        <v>20.459096812499922</v>
      </c>
      <c r="BK551" s="1110">
        <f>IF(O551="vo",$EW$26/$EW$24*0.05+$EW$26*(-HP($EW$62,$EW$65,$EW$64)+HP($EW$62,$EW$65,(1.05-INDEX(绊状态确认!U:U,MATCH($G551,绊状态确认!$B:$B,)))*$EW$64)),0)+IF(O551="sk",-$EW$26/$EW$24*(0.05-INDEX(绊状态确认!W:W,MATCH($G551,绊状态确认!$B:$B,)))+0.05*$EW$29,0)+IF(O551="sp",0.05*$EW$32*$EW$30*(1-$EW$33)-(0.05-INDEX(绊状态确认!V:V,MATCH($G551,绊状态确认!$B:$B,)))*$EW$29,0)+IF(O551="gd",-(0.05-INDEX(绊状态确认!X:X,MATCH($G551,绊状态确认!$B:$B,)))*$EW$32*$EW$30*(1-$EW$33)+$EW$26*(-HP($EW$62,$EW$65,$EW$64)+HP($EW$62,$EW$65,0.95*$EW$64)),0)</f>
        <v>-4253.6726349699375</v>
      </c>
      <c r="BL551" s="1111">
        <f t="shared" si="717"/>
        <v>-1083.3333333333333</v>
      </c>
      <c r="BM551" s="1110">
        <f t="shared" si="718"/>
        <v>-830.55555555555543</v>
      </c>
      <c r="BN551" s="1113">
        <f t="shared" si="719"/>
        <v>3</v>
      </c>
      <c r="BO551" s="1108">
        <f t="shared" si="720"/>
        <v>4507.7214871259994</v>
      </c>
      <c r="BP551" s="1127">
        <f t="shared" si="721"/>
        <v>221.34103209030098</v>
      </c>
      <c r="BQ551" s="1113" t="s">
        <v>134</v>
      </c>
      <c r="BR551" s="1124" t="s">
        <v>171</v>
      </c>
      <c r="BS551" s="421">
        <f>IF($P551="","N/A",IF($P551=-1,INDEX('卡片raw data'!AX:AX,MATCH($D551,'卡片raw data'!$F:$F,)),0)+IF($L551="party卡",IF($P551=5,INDEX('卡片raw data'!BD:BD,MATCH($D551,'卡片raw data'!$F:$F,)),IF($P551&gt;=3,INDEX('卡片raw data'!BC:BC,MATCH($D551,'卡片raw data'!$F:$F,)),INDEX('卡片raw data'!BB:BB,MATCH($D551,'卡片raw data'!$F:$F,)))),IF(OR(AND($F551="UR",$P551=0),AND($F551="SR",$P551&gt;=0,$P551&lt;=2),AND($F551="R",$P551&gt;=0,$P551&lt;4)),INDEX('卡片raw data'!AZ:AZ,MATCH($D551,'卡片raw data'!$F:$F,)),0)+IF(OR(AND($F551="UR",$P551&gt;=1,$P551&lt;=4),AND($F551="SR",$P551&lt;=4,$P551&gt;=3),AND($F551="R",$P551=4)),INDEX('卡片raw data'!BA:BA,MATCH($D551,'卡片raw data'!$F:$F,)),0)+IF($P551=5,INDEX('卡片raw data'!BB:BB,MATCH($D551,'卡片raw data'!$F:$F,)),0)))</f>
        <v>3.2000000000000001E-2</v>
      </c>
      <c r="BT551" s="424">
        <f t="shared" si="722"/>
        <v>1509.2469769191675</v>
      </c>
      <c r="BU551" s="420">
        <f t="shared" si="723"/>
        <v>95.522578685765595</v>
      </c>
      <c r="BV551" s="420">
        <f t="shared" si="724"/>
        <v>754.62348845958354</v>
      </c>
      <c r="BW551" s="436">
        <f t="shared" si="725"/>
        <v>0</v>
      </c>
      <c r="BX551" s="423">
        <f t="shared" si="726"/>
        <v>1509.2469769191675</v>
      </c>
      <c r="BY551" s="433">
        <f t="shared" si="727"/>
        <v>754.62348845958354</v>
      </c>
      <c r="BZ551" s="1113" t="s">
        <v>569</v>
      </c>
      <c r="CA551" s="1124"/>
      <c r="CB551" s="421">
        <f>IF($P551="","N/A",IF($P551=-1,INDEX('卡片raw data'!BE:BE,MATCH($D551,'卡片raw data'!$F:$F,)),0)+IF($L551="party卡",IF($P551=5,INDEX('卡片raw data'!BK:BK,MATCH($D551,'卡片raw data'!$F:$F,)),IF($P551&gt;=3,INDEX('卡片raw data'!BJ:BJ,MATCH($D551,'卡片raw data'!$F:$F,)),INDEX('卡片raw data'!BI:BI,MATCH($D551,'卡片raw data'!$F:$F,)))),IF(OR(AND($F551="UR",$P551=0),AND($F551="SR",$P551&gt;=0,$P551&lt;=2),AND($F551="R",$P551&gt;=0,$P551&lt;4)),INDEX('卡片raw data'!BG:BG,MATCH($D551,'卡片raw data'!$F:$F,)),0)+IF(OR(AND($F551="UR",$P551&gt;=1,$P551&lt;=4),AND($F551="SR",$P551&lt;=4,$P551&gt;=3),AND($F551="R",$P551=4)),INDEX('卡片raw data'!BH:BH,MATCH($D551,'卡片raw data'!$F:$F,)),0)+IF($P551=5,INDEX('卡片raw data'!BI:BI,MATCH($D551,'卡片raw data'!$F:$F,)),0)))</f>
        <v>0</v>
      </c>
      <c r="CC551" s="424">
        <f t="shared" ref="CC551:CC559" si="778">IF(BZ551="ap",CB551*$EX$5/$EX$11*(+IF(CA551="全员",$EW$26,0)+IF(CA551="同作战",$EW$26,0)+IF(CA551="仲间",$EW$26*2/3,0)+IF(CA551="同属性",$EW$26*$EW$37/3,0)+IF(CA551="同年级",$EW$26*$EW$40/3,0)+IF(CA551="同学校",$EW$26*$EW$43/3,0)+IF(CA551="同小队",$EW$26*$EW$46/3,0)+IF(CA551="同type",$EW$26*INDEX($EX$49:$EX$52,MATCH(O551,$EW$49:$EW$52,))/3,0)+IF(CA551="自身",$AW551,0)),0)+IF(BZ551="te",CB551*($EW$22-1)*0.00003*$EX$7/$EX$13*(+IF(CA551="全员",$EX$18*$EW$26/(1+($EW$22-1)*$EW$19),0)+IF(CA551="同作战",$EX$18*$EW$26/(1+($EW$22-1)*$EW$19),0)+IF(CA551="仲间",$EX$18*$EW$26/(1+($EW$22-1)*$EW$19)*2/3,0)+IF(CA551="同属性",$EX$18*$EW$26/(1+($EW$22-1)*$EW$19)*$EW$37/3,0)+IF(CA551="同年级",$EX$18*$EW$26/(1+($EW$22-1)*$EW$19)*$EW$40/3,0)+IF(CA551="同学校",$EX$18*$EW$26/(1+($EW$22-1)*$EW$19)*$EW$43/3,0)+IF(CA551="同小队",$EX$18*$EW$26/(1+($EW$22-1)*$EW$19)*$EW$46/3,0)+IF(CA551="同type",$EX$18*$EW$26/(1+($EW$22-1)*$EW$19)*INDEX($EX$49:$EX$52,MATCH(O551,$EW$49:$EW$52,))/3,0)+IF(CA551="自身",$AS551*$AW551/(1+(AV551-1)*$AU551),0)),0)</f>
        <v>0</v>
      </c>
      <c r="CD551" s="420">
        <f>IF(BZ551="ap",CB551*(1-$FI$26)*$FB$5/$FB$11*(+IF(CA551="全员",$FA$24,0)+IF(CA551="同作战",$FA$24,0)+IF(CA551="仲间",$FA$24*2/3,0)+IF(CA551="同属性",$FA$24*$FA$37/3,0)+IF(CA551="同年级",$FA$24*$FA$40/3,0)+IF(CA551="同学校",$FA$24*$FA$43/3,0)+IF(CA551="同小队",$FA$24*$FA$46/3,0)+IF(CA551="同type",$FA$24*INDEX($FB$49:$FB$52,MATCH(X551,$FA$49:$FA$52,))/3,0)+IF(CA551="自身",#REF!/3,0)),0)+IF(BZ551="te",CB551*(1-$FI$27)*($FA$20-1)*$FB$7/$FB$13*(+IF(CA551="全员",$FA$19*$FA$24/(1+($FA$20-1)*$FA$19),0)+IF(CA551="同作战",$FA$19*$FA$24/(1+($FA$20-1)*$FA$19),0)+IF(CA551="仲间",$FA$19*$FA$24*2/3/(1+($FA$20-1)*$FA$19),0)+IF(CA551="同属性",$FA$19*$FA$24*$FA$37/3/(1+($FA$20-1)*$FA$19),0)+IF(CA551="同年级",$FA$19*$FA$24*$FA$40/3/(1+($FA$20-1)*$FA$19),0)+IF(CA551="同学校",$FA$19*$FA$24*$FA$43/3/(1+($FA$20-1)*$FA$19),0)+IF(CA551="同小队",$FA$19*$FA$24*$FA$46/3/(1+($FA$20-1)*$FA$19),0)+IF(CA551="同type",$FA$19*$FA$24*INDEX($FB$49:$FB$52,MATCH(X551,$FA$49:$FA$52,))/3/(1+($FA$20-1)*$FA$19),0)+IF(CA551="自身",$FA$19*#REF!/3/(1+(BH551-1)*$BD551),0)),0)</f>
        <v>0</v>
      </c>
      <c r="CE551" s="420">
        <f t="shared" si="729"/>
        <v>0</v>
      </c>
      <c r="CF551" s="436">
        <f t="shared" ref="CF551:CF559" si="779">IF(BZ551="st",CB551*$EX$6/$EX$12*(+IF(CA551="全员",$EX$17*9,0)+IF(CA551="仲间",$EX$17*8,0)+IF(CA551="同作战",$EX$17*3,0)+IF(CA551="同属性",$EX$17*$EW$39,0)+IF(CA551="同年级",$EX$17*$EW$42,0)+IF(CA551="同学校",$EX$17*$EW$45,0)+IF(CA551="同小队",$EX$17*$EW$48,0)+IF(CA551="同type",$EX$17*INDEX($EX$57:$EX$60,MATCH(O551,$EW$57:$EW$60,)),0)+IF(CA551="自身",$AR551)),0)/$EW$65*$EW$78</f>
        <v>0</v>
      </c>
      <c r="CG551" s="423">
        <f t="shared" si="731"/>
        <v>0</v>
      </c>
      <c r="CH551" s="433">
        <f t="shared" si="732"/>
        <v>0</v>
      </c>
      <c r="CI551" s="1113" t="s">
        <v>170</v>
      </c>
      <c r="CJ551" s="1114">
        <v>1</v>
      </c>
      <c r="CK551" s="1115" t="s">
        <v>2046</v>
      </c>
      <c r="CL551" s="1115" t="s">
        <v>1941</v>
      </c>
      <c r="CM551" s="1119">
        <v>0.03</v>
      </c>
      <c r="CN551" s="1115"/>
      <c r="CO551" s="1115"/>
      <c r="CP551" s="1116">
        <f t="shared" si="733"/>
        <v>2.1038741326979995</v>
      </c>
      <c r="CQ551" s="1116">
        <f t="shared" si="734"/>
        <v>3.2726930953079996</v>
      </c>
      <c r="CR551" s="1117">
        <f t="shared" si="735"/>
        <v>2.1038741326979995</v>
      </c>
      <c r="CS551" s="442">
        <f t="shared" si="736"/>
        <v>0</v>
      </c>
      <c r="CT551" s="432">
        <f t="shared" si="737"/>
        <v>0</v>
      </c>
      <c r="CU551" s="1101">
        <f t="shared" si="738"/>
        <v>2.3142615459677995</v>
      </c>
      <c r="CV551" s="1108">
        <f t="shared" si="777"/>
        <v>3.2726930953079996</v>
      </c>
      <c r="CW551" s="420">
        <f t="shared" si="739"/>
        <v>2.3142615459677995</v>
      </c>
      <c r="CX551" s="420">
        <f t="shared" si="740"/>
        <v>2.3142615459677995</v>
      </c>
      <c r="CY551" s="433">
        <f t="shared" si="741"/>
        <v>2.3142615459677995</v>
      </c>
      <c r="CZ551" s="437"/>
      <c r="DA551" s="438"/>
      <c r="DB551" s="439" t="s">
        <v>569</v>
      </c>
      <c r="DC551" s="439"/>
      <c r="DD551" s="443"/>
      <c r="DE551" s="411"/>
      <c r="DF551" s="411"/>
      <c r="DG551" s="1116">
        <f t="shared" si="742"/>
        <v>0</v>
      </c>
      <c r="DH551" s="1116">
        <f t="shared" si="743"/>
        <v>0</v>
      </c>
      <c r="DI551" s="1116">
        <f t="shared" si="744"/>
        <v>0</v>
      </c>
      <c r="DJ551" s="442">
        <f t="shared" si="745"/>
        <v>0</v>
      </c>
      <c r="DK551" s="432">
        <f t="shared" si="746"/>
        <v>0</v>
      </c>
      <c r="DL551" s="424">
        <f t="shared" si="747"/>
        <v>0</v>
      </c>
      <c r="DM551" s="420">
        <f t="shared" si="748"/>
        <v>0</v>
      </c>
      <c r="DN551" s="420">
        <f t="shared" si="749"/>
        <v>0</v>
      </c>
      <c r="DO551" s="420">
        <f t="shared" si="750"/>
        <v>0</v>
      </c>
      <c r="DP551" s="433">
        <f t="shared" si="751"/>
        <v>0</v>
      </c>
      <c r="DQ551" s="1113" t="s">
        <v>635</v>
      </c>
      <c r="DR551" s="1120">
        <f t="shared" si="773"/>
        <v>0.3</v>
      </c>
      <c r="DS551" s="1124"/>
      <c r="DT551" s="1124" t="s">
        <v>4533</v>
      </c>
      <c r="DU551" s="1124"/>
      <c r="DV551" s="1098">
        <f>IF($P551="","N/A",IF(P551=-1,INDEX('卡片raw data'!AN:AN,MATCH(D551,'卡片raw data'!$F:$F,)),0)+IF(AND(L551&lt;&gt;"party卡",P551&lt;=2,P551&gt;=0),INDEX('卡片raw data'!AP:AP,MATCH(D551,'卡片raw data'!$F:$F,)),0)+IF(OR(AND(L551="party卡",P551&lt;=1),AND(P551&lt;=4,L551&lt;&gt;"party卡",P551&gt;=3)),INDEX('卡片raw data'!AQ:AQ,MATCH(D551,'卡片raw data'!$F:$F,)),0)+IF(OR(P551=5,AND(L551="party卡",P551&gt;=2)),INDEX('卡片raw data'!AR:AR,MATCH(D551,'卡片raw data'!$F:$F,)),0))</f>
        <v>0.27</v>
      </c>
      <c r="DW551" s="1098">
        <f t="shared" si="752"/>
        <v>0.3</v>
      </c>
      <c r="DX551" s="1098">
        <f t="shared" si="753"/>
        <v>0.3</v>
      </c>
      <c r="DY551" s="1097">
        <f t="shared" si="754"/>
        <v>530.17628143989589</v>
      </c>
      <c r="DZ551" s="1097">
        <f t="shared" si="755"/>
        <v>458.60248344550996</v>
      </c>
      <c r="EA551" s="421">
        <f t="shared" si="756"/>
        <v>0</v>
      </c>
      <c r="EB551" s="445">
        <f t="shared" si="757"/>
        <v>0</v>
      </c>
      <c r="EC551" s="424">
        <f t="shared" si="758"/>
        <v>0</v>
      </c>
      <c r="ED551" s="420">
        <f t="shared" si="759"/>
        <v>0</v>
      </c>
      <c r="EE551" s="433">
        <f t="shared" si="775"/>
        <v>48435.03108962375</v>
      </c>
      <c r="EF551" s="1113" t="s">
        <v>569</v>
      </c>
      <c r="EG551" s="1120">
        <f t="shared" si="774"/>
        <v>0.3</v>
      </c>
      <c r="EH551" s="1124"/>
      <c r="EI551" s="1124"/>
      <c r="EJ551" s="1124"/>
      <c r="EK551" s="420">
        <f>IF($P551="","N/A",IF(P551=-1,INDEX('卡片raw data'!AS:AS,MATCH(D551,'卡片raw data'!$F:$F,)),0)+IF(AND(L551&lt;&gt;"party卡",P551&lt;=2,P551&gt;=0),INDEX('卡片raw data'!AU:AU,MATCH(D551,'卡片raw data'!$F:$F,)),0)+IF(OR(AND(L551="party卡",P551&lt;=1),AND(P551&lt;=4,L551&lt;&gt;"party卡",P551&gt;=3)),INDEX('卡片raw data'!AV:AV,MATCH(D551,'卡片raw data'!$F:$F,)),0)+IF(OR(P551=5,AND(L551="party卡",P551&gt;=2)),INDEX('卡片raw data'!AW:AW,MATCH(D551,'卡片raw data'!$F:$F,)),0))</f>
        <v>0</v>
      </c>
      <c r="EL551" s="1098">
        <f t="shared" si="760"/>
        <v>0.3</v>
      </c>
      <c r="EM551" s="1098">
        <f t="shared" si="761"/>
        <v>0.3</v>
      </c>
      <c r="EN551" s="1097">
        <f t="shared" si="762"/>
        <v>0</v>
      </c>
      <c r="EO551" s="1097">
        <f t="shared" si="763"/>
        <v>0</v>
      </c>
      <c r="EP551" s="421">
        <f t="shared" si="764"/>
        <v>0</v>
      </c>
      <c r="EQ551" s="445">
        <f t="shared" si="765"/>
        <v>0</v>
      </c>
      <c r="ER551" s="424">
        <f t="shared" si="766"/>
        <v>0</v>
      </c>
      <c r="ES551" s="420">
        <f t="shared" si="767"/>
        <v>0</v>
      </c>
      <c r="ET551" s="446">
        <f t="shared" si="776"/>
        <v>0</v>
      </c>
    </row>
    <row r="552" spans="2:150" ht="16.5" customHeight="1">
      <c r="B552" s="448" t="str">
        <f>INDEX('卡片raw data'!B:B,MATCH($D552,'卡片raw data'!$F:$F,))</f>
        <v>虹心步</v>
      </c>
      <c r="C552" s="449" t="s">
        <v>4529</v>
      </c>
      <c r="D552" s="408">
        <v>549</v>
      </c>
      <c r="E552" s="477">
        <v>202012001</v>
      </c>
      <c r="F552" s="409" t="str">
        <f>INDEX('卡片raw data'!C:C,MATCH($D552,'卡片raw data'!$F:$F,))</f>
        <v>SR</v>
      </c>
      <c r="G552" s="1094" t="s">
        <v>4531</v>
      </c>
      <c r="H552" s="411">
        <f>IFERROR(INDEX(绊状态确认!C:C,MATCH($G552,绊状态确认!$B:$B,)),"")</f>
        <v>201</v>
      </c>
      <c r="I552" s="450" t="str">
        <f>IFERROR(INDEX(绊状态确认!D:D,MATCH($G552,绊状态确认!$B:$B,)),"")</f>
        <v>虹</v>
      </c>
      <c r="J552" s="450" t="str">
        <f>IFERROR(INDEX(绊状态确认!E:E,MATCH($G552,绊状态确认!$B:$B,)),"")</f>
        <v>2年级</v>
      </c>
      <c r="K552" s="451" t="str">
        <f>IFERROR(INDEX(绊状态确认!F:F,MATCH($G552,绊状态确认!$B:$B,)),"")</f>
        <v>A·ZU·NA</v>
      </c>
      <c r="L552" s="414" t="str">
        <f>INDEX('卡片raw data'!E:E,MATCH($D552,'卡片raw data'!$F:$F,))</f>
        <v>卡池卡</v>
      </c>
      <c r="M552" s="478">
        <v>44465</v>
      </c>
      <c r="N552" s="479">
        <v>48.5</v>
      </c>
      <c r="O552" s="410" t="str">
        <f>INDEX('卡片raw data'!D:D,MATCH($D552,'卡片raw data'!$F:$F,))</f>
        <v>gd</v>
      </c>
      <c r="P552" s="1126">
        <v>5</v>
      </c>
      <c r="Q552" s="418">
        <f t="shared" si="688"/>
        <v>21459.600364908034</v>
      </c>
      <c r="R552" s="419">
        <f t="shared" si="689"/>
        <v>0.249</v>
      </c>
      <c r="S552" s="420">
        <f t="shared" si="690"/>
        <v>12550.741228276613</v>
      </c>
      <c r="T552" s="421">
        <f t="shared" si="691"/>
        <v>0.627</v>
      </c>
      <c r="U552" s="422">
        <f t="shared" si="692"/>
        <v>578.31065179042594</v>
      </c>
      <c r="V552" s="423">
        <f t="shared" si="693"/>
        <v>73050.648722311176</v>
      </c>
      <c r="W552" s="424">
        <f t="shared" si="694"/>
        <v>4507.7214871259994</v>
      </c>
      <c r="X552" s="419">
        <f t="shared" si="695"/>
        <v>5.1999999999999998E-2</v>
      </c>
      <c r="Y552" s="420">
        <f t="shared" si="696"/>
        <v>3404.0940427992973</v>
      </c>
      <c r="Z552" s="425">
        <f t="shared" si="697"/>
        <v>42.032979872217936</v>
      </c>
      <c r="AA552" s="426">
        <f t="shared" si="698"/>
        <v>7911.8155299252967</v>
      </c>
      <c r="AB552" s="424">
        <f t="shared" si="699"/>
        <v>4507.7214871259994</v>
      </c>
      <c r="AC552" s="427">
        <f t="shared" si="700"/>
        <v>5.1999999999999998E-2</v>
      </c>
      <c r="AD552" s="428">
        <f t="shared" si="701"/>
        <v>-3.8207812500000026E-3</v>
      </c>
      <c r="AE552" s="516">
        <f t="shared" si="702"/>
        <v>-18.525362318840578</v>
      </c>
      <c r="AF552" s="1130">
        <f t="shared" si="703"/>
        <v>7956.7587692271109</v>
      </c>
      <c r="AG552" s="420">
        <f t="shared" si="704"/>
        <v>91964.836562568191</v>
      </c>
      <c r="AH552" s="420">
        <f t="shared" si="705"/>
        <v>11.558077758778316</v>
      </c>
      <c r="AI552" s="1097">
        <f t="shared" si="706"/>
        <v>104304.07670213662</v>
      </c>
      <c r="AJ552" s="420">
        <f t="shared" si="707"/>
        <v>73050.648722311176</v>
      </c>
      <c r="AK552" s="518">
        <f t="shared" si="708"/>
        <v>31253.427979825443</v>
      </c>
      <c r="AL552" s="1106">
        <f>IF($P552="","N/A",(IF($P552=-1,INDEX('卡片raw data'!S:S,MATCH($D552,'卡片raw data'!$F:$F,)),0)+IF($P552=0,INDEX('卡片raw data'!V:V,MATCH($D552,'卡片raw data'!$F:$F,)),0)+IF($P552=1,INDEX('卡片raw data'!Y:Y,MATCH($D552,'卡片raw data'!$F:$F,)),0)+IF($P552=2,INDEX('卡片raw data'!AB:AB,MATCH($D552,'卡片raw data'!$F:$F,)),0)+IF($P552=3,INDEX('卡片raw data'!AE:AE,MATCH($D552,'卡片raw data'!$F:$F,)),0)+IF($P552=4,INDEX('卡片raw data'!AH:AH,MATCH($D552,'卡片raw data'!$F:$F,)),0)+IF($P552=5,INDEX('卡片raw data'!AK:AK,MATCH($D552,'卡片raw data'!$F:$F,)),0)+INDEX('卡片raw data'!S:S,MATCH($D552,'卡片raw data'!$F:$F,))*(IF($F552="UR",0.04,0.033))*(IF($F552="UR",INDEX(绊状态确认!$S:$S,MATCH($G552,绊状态确认!$B:$B,))/2-40)+IF($F552="SR",INDEX(绊状态确认!$R:$R,MATCH($G552,绊状态确认!$B:$B,))/4-15))+IF($F552="R",INDEX(绊状态确认!$Q:$Q,MATCH($G552,绊状态确认!$B:$B,))/6-40/6)))*(INDEX(绊状态确认!$H:$H,MATCH($G552,绊状态确认!$B:$B,))+INDEX(绊状态确认!J:J,MATCH($G552,绊状态确认!$B:$B,)))</f>
        <v>6482.7483503999993</v>
      </c>
      <c r="AM552" s="1106">
        <f>IF($P552="","N/A",(IF($P552=-1,INDEX('卡片raw data'!T:T,MATCH($D552,'卡片raw data'!$F:$F,)),0)+IF($P552=0,INDEX('卡片raw data'!W:W,MATCH($D552,'卡片raw data'!$F:$F,)),0)+IF($P552=1,INDEX('卡片raw data'!Z:Z,MATCH($D552,'卡片raw data'!$F:$F,)),0)+IF($P552=2,INDEX('卡片raw data'!AC:AC,MATCH($D552,'卡片raw data'!$F:$F,)),0)+IF($P552=3,INDEX('卡片raw data'!AF:AF,MATCH($D552,'卡片raw data'!$F:$F,)),0)+IF($P552=4,INDEX('卡片raw data'!AI:AI,MATCH($D552,'卡片raw data'!$F:$F,)),0)+IF($P552=5,INDEX('卡片raw data'!AL:AL,MATCH($D552,'卡片raw data'!$F:$F,)),0)+INDEX('卡片raw data'!T:T,MATCH($D552,'卡片raw data'!$F:$F,))*(IF($F552="UR",0.04,0.033))*(IF($F552="UR",INDEX(绊状态确认!$S:$S,MATCH($G552,绊状态确认!$B:$B,))/2-40)+IF($F552="SR",INDEX(绊状态确认!$R:$R,MATCH($G552,绊状态确认!$B:$B,))/4-15))+IF($F552="R",INDEX(绊状态确认!$Q:$Q,MATCH($G552,绊状态确认!$B:$B,))/6-40/6)))*(INDEX(绊状态确认!$H:$H,MATCH($G552,绊状态确认!$B:$B,))+INDEX(绊状态确认!K:K,MATCH($G552,绊状态确认!$B:$B,)))</f>
        <v>9724.122525599998</v>
      </c>
      <c r="AN552" s="1106">
        <f>IF($P552="","N/A",(IF($P552=-1,INDEX('卡片raw data'!U:U,MATCH($D552,'卡片raw data'!$F:$F,)),0)+IF($P552=0,INDEX('卡片raw data'!X:X,MATCH($D552,'卡片raw data'!$F:$F,)),0)+IF($P552=1,INDEX('卡片raw data'!AA:AA,MATCH($D552,'卡片raw data'!$F:$F,)),0)+IF($P552=2,INDEX('卡片raw data'!AD:AD,MATCH($D552,'卡片raw data'!$F:$F,)),0)+IF($P552=3,INDEX('卡片raw data'!AG:AG,MATCH($D552,'卡片raw data'!$F:$F,)),0)+IF($P552=4,INDEX('卡片raw data'!AJ:AJ,MATCH($D552,'卡片raw data'!$F:$F,)),0)+IF($P552=5,INDEX('卡片raw data'!AM:AM,MATCH($D552,'卡片raw data'!$F:$F,)),0)+INDEX('卡片raw data'!U:U,MATCH($D552,'卡片raw data'!$F:$F,))*(IF($F552="UR",0.04,0.033))*(IF($F552="UR",INDEX(绊状态确认!$S:$S,MATCH($G552,绊状态确认!$B:$B,))/2-40)+IF($F552="SR",INDEX(绊状态确认!$R:$R,MATCH($G552,绊状态确认!$B:$B,))/4-15))+IF($F552="R",INDEX(绊状态确认!$Q:$Q,MATCH($G552,绊状态确认!$B:$B,))/6-40/6)))*(INDEX(绊状态确认!$H:$H,MATCH($G552,绊状态确认!$B:$B,))+INDEX(绊状态确认!L:L,MATCH($G552,绊状态确认!$B:$B,)))</f>
        <v>6947.2950335999994</v>
      </c>
      <c r="AO552" s="1107">
        <f t="shared" si="709"/>
        <v>1</v>
      </c>
      <c r="AP552" s="1131">
        <f>1+(INDEX(绊状态确认!$T:$T,MATCH($G552,绊状态确认!$B:$B,))+0.2)*$AO552</f>
        <v>1.3</v>
      </c>
      <c r="AQ552" s="1108">
        <f t="shared" si="710"/>
        <v>20267.214419799999</v>
      </c>
      <c r="AR552" s="1097">
        <f>(AM552*(1+$EX$9)+$EX$35)*(1+(INDEX(绊状态确认!$T:$T,MATCH($G552,绊状态确认!$B:$B,))+0.2)*AO552)*IF(J552=$FF$17,1+$FE$17,1)*IF(I552=$FF$14,1+$FE$14,1)</f>
        <v>15977.427247443997</v>
      </c>
      <c r="AS552" s="1097">
        <f>(AN552*(1+$EX$10)+$EX$36)*(1+(INDEX(绊状态确认!$T:$T,MATCH($G552,绊状态确认!$B:$B,))+0.2)*AO552)*IF(J552=$FF$17,1+$FE$17,1)*IF(I552=$FF$14,1+$FE$14,1)</f>
        <v>14442.206075231999</v>
      </c>
      <c r="AT552" s="1093">
        <f>IF(AND(INDEX('卡片raw data'!AK:AK,MATCH($D552,'卡片raw data'!$F:$F,))&lt;INDEX('卡片raw data'!AM:AM,MATCH($D552,'卡片raw data'!$F:$F,)),INDEX('卡片raw data'!AL:AL,MATCH($D552,'卡片raw data'!$F:$F,))&lt;INDEX('卡片raw data'!AM:AM,MATCH($D552,'卡片raw data'!$F:$F,))),1,0)</f>
        <v>0</v>
      </c>
      <c r="AU552" s="1098">
        <f>MIN(AT552*0.15+AS552*0.00003+INDEX(绊状态确认!M:M,MATCH($G552,绊状态确认!$B:$B,)),1)</f>
        <v>0.46326618225696004</v>
      </c>
      <c r="AV552" s="1109">
        <f>(INDEX(绊状态确认!$N:$N,MATCH($G552,绊状态确认!$B:$B,))+1.5)*$EW$21</f>
        <v>2.6599999999999997</v>
      </c>
      <c r="AW552" s="1101">
        <f t="shared" si="711"/>
        <v>18620.212211115366</v>
      </c>
      <c r="AX552" s="1097">
        <f t="shared" si="712"/>
        <v>1380.1269966375169</v>
      </c>
      <c r="AY552" s="1110">
        <f t="shared" si="713"/>
        <v>20000.339207752884</v>
      </c>
      <c r="AZ552" s="429">
        <f t="shared" si="714"/>
        <v>15241.359283279999</v>
      </c>
      <c r="BA552" s="431">
        <f t="shared" si="715"/>
        <v>18289.631139935998</v>
      </c>
      <c r="BB552" s="1097">
        <f>(AM552*(1+$FB$9)+$FB$35)*(1+(INDEX(绊状态确认!$T:$T,MATCH($G552,绊状态确认!$B:$B,))+0.2)*AO552)*IF(J552=$FF$17,1+$FE$17,1)*IF(I552=$FF$14,1+$FE$14,1)*(1+$FE$15)</f>
        <v>15977.427247443997</v>
      </c>
      <c r="BC552" s="1097">
        <f>(AN552*(1+$FB$10)+$FB$36)*(1+(INDEX(绊状态确认!$T:$T,MATCH($G552,绊状态确认!$B:$B,))+0.2)*AO552)*IF(J552=$FF$17,1+$FE$17,1)*IF(I552=$FF$14,1+$FE$14,1)*(1+$FE$15)</f>
        <v>14442.206075231999</v>
      </c>
      <c r="BD552" s="1104">
        <f>MIN(AT552*0.15+BC552*0.00003+INDEX(绊状态确认!M:M,MATCH($G552,绊状态确认!$B:$B,)),1)</f>
        <v>0.46326618225696004</v>
      </c>
      <c r="BE552" s="432">
        <f>(INDEX(绊状态确认!$N:$N,MATCH($G552,绊状态确认!$B:$B,))+1.5)</f>
        <v>1.9</v>
      </c>
      <c r="BF552" s="1139">
        <f t="array" ref="BF552">SUMPRODUCT(IF(AZ552*AP552*$FI$16:$FI$23*$FA$22&gt;=$FI$24,$FI$24,AZ552*AP552*$FI$16:$FI$23*$FA$22),$FJ$16:$FJ$23)</f>
        <v>30315.063614443923</v>
      </c>
      <c r="BG552" s="1125">
        <f t="array" ref="BG552">SUMPRODUCT(IF(BE552*AZ552*AP552*$FI$16:$FI$23*$FA$22&gt;=$FI$24,$FI$24,BE552*AZ552*AP552*$FI$16:$FI$23*$FA$22),$FJ$16:$FJ$23)</f>
        <v>55246.310666652331</v>
      </c>
      <c r="BH552" s="1110">
        <f t="shared" si="716"/>
        <v>13954.955751741867</v>
      </c>
      <c r="BI552" s="1111">
        <f>IF(O552="vo",$EW$26/$EW$24*0.05,0)+IF(O552="sk",-$EW$26/$EW$24*(0.05-INDEX(绊状态确认!W:W,MATCH($G552,绊状态确认!$B:$B,)))+0.05*$EW$28,0)+IF(O552="sp",0.05*$EW$32*$EW$30*(1-$EW$33)-(0.05-INDEX(绊状态确认!V:V,MATCH($G552,绊状态确认!$B:$B,)))*$EW$28,0)+IF(O552="gd",-(0.05-INDEX(绊状态确认!X:X,MATCH($G552,绊状态确认!$B:$B,)))*$EW$32*$EW$30*(1-$EW$33),0)</f>
        <v>-585.00000000000011</v>
      </c>
      <c r="BJ552" s="420">
        <f>IF(O552="vo",0.05*(1-$FI$26)*$FA$24,0)+IF(O552="sk",-(0.05-INDEX(绊状态确认!W:W,MATCH($G552,绊状态确认!$B:$B,)))*(1-$FI$26)*$FA$24+0.05*$FA$26,0)+IF(O552="sp",0.05*$FA$32*$FA$27*(1-$FA$33)/$FA$30+0.05*$FA$29/$FA$69*$FA$27*(1-$FA$33)-(0.05-INDEX(绊状态确认!V:V,MATCH($G552,绊状态确认!$B:$B,)))*$FA$26,0)+IF(O552="gd",-(0.05-INDEX(绊状态确认!X:X,MATCH($G552,绊状态确认!$B:$B,)))*$FA$32*$FA$27*(1-$FA$33)/$FA$30-(0.05-INDEX(绊状态确认!X:X,MATCH($G552,绊状态确认!$B:$B,)))*$FA$29/$FA$69*$FA$27*(1-$FA$33),0)</f>
        <v>-795.00000000000011</v>
      </c>
      <c r="BK552" s="1110">
        <f>IF(O552="vo",$EW$26/$EW$24*0.05+$EW$26*(-HP($EW$62,$EW$65,$EW$64)+HP($EW$62,$EW$65,(1.05-INDEX(绊状态确认!U:U,MATCH($G552,绊状态确认!$B:$B,)))*$EW$64)),0)+IF(O552="sk",-$EW$26/$EW$24*(0.05-INDEX(绊状态确认!W:W,MATCH($G552,绊状态确认!$B:$B,)))+0.05*$EW$29,0)+IF(O552="sp",0.05*$EW$32*$EW$30*(1-$EW$33)-(0.05-INDEX(绊状态确认!V:V,MATCH($G552,绊状态确认!$B:$B,)))*$EW$29,0)+IF(O552="gd",-(0.05-INDEX(绊状态确认!X:X,MATCH($G552,绊状态确认!$B:$B,)))*$EW$32*$EW$30*(1-$EW$33)+$EW$26*(-HP($EW$62,$EW$65,$EW$64)+HP($EW$62,$EW$65,0.95*$EW$64)),0)</f>
        <v>1009.5947725176144</v>
      </c>
      <c r="BL552" s="1111">
        <f t="shared" si="717"/>
        <v>-1083.3333333333333</v>
      </c>
      <c r="BM552" s="1110">
        <f t="shared" si="718"/>
        <v>-830.55555555555543</v>
      </c>
      <c r="BN552" s="1113">
        <f t="shared" si="719"/>
        <v>3</v>
      </c>
      <c r="BO552" s="1108">
        <f t="shared" si="720"/>
        <v>4507.7214871259994</v>
      </c>
      <c r="BP552" s="1127">
        <f t="shared" si="721"/>
        <v>221.34103209030098</v>
      </c>
      <c r="BQ552" s="1113" t="s">
        <v>133</v>
      </c>
      <c r="BR552" s="1124" t="s">
        <v>161</v>
      </c>
      <c r="BS552" s="421">
        <f>IF($P552="","N/A",IF($P552=-1,INDEX('卡片raw data'!AX:AX,MATCH($D552,'卡片raw data'!$F:$F,)),0)+IF($L552="party卡",IF($P552=5,INDEX('卡片raw data'!BD:BD,MATCH($D552,'卡片raw data'!$F:$F,)),IF($P552&gt;=3,INDEX('卡片raw data'!BC:BC,MATCH($D552,'卡片raw data'!$F:$F,)),INDEX('卡片raw data'!BB:BB,MATCH($D552,'卡片raw data'!$F:$F,)))),IF(OR(AND($F552="UR",$P552=0),AND($F552="SR",$P552&gt;=0,$P552&lt;=2),AND($F552="R",$P552&gt;=0,$P552&lt;4)),INDEX('卡片raw data'!AZ:AZ,MATCH($D552,'卡片raw data'!$F:$F,)),0)+IF(OR(AND($F552="UR",$P552&gt;=1,$P552&lt;=4),AND($F552="SR",$P552&lt;=4,$P552&gt;=3),AND($F552="R",$P552=4)),INDEX('卡片raw data'!BA:BA,MATCH($D552,'卡片raw data'!$F:$F,)),0)+IF($P552=5,INDEX('卡片raw data'!BB:BB,MATCH($D552,'卡片raw data'!$F:$F,)),0)))</f>
        <v>2.1999999999999999E-2</v>
      </c>
      <c r="BT552" s="424">
        <f t="shared" si="722"/>
        <v>0</v>
      </c>
      <c r="BU552" s="420">
        <f t="shared" si="723"/>
        <v>0</v>
      </c>
      <c r="BV552" s="420">
        <f t="shared" si="724"/>
        <v>0</v>
      </c>
      <c r="BW552" s="436">
        <f t="shared" si="725"/>
        <v>2.3176607142857137</v>
      </c>
      <c r="BX552" s="423">
        <f t="shared" si="726"/>
        <v>181.29549862425898</v>
      </c>
      <c r="BY552" s="433">
        <f t="shared" si="727"/>
        <v>181.29549862425898</v>
      </c>
      <c r="BZ552" s="1113" t="s">
        <v>569</v>
      </c>
      <c r="CA552" s="450"/>
      <c r="CB552" s="421">
        <f>IF($P552="","N/A",IF($P552=-1,INDEX('卡片raw data'!BE:BE,MATCH($D552,'卡片raw data'!$F:$F,)),0)+IF($L552="party卡",IF($P552=5,INDEX('卡片raw data'!BK:BK,MATCH($D552,'卡片raw data'!$F:$F,)),IF($P552&gt;=3,INDEX('卡片raw data'!BJ:BJ,MATCH($D552,'卡片raw data'!$F:$F,)),INDEX('卡片raw data'!BI:BI,MATCH($D552,'卡片raw data'!$F:$F,)))),IF(OR(AND($F552="UR",$P552=0),AND($F552="SR",$P552&gt;=0,$P552&lt;=2),AND($F552="R",$P552&gt;=0,$P552&lt;4)),INDEX('卡片raw data'!BG:BG,MATCH($D552,'卡片raw data'!$F:$F,)),0)+IF(OR(AND($F552="UR",$P552&gt;=1,$P552&lt;=4),AND($F552="SR",$P552&lt;=4,$P552&gt;=3),AND($F552="R",$P552=4)),INDEX('卡片raw data'!BH:BH,MATCH($D552,'卡片raw data'!$F:$F,)),0)+IF($P552=5,INDEX('卡片raw data'!BI:BI,MATCH($D552,'卡片raw data'!$F:$F,)),0)))</f>
        <v>0</v>
      </c>
      <c r="CC552" s="424">
        <f t="shared" si="778"/>
        <v>0</v>
      </c>
      <c r="CD552" s="420">
        <f>IF(BZ552="ap",CB552*(1-$FI$26)*$FB$5/$FB$11*(+IF(CA552="全员",$FA$24,0)+IF(CA552="同作战",$FA$24,0)+IF(CA552="仲间",$FA$24*2/3,0)+IF(CA552="同属性",$FA$24*$FA$37/3,0)+IF(CA552="同年级",$FA$24*$FA$40/3,0)+IF(CA552="同学校",$FA$24*$FA$43/3,0)+IF(CA552="同小队",$FA$24*$FA$46/3,0)+IF(CA552="同type",$FA$24*INDEX($FB$49:$FB$52,MATCH(X552,$FA$49:$FA$52,))/3,0)+IF(CA552="自身",#REF!/3,0)),0)+IF(BZ552="te",CB552*(1-$FI$27)*($FA$20-1)*$FB$7/$FB$13*(+IF(CA552="全员",$FA$19*$FA$24/(1+($FA$20-1)*$FA$19),0)+IF(CA552="同作战",$FA$19*$FA$24/(1+($FA$20-1)*$FA$19),0)+IF(CA552="仲间",$FA$19*$FA$24*2/3/(1+($FA$20-1)*$FA$19),0)+IF(CA552="同属性",$FA$19*$FA$24*$FA$37/3/(1+($FA$20-1)*$FA$19),0)+IF(CA552="同年级",$FA$19*$FA$24*$FA$40/3/(1+($FA$20-1)*$FA$19),0)+IF(CA552="同学校",$FA$19*$FA$24*$FA$43/3/(1+($FA$20-1)*$FA$19),0)+IF(CA552="同小队",$FA$19*$FA$24*$FA$46/3/(1+($FA$20-1)*$FA$19),0)+IF(CA552="同type",$FA$19*$FA$24*INDEX($FB$49:$FB$52,MATCH(X552,$FA$49:$FA$52,))/3/(1+($FA$20-1)*$FA$19),0)+IF(CA552="自身",$FA$19*#REF!/3/(1+(BH552-1)*$BD552),0)),0)</f>
        <v>0</v>
      </c>
      <c r="CE552" s="420">
        <f t="shared" si="729"/>
        <v>0</v>
      </c>
      <c r="CF552" s="436">
        <f t="shared" si="779"/>
        <v>0</v>
      </c>
      <c r="CG552" s="423">
        <f t="shared" si="731"/>
        <v>0</v>
      </c>
      <c r="CH552" s="433">
        <f t="shared" si="732"/>
        <v>0</v>
      </c>
      <c r="CI552" s="1113" t="s">
        <v>164</v>
      </c>
      <c r="CJ552" s="1114">
        <v>1</v>
      </c>
      <c r="CK552" s="1115" t="s">
        <v>2080</v>
      </c>
      <c r="CL552" s="1115" t="s">
        <v>1943</v>
      </c>
      <c r="CM552" s="1119">
        <v>6.6000000000000003E-2</v>
      </c>
      <c r="CN552" s="1115"/>
      <c r="CO552" s="1115"/>
      <c r="CP552" s="1116">
        <f t="shared" si="733"/>
        <v>22.596647107099368</v>
      </c>
      <c r="CQ552" s="1116">
        <f t="shared" si="734"/>
        <v>35.150339944376796</v>
      </c>
      <c r="CR552" s="1117">
        <f t="shared" si="735"/>
        <v>22.596647107099368</v>
      </c>
      <c r="CS552" s="1118">
        <f>IF(CK552="技能+",IF(CN552="infty",(IF(CI552="曲开始",CM552*CJ552)+IF(OR(CI552="AC时",CI552="AC成功"),(1-(1-(1-CJ552)^($FM$20+1))/(($FM$20+1)*CJ552))*CM552))*(IF(CL552="全员",1)))+IF(CN552&lt;&gt;"infty",CM552*(IF(CI552="曲开始",CJ552*CN552/$FM$19)+IF(OR(CI552="AC时",CI552="AC成功"),CN552*IF(CO552&lt;&gt;"",MIN(CO552,CJ552*$FM$20),CJ552*$FM$20)/$FM$19)+IF(CI552="切队",CN552*IF(CO552&lt;&gt;"",MIN(CJ552*$FM$11,CO552/$FM$19),CJ552*$FM$11))+IF(CI552="ap时",IF(CO552&lt;&gt;"",MIN(CO552/$FM1000,IF($O552="sk",$FM$10,$FM$9)*CJ552),IF($O552="sk",$FM$10,$FM$9)*CJ552)*CN552)+IF(CI552="ct时",IF(CO552&lt;&gt;"",MIN(CO552/$FM1000,$AU552*IF($O552="sk",$FM$10,$FM$9)*CJ552),$AU552*IF($O552="sk",$FM$10,$FM$9)*CJ552)*CN552))*(IF(CL552="全员",1)+IF(CL552="同作战",IF($O552="sk",$FM$10*3,$FM$9*3))+IF(CL552="同属性",$FM$23/6)+IF(CL552="同年级",$FM$24/6)+IF(CL552="自身",IF($O552="sk",$FM$10,$FM$9)))),0)*$FM$16</f>
        <v>0</v>
      </c>
      <c r="CT552" s="1109">
        <f>IF(CK552="sp+",IF(CN552="infty",(IF(CI552="曲开始",CM552*CJ552*$FM$28)+IF(OR(CI552="AC时",CI552="AC成功"),(1-(1-(1-CJ552)^($FM$20+1))/(($FM$20+1)*CJ552))*CM552*$FM$28))*(IF(CL552="全员",1)))+IF(CN552&lt;&gt;"infty",CM552*$FM$28*(IF(CI552="曲开始",CJ552*CN552/$FM$19)+IF(OR(CI552="AC时",CI552="AC成功"),CN552*IF(CO552&lt;&gt;"",MIN(CO552,CJ552*$FM$20),CJ552*$FM$20)/$FM$19)+IF(CI552="切队",CN552*IF(CO552&lt;&gt;"",MIN(CJ552*$FM$11,CO552/$FM$19),CJ552*$FM$11))+IF(CI552="ap时",IF(CO552&lt;&gt;"",MIN(CO552/$FM1000,IF($O552="sk",$FM$10,$FM$9)*CJ552),IF($O552="sk",$FM$10,$FM$9)*CJ552)*CN552)+IF(CI552="ct时",IF(CO552&lt;&gt;"",MIN(CO552/$FM1000,$AU552*IF($O552="sk",$FM$10,$FM$9)*CJ552),$AU552*IF($O552="sk",$FM$10,$FM$9)*CJ552)*CN552))*(IF(CL552="全员",1)+IF(CL552="同作战",IF($O552="sk",$FM$10*3,$FM$9*3))+IF(CL552="同属性",$FM$23/6)+IF(CL552="同年级",$FM$24/6)+IF(CL552="同type",IF(O552="sp",$FN$6*$FM$9)))),0)+IF(CK552="sp获得",IF(CI552="AC成功",0,CM552*(IF(CL552="ap",AQ552)+IF(CL552="st",AR552)+IF(CL552="te",AS552)+IF(CL552="sp槽",$EW$77)+IF(CL552="",1))*IF($O552="sk",1,1+(1+$FM$10/$FM$9)*($FM$27-1))*(IF(CI552="曲开始",CJ552/$FM$19)+IF(CI552="SP发动",IF(CO552&lt;&gt;"",MIN(CO552/$FM$19,CJ552*$FM$30/$FM$19),CJ552*$FM$30/$FM$19))+IF(CI552="切队",IF(CO552&lt;&gt;"",MIN(CO552/$FM$19,CJ552*$FM$11),CJ552*$FM$11))+IF(OR(CI552="AC时",CI552="AC成功"),IF(CO552&lt;&gt;"",MIN(CO552/$FM$19,CJ552*$FM$20/$FM$19),CJ552*$FM$20/$FM$19))+IF(CI552="ap时",IF(CO552&lt;&gt;"",MIN(CO552/$FM$19,CJ552*IF($O552="sk",$FM$10,$FM$9)),CJ552*IF($O552="sk",$FM$10,$FM$9)))+IF(CI552="ct时",IF(CO552&lt;&gt;"",MIN(CO552/$FM$19,CJ552*IF($O552="sk",$FM$10,$FM$9)*$AU552),CJ552*IF($O552="sk",$FM$10,$FM$9)*$AU552)))))</f>
        <v>0</v>
      </c>
      <c r="CU552" s="1101">
        <f t="shared" si="738"/>
        <v>0</v>
      </c>
      <c r="CV552" s="1108">
        <f t="shared" si="777"/>
        <v>0</v>
      </c>
      <c r="CW552" s="1097">
        <f t="shared" si="739"/>
        <v>0</v>
      </c>
      <c r="CX552" s="1097">
        <f t="shared" si="740"/>
        <v>0</v>
      </c>
      <c r="CY552" s="1110">
        <f t="shared" si="741"/>
        <v>1842.6715475375215</v>
      </c>
      <c r="CZ552" s="437"/>
      <c r="DA552" s="438"/>
      <c r="DB552" s="439" t="s">
        <v>569</v>
      </c>
      <c r="DC552" s="439"/>
      <c r="DD552" s="443"/>
      <c r="DE552" s="411"/>
      <c r="DF552" s="411"/>
      <c r="DG552" s="1116">
        <f t="shared" si="742"/>
        <v>0</v>
      </c>
      <c r="DH552" s="1116">
        <f t="shared" si="743"/>
        <v>0</v>
      </c>
      <c r="DI552" s="1116">
        <f t="shared" si="744"/>
        <v>0</v>
      </c>
      <c r="DJ552" s="442">
        <f t="shared" ref="DJ552:DJ558" si="780">IF(DB552="技能+",IF(DE552="infty",(IF(CZ552="曲开始",DD552*DA552)+IF(OR(CZ552="AC时",CZ552="AC成功"),(1-(1-(1-DA552)^($FM$20+1))/(($FM$20+1)*DA552))*DD552))*(IF(DC552="全员",1)))+IF(DE552&lt;&gt;"infty",DD552*(IF(CZ552="曲开始",DA552*DE552/$FM$19)+IF(OR(CZ552="AC时",CZ552="AC成功"),DE552*IF(DF552&lt;&gt;"",MIN(DF552,DA552*$FM$20),DA552*$FM$20)/$FM$19)+IF(CZ552="切队",DE552*IF(DF552&lt;&gt;"",MIN(DA552*$FM$11,DF552/$FM$19),DA552*$FM$11))+IF(CZ552="ap时",IF(DF552&lt;&gt;"",MIN(DF552/$FM1000,IF($O552="sk",$FM$10,$FM$9)*DA552),IF($O552="sk",$FM$10,$FM$9)*DA552)*DE552)+IF(CZ552="ct时",IF(DF552&lt;&gt;"",MIN(DF552/$FM1000,$AU552*IF($O552="sk",$FM$10,$FM$9)*DA552),$AU552*IF($O552="sk",$FM$10,$FM$9)*DA552)*DE552))*(IF(DC552="全员",1)+IF(DC552="同作战",IF($O552="sk",$FM$10*3,$FM$9*3))+IF(DC552="同属性",$FM$23/6)+IF(DC552="同年级",$FM$24/6)+IF(DC552="自身",IF($O552="sk",$FM$10,$FM$9)))),0)*$FM$16</f>
        <v>0</v>
      </c>
      <c r="DK552" s="432">
        <f t="shared" ref="DK552:DK558" si="781">IF(DB552="sp+",IF(DE552="infty",(IF(CZ552="曲开始",DD552*DA552*$FM$28)+IF(OR(CZ552="AC时",CZ552="AC成功"),(1-(1-(1-DA552)^($FM$20+1))/(($FM$20+1)*DA552))*DD552*$FM$28))*(IF(DC552="全员",1)))+IF(DE552&lt;&gt;"infty",DD552*$FM$28*(IF(CZ552="曲开始",DA552*DE552/$FM$19)+IF(OR(CZ552="AC时",CZ552="AC成功"),DE552*IF(DF552&lt;&gt;"",MIN(DF552,DA552*$FM$20),DA552*$FM$20)/$FM$19)+IF(CZ552="切队",DE552*IF(DF552&lt;&gt;"",MIN(DA552*$FM$11,DF552/$FM$19),DA552*$FM$11))+IF(CZ552="ap时",IF(DF552&lt;&gt;"",MIN(DF552/$FM1000,IF($O552="sk",$FM$10,$FM$9)*DA552),IF($O552="sk",$FM$10,$FM$9)*DA552)*DE552)+IF(CZ552="ct时",IF(DF552&lt;&gt;"",MIN(DF552/$FM1000,$AU552*IF($O552="sk",$FM$10,$FM$9)*DA552),$AU552*IF($O552="sk",$FM$10,$FM$9)*DA552)*DE552))*(IF(DC552="全员",1)+IF(DC552="同作战",IF($O552="sk",$FM$10*3,$FM$9*3))+IF(DC552="同属性",$FM$23/6)+IF(DC552="同年级",$FM$24/6)+IF(DC552="同type",IF(AF552="sp",$FN$6*$FM$9)))),0)+IF(DB552="sp获得",IF(CZ552="AC成功",0,DD552*(IF(DC552="ap",BI552)+IF(DC552="st",BJ552)+IF(DC552="te",BK552)+IF(DC552="sp槽",$EW$77)+IF(DC552="",1))*IF($O552="sk",1,1+(1+$FM$10/$FM$9)*($FM$27-1))*(IF(CZ552="曲开始",DA552/$FM$19)+IF(CZ552="SP发动",IF(DF552&lt;&gt;"",MIN(DF552/$FM$19,DA552*$FM$30/$FM$19),DA552*$FM$30/$FM$19))+IF(CZ552="切队",IF(DF552&lt;&gt;"",MIN(DF552/$FM$19,DA552*$FM$11),DA552*$FM$11))+IF(OR(CZ552="AC时",CZ552="AC成功"),IF(DF552&lt;&gt;"",MIN(DF552/$FM$19,DA552*$FM$20/$FM$19),DA552*$FM$20/$FM$19))+IF(CZ552="ap时",IF(DF552&lt;&gt;"",MIN(DF552/$FM$19,DA552*IF($O552="sk",$FM$10,$FM$9)),DA552*IF($O552="sk",$FM$10,$FM$9)))+IF(CZ552="ct时",IF(DF552&lt;&gt;"",MIN(DF552/$FM$19,DA552*IF($O552="sk",$FM$10,$FM$9)*$AU552),DA552*IF($O552="sk",$FM$10,$FM$9)*$AU552)))))</f>
        <v>0</v>
      </c>
      <c r="DL552" s="424">
        <f t="shared" si="747"/>
        <v>0</v>
      </c>
      <c r="DM552" s="420">
        <f t="shared" si="748"/>
        <v>0</v>
      </c>
      <c r="DN552" s="420">
        <f t="shared" si="749"/>
        <v>0</v>
      </c>
      <c r="DO552" s="420">
        <f t="shared" si="750"/>
        <v>0</v>
      </c>
      <c r="DP552" s="433">
        <f t="shared" si="751"/>
        <v>0</v>
      </c>
      <c r="DQ552" s="1113" t="s">
        <v>635</v>
      </c>
      <c r="DR552" s="1120">
        <f t="shared" si="773"/>
        <v>0.3</v>
      </c>
      <c r="DS552" s="1124"/>
      <c r="DT552" s="1093" t="s">
        <v>133</v>
      </c>
      <c r="DU552" s="1124"/>
      <c r="DV552" s="1098">
        <f>IF($P552="","N/A",IF(P552=-1,INDEX('卡片raw data'!AN:AN,MATCH(D552,'卡片raw data'!$F:$F,)),0)+IF(AND(L552&lt;&gt;"party卡",P552&lt;=2,P552&gt;=0),INDEX('卡片raw data'!AP:AP,MATCH(D552,'卡片raw data'!$F:$F,)),0)+IF(OR(AND(L552="party卡",P552&lt;=1),AND(P552&lt;=4,L552&lt;&gt;"party卡",P552&gt;=3)),INDEX('卡片raw data'!AQ:AQ,MATCH(D552,'卡片raw data'!$F:$F,)),0)+IF(OR(P552=5,AND(L552="party卡",P552&gt;=2)),INDEX('卡片raw data'!AR:AR,MATCH(D552,'卡片raw data'!$F:$F,)),0))</f>
        <v>0.32</v>
      </c>
      <c r="DW552" s="1098">
        <f t="shared" si="752"/>
        <v>0.3</v>
      </c>
      <c r="DX552" s="1098">
        <f t="shared" si="753"/>
        <v>0.3</v>
      </c>
      <c r="DY552" s="1097">
        <f t="shared" si="754"/>
        <v>511.27767191820794</v>
      </c>
      <c r="DZ552" s="1097">
        <f t="shared" si="755"/>
        <v>442.25518620924987</v>
      </c>
      <c r="EA552" s="421">
        <f t="shared" si="756"/>
        <v>0</v>
      </c>
      <c r="EB552" s="445">
        <f t="shared" si="757"/>
        <v>0</v>
      </c>
      <c r="EC552" s="424">
        <f t="shared" si="758"/>
        <v>0</v>
      </c>
      <c r="ED552" s="420">
        <f t="shared" si="759"/>
        <v>0</v>
      </c>
      <c r="EE552" s="433">
        <f t="shared" si="775"/>
        <v>48435.03108962375</v>
      </c>
      <c r="EF552" s="1113" t="s">
        <v>569</v>
      </c>
      <c r="EG552" s="1120">
        <f t="shared" si="774"/>
        <v>0.3</v>
      </c>
      <c r="EH552" s="450"/>
      <c r="EI552" s="1124"/>
      <c r="EJ552" s="1124"/>
      <c r="EK552" s="420">
        <f>IF($P552="","N/A",IF(P552=-1,INDEX('卡片raw data'!AS:AS,MATCH(D552,'卡片raw data'!$F:$F,)),0)+IF(AND(L552&lt;&gt;"party卡",P552&lt;=2,P552&gt;=0),INDEX('卡片raw data'!AU:AU,MATCH(D552,'卡片raw data'!$F:$F,)),0)+IF(OR(AND(L552="party卡",P552&lt;=1),AND(P552&lt;=4,L552&lt;&gt;"party卡",P552&gt;=3)),INDEX('卡片raw data'!AV:AV,MATCH(D552,'卡片raw data'!$F:$F,)),0)+IF(OR(P552=5,AND(L552="party卡",P552&gt;=2)),INDEX('卡片raw data'!AW:AW,MATCH(D552,'卡片raw data'!$F:$F,)),0))</f>
        <v>0</v>
      </c>
      <c r="EL552" s="1098">
        <f t="shared" si="760"/>
        <v>0.3</v>
      </c>
      <c r="EM552" s="1098">
        <f t="shared" si="761"/>
        <v>0.3</v>
      </c>
      <c r="EN552" s="1097">
        <f t="shared" si="762"/>
        <v>0</v>
      </c>
      <c r="EO552" s="1097">
        <f t="shared" si="763"/>
        <v>0</v>
      </c>
      <c r="EP552" s="421">
        <f t="shared" si="764"/>
        <v>0</v>
      </c>
      <c r="EQ552" s="445">
        <f t="shared" si="765"/>
        <v>0</v>
      </c>
      <c r="ER552" s="424">
        <f t="shared" si="766"/>
        <v>0</v>
      </c>
      <c r="ES552" s="420">
        <f t="shared" si="767"/>
        <v>0</v>
      </c>
      <c r="ET552" s="446">
        <f t="shared" si="776"/>
        <v>0</v>
      </c>
    </row>
    <row r="553" spans="2:150" ht="16.5" customHeight="1">
      <c r="B553" s="448" t="str">
        <f>INDEX('卡片raw data'!B:B,MATCH($D553,'卡片raw data'!$F:$F,))</f>
        <v>虹心栞</v>
      </c>
      <c r="C553" s="449" t="s">
        <v>4528</v>
      </c>
      <c r="D553" s="408">
        <v>550</v>
      </c>
      <c r="E553" s="477">
        <v>202102001</v>
      </c>
      <c r="F553" s="409" t="str">
        <f>INDEX('卡片raw data'!C:C,MATCH($D553,'卡片raw data'!$F:$F,))</f>
        <v>SR</v>
      </c>
      <c r="G553" s="1094" t="s">
        <v>4532</v>
      </c>
      <c r="H553" s="411">
        <f>IFERROR(INDEX(绊状态确认!C:C,MATCH($G553,绊状态确认!$B:$B,)),"")</f>
        <v>210</v>
      </c>
      <c r="I553" s="450" t="str">
        <f>IFERROR(INDEX(绊状态确认!D:D,MATCH($G553,绊状态确认!$B:$B,)),"")</f>
        <v>虹</v>
      </c>
      <c r="J553" s="450" t="str">
        <f>IFERROR(INDEX(绊状态确认!E:E,MATCH($G553,绊状态确认!$B:$B,)),"")</f>
        <v>1年级</v>
      </c>
      <c r="K553" s="451" t="str">
        <f>IFERROR(INDEX(绊状态确认!F:F,MATCH($G553,绊状态确认!$B:$B,)),"")</f>
        <v>R3BIRTH</v>
      </c>
      <c r="L553" s="414" t="str">
        <f>INDEX('卡片raw data'!E:E,MATCH($D553,'卡片raw data'!$F:$F,))</f>
        <v>卡池卡</v>
      </c>
      <c r="M553" s="478">
        <v>44465</v>
      </c>
      <c r="N553" s="479">
        <v>48.5</v>
      </c>
      <c r="O553" s="410" t="str">
        <f>INDEX('卡片raw data'!D:D,MATCH($D553,'卡片raw data'!$F:$F,))</f>
        <v>vo</v>
      </c>
      <c r="P553" s="1126">
        <v>5</v>
      </c>
      <c r="Q553" s="418">
        <f t="shared" si="688"/>
        <v>40279.412461459375</v>
      </c>
      <c r="R553" s="419">
        <f t="shared" si="689"/>
        <v>0.46800000000000003</v>
      </c>
      <c r="S553" s="420">
        <f t="shared" si="690"/>
        <v>16163.682790222883</v>
      </c>
      <c r="T553" s="421">
        <f t="shared" si="691"/>
        <v>0.80800000000000005</v>
      </c>
      <c r="U553" s="422">
        <f t="shared" si="692"/>
        <v>-11.767962970917143</v>
      </c>
      <c r="V553" s="423">
        <f t="shared" si="693"/>
        <v>40033.008229304753</v>
      </c>
      <c r="W553" s="424">
        <f t="shared" si="694"/>
        <v>5964.2789926535879</v>
      </c>
      <c r="X553" s="419">
        <f t="shared" si="695"/>
        <v>6.9000000000000006E-2</v>
      </c>
      <c r="Y553" s="420">
        <f t="shared" si="696"/>
        <v>1058.2642180870762</v>
      </c>
      <c r="Z553" s="425">
        <f t="shared" si="697"/>
        <v>13.232037029082857</v>
      </c>
      <c r="AA553" s="426">
        <f t="shared" si="698"/>
        <v>7022.5432107406641</v>
      </c>
      <c r="AB553" s="424">
        <f t="shared" si="699"/>
        <v>7097.1570525083789</v>
      </c>
      <c r="AC553" s="427">
        <f t="shared" si="700"/>
        <v>8.2000000000000003E-2</v>
      </c>
      <c r="AD553" s="428">
        <f t="shared" si="701"/>
        <v>-3.8207812500000026E-3</v>
      </c>
      <c r="AE553" s="516">
        <f t="shared" si="702"/>
        <v>-12.27536231884058</v>
      </c>
      <c r="AF553" s="1130">
        <f t="shared" si="703"/>
        <v>0</v>
      </c>
      <c r="AG553" s="420">
        <f t="shared" si="704"/>
        <v>0</v>
      </c>
      <c r="AH553" s="420">
        <f t="shared" si="705"/>
        <v>0</v>
      </c>
      <c r="AI553" s="1097">
        <f t="shared" si="706"/>
        <v>0</v>
      </c>
      <c r="AJ553" s="420">
        <f t="shared" si="707"/>
        <v>0</v>
      </c>
      <c r="AK553" s="518">
        <f t="shared" si="708"/>
        <v>0</v>
      </c>
      <c r="AL553" s="1106">
        <f>IF($P553="","N/A",(IF($P553=-1,INDEX('卡片raw data'!S:S,MATCH($D553,'卡片raw data'!$F:$F,)),0)+IF($P553=0,INDEX('卡片raw data'!V:V,MATCH($D553,'卡片raw data'!$F:$F,)),0)+IF($P553=1,INDEX('卡片raw data'!Y:Y,MATCH($D553,'卡片raw data'!$F:$F,)),0)+IF($P553=2,INDEX('卡片raw data'!AB:AB,MATCH($D553,'卡片raw data'!$F:$F,)),0)+IF($P553=3,INDEX('卡片raw data'!AE:AE,MATCH($D553,'卡片raw data'!$F:$F,)),0)+IF($P553=4,INDEX('卡片raw data'!AH:AH,MATCH($D553,'卡片raw data'!$F:$F,)),0)+IF($P553=5,INDEX('卡片raw data'!AK:AK,MATCH($D553,'卡片raw data'!$F:$F,)),0)+INDEX('卡片raw data'!S:S,MATCH($D553,'卡片raw data'!$F:$F,))*(IF($F553="UR",0.04,0.033))*(IF($F553="UR",INDEX(绊状态确认!$S:$S,MATCH($G553,绊状态确认!$B:$B,))/2-40)+IF($F553="SR",INDEX(绊状态确认!$R:$R,MATCH($G553,绊状态确认!$B:$B,))/4-15))+IF($F553="R",INDEX(绊状态确认!$Q:$Q,MATCH($G553,绊状态确认!$B:$B,))/6-40/6)))*(INDEX(绊状态确认!$H:$H,MATCH($G553,绊状态确认!$B:$B,))+INDEX(绊状态确认!J:J,MATCH($G553,绊状态确认!$B:$B,)))</f>
        <v>8664.140879999999</v>
      </c>
      <c r="AM553" s="1106">
        <f>IF($P553="","N/A",(IF($P553=-1,INDEX('卡片raw data'!T:T,MATCH($D553,'卡片raw data'!$F:$F,)),0)+IF($P553=0,INDEX('卡片raw data'!W:W,MATCH($D553,'卡片raw data'!$F:$F,)),0)+IF($P553=1,INDEX('卡片raw data'!Z:Z,MATCH($D553,'卡片raw data'!$F:$F,)),0)+IF($P553=2,INDEX('卡片raw data'!AC:AC,MATCH($D553,'卡片raw data'!$F:$F,)),0)+IF($P553=3,INDEX('卡片raw data'!AF:AF,MATCH($D553,'卡片raw data'!$F:$F,)),0)+IF($P553=4,INDEX('卡片raw data'!AI:AI,MATCH($D553,'卡片raw data'!$F:$F,)),0)+IF($P553=5,INDEX('卡片raw data'!AL:AL,MATCH($D553,'卡片raw data'!$F:$F,)),0)+INDEX('卡片raw data'!T:T,MATCH($D553,'卡片raw data'!$F:$F,))*(IF($F553="UR",0.04,0.033))*(IF($F553="UR",INDEX(绊状态确认!$S:$S,MATCH($G553,绊状态确认!$B:$B,))/2-40)+IF($F553="SR",INDEX(绊状态确认!$R:$R,MATCH($G553,绊状态确认!$B:$B,))/4-15))+IF($F553="R",INDEX(绊状态确认!$Q:$Q,MATCH($G553,绊状态确认!$B:$B,))/6-40/6)))*(INDEX(绊状态确认!$H:$H,MATCH($G553,绊状态确认!$B:$B,))+INDEX(绊状态确认!K:K,MATCH($G553,绊状态确认!$B:$B,)))</f>
        <v>7066.5943055999996</v>
      </c>
      <c r="AN553" s="1106">
        <f>IF($P553="","N/A",(IF($P553=-1,INDEX('卡片raw data'!U:U,MATCH($D553,'卡片raw data'!$F:$F,)),0)+IF($P553=0,INDEX('卡片raw data'!X:X,MATCH($D553,'卡片raw data'!$F:$F,)),0)+IF($P553=1,INDEX('卡片raw data'!AA:AA,MATCH($D553,'卡片raw data'!$F:$F,)),0)+IF($P553=2,INDEX('卡片raw data'!AD:AD,MATCH($D553,'卡片raw data'!$F:$F,)),0)+IF($P553=3,INDEX('卡片raw data'!AG:AG,MATCH($D553,'卡片raw data'!$F:$F,)),0)+IF($P553=4,INDEX('卡片raw data'!AJ:AJ,MATCH($D553,'卡片raw data'!$F:$F,)),0)+IF($P553=5,INDEX('卡片raw data'!AM:AM,MATCH($D553,'卡片raw data'!$F:$F,)),0)+INDEX('卡片raw data'!U:U,MATCH($D553,'卡片raw data'!$F:$F,))*(IF($F553="UR",0.04,0.033))*(IF($F553="UR",INDEX(绊状态确认!$S:$S,MATCH($G553,绊状态确认!$B:$B,))/2-40)+IF($F553="SR",INDEX(绊状态确认!$R:$R,MATCH($G553,绊状态确认!$B:$B,))/4-15))+IF($F553="R",INDEX(绊状态确认!$Q:$Q,MATCH($G553,绊状态确认!$B:$B,))/6-40/6)))*(INDEX(绊状态确认!$H:$H,MATCH($G553,绊状态确认!$B:$B,))+INDEX(绊状态确认!L:L,MATCH($G553,绊状态确认!$B:$B,)))</f>
        <v>7066.5943055999996</v>
      </c>
      <c r="AO553" s="1107">
        <f t="shared" si="709"/>
        <v>1</v>
      </c>
      <c r="AP553" s="1131">
        <f>1+(INDEX(绊状态确认!$T:$T,MATCH($G553,绊状态确认!$B:$B,))+0.2)*$AO553</f>
        <v>1.3</v>
      </c>
      <c r="AQ553" s="1108">
        <f t="shared" si="710"/>
        <v>25993.36981</v>
      </c>
      <c r="AR553" s="1097">
        <f>(AM553*(1+$EX$9)+$EX$35)*(1+(INDEX(绊状态确认!$T:$T,MATCH($G553,绊状态确认!$B:$B,))+0.2)*AO553)*IF(J553=$FF$17,1+$FE$17,1)*IF(I553=$FF$14,1+$FE$14,1)</f>
        <v>12349.901227144001</v>
      </c>
      <c r="AS553" s="1097">
        <f>(AN553*(1+$EX$10)+$EX$36)*(1+(INDEX(绊状态确认!$T:$T,MATCH($G553,绊状态确认!$B:$B,))+0.2)*AO553)*IF(J553=$FF$17,1+$FE$17,1)*IF(I553=$FF$14,1+$FE$14,1)</f>
        <v>14620.558486872</v>
      </c>
      <c r="AT553" s="1093">
        <f>IF(AND(INDEX('卡片raw data'!AK:AK,MATCH($D553,'卡片raw data'!$F:$F,))&lt;INDEX('卡片raw data'!AM:AM,MATCH($D553,'卡片raw data'!$F:$F,)),INDEX('卡片raw data'!AL:AL,MATCH($D553,'卡片raw data'!$F:$F,))&lt;INDEX('卡片raw data'!AM:AM,MATCH($D553,'卡片raw data'!$F:$F,))),1,0)</f>
        <v>0</v>
      </c>
      <c r="AU553" s="1098">
        <f>MIN(AT553*0.15+AS553*0.00003+INDEX(绊状态确认!M:M,MATCH($G553,绊状态确认!$B:$B,)),1)</f>
        <v>0.46861675460616004</v>
      </c>
      <c r="AV553" s="1109">
        <f>(INDEX(绊状态确认!$N:$N,MATCH($G553,绊状态确认!$B:$B,))+1.5)*$EW$21</f>
        <v>2.6599999999999997</v>
      </c>
      <c r="AW553" s="1101">
        <f t="shared" si="711"/>
        <v>24000.937759345004</v>
      </c>
      <c r="AX553" s="1097">
        <f t="shared" si="712"/>
        <v>1058.264218087076</v>
      </c>
      <c r="AY553" s="1110">
        <f t="shared" si="713"/>
        <v>25059.20197743208</v>
      </c>
      <c r="AZ553" s="429">
        <f t="shared" si="714"/>
        <v>19495.074715999999</v>
      </c>
      <c r="BA553" s="431">
        <f t="shared" si="715"/>
        <v>23394.089659199999</v>
      </c>
      <c r="BB553" s="1097">
        <f>(AM553*(1+$FB$9)+$FB$35)*(1+(INDEX(绊状态确认!$T:$T,MATCH($G553,绊状态确认!$B:$B,))+0.2)*AO553)*IF(J553=$FF$17,1+$FE$17,1)*IF(I553=$FF$14,1+$FE$14,1)*(1+$FE$15)</f>
        <v>12349.901227144001</v>
      </c>
      <c r="BC553" s="1097">
        <f>(AN553*(1+$FB$10)+$FB$36)*(1+(INDEX(绊状态确认!$T:$T,MATCH($G553,绊状态确认!$B:$B,))+0.2)*AO553)*IF(J553=$FF$17,1+$FE$17,1)*IF(I553=$FF$14,1+$FE$14,1)*(1+$FE$15)</f>
        <v>14620.558486872</v>
      </c>
      <c r="BD553" s="1104">
        <f>MIN(AT553*0.15+BC553*0.00003+INDEX(绊状态确认!M:M,MATCH($G553,绊状态确认!$B:$B,)),1)</f>
        <v>0.46861675460616004</v>
      </c>
      <c r="BE553" s="432">
        <f>(INDEX(绊状态确认!$N:$N,MATCH($G553,绊状态确认!$B:$B,))+1.5)</f>
        <v>1.9</v>
      </c>
      <c r="BF553" s="1139">
        <f t="array" ref="BF553">SUMPRODUCT(IF(AZ553*AP553*$FI$16:$FI$23*$FA$22&gt;=$FI$24,$FI$24,AZ553*AP553*$FI$16:$FI$23*$FA$22),$FJ$16:$FJ$23)</f>
        <v>38775.703610124001</v>
      </c>
      <c r="BG553" s="1125">
        <f t="array" ref="BG553">SUMPRODUCT(IF(BE553*AZ553*AP553*$FI$16:$FI$23*$FA$22&gt;=$FI$24,$FI$24,BE553*AZ553*AP553*$FI$16:$FI$23*$FA$22),$FJ$16:$FJ$23)</f>
        <v>59778.340145822396</v>
      </c>
      <c r="BH553" s="1110">
        <f t="shared" si="716"/>
        <v>16205.963660551914</v>
      </c>
      <c r="BI553" s="1111">
        <f>IF(O553="vo",$EW$26/$EW$24*0.05,0)+IF(O553="sk",-$EW$26/$EW$24*(0.05-INDEX(绊状态确认!W:W,MATCH($G553,绊状态确认!$B:$B,)))+0.05*$EW$28,0)+IF(O553="sp",0.05*$EW$32*$EW$30*(1-$EW$33)-(0.05-INDEX(绊状态确认!V:V,MATCH($G553,绊状态确认!$B:$B,)))*$EW$28,0)+IF(O553="gd",-(0.05-INDEX(绊状态确认!X:X,MATCH($G553,绊状态确认!$B:$B,)))*$EW$32*$EW$30*(1-$EW$33),0)</f>
        <v>7726.3029277443748</v>
      </c>
      <c r="BJ553" s="420">
        <f>IF(O553="vo",0.05*(1-$FI$26)*$FA$24,0)+IF(O553="sk",-(0.05-INDEX(绊状态确认!W:W,MATCH($G553,绊状态确认!$B:$B,)))*(1-$FI$26)*$FA$24+0.05*$FA$26,0)+IF(O553="sp",0.05*$FA$32*$FA$27*(1-$FA$33)/$FA$30+0.05*$FA$29/$FA$69*$FA$27*(1-$FA$33)-(0.05-INDEX(绊状态确认!V:V,MATCH($G553,绊状态确认!$B:$B,)))*$FA$26,0)+IF(O553="gd",-(0.05-INDEX(绊状态确认!X:X,MATCH($G553,绊状态确认!$B:$B,)))*$FA$32*$FA$27*(1-$FA$33)/$FA$30-(0.05-INDEX(绊状态确认!X:X,MATCH($G553,绊状态确认!$B:$B,)))*$FA$29/$FA$69*$FA$27*(1-$FA$33),0)</f>
        <v>393.93433687500004</v>
      </c>
      <c r="BK553" s="1110">
        <f>IF(O553="vo",$EW$26/$EW$24*0.05+$EW$26*(-HP($EW$62,$EW$65,$EW$64)+HP($EW$62,$EW$65,(1.05-INDEX(绊状态确认!U:U,MATCH($G553,绊状态确认!$B:$B,)))*$EW$64)),0)+IF(O553="sk",-$EW$26/$EW$24*(0.05-INDEX(绊状态确认!W:W,MATCH($G553,绊状态确认!$B:$B,)))+0.05*$EW$29,0)+IF(O553="sp",0.05*$EW$32*$EW$30*(1-$EW$33)-(0.05-INDEX(绊状态确认!V:V,MATCH($G553,绊状态确认!$B:$B,)))*$EW$29,0)+IF(O553="gd",-(0.05-INDEX(绊状态确认!X:X,MATCH($G553,绊状态确认!$B:$B,)))*$EW$32*$EW$30*(1-$EW$33)+$EW$26*(-HP($EW$62,$EW$65,$EW$64)+HP($EW$62,$EW$65,0.95*$EW$64)),0)</f>
        <v>6421.6344775026746</v>
      </c>
      <c r="BL553" s="1111">
        <f t="shared" si="717"/>
        <v>-1083.3333333333333</v>
      </c>
      <c r="BM553" s="1110">
        <f t="shared" si="718"/>
        <v>-830.55555555555543</v>
      </c>
      <c r="BN553" s="1113">
        <f t="shared" si="719"/>
        <v>3</v>
      </c>
      <c r="BO553" s="1108">
        <f t="shared" si="720"/>
        <v>4507.7214871259994</v>
      </c>
      <c r="BP553" s="1127">
        <f t="shared" si="721"/>
        <v>221.34103209030098</v>
      </c>
      <c r="BQ553" s="1113" t="s">
        <v>132</v>
      </c>
      <c r="BR553" s="1124" t="s">
        <v>557</v>
      </c>
      <c r="BS553" s="421">
        <f>IF($P553="","N/A",IF($P553=-1,INDEX('卡片raw data'!AX:AX,MATCH($D553,'卡片raw data'!$F:$F,)),0)+IF($L553="party卡",IF($P553=5,INDEX('卡片raw data'!BD:BD,MATCH($D553,'卡片raw data'!$F:$F,)),IF($P553&gt;=3,INDEX('卡片raw data'!BC:BC,MATCH($D553,'卡片raw data'!$F:$F,)),INDEX('卡片raw data'!BB:BB,MATCH($D553,'卡片raw data'!$F:$F,)))),IF(OR(AND($F553="UR",$P553=0),AND($F553="SR",$P553&gt;=0,$P553&lt;=2),AND($F553="R",$P553&gt;=0,$P553&lt;4)),INDEX('卡片raw data'!AZ:AZ,MATCH($D553,'卡片raw data'!$F:$F,)),0)+IF(OR(AND($F553="UR",$P553&gt;=1,$P553&lt;=4),AND($F553="SR",$P553&lt;=4,$P553&gt;=3),AND($F553="R",$P553=4)),INDEX('卡片raw data'!BA:BA,MATCH($D553,'卡片raw data'!$F:$F,)),0)+IF($P553=5,INDEX('卡片raw data'!BB:BB,MATCH($D553,'卡片raw data'!$F:$F,)),0)))</f>
        <v>4.2000000000000003E-2</v>
      </c>
      <c r="BT553" s="424">
        <f t="shared" si="722"/>
        <v>1682.88268852704</v>
      </c>
      <c r="BU553" s="420">
        <f t="shared" si="723"/>
        <v>61.975488985284287</v>
      </c>
      <c r="BV553" s="420">
        <f t="shared" si="724"/>
        <v>946.62151229645997</v>
      </c>
      <c r="BW553" s="436">
        <f t="shared" si="725"/>
        <v>0</v>
      </c>
      <c r="BX553" s="423">
        <f t="shared" si="726"/>
        <v>1682.88268852704</v>
      </c>
      <c r="BY553" s="433">
        <f t="shared" si="727"/>
        <v>946.62151229645997</v>
      </c>
      <c r="BZ553" s="1113" t="s">
        <v>569</v>
      </c>
      <c r="CA553" s="450"/>
      <c r="CB553" s="421">
        <f>IF($P553="","N/A",IF($P553=-1,INDEX('卡片raw data'!BE:BE,MATCH($D553,'卡片raw data'!$F:$F,)),0)+IF($L553="party卡",IF($P553=5,INDEX('卡片raw data'!BK:BK,MATCH($D553,'卡片raw data'!$F:$F,)),IF($P553&gt;=3,INDEX('卡片raw data'!BJ:BJ,MATCH($D553,'卡片raw data'!$F:$F,)),INDEX('卡片raw data'!BI:BI,MATCH($D553,'卡片raw data'!$F:$F,)))),IF(OR(AND($F553="UR",$P553=0),AND($F553="SR",$P553&gt;=0,$P553&lt;=2),AND($F553="R",$P553&gt;=0,$P553&lt;4)),INDEX('卡片raw data'!BG:BG,MATCH($D553,'卡片raw data'!$F:$F,)),0)+IF(OR(AND($F553="UR",$P553&gt;=1,$P553&lt;=4),AND($F553="SR",$P553&lt;=4,$P553&gt;=3),AND($F553="R",$P553=4)),INDEX('卡片raw data'!BH:BH,MATCH($D553,'卡片raw data'!$F:$F,)),0)+IF($P553=5,INDEX('卡片raw data'!BI:BI,MATCH($D553,'卡片raw data'!$F:$F,)),0)))</f>
        <v>0</v>
      </c>
      <c r="CC553" s="424">
        <f t="shared" si="778"/>
        <v>0</v>
      </c>
      <c r="CD553" s="420">
        <f>IF(BZ553="ap",CB553*(1-$FI$26)*$FB$5/$FB$11*(+IF(CA553="全员",$FA$24,0)+IF(CA553="同作战",$FA$24,0)+IF(CA553="仲间",$FA$24*2/3,0)+IF(CA553="同属性",$FA$24*$FA$37/3,0)+IF(CA553="同年级",$FA$24*$FA$40/3,0)+IF(CA553="同学校",$FA$24*$FA$43/3,0)+IF(CA553="同小队",$FA$24*$FA$46/3,0)+IF(CA553="同type",$FA$24*INDEX($FB$49:$FB$52,MATCH(X553,$FA$49:$FA$52,))/3,0)+IF(CA553="自身",#REF!/3,0)),0)+IF(BZ553="te",CB553*(1-$FI$27)*($FA$20-1)*$FB$7/$FB$13*(+IF(CA553="全员",$FA$19*$FA$24/(1+($FA$20-1)*$FA$19),0)+IF(CA553="同作战",$FA$19*$FA$24/(1+($FA$20-1)*$FA$19),0)+IF(CA553="仲间",$FA$19*$FA$24*2/3/(1+($FA$20-1)*$FA$19),0)+IF(CA553="同属性",$FA$19*$FA$24*$FA$37/3/(1+($FA$20-1)*$FA$19),0)+IF(CA553="同年级",$FA$19*$FA$24*$FA$40/3/(1+($FA$20-1)*$FA$19),0)+IF(CA553="同学校",$FA$19*$FA$24*$FA$43/3/(1+($FA$20-1)*$FA$19),0)+IF(CA553="同小队",$FA$19*$FA$24*$FA$46/3/(1+($FA$20-1)*$FA$19),0)+IF(CA553="同type",$FA$19*$FA$24*INDEX($FB$49:$FB$52,MATCH(X553,$FA$49:$FA$52,))/3/(1+($FA$20-1)*$FA$19),0)+IF(CA553="自身",$FA$19*#REF!/3/(1+(BH553-1)*$BD553),0)),0)</f>
        <v>0</v>
      </c>
      <c r="CE553" s="420">
        <f t="shared" si="729"/>
        <v>0</v>
      </c>
      <c r="CF553" s="436">
        <f t="shared" si="779"/>
        <v>0</v>
      </c>
      <c r="CG553" s="423">
        <f t="shared" si="731"/>
        <v>0</v>
      </c>
      <c r="CH553" s="433">
        <f t="shared" si="732"/>
        <v>0</v>
      </c>
      <c r="CI553" s="1113" t="s">
        <v>165</v>
      </c>
      <c r="CJ553" s="1114">
        <v>1</v>
      </c>
      <c r="CK553" s="1115" t="s">
        <v>2074</v>
      </c>
      <c r="CL553" s="1115" t="s">
        <v>4534</v>
      </c>
      <c r="CM553" s="1119">
        <v>0.01</v>
      </c>
      <c r="CN553" s="1115" t="s">
        <v>4535</v>
      </c>
      <c r="CO553" s="1115"/>
      <c r="CP553" s="1118">
        <f t="shared" si="733"/>
        <v>5.3333333333333332E-3</v>
      </c>
      <c r="CQ553" s="1118">
        <f t="shared" si="734"/>
        <v>4.0000000000000001E-3</v>
      </c>
      <c r="CR553" s="1118">
        <f t="shared" si="735"/>
        <v>3.0000000000000001E-3</v>
      </c>
      <c r="CS553" s="442">
        <f>IF(CK553="技能+",IF(CN553="infty",(IF(CI553="曲开始",CM553*CJ553)+IF(OR(CI553="AC时",CI553="AC成功"),(1-(1-(1-CJ553)^($FM$20+1))/(($FM$20+1)*CJ553))*CM553))*(IF(CL553="全员",1)))+IF(CN553&lt;&gt;"infty",CM553*(IF(CI553="曲开始",CJ553*CN553/$FM$19)+IF(OR(CI553="AC时",CI553="AC成功"),CN553*IF(CO553&lt;&gt;"",MIN(CO553,CJ553*$FM$20),CJ553*$FM$20)/$FM$19)+IF(CI553="切队",CN553*IF(CO553&lt;&gt;"",MIN(CJ553*$FM$11,CO553/$FM$19),CJ553*$FM$11))+IF(CI553="ap时",IF(CO553&lt;&gt;"",MIN(CO553/$FM1001,IF($O553="sk",$FM$10,$FM$9)*CJ553),IF($O553="sk",$FM$10,$FM$9)*CJ553)*CN553)+IF(CI553="ct时",IF(CO553&lt;&gt;"",MIN(CO553/$FM1001,$AU553*IF($O553="sk",$FM$10,$FM$9)*CJ553),$AU553*IF($O553="sk",$FM$10,$FM$9)*CJ553)*CN553))*(IF(CL553="全员",1)+IF(CL553="同作战",IF($O553="sk",$FM$10*3,$FM$9*3))+IF(CL553="同属性",$FM$23/6)+IF(CL553="同年级",$FM$24/6)+IF(CL553="自身",IF($O553="sk",$FM$10,$FM$9)))),0)*$FM$16</f>
        <v>0</v>
      </c>
      <c r="CT553" s="432">
        <f>IF(CK553="sp+",IF(CN553="infty",(IF(CI553="曲开始",CM553*CJ553*$FM$28)+IF(OR(CI553="AC时",CI553="AC成功"),(1-(1-(1-CJ553)^($FM$20+1))/(($FM$20+1)*CJ553))*CM553*$FM$28))*(IF(CL553="全员",1)))+IF(CN553&lt;&gt;"infty",CM553*$FM$28*(IF(CI553="曲开始",CJ553*CN553/$FM$19)+IF(OR(CI553="AC时",CI553="AC成功"),CN553*IF(CO553&lt;&gt;"",MIN(CO553,CJ553*$FM$20),CJ553*$FM$20)/$FM$19)+IF(CI553="切队",CN553*IF(CO553&lt;&gt;"",MIN(CJ553*$FM$11,CO553/$FM$19),CJ553*$FM$11))+IF(CI553="ap时",IF(CO553&lt;&gt;"",MIN(CO553/$FM1001,IF($O553="sk",$FM$10,$FM$9)*CJ553),IF($O553="sk",$FM$10,$FM$9)*CJ553)*CN553)+IF(CI553="ct时",IF(CO553&lt;&gt;"",MIN(CO553/$FM1001,$AU553*IF($O553="sk",$FM$10,$FM$9)*CJ553),$AU553*IF($O553="sk",$FM$10,$FM$9)*CJ553)*CN553))*(IF(CL553="全员",1)+IF(CL553="同作战",IF($O553="sk",$FM$10*3,$FM$9*3))+IF(CL553="同属性",$FM$23/6)+IF(CL553="同年级",$FM$24/6)+IF(CL553="同type",IF(O553="sp",$FN$6*$FM$9)))),0)+IF(CK553="sp获得",IF(CI553="AC成功",0,CM553*(IF(CL553="ap",AQ553)+IF(CL553="st",AR553)+IF(CL553="te",AS553)+IF(CL553="sp槽",$EW$77)+IF(CL553="",1))*IF($O553="sk",1,1+(1+$FM$10/$FM$9)*($FM$27-1))*(IF(CI553="曲开始",CJ553/$FM$19)+IF(CI553="SP发动",IF(CO553&lt;&gt;"",MIN(CO553/$FM$19,CJ553*$FM$30/$FM$19),CJ553*$FM$30/$FM$19))+IF(CI553="切队",IF(CO553&lt;&gt;"",MIN(CO553/$FM$19,CJ553*$FM$11),CJ553*$FM$11))+IF(OR(CI553="AC时",CI553="AC成功"),IF(CO553&lt;&gt;"",MIN(CO553/$FM$19,CJ553*$FM$20/$FM$19),CJ553*$FM$20/$FM$19))+IF(CI553="ap时",IF(CO553&lt;&gt;"",MIN(CO553/$FM$19,CJ553*IF($O553="sk",$FM$10,$FM$9)),CJ553*IF($O553="sk",$FM$10,$FM$9)))+IF(CI553="ct时",IF(CO553&lt;&gt;"",MIN(CO553/$FM$19,CJ553*IF($O553="sk",$FM$10,$FM$9)*$AU553),CJ553*IF($O553="sk",$FM$10,$FM$9)*$AU553)))))</f>
        <v>0</v>
      </c>
      <c r="CU553" s="1101">
        <f t="shared" si="738"/>
        <v>906.55287685533995</v>
      </c>
      <c r="CV553" s="1108">
        <f t="shared" si="777"/>
        <v>31.514746950000003</v>
      </c>
      <c r="CW553" s="420">
        <f t="shared" si="739"/>
        <v>509.93599323112875</v>
      </c>
      <c r="CX553" s="420">
        <f t="shared" si="740"/>
        <v>906.55287685533995</v>
      </c>
      <c r="CY553" s="433">
        <f t="shared" si="741"/>
        <v>509.93599323112875</v>
      </c>
      <c r="CZ553" s="437"/>
      <c r="DA553" s="438"/>
      <c r="DB553" s="439" t="s">
        <v>569</v>
      </c>
      <c r="DC553" s="439"/>
      <c r="DD553" s="443"/>
      <c r="DE553" s="411"/>
      <c r="DF553" s="411"/>
      <c r="DG553" s="1116">
        <f t="shared" si="742"/>
        <v>0</v>
      </c>
      <c r="DH553" s="1116">
        <f t="shared" si="743"/>
        <v>0</v>
      </c>
      <c r="DI553" s="1116">
        <f t="shared" si="744"/>
        <v>0</v>
      </c>
      <c r="DJ553" s="442">
        <f t="shared" si="780"/>
        <v>0</v>
      </c>
      <c r="DK553" s="432">
        <f t="shared" si="781"/>
        <v>0</v>
      </c>
      <c r="DL553" s="424">
        <f t="shared" si="747"/>
        <v>0</v>
      </c>
      <c r="DM553" s="420">
        <f t="shared" si="748"/>
        <v>0</v>
      </c>
      <c r="DN553" s="420">
        <f t="shared" si="749"/>
        <v>0</v>
      </c>
      <c r="DO553" s="420">
        <f t="shared" si="750"/>
        <v>0</v>
      </c>
      <c r="DP553" s="433">
        <f t="shared" si="751"/>
        <v>0</v>
      </c>
      <c r="DQ553" s="1113" t="s">
        <v>167</v>
      </c>
      <c r="DR553" s="1120">
        <f t="shared" si="773"/>
        <v>0.3</v>
      </c>
      <c r="DS553" s="1124">
        <v>5</v>
      </c>
      <c r="DT553" s="1124" t="s">
        <v>4534</v>
      </c>
      <c r="DU553" s="1093" t="s">
        <v>544</v>
      </c>
      <c r="DV553" s="1098">
        <f>IF($P553="","N/A",IF(P553=-1,INDEX('卡片raw data'!AN:AN,MATCH(D553,'卡片raw data'!$F:$F,)),0)+IF(AND(L553&lt;&gt;"party卡",P553&lt;=2,P553&gt;=0),INDEX('卡片raw data'!AP:AP,MATCH(D553,'卡片raw data'!$F:$F,)),0)+IF(OR(AND(L553="party卡",P553&lt;=1),AND(P553&lt;=4,L553&lt;&gt;"party卡",P553&gt;=3)),INDEX('卡片raw data'!AQ:AQ,MATCH(D553,'卡片raw data'!$F:$F,)),0)+IF(OR(P553=5,AND(L553="party卡",P553&gt;=2)),INDEX('卡片raw data'!AR:AR,MATCH(D553,'卡片raw data'!$F:$F,)),0))</f>
        <v>7.0000000000000007E-2</v>
      </c>
      <c r="DW553" s="1098">
        <f t="shared" si="752"/>
        <v>0.3</v>
      </c>
      <c r="DX553" s="1098">
        <f t="shared" si="753"/>
        <v>0.3</v>
      </c>
      <c r="DY553" s="1098">
        <f t="shared" si="754"/>
        <v>1.8666666666666668E-2</v>
      </c>
      <c r="DZ553" s="1098">
        <f t="shared" si="755"/>
        <v>1.2110000000000001E-2</v>
      </c>
      <c r="EA553" s="421">
        <f t="shared" si="756"/>
        <v>0</v>
      </c>
      <c r="EB553" s="445">
        <f t="shared" si="757"/>
        <v>0</v>
      </c>
      <c r="EC553" s="424">
        <f t="shared" si="758"/>
        <v>2538.3480551949524</v>
      </c>
      <c r="ED553" s="420">
        <f t="shared" si="759"/>
        <v>79.509080325937518</v>
      </c>
      <c r="EE553" s="433">
        <f t="shared" si="775"/>
        <v>2538.3480551949524</v>
      </c>
      <c r="EF553" s="1113" t="s">
        <v>569</v>
      </c>
      <c r="EG553" s="1120">
        <f t="shared" si="774"/>
        <v>0.3</v>
      </c>
      <c r="EH553" s="450"/>
      <c r="EI553" s="1124"/>
      <c r="EJ553" s="1124"/>
      <c r="EK553" s="420">
        <f>IF($P553="","N/A",IF(P553=-1,INDEX('卡片raw data'!AS:AS,MATCH(D553,'卡片raw data'!$F:$F,)),0)+IF(AND(L553&lt;&gt;"party卡",P553&lt;=2,P553&gt;=0),INDEX('卡片raw data'!AU:AU,MATCH(D553,'卡片raw data'!$F:$F,)),0)+IF(OR(AND(L553="party卡",P553&lt;=1),AND(P553&lt;=4,L553&lt;&gt;"party卡",P553&gt;=3)),INDEX('卡片raw data'!AV:AV,MATCH(D553,'卡片raw data'!$F:$F,)),0)+IF(OR(P553=5,AND(L553="party卡",P553&gt;=2)),INDEX('卡片raw data'!AW:AW,MATCH(D553,'卡片raw data'!$F:$F,)),0))</f>
        <v>0</v>
      </c>
      <c r="EL553" s="1098">
        <f t="shared" si="760"/>
        <v>0.3</v>
      </c>
      <c r="EM553" s="1098">
        <f t="shared" si="761"/>
        <v>0.3</v>
      </c>
      <c r="EN553" s="1097">
        <f t="shared" si="762"/>
        <v>0</v>
      </c>
      <c r="EO553" s="1097">
        <f t="shared" si="763"/>
        <v>0</v>
      </c>
      <c r="EP553" s="421">
        <f t="shared" si="764"/>
        <v>0</v>
      </c>
      <c r="EQ553" s="445">
        <f t="shared" si="765"/>
        <v>0</v>
      </c>
      <c r="ER553" s="424">
        <f t="shared" si="766"/>
        <v>0</v>
      </c>
      <c r="ES553" s="420">
        <f t="shared" si="767"/>
        <v>0</v>
      </c>
      <c r="ET553" s="446">
        <f t="shared" si="776"/>
        <v>0</v>
      </c>
    </row>
    <row r="554" spans="2:150" ht="16.5" customHeight="1">
      <c r="B554" s="448" t="str">
        <f>INDEX('卡片raw data'!B:B,MATCH($D554,'卡片raw data'!$F:$F,))</f>
        <v>私服善</v>
      </c>
      <c r="C554" s="449" t="s">
        <v>4549</v>
      </c>
      <c r="D554" s="408">
        <v>551</v>
      </c>
      <c r="E554" s="477">
        <v>401063005</v>
      </c>
      <c r="F554" s="409" t="str">
        <f>INDEX('卡片raw data'!C:C,MATCH($D554,'卡片raw data'!$F:$F,))</f>
        <v>UR</v>
      </c>
      <c r="G554" s="1094" t="s">
        <v>4550</v>
      </c>
      <c r="H554" s="411">
        <f>IFERROR(INDEX(绊状态确认!C:C,MATCH($G554,绊状态确认!$B:$B,)),"")</f>
        <v>106</v>
      </c>
      <c r="I554" s="450" t="str">
        <f>IFERROR(INDEX(绊状态确认!D:D,MATCH($G554,绊状态确认!$B:$B,)),"")</f>
        <v>水</v>
      </c>
      <c r="J554" s="450" t="str">
        <f>IFERROR(INDEX(绊状态确认!E:E,MATCH($G554,绊状态确认!$B:$B,)),"")</f>
        <v>1年级</v>
      </c>
      <c r="K554" s="451" t="str">
        <f>IFERROR(INDEX(绊状态确认!F:F,MATCH($G554,绊状态确认!$B:$B,)),"")</f>
        <v>Guilty Kiss</v>
      </c>
      <c r="L554" s="414" t="str">
        <f>INDEX('卡片raw data'!E:E,MATCH($D554,'卡片raw data'!$F:$F,))</f>
        <v>卡池卡</v>
      </c>
      <c r="M554" s="478">
        <v>44474</v>
      </c>
      <c r="N554" s="479">
        <v>49</v>
      </c>
      <c r="O554" s="410" t="str">
        <f>INDEX('卡片raw data'!D:D,MATCH($D554,'卡片raw data'!$F:$F,))</f>
        <v>gd</v>
      </c>
      <c r="P554" s="1126">
        <v>5</v>
      </c>
      <c r="Q554" s="418">
        <f t="shared" si="688"/>
        <v>50744.704431132202</v>
      </c>
      <c r="R554" s="419">
        <f t="shared" si="689"/>
        <v>0.58899999999999997</v>
      </c>
      <c r="S554" s="420">
        <f t="shared" si="690"/>
        <v>19352.278274796372</v>
      </c>
      <c r="T554" s="421">
        <f t="shared" si="691"/>
        <v>0.96699999999999997</v>
      </c>
      <c r="U554" s="422">
        <f t="shared" si="692"/>
        <v>734.06118461805727</v>
      </c>
      <c r="V554" s="423">
        <f t="shared" si="693"/>
        <v>102660.83286897294</v>
      </c>
      <c r="W554" s="424">
        <f t="shared" si="694"/>
        <v>5414.2743639813398</v>
      </c>
      <c r="X554" s="419">
        <f t="shared" si="695"/>
        <v>6.2E-2</v>
      </c>
      <c r="Y554" s="420">
        <f t="shared" si="696"/>
        <v>1886.5025756993664</v>
      </c>
      <c r="Z554" s="425">
        <f t="shared" si="697"/>
        <v>23.307886902857145</v>
      </c>
      <c r="AA554" s="426">
        <f t="shared" si="698"/>
        <v>7300.7769396807062</v>
      </c>
      <c r="AB554" s="424">
        <f t="shared" si="699"/>
        <v>6320.8272408366793</v>
      </c>
      <c r="AC554" s="427">
        <f t="shared" si="700"/>
        <v>7.2999999999999995E-2</v>
      </c>
      <c r="AD554" s="428">
        <f t="shared" si="701"/>
        <v>0</v>
      </c>
      <c r="AE554" s="516">
        <f t="shared" si="702"/>
        <v>-6.25</v>
      </c>
      <c r="AF554" s="1130">
        <f t="shared" si="703"/>
        <v>9701.8506324480004</v>
      </c>
      <c r="AG554" s="420">
        <f t="shared" si="704"/>
        <v>94678.447224000003</v>
      </c>
      <c r="AH554" s="420">
        <f t="shared" si="705"/>
        <v>9.7588028110169383</v>
      </c>
      <c r="AI554" s="1097">
        <f t="shared" si="706"/>
        <v>114936.08205764143</v>
      </c>
      <c r="AJ554" s="420">
        <f t="shared" si="707"/>
        <v>102660.83286897294</v>
      </c>
      <c r="AK554" s="518">
        <f t="shared" si="708"/>
        <v>12275.249188668487</v>
      </c>
      <c r="AL554" s="1106">
        <f>IF($P554="","N/A",(IF($P554=-1,INDEX('卡片raw data'!S:S,MATCH($D554,'卡片raw data'!$F:$F,)),0)+IF($P554=0,INDEX('卡片raw data'!V:V,MATCH($D554,'卡片raw data'!$F:$F,)),0)+IF($P554=1,INDEX('卡片raw data'!Y:Y,MATCH($D554,'卡片raw data'!$F:$F,)),0)+IF($P554=2,INDEX('卡片raw data'!AB:AB,MATCH($D554,'卡片raw data'!$F:$F,)),0)+IF($P554=3,INDEX('卡片raw data'!AE:AE,MATCH($D554,'卡片raw data'!$F:$F,)),0)+IF($P554=4,INDEX('卡片raw data'!AH:AH,MATCH($D554,'卡片raw data'!$F:$F,)),0)+IF($P554=5,INDEX('卡片raw data'!AK:AK,MATCH($D554,'卡片raw data'!$F:$F,)),0)+INDEX('卡片raw data'!S:S,MATCH($D554,'卡片raw data'!$F:$F,))*(IF($F554="UR",0.04,0.033))*(IF($F554="UR",INDEX(绊状态确认!$S:$S,MATCH($G554,绊状态确认!$B:$B,))/2-40)+IF($F554="SR",INDEX(绊状态确认!$R:$R,MATCH($G554,绊状态确认!$B:$B,))/4-15))+IF($F554="R",INDEX(绊状态确认!$Q:$Q,MATCH($G554,绊状态确认!$B:$B,))/6-40/6)))*(INDEX(绊状态确认!$H:$H,MATCH($G554,绊状态确认!$B:$B,))+INDEX(绊状态确认!J:J,MATCH($G554,绊状态确认!$B:$B,)))</f>
        <v>11521.914143999997</v>
      </c>
      <c r="AM554" s="1106">
        <f>IF($P554="","N/A",(IF($P554=-1,INDEX('卡片raw data'!T:T,MATCH($D554,'卡片raw data'!$F:$F,)),0)+IF($P554=0,INDEX('卡片raw data'!W:W,MATCH($D554,'卡片raw data'!$F:$F,)),0)+IF($P554=1,INDEX('卡片raw data'!Z:Z,MATCH($D554,'卡片raw data'!$F:$F,)),0)+IF($P554=2,INDEX('卡片raw data'!AC:AC,MATCH($D554,'卡片raw data'!$F:$F,)),0)+IF($P554=3,INDEX('卡片raw data'!AF:AF,MATCH($D554,'卡片raw data'!$F:$F,)),0)+IF($P554=4,INDEX('卡片raw data'!AI:AI,MATCH($D554,'卡片raw data'!$F:$F,)),0)+IF($P554=5,INDEX('卡片raw data'!AL:AL,MATCH($D554,'卡片raw data'!$F:$F,)),0)+INDEX('卡片raw data'!T:T,MATCH($D554,'卡片raw data'!$F:$F,))*(IF($F554="UR",0.04,0.033))*(IF($F554="UR",INDEX(绊状态确认!$S:$S,MATCH($G554,绊状态确认!$B:$B,))/2-40)+IF($F554="SR",INDEX(绊状态确认!$R:$R,MATCH($G554,绊状态确认!$B:$B,))/4-15))+IF($F554="R",INDEX(绊状态确认!$Q:$Q,MATCH($G554,绊状态确认!$B:$B,))/6-40/6)))*(INDEX(绊状态确认!$H:$H,MATCH($G554,绊状态确认!$B:$B,))+INDEX(绊状态确认!K:K,MATCH($G554,绊状态确认!$B:$B,)))</f>
        <v>12291.302399999999</v>
      </c>
      <c r="AN554" s="1106">
        <f>IF($P554="","N/A",(IF($P554=-1,INDEX('卡片raw data'!U:U,MATCH($D554,'卡片raw data'!$F:$F,)),0)+IF($P554=0,INDEX('卡片raw data'!X:X,MATCH($D554,'卡片raw data'!$F:$F,)),0)+IF($P554=1,INDEX('卡片raw data'!AA:AA,MATCH($D554,'卡片raw data'!$F:$F,)),0)+IF($P554=2,INDEX('卡片raw data'!AD:AD,MATCH($D554,'卡片raw data'!$F:$F,)),0)+IF($P554=3,INDEX('卡片raw data'!AG:AG,MATCH($D554,'卡片raw data'!$F:$F,)),0)+IF($P554=4,INDEX('卡片raw data'!AJ:AJ,MATCH($D554,'卡片raw data'!$F:$F,)),0)+IF($P554=5,INDEX('卡片raw data'!AM:AM,MATCH($D554,'卡片raw data'!$F:$F,)),0)+INDEX('卡片raw data'!U:U,MATCH($D554,'卡片raw data'!$F:$F,))*(IF($F554="UR",0.04,0.033))*(IF($F554="UR",INDEX(绊状态确认!$S:$S,MATCH($G554,绊状态确认!$B:$B,))/2-40)+IF($F554="SR",INDEX(绊状态确认!$R:$R,MATCH($G554,绊状态确认!$B:$B,))/4-15))+IF($F554="R",INDEX(绊状态确认!$Q:$Q,MATCH($G554,绊状态确认!$B:$B,))/6-40/6)))*(INDEX(绊状态确认!$H:$H,MATCH($G554,绊状态确认!$B:$B,))+INDEX(绊状态确认!L:L,MATCH($G554,绊状态确认!$B:$B,)))</f>
        <v>14594.739743999997</v>
      </c>
      <c r="AO554" s="1107">
        <f t="shared" si="709"/>
        <v>1</v>
      </c>
      <c r="AP554" s="1131">
        <f>1+(INDEX(绊状态确认!$T:$T,MATCH($G554,绊状态确认!$B:$B,))+0.2)*$AO554</f>
        <v>1.3</v>
      </c>
      <c r="AQ554" s="1108">
        <f t="shared" si="710"/>
        <v>33495.024627999992</v>
      </c>
      <c r="AR554" s="1097">
        <f>(AM554*(1+$EX$9)+$EX$35)*(1+(INDEX(绊状态确认!$T:$T,MATCH($G554,绊状态确认!$B:$B,))+0.2)*AO554)*IF(J554=$FF$17,1+$FE$17,1)*IF(I554=$FF$14,1+$FE$14,1)</f>
        <v>19481.627776000001</v>
      </c>
      <c r="AS554" s="1097">
        <f>(AN554*(1+$EX$10)+$EX$36)*(1+(INDEX(绊状态确认!$T:$T,MATCH($G554,绊状态确认!$B:$B,))+0.2)*AO554)*IF(J554=$FF$17,1+$FE$17,1)*IF(I554=$FF$14,1+$FE$14,1)</f>
        <v>25875.135917279997</v>
      </c>
      <c r="AT554" s="1093">
        <f>IF(AND(INDEX('卡片raw data'!AK:AK,MATCH($D554,'卡片raw data'!$F:$F,))&lt;INDEX('卡片raw data'!AM:AM,MATCH($D554,'卡片raw data'!$F:$F,)),INDEX('卡片raw data'!AL:AL,MATCH($D554,'卡片raw data'!$F:$F,))&lt;INDEX('卡片raw data'!AM:AM,MATCH($D554,'卡片raw data'!$F:$F,))),1,0)</f>
        <v>1</v>
      </c>
      <c r="AU554" s="1098">
        <f>MIN(AT554*0.15+AS554*0.00003+INDEX(绊状态确认!M:M,MATCH($G554,绊状态确认!$B:$B,)),1)</f>
        <v>0.95625407751839997</v>
      </c>
      <c r="AV554" s="1109">
        <f>(INDEX(绊状态确认!$N:$N,MATCH($G554,绊状态确认!$B:$B,))+1.5)*$EW$21</f>
        <v>2.6599999999999997</v>
      </c>
      <c r="AW554" s="1101">
        <f t="shared" si="711"/>
        <v>45008.87719029552</v>
      </c>
      <c r="AX554" s="1097">
        <f t="shared" si="712"/>
        <v>1696.0059344539814</v>
      </c>
      <c r="AY554" s="1110">
        <f t="shared" si="713"/>
        <v>46704.883124749504</v>
      </c>
      <c r="AZ554" s="429">
        <f t="shared" si="714"/>
        <v>25067.732580799991</v>
      </c>
      <c r="BA554" s="431">
        <f t="shared" si="715"/>
        <v>30081.279096959988</v>
      </c>
      <c r="BB554" s="1097">
        <f>(AM554*(1+$FB$9)+$FB$35)*(1+(INDEX(绊状态确认!$T:$T,MATCH($G554,绊状态确认!$B:$B,))+0.2)*AO554)*IF(J554=$FF$17,1+$FE$17,1)*IF(I554=$FF$14,1+$FE$14,1)*(1+$FE$15)</f>
        <v>19481.627776000001</v>
      </c>
      <c r="BC554" s="1097">
        <f>(AN554*(1+$FB$10)+$FB$36)*(1+(INDEX(绊状态确认!$T:$T,MATCH($G554,绊状态确认!$B:$B,))+0.2)*AO554)*IF(J554=$FF$17,1+$FE$17,1)*IF(I554=$FF$14,1+$FE$14,1)*(1+$FE$15)</f>
        <v>25875.135917279997</v>
      </c>
      <c r="BD554" s="1104">
        <f>MIN(AT554*0.15+BC554*0.00003+INDEX(绊状态确认!M:M,MATCH($G554,绊状态确认!$B:$B,)),1)</f>
        <v>0.95625407751839997</v>
      </c>
      <c r="BE554" s="432">
        <f>(INDEX(绊状态确认!$N:$N,MATCH($G554,绊状态确认!$B:$B,))+1.5)</f>
        <v>1.9</v>
      </c>
      <c r="BF554" s="1139">
        <f t="array" ref="BF554">SUMPRODUCT(IF(AZ554*AP554*$FI$16:$FI$23*$FA$22&gt;=$FI$24,$FI$24,AZ554*AP554*$FI$16:$FI$23*$FA$22),$FJ$16:$FJ$23)</f>
        <v>49667.990155753592</v>
      </c>
      <c r="BG554" s="1125">
        <f t="array" ref="BG554">SUMPRODUCT(IF(BE554*AZ554*AP554*$FI$16:$FI$23*$FA$22&gt;=$FI$24,$FI$24,BE554*AZ554*AP554*$FI$16:$FI$23*$FA$22),$FJ$16:$FJ$23)</f>
        <v>60000</v>
      </c>
      <c r="BH554" s="1110">
        <f t="shared" si="716"/>
        <v>19849.33889942482</v>
      </c>
      <c r="BI554" s="1111">
        <f>IF(O554="vo",$EW$26/$EW$24*0.05,0)+IF(O554="sk",-$EW$26/$EW$24*(0.05-INDEX(绊状态确认!W:W,MATCH($G554,绊状态确认!$B:$B,)))+0.05*$EW$28,0)+IF(O554="sp",0.05*$EW$32*$EW$30*(1-$EW$33)-(0.05-INDEX(绊状态确认!V:V,MATCH($G554,绊状态确认!$B:$B,)))*$EW$28,0)+IF(O554="gd",-(0.05-INDEX(绊状态确认!X:X,MATCH($G554,绊状态确认!$B:$B,)))*$EW$32*$EW$30*(1-$EW$33),0)</f>
        <v>-585.00000000000011</v>
      </c>
      <c r="BJ554" s="420">
        <f>IF(O554="vo",0.05*(1-$FI$26)*$FA$24,0)+IF(O554="sk",-(0.05-INDEX(绊状态确认!W:W,MATCH($G554,绊状态确认!$B:$B,)))*(1-$FI$26)*$FA$24+0.05*$FA$26,0)+IF(O554="sp",0.05*$FA$32*$FA$27*(1-$FA$33)/$FA$30+0.05*$FA$29/$FA$69*$FA$27*(1-$FA$33)-(0.05-INDEX(绊状态确认!V:V,MATCH($G554,绊状态确认!$B:$B,)))*$FA$26,0)+IF(O554="gd",-(0.05-INDEX(绊状态确认!X:X,MATCH($G554,绊状态确认!$B:$B,)))*$FA$32*$FA$27*(1-$FA$33)/$FA$30-(0.05-INDEX(绊状态确认!X:X,MATCH($G554,绊状态确认!$B:$B,)))*$FA$29/$FA$69*$FA$27*(1-$FA$33),0)</f>
        <v>-795.00000000000011</v>
      </c>
      <c r="BK554" s="1110">
        <f>IF(O554="vo",$EW$26/$EW$24*0.05+$EW$26*(-HP($EW$62,$EW$65,$EW$64)+HP($EW$62,$EW$65,(1.05-INDEX(绊状态确认!U:U,MATCH($G554,绊状态确认!$B:$B,)))*$EW$64)),0)+IF(O554="sk",-$EW$26/$EW$24*(0.05-INDEX(绊状态确认!W:W,MATCH($G554,绊状态确认!$B:$B,)))+0.05*$EW$29,0)+IF(O554="sp",0.05*$EW$32*$EW$30*(1-$EW$33)-(0.05-INDEX(绊状态确认!V:V,MATCH($G554,绊状态确认!$B:$B,)))*$EW$29,0)+IF(O554="gd",-(0.05-INDEX(绊状态确认!X:X,MATCH($G554,绊状态确认!$B:$B,)))*$EW$32*$EW$30*(1-$EW$33)+$EW$26*(-HP($EW$62,$EW$65,$EW$64)+HP($EW$62,$EW$65,0.95*$EW$64)),0)</f>
        <v>1009.5947725176144</v>
      </c>
      <c r="BL554" s="1111">
        <f t="shared" si="717"/>
        <v>0</v>
      </c>
      <c r="BM554" s="1110">
        <f t="shared" si="718"/>
        <v>0</v>
      </c>
      <c r="BN554" s="1113">
        <f t="shared" si="719"/>
        <v>3</v>
      </c>
      <c r="BO554" s="1108">
        <f t="shared" si="720"/>
        <v>4507.7214871259994</v>
      </c>
      <c r="BP554" s="1127">
        <f t="shared" si="721"/>
        <v>221.34103209030098</v>
      </c>
      <c r="BQ554" s="1113" t="s">
        <v>133</v>
      </c>
      <c r="BR554" s="1124" t="s">
        <v>171</v>
      </c>
      <c r="BS554" s="421">
        <f>IF($P554="","N/A",IF($P554=-1,INDEX('卡片raw data'!AX:AX,MATCH($D554,'卡片raw data'!$F:$F,)),0)+IF($L554="party卡",IF($P554=5,INDEX('卡片raw data'!BD:BD,MATCH($D554,'卡片raw data'!$F:$F,)),IF($P554&gt;=3,INDEX('卡片raw data'!BC:BC,MATCH($D554,'卡片raw data'!$F:$F,)),INDEX('卡片raw data'!BB:BB,MATCH($D554,'卡片raw data'!$F:$F,)))),IF(OR(AND($F554="UR",$P554=0),AND($F554="SR",$P554&gt;=0,$P554&lt;=2),AND($F554="R",$P554&gt;=0,$P554&lt;4)),INDEX('卡片raw data'!AZ:AZ,MATCH($D554,'卡片raw data'!$F:$F,)),0)+IF(OR(AND($F554="UR",$P554&gt;=1,$P554&lt;=4),AND($F554="SR",$P554&lt;=4,$P554&gt;=3),AND($F554="R",$P554=4)),INDEX('卡片raw data'!BA:BA,MATCH($D554,'卡片raw data'!$F:$F,)),0)+IF($P554=5,INDEX('卡片raw data'!BB:BB,MATCH($D554,'卡片raw data'!$F:$F,)),0)))</f>
        <v>5.1999999999999998E-2</v>
      </c>
      <c r="BT554" s="424">
        <f t="shared" si="722"/>
        <v>0</v>
      </c>
      <c r="BU554" s="420">
        <f t="shared" si="723"/>
        <v>0</v>
      </c>
      <c r="BV554" s="420">
        <f t="shared" si="724"/>
        <v>0</v>
      </c>
      <c r="BW554" s="436">
        <f t="shared" si="725"/>
        <v>2.4347142857142861</v>
      </c>
      <c r="BX554" s="423">
        <f t="shared" si="726"/>
        <v>190.49664124538464</v>
      </c>
      <c r="BY554" s="433">
        <f t="shared" si="727"/>
        <v>190.49664124538464</v>
      </c>
      <c r="BZ554" s="1113" t="s">
        <v>569</v>
      </c>
      <c r="CA554" s="450"/>
      <c r="CB554" s="421">
        <f>IF($P554="","N/A",IF($P554=-1,INDEX('卡片raw data'!BE:BE,MATCH($D554,'卡片raw data'!$F:$F,)),0)+IF($L554="party卡",IF($P554=5,INDEX('卡片raw data'!BK:BK,MATCH($D554,'卡片raw data'!$F:$F,)),IF($P554&gt;=3,INDEX('卡片raw data'!BJ:BJ,MATCH($D554,'卡片raw data'!$F:$F,)),INDEX('卡片raw data'!BI:BI,MATCH($D554,'卡片raw data'!$F:$F,)))),IF(OR(AND($F554="UR",$P554=0),AND($F554="SR",$P554&gt;=0,$P554&lt;=2),AND($F554="R",$P554&gt;=0,$P554&lt;4)),INDEX('卡片raw data'!BG:BG,MATCH($D554,'卡片raw data'!$F:$F,)),0)+IF(OR(AND($F554="UR",$P554&gt;=1,$P554&lt;=4),AND($F554="SR",$P554&lt;=4,$P554&gt;=3),AND($F554="R",$P554=4)),INDEX('卡片raw data'!BH:BH,MATCH($D554,'卡片raw data'!$F:$F,)),0)+IF($P554=5,INDEX('卡片raw data'!BI:BI,MATCH($D554,'卡片raw data'!$F:$F,)),0)))</f>
        <v>0</v>
      </c>
      <c r="CC554" s="424">
        <f t="shared" si="778"/>
        <v>0</v>
      </c>
      <c r="CD554" s="420">
        <f>IF(BZ554="ap",CB554*(1-$FI$26)*$FB$5/$FB$11*(+IF(CA554="全员",$FA$24,0)+IF(CA554="同作战",$FA$24,0)+IF(CA554="仲间",$FA$24*2/3,0)+IF(CA554="同属性",$FA$24*$FA$37/3,0)+IF(CA554="同年级",$FA$24*$FA$40/3,0)+IF(CA554="同学校",$FA$24*$FA$43/3,0)+IF(CA554="同小队",$FA$24*$FA$46/3,0)+IF(CA554="同type",$FA$24*INDEX($FB$49:$FB$52,MATCH(X554,$FA$49:$FA$52,))/3,0)+IF(CA554="自身",#REF!/3,0)),0)+IF(BZ554="te",CB554*(1-$FI$27)*($FA$20-1)*$FB$7/$FB$13*(+IF(CA554="全员",$FA$19*$FA$24/(1+($FA$20-1)*$FA$19),0)+IF(CA554="同作战",$FA$19*$FA$24/(1+($FA$20-1)*$FA$19),0)+IF(CA554="仲间",$FA$19*$FA$24*2/3/(1+($FA$20-1)*$FA$19),0)+IF(CA554="同属性",$FA$19*$FA$24*$FA$37/3/(1+($FA$20-1)*$FA$19),0)+IF(CA554="同年级",$FA$19*$FA$24*$FA$40/3/(1+($FA$20-1)*$FA$19),0)+IF(CA554="同学校",$FA$19*$FA$24*$FA$43/3/(1+($FA$20-1)*$FA$19),0)+IF(CA554="同小队",$FA$19*$FA$24*$FA$46/3/(1+($FA$20-1)*$FA$19),0)+IF(CA554="同type",$FA$19*$FA$24*INDEX($FB$49:$FB$52,MATCH(X554,$FA$49:$FA$52,))/3/(1+($FA$20-1)*$FA$19),0)+IF(CA554="自身",$FA$19*#REF!/3/(1+(BH554-1)*$BD554),0)),0)</f>
        <v>0</v>
      </c>
      <c r="CE554" s="420">
        <f t="shared" si="729"/>
        <v>0</v>
      </c>
      <c r="CF554" s="436">
        <f t="shared" si="779"/>
        <v>0</v>
      </c>
      <c r="CG554" s="423">
        <f t="shared" si="731"/>
        <v>0</v>
      </c>
      <c r="CH554" s="433">
        <f t="shared" si="732"/>
        <v>0</v>
      </c>
      <c r="CI554" s="1113" t="s">
        <v>165</v>
      </c>
      <c r="CJ554" s="1114">
        <v>1</v>
      </c>
      <c r="CK554" s="1115" t="s">
        <v>2286</v>
      </c>
      <c r="CL554" s="1115" t="s">
        <v>2075</v>
      </c>
      <c r="CM554" s="1119">
        <v>0.02</v>
      </c>
      <c r="CN554" s="1115" t="s">
        <v>2076</v>
      </c>
      <c r="CO554" s="1115"/>
      <c r="CP554" s="1118">
        <f t="shared" si="733"/>
        <v>1.3333333333333332E-2</v>
      </c>
      <c r="CQ554" s="1118">
        <f t="shared" si="734"/>
        <v>1.1666666666666667E-2</v>
      </c>
      <c r="CR554" s="1118">
        <f t="shared" si="735"/>
        <v>6.6666666666666662E-3</v>
      </c>
      <c r="CS554" s="442">
        <f>IF(CK554="技能+",IF(CN554="infty",(IF(CI554="曲开始",CM554*CJ554)+IF(OR(CI554="AC时",CI554="AC成功"),(1-(1-(1-CJ554)^($FM$20+1))/(($FM$20+1)*CJ554))*CM554))*(IF(CL554="全员",1)))+IF(CN554&lt;&gt;"infty",CM554*(IF(CI554="曲开始",CJ554*CN554/$FM$19)+IF(OR(CI554="AC时",CI554="AC成功"),CN554*IF(CO554&lt;&gt;"",MIN(CO554,CJ554*$FM$20),CJ554*$FM$20)/$FM$19)+IF(CI554="切队",CN554*IF(CO554&lt;&gt;"",MIN(CJ554*$FM$11,CO554/$FM$19),CJ554*$FM$11))+IF(CI554="ap时",IF(CO554&lt;&gt;"",MIN(CO554/$FM1002,IF($O554="sk",$FM$10,$FM$9)*CJ554),IF($O554="sk",$FM$10,$FM$9)*CJ554)*CN554)+IF(CI554="ct时",IF(CO554&lt;&gt;"",MIN(CO554/$FM1002,$AU554*IF($O554="sk",$FM$10,$FM$9)*CJ554),$AU554*IF($O554="sk",$FM$10,$FM$9)*CJ554)*CN554))*(IF(CL554="全员",1)+IF(CL554="同作战",IF($O554="sk",$FM$10*3,$FM$9*3))+IF(CL554="同属性",$FM$23/6)+IF(CL554="同年级",$FM$24/6)+IF(CL554="自身",IF($O554="sk",$FM$10,$FM$9)))),0)*$FM$16</f>
        <v>0</v>
      </c>
      <c r="CT554" s="432">
        <f>IF(CK554="sp+",IF(CN554="infty",(IF(CI554="曲开始",CM554*CJ554*$FM$28)+IF(OR(CI554="AC时",CI554="AC成功"),(1-(1-(1-CJ554)^($FM$20+1))/(($FM$20+1)*CJ554))*CM554*$FM$28))*(IF(CL554="全员",1)))+IF(CN554&lt;&gt;"infty",CM554*$FM$28*(IF(CI554="曲开始",CJ554*CN554/$FM$19)+IF(OR(CI554="AC时",CI554="AC成功"),CN554*IF(CO554&lt;&gt;"",MIN(CO554,CJ554*$FM$20),CJ554*$FM$20)/$FM$19)+IF(CI554="切队",CN554*IF(CO554&lt;&gt;"",MIN(CJ554*$FM$11,CO554/$FM$19),CJ554*$FM$11))+IF(CI554="ap时",IF(CO554&lt;&gt;"",MIN(CO554/$FM1002,IF($O554="sk",$FM$10,$FM$9)*CJ554),IF($O554="sk",$FM$10,$FM$9)*CJ554)*CN554)+IF(CI554="ct时",IF(CO554&lt;&gt;"",MIN(CO554/$FM1002,$AU554*IF($O554="sk",$FM$10,$FM$9)*CJ554),$AU554*IF($O554="sk",$FM$10,$FM$9)*CJ554)*CN554))*(IF(CL554="全员",1)+IF(CL554="同作战",IF($O554="sk",$FM$10*3,$FM$9*3))+IF(CL554="同属性",$FM$23/6)+IF(CL554="同年级",$FM$24/6)+IF(CL554="同type",IF(O554="sp",$FN$6*$FM$9)))),0)+IF(CK554="sp获得",IF(CI554="AC成功",0,CM554*(IF(CL554="ap",AQ554)+IF(CL554="st",AR554)+IF(CL554="te",AS554)+IF(CL554="sp槽",$EW$77)+IF(CL554="",1))*IF($O554="sk",1,1+(1+$FM$10/$FM$9)*($FM$27-1))*(IF(CI554="曲开始",CJ554/$FM$19)+IF(CI554="SP发动",IF(CO554&lt;&gt;"",MIN(CO554/$FM$19,CJ554*$FM$30/$FM$19),CJ554*$FM$30/$FM$19))+IF(CI554="切队",IF(CO554&lt;&gt;"",MIN(CO554/$FM$19,CJ554*$FM$11),CJ554*$FM$11))+IF(OR(CI554="AC时",CI554="AC成功"),IF(CO554&lt;&gt;"",MIN(CO554/$FM$19,CJ554*$FM$20/$FM$19),CJ554*$FM$20/$FM$19))+IF(CI554="ap时",IF(CO554&lt;&gt;"",MIN(CO554/$FM$19,CJ554*IF($O554="sk",$FM$10,$FM$9)),CJ554*IF($O554="sk",$FM$10,$FM$9)))+IF(CI554="ct时",IF(CO554&lt;&gt;"",MIN(CO554/$FM$19,CJ554*IF($O554="sk",$FM$10,$FM$9)*$AU554),CJ554*IF($O554="sk",$FM$10,$FM$9)*$AU554)))))</f>
        <v>0</v>
      </c>
      <c r="CU554" s="1101">
        <f t="shared" si="738"/>
        <v>1813.1057537106801</v>
      </c>
      <c r="CV554" s="1108">
        <f t="shared" si="777"/>
        <v>76.59834328125001</v>
      </c>
      <c r="CW554" s="420">
        <f t="shared" si="739"/>
        <v>906.55287685534006</v>
      </c>
      <c r="CX554" s="420">
        <f t="shared" si="740"/>
        <v>1813.1057537106801</v>
      </c>
      <c r="CY554" s="433">
        <f t="shared" si="741"/>
        <v>906.55287685534006</v>
      </c>
      <c r="CZ554" s="437"/>
      <c r="DA554" s="438"/>
      <c r="DB554" s="439" t="s">
        <v>569</v>
      </c>
      <c r="DC554" s="439"/>
      <c r="DD554" s="443"/>
      <c r="DE554" s="411"/>
      <c r="DF554" s="411"/>
      <c r="DG554" s="1116">
        <f t="shared" si="742"/>
        <v>0</v>
      </c>
      <c r="DH554" s="1116">
        <f t="shared" si="743"/>
        <v>0</v>
      </c>
      <c r="DI554" s="1116">
        <f t="shared" si="744"/>
        <v>0</v>
      </c>
      <c r="DJ554" s="442">
        <f t="shared" si="780"/>
        <v>0</v>
      </c>
      <c r="DK554" s="432">
        <f t="shared" si="781"/>
        <v>0</v>
      </c>
      <c r="DL554" s="424">
        <f t="shared" si="747"/>
        <v>0</v>
      </c>
      <c r="DM554" s="420">
        <f t="shared" si="748"/>
        <v>0</v>
      </c>
      <c r="DN554" s="420">
        <f t="shared" si="749"/>
        <v>0</v>
      </c>
      <c r="DO554" s="420">
        <f t="shared" si="750"/>
        <v>0</v>
      </c>
      <c r="DP554" s="433">
        <f t="shared" si="751"/>
        <v>0</v>
      </c>
      <c r="DQ554" s="1113" t="s">
        <v>635</v>
      </c>
      <c r="DR554" s="1120">
        <f t="shared" si="773"/>
        <v>0.33</v>
      </c>
      <c r="DS554" s="1124"/>
      <c r="DT554" s="1093" t="s">
        <v>133</v>
      </c>
      <c r="DU554" s="1124"/>
      <c r="DV554" s="1098">
        <f>IF($P554="","N/A",IF(P554=-1,INDEX('卡片raw data'!AN:AN,MATCH(D554,'卡片raw data'!$F:$F,)),0)+IF(AND(L554&lt;&gt;"party卡",P554&lt;=2,P554&gt;=0),INDEX('卡片raw data'!AP:AP,MATCH(D554,'卡片raw data'!$F:$F,)),0)+IF(OR(AND(L554="party卡",P554&lt;=1),AND(P554&lt;=4,L554&lt;&gt;"party卡",P554&gt;=3)),INDEX('卡片raw data'!AQ:AQ,MATCH(D554,'卡片raw data'!$F:$F,)),0)+IF(OR(P554=5,AND(L554="party卡",P554&gt;=2)),INDEX('卡片raw data'!AR:AR,MATCH(D554,'卡片raw data'!$F:$F,)),0))</f>
        <v>0.32</v>
      </c>
      <c r="DW554" s="1098">
        <f t="shared" si="752"/>
        <v>0.33</v>
      </c>
      <c r="DX554" s="1098">
        <f t="shared" si="753"/>
        <v>0.33</v>
      </c>
      <c r="DY554" s="1097">
        <f t="shared" si="754"/>
        <v>685.75329771520012</v>
      </c>
      <c r="DZ554" s="1097">
        <f t="shared" si="755"/>
        <v>593.17660252364806</v>
      </c>
      <c r="EA554" s="421">
        <f t="shared" si="756"/>
        <v>0</v>
      </c>
      <c r="EB554" s="445">
        <f t="shared" si="757"/>
        <v>0</v>
      </c>
      <c r="EC554" s="424">
        <f t="shared" si="758"/>
        <v>0</v>
      </c>
      <c r="ED554" s="420">
        <f t="shared" si="759"/>
        <v>0</v>
      </c>
      <c r="EE554" s="433">
        <f t="shared" si="775"/>
        <v>48435.03108962375</v>
      </c>
      <c r="EF554" s="1113" t="s">
        <v>569</v>
      </c>
      <c r="EG554" s="1120">
        <f t="shared" si="774"/>
        <v>0.33</v>
      </c>
      <c r="EH554" s="450"/>
      <c r="EI554" s="1124"/>
      <c r="EJ554" s="1124"/>
      <c r="EK554" s="420">
        <f>IF($P554="","N/A",IF(P554=-1,INDEX('卡片raw data'!AS:AS,MATCH(D554,'卡片raw data'!$F:$F,)),0)+IF(AND(L554&lt;&gt;"party卡",P554&lt;=2,P554&gt;=0),INDEX('卡片raw data'!AU:AU,MATCH(D554,'卡片raw data'!$F:$F,)),0)+IF(OR(AND(L554="party卡",P554&lt;=1),AND(P554&lt;=4,L554&lt;&gt;"party卡",P554&gt;=3)),INDEX('卡片raw data'!AV:AV,MATCH(D554,'卡片raw data'!$F:$F,)),0)+IF(OR(P554=5,AND(L554="party卡",P554&gt;=2)),INDEX('卡片raw data'!AW:AW,MATCH(D554,'卡片raw data'!$F:$F,)),0))</f>
        <v>0</v>
      </c>
      <c r="EL554" s="1098">
        <f t="shared" si="760"/>
        <v>0.33</v>
      </c>
      <c r="EM554" s="1098">
        <f t="shared" si="761"/>
        <v>0.33</v>
      </c>
      <c r="EN554" s="1097">
        <f t="shared" si="762"/>
        <v>0</v>
      </c>
      <c r="EO554" s="1097">
        <f t="shared" si="763"/>
        <v>0</v>
      </c>
      <c r="EP554" s="421">
        <f t="shared" si="764"/>
        <v>0</v>
      </c>
      <c r="EQ554" s="445">
        <f t="shared" si="765"/>
        <v>0</v>
      </c>
      <c r="ER554" s="424">
        <f t="shared" si="766"/>
        <v>0</v>
      </c>
      <c r="ES554" s="420">
        <f t="shared" si="767"/>
        <v>0</v>
      </c>
      <c r="ET554" s="446">
        <f t="shared" si="776"/>
        <v>0</v>
      </c>
    </row>
    <row r="555" spans="2:150" ht="16.5" customHeight="1">
      <c r="B555" s="448" t="str">
        <f>INDEX('卡片raw data'!B:B,MATCH($D555,'卡片raw data'!$F:$F,))</f>
        <v>四专米</v>
      </c>
      <c r="C555" s="449" t="s">
        <v>4549</v>
      </c>
      <c r="D555" s="408">
        <v>552</v>
      </c>
      <c r="E555" s="477">
        <v>402112001</v>
      </c>
      <c r="F555" s="409" t="str">
        <f>INDEX('卡片raw data'!C:C,MATCH($D555,'卡片raw data'!$F:$F,))</f>
        <v>SR</v>
      </c>
      <c r="G555" s="1094" t="s">
        <v>4553</v>
      </c>
      <c r="H555" s="411">
        <f>IFERROR(INDEX(绊状态确认!C:C,MATCH($G555,绊状态确认!$B:$B,)),"")</f>
        <v>211</v>
      </c>
      <c r="I555" s="450" t="str">
        <f>IFERROR(INDEX(绊状态确认!D:D,MATCH($G555,绊状态确认!$B:$B,)),"")</f>
        <v>虹</v>
      </c>
      <c r="J555" s="450" t="str">
        <f>IFERROR(INDEX(绊状态确认!E:E,MATCH($G555,绊状态确认!$B:$B,)),"")</f>
        <v>3年级</v>
      </c>
      <c r="K555" s="451" t="str">
        <f>IFERROR(INDEX(绊状态确认!F:F,MATCH($G555,绊状态确认!$B:$B,)),"")</f>
        <v>R3BIRTH</v>
      </c>
      <c r="L555" s="414" t="str">
        <f>INDEX('卡片raw data'!E:E,MATCH($D555,'卡片raw data'!$F:$F,))</f>
        <v>卡池卡</v>
      </c>
      <c r="M555" s="478">
        <v>44474</v>
      </c>
      <c r="N555" s="479">
        <v>49</v>
      </c>
      <c r="O555" s="410" t="str">
        <f>INDEX('卡片raw data'!D:D,MATCH($D555,'卡片raw data'!$F:$F,))</f>
        <v>vo</v>
      </c>
      <c r="P555" s="1126">
        <v>5</v>
      </c>
      <c r="Q555" s="418">
        <f t="shared" si="688"/>
        <v>34105.489859885987</v>
      </c>
      <c r="R555" s="419">
        <f t="shared" si="689"/>
        <v>0.39600000000000002</v>
      </c>
      <c r="S555" s="420">
        <f t="shared" si="690"/>
        <v>15774.488958969687</v>
      </c>
      <c r="T555" s="421">
        <f t="shared" si="691"/>
        <v>0.78800000000000003</v>
      </c>
      <c r="U555" s="422">
        <f t="shared" si="692"/>
        <v>-11.752260339665181</v>
      </c>
      <c r="V555" s="423">
        <f t="shared" si="693"/>
        <v>33860.37566383263</v>
      </c>
      <c r="W555" s="424">
        <f t="shared" si="694"/>
        <v>5367.2655385014896</v>
      </c>
      <c r="X555" s="419">
        <f t="shared" si="695"/>
        <v>6.2E-2</v>
      </c>
      <c r="Y555" s="420">
        <f t="shared" si="696"/>
        <v>1059.5542541883433</v>
      </c>
      <c r="Z555" s="425">
        <f t="shared" si="697"/>
        <v>13.247739660334819</v>
      </c>
      <c r="AA555" s="426">
        <f t="shared" si="698"/>
        <v>6426.8197926898329</v>
      </c>
      <c r="AB555" s="424">
        <f t="shared" si="699"/>
        <v>6168.6382473238891</v>
      </c>
      <c r="AC555" s="427">
        <f t="shared" si="700"/>
        <v>7.0999999999999994E-2</v>
      </c>
      <c r="AD555" s="428">
        <f t="shared" si="701"/>
        <v>-3.8207812500000026E-3</v>
      </c>
      <c r="AE555" s="516">
        <f t="shared" si="702"/>
        <v>-12.27536231884058</v>
      </c>
      <c r="AF555" s="1130">
        <f t="shared" si="703"/>
        <v>0</v>
      </c>
      <c r="AG555" s="420">
        <f t="shared" si="704"/>
        <v>0</v>
      </c>
      <c r="AH555" s="420">
        <f t="shared" si="705"/>
        <v>0</v>
      </c>
      <c r="AI555" s="1097">
        <f t="shared" si="706"/>
        <v>0</v>
      </c>
      <c r="AJ555" s="420">
        <f t="shared" si="707"/>
        <v>0</v>
      </c>
      <c r="AK555" s="518">
        <f t="shared" si="708"/>
        <v>0</v>
      </c>
      <c r="AL555" s="1106">
        <f>IF($P555="","N/A",(IF($P555=-1,INDEX('卡片raw data'!S:S,MATCH($D555,'卡片raw data'!$F:$F,)),0)+IF($P555=0,INDEX('卡片raw data'!V:V,MATCH($D555,'卡片raw data'!$F:$F,)),0)+IF($P555=1,INDEX('卡片raw data'!Y:Y,MATCH($D555,'卡片raw data'!$F:$F,)),0)+IF($P555=2,INDEX('卡片raw data'!AB:AB,MATCH($D555,'卡片raw data'!$F:$F,)),0)+IF($P555=3,INDEX('卡片raw data'!AE:AE,MATCH($D555,'卡片raw data'!$F:$F,)),0)+IF($P555=4,INDEX('卡片raw data'!AH:AH,MATCH($D555,'卡片raw data'!$F:$F,)),0)+IF($P555=5,INDEX('卡片raw data'!AK:AK,MATCH($D555,'卡片raw data'!$F:$F,)),0)+INDEX('卡片raw data'!S:S,MATCH($D555,'卡片raw data'!$F:$F,))*(IF($F555="UR",0.04,0.033))*(IF($F555="UR",INDEX(绊状态确认!$S:$S,MATCH($G555,绊状态确认!$B:$B,))/2-40)+IF($F555="SR",INDEX(绊状态确认!$R:$R,MATCH($G555,绊状态确认!$B:$B,))/4-15))+IF($F555="R",INDEX(绊状态确认!$Q:$Q,MATCH($G555,绊状态确认!$B:$B,))/6-40/6)))*(INDEX(绊状态确认!$H:$H,MATCH($G555,绊状态确认!$B:$B,))+INDEX(绊状态确认!J:J,MATCH($G555,绊状态确认!$B:$B,)))</f>
        <v>8464.1019749999996</v>
      </c>
      <c r="AM555" s="1106">
        <f>IF($P555="","N/A",(IF($P555=-1,INDEX('卡片raw data'!T:T,MATCH($D555,'卡片raw data'!$F:$F,)),0)+IF($P555=0,INDEX('卡片raw data'!W:W,MATCH($D555,'卡片raw data'!$F:$F,)),0)+IF($P555=1,INDEX('卡片raw data'!Z:Z,MATCH($D555,'卡片raw data'!$F:$F,)),0)+IF($P555=2,INDEX('卡片raw data'!AC:AC,MATCH($D555,'卡片raw data'!$F:$F,)),0)+IF($P555=3,INDEX('卡片raw data'!AF:AF,MATCH($D555,'卡片raw data'!$F:$F,)),0)+IF($P555=4,INDEX('卡片raw data'!AI:AI,MATCH($D555,'卡片raw data'!$F:$F,)),0)+IF($P555=5,INDEX('卡片raw data'!AL:AL,MATCH($D555,'卡片raw data'!$F:$F,)),0)+INDEX('卡片raw data'!T:T,MATCH($D555,'卡片raw data'!$F:$F,))*(IF($F555="UR",0.04,0.033))*(IF($F555="UR",INDEX(绊状态确认!$S:$S,MATCH($G555,绊状态确认!$B:$B,))/2-40)+IF($F555="SR",INDEX(绊状态确认!$R:$R,MATCH($G555,绊状态确认!$B:$B,))/4-15))+IF($F555="R",INDEX(绊状态确认!$Q:$Q,MATCH($G555,绊状态确认!$B:$B,))/6-40/6)))*(INDEX(绊状态确认!$H:$H,MATCH($G555,绊状态确认!$B:$B,))+INDEX(绊状态确认!K:K,MATCH($G555,绊状态确认!$B:$B,)))</f>
        <v>7254.9445499999993</v>
      </c>
      <c r="AN555" s="1106">
        <f>IF($P555="","N/A",(IF($P555=-1,INDEX('卡片raw data'!U:U,MATCH($D555,'卡片raw data'!$F:$F,)),0)+IF($P555=0,INDEX('卡片raw data'!X:X,MATCH($D555,'卡片raw data'!$F:$F,)),0)+IF($P555=1,INDEX('卡片raw data'!AA:AA,MATCH($D555,'卡片raw data'!$F:$F,)),0)+IF($P555=2,INDEX('卡片raw data'!AD:AD,MATCH($D555,'卡片raw data'!$F:$F,)),0)+IF($P555=3,INDEX('卡片raw data'!AG:AG,MATCH($D555,'卡片raw data'!$F:$F,)),0)+IF($P555=4,INDEX('卡片raw data'!AJ:AJ,MATCH($D555,'卡片raw data'!$F:$F,)),0)+IF($P555=5,INDEX('卡片raw data'!AM:AM,MATCH($D555,'卡片raw data'!$F:$F,)),0)+INDEX('卡片raw data'!U:U,MATCH($D555,'卡片raw data'!$F:$F,))*(IF($F555="UR",0.04,0.033))*(IF($F555="UR",INDEX(绊状态确认!$S:$S,MATCH($G555,绊状态确认!$B:$B,))/2-40)+IF($F555="SR",INDEX(绊状态确认!$R:$R,MATCH($G555,绊状态确认!$B:$B,))/4-15))+IF($F555="R",INDEX(绊状态确认!$Q:$Q,MATCH($G555,绊状态确认!$B:$B,))/6-40/6)))*(INDEX(绊状态确认!$H:$H,MATCH($G555,绊状态确认!$B:$B,))+INDEX(绊状态确认!L:L,MATCH($G555,绊状态确认!$B:$B,)))</f>
        <v>4433.577225</v>
      </c>
      <c r="AO555" s="1107">
        <f t="shared" si="709"/>
        <v>1</v>
      </c>
      <c r="AP555" s="1131">
        <f>1+(INDEX(绊状态确认!$T:$T,MATCH($G555,绊状态确认!$B:$B,))+0.2)*$AO555</f>
        <v>1.2749999999999999</v>
      </c>
      <c r="AQ555" s="1108">
        <f t="shared" si="710"/>
        <v>25468.267684375001</v>
      </c>
      <c r="AR555" s="1097">
        <f>(AM555*(1+$EX$9)+$EX$35)*(1+(INDEX(绊状态确认!$T:$T,MATCH($G555,绊状态确认!$B:$B,))+0.2)*AO555)*IF(J555=$FF$17,1+$FE$17,1)*IF(I555=$FF$14,1+$FE$14,1)</f>
        <v>12364.557016312499</v>
      </c>
      <c r="AS555" s="1097">
        <f>(AN555*(1+$EX$10)+$EX$36)*(1+(INDEX(绊状态确认!$T:$T,MATCH($G555,绊状态确认!$B:$B,))+0.2)*AO555)*IF(J555=$FF$17,1+$FE$17,1)*IF(I555=$FF$14,1+$FE$14,1)</f>
        <v>10478.732606156249</v>
      </c>
      <c r="AT555" s="1093">
        <f>IF(AND(INDEX('卡片raw data'!AK:AK,MATCH($D555,'卡片raw data'!$F:$F,))&lt;INDEX('卡片raw data'!AM:AM,MATCH($D555,'卡片raw data'!$F:$F,)),INDEX('卡片raw data'!AL:AL,MATCH($D555,'卡片raw data'!$F:$F,))&lt;INDEX('卡片raw data'!AM:AM,MATCH($D555,'卡片raw data'!$F:$F,))),1,0)</f>
        <v>0</v>
      </c>
      <c r="AU555" s="1098">
        <f>MIN(AT555*0.15+AS555*0.00003+INDEX(绊状态确认!M:M,MATCH($G555,绊状态确认!$B:$B,)),1)</f>
        <v>0.3393619781846875</v>
      </c>
      <c r="AV555" s="1109">
        <f>(INDEX(绊状态确认!$N:$N,MATCH($G555,绊状态确认!$B:$B,))+1.5)*$EW$21</f>
        <v>2.59</v>
      </c>
      <c r="AW555" s="1101">
        <f t="shared" si="711"/>
        <v>19972.269937339632</v>
      </c>
      <c r="AX555" s="1097">
        <f t="shared" si="712"/>
        <v>1059.5542541883431</v>
      </c>
      <c r="AY555" s="1110">
        <f t="shared" si="713"/>
        <v>21031.824191527976</v>
      </c>
      <c r="AZ555" s="429">
        <f t="shared" si="714"/>
        <v>19104.998851249999</v>
      </c>
      <c r="BA555" s="431">
        <f t="shared" si="715"/>
        <v>22925.998621499999</v>
      </c>
      <c r="BB555" s="1097">
        <f>(AM555*(1+$FB$9)+$FB$35)*(1+(INDEX(绊状态确认!$T:$T,MATCH($G555,绊状态确认!$B:$B,))+0.2)*AO555)*IF(J555=$FF$17,1+$FE$17,1)*IF(I555=$FF$14,1+$FE$14,1)*(1+$FE$15)</f>
        <v>12364.557016312499</v>
      </c>
      <c r="BC555" s="1097">
        <f>(AN555*(1+$FB$10)+$FB$36)*(1+(INDEX(绊状态确认!$T:$T,MATCH($G555,绊状态确认!$B:$B,))+0.2)*AO555)*IF(J555=$FF$17,1+$FE$17,1)*IF(I555=$FF$14,1+$FE$14,1)*(1+$FE$15)</f>
        <v>10478.732606156249</v>
      </c>
      <c r="BD555" s="1104">
        <f>MIN(AT555*0.15+BC555*0.00003+INDEX(绊状态确认!M:M,MATCH($G555,绊状态确认!$B:$B,)),1)</f>
        <v>0.3393619781846875</v>
      </c>
      <c r="BE555" s="432">
        <f>(INDEX(绊状态确认!$N:$N,MATCH($G555,绊状态确认!$B:$B,))+1.5)</f>
        <v>1.85</v>
      </c>
      <c r="BF555" s="1139">
        <f t="array" ref="BF555">SUMPRODUCT(IF(AZ555*AP555*$FI$16:$FI$23*$FA$22&gt;=$FI$24,$FI$24,AZ555*AP555*$FI$16:$FI$23*$FA$22),$FJ$16:$FJ$23)</f>
        <v>37269.076509075931</v>
      </c>
      <c r="BG555" s="1125">
        <f t="array" ref="BG555">SUMPRODUCT(IF(BE555*AZ555*AP555*$FI$16:$FI$23*$FA$22&gt;=$FI$24,$FI$24,BE555*AZ555*AP555*$FI$16:$FI$23*$FA$22),$FJ$16:$FJ$23)</f>
        <v>59265.979010096482</v>
      </c>
      <c r="BH555" s="1110">
        <f t="shared" si="716"/>
        <v>14911.329618585989</v>
      </c>
      <c r="BI555" s="1111">
        <f>IF(O555="vo",$EW$26/$EW$24*0.05,0)+IF(O555="sk",-$EW$26/$EW$24*(0.05-INDEX(绊状态确认!W:W,MATCH($G555,绊状态确认!$B:$B,)))+0.05*$EW$28,0)+IF(O555="sp",0.05*$EW$32*$EW$30*(1-$EW$33)-(0.05-INDEX(绊状态确认!V:V,MATCH($G555,绊状态确认!$B:$B,)))*$EW$28,0)+IF(O555="gd",-(0.05-INDEX(绊状态确认!X:X,MATCH($G555,绊状态确认!$B:$B,)))*$EW$32*$EW$30*(1-$EW$33),0)</f>
        <v>7726.3029277443748</v>
      </c>
      <c r="BJ555" s="420">
        <f>IF(O555="vo",0.05*(1-$FI$26)*$FA$24,0)+IF(O555="sk",-(0.05-INDEX(绊状态确认!W:W,MATCH($G555,绊状态确认!$B:$B,)))*(1-$FI$26)*$FA$24+0.05*$FA$26,0)+IF(O555="sp",0.05*$FA$32*$FA$27*(1-$FA$33)/$FA$30+0.05*$FA$29/$FA$69*$FA$27*(1-$FA$33)-(0.05-INDEX(绊状态确认!V:V,MATCH($G555,绊状态确认!$B:$B,)))*$FA$26,0)+IF(O555="gd",-(0.05-INDEX(绊状态确认!X:X,MATCH($G555,绊状态确认!$B:$B,)))*$FA$32*$FA$27*(1-$FA$33)/$FA$30-(0.05-INDEX(绊状态确认!X:X,MATCH($G555,绊状态确认!$B:$B,)))*$FA$29/$FA$69*$FA$27*(1-$FA$33),0)</f>
        <v>393.93433687500004</v>
      </c>
      <c r="BK555" s="1110">
        <f>IF(O555="vo",$EW$26/$EW$24*0.05+$EW$26*(-HP($EW$62,$EW$65,$EW$64)+HP($EW$62,$EW$65,(1.05-INDEX(绊状态确认!U:U,MATCH($G555,绊状态确认!$B:$B,)))*$EW$64)),0)+IF(O555="sk",-$EW$26/$EW$24*(0.05-INDEX(绊状态确认!W:W,MATCH($G555,绊状态确认!$B:$B,)))+0.05*$EW$29,0)+IF(O555="sp",0.05*$EW$32*$EW$30*(1-$EW$33)-(0.05-INDEX(绊状态确认!V:V,MATCH($G555,绊状态确认!$B:$B,)))*$EW$29,0)+IF(O555="gd",-(0.05-INDEX(绊状态确认!X:X,MATCH($G555,绊状态确认!$B:$B,)))*$EW$32*$EW$30*(1-$EW$33)+$EW$26*(-HP($EW$62,$EW$65,$EW$64)+HP($EW$62,$EW$65,0.95*$EW$64)),0)</f>
        <v>6421.6344775026746</v>
      </c>
      <c r="BL555" s="1111">
        <f t="shared" si="717"/>
        <v>-1083.3333333333333</v>
      </c>
      <c r="BM555" s="1110">
        <f t="shared" si="718"/>
        <v>-830.55555555555543</v>
      </c>
      <c r="BN555" s="1113">
        <f t="shared" si="719"/>
        <v>3</v>
      </c>
      <c r="BO555" s="1108">
        <f t="shared" si="720"/>
        <v>4507.7214871259994</v>
      </c>
      <c r="BP555" s="1127">
        <f t="shared" si="721"/>
        <v>221.34103209030098</v>
      </c>
      <c r="BQ555" s="1113" t="s">
        <v>132</v>
      </c>
      <c r="BR555" s="1124" t="s">
        <v>171</v>
      </c>
      <c r="BS555" s="421">
        <f>IF($P555="","N/A",IF($P555=-1,INDEX('卡片raw data'!AX:AX,MATCH($D555,'卡片raw data'!$F:$F,)),0)+IF($L555="party卡",IF($P555=5,INDEX('卡片raw data'!BD:BD,MATCH($D555,'卡片raw data'!$F:$F,)),IF($P555&gt;=3,INDEX('卡片raw data'!BC:BC,MATCH($D555,'卡片raw data'!$F:$F,)),INDEX('卡片raw data'!BB:BB,MATCH($D555,'卡片raw data'!$F:$F,)))),IF(OR(AND($F555="UR",$P555=0),AND($F555="SR",$P555&gt;=0,$P555&lt;=2),AND($F555="R",$P555&gt;=0,$P555&lt;4)),INDEX('卡片raw data'!AZ:AZ,MATCH($D555,'卡片raw data'!$F:$F,)),0)+IF(OR(AND($F555="UR",$P555&gt;=1,$P555&lt;=4),AND($F555="SR",$P555&lt;=4,$P555&gt;=3),AND($F555="R",$P555=4)),INDEX('卡片raw data'!BA:BA,MATCH($D555,'卡片raw data'!$F:$F,)),0)+IF($P555=5,INDEX('卡片raw data'!BB:BB,MATCH($D555,'卡片raw data'!$F:$F,)),0)))</f>
        <v>3.2000000000000001E-2</v>
      </c>
      <c r="BT555" s="424">
        <f t="shared" si="722"/>
        <v>1602.7454176448</v>
      </c>
      <c r="BU555" s="420">
        <f t="shared" si="723"/>
        <v>68.861654428093644</v>
      </c>
      <c r="BV555" s="420">
        <f t="shared" si="724"/>
        <v>801.37270882240011</v>
      </c>
      <c r="BW555" s="436">
        <f t="shared" si="725"/>
        <v>0</v>
      </c>
      <c r="BX555" s="423">
        <f t="shared" si="726"/>
        <v>1602.7454176448</v>
      </c>
      <c r="BY555" s="433">
        <f t="shared" si="727"/>
        <v>801.37270882240011</v>
      </c>
      <c r="BZ555" s="1113" t="s">
        <v>569</v>
      </c>
      <c r="CA555" s="450"/>
      <c r="CB555" s="421">
        <f>IF($P555="","N/A",IF($P555=-1,INDEX('卡片raw data'!BE:BE,MATCH($D555,'卡片raw data'!$F:$F,)),0)+IF($L555="party卡",IF($P555=5,INDEX('卡片raw data'!BK:BK,MATCH($D555,'卡片raw data'!$F:$F,)),IF($P555&gt;=3,INDEX('卡片raw data'!BJ:BJ,MATCH($D555,'卡片raw data'!$F:$F,)),INDEX('卡片raw data'!BI:BI,MATCH($D555,'卡片raw data'!$F:$F,)))),IF(OR(AND($F555="UR",$P555=0),AND($F555="SR",$P555&gt;=0,$P555&lt;=2),AND($F555="R",$P555&gt;=0,$P555&lt;4)),INDEX('卡片raw data'!BG:BG,MATCH($D555,'卡片raw data'!$F:$F,)),0)+IF(OR(AND($F555="UR",$P555&gt;=1,$P555&lt;=4),AND($F555="SR",$P555&lt;=4,$P555&gt;=3),AND($F555="R",$P555=4)),INDEX('卡片raw data'!BH:BH,MATCH($D555,'卡片raw data'!$F:$F,)),0)+IF($P555=5,INDEX('卡片raw data'!BI:BI,MATCH($D555,'卡片raw data'!$F:$F,)),0)))</f>
        <v>0</v>
      </c>
      <c r="CC555" s="424">
        <f t="shared" si="778"/>
        <v>0</v>
      </c>
      <c r="CD555" s="420">
        <f>IF(BZ555="ap",CB555*(1-$FI$26)*$FB$5/$FB$11*(+IF(CA555="全员",$FA$24,0)+IF(CA555="同作战",$FA$24,0)+IF(CA555="仲间",$FA$24*2/3,0)+IF(CA555="同属性",$FA$24*$FA$37/3,0)+IF(CA555="同年级",$FA$24*$FA$40/3,0)+IF(CA555="同学校",$FA$24*$FA$43/3,0)+IF(CA555="同小队",$FA$24*$FA$46/3,0)+IF(CA555="同type",$FA$24*INDEX($FB$49:$FB$52,MATCH(X555,$FA$49:$FA$52,))/3,0)+IF(CA555="自身",#REF!/3,0)),0)+IF(BZ555="te",CB555*(1-$FI$27)*($FA$20-1)*$FB$7/$FB$13*(+IF(CA555="全员",$FA$19*$FA$24/(1+($FA$20-1)*$FA$19),0)+IF(CA555="同作战",$FA$19*$FA$24/(1+($FA$20-1)*$FA$19),0)+IF(CA555="仲间",$FA$19*$FA$24*2/3/(1+($FA$20-1)*$FA$19),0)+IF(CA555="同属性",$FA$19*$FA$24*$FA$37/3/(1+($FA$20-1)*$FA$19),0)+IF(CA555="同年级",$FA$19*$FA$24*$FA$40/3/(1+($FA$20-1)*$FA$19),0)+IF(CA555="同学校",$FA$19*$FA$24*$FA$43/3/(1+($FA$20-1)*$FA$19),0)+IF(CA555="同小队",$FA$19*$FA$24*$FA$46/3/(1+($FA$20-1)*$FA$19),0)+IF(CA555="同type",$FA$19*$FA$24*INDEX($FB$49:$FB$52,MATCH(X555,$FA$49:$FA$52,))/3/(1+($FA$20-1)*$FA$19),0)+IF(CA555="自身",$FA$19*#REF!/3/(1+(BH555-1)*$BD555),0)),0)</f>
        <v>0</v>
      </c>
      <c r="CE555" s="420">
        <f t="shared" si="729"/>
        <v>0</v>
      </c>
      <c r="CF555" s="436">
        <f t="shared" si="779"/>
        <v>0</v>
      </c>
      <c r="CG555" s="423">
        <f t="shared" si="731"/>
        <v>0</v>
      </c>
      <c r="CH555" s="433">
        <f t="shared" si="732"/>
        <v>0</v>
      </c>
      <c r="CI555" s="1113" t="s">
        <v>164</v>
      </c>
      <c r="CJ555" s="1114">
        <v>1</v>
      </c>
      <c r="CK555" s="1115" t="s">
        <v>2046</v>
      </c>
      <c r="CL555" s="1115" t="s">
        <v>1940</v>
      </c>
      <c r="CM555" s="1119">
        <v>7.5999999999999998E-2</v>
      </c>
      <c r="CN555" s="1115"/>
      <c r="CO555" s="1115"/>
      <c r="CP555" s="1116">
        <f t="shared" si="733"/>
        <v>52.88303868462723</v>
      </c>
      <c r="CQ555" s="1116">
        <f t="shared" si="734"/>
        <v>74.050975547444992</v>
      </c>
      <c r="CR555" s="1117">
        <f t="shared" si="735"/>
        <v>52.88303868462723</v>
      </c>
      <c r="CS555" s="442">
        <f>IF(CK555="技能+",IF(CN555="infty",(IF(CI555="曲开始",CM555*CJ555)+IF(OR(CI555="AC时",CI555="AC成功"),(1-(1-(1-CJ555)^($FM$20+1))/(($FM$20+1)*CJ555))*CM555))*(IF(CL555="全员",1)))+IF(CN555&lt;&gt;"infty",CM555*(IF(CI555="曲开始",CJ555*CN555/$FM$19)+IF(OR(CI555="AC时",CI555="AC成功"),CN555*IF(CO555&lt;&gt;"",MIN(CO555,CJ555*$FM$20),CJ555*$FM$20)/$FM$19)+IF(CI555="切队",CN555*IF(CO555&lt;&gt;"",MIN(CJ555*$FM$11,CO555/$FM$19),CJ555*$FM$11))+IF(CI555="ap时",IF(CO555&lt;&gt;"",MIN(CO555/$FM570,IF($O555="sk",$FM$10,$FM$9)*CJ555),IF($O555="sk",$FM$10,$FM$9)*CJ555)*CN555)+IF(CI555="ct时",IF(CO555&lt;&gt;"",MIN(CO555/$FM570,$AU555*IF($O555="sk",$FM$10,$FM$9)*CJ555),$AU555*IF($O555="sk",$FM$10,$FM$9)*CJ555)*CN555))*(IF(CL555="全员",1)+IF(CL555="同作战",IF($O555="sk",$FM$10*3,$FM$9*3))+IF(CL555="同属性",$FM$23/6)+IF(CL555="同年级",$FM$24/6)+IF(CL555="自身",IF($O555="sk",$FM$10,$FM$9)))),0)*$FM$16</f>
        <v>0</v>
      </c>
      <c r="CT555" s="432">
        <f>IF(CK555="sp+",IF(CN555="infty",(IF(CI555="曲开始",CM555*CJ555*$FM$28)+IF(OR(CI555="AC时",CI555="AC成功"),(1-(1-(1-CJ555)^($FM$20+1))/(($FM$20+1)*CJ555))*CM555*$FM$28))*(IF(CL555="全员",1)))+IF(CN555&lt;&gt;"infty",CM555*$FM$28*(IF(CI555="曲开始",CJ555*CN555/$FM$19)+IF(OR(CI555="AC时",CI555="AC成功"),CN555*IF(CO555&lt;&gt;"",MIN(CO555,CJ555*$FM$20),CJ555*$FM$20)/$FM$19)+IF(CI555="切队",CN555*IF(CO555&lt;&gt;"",MIN(CJ555*$FM$11,CO555/$FM$19),CJ555*$FM$11))+IF(CI555="ap时",IF(CO555&lt;&gt;"",MIN(CO555/$FM570,IF($O555="sk",$FM$10,$FM$9)*CJ555),IF($O555="sk",$FM$10,$FM$9)*CJ555)*CN555)+IF(CI555="ct时",IF(CO555&lt;&gt;"",MIN(CO555/$FM570,$AU555*IF($O555="sk",$FM$10,$FM$9)*CJ555),$AU555*IF($O555="sk",$FM$10,$FM$9)*CJ555)*CN555))*(IF(CL555="全员",1)+IF(CL555="同作战",IF($O555="sk",$FM$10*3,$FM$9*3))+IF(CL555="同属性",$FM$23/6)+IF(CL555="同年级",$FM$24/6)+IF(CL555="同type",IF(O555="sp",$FN$6*$FM$9)))),0)+IF(CK555="sp获得",IF(CI555="AC成功",0,CM555*(IF(CL555="ap",AQ555)+IF(CL555="st",AR555)+IF(CL555="te",AS555)+IF(CL555="sp槽",$EW$77)+IF(CL555="",1))*IF($O555="sk",1,1+(1+$FM$10/$FM$9)*($FM$27-1))*(IF(CI555="曲开始",CJ555/$FM$19)+IF(CI555="SP发动",IF(CO555&lt;&gt;"",MIN(CO555/$FM$19,CJ555*$FM$30/$FM$19),CJ555*$FM$30/$FM$19))+IF(CI555="切队",IF(CO555&lt;&gt;"",MIN(CO555/$FM$19,CJ555*$FM$11),CJ555*$FM$11))+IF(OR(CI555="AC时",CI555="AC成功"),IF(CO555&lt;&gt;"",MIN(CO555/$FM$19,CJ555*$FM$20/$FM$19),CJ555*$FM$20/$FM$19))+IF(CI555="ap时",IF(CO555&lt;&gt;"",MIN(CO555/$FM$19,CJ555*IF($O555="sk",$FM$10,$FM$9)),CJ555*IF($O555="sk",$FM$10,$FM$9)))+IF(CI555="ct时",IF(CO555&lt;&gt;"",MIN(CO555/$FM$19,CJ555*IF($O555="sk",$FM$10,$FM$9)*$AU555),CJ555*IF($O555="sk",$FM$10,$FM$9)*$AU555)))))</f>
        <v>0</v>
      </c>
      <c r="CU555" s="1101">
        <f t="shared" si="738"/>
        <v>58.171342553089957</v>
      </c>
      <c r="CV555" s="1108">
        <f t="shared" si="777"/>
        <v>74.050975547444992</v>
      </c>
      <c r="CW555" s="420">
        <f t="shared" si="739"/>
        <v>58.171342553089957</v>
      </c>
      <c r="CX555" s="420">
        <f t="shared" si="740"/>
        <v>58.171342553089957</v>
      </c>
      <c r="CY555" s="433">
        <f t="shared" si="741"/>
        <v>58.171342553089957</v>
      </c>
      <c r="CZ555" s="437"/>
      <c r="DA555" s="438"/>
      <c r="DB555" s="439" t="s">
        <v>569</v>
      </c>
      <c r="DC555" s="439"/>
      <c r="DD555" s="443"/>
      <c r="DE555" s="411"/>
      <c r="DF555" s="411"/>
      <c r="DG555" s="1116">
        <f t="shared" si="742"/>
        <v>0</v>
      </c>
      <c r="DH555" s="1116">
        <f t="shared" si="743"/>
        <v>0</v>
      </c>
      <c r="DI555" s="1116">
        <f t="shared" si="744"/>
        <v>0</v>
      </c>
      <c r="DJ555" s="442">
        <f t="shared" si="780"/>
        <v>0</v>
      </c>
      <c r="DK555" s="432">
        <f t="shared" si="781"/>
        <v>0</v>
      </c>
      <c r="DL555" s="424">
        <f t="shared" si="747"/>
        <v>0</v>
      </c>
      <c r="DM555" s="420">
        <f t="shared" si="748"/>
        <v>0</v>
      </c>
      <c r="DN555" s="420">
        <f t="shared" si="749"/>
        <v>0</v>
      </c>
      <c r="DO555" s="420">
        <f t="shared" si="750"/>
        <v>0</v>
      </c>
      <c r="DP555" s="433">
        <f t="shared" si="751"/>
        <v>0</v>
      </c>
      <c r="DQ555" s="1113" t="s">
        <v>545</v>
      </c>
      <c r="DR555" s="444">
        <f t="shared" si="773"/>
        <v>0.3</v>
      </c>
      <c r="DS555" s="1124"/>
      <c r="DT555" s="1093" t="s">
        <v>132</v>
      </c>
      <c r="DU555" s="1124"/>
      <c r="DV555" s="1098">
        <f>IF($P555="","N/A",IF(P555=-1,INDEX('卡片raw data'!AN:AN,MATCH(D555,'卡片raw data'!$F:$F,)),0)+IF(AND(L555&lt;&gt;"party卡",P555&lt;=2,P555&gt;=0),INDEX('卡片raw data'!AP:AP,MATCH(D555,'卡片raw data'!$F:$F,)),0)+IF(OR(AND(L555="party卡",P555&lt;=1),AND(P555&lt;=4,L555&lt;&gt;"party卡",P555&gt;=3)),INDEX('卡片raw data'!AQ:AQ,MATCH(D555,'卡片raw data'!$F:$F,)),0)+IF(OR(P555=5,AND(L555="party卡",P555&gt;=2)),INDEX('卡片raw data'!AR:AR,MATCH(D555,'卡片raw data'!$F:$F,)),0))</f>
        <v>0.37</v>
      </c>
      <c r="DW555" s="1098">
        <f t="shared" si="752"/>
        <v>0.3</v>
      </c>
      <c r="DX555" s="1098">
        <f t="shared" si="753"/>
        <v>0.3</v>
      </c>
      <c r="DY555" s="1097">
        <f t="shared" si="754"/>
        <v>1201.4655280103905</v>
      </c>
      <c r="DZ555" s="1097">
        <f t="shared" si="755"/>
        <v>935.52689699841187</v>
      </c>
      <c r="EA555" s="421">
        <f t="shared" si="756"/>
        <v>0</v>
      </c>
      <c r="EB555" s="445">
        <f t="shared" si="757"/>
        <v>0</v>
      </c>
      <c r="EC555" s="424">
        <f t="shared" si="758"/>
        <v>1321.6120808114297</v>
      </c>
      <c r="ED555" s="420">
        <f t="shared" si="759"/>
        <v>935.52689699841187</v>
      </c>
      <c r="EE555" s="433">
        <f t="shared" si="775"/>
        <v>1321.6120808114297</v>
      </c>
      <c r="EF555" s="1113" t="s">
        <v>569</v>
      </c>
      <c r="EG555" s="444">
        <f t="shared" si="774"/>
        <v>0.3</v>
      </c>
      <c r="EH555" s="450"/>
      <c r="EI555" s="1124"/>
      <c r="EJ555" s="1124"/>
      <c r="EK555" s="420">
        <f>IF($P555="","N/A",IF(P555=-1,INDEX('卡片raw data'!AS:AS,MATCH(D555,'卡片raw data'!$F:$F,)),0)+IF(AND(L555&lt;&gt;"party卡",P555&lt;=2,P555&gt;=0),INDEX('卡片raw data'!AU:AU,MATCH(D555,'卡片raw data'!$F:$F,)),0)+IF(OR(AND(L555="party卡",P555&lt;=1),AND(P555&lt;=4,L555&lt;&gt;"party卡",P555&gt;=3)),INDEX('卡片raw data'!AV:AV,MATCH(D555,'卡片raw data'!$F:$F,)),0)+IF(OR(P555=5,AND(L555="party卡",P555&gt;=2)),INDEX('卡片raw data'!AW:AW,MATCH(D555,'卡片raw data'!$F:$F,)),0))</f>
        <v>0</v>
      </c>
      <c r="EL555" s="1098">
        <f t="shared" si="760"/>
        <v>0.3</v>
      </c>
      <c r="EM555" s="1098">
        <f t="shared" si="761"/>
        <v>0.3</v>
      </c>
      <c r="EN555" s="1097">
        <f t="shared" si="762"/>
        <v>0</v>
      </c>
      <c r="EO555" s="1097">
        <f t="shared" si="763"/>
        <v>0</v>
      </c>
      <c r="EP555" s="421">
        <f t="shared" si="764"/>
        <v>0</v>
      </c>
      <c r="EQ555" s="445">
        <f t="shared" si="765"/>
        <v>0</v>
      </c>
      <c r="ER555" s="424">
        <f t="shared" si="766"/>
        <v>0</v>
      </c>
      <c r="ES555" s="420">
        <f t="shared" si="767"/>
        <v>0</v>
      </c>
      <c r="ET555" s="446">
        <f t="shared" si="776"/>
        <v>0</v>
      </c>
    </row>
    <row r="556" spans="2:150" ht="16.5" customHeight="1">
      <c r="B556" s="448" t="str">
        <f>INDEX('卡片raw data'!B:B,MATCH($D556,'卡片raw data'!$F:$F,))</f>
        <v>私服霞</v>
      </c>
      <c r="C556" s="449" t="s">
        <v>4554</v>
      </c>
      <c r="D556" s="408">
        <v>553</v>
      </c>
      <c r="E556" s="477">
        <v>402023004</v>
      </c>
      <c r="F556" s="409" t="str">
        <f>INDEX('卡片raw data'!C:C,MATCH($D556,'卡片raw data'!$F:$F,))</f>
        <v>UR</v>
      </c>
      <c r="G556" s="1094" t="s">
        <v>4555</v>
      </c>
      <c r="H556" s="411">
        <f>IFERROR(INDEX(绊状态确认!C:C,MATCH($G556,绊状态确认!$B:$B,)),"")</f>
        <v>202</v>
      </c>
      <c r="I556" s="450" t="str">
        <f>IFERROR(INDEX(绊状态确认!D:D,MATCH($G556,绊状态确认!$B:$B,)),"")</f>
        <v>虹</v>
      </c>
      <c r="J556" s="450" t="str">
        <f>IFERROR(INDEX(绊状态确认!E:E,MATCH($G556,绊状态确认!$B:$B,)),"")</f>
        <v>1年级</v>
      </c>
      <c r="K556" s="451" t="str">
        <f>IFERROR(INDEX(绊状态确认!F:F,MATCH($G556,绊状态确认!$B:$B,)),"")</f>
        <v>QU4RTZ</v>
      </c>
      <c r="L556" s="414" t="str">
        <f>INDEX('卡片raw data'!E:E,MATCH($D556,'卡片raw data'!$F:$F,))</f>
        <v>卡池卡</v>
      </c>
      <c r="M556" s="478">
        <v>44474</v>
      </c>
      <c r="N556" s="479">
        <v>49</v>
      </c>
      <c r="O556" s="410" t="str">
        <f>INDEX('卡片raw data'!D:D,MATCH($D556,'卡片raw data'!$F:$F,))</f>
        <v>vo</v>
      </c>
      <c r="P556" s="1126">
        <v>5</v>
      </c>
      <c r="Q556" s="418">
        <f t="shared" si="688"/>
        <v>70267.000040208644</v>
      </c>
      <c r="R556" s="419">
        <f t="shared" si="689"/>
        <v>0.81599999999999995</v>
      </c>
      <c r="S556" s="420">
        <f t="shared" si="690"/>
        <v>20782.145441448076</v>
      </c>
      <c r="T556" s="421">
        <f t="shared" si="691"/>
        <v>1.0389999999999999</v>
      </c>
      <c r="U556" s="422">
        <f t="shared" si="692"/>
        <v>-8.2751419428571467</v>
      </c>
      <c r="V556" s="423">
        <f t="shared" si="693"/>
        <v>70309.610076926925</v>
      </c>
      <c r="W556" s="424">
        <f t="shared" si="694"/>
        <v>5827.4356587303228</v>
      </c>
      <c r="X556" s="419">
        <f t="shared" si="695"/>
        <v>6.7000000000000004E-2</v>
      </c>
      <c r="Y556" s="420">
        <f t="shared" si="696"/>
        <v>1347.2784869599891</v>
      </c>
      <c r="Z556" s="425">
        <f t="shared" si="697"/>
        <v>16.724858057142853</v>
      </c>
      <c r="AA556" s="426">
        <f t="shared" si="698"/>
        <v>7174.7141456903119</v>
      </c>
      <c r="AB556" s="424">
        <f t="shared" si="699"/>
        <v>7147.1498303346489</v>
      </c>
      <c r="AC556" s="427">
        <f t="shared" si="700"/>
        <v>8.3000000000000004E-2</v>
      </c>
      <c r="AD556" s="428">
        <f t="shared" si="701"/>
        <v>0</v>
      </c>
      <c r="AE556" s="516">
        <f t="shared" si="702"/>
        <v>0</v>
      </c>
      <c r="AF556" s="1130">
        <f t="shared" si="703"/>
        <v>0</v>
      </c>
      <c r="AG556" s="420">
        <f t="shared" si="704"/>
        <v>0</v>
      </c>
      <c r="AH556" s="420">
        <f t="shared" si="705"/>
        <v>0</v>
      </c>
      <c r="AI556" s="1097">
        <f t="shared" si="706"/>
        <v>0</v>
      </c>
      <c r="AJ556" s="420">
        <f t="shared" si="707"/>
        <v>0</v>
      </c>
      <c r="AK556" s="518">
        <f t="shared" si="708"/>
        <v>0</v>
      </c>
      <c r="AL556" s="1106">
        <f>IF($P556="","N/A",(IF($P556=-1,INDEX('卡片raw data'!S:S,MATCH($D556,'卡片raw data'!$F:$F,)),0)+IF($P556=0,INDEX('卡片raw data'!V:V,MATCH($D556,'卡片raw data'!$F:$F,)),0)+IF($P556=1,INDEX('卡片raw data'!Y:Y,MATCH($D556,'卡片raw data'!$F:$F,)),0)+IF($P556=2,INDEX('卡片raw data'!AB:AB,MATCH($D556,'卡片raw data'!$F:$F,)),0)+IF($P556=3,INDEX('卡片raw data'!AE:AE,MATCH($D556,'卡片raw data'!$F:$F,)),0)+IF($P556=4,INDEX('卡片raw data'!AH:AH,MATCH($D556,'卡片raw data'!$F:$F,)),0)+IF($P556=5,INDEX('卡片raw data'!AK:AK,MATCH($D556,'卡片raw data'!$F:$F,)),0)+INDEX('卡片raw data'!S:S,MATCH($D556,'卡片raw data'!$F:$F,))*(IF($F556="UR",0.04,0.033))*(IF($F556="UR",INDEX(绊状态确认!$S:$S,MATCH($G556,绊状态确认!$B:$B,))/2-40)+IF($F556="SR",INDEX(绊状态确认!$R:$R,MATCH($G556,绊状态确认!$B:$B,))/4-15))+IF($F556="R",INDEX(绊状态确认!$Q:$Q,MATCH($G556,绊状态确认!$B:$B,))/6-40/6)))*(INDEX(绊状态确认!$H:$H,MATCH($G556,绊状态确认!$B:$B,))+INDEX(绊状态确认!J:J,MATCH($G556,绊状态确认!$B:$B,)))</f>
        <v>15883.235519999997</v>
      </c>
      <c r="AM556" s="1106">
        <f>IF($P556="","N/A",(IF($P556=-1,INDEX('卡片raw data'!T:T,MATCH($D556,'卡片raw data'!$F:$F,)),0)+IF($P556=0,INDEX('卡片raw data'!W:W,MATCH($D556,'卡片raw data'!$F:$F,)),0)+IF($P556=1,INDEX('卡片raw data'!Z:Z,MATCH($D556,'卡片raw data'!$F:$F,)),0)+IF($P556=2,INDEX('卡片raw data'!AC:AC,MATCH($D556,'卡片raw data'!$F:$F,)),0)+IF($P556=3,INDEX('卡片raw data'!AF:AF,MATCH($D556,'卡片raw data'!$F:$F,)),0)+IF($P556=4,INDEX('卡片raw data'!AI:AI,MATCH($D556,'卡片raw data'!$F:$F,)),0)+IF($P556=5,INDEX('卡片raw data'!AL:AL,MATCH($D556,'卡片raw data'!$F:$F,)),0)+INDEX('卡片raw data'!T:T,MATCH($D556,'卡片raw data'!$F:$F,))*(IF($F556="UR",0.04,0.033))*(IF($F556="UR",INDEX(绊状态确认!$S:$S,MATCH($G556,绊状态确认!$B:$B,))/2-40)+IF($F556="SR",INDEX(绊状态确认!$R:$R,MATCH($G556,绊状态确认!$B:$B,))/4-15))+IF($F556="R",INDEX(绊状态确认!$Q:$Q,MATCH($G556,绊状态确认!$B:$B,))/6-40/6)))*(INDEX(绊状态确认!$H:$H,MATCH($G556,绊状态确认!$B:$B,))+INDEX(绊状态确认!K:K,MATCH($G556,绊状态确认!$B:$B,)))</f>
        <v>9454.8479999999981</v>
      </c>
      <c r="AN556" s="1106">
        <f>IF($P556="","N/A",(IF($P556=-1,INDEX('卡片raw data'!U:U,MATCH($D556,'卡片raw data'!$F:$F,)),0)+IF($P556=0,INDEX('卡片raw data'!X:X,MATCH($D556,'卡片raw data'!$F:$F,)),0)+IF($P556=1,INDEX('卡片raw data'!AA:AA,MATCH($D556,'卡片raw data'!$F:$F,)),0)+IF($P556=2,INDEX('卡片raw data'!AD:AD,MATCH($D556,'卡片raw data'!$F:$F,)),0)+IF($P556=3,INDEX('卡片raw data'!AG:AG,MATCH($D556,'卡片raw data'!$F:$F,)),0)+IF($P556=4,INDEX('卡片raw data'!AJ:AJ,MATCH($D556,'卡片raw data'!$F:$F,)),0)+IF($P556=5,INDEX('卡片raw data'!AM:AM,MATCH($D556,'卡片raw data'!$F:$F,)),0)+INDEX('卡片raw data'!U:U,MATCH($D556,'卡片raw data'!$F:$F,))*(IF($F556="UR",0.04,0.033))*(IF($F556="UR",INDEX(绊状态确认!$S:$S,MATCH($G556,绊状态确认!$B:$B,))/2-40)+IF($F556="SR",INDEX(绊状态确认!$R:$R,MATCH($G556,绊状态确认!$B:$B,))/4-15))+IF($F556="R",INDEX(绊状态确认!$Q:$Q,MATCH($G556,绊状态确认!$B:$B,))/6-40/6)))*(INDEX(绊状态确认!$H:$H,MATCH($G556,绊状态确认!$B:$B,))+INDEX(绊状态确认!L:L,MATCH($G556,绊状态确认!$B:$B,)))</f>
        <v>12480.172079999998</v>
      </c>
      <c r="AO556" s="1107">
        <f t="shared" si="709"/>
        <v>1</v>
      </c>
      <c r="AP556" s="1131">
        <f>1+(INDEX(绊状态确认!$T:$T,MATCH($G556,绊状态确认!$B:$B,))+0.2)*$AO556</f>
        <v>1.3</v>
      </c>
      <c r="AQ556" s="1108">
        <f t="shared" si="710"/>
        <v>44943.493239999989</v>
      </c>
      <c r="AR556" s="1097">
        <f>(AM556*(1+$EX$9)+$EX$35)*(1+(INDEX(绊状态确认!$T:$T,MATCH($G556,绊状态确认!$B:$B,))+0.2)*AO556)*IF(J556=$FF$17,1+$FE$17,1)*IF(I556=$FF$14,1+$FE$14,1)</f>
        <v>15609.86752</v>
      </c>
      <c r="AS556" s="1097">
        <f>(AN556*(1+$EX$10)+$EX$36)*(1+(INDEX(绊状态确认!$T:$T,MATCH($G556,绊状态确认!$B:$B,))+0.2)*AO556)*IF(J556=$FF$17,1+$FE$17,1)*IF(I556=$FF$14,1+$FE$14,1)</f>
        <v>22713.857259599998</v>
      </c>
      <c r="AT556" s="1093">
        <f>IF(AND(INDEX('卡片raw data'!AK:AK,MATCH($D556,'卡片raw data'!$F:$F,))&lt;INDEX('卡片raw data'!AM:AM,MATCH($D556,'卡片raw data'!$F:$F,)),INDEX('卡片raw data'!AL:AL,MATCH($D556,'卡片raw data'!$F:$F,))&lt;INDEX('卡片raw data'!AM:AM,MATCH($D556,'卡片raw data'!$F:$F,))),1,0)</f>
        <v>0</v>
      </c>
      <c r="AU556" s="1098">
        <f>MIN(AT556*0.15+AS556*0.00003+INDEX(绊状态确认!M:M,MATCH($G556,绊状态确认!$B:$B,)),1)</f>
        <v>0.71141571778799995</v>
      </c>
      <c r="AV556" s="1109">
        <f>(INDEX(绊状态确认!$N:$N,MATCH($G556,绊状态确认!$B:$B,))+1.5)*$EW$21</f>
        <v>2.6599999999999997</v>
      </c>
      <c r="AW556" s="1101">
        <f t="shared" si="711"/>
        <v>50906.110541695678</v>
      </c>
      <c r="AX556" s="1097">
        <f t="shared" si="712"/>
        <v>1347.2784869599889</v>
      </c>
      <c r="AY556" s="1110">
        <f t="shared" si="713"/>
        <v>52253.389028655663</v>
      </c>
      <c r="AZ556" s="429">
        <f t="shared" si="714"/>
        <v>33572.309263999996</v>
      </c>
      <c r="BA556" s="431">
        <f t="shared" si="715"/>
        <v>40286.771116799995</v>
      </c>
      <c r="BB556" s="1097">
        <f>(AM556*(1+$FB$9)+$FB$35)*(1+(INDEX(绊状态确认!$T:$T,MATCH($G556,绊状态确认!$B:$B,))+0.2)*AO556)*IF(J556=$FF$17,1+$FE$17,1)*IF(I556=$FF$14,1+$FE$14,1)*(1+$FE$15)</f>
        <v>15609.86752</v>
      </c>
      <c r="BC556" s="1097">
        <f>(AN556*(1+$FB$10)+$FB$36)*(1+(INDEX(绊状态确认!$T:$T,MATCH($G556,绊状态确认!$B:$B,))+0.2)*AO556)*IF(J556=$FF$17,1+$FE$17,1)*IF(I556=$FF$14,1+$FE$14,1)*(1+$FE$15)</f>
        <v>22713.857259599998</v>
      </c>
      <c r="BD556" s="1104">
        <f>MIN(AT556*0.15+BC556*0.00003+INDEX(绊状态确认!M:M,MATCH($G556,绊状态确认!$B:$B,)),1)</f>
        <v>0.71141571778799995</v>
      </c>
      <c r="BE556" s="432">
        <f>(INDEX(绊状态确认!$N:$N,MATCH($G556,绊状态确认!$B:$B,))+1.5)</f>
        <v>1.9</v>
      </c>
      <c r="BF556" s="1139">
        <f t="array" ref="BF556">SUMPRODUCT(IF(AZ556*AP556*$FI$16:$FI$23*$FA$22&gt;=$FI$24,$FI$24,AZ556*AP556*$FI$16:$FI$23*$FA$22),$FJ$16:$FJ$23)</f>
        <v>58911.000510800004</v>
      </c>
      <c r="BG556" s="1125">
        <f t="array" ref="BG556">SUMPRODUCT(IF(BE556*AZ556*AP556*$FI$16:$FI$23*$FA$22&gt;=$FI$24,$FI$24,BE556*AZ556*AP556*$FI$16:$FI$23*$FA$22),$FJ$16:$FJ$23)</f>
        <v>60000</v>
      </c>
      <c r="BH556" s="1110">
        <f t="shared" si="716"/>
        <v>19895.243954693327</v>
      </c>
      <c r="BI556" s="1111">
        <f>IF(O556="vo",$EW$26/$EW$24*0.05,0)+IF(O556="sk",-$EW$26/$EW$24*(0.05-INDEX(绊状态确认!W:W,MATCH($G556,绊状态确认!$B:$B,)))+0.05*$EW$28,0)+IF(O556="sp",0.05*$EW$32*$EW$30*(1-$EW$33)-(0.05-INDEX(绊状态确认!V:V,MATCH($G556,绊状态确认!$B:$B,)))*$EW$28,0)+IF(O556="gd",-(0.05-INDEX(绊状态确认!X:X,MATCH($G556,绊状态确认!$B:$B,)))*$EW$32*$EW$30*(1-$EW$33),0)</f>
        <v>7726.3029277443748</v>
      </c>
      <c r="BJ556" s="420">
        <f>IF(O556="vo",0.05*(1-$FI$26)*$FA$24,0)+IF(O556="sk",-(0.05-INDEX(绊状态确认!W:W,MATCH($G556,绊状态确认!$B:$B,)))*(1-$FI$26)*$FA$24+0.05*$FA$26,0)+IF(O556="sp",0.05*$FA$32*$FA$27*(1-$FA$33)/$FA$30+0.05*$FA$29/$FA$69*$FA$27*(1-$FA$33)-(0.05-INDEX(绊状态确认!V:V,MATCH($G556,绊状态确认!$B:$B,)))*$FA$26,0)+IF(O556="gd",-(0.05-INDEX(绊状态确认!X:X,MATCH($G556,绊状态确认!$B:$B,)))*$FA$32*$FA$27*(1-$FA$33)/$FA$30-(0.05-INDEX(绊状态确认!X:X,MATCH($G556,绊状态确认!$B:$B,)))*$FA$29/$FA$69*$FA$27*(1-$FA$33),0)</f>
        <v>393.93433687500004</v>
      </c>
      <c r="BK556" s="1110">
        <f>IF(O556="vo",$EW$26/$EW$24*0.05+$EW$26*(-HP($EW$62,$EW$65,$EW$64)+HP($EW$62,$EW$65,(1.05-INDEX(绊状态确认!U:U,MATCH($G556,绊状态确认!$B:$B,)))*$EW$64)),0)+IF(O556="sk",-$EW$26/$EW$24*(0.05-INDEX(绊状态确认!W:W,MATCH($G556,绊状态确认!$B:$B,)))+0.05*$EW$29,0)+IF(O556="sp",0.05*$EW$32*$EW$30*(1-$EW$33)-(0.05-INDEX(绊状态确认!V:V,MATCH($G556,绊状态确认!$B:$B,)))*$EW$29,0)+IF(O556="gd",-(0.05-INDEX(绊状态确认!X:X,MATCH($G556,绊状态确认!$B:$B,)))*$EW$32*$EW$30*(1-$EW$33)+$EW$26*(-HP($EW$62,$EW$65,$EW$64)+HP($EW$62,$EW$65,0.95*$EW$64)),0)</f>
        <v>6421.6344775026746</v>
      </c>
      <c r="BL556" s="1111">
        <f t="shared" si="717"/>
        <v>0</v>
      </c>
      <c r="BM556" s="1110">
        <f t="shared" si="718"/>
        <v>0</v>
      </c>
      <c r="BN556" s="1113">
        <f t="shared" si="719"/>
        <v>3</v>
      </c>
      <c r="BO556" s="1108">
        <f t="shared" si="720"/>
        <v>4507.7214871259994</v>
      </c>
      <c r="BP556" s="1127">
        <f t="shared" si="721"/>
        <v>221.34103209030098</v>
      </c>
      <c r="BQ556" s="1113" t="s">
        <v>132</v>
      </c>
      <c r="BR556" s="1124" t="s">
        <v>171</v>
      </c>
      <c r="BS556" s="421">
        <f>IF($P556="","N/A",IF($P556=-1,INDEX('卡片raw data'!AX:AX,MATCH($D556,'卡片raw data'!$F:$F,)),0)+IF($L556="party卡",IF($P556=5,INDEX('卡片raw data'!BD:BD,MATCH($D556,'卡片raw data'!$F:$F,)),IF($P556&gt;=3,INDEX('卡片raw data'!BC:BC,MATCH($D556,'卡片raw data'!$F:$F,)),INDEX('卡片raw data'!BB:BB,MATCH($D556,'卡片raw data'!$F:$F,)))),IF(OR(AND($F556="UR",$P556=0),AND($F556="SR",$P556&gt;=0,$P556&lt;=2),AND($F556="R",$P556&gt;=0,$P556&lt;4)),INDEX('卡片raw data'!AZ:AZ,MATCH($D556,'卡片raw data'!$F:$F,)),0)+IF(OR(AND($F556="UR",$P556&gt;=1,$P556&lt;=4),AND($F556="SR",$P556&lt;=4,$P556&gt;=3),AND($F556="R",$P556=4)),INDEX('卡片raw data'!BA:BA,MATCH($D556,'卡片raw data'!$F:$F,)),0)+IF($P556=5,INDEX('卡片raw data'!BB:BB,MATCH($D556,'卡片raw data'!$F:$F,)),0)))</f>
        <v>5.1999999999999998E-2</v>
      </c>
      <c r="BT556" s="424">
        <f t="shared" si="722"/>
        <v>2604.4613036728001</v>
      </c>
      <c r="BU556" s="420">
        <f t="shared" si="723"/>
        <v>111.90018844565216</v>
      </c>
      <c r="BV556" s="420">
        <f t="shared" si="724"/>
        <v>1302.2306518363998</v>
      </c>
      <c r="BW556" s="436">
        <f t="shared" si="725"/>
        <v>0</v>
      </c>
      <c r="BX556" s="423">
        <f t="shared" si="726"/>
        <v>2604.4613036728001</v>
      </c>
      <c r="BY556" s="433">
        <f t="shared" si="727"/>
        <v>1302.2306518363998</v>
      </c>
      <c r="BZ556" s="1113" t="s">
        <v>569</v>
      </c>
      <c r="CA556" s="450"/>
      <c r="CB556" s="421">
        <f>IF($P556="","N/A",IF($P556=-1,INDEX('卡片raw data'!BE:BE,MATCH($D556,'卡片raw data'!$F:$F,)),0)+IF($L556="party卡",IF($P556=5,INDEX('卡片raw data'!BK:BK,MATCH($D556,'卡片raw data'!$F:$F,)),IF($P556&gt;=3,INDEX('卡片raw data'!BJ:BJ,MATCH($D556,'卡片raw data'!$F:$F,)),INDEX('卡片raw data'!BI:BI,MATCH($D556,'卡片raw data'!$F:$F,)))),IF(OR(AND($F556="UR",$P556=0),AND($F556="SR",$P556&gt;=0,$P556&lt;=2),AND($F556="R",$P556&gt;=0,$P556&lt;4)),INDEX('卡片raw data'!BG:BG,MATCH($D556,'卡片raw data'!$F:$F,)),0)+IF(OR(AND($F556="UR",$P556&gt;=1,$P556&lt;=4),AND($F556="SR",$P556&lt;=4,$P556&gt;=3),AND($F556="R",$P556=4)),INDEX('卡片raw data'!BH:BH,MATCH($D556,'卡片raw data'!$F:$F,)),0)+IF($P556=5,INDEX('卡片raw data'!BI:BI,MATCH($D556,'卡片raw data'!$F:$F,)),0)))</f>
        <v>0</v>
      </c>
      <c r="CC556" s="424">
        <f t="shared" si="778"/>
        <v>0</v>
      </c>
      <c r="CD556" s="420">
        <f>IF(BZ556="ap",CB556*(1-$FI$26)*$FB$5/$FB$11*(+IF(CA556="全员",$FA$24,0)+IF(CA556="同作战",$FA$24,0)+IF(CA556="仲间",$FA$24*2/3,0)+IF(CA556="同属性",$FA$24*$FA$37/3,0)+IF(CA556="同年级",$FA$24*$FA$40/3,0)+IF(CA556="同学校",$FA$24*$FA$43/3,0)+IF(CA556="同小队",$FA$24*$FA$46/3,0)+IF(CA556="同type",$FA$24*INDEX($FB$49:$FB$52,MATCH(X556,$FA$49:$FA$52,))/3,0)+IF(CA556="自身",#REF!/3,0)),0)+IF(BZ556="te",CB556*(1-$FI$27)*($FA$20-1)*$FB$7/$FB$13*(+IF(CA556="全员",$FA$19*$FA$24/(1+($FA$20-1)*$FA$19),0)+IF(CA556="同作战",$FA$19*$FA$24/(1+($FA$20-1)*$FA$19),0)+IF(CA556="仲间",$FA$19*$FA$24*2/3/(1+($FA$20-1)*$FA$19),0)+IF(CA556="同属性",$FA$19*$FA$24*$FA$37/3/(1+($FA$20-1)*$FA$19),0)+IF(CA556="同年级",$FA$19*$FA$24*$FA$40/3/(1+($FA$20-1)*$FA$19),0)+IF(CA556="同学校",$FA$19*$FA$24*$FA$43/3/(1+($FA$20-1)*$FA$19),0)+IF(CA556="同小队",$FA$19*$FA$24*$FA$46/3/(1+($FA$20-1)*$FA$19),0)+IF(CA556="同type",$FA$19*$FA$24*INDEX($FB$49:$FB$52,MATCH(X556,$FA$49:$FA$52,))/3/(1+($FA$20-1)*$FA$19),0)+IF(CA556="自身",$FA$19*#REF!/3/(1+(BH556-1)*$BD556),0)),0)</f>
        <v>0</v>
      </c>
      <c r="CE556" s="420">
        <f t="shared" si="729"/>
        <v>0</v>
      </c>
      <c r="CF556" s="436">
        <f t="shared" si="779"/>
        <v>0</v>
      </c>
      <c r="CG556" s="423">
        <f t="shared" si="731"/>
        <v>0</v>
      </c>
      <c r="CH556" s="433">
        <f t="shared" si="732"/>
        <v>0</v>
      </c>
      <c r="CI556" s="1113" t="s">
        <v>170</v>
      </c>
      <c r="CJ556" s="1114">
        <v>0.3</v>
      </c>
      <c r="CK556" s="1115" t="s">
        <v>2286</v>
      </c>
      <c r="CL556" s="1115" t="s">
        <v>2075</v>
      </c>
      <c r="CM556" s="1119">
        <v>7.1999999999999995E-2</v>
      </c>
      <c r="CN556" s="1115">
        <v>5</v>
      </c>
      <c r="CO556" s="1115"/>
      <c r="CP556" s="1118">
        <f t="shared" si="733"/>
        <v>2.5714285714285715E-4</v>
      </c>
      <c r="CQ556" s="1118">
        <f t="shared" si="734"/>
        <v>3.5E-4</v>
      </c>
      <c r="CR556" s="1118">
        <f t="shared" si="735"/>
        <v>1.2857142857142855E-4</v>
      </c>
      <c r="CS556" s="442">
        <f>IF(CK556="技能+",IF(CN556="infty",(IF(CI556="曲开始",CM556*CJ556)+IF(OR(CI556="AC时",CI556="AC成功"),(1-(1-(1-CJ556)^($FM$20+1))/(($FM$20+1)*CJ556))*CM556))*(IF(CL556="全员",1)))+IF(CN556&lt;&gt;"infty",CM556*(IF(CI556="曲开始",CJ556*CN556/$FM$19)+IF(OR(CI556="AC时",CI556="AC成功"),CN556*IF(CO556&lt;&gt;"",MIN(CO556,CJ556*$FM$20),CJ556*$FM$20)/$FM$19)+IF(CI556="切队",CN556*IF(CO556&lt;&gt;"",MIN(CJ556*$FM$11,CO556/$FM$19),CJ556*$FM$11))+IF(CI556="ap时",IF(CO556&lt;&gt;"",MIN(CO556/$FM1004,IF($O556="sk",$FM$10,$FM$9)*CJ556),IF($O556="sk",$FM$10,$FM$9)*CJ556)*CN556)+IF(CI556="ct时",IF(CO556&lt;&gt;"",MIN(CO556/$FM1004,$AU556*IF($O556="sk",$FM$10,$FM$9)*CJ556),$AU556*IF($O556="sk",$FM$10,$FM$9)*CJ556)*CN556))*(IF(CL556="全员",1)+IF(CL556="同作战",IF($O556="sk",$FM$10*3,$FM$9*3))+IF(CL556="同属性",$FM$23/6)+IF(CL556="同年级",$FM$24/6)+IF(CL556="自身",IF($O556="sk",$FM$10,$FM$9)))),0)*$FM$16</f>
        <v>0</v>
      </c>
      <c r="CT556" s="432">
        <f>IF(CK556="sp+",IF(CN556="infty",(IF(CI556="曲开始",CM556*CJ556*$FM$28)+IF(OR(CI556="AC时",CI556="AC成功"),(1-(1-(1-CJ556)^($FM$20+1))/(($FM$20+1)*CJ556))*CM556*$FM$28))*(IF(CL556="全员",1)))+IF(CN556&lt;&gt;"infty",CM556*$FM$28*(IF(CI556="曲开始",CJ556*CN556/$FM$19)+IF(OR(CI556="AC时",CI556="AC成功"),CN556*IF(CO556&lt;&gt;"",MIN(CO556,CJ556*$FM$20),CJ556*$FM$20)/$FM$19)+IF(CI556="切队",CN556*IF(CO556&lt;&gt;"",MIN(CJ556*$FM$11,CO556/$FM$19),CJ556*$FM$11))+IF(CI556="ap时",IF(CO556&lt;&gt;"",MIN(CO556/$FM1004,IF($O556="sk",$FM$10,$FM$9)*CJ556),IF($O556="sk",$FM$10,$FM$9)*CJ556)*CN556)+IF(CI556="ct时",IF(CO556&lt;&gt;"",MIN(CO556/$FM1004,$AU556*IF($O556="sk",$FM$10,$FM$9)*CJ556),$AU556*IF($O556="sk",$FM$10,$FM$9)*CJ556)*CN556))*(IF(CL556="全员",1)+IF(CL556="同作战",IF($O556="sk",$FM$10*3,$FM$9*3))+IF(CL556="同属性",$FM$23/6)+IF(CL556="同年级",$FM$24/6)+IF(CL556="同type",IF(O556="sp",$FN$6*$FM$9)))),0)+IF(CK556="sp获得",IF(CI556="AC成功",0,CM556*(IF(CL556="ap",AQ556)+IF(CL556="st",AR556)+IF(CL556="te",AS556)+IF(CL556="sp槽",$EW$77)+IF(CL556="",1))*IF($O556="sk",1,1+(1+$FM$10/$FM$9)*($FM$27-1))*(IF(CI556="曲开始",CJ556/$FM$19)+IF(CI556="SP发动",IF(CO556&lt;&gt;"",MIN(CO556/$FM$19,CJ556*$FM$30/$FM$19),CJ556*$FM$30/$FM$19))+IF(CI556="切队",IF(CO556&lt;&gt;"",MIN(CO556/$FM$19,CJ556*$FM$11),CJ556*$FM$11))+IF(OR(CI556="AC时",CI556="AC成功"),IF(CO556&lt;&gt;"",MIN(CO556/$FM$19,CJ556*$FM$20/$FM$19),CJ556*$FM$20/$FM$19))+IF(CI556="ap时",IF(CO556&lt;&gt;"",MIN(CO556/$FM$19,CJ556*IF($O556="sk",$FM$10,$FM$9)),CJ556*IF($O556="sk",$FM$10,$FM$9)))+IF(CI556="ct时",IF(CO556&lt;&gt;"",MIN(CO556/$FM$19,CJ556*IF($O556="sk",$FM$10,$FM$9)*$AU556),CJ556*IF($O556="sk",$FM$10,$FM$9)*$AU556)))))</f>
        <v>0</v>
      </c>
      <c r="CU556" s="1101">
        <f t="shared" si="738"/>
        <v>34.967039535848826</v>
      </c>
      <c r="CV556" s="1108">
        <f t="shared" si="777"/>
        <v>2.2979502984375002</v>
      </c>
      <c r="CW556" s="1097">
        <f t="shared" si="739"/>
        <v>17.483519767924413</v>
      </c>
      <c r="CX556" s="1097">
        <f t="shared" si="740"/>
        <v>34.967039535848826</v>
      </c>
      <c r="CY556" s="1110">
        <f t="shared" si="741"/>
        <v>17.483519767924413</v>
      </c>
      <c r="CZ556" s="437"/>
      <c r="DA556" s="438"/>
      <c r="DB556" s="439" t="s">
        <v>569</v>
      </c>
      <c r="DC556" s="439"/>
      <c r="DD556" s="443"/>
      <c r="DE556" s="411"/>
      <c r="DF556" s="411"/>
      <c r="DG556" s="1116">
        <f t="shared" si="742"/>
        <v>0</v>
      </c>
      <c r="DH556" s="1116">
        <f t="shared" si="743"/>
        <v>0</v>
      </c>
      <c r="DI556" s="1116">
        <f t="shared" si="744"/>
        <v>0</v>
      </c>
      <c r="DJ556" s="442">
        <f t="shared" si="780"/>
        <v>0</v>
      </c>
      <c r="DK556" s="432">
        <f t="shared" si="781"/>
        <v>0</v>
      </c>
      <c r="DL556" s="424">
        <f t="shared" si="747"/>
        <v>0</v>
      </c>
      <c r="DM556" s="420">
        <f t="shared" si="748"/>
        <v>0</v>
      </c>
      <c r="DN556" s="420">
        <f t="shared" si="749"/>
        <v>0</v>
      </c>
      <c r="DO556" s="420">
        <f t="shared" si="750"/>
        <v>0</v>
      </c>
      <c r="DP556" s="433">
        <f t="shared" si="751"/>
        <v>0</v>
      </c>
      <c r="DQ556" s="1113" t="s">
        <v>2074</v>
      </c>
      <c r="DR556" s="1120">
        <f t="shared" si="773"/>
        <v>0.33</v>
      </c>
      <c r="DS556" s="1124">
        <v>5</v>
      </c>
      <c r="DT556" s="1124" t="s">
        <v>2075</v>
      </c>
      <c r="DU556" s="1093" t="s">
        <v>2145</v>
      </c>
      <c r="DV556" s="1098">
        <f>IF($P556="","N/A",IF(P556=-1,INDEX('卡片raw data'!AN:AN,MATCH(D556,'卡片raw data'!$F:$F,)),0)+IF(AND(L556&lt;&gt;"party卡",P556&lt;=2,P556&gt;=0),INDEX('卡片raw data'!AP:AP,MATCH(D556,'卡片raw data'!$F:$F,)),0)+IF(OR(AND(L556="party卡",P556&lt;=1),AND(P556&lt;=4,L556&lt;&gt;"party卡",P556&gt;=3)),INDEX('卡片raw data'!AQ:AQ,MATCH(D556,'卡片raw data'!$F:$F,)),0)+IF(OR(P556=5,AND(L556="party卡",P556&gt;=2)),INDEX('卡片raw data'!AR:AR,MATCH(D556,'卡片raw data'!$F:$F,)),0))</f>
        <v>7.1999999999999995E-2</v>
      </c>
      <c r="DW556" s="1098">
        <f t="shared" si="752"/>
        <v>0.33</v>
      </c>
      <c r="DX556" s="1098">
        <f t="shared" si="753"/>
        <v>0.33</v>
      </c>
      <c r="DY556" s="1098">
        <f t="shared" si="754"/>
        <v>2.6399999999999996E-2</v>
      </c>
      <c r="DZ556" s="1098">
        <f t="shared" si="755"/>
        <v>1.9981499999999999E-2</v>
      </c>
      <c r="EA556" s="421">
        <f t="shared" si="756"/>
        <v>0</v>
      </c>
      <c r="EB556" s="445">
        <f t="shared" si="757"/>
        <v>0</v>
      </c>
      <c r="EC556" s="424">
        <f t="shared" si="758"/>
        <v>4487.4367404339328</v>
      </c>
      <c r="ED556" s="420">
        <f t="shared" si="759"/>
        <v>157.42797904535627</v>
      </c>
      <c r="EE556" s="433">
        <f t="shared" si="775"/>
        <v>4487.4367404339328</v>
      </c>
      <c r="EF556" s="1113" t="s">
        <v>569</v>
      </c>
      <c r="EG556" s="1120">
        <f t="shared" si="774"/>
        <v>0.33</v>
      </c>
      <c r="EH556" s="450"/>
      <c r="EI556" s="1124"/>
      <c r="EJ556" s="1124"/>
      <c r="EK556" s="1097">
        <f>IF($P556="","N/A",IF(P556=-1,INDEX('卡片raw data'!AS:AS,MATCH(D556,'卡片raw data'!$F:$F,)),0)+IF(AND(L556&lt;&gt;"party卡",P556&lt;=2,P556&gt;=0),INDEX('卡片raw data'!AU:AU,MATCH(D556,'卡片raw data'!$F:$F,)),0)+IF(OR(AND(L556="party卡",P556&lt;=1),AND(P556&lt;=4,L556&lt;&gt;"party卡",P556&gt;=3)),INDEX('卡片raw data'!AV:AV,MATCH(D556,'卡片raw data'!$F:$F,)),0)+IF(OR(P556=5,AND(L556="party卡",P556&gt;=2)),INDEX('卡片raw data'!AW:AW,MATCH(D556,'卡片raw data'!$F:$F,)),0))</f>
        <v>0</v>
      </c>
      <c r="EL556" s="1098">
        <f t="shared" si="760"/>
        <v>0.33</v>
      </c>
      <c r="EM556" s="1098">
        <f t="shared" si="761"/>
        <v>0.33</v>
      </c>
      <c r="EN556" s="1097">
        <f t="shared" si="762"/>
        <v>0</v>
      </c>
      <c r="EO556" s="1097">
        <f t="shared" si="763"/>
        <v>0</v>
      </c>
      <c r="EP556" s="421">
        <f t="shared" si="764"/>
        <v>0</v>
      </c>
      <c r="EQ556" s="445">
        <f t="shared" si="765"/>
        <v>0</v>
      </c>
      <c r="ER556" s="424">
        <f t="shared" si="766"/>
        <v>0</v>
      </c>
      <c r="ES556" s="420">
        <f t="shared" si="767"/>
        <v>0</v>
      </c>
      <c r="ET556" s="446">
        <f t="shared" si="776"/>
        <v>0</v>
      </c>
    </row>
    <row r="557" spans="2:150" ht="16.5" customHeight="1">
      <c r="B557" s="448" t="str">
        <f>INDEX('卡片raw data'!B:B,MATCH($D557,'卡片raw data'!$F:$F,))</f>
        <v>私服姬</v>
      </c>
      <c r="C557" s="449" t="s">
        <v>4554</v>
      </c>
      <c r="D557" s="408">
        <v>554</v>
      </c>
      <c r="E557" s="477">
        <v>400063005</v>
      </c>
      <c r="F557" s="409" t="str">
        <f>INDEX('卡片raw data'!C:C,MATCH($D557,'卡片raw data'!$F:$F,))</f>
        <v>UR</v>
      </c>
      <c r="G557" s="1094" t="s">
        <v>4557</v>
      </c>
      <c r="H557" s="411">
        <f>IFERROR(INDEX(绊状态确认!C:C,MATCH($G557,绊状态确认!$B:$B,)),"")</f>
        <v>6</v>
      </c>
      <c r="I557" s="450" t="str">
        <f>IFERROR(INDEX(绊状态确认!D:D,MATCH($G557,绊状态确认!$B:$B,)),"")</f>
        <v>缪</v>
      </c>
      <c r="J557" s="450" t="str">
        <f>IFERROR(INDEX(绊状态确认!E:E,MATCH($G557,绊状态确认!$B:$B,)),"")</f>
        <v>1年级</v>
      </c>
      <c r="K557" s="451" t="str">
        <f>IFERROR(INDEX(绊状态确认!F:F,MATCH($G557,绊状态确认!$B:$B,)),"")</f>
        <v>BiBi</v>
      </c>
      <c r="L557" s="414" t="str">
        <f>INDEX('卡片raw data'!E:E,MATCH($D557,'卡片raw data'!$F:$F,))</f>
        <v>活动卡</v>
      </c>
      <c r="M557" s="478">
        <v>44474</v>
      </c>
      <c r="N557" s="479">
        <v>49</v>
      </c>
      <c r="O557" s="410" t="str">
        <f>INDEX('卡片raw data'!D:D,MATCH($D557,'卡片raw data'!$F:$F,))</f>
        <v>sp</v>
      </c>
      <c r="P557" s="1126">
        <v>5</v>
      </c>
      <c r="Q557" s="418">
        <f t="shared" si="688"/>
        <v>53868.24340085627</v>
      </c>
      <c r="R557" s="419">
        <f t="shared" si="689"/>
        <v>0.626</v>
      </c>
      <c r="S557" s="420">
        <f t="shared" si="690"/>
        <v>22701.942007021993</v>
      </c>
      <c r="T557" s="421">
        <f t="shared" si="691"/>
        <v>1.135</v>
      </c>
      <c r="U557" s="422">
        <f t="shared" si="692"/>
        <v>13.827153969942854</v>
      </c>
      <c r="V557" s="423">
        <f t="shared" si="693"/>
        <v>53175.457204978527</v>
      </c>
      <c r="W557" s="424">
        <f t="shared" si="694"/>
        <v>5881.4096951171432</v>
      </c>
      <c r="X557" s="419">
        <f t="shared" si="695"/>
        <v>6.8000000000000005E-2</v>
      </c>
      <c r="Y557" s="420">
        <f t="shared" si="696"/>
        <v>1107.213804122257</v>
      </c>
      <c r="Z557" s="425">
        <f t="shared" si="697"/>
        <v>13.827153969942854</v>
      </c>
      <c r="AA557" s="426">
        <f t="shared" si="698"/>
        <v>6988.6234992394002</v>
      </c>
      <c r="AB557" s="424">
        <f t="shared" si="699"/>
        <v>7107.672863863967</v>
      </c>
      <c r="AC557" s="427">
        <f t="shared" si="700"/>
        <v>8.2000000000000003E-2</v>
      </c>
      <c r="AD557" s="428">
        <f t="shared" si="701"/>
        <v>-1.6087500000000001E-2</v>
      </c>
      <c r="AE557" s="516">
        <f t="shared" si="702"/>
        <v>61.706003235729852</v>
      </c>
      <c r="AF557" s="1130">
        <f t="shared" si="703"/>
        <v>0</v>
      </c>
      <c r="AG557" s="420">
        <f t="shared" si="704"/>
        <v>0</v>
      </c>
      <c r="AH557" s="420">
        <f t="shared" si="705"/>
        <v>0</v>
      </c>
      <c r="AI557" s="1097">
        <f t="shared" si="706"/>
        <v>0</v>
      </c>
      <c r="AJ557" s="420">
        <f t="shared" si="707"/>
        <v>0</v>
      </c>
      <c r="AK557" s="518">
        <f t="shared" si="708"/>
        <v>0</v>
      </c>
      <c r="AL557" s="1106">
        <f>IF($P557="","N/A",(IF($P557=-1,INDEX('卡片raw data'!S:S,MATCH($D557,'卡片raw data'!$F:$F,)),0)+IF($P557=0,INDEX('卡片raw data'!V:V,MATCH($D557,'卡片raw data'!$F:$F,)),0)+IF($P557=1,INDEX('卡片raw data'!Y:Y,MATCH($D557,'卡片raw data'!$F:$F,)),0)+IF($P557=2,INDEX('卡片raw data'!AB:AB,MATCH($D557,'卡片raw data'!$F:$F,)),0)+IF($P557=3,INDEX('卡片raw data'!AE:AE,MATCH($D557,'卡片raw data'!$F:$F,)),0)+IF($P557=4,INDEX('卡片raw data'!AH:AH,MATCH($D557,'卡片raw data'!$F:$F,)),0)+IF($P557=5,INDEX('卡片raw data'!AK:AK,MATCH($D557,'卡片raw data'!$F:$F,)),0)+INDEX('卡片raw data'!S:S,MATCH($D557,'卡片raw data'!$F:$F,))*(IF($F557="UR",0.04,0.033))*(IF($F557="UR",INDEX(绊状态确认!$S:$S,MATCH($G557,绊状态确认!$B:$B,))/2-40)+IF($F557="SR",INDEX(绊状态确认!$R:$R,MATCH($G557,绊状态确认!$B:$B,))/4-15))+IF($F557="R",INDEX(绊状态确认!$Q:$Q,MATCH($G557,绊状态确认!$B:$B,))/6-40/6)))*(INDEX(绊状态确认!$H:$H,MATCH($G557,绊状态确认!$B:$B,))+INDEX(绊状态确认!J:J,MATCH($G557,绊状态确认!$B:$B,)))</f>
        <v>11373.636671999999</v>
      </c>
      <c r="AM557" s="1106">
        <f>IF($P557="","N/A",(IF($P557=-1,INDEX('卡片raw data'!T:T,MATCH($D557,'卡片raw data'!$F:$F,)),0)+IF($P557=0,INDEX('卡片raw data'!W:W,MATCH($D557,'卡片raw data'!$F:$F,)),0)+IF($P557=1,INDEX('卡片raw data'!Z:Z,MATCH($D557,'卡片raw data'!$F:$F,)),0)+IF($P557=2,INDEX('卡片raw data'!AC:AC,MATCH($D557,'卡片raw data'!$F:$F,)),0)+IF($P557=3,INDEX('卡片raw data'!AF:AF,MATCH($D557,'卡片raw data'!$F:$F,)),0)+IF($P557=4,INDEX('卡片raw data'!AI:AI,MATCH($D557,'卡片raw data'!$F:$F,)),0)+IF($P557=5,INDEX('卡片raw data'!AL:AL,MATCH($D557,'卡片raw data'!$F:$F,)),0)+INDEX('卡片raw data'!T:T,MATCH($D557,'卡片raw data'!$F:$F,))*(IF($F557="UR",0.04,0.033))*(IF($F557="UR",INDEX(绊状态确认!$S:$S,MATCH($G557,绊状态确认!$B:$B,))/2-40)+IF($F557="SR",INDEX(绊状态确认!$R:$R,MATCH($G557,绊状态确认!$B:$B,))/4-15))+IF($F557="R",INDEX(绊状态确认!$Q:$Q,MATCH($G557,绊状态确认!$B:$B,))/6-40/6)))*(INDEX(绊状态确认!$H:$H,MATCH($G557,绊状态确认!$B:$B,))+INDEX(绊状态确认!K:K,MATCH($G557,绊状态确认!$B:$B,)))</f>
        <v>7473.5118719999982</v>
      </c>
      <c r="AN557" s="1106">
        <f>IF($P557="","N/A",(IF($P557=-1,INDEX('卡片raw data'!U:U,MATCH($D557,'卡片raw data'!$F:$F,)),0)+IF($P557=0,INDEX('卡片raw data'!X:X,MATCH($D557,'卡片raw data'!$F:$F,)),0)+IF($P557=1,INDEX('卡片raw data'!AA:AA,MATCH($D557,'卡片raw data'!$F:$F,)),0)+IF($P557=2,INDEX('卡片raw data'!AD:AD,MATCH($D557,'卡片raw data'!$F:$F,)),0)+IF($P557=3,INDEX('卡片raw data'!AG:AG,MATCH($D557,'卡片raw data'!$F:$F,)),0)+IF($P557=4,INDEX('卡片raw data'!AJ:AJ,MATCH($D557,'卡片raw data'!$F:$F,)),0)+IF($P557=5,INDEX('卡片raw data'!AM:AM,MATCH($D557,'卡片raw data'!$F:$F,)),0)+INDEX('卡片raw data'!U:U,MATCH($D557,'卡片raw data'!$F:$F,))*(IF($F557="UR",0.04,0.033))*(IF($F557="UR",INDEX(绊状态确认!$S:$S,MATCH($G557,绊状态确认!$B:$B,))/2-40)+IF($F557="SR",INDEX(绊状态确认!$R:$R,MATCH($G557,绊状态确认!$B:$B,))/4-15))+IF($F557="R",INDEX(绊状态确认!$Q:$Q,MATCH($G557,绊状态确认!$B:$B,))/6-40/6)))*(INDEX(绊状态确认!$H:$H,MATCH($G557,绊状态确认!$B:$B,))+INDEX(绊状态确认!L:L,MATCH($G557,绊状态确认!$B:$B,)))</f>
        <v>13649.254943999997</v>
      </c>
      <c r="AO557" s="1107">
        <f t="shared" si="709"/>
        <v>1</v>
      </c>
      <c r="AP557" s="1131">
        <f>1+(INDEX(绊状态确认!$T:$T,MATCH($G557,绊状态确认!$B:$B,))+0.2)*$AO557</f>
        <v>1.3</v>
      </c>
      <c r="AQ557" s="1108">
        <f t="shared" si="710"/>
        <v>33105.796263999997</v>
      </c>
      <c r="AR557" s="1097">
        <f>(AM557*(1+$EX$9)+$EX$35)*(1+(INDEX(绊状态确认!$T:$T,MATCH($G557,绊状态确认!$B:$B,))+0.2)*AO557)*IF(J557=$FF$17,1+$FE$17,1)*IF(I557=$FF$14,1+$FE$14,1)</f>
        <v>12905.343705279998</v>
      </c>
      <c r="AS557" s="1097">
        <f>(AN557*(1+$EX$10)+$EX$36)*(1+(INDEX(绊状态确认!$T:$T,MATCH($G557,绊状态确认!$B:$B,))+0.2)*AO557)*IF(J557=$FF$17,1+$FE$17,1)*IF(I557=$FF$14,1+$FE$14,1)</f>
        <v>24461.636141279992</v>
      </c>
      <c r="AT557" s="1093">
        <f>IF(AND(INDEX('卡片raw data'!AK:AK,MATCH($D557,'卡片raw data'!$F:$F,))&lt;INDEX('卡片raw data'!AM:AM,MATCH($D557,'卡片raw data'!$F:$F,)),INDEX('卡片raw data'!AL:AL,MATCH($D557,'卡片raw data'!$F:$F,))&lt;INDEX('卡片raw data'!AM:AM,MATCH($D557,'卡片raw data'!$F:$F,))),1,0)</f>
        <v>1</v>
      </c>
      <c r="AU557" s="1098">
        <f>MIN(AT557*0.15+AS557*0.00003+INDEX(绊状态确认!M:M,MATCH($G557,绊状态确认!$B:$B,)),1)</f>
        <v>0.91384908423839983</v>
      </c>
      <c r="AV557" s="1109">
        <f>(INDEX(绊状态确认!$N:$N,MATCH($G557,绊状态确认!$B:$B,))+1.5)*$EW$21</f>
        <v>2.6599999999999997</v>
      </c>
      <c r="AW557" s="1101">
        <f t="shared" si="711"/>
        <v>43275.570536992302</v>
      </c>
      <c r="AX557" s="1097">
        <f t="shared" si="712"/>
        <v>1107.2138041222572</v>
      </c>
      <c r="AY557" s="1110">
        <f t="shared" si="713"/>
        <v>44382.784341114559</v>
      </c>
      <c r="AZ557" s="429">
        <f t="shared" si="714"/>
        <v>24778.591510399998</v>
      </c>
      <c r="BA557" s="431">
        <f t="shared" si="715"/>
        <v>29734.309812479994</v>
      </c>
      <c r="BB557" s="1097">
        <f>(AM557*(1+$FB$9)+$FB$35)*(1+(INDEX(绊状态确认!$T:$T,MATCH($G557,绊状态确认!$B:$B,))+0.2)*AO557)*IF(J557=$FF$17,1+$FE$17,1)*IF(I557=$FF$14,1+$FE$14,1)*(1+$FE$15)</f>
        <v>12905.343705279998</v>
      </c>
      <c r="BC557" s="1097">
        <f>(AN557*(1+$FB$10)+$FB$36)*(1+(INDEX(绊状态确认!$T:$T,MATCH($G557,绊状态确认!$B:$B,))+0.2)*AO557)*IF(J557=$FF$17,1+$FE$17,1)*IF(I557=$FF$14,1+$FE$14,1)*(1+$FE$15)</f>
        <v>24461.636141279992</v>
      </c>
      <c r="BD557" s="1104">
        <f>MIN(AT557*0.15+BC557*0.00003+INDEX(绊状态确认!M:M,MATCH($G557,绊状态确认!$B:$B,)),1)</f>
        <v>0.91384908423839983</v>
      </c>
      <c r="BE557" s="432">
        <f>(INDEX(绊状态确认!$N:$N,MATCH($G557,绊状态确认!$B:$B,))+1.5)</f>
        <v>1.9</v>
      </c>
      <c r="BF557" s="1139">
        <f t="array" ref="BF557">SUMPRODUCT(IF(AZ557*AP557*$FI$16:$FI$23*$FA$22&gt;=$FI$24,$FI$24,AZ557*AP557*$FI$16:$FI$23*$FA$22),$FJ$16:$FJ$23)</f>
        <v>49164.306411116799</v>
      </c>
      <c r="BG557" s="1125">
        <f t="array" ref="BG557">SUMPRODUCT(IF(BE557*AZ557*AP557*$FI$16:$FI$23*$FA$22&gt;=$FI$24,$FI$24,BE557*AZ557*AP557*$FI$16:$FI$23*$FA$22),$FJ$16:$FJ$23)</f>
        <v>60000</v>
      </c>
      <c r="BH557" s="1110">
        <f t="shared" si="716"/>
        <v>19688.831691468538</v>
      </c>
      <c r="BI557" s="1111">
        <f>IF(O557="vo",$EW$26/$EW$24*0.05,0)+IF(O557="sk",-$EW$26/$EW$24*(0.05-INDEX(绊状态确认!W:W,MATCH($G557,绊状态确认!$B:$B,)))+0.05*$EW$28,0)+IF(O557="sp",0.05*$EW$32*$EW$30*(1-$EW$33)-(0.05-INDEX(绊状态确认!V:V,MATCH($G557,绊状态确认!$B:$B,)))*$EW$28,0)+IF(O557="gd",-(0.05-INDEX(绊状态确认!X:X,MATCH($G557,绊状态确认!$B:$B,)))*$EW$32*$EW$30*(1-$EW$33),0)</f>
        <v>19.999999999999886</v>
      </c>
      <c r="BJ557" s="420">
        <f>IF(O557="vo",0.05*(1-$FI$26)*$FA$24,0)+IF(O557="sk",-(0.05-INDEX(绊状态确认!W:W,MATCH($G557,绊状态确认!$B:$B,)))*(1-$FI$26)*$FA$24+0.05*$FA$26,0)+IF(O557="sp",0.05*$FA$32*$FA$27*(1-$FA$33)/$FA$30+0.05*$FA$29/$FA$69*$FA$27*(1-$FA$33)-(0.05-INDEX(绊状态确认!V:V,MATCH($G557,绊状态确认!$B:$B,)))*$FA$26,0)+IF(O557="gd",-(0.05-INDEX(绊状态确认!X:X,MATCH($G557,绊状态确认!$B:$B,)))*$FA$32*$FA$27*(1-$FA$33)/$FA$30-(0.05-INDEX(绊状态确认!X:X,MATCH($G557,绊状态确认!$B:$B,)))*$FA$29/$FA$69*$FA$27*(1-$FA$33),0)</f>
        <v>545.83333333333326</v>
      </c>
      <c r="BK557" s="1110">
        <f>IF(O557="vo",$EW$26/$EW$24*0.05+$EW$26*(-HP($EW$62,$EW$65,$EW$64)+HP($EW$62,$EW$65,(1.05-INDEX(绊状态确认!U:U,MATCH($G557,绊状态确认!$B:$B,)))*$EW$64)),0)+IF(O557="sk",-$EW$26/$EW$24*(0.05-INDEX(绊状态确认!W:W,MATCH($G557,绊状态确认!$B:$B,)))+0.05*$EW$29,0)+IF(O557="sp",0.05*$EW$32*$EW$30*(1-$EW$33)-(0.05-INDEX(绊状态确认!V:V,MATCH($G557,绊状态确认!$B:$B,)))*$EW$29,0)+IF(O557="gd",-(0.05-INDEX(绊状态确认!X:X,MATCH($G557,绊状态确认!$B:$B,)))*$EW$32*$EW$30*(1-$EW$33)+$EW$26*(-HP($EW$62,$EW$65,$EW$64)+HP($EW$62,$EW$65,0.95*$EW$64)),0)</f>
        <v>-1780.0000000000005</v>
      </c>
      <c r="BL557" s="1111">
        <f t="shared" si="717"/>
        <v>0</v>
      </c>
      <c r="BM557" s="1110">
        <f t="shared" si="718"/>
        <v>0</v>
      </c>
      <c r="BN557" s="1113">
        <f t="shared" si="719"/>
        <v>3</v>
      </c>
      <c r="BO557" s="1108">
        <f t="shared" si="720"/>
        <v>4507.7214871259994</v>
      </c>
      <c r="BP557" s="1127">
        <f t="shared" si="721"/>
        <v>221.34103209030098</v>
      </c>
      <c r="BQ557" s="1113" t="s">
        <v>134</v>
      </c>
      <c r="BR557" s="1124" t="s">
        <v>171</v>
      </c>
      <c r="BS557" s="421">
        <f>IF($P557="","N/A",IF($P557=-1,INDEX('卡片raw data'!AX:AX,MATCH($D557,'卡片raw data'!$F:$F,)),0)+IF($L557="party卡",IF($P557=5,INDEX('卡片raw data'!BD:BD,MATCH($D557,'卡片raw data'!$F:$F,)),IF($P557&gt;=3,INDEX('卡片raw data'!BC:BC,MATCH($D557,'卡片raw data'!$F:$F,)),INDEX('卡片raw data'!BB:BB,MATCH($D557,'卡片raw data'!$F:$F,)))),IF(OR(AND($F557="UR",$P557=0),AND($F557="SR",$P557&gt;=0,$P557&lt;=2),AND($F557="R",$P557&gt;=0,$P557&lt;4)),INDEX('卡片raw data'!AZ:AZ,MATCH($D557,'卡片raw data'!$F:$F,)),0)+IF(OR(AND($F557="UR",$P557&gt;=1,$P557&lt;=4),AND($F557="SR",$P557&lt;=4,$P557&gt;=3),AND($F557="R",$P557=4)),INDEX('卡片raw data'!BA:BA,MATCH($D557,'卡片raw data'!$F:$F,)),0)+IF($P557=5,INDEX('卡片raw data'!BB:BB,MATCH($D557,'卡片raw data'!$F:$F,)),0)))</f>
        <v>5.1999999999999998E-2</v>
      </c>
      <c r="BT557" s="424">
        <f t="shared" si="722"/>
        <v>2452.5263374936467</v>
      </c>
      <c r="BU557" s="420">
        <f t="shared" si="723"/>
        <v>155.22419036436909</v>
      </c>
      <c r="BV557" s="420">
        <f t="shared" si="724"/>
        <v>1226.2631687468233</v>
      </c>
      <c r="BW557" s="436">
        <f t="shared" si="725"/>
        <v>0</v>
      </c>
      <c r="BX557" s="423">
        <f t="shared" si="726"/>
        <v>2452.5263374936467</v>
      </c>
      <c r="BY557" s="433">
        <f t="shared" si="727"/>
        <v>1226.2631687468233</v>
      </c>
      <c r="BZ557" s="1113" t="s">
        <v>569</v>
      </c>
      <c r="CA557" s="450"/>
      <c r="CB557" s="421">
        <f>IF($P557="","N/A",IF($P557=-1,INDEX('卡片raw data'!BE:BE,MATCH($D557,'卡片raw data'!$F:$F,)),0)+IF($L557="party卡",IF($P557=5,INDEX('卡片raw data'!BK:BK,MATCH($D557,'卡片raw data'!$F:$F,)),IF($P557&gt;=3,INDEX('卡片raw data'!BJ:BJ,MATCH($D557,'卡片raw data'!$F:$F,)),INDEX('卡片raw data'!BI:BI,MATCH($D557,'卡片raw data'!$F:$F,)))),IF(OR(AND($F557="UR",$P557=0),AND($F557="SR",$P557&gt;=0,$P557&lt;=2),AND($F557="R",$P557&gt;=0,$P557&lt;4)),INDEX('卡片raw data'!BG:BG,MATCH($D557,'卡片raw data'!$F:$F,)),0)+IF(OR(AND($F557="UR",$P557&gt;=1,$P557&lt;=4),AND($F557="SR",$P557&lt;=4,$P557&gt;=3),AND($F557="R",$P557=4)),INDEX('卡片raw data'!BH:BH,MATCH($D557,'卡片raw data'!$F:$F,)),0)+IF($P557=5,INDEX('卡片raw data'!BI:BI,MATCH($D557,'卡片raw data'!$F:$F,)),0)))</f>
        <v>0</v>
      </c>
      <c r="CC557" s="424">
        <f t="shared" si="778"/>
        <v>0</v>
      </c>
      <c r="CD557" s="420">
        <f>IF(BZ557="ap",CB557*(1-$FI$26)*$FB$5/$FB$11*(+IF(CA557="全员",$FA$24,0)+IF(CA557="同作战",$FA$24,0)+IF(CA557="仲间",$FA$24*2/3,0)+IF(CA557="同属性",$FA$24*$FA$37/3,0)+IF(CA557="同年级",$FA$24*$FA$40/3,0)+IF(CA557="同学校",$FA$24*$FA$43/3,0)+IF(CA557="同小队",$FA$24*$FA$46/3,0)+IF(CA557="同type",$FA$24*INDEX($FB$49:$FB$52,MATCH(X557,$FA$49:$FA$52,))/3,0)+IF(CA557="自身",#REF!/3,0)),0)+IF(BZ557="te",CB557*(1-$FI$27)*($FA$20-1)*$FB$7/$FB$13*(+IF(CA557="全员",$FA$19*$FA$24/(1+($FA$20-1)*$FA$19),0)+IF(CA557="同作战",$FA$19*$FA$24/(1+($FA$20-1)*$FA$19),0)+IF(CA557="仲间",$FA$19*$FA$24*2/3/(1+($FA$20-1)*$FA$19),0)+IF(CA557="同属性",$FA$19*$FA$24*$FA$37/3/(1+($FA$20-1)*$FA$19),0)+IF(CA557="同年级",$FA$19*$FA$24*$FA$40/3/(1+($FA$20-1)*$FA$19),0)+IF(CA557="同学校",$FA$19*$FA$24*$FA$43/3/(1+($FA$20-1)*$FA$19),0)+IF(CA557="同小队",$FA$19*$FA$24*$FA$46/3/(1+($FA$20-1)*$FA$19),0)+IF(CA557="同type",$FA$19*$FA$24*INDEX($FB$49:$FB$52,MATCH(X557,$FA$49:$FA$52,))/3/(1+($FA$20-1)*$FA$19),0)+IF(CA557="自身",$FA$19*#REF!/3/(1+(BH557-1)*$BD557),0)),0)</f>
        <v>0</v>
      </c>
      <c r="CE557" s="420">
        <f t="shared" si="729"/>
        <v>0</v>
      </c>
      <c r="CF557" s="436">
        <f t="shared" si="779"/>
        <v>0</v>
      </c>
      <c r="CG557" s="423">
        <f t="shared" si="731"/>
        <v>0</v>
      </c>
      <c r="CH557" s="433">
        <f t="shared" si="732"/>
        <v>0</v>
      </c>
      <c r="CI557" s="1113" t="s">
        <v>165</v>
      </c>
      <c r="CJ557" s="1114">
        <v>0.3</v>
      </c>
      <c r="CK557" s="1115" t="s">
        <v>4163</v>
      </c>
      <c r="CL557" s="1115" t="s">
        <v>1941</v>
      </c>
      <c r="CM557" s="1119">
        <v>0.09</v>
      </c>
      <c r="CN557" s="1115"/>
      <c r="CO557" s="1115"/>
      <c r="CP557" s="1116">
        <f t="shared" si="733"/>
        <v>2.358800627909142</v>
      </c>
      <c r="CQ557" s="1116">
        <f t="shared" si="734"/>
        <v>4.2196322343707982</v>
      </c>
      <c r="CR557" s="1117">
        <f t="shared" si="735"/>
        <v>2.358800627909142</v>
      </c>
      <c r="CS557" s="442">
        <f t="shared" ref="CS557:CS588" si="782">IF(CK557="技能+",IF(CN557="infty",(IF(CI557="曲开始",CM557*CJ557)+IF(OR(CI557="AC时",CI557="AC成功"),(1-(1-(1-CJ557)^($FM$20+1))/(($FM$20+1)*CJ557))*CM557))*(IF(CL557="全员",1)))+IF(CN557&lt;&gt;"infty",CM557*(IF(CI557="曲开始",CJ557*CN557/$FM$19)+IF(OR(CI557="AC时",CI557="AC成功"),CN557*IF(CO557&lt;&gt;"",MIN(CO557,CJ557*$FM$20),CJ557*$FM$20)/$FM$19)+IF(CI557="切队",CN557*IF(CO557&lt;&gt;"",MIN(CJ557*$FM$11,CO557/$FM$19),CJ557*$FM$11))+IF(CI557="ap时",IF(CO557&lt;&gt;"",MIN(CO557/$FM572,IF($O557="sk",$FM$10,$FM$9)*CJ557),IF($O557="sk",$FM$10,$FM$9)*CJ557)*CN557)+IF(CI557="ct时",IF(CO557&lt;&gt;"",MIN(CO557/$FM572,$AU557*IF($O557="sk",$FM$10,$FM$9)*CJ557),$AU557*IF($O557="sk",$FM$10,$FM$9)*CJ557)*CN557))*(IF(CL557="全员",1)+IF(CL557="同作战",IF($O557="sk",$FM$10*3,$FM$9*3))+IF(CL557="同属性",$FM$23/6)+IF(CL557="同年级",$FM$24/6)+IF(CL557="自身",IF($O557="sk",$FM$10,$FM$9)))),0)*$FM$16</f>
        <v>0</v>
      </c>
      <c r="CT557" s="432">
        <f t="shared" ref="CT557:CT588" si="783">IF(CK557="sp+",IF(CN557="infty",(IF(CI557="曲开始",CM557*CJ557*$FM$28)+IF(OR(CI557="AC时",CI557="AC成功"),(1-(1-(1-CJ557)^($FM$20+1))/(($FM$20+1)*CJ557))*CM557*$FM$28))*(IF(CL557="全员",1)))+IF(CN557&lt;&gt;"infty",CM557*$FM$28*(IF(CI557="曲开始",CJ557*CN557/$FM$19)+IF(OR(CI557="AC时",CI557="AC成功"),CN557*IF(CO557&lt;&gt;"",MIN(CO557,CJ557*$FM$20),CJ557*$FM$20)/$FM$19)+IF(CI557="切队",CN557*IF(CO557&lt;&gt;"",MIN(CJ557*$FM$11,CO557/$FM$19),CJ557*$FM$11))+IF(CI557="ap时",IF(CO557&lt;&gt;"",MIN(CO557/$FM572,IF($O557="sk",$FM$10,$FM$9)*CJ557),IF($O557="sk",$FM$10,$FM$9)*CJ557)*CN557)+IF(CI557="ct时",IF(CO557&lt;&gt;"",MIN(CO557/$FM572,$AU557*IF($O557="sk",$FM$10,$FM$9)*CJ557),$AU557*IF($O557="sk",$FM$10,$FM$9)*CJ557)*CN557))*(IF(CL557="全员",1)+IF(CL557="同作战",IF($O557="sk",$FM$10*3,$FM$9*3))+IF(CL557="同属性",$FM$23/6)+IF(CL557="同年级",$FM$24/6)+IF(CL557="同type",IF(O557="sp",$FN$6*$FM$9)))),0)+IF(CK557="sp获得",IF(CI557="AC成功",0,CM557*(IF(CL557="ap",AQ557)+IF(CL557="st",AR557)+IF(CL557="te",AS557)+IF(CL557="sp槽",$EW$77)+IF(CL557="",1))*IF($O557="sk",1,1+(1+$FM$10/$FM$9)*($FM$27-1))*(IF(CI557="曲开始",CJ557/$FM$19)+IF(CI557="SP发动",IF(CO557&lt;&gt;"",MIN(CO557/$FM$19,CJ557*$FM$30/$FM$19),CJ557*$FM$30/$FM$19))+IF(CI557="切队",IF(CO557&lt;&gt;"",MIN(CO557/$FM$19,CJ557*$FM$11),CJ557*$FM$11))+IF(OR(CI557="AC时",CI557="AC成功"),IF(CO557&lt;&gt;"",MIN(CO557/$FM$19,CJ557*$FM$20/$FM$19),CJ557*$FM$20/$FM$19))+IF(CI557="ap时",IF(CO557&lt;&gt;"",MIN(CO557/$FM$19,CJ557*IF($O557="sk",$FM$10,$FM$9)),CJ557*IF($O557="sk",$FM$10,$FM$9)))+IF(CI557="ct时",IF(CO557&lt;&gt;"",MIN(CO557/$FM$19,CJ557*IF($O557="sk",$FM$10,$FM$9)*$AU557),CJ557*IF($O557="sk",$FM$10,$FM$9)*$AU557)))))</f>
        <v>3.8527076922515984</v>
      </c>
      <c r="CU557" s="1101">
        <f t="shared" si="738"/>
        <v>147.42503924432137</v>
      </c>
      <c r="CV557" s="1108">
        <f t="shared" si="777"/>
        <v>175.81800976544991</v>
      </c>
      <c r="CW557" s="420">
        <f t="shared" si="739"/>
        <v>147.42503924432137</v>
      </c>
      <c r="CX557" s="420">
        <f t="shared" si="740"/>
        <v>147.42503924432137</v>
      </c>
      <c r="CY557" s="433">
        <f t="shared" si="741"/>
        <v>147.42503924432137</v>
      </c>
      <c r="CZ557" s="437"/>
      <c r="DA557" s="438"/>
      <c r="DB557" s="439" t="s">
        <v>569</v>
      </c>
      <c r="DC557" s="439"/>
      <c r="DD557" s="443"/>
      <c r="DE557" s="411"/>
      <c r="DF557" s="411"/>
      <c r="DG557" s="1116">
        <f t="shared" si="742"/>
        <v>0</v>
      </c>
      <c r="DH557" s="1116">
        <f t="shared" si="743"/>
        <v>0</v>
      </c>
      <c r="DI557" s="1116">
        <f t="shared" si="744"/>
        <v>0</v>
      </c>
      <c r="DJ557" s="442">
        <f t="shared" si="780"/>
        <v>0</v>
      </c>
      <c r="DK557" s="432">
        <f t="shared" si="781"/>
        <v>0</v>
      </c>
      <c r="DL557" s="424">
        <f t="shared" si="747"/>
        <v>0</v>
      </c>
      <c r="DM557" s="420">
        <f t="shared" si="748"/>
        <v>0</v>
      </c>
      <c r="DN557" s="420">
        <f t="shared" si="749"/>
        <v>0</v>
      </c>
      <c r="DO557" s="420">
        <f t="shared" si="750"/>
        <v>0</v>
      </c>
      <c r="DP557" s="433">
        <f t="shared" si="751"/>
        <v>0</v>
      </c>
      <c r="DQ557" s="1113" t="s">
        <v>549</v>
      </c>
      <c r="DR557" s="1120">
        <f t="shared" si="773"/>
        <v>0.33</v>
      </c>
      <c r="DS557" s="1124"/>
      <c r="DT557" s="1124" t="s">
        <v>179</v>
      </c>
      <c r="DU557" s="1124"/>
      <c r="DV557" s="1098">
        <f>IF($P557="","N/A",IF(P557=-1,INDEX('卡片raw data'!AN:AN,MATCH(D557,'卡片raw data'!$F:$F,)),0)+IF(AND(L557&lt;&gt;"party卡",P557&lt;=2,P557&gt;=0),INDEX('卡片raw data'!AP:AP,MATCH(D557,'卡片raw data'!$F:$F,)),0)+IF(OR(AND(L557="party卡",P557&lt;=1),AND(P557&lt;=4,L557&lt;&gt;"party卡",P557&gt;=3)),INDEX('卡片raw data'!AQ:AQ,MATCH(D557,'卡片raw data'!$F:$F,)),0)+IF(OR(P557=5,AND(L557="party卡",P557&gt;=2)),INDEX('卡片raw data'!AR:AR,MATCH(D557,'卡片raw data'!$F:$F,)),0))</f>
        <v>7.0000000000000007E-2</v>
      </c>
      <c r="DW557" s="1098">
        <f t="shared" si="752"/>
        <v>0.33</v>
      </c>
      <c r="DX557" s="1098">
        <f t="shared" si="753"/>
        <v>0.33</v>
      </c>
      <c r="DY557" s="1098">
        <f t="shared" si="754"/>
        <v>7.7000000000000011E-3</v>
      </c>
      <c r="DZ557" s="1098">
        <f t="shared" si="755"/>
        <v>7.6595750000000001E-3</v>
      </c>
      <c r="EA557" s="421">
        <f t="shared" si="756"/>
        <v>0</v>
      </c>
      <c r="EB557" s="445">
        <f t="shared" si="757"/>
        <v>46.929382499999996</v>
      </c>
      <c r="EC557" s="424">
        <f t="shared" si="758"/>
        <v>3465.0000000000005</v>
      </c>
      <c r="ED557" s="420">
        <f t="shared" si="759"/>
        <v>1914.89375</v>
      </c>
      <c r="EE557" s="433">
        <f t="shared" si="775"/>
        <v>3465.0000000000005</v>
      </c>
      <c r="EF557" s="1113" t="s">
        <v>569</v>
      </c>
      <c r="EG557" s="1120">
        <f t="shared" si="774"/>
        <v>0.33</v>
      </c>
      <c r="EH557" s="450"/>
      <c r="EI557" s="1124"/>
      <c r="EJ557" s="1124"/>
      <c r="EK557" s="420">
        <f>IF($P557="","N/A",IF(P557=-1,INDEX('卡片raw data'!AS:AS,MATCH(D557,'卡片raw data'!$F:$F,)),0)+IF(AND(L557&lt;&gt;"party卡",P557&lt;=2,P557&gt;=0),INDEX('卡片raw data'!AU:AU,MATCH(D557,'卡片raw data'!$F:$F,)),0)+IF(OR(AND(L557="party卡",P557&lt;=1),AND(P557&lt;=4,L557&lt;&gt;"party卡",P557&gt;=3)),INDEX('卡片raw data'!AV:AV,MATCH(D557,'卡片raw data'!$F:$F,)),0)+IF(OR(P557=5,AND(L557="party卡",P557&gt;=2)),INDEX('卡片raw data'!AW:AW,MATCH(D557,'卡片raw data'!$F:$F,)),0))</f>
        <v>0</v>
      </c>
      <c r="EL557" s="1098">
        <f t="shared" si="760"/>
        <v>0.33</v>
      </c>
      <c r="EM557" s="1098">
        <f t="shared" si="761"/>
        <v>0.33</v>
      </c>
      <c r="EN557" s="1097">
        <f t="shared" si="762"/>
        <v>0</v>
      </c>
      <c r="EO557" s="1097">
        <f t="shared" si="763"/>
        <v>0</v>
      </c>
      <c r="EP557" s="421">
        <f t="shared" si="764"/>
        <v>0</v>
      </c>
      <c r="EQ557" s="445">
        <f t="shared" si="765"/>
        <v>0</v>
      </c>
      <c r="ER557" s="424">
        <f t="shared" si="766"/>
        <v>0</v>
      </c>
      <c r="ES557" s="420">
        <f t="shared" si="767"/>
        <v>0</v>
      </c>
      <c r="ET557" s="446">
        <f t="shared" si="776"/>
        <v>0</v>
      </c>
    </row>
    <row r="558" spans="2:150" ht="16.5" customHeight="1">
      <c r="B558" s="448" t="str">
        <f>INDEX('卡片raw data'!B:B,MATCH($D558,'卡片raw data'!$F:$F,))</f>
        <v>四专艾</v>
      </c>
      <c r="C558" s="449" t="s">
        <v>4561</v>
      </c>
      <c r="D558" s="408">
        <v>555</v>
      </c>
      <c r="E558" s="477">
        <v>402082005</v>
      </c>
      <c r="F558" s="409" t="str">
        <f>INDEX('卡片raw data'!C:C,MATCH($D558,'卡片raw data'!$F:$F,))</f>
        <v>SR</v>
      </c>
      <c r="G558" s="1094" t="s">
        <v>4562</v>
      </c>
      <c r="H558" s="411">
        <f>IFERROR(INDEX(绊状态确认!C:C,MATCH($G558,绊状态确认!$B:$B,)),"")</f>
        <v>208</v>
      </c>
      <c r="I558" s="450" t="str">
        <f>IFERROR(INDEX(绊状态确认!D:D,MATCH($G558,绊状态确认!$B:$B,)),"")</f>
        <v>虹</v>
      </c>
      <c r="J558" s="450" t="str">
        <f>IFERROR(INDEX(绊状态确认!E:E,MATCH($G558,绊状态确认!$B:$B,)),"")</f>
        <v>3年级</v>
      </c>
      <c r="K558" s="451" t="str">
        <f>IFERROR(INDEX(绊状态确认!F:F,MATCH($G558,绊状态确认!$B:$B,)),"")</f>
        <v>QU4RTZ</v>
      </c>
      <c r="L558" s="414" t="str">
        <f>INDEX('卡片raw data'!E:E,MATCH($D558,'卡片raw data'!$F:$F,))</f>
        <v>活动卡</v>
      </c>
      <c r="M558" s="478">
        <v>44474</v>
      </c>
      <c r="N558" s="479">
        <v>49</v>
      </c>
      <c r="O558" s="410" t="str">
        <f>INDEX('卡片raw data'!D:D,MATCH($D558,'卡片raw data'!$F:$F,))</f>
        <v>sk</v>
      </c>
      <c r="P558" s="1126">
        <v>5</v>
      </c>
      <c r="Q558" s="418">
        <f t="shared" si="688"/>
        <v>31181.480782572853</v>
      </c>
      <c r="R558" s="419">
        <f t="shared" si="689"/>
        <v>0.36199999999999999</v>
      </c>
      <c r="S558" s="420">
        <f t="shared" si="690"/>
        <v>16532.902143432209</v>
      </c>
      <c r="T558" s="421">
        <f t="shared" si="691"/>
        <v>0.82599999999999996</v>
      </c>
      <c r="U558" s="422">
        <f t="shared" si="692"/>
        <v>9.0252538367828574</v>
      </c>
      <c r="V558" s="423">
        <f t="shared" si="693"/>
        <v>33897.112635119869</v>
      </c>
      <c r="W558" s="424">
        <f t="shared" si="694"/>
        <v>6162.5783384289807</v>
      </c>
      <c r="X558" s="419">
        <f t="shared" si="695"/>
        <v>7.0999999999999994E-2</v>
      </c>
      <c r="Y558" s="420">
        <f t="shared" si="696"/>
        <v>715.63185254701693</v>
      </c>
      <c r="Z558" s="425">
        <f t="shared" si="697"/>
        <v>9.0252538367828574</v>
      </c>
      <c r="AA558" s="426">
        <f t="shared" si="698"/>
        <v>6878.2101909759976</v>
      </c>
      <c r="AB558" s="424">
        <f t="shared" si="699"/>
        <v>6162.5783384289807</v>
      </c>
      <c r="AC558" s="427">
        <f t="shared" si="700"/>
        <v>7.0999999999999994E-2</v>
      </c>
      <c r="AD558" s="428">
        <f t="shared" si="701"/>
        <v>1.8994224431818179E-2</v>
      </c>
      <c r="AE558" s="516">
        <f t="shared" si="702"/>
        <v>4.3537577047458456</v>
      </c>
      <c r="AF558" s="1130">
        <f t="shared" si="703"/>
        <v>0</v>
      </c>
      <c r="AG558" s="420">
        <f t="shared" si="704"/>
        <v>0</v>
      </c>
      <c r="AH558" s="420">
        <f t="shared" si="705"/>
        <v>0</v>
      </c>
      <c r="AI558" s="1097">
        <f t="shared" si="706"/>
        <v>0</v>
      </c>
      <c r="AJ558" s="420">
        <f t="shared" si="707"/>
        <v>0</v>
      </c>
      <c r="AK558" s="518">
        <f t="shared" si="708"/>
        <v>0</v>
      </c>
      <c r="AL558" s="1106">
        <f>IF($P558="","N/A",(IF($P558=-1,INDEX('卡片raw data'!S:S,MATCH($D558,'卡片raw data'!$F:$F,)),0)+IF($P558=0,INDEX('卡片raw data'!V:V,MATCH($D558,'卡片raw data'!$F:$F,)),0)+IF($P558=1,INDEX('卡片raw data'!Y:Y,MATCH($D558,'卡片raw data'!$F:$F,)),0)+IF($P558=2,INDEX('卡片raw data'!AB:AB,MATCH($D558,'卡片raw data'!$F:$F,)),0)+IF($P558=3,INDEX('卡片raw data'!AE:AE,MATCH($D558,'卡片raw data'!$F:$F,)),0)+IF($P558=4,INDEX('卡片raw data'!AH:AH,MATCH($D558,'卡片raw data'!$F:$F,)),0)+IF($P558=5,INDEX('卡片raw data'!AK:AK,MATCH($D558,'卡片raw data'!$F:$F,)),0)+INDEX('卡片raw data'!S:S,MATCH($D558,'卡片raw data'!$F:$F,))*(IF($F558="UR",0.04,0.033))*(IF($F558="UR",INDEX(绊状态确认!$S:$S,MATCH($G558,绊状态确认!$B:$B,))/2-40)+IF($F558="SR",INDEX(绊状态确认!$R:$R,MATCH($G558,绊状态确认!$B:$B,))/4-15))+IF($F558="R",INDEX(绊状态确认!$Q:$Q,MATCH($G558,绊状态确认!$B:$B,))/6-40/6)))*(INDEX(绊状态确认!$H:$H,MATCH($G558,绊状态确认!$B:$B,))+INDEX(绊状态确认!J:J,MATCH($G558,绊状态确认!$B:$B,)))</f>
        <v>6987.8190575999988</v>
      </c>
      <c r="AM558" s="1106">
        <f>IF($P558="","N/A",(IF($P558=-1,INDEX('卡片raw data'!T:T,MATCH($D558,'卡片raw data'!$F:$F,)),0)+IF($P558=0,INDEX('卡片raw data'!W:W,MATCH($D558,'卡片raw data'!$F:$F,)),0)+IF($P558=1,INDEX('卡片raw data'!Z:Z,MATCH($D558,'卡片raw data'!$F:$F,)),0)+IF($P558=2,INDEX('卡片raw data'!AC:AC,MATCH($D558,'卡片raw data'!$F:$F,)),0)+IF($P558=3,INDEX('卡片raw data'!AF:AF,MATCH($D558,'卡片raw data'!$F:$F,)),0)+IF($P558=4,INDEX('卡片raw data'!AI:AI,MATCH($D558,'卡片raw data'!$F:$F,)),0)+IF($P558=5,INDEX('卡片raw data'!AL:AL,MATCH($D558,'卡片raw data'!$F:$F,)),0)+INDEX('卡片raw data'!T:T,MATCH($D558,'卡片raw data'!$F:$F,))*(IF($F558="UR",0.04,0.033))*(IF($F558="UR",INDEX(绊状态确认!$S:$S,MATCH($G558,绊状态确认!$B:$B,))/2-40)+IF($F558="SR",INDEX(绊状态确认!$R:$R,MATCH($G558,绊状态确认!$B:$B,))/4-15))+IF($F558="R",INDEX(绊状态确认!$Q:$Q,MATCH($G558,绊状态确认!$B:$B,))/6-40/6)))*(INDEX(绊状态确认!$H:$H,MATCH($G558,绊状态确认!$B:$B,))+INDEX(绊状态确认!K:K,MATCH($G558,绊状态确认!$B:$B,)))</f>
        <v>4190.1613535999995</v>
      </c>
      <c r="AN558" s="1106">
        <f>IF($P558="","N/A",(IF($P558=-1,INDEX('卡片raw data'!U:U,MATCH($D558,'卡片raw data'!$F:$F,)),0)+IF($P558=0,INDEX('卡片raw data'!X:X,MATCH($D558,'卡片raw data'!$F:$F,)),0)+IF($P558=1,INDEX('卡片raw data'!AA:AA,MATCH($D558,'卡片raw data'!$F:$F,)),0)+IF($P558=2,INDEX('卡片raw data'!AD:AD,MATCH($D558,'卡片raw data'!$F:$F,)),0)+IF($P558=3,INDEX('卡片raw data'!AG:AG,MATCH($D558,'卡片raw data'!$F:$F,)),0)+IF($P558=4,INDEX('卡片raw data'!AJ:AJ,MATCH($D558,'卡片raw data'!$F:$F,)),0)+IF($P558=5,INDEX('卡片raw data'!AM:AM,MATCH($D558,'卡片raw data'!$F:$F,)),0)+INDEX('卡片raw data'!U:U,MATCH($D558,'卡片raw data'!$F:$F,))*(IF($F558="UR",0.04,0.033))*(IF($F558="UR",INDEX(绊状态确认!$S:$S,MATCH($G558,绊状态确认!$B:$B,))/2-40)+IF($F558="SR",INDEX(绊状态确认!$R:$R,MATCH($G558,绊状态确认!$B:$B,))/4-15))+IF($F558="R",INDEX(绊状态确认!$Q:$Q,MATCH($G558,绊状态确认!$B:$B,))/6-40/6)))*(INDEX(绊状态确认!$H:$H,MATCH($G558,绊状态确认!$B:$B,))+INDEX(绊状态确认!L:L,MATCH($G558,绊状态确认!$B:$B,)))</f>
        <v>8783.4401519999992</v>
      </c>
      <c r="AO558" s="1107">
        <f t="shared" si="709"/>
        <v>1</v>
      </c>
      <c r="AP558" s="1131">
        <f>1+(INDEX(绊状态确认!$T:$T,MATCH($G558,绊状态确认!$B:$B,))+0.2)*$AO558</f>
        <v>1.3</v>
      </c>
      <c r="AQ558" s="1108">
        <f t="shared" si="710"/>
        <v>21593.025026199997</v>
      </c>
      <c r="AR558" s="1097">
        <f>(AM558*(1+$EX$9)+$EX$35)*(1+(INDEX(绊状态确认!$T:$T,MATCH($G558,绊状态确认!$B:$B,))+0.2)*AO558)*IF(J558=$FF$17,1+$FE$17,1)*IF(I558=$FF$14,1+$FE$14,1)</f>
        <v>8423.5702476639999</v>
      </c>
      <c r="AS558" s="1097">
        <f>(AN558*(1+$EX$10)+$EX$36)*(1+(INDEX(绊状态确认!$T:$T,MATCH($G558,绊状态确认!$B:$B,))+0.2)*AO558)*IF(J558=$FF$17,1+$FE$17,1)*IF(I558=$FF$14,1+$FE$14,1)</f>
        <v>17187.243027239998</v>
      </c>
      <c r="AT558" s="1093">
        <f>IF(AND(INDEX('卡片raw data'!AK:AK,MATCH($D558,'卡片raw data'!$F:$F,))&lt;INDEX('卡片raw data'!AM:AM,MATCH($D558,'卡片raw data'!$F:$F,)),INDEX('卡片raw data'!AL:AL,MATCH($D558,'卡片raw data'!$F:$F,))&lt;INDEX('卡片raw data'!AM:AM,MATCH($D558,'卡片raw data'!$F:$F,))),1,0)</f>
        <v>1</v>
      </c>
      <c r="AU558" s="1098">
        <f>MIN(AT558*0.15+AS558*0.00003+INDEX(绊状态确认!M:M,MATCH($G558,绊状态确认!$B:$B,)),1)</f>
        <v>0.69561729081720003</v>
      </c>
      <c r="AV558" s="1109">
        <f>(INDEX(绊状态确认!$N:$N,MATCH($G558,绊状态确认!$B:$B,))+1.5)*$EW$21</f>
        <v>2.6599999999999997</v>
      </c>
      <c r="AW558" s="1101">
        <f t="shared" si="711"/>
        <v>24163.655901254391</v>
      </c>
      <c r="AX558" s="1097">
        <f t="shared" si="712"/>
        <v>715.63185254701705</v>
      </c>
      <c r="AY558" s="1110">
        <f t="shared" si="713"/>
        <v>24879.287753801407</v>
      </c>
      <c r="AZ558" s="429">
        <f t="shared" si="714"/>
        <v>16226.247162319998</v>
      </c>
      <c r="BA558" s="431">
        <f t="shared" si="715"/>
        <v>19471.496594783996</v>
      </c>
      <c r="BB558" s="1097">
        <f>(AM558*(1+$FB$9)+$FB$35)*(1+(INDEX(绊状态确认!$T:$T,MATCH($G558,绊状态确认!$B:$B,))+0.2)*AO558)*IF(J558=$FF$17,1+$FE$17,1)*IF(I558=$FF$14,1+$FE$14,1)*(1+$FE$15)</f>
        <v>8423.5702476639999</v>
      </c>
      <c r="BC558" s="1097">
        <f>(AN558*(1+$FB$10)+$FB$36)*(1+(INDEX(绊状态确认!$T:$T,MATCH($G558,绊状态确认!$B:$B,))+0.2)*AO558)*IF(J558=$FF$17,1+$FE$17,1)*IF(I558=$FF$14,1+$FE$14,1)*(1+$FE$15)</f>
        <v>17187.243027239998</v>
      </c>
      <c r="BD558" s="1104">
        <f>MIN(AT558*0.15+BC558*0.00003+INDEX(绊状态确认!M:M,MATCH($G558,绊状态确认!$B:$B,)),1)</f>
        <v>0.69561729081720003</v>
      </c>
      <c r="BE558" s="432">
        <f>(INDEX(绊状态确认!$N:$N,MATCH($G558,绊状态确认!$B:$B,))+1.5)</f>
        <v>1.9</v>
      </c>
      <c r="BF558" s="1139">
        <f t="array" ref="BF558">SUMPRODUCT(IF(AZ558*AP558*$FI$16:$FI$23*$FA$22&gt;=$FI$24,$FI$24,AZ558*AP558*$FI$16:$FI$23*$FA$22),$FJ$16:$FJ$23)</f>
        <v>32274.005605854483</v>
      </c>
      <c r="BG558" s="1125">
        <f t="array" ref="BG558">SUMPRODUCT(IF(BE558*AZ558*AP558*$FI$16:$FI$23*$FA$22&gt;=$FI$24,$FI$24,BE558*AZ558*AP558*$FI$16:$FI$23*$FA$22),$FJ$16:$FJ$23)</f>
        <v>57241.780160193113</v>
      </c>
      <c r="BH558" s="1110">
        <f t="shared" si="716"/>
        <v>16547.340433026049</v>
      </c>
      <c r="BI558" s="1111">
        <f>IF(O558="vo",$EW$26/$EW$24*0.05,0)+IF(O558="sk",-$EW$26/$EW$24*(0.05-INDEX(绊状态确认!W:W,MATCH($G558,绊状态确认!$B:$B,)))+0.05*$EW$28,0)+IF(O558="sp",0.05*$EW$32*$EW$30*(1-$EW$33)-(0.05-INDEX(绊状态确认!V:V,MATCH($G558,绊状态确认!$B:$B,)))*$EW$28,0)+IF(O558="gd",-(0.05-INDEX(绊状态确认!X:X,MATCH($G558,绊状态确认!$B:$B,)))*$EW$32*$EW$30*(1-$EW$33),0)</f>
        <v>-6253.6726349699375</v>
      </c>
      <c r="BJ558" s="420">
        <f>IF(O558="vo",0.05*(1-$FI$26)*$FA$24,0)+IF(O558="sk",-(0.05-INDEX(绊状态确认!W:W,MATCH($G558,绊状态确认!$B:$B,)))*(1-$FI$26)*$FA$24+0.05*$FA$26,0)+IF(O558="sp",0.05*$FA$32*$FA$27*(1-$FA$33)/$FA$30+0.05*$FA$29/$FA$69*$FA$27*(1-$FA$33)-(0.05-INDEX(绊状态确认!V:V,MATCH($G558,绊状态确认!$B:$B,)))*$FA$26,0)+IF(O558="gd",-(0.05-INDEX(绊状态确认!X:X,MATCH($G558,绊状态确认!$B:$B,)))*$FA$32*$FA$27*(1-$FA$33)/$FA$30-(0.05-INDEX(绊状态确认!X:X,MATCH($G558,绊状态确认!$B:$B,)))*$FA$29/$FA$69*$FA$27*(1-$FA$33),0)</f>
        <v>20.459096812499922</v>
      </c>
      <c r="BK558" s="1110">
        <f>IF(O558="vo",$EW$26/$EW$24*0.05+$EW$26*(-HP($EW$62,$EW$65,$EW$64)+HP($EW$62,$EW$65,(1.05-INDEX(绊状态确认!U:U,MATCH($G558,绊状态确认!$B:$B,)))*$EW$64)),0)+IF(O558="sk",-$EW$26/$EW$24*(0.05-INDEX(绊状态确认!W:W,MATCH($G558,绊状态确认!$B:$B,)))+0.05*$EW$29,0)+IF(O558="sp",0.05*$EW$32*$EW$30*(1-$EW$33)-(0.05-INDEX(绊状态确认!V:V,MATCH($G558,绊状态确认!$B:$B,)))*$EW$29,0)+IF(O558="gd",-(0.05-INDEX(绊状态确认!X:X,MATCH($G558,绊状态确认!$B:$B,)))*$EW$32*$EW$30*(1-$EW$33)+$EW$26*(-HP($EW$62,$EW$65,$EW$64)+HP($EW$62,$EW$65,0.95*$EW$64)),0)</f>
        <v>-4253.6726349699375</v>
      </c>
      <c r="BL558" s="1111">
        <f t="shared" si="717"/>
        <v>-1083.3333333333333</v>
      </c>
      <c r="BM558" s="1110">
        <f t="shared" si="718"/>
        <v>-830.55555555555543</v>
      </c>
      <c r="BN558" s="1113">
        <f t="shared" si="719"/>
        <v>3</v>
      </c>
      <c r="BO558" s="1108">
        <f t="shared" si="720"/>
        <v>4507.7214871259994</v>
      </c>
      <c r="BP558" s="1127">
        <f t="shared" si="721"/>
        <v>221.34103209030098</v>
      </c>
      <c r="BQ558" s="1113" t="s">
        <v>1940</v>
      </c>
      <c r="BR558" s="1124" t="s">
        <v>1947</v>
      </c>
      <c r="BS558" s="421">
        <f>IF($P558="","N/A",IF($P558=-1,INDEX('卡片raw data'!AX:AX,MATCH($D558,'卡片raw data'!$F:$F,)),0)+IF($L558="party卡",IF($P558=5,INDEX('卡片raw data'!BD:BD,MATCH($D558,'卡片raw data'!$F:$F,)),IF($P558&gt;=3,INDEX('卡片raw data'!BC:BC,MATCH($D558,'卡片raw data'!$F:$F,)),INDEX('卡片raw data'!BB:BB,MATCH($D558,'卡片raw data'!$F:$F,)))),IF(OR(AND($F558="UR",$P558=0),AND($F558="SR",$P558&gt;=0,$P558&lt;=2),AND($F558="R",$P558&gt;=0,$P558&lt;4)),INDEX('卡片raw data'!AZ:AZ,MATCH($D558,'卡片raw data'!$F:$F,)),0)+IF(OR(AND($F558="UR",$P558&gt;=1,$P558&lt;=4),AND($F558="SR",$P558&lt;=4,$P558&gt;=3),AND($F558="R",$P558=4)),INDEX('卡片raw data'!BA:BA,MATCH($D558,'卡片raw data'!$F:$F,)),0)+IF($P558=5,INDEX('卡片raw data'!BB:BB,MATCH($D558,'卡片raw data'!$F:$F,)),0)))</f>
        <v>2.1999999999999999E-2</v>
      </c>
      <c r="BT558" s="424">
        <f t="shared" si="722"/>
        <v>1652.8312119462</v>
      </c>
      <c r="BU558" s="420">
        <f t="shared" si="723"/>
        <v>81.158378433110371</v>
      </c>
      <c r="BV558" s="420">
        <f t="shared" si="724"/>
        <v>1652.8312119462</v>
      </c>
      <c r="BW558" s="436">
        <f t="shared" si="725"/>
        <v>0</v>
      </c>
      <c r="BX558" s="423">
        <f t="shared" si="726"/>
        <v>1652.8312119462</v>
      </c>
      <c r="BY558" s="433">
        <f t="shared" si="727"/>
        <v>1652.8312119462</v>
      </c>
      <c r="BZ558" s="1113" t="s">
        <v>569</v>
      </c>
      <c r="CA558" s="450"/>
      <c r="CB558" s="421">
        <f>IF($P558="","N/A",IF($P558=-1,INDEX('卡片raw data'!BE:BE,MATCH($D558,'卡片raw data'!$F:$F,)),0)+IF($L558="party卡",IF($P558=5,INDEX('卡片raw data'!BK:BK,MATCH($D558,'卡片raw data'!$F:$F,)),IF($P558&gt;=3,INDEX('卡片raw data'!BJ:BJ,MATCH($D558,'卡片raw data'!$F:$F,)),INDEX('卡片raw data'!BI:BI,MATCH($D558,'卡片raw data'!$F:$F,)))),IF(OR(AND($F558="UR",$P558=0),AND($F558="SR",$P558&gt;=0,$P558&lt;=2),AND($F558="R",$P558&gt;=0,$P558&lt;4)),INDEX('卡片raw data'!BG:BG,MATCH($D558,'卡片raw data'!$F:$F,)),0)+IF(OR(AND($F558="UR",$P558&gt;=1,$P558&lt;=4),AND($F558="SR",$P558&lt;=4,$P558&gt;=3),AND($F558="R",$P558=4)),INDEX('卡片raw data'!BH:BH,MATCH($D558,'卡片raw data'!$F:$F,)),0)+IF($P558=5,INDEX('卡片raw data'!BI:BI,MATCH($D558,'卡片raw data'!$F:$F,)),0)))</f>
        <v>0</v>
      </c>
      <c r="CC558" s="424">
        <f t="shared" si="778"/>
        <v>0</v>
      </c>
      <c r="CD558" s="420">
        <f>IF(BZ558="ap",CB558*(1-$FI$26)*$FB$5/$FB$11*(+IF(CA558="全员",$FA$24,0)+IF(CA558="同作战",$FA$24,0)+IF(CA558="仲间",$FA$24*2/3,0)+IF(CA558="同属性",$FA$24*$FA$37/3,0)+IF(CA558="同年级",$FA$24*$FA$40/3,0)+IF(CA558="同学校",$FA$24*$FA$43/3,0)+IF(CA558="同小队",$FA$24*$FA$46/3,0)+IF(CA558="同type",$FA$24*INDEX($FB$49:$FB$52,MATCH(X558,$FA$49:$FA$52,))/3,0)+IF(CA558="自身",#REF!/3,0)),0)+IF(BZ558="te",CB558*(1-$FI$27)*($FA$20-1)*$FB$7/$FB$13*(+IF(CA558="全员",$FA$19*$FA$24/(1+($FA$20-1)*$FA$19),0)+IF(CA558="同作战",$FA$19*$FA$24/(1+($FA$20-1)*$FA$19),0)+IF(CA558="仲间",$FA$19*$FA$24*2/3/(1+($FA$20-1)*$FA$19),0)+IF(CA558="同属性",$FA$19*$FA$24*$FA$37/3/(1+($FA$20-1)*$FA$19),0)+IF(CA558="同年级",$FA$19*$FA$24*$FA$40/3/(1+($FA$20-1)*$FA$19),0)+IF(CA558="同学校",$FA$19*$FA$24*$FA$43/3/(1+($FA$20-1)*$FA$19),0)+IF(CA558="同小队",$FA$19*$FA$24*$FA$46/3/(1+($FA$20-1)*$FA$19),0)+IF(CA558="同type",$FA$19*$FA$24*INDEX($FB$49:$FB$52,MATCH(X558,$FA$49:$FA$52,))/3/(1+($FA$20-1)*$FA$19),0)+IF(CA558="自身",$FA$19*#REF!/3/(1+(BH558-1)*$BD558),0)),0)</f>
        <v>0</v>
      </c>
      <c r="CE558" s="420">
        <f t="shared" si="729"/>
        <v>0</v>
      </c>
      <c r="CF558" s="436">
        <f t="shared" si="779"/>
        <v>0</v>
      </c>
      <c r="CG558" s="423">
        <f t="shared" si="731"/>
        <v>0</v>
      </c>
      <c r="CH558" s="433">
        <f t="shared" si="732"/>
        <v>0</v>
      </c>
      <c r="CI558" s="1113" t="s">
        <v>170</v>
      </c>
      <c r="CJ558" s="1114">
        <v>0.2</v>
      </c>
      <c r="CK558" s="1115" t="s">
        <v>2046</v>
      </c>
      <c r="CL558" s="1115" t="s">
        <v>1941</v>
      </c>
      <c r="CM558" s="1119">
        <v>0.15</v>
      </c>
      <c r="CN558" s="1115"/>
      <c r="CO558" s="1115"/>
      <c r="CP558" s="1116">
        <f t="shared" si="733"/>
        <v>1.8414903243471428</v>
      </c>
      <c r="CQ558" s="1116">
        <f t="shared" si="734"/>
        <v>2.8645405045399999</v>
      </c>
      <c r="CR558" s="1117">
        <f t="shared" si="735"/>
        <v>1.8414903243471428</v>
      </c>
      <c r="CS558" s="442">
        <f t="shared" si="782"/>
        <v>0</v>
      </c>
      <c r="CT558" s="432">
        <f t="shared" si="783"/>
        <v>0</v>
      </c>
      <c r="CU558" s="1101">
        <f t="shared" si="738"/>
        <v>2.0256393567818574</v>
      </c>
      <c r="CV558" s="1108">
        <f t="shared" si="777"/>
        <v>2.8645405045399999</v>
      </c>
      <c r="CW558" s="420">
        <f t="shared" si="739"/>
        <v>2.0256393567818574</v>
      </c>
      <c r="CX558" s="420">
        <f t="shared" si="740"/>
        <v>2.0256393567818574</v>
      </c>
      <c r="CY558" s="433">
        <f t="shared" si="741"/>
        <v>2.0256393567818574</v>
      </c>
      <c r="CZ558" s="437"/>
      <c r="DA558" s="438"/>
      <c r="DB558" s="439" t="s">
        <v>569</v>
      </c>
      <c r="DC558" s="439"/>
      <c r="DD558" s="443"/>
      <c r="DE558" s="411"/>
      <c r="DF558" s="411"/>
      <c r="DG558" s="1116">
        <f t="shared" si="742"/>
        <v>0</v>
      </c>
      <c r="DH558" s="1116">
        <f t="shared" si="743"/>
        <v>0</v>
      </c>
      <c r="DI558" s="1116">
        <f t="shared" si="744"/>
        <v>0</v>
      </c>
      <c r="DJ558" s="442">
        <f t="shared" si="780"/>
        <v>0</v>
      </c>
      <c r="DK558" s="432">
        <f t="shared" si="781"/>
        <v>0</v>
      </c>
      <c r="DL558" s="424">
        <f t="shared" si="747"/>
        <v>0</v>
      </c>
      <c r="DM558" s="420">
        <f t="shared" si="748"/>
        <v>0</v>
      </c>
      <c r="DN558" s="420">
        <f t="shared" si="749"/>
        <v>0</v>
      </c>
      <c r="DO558" s="420">
        <f t="shared" si="750"/>
        <v>0</v>
      </c>
      <c r="DP558" s="433">
        <f t="shared" si="751"/>
        <v>0</v>
      </c>
      <c r="DQ558" s="1113" t="s">
        <v>292</v>
      </c>
      <c r="DR558" s="1120">
        <f t="shared" si="773"/>
        <v>0.3</v>
      </c>
      <c r="DS558" s="1124">
        <v>10</v>
      </c>
      <c r="DT558" s="1093" t="s">
        <v>2127</v>
      </c>
      <c r="DU558" s="1124" t="s">
        <v>2145</v>
      </c>
      <c r="DV558" s="1098">
        <f>IF($P558="","N/A",IF(P558=-1,INDEX('卡片raw data'!AN:AN,MATCH(D558,'卡片raw data'!$F:$F,)),0)+IF(AND(L558&lt;&gt;"party卡",P558&lt;=2,P558&gt;=0),INDEX('卡片raw data'!AP:AP,MATCH(D558,'卡片raw data'!$F:$F,)),0)+IF(OR(AND(L558="party卡",P558&lt;=1),AND(P558&lt;=4,L558&lt;&gt;"party卡",P558&gt;=3)),INDEX('卡片raw data'!AQ:AQ,MATCH(D558,'卡片raw data'!$F:$F,)),0)+IF(OR(P558=5,AND(L558="party卡",P558&gt;=2)),INDEX('卡片raw data'!AR:AR,MATCH(D558,'卡片raw data'!$F:$F,)),0))</f>
        <v>7.0000000000000007E-2</v>
      </c>
      <c r="DW558" s="1098">
        <f t="shared" si="752"/>
        <v>0.3</v>
      </c>
      <c r="DX558" s="1098">
        <f t="shared" si="753"/>
        <v>0.3</v>
      </c>
      <c r="DY558" s="1098">
        <f t="shared" si="754"/>
        <v>7.0000000000000007E-2</v>
      </c>
      <c r="DZ558" s="1098">
        <f t="shared" si="755"/>
        <v>6.0550000000000007E-2</v>
      </c>
      <c r="EA558" s="421">
        <f t="shared" si="756"/>
        <v>0</v>
      </c>
      <c r="EB558" s="445">
        <f t="shared" si="757"/>
        <v>0</v>
      </c>
      <c r="EC558" s="424">
        <f t="shared" si="758"/>
        <v>8192.2525111927516</v>
      </c>
      <c r="ED558" s="420">
        <f t="shared" si="759"/>
        <v>490.2942181212656</v>
      </c>
      <c r="EE558" s="433">
        <f t="shared" si="775"/>
        <v>8192.2525111927516</v>
      </c>
      <c r="EF558" s="1113" t="s">
        <v>569</v>
      </c>
      <c r="EG558" s="1120">
        <f t="shared" si="774"/>
        <v>0.3</v>
      </c>
      <c r="EH558" s="450"/>
      <c r="EI558" s="1124"/>
      <c r="EJ558" s="1124"/>
      <c r="EK558" s="420">
        <f>IF($P558="","N/A",IF(P558=-1,INDEX('卡片raw data'!AS:AS,MATCH(D558,'卡片raw data'!$F:$F,)),0)+IF(AND(L558&lt;&gt;"party卡",P558&lt;=2,P558&gt;=0),INDEX('卡片raw data'!AU:AU,MATCH(D558,'卡片raw data'!$F:$F,)),0)+IF(OR(AND(L558="party卡",P558&lt;=1),AND(P558&lt;=4,L558&lt;&gt;"party卡",P558&gt;=3)),INDEX('卡片raw data'!AV:AV,MATCH(D558,'卡片raw data'!$F:$F,)),0)+IF(OR(P558=5,AND(L558="party卡",P558&gt;=2)),INDEX('卡片raw data'!AW:AW,MATCH(D558,'卡片raw data'!$F:$F,)),0))</f>
        <v>0</v>
      </c>
      <c r="EL558" s="1098">
        <f t="shared" si="760"/>
        <v>0.3</v>
      </c>
      <c r="EM558" s="1098">
        <f t="shared" si="761"/>
        <v>0.3</v>
      </c>
      <c r="EN558" s="1097">
        <f t="shared" si="762"/>
        <v>0</v>
      </c>
      <c r="EO558" s="1097">
        <f t="shared" si="763"/>
        <v>0</v>
      </c>
      <c r="EP558" s="421">
        <f t="shared" si="764"/>
        <v>0</v>
      </c>
      <c r="EQ558" s="445">
        <f t="shared" si="765"/>
        <v>0</v>
      </c>
      <c r="ER558" s="424">
        <f t="shared" si="766"/>
        <v>0</v>
      </c>
      <c r="ES558" s="420">
        <f t="shared" si="767"/>
        <v>0</v>
      </c>
      <c r="ET558" s="446">
        <f t="shared" si="776"/>
        <v>0</v>
      </c>
    </row>
    <row r="559" spans="2:150" ht="16.5" customHeight="1">
      <c r="B559" s="448" t="str">
        <f>INDEX('卡片raw data'!B:B,MATCH($D559,'卡片raw data'!$F:$F,))</f>
        <v>水蓝丸</v>
      </c>
      <c r="C559" s="449" t="s">
        <v>4549</v>
      </c>
      <c r="D559" s="408">
        <v>556</v>
      </c>
      <c r="E559" s="477">
        <v>401072007</v>
      </c>
      <c r="F559" s="409" t="str">
        <f>INDEX('卡片raw data'!C:C,MATCH($D559,'卡片raw data'!$F:$F,))</f>
        <v>SR</v>
      </c>
      <c r="G559" s="1094" t="s">
        <v>4563</v>
      </c>
      <c r="H559" s="411">
        <f>IFERROR(INDEX(绊状态确认!C:C,MATCH($G559,绊状态确认!$B:$B,)),"")</f>
        <v>107</v>
      </c>
      <c r="I559" s="450" t="str">
        <f>IFERROR(INDEX(绊状态确认!D:D,MATCH($G559,绊状态确认!$B:$B,)),"")</f>
        <v>水</v>
      </c>
      <c r="J559" s="450" t="str">
        <f>IFERROR(INDEX(绊状态确认!E:E,MATCH($G559,绊状态确认!$B:$B,)),"")</f>
        <v>1年级</v>
      </c>
      <c r="K559" s="451" t="str">
        <f>IFERROR(INDEX(绊状态确认!F:F,MATCH($G559,绊状态确认!$B:$B,)),"")</f>
        <v>AZALEA</v>
      </c>
      <c r="L559" s="414" t="str">
        <f>INDEX('卡片raw data'!E:E,MATCH($D559,'卡片raw data'!$F:$F,))</f>
        <v>活动卡</v>
      </c>
      <c r="M559" s="478">
        <v>44474</v>
      </c>
      <c r="N559" s="479">
        <v>49</v>
      </c>
      <c r="O559" s="410" t="str">
        <f>INDEX('卡片raw data'!D:D,MATCH($D559,'卡片raw data'!$F:$F,))</f>
        <v>sp</v>
      </c>
      <c r="P559" s="1126">
        <v>5</v>
      </c>
      <c r="Q559" s="418">
        <f t="shared" si="688"/>
        <v>26256.140041654253</v>
      </c>
      <c r="R559" s="419">
        <f t="shared" si="689"/>
        <v>0.30499999999999999</v>
      </c>
      <c r="S559" s="420">
        <f t="shared" si="690"/>
        <v>15347.398705309561</v>
      </c>
      <c r="T559" s="421">
        <f t="shared" si="691"/>
        <v>0.76700000000000002</v>
      </c>
      <c r="U559" s="422">
        <f t="shared" si="692"/>
        <v>10.778754378822859</v>
      </c>
      <c r="V559" s="423">
        <f t="shared" si="693"/>
        <v>25313.874105774255</v>
      </c>
      <c r="W559" s="424">
        <f t="shared" si="694"/>
        <v>4507.7214871259994</v>
      </c>
      <c r="X559" s="419">
        <f t="shared" si="695"/>
        <v>5.1999999999999998E-2</v>
      </c>
      <c r="Y559" s="420">
        <f t="shared" si="696"/>
        <v>857.7340641200035</v>
      </c>
      <c r="Z559" s="425">
        <f t="shared" si="697"/>
        <v>10.778754378822859</v>
      </c>
      <c r="AA559" s="426">
        <f t="shared" si="698"/>
        <v>5365.4555512460029</v>
      </c>
      <c r="AB559" s="424">
        <f t="shared" si="699"/>
        <v>4958.437710269618</v>
      </c>
      <c r="AC559" s="427">
        <f t="shared" si="700"/>
        <v>5.7000000000000002E-2</v>
      </c>
      <c r="AD559" s="428">
        <f t="shared" si="701"/>
        <v>-1.9908281250000003E-2</v>
      </c>
      <c r="AE559" s="516">
        <f t="shared" si="702"/>
        <v>-1.3514492753623202</v>
      </c>
      <c r="AF559" s="1130">
        <f t="shared" si="703"/>
        <v>0</v>
      </c>
      <c r="AG559" s="420">
        <f t="shared" si="704"/>
        <v>0</v>
      </c>
      <c r="AH559" s="420">
        <f t="shared" si="705"/>
        <v>0</v>
      </c>
      <c r="AI559" s="1097">
        <f t="shared" si="706"/>
        <v>0</v>
      </c>
      <c r="AJ559" s="420">
        <f t="shared" si="707"/>
        <v>0</v>
      </c>
      <c r="AK559" s="518">
        <f t="shared" si="708"/>
        <v>0</v>
      </c>
      <c r="AL559" s="1106">
        <f>IF($P559="","N/A",(IF($P559=-1,INDEX('卡片raw data'!S:S,MATCH($D559,'卡片raw data'!$F:$F,)),0)+IF($P559=0,INDEX('卡片raw data'!V:V,MATCH($D559,'卡片raw data'!$F:$F,)),0)+IF($P559=1,INDEX('卡片raw data'!Y:Y,MATCH($D559,'卡片raw data'!$F:$F,)),0)+IF($P559=2,INDEX('卡片raw data'!AB:AB,MATCH($D559,'卡片raw data'!$F:$F,)),0)+IF($P559=3,INDEX('卡片raw data'!AE:AE,MATCH($D559,'卡片raw data'!$F:$F,)),0)+IF($P559=4,INDEX('卡片raw data'!AH:AH,MATCH($D559,'卡片raw data'!$F:$F,)),0)+IF($P559=5,INDEX('卡片raw data'!AK:AK,MATCH($D559,'卡片raw data'!$F:$F,)),0)+INDEX('卡片raw data'!S:S,MATCH($D559,'卡片raw data'!$F:$F,))*(IF($F559="UR",0.04,0.033))*(IF($F559="UR",INDEX(绊状态确认!$S:$S,MATCH($G559,绊状态确认!$B:$B,))/2-40)+IF($F559="SR",INDEX(绊状态确认!$R:$R,MATCH($G559,绊状态确认!$B:$B,))/4-15))+IF($F559="R",INDEX(绊状态确认!$Q:$Q,MATCH($G559,绊状态确认!$B:$B,))/6-40/6)))*(INDEX(绊状态确认!$H:$H,MATCH($G559,绊状态确认!$B:$B,))+INDEX(绊状态确认!J:J,MATCH($G559,绊状态确认!$B:$B,)))</f>
        <v>7786.0241447999988</v>
      </c>
      <c r="AM559" s="1106">
        <f>IF($P559="","N/A",(IF($P559=-1,INDEX('卡片raw data'!T:T,MATCH($D559,'卡片raw data'!$F:$F,)),0)+IF($P559=0,INDEX('卡片raw data'!W:W,MATCH($D559,'卡片raw data'!$F:$F,)),0)+IF($P559=1,INDEX('卡片raw data'!Z:Z,MATCH($D559,'卡片raw data'!$F:$F,)),0)+IF($P559=2,INDEX('卡片raw data'!AC:AC,MATCH($D559,'卡片raw data'!$F:$F,)),0)+IF($P559=3,INDEX('卡片raw data'!AF:AF,MATCH($D559,'卡片raw data'!$F:$F,)),0)+IF($P559=4,INDEX('卡片raw data'!AI:AI,MATCH($D559,'卡片raw data'!$F:$F,)),0)+IF($P559=5,INDEX('卡片raw data'!AL:AL,MATCH($D559,'卡片raw data'!$F:$F,)),0)+INDEX('卡片raw data'!T:T,MATCH($D559,'卡片raw data'!$F:$F,))*(IF($F559="UR",0.04,0.033))*(IF($F559="UR",INDEX(绊状态确认!$S:$S,MATCH($G559,绊状态确认!$B:$B,))/2-40)+IF($F559="SR",INDEX(绊状态确认!$R:$R,MATCH($G559,绊状态确认!$B:$B,))/4-15))+IF($F559="R",INDEX(绊状态确认!$Q:$Q,MATCH($G559,绊状态确认!$B:$B,))/6-40/6)))*(INDEX(绊状态确认!$H:$H,MATCH($G559,绊状态确认!$B:$B,))+INDEX(绊状态确认!K:K,MATCH($G559,绊状态确认!$B:$B,)))</f>
        <v>5389.1360832</v>
      </c>
      <c r="AN559" s="1106">
        <f>IF($P559="","N/A",(IF($P559=-1,INDEX('卡片raw data'!U:U,MATCH($D559,'卡片raw data'!$F:$F,)),0)+IF($P559=0,INDEX('卡片raw data'!X:X,MATCH($D559,'卡片raw data'!$F:$F,)),0)+IF($P559=1,INDEX('卡片raw data'!AA:AA,MATCH($D559,'卡片raw data'!$F:$F,)),0)+IF($P559=2,INDEX('卡片raw data'!AD:AD,MATCH($D559,'卡片raw data'!$F:$F,)),0)+IF($P559=3,INDEX('卡片raw data'!AG:AG,MATCH($D559,'卡片raw data'!$F:$F,)),0)+IF($P559=4,INDEX('卡片raw data'!AJ:AJ,MATCH($D559,'卡片raw data'!$F:$F,)),0)+IF($P559=5,INDEX('卡片raw data'!AM:AM,MATCH($D559,'卡片raw data'!$F:$F,)),0)+INDEX('卡片raw data'!U:U,MATCH($D559,'卡片raw data'!$F:$F,))*(IF($F559="UR",0.04,0.033))*(IF($F559="UR",INDEX(绊状态确认!$S:$S,MATCH($G559,绊状态确认!$B:$B,))/2-40)+IF($F559="SR",INDEX(绊状态确认!$R:$R,MATCH($G559,绊状态确认!$B:$B,))/4-15))+IF($F559="R",INDEX(绊状态确认!$Q:$Q,MATCH($G559,绊状态确认!$B:$B,))/6-40/6)))*(INDEX(绊状态确认!$H:$H,MATCH($G559,绊状态确认!$B:$B,))+INDEX(绊状态确认!L:L,MATCH($G559,绊状态确认!$B:$B,)))</f>
        <v>6786.2603351999987</v>
      </c>
      <c r="AO559" s="1107">
        <f t="shared" si="709"/>
        <v>1</v>
      </c>
      <c r="AP559" s="1131">
        <f>1+(INDEX(绊状态确认!$T:$T,MATCH($G559,绊状态确认!$B:$B,))+0.2)*$AO559</f>
        <v>1.3</v>
      </c>
      <c r="AQ559" s="1108">
        <f t="shared" si="710"/>
        <v>23688.3133801</v>
      </c>
      <c r="AR559" s="1097">
        <f>(AM559*(1+$EX$9)+$EX$35)*(1+(INDEX(绊状态确认!$T:$T,MATCH($G559,绊状态确认!$B:$B,))+0.2)*AO559)*IF(J559=$FF$17,1+$FE$17,1)*IF(I559=$FF$14,1+$FE$14,1)</f>
        <v>10060.170753568002</v>
      </c>
      <c r="AS559" s="1097">
        <f>(AN559*(1+$EX$10)+$EX$36)*(1+(INDEX(绊状态确认!$T:$T,MATCH($G559,绊状态确认!$B:$B,))+0.2)*AO559)*IF(J559=$FF$17,1+$FE$17,1)*IF(I559=$FF$14,1+$FE$14,1)</f>
        <v>14201.459201123998</v>
      </c>
      <c r="AT559" s="1093">
        <f>IF(AND(INDEX('卡片raw data'!AK:AK,MATCH($D559,'卡片raw data'!$F:$F,))&lt;INDEX('卡片raw data'!AM:AM,MATCH($D559,'卡片raw data'!$F:$F,)),INDEX('卡片raw data'!AL:AL,MATCH($D559,'卡片raw data'!$F:$F,))&lt;INDEX('卡片raw data'!AM:AM,MATCH($D559,'卡片raw data'!$F:$F,))),1,0)</f>
        <v>0</v>
      </c>
      <c r="AU559" s="1098">
        <f>MIN(AT559*0.15+AS559*0.00003+INDEX(绊状态确认!M:M,MATCH($G559,绊状态确认!$B:$B,)),1)</f>
        <v>0.45604377603371998</v>
      </c>
      <c r="AV559" s="1109">
        <f>(INDEX(绊状态确认!$N:$N,MATCH($G559,绊状态确认!$B:$B,))+1.5)*$EW$21</f>
        <v>2.6599999999999997</v>
      </c>
      <c r="AW559" s="1101">
        <f t="shared" si="711"/>
        <v>21615.801325780019</v>
      </c>
      <c r="AX559" s="1097">
        <f t="shared" si="712"/>
        <v>857.73406412000372</v>
      </c>
      <c r="AY559" s="1110">
        <f t="shared" si="713"/>
        <v>22473.535389900022</v>
      </c>
      <c r="AZ559" s="429">
        <f t="shared" si="714"/>
        <v>17782.747082359998</v>
      </c>
      <c r="BA559" s="431">
        <f t="shared" si="715"/>
        <v>21339.296498831998</v>
      </c>
      <c r="BB559" s="1097">
        <f>(AM559*(1+$FB$9)+$FB$35)*(1+(INDEX(绊状态确认!$T:$T,MATCH($G559,绊状态确认!$B:$B,))+0.2)*AO559)*IF(J559=$FF$17,1+$FE$17,1)*IF(I559=$FF$14,1+$FE$14,1)*(1+$FE$15)</f>
        <v>10060.170753568002</v>
      </c>
      <c r="BC559" s="1097">
        <f>(AN559*(1+$FB$10)+$FB$36)*(1+(INDEX(绊状态确认!$T:$T,MATCH($G559,绊状态确认!$B:$B,))+0.2)*AO559)*IF(J559=$FF$17,1+$FE$17,1)*IF(I559=$FF$14,1+$FE$14,1)*(1+$FE$15)</f>
        <v>14201.459201123998</v>
      </c>
      <c r="BD559" s="1104">
        <f>MIN(AT559*0.15+BC559*0.00003+INDEX(绊状态确认!M:M,MATCH($G559,绊状态确认!$B:$B,)),1)</f>
        <v>0.45604377603371998</v>
      </c>
      <c r="BE559" s="432">
        <f>(INDEX(绊状态确认!$N:$N,MATCH($G559,绊状态确认!$B:$B,))+1.5)</f>
        <v>1.9</v>
      </c>
      <c r="BF559" s="1139">
        <f t="array" ref="BF559">SUMPRODUCT(IF(AZ559*AP559*$FI$16:$FI$23*$FA$22&gt;=$FI$24,$FI$24,AZ559*AP559*$FI$16:$FI$23*$FA$22),$FJ$16:$FJ$23)</f>
        <v>35369.883946814036</v>
      </c>
      <c r="BG559" s="1125">
        <f t="array" ref="BG559">SUMPRODUCT(IF(BE559*AZ559*AP559*$FI$16:$FI$23*$FA$22&gt;=$FI$24,$FI$24,BE559*AZ559*AP559*$FI$16:$FI$23*$FA$22),$FJ$16:$FJ$23)</f>
        <v>58980.846323357298</v>
      </c>
      <c r="BH559" s="1110">
        <f t="shared" si="716"/>
        <v>15379.172128267639</v>
      </c>
      <c r="BI559" s="1111">
        <f>IF(O559="vo",$EW$26/$EW$24*0.05,0)+IF(O559="sk",-$EW$26/$EW$24*(0.05-INDEX(绊状态确认!W:W,MATCH($G559,绊状态确认!$B:$B,)))+0.05*$EW$28,0)+IF(O559="sp",0.05*$EW$32*$EW$30*(1-$EW$33)-(0.05-INDEX(绊状态确认!V:V,MATCH($G559,绊状态确认!$B:$B,)))*$EW$28,0)+IF(O559="gd",-(0.05-INDEX(绊状态确认!X:X,MATCH($G559,绊状态确认!$B:$B,)))*$EW$32*$EW$30*(1-$EW$33),0)</f>
        <v>19.999999999999886</v>
      </c>
      <c r="BJ559" s="420">
        <f>IF(O559="vo",0.05*(1-$FI$26)*$FA$24,0)+IF(O559="sk",-(0.05-INDEX(绊状态确认!W:W,MATCH($G559,绊状态确认!$B:$B,)))*(1-$FI$26)*$FA$24+0.05*$FA$26,0)+IF(O559="sp",0.05*$FA$32*$FA$27*(1-$FA$33)/$FA$30+0.05*$FA$29/$FA$69*$FA$27*(1-$FA$33)-(0.05-INDEX(绊状态确认!V:V,MATCH($G559,绊状态确认!$B:$B,)))*$FA$26,0)+IF(O559="gd",-(0.05-INDEX(绊状态确认!X:X,MATCH($G559,绊状态确认!$B:$B,)))*$FA$32*$FA$27*(1-$FA$33)/$FA$30-(0.05-INDEX(绊状态确认!X:X,MATCH($G559,绊状态确认!$B:$B,)))*$FA$29/$FA$69*$FA$27*(1-$FA$33),0)</f>
        <v>545.83333333333326</v>
      </c>
      <c r="BK559" s="1110">
        <f>IF(O559="vo",$EW$26/$EW$24*0.05+$EW$26*(-HP($EW$62,$EW$65,$EW$64)+HP($EW$62,$EW$65,(1.05-INDEX(绊状态确认!U:U,MATCH($G559,绊状态确认!$B:$B,)))*$EW$64)),0)+IF(O559="sk",-$EW$26/$EW$24*(0.05-INDEX(绊状态确认!W:W,MATCH($G559,绊状态确认!$B:$B,)))+0.05*$EW$29,0)+IF(O559="sp",0.05*$EW$32*$EW$30*(1-$EW$33)-(0.05-INDEX(绊状态确认!V:V,MATCH($G559,绊状态确认!$B:$B,)))*$EW$29,0)+IF(O559="gd",-(0.05-INDEX(绊状态确认!X:X,MATCH($G559,绊状态确认!$B:$B,)))*$EW$32*$EW$30*(1-$EW$33)+$EW$26*(-HP($EW$62,$EW$65,$EW$64)+HP($EW$62,$EW$65,0.95*$EW$64)),0)</f>
        <v>-1780.0000000000005</v>
      </c>
      <c r="BL559" s="1111">
        <f t="shared" si="717"/>
        <v>-1083.3333333333333</v>
      </c>
      <c r="BM559" s="1110">
        <f t="shared" si="718"/>
        <v>-830.55555555555543</v>
      </c>
      <c r="BN559" s="1113">
        <f t="shared" si="719"/>
        <v>3</v>
      </c>
      <c r="BO559" s="1108">
        <f t="shared" si="720"/>
        <v>4507.7214871259994</v>
      </c>
      <c r="BP559" s="1127">
        <f t="shared" si="721"/>
        <v>221.34103209030098</v>
      </c>
      <c r="BQ559" s="1113" t="s">
        <v>134</v>
      </c>
      <c r="BR559" s="1124" t="s">
        <v>166</v>
      </c>
      <c r="BS559" s="421">
        <f>IF($P559="","N/A",IF($P559=-1,INDEX('卡片raw data'!AX:AX,MATCH($D559,'卡片raw data'!$F:$F,)),0)+IF($L559="party卡",IF($P559=5,INDEX('卡片raw data'!BD:BD,MATCH($D559,'卡片raw data'!$F:$F,)),IF($P559&gt;=3,INDEX('卡片raw data'!BC:BC,MATCH($D559,'卡片raw data'!$F:$F,)),INDEX('卡片raw data'!BB:BB,MATCH($D559,'卡片raw data'!$F:$F,)))),IF(OR(AND($F559="UR",$P559=0),AND($F559="SR",$P559&gt;=0,$P559&lt;=2),AND($F559="R",$P559&gt;=0,$P559&lt;4)),INDEX('卡片raw data'!AZ:AZ,MATCH($D559,'卡片raw data'!$F:$F,)),0)+IF(OR(AND($F559="UR",$P559&gt;=1,$P559&lt;=4),AND($F559="SR",$P559&lt;=4,$P559&gt;=3),AND($F559="R",$P559=4)),INDEX('卡片raw data'!BA:BA,MATCH($D559,'卡片raw data'!$F:$F,)),0)+IF($P559=5,INDEX('卡片raw data'!BB:BB,MATCH($D559,'卡片raw data'!$F:$F,)),0)))</f>
        <v>7.0000000000000007E-2</v>
      </c>
      <c r="BT559" s="424">
        <f t="shared" si="722"/>
        <v>450.71622314361844</v>
      </c>
      <c r="BU559" s="420">
        <f t="shared" si="723"/>
        <v>31.607767173842063</v>
      </c>
      <c r="BV559" s="420">
        <f t="shared" si="724"/>
        <v>0</v>
      </c>
      <c r="BW559" s="436">
        <f t="shared" si="725"/>
        <v>0</v>
      </c>
      <c r="BX559" s="423">
        <f t="shared" si="726"/>
        <v>450.71622314361844</v>
      </c>
      <c r="BY559" s="433">
        <f t="shared" si="727"/>
        <v>0</v>
      </c>
      <c r="BZ559" s="1113" t="s">
        <v>569</v>
      </c>
      <c r="CA559" s="450"/>
      <c r="CB559" s="421">
        <f>IF($P559="","N/A",IF($P559=-1,INDEX('卡片raw data'!BE:BE,MATCH($D559,'卡片raw data'!$F:$F,)),0)+IF($L559="party卡",IF($P559=5,INDEX('卡片raw data'!BK:BK,MATCH($D559,'卡片raw data'!$F:$F,)),IF($P559&gt;=3,INDEX('卡片raw data'!BJ:BJ,MATCH($D559,'卡片raw data'!$F:$F,)),INDEX('卡片raw data'!BI:BI,MATCH($D559,'卡片raw data'!$F:$F,)))),IF(OR(AND($F559="UR",$P559=0),AND($F559="SR",$P559&gt;=0,$P559&lt;=2),AND($F559="R",$P559&gt;=0,$P559&lt;4)),INDEX('卡片raw data'!BG:BG,MATCH($D559,'卡片raw data'!$F:$F,)),0)+IF(OR(AND($F559="UR",$P559&gt;=1,$P559&lt;=4),AND($F559="SR",$P559&lt;=4,$P559&gt;=3),AND($F559="R",$P559=4)),INDEX('卡片raw data'!BH:BH,MATCH($D559,'卡片raw data'!$F:$F,)),0)+IF($P559=5,INDEX('卡片raw data'!BI:BI,MATCH($D559,'卡片raw data'!$F:$F,)),0)))</f>
        <v>0</v>
      </c>
      <c r="CC559" s="424">
        <f t="shared" si="778"/>
        <v>0</v>
      </c>
      <c r="CD559" s="420">
        <f>IF(BZ559="ap",CB559*(1-$FI$26)*$FB$5/$FB$11*(+IF(CA559="全员",$FA$24,0)+IF(CA559="同作战",$FA$24,0)+IF(CA559="仲间",$FA$24*2/3,0)+IF(CA559="同属性",$FA$24*$FA$37/3,0)+IF(CA559="同年级",$FA$24*$FA$40/3,0)+IF(CA559="同学校",$FA$24*$FA$43/3,0)+IF(CA559="同小队",$FA$24*$FA$46/3,0)+IF(CA559="同type",$FA$24*INDEX($FB$49:$FB$52,MATCH(X559,$FA$49:$FA$52,))/3,0)+IF(CA559="自身",#REF!/3,0)),0)+IF(BZ559="te",CB559*(1-$FI$27)*($FA$20-1)*$FB$7/$FB$13*(+IF(CA559="全员",$FA$19*$FA$24/(1+($FA$20-1)*$FA$19),0)+IF(CA559="同作战",$FA$19*$FA$24/(1+($FA$20-1)*$FA$19),0)+IF(CA559="仲间",$FA$19*$FA$24*2/3/(1+($FA$20-1)*$FA$19),0)+IF(CA559="同属性",$FA$19*$FA$24*$FA$37/3/(1+($FA$20-1)*$FA$19),0)+IF(CA559="同年级",$FA$19*$FA$24*$FA$40/3/(1+($FA$20-1)*$FA$19),0)+IF(CA559="同学校",$FA$19*$FA$24*$FA$43/3/(1+($FA$20-1)*$FA$19),0)+IF(CA559="同小队",$FA$19*$FA$24*$FA$46/3/(1+($FA$20-1)*$FA$19),0)+IF(CA559="同type",$FA$19*$FA$24*INDEX($FB$49:$FB$52,MATCH(X559,$FA$49:$FA$52,))/3/(1+($FA$20-1)*$FA$19),0)+IF(CA559="自身",$FA$19*#REF!/3/(1+(BH559-1)*$BD559),0)),0)</f>
        <v>0</v>
      </c>
      <c r="CE559" s="420">
        <f t="shared" si="729"/>
        <v>0</v>
      </c>
      <c r="CF559" s="436">
        <f t="shared" si="779"/>
        <v>0</v>
      </c>
      <c r="CG559" s="423">
        <f t="shared" si="731"/>
        <v>0</v>
      </c>
      <c r="CH559" s="433">
        <f t="shared" si="732"/>
        <v>0</v>
      </c>
      <c r="CI559" s="1113" t="s">
        <v>164</v>
      </c>
      <c r="CJ559" s="1114">
        <v>0.5</v>
      </c>
      <c r="CK559" s="1115" t="s">
        <v>156</v>
      </c>
      <c r="CL559" s="1115" t="s">
        <v>1941</v>
      </c>
      <c r="CM559" s="1119">
        <v>0.02</v>
      </c>
      <c r="CN559" s="1115"/>
      <c r="CO559" s="1115"/>
      <c r="CP559" s="1116">
        <f t="shared" si="733"/>
        <v>0</v>
      </c>
      <c r="CQ559" s="1116">
        <f t="shared" si="734"/>
        <v>0</v>
      </c>
      <c r="CR559" s="1117">
        <f t="shared" si="735"/>
        <v>0</v>
      </c>
      <c r="CS559" s="442">
        <f t="shared" si="782"/>
        <v>0</v>
      </c>
      <c r="CT559" s="432">
        <f t="shared" si="783"/>
        <v>0</v>
      </c>
      <c r="CU559" s="1101">
        <f t="shared" si="738"/>
        <v>0</v>
      </c>
      <c r="CV559" s="1108">
        <f t="shared" si="777"/>
        <v>0</v>
      </c>
      <c r="CW559" s="1097">
        <f t="shared" si="739"/>
        <v>0</v>
      </c>
      <c r="CX559" s="420">
        <f t="shared" si="740"/>
        <v>0</v>
      </c>
      <c r="CY559" s="433">
        <f t="shared" si="741"/>
        <v>0</v>
      </c>
      <c r="CZ559" s="437"/>
      <c r="DA559" s="438"/>
      <c r="DB559" s="439" t="s">
        <v>569</v>
      </c>
      <c r="DC559" s="439"/>
      <c r="DD559" s="443"/>
      <c r="DE559" s="411"/>
      <c r="DF559" s="411"/>
      <c r="DG559" s="1116">
        <f t="shared" si="742"/>
        <v>0</v>
      </c>
      <c r="DH559" s="1116">
        <f t="shared" si="743"/>
        <v>0</v>
      </c>
      <c r="DI559" s="1116">
        <f t="shared" si="744"/>
        <v>0</v>
      </c>
      <c r="DJ559" s="442">
        <f t="shared" ref="DJ559:DJ572" si="784">IF(DB559="技能+",IF(DE559="infty",(IF(CZ559="曲开始",DD559*DA559)+IF(OR(CZ559="AC时",CZ559="AC成功"),(1-(1-(1-DA559)^($FM$20+1))/(($FM$20+1)*DA559))*DD559))*(IF(DC559="全员",1)))+IF(DE559&lt;&gt;"infty",DD559*(IF(CZ559="曲开始",DA559*DE559/$FM$19)+IF(OR(CZ559="AC时",CZ559="AC成功"),DE559*IF(DF559&lt;&gt;"",MIN(DF559,DA559*$FM$20),DA559*$FM$20)/$FM$19)+IF(CZ559="切队",DE559*IF(DF559&lt;&gt;"",MIN(DA559*$FM$11,DF559/$FM$19),DA559*$FM$11))+IF(CZ559="ap时",IF(DF559&lt;&gt;"",MIN(DF559/$FM574,IF($O559="sk",$FM$10,$FM$9)*DA559),IF($O559="sk",$FM$10,$FM$9)*DA559)*DE559)+IF(CZ559="ct时",IF(DF559&lt;&gt;"",MIN(DF559/$FM574,$AU559*IF($O559="sk",$FM$10,$FM$9)*DA559),$AU559*IF($O559="sk",$FM$10,$FM$9)*DA559)*DE559))*(IF(DC559="全员",1)+IF(DC559="同作战",IF($O559="sk",$FM$10*3,$FM$9*3))+IF(DC559="同属性",$FM$23/6)+IF(DC559="同年级",$FM$24/6)+IF(DC559="自身",IF($O559="sk",$FM$10,$FM$9)))),0)*$FM$16</f>
        <v>0</v>
      </c>
      <c r="DK559" s="432">
        <f t="shared" ref="DK559:DK572" si="785">IF(DB559="sp+",IF(DE559="infty",(IF(CZ559="曲开始",DD559*DA559*$FM$28)+IF(OR(CZ559="AC时",CZ559="AC成功"),(1-(1-(1-DA559)^($FM$20+1))/(($FM$20+1)*DA559))*DD559*$FM$28))*(IF(DC559="全员",1)))+IF(DE559&lt;&gt;"infty",DD559*$FM$28*(IF(CZ559="曲开始",DA559*DE559/$FM$19)+IF(OR(CZ559="AC时",CZ559="AC成功"),DE559*IF(DF559&lt;&gt;"",MIN(DF559,DA559*$FM$20),DA559*$FM$20)/$FM$19)+IF(CZ559="切队",DE559*IF(DF559&lt;&gt;"",MIN(DA559*$FM$11,DF559/$FM$19),DA559*$FM$11))+IF(CZ559="ap时",IF(DF559&lt;&gt;"",MIN(DF559/$FM574,IF($O559="sk",$FM$10,$FM$9)*DA559),IF($O559="sk",$FM$10,$FM$9)*DA559)*DE559)+IF(CZ559="ct时",IF(DF559&lt;&gt;"",MIN(DF559/$FM574,$AU559*IF($O559="sk",$FM$10,$FM$9)*DA559),$AU559*IF($O559="sk",$FM$10,$FM$9)*DA559)*DE559))*(IF(DC559="全员",1)+IF(DC559="同作战",IF($O559="sk",$FM$10*3,$FM$9*3))+IF(DC559="同属性",$FM$23/6)+IF(DC559="同年级",$FM$24/6)+IF(DC559="同type",IF(AF559="sp",$FN$6*$FM$9)))),0)+IF(DB559="sp获得",IF(CZ559="AC成功",0,DD559*(IF(DC559="ap",BI559)+IF(DC559="st",BJ559)+IF(DC559="te",BK559)+IF(DC559="sp槽",$EW$77)+IF(DC559="",1))*IF($O559="sk",1,1+(1+$FM$10/$FM$9)*($FM$27-1))*(IF(CZ559="曲开始",DA559/$FM$19)+IF(CZ559="SP发动",IF(DF559&lt;&gt;"",MIN(DF559/$FM$19,DA559*$FM$30/$FM$19),DA559*$FM$30/$FM$19))+IF(CZ559="切队",IF(DF559&lt;&gt;"",MIN(DF559/$FM$19,DA559*$FM$11),DA559*$FM$11))+IF(OR(CZ559="AC时",CZ559="AC成功"),IF(DF559&lt;&gt;"",MIN(DF559/$FM$19,DA559*$FM$20/$FM$19),DA559*$FM$20/$FM$19))+IF(CZ559="ap时",IF(DF559&lt;&gt;"",MIN(DF559/$FM$19,DA559*IF($O559="sk",$FM$10,$FM$9)),DA559*IF($O559="sk",$FM$10,$FM$9)))+IF(CZ559="ct时",IF(DF559&lt;&gt;"",MIN(DF559/$FM$19,DA559*IF($O559="sk",$FM$10,$FM$9)*$AU559),DA559*IF($O559="sk",$FM$10,$FM$9)*$AU559)))))</f>
        <v>0</v>
      </c>
      <c r="DL559" s="424">
        <f t="shared" si="747"/>
        <v>0</v>
      </c>
      <c r="DM559" s="420">
        <f t="shared" si="748"/>
        <v>0</v>
      </c>
      <c r="DN559" s="420">
        <f t="shared" si="749"/>
        <v>0</v>
      </c>
      <c r="DO559" s="420">
        <f t="shared" si="750"/>
        <v>0</v>
      </c>
      <c r="DP559" s="433">
        <f t="shared" si="751"/>
        <v>0</v>
      </c>
      <c r="DQ559" s="1113" t="s">
        <v>2158</v>
      </c>
      <c r="DR559" s="1120">
        <f t="shared" si="773"/>
        <v>0.3</v>
      </c>
      <c r="DS559" s="1124"/>
      <c r="DT559" s="1124" t="s">
        <v>132</v>
      </c>
      <c r="DU559" s="1093"/>
      <c r="DV559" s="1098">
        <f>IF($P559="","N/A",IF(P559=-1,INDEX('卡片raw data'!AN:AN,MATCH(D559,'卡片raw data'!$F:$F,)),0)+IF(AND(L559&lt;&gt;"party卡",P559&lt;=2,P559&gt;=0),INDEX('卡片raw data'!AP:AP,MATCH(D559,'卡片raw data'!$F:$F,)),0)+IF(OR(AND(L559="party卡",P559&lt;=1),AND(P559&lt;=4,L559&lt;&gt;"party卡",P559&gt;=3)),INDEX('卡片raw data'!AQ:AQ,MATCH(D559,'卡片raw data'!$F:$F,)),0)+IF(OR(P559=5,AND(L559="party卡",P559&gt;=2)),INDEX('卡片raw data'!AR:AR,MATCH(D559,'卡片raw data'!$F:$F,)),0))</f>
        <v>0.22</v>
      </c>
      <c r="DW559" s="1098">
        <f t="shared" si="752"/>
        <v>0.3</v>
      </c>
      <c r="DX559" s="1098">
        <f t="shared" si="753"/>
        <v>0.3</v>
      </c>
      <c r="DY559" s="1097">
        <f t="shared" si="754"/>
        <v>521.14289436219997</v>
      </c>
      <c r="DZ559" s="1097">
        <f t="shared" si="755"/>
        <v>406.0868123727729</v>
      </c>
      <c r="EA559" s="421">
        <f t="shared" si="756"/>
        <v>0</v>
      </c>
      <c r="EB559" s="445">
        <f t="shared" si="757"/>
        <v>0</v>
      </c>
      <c r="EC559" s="424">
        <f t="shared" si="758"/>
        <v>745.23433893794606</v>
      </c>
      <c r="ED559" s="420">
        <f t="shared" si="759"/>
        <v>0</v>
      </c>
      <c r="EE559" s="433">
        <f t="shared" si="775"/>
        <v>745.23433893794606</v>
      </c>
      <c r="EF559" s="1113" t="s">
        <v>569</v>
      </c>
      <c r="EG559" s="1120">
        <f t="shared" si="774"/>
        <v>0.3</v>
      </c>
      <c r="EH559" s="450"/>
      <c r="EI559" s="1124"/>
      <c r="EJ559" s="1124"/>
      <c r="EK559" s="420">
        <f>IF($P559="","N/A",IF(P559=-1,INDEX('卡片raw data'!AS:AS,MATCH(D559,'卡片raw data'!$F:$F,)),0)+IF(AND(L559&lt;&gt;"party卡",P559&lt;=2,P559&gt;=0),INDEX('卡片raw data'!AU:AU,MATCH(D559,'卡片raw data'!$F:$F,)),0)+IF(OR(AND(L559="party卡",P559&lt;=1),AND(P559&lt;=4,L559&lt;&gt;"party卡",P559&gt;=3)),INDEX('卡片raw data'!AV:AV,MATCH(D559,'卡片raw data'!$F:$F,)),0)+IF(OR(P559=5,AND(L559="party卡",P559&gt;=2)),INDEX('卡片raw data'!AW:AW,MATCH(D559,'卡片raw data'!$F:$F,)),0))</f>
        <v>0</v>
      </c>
      <c r="EL559" s="1098">
        <f t="shared" si="760"/>
        <v>0.3</v>
      </c>
      <c r="EM559" s="1098">
        <f t="shared" si="761"/>
        <v>0.3</v>
      </c>
      <c r="EN559" s="1097">
        <f t="shared" si="762"/>
        <v>0</v>
      </c>
      <c r="EO559" s="1097">
        <f t="shared" si="763"/>
        <v>0</v>
      </c>
      <c r="EP559" s="421">
        <f t="shared" si="764"/>
        <v>0</v>
      </c>
      <c r="EQ559" s="445">
        <f t="shared" si="765"/>
        <v>0</v>
      </c>
      <c r="ER559" s="424">
        <f t="shared" si="766"/>
        <v>0</v>
      </c>
      <c r="ES559" s="420">
        <f t="shared" si="767"/>
        <v>0</v>
      </c>
      <c r="ET559" s="446">
        <f t="shared" si="776"/>
        <v>0</v>
      </c>
    </row>
    <row r="560" spans="2:150" ht="16.5" customHeight="1">
      <c r="B560" s="448" t="str">
        <f>INDEX('卡片raw data'!B:B,MATCH($D560,'卡片raw data'!$F:$F,))</f>
        <v>prt南</v>
      </c>
      <c r="C560" s="449" t="s">
        <v>2055</v>
      </c>
      <c r="D560" s="408">
        <v>557</v>
      </c>
      <c r="E560" s="477">
        <v>301033002</v>
      </c>
      <c r="F560" s="409" t="str">
        <f>INDEX('卡片raw data'!C:C,MATCH($D560,'卡片raw data'!$F:$F,))</f>
        <v>UR</v>
      </c>
      <c r="G560" s="1094" t="s">
        <v>4602</v>
      </c>
      <c r="H560" s="411">
        <f>IFERROR(INDEX(绊状态确认!C:C,MATCH($G560,绊状态确认!$B:$B,)),"")</f>
        <v>103</v>
      </c>
      <c r="I560" s="450" t="str">
        <f>IFERROR(INDEX(绊状态确认!D:D,MATCH($G560,绊状态确认!$B:$B,)),"")</f>
        <v>水</v>
      </c>
      <c r="J560" s="450" t="str">
        <f>IFERROR(INDEX(绊状态确认!E:E,MATCH($G560,绊状态确认!$B:$B,)),"")</f>
        <v>3年级</v>
      </c>
      <c r="K560" s="451" t="str">
        <f>IFERROR(INDEX(绊状态确认!F:F,MATCH($G560,绊状态确认!$B:$B,)),"")</f>
        <v>AZALEA</v>
      </c>
      <c r="L560" s="414" t="str">
        <f>INDEX('卡片raw data'!E:E,MATCH($D560,'卡片raw data'!$F:$F,))</f>
        <v>party卡</v>
      </c>
      <c r="M560" s="478">
        <v>44483</v>
      </c>
      <c r="N560" s="479">
        <v>49.5</v>
      </c>
      <c r="O560" s="410" t="str">
        <f>INDEX('卡片raw data'!D:D,MATCH($D560,'卡片raw data'!$F:$F,))</f>
        <v>sk</v>
      </c>
      <c r="P560" s="1126">
        <v>5</v>
      </c>
      <c r="Q560" s="418">
        <f t="shared" si="688"/>
        <v>64629.294977178462</v>
      </c>
      <c r="R560" s="419">
        <f t="shared" si="689"/>
        <v>0.751</v>
      </c>
      <c r="S560" s="420">
        <f t="shared" si="690"/>
        <v>22416.971854677511</v>
      </c>
      <c r="T560" s="421">
        <f t="shared" si="691"/>
        <v>1.1200000000000001</v>
      </c>
      <c r="U560" s="422">
        <f t="shared" si="692"/>
        <v>13.929446779237683</v>
      </c>
      <c r="V560" s="423">
        <f t="shared" si="693"/>
        <v>67741.035622331299</v>
      </c>
      <c r="W560" s="424">
        <f t="shared" si="694"/>
        <v>6010.2953161679998</v>
      </c>
      <c r="X560" s="419">
        <f t="shared" si="695"/>
        <v>6.9000000000000006E-2</v>
      </c>
      <c r="Y560" s="420">
        <f t="shared" si="696"/>
        <v>1111.7406451528259</v>
      </c>
      <c r="Z560" s="425">
        <f t="shared" si="697"/>
        <v>13.929446779237683</v>
      </c>
      <c r="AA560" s="426">
        <f t="shared" si="698"/>
        <v>7122.0359613208257</v>
      </c>
      <c r="AB560" s="424">
        <f t="shared" si="699"/>
        <v>10567.299343730738</v>
      </c>
      <c r="AC560" s="427">
        <f t="shared" si="700"/>
        <v>0.122</v>
      </c>
      <c r="AD560" s="428" t="e">
        <f t="shared" si="701"/>
        <v>#VALUE!</v>
      </c>
      <c r="AE560" s="516" t="e">
        <f t="shared" si="702"/>
        <v>#VALUE!</v>
      </c>
      <c r="AF560" s="1130">
        <f t="shared" si="703"/>
        <v>0</v>
      </c>
      <c r="AG560" s="420">
        <f t="shared" si="704"/>
        <v>0</v>
      </c>
      <c r="AH560" s="420">
        <f t="shared" si="705"/>
        <v>0</v>
      </c>
      <c r="AI560" s="1097">
        <f t="shared" si="706"/>
        <v>0</v>
      </c>
      <c r="AJ560" s="420">
        <f t="shared" si="707"/>
        <v>0</v>
      </c>
      <c r="AK560" s="518">
        <f t="shared" si="708"/>
        <v>0</v>
      </c>
      <c r="AL560" s="429">
        <f>IF($P560="","N/A",(IF($P560=-1,INDEX('卡片raw data'!S:S,MATCH($D560,'卡片raw data'!$F:$F,)),0)+IF($P560=0,INDEX('卡片raw data'!V:V,MATCH($D560,'卡片raw data'!$F:$F,)),0)+IF($P560=1,INDEX('卡片raw data'!Y:Y,MATCH($D560,'卡片raw data'!$F:$F,)),0)+IF($P560=2,INDEX('卡片raw data'!AB:AB,MATCH($D560,'卡片raw data'!$F:$F,)),0)+IF($P560=3,INDEX('卡片raw data'!AE:AE,MATCH($D560,'卡片raw data'!$F:$F,)),0)+IF($P560=4,INDEX('卡片raw data'!AH:AH,MATCH($D560,'卡片raw data'!$F:$F,)),0)+IF($P560=5,INDEX('卡片raw data'!AK:AK,MATCH($D560,'卡片raw data'!$F:$F,)),0)+INDEX('卡片raw data'!S:S,MATCH($D560,'卡片raw data'!$F:$F,))*(IF($F560="UR",0.04,0.033))*(IF($F560="UR",INDEX(绊状态确认!$S:$S,MATCH($G560,绊状态确认!$B:$B,))/2-40)+IF($F560="SR",INDEX(绊状态确认!$R:$R,MATCH($G560,绊状态确认!$B:$B,))/4-15))+IF($F560="R",INDEX(绊状态确认!$Q:$Q,MATCH($G560,绊状态确认!$B:$B,))/6-40/6)))*(INDEX(绊状态确认!$H:$H,MATCH($G560,绊状态确认!$B:$B,))+INDEX(绊状态确认!J:J,MATCH($G560,绊状态确认!$B:$B,)))</f>
        <v>16513.528415999997</v>
      </c>
      <c r="AM560" s="429">
        <f>IF($P560="","N/A",(IF($P560=-1,INDEX('卡片raw data'!T:T,MATCH($D560,'卡片raw data'!$F:$F,)),0)+IF($P560=0,INDEX('卡片raw data'!W:W,MATCH($D560,'卡片raw data'!$F:$F,)),0)+IF($P560=1,INDEX('卡片raw data'!Z:Z,MATCH($D560,'卡片raw data'!$F:$F,)),0)+IF($P560=2,INDEX('卡片raw data'!AC:AC,MATCH($D560,'卡片raw data'!$F:$F,)),0)+IF($P560=3,INDEX('卡片raw data'!AF:AF,MATCH($D560,'卡片raw data'!$F:$F,)),0)+IF($P560=4,INDEX('卡片raw data'!AI:AI,MATCH($D560,'卡片raw data'!$F:$F,)),0)+IF($P560=5,INDEX('卡片raw data'!AL:AL,MATCH($D560,'卡片raw data'!$F:$F,)),0)+INDEX('卡片raw data'!T:T,MATCH($D560,'卡片raw data'!$F:$F,))*(IF($F560="UR",0.04,0.033))*(IF($F560="UR",INDEX(绊状态确认!$S:$S,MATCH($G560,绊状态确认!$B:$B,))/2-40)+IF($F560="SR",INDEX(绊状态确认!$R:$R,MATCH($G560,绊状态确认!$B:$B,))/4-15))+IF($F560="R",INDEX(绊状态确认!$Q:$Q,MATCH($G560,绊状态确认!$B:$B,))/6-40/6)))*(INDEX(绊状态确认!$H:$H,MATCH($G560,绊状态确认!$B:$B,))+INDEX(绊状态确认!K:K,MATCH($G560,绊状态确认!$B:$B,)))</f>
        <v>6912.6757439999992</v>
      </c>
      <c r="AN560" s="429">
        <f>IF($P560="","N/A",(IF($P560=-1,INDEX('卡片raw data'!U:U,MATCH($D560,'卡片raw data'!$F:$F,)),0)+IF($P560=0,INDEX('卡片raw data'!X:X,MATCH($D560,'卡片raw data'!$F:$F,)),0)+IF($P560=1,INDEX('卡片raw data'!AA:AA,MATCH($D560,'卡片raw data'!$F:$F,)),0)+IF($P560=2,INDEX('卡片raw data'!AD:AD,MATCH($D560,'卡片raw data'!$F:$F,)),0)+IF($P560=3,INDEX('卡片raw data'!AG:AG,MATCH($D560,'卡片raw data'!$F:$F,)),0)+IF($P560=4,INDEX('卡片raw data'!AJ:AJ,MATCH($D560,'卡片raw data'!$F:$F,)),0)+IF($P560=5,INDEX('卡片raw data'!AM:AM,MATCH($D560,'卡片raw data'!$F:$F,)),0)+INDEX('卡片raw data'!U:U,MATCH($D560,'卡片raw data'!$F:$F,))*(IF($F560="UR",0.04,0.033))*(IF($F560="UR",INDEX(绊状态确认!$S:$S,MATCH($G560,绊状态确认!$B:$B,))/2-40)+IF($F560="SR",INDEX(绊状态确认!$R:$R,MATCH($G560,绊状态确认!$B:$B,))/4-15))+IF($F560="R",INDEX(绊状态确认!$Q:$Q,MATCH($G560,绊状态确认!$B:$B,))/6-40/6)))*(INDEX(绊状态确认!$H:$H,MATCH($G560,绊状态确认!$B:$B,))+INDEX(绊状态确认!L:L,MATCH($G560,绊状态确认!$B:$B,)))</f>
        <v>14977.115615999999</v>
      </c>
      <c r="AO560" s="430">
        <f t="shared" si="709"/>
        <v>1</v>
      </c>
      <c r="AP560" s="556">
        <f>1+(INDEX(绊状态确认!$T:$T,MATCH($G560,绊状态确认!$B:$B,))+0.2)*$AO560</f>
        <v>1.3</v>
      </c>
      <c r="AQ560" s="431">
        <f t="shared" si="710"/>
        <v>46598.012091999997</v>
      </c>
      <c r="AR560" s="420">
        <f>(AM560*(1+$EX$9)+$EX$35)*(1+(INDEX(绊状态确认!$T:$T,MATCH($G560,绊状态确认!$B:$B,))+0.2)*AO560)*IF(J560=$FF$17,1+$FE$17,1)*IF(I560=$FF$14,1+$FE$14,1)</f>
        <v>12139.80239056</v>
      </c>
      <c r="AS560" s="420">
        <f>(AN560*(1+$EX$10)+$EX$36)*(1+(INDEX(绊状态确认!$T:$T,MATCH($G560,绊状态确认!$B:$B,))+0.2)*AO560)*IF(J560=$FF$17,1+$FE$17,1)*IF(I560=$FF$14,1+$FE$14,1)</f>
        <v>26446.787845919996</v>
      </c>
      <c r="AT560" s="412">
        <f>IF(AND(INDEX('卡片raw data'!AK:AK,MATCH($D560,'卡片raw data'!$F:$F,))&lt;INDEX('卡片raw data'!AM:AM,MATCH($D560,'卡片raw data'!$F:$F,)),INDEX('卡片raw data'!AL:AL,MATCH($D560,'卡片raw data'!$F:$F,))&lt;INDEX('卡片raw data'!AM:AM,MATCH($D560,'卡片raw data'!$F:$F,))),1,0)</f>
        <v>0</v>
      </c>
      <c r="AU560" s="421">
        <f>MIN(AT560*0.15+AS560*0.00003+INDEX(绊状态确认!M:M,MATCH($G560,绊状态确认!$B:$B,)),1)</f>
        <v>0.82340363537759997</v>
      </c>
      <c r="AV560" s="432">
        <f>(INDEX(绊状态确认!$N:$N,MATCH($G560,绊状态确认!$B:$B,))+1.5)*$EW$21</f>
        <v>2.6599999999999997</v>
      </c>
      <c r="AW560" s="424">
        <f t="shared" si="711"/>
        <v>57279.008957559432</v>
      </c>
      <c r="AX560" s="420">
        <f t="shared" si="712"/>
        <v>1039.7799823093005</v>
      </c>
      <c r="AY560" s="433">
        <f t="shared" si="713"/>
        <v>58318.788939868733</v>
      </c>
      <c r="AZ560" s="429">
        <f t="shared" si="714"/>
        <v>34801.380411199993</v>
      </c>
      <c r="BA560" s="431">
        <f t="shared" si="715"/>
        <v>41761.656493439987</v>
      </c>
      <c r="BB560" s="420">
        <f>(AM560*(1+$FB$9)+$FB$35)*(1+(INDEX(绊状态确认!$T:$T,MATCH($G560,绊状态确认!$B:$B,))+0.2)*AO560)*IF(J560=$FF$17,1+$FE$17,1)*IF(I560=$FF$14,1+$FE$14,1)*(1+$FE$15)</f>
        <v>12139.80239056</v>
      </c>
      <c r="BC560" s="420">
        <f>(AN560*(1+$FB$10)+$FB$36)*(1+(INDEX(绊状态确认!$T:$T,MATCH($G560,绊状态确认!$B:$B,))+0.2)*AO560)*IF(J560=$FF$17,1+$FE$17,1)*IF(I560=$FF$14,1+$FE$14,1)*(1+$FE$15)</f>
        <v>26446.787845919996</v>
      </c>
      <c r="BD560" s="427">
        <f>MIN(AT560*0.15+BC560*0.00003+INDEX(绊状态确认!M:M,MATCH($G560,绊状态确认!$B:$B,)),1)</f>
        <v>0.82340363537759997</v>
      </c>
      <c r="BE560" s="432">
        <f>(INDEX(绊状态确认!$N:$N,MATCH($G560,绊状态确认!$B:$B,))+1.5)</f>
        <v>1.9</v>
      </c>
      <c r="BF560" s="645">
        <f t="array" ref="BF560">SUMPRODUCT(IF(AZ560*AP560*$FI$16:$FI$23*$FA$22&gt;=$FI$24,$FI$24,AZ560*AP560*$FI$16:$FI$23*$FA$22),$FJ$16:$FJ$23)</f>
        <v>59310.44863364</v>
      </c>
      <c r="BG560" s="453">
        <f t="array" ref="BG560">SUMPRODUCT(IF(BE560*AZ560*AP560*$FI$16:$FI$23*$FA$22&gt;=$FI$24,$FI$24,BE560*AZ560*AP560*$FI$16:$FI$23*$FA$22),$FJ$16:$FJ$23)</f>
        <v>60000</v>
      </c>
      <c r="BH560" s="433">
        <f t="shared" si="716"/>
        <v>19959.409245160139</v>
      </c>
      <c r="BI560" s="434">
        <f>IF(O560="vo",$EW$26/$EW$24*0.05,0)+IF(O560="sk",-$EW$26/$EW$24*(0.05-INDEX(绊状态确认!W:W,MATCH($G560,绊状态确认!$B:$B,)))+0.05*$EW$28,0)+IF(O560="sp",0.05*$EW$32*$EW$30*(1-$EW$33)-(0.05-INDEX(绊状态确认!V:V,MATCH($G560,绊状态确认!$B:$B,)))*$EW$28,0)+IF(O560="gd",-(0.05-INDEX(绊状态确认!X:X,MATCH($G560,绊状态确认!$B:$B,)))*$EW$32*$EW$30*(1-$EW$33),0)</f>
        <v>-6253.6726349699375</v>
      </c>
      <c r="BJ560" s="420">
        <f>IF(O560="vo",0.05*(1-$FI$26)*$FA$24,0)+IF(O560="sk",-(0.05-INDEX(绊状态确认!W:W,MATCH($G560,绊状态确认!$B:$B,)))*(1-$FI$26)*$FA$24+0.05*$FA$26,0)+IF(O560="sp",0.05*$FA$32*$FA$27*(1-$FA$33)/$FA$30+0.05*$FA$29/$FA$69*$FA$27*(1-$FA$33)-(0.05-INDEX(绊状态确认!V:V,MATCH($G560,绊状态确认!$B:$B,)))*$FA$26,0)+IF(O560="gd",-(0.05-INDEX(绊状态确认!X:X,MATCH($G560,绊状态确认!$B:$B,)))*$FA$32*$FA$27*(1-$FA$33)/$FA$30-(0.05-INDEX(绊状态确认!X:X,MATCH($G560,绊状态确认!$B:$B,)))*$FA$29/$FA$69*$FA$27*(1-$FA$33),0)</f>
        <v>20.459096812499922</v>
      </c>
      <c r="BK560" s="433">
        <f>IF(O560="vo",$EW$26/$EW$24*0.05+$EW$26*(-HP($EW$62,$EW$65,$EW$64)+HP($EW$62,$EW$65,(1.05-INDEX(绊状态确认!U:U,MATCH($G560,绊状态确认!$B:$B,)))*$EW$64)),0)+IF(O560="sk",-$EW$26/$EW$24*(0.05-INDEX(绊状态确认!W:W,MATCH($G560,绊状态确认!$B:$B,)))+0.05*$EW$29,0)+IF(O560="sp",0.05*$EW$32*$EW$30*(1-$EW$33)-(0.05-INDEX(绊状态确认!V:V,MATCH($G560,绊状态确认!$B:$B,)))*$EW$29,0)+IF(O560="gd",-(0.05-INDEX(绊状态确认!X:X,MATCH($G560,绊状态确认!$B:$B,)))*$EW$32*$EW$30*(1-$EW$33)+$EW$26*(-HP($EW$62,$EW$65,$EW$64)+HP($EW$62,$EW$65,0.95*$EW$64)),0)</f>
        <v>-4253.6726349699375</v>
      </c>
      <c r="BL560" s="434">
        <f t="shared" si="717"/>
        <v>0</v>
      </c>
      <c r="BM560" s="433">
        <f t="shared" si="718"/>
        <v>0</v>
      </c>
      <c r="BN560" s="437">
        <f t="shared" si="719"/>
        <v>4</v>
      </c>
      <c r="BO560" s="1108">
        <f t="shared" si="720"/>
        <v>6010.2953161679998</v>
      </c>
      <c r="BP560" s="1127">
        <f t="shared" si="721"/>
        <v>295.12137612040135</v>
      </c>
      <c r="BQ560" s="1113" t="s">
        <v>132</v>
      </c>
      <c r="BR560" s="1124" t="s">
        <v>166</v>
      </c>
      <c r="BS560" s="421">
        <f>IF($P560="","N/A",IF($P560=-1,INDEX('卡片raw data'!AX:AX,MATCH($D560,'卡片raw data'!$F:$F,)),0)+IF($L560="party卡",IF($P560=5,INDEX('卡片raw data'!BD:BD,MATCH($D560,'卡片raw data'!$F:$F,)),IF($P560&gt;=3,INDEX('卡片raw data'!BC:BC,MATCH($D560,'卡片raw data'!$F:$F,)),INDEX('卡片raw data'!BB:BB,MATCH($D560,'卡片raw data'!$F:$F,)))),IF(OR(AND($F560="UR",$P560=0),AND($F560="SR",$P560&gt;=0,$P560&lt;=2),AND($F560="R",$P560&gt;=0,$P560&lt;4)),INDEX('卡片raw data'!AZ:AZ,MATCH($D560,'卡片raw data'!$F:$F,)),0)+IF(OR(AND($F560="UR",$P560&gt;=1,$P560&lt;=4),AND($F560="SR",$P560&lt;=4,$P560&gt;=3),AND($F560="R",$P560=4)),INDEX('卡片raw data'!BA:BA,MATCH($D560,'卡片raw data'!$F:$F,)),0)+IF($P560=5,INDEX('卡片raw data'!BB:BB,MATCH($D560,'卡片raw data'!$F:$F,)),0)))</f>
        <v>0.18</v>
      </c>
      <c r="BT560" s="424">
        <f t="shared" si="722"/>
        <v>4557.0040275627389</v>
      </c>
      <c r="BU560" s="420">
        <f t="shared" si="723"/>
        <v>75.698896602045494</v>
      </c>
      <c r="BV560" s="420">
        <f t="shared" si="724"/>
        <v>0</v>
      </c>
      <c r="BW560" s="436">
        <f t="shared" si="725"/>
        <v>0</v>
      </c>
      <c r="BX560" s="423">
        <f t="shared" si="726"/>
        <v>4557.0040275627389</v>
      </c>
      <c r="BY560" s="433">
        <f t="shared" si="727"/>
        <v>0</v>
      </c>
      <c r="BZ560" s="1113" t="s">
        <v>133</v>
      </c>
      <c r="CA560" s="450" t="s">
        <v>166</v>
      </c>
      <c r="CB560" s="421">
        <f>IF($P560="","N/A",IF($P560=-1,INDEX('卡片raw data'!BE:BE,MATCH($D560,'卡片raw data'!$F:$F,)),0)+IF($L560="party卡",IF($P560=5,INDEX('卡片raw data'!BK:BK,MATCH($D560,'卡片raw data'!$F:$F,)),IF($P560&gt;=3,INDEX('卡片raw data'!BJ:BJ,MATCH($D560,'卡片raw data'!$F:$F,)),INDEX('卡片raw data'!BI:BI,MATCH($D560,'卡片raw data'!$F:$F,)))),IF(OR(AND($F560="UR",$P560=0),AND($F560="SR",$P560&gt;=0,$P560&lt;=2),AND($F560="R",$P560&gt;=0,$P560&lt;4)),INDEX('卡片raw data'!BG:BG,MATCH($D560,'卡片raw data'!$F:$F,)),0)+IF(OR(AND($F560="UR",$P560&gt;=1,$P560&lt;=4),AND($F560="SR",$P560&lt;=4,$P560&gt;=3),AND($F560="R",$P560=4)),INDEX('卡片raw data'!BH:BH,MATCH($D560,'卡片raw data'!$F:$F,)),0)+IF($P560=5,INDEX('卡片raw data'!BI:BI,MATCH($D560,'卡片raw data'!$F:$F,)),0)))</f>
        <v>0.09</v>
      </c>
      <c r="CC560" s="424">
        <f>IF(BZ560="ap",CB560*$EX$5/$EX$11*(+IF(CA560="全员",$EW$26,0)+IF(CA560="同作战",$EW$26,0)+IF(CA560="仲间",$EW$26*2/3,0)+IF(CA560="同属性",$EW$26*$EW$37/3,0)+IF(CA560="同年级",$EW$26*$EW$40/3,0)+IF(CA560="同学校",$EW$26*$EW$43/3,0)+IF(CA560="同小队",$EW$26*$EW$46/3,0)+IF(CA560="同type",$EW$26*INDEX($EX$49:$EX$52,MATCH(X560,$EW$49:$EW$52,))/3,0)+IF(CA560="自身",$AW560,0)),0)+IF(BZ560="te",CB560*($EW$22-1)*0.00003*$EX$7/$EX$13*(+IF(CA560="全员",$EX$18*$EW$26/(1+($EW$22-1)*$EW$19),0)+IF(CA560="同作战",$EX$18*$EW$26/(1+($EW$22-1)*$EW$19),0)+IF(CA560="仲间",$EX$18*$EW$26/(1+($EW$22-1)*$EW$19)*2/3,0)+IF(CA560="同属性",$EX$18*$EW$26/(1+($EW$22-1)*$EW$19)*$EW$37/3,0)+IF(CA560="同年级",$EX$18*$EW$26/(1+($EW$22-1)*$EW$19)*$EW$40/3,0)+IF(CA560="同学校",$EX$18*$EW$26/(1+($EW$22-1)*$EW$19)*$EW$43/3,0)+IF(CA560="同小队",$EX$18*$EW$26/(1+($EW$22-1)*$EW$19)*$EW$46/3,0)+IF(CA560="同type",$EX$18*$EW$26/(1+($EW$22-1)*$EW$19)*INDEX($EX$49:$EX$52,MATCH(X560,$EW$49:$EW$52,))/3,0)+IF(CA560="自身",$AS560*$AW560/(1+(BE560-1)*$AU560),0)),0)</f>
        <v>0</v>
      </c>
      <c r="CD560" s="420">
        <f>IF(BZ560="ap",CB560*(1-$FI$26)*$FB$5/$FB$11*(+IF(CA560="全员",$FA$24,0)+IF(CA560="同作战",$FA$24,0)+IF(CA560="仲间",$FA$24*2/3,0)+IF(CA560="同属性",$FA$24*$FA$37/3,0)+IF(CA560="同年级",$FA$24*$FA$40/3,0)+IF(CA560="同学校",$FA$24*$FA$43/3,0)+IF(CA560="同小队",$FA$24*$FA$46/3,0)+IF(CA560="同type",$FA$24*INDEX($FB$49:$FB$52,MATCH(X560,$FA$49:$FA$52,))/3,0)+IF(CA560="自身",BQ560/3,0)),0)+IF(BZ560="te",CB560*(1-$FI$27)*($FA$20-1)*$FB$7/$FB$13*(+IF(CA560="全员",$FA$19*$FA$24/(1+($FA$20-1)*$FA$19),0)+IF(CA560="同作战",$FA$19*$FA$24/(1+($FA$20-1)*$FA$19),0)+IF(CA560="仲间",$FA$19*$FA$24*2/3/(1+($FA$20-1)*$FA$19),0)+IF(CA560="同属性",$FA$19*$FA$24*$FA$37/3/(1+($FA$20-1)*$FA$19),0)+IF(CA560="同年级",$FA$19*$FA$24*$FA$40/3/(1+($FA$20-1)*$FA$19),0)+IF(CA560="同学校",$FA$19*$FA$24*$FA$43/3/(1+($FA$20-1)*$FA$19),0)+IF(CA560="同小队",$FA$19*$FA$24*$FA$46/3/(1+($FA$20-1)*$FA$19),0)+IF(CA560="同type",$FA$19*$FA$24*INDEX($FB$49:$FB$52,MATCH(X560,$FA$49:$FA$52,))/3/(1+($FA$20-1)*$FA$19),0)+IF(CA560="自身",$FA$19*BQ560/3/(1+(BE560-1)*$BD560),0)),0)</f>
        <v>0</v>
      </c>
      <c r="CE560" s="420">
        <f t="shared" si="729"/>
        <v>0</v>
      </c>
      <c r="CF560" s="436">
        <f>IF(BZ560="st",CB560*$EX$6/$EX$12*(+IF(CA560="全员",$EX$17*9,0)+IF(CA560="仲间",$EX$17*8,0)+IF(CA560="同作战",$EX$17*3,0)+IF(CA560="同属性",$EX$17*$EW$39,0)+IF(CA560="同年级",$EX$17*$EW$42,0)+IF(CA560="同学校",$EX$17*$EW$45,0)+IF(CA560="同小队",$EX$17*$EW$48,0)+IF(CA560="同type",$EX$17*INDEX($EX$57:$EX$60,MATCH(X560,$EW$57:$EW$60,)),0)+IF(CA560="自身",$AR560)),0)/$EW$65*$EW$78</f>
        <v>0.9225156464948272</v>
      </c>
      <c r="CG560" s="423">
        <f t="shared" si="731"/>
        <v>71.960662843525057</v>
      </c>
      <c r="CH560" s="433">
        <f t="shared" si="732"/>
        <v>71.960662843525057</v>
      </c>
      <c r="CI560" s="1113" t="s">
        <v>162</v>
      </c>
      <c r="CJ560" s="1114">
        <v>1</v>
      </c>
      <c r="CK560" s="1115" t="s">
        <v>295</v>
      </c>
      <c r="CL560" s="1115" t="s">
        <v>2667</v>
      </c>
      <c r="CM560" s="1119">
        <v>0.22</v>
      </c>
      <c r="CN560" s="1115" t="s">
        <v>1948</v>
      </c>
      <c r="CO560" s="1115"/>
      <c r="CP560" s="1118">
        <f t="shared" si="733"/>
        <v>3.9285714285714285E-2</v>
      </c>
      <c r="CQ560" s="1118">
        <f t="shared" si="734"/>
        <v>3.666666666666666E-2</v>
      </c>
      <c r="CR560" s="1118">
        <f t="shared" si="735"/>
        <v>0</v>
      </c>
      <c r="CS560" s="442" t="e">
        <f t="shared" si="782"/>
        <v>#VALUE!</v>
      </c>
      <c r="CT560" s="432">
        <f t="shared" si="783"/>
        <v>0</v>
      </c>
      <c r="CU560" s="1101">
        <f t="shared" si="738"/>
        <v>0</v>
      </c>
      <c r="CV560" s="1108">
        <f t="shared" si="777"/>
        <v>0</v>
      </c>
      <c r="CW560" s="420">
        <f t="shared" si="739"/>
        <v>0</v>
      </c>
      <c r="CX560" s="420">
        <f t="shared" si="740"/>
        <v>0</v>
      </c>
      <c r="CY560" s="433">
        <f t="shared" si="741"/>
        <v>0</v>
      </c>
      <c r="CZ560" s="437"/>
      <c r="DA560" s="438"/>
      <c r="DB560" s="439" t="s">
        <v>569</v>
      </c>
      <c r="DC560" s="439"/>
      <c r="DD560" s="443"/>
      <c r="DE560" s="411"/>
      <c r="DF560" s="411"/>
      <c r="DG560" s="1116">
        <f t="shared" si="742"/>
        <v>0</v>
      </c>
      <c r="DH560" s="1116">
        <f t="shared" si="743"/>
        <v>0</v>
      </c>
      <c r="DI560" s="1116">
        <f t="shared" si="744"/>
        <v>0</v>
      </c>
      <c r="DJ560" s="442">
        <f t="shared" si="784"/>
        <v>0</v>
      </c>
      <c r="DK560" s="432">
        <f t="shared" si="785"/>
        <v>0</v>
      </c>
      <c r="DL560" s="424">
        <f t="shared" si="747"/>
        <v>0</v>
      </c>
      <c r="DM560" s="420">
        <f t="shared" si="748"/>
        <v>0</v>
      </c>
      <c r="DN560" s="420">
        <f t="shared" si="749"/>
        <v>0</v>
      </c>
      <c r="DO560" s="420">
        <f t="shared" si="750"/>
        <v>0</v>
      </c>
      <c r="DP560" s="433">
        <f t="shared" si="751"/>
        <v>0</v>
      </c>
      <c r="DQ560" s="1113" t="s">
        <v>545</v>
      </c>
      <c r="DR560" s="1114">
        <v>0.11</v>
      </c>
      <c r="DS560" s="1124"/>
      <c r="DT560" s="1093" t="s">
        <v>132</v>
      </c>
      <c r="DU560" s="1124"/>
      <c r="DV560" s="1098">
        <f>IF($P560="","N/A",IF(P560=-1,INDEX('卡片raw data'!AN:AN,MATCH(D560,'卡片raw data'!$F:$F,)),0)+IF(AND(L560&lt;&gt;"party卡",P560&lt;=2,P560&gt;=0),INDEX('卡片raw data'!AP:AP,MATCH(D560,'卡片raw data'!$F:$F,)),0)+IF(OR(AND(L560="party卡",P560&lt;=1),AND(P560&lt;=4,L560&lt;&gt;"party卡",P560&gt;=3)),INDEX('卡片raw data'!AQ:AQ,MATCH(D560,'卡片raw data'!$F:$F,)),0)+IF(OR(P560=5,AND(L560="party卡",P560&gt;=2)),INDEX('卡片raw data'!AR:AR,MATCH(D560,'卡片raw data'!$F:$F,)),0))</f>
        <v>0.6</v>
      </c>
      <c r="DW560" s="1098">
        <f t="shared" si="752"/>
        <v>0.22785714285714287</v>
      </c>
      <c r="DX560" s="1098">
        <f t="shared" si="753"/>
        <v>0.21999999999999997</v>
      </c>
      <c r="DY560" s="1097">
        <f t="shared" si="754"/>
        <v>2760.5993735074858</v>
      </c>
      <c r="DZ560" s="1097">
        <f t="shared" si="755"/>
        <v>2066.2832399824238</v>
      </c>
      <c r="EA560" s="421">
        <f t="shared" si="756"/>
        <v>0</v>
      </c>
      <c r="EB560" s="445">
        <f t="shared" si="757"/>
        <v>0</v>
      </c>
      <c r="EC560" s="424">
        <f t="shared" si="758"/>
        <v>3036.6593108582347</v>
      </c>
      <c r="ED560" s="420">
        <f t="shared" si="759"/>
        <v>2066.2832399824238</v>
      </c>
      <c r="EE560" s="433">
        <f t="shared" si="775"/>
        <v>3036.6593108582347</v>
      </c>
      <c r="EF560" s="1113" t="s">
        <v>569</v>
      </c>
      <c r="EG560" s="1114">
        <v>0.11</v>
      </c>
      <c r="EH560" s="450"/>
      <c r="EI560" s="1124"/>
      <c r="EJ560" s="1124"/>
      <c r="EK560" s="1097">
        <f>IF($P560="","N/A",IF(P560=-1,INDEX('卡片raw data'!AS:AS,MATCH(D560,'卡片raw data'!$F:$F,)),0)+IF(AND(L560&lt;&gt;"party卡",P560&lt;=2,P560&gt;=0),INDEX('卡片raw data'!AU:AU,MATCH(D560,'卡片raw data'!$F:$F,)),0)+IF(OR(AND(L560="party卡",P560&lt;=1),AND(P560&lt;=4,L560&lt;&gt;"party卡",P560&gt;=3)),INDEX('卡片raw data'!AV:AV,MATCH(D560,'卡片raw data'!$F:$F,)),0)+IF(OR(P560=5,AND(L560="party卡",P560&gt;=2)),INDEX('卡片raw data'!AW:AW,MATCH(D560,'卡片raw data'!$F:$F,)),0))</f>
        <v>0</v>
      </c>
      <c r="EL560" s="1098">
        <f t="shared" si="760"/>
        <v>0.22785714285714287</v>
      </c>
      <c r="EM560" s="1098">
        <f t="shared" si="761"/>
        <v>0.21999999999999997</v>
      </c>
      <c r="EN560" s="1097">
        <f t="shared" si="762"/>
        <v>0</v>
      </c>
      <c r="EO560" s="1097">
        <f t="shared" si="763"/>
        <v>0</v>
      </c>
      <c r="EP560" s="421">
        <f t="shared" si="764"/>
        <v>0</v>
      </c>
      <c r="EQ560" s="445">
        <f t="shared" si="765"/>
        <v>0</v>
      </c>
      <c r="ER560" s="424">
        <f t="shared" si="766"/>
        <v>0</v>
      </c>
      <c r="ES560" s="420">
        <f t="shared" si="767"/>
        <v>0</v>
      </c>
      <c r="ET560" s="446">
        <f t="shared" si="776"/>
        <v>0</v>
      </c>
    </row>
    <row r="561" spans="2:150" ht="16.5" customHeight="1">
      <c r="B561" s="1123" t="str">
        <f>INDEX('卡片raw data'!B:B,MATCH($D561,'卡片raw data'!$F:$F,))</f>
        <v>四专珠</v>
      </c>
      <c r="C561" s="449" t="s">
        <v>2067</v>
      </c>
      <c r="D561" s="408">
        <v>558</v>
      </c>
      <c r="E561" s="477">
        <v>302122001</v>
      </c>
      <c r="F561" s="409" t="str">
        <f>INDEX('卡片raw data'!C:C,MATCH($D561,'卡片raw data'!$F:$F,))</f>
        <v>SR</v>
      </c>
      <c r="G561" s="1094" t="s">
        <v>4603</v>
      </c>
      <c r="H561" s="411">
        <f>IFERROR(INDEX(绊状态确认!C:C,MATCH($G561,绊状态确认!$B:$B,)),"")</f>
        <v>212</v>
      </c>
      <c r="I561" s="1124" t="str">
        <f>IFERROR(INDEX(绊状态确认!D:D,MATCH($G561,绊状态确认!$B:$B,)),"")</f>
        <v>虹</v>
      </c>
      <c r="J561" s="1124" t="str">
        <f>IFERROR(INDEX(绊状态确认!E:E,MATCH($G561,绊状态确认!$B:$B,)),"")</f>
        <v>2年级</v>
      </c>
      <c r="K561" s="451" t="str">
        <f>IFERROR(INDEX(绊状态确认!F:F,MATCH($G561,绊状态确认!$B:$B,)),"")</f>
        <v>R3BIRTH</v>
      </c>
      <c r="L561" s="414" t="str">
        <f>INDEX('卡片raw data'!E:E,MATCH($D561,'卡片raw data'!$F:$F,))</f>
        <v>卡池卡</v>
      </c>
      <c r="M561" s="478">
        <v>44483</v>
      </c>
      <c r="N561" s="479">
        <v>49.5</v>
      </c>
      <c r="O561" s="410" t="str">
        <f>INDEX('卡片raw data'!D:D,MATCH($D561,'卡片raw data'!$F:$F,))</f>
        <v>sk</v>
      </c>
      <c r="P561" s="1126">
        <v>5</v>
      </c>
      <c r="Q561" s="418">
        <f t="shared" si="688"/>
        <v>21155.162510439626</v>
      </c>
      <c r="R561" s="419">
        <f t="shared" si="689"/>
        <v>0.245</v>
      </c>
      <c r="S561" s="420">
        <f t="shared" si="690"/>
        <v>15831.243420970382</v>
      </c>
      <c r="T561" s="421">
        <f t="shared" si="691"/>
        <v>0.79100000000000004</v>
      </c>
      <c r="U561" s="422">
        <f t="shared" si="692"/>
        <v>508.23034681323008</v>
      </c>
      <c r="V561" s="423">
        <f t="shared" si="693"/>
        <v>72320.009133622138</v>
      </c>
      <c r="W561" s="424">
        <f t="shared" si="694"/>
        <v>4507.7214871259994</v>
      </c>
      <c r="X561" s="419">
        <f t="shared" si="695"/>
        <v>5.1999999999999998E-2</v>
      </c>
      <c r="Y561" s="420">
        <f t="shared" si="696"/>
        <v>729.81553355875712</v>
      </c>
      <c r="Z561" s="425">
        <f t="shared" si="697"/>
        <v>9.2008409035379461</v>
      </c>
      <c r="AA561" s="426">
        <f t="shared" si="698"/>
        <v>5237.5370206847565</v>
      </c>
      <c r="AB561" s="424">
        <f t="shared" si="699"/>
        <v>5099.4945650477348</v>
      </c>
      <c r="AC561" s="427">
        <f t="shared" si="700"/>
        <v>5.8999999999999997E-2</v>
      </c>
      <c r="AD561" s="428">
        <f t="shared" si="701"/>
        <v>1.8994224431818179E-2</v>
      </c>
      <c r="AE561" s="516">
        <f t="shared" si="702"/>
        <v>4.3537577047458456</v>
      </c>
      <c r="AF561" s="1130">
        <f t="shared" si="703"/>
        <v>6653.7267454625617</v>
      </c>
      <c r="AG561" s="420">
        <f t="shared" si="704"/>
        <v>107845.02349003125</v>
      </c>
      <c r="AH561" s="420">
        <f t="shared" si="705"/>
        <v>16.208213474287177</v>
      </c>
      <c r="AI561" s="1097">
        <f t="shared" si="706"/>
        <v>96805.199691110858</v>
      </c>
      <c r="AJ561" s="420">
        <f t="shared" si="707"/>
        <v>72320.009133622138</v>
      </c>
      <c r="AK561" s="518">
        <f t="shared" si="708"/>
        <v>24485.190557488721</v>
      </c>
      <c r="AL561" s="1106">
        <f>IF($P561="","N/A",(IF($P561=-1,INDEX('卡片raw data'!S:S,MATCH($D561,'卡片raw data'!$F:$F,)),0)+IF($P561=0,INDEX('卡片raw data'!V:V,MATCH($D561,'卡片raw data'!$F:$F,)),0)+IF($P561=1,INDEX('卡片raw data'!Y:Y,MATCH($D561,'卡片raw data'!$F:$F,)),0)+IF($P561=2,INDEX('卡片raw data'!AB:AB,MATCH($D561,'卡片raw data'!$F:$F,)),0)+IF($P561=3,INDEX('卡片raw data'!AE:AE,MATCH($D561,'卡片raw data'!$F:$F,)),0)+IF($P561=4,INDEX('卡片raw data'!AH:AH,MATCH($D561,'卡片raw data'!$F:$F,)),0)+IF($P561=5,INDEX('卡片raw data'!AK:AK,MATCH($D561,'卡片raw data'!$F:$F,)),0)+INDEX('卡片raw data'!S:S,MATCH($D561,'卡片raw data'!$F:$F,))*(IF($F561="UR",0.04,0.033))*(IF($F561="UR",INDEX(绊状态确认!$S:$S,MATCH($G561,绊状态确认!$B:$B,))/2-40)+IF($F561="SR",INDEX(绊状态确认!$R:$R,MATCH($G561,绊状态确认!$B:$B,))/4-15))+IF($F561="R",INDEX(绊状态确认!$Q:$Q,MATCH($G561,绊状态确认!$B:$B,))/6-40/6)))*(INDEX(绊状态确认!$H:$H,MATCH($G561,绊状态确认!$B:$B,))+INDEX(绊状态确认!J:J,MATCH($G561,绊状态确认!$B:$B,)))</f>
        <v>7254.9445499999993</v>
      </c>
      <c r="AM561" s="1106">
        <f>IF($P561="","N/A",(IF($P561=-1,INDEX('卡片raw data'!T:T,MATCH($D561,'卡片raw data'!$F:$F,)),0)+IF($P561=0,INDEX('卡片raw data'!W:W,MATCH($D561,'卡片raw data'!$F:$F,)),0)+IF($P561=1,INDEX('卡片raw data'!Z:Z,MATCH($D561,'卡片raw data'!$F:$F,)),0)+IF($P561=2,INDEX('卡片raw data'!AC:AC,MATCH($D561,'卡片raw data'!$F:$F,)),0)+IF($P561=3,INDEX('卡片raw data'!AF:AF,MATCH($D561,'卡片raw data'!$F:$F,)),0)+IF($P561=4,INDEX('卡片raw data'!AI:AI,MATCH($D561,'卡片raw data'!$F:$F,)),0)+IF($P561=5,INDEX('卡片raw data'!AL:AL,MATCH($D561,'卡片raw data'!$F:$F,)),0)+INDEX('卡片raw data'!T:T,MATCH($D561,'卡片raw data'!$F:$F,))*(IF($F561="UR",0.04,0.033))*(IF($F561="UR",INDEX(绊状态确认!$S:$S,MATCH($G561,绊状态确认!$B:$B,))/2-40)+IF($F561="SR",INDEX(绊状态确认!$R:$R,MATCH($G561,绊状态确认!$B:$B,))/4-15))+IF($F561="R",INDEX(绊状态确认!$Q:$Q,MATCH($G561,绊状态确认!$B:$B,))/6-40/6)))*(INDEX(绊状态确认!$H:$H,MATCH($G561,绊状态确认!$B:$B,))+INDEX(绊状态确认!K:K,MATCH($G561,绊状态确认!$B:$B,)))</f>
        <v>4433.577225</v>
      </c>
      <c r="AN561" s="1106">
        <f>IF($P561="","N/A",(IF($P561=-1,INDEX('卡片raw data'!U:U,MATCH($D561,'卡片raw data'!$F:$F,)),0)+IF($P561=0,INDEX('卡片raw data'!X:X,MATCH($D561,'卡片raw data'!$F:$F,)),0)+IF($P561=1,INDEX('卡片raw data'!AA:AA,MATCH($D561,'卡片raw data'!$F:$F,)),0)+IF($P561=2,INDEX('卡片raw data'!AD:AD,MATCH($D561,'卡片raw data'!$F:$F,)),0)+IF($P561=3,INDEX('卡片raw data'!AG:AG,MATCH($D561,'卡片raw data'!$F:$F,)),0)+IF($P561=4,INDEX('卡片raw data'!AJ:AJ,MATCH($D561,'卡片raw data'!$F:$F,)),0)+IF($P561=5,INDEX('卡片raw data'!AM:AM,MATCH($D561,'卡片raw data'!$F:$F,)),0)+INDEX('卡片raw data'!U:U,MATCH($D561,'卡片raw data'!$F:$F,))*(IF($F561="UR",0.04,0.033))*(IF($F561="UR",INDEX(绊状态确认!$S:$S,MATCH($G561,绊状态确认!$B:$B,))/2-40)+IF($F561="SR",INDEX(绊状态确认!$R:$R,MATCH($G561,绊状态确认!$B:$B,))/4-15))+IF($F561="R",INDEX(绊状态确认!$Q:$Q,MATCH($G561,绊状态确认!$B:$B,))/6-40/6)))*(INDEX(绊状态确认!$H:$H,MATCH($G561,绊状态确认!$B:$B,))+INDEX(绊状态确认!L:L,MATCH($G561,绊状态确认!$B:$B,)))</f>
        <v>8464.1019749999996</v>
      </c>
      <c r="AO561" s="1107">
        <f t="shared" si="709"/>
        <v>1</v>
      </c>
      <c r="AP561" s="1131">
        <f>1+(INDEX(绊状态确认!$T:$T,MATCH($G561,绊状态确认!$B:$B,))+0.2)*$AO561</f>
        <v>1.2749999999999999</v>
      </c>
      <c r="AQ561" s="1108">
        <f t="shared" si="710"/>
        <v>22294.229443750002</v>
      </c>
      <c r="AR561" s="1097">
        <f>(AM561*(1+$EX$9)+$EX$35)*(1+(INDEX(绊状态确认!$T:$T,MATCH($G561,绊状态确认!$B:$B,))+0.2)*AO561)*IF(J561=$FF$17,1+$FE$17,1)*IF(I561=$FF$14,1+$FE$14,1)</f>
        <v>8587.4515099687505</v>
      </c>
      <c r="AS561" s="1097">
        <f>(AN561*(1+$EX$10)+$EX$36)*(1+(INDEX(绊状态确认!$T:$T,MATCH($G561,绊状态确认!$B:$B,))+0.2)*AO561)*IF(J561=$FF$17,1+$FE$17,1)*IF(I561=$FF$14,1+$FE$14,1)</f>
        <v>16388.489520843748</v>
      </c>
      <c r="AT561" s="1093">
        <f>IF(AND(INDEX('卡片raw data'!AK:AK,MATCH($D561,'卡片raw data'!$F:$F,))&lt;INDEX('卡片raw data'!AM:AM,MATCH($D561,'卡片raw data'!$F:$F,)),INDEX('卡片raw data'!AL:AL,MATCH($D561,'卡片raw data'!$F:$F,))&lt;INDEX('卡片raw data'!AM:AM,MATCH($D561,'卡片raw data'!$F:$F,))),1,0)</f>
        <v>1</v>
      </c>
      <c r="AU561" s="1098">
        <f>MIN(AT561*0.15+AS561*0.00003+INDEX(绊状态确认!M:M,MATCH($G561,绊状态确认!$B:$B,)),1)</f>
        <v>0.66665468562531249</v>
      </c>
      <c r="AV561" s="1109">
        <f>(INDEX(绊状态确认!$N:$N,MATCH($G561,绊状态确认!$B:$B,))+1.5)*$EW$21</f>
        <v>2.59</v>
      </c>
      <c r="AW561" s="1101">
        <f t="shared" si="711"/>
        <v>23392.673913695162</v>
      </c>
      <c r="AX561" s="1097">
        <f t="shared" si="712"/>
        <v>729.81553355875678</v>
      </c>
      <c r="AY561" s="1110">
        <f t="shared" si="713"/>
        <v>24122.48944725392</v>
      </c>
      <c r="AZ561" s="429">
        <f t="shared" si="714"/>
        <v>16747.141872499997</v>
      </c>
      <c r="BA561" s="431">
        <f t="shared" si="715"/>
        <v>20096.570246999996</v>
      </c>
      <c r="BB561" s="1097">
        <f>(AM561*(1+$FB$9)+$FB$35)*(1+(INDEX(绊状态确认!$T:$T,MATCH($G561,绊状态确认!$B:$B,))+0.2)*AO561)*IF(J561=$FF$17,1+$FE$17,1)*IF(I561=$FF$14,1+$FE$14,1)*(1+$FE$15)</f>
        <v>8587.4515099687505</v>
      </c>
      <c r="BC561" s="1097">
        <f>(AN561*(1+$FB$10)+$FB$36)*(1+(INDEX(绊状态确认!$T:$T,MATCH($G561,绊状态确认!$B:$B,))+0.2)*AO561)*IF(J561=$FF$17,1+$FE$17,1)*IF(I561=$FF$14,1+$FE$14,1)*(1+$FE$15)</f>
        <v>16388.489520843748</v>
      </c>
      <c r="BD561" s="1104">
        <f>MIN(AT561*0.15+BC561*0.00003+INDEX(绊状态确认!M:M,MATCH($G561,绊状态确认!$B:$B,)),1)</f>
        <v>0.66665468562531249</v>
      </c>
      <c r="BE561" s="432">
        <f>(INDEX(绊状态确认!$N:$N,MATCH($G561,绊状态确认!$B:$B,))+1.5)</f>
        <v>1.85</v>
      </c>
      <c r="BF561" s="1139">
        <f t="array" ref="BF561">SUMPRODUCT(IF(AZ561*AP561*$FI$16:$FI$23*$FA$22&gt;=$FI$24,$FI$24,AZ561*AP561*$FI$16:$FI$23*$FA$22),$FJ$16:$FJ$23)</f>
        <v>32669.487007779368</v>
      </c>
      <c r="BG561" s="1125">
        <f t="array" ref="BG561">SUMPRODUCT(IF(BE561*AZ561*AP561*$FI$16:$FI$23*$FA$22&gt;=$FI$24,$FI$24,BE561*AZ561*AP561*$FI$16:$FI$23*$FA$22),$FJ$16:$FJ$23)</f>
        <v>56786.92634016028</v>
      </c>
      <c r="BH561" s="1110">
        <f t="shared" si="716"/>
        <v>16249.163647998437</v>
      </c>
      <c r="BI561" s="1111">
        <f>IF(O561="vo",$EW$26/$EW$24*0.05,0)+IF(O561="sk",-$EW$26/$EW$24*(0.05-INDEX(绊状态确认!W:W,MATCH($G561,绊状态确认!$B:$B,)))+0.05*$EW$28,0)+IF(O561="sp",0.05*$EW$32*$EW$30*(1-$EW$33)-(0.05-INDEX(绊状态确认!V:V,MATCH($G561,绊状态确认!$B:$B,)))*$EW$28,0)+IF(O561="gd",-(0.05-INDEX(绊状态确认!X:X,MATCH($G561,绊状态确认!$B:$B,)))*$EW$32*$EW$30*(1-$EW$33),0)</f>
        <v>-6253.6726349699375</v>
      </c>
      <c r="BJ561" s="420">
        <f>IF(O561="vo",0.05*(1-$FI$26)*$FA$24,0)+IF(O561="sk",-(0.05-INDEX(绊状态确认!W:W,MATCH($G561,绊状态确认!$B:$B,)))*(1-$FI$26)*$FA$24+0.05*$FA$26,0)+IF(O561="sp",0.05*$FA$32*$FA$27*(1-$FA$33)/$FA$30+0.05*$FA$29/$FA$69*$FA$27*(1-$FA$33)-(0.05-INDEX(绊状态确认!V:V,MATCH($G561,绊状态确认!$B:$B,)))*$FA$26,0)+IF(O561="gd",-(0.05-INDEX(绊状态确认!X:X,MATCH($G561,绊状态确认!$B:$B,)))*$FA$32*$FA$27*(1-$FA$33)/$FA$30-(0.05-INDEX(绊状态确认!X:X,MATCH($G561,绊状态确认!$B:$B,)))*$FA$29/$FA$69*$FA$27*(1-$FA$33),0)</f>
        <v>20.459096812499922</v>
      </c>
      <c r="BK561" s="1110">
        <f>IF(O561="vo",$EW$26/$EW$24*0.05+$EW$26*(-HP($EW$62,$EW$65,$EW$64)+HP($EW$62,$EW$65,(1.05-INDEX(绊状态确认!U:U,MATCH($G561,绊状态确认!$B:$B,)))*$EW$64)),0)+IF(O561="sk",-$EW$26/$EW$24*(0.05-INDEX(绊状态确认!W:W,MATCH($G561,绊状态确认!$B:$B,)))+0.05*$EW$29,0)+IF(O561="sp",0.05*$EW$32*$EW$30*(1-$EW$33)-(0.05-INDEX(绊状态确认!V:V,MATCH($G561,绊状态确认!$B:$B,)))*$EW$29,0)+IF(O561="gd",-(0.05-INDEX(绊状态确认!X:X,MATCH($G561,绊状态确认!$B:$B,)))*$EW$32*$EW$30*(1-$EW$33)+$EW$26*(-HP($EW$62,$EW$65,$EW$64)+HP($EW$62,$EW$65,0.95*$EW$64)),0)</f>
        <v>-4253.6726349699375</v>
      </c>
      <c r="BL561" s="1111">
        <f t="shared" si="717"/>
        <v>-1083.3333333333333</v>
      </c>
      <c r="BM561" s="1110">
        <f t="shared" si="718"/>
        <v>-830.55555555555543</v>
      </c>
      <c r="BN561" s="1113">
        <f t="shared" si="719"/>
        <v>3</v>
      </c>
      <c r="BO561" s="1108">
        <f t="shared" si="720"/>
        <v>4507.7214871259994</v>
      </c>
      <c r="BP561" s="1127">
        <f t="shared" si="721"/>
        <v>221.34103209030098</v>
      </c>
      <c r="BQ561" s="1113" t="s">
        <v>134</v>
      </c>
      <c r="BR561" s="1124" t="s">
        <v>166</v>
      </c>
      <c r="BS561" s="421">
        <f>IF($P561="","N/A",IF($P561=-1,INDEX('卡片raw data'!AX:AX,MATCH($D561,'卡片raw data'!$F:$F,)),0)+IF($L561="party卡",IF($P561=5,INDEX('卡片raw data'!BD:BD,MATCH($D561,'卡片raw data'!$F:$F,)),IF($P561&gt;=3,INDEX('卡片raw data'!BC:BC,MATCH($D561,'卡片raw data'!$F:$F,)),INDEX('卡片raw data'!BB:BB,MATCH($D561,'卡片raw data'!$F:$F,)))),IF(OR(AND($F561="UR",$P561=0),AND($F561="SR",$P561&gt;=0,$P561&lt;=2),AND($F561="R",$P561&gt;=0,$P561&lt;4)),INDEX('卡片raw data'!AZ:AZ,MATCH($D561,'卡片raw data'!$F:$F,)),0)+IF(OR(AND($F561="UR",$P561&gt;=1,$P561&lt;=4),AND($F561="SR",$P561&lt;=4,$P561&gt;=3),AND($F561="R",$P561=4)),INDEX('卡片raw data'!BA:BA,MATCH($D561,'卡片raw data'!$F:$F,)),0)+IF($P561=5,INDEX('卡片raw data'!BB:BB,MATCH($D561,'卡片raw data'!$F:$F,)),0)))</f>
        <v>7.0000000000000007E-2</v>
      </c>
      <c r="BT561" s="424">
        <f t="shared" si="722"/>
        <v>480.10287508295164</v>
      </c>
      <c r="BU561" s="420">
        <f t="shared" si="723"/>
        <v>28.484493708447513</v>
      </c>
      <c r="BV561" s="420">
        <f t="shared" si="724"/>
        <v>0</v>
      </c>
      <c r="BW561" s="436">
        <f t="shared" si="725"/>
        <v>0</v>
      </c>
      <c r="BX561" s="423">
        <f t="shared" si="726"/>
        <v>480.10287508295164</v>
      </c>
      <c r="BY561" s="433">
        <f t="shared" si="727"/>
        <v>0</v>
      </c>
      <c r="BZ561" s="1113" t="s">
        <v>569</v>
      </c>
      <c r="CA561" s="1124"/>
      <c r="CB561" s="421">
        <f>IF($P561="","N/A",IF($P561=-1,INDEX('卡片raw data'!BE:BE,MATCH($D561,'卡片raw data'!$F:$F,)),0)+IF($L561="party卡",IF($P561=5,INDEX('卡片raw data'!BK:BK,MATCH($D561,'卡片raw data'!$F:$F,)),IF($P561&gt;=3,INDEX('卡片raw data'!BJ:BJ,MATCH($D561,'卡片raw data'!$F:$F,)),INDEX('卡片raw data'!BI:BI,MATCH($D561,'卡片raw data'!$F:$F,)))),IF(OR(AND($F561="UR",$P561=0),AND($F561="SR",$P561&gt;=0,$P561&lt;=2),AND($F561="R",$P561&gt;=0,$P561&lt;4)),INDEX('卡片raw data'!BG:BG,MATCH($D561,'卡片raw data'!$F:$F,)),0)+IF(OR(AND($F561="UR",$P561&gt;=1,$P561&lt;=4),AND($F561="SR",$P561&lt;=4,$P561&gt;=3),AND($F561="R",$P561=4)),INDEX('卡片raw data'!BH:BH,MATCH($D561,'卡片raw data'!$F:$F,)),0)+IF($P561=5,INDEX('卡片raw data'!BI:BI,MATCH($D561,'卡片raw data'!$F:$F,)),0)))</f>
        <v>0</v>
      </c>
      <c r="CC561" s="424">
        <f t="shared" ref="CC561:CC577" si="786">IF(BZ561="ap",CB561*$EX$5/$EX$11*(+IF(CA561="全员",$EW$26,0)+IF(CA561="同作战",$EW$26,0)+IF(CA561="仲间",$EW$26*2/3,0)+IF(CA561="同属性",$EW$26*$EW$37/3,0)+IF(CA561="同年级",$EW$26*$EW$40/3,0)+IF(CA561="同学校",$EW$26*$EW$43/3,0)+IF(CA561="同小队",$EW$26*$EW$46/3,0)+IF(CA561="同type",$EW$26*INDEX($EX$49:$EX$52,MATCH(O561,$EW$49:$EW$52,))/3,0)+IF(CA561="自身",$AW561,0)),0)+IF(BZ561="te",CB561*($EW$22-1)*0.00003*$EX$7/$EX$13*(+IF(CA561="全员",$EX$18*$EW$26/(1+($EW$22-1)*$EW$19),0)+IF(CA561="同作战",$EX$18*$EW$26/(1+($EW$22-1)*$EW$19),0)+IF(CA561="仲间",$EX$18*$EW$26/(1+($EW$22-1)*$EW$19)*2/3,0)+IF(CA561="同属性",$EX$18*$EW$26/(1+($EW$22-1)*$EW$19)*$EW$37/3,0)+IF(CA561="同年级",$EX$18*$EW$26/(1+($EW$22-1)*$EW$19)*$EW$40/3,0)+IF(CA561="同学校",$EX$18*$EW$26/(1+($EW$22-1)*$EW$19)*$EW$43/3,0)+IF(CA561="同小队",$EX$18*$EW$26/(1+($EW$22-1)*$EW$19)*$EW$46/3,0)+IF(CA561="同type",$EX$18*$EW$26/(1+($EW$22-1)*$EW$19)*INDEX($EX$49:$EX$52,MATCH(O561,$EW$49:$EW$52,))/3,0)+IF(CA561="自身",$AS561*$AW561/(1+(AV561-1)*$AU561),0)),0)</f>
        <v>0</v>
      </c>
      <c r="CD561" s="420">
        <f>IF(BZ561="ap",CB561*(1-$FI$26)*$FB$5/$FB$11*(+IF(CA561="全员",$FA$24,0)+IF(CA561="同作战",$FA$24,0)+IF(CA561="仲间",$FA$24*2/3,0)+IF(CA561="同属性",$FA$24*$FA$37/3,0)+IF(CA561="同年级",$FA$24*$FA$40/3,0)+IF(CA561="同学校",$FA$24*$FA$43/3,0)+IF(CA561="同小队",$FA$24*$FA$46/3,0)+IF(CA561="同type",$FA$24*INDEX($FB$49:$FB$52,MATCH(X561,$FA$49:$FA$52,))/3,0)+IF(CA561="自身",#REF!/3,0)),0)+IF(BZ561="te",CB561*(1-$FI$27)*($FA$20-1)*$FB$7/$FB$13*(+IF(CA561="全员",$FA$19*$FA$24/(1+($FA$20-1)*$FA$19),0)+IF(CA561="同作战",$FA$19*$FA$24/(1+($FA$20-1)*$FA$19),0)+IF(CA561="仲间",$FA$19*$FA$24*2/3/(1+($FA$20-1)*$FA$19),0)+IF(CA561="同属性",$FA$19*$FA$24*$FA$37/3/(1+($FA$20-1)*$FA$19),0)+IF(CA561="同年级",$FA$19*$FA$24*$FA$40/3/(1+($FA$20-1)*$FA$19),0)+IF(CA561="同学校",$FA$19*$FA$24*$FA$43/3/(1+($FA$20-1)*$FA$19),0)+IF(CA561="同小队",$FA$19*$FA$24*$FA$46/3/(1+($FA$20-1)*$FA$19),0)+IF(CA561="同type",$FA$19*$FA$24*INDEX($FB$49:$FB$52,MATCH(X561,$FA$49:$FA$52,))/3/(1+($FA$20-1)*$FA$19),0)+IF(CA561="自身",$FA$19*#REF!/3/(1+(BH561-1)*$BD561),0)),0)</f>
        <v>0</v>
      </c>
      <c r="CE561" s="420">
        <f t="shared" si="729"/>
        <v>0</v>
      </c>
      <c r="CF561" s="436">
        <f t="shared" ref="CF561:CF577" si="787">IF(BZ561="st",CB561*$EX$6/$EX$12*(+IF(CA561="全员",$EX$17*9,0)+IF(CA561="仲间",$EX$17*8,0)+IF(CA561="同作战",$EX$17*3,0)+IF(CA561="同属性",$EX$17*$EW$39,0)+IF(CA561="同年级",$EX$17*$EW$42,0)+IF(CA561="同学校",$EX$17*$EW$45,0)+IF(CA561="同小队",$EX$17*$EW$48,0)+IF(CA561="同type",$EX$17*INDEX($EX$57:$EX$60,MATCH(O561,$EW$57:$EW$60,)),0)+IF(CA561="自身",$AR561)),0)/$EW$65*$EW$78</f>
        <v>0</v>
      </c>
      <c r="CG561" s="423">
        <f t="shared" si="731"/>
        <v>0</v>
      </c>
      <c r="CH561" s="433">
        <f t="shared" si="732"/>
        <v>0</v>
      </c>
      <c r="CI561" s="1113" t="s">
        <v>173</v>
      </c>
      <c r="CJ561" s="1114">
        <v>1</v>
      </c>
      <c r="CK561" s="1115" t="s">
        <v>2046</v>
      </c>
      <c r="CL561" s="1115" t="s">
        <v>1940</v>
      </c>
      <c r="CM561" s="1119">
        <v>0.1</v>
      </c>
      <c r="CN561" s="1115"/>
      <c r="CO561" s="1115">
        <v>10</v>
      </c>
      <c r="CP561" s="1116">
        <f t="shared" si="733"/>
        <v>101.51836621707591</v>
      </c>
      <c r="CQ561" s="1116">
        <f t="shared" si="734"/>
        <v>142.35070591624995</v>
      </c>
      <c r="CR561" s="1117">
        <f t="shared" si="735"/>
        <v>0</v>
      </c>
      <c r="CS561" s="1118">
        <f t="shared" si="782"/>
        <v>0</v>
      </c>
      <c r="CT561" s="1109">
        <f t="shared" si="783"/>
        <v>0</v>
      </c>
      <c r="CU561" s="1101">
        <f t="shared" si="738"/>
        <v>111.67020283878351</v>
      </c>
      <c r="CV561" s="1108">
        <f t="shared" si="777"/>
        <v>142.35070591624995</v>
      </c>
      <c r="CW561" s="1097">
        <f t="shared" si="739"/>
        <v>0</v>
      </c>
      <c r="CX561" s="1097">
        <f t="shared" si="740"/>
        <v>111.67020283878351</v>
      </c>
      <c r="CY561" s="1110">
        <f t="shared" si="741"/>
        <v>0</v>
      </c>
      <c r="CZ561" s="437"/>
      <c r="DA561" s="438"/>
      <c r="DB561" s="439" t="s">
        <v>569</v>
      </c>
      <c r="DC561" s="439"/>
      <c r="DD561" s="443"/>
      <c r="DE561" s="411"/>
      <c r="DF561" s="411"/>
      <c r="DG561" s="1116">
        <f t="shared" si="742"/>
        <v>0</v>
      </c>
      <c r="DH561" s="1116">
        <f t="shared" si="743"/>
        <v>0</v>
      </c>
      <c r="DI561" s="1116">
        <f t="shared" si="744"/>
        <v>0</v>
      </c>
      <c r="DJ561" s="442">
        <f t="shared" si="784"/>
        <v>0</v>
      </c>
      <c r="DK561" s="432">
        <f t="shared" si="785"/>
        <v>0</v>
      </c>
      <c r="DL561" s="424">
        <f t="shared" si="747"/>
        <v>0</v>
      </c>
      <c r="DM561" s="420">
        <f t="shared" si="748"/>
        <v>0</v>
      </c>
      <c r="DN561" s="420">
        <f t="shared" si="749"/>
        <v>0</v>
      </c>
      <c r="DO561" s="420">
        <f t="shared" si="750"/>
        <v>0</v>
      </c>
      <c r="DP561" s="433">
        <f t="shared" si="751"/>
        <v>0</v>
      </c>
      <c r="DQ561" s="1113" t="s">
        <v>635</v>
      </c>
      <c r="DR561" s="1120">
        <f t="shared" ref="DR561:DR574" si="788">IF(F561="UR",0.33,0.3)</f>
        <v>0.3</v>
      </c>
      <c r="DS561" s="1124"/>
      <c r="DT561" s="1124" t="s">
        <v>1941</v>
      </c>
      <c r="DU561" s="1124"/>
      <c r="DV561" s="1098">
        <f>IF($P561="","N/A",IF(P561=-1,INDEX('卡片raw data'!AN:AN,MATCH(D561,'卡片raw data'!$F:$F,)),0)+IF(AND(L561&lt;&gt;"party卡",P561&lt;=2,P561&gt;=0),INDEX('卡片raw data'!AP:AP,MATCH(D561,'卡片raw data'!$F:$F,)),0)+IF(OR(AND(L561="party卡",P561&lt;=1),AND(P561&lt;=4,L561&lt;&gt;"party卡",P561&gt;=3)),INDEX('卡片raw data'!AQ:AQ,MATCH(D561,'卡片raw data'!$F:$F,)),0)+IF(OR(P561=5,AND(L561="party卡",P561&gt;=2)),INDEX('卡片raw data'!AR:AR,MATCH(D561,'卡片raw data'!$F:$F,)),0))</f>
        <v>0.28999999999999998</v>
      </c>
      <c r="DW561" s="1098">
        <f t="shared" si="752"/>
        <v>0.3</v>
      </c>
      <c r="DX561" s="1098">
        <f t="shared" si="753"/>
        <v>0.3</v>
      </c>
      <c r="DY561" s="1097">
        <f t="shared" si="754"/>
        <v>475.26619610446869</v>
      </c>
      <c r="DZ561" s="1097">
        <f t="shared" si="755"/>
        <v>411.10525963036542</v>
      </c>
      <c r="EA561" s="421">
        <f t="shared" si="756"/>
        <v>0</v>
      </c>
      <c r="EB561" s="445">
        <f t="shared" si="757"/>
        <v>0</v>
      </c>
      <c r="EC561" s="424">
        <f t="shared" si="758"/>
        <v>0</v>
      </c>
      <c r="ED561" s="420">
        <f t="shared" si="759"/>
        <v>0</v>
      </c>
      <c r="EE561" s="433">
        <f t="shared" si="775"/>
        <v>48435.03108962375</v>
      </c>
      <c r="EF561" s="1113" t="s">
        <v>569</v>
      </c>
      <c r="EG561" s="1120">
        <f t="shared" ref="EG561:EG574" si="789">IF(F561="UR",0.33,0.3)</f>
        <v>0.3</v>
      </c>
      <c r="EH561" s="1124"/>
      <c r="EI561" s="1124"/>
      <c r="EJ561" s="1124"/>
      <c r="EK561" s="420">
        <f>IF($P561="","N/A",IF(P561=-1,INDEX('卡片raw data'!AS:AS,MATCH(D561,'卡片raw data'!$F:$F,)),0)+IF(AND(L561&lt;&gt;"party卡",P561&lt;=2,P561&gt;=0),INDEX('卡片raw data'!AU:AU,MATCH(D561,'卡片raw data'!$F:$F,)),0)+IF(OR(AND(L561="party卡",P561&lt;=1),AND(P561&lt;=4,L561&lt;&gt;"party卡",P561&gt;=3)),INDEX('卡片raw data'!AV:AV,MATCH(D561,'卡片raw data'!$F:$F,)),0)+IF(OR(P561=5,AND(L561="party卡",P561&gt;=2)),INDEX('卡片raw data'!AW:AW,MATCH(D561,'卡片raw data'!$F:$F,)),0))</f>
        <v>0</v>
      </c>
      <c r="EL561" s="1098">
        <f t="shared" si="760"/>
        <v>0.3</v>
      </c>
      <c r="EM561" s="1098">
        <f t="shared" si="761"/>
        <v>0.3</v>
      </c>
      <c r="EN561" s="1097">
        <f t="shared" si="762"/>
        <v>0</v>
      </c>
      <c r="EO561" s="1097">
        <f t="shared" si="763"/>
        <v>0</v>
      </c>
      <c r="EP561" s="421">
        <f t="shared" si="764"/>
        <v>0</v>
      </c>
      <c r="EQ561" s="445">
        <f t="shared" si="765"/>
        <v>0</v>
      </c>
      <c r="ER561" s="424">
        <f t="shared" si="766"/>
        <v>0</v>
      </c>
      <c r="ES561" s="420">
        <f t="shared" si="767"/>
        <v>0</v>
      </c>
      <c r="ET561" s="446">
        <f t="shared" si="776"/>
        <v>0</v>
      </c>
    </row>
    <row r="562" spans="2:150" ht="16.5" customHeight="1">
      <c r="B562" s="448" t="str">
        <f>INDEX('卡片raw data'!B:B,MATCH($D562,'卡片raw data'!$F:$F,))</f>
        <v>万圣凛</v>
      </c>
      <c r="C562" s="449" t="s">
        <v>4615</v>
      </c>
      <c r="D562" s="408">
        <v>559</v>
      </c>
      <c r="E562" s="477">
        <v>400053005</v>
      </c>
      <c r="F562" s="409" t="str">
        <f>INDEX('卡片raw data'!C:C,MATCH($D562,'卡片raw data'!$F:$F,))</f>
        <v>UR</v>
      </c>
      <c r="G562" s="1094" t="s">
        <v>4616</v>
      </c>
      <c r="H562" s="411">
        <f>IFERROR(INDEX(绊状态确认!C:C,MATCH($G562,绊状态确认!$B:$B,)),"")</f>
        <v>5</v>
      </c>
      <c r="I562" s="450" t="str">
        <f>IFERROR(INDEX(绊状态确认!D:D,MATCH($G562,绊状态确认!$B:$B,)),"")</f>
        <v>缪</v>
      </c>
      <c r="J562" s="450" t="str">
        <f>IFERROR(INDEX(绊状态确认!E:E,MATCH($G562,绊状态确认!$B:$B,)),"")</f>
        <v>1年级</v>
      </c>
      <c r="K562" s="451" t="str">
        <f>IFERROR(INDEX(绊状态确认!F:F,MATCH($G562,绊状态确认!$B:$B,)),"")</f>
        <v>lilywhite</v>
      </c>
      <c r="L562" s="414" t="str">
        <f>INDEX('卡片raw data'!E:E,MATCH($D562,'卡片raw data'!$F:$F,))</f>
        <v>卡池卡</v>
      </c>
      <c r="M562" s="478">
        <v>44489</v>
      </c>
      <c r="N562" s="479">
        <v>50</v>
      </c>
      <c r="O562" s="410" t="str">
        <f>INDEX('卡片raw data'!D:D,MATCH($D562,'卡片raw data'!$F:$F,))</f>
        <v>vo</v>
      </c>
      <c r="P562" s="1126">
        <v>5</v>
      </c>
      <c r="Q562" s="418">
        <f t="shared" si="688"/>
        <v>72025.843036840641</v>
      </c>
      <c r="R562" s="419">
        <f t="shared" si="689"/>
        <v>0.83699999999999997</v>
      </c>
      <c r="S562" s="420">
        <f t="shared" si="690"/>
        <v>20900.257493739467</v>
      </c>
      <c r="T562" s="421">
        <f t="shared" si="691"/>
        <v>1.0449999999999999</v>
      </c>
      <c r="U562" s="422">
        <f t="shared" si="692"/>
        <v>-6.3738311028571424</v>
      </c>
      <c r="V562" s="423">
        <f t="shared" si="693"/>
        <v>72227.540400996979</v>
      </c>
      <c r="W562" s="424">
        <f t="shared" si="694"/>
        <v>5809.9521389623987</v>
      </c>
      <c r="X562" s="419">
        <f t="shared" si="695"/>
        <v>6.7000000000000004E-2</v>
      </c>
      <c r="Y562" s="420">
        <f t="shared" si="696"/>
        <v>1506.3658143980429</v>
      </c>
      <c r="Z562" s="425">
        <f t="shared" si="697"/>
        <v>18.626168897142858</v>
      </c>
      <c r="AA562" s="426">
        <f t="shared" si="698"/>
        <v>7316.3179533604416</v>
      </c>
      <c r="AB562" s="424">
        <f t="shared" si="699"/>
        <v>11665.182730362449</v>
      </c>
      <c r="AC562" s="427">
        <f t="shared" si="700"/>
        <v>0.13500000000000001</v>
      </c>
      <c r="AD562" s="428">
        <f t="shared" si="701"/>
        <v>0</v>
      </c>
      <c r="AE562" s="516">
        <f t="shared" si="702"/>
        <v>0</v>
      </c>
      <c r="AF562" s="1130">
        <f t="shared" si="703"/>
        <v>0</v>
      </c>
      <c r="AG562" s="420">
        <f t="shared" si="704"/>
        <v>0</v>
      </c>
      <c r="AH562" s="420">
        <f t="shared" si="705"/>
        <v>0</v>
      </c>
      <c r="AI562" s="1097">
        <f t="shared" si="706"/>
        <v>0</v>
      </c>
      <c r="AJ562" s="420">
        <f t="shared" si="707"/>
        <v>0</v>
      </c>
      <c r="AK562" s="518">
        <f t="shared" si="708"/>
        <v>0</v>
      </c>
      <c r="AL562" s="1106">
        <f>IF($P562="","N/A",(IF($P562=-1,INDEX('卡片raw data'!S:S,MATCH($D562,'卡片raw data'!$F:$F,)),0)+IF($P562=0,INDEX('卡片raw data'!V:V,MATCH($D562,'卡片raw data'!$F:$F,)),0)+IF($P562=1,INDEX('卡片raw data'!Y:Y,MATCH($D562,'卡片raw data'!$F:$F,)),0)+IF($P562=2,INDEX('卡片raw data'!AB:AB,MATCH($D562,'卡片raw data'!$F:$F,)),0)+IF($P562=3,INDEX('卡片raw data'!AE:AE,MATCH($D562,'卡片raw data'!$F:$F,)),0)+IF($P562=4,INDEX('卡片raw data'!AH:AH,MATCH($D562,'卡片raw data'!$F:$F,)),0)+IF($P562=5,INDEX('卡片raw data'!AK:AK,MATCH($D562,'卡片raw data'!$F:$F,)),0)+INDEX('卡片raw data'!S:S,MATCH($D562,'卡片raw data'!$F:$F,))*(IF($F562="UR",0.04,0.033))*(IF($F562="UR",INDEX(绊状态确认!$S:$S,MATCH($G562,绊状态确认!$B:$B,))/2-40)+IF($F562="SR",INDEX(绊状态确认!$R:$R,MATCH($G562,绊状态确认!$B:$B,))/4-15))+IF($F562="R",INDEX(绊状态确认!$Q:$Q,MATCH($G562,绊状态确认!$B:$B,))/6-40/6)))*(INDEX(绊状态确认!$H:$H,MATCH($G562,绊状态确认!$B:$B,))+INDEX(绊状态确认!J:J,MATCH($G562,绊状态确认!$B:$B,)))</f>
        <v>15364.127999999999</v>
      </c>
      <c r="AM562" s="1106">
        <f>IF($P562="","N/A",(IF($P562=-1,INDEX('卡片raw data'!T:T,MATCH($D562,'卡片raw data'!$F:$F,)),0)+IF($P562=0,INDEX('卡片raw data'!W:W,MATCH($D562,'卡片raw data'!$F:$F,)),0)+IF($P562=1,INDEX('卡片raw data'!Z:Z,MATCH($D562,'卡片raw data'!$F:$F,)),0)+IF($P562=2,INDEX('卡片raw data'!AC:AC,MATCH($D562,'卡片raw data'!$F:$F,)),0)+IF($P562=3,INDEX('卡片raw data'!AF:AF,MATCH($D562,'卡片raw data'!$F:$F,)),0)+IF($P562=4,INDEX('卡片raw data'!AI:AI,MATCH($D562,'卡片raw data'!$F:$F,)),0)+IF($P562=5,INDEX('卡片raw data'!AL:AL,MATCH($D562,'卡片raw data'!$F:$F,)),0)+INDEX('卡片raw data'!T:T,MATCH($D562,'卡片raw data'!$F:$F,))*(IF($F562="UR",0.04,0.033))*(IF($F562="UR",INDEX(绊状态确认!$S:$S,MATCH($G562,绊状态确认!$B:$B,))/2-40)+IF($F562="SR",INDEX(绊状态确认!$R:$R,MATCH($G562,绊状态确认!$B:$B,))/4-15))+IF($F562="R",INDEX(绊状态确认!$Q:$Q,MATCH($G562,绊状态确认!$B:$B,))/6-40/6)))*(INDEX(绊状态确认!$H:$H,MATCH($G562,绊状态确认!$B:$B,))+INDEX(绊状态确认!K:K,MATCH($G562,绊状态确认!$B:$B,)))</f>
        <v>10754.889599999999</v>
      </c>
      <c r="AN562" s="1106">
        <f>IF($P562="","N/A",(IF($P562=-1,INDEX('卡片raw data'!U:U,MATCH($D562,'卡片raw data'!$F:$F,)),0)+IF($P562=0,INDEX('卡片raw data'!X:X,MATCH($D562,'卡片raw data'!$F:$F,)),0)+IF($P562=1,INDEX('卡片raw data'!AA:AA,MATCH($D562,'卡片raw data'!$F:$F,)),0)+IF($P562=2,INDEX('卡片raw data'!AD:AD,MATCH($D562,'卡片raw data'!$F:$F,)),0)+IF($P562=3,INDEX('卡片raw data'!AG:AG,MATCH($D562,'卡片raw data'!$F:$F,)),0)+IF($P562=4,INDEX('卡片raw data'!AJ:AJ,MATCH($D562,'卡片raw data'!$F:$F,)),0)+IF($P562=5,INDEX('卡片raw data'!AM:AM,MATCH($D562,'卡片raw data'!$F:$F,)),0)+INDEX('卡片raw data'!U:U,MATCH($D562,'卡片raw data'!$F:$F,))*(IF($F562="UR",0.04,0.033))*(IF($F562="UR",INDEX(绊状态确认!$S:$S,MATCH($G562,绊状态确认!$B:$B,))/2-40)+IF($F562="SR",INDEX(绊状态确认!$R:$R,MATCH($G562,绊状态确认!$B:$B,))/4-15))+IF($F562="R",INDEX(绊状态确认!$Q:$Q,MATCH($G562,绊状态确认!$B:$B,))/6-40/6)))*(INDEX(绊状态确认!$H:$H,MATCH($G562,绊状态确认!$B:$B,))+INDEX(绊状态确认!L:L,MATCH($G562,绊状态确认!$B:$B,)))</f>
        <v>12291.302399999999</v>
      </c>
      <c r="AO562" s="1107">
        <f t="shared" si="709"/>
        <v>1</v>
      </c>
      <c r="AP562" s="1131">
        <f>1+(INDEX(绊状态确认!$T:$T,MATCH($G562,绊状态确认!$B:$B,))+0.2)*$AO562</f>
        <v>1.3</v>
      </c>
      <c r="AQ562" s="1108">
        <f t="shared" si="710"/>
        <v>43580.835999999996</v>
      </c>
      <c r="AR562" s="1097">
        <f>(AM562*(1+$EX$9)+$EX$35)*(1+(INDEX(绊状态确认!$T:$T,MATCH($G562,绊状态确认!$B:$B,))+0.2)*AO562)*IF(J562=$FF$17,1+$FE$17,1)*IF(I562=$FF$14,1+$FE$14,1)</f>
        <v>17384.424304</v>
      </c>
      <c r="AS562" s="1097">
        <f>(AN562*(1+$EX$10)+$EX$36)*(1+(INDEX(绊状态确认!$T:$T,MATCH($G562,绊状态确认!$B:$B,))+0.2)*AO562)*IF(J562=$FF$17,1+$FE$17,1)*IF(I562=$FF$14,1+$FE$14,1)</f>
        <v>22431.497088</v>
      </c>
      <c r="AT562" s="1093">
        <f>IF(AND(INDEX('卡片raw data'!AK:AK,MATCH($D562,'卡片raw data'!$F:$F,))&lt;INDEX('卡片raw data'!AM:AM,MATCH($D562,'卡片raw data'!$F:$F,)),INDEX('卡片raw data'!AL:AL,MATCH($D562,'卡片raw data'!$F:$F,))&lt;INDEX('卡片raw data'!AM:AM,MATCH($D562,'卡片raw data'!$F:$F,))),1,0)</f>
        <v>0</v>
      </c>
      <c r="AU562" s="1098">
        <f>MIN(AT562*0.15+AS562*0.00003+INDEX(绊状态确认!M:M,MATCH($G562,绊状态确认!$B:$B,)),1)</f>
        <v>0.70294491264000003</v>
      </c>
      <c r="AV562" s="1109">
        <f>(INDEX(绊状态确认!$N:$N,MATCH($G562,绊状态确认!$B:$B,))+1.5)*$EW$21</f>
        <v>2.6599999999999997</v>
      </c>
      <c r="AW562" s="1101">
        <f t="shared" si="711"/>
        <v>49044.407986386672</v>
      </c>
      <c r="AX562" s="1097">
        <f t="shared" si="712"/>
        <v>1506.3658143980433</v>
      </c>
      <c r="AY562" s="1110">
        <f t="shared" si="713"/>
        <v>50550.773800784715</v>
      </c>
      <c r="AZ562" s="429">
        <f t="shared" si="714"/>
        <v>32560.049599999998</v>
      </c>
      <c r="BA562" s="431">
        <f t="shared" si="715"/>
        <v>39072.059519999995</v>
      </c>
      <c r="BB562" s="1097">
        <f>(AM562*(1+$FB$9)+$FB$35)*(1+(INDEX(绊状态确认!$T:$T,MATCH($G562,绊状态确认!$B:$B,))+0.2)*AO562)*IF(J562=$FF$17,1+$FE$17,1)*IF(I562=$FF$14,1+$FE$14,1)*(1+$FE$15)</f>
        <v>17384.424304</v>
      </c>
      <c r="BC562" s="1097">
        <f>(AN562*(1+$FB$10)+$FB$36)*(1+(INDEX(绊状态确认!$T:$T,MATCH($G562,绊状态确认!$B:$B,))+0.2)*AO562)*IF(J562=$FF$17,1+$FE$17,1)*IF(I562=$FF$14,1+$FE$14,1)*(1+$FE$15)</f>
        <v>22431.497088</v>
      </c>
      <c r="BD562" s="1104">
        <f>MIN(AT562*0.15+BC562*0.00003+INDEX(绊状态确认!M:M,MATCH($G562,绊状态确认!$B:$B,)),1)</f>
        <v>0.70294491264000003</v>
      </c>
      <c r="BE562" s="432">
        <f>(INDEX(绊状态确认!$N:$N,MATCH($G562,绊状态确认!$B:$B,))+1.5)</f>
        <v>1.9</v>
      </c>
      <c r="BF562" s="1139">
        <f t="array" ref="BF562">SUMPRODUCT(IF(AZ562*AP562*$FI$16:$FI$23*$FA$22&gt;=$FI$24,$FI$24,AZ562*AP562*$FI$16:$FI$23*$FA$22),$FJ$16:$FJ$23)</f>
        <v>58433.8741744</v>
      </c>
      <c r="BG562" s="1125">
        <f t="array" ref="BG562">SUMPRODUCT(IF(BE562*AZ562*AP562*$FI$16:$FI$23*$FA$22&gt;=$FI$24,$FI$24,BE562*AZ562*AP562*$FI$16:$FI$23*$FA$22),$FJ$16:$FJ$23)</f>
        <v>60000</v>
      </c>
      <c r="BH562" s="1110">
        <f t="shared" si="716"/>
        <v>19844.924785353214</v>
      </c>
      <c r="BI562" s="1111">
        <f>IF(O562="vo",$EW$26/$EW$24*0.05,0)+IF(O562="sk",-$EW$26/$EW$24*(0.05-INDEX(绊状态确认!W:W,MATCH($G562,绊状态确认!$B:$B,)))+0.05*$EW$28,0)+IF(O562="sp",0.05*$EW$32*$EW$30*(1-$EW$33)-(0.05-INDEX(绊状态确认!V:V,MATCH($G562,绊状态确认!$B:$B,)))*$EW$28,0)+IF(O562="gd",-(0.05-INDEX(绊状态确认!X:X,MATCH($G562,绊状态确认!$B:$B,)))*$EW$32*$EW$30*(1-$EW$33),0)</f>
        <v>7726.3029277443748</v>
      </c>
      <c r="BJ562" s="420">
        <f>IF(O562="vo",0.05*(1-$FI$26)*$FA$24,0)+IF(O562="sk",-(0.05-INDEX(绊状态确认!W:W,MATCH($G562,绊状态确认!$B:$B,)))*(1-$FI$26)*$FA$24+0.05*$FA$26,0)+IF(O562="sp",0.05*$FA$32*$FA$27*(1-$FA$33)/$FA$30+0.05*$FA$29/$FA$69*$FA$27*(1-$FA$33)-(0.05-INDEX(绊状态确认!V:V,MATCH($G562,绊状态确认!$B:$B,)))*$FA$26,0)+IF(O562="gd",-(0.05-INDEX(绊状态确认!X:X,MATCH($G562,绊状态确认!$B:$B,)))*$FA$32*$FA$27*(1-$FA$33)/$FA$30-(0.05-INDEX(绊状态确认!X:X,MATCH($G562,绊状态确认!$B:$B,)))*$FA$29/$FA$69*$FA$27*(1-$FA$33),0)</f>
        <v>393.93433687500004</v>
      </c>
      <c r="BK562" s="1110">
        <f>IF(O562="vo",$EW$26/$EW$24*0.05+$EW$26*(-HP($EW$62,$EW$65,$EW$64)+HP($EW$62,$EW$65,(1.05-INDEX(绊状态确认!U:U,MATCH($G562,绊状态确认!$B:$B,)))*$EW$64)),0)+IF(O562="sk",-$EW$26/$EW$24*(0.05-INDEX(绊状态确认!W:W,MATCH($G562,绊状态确认!$B:$B,)))+0.05*$EW$29,0)+IF(O562="sp",0.05*$EW$32*$EW$30*(1-$EW$33)-(0.05-INDEX(绊状态确认!V:V,MATCH($G562,绊状态确认!$B:$B,)))*$EW$29,0)+IF(O562="gd",-(0.05-INDEX(绊状态确认!X:X,MATCH($G562,绊状态确认!$B:$B,)))*$EW$32*$EW$30*(1-$EW$33)+$EW$26*(-HP($EW$62,$EW$65,$EW$64)+HP($EW$62,$EW$65,0.95*$EW$64)),0)</f>
        <v>6421.6344775026746</v>
      </c>
      <c r="BL562" s="1111">
        <f t="shared" si="717"/>
        <v>0</v>
      </c>
      <c r="BM562" s="1110">
        <f t="shared" si="718"/>
        <v>0</v>
      </c>
      <c r="BN562" s="1113">
        <f t="shared" si="719"/>
        <v>3</v>
      </c>
      <c r="BO562" s="1108">
        <f t="shared" si="720"/>
        <v>4507.7214871259994</v>
      </c>
      <c r="BP562" s="1127">
        <f t="shared" si="721"/>
        <v>221.34103209030098</v>
      </c>
      <c r="BQ562" s="1113" t="s">
        <v>132</v>
      </c>
      <c r="BR562" s="1124" t="s">
        <v>171</v>
      </c>
      <c r="BS562" s="421">
        <f>IF($P562="","N/A",IF($P562=-1,INDEX('卡片raw data'!AX:AX,MATCH($D562,'卡片raw data'!$F:$F,)),0)+IF($L562="party卡",IF($P562=5,INDEX('卡片raw data'!BD:BD,MATCH($D562,'卡片raw data'!$F:$F,)),IF($P562&gt;=3,INDEX('卡片raw data'!BC:BC,MATCH($D562,'卡片raw data'!$F:$F,)),INDEX('卡片raw data'!BB:BB,MATCH($D562,'卡片raw data'!$F:$F,)))),IF(OR(AND($F562="UR",$P562=0),AND($F562="SR",$P562&gt;=0,$P562&lt;=2),AND($F562="R",$P562&gt;=0,$P562&lt;4)),INDEX('卡片raw data'!AZ:AZ,MATCH($D562,'卡片raw data'!$F:$F,)),0)+IF(OR(AND($F562="UR",$P562&gt;=1,$P562&lt;=4),AND($F562="SR",$P562&lt;=4,$P562&gt;=3),AND($F562="R",$P562=4)),INDEX('卡片raw data'!BA:BA,MATCH($D562,'卡片raw data'!$F:$F,)),0)+IF($P562=5,INDEX('卡片raw data'!BB:BB,MATCH($D562,'卡片raw data'!$F:$F,)),0)))</f>
        <v>5.1999999999999998E-2</v>
      </c>
      <c r="BT562" s="424">
        <f t="shared" si="722"/>
        <v>2604.4613036728001</v>
      </c>
      <c r="BU562" s="420">
        <f t="shared" si="723"/>
        <v>111.90018844565216</v>
      </c>
      <c r="BV562" s="420">
        <f t="shared" si="724"/>
        <v>1302.2306518363998</v>
      </c>
      <c r="BW562" s="436">
        <f t="shared" si="725"/>
        <v>0</v>
      </c>
      <c r="BX562" s="423">
        <f t="shared" si="726"/>
        <v>2604.4613036728001</v>
      </c>
      <c r="BY562" s="433">
        <f t="shared" si="727"/>
        <v>1302.2306518363998</v>
      </c>
      <c r="BZ562" s="1113" t="s">
        <v>569</v>
      </c>
      <c r="CA562" s="450"/>
      <c r="CB562" s="421">
        <f>IF($P562="","N/A",IF($P562=-1,INDEX('卡片raw data'!BE:BE,MATCH($D562,'卡片raw data'!$F:$F,)),0)+IF($L562="party卡",IF($P562=5,INDEX('卡片raw data'!BK:BK,MATCH($D562,'卡片raw data'!$F:$F,)),IF($P562&gt;=3,INDEX('卡片raw data'!BJ:BJ,MATCH($D562,'卡片raw data'!$F:$F,)),INDEX('卡片raw data'!BI:BI,MATCH($D562,'卡片raw data'!$F:$F,)))),IF(OR(AND($F562="UR",$P562=0),AND($F562="SR",$P562&gt;=0,$P562&lt;=2),AND($F562="R",$P562&gt;=0,$P562&lt;4)),INDEX('卡片raw data'!BG:BG,MATCH($D562,'卡片raw data'!$F:$F,)),0)+IF(OR(AND($F562="UR",$P562&gt;=1,$P562&lt;=4),AND($F562="SR",$P562&lt;=4,$P562&gt;=3),AND($F562="R",$P562=4)),INDEX('卡片raw data'!BH:BH,MATCH($D562,'卡片raw data'!$F:$F,)),0)+IF($P562=5,INDEX('卡片raw data'!BI:BI,MATCH($D562,'卡片raw data'!$F:$F,)),0)))</f>
        <v>0</v>
      </c>
      <c r="CC562" s="424">
        <f t="shared" si="786"/>
        <v>0</v>
      </c>
      <c r="CD562" s="420">
        <f>IF(BZ562="ap",CB562*(1-$FI$26)*$FB$5/$FB$11*(+IF(CA562="全员",$FA$24,0)+IF(CA562="同作战",$FA$24,0)+IF(CA562="仲间",$FA$24*2/3,0)+IF(CA562="同属性",$FA$24*$FA$37/3,0)+IF(CA562="同年级",$FA$24*$FA$40/3,0)+IF(CA562="同学校",$FA$24*$FA$43/3,0)+IF(CA562="同小队",$FA$24*$FA$46/3,0)+IF(CA562="同type",$FA$24*INDEX($FB$49:$FB$52,MATCH(X562,$FA$49:$FA$52,))/3,0)+IF(CA562="自身",#REF!/3,0)),0)+IF(BZ562="te",CB562*(1-$FI$27)*($FA$20-1)*$FB$7/$FB$13*(+IF(CA562="全员",$FA$19*$FA$24/(1+($FA$20-1)*$FA$19),0)+IF(CA562="同作战",$FA$19*$FA$24/(1+($FA$20-1)*$FA$19),0)+IF(CA562="仲间",$FA$19*$FA$24*2/3/(1+($FA$20-1)*$FA$19),0)+IF(CA562="同属性",$FA$19*$FA$24*$FA$37/3/(1+($FA$20-1)*$FA$19),0)+IF(CA562="同年级",$FA$19*$FA$24*$FA$40/3/(1+($FA$20-1)*$FA$19),0)+IF(CA562="同学校",$FA$19*$FA$24*$FA$43/3/(1+($FA$20-1)*$FA$19),0)+IF(CA562="同小队",$FA$19*$FA$24*$FA$46/3/(1+($FA$20-1)*$FA$19),0)+IF(CA562="同type",$FA$19*$FA$24*INDEX($FB$49:$FB$52,MATCH(X562,$FA$49:$FA$52,))/3/(1+($FA$20-1)*$FA$19),0)+IF(CA562="自身",$FA$19*#REF!/3/(1+(BH562-1)*$BD562),0)),0)</f>
        <v>0</v>
      </c>
      <c r="CE562" s="420">
        <f t="shared" si="729"/>
        <v>0</v>
      </c>
      <c r="CF562" s="436">
        <f t="shared" si="787"/>
        <v>0</v>
      </c>
      <c r="CG562" s="423">
        <f t="shared" si="731"/>
        <v>0</v>
      </c>
      <c r="CH562" s="433">
        <f t="shared" si="732"/>
        <v>0</v>
      </c>
      <c r="CI562" s="1113" t="s">
        <v>162</v>
      </c>
      <c r="CJ562" s="1114">
        <v>1</v>
      </c>
      <c r="CK562" s="1115" t="s">
        <v>2074</v>
      </c>
      <c r="CL562" s="1115" t="s">
        <v>2667</v>
      </c>
      <c r="CM562" s="1119">
        <v>0.15</v>
      </c>
      <c r="CN562" s="1115" t="s">
        <v>1948</v>
      </c>
      <c r="CO562" s="1115"/>
      <c r="CP562" s="1118">
        <f t="shared" si="733"/>
        <v>2.6785714285714288E-2</v>
      </c>
      <c r="CQ562" s="1118">
        <f t="shared" si="734"/>
        <v>2.4999999999999998E-2</v>
      </c>
      <c r="CR562" s="1118">
        <f t="shared" si="735"/>
        <v>0</v>
      </c>
      <c r="CS562" s="442">
        <f t="shared" si="782"/>
        <v>0</v>
      </c>
      <c r="CT562" s="432">
        <f t="shared" si="783"/>
        <v>0</v>
      </c>
      <c r="CU562" s="1101">
        <f t="shared" si="738"/>
        <v>4552.9999395636496</v>
      </c>
      <c r="CV562" s="1108">
        <f t="shared" si="777"/>
        <v>196.96716843749999</v>
      </c>
      <c r="CW562" s="1097">
        <f t="shared" si="739"/>
        <v>0</v>
      </c>
      <c r="CX562" s="420">
        <f t="shared" si="740"/>
        <v>4552.9999395636496</v>
      </c>
      <c r="CY562" s="433">
        <f t="shared" si="741"/>
        <v>0</v>
      </c>
      <c r="CZ562" s="437"/>
      <c r="DA562" s="438"/>
      <c r="DB562" s="439" t="s">
        <v>569</v>
      </c>
      <c r="DC562" s="439"/>
      <c r="DD562" s="443"/>
      <c r="DE562" s="411"/>
      <c r="DF562" s="411"/>
      <c r="DG562" s="1116">
        <f t="shared" si="742"/>
        <v>0</v>
      </c>
      <c r="DH562" s="1116">
        <f t="shared" si="743"/>
        <v>0</v>
      </c>
      <c r="DI562" s="1116">
        <f t="shared" si="744"/>
        <v>0</v>
      </c>
      <c r="DJ562" s="442">
        <f t="shared" si="784"/>
        <v>0</v>
      </c>
      <c r="DK562" s="432">
        <f t="shared" si="785"/>
        <v>0</v>
      </c>
      <c r="DL562" s="424">
        <f t="shared" si="747"/>
        <v>0</v>
      </c>
      <c r="DM562" s="420">
        <f t="shared" si="748"/>
        <v>0</v>
      </c>
      <c r="DN562" s="420">
        <f t="shared" si="749"/>
        <v>0</v>
      </c>
      <c r="DO562" s="420">
        <f t="shared" si="750"/>
        <v>0</v>
      </c>
      <c r="DP562" s="433">
        <f t="shared" si="751"/>
        <v>0</v>
      </c>
      <c r="DQ562" s="1113" t="s">
        <v>167</v>
      </c>
      <c r="DR562" s="1120">
        <f t="shared" si="788"/>
        <v>0.33</v>
      </c>
      <c r="DS562" s="1124">
        <v>5</v>
      </c>
      <c r="DT562" s="1124" t="s">
        <v>2075</v>
      </c>
      <c r="DU562" s="1093" t="s">
        <v>2145</v>
      </c>
      <c r="DV562" s="1098">
        <f>IF($P562="","N/A",IF(P562=-1,INDEX('卡片raw data'!AN:AN,MATCH(D562,'卡片raw data'!$F:$F,)),0)+IF(AND(L562&lt;&gt;"party卡",P562&lt;=2,P562&gt;=0),INDEX('卡片raw data'!AP:AP,MATCH(D562,'卡片raw data'!$F:$F,)),0)+IF(OR(AND(L562="party卡",P562&lt;=1),AND(P562&lt;=4,L562&lt;&gt;"party卡",P562&gt;=3)),INDEX('卡片raw data'!AQ:AQ,MATCH(D562,'卡片raw data'!$F:$F,)),0)+IF(OR(P562=5,AND(L562="party卡",P562&gt;=2)),INDEX('卡片raw data'!AR:AR,MATCH(D562,'卡片raw data'!$F:$F,)),0))</f>
        <v>7.1999999999999995E-2</v>
      </c>
      <c r="DW562" s="1098">
        <f t="shared" si="752"/>
        <v>0.33</v>
      </c>
      <c r="DX562" s="1098">
        <f t="shared" si="753"/>
        <v>0.33</v>
      </c>
      <c r="DY562" s="1098">
        <f t="shared" si="754"/>
        <v>2.6399999999999996E-2</v>
      </c>
      <c r="DZ562" s="1098">
        <f t="shared" si="755"/>
        <v>1.9981499999999999E-2</v>
      </c>
      <c r="EA562" s="421">
        <f t="shared" si="756"/>
        <v>0</v>
      </c>
      <c r="EB562" s="445">
        <f t="shared" si="757"/>
        <v>0</v>
      </c>
      <c r="EC562" s="424">
        <f t="shared" si="758"/>
        <v>3589.9493923471459</v>
      </c>
      <c r="ED562" s="420">
        <f t="shared" si="759"/>
        <v>131.18998253779688</v>
      </c>
      <c r="EE562" s="433">
        <f t="shared" si="775"/>
        <v>3589.9493923471459</v>
      </c>
      <c r="EF562" s="1113" t="s">
        <v>569</v>
      </c>
      <c r="EG562" s="1120">
        <f t="shared" si="789"/>
        <v>0.33</v>
      </c>
      <c r="EH562" s="450"/>
      <c r="EI562" s="1124"/>
      <c r="EJ562" s="1124"/>
      <c r="EK562" s="420">
        <f>IF($P562="","N/A",IF(P562=-1,INDEX('卡片raw data'!AS:AS,MATCH(D562,'卡片raw data'!$F:$F,)),0)+IF(AND(L562&lt;&gt;"party卡",P562&lt;=2,P562&gt;=0),INDEX('卡片raw data'!AU:AU,MATCH(D562,'卡片raw data'!$F:$F,)),0)+IF(OR(AND(L562="party卡",P562&lt;=1),AND(P562&lt;=4,L562&lt;&gt;"party卡",P562&gt;=3)),INDEX('卡片raw data'!AV:AV,MATCH(D562,'卡片raw data'!$F:$F,)),0)+IF(OR(P562=5,AND(L562="party卡",P562&gt;=2)),INDEX('卡片raw data'!AW:AW,MATCH(D562,'卡片raw data'!$F:$F,)),0))</f>
        <v>0</v>
      </c>
      <c r="EL562" s="1098">
        <f t="shared" si="760"/>
        <v>0.33</v>
      </c>
      <c r="EM562" s="1098">
        <f t="shared" si="761"/>
        <v>0.33</v>
      </c>
      <c r="EN562" s="1097">
        <f t="shared" si="762"/>
        <v>0</v>
      </c>
      <c r="EO562" s="1097">
        <f t="shared" si="763"/>
        <v>0</v>
      </c>
      <c r="EP562" s="421">
        <f t="shared" si="764"/>
        <v>0</v>
      </c>
      <c r="EQ562" s="445">
        <f t="shared" si="765"/>
        <v>0</v>
      </c>
      <c r="ER562" s="424">
        <f t="shared" si="766"/>
        <v>0</v>
      </c>
      <c r="ES562" s="420">
        <f t="shared" si="767"/>
        <v>0</v>
      </c>
      <c r="ET562" s="446">
        <f t="shared" si="776"/>
        <v>0</v>
      </c>
    </row>
    <row r="563" spans="2:150" ht="16.5" customHeight="1">
      <c r="B563" s="448" t="str">
        <f>INDEX('卡片raw data'!B:B,MATCH($D563,'卡片raw data'!$F:$F,))</f>
        <v>水蓝鞠</v>
      </c>
      <c r="C563" s="449" t="s">
        <v>4615</v>
      </c>
      <c r="D563" s="408">
        <v>560</v>
      </c>
      <c r="E563" s="477">
        <v>401082006</v>
      </c>
      <c r="F563" s="409" t="str">
        <f>INDEX('卡片raw data'!C:C,MATCH($D563,'卡片raw data'!$F:$F,))</f>
        <v>SR</v>
      </c>
      <c r="G563" s="1094" t="s">
        <v>4619</v>
      </c>
      <c r="H563" s="411">
        <f>IFERROR(INDEX(绊状态确认!C:C,MATCH($G563,绊状态确认!$B:$B,)),"")</f>
        <v>108</v>
      </c>
      <c r="I563" s="450" t="str">
        <f>IFERROR(INDEX(绊状态确认!D:D,MATCH($G563,绊状态确认!$B:$B,)),"")</f>
        <v>水</v>
      </c>
      <c r="J563" s="450" t="str">
        <f>IFERROR(INDEX(绊状态确认!E:E,MATCH($G563,绊状态确认!$B:$B,)),"")</f>
        <v>3年级</v>
      </c>
      <c r="K563" s="451" t="str">
        <f>IFERROR(INDEX(绊状态确认!F:F,MATCH($G563,绊状态确认!$B:$B,)),"")</f>
        <v>Guilty Kiss</v>
      </c>
      <c r="L563" s="414" t="str">
        <f>INDEX('卡片raw data'!E:E,MATCH($D563,'卡片raw data'!$F:$F,))</f>
        <v>卡池卡</v>
      </c>
      <c r="M563" s="478">
        <v>44489</v>
      </c>
      <c r="N563" s="479">
        <v>50</v>
      </c>
      <c r="O563" s="410" t="str">
        <f>INDEX('卡片raw data'!D:D,MATCH($D563,'卡片raw data'!$F:$F,))</f>
        <v>gd</v>
      </c>
      <c r="P563" s="1126">
        <v>5</v>
      </c>
      <c r="Q563" s="418">
        <f t="shared" si="688"/>
        <v>23448.725211887358</v>
      </c>
      <c r="R563" s="419">
        <f t="shared" si="689"/>
        <v>0.27200000000000002</v>
      </c>
      <c r="S563" s="420">
        <f t="shared" si="690"/>
        <v>12499.214537230839</v>
      </c>
      <c r="T563" s="421">
        <f t="shared" si="691"/>
        <v>0.624</v>
      </c>
      <c r="U563" s="422">
        <f t="shared" si="692"/>
        <v>96.134359593333031</v>
      </c>
      <c r="V563" s="423">
        <f t="shared" si="693"/>
        <v>32500.406126270875</v>
      </c>
      <c r="W563" s="424">
        <f t="shared" si="694"/>
        <v>5559.5231674553997</v>
      </c>
      <c r="X563" s="419">
        <f t="shared" si="695"/>
        <v>6.4000000000000001E-2</v>
      </c>
      <c r="Y563" s="420">
        <f t="shared" si="696"/>
        <v>3131.4809073796478</v>
      </c>
      <c r="Z563" s="425">
        <f t="shared" si="697"/>
        <v>38.634359593333031</v>
      </c>
      <c r="AA563" s="426">
        <f t="shared" si="698"/>
        <v>8691.0040748350475</v>
      </c>
      <c r="AB563" s="424">
        <f t="shared" si="699"/>
        <v>6611.3248477847992</v>
      </c>
      <c r="AC563" s="427">
        <f t="shared" si="700"/>
        <v>7.5999999999999998E-2</v>
      </c>
      <c r="AD563" s="428">
        <f t="shared" si="701"/>
        <v>-3.8207812500000026E-3</v>
      </c>
      <c r="AE563" s="516">
        <f t="shared" si="702"/>
        <v>-18.525362318840578</v>
      </c>
      <c r="AF563" s="1130">
        <f t="shared" si="703"/>
        <v>0</v>
      </c>
      <c r="AG563" s="420">
        <f t="shared" si="704"/>
        <v>0</v>
      </c>
      <c r="AH563" s="420">
        <f t="shared" si="705"/>
        <v>0</v>
      </c>
      <c r="AI563" s="1097">
        <f t="shared" si="706"/>
        <v>0</v>
      </c>
      <c r="AJ563" s="420">
        <f t="shared" si="707"/>
        <v>0</v>
      </c>
      <c r="AK563" s="518">
        <f t="shared" si="708"/>
        <v>0</v>
      </c>
      <c r="AL563" s="1106">
        <f>IF($P563="","N/A",(IF($P563=-1,INDEX('卡片raw data'!S:S,MATCH($D563,'卡片raw data'!$F:$F,)),0)+IF($P563=0,INDEX('卡片raw data'!V:V,MATCH($D563,'卡片raw data'!$F:$F,)),0)+IF($P563=1,INDEX('卡片raw data'!Y:Y,MATCH($D563,'卡片raw data'!$F:$F,)),0)+IF($P563=2,INDEX('卡片raw data'!AB:AB,MATCH($D563,'卡片raw data'!$F:$F,)),0)+IF($P563=3,INDEX('卡片raw data'!AE:AE,MATCH($D563,'卡片raw data'!$F:$F,)),0)+IF($P563=4,INDEX('卡片raw data'!AH:AH,MATCH($D563,'卡片raw data'!$F:$F,)),0)+IF($P563=5,INDEX('卡片raw data'!AK:AK,MATCH($D563,'卡片raw data'!$F:$F,)),0)+INDEX('卡片raw data'!S:S,MATCH($D563,'卡片raw data'!$F:$F,))*(IF($F563="UR",0.04,0.033))*(IF($F563="UR",INDEX(绊状态确认!$S:$S,MATCH($G563,绊状态确认!$B:$B,))/2-40)+IF($F563="SR",INDEX(绊状态确认!$R:$R,MATCH($G563,绊状态确认!$B:$B,))/4-15))+IF($F563="R",INDEX(绊状态确认!$Q:$Q,MATCH($G563,绊状态确认!$B:$B,))/6-40/6)))*(INDEX(绊状态确认!$H:$H,MATCH($G563,绊状态确认!$B:$B,))+INDEX(绊状态确认!J:J,MATCH($G563,绊状态确认!$B:$B,)))</f>
        <v>6112.0501247999991</v>
      </c>
      <c r="AM563" s="1106">
        <f>IF($P563="","N/A",(IF($P563=-1,INDEX('卡片raw data'!T:T,MATCH($D563,'卡片raw data'!$F:$F,)),0)+IF($P563=0,INDEX('卡片raw data'!W:W,MATCH($D563,'卡片raw data'!$F:$F,)),0)+IF($P563=1,INDEX('卡片raw data'!Z:Z,MATCH($D563,'卡片raw data'!$F:$F,)),0)+IF($P563=2,INDEX('卡片raw data'!AC:AC,MATCH($D563,'卡片raw data'!$F:$F,)),0)+IF($P563=3,INDEX('卡片raw data'!AF:AF,MATCH($D563,'卡片raw data'!$F:$F,)),0)+IF($P563=4,INDEX('卡片raw data'!AI:AI,MATCH($D563,'卡片raw data'!$F:$F,)),0)+IF($P563=5,INDEX('卡片raw data'!AL:AL,MATCH($D563,'卡片raw data'!$F:$F,)),0)+INDEX('卡片raw data'!T:T,MATCH($D563,'卡片raw data'!$F:$F,))*(IF($F563="UR",0.04,0.033))*(IF($F563="UR",INDEX(绊状态确认!$S:$S,MATCH($G563,绊状态确认!$B:$B,))/2-40)+IF($F563="SR",INDEX(绊状态确认!$R:$R,MATCH($G563,绊状态确认!$B:$B,))/4-15))+IF($F563="R",INDEX(绊状态确认!$Q:$Q,MATCH($G563,绊状态确认!$B:$B,))/6-40/6)))*(INDEX(绊状态确认!$H:$H,MATCH($G563,绊状态确认!$B:$B,))+INDEX(绊状态确认!K:K,MATCH($G563,绊状态确认!$B:$B,)))</f>
        <v>9405.5373311999992</v>
      </c>
      <c r="AN563" s="1106">
        <f>IF($P563="","N/A",(IF($P563=-1,INDEX('卡片raw data'!U:U,MATCH($D563,'卡片raw data'!$F:$F,)),0)+IF($P563=0,INDEX('卡片raw data'!X:X,MATCH($D563,'卡片raw data'!$F:$F,)),0)+IF($P563=1,INDEX('卡片raw data'!AA:AA,MATCH($D563,'卡片raw data'!$F:$F,)),0)+IF($P563=2,INDEX('卡片raw data'!AD:AD,MATCH($D563,'卡片raw data'!$F:$F,)),0)+IF($P563=3,INDEX('卡片raw data'!AG:AG,MATCH($D563,'卡片raw data'!$F:$F,)),0)+IF($P563=4,INDEX('卡片raw data'!AJ:AJ,MATCH($D563,'卡片raw data'!$F:$F,)),0)+IF($P563=5,INDEX('卡片raw data'!AM:AM,MATCH($D563,'卡片raw data'!$F:$F,)),0)+INDEX('卡片raw data'!U:U,MATCH($D563,'卡片raw data'!$F:$F,))*(IF($F563="UR",0.04,0.033))*(IF($F563="UR",INDEX(绊状态确认!$S:$S,MATCH($G563,绊状态确认!$B:$B,))/2-40)+IF($F563="SR",INDEX(绊状态确认!$R:$R,MATCH($G563,绊状态确认!$B:$B,))/4-15))+IF($F563="R",INDEX(绊状态确认!$Q:$Q,MATCH($G563,绊状态确认!$B:$B,))/6-40/6)))*(INDEX(绊状态确认!$H:$H,MATCH($G563,绊状态确认!$B:$B,))+INDEX(绊状态确认!L:L,MATCH($G563,绊状态确认!$B:$B,)))</f>
        <v>7992.2034695999992</v>
      </c>
      <c r="AO563" s="1107">
        <f t="shared" si="709"/>
        <v>1</v>
      </c>
      <c r="AP563" s="1131">
        <f>1+(INDEX(绊状态确认!$T:$T,MATCH($G563,绊状态确认!$B:$B,))+0.2)*$AO563</f>
        <v>1.3</v>
      </c>
      <c r="AQ563" s="1108">
        <f t="shared" si="710"/>
        <v>19294.131577599997</v>
      </c>
      <c r="AR563" s="1097">
        <f>(AM563*(1+$EX$9)+$EX$35)*(1+(INDEX(绊状态确认!$T:$T,MATCH($G563,绊状态确认!$B:$B,))+0.2)*AO563)*IF(J563=$FF$17,1+$FE$17,1)*IF(I563=$FF$14,1+$FE$14,1)</f>
        <v>15542.558457087998</v>
      </c>
      <c r="AS563" s="1097">
        <f>(AN563*(1+$EX$10)+$EX$36)*(1+(INDEX(绊状态确认!$T:$T,MATCH($G563,绊状态确认!$B:$B,))+0.2)*AO563)*IF(J563=$FF$17,1+$FE$17,1)*IF(I563=$FF$14,1+$FE$14,1)</f>
        <v>16004.344187051998</v>
      </c>
      <c r="AT563" s="1093">
        <f>IF(AND(INDEX('卡片raw data'!AK:AK,MATCH($D563,'卡片raw data'!$F:$F,))&lt;INDEX('卡片raw data'!AM:AM,MATCH($D563,'卡片raw data'!$F:$F,)),INDEX('卡片raw data'!AL:AL,MATCH($D563,'卡片raw data'!$F:$F,))&lt;INDEX('卡片raw data'!AM:AM,MATCH($D563,'卡片raw data'!$F:$F,))),1,0)</f>
        <v>0</v>
      </c>
      <c r="AU563" s="1098">
        <f>MIN(AT563*0.15+AS563*0.00003+INDEX(绊状态确认!M:M,MATCH($G563,绊状态确认!$B:$B,)),1)</f>
        <v>0.51013032561155991</v>
      </c>
      <c r="AV563" s="1109">
        <f>(INDEX(绊状态确认!$N:$N,MATCH($G563,绊状态确认!$B:$B,))+1.5)*$EW$21</f>
        <v>2.6599999999999997</v>
      </c>
      <c r="AW563" s="1101">
        <f t="shared" si="711"/>
        <v>18505.733697435891</v>
      </c>
      <c r="AX563" s="1097">
        <f t="shared" si="712"/>
        <v>1341.2689301288362</v>
      </c>
      <c r="AY563" s="1110">
        <f t="shared" si="713"/>
        <v>19847.002627564729</v>
      </c>
      <c r="AZ563" s="429">
        <f t="shared" si="714"/>
        <v>14518.497743359998</v>
      </c>
      <c r="BA563" s="431">
        <f t="shared" si="715"/>
        <v>17422.197292031997</v>
      </c>
      <c r="BB563" s="1097">
        <f>(AM563*(1+$FB$9)+$FB$35)*(1+(INDEX(绊状态确认!$T:$T,MATCH($G563,绊状态确认!$B:$B,))+0.2)*AO563)*IF(J563=$FF$17,1+$FE$17,1)*IF(I563=$FF$14,1+$FE$14,1)*(1+$FE$15)</f>
        <v>15542.558457087998</v>
      </c>
      <c r="BC563" s="1097">
        <f>(AN563*(1+$FB$10)+$FB$36)*(1+(INDEX(绊状态确认!$T:$T,MATCH($G563,绊状态确认!$B:$B,))+0.2)*AO563)*IF(J563=$FF$17,1+$FE$17,1)*IF(I563=$FF$14,1+$FE$14,1)*(1+$FE$15)</f>
        <v>16004.344187051998</v>
      </c>
      <c r="BD563" s="1104">
        <f>MIN(AT563*0.15+BC563*0.00003+INDEX(绊状态确认!M:M,MATCH($G563,绊状态确认!$B:$B,)),1)</f>
        <v>0.51013032561155991</v>
      </c>
      <c r="BE563" s="432">
        <f>(INDEX(绊状态确认!$N:$N,MATCH($G563,绊状态确认!$B:$B,))+1.5)</f>
        <v>1.9</v>
      </c>
      <c r="BF563" s="1139">
        <f t="array" ref="BF563">SUMPRODUCT(IF(AZ563*AP563*$FI$16:$FI$23*$FA$22&gt;=$FI$24,$FI$24,AZ563*AP563*$FI$16:$FI$23*$FA$22),$FJ$16:$FJ$23)</f>
        <v>28877.292011543039</v>
      </c>
      <c r="BG563" s="1125">
        <f t="array" ref="BG563">SUMPRODUCT(IF(BE563*AZ563*AP563*$FI$16:$FI$23*$FA$22&gt;=$FI$24,$FI$24,BE563*AZ563*AP563*$FI$16:$FI$23*$FA$22),$FJ$16:$FJ$23)</f>
        <v>53502.082531838205</v>
      </c>
      <c r="BH563" s="1110">
        <f t="shared" si="716"/>
        <v>13813.048139259221</v>
      </c>
      <c r="BI563" s="1111">
        <f>IF(O563="vo",$EW$26/$EW$24*0.05,0)+IF(O563="sk",-$EW$26/$EW$24*(0.05-INDEX(绊状态确认!W:W,MATCH($G563,绊状态确认!$B:$B,)))+0.05*$EW$28,0)+IF(O563="sp",0.05*$EW$32*$EW$30*(1-$EW$33)-(0.05-INDEX(绊状态确认!V:V,MATCH($G563,绊状态确认!$B:$B,)))*$EW$28,0)+IF(O563="gd",-(0.05-INDEX(绊状态确认!X:X,MATCH($G563,绊状态确认!$B:$B,)))*$EW$32*$EW$30*(1-$EW$33),0)</f>
        <v>-585.00000000000011</v>
      </c>
      <c r="BJ563" s="420">
        <f>IF(O563="vo",0.05*(1-$FI$26)*$FA$24,0)+IF(O563="sk",-(0.05-INDEX(绊状态确认!W:W,MATCH($G563,绊状态确认!$B:$B,)))*(1-$FI$26)*$FA$24+0.05*$FA$26,0)+IF(O563="sp",0.05*$FA$32*$FA$27*(1-$FA$33)/$FA$30+0.05*$FA$29/$FA$69*$FA$27*(1-$FA$33)-(0.05-INDEX(绊状态确认!V:V,MATCH($G563,绊状态确认!$B:$B,)))*$FA$26,0)+IF(O563="gd",-(0.05-INDEX(绊状态确认!X:X,MATCH($G563,绊状态确认!$B:$B,)))*$FA$32*$FA$27*(1-$FA$33)/$FA$30-(0.05-INDEX(绊状态确认!X:X,MATCH($G563,绊状态确认!$B:$B,)))*$FA$29/$FA$69*$FA$27*(1-$FA$33),0)</f>
        <v>-795.00000000000011</v>
      </c>
      <c r="BK563" s="1110">
        <f>IF(O563="vo",$EW$26/$EW$24*0.05+$EW$26*(-HP($EW$62,$EW$65,$EW$64)+HP($EW$62,$EW$65,(1.05-INDEX(绊状态确认!U:U,MATCH($G563,绊状态确认!$B:$B,)))*$EW$64)),0)+IF(O563="sk",-$EW$26/$EW$24*(0.05-INDEX(绊状态确认!W:W,MATCH($G563,绊状态确认!$B:$B,)))+0.05*$EW$29,0)+IF(O563="sp",0.05*$EW$32*$EW$30*(1-$EW$33)-(0.05-INDEX(绊状态确认!V:V,MATCH($G563,绊状态确认!$B:$B,)))*$EW$29,0)+IF(O563="gd",-(0.05-INDEX(绊状态确认!X:X,MATCH($G563,绊状态确认!$B:$B,)))*$EW$32*$EW$30*(1-$EW$33)+$EW$26*(-HP($EW$62,$EW$65,$EW$64)+HP($EW$62,$EW$65,0.95*$EW$64)),0)</f>
        <v>1009.5947725176144</v>
      </c>
      <c r="BL563" s="1111">
        <f t="shared" si="717"/>
        <v>-1083.3333333333333</v>
      </c>
      <c r="BM563" s="1110">
        <f t="shared" si="718"/>
        <v>-830.55555555555543</v>
      </c>
      <c r="BN563" s="1113">
        <f t="shared" si="719"/>
        <v>3</v>
      </c>
      <c r="BO563" s="1108">
        <f t="shared" si="720"/>
        <v>4507.7214871259994</v>
      </c>
      <c r="BP563" s="1127">
        <f t="shared" si="721"/>
        <v>221.34103209030098</v>
      </c>
      <c r="BQ563" s="1113" t="s">
        <v>132</v>
      </c>
      <c r="BR563" s="1124" t="s">
        <v>171</v>
      </c>
      <c r="BS563" s="421">
        <f>IF($P563="","N/A",IF($P563=-1,INDEX('卡片raw data'!AX:AX,MATCH($D563,'卡片raw data'!$F:$F,)),0)+IF($L563="party卡",IF($P563=5,INDEX('卡片raw data'!BD:BD,MATCH($D563,'卡片raw data'!$F:$F,)),IF($P563&gt;=3,INDEX('卡片raw data'!BC:BC,MATCH($D563,'卡片raw data'!$F:$F,)),INDEX('卡片raw data'!BB:BB,MATCH($D563,'卡片raw data'!$F:$F,)))),IF(OR(AND($F563="UR",$P563=0),AND($F563="SR",$P563&gt;=0,$P563&lt;=2),AND($F563="R",$P563&gt;=0,$P563&lt;4)),INDEX('卡片raw data'!AZ:AZ,MATCH($D563,'卡片raw data'!$F:$F,)),0)+IF(OR(AND($F563="UR",$P563&gt;=1,$P563&lt;=4),AND($F563="SR",$P563&lt;=4,$P563&gt;=3),AND($F563="R",$P563=4)),INDEX('卡片raw data'!BA:BA,MATCH($D563,'卡片raw data'!$F:$F,)),0)+IF($P563=5,INDEX('卡片raw data'!BB:BB,MATCH($D563,'卡片raw data'!$F:$F,)),0)))</f>
        <v>4.2000000000000003E-2</v>
      </c>
      <c r="BT563" s="424">
        <f t="shared" si="722"/>
        <v>2103.6033606587998</v>
      </c>
      <c r="BU563" s="420">
        <f t="shared" si="723"/>
        <v>90.380921436872924</v>
      </c>
      <c r="BV563" s="420">
        <f t="shared" si="724"/>
        <v>1051.8016803293999</v>
      </c>
      <c r="BW563" s="436">
        <f t="shared" si="725"/>
        <v>0</v>
      </c>
      <c r="BX563" s="423">
        <f t="shared" si="726"/>
        <v>2103.6033606587998</v>
      </c>
      <c r="BY563" s="433">
        <f t="shared" si="727"/>
        <v>1051.8016803293999</v>
      </c>
      <c r="BZ563" s="1113" t="s">
        <v>569</v>
      </c>
      <c r="CA563" s="450"/>
      <c r="CB563" s="421">
        <f>IF($P563="","N/A",IF($P563=-1,INDEX('卡片raw data'!BE:BE,MATCH($D563,'卡片raw data'!$F:$F,)),0)+IF($L563="party卡",IF($P563=5,INDEX('卡片raw data'!BK:BK,MATCH($D563,'卡片raw data'!$F:$F,)),IF($P563&gt;=3,INDEX('卡片raw data'!BJ:BJ,MATCH($D563,'卡片raw data'!$F:$F,)),INDEX('卡片raw data'!BI:BI,MATCH($D563,'卡片raw data'!$F:$F,)))),IF(OR(AND($F563="UR",$P563=0),AND($F563="SR",$P563&gt;=0,$P563&lt;=2),AND($F563="R",$P563&gt;=0,$P563&lt;4)),INDEX('卡片raw data'!BG:BG,MATCH($D563,'卡片raw data'!$F:$F,)),0)+IF(OR(AND($F563="UR",$P563&gt;=1,$P563&lt;=4),AND($F563="SR",$P563&lt;=4,$P563&gt;=3),AND($F563="R",$P563=4)),INDEX('卡片raw data'!BH:BH,MATCH($D563,'卡片raw data'!$F:$F,)),0)+IF($P563=5,INDEX('卡片raw data'!BI:BI,MATCH($D563,'卡片raw data'!$F:$F,)),0)))</f>
        <v>0</v>
      </c>
      <c r="CC563" s="424">
        <f t="shared" si="786"/>
        <v>0</v>
      </c>
      <c r="CD563" s="420">
        <f>IF(BZ563="ap",CB563*(1-$FI$26)*$FB$5/$FB$11*(+IF(CA563="全员",$FA$24,0)+IF(CA563="同作战",$FA$24,0)+IF(CA563="仲间",$FA$24*2/3,0)+IF(CA563="同属性",$FA$24*$FA$37/3,0)+IF(CA563="同年级",$FA$24*$FA$40/3,0)+IF(CA563="同学校",$FA$24*$FA$43/3,0)+IF(CA563="同小队",$FA$24*$FA$46/3,0)+IF(CA563="同type",$FA$24*INDEX($FB$49:$FB$52,MATCH(X563,$FA$49:$FA$52,))/3,0)+IF(CA563="自身",#REF!/3,0)),0)+IF(BZ563="te",CB563*(1-$FI$27)*($FA$20-1)*$FB$7/$FB$13*(+IF(CA563="全员",$FA$19*$FA$24/(1+($FA$20-1)*$FA$19),0)+IF(CA563="同作战",$FA$19*$FA$24/(1+($FA$20-1)*$FA$19),0)+IF(CA563="仲间",$FA$19*$FA$24*2/3/(1+($FA$20-1)*$FA$19),0)+IF(CA563="同属性",$FA$19*$FA$24*$FA$37/3/(1+($FA$20-1)*$FA$19),0)+IF(CA563="同年级",$FA$19*$FA$24*$FA$40/3/(1+($FA$20-1)*$FA$19),0)+IF(CA563="同学校",$FA$19*$FA$24*$FA$43/3/(1+($FA$20-1)*$FA$19),0)+IF(CA563="同小队",$FA$19*$FA$24*$FA$46/3/(1+($FA$20-1)*$FA$19),0)+IF(CA563="同type",$FA$19*$FA$24*INDEX($FB$49:$FB$52,MATCH(X563,$FA$49:$FA$52,))/3/(1+($FA$20-1)*$FA$19),0)+IF(CA563="自身",$FA$19*#REF!/3/(1+(BH563-1)*$BD563),0)),0)</f>
        <v>0</v>
      </c>
      <c r="CE563" s="420">
        <f t="shared" si="729"/>
        <v>0</v>
      </c>
      <c r="CF563" s="436">
        <f t="shared" si="787"/>
        <v>0</v>
      </c>
      <c r="CG563" s="423">
        <f t="shared" si="731"/>
        <v>0</v>
      </c>
      <c r="CH563" s="433">
        <f t="shared" si="732"/>
        <v>0</v>
      </c>
      <c r="CI563" s="1113" t="s">
        <v>164</v>
      </c>
      <c r="CJ563" s="1114">
        <v>1</v>
      </c>
      <c r="CK563" s="1115" t="s">
        <v>2080</v>
      </c>
      <c r="CL563" s="1115" t="s">
        <v>1943</v>
      </c>
      <c r="CM563" s="1119">
        <v>6.6000000000000003E-2</v>
      </c>
      <c r="CN563" s="1115"/>
      <c r="CO563" s="1115"/>
      <c r="CP563" s="1116">
        <f t="shared" si="733"/>
        <v>21.981618389310171</v>
      </c>
      <c r="CQ563" s="1116">
        <f t="shared" si="734"/>
        <v>34.193628605593602</v>
      </c>
      <c r="CR563" s="1117">
        <f t="shared" si="735"/>
        <v>21.981618389310171</v>
      </c>
      <c r="CS563" s="442">
        <f t="shared" si="782"/>
        <v>0</v>
      </c>
      <c r="CT563" s="432">
        <f t="shared" si="783"/>
        <v>0</v>
      </c>
      <c r="CU563" s="1101">
        <f t="shared" si="738"/>
        <v>0</v>
      </c>
      <c r="CV563" s="1108">
        <f t="shared" si="777"/>
        <v>0</v>
      </c>
      <c r="CW563" s="1097">
        <f t="shared" si="739"/>
        <v>0</v>
      </c>
      <c r="CX563" s="420">
        <f t="shared" si="740"/>
        <v>1790.2119772508115</v>
      </c>
      <c r="CY563" s="433">
        <f t="shared" si="741"/>
        <v>1790.2119772508115</v>
      </c>
      <c r="CZ563" s="437"/>
      <c r="DA563" s="438"/>
      <c r="DB563" s="439" t="s">
        <v>569</v>
      </c>
      <c r="DC563" s="439"/>
      <c r="DD563" s="443"/>
      <c r="DE563" s="411"/>
      <c r="DF563" s="411"/>
      <c r="DG563" s="1116">
        <f t="shared" si="742"/>
        <v>0</v>
      </c>
      <c r="DH563" s="1116">
        <f t="shared" si="743"/>
        <v>0</v>
      </c>
      <c r="DI563" s="1116">
        <f t="shared" si="744"/>
        <v>0</v>
      </c>
      <c r="DJ563" s="442">
        <f t="shared" si="784"/>
        <v>0</v>
      </c>
      <c r="DK563" s="432">
        <f t="shared" si="785"/>
        <v>0</v>
      </c>
      <c r="DL563" s="424">
        <f t="shared" si="747"/>
        <v>0</v>
      </c>
      <c r="DM563" s="420">
        <f t="shared" si="748"/>
        <v>0</v>
      </c>
      <c r="DN563" s="420">
        <f t="shared" si="749"/>
        <v>0</v>
      </c>
      <c r="DO563" s="420">
        <f t="shared" si="750"/>
        <v>0</v>
      </c>
      <c r="DP563" s="433">
        <f t="shared" si="751"/>
        <v>0</v>
      </c>
      <c r="DQ563" s="1113" t="s">
        <v>556</v>
      </c>
      <c r="DR563" s="1120">
        <f t="shared" si="788"/>
        <v>0.3</v>
      </c>
      <c r="DS563" s="1124">
        <v>5</v>
      </c>
      <c r="DT563" s="1093" t="s">
        <v>161</v>
      </c>
      <c r="DU563" s="1093" t="s">
        <v>544</v>
      </c>
      <c r="DV563" s="1098">
        <f>IF($P563="","N/A",IF(P563=-1,INDEX('卡片raw data'!AN:AN,MATCH(D563,'卡片raw data'!$F:$F,)),0)+IF(AND(L563&lt;&gt;"party卡",P563&lt;=2,P563&gt;=0),INDEX('卡片raw data'!AP:AP,MATCH(D563,'卡片raw data'!$F:$F,)),0)+IF(OR(AND(L563="party卡",P563&lt;=1),AND(P563&lt;=4,L563&lt;&gt;"party卡",P563&gt;=3)),INDEX('卡片raw data'!AQ:AQ,MATCH(D563,'卡片raw data'!$F:$F,)),0)+IF(OR(P563=5,AND(L563="party卡",P563&gt;=2)),INDEX('卡片raw data'!AR:AR,MATCH(D563,'卡片raw data'!$F:$F,)),0))</f>
        <v>0.2</v>
      </c>
      <c r="DW563" s="1098">
        <f t="shared" si="752"/>
        <v>0.3</v>
      </c>
      <c r="DX563" s="1098">
        <f t="shared" si="753"/>
        <v>0.3</v>
      </c>
      <c r="DY563" s="1098">
        <f t="shared" si="754"/>
        <v>0.1</v>
      </c>
      <c r="DZ563" s="1098">
        <f t="shared" si="755"/>
        <v>8.6500000000000007E-2</v>
      </c>
      <c r="EA563" s="421">
        <f t="shared" si="756"/>
        <v>0</v>
      </c>
      <c r="EB563" s="445">
        <f t="shared" si="757"/>
        <v>0</v>
      </c>
      <c r="EC563" s="424">
        <f t="shared" si="758"/>
        <v>0</v>
      </c>
      <c r="ED563" s="420">
        <f t="shared" si="759"/>
        <v>0</v>
      </c>
      <c r="EE563" s="433">
        <f t="shared" si="775"/>
        <v>4325.6052344862483</v>
      </c>
      <c r="EF563" s="1115" t="s">
        <v>569</v>
      </c>
      <c r="EG563" s="1120">
        <f t="shared" si="789"/>
        <v>0.3</v>
      </c>
      <c r="EH563" s="450"/>
      <c r="EI563" s="1093"/>
      <c r="EJ563" s="1093"/>
      <c r="EK563" s="420">
        <f>IF($P563="","N/A",IF(P563=-1,INDEX('卡片raw data'!AS:AS,MATCH(D563,'卡片raw data'!$F:$F,)),0)+IF(AND(L563&lt;&gt;"party卡",P563&lt;=2,P563&gt;=0),INDEX('卡片raw data'!AU:AU,MATCH(D563,'卡片raw data'!$F:$F,)),0)+IF(OR(AND(L563="party卡",P563&lt;=1),AND(P563&lt;=4,L563&lt;&gt;"party卡",P563&gt;=3)),INDEX('卡片raw data'!AV:AV,MATCH(D563,'卡片raw data'!$F:$F,)),0)+IF(OR(P563=5,AND(L563="party卡",P563&gt;=2)),INDEX('卡片raw data'!AW:AW,MATCH(D563,'卡片raw data'!$F:$F,)),0))</f>
        <v>0</v>
      </c>
      <c r="EL563" s="1098">
        <f t="shared" si="760"/>
        <v>0.3</v>
      </c>
      <c r="EM563" s="1098">
        <f t="shared" si="761"/>
        <v>0.3</v>
      </c>
      <c r="EN563" s="1097">
        <f t="shared" si="762"/>
        <v>0</v>
      </c>
      <c r="EO563" s="1097">
        <f t="shared" si="763"/>
        <v>0</v>
      </c>
      <c r="EP563" s="421">
        <f t="shared" si="764"/>
        <v>0</v>
      </c>
      <c r="EQ563" s="445">
        <f t="shared" si="765"/>
        <v>0</v>
      </c>
      <c r="ER563" s="424">
        <f t="shared" si="766"/>
        <v>0</v>
      </c>
      <c r="ES563" s="420">
        <f t="shared" si="767"/>
        <v>0</v>
      </c>
      <c r="ET563" s="446">
        <f t="shared" si="776"/>
        <v>0</v>
      </c>
    </row>
    <row r="564" spans="2:150" ht="16.5" customHeight="1">
      <c r="B564" s="448" t="str">
        <f>INDEX('卡片raw data'!B:B,MATCH($D564,'卡片raw data'!$F:$F,))</f>
        <v>万圣梨</v>
      </c>
      <c r="C564" s="449" t="s">
        <v>4620</v>
      </c>
      <c r="D564" s="408">
        <v>561</v>
      </c>
      <c r="E564" s="477">
        <v>401023006</v>
      </c>
      <c r="F564" s="409" t="str">
        <f>INDEX('卡片raw data'!C:C,MATCH($D564,'卡片raw data'!$F:$F,))</f>
        <v>UR</v>
      </c>
      <c r="G564" s="1094" t="s">
        <v>4621</v>
      </c>
      <c r="H564" s="411">
        <f>IFERROR(INDEX(绊状态确认!C:C,MATCH($G564,绊状态确认!$B:$B,)),"")</f>
        <v>102</v>
      </c>
      <c r="I564" s="450" t="str">
        <f>IFERROR(INDEX(绊状态确认!D:D,MATCH($G564,绊状态确认!$B:$B,)),"")</f>
        <v>水</v>
      </c>
      <c r="J564" s="450" t="str">
        <f>IFERROR(INDEX(绊状态确认!E:E,MATCH($G564,绊状态确认!$B:$B,)),"")</f>
        <v>2年级</v>
      </c>
      <c r="K564" s="451" t="str">
        <f>IFERROR(INDEX(绊状态确认!F:F,MATCH($G564,绊状态确认!$B:$B,)),"")</f>
        <v>Guilty Kiss</v>
      </c>
      <c r="L564" s="414" t="str">
        <f>INDEX('卡片raw data'!E:E,MATCH($D564,'卡片raw data'!$F:$F,))</f>
        <v>卡池卡</v>
      </c>
      <c r="M564" s="478">
        <v>44489</v>
      </c>
      <c r="N564" s="479">
        <v>50</v>
      </c>
      <c r="O564" s="410" t="str">
        <f>INDEX('卡片raw data'!D:D,MATCH($D564,'卡片raw data'!$F:$F,))</f>
        <v>gd</v>
      </c>
      <c r="P564" s="1126">
        <v>5</v>
      </c>
      <c r="Q564" s="418">
        <f t="shared" si="688"/>
        <v>38132.455626776064</v>
      </c>
      <c r="R564" s="419">
        <f t="shared" si="689"/>
        <v>0.443</v>
      </c>
      <c r="S564" s="420">
        <f t="shared" si="690"/>
        <v>17987.70592798787</v>
      </c>
      <c r="T564" s="421">
        <f t="shared" si="691"/>
        <v>0.89900000000000002</v>
      </c>
      <c r="U564" s="422">
        <f t="shared" si="692"/>
        <v>1156.4997114137796</v>
      </c>
      <c r="V564" s="423">
        <f t="shared" si="693"/>
        <v>90677.1681572456</v>
      </c>
      <c r="W564" s="424">
        <f t="shared" si="694"/>
        <v>4507.7214871259994</v>
      </c>
      <c r="X564" s="419">
        <f t="shared" si="695"/>
        <v>5.1999999999999998E-2</v>
      </c>
      <c r="Y564" s="420">
        <f t="shared" si="696"/>
        <v>2515.0866683281683</v>
      </c>
      <c r="Z564" s="425">
        <f t="shared" si="697"/>
        <v>30.608122775657133</v>
      </c>
      <c r="AA564" s="426">
        <f t="shared" si="698"/>
        <v>7022.8081554541677</v>
      </c>
      <c r="AB564" s="424">
        <f t="shared" si="699"/>
        <v>4507.7214871259994</v>
      </c>
      <c r="AC564" s="427">
        <f t="shared" si="700"/>
        <v>5.1999999999999998E-2</v>
      </c>
      <c r="AD564" s="428">
        <f t="shared" si="701"/>
        <v>0</v>
      </c>
      <c r="AE564" s="516">
        <f t="shared" si="702"/>
        <v>-6.25</v>
      </c>
      <c r="AF564" s="1130">
        <f t="shared" si="703"/>
        <v>14146.807516416633</v>
      </c>
      <c r="AG564" s="420">
        <f t="shared" si="704"/>
        <v>87864.893742720014</v>
      </c>
      <c r="AH564" s="420">
        <f t="shared" si="705"/>
        <v>6.2109344204165771</v>
      </c>
      <c r="AI564" s="1097">
        <f t="shared" si="706"/>
        <v>116779.16055891488</v>
      </c>
      <c r="AJ564" s="420">
        <f t="shared" si="707"/>
        <v>90677.1681572456</v>
      </c>
      <c r="AK564" s="518">
        <f t="shared" si="708"/>
        <v>26101.992401669282</v>
      </c>
      <c r="AL564" s="1106">
        <f>IF($P564="","N/A",(IF($P564=-1,INDEX('卡片raw data'!S:S,MATCH($D564,'卡片raw data'!$F:$F,)),0)+IF($P564=0,INDEX('卡片raw data'!V:V,MATCH($D564,'卡片raw data'!$F:$F,)),0)+IF($P564=1,INDEX('卡片raw data'!Y:Y,MATCH($D564,'卡片raw data'!$F:$F,)),0)+IF($P564=2,INDEX('卡片raw data'!AB:AB,MATCH($D564,'卡片raw data'!$F:$F,)),0)+IF($P564=3,INDEX('卡片raw data'!AE:AE,MATCH($D564,'卡片raw data'!$F:$F,)),0)+IF($P564=4,INDEX('卡片raw data'!AH:AH,MATCH($D564,'卡片raw data'!$F:$F,)),0)+IF($P564=5,INDEX('卡片raw data'!AK:AK,MATCH($D564,'卡片raw data'!$F:$F,)),0)+INDEX('卡片raw data'!S:S,MATCH($D564,'卡片raw data'!$F:$F,))*(IF($F564="UR",0.04,0.033))*(IF($F564="UR",INDEX(绊状态确认!$S:$S,MATCH($G564,绊状态确认!$B:$B,))/2-40)+IF($F564="SR",INDEX(绊状态确认!$R:$R,MATCH($G564,绊状态确认!$B:$B,))/4-15))+IF($F564="R",INDEX(绊状态确认!$Q:$Q,MATCH($G564,绊状态确认!$B:$B,))/6-40/6)))*(INDEX(绊状态确认!$H:$H,MATCH($G564,绊状态确认!$B:$B,))+INDEX(绊状态确认!J:J,MATCH($G564,绊状态确认!$B:$B,)))</f>
        <v>11521.914143999997</v>
      </c>
      <c r="AM564" s="1106">
        <f>IF($P564="","N/A",(IF($P564=-1,INDEX('卡片raw data'!T:T,MATCH($D564,'卡片raw data'!$F:$F,)),0)+IF($P564=0,INDEX('卡片raw data'!W:W,MATCH($D564,'卡片raw data'!$F:$F,)),0)+IF($P564=1,INDEX('卡片raw data'!Z:Z,MATCH($D564,'卡片raw data'!$F:$F,)),0)+IF($P564=2,INDEX('卡片raw data'!AC:AC,MATCH($D564,'卡片raw data'!$F:$F,)),0)+IF($P564=3,INDEX('卡片raw data'!AF:AF,MATCH($D564,'卡片raw data'!$F:$F,)),0)+IF($P564=4,INDEX('卡片raw data'!AI:AI,MATCH($D564,'卡片raw data'!$F:$F,)),0)+IF($P564=5,INDEX('卡片raw data'!AL:AL,MATCH($D564,'卡片raw data'!$F:$F,)),0)+INDEX('卡片raw data'!T:T,MATCH($D564,'卡片raw data'!$F:$F,))*(IF($F564="UR",0.04,0.033))*(IF($F564="UR",INDEX(绊状态确认!$S:$S,MATCH($G564,绊状态确认!$B:$B,))/2-40)+IF($F564="SR",INDEX(绊状态确认!$R:$R,MATCH($G564,绊状态确认!$B:$B,))/4-15))+IF($F564="R",INDEX(绊状态确认!$Q:$Q,MATCH($G564,绊状态确认!$B:$B,))/6-40/6)))*(INDEX(绊状态确认!$H:$H,MATCH($G564,绊状态确认!$B:$B,))+INDEX(绊状态确认!K:K,MATCH($G564,绊状态确认!$B:$B,)))</f>
        <v>17282.916671999996</v>
      </c>
      <c r="AN564" s="1106">
        <f>IF($P564="","N/A",(IF($P564=-1,INDEX('卡片raw data'!U:U,MATCH($D564,'卡片raw data'!$F:$F,)),0)+IF($P564=0,INDEX('卡片raw data'!X:X,MATCH($D564,'卡片raw data'!$F:$F,)),0)+IF($P564=1,INDEX('卡片raw data'!AA:AA,MATCH($D564,'卡片raw data'!$F:$F,)),0)+IF($P564=2,INDEX('卡片raw data'!AD:AD,MATCH($D564,'卡片raw data'!$F:$F,)),0)+IF($P564=3,INDEX('卡片raw data'!AG:AG,MATCH($D564,'卡片raw data'!$F:$F,)),0)+IF($P564=4,INDEX('卡片raw data'!AJ:AJ,MATCH($D564,'卡片raw data'!$F:$F,)),0)+IF($P564=5,INDEX('卡片raw data'!AM:AM,MATCH($D564,'卡片raw data'!$F:$F,)),0)+INDEX('卡片raw data'!U:U,MATCH($D564,'卡片raw data'!$F:$F,))*(IF($F564="UR",0.04,0.033))*(IF($F564="UR",INDEX(绊状态确认!$S:$S,MATCH($G564,绊状态确认!$B:$B,))/2-40)+IF($F564="SR",INDEX(绊状态确认!$R:$R,MATCH($G564,绊状态确认!$B:$B,))/4-15))+IF($F564="R",INDEX(绊状态确认!$Q:$Q,MATCH($G564,绊状态确认!$B:$B,))/6-40/6)))*(INDEX(绊状态确认!$H:$H,MATCH($G564,绊状态确认!$B:$B,))+INDEX(绊状态确认!L:L,MATCH($G564,绊状态确认!$B:$B,)))</f>
        <v>9600.8526719999991</v>
      </c>
      <c r="AO564" s="1107">
        <f t="shared" si="709"/>
        <v>1</v>
      </c>
      <c r="AP564" s="1131">
        <f>1+(INDEX(绊状态确认!$T:$T,MATCH($G564,绊状态确认!$B:$B,))+0.2)*$AO564</f>
        <v>1.3</v>
      </c>
      <c r="AQ564" s="1108">
        <f t="shared" si="710"/>
        <v>33495.024627999992</v>
      </c>
      <c r="AR564" s="1097">
        <f>(AM564*(1+$EX$9)+$EX$35)*(1+(INDEX(绊状态确认!$T:$T,MATCH($G564,绊状态确认!$B:$B,))+0.2)*AO564)*IF(J564=$FF$17,1+$FE$17,1)*IF(I564=$FF$14,1+$FE$14,1)</f>
        <v>26295.181257279994</v>
      </c>
      <c r="AS564" s="1097">
        <f>(AN564*(1+$EX$10)+$EX$36)*(1+(INDEX(绊状态确认!$T:$T,MATCH($G564,绊状态确认!$B:$B,))+0.2)*AO564)*IF(J564=$FF$17,1+$FE$17,1)*IF(I564=$FF$14,1+$FE$14,1)</f>
        <v>18409.274744639999</v>
      </c>
      <c r="AT564" s="1093">
        <f>IF(AND(INDEX('卡片raw data'!AK:AK,MATCH($D564,'卡片raw data'!$F:$F,))&lt;INDEX('卡片raw data'!AM:AM,MATCH($D564,'卡片raw data'!$F:$F,)),INDEX('卡片raw data'!AL:AL,MATCH($D564,'卡片raw data'!$F:$F,))&lt;INDEX('卡片raw data'!AM:AM,MATCH($D564,'卡片raw data'!$F:$F,))),1,0)</f>
        <v>0</v>
      </c>
      <c r="AU564" s="1098">
        <f>MIN(AT564*0.15+AS564*0.00003+INDEX(绊状态确认!M:M,MATCH($G564,绊状态确认!$B:$B,)),1)</f>
        <v>0.5822782423392</v>
      </c>
      <c r="AV564" s="1109">
        <f>(INDEX(绊状态确认!$N:$N,MATCH($G564,绊状态确认!$B:$B,))+1.5)*$EW$21</f>
        <v>2.6599999999999997</v>
      </c>
      <c r="AW564" s="1101">
        <f t="shared" si="711"/>
        <v>34209.734139650063</v>
      </c>
      <c r="AX564" s="1097">
        <f t="shared" si="712"/>
        <v>2324.5900270827838</v>
      </c>
      <c r="AY564" s="1110">
        <f t="shared" si="713"/>
        <v>36534.324166732848</v>
      </c>
      <c r="AZ564" s="429">
        <f t="shared" si="714"/>
        <v>25067.732580799991</v>
      </c>
      <c r="BA564" s="431">
        <f t="shared" si="715"/>
        <v>30081.279096959988</v>
      </c>
      <c r="BB564" s="1097">
        <f>(AM564*(1+$FB$9)+$FB$35)*(1+(INDEX(绊状态确认!$T:$T,MATCH($G564,绊状态确认!$B:$B,))+0.2)*AO564)*IF(J564=$FF$17,1+$FE$17,1)*IF(I564=$FF$14,1+$FE$14,1)*(1+$FE$15)</f>
        <v>26295.181257279994</v>
      </c>
      <c r="BC564" s="1097">
        <f>(AN564*(1+$FB$10)+$FB$36)*(1+(INDEX(绊状态确认!$T:$T,MATCH($G564,绊状态确认!$B:$B,))+0.2)*AO564)*IF(J564=$FF$17,1+$FE$17,1)*IF(I564=$FF$14,1+$FE$14,1)*(1+$FE$15)</f>
        <v>18409.274744639999</v>
      </c>
      <c r="BD564" s="1104">
        <f>MIN(AT564*0.15+BC564*0.00003+INDEX(绊状态确认!M:M,MATCH($G564,绊状态确认!$B:$B,)),1)</f>
        <v>0.5822782423392</v>
      </c>
      <c r="BE564" s="432">
        <f>(INDEX(绊状态确认!$N:$N,MATCH($G564,绊状态确认!$B:$B,))+1.5)</f>
        <v>1.9</v>
      </c>
      <c r="BF564" s="1139">
        <f t="array" ref="BF564">SUMPRODUCT(IF(AZ564*AP564*$FI$16:$FI$23*$FA$22&gt;=$FI$24,$FI$24,AZ564*AP564*$FI$16:$FI$23*$FA$22),$FJ$16:$FJ$23)</f>
        <v>49667.990155753592</v>
      </c>
      <c r="BG564" s="1125">
        <f t="array" ref="BG564">SUMPRODUCT(IF(BE564*AZ564*AP564*$FI$16:$FI$23*$FA$22&gt;=$FI$24,$FI$24,BE564*AZ564*AP564*$FI$16:$FI$23*$FA$22),$FJ$16:$FJ$23)</f>
        <v>60000</v>
      </c>
      <c r="BH564" s="1110">
        <f t="shared" si="716"/>
        <v>18561.364895897568</v>
      </c>
      <c r="BI564" s="1111">
        <f>IF(O564="vo",$EW$26/$EW$24*0.05,0)+IF(O564="sk",-$EW$26/$EW$24*(0.05-INDEX(绊状态确认!W:W,MATCH($G564,绊状态确认!$B:$B,)))+0.05*$EW$28,0)+IF(O564="sp",0.05*$EW$32*$EW$30*(1-$EW$33)-(0.05-INDEX(绊状态确认!V:V,MATCH($G564,绊状态确认!$B:$B,)))*$EW$28,0)+IF(O564="gd",-(0.05-INDEX(绊状态确认!X:X,MATCH($G564,绊状态确认!$B:$B,)))*$EW$32*$EW$30*(1-$EW$33),0)</f>
        <v>-585.00000000000011</v>
      </c>
      <c r="BJ564" s="420">
        <f>IF(O564="vo",0.05*(1-$FI$26)*$FA$24,0)+IF(O564="sk",-(0.05-INDEX(绊状态确认!W:W,MATCH($G564,绊状态确认!$B:$B,)))*(1-$FI$26)*$FA$24+0.05*$FA$26,0)+IF(O564="sp",0.05*$FA$32*$FA$27*(1-$FA$33)/$FA$30+0.05*$FA$29/$FA$69*$FA$27*(1-$FA$33)-(0.05-INDEX(绊状态确认!V:V,MATCH($G564,绊状态确认!$B:$B,)))*$FA$26,0)+IF(O564="gd",-(0.05-INDEX(绊状态确认!X:X,MATCH($G564,绊状态确认!$B:$B,)))*$FA$32*$FA$27*(1-$FA$33)/$FA$30-(0.05-INDEX(绊状态确认!X:X,MATCH($G564,绊状态确认!$B:$B,)))*$FA$29/$FA$69*$FA$27*(1-$FA$33),0)</f>
        <v>-795.00000000000011</v>
      </c>
      <c r="BK564" s="1110">
        <f>IF(O564="vo",$EW$26/$EW$24*0.05+$EW$26*(-HP($EW$62,$EW$65,$EW$64)+HP($EW$62,$EW$65,(1.05-INDEX(绊状态确认!U:U,MATCH($G564,绊状态确认!$B:$B,)))*$EW$64)),0)+IF(O564="sk",-$EW$26/$EW$24*(0.05-INDEX(绊状态确认!W:W,MATCH($G564,绊状态确认!$B:$B,)))+0.05*$EW$29,0)+IF(O564="sp",0.05*$EW$32*$EW$30*(1-$EW$33)-(0.05-INDEX(绊状态确认!V:V,MATCH($G564,绊状态确认!$B:$B,)))*$EW$29,0)+IF(O564="gd",-(0.05-INDEX(绊状态确认!X:X,MATCH($G564,绊状态确认!$B:$B,)))*$EW$32*$EW$30*(1-$EW$33)+$EW$26*(-HP($EW$62,$EW$65,$EW$64)+HP($EW$62,$EW$65,0.95*$EW$64)),0)</f>
        <v>1009.5947725176144</v>
      </c>
      <c r="BL564" s="1111">
        <f t="shared" si="717"/>
        <v>0</v>
      </c>
      <c r="BM564" s="1110">
        <f t="shared" si="718"/>
        <v>0</v>
      </c>
      <c r="BN564" s="1113">
        <f t="shared" si="719"/>
        <v>3</v>
      </c>
      <c r="BO564" s="1108">
        <f t="shared" si="720"/>
        <v>4507.7214871259994</v>
      </c>
      <c r="BP564" s="1127">
        <f t="shared" si="721"/>
        <v>221.34103209030098</v>
      </c>
      <c r="BQ564" s="1113" t="s">
        <v>133</v>
      </c>
      <c r="BR564" s="1124" t="s">
        <v>171</v>
      </c>
      <c r="BS564" s="421">
        <f>IF($P564="","N/A",IF($P564=-1,INDEX('卡片raw data'!AX:AX,MATCH($D564,'卡片raw data'!$F:$F,)),0)+IF($L564="party卡",IF($P564=5,INDEX('卡片raw data'!BD:BD,MATCH($D564,'卡片raw data'!$F:$F,)),IF($P564&gt;=3,INDEX('卡片raw data'!BC:BC,MATCH($D564,'卡片raw data'!$F:$F,)),INDEX('卡片raw data'!BB:BB,MATCH($D564,'卡片raw data'!$F:$F,)))),IF(OR(AND($F564="UR",$P564=0),AND($F564="SR",$P564&gt;=0,$P564&lt;=2),AND($F564="R",$P564&gt;=0,$P564&lt;4)),INDEX('卡片raw data'!AZ:AZ,MATCH($D564,'卡片raw data'!$F:$F,)),0)+IF(OR(AND($F564="UR",$P564&gt;=1,$P564&lt;=4),AND($F564="SR",$P564&lt;=4,$P564&gt;=3),AND($F564="R",$P564=4)),INDEX('卡片raw data'!BA:BA,MATCH($D564,'卡片raw data'!$F:$F,)),0)+IF($P564=5,INDEX('卡片raw data'!BB:BB,MATCH($D564,'卡片raw data'!$F:$F,)),0)))</f>
        <v>5.1999999999999998E-2</v>
      </c>
      <c r="BT564" s="424">
        <f t="shared" si="722"/>
        <v>0</v>
      </c>
      <c r="BU564" s="420">
        <f t="shared" si="723"/>
        <v>0</v>
      </c>
      <c r="BV564" s="420">
        <f t="shared" si="724"/>
        <v>0</v>
      </c>
      <c r="BW564" s="436">
        <f t="shared" si="725"/>
        <v>2.4347142857142861</v>
      </c>
      <c r="BX564" s="423">
        <f t="shared" si="726"/>
        <v>190.49664124538464</v>
      </c>
      <c r="BY564" s="433">
        <f t="shared" si="727"/>
        <v>190.49664124538464</v>
      </c>
      <c r="BZ564" s="1113" t="s">
        <v>569</v>
      </c>
      <c r="CA564" s="450"/>
      <c r="CB564" s="421">
        <f>IF($P564="","N/A",IF($P564=-1,INDEX('卡片raw data'!BE:BE,MATCH($D564,'卡片raw data'!$F:$F,)),0)+IF($L564="party卡",IF($P564=5,INDEX('卡片raw data'!BK:BK,MATCH($D564,'卡片raw data'!$F:$F,)),IF($P564&gt;=3,INDEX('卡片raw data'!BJ:BJ,MATCH($D564,'卡片raw data'!$F:$F,)),INDEX('卡片raw data'!BI:BI,MATCH($D564,'卡片raw data'!$F:$F,)))),IF(OR(AND($F564="UR",$P564=0),AND($F564="SR",$P564&gt;=0,$P564&lt;=2),AND($F564="R",$P564&gt;=0,$P564&lt;4)),INDEX('卡片raw data'!BG:BG,MATCH($D564,'卡片raw data'!$F:$F,)),0)+IF(OR(AND($F564="UR",$P564&gt;=1,$P564&lt;=4),AND($F564="SR",$P564&lt;=4,$P564&gt;=3),AND($F564="R",$P564=4)),INDEX('卡片raw data'!BH:BH,MATCH($D564,'卡片raw data'!$F:$F,)),0)+IF($P564=5,INDEX('卡片raw data'!BI:BI,MATCH($D564,'卡片raw data'!$F:$F,)),0)))</f>
        <v>0</v>
      </c>
      <c r="CC564" s="424">
        <f t="shared" si="786"/>
        <v>0</v>
      </c>
      <c r="CD564" s="420">
        <f>IF(BZ564="ap",CB564*(1-$FI$26)*$FB$5/$FB$11*(+IF(CA564="全员",$FA$24,0)+IF(CA564="同作战",$FA$24,0)+IF(CA564="仲间",$FA$24*2/3,0)+IF(CA564="同属性",$FA$24*$FA$37/3,0)+IF(CA564="同年级",$FA$24*$FA$40/3,0)+IF(CA564="同学校",$FA$24*$FA$43/3,0)+IF(CA564="同小队",$FA$24*$FA$46/3,0)+IF(CA564="同type",$FA$24*INDEX($FB$49:$FB$52,MATCH(X564,$FA$49:$FA$52,))/3,0)+IF(CA564="自身",#REF!/3,0)),0)+IF(BZ564="te",CB564*(1-$FI$27)*($FA$20-1)*$FB$7/$FB$13*(+IF(CA564="全员",$FA$19*$FA$24/(1+($FA$20-1)*$FA$19),0)+IF(CA564="同作战",$FA$19*$FA$24/(1+($FA$20-1)*$FA$19),0)+IF(CA564="仲间",$FA$19*$FA$24*2/3/(1+($FA$20-1)*$FA$19),0)+IF(CA564="同属性",$FA$19*$FA$24*$FA$37/3/(1+($FA$20-1)*$FA$19),0)+IF(CA564="同年级",$FA$19*$FA$24*$FA$40/3/(1+($FA$20-1)*$FA$19),0)+IF(CA564="同学校",$FA$19*$FA$24*$FA$43/3/(1+($FA$20-1)*$FA$19),0)+IF(CA564="同小队",$FA$19*$FA$24*$FA$46/3/(1+($FA$20-1)*$FA$19),0)+IF(CA564="同type",$FA$19*$FA$24*INDEX($FB$49:$FB$52,MATCH(X564,$FA$49:$FA$52,))/3/(1+($FA$20-1)*$FA$19),0)+IF(CA564="自身",$FA$19*#REF!/3/(1+(BH564-1)*$BD564),0)),0)</f>
        <v>0</v>
      </c>
      <c r="CE564" s="420">
        <f t="shared" si="729"/>
        <v>0</v>
      </c>
      <c r="CF564" s="436">
        <f t="shared" si="787"/>
        <v>0</v>
      </c>
      <c r="CG564" s="423">
        <f t="shared" si="731"/>
        <v>0</v>
      </c>
      <c r="CH564" s="433">
        <f t="shared" si="732"/>
        <v>0</v>
      </c>
      <c r="CI564" s="1113" t="s">
        <v>172</v>
      </c>
      <c r="CJ564" s="1114">
        <v>0.2</v>
      </c>
      <c r="CK564" s="1115" t="s">
        <v>2080</v>
      </c>
      <c r="CL564" s="1115" t="s">
        <v>1943</v>
      </c>
      <c r="CM564" s="1119">
        <v>0.1</v>
      </c>
      <c r="CN564" s="1115"/>
      <c r="CO564" s="1092"/>
      <c r="CP564" s="1116">
        <f t="shared" si="733"/>
        <v>175.30120838186664</v>
      </c>
      <c r="CQ564" s="1116">
        <f t="shared" si="734"/>
        <v>175.30120838186664</v>
      </c>
      <c r="CR564" s="1116">
        <f t="shared" si="735"/>
        <v>0</v>
      </c>
      <c r="CS564" s="442">
        <f t="shared" si="782"/>
        <v>0</v>
      </c>
      <c r="CT564" s="432">
        <f t="shared" si="783"/>
        <v>0</v>
      </c>
      <c r="CU564" s="1101">
        <f t="shared" si="738"/>
        <v>0</v>
      </c>
      <c r="CV564" s="1108">
        <f t="shared" si="777"/>
        <v>0</v>
      </c>
      <c r="CW564" s="420">
        <f t="shared" si="739"/>
        <v>0</v>
      </c>
      <c r="CX564" s="420">
        <f t="shared" si="740"/>
        <v>0</v>
      </c>
      <c r="CY564" s="433">
        <f t="shared" si="741"/>
        <v>0</v>
      </c>
      <c r="CZ564" s="437"/>
      <c r="DA564" s="438"/>
      <c r="DB564" s="439" t="s">
        <v>569</v>
      </c>
      <c r="DC564" s="439"/>
      <c r="DD564" s="443"/>
      <c r="DE564" s="411"/>
      <c r="DF564" s="411"/>
      <c r="DG564" s="1116">
        <f t="shared" si="742"/>
        <v>0</v>
      </c>
      <c r="DH564" s="1116">
        <f t="shared" si="743"/>
        <v>0</v>
      </c>
      <c r="DI564" s="1116">
        <f t="shared" si="744"/>
        <v>0</v>
      </c>
      <c r="DJ564" s="442">
        <f t="shared" si="784"/>
        <v>0</v>
      </c>
      <c r="DK564" s="432">
        <f t="shared" si="785"/>
        <v>0</v>
      </c>
      <c r="DL564" s="424">
        <f t="shared" si="747"/>
        <v>0</v>
      </c>
      <c r="DM564" s="420">
        <f t="shared" si="748"/>
        <v>0</v>
      </c>
      <c r="DN564" s="420">
        <f t="shared" si="749"/>
        <v>0</v>
      </c>
      <c r="DO564" s="420">
        <f t="shared" si="750"/>
        <v>0</v>
      </c>
      <c r="DP564" s="433">
        <f t="shared" si="751"/>
        <v>0</v>
      </c>
      <c r="DQ564" s="1113" t="s">
        <v>635</v>
      </c>
      <c r="DR564" s="1120">
        <f t="shared" si="788"/>
        <v>0.33</v>
      </c>
      <c r="DS564" s="1124"/>
      <c r="DT564" s="1093" t="s">
        <v>133</v>
      </c>
      <c r="DU564" s="1124"/>
      <c r="DV564" s="1098">
        <f>IF($P564="","N/A",IF(P564=-1,INDEX('卡片raw data'!AN:AN,MATCH(D564,'卡片raw data'!$F:$F,)),0)+IF(AND(L564&lt;&gt;"party卡",P564&lt;=2,P564&gt;=0),INDEX('卡片raw data'!AP:AP,MATCH(D564,'卡片raw data'!$F:$F,)),0)+IF(OR(AND(L564="party卡",P564&lt;=1),AND(P564&lt;=4,L564&lt;&gt;"party卡",P564&gt;=3)),INDEX('卡片raw data'!AQ:AQ,MATCH(D564,'卡片raw data'!$F:$F,)),0)+IF(OR(P564=5,AND(L564="party卡",P564&gt;=2)),INDEX('卡片raw data'!AR:AR,MATCH(D564,'卡片raw data'!$F:$F,)),0))</f>
        <v>0.32</v>
      </c>
      <c r="DW564" s="1098">
        <f t="shared" si="752"/>
        <v>0.33</v>
      </c>
      <c r="DX564" s="1098">
        <f t="shared" si="753"/>
        <v>0.33</v>
      </c>
      <c r="DY564" s="1097">
        <f t="shared" si="754"/>
        <v>925.5903802562558</v>
      </c>
      <c r="DZ564" s="1097">
        <f t="shared" si="755"/>
        <v>800.63567892166122</v>
      </c>
      <c r="EA564" s="421">
        <f t="shared" si="756"/>
        <v>0</v>
      </c>
      <c r="EB564" s="445">
        <f t="shared" si="757"/>
        <v>0</v>
      </c>
      <c r="EC564" s="424">
        <f t="shared" si="758"/>
        <v>0</v>
      </c>
      <c r="ED564" s="420">
        <f t="shared" si="759"/>
        <v>0</v>
      </c>
      <c r="EE564" s="433">
        <f t="shared" si="775"/>
        <v>48435.03108962375</v>
      </c>
      <c r="EF564" s="1113" t="s">
        <v>569</v>
      </c>
      <c r="EG564" s="1120">
        <f t="shared" si="789"/>
        <v>0.33</v>
      </c>
      <c r="EH564" s="450"/>
      <c r="EI564" s="1124"/>
      <c r="EJ564" s="1124"/>
      <c r="EK564" s="420">
        <f>IF($P564="","N/A",IF(P564=-1,INDEX('卡片raw data'!AS:AS,MATCH(D564,'卡片raw data'!$F:$F,)),0)+IF(AND(L564&lt;&gt;"party卡",P564&lt;=2,P564&gt;=0),INDEX('卡片raw data'!AU:AU,MATCH(D564,'卡片raw data'!$F:$F,)),0)+IF(OR(AND(L564="party卡",P564&lt;=1),AND(P564&lt;=4,L564&lt;&gt;"party卡",P564&gt;=3)),INDEX('卡片raw data'!AV:AV,MATCH(D564,'卡片raw data'!$F:$F,)),0)+IF(OR(P564=5,AND(L564="party卡",P564&gt;=2)),INDEX('卡片raw data'!AW:AW,MATCH(D564,'卡片raw data'!$F:$F,)),0))</f>
        <v>0</v>
      </c>
      <c r="EL564" s="1098">
        <f t="shared" si="760"/>
        <v>0.33</v>
      </c>
      <c r="EM564" s="1098">
        <f t="shared" si="761"/>
        <v>0.33</v>
      </c>
      <c r="EN564" s="1097">
        <f t="shared" si="762"/>
        <v>0</v>
      </c>
      <c r="EO564" s="1097">
        <f t="shared" si="763"/>
        <v>0</v>
      </c>
      <c r="EP564" s="421">
        <f t="shared" si="764"/>
        <v>0</v>
      </c>
      <c r="EQ564" s="445">
        <f t="shared" si="765"/>
        <v>0</v>
      </c>
      <c r="ER564" s="424">
        <f t="shared" si="766"/>
        <v>0</v>
      </c>
      <c r="ES564" s="420">
        <f t="shared" si="767"/>
        <v>0</v>
      </c>
      <c r="ET564" s="446">
        <f t="shared" si="776"/>
        <v>0</v>
      </c>
    </row>
    <row r="565" spans="2:150" ht="16.5" customHeight="1">
      <c r="B565" s="1123" t="str">
        <f>INDEX('卡片raw data'!B:B,MATCH($D565,'卡片raw data'!$F:$F,))</f>
        <v>万圣栞</v>
      </c>
      <c r="C565" s="449" t="s">
        <v>4620</v>
      </c>
      <c r="D565" s="408">
        <v>562</v>
      </c>
      <c r="E565" s="477">
        <v>402103001</v>
      </c>
      <c r="F565" s="409" t="str">
        <f>INDEX('卡片raw data'!C:C,MATCH($D565,'卡片raw data'!$F:$F,))</f>
        <v>UR</v>
      </c>
      <c r="G565" s="1094" t="s">
        <v>4623</v>
      </c>
      <c r="H565" s="411">
        <f>IFERROR(INDEX(绊状态确认!C:C,MATCH($G565,绊状态确认!$B:$B,)),"")</f>
        <v>210</v>
      </c>
      <c r="I565" s="450" t="str">
        <f>IFERROR(INDEX(绊状态确认!D:D,MATCH($G565,绊状态确认!$B:$B,)),"")</f>
        <v>虹</v>
      </c>
      <c r="J565" s="450" t="str">
        <f>IFERROR(INDEX(绊状态确认!E:E,MATCH($G565,绊状态确认!$B:$B,)),"")</f>
        <v>1年级</v>
      </c>
      <c r="K565" s="451" t="str">
        <f>IFERROR(INDEX(绊状态确认!F:F,MATCH($G565,绊状态确认!$B:$B,)),"")</f>
        <v>R3BIRTH</v>
      </c>
      <c r="L565" s="414" t="str">
        <f>INDEX('卡片raw data'!E:E,MATCH($D565,'卡片raw data'!$F:$F,))</f>
        <v>活动卡</v>
      </c>
      <c r="M565" s="478">
        <v>44489</v>
      </c>
      <c r="N565" s="479">
        <v>50</v>
      </c>
      <c r="O565" s="410" t="str">
        <f>INDEX('卡片raw data'!D:D,MATCH($D565,'卡片raw data'!$F:$F,))</f>
        <v>sp</v>
      </c>
      <c r="P565" s="1126">
        <v>5</v>
      </c>
      <c r="Q565" s="418">
        <f t="shared" si="688"/>
        <v>53853.708975234491</v>
      </c>
      <c r="R565" s="419">
        <f t="shared" si="689"/>
        <v>0.626</v>
      </c>
      <c r="S565" s="420">
        <f t="shared" si="690"/>
        <v>20443.696836047802</v>
      </c>
      <c r="T565" s="421">
        <f t="shared" si="691"/>
        <v>1.022</v>
      </c>
      <c r="U565" s="422">
        <f t="shared" si="692"/>
        <v>10.363444271142855</v>
      </c>
      <c r="V565" s="423">
        <f t="shared" si="693"/>
        <v>52877.694673112965</v>
      </c>
      <c r="W565" s="424">
        <f t="shared" si="694"/>
        <v>5952.0429690068286</v>
      </c>
      <c r="X565" s="419">
        <f t="shared" si="695"/>
        <v>6.9000000000000006E-2</v>
      </c>
      <c r="Y565" s="420">
        <f t="shared" si="696"/>
        <v>823.98569787847646</v>
      </c>
      <c r="Z565" s="425">
        <f t="shared" si="697"/>
        <v>10.363444271142855</v>
      </c>
      <c r="AA565" s="426">
        <f t="shared" si="698"/>
        <v>6776.028666885305</v>
      </c>
      <c r="AB565" s="424">
        <f t="shared" si="699"/>
        <v>7003.844649336228</v>
      </c>
      <c r="AC565" s="427">
        <f t="shared" si="700"/>
        <v>8.1000000000000003E-2</v>
      </c>
      <c r="AD565" s="428">
        <f t="shared" si="701"/>
        <v>-1.6087500000000001E-2</v>
      </c>
      <c r="AE565" s="516">
        <f t="shared" si="702"/>
        <v>10.92391304347826</v>
      </c>
      <c r="AF565" s="1130">
        <f t="shared" si="703"/>
        <v>0</v>
      </c>
      <c r="AG565" s="420">
        <f t="shared" si="704"/>
        <v>0</v>
      </c>
      <c r="AH565" s="420">
        <f t="shared" si="705"/>
        <v>0</v>
      </c>
      <c r="AI565" s="1097">
        <f t="shared" si="706"/>
        <v>0</v>
      </c>
      <c r="AJ565" s="420">
        <f t="shared" si="707"/>
        <v>0</v>
      </c>
      <c r="AK565" s="518">
        <f t="shared" si="708"/>
        <v>0</v>
      </c>
      <c r="AL565" s="1106">
        <f>IF($P565="","N/A",(IF($P565=-1,INDEX('卡片raw data'!S:S,MATCH($D565,'卡片raw data'!$F:$F,)),0)+IF($P565=0,INDEX('卡片raw data'!V:V,MATCH($D565,'卡片raw data'!$F:$F,)),0)+IF($P565=1,INDEX('卡片raw data'!Y:Y,MATCH($D565,'卡片raw data'!$F:$F,)),0)+IF($P565=2,INDEX('卡片raw data'!AB:AB,MATCH($D565,'卡片raw data'!$F:$F,)),0)+IF($P565=3,INDEX('卡片raw data'!AE:AE,MATCH($D565,'卡片raw data'!$F:$F,)),0)+IF($P565=4,INDEX('卡片raw data'!AH:AH,MATCH($D565,'卡片raw data'!$F:$F,)),0)+IF($P565=5,INDEX('卡片raw data'!AK:AK,MATCH($D565,'卡片raw data'!$F:$F,)),0)+INDEX('卡片raw data'!S:S,MATCH($D565,'卡片raw data'!$F:$F,))*(IF($F565="UR",0.04,0.033))*(IF($F565="UR",INDEX(绊状态确认!$S:$S,MATCH($G565,绊状态确认!$B:$B,))/2-40)+IF($F565="SR",INDEX(绊状态确认!$R:$R,MATCH($G565,绊状态确认!$B:$B,))/4-15))+IF($F565="R",INDEX(绊状态确认!$Q:$Q,MATCH($G565,绊状态确认!$B:$B,))/6-40/6)))*(INDEX(绊状态确认!$H:$H,MATCH($G565,绊状态确认!$B:$B,))+INDEX(绊状态确认!J:J,MATCH($G565,绊状态确认!$B:$B,)))</f>
        <v>13401.337919999998</v>
      </c>
      <c r="AM565" s="1106">
        <f>IF($P565="","N/A",(IF($P565=-1,INDEX('卡片raw data'!T:T,MATCH($D565,'卡片raw data'!$F:$F,)),0)+IF($P565=0,INDEX('卡片raw data'!W:W,MATCH($D565,'卡片raw data'!$F:$F,)),0)+IF($P565=1,INDEX('卡片raw data'!Z:Z,MATCH($D565,'卡片raw data'!$F:$F,)),0)+IF($P565=2,INDEX('卡片raw data'!AC:AC,MATCH($D565,'卡片raw data'!$F:$F,)),0)+IF($P565=3,INDEX('卡片raw data'!AF:AF,MATCH($D565,'卡片raw data'!$F:$F,)),0)+IF($P565=4,INDEX('卡片raw data'!AI:AI,MATCH($D565,'卡片raw data'!$F:$F,)),0)+IF($P565=5,INDEX('卡片raw data'!AL:AL,MATCH($D565,'卡片raw data'!$F:$F,)),0)+INDEX('卡片raw data'!T:T,MATCH($D565,'卡片raw data'!$F:$F,))*(IF($F565="UR",0.04,0.033))*(IF($F565="UR",INDEX(绊状态确认!$S:$S,MATCH($G565,绊状态确认!$B:$B,))/2-40)+IF($F565="SR",INDEX(绊状态确认!$R:$R,MATCH($G565,绊状态确认!$B:$B,))/4-15))+IF($F565="R",INDEX(绊状态确认!$Q:$Q,MATCH($G565,绊状态确认!$B:$B,))/6-40/6)))*(INDEX(绊状态确认!$H:$H,MATCH($G565,绊状态确认!$B:$B,))+INDEX(绊状态确认!K:K,MATCH($G565,绊状态确认!$B:$B,)))</f>
        <v>5105.1633599999986</v>
      </c>
      <c r="AN565" s="1106">
        <f>IF($P565="","N/A",(IF($P565=-1,INDEX('卡片raw data'!U:U,MATCH($D565,'卡片raw data'!$F:$F,)),0)+IF($P565=0,INDEX('卡片raw data'!X:X,MATCH($D565,'卡片raw data'!$F:$F,)),0)+IF($P565=1,INDEX('卡片raw data'!AA:AA,MATCH($D565,'卡片raw data'!$F:$F,)),0)+IF($P565=2,INDEX('卡片raw data'!AD:AD,MATCH($D565,'卡片raw data'!$F:$F,)),0)+IF($P565=3,INDEX('卡片raw data'!AG:AG,MATCH($D565,'卡片raw data'!$F:$F,)),0)+IF($P565=4,INDEX('卡片raw data'!AJ:AJ,MATCH($D565,'卡片raw data'!$F:$F,)),0)+IF($P565=5,INDEX('卡片raw data'!AM:AM,MATCH($D565,'卡片raw data'!$F:$F,)),0)+INDEX('卡片raw data'!U:U,MATCH($D565,'卡片raw data'!$F:$F,))*(IF($F565="UR",0.04,0.033))*(IF($F565="UR",INDEX(绊状态确认!$S:$S,MATCH($G565,绊状态确认!$B:$B,))/2-40)+IF($F565="SR",INDEX(绊状态确认!$R:$R,MATCH($G565,绊状态确认!$B:$B,))/4-15))+IF($F565="R",INDEX(绊状态确认!$Q:$Q,MATCH($G565,绊状态确认!$B:$B,))/6-40/6)))*(INDEX(绊状态确认!$H:$H,MATCH($G565,绊状态确认!$B:$B,))+INDEX(绊状态确认!L:L,MATCH($G565,绊状态确认!$B:$B,)))</f>
        <v>13401.337919999998</v>
      </c>
      <c r="AO565" s="1107">
        <f t="shared" si="709"/>
        <v>1</v>
      </c>
      <c r="AP565" s="1131">
        <f>1+(INDEX(绊状态确认!$T:$T,MATCH($G565,绊状态确认!$B:$B,))+0.2)*$AO565</f>
        <v>1.3</v>
      </c>
      <c r="AQ565" s="1108">
        <f t="shared" si="710"/>
        <v>38428.512039999994</v>
      </c>
      <c r="AR565" s="1097">
        <f>(AM565*(1+$EX$9)+$EX$35)*(1+(INDEX(绊状态确认!$T:$T,MATCH($G565,绊状态确认!$B:$B,))+0.2)*AO565)*IF(J565=$FF$17,1+$FE$17,1)*IF(I565=$FF$14,1+$FE$14,1)</f>
        <v>9672.547986399999</v>
      </c>
      <c r="AS565" s="1097">
        <f>(AN565*(1+$EX$10)+$EX$36)*(1+(INDEX(绊状态确认!$T:$T,MATCH($G565,绊状态确认!$B:$B,))+0.2)*AO565)*IF(J565=$FF$17,1+$FE$17,1)*IF(I565=$FF$14,1+$FE$14,1)</f>
        <v>24091.000190399995</v>
      </c>
      <c r="AT565" s="1093">
        <f>IF(AND(INDEX('卡片raw data'!AK:AK,MATCH($D565,'卡片raw data'!$F:$F,))&lt;INDEX('卡片raw data'!AM:AM,MATCH($D565,'卡片raw data'!$F:$F,)),INDEX('卡片raw data'!AL:AL,MATCH($D565,'卡片raw data'!$F:$F,))&lt;INDEX('卡片raw data'!AM:AM,MATCH($D565,'卡片raw data'!$F:$F,))),1,0)</f>
        <v>0</v>
      </c>
      <c r="AU565" s="1098">
        <f>MIN(AT565*0.15+AS565*0.00003+INDEX(绊状态确认!M:M,MATCH($G565,绊状态确认!$B:$B,)),1)</f>
        <v>0.75273000571199988</v>
      </c>
      <c r="AV565" s="1109">
        <f>(INDEX(绊状态确认!$N:$N,MATCH($G565,绊状态确认!$B:$B,))+1.5)*$EW$21</f>
        <v>2.6599999999999997</v>
      </c>
      <c r="AW565" s="1101">
        <f t="shared" si="711"/>
        <v>44895.526743852824</v>
      </c>
      <c r="AX565" s="1097">
        <f t="shared" si="712"/>
        <v>823.98569787847623</v>
      </c>
      <c r="AY565" s="1110">
        <f t="shared" si="713"/>
        <v>45719.512441731298</v>
      </c>
      <c r="AZ565" s="429">
        <f t="shared" si="714"/>
        <v>28732.608943999996</v>
      </c>
      <c r="BA565" s="431">
        <f t="shared" si="715"/>
        <v>34479.130732799997</v>
      </c>
      <c r="BB565" s="1097">
        <f>(AM565*(1+$FB$9)+$FB$35)*(1+(INDEX(绊状态确认!$T:$T,MATCH($G565,绊状态确认!$B:$B,))+0.2)*AO565)*IF(J565=$FF$17,1+$FE$17,1)*IF(I565=$FF$14,1+$FE$14,1)*(1+$FE$15)</f>
        <v>9672.547986399999</v>
      </c>
      <c r="BC565" s="1097">
        <f>(AN565*(1+$FB$10)+$FB$36)*(1+(INDEX(绊状态确认!$T:$T,MATCH($G565,绊状态确认!$B:$B,))+0.2)*AO565)*IF(J565=$FF$17,1+$FE$17,1)*IF(I565=$FF$14,1+$FE$14,1)*(1+$FE$15)</f>
        <v>24091.000190399995</v>
      </c>
      <c r="BD565" s="1104">
        <f>MIN(AT565*0.15+BC565*0.00003+INDEX(绊状态确认!M:M,MATCH($G565,绊状态确认!$B:$B,)),1)</f>
        <v>0.75273000571199988</v>
      </c>
      <c r="BE565" s="432">
        <f>(INDEX(绊状态确认!$N:$N,MATCH($G565,绊状态确认!$B:$B,))+1.5)</f>
        <v>1.9</v>
      </c>
      <c r="BF565" s="1139">
        <f t="array" ref="BF565">SUMPRODUCT(IF(AZ565*AP565*$FI$16:$FI$23*$FA$22&gt;=$FI$24,$FI$24,AZ565*AP565*$FI$16:$FI$23*$FA$22),$FJ$16:$FJ$23)</f>
        <v>54978.867710928003</v>
      </c>
      <c r="BG565" s="1125">
        <f t="array" ref="BG565">SUMPRODUCT(IF(BE565*AZ565*AP565*$FI$16:$FI$23*$FA$22&gt;=$FI$24,$FI$24,BE565*AZ565*AP565*$FI$16:$FI$23*$FA$22),$FJ$16:$FJ$23)</f>
        <v>60000</v>
      </c>
      <c r="BH565" s="1110">
        <f t="shared" si="716"/>
        <v>19586.141549187294</v>
      </c>
      <c r="BI565" s="1111">
        <f>IF(O565="vo",$EW$26/$EW$24*0.05,0)+IF(O565="sk",-$EW$26/$EW$24*(0.05-INDEX(绊状态确认!W:W,MATCH($G565,绊状态确认!$B:$B,)))+0.05*$EW$28,0)+IF(O565="sp",0.05*$EW$32*$EW$30*(1-$EW$33)-(0.05-INDEX(绊状态确认!V:V,MATCH($G565,绊状态确认!$B:$B,)))*$EW$28,0)+IF(O565="gd",-(0.05-INDEX(绊状态确认!X:X,MATCH($G565,绊状态确认!$B:$B,)))*$EW$32*$EW$30*(1-$EW$33),0)</f>
        <v>19.999999999999886</v>
      </c>
      <c r="BJ565" s="420">
        <f>IF(O565="vo",0.05*(1-$FI$26)*$FA$24,0)+IF(O565="sk",-(0.05-INDEX(绊状态确认!W:W,MATCH($G565,绊状态确认!$B:$B,)))*(1-$FI$26)*$FA$24+0.05*$FA$26,0)+IF(O565="sp",0.05*$FA$32*$FA$27*(1-$FA$33)/$FA$30+0.05*$FA$29/$FA$69*$FA$27*(1-$FA$33)-(0.05-INDEX(绊状态确认!V:V,MATCH($G565,绊状态确认!$B:$B,)))*$FA$26,0)+IF(O565="gd",-(0.05-INDEX(绊状态确认!X:X,MATCH($G565,绊状态确认!$B:$B,)))*$FA$32*$FA$27*(1-$FA$33)/$FA$30-(0.05-INDEX(绊状态确认!X:X,MATCH($G565,绊状态确认!$B:$B,)))*$FA$29/$FA$69*$FA$27*(1-$FA$33),0)</f>
        <v>545.83333333333326</v>
      </c>
      <c r="BK565" s="1110">
        <f>IF(O565="vo",$EW$26/$EW$24*0.05+$EW$26*(-HP($EW$62,$EW$65,$EW$64)+HP($EW$62,$EW$65,(1.05-INDEX(绊状态确认!U:U,MATCH($G565,绊状态确认!$B:$B,)))*$EW$64)),0)+IF(O565="sk",-$EW$26/$EW$24*(0.05-INDEX(绊状态确认!W:W,MATCH($G565,绊状态确认!$B:$B,)))+0.05*$EW$29,0)+IF(O565="sp",0.05*$EW$32*$EW$30*(1-$EW$33)-(0.05-INDEX(绊状态确认!V:V,MATCH($G565,绊状态确认!$B:$B,)))*$EW$29,0)+IF(O565="gd",-(0.05-INDEX(绊状态确认!X:X,MATCH($G565,绊状态确认!$B:$B,)))*$EW$32*$EW$30*(1-$EW$33)+$EW$26*(-HP($EW$62,$EW$65,$EW$64)+HP($EW$62,$EW$65,0.95*$EW$64)),0)</f>
        <v>-1780.0000000000005</v>
      </c>
      <c r="BL565" s="1111">
        <f t="shared" si="717"/>
        <v>0</v>
      </c>
      <c r="BM565" s="1110">
        <f t="shared" si="718"/>
        <v>0</v>
      </c>
      <c r="BN565" s="1113">
        <f t="shared" si="719"/>
        <v>3</v>
      </c>
      <c r="BO565" s="1108">
        <f t="shared" si="720"/>
        <v>4507.7214871259994</v>
      </c>
      <c r="BP565" s="1127">
        <f t="shared" si="721"/>
        <v>221.34103209030098</v>
      </c>
      <c r="BQ565" s="1113" t="s">
        <v>132</v>
      </c>
      <c r="BR565" s="1124" t="s">
        <v>171</v>
      </c>
      <c r="BS565" s="421">
        <f>IF($P565="","N/A",IF($P565=-1,INDEX('卡片raw data'!AX:AX,MATCH($D565,'卡片raw data'!$F:$F,)),0)+IF($L565="party卡",IF($P565=5,INDEX('卡片raw data'!BD:BD,MATCH($D565,'卡片raw data'!$F:$F,)),IF($P565&gt;=3,INDEX('卡片raw data'!BC:BC,MATCH($D565,'卡片raw data'!$F:$F,)),INDEX('卡片raw data'!BB:BB,MATCH($D565,'卡片raw data'!$F:$F,)))),IF(OR(AND($F565="UR",$P565=0),AND($F565="SR",$P565&gt;=0,$P565&lt;=2),AND($F565="R",$P565&gt;=0,$P565&lt;4)),INDEX('卡片raw data'!AZ:AZ,MATCH($D565,'卡片raw data'!$F:$F,)),0)+IF(OR(AND($F565="UR",$P565&gt;=1,$P565&lt;=4),AND($F565="SR",$P565&lt;=4,$P565&gt;=3),AND($F565="R",$P565=4)),INDEX('卡片raw data'!BA:BA,MATCH($D565,'卡片raw data'!$F:$F,)),0)+IF($P565=5,INDEX('卡片raw data'!BB:BB,MATCH($D565,'卡片raw data'!$F:$F,)),0)))</f>
        <v>4.2000000000000003E-2</v>
      </c>
      <c r="BT565" s="424">
        <f t="shared" si="722"/>
        <v>2103.6033606587998</v>
      </c>
      <c r="BU565" s="420">
        <f t="shared" si="723"/>
        <v>90.380921436872924</v>
      </c>
      <c r="BV565" s="420">
        <f t="shared" si="724"/>
        <v>1051.8016803293999</v>
      </c>
      <c r="BW565" s="436">
        <f t="shared" si="725"/>
        <v>0</v>
      </c>
      <c r="BX565" s="423">
        <f t="shared" si="726"/>
        <v>2103.6033606587998</v>
      </c>
      <c r="BY565" s="433">
        <f t="shared" si="727"/>
        <v>1051.8016803293999</v>
      </c>
      <c r="BZ565" s="1113" t="s">
        <v>569</v>
      </c>
      <c r="CA565" s="450"/>
      <c r="CB565" s="421">
        <f>IF($P565="","N/A",IF($P565=-1,INDEX('卡片raw data'!BE:BE,MATCH($D565,'卡片raw data'!$F:$F,)),0)+IF($L565="party卡",IF($P565=5,INDEX('卡片raw data'!BK:BK,MATCH($D565,'卡片raw data'!$F:$F,)),IF($P565&gt;=3,INDEX('卡片raw data'!BJ:BJ,MATCH($D565,'卡片raw data'!$F:$F,)),INDEX('卡片raw data'!BI:BI,MATCH($D565,'卡片raw data'!$F:$F,)))),IF(OR(AND($F565="UR",$P565=0),AND($F565="SR",$P565&gt;=0,$P565&lt;=2),AND($F565="R",$P565&gt;=0,$P565&lt;4)),INDEX('卡片raw data'!BG:BG,MATCH($D565,'卡片raw data'!$F:$F,)),0)+IF(OR(AND($F565="UR",$P565&gt;=1,$P565&lt;=4),AND($F565="SR",$P565&lt;=4,$P565&gt;=3),AND($F565="R",$P565=4)),INDEX('卡片raw data'!BH:BH,MATCH($D565,'卡片raw data'!$F:$F,)),0)+IF($P565=5,INDEX('卡片raw data'!BI:BI,MATCH($D565,'卡片raw data'!$F:$F,)),0)))</f>
        <v>0</v>
      </c>
      <c r="CC565" s="424">
        <f t="shared" si="786"/>
        <v>0</v>
      </c>
      <c r="CD565" s="420">
        <f>IF(BZ565="ap",CB565*(1-$FI$26)*$FB$5/$FB$11*(+IF(CA565="全员",$FA$24,0)+IF(CA565="同作战",$FA$24,0)+IF(CA565="仲间",$FA$24*2/3,0)+IF(CA565="同属性",$FA$24*$FA$37/3,0)+IF(CA565="同年级",$FA$24*$FA$40/3,0)+IF(CA565="同学校",$FA$24*$FA$43/3,0)+IF(CA565="同小队",$FA$24*$FA$46/3,0)+IF(CA565="同type",$FA$24*INDEX($FB$49:$FB$52,MATCH(X565,$FA$49:$FA$52,))/3,0)+IF(CA565="自身",#REF!/3,0)),0)+IF(BZ565="te",CB565*(1-$FI$27)*($FA$20-1)*$FB$7/$FB$13*(+IF(CA565="全员",$FA$19*$FA$24/(1+($FA$20-1)*$FA$19),0)+IF(CA565="同作战",$FA$19*$FA$24/(1+($FA$20-1)*$FA$19),0)+IF(CA565="仲间",$FA$19*$FA$24*2/3/(1+($FA$20-1)*$FA$19),0)+IF(CA565="同属性",$FA$19*$FA$24*$FA$37/3/(1+($FA$20-1)*$FA$19),0)+IF(CA565="同年级",$FA$19*$FA$24*$FA$40/3/(1+($FA$20-1)*$FA$19),0)+IF(CA565="同学校",$FA$19*$FA$24*$FA$43/3/(1+($FA$20-1)*$FA$19),0)+IF(CA565="同小队",$FA$19*$FA$24*$FA$46/3/(1+($FA$20-1)*$FA$19),0)+IF(CA565="同type",$FA$19*$FA$24*INDEX($FB$49:$FB$52,MATCH(X565,$FA$49:$FA$52,))/3/(1+($FA$20-1)*$FA$19),0)+IF(CA565="自身",$FA$19*#REF!/3/(1+(BH565-1)*$BD565),0)),0)</f>
        <v>0</v>
      </c>
      <c r="CE565" s="420">
        <f t="shared" si="729"/>
        <v>0</v>
      </c>
      <c r="CF565" s="436">
        <f t="shared" si="787"/>
        <v>0</v>
      </c>
      <c r="CG565" s="423">
        <f t="shared" si="731"/>
        <v>0</v>
      </c>
      <c r="CH565" s="433">
        <f t="shared" si="732"/>
        <v>0</v>
      </c>
      <c r="CI565" s="1113" t="s">
        <v>160</v>
      </c>
      <c r="CJ565" s="1114">
        <v>1</v>
      </c>
      <c r="CK565" s="1115" t="s">
        <v>2158</v>
      </c>
      <c r="CL565" s="1115" t="s">
        <v>1940</v>
      </c>
      <c r="CM565" s="1119">
        <v>0.2</v>
      </c>
      <c r="CN565" s="1115"/>
      <c r="CO565" s="1115">
        <v>10</v>
      </c>
      <c r="CP565" s="1116">
        <f t="shared" si="733"/>
        <v>274.48937171428565</v>
      </c>
      <c r="CQ565" s="1116">
        <f t="shared" si="734"/>
        <v>383.10145258666665</v>
      </c>
      <c r="CR565" s="1117">
        <f t="shared" si="735"/>
        <v>274.48937171428565</v>
      </c>
      <c r="CS565" s="442">
        <f t="shared" si="782"/>
        <v>0</v>
      </c>
      <c r="CT565" s="432">
        <f t="shared" si="783"/>
        <v>0</v>
      </c>
      <c r="CU565" s="1101">
        <f t="shared" si="738"/>
        <v>392.51980155142854</v>
      </c>
      <c r="CV565" s="1108">
        <f t="shared" si="777"/>
        <v>0</v>
      </c>
      <c r="CW565" s="420">
        <f t="shared" si="739"/>
        <v>392.51980155142854</v>
      </c>
      <c r="CX565" s="420">
        <f t="shared" si="740"/>
        <v>392.51980155142854</v>
      </c>
      <c r="CY565" s="433">
        <f t="shared" si="741"/>
        <v>392.51980155142854</v>
      </c>
      <c r="CZ565" s="437"/>
      <c r="DA565" s="438"/>
      <c r="DB565" s="439" t="s">
        <v>569</v>
      </c>
      <c r="DC565" s="439"/>
      <c r="DD565" s="443"/>
      <c r="DE565" s="411"/>
      <c r="DF565" s="411"/>
      <c r="DG565" s="1116">
        <f t="shared" si="742"/>
        <v>0</v>
      </c>
      <c r="DH565" s="1116">
        <f t="shared" si="743"/>
        <v>0</v>
      </c>
      <c r="DI565" s="1116">
        <f t="shared" si="744"/>
        <v>0</v>
      </c>
      <c r="DJ565" s="442">
        <f t="shared" si="784"/>
        <v>0</v>
      </c>
      <c r="DK565" s="432">
        <f t="shared" si="785"/>
        <v>0</v>
      </c>
      <c r="DL565" s="424">
        <f t="shared" si="747"/>
        <v>0</v>
      </c>
      <c r="DM565" s="420">
        <f t="shared" si="748"/>
        <v>0</v>
      </c>
      <c r="DN565" s="420">
        <f t="shared" si="749"/>
        <v>0</v>
      </c>
      <c r="DO565" s="420">
        <f t="shared" si="750"/>
        <v>0</v>
      </c>
      <c r="DP565" s="433">
        <f t="shared" si="751"/>
        <v>0</v>
      </c>
      <c r="DQ565" s="1113" t="s">
        <v>2158</v>
      </c>
      <c r="DR565" s="1120">
        <f t="shared" si="788"/>
        <v>0.33</v>
      </c>
      <c r="DS565" s="1124"/>
      <c r="DT565" s="1124" t="s">
        <v>132</v>
      </c>
      <c r="DU565" s="1093"/>
      <c r="DV565" s="1098">
        <f>IF($P565="","N/A",IF(P565=-1,INDEX('卡片raw data'!AN:AN,MATCH(D565,'卡片raw data'!$F:$F,)),0)+IF(AND(L565&lt;&gt;"party卡",P565&lt;=2,P565&gt;=0),INDEX('卡片raw data'!AP:AP,MATCH(D565,'卡片raw data'!$F:$F,)),0)+IF(OR(AND(L565="party卡",P565&lt;=1),AND(P565&lt;=4,L565&lt;&gt;"party卡",P565&gt;=3)),INDEX('卡片raw data'!AQ:AQ,MATCH(D565,'卡片raw data'!$F:$F,)),0)+IF(OR(P565=5,AND(L565="party卡",P565&gt;=2)),INDEX('卡片raw data'!AR:AR,MATCH(D565,'卡片raw data'!$F:$F,)),0))</f>
        <v>0.32</v>
      </c>
      <c r="DW565" s="1098">
        <f t="shared" si="752"/>
        <v>0.33</v>
      </c>
      <c r="DX565" s="1098">
        <f t="shared" si="753"/>
        <v>0.33</v>
      </c>
      <c r="DY565" s="1097">
        <f t="shared" si="754"/>
        <v>1352.6836238079998</v>
      </c>
      <c r="DZ565" s="1097">
        <f t="shared" si="755"/>
        <v>1049.8205725522944</v>
      </c>
      <c r="EA565" s="421">
        <f t="shared" si="756"/>
        <v>0</v>
      </c>
      <c r="EB565" s="445">
        <f t="shared" si="757"/>
        <v>0</v>
      </c>
      <c r="EC565" s="424">
        <f t="shared" si="758"/>
        <v>1934.3375820454398</v>
      </c>
      <c r="ED565" s="420">
        <f t="shared" si="759"/>
        <v>0</v>
      </c>
      <c r="EE565" s="433">
        <f t="shared" si="775"/>
        <v>1934.3375820454398</v>
      </c>
      <c r="EF565" s="1113" t="s">
        <v>569</v>
      </c>
      <c r="EG565" s="1120">
        <f t="shared" si="789"/>
        <v>0.33</v>
      </c>
      <c r="EH565" s="450"/>
      <c r="EI565" s="1124"/>
      <c r="EJ565" s="1124"/>
      <c r="EK565" s="420">
        <f>IF($P565="","N/A",IF(P565=-1,INDEX('卡片raw data'!AS:AS,MATCH(D565,'卡片raw data'!$F:$F,)),0)+IF(AND(L565&lt;&gt;"party卡",P565&lt;=2,P565&gt;=0),INDEX('卡片raw data'!AU:AU,MATCH(D565,'卡片raw data'!$F:$F,)),0)+IF(OR(AND(L565="party卡",P565&lt;=1),AND(P565&lt;=4,L565&lt;&gt;"party卡",P565&gt;=3)),INDEX('卡片raw data'!AV:AV,MATCH(D565,'卡片raw data'!$F:$F,)),0)+IF(OR(P565=5,AND(L565="party卡",P565&gt;=2)),INDEX('卡片raw data'!AW:AW,MATCH(D565,'卡片raw data'!$F:$F,)),0))</f>
        <v>0</v>
      </c>
      <c r="EL565" s="1098">
        <f t="shared" si="760"/>
        <v>0.33</v>
      </c>
      <c r="EM565" s="1098">
        <f t="shared" si="761"/>
        <v>0.33</v>
      </c>
      <c r="EN565" s="1097">
        <f t="shared" si="762"/>
        <v>0</v>
      </c>
      <c r="EO565" s="1097">
        <f t="shared" si="763"/>
        <v>0</v>
      </c>
      <c r="EP565" s="421">
        <f t="shared" si="764"/>
        <v>0</v>
      </c>
      <c r="EQ565" s="445">
        <f t="shared" si="765"/>
        <v>0</v>
      </c>
      <c r="ER565" s="424">
        <f t="shared" si="766"/>
        <v>0</v>
      </c>
      <c r="ES565" s="420">
        <f t="shared" si="767"/>
        <v>0</v>
      </c>
      <c r="ET565" s="446">
        <f t="shared" si="776"/>
        <v>0</v>
      </c>
    </row>
    <row r="566" spans="2:150" ht="16.5" customHeight="1">
      <c r="B566" s="1123" t="str">
        <f>INDEX('卡片raw data'!B:B,MATCH($D566,'卡片raw data'!$F:$F,))</f>
        <v>四专爱</v>
      </c>
      <c r="C566" s="449" t="s">
        <v>4629</v>
      </c>
      <c r="D566" s="408">
        <v>563</v>
      </c>
      <c r="E566" s="477">
        <v>402052005</v>
      </c>
      <c r="F566" s="409" t="str">
        <f>INDEX('卡片raw data'!C:C,MATCH($D566,'卡片raw data'!$F:$F,))</f>
        <v>SR</v>
      </c>
      <c r="G566" s="1094" t="s">
        <v>4630</v>
      </c>
      <c r="H566" s="411">
        <f>IFERROR(INDEX(绊状态确认!C:C,MATCH($G566,绊状态确认!$B:$B,)),"")</f>
        <v>205</v>
      </c>
      <c r="I566" s="450" t="str">
        <f>IFERROR(INDEX(绊状态确认!D:D,MATCH($G566,绊状态确认!$B:$B,)),"")</f>
        <v>虹</v>
      </c>
      <c r="J566" s="450" t="str">
        <f>IFERROR(INDEX(绊状态确认!E:E,MATCH($G566,绊状态确认!$B:$B,)),"")</f>
        <v>2年级</v>
      </c>
      <c r="K566" s="451" t="str">
        <f>IFERROR(INDEX(绊状态确认!F:F,MATCH($G566,绊状态确认!$B:$B,)),"")</f>
        <v>Diver Diva</v>
      </c>
      <c r="L566" s="414" t="str">
        <f>INDEX('卡片raw data'!E:E,MATCH($D566,'卡片raw data'!$F:$F,))</f>
        <v>活动卡</v>
      </c>
      <c r="M566" s="478">
        <v>44489</v>
      </c>
      <c r="N566" s="479">
        <v>50</v>
      </c>
      <c r="O566" s="410" t="str">
        <f>INDEX('卡片raw data'!D:D,MATCH($D566,'卡片raw data'!$F:$F,))</f>
        <v>vo</v>
      </c>
      <c r="P566" s="1126">
        <v>5</v>
      </c>
      <c r="Q566" s="418">
        <f t="shared" si="688"/>
        <v>37733.758256627705</v>
      </c>
      <c r="R566" s="419">
        <f t="shared" si="689"/>
        <v>0.438</v>
      </c>
      <c r="S566" s="420">
        <f t="shared" si="690"/>
        <v>15997.835766049171</v>
      </c>
      <c r="T566" s="421">
        <f t="shared" si="691"/>
        <v>0.79900000000000004</v>
      </c>
      <c r="U566" s="422">
        <f t="shared" si="692"/>
        <v>-15.679966531707144</v>
      </c>
      <c r="V566" s="423">
        <f t="shared" si="693"/>
        <v>37168.539335106165</v>
      </c>
      <c r="W566" s="424">
        <f t="shared" si="694"/>
        <v>4566.5495275276971</v>
      </c>
      <c r="X566" s="419">
        <f t="shared" si="695"/>
        <v>5.2999999999999999E-2</v>
      </c>
      <c r="Y566" s="420">
        <f t="shared" si="696"/>
        <v>739.44952872016529</v>
      </c>
      <c r="Z566" s="425">
        <f t="shared" si="697"/>
        <v>9.3200334682928556</v>
      </c>
      <c r="AA566" s="426">
        <f t="shared" si="698"/>
        <v>5305.9990562478624</v>
      </c>
      <c r="AB566" s="424">
        <f t="shared" si="699"/>
        <v>5291.8246039866708</v>
      </c>
      <c r="AC566" s="427">
        <f t="shared" si="700"/>
        <v>6.0999999999999999E-2</v>
      </c>
      <c r="AD566" s="428">
        <f t="shared" si="701"/>
        <v>-3.8207812500000026E-3</v>
      </c>
      <c r="AE566" s="516">
        <f t="shared" si="702"/>
        <v>-12.27536231884058</v>
      </c>
      <c r="AF566" s="1130">
        <f t="shared" si="703"/>
        <v>0</v>
      </c>
      <c r="AG566" s="420">
        <f t="shared" si="704"/>
        <v>0</v>
      </c>
      <c r="AH566" s="420">
        <f t="shared" si="705"/>
        <v>0</v>
      </c>
      <c r="AI566" s="1097">
        <f t="shared" si="706"/>
        <v>0</v>
      </c>
      <c r="AJ566" s="420">
        <f t="shared" si="707"/>
        <v>0</v>
      </c>
      <c r="AK566" s="518">
        <f t="shared" si="708"/>
        <v>0</v>
      </c>
      <c r="AL566" s="1106">
        <f>IF($P566="","N/A",(IF($P566=-1,INDEX('卡片raw data'!S:S,MATCH($D566,'卡片raw data'!$F:$F,)),0)+IF($P566=0,INDEX('卡片raw data'!V:V,MATCH($D566,'卡片raw data'!$F:$F,)),0)+IF($P566=1,INDEX('卡片raw data'!Y:Y,MATCH($D566,'卡片raw data'!$F:$F,)),0)+IF($P566=2,INDEX('卡片raw data'!AB:AB,MATCH($D566,'卡片raw data'!$F:$F,)),0)+IF($P566=3,INDEX('卡片raw data'!AE:AE,MATCH($D566,'卡片raw data'!$F:$F,)),0)+IF($P566=4,INDEX('卡片raw data'!AH:AH,MATCH($D566,'卡片raw data'!$F:$F,)),0)+IF($P566=5,INDEX('卡片raw data'!AK:AK,MATCH($D566,'卡片raw data'!$F:$F,)),0)+INDEX('卡片raw data'!S:S,MATCH($D566,'卡片raw data'!$F:$F,))*(IF($F566="UR",0.04,0.033))*(IF($F566="UR",INDEX(绊状态确认!$S:$S,MATCH($G566,绊状态确认!$B:$B,))/2-40)+IF($F566="SR",INDEX(绊状态确认!$R:$R,MATCH($G566,绊状态确认!$B:$B,))/4-15))+IF($F566="R",INDEX(绊状态确认!$Q:$Q,MATCH($G566,绊状态确认!$B:$B,))/6-40/6)))*(INDEX(绊状态确认!$H:$H,MATCH($G566,绊状态确认!$B:$B,))+INDEX(绊状态确认!J:J,MATCH($G566,绊状态确认!$B:$B,)))</f>
        <v>8384.9433095999993</v>
      </c>
      <c r="AM566" s="1106">
        <f>IF($P566="","N/A",(IF($P566=-1,INDEX('卡片raw data'!T:T,MATCH($D566,'卡片raw data'!$F:$F,)),0)+IF($P566=0,INDEX('卡片raw data'!W:W,MATCH($D566,'卡片raw data'!$F:$F,)),0)+IF($P566=1,INDEX('卡片raw data'!Z:Z,MATCH($D566,'卡片raw data'!$F:$F,)),0)+IF($P566=2,INDEX('卡片raw data'!AC:AC,MATCH($D566,'卡片raw data'!$F:$F,)),0)+IF($P566=3,INDEX('卡片raw data'!AF:AF,MATCH($D566,'卡片raw data'!$F:$F,)),0)+IF($P566=4,INDEX('卡片raw data'!AI:AI,MATCH($D566,'卡片raw data'!$F:$F,)),0)+IF($P566=5,INDEX('卡片raw data'!AL:AL,MATCH($D566,'卡片raw data'!$F:$F,)),0)+INDEX('卡片raw data'!T:T,MATCH($D566,'卡片raw data'!$F:$F,))*(IF($F566="UR",0.04,0.033))*(IF($F566="UR",INDEX(绊状态确认!$S:$S,MATCH($G566,绊状态确认!$B:$B,))/2-40)+IF($F566="SR",INDEX(绊状态确认!$R:$R,MATCH($G566,绊状态确认!$B:$B,))/4-15))+IF($F566="R",INDEX(绊状态确认!$Q:$Q,MATCH($G566,绊状态确认!$B:$B,))/6-40/6)))*(INDEX(绊状态确认!$H:$H,MATCH($G566,绊状态确认!$B:$B,))+INDEX(绊状态确认!K:K,MATCH($G566,绊状态确认!$B:$B,)))</f>
        <v>4391.7200759999996</v>
      </c>
      <c r="AN566" s="1106">
        <f>IF($P566="","N/A",(IF($P566=-1,INDEX('卡片raw data'!U:U,MATCH($D566,'卡片raw data'!$F:$F,)),0)+IF($P566=0,INDEX('卡片raw data'!X:X,MATCH($D566,'卡片raw data'!$F:$F,)),0)+IF($P566=1,INDEX('卡片raw data'!AA:AA,MATCH($D566,'卡片raw data'!$F:$F,)),0)+IF($P566=2,INDEX('卡片raw data'!AD:AD,MATCH($D566,'卡片raw data'!$F:$F,)),0)+IF($P566=3,INDEX('卡片raw data'!AG:AG,MATCH($D566,'卡片raw data'!$F:$F,)),0)+IF($P566=4,INDEX('卡片raw data'!AJ:AJ,MATCH($D566,'卡片raw data'!$F:$F,)),0)+IF($P566=5,INDEX('卡片raw data'!AM:AM,MATCH($D566,'卡片raw data'!$F:$F,)),0)+INDEX('卡片raw data'!U:U,MATCH($D566,'卡片raw data'!$F:$F,))*(IF($F566="UR",0.04,0.033))*(IF($F566="UR",INDEX(绊状态确认!$S:$S,MATCH($G566,绊状态确认!$B:$B,))/2-40)+IF($F566="SR",INDEX(绊状态确认!$R:$R,MATCH($G566,绊状态确认!$B:$B,))/4-15))+IF($F566="R",INDEX(绊状态确认!$Q:$Q,MATCH($G566,绊状态确认!$B:$B,))/6-40/6)))*(INDEX(绊状态确认!$H:$H,MATCH($G566,绊状态确认!$B:$B,))+INDEX(绊状态确认!L:L,MATCH($G566,绊状态确认!$B:$B,)))</f>
        <v>7187.1049799999992</v>
      </c>
      <c r="AO566" s="1107">
        <f t="shared" si="709"/>
        <v>1</v>
      </c>
      <c r="AP566" s="1131">
        <f>1+(INDEX(绊状态确认!$T:$T,MATCH($G566,绊状态确认!$B:$B,))+0.2)*$AO566</f>
        <v>1.3</v>
      </c>
      <c r="AQ566" s="1108">
        <f t="shared" si="710"/>
        <v>25260.476187700002</v>
      </c>
      <c r="AR566" s="1097">
        <f>(AM566*(1+$EX$9)+$EX$35)*(1+(INDEX(绊状态确认!$T:$T,MATCH($G566,绊状态确认!$B:$B,))+0.2)*AO566)*IF(J566=$FF$17,1+$FE$17,1)*IF(I566=$FF$14,1+$FE$14,1)</f>
        <v>8698.6979037399997</v>
      </c>
      <c r="AS566" s="1097">
        <f>(AN566*(1+$EX$10)+$EX$36)*(1+(INDEX(绊状态确认!$T:$T,MATCH($G566,绊状态确认!$B:$B,))+0.2)*AO566)*IF(J566=$FF$17,1+$FE$17,1)*IF(I566=$FF$14,1+$FE$14,1)</f>
        <v>14800.721945099998</v>
      </c>
      <c r="AT566" s="1093">
        <f>IF(AND(INDEX('卡片raw data'!AK:AK,MATCH($D566,'卡片raw data'!$F:$F,))&lt;INDEX('卡片raw data'!AM:AM,MATCH($D566,'卡片raw data'!$F:$F,)),INDEX('卡片raw data'!AL:AL,MATCH($D566,'卡片raw data'!$F:$F,))&lt;INDEX('卡片raw data'!AM:AM,MATCH($D566,'卡片raw data'!$F:$F,))),1,0)</f>
        <v>0</v>
      </c>
      <c r="AU566" s="1098">
        <f>MIN(AT566*0.15+AS566*0.00003+INDEX(绊状态确认!M:M,MATCH($G566,绊状态确认!$B:$B,)),1)</f>
        <v>0.47402165835299997</v>
      </c>
      <c r="AV566" s="1109">
        <f>(INDEX(绊状态确认!$N:$N,MATCH($G566,绊状态确认!$B:$B,))+1.5)*$EW$21</f>
        <v>2.6599999999999997</v>
      </c>
      <c r="AW566" s="1101">
        <f t="shared" si="711"/>
        <v>23441.92657840611</v>
      </c>
      <c r="AX566" s="1097">
        <f t="shared" si="712"/>
        <v>739.4495287201654</v>
      </c>
      <c r="AY566" s="1110">
        <f t="shared" si="713"/>
        <v>24181.376107126274</v>
      </c>
      <c r="AZ566" s="429">
        <f t="shared" si="714"/>
        <v>18950.639453719996</v>
      </c>
      <c r="BA566" s="431">
        <f t="shared" si="715"/>
        <v>22740.767344463995</v>
      </c>
      <c r="BB566" s="1097">
        <f>(AM566*(1+$FB$9)+$FB$35)*(1+(INDEX(绊状态确认!$T:$T,MATCH($G566,绊状态确认!$B:$B,))+0.2)*AO566)*IF(J566=$FF$17,1+$FE$17,1)*IF(I566=$FF$14,1+$FE$14,1)*(1+$FE$15)</f>
        <v>8698.6979037399997</v>
      </c>
      <c r="BC566" s="1097">
        <f>(AN566*(1+$FB$10)+$FB$36)*(1+(INDEX(绊状态确认!$T:$T,MATCH($G566,绊状态确认!$B:$B,))+0.2)*AO566)*IF(J566=$FF$17,1+$FE$17,1)*IF(I566=$FF$14,1+$FE$14,1)*(1+$FE$15)</f>
        <v>14800.721945099998</v>
      </c>
      <c r="BD566" s="1104">
        <f>MIN(AT566*0.15+BC566*0.00003+INDEX(绊状态确认!M:M,MATCH($G566,绊状态确认!$B:$B,)),1)</f>
        <v>0.47402165835299997</v>
      </c>
      <c r="BE566" s="432">
        <f>(INDEX(绊状态确认!$N:$N,MATCH($G566,绊状态确认!$B:$B,))+1.5)</f>
        <v>1.9</v>
      </c>
      <c r="BF566" s="1139">
        <f t="array" ref="BF566">SUMPRODUCT(IF(AZ566*AP566*$FI$16:$FI$23*$FA$22&gt;=$FI$24,$FI$24,AZ566*AP566*$FI$16:$FI$23*$FA$22),$FJ$16:$FJ$23)</f>
        <v>37692.821873449073</v>
      </c>
      <c r="BG566" s="1125">
        <f t="array" ref="BG566">SUMPRODUCT(IF(BE566*AZ566*AP566*$FI$16:$FI$23*$FA$22&gt;=$FI$24,$FI$24,BE566*AZ566*AP566*$FI$16:$FI$23*$FA$22),$FJ$16:$FJ$23)</f>
        <v>59616.969534082607</v>
      </c>
      <c r="BH566" s="1110">
        <f t="shared" si="716"/>
        <v>16028.447568506212</v>
      </c>
      <c r="BI566" s="1111">
        <f>IF(O566="vo",$EW$26/$EW$24*0.05,0)+IF(O566="sk",-$EW$26/$EW$24*(0.05-INDEX(绊状态确认!W:W,MATCH($G566,绊状态确认!$B:$B,)))+0.05*$EW$28,0)+IF(O566="sp",0.05*$EW$32*$EW$30*(1-$EW$33)-(0.05-INDEX(绊状态确认!V:V,MATCH($G566,绊状态确认!$B:$B,)))*$EW$28,0)+IF(O566="gd",-(0.05-INDEX(绊状态确认!X:X,MATCH($G566,绊状态确认!$B:$B,)))*$EW$32*$EW$30*(1-$EW$33),0)</f>
        <v>7726.3029277443748</v>
      </c>
      <c r="BJ566" s="420">
        <f>IF(O566="vo",0.05*(1-$FI$26)*$FA$24,0)+IF(O566="sk",-(0.05-INDEX(绊状态确认!W:W,MATCH($G566,绊状态确认!$B:$B,)))*(1-$FI$26)*$FA$24+0.05*$FA$26,0)+IF(O566="sp",0.05*$FA$32*$FA$27*(1-$FA$33)/$FA$30+0.05*$FA$29/$FA$69*$FA$27*(1-$FA$33)-(0.05-INDEX(绊状态确认!V:V,MATCH($G566,绊状态确认!$B:$B,)))*$FA$26,0)+IF(O566="gd",-(0.05-INDEX(绊状态确认!X:X,MATCH($G566,绊状态确认!$B:$B,)))*$FA$32*$FA$27*(1-$FA$33)/$FA$30-(0.05-INDEX(绊状态确认!X:X,MATCH($G566,绊状态确认!$B:$B,)))*$FA$29/$FA$69*$FA$27*(1-$FA$33),0)</f>
        <v>393.93433687500004</v>
      </c>
      <c r="BK566" s="1110">
        <f>IF(O566="vo",$EW$26/$EW$24*0.05+$EW$26*(-HP($EW$62,$EW$65,$EW$64)+HP($EW$62,$EW$65,(1.05-INDEX(绊状态确认!U:U,MATCH($G566,绊状态确认!$B:$B,)))*$EW$64)),0)+IF(O566="sk",-$EW$26/$EW$24*(0.05-INDEX(绊状态确认!W:W,MATCH($G566,绊状态确认!$B:$B,)))+0.05*$EW$29,0)+IF(O566="sp",0.05*$EW$32*$EW$30*(1-$EW$33)-(0.05-INDEX(绊状态确认!V:V,MATCH($G566,绊状态确认!$B:$B,)))*$EW$29,0)+IF(O566="gd",-(0.05-INDEX(绊状态确认!X:X,MATCH($G566,绊状态确认!$B:$B,)))*$EW$32*$EW$30*(1-$EW$33)+$EW$26*(-HP($EW$62,$EW$65,$EW$64)+HP($EW$62,$EW$65,0.95*$EW$64)),0)</f>
        <v>6421.6344775026746</v>
      </c>
      <c r="BL566" s="1111">
        <f t="shared" si="717"/>
        <v>-1083.3333333333333</v>
      </c>
      <c r="BM566" s="1110">
        <f t="shared" si="718"/>
        <v>-830.55555555555543</v>
      </c>
      <c r="BN566" s="1113">
        <f t="shared" si="719"/>
        <v>3</v>
      </c>
      <c r="BO566" s="1108">
        <f t="shared" si="720"/>
        <v>4507.7214871259994</v>
      </c>
      <c r="BP566" s="1127">
        <f t="shared" si="721"/>
        <v>221.34103209030098</v>
      </c>
      <c r="BQ566" s="1113" t="s">
        <v>132</v>
      </c>
      <c r="BR566" s="1124" t="s">
        <v>166</v>
      </c>
      <c r="BS566" s="421">
        <f>IF($P566="","N/A",IF($P566=-1,INDEX('卡片raw data'!AX:AX,MATCH($D566,'卡片raw data'!$F:$F,)),0)+IF($L566="party卡",IF($P566=5,INDEX('卡片raw data'!BD:BD,MATCH($D566,'卡片raw data'!$F:$F,)),IF($P566&gt;=3,INDEX('卡片raw data'!BC:BC,MATCH($D566,'卡片raw data'!$F:$F,)),INDEX('卡片raw data'!BB:BB,MATCH($D566,'卡片raw data'!$F:$F,)))),IF(OR(AND($F566="UR",$P566=0),AND($F566="SR",$P566&gt;=0,$P566&lt;=2),AND($F566="R",$P566&gt;=0,$P566&lt;4)),INDEX('卡片raw data'!AZ:AZ,MATCH($D566,'卡片raw data'!$F:$F,)),0)+IF(OR(AND($F566="UR",$P566&gt;=1,$P566&lt;=4),AND($F566="SR",$P566&lt;=4,$P566&gt;=3),AND($F566="R",$P566=4)),INDEX('卡片raw data'!BA:BA,MATCH($D566,'卡片raw data'!$F:$F,)),0)+IF($P566=5,INDEX('卡片raw data'!BB:BB,MATCH($D566,'卡片raw data'!$F:$F,)),0)))</f>
        <v>7.0000000000000007E-2</v>
      </c>
      <c r="BT566" s="424">
        <f t="shared" si="722"/>
        <v>725.27507645897356</v>
      </c>
      <c r="BU566" s="420">
        <f t="shared" si="723"/>
        <v>23.640619992345279</v>
      </c>
      <c r="BV566" s="420">
        <f t="shared" si="724"/>
        <v>0</v>
      </c>
      <c r="BW566" s="436">
        <f t="shared" si="725"/>
        <v>0</v>
      </c>
      <c r="BX566" s="423">
        <f t="shared" si="726"/>
        <v>725.27507645897356</v>
      </c>
      <c r="BY566" s="433">
        <f t="shared" si="727"/>
        <v>0</v>
      </c>
      <c r="BZ566" s="1113" t="s">
        <v>569</v>
      </c>
      <c r="CA566" s="450"/>
      <c r="CB566" s="421">
        <f>IF($P566="","N/A",IF($P566=-1,INDEX('卡片raw data'!BE:BE,MATCH($D566,'卡片raw data'!$F:$F,)),0)+IF($L566="party卡",IF($P566=5,INDEX('卡片raw data'!BK:BK,MATCH($D566,'卡片raw data'!$F:$F,)),IF($P566&gt;=3,INDEX('卡片raw data'!BJ:BJ,MATCH($D566,'卡片raw data'!$F:$F,)),INDEX('卡片raw data'!BI:BI,MATCH($D566,'卡片raw data'!$F:$F,)))),IF(OR(AND($F566="UR",$P566=0),AND($F566="SR",$P566&gt;=0,$P566&lt;=2),AND($F566="R",$P566&gt;=0,$P566&lt;4)),INDEX('卡片raw data'!BG:BG,MATCH($D566,'卡片raw data'!$F:$F,)),0)+IF(OR(AND($F566="UR",$P566&gt;=1,$P566&lt;=4),AND($F566="SR",$P566&lt;=4,$P566&gt;=3),AND($F566="R",$P566=4)),INDEX('卡片raw data'!BH:BH,MATCH($D566,'卡片raw data'!$F:$F,)),0)+IF($P566=5,INDEX('卡片raw data'!BI:BI,MATCH($D566,'卡片raw data'!$F:$F,)),0)))</f>
        <v>0</v>
      </c>
      <c r="CC566" s="424">
        <f t="shared" si="786"/>
        <v>0</v>
      </c>
      <c r="CD566" s="420">
        <f>IF(BZ566="ap",CB566*(1-$FI$26)*$FB$5/$FB$11*(+IF(CA566="全员",$FA$24,0)+IF(CA566="同作战",$FA$24,0)+IF(CA566="仲间",$FA$24*2/3,0)+IF(CA566="同属性",$FA$24*$FA$37/3,0)+IF(CA566="同年级",$FA$24*$FA$40/3,0)+IF(CA566="同学校",$FA$24*$FA$43/3,0)+IF(CA566="同小队",$FA$24*$FA$46/3,0)+IF(CA566="同type",$FA$24*INDEX($FB$49:$FB$52,MATCH(X566,$FA$49:$FA$52,))/3,0)+IF(CA566="自身",#REF!/3,0)),0)+IF(BZ566="te",CB566*(1-$FI$27)*($FA$20-1)*$FB$7/$FB$13*(+IF(CA566="全员",$FA$19*$FA$24/(1+($FA$20-1)*$FA$19),0)+IF(CA566="同作战",$FA$19*$FA$24/(1+($FA$20-1)*$FA$19),0)+IF(CA566="仲间",$FA$19*$FA$24*2/3/(1+($FA$20-1)*$FA$19),0)+IF(CA566="同属性",$FA$19*$FA$24*$FA$37/3/(1+($FA$20-1)*$FA$19),0)+IF(CA566="同年级",$FA$19*$FA$24*$FA$40/3/(1+($FA$20-1)*$FA$19),0)+IF(CA566="同学校",$FA$19*$FA$24*$FA$43/3/(1+($FA$20-1)*$FA$19),0)+IF(CA566="同小队",$FA$19*$FA$24*$FA$46/3/(1+($FA$20-1)*$FA$19),0)+IF(CA566="同type",$FA$19*$FA$24*INDEX($FB$49:$FB$52,MATCH(X566,$FA$49:$FA$52,))/3/(1+($FA$20-1)*$FA$19),0)+IF(CA566="自身",$FA$19*#REF!/3/(1+(BH566-1)*$BD566),0)),0)</f>
        <v>0</v>
      </c>
      <c r="CE566" s="420">
        <f t="shared" si="729"/>
        <v>0</v>
      </c>
      <c r="CF566" s="436">
        <f t="shared" si="787"/>
        <v>0</v>
      </c>
      <c r="CG566" s="423">
        <f t="shared" si="731"/>
        <v>0</v>
      </c>
      <c r="CH566" s="433">
        <f t="shared" si="732"/>
        <v>0</v>
      </c>
      <c r="CI566" s="1113" t="s">
        <v>164</v>
      </c>
      <c r="CJ566" s="1114">
        <v>1</v>
      </c>
      <c r="CK566" s="1115" t="s">
        <v>2046</v>
      </c>
      <c r="CL566" s="1115" t="s">
        <v>1940</v>
      </c>
      <c r="CM566" s="1119">
        <v>7.5999999999999998E-2</v>
      </c>
      <c r="CN566" s="1115"/>
      <c r="CO566" s="1115"/>
      <c r="CP566" s="1116">
        <f t="shared" si="733"/>
        <v>53.48003672881628</v>
      </c>
      <c r="CQ566" s="1116">
        <f t="shared" si="734"/>
        <v>74.892927121101422</v>
      </c>
      <c r="CR566" s="1116">
        <f t="shared" si="735"/>
        <v>53.48003672881628</v>
      </c>
      <c r="CS566" s="442">
        <f t="shared" si="782"/>
        <v>0</v>
      </c>
      <c r="CT566" s="432">
        <f t="shared" si="783"/>
        <v>0</v>
      </c>
      <c r="CU566" s="1101">
        <f t="shared" si="738"/>
        <v>58.828040401697912</v>
      </c>
      <c r="CV566" s="1108">
        <f t="shared" si="777"/>
        <v>74.892927121101422</v>
      </c>
      <c r="CW566" s="420">
        <f t="shared" si="739"/>
        <v>58.828040401697912</v>
      </c>
      <c r="CX566" s="420">
        <f t="shared" si="740"/>
        <v>58.828040401697912</v>
      </c>
      <c r="CY566" s="433">
        <f t="shared" si="741"/>
        <v>58.828040401697912</v>
      </c>
      <c r="CZ566" s="437"/>
      <c r="DA566" s="438"/>
      <c r="DB566" s="439" t="s">
        <v>569</v>
      </c>
      <c r="DC566" s="439"/>
      <c r="DD566" s="443"/>
      <c r="DE566" s="411"/>
      <c r="DF566" s="411"/>
      <c r="DG566" s="1116">
        <f t="shared" si="742"/>
        <v>0</v>
      </c>
      <c r="DH566" s="1116">
        <f t="shared" si="743"/>
        <v>0</v>
      </c>
      <c r="DI566" s="1116">
        <f t="shared" si="744"/>
        <v>0</v>
      </c>
      <c r="DJ566" s="442">
        <f t="shared" si="784"/>
        <v>0</v>
      </c>
      <c r="DK566" s="432">
        <f t="shared" si="785"/>
        <v>0</v>
      </c>
      <c r="DL566" s="424">
        <f t="shared" si="747"/>
        <v>0</v>
      </c>
      <c r="DM566" s="420">
        <f t="shared" si="748"/>
        <v>0</v>
      </c>
      <c r="DN566" s="420">
        <f t="shared" si="749"/>
        <v>0</v>
      </c>
      <c r="DO566" s="420">
        <f t="shared" si="750"/>
        <v>0</v>
      </c>
      <c r="DP566" s="433">
        <f t="shared" si="751"/>
        <v>0</v>
      </c>
      <c r="DQ566" s="1113" t="s">
        <v>167</v>
      </c>
      <c r="DR566" s="1120">
        <f t="shared" si="788"/>
        <v>0.3</v>
      </c>
      <c r="DS566" s="1124">
        <v>5</v>
      </c>
      <c r="DT566" s="1124" t="s">
        <v>2075</v>
      </c>
      <c r="DU566" s="1093" t="s">
        <v>2145</v>
      </c>
      <c r="DV566" s="1098">
        <f>IF($P566="","N/A",IF(P566=-1,INDEX('卡片raw data'!AN:AN,MATCH(D566,'卡片raw data'!$F:$F,)),0)+IF(AND(L566&lt;&gt;"party卡",P566&lt;=2,P566&gt;=0),INDEX('卡片raw data'!AP:AP,MATCH(D566,'卡片raw data'!$F:$F,)),0)+IF(OR(AND(L566="party卡",P566&lt;=1),AND(P566&lt;=4,L566&lt;&gt;"party卡",P566&gt;=3)),INDEX('卡片raw data'!AQ:AQ,MATCH(D566,'卡片raw data'!$F:$F,)),0)+IF(OR(P566=5,AND(L566="party卡",P566&gt;=2)),INDEX('卡片raw data'!AR:AR,MATCH(D566,'卡片raw data'!$F:$F,)),0))</f>
        <v>5.1999999999999998E-2</v>
      </c>
      <c r="DW566" s="1098">
        <f t="shared" si="752"/>
        <v>0.3</v>
      </c>
      <c r="DX566" s="1098">
        <f t="shared" si="753"/>
        <v>0.3</v>
      </c>
      <c r="DY566" s="1098">
        <f t="shared" si="754"/>
        <v>1.7333333333333333E-2</v>
      </c>
      <c r="DZ566" s="1098">
        <f t="shared" si="755"/>
        <v>1.3119166666666666E-2</v>
      </c>
      <c r="EA566" s="421">
        <f t="shared" si="756"/>
        <v>0</v>
      </c>
      <c r="EB566" s="445">
        <f t="shared" si="757"/>
        <v>0</v>
      </c>
      <c r="EC566" s="424">
        <f t="shared" si="758"/>
        <v>2357.037479823884</v>
      </c>
      <c r="ED566" s="420">
        <f t="shared" si="759"/>
        <v>86.134837019765627</v>
      </c>
      <c r="EE566" s="433">
        <f t="shared" si="775"/>
        <v>2357.037479823884</v>
      </c>
      <c r="EF566" s="1113" t="s">
        <v>569</v>
      </c>
      <c r="EG566" s="1120">
        <f t="shared" si="789"/>
        <v>0.3</v>
      </c>
      <c r="EH566" s="450"/>
      <c r="EI566" s="1124"/>
      <c r="EJ566" s="1124"/>
      <c r="EK566" s="420">
        <f>IF($P566="","N/A",IF(P566=-1,INDEX('卡片raw data'!AS:AS,MATCH(D566,'卡片raw data'!$F:$F,)),0)+IF(AND(L566&lt;&gt;"party卡",P566&lt;=2,P566&gt;=0),INDEX('卡片raw data'!AU:AU,MATCH(D566,'卡片raw data'!$F:$F,)),0)+IF(OR(AND(L566="party卡",P566&lt;=1),AND(P566&lt;=4,L566&lt;&gt;"party卡",P566&gt;=3)),INDEX('卡片raw data'!AV:AV,MATCH(D566,'卡片raw data'!$F:$F,)),0)+IF(OR(P566=5,AND(L566="party卡",P566&gt;=2)),INDEX('卡片raw data'!AW:AW,MATCH(D566,'卡片raw data'!$F:$F,)),0))</f>
        <v>0</v>
      </c>
      <c r="EL566" s="1098">
        <f t="shared" si="760"/>
        <v>0.3</v>
      </c>
      <c r="EM566" s="1098">
        <f t="shared" si="761"/>
        <v>0.3</v>
      </c>
      <c r="EN566" s="1097">
        <f t="shared" si="762"/>
        <v>0</v>
      </c>
      <c r="EO566" s="1097">
        <f t="shared" si="763"/>
        <v>0</v>
      </c>
      <c r="EP566" s="421">
        <f t="shared" si="764"/>
        <v>0</v>
      </c>
      <c r="EQ566" s="445">
        <f t="shared" si="765"/>
        <v>0</v>
      </c>
      <c r="ER566" s="424">
        <f t="shared" si="766"/>
        <v>0</v>
      </c>
      <c r="ES566" s="420">
        <f t="shared" si="767"/>
        <v>0</v>
      </c>
      <c r="ET566" s="446">
        <f t="shared" si="776"/>
        <v>0</v>
      </c>
    </row>
    <row r="567" spans="2:150" ht="16.5" customHeight="1">
      <c r="B567" s="1123" t="str">
        <f>INDEX('卡片raw data'!B:B,MATCH($D567,'卡片raw data'!$F:$F,))</f>
        <v>四单绘</v>
      </c>
      <c r="C567" s="1025" t="s">
        <v>4632</v>
      </c>
      <c r="D567" s="408">
        <v>564</v>
      </c>
      <c r="E567" s="1164">
        <v>400022005</v>
      </c>
      <c r="F567" s="409" t="str">
        <f>INDEX('卡片raw data'!C:C,MATCH($D567,'卡片raw data'!$F:$F,))</f>
        <v>SR</v>
      </c>
      <c r="G567" s="1026" t="s">
        <v>4633</v>
      </c>
      <c r="H567" s="411">
        <f>IFERROR(INDEX(绊状态确认!C:C,MATCH($G567,绊状态确认!$B:$B,)),"")</f>
        <v>2</v>
      </c>
      <c r="I567" s="1124" t="str">
        <f>IFERROR(INDEX(绊状态确认!D:D,MATCH($G567,绊状态确认!$B:$B,)),"")</f>
        <v>缪</v>
      </c>
      <c r="J567" s="1124" t="str">
        <f>IFERROR(INDEX(绊状态确认!E:E,MATCH($G567,绊状态确认!$B:$B,)),"")</f>
        <v>3年级</v>
      </c>
      <c r="K567" s="451" t="str">
        <f>IFERROR(INDEX(绊状态确认!F:F,MATCH($G567,绊状态确认!$B:$B,)),"")</f>
        <v>BiBi</v>
      </c>
      <c r="L567" s="414" t="str">
        <f>INDEX('卡片raw data'!E:E,MATCH($D567,'卡片raw data'!$F:$F,))</f>
        <v>活动卡</v>
      </c>
      <c r="M567" s="478">
        <v>44489</v>
      </c>
      <c r="N567" s="479">
        <v>50</v>
      </c>
      <c r="O567" s="410" t="str">
        <f>INDEX('卡片raw data'!D:D,MATCH($D567,'卡片raw data'!$F:$F,))</f>
        <v>sp</v>
      </c>
      <c r="P567" s="1126">
        <v>5</v>
      </c>
      <c r="Q567" s="418">
        <f t="shared" si="688"/>
        <v>28472.58635058959</v>
      </c>
      <c r="R567" s="419">
        <f t="shared" si="689"/>
        <v>0.33100000000000002</v>
      </c>
      <c r="S567" s="420">
        <f t="shared" si="690"/>
        <v>15447.666051920853</v>
      </c>
      <c r="T567" s="421">
        <f t="shared" si="691"/>
        <v>0.77200000000000002</v>
      </c>
      <c r="U567" s="422">
        <f t="shared" si="692"/>
        <v>11.364989671842856</v>
      </c>
      <c r="V567" s="423">
        <f t="shared" si="693"/>
        <v>27578.055913715078</v>
      </c>
      <c r="W567" s="424">
        <f t="shared" si="694"/>
        <v>4524.7556343012857</v>
      </c>
      <c r="X567" s="419">
        <f t="shared" si="695"/>
        <v>5.1999999999999998E-2</v>
      </c>
      <c r="Y567" s="420">
        <f t="shared" si="696"/>
        <v>905.469563125489</v>
      </c>
      <c r="Z567" s="425">
        <f t="shared" si="697"/>
        <v>11.364989671842856</v>
      </c>
      <c r="AA567" s="426">
        <f t="shared" si="698"/>
        <v>5430.2251974267747</v>
      </c>
      <c r="AB567" s="424">
        <f t="shared" si="699"/>
        <v>8281.1902069062853</v>
      </c>
      <c r="AC567" s="427">
        <f t="shared" si="700"/>
        <v>9.6000000000000002E-2</v>
      </c>
      <c r="AD567" s="428">
        <f t="shared" si="701"/>
        <v>-1.9908281250000003E-2</v>
      </c>
      <c r="AE567" s="516">
        <f t="shared" si="702"/>
        <v>-1.3514492753623202</v>
      </c>
      <c r="AF567" s="1130">
        <f t="shared" si="703"/>
        <v>0</v>
      </c>
      <c r="AG567" s="420">
        <f t="shared" si="704"/>
        <v>0</v>
      </c>
      <c r="AH567" s="420">
        <f t="shared" si="705"/>
        <v>0</v>
      </c>
      <c r="AI567" s="1097">
        <f t="shared" si="706"/>
        <v>0</v>
      </c>
      <c r="AJ567" s="420">
        <f t="shared" si="707"/>
        <v>0</v>
      </c>
      <c r="AK567" s="518">
        <f t="shared" si="708"/>
        <v>0</v>
      </c>
      <c r="AL567" s="1106">
        <f>IF($P567="","N/A",(IF($P567=-1,INDEX('卡片raw data'!S:S,MATCH($D567,'卡片raw data'!$F:$F,)),0)+IF($P567=0,INDEX('卡片raw data'!V:V,MATCH($D567,'卡片raw data'!$F:$F,)),0)+IF($P567=1,INDEX('卡片raw data'!Y:Y,MATCH($D567,'卡片raw data'!$F:$F,)),0)+IF($P567=2,INDEX('卡片raw data'!AB:AB,MATCH($D567,'卡片raw data'!$F:$F,)),0)+IF($P567=3,INDEX('卡片raw data'!AE:AE,MATCH($D567,'卡片raw data'!$F:$F,)),0)+IF($P567=4,INDEX('卡片raw data'!AH:AH,MATCH($D567,'卡片raw data'!$F:$F,)),0)+IF($P567=5,INDEX('卡片raw data'!AK:AK,MATCH($D567,'卡片raw data'!$F:$F,)),0)+INDEX('卡片raw data'!S:S,MATCH($D567,'卡片raw data'!$F:$F,))*(IF($F567="UR",0.04,0.033))*(IF($F567="UR",INDEX(绊状态确认!$S:$S,MATCH($G567,绊状态确认!$B:$B,))/2-40)+IF($F567="SR",INDEX(绊状态确认!$R:$R,MATCH($G567,绊状态确认!$B:$B,))/4-15))+IF($F567="R",INDEX(绊状态确认!$Q:$Q,MATCH($G567,绊状态确认!$B:$B,))/6-40/6)))*(INDEX(绊状态确认!$H:$H,MATCH($G567,绊状态确认!$B:$B,))+INDEX(绊状态确认!J:J,MATCH($G567,绊状态确认!$B:$B,)))</f>
        <v>7585.601822399999</v>
      </c>
      <c r="AM567" s="1106">
        <f>IF($P567="","N/A",(IF($P567=-1,INDEX('卡片raw data'!T:T,MATCH($D567,'卡片raw data'!$F:$F,)),0)+IF($P567=0,INDEX('卡片raw data'!W:W,MATCH($D567,'卡片raw data'!$F:$F,)),0)+IF($P567=1,INDEX('卡片raw data'!Z:Z,MATCH($D567,'卡片raw data'!$F:$F,)),0)+IF($P567=2,INDEX('卡片raw data'!AC:AC,MATCH($D567,'卡片raw data'!$F:$F,)),0)+IF($P567=3,INDEX('卡片raw data'!AF:AF,MATCH($D567,'卡片raw data'!$F:$F,)),0)+IF($P567=4,INDEX('卡片raw data'!AI:AI,MATCH($D567,'卡片raw data'!$F:$F,)),0)+IF($P567=5,INDEX('卡片raw data'!AL:AL,MATCH($D567,'卡片raw data'!$F:$F,)),0)+INDEX('卡片raw data'!T:T,MATCH($D567,'卡片raw data'!$F:$F,))*(IF($F567="UR",0.04,0.033))*(IF($F567="UR",INDEX(绊状态确认!$S:$S,MATCH($G567,绊状态确认!$B:$B,))/2-40)+IF($F567="SR",INDEX(绊状态确认!$R:$R,MATCH($G567,绊状态确认!$B:$B,))/4-15))+IF($F567="R",INDEX(绊状态确认!$Q:$Q,MATCH($G567,绊状态确认!$B:$B,))/6-40/6)))*(INDEX(绊状态确认!$H:$H,MATCH($G567,绊状态确认!$B:$B,))+INDEX(绊状态确认!K:K,MATCH($G567,绊状态确认!$B:$B,)))</f>
        <v>5789.9807279999995</v>
      </c>
      <c r="AN567" s="1106">
        <f>IF($P567="","N/A",(IF($P567=-1,INDEX('卡片raw data'!U:U,MATCH($D567,'卡片raw data'!$F:$F,)),0)+IF($P567=0,INDEX('卡片raw data'!X:X,MATCH($D567,'卡片raw data'!$F:$F,)),0)+IF($P567=1,INDEX('卡片raw data'!AA:AA,MATCH($D567,'卡片raw data'!$F:$F,)),0)+IF($P567=2,INDEX('卡片raw data'!AD:AD,MATCH($D567,'卡片raw data'!$F:$F,)),0)+IF($P567=3,INDEX('卡片raw data'!AG:AG,MATCH($D567,'卡片raw data'!$F:$F,)),0)+IF($P567=4,INDEX('卡片raw data'!AJ:AJ,MATCH($D567,'卡片raw data'!$F:$F,)),0)+IF($P567=5,INDEX('卡片raw data'!AM:AM,MATCH($D567,'卡片raw data'!$F:$F,)),0)+INDEX('卡片raw data'!U:U,MATCH($D567,'卡片raw data'!$F:$F,))*(IF($F567="UR",0.04,0.033))*(IF($F567="UR",INDEX(绊状态确认!$S:$S,MATCH($G567,绊状态确认!$B:$B,))/2-40)+IF($F567="SR",INDEX(绊状态确认!$R:$R,MATCH($G567,绊状态确认!$B:$B,))/4-15))+IF($F567="R",INDEX(绊状态确认!$Q:$Q,MATCH($G567,绊状态确认!$B:$B,))/6-40/6)))*(INDEX(绊状态确认!$H:$H,MATCH($G567,绊状态确认!$B:$B,))+INDEX(绊状态确认!L:L,MATCH($G567,绊状态确认!$B:$B,)))</f>
        <v>6588.1858151999986</v>
      </c>
      <c r="AO567" s="1107">
        <f t="shared" si="709"/>
        <v>1</v>
      </c>
      <c r="AP567" s="1131">
        <f>1+(INDEX(绊状态确认!$T:$T,MATCH($G567,绊状态确认!$B:$B,))+0.2)*$AO567</f>
        <v>1.3</v>
      </c>
      <c r="AQ567" s="1108">
        <f t="shared" si="710"/>
        <v>23162.2047838</v>
      </c>
      <c r="AR567" s="1097">
        <f>(AM567*(1+$EX$9)+$EX$35)*(1+(INDEX(绊状态确认!$T:$T,MATCH($G567,绊状态确认!$B:$B,))+0.2)*AO567)*IF(J567=$FF$17,1+$FE$17,1)*IF(I567=$FF$14,1+$FE$14,1)</f>
        <v>10607.32369372</v>
      </c>
      <c r="AS567" s="1097">
        <f>(AN567*(1+$EX$10)+$EX$36)*(1+(INDEX(绊状态确认!$T:$T,MATCH($G567,绊状态确认!$B:$B,))+0.2)*AO567)*IF(J567=$FF$17,1+$FE$17,1)*IF(I567=$FF$14,1+$FE$14,1)</f>
        <v>13905.337793723998</v>
      </c>
      <c r="AT567" s="1093">
        <f>IF(AND(INDEX('卡片raw data'!AK:AK,MATCH($D567,'卡片raw data'!$F:$F,))&lt;INDEX('卡片raw data'!AM:AM,MATCH($D567,'卡片raw data'!$F:$F,)),INDEX('卡片raw data'!AL:AL,MATCH($D567,'卡片raw data'!$F:$F,))&lt;INDEX('卡片raw data'!AM:AM,MATCH($D567,'卡片raw data'!$F:$F,))),1,0)</f>
        <v>0</v>
      </c>
      <c r="AU567" s="1098">
        <f>MIN(AT567*0.15+AS567*0.00003+INDEX(绊状态确认!M:M,MATCH($G567,绊状态确认!$B:$B,)),1)</f>
        <v>0.44716013381171998</v>
      </c>
      <c r="AV567" s="1109">
        <f>(INDEX(绊状态确认!$N:$N,MATCH($G567,绊状态确认!$B:$B,))+1.5)*$EW$21</f>
        <v>2.6599999999999997</v>
      </c>
      <c r="AW567" s="1101">
        <f t="shared" si="711"/>
        <v>20958.329477016632</v>
      </c>
      <c r="AX567" s="1097">
        <f t="shared" si="712"/>
        <v>905.469563125489</v>
      </c>
      <c r="AY567" s="1110">
        <f t="shared" si="713"/>
        <v>21863.799040142119</v>
      </c>
      <c r="AZ567" s="429">
        <f t="shared" si="714"/>
        <v>17391.923553679997</v>
      </c>
      <c r="BA567" s="431">
        <f t="shared" si="715"/>
        <v>20870.308264415995</v>
      </c>
      <c r="BB567" s="1097">
        <f>(AM567*(1+$FB$9)+$FB$35)*(1+(INDEX(绊状态确认!$T:$T,MATCH($G567,绊状态确认!$B:$B,))+0.2)*AO567)*IF(J567=$FF$17,1+$FE$17,1)*IF(I567=$FF$14,1+$FE$14,1)*(1+$FE$15)</f>
        <v>10607.32369372</v>
      </c>
      <c r="BC567" s="1097">
        <f>(AN567*(1+$FB$10)+$FB$36)*(1+(INDEX(绊状态确认!$T:$T,MATCH($G567,绊状态确认!$B:$B,))+0.2)*AO567)*IF(J567=$FF$17,1+$FE$17,1)*IF(I567=$FF$14,1+$FE$14,1)*(1+$FE$15)</f>
        <v>13905.337793723998</v>
      </c>
      <c r="BD567" s="1104">
        <f>MIN(AT567*0.15+BC567*0.00003+INDEX(绊状态确认!M:M,MATCH($G567,绊状态确认!$B:$B,)),1)</f>
        <v>0.44716013381171998</v>
      </c>
      <c r="BE567" s="432">
        <f>(INDEX(绊状态确认!$N:$N,MATCH($G567,绊状态确认!$B:$B,))+1.5)</f>
        <v>1.9</v>
      </c>
      <c r="BF567" s="1139">
        <f t="array" ref="BF567">SUMPRODUCT(IF(AZ567*AP567*$FI$16:$FI$23*$FA$22&gt;=$FI$24,$FI$24,AZ567*AP567*$FI$16:$FI$23*$FA$22),$FJ$16:$FJ$23)</f>
        <v>34592.53594826952</v>
      </c>
      <c r="BG567" s="1125">
        <f t="array" ref="BG567">SUMPRODUCT(IF(BE567*AZ567*AP567*$FI$16:$FI$23*$FA$22&gt;=$FI$24,$FI$24,BE567*AZ567*AP567*$FI$16:$FI$23*$FA$22),$FJ$16:$FJ$23)</f>
        <v>58739.5127943974</v>
      </c>
      <c r="BH567" s="1110">
        <f t="shared" si="716"/>
        <v>15130.033781977523</v>
      </c>
      <c r="BI567" s="1111">
        <f>IF(O567="vo",$EW$26/$EW$24*0.05,0)+IF(O567="sk",-$EW$26/$EW$24*(0.05-INDEX(绊状态确认!W:W,MATCH($G567,绊状态确认!$B:$B,)))+0.05*$EW$28,0)+IF(O567="sp",0.05*$EW$32*$EW$30*(1-$EW$33)-(0.05-INDEX(绊状态确认!V:V,MATCH($G567,绊状态确认!$B:$B,)))*$EW$28,0)+IF(O567="gd",-(0.05-INDEX(绊状态确认!X:X,MATCH($G567,绊状态确认!$B:$B,)))*$EW$32*$EW$30*(1-$EW$33),0)</f>
        <v>19.999999999999886</v>
      </c>
      <c r="BJ567" s="420">
        <f>IF(O567="vo",0.05*(1-$FI$26)*$FA$24,0)+IF(O567="sk",-(0.05-INDEX(绊状态确认!W:W,MATCH($G567,绊状态确认!$B:$B,)))*(1-$FI$26)*$FA$24+0.05*$FA$26,0)+IF(O567="sp",0.05*$FA$32*$FA$27*(1-$FA$33)/$FA$30+0.05*$FA$29/$FA$69*$FA$27*(1-$FA$33)-(0.05-INDEX(绊状态确认!V:V,MATCH($G567,绊状态确认!$B:$B,)))*$FA$26,0)+IF(O567="gd",-(0.05-INDEX(绊状态确认!X:X,MATCH($G567,绊状态确认!$B:$B,)))*$FA$32*$FA$27*(1-$FA$33)/$FA$30-(0.05-INDEX(绊状态确认!X:X,MATCH($G567,绊状态确认!$B:$B,)))*$FA$29/$FA$69*$FA$27*(1-$FA$33),0)</f>
        <v>545.83333333333326</v>
      </c>
      <c r="BK567" s="1110">
        <f>IF(O567="vo",$EW$26/$EW$24*0.05+$EW$26*(-HP($EW$62,$EW$65,$EW$64)+HP($EW$62,$EW$65,(1.05-INDEX(绊状态确认!U:U,MATCH($G567,绊状态确认!$B:$B,)))*$EW$64)),0)+IF(O567="sk",-$EW$26/$EW$24*(0.05-INDEX(绊状态确认!W:W,MATCH($G567,绊状态确认!$B:$B,)))+0.05*$EW$29,0)+IF(O567="sp",0.05*$EW$32*$EW$30*(1-$EW$33)-(0.05-INDEX(绊状态确认!V:V,MATCH($G567,绊状态确认!$B:$B,)))*$EW$29,0)+IF(O567="gd",-(0.05-INDEX(绊状态确认!X:X,MATCH($G567,绊状态确认!$B:$B,)))*$EW$32*$EW$30*(1-$EW$33)+$EW$26*(-HP($EW$62,$EW$65,$EW$64)+HP($EW$62,$EW$65,0.95*$EW$64)),0)</f>
        <v>-1780.0000000000005</v>
      </c>
      <c r="BL567" s="1111">
        <f t="shared" si="717"/>
        <v>-1083.3333333333333</v>
      </c>
      <c r="BM567" s="1110">
        <f t="shared" si="718"/>
        <v>-830.55555555555543</v>
      </c>
      <c r="BN567" s="1113">
        <f t="shared" si="719"/>
        <v>3</v>
      </c>
      <c r="BO567" s="1108">
        <f t="shared" si="720"/>
        <v>4507.7214871259994</v>
      </c>
      <c r="BP567" s="1127">
        <f t="shared" si="721"/>
        <v>221.34103209030098</v>
      </c>
      <c r="BQ567" s="1113" t="s">
        <v>132</v>
      </c>
      <c r="BR567" s="1124" t="s">
        <v>168</v>
      </c>
      <c r="BS567" s="421">
        <f>IF($P567="","N/A",IF($P567=-1,INDEX('卡片raw data'!AX:AX,MATCH($D567,'卡片raw data'!$F:$F,)),0)+IF($L567="party卡",IF($P567=5,INDEX('卡片raw data'!BD:BD,MATCH($D567,'卡片raw data'!$F:$F,)),IF($P567&gt;=3,INDEX('卡片raw data'!BC:BC,MATCH($D567,'卡片raw data'!$F:$F,)),INDEX('卡片raw data'!BB:BB,MATCH($D567,'卡片raw data'!$F:$F,)))),IF(OR(AND($F567="UR",$P567=0),AND($F567="SR",$P567&gt;=0,$P567&lt;=2),AND($F567="R",$P567&gt;=0,$P567&lt;4)),INDEX('卡片raw data'!AZ:AZ,MATCH($D567,'卡片raw data'!$F:$F,)),0)+IF(OR(AND($F567="UR",$P567&gt;=1,$P567&lt;=4),AND($F567="SR",$P567&lt;=4,$P567&gt;=3),AND($F567="R",$P567=4)),INDEX('卡片raw data'!BA:BA,MATCH($D567,'卡片raw data'!$F:$F,)),0)+IF($P567=5,INDEX('卡片raw data'!BB:BB,MATCH($D567,'卡片raw data'!$F:$F,)),0)))</f>
        <v>0.05</v>
      </c>
      <c r="BT567" s="424">
        <f t="shared" si="722"/>
        <v>3756.4345726050001</v>
      </c>
      <c r="BU567" s="420">
        <f t="shared" si="723"/>
        <v>184.45086007525089</v>
      </c>
      <c r="BV567" s="420">
        <f t="shared" si="724"/>
        <v>0</v>
      </c>
      <c r="BW567" s="436">
        <f t="shared" si="725"/>
        <v>0</v>
      </c>
      <c r="BX567" s="423">
        <f t="shared" si="726"/>
        <v>3756.4345726050001</v>
      </c>
      <c r="BY567" s="433">
        <f t="shared" si="727"/>
        <v>0</v>
      </c>
      <c r="BZ567" s="1113" t="s">
        <v>569</v>
      </c>
      <c r="CA567" s="1124"/>
      <c r="CB567" s="421">
        <f>IF($P567="","N/A",IF($P567=-1,INDEX('卡片raw data'!BE:BE,MATCH($D567,'卡片raw data'!$F:$F,)),0)+IF($L567="party卡",IF($P567=5,INDEX('卡片raw data'!BK:BK,MATCH($D567,'卡片raw data'!$F:$F,)),IF($P567&gt;=3,INDEX('卡片raw data'!BJ:BJ,MATCH($D567,'卡片raw data'!$F:$F,)),INDEX('卡片raw data'!BI:BI,MATCH($D567,'卡片raw data'!$F:$F,)))),IF(OR(AND($F567="UR",$P567=0),AND($F567="SR",$P567&gt;=0,$P567&lt;=2),AND($F567="R",$P567&gt;=0,$P567&lt;4)),INDEX('卡片raw data'!BG:BG,MATCH($D567,'卡片raw data'!$F:$F,)),0)+IF(OR(AND($F567="UR",$P567&gt;=1,$P567&lt;=4),AND($F567="SR",$P567&lt;=4,$P567&gt;=3),AND($F567="R",$P567=4)),INDEX('卡片raw data'!BH:BH,MATCH($D567,'卡片raw data'!$F:$F,)),0)+IF($P567=5,INDEX('卡片raw data'!BI:BI,MATCH($D567,'卡片raw data'!$F:$F,)),0)))</f>
        <v>0</v>
      </c>
      <c r="CC567" s="424">
        <f t="shared" si="786"/>
        <v>0</v>
      </c>
      <c r="CD567" s="420">
        <f>IF(BZ567="ap",CB567*(1-$FI$26)*$FB$5/$FB$11*(+IF(CA567="全员",$FA$24,0)+IF(CA567="同作战",$FA$24,0)+IF(CA567="仲间",$FA$24*2/3,0)+IF(CA567="同属性",$FA$24*$FA$37/3,0)+IF(CA567="同年级",$FA$24*$FA$40/3,0)+IF(CA567="同学校",$FA$24*$FA$43/3,0)+IF(CA567="同小队",$FA$24*$FA$46/3,0)+IF(CA567="同type",$FA$24*INDEX($FB$49:$FB$52,MATCH(X567,$FA$49:$FA$52,))/3,0)+IF(CA567="自身",#REF!/3,0)),0)+IF(BZ567="te",CB567*(1-$FI$27)*($FA$20-1)*$FB$7/$FB$13*(+IF(CA567="全员",$FA$19*$FA$24/(1+($FA$20-1)*$FA$19),0)+IF(CA567="同作战",$FA$19*$FA$24/(1+($FA$20-1)*$FA$19),0)+IF(CA567="仲间",$FA$19*$FA$24*2/3/(1+($FA$20-1)*$FA$19),0)+IF(CA567="同属性",$FA$19*$FA$24*$FA$37/3/(1+($FA$20-1)*$FA$19),0)+IF(CA567="同年级",$FA$19*$FA$24*$FA$40/3/(1+($FA$20-1)*$FA$19),0)+IF(CA567="同学校",$FA$19*$FA$24*$FA$43/3/(1+($FA$20-1)*$FA$19),0)+IF(CA567="同小队",$FA$19*$FA$24*$FA$46/3/(1+($FA$20-1)*$FA$19),0)+IF(CA567="同type",$FA$19*$FA$24*INDEX($FB$49:$FB$52,MATCH(X567,$FA$49:$FA$52,))/3/(1+($FA$20-1)*$FA$19),0)+IF(CA567="自身",$FA$19*#REF!/3/(1+(BH567-1)*$BD567),0)),0)</f>
        <v>0</v>
      </c>
      <c r="CE567" s="420">
        <f t="shared" si="729"/>
        <v>0</v>
      </c>
      <c r="CF567" s="436">
        <f t="shared" si="787"/>
        <v>0</v>
      </c>
      <c r="CG567" s="423">
        <f t="shared" si="731"/>
        <v>0</v>
      </c>
      <c r="CH567" s="433">
        <f t="shared" si="732"/>
        <v>0</v>
      </c>
      <c r="CI567" s="1113" t="s">
        <v>162</v>
      </c>
      <c r="CJ567" s="1114">
        <v>0.3</v>
      </c>
      <c r="CK567" s="1115" t="s">
        <v>2158</v>
      </c>
      <c r="CL567" s="1115" t="s">
        <v>1940</v>
      </c>
      <c r="CM567" s="1119">
        <v>0.08</v>
      </c>
      <c r="CN567" s="1115"/>
      <c r="CO567" s="1115"/>
      <c r="CP567" s="1116">
        <f t="shared" si="733"/>
        <v>11.91199103166857</v>
      </c>
      <c r="CQ567" s="1116">
        <f t="shared" si="734"/>
        <v>16.696246611532793</v>
      </c>
      <c r="CR567" s="1117">
        <f t="shared" si="735"/>
        <v>11.91199103166857</v>
      </c>
      <c r="CS567" s="442">
        <f t="shared" si="782"/>
        <v>0</v>
      </c>
      <c r="CT567" s="432">
        <f t="shared" si="783"/>
        <v>0</v>
      </c>
      <c r="CU567" s="1101">
        <f t="shared" si="738"/>
        <v>17.034147175286058</v>
      </c>
      <c r="CV567" s="1108">
        <f t="shared" si="777"/>
        <v>0</v>
      </c>
      <c r="CW567" s="420">
        <f t="shared" si="739"/>
        <v>17.034147175286058</v>
      </c>
      <c r="CX567" s="420">
        <f t="shared" si="740"/>
        <v>17.034147175286058</v>
      </c>
      <c r="CY567" s="433">
        <f t="shared" si="741"/>
        <v>17.034147175286058</v>
      </c>
      <c r="CZ567" s="437"/>
      <c r="DA567" s="438"/>
      <c r="DB567" s="439" t="s">
        <v>569</v>
      </c>
      <c r="DC567" s="439"/>
      <c r="DD567" s="443"/>
      <c r="DE567" s="411"/>
      <c r="DF567" s="411"/>
      <c r="DG567" s="1116">
        <f t="shared" si="742"/>
        <v>0</v>
      </c>
      <c r="DH567" s="1116">
        <f t="shared" si="743"/>
        <v>0</v>
      </c>
      <c r="DI567" s="1116">
        <f t="shared" si="744"/>
        <v>0</v>
      </c>
      <c r="DJ567" s="442">
        <f t="shared" si="784"/>
        <v>0</v>
      </c>
      <c r="DK567" s="432">
        <f t="shared" si="785"/>
        <v>0</v>
      </c>
      <c r="DL567" s="424">
        <f t="shared" si="747"/>
        <v>0</v>
      </c>
      <c r="DM567" s="420">
        <f t="shared" si="748"/>
        <v>0</v>
      </c>
      <c r="DN567" s="420">
        <f t="shared" si="749"/>
        <v>0</v>
      </c>
      <c r="DO567" s="420">
        <f t="shared" si="750"/>
        <v>0</v>
      </c>
      <c r="DP567" s="433">
        <f t="shared" si="751"/>
        <v>0</v>
      </c>
      <c r="DQ567" s="1113" t="s">
        <v>2143</v>
      </c>
      <c r="DR567" s="1120">
        <f t="shared" si="788"/>
        <v>0.3</v>
      </c>
      <c r="DS567" s="1124">
        <v>3</v>
      </c>
      <c r="DT567" s="1124" t="s">
        <v>2127</v>
      </c>
      <c r="DU567" s="1093" t="s">
        <v>2145</v>
      </c>
      <c r="DV567" s="1098">
        <f>IF($P567="","N/A",IF(P567=-1,INDEX('卡片raw data'!AN:AN,MATCH(D567,'卡片raw data'!$F:$F,)),0)+IF(AND(L567&lt;&gt;"party卡",P567&lt;=2,P567&gt;=0),INDEX('卡片raw data'!AP:AP,MATCH(D567,'卡片raw data'!$F:$F,)),0)+IF(OR(AND(L567="party卡",P567&lt;=1),AND(P567&lt;=4,L567&lt;&gt;"party卡",P567&gt;=3)),INDEX('卡片raw data'!AQ:AQ,MATCH(D567,'卡片raw data'!$F:$F,)),0)+IF(OR(P567=5,AND(L567="party卡",P567&gt;=2)),INDEX('卡片raw data'!AR:AR,MATCH(D567,'卡片raw data'!$F:$F,)),0))</f>
        <v>7.5999999999999998E-2</v>
      </c>
      <c r="DW567" s="1098">
        <f t="shared" si="752"/>
        <v>0.3</v>
      </c>
      <c r="DX567" s="1098">
        <f t="shared" si="753"/>
        <v>0.3</v>
      </c>
      <c r="DY567" s="1098">
        <f t="shared" si="754"/>
        <v>2.2799999999999997E-2</v>
      </c>
      <c r="DZ567" s="1098">
        <f t="shared" si="755"/>
        <v>1.9721999999999996E-2</v>
      </c>
      <c r="EA567" s="421">
        <f t="shared" si="756"/>
        <v>0</v>
      </c>
      <c r="EB567" s="445">
        <f t="shared" si="757"/>
        <v>0</v>
      </c>
      <c r="EC567" s="424">
        <f t="shared" si="758"/>
        <v>296.39999999999992</v>
      </c>
      <c r="ED567" s="420">
        <f t="shared" si="759"/>
        <v>196.56259999999995</v>
      </c>
      <c r="EE567" s="433">
        <f t="shared" si="775"/>
        <v>296.39999999999992</v>
      </c>
      <c r="EF567" s="1113" t="s">
        <v>569</v>
      </c>
      <c r="EG567" s="1120">
        <f t="shared" si="789"/>
        <v>0.3</v>
      </c>
      <c r="EH567" s="1124"/>
      <c r="EI567" s="1124"/>
      <c r="EJ567" s="1124"/>
      <c r="EK567" s="420">
        <f>IF($P567="","N/A",IF(P567=-1,INDEX('卡片raw data'!AS:AS,MATCH(D567,'卡片raw data'!$F:$F,)),0)+IF(AND(L567&lt;&gt;"party卡",P567&lt;=2,P567&gt;=0),INDEX('卡片raw data'!AU:AU,MATCH(D567,'卡片raw data'!$F:$F,)),0)+IF(OR(AND(L567="party卡",P567&lt;=1),AND(P567&lt;=4,L567&lt;&gt;"party卡",P567&gt;=3)),INDEX('卡片raw data'!AV:AV,MATCH(D567,'卡片raw data'!$F:$F,)),0)+IF(OR(P567=5,AND(L567="party卡",P567&gt;=2)),INDEX('卡片raw data'!AW:AW,MATCH(D567,'卡片raw data'!$F:$F,)),0))</f>
        <v>0</v>
      </c>
      <c r="EL567" s="1098">
        <f t="shared" si="760"/>
        <v>0.3</v>
      </c>
      <c r="EM567" s="1098">
        <f t="shared" si="761"/>
        <v>0.3</v>
      </c>
      <c r="EN567" s="1097">
        <f t="shared" si="762"/>
        <v>0</v>
      </c>
      <c r="EO567" s="1097">
        <f t="shared" si="763"/>
        <v>0</v>
      </c>
      <c r="EP567" s="421">
        <f t="shared" si="764"/>
        <v>0</v>
      </c>
      <c r="EQ567" s="445">
        <f t="shared" si="765"/>
        <v>0</v>
      </c>
      <c r="ER567" s="424">
        <f t="shared" si="766"/>
        <v>0</v>
      </c>
      <c r="ES567" s="420">
        <f t="shared" si="767"/>
        <v>0</v>
      </c>
      <c r="ET567" s="446">
        <f t="shared" si="776"/>
        <v>0</v>
      </c>
    </row>
    <row r="568" spans="2:150" ht="16.5" customHeight="1">
      <c r="B568" s="1123" t="str">
        <f>INDEX('卡片raw data'!B:B,MATCH($D568,'卡片raw data'!$F:$F,))</f>
        <v>fes2林</v>
      </c>
      <c r="C568" s="1025" t="s">
        <v>4644</v>
      </c>
      <c r="D568" s="408">
        <v>565</v>
      </c>
      <c r="E568" s="1164">
        <v>202043002</v>
      </c>
      <c r="F568" s="1090" t="str">
        <f>INDEX('卡片raw data'!C:C,MATCH($D568,'卡片raw data'!$F:$F,))</f>
        <v>UR</v>
      </c>
      <c r="G568" s="1026" t="s">
        <v>4647</v>
      </c>
      <c r="H568" s="411">
        <f>IFERROR(INDEX(绊状态确认!C:C,MATCH($G568,绊状态确认!$B:$B,)),"")</f>
        <v>204</v>
      </c>
      <c r="I568" s="1124" t="str">
        <f>IFERROR(INDEX(绊状态确认!D:D,MATCH($G568,绊状态确认!$B:$B,)),"")</f>
        <v>虹</v>
      </c>
      <c r="J568" s="1124" t="str">
        <f>IFERROR(INDEX(绊状态确认!E:E,MATCH($G568,绊状态确认!$B:$B,)),"")</f>
        <v>3年级</v>
      </c>
      <c r="K568" s="451" t="str">
        <f>IFERROR(INDEX(绊状态确认!F:F,MATCH($G568,绊状态确认!$B:$B,)),"")</f>
        <v>Diver Diva</v>
      </c>
      <c r="L568" s="1094" t="str">
        <f>INDEX('卡片raw data'!E:E,MATCH($D568,'卡片raw data'!$F:$F,))</f>
        <v>fes卡</v>
      </c>
      <c r="M568" s="1065">
        <v>44499</v>
      </c>
      <c r="N568" s="1027">
        <v>50.5</v>
      </c>
      <c r="O568" s="1091" t="str">
        <f>INDEX('卡片raw data'!D:D,MATCH($D568,'卡片raw data'!$F:$F,))</f>
        <v>vo</v>
      </c>
      <c r="P568" s="1126">
        <v>5</v>
      </c>
      <c r="Q568" s="1095">
        <f t="shared" si="688"/>
        <v>81558.520074232729</v>
      </c>
      <c r="R568" s="1096">
        <f t="shared" si="689"/>
        <v>0.94799999999999995</v>
      </c>
      <c r="S568" s="1097">
        <f t="shared" si="690"/>
        <v>23144.449441134813</v>
      </c>
      <c r="T568" s="1098">
        <f t="shared" si="691"/>
        <v>1.157</v>
      </c>
      <c r="U568" s="1099">
        <f t="shared" si="692"/>
        <v>-14.802621270057143</v>
      </c>
      <c r="V568" s="1100">
        <f t="shared" si="693"/>
        <v>81064.358746801285</v>
      </c>
      <c r="W568" s="1101">
        <f t="shared" si="694"/>
        <v>7387.0151627803143</v>
      </c>
      <c r="X568" s="1096">
        <f t="shared" si="695"/>
        <v>8.5000000000000006E-2</v>
      </c>
      <c r="Y568" s="1097">
        <f t="shared" si="696"/>
        <v>810.50712281025244</v>
      </c>
      <c r="Z568" s="1102">
        <f t="shared" si="697"/>
        <v>10.197378729942857</v>
      </c>
      <c r="AA568" s="1103">
        <f t="shared" si="698"/>
        <v>8197.5222855905668</v>
      </c>
      <c r="AB568" s="1101">
        <f t="shared" si="699"/>
        <v>8689.2458146167137</v>
      </c>
      <c r="AC568" s="1104">
        <f t="shared" si="700"/>
        <v>0.10100000000000001</v>
      </c>
      <c r="AD568" s="1105">
        <f t="shared" si="701"/>
        <v>0</v>
      </c>
      <c r="AE568" s="1128">
        <f t="shared" si="702"/>
        <v>0</v>
      </c>
      <c r="AF568" s="1130">
        <f t="shared" si="703"/>
        <v>0</v>
      </c>
      <c r="AG568" s="1097">
        <f t="shared" si="704"/>
        <v>0</v>
      </c>
      <c r="AH568" s="1097">
        <f t="shared" si="705"/>
        <v>0</v>
      </c>
      <c r="AI568" s="1097">
        <f t="shared" si="706"/>
        <v>0</v>
      </c>
      <c r="AJ568" s="1097">
        <f t="shared" si="707"/>
        <v>0</v>
      </c>
      <c r="AK568" s="1129">
        <f t="shared" si="708"/>
        <v>0</v>
      </c>
      <c r="AL568" s="1106">
        <f>IF($P568="","N/A",(IF($P568=-1,INDEX('卡片raw data'!S:S,MATCH($D568,'卡片raw data'!$F:$F,)),0)+IF($P568=0,INDEX('卡片raw data'!V:V,MATCH($D568,'卡片raw data'!$F:$F,)),0)+IF($P568=1,INDEX('卡片raw data'!Y:Y,MATCH($D568,'卡片raw data'!$F:$F,)),0)+IF($P568=2,INDEX('卡片raw data'!AB:AB,MATCH($D568,'卡片raw data'!$F:$F,)),0)+IF($P568=3,INDEX('卡片raw data'!AE:AE,MATCH($D568,'卡片raw data'!$F:$F,)),0)+IF($P568=4,INDEX('卡片raw data'!AH:AH,MATCH($D568,'卡片raw data'!$F:$F,)),0)+IF($P568=5,INDEX('卡片raw data'!AK:AK,MATCH($D568,'卡片raw data'!$F:$F,)),0)+INDEX('卡片raw data'!S:S,MATCH($D568,'卡片raw data'!$F:$F,))*(IF($F568="UR",0.04,0.033))*(IF($F568="UR",INDEX(绊状态确认!$S:$S,MATCH($G568,绊状态确认!$B:$B,))/2-40)+IF($F568="SR",INDEX(绊状态确认!$R:$R,MATCH($G568,绊状态确认!$B:$B,))/4-15))+IF($F568="R",INDEX(绊状态确认!$Q:$Q,MATCH($G568,绊状态确认!$B:$B,))/6-40/6)))*(INDEX(绊状态确认!$H:$H,MATCH($G568,绊状态确认!$B:$B,))+INDEX(绊状态确认!J:J,MATCH($G568,绊状态确认!$B:$B,)))</f>
        <v>17282.916671999996</v>
      </c>
      <c r="AM568" s="1106">
        <f>IF($P568="","N/A",(IF($P568=-1,INDEX('卡片raw data'!T:T,MATCH($D568,'卡片raw data'!$F:$F,)),0)+IF($P568=0,INDEX('卡片raw data'!W:W,MATCH($D568,'卡片raw data'!$F:$F,)),0)+IF($P568=1,INDEX('卡片raw data'!Z:Z,MATCH($D568,'卡片raw data'!$F:$F,)),0)+IF($P568=2,INDEX('卡片raw data'!AC:AC,MATCH($D568,'卡片raw data'!$F:$F,)),0)+IF($P568=3,INDEX('卡片raw data'!AF:AF,MATCH($D568,'卡片raw data'!$F:$F,)),0)+IF($P568=4,INDEX('卡片raw data'!AI:AI,MATCH($D568,'卡片raw data'!$F:$F,)),0)+IF($P568=5,INDEX('卡片raw data'!AL:AL,MATCH($D568,'卡片raw data'!$F:$F,)),0)+INDEX('卡片raw data'!T:T,MATCH($D568,'卡片raw data'!$F:$F,))*(IF($F568="UR",0.04,0.033))*(IF($F568="UR",INDEX(绊状态确认!$S:$S,MATCH($G568,绊状态确认!$B:$B,))/2-40)+IF($F568="SR",INDEX(绊状态确认!$R:$R,MATCH($G568,绊状态确认!$B:$B,))/4-15))+IF($F568="R",INDEX(绊状态确认!$Q:$Q,MATCH($G568,绊状态确认!$B:$B,))/6-40/6)))*(INDEX(绊状态确认!$H:$H,MATCH($G568,绊状态确认!$B:$B,))+INDEX(绊状态确认!K:K,MATCH($G568,绊状态确认!$B:$B,)))</f>
        <v>4991.6142719999989</v>
      </c>
      <c r="AN568" s="1106">
        <f>IF($P568="","N/A",(IF($P568=-1,INDEX('卡片raw data'!U:U,MATCH($D568,'卡片raw data'!$F:$F,)),0)+IF($P568=0,INDEX('卡片raw data'!X:X,MATCH($D568,'卡片raw data'!$F:$F,)),0)+IF($P568=1,INDEX('卡片raw data'!AA:AA,MATCH($D568,'卡片raw data'!$F:$F,)),0)+IF($P568=2,INDEX('卡片raw data'!AD:AD,MATCH($D568,'卡片raw data'!$F:$F,)),0)+IF($P568=3,INDEX('卡片raw data'!AG:AG,MATCH($D568,'卡片raw data'!$F:$F,)),0)+IF($P568=4,INDEX('卡片raw data'!AJ:AJ,MATCH($D568,'卡片raw data'!$F:$F,)),0)+IF($P568=5,INDEX('卡片raw data'!AM:AM,MATCH($D568,'卡片raw data'!$F:$F,)),0)+INDEX('卡片raw data'!U:U,MATCH($D568,'卡片raw data'!$F:$F,))*(IF($F568="UR",0.04,0.033))*(IF($F568="UR",INDEX(绊状态确认!$S:$S,MATCH($G568,绊状态确认!$B:$B,))/2-40)+IF($F568="SR",INDEX(绊状态确认!$R:$R,MATCH($G568,绊状态确认!$B:$B,))/4-15))+IF($F568="R",INDEX(绊状态确认!$Q:$Q,MATCH($G568,绊状态确认!$B:$B,))/6-40/6)))*(INDEX(绊状态确认!$H:$H,MATCH($G568,绊状态确认!$B:$B,))+INDEX(绊状态确认!L:L,MATCH($G568,绊状态确认!$B:$B,)))</f>
        <v>16131.152543999997</v>
      </c>
      <c r="AO568" s="1107">
        <f t="shared" si="709"/>
        <v>1</v>
      </c>
      <c r="AP568" s="1131">
        <f>1+(INDEX(绊状态确认!$T:$T,MATCH($G568,绊状态确认!$B:$B,))+0.2)*$AO568</f>
        <v>1.3</v>
      </c>
      <c r="AQ568" s="1108">
        <f t="shared" si="710"/>
        <v>48617.65626399999</v>
      </c>
      <c r="AR568" s="1097">
        <f>(AM568*(1+$EX$9)+$EX$35)*(1+(INDEX(绊状态确认!$T:$T,MATCH($G568,绊状态确认!$B:$B,))+0.2)*AO568)*IF(J568=$FF$17,1+$FE$17,1)*IF(I568=$FF$14,1+$FE$14,1)</f>
        <v>9517.5534812799997</v>
      </c>
      <c r="AS568" s="1097">
        <f>(AN568*(1+$EX$10)+$EX$36)*(1+(INDEX(绊状态确认!$T:$T,MATCH($G568,绊状态确认!$B:$B,))+0.2)*AO568)*IF(J568=$FF$17,1+$FE$17,1)*IF(I568=$FF$14,1+$FE$14,1)</f>
        <v>28172.073053279997</v>
      </c>
      <c r="AT568" s="1093">
        <f>IF(AND(INDEX('卡片raw data'!AK:AK,MATCH($D568,'卡片raw data'!$F:$F,))&lt;INDEX('卡片raw data'!AM:AM,MATCH($D568,'卡片raw data'!$F:$F,)),INDEX('卡片raw data'!AL:AL,MATCH($D568,'卡片raw data'!$F:$F,))&lt;INDEX('卡片raw data'!AM:AM,MATCH($D568,'卡片raw data'!$F:$F,))),1,0)</f>
        <v>0</v>
      </c>
      <c r="AU568" s="1098">
        <f>MIN(AT568*0.15+AS568*0.00003+INDEX(绊状态确认!M:M,MATCH($G568,绊状态确认!$B:$B,)),1)</f>
        <v>0.87516219159839992</v>
      </c>
      <c r="AV568" s="1109">
        <f>(INDEX(绊状态确认!$N:$N,MATCH($G568,绊状态确认!$B:$B,))+1.5)*$EW$21</f>
        <v>2.6599999999999997</v>
      </c>
      <c r="AW568" s="1101">
        <f t="shared" si="711"/>
        <v>61930.997253134221</v>
      </c>
      <c r="AX568" s="1097">
        <f t="shared" si="712"/>
        <v>810.50712281025267</v>
      </c>
      <c r="AY568" s="1110">
        <f t="shared" si="713"/>
        <v>62741.504375944474</v>
      </c>
      <c r="AZ568" s="1106">
        <f t="shared" si="714"/>
        <v>36301.687510399992</v>
      </c>
      <c r="BA568" s="1108">
        <f t="shared" si="715"/>
        <v>43562.025012479986</v>
      </c>
      <c r="BB568" s="1097">
        <f>(AM568*(1+$FB$9)+$FB$35)*(1+(INDEX(绊状态确认!$T:$T,MATCH($G568,绊状态确认!$B:$B,))+0.2)*AO568)*IF(J568=$FF$17,1+$FE$17,1)*IF(I568=$FF$14,1+$FE$14,1)*(1+$FE$15)</f>
        <v>9517.5534812799997</v>
      </c>
      <c r="BC568" s="1097">
        <f>(AN568*(1+$FB$10)+$FB$36)*(1+(INDEX(绊状态确认!$T:$T,MATCH($G568,绊状态确认!$B:$B,))+0.2)*AO568)*IF(J568=$FF$17,1+$FE$17,1)*IF(I568=$FF$14,1+$FE$14,1)*(1+$FE$15)</f>
        <v>28172.073053279997</v>
      </c>
      <c r="BD568" s="1104">
        <f>MIN(AT568*0.15+BC568*0.00003+INDEX(绊状态确认!M:M,MATCH($G568,绊状态确认!$B:$B,)),1)</f>
        <v>0.87516219159839992</v>
      </c>
      <c r="BE568" s="1109">
        <f>(INDEX(绊状态确认!$N:$N,MATCH($G568,绊状态确认!$B:$B,))+1.5)</f>
        <v>1.9</v>
      </c>
      <c r="BF568" s="1139">
        <f t="array" ref="BF568">SUMPRODUCT(IF(AZ568*AP568*$FI$16:$FI$23*$FA$22&gt;=$FI$24,$FI$24,AZ568*AP568*$FI$16:$FI$23*$FA$22),$FJ$16:$FJ$23)</f>
        <v>59663.0632516224</v>
      </c>
      <c r="BG568" s="1125">
        <f t="array" ref="BG568">SUMPRODUCT(IF(BE568*AZ568*AP568*$FI$16:$FI$23*$FA$22&gt;=$FI$24,$FI$24,BE568*AZ568*AP568*$FI$16:$FI$23*$FA$22),$FJ$16:$FJ$23)</f>
        <v>60000</v>
      </c>
      <c r="BH568" s="1110">
        <f t="shared" si="716"/>
        <v>19985.97918492086</v>
      </c>
      <c r="BI568" s="1111">
        <f>IF(O568="vo",$EW$26/$EW$24*0.05,0)+IF(O568="sk",-$EW$26/$EW$24*(0.05-INDEX(绊状态确认!W:W,MATCH($G568,绊状态确认!$B:$B,)))+0.05*$EW$28,0)+IF(O568="sp",0.05*$EW$32*$EW$30*(1-$EW$33)-(0.05-INDEX(绊状态确认!V:V,MATCH($G568,绊状态确认!$B:$B,)))*$EW$28,0)+IF(O568="gd",-(0.05-INDEX(绊状态确认!X:X,MATCH($G568,绊状态确认!$B:$B,)))*$EW$32*$EW$30*(1-$EW$33),0)</f>
        <v>7726.3029277443748</v>
      </c>
      <c r="BJ568" s="1097">
        <f>IF(O568="vo",0.05*(1-$FI$26)*$FA$24,0)+IF(O568="sk",-(0.05-INDEX(绊状态确认!W:W,MATCH($G568,绊状态确认!$B:$B,)))*(1-$FI$26)*$FA$24+0.05*$FA$26,0)+IF(O568="sp",0.05*$FA$32*$FA$27*(1-$FA$33)/$FA$30+0.05*$FA$29/$FA$69*$FA$27*(1-$FA$33)-(0.05-INDEX(绊状态确认!V:V,MATCH($G568,绊状态确认!$B:$B,)))*$FA$26,0)+IF(O568="gd",-(0.05-INDEX(绊状态确认!X:X,MATCH($G568,绊状态确认!$B:$B,)))*$FA$32*$FA$27*(1-$FA$33)/$FA$30-(0.05-INDEX(绊状态确认!X:X,MATCH($G568,绊状态确认!$B:$B,)))*$FA$29/$FA$69*$FA$27*(1-$FA$33),0)</f>
        <v>393.93433687500004</v>
      </c>
      <c r="BK568" s="1110">
        <f>IF(O568="vo",$EW$26/$EW$24*0.05+$EW$26*(-HP($EW$62,$EW$65,$EW$64)+HP($EW$62,$EW$65,(1.05-INDEX(绊状态确认!U:U,MATCH($G568,绊状态确认!$B:$B,)))*$EW$64)),0)+IF(O568="sk",-$EW$26/$EW$24*(0.05-INDEX(绊状态确认!W:W,MATCH($G568,绊状态确认!$B:$B,)))+0.05*$EW$29,0)+IF(O568="sp",0.05*$EW$32*$EW$30*(1-$EW$33)-(0.05-INDEX(绊状态确认!V:V,MATCH($G568,绊状态确认!$B:$B,)))*$EW$29,0)+IF(O568="gd",-(0.05-INDEX(绊状态确认!X:X,MATCH($G568,绊状态确认!$B:$B,)))*$EW$32*$EW$30*(1-$EW$33)+$EW$26*(-HP($EW$62,$EW$65,$EW$64)+HP($EW$62,$EW$65,0.95*$EW$64)),0)</f>
        <v>6421.6344775026746</v>
      </c>
      <c r="BL568" s="1111">
        <f t="shared" si="717"/>
        <v>0</v>
      </c>
      <c r="BM568" s="1110">
        <f t="shared" si="718"/>
        <v>0</v>
      </c>
      <c r="BN568" s="1113">
        <f t="shared" si="719"/>
        <v>4</v>
      </c>
      <c r="BO568" s="1108">
        <f t="shared" si="720"/>
        <v>6010.2953161679998</v>
      </c>
      <c r="BP568" s="1127">
        <f t="shared" si="721"/>
        <v>295.12137612040135</v>
      </c>
      <c r="BQ568" s="1113" t="s">
        <v>132</v>
      </c>
      <c r="BR568" s="1124" t="s">
        <v>171</v>
      </c>
      <c r="BS568" s="1098">
        <f>IF($P568="","N/A",IF($P568=-1,INDEX('卡片raw data'!AX:AX,MATCH($D568,'卡片raw data'!$F:$F,)),0)+IF($L568="party卡",IF($P568=5,INDEX('卡片raw data'!BD:BD,MATCH($D568,'卡片raw data'!$F:$F,)),IF($P568&gt;=3,INDEX('卡片raw data'!BC:BC,MATCH($D568,'卡片raw data'!$F:$F,)),INDEX('卡片raw data'!BB:BB,MATCH($D568,'卡片raw data'!$F:$F,)))),IF(OR(AND($F568="UR",$P568=0),AND($F568="SR",$P568&gt;=0,$P568&lt;=2),AND($F568="R",$P568&gt;=0,$P568&lt;4)),INDEX('卡片raw data'!AZ:AZ,MATCH($D568,'卡片raw data'!$F:$F,)),0)+IF(OR(AND($F568="UR",$P568&gt;=1,$P568&lt;=4),AND($F568="SR",$P568&lt;=4,$P568&gt;=3),AND($F568="R",$P568=4)),INDEX('卡片raw data'!BA:BA,MATCH($D568,'卡片raw data'!$F:$F,)),0)+IF($P568=5,INDEX('卡片raw data'!BB:BB,MATCH($D568,'卡片raw data'!$F:$F,)),0)))</f>
        <v>5.1999999999999998E-2</v>
      </c>
      <c r="BT568" s="1101">
        <f t="shared" si="722"/>
        <v>2604.4613036728001</v>
      </c>
      <c r="BU568" s="1097">
        <f t="shared" si="723"/>
        <v>111.90018844565216</v>
      </c>
      <c r="BV568" s="1097">
        <f t="shared" si="724"/>
        <v>1302.2306518363998</v>
      </c>
      <c r="BW568" s="1112">
        <f t="shared" si="725"/>
        <v>0</v>
      </c>
      <c r="BX568" s="1100">
        <f t="shared" si="726"/>
        <v>2604.4613036728001</v>
      </c>
      <c r="BY568" s="1110">
        <f t="shared" si="727"/>
        <v>1302.2306518363998</v>
      </c>
      <c r="BZ568" s="1113" t="s">
        <v>569</v>
      </c>
      <c r="CA568" s="1124"/>
      <c r="CB568" s="1098">
        <f>IF($P568="","N/A",IF($P568=-1,INDEX('卡片raw data'!BE:BE,MATCH($D568,'卡片raw data'!$F:$F,)),0)+IF($L568="party卡",IF($P568=5,INDEX('卡片raw data'!BK:BK,MATCH($D568,'卡片raw data'!$F:$F,)),IF($P568&gt;=3,INDEX('卡片raw data'!BJ:BJ,MATCH($D568,'卡片raw data'!$F:$F,)),INDEX('卡片raw data'!BI:BI,MATCH($D568,'卡片raw data'!$F:$F,)))),IF(OR(AND($F568="UR",$P568=0),AND($F568="SR",$P568&gt;=0,$P568&lt;=2),AND($F568="R",$P568&gt;=0,$P568&lt;4)),INDEX('卡片raw data'!BG:BG,MATCH($D568,'卡片raw data'!$F:$F,)),0)+IF(OR(AND($F568="UR",$P568&gt;=1,$P568&lt;=4),AND($F568="SR",$P568&lt;=4,$P568&gt;=3),AND($F568="R",$P568=4)),INDEX('卡片raw data'!BH:BH,MATCH($D568,'卡片raw data'!$F:$F,)),0)+IF($P568=5,INDEX('卡片raw data'!BI:BI,MATCH($D568,'卡片raw data'!$F:$F,)),0)))</f>
        <v>0</v>
      </c>
      <c r="CC568" s="1101">
        <f t="shared" si="786"/>
        <v>0</v>
      </c>
      <c r="CD568" s="1097">
        <f>IF(BZ568="ap",CB568*(1-$FI$26)*$FB$5/$FB$11*(+IF(CA568="全员",$FA$24,0)+IF(CA568="同作战",$FA$24,0)+IF(CA568="仲间",$FA$24*2/3,0)+IF(CA568="同属性",$FA$24*$FA$37/3,0)+IF(CA568="同年级",$FA$24*$FA$40/3,0)+IF(CA568="同学校",$FA$24*$FA$43/3,0)+IF(CA568="同小队",$FA$24*$FA$46/3,0)+IF(CA568="同type",$FA$24*INDEX($FB$49:$FB$52,MATCH(X568,$FA$49:$FA$52,))/3,0)+IF(CA568="自身",#REF!/3,0)),0)+IF(BZ568="te",CB568*(1-$FI$27)*($FA$20-1)*$FB$7/$FB$13*(+IF(CA568="全员",$FA$19*$FA$24/(1+($FA$20-1)*$FA$19),0)+IF(CA568="同作战",$FA$19*$FA$24/(1+($FA$20-1)*$FA$19),0)+IF(CA568="仲间",$FA$19*$FA$24*2/3/(1+($FA$20-1)*$FA$19),0)+IF(CA568="同属性",$FA$19*$FA$24*$FA$37/3/(1+($FA$20-1)*$FA$19),0)+IF(CA568="同年级",$FA$19*$FA$24*$FA$40/3/(1+($FA$20-1)*$FA$19),0)+IF(CA568="同学校",$FA$19*$FA$24*$FA$43/3/(1+($FA$20-1)*$FA$19),0)+IF(CA568="同小队",$FA$19*$FA$24*$FA$46/3/(1+($FA$20-1)*$FA$19),0)+IF(CA568="同type",$FA$19*$FA$24*INDEX($FB$49:$FB$52,MATCH(X568,$FA$49:$FA$52,))/3/(1+($FA$20-1)*$FA$19),0)+IF(CA568="自身",$FA$19*#REF!/3/(1+(BH568-1)*$BD568),0)),0)</f>
        <v>0</v>
      </c>
      <c r="CE568" s="1097">
        <f t="shared" si="729"/>
        <v>0</v>
      </c>
      <c r="CF568" s="1112">
        <f t="shared" si="787"/>
        <v>0</v>
      </c>
      <c r="CG568" s="1100">
        <f t="shared" si="731"/>
        <v>0</v>
      </c>
      <c r="CH568" s="1110">
        <f t="shared" si="732"/>
        <v>0</v>
      </c>
      <c r="CI568" s="1167" t="s">
        <v>170</v>
      </c>
      <c r="CJ568" s="1168">
        <v>1</v>
      </c>
      <c r="CK568" s="1169" t="s">
        <v>2046</v>
      </c>
      <c r="CL568" s="1169" t="s">
        <v>1940</v>
      </c>
      <c r="CM568" s="1166">
        <v>0.3</v>
      </c>
      <c r="CN568" s="1169"/>
      <c r="CO568" s="1169">
        <v>20</v>
      </c>
      <c r="CP568" s="1116">
        <f t="shared" si="733"/>
        <v>67.717449796285692</v>
      </c>
      <c r="CQ568" s="1116">
        <f t="shared" si="734"/>
        <v>94.384387527039976</v>
      </c>
      <c r="CR568" s="1116">
        <f t="shared" si="735"/>
        <v>67.717449796285692</v>
      </c>
      <c r="CS568" s="1118">
        <f t="shared" si="782"/>
        <v>0</v>
      </c>
      <c r="CT568" s="1109">
        <f t="shared" si="783"/>
        <v>0</v>
      </c>
      <c r="CU568" s="1101">
        <f t="shared" si="738"/>
        <v>74.489194775914271</v>
      </c>
      <c r="CV568" s="1108">
        <f t="shared" si="777"/>
        <v>94.384387527039976</v>
      </c>
      <c r="CW568" s="1097">
        <f t="shared" si="739"/>
        <v>74.489194775914271</v>
      </c>
      <c r="CX568" s="1097">
        <f t="shared" si="740"/>
        <v>74.489194775914271</v>
      </c>
      <c r="CY568" s="1110">
        <f t="shared" si="741"/>
        <v>74.489194775914271</v>
      </c>
      <c r="CZ568" s="1113"/>
      <c r="DA568" s="1114"/>
      <c r="DB568" s="1115" t="s">
        <v>569</v>
      </c>
      <c r="DC568" s="1115"/>
      <c r="DD568" s="1119"/>
      <c r="DE568" s="1092"/>
      <c r="DF568" s="1092"/>
      <c r="DG568" s="1116">
        <f t="shared" si="742"/>
        <v>0</v>
      </c>
      <c r="DH568" s="1116">
        <f t="shared" si="743"/>
        <v>0</v>
      </c>
      <c r="DI568" s="1116">
        <f t="shared" si="744"/>
        <v>0</v>
      </c>
      <c r="DJ568" s="1118">
        <f t="shared" si="784"/>
        <v>0</v>
      </c>
      <c r="DK568" s="1109">
        <f t="shared" si="785"/>
        <v>0</v>
      </c>
      <c r="DL568" s="1101">
        <f t="shared" si="747"/>
        <v>0</v>
      </c>
      <c r="DM568" s="1097">
        <f t="shared" si="748"/>
        <v>0</v>
      </c>
      <c r="DN568" s="1097">
        <f t="shared" si="749"/>
        <v>0</v>
      </c>
      <c r="DO568" s="1097">
        <f t="shared" si="750"/>
        <v>0</v>
      </c>
      <c r="DP568" s="1110">
        <f t="shared" si="751"/>
        <v>0</v>
      </c>
      <c r="DQ568" s="1167" t="s">
        <v>2046</v>
      </c>
      <c r="DR568" s="1120">
        <f t="shared" si="788"/>
        <v>0.33</v>
      </c>
      <c r="DS568" s="1165"/>
      <c r="DT568" s="1165" t="s">
        <v>1940</v>
      </c>
      <c r="DU568" s="1165"/>
      <c r="DV568" s="1098">
        <f>IF($P568="","N/A",IF(P568=-1,INDEX('卡片raw data'!AN:AN,MATCH(D568,'卡片raw data'!$F:$F,)),0)+IF(AND(L568&lt;&gt;"party卡",P568&lt;=2,P568&gt;=0),INDEX('卡片raw data'!AP:AP,MATCH(D568,'卡片raw data'!$F:$F,)),0)+IF(OR(AND(L568="party卡",P568&lt;=1),AND(P568&lt;=4,L568&lt;&gt;"party卡",P568&gt;=3)),INDEX('卡片raw data'!AQ:AQ,MATCH(D568,'卡片raw data'!$F:$F,)),0)+IF(OR(P568=5,AND(L568="party卡",P568&gt;=2)),INDEX('卡片raw data'!AR:AR,MATCH(D568,'卡片raw data'!$F:$F,)),0))</f>
        <v>0.42</v>
      </c>
      <c r="DW568" s="1098">
        <f t="shared" si="752"/>
        <v>0.33</v>
      </c>
      <c r="DX568" s="1098">
        <f t="shared" si="753"/>
        <v>0.33</v>
      </c>
      <c r="DY568" s="1097">
        <f t="shared" si="754"/>
        <v>2919.976435215839</v>
      </c>
      <c r="DZ568" s="1097">
        <f t="shared" si="755"/>
        <v>2263.129967245859</v>
      </c>
      <c r="EA568" s="1098">
        <f t="shared" si="756"/>
        <v>0</v>
      </c>
      <c r="EB568" s="1121">
        <f t="shared" si="757"/>
        <v>0</v>
      </c>
      <c r="EC568" s="1101">
        <f t="shared" si="758"/>
        <v>3211.974078737423</v>
      </c>
      <c r="ED568" s="1097">
        <f t="shared" si="759"/>
        <v>2263.129967245859</v>
      </c>
      <c r="EE568" s="1110">
        <f t="shared" si="775"/>
        <v>3211.974078737423</v>
      </c>
      <c r="EF568" s="1113" t="s">
        <v>569</v>
      </c>
      <c r="EG568" s="1120">
        <f t="shared" si="789"/>
        <v>0.33</v>
      </c>
      <c r="EH568" s="1124"/>
      <c r="EI568" s="1124"/>
      <c r="EJ568" s="1124"/>
      <c r="EK568" s="1097">
        <f>IF($P568="","N/A",IF(P568=-1,INDEX('卡片raw data'!AS:AS,MATCH(D568,'卡片raw data'!$F:$F,)),0)+IF(AND(L568&lt;&gt;"party卡",P568&lt;=2,P568&gt;=0),INDEX('卡片raw data'!AU:AU,MATCH(D568,'卡片raw data'!$F:$F,)),0)+IF(OR(AND(L568="party卡",P568&lt;=1),AND(P568&lt;=4,L568&lt;&gt;"party卡",P568&gt;=3)),INDEX('卡片raw data'!AV:AV,MATCH(D568,'卡片raw data'!$F:$F,)),0)+IF(OR(P568=5,AND(L568="party卡",P568&gt;=2)),INDEX('卡片raw data'!AW:AW,MATCH(D568,'卡片raw data'!$F:$F,)),0))</f>
        <v>0</v>
      </c>
      <c r="EL568" s="1098">
        <f t="shared" si="760"/>
        <v>0.33</v>
      </c>
      <c r="EM568" s="1098">
        <f t="shared" si="761"/>
        <v>0.33</v>
      </c>
      <c r="EN568" s="1097">
        <f t="shared" si="762"/>
        <v>0</v>
      </c>
      <c r="EO568" s="1097">
        <f t="shared" si="763"/>
        <v>0</v>
      </c>
      <c r="EP568" s="1098">
        <f t="shared" si="764"/>
        <v>0</v>
      </c>
      <c r="EQ568" s="1121">
        <f t="shared" si="765"/>
        <v>0</v>
      </c>
      <c r="ER568" s="1101">
        <f t="shared" si="766"/>
        <v>0</v>
      </c>
      <c r="ES568" s="1097">
        <f t="shared" si="767"/>
        <v>0</v>
      </c>
      <c r="ET568" s="1122">
        <f t="shared" si="776"/>
        <v>0</v>
      </c>
    </row>
    <row r="569" spans="2:150" ht="16.5" customHeight="1">
      <c r="B569" s="1123" t="str">
        <f>INDEX('卡片raw data'!B:B,MATCH($D569,'卡片raw data'!$F:$F,))</f>
        <v>fes2果</v>
      </c>
      <c r="C569" s="1025" t="s">
        <v>4645</v>
      </c>
      <c r="D569" s="408">
        <v>566</v>
      </c>
      <c r="E569" s="1164">
        <v>200013002</v>
      </c>
      <c r="F569" s="1090" t="str">
        <f>INDEX('卡片raw data'!C:C,MATCH($D569,'卡片raw data'!$F:$F,))</f>
        <v>UR</v>
      </c>
      <c r="G569" s="1026" t="s">
        <v>4648</v>
      </c>
      <c r="H569" s="411">
        <f>IFERROR(INDEX(绊状态确认!C:C,MATCH($G569,绊状态确认!$B:$B,)),"")</f>
        <v>1</v>
      </c>
      <c r="I569" s="450" t="str">
        <f>IFERROR(INDEX(绊状态确认!D:D,MATCH($G569,绊状态确认!$B:$B,)),"")</f>
        <v>缪</v>
      </c>
      <c r="J569" s="450" t="str">
        <f>IFERROR(INDEX(绊状态确认!E:E,MATCH($G569,绊状态确认!$B:$B,)),"")</f>
        <v>2年级</v>
      </c>
      <c r="K569" s="451" t="str">
        <f>IFERROR(INDEX(绊状态确认!F:F,MATCH($G569,绊状态确认!$B:$B,)),"")</f>
        <v>Printemps</v>
      </c>
      <c r="L569" s="1094" t="str">
        <f>INDEX('卡片raw data'!E:E,MATCH($D569,'卡片raw data'!$F:$F,))</f>
        <v>fes卡</v>
      </c>
      <c r="M569" s="1065">
        <v>44499</v>
      </c>
      <c r="N569" s="1027">
        <v>50.5</v>
      </c>
      <c r="O569" s="1091" t="str">
        <f>INDEX('卡片raw data'!D:D,MATCH($D569,'卡片raw data'!$F:$F,))</f>
        <v>sk</v>
      </c>
      <c r="P569" s="1126">
        <v>5</v>
      </c>
      <c r="Q569" s="1095">
        <f t="shared" si="688"/>
        <v>64351.316280735999</v>
      </c>
      <c r="R569" s="1096">
        <f t="shared" si="689"/>
        <v>0.748</v>
      </c>
      <c r="S569" s="1097">
        <f t="shared" si="690"/>
        <v>22573.932799405753</v>
      </c>
      <c r="T569" s="1098">
        <f t="shared" si="691"/>
        <v>1.1279999999999999</v>
      </c>
      <c r="U569" s="1099">
        <f t="shared" si="692"/>
        <v>14.305007897142856</v>
      </c>
      <c r="V569" s="1100">
        <f t="shared" si="693"/>
        <v>67497.921377366874</v>
      </c>
      <c r="W569" s="1101">
        <f t="shared" si="694"/>
        <v>7312.5259680044001</v>
      </c>
      <c r="X569" s="1096">
        <f t="shared" si="695"/>
        <v>8.5000000000000006E-2</v>
      </c>
      <c r="Y569" s="1097">
        <f t="shared" si="696"/>
        <v>1146.6050966308649</v>
      </c>
      <c r="Z569" s="1102">
        <f t="shared" si="697"/>
        <v>14.305007897142856</v>
      </c>
      <c r="AA569" s="1103">
        <f t="shared" si="698"/>
        <v>8459.1310646352649</v>
      </c>
      <c r="AB569" s="1101">
        <f t="shared" si="699"/>
        <v>8614.7566198408003</v>
      </c>
      <c r="AC569" s="1104">
        <f t="shared" si="700"/>
        <v>0.1</v>
      </c>
      <c r="AD569" s="1105">
        <f t="shared" si="701"/>
        <v>2.1769318181818181E-2</v>
      </c>
      <c r="AE569" s="1128">
        <f t="shared" si="702"/>
        <v>11.953757704745847</v>
      </c>
      <c r="AF569" s="1130">
        <f t="shared" si="703"/>
        <v>0</v>
      </c>
      <c r="AG569" s="1097">
        <f t="shared" si="704"/>
        <v>0</v>
      </c>
      <c r="AH569" s="1097">
        <f t="shared" si="705"/>
        <v>0</v>
      </c>
      <c r="AI569" s="1097">
        <f t="shared" si="706"/>
        <v>0</v>
      </c>
      <c r="AJ569" s="1097">
        <f t="shared" si="707"/>
        <v>0</v>
      </c>
      <c r="AK569" s="1129">
        <f t="shared" si="708"/>
        <v>0</v>
      </c>
      <c r="AL569" s="1106">
        <f>IF($P569="","N/A",(IF($P569=-1,INDEX('卡片raw data'!S:S,MATCH($D569,'卡片raw data'!$F:$F,)),0)+IF($P569=0,INDEX('卡片raw data'!V:V,MATCH($D569,'卡片raw data'!$F:$F,)),0)+IF($P569=1,INDEX('卡片raw data'!Y:Y,MATCH($D569,'卡片raw data'!$F:$F,)),0)+IF($P569=2,INDEX('卡片raw data'!AB:AB,MATCH($D569,'卡片raw data'!$F:$F,)),0)+IF($P569=3,INDEX('卡片raw data'!AE:AE,MATCH($D569,'卡片raw data'!$F:$F,)),0)+IF($P569=4,INDEX('卡片raw data'!AH:AH,MATCH($D569,'卡片raw data'!$F:$F,)),0)+IF($P569=5,INDEX('卡片raw data'!AK:AK,MATCH($D569,'卡片raw data'!$F:$F,)),0)+INDEX('卡片raw data'!S:S,MATCH($D569,'卡片raw data'!$F:$F,))*(IF($F569="UR",0.04,0.033))*(IF($F569="UR",INDEX(绊状态确认!$S:$S,MATCH($G569,绊状态确认!$B:$B,))/2-40)+IF($F569="SR",INDEX(绊状态确认!$R:$R,MATCH($G569,绊状态确认!$B:$B,))/4-15))+IF($F569="R",INDEX(绊状态确认!$Q:$Q,MATCH($G569,绊状态确认!$B:$B,))/6-40/6)))*(INDEX(绊状态确认!$H:$H,MATCH($G569,绊状态确认!$B:$B,))+INDEX(绊状态确认!J:J,MATCH($G569,绊状态确认!$B:$B,)))</f>
        <v>15600.499199999998</v>
      </c>
      <c r="AM569" s="1106">
        <f>IF($P569="","N/A",(IF($P569=-1,INDEX('卡片raw data'!T:T,MATCH($D569,'卡片raw data'!$F:$F,)),0)+IF($P569=0,INDEX('卡片raw data'!W:W,MATCH($D569,'卡片raw data'!$F:$F,)),0)+IF($P569=1,INDEX('卡片raw data'!Z:Z,MATCH($D569,'卡片raw data'!$F:$F,)),0)+IF($P569=2,INDEX('卡片raw data'!AC:AC,MATCH($D569,'卡片raw data'!$F:$F,)),0)+IF($P569=3,INDEX('卡片raw data'!AF:AF,MATCH($D569,'卡片raw data'!$F:$F,)),0)+IF($P569=4,INDEX('卡片raw data'!AI:AI,MATCH($D569,'卡片raw data'!$F:$F,)),0)+IF($P569=5,INDEX('卡片raw data'!AL:AL,MATCH($D569,'卡片raw data'!$F:$F,)),0)+INDEX('卡片raw data'!T:T,MATCH($D569,'卡片raw data'!$F:$F,))*(IF($F569="UR",0.04,0.033))*(IF($F569="UR",INDEX(绊状态确认!$S:$S,MATCH($G569,绊状态确认!$B:$B,))/2-40)+IF($F569="SR",INDEX(绊状态确认!$R:$R,MATCH($G569,绊状态确认!$B:$B,))/4-15))+IF($F569="R",INDEX(绊状态确认!$Q:$Q,MATCH($G569,绊状态确认!$B:$B,))/6-40/6)))*(INDEX(绊状态确认!$H:$H,MATCH($G569,绊状态确认!$B:$B,))+INDEX(绊状态确认!K:K,MATCH($G569,绊状态确认!$B:$B,)))</f>
        <v>7800.2495999999992</v>
      </c>
      <c r="AN569" s="1106">
        <f>IF($P569="","N/A",(IF($P569=-1,INDEX('卡片raw data'!U:U,MATCH($D569,'卡片raw data'!$F:$F,)),0)+IF($P569=0,INDEX('卡片raw data'!X:X,MATCH($D569,'卡片raw data'!$F:$F,)),0)+IF($P569=1,INDEX('卡片raw data'!AA:AA,MATCH($D569,'卡片raw data'!$F:$F,)),0)+IF($P569=2,INDEX('卡片raw data'!AD:AD,MATCH($D569,'卡片raw data'!$F:$F,)),0)+IF($P569=3,INDEX('卡片raw data'!AG:AG,MATCH($D569,'卡片raw data'!$F:$F,)),0)+IF($P569=4,INDEX('卡片raw data'!AJ:AJ,MATCH($D569,'卡片raw data'!$F:$F,)),0)+IF($P569=5,INDEX('卡片raw data'!AM:AM,MATCH($D569,'卡片raw data'!$F:$F,)),0)+INDEX('卡片raw data'!U:U,MATCH($D569,'卡片raw data'!$F:$F,))*(IF($F569="UR",0.04,0.033))*(IF($F569="UR",INDEX(绊状态确认!$S:$S,MATCH($G569,绊状态确认!$B:$B,))/2-40)+IF($F569="SR",INDEX(绊状态确认!$R:$R,MATCH($G569,绊状态确认!$B:$B,))/4-15))+IF($F569="R",INDEX(绊状态确认!$Q:$Q,MATCH($G569,绊状态确认!$B:$B,))/6-40/6)))*(INDEX(绊状态确认!$H:$H,MATCH($G569,绊状态确认!$B:$B,))+INDEX(绊状态确认!L:L,MATCH($G569,绊状态确认!$B:$B,)))</f>
        <v>15600.499199999998</v>
      </c>
      <c r="AO569" s="1107">
        <f t="shared" si="709"/>
        <v>1</v>
      </c>
      <c r="AP569" s="1131">
        <f>1+(INDEX(绊状态确认!$T:$T,MATCH($G569,绊状态确认!$B:$B,))+0.2)*$AO569</f>
        <v>1.3</v>
      </c>
      <c r="AQ569" s="1108">
        <f t="shared" si="710"/>
        <v>44201.310400000002</v>
      </c>
      <c r="AR569" s="1097">
        <f>(AM569*(1+$EX$9)+$EX$35)*(1+(INDEX(绊状态确认!$T:$T,MATCH($G569,绊状态确认!$B:$B,))+0.2)*AO569)*IF(J569=$FF$17,1+$FE$17,1)*IF(I569=$FF$14,1+$FE$14,1)</f>
        <v>13351.340704</v>
      </c>
      <c r="AS569" s="1097">
        <f>(AN569*(1+$EX$10)+$EX$36)*(1+(INDEX(绊状态确认!$T:$T,MATCH($G569,绊状态确认!$B:$B,))+0.2)*AO569)*IF(J569=$FF$17,1+$FE$17,1)*IF(I569=$FF$14,1+$FE$14,1)</f>
        <v>27378.746304</v>
      </c>
      <c r="AT569" s="1093">
        <f>IF(AND(INDEX('卡片raw data'!AK:AK,MATCH($D569,'卡片raw data'!$F:$F,))&lt;INDEX('卡片raw data'!AM:AM,MATCH($D569,'卡片raw data'!$F:$F,)),INDEX('卡片raw data'!AL:AL,MATCH($D569,'卡片raw data'!$F:$F,))&lt;INDEX('卡片raw data'!AM:AM,MATCH($D569,'卡片raw data'!$F:$F,))),1,0)</f>
        <v>0</v>
      </c>
      <c r="AU569" s="1098">
        <f>MIN(AT569*0.15+AS569*0.00003+INDEX(绊状态确认!M:M,MATCH($G569,绊状态确认!$B:$B,)),1)</f>
        <v>0.85136238912000006</v>
      </c>
      <c r="AV569" s="1109">
        <f>(INDEX(绊状态确认!$N:$N,MATCH($G569,绊状态确认!$B:$B,))+1.5)*$EW$21</f>
        <v>2.6599999999999997</v>
      </c>
      <c r="AW569" s="1101">
        <f t="shared" si="711"/>
        <v>55398.359578167016</v>
      </c>
      <c r="AX569" s="1097">
        <f t="shared" si="712"/>
        <v>1146.6050966308658</v>
      </c>
      <c r="AY569" s="1110">
        <f t="shared" si="713"/>
        <v>56544.964674797884</v>
      </c>
      <c r="AZ569" s="1106">
        <f t="shared" si="714"/>
        <v>33020.973440000002</v>
      </c>
      <c r="BA569" s="1108">
        <f t="shared" si="715"/>
        <v>39625.168127999998</v>
      </c>
      <c r="BB569" s="1097">
        <f>(AM569*(1+$FB$9)+$FB$35)*(1+(INDEX(绊状态确认!$T:$T,MATCH($G569,绊状态确认!$B:$B,))+0.2)*AO569)*IF(J569=$FF$17,1+$FE$17,1)*IF(I569=$FF$14,1+$FE$14,1)*(1+$FE$15)</f>
        <v>13351.340704</v>
      </c>
      <c r="BC569" s="1097">
        <f>(AN569*(1+$FB$10)+$FB$36)*(1+(INDEX(绊状态确认!$T:$T,MATCH($G569,绊状态确认!$B:$B,))+0.2)*AO569)*IF(J569=$FF$17,1+$FE$17,1)*IF(I569=$FF$14,1+$FE$14,1)*(1+$FE$15)</f>
        <v>27378.746304</v>
      </c>
      <c r="BD569" s="1104">
        <f>MIN(AT569*0.15+BC569*0.00003+INDEX(绊状态确认!M:M,MATCH($G569,绊状态确认!$B:$B,)),1)</f>
        <v>0.85136238912000006</v>
      </c>
      <c r="BE569" s="1109">
        <f>(INDEX(绊状态确认!$N:$N,MATCH($G569,绊状态确认!$B:$B,))+1.5)</f>
        <v>1.9</v>
      </c>
      <c r="BF569" s="1139">
        <f t="array" ref="BF569">SUMPRODUCT(IF(AZ569*AP569*$FI$16:$FI$23*$FA$22&gt;=$FI$24,$FI$24,AZ569*AP569*$FI$16:$FI$23*$FA$22),$FJ$16:$FJ$23)</f>
        <v>58731.816368</v>
      </c>
      <c r="BG569" s="1125">
        <f t="array" ref="BG569">SUMPRODUCT(IF(BE569*AZ569*AP569*$FI$16:$FI$23*$FA$22&gt;=$FI$24,$FI$24,BE569*AZ569*AP569*$FI$16:$FI$23*$FA$22),$FJ$16:$FJ$23)</f>
        <v>60000</v>
      </c>
      <c r="BH569" s="1110">
        <f t="shared" si="716"/>
        <v>19937.166738260799</v>
      </c>
      <c r="BI569" s="1111">
        <f>IF(O569="vo",$EW$26/$EW$24*0.05,0)+IF(O569="sk",-$EW$26/$EW$24*(0.05-INDEX(绊状态确认!W:W,MATCH($G569,绊状态确认!$B:$B,)))+0.05*$EW$28,0)+IF(O569="sp",0.05*$EW$32*$EW$30*(1-$EW$33)-(0.05-INDEX(绊状态确认!V:V,MATCH($G569,绊状态确认!$B:$B,)))*$EW$28,0)+IF(O569="gd",-(0.05-INDEX(绊状态确认!X:X,MATCH($G569,绊状态确认!$B:$B,)))*$EW$32*$EW$30*(1-$EW$33),0)</f>
        <v>-6253.6726349699375</v>
      </c>
      <c r="BJ569" s="1097">
        <f>IF(O569="vo",0.05*(1-$FI$26)*$FA$24,0)+IF(O569="sk",-(0.05-INDEX(绊状态确认!W:W,MATCH($G569,绊状态确认!$B:$B,)))*(1-$FI$26)*$FA$24+0.05*$FA$26,0)+IF(O569="sp",0.05*$FA$32*$FA$27*(1-$FA$33)/$FA$30+0.05*$FA$29/$FA$69*$FA$27*(1-$FA$33)-(0.05-INDEX(绊状态确认!V:V,MATCH($G569,绊状态确认!$B:$B,)))*$FA$26,0)+IF(O569="gd",-(0.05-INDEX(绊状态确认!X:X,MATCH($G569,绊状态确认!$B:$B,)))*$FA$32*$FA$27*(1-$FA$33)/$FA$30-(0.05-INDEX(绊状态确认!X:X,MATCH($G569,绊状态确认!$B:$B,)))*$FA$29/$FA$69*$FA$27*(1-$FA$33),0)</f>
        <v>20.459096812499922</v>
      </c>
      <c r="BK569" s="1110">
        <f>IF(O569="vo",$EW$26/$EW$24*0.05+$EW$26*(-HP($EW$62,$EW$65,$EW$64)+HP($EW$62,$EW$65,(1.05-INDEX(绊状态确认!U:U,MATCH($G569,绊状态确认!$B:$B,)))*$EW$64)),0)+IF(O569="sk",-$EW$26/$EW$24*(0.05-INDEX(绊状态确认!W:W,MATCH($G569,绊状态确认!$B:$B,)))+0.05*$EW$29,0)+IF(O569="sp",0.05*$EW$32*$EW$30*(1-$EW$33)-(0.05-INDEX(绊状态确认!V:V,MATCH($G569,绊状态确认!$B:$B,)))*$EW$29,0)+IF(O569="gd",-(0.05-INDEX(绊状态确认!X:X,MATCH($G569,绊状态确认!$B:$B,)))*$EW$32*$EW$30*(1-$EW$33)+$EW$26*(-HP($EW$62,$EW$65,$EW$64)+HP($EW$62,$EW$65,0.95*$EW$64)),0)</f>
        <v>-4253.6726349699375</v>
      </c>
      <c r="BL569" s="1111">
        <f t="shared" si="717"/>
        <v>0</v>
      </c>
      <c r="BM569" s="1110">
        <f t="shared" si="718"/>
        <v>0</v>
      </c>
      <c r="BN569" s="1113">
        <f t="shared" si="719"/>
        <v>4</v>
      </c>
      <c r="BO569" s="1108">
        <f t="shared" si="720"/>
        <v>6010.2953161679998</v>
      </c>
      <c r="BP569" s="1127">
        <f t="shared" si="721"/>
        <v>295.12137612040135</v>
      </c>
      <c r="BQ569" s="1113" t="s">
        <v>132</v>
      </c>
      <c r="BR569" s="1124" t="s">
        <v>171</v>
      </c>
      <c r="BS569" s="1098">
        <f>IF($P569="","N/A",IF($P569=-1,INDEX('卡片raw data'!AX:AX,MATCH($D569,'卡片raw data'!$F:$F,)),0)+IF($L569="party卡",IF($P569=5,INDEX('卡片raw data'!BD:BD,MATCH($D569,'卡片raw data'!$F:$F,)),IF($P569&gt;=3,INDEX('卡片raw data'!BC:BC,MATCH($D569,'卡片raw data'!$F:$F,)),INDEX('卡片raw data'!BB:BB,MATCH($D569,'卡片raw data'!$F:$F,)))),IF(OR(AND($F569="UR",$P569=0),AND($F569="SR",$P569&gt;=0,$P569&lt;=2),AND($F569="R",$P569&gt;=0,$P569&lt;4)),INDEX('卡片raw data'!AZ:AZ,MATCH($D569,'卡片raw data'!$F:$F,)),0)+IF(OR(AND($F569="UR",$P569&gt;=1,$P569&lt;=4),AND($F569="SR",$P569&lt;=4,$P569&gt;=3),AND($F569="R",$P569=4)),INDEX('卡片raw data'!BA:BA,MATCH($D569,'卡片raw data'!$F:$F,)),0)+IF($P569=5,INDEX('卡片raw data'!BB:BB,MATCH($D569,'卡片raw data'!$F:$F,)),0)))</f>
        <v>5.1999999999999998E-2</v>
      </c>
      <c r="BT569" s="1101">
        <f t="shared" si="722"/>
        <v>2604.4613036728001</v>
      </c>
      <c r="BU569" s="1097">
        <f t="shared" si="723"/>
        <v>111.90018844565216</v>
      </c>
      <c r="BV569" s="1097">
        <f t="shared" si="724"/>
        <v>1302.2306518363998</v>
      </c>
      <c r="BW569" s="1112">
        <f t="shared" si="725"/>
        <v>0</v>
      </c>
      <c r="BX569" s="1100">
        <f t="shared" si="726"/>
        <v>2604.4613036728001</v>
      </c>
      <c r="BY569" s="1110">
        <f t="shared" si="727"/>
        <v>1302.2306518363998</v>
      </c>
      <c r="BZ569" s="1113" t="s">
        <v>569</v>
      </c>
      <c r="CA569" s="1124"/>
      <c r="CB569" s="1098">
        <f>IF($P569="","N/A",IF($P569=-1,INDEX('卡片raw data'!BE:BE,MATCH($D569,'卡片raw data'!$F:$F,)),0)+IF($L569="party卡",IF($P569=5,INDEX('卡片raw data'!BK:BK,MATCH($D569,'卡片raw data'!$F:$F,)),IF($P569&gt;=3,INDEX('卡片raw data'!BJ:BJ,MATCH($D569,'卡片raw data'!$F:$F,)),INDEX('卡片raw data'!BI:BI,MATCH($D569,'卡片raw data'!$F:$F,)))),IF(OR(AND($F569="UR",$P569=0),AND($F569="SR",$P569&gt;=0,$P569&lt;=2),AND($F569="R",$P569&gt;=0,$P569&lt;4)),INDEX('卡片raw data'!BG:BG,MATCH($D569,'卡片raw data'!$F:$F,)),0)+IF(OR(AND($F569="UR",$P569&gt;=1,$P569&lt;=4),AND($F569="SR",$P569&lt;=4,$P569&gt;=3),AND($F569="R",$P569=4)),INDEX('卡片raw data'!BH:BH,MATCH($D569,'卡片raw data'!$F:$F,)),0)+IF($P569=5,INDEX('卡片raw data'!BI:BI,MATCH($D569,'卡片raw data'!$F:$F,)),0)))</f>
        <v>0</v>
      </c>
      <c r="CC569" s="1101">
        <f t="shared" si="786"/>
        <v>0</v>
      </c>
      <c r="CD569" s="1097">
        <f>IF(BZ569="ap",CB569*(1-$FI$26)*$FB$5/$FB$11*(+IF(CA569="全员",$FA$24,0)+IF(CA569="同作战",$FA$24,0)+IF(CA569="仲间",$FA$24*2/3,0)+IF(CA569="同属性",$FA$24*$FA$37/3,0)+IF(CA569="同年级",$FA$24*$FA$40/3,0)+IF(CA569="同学校",$FA$24*$FA$43/3,0)+IF(CA569="同小队",$FA$24*$FA$46/3,0)+IF(CA569="同type",$FA$24*INDEX($FB$49:$FB$52,MATCH(X569,$FA$49:$FA$52,))/3,0)+IF(CA569="自身",#REF!/3,0)),0)+IF(BZ569="te",CB569*(1-$FI$27)*($FA$20-1)*$FB$7/$FB$13*(+IF(CA569="全员",$FA$19*$FA$24/(1+($FA$20-1)*$FA$19),0)+IF(CA569="同作战",$FA$19*$FA$24/(1+($FA$20-1)*$FA$19),0)+IF(CA569="仲间",$FA$19*$FA$24*2/3/(1+($FA$20-1)*$FA$19),0)+IF(CA569="同属性",$FA$19*$FA$24*$FA$37/3/(1+($FA$20-1)*$FA$19),0)+IF(CA569="同年级",$FA$19*$FA$24*$FA$40/3/(1+($FA$20-1)*$FA$19),0)+IF(CA569="同学校",$FA$19*$FA$24*$FA$43/3/(1+($FA$20-1)*$FA$19),0)+IF(CA569="同小队",$FA$19*$FA$24*$FA$46/3/(1+($FA$20-1)*$FA$19),0)+IF(CA569="同type",$FA$19*$FA$24*INDEX($FB$49:$FB$52,MATCH(X569,$FA$49:$FA$52,))/3/(1+($FA$20-1)*$FA$19),0)+IF(CA569="自身",$FA$19*#REF!/3/(1+(BH569-1)*$BD569),0)),0)</f>
        <v>0</v>
      </c>
      <c r="CE569" s="1097">
        <f t="shared" si="729"/>
        <v>0</v>
      </c>
      <c r="CF569" s="1112">
        <f t="shared" si="787"/>
        <v>0</v>
      </c>
      <c r="CG569" s="1100">
        <f t="shared" si="731"/>
        <v>0</v>
      </c>
      <c r="CH569" s="1110">
        <f t="shared" si="732"/>
        <v>0</v>
      </c>
      <c r="CI569" s="1167" t="s">
        <v>2073</v>
      </c>
      <c r="CJ569" s="1168">
        <v>1</v>
      </c>
      <c r="CK569" s="1169" t="s">
        <v>4202</v>
      </c>
      <c r="CL569" s="1169" t="s">
        <v>2667</v>
      </c>
      <c r="CM569" s="1166">
        <v>0.15</v>
      </c>
      <c r="CN569" s="1169" t="s">
        <v>2076</v>
      </c>
      <c r="CO569" s="1169"/>
      <c r="CP569" s="1118">
        <f t="shared" si="733"/>
        <v>4.9999999999999996E-2</v>
      </c>
      <c r="CQ569" s="1118">
        <f t="shared" si="734"/>
        <v>4.9999999999999996E-2</v>
      </c>
      <c r="CR569" s="1118">
        <f t="shared" si="735"/>
        <v>0</v>
      </c>
      <c r="CS569" s="1118">
        <f t="shared" si="782"/>
        <v>0</v>
      </c>
      <c r="CT569" s="1109">
        <f t="shared" si="783"/>
        <v>0</v>
      </c>
      <c r="CU569" s="1101">
        <f t="shared" si="738"/>
        <v>0</v>
      </c>
      <c r="CV569" s="1108">
        <f t="shared" si="777"/>
        <v>2209.2853997663997</v>
      </c>
      <c r="CW569" s="1097">
        <f t="shared" si="739"/>
        <v>0</v>
      </c>
      <c r="CX569" s="1097">
        <f t="shared" si="740"/>
        <v>0</v>
      </c>
      <c r="CY569" s="1110">
        <f t="shared" si="741"/>
        <v>0</v>
      </c>
      <c r="CZ569" s="1113"/>
      <c r="DA569" s="1114"/>
      <c r="DB569" s="1115" t="s">
        <v>569</v>
      </c>
      <c r="DC569" s="1115"/>
      <c r="DD569" s="1119"/>
      <c r="DE569" s="1092"/>
      <c r="DF569" s="1092"/>
      <c r="DG569" s="1116">
        <f t="shared" si="742"/>
        <v>0</v>
      </c>
      <c r="DH569" s="1116">
        <f t="shared" si="743"/>
        <v>0</v>
      </c>
      <c r="DI569" s="1116">
        <f t="shared" si="744"/>
        <v>0</v>
      </c>
      <c r="DJ569" s="1118">
        <f t="shared" si="784"/>
        <v>0</v>
      </c>
      <c r="DK569" s="1109">
        <f t="shared" si="785"/>
        <v>0</v>
      </c>
      <c r="DL569" s="1101">
        <f t="shared" si="747"/>
        <v>0</v>
      </c>
      <c r="DM569" s="1097">
        <f t="shared" si="748"/>
        <v>0</v>
      </c>
      <c r="DN569" s="1097">
        <f t="shared" si="749"/>
        <v>0</v>
      </c>
      <c r="DO569" s="1097">
        <f t="shared" si="750"/>
        <v>0</v>
      </c>
      <c r="DP569" s="1110">
        <f t="shared" si="751"/>
        <v>0</v>
      </c>
      <c r="DQ569" s="1167" t="s">
        <v>4197</v>
      </c>
      <c r="DR569" s="1120">
        <f t="shared" si="788"/>
        <v>0.33</v>
      </c>
      <c r="DS569" s="1165">
        <v>5</v>
      </c>
      <c r="DT569" s="1165" t="s">
        <v>2127</v>
      </c>
      <c r="DU569" s="1165" t="s">
        <v>2145</v>
      </c>
      <c r="DV569" s="1098">
        <f>IF($P569="","N/A",IF(P569=-1,INDEX('卡片raw data'!AN:AN,MATCH(D569,'卡片raw data'!$F:$F,)),0)+IF(AND(L569&lt;&gt;"party卡",P569&lt;=2,P569&gt;=0),INDEX('卡片raw data'!AP:AP,MATCH(D569,'卡片raw data'!$F:$F,)),0)+IF(OR(AND(L569="party卡",P569&lt;=1),AND(P569&lt;=4,L569&lt;&gt;"party卡",P569&gt;=3)),INDEX('卡片raw data'!AQ:AQ,MATCH(D569,'卡片raw data'!$F:$F,)),0)+IF(OR(P569=5,AND(L569="party卡",P569&gt;=2)),INDEX('卡片raw data'!AR:AR,MATCH(D569,'卡片raw data'!$F:$F,)),0))</f>
        <v>0.2</v>
      </c>
      <c r="DW569" s="1098">
        <f t="shared" si="752"/>
        <v>0.33</v>
      </c>
      <c r="DX569" s="1098">
        <f t="shared" si="753"/>
        <v>0.33</v>
      </c>
      <c r="DY569" s="1098">
        <f t="shared" si="754"/>
        <v>0.11000000000000001</v>
      </c>
      <c r="DZ569" s="1098">
        <f t="shared" si="755"/>
        <v>9.5150000000000012E-2</v>
      </c>
      <c r="EA569" s="1098">
        <f t="shared" si="756"/>
        <v>0</v>
      </c>
      <c r="EB569" s="1121">
        <f t="shared" si="757"/>
        <v>0</v>
      </c>
      <c r="EC569" s="1101">
        <f t="shared" si="758"/>
        <v>6591.8727176981274</v>
      </c>
      <c r="ED569" s="1097">
        <f t="shared" si="759"/>
        <v>0</v>
      </c>
      <c r="EE569" s="1110">
        <f t="shared" si="775"/>
        <v>6591.8727176981274</v>
      </c>
      <c r="EF569" s="1113" t="s">
        <v>569</v>
      </c>
      <c r="EG569" s="1120">
        <f t="shared" si="789"/>
        <v>0.33</v>
      </c>
      <c r="EH569" s="1124"/>
      <c r="EI569" s="1124"/>
      <c r="EJ569" s="1124"/>
      <c r="EK569" s="1097">
        <f>IF($P569="","N/A",IF(P569=-1,INDEX('卡片raw data'!AS:AS,MATCH(D569,'卡片raw data'!$F:$F,)),0)+IF(AND(L569&lt;&gt;"party卡",P569&lt;=2,P569&gt;=0),INDEX('卡片raw data'!AU:AU,MATCH(D569,'卡片raw data'!$F:$F,)),0)+IF(OR(AND(L569="party卡",P569&lt;=1),AND(P569&lt;=4,L569&lt;&gt;"party卡",P569&gt;=3)),INDEX('卡片raw data'!AV:AV,MATCH(D569,'卡片raw data'!$F:$F,)),0)+IF(OR(P569=5,AND(L569="party卡",P569&gt;=2)),INDEX('卡片raw data'!AW:AW,MATCH(D569,'卡片raw data'!$F:$F,)),0))</f>
        <v>0</v>
      </c>
      <c r="EL569" s="1098">
        <f t="shared" si="760"/>
        <v>0.33</v>
      </c>
      <c r="EM569" s="1098">
        <f t="shared" si="761"/>
        <v>0.33</v>
      </c>
      <c r="EN569" s="1097">
        <f t="shared" si="762"/>
        <v>0</v>
      </c>
      <c r="EO569" s="1097">
        <f t="shared" si="763"/>
        <v>0</v>
      </c>
      <c r="EP569" s="1098">
        <f t="shared" si="764"/>
        <v>0</v>
      </c>
      <c r="EQ569" s="1121">
        <f t="shared" si="765"/>
        <v>0</v>
      </c>
      <c r="ER569" s="1101">
        <f t="shared" si="766"/>
        <v>0</v>
      </c>
      <c r="ES569" s="1097">
        <f t="shared" si="767"/>
        <v>0</v>
      </c>
      <c r="ET569" s="1122">
        <f t="shared" si="776"/>
        <v>0</v>
      </c>
    </row>
    <row r="570" spans="2:150" ht="16.5" customHeight="1">
      <c r="B570" s="1123" t="str">
        <f>INDEX('卡片raw data'!B:B,MATCH($D570,'卡片raw data'!$F:$F,))</f>
        <v>水蓝曜</v>
      </c>
      <c r="C570" s="1025" t="s">
        <v>4646</v>
      </c>
      <c r="D570" s="408">
        <v>567</v>
      </c>
      <c r="E570" s="1164">
        <v>201052001</v>
      </c>
      <c r="F570" s="1090" t="str">
        <f>INDEX('卡片raw data'!C:C,MATCH($D570,'卡片raw data'!$F:$F,))</f>
        <v>SR</v>
      </c>
      <c r="G570" s="1026" t="s">
        <v>4649</v>
      </c>
      <c r="H570" s="411">
        <f>IFERROR(INDEX(绊状态确认!C:C,MATCH($G570,绊状态确认!$B:$B,)),"")</f>
        <v>105</v>
      </c>
      <c r="I570" s="450" t="str">
        <f>IFERROR(INDEX(绊状态确认!D:D,MATCH($G570,绊状态确认!$B:$B,)),"")</f>
        <v>水</v>
      </c>
      <c r="J570" s="450" t="str">
        <f>IFERROR(INDEX(绊状态确认!E:E,MATCH($G570,绊状态确认!$B:$B,)),"")</f>
        <v>2年级</v>
      </c>
      <c r="K570" s="451" t="str">
        <f>IFERROR(INDEX(绊状态确认!F:F,MATCH($G570,绊状态确认!$B:$B,)),"")</f>
        <v>CYaRon!</v>
      </c>
      <c r="L570" s="1094" t="str">
        <f>INDEX('卡片raw data'!E:E,MATCH($D570,'卡片raw data'!$F:$F,))</f>
        <v>卡池卡</v>
      </c>
      <c r="M570" s="1065">
        <v>44499</v>
      </c>
      <c r="N570" s="1027">
        <v>50.5</v>
      </c>
      <c r="O570" s="1091" t="str">
        <f>INDEX('卡片raw data'!D:D,MATCH($D570,'卡片raw data'!$F:$F,))</f>
        <v>gd</v>
      </c>
      <c r="P570" s="1126">
        <v>5</v>
      </c>
      <c r="Q570" s="1095">
        <f t="shared" si="688"/>
        <v>21754.106928099609</v>
      </c>
      <c r="R570" s="1096">
        <f t="shared" si="689"/>
        <v>0.252</v>
      </c>
      <c r="S570" s="1097">
        <f t="shared" si="690"/>
        <v>12659.86832570236</v>
      </c>
      <c r="T570" s="1098">
        <f t="shared" si="691"/>
        <v>0.63200000000000001</v>
      </c>
      <c r="U570" s="1099">
        <f t="shared" si="692"/>
        <v>540.7704154022673</v>
      </c>
      <c r="V570" s="1100">
        <f t="shared" si="693"/>
        <v>73262.191914583163</v>
      </c>
      <c r="W570" s="1101">
        <f t="shared" si="694"/>
        <v>4507.7214871259994</v>
      </c>
      <c r="X570" s="1096">
        <f t="shared" si="695"/>
        <v>5.1999999999999998E-2</v>
      </c>
      <c r="Y570" s="1097">
        <f t="shared" si="696"/>
        <v>1478.4591243421783</v>
      </c>
      <c r="Z570" s="1102">
        <f t="shared" si="697"/>
        <v>18.408544775451428</v>
      </c>
      <c r="AA570" s="1103">
        <f t="shared" si="698"/>
        <v>5986.1806114681776</v>
      </c>
      <c r="AB570" s="1101">
        <f t="shared" si="699"/>
        <v>4507.7214871259994</v>
      </c>
      <c r="AC570" s="1104">
        <f t="shared" si="700"/>
        <v>5.1999999999999998E-2</v>
      </c>
      <c r="AD570" s="1105">
        <f t="shared" si="701"/>
        <v>-3.8207812500000026E-3</v>
      </c>
      <c r="AE570" s="1128">
        <f t="shared" si="702"/>
        <v>-18.525362318840578</v>
      </c>
      <c r="AF570" s="1130">
        <f t="shared" si="703"/>
        <v>7740.1941116298221</v>
      </c>
      <c r="AG570" s="1097">
        <f t="shared" si="704"/>
        <v>99251.166542912004</v>
      </c>
      <c r="AH570" s="1097">
        <f t="shared" si="705"/>
        <v>12.822826548210827</v>
      </c>
      <c r="AI570" s="1097">
        <f t="shared" si="706"/>
        <v>101976.08931637819</v>
      </c>
      <c r="AJ570" s="1097">
        <f t="shared" si="707"/>
        <v>73262.191914583163</v>
      </c>
      <c r="AK570" s="1129">
        <f t="shared" si="708"/>
        <v>28713.897401795024</v>
      </c>
      <c r="AL570" s="1106">
        <f>IF($P570="","N/A",(IF($P570=-1,INDEX('卡片raw data'!S:S,MATCH($D570,'卡片raw data'!$F:$F,)),0)+IF($P570=0,INDEX('卡片raw data'!V:V,MATCH($D570,'卡片raw data'!$F:$F,)),0)+IF($P570=1,INDEX('卡片raw data'!Y:Y,MATCH($D570,'卡片raw data'!$F:$F,)),0)+IF($P570=2,INDEX('卡片raw data'!AB:AB,MATCH($D570,'卡片raw data'!$F:$F,)),0)+IF($P570=3,INDEX('卡片raw data'!AE:AE,MATCH($D570,'卡片raw data'!$F:$F,)),0)+IF($P570=4,INDEX('卡片raw data'!AH:AH,MATCH($D570,'卡片raw data'!$F:$F,)),0)+IF($P570=5,INDEX('卡片raw data'!AK:AK,MATCH($D570,'卡片raw data'!$F:$F,)),0)+INDEX('卡片raw data'!S:S,MATCH($D570,'卡片raw data'!$F:$F,))*(IF($F570="UR",0.04,0.033))*(IF($F570="UR",INDEX(绊状态确认!$S:$S,MATCH($G570,绊状态确认!$B:$B,))/2-40)+IF($F570="SR",INDEX(绊状态确认!$R:$R,MATCH($G570,绊状态确认!$B:$B,))/4-15))+IF($F570="R",INDEX(绊状态确认!$Q:$Q,MATCH($G570,绊状态确认!$B:$B,))/6-40/6)))*(INDEX(绊状态确认!$H:$H,MATCH($G570,绊状态确认!$B:$B,))+INDEX(绊状态确认!J:J,MATCH($G570,绊状态确认!$B:$B,)))</f>
        <v>6346.0280663999993</v>
      </c>
      <c r="AM570" s="1106">
        <f>IF($P570="","N/A",(IF($P570=-1,INDEX('卡片raw data'!T:T,MATCH($D570,'卡片raw data'!$F:$F,)),0)+IF($P570=0,INDEX('卡片raw data'!W:W,MATCH($D570,'卡片raw data'!$F:$F,)),0)+IF($P570=1,INDEX('卡片raw data'!Z:Z,MATCH($D570,'卡片raw data'!$F:$F,)),0)+IF($P570=2,INDEX('卡片raw data'!AC:AC,MATCH($D570,'卡片raw data'!$F:$F,)),0)+IF($P570=3,INDEX('卡片raw data'!AF:AF,MATCH($D570,'卡片raw data'!$F:$F,)),0)+IF($P570=4,INDEX('卡片raw data'!AI:AI,MATCH($D570,'卡片raw data'!$F:$F,)),0)+IF($P570=5,INDEX('卡片raw data'!AL:AL,MATCH($D570,'卡片raw data'!$F:$F,)),0)+INDEX('卡片raw data'!T:T,MATCH($D570,'卡片raw data'!$F:$F,))*(IF($F570="UR",0.04,0.033))*(IF($F570="UR",INDEX(绊状态确认!$S:$S,MATCH($G570,绊状态确认!$B:$B,))/2-40)+IF($F570="SR",INDEX(绊状态确认!$R:$R,MATCH($G570,绊状态确认!$B:$B,))/4-15))+IF($F570="R",INDEX(绊状态确认!$Q:$Q,MATCH($G570,绊状态确认!$B:$B,))/6-40/6)))*(INDEX(绊状态确认!$H:$H,MATCH($G570,绊状态确认!$B:$B,))+INDEX(绊状态确认!K:K,MATCH($G570,绊状态确认!$B:$B,)))</f>
        <v>9405.5373311999992</v>
      </c>
      <c r="AN570" s="1106">
        <f>IF($P570="","N/A",(IF($P570=-1,INDEX('卡片raw data'!U:U,MATCH($D570,'卡片raw data'!$F:$F,)),0)+IF($P570=0,INDEX('卡片raw data'!X:X,MATCH($D570,'卡片raw data'!$F:$F,)),0)+IF($P570=1,INDEX('卡片raw data'!AA:AA,MATCH($D570,'卡片raw data'!$F:$F,)),0)+IF($P570=2,INDEX('卡片raw data'!AD:AD,MATCH($D570,'卡片raw data'!$F:$F,)),0)+IF($P570=3,INDEX('卡片raw data'!AG:AG,MATCH($D570,'卡片raw data'!$F:$F,)),0)+IF($P570=4,INDEX('卡片raw data'!AJ:AJ,MATCH($D570,'卡片raw data'!$F:$F,)),0)+IF($P570=5,INDEX('卡片raw data'!AM:AM,MATCH($D570,'卡片raw data'!$F:$F,)),0)+INDEX('卡片raw data'!U:U,MATCH($D570,'卡片raw data'!$F:$F,))*(IF($F570="UR",0.04,0.033))*(IF($F570="UR",INDEX(绊状态确认!$S:$S,MATCH($G570,绊状态确认!$B:$B,))/2-40)+IF($F570="SR",INDEX(绊状态确认!$R:$R,MATCH($G570,绊状态确认!$B:$B,))/4-15))+IF($F570="R",INDEX(绊状态确认!$Q:$Q,MATCH($G570,绊状态确认!$B:$B,))/6-40/6)))*(INDEX(绊状态确认!$H:$H,MATCH($G570,绊状态确认!$B:$B,))+INDEX(绊状态确认!L:L,MATCH($G570,绊状态确认!$B:$B,)))</f>
        <v>7758.2255279999999</v>
      </c>
      <c r="AO570" s="1107">
        <f t="shared" si="709"/>
        <v>1</v>
      </c>
      <c r="AP570" s="1131">
        <f>1+(INDEX(绊状态确认!$T:$T,MATCH($G570,绊状态确认!$B:$B,))+0.2)*$AO570</f>
        <v>1.3</v>
      </c>
      <c r="AQ570" s="1108">
        <f t="shared" si="710"/>
        <v>19908.323674300002</v>
      </c>
      <c r="AR570" s="1097">
        <f>(AM570*(1+$EX$9)+$EX$35)*(1+(INDEX(绊状态确认!$T:$T,MATCH($G570,绊状态确认!$B:$B,))+0.2)*AO570)*IF(J570=$FF$17,1+$FE$17,1)*IF(I570=$FF$14,1+$FE$14,1)</f>
        <v>15542.558457087998</v>
      </c>
      <c r="AS570" s="1097">
        <f>(AN570*(1+$EX$10)+$EX$36)*(1+(INDEX(绊状态确认!$T:$T,MATCH($G570,绊状态确认!$B:$B,))+0.2)*AO570)*IF(J570=$FF$17,1+$FE$17,1)*IF(I570=$FF$14,1+$FE$14,1)</f>
        <v>15654.547164359999</v>
      </c>
      <c r="AT570" s="1093">
        <f>IF(AND(INDEX('卡片raw data'!AK:AK,MATCH($D570,'卡片raw data'!$F:$F,))&lt;INDEX('卡片raw data'!AM:AM,MATCH($D570,'卡片raw data'!$F:$F,)),INDEX('卡片raw data'!AL:AL,MATCH($D570,'卡片raw data'!$F:$F,))&lt;INDEX('卡片raw data'!AM:AM,MATCH($D570,'卡片raw data'!$F:$F,))),1,0)</f>
        <v>0</v>
      </c>
      <c r="AU570" s="1098">
        <f>MIN(AT570*0.15+AS570*0.00003+INDEX(绊状态确认!M:M,MATCH($G570,绊状态确认!$B:$B,)),1)</f>
        <v>0.49963641493080002</v>
      </c>
      <c r="AV570" s="1109">
        <f>(INDEX(绊状态确认!$N:$N,MATCH($G570,绊状态确认!$B:$B,))+1.5)*$EW$21</f>
        <v>2.6599999999999997</v>
      </c>
      <c r="AW570" s="1101">
        <f t="shared" si="711"/>
        <v>18914.718774306941</v>
      </c>
      <c r="AX570" s="1097">
        <f t="shared" si="712"/>
        <v>1341.2689301288362</v>
      </c>
      <c r="AY570" s="1110">
        <f t="shared" si="713"/>
        <v>20255.987704435778</v>
      </c>
      <c r="AZ570" s="1106">
        <f t="shared" si="714"/>
        <v>14974.754729479999</v>
      </c>
      <c r="BA570" s="1108">
        <f t="shared" si="715"/>
        <v>17969.705675375997</v>
      </c>
      <c r="BB570" s="1097">
        <f>(AM570*(1+$FB$9)+$FB$35)*(1+(INDEX(绊状态确认!$T:$T,MATCH($G570,绊状态确认!$B:$B,))+0.2)*AO570)*IF(J570=$FF$17,1+$FE$17,1)*IF(I570=$FF$14,1+$FE$14,1)*(1+$FE$15)</f>
        <v>15542.558457087998</v>
      </c>
      <c r="BC570" s="1097">
        <f>(AN570*(1+$FB$10)+$FB$36)*(1+(INDEX(绊状态确认!$T:$T,MATCH($G570,绊状态确认!$B:$B,))+0.2)*AO570)*IF(J570=$FF$17,1+$FE$17,1)*IF(I570=$FF$14,1+$FE$14,1)*(1+$FE$15)</f>
        <v>15654.547164359999</v>
      </c>
      <c r="BD570" s="1104">
        <f>MIN(AT570*0.15+BC570*0.00003+INDEX(绊状态确认!M:M,MATCH($G570,绊状态确认!$B:$B,)),1)</f>
        <v>0.49963641493080002</v>
      </c>
      <c r="BE570" s="1109">
        <f>(INDEX(绊状态确认!$N:$N,MATCH($G570,绊状态确认!$B:$B,))+1.5)</f>
        <v>1.9</v>
      </c>
      <c r="BF570" s="1139">
        <f t="array" ref="BF570">SUMPRODUCT(IF(AZ570*AP570*$FI$16:$FI$23*$FA$22&gt;=$FI$24,$FI$24,AZ570*AP570*$FI$16:$FI$23*$FA$22),$FJ$16:$FJ$23)</f>
        <v>29784.787156935719</v>
      </c>
      <c r="BG570" s="1125">
        <f t="array" ref="BG570">SUMPRODUCT(IF(BE570*AZ570*AP570*$FI$16:$FI$23*$FA$22&gt;=$FI$24,$FI$24,BE570*AZ570*AP570*$FI$16:$FI$23*$FA$22),$FJ$16:$FJ$23)</f>
        <v>54617.767739997442</v>
      </c>
      <c r="BH570" s="1110">
        <f t="shared" si="716"/>
        <v>14064.082849167615</v>
      </c>
      <c r="BI570" s="1111">
        <f>IF(O570="vo",$EW$26/$EW$24*0.05,0)+IF(O570="sk",-$EW$26/$EW$24*(0.05-INDEX(绊状态确认!W:W,MATCH($G570,绊状态确认!$B:$B,)))+0.05*$EW$28,0)+IF(O570="sp",0.05*$EW$32*$EW$30*(1-$EW$33)-(0.05-INDEX(绊状态确认!V:V,MATCH($G570,绊状态确认!$B:$B,)))*$EW$28,0)+IF(O570="gd",-(0.05-INDEX(绊状态确认!X:X,MATCH($G570,绊状态确认!$B:$B,)))*$EW$32*$EW$30*(1-$EW$33),0)</f>
        <v>-585.00000000000011</v>
      </c>
      <c r="BJ570" s="1097">
        <f>IF(O570="vo",0.05*(1-$FI$26)*$FA$24,0)+IF(O570="sk",-(0.05-INDEX(绊状态确认!W:W,MATCH($G570,绊状态确认!$B:$B,)))*(1-$FI$26)*$FA$24+0.05*$FA$26,0)+IF(O570="sp",0.05*$FA$32*$FA$27*(1-$FA$33)/$FA$30+0.05*$FA$29/$FA$69*$FA$27*(1-$FA$33)-(0.05-INDEX(绊状态确认!V:V,MATCH($G570,绊状态确认!$B:$B,)))*$FA$26,0)+IF(O570="gd",-(0.05-INDEX(绊状态确认!X:X,MATCH($G570,绊状态确认!$B:$B,)))*$FA$32*$FA$27*(1-$FA$33)/$FA$30-(0.05-INDEX(绊状态确认!X:X,MATCH($G570,绊状态确认!$B:$B,)))*$FA$29/$FA$69*$FA$27*(1-$FA$33),0)</f>
        <v>-795.00000000000011</v>
      </c>
      <c r="BK570" s="1110">
        <f>IF(O570="vo",$EW$26/$EW$24*0.05+$EW$26*(-HP($EW$62,$EW$65,$EW$64)+HP($EW$62,$EW$65,(1.05-INDEX(绊状态确认!U:U,MATCH($G570,绊状态确认!$B:$B,)))*$EW$64)),0)+IF(O570="sk",-$EW$26/$EW$24*(0.05-INDEX(绊状态确认!W:W,MATCH($G570,绊状态确认!$B:$B,)))+0.05*$EW$29,0)+IF(O570="sp",0.05*$EW$32*$EW$30*(1-$EW$33)-(0.05-INDEX(绊状态确认!V:V,MATCH($G570,绊状态确认!$B:$B,)))*$EW$29,0)+IF(O570="gd",-(0.05-INDEX(绊状态确认!X:X,MATCH($G570,绊状态确认!$B:$B,)))*$EW$32*$EW$30*(1-$EW$33)+$EW$26*(-HP($EW$62,$EW$65,$EW$64)+HP($EW$62,$EW$65,0.95*$EW$64)),0)</f>
        <v>1009.5947725176144</v>
      </c>
      <c r="BL570" s="1111">
        <f t="shared" si="717"/>
        <v>-1083.3333333333333</v>
      </c>
      <c r="BM570" s="1110">
        <f t="shared" si="718"/>
        <v>-830.55555555555543</v>
      </c>
      <c r="BN570" s="1113">
        <f t="shared" si="719"/>
        <v>3</v>
      </c>
      <c r="BO570" s="1108">
        <f t="shared" si="720"/>
        <v>4507.7214871259994</v>
      </c>
      <c r="BP570" s="1127">
        <f t="shared" si="721"/>
        <v>221.34103209030098</v>
      </c>
      <c r="BQ570" s="1167" t="s">
        <v>1943</v>
      </c>
      <c r="BR570" s="1165" t="s">
        <v>2127</v>
      </c>
      <c r="BS570" s="1098">
        <f>IF($P570="","N/A",IF($P570=-1,INDEX('卡片raw data'!AX:AX,MATCH($D570,'卡片raw data'!$F:$F,)),0)+IF($L570="party卡",IF($P570=5,INDEX('卡片raw data'!BD:BD,MATCH($D570,'卡片raw data'!$F:$F,)),IF($P570&gt;=3,INDEX('卡片raw data'!BC:BC,MATCH($D570,'卡片raw data'!$F:$F,)),INDEX('卡片raw data'!BB:BB,MATCH($D570,'卡片raw data'!$F:$F,)))),IF(OR(AND($F570="UR",$P570=0),AND($F570="SR",$P570&gt;=0,$P570&lt;=2),AND($F570="R",$P570&gt;=0,$P570&lt;4)),INDEX('卡片raw data'!AZ:AZ,MATCH($D570,'卡片raw data'!$F:$F,)),0)+IF(OR(AND($F570="UR",$P570&gt;=1,$P570&lt;=4),AND($F570="SR",$P570&lt;=4,$P570&gt;=3),AND($F570="R",$P570=4)),INDEX('卡片raw data'!BA:BA,MATCH($D570,'卡片raw data'!$F:$F,)),0)+IF($P570=5,INDEX('卡片raw data'!BB:BB,MATCH($D570,'卡片raw data'!$F:$F,)),0)))</f>
        <v>0.05</v>
      </c>
      <c r="BT570" s="1101">
        <f t="shared" si="722"/>
        <v>0</v>
      </c>
      <c r="BU570" s="1097">
        <f t="shared" si="723"/>
        <v>0</v>
      </c>
      <c r="BV570" s="1097">
        <f t="shared" si="724"/>
        <v>0</v>
      </c>
      <c r="BW570" s="1112">
        <f t="shared" si="725"/>
        <v>1.7558035714285711</v>
      </c>
      <c r="BX570" s="1100">
        <f t="shared" si="726"/>
        <v>137.19019421334193</v>
      </c>
      <c r="BY570" s="1110">
        <f t="shared" si="727"/>
        <v>137.19019421334193</v>
      </c>
      <c r="BZ570" s="1113" t="s">
        <v>569</v>
      </c>
      <c r="CA570" s="1124"/>
      <c r="CB570" s="1098">
        <v>0</v>
      </c>
      <c r="CC570" s="1101">
        <f t="shared" si="786"/>
        <v>0</v>
      </c>
      <c r="CD570" s="1097">
        <f>IF(BZ570="ap",CB570*(1-$FI$26)*$FB$5/$FB$11*(+IF(CA570="全员",$FA$24,0)+IF(CA570="同作战",$FA$24,0)+IF(CA570="仲间",$FA$24*2/3,0)+IF(CA570="同属性",$FA$24*$FA$37/3,0)+IF(CA570="同年级",$FA$24*$FA$40/3,0)+IF(CA570="同学校",$FA$24*$FA$43/3,0)+IF(CA570="同小队",$FA$24*$FA$46/3,0)+IF(CA570="同type",$FA$24*INDEX($FB$49:$FB$52,MATCH(X570,$FA$49:$FA$52,))/3,0)+IF(CA570="自身",#REF!/3,0)),0)+IF(BZ570="te",CB570*(1-$FI$27)*($FA$20-1)*$FB$7/$FB$13*(+IF(CA570="全员",$FA$19*$FA$24/(1+($FA$20-1)*$FA$19),0)+IF(CA570="同作战",$FA$19*$FA$24/(1+($FA$20-1)*$FA$19),0)+IF(CA570="仲间",$FA$19*$FA$24*2/3/(1+($FA$20-1)*$FA$19),0)+IF(CA570="同属性",$FA$19*$FA$24*$FA$37/3/(1+($FA$20-1)*$FA$19),0)+IF(CA570="同年级",$FA$19*$FA$24*$FA$40/3/(1+($FA$20-1)*$FA$19),0)+IF(CA570="同学校",$FA$19*$FA$24*$FA$43/3/(1+($FA$20-1)*$FA$19),0)+IF(CA570="同小队",$FA$19*$FA$24*$FA$46/3/(1+($FA$20-1)*$FA$19),0)+IF(CA570="同type",$FA$19*$FA$24*INDEX($FB$49:$FB$52,MATCH(X570,$FA$49:$FA$52,))/3/(1+($FA$20-1)*$FA$19),0)+IF(CA570="自身",$FA$19*#REF!/3/(1+(BH570-1)*$BD570),0)),0)</f>
        <v>0</v>
      </c>
      <c r="CE570" s="1097">
        <f t="shared" si="729"/>
        <v>0</v>
      </c>
      <c r="CF570" s="1112">
        <f t="shared" si="787"/>
        <v>0</v>
      </c>
      <c r="CG570" s="1100">
        <f t="shared" si="731"/>
        <v>0</v>
      </c>
      <c r="CH570" s="1110">
        <f t="shared" si="732"/>
        <v>0</v>
      </c>
      <c r="CI570" s="1167" t="s">
        <v>160</v>
      </c>
      <c r="CJ570" s="1168">
        <v>0.5</v>
      </c>
      <c r="CK570" s="1169" t="s">
        <v>4651</v>
      </c>
      <c r="CL570" s="1169" t="s">
        <v>1947</v>
      </c>
      <c r="CM570" s="1166"/>
      <c r="CN570" s="1169"/>
      <c r="CO570" s="1169"/>
      <c r="CP570" s="1116">
        <f t="shared" si="733"/>
        <v>0</v>
      </c>
      <c r="CQ570" s="1116">
        <f t="shared" si="734"/>
        <v>0</v>
      </c>
      <c r="CR570" s="1116">
        <f t="shared" si="735"/>
        <v>0</v>
      </c>
      <c r="CS570" s="1118">
        <f t="shared" si="782"/>
        <v>0</v>
      </c>
      <c r="CT570" s="1109">
        <f t="shared" si="783"/>
        <v>0</v>
      </c>
      <c r="CU570" s="1101">
        <f t="shared" si="738"/>
        <v>0</v>
      </c>
      <c r="CV570" s="1108">
        <f t="shared" si="777"/>
        <v>0</v>
      </c>
      <c r="CW570" s="1097">
        <f t="shared" si="739"/>
        <v>0</v>
      </c>
      <c r="CX570" s="1097">
        <f t="shared" si="740"/>
        <v>0</v>
      </c>
      <c r="CY570" s="1110">
        <f t="shared" si="741"/>
        <v>0</v>
      </c>
      <c r="CZ570" s="1113"/>
      <c r="DA570" s="1114"/>
      <c r="DB570" s="1115" t="s">
        <v>569</v>
      </c>
      <c r="DC570" s="1115"/>
      <c r="DD570" s="1119"/>
      <c r="DE570" s="1092"/>
      <c r="DF570" s="1092"/>
      <c r="DG570" s="1116">
        <f t="shared" si="742"/>
        <v>0</v>
      </c>
      <c r="DH570" s="1116">
        <f t="shared" si="743"/>
        <v>0</v>
      </c>
      <c r="DI570" s="1116">
        <f t="shared" si="744"/>
        <v>0</v>
      </c>
      <c r="DJ570" s="1118">
        <f t="shared" si="784"/>
        <v>0</v>
      </c>
      <c r="DK570" s="1109">
        <f t="shared" si="785"/>
        <v>0</v>
      </c>
      <c r="DL570" s="1101">
        <f t="shared" si="747"/>
        <v>0</v>
      </c>
      <c r="DM570" s="1097">
        <f t="shared" si="748"/>
        <v>0</v>
      </c>
      <c r="DN570" s="1097">
        <f t="shared" si="749"/>
        <v>0</v>
      </c>
      <c r="DO570" s="1097">
        <f t="shared" si="750"/>
        <v>0</v>
      </c>
      <c r="DP570" s="1110">
        <f t="shared" si="751"/>
        <v>0</v>
      </c>
      <c r="DQ570" s="1167" t="s">
        <v>2305</v>
      </c>
      <c r="DR570" s="1120">
        <f t="shared" si="788"/>
        <v>0.3</v>
      </c>
      <c r="DS570" s="1165"/>
      <c r="DT570" s="1165" t="s">
        <v>1943</v>
      </c>
      <c r="DU570" s="1165"/>
      <c r="DV570" s="1098">
        <f>IF($P570="","N/A",IF(P570=-1,INDEX('卡片raw data'!AN:AN,MATCH(D570,'卡片raw data'!$F:$F,)),0)+IF(AND(L570&lt;&gt;"party卡",P570&lt;=2,P570&gt;=0),INDEX('卡片raw data'!AP:AP,MATCH(D570,'卡片raw data'!$F:$F,)),0)+IF(OR(AND(L570="party卡",P570&lt;=1),AND(P570&lt;=4,L570&lt;&gt;"party卡",P570&gt;=3)),INDEX('卡片raw data'!AQ:AQ,MATCH(D570,'卡片raw data'!$F:$F,)),0)+IF(OR(P570=5,AND(L570="party卡",P570&gt;=2)),INDEX('卡片raw data'!AR:AR,MATCH(D570,'卡片raw data'!$F:$F,)),0))</f>
        <v>0.32</v>
      </c>
      <c r="DW570" s="1098">
        <f t="shared" si="752"/>
        <v>0.3</v>
      </c>
      <c r="DX570" s="1098">
        <f t="shared" si="753"/>
        <v>0.3</v>
      </c>
      <c r="DY570" s="1097">
        <f t="shared" si="754"/>
        <v>497.36187062681591</v>
      </c>
      <c r="DZ570" s="1097">
        <f t="shared" si="755"/>
        <v>430.21801809219573</v>
      </c>
      <c r="EA570" s="1098">
        <f t="shared" si="756"/>
        <v>0</v>
      </c>
      <c r="EB570" s="1121">
        <f t="shared" si="757"/>
        <v>0</v>
      </c>
      <c r="EC570" s="1101">
        <f t="shared" si="758"/>
        <v>0</v>
      </c>
      <c r="ED570" s="1097">
        <f t="shared" si="759"/>
        <v>0</v>
      </c>
      <c r="EE570" s="1110">
        <f t="shared" si="775"/>
        <v>48435.03108962375</v>
      </c>
      <c r="EF570" s="1113" t="s">
        <v>569</v>
      </c>
      <c r="EG570" s="1120">
        <f t="shared" si="789"/>
        <v>0.3</v>
      </c>
      <c r="EH570" s="1124"/>
      <c r="EI570" s="1124"/>
      <c r="EJ570" s="1124"/>
      <c r="EK570" s="1097">
        <f>IF($P570="","N/A",IF(P570=-1,INDEX('卡片raw data'!AS:AS,MATCH(D570,'卡片raw data'!$F:$F,)),0)+IF(AND(L570&lt;&gt;"party卡",P570&lt;=2,P570&gt;=0),INDEX('卡片raw data'!AU:AU,MATCH(D570,'卡片raw data'!$F:$F,)),0)+IF(OR(AND(L570="party卡",P570&lt;=1),AND(P570&lt;=4,L570&lt;&gt;"party卡",P570&gt;=3)),INDEX('卡片raw data'!AV:AV,MATCH(D570,'卡片raw data'!$F:$F,)),0)+IF(OR(P570=5,AND(L570="party卡",P570&gt;=2)),INDEX('卡片raw data'!AW:AW,MATCH(D570,'卡片raw data'!$F:$F,)),0))</f>
        <v>0</v>
      </c>
      <c r="EL570" s="1098">
        <f t="shared" si="760"/>
        <v>0.3</v>
      </c>
      <c r="EM570" s="1098">
        <f t="shared" si="761"/>
        <v>0.3</v>
      </c>
      <c r="EN570" s="1097">
        <f t="shared" si="762"/>
        <v>0</v>
      </c>
      <c r="EO570" s="1097">
        <f t="shared" si="763"/>
        <v>0</v>
      </c>
      <c r="EP570" s="1098">
        <f t="shared" si="764"/>
        <v>0</v>
      </c>
      <c r="EQ570" s="1121">
        <f t="shared" si="765"/>
        <v>0</v>
      </c>
      <c r="ER570" s="1101">
        <f t="shared" si="766"/>
        <v>0</v>
      </c>
      <c r="ES570" s="1097">
        <f t="shared" si="767"/>
        <v>0</v>
      </c>
      <c r="ET570" s="1122">
        <f t="shared" si="776"/>
        <v>0</v>
      </c>
    </row>
    <row r="571" spans="2:150" ht="16.5" customHeight="1">
      <c r="B571" s="1123" t="str">
        <f>INDEX('卡片raw data'!B:B,MATCH($D571,'卡片raw data'!$F:$F,))</f>
        <v>四单希</v>
      </c>
      <c r="C571" s="1025" t="s">
        <v>4646</v>
      </c>
      <c r="D571" s="408">
        <v>568</v>
      </c>
      <c r="E571" s="1164">
        <v>200072001</v>
      </c>
      <c r="F571" s="1090" t="str">
        <f>INDEX('卡片raw data'!C:C,MATCH($D571,'卡片raw data'!$F:$F,))</f>
        <v>SR</v>
      </c>
      <c r="G571" s="1026" t="s">
        <v>4650</v>
      </c>
      <c r="H571" s="411">
        <f>IFERROR(INDEX(绊状态确认!C:C,MATCH($G571,绊状态确认!$B:$B,)),"")</f>
        <v>7</v>
      </c>
      <c r="I571" s="1124" t="str">
        <f>IFERROR(INDEX(绊状态确认!D:D,MATCH($G571,绊状态确认!$B:$B,)),"")</f>
        <v>缪</v>
      </c>
      <c r="J571" s="1124" t="str">
        <f>IFERROR(INDEX(绊状态确认!E:E,MATCH($G571,绊状态确认!$B:$B,)),"")</f>
        <v>3年级</v>
      </c>
      <c r="K571" s="451" t="str">
        <f>IFERROR(INDEX(绊状态确认!F:F,MATCH($G571,绊状态确认!$B:$B,)),"")</f>
        <v>lilywhite</v>
      </c>
      <c r="L571" s="1094" t="str">
        <f>INDEX('卡片raw data'!E:E,MATCH($D571,'卡片raw data'!$F:$F,))</f>
        <v>卡池卡</v>
      </c>
      <c r="M571" s="1065">
        <v>44499</v>
      </c>
      <c r="N571" s="1027">
        <v>50.5</v>
      </c>
      <c r="O571" s="1091" t="str">
        <f>INDEX('卡片raw data'!D:D,MATCH($D571,'卡片raw data'!$F:$F,))</f>
        <v>vo</v>
      </c>
      <c r="P571" s="1126">
        <v>5</v>
      </c>
      <c r="Q571" s="1095">
        <f t="shared" si="688"/>
        <v>39092.559830348771</v>
      </c>
      <c r="R571" s="1096">
        <f t="shared" si="689"/>
        <v>0.45400000000000001</v>
      </c>
      <c r="S571" s="1097">
        <f t="shared" si="690"/>
        <v>16231.565375752223</v>
      </c>
      <c r="T571" s="1098">
        <f t="shared" si="691"/>
        <v>0.81100000000000005</v>
      </c>
      <c r="U571" s="1099">
        <f t="shared" si="692"/>
        <v>-10.068633167967144</v>
      </c>
      <c r="V571" s="1100">
        <f t="shared" si="693"/>
        <v>38986.247132248231</v>
      </c>
      <c r="W571" s="1101">
        <f t="shared" si="694"/>
        <v>5382.725742113802</v>
      </c>
      <c r="X571" s="1096">
        <f t="shared" si="695"/>
        <v>6.2E-2</v>
      </c>
      <c r="Y571" s="1097">
        <f t="shared" si="696"/>
        <v>1198.3557521411549</v>
      </c>
      <c r="Z571" s="1102">
        <f t="shared" si="697"/>
        <v>14.931366832032856</v>
      </c>
      <c r="AA571" s="1103">
        <f t="shared" si="698"/>
        <v>6581.0814942549569</v>
      </c>
      <c r="AB571" s="1101">
        <f t="shared" si="699"/>
        <v>6184.0984509362006</v>
      </c>
      <c r="AC571" s="1104">
        <f t="shared" si="700"/>
        <v>7.0999999999999994E-2</v>
      </c>
      <c r="AD571" s="1105">
        <f t="shared" si="701"/>
        <v>-3.8207812500000026E-3</v>
      </c>
      <c r="AE571" s="1128">
        <f t="shared" si="702"/>
        <v>-12.27536231884058</v>
      </c>
      <c r="AF571" s="1130">
        <f t="shared" si="703"/>
        <v>0</v>
      </c>
      <c r="AG571" s="1097">
        <f t="shared" si="704"/>
        <v>0</v>
      </c>
      <c r="AH571" s="1097">
        <f t="shared" si="705"/>
        <v>0</v>
      </c>
      <c r="AI571" s="1097">
        <f t="shared" si="706"/>
        <v>0</v>
      </c>
      <c r="AJ571" s="1097">
        <f t="shared" si="707"/>
        <v>0</v>
      </c>
      <c r="AK571" s="1129">
        <f t="shared" si="708"/>
        <v>0</v>
      </c>
      <c r="AL571" s="1106">
        <f>IF($P571="","N/A",(IF($P571=-1,INDEX('卡片raw data'!S:S,MATCH($D571,'卡片raw data'!$F:$F,)),0)+IF($P571=0,INDEX('卡片raw data'!V:V,MATCH($D571,'卡片raw data'!$F:$F,)),0)+IF($P571=1,INDEX('卡片raw data'!Y:Y,MATCH($D571,'卡片raw data'!$F:$F,)),0)+IF($P571=2,INDEX('卡片raw data'!AB:AB,MATCH($D571,'卡片raw data'!$F:$F,)),0)+IF($P571=3,INDEX('卡片raw data'!AE:AE,MATCH($D571,'卡片raw data'!$F:$F,)),0)+IF($P571=4,INDEX('卡片raw data'!AH:AH,MATCH($D571,'卡片raw data'!$F:$F,)),0)+IF($P571=5,INDEX('卡片raw data'!AK:AK,MATCH($D571,'卡片raw data'!$F:$F,)),0)+INDEX('卡片raw data'!S:S,MATCH($D571,'卡片raw data'!$F:$F,))*(IF($F571="UR",0.04,0.033))*(IF($F571="UR",INDEX(绊状态确认!$S:$S,MATCH($G571,绊状态确认!$B:$B,))/2-40)+IF($F571="SR",INDEX(绊状态确认!$R:$R,MATCH($G571,绊状态确认!$B:$B,))/4-15))+IF($F571="R",INDEX(绊状态确认!$Q:$Q,MATCH($G571,绊状态确认!$B:$B,))/6-40/6)))*(INDEX(绊状态确认!$H:$H,MATCH($G571,绊状态确认!$B:$B,))+INDEX(绊状态确认!J:J,MATCH($G571,绊状态确认!$B:$B,)))</f>
        <v>8932.8858431999997</v>
      </c>
      <c r="AM571" s="1106">
        <f>IF($P571="","N/A",(IF($P571=-1,INDEX('卡片raw data'!T:T,MATCH($D571,'卡片raw data'!$F:$F,)),0)+IF($P571=0,INDEX('卡片raw data'!W:W,MATCH($D571,'卡片raw data'!$F:$F,)),0)+IF($P571=1,INDEX('卡片raw data'!Z:Z,MATCH($D571,'卡片raw data'!$F:$F,)),0)+IF($P571=2,INDEX('卡片raw data'!AC:AC,MATCH($D571,'卡片raw data'!$F:$F,)),0)+IF($P571=3,INDEX('卡片raw data'!AF:AF,MATCH($D571,'卡片raw data'!$F:$F,)),0)+IF($P571=4,INDEX('卡片raw data'!AI:AI,MATCH($D571,'卡片raw data'!$F:$F,)),0)+IF($P571=5,INDEX('卡片raw data'!AL:AL,MATCH($D571,'卡片raw data'!$F:$F,)),0)+INDEX('卡片raw data'!T:T,MATCH($D571,'卡片raw data'!$F:$F,))*(IF($F571="UR",0.04,0.033))*(IF($F571="UR",INDEX(绊状态确认!$S:$S,MATCH($G571,绊状态确认!$B:$B,))/2-40)+IF($F571="SR",INDEX(绊状态确认!$R:$R,MATCH($G571,绊状态确认!$B:$B,))/4-15))+IF($F571="R",INDEX(绊状态确认!$Q:$Q,MATCH($G571,绊状态确认!$B:$B,))/6-40/6)))*(INDEX(绊状态确认!$H:$H,MATCH($G571,绊状态确认!$B:$B,))+INDEX(绊状态确认!K:K,MATCH($G571,绊状态确认!$B:$B,)))</f>
        <v>8228.5292135999989</v>
      </c>
      <c r="AN571" s="1106">
        <f>IF($P571="","N/A",(IF($P571=-1,INDEX('卡片raw data'!U:U,MATCH($D571,'卡片raw data'!$F:$F,)),0)+IF($P571=0,INDEX('卡片raw data'!X:X,MATCH($D571,'卡片raw data'!$F:$F,)),0)+IF($P571=1,INDEX('卡片raw data'!AA:AA,MATCH($D571,'卡片raw data'!$F:$F,)),0)+IF($P571=2,INDEX('卡片raw data'!AD:AD,MATCH($D571,'卡片raw data'!$F:$F,)),0)+IF($P571=3,INDEX('卡片raw data'!AG:AG,MATCH($D571,'卡片raw data'!$F:$F,)),0)+IF($P571=4,INDEX('卡片raw data'!AJ:AJ,MATCH($D571,'卡片raw data'!$F:$F,)),0)+IF($P571=5,INDEX('卡片raw data'!AM:AM,MATCH($D571,'卡片raw data'!$F:$F,)),0)+INDEX('卡片raw data'!U:U,MATCH($D571,'卡片raw data'!$F:$F,))*(IF($F571="UR",0.04,0.033))*(IF($F571="UR",INDEX(绊状态确认!$S:$S,MATCH($G571,绊状态确认!$B:$B,))/2-40)+IF($F571="SR",INDEX(绊状态确认!$R:$R,MATCH($G571,绊状态确认!$B:$B,))/4-15))+IF($F571="R",INDEX(绊状态确认!$Q:$Q,MATCH($G571,绊状态确认!$B:$B,))/6-40/6)))*(INDEX(绊状态确认!$H:$H,MATCH($G571,绊状态确认!$B:$B,))+INDEX(绊状态确认!L:L,MATCH($G571,绊状态确认!$B:$B,)))</f>
        <v>6346.0280663999993</v>
      </c>
      <c r="AO571" s="1107">
        <f t="shared" si="709"/>
        <v>1</v>
      </c>
      <c r="AP571" s="1131">
        <f>1+(INDEX(绊状态确认!$T:$T,MATCH($G571,绊状态确认!$B:$B,))+0.2)*$AO571</f>
        <v>1.3</v>
      </c>
      <c r="AQ571" s="1108">
        <f t="shared" si="710"/>
        <v>26698.825338400002</v>
      </c>
      <c r="AR571" s="1097">
        <f>(AM571*(1+$EX$9)+$EX$35)*(1+(INDEX(绊状态确认!$T:$T,MATCH($G571,绊状态确认!$B:$B,))+0.2)*AO571)*IF(J571=$FF$17,1+$FE$17,1)*IF(I571=$FF$14,1+$FE$14,1)</f>
        <v>13935.942376564</v>
      </c>
      <c r="AS571" s="1097">
        <f>(AN571*(1+$EX$10)+$EX$36)*(1+(INDEX(绊状态确认!$T:$T,MATCH($G571,绊状态确认!$B:$B,))+0.2)*AO571)*IF(J571=$FF$17,1+$FE$17,1)*IF(I571=$FF$14,1+$FE$14,1)</f>
        <v>13543.311959268</v>
      </c>
      <c r="AT571" s="1093">
        <f>IF(AND(INDEX('卡片raw data'!AK:AK,MATCH($D571,'卡片raw data'!$F:$F,))&lt;INDEX('卡片raw data'!AM:AM,MATCH($D571,'卡片raw data'!$F:$F,)),INDEX('卡片raw data'!AL:AL,MATCH($D571,'卡片raw data'!$F:$F,))&lt;INDEX('卡片raw data'!AM:AM,MATCH($D571,'卡片raw data'!$F:$F,))),1,0)</f>
        <v>0</v>
      </c>
      <c r="AU571" s="1098">
        <f>MIN(AT571*0.15+AS571*0.00003+INDEX(绊状态确认!M:M,MATCH($G571,绊状态确认!$B:$B,)),1)</f>
        <v>0.43629935877804005</v>
      </c>
      <c r="AV571" s="1109">
        <f>(INDEX(绊状态确认!$N:$N,MATCH($G571,绊状态确认!$B:$B,))+1.5)*$EW$21</f>
        <v>2.6599999999999997</v>
      </c>
      <c r="AW571" s="1101">
        <f t="shared" si="711"/>
        <v>23908.454305177649</v>
      </c>
      <c r="AX571" s="1097">
        <f t="shared" si="712"/>
        <v>1198.3557521411549</v>
      </c>
      <c r="AY571" s="1110">
        <f t="shared" si="713"/>
        <v>25106.810057318806</v>
      </c>
      <c r="AZ571" s="1106">
        <f t="shared" si="714"/>
        <v>20019.12739424</v>
      </c>
      <c r="BA571" s="1108">
        <f t="shared" si="715"/>
        <v>24022.952873088001</v>
      </c>
      <c r="BB571" s="1097">
        <f>(AM571*(1+$FB$9)+$FB$35)*(1+(INDEX(绊状态确认!$T:$T,MATCH($G571,绊状态确认!$B:$B,))+0.2)*AO571)*IF(J571=$FF$17,1+$FE$17,1)*IF(I571=$FF$14,1+$FE$14,1)*(1+$FE$15)</f>
        <v>13935.942376564</v>
      </c>
      <c r="BC571" s="1097">
        <f>(AN571*(1+$FB$10)+$FB$36)*(1+(INDEX(绊状态确认!$T:$T,MATCH($G571,绊状态确认!$B:$B,))+0.2)*AO571)*IF(J571=$FF$17,1+$FE$17,1)*IF(I571=$FF$14,1+$FE$14,1)*(1+$FE$15)</f>
        <v>13543.311959268</v>
      </c>
      <c r="BD571" s="1104">
        <f>MIN(AT571*0.15+BC571*0.00003+INDEX(绊状态确认!M:M,MATCH($G571,绊状态确认!$B:$B,)),1)</f>
        <v>0.43629935877804005</v>
      </c>
      <c r="BE571" s="1109">
        <f>(INDEX(绊状态确认!$N:$N,MATCH($G571,绊状态确认!$B:$B,))+1.5)</f>
        <v>1.9</v>
      </c>
      <c r="BF571" s="1139">
        <f t="array" ref="BF571">SUMPRODUCT(IF(AZ571*AP571*$FI$16:$FI$23*$FA$22&gt;=$FI$24,$FI$24,AZ571*AP571*$FI$16:$FI$23*$FA$22),$FJ$16:$FJ$23)</f>
        <v>39818.04438714336</v>
      </c>
      <c r="BG571" s="1125">
        <f t="array" ref="BG571">SUMPRODUCT(IF(BE571*AZ571*AP571*$FI$16:$FI$23*$FA$22&gt;=$FI$24,$FI$24,BE571*AZ571*AP571*$FI$16:$FI$23*$FA$22),$FJ$16:$FJ$23)</f>
        <v>59933.669359652733</v>
      </c>
      <c r="BH571" s="1110">
        <f t="shared" si="716"/>
        <v>16198.159554689575</v>
      </c>
      <c r="BI571" s="1111">
        <f>IF(O571="vo",$EW$26/$EW$24*0.05,0)+IF(O571="sk",-$EW$26/$EW$24*(0.05-INDEX(绊状态确认!W:W,MATCH($G571,绊状态确认!$B:$B,)))+0.05*$EW$28,0)+IF(O571="sp",0.05*$EW$32*$EW$30*(1-$EW$33)-(0.05-INDEX(绊状态确认!V:V,MATCH($G571,绊状态确认!$B:$B,)))*$EW$28,0)+IF(O571="gd",-(0.05-INDEX(绊状态确认!X:X,MATCH($G571,绊状态确认!$B:$B,)))*$EW$32*$EW$30*(1-$EW$33),0)</f>
        <v>7726.3029277443748</v>
      </c>
      <c r="BJ571" s="1097">
        <f>IF(O571="vo",0.05*(1-$FI$26)*$FA$24,0)+IF(O571="sk",-(0.05-INDEX(绊状态确认!W:W,MATCH($G571,绊状态确认!$B:$B,)))*(1-$FI$26)*$FA$24+0.05*$FA$26,0)+IF(O571="sp",0.05*$FA$32*$FA$27*(1-$FA$33)/$FA$30+0.05*$FA$29/$FA$69*$FA$27*(1-$FA$33)-(0.05-INDEX(绊状态确认!V:V,MATCH($G571,绊状态确认!$B:$B,)))*$FA$26,0)+IF(O571="gd",-(0.05-INDEX(绊状态确认!X:X,MATCH($G571,绊状态确认!$B:$B,)))*$FA$32*$FA$27*(1-$FA$33)/$FA$30-(0.05-INDEX(绊状态确认!X:X,MATCH($G571,绊状态确认!$B:$B,)))*$FA$29/$FA$69*$FA$27*(1-$FA$33),0)</f>
        <v>393.93433687500004</v>
      </c>
      <c r="BK571" s="1110">
        <f>IF(O571="vo",$EW$26/$EW$24*0.05+$EW$26*(-HP($EW$62,$EW$65,$EW$64)+HP($EW$62,$EW$65,(1.05-INDEX(绊状态确认!U:U,MATCH($G571,绊状态确认!$B:$B,)))*$EW$64)),0)+IF(O571="sk",-$EW$26/$EW$24*(0.05-INDEX(绊状态确认!W:W,MATCH($G571,绊状态确认!$B:$B,)))+0.05*$EW$29,0)+IF(O571="sp",0.05*$EW$32*$EW$30*(1-$EW$33)-(0.05-INDEX(绊状态确认!V:V,MATCH($G571,绊状态确认!$B:$B,)))*$EW$29,0)+IF(O571="gd",-(0.05-INDEX(绊状态确认!X:X,MATCH($G571,绊状态确认!$B:$B,)))*$EW$32*$EW$30*(1-$EW$33)+$EW$26*(-HP($EW$62,$EW$65,$EW$64)+HP($EW$62,$EW$65,0.95*$EW$64)),0)</f>
        <v>6421.6344775026746</v>
      </c>
      <c r="BL571" s="1111">
        <f t="shared" si="717"/>
        <v>-1083.3333333333333</v>
      </c>
      <c r="BM571" s="1110">
        <f t="shared" si="718"/>
        <v>-830.55555555555543</v>
      </c>
      <c r="BN571" s="1113">
        <f t="shared" si="719"/>
        <v>3</v>
      </c>
      <c r="BO571" s="1108">
        <f t="shared" si="720"/>
        <v>4507.7214871259994</v>
      </c>
      <c r="BP571" s="1127">
        <f t="shared" si="721"/>
        <v>221.34103209030098</v>
      </c>
      <c r="BQ571" s="1167" t="s">
        <v>1940</v>
      </c>
      <c r="BR571" s="1165" t="s">
        <v>2075</v>
      </c>
      <c r="BS571" s="1098">
        <f>IF($P571="","N/A",IF($P571=-1,INDEX('卡片raw data'!AX:AX,MATCH($D571,'卡片raw data'!$F:$F,)),0)+IF($L571="party卡",IF($P571=5,INDEX('卡片raw data'!BD:BD,MATCH($D571,'卡片raw data'!$F:$F,)),IF($P571&gt;=3,INDEX('卡片raw data'!BC:BC,MATCH($D571,'卡片raw data'!$F:$F,)),INDEX('卡片raw data'!BB:BB,MATCH($D571,'卡片raw data'!$F:$F,)))),IF(OR(AND($F571="UR",$P571=0),AND($F571="SR",$P571&gt;=0,$P571&lt;=2),AND($F571="R",$P571&gt;=0,$P571&lt;4)),INDEX('卡片raw data'!AZ:AZ,MATCH($D571,'卡片raw data'!$F:$F,)),0)+IF(OR(AND($F571="UR",$P571&gt;=1,$P571&lt;=4),AND($F571="SR",$P571&lt;=4,$P571&gt;=3),AND($F571="R",$P571=4)),INDEX('卡片raw data'!BA:BA,MATCH($D571,'卡片raw data'!$F:$F,)),0)+IF($P571=5,INDEX('卡片raw data'!BB:BB,MATCH($D571,'卡片raw data'!$F:$F,)),0)))</f>
        <v>3.2000000000000001E-2</v>
      </c>
      <c r="BT571" s="1101">
        <f t="shared" si="722"/>
        <v>1602.7454176448</v>
      </c>
      <c r="BU571" s="1097">
        <f t="shared" si="723"/>
        <v>68.861654428093644</v>
      </c>
      <c r="BV571" s="1097">
        <f t="shared" si="724"/>
        <v>801.37270882240011</v>
      </c>
      <c r="BW571" s="1112">
        <f t="shared" si="725"/>
        <v>0</v>
      </c>
      <c r="BX571" s="1100">
        <f t="shared" si="726"/>
        <v>1602.7454176448</v>
      </c>
      <c r="BY571" s="1110">
        <f t="shared" si="727"/>
        <v>801.37270882240011</v>
      </c>
      <c r="BZ571" s="1113" t="s">
        <v>569</v>
      </c>
      <c r="CA571" s="1124"/>
      <c r="CB571" s="1098">
        <v>0</v>
      </c>
      <c r="CC571" s="1101">
        <f t="shared" si="786"/>
        <v>0</v>
      </c>
      <c r="CD571" s="1097">
        <f>IF(BZ571="ap",CB571*(1-$FI$26)*$FB$5/$FB$11*(+IF(CA571="全员",$FA$24,0)+IF(CA571="同作战",$FA$24,0)+IF(CA571="仲间",$FA$24*2/3,0)+IF(CA571="同属性",$FA$24*$FA$37/3,0)+IF(CA571="同年级",$FA$24*$FA$40/3,0)+IF(CA571="同学校",$FA$24*$FA$43/3,0)+IF(CA571="同小队",$FA$24*$FA$46/3,0)+IF(CA571="同type",$FA$24*INDEX($FB$49:$FB$52,MATCH(X571,$FA$49:$FA$52,))/3,0)+IF(CA571="自身",#REF!/3,0)),0)+IF(BZ571="te",CB571*(1-$FI$27)*($FA$20-1)*$FB$7/$FB$13*(+IF(CA571="全员",$FA$19*$FA$24/(1+($FA$20-1)*$FA$19),0)+IF(CA571="同作战",$FA$19*$FA$24/(1+($FA$20-1)*$FA$19),0)+IF(CA571="仲间",$FA$19*$FA$24*2/3/(1+($FA$20-1)*$FA$19),0)+IF(CA571="同属性",$FA$19*$FA$24*$FA$37/3/(1+($FA$20-1)*$FA$19),0)+IF(CA571="同年级",$FA$19*$FA$24*$FA$40/3/(1+($FA$20-1)*$FA$19),0)+IF(CA571="同学校",$FA$19*$FA$24*$FA$43/3/(1+($FA$20-1)*$FA$19),0)+IF(CA571="同小队",$FA$19*$FA$24*$FA$46/3/(1+($FA$20-1)*$FA$19),0)+IF(CA571="同type",$FA$19*$FA$24*INDEX($FB$49:$FB$52,MATCH(X571,$FA$49:$FA$52,))/3/(1+($FA$20-1)*$FA$19),0)+IF(CA571="自身",$FA$19*#REF!/3/(1+(BH571-1)*$BD571),0)),0)</f>
        <v>0</v>
      </c>
      <c r="CE571" s="1097">
        <f t="shared" si="729"/>
        <v>0</v>
      </c>
      <c r="CF571" s="1112">
        <f t="shared" si="787"/>
        <v>0</v>
      </c>
      <c r="CG571" s="1100">
        <f t="shared" si="731"/>
        <v>0</v>
      </c>
      <c r="CH571" s="1110">
        <f t="shared" si="732"/>
        <v>0</v>
      </c>
      <c r="CI571" s="1167" t="s">
        <v>4652</v>
      </c>
      <c r="CJ571" s="1168">
        <v>0.3</v>
      </c>
      <c r="CK571" s="1169" t="s">
        <v>2046</v>
      </c>
      <c r="CL571" s="1169" t="s">
        <v>1940</v>
      </c>
      <c r="CM571" s="1166">
        <v>0.3</v>
      </c>
      <c r="CN571" s="1169"/>
      <c r="CO571" s="1169"/>
      <c r="CP571" s="1116">
        <f t="shared" si="733"/>
        <v>66.937769241274282</v>
      </c>
      <c r="CQ571" s="1116">
        <f t="shared" si="734"/>
        <v>93.689516205043205</v>
      </c>
      <c r="CR571" s="1116">
        <f t="shared" si="735"/>
        <v>66.937769241274282</v>
      </c>
      <c r="CS571" s="1118">
        <f t="shared" si="782"/>
        <v>0</v>
      </c>
      <c r="CT571" s="1109">
        <f t="shared" si="783"/>
        <v>0</v>
      </c>
      <c r="CU571" s="1101">
        <f t="shared" si="738"/>
        <v>73.631546165401716</v>
      </c>
      <c r="CV571" s="1108">
        <f t="shared" si="777"/>
        <v>93.689516205043205</v>
      </c>
      <c r="CW571" s="1097">
        <f t="shared" si="739"/>
        <v>73.631546165401716</v>
      </c>
      <c r="CX571" s="1097">
        <f t="shared" si="740"/>
        <v>73.631546165401716</v>
      </c>
      <c r="CY571" s="1110">
        <f t="shared" si="741"/>
        <v>73.631546165401716</v>
      </c>
      <c r="CZ571" s="1113"/>
      <c r="DA571" s="1114"/>
      <c r="DB571" s="1115" t="s">
        <v>569</v>
      </c>
      <c r="DC571" s="1115"/>
      <c r="DD571" s="1119"/>
      <c r="DE571" s="1092"/>
      <c r="DF571" s="1092"/>
      <c r="DG571" s="1116">
        <f t="shared" si="742"/>
        <v>0</v>
      </c>
      <c r="DH571" s="1116">
        <f t="shared" si="743"/>
        <v>0</v>
      </c>
      <c r="DI571" s="1116">
        <f t="shared" si="744"/>
        <v>0</v>
      </c>
      <c r="DJ571" s="1118">
        <f t="shared" si="784"/>
        <v>0</v>
      </c>
      <c r="DK571" s="1109">
        <f t="shared" si="785"/>
        <v>0</v>
      </c>
      <c r="DL571" s="1101">
        <f t="shared" si="747"/>
        <v>0</v>
      </c>
      <c r="DM571" s="1097">
        <f t="shared" si="748"/>
        <v>0</v>
      </c>
      <c r="DN571" s="1097">
        <f t="shared" si="749"/>
        <v>0</v>
      </c>
      <c r="DO571" s="1097">
        <f t="shared" si="750"/>
        <v>0</v>
      </c>
      <c r="DP571" s="1110">
        <f t="shared" si="751"/>
        <v>0</v>
      </c>
      <c r="DQ571" s="1167" t="s">
        <v>2286</v>
      </c>
      <c r="DR571" s="1120">
        <f t="shared" si="788"/>
        <v>0.3</v>
      </c>
      <c r="DS571" s="1165">
        <v>5</v>
      </c>
      <c r="DT571" s="1165" t="s">
        <v>2075</v>
      </c>
      <c r="DU571" s="1165" t="s">
        <v>2145</v>
      </c>
      <c r="DV571" s="1098">
        <f>IF($P571="","N/A",IF(P571=-1,INDEX('卡片raw data'!AN:AN,MATCH(D571,'卡片raw data'!$F:$F,)),0)+IF(AND(L571&lt;&gt;"party卡",P571&lt;=2,P571&gt;=0),INDEX('卡片raw data'!AP:AP,MATCH(D571,'卡片raw data'!$F:$F,)),0)+IF(OR(AND(L571="party卡",P571&lt;=1),AND(P571&lt;=4,L571&lt;&gt;"party卡",P571&gt;=3)),INDEX('卡片raw data'!AQ:AQ,MATCH(D571,'卡片raw data'!$F:$F,)),0)+IF(OR(P571=5,AND(L571="party卡",P571&gt;=2)),INDEX('卡片raw data'!AR:AR,MATCH(D571,'卡片raw data'!$F:$F,)),0))</f>
        <v>5.1999999999999998E-2</v>
      </c>
      <c r="DW571" s="1098">
        <f t="shared" si="752"/>
        <v>0.3</v>
      </c>
      <c r="DX571" s="1098">
        <f t="shared" si="753"/>
        <v>0.3</v>
      </c>
      <c r="DY571" s="1098">
        <f t="shared" si="754"/>
        <v>1.7333333333333333E-2</v>
      </c>
      <c r="DZ571" s="1098">
        <f t="shared" si="755"/>
        <v>1.3119166666666666E-2</v>
      </c>
      <c r="EA571" s="1098">
        <f t="shared" si="756"/>
        <v>0</v>
      </c>
      <c r="EB571" s="1121">
        <f t="shared" si="757"/>
        <v>0</v>
      </c>
      <c r="EC571" s="1101">
        <f t="shared" si="758"/>
        <v>2357.037479823884</v>
      </c>
      <c r="ED571" s="1097">
        <f t="shared" si="759"/>
        <v>86.134837019765627</v>
      </c>
      <c r="EE571" s="1110">
        <f t="shared" si="775"/>
        <v>2357.037479823884</v>
      </c>
      <c r="EF571" s="1113" t="s">
        <v>569</v>
      </c>
      <c r="EG571" s="1120">
        <f t="shared" si="789"/>
        <v>0.3</v>
      </c>
      <c r="EH571" s="1124"/>
      <c r="EI571" s="1124"/>
      <c r="EJ571" s="1124"/>
      <c r="EK571" s="1097">
        <f>IF($P571="","N/A",IF(P571=-1,INDEX('卡片raw data'!AS:AS,MATCH(D571,'卡片raw data'!$F:$F,)),0)+IF(AND(L571&lt;&gt;"party卡",P571&lt;=2,P571&gt;=0),INDEX('卡片raw data'!AU:AU,MATCH(D571,'卡片raw data'!$F:$F,)),0)+IF(OR(AND(L571="party卡",P571&lt;=1),AND(P571&lt;=4,L571&lt;&gt;"party卡",P571&gt;=3)),INDEX('卡片raw data'!AV:AV,MATCH(D571,'卡片raw data'!$F:$F,)),0)+IF(OR(P571=5,AND(L571="party卡",P571&gt;=2)),INDEX('卡片raw data'!AW:AW,MATCH(D571,'卡片raw data'!$F:$F,)),0))</f>
        <v>0</v>
      </c>
      <c r="EL571" s="1098">
        <f t="shared" si="760"/>
        <v>0.3</v>
      </c>
      <c r="EM571" s="1098">
        <f t="shared" si="761"/>
        <v>0.3</v>
      </c>
      <c r="EN571" s="1097">
        <f t="shared" si="762"/>
        <v>0</v>
      </c>
      <c r="EO571" s="1097">
        <f t="shared" si="763"/>
        <v>0</v>
      </c>
      <c r="EP571" s="1098">
        <f t="shared" si="764"/>
        <v>0</v>
      </c>
      <c r="EQ571" s="1121">
        <f t="shared" si="765"/>
        <v>0</v>
      </c>
      <c r="ER571" s="1101">
        <f t="shared" si="766"/>
        <v>0</v>
      </c>
      <c r="ES571" s="1097">
        <f t="shared" si="767"/>
        <v>0</v>
      </c>
      <c r="ET571" s="1122">
        <f t="shared" si="776"/>
        <v>0</v>
      </c>
    </row>
    <row r="572" spans="2:150" ht="16.5" customHeight="1">
      <c r="B572" s="1123" t="str">
        <f>INDEX('卡片raw data'!B:B,MATCH($D572,'卡片raw data'!$F:$F,))</f>
        <v>女仆雫</v>
      </c>
      <c r="C572" s="1025" t="s">
        <v>4667</v>
      </c>
      <c r="D572" s="408">
        <v>569</v>
      </c>
      <c r="E572" s="1164">
        <v>402033005</v>
      </c>
      <c r="F572" s="1090" t="str">
        <f>INDEX('卡片raw data'!C:C,MATCH($D572,'卡片raw data'!$F:$F,))</f>
        <v>UR</v>
      </c>
      <c r="G572" s="1026" t="s">
        <v>4668</v>
      </c>
      <c r="H572" s="411">
        <f>IFERROR(INDEX(绊状态确认!C:C,MATCH($G572,绊状态确认!$B:$B,)),"")</f>
        <v>203</v>
      </c>
      <c r="I572" s="1124" t="str">
        <f>IFERROR(INDEX(绊状态确认!D:D,MATCH($G572,绊状态确认!$B:$B,)),"")</f>
        <v>虹</v>
      </c>
      <c r="J572" s="1124" t="str">
        <f>IFERROR(INDEX(绊状态确认!E:E,MATCH($G572,绊状态确认!$B:$B,)),"")</f>
        <v>1年级</v>
      </c>
      <c r="K572" s="451" t="str">
        <f>IFERROR(INDEX(绊状态确认!F:F,MATCH($G572,绊状态确认!$B:$B,)),"")</f>
        <v>A·ZU·NA</v>
      </c>
      <c r="L572" s="1094" t="str">
        <f>INDEX('卡片raw data'!E:E,MATCH($D572,'卡片raw data'!$F:$F,))</f>
        <v>卡池卡</v>
      </c>
      <c r="M572" s="1065">
        <v>44504</v>
      </c>
      <c r="N572" s="1027">
        <v>51</v>
      </c>
      <c r="O572" s="1091" t="str">
        <f>INDEX('卡片raw data'!D:D,MATCH($D572,'卡片raw data'!$F:$F,))</f>
        <v>vo</v>
      </c>
      <c r="P572" s="1126">
        <v>5</v>
      </c>
      <c r="Q572" s="1095">
        <f t="shared" si="688"/>
        <v>81933.011472869213</v>
      </c>
      <c r="R572" s="1096">
        <f t="shared" si="689"/>
        <v>0.95199999999999996</v>
      </c>
      <c r="S572" s="1097">
        <f t="shared" si="690"/>
        <v>21285.395188375518</v>
      </c>
      <c r="T572" s="1098">
        <f t="shared" si="691"/>
        <v>1.0640000000000001</v>
      </c>
      <c r="U572" s="1099">
        <f t="shared" si="692"/>
        <v>-9.3816915558571452</v>
      </c>
      <c r="V572" s="1100">
        <f t="shared" si="693"/>
        <v>81883.608738565759</v>
      </c>
      <c r="W572" s="1101">
        <f t="shared" si="694"/>
        <v>4507.7214871259994</v>
      </c>
      <c r="X572" s="1096">
        <f t="shared" si="695"/>
        <v>5.1999999999999998E-2</v>
      </c>
      <c r="Y572" s="1097">
        <f t="shared" si="696"/>
        <v>1255.2657159382388</v>
      </c>
      <c r="Z572" s="1102">
        <f t="shared" si="697"/>
        <v>15.618308444142855</v>
      </c>
      <c r="AA572" s="1103">
        <f t="shared" si="698"/>
        <v>5762.9872030642382</v>
      </c>
      <c r="AB572" s="1101">
        <f t="shared" si="699"/>
        <v>14319.729828336651</v>
      </c>
      <c r="AC572" s="1104">
        <f t="shared" si="700"/>
        <v>0.16600000000000001</v>
      </c>
      <c r="AD572" s="1105">
        <f t="shared" si="701"/>
        <v>0</v>
      </c>
      <c r="AE572" s="1128">
        <f t="shared" si="702"/>
        <v>0</v>
      </c>
      <c r="AF572" s="1130">
        <f t="shared" si="703"/>
        <v>0</v>
      </c>
      <c r="AG572" s="1097">
        <f t="shared" si="704"/>
        <v>0</v>
      </c>
      <c r="AH572" s="1097">
        <f t="shared" si="705"/>
        <v>0</v>
      </c>
      <c r="AI572" s="1097">
        <f t="shared" si="706"/>
        <v>0</v>
      </c>
      <c r="AJ572" s="1097">
        <f t="shared" si="707"/>
        <v>0</v>
      </c>
      <c r="AK572" s="1129">
        <f t="shared" si="708"/>
        <v>0</v>
      </c>
      <c r="AL572" s="1106">
        <f>IF($P572="","N/A",(IF($P572=-1,INDEX('卡片raw data'!S:S,MATCH($D572,'卡片raw data'!$F:$F,)),0)+IF($P572=0,INDEX('卡片raw data'!V:V,MATCH($D572,'卡片raw data'!$F:$F,)),0)+IF($P572=1,INDEX('卡片raw data'!Y:Y,MATCH($D572,'卡片raw data'!$F:$F,)),0)+IF($P572=2,INDEX('卡片raw data'!AB:AB,MATCH($D572,'卡片raw data'!$F:$F,)),0)+IF($P572=3,INDEX('卡片raw data'!AE:AE,MATCH($D572,'卡片raw data'!$F:$F,)),0)+IF($P572=4,INDEX('卡片raw data'!AH:AH,MATCH($D572,'卡片raw data'!$F:$F,)),0)+IF($P572=5,INDEX('卡片raw data'!AK:AK,MATCH($D572,'卡片raw data'!$F:$F,)),0)+INDEX('卡片raw data'!S:S,MATCH($D572,'卡片raw data'!$F:$F,))*(IF($F572="UR",0.04,0.033))*(IF($F572="UR",INDEX(绊状态确认!$S:$S,MATCH($G572,绊状态确认!$B:$B,))/2-40)+IF($F572="SR",INDEX(绊状态确认!$R:$R,MATCH($G572,绊状态确认!$B:$B,))/4-15))+IF($F572="R",INDEX(绊状态确认!$Q:$Q,MATCH($G572,绊状态确认!$B:$B,))/6-40/6)))*(INDEX(绊状态确认!$H:$H,MATCH($G572,绊状态确认!$B:$B,))+INDEX(绊状态确认!J:J,MATCH($G572,绊状态确认!$B:$B,)))</f>
        <v>15883.235519999997</v>
      </c>
      <c r="AM572" s="1106">
        <f>IF($P572="","N/A",(IF($P572=-1,INDEX('卡片raw data'!T:T,MATCH($D572,'卡片raw data'!$F:$F,)),0)+IF($P572=0,INDEX('卡片raw data'!W:W,MATCH($D572,'卡片raw data'!$F:$F,)),0)+IF($P572=1,INDEX('卡片raw data'!Z:Z,MATCH($D572,'卡片raw data'!$F:$F,)),0)+IF($P572=2,INDEX('卡片raw data'!AC:AC,MATCH($D572,'卡片raw data'!$F:$F,)),0)+IF($P572=3,INDEX('卡片raw data'!AF:AF,MATCH($D572,'卡片raw data'!$F:$F,)),0)+IF($P572=4,INDEX('卡片raw data'!AI:AI,MATCH($D572,'卡片raw data'!$F:$F,)),0)+IF($P572=5,INDEX('卡片raw data'!AL:AL,MATCH($D572,'卡片raw data'!$F:$F,)),0)+INDEX('卡片raw data'!T:T,MATCH($D572,'卡片raw data'!$F:$F,))*(IF($F572="UR",0.04,0.033))*(IF($F572="UR",INDEX(绊状态确认!$S:$S,MATCH($G572,绊状态确认!$B:$B,))/2-40)+IF($F572="SR",INDEX(绊状态确认!$R:$R,MATCH($G572,绊状态确认!$B:$B,))/4-15))+IF($F572="R",INDEX(绊状态确认!$Q:$Q,MATCH($G572,绊状态确认!$B:$B,))/6-40/6)))*(INDEX(绊状态确认!$H:$H,MATCH($G572,绊状态确认!$B:$B,))+INDEX(绊状态确认!K:K,MATCH($G572,绊状态确认!$B:$B,)))</f>
        <v>8698.2328799999996</v>
      </c>
      <c r="AN572" s="1106">
        <f>IF($P572="","N/A",(IF($P572=-1,INDEX('卡片raw data'!U:U,MATCH($D572,'卡片raw data'!$F:$F,)),0)+IF($P572=0,INDEX('卡片raw data'!X:X,MATCH($D572,'卡片raw data'!$F:$F,)),0)+IF($P572=1,INDEX('卡片raw data'!AA:AA,MATCH($D572,'卡片raw data'!$F:$F,)),0)+IF($P572=2,INDEX('卡片raw data'!AD:AD,MATCH($D572,'卡片raw data'!$F:$F,)),0)+IF($P572=3,INDEX('卡片raw data'!AG:AG,MATCH($D572,'卡片raw data'!$F:$F,)),0)+IF($P572=4,INDEX('卡片raw data'!AJ:AJ,MATCH($D572,'卡片raw data'!$F:$F,)),0)+IF($P572=5,INDEX('卡片raw data'!AM:AM,MATCH($D572,'卡片raw data'!$F:$F,)),0)+INDEX('卡片raw data'!U:U,MATCH($D572,'卡片raw data'!$F:$F,))*(IF($F572="UR",0.04,0.033))*(IF($F572="UR",INDEX(绊状态确认!$S:$S,MATCH($G572,绊状态确认!$B:$B,))/2-40)+IF($F572="SR",INDEX(绊状态确认!$R:$R,MATCH($G572,绊状态确认!$B:$B,))/4-15))+IF($F572="R",INDEX(绊状态确认!$Q:$Q,MATCH($G572,绊状态确认!$B:$B,))/6-40/6)))*(INDEX(绊状态确认!$H:$H,MATCH($G572,绊状态确认!$B:$B,))+INDEX(绊状态确认!L:L,MATCH($G572,绊状态确认!$B:$B,)))</f>
        <v>13236.787199999999</v>
      </c>
      <c r="AO572" s="1107">
        <f t="shared" si="709"/>
        <v>1</v>
      </c>
      <c r="AP572" s="1131">
        <f>1+(INDEX(绊状态确认!$T:$T,MATCH($G572,绊状态确认!$B:$B,))+0.2)*$AO572</f>
        <v>1.3</v>
      </c>
      <c r="AQ572" s="1108">
        <f t="shared" si="710"/>
        <v>44943.493239999989</v>
      </c>
      <c r="AR572" s="1097">
        <f>(AM572*(1+$EX$9)+$EX$35)*(1+(INDEX(绊状态确认!$T:$T,MATCH($G572,绊状态确认!$B:$B,))+0.2)*AO572)*IF(J572=$FF$17,1+$FE$17,1)*IF(I572=$FF$14,1+$FE$14,1)</f>
        <v>14577.087881199999</v>
      </c>
      <c r="AS572" s="1097">
        <f>(AN572*(1+$EX$10)+$EX$36)*(1+(INDEX(绊状态确认!$T:$T,MATCH($G572,绊状态确认!$B:$B,))+0.2)*AO572)*IF(J572=$FF$17,1+$FE$17,1)*IF(I572=$FF$14,1+$FE$14,1)</f>
        <v>23844.996863999997</v>
      </c>
      <c r="AT572" s="1093">
        <f>IF(AND(INDEX('卡片raw data'!AK:AK,MATCH($D572,'卡片raw data'!$F:$F,))&lt;INDEX('卡片raw data'!AM:AM,MATCH($D572,'卡片raw data'!$F:$F,)),INDEX('卡片raw data'!AL:AL,MATCH($D572,'卡片raw data'!$F:$F,))&lt;INDEX('卡片raw data'!AM:AM,MATCH($D572,'卡片raw data'!$F:$F,))),1,0)</f>
        <v>0</v>
      </c>
      <c r="AU572" s="1098">
        <f>MIN(AT572*0.15+AS572*0.00003+INDEX(绊状态确认!M:M,MATCH($G572,绊状态确认!$B:$B,)),1)</f>
        <v>0.74534990591999994</v>
      </c>
      <c r="AV572" s="1109">
        <f>(INDEX(绊状态确认!$N:$N,MATCH($G572,绊状态确认!$B:$B,))+1.5)*$EW$21</f>
        <v>2.6599999999999997</v>
      </c>
      <c r="AW572" s="1101">
        <f t="shared" si="711"/>
        <v>52220.940951880213</v>
      </c>
      <c r="AX572" s="1097">
        <f t="shared" si="712"/>
        <v>1255.2657159382393</v>
      </c>
      <c r="AY572" s="1110">
        <f t="shared" si="713"/>
        <v>53476.206667818449</v>
      </c>
      <c r="AZ572" s="1106">
        <f t="shared" si="714"/>
        <v>33572.309263999996</v>
      </c>
      <c r="BA572" s="1108">
        <f t="shared" si="715"/>
        <v>40286.771116799995</v>
      </c>
      <c r="BB572" s="1097">
        <f>(AM572*(1+$FB$9)+$FB$35)*(1+(INDEX(绊状态确认!$T:$T,MATCH($G572,绊状态确认!$B:$B,))+0.2)*AO572)*IF(J572=$FF$17,1+$FE$17,1)*IF(I572=$FF$14,1+$FE$14,1)*(1+$FE$15)</f>
        <v>14577.087881199999</v>
      </c>
      <c r="BC572" s="1097">
        <f>(AN572*(1+$FB$10)+$FB$36)*(1+(INDEX(绊状态确认!$T:$T,MATCH($G572,绊状态确认!$B:$B,))+0.2)*AO572)*IF(J572=$FF$17,1+$FE$17,1)*IF(I572=$FF$14,1+$FE$14,1)*(1+$FE$15)</f>
        <v>23844.996863999997</v>
      </c>
      <c r="BD572" s="1104">
        <f>MIN(AT572*0.15+BC572*0.00003+INDEX(绊状态确认!M:M,MATCH($G572,绊状态确认!$B:$B,)),1)</f>
        <v>0.74534990591999994</v>
      </c>
      <c r="BE572" s="1109">
        <f>(INDEX(绊状态确认!$N:$N,MATCH($G572,绊状态确认!$B:$B,))+1.5)</f>
        <v>1.9</v>
      </c>
      <c r="BF572" s="1139">
        <f t="array" ref="BF572">SUMPRODUCT(IF(AZ572*AP572*$FI$16:$FI$23*$FA$22&gt;=$FI$24,$FI$24,AZ572*AP572*$FI$16:$FI$23*$FA$22),$FJ$16:$FJ$23)</f>
        <v>58911.000510800004</v>
      </c>
      <c r="BG572" s="1125">
        <f t="array" ref="BG572">SUMPRODUCT(IF(BE572*AZ572*AP572*$FI$16:$FI$23*$FA$22&gt;=$FI$24,$FI$24,BE572*AZ572*AP572*$FI$16:$FI$23*$FA$22),$FJ$16:$FJ$23)</f>
        <v>60000</v>
      </c>
      <c r="BH572" s="1110">
        <f t="shared" si="716"/>
        <v>19907.562059207383</v>
      </c>
      <c r="BI572" s="1111">
        <f>IF(O572="vo",$EW$26/$EW$24*0.05,0)+IF(O572="sk",-$EW$26/$EW$24*(0.05-INDEX(绊状态确认!W:W,MATCH($G572,绊状态确认!$B:$B,)))+0.05*$EW$28,0)+IF(O572="sp",0.05*$EW$32*$EW$30*(1-$EW$33)-(0.05-INDEX(绊状态确认!V:V,MATCH($G572,绊状态确认!$B:$B,)))*$EW$28,0)+IF(O572="gd",-(0.05-INDEX(绊状态确认!X:X,MATCH($G572,绊状态确认!$B:$B,)))*$EW$32*$EW$30*(1-$EW$33),0)</f>
        <v>7726.3029277443748</v>
      </c>
      <c r="BJ572" s="1097">
        <f>IF(O572="vo",0.05*(1-$FI$26)*$FA$24,0)+IF(O572="sk",-(0.05-INDEX(绊状态确认!W:W,MATCH($G572,绊状态确认!$B:$B,)))*(1-$FI$26)*$FA$24+0.05*$FA$26,0)+IF(O572="sp",0.05*$FA$32*$FA$27*(1-$FA$33)/$FA$30+0.05*$FA$29/$FA$69*$FA$27*(1-$FA$33)-(0.05-INDEX(绊状态确认!V:V,MATCH($G572,绊状态确认!$B:$B,)))*$FA$26,0)+IF(O572="gd",-(0.05-INDEX(绊状态确认!X:X,MATCH($G572,绊状态确认!$B:$B,)))*$FA$32*$FA$27*(1-$FA$33)/$FA$30-(0.05-INDEX(绊状态确认!X:X,MATCH($G572,绊状态确认!$B:$B,)))*$FA$29/$FA$69*$FA$27*(1-$FA$33),0)</f>
        <v>393.93433687500004</v>
      </c>
      <c r="BK572" s="1110">
        <f>IF(O572="vo",$EW$26/$EW$24*0.05+$EW$26*(-HP($EW$62,$EW$65,$EW$64)+HP($EW$62,$EW$65,(1.05-INDEX(绊状态确认!U:U,MATCH($G572,绊状态确认!$B:$B,)))*$EW$64)),0)+IF(O572="sk",-$EW$26/$EW$24*(0.05-INDEX(绊状态确认!W:W,MATCH($G572,绊状态确认!$B:$B,)))+0.05*$EW$29,0)+IF(O572="sp",0.05*$EW$32*$EW$30*(1-$EW$33)-(0.05-INDEX(绊状态确认!V:V,MATCH($G572,绊状态确认!$B:$B,)))*$EW$29,0)+IF(O572="gd",-(0.05-INDEX(绊状态确认!X:X,MATCH($G572,绊状态确认!$B:$B,)))*$EW$32*$EW$30*(1-$EW$33)+$EW$26*(-HP($EW$62,$EW$65,$EW$64)+HP($EW$62,$EW$65,0.95*$EW$64)),0)</f>
        <v>6421.6344775026746</v>
      </c>
      <c r="BL572" s="1111">
        <f t="shared" si="717"/>
        <v>0</v>
      </c>
      <c r="BM572" s="1110">
        <f t="shared" si="718"/>
        <v>0</v>
      </c>
      <c r="BN572" s="1113">
        <f t="shared" si="719"/>
        <v>3</v>
      </c>
      <c r="BO572" s="1108">
        <f t="shared" si="720"/>
        <v>4507.7214871259994</v>
      </c>
      <c r="BP572" s="1127">
        <f t="shared" si="721"/>
        <v>221.34103209030098</v>
      </c>
      <c r="BQ572" s="1113" t="s">
        <v>132</v>
      </c>
      <c r="BR572" s="1124" t="s">
        <v>168</v>
      </c>
      <c r="BS572" s="1098">
        <f>IF($P572="","N/A",IF($P572=-1,INDEX('卡片raw data'!AX:AX,MATCH($D572,'卡片raw data'!$F:$F,)),0)+IF($L572="party卡",IF($P572=5,INDEX('卡片raw data'!BD:BD,MATCH($D572,'卡片raw data'!$F:$F,)),IF($P572&gt;=3,INDEX('卡片raw data'!BC:BC,MATCH($D572,'卡片raw data'!$F:$F,)),INDEX('卡片raw data'!BB:BB,MATCH($D572,'卡片raw data'!$F:$F,)))),IF(OR(AND($F572="UR",$P572=0),AND($F572="SR",$P572&gt;=0,$P572&lt;=2),AND($F572="R",$P572&gt;=0,$P572&lt;4)),INDEX('卡片raw data'!AZ:AZ,MATCH($D572,'卡片raw data'!$F:$F,)),0)+IF(OR(AND($F572="UR",$P572&gt;=1,$P572&lt;=4),AND($F572="SR",$P572&lt;=4,$P572&gt;=3),AND($F572="R",$P572=4)),INDEX('卡片raw data'!BA:BA,MATCH($D572,'卡片raw data'!$F:$F,)),0)+IF($P572=5,INDEX('卡片raw data'!BB:BB,MATCH($D572,'卡片raw data'!$F:$F,)),0)))</f>
        <v>7.0000000000000007E-2</v>
      </c>
      <c r="BT572" s="1101">
        <f t="shared" si="722"/>
        <v>5259.008401647</v>
      </c>
      <c r="BU572" s="1097">
        <f t="shared" si="723"/>
        <v>258.2312041053512</v>
      </c>
      <c r="BV572" s="1097">
        <f t="shared" si="724"/>
        <v>0</v>
      </c>
      <c r="BW572" s="1112">
        <f t="shared" si="725"/>
        <v>0</v>
      </c>
      <c r="BX572" s="1100">
        <f t="shared" si="726"/>
        <v>5259.008401647</v>
      </c>
      <c r="BY572" s="1110">
        <f t="shared" si="727"/>
        <v>0</v>
      </c>
      <c r="BZ572" s="1113" t="s">
        <v>569</v>
      </c>
      <c r="CA572" s="1124"/>
      <c r="CB572" s="1098">
        <f>IF($P572="","N/A",IF($P572=-1,INDEX('卡片raw data'!BE:BE,MATCH($D572,'卡片raw data'!$F:$F,)),0)+IF($L572="party卡",IF($P572=5,INDEX('卡片raw data'!BK:BK,MATCH($D572,'卡片raw data'!$F:$F,)),IF($P572&gt;=3,INDEX('卡片raw data'!BJ:BJ,MATCH($D572,'卡片raw data'!$F:$F,)),INDEX('卡片raw data'!BI:BI,MATCH($D572,'卡片raw data'!$F:$F,)))),IF(OR(AND($F572="UR",$P572=0),AND($F572="SR",$P572&gt;=0,$P572&lt;=2),AND($F572="R",$P572&gt;=0,$P572&lt;4)),INDEX('卡片raw data'!BG:BG,MATCH($D572,'卡片raw data'!$F:$F,)),0)+IF(OR(AND($F572="UR",$P572&gt;=1,$P572&lt;=4),AND($F572="SR",$P572&lt;=4,$P572&gt;=3),AND($F572="R",$P572=4)),INDEX('卡片raw data'!BH:BH,MATCH($D572,'卡片raw data'!$F:$F,)),0)+IF($P572=5,INDEX('卡片raw data'!BI:BI,MATCH($D572,'卡片raw data'!$F:$F,)),0)))</f>
        <v>0</v>
      </c>
      <c r="CC572" s="1101">
        <f t="shared" si="786"/>
        <v>0</v>
      </c>
      <c r="CD572" s="1097">
        <f>IF(BZ572="ap",CB572*(1-$FI$26)*$FB$5/$FB$11*(+IF(CA572="全员",$FA$24,0)+IF(CA572="同作战",$FA$24,0)+IF(CA572="仲间",$FA$24*2/3,0)+IF(CA572="同属性",$FA$24*$FA$37/3,0)+IF(CA572="同年级",$FA$24*$FA$40/3,0)+IF(CA572="同学校",$FA$24*$FA$43/3,0)+IF(CA572="同小队",$FA$24*$FA$46/3,0)+IF(CA572="同type",$FA$24*INDEX($FB$49:$FB$52,MATCH(X572,$FA$49:$FA$52,))/3,0)+IF(CA572="自身",#REF!/3,0)),0)+IF(BZ572="te",CB572*(1-$FI$27)*($FA$20-1)*$FB$7/$FB$13*(+IF(CA572="全员",$FA$19*$FA$24/(1+($FA$20-1)*$FA$19),0)+IF(CA572="同作战",$FA$19*$FA$24/(1+($FA$20-1)*$FA$19),0)+IF(CA572="仲间",$FA$19*$FA$24*2/3/(1+($FA$20-1)*$FA$19),0)+IF(CA572="同属性",$FA$19*$FA$24*$FA$37/3/(1+($FA$20-1)*$FA$19),0)+IF(CA572="同年级",$FA$19*$FA$24*$FA$40/3/(1+($FA$20-1)*$FA$19),0)+IF(CA572="同学校",$FA$19*$FA$24*$FA$43/3/(1+($FA$20-1)*$FA$19),0)+IF(CA572="同小队",$FA$19*$FA$24*$FA$46/3/(1+($FA$20-1)*$FA$19),0)+IF(CA572="同type",$FA$19*$FA$24*INDEX($FB$49:$FB$52,MATCH(X572,$FA$49:$FA$52,))/3/(1+($FA$20-1)*$FA$19),0)+IF(CA572="自身",$FA$19*#REF!/3/(1+(BH572-1)*$BD572),0)),0)</f>
        <v>0</v>
      </c>
      <c r="CE572" s="1097">
        <f t="shared" si="729"/>
        <v>0</v>
      </c>
      <c r="CF572" s="1112">
        <f t="shared" si="787"/>
        <v>0</v>
      </c>
      <c r="CG572" s="1100">
        <f t="shared" si="731"/>
        <v>0</v>
      </c>
      <c r="CH572" s="1110">
        <f t="shared" si="732"/>
        <v>0</v>
      </c>
      <c r="CI572" s="1113" t="s">
        <v>162</v>
      </c>
      <c r="CJ572" s="1114">
        <v>1</v>
      </c>
      <c r="CK572" s="1115" t="s">
        <v>2074</v>
      </c>
      <c r="CL572" s="1115" t="s">
        <v>2127</v>
      </c>
      <c r="CM572" s="1119">
        <v>0.05</v>
      </c>
      <c r="CN572" s="1115" t="s">
        <v>1948</v>
      </c>
      <c r="CO572" s="1115"/>
      <c r="CP572" s="1118">
        <f t="shared" si="733"/>
        <v>2.6785714285714284E-2</v>
      </c>
      <c r="CQ572" s="1118">
        <f t="shared" si="734"/>
        <v>2.5000000000000001E-2</v>
      </c>
      <c r="CR572" s="1118">
        <f t="shared" si="735"/>
        <v>0</v>
      </c>
      <c r="CS572" s="1118">
        <f t="shared" si="782"/>
        <v>0</v>
      </c>
      <c r="CT572" s="1109">
        <f t="shared" si="783"/>
        <v>0</v>
      </c>
      <c r="CU572" s="1101">
        <f t="shared" si="738"/>
        <v>4552.9999395636496</v>
      </c>
      <c r="CV572" s="1108">
        <f t="shared" si="777"/>
        <v>196.96716843750002</v>
      </c>
      <c r="CW572" s="1097">
        <f t="shared" si="739"/>
        <v>0</v>
      </c>
      <c r="CX572" s="1097">
        <f t="shared" si="740"/>
        <v>4552.9999395636496</v>
      </c>
      <c r="CY572" s="1110">
        <f t="shared" si="741"/>
        <v>0</v>
      </c>
      <c r="CZ572" s="1113"/>
      <c r="DA572" s="1114"/>
      <c r="DB572" s="1115" t="s">
        <v>569</v>
      </c>
      <c r="DC572" s="1115"/>
      <c r="DD572" s="1119"/>
      <c r="DE572" s="1092"/>
      <c r="DF572" s="1092"/>
      <c r="DG572" s="1116">
        <f t="shared" si="742"/>
        <v>0</v>
      </c>
      <c r="DH572" s="1116">
        <f t="shared" si="743"/>
        <v>0</v>
      </c>
      <c r="DI572" s="1116">
        <f t="shared" si="744"/>
        <v>0</v>
      </c>
      <c r="DJ572" s="1118">
        <f t="shared" si="784"/>
        <v>0</v>
      </c>
      <c r="DK572" s="1109">
        <f t="shared" si="785"/>
        <v>0</v>
      </c>
      <c r="DL572" s="1101">
        <f t="shared" si="747"/>
        <v>0</v>
      </c>
      <c r="DM572" s="1097">
        <f t="shared" si="748"/>
        <v>0</v>
      </c>
      <c r="DN572" s="1097">
        <f t="shared" si="749"/>
        <v>0</v>
      </c>
      <c r="DO572" s="1097">
        <f t="shared" si="750"/>
        <v>0</v>
      </c>
      <c r="DP572" s="1110">
        <f t="shared" si="751"/>
        <v>0</v>
      </c>
      <c r="DQ572" s="1113" t="s">
        <v>2074</v>
      </c>
      <c r="DR572" s="1120">
        <f t="shared" si="788"/>
        <v>0.33</v>
      </c>
      <c r="DS572" s="1124">
        <v>5</v>
      </c>
      <c r="DT572" s="1124" t="s">
        <v>2127</v>
      </c>
      <c r="DU572" s="1093" t="s">
        <v>2145</v>
      </c>
      <c r="DV572" s="1098">
        <f>IF($P572="","N/A",IF(P572=-1,INDEX('卡片raw data'!AN:AN,MATCH(D572,'卡片raw data'!$F:$F,)),0)+IF(AND(L572&lt;&gt;"party卡",P572&lt;=2,P572&gt;=0),INDEX('卡片raw data'!AP:AP,MATCH(D572,'卡片raw data'!$F:$F,)),0)+IF(OR(AND(L572="party卡",P572&lt;=1),AND(P572&lt;=4,L572&lt;&gt;"party卡",P572&gt;=3)),INDEX('卡片raw data'!AQ:AQ,MATCH(D572,'卡片raw data'!$F:$F,)),0)+IF(OR(P572=5,AND(L572="party卡",P572&gt;=2)),INDEX('卡片raw data'!AR:AR,MATCH(D572,'卡片raw data'!$F:$F,)),0))</f>
        <v>8.2000000000000003E-2</v>
      </c>
      <c r="DW572" s="1098">
        <f t="shared" si="752"/>
        <v>0.33</v>
      </c>
      <c r="DX572" s="1098">
        <f t="shared" si="753"/>
        <v>0.33</v>
      </c>
      <c r="DY572" s="1098">
        <f t="shared" si="754"/>
        <v>4.5100000000000001E-2</v>
      </c>
      <c r="DZ572" s="1098">
        <f t="shared" si="755"/>
        <v>3.9011499999999998E-2</v>
      </c>
      <c r="EA572" s="1098">
        <f t="shared" si="756"/>
        <v>0</v>
      </c>
      <c r="EB572" s="1121">
        <f t="shared" si="757"/>
        <v>0</v>
      </c>
      <c r="EC572" s="1101">
        <f t="shared" si="758"/>
        <v>7666.0377649079692</v>
      </c>
      <c r="ED572" s="1097">
        <f t="shared" si="759"/>
        <v>307.35938765998122</v>
      </c>
      <c r="EE572" s="1110">
        <f t="shared" si="775"/>
        <v>7666.0377649079692</v>
      </c>
      <c r="EF572" s="1113" t="s">
        <v>569</v>
      </c>
      <c r="EG572" s="1120">
        <f t="shared" si="789"/>
        <v>0.33</v>
      </c>
      <c r="EH572" s="1124"/>
      <c r="EI572" s="1124"/>
      <c r="EJ572" s="1124"/>
      <c r="EK572" s="1097">
        <f>IF($P572="","N/A",IF(P572=-1,INDEX('卡片raw data'!AS:AS,MATCH(D572,'卡片raw data'!$F:$F,)),0)+IF(AND(L572&lt;&gt;"party卡",P572&lt;=2,P572&gt;=0),INDEX('卡片raw data'!AU:AU,MATCH(D572,'卡片raw data'!$F:$F,)),0)+IF(OR(AND(L572="party卡",P572&lt;=1),AND(P572&lt;=4,L572&lt;&gt;"party卡",P572&gt;=3)),INDEX('卡片raw data'!AV:AV,MATCH(D572,'卡片raw data'!$F:$F,)),0)+IF(OR(P572=5,AND(L572="party卡",P572&gt;=2)),INDEX('卡片raw data'!AW:AW,MATCH(D572,'卡片raw data'!$F:$F,)),0))</f>
        <v>0</v>
      </c>
      <c r="EL572" s="1098">
        <f t="shared" si="760"/>
        <v>0.33</v>
      </c>
      <c r="EM572" s="1098">
        <f t="shared" si="761"/>
        <v>0.33</v>
      </c>
      <c r="EN572" s="1097">
        <f t="shared" si="762"/>
        <v>0</v>
      </c>
      <c r="EO572" s="1097">
        <f t="shared" si="763"/>
        <v>0</v>
      </c>
      <c r="EP572" s="1098">
        <f t="shared" si="764"/>
        <v>0</v>
      </c>
      <c r="EQ572" s="1121">
        <f t="shared" si="765"/>
        <v>0</v>
      </c>
      <c r="ER572" s="1101">
        <f t="shared" si="766"/>
        <v>0</v>
      </c>
      <c r="ES572" s="1097">
        <f t="shared" si="767"/>
        <v>0</v>
      </c>
      <c r="ET572" s="1122">
        <f t="shared" si="776"/>
        <v>0</v>
      </c>
    </row>
    <row r="573" spans="2:150" ht="16.5" customHeight="1">
      <c r="B573" s="1123" t="str">
        <f>INDEX('卡片raw data'!B:B,MATCH($D573,'卡片raw data'!$F:$F,))</f>
        <v>水蓝梨</v>
      </c>
      <c r="C573" s="1025" t="s">
        <v>4671</v>
      </c>
      <c r="D573" s="408">
        <v>570</v>
      </c>
      <c r="E573" s="1164">
        <v>401022006</v>
      </c>
      <c r="F573" s="1090" t="str">
        <f>INDEX('卡片raw data'!C:C,MATCH($D573,'卡片raw data'!$F:$F,))</f>
        <v>SR</v>
      </c>
      <c r="G573" s="1026" t="s">
        <v>4672</v>
      </c>
      <c r="H573" s="411">
        <f>IFERROR(INDEX(绊状态确认!C:C,MATCH($G573,绊状态确认!$B:$B,)),"")</f>
        <v>102</v>
      </c>
      <c r="I573" s="450" t="str">
        <f>IFERROR(INDEX(绊状态确认!D:D,MATCH($G573,绊状态确认!$B:$B,)),"")</f>
        <v>水</v>
      </c>
      <c r="J573" s="450" t="str">
        <f>IFERROR(INDEX(绊状态确认!E:E,MATCH($G573,绊状态确认!$B:$B,)),"")</f>
        <v>2年级</v>
      </c>
      <c r="K573" s="451" t="str">
        <f>IFERROR(INDEX(绊状态确认!F:F,MATCH($G573,绊状态确认!$B:$B,)),"")</f>
        <v>Guilty Kiss</v>
      </c>
      <c r="L573" s="1094" t="str">
        <f>INDEX('卡片raw data'!E:E,MATCH($D573,'卡片raw data'!$F:$F,))</f>
        <v>卡池卡</v>
      </c>
      <c r="M573" s="1065">
        <v>44504</v>
      </c>
      <c r="N573" s="1027">
        <v>51</v>
      </c>
      <c r="O573" s="1091" t="str">
        <f>INDEX('卡片raw data'!D:D,MATCH($D573,'卡片raw data'!$F:$F,))</f>
        <v>gd</v>
      </c>
      <c r="P573" s="1126">
        <v>5</v>
      </c>
      <c r="Q573" s="1095">
        <f t="shared" si="688"/>
        <v>21934.216796232238</v>
      </c>
      <c r="R573" s="1096">
        <f t="shared" si="689"/>
        <v>0.255</v>
      </c>
      <c r="S573" s="1097">
        <f t="shared" si="690"/>
        <v>12746.733352427593</v>
      </c>
      <c r="T573" s="1098">
        <f t="shared" si="691"/>
        <v>0.63700000000000001</v>
      </c>
      <c r="U573" s="1099">
        <f t="shared" si="692"/>
        <v>79.924057491498274</v>
      </c>
      <c r="V573" s="1100">
        <f t="shared" si="693"/>
        <v>29759.889626290773</v>
      </c>
      <c r="W573" s="1101">
        <f t="shared" si="694"/>
        <v>4507.7214871259994</v>
      </c>
      <c r="X573" s="1096">
        <f t="shared" si="695"/>
        <v>5.1999999999999998E-2</v>
      </c>
      <c r="Y573" s="1097">
        <f t="shared" si="696"/>
        <v>1663.8188993403583</v>
      </c>
      <c r="Z573" s="1102">
        <f t="shared" si="697"/>
        <v>20.799057491498285</v>
      </c>
      <c r="AA573" s="1103">
        <f t="shared" si="698"/>
        <v>6171.5403864663576</v>
      </c>
      <c r="AB573" s="1101">
        <f t="shared" si="699"/>
        <v>4507.7214871259994</v>
      </c>
      <c r="AC573" s="1104">
        <f t="shared" si="700"/>
        <v>5.1999999999999998E-2</v>
      </c>
      <c r="AD573" s="1105">
        <f t="shared" si="701"/>
        <v>-3.8207812500000026E-3</v>
      </c>
      <c r="AE573" s="1128">
        <f t="shared" si="702"/>
        <v>-18.525362318840578</v>
      </c>
      <c r="AF573" s="1130">
        <f t="shared" si="703"/>
        <v>0</v>
      </c>
      <c r="AG573" s="1097">
        <f t="shared" si="704"/>
        <v>0</v>
      </c>
      <c r="AH573" s="1097">
        <f t="shared" si="705"/>
        <v>0</v>
      </c>
      <c r="AI573" s="1097">
        <f t="shared" si="706"/>
        <v>0</v>
      </c>
      <c r="AJ573" s="1097">
        <f t="shared" si="707"/>
        <v>0</v>
      </c>
      <c r="AK573" s="1129">
        <f t="shared" si="708"/>
        <v>0</v>
      </c>
      <c r="AL573" s="1106">
        <f>IF($P573="","N/A",(IF($P573=-1,INDEX('卡片raw data'!S:S,MATCH($D573,'卡片raw data'!$F:$F,)),0)+IF($P573=0,INDEX('卡片raw data'!V:V,MATCH($D573,'卡片raw data'!$F:$F,)),0)+IF($P573=1,INDEX('卡片raw data'!Y:Y,MATCH($D573,'卡片raw data'!$F:$F,)),0)+IF($P573=2,INDEX('卡片raw data'!AB:AB,MATCH($D573,'卡片raw data'!$F:$F,)),0)+IF($P573=3,INDEX('卡片raw data'!AE:AE,MATCH($D573,'卡片raw data'!$F:$F,)),0)+IF($P573=4,INDEX('卡片raw data'!AH:AH,MATCH($D573,'卡片raw data'!$F:$F,)),0)+IF($P573=5,INDEX('卡片raw data'!AK:AK,MATCH($D573,'卡片raw data'!$F:$F,)),0)+INDEX('卡片raw data'!S:S,MATCH($D573,'卡片raw data'!$F:$F,))*(IF($F573="UR",0.04,0.033))*(IF($F573="UR",INDEX(绊状态确认!$S:$S,MATCH($G573,绊状态确认!$B:$B,))/2-40)+IF($F573="SR",INDEX(绊状态确认!$R:$R,MATCH($G573,绊状态确认!$B:$B,))/4-15))+IF($F573="R",INDEX(绊状态确认!$Q:$Q,MATCH($G573,绊状态确认!$B:$B,))/6-40/6)))*(INDEX(绊状态确认!$H:$H,MATCH($G573,绊状态确认!$B:$B,))+INDEX(绊状态确认!J:J,MATCH($G573,绊状态确认!$B:$B,)))</f>
        <v>6346.0280663999993</v>
      </c>
      <c r="AM573" s="1106">
        <f>IF($P573="","N/A",(IF($P573=-1,INDEX('卡片raw data'!T:T,MATCH($D573,'卡片raw data'!$F:$F,)),0)+IF($P573=0,INDEX('卡片raw data'!W:W,MATCH($D573,'卡片raw data'!$F:$F,)),0)+IF($P573=1,INDEX('卡片raw data'!Z:Z,MATCH($D573,'卡片raw data'!$F:$F,)),0)+IF($P573=2,INDEX('卡片raw data'!AC:AC,MATCH($D573,'卡片raw data'!$F:$F,)),0)+IF($P573=3,INDEX('卡片raw data'!AF:AF,MATCH($D573,'卡片raw data'!$F:$F,)),0)+IF($P573=4,INDEX('卡片raw data'!AI:AI,MATCH($D573,'卡片raw data'!$F:$F,)),0)+IF($P573=5,INDEX('卡片raw data'!AL:AL,MATCH($D573,'卡片raw data'!$F:$F,)),0)+INDEX('卡片raw data'!T:T,MATCH($D573,'卡片raw data'!$F:$F,))*(IF($F573="UR",0.04,0.033))*(IF($F573="UR",INDEX(绊状态确认!$S:$S,MATCH($G573,绊状态确认!$B:$B,))/2-40)+IF($F573="SR",INDEX(绊状态确认!$R:$R,MATCH($G573,绊状态确认!$B:$B,))/4-15))+IF($F573="R",INDEX(绊状态确认!$Q:$Q,MATCH($G573,绊状态确认!$B:$B,))/6-40/6)))*(INDEX(绊状态确认!$H:$H,MATCH($G573,绊状态确认!$B:$B,))+INDEX(绊状态确认!K:K,MATCH($G573,绊状态确认!$B:$B,)))</f>
        <v>9169.2115871999995</v>
      </c>
      <c r="AN573" s="1106">
        <f>IF($P573="","N/A",(IF($P573=-1,INDEX('卡片raw data'!U:U,MATCH($D573,'卡片raw data'!$F:$F,)),0)+IF($P573=0,INDEX('卡片raw data'!X:X,MATCH($D573,'卡片raw data'!$F:$F,)),0)+IF($P573=1,INDEX('卡片raw data'!AA:AA,MATCH($D573,'卡片raw data'!$F:$F,)),0)+IF($P573=2,INDEX('卡片raw data'!AD:AD,MATCH($D573,'卡片raw data'!$F:$F,)),0)+IF($P573=3,INDEX('卡片raw data'!AG:AG,MATCH($D573,'卡片raw data'!$F:$F,)),0)+IF($P573=4,INDEX('卡片raw data'!AJ:AJ,MATCH($D573,'卡片raw data'!$F:$F,)),0)+IF($P573=5,INDEX('卡片raw data'!AM:AM,MATCH($D573,'卡片raw data'!$F:$F,)),0)+INDEX('卡片raw data'!U:U,MATCH($D573,'卡片raw data'!$F:$F,))*(IF($F573="UR",0.04,0.033))*(IF($F573="UR",INDEX(绊状态确认!$S:$S,MATCH($G573,绊状态确认!$B:$B,))/2-40)+IF($F573="SR",INDEX(绊状态确认!$R:$R,MATCH($G573,绊状态确认!$B:$B,))/4-15))+IF($F573="R",INDEX(绊状态确认!$Q:$Q,MATCH($G573,绊状态确认!$B:$B,))/6-40/6)))*(INDEX(绊状态确认!$H:$H,MATCH($G573,绊状态确认!$B:$B,))+INDEX(绊状态确认!L:L,MATCH($G573,绊状态确认!$B:$B,)))</f>
        <v>7992.2034695999992</v>
      </c>
      <c r="AO573" s="1107">
        <f t="shared" si="709"/>
        <v>1</v>
      </c>
      <c r="AP573" s="1131">
        <f>1+(INDEX(绊状态确认!$T:$T,MATCH($G573,绊状态确认!$B:$B,))+0.2)*$AO573</f>
        <v>1.3</v>
      </c>
      <c r="AQ573" s="1108">
        <f t="shared" si="710"/>
        <v>19908.323674300002</v>
      </c>
      <c r="AR573" s="1097">
        <f>(AM573*(1+$EX$9)+$EX$35)*(1+(INDEX(绊状态确认!$T:$T,MATCH($G573,绊状态确认!$B:$B,))+0.2)*AO573)*IF(J573=$FF$17,1+$FE$17,1)*IF(I573=$FF$14,1+$FE$14,1)</f>
        <v>15219.973816528</v>
      </c>
      <c r="AS573" s="1097">
        <f>(AN573*(1+$EX$10)+$EX$36)*(1+(INDEX(绊状态确认!$T:$T,MATCH($G573,绊状态确认!$B:$B,))+0.2)*AO573)*IF(J573=$FF$17,1+$FE$17,1)*IF(I573=$FF$14,1+$FE$14,1)</f>
        <v>16004.344187051998</v>
      </c>
      <c r="AT573" s="1093">
        <f>IF(AND(INDEX('卡片raw data'!AK:AK,MATCH($D573,'卡片raw data'!$F:$F,))&lt;INDEX('卡片raw data'!AM:AM,MATCH($D573,'卡片raw data'!$F:$F,)),INDEX('卡片raw data'!AL:AL,MATCH($D573,'卡片raw data'!$F:$F,))&lt;INDEX('卡片raw data'!AM:AM,MATCH($D573,'卡片raw data'!$F:$F,))),1,0)</f>
        <v>0</v>
      </c>
      <c r="AU573" s="1098">
        <f>MIN(AT573*0.15+AS573*0.00003+INDEX(绊状态确认!M:M,MATCH($G573,绊状态确认!$B:$B,)),1)</f>
        <v>0.51013032561155991</v>
      </c>
      <c r="AV573" s="1109">
        <f>(INDEX(绊状态确认!$N:$N,MATCH($G573,绊状态确认!$B:$B,))+1.5)*$EW$21</f>
        <v>2.6599999999999997</v>
      </c>
      <c r="AW573" s="1101">
        <f t="shared" si="711"/>
        <v>19094.82864243957</v>
      </c>
      <c r="AX573" s="1097">
        <f t="shared" si="712"/>
        <v>1312.492471580347</v>
      </c>
      <c r="AY573" s="1110">
        <f t="shared" si="713"/>
        <v>20407.321114019916</v>
      </c>
      <c r="AZ573" s="1106">
        <f t="shared" si="714"/>
        <v>14974.754729479999</v>
      </c>
      <c r="BA573" s="1108">
        <f t="shared" si="715"/>
        <v>17969.705675375997</v>
      </c>
      <c r="BB573" s="1097">
        <f>(AM573*(1+$FB$9)+$FB$35)*(1+(INDEX(绊状态确认!$T:$T,MATCH($G573,绊状态确认!$B:$B,))+0.2)*AO573)*IF(J573=$FF$17,1+$FE$17,1)*IF(I573=$FF$14,1+$FE$14,1)*(1+$FE$15)</f>
        <v>15219.973816528</v>
      </c>
      <c r="BC573" s="1097">
        <f>(AN573*(1+$FB$10)+$FB$36)*(1+(INDEX(绊状态确认!$T:$T,MATCH($G573,绊状态确认!$B:$B,))+0.2)*AO573)*IF(J573=$FF$17,1+$FE$17,1)*IF(I573=$FF$14,1+$FE$14,1)*(1+$FE$15)</f>
        <v>16004.344187051998</v>
      </c>
      <c r="BD573" s="1104">
        <f>MIN(AT573*0.15+BC573*0.00003+INDEX(绊状态确认!M:M,MATCH($G573,绊状态确认!$B:$B,)),1)</f>
        <v>0.51013032561155991</v>
      </c>
      <c r="BE573" s="1109">
        <f>(INDEX(绊状态确认!$N:$N,MATCH($G573,绊状态确认!$B:$B,))+1.5)</f>
        <v>1.9</v>
      </c>
      <c r="BF573" s="1139">
        <f t="array" ref="BF573">SUMPRODUCT(IF(AZ573*AP573*$FI$16:$FI$23*$FA$22&gt;=$FI$24,$FI$24,AZ573*AP573*$FI$16:$FI$23*$FA$22),$FJ$16:$FJ$23)</f>
        <v>29784.787156935719</v>
      </c>
      <c r="BG573" s="1125">
        <f t="array" ref="BG573">SUMPRODUCT(IF(BE573*AZ573*AP573*$FI$16:$FI$23*$FA$22&gt;=$FI$24,$FI$24,BE573*AZ573*AP573*$FI$16:$FI$23*$FA$22),$FJ$16:$FJ$23)</f>
        <v>54617.767739997442</v>
      </c>
      <c r="BH573" s="1110">
        <f t="shared" si="716"/>
        <v>14150.947875892847</v>
      </c>
      <c r="BI573" s="1111">
        <f>IF(O573="vo",$EW$26/$EW$24*0.05,0)+IF(O573="sk",-$EW$26/$EW$24*(0.05-INDEX(绊状态确认!W:W,MATCH($G573,绊状态确认!$B:$B,)))+0.05*$EW$28,0)+IF(O573="sp",0.05*$EW$32*$EW$30*(1-$EW$33)-(0.05-INDEX(绊状态确认!V:V,MATCH($G573,绊状态确认!$B:$B,)))*$EW$28,0)+IF(O573="gd",-(0.05-INDEX(绊状态确认!X:X,MATCH($G573,绊状态确认!$B:$B,)))*$EW$32*$EW$30*(1-$EW$33),0)</f>
        <v>-585.00000000000011</v>
      </c>
      <c r="BJ573" s="1097">
        <f>IF(O573="vo",0.05*(1-$FI$26)*$FA$24,0)+IF(O573="sk",-(0.05-INDEX(绊状态确认!W:W,MATCH($G573,绊状态确认!$B:$B,)))*(1-$FI$26)*$FA$24+0.05*$FA$26,0)+IF(O573="sp",0.05*$FA$32*$FA$27*(1-$FA$33)/$FA$30+0.05*$FA$29/$FA$69*$FA$27*(1-$FA$33)-(0.05-INDEX(绊状态确认!V:V,MATCH($G573,绊状态确认!$B:$B,)))*$FA$26,0)+IF(O573="gd",-(0.05-INDEX(绊状态确认!X:X,MATCH($G573,绊状态确认!$B:$B,)))*$FA$32*$FA$27*(1-$FA$33)/$FA$30-(0.05-INDEX(绊状态确认!X:X,MATCH($G573,绊状态确认!$B:$B,)))*$FA$29/$FA$69*$FA$27*(1-$FA$33),0)</f>
        <v>-795.00000000000011</v>
      </c>
      <c r="BK573" s="1110">
        <f>IF(O573="vo",$EW$26/$EW$24*0.05+$EW$26*(-HP($EW$62,$EW$65,$EW$64)+HP($EW$62,$EW$65,(1.05-INDEX(绊状态确认!U:U,MATCH($G573,绊状态确认!$B:$B,)))*$EW$64)),0)+IF(O573="sk",-$EW$26/$EW$24*(0.05-INDEX(绊状态确认!W:W,MATCH($G573,绊状态确认!$B:$B,)))+0.05*$EW$29,0)+IF(O573="sp",0.05*$EW$32*$EW$30*(1-$EW$33)-(0.05-INDEX(绊状态确认!V:V,MATCH($G573,绊状态确认!$B:$B,)))*$EW$29,0)+IF(O573="gd",-(0.05-INDEX(绊状态确认!X:X,MATCH($G573,绊状态确认!$B:$B,)))*$EW$32*$EW$30*(1-$EW$33)+$EW$26*(-HP($EW$62,$EW$65,$EW$64)+HP($EW$62,$EW$65,0.95*$EW$64)),0)</f>
        <v>1009.5947725176144</v>
      </c>
      <c r="BL573" s="1111">
        <f t="shared" si="717"/>
        <v>-1083.3333333333333</v>
      </c>
      <c r="BM573" s="1110">
        <f t="shared" si="718"/>
        <v>-830.55555555555543</v>
      </c>
      <c r="BN573" s="1113">
        <f t="shared" si="719"/>
        <v>3</v>
      </c>
      <c r="BO573" s="1108">
        <f t="shared" si="720"/>
        <v>4507.7214871259994</v>
      </c>
      <c r="BP573" s="1127">
        <f t="shared" si="721"/>
        <v>221.34103209030098</v>
      </c>
      <c r="BQ573" s="1167" t="s">
        <v>1943</v>
      </c>
      <c r="BR573" s="1124" t="s">
        <v>161</v>
      </c>
      <c r="BS573" s="1098">
        <f>IF($P573="","N/A",IF($P573=-1,INDEX('卡片raw data'!AX:AX,MATCH($D573,'卡片raw data'!$F:$F,)),0)+IF($L573="party卡",IF($P573=5,INDEX('卡片raw data'!BD:BD,MATCH($D573,'卡片raw data'!$F:$F,)),IF($P573&gt;=3,INDEX('卡片raw data'!BC:BC,MATCH($D573,'卡片raw data'!$F:$F,)),INDEX('卡片raw data'!BB:BB,MATCH($D573,'卡片raw data'!$F:$F,)))),IF(OR(AND($F573="UR",$P573=0),AND($F573="SR",$P573&gt;=0,$P573&lt;=2),AND($F573="R",$P573&gt;=0,$P573&lt;4)),INDEX('卡片raw data'!AZ:AZ,MATCH($D573,'卡片raw data'!$F:$F,)),0)+IF(OR(AND($F573="UR",$P573&gt;=1,$P573&lt;=4),AND($F573="SR",$P573&lt;=4,$P573&gt;=3),AND($F573="R",$P573=4)),INDEX('卡片raw data'!BA:BA,MATCH($D573,'卡片raw data'!$F:$F,)),0)+IF($P573=5,INDEX('卡片raw data'!BB:BB,MATCH($D573,'卡片raw data'!$F:$F,)),0)))</f>
        <v>2.1999999999999999E-2</v>
      </c>
      <c r="BT573" s="1101">
        <f t="shared" si="722"/>
        <v>0</v>
      </c>
      <c r="BU573" s="1097">
        <f t="shared" si="723"/>
        <v>0</v>
      </c>
      <c r="BV573" s="1097">
        <f t="shared" si="724"/>
        <v>0</v>
      </c>
      <c r="BW573" s="1112">
        <f t="shared" si="725"/>
        <v>2.3176607142857137</v>
      </c>
      <c r="BX573" s="1100">
        <f t="shared" si="726"/>
        <v>181.29549862425898</v>
      </c>
      <c r="BY573" s="1110">
        <f t="shared" si="727"/>
        <v>181.29549862425898</v>
      </c>
      <c r="BZ573" s="1113" t="s">
        <v>569</v>
      </c>
      <c r="CA573" s="1124"/>
      <c r="CB573" s="1098">
        <f>IF($P573="","N/A",IF($P573=-1,INDEX('卡片raw data'!BE:BE,MATCH($D573,'卡片raw data'!$F:$F,)),0)+IF($L573="party卡",IF($P573=5,INDEX('卡片raw data'!BK:BK,MATCH($D573,'卡片raw data'!$F:$F,)),IF($P573&gt;=3,INDEX('卡片raw data'!BJ:BJ,MATCH($D573,'卡片raw data'!$F:$F,)),INDEX('卡片raw data'!BI:BI,MATCH($D573,'卡片raw data'!$F:$F,)))),IF(OR(AND($F573="UR",$P573=0),AND($F573="SR",$P573&gt;=0,$P573&lt;=2),AND($F573="R",$P573&gt;=0,$P573&lt;4)),INDEX('卡片raw data'!BG:BG,MATCH($D573,'卡片raw data'!$F:$F,)),0)+IF(OR(AND($F573="UR",$P573&gt;=1,$P573&lt;=4),AND($F573="SR",$P573&lt;=4,$P573&gt;=3),AND($F573="R",$P573=4)),INDEX('卡片raw data'!BH:BH,MATCH($D573,'卡片raw data'!$F:$F,)),0)+IF($P573=5,INDEX('卡片raw data'!BI:BI,MATCH($D573,'卡片raw data'!$F:$F,)),0)))</f>
        <v>0</v>
      </c>
      <c r="CC573" s="1101">
        <f t="shared" si="786"/>
        <v>0</v>
      </c>
      <c r="CD573" s="1097">
        <f>IF(BZ573="ap",CB573*(1-$FI$26)*$FB$5/$FB$11*(+IF(CA573="全员",$FA$24,0)+IF(CA573="同作战",$FA$24,0)+IF(CA573="仲间",$FA$24*2/3,0)+IF(CA573="同属性",$FA$24*$FA$37/3,0)+IF(CA573="同年级",$FA$24*$FA$40/3,0)+IF(CA573="同学校",$FA$24*$FA$43/3,0)+IF(CA573="同小队",$FA$24*$FA$46/3,0)+IF(CA573="同type",$FA$24*INDEX($FB$49:$FB$52,MATCH(X573,$FA$49:$FA$52,))/3,0)+IF(CA573="自身",#REF!/3,0)),0)+IF(BZ573="te",CB573*(1-$FI$27)*($FA$20-1)*$FB$7/$FB$13*(+IF(CA573="全员",$FA$19*$FA$24/(1+($FA$20-1)*$FA$19),0)+IF(CA573="同作战",$FA$19*$FA$24/(1+($FA$20-1)*$FA$19),0)+IF(CA573="仲间",$FA$19*$FA$24*2/3/(1+($FA$20-1)*$FA$19),0)+IF(CA573="同属性",$FA$19*$FA$24*$FA$37/3/(1+($FA$20-1)*$FA$19),0)+IF(CA573="同年级",$FA$19*$FA$24*$FA$40/3/(1+($FA$20-1)*$FA$19),0)+IF(CA573="同学校",$FA$19*$FA$24*$FA$43/3/(1+($FA$20-1)*$FA$19),0)+IF(CA573="同小队",$FA$19*$FA$24*$FA$46/3/(1+($FA$20-1)*$FA$19),0)+IF(CA573="同type",$FA$19*$FA$24*INDEX($FB$49:$FB$52,MATCH(X573,$FA$49:$FA$52,))/3/(1+($FA$20-1)*$FA$19),0)+IF(CA573="自身",$FA$19*#REF!/3/(1+(BH573-1)*$BD573),0)),0)</f>
        <v>0</v>
      </c>
      <c r="CE573" s="1097">
        <f t="shared" si="729"/>
        <v>0</v>
      </c>
      <c r="CF573" s="1112">
        <f t="shared" si="787"/>
        <v>0</v>
      </c>
      <c r="CG573" s="1100">
        <f t="shared" si="731"/>
        <v>0</v>
      </c>
      <c r="CH573" s="1110">
        <f t="shared" si="732"/>
        <v>0</v>
      </c>
      <c r="CI573" s="1113" t="s">
        <v>165</v>
      </c>
      <c r="CJ573" s="1114">
        <v>0.2</v>
      </c>
      <c r="CK573" s="1115" t="s">
        <v>2080</v>
      </c>
      <c r="CL573" s="1115" t="s">
        <v>1943</v>
      </c>
      <c r="CM573" s="1119">
        <v>0.2</v>
      </c>
      <c r="CN573" s="1169"/>
      <c r="CO573" s="1169"/>
      <c r="CP573" s="1116">
        <f t="shared" si="733"/>
        <v>2.1742819737897143</v>
      </c>
      <c r="CQ573" s="1116">
        <f t="shared" si="734"/>
        <v>3.382216403672889</v>
      </c>
      <c r="CR573" s="1116">
        <f t="shared" si="735"/>
        <v>2.1742819737897143</v>
      </c>
      <c r="CS573" s="1118">
        <f t="shared" si="782"/>
        <v>0</v>
      </c>
      <c r="CT573" s="1109">
        <f t="shared" si="783"/>
        <v>0</v>
      </c>
      <c r="CU573" s="1101">
        <f t="shared" si="738"/>
        <v>0</v>
      </c>
      <c r="CV573" s="1108">
        <f t="shared" si="777"/>
        <v>0</v>
      </c>
      <c r="CW573" s="1097">
        <f t="shared" si="739"/>
        <v>0</v>
      </c>
      <c r="CX573" s="1097">
        <f t="shared" si="740"/>
        <v>170.03092913575202</v>
      </c>
      <c r="CY573" s="1110">
        <f t="shared" si="741"/>
        <v>170.03092913575202</v>
      </c>
      <c r="CZ573" s="1113"/>
      <c r="DA573" s="1114"/>
      <c r="DB573" s="1115" t="s">
        <v>569</v>
      </c>
      <c r="DC573" s="1115"/>
      <c r="DD573" s="1119"/>
      <c r="DE573" s="1092"/>
      <c r="DF573" s="1092"/>
      <c r="DG573" s="1116">
        <f t="shared" si="742"/>
        <v>0</v>
      </c>
      <c r="DH573" s="1116">
        <f t="shared" si="743"/>
        <v>0</v>
      </c>
      <c r="DI573" s="1116">
        <f t="shared" si="744"/>
        <v>0</v>
      </c>
      <c r="DJ573" s="1118">
        <f t="shared" ref="DJ573:DJ581" si="790">IF(DB573="技能+",IF(DE573="infty",(IF(CZ573="曲开始",DD573*DA573)+IF(OR(CZ573="AC时",CZ573="AC成功"),(1-(1-(1-DA573)^($FM$20+1))/(($FM$20+1)*DA573))*DD573))*(IF(DC573="全员",1)))+IF(DE573&lt;&gt;"infty",DD573*(IF(CZ573="曲开始",DA573*DE573/$FM$19)+IF(OR(CZ573="AC时",CZ573="AC成功"),DE573*IF(DF573&lt;&gt;"",MIN(DF573,DA573*$FM$20),DA573*$FM$20)/$FM$19)+IF(CZ573="切队",DE573*IF(DF573&lt;&gt;"",MIN(DA573*$FM$11,DF573/$FM$19),DA573*$FM$11))+IF(CZ573="ap时",IF(DF573&lt;&gt;"",MIN(DF573/$FM1021,IF($O573="sk",$FM$10,$FM$9)*DA573),IF($O573="sk",$FM$10,$FM$9)*DA573)*DE573)+IF(CZ573="ct时",IF(DF573&lt;&gt;"",MIN(DF573/$FM1021,$AU573*IF($O573="sk",$FM$10,$FM$9)*DA573),$AU573*IF($O573="sk",$FM$10,$FM$9)*DA573)*DE573))*(IF(DC573="全员",1)+IF(DC573="同作战",IF($O573="sk",$FM$10*3,$FM$9*3))+IF(DC573="同属性",$FM$23/6)+IF(DC573="同年级",$FM$24/6)+IF(DC573="自身",IF($O573="sk",$FM$10,$FM$9)))),0)*$FM$16</f>
        <v>0</v>
      </c>
      <c r="DK573" s="1109">
        <f t="shared" ref="DK573:DK581" si="791">IF(DB573="sp+",IF(DE573="infty",(IF(CZ573="曲开始",DD573*DA573*$FM$28)+IF(OR(CZ573="AC时",CZ573="AC成功"),(1-(1-(1-DA573)^($FM$20+1))/(($FM$20+1)*DA573))*DD573*$FM$28))*(IF(DC573="全员",1)))+IF(DE573&lt;&gt;"infty",DD573*$FM$28*(IF(CZ573="曲开始",DA573*DE573/$FM$19)+IF(OR(CZ573="AC时",CZ573="AC成功"),DE573*IF(DF573&lt;&gt;"",MIN(DF573,DA573*$FM$20),DA573*$FM$20)/$FM$19)+IF(CZ573="切队",DE573*IF(DF573&lt;&gt;"",MIN(DA573*$FM$11,DF573/$FM$19),DA573*$FM$11))+IF(CZ573="ap时",IF(DF573&lt;&gt;"",MIN(DF573/$FM1021,IF($O573="sk",$FM$10,$FM$9)*DA573),IF($O573="sk",$FM$10,$FM$9)*DA573)*DE573)+IF(CZ573="ct时",IF(DF573&lt;&gt;"",MIN(DF573/$FM1021,$AU573*IF($O573="sk",$FM$10,$FM$9)*DA573),$AU573*IF($O573="sk",$FM$10,$FM$9)*DA573)*DE573))*(IF(DC573="全员",1)+IF(DC573="同作战",IF($O573="sk",$FM$10*3,$FM$9*3))+IF(DC573="同属性",$FM$23/6)+IF(DC573="同年级",$FM$24/6)+IF(DC573="同type",IF(AF573="sp",$FN$6*$FM$9)))),0)+IF(DB573="sp获得",IF(CZ573="AC成功",0,DD573*(IF(DC573="ap",BI573)+IF(DC573="st",BJ573)+IF(DC573="te",BK573)+IF(DC573="sp槽",$EW$77)+IF(DC573="",1))*IF($O573="sk",1,1+(1+$FM$10/$FM$9)*($FM$27-1))*(IF(CZ573="曲开始",DA573/$FM$19)+IF(CZ573="SP发动",IF(DF573&lt;&gt;"",MIN(DF573/$FM$19,DA573*$FM$30/$FM$19),DA573*$FM$30/$FM$19))+IF(CZ573="切队",IF(DF573&lt;&gt;"",MIN(DF573/$FM$19,DA573*$FM$11),DA573*$FM$11))+IF(OR(CZ573="AC时",CZ573="AC成功"),IF(DF573&lt;&gt;"",MIN(DF573/$FM$19,DA573*$FM$20/$FM$19),DA573*$FM$20/$FM$19))+IF(CZ573="ap时",IF(DF573&lt;&gt;"",MIN(DF573/$FM$19,DA573*IF($O573="sk",$FM$10,$FM$9)),DA573*IF($O573="sk",$FM$10,$FM$9)))+IF(CZ573="ct时",IF(DF573&lt;&gt;"",MIN(DF573/$FM$19,DA573*IF($O573="sk",$FM$10,$FM$9)*$AU573),DA573*IF($O573="sk",$FM$10,$FM$9)*$AU573)))))</f>
        <v>0</v>
      </c>
      <c r="DL573" s="1101">
        <f t="shared" si="747"/>
        <v>0</v>
      </c>
      <c r="DM573" s="1097">
        <f t="shared" si="748"/>
        <v>0</v>
      </c>
      <c r="DN573" s="1097">
        <f t="shared" si="749"/>
        <v>0</v>
      </c>
      <c r="DO573" s="1097">
        <f t="shared" si="750"/>
        <v>0</v>
      </c>
      <c r="DP573" s="1110">
        <f t="shared" si="751"/>
        <v>0</v>
      </c>
      <c r="DQ573" s="1113" t="s">
        <v>556</v>
      </c>
      <c r="DR573" s="1120">
        <f t="shared" si="788"/>
        <v>0.3</v>
      </c>
      <c r="DS573" s="1124">
        <v>3</v>
      </c>
      <c r="DT573" s="1093" t="s">
        <v>161</v>
      </c>
      <c r="DU573" s="1093" t="s">
        <v>544</v>
      </c>
      <c r="DV573" s="1098">
        <f>IF($P573="","N/A",IF(P573=-1,INDEX('卡片raw data'!AN:AN,MATCH(D573,'卡片raw data'!$F:$F,)),0)+IF(AND(L573&lt;&gt;"party卡",P573&lt;=2,P573&gt;=0),INDEX('卡片raw data'!AP:AP,MATCH(D573,'卡片raw data'!$F:$F,)),0)+IF(OR(AND(L573="party卡",P573&lt;=1),AND(P573&lt;=4,L573&lt;&gt;"party卡",P573&gt;=3)),INDEX('卡片raw data'!AQ:AQ,MATCH(D573,'卡片raw data'!$F:$F,)),0)+IF(OR(P573=5,AND(L573="party卡",P573&gt;=2)),INDEX('卡片raw data'!AR:AR,MATCH(D573,'卡片raw data'!$F:$F,)),0))</f>
        <v>0.35</v>
      </c>
      <c r="DW573" s="1098">
        <f t="shared" si="752"/>
        <v>0.3</v>
      </c>
      <c r="DX573" s="1098">
        <f t="shared" si="753"/>
        <v>0.3</v>
      </c>
      <c r="DY573" s="1098">
        <f t="shared" si="754"/>
        <v>0.10499999999999998</v>
      </c>
      <c r="DZ573" s="1098">
        <f t="shared" si="755"/>
        <v>9.0824999999999989E-2</v>
      </c>
      <c r="EA573" s="1098">
        <f t="shared" si="756"/>
        <v>0</v>
      </c>
      <c r="EB573" s="1121">
        <f t="shared" si="757"/>
        <v>0</v>
      </c>
      <c r="EC573" s="1101">
        <f t="shared" si="758"/>
        <v>0</v>
      </c>
      <c r="ED573" s="1097">
        <f t="shared" si="759"/>
        <v>0</v>
      </c>
      <c r="EE573" s="1110">
        <f t="shared" si="775"/>
        <v>4567.2591582005616</v>
      </c>
      <c r="EF573" s="1115" t="s">
        <v>569</v>
      </c>
      <c r="EG573" s="1120">
        <f t="shared" si="789"/>
        <v>0.3</v>
      </c>
      <c r="EH573" s="1124"/>
      <c r="EI573" s="1093"/>
      <c r="EJ573" s="1093"/>
      <c r="EK573" s="1097">
        <f>IF($P573="","N/A",IF(P573=-1,INDEX('卡片raw data'!AS:AS,MATCH(D573,'卡片raw data'!$F:$F,)),0)+IF(AND(L573&lt;&gt;"party卡",P573&lt;=2,P573&gt;=0),INDEX('卡片raw data'!AU:AU,MATCH(D573,'卡片raw data'!$F:$F,)),0)+IF(OR(AND(L573="party卡",P573&lt;=1),AND(P573&lt;=4,L573&lt;&gt;"party卡",P573&gt;=3)),INDEX('卡片raw data'!AV:AV,MATCH(D573,'卡片raw data'!$F:$F,)),0)+IF(OR(P573=5,AND(L573="party卡",P573&gt;=2)),INDEX('卡片raw data'!AW:AW,MATCH(D573,'卡片raw data'!$F:$F,)),0))</f>
        <v>0</v>
      </c>
      <c r="EL573" s="1098">
        <f t="shared" si="760"/>
        <v>0.3</v>
      </c>
      <c r="EM573" s="1098">
        <f t="shared" si="761"/>
        <v>0.3</v>
      </c>
      <c r="EN573" s="1097">
        <f t="shared" si="762"/>
        <v>0</v>
      </c>
      <c r="EO573" s="1097">
        <f t="shared" si="763"/>
        <v>0</v>
      </c>
      <c r="EP573" s="1098">
        <f t="shared" si="764"/>
        <v>0</v>
      </c>
      <c r="EQ573" s="1121">
        <f t="shared" si="765"/>
        <v>0</v>
      </c>
      <c r="ER573" s="1101">
        <f t="shared" si="766"/>
        <v>0</v>
      </c>
      <c r="ES573" s="1097">
        <f t="shared" si="767"/>
        <v>0</v>
      </c>
      <c r="ET573" s="1122">
        <f t="shared" si="776"/>
        <v>0</v>
      </c>
    </row>
    <row r="574" spans="2:150" ht="16.5" customHeight="1">
      <c r="B574" s="1123" t="str">
        <f>INDEX('卡片raw data'!B:B,MATCH($D574,'卡片raw data'!$F:$F,))</f>
        <v>女仆黛</v>
      </c>
      <c r="C574" s="1025" t="s">
        <v>4671</v>
      </c>
      <c r="D574" s="408">
        <v>571</v>
      </c>
      <c r="E574" s="1164">
        <v>401043005</v>
      </c>
      <c r="F574" s="1090" t="str">
        <f>INDEX('卡片raw data'!C:C,MATCH($D574,'卡片raw data'!$F:$F,))</f>
        <v>UR</v>
      </c>
      <c r="G574" s="1026" t="s">
        <v>4674</v>
      </c>
      <c r="H574" s="411">
        <f>IFERROR(INDEX(绊状态确认!C:C,MATCH($G574,绊状态确认!$B:$B,)),"")</f>
        <v>104</v>
      </c>
      <c r="I574" s="450" t="str">
        <f>IFERROR(INDEX(绊状态确认!D:D,MATCH($G574,绊状态确认!$B:$B,)),"")</f>
        <v>水</v>
      </c>
      <c r="J574" s="450" t="str">
        <f>IFERROR(INDEX(绊状态确认!E:E,MATCH($G574,绊状态确认!$B:$B,)),"")</f>
        <v>3年级</v>
      </c>
      <c r="K574" s="451" t="str">
        <f>IFERROR(INDEX(绊状态确认!F:F,MATCH($G574,绊状态确认!$B:$B,)),"")</f>
        <v>AZALEA</v>
      </c>
      <c r="L574" s="1094" t="str">
        <f>INDEX('卡片raw data'!E:E,MATCH($D574,'卡片raw data'!$F:$F,))</f>
        <v>卡池卡</v>
      </c>
      <c r="M574" s="1065">
        <v>44504</v>
      </c>
      <c r="N574" s="1027">
        <v>51</v>
      </c>
      <c r="O574" s="1091" t="str">
        <f>INDEX('卡片raw data'!D:D,MATCH($D574,'卡片raw data'!$F:$F,))</f>
        <v>gd</v>
      </c>
      <c r="P574" s="1126">
        <v>5</v>
      </c>
      <c r="Q574" s="1095">
        <f t="shared" si="688"/>
        <v>54905.896593391066</v>
      </c>
      <c r="R574" s="1096">
        <f t="shared" si="689"/>
        <v>0.63800000000000001</v>
      </c>
      <c r="S574" s="1097">
        <f t="shared" si="690"/>
        <v>19374.194694390455</v>
      </c>
      <c r="T574" s="1098">
        <f t="shared" si="691"/>
        <v>0.96799999999999997</v>
      </c>
      <c r="U574" s="1099">
        <f t="shared" si="692"/>
        <v>120.68142341672456</v>
      </c>
      <c r="V574" s="1100">
        <f t="shared" si="693"/>
        <v>67055.841185718455</v>
      </c>
      <c r="W574" s="1101">
        <f t="shared" si="694"/>
        <v>4507.7214871259994</v>
      </c>
      <c r="X574" s="1096">
        <f t="shared" si="695"/>
        <v>5.1999999999999998E-2</v>
      </c>
      <c r="Y574" s="1097">
        <f t="shared" si="696"/>
        <v>3942.4568384964505</v>
      </c>
      <c r="Z574" s="1102">
        <f t="shared" si="697"/>
        <v>48.491423416724565</v>
      </c>
      <c r="AA574" s="1103">
        <f t="shared" si="698"/>
        <v>8450.1783256224498</v>
      </c>
      <c r="AB574" s="1101">
        <f t="shared" si="699"/>
        <v>4507.7214871259994</v>
      </c>
      <c r="AC574" s="1104">
        <f t="shared" si="700"/>
        <v>5.1999999999999998E-2</v>
      </c>
      <c r="AD574" s="1105">
        <f t="shared" si="701"/>
        <v>0</v>
      </c>
      <c r="AE574" s="1128">
        <f t="shared" si="702"/>
        <v>-6.25</v>
      </c>
      <c r="AF574" s="1130">
        <f t="shared" si="703"/>
        <v>0</v>
      </c>
      <c r="AG574" s="1097">
        <f t="shared" si="704"/>
        <v>0</v>
      </c>
      <c r="AH574" s="1097">
        <f t="shared" si="705"/>
        <v>0</v>
      </c>
      <c r="AI574" s="1097">
        <f t="shared" si="706"/>
        <v>0</v>
      </c>
      <c r="AJ574" s="1097">
        <f t="shared" si="707"/>
        <v>0</v>
      </c>
      <c r="AK574" s="1129">
        <f t="shared" si="708"/>
        <v>0</v>
      </c>
      <c r="AL574" s="1106">
        <f>IF($P574="","N/A",(IF($P574=-1,INDEX('卡片raw data'!S:S,MATCH($D574,'卡片raw data'!$F:$F,)),0)+IF($P574=0,INDEX('卡片raw data'!V:V,MATCH($D574,'卡片raw data'!$F:$F,)),0)+IF($P574=1,INDEX('卡片raw data'!Y:Y,MATCH($D574,'卡片raw data'!$F:$F,)),0)+IF($P574=2,INDEX('卡片raw data'!AB:AB,MATCH($D574,'卡片raw data'!$F:$F,)),0)+IF($P574=3,INDEX('卡片raw data'!AE:AE,MATCH($D574,'卡片raw data'!$F:$F,)),0)+IF($P574=4,INDEX('卡片raw data'!AH:AH,MATCH($D574,'卡片raw data'!$F:$F,)),0)+IF($P574=5,INDEX('卡片raw data'!AK:AK,MATCH($D574,'卡片raw data'!$F:$F,)),0)+INDEX('卡片raw data'!S:S,MATCH($D574,'卡片raw data'!$F:$F,))*(IF($F574="UR",0.04,0.033))*(IF($F574="UR",INDEX(绊状态确认!$S:$S,MATCH($G574,绊状态确认!$B:$B,))/2-40)+IF($F574="SR",INDEX(绊状态确认!$R:$R,MATCH($G574,绊状态确认!$B:$B,))/4-15))+IF($F574="R",INDEX(绊状态确认!$Q:$Q,MATCH($G574,绊状态确认!$B:$B,))/6-40/6)))*(INDEX(绊状态确认!$H:$H,MATCH($G574,绊状态确认!$B:$B,))+INDEX(绊状态确认!J:J,MATCH($G574,绊状态确认!$B:$B,)))</f>
        <v>13058.326943999997</v>
      </c>
      <c r="AM574" s="1106">
        <f>IF($P574="","N/A",(IF($P574=-1,INDEX('卡片raw data'!T:T,MATCH($D574,'卡片raw data'!$F:$F,)),0)+IF($P574=0,INDEX('卡片raw data'!W:W,MATCH($D574,'卡片raw data'!$F:$F,)),0)+IF($P574=1,INDEX('卡片raw data'!Z:Z,MATCH($D574,'卡片raw data'!$F:$F,)),0)+IF($P574=2,INDEX('卡片raw data'!AC:AC,MATCH($D574,'卡片raw data'!$F:$F,)),0)+IF($P574=3,INDEX('卡片raw data'!AF:AF,MATCH($D574,'卡片raw data'!$F:$F,)),0)+IF($P574=4,INDEX('卡片raw data'!AI:AI,MATCH($D574,'卡片raw data'!$F:$F,)),0)+IF($P574=5,INDEX('卡片raw data'!AL:AL,MATCH($D574,'卡片raw data'!$F:$F,)),0)+INDEX('卡片raw data'!T:T,MATCH($D574,'卡片raw data'!$F:$F,))*(IF($F574="UR",0.04,0.033))*(IF($F574="UR",INDEX(绊状态确认!$S:$S,MATCH($G574,绊状态确认!$B:$B,))/2-40)+IF($F574="SR",INDEX(绊状态确认!$R:$R,MATCH($G574,绊状态确认!$B:$B,))/4-15))+IF($F574="R",INDEX(绊状态确认!$Q:$Q,MATCH($G574,绊状态确认!$B:$B,))/6-40/6)))*(INDEX(绊状态确认!$H:$H,MATCH($G574,绊状态确认!$B:$B,))+INDEX(绊状态确认!K:K,MATCH($G574,绊状态确认!$B:$B,)))</f>
        <v>10367.877215999999</v>
      </c>
      <c r="AN574" s="1106">
        <f>IF($P574="","N/A",(IF($P574=-1,INDEX('卡片raw data'!U:U,MATCH($D574,'卡片raw data'!$F:$F,)),0)+IF($P574=0,INDEX('卡片raw data'!X:X,MATCH($D574,'卡片raw data'!$F:$F,)),0)+IF($P574=1,INDEX('卡片raw data'!AA:AA,MATCH($D574,'卡片raw data'!$F:$F,)),0)+IF($P574=2,INDEX('卡片raw data'!AD:AD,MATCH($D574,'卡片raw data'!$F:$F,)),0)+IF($P574=3,INDEX('卡片raw data'!AG:AG,MATCH($D574,'卡片raw data'!$F:$F,)),0)+IF($P574=4,INDEX('卡片raw data'!AJ:AJ,MATCH($D574,'卡片raw data'!$F:$F,)),0)+IF($P574=5,INDEX('卡片raw data'!AM:AM,MATCH($D574,'卡片raw data'!$F:$F,)),0)+INDEX('卡片raw data'!U:U,MATCH($D574,'卡片raw data'!$F:$F,))*(IF($F574="UR",0.04,0.033))*(IF($F574="UR",INDEX(绊状态确认!$S:$S,MATCH($G574,绊状态确认!$B:$B,))/2-40)+IF($F574="SR",INDEX(绊状态确认!$R:$R,MATCH($G574,绊状态确认!$B:$B,))/4-15))+IF($F574="R",INDEX(绊状态确认!$Q:$Q,MATCH($G574,绊状态确认!$B:$B,))/6-40/6)))*(INDEX(绊状态确认!$H:$H,MATCH($G574,绊状态确认!$B:$B,))+INDEX(绊状态确认!L:L,MATCH($G574,绊状态确认!$B:$B,)))</f>
        <v>14977.115615999999</v>
      </c>
      <c r="AO574" s="1107">
        <f t="shared" si="709"/>
        <v>1</v>
      </c>
      <c r="AP574" s="1131">
        <f>1+(INDEX(绊状态确认!$T:$T,MATCH($G574,绊状态确认!$B:$B,))+0.2)*$AO574</f>
        <v>1.3</v>
      </c>
      <c r="AQ574" s="1108">
        <f t="shared" si="710"/>
        <v>37528.10822799999</v>
      </c>
      <c r="AR574" s="1097">
        <f>(AM574*(1+$EX$9)+$EX$35)*(1+(INDEX(绊状态确认!$T:$T,MATCH($G574,绊状态确认!$B:$B,))+0.2)*AO574)*IF(J574=$FF$17,1+$FE$17,1)*IF(I574=$FF$14,1+$FE$14,1)</f>
        <v>16856.152399840001</v>
      </c>
      <c r="AS574" s="1097">
        <f>(AN574*(1+$EX$10)+$EX$36)*(1+(INDEX(绊状态确认!$T:$T,MATCH($G574,绊状态确认!$B:$B,))+0.2)*AO574)*IF(J574=$FF$17,1+$FE$17,1)*IF(I574=$FF$14,1+$FE$14,1)</f>
        <v>26446.787845919996</v>
      </c>
      <c r="AT574" s="1093">
        <f>IF(AND(INDEX('卡片raw data'!AK:AK,MATCH($D574,'卡片raw data'!$F:$F,))&lt;INDEX('卡片raw data'!AM:AM,MATCH($D574,'卡片raw data'!$F:$F,)),INDEX('卡片raw data'!AL:AL,MATCH($D574,'卡片raw data'!$F:$F,))&lt;INDEX('卡片raw data'!AM:AM,MATCH($D574,'卡片raw data'!$F:$F,))),1,0)</f>
        <v>1</v>
      </c>
      <c r="AU574" s="1098">
        <f>MIN(AT574*0.15+AS574*0.00003+INDEX(绊状态确认!M:M,MATCH($G574,绊状态确认!$B:$B,)),1)</f>
        <v>0.9734036353776</v>
      </c>
      <c r="AV574" s="1109">
        <f>(INDEX(绊状态确认!$N:$N,MATCH($G574,绊状态确认!$B:$B,))+1.5)*$EW$21</f>
        <v>2.6599999999999997</v>
      </c>
      <c r="AW574" s="1101">
        <f t="shared" si="711"/>
        <v>50983.175106265066</v>
      </c>
      <c r="AX574" s="1097">
        <f t="shared" si="712"/>
        <v>1458.8755235213218</v>
      </c>
      <c r="AY574" s="1110">
        <f t="shared" si="713"/>
        <v>52442.05062978639</v>
      </c>
      <c r="AZ574" s="1106">
        <f t="shared" si="714"/>
        <v>28063.737540799993</v>
      </c>
      <c r="BA574" s="1108">
        <f t="shared" si="715"/>
        <v>33676.485048959992</v>
      </c>
      <c r="BB574" s="1097">
        <f>(AM574*(1+$FB$9)+$FB$35)*(1+(INDEX(绊状态确认!$T:$T,MATCH($G574,绊状态确认!$B:$B,))+0.2)*AO574)*IF(J574=$FF$17,1+$FE$17,1)*IF(I574=$FF$14,1+$FE$14,1)*(1+$FE$15)</f>
        <v>16856.152399840001</v>
      </c>
      <c r="BC574" s="1097">
        <f>(AN574*(1+$FB$10)+$FB$36)*(1+(INDEX(绊状态确认!$T:$T,MATCH($G574,绊状态确认!$B:$B,))+0.2)*AO574)*IF(J574=$FF$17,1+$FE$17,1)*IF(I574=$FF$14,1+$FE$14,1)*(1+$FE$15)</f>
        <v>26446.787845919996</v>
      </c>
      <c r="BD574" s="1104">
        <f>MIN(AT574*0.15+BC574*0.00003+INDEX(绊状态确认!M:M,MATCH($G574,绊状态确认!$B:$B,)),1)</f>
        <v>0.9734036353776</v>
      </c>
      <c r="BE574" s="1109">
        <f>(INDEX(绊状态确认!$N:$N,MATCH($G574,绊状态确认!$B:$B,))+1.5)</f>
        <v>1.9</v>
      </c>
      <c r="BF574" s="1139">
        <f t="array" ref="BF574">SUMPRODUCT(IF(AZ574*AP574*$FI$16:$FI$23*$FA$22&gt;=$FI$24,$FI$24,AZ574*AP574*$FI$16:$FI$23*$FA$22),$FJ$16:$FJ$23)</f>
        <v>54118.030215009596</v>
      </c>
      <c r="BG574" s="1125">
        <f t="array" ref="BG574">SUMPRODUCT(IF(BE574*AZ574*AP574*$FI$16:$FI$23*$FA$22&gt;=$FI$24,$FI$24,BE574*AZ574*AP574*$FI$16:$FI$23*$FA$22),$FJ$16:$FJ$23)</f>
        <v>60000</v>
      </c>
      <c r="BH574" s="1110">
        <f t="shared" si="716"/>
        <v>19947.853662300153</v>
      </c>
      <c r="BI574" s="1111">
        <f>IF(O574="vo",$EW$26/$EW$24*0.05,0)+IF(O574="sk",-$EW$26/$EW$24*(0.05-INDEX(绊状态确认!W:W,MATCH($G574,绊状态确认!$B:$B,)))+0.05*$EW$28,0)+IF(O574="sp",0.05*$EW$32*$EW$30*(1-$EW$33)-(0.05-INDEX(绊状态确认!V:V,MATCH($G574,绊状态确认!$B:$B,)))*$EW$28,0)+IF(O574="gd",-(0.05-INDEX(绊状态确认!X:X,MATCH($G574,绊状态确认!$B:$B,)))*$EW$32*$EW$30*(1-$EW$33),0)</f>
        <v>-585.00000000000011</v>
      </c>
      <c r="BJ574" s="1097">
        <f>IF(O574="vo",0.05*(1-$FI$26)*$FA$24,0)+IF(O574="sk",-(0.05-INDEX(绊状态确认!W:W,MATCH($G574,绊状态确认!$B:$B,)))*(1-$FI$26)*$FA$24+0.05*$FA$26,0)+IF(O574="sp",0.05*$FA$32*$FA$27*(1-$FA$33)/$FA$30+0.05*$FA$29/$FA$69*$FA$27*(1-$FA$33)-(0.05-INDEX(绊状态确认!V:V,MATCH($G574,绊状态确认!$B:$B,)))*$FA$26,0)+IF(O574="gd",-(0.05-INDEX(绊状态确认!X:X,MATCH($G574,绊状态确认!$B:$B,)))*$FA$32*$FA$27*(1-$FA$33)/$FA$30-(0.05-INDEX(绊状态确认!X:X,MATCH($G574,绊状态确认!$B:$B,)))*$FA$29/$FA$69*$FA$27*(1-$FA$33),0)</f>
        <v>-795.00000000000011</v>
      </c>
      <c r="BK574" s="1110">
        <f>IF(O574="vo",$EW$26/$EW$24*0.05+$EW$26*(-HP($EW$62,$EW$65,$EW$64)+HP($EW$62,$EW$65,(1.05-INDEX(绊状态确认!U:U,MATCH($G574,绊状态确认!$B:$B,)))*$EW$64)),0)+IF(O574="sk",-$EW$26/$EW$24*(0.05-INDEX(绊状态确认!W:W,MATCH($G574,绊状态确认!$B:$B,)))+0.05*$EW$29,0)+IF(O574="sp",0.05*$EW$32*$EW$30*(1-$EW$33)-(0.05-INDEX(绊状态确认!V:V,MATCH($G574,绊状态确认!$B:$B,)))*$EW$29,0)+IF(O574="gd",-(0.05-INDEX(绊状态确认!X:X,MATCH($G574,绊状态确认!$B:$B,)))*$EW$32*$EW$30*(1-$EW$33)+$EW$26*(-HP($EW$62,$EW$65,$EW$64)+HP($EW$62,$EW$65,0.95*$EW$64)),0)</f>
        <v>1009.5947725176144</v>
      </c>
      <c r="BL574" s="1111">
        <f t="shared" si="717"/>
        <v>0</v>
      </c>
      <c r="BM574" s="1110">
        <f t="shared" si="718"/>
        <v>0</v>
      </c>
      <c r="BN574" s="1113">
        <f t="shared" si="719"/>
        <v>3</v>
      </c>
      <c r="BO574" s="1108">
        <f t="shared" si="720"/>
        <v>4507.7214871259994</v>
      </c>
      <c r="BP574" s="1127">
        <f t="shared" si="721"/>
        <v>221.34103209030098</v>
      </c>
      <c r="BQ574" s="1167" t="s">
        <v>1943</v>
      </c>
      <c r="BR574" s="1124" t="s">
        <v>161</v>
      </c>
      <c r="BS574" s="1098">
        <f>IF($P574="","N/A",IF($P574=-1,INDEX('卡片raw data'!AX:AX,MATCH($D574,'卡片raw data'!$F:$F,)),0)+IF($L574="party卡",IF($P574=5,INDEX('卡片raw data'!BD:BD,MATCH($D574,'卡片raw data'!$F:$F,)),IF($P574&gt;=3,INDEX('卡片raw data'!BC:BC,MATCH($D574,'卡片raw data'!$F:$F,)),INDEX('卡片raw data'!BB:BB,MATCH($D574,'卡片raw data'!$F:$F,)))),IF(OR(AND($F574="UR",$P574=0),AND($F574="SR",$P574&gt;=0,$P574&lt;=2),AND($F574="R",$P574&gt;=0,$P574&lt;4)),INDEX('卡片raw data'!AZ:AZ,MATCH($D574,'卡片raw data'!$F:$F,)),0)+IF(OR(AND($F574="UR",$P574&gt;=1,$P574&lt;=4),AND($F574="SR",$P574&lt;=4,$P574&gt;=3),AND($F574="R",$P574=4)),INDEX('卡片raw data'!BA:BA,MATCH($D574,'卡片raw data'!$F:$F,)),0)+IF($P574=5,INDEX('卡片raw data'!BB:BB,MATCH($D574,'卡片raw data'!$F:$F,)),0)))</f>
        <v>4.2000000000000003E-2</v>
      </c>
      <c r="BT574" s="1101">
        <f t="shared" si="722"/>
        <v>0</v>
      </c>
      <c r="BU574" s="1097">
        <f t="shared" si="723"/>
        <v>0</v>
      </c>
      <c r="BV574" s="1097">
        <f t="shared" si="724"/>
        <v>0</v>
      </c>
      <c r="BW574" s="1112">
        <f t="shared" si="725"/>
        <v>4.4246249999999989</v>
      </c>
      <c r="BX574" s="1100">
        <f t="shared" si="726"/>
        <v>347.58109106159276</v>
      </c>
      <c r="BY574" s="1110">
        <f t="shared" si="727"/>
        <v>347.58109106159276</v>
      </c>
      <c r="BZ574" s="1113" t="s">
        <v>569</v>
      </c>
      <c r="CA574" s="1124"/>
      <c r="CB574" s="1098">
        <f>IF($P574="","N/A",IF($P574=-1,INDEX('卡片raw data'!BE:BE,MATCH($D574,'卡片raw data'!$F:$F,)),0)+IF($L574="party卡",IF($P574=5,INDEX('卡片raw data'!BK:BK,MATCH($D574,'卡片raw data'!$F:$F,)),IF($P574&gt;=3,INDEX('卡片raw data'!BJ:BJ,MATCH($D574,'卡片raw data'!$F:$F,)),INDEX('卡片raw data'!BI:BI,MATCH($D574,'卡片raw data'!$F:$F,)))),IF(OR(AND($F574="UR",$P574=0),AND($F574="SR",$P574&gt;=0,$P574&lt;=2),AND($F574="R",$P574&gt;=0,$P574&lt;4)),INDEX('卡片raw data'!BG:BG,MATCH($D574,'卡片raw data'!$F:$F,)),0)+IF(OR(AND($F574="UR",$P574&gt;=1,$P574&lt;=4),AND($F574="SR",$P574&lt;=4,$P574&gt;=3),AND($F574="R",$P574=4)),INDEX('卡片raw data'!BH:BH,MATCH($D574,'卡片raw data'!$F:$F,)),0)+IF($P574=5,INDEX('卡片raw data'!BI:BI,MATCH($D574,'卡片raw data'!$F:$F,)),0)))</f>
        <v>0</v>
      </c>
      <c r="CC574" s="1101">
        <f t="shared" si="786"/>
        <v>0</v>
      </c>
      <c r="CD574" s="1097">
        <f>IF(BZ574="ap",CB574*(1-$FI$26)*$FB$5/$FB$11*(+IF(CA574="全员",$FA$24,0)+IF(CA574="同作战",$FA$24,0)+IF(CA574="仲间",$FA$24*2/3,0)+IF(CA574="同属性",$FA$24*$FA$37/3,0)+IF(CA574="同年级",$FA$24*$FA$40/3,0)+IF(CA574="同学校",$FA$24*$FA$43/3,0)+IF(CA574="同小队",$FA$24*$FA$46/3,0)+IF(CA574="同type",$FA$24*INDEX($FB$49:$FB$52,MATCH(X574,$FA$49:$FA$52,))/3,0)+IF(CA574="自身",#REF!/3,0)),0)+IF(BZ574="te",CB574*(1-$FI$27)*($FA$20-1)*$FB$7/$FB$13*(+IF(CA574="全员",$FA$19*$FA$24/(1+($FA$20-1)*$FA$19),0)+IF(CA574="同作战",$FA$19*$FA$24/(1+($FA$20-1)*$FA$19),0)+IF(CA574="仲间",$FA$19*$FA$24*2/3/(1+($FA$20-1)*$FA$19),0)+IF(CA574="同属性",$FA$19*$FA$24*$FA$37/3/(1+($FA$20-1)*$FA$19),0)+IF(CA574="同年级",$FA$19*$FA$24*$FA$40/3/(1+($FA$20-1)*$FA$19),0)+IF(CA574="同学校",$FA$19*$FA$24*$FA$43/3/(1+($FA$20-1)*$FA$19),0)+IF(CA574="同小队",$FA$19*$FA$24*$FA$46/3/(1+($FA$20-1)*$FA$19),0)+IF(CA574="同type",$FA$19*$FA$24*INDEX($FB$49:$FB$52,MATCH(X574,$FA$49:$FA$52,))/3/(1+($FA$20-1)*$FA$19),0)+IF(CA574="自身",$FA$19*#REF!/3/(1+(BH574-1)*$BD574),0)),0)</f>
        <v>0</v>
      </c>
      <c r="CE574" s="1097">
        <f t="shared" si="729"/>
        <v>0</v>
      </c>
      <c r="CF574" s="1112">
        <f t="shared" si="787"/>
        <v>0</v>
      </c>
      <c r="CG574" s="1100">
        <f t="shared" si="731"/>
        <v>0</v>
      </c>
      <c r="CH574" s="1110">
        <f t="shared" si="732"/>
        <v>0</v>
      </c>
      <c r="CI574" s="1113" t="s">
        <v>162</v>
      </c>
      <c r="CJ574" s="1114">
        <v>1</v>
      </c>
      <c r="CK574" s="1115" t="s">
        <v>2305</v>
      </c>
      <c r="CL574" s="1115" t="s">
        <v>1943</v>
      </c>
      <c r="CM574" s="1119">
        <v>7.1999999999999995E-2</v>
      </c>
      <c r="CN574" s="1169"/>
      <c r="CO574" s="1169"/>
      <c r="CP574" s="1116">
        <f t="shared" si="733"/>
        <v>26.006635131181714</v>
      </c>
      <c r="CQ574" s="1116">
        <f t="shared" si="734"/>
        <v>40.454765759616002</v>
      </c>
      <c r="CR574" s="1116">
        <f t="shared" si="735"/>
        <v>26.006635131181714</v>
      </c>
      <c r="CS574" s="1118">
        <f t="shared" si="782"/>
        <v>0</v>
      </c>
      <c r="CT574" s="1109">
        <f t="shared" si="783"/>
        <v>0</v>
      </c>
      <c r="CU574" s="1101">
        <f t="shared" si="738"/>
        <v>0</v>
      </c>
      <c r="CV574" s="1108">
        <f t="shared" si="777"/>
        <v>0</v>
      </c>
      <c r="CW574" s="1097">
        <f t="shared" si="739"/>
        <v>0</v>
      </c>
      <c r="CX574" s="1097">
        <f t="shared" si="740"/>
        <v>2136.0002239135365</v>
      </c>
      <c r="CY574" s="1110">
        <f t="shared" si="741"/>
        <v>2136.0002239135365</v>
      </c>
      <c r="CZ574" s="1113"/>
      <c r="DA574" s="1114"/>
      <c r="DB574" s="1115" t="s">
        <v>569</v>
      </c>
      <c r="DC574" s="1115"/>
      <c r="DD574" s="1119"/>
      <c r="DE574" s="1092"/>
      <c r="DF574" s="1092"/>
      <c r="DG574" s="1116">
        <f t="shared" si="742"/>
        <v>0</v>
      </c>
      <c r="DH574" s="1116">
        <f t="shared" si="743"/>
        <v>0</v>
      </c>
      <c r="DI574" s="1116">
        <f t="shared" si="744"/>
        <v>0</v>
      </c>
      <c r="DJ574" s="1118">
        <f t="shared" si="790"/>
        <v>0</v>
      </c>
      <c r="DK574" s="1109">
        <f t="shared" si="791"/>
        <v>0</v>
      </c>
      <c r="DL574" s="1101">
        <f t="shared" si="747"/>
        <v>0</v>
      </c>
      <c r="DM574" s="1097">
        <f t="shared" si="748"/>
        <v>0</v>
      </c>
      <c r="DN574" s="1097">
        <f t="shared" si="749"/>
        <v>0</v>
      </c>
      <c r="DO574" s="1097">
        <f t="shared" si="750"/>
        <v>0</v>
      </c>
      <c r="DP574" s="1110">
        <f t="shared" si="751"/>
        <v>0</v>
      </c>
      <c r="DQ574" s="1113" t="s">
        <v>556</v>
      </c>
      <c r="DR574" s="1120">
        <f t="shared" si="788"/>
        <v>0.33</v>
      </c>
      <c r="DS574" s="1124">
        <v>4</v>
      </c>
      <c r="DT574" s="1093" t="s">
        <v>161</v>
      </c>
      <c r="DU574" s="1093" t="s">
        <v>544</v>
      </c>
      <c r="DV574" s="1098">
        <f>IF($P574="","N/A",IF(P574=-1,INDEX('卡片raw data'!AN:AN,MATCH(D574,'卡片raw data'!$F:$F,)),0)+IF(AND(L574&lt;&gt;"party卡",P574&lt;=2,P574&gt;=0),INDEX('卡片raw data'!AP:AP,MATCH(D574,'卡片raw data'!$F:$F,)),0)+IF(OR(AND(L574="party卡",P574&lt;=1),AND(P574&lt;=4,L574&lt;&gt;"party卡",P574&gt;=3)),INDEX('卡片raw data'!AQ:AQ,MATCH(D574,'卡片raw data'!$F:$F,)),0)+IF(OR(P574=5,AND(L574="party卡",P574&gt;=2)),INDEX('卡片raw data'!AR:AR,MATCH(D574,'卡片raw data'!$F:$F,)),0))</f>
        <v>0.33</v>
      </c>
      <c r="DW574" s="1098">
        <f t="shared" si="752"/>
        <v>0.33</v>
      </c>
      <c r="DX574" s="1098">
        <f t="shared" si="753"/>
        <v>0.33</v>
      </c>
      <c r="DY574" s="1098">
        <f t="shared" si="754"/>
        <v>0.14520000000000002</v>
      </c>
      <c r="DZ574" s="1098">
        <f t="shared" si="755"/>
        <v>0.12559800000000002</v>
      </c>
      <c r="EA574" s="1098">
        <f t="shared" si="756"/>
        <v>0</v>
      </c>
      <c r="EB574" s="1121">
        <f t="shared" si="757"/>
        <v>0</v>
      </c>
      <c r="EC574" s="1101">
        <f t="shared" si="758"/>
        <v>0</v>
      </c>
      <c r="ED574" s="1097">
        <f t="shared" si="759"/>
        <v>0</v>
      </c>
      <c r="EE574" s="1110">
        <f t="shared" si="775"/>
        <v>6612.8929813133173</v>
      </c>
      <c r="EF574" s="1115" t="s">
        <v>569</v>
      </c>
      <c r="EG574" s="1120">
        <f t="shared" si="789"/>
        <v>0.33</v>
      </c>
      <c r="EH574" s="1124"/>
      <c r="EI574" s="1093"/>
      <c r="EJ574" s="1093"/>
      <c r="EK574" s="1097">
        <f>IF($P574="","N/A",IF(P574=-1,INDEX('卡片raw data'!AS:AS,MATCH(D574,'卡片raw data'!$F:$F,)),0)+IF(AND(L574&lt;&gt;"party卡",P574&lt;=2,P574&gt;=0),INDEX('卡片raw data'!AU:AU,MATCH(D574,'卡片raw data'!$F:$F,)),0)+IF(OR(AND(L574="party卡",P574&lt;=1),AND(P574&lt;=4,L574&lt;&gt;"party卡",P574&gt;=3)),INDEX('卡片raw data'!AV:AV,MATCH(D574,'卡片raw data'!$F:$F,)),0)+IF(OR(P574=5,AND(L574="party卡",P574&gt;=2)),INDEX('卡片raw data'!AW:AW,MATCH(D574,'卡片raw data'!$F:$F,)),0))</f>
        <v>0</v>
      </c>
      <c r="EL574" s="1098">
        <f t="shared" si="760"/>
        <v>0.33</v>
      </c>
      <c r="EM574" s="1098">
        <f t="shared" si="761"/>
        <v>0.33</v>
      </c>
      <c r="EN574" s="1097">
        <f t="shared" si="762"/>
        <v>0</v>
      </c>
      <c r="EO574" s="1097">
        <f t="shared" si="763"/>
        <v>0</v>
      </c>
      <c r="EP574" s="1098">
        <f t="shared" si="764"/>
        <v>0</v>
      </c>
      <c r="EQ574" s="1121">
        <f t="shared" si="765"/>
        <v>0</v>
      </c>
      <c r="ER574" s="1101">
        <f t="shared" si="766"/>
        <v>0</v>
      </c>
      <c r="ES574" s="1097">
        <f t="shared" si="767"/>
        <v>0</v>
      </c>
      <c r="ET574" s="1122">
        <f t="shared" si="776"/>
        <v>0</v>
      </c>
    </row>
    <row r="575" spans="2:150" ht="16.5" customHeight="1">
      <c r="B575" s="1123" t="str">
        <f>INDEX('卡片raw data'!B:B,MATCH($D575,'卡片raw data'!$F:$F,))</f>
        <v>女仆鸟</v>
      </c>
      <c r="C575" s="1025" t="s">
        <v>4677</v>
      </c>
      <c r="D575" s="408">
        <v>572</v>
      </c>
      <c r="E575" s="1164">
        <v>400033005</v>
      </c>
      <c r="F575" s="1090" t="str">
        <f>INDEX('卡片raw data'!C:C,MATCH($D575,'卡片raw data'!$F:$F,))</f>
        <v>UR</v>
      </c>
      <c r="G575" s="1026" t="s">
        <v>4678</v>
      </c>
      <c r="H575" s="411">
        <f>IFERROR(INDEX(绊状态确认!C:C,MATCH($G575,绊状态确认!$B:$B,)),"")</f>
        <v>3</v>
      </c>
      <c r="I575" s="1124" t="str">
        <f>IFERROR(INDEX(绊状态确认!D:D,MATCH($G575,绊状态确认!$B:$B,)),"")</f>
        <v>缪</v>
      </c>
      <c r="J575" s="1124" t="str">
        <f>IFERROR(INDEX(绊状态确认!E:E,MATCH($G575,绊状态确认!$B:$B,)),"")</f>
        <v>2年级</v>
      </c>
      <c r="K575" s="451" t="str">
        <f>IFERROR(INDEX(绊状态确认!F:F,MATCH($G575,绊状态确认!$B:$B,)),"")</f>
        <v>Printemps</v>
      </c>
      <c r="L575" s="1094" t="str">
        <f>INDEX('卡片raw data'!E:E,MATCH($D575,'卡片raw data'!$F:$F,))</f>
        <v>活动卡</v>
      </c>
      <c r="M575" s="1065">
        <v>44504</v>
      </c>
      <c r="N575" s="1027">
        <v>51</v>
      </c>
      <c r="O575" s="1091" t="str">
        <f>INDEX('卡片raw data'!D:D,MATCH($D575,'卡片raw data'!$F:$F,))</f>
        <v>sk</v>
      </c>
      <c r="P575" s="1126">
        <v>5</v>
      </c>
      <c r="Q575" s="1095">
        <f t="shared" si="688"/>
        <v>48128.561308131546</v>
      </c>
      <c r="R575" s="1096">
        <f t="shared" si="689"/>
        <v>0.55900000000000005</v>
      </c>
      <c r="S575" s="1097">
        <f t="shared" si="690"/>
        <v>20720.331028011256</v>
      </c>
      <c r="T575" s="1098">
        <f t="shared" si="691"/>
        <v>1.036</v>
      </c>
      <c r="U575" s="1099">
        <f t="shared" si="692"/>
        <v>13.352624012742854</v>
      </c>
      <c r="V575" s="1100">
        <f t="shared" si="693"/>
        <v>51196.734380796865</v>
      </c>
      <c r="W575" s="1101">
        <f t="shared" si="694"/>
        <v>5559.5231674553997</v>
      </c>
      <c r="X575" s="1096">
        <f t="shared" si="695"/>
        <v>6.4000000000000001E-2</v>
      </c>
      <c r="Y575" s="1097">
        <f t="shared" si="696"/>
        <v>1068.1730726653186</v>
      </c>
      <c r="Z575" s="1102">
        <f t="shared" si="697"/>
        <v>13.352624012742854</v>
      </c>
      <c r="AA575" s="1103">
        <f t="shared" si="698"/>
        <v>6627.6962401207184</v>
      </c>
      <c r="AB575" s="1101">
        <f t="shared" si="699"/>
        <v>7681.4340552033264</v>
      </c>
      <c r="AC575" s="1104">
        <f t="shared" si="700"/>
        <v>8.8999999999999996E-2</v>
      </c>
      <c r="AD575" s="1105">
        <f t="shared" si="701"/>
        <v>1.4186306818181789E-3</v>
      </c>
      <c r="AE575" s="1128">
        <f t="shared" si="702"/>
        <v>2.0537577047458457</v>
      </c>
      <c r="AF575" s="1130">
        <f t="shared" si="703"/>
        <v>0</v>
      </c>
      <c r="AG575" s="1097">
        <f t="shared" si="704"/>
        <v>0</v>
      </c>
      <c r="AH575" s="1097">
        <f t="shared" si="705"/>
        <v>0</v>
      </c>
      <c r="AI575" s="1097">
        <f t="shared" si="706"/>
        <v>0</v>
      </c>
      <c r="AJ575" s="1097">
        <f t="shared" si="707"/>
        <v>0</v>
      </c>
      <c r="AK575" s="1129">
        <f t="shared" si="708"/>
        <v>0</v>
      </c>
      <c r="AL575" s="1106">
        <f>IF($P575="","N/A",(IF($P575=-1,INDEX('卡片raw data'!S:S,MATCH($D575,'卡片raw data'!$F:$F,)),0)+IF($P575=0,INDEX('卡片raw data'!V:V,MATCH($D575,'卡片raw data'!$F:$F,)),0)+IF($P575=1,INDEX('卡片raw data'!Y:Y,MATCH($D575,'卡片raw data'!$F:$F,)),0)+IF($P575=2,INDEX('卡片raw data'!AB:AB,MATCH($D575,'卡片raw data'!$F:$F,)),0)+IF($P575=3,INDEX('卡片raw data'!AE:AE,MATCH($D575,'卡片raw data'!$F:$F,)),0)+IF($P575=4,INDEX('卡片raw data'!AH:AH,MATCH($D575,'卡片raw data'!$F:$F,)),0)+IF($P575=5,INDEX('卡片raw data'!AK:AK,MATCH($D575,'卡片raw data'!$F:$F,)),0)+INDEX('卡片raw data'!S:S,MATCH($D575,'卡片raw data'!$F:$F,))*(IF($F575="UR",0.04,0.033))*(IF($F575="UR",INDEX(绊状态确认!$S:$S,MATCH($G575,绊状态确认!$B:$B,))/2-40)+IF($F575="SR",INDEX(绊状态确认!$R:$R,MATCH($G575,绊状态确认!$B:$B,))/4-15))+IF($F575="R",INDEX(绊状态确认!$Q:$Q,MATCH($G575,绊状态确认!$B:$B,))/6-40/6)))*(INDEX(绊状态确认!$H:$H,MATCH($G575,绊状态确认!$B:$B,))+INDEX(绊状态确认!J:J,MATCH($G575,绊状态确认!$B:$B,)))</f>
        <v>12349.213343999998</v>
      </c>
      <c r="AM575" s="1106">
        <f>IF($P575="","N/A",(IF($P575=-1,INDEX('卡片raw data'!T:T,MATCH($D575,'卡片raw data'!$F:$F,)),0)+IF($P575=0,INDEX('卡片raw data'!W:W,MATCH($D575,'卡片raw data'!$F:$F,)),0)+IF($P575=1,INDEX('卡片raw data'!Z:Z,MATCH($D575,'卡片raw data'!$F:$F,)),0)+IF($P575=2,INDEX('卡片raw data'!AC:AC,MATCH($D575,'卡片raw data'!$F:$F,)),0)+IF($P575=3,INDEX('卡片raw data'!AF:AF,MATCH($D575,'卡片raw data'!$F:$F,)),0)+IF($P575=4,INDEX('卡片raw data'!AI:AI,MATCH($D575,'卡片raw data'!$F:$F,)),0)+IF($P575=5,INDEX('卡片raw data'!AL:AL,MATCH($D575,'卡片raw data'!$F:$F,)),0)+INDEX('卡片raw data'!T:T,MATCH($D575,'卡片raw data'!$F:$F,))*(IF($F575="UR",0.04,0.033))*(IF($F575="UR",INDEX(绊状态确认!$S:$S,MATCH($G575,绊状态确认!$B:$B,))/2-40)+IF($F575="SR",INDEX(绊状态确认!$R:$R,MATCH($G575,绊状态确认!$B:$B,))/4-15))+IF($F575="R",INDEX(绊状态确认!$Q:$Q,MATCH($G575,绊状态确认!$B:$B,))/6-40/6)))*(INDEX(绊状态确认!$H:$H,MATCH($G575,绊状态确认!$B:$B,))+INDEX(绊状态确认!K:K,MATCH($G575,绊状态确认!$B:$B,)))</f>
        <v>7149.0469439999988</v>
      </c>
      <c r="AN575" s="1106">
        <f>IF($P575="","N/A",(IF($P575=-1,INDEX('卡片raw data'!U:U,MATCH($D575,'卡片raw data'!$F:$F,)),0)+IF($P575=0,INDEX('卡片raw data'!X:X,MATCH($D575,'卡片raw data'!$F:$F,)),0)+IF($P575=1,INDEX('卡片raw data'!AA:AA,MATCH($D575,'卡片raw data'!$F:$F,)),0)+IF($P575=2,INDEX('卡片raw data'!AD:AD,MATCH($D575,'卡片raw data'!$F:$F,)),0)+IF($P575=3,INDEX('卡片raw data'!AG:AG,MATCH($D575,'卡片raw data'!$F:$F,)),0)+IF($P575=4,INDEX('卡片raw data'!AJ:AJ,MATCH($D575,'卡片raw data'!$F:$F,)),0)+IF($P575=5,INDEX('卡片raw data'!AM:AM,MATCH($D575,'卡片raw data'!$F:$F,)),0)+INDEX('卡片raw data'!U:U,MATCH($D575,'卡片raw data'!$F:$F,))*(IF($F575="UR",0.04,0.033))*(IF($F575="UR",INDEX(绊状态确认!$S:$S,MATCH($G575,绊状态确认!$B:$B,))/2-40)+IF($F575="SR",INDEX(绊状态确认!$R:$R,MATCH($G575,绊状态确认!$B:$B,))/4-15))+IF($F575="R",INDEX(绊状态确认!$Q:$Q,MATCH($G575,绊状态确认!$B:$B,))/6-40/6)))*(INDEX(绊状态确认!$H:$H,MATCH($G575,绊状态确认!$B:$B,))+INDEX(绊状态确认!L:L,MATCH($G575,绊状态确认!$B:$B,)))</f>
        <v>13000.415999999997</v>
      </c>
      <c r="AO575" s="1107">
        <f t="shared" si="709"/>
        <v>1</v>
      </c>
      <c r="AP575" s="1131">
        <f>1+(INDEX(绊状态确认!$T:$T,MATCH($G575,绊状态确认!$B:$B,))+0.2)*$AO575</f>
        <v>1.3</v>
      </c>
      <c r="AQ575" s="1108">
        <f t="shared" si="710"/>
        <v>35666.685028</v>
      </c>
      <c r="AR575" s="1097">
        <f>(AM575*(1+$EX$9)+$EX$35)*(1+(INDEX(绊状态确认!$T:$T,MATCH($G575,绊状态确认!$B:$B,))+0.2)*AO575)*IF(J575=$FF$17,1+$FE$17,1)*IF(I575=$FF$14,1+$FE$14,1)</f>
        <v>12462.449078559997</v>
      </c>
      <c r="AS575" s="1097">
        <f>(AN575*(1+$EX$10)+$EX$36)*(1+(INDEX(绊状态确认!$T:$T,MATCH($G575,绊状态确认!$B:$B,))+0.2)*AO575)*IF(J575=$FF$17,1+$FE$17,1)*IF(I575=$FF$14,1+$FE$14,1)</f>
        <v>23491.621919999998</v>
      </c>
      <c r="AT575" s="1093">
        <f>IF(AND(INDEX('卡片raw data'!AK:AK,MATCH($D575,'卡片raw data'!$F:$F,))&lt;INDEX('卡片raw data'!AM:AM,MATCH($D575,'卡片raw data'!$F:$F,)),INDEX('卡片raw data'!AL:AL,MATCH($D575,'卡片raw data'!$F:$F,))&lt;INDEX('卡片raw data'!AM:AM,MATCH($D575,'卡片raw data'!$F:$F,))),1,0)</f>
        <v>1</v>
      </c>
      <c r="AU575" s="1098">
        <f>MIN(AT575*0.15+AS575*0.00003+INDEX(绊状态确认!M:M,MATCH($G575,绊状态确认!$B:$B,)),1)</f>
        <v>0.88474865759999999</v>
      </c>
      <c r="AV575" s="1109">
        <f>(INDEX(绊状态确认!$N:$N,MATCH($G575,绊状态确认!$B:$B,))+1.5)*$EW$21</f>
        <v>2.6599999999999997</v>
      </c>
      <c r="AW575" s="1101">
        <f t="shared" si="711"/>
        <v>45728.335831714721</v>
      </c>
      <c r="AX575" s="1097">
        <f t="shared" si="712"/>
        <v>1068.1730726653186</v>
      </c>
      <c r="AY575" s="1110">
        <f t="shared" si="713"/>
        <v>46796.50890438004</v>
      </c>
      <c r="AZ575" s="1106">
        <f t="shared" si="714"/>
        <v>26680.966020799995</v>
      </c>
      <c r="BA575" s="1108">
        <f t="shared" si="715"/>
        <v>32017.159224959993</v>
      </c>
      <c r="BB575" s="1097">
        <f>(AM575*(1+$FB$9)+$FB$35)*(1+(INDEX(绊状态确认!$T:$T,MATCH($G575,绊状态确认!$B:$B,))+0.2)*AO575)*IF(J575=$FF$17,1+$FE$17,1)*IF(I575=$FF$14,1+$FE$14,1)*(1+$FE$15)</f>
        <v>12462.449078559997</v>
      </c>
      <c r="BC575" s="1097">
        <f>(AN575*(1+$FB$10)+$FB$36)*(1+(INDEX(绊状态确认!$T:$T,MATCH($G575,绊状态确认!$B:$B,))+0.2)*AO575)*IF(J575=$FF$17,1+$FE$17,1)*IF(I575=$FF$14,1+$FE$14,1)*(1+$FE$15)</f>
        <v>23491.621919999998</v>
      </c>
      <c r="BD575" s="1104">
        <f>MIN(AT575*0.15+BC575*0.00003+INDEX(绊状态确认!M:M,MATCH($G575,绊状态确认!$B:$B,)),1)</f>
        <v>0.88474865759999999</v>
      </c>
      <c r="BE575" s="1109">
        <f>(INDEX(绊状态确认!$N:$N,MATCH($G575,绊状态确认!$B:$B,))+1.5)</f>
        <v>1.9</v>
      </c>
      <c r="BF575" s="1139">
        <f t="array" ref="BF575">SUMPRODUCT(IF(AZ575*AP575*$FI$16:$FI$23*$FA$22&gt;=$FI$24,$FI$24,AZ575*AP575*$FI$16:$FI$23*$FA$22),$FJ$16:$FJ$23)</f>
        <v>52234.896759366398</v>
      </c>
      <c r="BG575" s="1125">
        <f t="array" ref="BG575">SUMPRODUCT(IF(BE575*AZ575*AP575*$FI$16:$FI$23*$FA$22&gt;=$FI$24,$FI$24,BE575*AZ575*AP575*$FI$16:$FI$23*$FA$22),$FJ$16:$FJ$23)</f>
        <v>60000</v>
      </c>
      <c r="BH575" s="1110">
        <f t="shared" si="716"/>
        <v>19701.687142547464</v>
      </c>
      <c r="BI575" s="1111">
        <f>IF(O575="vo",$EW$26/$EW$24*0.05,0)+IF(O575="sk",-$EW$26/$EW$24*(0.05-INDEX(绊状态确认!W:W,MATCH($G575,绊状态确认!$B:$B,)))+0.05*$EW$28,0)+IF(O575="sp",0.05*$EW$32*$EW$30*(1-$EW$33)-(0.05-INDEX(绊状态确认!V:V,MATCH($G575,绊状态确认!$B:$B,)))*$EW$28,0)+IF(O575="gd",-(0.05-INDEX(绊状态确认!X:X,MATCH($G575,绊状态确认!$B:$B,)))*$EW$32*$EW$30*(1-$EW$33),0)</f>
        <v>-6253.6726349699375</v>
      </c>
      <c r="BJ575" s="1097">
        <f>IF(O575="vo",0.05*(1-$FI$26)*$FA$24,0)+IF(O575="sk",-(0.05-INDEX(绊状态确认!W:W,MATCH($G575,绊状态确认!$B:$B,)))*(1-$FI$26)*$FA$24+0.05*$FA$26,0)+IF(O575="sp",0.05*$FA$32*$FA$27*(1-$FA$33)/$FA$30+0.05*$FA$29/$FA$69*$FA$27*(1-$FA$33)-(0.05-INDEX(绊状态确认!V:V,MATCH($G575,绊状态确认!$B:$B,)))*$FA$26,0)+IF(O575="gd",-(0.05-INDEX(绊状态确认!X:X,MATCH($G575,绊状态确认!$B:$B,)))*$FA$32*$FA$27*(1-$FA$33)/$FA$30-(0.05-INDEX(绊状态确认!X:X,MATCH($G575,绊状态确认!$B:$B,)))*$FA$29/$FA$69*$FA$27*(1-$FA$33),0)</f>
        <v>20.459096812499922</v>
      </c>
      <c r="BK575" s="1110">
        <f>IF(O575="vo",$EW$26/$EW$24*0.05+$EW$26*(-HP($EW$62,$EW$65,$EW$64)+HP($EW$62,$EW$65,(1.05-INDEX(绊状态确认!U:U,MATCH($G575,绊状态确认!$B:$B,)))*$EW$64)),0)+IF(O575="sk",-$EW$26/$EW$24*(0.05-INDEX(绊状态确认!W:W,MATCH($G575,绊状态确认!$B:$B,)))+0.05*$EW$29,0)+IF(O575="sp",0.05*$EW$32*$EW$30*(1-$EW$33)-(0.05-INDEX(绊状态确认!V:V,MATCH($G575,绊状态确认!$B:$B,)))*$EW$29,0)+IF(O575="gd",-(0.05-INDEX(绊状态确认!X:X,MATCH($G575,绊状态确认!$B:$B,)))*$EW$32*$EW$30*(1-$EW$33)+$EW$26*(-HP($EW$62,$EW$65,$EW$64)+HP($EW$62,$EW$65,0.95*$EW$64)),0)</f>
        <v>-4253.6726349699375</v>
      </c>
      <c r="BL575" s="1111">
        <f t="shared" si="717"/>
        <v>0</v>
      </c>
      <c r="BM575" s="1110">
        <f t="shared" si="718"/>
        <v>0</v>
      </c>
      <c r="BN575" s="1113">
        <f t="shared" si="719"/>
        <v>3</v>
      </c>
      <c r="BO575" s="1108">
        <f t="shared" si="720"/>
        <v>4507.7214871259994</v>
      </c>
      <c r="BP575" s="1127">
        <f t="shared" si="721"/>
        <v>221.34103209030098</v>
      </c>
      <c r="BQ575" s="1167" t="s">
        <v>1940</v>
      </c>
      <c r="BR575" s="1165" t="s">
        <v>2075</v>
      </c>
      <c r="BS575" s="1098">
        <f>IF($P575="","N/A",IF($P575=-1,INDEX('卡片raw data'!AX:AX,MATCH($D575,'卡片raw data'!$F:$F,)),0)+IF($L575="party卡",IF($P575=5,INDEX('卡片raw data'!BD:BD,MATCH($D575,'卡片raw data'!$F:$F,)),IF($P575&gt;=3,INDEX('卡片raw data'!BC:BC,MATCH($D575,'卡片raw data'!$F:$F,)),INDEX('卡片raw data'!BB:BB,MATCH($D575,'卡片raw data'!$F:$F,)))),IF(OR(AND($F575="UR",$P575=0),AND($F575="SR",$P575&gt;=0,$P575&lt;=2),AND($F575="R",$P575&gt;=0,$P575&lt;4)),INDEX('卡片raw data'!AZ:AZ,MATCH($D575,'卡片raw data'!$F:$F,)),0)+IF(OR(AND($F575="UR",$P575&gt;=1,$P575&lt;=4),AND($F575="SR",$P575&lt;=4,$P575&gt;=3),AND($F575="R",$P575=4)),INDEX('卡片raw data'!BA:BA,MATCH($D575,'卡片raw data'!$F:$F,)),0)+IF($P575=5,INDEX('卡片raw data'!BB:BB,MATCH($D575,'卡片raw data'!$F:$F,)),0)))</f>
        <v>4.2000000000000003E-2</v>
      </c>
      <c r="BT575" s="1101">
        <f t="shared" si="722"/>
        <v>2103.6033606587998</v>
      </c>
      <c r="BU575" s="1097">
        <f t="shared" si="723"/>
        <v>90.380921436872924</v>
      </c>
      <c r="BV575" s="1097">
        <f t="shared" si="724"/>
        <v>1051.8016803293999</v>
      </c>
      <c r="BW575" s="1112">
        <f t="shared" si="725"/>
        <v>0</v>
      </c>
      <c r="BX575" s="1100">
        <f t="shared" si="726"/>
        <v>2103.6033606587998</v>
      </c>
      <c r="BY575" s="1110">
        <f t="shared" si="727"/>
        <v>1051.8016803293999</v>
      </c>
      <c r="BZ575" s="1113" t="s">
        <v>569</v>
      </c>
      <c r="CA575" s="1124"/>
      <c r="CB575" s="1098">
        <v>0</v>
      </c>
      <c r="CC575" s="1101">
        <f t="shared" si="786"/>
        <v>0</v>
      </c>
      <c r="CD575" s="1097">
        <f>IF(BZ575="ap",CB575*(1-$FI$26)*$FB$5/$FB$11*(+IF(CA575="全员",$FA$24,0)+IF(CA575="同作战",$FA$24,0)+IF(CA575="仲间",$FA$24*2/3,0)+IF(CA575="同属性",$FA$24*$FA$37/3,0)+IF(CA575="同年级",$FA$24*$FA$40/3,0)+IF(CA575="同学校",$FA$24*$FA$43/3,0)+IF(CA575="同小队",$FA$24*$FA$46/3,0)+IF(CA575="同type",$FA$24*INDEX($FB$49:$FB$52,MATCH(X575,$FA$49:$FA$52,))/3,0)+IF(CA575="自身",#REF!/3,0)),0)+IF(BZ575="te",CB575*(1-$FI$27)*($FA$20-1)*$FB$7/$FB$13*(+IF(CA575="全员",$FA$19*$FA$24/(1+($FA$20-1)*$FA$19),0)+IF(CA575="同作战",$FA$19*$FA$24/(1+($FA$20-1)*$FA$19),0)+IF(CA575="仲间",$FA$19*$FA$24*2/3/(1+($FA$20-1)*$FA$19),0)+IF(CA575="同属性",$FA$19*$FA$24*$FA$37/3/(1+($FA$20-1)*$FA$19),0)+IF(CA575="同年级",$FA$19*$FA$24*$FA$40/3/(1+($FA$20-1)*$FA$19),0)+IF(CA575="同学校",$FA$19*$FA$24*$FA$43/3/(1+($FA$20-1)*$FA$19),0)+IF(CA575="同小队",$FA$19*$FA$24*$FA$46/3/(1+($FA$20-1)*$FA$19),0)+IF(CA575="同type",$FA$19*$FA$24*INDEX($FB$49:$FB$52,MATCH(X575,$FA$49:$FA$52,))/3/(1+($FA$20-1)*$FA$19),0)+IF(CA575="自身",$FA$19*#REF!/3/(1+(BH575-1)*$BD575),0)),0)</f>
        <v>0</v>
      </c>
      <c r="CE575" s="1097">
        <f t="shared" si="729"/>
        <v>0</v>
      </c>
      <c r="CF575" s="1112">
        <f t="shared" si="787"/>
        <v>0</v>
      </c>
      <c r="CG575" s="1100">
        <f t="shared" si="731"/>
        <v>0</v>
      </c>
      <c r="CH575" s="1110">
        <f t="shared" si="732"/>
        <v>0</v>
      </c>
      <c r="CI575" s="1113" t="s">
        <v>162</v>
      </c>
      <c r="CJ575" s="1114">
        <v>1</v>
      </c>
      <c r="CK575" s="1115" t="s">
        <v>551</v>
      </c>
      <c r="CL575" s="1115" t="s">
        <v>2667</v>
      </c>
      <c r="CM575" s="1119">
        <v>0.1</v>
      </c>
      <c r="CN575" s="1115" t="s">
        <v>1948</v>
      </c>
      <c r="CO575" s="1115"/>
      <c r="CP575" s="1118">
        <f t="shared" si="733"/>
        <v>1.7857142857142856E-2</v>
      </c>
      <c r="CQ575" s="1118">
        <f t="shared" si="734"/>
        <v>1.6666666666666666E-2</v>
      </c>
      <c r="CR575" s="1118">
        <f t="shared" si="735"/>
        <v>0</v>
      </c>
      <c r="CS575" s="1118">
        <f t="shared" si="782"/>
        <v>0</v>
      </c>
      <c r="CT575" s="1109">
        <f t="shared" si="783"/>
        <v>0</v>
      </c>
      <c r="CU575" s="1101">
        <f t="shared" si="738"/>
        <v>1070.1092074185269</v>
      </c>
      <c r="CV575" s="1108">
        <f t="shared" si="777"/>
        <v>0</v>
      </c>
      <c r="CW575" s="1097">
        <f t="shared" si="739"/>
        <v>0</v>
      </c>
      <c r="CX575" s="1097">
        <f t="shared" si="740"/>
        <v>1070.1092074185269</v>
      </c>
      <c r="CY575" s="1110">
        <f t="shared" si="741"/>
        <v>0</v>
      </c>
      <c r="CZ575" s="1113"/>
      <c r="DA575" s="1114"/>
      <c r="DB575" s="1115" t="s">
        <v>569</v>
      </c>
      <c r="DC575" s="1115"/>
      <c r="DD575" s="1119"/>
      <c r="DE575" s="1092"/>
      <c r="DF575" s="1092"/>
      <c r="DG575" s="1116">
        <f t="shared" si="742"/>
        <v>0</v>
      </c>
      <c r="DH575" s="1116">
        <f t="shared" si="743"/>
        <v>0</v>
      </c>
      <c r="DI575" s="1116">
        <f t="shared" si="744"/>
        <v>0</v>
      </c>
      <c r="DJ575" s="1118">
        <f t="shared" si="790"/>
        <v>0</v>
      </c>
      <c r="DK575" s="1109">
        <f t="shared" si="791"/>
        <v>0</v>
      </c>
      <c r="DL575" s="1101">
        <f t="shared" si="747"/>
        <v>0</v>
      </c>
      <c r="DM575" s="1097">
        <f t="shared" si="748"/>
        <v>0</v>
      </c>
      <c r="DN575" s="1097">
        <f t="shared" si="749"/>
        <v>0</v>
      </c>
      <c r="DO575" s="1097">
        <f t="shared" si="750"/>
        <v>0</v>
      </c>
      <c r="DP575" s="1110">
        <f t="shared" si="751"/>
        <v>0</v>
      </c>
      <c r="DQ575" s="1113" t="s">
        <v>545</v>
      </c>
      <c r="DR575" s="1114">
        <v>0.11</v>
      </c>
      <c r="DS575" s="1124"/>
      <c r="DT575" s="1093" t="s">
        <v>132</v>
      </c>
      <c r="DU575" s="1124"/>
      <c r="DV575" s="1098">
        <f>IF($P575="","N/A",IF(P575=-1,INDEX('卡片raw data'!AN:AN,MATCH(D575,'卡片raw data'!$F:$F,)),0)+IF(AND(L575&lt;&gt;"party卡",P575&lt;=2,P575&gt;=0),INDEX('卡片raw data'!AP:AP,MATCH(D575,'卡片raw data'!$F:$F,)),0)+IF(OR(AND(L575="party卡",P575&lt;=1),AND(P575&lt;=4,L575&lt;&gt;"party卡",P575&gt;=3)),INDEX('卡片raw data'!AQ:AQ,MATCH(D575,'卡片raw data'!$F:$F,)),0)+IF(OR(P575=5,AND(L575="party卡",P575&gt;=2)),INDEX('卡片raw data'!AR:AR,MATCH(D575,'卡片raw data'!$F:$F,)),0))</f>
        <v>0.52</v>
      </c>
      <c r="DW575" s="1098">
        <f t="shared" si="752"/>
        <v>0.11</v>
      </c>
      <c r="DX575" s="1098">
        <f t="shared" si="753"/>
        <v>0.11</v>
      </c>
      <c r="DY575" s="1097">
        <f t="shared" si="754"/>
        <v>884.05823289402679</v>
      </c>
      <c r="DZ575" s="1097">
        <f t="shared" si="755"/>
        <v>686.46283512411389</v>
      </c>
      <c r="EA575" s="1098">
        <f t="shared" si="756"/>
        <v>0</v>
      </c>
      <c r="EB575" s="1121">
        <f t="shared" si="757"/>
        <v>0</v>
      </c>
      <c r="EC575" s="1101">
        <f t="shared" si="758"/>
        <v>972.46405618342953</v>
      </c>
      <c r="ED575" s="1097">
        <f t="shared" si="759"/>
        <v>686.46283512411389</v>
      </c>
      <c r="EE575" s="1110">
        <f t="shared" si="775"/>
        <v>972.46405618342953</v>
      </c>
      <c r="EF575" s="1113" t="s">
        <v>569</v>
      </c>
      <c r="EG575" s="1114">
        <v>0.11</v>
      </c>
      <c r="EH575" s="1124"/>
      <c r="EI575" s="1124"/>
      <c r="EJ575" s="1124"/>
      <c r="EK575" s="1097">
        <f>IF($P575="","N/A",IF(P575=-1,INDEX('卡片raw data'!AS:AS,MATCH(D575,'卡片raw data'!$F:$F,)),0)+IF(AND(L575&lt;&gt;"party卡",P575&lt;=2,P575&gt;=0),INDEX('卡片raw data'!AU:AU,MATCH(D575,'卡片raw data'!$F:$F,)),0)+IF(OR(AND(L575="party卡",P575&lt;=1),AND(P575&lt;=4,L575&lt;&gt;"party卡",P575&gt;=3)),INDEX('卡片raw data'!AV:AV,MATCH(D575,'卡片raw data'!$F:$F,)),0)+IF(OR(P575=5,AND(L575="party卡",P575&gt;=2)),INDEX('卡片raw data'!AW:AW,MATCH(D575,'卡片raw data'!$F:$F,)),0))</f>
        <v>0</v>
      </c>
      <c r="EL575" s="1098">
        <f t="shared" si="760"/>
        <v>0.11</v>
      </c>
      <c r="EM575" s="1098">
        <f t="shared" si="761"/>
        <v>0.11</v>
      </c>
      <c r="EN575" s="1097">
        <f t="shared" si="762"/>
        <v>0</v>
      </c>
      <c r="EO575" s="1097">
        <f t="shared" si="763"/>
        <v>0</v>
      </c>
      <c r="EP575" s="1098">
        <f t="shared" si="764"/>
        <v>0</v>
      </c>
      <c r="EQ575" s="1121">
        <f t="shared" si="765"/>
        <v>0</v>
      </c>
      <c r="ER575" s="1101">
        <f t="shared" si="766"/>
        <v>0</v>
      </c>
      <c r="ES575" s="1097">
        <f t="shared" si="767"/>
        <v>0</v>
      </c>
      <c r="ET575" s="1122">
        <f t="shared" si="776"/>
        <v>0</v>
      </c>
    </row>
    <row r="576" spans="2:150" ht="16.5" customHeight="1">
      <c r="B576" s="1123" t="str">
        <f>INDEX('卡片raw data'!B:B,MATCH($D576,'卡片raw data'!$F:$F,))</f>
        <v>四专步</v>
      </c>
      <c r="C576" s="1025" t="s">
        <v>4677</v>
      </c>
      <c r="D576" s="408">
        <v>573</v>
      </c>
      <c r="E576" s="1164">
        <v>402012005</v>
      </c>
      <c r="F576" s="1090" t="str">
        <f>INDEX('卡片raw data'!C:C,MATCH($D576,'卡片raw data'!$F:$F,))</f>
        <v>SR</v>
      </c>
      <c r="G576" s="1026" t="s">
        <v>4681</v>
      </c>
      <c r="H576" s="411">
        <f>IFERROR(INDEX(绊状态确认!C:C,MATCH($G576,绊状态确认!$B:$B,)),"")</f>
        <v>201</v>
      </c>
      <c r="I576" s="450" t="str">
        <f>IFERROR(INDEX(绊状态确认!D:D,MATCH($G576,绊状态确认!$B:$B,)),"")</f>
        <v>虹</v>
      </c>
      <c r="J576" s="450" t="str">
        <f>IFERROR(INDEX(绊状态确认!E:E,MATCH($G576,绊状态确认!$B:$B,)),"")</f>
        <v>2年级</v>
      </c>
      <c r="K576" s="451" t="str">
        <f>IFERROR(INDEX(绊状态确认!F:F,MATCH($G576,绊状态确认!$B:$B,)),"")</f>
        <v>A·ZU·NA</v>
      </c>
      <c r="L576" s="1094" t="str">
        <f>INDEX('卡片raw data'!E:E,MATCH($D576,'卡片raw data'!$F:$F,))</f>
        <v>活动卡</v>
      </c>
      <c r="M576" s="1065">
        <v>44504</v>
      </c>
      <c r="N576" s="1027">
        <v>51</v>
      </c>
      <c r="O576" s="1091" t="str">
        <f>INDEX('卡片raw data'!D:D,MATCH($D576,'卡片raw data'!$F:$F,))</f>
        <v>sp</v>
      </c>
      <c r="P576" s="1126">
        <v>5</v>
      </c>
      <c r="Q576" s="1095">
        <f t="shared" si="688"/>
        <v>39297.576257047855</v>
      </c>
      <c r="R576" s="1096">
        <f t="shared" si="689"/>
        <v>0.45600000000000002</v>
      </c>
      <c r="S576" s="1097">
        <f t="shared" si="690"/>
        <v>17305.682585659779</v>
      </c>
      <c r="T576" s="1098">
        <f t="shared" si="691"/>
        <v>0.86499999999999999</v>
      </c>
      <c r="U576" s="1099">
        <f t="shared" si="692"/>
        <v>9.3200334682928556</v>
      </c>
      <c r="V576" s="1100">
        <f t="shared" si="693"/>
        <v>38237.025785768019</v>
      </c>
      <c r="W576" s="1101">
        <f t="shared" si="694"/>
        <v>4507.7214871259994</v>
      </c>
      <c r="X576" s="1096">
        <f t="shared" si="695"/>
        <v>5.1999999999999998E-2</v>
      </c>
      <c r="Y576" s="1097">
        <f t="shared" si="696"/>
        <v>739.44952872016529</v>
      </c>
      <c r="Z576" s="1102">
        <f t="shared" si="697"/>
        <v>9.3200334682928556</v>
      </c>
      <c r="AA576" s="1103">
        <f t="shared" si="698"/>
        <v>5247.1710158461647</v>
      </c>
      <c r="AB576" s="1101">
        <f t="shared" si="699"/>
        <v>8170.3762321374406</v>
      </c>
      <c r="AC576" s="1104">
        <f t="shared" si="700"/>
        <v>9.4E-2</v>
      </c>
      <c r="AD576" s="1105">
        <f t="shared" si="701"/>
        <v>-1.9908281250000003E-2</v>
      </c>
      <c r="AE576" s="1128">
        <f t="shared" si="702"/>
        <v>-1.3514492753623202</v>
      </c>
      <c r="AF576" s="1130">
        <f t="shared" si="703"/>
        <v>0</v>
      </c>
      <c r="AG576" s="1097">
        <f t="shared" si="704"/>
        <v>0</v>
      </c>
      <c r="AH576" s="1097">
        <f t="shared" si="705"/>
        <v>0</v>
      </c>
      <c r="AI576" s="1097">
        <f t="shared" si="706"/>
        <v>0</v>
      </c>
      <c r="AJ576" s="1097">
        <f t="shared" si="707"/>
        <v>0</v>
      </c>
      <c r="AK576" s="1129">
        <f t="shared" si="708"/>
        <v>0</v>
      </c>
      <c r="AL576" s="1106">
        <f>IF($P576="","N/A",(IF($P576=-1,INDEX('卡片raw data'!S:S,MATCH($D576,'卡片raw data'!$F:$F,)),0)+IF($P576=0,INDEX('卡片raw data'!V:V,MATCH($D576,'卡片raw data'!$F:$F,)),0)+IF($P576=1,INDEX('卡片raw data'!Y:Y,MATCH($D576,'卡片raw data'!$F:$F,)),0)+IF($P576=2,INDEX('卡片raw data'!AB:AB,MATCH($D576,'卡片raw data'!$F:$F,)),0)+IF($P576=3,INDEX('卡片raw data'!AE:AE,MATCH($D576,'卡片raw data'!$F:$F,)),0)+IF($P576=4,INDEX('卡片raw data'!AH:AH,MATCH($D576,'卡片raw data'!$F:$F,)),0)+IF($P576=5,INDEX('卡片raw data'!AK:AK,MATCH($D576,'卡片raw data'!$F:$F,)),0)+INDEX('卡片raw data'!S:S,MATCH($D576,'卡片raw data'!$F:$F,))*(IF($F576="UR",0.04,0.033))*(IF($F576="UR",INDEX(绊状态确认!$S:$S,MATCH($G576,绊状态确认!$B:$B,))/2-40)+IF($F576="SR",INDEX(绊状态确认!$R:$R,MATCH($G576,绊状态确认!$B:$B,))/4-15))+IF($F576="R",INDEX(绊状态确认!$Q:$Q,MATCH($G576,绊状态确认!$B:$B,))/6-40/6)))*(INDEX(绊状态确认!$H:$H,MATCH($G576,绊状态确认!$B:$B,))+INDEX(绊状态确认!J:J,MATCH($G576,绊状态确认!$B:$B,)))</f>
        <v>6987.8190575999988</v>
      </c>
      <c r="AM576" s="1106">
        <f>IF($P576="","N/A",(IF($P576=-1,INDEX('卡片raw data'!T:T,MATCH($D576,'卡片raw data'!$F:$F,)),0)+IF($P576=0,INDEX('卡片raw data'!W:W,MATCH($D576,'卡片raw data'!$F:$F,)),0)+IF($P576=1,INDEX('卡片raw data'!Z:Z,MATCH($D576,'卡片raw data'!$F:$F,)),0)+IF($P576=2,INDEX('卡片raw data'!AC:AC,MATCH($D576,'卡片raw data'!$F:$F,)),0)+IF($P576=3,INDEX('卡片raw data'!AF:AF,MATCH($D576,'卡片raw data'!$F:$F,)),0)+IF($P576=4,INDEX('卡片raw data'!AI:AI,MATCH($D576,'卡片raw data'!$F:$F,)),0)+IF($P576=5,INDEX('卡片raw data'!AL:AL,MATCH($D576,'卡片raw data'!$F:$F,)),0)+INDEX('卡片raw data'!T:T,MATCH($D576,'卡片raw data'!$F:$F,))*(IF($F576="UR",0.04,0.033))*(IF($F576="UR",INDEX(绊状态确认!$S:$S,MATCH($G576,绊状态确认!$B:$B,))/2-40)+IF($F576="SR",INDEX(绊状态确认!$R:$R,MATCH($G576,绊状态确认!$B:$B,))/4-15))+IF($F576="R",INDEX(绊状态确认!$Q:$Q,MATCH($G576,绊状态确认!$B:$B,))/6-40/6)))*(INDEX(绊状态确认!$H:$H,MATCH($G576,绊状态确认!$B:$B,))+INDEX(绊状态确认!K:K,MATCH($G576,绊状态确认!$B:$B,)))</f>
        <v>4391.7200759999996</v>
      </c>
      <c r="AN576" s="1106">
        <f>IF($P576="","N/A",(IF($P576=-1,INDEX('卡片raw data'!U:U,MATCH($D576,'卡片raw data'!$F:$F,)),0)+IF($P576=0,INDEX('卡片raw data'!X:X,MATCH($D576,'卡片raw data'!$F:$F,)),0)+IF($P576=1,INDEX('卡片raw data'!AA:AA,MATCH($D576,'卡片raw data'!$F:$F,)),0)+IF($P576=2,INDEX('卡片raw data'!AD:AD,MATCH($D576,'卡片raw data'!$F:$F,)),0)+IF($P576=3,INDEX('卡片raw data'!AG:AG,MATCH($D576,'卡片raw data'!$F:$F,)),0)+IF($P576=4,INDEX('卡片raw data'!AJ:AJ,MATCH($D576,'卡片raw data'!$F:$F,)),0)+IF($P576=5,INDEX('卡片raw data'!AM:AM,MATCH($D576,'卡片raw data'!$F:$F,)),0)+INDEX('卡片raw data'!U:U,MATCH($D576,'卡片raw data'!$F:$F,))*(IF($F576="UR",0.04,0.033))*(IF($F576="UR",INDEX(绊状态确认!$S:$S,MATCH($G576,绊状态确认!$B:$B,))/2-40)+IF($F576="SR",INDEX(绊状态确认!$R:$R,MATCH($G576,绊状态确认!$B:$B,))/4-15))+IF($F576="R",INDEX(绊状态确认!$Q:$Q,MATCH($G576,绊状态确认!$B:$B,))/6-40/6)))*(INDEX(绊状态确认!$H:$H,MATCH($G576,绊状态确认!$B:$B,))+INDEX(绊状态确认!L:L,MATCH($G576,绊状态确认!$B:$B,)))</f>
        <v>8585.3656319999991</v>
      </c>
      <c r="AO576" s="1107">
        <f t="shared" si="709"/>
        <v>1</v>
      </c>
      <c r="AP576" s="1131">
        <f>1+(INDEX(绊状态确认!$T:$T,MATCH($G576,绊状态确认!$B:$B,))+0.2)*$AO576</f>
        <v>1.3</v>
      </c>
      <c r="AQ576" s="1108">
        <f t="shared" si="710"/>
        <v>21593.025026199997</v>
      </c>
      <c r="AR576" s="1097">
        <f>(AM576*(1+$EX$9)+$EX$35)*(1+(INDEX(绊状态确认!$T:$T,MATCH($G576,绊状态确认!$B:$B,))+0.2)*AO576)*IF(J576=$FF$17,1+$FE$17,1)*IF(I576=$FF$14,1+$FE$14,1)</f>
        <v>8698.6979037399997</v>
      </c>
      <c r="AS576" s="1097">
        <f>(AN576*(1+$EX$10)+$EX$36)*(1+(INDEX(绊状态确认!$T:$T,MATCH($G576,绊状态确认!$B:$B,))+0.2)*AO576)*IF(J576=$FF$17,1+$FE$17,1)*IF(I576=$FF$14,1+$FE$14,1)</f>
        <v>16891.12161984</v>
      </c>
      <c r="AT576" s="1093">
        <f>IF(AND(INDEX('卡片raw data'!AK:AK,MATCH($D576,'卡片raw data'!$F:$F,))&lt;INDEX('卡片raw data'!AM:AM,MATCH($D576,'卡片raw data'!$F:$F,)),INDEX('卡片raw data'!AL:AL,MATCH($D576,'卡片raw data'!$F:$F,))&lt;INDEX('卡片raw data'!AM:AM,MATCH($D576,'卡片raw data'!$F:$F,))),1,0)</f>
        <v>1</v>
      </c>
      <c r="AU576" s="1098">
        <f>MIN(AT576*0.15+AS576*0.00003+INDEX(绊状态确认!M:M,MATCH($G576,绊状态确认!$B:$B,)),1)</f>
        <v>0.68673364859520003</v>
      </c>
      <c r="AV576" s="1109">
        <f>(INDEX(绊状态确认!$N:$N,MATCH($G576,绊状态确认!$B:$B,))+1.5)*$EW$21</f>
        <v>2.6599999999999997</v>
      </c>
      <c r="AW576" s="1101">
        <f t="shared" si="711"/>
        <v>23998.280847050999</v>
      </c>
      <c r="AX576" s="1097">
        <f t="shared" si="712"/>
        <v>739.4495287201654</v>
      </c>
      <c r="AY576" s="1110">
        <f t="shared" si="713"/>
        <v>24737.730375771163</v>
      </c>
      <c r="AZ576" s="1106">
        <f t="shared" si="714"/>
        <v>16226.247162319998</v>
      </c>
      <c r="BA576" s="1108">
        <f t="shared" si="715"/>
        <v>19471.496594783996</v>
      </c>
      <c r="BB576" s="1097">
        <f>(AM576*(1+$FB$9)+$FB$35)*(1+(INDEX(绊状态确认!$T:$T,MATCH($G576,绊状态确认!$B:$B,))+0.2)*AO576)*IF(J576=$FF$17,1+$FE$17,1)*IF(I576=$FF$14,1+$FE$14,1)*(1+$FE$15)</f>
        <v>8698.6979037399997</v>
      </c>
      <c r="BC576" s="1097">
        <f>(AN576*(1+$FB$10)+$FB$36)*(1+(INDEX(绊状态确认!$T:$T,MATCH($G576,绊状态确认!$B:$B,))+0.2)*AO576)*IF(J576=$FF$17,1+$FE$17,1)*IF(I576=$FF$14,1+$FE$14,1)*(1+$FE$15)</f>
        <v>16891.12161984</v>
      </c>
      <c r="BD576" s="1104">
        <f>MIN(AT576*0.15+BC576*0.00003+INDEX(绊状态确认!M:M,MATCH($G576,绊状态确认!$B:$B,)),1)</f>
        <v>0.68673364859520003</v>
      </c>
      <c r="BE576" s="1109">
        <f>(INDEX(绊状态确认!$N:$N,MATCH($G576,绊状态确认!$B:$B,))+1.5)</f>
        <v>1.9</v>
      </c>
      <c r="BF576" s="1139">
        <f t="array" ref="BF576">SUMPRODUCT(IF(AZ576*AP576*$FI$16:$FI$23*$FA$22&gt;=$FI$24,$FI$24,AZ576*AP576*$FI$16:$FI$23*$FA$22),$FJ$16:$FJ$23)</f>
        <v>32274.005605854483</v>
      </c>
      <c r="BG576" s="1125">
        <f t="array" ref="BG576">SUMPRODUCT(IF(BE576*AZ576*AP576*$FI$16:$FI$23*$FA$22&gt;=$FI$24,$FI$24,BE576*AZ576*AP576*$FI$16:$FI$23*$FA$22),$FJ$16:$FJ$23)</f>
        <v>57241.780160193113</v>
      </c>
      <c r="BH576" s="1110">
        <f t="shared" si="716"/>
        <v>16473.405507619278</v>
      </c>
      <c r="BI576" s="1111">
        <f>IF(O576="vo",$EW$26/$EW$24*0.05,0)+IF(O576="sk",-$EW$26/$EW$24*(0.05-INDEX(绊状态确认!W:W,MATCH($G576,绊状态确认!$B:$B,)))+0.05*$EW$28,0)+IF(O576="sp",0.05*$EW$32*$EW$30*(1-$EW$33)-(0.05-INDEX(绊状态确认!V:V,MATCH($G576,绊状态确认!$B:$B,)))*$EW$28,0)+IF(O576="gd",-(0.05-INDEX(绊状态确认!X:X,MATCH($G576,绊状态确认!$B:$B,)))*$EW$32*$EW$30*(1-$EW$33),0)</f>
        <v>19.999999999999886</v>
      </c>
      <c r="BJ576" s="1097">
        <f>IF(O576="vo",0.05*(1-$FI$26)*$FA$24,0)+IF(O576="sk",-(0.05-INDEX(绊状态确认!W:W,MATCH($G576,绊状态确认!$B:$B,)))*(1-$FI$26)*$FA$24+0.05*$FA$26,0)+IF(O576="sp",0.05*$FA$32*$FA$27*(1-$FA$33)/$FA$30+0.05*$FA$29/$FA$69*$FA$27*(1-$FA$33)-(0.05-INDEX(绊状态确认!V:V,MATCH($G576,绊状态确认!$B:$B,)))*$FA$26,0)+IF(O576="gd",-(0.05-INDEX(绊状态确认!X:X,MATCH($G576,绊状态确认!$B:$B,)))*$FA$32*$FA$27*(1-$FA$33)/$FA$30-(0.05-INDEX(绊状态确认!X:X,MATCH($G576,绊状态确认!$B:$B,)))*$FA$29/$FA$69*$FA$27*(1-$FA$33),0)</f>
        <v>545.83333333333326</v>
      </c>
      <c r="BK576" s="1110">
        <f>IF(O576="vo",$EW$26/$EW$24*0.05+$EW$26*(-HP($EW$62,$EW$65,$EW$64)+HP($EW$62,$EW$65,(1.05-INDEX(绊状态确认!U:U,MATCH($G576,绊状态确认!$B:$B,)))*$EW$64)),0)+IF(O576="sk",-$EW$26/$EW$24*(0.05-INDEX(绊状态确认!W:W,MATCH($G576,绊状态确认!$B:$B,)))+0.05*$EW$29,0)+IF(O576="sp",0.05*$EW$32*$EW$30*(1-$EW$33)-(0.05-INDEX(绊状态确认!V:V,MATCH($G576,绊状态确认!$B:$B,)))*$EW$29,0)+IF(O576="gd",-(0.05-INDEX(绊状态确认!X:X,MATCH($G576,绊状态确认!$B:$B,)))*$EW$32*$EW$30*(1-$EW$33)+$EW$26*(-HP($EW$62,$EW$65,$EW$64)+HP($EW$62,$EW$65,0.95*$EW$64)),0)</f>
        <v>-1780.0000000000005</v>
      </c>
      <c r="BL576" s="1111">
        <f t="shared" si="717"/>
        <v>-1083.3333333333333</v>
      </c>
      <c r="BM576" s="1110">
        <f t="shared" si="718"/>
        <v>-830.55555555555543</v>
      </c>
      <c r="BN576" s="1113">
        <f t="shared" si="719"/>
        <v>3</v>
      </c>
      <c r="BO576" s="1108">
        <f t="shared" si="720"/>
        <v>4507.7214871259994</v>
      </c>
      <c r="BP576" s="1127">
        <f t="shared" si="721"/>
        <v>221.34103209030098</v>
      </c>
      <c r="BQ576" s="1113" t="s">
        <v>134</v>
      </c>
      <c r="BR576" s="1124" t="s">
        <v>168</v>
      </c>
      <c r="BS576" s="1098">
        <f>IF($P576="","N/A",IF($P576=-1,INDEX('卡片raw data'!AX:AX,MATCH($D576,'卡片raw data'!$F:$F,)),0)+IF($L576="party卡",IF($P576=5,INDEX('卡片raw data'!BD:BD,MATCH($D576,'卡片raw data'!$F:$F,)),IF($P576&gt;=3,INDEX('卡片raw data'!BC:BC,MATCH($D576,'卡片raw data'!$F:$F,)),INDEX('卡片raw data'!BB:BB,MATCH($D576,'卡片raw data'!$F:$F,)))),IF(OR(AND($F576="UR",$P576=0),AND($F576="SR",$P576&gt;=0,$P576&lt;=2),AND($F576="R",$P576&gt;=0,$P576&lt;4)),INDEX('卡片raw data'!AZ:AZ,MATCH($D576,'卡片raw data'!$F:$F,)),0)+IF(OR(AND($F576="UR",$P576&gt;=1,$P576&lt;=4),AND($F576="SR",$P576&lt;=4,$P576&gt;=3),AND($F576="R",$P576=4)),INDEX('卡片raw data'!BA:BA,MATCH($D576,'卡片raw data'!$F:$F,)),0)+IF($P576=5,INDEX('卡片raw data'!BB:BB,MATCH($D576,'卡片raw data'!$F:$F,)),0)))</f>
        <v>0.05</v>
      </c>
      <c r="BT576" s="1101">
        <f t="shared" si="722"/>
        <v>3537.2976021542986</v>
      </c>
      <c r="BU576" s="1097">
        <f t="shared" si="723"/>
        <v>255.86405005115788</v>
      </c>
      <c r="BV576" s="1097">
        <f t="shared" si="724"/>
        <v>0</v>
      </c>
      <c r="BW576" s="1112">
        <f t="shared" si="725"/>
        <v>0</v>
      </c>
      <c r="BX576" s="1100">
        <f t="shared" si="726"/>
        <v>3537.2976021542986</v>
      </c>
      <c r="BY576" s="1110">
        <f t="shared" si="727"/>
        <v>0</v>
      </c>
      <c r="BZ576" s="1113" t="s">
        <v>569</v>
      </c>
      <c r="CA576" s="1124"/>
      <c r="CB576" s="1098">
        <f>IF($P576="","N/A",IF($P576=-1,INDEX('卡片raw data'!BE:BE,MATCH($D576,'卡片raw data'!$F:$F,)),0)+IF($L576="party卡",IF($P576=5,INDEX('卡片raw data'!BK:BK,MATCH($D576,'卡片raw data'!$F:$F,)),IF($P576&gt;=3,INDEX('卡片raw data'!BJ:BJ,MATCH($D576,'卡片raw data'!$F:$F,)),INDEX('卡片raw data'!BI:BI,MATCH($D576,'卡片raw data'!$F:$F,)))),IF(OR(AND($F576="UR",$P576=0),AND($F576="SR",$P576&gt;=0,$P576&lt;=2),AND($F576="R",$P576&gt;=0,$P576&lt;4)),INDEX('卡片raw data'!BG:BG,MATCH($D576,'卡片raw data'!$F:$F,)),0)+IF(OR(AND($F576="UR",$P576&gt;=1,$P576&lt;=4),AND($F576="SR",$P576&lt;=4,$P576&gt;=3),AND($F576="R",$P576=4)),INDEX('卡片raw data'!BH:BH,MATCH($D576,'卡片raw data'!$F:$F,)),0)+IF($P576=5,INDEX('卡片raw data'!BI:BI,MATCH($D576,'卡片raw data'!$F:$F,)),0)))</f>
        <v>0</v>
      </c>
      <c r="CC576" s="1101">
        <f t="shared" si="786"/>
        <v>0</v>
      </c>
      <c r="CD576" s="1097">
        <f>IF(BZ576="ap",CB576*(1-$FI$26)*$FB$5/$FB$11*(+IF(CA576="全员",$FA$24,0)+IF(CA576="同作战",$FA$24,0)+IF(CA576="仲间",$FA$24*2/3,0)+IF(CA576="同属性",$FA$24*$FA$37/3,0)+IF(CA576="同年级",$FA$24*$FA$40/3,0)+IF(CA576="同学校",$FA$24*$FA$43/3,0)+IF(CA576="同小队",$FA$24*$FA$46/3,0)+IF(CA576="同type",$FA$24*INDEX($FB$49:$FB$52,MATCH(X576,$FA$49:$FA$52,))/3,0)+IF(CA576="自身",#REF!/3,0)),0)+IF(BZ576="te",CB576*(1-$FI$27)*($FA$20-1)*$FB$7/$FB$13*(+IF(CA576="全员",$FA$19*$FA$24/(1+($FA$20-1)*$FA$19),0)+IF(CA576="同作战",$FA$19*$FA$24/(1+($FA$20-1)*$FA$19),0)+IF(CA576="仲间",$FA$19*$FA$24*2/3/(1+($FA$20-1)*$FA$19),0)+IF(CA576="同属性",$FA$19*$FA$24*$FA$37/3/(1+($FA$20-1)*$FA$19),0)+IF(CA576="同年级",$FA$19*$FA$24*$FA$40/3/(1+($FA$20-1)*$FA$19),0)+IF(CA576="同学校",$FA$19*$FA$24*$FA$43/3/(1+($FA$20-1)*$FA$19),0)+IF(CA576="同小队",$FA$19*$FA$24*$FA$46/3/(1+($FA$20-1)*$FA$19),0)+IF(CA576="同type",$FA$19*$FA$24*INDEX($FB$49:$FB$52,MATCH(X576,$FA$49:$FA$52,))/3/(1+($FA$20-1)*$FA$19),0)+IF(CA576="自身",$FA$19*#REF!/3/(1+(BH576-1)*$BD576),0)),0)</f>
        <v>0</v>
      </c>
      <c r="CE576" s="1097">
        <f t="shared" si="729"/>
        <v>0</v>
      </c>
      <c r="CF576" s="1112">
        <f t="shared" si="787"/>
        <v>0</v>
      </c>
      <c r="CG576" s="1100">
        <f t="shared" si="731"/>
        <v>0</v>
      </c>
      <c r="CH576" s="1110">
        <f t="shared" si="732"/>
        <v>0</v>
      </c>
      <c r="CI576" s="1113" t="s">
        <v>160</v>
      </c>
      <c r="CJ576" s="1114">
        <v>1</v>
      </c>
      <c r="CK576" s="1115" t="s">
        <v>2143</v>
      </c>
      <c r="CL576" s="1115" t="s">
        <v>2127</v>
      </c>
      <c r="CM576" s="1119">
        <v>0.09</v>
      </c>
      <c r="CN576" s="1115">
        <v>30</v>
      </c>
      <c r="CO576" s="1115">
        <v>1</v>
      </c>
      <c r="CP576" s="1118">
        <f t="shared" si="733"/>
        <v>9.6428571428571423E-3</v>
      </c>
      <c r="CQ576" s="1118">
        <f t="shared" si="734"/>
        <v>1.4999999999999998E-2</v>
      </c>
      <c r="CR576" s="1118">
        <f t="shared" si="735"/>
        <v>0</v>
      </c>
      <c r="CS576" s="1118">
        <f t="shared" si="782"/>
        <v>0</v>
      </c>
      <c r="CT576" s="1109">
        <f t="shared" si="783"/>
        <v>0</v>
      </c>
      <c r="CU576" s="1101">
        <f t="shared" si="738"/>
        <v>125.35714285714283</v>
      </c>
      <c r="CV576" s="1108">
        <f t="shared" si="777"/>
        <v>149.49999999999997</v>
      </c>
      <c r="CW576" s="1097">
        <f t="shared" si="739"/>
        <v>0</v>
      </c>
      <c r="CX576" s="1097">
        <f t="shared" si="740"/>
        <v>125.35714285714283</v>
      </c>
      <c r="CY576" s="1110">
        <f t="shared" si="741"/>
        <v>0</v>
      </c>
      <c r="CZ576" s="1113"/>
      <c r="DA576" s="1114"/>
      <c r="DB576" s="1115" t="s">
        <v>569</v>
      </c>
      <c r="DC576" s="1115"/>
      <c r="DD576" s="1119"/>
      <c r="DE576" s="1092"/>
      <c r="DF576" s="1092"/>
      <c r="DG576" s="1116">
        <f t="shared" si="742"/>
        <v>0</v>
      </c>
      <c r="DH576" s="1116">
        <f t="shared" si="743"/>
        <v>0</v>
      </c>
      <c r="DI576" s="1116">
        <f t="shared" si="744"/>
        <v>0</v>
      </c>
      <c r="DJ576" s="1118">
        <f t="shared" si="790"/>
        <v>0</v>
      </c>
      <c r="DK576" s="1109">
        <f t="shared" si="791"/>
        <v>0</v>
      </c>
      <c r="DL576" s="1101">
        <f t="shared" si="747"/>
        <v>0</v>
      </c>
      <c r="DM576" s="1097">
        <f t="shared" si="748"/>
        <v>0</v>
      </c>
      <c r="DN576" s="1097">
        <f t="shared" si="749"/>
        <v>0</v>
      </c>
      <c r="DO576" s="1097">
        <f t="shared" si="750"/>
        <v>0</v>
      </c>
      <c r="DP576" s="1110">
        <f t="shared" si="751"/>
        <v>0</v>
      </c>
      <c r="DQ576" s="1113" t="s">
        <v>292</v>
      </c>
      <c r="DR576" s="1120">
        <f t="shared" ref="DR576:DR592" si="792">IF(F576="UR",0.33,0.3)</f>
        <v>0.3</v>
      </c>
      <c r="DS576" s="1124">
        <v>10</v>
      </c>
      <c r="DT576" s="1093" t="s">
        <v>2127</v>
      </c>
      <c r="DU576" s="1124" t="s">
        <v>2145</v>
      </c>
      <c r="DV576" s="1098">
        <f>IF($P576="","N/A",IF(P576=-1,INDEX('卡片raw data'!AN:AN,MATCH(D576,'卡片raw data'!$F:$F,)),0)+IF(AND(L576&lt;&gt;"party卡",P576&lt;=2,P576&gt;=0),INDEX('卡片raw data'!AP:AP,MATCH(D576,'卡片raw data'!$F:$F,)),0)+IF(OR(AND(L576="party卡",P576&lt;=1),AND(P576&lt;=4,L576&lt;&gt;"party卡",P576&gt;=3)),INDEX('卡片raw data'!AQ:AQ,MATCH(D576,'卡片raw data'!$F:$F,)),0)+IF(OR(P576=5,AND(L576="party卡",P576&gt;=2)),INDEX('卡片raw data'!AR:AR,MATCH(D576,'卡片raw data'!$F:$F,)),0))</f>
        <v>7.0000000000000007E-2</v>
      </c>
      <c r="DW576" s="1098">
        <f t="shared" si="752"/>
        <v>0.3</v>
      </c>
      <c r="DX576" s="1098">
        <f t="shared" si="753"/>
        <v>0.3</v>
      </c>
      <c r="DY576" s="1098">
        <f t="shared" si="754"/>
        <v>7.0000000000000007E-2</v>
      </c>
      <c r="DZ576" s="1098">
        <f t="shared" si="755"/>
        <v>6.0550000000000007E-2</v>
      </c>
      <c r="EA576" s="1098">
        <f t="shared" si="756"/>
        <v>0</v>
      </c>
      <c r="EB576" s="1121">
        <f t="shared" si="757"/>
        <v>0</v>
      </c>
      <c r="EC576" s="1101">
        <f t="shared" si="758"/>
        <v>8192.2525111927516</v>
      </c>
      <c r="ED576" s="1097">
        <f t="shared" si="759"/>
        <v>490.2942181212656</v>
      </c>
      <c r="EE576" s="1110">
        <f t="shared" si="775"/>
        <v>8192.2525111927516</v>
      </c>
      <c r="EF576" s="1113" t="s">
        <v>569</v>
      </c>
      <c r="EG576" s="1120">
        <f t="shared" ref="EG576:EG592" si="793">IF(F576="UR",0.33,0.3)</f>
        <v>0.3</v>
      </c>
      <c r="EH576" s="1124"/>
      <c r="EI576" s="1124"/>
      <c r="EJ576" s="1124"/>
      <c r="EK576" s="1097">
        <f>IF($P576="","N/A",IF(P576=-1,INDEX('卡片raw data'!AS:AS,MATCH(D576,'卡片raw data'!$F:$F,)),0)+IF(AND(L576&lt;&gt;"party卡",P576&lt;=2,P576&gt;=0),INDEX('卡片raw data'!AU:AU,MATCH(D576,'卡片raw data'!$F:$F,)),0)+IF(OR(AND(L576="party卡",P576&lt;=1),AND(P576&lt;=4,L576&lt;&gt;"party卡",P576&gt;=3)),INDEX('卡片raw data'!AV:AV,MATCH(D576,'卡片raw data'!$F:$F,)),0)+IF(OR(P576=5,AND(L576="party卡",P576&gt;=2)),INDEX('卡片raw data'!AW:AW,MATCH(D576,'卡片raw data'!$F:$F,)),0))</f>
        <v>0</v>
      </c>
      <c r="EL576" s="1098">
        <f t="shared" si="760"/>
        <v>0.3</v>
      </c>
      <c r="EM576" s="1098">
        <f t="shared" si="761"/>
        <v>0.3</v>
      </c>
      <c r="EN576" s="1097">
        <f t="shared" si="762"/>
        <v>0</v>
      </c>
      <c r="EO576" s="1097">
        <f t="shared" si="763"/>
        <v>0</v>
      </c>
      <c r="EP576" s="1098">
        <f t="shared" si="764"/>
        <v>0</v>
      </c>
      <c r="EQ576" s="1121">
        <f t="shared" si="765"/>
        <v>0</v>
      </c>
      <c r="ER576" s="1101">
        <f t="shared" si="766"/>
        <v>0</v>
      </c>
      <c r="ES576" s="1097">
        <f t="shared" si="767"/>
        <v>0</v>
      </c>
      <c r="ET576" s="1122">
        <f t="shared" si="776"/>
        <v>0</v>
      </c>
    </row>
    <row r="577" spans="2:150" ht="16.5" customHeight="1">
      <c r="B577" s="1123" t="str">
        <f>INDEX('卡片raw data'!B:B,MATCH($D577,'卡片raw data'!$F:$F,))</f>
        <v>四单姬</v>
      </c>
      <c r="C577" s="1025" t="s">
        <v>4667</v>
      </c>
      <c r="D577" s="408">
        <v>574</v>
      </c>
      <c r="E577" s="1164">
        <v>400062006</v>
      </c>
      <c r="F577" s="1090" t="str">
        <f>INDEX('卡片raw data'!C:C,MATCH($D577,'卡片raw data'!$F:$F,))</f>
        <v>SR</v>
      </c>
      <c r="G577" s="1026" t="s">
        <v>4683</v>
      </c>
      <c r="H577" s="411">
        <f>IFERROR(INDEX(绊状态确认!C:C,MATCH($G577,绊状态确认!$B:$B,)),"")</f>
        <v>6</v>
      </c>
      <c r="I577" s="450" t="str">
        <f>IFERROR(INDEX(绊状态确认!D:D,MATCH($G577,绊状态确认!$B:$B,)),"")</f>
        <v>缪</v>
      </c>
      <c r="J577" s="450" t="str">
        <f>IFERROR(INDEX(绊状态确认!E:E,MATCH($G577,绊状态确认!$B:$B,)),"")</f>
        <v>1年级</v>
      </c>
      <c r="K577" s="451" t="str">
        <f>IFERROR(INDEX(绊状态确认!F:F,MATCH($G577,绊状态确认!$B:$B,)),"")</f>
        <v>BiBi</v>
      </c>
      <c r="L577" s="1094" t="str">
        <f>INDEX('卡片raw data'!E:E,MATCH($D577,'卡片raw data'!$F:$F,))</f>
        <v>活动卡</v>
      </c>
      <c r="M577" s="1065">
        <v>44504</v>
      </c>
      <c r="N577" s="1027">
        <v>51</v>
      </c>
      <c r="O577" s="1091" t="str">
        <f>INDEX('卡片raw data'!D:D,MATCH($D577,'卡片raw data'!$F:$F,))</f>
        <v>vo</v>
      </c>
      <c r="P577" s="1126">
        <v>5</v>
      </c>
      <c r="Q577" s="1095">
        <f t="shared" si="688"/>
        <v>36462.989945856185</v>
      </c>
      <c r="R577" s="1096">
        <f t="shared" si="689"/>
        <v>0.42299999999999999</v>
      </c>
      <c r="S577" s="1097">
        <f t="shared" si="690"/>
        <v>15098.844831172693</v>
      </c>
      <c r="T577" s="1098">
        <f t="shared" si="691"/>
        <v>0.754</v>
      </c>
      <c r="U577" s="1099">
        <f t="shared" si="692"/>
        <v>-13.635010328157144</v>
      </c>
      <c r="V577" s="1100">
        <f t="shared" si="693"/>
        <v>36063.791058739975</v>
      </c>
      <c r="W577" s="1101">
        <f t="shared" si="694"/>
        <v>6037.5294668193856</v>
      </c>
      <c r="X577" s="1096">
        <f t="shared" si="695"/>
        <v>7.0000000000000007E-2</v>
      </c>
      <c r="Y577" s="1097">
        <f t="shared" si="696"/>
        <v>905.469563125489</v>
      </c>
      <c r="Z577" s="1102">
        <f t="shared" si="697"/>
        <v>11.364989671842856</v>
      </c>
      <c r="AA577" s="1103">
        <f t="shared" si="698"/>
        <v>6942.9990299448746</v>
      </c>
      <c r="AB577" s="1101">
        <f t="shared" si="699"/>
        <v>6685.9639699757008</v>
      </c>
      <c r="AC577" s="1104">
        <f t="shared" si="700"/>
        <v>7.6999999999999999E-2</v>
      </c>
      <c r="AD577" s="1105">
        <f t="shared" si="701"/>
        <v>-3.8207812500000026E-3</v>
      </c>
      <c r="AE577" s="1128">
        <f t="shared" si="702"/>
        <v>-12.27536231884058</v>
      </c>
      <c r="AF577" s="1130">
        <f t="shared" si="703"/>
        <v>0</v>
      </c>
      <c r="AG577" s="1097">
        <f t="shared" si="704"/>
        <v>0</v>
      </c>
      <c r="AH577" s="1097">
        <f t="shared" si="705"/>
        <v>0</v>
      </c>
      <c r="AI577" s="1097">
        <f t="shared" si="706"/>
        <v>0</v>
      </c>
      <c r="AJ577" s="1097">
        <f t="shared" si="707"/>
        <v>0</v>
      </c>
      <c r="AK577" s="1129">
        <f t="shared" si="708"/>
        <v>0</v>
      </c>
      <c r="AL577" s="1106">
        <f>IF($P577="","N/A",(IF($P577=-1,INDEX('卡片raw data'!S:S,MATCH($D577,'卡片raw data'!$F:$F,)),0)+IF($P577=0,INDEX('卡片raw data'!V:V,MATCH($D577,'卡片raw data'!$F:$F,)),0)+IF($P577=1,INDEX('卡片raw data'!Y:Y,MATCH($D577,'卡片raw data'!$F:$F,)),0)+IF($P577=2,INDEX('卡片raw data'!AB:AB,MATCH($D577,'卡片raw data'!$F:$F,)),0)+IF($P577=3,INDEX('卡片raw data'!AE:AE,MATCH($D577,'卡片raw data'!$F:$F,)),0)+IF($P577=4,INDEX('卡片raw data'!AH:AH,MATCH($D577,'卡片raw data'!$F:$F,)),0)+IF($P577=5,INDEX('卡片raw data'!AK:AK,MATCH($D577,'卡片raw data'!$F:$F,)),0)+INDEX('卡片raw data'!S:S,MATCH($D577,'卡片raw data'!$F:$F,))*(IF($F577="UR",0.04,0.033))*(IF($F577="UR",INDEX(绊状态确认!$S:$S,MATCH($G577,绊状态确认!$B:$B,))/2-40)+IF($F577="SR",INDEX(绊状态确认!$R:$R,MATCH($G577,绊状态确认!$B:$B,))/4-15))+IF($F577="R",INDEX(绊状态确认!$Q:$Q,MATCH($G577,绊状态确认!$B:$B,))/6-40/6)))*(INDEX(绊状态确认!$H:$H,MATCH($G577,绊状态确认!$B:$B,))+INDEX(绊状态确认!J:J,MATCH($G577,绊状态确认!$B:$B,)))</f>
        <v>7585.601822399999</v>
      </c>
      <c r="AM577" s="1106">
        <f>IF($P577="","N/A",(IF($P577=-1,INDEX('卡片raw data'!T:T,MATCH($D577,'卡片raw data'!$F:$F,)),0)+IF($P577=0,INDEX('卡片raw data'!W:W,MATCH($D577,'卡片raw data'!$F:$F,)),0)+IF($P577=1,INDEX('卡片raw data'!Z:Z,MATCH($D577,'卡片raw data'!$F:$F,)),0)+IF($P577=2,INDEX('卡片raw data'!AC:AC,MATCH($D577,'卡片raw data'!$F:$F,)),0)+IF($P577=3,INDEX('卡片raw data'!AF:AF,MATCH($D577,'卡片raw data'!$F:$F,)),0)+IF($P577=4,INDEX('卡片raw data'!AI:AI,MATCH($D577,'卡片raw data'!$F:$F,)),0)+IF($P577=5,INDEX('卡片raw data'!AL:AL,MATCH($D577,'卡片raw data'!$F:$F,)),0)+INDEX('卡片raw data'!T:T,MATCH($D577,'卡片raw data'!$F:$F,))*(IF($F577="UR",0.04,0.033))*(IF($F577="UR",INDEX(绊状态确认!$S:$S,MATCH($G577,绊状态确认!$B:$B,))/2-40)+IF($F577="SR",INDEX(绊状态确认!$R:$R,MATCH($G577,绊状态确认!$B:$B,))/4-15))+IF($F577="R",INDEX(绊状态确认!$Q:$Q,MATCH($G577,绊状态确认!$B:$B,))/6-40/6)))*(INDEX(绊状态确认!$H:$H,MATCH($G577,绊状态确认!$B:$B,))+INDEX(绊状态确认!K:K,MATCH($G577,绊状态确认!$B:$B,)))</f>
        <v>5789.9807279999995</v>
      </c>
      <c r="AN577" s="1106">
        <f>IF($P577="","N/A",(IF($P577=-1,INDEX('卡片raw data'!U:U,MATCH($D577,'卡片raw data'!$F:$F,)),0)+IF($P577=0,INDEX('卡片raw data'!X:X,MATCH($D577,'卡片raw data'!$F:$F,)),0)+IF($P577=1,INDEX('卡片raw data'!AA:AA,MATCH($D577,'卡片raw data'!$F:$F,)),0)+IF($P577=2,INDEX('卡片raw data'!AD:AD,MATCH($D577,'卡片raw data'!$F:$F,)),0)+IF($P577=3,INDEX('卡片raw data'!AG:AG,MATCH($D577,'卡片raw data'!$F:$F,)),0)+IF($P577=4,INDEX('卡片raw data'!AJ:AJ,MATCH($D577,'卡片raw data'!$F:$F,)),0)+IF($P577=5,INDEX('卡片raw data'!AM:AM,MATCH($D577,'卡片raw data'!$F:$F,)),0)+INDEX('卡片raw data'!U:U,MATCH($D577,'卡片raw data'!$F:$F,))*(IF($F577="UR",0.04,0.033))*(IF($F577="UR",INDEX(绊状态确认!$S:$S,MATCH($G577,绊状态确认!$B:$B,))/2-40)+IF($F577="SR",INDEX(绊状态确认!$R:$R,MATCH($G577,绊状态确认!$B:$B,))/4-15))+IF($F577="R",INDEX(绊状态确认!$Q:$Q,MATCH($G577,绊状态确认!$B:$B,))/6-40/6)))*(INDEX(绊状态确认!$H:$H,MATCH($G577,绊状态确认!$B:$B,))+INDEX(绊状态确认!L:L,MATCH($G577,绊状态确认!$B:$B,)))</f>
        <v>6588.1858151999986</v>
      </c>
      <c r="AO577" s="1107">
        <f t="shared" si="709"/>
        <v>1</v>
      </c>
      <c r="AP577" s="1131">
        <f>1+(INDEX(绊状态确认!$T:$T,MATCH($G577,绊状态确认!$B:$B,))+0.2)*$AO577</f>
        <v>1.3</v>
      </c>
      <c r="AQ577" s="1108">
        <f t="shared" si="710"/>
        <v>23162.2047838</v>
      </c>
      <c r="AR577" s="1097">
        <f>(AM577*(1+$EX$9)+$EX$35)*(1+(INDEX(绊状态确认!$T:$T,MATCH($G577,绊状态确认!$B:$B,))+0.2)*AO577)*IF(J577=$FF$17,1+$FE$17,1)*IF(I577=$FF$14,1+$FE$14,1)</f>
        <v>10607.32369372</v>
      </c>
      <c r="AS577" s="1097">
        <f>(AN577*(1+$EX$10)+$EX$36)*(1+(INDEX(绊状态确认!$T:$T,MATCH($G577,绊状态确认!$B:$B,))+0.2)*AO577)*IF(J577=$FF$17,1+$FE$17,1)*IF(I577=$FF$14,1+$FE$14,1)</f>
        <v>13905.337793723998</v>
      </c>
      <c r="AT577" s="1093">
        <f>IF(AND(INDEX('卡片raw data'!AK:AK,MATCH($D577,'卡片raw data'!$F:$F,))&lt;INDEX('卡片raw data'!AM:AM,MATCH($D577,'卡片raw data'!$F:$F,)),INDEX('卡片raw data'!AL:AL,MATCH($D577,'卡片raw data'!$F:$F,))&lt;INDEX('卡片raw data'!AM:AM,MATCH($D577,'卡片raw data'!$F:$F,))),1,0)</f>
        <v>0</v>
      </c>
      <c r="AU577" s="1098">
        <f>MIN(AT577*0.15+AS577*0.00003+INDEX(绊状态确认!M:M,MATCH($G577,绊状态确认!$B:$B,)),1)</f>
        <v>0.44716013381171998</v>
      </c>
      <c r="AV577" s="1109">
        <f>(INDEX(绊状态确认!$N:$N,MATCH($G577,绊状态确认!$B:$B,))+1.5)*$EW$21</f>
        <v>2.6599999999999997</v>
      </c>
      <c r="AW577" s="1101">
        <f t="shared" si="711"/>
        <v>20958.329477016632</v>
      </c>
      <c r="AX577" s="1097">
        <f t="shared" si="712"/>
        <v>905.469563125489</v>
      </c>
      <c r="AY577" s="1110">
        <f t="shared" si="713"/>
        <v>21863.799040142119</v>
      </c>
      <c r="AZ577" s="1106">
        <f t="shared" si="714"/>
        <v>17391.923553679997</v>
      </c>
      <c r="BA577" s="1108">
        <f t="shared" si="715"/>
        <v>20870.308264415995</v>
      </c>
      <c r="BB577" s="1097">
        <f>(AM577*(1+$FB$9)+$FB$35)*(1+(INDEX(绊状态确认!$T:$T,MATCH($G577,绊状态确认!$B:$B,))+0.2)*AO577)*IF(J577=$FF$17,1+$FE$17,1)*IF(I577=$FF$14,1+$FE$14,1)*(1+$FE$15)</f>
        <v>10607.32369372</v>
      </c>
      <c r="BC577" s="1097">
        <f>(AN577*(1+$FB$10)+$FB$36)*(1+(INDEX(绊状态确认!$T:$T,MATCH($G577,绊状态确认!$B:$B,))+0.2)*AO577)*IF(J577=$FF$17,1+$FE$17,1)*IF(I577=$FF$14,1+$FE$14,1)*(1+$FE$15)</f>
        <v>13905.337793723998</v>
      </c>
      <c r="BD577" s="1104">
        <f>MIN(AT577*0.15+BC577*0.00003+INDEX(绊状态确认!M:M,MATCH($G577,绊状态确认!$B:$B,)),1)</f>
        <v>0.44716013381171998</v>
      </c>
      <c r="BE577" s="1109">
        <f>(INDEX(绊状态确认!$N:$N,MATCH($G577,绊状态确认!$B:$B,))+1.5)</f>
        <v>1.9</v>
      </c>
      <c r="BF577" s="1139">
        <f t="array" ref="BF577">SUMPRODUCT(IF(AZ577*AP577*$FI$16:$FI$23*$FA$22&gt;=$FI$24,$FI$24,AZ577*AP577*$FI$16:$FI$23*$FA$22),$FJ$16:$FJ$23)</f>
        <v>34592.53594826952</v>
      </c>
      <c r="BG577" s="1125">
        <f t="array" ref="BG577">SUMPRODUCT(IF(BE577*AZ577*AP577*$FI$16:$FI$23*$FA$22&gt;=$FI$24,$FI$24,BE577*AZ577*AP577*$FI$16:$FI$23*$FA$22),$FJ$16:$FJ$23)</f>
        <v>58739.5127943974</v>
      </c>
      <c r="BH577" s="1110">
        <f t="shared" si="716"/>
        <v>15130.033781977523</v>
      </c>
      <c r="BI577" s="1111">
        <f>IF(O577="vo",$EW$26/$EW$24*0.05,0)+IF(O577="sk",-$EW$26/$EW$24*(0.05-INDEX(绊状态确认!W:W,MATCH($G577,绊状态确认!$B:$B,)))+0.05*$EW$28,0)+IF(O577="sp",0.05*$EW$32*$EW$30*(1-$EW$33)-(0.05-INDEX(绊状态确认!V:V,MATCH($G577,绊状态确认!$B:$B,)))*$EW$28,0)+IF(O577="gd",-(0.05-INDEX(绊状态确认!X:X,MATCH($G577,绊状态确认!$B:$B,)))*$EW$32*$EW$30*(1-$EW$33),0)</f>
        <v>7726.3029277443748</v>
      </c>
      <c r="BJ577" s="1097">
        <f>IF(O577="vo",0.05*(1-$FI$26)*$FA$24,0)+IF(O577="sk",-(0.05-INDEX(绊状态确认!W:W,MATCH($G577,绊状态确认!$B:$B,)))*(1-$FI$26)*$FA$24+0.05*$FA$26,0)+IF(O577="sp",0.05*$FA$32*$FA$27*(1-$FA$33)/$FA$30+0.05*$FA$29/$FA$69*$FA$27*(1-$FA$33)-(0.05-INDEX(绊状态确认!V:V,MATCH($G577,绊状态确认!$B:$B,)))*$FA$26,0)+IF(O577="gd",-(0.05-INDEX(绊状态确认!X:X,MATCH($G577,绊状态确认!$B:$B,)))*$FA$32*$FA$27*(1-$FA$33)/$FA$30-(0.05-INDEX(绊状态确认!X:X,MATCH($G577,绊状态确认!$B:$B,)))*$FA$29/$FA$69*$FA$27*(1-$FA$33),0)</f>
        <v>393.93433687500004</v>
      </c>
      <c r="BK577" s="1110">
        <f>IF(O577="vo",$EW$26/$EW$24*0.05+$EW$26*(-HP($EW$62,$EW$65,$EW$64)+HP($EW$62,$EW$65,(1.05-INDEX(绊状态确认!U:U,MATCH($G577,绊状态确认!$B:$B,)))*$EW$64)),0)+IF(O577="sk",-$EW$26/$EW$24*(0.05-INDEX(绊状态确认!W:W,MATCH($G577,绊状态确认!$B:$B,)))+0.05*$EW$29,0)+IF(O577="sp",0.05*$EW$32*$EW$30*(1-$EW$33)-(0.05-INDEX(绊状态确认!V:V,MATCH($G577,绊状态确认!$B:$B,)))*$EW$29,0)+IF(O577="gd",-(0.05-INDEX(绊状态确认!X:X,MATCH($G577,绊状态确认!$B:$B,)))*$EW$32*$EW$30*(1-$EW$33)+$EW$26*(-HP($EW$62,$EW$65,$EW$64)+HP($EW$62,$EW$65,0.95*$EW$64)),0)</f>
        <v>6421.6344775026746</v>
      </c>
      <c r="BL577" s="1111">
        <f t="shared" si="717"/>
        <v>-1083.3333333333333</v>
      </c>
      <c r="BM577" s="1110">
        <f t="shared" si="718"/>
        <v>-830.55555555555543</v>
      </c>
      <c r="BN577" s="1113">
        <f t="shared" si="719"/>
        <v>3</v>
      </c>
      <c r="BO577" s="1108">
        <f t="shared" si="720"/>
        <v>4507.7214871259994</v>
      </c>
      <c r="BP577" s="1127">
        <f t="shared" si="721"/>
        <v>221.34103209030098</v>
      </c>
      <c r="BQ577" s="1113" t="s">
        <v>132</v>
      </c>
      <c r="BR577" s="1124" t="s">
        <v>166</v>
      </c>
      <c r="BS577" s="1098">
        <f>IF($P577="","N/A",IF($P577=-1,INDEX('卡片raw data'!AX:AX,MATCH($D577,'卡片raw data'!$F:$F,)),0)+IF($L577="party卡",IF($P577=5,INDEX('卡片raw data'!BD:BD,MATCH($D577,'卡片raw data'!$F:$F,)),IF($P577&gt;=3,INDEX('卡片raw data'!BC:BC,MATCH($D577,'卡片raw data'!$F:$F,)),INDEX('卡片raw data'!BB:BB,MATCH($D577,'卡片raw data'!$F:$F,)))),IF(OR(AND($F577="UR",$P577=0),AND($F577="SR",$P577&gt;=0,$P577&lt;=2),AND($F577="R",$P577&gt;=0,$P577&lt;4)),INDEX('卡片raw data'!AZ:AZ,MATCH($D577,'卡片raw data'!$F:$F,)),0)+IF(OR(AND($F577="UR",$P577&gt;=1,$P577&lt;=4),AND($F577="SR",$P577&lt;=4,$P577&gt;=3),AND($F577="R",$P577=4)),INDEX('卡片raw data'!BA:BA,MATCH($D577,'卡片raw data'!$F:$F,)),0)+IF($P577=5,INDEX('卡片raw data'!BB:BB,MATCH($D577,'卡片raw data'!$F:$F,)),0)))</f>
        <v>7.0000000000000007E-2</v>
      </c>
      <c r="BT577" s="1101">
        <f t="shared" si="722"/>
        <v>648.43450315631571</v>
      </c>
      <c r="BU577" s="1097">
        <f t="shared" si="723"/>
        <v>22.315534775425043</v>
      </c>
      <c r="BV577" s="1097">
        <f t="shared" si="724"/>
        <v>0</v>
      </c>
      <c r="BW577" s="1112">
        <f t="shared" si="725"/>
        <v>0</v>
      </c>
      <c r="BX577" s="1100">
        <f t="shared" si="726"/>
        <v>648.43450315631571</v>
      </c>
      <c r="BY577" s="1110">
        <f t="shared" si="727"/>
        <v>0</v>
      </c>
      <c r="BZ577" s="1113" t="s">
        <v>569</v>
      </c>
      <c r="CA577" s="1124"/>
      <c r="CB577" s="1098">
        <f>IF($P577="","N/A",IF($P577=-1,INDEX('卡片raw data'!BE:BE,MATCH($D577,'卡片raw data'!$F:$F,)),0)+IF($L577="party卡",IF($P577=5,INDEX('卡片raw data'!BK:BK,MATCH($D577,'卡片raw data'!$F:$F,)),IF($P577&gt;=3,INDEX('卡片raw data'!BJ:BJ,MATCH($D577,'卡片raw data'!$F:$F,)),INDEX('卡片raw data'!BI:BI,MATCH($D577,'卡片raw data'!$F:$F,)))),IF(OR(AND($F577="UR",$P577=0),AND($F577="SR",$P577&gt;=0,$P577&lt;=2),AND($F577="R",$P577&gt;=0,$P577&lt;4)),INDEX('卡片raw data'!BG:BG,MATCH($D577,'卡片raw data'!$F:$F,)),0)+IF(OR(AND($F577="UR",$P577&gt;=1,$P577&lt;=4),AND($F577="SR",$P577&lt;=4,$P577&gt;=3),AND($F577="R",$P577=4)),INDEX('卡片raw data'!BH:BH,MATCH($D577,'卡片raw data'!$F:$F,)),0)+IF($P577=5,INDEX('卡片raw data'!BI:BI,MATCH($D577,'卡片raw data'!$F:$F,)),0)))</f>
        <v>0</v>
      </c>
      <c r="CC577" s="1101">
        <f t="shared" si="786"/>
        <v>0</v>
      </c>
      <c r="CD577" s="1097">
        <f>IF(BZ577="ap",CB577*(1-$FI$26)*$FB$5/$FB$11*(+IF(CA577="全员",$FA$24,0)+IF(CA577="同作战",$FA$24,0)+IF(CA577="仲间",$FA$24*2/3,0)+IF(CA577="同属性",$FA$24*$FA$37/3,0)+IF(CA577="同年级",$FA$24*$FA$40/3,0)+IF(CA577="同学校",$FA$24*$FA$43/3,0)+IF(CA577="同小队",$FA$24*$FA$46/3,0)+IF(CA577="同type",$FA$24*INDEX($FB$49:$FB$52,MATCH(X577,$FA$49:$FA$52,))/3,0)+IF(CA577="自身",#REF!/3,0)),0)+IF(BZ577="te",CB577*(1-$FI$27)*($FA$20-1)*$FB$7/$FB$13*(+IF(CA577="全员",$FA$19*$FA$24/(1+($FA$20-1)*$FA$19),0)+IF(CA577="同作战",$FA$19*$FA$24/(1+($FA$20-1)*$FA$19),0)+IF(CA577="仲间",$FA$19*$FA$24*2/3/(1+($FA$20-1)*$FA$19),0)+IF(CA577="同属性",$FA$19*$FA$24*$FA$37/3/(1+($FA$20-1)*$FA$19),0)+IF(CA577="同年级",$FA$19*$FA$24*$FA$40/3/(1+($FA$20-1)*$FA$19),0)+IF(CA577="同学校",$FA$19*$FA$24*$FA$43/3/(1+($FA$20-1)*$FA$19),0)+IF(CA577="同小队",$FA$19*$FA$24*$FA$46/3/(1+($FA$20-1)*$FA$19),0)+IF(CA577="同type",$FA$19*$FA$24*INDEX($FB$49:$FB$52,MATCH(X577,$FA$49:$FA$52,))/3/(1+($FA$20-1)*$FA$19),0)+IF(CA577="自身",$FA$19*#REF!/3/(1+(BH577-1)*$BD577),0)),0)</f>
        <v>0</v>
      </c>
      <c r="CE577" s="1097">
        <f t="shared" si="729"/>
        <v>0</v>
      </c>
      <c r="CF577" s="1112">
        <f t="shared" si="787"/>
        <v>0</v>
      </c>
      <c r="CG577" s="1100">
        <f t="shared" si="731"/>
        <v>0</v>
      </c>
      <c r="CH577" s="1110">
        <f t="shared" si="732"/>
        <v>0</v>
      </c>
      <c r="CI577" s="1113" t="s">
        <v>165</v>
      </c>
      <c r="CJ577" s="1168">
        <v>0.3</v>
      </c>
      <c r="CK577" s="1115" t="s">
        <v>2074</v>
      </c>
      <c r="CL577" s="1115" t="s">
        <v>1947</v>
      </c>
      <c r="CM577" s="1166">
        <v>0.03</v>
      </c>
      <c r="CN577" s="1169" t="s">
        <v>2076</v>
      </c>
      <c r="CO577" s="1115"/>
      <c r="CP577" s="1118">
        <f t="shared" si="733"/>
        <v>8.9999999999999993E-3</v>
      </c>
      <c r="CQ577" s="1118">
        <f t="shared" si="734"/>
        <v>8.9999999999999993E-3</v>
      </c>
      <c r="CR577" s="1118">
        <f t="shared" si="735"/>
        <v>8.9999999999999993E-3</v>
      </c>
      <c r="CS577" s="1118">
        <f t="shared" si="782"/>
        <v>0</v>
      </c>
      <c r="CT577" s="1109">
        <f t="shared" si="783"/>
        <v>0</v>
      </c>
      <c r="CU577" s="1101">
        <f t="shared" si="738"/>
        <v>1529.8079796933862</v>
      </c>
      <c r="CV577" s="1108">
        <f t="shared" si="777"/>
        <v>70.90818063750001</v>
      </c>
      <c r="CW577" s="1097">
        <f t="shared" si="739"/>
        <v>1529.8079796933862</v>
      </c>
      <c r="CX577" s="1097">
        <f t="shared" si="740"/>
        <v>1529.8079796933862</v>
      </c>
      <c r="CY577" s="1110">
        <f t="shared" si="741"/>
        <v>1529.8079796933862</v>
      </c>
      <c r="CZ577" s="1113"/>
      <c r="DA577" s="1114"/>
      <c r="DB577" s="1115" t="s">
        <v>569</v>
      </c>
      <c r="DC577" s="1115"/>
      <c r="DD577" s="1119"/>
      <c r="DE577" s="1092"/>
      <c r="DF577" s="1092"/>
      <c r="DG577" s="1116">
        <f t="shared" si="742"/>
        <v>0</v>
      </c>
      <c r="DH577" s="1116">
        <f t="shared" si="743"/>
        <v>0</v>
      </c>
      <c r="DI577" s="1116">
        <f t="shared" si="744"/>
        <v>0</v>
      </c>
      <c r="DJ577" s="1118">
        <f t="shared" si="790"/>
        <v>0</v>
      </c>
      <c r="DK577" s="1109">
        <f t="shared" si="791"/>
        <v>0</v>
      </c>
      <c r="DL577" s="1101">
        <f t="shared" si="747"/>
        <v>0</v>
      </c>
      <c r="DM577" s="1097">
        <f t="shared" si="748"/>
        <v>0</v>
      </c>
      <c r="DN577" s="1097">
        <f t="shared" si="749"/>
        <v>0</v>
      </c>
      <c r="DO577" s="1097">
        <f t="shared" si="750"/>
        <v>0</v>
      </c>
      <c r="DP577" s="1110">
        <f t="shared" si="751"/>
        <v>0</v>
      </c>
      <c r="DQ577" s="1167" t="s">
        <v>2286</v>
      </c>
      <c r="DR577" s="1120">
        <f t="shared" si="792"/>
        <v>0.3</v>
      </c>
      <c r="DS577" s="1165">
        <v>5</v>
      </c>
      <c r="DT577" s="1093" t="s">
        <v>161</v>
      </c>
      <c r="DU577" s="1165" t="s">
        <v>2145</v>
      </c>
      <c r="DV577" s="1098">
        <f>IF($P577="","N/A",IF(P577=-1,INDEX('卡片raw data'!AN:AN,MATCH(D577,'卡片raw data'!$F:$F,)),0)+IF(AND(L577&lt;&gt;"party卡",P577&lt;=2,P577&gt;=0),INDEX('卡片raw data'!AP:AP,MATCH(D577,'卡片raw data'!$F:$F,)),0)+IF(OR(AND(L577="party卡",P577&lt;=1),AND(P577&lt;=4,L577&lt;&gt;"party卡",P577&gt;=3)),INDEX('卡片raw data'!AQ:AQ,MATCH(D577,'卡片raw data'!$F:$F,)),0)+IF(OR(P577=5,AND(L577="party卡",P577&gt;=2)),INDEX('卡片raw data'!AR:AR,MATCH(D577,'卡片raw data'!$F:$F,)),0))</f>
        <v>3.2000000000000001E-2</v>
      </c>
      <c r="DW577" s="1098">
        <f t="shared" si="752"/>
        <v>0.3</v>
      </c>
      <c r="DX577" s="1098">
        <f t="shared" si="753"/>
        <v>0.3</v>
      </c>
      <c r="DY577" s="1098">
        <f t="shared" si="754"/>
        <v>1.6E-2</v>
      </c>
      <c r="DZ577" s="1098">
        <f t="shared" si="755"/>
        <v>1.384E-2</v>
      </c>
      <c r="EA577" s="1098">
        <f t="shared" si="756"/>
        <v>0</v>
      </c>
      <c r="EB577" s="1121">
        <f t="shared" si="757"/>
        <v>0</v>
      </c>
      <c r="EC577" s="1101">
        <f t="shared" si="758"/>
        <v>2175.7269044528161</v>
      </c>
      <c r="ED577" s="1097">
        <f t="shared" si="759"/>
        <v>90.86752037250001</v>
      </c>
      <c r="EE577" s="1110">
        <f t="shared" si="775"/>
        <v>2175.7269044528161</v>
      </c>
      <c r="EF577" s="1113" t="s">
        <v>569</v>
      </c>
      <c r="EG577" s="1120">
        <f t="shared" si="793"/>
        <v>0.3</v>
      </c>
      <c r="EH577" s="1124"/>
      <c r="EI577" s="1124"/>
      <c r="EJ577" s="1124"/>
      <c r="EK577" s="1097">
        <f>IF($P577="","N/A",IF(P577=-1,INDEX('卡片raw data'!AS:AS,MATCH(D577,'卡片raw data'!$F:$F,)),0)+IF(AND(L577&lt;&gt;"party卡",P577&lt;=2,P577&gt;=0),INDEX('卡片raw data'!AU:AU,MATCH(D577,'卡片raw data'!$F:$F,)),0)+IF(OR(AND(L577="party卡",P577&lt;=1),AND(P577&lt;=4,L577&lt;&gt;"party卡",P577&gt;=3)),INDEX('卡片raw data'!AV:AV,MATCH(D577,'卡片raw data'!$F:$F,)),0)+IF(OR(P577=5,AND(L577="party卡",P577&gt;=2)),INDEX('卡片raw data'!AW:AW,MATCH(D577,'卡片raw data'!$F:$F,)),0))</f>
        <v>0</v>
      </c>
      <c r="EL577" s="1098">
        <f t="shared" si="760"/>
        <v>0.3</v>
      </c>
      <c r="EM577" s="1098">
        <f t="shared" si="761"/>
        <v>0.3</v>
      </c>
      <c r="EN577" s="1097">
        <f t="shared" si="762"/>
        <v>0</v>
      </c>
      <c r="EO577" s="1097">
        <f t="shared" si="763"/>
        <v>0</v>
      </c>
      <c r="EP577" s="1098">
        <f t="shared" si="764"/>
        <v>0</v>
      </c>
      <c r="EQ577" s="1121">
        <f t="shared" si="765"/>
        <v>0</v>
      </c>
      <c r="ER577" s="1101">
        <f t="shared" si="766"/>
        <v>0</v>
      </c>
      <c r="ES577" s="1097">
        <f t="shared" si="767"/>
        <v>0</v>
      </c>
      <c r="ET577" s="1122">
        <f t="shared" si="776"/>
        <v>0</v>
      </c>
    </row>
    <row r="578" spans="2:150" ht="16.5" customHeight="1">
      <c r="B578" s="1123" t="str">
        <f>INDEX('卡片raw data'!B:B,MATCH($D578,'卡片raw data'!$F:$F,))</f>
        <v>prt丸</v>
      </c>
      <c r="C578" s="1025" t="s">
        <v>4687</v>
      </c>
      <c r="D578" s="408">
        <v>575</v>
      </c>
      <c r="E578" s="1164">
        <v>301073002</v>
      </c>
      <c r="F578" s="1090" t="str">
        <f>INDEX('卡片raw data'!C:C,MATCH($D578,'卡片raw data'!$F:$F,))</f>
        <v>UR</v>
      </c>
      <c r="G578" s="1026" t="s">
        <v>4688</v>
      </c>
      <c r="H578" s="411">
        <f>IFERROR(INDEX(绊状态确认!C:C,MATCH($G578,绊状态确认!$B:$B,)),"")</f>
        <v>107</v>
      </c>
      <c r="I578" s="450" t="str">
        <f>IFERROR(INDEX(绊状态确认!D:D,MATCH($G578,绊状态确认!$B:$B,)),"")</f>
        <v>水</v>
      </c>
      <c r="J578" s="450" t="str">
        <f>IFERROR(INDEX(绊状态确认!E:E,MATCH($G578,绊状态确认!$B:$B,)),"")</f>
        <v>1年级</v>
      </c>
      <c r="K578" s="451" t="str">
        <f>IFERROR(INDEX(绊状态确认!F:F,MATCH($G578,绊状态确认!$B:$B,)),"")</f>
        <v>AZALEA</v>
      </c>
      <c r="L578" s="1094" t="str">
        <f>INDEX('卡片raw data'!E:E,MATCH($D578,'卡片raw data'!$F:$F,))</f>
        <v>party卡</v>
      </c>
      <c r="M578" s="1065">
        <v>44514</v>
      </c>
      <c r="N578" s="1027">
        <v>51.5</v>
      </c>
      <c r="O578" s="1091" t="str">
        <f>INDEX('卡片raw data'!D:D,MATCH($D578,'卡片raw data'!$F:$F,))</f>
        <v>sp</v>
      </c>
      <c r="P578" s="1126">
        <v>5</v>
      </c>
      <c r="Q578" s="1095">
        <f t="shared" si="688"/>
        <v>59865.197070250979</v>
      </c>
      <c r="R578" s="1096">
        <f t="shared" si="689"/>
        <v>0.69499999999999995</v>
      </c>
      <c r="S578" s="1097">
        <f t="shared" si="690"/>
        <v>20774.268104066385</v>
      </c>
      <c r="T578" s="1098">
        <f t="shared" si="691"/>
        <v>1.038</v>
      </c>
      <c r="U578" s="1099">
        <f t="shared" si="692"/>
        <v>20.683679324228567</v>
      </c>
      <c r="V578" s="1100">
        <f t="shared" si="693"/>
        <v>59735.602526994386</v>
      </c>
      <c r="W578" s="1101">
        <f t="shared" si="694"/>
        <v>7638.0836309634997</v>
      </c>
      <c r="X578" s="1096">
        <f t="shared" si="695"/>
        <v>8.7999999999999995E-2</v>
      </c>
      <c r="Y578" s="1097">
        <f t="shared" si="696"/>
        <v>1670.405456743405</v>
      </c>
      <c r="Z578" s="1102">
        <f t="shared" si="697"/>
        <v>20.683679324228567</v>
      </c>
      <c r="AA578" s="1103">
        <f t="shared" si="698"/>
        <v>9308.4890877069047</v>
      </c>
      <c r="AB578" s="1101">
        <f t="shared" si="699"/>
        <v>9265.8719457589996</v>
      </c>
      <c r="AC578" s="1104">
        <f t="shared" si="700"/>
        <v>0.107</v>
      </c>
      <c r="AD578" s="1105">
        <f t="shared" si="701"/>
        <v>-1.6087500000000001E-2</v>
      </c>
      <c r="AE578" s="1128">
        <f t="shared" si="702"/>
        <v>10.92391304347826</v>
      </c>
      <c r="AF578" s="1130">
        <f t="shared" si="703"/>
        <v>0</v>
      </c>
      <c r="AG578" s="1097">
        <f t="shared" si="704"/>
        <v>0</v>
      </c>
      <c r="AH578" s="1097">
        <f t="shared" si="705"/>
        <v>0</v>
      </c>
      <c r="AI578" s="1097">
        <f t="shared" si="706"/>
        <v>0</v>
      </c>
      <c r="AJ578" s="1097">
        <f t="shared" si="707"/>
        <v>0</v>
      </c>
      <c r="AK578" s="1129">
        <f t="shared" si="708"/>
        <v>0</v>
      </c>
      <c r="AL578" s="1106">
        <f>IF($P578="","N/A",(IF($P578=-1,INDEX('卡片raw data'!S:S,MATCH($D578,'卡片raw data'!$F:$F,)),0)+IF($P578=0,INDEX('卡片raw data'!V:V,MATCH($D578,'卡片raw data'!$F:$F,)),0)+IF($P578=1,INDEX('卡片raw data'!Y:Y,MATCH($D578,'卡片raw data'!$F:$F,)),0)+IF($P578=2,INDEX('卡片raw data'!AB:AB,MATCH($D578,'卡片raw data'!$F:$F,)),0)+IF($P578=3,INDEX('卡片raw data'!AE:AE,MATCH($D578,'卡片raw data'!$F:$F,)),0)+IF($P578=4,INDEX('卡片raw data'!AH:AH,MATCH($D578,'卡片raw data'!$F:$F,)),0)+IF($P578=5,INDEX('卡片raw data'!AK:AK,MATCH($D578,'卡片raw data'!$F:$F,)),0)+INDEX('卡片raw data'!S:S,MATCH($D578,'卡片raw data'!$F:$F,))*(IF($F578="UR",0.04,0.033))*(IF($F578="UR",INDEX(绊状态确认!$S:$S,MATCH($G578,绊状态确认!$B:$B,))/2-40)+IF($F578="SR",INDEX(绊状态确认!$R:$R,MATCH($G578,绊状态确认!$B:$B,))/4-15))+IF($F578="R",INDEX(绊状态确认!$Q:$Q,MATCH($G578,绊状态确认!$B:$B,))/6-40/6)))*(INDEX(绊状态确认!$H:$H,MATCH($G578,绊状态确认!$B:$B,))+INDEX(绊状态确认!J:J,MATCH($G578,绊状态确认!$B:$B,)))</f>
        <v>14977.115615999999</v>
      </c>
      <c r="AM578" s="1106">
        <f>IF($P578="","N/A",(IF($P578=-1,INDEX('卡片raw data'!T:T,MATCH($D578,'卡片raw data'!$F:$F,)),0)+IF($P578=0,INDEX('卡片raw data'!W:W,MATCH($D578,'卡片raw data'!$F:$F,)),0)+IF($P578=1,INDEX('卡片raw data'!Z:Z,MATCH($D578,'卡片raw data'!$F:$F,)),0)+IF($P578=2,INDEX('卡片raw data'!AC:AC,MATCH($D578,'卡片raw data'!$F:$F,)),0)+IF($P578=3,INDEX('卡片raw data'!AF:AF,MATCH($D578,'卡片raw data'!$F:$F,)),0)+IF($P578=4,INDEX('卡片raw data'!AI:AI,MATCH($D578,'卡片raw data'!$F:$F,)),0)+IF($P578=5,INDEX('卡片raw data'!AL:AL,MATCH($D578,'卡片raw data'!$F:$F,)),0)+INDEX('卡片raw data'!T:T,MATCH($D578,'卡片raw data'!$F:$F,))*(IF($F578="UR",0.04,0.033))*(IF($F578="UR",INDEX(绊状态确认!$S:$S,MATCH($G578,绊状态确认!$B:$B,))/2-40)+IF($F578="SR",INDEX(绊状态确认!$R:$R,MATCH($G578,绊状态确认!$B:$B,))/4-15))+IF($F578="R",INDEX(绊状态确认!$Q:$Q,MATCH($G578,绊状态确认!$B:$B,))/6-40/6)))*(INDEX(绊状态确认!$H:$H,MATCH($G578,绊状态确认!$B:$B,))+INDEX(绊状态确认!K:K,MATCH($G578,绊状态确认!$B:$B,)))</f>
        <v>11137.265471999997</v>
      </c>
      <c r="AN578" s="1106">
        <f>IF($P578="","N/A",(IF($P578=-1,INDEX('卡片raw data'!U:U,MATCH($D578,'卡片raw data'!$F:$F,)),0)+IF($P578=0,INDEX('卡片raw data'!X:X,MATCH($D578,'卡片raw data'!$F:$F,)),0)+IF($P578=1,INDEX('卡片raw data'!AA:AA,MATCH($D578,'卡片raw data'!$F:$F,)),0)+IF($P578=2,INDEX('卡片raw data'!AD:AD,MATCH($D578,'卡片raw data'!$F:$F,)),0)+IF($P578=3,INDEX('卡片raw data'!AG:AG,MATCH($D578,'卡片raw data'!$F:$F,)),0)+IF($P578=4,INDEX('卡片raw data'!AJ:AJ,MATCH($D578,'卡片raw data'!$F:$F,)),0)+IF($P578=5,INDEX('卡片raw data'!AM:AM,MATCH($D578,'卡片raw data'!$F:$F,)),0)+INDEX('卡片raw data'!U:U,MATCH($D578,'卡片raw data'!$F:$F,))*(IF($F578="UR",0.04,0.033))*(IF($F578="UR",INDEX(绊状态确认!$S:$S,MATCH($G578,绊状态确认!$B:$B,))/2-40)+IF($F578="SR",INDEX(绊状态确认!$R:$R,MATCH($G578,绊状态确认!$B:$B,))/4-15))+IF($F578="R",INDEX(绊状态确认!$Q:$Q,MATCH($G578,绊状态确认!$B:$B,))/6-40/6)))*(INDEX(绊状态确认!$H:$H,MATCH($G578,绊状态确认!$B:$B,))+INDEX(绊状态确认!L:L,MATCH($G578,绊状态确认!$B:$B,)))</f>
        <v>12291.302399999999</v>
      </c>
      <c r="AO578" s="1107">
        <f t="shared" si="709"/>
        <v>1</v>
      </c>
      <c r="AP578" s="1131">
        <f>1+(INDEX(绊状态确认!$T:$T,MATCH($G578,绊状态确认!$B:$B,))+0.2)*$AO578</f>
        <v>1.3</v>
      </c>
      <c r="AQ578" s="1108">
        <f t="shared" si="710"/>
        <v>42564.928491999999</v>
      </c>
      <c r="AR578" s="1097">
        <f>(AM578*(1+$EX$9)+$EX$35)*(1+(INDEX(绊状态确认!$T:$T,MATCH($G578,绊状态确认!$B:$B,))+0.2)*AO578)*IF(J578=$FF$17,1+$FE$17,1)*IF(I578=$FF$14,1+$FE$14,1)</f>
        <v>17906.367369279997</v>
      </c>
      <c r="AS578" s="1097">
        <f>(AN578*(1+$EX$10)+$EX$36)*(1+(INDEX(绊状态确认!$T:$T,MATCH($G578,绊状态确认!$B:$B,))+0.2)*AO578)*IF(J578=$FF$17,1+$FE$17,1)*IF(I578=$FF$14,1+$FE$14,1)</f>
        <v>22431.497088</v>
      </c>
      <c r="AT578" s="1093">
        <f>IF(AND(INDEX('卡片raw data'!AK:AK,MATCH($D578,'卡片raw data'!$F:$F,))&lt;INDEX('卡片raw data'!AM:AM,MATCH($D578,'卡片raw data'!$F:$F,)),INDEX('卡片raw data'!AL:AL,MATCH($D578,'卡片raw data'!$F:$F,))&lt;INDEX('卡片raw data'!AM:AM,MATCH($D578,'卡片raw data'!$F:$F,))),1,0)</f>
        <v>0</v>
      </c>
      <c r="AU578" s="1098">
        <f>MIN(AT578*0.15+AS578*0.00003+INDEX(绊状态确认!M:M,MATCH($G578,绊状态确认!$B:$B,)),1)</f>
        <v>0.70294491264000003</v>
      </c>
      <c r="AV578" s="1109">
        <f>(INDEX(绊状态确认!$N:$N,MATCH($G578,绊状态确认!$B:$B,))+1.5)*$EW$21</f>
        <v>2.6599999999999997</v>
      </c>
      <c r="AW578" s="1101">
        <f t="shared" si="711"/>
        <v>47901.139823775338</v>
      </c>
      <c r="AX578" s="1097">
        <f t="shared" si="712"/>
        <v>1553.396966933474</v>
      </c>
      <c r="AY578" s="1110">
        <f t="shared" si="713"/>
        <v>49454.536790708815</v>
      </c>
      <c r="AZ578" s="1106">
        <f t="shared" si="714"/>
        <v>31805.375451199998</v>
      </c>
      <c r="BA578" s="1108">
        <f t="shared" si="715"/>
        <v>38166.450541439997</v>
      </c>
      <c r="BB578" s="1097">
        <f>(AM578*(1+$FB$9)+$FB$35)*(1+(INDEX(绊状态确认!$T:$T,MATCH($G578,绊状态确认!$B:$B,))+0.2)*AO578)*IF(J578=$FF$17,1+$FE$17,1)*IF(I578=$FF$14,1+$FE$14,1)*(1+$FE$15)</f>
        <v>17906.367369279997</v>
      </c>
      <c r="BC578" s="1097">
        <f>(AN578*(1+$FB$10)+$FB$36)*(1+(INDEX(绊状态确认!$T:$T,MATCH($G578,绊状态确认!$B:$B,))+0.2)*AO578)*IF(J578=$FF$17,1+$FE$17,1)*IF(I578=$FF$14,1+$FE$14,1)*(1+$FE$15)</f>
        <v>22431.497088</v>
      </c>
      <c r="BD578" s="1104">
        <f>MIN(AT578*0.15+BC578*0.00003+INDEX(绊状态确认!M:M,MATCH($G578,绊状态确认!$B:$B,)),1)</f>
        <v>0.70294491264000003</v>
      </c>
      <c r="BE578" s="1109">
        <f>(INDEX(绊状态确认!$N:$N,MATCH($G578,绊状态确认!$B:$B,))+1.5)</f>
        <v>1.9</v>
      </c>
      <c r="BF578" s="1139">
        <f t="array" ref="BF578">SUMPRODUCT(IF(AZ578*AP578*$FI$16:$FI$23*$FA$22&gt;=$FI$24,$FI$24,AZ578*AP578*$FI$16:$FI$23*$FA$22),$FJ$16:$FJ$23)</f>
        <v>57913.903685876801</v>
      </c>
      <c r="BG578" s="1125">
        <f t="array" ref="BG578">SUMPRODUCT(IF(BE578*AZ578*AP578*$FI$16:$FI$23*$FA$22&gt;=$FI$24,$FI$24,BE578*AZ578*AP578*$FI$16:$FI$23*$FA$22),$FJ$16:$FJ$23)</f>
        <v>60000</v>
      </c>
      <c r="BH578" s="1110">
        <f t="shared" si="716"/>
        <v>19793.438159055586</v>
      </c>
      <c r="BI578" s="1111">
        <f>IF(O578="vo",$EW$26/$EW$24*0.05,0)+IF(O578="sk",-$EW$26/$EW$24*(0.05-INDEX(绊状态确认!W:W,MATCH($G578,绊状态确认!$B:$B,)))+0.05*$EW$28,0)+IF(O578="sp",0.05*$EW$32*$EW$30*(1-$EW$33)-(0.05-INDEX(绊状态确认!V:V,MATCH($G578,绊状态确认!$B:$B,)))*$EW$28,0)+IF(O578="gd",-(0.05-INDEX(绊状态确认!X:X,MATCH($G578,绊状态确认!$B:$B,)))*$EW$32*$EW$30*(1-$EW$33),0)</f>
        <v>19.999999999999886</v>
      </c>
      <c r="BJ578" s="1097">
        <f>IF(O578="vo",0.05*(1-$FI$26)*$FA$24,0)+IF(O578="sk",-(0.05-INDEX(绊状态确认!W:W,MATCH($G578,绊状态确认!$B:$B,)))*(1-$FI$26)*$FA$24+0.05*$FA$26,0)+IF(O578="sp",0.05*$FA$32*$FA$27*(1-$FA$33)/$FA$30+0.05*$FA$29/$FA$69*$FA$27*(1-$FA$33)-(0.05-INDEX(绊状态确认!V:V,MATCH($G578,绊状态确认!$B:$B,)))*$FA$26,0)+IF(O578="gd",-(0.05-INDEX(绊状态确认!X:X,MATCH($G578,绊状态确认!$B:$B,)))*$FA$32*$FA$27*(1-$FA$33)/$FA$30-(0.05-INDEX(绊状态确认!X:X,MATCH($G578,绊状态确认!$B:$B,)))*$FA$29/$FA$69*$FA$27*(1-$FA$33),0)</f>
        <v>545.83333333333326</v>
      </c>
      <c r="BK578" s="1110">
        <f>IF(O578="vo",$EW$26/$EW$24*0.05+$EW$26*(-HP($EW$62,$EW$65,$EW$64)+HP($EW$62,$EW$65,(1.05-INDEX(绊状态确认!U:U,MATCH($G578,绊状态确认!$B:$B,)))*$EW$64)),0)+IF(O578="sk",-$EW$26/$EW$24*(0.05-INDEX(绊状态确认!W:W,MATCH($G578,绊状态确认!$B:$B,)))+0.05*$EW$29,0)+IF(O578="sp",0.05*$EW$32*$EW$30*(1-$EW$33)-(0.05-INDEX(绊状态确认!V:V,MATCH($G578,绊状态确认!$B:$B,)))*$EW$29,0)+IF(O578="gd",-(0.05-INDEX(绊状态确认!X:X,MATCH($G578,绊状态确认!$B:$B,)))*$EW$32*$EW$30*(1-$EW$33)+$EW$26*(-HP($EW$62,$EW$65,$EW$64)+HP($EW$62,$EW$65,0.95*$EW$64)),0)</f>
        <v>-1780.0000000000005</v>
      </c>
      <c r="BL578" s="1111">
        <f t="shared" si="717"/>
        <v>0</v>
      </c>
      <c r="BM578" s="1110">
        <f t="shared" si="718"/>
        <v>0</v>
      </c>
      <c r="BN578" s="1113">
        <f t="shared" si="719"/>
        <v>4</v>
      </c>
      <c r="BO578" s="1108">
        <f t="shared" si="720"/>
        <v>6010.2953161679998</v>
      </c>
      <c r="BP578" s="1127">
        <f t="shared" si="721"/>
        <v>295.12137612040135</v>
      </c>
      <c r="BQ578" s="1113" t="s">
        <v>132</v>
      </c>
      <c r="BR578" s="1124" t="s">
        <v>171</v>
      </c>
      <c r="BS578" s="1098">
        <f>IF($P578="","N/A",IF($P578=-1,INDEX('卡片raw data'!AX:AX,MATCH($D578,'卡片raw data'!$F:$F,)),0)+IF($L578="party卡",IF($P578=5,INDEX('卡片raw data'!BD:BD,MATCH($D578,'卡片raw data'!$F:$F,)),IF($P578&gt;=3,INDEX('卡片raw data'!BC:BC,MATCH($D578,'卡片raw data'!$F:$F,)),INDEX('卡片raw data'!BB:BB,MATCH($D578,'卡片raw data'!$F:$F,)))),IF(OR(AND($F578="UR",$P578=0),AND($F578="SR",$P578&gt;=0,$P578&lt;=2),AND($F578="R",$P578&gt;=0,$P578&lt;4)),INDEX('卡片raw data'!AZ:AZ,MATCH($D578,'卡片raw data'!$F:$F,)),0)+IF(OR(AND($F578="UR",$P578&gt;=1,$P578&lt;=4),AND($F578="SR",$P578&lt;=4,$P578&gt;=3),AND($F578="R",$P578=4)),INDEX('卡片raw data'!BA:BA,MATCH($D578,'卡片raw data'!$F:$F,)),0)+IF($P578=5,INDEX('卡片raw data'!BB:BB,MATCH($D578,'卡片raw data'!$F:$F,)),0)))</f>
        <v>6.5000000000000002E-2</v>
      </c>
      <c r="BT578" s="1101">
        <f t="shared" si="722"/>
        <v>3255.5766295909998</v>
      </c>
      <c r="BU578" s="1097">
        <f t="shared" si="723"/>
        <v>139.87523555706522</v>
      </c>
      <c r="BV578" s="1097">
        <f t="shared" si="724"/>
        <v>1627.7883147955001</v>
      </c>
      <c r="BW578" s="1112">
        <f t="shared" si="725"/>
        <v>0</v>
      </c>
      <c r="BX578" s="1100">
        <f t="shared" si="726"/>
        <v>3255.5766295909998</v>
      </c>
      <c r="BY578" s="1110">
        <f t="shared" si="727"/>
        <v>1627.7883147955001</v>
      </c>
      <c r="BZ578" s="1113" t="s">
        <v>133</v>
      </c>
      <c r="CA578" s="1124" t="s">
        <v>171</v>
      </c>
      <c r="CB578" s="1098">
        <f>IF($P578="","N/A",IF($P578=-1,INDEX('卡片raw data'!BE:BE,MATCH($D578,'卡片raw data'!$F:$F,)),0)+IF($L578="party卡",IF($P578=5,INDEX('卡片raw data'!BK:BK,MATCH($D578,'卡片raw data'!$F:$F,)),IF($P578&gt;=3,INDEX('卡片raw data'!BJ:BJ,MATCH($D578,'卡片raw data'!$F:$F,)),INDEX('卡片raw data'!BI:BI,MATCH($D578,'卡片raw data'!$F:$F,)))),IF(OR(AND($F578="UR",$P578=0),AND($F578="SR",$P578&gt;=0,$P578&lt;=2),AND($F578="R",$P578&gt;=0,$P578&lt;4)),INDEX('卡片raw data'!BG:BG,MATCH($D578,'卡片raw data'!$F:$F,)),0)+IF(OR(AND($F578="UR",$P578&gt;=1,$P578&lt;=4),AND($F578="SR",$P578&lt;=4,$P578&gt;=3),AND($F578="R",$P578=4)),INDEX('卡片raw data'!BH:BH,MATCH($D578,'卡片raw data'!$F:$F,)),0)+IF($P578=5,INDEX('卡片raw data'!BI:BI,MATCH($D578,'卡片raw data'!$F:$F,)),0)))</f>
        <v>3.2000000000000001E-2</v>
      </c>
      <c r="CC578" s="1101">
        <f>IF(BZ578="ap",CB578*$EX$5/$EX$11*(+IF(CA578="全员",$EW$26,0)+IF(CA578="同作战",$EW$26,0)+IF(CA578="仲间",$EW$26*2/3,0)+IF(CA578="同属性",$EW$26*$EW$37/3,0)+IF(CA578="同年级",$EW$26*$EW$40/3,0)+IF(CA578="同学校",$EW$26*$EW$43/3,0)+IF(CA578="同小队",$EW$26*$EW$46/3,0)+IF(CA578="同type",$EW$26*INDEX($EX$49:$EX$52,MATCH(X578,$EW$49:$EW$52,))/3,0)+IF(CA578="自身",$AW578,0)),0)+IF(BZ578="te",CB578*($EW$22-1)*0.00003*$EX$7/$EX$13*(+IF(CA578="全员",$EX$18*$EW$26/(1+($EW$22-1)*$EW$19),0)+IF(CA578="同作战",$EX$18*$EW$26/(1+($EW$22-1)*$EW$19),0)+IF(CA578="仲间",$EX$18*$EW$26/(1+($EW$22-1)*$EW$19)*2/3,0)+IF(CA578="同属性",$EX$18*$EW$26/(1+($EW$22-1)*$EW$19)*$EW$37/3,0)+IF(CA578="同年级",$EX$18*$EW$26/(1+($EW$22-1)*$EW$19)*$EW$40/3,0)+IF(CA578="同学校",$EX$18*$EW$26/(1+($EW$22-1)*$EW$19)*$EW$43/3,0)+IF(CA578="同小队",$EX$18*$EW$26/(1+($EW$22-1)*$EW$19)*$EW$46/3,0)+IF(CA578="同type",$EX$18*$EW$26/(1+($EW$22-1)*$EW$19)*INDEX($EX$49:$EX$52,MATCH(X578,$EW$49:$EW$52,))/3,0)+IF(CA578="自身",$AS578*$AW578/(1+(BE578-1)*$AU578),0)),0)</f>
        <v>0</v>
      </c>
      <c r="CD578" s="1097">
        <f>IF(BZ578="ap",CB578*(1-$FI$26)*$FB$5/$FB$11*(+IF(CA578="全员",$FA$24,0)+IF(CA578="同作战",$FA$24,0)+IF(CA578="仲间",$FA$24*2/3,0)+IF(CA578="同属性",$FA$24*$FA$37/3,0)+IF(CA578="同年级",$FA$24*$FA$40/3,0)+IF(CA578="同学校",$FA$24*$FA$43/3,0)+IF(CA578="同小队",$FA$24*$FA$46/3,0)+IF(CA578="同type",$FA$24*INDEX($FB$49:$FB$52,MATCH(X578,$FA$49:$FA$52,))/3,0)+IF(CA578="自身",BQ578/3,0)),0)+IF(BZ578="te",CB578*(1-$FI$27)*($FA$20-1)*$FB$7/$FB$13*(+IF(CA578="全员",$FA$19*$FA$24/(1+($FA$20-1)*$FA$19),0)+IF(CA578="同作战",$FA$19*$FA$24/(1+($FA$20-1)*$FA$19),0)+IF(CA578="仲间",$FA$19*$FA$24*2/3/(1+($FA$20-1)*$FA$19),0)+IF(CA578="同属性",$FA$19*$FA$24*$FA$37/3/(1+($FA$20-1)*$FA$19),0)+IF(CA578="同年级",$FA$19*$FA$24*$FA$40/3/(1+($FA$20-1)*$FA$19),0)+IF(CA578="同学校",$FA$19*$FA$24*$FA$43/3/(1+($FA$20-1)*$FA$19),0)+IF(CA578="同小队",$FA$19*$FA$24*$FA$46/3/(1+($FA$20-1)*$FA$19),0)+IF(CA578="同type",$FA$19*$FA$24*INDEX($FB$49:$FB$52,MATCH(X578,$FA$49:$FA$52,))/3/(1+($FA$20-1)*$FA$19),0)+IF(CA578="自身",$FA$19*BQ578/3/(1+(BE578-1)*$BD578),0)),0)</f>
        <v>0</v>
      </c>
      <c r="CE578" s="1097">
        <f t="shared" si="729"/>
        <v>0</v>
      </c>
      <c r="CF578" s="1112">
        <f>IF(BZ578="st",CB578*$EX$6/$EX$12*(+IF(CA578="全员",$EX$17*9,0)+IF(CA578="仲间",$EX$17*8,0)+IF(CA578="同作战",$EX$17*3,0)+IF(CA578="同属性",$EX$17*$EW$39,0)+IF(CA578="同年级",$EX$17*$EW$42,0)+IF(CA578="同学校",$EX$17*$EW$45,0)+IF(CA578="同小队",$EX$17*$EW$48,0)+IF(CA578="同type",$EX$17*INDEX($EX$57:$EX$60,MATCH(X578,$EW$57:$EW$60,)),0)+IF(CA578="自身",$AR578)),0)/$EW$65*$EW$78</f>
        <v>1.498285714285714</v>
      </c>
      <c r="CG578" s="1100">
        <f t="shared" si="731"/>
        <v>117.00848980993118</v>
      </c>
      <c r="CH578" s="1110">
        <f t="shared" si="732"/>
        <v>117.00848980993118</v>
      </c>
      <c r="CI578" s="1113"/>
      <c r="CJ578" s="1114"/>
      <c r="CK578" s="1115" t="s">
        <v>4522</v>
      </c>
      <c r="CL578" s="1115"/>
      <c r="CM578" s="1119"/>
      <c r="CN578" s="1115"/>
      <c r="CO578" s="1115"/>
      <c r="CP578" s="1117">
        <f t="shared" si="733"/>
        <v>0</v>
      </c>
      <c r="CQ578" s="1117">
        <f t="shared" si="734"/>
        <v>0</v>
      </c>
      <c r="CR578" s="1117">
        <f t="shared" si="735"/>
        <v>0</v>
      </c>
      <c r="CS578" s="1118">
        <f t="shared" si="782"/>
        <v>0</v>
      </c>
      <c r="CT578" s="1109">
        <f t="shared" si="783"/>
        <v>0</v>
      </c>
      <c r="CU578" s="1101">
        <f t="shared" si="738"/>
        <v>0</v>
      </c>
      <c r="CV578" s="1108">
        <f t="shared" si="777"/>
        <v>0</v>
      </c>
      <c r="CW578" s="1097">
        <f t="shared" si="739"/>
        <v>0</v>
      </c>
      <c r="CX578" s="1097">
        <f t="shared" si="740"/>
        <v>0</v>
      </c>
      <c r="CY578" s="1110">
        <f t="shared" si="741"/>
        <v>0</v>
      </c>
      <c r="CZ578" s="1113"/>
      <c r="DA578" s="1114"/>
      <c r="DB578" s="1115" t="s">
        <v>569</v>
      </c>
      <c r="DC578" s="1115"/>
      <c r="DD578" s="1119"/>
      <c r="DE578" s="1092"/>
      <c r="DF578" s="1092"/>
      <c r="DG578" s="1116">
        <f t="shared" si="742"/>
        <v>0</v>
      </c>
      <c r="DH578" s="1116">
        <f t="shared" si="743"/>
        <v>0</v>
      </c>
      <c r="DI578" s="1116">
        <f t="shared" si="744"/>
        <v>0</v>
      </c>
      <c r="DJ578" s="1118">
        <f t="shared" si="790"/>
        <v>0</v>
      </c>
      <c r="DK578" s="1109">
        <f t="shared" si="791"/>
        <v>0</v>
      </c>
      <c r="DL578" s="1101">
        <f t="shared" si="747"/>
        <v>0</v>
      </c>
      <c r="DM578" s="1097">
        <f t="shared" si="748"/>
        <v>0</v>
      </c>
      <c r="DN578" s="1097">
        <f t="shared" si="749"/>
        <v>0</v>
      </c>
      <c r="DO578" s="1097">
        <f t="shared" si="750"/>
        <v>0</v>
      </c>
      <c r="DP578" s="1110">
        <f t="shared" si="751"/>
        <v>0</v>
      </c>
      <c r="DQ578" s="1113" t="s">
        <v>2158</v>
      </c>
      <c r="DR578" s="1120">
        <f t="shared" si="792"/>
        <v>0.33</v>
      </c>
      <c r="DS578" s="1124"/>
      <c r="DT578" s="1124" t="s">
        <v>132</v>
      </c>
      <c r="DU578" s="1124"/>
      <c r="DV578" s="1098">
        <f>IF($P578="","N/A",IF(P578=-1,INDEX('卡片raw data'!AN:AN,MATCH(D578,'卡片raw data'!$F:$F,)),0)+IF(AND(L578&lt;&gt;"party卡",P578&lt;=2,P578&gt;=0),INDEX('卡片raw data'!AP:AP,MATCH(D578,'卡片raw data'!$F:$F,)),0)+IF(OR(AND(L578="party卡",P578&lt;=1),AND(P578&lt;=4,L578&lt;&gt;"party卡",P578&gt;=3)),INDEX('卡片raw data'!AQ:AQ,MATCH(D578,'卡片raw data'!$F:$F,)),0)+IF(OR(P578=5,AND(L578="party卡",P578&gt;=2)),INDEX('卡片raw data'!AR:AR,MATCH(D578,'卡片raw data'!$F:$F,)),0))</f>
        <v>0.4</v>
      </c>
      <c r="DW578" s="1098">
        <f t="shared" si="752"/>
        <v>0.33</v>
      </c>
      <c r="DX578" s="1098">
        <f t="shared" si="753"/>
        <v>0.33</v>
      </c>
      <c r="DY578" s="1097">
        <f t="shared" si="754"/>
        <v>1872.856853648</v>
      </c>
      <c r="DZ578" s="1097">
        <f t="shared" si="755"/>
        <v>1452.6151076072065</v>
      </c>
      <c r="EA578" s="1098">
        <f t="shared" si="756"/>
        <v>0</v>
      </c>
      <c r="EB578" s="1121">
        <f t="shared" si="757"/>
        <v>0</v>
      </c>
      <c r="EC578" s="1101">
        <f t="shared" si="758"/>
        <v>2678.1853007166405</v>
      </c>
      <c r="ED578" s="1097">
        <f t="shared" si="759"/>
        <v>0</v>
      </c>
      <c r="EE578" s="1110">
        <f t="shared" si="775"/>
        <v>2678.1853007166405</v>
      </c>
      <c r="EF578" s="1113" t="s">
        <v>569</v>
      </c>
      <c r="EG578" s="1120">
        <f t="shared" si="793"/>
        <v>0.33</v>
      </c>
      <c r="EH578" s="1124"/>
      <c r="EI578" s="1124"/>
      <c r="EJ578" s="1124"/>
      <c r="EK578" s="1097">
        <f>IF($P578="","N/A",IF(P578=-1,INDEX('卡片raw data'!AS:AS,MATCH(D578,'卡片raw data'!$F:$F,)),0)+IF(AND(L578&lt;&gt;"party卡",P578&lt;=2,P578&gt;=0),INDEX('卡片raw data'!AU:AU,MATCH(D578,'卡片raw data'!$F:$F,)),0)+IF(OR(AND(L578="party卡",P578&lt;=1),AND(P578&lt;=4,L578&lt;&gt;"party卡",P578&gt;=3)),INDEX('卡片raw data'!AV:AV,MATCH(D578,'卡片raw data'!$F:$F,)),0)+IF(OR(P578=5,AND(L578="party卡",P578&gt;=2)),INDEX('卡片raw data'!AW:AW,MATCH(D578,'卡片raw data'!$F:$F,)),0))</f>
        <v>0</v>
      </c>
      <c r="EL578" s="1098">
        <f t="shared" si="760"/>
        <v>0.33</v>
      </c>
      <c r="EM578" s="1098">
        <f t="shared" si="761"/>
        <v>0.33</v>
      </c>
      <c r="EN578" s="1097">
        <f t="shared" si="762"/>
        <v>0</v>
      </c>
      <c r="EO578" s="1097">
        <f t="shared" si="763"/>
        <v>0</v>
      </c>
      <c r="EP578" s="1098">
        <f t="shared" si="764"/>
        <v>0</v>
      </c>
      <c r="EQ578" s="1121">
        <f t="shared" si="765"/>
        <v>0</v>
      </c>
      <c r="ER578" s="1101">
        <f t="shared" si="766"/>
        <v>0</v>
      </c>
      <c r="ES578" s="1097">
        <f t="shared" si="767"/>
        <v>0</v>
      </c>
      <c r="ET578" s="1122">
        <f t="shared" si="776"/>
        <v>0</v>
      </c>
    </row>
    <row r="579" spans="2:150" ht="16.5" customHeight="1">
      <c r="B579" s="1123" t="str">
        <f>INDEX('卡片raw data'!B:B,MATCH($D579,'卡片raw data'!$F:$F,))</f>
        <v>四专霞</v>
      </c>
      <c r="C579" s="1025" t="s">
        <v>4691</v>
      </c>
      <c r="D579" s="408">
        <v>576</v>
      </c>
      <c r="E579" s="1164">
        <v>302022003</v>
      </c>
      <c r="F579" s="1090" t="str">
        <f>INDEX('卡片raw data'!C:C,MATCH($D579,'卡片raw data'!$F:$F,))</f>
        <v>SR</v>
      </c>
      <c r="G579" s="1026" t="s">
        <v>4692</v>
      </c>
      <c r="H579" s="411">
        <f>IFERROR(INDEX(绊状态确认!C:C,MATCH($G579,绊状态确认!$B:$B,)),"")</f>
        <v>202</v>
      </c>
      <c r="I579" s="450" t="str">
        <f>IFERROR(INDEX(绊状态确认!D:D,MATCH($G579,绊状态确认!$B:$B,)),"")</f>
        <v>虹</v>
      </c>
      <c r="J579" s="450" t="str">
        <f>IFERROR(INDEX(绊状态确认!E:E,MATCH($G579,绊状态确认!$B:$B,)),"")</f>
        <v>1年级</v>
      </c>
      <c r="K579" s="451" t="str">
        <f>IFERROR(INDEX(绊状态确认!F:F,MATCH($G579,绊状态确认!$B:$B,)),"")</f>
        <v>QU4RTZ</v>
      </c>
      <c r="L579" s="1094" t="str">
        <f>INDEX('卡片raw data'!E:E,MATCH($D579,'卡片raw data'!$F:$F,))</f>
        <v>卡池卡</v>
      </c>
      <c r="M579" s="1065">
        <v>44514</v>
      </c>
      <c r="N579" s="1027">
        <v>51.5</v>
      </c>
      <c r="O579" s="1091" t="str">
        <f>INDEX('卡片raw data'!D:D,MATCH($D579,'卡片raw data'!$F:$F,))</f>
        <v>sk</v>
      </c>
      <c r="P579" s="1126">
        <v>5</v>
      </c>
      <c r="Q579" s="1095">
        <f t="shared" si="688"/>
        <v>29331.75009349408</v>
      </c>
      <c r="R579" s="1096">
        <f t="shared" si="689"/>
        <v>0.34100000000000003</v>
      </c>
      <c r="S579" s="1097">
        <f t="shared" si="690"/>
        <v>17094.78999668482</v>
      </c>
      <c r="T579" s="1098">
        <f t="shared" si="691"/>
        <v>0.85399999999999998</v>
      </c>
      <c r="U579" s="1099">
        <f t="shared" si="692"/>
        <v>12.178208904252857</v>
      </c>
      <c r="V579" s="1100">
        <f t="shared" si="693"/>
        <v>32303.627787971815</v>
      </c>
      <c r="W579" s="1101">
        <f t="shared" si="694"/>
        <v>4511.3396948841137</v>
      </c>
      <c r="X579" s="1096">
        <f t="shared" si="695"/>
        <v>5.1999999999999998E-2</v>
      </c>
      <c r="Y579" s="1097">
        <f t="shared" si="696"/>
        <v>971.8776944777328</v>
      </c>
      <c r="Z579" s="1102">
        <f t="shared" si="697"/>
        <v>12.178208904252857</v>
      </c>
      <c r="AA579" s="1103">
        <f t="shared" si="698"/>
        <v>5483.2173893618465</v>
      </c>
      <c r="AB579" s="1101">
        <f t="shared" si="699"/>
        <v>5084.5622565322137</v>
      </c>
      <c r="AC579" s="1104">
        <f t="shared" si="700"/>
        <v>5.8999999999999997E-2</v>
      </c>
      <c r="AD579" s="1105">
        <f t="shared" si="701"/>
        <v>1.8994224431818179E-2</v>
      </c>
      <c r="AE579" s="1128">
        <f t="shared" si="702"/>
        <v>4.3537577047458456</v>
      </c>
      <c r="AF579" s="1130">
        <f t="shared" si="703"/>
        <v>0</v>
      </c>
      <c r="AG579" s="1097">
        <f t="shared" si="704"/>
        <v>0</v>
      </c>
      <c r="AH579" s="1097">
        <f t="shared" si="705"/>
        <v>0</v>
      </c>
      <c r="AI579" s="1097">
        <f t="shared" si="706"/>
        <v>0</v>
      </c>
      <c r="AJ579" s="1097">
        <f t="shared" si="707"/>
        <v>0</v>
      </c>
      <c r="AK579" s="1129">
        <f t="shared" si="708"/>
        <v>0</v>
      </c>
      <c r="AL579" s="1106">
        <f>IF($P579="","N/A",(IF($P579=-1,INDEX('卡片raw data'!S:S,MATCH($D579,'卡片raw data'!$F:$F,)),0)+IF($P579=0,INDEX('卡片raw data'!V:V,MATCH($D579,'卡片raw data'!$F:$F,)),0)+IF($P579=1,INDEX('卡片raw data'!Y:Y,MATCH($D579,'卡片raw data'!$F:$F,)),0)+IF($P579=2,INDEX('卡片raw data'!AB:AB,MATCH($D579,'卡片raw data'!$F:$F,)),0)+IF($P579=3,INDEX('卡片raw data'!AE:AE,MATCH($D579,'卡片raw data'!$F:$F,)),0)+IF($P579=4,INDEX('卡片raw data'!AH:AH,MATCH($D579,'卡片raw data'!$F:$F,)),0)+IF($P579=5,INDEX('卡片raw data'!AK:AK,MATCH($D579,'卡片raw data'!$F:$F,)),0)+INDEX('卡片raw data'!S:S,MATCH($D579,'卡片raw data'!$F:$F,))*(IF($F579="UR",0.04,0.033))*(IF($F579="UR",INDEX(绊状态确认!$S:$S,MATCH($G579,绊状态确认!$B:$B,))/2-40)+IF($F579="SR",INDEX(绊状态确认!$R:$R,MATCH($G579,绊状态确认!$B:$B,))/4-15))+IF($F579="R",INDEX(绊状态确认!$Q:$Q,MATCH($G579,绊状态确认!$B:$B,))/6-40/6)))*(INDEX(绊状态确认!$H:$H,MATCH($G579,绊状态确认!$B:$B,))+INDEX(绊状态确认!J:J,MATCH($G579,绊状态确认!$B:$B,)))</f>
        <v>7758.2255279999999</v>
      </c>
      <c r="AM579" s="1106">
        <f>IF($P579="","N/A",(IF($P579=-1,INDEX('卡片raw data'!T:T,MATCH($D579,'卡片raw data'!$F:$F,)),0)+IF($P579=0,INDEX('卡片raw data'!W:W,MATCH($D579,'卡片raw data'!$F:$F,)),0)+IF($P579=1,INDEX('卡片raw data'!Z:Z,MATCH($D579,'卡片raw data'!$F:$F,)),0)+IF($P579=2,INDEX('卡片raw data'!AC:AC,MATCH($D579,'卡片raw data'!$F:$F,)),0)+IF($P579=3,INDEX('卡片raw data'!AF:AF,MATCH($D579,'卡片raw data'!$F:$F,)),0)+IF($P579=4,INDEX('卡片raw data'!AI:AI,MATCH($D579,'卡片raw data'!$F:$F,)),0)+IF($P579=5,INDEX('卡片raw data'!AL:AL,MATCH($D579,'卡片raw data'!$F:$F,)),0)+INDEX('卡片raw data'!T:T,MATCH($D579,'卡片raw data'!$F:$F,))*(IF($F579="UR",0.04,0.033))*(IF($F579="UR",INDEX(绊状态确认!$S:$S,MATCH($G579,绊状态确认!$B:$B,))/2-40)+IF($F579="SR",INDEX(绊状态确认!$R:$R,MATCH($G579,绊状态确认!$B:$B,))/4-15))+IF($F579="R",INDEX(绊状态确认!$Q:$Q,MATCH($G579,绊状态确认!$B:$B,))/6-40/6)))*(INDEX(绊状态确认!$H:$H,MATCH($G579,绊状态确认!$B:$B,))+INDEX(绊状态确认!K:K,MATCH($G579,绊状态确认!$B:$B,)))</f>
        <v>6346.0280663999993</v>
      </c>
      <c r="AN579" s="1106">
        <f>IF($P579="","N/A",(IF($P579=-1,INDEX('卡片raw data'!U:U,MATCH($D579,'卡片raw data'!$F:$F,)),0)+IF($P579=0,INDEX('卡片raw data'!X:X,MATCH($D579,'卡片raw data'!$F:$F,)),0)+IF($P579=1,INDEX('卡片raw data'!AA:AA,MATCH($D579,'卡片raw data'!$F:$F,)),0)+IF($P579=2,INDEX('卡片raw data'!AD:AD,MATCH($D579,'卡片raw data'!$F:$F,)),0)+IF($P579=3,INDEX('卡片raw data'!AG:AG,MATCH($D579,'卡片raw data'!$F:$F,)),0)+IF($P579=4,INDEX('卡片raw data'!AJ:AJ,MATCH($D579,'卡片raw data'!$F:$F,)),0)+IF($P579=5,INDEX('卡片raw data'!AM:AM,MATCH($D579,'卡片raw data'!$F:$F,)),0)+INDEX('卡片raw data'!U:U,MATCH($D579,'卡片raw data'!$F:$F,))*(IF($F579="UR",0.04,0.033))*(IF($F579="UR",INDEX(绊状态确认!$S:$S,MATCH($G579,绊状态确认!$B:$B,))/2-40)+IF($F579="SR",INDEX(绊状态确认!$R:$R,MATCH($G579,绊状态确认!$B:$B,))/4-15))+IF($F579="R",INDEX(绊状态确认!$Q:$Q,MATCH($G579,绊状态确认!$B:$B,))/6-40/6)))*(INDEX(绊状态确认!$H:$H,MATCH($G579,绊状态确认!$B:$B,))+INDEX(绊状态确认!L:L,MATCH($G579,绊状态确认!$B:$B,)))</f>
        <v>9405.5373311999992</v>
      </c>
      <c r="AO579" s="1107">
        <f t="shared" si="709"/>
        <v>1</v>
      </c>
      <c r="AP579" s="1131">
        <f>1+(INDEX(绊状态确认!$T:$T,MATCH($G579,绊状态确认!$B:$B,))+0.2)*$AO579</f>
        <v>1.3</v>
      </c>
      <c r="AQ579" s="1108">
        <f t="shared" si="710"/>
        <v>23615.342011000001</v>
      </c>
      <c r="AR579" s="1097">
        <f>(AM579*(1+$EX$9)+$EX$35)*(1+(INDEX(绊状态确认!$T:$T,MATCH($G579,绊状态确认!$B:$B,))+0.2)*AO579)*IF(J579=$FF$17,1+$FE$17,1)*IF(I579=$FF$14,1+$FE$14,1)</f>
        <v>11366.328310636</v>
      </c>
      <c r="AS579" s="1097">
        <f>(AN579*(1+$EX$10)+$EX$36)*(1+(INDEX(绊状态确认!$T:$T,MATCH($G579,绊状态确认!$B:$B,))+0.2)*AO579)*IF(J579=$FF$17,1+$FE$17,1)*IF(I579=$FF$14,1+$FE$14,1)</f>
        <v>18117.278310144</v>
      </c>
      <c r="AT579" s="1093">
        <f>IF(AND(INDEX('卡片raw data'!AK:AK,MATCH($D579,'卡片raw data'!$F:$F,))&lt;INDEX('卡片raw data'!AM:AM,MATCH($D579,'卡片raw data'!$F:$F,)),INDEX('卡片raw data'!AL:AL,MATCH($D579,'卡片raw data'!$F:$F,))&lt;INDEX('卡片raw data'!AM:AM,MATCH($D579,'卡片raw data'!$F:$F,))),1,0)</f>
        <v>1</v>
      </c>
      <c r="AU579" s="1098">
        <f>MIN(AT579*0.15+AS579*0.00003+INDEX(绊状态确认!M:M,MATCH($G579,绊状态确认!$B:$B,)),1)</f>
        <v>0.72351834930432002</v>
      </c>
      <c r="AV579" s="1109">
        <f>(INDEX(绊状态确认!$N:$N,MATCH($G579,绊状态确认!$B:$B,))+1.5)*$EW$21</f>
        <v>2.6599999999999997</v>
      </c>
      <c r="AW579" s="1101">
        <f t="shared" si="711"/>
        <v>26994.769866184975</v>
      </c>
      <c r="AX579" s="1097">
        <f t="shared" si="712"/>
        <v>971.87769447773292</v>
      </c>
      <c r="AY579" s="1110">
        <f t="shared" si="713"/>
        <v>27966.64756066271</v>
      </c>
      <c r="AZ579" s="1106">
        <f t="shared" si="714"/>
        <v>17728.5397796</v>
      </c>
      <c r="BA579" s="1108">
        <f t="shared" si="715"/>
        <v>21274.247735519999</v>
      </c>
      <c r="BB579" s="1097">
        <f>(AM579*(1+$FB$9)+$FB$35)*(1+(INDEX(绊状态确认!$T:$T,MATCH($G579,绊状态确认!$B:$B,))+0.2)*AO579)*IF(J579=$FF$17,1+$FE$17,1)*IF(I579=$FF$14,1+$FE$14,1)*(1+$FE$15)</f>
        <v>11366.328310636</v>
      </c>
      <c r="BC579" s="1097">
        <f>(AN579*(1+$FB$10)+$FB$36)*(1+(INDEX(绊状态确认!$T:$T,MATCH($G579,绊状态确认!$B:$B,))+0.2)*AO579)*IF(J579=$FF$17,1+$FE$17,1)*IF(I579=$FF$14,1+$FE$14,1)*(1+$FE$15)</f>
        <v>18117.278310144</v>
      </c>
      <c r="BD579" s="1104">
        <f>MIN(AT579*0.15+BC579*0.00003+INDEX(绊状态确认!M:M,MATCH($G579,绊状态确认!$B:$B,)),1)</f>
        <v>0.72351834930432002</v>
      </c>
      <c r="BE579" s="1109">
        <f>(INDEX(绊状态确认!$N:$N,MATCH($G579,绊状态确认!$B:$B,))+1.5)</f>
        <v>1.9</v>
      </c>
      <c r="BF579" s="1139">
        <f t="array" ref="BF579">SUMPRODUCT(IF(AZ579*AP579*$FI$16:$FI$23*$FA$22&gt;=$FI$24,$FI$24,AZ579*AP579*$FI$16:$FI$23*$FA$22),$FJ$16:$FJ$23)</f>
        <v>35262.065621624402</v>
      </c>
      <c r="BG579" s="1125">
        <f t="array" ref="BG579">SUMPRODUCT(IF(BE579*AZ579*AP579*$FI$16:$FI$23*$FA$22&gt;=$FI$24,$FI$24,BE579*AZ579*AP579*$FI$16:$FI$23*$FA$22),$FJ$16:$FJ$23)</f>
        <v>58947.373313903001</v>
      </c>
      <c r="BH579" s="1110">
        <f t="shared" si="716"/>
        <v>17466.273448635577</v>
      </c>
      <c r="BI579" s="1111">
        <f>IF(O579="vo",$EW$26/$EW$24*0.05,0)+IF(O579="sk",-$EW$26/$EW$24*(0.05-INDEX(绊状态确认!W:W,MATCH($G579,绊状态确认!$B:$B,)))+0.05*$EW$28,0)+IF(O579="sp",0.05*$EW$32*$EW$30*(1-$EW$33)-(0.05-INDEX(绊状态确认!V:V,MATCH($G579,绊状态确认!$B:$B,)))*$EW$28,0)+IF(O579="gd",-(0.05-INDEX(绊状态确认!X:X,MATCH($G579,绊状态确认!$B:$B,)))*$EW$32*$EW$30*(1-$EW$33),0)</f>
        <v>-6253.6726349699375</v>
      </c>
      <c r="BJ579" s="1097">
        <f>IF(O579="vo",0.05*(1-$FI$26)*$FA$24,0)+IF(O579="sk",-(0.05-INDEX(绊状态确认!W:W,MATCH($G579,绊状态确认!$B:$B,)))*(1-$FI$26)*$FA$24+0.05*$FA$26,0)+IF(O579="sp",0.05*$FA$32*$FA$27*(1-$FA$33)/$FA$30+0.05*$FA$29/$FA$69*$FA$27*(1-$FA$33)-(0.05-INDEX(绊状态确认!V:V,MATCH($G579,绊状态确认!$B:$B,)))*$FA$26,0)+IF(O579="gd",-(0.05-INDEX(绊状态确认!X:X,MATCH($G579,绊状态确认!$B:$B,)))*$FA$32*$FA$27*(1-$FA$33)/$FA$30-(0.05-INDEX(绊状态确认!X:X,MATCH($G579,绊状态确认!$B:$B,)))*$FA$29/$FA$69*$FA$27*(1-$FA$33),0)</f>
        <v>20.459096812499922</v>
      </c>
      <c r="BK579" s="1110">
        <f>IF(O579="vo",$EW$26/$EW$24*0.05+$EW$26*(-HP($EW$62,$EW$65,$EW$64)+HP($EW$62,$EW$65,(1.05-INDEX(绊状态确认!U:U,MATCH($G579,绊状态确认!$B:$B,)))*$EW$64)),0)+IF(O579="sk",-$EW$26/$EW$24*(0.05-INDEX(绊状态确认!W:W,MATCH($G579,绊状态确认!$B:$B,)))+0.05*$EW$29,0)+IF(O579="sp",0.05*$EW$32*$EW$30*(1-$EW$33)-(0.05-INDEX(绊状态确认!V:V,MATCH($G579,绊状态确认!$B:$B,)))*$EW$29,0)+IF(O579="gd",-(0.05-INDEX(绊状态确认!X:X,MATCH($G579,绊状态确认!$B:$B,)))*$EW$32*$EW$30*(1-$EW$33)+$EW$26*(-HP($EW$62,$EW$65,$EW$64)+HP($EW$62,$EW$65,0.95*$EW$64)),0)</f>
        <v>-4253.6726349699375</v>
      </c>
      <c r="BL579" s="1111">
        <f t="shared" si="717"/>
        <v>-1083.3333333333333</v>
      </c>
      <c r="BM579" s="1110">
        <f t="shared" si="718"/>
        <v>-830.55555555555543</v>
      </c>
      <c r="BN579" s="1113">
        <f t="shared" si="719"/>
        <v>3</v>
      </c>
      <c r="BO579" s="1108">
        <f t="shared" si="720"/>
        <v>4507.7214871259994</v>
      </c>
      <c r="BP579" s="1127">
        <f t="shared" si="721"/>
        <v>221.34103209030098</v>
      </c>
      <c r="BQ579" s="1113" t="s">
        <v>134</v>
      </c>
      <c r="BR579" s="1124" t="s">
        <v>166</v>
      </c>
      <c r="BS579" s="1098">
        <f>IF($P579="","N/A",IF($P579=-1,INDEX('卡片raw data'!AX:AX,MATCH($D579,'卡片raw data'!$F:$F,)),0)+IF($L579="party卡",IF($P579=5,INDEX('卡片raw data'!BD:BD,MATCH($D579,'卡片raw data'!$F:$F,)),IF($P579&gt;=3,INDEX('卡片raw data'!BC:BC,MATCH($D579,'卡片raw data'!$F:$F,)),INDEX('卡片raw data'!BB:BB,MATCH($D579,'卡片raw data'!$F:$F,)))),IF(OR(AND($F579="UR",$P579=0),AND($F579="SR",$P579&gt;=0,$P579&lt;=2),AND($F579="R",$P579&gt;=0,$P579&lt;4)),INDEX('卡片raw data'!AZ:AZ,MATCH($D579,'卡片raw data'!$F:$F,)),0)+IF(OR(AND($F579="UR",$P579&gt;=1,$P579&lt;=4),AND($F579="SR",$P579&lt;=4,$P579&gt;=3),AND($F579="R",$P579=4)),INDEX('卡片raw data'!BA:BA,MATCH($D579,'卡片raw data'!$F:$F,)),0)+IF($P579=5,INDEX('卡片raw data'!BB:BB,MATCH($D579,'卡片raw data'!$F:$F,)),0)))</f>
        <v>7.0000000000000007E-2</v>
      </c>
      <c r="BT579" s="1101">
        <f t="shared" si="722"/>
        <v>573.22256164810074</v>
      </c>
      <c r="BU579" s="1097">
        <f t="shared" si="723"/>
        <v>28.655825604986315</v>
      </c>
      <c r="BV579" s="1097">
        <f t="shared" si="724"/>
        <v>0</v>
      </c>
      <c r="BW579" s="1112">
        <f t="shared" si="725"/>
        <v>0</v>
      </c>
      <c r="BX579" s="1100">
        <f t="shared" si="726"/>
        <v>573.22256164810074</v>
      </c>
      <c r="BY579" s="1110">
        <f t="shared" si="727"/>
        <v>0</v>
      </c>
      <c r="BZ579" s="1113" t="s">
        <v>569</v>
      </c>
      <c r="CA579" s="1124"/>
      <c r="CB579" s="1098">
        <f>IF($P579="","N/A",IF($P579=-1,INDEX('卡片raw data'!BE:BE,MATCH($D579,'卡片raw data'!$F:$F,)),0)+IF($L579="party卡",IF($P579=5,INDEX('卡片raw data'!BK:BK,MATCH($D579,'卡片raw data'!$F:$F,)),IF($P579&gt;=3,INDEX('卡片raw data'!BJ:BJ,MATCH($D579,'卡片raw data'!$F:$F,)),INDEX('卡片raw data'!BI:BI,MATCH($D579,'卡片raw data'!$F:$F,)))),IF(OR(AND($F579="UR",$P579=0),AND($F579="SR",$P579&gt;=0,$P579&lt;=2),AND($F579="R",$P579&gt;=0,$P579&lt;4)),INDEX('卡片raw data'!BG:BG,MATCH($D579,'卡片raw data'!$F:$F,)),0)+IF(OR(AND($F579="UR",$P579&gt;=1,$P579&lt;=4),AND($F579="SR",$P579&lt;=4,$P579&gt;=3),AND($F579="R",$P579=4)),INDEX('卡片raw data'!BH:BH,MATCH($D579,'卡片raw data'!$F:$F,)),0)+IF($P579=5,INDEX('卡片raw data'!BI:BI,MATCH($D579,'卡片raw data'!$F:$F,)),0)))</f>
        <v>0</v>
      </c>
      <c r="CC579" s="1101">
        <f t="shared" ref="CC579:CC585" si="794">IF(BZ579="ap",CB579*$EX$5/$EX$11*(+IF(CA579="全员",$EW$26,0)+IF(CA579="同作战",$EW$26,0)+IF(CA579="仲间",$EW$26*2/3,0)+IF(CA579="同属性",$EW$26*$EW$37/3,0)+IF(CA579="同年级",$EW$26*$EW$40/3,0)+IF(CA579="同学校",$EW$26*$EW$43/3,0)+IF(CA579="同小队",$EW$26*$EW$46/3,0)+IF(CA579="同type",$EW$26*INDEX($EX$49:$EX$52,MATCH(O579,$EW$49:$EW$52,))/3,0)+IF(CA579="自身",$AW579,0)),0)+IF(BZ579="te",CB579*($EW$22-1)*0.00003*$EX$7/$EX$13*(+IF(CA579="全员",$EX$18*$EW$26/(1+($EW$22-1)*$EW$19),0)+IF(CA579="同作战",$EX$18*$EW$26/(1+($EW$22-1)*$EW$19),0)+IF(CA579="仲间",$EX$18*$EW$26/(1+($EW$22-1)*$EW$19)*2/3,0)+IF(CA579="同属性",$EX$18*$EW$26/(1+($EW$22-1)*$EW$19)*$EW$37/3,0)+IF(CA579="同年级",$EX$18*$EW$26/(1+($EW$22-1)*$EW$19)*$EW$40/3,0)+IF(CA579="同学校",$EX$18*$EW$26/(1+($EW$22-1)*$EW$19)*$EW$43/3,0)+IF(CA579="同小队",$EX$18*$EW$26/(1+($EW$22-1)*$EW$19)*$EW$46/3,0)+IF(CA579="同type",$EX$18*$EW$26/(1+($EW$22-1)*$EW$19)*INDEX($EX$49:$EX$52,MATCH(O579,$EW$49:$EW$52,))/3,0)+IF(CA579="自身",$AS579*$AW579/(1+(AV579-1)*$AU579),0)),0)</f>
        <v>0</v>
      </c>
      <c r="CD579" s="1097">
        <f>IF(BZ579="ap",CB579*(1-$FI$26)*$FB$5/$FB$11*(+IF(CA579="全员",$FA$24,0)+IF(CA579="同作战",$FA$24,0)+IF(CA579="仲间",$FA$24*2/3,0)+IF(CA579="同属性",$FA$24*$FA$37/3,0)+IF(CA579="同年级",$FA$24*$FA$40/3,0)+IF(CA579="同学校",$FA$24*$FA$43/3,0)+IF(CA579="同小队",$FA$24*$FA$46/3,0)+IF(CA579="同type",$FA$24*INDEX($FB$49:$FB$52,MATCH(X579,$FA$49:$FA$52,))/3,0)+IF(CA579="自身",#REF!/3,0)),0)+IF(BZ579="te",CB579*(1-$FI$27)*($FA$20-1)*$FB$7/$FB$13*(+IF(CA579="全员",$FA$19*$FA$24/(1+($FA$20-1)*$FA$19),0)+IF(CA579="同作战",$FA$19*$FA$24/(1+($FA$20-1)*$FA$19),0)+IF(CA579="仲间",$FA$19*$FA$24*2/3/(1+($FA$20-1)*$FA$19),0)+IF(CA579="同属性",$FA$19*$FA$24*$FA$37/3/(1+($FA$20-1)*$FA$19),0)+IF(CA579="同年级",$FA$19*$FA$24*$FA$40/3/(1+($FA$20-1)*$FA$19),0)+IF(CA579="同学校",$FA$19*$FA$24*$FA$43/3/(1+($FA$20-1)*$FA$19),0)+IF(CA579="同小队",$FA$19*$FA$24*$FA$46/3/(1+($FA$20-1)*$FA$19),0)+IF(CA579="同type",$FA$19*$FA$24*INDEX($FB$49:$FB$52,MATCH(X579,$FA$49:$FA$52,))/3/(1+($FA$20-1)*$FA$19),0)+IF(CA579="自身",$FA$19*#REF!/3/(1+(BH579-1)*$BD579),0)),0)</f>
        <v>0</v>
      </c>
      <c r="CE579" s="1097">
        <f t="shared" si="729"/>
        <v>0</v>
      </c>
      <c r="CF579" s="1112">
        <f t="shared" ref="CF579:CF585" si="795">IF(BZ579="st",CB579*$EX$6/$EX$12*(+IF(CA579="全员",$EX$17*9,0)+IF(CA579="仲间",$EX$17*8,0)+IF(CA579="同作战",$EX$17*3,0)+IF(CA579="同属性",$EX$17*$EW$39,0)+IF(CA579="同年级",$EX$17*$EW$42,0)+IF(CA579="同学校",$EX$17*$EW$45,0)+IF(CA579="同小队",$EX$17*$EW$48,0)+IF(CA579="同type",$EX$17*INDEX($EX$57:$EX$60,MATCH(O579,$EW$57:$EW$60,)),0)+IF(CA579="自身",$AR579)),0)/$EW$65*$EW$78</f>
        <v>0</v>
      </c>
      <c r="CG579" s="1100">
        <f t="shared" si="731"/>
        <v>0</v>
      </c>
      <c r="CH579" s="1110">
        <f t="shared" si="732"/>
        <v>0</v>
      </c>
      <c r="CI579" s="1167" t="s">
        <v>170</v>
      </c>
      <c r="CJ579" s="1168">
        <v>1</v>
      </c>
      <c r="CK579" s="1169" t="s">
        <v>2046</v>
      </c>
      <c r="CL579" s="1169" t="s">
        <v>1940</v>
      </c>
      <c r="CM579" s="1166">
        <v>0.03</v>
      </c>
      <c r="CN579" s="1169"/>
      <c r="CO579" s="1169"/>
      <c r="CP579" s="1116">
        <f t="shared" si="733"/>
        <v>3.2892797801035716</v>
      </c>
      <c r="CQ579" s="1116">
        <f t="shared" si="734"/>
        <v>4.6094203426959997</v>
      </c>
      <c r="CR579" s="1116">
        <f t="shared" si="735"/>
        <v>3.2892797801035716</v>
      </c>
      <c r="CS579" s="1118">
        <f t="shared" si="782"/>
        <v>0</v>
      </c>
      <c r="CT579" s="1109">
        <f t="shared" si="783"/>
        <v>0</v>
      </c>
      <c r="CU579" s="1101">
        <f t="shared" si="738"/>
        <v>3.6182077581139289</v>
      </c>
      <c r="CV579" s="1108">
        <f t="shared" si="777"/>
        <v>4.6094203426959997</v>
      </c>
      <c r="CW579" s="1097">
        <f t="shared" si="739"/>
        <v>3.6182077581139289</v>
      </c>
      <c r="CX579" s="1097">
        <f t="shared" si="740"/>
        <v>3.6182077581139289</v>
      </c>
      <c r="CY579" s="1110">
        <f t="shared" si="741"/>
        <v>3.6182077581139289</v>
      </c>
      <c r="CZ579" s="1113"/>
      <c r="DA579" s="1114"/>
      <c r="DB579" s="1115" t="s">
        <v>569</v>
      </c>
      <c r="DC579" s="1115"/>
      <c r="DD579" s="1119"/>
      <c r="DE579" s="1092"/>
      <c r="DF579" s="1092"/>
      <c r="DG579" s="1116">
        <f t="shared" si="742"/>
        <v>0</v>
      </c>
      <c r="DH579" s="1116">
        <f t="shared" si="743"/>
        <v>0</v>
      </c>
      <c r="DI579" s="1116">
        <f t="shared" si="744"/>
        <v>0</v>
      </c>
      <c r="DJ579" s="1118">
        <f t="shared" si="790"/>
        <v>0</v>
      </c>
      <c r="DK579" s="1109">
        <f t="shared" si="791"/>
        <v>0</v>
      </c>
      <c r="DL579" s="1101">
        <f t="shared" si="747"/>
        <v>0</v>
      </c>
      <c r="DM579" s="1097">
        <f t="shared" si="748"/>
        <v>0</v>
      </c>
      <c r="DN579" s="1097">
        <f t="shared" si="749"/>
        <v>0</v>
      </c>
      <c r="DO579" s="1097">
        <f t="shared" si="750"/>
        <v>0</v>
      </c>
      <c r="DP579" s="1110">
        <f t="shared" si="751"/>
        <v>0</v>
      </c>
      <c r="DQ579" s="1113" t="s">
        <v>2074</v>
      </c>
      <c r="DR579" s="1120">
        <f t="shared" si="792"/>
        <v>0.3</v>
      </c>
      <c r="DS579" s="1124">
        <v>5</v>
      </c>
      <c r="DT579" s="1124" t="s">
        <v>2127</v>
      </c>
      <c r="DU579" s="1093" t="s">
        <v>2145</v>
      </c>
      <c r="DV579" s="1098">
        <f>IF($P579="","N/A",IF(P579=-1,INDEX('卡片raw data'!AN:AN,MATCH(D579,'卡片raw data'!$F:$F,)),0)+IF(AND(L579&lt;&gt;"party卡",P579&lt;=2,P579&gt;=0),INDEX('卡片raw data'!AP:AP,MATCH(D579,'卡片raw data'!$F:$F,)),0)+IF(OR(AND(L579="party卡",P579&lt;=1),AND(P579&lt;=4,L579&lt;&gt;"party卡",P579&gt;=3)),INDEX('卡片raw data'!AQ:AQ,MATCH(D579,'卡片raw data'!$F:$F,)),0)+IF(OR(P579=5,AND(L579="party卡",P579&gt;=2)),INDEX('卡片raw data'!AR:AR,MATCH(D579,'卡片raw data'!$F:$F,)),0))</f>
        <v>5.3999999999999999E-2</v>
      </c>
      <c r="DW579" s="1098">
        <f t="shared" si="752"/>
        <v>0.3</v>
      </c>
      <c r="DX579" s="1098">
        <f t="shared" si="753"/>
        <v>0.3</v>
      </c>
      <c r="DY579" s="1098">
        <f t="shared" si="754"/>
        <v>2.6999999999999996E-2</v>
      </c>
      <c r="DZ579" s="1098">
        <f t="shared" si="755"/>
        <v>2.3354999999999997E-2</v>
      </c>
      <c r="EA579" s="1098">
        <f t="shared" si="756"/>
        <v>0</v>
      </c>
      <c r="EB579" s="1121">
        <f t="shared" si="757"/>
        <v>0</v>
      </c>
      <c r="EC579" s="1101">
        <f t="shared" si="758"/>
        <v>4589.4239390801586</v>
      </c>
      <c r="ED579" s="1097">
        <f t="shared" si="759"/>
        <v>184.00672875431249</v>
      </c>
      <c r="EE579" s="1110">
        <f t="shared" si="775"/>
        <v>4589.4239390801586</v>
      </c>
      <c r="EF579" s="1113" t="s">
        <v>569</v>
      </c>
      <c r="EG579" s="1120">
        <f t="shared" si="793"/>
        <v>0.3</v>
      </c>
      <c r="EH579" s="1124"/>
      <c r="EI579" s="1124"/>
      <c r="EJ579" s="1124"/>
      <c r="EK579" s="1097">
        <f>IF($P579="","N/A",IF(P579=-1,INDEX('卡片raw data'!AS:AS,MATCH(D579,'卡片raw data'!$F:$F,)),0)+IF(AND(L579&lt;&gt;"party卡",P579&lt;=2,P579&gt;=0),INDEX('卡片raw data'!AU:AU,MATCH(D579,'卡片raw data'!$F:$F,)),0)+IF(OR(AND(L579="party卡",P579&lt;=1),AND(P579&lt;=4,L579&lt;&gt;"party卡",P579&gt;=3)),INDEX('卡片raw data'!AV:AV,MATCH(D579,'卡片raw data'!$F:$F,)),0)+IF(OR(P579=5,AND(L579="party卡",P579&gt;=2)),INDEX('卡片raw data'!AW:AW,MATCH(D579,'卡片raw data'!$F:$F,)),0))</f>
        <v>0</v>
      </c>
      <c r="EL579" s="1098">
        <f t="shared" si="760"/>
        <v>0.3</v>
      </c>
      <c r="EM579" s="1098">
        <f t="shared" si="761"/>
        <v>0.3</v>
      </c>
      <c r="EN579" s="1097">
        <f t="shared" si="762"/>
        <v>0</v>
      </c>
      <c r="EO579" s="1097">
        <f t="shared" si="763"/>
        <v>0</v>
      </c>
      <c r="EP579" s="1098">
        <f t="shared" si="764"/>
        <v>0</v>
      </c>
      <c r="EQ579" s="1121">
        <f t="shared" si="765"/>
        <v>0</v>
      </c>
      <c r="ER579" s="1101">
        <f t="shared" si="766"/>
        <v>0</v>
      </c>
      <c r="ES579" s="1097">
        <f t="shared" si="767"/>
        <v>0</v>
      </c>
      <c r="ET579" s="1122">
        <f t="shared" si="776"/>
        <v>0</v>
      </c>
    </row>
    <row r="580" spans="2:150" ht="16.5" customHeight="1">
      <c r="B580" s="1123" t="str">
        <f>INDEX('卡片raw data'!B:B,MATCH($D580,'卡片raw data'!$F:$F,))</f>
        <v>感恩希</v>
      </c>
      <c r="C580" s="1025" t="s">
        <v>4729</v>
      </c>
      <c r="D580" s="408">
        <v>577</v>
      </c>
      <c r="E580" s="1164">
        <v>400073005</v>
      </c>
      <c r="F580" s="1090" t="str">
        <f>INDEX('卡片raw data'!C:C,MATCH($D580,'卡片raw data'!$F:$F,))</f>
        <v>UR</v>
      </c>
      <c r="G580" s="1026" t="s">
        <v>4730</v>
      </c>
      <c r="H580" s="411">
        <f>IFERROR(INDEX(绊状态确认!C:C,MATCH($G580,绊状态确认!$B:$B,)),"")</f>
        <v>7</v>
      </c>
      <c r="I580" s="450" t="str">
        <f>IFERROR(INDEX(绊状态确认!D:D,MATCH($G580,绊状态确认!$B:$B,)),"")</f>
        <v>缪</v>
      </c>
      <c r="J580" s="450" t="str">
        <f>IFERROR(INDEX(绊状态确认!E:E,MATCH($G580,绊状态确认!$B:$B,)),"")</f>
        <v>3年级</v>
      </c>
      <c r="K580" s="451" t="str">
        <f>IFERROR(INDEX(绊状态确认!F:F,MATCH($G580,绊状态确认!$B:$B,)),"")</f>
        <v>lilywhite</v>
      </c>
      <c r="L580" s="1094" t="str">
        <f>INDEX('卡片raw data'!E:E,MATCH($D580,'卡片raw data'!$F:$F,))</f>
        <v>卡池卡</v>
      </c>
      <c r="M580" s="1065">
        <v>44519</v>
      </c>
      <c r="N580" s="1027">
        <v>52</v>
      </c>
      <c r="O580" s="1091" t="str">
        <f>INDEX('卡片raw data'!D:D,MATCH($D580,'卡片raw data'!$F:$F,))</f>
        <v>vo</v>
      </c>
      <c r="P580" s="1126">
        <v>5</v>
      </c>
      <c r="Q580" s="1095">
        <f t="shared" ref="Q580:Q615" si="796">IF($P580="",0,AW580+BI580+BO580+BT580+CU580+EC580+ER580+CC580+DL580+BL580)</f>
        <v>70903.238696806962</v>
      </c>
      <c r="R580" s="1096">
        <f t="shared" ref="R580:R615" si="797">_xlfn.FLOOR.MATH(IF($P580="","N/A",Q580/$EW$81)*1000)/1000</f>
        <v>0.82399999999999995</v>
      </c>
      <c r="S580" s="1097">
        <f t="shared" ref="S580:S615" si="798">IF($P580="",0,BH580+BJ580+BP580+BU580+CV580+ED580+ES580+CD580+DM580+BM580)</f>
        <v>20792.385243122768</v>
      </c>
      <c r="T580" s="1098">
        <f t="shared" ref="T580:T615" si="799">_xlfn.FLOOR.MATH(IF($P580="","N/A",S580/($FI$24/3))*1000)/1000</f>
        <v>1.0389999999999999</v>
      </c>
      <c r="U580" s="1099">
        <f t="shared" ref="U580:U615" si="800">$EW$64*(IF(O580="vo",-0.05)+IF(O580="gd",0.05))+CP580*(IF(CK580="减伤",$EW$64*(1-$EW$75))+IF(OR(CK580="加盾",AND(CK580="回血",OR(CI580&lt;&gt;"切队",CO580=""))),1))+DG580*(IF(DB580="减伤",$EW$64*(1-$EW$75))+IF(OR(DB580="加盾",AND(DB580="回血",OR(CZ580&lt;&gt;"切队",DF580=""))),1))+AR580*$EW$78/$EW$65+BW580+CF580+DY580*(1+IF(O580="sk",0.05)+IF(O580="sp",-0.05))*(IF(DQ580="减伤",$EW$64*(1-$EW$75))+IF(OR(DQ580="回血",DQ580="加盾"),1))+EN580*(1+IF(O580="sk",0.05)+IF(O580="sp",-0.05))*(IF(EF580="减伤",$EW$64*(1-$EW$75))+IF(OR(EF580="回血",EF580="加盾"),1))</f>
        <v>-8.0616101100571456</v>
      </c>
      <c r="V580" s="1100">
        <f t="shared" ref="V580:V615" si="801">IF($P580="",0,AY580+BK580+BO580+BX580+CX580+EE580+ET580+CG580+DO580+BL580)</f>
        <v>70963.653039203477</v>
      </c>
      <c r="W580" s="1101">
        <f t="shared" ref="W580:W615" si="802">IF($P580="",0,BO580+BV580+CW580+CE580+DN580)</f>
        <v>5827.4356587303228</v>
      </c>
      <c r="X580" s="1096">
        <f t="shared" ref="X580:X615" si="803">_xlfn.FLOOR.MATH(IF($P580="","N/A",W580/$EW$81)*1000)/1000</f>
        <v>6.7000000000000004E-2</v>
      </c>
      <c r="Y580" s="1097">
        <f t="shared" ref="Y580:Y615" si="804">IF($P580="",0,AA580-W580)</f>
        <v>1365.0827926382217</v>
      </c>
      <c r="Z580" s="1102">
        <f t="shared" ref="Z580:Z615" si="805">CP580*IF(OR(CI580="ap时",CI580="ct时"),0,1)*(IF(CK580="减伤",$EW$64*(1-$EW$75))+IF(OR(CK580="加盾",AND(CK580="回血",OR(CI580&lt;&gt;"切队",CO580=""))),1))+DG580*IF(OR(CZ580="ap时",CZ580="ct时"),0,1)*(IF(DB580="减伤",$EW$64*(1-$EW$75))+IF(OR(DB580="加盾",AND(DB580="回血",OR(CZ580&lt;&gt;"切队",DF580=""))),1))+AR580*$EW$78/$EW$65+BW580+CF580</f>
        <v>16.938389889942854</v>
      </c>
      <c r="AA580" s="1103">
        <f t="shared" ref="AA580:AA615" si="806">IF($P580="",0,BO580+BY580+CY580+AX580+CH580+DP580)</f>
        <v>7192.5184513685444</v>
      </c>
      <c r="AB580" s="1101">
        <f t="shared" ref="AB580:AB615" si="807">IF($P580="",0,BT580+CU580+BO580+CC580+DL580)</f>
        <v>7147.1498303346489</v>
      </c>
      <c r="AC580" s="1104">
        <f t="shared" ref="AC580:AC615" si="808">_xlfn.FLOOR.MATH(IF($P580="","N/A",AB580/$EW$81)*1000)/1000</f>
        <v>8.3000000000000004E-2</v>
      </c>
      <c r="AD580" s="1105">
        <f t="shared" ref="AD580:AD615" si="809">CS580+DJ580+EA580+EP580+IF(O580="sp",-0.05*FM$14*FM$15/2)+IF(O580="sk",0.05*FM$14*FM$15/2)+IF(O580="sk",FM$11^2/(3-FM$11)*FM$12)-IF(O580="sk",FM$10,FM$9)*IF(O580="sk",FM$18,FM$17)*($FM$14-DR580)</f>
        <v>0</v>
      </c>
      <c r="AE580" s="1128">
        <f t="shared" ref="AE580:AE615" si="810">AD580/FM$18*FM$29+CT580+DK580+EB580+EQ580+IF(O580="sp",0.05*$FM$9*3*FM$26)-IF(O580="gd",0.05*$FM$9*3*FM$26)+IF(O580="sp",300*1/3*$FM$11/2)+IF(O580="sk",FM$11^2/(3-FM$11)*FM$13)+IF(F580="R",-100*IF(O580="sk",FM$10,FM$9))+IF(F580="SR",-50*IF(O580="sk",FM$10,FM$9))</f>
        <v>0</v>
      </c>
      <c r="AF580" s="1130">
        <f t="shared" ref="AF580:AF615" si="811">IF(OR(DQ580="回血",DQ580="加盾"),EN580/EL580*3*2*IF(EG580=0.11,$EW$71,$EW$70)+DY580/DW580*3*2*IF(DR580=0.11,$EW$71,$EW$70)+IF(O580="gd",AR580*0.05)+IF(OR(CK580="回血",CK580="加盾"),-(CR580-CP580)*6)+IF(AND(CI580="切队",CO580=""),CP580/$EW$79*$EW$65*2),0)</f>
        <v>0</v>
      </c>
      <c r="AG580" s="1097">
        <f t="shared" ref="AG580:AG615" si="812">IF(OR(DQ580="回血",DQ580="加盾"),MAX($EW$64*$EW$65*IF(CK580="减伤",(1-IF(CI580="切队",IF(CO580&lt;&gt;"",MAX(CO580/$EW$79,1),0),1)*CR580),1)-$EW$62*0.3+$EX$17-AR580-(BW580+CF580)/$EW$78*$EW$65-IF(OR(CK580="回血",CK580="加盾"),IF(CI580="切队",IF(CO580&lt;&gt;"",MAX(CO580/$EW$79,1),0),1)*CR580*$EW$65),0),0)</f>
        <v>0</v>
      </c>
      <c r="AH580" s="1097">
        <f t="shared" ref="AH580:AH615" si="813">IFERROR(AG580/AF580,0)</f>
        <v>0</v>
      </c>
      <c r="AI580" s="1097">
        <f t="shared" ref="AI580:AI615" si="814">IF(OR(DQ580="回血",DQ580="加盾"),$EW$26*(1-$EW$66)/$EW$66-AH580*(($EW$26*IF(O580="sk",14/3-8/3*$EW$68,5-3*$EW$68)-2*3*Q580*$EW$69)/$EW$66)/$EW$65+($EW$26/3+$EW$26/$EW$24*0.05+$EW$61*4*$EW$26*$EX$5/$EX$11+$EW$28)-($EW$72-W580),0)</f>
        <v>0</v>
      </c>
      <c r="AJ580" s="1097">
        <f t="shared" ref="AJ580:AJ615" si="815">IF(OR(DQ580="回血",DQ580="加盾"),V580,0)</f>
        <v>0</v>
      </c>
      <c r="AK580" s="1129">
        <f t="shared" ref="AK580:AK615" si="816">IFERROR(AI580-AJ580,"")</f>
        <v>0</v>
      </c>
      <c r="AL580" s="1106">
        <f>IF($P580="","N/A",(IF($P580=-1,INDEX('卡片raw data'!S:S,MATCH($D580,'卡片raw data'!$F:$F,)),0)+IF($P580=0,INDEX('卡片raw data'!V:V,MATCH($D580,'卡片raw data'!$F:$F,)),0)+IF($P580=1,INDEX('卡片raw data'!Y:Y,MATCH($D580,'卡片raw data'!$F:$F,)),0)+IF($P580=2,INDEX('卡片raw data'!AB:AB,MATCH($D580,'卡片raw data'!$F:$F,)),0)+IF($P580=3,INDEX('卡片raw data'!AE:AE,MATCH($D580,'卡片raw data'!$F:$F,)),0)+IF($P580=4,INDEX('卡片raw data'!AH:AH,MATCH($D580,'卡片raw data'!$F:$F,)),0)+IF($P580=5,INDEX('卡片raw data'!AK:AK,MATCH($D580,'卡片raw data'!$F:$F,)),0)+INDEX('卡片raw data'!S:S,MATCH($D580,'卡片raw data'!$F:$F,))*(IF($F580="UR",0.04,0.033))*(IF($F580="UR",INDEX(绊状态确认!$S:$S,MATCH($G580,绊状态确认!$B:$B,))/2-40)+IF($F580="SR",INDEX(绊状态确认!$R:$R,MATCH($G580,绊状态确认!$B:$B,))/4-15))+IF($F580="R",INDEX(绊状态确认!$Q:$Q,MATCH($G580,绊状态确认!$B:$B,))/6-40/6)))*(INDEX(绊状态确认!$H:$H,MATCH($G580,绊状态确认!$B:$B,))+INDEX(绊状态确认!J:J,MATCH($G580,绊状态确认!$B:$B,)))</f>
        <v>16513.528415999997</v>
      </c>
      <c r="AM580" s="1106">
        <f>IF($P580="","N/A",(IF($P580=-1,INDEX('卡片raw data'!T:T,MATCH($D580,'卡片raw data'!$F:$F,)),0)+IF($P580=0,INDEX('卡片raw data'!W:W,MATCH($D580,'卡片raw data'!$F:$F,)),0)+IF($P580=1,INDEX('卡片raw data'!Z:Z,MATCH($D580,'卡片raw data'!$F:$F,)),0)+IF($P580=2,INDEX('卡片raw data'!AC:AC,MATCH($D580,'卡片raw data'!$F:$F,)),0)+IF($P580=3,INDEX('卡片raw data'!AF:AF,MATCH($D580,'卡片raw data'!$F:$F,)),0)+IF($P580=4,INDEX('卡片raw data'!AI:AI,MATCH($D580,'卡片raw data'!$F:$F,)),0)+IF($P580=5,INDEX('卡片raw data'!AL:AL,MATCH($D580,'卡片raw data'!$F:$F,)),0)+INDEX('卡片raw data'!T:T,MATCH($D580,'卡片raw data'!$F:$F,))*(IF($F580="UR",0.04,0.033))*(IF($F580="UR",INDEX(绊状态确认!$S:$S,MATCH($G580,绊状态确认!$B:$B,))/2-40)+IF($F580="SR",INDEX(绊状态确认!$R:$R,MATCH($G580,绊状态确认!$B:$B,))/4-15))+IF($F580="R",INDEX(绊状态确认!$Q:$Q,MATCH($G580,绊状态确认!$B:$B,))/6-40/6)))*(INDEX(绊状态确认!$H:$H,MATCH($G580,绊状态确认!$B:$B,))+INDEX(绊状态确认!K:K,MATCH($G580,绊状态确认!$B:$B,)))</f>
        <v>9600.8526719999991</v>
      </c>
      <c r="AN580" s="1106">
        <f>IF($P580="","N/A",(IF($P580=-1,INDEX('卡片raw data'!U:U,MATCH($D580,'卡片raw data'!$F:$F,)),0)+IF($P580=0,INDEX('卡片raw data'!X:X,MATCH($D580,'卡片raw data'!$F:$F,)),0)+IF($P580=1,INDEX('卡片raw data'!AA:AA,MATCH($D580,'卡片raw data'!$F:$F,)),0)+IF($P580=2,INDEX('卡片raw data'!AD:AD,MATCH($D580,'卡片raw data'!$F:$F,)),0)+IF($P580=3,INDEX('卡片raw data'!AG:AG,MATCH($D580,'卡片raw data'!$F:$F,)),0)+IF($P580=4,INDEX('卡片raw data'!AJ:AJ,MATCH($D580,'卡片raw data'!$F:$F,)),0)+IF($P580=5,INDEX('卡片raw data'!AM:AM,MATCH($D580,'卡片raw data'!$F:$F,)),0)+INDEX('卡片raw data'!U:U,MATCH($D580,'卡片raw data'!$F:$F,))*(IF($F580="UR",0.04,0.033))*(IF($F580="UR",INDEX(绊状态确认!$S:$S,MATCH($G580,绊状态确认!$B:$B,))/2-40)+IF($F580="SR",INDEX(绊状态确认!$R:$R,MATCH($G580,绊状态确认!$B:$B,))/4-15))+IF($F580="R",INDEX(绊状态确认!$Q:$Q,MATCH($G580,绊状态确认!$B:$B,))/6-40/6)))*(INDEX(绊状态确认!$H:$H,MATCH($G580,绊状态确认!$B:$B,))+INDEX(绊状态确认!L:L,MATCH($G580,绊状态确认!$B:$B,)))</f>
        <v>12291.302399999999</v>
      </c>
      <c r="AO580" s="1107">
        <f t="shared" ref="AO580:AO616" si="817">IF(OR($FE$5=C580,$FE$5="全"),1,0)</f>
        <v>1</v>
      </c>
      <c r="AP580" s="1131">
        <f>1+(INDEX(绊状态确认!$T:$T,MATCH($G580,绊状态确认!$B:$B,))+0.2)*$AO580</f>
        <v>1.3</v>
      </c>
      <c r="AQ580" s="1108">
        <f t="shared" ref="AQ580:AQ615" si="818">(AL580*(1+$EX$8)+$EX$34)*(1+$EW$15)*IF(AO580=0,1-$FE$6,1)*IF(AO580=1,1+$FE$7,1)*IF(O580="vo",1+$FE$8,1)*IF(O580="gd",1+$FE$9,1)*IF(O580="sp",1+$FE$10,1)*IF(O580="sk",1+$FE$11,1)*IF(I580=$FF$12,1+$FE$12,1)*IF(I580=$FF$13,1,1-$FE$13)*IF(I580=$FF$14,1+$FE$14,1)*IF(J580=$FF$16,1+$FE$16,1)*IF(J580=$FF$17,1+$FE$17,1)*IF(K580=$FF$18,1+$FE$18,1)*(1+$FE$15)</f>
        <v>46598.012091999997</v>
      </c>
      <c r="AR580" s="1097">
        <f>(AM580*(1+$EX$9)+$EX$35)*(1+(INDEX(绊状态确认!$T:$T,MATCH($G580,绊状态确认!$B:$B,))+0.2)*AO580)*IF(J580=$FF$17,1+$FE$17,1)*IF(I580=$FF$14,1+$FE$14,1)</f>
        <v>15809.163897279999</v>
      </c>
      <c r="AS580" s="1097">
        <f>(AN580*(1+$EX$10)+$EX$36)*(1+(INDEX(绊状态确认!$T:$T,MATCH($G580,绊状态确认!$B:$B,))+0.2)*AO580)*IF(J580=$FF$17,1+$FE$17,1)*IF(I580=$FF$14,1+$FE$14,1)</f>
        <v>22431.497088</v>
      </c>
      <c r="AT580" s="1093">
        <f>IF(AND(INDEX('卡片raw data'!AK:AK,MATCH($D580,'卡片raw data'!$F:$F,))&lt;INDEX('卡片raw data'!AM:AM,MATCH($D580,'卡片raw data'!$F:$F,)),INDEX('卡片raw data'!AL:AL,MATCH($D580,'卡片raw data'!$F:$F,))&lt;INDEX('卡片raw data'!AM:AM,MATCH($D580,'卡片raw data'!$F:$F,))),1,0)</f>
        <v>0</v>
      </c>
      <c r="AU580" s="1098">
        <f>MIN(AT580*0.15+AS580*0.00003+INDEX(绊状态确认!M:M,MATCH($G580,绊状态确认!$B:$B,)),1)</f>
        <v>0.70294491264000003</v>
      </c>
      <c r="AV580" s="1109">
        <f>(INDEX(绊状态确认!$N:$N,MATCH($G580,绊状态确认!$B:$B,))+1.5)*$EW$21</f>
        <v>2.6599999999999997</v>
      </c>
      <c r="AW580" s="1101">
        <f t="shared" ref="AW580:AW615" si="819">AQ580*(1+(AV580-1)*AU580)*(AP580)*(1+EW$25)*EW$66/3*$EW$24</f>
        <v>52439.836546380786</v>
      </c>
      <c r="AX580" s="1097">
        <f t="shared" ref="AX580:AX615" si="820">$EW$26*(HP($EW$62,$EW$65,$EW$64-AR580*$EW$78/$EW$65)/$EW$66-1)</f>
        <v>1365.0827926382219</v>
      </c>
      <c r="AY580" s="1110">
        <f t="shared" ref="AY580:AY615" si="821">AW580+AX580</f>
        <v>53804.919339019005</v>
      </c>
      <c r="AZ580" s="1106">
        <f t="shared" ref="AZ580:AZ615" si="822">(AL580*(1+$FB$8)+$FB$34)*IF(AO580=0,1-$FE$6,1)*IF(AO580=1,1+$FE$7,1)*IF(O580="vo",1+$FE$8,1)*IF(O580="gd",1+$FE$9,1)*IF(O580="sp",1+$FE$10,1)*IF(O580="sk",1+$FE$11,1)*IF(I580=$FF$12,1+$FE$12,1)*IF(I580=$FF$13,1,1-$FE$13)*IF(I580=$FF$14,1+$FE$14,1)*IF(J580=$FF$16,1+$FE$16,1)*IF(J580=$FF$17,1+$FE$17,1)*IF(K580=$FF$18,1+$FE$18,1)*(1+$FE$15)</f>
        <v>34801.380411199993</v>
      </c>
      <c r="BA580" s="1108">
        <f t="shared" ref="BA580:BA615" si="823">AZ580*(1+$FA$15)</f>
        <v>41761.656493439987</v>
      </c>
      <c r="BB580" s="1097">
        <f>(AM580*(1+$FB$9)+$FB$35)*(1+(INDEX(绊状态确认!$T:$T,MATCH($G580,绊状态确认!$B:$B,))+0.2)*AO580)*IF(J580=$FF$17,1+$FE$17,1)*IF(I580=$FF$14,1+$FE$14,1)*(1+$FE$15)</f>
        <v>15809.163897279999</v>
      </c>
      <c r="BC580" s="1097">
        <f>(AN580*(1+$FB$10)+$FB$36)*(1+(INDEX(绊状态确认!$T:$T,MATCH($G580,绊状态确认!$B:$B,))+0.2)*AO580)*IF(J580=$FF$17,1+$FE$17,1)*IF(I580=$FF$14,1+$FE$14,1)*(1+$FE$15)</f>
        <v>22431.497088</v>
      </c>
      <c r="BD580" s="1104">
        <f>MIN(AT580*0.15+BC580*0.00003+INDEX(绊状态确认!M:M,MATCH($G580,绊状态确认!$B:$B,)),1)</f>
        <v>0.70294491264000003</v>
      </c>
      <c r="BE580" s="1109">
        <f>(INDEX(绊状态确认!$N:$N,MATCH($G580,绊状态确认!$B:$B,))+1.5)</f>
        <v>1.9</v>
      </c>
      <c r="BF580" s="1139">
        <f t="array" ref="BF580">SUMPRODUCT(IF(AZ580*AP580*$FI$16:$FI$23*$FA$22&gt;=$FI$24,$FI$24,AZ580*AP580*$FI$16:$FI$23*$FA$22),$FJ$16:$FJ$23)</f>
        <v>59310.44863364</v>
      </c>
      <c r="BG580" s="1125">
        <f t="array" ref="BG580">SUMPRODUCT(IF(BE580*AZ580*AP580*$FI$16:$FI$23*$FA$22&gt;=$FI$24,$FI$24,BE580*AZ580*AP580*$FI$16:$FI$23*$FA$22),$FJ$16:$FJ$23)</f>
        <v>60000</v>
      </c>
      <c r="BH580" s="1110">
        <f t="shared" ref="BH580:BH615" si="824">((1-$BD580)*BF580+$BD580*BG580)/3</f>
        <v>19931.721752875575</v>
      </c>
      <c r="BI580" s="1111">
        <f>IF(O580="vo",$EW$26/$EW$24*0.05,0)+IF(O580="sk",-$EW$26/$EW$24*(0.05-INDEX(绊状态确认!W:W,MATCH($G580,绊状态确认!$B:$B,)))+0.05*$EW$28,0)+IF(O580="sp",0.05*$EW$32*$EW$30*(1-$EW$33)-(0.05-INDEX(绊状态确认!V:V,MATCH($G580,绊状态确认!$B:$B,)))*$EW$28,0)+IF(O580="gd",-(0.05-INDEX(绊状态确认!X:X,MATCH($G580,绊状态确认!$B:$B,)))*$EW$32*$EW$30*(1-$EW$33),0)</f>
        <v>7726.3029277443748</v>
      </c>
      <c r="BJ580" s="1097">
        <f>IF(O580="vo",0.05*(1-$FI$26)*$FA$24,0)+IF(O580="sk",-(0.05-INDEX(绊状态确认!W:W,MATCH($G580,绊状态确认!$B:$B,)))*(1-$FI$26)*$FA$24+0.05*$FA$26,0)+IF(O580="sp",0.05*$FA$32*$FA$27*(1-$FA$33)/$FA$30+0.05*$FA$29/$FA$69*$FA$27*(1-$FA$33)-(0.05-INDEX(绊状态确认!V:V,MATCH($G580,绊状态确认!$B:$B,)))*$FA$26,0)+IF(O580="gd",-(0.05-INDEX(绊状态确认!X:X,MATCH($G580,绊状态确认!$B:$B,)))*$FA$32*$FA$27*(1-$FA$33)/$FA$30-(0.05-INDEX(绊状态确认!X:X,MATCH($G580,绊状态确认!$B:$B,)))*$FA$29/$FA$69*$FA$27*(1-$FA$33),0)</f>
        <v>393.93433687500004</v>
      </c>
      <c r="BK580" s="1110">
        <f>IF(O580="vo",$EW$26/$EW$24*0.05+$EW$26*(-HP($EW$62,$EW$65,$EW$64)+HP($EW$62,$EW$65,(1.05-INDEX(绊状态确认!U:U,MATCH($G580,绊状态确认!$B:$B,)))*$EW$64)),0)+IF(O580="sk",-$EW$26/$EW$24*(0.05-INDEX(绊状态确认!W:W,MATCH($G580,绊状态确认!$B:$B,)))+0.05*$EW$29,0)+IF(O580="sp",0.05*$EW$32*$EW$30*(1-$EW$33)-(0.05-INDEX(绊状态确认!V:V,MATCH($G580,绊状态确认!$B:$B,)))*$EW$29,0)+IF(O580="gd",-(0.05-INDEX(绊状态确认!X:X,MATCH($G580,绊状态确认!$B:$B,)))*$EW$32*$EW$30*(1-$EW$33)+$EW$26*(-HP($EW$62,$EW$65,$EW$64)+HP($EW$62,$EW$65,0.95*$EW$64)),0)</f>
        <v>6421.6344775026746</v>
      </c>
      <c r="BL580" s="1111">
        <f t="shared" ref="BL580:BL615" si="825">(IF(F580="UR",0)+IF(F580="SR",-1/4)+IF(F580="R",-1/2))*1/3*$EW$31/$EW$77*$EW$30</f>
        <v>0</v>
      </c>
      <c r="BM580" s="1110">
        <f t="shared" ref="BM580:BM615" si="826">(IF(F580="UR",0)+IF(F580="SR",-1/4)+IF(F580="R",-1/2))*1/3*$FA$31/$FA$69*$FA$27</f>
        <v>0</v>
      </c>
      <c r="BN580" s="1113">
        <f t="shared" ref="BN580:BN615" si="827">IF($P580="","N/A",IF(P580=-1,IF(OR(L580="fes卡",L580="party卡"),2,1),IF(F580="UR",IF(L580="party卡",4-IF(P580=0,1),IF(L580="fes卡",4,3)-IF(P580&gt;=4,0,1)))+IF(F580="SR",IF(P580&gt;=4,3,2))+IF(F580="R",2)))</f>
        <v>3</v>
      </c>
      <c r="BO580" s="1108">
        <f t="shared" ref="BO580:BO621" si="828">$EW$61*$BN580*$EW$26*$EX$5/$EX$11</f>
        <v>4507.7214871259994</v>
      </c>
      <c r="BP580" s="1127">
        <f t="shared" ref="BP580:BP615" si="829">BN580*$FA$58*(1-$FI$26)*$FA$24*$FB$5/$FB$11</f>
        <v>221.34103209030098</v>
      </c>
      <c r="BQ580" s="1113" t="s">
        <v>132</v>
      </c>
      <c r="BR580" s="1124" t="s">
        <v>171</v>
      </c>
      <c r="BS580" s="1098">
        <f>IF($P580="","N/A",IF($P580=-1,INDEX('卡片raw data'!AX:AX,MATCH($D580,'卡片raw data'!$F:$F,)),0)+IF($L580="party卡",IF($P580=5,INDEX('卡片raw data'!BD:BD,MATCH($D580,'卡片raw data'!$F:$F,)),IF($P580&gt;=3,INDEX('卡片raw data'!BC:BC,MATCH($D580,'卡片raw data'!$F:$F,)),INDEX('卡片raw data'!BB:BB,MATCH($D580,'卡片raw data'!$F:$F,)))),IF(OR(AND($F580="UR",$P580=0),AND($F580="SR",$P580&gt;=0,$P580&lt;=2),AND($F580="R",$P580&gt;=0,$P580&lt;4)),INDEX('卡片raw data'!AZ:AZ,MATCH($D580,'卡片raw data'!$F:$F,)),0)+IF(OR(AND($F580="UR",$P580&gt;=1,$P580&lt;=4),AND($F580="SR",$P580&lt;=4,$P580&gt;=3),AND($F580="R",$P580=4)),INDEX('卡片raw data'!BA:BA,MATCH($D580,'卡片raw data'!$F:$F,)),0)+IF($P580=5,INDEX('卡片raw data'!BB:BB,MATCH($D580,'卡片raw data'!$F:$F,)),0)))</f>
        <v>5.1999999999999998E-2</v>
      </c>
      <c r="BT580" s="1101">
        <f t="shared" ref="BT580:BT615" si="830">IF(BQ580="ap",BS580*$EX$5/$EX$11*(+IF(BR580="全员",$EW$26,0)+IF(BR580="同作战",$EW$26,0)+IF(BR580="仲间",$EW$26*2/3,0)+IF(BR580="同属性",$EW$26*$EW$37/3,0)+IF(BR580="同年级",$EW$26*$EW$40/3,0)+IF(BR580="同学校",$EW$26*$EW$43/3,0)+IF(BR580="同小队",$EW$26*$EW$46/3,0)+IF(BR580="同type",$EW$26*INDEX($EX$49:$EX$52,MATCH(O580,$EW$49:$EW$52,))/3,0)+IF(BR580="自身",$AW580,0)),0)+IF(BQ580="te",BS580*($EW$22-1)*0.00003*$EX$7/$EX$13*(+IF(BR580="全员",$EX$18*$EW$26/(1+($EW$22-1)*$EW$19),0)+IF(BR580="同作战",$EX$18*$EW$26/(1+($EW$22-1)*$EW$19),0)+IF(BR580="仲间",$EX$18*$EW$26/(1+($EW$22-1)*$EW$19)*2/3,0)+IF(BR580="同属性",$EX$18*$EW$26/(1+($EW$22-1)*$EW$19)*$EW$37/3,0)+IF(BR580="同年级",$EX$18*$EW$26/(1+($EW$22-1)*$EW$19)*$EW$40/3,0)+IF(BR580="同学校",$EX$18*$EW$26/(1+($EW$22-1)*$EW$19)*$EW$43/3,0)+IF(BR580="同小队",$EX$18*$EW$26/(1+($EW$22-1)*$EW$19)*$EW$46/3,0)+IF(BR580="同type",$EX$18*$EW$26/(1+($EW$22-1)*$EW$19)*INDEX($EX$49:$EX$52,MATCH(O580,$EW$49:$EW$52,))/3,0)+IF(BR580="自身",$AS580*$AW580/(1+(AV580-1)*$AU580),0)),0)</f>
        <v>2604.4613036728001</v>
      </c>
      <c r="BU580" s="1097">
        <f t="shared" ref="BU580:BU615" si="831">IF(BQ580="ap",BS580*(1-$FI$26)*$FB$5/$FB$11*(+IF(BR580="全员",$FA$24,0)+IF(BR580="同作战",$FA$24,0)+IF(BR580="仲间",$FA$24*2/3,0)+IF(BR580="同属性",$FA$24*$FA$37/3,0)+IF(BR580="同年级",$FA$24*$FA$40/3,0)+IF(BR580="同学校",$FA$24*$FA$43/3,0)+IF(BR580="同小队",$FA$24*$FA$46/3,0)+IF(BR580="同type",$FA$24*INDEX($FB$49:$FB$52,MATCH(O580,$FA$49:$FA$52,))/3,0)+IF(BR580="自身",BH580/3,0)),0)+IF(BQ580="te",BS580*(1-$FI$27)*($FA$20-1)*$FB$7/$FB$13*(+IF(BR580="全员",$FA$19*$FA$24/(1+($FA$20-1)*$FA$19),0)+IF(BR580="同作战",$FA$19*$FA$24/(1+($FA$20-1)*$FA$19),0)+IF(BR580="仲间",$FA$19*$FA$24*2/3/(1+($FA$20-1)*$FA$19),0)+IF(BR580="同属性",$FA$19*$FA$24*$FA$37/3/(1+($FA$20-1)*$FA$19),0)+IF(BR580="同年级",$FA$19*$FA$24*$FA$40/3/(1+($FA$20-1)*$FA$19),0)+IF(BR580="同学校",$FA$19*$FA$24*$FA$43/3/(1+($FA$20-1)*$FA$19),0)+IF(BR580="同小队",$FA$19*$FA$24*$FA$46/3/(1+($FA$20-1)*$FA$19),0)+IF(BR580="同type",$FA$19*$FA$24*INDEX($FB$49:$FB$52,MATCH(O580,$FA$49:$FA$52,))/3/(1+($FA$20-1)*$FA$19),0)+IF(BR580="自身",$FA$19*BH580/3/(1+(AV580-1)*$BD580),0)),0)</f>
        <v>111.90018844565216</v>
      </c>
      <c r="BV580" s="1097">
        <f t="shared" ref="BV580:BV615" si="832">IF(BQ580="ap",BS580*$EW$26*$EX$5/$EX$11*(+IF(BR580="全员",1,0)+IF(BR580="仲间",1,0)+IF(BR580="同属性",$EW$38/3,0)+IF(BR580="同年级",$EW$41/3,0)+IF(BR580="同学校",$EW$44/3,0)+IF(BR580="同小队",$EW$47/3,0)+IF(BR580="同type",INDEX($EX$53:$EX$56,MATCH(O580,$EW$53:$EW$56,))/3,0)),0)+IF(BQ580="te",BS580*($EW$22-1)*0.00003*$EX$18*$EW$26/(1+($EW$22-1)*$EW$19)*$EX$7/$EX$13*(+IF(BR580="全员",1,0)+IF(BR580="仲间",1,0)+IF(BR580="同属性",$EW$38/3,0)+IF(BR580="同年级",$EW$41/3,0)+IF(BR580="同学校",$EW$44/3,0)+IF(BR580="同小队",$EW$47/3,0)+IF(BR580="同type",INDEX($EX$53:$EX$56,MATCH(O580,$EW$53:$EW$56,))/3,0)),0)</f>
        <v>1302.2306518363998</v>
      </c>
      <c r="BW580" s="1112">
        <f t="shared" ref="BW580:BW615" si="833">IF(BQ580="st",BS580*$EX$6/$EX$12*(+IF(BR580="全员",$EX$17*9,0)+IF(BR580="仲间",$EX$17*8,0)+IF(BR580="同作战",$EX$17*3,0)+IF(BR580="同属性",$EX$17*$EW$39,0)+IF(BR580="同年级",$EX$17*$EW$42,0)+IF(BR580="同学校",$EX$17*$EW$45,0)+IF(BR580="同小队",$EX$17*$EW$48,0)+IF(BR580="同type",$EX$17*INDEX($EX$57:$EX$60,MATCH(O580,$EW$57:$EW$60,)),0)+IF(BR580="自身",$AR580)),0)/$EW$65*$EW$78</f>
        <v>0</v>
      </c>
      <c r="BX580" s="1100">
        <f t="shared" ref="BX580:BX615" si="834">IF(BQ580="st",$EW$26*(HP($EW$62,$EW$65,$EW$64-BW580)/$EW$66-1),BT580)</f>
        <v>2604.4613036728001</v>
      </c>
      <c r="BY580" s="1110">
        <f t="shared" ref="BY580:BY615" si="835">IF(BQ580="st",$EW$26*(HP($EW$62,$EW$65,$EW$64-BW580)/$EW$66-1),BV580)</f>
        <v>1302.2306518363998</v>
      </c>
      <c r="BZ580" s="1113" t="s">
        <v>569</v>
      </c>
      <c r="CA580" s="1124"/>
      <c r="CB580" s="1098">
        <f>IF($P580="","N/A",IF($P580=-1,INDEX('卡片raw data'!BE:BE,MATCH($D580,'卡片raw data'!$F:$F,)),0)+IF($L580="party卡",IF($P580=5,INDEX('卡片raw data'!BK:BK,MATCH($D580,'卡片raw data'!$F:$F,)),IF($P580&gt;=3,INDEX('卡片raw data'!BJ:BJ,MATCH($D580,'卡片raw data'!$F:$F,)),INDEX('卡片raw data'!BI:BI,MATCH($D580,'卡片raw data'!$F:$F,)))),IF(OR(AND($F580="UR",$P580=0),AND($F580="SR",$P580&gt;=0,$P580&lt;=2),AND($F580="R",$P580&gt;=0,$P580&lt;4)),INDEX('卡片raw data'!BG:BG,MATCH($D580,'卡片raw data'!$F:$F,)),0)+IF(OR(AND($F580="UR",$P580&gt;=1,$P580&lt;=4),AND($F580="SR",$P580&lt;=4,$P580&gt;=3),AND($F580="R",$P580=4)),INDEX('卡片raw data'!BH:BH,MATCH($D580,'卡片raw data'!$F:$F,)),0)+IF($P580=5,INDEX('卡片raw data'!BI:BI,MATCH($D580,'卡片raw data'!$F:$F,)),0)))</f>
        <v>0</v>
      </c>
      <c r="CC580" s="1101">
        <f t="shared" si="794"/>
        <v>0</v>
      </c>
      <c r="CD580" s="1097">
        <f>IF(BZ580="ap",CB580*(1-$FI$26)*$FB$5/$FB$11*(+IF(CA580="全员",$FA$24,0)+IF(CA580="同作战",$FA$24,0)+IF(CA580="仲间",$FA$24*2/3,0)+IF(CA580="同属性",$FA$24*$FA$37/3,0)+IF(CA580="同年级",$FA$24*$FA$40/3,0)+IF(CA580="同学校",$FA$24*$FA$43/3,0)+IF(CA580="同小队",$FA$24*$FA$46/3,0)+IF(CA580="同type",$FA$24*INDEX($FB$49:$FB$52,MATCH(X580,$FA$49:$FA$52,))/3,0)+IF(CA580="自身",#REF!/3,0)),0)+IF(BZ580="te",CB580*(1-$FI$27)*($FA$20-1)*$FB$7/$FB$13*(+IF(CA580="全员",$FA$19*$FA$24/(1+($FA$20-1)*$FA$19),0)+IF(CA580="同作战",$FA$19*$FA$24/(1+($FA$20-1)*$FA$19),0)+IF(CA580="仲间",$FA$19*$FA$24*2/3/(1+($FA$20-1)*$FA$19),0)+IF(CA580="同属性",$FA$19*$FA$24*$FA$37/3/(1+($FA$20-1)*$FA$19),0)+IF(CA580="同年级",$FA$19*$FA$24*$FA$40/3/(1+($FA$20-1)*$FA$19),0)+IF(CA580="同学校",$FA$19*$FA$24*$FA$43/3/(1+($FA$20-1)*$FA$19),0)+IF(CA580="同小队",$FA$19*$FA$24*$FA$46/3/(1+($FA$20-1)*$FA$19),0)+IF(CA580="同type",$FA$19*$FA$24*INDEX($FB$49:$FB$52,MATCH(X580,$FA$49:$FA$52,))/3/(1+($FA$20-1)*$FA$19),0)+IF(CA580="自身",$FA$19*#REF!/3/(1+(BH580-1)*$BD580),0)),0)</f>
        <v>0</v>
      </c>
      <c r="CE580" s="1097">
        <f t="shared" ref="CE580:CE615" si="836">IF(BZ580="ap",CB580*$EW$26*$EX$5/$EX$11*(+IF(CA580="全员",1,0)+IF(CA580="仲间",1,0)+IF(CA580="同属性",$EW$38/3,0)+IF(CA580="同年级",$EW$41/3,0)+IF(CA580="同学校",$EW$44/3,0)+IF(CA580="同小队",$EW$47/3,0)+IF(CA580="同type",INDEX($EX$53:$EX$56,MATCH(X580,$EW$53:$EW$56,))/3,0)),0)+IF(BZ580="te",CB580*($EW$22-1)*0.00003*$EX$18*$EW$26/(1+($EW$22-1)*$EW$19)*$EX$7/$EX$13*(+IF(CA580="全员",1,0)+IF(CA580="仲间",1,0)+IF(CA580="同属性",$EW$38/3,0)+IF(CA580="同年级",$EW$41/3,0)+IF(CA580="同学校",$EW$44/3,0)+IF(CA580="同小队",$EW$47/3,0)+IF(CA580="同type",INDEX($EX$53:$EX$56,MATCH(X580,$EW$53:$EW$56,))/3,0)),0)</f>
        <v>0</v>
      </c>
      <c r="CF580" s="1112">
        <f t="shared" si="795"/>
        <v>0</v>
      </c>
      <c r="CG580" s="1100">
        <f t="shared" ref="CG580:CG615" si="837">IF(BZ580="st",$EW$26*(HP($EW$62,$EW$65,$EW$64-CF580)/$EW$66-1),CC580)</f>
        <v>0</v>
      </c>
      <c r="CH580" s="1110">
        <f t="shared" ref="CH580:CH615" si="838">IF(BZ580="st",$EW$26*(HP($EW$62,$EW$65,$EW$64-CF580)/$EW$66-1),CE580)</f>
        <v>0</v>
      </c>
      <c r="CI580" s="1167" t="s">
        <v>170</v>
      </c>
      <c r="CJ580" s="1168">
        <v>0.3</v>
      </c>
      <c r="CK580" s="1115" t="s">
        <v>2286</v>
      </c>
      <c r="CL580" s="1115" t="s">
        <v>2075</v>
      </c>
      <c r="CM580" s="1166">
        <v>7.1999999999999995E-2</v>
      </c>
      <c r="CN580" s="1169">
        <v>5</v>
      </c>
      <c r="CO580" s="1169"/>
      <c r="CP580" s="1118">
        <f t="shared" ref="CP580:CP616" si="839">IF(OR(CK580="无",CI580="大量伤害",CI580="AC失败",CI580="低血量",CK580="复活",CK580="驱散",CK580="Gd切队效果up"),0,IF(AND(CK580="sp获得",CI580="AC成功"),0,IF(CK580="其他",0,IF(CN580=0,CM580*(IF(CL580="ap",AQ580*IF(CK580="vo获得",AP580,1))+IF(CL580="st",AR580)+IF(CL580="te",AS580)+IF(CL580="sp槽",$EW$77)+IF(CL580="",1))*(IF(CI580="曲开始",CJ580,0)+IF(CI580="切队",IF(CO580&lt;&gt;"",MIN(CO580,CJ580*$EW$79),CJ580*$EW$79))+IF(CI580="SP发动",IF(CO580&lt;&gt;"",MIN(CO580,CJ580*$EW$76),CJ580*$EW$76))+IF(CI580="ap时",IF(CO580&lt;&gt;"",MIN(CO580,CJ580*$EW$65/3),CJ580*$EW$65/3),0)+IF(CI580="伤害时",IF(CO580&lt;&gt;"",MIN(CO580,CJ580*$EW$65*(1-$EW$75)),CJ580*$EW$65*(1-$EW$75)),0)+IF(CI580="ct时",IF(CO580&lt;&gt;"",MIN(CO580,CJ580*$EW$65/3*$AU580),CJ580*$EW$65/3*$AU580),0)+IF(OR(CI580="AC时",CI580="AC成功"),IF(CO580&lt;&gt;"",MIN(CO580,CJ580*$EW$73),CJ580*$EW$73))),0)/$EW$65+IF(CN580="infty",IF(OR(CI580="曲开始",AND(CJ580=1,CO580=1)),CM580*CJ580,IF(CI580="SP发动",IF(CO580=1,CM580*(1-(1-(1-CJ580)^($EW$76+1))/(($EW$76+1)*CJ580)))+IF(CO580="",CJ580*CM580*$EW$76/2),0)+IF(CI580="AC时",IF(CO580=1,CM580*(1-(1-(1-CJ580)^($EW$73+1))/(($EW$73+1)*CJ580)))+IF(CO580="",CJ580*CM580*$EW$73/2),0)+IF(CI580="AC成功",IF(CO580=1,CM580*(1-(1-(1-CJ580)^($EW$73+1))/(($EW$73+1)*CJ580)))+IF(CO580="",CJ580*CM580*$EW$73/2),0)),0)*(IF(CL580="全员",1,0)+IF(CL580="同属性",$EW$37/3,0)+IF(CL580="同年级",$EW$40/3,0)+IF(CL580="同作战",1,0)+IF(CL580="自身",1/3,0)+IF(CL580="同type",INDEX($EX$49:$EX$52,MATCH($O580,$EW$49:$EW$52,))/3))+IF(AND(CN580&lt;&gt;0,CN580&lt;&gt;"infty"),IF(CN580="AC内",$EW$74,CN580)*CM580*(IF(CI580="曲开始",CJ580,0)+IF(CI580="切队",IF(CO580&lt;&gt;"",MIN(CO580,CJ580*$EW$79),CJ580*$EW$79))+IF(CI580="SP发动",IF(CO580&lt;&gt;"",MIN(CO580,CJ580*$EW$76),CJ580*$EW$76))+IF(CI580="ap时",IF(CO580&lt;&gt;"",MIN(CO580,CJ580*$EW$65/3),CJ580*$EW$65/3),0)+IF(CI580="伤害时",IF(CO580&lt;&gt;"",MIN(CO580,CJ580*$EW$65*(1-$EW$75)),CJ580*$EW$65*(1-$EW$75)),0)+IF(CI580="ct时",IF(CO580&lt;&gt;"",MIN(CO580,CJ580*$EW$65/3*$AU580),CJ580*$EW$65/3*$AU580),0)+IF(OR(CI580="AC时",CI580="AC成功"),IF(CO580&lt;&gt;"",MIN(CO580,CJ580*$EW$73),CJ580*$EW$73))),0)/$EW$65*(IF(CL580="全员",1,0)+IF(CL580="同属性",$EW$37/3,0)+IF(CL580="同年级",$EW$40/3,0)+IF(CL580="同学校",$EW$43/3,0)+IF(CL580="同作战",1,0)+IF(CL580="自身",1/3,0)+IF(CL580="同type",INDEX($EX$49:$EX$52,MATCH($O580,$EW$49:$EW$52,))/3)-IF(AND(CK580="ct+",CL580&lt;&gt;"仲间"),MAX(CM580+$AU580-1,0)/CM580/3)))))</f>
        <v>2.5714285714285715E-4</v>
      </c>
      <c r="CQ580" s="1118">
        <f t="shared" ref="CQ580:CQ616" si="840">IF(OR(CK580="无",CI580="大量伤害",CI580="AC失败",CI580="低血量",CK580="复活",CK580="驱散",CK580="Gd切队效果up"),0,IF(AND(CK580="sp获得",CI580="AC成功"),0,IF(CK580="其他",0,IF(CN580=0,CM580*(IF(CL580="ap",BA580*IF(CK580="vo获得",AP580,1))+IF(CL580="st",BB580)+IF(CL580="te",BC580)+IF(CL580="sp槽",$FA$69)+IF(CL580="",1))*(IF(CK580="sp获得",$FA$30,1))*(IF(CI580="曲开始",CJ580,0)+IF(CI580="切队",IF(CO580&lt;&gt;"",MIN(CO580,CJ580*$FA$71),CJ580*$FA$71))+IF(CI580="SP发动",IF(CO580&lt;&gt;"",MIN(CO580,CJ580*$FA$68),CJ580*$FA$68))+IF(CI580="ap时",IF(CO580&lt;&gt;"",MIN(CO580,CJ580*$FA$62/3),CJ580*$FA$62/3),0)+IF(CI580="伤害时",IF(CO580&lt;&gt;"",MIN(CO580,CJ580*$FA$62*(1-$FA$67)),CJ580*$FA$62*(1-$FA$67)),0)+IF(CI580="ct时",IF(CO580&lt;&gt;"",MIN(CO580,CJ580*$FA$62/3*$BD580),CJ580*$FA$62/3*$BD580),0)+IF(OR(CI580="AC时",CI580="AC成功"),IF(CO580&lt;&gt;"",MIN(CO580,CJ580*$FA$65),CJ580*$FA$65))),0)/$FA$62+IF(CN580="infty",IF(OR(CI580="曲开始",AND(CJ580=1,CO580=1)),CM580*CJ580,IF(CI580="SP发动",IF(CO580=1,CM580*(1-(1-(1-CJ580)^($FA$68+1))/(($FA$68+1)*CJ580)))+IF(CO580="",CJ580*CM580*$FA$68/2),0)+IF(CI580="AC时",IF(CO580=1,CM580*(1-(1-(1-CJ580)^($FA$65+1))/(($FA$65+1)*CJ580)))+IF(CO580="",CJ580*CM580*$FA$65/2),0)+IF(CI580="AC成功",IF(CO580=1,CM580*(1-(1-(1-CJ580)^($FA$65+1))/(($FA$65+1)*CJ580)))+IF(CO580="",CJ580*CM580*$FA$65/2),0)),0)*(IF(CL580="全员",1,0)+IF(CL580="同属性",$FA$37/3,0)+IF(CL580="同年级",$FA$40/3,0)+IF(CL580="同作战",1,0)+IF(CL580="自身",1/3,0)+IF(CL580="同type",INDEX($FB$49:$FB$52,MATCH($O580,$FA$49:$FA$52,))/3))+IF(AND(CN580&lt;&gt;0,CN580&lt;&gt;"infty"),IF(CN580="AC内",$FA$66,CN580)*CM580*(IF(CI580="曲开始",CJ580,0)+IF(CI580="切队",IF(CO580&lt;&gt;"",MIN(CO580,CJ580*$FA$71),CJ580*$FA$71))+IF(CI580="SP发动",IF(CO580&lt;&gt;"",MIN(CO580,CJ580*$FA$68),CJ580*$FA$68))+IF(CI580="ap时",IF(CO580&lt;&gt;"",MIN(CO580,CJ580*$FA$62/3),CJ580*$FA$62/3),0)+IF(CI580="伤害时",IF(CO580&lt;&gt;"",MIN(CO580,CJ580*$FA$62*(1-$FA$67)),CJ580*$FA$62*(1-$FA$67)),0)+IF(CI580="ct时",IF(CO580&lt;&gt;"",MIN(CO580,CJ580*$FA$62/3*$BD580),CJ580*$FA$62/3*$BD580),0)+IF(OR(CI580="AC时",CI580="AC成功"),IF(CO580&lt;&gt;"",MIN(CO580,CJ580*$FA$65),CJ580*$FA$65))),0)/$FA$62*(IF(CL580="全员",1,0)+IF(CL580="同属性",$FA$37/3,0)+IF(CL580="同年级",$FA$40/3,0)+IF(CL580="同学校",$FA$43/3,0)+IF(CL580="同作战",1,0)+IF(CL580="自身",1/3,0)+IF(CL580="同type",INDEX($FB$49:$FB$52,MATCH($O580,$FA$49:$FA$52,))/3)-IF(AND(CK580="ct+",CL580&lt;&gt;"仲间"),MAX(CM580+$BD580-1,0)/3/CM580)))))</f>
        <v>3.5E-4</v>
      </c>
      <c r="CR580" s="1118">
        <f t="shared" ref="CR580:CR616" si="841">IF(OR(CK580="无",CI580="大量伤害",CI580="AC失败",CI580="低血量",CK580="复活",CK580="驱散",CK580="Gd切队效果up"),0,IF(AND(CK580="sp获得",CI580="AC成功"),0,IF(CK580="其他",0,IF(CN580=0,CM580*(IF(CL580="ap",AQ580*IF(CK580="vo获得",AP580,1))+IF(CL580="st",AR580)+IF(CL580="te",AS580)+IF(CL580="sp槽",$EW$77)+IF(CL580="",1))*(IF(CI580="曲开始",CJ580,0)+IF(CI580="切队",IF(CO580&lt;&gt;"",MIN(CO580,CJ580*$EW$79),CJ580*$EW$79))+IF(CI580="SP发动",IF(CO580&lt;&gt;"",MIN(CO580,CJ580*$EW$76),CJ580*$EW$76))+IF(CI580="ap时",0)+IF(CI580="伤害时",IF(CO580&lt;&gt;"",MIN(CO580,CJ580*$EW$65*(1-$EW$75)),CJ580*$EW$65*(1-$EW$75)),0)+IF(CI580="ct时",0)+IF(OR(CI580="AC时",CI580="AC成功"),IF(CO580&lt;&gt;"",MIN(CO580,CJ580*$EW$73),CJ580*$EW$73))),0)/$EW$65+IF(CN580="infty",IF(OR(CI580="曲开始",AND(CJ580=1,CO580=1)),CM580*CJ580,IF(CI580="SP发动",IF(CO580=1,CM580*(1-(1-(1-CJ580)^($EW$76+1))/(($EW$76+1)*CJ580)))+IF(CO580="",CJ580*CM580*$EW$76/2),0)+IF(CI580="AC时",IF(CO580=1,CM580*(1-(1-(1-CJ580)^($EW$73+1))/(($EW$73+1)*CJ580)))+IF(CO580="",CJ580*CM580*$EW$73/2),0)+IF(CI580="AC成功",IF(CO580=1,CM580*(1-(1-(1-CJ580)^($EW$73+1))/(($EW$73+1)*CJ580)))+IF(CO580="",CJ580*CM580*$EW$73/2),0)),0)*(IF(CL580="全员",1,0)+IF(CL580="同属性",$EW$38/3,0)+IF(CL580="同年级",$EW$41/3,0)+IF(CL580="同作战",0,0)+IF(CL580="自身",0,0)+IF(CL580="同type",INDEX($EX$53:$EX$56,MATCH($O580,$EW$53:$EW$56,))/3))+IF(AND(CN580&lt;&gt;0,CN580&lt;&gt;"infty"),IF(CN580="AC内",$EW$74,CN580)*(IF(CI580="曲开始",CM580*CJ580,0)+IF(CI580="切队",CM580*IF(CO580&lt;&gt;"",MIN(CO580,CJ580*$EW$79),CJ580*$EW$79))+IF(CI580="SP发动",CM580*IF(CO580&lt;&gt;"",MIN(CO580,CJ580*$EW$76),CJ580*$EW$76))+IF(CI580="ap时",0,0)+IF(CI580="伤害时",CM580*IF(CO580&lt;&gt;"",MIN(CO580,CJ580*$EW$65*(1-$EW$75)),CJ580*$EW$65*(1-$EW$75)),0)+IF(CI580="ct时",0,0)+IF(OR(CI580="AC时",CI580="AC成功"),CM580*IF(CO580&lt;&gt;"",MIN(CO580,CJ580*$EW$73),CJ580*$EW$73))),0)/$EW$65*(IF(CL580="全员",1,0)+IF(CL580="同属性",$EW$38/3,0)+IF(CL580="同年级",$EW$41/3,0)+IF(CL580="同学校",$EW$44/3,0)+IF(CL580="同作战",0,0)+IF(CL580="自身",0,0)+IF(CL580="同type",INDEX($EX$53:$EX$56,MATCH($O580,$EW$53:$EW$56,))/3)))))</f>
        <v>1.2857142857142855E-4</v>
      </c>
      <c r="CS580" s="1118">
        <f t="shared" si="782"/>
        <v>0</v>
      </c>
      <c r="CT580" s="1109">
        <f t="shared" si="783"/>
        <v>0</v>
      </c>
      <c r="CU580" s="1101">
        <f t="shared" ref="CU580:CU616" si="842">IF(AND(CK580="技能+",CL580="自身",$DR580=0.11),0,IF(CK580="sp+",CP580*$EW$30*$EW$32*(1-$EW$33),0)+IF(CK580="ap+",CP580*$EW$26/(1+$EW$15),0)+IF(CK580="ap+元气",CP580*$EW$26/(1+$EW$15)*$EW$67,0)+IF(CK580="技能+",$EW$28*CP580/$EW$27,0)+IF(CK580="vo+",$EW$26*CP580,0)+IF(CK580="sp获得",CP580*(1-$EW$33)*$EW$30/$EW$77)+IF(CK580="vo获得",CP580*$EW$24)+IF(CK580="ct+",$EW$26/(1+($EW$22-1)*$EW$19)*($EW$22-1)*CP580)+IF(CK580="核弹",$EW$24*CP580*(1+$EW$23))+IF(CK580="ct值+",$EW$26/(1+($EW$22-1)*$EW$19)*$EW$19*CP580))</f>
        <v>34.967039535848826</v>
      </c>
      <c r="CV580" s="1108">
        <f t="shared" si="777"/>
        <v>2.2979502984375002</v>
      </c>
      <c r="CW580" s="1097">
        <f t="shared" ref="CW580:CW616" si="843">IF(CK580="sp+",CR580*$EW$30*$EW$32*(1-$EW$33),0)+IF(CK580="ap+",CR580*$EW$26/(1+$EW$15),0)+IF(CK580="ap+元气",CR580*$EW$26/(1+$EW$15)*$EW$67,0)+IF(CK580="技能+",$EW$28*CR580/$EW$27,0)+IF(CK580="vo+",$EW$26*CR580,0)+IF(CK580="sp获得",CR580*(1-$EW$33)*$EW$30/$EW$77)+IF(CK580="vo获得",CR580*$EW$24)+IF(CK580="ct+",$EW$26/(1+($EW$22-1)*$EW$19)*($EW$22-1)*CR580)+IF(CK580="核弹",CR580*(1+$EW$23)*$EW$24)+IF(CK580="ct值+",$EW$26/(1+($EW$22-1)*$EW$19)*$EW$19*CR580)</f>
        <v>17.483519767924413</v>
      </c>
      <c r="CX580" s="1097">
        <f t="shared" ref="CX580:CX616" si="844">CU580+IF(OR(CK580="加盾",AND(CK580="回血",OR(CI580&lt;&gt;"切队",CO580=""))),MIN($EW$26/$EW$66*(1-$EW$66)-$EE580+$EC580-$ET580+$ER580, $EW$26*(HP($EW$62,$EW$65,$EW$64-CP580)/$EW$66-1)))+IF(CK580="减伤",MIN($EW$26/$EW$66*(1-$EW$66)-$EE580+$EC580-$ET580+$ER580, $EW$26*(HP($EW$62,$EW$65,$EW$64*(1-CP580))/$EW$66-1)))</f>
        <v>34.967039535848826</v>
      </c>
      <c r="CY580" s="1110">
        <f t="shared" ref="CY580:CY616" si="845">CW580+(IF(OR(CK580="加盾",AND(CK580="回血",OR(CI580&lt;&gt;"切队",CO580=""))),$EW$26*(HP($EW$62,$EW$65,$EW$64-CP580)/$EW$66-1))+IF(CK580="减伤",$EW$26*(HP($EW$62,$EW$65,$EW$64*(1-CP580))/$EW$66-1)))*IF(OR(CL580="自身",CL580="同作战"),0,1)*IF(OR(CI580="ap时",CI580="ct时"),0,1)</f>
        <v>17.483519767924413</v>
      </c>
      <c r="CZ580" s="1113"/>
      <c r="DA580" s="1114"/>
      <c r="DB580" s="1115" t="s">
        <v>569</v>
      </c>
      <c r="DC580" s="1115"/>
      <c r="DD580" s="1119"/>
      <c r="DE580" s="1092"/>
      <c r="DF580" s="1092"/>
      <c r="DG580" s="1116">
        <f t="shared" ref="DG580:DG616" si="846">IF(OR(DB580="无",CZ580="大量伤害",CZ580="AC失败",CZ580="低血量",DB580="复活",DB580="驱散",DB580="Gd切队效果up"),0,IF(AND(DB580="sp获得",CZ580="AC成功"),0,IF(DB580="其他",0,IF(DE580=0,DD580*(IF(DC580="ap",BH580*IF(DB580="vo获得",BG580,1))+IF(DC580="st",BI580)+IF(DC580="te",BJ580)+IF(DC580="sp槽",$EW$77)+IF(DC580="",1))*(IF(CZ580="曲开始",DA580,0)+IF(CZ580="切队",IF(DF580&lt;&gt;"",MIN(DF580,DA580*$EW$79),DA580*$EW$79))+IF(CZ580="SP发动",IF(DF580&lt;&gt;"",MIN(DF580,DA580*$EW$76),DA580*$EW$76))+IF(CZ580="ap时",IF(DF580&lt;&gt;"",MIN(DF580,DA580*$EW$65/3),DA580*$EW$65/3),0)+IF(CZ580="伤害时",IF(DF580&lt;&gt;"",MIN(DF580,DA580*$EW$65*(1-$EW$75)),DA580*$EW$65*(1-$EW$75)),0)+IF(CZ580="ct时",IF(DF580&lt;&gt;"",MIN(DF580,DA580*$EW$65/3*$AU580),DA580*$EW$65/3*$AU580),0)+IF(OR(CZ580="AC时",CZ580="AC成功"),IF(DF580&lt;&gt;"",MIN(DF580,DA580*$EW$73),DA580*$EW$73))),0)/$EW$65+IF(DE580="infty",IF(OR(CZ580="曲开始",AND(DA580=1,DF580=1)),DD580*DA580,IF(CZ580="SP发动",IF(DF580=1,DD580*(1-(1-(1-DA580)^($EW$76+1))/(($EW$76+1)*DA580)))+IF(DF580="",DA580*DD580*$EW$76/2),0)+IF(CZ580="AC时",IF(DF580=1,DD580*(1-(1-(1-DA580)^($EW$73+1))/(($EW$73+1)*DA580)))+IF(DF580="",DA580*DD580*$EW$73/2),0)+IF(CZ580="AC成功",IF(DF580=1,DD580*(1-(1-(1-DA580)^($EW$73+1))/(($EW$73+1)*DA580)))+IF(DF580="",DA580*DD580*$EW$73/2),0)),0)*(IF(DC580="全员",1,0)+IF(DC580="同属性",$EW$37/3,0)+IF(DC580="同年级",$EW$40/3,0)+IF(DC580="同作战",1,0)+IF(DC580="自身",1/3,0)+IF(DC580="同type",INDEX($EX$49:$EX$52,MATCH($O580,$EW$49:$EW$52,))/3))+IF(AND(DE580&lt;&gt;0,DE580&lt;&gt;"infty"),IF(DE580="AC内",$EW$74,DE580)*DD580*(IF(CZ580="曲开始",DA580,0)+IF(CZ580="切队",IF(DF580&lt;&gt;"",MIN(DF580,DA580*$EW$79),DA580*$EW$79))+IF(CZ580="SP发动",IF(DF580&lt;&gt;"",MIN(DF580,DA580*$EW$76),DA580*$EW$76))+IF(CZ580="ap时",IF(DF580&lt;&gt;"",MIN(DF580,DA580*$EW$65/3),DA580*$EW$65/3),0)+IF(CZ580="伤害时",IF(DF580&lt;&gt;"",MIN(DF580,DA580*$EW$65*(1-$EW$75)),DA580*$EW$65*(1-$EW$75)),0)+IF(CZ580="ct时",IF(DF580&lt;&gt;"",MIN(DF580,DA580*$EW$65/3*$AU580),DA580*$EW$65/3*$AU580),0)+IF(OR(CZ580="AC时",CZ580="AC成功"),IF(DF580&lt;&gt;"",MIN(DF580,DA580*$EW$73),DA580*$EW$73))),0)/$EW$65*(IF(DC580="全员",1,0)+IF(DC580="同属性",$EW$37/3,0)+IF(DC580="同年级",$EW$40/3,0)+IF(DC580="同学校",$EW$43/3,0)+IF(DC580="同作战",1,0)+IF(DC580="自身",1/3,0)+IF(DC580="同type",INDEX($EX$49:$EX$52,MATCH($O580,$EW$49:$EW$52,))/3)-IF(AND(DB580="ct+",DC580&lt;&gt;"仲间"),MAX(DD580+$AU580-1,0)/DD580/3)))))</f>
        <v>0</v>
      </c>
      <c r="DH580" s="1116">
        <f t="shared" ref="DH580:DH616" si="847">IF(OR(DB580="无",CZ580="大量伤害",CZ580="AC失败",CZ580="低血量",DB580="复活",DB580="驱散",DB580="Gd切队效果up"),0,IF(AND(DB580="sp获得",CZ580="AC成功"),0,IF(DB580="其他",0,IF(DE580=0,DD580*(IF(DC580="ap",BR580*IF(DB580="vo获得",BG580,1))+IF(DC580="st",BS580)+IF(DC580="te",BT580)+IF(DC580="sp槽",$FA$69)+IF(DC580="",1))*(IF(DB580="sp获得",$FA$30,1))*(IF(CZ580="曲开始",DA580,0)+IF(CZ580="切队",IF(DF580&lt;&gt;"",MIN(DF580,DA580*$FA$71),DA580*$FA$71))+IF(CZ580="SP发动",IF(DF580&lt;&gt;"",MIN(DF580,DA580*$FA$68),DA580*$FA$68))+IF(CZ580="ap时",IF(DF580&lt;&gt;"",MIN(DF580,DA580*$FA$62/3),DA580*$FA$62/3),0)+IF(CZ580="伤害时",IF(DF580&lt;&gt;"",MIN(DF580,DA580*$FA$62*(1-$FA$67)),DA580*$FA$62*(1-$FA$67)),0)+IF(CZ580="ct时",IF(DF580&lt;&gt;"",MIN(DF580,DA580*$FA$62/3*$BD580),DA580*$FA$62/3*$BD580),0)+IF(OR(CZ580="AC时",CZ580="AC成功"),IF(DF580&lt;&gt;"",MIN(DF580,DA580*$FA$65),DA580*$FA$65))),0)/$FA$62+IF(DE580="infty",IF(OR(CZ580="曲开始",AND(DA580=1,DF580=1)),DD580*DA580,IF(CZ580="SP发动",IF(DF580=1,DD580*(1-(1-(1-DA580)^($FA$68+1))/(($FA$68+1)*DA580)))+IF(DF580="",DA580*DD580*$FA$68/2),0)+IF(CZ580="AC时",IF(DF580=1,DD580*(1-(1-(1-DA580)^($FA$65+1))/(($FA$65+1)*DA580)))+IF(DF580="",DA580*DD580*$FA$65/2),0)+IF(CZ580="AC成功",IF(DF580=1,DD580*(1-(1-(1-DA580)^($FA$65+1))/(($FA$65+1)*DA580)))+IF(DF580="",DA580*DD580*$FA$65/2),0)),0)*(IF(DC580="全员",1,0)+IF(DC580="同属性",$FA$37/3,0)+IF(DC580="同年级",$FA$40/3,0)+IF(DC580="同作战",1,0)+IF(DC580="自身",1/3,0)+IF(DC580="同type",INDEX($FB$49:$FB$52,MATCH($O580,$FA$49:$FA$52,))/3))+IF(AND(DE580&lt;&gt;0,DE580&lt;&gt;"infty"),IF(DE580="AC内",$FA$66,DE580)*DD580*(IF(CZ580="曲开始",DA580,0)+IF(CZ580="切队",IF(DF580&lt;&gt;"",MIN(DF580,DA580*$FA$71),DA580*$FA$71))+IF(CZ580="SP发动",IF(DF580&lt;&gt;"",MIN(DF580,DA580*$FA$68),DA580*$FA$68))+IF(CZ580="ap时",IF(DF580&lt;&gt;"",MIN(DF580,DA580*$FA$62/3),DA580*$FA$62/3),0)+IF(CZ580="伤害时",IF(DF580&lt;&gt;"",MIN(DF580,DA580*$FA$62*(1-$FA$67)),DA580*$FA$62*(1-$FA$67)),0)+IF(CZ580="ct时",IF(DF580&lt;&gt;"",MIN(DF580,DA580*$FA$62/3*$BD580),DA580*$FA$62/3*$BD580),0)+IF(OR(CZ580="AC时",CZ580="AC成功"),IF(DF580&lt;&gt;"",MIN(DF580,DA580*$FA$65),DA580*$FA$65))),0)/$FA$62*(IF(DC580="全员",1,0)+IF(DC580="同属性",$FA$37/3,0)+IF(DC580="同年级",$FA$40/3,0)+IF(DC580="同学校",$FA$43/3,0)+IF(DC580="同作战",1,0)+IF(DC580="自身",1/3,0)+IF(DC580="同type",INDEX($FB$49:$FB$52,MATCH($O580,$FA$49:$FA$52,))/3)-IF(AND(DB580="ct+",DC580&lt;&gt;"仲间"),MAX(DD580+$BD580-1,0)/3/DD580)))))</f>
        <v>0</v>
      </c>
      <c r="DI580" s="1116">
        <f t="shared" ref="DI580:DI616" si="848">IF(OR(DB580="无",CZ580="大量伤害",CZ580="AC失败",CZ580="低血量",DB580="复活",DB580="驱散",DB580="Gd切队效果up"),0,IF(AND(DB580="sp获得",CZ580="AC成功"),0,IF(DB580="其他",0,IF(DE580=0,DD580*(IF(DC580="ap",BH580*IF(DB580="vo获得",BG580,1))+IF(DC580="st",BI580)+IF(DC580="te",BJ580)+IF(DC580="sp槽",$EW$77)+IF(DC580="",1))*(IF(CZ580="曲开始",DA580,0)+IF(CZ580="切队",IF(DF580&lt;&gt;"",MIN(DF580,DA580*$EW$79),DA580*$EW$79))+IF(CZ580="SP发动",IF(DF580&lt;&gt;"",MIN(DF580,DA580*$EW$76),DA580*$EW$76))+IF(CZ580="ap时",0)+IF(CZ580="伤害时",IF(DF580&lt;&gt;"",MIN(DF580,DA580*$EW$65*(1-$EW$75)),DA580*$EW$65*(1-$EW$75)),0)+IF(CZ580="ct时",0)+IF(OR(CZ580="AC时",CZ580="AC成功"),IF(DF580&lt;&gt;"",MIN(DF580,DA580*$EW$73),DA580*$EW$73))),0)/$EW$65+IF(DE580="infty",IF(OR(CZ580="曲开始",AND(DA580=1,DF580=1)),DD580*DA580,IF(CZ580="SP发动",IF(DF580=1,DD580*(1-(1-(1-DA580)^($EW$76+1))/(($EW$76+1)*DA580)))+IF(DF580="",DA580*DD580*$EW$76/2),0)+IF(CZ580="AC时",IF(DF580=1,DD580*(1-(1-(1-DA580)^($EW$73+1))/(($EW$73+1)*DA580)))+IF(DF580="",DA580*DD580*$EW$73/2),0)+IF(CZ580="AC成功",IF(DF580=1,DD580*(1-(1-(1-DA580)^($EW$73+1))/(($EW$73+1)*DA580)))+IF(DF580="",DA580*DD580*$EW$73/2),0)),0)*(IF(DC580="全员",1,0)+IF(DC580="同属性",$EW$38/3,0)+IF(DC580="同年级",$EW$41/3,0)+IF(DC580="同作战",0,0)+IF(DC580="自身",0,0)+IF(DC580="同type",INDEX($EX$53:$EX$56,MATCH($O580,$EW$53:$EW$56,))/3))+IF(AND(DE580&lt;&gt;0,DE580&lt;&gt;"infty"),IF(DE580="AC内",$EW$74,DE580)*(IF(CZ580="曲开始",DD580*DA580,0)+IF(CZ580="切队",DD580*IF(DF580&lt;&gt;"",MIN(DF580,DA580*$EW$79),DA580*$EW$79))+IF(CZ580="SP发动",DD580*IF(DF580&lt;&gt;"",MIN(DF580,DA580*$EW$76),DA580*$EW$76))+IF(CZ580="ap时",0,0)+IF(CZ580="伤害时",DD580*IF(DF580&lt;&gt;"",MIN(DF580,DA580*$EW$65*(1-$EW$75)),DA580*$EW$65*(1-$EW$75)),0)+IF(CZ580="ct时",0,0)+IF(OR(CZ580="AC时",CZ580="AC成功"),DD580*IF(DF580&lt;&gt;"",MIN(DF580,DA580*$EW$73),DA580*$EW$73))),0)/$EW$65*(IF(DC580="全员",1,0)+IF(DC580="同属性",$EW$38/3,0)+IF(DC580="同年级",$EW$41/3,0)+IF(DC580="同学校",$EW$44/3,0)+IF(DC580="同作战",0,0)+IF(DC580="自身",0,0)+IF(DC580="同type",INDEX($EX$53:$EX$56,MATCH($O580,$EW$53:$EW$56,))/3)))))</f>
        <v>0</v>
      </c>
      <c r="DJ580" s="1118">
        <f t="shared" si="790"/>
        <v>0</v>
      </c>
      <c r="DK580" s="1109">
        <f t="shared" si="791"/>
        <v>0</v>
      </c>
      <c r="DL580" s="1101">
        <f t="shared" ref="DL580:DL616" si="849">IF(DB580="sp+",DG580*$EW$30*$EW$32*(1-$EW$33),0)+IF(DB580="ap+",DG580*$EW$26/(1+$EW$15),0)+IF(DB580="ap+元气",DG580*$EW$26/(1+$EW$15)*$EW$67,0)+IF(DB580="技能+",$EW$28*DG580/$EW$27,0)+IF(DB580="vo+",$EW$26*DG580,0)+IF(DB580="sp获得",DG580*(1-$EW$33)*$EW$30/$EW$77)+IF(DB580="vo获得",DG580*$EW$24)+IF(DB580="ct+",$EW$26/(1+($EW$22-1)*$EW$19)*($EW$22-1)*DG580)+IF(DB580="核弹",DG580*(1+$EW$23))+IF(DB580="ct值+",$EW$26/(1+($EW$22-1)*$EW$19)*$EW$19*DG580)</f>
        <v>0</v>
      </c>
      <c r="DM580" s="1097">
        <f t="shared" ref="DM580:DM616" si="850">IF(DB580="sp+",DH580*$FA$27*$FA$32*(1-$FA$33),0)+IF(DB580="ap+",DH580*$FA$24/(1+$FA$15)*(1-$FI$26),0)+IF(DB580="ap+元气",DH580*$FA$24/(1+$FA$15)*(1-$FI$26)*$FA$64,0)+IF(DB580="技能+",$FA$26*DH580/$FA$25,0)+IF(DB580="vo+",$FA$24*DH580*(1-$FI$26),0)+IF(DB580="sp获得",DH580*(1-$FA$33)*$FA$27/$FA$69)+IF(DB580="vo获得",DH580*$FA$22)+IF(DB580="ct+",$FA$24/(1+($FA$20-1)*$FA$19)*($FA$20-1)*DH580*(1-$FI$27))+IF(DB580="核弹",DH580*(1+$FA$21)*(1-$FI$29))+IF(DB580="ct值+",$FA$24/(1+($FA$20-1)*$FA$19)*$FA$19*DH580*(1-$FI$28))</f>
        <v>0</v>
      </c>
      <c r="DN580" s="1097">
        <f t="shared" ref="DN580:DN616" si="851">IF(DB580="sp+",DI580*$EW$30*$EW$32*(1-$EW$33),0)+IF(DB580="ap+",DI580*$EW$26/(1+$EW$15),0)+IF(DB580="ap+元气",DI580*$EW$26/(1+$EW$15)*$EW$67,0)+IF(DB580="技能+",$EW$28*DI580/$EW$27,0)+IF(DB580="vo+",$EW$26*DI580,0)+IF(DB580="sp获得",DI580*(1-$EW$33)*$EW$30/$EW$77)+IF(DB580="vo获得",DI580*$EW$24)+IF(DB580="ct+",$EW$26/(1+($EW$22-1)*$EW$19)*($EW$22-1)*DI580)+IF(DB580="核弹",DI580*(1+$EW$23))+IF(DB580="ct值+",$EW$26/(1+($EW$22-1)*$EW$19)*$EW$19*DI580)</f>
        <v>0</v>
      </c>
      <c r="DO580" s="1097">
        <f t="shared" ref="DO580:DO616" si="852">DL580+IF(OR(DB580="加盾",AND(DB580="回血",OR(CZ580&lt;&gt;"切队",DF580=""))),MIN($EW$26/$EW$66*(1-$EW$66)-$EE580+$EC580-$ET580+$ER580, $EW$26*(HP($EW$62,$EW$65,$EW$64-DG580)/$EW$66-1)))+IF(DB580="减伤",MIN($EW$26/$EW$66*(1-$EW$66)-$EE580+$EC580-$ET580+$ER580, $EW$26*(HP($EW$62,$EW$65,$EW$64*(1-DG580))/$EW$66-1)))</f>
        <v>0</v>
      </c>
      <c r="DP580" s="1110">
        <f t="shared" ref="DP580:DP616" si="853">DN580+(IF(OR(DB580="加盾",AND(DB580="回血",OR(CZ580&lt;&gt;"切队",DF580=""))),$EW$26*(HP($EW$62,$EW$65,$EW$64-DG580)/$EW$66-1))+IF(DB580="减伤",$EW$26*(HP($EW$62,$EW$65,$EW$64*(1-DG580))/$EW$66-1)))*IF(OR(DC580="自身",DC580="同作战"),0,1)*IF(OR(CZ580="ap时",CZ580="ct时"),0,1)</f>
        <v>0</v>
      </c>
      <c r="DQ580" s="1113" t="s">
        <v>167</v>
      </c>
      <c r="DR580" s="1120">
        <f t="shared" si="792"/>
        <v>0.33</v>
      </c>
      <c r="DS580" s="1124">
        <v>5</v>
      </c>
      <c r="DT580" s="1124" t="s">
        <v>2075</v>
      </c>
      <c r="DU580" s="1093" t="s">
        <v>2145</v>
      </c>
      <c r="DV580" s="1098">
        <f>IF($P580="","N/A",IF(P580=-1,INDEX('卡片raw data'!AN:AN,MATCH(D580,'卡片raw data'!$F:$F,)),0)+IF(AND(L580&lt;&gt;"party卡",P580&lt;=2,P580&gt;=0),INDEX('卡片raw data'!AP:AP,MATCH(D580,'卡片raw data'!$F:$F,)),0)+IF(OR(AND(L580="party卡",P580&lt;=1),AND(P580&lt;=4,L580&lt;&gt;"party卡",P580&gt;=3)),INDEX('卡片raw data'!AQ:AQ,MATCH(D580,'卡片raw data'!$F:$F,)),0)+IF(OR(P580=5,AND(L580="party卡",P580&gt;=2)),INDEX('卡片raw data'!AR:AR,MATCH(D580,'卡片raw data'!$F:$F,)),0))</f>
        <v>7.1999999999999995E-2</v>
      </c>
      <c r="DW580" s="1098">
        <f t="shared" ref="DW580:DW643" si="854">DR580+IF(AND($CK580="技能+",$CL580="自身",DR580=0.11),$CP580*3)</f>
        <v>0.33</v>
      </c>
      <c r="DX580" s="1098">
        <f t="shared" ref="DX580:DX643" si="855">DR580+IF(AND($CK580="技能+",$CL580="自身",DR580=0.11),$CQ580*3)</f>
        <v>0.33</v>
      </c>
      <c r="DY580" s="1098">
        <f t="shared" ref="DY580:DY615" si="856">IF(DS580=0,IF(DT580="ap",DV580*$AQ580*DW580/3*IF(DQ580="vo获得",$AP580,1))+IF(DT580="st",DV580*$AR580*DW580/3)+IF(DT580="te",DV580*$AS580*DW580/3)+IF(DT580="sp槽",DV580*DW580/3)+IF(DT580="固定值",IF(DQ580="sp获得",DV580/3*DW580/$EW$77,DV580*DW580/3)),IF(DU580="百分比",IF(DT580="全员",DV580*DW580/3*DS580)+IF(DT580="仲间",DV580*DW580/3*DS580*2/3)+IF(DT580="同作战",DV580*DW580/3*DS580)+IF(DT580="同年级",DV580*DW580/3*DS580*$EW$40/3)+IF(DT580="同学校",DV580*DW580/3*DS580*$EW$43/3)+IF(DT580="同属性",DV580*DW580/3*DS580*$EW$37/3)+IF(DT580="同type",DV580*DW580/3*DS580*INDEX($EX$49:$EX$52,MATCH(O580,$EW$49:$EW$52,))/3),(IF(DQ580="ap+",DV580/$EX$16*DS580*DW580/3)+IF(DQ580="vo+",DV580*(1+$EW$23)/$EW$26*DS580*DW580/3))*(IF(DT580="全员",1)+IF(DT580="同作战",1)))-IF(AND(DQ580="ct+",DT580&lt;&gt;"仲间"),MAX(DV580+$AU580-1,0)*DW580/3*_xlfn.FLOOR.MATH(DS580/3)))</f>
        <v>2.6399999999999996E-2</v>
      </c>
      <c r="DZ580" s="1098">
        <f t="shared" ref="DZ580:DZ615" si="857">IF(DS580=0,IF(DT580="ap",IF(DQ580="vo获得",MIN(DV580*$BA580*$AP580,$FI$25)*$FA$22*DX580/3,DV580*$BA580*DX580/3))+IF(DT580="st",DV580*$BB580*DX580/3)+IF(DT580="te",DV580*$BC580*DX580/3)+IF(DT580="sp槽",DV580*DX580/3*$FA$30)+IF(DT580="固定值",IF(DQ580="sp获得",DV580/3*DX580/$FA$69*$FA$30,DV580*DX580/3)),IF(DU580="百分比",IF(DT580="全员",DV580*DX580/3*DS580)+IF(DT580="仲间",DV580*DX580/3*DS580*2/3)+IF(DT580="同作战",DV580*DX580/3*DS580)+IF(DT580="同年级",DV580*DX580/3*DS580*$FA$40/3)+IF(DT580="同学校",DV580*DX580/3*DS580*$FA$43/3)+IF(DT580="同属性",DV580*DX580/3*DS580*$FA$37/3)+IF(DT580="同type",DV580*DX580/3*DS580*INDEX($FB$49:$FB$52,MATCH(O580,$FA$49:$FA$52,))/3),(IF(DQ580="ap+",DV580/$FB$16*DS580*DX580/3)+IF(DQ580="vo+",DV580*(1+$FA$21)/$FA$24*DS580*DX580/3))*(IF(DT580="全员",1)+IF(DT580="同作战",1)))-IF(AND(DQ580="ct+",DT580&lt;&gt;"仲间"),MAX(DV580+$BD580-1,0)*DX580/3*_xlfn.FLOOR.MATH(DS580/3)))*$FA$57</f>
        <v>1.9981499999999999E-2</v>
      </c>
      <c r="EA580" s="1098">
        <f t="shared" ref="EA580:EA615" si="858">IF(DQ580="技能+",IF(O580="sk",FM$10,FM$9)*(1+0.1*$FM$31/$FM$19)*IF(O580="sk",$FM$18,$FM$17)*DR580/$FM$14*(IF(DT580="全员",DS580*DV580)+IF(DT580="同属性",DS580*DV580*$FM$23/6)+IF(DT580="同作战",DV580*IF(O580="sk",IF(AND(DS580&gt;1,DS580&lt;6),2),$FM$9*DS580*3))),0)*$FM$16</f>
        <v>0</v>
      </c>
      <c r="EB580" s="1121">
        <f t="shared" ref="EB580:EB615" si="859">IF(DQ580="sp+",1/6*(1+0.1*$FM$31/$FM$19)*IF(O580="sk",$FM$18,$FM$17)*DR580/$FM$14*$FM$28*(IF(DT580="全员",DS580*DV580)+IF(DT580="同属性",DS580*DV580*$FM$23/6)+IF(DT580="同年级",DS580*DV580*$FM$24/6)),0)+IF(DQ580="sp获得",1/6*(1+0.1*$FM$31/$FM$19)*IF(O580="sk",$FM$18,$FM$17)*DR580/$FM$14*IF(O580="sk",1,1+(1+$FM$10/$FM$9)*($FM$27-1))*IF(DT580="固定值",DV580,DV580*$FM$25))</f>
        <v>0</v>
      </c>
      <c r="EC580" s="1101">
        <f t="shared" ref="EC580:EC615" si="860">IF(DQ580="ap+",$EW$26/(1+$EW$15)*DY580)+IF(DQ580="vo+",$EW$26*DY580)+IF(DQ580="vo获得",DY580*$EW$24)+IF(DQ580="sp+",DY580*$EW$30*$EW$32*(1-$EW$33))+IF(DQ580="sp获得",DY580*$EW$30*(1-$EW$33))+IF(DQ580="技能+",DY580*$EW$28/$EW$27)+IF(DQ580="ct+",DY580*$EW$26/(1+($EW$22-1)*$EW$19)*($EW$22-1))+IF(DQ580="核弹",DY580*(1+$EW$23)*$EW$24)+IF(DQ580="ct值+",$EW$26/(1+($EW$22-1)*$EW$19)*$EW$19*DY580)</f>
        <v>3589.9493923471459</v>
      </c>
      <c r="ED580" s="1097">
        <f t="shared" ref="ED580:ED615" si="861">IF(DQ580="ap+",$FA$24/(1+$FA$15)*DZ580*(1-$FI$26))+IF(DQ580="vo+",$FA$24*DZ580*(1-$FI$26))+IF(DQ580="vo获得",DZ580)+IF(DQ580="sp+",DZ580*$FA$27*$FA$32*(1-$FA$33))+IF(DQ580="sp获得",DZ580*$FA$27*(1-$FA$33))+IF(DQ580="技能+",DZ580*$FA$26/$FA$25)+IF(DQ580="ct+",DZ580*$FA$24/(1+($FA$20-1)*$FA$19)*($FA$20-1)*(1-$FI$27))+IF(DQ580="核弹",DZ580*(1+$FA$21)*(1-$FI$29))+IF(DQ580="ct值+",$FA$24/(1+($FA$20-1)*$FA$19)*$FA$19*DZ580*(1-$FI$28))</f>
        <v>131.18998253779688</v>
      </c>
      <c r="EE580" s="1110">
        <f t="shared" si="775"/>
        <v>3589.9493923471459</v>
      </c>
      <c r="EF580" s="1113" t="s">
        <v>569</v>
      </c>
      <c r="EG580" s="1120">
        <f t="shared" si="793"/>
        <v>0.33</v>
      </c>
      <c r="EH580" s="1124"/>
      <c r="EI580" s="1124"/>
      <c r="EJ580" s="1124"/>
      <c r="EK580" s="1097">
        <f>IF($P580="","N/A",IF(P580=-1,INDEX('卡片raw data'!AS:AS,MATCH(D580,'卡片raw data'!$F:$F,)),0)+IF(AND(L580&lt;&gt;"party卡",P580&lt;=2,P580&gt;=0),INDEX('卡片raw data'!AU:AU,MATCH(D580,'卡片raw data'!$F:$F,)),0)+IF(OR(AND(L580="party卡",P580&lt;=1),AND(P580&lt;=4,L580&lt;&gt;"party卡",P580&gt;=3)),INDEX('卡片raw data'!AV:AV,MATCH(D580,'卡片raw data'!$F:$F,)),0)+IF(OR(P580=5,AND(L580="party卡",P580&gt;=2)),INDEX('卡片raw data'!AW:AW,MATCH(D580,'卡片raw data'!$F:$F,)),0))</f>
        <v>0</v>
      </c>
      <c r="EL580" s="1098">
        <f t="shared" ref="EL580:EL643" si="862">EG580+IF(AND($CK580="技能+",$CL580="自身",EG580=0.11),$CP580*3)</f>
        <v>0.33</v>
      </c>
      <c r="EM580" s="1098">
        <f t="shared" ref="EM580:EM643" si="863">EG580+IF(AND($CK580="技能+",$CL580="自身",EG580=0.11),$CQ580*3)</f>
        <v>0.33</v>
      </c>
      <c r="EN580" s="1097">
        <f t="shared" ref="EN580:EN615" si="864">IF(EH580=0,IF(EI580="ap",EK580*$AQ580*EL580/3*IF(EF580="vo获得",$AP580,1))+IF(EI580="st",EK580*$AR580*EL580/3)+IF(EI580="te",EK580*$AS580*EL580/3)+IF(EI580="sp槽",EK580*EL580/3)+IF(EI580="固定值",IF(EF580="sp获得",EK580/3*EL580/$EW$77,EK580*EL580/3)),IF(EJ580="百分比",IF(EI580="全员",EK580*EL580/3*EH580)+IF(EI580="仲间",EK580*EL580/3*EH580*2/3)+IF(EI580="同作战",EK580*EL580/3*EH580)+IF(EI580="同年级",EK580*EL580/3*EH580*$EW$40/3)+IF(EI580="同学校",EK580*EL580/3*EH580*$EW$43/3)+IF(EI580="同属性",EK580*EL580/3*EH580*$EW$37/3)+IF(EI580="同type",EK580*EL580/3*EH580*INDEX($EX$49:$EX$52,MATCH(AD580,$EW$49:$EW$52,))/3),(IF(EF580="ap+",EK580/$EX$16*EH580*EL580/3)+IF(EF580="vo+",EK580*(1+$EW$23)/$EW$26*EH580*EL580/3))*(IF(EI580="全员",1)+IF(EI580="同作战",1)))-IF(AND(EF580="ct+",EI580&lt;&gt;"仲间"),MAX(EK580+$AU580-1,0)*EL580/3*_xlfn.FLOOR.MATH(EH580/3)))</f>
        <v>0</v>
      </c>
      <c r="EO580" s="1097">
        <f t="shared" ref="EO580:EO615" si="865">IF(EH580=0,IF(EI580="ap",IF(EF580="vo获得",MIN(EK580*$BA580*$AP580,$FI$25)*$FA$22*EM580/3,EK580*$BA580*EM580/3))+IF(EI580="st",EK580*$BB580*EM580/3)+IF(EI580="te",EK580*$BC580*EM580/3)+IF(EI580="sp槽",EK580*EM580/3*$FA$30)+IF(EI580="固定值",IF(EF580="sp获得",EK580/3*EM580/$FA$69*$FA$30,EK580*EM580/3)),IF(EJ580="百分比",IF(EI580="全员",EK580*EM580/3*EH580)+IF(EI580="仲间",EK580*EM580/3*EH580*2/3)+IF(EI580="同作战",EK580*EM580/3*EH580)+IF(EI580="同年级",EK580*EM580/3*EH580*$FA$40/3)+IF(EI580="同学校",EK580*EM580/3*EH580*$FA$43/3)+IF(EI580="同属性",EK580*EM580/3*EH580*$FA$37/3)+IF(EI580="同type",EK580*EM580/3*EH580*INDEX($FB$49:$FB$52,MATCH(AD580,$FA$49:$FA$52,))/3),(IF(EF580="ap+",EK580/$FB$16*EH580*EM580/3)+IF(EF580="vo+",EK580*(1+$FA$21)/$FA$24*EH580*EM580/3))*(IF(EI580="全员",1)+IF(EI580="同作战",1)))-IF(AND(EF580="ct+",EI580&lt;&gt;"仲间"),MAX(EK580+$BD580-1,0)*EM580/3*_xlfn.FLOOR.MATH(EH580/3)))*$FA$57</f>
        <v>0</v>
      </c>
      <c r="EP580" s="1098">
        <f t="shared" ref="EP580:EP615" si="866">IF(EF580="技能+",IF(AB580="sk",FZ$10,FZ$9)*(1+0.1*$FM$31/$FM$19)*IF(AB580="sk",$FM$18,$FM$17)*EG580/$FM$14*(IF(EI580="全员",EH580*EK580)+IF(EI580="同属性",EH580*EK580*$FM$23/6)+IF(EI580="同作战",EK580*IF(AB580="sk",IF(AND(EH580&gt;1,EH580&lt;6),2),$FM$9*EH580*3))),0)*$FM$16</f>
        <v>0</v>
      </c>
      <c r="EQ580" s="1121">
        <f t="shared" ref="EQ580:EQ615" si="867">IF(EF580="sp+",1/6*(1+0.1*$FM$31/$FM$19)*IF(AB580="sk",$FM$18,$FM$17)*EG580/$FM$14*$FM$28*(IF(EI580="全员",EH580*EK580)+IF(EI580="同属性",EH580*EK580*$FM$23/6)+IF(EI580="同年级",EH580*EK580*$FM$24/6)),0)+IF(EF580="sp获得",1/6*(1+0.1*$FM$31/$FM$19)*IF(AB580="sk",$FM$18,$FM$17)*EG580/$FM$14*IF(AB580="sk",1,1+(1+$FM$10/$FM$9)*($FM$27-1))*IF(EI580="固定值",EK580,EK580*$FM$25))</f>
        <v>0</v>
      </c>
      <c r="ER580" s="1101">
        <f t="shared" ref="ER580:ER615" si="868">IF(EF580="ap+",$EW$26/(1+$EW$15)*EN580)+IF(EF580="vo+",$EW$26*EN580)+IF(EF580="vo获得",EN580*$EW$24)+IF(EF580="sp+",EN580*$EW$30*$EW$32*(1-$EW$33))+IF(EF580="sp获得",EN580*$EW$30*(1-$EW$33))+IF(EF580="技能+",EN580*$EW$28/$EW$27)+IF(EF580="ct+",EN580*$EW$26/(1+($EW$22-1)*$EW$19)*($EW$22-1))+IF(EF580="核弹",EN580*(1+$EW$23)*$EW$24)+IF(EF580="ct值+",$EW$26/(1+($EW$22-1)*$EW$19)*$EW$19*EN580)</f>
        <v>0</v>
      </c>
      <c r="ES580" s="1097">
        <f t="shared" ref="ES580:ES615" si="869">IF(EF580="ap+",$FA$24/(1+$FA$15)*EO580*(1-$FI$26))+IF(EF580="vo+",$FA$24*EO580*(1-$FI$26))+IF(EF580="vo获得",EO580)+IF(EF580="sp+",EO580*$FA$27*$FA$32*(1-$FA$33))+IF(EF580="sp获得",EO580*$FA$27*(1-$FA$33))+IF(EF580="技能+",EO580*$FA$26/$FA$25)+IF(EF580="ct+",EO580*$FA$24/(1+($FA$20-1)*$FA$19)*($FA$20-1)*(1-$FI$27))+IF(EF580="核弹",EO580*(1+$FA$21)*(1-$FI$29))+IF(EF580="ct值+",$FA$24/(1+($FA$20-1)*$FA$19)*$FA$19*EO580*(1-$FI$28))</f>
        <v>0</v>
      </c>
      <c r="ET580" s="1122">
        <f t="shared" si="776"/>
        <v>0</v>
      </c>
    </row>
    <row r="581" spans="2:150" ht="16.5" customHeight="1">
      <c r="B581" s="1123" t="str">
        <f>INDEX('卡片raw data'!B:B,MATCH($D581,'卡片raw data'!$F:$F,))</f>
        <v>四专璃</v>
      </c>
      <c r="C581" s="1025" t="s">
        <v>4737</v>
      </c>
      <c r="D581" s="408">
        <v>578</v>
      </c>
      <c r="E581" s="1164">
        <v>402092007</v>
      </c>
      <c r="F581" s="1090" t="str">
        <f>INDEX('卡片raw data'!C:C,MATCH($D581,'卡片raw data'!$F:$F,))</f>
        <v>SR</v>
      </c>
      <c r="G581" s="1026" t="s">
        <v>4738</v>
      </c>
      <c r="H581" s="411">
        <f>IFERROR(INDEX(绊状态确认!C:C,MATCH($G581,绊状态确认!$B:$B,)),"")</f>
        <v>209</v>
      </c>
      <c r="I581" s="450" t="str">
        <f>IFERROR(INDEX(绊状态确认!D:D,MATCH($G581,绊状态确认!$B:$B,)),"")</f>
        <v>虹</v>
      </c>
      <c r="J581" s="450" t="str">
        <f>IFERROR(INDEX(绊状态确认!E:E,MATCH($G581,绊状态确认!$B:$B,)),"")</f>
        <v>1年级</v>
      </c>
      <c r="K581" s="451" t="str">
        <f>IFERROR(INDEX(绊状态确认!F:F,MATCH($G581,绊状态确认!$B:$B,)),"")</f>
        <v>QU4RTZ</v>
      </c>
      <c r="L581" s="1094" t="str">
        <f>INDEX('卡片raw data'!E:E,MATCH($D581,'卡片raw data'!$F:$F,))</f>
        <v>卡池卡</v>
      </c>
      <c r="M581" s="1065">
        <v>44519</v>
      </c>
      <c r="N581" s="1027">
        <v>52</v>
      </c>
      <c r="O581" s="1091" t="str">
        <f>INDEX('卡片raw data'!D:D,MATCH($D581,'卡片raw data'!$F:$F,))</f>
        <v>sp</v>
      </c>
      <c r="P581" s="1126">
        <v>5</v>
      </c>
      <c r="Q581" s="1095">
        <f t="shared" si="796"/>
        <v>34416.55700813733</v>
      </c>
      <c r="R581" s="1096">
        <f t="shared" si="797"/>
        <v>0.4</v>
      </c>
      <c r="S581" s="1097">
        <f t="shared" si="798"/>
        <v>17729.881789609703</v>
      </c>
      <c r="T581" s="1098">
        <f t="shared" si="799"/>
        <v>0.88600000000000001</v>
      </c>
      <c r="U581" s="1099">
        <f t="shared" si="800"/>
        <v>13.213426121052855</v>
      </c>
      <c r="V581" s="1100">
        <f t="shared" si="801"/>
        <v>33673.292370933967</v>
      </c>
      <c r="W581" s="1101">
        <f t="shared" si="802"/>
        <v>4526.5361674681917</v>
      </c>
      <c r="X581" s="1096">
        <f t="shared" si="803"/>
        <v>5.1999999999999998E-2</v>
      </c>
      <c r="Y581" s="1097">
        <f t="shared" si="804"/>
        <v>1056.7353627966349</v>
      </c>
      <c r="Z581" s="1102">
        <f t="shared" si="805"/>
        <v>13.213426121052855</v>
      </c>
      <c r="AA581" s="1103">
        <f t="shared" si="806"/>
        <v>5583.2715302648267</v>
      </c>
      <c r="AB581" s="1101">
        <f t="shared" si="807"/>
        <v>8282.9707400731913</v>
      </c>
      <c r="AC581" s="1104">
        <f t="shared" si="808"/>
        <v>9.6000000000000002E-2</v>
      </c>
      <c r="AD581" s="1105">
        <f t="shared" si="809"/>
        <v>-4.4144986979166769E-3</v>
      </c>
      <c r="AE581" s="1128">
        <f t="shared" si="810"/>
        <v>6.1858119235836586</v>
      </c>
      <c r="AF581" s="1130">
        <f t="shared" si="811"/>
        <v>0</v>
      </c>
      <c r="AG581" s="1097">
        <f t="shared" si="812"/>
        <v>0</v>
      </c>
      <c r="AH581" s="1097">
        <f t="shared" si="813"/>
        <v>0</v>
      </c>
      <c r="AI581" s="1097">
        <f t="shared" si="814"/>
        <v>0</v>
      </c>
      <c r="AJ581" s="1097">
        <f t="shared" si="815"/>
        <v>0</v>
      </c>
      <c r="AK581" s="1129">
        <f t="shared" si="816"/>
        <v>0</v>
      </c>
      <c r="AL581" s="1106">
        <f>IF($P581="","N/A",(IF($P581=-1,INDEX('卡片raw data'!S:S,MATCH($D581,'卡片raw data'!$F:$F,)),0)+IF($P581=0,INDEX('卡片raw data'!V:V,MATCH($D581,'卡片raw data'!$F:$F,)),0)+IF($P581=1,INDEX('卡片raw data'!Y:Y,MATCH($D581,'卡片raw data'!$F:$F,)),0)+IF($P581=2,INDEX('卡片raw data'!AB:AB,MATCH($D581,'卡片raw data'!$F:$F,)),0)+IF($P581=3,INDEX('卡片raw data'!AE:AE,MATCH($D581,'卡片raw data'!$F:$F,)),0)+IF($P581=4,INDEX('卡片raw data'!AH:AH,MATCH($D581,'卡片raw data'!$F:$F,)),0)+IF($P581=5,INDEX('卡片raw data'!AK:AK,MATCH($D581,'卡片raw data'!$F:$F,)),0)+INDEX('卡片raw data'!S:S,MATCH($D581,'卡片raw data'!$F:$F,))*(IF($F581="UR",0.04,0.033))*(IF($F581="UR",INDEX(绊状态确认!$S:$S,MATCH($G581,绊状态确认!$B:$B,))/2-40)+IF($F581="SR",INDEX(绊状态确认!$R:$R,MATCH($G581,绊状态确认!$B:$B,))/4-15))+IF($F581="R",INDEX(绊状态确认!$Q:$Q,MATCH($G581,绊状态确认!$B:$B,))/6-40/6)))*(INDEX(绊状态确认!$H:$H,MATCH($G581,绊状态确认!$B:$B,))+INDEX(绊状态确认!J:J,MATCH($G581,绊状态确认!$B:$B,)))</f>
        <v>7758.2255279999999</v>
      </c>
      <c r="AM581" s="1106">
        <f>IF($P581="","N/A",(IF($P581=-1,INDEX('卡片raw data'!T:T,MATCH($D581,'卡片raw data'!$F:$F,)),0)+IF($P581=0,INDEX('卡片raw data'!W:W,MATCH($D581,'卡片raw data'!$F:$F,)),0)+IF($P581=1,INDEX('卡片raw data'!Z:Z,MATCH($D581,'卡片raw data'!$F:$F,)),0)+IF($P581=2,INDEX('卡片raw data'!AC:AC,MATCH($D581,'卡片raw data'!$F:$F,)),0)+IF($P581=3,INDEX('卡片raw data'!AF:AF,MATCH($D581,'卡片raw data'!$F:$F,)),0)+IF($P581=4,INDEX('卡片raw data'!AI:AI,MATCH($D581,'卡片raw data'!$F:$F,)),0)+IF($P581=5,INDEX('卡片raw data'!AL:AL,MATCH($D581,'卡片raw data'!$F:$F,)),0)+INDEX('卡片raw data'!T:T,MATCH($D581,'卡片raw data'!$F:$F,))*(IF($F581="UR",0.04,0.033))*(IF($F581="UR",INDEX(绊状态确认!$S:$S,MATCH($G581,绊状态确认!$B:$B,))/2-40)+IF($F581="SR",INDEX(绊状态确认!$R:$R,MATCH($G581,绊状态确认!$B:$B,))/4-15))+IF($F581="R",INDEX(绊状态确认!$Q:$Q,MATCH($G581,绊状态确认!$B:$B,))/6-40/6)))*(INDEX(绊状态确认!$H:$H,MATCH($G581,绊状态确认!$B:$B,))+INDEX(绊状态确认!K:K,MATCH($G581,绊状态确认!$B:$B,)))</f>
        <v>7053.8688983999991</v>
      </c>
      <c r="AN581" s="1106">
        <f>IF($P581="","N/A",(IF($P581=-1,INDEX('卡片raw data'!U:U,MATCH($D581,'卡片raw data'!$F:$F,)),0)+IF($P581=0,INDEX('卡片raw data'!X:X,MATCH($D581,'卡片raw data'!$F:$F,)),0)+IF($P581=1,INDEX('卡片raw data'!AA:AA,MATCH($D581,'卡片raw data'!$F:$F,)),0)+IF($P581=2,INDEX('卡片raw data'!AD:AD,MATCH($D581,'卡片raw data'!$F:$F,)),0)+IF($P581=3,INDEX('卡片raw data'!AG:AG,MATCH($D581,'卡片raw data'!$F:$F,)),0)+IF($P581=4,INDEX('卡片raw data'!AJ:AJ,MATCH($D581,'卡片raw data'!$F:$F,)),0)+IF($P581=5,INDEX('卡片raw data'!AM:AM,MATCH($D581,'卡片raw data'!$F:$F,)),0)+INDEX('卡片raw data'!U:U,MATCH($D581,'卡片raw data'!$F:$F,))*(IF($F581="UR",0.04,0.033))*(IF($F581="UR",INDEX(绊状态确认!$S:$S,MATCH($G581,绊状态确认!$B:$B,))/2-40)+IF($F581="SR",INDEX(绊状态确认!$R:$R,MATCH($G581,绊状态确认!$B:$B,))/4-15))+IF($F581="R",INDEX(绊状态确认!$Q:$Q,MATCH($G581,绊状态确认!$B:$B,))/6-40/6)))*(INDEX(绊状态确认!$H:$H,MATCH($G581,绊状态确认!$B:$B,))+INDEX(绊状态确认!L:L,MATCH($G581,绊状态确认!$B:$B,)))</f>
        <v>8697.6964991999994</v>
      </c>
      <c r="AO581" s="1107">
        <f t="shared" si="817"/>
        <v>1</v>
      </c>
      <c r="AP581" s="1131">
        <f>1+(INDEX(绊状态确认!$T:$T,MATCH($G581,绊状态确认!$B:$B,))+0.2)*$AO581</f>
        <v>1.3</v>
      </c>
      <c r="AQ581" s="1108">
        <f t="shared" si="818"/>
        <v>23615.342011000001</v>
      </c>
      <c r="AR581" s="1097">
        <f>(AM581*(1+$EX$9)+$EX$35)*(1+(INDEX(绊状态确认!$T:$T,MATCH($G581,绊状态确认!$B:$B,))+0.2)*AO581)*IF(J581=$FF$17,1+$FE$17,1)*IF(I581=$FF$14,1+$FE$14,1)</f>
        <v>12332.531046315999</v>
      </c>
      <c r="AS581" s="1097">
        <f>(AN581*(1+$EX$10)+$EX$36)*(1+(INDEX(绊状态确认!$T:$T,MATCH($G581,绊状态确认!$B:$B,))+0.2)*AO581)*IF(J581=$FF$17,1+$FE$17,1)*IF(I581=$FF$14,1+$FE$14,1)</f>
        <v>17059.056266304</v>
      </c>
      <c r="AT581" s="1093">
        <f>IF(AND(INDEX('卡片raw data'!AK:AK,MATCH($D581,'卡片raw data'!$F:$F,))&lt;INDEX('卡片raw data'!AM:AM,MATCH($D581,'卡片raw data'!$F:$F,)),INDEX('卡片raw data'!AL:AL,MATCH($D581,'卡片raw data'!$F:$F,))&lt;INDEX('卡片raw data'!AM:AM,MATCH($D581,'卡片raw data'!$F:$F,))),1,0)</f>
        <v>1</v>
      </c>
      <c r="AU581" s="1098">
        <f>MIN(AT581*0.15+AS581*0.00003+INDEX(绊状态确认!M:M,MATCH($G581,绊状态确认!$B:$B,)),1)</f>
        <v>0.69177168798912003</v>
      </c>
      <c r="AV581" s="1109">
        <f>(INDEX(绊状态确认!$N:$N,MATCH($G581,绊状态确认!$B:$B,))+1.5)*$EW$21</f>
        <v>2.6599999999999997</v>
      </c>
      <c r="AW581" s="1101">
        <f t="shared" si="819"/>
        <v>26348.434752912624</v>
      </c>
      <c r="AX581" s="1097">
        <f t="shared" si="820"/>
        <v>1056.7353627966352</v>
      </c>
      <c r="AY581" s="1110">
        <f t="shared" si="821"/>
        <v>27405.170115709261</v>
      </c>
      <c r="AZ581" s="1106">
        <f t="shared" si="822"/>
        <v>17728.5397796</v>
      </c>
      <c r="BA581" s="1108">
        <f t="shared" si="823"/>
        <v>21274.247735519999</v>
      </c>
      <c r="BB581" s="1097">
        <f>(AM581*(1+$FB$9)+$FB$35)*(1+(INDEX(绊状态确认!$T:$T,MATCH($G581,绊状态确认!$B:$B,))+0.2)*AO581)*IF(J581=$FF$17,1+$FE$17,1)*IF(I581=$FF$14,1+$FE$14,1)*(1+$FE$15)</f>
        <v>12332.531046315999</v>
      </c>
      <c r="BC581" s="1097">
        <f>(AN581*(1+$FB$10)+$FB$36)*(1+(INDEX(绊状态确认!$T:$T,MATCH($G581,绊状态确认!$B:$B,))+0.2)*AO581)*IF(J581=$FF$17,1+$FE$17,1)*IF(I581=$FF$14,1+$FE$14,1)*(1+$FE$15)</f>
        <v>17059.056266304</v>
      </c>
      <c r="BD581" s="1104">
        <f>MIN(AT581*0.15+BC581*0.00003+INDEX(绊状态确认!M:M,MATCH($G581,绊状态确认!$B:$B,)),1)</f>
        <v>0.69177168798912003</v>
      </c>
      <c r="BE581" s="1109">
        <f>(INDEX(绊状态确认!$N:$N,MATCH($G581,绊状态确认!$B:$B,))+1.5)</f>
        <v>1.9</v>
      </c>
      <c r="BF581" s="1139">
        <f t="array" ref="BF581">SUMPRODUCT(IF(AZ581*AP581*$FI$16:$FI$23*$FA$22&gt;=$FI$24,$FI$24,AZ581*AP581*$FI$16:$FI$23*$FA$22),$FJ$16:$FJ$23)</f>
        <v>35262.065621624402</v>
      </c>
      <c r="BG581" s="1125">
        <f t="array" ref="BG581">SUMPRODUCT(IF(BE581*AZ581*AP581*$FI$16:$FI$23*$FA$22&gt;=$FI$24,$FI$24,BE581*AZ581*AP581*$FI$16:$FI$23*$FA$22),$FJ$16:$FJ$23)</f>
        <v>58947.373313903001</v>
      </c>
      <c r="BH581" s="1110">
        <f t="shared" si="824"/>
        <v>17215.630301484551</v>
      </c>
      <c r="BI581" s="1111">
        <f>IF(O581="vo",$EW$26/$EW$24*0.05,0)+IF(O581="sk",-$EW$26/$EW$24*(0.05-INDEX(绊状态确认!W:W,MATCH($G581,绊状态确认!$B:$B,)))+0.05*$EW$28,0)+IF(O581="sp",0.05*$EW$32*$EW$30*(1-$EW$33)-(0.05-INDEX(绊状态确认!V:V,MATCH($G581,绊状态确认!$B:$B,)))*$EW$28,0)+IF(O581="gd",-(0.05-INDEX(绊状态确认!X:X,MATCH($G581,绊状态确认!$B:$B,)))*$EW$32*$EW$30*(1-$EW$33),0)</f>
        <v>19.999999999999886</v>
      </c>
      <c r="BJ581" s="1097">
        <f>IF(O581="vo",0.05*(1-$FI$26)*$FA$24,0)+IF(O581="sk",-(0.05-INDEX(绊状态确认!W:W,MATCH($G581,绊状态确认!$B:$B,)))*(1-$FI$26)*$FA$24+0.05*$FA$26,0)+IF(O581="sp",0.05*$FA$32*$FA$27*(1-$FA$33)/$FA$30+0.05*$FA$29/$FA$69*$FA$27*(1-$FA$33)-(0.05-INDEX(绊状态确认!V:V,MATCH($G581,绊状态确认!$B:$B,)))*$FA$26,0)+IF(O581="gd",-(0.05-INDEX(绊状态确认!X:X,MATCH($G581,绊状态确认!$B:$B,)))*$FA$32*$FA$27*(1-$FA$33)/$FA$30-(0.05-INDEX(绊状态确认!X:X,MATCH($G581,绊状态确认!$B:$B,)))*$FA$29/$FA$69*$FA$27*(1-$FA$33),0)</f>
        <v>545.83333333333326</v>
      </c>
      <c r="BK581" s="1110">
        <f>IF(O581="vo",$EW$26/$EW$24*0.05+$EW$26*(-HP($EW$62,$EW$65,$EW$64)+HP($EW$62,$EW$65,(1.05-INDEX(绊状态确认!U:U,MATCH($G581,绊状态确认!$B:$B,)))*$EW$64)),0)+IF(O581="sk",-$EW$26/$EW$24*(0.05-INDEX(绊状态确认!W:W,MATCH($G581,绊状态确认!$B:$B,)))+0.05*$EW$29,0)+IF(O581="sp",0.05*$EW$32*$EW$30*(1-$EW$33)-(0.05-INDEX(绊状态确认!V:V,MATCH($G581,绊状态确认!$B:$B,)))*$EW$29,0)+IF(O581="gd",-(0.05-INDEX(绊状态确认!X:X,MATCH($G581,绊状态确认!$B:$B,)))*$EW$32*$EW$30*(1-$EW$33)+$EW$26*(-HP($EW$62,$EW$65,$EW$64)+HP($EW$62,$EW$65,0.95*$EW$64)),0)</f>
        <v>-1780.0000000000005</v>
      </c>
      <c r="BL581" s="1111">
        <f t="shared" si="825"/>
        <v>-1083.3333333333333</v>
      </c>
      <c r="BM581" s="1110">
        <f t="shared" si="826"/>
        <v>-830.55555555555543</v>
      </c>
      <c r="BN581" s="1113">
        <f t="shared" si="827"/>
        <v>3</v>
      </c>
      <c r="BO581" s="1108">
        <f t="shared" si="828"/>
        <v>4507.7214871259994</v>
      </c>
      <c r="BP581" s="1127">
        <f t="shared" si="829"/>
        <v>221.34103209030098</v>
      </c>
      <c r="BQ581" s="1113" t="s">
        <v>132</v>
      </c>
      <c r="BR581" s="1124" t="s">
        <v>168</v>
      </c>
      <c r="BS581" s="1098">
        <f>IF($P581="","N/A",IF($P581=-1,INDEX('卡片raw data'!AX:AX,MATCH($D581,'卡片raw data'!$F:$F,)),0)+IF($L581="party卡",IF($P581=5,INDEX('卡片raw data'!BD:BD,MATCH($D581,'卡片raw data'!$F:$F,)),IF($P581&gt;=3,INDEX('卡片raw data'!BC:BC,MATCH($D581,'卡片raw data'!$F:$F,)),INDEX('卡片raw data'!BB:BB,MATCH($D581,'卡片raw data'!$F:$F,)))),IF(OR(AND($F581="UR",$P581=0),AND($F581="SR",$P581&gt;=0,$P581&lt;=2),AND($F581="R",$P581&gt;=0,$P581&lt;4)),INDEX('卡片raw data'!AZ:AZ,MATCH($D581,'卡片raw data'!$F:$F,)),0)+IF(OR(AND($F581="UR",$P581&gt;=1,$P581&lt;=4),AND($F581="SR",$P581&lt;=4,$P581&gt;=3),AND($F581="R",$P581=4)),INDEX('卡片raw data'!BA:BA,MATCH($D581,'卡片raw data'!$F:$F,)),0)+IF($P581=5,INDEX('卡片raw data'!BB:BB,MATCH($D581,'卡片raw data'!$F:$F,)),0)))</f>
        <v>0.05</v>
      </c>
      <c r="BT581" s="1101">
        <f t="shared" si="830"/>
        <v>3756.4345726050001</v>
      </c>
      <c r="BU581" s="1097">
        <f t="shared" si="831"/>
        <v>184.45086007525089</v>
      </c>
      <c r="BV581" s="1097">
        <f t="shared" si="832"/>
        <v>0</v>
      </c>
      <c r="BW581" s="1112">
        <f t="shared" si="833"/>
        <v>0</v>
      </c>
      <c r="BX581" s="1100">
        <f t="shared" si="834"/>
        <v>3756.4345726050001</v>
      </c>
      <c r="BY581" s="1110">
        <f t="shared" si="835"/>
        <v>0</v>
      </c>
      <c r="BZ581" s="1113" t="s">
        <v>569</v>
      </c>
      <c r="CA581" s="1124"/>
      <c r="CB581" s="1098">
        <f>IF($P581="","N/A",IF($P581=-1,INDEX('卡片raw data'!BE:BE,MATCH($D581,'卡片raw data'!$F:$F,)),0)+IF($L581="party卡",IF($P581=5,INDEX('卡片raw data'!BK:BK,MATCH($D581,'卡片raw data'!$F:$F,)),IF($P581&gt;=3,INDEX('卡片raw data'!BJ:BJ,MATCH($D581,'卡片raw data'!$F:$F,)),INDEX('卡片raw data'!BI:BI,MATCH($D581,'卡片raw data'!$F:$F,)))),IF(OR(AND($F581="UR",$P581=0),AND($F581="SR",$P581&gt;=0,$P581&lt;=2),AND($F581="R",$P581&gt;=0,$P581&lt;4)),INDEX('卡片raw data'!BG:BG,MATCH($D581,'卡片raw data'!$F:$F,)),0)+IF(OR(AND($F581="UR",$P581&gt;=1,$P581&lt;=4),AND($F581="SR",$P581&lt;=4,$P581&gt;=3),AND($F581="R",$P581=4)),INDEX('卡片raw data'!BH:BH,MATCH($D581,'卡片raw data'!$F:$F,)),0)+IF($P581=5,INDEX('卡片raw data'!BI:BI,MATCH($D581,'卡片raw data'!$F:$F,)),0)))</f>
        <v>0</v>
      </c>
      <c r="CC581" s="1101">
        <f t="shared" si="794"/>
        <v>0</v>
      </c>
      <c r="CD581" s="1097">
        <f>IF(BZ581="ap",CB581*(1-$FI$26)*$FB$5/$FB$11*(+IF(CA581="全员",$FA$24,0)+IF(CA581="同作战",$FA$24,0)+IF(CA581="仲间",$FA$24*2/3,0)+IF(CA581="同属性",$FA$24*$FA$37/3,0)+IF(CA581="同年级",$FA$24*$FA$40/3,0)+IF(CA581="同学校",$FA$24*$FA$43/3,0)+IF(CA581="同小队",$FA$24*$FA$46/3,0)+IF(CA581="同type",$FA$24*INDEX($FB$49:$FB$52,MATCH(X581,$FA$49:$FA$52,))/3,0)+IF(CA581="自身",#REF!/3,0)),0)+IF(BZ581="te",CB581*(1-$FI$27)*($FA$20-1)*$FB$7/$FB$13*(+IF(CA581="全员",$FA$19*$FA$24/(1+($FA$20-1)*$FA$19),0)+IF(CA581="同作战",$FA$19*$FA$24/(1+($FA$20-1)*$FA$19),0)+IF(CA581="仲间",$FA$19*$FA$24*2/3/(1+($FA$20-1)*$FA$19),0)+IF(CA581="同属性",$FA$19*$FA$24*$FA$37/3/(1+($FA$20-1)*$FA$19),0)+IF(CA581="同年级",$FA$19*$FA$24*$FA$40/3/(1+($FA$20-1)*$FA$19),0)+IF(CA581="同学校",$FA$19*$FA$24*$FA$43/3/(1+($FA$20-1)*$FA$19),0)+IF(CA581="同小队",$FA$19*$FA$24*$FA$46/3/(1+($FA$20-1)*$FA$19),0)+IF(CA581="同type",$FA$19*$FA$24*INDEX($FB$49:$FB$52,MATCH(X581,$FA$49:$FA$52,))/3/(1+($FA$20-1)*$FA$19),0)+IF(CA581="自身",$FA$19*#REF!/3/(1+(BH581-1)*$BD581),0)),0)</f>
        <v>0</v>
      </c>
      <c r="CE581" s="1097">
        <f t="shared" si="836"/>
        <v>0</v>
      </c>
      <c r="CF581" s="1112">
        <f t="shared" si="795"/>
        <v>0</v>
      </c>
      <c r="CG581" s="1100">
        <f t="shared" si="837"/>
        <v>0</v>
      </c>
      <c r="CH581" s="1110">
        <f t="shared" si="838"/>
        <v>0</v>
      </c>
      <c r="CI581" s="1113" t="s">
        <v>162</v>
      </c>
      <c r="CJ581" s="1168">
        <v>1</v>
      </c>
      <c r="CK581" s="1115" t="s">
        <v>2158</v>
      </c>
      <c r="CL581" s="1169" t="s">
        <v>1940</v>
      </c>
      <c r="CM581" s="1166">
        <v>2.5999999999999999E-2</v>
      </c>
      <c r="CN581" s="1169"/>
      <c r="CO581" s="1169"/>
      <c r="CP581" s="1116">
        <f t="shared" si="839"/>
        <v>13.157119120414286</v>
      </c>
      <c r="CQ581" s="1116">
        <f t="shared" si="840"/>
        <v>18.437681370783999</v>
      </c>
      <c r="CR581" s="1116">
        <f t="shared" si="841"/>
        <v>13.157119120414286</v>
      </c>
      <c r="CS581" s="1118">
        <f t="shared" si="782"/>
        <v>0</v>
      </c>
      <c r="CT581" s="1109">
        <f t="shared" si="783"/>
        <v>0</v>
      </c>
      <c r="CU581" s="1101">
        <f t="shared" si="842"/>
        <v>18.814680342192432</v>
      </c>
      <c r="CV581" s="1108">
        <f t="shared" ref="CV581:CV616" si="870">IF(AND(CK581="技能+",CL581="自身",$DR581=0.11),0,IF(CK581="sp+",CQ581*$FA$27*$FA$32*(1-$FA$33),0)+IF(CK581="ap+",CQ581*$FA$24/(1+$FA$15)*(1-$FI$26),0)+IF(CK581="ap+元气",CQ581*$FA$24/(1+$FA$15)*(1-$FI$26)*$FA$64,0)+IF(CK581="技能+",$FA$26*CQ581/$FA$25,0)+IF(CK581="vo+",$FA$24*CQ581*(1-$FI$26),0)+IF(CK581="sp获得",CQ581*(1-$FA$33)*$FA$27/$FA$69)+IF(CK581="vo获得",CQ581*$FA$22)+IF(CK581="ct+",$FA$24/(1+($FA$20-1)*$FA$19)*($FA$20-1)*CQ581*(1-$FI$27))+IF(CK581="核弹",CQ581*(1+$FA$21)*(1-$FI$29))+IF(CK581="ct值+",$FA$24/(1+($FA$20-1)*$FA$19)*$FA$19*CQ581*(1-$FI$28))+IF(CK581="自身ct时上限突破",CQ581*$FI$24*$FI$26*BD581,0))</f>
        <v>0</v>
      </c>
      <c r="CW581" s="1097">
        <f t="shared" si="843"/>
        <v>18.814680342192432</v>
      </c>
      <c r="CX581" s="1097">
        <f t="shared" si="844"/>
        <v>18.814680342192432</v>
      </c>
      <c r="CY581" s="1110">
        <f t="shared" si="845"/>
        <v>18.814680342192432</v>
      </c>
      <c r="CZ581" s="1113"/>
      <c r="DA581" s="1114"/>
      <c r="DB581" s="1115" t="s">
        <v>569</v>
      </c>
      <c r="DC581" s="1115"/>
      <c r="DD581" s="1119"/>
      <c r="DE581" s="1092"/>
      <c r="DF581" s="1092"/>
      <c r="DG581" s="1116">
        <f t="shared" si="846"/>
        <v>0</v>
      </c>
      <c r="DH581" s="1116">
        <f t="shared" si="847"/>
        <v>0</v>
      </c>
      <c r="DI581" s="1116">
        <f t="shared" si="848"/>
        <v>0</v>
      </c>
      <c r="DJ581" s="1118">
        <f t="shared" si="790"/>
        <v>0</v>
      </c>
      <c r="DK581" s="1109">
        <f t="shared" si="791"/>
        <v>0</v>
      </c>
      <c r="DL581" s="1101">
        <f t="shared" si="849"/>
        <v>0</v>
      </c>
      <c r="DM581" s="1097">
        <f t="shared" si="850"/>
        <v>0</v>
      </c>
      <c r="DN581" s="1097">
        <f t="shared" si="851"/>
        <v>0</v>
      </c>
      <c r="DO581" s="1097">
        <f t="shared" si="852"/>
        <v>0</v>
      </c>
      <c r="DP581" s="1110">
        <f t="shared" si="853"/>
        <v>0</v>
      </c>
      <c r="DQ581" s="1167" t="s">
        <v>4739</v>
      </c>
      <c r="DR581" s="1120">
        <f t="shared" si="792"/>
        <v>0.3</v>
      </c>
      <c r="DS581" s="1124">
        <v>5</v>
      </c>
      <c r="DT581" s="1124" t="s">
        <v>2127</v>
      </c>
      <c r="DU581" s="1093" t="s">
        <v>2145</v>
      </c>
      <c r="DV581" s="1098">
        <f>IF($P581="","N/A",IF(P581=-1,INDEX('卡片raw data'!AN:AN,MATCH(D581,'卡片raw data'!$F:$F,)),0)+IF(AND(L581&lt;&gt;"party卡",P581&lt;=2,P581&gt;=0),INDEX('卡片raw data'!AP:AP,MATCH(D581,'卡片raw data'!$F:$F,)),0)+IF(OR(AND(L581="party卡",P581&lt;=1),AND(P581&lt;=4,L581&lt;&gt;"party卡",P581&gt;=3)),INDEX('卡片raw data'!AQ:AQ,MATCH(D581,'卡片raw data'!$F:$F,)),0)+IF(OR(P581=5,AND(L581="party卡",P581&gt;=2)),INDEX('卡片raw data'!AR:AR,MATCH(D581,'卡片raw data'!$F:$F,)),0))</f>
        <v>0.04</v>
      </c>
      <c r="DW581" s="1098">
        <f t="shared" si="854"/>
        <v>0.3</v>
      </c>
      <c r="DX581" s="1098">
        <f t="shared" si="855"/>
        <v>0.3</v>
      </c>
      <c r="DY581" s="1098">
        <f t="shared" si="856"/>
        <v>0.02</v>
      </c>
      <c r="DZ581" s="1098">
        <f t="shared" si="857"/>
        <v>1.7299999999999999E-2</v>
      </c>
      <c r="EA581" s="1098">
        <f t="shared" si="858"/>
        <v>1.5493782552083326E-2</v>
      </c>
      <c r="EB581" s="1121">
        <f t="shared" si="859"/>
        <v>0</v>
      </c>
      <c r="EC581" s="1101">
        <f t="shared" si="860"/>
        <v>848.4848484848485</v>
      </c>
      <c r="ED581" s="1097">
        <f t="shared" si="861"/>
        <v>393.18181818181819</v>
      </c>
      <c r="EE581" s="1110">
        <f t="shared" si="775"/>
        <v>848.4848484848485</v>
      </c>
      <c r="EF581" s="1113" t="s">
        <v>569</v>
      </c>
      <c r="EG581" s="1120">
        <f t="shared" si="793"/>
        <v>0.3</v>
      </c>
      <c r="EH581" s="1124"/>
      <c r="EI581" s="1124"/>
      <c r="EJ581" s="1124"/>
      <c r="EK581" s="1097">
        <f>IF($P581="","N/A",IF(P581=-1,INDEX('卡片raw data'!AS:AS,MATCH(D581,'卡片raw data'!$F:$F,)),0)+IF(AND(L581&lt;&gt;"party卡",P581&lt;=2,P581&gt;=0),INDEX('卡片raw data'!AU:AU,MATCH(D581,'卡片raw data'!$F:$F,)),0)+IF(OR(AND(L581="party卡",P581&lt;=1),AND(P581&lt;=4,L581&lt;&gt;"party卡",P581&gt;=3)),INDEX('卡片raw data'!AV:AV,MATCH(D581,'卡片raw data'!$F:$F,)),0)+IF(OR(P581=5,AND(L581="party卡",P581&gt;=2)),INDEX('卡片raw data'!AW:AW,MATCH(D581,'卡片raw data'!$F:$F,)),0))</f>
        <v>0</v>
      </c>
      <c r="EL581" s="1098">
        <f t="shared" si="862"/>
        <v>0.3</v>
      </c>
      <c r="EM581" s="1098">
        <f t="shared" si="863"/>
        <v>0.3</v>
      </c>
      <c r="EN581" s="1097">
        <f t="shared" si="864"/>
        <v>0</v>
      </c>
      <c r="EO581" s="1097">
        <f t="shared" si="865"/>
        <v>0</v>
      </c>
      <c r="EP581" s="1098">
        <f t="shared" si="866"/>
        <v>0</v>
      </c>
      <c r="EQ581" s="1121">
        <f t="shared" si="867"/>
        <v>0</v>
      </c>
      <c r="ER581" s="1101">
        <f t="shared" si="868"/>
        <v>0</v>
      </c>
      <c r="ES581" s="1097">
        <f t="shared" si="869"/>
        <v>0</v>
      </c>
      <c r="ET581" s="1122">
        <f t="shared" si="776"/>
        <v>0</v>
      </c>
    </row>
    <row r="582" spans="2:150" ht="16.5" customHeight="1">
      <c r="B582" s="1123" t="str">
        <f>INDEX('卡片raw data'!B:B,MATCH($D582,'卡片raw data'!$F:$F,))</f>
        <v>感恩米</v>
      </c>
      <c r="C582" s="1025" t="s">
        <v>4732</v>
      </c>
      <c r="D582" s="408">
        <v>579</v>
      </c>
      <c r="E582" s="1164">
        <v>402113001</v>
      </c>
      <c r="F582" s="1090" t="str">
        <f>INDEX('卡片raw data'!C:C,MATCH($D582,'卡片raw data'!$F:$F,))</f>
        <v>UR</v>
      </c>
      <c r="G582" s="1026" t="s">
        <v>4733</v>
      </c>
      <c r="H582" s="411">
        <f>IFERROR(INDEX(绊状态确认!C:C,MATCH($G582,绊状态确认!$B:$B,)),"")</f>
        <v>211</v>
      </c>
      <c r="I582" s="1124" t="str">
        <f>IFERROR(INDEX(绊状态确认!D:D,MATCH($G582,绊状态确认!$B:$B,)),"")</f>
        <v>虹</v>
      </c>
      <c r="J582" s="1124" t="str">
        <f>IFERROR(INDEX(绊状态确认!E:E,MATCH($G582,绊状态确认!$B:$B,)),"")</f>
        <v>3年级</v>
      </c>
      <c r="K582" s="451" t="str">
        <f>IFERROR(INDEX(绊状态确认!F:F,MATCH($G582,绊状态确认!$B:$B,)),"")</f>
        <v>R3BIRTH</v>
      </c>
      <c r="L582" s="1094" t="str">
        <f>INDEX('卡片raw data'!E:E,MATCH($D582,'卡片raw data'!$F:$F,))</f>
        <v>卡池卡</v>
      </c>
      <c r="M582" s="1065">
        <v>44519</v>
      </c>
      <c r="N582" s="1027">
        <v>52</v>
      </c>
      <c r="O582" s="1091" t="str">
        <f>INDEX('卡片raw data'!D:D,MATCH($D582,'卡片raw data'!$F:$F,))</f>
        <v>sk</v>
      </c>
      <c r="P582" s="1126">
        <v>5</v>
      </c>
      <c r="Q582" s="1095">
        <f t="shared" si="796"/>
        <v>77273.914506851244</v>
      </c>
      <c r="R582" s="1096">
        <f t="shared" si="797"/>
        <v>0.89800000000000002</v>
      </c>
      <c r="S582" s="1097">
        <f t="shared" si="798"/>
        <v>21315.134972306183</v>
      </c>
      <c r="T582" s="1098">
        <f t="shared" si="799"/>
        <v>1.0649999999999999</v>
      </c>
      <c r="U582" s="1099">
        <f t="shared" si="800"/>
        <v>10.89141331580357</v>
      </c>
      <c r="V582" s="1100">
        <f t="shared" si="801"/>
        <v>80140.813190684639</v>
      </c>
      <c r="W582" s="1101">
        <f t="shared" si="802"/>
        <v>4507.7214871259994</v>
      </c>
      <c r="X582" s="1096">
        <f t="shared" si="803"/>
        <v>5.1999999999999998E-2</v>
      </c>
      <c r="Y582" s="1097">
        <f t="shared" si="804"/>
        <v>866.89868383339217</v>
      </c>
      <c r="Z582" s="1102">
        <f t="shared" si="805"/>
        <v>10.89141331580357</v>
      </c>
      <c r="AA582" s="1103">
        <f t="shared" si="806"/>
        <v>5374.6201709593915</v>
      </c>
      <c r="AB582" s="1101">
        <f t="shared" si="807"/>
        <v>17074.29479177266</v>
      </c>
      <c r="AC582" s="1104">
        <f t="shared" si="808"/>
        <v>0.19800000000000001</v>
      </c>
      <c r="AD582" s="1105">
        <f t="shared" si="809"/>
        <v>2.1769318181818181E-2</v>
      </c>
      <c r="AE582" s="1128">
        <f t="shared" si="810"/>
        <v>11.953757704745847</v>
      </c>
      <c r="AF582" s="1130">
        <f t="shared" si="811"/>
        <v>0</v>
      </c>
      <c r="AG582" s="1097">
        <f t="shared" si="812"/>
        <v>0</v>
      </c>
      <c r="AH582" s="1097">
        <f t="shared" si="813"/>
        <v>0</v>
      </c>
      <c r="AI582" s="1097">
        <f t="shared" si="814"/>
        <v>0</v>
      </c>
      <c r="AJ582" s="1097">
        <f t="shared" si="815"/>
        <v>0</v>
      </c>
      <c r="AK582" s="1129">
        <f t="shared" si="816"/>
        <v>0</v>
      </c>
      <c r="AL582" s="1042">
        <f>IF($P582="","N/A",(IF($P582=-1,INDEX('卡片raw data'!S:S,MATCH($D582,'卡片raw data'!$F:$F,)),0)+IF($P582=0,INDEX('卡片raw data'!V:V,MATCH($D582,'卡片raw data'!$F:$F,)),0)+IF($P582=1,INDEX('卡片raw data'!Y:Y,MATCH($D582,'卡片raw data'!$F:$F,)),0)+IF($P582=2,INDEX('卡片raw data'!AB:AB,MATCH($D582,'卡片raw data'!$F:$F,)),0)+IF($P582=3,INDEX('卡片raw data'!AE:AE,MATCH($D582,'卡片raw data'!$F:$F,)),0)+IF($P582=4,INDEX('卡片raw data'!AH:AH,MATCH($D582,'卡片raw data'!$F:$F,)),0)+IF($P582=5,INDEX('卡片raw data'!AK:AK,MATCH($D582,'卡片raw data'!$F:$F,)),0)+INDEX('卡片raw data'!S:S,MATCH($D582,'卡片raw data'!$F:$F,))*(IF($F582="UR",0.04,0.033))*(IF($F582="UR",INDEX(绊状态确认!$S:$S,MATCH($G582,绊状态确认!$B:$B,))/2-40)+IF($F582="SR",INDEX(绊状态确认!$R:$R,MATCH($G582,绊状态确认!$B:$B,))/4-15))+IF($F582="R",INDEX(绊状态确认!$Q:$Q,MATCH($G582,绊状态确认!$B:$B,))/6-40/6)))*(INDEX(绊状态确认!$H:$H,MATCH($G582,绊状态确认!$B:$B,))+INDEX(绊状态确认!J:J,MATCH($G582,绊状态确认!$B:$B,)))</f>
        <v>15720.918199999998</v>
      </c>
      <c r="AM582" s="1035">
        <f>IF($P582="","N/A",(IF($P582=-1,INDEX('卡片raw data'!T:T,MATCH($D582,'卡片raw data'!$F:$F,)),0)+IF($P582=0,INDEX('卡片raw data'!W:W,MATCH($D582,'卡片raw data'!$F:$F,)),0)+IF($P582=1,INDEX('卡片raw data'!Z:Z,MATCH($D582,'卡片raw data'!$F:$F,)),0)+IF($P582=2,INDEX('卡片raw data'!AC:AC,MATCH($D582,'卡片raw data'!$F:$F,)),0)+IF($P582=3,INDEX('卡片raw data'!AF:AF,MATCH($D582,'卡片raw data'!$F:$F,)),0)+IF($P582=4,INDEX('卡片raw data'!AI:AI,MATCH($D582,'卡片raw data'!$F:$F,)),0)+IF($P582=5,INDEX('卡片raw data'!AL:AL,MATCH($D582,'卡片raw data'!$F:$F,)),0)+INDEX('卡片raw data'!T:T,MATCH($D582,'卡片raw data'!$F:$F,))*(IF($F582="UR",0.04,0.033))*(IF($F582="UR",INDEX(绊状态确认!$S:$S,MATCH($G582,绊状态确认!$B:$B,))/2-40)+IF($F582="SR",INDEX(绊状态确认!$R:$R,MATCH($G582,绊状态确认!$B:$B,))/4-15))+IF($F582="R",INDEX(绊状态确认!$Q:$Q,MATCH($G582,绊状态确认!$B:$B,))/6-40/6)))*(INDEX(绊状态确认!$H:$H,MATCH($G582,绊状态确认!$B:$B,))+INDEX(绊状态确认!K:K,MATCH($G582,绊状态确认!$B:$B,)))</f>
        <v>5612.1897999999992</v>
      </c>
      <c r="AN582" s="1043">
        <f>IF($P582="","N/A",(IF($P582=-1,INDEX('卡片raw data'!U:U,MATCH($D582,'卡片raw data'!$F:$F,)),0)+IF($P582=0,INDEX('卡片raw data'!X:X,MATCH($D582,'卡片raw data'!$F:$F,)),0)+IF($P582=1,INDEX('卡片raw data'!AA:AA,MATCH($D582,'卡片raw data'!$F:$F,)),0)+IF($P582=2,INDEX('卡片raw data'!AD:AD,MATCH($D582,'卡片raw data'!$F:$F,)),0)+IF($P582=3,INDEX('卡片raw data'!AG:AG,MATCH($D582,'卡片raw data'!$F:$F,)),0)+IF($P582=4,INDEX('卡片raw data'!AJ:AJ,MATCH($D582,'卡片raw data'!$F:$F,)),0)+IF($P582=5,INDEX('卡片raw data'!AM:AM,MATCH($D582,'卡片raw data'!$F:$F,)),0)+INDEX('卡片raw data'!U:U,MATCH($D582,'卡片raw data'!$F:$F,))*(IF($F582="UR",0.04,0.033))*(IF($F582="UR",INDEX(绊状态确认!$S:$S,MATCH($G582,绊状态确认!$B:$B,))/2-40)+IF($F582="SR",INDEX(绊状态确认!$R:$R,MATCH($G582,绊状态确认!$B:$B,))/4-15))+IF($F582="R",INDEX(绊状态确认!$Q:$Q,MATCH($G582,绊状态确认!$B:$B,))/6-40/6)))*(INDEX(绊状态确认!$H:$H,MATCH($G582,绊状态确认!$B:$B,))+INDEX(绊状态确认!L:L,MATCH($G582,绊状态确认!$B:$B,)))</f>
        <v>16093.569799999999</v>
      </c>
      <c r="AO582" s="1167">
        <f t="shared" si="817"/>
        <v>1</v>
      </c>
      <c r="AP582" s="1044">
        <f>1+(INDEX(绊状态确认!$T:$T,MATCH($G582,绊状态确认!$B:$B,))+0.2)*$AO582</f>
        <v>1.2749999999999999</v>
      </c>
      <c r="AQ582" s="1035">
        <f t="shared" si="818"/>
        <v>44517.410274999995</v>
      </c>
      <c r="AR582" s="1035">
        <f>(AM582*(1+$EX$9)+$EX$35)*(1+(INDEX(绊状态确认!$T:$T,MATCH($G582,绊状态确认!$B:$B,))+0.2)*AO582)*IF(J582=$FF$17,1+$FE$17,1)*IF(I582=$FF$14,1+$FE$14,1)</f>
        <v>10165.319094749999</v>
      </c>
      <c r="AS582" s="1035">
        <f>(AN582*(1+$EX$10)+$EX$36)*(1+(INDEX(绊状态确认!$T:$T,MATCH($G582,绊状态确认!$B:$B,))+0.2)*AO582)*IF(J582=$FF$17,1+$FE$17,1)*IF(I582=$FF$14,1+$FE$14,1)</f>
        <v>27575.196719249994</v>
      </c>
      <c r="AT582" s="1165">
        <f>IF(AND(INDEX('卡片raw data'!AK:AK,MATCH($D582,'卡片raw data'!$F:$F,))&lt;INDEX('卡片raw data'!AM:AM,MATCH($D582,'卡片raw data'!$F:$F,)),INDEX('卡片raw data'!AL:AL,MATCH($D582,'卡片raw data'!$F:$F,))&lt;INDEX('卡片raw data'!AM:AM,MATCH($D582,'卡片raw data'!$F:$F,))),1,0)</f>
        <v>1</v>
      </c>
      <c r="AU582" s="1031">
        <f>MIN(AT582*0.15+AS582*0.00003+INDEX(绊状态确认!M:M,MATCH($G582,绊状态确认!$B:$B,)),1)</f>
        <v>1</v>
      </c>
      <c r="AV582" s="1045">
        <f>(INDEX(绊状态确认!$N:$N,MATCH($G582,绊状态确认!$B:$B,))+1.5)*$EW$21</f>
        <v>2.59</v>
      </c>
      <c r="AW582" s="1038">
        <f t="shared" si="819"/>
        <v>58729.168553781077</v>
      </c>
      <c r="AX582" s="1035">
        <f t="shared" si="820"/>
        <v>866.89868383339194</v>
      </c>
      <c r="AY582" s="483">
        <f t="shared" si="821"/>
        <v>59596.067237614472</v>
      </c>
      <c r="AZ582" s="429">
        <f t="shared" si="822"/>
        <v>33255.790489999999</v>
      </c>
      <c r="BA582" s="431">
        <f t="shared" si="823"/>
        <v>39906.948587999999</v>
      </c>
      <c r="BB582" s="1035">
        <f>(AM582*(1+$FB$9)+$FB$35)*(1+(INDEX(绊状态确认!$T:$T,MATCH($G582,绊状态确认!$B:$B,))+0.2)*AO582)*IF(J582=$FF$17,1+$FE$17,1)*IF(I582=$FF$14,1+$FE$14,1)*(1+$FE$15)</f>
        <v>10165.319094749999</v>
      </c>
      <c r="BC582" s="1035">
        <f>(AN582*(1+$FB$10)+$FB$36)*(1+(INDEX(绊状态确认!$T:$T,MATCH($G582,绊状态确认!$B:$B,))+0.2)*AO582)*IF(J582=$FF$17,1+$FE$17,1)*IF(I582=$FF$14,1+$FE$14,1)*(1+$FE$15)</f>
        <v>27575.196719249994</v>
      </c>
      <c r="BD582" s="481">
        <f>MIN(AT582*0.15+BC582*0.00003+INDEX(绊状态确认!M:M,MATCH($G582,绊状态确认!$B:$B,)),1)</f>
        <v>1</v>
      </c>
      <c r="BE582" s="432">
        <f>(INDEX(绊状态确认!$N:$N,MATCH($G582,绊状态确认!$B:$B,))+1.5)</f>
        <v>1.85</v>
      </c>
      <c r="BF582" s="646">
        <f t="array" ref="BF582">SUMPRODUCT(IF(AZ582*AP582*$FI$16:$FI$23*$FA$22&gt;=$FI$24,$FI$24,AZ582*AP582*$FI$16:$FI$23*$FA$22),$FJ$16:$FJ$23)</f>
        <v>58472.600423617492</v>
      </c>
      <c r="BG582" s="1047">
        <f t="array" ref="BG582">SUMPRODUCT(IF(BE582*AZ582*AP582*$FI$16:$FI$23*$FA$22&gt;=$FI$24,$FI$24,BE582*AZ582*AP582*$FI$16:$FI$23*$FA$22),$FJ$16:$FJ$23)</f>
        <v>60000</v>
      </c>
      <c r="BH582" s="1046">
        <f t="shared" si="824"/>
        <v>20000</v>
      </c>
      <c r="BI582" s="1048">
        <f>IF(O582="vo",$EW$26/$EW$24*0.05,0)+IF(O582="sk",-$EW$26/$EW$24*(0.05-INDEX(绊状态确认!W:W,MATCH($G582,绊状态确认!$B:$B,)))+0.05*$EW$28,0)+IF(O582="sp",0.05*$EW$32*$EW$30*(1-$EW$33)-(0.05-INDEX(绊状态确认!V:V,MATCH($G582,绊状态确认!$B:$B,)))*$EW$28,0)+IF(O582="gd",-(0.05-INDEX(绊状态确认!X:X,MATCH($G582,绊状态确认!$B:$B,)))*$EW$32*$EW$30*(1-$EW$33),0)</f>
        <v>-6253.6726349699375</v>
      </c>
      <c r="BJ582" s="1097">
        <f>IF(O582="vo",0.05*(1-$FI$26)*$FA$24,0)+IF(O582="sk",-(0.05-INDEX(绊状态确认!W:W,MATCH($G582,绊状态确认!$B:$B,)))*(1-$FI$26)*$FA$24+0.05*$FA$26,0)+IF(O582="sp",0.05*$FA$32*$FA$27*(1-$FA$33)/$FA$30+0.05*$FA$29/$FA$69*$FA$27*(1-$FA$33)-(0.05-INDEX(绊状态确认!V:V,MATCH($G582,绊状态确认!$B:$B,)))*$FA$26,0)+IF(O582="gd",-(0.05-INDEX(绊状态确认!X:X,MATCH($G582,绊状态确认!$B:$B,)))*$FA$32*$FA$27*(1-$FA$33)/$FA$30-(0.05-INDEX(绊状态确认!X:X,MATCH($G582,绊状态确认!$B:$B,)))*$FA$29/$FA$69*$FA$27*(1-$FA$33),0)</f>
        <v>20.459096812499922</v>
      </c>
      <c r="BK582" s="1046">
        <f>IF(O582="vo",$EW$26/$EW$24*0.05+$EW$26*(-HP($EW$62,$EW$65,$EW$64)+HP($EW$62,$EW$65,(1.05-INDEX(绊状态确认!U:U,MATCH($G582,绊状态确认!$B:$B,)))*$EW$64)),0)+IF(O582="sk",-$EW$26/$EW$24*(0.05-INDEX(绊状态确认!W:W,MATCH($G582,绊状态确认!$B:$B,)))+0.05*$EW$29,0)+IF(O582="sp",0.05*$EW$32*$EW$30*(1-$EW$33)-(0.05-INDEX(绊状态确认!V:V,MATCH($G582,绊状态确认!$B:$B,)))*$EW$29,0)+IF(O582="gd",-(0.05-INDEX(绊状态确认!X:X,MATCH($G582,绊状态确认!$B:$B,)))*$EW$32*$EW$30*(1-$EW$33)+$EW$26*(-HP($EW$62,$EW$65,$EW$64)+HP($EW$62,$EW$65,0.95*$EW$64)),0)</f>
        <v>-4253.6726349699375</v>
      </c>
      <c r="BL582" s="1048">
        <f t="shared" si="825"/>
        <v>0</v>
      </c>
      <c r="BM582" s="1046">
        <f t="shared" si="826"/>
        <v>0</v>
      </c>
      <c r="BN582" s="1167">
        <f t="shared" si="827"/>
        <v>3</v>
      </c>
      <c r="BO582" s="1035">
        <f t="shared" si="828"/>
        <v>4507.7214871259994</v>
      </c>
      <c r="BP582" s="1043">
        <f t="shared" si="829"/>
        <v>221.34103209030098</v>
      </c>
      <c r="BQ582" s="1167" t="s">
        <v>1940</v>
      </c>
      <c r="BR582" s="1165" t="s">
        <v>2127</v>
      </c>
      <c r="BS582" s="1098">
        <f>IF($P582="","N/A",IF($P582=-1,INDEX('卡片raw data'!AX:AX,MATCH($D582,'卡片raw data'!$F:$F,)),0)+IF($L582="party卡",IF($P582=5,INDEX('卡片raw data'!BD:BD,MATCH($D582,'卡片raw data'!$F:$F,)),IF($P582&gt;=3,INDEX('卡片raw data'!BC:BC,MATCH($D582,'卡片raw data'!$F:$F,)),INDEX('卡片raw data'!BB:BB,MATCH($D582,'卡片raw data'!$F:$F,)))),IF(OR(AND($F582="UR",$P582=0),AND($F582="SR",$P582&gt;=0,$P582&lt;=2),AND($F582="R",$P582&gt;=0,$P582&lt;4)),INDEX('卡片raw data'!AZ:AZ,MATCH($D582,'卡片raw data'!$F:$F,)),0)+IF(OR(AND($F582="UR",$P582&gt;=1,$P582&lt;=4),AND($F582="SR",$P582&lt;=4,$P582&gt;=3),AND($F582="R",$P582=4)),INDEX('卡片raw data'!BA:BA,MATCH($D582,'卡片raw data'!$F:$F,)),0)+IF($P582=5,INDEX('卡片raw data'!BB:BB,MATCH($D582,'卡片raw data'!$F:$F,)),0)))</f>
        <v>7.0000000000000007E-2</v>
      </c>
      <c r="BT582" s="1101">
        <f t="shared" si="830"/>
        <v>5259.008401647</v>
      </c>
      <c r="BU582" s="1097">
        <f t="shared" si="831"/>
        <v>258.2312041053512</v>
      </c>
      <c r="BV582" s="1097">
        <f t="shared" si="832"/>
        <v>0</v>
      </c>
      <c r="BW582" s="1112">
        <f t="shared" si="833"/>
        <v>0</v>
      </c>
      <c r="BX582" s="1100">
        <f t="shared" si="834"/>
        <v>5259.008401647</v>
      </c>
      <c r="BY582" s="1110">
        <f t="shared" si="835"/>
        <v>0</v>
      </c>
      <c r="BZ582" s="1113" t="s">
        <v>569</v>
      </c>
      <c r="CA582" s="1124"/>
      <c r="CB582" s="1098">
        <f>IF($P582="","N/A",IF($P582=-1,INDEX('卡片raw data'!BE:BE,MATCH($D582,'卡片raw data'!$F:$F,)),0)+IF($L582="party卡",IF($P582=5,INDEX('卡片raw data'!BK:BK,MATCH($D582,'卡片raw data'!$F:$F,)),IF($P582&gt;=3,INDEX('卡片raw data'!BJ:BJ,MATCH($D582,'卡片raw data'!$F:$F,)),INDEX('卡片raw data'!BI:BI,MATCH($D582,'卡片raw data'!$F:$F,)))),IF(OR(AND($F582="UR",$P582=0),AND($F582="SR",$P582&gt;=0,$P582&lt;=2),AND($F582="R",$P582&gt;=0,$P582&lt;4)),INDEX('卡片raw data'!BG:BG,MATCH($D582,'卡片raw data'!$F:$F,)),0)+IF(OR(AND($F582="UR",$P582&gt;=1,$P582&lt;=4),AND($F582="SR",$P582&lt;=4,$P582&gt;=3),AND($F582="R",$P582=4)),INDEX('卡片raw data'!BH:BH,MATCH($D582,'卡片raw data'!$F:$F,)),0)+IF($P582=5,INDEX('卡片raw data'!BI:BI,MATCH($D582,'卡片raw data'!$F:$F,)),0)))</f>
        <v>0</v>
      </c>
      <c r="CC582" s="1101">
        <f t="shared" si="794"/>
        <v>0</v>
      </c>
      <c r="CD582" s="1097">
        <f>IF(BZ582="ap",CB582*(1-$FI$26)*$FB$5/$FB$11*(+IF(CA582="全员",$FA$24,0)+IF(CA582="同作战",$FA$24,0)+IF(CA582="仲间",$FA$24*2/3,0)+IF(CA582="同属性",$FA$24*$FA$37/3,0)+IF(CA582="同年级",$FA$24*$FA$40/3,0)+IF(CA582="同学校",$FA$24*$FA$43/3,0)+IF(CA582="同小队",$FA$24*$FA$46/3,0)+IF(CA582="同type",$FA$24*INDEX($FB$49:$FB$52,MATCH(X582,$FA$49:$FA$52,))/3,0)+IF(CA582="自身",#REF!/3,0)),0)+IF(BZ582="te",CB582*(1-$FI$27)*($FA$20-1)*$FB$7/$FB$13*(+IF(CA582="全员",$FA$19*$FA$24/(1+($FA$20-1)*$FA$19),0)+IF(CA582="同作战",$FA$19*$FA$24/(1+($FA$20-1)*$FA$19),0)+IF(CA582="仲间",$FA$19*$FA$24*2/3/(1+($FA$20-1)*$FA$19),0)+IF(CA582="同属性",$FA$19*$FA$24*$FA$37/3/(1+($FA$20-1)*$FA$19),0)+IF(CA582="同年级",$FA$19*$FA$24*$FA$40/3/(1+($FA$20-1)*$FA$19),0)+IF(CA582="同学校",$FA$19*$FA$24*$FA$43/3/(1+($FA$20-1)*$FA$19),0)+IF(CA582="同小队",$FA$19*$FA$24*$FA$46/3/(1+($FA$20-1)*$FA$19),0)+IF(CA582="同type",$FA$19*$FA$24*INDEX($FB$49:$FB$52,MATCH(X582,$FA$49:$FA$52,))/3/(1+($FA$20-1)*$FA$19),0)+IF(CA582="自身",$FA$19*#REF!/3/(1+(BH582-1)*$BD582),0)),0)</f>
        <v>0</v>
      </c>
      <c r="CE582" s="1097">
        <f t="shared" si="836"/>
        <v>0</v>
      </c>
      <c r="CF582" s="1112">
        <f t="shared" si="795"/>
        <v>0</v>
      </c>
      <c r="CG582" s="1100">
        <f t="shared" si="837"/>
        <v>0</v>
      </c>
      <c r="CH582" s="1110">
        <f t="shared" si="838"/>
        <v>0</v>
      </c>
      <c r="CI582" s="1167" t="s">
        <v>4652</v>
      </c>
      <c r="CJ582" s="1168">
        <v>0.5</v>
      </c>
      <c r="CK582" s="1115" t="s">
        <v>2286</v>
      </c>
      <c r="CL582" s="1115" t="s">
        <v>2127</v>
      </c>
      <c r="CM582" s="1166">
        <v>7.4999999999999997E-2</v>
      </c>
      <c r="CN582" s="1169" t="s">
        <v>2076</v>
      </c>
      <c r="CO582" s="1169">
        <v>1</v>
      </c>
      <c r="CP582" s="1118">
        <f t="shared" si="839"/>
        <v>5.3738839285714289E-2</v>
      </c>
      <c r="CQ582" s="1118">
        <f t="shared" si="840"/>
        <v>5.3738839285714289E-2</v>
      </c>
      <c r="CR582" s="1118">
        <f t="shared" si="841"/>
        <v>0</v>
      </c>
      <c r="CS582" s="1118">
        <f t="shared" si="782"/>
        <v>0</v>
      </c>
      <c r="CT582" s="1109">
        <f t="shared" si="783"/>
        <v>0</v>
      </c>
      <c r="CU582" s="1101">
        <f t="shared" si="842"/>
        <v>7307.5649029996584</v>
      </c>
      <c r="CV582" s="1108">
        <f t="shared" si="870"/>
        <v>352.82623364083435</v>
      </c>
      <c r="CW582" s="1097">
        <f t="shared" si="843"/>
        <v>0</v>
      </c>
      <c r="CX582" s="1097">
        <f t="shared" si="844"/>
        <v>7307.5649029996584</v>
      </c>
      <c r="CY582" s="1110">
        <f t="shared" si="845"/>
        <v>0</v>
      </c>
      <c r="CZ582" s="437"/>
      <c r="DA582" s="438"/>
      <c r="DB582" s="439" t="s">
        <v>4734</v>
      </c>
      <c r="DC582" s="439"/>
      <c r="DD582" s="443"/>
      <c r="DE582" s="1092"/>
      <c r="DF582" s="1092"/>
      <c r="DG582" s="1116">
        <f t="shared" si="846"/>
        <v>0</v>
      </c>
      <c r="DH582" s="1116">
        <f t="shared" si="847"/>
        <v>0</v>
      </c>
      <c r="DI582" s="1116">
        <f t="shared" si="848"/>
        <v>0</v>
      </c>
      <c r="DJ582" s="1118">
        <f t="shared" ref="DJ582:DJ616" si="871">IF(DB582="技能+",IF(DE582="infty",(IF(CZ582="曲开始",DD582*DA582)+IF(OR(CZ582="AC时",CZ582="AC成功"),(1-(1-(1-DA582)^($FM$20+1))/(($FM$20+1)*DA582))*DD582))*(IF(DC582="全员",1)))+IF(DE582&lt;&gt;"infty",DD582*(IF(CZ582="曲开始",DA582*DE582/$FM$19)+IF(OR(CZ582="AC时",CZ582="AC成功"),DE582*IF(DF582&lt;&gt;"",MIN(DF582,DA582*$FM$20),DA582*$FM$20)/$FM$19)+IF(CZ582="切队",DE582*IF(DF582&lt;&gt;"",MIN(DA582*$FM$11,DF582/$FM$19),DA582*$FM$11))+IF(CZ582="ap时",IF(DF582&lt;&gt;"",MIN(DF582/$FM597,IF($O582="sk",$FM$10,$FM$9)*DA582),IF($O582="sk",$FM$10,$FM$9)*DA582)*DE582)+IF(CZ582="ct时",IF(DF582&lt;&gt;"",MIN(DF582/$FM597,$AU582*IF($O582="sk",$FM$10,$FM$9)*DA582),$AU582*IF($O582="sk",$FM$10,$FM$9)*DA582)*DE582))*(IF(DC582="全员",1)+IF(DC582="同作战",IF($O582="sk",$FM$10*3,$FM$9*3))+IF(DC582="同属性",$FM$23/6)+IF(DC582="同年级",$FM$24/6)+IF(DC582="自身",IF($O582="sk",$FM$10,$FM$9)))),0)*$FM$16</f>
        <v>0</v>
      </c>
      <c r="DK582" s="1109">
        <f t="shared" ref="DK582:DK616" si="872">IF(DB582="sp+",IF(DE582="infty",(IF(CZ582="曲开始",DD582*DA582*$FM$28)+IF(OR(CZ582="AC时",CZ582="AC成功"),(1-(1-(1-DA582)^($FM$20+1))/(($FM$20+1)*DA582))*DD582*$FM$28))*(IF(DC582="全员",1)))+IF(DE582&lt;&gt;"infty",DD582*$FM$28*(IF(CZ582="曲开始",DA582*DE582/$FM$19)+IF(OR(CZ582="AC时",CZ582="AC成功"),DE582*IF(DF582&lt;&gt;"",MIN(DF582,DA582*$FM$20),DA582*$FM$20)/$FM$19)+IF(CZ582="切队",DE582*IF(DF582&lt;&gt;"",MIN(DA582*$FM$11,DF582/$FM$19),DA582*$FM$11))+IF(CZ582="ap时",IF(DF582&lt;&gt;"",MIN(DF582/$FM597,IF($O582="sk",$FM$10,$FM$9)*DA582),IF($O582="sk",$FM$10,$FM$9)*DA582)*DE582)+IF(CZ582="ct时",IF(DF582&lt;&gt;"",MIN(DF582/$FM597,$AU582*IF($O582="sk",$FM$10,$FM$9)*DA582),$AU582*IF($O582="sk",$FM$10,$FM$9)*DA582)*DE582))*(IF(DC582="全员",1)+IF(DC582="同作战",IF($O582="sk",$FM$10*3,$FM$9*3))+IF(DC582="同属性",$FM$23/6)+IF(DC582="同年级",$FM$24/6)+IF(DC582="同type",IF(AF582="sp",$FN$6*$FM$9)))),0)+IF(DB582="sp获得",IF(CZ582="AC成功",0,DD582*(IF(DC582="ap",BI582)+IF(DC582="st",BJ582)+IF(DC582="te",BK582)+IF(DC582="sp槽",$EW$77)+IF(DC582="",1))*IF($O582="sk",1,1+(1+$FM$10/$FM$9)*($FM$27-1))*(IF(CZ582="曲开始",DA582/$FM$19)+IF(CZ582="SP发动",IF(DF582&lt;&gt;"",MIN(DF582/$FM$19,DA582*$FM$30/$FM$19),DA582*$FM$30/$FM$19))+IF(CZ582="切队",IF(DF582&lt;&gt;"",MIN(DF582/$FM$19,DA582*$FM$11),DA582*$FM$11))+IF(OR(CZ582="AC时",CZ582="AC成功"),IF(DF582&lt;&gt;"",MIN(DF582/$FM$19,DA582*$FM$20/$FM$19),DA582*$FM$20/$FM$19))+IF(CZ582="ap时",IF(DF582&lt;&gt;"",MIN(DF582/$FM$19,DA582*IF($O582="sk",$FM$10,$FM$9)),DA582*IF($O582="sk",$FM$10,$FM$9)))+IF(CZ582="ct时",IF(DF582&lt;&gt;"",MIN(DF582/$FM$19,DA582*IF($O582="sk",$FM$10,$FM$9)*$AU582),DA582*IF($O582="sk",$FM$10,$FM$9)*$AU582)))))</f>
        <v>0</v>
      </c>
      <c r="DL582" s="1101">
        <f t="shared" si="849"/>
        <v>0</v>
      </c>
      <c r="DM582" s="1097">
        <f t="shared" si="850"/>
        <v>0</v>
      </c>
      <c r="DN582" s="1097">
        <f t="shared" si="851"/>
        <v>0</v>
      </c>
      <c r="DO582" s="1097">
        <f t="shared" si="852"/>
        <v>0</v>
      </c>
      <c r="DP582" s="1110">
        <f t="shared" si="853"/>
        <v>0</v>
      </c>
      <c r="DQ582" s="1167" t="s">
        <v>4741</v>
      </c>
      <c r="DR582" s="1120">
        <f t="shared" si="792"/>
        <v>0.33</v>
      </c>
      <c r="DS582" s="1124">
        <v>3</v>
      </c>
      <c r="DT582" s="1124" t="s">
        <v>2127</v>
      </c>
      <c r="DU582" s="1093" t="s">
        <v>2145</v>
      </c>
      <c r="DV582" s="1098">
        <f>IF($P582="","N/A",IF(P582=-1,INDEX('卡片raw data'!AN:AN,MATCH(D582,'卡片raw data'!$F:$F,)),0)+IF(AND(L582&lt;&gt;"party卡",P582&lt;=2,P582&gt;=0),INDEX('卡片raw data'!AP:AP,MATCH(D582,'卡片raw data'!$F:$F,)),0)+IF(OR(AND(L582="party卡",P582&lt;=1),AND(P582&lt;=4,L582&lt;&gt;"party卡",P582&gt;=3)),INDEX('卡片raw data'!AQ:AQ,MATCH(D582,'卡片raw data'!$F:$F,)),0)+IF(OR(P582=5,AND(L582="party卡",P582&gt;=2)),INDEX('卡片raw data'!AR:AR,MATCH(D582,'卡片raw data'!$F:$F,)),0))</f>
        <v>0.3</v>
      </c>
      <c r="DW582" s="1098">
        <f t="shared" si="854"/>
        <v>0.33</v>
      </c>
      <c r="DX582" s="1098">
        <f t="shared" si="855"/>
        <v>0.33</v>
      </c>
      <c r="DY582" s="1098">
        <f t="shared" si="856"/>
        <v>6.6000000000000003E-2</v>
      </c>
      <c r="DZ582" s="1098">
        <f t="shared" si="857"/>
        <v>5.7090000000000002E-2</v>
      </c>
      <c r="EA582" s="1098">
        <f t="shared" si="858"/>
        <v>0</v>
      </c>
      <c r="EB582" s="1121">
        <f t="shared" si="859"/>
        <v>0</v>
      </c>
      <c r="EC582" s="1101">
        <f t="shared" si="860"/>
        <v>7724.1237962674504</v>
      </c>
      <c r="ED582" s="1097">
        <f t="shared" si="861"/>
        <v>462.27740565719324</v>
      </c>
      <c r="EE582" s="1110">
        <f t="shared" si="775"/>
        <v>7724.1237962674504</v>
      </c>
      <c r="EF582" s="1113" t="s">
        <v>569</v>
      </c>
      <c r="EG582" s="1120">
        <f t="shared" si="793"/>
        <v>0.33</v>
      </c>
      <c r="EH582" s="1124"/>
      <c r="EI582" s="1124"/>
      <c r="EJ582" s="1124"/>
      <c r="EK582" s="1097">
        <f>IF($P582="","N/A",IF(P582=-1,INDEX('卡片raw data'!AS:AS,MATCH(D582,'卡片raw data'!$F:$F,)),0)+IF(AND(L582&lt;&gt;"party卡",P582&lt;=2,P582&gt;=0),INDEX('卡片raw data'!AU:AU,MATCH(D582,'卡片raw data'!$F:$F,)),0)+IF(OR(AND(L582="party卡",P582&lt;=1),AND(P582&lt;=4,L582&lt;&gt;"party卡",P582&gt;=3)),INDEX('卡片raw data'!AV:AV,MATCH(D582,'卡片raw data'!$F:$F,)),0)+IF(OR(P582=5,AND(L582="party卡",P582&gt;=2)),INDEX('卡片raw data'!AW:AW,MATCH(D582,'卡片raw data'!$F:$F,)),0))</f>
        <v>0</v>
      </c>
      <c r="EL582" s="1098">
        <f t="shared" si="862"/>
        <v>0.33</v>
      </c>
      <c r="EM582" s="1098">
        <f t="shared" si="863"/>
        <v>0.33</v>
      </c>
      <c r="EN582" s="1097">
        <f t="shared" si="864"/>
        <v>0</v>
      </c>
      <c r="EO582" s="1097">
        <f t="shared" si="865"/>
        <v>0</v>
      </c>
      <c r="EP582" s="1098">
        <f t="shared" si="866"/>
        <v>0</v>
      </c>
      <c r="EQ582" s="1121">
        <f t="shared" si="867"/>
        <v>0</v>
      </c>
      <c r="ER582" s="1101">
        <f t="shared" si="868"/>
        <v>0</v>
      </c>
      <c r="ES582" s="1097">
        <f t="shared" si="869"/>
        <v>0</v>
      </c>
      <c r="ET582" s="1122">
        <f t="shared" si="776"/>
        <v>0</v>
      </c>
    </row>
    <row r="583" spans="2:150" ht="16.5" customHeight="1">
      <c r="B583" s="1123" t="str">
        <f>INDEX('卡片raw data'!B:B,MATCH($D583,'卡片raw data'!$F:$F,))</f>
        <v>感恩露</v>
      </c>
      <c r="C583" s="1025" t="s">
        <v>4732</v>
      </c>
      <c r="D583" s="408">
        <v>580</v>
      </c>
      <c r="E583" s="1164">
        <v>401093005</v>
      </c>
      <c r="F583" s="1090" t="str">
        <f>INDEX('卡片raw data'!C:C,MATCH($D583,'卡片raw data'!$F:$F,))</f>
        <v>UR</v>
      </c>
      <c r="G583" s="1026" t="s">
        <v>4740</v>
      </c>
      <c r="H583" s="411">
        <f>IFERROR(INDEX(绊状态确认!C:C,MATCH($G583,绊状态确认!$B:$B,)),"")</f>
        <v>109</v>
      </c>
      <c r="I583" s="450" t="str">
        <f>IFERROR(INDEX(绊状态确认!D:D,MATCH($G583,绊状态确认!$B:$B,)),"")</f>
        <v>水</v>
      </c>
      <c r="J583" s="450" t="str">
        <f>IFERROR(INDEX(绊状态确认!E:E,MATCH($G583,绊状态确认!$B:$B,)),"")</f>
        <v>1年级</v>
      </c>
      <c r="K583" s="451" t="str">
        <f>IFERROR(INDEX(绊状态确认!F:F,MATCH($G583,绊状态确认!$B:$B,)),"")</f>
        <v>CYaRon!</v>
      </c>
      <c r="L583" s="1094" t="str">
        <f>INDEX('卡片raw data'!E:E,MATCH($D583,'卡片raw data'!$F:$F,))</f>
        <v>活动卡</v>
      </c>
      <c r="M583" s="1065">
        <v>44519</v>
      </c>
      <c r="N583" s="1027">
        <v>52</v>
      </c>
      <c r="O583" s="1091" t="str">
        <f>INDEX('卡片raw data'!D:D,MATCH($D583,'卡片raw data'!$F:$F,))</f>
        <v>vo</v>
      </c>
      <c r="P583" s="1126">
        <v>5</v>
      </c>
      <c r="Q583" s="1095">
        <f t="shared" si="796"/>
        <v>67423.842633278517</v>
      </c>
      <c r="R583" s="1096">
        <f t="shared" si="797"/>
        <v>0.78300000000000003</v>
      </c>
      <c r="S583" s="1097">
        <f t="shared" si="798"/>
        <v>20735.496627686065</v>
      </c>
      <c r="T583" s="1098">
        <f t="shared" si="799"/>
        <v>1.036</v>
      </c>
      <c r="U583" s="1099">
        <f t="shared" si="800"/>
        <v>-12.596302942857145</v>
      </c>
      <c r="V583" s="1100">
        <f t="shared" si="801"/>
        <v>67109.50464563843</v>
      </c>
      <c r="W583" s="1101">
        <f t="shared" si="802"/>
        <v>5559.5231674553997</v>
      </c>
      <c r="X583" s="1096">
        <f t="shared" si="803"/>
        <v>6.4000000000000001E-2</v>
      </c>
      <c r="Y583" s="1097">
        <f t="shared" si="804"/>
        <v>990.33046260160972</v>
      </c>
      <c r="Z583" s="1102">
        <f t="shared" si="805"/>
        <v>12.403697057142855</v>
      </c>
      <c r="AA583" s="1103">
        <f t="shared" si="806"/>
        <v>6549.8536300570095</v>
      </c>
      <c r="AB583" s="1101">
        <f t="shared" si="807"/>
        <v>9646.6581408272323</v>
      </c>
      <c r="AC583" s="1104">
        <f t="shared" si="808"/>
        <v>0.112</v>
      </c>
      <c r="AD583" s="1105">
        <f t="shared" si="809"/>
        <v>0</v>
      </c>
      <c r="AE583" s="1128">
        <f t="shared" si="810"/>
        <v>0</v>
      </c>
      <c r="AF583" s="1130">
        <f t="shared" si="811"/>
        <v>0</v>
      </c>
      <c r="AG583" s="1097">
        <f t="shared" si="812"/>
        <v>0</v>
      </c>
      <c r="AH583" s="1097">
        <f t="shared" si="813"/>
        <v>0</v>
      </c>
      <c r="AI583" s="1097">
        <f t="shared" si="814"/>
        <v>0</v>
      </c>
      <c r="AJ583" s="1097">
        <f t="shared" si="815"/>
        <v>0</v>
      </c>
      <c r="AK583" s="1129">
        <f t="shared" si="816"/>
        <v>0</v>
      </c>
      <c r="AL583" s="1042">
        <f>IF($P583="","N/A",(IF($P583=-1,INDEX('卡片raw data'!S:S,MATCH($D583,'卡片raw data'!$F:$F,)),0)+IF($P583=0,INDEX('卡片raw data'!V:V,MATCH($D583,'卡片raw data'!$F:$F,)),0)+IF($P583=1,INDEX('卡片raw data'!Y:Y,MATCH($D583,'卡片raw data'!$F:$F,)),0)+IF($P583=2,INDEX('卡片raw data'!AB:AB,MATCH($D583,'卡片raw data'!$F:$F,)),0)+IF($P583=3,INDEX('卡片raw data'!AE:AE,MATCH($D583,'卡片raw data'!$F:$F,)),0)+IF($P583=4,INDEX('卡片raw data'!AH:AH,MATCH($D583,'卡片raw data'!$F:$F,)),0)+IF($P583=5,INDEX('卡片raw data'!AK:AK,MATCH($D583,'卡片raw data'!$F:$F,)),0)+INDEX('卡片raw data'!S:S,MATCH($D583,'卡片raw data'!$F:$F,))*(IF($F583="UR",0.04,0.033))*(IF($F583="UR",INDEX(绊状态确认!$S:$S,MATCH($G583,绊状态确认!$B:$B,))/2-40)+IF($F583="SR",INDEX(绊状态确认!$R:$R,MATCH($G583,绊状态确认!$B:$B,))/4-15))+IF($F583="R",INDEX(绊状态确认!$Q:$Q,MATCH($G583,绊状态确认!$B:$B,))/6-40/6)))*(INDEX(绊状态确认!$H:$H,MATCH($G583,绊状态确认!$B:$B,))+INDEX(绊状态确认!J:J,MATCH($G583,绊状态确认!$B:$B,)))</f>
        <v>14622.558815999999</v>
      </c>
      <c r="AM583" s="1035">
        <f>IF($P583="","N/A",(IF($P583=-1,INDEX('卡片raw data'!T:T,MATCH($D583,'卡片raw data'!$F:$F,)),0)+IF($P583=0,INDEX('卡片raw data'!W:W,MATCH($D583,'卡片raw data'!$F:$F,)),0)+IF($P583=1,INDEX('卡片raw data'!Z:Z,MATCH($D583,'卡片raw data'!$F:$F,)),0)+IF($P583=2,INDEX('卡片raw data'!AC:AC,MATCH($D583,'卡片raw data'!$F:$F,)),0)+IF($P583=3,INDEX('卡片raw data'!AF:AF,MATCH($D583,'卡片raw data'!$F:$F,)),0)+IF($P583=4,INDEX('卡片raw data'!AI:AI,MATCH($D583,'卡片raw data'!$F:$F,)),0)+IF($P583=5,INDEX('卡片raw data'!AL:AL,MATCH($D583,'卡片raw data'!$F:$F,)),0)+INDEX('卡片raw data'!T:T,MATCH($D583,'卡片raw data'!$F:$F,))*(IF($F583="UR",0.04,0.033))*(IF($F583="UR",INDEX(绊状态确认!$S:$S,MATCH($G583,绊状态确认!$B:$B,))/2-40)+IF($F583="SR",INDEX(绊状态确认!$R:$R,MATCH($G583,绊状态确认!$B:$B,))/4-15))+IF($F583="R",INDEX(绊状态确认!$Q:$Q,MATCH($G583,绊状态确认!$B:$B,))/6-40/6)))*(INDEX(绊状态确认!$H:$H,MATCH($G583,绊状态确认!$B:$B,))+INDEX(绊状态确认!K:K,MATCH($G583,绊状态确认!$B:$B,)))</f>
        <v>6500.2079999999987</v>
      </c>
      <c r="AN583" s="1043">
        <f>IF($P583="","N/A",(IF($P583=-1,INDEX('卡片raw data'!U:U,MATCH($D583,'卡片raw data'!$F:$F,)),0)+IF($P583=0,INDEX('卡片raw data'!X:X,MATCH($D583,'卡片raw data'!$F:$F,)),0)+IF($P583=1,INDEX('卡片raw data'!AA:AA,MATCH($D583,'卡片raw data'!$F:$F,)),0)+IF($P583=2,INDEX('卡片raw data'!AD:AD,MATCH($D583,'卡片raw data'!$F:$F,)),0)+IF($P583=3,INDEX('卡片raw data'!AG:AG,MATCH($D583,'卡片raw data'!$F:$F,)),0)+IF($P583=4,INDEX('卡片raw data'!AJ:AJ,MATCH($D583,'卡片raw data'!$F:$F,)),0)+IF($P583=5,INDEX('卡片raw data'!AM:AM,MATCH($D583,'卡片raw data'!$F:$F,)),0)+INDEX('卡片raw data'!U:U,MATCH($D583,'卡片raw data'!$F:$F,))*(IF($F583="UR",0.04,0.033))*(IF($F583="UR",INDEX(绊状态确认!$S:$S,MATCH($G583,绊状态确认!$B:$B,))/2-40)+IF($F583="SR",INDEX(绊状态确认!$R:$R,MATCH($G583,绊状态确认!$B:$B,))/4-15))+IF($F583="R",INDEX(绊状态确认!$Q:$Q,MATCH($G583,绊状态确认!$B:$B,))/6-40/6)))*(INDEX(绊状态确认!$H:$H,MATCH($G583,绊状态确认!$B:$B,))+INDEX(绊状态确认!L:L,MATCH($G583,绊状态确认!$B:$B,)))</f>
        <v>11373.636671999999</v>
      </c>
      <c r="AO583" s="1167">
        <f t="shared" si="817"/>
        <v>1</v>
      </c>
      <c r="AP583" s="1044">
        <f>1+(INDEX(绊状态确认!$T:$T,MATCH($G583,绊状态确认!$B:$B,))+0.2)*$AO583</f>
        <v>1.3</v>
      </c>
      <c r="AQ583" s="1035">
        <f t="shared" si="818"/>
        <v>41634.216892000004</v>
      </c>
      <c r="AR583" s="1035">
        <f>(AM583*(1+$EX$9)+$EX$35)*(1+(INDEX(绊状态确认!$T:$T,MATCH($G583,绊状态确认!$B:$B,))+0.2)*AO583)*IF(J583=$FF$17,1+$FE$17,1)*IF(I583=$FF$14,1+$FE$14,1)</f>
        <v>11576.783919999998</v>
      </c>
      <c r="AS583" s="1035">
        <f>(AN583*(1+$EX$10)+$EX$36)*(1+(INDEX(绊状态确认!$T:$T,MATCH($G583,绊状态确认!$B:$B,))+0.2)*AO583)*IF(J583=$FF$17,1+$FE$17,1)*IF(I583=$FF$14,1+$FE$14,1)</f>
        <v>21059.586824639999</v>
      </c>
      <c r="AT583" s="1165">
        <f>IF(AND(INDEX('卡片raw data'!AK:AK,MATCH($D583,'卡片raw data'!$F:$F,))&lt;INDEX('卡片raw data'!AM:AM,MATCH($D583,'卡片raw data'!$F:$F,)),INDEX('卡片raw data'!AL:AL,MATCH($D583,'卡片raw data'!$F:$F,))&lt;INDEX('卡片raw data'!AM:AM,MATCH($D583,'卡片raw data'!$F:$F,))),1,0)</f>
        <v>0</v>
      </c>
      <c r="AU583" s="1031">
        <f>MIN(AT583*0.15+AS583*0.00003+INDEX(绊状态确认!M:M,MATCH($G583,绊状态确认!$B:$B,)),1)</f>
        <v>0.66178760473919995</v>
      </c>
      <c r="AV583" s="1045">
        <f>(INDEX(绊状态确认!$N:$N,MATCH($G583,绊状态确认!$B:$B,))+1.5)*$EW$21</f>
        <v>2.6599999999999997</v>
      </c>
      <c r="AW583" s="1038">
        <f t="shared" si="819"/>
        <v>45376.46829342156</v>
      </c>
      <c r="AX583" s="1035">
        <f t="shared" si="820"/>
        <v>990.33046260160961</v>
      </c>
      <c r="AY583" s="483">
        <f t="shared" si="821"/>
        <v>46366.79875602317</v>
      </c>
      <c r="AZ583" s="1106">
        <f t="shared" si="822"/>
        <v>31113.989691199997</v>
      </c>
      <c r="BA583" s="1108">
        <f t="shared" si="823"/>
        <v>37336.787629439998</v>
      </c>
      <c r="BB583" s="1035">
        <f>(AM583*(1+$FB$9)+$FB$35)*(1+(INDEX(绊状态确认!$T:$T,MATCH($G583,绊状态确认!$B:$B,))+0.2)*AO583)*IF(J583=$FF$17,1+$FE$17,1)*IF(I583=$FF$14,1+$FE$14,1)*(1+$FE$15)</f>
        <v>11576.783919999998</v>
      </c>
      <c r="BC583" s="1035">
        <f>(AN583*(1+$FB$10)+$FB$36)*(1+(INDEX(绊状态确认!$T:$T,MATCH($G583,绊状态确认!$B:$B,))+0.2)*AO583)*IF(J583=$FF$17,1+$FE$17,1)*IF(I583=$FF$14,1+$FE$14,1)*(1+$FE$15)</f>
        <v>21059.586824639999</v>
      </c>
      <c r="BD583" s="481">
        <f>MIN(AT583*0.15+BC583*0.00003+INDEX(绊状态确认!M:M,MATCH($G583,绊状态确认!$B:$B,)),1)</f>
        <v>0.66178760473919995</v>
      </c>
      <c r="BE583" s="1109">
        <f>(INDEX(绊状态确认!$N:$N,MATCH($G583,绊状态确认!$B:$B,))+1.5)</f>
        <v>1.9</v>
      </c>
      <c r="BF583" s="646">
        <f t="array" ref="BF583">SUMPRODUCT(IF(AZ583*AP583*$FI$16:$FI$23*$FA$22&gt;=$FI$24,$FI$24,AZ583*AP583*$FI$16:$FI$23*$FA$22),$FJ$16:$FJ$23)</f>
        <v>57437.538897236795</v>
      </c>
      <c r="BG583" s="1047">
        <f t="array" ref="BG583">SUMPRODUCT(IF(BE583*AZ583*AP583*$FI$16:$FI$23*$FA$22&gt;=$FI$24,$FI$24,BE583*AZ583*AP583*$FI$16:$FI$23*$FA$22),$FJ$16:$FJ$23)</f>
        <v>60000</v>
      </c>
      <c r="BH583" s="1046">
        <f t="shared" si="824"/>
        <v>19711.114630890606</v>
      </c>
      <c r="BI583" s="1048">
        <f>IF(O583="vo",$EW$26/$EW$24*0.05,0)+IF(O583="sk",-$EW$26/$EW$24*(0.05-INDEX(绊状态确认!W:W,MATCH($G583,绊状态确认!$B:$B,)))+0.05*$EW$28,0)+IF(O583="sp",0.05*$EW$32*$EW$30*(1-$EW$33)-(0.05-INDEX(绊状态确认!V:V,MATCH($G583,绊状态确认!$B:$B,)))*$EW$28,0)+IF(O583="gd",-(0.05-INDEX(绊状态确认!X:X,MATCH($G583,绊状态确认!$B:$B,)))*$EW$32*$EW$30*(1-$EW$33),0)</f>
        <v>7726.3029277443748</v>
      </c>
      <c r="BJ583" s="1097">
        <f>IF(O583="vo",0.05*(1-$FI$26)*$FA$24,0)+IF(O583="sk",-(0.05-INDEX(绊状态确认!W:W,MATCH($G583,绊状态确认!$B:$B,)))*(1-$FI$26)*$FA$24+0.05*$FA$26,0)+IF(O583="sp",0.05*$FA$32*$FA$27*(1-$FA$33)/$FA$30+0.05*$FA$29/$FA$69*$FA$27*(1-$FA$33)-(0.05-INDEX(绊状态确认!V:V,MATCH($G583,绊状态确认!$B:$B,)))*$FA$26,0)+IF(O583="gd",-(0.05-INDEX(绊状态确认!X:X,MATCH($G583,绊状态确认!$B:$B,)))*$FA$32*$FA$27*(1-$FA$33)/$FA$30-(0.05-INDEX(绊状态确认!X:X,MATCH($G583,绊状态确认!$B:$B,)))*$FA$29/$FA$69*$FA$27*(1-$FA$33),0)</f>
        <v>393.93433687500004</v>
      </c>
      <c r="BK583" s="1046">
        <f>IF(O583="vo",$EW$26/$EW$24*0.05+$EW$26*(-HP($EW$62,$EW$65,$EW$64)+HP($EW$62,$EW$65,(1.05-INDEX(绊状态确认!U:U,MATCH($G583,绊状态确认!$B:$B,)))*$EW$64)),0)+IF(O583="sk",-$EW$26/$EW$24*(0.05-INDEX(绊状态确认!W:W,MATCH($G583,绊状态确认!$B:$B,)))+0.05*$EW$29,0)+IF(O583="sp",0.05*$EW$32*$EW$30*(1-$EW$33)-(0.05-INDEX(绊状态确认!V:V,MATCH($G583,绊状态确认!$B:$B,)))*$EW$29,0)+IF(O583="gd",-(0.05-INDEX(绊状态确认!X:X,MATCH($G583,绊状态确认!$B:$B,)))*$EW$32*$EW$30*(1-$EW$33)+$EW$26*(-HP($EW$62,$EW$65,$EW$64)+HP($EW$62,$EW$65,0.95*$EW$64)),0)</f>
        <v>6421.6344775026746</v>
      </c>
      <c r="BL583" s="1048">
        <f t="shared" si="825"/>
        <v>0</v>
      </c>
      <c r="BM583" s="1046">
        <f t="shared" si="826"/>
        <v>0</v>
      </c>
      <c r="BN583" s="1167">
        <f t="shared" si="827"/>
        <v>3</v>
      </c>
      <c r="BO583" s="1035">
        <f t="shared" si="828"/>
        <v>4507.7214871259994</v>
      </c>
      <c r="BP583" s="1043">
        <f t="shared" si="829"/>
        <v>221.34103209030098</v>
      </c>
      <c r="BQ583" s="1167" t="s">
        <v>1940</v>
      </c>
      <c r="BR583" s="1165" t="s">
        <v>2075</v>
      </c>
      <c r="BS583" s="1098">
        <f>IF($P583="","N/A",IF($P583=-1,INDEX('卡片raw data'!AX:AX,MATCH($D583,'卡片raw data'!$F:$F,)),0)+IF($L583="party卡",IF($P583=5,INDEX('卡片raw data'!BD:BD,MATCH($D583,'卡片raw data'!$F:$F,)),IF($P583&gt;=3,INDEX('卡片raw data'!BC:BC,MATCH($D583,'卡片raw data'!$F:$F,)),INDEX('卡片raw data'!BB:BB,MATCH($D583,'卡片raw data'!$F:$F,)))),IF(OR(AND($F583="UR",$P583=0),AND($F583="SR",$P583&gt;=0,$P583&lt;=2),AND($F583="R",$P583&gt;=0,$P583&lt;4)),INDEX('卡片raw data'!AZ:AZ,MATCH($D583,'卡片raw data'!$F:$F,)),0)+IF(OR(AND($F583="UR",$P583&gt;=1,$P583&lt;=4),AND($F583="SR",$P583&lt;=4,$P583&gt;=3),AND($F583="R",$P583=4)),INDEX('卡片raw data'!BA:BA,MATCH($D583,'卡片raw data'!$F:$F,)),0)+IF($P583=5,INDEX('卡片raw data'!BB:BB,MATCH($D583,'卡片raw data'!$F:$F,)),0)))</f>
        <v>4.2000000000000003E-2</v>
      </c>
      <c r="BT583" s="1101">
        <f t="shared" si="830"/>
        <v>2103.6033606587998</v>
      </c>
      <c r="BU583" s="1097">
        <f t="shared" si="831"/>
        <v>90.380921436872924</v>
      </c>
      <c r="BV583" s="1097">
        <f t="shared" si="832"/>
        <v>1051.8016803293999</v>
      </c>
      <c r="BW583" s="1112">
        <f t="shared" si="833"/>
        <v>0</v>
      </c>
      <c r="BX583" s="1100">
        <f t="shared" si="834"/>
        <v>2103.6033606587998</v>
      </c>
      <c r="BY583" s="1110">
        <f t="shared" si="835"/>
        <v>1051.8016803293999</v>
      </c>
      <c r="BZ583" s="1113" t="s">
        <v>569</v>
      </c>
      <c r="CA583" s="1124"/>
      <c r="CB583" s="1098">
        <v>0</v>
      </c>
      <c r="CC583" s="1101">
        <f t="shared" si="794"/>
        <v>0</v>
      </c>
      <c r="CD583" s="1097">
        <f>IF(BZ583="ap",CB583*(1-$FI$26)*$FB$5/$FB$11*(+IF(CA583="全员",$FA$24,0)+IF(CA583="同作战",$FA$24,0)+IF(CA583="仲间",$FA$24*2/3,0)+IF(CA583="同属性",$FA$24*$FA$37/3,0)+IF(CA583="同年级",$FA$24*$FA$40/3,0)+IF(CA583="同学校",$FA$24*$FA$43/3,0)+IF(CA583="同小队",$FA$24*$FA$46/3,0)+IF(CA583="同type",$FA$24*INDEX($FB$49:$FB$52,MATCH(X583,$FA$49:$FA$52,))/3,0)+IF(CA583="自身",#REF!/3,0)),0)+IF(BZ583="te",CB583*(1-$FI$27)*($FA$20-1)*$FB$7/$FB$13*(+IF(CA583="全员",$FA$19*$FA$24/(1+($FA$20-1)*$FA$19),0)+IF(CA583="同作战",$FA$19*$FA$24/(1+($FA$20-1)*$FA$19),0)+IF(CA583="仲间",$FA$19*$FA$24*2/3/(1+($FA$20-1)*$FA$19),0)+IF(CA583="同属性",$FA$19*$FA$24*$FA$37/3/(1+($FA$20-1)*$FA$19),0)+IF(CA583="同年级",$FA$19*$FA$24*$FA$40/3/(1+($FA$20-1)*$FA$19),0)+IF(CA583="同学校",$FA$19*$FA$24*$FA$43/3/(1+($FA$20-1)*$FA$19),0)+IF(CA583="同小队",$FA$19*$FA$24*$FA$46/3/(1+($FA$20-1)*$FA$19),0)+IF(CA583="同type",$FA$19*$FA$24*INDEX($FB$49:$FB$52,MATCH(X583,$FA$49:$FA$52,))/3/(1+($FA$20-1)*$FA$19),0)+IF(CA583="自身",$FA$19*#REF!/3/(1+(BH583-1)*$BD583),0)),0)</f>
        <v>0</v>
      </c>
      <c r="CE583" s="1097">
        <f t="shared" si="836"/>
        <v>0</v>
      </c>
      <c r="CF583" s="1112">
        <f t="shared" si="795"/>
        <v>0</v>
      </c>
      <c r="CG583" s="1100">
        <f t="shared" si="837"/>
        <v>0</v>
      </c>
      <c r="CH583" s="1110">
        <f t="shared" si="838"/>
        <v>0</v>
      </c>
      <c r="CI583" s="1113" t="s">
        <v>162</v>
      </c>
      <c r="CJ583" s="1114">
        <v>1</v>
      </c>
      <c r="CK583" s="1115" t="s">
        <v>2074</v>
      </c>
      <c r="CL583" s="1115" t="s">
        <v>2667</v>
      </c>
      <c r="CM583" s="1119">
        <v>0.1</v>
      </c>
      <c r="CN583" s="1115" t="s">
        <v>1948</v>
      </c>
      <c r="CO583" s="1115"/>
      <c r="CP583" s="1118">
        <f t="shared" si="839"/>
        <v>1.7857142857142856E-2</v>
      </c>
      <c r="CQ583" s="1118">
        <f t="shared" si="840"/>
        <v>1.6666666666666666E-2</v>
      </c>
      <c r="CR583" s="1118">
        <f t="shared" si="841"/>
        <v>0</v>
      </c>
      <c r="CS583" s="1118">
        <f t="shared" si="782"/>
        <v>0</v>
      </c>
      <c r="CT583" s="1109">
        <f t="shared" si="783"/>
        <v>0</v>
      </c>
      <c r="CU583" s="1101">
        <f t="shared" si="842"/>
        <v>3035.3332930424331</v>
      </c>
      <c r="CV583" s="1108">
        <f t="shared" si="870"/>
        <v>131.311445625</v>
      </c>
      <c r="CW583" s="1097">
        <f t="shared" si="843"/>
        <v>0</v>
      </c>
      <c r="CX583" s="1097">
        <f t="shared" si="844"/>
        <v>3035.3332930424331</v>
      </c>
      <c r="CY583" s="1110">
        <f t="shared" si="845"/>
        <v>0</v>
      </c>
      <c r="CZ583" s="1113"/>
      <c r="DA583" s="1114"/>
      <c r="DB583" s="1115" t="s">
        <v>4734</v>
      </c>
      <c r="DC583" s="1115"/>
      <c r="DD583" s="1119"/>
      <c r="DE583" s="1092"/>
      <c r="DF583" s="1092"/>
      <c r="DG583" s="1116">
        <f t="shared" si="846"/>
        <v>0</v>
      </c>
      <c r="DH583" s="1116">
        <f t="shared" si="847"/>
        <v>0</v>
      </c>
      <c r="DI583" s="1116">
        <f t="shared" si="848"/>
        <v>0</v>
      </c>
      <c r="DJ583" s="1118">
        <f t="shared" si="871"/>
        <v>0</v>
      </c>
      <c r="DK583" s="1109">
        <f t="shared" si="872"/>
        <v>0</v>
      </c>
      <c r="DL583" s="1101">
        <f t="shared" si="849"/>
        <v>0</v>
      </c>
      <c r="DM583" s="1097">
        <f t="shared" si="850"/>
        <v>0</v>
      </c>
      <c r="DN583" s="1097">
        <f t="shared" si="851"/>
        <v>0</v>
      </c>
      <c r="DO583" s="1097">
        <f t="shared" si="852"/>
        <v>0</v>
      </c>
      <c r="DP583" s="1110">
        <f t="shared" si="853"/>
        <v>0</v>
      </c>
      <c r="DQ583" s="1113" t="s">
        <v>2074</v>
      </c>
      <c r="DR583" s="1120">
        <f t="shared" si="792"/>
        <v>0.33</v>
      </c>
      <c r="DS583" s="1124">
        <v>5</v>
      </c>
      <c r="DT583" s="1124" t="s">
        <v>2127</v>
      </c>
      <c r="DU583" s="1093" t="s">
        <v>2145</v>
      </c>
      <c r="DV583" s="1098">
        <f>IF($P583="","N/A",IF(P583=-1,INDEX('卡片raw data'!AN:AN,MATCH(D583,'卡片raw data'!$F:$F,)),0)+IF(AND(L583&lt;&gt;"party卡",P583&lt;=2,P583&gt;=0),INDEX('卡片raw data'!AP:AP,MATCH(D583,'卡片raw data'!$F:$F,)),0)+IF(OR(AND(L583="party卡",P583&lt;=1),AND(P583&lt;=4,L583&lt;&gt;"party卡",P583&gt;=3)),INDEX('卡片raw data'!AQ:AQ,MATCH(D583,'卡片raw data'!$F:$F,)),0)+IF(OR(P583=5,AND(L583="party卡",P583&gt;=2)),INDEX('卡片raw data'!AR:AR,MATCH(D583,'卡片raw data'!$F:$F,)),0))</f>
        <v>0.05</v>
      </c>
      <c r="DW583" s="1098">
        <f t="shared" si="854"/>
        <v>0.33</v>
      </c>
      <c r="DX583" s="1098">
        <f t="shared" si="855"/>
        <v>0.33</v>
      </c>
      <c r="DY583" s="1098">
        <f t="shared" si="856"/>
        <v>2.7500000000000004E-2</v>
      </c>
      <c r="DZ583" s="1098">
        <f t="shared" si="857"/>
        <v>2.3787500000000003E-2</v>
      </c>
      <c r="EA583" s="1098">
        <f t="shared" si="858"/>
        <v>0</v>
      </c>
      <c r="EB583" s="1121">
        <f t="shared" si="859"/>
        <v>0</v>
      </c>
      <c r="EC583" s="1101">
        <f t="shared" si="860"/>
        <v>4674.4132712853479</v>
      </c>
      <c r="ED583" s="1097">
        <f t="shared" si="861"/>
        <v>187.41426076828131</v>
      </c>
      <c r="EE583" s="1110">
        <f t="shared" si="775"/>
        <v>4674.4132712853479</v>
      </c>
      <c r="EF583" s="1113" t="s">
        <v>569</v>
      </c>
      <c r="EG583" s="1120">
        <f t="shared" si="793"/>
        <v>0.33</v>
      </c>
      <c r="EH583" s="1124"/>
      <c r="EI583" s="1124"/>
      <c r="EJ583" s="1124"/>
      <c r="EK583" s="1097">
        <f>IF($P583="","N/A",IF(P583=-1,INDEX('卡片raw data'!AS:AS,MATCH(D583,'卡片raw data'!$F:$F,)),0)+IF(AND(L583&lt;&gt;"party卡",P583&lt;=2,P583&gt;=0),INDEX('卡片raw data'!AU:AU,MATCH(D583,'卡片raw data'!$F:$F,)),0)+IF(OR(AND(L583="party卡",P583&lt;=1),AND(P583&lt;=4,L583&lt;&gt;"party卡",P583&gt;=3)),INDEX('卡片raw data'!AV:AV,MATCH(D583,'卡片raw data'!$F:$F,)),0)+IF(OR(P583=5,AND(L583="party卡",P583&gt;=2)),INDEX('卡片raw data'!AW:AW,MATCH(D583,'卡片raw data'!$F:$F,)),0))</f>
        <v>0</v>
      </c>
      <c r="EL583" s="1098">
        <f t="shared" si="862"/>
        <v>0.33</v>
      </c>
      <c r="EM583" s="1098">
        <f t="shared" si="863"/>
        <v>0.33</v>
      </c>
      <c r="EN583" s="1097">
        <f t="shared" si="864"/>
        <v>0</v>
      </c>
      <c r="EO583" s="1097">
        <f t="shared" si="865"/>
        <v>0</v>
      </c>
      <c r="EP583" s="1098">
        <f t="shared" si="866"/>
        <v>0</v>
      </c>
      <c r="EQ583" s="1121">
        <f t="shared" si="867"/>
        <v>0</v>
      </c>
      <c r="ER583" s="1101">
        <f t="shared" si="868"/>
        <v>0</v>
      </c>
      <c r="ES583" s="1097">
        <f t="shared" si="869"/>
        <v>0</v>
      </c>
      <c r="ET583" s="1122">
        <f t="shared" si="776"/>
        <v>0</v>
      </c>
    </row>
    <row r="584" spans="2:150" ht="16.5" customHeight="1">
      <c r="B584" s="1123" t="str">
        <f>INDEX('卡片raw data'!B:B,MATCH($D584,'卡片raw data'!$F:$F,))</f>
        <v>四单果</v>
      </c>
      <c r="C584" s="1025" t="s">
        <v>4743</v>
      </c>
      <c r="D584" s="408">
        <v>581</v>
      </c>
      <c r="E584" s="1164">
        <v>400012005</v>
      </c>
      <c r="F584" s="1090" t="str">
        <f>INDEX('卡片raw data'!C:C,MATCH($D584,'卡片raw data'!$F:$F,))</f>
        <v>SR</v>
      </c>
      <c r="G584" s="1026" t="s">
        <v>4744</v>
      </c>
      <c r="H584" s="411">
        <f>IFERROR(INDEX(绊状态确认!C:C,MATCH($G584,绊状态确认!$B:$B,)),"")</f>
        <v>1</v>
      </c>
      <c r="I584" s="450" t="str">
        <f>IFERROR(INDEX(绊状态确认!D:D,MATCH($G584,绊状态确认!$B:$B,)),"")</f>
        <v>缪</v>
      </c>
      <c r="J584" s="450" t="str">
        <f>IFERROR(INDEX(绊状态确认!E:E,MATCH($G584,绊状态确认!$B:$B,)),"")</f>
        <v>2年级</v>
      </c>
      <c r="K584" s="451" t="str">
        <f>IFERROR(INDEX(绊状态确认!F:F,MATCH($G584,绊状态确认!$B:$B,)),"")</f>
        <v>Printemps</v>
      </c>
      <c r="L584" s="1094" t="str">
        <f>INDEX('卡片raw data'!E:E,MATCH($D584,'卡片raw data'!$F:$F,))</f>
        <v>活动卡</v>
      </c>
      <c r="M584" s="1065">
        <v>44519</v>
      </c>
      <c r="N584" s="1027">
        <v>52</v>
      </c>
      <c r="O584" s="1091" t="str">
        <f>INDEX('卡片raw data'!D:D,MATCH($D584,'卡片raw data'!$F:$F,))</f>
        <v>sk</v>
      </c>
      <c r="P584" s="1126">
        <v>5</v>
      </c>
      <c r="Q584" s="1095">
        <f t="shared" si="796"/>
        <v>24162.278609773919</v>
      </c>
      <c r="R584" s="1096">
        <f t="shared" si="797"/>
        <v>0.28000000000000003</v>
      </c>
      <c r="S584" s="1097">
        <f t="shared" si="798"/>
        <v>15601.246160983897</v>
      </c>
      <c r="T584" s="1098">
        <f t="shared" si="799"/>
        <v>0.78</v>
      </c>
      <c r="U584" s="1099">
        <f t="shared" si="800"/>
        <v>11.364989671842856</v>
      </c>
      <c r="V584" s="1100">
        <f t="shared" si="801"/>
        <v>27067.74817289941</v>
      </c>
      <c r="W584" s="1101">
        <f t="shared" si="802"/>
        <v>5417.7540401893548</v>
      </c>
      <c r="X584" s="1096">
        <f t="shared" si="803"/>
        <v>6.2E-2</v>
      </c>
      <c r="Y584" s="1097">
        <f t="shared" si="804"/>
        <v>905.469563125489</v>
      </c>
      <c r="Z584" s="1102">
        <f t="shared" si="805"/>
        <v>11.364989671842856</v>
      </c>
      <c r="AA584" s="1103">
        <f t="shared" si="806"/>
        <v>6323.2236033148438</v>
      </c>
      <c r="AB584" s="1101">
        <f t="shared" si="807"/>
        <v>6327.786593252712</v>
      </c>
      <c r="AC584" s="1104">
        <f t="shared" si="808"/>
        <v>7.2999999999999995E-2</v>
      </c>
      <c r="AD584" s="1105">
        <f t="shared" si="809"/>
        <v>1.8994224431818179E-2</v>
      </c>
      <c r="AE584" s="1128">
        <f t="shared" si="810"/>
        <v>4.3537577047458456</v>
      </c>
      <c r="AF584" s="1130">
        <f t="shared" si="811"/>
        <v>0</v>
      </c>
      <c r="AG584" s="1097">
        <f t="shared" si="812"/>
        <v>0</v>
      </c>
      <c r="AH584" s="1097">
        <f t="shared" si="813"/>
        <v>0</v>
      </c>
      <c r="AI584" s="1097">
        <f t="shared" si="814"/>
        <v>0</v>
      </c>
      <c r="AJ584" s="1097">
        <f t="shared" si="815"/>
        <v>0</v>
      </c>
      <c r="AK584" s="1129">
        <f t="shared" si="816"/>
        <v>0</v>
      </c>
      <c r="AL584" s="1042">
        <f>IF($P584="","N/A",(IF($P584=-1,INDEX('卡片raw data'!S:S,MATCH($D584,'卡片raw data'!$F:$F,)),0)+IF($P584=0,INDEX('卡片raw data'!V:V,MATCH($D584,'卡片raw data'!$F:$F,)),0)+IF($P584=1,INDEX('卡片raw data'!Y:Y,MATCH($D584,'卡片raw data'!$F:$F,)),0)+IF($P584=2,INDEX('卡片raw data'!AB:AB,MATCH($D584,'卡片raw data'!$F:$F,)),0)+IF($P584=3,INDEX('卡片raw data'!AE:AE,MATCH($D584,'卡片raw data'!$F:$F,)),0)+IF($P584=4,INDEX('卡片raw data'!AH:AH,MATCH($D584,'卡片raw data'!$F:$F,)),0)+IF($P584=5,INDEX('卡片raw data'!AK:AK,MATCH($D584,'卡片raw data'!$F:$F,)),0)+INDEX('卡片raw data'!S:S,MATCH($D584,'卡片raw data'!$F:$F,))*(IF($F584="UR",0.04,0.033))*(IF($F584="UR",INDEX(绊状态确认!$S:$S,MATCH($G584,绊状态确认!$B:$B,))/2-40)+IF($F584="SR",INDEX(绊状态确认!$R:$R,MATCH($G584,绊状态确认!$B:$B,))/4-15))+IF($F584="R",INDEX(绊状态确认!$Q:$Q,MATCH($G584,绊状态确认!$B:$B,))/6-40/6)))*(INDEX(绊状态确认!$H:$H,MATCH($G584,绊状态确认!$B:$B,))+INDEX(绊状态确认!J:J,MATCH($G584,绊状态确认!$B:$B,)))</f>
        <v>6987.8190575999988</v>
      </c>
      <c r="AM584" s="1035">
        <f>IF($P584="","N/A",(IF($P584=-1,INDEX('卡片raw data'!T:T,MATCH($D584,'卡片raw data'!$F:$F,)),0)+IF($P584=0,INDEX('卡片raw data'!W:W,MATCH($D584,'卡片raw data'!$F:$F,)),0)+IF($P584=1,INDEX('卡片raw data'!Z:Z,MATCH($D584,'卡片raw data'!$F:$F,)),0)+IF($P584=2,INDEX('卡片raw data'!AC:AC,MATCH($D584,'卡片raw data'!$F:$F,)),0)+IF($P584=3,INDEX('卡片raw data'!AF:AF,MATCH($D584,'卡片raw data'!$F:$F,)),0)+IF($P584=4,INDEX('卡片raw data'!AI:AI,MATCH($D584,'卡片raw data'!$F:$F,)),0)+IF($P584=5,INDEX('卡片raw data'!AL:AL,MATCH($D584,'卡片raw data'!$F:$F,)),0)+INDEX('卡片raw data'!T:T,MATCH($D584,'卡片raw data'!$F:$F,))*(IF($F584="UR",0.04,0.033))*(IF($F584="UR",INDEX(绊状态确认!$S:$S,MATCH($G584,绊状态确认!$B:$B,))/2-40)+IF($F584="SR",INDEX(绊状态确认!$R:$R,MATCH($G584,绊状态确认!$B:$B,))/4-15))+IF($F584="R",INDEX(绊状态确认!$Q:$Q,MATCH($G584,绊状态确认!$B:$B,))/6-40/6)))*(INDEX(绊状态确认!$H:$H,MATCH($G584,绊状态确认!$B:$B,))+INDEX(绊状态确认!K:K,MATCH($G584,绊状态确认!$B:$B,)))</f>
        <v>5789.9807279999995</v>
      </c>
      <c r="AN584" s="1043">
        <f>IF($P584="","N/A",(IF($P584=-1,INDEX('卡片raw data'!U:U,MATCH($D584,'卡片raw data'!$F:$F,)),0)+IF($P584=0,INDEX('卡片raw data'!X:X,MATCH($D584,'卡片raw data'!$F:$F,)),0)+IF($P584=1,INDEX('卡片raw data'!AA:AA,MATCH($D584,'卡片raw data'!$F:$F,)),0)+IF($P584=2,INDEX('卡片raw data'!AD:AD,MATCH($D584,'卡片raw data'!$F:$F,)),0)+IF($P584=3,INDEX('卡片raw data'!AG:AG,MATCH($D584,'卡片raw data'!$F:$F,)),0)+IF($P584=4,INDEX('卡片raw data'!AJ:AJ,MATCH($D584,'卡片raw data'!$F:$F,)),0)+IF($P584=5,INDEX('卡片raw data'!AM:AM,MATCH($D584,'卡片raw data'!$F:$F,)),0)+INDEX('卡片raw data'!U:U,MATCH($D584,'卡片raw data'!$F:$F,))*(IF($F584="UR",0.04,0.033))*(IF($F584="UR",INDEX(绊状态确认!$S:$S,MATCH($G584,绊状态确认!$B:$B,))/2-40)+IF($F584="SR",INDEX(绊状态确认!$R:$R,MATCH($G584,绊状态确认!$B:$B,))/4-15))+IF($F584="R",INDEX(绊状态确认!$Q:$Q,MATCH($G584,绊状态确认!$B:$B,))/6-40/6)))*(INDEX(绊状态确认!$H:$H,MATCH($G584,绊状态确认!$B:$B,))+INDEX(绊状态确认!L:L,MATCH($G584,绊状态确认!$B:$B,)))</f>
        <v>7187.1049799999992</v>
      </c>
      <c r="AO584" s="1167">
        <f t="shared" si="817"/>
        <v>1</v>
      </c>
      <c r="AP584" s="1044">
        <f>1+(INDEX(绊状态确认!$T:$T,MATCH($G584,绊状态确认!$B:$B,))+0.2)*$AO584</f>
        <v>1.3</v>
      </c>
      <c r="AQ584" s="1035">
        <f t="shared" si="818"/>
        <v>21593.025026199997</v>
      </c>
      <c r="AR584" s="1035">
        <f>(AM584*(1+$EX$9)+$EX$35)*(1+(INDEX(绊状态确认!$T:$T,MATCH($G584,绊状态确认!$B:$B,))+0.2)*AO584)*IF(J584=$FF$17,1+$FE$17,1)*IF(I584=$FF$14,1+$FE$14,1)</f>
        <v>10607.32369372</v>
      </c>
      <c r="AS584" s="1035">
        <f>(AN584*(1+$EX$10)+$EX$36)*(1+(INDEX(绊状态确认!$T:$T,MATCH($G584,绊状态确认!$B:$B,))+0.2)*AO584)*IF(J584=$FF$17,1+$FE$17,1)*IF(I584=$FF$14,1+$FE$14,1)</f>
        <v>14800.721945099998</v>
      </c>
      <c r="AT584" s="1165">
        <f>IF(AND(INDEX('卡片raw data'!AK:AK,MATCH($D584,'卡片raw data'!$F:$F,))&lt;INDEX('卡片raw data'!AM:AM,MATCH($D584,'卡片raw data'!$F:$F,)),INDEX('卡片raw data'!AL:AL,MATCH($D584,'卡片raw data'!$F:$F,))&lt;INDEX('卡片raw data'!AM:AM,MATCH($D584,'卡片raw data'!$F:$F,))),1,0)</f>
        <v>1</v>
      </c>
      <c r="AU584" s="1031">
        <f>MIN(AT584*0.15+AS584*0.00003+INDEX(绊状态确认!M:M,MATCH($G584,绊状态确认!$B:$B,)),1)</f>
        <v>0.62402165835299994</v>
      </c>
      <c r="AV584" s="1045">
        <f>(INDEX(绊状态确认!$N:$N,MATCH($G584,绊状态确认!$B:$B,))+1.5)*$EW$21</f>
        <v>2.6599999999999997</v>
      </c>
      <c r="AW584" s="1038">
        <f t="shared" si="819"/>
        <v>22830.854410197975</v>
      </c>
      <c r="AX584" s="1035">
        <f t="shared" si="820"/>
        <v>905.469563125489</v>
      </c>
      <c r="AY584" s="483">
        <f t="shared" si="821"/>
        <v>23736.323973323466</v>
      </c>
      <c r="AZ584" s="1106">
        <f t="shared" si="822"/>
        <v>16226.247162319998</v>
      </c>
      <c r="BA584" s="1108">
        <f t="shared" si="823"/>
        <v>19471.496594783996</v>
      </c>
      <c r="BB584" s="1035">
        <f>(AM584*(1+$FB$9)+$FB$35)*(1+(INDEX(绊状态确认!$T:$T,MATCH($G584,绊状态确认!$B:$B,))+0.2)*AO584)*IF(J584=$FF$17,1+$FE$17,1)*IF(I584=$FF$14,1+$FE$14,1)*(1+$FE$15)</f>
        <v>10607.32369372</v>
      </c>
      <c r="BC584" s="1035">
        <f>(AN584*(1+$FB$10)+$FB$36)*(1+(INDEX(绊状态确认!$T:$T,MATCH($G584,绊状态确认!$B:$B,))+0.2)*AO584)*IF(J584=$FF$17,1+$FE$17,1)*IF(I584=$FF$14,1+$FE$14,1)*(1+$FE$15)</f>
        <v>14800.721945099998</v>
      </c>
      <c r="BD584" s="481">
        <f>MIN(AT584*0.15+BC584*0.00003+INDEX(绊状态确认!M:M,MATCH($G584,绊状态确认!$B:$B,)),1)</f>
        <v>0.62402165835299994</v>
      </c>
      <c r="BE584" s="1109">
        <f>(INDEX(绊状态确认!$N:$N,MATCH($G584,绊状态确认!$B:$B,))+1.5)</f>
        <v>1.9</v>
      </c>
      <c r="BF584" s="646">
        <f t="array" ref="BF584">SUMPRODUCT(IF(AZ584*AP584*$FI$16:$FI$23*$FA$22&gt;=$FI$24,$FI$24,AZ584*AP584*$FI$16:$FI$23*$FA$22),$FJ$16:$FJ$23)</f>
        <v>32274.005605854483</v>
      </c>
      <c r="BG584" s="1047">
        <f t="array" ref="BG584">SUMPRODUCT(IF(BE584*AZ584*AP584*$FI$16:$FI$23*$FA$22&gt;=$FI$24,$FI$24,BE584*AZ584*AP584*$FI$16:$FI$23*$FA$22),$FJ$16:$FJ$23)</f>
        <v>57241.780160193113</v>
      </c>
      <c r="BH584" s="1046">
        <f t="shared" si="824"/>
        <v>15951.47922954557</v>
      </c>
      <c r="BI584" s="1048">
        <f>IF(O584="vo",$EW$26/$EW$24*0.05,0)+IF(O584="sk",-$EW$26/$EW$24*(0.05-INDEX(绊状态确认!W:W,MATCH($G584,绊状态确认!$B:$B,)))+0.05*$EW$28,0)+IF(O584="sp",0.05*$EW$32*$EW$30*(1-$EW$33)-(0.05-INDEX(绊状态确认!V:V,MATCH($G584,绊状态确认!$B:$B,)))*$EW$28,0)+IF(O584="gd",-(0.05-INDEX(绊状态确认!X:X,MATCH($G584,绊状态确认!$B:$B,)))*$EW$32*$EW$30*(1-$EW$33),0)</f>
        <v>-6253.6726349699375</v>
      </c>
      <c r="BJ584" s="1097">
        <f>IF(O584="vo",0.05*(1-$FI$26)*$FA$24,0)+IF(O584="sk",-(0.05-INDEX(绊状态确认!W:W,MATCH($G584,绊状态确认!$B:$B,)))*(1-$FI$26)*$FA$24+0.05*$FA$26,0)+IF(O584="sp",0.05*$FA$32*$FA$27*(1-$FA$33)/$FA$30+0.05*$FA$29/$FA$69*$FA$27*(1-$FA$33)-(0.05-INDEX(绊状态确认!V:V,MATCH($G584,绊状态确认!$B:$B,)))*$FA$26,0)+IF(O584="gd",-(0.05-INDEX(绊状态确认!X:X,MATCH($G584,绊状态确认!$B:$B,)))*$FA$32*$FA$27*(1-$FA$33)/$FA$30-(0.05-INDEX(绊状态确认!X:X,MATCH($G584,绊状态确认!$B:$B,)))*$FA$29/$FA$69*$FA$27*(1-$FA$33),0)</f>
        <v>20.459096812499922</v>
      </c>
      <c r="BK584" s="1046">
        <f>IF(O584="vo",$EW$26/$EW$24*0.05+$EW$26*(-HP($EW$62,$EW$65,$EW$64)+HP($EW$62,$EW$65,(1.05-INDEX(绊状态确认!U:U,MATCH($G584,绊状态确认!$B:$B,)))*$EW$64)),0)+IF(O584="sk",-$EW$26/$EW$24*(0.05-INDEX(绊状态确认!W:W,MATCH($G584,绊状态确认!$B:$B,)))+0.05*$EW$29,0)+IF(O584="sp",0.05*$EW$32*$EW$30*(1-$EW$33)-(0.05-INDEX(绊状态确认!V:V,MATCH($G584,绊状态确认!$B:$B,)))*$EW$29,0)+IF(O584="gd",-(0.05-INDEX(绊状态确认!X:X,MATCH($G584,绊状态确认!$B:$B,)))*$EW$32*$EW$30*(1-$EW$33)+$EW$26*(-HP($EW$62,$EW$65,$EW$64)+HP($EW$62,$EW$65,0.95*$EW$64)),0)</f>
        <v>-4253.6726349699375</v>
      </c>
      <c r="BL584" s="1048">
        <f t="shared" si="825"/>
        <v>-1083.3333333333333</v>
      </c>
      <c r="BM584" s="1046">
        <f t="shared" si="826"/>
        <v>-830.55555555555543</v>
      </c>
      <c r="BN584" s="1167">
        <f t="shared" si="827"/>
        <v>3</v>
      </c>
      <c r="BO584" s="1035">
        <f t="shared" si="828"/>
        <v>4507.7214871259994</v>
      </c>
      <c r="BP584" s="1043">
        <f t="shared" si="829"/>
        <v>221.34103209030098</v>
      </c>
      <c r="BQ584" s="1167" t="s">
        <v>1941</v>
      </c>
      <c r="BR584" s="1165" t="s">
        <v>2075</v>
      </c>
      <c r="BS584" s="1098">
        <f>IF($P584="","N/A",IF($P584=-1,INDEX('卡片raw data'!AX:AX,MATCH($D584,'卡片raw data'!$F:$F,)),0)+IF($L584="party卡",IF($P584=5,INDEX('卡片raw data'!BD:BD,MATCH($D584,'卡片raw data'!$F:$F,)),IF($P584&gt;=3,INDEX('卡片raw data'!BC:BC,MATCH($D584,'卡片raw data'!$F:$F,)),INDEX('卡片raw data'!BB:BB,MATCH($D584,'卡片raw data'!$F:$F,)))),IF(OR(AND($F584="UR",$P584=0),AND($F584="SR",$P584&gt;=0,$P584&lt;=2),AND($F584="R",$P584&gt;=0,$P584&lt;4)),INDEX('卡片raw data'!AZ:AZ,MATCH($D584,'卡片raw data'!$F:$F,)),0)+IF(OR(AND($F584="UR",$P584&gt;=1,$P584&lt;=4),AND($F584="SR",$P584&lt;=4,$P584&gt;=3),AND($F584="R",$P584=4)),INDEX('卡片raw data'!BA:BA,MATCH($D584,'卡片raw data'!$F:$F,)),0)+IF($P584=5,INDEX('卡片raw data'!BB:BB,MATCH($D584,'卡片raw data'!$F:$F,)),0)))</f>
        <v>3.2000000000000001E-2</v>
      </c>
      <c r="BT584" s="1101">
        <f t="shared" si="830"/>
        <v>1509.2469769191675</v>
      </c>
      <c r="BU584" s="1097">
        <f t="shared" si="831"/>
        <v>95.522578685765595</v>
      </c>
      <c r="BV584" s="1097">
        <f t="shared" si="832"/>
        <v>754.62348845958354</v>
      </c>
      <c r="BW584" s="1112">
        <f t="shared" si="833"/>
        <v>0</v>
      </c>
      <c r="BX584" s="1100">
        <f t="shared" si="834"/>
        <v>1509.2469769191675</v>
      </c>
      <c r="BY584" s="1110">
        <f t="shared" si="835"/>
        <v>754.62348845958354</v>
      </c>
      <c r="BZ584" s="1113" t="s">
        <v>569</v>
      </c>
      <c r="CA584" s="1124"/>
      <c r="CB584" s="1098">
        <v>0</v>
      </c>
      <c r="CC584" s="1101">
        <f t="shared" si="794"/>
        <v>0</v>
      </c>
      <c r="CD584" s="1097">
        <f>IF(BZ584="ap",CB584*(1-$FI$26)*$FB$5/$FB$11*(+IF(CA584="全员",$FA$24,0)+IF(CA584="同作战",$FA$24,0)+IF(CA584="仲间",$FA$24*2/3,0)+IF(CA584="同属性",$FA$24*$FA$37/3,0)+IF(CA584="同年级",$FA$24*$FA$40/3,0)+IF(CA584="同学校",$FA$24*$FA$43/3,0)+IF(CA584="同小队",$FA$24*$FA$46/3,0)+IF(CA584="同type",$FA$24*INDEX($FB$49:$FB$52,MATCH(X584,$FA$49:$FA$52,))/3,0)+IF(CA584="自身",#REF!/3,0)),0)+IF(BZ584="te",CB584*(1-$FI$27)*($FA$20-1)*$FB$7/$FB$13*(+IF(CA584="全员",$FA$19*$FA$24/(1+($FA$20-1)*$FA$19),0)+IF(CA584="同作战",$FA$19*$FA$24/(1+($FA$20-1)*$FA$19),0)+IF(CA584="仲间",$FA$19*$FA$24*2/3/(1+($FA$20-1)*$FA$19),0)+IF(CA584="同属性",$FA$19*$FA$24*$FA$37/3/(1+($FA$20-1)*$FA$19),0)+IF(CA584="同年级",$FA$19*$FA$24*$FA$40/3/(1+($FA$20-1)*$FA$19),0)+IF(CA584="同学校",$FA$19*$FA$24*$FA$43/3/(1+($FA$20-1)*$FA$19),0)+IF(CA584="同小队",$FA$19*$FA$24*$FA$46/3/(1+($FA$20-1)*$FA$19),0)+IF(CA584="同type",$FA$19*$FA$24*INDEX($FB$49:$FB$52,MATCH(X584,$FA$49:$FA$52,))/3/(1+($FA$20-1)*$FA$19),0)+IF(CA584="自身",$FA$19*#REF!/3/(1+(BH584-1)*$BD584),0)),0)</f>
        <v>0</v>
      </c>
      <c r="CE584" s="1097">
        <f t="shared" si="836"/>
        <v>0</v>
      </c>
      <c r="CF584" s="1112">
        <f t="shared" si="795"/>
        <v>0</v>
      </c>
      <c r="CG584" s="1100">
        <f t="shared" si="837"/>
        <v>0</v>
      </c>
      <c r="CH584" s="1110">
        <f t="shared" si="838"/>
        <v>0</v>
      </c>
      <c r="CI584" s="1113" t="s">
        <v>162</v>
      </c>
      <c r="CJ584" s="1114">
        <v>1</v>
      </c>
      <c r="CK584" s="1115" t="s">
        <v>2286</v>
      </c>
      <c r="CL584" s="1115" t="s">
        <v>2075</v>
      </c>
      <c r="CM584" s="1166">
        <v>0.04</v>
      </c>
      <c r="CN584" s="1169">
        <v>4</v>
      </c>
      <c r="CO584" s="1169"/>
      <c r="CP584" s="1118">
        <f t="shared" si="839"/>
        <v>2.2857142857142855E-3</v>
      </c>
      <c r="CQ584" s="1118">
        <f t="shared" si="840"/>
        <v>3.1111111111111114E-3</v>
      </c>
      <c r="CR584" s="1118">
        <f t="shared" si="841"/>
        <v>1.1428571428571427E-3</v>
      </c>
      <c r="CS584" s="1118">
        <f t="shared" si="782"/>
        <v>0</v>
      </c>
      <c r="CT584" s="1109">
        <f t="shared" si="783"/>
        <v>0</v>
      </c>
      <c r="CU584" s="1101">
        <f t="shared" si="842"/>
        <v>310.8181292075451</v>
      </c>
      <c r="CV584" s="1108">
        <f t="shared" si="870"/>
        <v>20.426224875000003</v>
      </c>
      <c r="CW584" s="1097">
        <f t="shared" si="843"/>
        <v>155.40906460377255</v>
      </c>
      <c r="CX584" s="1097">
        <f t="shared" si="844"/>
        <v>310.8181292075451</v>
      </c>
      <c r="CY584" s="1110">
        <f t="shared" si="845"/>
        <v>155.40906460377255</v>
      </c>
      <c r="CZ584" s="1113"/>
      <c r="DA584" s="1114"/>
      <c r="DB584" s="1115" t="s">
        <v>4734</v>
      </c>
      <c r="DC584" s="1115"/>
      <c r="DD584" s="1119"/>
      <c r="DE584" s="1092"/>
      <c r="DF584" s="1092"/>
      <c r="DG584" s="1116">
        <f t="shared" si="846"/>
        <v>0</v>
      </c>
      <c r="DH584" s="1116">
        <f t="shared" si="847"/>
        <v>0</v>
      </c>
      <c r="DI584" s="1116">
        <f t="shared" si="848"/>
        <v>0</v>
      </c>
      <c r="DJ584" s="1118">
        <f t="shared" si="871"/>
        <v>0</v>
      </c>
      <c r="DK584" s="1109">
        <f t="shared" si="872"/>
        <v>0</v>
      </c>
      <c r="DL584" s="1101">
        <f t="shared" si="849"/>
        <v>0</v>
      </c>
      <c r="DM584" s="1097">
        <f t="shared" si="850"/>
        <v>0</v>
      </c>
      <c r="DN584" s="1097">
        <f t="shared" si="851"/>
        <v>0</v>
      </c>
      <c r="DO584" s="1097">
        <f t="shared" si="852"/>
        <v>0</v>
      </c>
      <c r="DP584" s="1110">
        <f t="shared" si="853"/>
        <v>0</v>
      </c>
      <c r="DQ584" s="1167" t="s">
        <v>4741</v>
      </c>
      <c r="DR584" s="1120">
        <f t="shared" si="792"/>
        <v>0.3</v>
      </c>
      <c r="DS584" s="1124">
        <v>3</v>
      </c>
      <c r="DT584" s="1124" t="s">
        <v>2075</v>
      </c>
      <c r="DU584" s="1093" t="s">
        <v>2145</v>
      </c>
      <c r="DV584" s="1098">
        <f>IF($P584="","N/A",IF(P584=-1,INDEX('卡片raw data'!AN:AN,MATCH(D584,'卡片raw data'!$F:$F,)),0)+IF(AND(L584&lt;&gt;"party卡",P584&lt;=2,P584&gt;=0),INDEX('卡片raw data'!AP:AP,MATCH(D584,'卡片raw data'!$F:$F,)),0)+IF(OR(AND(L584="party卡",P584&lt;=1),AND(P584&lt;=4,L584&lt;&gt;"party卡",P584&gt;=3)),INDEX('卡片raw data'!AQ:AQ,MATCH(D584,'卡片raw data'!$F:$F,)),0)+IF(OR(P584=5,AND(L584="party卡",P584&gt;=2)),INDEX('卡片raw data'!AR:AR,MATCH(D584,'卡片raw data'!$F:$F,)),0))</f>
        <v>0.1</v>
      </c>
      <c r="DW584" s="1098">
        <f t="shared" si="854"/>
        <v>0.3</v>
      </c>
      <c r="DX584" s="1098">
        <f t="shared" si="855"/>
        <v>0.3</v>
      </c>
      <c r="DY584" s="1098">
        <f t="shared" si="856"/>
        <v>0.02</v>
      </c>
      <c r="DZ584" s="1098">
        <f t="shared" si="857"/>
        <v>1.5137499999999998E-2</v>
      </c>
      <c r="EA584" s="1098">
        <f t="shared" si="858"/>
        <v>0</v>
      </c>
      <c r="EB584" s="1121">
        <f t="shared" si="859"/>
        <v>0</v>
      </c>
      <c r="EC584" s="1101">
        <f t="shared" si="860"/>
        <v>2340.6435746265001</v>
      </c>
      <c r="ED584" s="1097">
        <f t="shared" si="861"/>
        <v>122.57355453031639</v>
      </c>
      <c r="EE584" s="1110">
        <f t="shared" si="775"/>
        <v>2340.6435746265001</v>
      </c>
      <c r="EF584" s="1113" t="s">
        <v>569</v>
      </c>
      <c r="EG584" s="1120">
        <f t="shared" si="793"/>
        <v>0.3</v>
      </c>
      <c r="EH584" s="1124"/>
      <c r="EI584" s="1124"/>
      <c r="EJ584" s="1124"/>
      <c r="EK584" s="1097">
        <f>IF($P584="","N/A",IF(P584=-1,INDEX('卡片raw data'!AS:AS,MATCH(D584,'卡片raw data'!$F:$F,)),0)+IF(AND(L584&lt;&gt;"party卡",P584&lt;=2,P584&gt;=0),INDEX('卡片raw data'!AU:AU,MATCH(D584,'卡片raw data'!$F:$F,)),0)+IF(OR(AND(L584="party卡",P584&lt;=1),AND(P584&lt;=4,L584&lt;&gt;"party卡",P584&gt;=3)),INDEX('卡片raw data'!AV:AV,MATCH(D584,'卡片raw data'!$F:$F,)),0)+IF(OR(P584=5,AND(L584="party卡",P584&gt;=2)),INDEX('卡片raw data'!AW:AW,MATCH(D584,'卡片raw data'!$F:$F,)),0))</f>
        <v>0</v>
      </c>
      <c r="EL584" s="1098">
        <f t="shared" si="862"/>
        <v>0.3</v>
      </c>
      <c r="EM584" s="1098">
        <f t="shared" si="863"/>
        <v>0.3</v>
      </c>
      <c r="EN584" s="1097">
        <f t="shared" si="864"/>
        <v>0</v>
      </c>
      <c r="EO584" s="1097">
        <f t="shared" si="865"/>
        <v>0</v>
      </c>
      <c r="EP584" s="1098">
        <f t="shared" si="866"/>
        <v>0</v>
      </c>
      <c r="EQ584" s="1121">
        <f t="shared" si="867"/>
        <v>0</v>
      </c>
      <c r="ER584" s="1101">
        <f t="shared" si="868"/>
        <v>0</v>
      </c>
      <c r="ES584" s="1097">
        <f t="shared" si="869"/>
        <v>0</v>
      </c>
      <c r="ET584" s="1122">
        <f t="shared" si="776"/>
        <v>0</v>
      </c>
    </row>
    <row r="585" spans="2:150" ht="16.5" customHeight="1">
      <c r="B585" s="1123" t="str">
        <f>INDEX('卡片raw data'!B:B,MATCH($D585,'卡片raw data'!$F:$F,))</f>
        <v>水蓝千</v>
      </c>
      <c r="C585" s="1025" t="s">
        <v>4729</v>
      </c>
      <c r="D585" s="408">
        <v>582</v>
      </c>
      <c r="E585" s="1164">
        <v>401012006</v>
      </c>
      <c r="F585" s="1090" t="str">
        <f>INDEX('卡片raw data'!C:C,MATCH($D585,'卡片raw data'!$F:$F,))</f>
        <v>SR</v>
      </c>
      <c r="G585" s="1026" t="s">
        <v>4746</v>
      </c>
      <c r="H585" s="411">
        <f>IFERROR(INDEX(绊状态确认!C:C,MATCH($G585,绊状态确认!$B:$B,)),"")</f>
        <v>101</v>
      </c>
      <c r="I585" s="1124" t="str">
        <f>IFERROR(INDEX(绊状态确认!D:D,MATCH($G585,绊状态确认!$B:$B,)),"")</f>
        <v>水</v>
      </c>
      <c r="J585" s="1124" t="str">
        <f>IFERROR(INDEX(绊状态确认!E:E,MATCH($G585,绊状态确认!$B:$B,)),"")</f>
        <v>2年级</v>
      </c>
      <c r="K585" s="451" t="str">
        <f>IFERROR(INDEX(绊状态确认!F:F,MATCH($G585,绊状态确认!$B:$B,)),"")</f>
        <v>CYaRon!</v>
      </c>
      <c r="L585" s="1094" t="str">
        <f>INDEX('卡片raw data'!E:E,MATCH($D585,'卡片raw data'!$F:$F,))</f>
        <v>活动卡</v>
      </c>
      <c r="M585" s="1065">
        <v>44519</v>
      </c>
      <c r="N585" s="1027">
        <v>52</v>
      </c>
      <c r="O585" s="1091" t="str">
        <f>INDEX('卡片raw data'!D:D,MATCH($D585,'卡片raw data'!$F:$F,))</f>
        <v>sp</v>
      </c>
      <c r="P585" s="1126">
        <v>5</v>
      </c>
      <c r="Q585" s="1095">
        <f t="shared" si="796"/>
        <v>28832.464380594742</v>
      </c>
      <c r="R585" s="1096">
        <f t="shared" si="797"/>
        <v>0.33500000000000002</v>
      </c>
      <c r="S585" s="1097">
        <f t="shared" si="798"/>
        <v>16586.859867202384</v>
      </c>
      <c r="T585" s="1098">
        <f t="shared" si="799"/>
        <v>0.82899999999999996</v>
      </c>
      <c r="U585" s="1099">
        <f t="shared" si="800"/>
        <v>36.843867524684995</v>
      </c>
      <c r="V585" s="1100">
        <f t="shared" si="801"/>
        <v>30043.60461855054</v>
      </c>
      <c r="W585" s="1101">
        <f t="shared" si="802"/>
        <v>4507.7214871259994</v>
      </c>
      <c r="X585" s="1096">
        <f t="shared" si="803"/>
        <v>5.1999999999999998E-2</v>
      </c>
      <c r="Y585" s="1097">
        <f t="shared" si="804"/>
        <v>3011.1402379558003</v>
      </c>
      <c r="Z585" s="1102">
        <f t="shared" si="805"/>
        <v>36.843867524684995</v>
      </c>
      <c r="AA585" s="1103">
        <f t="shared" si="806"/>
        <v>7518.8617250817997</v>
      </c>
      <c r="AB585" s="1101">
        <f t="shared" si="807"/>
        <v>5013.6672349327346</v>
      </c>
      <c r="AC585" s="1104">
        <f t="shared" si="808"/>
        <v>5.8000000000000003E-2</v>
      </c>
      <c r="AD585" s="1105">
        <f t="shared" si="809"/>
        <v>-1.9908281250000003E-2</v>
      </c>
      <c r="AE585" s="1128">
        <f t="shared" si="810"/>
        <v>-1.3514492753623202</v>
      </c>
      <c r="AF585" s="1130">
        <f t="shared" si="811"/>
        <v>0</v>
      </c>
      <c r="AG585" s="1097">
        <f t="shared" si="812"/>
        <v>0</v>
      </c>
      <c r="AH585" s="1097">
        <f t="shared" si="813"/>
        <v>0</v>
      </c>
      <c r="AI585" s="1097">
        <f t="shared" si="814"/>
        <v>0</v>
      </c>
      <c r="AJ585" s="1097">
        <f t="shared" si="815"/>
        <v>0</v>
      </c>
      <c r="AK585" s="1129">
        <f t="shared" si="816"/>
        <v>0</v>
      </c>
      <c r="AL585" s="1042">
        <f>IF($P585="","N/A",(IF($P585=-1,INDEX('卡片raw data'!S:S,MATCH($D585,'卡片raw data'!$F:$F,)),0)+IF($P585=0,INDEX('卡片raw data'!V:V,MATCH($D585,'卡片raw data'!$F:$F,)),0)+IF($P585=1,INDEX('卡片raw data'!Y:Y,MATCH($D585,'卡片raw data'!$F:$F,)),0)+IF($P585=2,INDEX('卡片raw data'!AB:AB,MATCH($D585,'卡片raw data'!$F:$F,)),0)+IF($P585=3,INDEX('卡片raw data'!AE:AE,MATCH($D585,'卡片raw data'!$F:$F,)),0)+IF($P585=4,INDEX('卡片raw data'!AH:AH,MATCH($D585,'卡片raw data'!$F:$F,)),0)+IF($P585=5,INDEX('卡片raw data'!AK:AK,MATCH($D585,'卡片raw data'!$F:$F,)),0)+INDEX('卡片raw data'!S:S,MATCH($D585,'卡片raw data'!$F:$F,))*(IF($F585="UR",0.04,0.033))*(IF($F585="UR",INDEX(绊状态确认!$S:$S,MATCH($G585,绊状态确认!$B:$B,))/2-40)+IF($F585="SR",INDEX(绊状态确认!$R:$R,MATCH($G585,绊状态确认!$B:$B,))/4-15))+IF($F585="R",INDEX(绊状态确认!$Q:$Q,MATCH($G585,绊状态确认!$B:$B,))/6-40/6)))*(INDEX(绊状态确认!$H:$H,MATCH($G585,绊状态确认!$B:$B,))+INDEX(绊状态确认!J:J,MATCH($G585,绊状态确认!$B:$B,)))</f>
        <v>6987.8190575999988</v>
      </c>
      <c r="AM585" s="1035">
        <f>IF($P585="","N/A",(IF($P585=-1,INDEX('卡片raw data'!T:T,MATCH($D585,'卡片raw data'!$F:$F,)),0)+IF($P585=0,INDEX('卡片raw data'!W:W,MATCH($D585,'卡片raw data'!$F:$F,)),0)+IF($P585=1,INDEX('卡片raw data'!Z:Z,MATCH($D585,'卡片raw data'!$F:$F,)),0)+IF($P585=2,INDEX('卡片raw data'!AC:AC,MATCH($D585,'卡片raw data'!$F:$F,)),0)+IF($P585=3,INDEX('卡片raw data'!AF:AF,MATCH($D585,'卡片raw data'!$F:$F,)),0)+IF($P585=4,INDEX('卡片raw data'!AI:AI,MATCH($D585,'卡片raw data'!$F:$F,)),0)+IF($P585=5,INDEX('卡片raw data'!AL:AL,MATCH($D585,'卡片raw data'!$F:$F,)),0)+INDEX('卡片raw data'!T:T,MATCH($D585,'卡片raw data'!$F:$F,))*(IF($F585="UR",0.04,0.033))*(IF($F585="UR",INDEX(绊状态确认!$S:$S,MATCH($G585,绊状态确认!$B:$B,))/2-40)+IF($F585="SR",INDEX(绊状态确认!$R:$R,MATCH($G585,绊状态确认!$B:$B,))/4-15))+IF($F585="R",INDEX(绊状态确认!$Q:$Q,MATCH($G585,绊状态确认!$B:$B,))/6-40/6)))*(INDEX(绊状态确认!$H:$H,MATCH($G585,绊状态确认!$B:$B,))+INDEX(绊状态确认!K:K,MATCH($G585,绊状态确认!$B:$B,)))</f>
        <v>3993.2232335999993</v>
      </c>
      <c r="AN585" s="1043">
        <f>IF($P585="","N/A",(IF($P585=-1,INDEX('卡片raw data'!U:U,MATCH($D585,'卡片raw data'!$F:$F,)),0)+IF($P585=0,INDEX('卡片raw data'!X:X,MATCH($D585,'卡片raw data'!$F:$F,)),0)+IF($P585=1,INDEX('卡片raw data'!AA:AA,MATCH($D585,'卡片raw data'!$F:$F,)),0)+IF($P585=2,INDEX('卡片raw data'!AD:AD,MATCH($D585,'卡片raw data'!$F:$F,)),0)+IF($P585=3,INDEX('卡片raw data'!AG:AG,MATCH($D585,'卡片raw data'!$F:$F,)),0)+IF($P585=4,INDEX('卡片raw data'!AJ:AJ,MATCH($D585,'卡片raw data'!$F:$F,)),0)+IF($P585=5,INDEX('卡片raw data'!AM:AM,MATCH($D585,'卡片raw data'!$F:$F,)),0)+INDEX('卡片raw data'!U:U,MATCH($D585,'卡片raw data'!$F:$F,))*(IF($F585="UR",0.04,0.033))*(IF($F585="UR",INDEX(绊状态确认!$S:$S,MATCH($G585,绊状态确认!$B:$B,))/2-40)+IF($F585="SR",INDEX(绊状态确认!$R:$R,MATCH($G585,绊状态确认!$B:$B,))/4-15))+IF($F585="R",INDEX(绊状态确认!$Q:$Q,MATCH($G585,绊状态确认!$B:$B,))/6-40/6)))*(INDEX(绊状态确认!$H:$H,MATCH($G585,绊状态确认!$B:$B,))+INDEX(绊状态确认!L:L,MATCH($G585,绊状态确认!$B:$B,)))</f>
        <v>8984.9988743999984</v>
      </c>
      <c r="AO585" s="1167">
        <f t="shared" si="817"/>
        <v>1</v>
      </c>
      <c r="AP585" s="1044">
        <f>1+(INDEX(绊状态确认!$T:$T,MATCH($G585,绊状态确认!$B:$B,))+0.2)*$AO585</f>
        <v>1.3</v>
      </c>
      <c r="AQ585" s="1035">
        <f t="shared" si="818"/>
        <v>21593.025026199997</v>
      </c>
      <c r="AR585" s="1035">
        <f>(AM585*(1+$EX$9)+$EX$35)*(1+(INDEX(绊状态确认!$T:$T,MATCH($G585,绊状态确认!$B:$B,))+0.2)*AO585)*IF(J585=$FF$17,1+$FE$17,1)*IF(I585=$FF$14,1+$FE$14,1)</f>
        <v>8154.7497138640001</v>
      </c>
      <c r="AS585" s="1035">
        <f>(AN585*(1+$EX$10)+$EX$36)*(1+(INDEX(绊状态确认!$T:$T,MATCH($G585,绊状态确认!$B:$B,))+0.2)*AO585)*IF(J585=$FF$17,1+$FE$17,1)*IF(I585=$FF$14,1+$FE$14,1)</f>
        <v>17488.573317227998</v>
      </c>
      <c r="AT585" s="1165">
        <f>IF(AND(INDEX('卡片raw data'!AK:AK,MATCH($D585,'卡片raw data'!$F:$F,))&lt;INDEX('卡片raw data'!AM:AM,MATCH($D585,'卡片raw data'!$F:$F,)),INDEX('卡片raw data'!AL:AL,MATCH($D585,'卡片raw data'!$F:$F,))&lt;INDEX('卡片raw data'!AM:AM,MATCH($D585,'卡片raw data'!$F:$F,))),1,0)</f>
        <v>1</v>
      </c>
      <c r="AU585" s="1031">
        <f>MIN(AT585*0.15+AS585*0.00003+INDEX(绊状态确认!M:M,MATCH($G585,绊状态确认!$B:$B,)),1)</f>
        <v>0.70465719951684003</v>
      </c>
      <c r="AV585" s="1045">
        <f>(INDEX(绊状态确认!$N:$N,MATCH($G585,绊状态确认!$B:$B,))+1.5)*$EW$21</f>
        <v>2.6599999999999997</v>
      </c>
      <c r="AW585" s="1038">
        <f t="shared" si="819"/>
        <v>24331.939962435346</v>
      </c>
      <c r="AX585" s="1035">
        <f t="shared" si="820"/>
        <v>692.38778905417041</v>
      </c>
      <c r="AY585" s="483">
        <f t="shared" si="821"/>
        <v>25024.327751489516</v>
      </c>
      <c r="AZ585" s="1106">
        <f t="shared" si="822"/>
        <v>16226.247162319998</v>
      </c>
      <c r="BA585" s="1108">
        <f t="shared" si="823"/>
        <v>19471.496594783996</v>
      </c>
      <c r="BB585" s="1035">
        <f>(AM585*(1+$FB$9)+$FB$35)*(1+(INDEX(绊状态确认!$T:$T,MATCH($G585,绊状态确认!$B:$B,))+0.2)*AO585)*IF(J585=$FF$17,1+$FE$17,1)*IF(I585=$FF$14,1+$FE$14,1)*(1+$FE$15)</f>
        <v>8154.7497138640001</v>
      </c>
      <c r="BC585" s="1035">
        <f>(AN585*(1+$FB$10)+$FB$36)*(1+(INDEX(绊状态确认!$T:$T,MATCH($G585,绊状态确认!$B:$B,))+0.2)*AO585)*IF(J585=$FF$17,1+$FE$17,1)*IF(I585=$FF$14,1+$FE$14,1)*(1+$FE$15)</f>
        <v>17488.573317227998</v>
      </c>
      <c r="BD585" s="481">
        <f>MIN(AT585*0.15+BC585*0.00003+INDEX(绊状态确认!M:M,MATCH($G585,绊状态确认!$B:$B,)),1)</f>
        <v>0.70465719951684003</v>
      </c>
      <c r="BE585" s="1109">
        <f>(INDEX(绊状态确认!$N:$N,MATCH($G585,绊状态确认!$B:$B,))+1.5)</f>
        <v>1.9</v>
      </c>
      <c r="BF585" s="646">
        <f t="array" ref="BF585">SUMPRODUCT(IF(AZ585*AP585*$FI$16:$FI$23*$FA$22&gt;=$FI$24,$FI$24,AZ585*AP585*$FI$16:$FI$23*$FA$22),$FJ$16:$FJ$23)</f>
        <v>32274.005605854483</v>
      </c>
      <c r="BG585" s="1047">
        <f t="array" ref="BG585">SUMPRODUCT(IF(BE585*AZ585*AP585*$FI$16:$FI$23*$FA$22&gt;=$FI$24,$FI$24,BE585*AZ585*AP585*$FI$16:$FI$23*$FA$22),$FJ$16:$FJ$23)</f>
        <v>57241.780160193113</v>
      </c>
      <c r="BH585" s="1046">
        <f t="shared" si="824"/>
        <v>16622.575900494186</v>
      </c>
      <c r="BI585" s="1048">
        <f>IF(O585="vo",$EW$26/$EW$24*0.05,0)+IF(O585="sk",-$EW$26/$EW$24*(0.05-INDEX(绊状态确认!W:W,MATCH($G585,绊状态确认!$B:$B,)))+0.05*$EW$28,0)+IF(O585="sp",0.05*$EW$32*$EW$30*(1-$EW$33)-(0.05-INDEX(绊状态确认!V:V,MATCH($G585,绊状态确认!$B:$B,)))*$EW$28,0)+IF(O585="gd",-(0.05-INDEX(绊状态确认!X:X,MATCH($G585,绊状态确认!$B:$B,)))*$EW$32*$EW$30*(1-$EW$33),0)</f>
        <v>19.999999999999886</v>
      </c>
      <c r="BJ585" s="1097">
        <f>IF(O585="vo",0.05*(1-$FI$26)*$FA$24,0)+IF(O585="sk",-(0.05-INDEX(绊状态确认!W:W,MATCH($G585,绊状态确认!$B:$B,)))*(1-$FI$26)*$FA$24+0.05*$FA$26,0)+IF(O585="sp",0.05*$FA$32*$FA$27*(1-$FA$33)/$FA$30+0.05*$FA$29/$FA$69*$FA$27*(1-$FA$33)-(0.05-INDEX(绊状态确认!V:V,MATCH($G585,绊状态确认!$B:$B,)))*$FA$26,0)+IF(O585="gd",-(0.05-INDEX(绊状态确认!X:X,MATCH($G585,绊状态确认!$B:$B,)))*$FA$32*$FA$27*(1-$FA$33)/$FA$30-(0.05-INDEX(绊状态确认!X:X,MATCH($G585,绊状态确认!$B:$B,)))*$FA$29/$FA$69*$FA$27*(1-$FA$33),0)</f>
        <v>545.83333333333326</v>
      </c>
      <c r="BK585" s="1046">
        <f>IF(O585="vo",$EW$26/$EW$24*0.05+$EW$26*(-HP($EW$62,$EW$65,$EW$64)+HP($EW$62,$EW$65,(1.05-INDEX(绊状态确认!U:U,MATCH($G585,绊状态确认!$B:$B,)))*$EW$64)),0)+IF(O585="sk",-$EW$26/$EW$24*(0.05-INDEX(绊状态确认!W:W,MATCH($G585,绊状态确认!$B:$B,)))+0.05*$EW$29,0)+IF(O585="sp",0.05*$EW$32*$EW$30*(1-$EW$33)-(0.05-INDEX(绊状态确认!V:V,MATCH($G585,绊状态确认!$B:$B,)))*$EW$29,0)+IF(O585="gd",-(0.05-INDEX(绊状态确认!X:X,MATCH($G585,绊状态确认!$B:$B,)))*$EW$32*$EW$30*(1-$EW$33)+$EW$26*(-HP($EW$62,$EW$65,$EW$64)+HP($EW$62,$EW$65,0.95*$EW$64)),0)</f>
        <v>-1780.0000000000005</v>
      </c>
      <c r="BL585" s="1048">
        <f t="shared" si="825"/>
        <v>-1083.3333333333333</v>
      </c>
      <c r="BM585" s="1046">
        <f t="shared" si="826"/>
        <v>-830.55555555555543</v>
      </c>
      <c r="BN585" s="1167">
        <f t="shared" si="827"/>
        <v>3</v>
      </c>
      <c r="BO585" s="1035">
        <f t="shared" si="828"/>
        <v>4507.7214871259994</v>
      </c>
      <c r="BP585" s="1043">
        <f t="shared" si="829"/>
        <v>221.34103209030098</v>
      </c>
      <c r="BQ585" s="1167" t="s">
        <v>1941</v>
      </c>
      <c r="BR585" s="1124" t="s">
        <v>166</v>
      </c>
      <c r="BS585" s="1098">
        <f>IF($P585="","N/A",IF($P585=-1,INDEX('卡片raw data'!AX:AX,MATCH($D585,'卡片raw data'!$F:$F,)),0)+IF($L585="party卡",IF($P585=5,INDEX('卡片raw data'!BD:BD,MATCH($D585,'卡片raw data'!$F:$F,)),IF($P585&gt;=3,INDEX('卡片raw data'!BC:BC,MATCH($D585,'卡片raw data'!$F:$F,)),INDEX('卡片raw data'!BB:BB,MATCH($D585,'卡片raw data'!$F:$F,)))),IF(OR(AND($F585="UR",$P585=0),AND($F585="SR",$P585&gt;=0,$P585&lt;=2),AND($F585="R",$P585&gt;=0,$P585&lt;4)),INDEX('卡片raw data'!AZ:AZ,MATCH($D585,'卡片raw data'!$F:$F,)),0)+IF(OR(AND($F585="UR",$P585&gt;=1,$P585&lt;=4),AND($F585="SR",$P585&lt;=4,$P585&gt;=3),AND($F585="R",$P585=4)),INDEX('卡片raw data'!BA:BA,MATCH($D585,'卡片raw data'!$F:$F,)),0)+IF($P585=5,INDEX('卡片raw data'!BB:BB,MATCH($D585,'卡片raw data'!$F:$F,)),0)))</f>
        <v>7.0000000000000007E-2</v>
      </c>
      <c r="BT585" s="1101">
        <f t="shared" si="830"/>
        <v>505.94574780673491</v>
      </c>
      <c r="BU585" s="1097">
        <f t="shared" si="831"/>
        <v>27.665156840118726</v>
      </c>
      <c r="BV585" s="1097">
        <f t="shared" si="832"/>
        <v>0</v>
      </c>
      <c r="BW585" s="1112">
        <f t="shared" si="833"/>
        <v>0</v>
      </c>
      <c r="BX585" s="1100">
        <f t="shared" si="834"/>
        <v>505.94574780673491</v>
      </c>
      <c r="BY585" s="1110">
        <f t="shared" si="835"/>
        <v>0</v>
      </c>
      <c r="BZ585" s="1113" t="s">
        <v>569</v>
      </c>
      <c r="CA585" s="1124"/>
      <c r="CB585" s="1098">
        <v>0</v>
      </c>
      <c r="CC585" s="1101">
        <f t="shared" si="794"/>
        <v>0</v>
      </c>
      <c r="CD585" s="1097">
        <f>IF(BZ585="ap",CB585*(1-$FI$26)*$FB$5/$FB$11*(+IF(CA585="全员",$FA$24,0)+IF(CA585="同作战",$FA$24,0)+IF(CA585="仲间",$FA$24*2/3,0)+IF(CA585="同属性",$FA$24*$FA$37/3,0)+IF(CA585="同年级",$FA$24*$FA$40/3,0)+IF(CA585="同学校",$FA$24*$FA$43/3,0)+IF(CA585="同小队",$FA$24*$FA$46/3,0)+IF(CA585="同type",$FA$24*INDEX($FB$49:$FB$52,MATCH(X585,$FA$49:$FA$52,))/3,0)+IF(CA585="自身",#REF!/3,0)),0)+IF(BZ585="te",CB585*(1-$FI$27)*($FA$20-1)*$FB$7/$FB$13*(+IF(CA585="全员",$FA$19*$FA$24/(1+($FA$20-1)*$FA$19),0)+IF(CA585="同作战",$FA$19*$FA$24/(1+($FA$20-1)*$FA$19),0)+IF(CA585="仲间",$FA$19*$FA$24*2/3/(1+($FA$20-1)*$FA$19),0)+IF(CA585="同属性",$FA$19*$FA$24*$FA$37/3/(1+($FA$20-1)*$FA$19),0)+IF(CA585="同年级",$FA$19*$FA$24*$FA$40/3/(1+($FA$20-1)*$FA$19),0)+IF(CA585="同学校",$FA$19*$FA$24*$FA$43/3/(1+($FA$20-1)*$FA$19),0)+IF(CA585="同小队",$FA$19*$FA$24*$FA$46/3/(1+($FA$20-1)*$FA$19),0)+IF(CA585="同type",$FA$19*$FA$24*INDEX($FB$49:$FB$52,MATCH(X585,$FA$49:$FA$52,))/3/(1+($FA$20-1)*$FA$19),0)+IF(CA585="自身",$FA$19*#REF!/3/(1+(BH585-1)*$BD585),0)),0)</f>
        <v>0</v>
      </c>
      <c r="CE585" s="1097">
        <f t="shared" si="836"/>
        <v>0</v>
      </c>
      <c r="CF585" s="1112">
        <f t="shared" si="795"/>
        <v>0</v>
      </c>
      <c r="CG585" s="1100">
        <f t="shared" si="837"/>
        <v>0</v>
      </c>
      <c r="CH585" s="1110">
        <f t="shared" si="838"/>
        <v>0</v>
      </c>
      <c r="CI585" s="1113" t="s">
        <v>160</v>
      </c>
      <c r="CJ585" s="1114">
        <v>0.5</v>
      </c>
      <c r="CK585" s="1115" t="s">
        <v>2305</v>
      </c>
      <c r="CL585" s="1169" t="s">
        <v>4747</v>
      </c>
      <c r="CM585" s="1166">
        <v>0.06</v>
      </c>
      <c r="CN585" s="1169"/>
      <c r="CO585" s="1169"/>
      <c r="CP585" s="1116">
        <f t="shared" si="839"/>
        <v>28.10663568840214</v>
      </c>
      <c r="CQ585" s="1116">
        <f t="shared" si="840"/>
        <v>58.295244390759983</v>
      </c>
      <c r="CR585" s="1116">
        <f t="shared" si="841"/>
        <v>28.10663568840214</v>
      </c>
      <c r="CS585" s="1118">
        <f t="shared" si="782"/>
        <v>0</v>
      </c>
      <c r="CT585" s="1109">
        <f t="shared" si="783"/>
        <v>0</v>
      </c>
      <c r="CU585" s="1101">
        <f t="shared" si="842"/>
        <v>0</v>
      </c>
      <c r="CV585" s="1108">
        <f t="shared" si="870"/>
        <v>0</v>
      </c>
      <c r="CW585" s="1097">
        <f t="shared" si="843"/>
        <v>0</v>
      </c>
      <c r="CX585" s="1097">
        <f t="shared" si="844"/>
        <v>2318.7524489016291</v>
      </c>
      <c r="CY585" s="1110">
        <f t="shared" si="845"/>
        <v>2318.7524489016291</v>
      </c>
      <c r="CZ585" s="1113"/>
      <c r="DA585" s="1114"/>
      <c r="DB585" s="1115" t="s">
        <v>569</v>
      </c>
      <c r="DC585" s="1115"/>
      <c r="DD585" s="1119"/>
      <c r="DE585" s="1092"/>
      <c r="DF585" s="1092"/>
      <c r="DG585" s="1116">
        <f t="shared" si="846"/>
        <v>0</v>
      </c>
      <c r="DH585" s="1116">
        <f t="shared" si="847"/>
        <v>0</v>
      </c>
      <c r="DI585" s="1116">
        <f t="shared" si="848"/>
        <v>0</v>
      </c>
      <c r="DJ585" s="1118">
        <f t="shared" si="871"/>
        <v>0</v>
      </c>
      <c r="DK585" s="1109">
        <f t="shared" si="872"/>
        <v>0</v>
      </c>
      <c r="DL585" s="1101">
        <f t="shared" si="849"/>
        <v>0</v>
      </c>
      <c r="DM585" s="1097">
        <f t="shared" si="850"/>
        <v>0</v>
      </c>
      <c r="DN585" s="1097">
        <f t="shared" si="851"/>
        <v>0</v>
      </c>
      <c r="DO585" s="1097">
        <f t="shared" si="852"/>
        <v>0</v>
      </c>
      <c r="DP585" s="1110">
        <f t="shared" si="853"/>
        <v>0</v>
      </c>
      <c r="DQ585" s="1113" t="s">
        <v>2158</v>
      </c>
      <c r="DR585" s="1120">
        <f t="shared" si="792"/>
        <v>0.3</v>
      </c>
      <c r="DS585" s="1165"/>
      <c r="DT585" s="1165" t="s">
        <v>4747</v>
      </c>
      <c r="DU585" s="1165"/>
      <c r="DV585" s="1098">
        <f>IF($P585="","N/A",IF(P585=-1,INDEX('卡片raw data'!AN:AN,MATCH(D585,'卡片raw data'!$F:$F,)),0)+IF(AND(L585&lt;&gt;"party卡",P585&lt;=2,P585&gt;=0),INDEX('卡片raw data'!AP:AP,MATCH(D585,'卡片raw data'!$F:$F,)),0)+IF(OR(AND(L585="party卡",P585&lt;=1),AND(P585&lt;=4,L585&lt;&gt;"party卡",P585&gt;=3)),INDEX('卡片raw data'!AQ:AQ,MATCH(D585,'卡片raw data'!$F:$F,)),0)+IF(OR(P585=5,AND(L585="party卡",P585&gt;=2)),INDEX('卡片raw data'!AR:AR,MATCH(D585,'卡片raw data'!$F:$F,)),0))</f>
        <v>0.22</v>
      </c>
      <c r="DW585" s="1098">
        <f t="shared" si="854"/>
        <v>0.3</v>
      </c>
      <c r="DX585" s="1098">
        <f t="shared" si="855"/>
        <v>0.3</v>
      </c>
      <c r="DY585" s="1097">
        <f t="shared" si="856"/>
        <v>384.74861297901589</v>
      </c>
      <c r="DZ585" s="1097">
        <f t="shared" si="857"/>
        <v>332.80755022684872</v>
      </c>
      <c r="EA585" s="1098">
        <f t="shared" si="858"/>
        <v>0</v>
      </c>
      <c r="EB585" s="1121">
        <f t="shared" si="859"/>
        <v>0</v>
      </c>
      <c r="EC585" s="1101">
        <f t="shared" si="860"/>
        <v>550.19051655999283</v>
      </c>
      <c r="ED585" s="1097">
        <f t="shared" si="861"/>
        <v>0</v>
      </c>
      <c r="EE585" s="1110">
        <f t="shared" si="775"/>
        <v>550.19051655999283</v>
      </c>
      <c r="EF585" s="1113" t="s">
        <v>569</v>
      </c>
      <c r="EG585" s="1120">
        <f t="shared" si="793"/>
        <v>0.3</v>
      </c>
      <c r="EH585" s="1124"/>
      <c r="EI585" s="1124"/>
      <c r="EJ585" s="1124"/>
      <c r="EK585" s="1097">
        <f>IF($P585="","N/A",IF(P585=-1,INDEX('卡片raw data'!AS:AS,MATCH(D585,'卡片raw data'!$F:$F,)),0)+IF(AND(L585&lt;&gt;"party卡",P585&lt;=2,P585&gt;=0),INDEX('卡片raw data'!AU:AU,MATCH(D585,'卡片raw data'!$F:$F,)),0)+IF(OR(AND(L585="party卡",P585&lt;=1),AND(P585&lt;=4,L585&lt;&gt;"party卡",P585&gt;=3)),INDEX('卡片raw data'!AV:AV,MATCH(D585,'卡片raw data'!$F:$F,)),0)+IF(OR(P585=5,AND(L585="party卡",P585&gt;=2)),INDEX('卡片raw data'!AW:AW,MATCH(D585,'卡片raw data'!$F:$F,)),0))</f>
        <v>0</v>
      </c>
      <c r="EL585" s="1098">
        <f t="shared" si="862"/>
        <v>0.3</v>
      </c>
      <c r="EM585" s="1098">
        <f t="shared" si="863"/>
        <v>0.3</v>
      </c>
      <c r="EN585" s="1097">
        <f t="shared" si="864"/>
        <v>0</v>
      </c>
      <c r="EO585" s="1097">
        <f t="shared" si="865"/>
        <v>0</v>
      </c>
      <c r="EP585" s="1098">
        <f t="shared" si="866"/>
        <v>0</v>
      </c>
      <c r="EQ585" s="1121">
        <f t="shared" si="867"/>
        <v>0</v>
      </c>
      <c r="ER585" s="1101">
        <f t="shared" si="868"/>
        <v>0</v>
      </c>
      <c r="ES585" s="1097">
        <f t="shared" si="869"/>
        <v>0</v>
      </c>
      <c r="ET585" s="1122">
        <f t="shared" si="776"/>
        <v>0</v>
      </c>
    </row>
    <row r="586" spans="2:150" ht="16.5" customHeight="1">
      <c r="B586" s="1123" t="str">
        <f>INDEX('卡片raw data'!B:B,MATCH($D586,'卡片raw data'!$F:$F,))</f>
        <v>fes2彼</v>
      </c>
      <c r="C586" s="1025" t="s">
        <v>4752</v>
      </c>
      <c r="D586" s="408">
        <v>583</v>
      </c>
      <c r="E586" s="1164">
        <v>202063002</v>
      </c>
      <c r="F586" s="1090" t="str">
        <f>INDEX('卡片raw data'!C:C,MATCH($D586,'卡片raw data'!$F:$F,))</f>
        <v>UR</v>
      </c>
      <c r="G586" s="1026" t="s">
        <v>4753</v>
      </c>
      <c r="H586" s="411">
        <f>IFERROR(INDEX(绊状态确认!C:C,MATCH($G586,绊状态确认!$B:$B,)),"")</f>
        <v>206</v>
      </c>
      <c r="I586" s="450" t="str">
        <f>IFERROR(INDEX(绊状态确认!D:D,MATCH($G586,绊状态确认!$B:$B,)),"")</f>
        <v>虹</v>
      </c>
      <c r="J586" s="450" t="str">
        <f>IFERROR(INDEX(绊状态确认!E:E,MATCH($G586,绊状态确认!$B:$B,)),"")</f>
        <v>3年级</v>
      </c>
      <c r="K586" s="451" t="str">
        <f>IFERROR(INDEX(绊状态确认!F:F,MATCH($G586,绊状态确认!$B:$B,)),"")</f>
        <v>QU4RTZ</v>
      </c>
      <c r="L586" s="1094" t="str">
        <f>INDEX('卡片raw data'!E:E,MATCH($D586,'卡片raw data'!$F:$F,))</f>
        <v>fes卡</v>
      </c>
      <c r="M586" s="1065">
        <v>44529</v>
      </c>
      <c r="N586" s="1027">
        <v>52.5</v>
      </c>
      <c r="O586" s="1091" t="str">
        <f>INDEX('卡片raw data'!D:D,MATCH($D586,'卡片raw data'!$F:$F,))</f>
        <v>sp</v>
      </c>
      <c r="P586" s="1126">
        <v>5</v>
      </c>
      <c r="Q586" s="1095">
        <f t="shared" si="796"/>
        <v>78160.682291503719</v>
      </c>
      <c r="R586" s="1096">
        <f t="shared" si="797"/>
        <v>0.90800000000000003</v>
      </c>
      <c r="S586" s="1097">
        <f t="shared" si="798"/>
        <v>21210.624974854549</v>
      </c>
      <c r="T586" s="1098">
        <f t="shared" si="799"/>
        <v>1.06</v>
      </c>
      <c r="U586" s="1099">
        <f t="shared" si="800"/>
        <v>12.817437839828571</v>
      </c>
      <c r="V586" s="1100">
        <f t="shared" si="801"/>
        <v>77379.423793921815</v>
      </c>
      <c r="W586" s="1101">
        <f t="shared" si="802"/>
        <v>9677.827603888014</v>
      </c>
      <c r="X586" s="1096">
        <f t="shared" si="803"/>
        <v>0.112</v>
      </c>
      <c r="Y586" s="1097">
        <f t="shared" si="804"/>
        <v>1018.7415024180955</v>
      </c>
      <c r="Z586" s="1102">
        <f t="shared" si="805"/>
        <v>12.817437839828571</v>
      </c>
      <c r="AA586" s="1103">
        <f t="shared" si="806"/>
        <v>10696.569106306109</v>
      </c>
      <c r="AB586" s="1101">
        <f t="shared" si="807"/>
        <v>13345.35989160803</v>
      </c>
      <c r="AC586" s="1104">
        <f t="shared" si="808"/>
        <v>0.155</v>
      </c>
      <c r="AD586" s="1105">
        <f t="shared" si="809"/>
        <v>-1.6087500000000001E-2</v>
      </c>
      <c r="AE586" s="1128">
        <f t="shared" si="810"/>
        <v>10.92391304347826</v>
      </c>
      <c r="AF586" s="1130">
        <f t="shared" si="811"/>
        <v>0</v>
      </c>
      <c r="AG586" s="1097">
        <f t="shared" si="812"/>
        <v>0</v>
      </c>
      <c r="AH586" s="1097">
        <f t="shared" si="813"/>
        <v>0</v>
      </c>
      <c r="AI586" s="1097">
        <f t="shared" si="814"/>
        <v>0</v>
      </c>
      <c r="AJ586" s="1097">
        <f t="shared" si="815"/>
        <v>0</v>
      </c>
      <c r="AK586" s="1129">
        <f t="shared" si="816"/>
        <v>0</v>
      </c>
      <c r="AL586" s="1042">
        <f>IF($P586="","N/A",(IF($P586=-1,INDEX('卡片raw data'!S:S,MATCH($D586,'卡片raw data'!$F:$F,)),0)+IF($P586=0,INDEX('卡片raw data'!V:V,MATCH($D586,'卡片raw data'!$F:$F,)),0)+IF($P586=1,INDEX('卡片raw data'!Y:Y,MATCH($D586,'卡片raw data'!$F:$F,)),0)+IF($P586=2,INDEX('卡片raw data'!AB:AB,MATCH($D586,'卡片raw data'!$F:$F,)),0)+IF($P586=3,INDEX('卡片raw data'!AE:AE,MATCH($D586,'卡片raw data'!$F:$F,)),0)+IF($P586=4,INDEX('卡片raw data'!AH:AH,MATCH($D586,'卡片raw data'!$F:$F,)),0)+IF($P586=5,INDEX('卡片raw data'!AK:AK,MATCH($D586,'卡片raw data'!$F:$F,)),0)+INDEX('卡片raw data'!S:S,MATCH($D586,'卡片raw data'!$F:$F,))*(IF($F586="UR",0.04,0.033))*(IF($F586="UR",INDEX(绊状态确认!$S:$S,MATCH($G586,绊状态确认!$B:$B,))/2-40)+IF($F586="SR",INDEX(绊状态确认!$R:$R,MATCH($G586,绊状态确认!$B:$B,))/4-15))+IF($F586="R",INDEX(绊状态确认!$Q:$Q,MATCH($G586,绊状态确认!$B:$B,))/6-40/6)))*(INDEX(绊状态确认!$H:$H,MATCH($G586,绊状态确认!$B:$B,))+INDEX(绊状态确认!J:J,MATCH($G586,绊状态确认!$B:$B,)))</f>
        <v>16131.152543999997</v>
      </c>
      <c r="AM586" s="1035">
        <f>IF($P586="","N/A",(IF($P586=-1,INDEX('卡片raw data'!T:T,MATCH($D586,'卡片raw data'!$F:$F,)),0)+IF($P586=0,INDEX('卡片raw data'!W:W,MATCH($D586,'卡片raw data'!$F:$F,)),0)+IF($P586=1,INDEX('卡片raw data'!Z:Z,MATCH($D586,'卡片raw data'!$F:$F,)),0)+IF($P586=2,INDEX('卡片raw data'!AC:AC,MATCH($D586,'卡片raw data'!$F:$F,)),0)+IF($P586=3,INDEX('卡片raw data'!AF:AF,MATCH($D586,'卡片raw data'!$F:$F,)),0)+IF($P586=4,INDEX('卡片raw data'!AI:AI,MATCH($D586,'卡片raw data'!$F:$F,)),0)+IF($P586=5,INDEX('卡片raw data'!AL:AL,MATCH($D586,'卡片raw data'!$F:$F,)),0)+INDEX('卡片raw data'!T:T,MATCH($D586,'卡片raw data'!$F:$F,))*(IF($F586="UR",0.04,0.033))*(IF($F586="UR",INDEX(绊状态确认!$S:$S,MATCH($G586,绊状态确认!$B:$B,))/2-40)+IF($F586="SR",INDEX(绊状态确认!$R:$R,MATCH($G586,绊状态确认!$B:$B,))/4-15))+IF($F586="R",INDEX(绊状态确认!$Q:$Q,MATCH($G586,绊状态确认!$B:$B,))/6-40/6)))*(INDEX(绊状态确认!$H:$H,MATCH($G586,绊状态确认!$B:$B,))+INDEX(绊状态确认!K:K,MATCH($G586,绊状态确认!$B:$B,)))</f>
        <v>5758.6388159999988</v>
      </c>
      <c r="AN586" s="1043">
        <f>IF($P586="","N/A",(IF($P586=-1,INDEX('卡片raw data'!U:U,MATCH($D586,'卡片raw data'!$F:$F,)),0)+IF($P586=0,INDEX('卡片raw data'!X:X,MATCH($D586,'卡片raw data'!$F:$F,)),0)+IF($P586=1,INDEX('卡片raw data'!AA:AA,MATCH($D586,'卡片raw data'!$F:$F,)),0)+IF($P586=2,INDEX('卡片raw data'!AD:AD,MATCH($D586,'卡片raw data'!$F:$F,)),0)+IF($P586=3,INDEX('卡片raw data'!AG:AG,MATCH($D586,'卡片raw data'!$F:$F,)),0)+IF($P586=4,INDEX('卡片raw data'!AJ:AJ,MATCH($D586,'卡片raw data'!$F:$F,)),0)+IF($P586=5,INDEX('卡片raw data'!AM:AM,MATCH($D586,'卡片raw data'!$F:$F,)),0)+INDEX('卡片raw data'!U:U,MATCH($D586,'卡片raw data'!$F:$F,))*(IF($F586="UR",0.04,0.033))*(IF($F586="UR",INDEX(绊状态确认!$S:$S,MATCH($G586,绊状态确认!$B:$B,))/2-40)+IF($F586="SR",INDEX(绊状态确认!$R:$R,MATCH($G586,绊状态确认!$B:$B,))/4-15))+IF($F586="R",INDEX(绊状态确认!$Q:$Q,MATCH($G586,绊状态确认!$B:$B,))/6-40/6)))*(INDEX(绊状态确认!$H:$H,MATCH($G586,绊状态确认!$B:$B,))+INDEX(绊状态确认!L:L,MATCH($G586,绊状态确认!$B:$B,)))</f>
        <v>16513.528415999997</v>
      </c>
      <c r="AO586" s="1167">
        <f t="shared" si="817"/>
        <v>1</v>
      </c>
      <c r="AP586" s="1044">
        <f>1+(INDEX(绊状态确认!$T:$T,MATCH($G586,绊状态确认!$B:$B,))+0.2)*$AO586</f>
        <v>1.3</v>
      </c>
      <c r="AQ586" s="1035">
        <f t="shared" si="818"/>
        <v>45594.275427999994</v>
      </c>
      <c r="AR586" s="1035">
        <f>(AM586*(1+$EX$9)+$EX$35)*(1+(INDEX(绊状态确认!$T:$T,MATCH($G586,绊状态确认!$B:$B,))+0.2)*AO586)*IF(J586=$FF$17,1+$FE$17,1)*IF(I586=$FF$14,1+$FE$14,1)</f>
        <v>10564.541983839999</v>
      </c>
      <c r="AS586" s="1035">
        <f>(AN586*(1+$EX$10)+$EX$36)*(1+(INDEX(绊状态确认!$T:$T,MATCH($G586,绊状态确认!$B:$B,))+0.2)*AO586)*IF(J586=$FF$17,1+$FE$17,1)*IF(I586=$FF$14,1+$FE$14,1)</f>
        <v>28743.724981919997</v>
      </c>
      <c r="AT586" s="1165">
        <f>IF(AND(INDEX('卡片raw data'!AK:AK,MATCH($D586,'卡片raw data'!$F:$F,))&lt;INDEX('卡片raw data'!AM:AM,MATCH($D586,'卡片raw data'!$F:$F,)),INDEX('卡片raw data'!AL:AL,MATCH($D586,'卡片raw data'!$F:$F,))&lt;INDEX('卡片raw data'!AM:AM,MATCH($D586,'卡片raw data'!$F:$F,))),1,0)</f>
        <v>1</v>
      </c>
      <c r="AU586" s="1031">
        <f>MIN(AT586*0.15+AS586*0.00003+INDEX(绊状态确认!M:M,MATCH($G586,绊状态确认!$B:$B,)),1)</f>
        <v>1</v>
      </c>
      <c r="AV586" s="1045">
        <f>(INDEX(绊状态确认!$N:$N,MATCH($G586,绊状态确认!$B:$B,))+1.5)*$EW$21</f>
        <v>2.6599999999999997</v>
      </c>
      <c r="AW586" s="1038">
        <f t="shared" si="819"/>
        <v>62986.767224033283</v>
      </c>
      <c r="AX586" s="1035">
        <f t="shared" si="820"/>
        <v>901.7330126081655</v>
      </c>
      <c r="AY586" s="483">
        <f t="shared" si="821"/>
        <v>63888.500236641448</v>
      </c>
      <c r="AZ586" s="1106">
        <f t="shared" si="822"/>
        <v>34055.74746079999</v>
      </c>
      <c r="BA586" s="1108">
        <f t="shared" si="823"/>
        <v>40866.896952959985</v>
      </c>
      <c r="BB586" s="1035">
        <f>(AM586*(1+$FB$9)+$FB$35)*(1+(INDEX(绊状态确认!$T:$T,MATCH($G586,绊状态确认!$B:$B,))+0.2)*AO586)*IF(J586=$FF$17,1+$FE$17,1)*IF(I586=$FF$14,1+$FE$14,1)*(1+$FE$15)</f>
        <v>10564.541983839999</v>
      </c>
      <c r="BC586" s="1035">
        <f>(AN586*(1+$FB$10)+$FB$36)*(1+(INDEX(绊状态确认!$T:$T,MATCH($G586,绊状态确认!$B:$B,))+0.2)*AO586)*IF(J586=$FF$17,1+$FE$17,1)*IF(I586=$FF$14,1+$FE$14,1)*(1+$FE$15)</f>
        <v>28743.724981919997</v>
      </c>
      <c r="BD586" s="481">
        <f>MIN(AT586*0.15+BC586*0.00003+INDEX(绊状态确认!M:M,MATCH($G586,绊状态确认!$B:$B,)),1)</f>
        <v>1</v>
      </c>
      <c r="BE586" s="1109">
        <f>(INDEX(绊状态确认!$N:$N,MATCH($G586,绊状态确认!$B:$B,))+1.5)</f>
        <v>1.9</v>
      </c>
      <c r="BF586" s="646">
        <f t="array" ref="BF586">SUMPRODUCT(IF(AZ586*AP586*$FI$16:$FI$23*$FA$22&gt;=$FI$24,$FI$24,AZ586*AP586*$FI$16:$FI$23*$FA$22),$FJ$16:$FJ$23)</f>
        <v>59068.117924759994</v>
      </c>
      <c r="BG586" s="1047">
        <f t="array" ref="BG586">SUMPRODUCT(IF(BE586*AZ586*AP586*$FI$16:$FI$23*$FA$22&gt;=$FI$24,$FI$24,BE586*AZ586*AP586*$FI$16:$FI$23*$FA$22),$FJ$16:$FJ$23)</f>
        <v>60000</v>
      </c>
      <c r="BH586" s="1046">
        <f t="shared" si="824"/>
        <v>20000</v>
      </c>
      <c r="BI586" s="1048">
        <f>IF(O586="vo",$EW$26/$EW$24*0.05,0)+IF(O586="sk",-$EW$26/$EW$24*(0.05-INDEX(绊状态确认!W:W,MATCH($G586,绊状态确认!$B:$B,)))+0.05*$EW$28,0)+IF(O586="sp",0.05*$EW$32*$EW$30*(1-$EW$33)-(0.05-INDEX(绊状态确认!V:V,MATCH($G586,绊状态确认!$B:$B,)))*$EW$28,0)+IF(O586="gd",-(0.05-INDEX(绊状态确认!X:X,MATCH($G586,绊状态确认!$B:$B,)))*$EW$32*$EW$30*(1-$EW$33),0)</f>
        <v>19.999999999999886</v>
      </c>
      <c r="BJ586" s="1097">
        <f>IF(O586="vo",0.05*(1-$FI$26)*$FA$24,0)+IF(O586="sk",-(0.05-INDEX(绊状态确认!W:W,MATCH($G586,绊状态确认!$B:$B,)))*(1-$FI$26)*$FA$24+0.05*$FA$26,0)+IF(O586="sp",0.05*$FA$32*$FA$27*(1-$FA$33)/$FA$30+0.05*$FA$29/$FA$69*$FA$27*(1-$FA$33)-(0.05-INDEX(绊状态确认!V:V,MATCH($G586,绊状态确认!$B:$B,)))*$FA$26,0)+IF(O586="gd",-(0.05-INDEX(绊状态确认!X:X,MATCH($G586,绊状态确认!$B:$B,)))*$FA$32*$FA$27*(1-$FA$33)/$FA$30-(0.05-INDEX(绊状态确认!X:X,MATCH($G586,绊状态确认!$B:$B,)))*$FA$29/$FA$69*$FA$27*(1-$FA$33),0)</f>
        <v>545.83333333333326</v>
      </c>
      <c r="BK586" s="1046">
        <f>IF(O586="vo",$EW$26/$EW$24*0.05+$EW$26*(-HP($EW$62,$EW$65,$EW$64)+HP($EW$62,$EW$65,(1.05-INDEX(绊状态确认!U:U,MATCH($G586,绊状态确认!$B:$B,)))*$EW$64)),0)+IF(O586="sk",-$EW$26/$EW$24*(0.05-INDEX(绊状态确认!W:W,MATCH($G586,绊状态确认!$B:$B,)))+0.05*$EW$29,0)+IF(O586="sp",0.05*$EW$32*$EW$30*(1-$EW$33)-(0.05-INDEX(绊状态确认!V:V,MATCH($G586,绊状态确认!$B:$B,)))*$EW$29,0)+IF(O586="gd",-(0.05-INDEX(绊状态确认!X:X,MATCH($G586,绊状态确认!$B:$B,)))*$EW$32*$EW$30*(1-$EW$33)+$EW$26*(-HP($EW$62,$EW$65,$EW$64)+HP($EW$62,$EW$65,0.95*$EW$64)),0)</f>
        <v>-1780.0000000000005</v>
      </c>
      <c r="BL586" s="1048">
        <f t="shared" si="825"/>
        <v>0</v>
      </c>
      <c r="BM586" s="1046">
        <f t="shared" si="826"/>
        <v>0</v>
      </c>
      <c r="BN586" s="1167">
        <f t="shared" si="827"/>
        <v>4</v>
      </c>
      <c r="BO586" s="1035">
        <f t="shared" si="828"/>
        <v>6010.2953161679998</v>
      </c>
      <c r="BP586" s="1043">
        <f t="shared" si="829"/>
        <v>295.12137612040135</v>
      </c>
      <c r="BQ586" s="1167" t="s">
        <v>1940</v>
      </c>
      <c r="BR586" s="1165" t="s">
        <v>2075</v>
      </c>
      <c r="BS586" s="1098">
        <f>IF($P586="","N/A",IF($P586=-1,INDEX('卡片raw data'!AX:AX,MATCH($D586,'卡片raw data'!$F:$F,)),0)+IF($L586="party卡",IF($P586=5,INDEX('卡片raw data'!BD:BD,MATCH($D586,'卡片raw data'!$F:$F,)),IF($P586&gt;=3,INDEX('卡片raw data'!BC:BC,MATCH($D586,'卡片raw data'!$F:$F,)),INDEX('卡片raw data'!BB:BB,MATCH($D586,'卡片raw data'!$F:$F,)))),IF(OR(AND($F586="UR",$P586=0),AND($F586="SR",$P586&gt;=0,$P586&lt;=2),AND($F586="R",$P586&gt;=0,$P586&lt;4)),INDEX('卡片raw data'!AZ:AZ,MATCH($D586,'卡片raw data'!$F:$F,)),0)+IF(OR(AND($F586="UR",$P586&gt;=1,$P586&lt;=4),AND($F586="SR",$P586&lt;=4,$P586&gt;=3),AND($F586="R",$P586=4)),INDEX('卡片raw data'!BA:BA,MATCH($D586,'卡片raw data'!$F:$F,)),0)+IF($P586=5,INDEX('卡片raw data'!BB:BB,MATCH($D586,'卡片raw data'!$F:$F,)),0)))</f>
        <v>6.5000000000000002E-2</v>
      </c>
      <c r="BT586" s="1101">
        <f t="shared" si="830"/>
        <v>3255.5766295909998</v>
      </c>
      <c r="BU586" s="1097">
        <f t="shared" si="831"/>
        <v>139.87523555706522</v>
      </c>
      <c r="BV586" s="1097">
        <f t="shared" si="832"/>
        <v>1627.7883147955001</v>
      </c>
      <c r="BW586" s="1112">
        <f t="shared" si="833"/>
        <v>0</v>
      </c>
      <c r="BX586" s="1100">
        <f t="shared" si="834"/>
        <v>3255.5766295909998</v>
      </c>
      <c r="BY586" s="1110">
        <f t="shared" si="835"/>
        <v>1627.7883147955001</v>
      </c>
      <c r="BZ586" s="1113" t="s">
        <v>133</v>
      </c>
      <c r="CA586" s="1124" t="s">
        <v>171</v>
      </c>
      <c r="CB586" s="1098">
        <f>IF($P586="","N/A",IF($P586=-1,INDEX('卡片raw data'!BE:BE,MATCH($D586,'卡片raw data'!$F:$F,)),0)+IF($L586="party卡",IF($P586=5,INDEX('卡片raw data'!BK:BK,MATCH($D586,'卡片raw data'!$F:$F,)),IF($P586&gt;=3,INDEX('卡片raw data'!BJ:BJ,MATCH($D586,'卡片raw data'!$F:$F,)),INDEX('卡片raw data'!BI:BI,MATCH($D586,'卡片raw data'!$F:$F,)))),IF(OR(AND($F586="UR",$P586=0),AND($F586="SR",$P586&gt;=0,$P586&lt;=2),AND($F586="R",$P586&gt;=0,$P586&lt;4)),INDEX('卡片raw data'!BG:BG,MATCH($D586,'卡片raw data'!$F:$F,)),0)+IF(OR(AND($F586="UR",$P586&gt;=1,$P586&lt;=4),AND($F586="SR",$P586&lt;=4,$P586&gt;=3),AND($F586="R",$P586=4)),INDEX('卡片raw data'!BH:BH,MATCH($D586,'卡片raw data'!$F:$F,)),0)+IF($P586=5,INDEX('卡片raw data'!BI:BI,MATCH($D586,'卡片raw data'!$F:$F,)),0)))</f>
        <v>3.2000000000000001E-2</v>
      </c>
      <c r="CC586" s="1101">
        <f>IF(BZ586="ap",CB586*$EX$5/$EX$11*(+IF(CA586="全员",$EW$26,0)+IF(CA586="同作战",$EW$26,0)+IF(CA586="仲间",$EW$26*2/3,0)+IF(CA586="同属性",$EW$26*$EW$37/3,0)+IF(CA586="同年级",$EW$26*$EW$40/3,0)+IF(CA586="同学校",$EW$26*$EW$43/3,0)+IF(CA586="同小队",$EW$26*$EW$46/3,0)+IF(CA586="同type",$EW$26*INDEX($EX$49:$EX$52,MATCH(X586,$EW$49:$EW$52,))/3,0)+IF(CA586="自身",$AW586,0)),0)+IF(BZ586="te",CB586*($EW$22-1)*0.00003*$EX$7/$EX$13*(+IF(CA586="全员",$EX$18*$EW$26/(1+($EW$22-1)*$EW$19),0)+IF(CA586="同作战",$EX$18*$EW$26/(1+($EW$22-1)*$EW$19),0)+IF(CA586="仲间",$EX$18*$EW$26/(1+($EW$22-1)*$EW$19)*2/3,0)+IF(CA586="同属性",$EX$18*$EW$26/(1+($EW$22-1)*$EW$19)*$EW$37/3,0)+IF(CA586="同年级",$EX$18*$EW$26/(1+($EW$22-1)*$EW$19)*$EW$40/3,0)+IF(CA586="同学校",$EX$18*$EW$26/(1+($EW$22-1)*$EW$19)*$EW$43/3,0)+IF(CA586="同小队",$EX$18*$EW$26/(1+($EW$22-1)*$EW$19)*$EW$46/3,0)+IF(CA586="同type",$EX$18*$EW$26/(1+($EW$22-1)*$EW$19)*INDEX($EX$49:$EX$52,MATCH(X586,$EW$49:$EW$52,))/3,0)+IF(CA586="自身",$AS586*$AW586/(1+(BE586-1)*$AU586),0)),0)</f>
        <v>0</v>
      </c>
      <c r="CD586" s="1097">
        <f>IF(BZ586="ap",CB586*(1-$FI$26)*$FB$5/$FB$11*(+IF(CA586="全员",$FA$24,0)+IF(CA586="同作战",$FA$24,0)+IF(CA586="仲间",$FA$24*2/3,0)+IF(CA586="同属性",$FA$24*$FA$37/3,0)+IF(CA586="同年级",$FA$24*$FA$40/3,0)+IF(CA586="同学校",$FA$24*$FA$43/3,0)+IF(CA586="同小队",$FA$24*$FA$46/3,0)+IF(CA586="同type",$FA$24*INDEX($FB$49:$FB$52,MATCH(X586,$FA$49:$FA$52,))/3,0)+IF(CA586="自身",BQ586/3,0)),0)+IF(BZ586="te",CB586*(1-$FI$27)*($FA$20-1)*$FB$7/$FB$13*(+IF(CA586="全员",$FA$19*$FA$24/(1+($FA$20-1)*$FA$19),0)+IF(CA586="同作战",$FA$19*$FA$24/(1+($FA$20-1)*$FA$19),0)+IF(CA586="仲间",$FA$19*$FA$24*2/3/(1+($FA$20-1)*$FA$19),0)+IF(CA586="同属性",$FA$19*$FA$24*$FA$37/3/(1+($FA$20-1)*$FA$19),0)+IF(CA586="同年级",$FA$19*$FA$24*$FA$40/3/(1+($FA$20-1)*$FA$19),0)+IF(CA586="同学校",$FA$19*$FA$24*$FA$43/3/(1+($FA$20-1)*$FA$19),0)+IF(CA586="同小队",$FA$19*$FA$24*$FA$46/3/(1+($FA$20-1)*$FA$19),0)+IF(CA586="同type",$FA$19*$FA$24*INDEX($FB$49:$FB$52,MATCH(X586,$FA$49:$FA$52,))/3/(1+($FA$20-1)*$FA$19),0)+IF(CA586="自身",$FA$19*BQ586/3/(1+(BE586-1)*$BD586),0)),0)</f>
        <v>0</v>
      </c>
      <c r="CE586" s="1097">
        <f t="shared" si="836"/>
        <v>0</v>
      </c>
      <c r="CF586" s="1112">
        <f>IF(BZ586="st",CB586*$EX$6/$EX$12*(+IF(CA586="全员",$EX$17*9,0)+IF(CA586="仲间",$EX$17*8,0)+IF(CA586="同作战",$EX$17*3,0)+IF(CA586="同属性",$EX$17*$EW$39,0)+IF(CA586="同年级",$EX$17*$EW$42,0)+IF(CA586="同学校",$EX$17*$EW$45,0)+IF(CA586="同小队",$EX$17*$EW$48,0)+IF(CA586="同type",$EX$17*INDEX($EX$57:$EX$60,MATCH(X586,$EW$57:$EW$60,)),0)+IF(CA586="自身",$AR586)),0)/$EW$65*$EW$78</f>
        <v>1.498285714285714</v>
      </c>
      <c r="CG586" s="1100">
        <f t="shared" si="837"/>
        <v>117.00848980993118</v>
      </c>
      <c r="CH586" s="1110">
        <f t="shared" si="838"/>
        <v>117.00848980993118</v>
      </c>
      <c r="CI586" s="1113" t="s">
        <v>160</v>
      </c>
      <c r="CJ586" s="1114">
        <v>0.5</v>
      </c>
      <c r="CK586" s="1115" t="s">
        <v>2286</v>
      </c>
      <c r="CL586" s="1115" t="s">
        <v>2075</v>
      </c>
      <c r="CM586" s="1166">
        <v>1.2E-2</v>
      </c>
      <c r="CN586" s="1169" t="s">
        <v>2076</v>
      </c>
      <c r="CO586" s="1169"/>
      <c r="CP586" s="1118">
        <f t="shared" si="839"/>
        <v>0.03</v>
      </c>
      <c r="CQ586" s="1118">
        <f t="shared" si="840"/>
        <v>3.5000000000000003E-2</v>
      </c>
      <c r="CR586" s="1118">
        <f t="shared" si="841"/>
        <v>1.4999999999999999E-2</v>
      </c>
      <c r="CS586" s="1118">
        <f t="shared" si="782"/>
        <v>0</v>
      </c>
      <c r="CT586" s="1109">
        <f t="shared" si="783"/>
        <v>0</v>
      </c>
      <c r="CU586" s="1101">
        <f t="shared" si="842"/>
        <v>4079.48794584903</v>
      </c>
      <c r="CV586" s="1108">
        <f t="shared" si="870"/>
        <v>229.79502984375006</v>
      </c>
      <c r="CW586" s="1108">
        <f t="shared" si="843"/>
        <v>2039.743972924515</v>
      </c>
      <c r="CX586" s="1097">
        <f t="shared" si="844"/>
        <v>4079.48794584903</v>
      </c>
      <c r="CY586" s="1110">
        <f t="shared" si="845"/>
        <v>2039.743972924515</v>
      </c>
      <c r="CZ586" s="437"/>
      <c r="DA586" s="1114"/>
      <c r="DB586" s="1115" t="s">
        <v>569</v>
      </c>
      <c r="DC586" s="1115"/>
      <c r="DD586" s="1119"/>
      <c r="DE586" s="1092"/>
      <c r="DF586" s="1092"/>
      <c r="DG586" s="1116">
        <f t="shared" si="846"/>
        <v>0</v>
      </c>
      <c r="DH586" s="1116">
        <f t="shared" si="847"/>
        <v>0</v>
      </c>
      <c r="DI586" s="1116">
        <f t="shared" si="848"/>
        <v>0</v>
      </c>
      <c r="DJ586" s="1118">
        <f t="shared" si="871"/>
        <v>0</v>
      </c>
      <c r="DK586" s="1109">
        <f t="shared" si="872"/>
        <v>0</v>
      </c>
      <c r="DL586" s="1101">
        <f t="shared" si="849"/>
        <v>0</v>
      </c>
      <c r="DM586" s="1097">
        <f t="shared" si="850"/>
        <v>0</v>
      </c>
      <c r="DN586" s="1097">
        <f t="shared" si="851"/>
        <v>0</v>
      </c>
      <c r="DO586" s="1097">
        <f t="shared" si="852"/>
        <v>0</v>
      </c>
      <c r="DP586" s="1110">
        <f t="shared" si="853"/>
        <v>0</v>
      </c>
      <c r="DQ586" s="1113" t="s">
        <v>2158</v>
      </c>
      <c r="DR586" s="1120">
        <f t="shared" si="792"/>
        <v>0.33</v>
      </c>
      <c r="DS586" s="1165"/>
      <c r="DT586" s="1165" t="s">
        <v>1941</v>
      </c>
      <c r="DU586" s="1165"/>
      <c r="DV586" s="1098">
        <f>IF($P586="","N/A",IF(P586=-1,INDEX('卡片raw data'!AN:AN,MATCH(D586,'卡片raw data'!$F:$F,)),0)+IF(AND(L586&lt;&gt;"party卡",P586&lt;=2,P586&gt;=0),INDEX('卡片raw data'!AP:AP,MATCH(D586,'卡片raw data'!$F:$F,)),0)+IF(OR(AND(L586="party卡",P586&lt;=1),AND(P586&lt;=4,L586&lt;&gt;"party卡",P586&gt;=3)),INDEX('卡片raw data'!AQ:AQ,MATCH(D586,'卡片raw data'!$F:$F,)),0)+IF(OR(P586=5,AND(L586="party卡",P586&gt;=2)),INDEX('卡片raw data'!AR:AR,MATCH(D586,'卡片raw data'!$F:$F,)),0))</f>
        <v>0.4</v>
      </c>
      <c r="DW586" s="1098">
        <f t="shared" si="854"/>
        <v>0.33</v>
      </c>
      <c r="DX586" s="1098">
        <f t="shared" si="855"/>
        <v>0.33</v>
      </c>
      <c r="DY586" s="1097">
        <f t="shared" si="856"/>
        <v>1264.7238992044802</v>
      </c>
      <c r="DZ586" s="1097">
        <f t="shared" si="857"/>
        <v>1093.9861728118753</v>
      </c>
      <c r="EA586" s="1098">
        <f t="shared" si="858"/>
        <v>0</v>
      </c>
      <c r="EB586" s="1121">
        <f t="shared" si="859"/>
        <v>0</v>
      </c>
      <c r="EC586" s="1101">
        <f t="shared" si="860"/>
        <v>1808.5551758624069</v>
      </c>
      <c r="ED586" s="1097">
        <f t="shared" si="861"/>
        <v>0</v>
      </c>
      <c r="EE586" s="1110">
        <f t="shared" si="775"/>
        <v>1808.5551758624069</v>
      </c>
      <c r="EF586" s="1113" t="s">
        <v>569</v>
      </c>
      <c r="EG586" s="1120">
        <f t="shared" si="793"/>
        <v>0.33</v>
      </c>
      <c r="EH586" s="1124"/>
      <c r="EI586" s="1124"/>
      <c r="EJ586" s="1124"/>
      <c r="EK586" s="1097">
        <f>IF($P586="","N/A",IF(P586=-1,INDEX('卡片raw data'!AS:AS,MATCH(D586,'卡片raw data'!$F:$F,)),0)+IF(AND(L586&lt;&gt;"party卡",P586&lt;=2,P586&gt;=0),INDEX('卡片raw data'!AU:AU,MATCH(D586,'卡片raw data'!$F:$F,)),0)+IF(OR(AND(L586="party卡",P586&lt;=1),AND(P586&lt;=4,L586&lt;&gt;"party卡",P586&gt;=3)),INDEX('卡片raw data'!AV:AV,MATCH(D586,'卡片raw data'!$F:$F,)),0)+IF(OR(P586=5,AND(L586="party卡",P586&gt;=2)),INDEX('卡片raw data'!AW:AW,MATCH(D586,'卡片raw data'!$F:$F,)),0))</f>
        <v>0</v>
      </c>
      <c r="EL586" s="1098">
        <f t="shared" si="862"/>
        <v>0.33</v>
      </c>
      <c r="EM586" s="1098">
        <f t="shared" si="863"/>
        <v>0.33</v>
      </c>
      <c r="EN586" s="1097">
        <f t="shared" si="864"/>
        <v>0</v>
      </c>
      <c r="EO586" s="1097">
        <f t="shared" si="865"/>
        <v>0</v>
      </c>
      <c r="EP586" s="1098">
        <f t="shared" si="866"/>
        <v>0</v>
      </c>
      <c r="EQ586" s="1121">
        <f t="shared" si="867"/>
        <v>0</v>
      </c>
      <c r="ER586" s="1101">
        <f t="shared" si="868"/>
        <v>0</v>
      </c>
      <c r="ES586" s="1097">
        <f t="shared" si="869"/>
        <v>0</v>
      </c>
      <c r="ET586" s="1122">
        <f t="shared" si="776"/>
        <v>0</v>
      </c>
    </row>
    <row r="587" spans="2:150" ht="16.5" customHeight="1">
      <c r="B587" s="1123" t="str">
        <f>INDEX('卡片raw data'!B:B,MATCH($D587,'卡片raw data'!$F:$F,))</f>
        <v>fes2菜</v>
      </c>
      <c r="C587" s="1025" t="s">
        <v>2051</v>
      </c>
      <c r="D587" s="408">
        <v>584</v>
      </c>
      <c r="E587" s="1164">
        <v>202073002</v>
      </c>
      <c r="F587" s="1090" t="str">
        <f>INDEX('卡片raw data'!C:C,MATCH($D587,'卡片raw data'!$F:$F,))</f>
        <v>UR</v>
      </c>
      <c r="G587" s="1026" t="s">
        <v>4756</v>
      </c>
      <c r="H587" s="411">
        <f>IFERROR(INDEX(绊状态确认!C:C,MATCH($G587,绊状态确认!$B:$B,)),"")</f>
        <v>207</v>
      </c>
      <c r="I587" s="450" t="str">
        <f>IFERROR(INDEX(绊状态确认!D:D,MATCH($G587,绊状态确认!$B:$B,)),"")</f>
        <v>虹</v>
      </c>
      <c r="J587" s="450" t="str">
        <f>IFERROR(INDEX(绊状态确认!E:E,MATCH($G587,绊状态确认!$B:$B,)),"")</f>
        <v>2年级</v>
      </c>
      <c r="K587" s="451" t="str">
        <f>IFERROR(INDEX(绊状态确认!F:F,MATCH($G587,绊状态确认!$B:$B,)),"")</f>
        <v>A·ZU·NA</v>
      </c>
      <c r="L587" s="1094" t="str">
        <f>INDEX('卡片raw data'!E:E,MATCH($D587,'卡片raw data'!$F:$F,))</f>
        <v>fes卡</v>
      </c>
      <c r="M587" s="1065">
        <v>44529</v>
      </c>
      <c r="N587" s="1027">
        <v>52.5</v>
      </c>
      <c r="O587" s="1091" t="str">
        <f>INDEX('卡片raw data'!D:D,MATCH($D587,'卡片raw data'!$F:$F,))</f>
        <v>sp</v>
      </c>
      <c r="P587" s="1126">
        <v>5</v>
      </c>
      <c r="Q587" s="1095">
        <f t="shared" si="796"/>
        <v>75508.967149551841</v>
      </c>
      <c r="R587" s="1096">
        <f t="shared" si="797"/>
        <v>0.877</v>
      </c>
      <c r="S587" s="1097">
        <f t="shared" si="798"/>
        <v>23602.247662585454</v>
      </c>
      <c r="T587" s="1098">
        <f t="shared" si="799"/>
        <v>1.18</v>
      </c>
      <c r="U587" s="1099">
        <f t="shared" si="800"/>
        <v>13.006931132742857</v>
      </c>
      <c r="V587" s="1100">
        <f t="shared" si="801"/>
        <v>74748.747131861135</v>
      </c>
      <c r="W587" s="1101">
        <f t="shared" si="802"/>
        <v>8446.2785479945123</v>
      </c>
      <c r="X587" s="1096">
        <f t="shared" si="803"/>
        <v>9.8000000000000004E-2</v>
      </c>
      <c r="Y587" s="1097">
        <f t="shared" si="804"/>
        <v>1039.7799823092992</v>
      </c>
      <c r="Z587" s="1102">
        <f t="shared" si="805"/>
        <v>13.006931132742857</v>
      </c>
      <c r="AA587" s="1103">
        <f t="shared" si="806"/>
        <v>9486.0585303038115</v>
      </c>
      <c r="AB587" s="1101">
        <f t="shared" si="807"/>
        <v>10828.690351249596</v>
      </c>
      <c r="AC587" s="1104">
        <f t="shared" si="808"/>
        <v>0.125</v>
      </c>
      <c r="AD587" s="1105">
        <f t="shared" si="809"/>
        <v>-1.6087500000000001E-2</v>
      </c>
      <c r="AE587" s="1128">
        <f t="shared" si="810"/>
        <v>134.26169054347824</v>
      </c>
      <c r="AF587" s="1130">
        <f t="shared" si="811"/>
        <v>0</v>
      </c>
      <c r="AG587" s="1097">
        <f t="shared" si="812"/>
        <v>0</v>
      </c>
      <c r="AH587" s="1097">
        <f t="shared" si="813"/>
        <v>0</v>
      </c>
      <c r="AI587" s="1097">
        <f t="shared" si="814"/>
        <v>0</v>
      </c>
      <c r="AJ587" s="1097">
        <f t="shared" si="815"/>
        <v>0</v>
      </c>
      <c r="AK587" s="1129">
        <f t="shared" si="816"/>
        <v>0</v>
      </c>
      <c r="AL587" s="1042">
        <f>IF($P587="","N/A",(IF($P587=-1,INDEX('卡片raw data'!S:S,MATCH($D587,'卡片raw data'!$F:$F,)),0)+IF($P587=0,INDEX('卡片raw data'!V:V,MATCH($D587,'卡片raw data'!$F:$F,)),0)+IF($P587=1,INDEX('卡片raw data'!Y:Y,MATCH($D587,'卡片raw data'!$F:$F,)),0)+IF($P587=2,INDEX('卡片raw data'!AB:AB,MATCH($D587,'卡片raw data'!$F:$F,)),0)+IF($P587=3,INDEX('卡片raw data'!AE:AE,MATCH($D587,'卡片raw data'!$F:$F,)),0)+IF($P587=4,INDEX('卡片raw data'!AH:AH,MATCH($D587,'卡片raw data'!$F:$F,)),0)+IF($P587=5,INDEX('卡片raw data'!AK:AK,MATCH($D587,'卡片raw data'!$F:$F,)),0)+INDEX('卡片raw data'!S:S,MATCH($D587,'卡片raw data'!$F:$F,))*(IF($F587="UR",0.04,0.033))*(IF($F587="UR",INDEX(绊状态确认!$S:$S,MATCH($G587,绊状态确认!$B:$B,))/2-40)+IF($F587="SR",INDEX(绊状态确认!$R:$R,MATCH($G587,绊状态确认!$B:$B,))/4-15))+IF($F587="R",INDEX(绊状态确认!$Q:$Q,MATCH($G587,绊状态确认!$B:$B,))/6-40/6)))*(INDEX(绊状态确认!$H:$H,MATCH($G587,绊状态确认!$B:$B,))+INDEX(绊状态确认!J:J,MATCH($G587,绊状态确认!$B:$B,)))</f>
        <v>15364.127999999999</v>
      </c>
      <c r="AM587" s="1035">
        <f>IF($P587="","N/A",(IF($P587=-1,INDEX('卡片raw data'!T:T,MATCH($D587,'卡片raw data'!$F:$F,)),0)+IF($P587=0,INDEX('卡片raw data'!W:W,MATCH($D587,'卡片raw data'!$F:$F,)),0)+IF($P587=1,INDEX('卡片raw data'!Z:Z,MATCH($D587,'卡片raw data'!$F:$F,)),0)+IF($P587=2,INDEX('卡片raw data'!AC:AC,MATCH($D587,'卡片raw data'!$F:$F,)),0)+IF($P587=3,INDEX('卡片raw data'!AF:AF,MATCH($D587,'卡片raw data'!$F:$F,)),0)+IF($P587=4,INDEX('卡片raw data'!AI:AI,MATCH($D587,'卡片raw data'!$F:$F,)),0)+IF($P587=5,INDEX('卡片raw data'!AL:AL,MATCH($D587,'卡片raw data'!$F:$F,)),0)+INDEX('卡片raw data'!T:T,MATCH($D587,'卡片raw data'!$F:$F,))*(IF($F587="UR",0.04,0.033))*(IF($F587="UR",INDEX(绊状态确认!$S:$S,MATCH($G587,绊状态确认!$B:$B,))/2-40)+IF($F587="SR",INDEX(绊状态确认!$R:$R,MATCH($G587,绊状态确认!$B:$B,))/4-15))+IF($F587="R",INDEX(绊状态确认!$Q:$Q,MATCH($G587,绊状态确认!$B:$B,))/6-40/6)))*(INDEX(绊状态确认!$H:$H,MATCH($G587,绊状态确认!$B:$B,))+INDEX(绊状态确认!K:K,MATCH($G587,绊状态确认!$B:$B,)))</f>
        <v>6912.6757439999992</v>
      </c>
      <c r="AN587" s="1043">
        <f>IF($P587="","N/A",(IF($P587=-1,INDEX('卡片raw data'!U:U,MATCH($D587,'卡片raw data'!$F:$F,)),0)+IF($P587=0,INDEX('卡片raw data'!X:X,MATCH($D587,'卡片raw data'!$F:$F,)),0)+IF($P587=1,INDEX('卡片raw data'!AA:AA,MATCH($D587,'卡片raw data'!$F:$F,)),0)+IF($P587=2,INDEX('卡片raw data'!AD:AD,MATCH($D587,'卡片raw data'!$F:$F,)),0)+IF($P587=3,INDEX('卡片raw data'!AG:AG,MATCH($D587,'卡片raw data'!$F:$F,)),0)+IF($P587=4,INDEX('卡片raw data'!AJ:AJ,MATCH($D587,'卡片raw data'!$F:$F,)),0)+IF($P587=5,INDEX('卡片raw data'!AM:AM,MATCH($D587,'卡片raw data'!$F:$F,)),0)+INDEX('卡片raw data'!U:U,MATCH($D587,'卡片raw data'!$F:$F,))*(IF($F587="UR",0.04,0.033))*(IF($F587="UR",INDEX(绊状态确认!$S:$S,MATCH($G587,绊状态确认!$B:$B,))/2-40)+IF($F587="SR",INDEX(绊状态确认!$R:$R,MATCH($G587,绊状态确认!$B:$B,))/4-15))+IF($F587="R",INDEX(绊状态确认!$Q:$Q,MATCH($G587,绊状态确认!$B:$B,))/6-40/6)))*(INDEX(绊状态确认!$H:$H,MATCH($G587,绊状态确认!$B:$B,))+INDEX(绊状态确认!L:L,MATCH($G587,绊状态确认!$B:$B,)))</f>
        <v>16131.152543999997</v>
      </c>
      <c r="AO587" s="1167">
        <f t="shared" si="817"/>
        <v>1</v>
      </c>
      <c r="AP587" s="1044">
        <f>1+(INDEX(绊状态确认!$T:$T,MATCH($G587,绊状态确认!$B:$B,))+0.2)*$AO587</f>
        <v>1.3</v>
      </c>
      <c r="AQ587" s="1035">
        <f t="shared" si="818"/>
        <v>43580.835999999996</v>
      </c>
      <c r="AR587" s="1035">
        <f>(AM587*(1+$EX$9)+$EX$35)*(1+(INDEX(绊状态确认!$T:$T,MATCH($G587,绊状态确认!$B:$B,))+0.2)*AO587)*IF(J587=$FF$17,1+$FE$17,1)*IF(I587=$FF$14,1+$FE$14,1)</f>
        <v>12139.80239056</v>
      </c>
      <c r="AS587" s="1035">
        <f>(AN587*(1+$EX$10)+$EX$36)*(1+(INDEX(绊状态确认!$T:$T,MATCH($G587,绊状态确认!$B:$B,))+0.2)*AO587)*IF(J587=$FF$17,1+$FE$17,1)*IF(I587=$FF$14,1+$FE$14,1)</f>
        <v>28172.073053279997</v>
      </c>
      <c r="AT587" s="1165">
        <f>IF(AND(INDEX('卡片raw data'!AK:AK,MATCH($D587,'卡片raw data'!$F:$F,))&lt;INDEX('卡片raw data'!AM:AM,MATCH($D587,'卡片raw data'!$F:$F,)),INDEX('卡片raw data'!AL:AL,MATCH($D587,'卡片raw data'!$F:$F,))&lt;INDEX('卡片raw data'!AM:AM,MATCH($D587,'卡片raw data'!$F:$F,))),1,0)</f>
        <v>1</v>
      </c>
      <c r="AU587" s="1031">
        <f>MIN(AT587*0.15+AS587*0.00003+INDEX(绊状态确认!M:M,MATCH($G587,绊状态确认!$B:$B,)),1)</f>
        <v>1</v>
      </c>
      <c r="AV587" s="1045">
        <f>(INDEX(绊状态确认!$N:$N,MATCH($G587,绊状态确认!$B:$B,))+1.5)*$EW$21</f>
        <v>2.6599999999999997</v>
      </c>
      <c r="AW587" s="1038">
        <f t="shared" si="819"/>
        <v>60205.276798302235</v>
      </c>
      <c r="AX587" s="1035">
        <f t="shared" si="820"/>
        <v>1039.7799823093005</v>
      </c>
      <c r="AY587" s="483">
        <f t="shared" si="821"/>
        <v>61245.056780611536</v>
      </c>
      <c r="AZ587" s="1106">
        <f t="shared" si="822"/>
        <v>32560.049599999998</v>
      </c>
      <c r="BA587" s="1108">
        <f t="shared" si="823"/>
        <v>39072.059519999995</v>
      </c>
      <c r="BB587" s="1035">
        <f>(AM587*(1+$FB$9)+$FB$35)*(1+(INDEX(绊状态确认!$T:$T,MATCH($G587,绊状态确认!$B:$B,))+0.2)*AO587)*IF(J587=$FF$17,1+$FE$17,1)*IF(I587=$FF$14,1+$FE$14,1)*(1+$FE$15)</f>
        <v>12139.80239056</v>
      </c>
      <c r="BC587" s="1035">
        <f>(AN587*(1+$FB$10)+$FB$36)*(1+(INDEX(绊状态确认!$T:$T,MATCH($G587,绊状态确认!$B:$B,))+0.2)*AO587)*IF(J587=$FF$17,1+$FE$17,1)*IF(I587=$FF$14,1+$FE$14,1)*(1+$FE$15)</f>
        <v>28172.073053279997</v>
      </c>
      <c r="BD587" s="481">
        <f>MIN(AT587*0.15+BC587*0.00003+INDEX(绊状态确认!M:M,MATCH($G587,绊状态确认!$B:$B,)),1)</f>
        <v>1</v>
      </c>
      <c r="BE587" s="1109">
        <f>(INDEX(绊状态确认!$N:$N,MATCH($G587,绊状态确认!$B:$B,))+1.5)</f>
        <v>1.9</v>
      </c>
      <c r="BF587" s="646">
        <f t="array" ref="BF587">SUMPRODUCT(IF(AZ587*AP587*$FI$16:$FI$23*$FA$22&gt;=$FI$24,$FI$24,AZ587*AP587*$FI$16:$FI$23*$FA$22),$FJ$16:$FJ$23)</f>
        <v>58433.8741744</v>
      </c>
      <c r="BG587" s="1047">
        <f t="array" ref="BG587">SUMPRODUCT(IF(BE587*AZ587*AP587*$FI$16:$FI$23*$FA$22&gt;=$FI$24,$FI$24,BE587*AZ587*AP587*$FI$16:$FI$23*$FA$22),$FJ$16:$FJ$23)</f>
        <v>60000</v>
      </c>
      <c r="BH587" s="1046">
        <f t="shared" si="824"/>
        <v>20000</v>
      </c>
      <c r="BI587" s="1048">
        <f>IF(O587="vo",$EW$26/$EW$24*0.05,0)+IF(O587="sk",-$EW$26/$EW$24*(0.05-INDEX(绊状态确认!W:W,MATCH($G587,绊状态确认!$B:$B,)))+0.05*$EW$28,0)+IF(O587="sp",0.05*$EW$32*$EW$30*(1-$EW$33)-(0.05-INDEX(绊状态确认!V:V,MATCH($G587,绊状态确认!$B:$B,)))*$EW$28,0)+IF(O587="gd",-(0.05-INDEX(绊状态确认!X:X,MATCH($G587,绊状态确认!$B:$B,)))*$EW$32*$EW$30*(1-$EW$33),0)</f>
        <v>19.999999999999886</v>
      </c>
      <c r="BJ587" s="1097">
        <f>IF(O587="vo",0.05*(1-$FI$26)*$FA$24,0)+IF(O587="sk",-(0.05-INDEX(绊状态确认!W:W,MATCH($G587,绊状态确认!$B:$B,)))*(1-$FI$26)*$FA$24+0.05*$FA$26,0)+IF(O587="sp",0.05*$FA$32*$FA$27*(1-$FA$33)/$FA$30+0.05*$FA$29/$FA$69*$FA$27*(1-$FA$33)-(0.05-INDEX(绊状态确认!V:V,MATCH($G587,绊状态确认!$B:$B,)))*$FA$26,0)+IF(O587="gd",-(0.05-INDEX(绊状态确认!X:X,MATCH($G587,绊状态确认!$B:$B,)))*$FA$32*$FA$27*(1-$FA$33)/$FA$30-(0.05-INDEX(绊状态确认!X:X,MATCH($G587,绊状态确认!$B:$B,)))*$FA$29/$FA$69*$FA$27*(1-$FA$33),0)</f>
        <v>545.83333333333326</v>
      </c>
      <c r="BK587" s="1046">
        <f>IF(O587="vo",$EW$26/$EW$24*0.05+$EW$26*(-HP($EW$62,$EW$65,$EW$64)+HP($EW$62,$EW$65,(1.05-INDEX(绊状态确认!U:U,MATCH($G587,绊状态确认!$B:$B,)))*$EW$64)),0)+IF(O587="sk",-$EW$26/$EW$24*(0.05-INDEX(绊状态确认!W:W,MATCH($G587,绊状态确认!$B:$B,)))+0.05*$EW$29,0)+IF(O587="sp",0.05*$EW$32*$EW$30*(1-$EW$33)-(0.05-INDEX(绊状态确认!V:V,MATCH($G587,绊状态确认!$B:$B,)))*$EW$29,0)+IF(O587="gd",-(0.05-INDEX(绊状态确认!X:X,MATCH($G587,绊状态确认!$B:$B,)))*$EW$32*$EW$30*(1-$EW$33)+$EW$26*(-HP($EW$62,$EW$65,$EW$64)+HP($EW$62,$EW$65,0.95*$EW$64)),0)</f>
        <v>-1780.0000000000005</v>
      </c>
      <c r="BL587" s="1048">
        <f t="shared" si="825"/>
        <v>0</v>
      </c>
      <c r="BM587" s="1046">
        <f t="shared" si="826"/>
        <v>0</v>
      </c>
      <c r="BN587" s="1167">
        <f t="shared" si="827"/>
        <v>4</v>
      </c>
      <c r="BO587" s="1035">
        <f t="shared" si="828"/>
        <v>6010.2953161679998</v>
      </c>
      <c r="BP587" s="1043">
        <f t="shared" si="829"/>
        <v>295.12137612040135</v>
      </c>
      <c r="BQ587" s="1167" t="s">
        <v>1940</v>
      </c>
      <c r="BR587" s="1165" t="s">
        <v>2075</v>
      </c>
      <c r="BS587" s="1098">
        <f>IF($P587="","N/A",IF($P587=-1,INDEX('卡片raw data'!AX:AX,MATCH($D587,'卡片raw data'!$F:$F,)),0)+IF($L587="party卡",IF($P587=5,INDEX('卡片raw data'!BD:BD,MATCH($D587,'卡片raw data'!$F:$F,)),IF($P587&gt;=3,INDEX('卡片raw data'!BC:BC,MATCH($D587,'卡片raw data'!$F:$F,)),INDEX('卡片raw data'!BB:BB,MATCH($D587,'卡片raw data'!$F:$F,)))),IF(OR(AND($F587="UR",$P587=0),AND($F587="SR",$P587&gt;=0,$P587&lt;=2),AND($F587="R",$P587&gt;=0,$P587&lt;4)),INDEX('卡片raw data'!AZ:AZ,MATCH($D587,'卡片raw data'!$F:$F,)),0)+IF(OR(AND($F587="UR",$P587&gt;=1,$P587&lt;=4),AND($F587="SR",$P587&lt;=4,$P587&gt;=3),AND($F587="R",$P587=4)),INDEX('卡片raw data'!BA:BA,MATCH($D587,'卡片raw data'!$F:$F,)),0)+IF($P587=5,INDEX('卡片raw data'!BB:BB,MATCH($D587,'卡片raw data'!$F:$F,)),0)))</f>
        <v>6.5000000000000002E-2</v>
      </c>
      <c r="BT587" s="1101">
        <f t="shared" si="830"/>
        <v>3255.5766295909998</v>
      </c>
      <c r="BU587" s="1097">
        <f t="shared" si="831"/>
        <v>139.87523555706522</v>
      </c>
      <c r="BV587" s="1097">
        <f t="shared" si="832"/>
        <v>1627.7883147955001</v>
      </c>
      <c r="BW587" s="1112">
        <f t="shared" si="833"/>
        <v>0</v>
      </c>
      <c r="BX587" s="1100">
        <f t="shared" si="834"/>
        <v>3255.5766295909998</v>
      </c>
      <c r="BY587" s="1110">
        <f t="shared" si="835"/>
        <v>1627.7883147955001</v>
      </c>
      <c r="BZ587" s="1113" t="s">
        <v>134</v>
      </c>
      <c r="CA587" s="1124" t="s">
        <v>171</v>
      </c>
      <c r="CB587" s="1098">
        <f>IF($P587="","N/A",IF($P587=-1,INDEX('卡片raw data'!BE:BE,MATCH($D587,'卡片raw data'!$F:$F,)),0)+IF($L587="party卡",IF($P587=5,INDEX('卡片raw data'!BK:BK,MATCH($D587,'卡片raw data'!$F:$F,)),IF($P587&gt;=3,INDEX('卡片raw data'!BJ:BJ,MATCH($D587,'卡片raw data'!$F:$F,)),INDEX('卡片raw data'!BI:BI,MATCH($D587,'卡片raw data'!$F:$F,)))),IF(OR(AND($F587="UR",$P587=0),AND($F587="SR",$P587&gt;=0,$P587&lt;=2),AND($F587="R",$P587&gt;=0,$P587&lt;4)),INDEX('卡片raw data'!BG:BG,MATCH($D587,'卡片raw data'!$F:$F,)),0)+IF(OR(AND($F587="UR",$P587&gt;=1,$P587&lt;=4),AND($F587="SR",$P587&lt;=4,$P587&gt;=3),AND($F587="R",$P587=4)),INDEX('卡片raw data'!BH:BH,MATCH($D587,'卡片raw data'!$F:$F,)),0)+IF($P587=5,INDEX('卡片raw data'!BI:BI,MATCH($D587,'卡片raw data'!$F:$F,)),0)))</f>
        <v>3.2000000000000001E-2</v>
      </c>
      <c r="CC587" s="1101">
        <f>IF(BZ587="ap",CB587*$EX$5/$EX$11*(+IF(CA587="全员",$EW$26,0)+IF(CA587="同作战",$EW$26,0)+IF(CA587="仲间",$EW$26*2/3,0)+IF(CA587="同属性",$EW$26*$EW$37/3,0)+IF(CA587="同年级",$EW$26*$EW$40/3,0)+IF(CA587="同学校",$EW$26*$EW$43/3,0)+IF(CA587="同小队",$EW$26*$EW$46/3,0)+IF(CA587="同type",$EW$26*INDEX($EX$49:$EX$52,MATCH(X587,$EW$49:$EW$52,))/3,0)+IF(CA587="自身",$AW587,0)),0)+IF(BZ587="te",CB587*($EW$22-1)*0.00003*$EX$7/$EX$13*(+IF(CA587="全员",$EX$18*$EW$26/(1+($EW$22-1)*$EW$19),0)+IF(CA587="同作战",$EX$18*$EW$26/(1+($EW$22-1)*$EW$19),0)+IF(CA587="仲间",$EX$18*$EW$26/(1+($EW$22-1)*$EW$19)*2/3,0)+IF(CA587="同属性",$EX$18*$EW$26/(1+($EW$22-1)*$EW$19)*$EW$37/3,0)+IF(CA587="同年级",$EX$18*$EW$26/(1+($EW$22-1)*$EW$19)*$EW$40/3,0)+IF(CA587="同学校",$EX$18*$EW$26/(1+($EW$22-1)*$EW$19)*$EW$43/3,0)+IF(CA587="同小队",$EX$18*$EW$26/(1+($EW$22-1)*$EW$19)*$EW$46/3,0)+IF(CA587="同type",$EX$18*$EW$26/(1+($EW$22-1)*$EW$19)*INDEX($EX$49:$EX$52,MATCH(X587,$EW$49:$EW$52,))/3,0)+IF(CA587="自身",$AS587*$AW587/(1+(BE587-1)*$AU587),0)),0)</f>
        <v>1509.2469769191675</v>
      </c>
      <c r="CD587" s="1097">
        <f>IF(BZ587="ap",CB587*(1-$FI$26)*$FB$5/$FB$11*(+IF(CA587="全员",$FA$24,0)+IF(CA587="同作战",$FA$24,0)+IF(CA587="仲间",$FA$24*2/3,0)+IF(CA587="同属性",$FA$24*$FA$37/3,0)+IF(CA587="同年级",$FA$24*$FA$40/3,0)+IF(CA587="同学校",$FA$24*$FA$43/3,0)+IF(CA587="同小队",$FA$24*$FA$46/3,0)+IF(CA587="同type",$FA$24*INDEX($FB$49:$FB$52,MATCH(X587,$FA$49:$FA$52,))/3,0)+IF(CA587="自身",BQ587/3,0)),0)+IF(BZ587="te",CB587*(1-$FI$27)*($FA$20-1)*$FB$7/$FB$13*(+IF(CA587="全员",$FA$19*$FA$24/(1+($FA$20-1)*$FA$19),0)+IF(CA587="同作战",$FA$19*$FA$24/(1+($FA$20-1)*$FA$19),0)+IF(CA587="仲间",$FA$19*$FA$24*2/3/(1+($FA$20-1)*$FA$19),0)+IF(CA587="同属性",$FA$19*$FA$24*$FA$37/3/(1+($FA$20-1)*$FA$19),0)+IF(CA587="同年级",$FA$19*$FA$24*$FA$40/3/(1+($FA$20-1)*$FA$19),0)+IF(CA587="同学校",$FA$19*$FA$24*$FA$43/3/(1+($FA$20-1)*$FA$19),0)+IF(CA587="同小队",$FA$19*$FA$24*$FA$46/3/(1+($FA$20-1)*$FA$19),0)+IF(CA587="同type",$FA$19*$FA$24*INDEX($FB$49:$FB$52,MATCH(X587,$FA$49:$FA$52,))/3/(1+($FA$20-1)*$FA$19),0)+IF(CA587="自身",$FA$19*BQ587/3/(1+(BE587-1)*$BD587),0)),0)</f>
        <v>95.522578685765595</v>
      </c>
      <c r="CE587" s="1097">
        <f t="shared" si="836"/>
        <v>754.62348845958354</v>
      </c>
      <c r="CF587" s="1112">
        <f>IF(BZ587="st",CB587*$EX$6/$EX$12*(+IF(CA587="全员",$EX$17*9,0)+IF(CA587="仲间",$EX$17*8,0)+IF(CA587="同作战",$EX$17*3,0)+IF(CA587="同属性",$EX$17*$EW$39,0)+IF(CA587="同年级",$EX$17*$EW$42,0)+IF(CA587="同学校",$EX$17*$EW$45,0)+IF(CA587="同小队",$EX$17*$EW$48,0)+IF(CA587="同type",$EX$17*INDEX($EX$57:$EX$60,MATCH(X587,$EW$57:$EW$60,)),0)+IF(CA587="自身",$AR587)),0)/$EW$65*$EW$78</f>
        <v>0</v>
      </c>
      <c r="CG587" s="1100">
        <f t="shared" si="837"/>
        <v>1509.2469769191675</v>
      </c>
      <c r="CH587" s="1110">
        <f t="shared" si="838"/>
        <v>754.62348845958354</v>
      </c>
      <c r="CI587" s="1113" t="s">
        <v>170</v>
      </c>
      <c r="CJ587" s="1114">
        <v>0.3</v>
      </c>
      <c r="CK587" s="1115" t="s">
        <v>156</v>
      </c>
      <c r="CL587" s="1115"/>
      <c r="CM587" s="462">
        <v>800</v>
      </c>
      <c r="CN587" s="1115"/>
      <c r="CO587" s="1169"/>
      <c r="CP587" s="1117">
        <f t="shared" si="839"/>
        <v>0.8571428571428571</v>
      </c>
      <c r="CQ587" s="1117">
        <f t="shared" si="840"/>
        <v>1.533333333333333</v>
      </c>
      <c r="CR587" s="1117">
        <f t="shared" si="841"/>
        <v>0.8571428571428571</v>
      </c>
      <c r="CS587" s="1118">
        <f t="shared" si="782"/>
        <v>0</v>
      </c>
      <c r="CT587" s="1109">
        <f t="shared" si="783"/>
        <v>63</v>
      </c>
      <c r="CU587" s="1101">
        <f t="shared" si="842"/>
        <v>53.571428571428569</v>
      </c>
      <c r="CV587" s="1108">
        <f t="shared" si="870"/>
        <v>63.888888888888879</v>
      </c>
      <c r="CW587" s="1097">
        <f t="shared" si="843"/>
        <v>53.571428571428569</v>
      </c>
      <c r="CX587" s="1097">
        <f t="shared" si="844"/>
        <v>53.571428571428569</v>
      </c>
      <c r="CY587" s="1110">
        <f t="shared" si="845"/>
        <v>53.571428571428569</v>
      </c>
      <c r="CZ587" s="437"/>
      <c r="DA587" s="1114"/>
      <c r="DB587" s="1115" t="s">
        <v>569</v>
      </c>
      <c r="DC587" s="1115"/>
      <c r="DD587" s="1119"/>
      <c r="DE587" s="1092"/>
      <c r="DF587" s="1092"/>
      <c r="DG587" s="1116">
        <f t="shared" si="846"/>
        <v>0</v>
      </c>
      <c r="DH587" s="1116">
        <f t="shared" si="847"/>
        <v>0</v>
      </c>
      <c r="DI587" s="1116">
        <f t="shared" si="848"/>
        <v>0</v>
      </c>
      <c r="DJ587" s="1118">
        <f t="shared" si="871"/>
        <v>0</v>
      </c>
      <c r="DK587" s="1109">
        <f t="shared" si="872"/>
        <v>0</v>
      </c>
      <c r="DL587" s="1101">
        <f t="shared" si="849"/>
        <v>0</v>
      </c>
      <c r="DM587" s="1097">
        <f t="shared" si="850"/>
        <v>0</v>
      </c>
      <c r="DN587" s="1097">
        <f t="shared" si="851"/>
        <v>0</v>
      </c>
      <c r="DO587" s="1097">
        <f t="shared" si="852"/>
        <v>0</v>
      </c>
      <c r="DP587" s="1110">
        <f t="shared" si="853"/>
        <v>0</v>
      </c>
      <c r="DQ587" s="1113" t="s">
        <v>549</v>
      </c>
      <c r="DR587" s="1120">
        <f t="shared" si="792"/>
        <v>0.33</v>
      </c>
      <c r="DS587" s="1124"/>
      <c r="DT587" s="1124" t="s">
        <v>179</v>
      </c>
      <c r="DU587" s="1124"/>
      <c r="DV587" s="1098">
        <f>IF($P587="","N/A",IF(P587=-1,INDEX('卡片raw data'!AN:AN,MATCH(D587,'卡片raw data'!$F:$F,)),0)+IF(AND(L587&lt;&gt;"party卡",P587&lt;=2,P587&gt;=0),INDEX('卡片raw data'!AP:AP,MATCH(D587,'卡片raw data'!$F:$F,)),0)+IF(OR(AND(L587="party卡",P587&lt;=1),AND(P587&lt;=4,L587&lt;&gt;"party卡",P587&gt;=3)),INDEX('卡片raw data'!AQ:AQ,MATCH(D587,'卡片raw data'!$F:$F,)),0)+IF(OR(P587=5,AND(L587="party卡",P587&gt;=2)),INDEX('卡片raw data'!AR:AR,MATCH(D587,'卡片raw data'!$F:$F,)),0))</f>
        <v>0.09</v>
      </c>
      <c r="DW587" s="1098">
        <f t="shared" si="854"/>
        <v>0.33</v>
      </c>
      <c r="DX587" s="1098">
        <f t="shared" si="855"/>
        <v>0.33</v>
      </c>
      <c r="DY587" s="1098">
        <f t="shared" si="856"/>
        <v>9.9000000000000008E-3</v>
      </c>
      <c r="DZ587" s="1098">
        <f t="shared" si="857"/>
        <v>9.8480249999999998E-3</v>
      </c>
      <c r="EA587" s="1098">
        <f t="shared" si="858"/>
        <v>0</v>
      </c>
      <c r="EB587" s="1121">
        <f t="shared" si="859"/>
        <v>60.337777499999987</v>
      </c>
      <c r="EC587" s="1101">
        <f t="shared" si="860"/>
        <v>4455</v>
      </c>
      <c r="ED587" s="1097">
        <f t="shared" si="861"/>
        <v>2462.0062499999999</v>
      </c>
      <c r="EE587" s="1110">
        <f t="shared" si="775"/>
        <v>4455</v>
      </c>
      <c r="EF587" s="1113" t="s">
        <v>569</v>
      </c>
      <c r="EG587" s="1120">
        <f t="shared" si="793"/>
        <v>0.33</v>
      </c>
      <c r="EH587" s="1124"/>
      <c r="EI587" s="1124"/>
      <c r="EJ587" s="1124"/>
      <c r="EK587" s="1097">
        <f>IF($P587="","N/A",IF(P587=-1,INDEX('卡片raw data'!AS:AS,MATCH(D587,'卡片raw data'!$F:$F,)),0)+IF(AND(L587&lt;&gt;"party卡",P587&lt;=2,P587&gt;=0),INDEX('卡片raw data'!AU:AU,MATCH(D587,'卡片raw data'!$F:$F,)),0)+IF(OR(AND(L587="party卡",P587&lt;=1),AND(P587&lt;=4,L587&lt;&gt;"party卡",P587&gt;=3)),INDEX('卡片raw data'!AV:AV,MATCH(D587,'卡片raw data'!$F:$F,)),0)+IF(OR(P587=5,AND(L587="party卡",P587&gt;=2)),INDEX('卡片raw data'!AW:AW,MATCH(D587,'卡片raw data'!$F:$F,)),0))</f>
        <v>0</v>
      </c>
      <c r="EL587" s="1098">
        <f t="shared" si="862"/>
        <v>0.33</v>
      </c>
      <c r="EM587" s="1098">
        <f t="shared" si="863"/>
        <v>0.33</v>
      </c>
      <c r="EN587" s="1097">
        <f t="shared" si="864"/>
        <v>0</v>
      </c>
      <c r="EO587" s="1097">
        <f t="shared" si="865"/>
        <v>0</v>
      </c>
      <c r="EP587" s="1098">
        <f t="shared" si="866"/>
        <v>0</v>
      </c>
      <c r="EQ587" s="1121">
        <f t="shared" si="867"/>
        <v>0</v>
      </c>
      <c r="ER587" s="1101">
        <f t="shared" si="868"/>
        <v>0</v>
      </c>
      <c r="ES587" s="1097">
        <f t="shared" si="869"/>
        <v>0</v>
      </c>
      <c r="ET587" s="1122">
        <f t="shared" si="776"/>
        <v>0</v>
      </c>
    </row>
    <row r="588" spans="2:150" ht="16.5" customHeight="1">
      <c r="B588" s="1123" t="str">
        <f>INDEX('卡片raw data'!B:B,MATCH($D588,'卡片raw data'!$F:$F,))</f>
        <v>水蓝善</v>
      </c>
      <c r="C588" s="1025" t="s">
        <v>4759</v>
      </c>
      <c r="D588" s="408">
        <v>585</v>
      </c>
      <c r="E588" s="1164">
        <v>201062002</v>
      </c>
      <c r="F588" s="1090" t="str">
        <f>INDEX('卡片raw data'!C:C,MATCH($D588,'卡片raw data'!$F:$F,))</f>
        <v>SR</v>
      </c>
      <c r="G588" s="1026" t="s">
        <v>4760</v>
      </c>
      <c r="H588" s="411">
        <f>IFERROR(INDEX(绊状态确认!C:C,MATCH($G588,绊状态确认!$B:$B,)),"")</f>
        <v>106</v>
      </c>
      <c r="I588" s="450" t="str">
        <f>IFERROR(INDEX(绊状态确认!D:D,MATCH($G588,绊状态确认!$B:$B,)),"")</f>
        <v>水</v>
      </c>
      <c r="J588" s="450" t="str">
        <f>IFERROR(INDEX(绊状态确认!E:E,MATCH($G588,绊状态确认!$B:$B,)),"")</f>
        <v>1年级</v>
      </c>
      <c r="K588" s="451" t="str">
        <f>IFERROR(INDEX(绊状态确认!F:F,MATCH($G588,绊状态确认!$B:$B,)),"")</f>
        <v>Guilty Kiss</v>
      </c>
      <c r="L588" s="1094" t="str">
        <f>INDEX('卡片raw data'!E:E,MATCH($D588,'卡片raw data'!$F:$F,))</f>
        <v>卡池卡</v>
      </c>
      <c r="M588" s="1065">
        <v>44529</v>
      </c>
      <c r="N588" s="1027">
        <v>52.5</v>
      </c>
      <c r="O588" s="1091" t="str">
        <f>INDEX('卡片raw data'!D:D,MATCH($D588,'卡片raw data'!$F:$F,))</f>
        <v>vo</v>
      </c>
      <c r="P588" s="1126">
        <v>5</v>
      </c>
      <c r="Q588" s="1095">
        <f t="shared" si="796"/>
        <v>42520.161148178464</v>
      </c>
      <c r="R588" s="1096">
        <f t="shared" si="797"/>
        <v>0.49399999999999999</v>
      </c>
      <c r="S588" s="1097">
        <f t="shared" si="798"/>
        <v>16863.855503344541</v>
      </c>
      <c r="T588" s="1098">
        <f t="shared" si="799"/>
        <v>0.84299999999999997</v>
      </c>
      <c r="U588" s="1099">
        <f t="shared" si="800"/>
        <v>-12.132200279547142</v>
      </c>
      <c r="V588" s="1100">
        <f t="shared" si="801"/>
        <v>42243.856653668969</v>
      </c>
      <c r="W588" s="1101">
        <f t="shared" si="802"/>
        <v>4615.1541641134927</v>
      </c>
      <c r="X588" s="1096">
        <f t="shared" si="803"/>
        <v>5.2999999999999999E-2</v>
      </c>
      <c r="Y588" s="1097">
        <f t="shared" si="804"/>
        <v>1028.3639557322012</v>
      </c>
      <c r="Z588" s="1102">
        <f t="shared" si="805"/>
        <v>12.867799720452858</v>
      </c>
      <c r="AA588" s="1103">
        <f t="shared" si="806"/>
        <v>5643.5181198456939</v>
      </c>
      <c r="AB588" s="1101">
        <f t="shared" si="807"/>
        <v>5410.5172659490499</v>
      </c>
      <c r="AC588" s="1104">
        <f t="shared" si="808"/>
        <v>6.2E-2</v>
      </c>
      <c r="AD588" s="1105">
        <f t="shared" si="809"/>
        <v>-3.8207812500000026E-3</v>
      </c>
      <c r="AE588" s="1128">
        <f t="shared" si="810"/>
        <v>-12.27536231884058</v>
      </c>
      <c r="AF588" s="1130">
        <f t="shared" si="811"/>
        <v>0</v>
      </c>
      <c r="AG588" s="1097">
        <f t="shared" si="812"/>
        <v>0</v>
      </c>
      <c r="AH588" s="1097">
        <f t="shared" si="813"/>
        <v>0</v>
      </c>
      <c r="AI588" s="1097">
        <f t="shared" si="814"/>
        <v>0</v>
      </c>
      <c r="AJ588" s="1097">
        <f t="shared" si="815"/>
        <v>0</v>
      </c>
      <c r="AK588" s="1129">
        <f t="shared" si="816"/>
        <v>0</v>
      </c>
      <c r="AL588" s="1042">
        <f>IF($P588="","N/A",(IF($P588=-1,INDEX('卡片raw data'!S:S,MATCH($D588,'卡片raw data'!$F:$F,)),0)+IF($P588=0,INDEX('卡片raw data'!V:V,MATCH($D588,'卡片raw data'!$F:$F,)),0)+IF($P588=1,INDEX('卡片raw data'!Y:Y,MATCH($D588,'卡片raw data'!$F:$F,)),0)+IF($P588=2,INDEX('卡片raw data'!AB:AB,MATCH($D588,'卡片raw data'!$F:$F,)),0)+IF($P588=3,INDEX('卡片raw data'!AE:AE,MATCH($D588,'卡片raw data'!$F:$F,)),0)+IF($P588=4,INDEX('卡片raw data'!AH:AH,MATCH($D588,'卡片raw data'!$F:$F,)),0)+IF($P588=5,INDEX('卡片raw data'!AK:AK,MATCH($D588,'卡片raw data'!$F:$F,)),0)+INDEX('卡片raw data'!S:S,MATCH($D588,'卡片raw data'!$F:$F,))*(IF($F588="UR",0.04,0.033))*(IF($F588="UR",INDEX(绊状态确认!$S:$S,MATCH($G588,绊状态确认!$B:$B,))/2-40)+IF($F588="SR",INDEX(绊状态确认!$R:$R,MATCH($G588,绊状态确认!$B:$B,))/4-15))+IF($F588="R",INDEX(绊状态确认!$Q:$Q,MATCH($G588,绊状态确认!$B:$B,))/6-40/6)))*(INDEX(绊状态确认!$H:$H,MATCH($G588,绊状态确认!$B:$B,))+INDEX(绊状态确认!J:J,MATCH($G588,绊状态确认!$B:$B,)))</f>
        <v>9169.2115871999995</v>
      </c>
      <c r="AM588" s="1035">
        <f>IF($P588="","N/A",(IF($P588=-1,INDEX('卡片raw data'!T:T,MATCH($D588,'卡片raw data'!$F:$F,)),0)+IF($P588=0,INDEX('卡片raw data'!W:W,MATCH($D588,'卡片raw data'!$F:$F,)),0)+IF($P588=1,INDEX('卡片raw data'!Z:Z,MATCH($D588,'卡片raw data'!$F:$F,)),0)+IF($P588=2,INDEX('卡片raw data'!AC:AC,MATCH($D588,'卡片raw data'!$F:$F,)),0)+IF($P588=3,INDEX('卡片raw data'!AF:AF,MATCH($D588,'卡片raw data'!$F:$F,)),0)+IF($P588=4,INDEX('卡片raw data'!AI:AI,MATCH($D588,'卡片raw data'!$F:$F,)),0)+IF($P588=5,INDEX('卡片raw data'!AL:AL,MATCH($D588,'卡片raw data'!$F:$F,)),0)+INDEX('卡片raw data'!T:T,MATCH($D588,'卡片raw data'!$F:$F,))*(IF($F588="UR",0.04,0.033))*(IF($F588="UR",INDEX(绊状态确认!$S:$S,MATCH($G588,绊状态确认!$B:$B,))/2-40)+IF($F588="SR",INDEX(绊状态确认!$R:$R,MATCH($G588,绊状态确认!$B:$B,))/4-15))+IF($F588="R",INDEX(绊状态确认!$Q:$Q,MATCH($G588,绊状态确认!$B:$B,))/6-40/6)))*(INDEX(绊状态确认!$H:$H,MATCH($G588,绊状态确认!$B:$B,))+INDEX(绊状态确认!K:K,MATCH($G588,绊状态确认!$B:$B,)))</f>
        <v>6817.5431543999994</v>
      </c>
      <c r="AN588" s="1043">
        <f>IF($P588="","N/A",(IF($P588=-1,INDEX('卡片raw data'!U:U,MATCH($D588,'卡片raw data'!$F:$F,)),0)+IF($P588=0,INDEX('卡片raw data'!X:X,MATCH($D588,'卡片raw data'!$F:$F,)),0)+IF($P588=1,INDEX('卡片raw data'!AA:AA,MATCH($D588,'卡片raw data'!$F:$F,)),0)+IF($P588=2,INDEX('卡片raw data'!AD:AD,MATCH($D588,'卡片raw data'!$F:$F,)),0)+IF($P588=3,INDEX('卡片raw data'!AG:AG,MATCH($D588,'卡片raw data'!$F:$F,)),0)+IF($P588=4,INDEX('卡片raw data'!AJ:AJ,MATCH($D588,'卡片raw data'!$F:$F,)),0)+IF($P588=5,INDEX('卡片raw data'!AM:AM,MATCH($D588,'卡片raw data'!$F:$F,)),0)+INDEX('卡片raw data'!U:U,MATCH($D588,'卡片raw data'!$F:$F,))*(IF($F588="UR",0.04,0.033))*(IF($F588="UR",INDEX(绊状态确认!$S:$S,MATCH($G588,绊状态确认!$B:$B,))/2-40)+IF($F588="SR",INDEX(绊状态确认!$R:$R,MATCH($G588,绊状态确认!$B:$B,))/4-15))+IF($F588="R",INDEX(绊状态确认!$Q:$Q,MATCH($G588,绊状态确认!$B:$B,))/6-40/6)))*(INDEX(绊状态确认!$H:$H,MATCH($G588,绊状态确认!$B:$B,))+INDEX(绊状态确认!L:L,MATCH($G588,绊状态确认!$B:$B,)))</f>
        <v>7523.0361839999996</v>
      </c>
      <c r="AO588" s="1167">
        <f t="shared" si="817"/>
        <v>1</v>
      </c>
      <c r="AP588" s="1044">
        <f>1+(INDEX(绊状态确认!$T:$T,MATCH($G588,绊状态确认!$B:$B,))+0.2)*$AO588</f>
        <v>1.3</v>
      </c>
      <c r="AQ588" s="1035">
        <f t="shared" si="818"/>
        <v>27319.180416399999</v>
      </c>
      <c r="AR588" s="1035">
        <f>(AM588*(1+$EX$9)+$EX$35)*(1+(INDEX(绊状态确认!$T:$T,MATCH($G588,绊状态确认!$B:$B,))+0.2)*AO588)*IF(J588=$FF$17,1+$FE$17,1)*IF(I588=$FF$14,1+$FE$14,1)</f>
        <v>12009.946405756002</v>
      </c>
      <c r="AS588" s="1035">
        <f>(AN588*(1+$EX$10)+$EX$36)*(1+(INDEX(绊状态确认!$T:$T,MATCH($G588,绊状态确认!$B:$B,))+0.2)*AO588)*IF(J588=$FF$17,1+$FE$17,1)*IF(I588=$FF$14,1+$FE$14,1)</f>
        <v>15302.939095079999</v>
      </c>
      <c r="AT588" s="1165">
        <f>IF(AND(INDEX('卡片raw data'!AK:AK,MATCH($D588,'卡片raw data'!$F:$F,))&lt;INDEX('卡片raw data'!AM:AM,MATCH($D588,'卡片raw data'!$F:$F,)),INDEX('卡片raw data'!AL:AL,MATCH($D588,'卡片raw data'!$F:$F,))&lt;INDEX('卡片raw data'!AM:AM,MATCH($D588,'卡片raw data'!$F:$F,))),1,0)</f>
        <v>0</v>
      </c>
      <c r="AU588" s="1031">
        <f>MIN(AT588*0.15+AS588*0.00003+INDEX(绊状态确认!M:M,MATCH($G588,绊状态确认!$B:$B,)),1)</f>
        <v>0.48908817285240003</v>
      </c>
      <c r="AV588" s="1045">
        <f>(INDEX(绊状态确认!$N:$N,MATCH($G588,绊状态确认!$B:$B,))+1.5)*$EW$21</f>
        <v>2.6599999999999997</v>
      </c>
      <c r="AW588" s="1038">
        <f t="shared" si="819"/>
        <v>25707.271684327843</v>
      </c>
      <c r="AX588" s="1035">
        <f t="shared" si="820"/>
        <v>1028.3639557322012</v>
      </c>
      <c r="AY588" s="483">
        <f t="shared" si="821"/>
        <v>26735.635640060045</v>
      </c>
      <c r="AZ588" s="1106">
        <f t="shared" si="822"/>
        <v>20479.962595039997</v>
      </c>
      <c r="BA588" s="1108">
        <f t="shared" si="823"/>
        <v>24575.955114047996</v>
      </c>
      <c r="BB588" s="1035">
        <f>(AM588*(1+$FB$9)+$FB$35)*(1+(INDEX(绊状态确认!$T:$T,MATCH($G588,绊状态确认!$B:$B,))+0.2)*AO588)*IF(J588=$FF$17,1+$FE$17,1)*IF(I588=$FF$14,1+$FE$14,1)*(1+$FE$15)</f>
        <v>12009.946405756002</v>
      </c>
      <c r="BC588" s="1035">
        <f>(AN588*(1+$FB$10)+$FB$36)*(1+(INDEX(绊状态确认!$T:$T,MATCH($G588,绊状态确认!$B:$B,))+0.2)*AO588)*IF(J588=$FF$17,1+$FE$17,1)*IF(I588=$FF$14,1+$FE$14,1)*(1+$FE$15)</f>
        <v>15302.939095079999</v>
      </c>
      <c r="BD588" s="481">
        <f>MIN(AT588*0.15+BC588*0.00003+INDEX(绊状态确认!M:M,MATCH($G588,绊状态确认!$B:$B,)),1)</f>
        <v>0.48908817285240003</v>
      </c>
      <c r="BE588" s="1109">
        <f>(INDEX(绊状态确认!$N:$N,MATCH($G588,绊状态确认!$B:$B,))+1.5)</f>
        <v>1.9</v>
      </c>
      <c r="BF588" s="646">
        <f t="array" ref="BF588">SUMPRODUCT(IF(AZ588*AP588*$FI$16:$FI$23*$FA$22&gt;=$FI$24,$FI$24,AZ588*AP588*$FI$16:$FI$23*$FA$22),$FJ$16:$FJ$23)</f>
        <v>40734.645601534561</v>
      </c>
      <c r="BG588" s="1047">
        <f t="array" ref="BG588">SUMPRODUCT(IF(BE588*AZ588*AP588*$FI$16:$FI$23*$FA$22&gt;=$FI$24,$FI$24,BE588*AZ588*AP588*$FI$16:$FI$23*$FA$22),$FJ$16:$FJ$23)</f>
        <v>60000</v>
      </c>
      <c r="BH588" s="1046">
        <f t="shared" si="824"/>
        <v>16719.034194544656</v>
      </c>
      <c r="BI588" s="1048">
        <f>IF(O588="vo",$EW$26/$EW$24*0.05,0)+IF(O588="sk",-$EW$26/$EW$24*(0.05-INDEX(绊状态确认!W:W,MATCH($G588,绊状态确认!$B:$B,)))+0.05*$EW$28,0)+IF(O588="sp",0.05*$EW$32*$EW$30*(1-$EW$33)-(0.05-INDEX(绊状态确认!V:V,MATCH($G588,绊状态确认!$B:$B,)))*$EW$28,0)+IF(O588="gd",-(0.05-INDEX(绊状态确认!X:X,MATCH($G588,绊状态确认!$B:$B,)))*$EW$32*$EW$30*(1-$EW$33),0)</f>
        <v>7726.3029277443748</v>
      </c>
      <c r="BJ588" s="1097">
        <f>IF(O588="vo",0.05*(1-$FI$26)*$FA$24,0)+IF(O588="sk",-(0.05-INDEX(绊状态确认!W:W,MATCH($G588,绊状态确认!$B:$B,)))*(1-$FI$26)*$FA$24+0.05*$FA$26,0)+IF(O588="sp",0.05*$FA$32*$FA$27*(1-$FA$33)/$FA$30+0.05*$FA$29/$FA$69*$FA$27*(1-$FA$33)-(0.05-INDEX(绊状态确认!V:V,MATCH($G588,绊状态确认!$B:$B,)))*$FA$26,0)+IF(O588="gd",-(0.05-INDEX(绊状态确认!X:X,MATCH($G588,绊状态确认!$B:$B,)))*$FA$32*$FA$27*(1-$FA$33)/$FA$30-(0.05-INDEX(绊状态确认!X:X,MATCH($G588,绊状态确认!$B:$B,)))*$FA$29/$FA$69*$FA$27*(1-$FA$33),0)</f>
        <v>393.93433687500004</v>
      </c>
      <c r="BK588" s="1046">
        <f>IF(O588="vo",$EW$26/$EW$24*0.05+$EW$26*(-HP($EW$62,$EW$65,$EW$64)+HP($EW$62,$EW$65,(1.05-INDEX(绊状态确认!U:U,MATCH($G588,绊状态确认!$B:$B,)))*$EW$64)),0)+IF(O588="sk",-$EW$26/$EW$24*(0.05-INDEX(绊状态确认!W:W,MATCH($G588,绊状态确认!$B:$B,)))+0.05*$EW$29,0)+IF(O588="sp",0.05*$EW$32*$EW$30*(1-$EW$33)-(0.05-INDEX(绊状态确认!V:V,MATCH($G588,绊状态确认!$B:$B,)))*$EW$29,0)+IF(O588="gd",-(0.05-INDEX(绊状态确认!X:X,MATCH($G588,绊状态确认!$B:$B,)))*$EW$32*$EW$30*(1-$EW$33)+$EW$26*(-HP($EW$62,$EW$65,$EW$64)+HP($EW$62,$EW$65,0.95*$EW$64)),0)</f>
        <v>6421.6344775026746</v>
      </c>
      <c r="BL588" s="1048">
        <f t="shared" si="825"/>
        <v>-1083.3333333333333</v>
      </c>
      <c r="BM588" s="1046">
        <f t="shared" si="826"/>
        <v>-830.55555555555543</v>
      </c>
      <c r="BN588" s="1167">
        <f t="shared" si="827"/>
        <v>3</v>
      </c>
      <c r="BO588" s="1035">
        <f t="shared" si="828"/>
        <v>4507.7214871259994</v>
      </c>
      <c r="BP588" s="1043">
        <f t="shared" si="829"/>
        <v>221.34103209030098</v>
      </c>
      <c r="BQ588" s="1113" t="s">
        <v>132</v>
      </c>
      <c r="BR588" s="1124" t="s">
        <v>166</v>
      </c>
      <c r="BS588" s="1098">
        <f>IF($P588="","N/A",IF($P588=-1,INDEX('卡片raw data'!AX:AX,MATCH($D588,'卡片raw data'!$F:$F,)),0)+IF($L588="party卡",IF($P588=5,INDEX('卡片raw data'!BD:BD,MATCH($D588,'卡片raw data'!$F:$F,)),IF($P588&gt;=3,INDEX('卡片raw data'!BC:BC,MATCH($D588,'卡片raw data'!$F:$F,)),INDEX('卡片raw data'!BB:BB,MATCH($D588,'卡片raw data'!$F:$F,)))),IF(OR(AND($F588="UR",$P588=0),AND($F588="SR",$P588&gt;=0,$P588&lt;=2),AND($F588="R",$P588&gt;=0,$P588&lt;4)),INDEX('卡片raw data'!AZ:AZ,MATCH($D588,'卡片raw data'!$F:$F,)),0)+IF(OR(AND($F588="UR",$P588&gt;=1,$P588&lt;=4),AND($F588="SR",$P588&lt;=4,$P588&gt;=3),AND($F588="R",$P588=4)),INDEX('卡片raw data'!BA:BA,MATCH($D588,'卡片raw data'!$F:$F,)),0)+IF($P588=5,INDEX('卡片raw data'!BB:BB,MATCH($D588,'卡片raw data'!$F:$F,)),0)))</f>
        <v>7.0000000000000007E-2</v>
      </c>
      <c r="BT588" s="1101">
        <f t="shared" si="830"/>
        <v>795.36310183555759</v>
      </c>
      <c r="BU588" s="1097">
        <f t="shared" si="831"/>
        <v>24.659177524395297</v>
      </c>
      <c r="BV588" s="1097">
        <f t="shared" si="832"/>
        <v>0</v>
      </c>
      <c r="BW588" s="1112">
        <f t="shared" si="833"/>
        <v>0</v>
      </c>
      <c r="BX588" s="1100">
        <f t="shared" si="834"/>
        <v>795.36310183555759</v>
      </c>
      <c r="BY588" s="1110">
        <f t="shared" si="835"/>
        <v>0</v>
      </c>
      <c r="BZ588" s="1113" t="s">
        <v>569</v>
      </c>
      <c r="CA588" s="1124"/>
      <c r="CB588" s="1098">
        <f>IF($P588="","N/A",IF($P588=-1,INDEX('卡片raw data'!BE:BE,MATCH($D588,'卡片raw data'!$F:$F,)),0)+IF($L588="party卡",IF($P588=5,INDEX('卡片raw data'!BK:BK,MATCH($D588,'卡片raw data'!$F:$F,)),IF($P588&gt;=3,INDEX('卡片raw data'!BJ:BJ,MATCH($D588,'卡片raw data'!$F:$F,)),INDEX('卡片raw data'!BI:BI,MATCH($D588,'卡片raw data'!$F:$F,)))),IF(OR(AND($F588="UR",$P588=0),AND($F588="SR",$P588&gt;=0,$P588&lt;=2),AND($F588="R",$P588&gt;=0,$P588&lt;4)),INDEX('卡片raw data'!BG:BG,MATCH($D588,'卡片raw data'!$F:$F,)),0)+IF(OR(AND($F588="UR",$P588&gt;=1,$P588&lt;=4),AND($F588="SR",$P588&lt;=4,$P588&gt;=3),AND($F588="R",$P588=4)),INDEX('卡片raw data'!BH:BH,MATCH($D588,'卡片raw data'!$F:$F,)),0)+IF($P588=5,INDEX('卡片raw data'!BI:BI,MATCH($D588,'卡片raw data'!$F:$F,)),0)))</f>
        <v>0</v>
      </c>
      <c r="CC588" s="1101">
        <f t="shared" ref="CC588:CC615" si="873">IF(BZ588="ap",CB588*$EX$5/$EX$11*(+IF(CA588="全员",$EW$26,0)+IF(CA588="同作战",$EW$26,0)+IF(CA588="仲间",$EW$26*2/3,0)+IF(CA588="同属性",$EW$26*$EW$37/3,0)+IF(CA588="同年级",$EW$26*$EW$40/3,0)+IF(CA588="同学校",$EW$26*$EW$43/3,0)+IF(CA588="同小队",$EW$26*$EW$46/3,0)+IF(CA588="同type",$EW$26*INDEX($EX$49:$EX$52,MATCH(O588,$EW$49:$EW$52,))/3,0)+IF(CA588="自身",$AW588,0)),0)+IF(BZ588="te",CB588*($EW$22-1)*0.00003*$EX$7/$EX$13*(+IF(CA588="全员",$EX$18*$EW$26/(1+($EW$22-1)*$EW$19),0)+IF(CA588="同作战",$EX$18*$EW$26/(1+($EW$22-1)*$EW$19),0)+IF(CA588="仲间",$EX$18*$EW$26/(1+($EW$22-1)*$EW$19)*2/3,0)+IF(CA588="同属性",$EX$18*$EW$26/(1+($EW$22-1)*$EW$19)*$EW$37/3,0)+IF(CA588="同年级",$EX$18*$EW$26/(1+($EW$22-1)*$EW$19)*$EW$40/3,0)+IF(CA588="同学校",$EX$18*$EW$26/(1+($EW$22-1)*$EW$19)*$EW$43/3,0)+IF(CA588="同小队",$EX$18*$EW$26/(1+($EW$22-1)*$EW$19)*$EW$46/3,0)+IF(CA588="同type",$EX$18*$EW$26/(1+($EW$22-1)*$EW$19)*INDEX($EX$49:$EX$52,MATCH(O588,$EW$49:$EW$52,))/3,0)+IF(CA588="自身",$AS588*$AW588/(1+(AV588-1)*$AU588),0)),0)</f>
        <v>0</v>
      </c>
      <c r="CD588" s="1097">
        <f>IF(BZ588="ap",CB588*(1-$FI$26)*$FB$5/$FB$11*(+IF(CA588="全员",$FA$24,0)+IF(CA588="同作战",$FA$24,0)+IF(CA588="仲间",$FA$24*2/3,0)+IF(CA588="同属性",$FA$24*$FA$37/3,0)+IF(CA588="同年级",$FA$24*$FA$40/3,0)+IF(CA588="同学校",$FA$24*$FA$43/3,0)+IF(CA588="同小队",$FA$24*$FA$46/3,0)+IF(CA588="同type",$FA$24*INDEX($FB$49:$FB$52,MATCH(X588,$FA$49:$FA$52,))/3,0)+IF(CA588="自身",#REF!/3,0)),0)+IF(BZ588="te",CB588*(1-$FI$27)*($FA$20-1)*$FB$7/$FB$13*(+IF(CA588="全员",$FA$19*$FA$24/(1+($FA$20-1)*$FA$19),0)+IF(CA588="同作战",$FA$19*$FA$24/(1+($FA$20-1)*$FA$19),0)+IF(CA588="仲间",$FA$19*$FA$24*2/3/(1+($FA$20-1)*$FA$19),0)+IF(CA588="同属性",$FA$19*$FA$24*$FA$37/3/(1+($FA$20-1)*$FA$19),0)+IF(CA588="同年级",$FA$19*$FA$24*$FA$40/3/(1+($FA$20-1)*$FA$19),0)+IF(CA588="同学校",$FA$19*$FA$24*$FA$43/3/(1+($FA$20-1)*$FA$19),0)+IF(CA588="同小队",$FA$19*$FA$24*$FA$46/3/(1+($FA$20-1)*$FA$19),0)+IF(CA588="同type",$FA$19*$FA$24*INDEX($FB$49:$FB$52,MATCH(X588,$FA$49:$FA$52,))/3/(1+($FA$20-1)*$FA$19),0)+IF(CA588="自身",$FA$19*#REF!/3/(1+(BH588-1)*$BD588),0)),0)</f>
        <v>0</v>
      </c>
      <c r="CE588" s="1097">
        <f t="shared" si="836"/>
        <v>0</v>
      </c>
      <c r="CF588" s="1112">
        <f t="shared" ref="CF588:CF615" si="874">IF(BZ588="st",CB588*$EX$6/$EX$12*(+IF(CA588="全员",$EX$17*9,0)+IF(CA588="仲间",$EX$17*8,0)+IF(CA588="同作战",$EX$17*3,0)+IF(CA588="同属性",$EX$17*$EW$39,0)+IF(CA588="同年级",$EX$17*$EW$42,0)+IF(CA588="同学校",$EX$17*$EW$45,0)+IF(CA588="同小队",$EX$17*$EW$48,0)+IF(CA588="同type",$EX$17*INDEX($EX$57:$EX$60,MATCH(O588,$EW$57:$EW$60,)),0)+IF(CA588="自身",$AR588)),0)/$EW$65*$EW$78</f>
        <v>0</v>
      </c>
      <c r="CG588" s="1100">
        <f t="shared" si="837"/>
        <v>0</v>
      </c>
      <c r="CH588" s="1110">
        <f t="shared" si="838"/>
        <v>0</v>
      </c>
      <c r="CI588" s="1113" t="s">
        <v>162</v>
      </c>
      <c r="CJ588" s="1114">
        <v>1</v>
      </c>
      <c r="CK588" s="1169" t="s">
        <v>2046</v>
      </c>
      <c r="CL588" s="1169" t="s">
        <v>1940</v>
      </c>
      <c r="CM588" s="1166">
        <v>0.77</v>
      </c>
      <c r="CN588" s="1169"/>
      <c r="CO588" s="1169">
        <v>1</v>
      </c>
      <c r="CP588" s="1117">
        <f t="shared" si="839"/>
        <v>97.666069988629999</v>
      </c>
      <c r="CQ588" s="1117">
        <f t="shared" si="840"/>
        <v>136.66961705090026</v>
      </c>
      <c r="CR588" s="1117">
        <f t="shared" si="841"/>
        <v>97.666069988629999</v>
      </c>
      <c r="CS588" s="1118">
        <f t="shared" si="782"/>
        <v>0</v>
      </c>
      <c r="CT588" s="1109">
        <f t="shared" si="783"/>
        <v>0</v>
      </c>
      <c r="CU588" s="1101">
        <f t="shared" si="842"/>
        <v>107.43267698749301</v>
      </c>
      <c r="CV588" s="1108">
        <f t="shared" si="870"/>
        <v>136.66961705090026</v>
      </c>
      <c r="CW588" s="1097">
        <f t="shared" si="843"/>
        <v>107.43267698749301</v>
      </c>
      <c r="CX588" s="1097">
        <f t="shared" si="844"/>
        <v>107.43267698749301</v>
      </c>
      <c r="CY588" s="1110">
        <f t="shared" si="845"/>
        <v>107.43267698749301</v>
      </c>
      <c r="CZ588" s="1113"/>
      <c r="DA588" s="1114"/>
      <c r="DB588" s="1115" t="s">
        <v>569</v>
      </c>
      <c r="DC588" s="1115"/>
      <c r="DD588" s="1119"/>
      <c r="DE588" s="1092"/>
      <c r="DF588" s="1092"/>
      <c r="DG588" s="1116">
        <f t="shared" si="846"/>
        <v>0</v>
      </c>
      <c r="DH588" s="1116">
        <f t="shared" si="847"/>
        <v>0</v>
      </c>
      <c r="DI588" s="1116">
        <f t="shared" si="848"/>
        <v>0</v>
      </c>
      <c r="DJ588" s="1118">
        <f t="shared" si="871"/>
        <v>0</v>
      </c>
      <c r="DK588" s="1109">
        <f t="shared" si="872"/>
        <v>0</v>
      </c>
      <c r="DL588" s="1101">
        <f t="shared" si="849"/>
        <v>0</v>
      </c>
      <c r="DM588" s="1097">
        <f t="shared" si="850"/>
        <v>0</v>
      </c>
      <c r="DN588" s="1097">
        <f t="shared" si="851"/>
        <v>0</v>
      </c>
      <c r="DO588" s="1097">
        <f t="shared" si="852"/>
        <v>0</v>
      </c>
      <c r="DP588" s="1110">
        <f t="shared" si="853"/>
        <v>0</v>
      </c>
      <c r="DQ588" s="1113" t="s">
        <v>167</v>
      </c>
      <c r="DR588" s="1120">
        <f t="shared" si="792"/>
        <v>0.3</v>
      </c>
      <c r="DS588" s="1124">
        <v>5</v>
      </c>
      <c r="DT588" s="1124" t="s">
        <v>2127</v>
      </c>
      <c r="DU588" s="1093" t="s">
        <v>2145</v>
      </c>
      <c r="DV588" s="1098">
        <f>IF($P588="","N/A",IF(P588=-1,INDEX('卡片raw data'!AN:AN,MATCH(D588,'卡片raw data'!$F:$F,)),0)+IF(AND(L588&lt;&gt;"party卡",P588&lt;=2,P588&gt;=0),INDEX('卡片raw data'!AP:AP,MATCH(D588,'卡片raw data'!$F:$F,)),0)+IF(OR(AND(L588="party卡",P588&lt;=1),AND(P588&lt;=4,L588&lt;&gt;"party卡",P588&gt;=3)),INDEX('卡片raw data'!AQ:AQ,MATCH(D588,'卡片raw data'!$F:$F,)),0)+IF(OR(P588=5,AND(L588="party卡",P588&gt;=2)),INDEX('卡片raw data'!AR:AR,MATCH(D588,'卡片raw data'!$F:$F,)),0))</f>
        <v>7.0000000000000007E-2</v>
      </c>
      <c r="DW588" s="1098">
        <f t="shared" si="854"/>
        <v>0.3</v>
      </c>
      <c r="DX588" s="1098">
        <f t="shared" si="855"/>
        <v>0.3</v>
      </c>
      <c r="DY588" s="1098">
        <f t="shared" si="856"/>
        <v>3.5000000000000003E-2</v>
      </c>
      <c r="DZ588" s="1098">
        <f t="shared" si="857"/>
        <v>3.0275000000000003E-2</v>
      </c>
      <c r="EA588" s="1098">
        <f t="shared" si="858"/>
        <v>0</v>
      </c>
      <c r="EB588" s="1121">
        <f t="shared" si="859"/>
        <v>0</v>
      </c>
      <c r="EC588" s="1101">
        <f t="shared" si="860"/>
        <v>4759.4026034905355</v>
      </c>
      <c r="ED588" s="1097">
        <f t="shared" si="861"/>
        <v>198.7727008148438</v>
      </c>
      <c r="EE588" s="1110">
        <f t="shared" si="775"/>
        <v>4759.4026034905355</v>
      </c>
      <c r="EF588" s="1113" t="s">
        <v>569</v>
      </c>
      <c r="EG588" s="1120">
        <f t="shared" si="793"/>
        <v>0.3</v>
      </c>
      <c r="EH588" s="1124"/>
      <c r="EI588" s="1124"/>
      <c r="EJ588" s="1124"/>
      <c r="EK588" s="1097">
        <f>IF($P588="","N/A",IF(P588=-1,INDEX('卡片raw data'!AS:AS,MATCH(D588,'卡片raw data'!$F:$F,)),0)+IF(AND(L588&lt;&gt;"party卡",P588&lt;=2,P588&gt;=0),INDEX('卡片raw data'!AU:AU,MATCH(D588,'卡片raw data'!$F:$F,)),0)+IF(OR(AND(L588="party卡",P588&lt;=1),AND(P588&lt;=4,L588&lt;&gt;"party卡",P588&gt;=3)),INDEX('卡片raw data'!AV:AV,MATCH(D588,'卡片raw data'!$F:$F,)),0)+IF(OR(P588=5,AND(L588="party卡",P588&gt;=2)),INDEX('卡片raw data'!AW:AW,MATCH(D588,'卡片raw data'!$F:$F,)),0))</f>
        <v>0</v>
      </c>
      <c r="EL588" s="1098">
        <f t="shared" si="862"/>
        <v>0.3</v>
      </c>
      <c r="EM588" s="1098">
        <f t="shared" si="863"/>
        <v>0.3</v>
      </c>
      <c r="EN588" s="1097">
        <f t="shared" si="864"/>
        <v>0</v>
      </c>
      <c r="EO588" s="1097">
        <f t="shared" si="865"/>
        <v>0</v>
      </c>
      <c r="EP588" s="1098">
        <f t="shared" si="866"/>
        <v>0</v>
      </c>
      <c r="EQ588" s="1121">
        <f t="shared" si="867"/>
        <v>0</v>
      </c>
      <c r="ER588" s="1101">
        <f t="shared" si="868"/>
        <v>0</v>
      </c>
      <c r="ES588" s="1097">
        <f t="shared" si="869"/>
        <v>0</v>
      </c>
      <c r="ET588" s="1122">
        <f t="shared" si="776"/>
        <v>0</v>
      </c>
    </row>
    <row r="589" spans="2:150" ht="16.5" customHeight="1">
      <c r="B589" s="1123" t="str">
        <f>INDEX('卡片raw data'!B:B,MATCH($D589,'卡片raw data'!$F:$F,))</f>
        <v>四单海</v>
      </c>
      <c r="C589" s="1025" t="s">
        <v>4764</v>
      </c>
      <c r="D589" s="408">
        <v>586</v>
      </c>
      <c r="E589" s="1164">
        <v>200042001</v>
      </c>
      <c r="F589" s="1090" t="str">
        <f>INDEX('卡片raw data'!C:C,MATCH($D589,'卡片raw data'!$F:$F,))</f>
        <v>SR</v>
      </c>
      <c r="G589" s="1026" t="s">
        <v>4765</v>
      </c>
      <c r="H589" s="411">
        <f>IFERROR(INDEX(绊状态确认!C:C,MATCH($G589,绊状态确认!$B:$B,)),"")</f>
        <v>4</v>
      </c>
      <c r="I589" s="1124" t="str">
        <f>IFERROR(INDEX(绊状态确认!D:D,MATCH($G589,绊状态确认!$B:$B,)),"")</f>
        <v>缪</v>
      </c>
      <c r="J589" s="1124" t="str">
        <f>IFERROR(INDEX(绊状态确认!E:E,MATCH($G589,绊状态确认!$B:$B,)),"")</f>
        <v>2年级</v>
      </c>
      <c r="K589" s="451" t="str">
        <f>IFERROR(INDEX(绊状态确认!F:F,MATCH($G589,绊状态确认!$B:$B,)),"")</f>
        <v>lilywhite</v>
      </c>
      <c r="L589" s="1094" t="str">
        <f>INDEX('卡片raw data'!E:E,MATCH($D589,'卡片raw data'!$F:$F,))</f>
        <v>卡池卡</v>
      </c>
      <c r="M589" s="1065">
        <v>44529</v>
      </c>
      <c r="N589" s="1027">
        <v>52.5</v>
      </c>
      <c r="O589" s="1091" t="str">
        <f>INDEX('卡片raw data'!D:D,MATCH($D589,'卡片raw data'!$F:$F,))</f>
        <v>sk</v>
      </c>
      <c r="P589" s="1126">
        <v>5</v>
      </c>
      <c r="Q589" s="1095">
        <f t="shared" si="796"/>
        <v>27430.243346756291</v>
      </c>
      <c r="R589" s="1096">
        <f t="shared" si="797"/>
        <v>0.318</v>
      </c>
      <c r="S589" s="1097">
        <f t="shared" si="798"/>
        <v>17374.618155857275</v>
      </c>
      <c r="T589" s="1098">
        <f t="shared" si="799"/>
        <v>0.86799999999999999</v>
      </c>
      <c r="U589" s="1099">
        <f t="shared" si="800"/>
        <v>615.60516060092834</v>
      </c>
      <c r="V589" s="1100">
        <f t="shared" si="801"/>
        <v>78697.122989623385</v>
      </c>
      <c r="W589" s="1101">
        <f t="shared" si="802"/>
        <v>6699.8877396111366</v>
      </c>
      <c r="X589" s="1096">
        <f t="shared" si="803"/>
        <v>7.6999999999999999E-2</v>
      </c>
      <c r="Y589" s="1097">
        <f t="shared" si="804"/>
        <v>831.84855324334421</v>
      </c>
      <c r="Z589" s="1102">
        <f t="shared" si="805"/>
        <v>10.460268193272857</v>
      </c>
      <c r="AA589" s="1103">
        <f t="shared" si="806"/>
        <v>7531.7362928544808</v>
      </c>
      <c r="AB589" s="1101">
        <f t="shared" si="807"/>
        <v>6699.8877396111366</v>
      </c>
      <c r="AC589" s="1104">
        <f t="shared" si="808"/>
        <v>7.6999999999999999E-2</v>
      </c>
      <c r="AD589" s="1105">
        <f t="shared" si="809"/>
        <v>1.8994224431818179E-2</v>
      </c>
      <c r="AE589" s="1128">
        <f t="shared" si="810"/>
        <v>4.3537577047458456</v>
      </c>
      <c r="AF589" s="1130">
        <f t="shared" si="811"/>
        <v>8068.5985654354045</v>
      </c>
      <c r="AG589" s="1097">
        <f t="shared" si="812"/>
        <v>106669.55801961201</v>
      </c>
      <c r="AH589" s="1097">
        <f t="shared" si="813"/>
        <v>13.220332769629595</v>
      </c>
      <c r="AI589" s="1097">
        <f t="shared" si="814"/>
        <v>106269.1024651076</v>
      </c>
      <c r="AJ589" s="1097">
        <f t="shared" si="815"/>
        <v>78697.122989623385</v>
      </c>
      <c r="AK589" s="1129">
        <f t="shared" si="816"/>
        <v>27571.979475484215</v>
      </c>
      <c r="AL589" s="1042">
        <f>IF($P589="","N/A",(IF($P589=-1,INDEX('卡片raw data'!S:S,MATCH($D589,'卡片raw data'!$F:$F,)),0)+IF($P589=0,INDEX('卡片raw data'!V:V,MATCH($D589,'卡片raw data'!$F:$F,)),0)+IF($P589=1,INDEX('卡片raw data'!Y:Y,MATCH($D589,'卡片raw data'!$F:$F,)),0)+IF($P589=2,INDEX('卡片raw data'!AB:AB,MATCH($D589,'卡片raw data'!$F:$F,)),0)+IF($P589=3,INDEX('卡片raw data'!AE:AE,MATCH($D589,'卡片raw data'!$F:$F,)),0)+IF($P589=4,INDEX('卡片raw data'!AH:AH,MATCH($D589,'卡片raw data'!$F:$F,)),0)+IF($P589=5,INDEX('卡片raw data'!AK:AK,MATCH($D589,'卡片raw data'!$F:$F,)),0)+INDEX('卡片raw data'!S:S,MATCH($D589,'卡片raw data'!$F:$F,))*(IF($F589="UR",0.04,0.033))*(IF($F589="UR",INDEX(绊状态确认!$S:$S,MATCH($G589,绊状态确认!$B:$B,))/2-40)+IF($F589="SR",INDEX(绊状态确认!$R:$R,MATCH($G589,绊状态确认!$B:$B,))/4-15))+IF($F589="R",INDEX(绊状态确认!$Q:$Q,MATCH($G589,绊状态确认!$B:$B,))/6-40/6)))*(INDEX(绊状态确认!$H:$H,MATCH($G589,绊状态确认!$B:$B,))+INDEX(绊状态确认!J:J,MATCH($G589,绊状态确认!$B:$B,)))</f>
        <v>7758.2255279999999</v>
      </c>
      <c r="AM589" s="1035">
        <f>IF($P589="","N/A",(IF($P589=-1,INDEX('卡片raw data'!T:T,MATCH($D589,'卡片raw data'!$F:$F,)),0)+IF($P589=0,INDEX('卡片raw data'!W:W,MATCH($D589,'卡片raw data'!$F:$F,)),0)+IF($P589=1,INDEX('卡片raw data'!Z:Z,MATCH($D589,'卡片raw data'!$F:$F,)),0)+IF($P589=2,INDEX('卡片raw data'!AC:AC,MATCH($D589,'卡片raw data'!$F:$F,)),0)+IF($P589=3,INDEX('卡片raw data'!AF:AF,MATCH($D589,'卡片raw data'!$F:$F,)),0)+IF($P589=4,INDEX('卡片raw data'!AI:AI,MATCH($D589,'卡片raw data'!$F:$F,)),0)+IF($P589=5,INDEX('卡片raw data'!AL:AL,MATCH($D589,'卡片raw data'!$F:$F,)),0)+INDEX('卡片raw data'!T:T,MATCH($D589,'卡片raw data'!$F:$F,))*(IF($F589="UR",0.04,0.033))*(IF($F589="UR",INDEX(绊状态确认!$S:$S,MATCH($G589,绊状态确认!$B:$B,))/2-40)+IF($F589="SR",INDEX(绊状态确认!$R:$R,MATCH($G589,绊状态确认!$B:$B,))/4-15))+IF($F589="R",INDEX(绊状态确认!$Q:$Q,MATCH($G589,绊状态确认!$B:$B,))/6-40/6)))*(INDEX(绊状态确认!$H:$H,MATCH($G589,绊状态确认!$B:$B,))+INDEX(绊状态确认!K:K,MATCH($G589,绊状态确认!$B:$B,)))</f>
        <v>5171.3677511999995</v>
      </c>
      <c r="AN589" s="1043">
        <f>IF($P589="","N/A",(IF($P589=-1,INDEX('卡片raw data'!U:U,MATCH($D589,'卡片raw data'!$F:$F,)),0)+IF($P589=0,INDEX('卡片raw data'!X:X,MATCH($D589,'卡片raw data'!$F:$F,)),0)+IF($P589=1,INDEX('卡片raw data'!AA:AA,MATCH($D589,'卡片raw data'!$F:$F,)),0)+IF($P589=2,INDEX('卡片raw data'!AD:AD,MATCH($D589,'卡片raw data'!$F:$F,)),0)+IF($P589=3,INDEX('卡片raw data'!AG:AG,MATCH($D589,'卡片raw data'!$F:$F,)),0)+IF($P589=4,INDEX('卡片raw data'!AJ:AJ,MATCH($D589,'卡片raw data'!$F:$F,)),0)+IF($P589=5,INDEX('卡片raw data'!AM:AM,MATCH($D589,'卡片raw data'!$F:$F,)),0)+INDEX('卡片raw data'!U:U,MATCH($D589,'卡片raw data'!$F:$F,))*(IF($F589="UR",0.04,0.033))*(IF($F589="UR",INDEX(绊状态确认!$S:$S,MATCH($G589,绊状态确认!$B:$B,))/2-40)+IF($F589="SR",INDEX(绊状态确认!$R:$R,MATCH($G589,绊状态确认!$B:$B,))/4-15))+IF($F589="R",INDEX(绊状态确认!$Q:$Q,MATCH($G589,绊状态确认!$B:$B,))/6-40/6)))*(INDEX(绊状态确认!$H:$H,MATCH($G589,绊状态确认!$B:$B,))+INDEX(绊状态确认!L:L,MATCH($G589,绊状态确认!$B:$B,)))</f>
        <v>10580.197646399998</v>
      </c>
      <c r="AO589" s="1167">
        <f t="shared" si="817"/>
        <v>1</v>
      </c>
      <c r="AP589" s="1044">
        <f>1+(INDEX(绊状态确认!$T:$T,MATCH($G589,绊状态确认!$B:$B,))+0.2)*$AO589</f>
        <v>1.3</v>
      </c>
      <c r="AQ589" s="1035">
        <f t="shared" si="818"/>
        <v>23615.342011000001</v>
      </c>
      <c r="AR589" s="1035">
        <f>(AM589*(1+$EX$9)+$EX$35)*(1+(INDEX(绊状态确认!$T:$T,MATCH($G589,绊状态确认!$B:$B,))+0.2)*AO589)*IF(J589=$FF$17,1+$FE$17,1)*IF(I589=$FF$14,1+$FE$14,1)</f>
        <v>9762.9169803879995</v>
      </c>
      <c r="AS589" s="1035">
        <f>(AN589*(1+$EX$10)+$EX$36)*(1+(INDEX(绊状态确认!$T:$T,MATCH($G589,绊状态确认!$B:$B,))+0.2)*AO589)*IF(J589=$FF$17,1+$FE$17,1)*IF(I589=$FF$14,1+$FE$14,1)</f>
        <v>19873.395481367996</v>
      </c>
      <c r="AT589" s="1165">
        <f>IF(AND(INDEX('卡片raw data'!AK:AK,MATCH($D589,'卡片raw data'!$F:$F,))&lt;INDEX('卡片raw data'!AM:AM,MATCH($D589,'卡片raw data'!$F:$F,)),INDEX('卡片raw data'!AL:AL,MATCH($D589,'卡片raw data'!$F:$F,))&lt;INDEX('卡片raw data'!AM:AM,MATCH($D589,'卡片raw data'!$F:$F,))),1,0)</f>
        <v>1</v>
      </c>
      <c r="AU589" s="1031">
        <f>MIN(AT589*0.15+AS589*0.00003+INDEX(绊状态确认!M:M,MATCH($G589,绊状态确认!$B:$B,)),1)</f>
        <v>0.77620186444103989</v>
      </c>
      <c r="AV589" s="1045">
        <f>(INDEX(绊状态确认!$N:$N,MATCH($G589,绊状态确认!$B:$B,))+1.5)*$EW$21</f>
        <v>2.6599999999999997</v>
      </c>
      <c r="AW589" s="1038">
        <f t="shared" si="819"/>
        <v>28067.361575448424</v>
      </c>
      <c r="AX589" s="1035">
        <f t="shared" si="820"/>
        <v>831.84855324334421</v>
      </c>
      <c r="AY589" s="483">
        <f t="shared" si="821"/>
        <v>28899.210128691768</v>
      </c>
      <c r="AZ589" s="1106">
        <f t="shared" si="822"/>
        <v>17728.5397796</v>
      </c>
      <c r="BA589" s="1108">
        <f t="shared" si="823"/>
        <v>21274.247735519999</v>
      </c>
      <c r="BB589" s="1035">
        <f>(AM589*(1+$FB$9)+$FB$35)*(1+(INDEX(绊状态确认!$T:$T,MATCH($G589,绊状态确认!$B:$B,))+0.2)*AO589)*IF(J589=$FF$17,1+$FE$17,1)*IF(I589=$FF$14,1+$FE$14,1)*(1+$FE$15)</f>
        <v>9762.9169803879995</v>
      </c>
      <c r="BC589" s="1035">
        <f>(AN589*(1+$FB$10)+$FB$36)*(1+(INDEX(绊状态确认!$T:$T,MATCH($G589,绊状态确认!$B:$B,))+0.2)*AO589)*IF(J589=$FF$17,1+$FE$17,1)*IF(I589=$FF$14,1+$FE$14,1)*(1+$FE$15)</f>
        <v>19873.395481367996</v>
      </c>
      <c r="BD589" s="481">
        <f>MIN(AT589*0.15+BC589*0.00003+INDEX(绊状态确认!M:M,MATCH($G589,绊状态确认!$B:$B,)),1)</f>
        <v>0.77620186444103989</v>
      </c>
      <c r="BE589" s="1109">
        <f>(INDEX(绊状态确认!$N:$N,MATCH($G589,绊状态确认!$B:$B,))+1.5)</f>
        <v>1.9</v>
      </c>
      <c r="BF589" s="646">
        <f t="array" ref="BF589">SUMPRODUCT(IF(AZ589*AP589*$FI$16:$FI$23*$FA$22&gt;=$FI$24,$FI$24,AZ589*AP589*$FI$16:$FI$23*$FA$22),$FJ$16:$FJ$23)</f>
        <v>35262.065621624402</v>
      </c>
      <c r="BG589" s="1047">
        <f t="array" ref="BG589">SUMPRODUCT(IF(BE589*AZ589*AP589*$FI$16:$FI$23*$FA$22&gt;=$FI$24,$FI$24,BE589*AZ589*AP589*$FI$16:$FI$23*$FA$22),$FJ$16:$FJ$23)</f>
        <v>58947.373313903001</v>
      </c>
      <c r="BH589" s="1046">
        <f t="shared" si="824"/>
        <v>17882.215204076918</v>
      </c>
      <c r="BI589" s="1048">
        <f>IF(O589="vo",$EW$26/$EW$24*0.05,0)+IF(O589="sk",-$EW$26/$EW$24*(0.05-INDEX(绊状态确认!W:W,MATCH($G589,绊状态确认!$B:$B,)))+0.05*$EW$28,0)+IF(O589="sp",0.05*$EW$32*$EW$30*(1-$EW$33)-(0.05-INDEX(绊状态确认!V:V,MATCH($G589,绊状态确认!$B:$B,)))*$EW$28,0)+IF(O589="gd",-(0.05-INDEX(绊状态确认!X:X,MATCH($G589,绊状态确认!$B:$B,)))*$EW$32*$EW$30*(1-$EW$33),0)</f>
        <v>-6253.6726349699375</v>
      </c>
      <c r="BJ589" s="1097">
        <f>IF(O589="vo",0.05*(1-$FI$26)*$FA$24,0)+IF(O589="sk",-(0.05-INDEX(绊状态确认!W:W,MATCH($G589,绊状态确认!$B:$B,)))*(1-$FI$26)*$FA$24+0.05*$FA$26,0)+IF(O589="sp",0.05*$FA$32*$FA$27*(1-$FA$33)/$FA$30+0.05*$FA$29/$FA$69*$FA$27*(1-$FA$33)-(0.05-INDEX(绊状态确认!V:V,MATCH($G589,绊状态确认!$B:$B,)))*$FA$26,0)+IF(O589="gd",-(0.05-INDEX(绊状态确认!X:X,MATCH($G589,绊状态确认!$B:$B,)))*$FA$32*$FA$27*(1-$FA$33)/$FA$30-(0.05-INDEX(绊状态确认!X:X,MATCH($G589,绊状态确认!$B:$B,)))*$FA$29/$FA$69*$FA$27*(1-$FA$33),0)</f>
        <v>20.459096812499922</v>
      </c>
      <c r="BK589" s="1046">
        <f>IF(O589="vo",$EW$26/$EW$24*0.05+$EW$26*(-HP($EW$62,$EW$65,$EW$64)+HP($EW$62,$EW$65,(1.05-INDEX(绊状态确认!U:U,MATCH($G589,绊状态确认!$B:$B,)))*$EW$64)),0)+IF(O589="sk",-$EW$26/$EW$24*(0.05-INDEX(绊状态确认!W:W,MATCH($G589,绊状态确认!$B:$B,)))+0.05*$EW$29,0)+IF(O589="sp",0.05*$EW$32*$EW$30*(1-$EW$33)-(0.05-INDEX(绊状态确认!V:V,MATCH($G589,绊状态确认!$B:$B,)))*$EW$29,0)+IF(O589="gd",-(0.05-INDEX(绊状态确认!X:X,MATCH($G589,绊状态确认!$B:$B,)))*$EW$32*$EW$30*(1-$EW$33)+$EW$26*(-HP($EW$62,$EW$65,$EW$64)+HP($EW$62,$EW$65,0.95*$EW$64)),0)</f>
        <v>-4253.6726349699375</v>
      </c>
      <c r="BL589" s="1048">
        <f t="shared" si="825"/>
        <v>-1083.3333333333333</v>
      </c>
      <c r="BM589" s="1046">
        <f t="shared" si="826"/>
        <v>-830.55555555555543</v>
      </c>
      <c r="BN589" s="1167">
        <f t="shared" si="827"/>
        <v>3</v>
      </c>
      <c r="BO589" s="1035">
        <f t="shared" si="828"/>
        <v>4507.7214871259994</v>
      </c>
      <c r="BP589" s="1043">
        <f t="shared" si="829"/>
        <v>221.34103209030098</v>
      </c>
      <c r="BQ589" s="1113" t="s">
        <v>132</v>
      </c>
      <c r="BR589" s="1124" t="s">
        <v>161</v>
      </c>
      <c r="BS589" s="1098">
        <f>IF($P589="","N/A",IF($P589=-1,INDEX('卡片raw data'!AX:AX,MATCH($D589,'卡片raw data'!$F:$F,)),0)+IF($L589="party卡",IF($P589=5,INDEX('卡片raw data'!BD:BD,MATCH($D589,'卡片raw data'!$F:$F,)),IF($P589&gt;=3,INDEX('卡片raw data'!BC:BC,MATCH($D589,'卡片raw data'!$F:$F,)),INDEX('卡片raw data'!BB:BB,MATCH($D589,'卡片raw data'!$F:$F,)))),IF(OR(AND($F589="UR",$P589=0),AND($F589="SR",$P589&gt;=0,$P589&lt;=2),AND($F589="R",$P589&gt;=0,$P589&lt;4)),INDEX('卡片raw data'!AZ:AZ,MATCH($D589,'卡片raw data'!$F:$F,)),0)+IF(OR(AND($F589="UR",$P589&gt;=1,$P589&lt;=4),AND($F589="SR",$P589&lt;=4,$P589&gt;=3),AND($F589="R",$P589=4)),INDEX('卡片raw data'!BA:BA,MATCH($D589,'卡片raw data'!$F:$F,)),0)+IF($P589=5,INDEX('卡片raw data'!BB:BB,MATCH($D589,'卡片raw data'!$F:$F,)),0)))</f>
        <v>2.1999999999999999E-2</v>
      </c>
      <c r="BT589" s="1101">
        <f t="shared" si="830"/>
        <v>1652.8312119462</v>
      </c>
      <c r="BU589" s="1097">
        <f t="shared" si="831"/>
        <v>81.158378433110371</v>
      </c>
      <c r="BV589" s="1097">
        <f t="shared" si="832"/>
        <v>1652.8312119462</v>
      </c>
      <c r="BW589" s="1112">
        <f t="shared" si="833"/>
        <v>0</v>
      </c>
      <c r="BX589" s="1100">
        <f t="shared" si="834"/>
        <v>1652.8312119462</v>
      </c>
      <c r="BY589" s="1110">
        <f t="shared" si="835"/>
        <v>1652.8312119462</v>
      </c>
      <c r="BZ589" s="1113" t="s">
        <v>569</v>
      </c>
      <c r="CA589" s="1124"/>
      <c r="CB589" s="1098">
        <f>IF($P589="","N/A",IF($P589=-1,INDEX('卡片raw data'!BE:BE,MATCH($D589,'卡片raw data'!$F:$F,)),0)+IF($L589="party卡",IF($P589=5,INDEX('卡片raw data'!BK:BK,MATCH($D589,'卡片raw data'!$F:$F,)),IF($P589&gt;=3,INDEX('卡片raw data'!BJ:BJ,MATCH($D589,'卡片raw data'!$F:$F,)),INDEX('卡片raw data'!BI:BI,MATCH($D589,'卡片raw data'!$F:$F,)))),IF(OR(AND($F589="UR",$P589=0),AND($F589="SR",$P589&gt;=0,$P589&lt;=2),AND($F589="R",$P589&gt;=0,$P589&lt;4)),INDEX('卡片raw data'!BG:BG,MATCH($D589,'卡片raw data'!$F:$F,)),0)+IF(OR(AND($F589="UR",$P589&gt;=1,$P589&lt;=4),AND($F589="SR",$P589&lt;=4,$P589&gt;=3),AND($F589="R",$P589=4)),INDEX('卡片raw data'!BH:BH,MATCH($D589,'卡片raw data'!$F:$F,)),0)+IF($P589=5,INDEX('卡片raw data'!BI:BI,MATCH($D589,'卡片raw data'!$F:$F,)),0)))</f>
        <v>0</v>
      </c>
      <c r="CC589" s="1101">
        <f t="shared" si="873"/>
        <v>0</v>
      </c>
      <c r="CD589" s="1097">
        <f>IF(BZ589="ap",CB589*(1-$FI$26)*$FB$5/$FB$11*(+IF(CA589="全员",$FA$24,0)+IF(CA589="同作战",$FA$24,0)+IF(CA589="仲间",$FA$24*2/3,0)+IF(CA589="同属性",$FA$24*$FA$37/3,0)+IF(CA589="同年级",$FA$24*$FA$40/3,0)+IF(CA589="同学校",$FA$24*$FA$43/3,0)+IF(CA589="同小队",$FA$24*$FA$46/3,0)+IF(CA589="同type",$FA$24*INDEX($FB$49:$FB$52,MATCH(X589,$FA$49:$FA$52,))/3,0)+IF(CA589="自身",#REF!/3,0)),0)+IF(BZ589="te",CB589*(1-$FI$27)*($FA$20-1)*$FB$7/$FB$13*(+IF(CA589="全员",$FA$19*$FA$24/(1+($FA$20-1)*$FA$19),0)+IF(CA589="同作战",$FA$19*$FA$24/(1+($FA$20-1)*$FA$19),0)+IF(CA589="仲间",$FA$19*$FA$24*2/3/(1+($FA$20-1)*$FA$19),0)+IF(CA589="同属性",$FA$19*$FA$24*$FA$37/3/(1+($FA$20-1)*$FA$19),0)+IF(CA589="同年级",$FA$19*$FA$24*$FA$40/3/(1+($FA$20-1)*$FA$19),0)+IF(CA589="同学校",$FA$19*$FA$24*$FA$43/3/(1+($FA$20-1)*$FA$19),0)+IF(CA589="同小队",$FA$19*$FA$24*$FA$46/3/(1+($FA$20-1)*$FA$19),0)+IF(CA589="同type",$FA$19*$FA$24*INDEX($FB$49:$FB$52,MATCH(X589,$FA$49:$FA$52,))/3/(1+($FA$20-1)*$FA$19),0)+IF(CA589="自身",$FA$19*#REF!/3/(1+(BH589-1)*$BD589),0)),0)</f>
        <v>0</v>
      </c>
      <c r="CE589" s="1097">
        <f t="shared" si="836"/>
        <v>0</v>
      </c>
      <c r="CF589" s="1112">
        <f t="shared" si="874"/>
        <v>0</v>
      </c>
      <c r="CG589" s="1100">
        <f t="shared" si="837"/>
        <v>0</v>
      </c>
      <c r="CH589" s="1110">
        <f t="shared" si="838"/>
        <v>0</v>
      </c>
      <c r="CI589" s="1113" t="s">
        <v>165</v>
      </c>
      <c r="CJ589" s="1114">
        <v>0.3</v>
      </c>
      <c r="CK589" s="1115" t="s">
        <v>551</v>
      </c>
      <c r="CL589" s="1169" t="s">
        <v>1947</v>
      </c>
      <c r="CM589" s="1166">
        <v>0.03</v>
      </c>
      <c r="CN589" s="1169" t="s">
        <v>2076</v>
      </c>
      <c r="CO589" s="1169"/>
      <c r="CP589" s="1118">
        <f t="shared" si="839"/>
        <v>8.9999999999999993E-3</v>
      </c>
      <c r="CQ589" s="1118">
        <f t="shared" si="840"/>
        <v>8.9999999999999993E-3</v>
      </c>
      <c r="CR589" s="1118">
        <f t="shared" si="841"/>
        <v>8.9999999999999993E-3</v>
      </c>
      <c r="CS589" s="1118">
        <f t="shared" ref="CS589:CS611" si="875">IF(CK589="技能+",IF(CN589="infty",(IF(CI589="曲开始",CM589*CJ589)+IF(OR(CI589="AC时",CI589="AC成功"),(1-(1-(1-CJ589)^($FM$20+1))/(($FM$20+1)*CJ589))*CM589))*(IF(CL589="全员",1)))+IF(CN589&lt;&gt;"infty",CM589*(IF(CI589="曲开始",CJ589*CN589/$FM$19)+IF(OR(CI589="AC时",CI589="AC成功"),CN589*IF(CO589&lt;&gt;"",MIN(CO589,CJ589*$FM$20),CJ589*$FM$20)/$FM$19)+IF(CI589="切队",CN589*IF(CO589&lt;&gt;"",MIN(CJ589*$FM$11,CO589/$FM$19),CJ589*$FM$11))+IF(CI589="ap时",IF(CO589&lt;&gt;"",MIN(CO589/$FM604,IF($O589="sk",$FM$10,$FM$9)*CJ589),IF($O589="sk",$FM$10,$FM$9)*CJ589)*CN589)+IF(CI589="ct时",IF(CO589&lt;&gt;"",MIN(CO589/$FM604,$AU589*IF($O589="sk",$FM$10,$FM$9)*CJ589),$AU589*IF($O589="sk",$FM$10,$FM$9)*CJ589)*CN589))*(IF(CL589="全员",1)+IF(CL589="同作战",IF($O589="sk",$FM$10*3,$FM$9*3))+IF(CL589="同属性",$FM$23/6)+IF(CL589="同年级",$FM$24/6)+IF(CL589="自身",IF($O589="sk",$FM$10,$FM$9)))),0)*$FM$16</f>
        <v>0</v>
      </c>
      <c r="CT589" s="1109">
        <f t="shared" ref="CT589:CT611" si="876">IF(CK589="sp+",IF(CN589="infty",(IF(CI589="曲开始",CM589*CJ589*$FM$28)+IF(OR(CI589="AC时",CI589="AC成功"),(1-(1-(1-CJ589)^($FM$20+1))/(($FM$20+1)*CJ589))*CM589*$FM$28))*(IF(CL589="全员",1)))+IF(CN589&lt;&gt;"infty",CM589*$FM$28*(IF(CI589="曲开始",CJ589*CN589/$FM$19)+IF(OR(CI589="AC时",CI589="AC成功"),CN589*IF(CO589&lt;&gt;"",MIN(CO589,CJ589*$FM$20),CJ589*$FM$20)/$FM$19)+IF(CI589="切队",CN589*IF(CO589&lt;&gt;"",MIN(CJ589*$FM$11,CO589/$FM$19),CJ589*$FM$11))+IF(CI589="ap时",IF(CO589&lt;&gt;"",MIN(CO589/$FM604,IF($O589="sk",$FM$10,$FM$9)*CJ589),IF($O589="sk",$FM$10,$FM$9)*CJ589)*CN589)+IF(CI589="ct时",IF(CO589&lt;&gt;"",MIN(CO589/$FM604,$AU589*IF($O589="sk",$FM$10,$FM$9)*CJ589),$AU589*IF($O589="sk",$FM$10,$FM$9)*CJ589)*CN589))*(IF(CL589="全员",1)+IF(CL589="同作战",IF($O589="sk",$FM$10*3,$FM$9*3))+IF(CL589="同属性",$FM$23/6)+IF(CL589="同年级",$FM$24/6)+IF(CL589="同type",IF(O589="sp",$FN$6*$FM$9)))),0)+IF(CK589="sp获得",IF(CI589="AC成功",0,CM589*(IF(CL589="ap",AQ589)+IF(CL589="st",AR589)+IF(CL589="te",AS589)+IF(CL589="sp槽",$EW$77)+IF(CL589="",1))*IF($O589="sk",1,1+(1+$FM$10/$FM$9)*($FM$27-1))*(IF(CI589="曲开始",CJ589/$FM$19)+IF(CI589="SP发动",IF(CO589&lt;&gt;"",MIN(CO589/$FM$19,CJ589*$FM$30/$FM$19),CJ589*$FM$30/$FM$19))+IF(CI589="切队",IF(CO589&lt;&gt;"",MIN(CO589/$FM$19,CJ589*$FM$11),CJ589*$FM$11))+IF(OR(CI589="AC时",CI589="AC成功"),IF(CO589&lt;&gt;"",MIN(CO589/$FM$19,CJ589*$FM$20/$FM$19),CJ589*$FM$20/$FM$19))+IF(CI589="ap时",IF(CO589&lt;&gt;"",MIN(CO589/$FM$19,CJ589*IF($O589="sk",$FM$10,$FM$9)),CJ589*IF($O589="sk",$FM$10,$FM$9)))+IF(CI589="ct时",IF(CO589&lt;&gt;"",MIN(CO589/$FM$19,CJ589*IF($O589="sk",$FM$10,$FM$9)*$AU589),CJ589*IF($O589="sk",$FM$10,$FM$9)*$AU589)))))</f>
        <v>0</v>
      </c>
      <c r="CU589" s="1101">
        <f t="shared" si="842"/>
        <v>539.33504053893762</v>
      </c>
      <c r="CV589" s="1108">
        <f t="shared" si="870"/>
        <v>0</v>
      </c>
      <c r="CW589" s="1108">
        <f t="shared" si="843"/>
        <v>539.33504053893762</v>
      </c>
      <c r="CX589" s="1097">
        <f t="shared" si="844"/>
        <v>539.33504053893762</v>
      </c>
      <c r="CY589" s="1110">
        <f t="shared" si="845"/>
        <v>539.33504053893762</v>
      </c>
      <c r="CZ589" s="437"/>
      <c r="DA589" s="1114"/>
      <c r="DB589" s="1115" t="s">
        <v>569</v>
      </c>
      <c r="DC589" s="1115"/>
      <c r="DD589" s="1119"/>
      <c r="DE589" s="1092"/>
      <c r="DF589" s="1092"/>
      <c r="DG589" s="1116">
        <f t="shared" si="846"/>
        <v>0</v>
      </c>
      <c r="DH589" s="1116">
        <f t="shared" si="847"/>
        <v>0</v>
      </c>
      <c r="DI589" s="1116">
        <f t="shared" si="848"/>
        <v>0</v>
      </c>
      <c r="DJ589" s="1118">
        <f t="shared" si="871"/>
        <v>0</v>
      </c>
      <c r="DK589" s="1109">
        <f t="shared" si="872"/>
        <v>0</v>
      </c>
      <c r="DL589" s="1101">
        <f t="shared" si="849"/>
        <v>0</v>
      </c>
      <c r="DM589" s="1097">
        <f t="shared" si="850"/>
        <v>0</v>
      </c>
      <c r="DN589" s="1097">
        <f t="shared" si="851"/>
        <v>0</v>
      </c>
      <c r="DO589" s="1097">
        <f t="shared" si="852"/>
        <v>0</v>
      </c>
      <c r="DP589" s="1110">
        <f t="shared" si="853"/>
        <v>0</v>
      </c>
      <c r="DQ589" s="1167" t="s">
        <v>2305</v>
      </c>
      <c r="DR589" s="1120">
        <f t="shared" si="792"/>
        <v>0.3</v>
      </c>
      <c r="DS589" s="1165"/>
      <c r="DT589" s="1165" t="s">
        <v>1941</v>
      </c>
      <c r="DU589" s="1165"/>
      <c r="DV589" s="1098">
        <f>IF($P589="","N/A",IF(P589=-1,INDEX('卡片raw data'!AN:AN,MATCH(D589,'卡片raw data'!$F:$F,)),0)+IF(AND(L589&lt;&gt;"party卡",P589&lt;=2,P589&gt;=0),INDEX('卡片raw data'!AP:AP,MATCH(D589,'卡片raw data'!$F:$F,)),0)+IF(OR(AND(L589="party卡",P589&lt;=1),AND(P589&lt;=4,L589&lt;&gt;"party卡",P589&gt;=3)),INDEX('卡片raw data'!AQ:AQ,MATCH(D589,'卡片raw data'!$F:$F,)),0)+IF(OR(P589=5,AND(L589="party卡",P589&gt;=2)),INDEX('卡片raw data'!AR:AR,MATCH(D589,'卡片raw data'!$F:$F,)),0))</f>
        <v>0.28999999999999998</v>
      </c>
      <c r="DW589" s="1098">
        <f t="shared" si="854"/>
        <v>0.3</v>
      </c>
      <c r="DX589" s="1098">
        <f t="shared" si="855"/>
        <v>0.3</v>
      </c>
      <c r="DY589" s="1097">
        <f t="shared" si="856"/>
        <v>576.3284689596718</v>
      </c>
      <c r="DZ589" s="1097">
        <f t="shared" si="857"/>
        <v>498.5241256501161</v>
      </c>
      <c r="EA589" s="1098">
        <f t="shared" si="858"/>
        <v>0</v>
      </c>
      <c r="EB589" s="1121">
        <f t="shared" si="859"/>
        <v>0</v>
      </c>
      <c r="EC589" s="1101">
        <f t="shared" si="860"/>
        <v>0</v>
      </c>
      <c r="ED589" s="1097">
        <f t="shared" si="861"/>
        <v>0</v>
      </c>
      <c r="EE589" s="1110">
        <f t="shared" si="775"/>
        <v>48435.03108962375</v>
      </c>
      <c r="EF589" s="1113" t="s">
        <v>569</v>
      </c>
      <c r="EG589" s="1120">
        <f t="shared" si="793"/>
        <v>0.3</v>
      </c>
      <c r="EH589" s="1124"/>
      <c r="EI589" s="1124"/>
      <c r="EJ589" s="1124"/>
      <c r="EK589" s="1097">
        <f>IF($P589="","N/A",IF(P589=-1,INDEX('卡片raw data'!AS:AS,MATCH(D589,'卡片raw data'!$F:$F,)),0)+IF(AND(L589&lt;&gt;"party卡",P589&lt;=2,P589&gt;=0),INDEX('卡片raw data'!AU:AU,MATCH(D589,'卡片raw data'!$F:$F,)),0)+IF(OR(AND(L589="party卡",P589&lt;=1),AND(P589&lt;=4,L589&lt;&gt;"party卡",P589&gt;=3)),INDEX('卡片raw data'!AV:AV,MATCH(D589,'卡片raw data'!$F:$F,)),0)+IF(OR(P589=5,AND(L589="party卡",P589&gt;=2)),INDEX('卡片raw data'!AW:AW,MATCH(D589,'卡片raw data'!$F:$F,)),0))</f>
        <v>0</v>
      </c>
      <c r="EL589" s="1098">
        <f t="shared" si="862"/>
        <v>0.3</v>
      </c>
      <c r="EM589" s="1098">
        <f t="shared" si="863"/>
        <v>0.3</v>
      </c>
      <c r="EN589" s="1097">
        <f t="shared" si="864"/>
        <v>0</v>
      </c>
      <c r="EO589" s="1097">
        <f t="shared" si="865"/>
        <v>0</v>
      </c>
      <c r="EP589" s="1098">
        <f t="shared" si="866"/>
        <v>0</v>
      </c>
      <c r="EQ589" s="1121">
        <f t="shared" si="867"/>
        <v>0</v>
      </c>
      <c r="ER589" s="1101">
        <f t="shared" si="868"/>
        <v>0</v>
      </c>
      <c r="ES589" s="1097">
        <f t="shared" si="869"/>
        <v>0</v>
      </c>
      <c r="ET589" s="1122">
        <f t="shared" si="776"/>
        <v>0</v>
      </c>
    </row>
    <row r="590" spans="2:150" ht="16.5" customHeight="1">
      <c r="B590" s="1123" t="str">
        <f>INDEX('卡片raw data'!B:B,MATCH($D590,'卡片raw data'!$F:$F,))</f>
        <v>雪光璃</v>
      </c>
      <c r="C590" s="1025" t="s">
        <v>4800</v>
      </c>
      <c r="D590" s="408">
        <v>587</v>
      </c>
      <c r="E590" s="1164">
        <v>402093005</v>
      </c>
      <c r="F590" s="1090" t="str">
        <f>INDEX('卡片raw data'!C:C,MATCH($D590,'卡片raw data'!$F:$F,))</f>
        <v>UR</v>
      </c>
      <c r="G590" s="1026" t="s">
        <v>4801</v>
      </c>
      <c r="H590" s="411">
        <f>IFERROR(INDEX(绊状态确认!C:C,MATCH($G590,绊状态确认!$B:$B,)),"")</f>
        <v>209</v>
      </c>
      <c r="I590" s="450" t="str">
        <f>IFERROR(INDEX(绊状态确认!D:D,MATCH($G590,绊状态确认!$B:$B,)),"")</f>
        <v>虹</v>
      </c>
      <c r="J590" s="450" t="str">
        <f>IFERROR(INDEX(绊状态确认!E:E,MATCH($G590,绊状态确认!$B:$B,)),"")</f>
        <v>1年级</v>
      </c>
      <c r="K590" s="451" t="str">
        <f>IFERROR(INDEX(绊状态确认!F:F,MATCH($G590,绊状态确认!$B:$B,)),"")</f>
        <v>QU4RTZ</v>
      </c>
      <c r="L590" s="1094" t="str">
        <f>INDEX('卡片raw data'!E:E,MATCH($D590,'卡片raw data'!$F:$F,))</f>
        <v>卡池卡</v>
      </c>
      <c r="M590" s="1065">
        <v>44534</v>
      </c>
      <c r="N590" s="1027">
        <v>53</v>
      </c>
      <c r="O590" s="1091" t="str">
        <f>INDEX('卡片raw data'!D:D,MATCH($D590,'卡片raw data'!$F:$F,))</f>
        <v>sp</v>
      </c>
      <c r="P590" s="1126">
        <v>5</v>
      </c>
      <c r="Q590" s="1095">
        <f t="shared" si="796"/>
        <v>70128.903451271675</v>
      </c>
      <c r="R590" s="1096">
        <f t="shared" si="797"/>
        <v>0.81499999999999995</v>
      </c>
      <c r="S590" s="1097">
        <f t="shared" si="798"/>
        <v>21918.373166426987</v>
      </c>
      <c r="T590" s="1098">
        <f t="shared" si="799"/>
        <v>1.095</v>
      </c>
      <c r="U590" s="1099">
        <f t="shared" si="800"/>
        <v>14.132161457142855</v>
      </c>
      <c r="V590" s="1100">
        <f t="shared" si="801"/>
        <v>69461.251222658626</v>
      </c>
      <c r="W590" s="1101">
        <f t="shared" si="802"/>
        <v>5342.6561443849278</v>
      </c>
      <c r="X590" s="1096">
        <f t="shared" si="803"/>
        <v>6.2E-2</v>
      </c>
      <c r="Y590" s="1097">
        <f t="shared" si="804"/>
        <v>1132.3477713869506</v>
      </c>
      <c r="Z590" s="1102">
        <f t="shared" si="805"/>
        <v>14.132161457142855</v>
      </c>
      <c r="AA590" s="1103">
        <f t="shared" si="806"/>
        <v>6475.0039157718784</v>
      </c>
      <c r="AB590" s="1101">
        <f t="shared" si="807"/>
        <v>10601.664546031927</v>
      </c>
      <c r="AC590" s="1104">
        <f t="shared" si="808"/>
        <v>0.123</v>
      </c>
      <c r="AD590" s="1105">
        <f t="shared" si="809"/>
        <v>-1.6087500000000001E-2</v>
      </c>
      <c r="AE590" s="1128">
        <f t="shared" si="810"/>
        <v>29.10693446822826</v>
      </c>
      <c r="AF590" s="1130">
        <f t="shared" si="811"/>
        <v>0</v>
      </c>
      <c r="AG590" s="1097">
        <f t="shared" si="812"/>
        <v>0</v>
      </c>
      <c r="AH590" s="1097">
        <f t="shared" si="813"/>
        <v>0</v>
      </c>
      <c r="AI590" s="1097">
        <f t="shared" si="814"/>
        <v>0</v>
      </c>
      <c r="AJ590" s="1097">
        <f t="shared" si="815"/>
        <v>0</v>
      </c>
      <c r="AK590" s="1129">
        <f t="shared" si="816"/>
        <v>0</v>
      </c>
      <c r="AL590" s="1042">
        <f>IF($P590="","N/A",(IF($P590=-1,INDEX('卡片raw data'!S:S,MATCH($D590,'卡片raw data'!$F:$F,)),0)+IF($P590=0,INDEX('卡片raw data'!V:V,MATCH($D590,'卡片raw data'!$F:$F,)),0)+IF($P590=1,INDEX('卡片raw data'!Y:Y,MATCH($D590,'卡片raw data'!$F:$F,)),0)+IF($P590=2,INDEX('卡片raw data'!AB:AB,MATCH($D590,'卡片raw data'!$F:$F,)),0)+IF($P590=3,INDEX('卡片raw data'!AE:AE,MATCH($D590,'卡片raw data'!$F:$F,)),0)+IF($P590=4,INDEX('卡片raw data'!AH:AH,MATCH($D590,'卡片raw data'!$F:$F,)),0)+IF($P590=5,INDEX('卡片raw data'!AK:AK,MATCH($D590,'卡片raw data'!$F:$F,)),0)+INDEX('卡片raw data'!S:S,MATCH($D590,'卡片raw data'!$F:$F,))*(IF($F590="UR",0.04,0.033))*(IF($F590="UR",INDEX(绊状态确认!$S:$S,MATCH($G590,绊状态确认!$B:$B,))/2-40)+IF($F590="SR",INDEX(绊状态确认!$R:$R,MATCH($G590,绊状态确认!$B:$B,))/4-15))+IF($F590="R",INDEX(绊状态确认!$Q:$Q,MATCH($G590,绊状态确认!$B:$B,))/6-40/6)))*(INDEX(绊状态确认!$H:$H,MATCH($G590,绊状态确认!$B:$B,))+INDEX(绊状态确认!J:J,MATCH($G590,绊状态确认!$B:$B,)))</f>
        <v>14594.739743999997</v>
      </c>
      <c r="AM590" s="1035">
        <f>IF($P590="","N/A",(IF($P590=-1,INDEX('卡片raw data'!T:T,MATCH($D590,'卡片raw data'!$F:$F,)),0)+IF($P590=0,INDEX('卡片raw data'!W:W,MATCH($D590,'卡片raw data'!$F:$F,)),0)+IF($P590=1,INDEX('卡片raw data'!Z:Z,MATCH($D590,'卡片raw data'!$F:$F,)),0)+IF($P590=2,INDEX('卡片raw data'!AC:AC,MATCH($D590,'卡片raw data'!$F:$F,)),0)+IF($P590=3,INDEX('卡片raw data'!AF:AF,MATCH($D590,'卡片raw data'!$F:$F,)),0)+IF($P590=4,INDEX('卡片raw data'!AI:AI,MATCH($D590,'卡片raw data'!$F:$F,)),0)+IF($P590=5,INDEX('卡片raw data'!AL:AL,MATCH($D590,'卡片raw data'!$F:$F,)),0)+INDEX('卡片raw data'!T:T,MATCH($D590,'卡片raw data'!$F:$F,))*(IF($F590="UR",0.04,0.033))*(IF($F590="UR",INDEX(绊状态确认!$S:$S,MATCH($G590,绊状态确认!$B:$B,))/2-40)+IF($F590="SR",INDEX(绊状态确认!$R:$R,MATCH($G590,绊状态确认!$B:$B,))/4-15))+IF($F590="R",INDEX(绊状态确认!$Q:$Q,MATCH($G590,绊状态确认!$B:$B,))/6-40/6)))*(INDEX(绊状态确认!$H:$H,MATCH($G590,绊状态确认!$B:$B,))+INDEX(绊状态确认!K:K,MATCH($G590,绊状态确认!$B:$B,)))</f>
        <v>7682.0639999999994</v>
      </c>
      <c r="AN590" s="1043">
        <f>IF($P590="","N/A",(IF($P590=-1,INDEX('卡片raw data'!U:U,MATCH($D590,'卡片raw data'!$F:$F,)),0)+IF($P590=0,INDEX('卡片raw data'!X:X,MATCH($D590,'卡片raw data'!$F:$F,)),0)+IF($P590=1,INDEX('卡片raw data'!AA:AA,MATCH($D590,'卡片raw data'!$F:$F,)),0)+IF($P590=2,INDEX('卡片raw data'!AD:AD,MATCH($D590,'卡片raw data'!$F:$F,)),0)+IF($P590=3,INDEX('卡片raw data'!AG:AG,MATCH($D590,'卡片raw data'!$F:$F,)),0)+IF($P590=4,INDEX('卡片raw data'!AJ:AJ,MATCH($D590,'卡片raw data'!$F:$F,)),0)+IF($P590=5,INDEX('卡片raw data'!AM:AM,MATCH($D590,'卡片raw data'!$F:$F,)),0)+INDEX('卡片raw data'!U:U,MATCH($D590,'卡片raw data'!$F:$F,))*(IF($F590="UR",0.04,0.033))*(IF($F590="UR",INDEX(绊状态确认!$S:$S,MATCH($G590,绊状态确认!$B:$B,))/2-40)+IF($F590="SR",INDEX(绊状态确认!$R:$R,MATCH($G590,绊状态确认!$B:$B,))/4-15))+IF($F590="R",INDEX(绊状态确认!$Q:$Q,MATCH($G590,绊状态确认!$B:$B,))/6-40/6)))*(INDEX(绊状态确认!$H:$H,MATCH($G590,绊状态确认!$B:$B,))+INDEX(绊状态确认!L:L,MATCH($G590,绊状态确认!$B:$B,)))</f>
        <v>16131.152543999997</v>
      </c>
      <c r="AO590" s="1167">
        <f t="shared" si="817"/>
        <v>1</v>
      </c>
      <c r="AP590" s="1044">
        <f>1+(INDEX(绊状态确认!$T:$T,MATCH($G590,绊状态确认!$B:$B,))+0.2)*$AO590</f>
        <v>1.3</v>
      </c>
      <c r="AQ590" s="1035">
        <f t="shared" si="818"/>
        <v>41561.191827999995</v>
      </c>
      <c r="AR590" s="1035">
        <f>(AM590*(1+$EX$9)+$EX$35)*(1+(INDEX(绊状态确认!$T:$T,MATCH($G590,绊状态确认!$B:$B,))+0.2)*AO590)*IF(J590=$FF$17,1+$FE$17,1)*IF(I590=$FF$14,1+$FE$14,1)</f>
        <v>13190.01736</v>
      </c>
      <c r="AS590" s="1035">
        <f>(AN590*(1+$EX$10)+$EX$36)*(1+(INDEX(绊状态确认!$T:$T,MATCH($G590,绊状态确认!$B:$B,))+0.2)*AO590)*IF(J590=$FF$17,1+$FE$17,1)*IF(I590=$FF$14,1+$FE$14,1)</f>
        <v>28172.073053279997</v>
      </c>
      <c r="AT590" s="1165">
        <f>IF(AND(INDEX('卡片raw data'!AK:AK,MATCH($D590,'卡片raw data'!$F:$F,))&lt;INDEX('卡片raw data'!AM:AM,MATCH($D590,'卡片raw data'!$F:$F,)),INDEX('卡片raw data'!AL:AL,MATCH($D590,'卡片raw data'!$F:$F,))&lt;INDEX('卡片raw data'!AM:AM,MATCH($D590,'卡片raw data'!$F:$F,))),1,0)</f>
        <v>1</v>
      </c>
      <c r="AU590" s="1031">
        <f>MIN(AT590*0.15+AS590*0.00003+INDEX(绊状态确认!M:M,MATCH($G590,绊状态确认!$B:$B,)),1)</f>
        <v>1</v>
      </c>
      <c r="AV590" s="1045">
        <f>(INDEX(绊状态确认!$N:$N,MATCH($G590,绊状态确认!$B:$B,))+1.5)*$EW$21</f>
        <v>2.6599999999999997</v>
      </c>
      <c r="AW590" s="1038">
        <f t="shared" si="819"/>
        <v>57415.214753385546</v>
      </c>
      <c r="AX590" s="1035">
        <f t="shared" si="820"/>
        <v>1132.3477713869502</v>
      </c>
      <c r="AY590" s="483">
        <f t="shared" si="821"/>
        <v>58547.562524772497</v>
      </c>
      <c r="AZ590" s="1106">
        <f t="shared" si="822"/>
        <v>31059.742500799992</v>
      </c>
      <c r="BA590" s="1108">
        <f t="shared" si="823"/>
        <v>37271.691000959989</v>
      </c>
      <c r="BB590" s="1035">
        <f>(AM590*(1+$FB$9)+$FB$35)*(1+(INDEX(绊状态确认!$T:$T,MATCH($G590,绊状态确认!$B:$B,))+0.2)*AO590)*IF(J590=$FF$17,1+$FE$17,1)*IF(I590=$FF$14,1+$FE$14,1)*(1+$FE$15)</f>
        <v>13190.01736</v>
      </c>
      <c r="BC590" s="1035">
        <f>(AN590*(1+$FB$10)+$FB$36)*(1+(INDEX(绊状态确认!$T:$T,MATCH($G590,绊状态确认!$B:$B,))+0.2)*AO590)*IF(J590=$FF$17,1+$FE$17,1)*IF(I590=$FF$14,1+$FE$14,1)*(1+$FE$15)</f>
        <v>28172.073053279997</v>
      </c>
      <c r="BD590" s="481">
        <f>MIN(AT590*0.15+BC590*0.00003+INDEX(绊状态确认!M:M,MATCH($G590,绊状态确认!$B:$B,)),1)</f>
        <v>1</v>
      </c>
      <c r="BE590" s="1109">
        <f>(INDEX(绊状态确认!$N:$N,MATCH($G590,绊状态确认!$B:$B,))+1.5)</f>
        <v>1.9</v>
      </c>
      <c r="BF590" s="646">
        <f t="array" ref="BF590">SUMPRODUCT(IF(AZ590*AP590*$FI$16:$FI$23*$FA$22&gt;=$FI$24,$FI$24,AZ590*AP590*$FI$16:$FI$23*$FA$22),$FJ$16:$FJ$23)</f>
        <v>57400.162583051191</v>
      </c>
      <c r="BG590" s="1047">
        <f t="array" ref="BG590">SUMPRODUCT(IF(BE590*AZ590*AP590*$FI$16:$FI$23*$FA$22&gt;=$FI$24,$FI$24,BE590*AZ590*AP590*$FI$16:$FI$23*$FA$22),$FJ$16:$FJ$23)</f>
        <v>60000</v>
      </c>
      <c r="BH590" s="1046">
        <f t="shared" si="824"/>
        <v>20000</v>
      </c>
      <c r="BI590" s="1048">
        <f>IF(O590="vo",$EW$26/$EW$24*0.05,0)+IF(O590="sk",-$EW$26/$EW$24*(0.05-INDEX(绊状态确认!W:W,MATCH($G590,绊状态确认!$B:$B,)))+0.05*$EW$28,0)+IF(O590="sp",0.05*$EW$32*$EW$30*(1-$EW$33)-(0.05-INDEX(绊状态确认!V:V,MATCH($G590,绊状态确认!$B:$B,)))*$EW$28,0)+IF(O590="gd",-(0.05-INDEX(绊状态确认!X:X,MATCH($G590,绊状态确认!$B:$B,)))*$EW$32*$EW$30*(1-$EW$33),0)</f>
        <v>19.999999999999886</v>
      </c>
      <c r="BJ590" s="1097">
        <f>IF(O590="vo",0.05*(1-$FI$26)*$FA$24,0)+IF(O590="sk",-(0.05-INDEX(绊状态确认!W:W,MATCH($G590,绊状态确认!$B:$B,)))*(1-$FI$26)*$FA$24+0.05*$FA$26,0)+IF(O590="sp",0.05*$FA$32*$FA$27*(1-$FA$33)/$FA$30+0.05*$FA$29/$FA$69*$FA$27*(1-$FA$33)-(0.05-INDEX(绊状态确认!V:V,MATCH($G590,绊状态确认!$B:$B,)))*$FA$26,0)+IF(O590="gd",-(0.05-INDEX(绊状态确认!X:X,MATCH($G590,绊状态确认!$B:$B,)))*$FA$32*$FA$27*(1-$FA$33)/$FA$30-(0.05-INDEX(绊状态确认!X:X,MATCH($G590,绊状态确认!$B:$B,)))*$FA$29/$FA$69*$FA$27*(1-$FA$33),0)</f>
        <v>545.83333333333326</v>
      </c>
      <c r="BK590" s="1046">
        <f>IF(O590="vo",$EW$26/$EW$24*0.05+$EW$26*(-HP($EW$62,$EW$65,$EW$64)+HP($EW$62,$EW$65,(1.05-INDEX(绊状态确认!U:U,MATCH($G590,绊状态确认!$B:$B,)))*$EW$64)),0)+IF(O590="sk",-$EW$26/$EW$24*(0.05-INDEX(绊状态确认!W:W,MATCH($G590,绊状态确认!$B:$B,)))+0.05*$EW$29,0)+IF(O590="sp",0.05*$EW$32*$EW$30*(1-$EW$33)-(0.05-INDEX(绊状态确认!V:V,MATCH($G590,绊状态确认!$B:$B,)))*$EW$29,0)+IF(O590="gd",-(0.05-INDEX(绊状态确认!X:X,MATCH($G590,绊状态确认!$B:$B,)))*$EW$32*$EW$30*(1-$EW$33)+$EW$26*(-HP($EW$62,$EW$65,$EW$64)+HP($EW$62,$EW$65,0.95*$EW$64)),0)</f>
        <v>-1780.0000000000005</v>
      </c>
      <c r="BL590" s="1048">
        <f t="shared" si="825"/>
        <v>0</v>
      </c>
      <c r="BM590" s="1046">
        <f t="shared" si="826"/>
        <v>0</v>
      </c>
      <c r="BN590" s="1167">
        <f t="shared" si="827"/>
        <v>3</v>
      </c>
      <c r="BO590" s="1035">
        <f t="shared" si="828"/>
        <v>4507.7214871259994</v>
      </c>
      <c r="BP590" s="1043">
        <f t="shared" si="829"/>
        <v>221.34103209030098</v>
      </c>
      <c r="BQ590" s="1167" t="s">
        <v>1940</v>
      </c>
      <c r="BR590" s="1165" t="s">
        <v>2127</v>
      </c>
      <c r="BS590" s="1098">
        <f>IF($P590="","N/A",IF($P590=-1,INDEX('卡片raw data'!AX:AX,MATCH($D590,'卡片raw data'!$F:$F,)),0)+IF($L590="party卡",IF($P590=5,INDEX('卡片raw data'!BD:BD,MATCH($D590,'卡片raw data'!$F:$F,)),IF($P590&gt;=3,INDEX('卡片raw data'!BC:BC,MATCH($D590,'卡片raw data'!$F:$F,)),INDEX('卡片raw data'!BB:BB,MATCH($D590,'卡片raw data'!$F:$F,)))),IF(OR(AND($F590="UR",$P590=0),AND($F590="SR",$P590&gt;=0,$P590&lt;=2),AND($F590="R",$P590&gt;=0,$P590&lt;4)),INDEX('卡片raw data'!AZ:AZ,MATCH($D590,'卡片raw data'!$F:$F,)),0)+IF(OR(AND($F590="UR",$P590&gt;=1,$P590&lt;=4),AND($F590="SR",$P590&lt;=4,$P590&gt;=3),AND($F590="R",$P590=4)),INDEX('卡片raw data'!BA:BA,MATCH($D590,'卡片raw data'!$F:$F,)),0)+IF($P590=5,INDEX('卡片raw data'!BB:BB,MATCH($D590,'卡片raw data'!$F:$F,)),0)))</f>
        <v>7.0000000000000007E-2</v>
      </c>
      <c r="BT590" s="1101">
        <f t="shared" si="830"/>
        <v>5259.008401647</v>
      </c>
      <c r="BU590" s="1097">
        <f t="shared" si="831"/>
        <v>258.2312041053512</v>
      </c>
      <c r="BV590" s="1097">
        <f t="shared" si="832"/>
        <v>0</v>
      </c>
      <c r="BW590" s="1112">
        <f t="shared" si="833"/>
        <v>0</v>
      </c>
      <c r="BX590" s="1100">
        <f t="shared" si="834"/>
        <v>5259.008401647</v>
      </c>
      <c r="BY590" s="1110">
        <f t="shared" si="835"/>
        <v>0</v>
      </c>
      <c r="BZ590" s="1113" t="s">
        <v>569</v>
      </c>
      <c r="CA590" s="1124"/>
      <c r="CB590" s="1098">
        <f>IF($P590="","N/A",IF($P590=-1,INDEX('卡片raw data'!BE:BE,MATCH($D590,'卡片raw data'!$F:$F,)),0)+IF($L590="party卡",IF($P590=5,INDEX('卡片raw data'!BK:BK,MATCH($D590,'卡片raw data'!$F:$F,)),IF($P590&gt;=3,INDEX('卡片raw data'!BJ:BJ,MATCH($D590,'卡片raw data'!$F:$F,)),INDEX('卡片raw data'!BI:BI,MATCH($D590,'卡片raw data'!$F:$F,)))),IF(OR(AND($F590="UR",$P590=0),AND($F590="SR",$P590&gt;=0,$P590&lt;=2),AND($F590="R",$P590&gt;=0,$P590&lt;4)),INDEX('卡片raw data'!BG:BG,MATCH($D590,'卡片raw data'!$F:$F,)),0)+IF(OR(AND($F590="UR",$P590&gt;=1,$P590&lt;=4),AND($F590="SR",$P590&lt;=4,$P590&gt;=3),AND($F590="R",$P590=4)),INDEX('卡片raw data'!BH:BH,MATCH($D590,'卡片raw data'!$F:$F,)),0)+IF($P590=5,INDEX('卡片raw data'!BI:BI,MATCH($D590,'卡片raw data'!$F:$F,)),0)))</f>
        <v>0</v>
      </c>
      <c r="CC590" s="1101">
        <f t="shared" si="873"/>
        <v>0</v>
      </c>
      <c r="CD590" s="1097">
        <f>IF(BZ590="ap",CB590*(1-$FI$26)*$FB$5/$FB$11*(+IF(CA590="全员",$FA$24,0)+IF(CA590="同作战",$FA$24,0)+IF(CA590="仲间",$FA$24*2/3,0)+IF(CA590="同属性",$FA$24*$FA$37/3,0)+IF(CA590="同年级",$FA$24*$FA$40/3,0)+IF(CA590="同学校",$FA$24*$FA$43/3,0)+IF(CA590="同小队",$FA$24*$FA$46/3,0)+IF(CA590="同type",$FA$24*INDEX($FB$49:$FB$52,MATCH(X590,$FA$49:$FA$52,))/3,0)+IF(CA590="自身",#REF!/3,0)),0)+IF(BZ590="te",CB590*(1-$FI$27)*($FA$20-1)*$FB$7/$FB$13*(+IF(CA590="全员",$FA$19*$FA$24/(1+($FA$20-1)*$FA$19),0)+IF(CA590="同作战",$FA$19*$FA$24/(1+($FA$20-1)*$FA$19),0)+IF(CA590="仲间",$FA$19*$FA$24*2/3/(1+($FA$20-1)*$FA$19),0)+IF(CA590="同属性",$FA$19*$FA$24*$FA$37/3/(1+($FA$20-1)*$FA$19),0)+IF(CA590="同年级",$FA$19*$FA$24*$FA$40/3/(1+($FA$20-1)*$FA$19),0)+IF(CA590="同学校",$FA$19*$FA$24*$FA$43/3/(1+($FA$20-1)*$FA$19),0)+IF(CA590="同小队",$FA$19*$FA$24*$FA$46/3/(1+($FA$20-1)*$FA$19),0)+IF(CA590="同type",$FA$19*$FA$24*INDEX($FB$49:$FB$52,MATCH(X590,$FA$49:$FA$52,))/3/(1+($FA$20-1)*$FA$19),0)+IF(CA590="自身",$FA$19*#REF!/3/(1+(BH590-1)*$BD590),0)),0)</f>
        <v>0</v>
      </c>
      <c r="CE590" s="1097">
        <f t="shared" si="836"/>
        <v>0</v>
      </c>
      <c r="CF590" s="1112">
        <f t="shared" si="874"/>
        <v>0</v>
      </c>
      <c r="CG590" s="1100">
        <f t="shared" si="837"/>
        <v>0</v>
      </c>
      <c r="CH590" s="1110">
        <f t="shared" si="838"/>
        <v>0</v>
      </c>
      <c r="CI590" s="1113" t="s">
        <v>162</v>
      </c>
      <c r="CJ590" s="1114">
        <v>0.3</v>
      </c>
      <c r="CK590" s="1115" t="s">
        <v>156</v>
      </c>
      <c r="CL590" s="1169" t="s">
        <v>1940</v>
      </c>
      <c r="CM590" s="1166">
        <v>0.05</v>
      </c>
      <c r="CN590" s="1169"/>
      <c r="CO590" s="1169"/>
      <c r="CP590" s="1117">
        <f t="shared" si="839"/>
        <v>13.358954516142857</v>
      </c>
      <c r="CQ590" s="1117">
        <f t="shared" si="840"/>
        <v>21.431222325551992</v>
      </c>
      <c r="CR590" s="1117">
        <f t="shared" si="841"/>
        <v>13.358954516142857</v>
      </c>
      <c r="CS590" s="1118">
        <f t="shared" si="875"/>
        <v>0</v>
      </c>
      <c r="CT590" s="1109">
        <f t="shared" si="876"/>
        <v>18.183021424750002</v>
      </c>
      <c r="CU590" s="1101">
        <f t="shared" si="842"/>
        <v>834.93465725892861</v>
      </c>
      <c r="CV590" s="1108">
        <f t="shared" si="870"/>
        <v>892.96759689799978</v>
      </c>
      <c r="CW590" s="1097">
        <f t="shared" si="843"/>
        <v>834.93465725892861</v>
      </c>
      <c r="CX590" s="1097">
        <f t="shared" si="844"/>
        <v>834.93465725892861</v>
      </c>
      <c r="CY590" s="1110">
        <f t="shared" si="845"/>
        <v>834.93465725892861</v>
      </c>
      <c r="CZ590" s="1113"/>
      <c r="DA590" s="1114"/>
      <c r="DB590" s="1115" t="s">
        <v>569</v>
      </c>
      <c r="DC590" s="1115"/>
      <c r="DD590" s="1119"/>
      <c r="DE590" s="1092"/>
      <c r="DF590" s="1092"/>
      <c r="DG590" s="1116">
        <f t="shared" si="846"/>
        <v>0</v>
      </c>
      <c r="DH590" s="1116">
        <f t="shared" si="847"/>
        <v>0</v>
      </c>
      <c r="DI590" s="1116">
        <f t="shared" si="848"/>
        <v>0</v>
      </c>
      <c r="DJ590" s="1118">
        <f t="shared" si="871"/>
        <v>0</v>
      </c>
      <c r="DK590" s="1109">
        <f t="shared" si="872"/>
        <v>0</v>
      </c>
      <c r="DL590" s="1101">
        <f t="shared" si="849"/>
        <v>0</v>
      </c>
      <c r="DM590" s="1097">
        <f t="shared" si="850"/>
        <v>0</v>
      </c>
      <c r="DN590" s="1097">
        <f t="shared" si="851"/>
        <v>0</v>
      </c>
      <c r="DO590" s="1097">
        <f t="shared" si="852"/>
        <v>0</v>
      </c>
      <c r="DP590" s="1110">
        <f t="shared" si="853"/>
        <v>0</v>
      </c>
      <c r="DQ590" s="1113" t="s">
        <v>2158</v>
      </c>
      <c r="DR590" s="1120">
        <f t="shared" si="792"/>
        <v>0.33</v>
      </c>
      <c r="DS590" s="1165"/>
      <c r="DT590" s="1165" t="s">
        <v>1940</v>
      </c>
      <c r="DU590" s="1165"/>
      <c r="DV590" s="1098">
        <f>IF($P590="","N/A",IF(P590=-1,INDEX('卡片raw data'!AN:AN,MATCH(D590,'卡片raw data'!$F:$F,)),0)+IF(AND(L590&lt;&gt;"party卡",P590&lt;=2,P590&gt;=0),INDEX('卡片raw data'!AP:AP,MATCH(D590,'卡片raw data'!$F:$F,)),0)+IF(OR(AND(L590="party卡",P590&lt;=1),AND(P590&lt;=4,L590&lt;&gt;"party卡",P590&gt;=3)),INDEX('卡片raw data'!AQ:AQ,MATCH(D590,'卡片raw data'!$F:$F,)),0)+IF(OR(P590=5,AND(L590="party卡",P590&gt;=2)),INDEX('卡片raw data'!AR:AR,MATCH(D590,'卡片raw data'!$F:$F,)),0))</f>
        <v>0.32</v>
      </c>
      <c r="DW590" s="1098">
        <f t="shared" si="854"/>
        <v>0.33</v>
      </c>
      <c r="DX590" s="1098">
        <f t="shared" si="855"/>
        <v>0.33</v>
      </c>
      <c r="DY590" s="1097">
        <f t="shared" si="856"/>
        <v>1462.9539523455999</v>
      </c>
      <c r="DZ590" s="1097">
        <f t="shared" si="857"/>
        <v>1134.8484475972298</v>
      </c>
      <c r="EA590" s="1098">
        <f t="shared" si="858"/>
        <v>0</v>
      </c>
      <c r="EB590" s="1121">
        <f t="shared" si="859"/>
        <v>0</v>
      </c>
      <c r="EC590" s="1101">
        <f t="shared" si="860"/>
        <v>2092.024151854208</v>
      </c>
      <c r="ED590" s="1097">
        <f t="shared" si="861"/>
        <v>0</v>
      </c>
      <c r="EE590" s="1110">
        <f t="shared" si="775"/>
        <v>2092.024151854208</v>
      </c>
      <c r="EF590" s="1113" t="s">
        <v>569</v>
      </c>
      <c r="EG590" s="1120">
        <f t="shared" si="793"/>
        <v>0.33</v>
      </c>
      <c r="EH590" s="1124"/>
      <c r="EI590" s="1124"/>
      <c r="EJ590" s="1124"/>
      <c r="EK590" s="1097">
        <f>IF($P590="","N/A",IF(P590=-1,INDEX('卡片raw data'!AS:AS,MATCH(D590,'卡片raw data'!$F:$F,)),0)+IF(AND(L590&lt;&gt;"party卡",P590&lt;=2,P590&gt;=0),INDEX('卡片raw data'!AU:AU,MATCH(D590,'卡片raw data'!$F:$F,)),0)+IF(OR(AND(L590="party卡",P590&lt;=1),AND(P590&lt;=4,L590&lt;&gt;"party卡",P590&gt;=3)),INDEX('卡片raw data'!AV:AV,MATCH(D590,'卡片raw data'!$F:$F,)),0)+IF(OR(P590=5,AND(L590="party卡",P590&gt;=2)),INDEX('卡片raw data'!AW:AW,MATCH(D590,'卡片raw data'!$F:$F,)),0))</f>
        <v>0</v>
      </c>
      <c r="EL590" s="1098">
        <f t="shared" si="862"/>
        <v>0.33</v>
      </c>
      <c r="EM590" s="1098">
        <f t="shared" si="863"/>
        <v>0.33</v>
      </c>
      <c r="EN590" s="1097">
        <f t="shared" si="864"/>
        <v>0</v>
      </c>
      <c r="EO590" s="1097">
        <f t="shared" si="865"/>
        <v>0</v>
      </c>
      <c r="EP590" s="1098">
        <f t="shared" si="866"/>
        <v>0</v>
      </c>
      <c r="EQ590" s="1121">
        <f t="shared" si="867"/>
        <v>0</v>
      </c>
      <c r="ER590" s="1101">
        <f t="shared" si="868"/>
        <v>0</v>
      </c>
      <c r="ES590" s="1097">
        <f t="shared" si="869"/>
        <v>0</v>
      </c>
      <c r="ET590" s="1122">
        <f t="shared" si="776"/>
        <v>0</v>
      </c>
    </row>
    <row r="591" spans="2:150" ht="16.5" customHeight="1">
      <c r="B591" s="1123" t="str">
        <f>INDEX('卡片raw data'!B:B,MATCH($D591,'卡片raw data'!$F:$F,))</f>
        <v>水蓝南</v>
      </c>
      <c r="C591" s="1025" t="s">
        <v>660</v>
      </c>
      <c r="D591" s="408">
        <v>588</v>
      </c>
      <c r="E591" s="1164">
        <v>401032005</v>
      </c>
      <c r="F591" s="1090" t="str">
        <f>INDEX('卡片raw data'!C:C,MATCH($D591,'卡片raw data'!$F:$F,))</f>
        <v>SR</v>
      </c>
      <c r="G591" s="1026" t="s">
        <v>35</v>
      </c>
      <c r="H591" s="411">
        <f>IFERROR(INDEX(绊状态确认!C:C,MATCH($G591,绊状态确认!$B:$B,)),"")</f>
        <v>103</v>
      </c>
      <c r="I591" s="450" t="str">
        <f>IFERROR(INDEX(绊状态确认!D:D,MATCH($G591,绊状态确认!$B:$B,)),"")</f>
        <v>水</v>
      </c>
      <c r="J591" s="450" t="str">
        <f>IFERROR(INDEX(绊状态确认!E:E,MATCH($G591,绊状态确认!$B:$B,)),"")</f>
        <v>3年级</v>
      </c>
      <c r="K591" s="451" t="str">
        <f>IFERROR(INDEX(绊状态确认!F:F,MATCH($G591,绊状态确认!$B:$B,)),"")</f>
        <v>AZALEA</v>
      </c>
      <c r="L591" s="1094" t="str">
        <f>INDEX('卡片raw data'!E:E,MATCH($D591,'卡片raw data'!$F:$F,))</f>
        <v>卡池卡</v>
      </c>
      <c r="M591" s="1065">
        <v>44534</v>
      </c>
      <c r="N591" s="1027">
        <v>53</v>
      </c>
      <c r="O591" s="1091" t="str">
        <f>INDEX('卡片raw data'!D:D,MATCH($D591,'卡片raw data'!$F:$F,))</f>
        <v>sp</v>
      </c>
      <c r="P591" s="1126">
        <v>5</v>
      </c>
      <c r="Q591" s="1095">
        <f t="shared" si="796"/>
        <v>34879.373927018474</v>
      </c>
      <c r="R591" s="1096">
        <f t="shared" si="797"/>
        <v>0.40500000000000003</v>
      </c>
      <c r="S591" s="1097">
        <f t="shared" si="798"/>
        <v>19324.192232459412</v>
      </c>
      <c r="T591" s="1098">
        <f t="shared" si="799"/>
        <v>0.96599999999999997</v>
      </c>
      <c r="U591" s="1099">
        <f t="shared" si="800"/>
        <v>40.953070591680003</v>
      </c>
      <c r="V591" s="1100">
        <f t="shared" si="801"/>
        <v>36430.545742724164</v>
      </c>
      <c r="W591" s="1101">
        <f t="shared" si="802"/>
        <v>4507.7214871259994</v>
      </c>
      <c r="X591" s="1096">
        <f t="shared" si="803"/>
        <v>5.1999999999999998E-2</v>
      </c>
      <c r="Y591" s="1097">
        <f t="shared" si="804"/>
        <v>3351.1718157056885</v>
      </c>
      <c r="Z591" s="1102">
        <f t="shared" si="805"/>
        <v>40.953070591680003</v>
      </c>
      <c r="AA591" s="1103">
        <f t="shared" si="806"/>
        <v>7858.8933028316878</v>
      </c>
      <c r="AB591" s="1101">
        <f t="shared" si="807"/>
        <v>5095.8525250879475</v>
      </c>
      <c r="AC591" s="1104">
        <f t="shared" si="808"/>
        <v>5.8999999999999997E-2</v>
      </c>
      <c r="AD591" s="1105">
        <f t="shared" si="809"/>
        <v>-1.9908281250000003E-2</v>
      </c>
      <c r="AE591" s="1128">
        <f t="shared" si="810"/>
        <v>41.311625724637679</v>
      </c>
      <c r="AF591" s="1130">
        <f t="shared" si="811"/>
        <v>0</v>
      </c>
      <c r="AG591" s="1097">
        <f t="shared" si="812"/>
        <v>0</v>
      </c>
      <c r="AH591" s="1097">
        <f t="shared" si="813"/>
        <v>0</v>
      </c>
      <c r="AI591" s="1097">
        <f t="shared" si="814"/>
        <v>0</v>
      </c>
      <c r="AJ591" s="1097">
        <f t="shared" si="815"/>
        <v>0</v>
      </c>
      <c r="AK591" s="1129">
        <f t="shared" si="816"/>
        <v>0</v>
      </c>
      <c r="AL591" s="1042">
        <f>IF($P591="","N/A",(IF($P591=-1,INDEX('卡片raw data'!S:S,MATCH($D591,'卡片raw data'!$F:$F,)),0)+IF($P591=0,INDEX('卡片raw data'!V:V,MATCH($D591,'卡片raw data'!$F:$F,)),0)+IF($P591=1,INDEX('卡片raw data'!Y:Y,MATCH($D591,'卡片raw data'!$F:$F,)),0)+IF($P591=2,INDEX('卡片raw data'!AB:AB,MATCH($D591,'卡片raw data'!$F:$F,)),0)+IF($P591=3,INDEX('卡片raw data'!AE:AE,MATCH($D591,'卡片raw data'!$F:$F,)),0)+IF($P591=4,INDEX('卡片raw data'!AH:AH,MATCH($D591,'卡片raw data'!$F:$F,)),0)+IF($P591=5,INDEX('卡片raw data'!AK:AK,MATCH($D591,'卡片raw data'!$F:$F,)),0)+INDEX('卡片raw data'!S:S,MATCH($D591,'卡片raw data'!$F:$F,))*(IF($F591="UR",0.04,0.033))*(IF($F591="UR",INDEX(绊状态确认!$S:$S,MATCH($G591,绊状态确认!$B:$B,))/2-40)+IF($F591="SR",INDEX(绊状态确认!$R:$R,MATCH($G591,绊状态确认!$B:$B,))/4-15))+IF($F591="R",INDEX(绊状态确认!$Q:$Q,MATCH($G591,绊状态确认!$B:$B,))/6-40/6)))*(INDEX(绊状态确认!$H:$H,MATCH($G591,绊状态确认!$B:$B,))+INDEX(绊状态确认!J:J,MATCH($G591,绊状态确认!$B:$B,)))</f>
        <v>7992.2034695999992</v>
      </c>
      <c r="AM591" s="1035">
        <f>IF($P591="","N/A",(IF($P591=-1,INDEX('卡片raw data'!T:T,MATCH($D591,'卡片raw data'!$F:$F,)),0)+IF($P591=0,INDEX('卡片raw data'!W:W,MATCH($D591,'卡片raw data'!$F:$F,)),0)+IF($P591=1,INDEX('卡片raw data'!Z:Z,MATCH($D591,'卡片raw data'!$F:$F,)),0)+IF($P591=2,INDEX('卡片raw data'!AC:AC,MATCH($D591,'卡片raw data'!$F:$F,)),0)+IF($P591=3,INDEX('卡片raw data'!AF:AF,MATCH($D591,'卡片raw data'!$F:$F,)),0)+IF($P591=4,INDEX('卡片raw data'!AI:AI,MATCH($D591,'卡片raw data'!$F:$F,)),0)+IF($P591=5,INDEX('卡片raw data'!AL:AL,MATCH($D591,'卡片raw data'!$F:$F,)),0)+INDEX('卡片raw data'!T:T,MATCH($D591,'卡片raw data'!$F:$F,))*(IF($F591="UR",0.04,0.033))*(IF($F591="UR",INDEX(绊状态确认!$S:$S,MATCH($G591,绊状态确认!$B:$B,))/2-40)+IF($F591="SR",INDEX(绊状态确认!$R:$R,MATCH($G591,绊状态确认!$B:$B,))/4-15))+IF($F591="R",INDEX(绊状态确认!$Q:$Q,MATCH($G591,绊状态确认!$B:$B,))/6-40/6)))*(INDEX(绊状态确认!$H:$H,MATCH($G591,绊状态确认!$B:$B,))+INDEX(绊状态确认!K:K,MATCH($G591,绊状态确认!$B:$B,)))</f>
        <v>6112.0501247999991</v>
      </c>
      <c r="AN591" s="1043">
        <f>IF($P591="","N/A",(IF($P591=-1,INDEX('卡片raw data'!U:U,MATCH($D591,'卡片raw data'!$F:$F,)),0)+IF($P591=0,INDEX('卡片raw data'!X:X,MATCH($D591,'卡片raw data'!$F:$F,)),0)+IF($P591=1,INDEX('卡片raw data'!AA:AA,MATCH($D591,'卡片raw data'!$F:$F,)),0)+IF($P591=2,INDEX('卡片raw data'!AD:AD,MATCH($D591,'卡片raw data'!$F:$F,)),0)+IF($P591=3,INDEX('卡片raw data'!AG:AG,MATCH($D591,'卡片raw data'!$F:$F,)),0)+IF($P591=4,INDEX('卡片raw data'!AJ:AJ,MATCH($D591,'卡片raw data'!$F:$F,)),0)+IF($P591=5,INDEX('卡片raw data'!AM:AM,MATCH($D591,'卡片raw data'!$F:$F,)),0)+INDEX('卡片raw data'!U:U,MATCH($D591,'卡片raw data'!$F:$F,))*(IF($F591="UR",0.04,0.033))*(IF($F591="UR",INDEX(绊状态确认!$S:$S,MATCH($G591,绊状态确认!$B:$B,))/2-40)+IF($F591="SR",INDEX(绊状态确认!$R:$R,MATCH($G591,绊状态确认!$B:$B,))/4-15))+IF($F591="R",INDEX(绊状态确认!$Q:$Q,MATCH($G591,绊状态确认!$B:$B,))/6-40/6)))*(INDEX(绊状态确认!$H:$H,MATCH($G591,绊状态确认!$B:$B,))+INDEX(绊状态确认!L:L,MATCH($G591,绊状态确认!$B:$B,)))</f>
        <v>9405.5373311999992</v>
      </c>
      <c r="AO591" s="1167">
        <f t="shared" si="817"/>
        <v>1</v>
      </c>
      <c r="AP591" s="1044">
        <f>1+(INDEX(绊状态确认!$T:$T,MATCH($G591,绊状态确认!$B:$B,))+0.2)*$AO591</f>
        <v>1.3</v>
      </c>
      <c r="AQ591" s="1035">
        <f t="shared" si="818"/>
        <v>24229.534107699998</v>
      </c>
      <c r="AR591" s="1035">
        <f>(AM591*(1+$EX$9)+$EX$35)*(1+(INDEX(绊状态确认!$T:$T,MATCH($G591,绊状态确认!$B:$B,))+0.2)*AO591)*IF(J591=$FF$17,1+$FE$17,1)*IF(I591=$FF$14,1+$FE$14,1)</f>
        <v>11046.948420352001</v>
      </c>
      <c r="AS591" s="1035">
        <f>(AN591*(1+$EX$10)+$EX$36)*(1+(INDEX(绊状态确认!$T:$T,MATCH($G591,绊状态确认!$B:$B,))+0.2)*AO591)*IF(J591=$FF$17,1+$FE$17,1)*IF(I591=$FF$14,1+$FE$14,1)</f>
        <v>18117.278310144</v>
      </c>
      <c r="AT591" s="1165">
        <f>IF(AND(INDEX('卡片raw data'!AK:AK,MATCH($D591,'卡片raw data'!$F:$F,))&lt;INDEX('卡片raw data'!AM:AM,MATCH($D591,'卡片raw data'!$F:$F,)),INDEX('卡片raw data'!AL:AL,MATCH($D591,'卡片raw data'!$F:$F,))&lt;INDEX('卡片raw data'!AM:AM,MATCH($D591,'卡片raw data'!$F:$F,))),1,0)</f>
        <v>1</v>
      </c>
      <c r="AU591" s="1031">
        <f>MIN(AT591*0.15+AS591*0.00003+INDEX(绊状态确认!M:M,MATCH($G591,绊状态确认!$B:$B,)),1)</f>
        <v>0.72351834930432002</v>
      </c>
      <c r="AV591" s="1045">
        <f>(INDEX(绊状态确认!$N:$N,MATCH($G591,绊状态确认!$B:$B,))+1.5)*$EW$21</f>
        <v>2.6599999999999997</v>
      </c>
      <c r="AW591" s="1038">
        <f t="shared" si="819"/>
        <v>27696.854735263863</v>
      </c>
      <c r="AX591" s="1035">
        <f t="shared" si="820"/>
        <v>943.9069996023826</v>
      </c>
      <c r="AY591" s="483">
        <f t="shared" si="821"/>
        <v>28640.761734866246</v>
      </c>
      <c r="AZ591" s="1106">
        <f t="shared" si="822"/>
        <v>18184.796765719999</v>
      </c>
      <c r="BA591" s="1108">
        <f t="shared" si="823"/>
        <v>21821.756118863999</v>
      </c>
      <c r="BB591" s="1035">
        <f>(AM591*(1+$FB$9)+$FB$35)*(1+(INDEX(绊状态确认!$T:$T,MATCH($G591,绊状态确认!$B:$B,))+0.2)*AO591)*IF(J591=$FF$17,1+$FE$17,1)*IF(I591=$FF$14,1+$FE$14,1)*(1+$FE$15)</f>
        <v>11046.948420352001</v>
      </c>
      <c r="BC591" s="1035">
        <f>(AN591*(1+$FB$10)+$FB$36)*(1+(INDEX(绊状态确认!$T:$T,MATCH($G591,绊状态确认!$B:$B,))+0.2)*AO591)*IF(J591=$FF$17,1+$FE$17,1)*IF(I591=$FF$14,1+$FE$14,1)*(1+$FE$15)</f>
        <v>18117.278310144</v>
      </c>
      <c r="BD591" s="481">
        <f>MIN(AT591*0.15+BC591*0.00003+INDEX(绊状态确认!M:M,MATCH($G591,绊状态确认!$B:$B,)),1)</f>
        <v>0.72351834930432002</v>
      </c>
      <c r="BE591" s="1109">
        <f>(INDEX(绊状态确认!$N:$N,MATCH($G591,绊状态确认!$B:$B,))+1.5)</f>
        <v>1.9</v>
      </c>
      <c r="BF591" s="646">
        <f t="array" ref="BF591">SUMPRODUCT(IF(AZ591*AP591*$FI$16:$FI$23*$FA$22&gt;=$FI$24,$FI$24,AZ591*AP591*$FI$16:$FI$23*$FA$22),$FJ$16:$FJ$23)</f>
        <v>36169.560767017079</v>
      </c>
      <c r="BG591" s="1047">
        <f t="array" ref="BG591">SUMPRODUCT(IF(BE591*AZ591*AP591*$FI$16:$FI$23*$FA$22&gt;=$FI$24,$FI$24,BE591*AZ591*AP591*$FI$16:$FI$23*$FA$22),$FJ$16:$FJ$23)</f>
        <v>59229.112002832102</v>
      </c>
      <c r="BH591" s="1046">
        <f t="shared" si="824"/>
        <v>17617.856404284121</v>
      </c>
      <c r="BI591" s="1048">
        <f>IF(O591="vo",$EW$26/$EW$24*0.05,0)+IF(O591="sk",-$EW$26/$EW$24*(0.05-INDEX(绊状态确认!W:W,MATCH($G591,绊状态确认!$B:$B,)))+0.05*$EW$28,0)+IF(O591="sp",0.05*$EW$32*$EW$30*(1-$EW$33)-(0.05-INDEX(绊状态确认!V:V,MATCH($G591,绊状态确认!$B:$B,)))*$EW$28,0)+IF(O591="gd",-(0.05-INDEX(绊状态确认!X:X,MATCH($G591,绊状态确认!$B:$B,)))*$EW$32*$EW$30*(1-$EW$33),0)</f>
        <v>19.999999999999886</v>
      </c>
      <c r="BJ591" s="1097">
        <f>IF(O591="vo",0.05*(1-$FI$26)*$FA$24,0)+IF(O591="sk",-(0.05-INDEX(绊状态确认!W:W,MATCH($G591,绊状态确认!$B:$B,)))*(1-$FI$26)*$FA$24+0.05*$FA$26,0)+IF(O591="sp",0.05*$FA$32*$FA$27*(1-$FA$33)/$FA$30+0.05*$FA$29/$FA$69*$FA$27*(1-$FA$33)-(0.05-INDEX(绊状态确认!V:V,MATCH($G591,绊状态确认!$B:$B,)))*$FA$26,0)+IF(O591="gd",-(0.05-INDEX(绊状态确认!X:X,MATCH($G591,绊状态确认!$B:$B,)))*$FA$32*$FA$27*(1-$FA$33)/$FA$30-(0.05-INDEX(绊状态确认!X:X,MATCH($G591,绊状态确认!$B:$B,)))*$FA$29/$FA$69*$FA$27*(1-$FA$33),0)</f>
        <v>545.83333333333326</v>
      </c>
      <c r="BK591" s="1046">
        <f>IF(O591="vo",$EW$26/$EW$24*0.05+$EW$26*(-HP($EW$62,$EW$65,$EW$64)+HP($EW$62,$EW$65,(1.05-INDEX(绊状态确认!U:U,MATCH($G591,绊状态确认!$B:$B,)))*$EW$64)),0)+IF(O591="sk",-$EW$26/$EW$24*(0.05-INDEX(绊状态确认!W:W,MATCH($G591,绊状态确认!$B:$B,)))+0.05*$EW$29,0)+IF(O591="sp",0.05*$EW$32*$EW$30*(1-$EW$33)-(0.05-INDEX(绊状态确认!V:V,MATCH($G591,绊状态确认!$B:$B,)))*$EW$29,0)+IF(O591="gd",-(0.05-INDEX(绊状态确认!X:X,MATCH($G591,绊状态确认!$B:$B,)))*$EW$32*$EW$30*(1-$EW$33)+$EW$26*(-HP($EW$62,$EW$65,$EW$64)+HP($EW$62,$EW$65,0.95*$EW$64)),0)</f>
        <v>-1780.0000000000005</v>
      </c>
      <c r="BL591" s="1048">
        <f t="shared" si="825"/>
        <v>-1083.3333333333333</v>
      </c>
      <c r="BM591" s="1046">
        <f t="shared" si="826"/>
        <v>-830.55555555555543</v>
      </c>
      <c r="BN591" s="1167">
        <f t="shared" si="827"/>
        <v>3</v>
      </c>
      <c r="BO591" s="1035">
        <f t="shared" si="828"/>
        <v>4507.7214871259994</v>
      </c>
      <c r="BP591" s="1043">
        <f t="shared" si="829"/>
        <v>221.34103209030098</v>
      </c>
      <c r="BQ591" s="1167" t="s">
        <v>1941</v>
      </c>
      <c r="BR591" s="1124" t="s">
        <v>166</v>
      </c>
      <c r="BS591" s="1098">
        <f>IF($P591="","N/A",IF($P591=-1,INDEX('卡片raw data'!AX:AX,MATCH($D591,'卡片raw data'!$F:$F,)),0)+IF($L591="party卡",IF($P591=5,INDEX('卡片raw data'!BD:BD,MATCH($D591,'卡片raw data'!$F:$F,)),IF($P591&gt;=3,INDEX('卡片raw data'!BC:BC,MATCH($D591,'卡片raw data'!$F:$F,)),INDEX('卡片raw data'!BB:BB,MATCH($D591,'卡片raw data'!$F:$F,)))),IF(OR(AND($F591="UR",$P591=0),AND($F591="SR",$P591&gt;=0,$P591&lt;=2),AND($F591="R",$P591&gt;=0,$P591&lt;4)),INDEX('卡片raw data'!AZ:AZ,MATCH($D591,'卡片raw data'!$F:$F,)),0)+IF(OR(AND($F591="UR",$P591&gt;=1,$P591&lt;=4),AND($F591="SR",$P591&lt;=4,$P591&gt;=3),AND($F591="R",$P591=4)),INDEX('卡片raw data'!BA:BA,MATCH($D591,'卡片raw data'!$F:$F,)),0)+IF($P591=5,INDEX('卡片raw data'!BB:BB,MATCH($D591,'卡片raw data'!$F:$F,)),0)))</f>
        <v>7.0000000000000007E-2</v>
      </c>
      <c r="BT591" s="1101">
        <f t="shared" si="830"/>
        <v>588.13103796194787</v>
      </c>
      <c r="BU591" s="1097">
        <f t="shared" si="831"/>
        <v>28.904518307211951</v>
      </c>
      <c r="BV591" s="1097">
        <f t="shared" si="832"/>
        <v>0</v>
      </c>
      <c r="BW591" s="1112">
        <f t="shared" si="833"/>
        <v>0</v>
      </c>
      <c r="BX591" s="1100">
        <f t="shared" si="834"/>
        <v>588.13103796194787</v>
      </c>
      <c r="BY591" s="1110">
        <f t="shared" si="835"/>
        <v>0</v>
      </c>
      <c r="BZ591" s="1113" t="s">
        <v>569</v>
      </c>
      <c r="CA591" s="1124"/>
      <c r="CB591" s="1098">
        <v>0</v>
      </c>
      <c r="CC591" s="1101">
        <f t="shared" si="873"/>
        <v>0</v>
      </c>
      <c r="CD591" s="1097">
        <f>IF(BZ591="ap",CB591*(1-$FI$26)*$FB$5/$FB$11*(+IF(CA591="全员",$FA$24,0)+IF(CA591="同作战",$FA$24,0)+IF(CA591="仲间",$FA$24*2/3,0)+IF(CA591="同属性",$FA$24*$FA$37/3,0)+IF(CA591="同年级",$FA$24*$FA$40/3,0)+IF(CA591="同学校",$FA$24*$FA$43/3,0)+IF(CA591="同小队",$FA$24*$FA$46/3,0)+IF(CA591="同type",$FA$24*INDEX($FB$49:$FB$52,MATCH(X591,$FA$49:$FA$52,))/3,0)+IF(CA591="自身",#REF!/3,0)),0)+IF(BZ591="te",CB591*(1-$FI$27)*($FA$20-1)*$FB$7/$FB$13*(+IF(CA591="全员",$FA$19*$FA$24/(1+($FA$20-1)*$FA$19),0)+IF(CA591="同作战",$FA$19*$FA$24/(1+($FA$20-1)*$FA$19),0)+IF(CA591="仲间",$FA$19*$FA$24*2/3/(1+($FA$20-1)*$FA$19),0)+IF(CA591="同属性",$FA$19*$FA$24*$FA$37/3/(1+($FA$20-1)*$FA$19),0)+IF(CA591="同年级",$FA$19*$FA$24*$FA$40/3/(1+($FA$20-1)*$FA$19),0)+IF(CA591="同学校",$FA$19*$FA$24*$FA$43/3/(1+($FA$20-1)*$FA$19),0)+IF(CA591="同小队",$FA$19*$FA$24*$FA$46/3/(1+($FA$20-1)*$FA$19),0)+IF(CA591="同type",$FA$19*$FA$24*INDEX($FB$49:$FB$52,MATCH(X591,$FA$49:$FA$52,))/3/(1+($FA$20-1)*$FA$19),0)+IF(CA591="自身",$FA$19*#REF!/3/(1+(BH591-1)*$BD591),0)),0)</f>
        <v>0</v>
      </c>
      <c r="CE591" s="1097">
        <f t="shared" si="836"/>
        <v>0</v>
      </c>
      <c r="CF591" s="1112">
        <f t="shared" si="874"/>
        <v>0</v>
      </c>
      <c r="CG591" s="1100">
        <f t="shared" si="837"/>
        <v>0</v>
      </c>
      <c r="CH591" s="1110">
        <f t="shared" si="838"/>
        <v>0</v>
      </c>
      <c r="CI591" s="1113" t="s">
        <v>160</v>
      </c>
      <c r="CJ591" s="1114">
        <v>0.5</v>
      </c>
      <c r="CK591" s="1115" t="s">
        <v>2305</v>
      </c>
      <c r="CL591" s="1169" t="s">
        <v>1941</v>
      </c>
      <c r="CM591" s="1166">
        <v>0.06</v>
      </c>
      <c r="CN591" s="1169"/>
      <c r="CO591" s="1169"/>
      <c r="CP591" s="1116">
        <f t="shared" si="839"/>
        <v>29.117054427017141</v>
      </c>
      <c r="CQ591" s="1116">
        <f t="shared" si="840"/>
        <v>60.390927700479999</v>
      </c>
      <c r="CR591" s="1116">
        <f t="shared" si="841"/>
        <v>29.117054427017141</v>
      </c>
      <c r="CS591" s="1118">
        <f t="shared" si="875"/>
        <v>0</v>
      </c>
      <c r="CT591" s="1109">
        <f t="shared" si="876"/>
        <v>0</v>
      </c>
      <c r="CU591" s="1101">
        <f t="shared" si="842"/>
        <v>0</v>
      </c>
      <c r="CV591" s="1108">
        <f t="shared" si="870"/>
        <v>0</v>
      </c>
      <c r="CW591" s="1097">
        <f t="shared" si="843"/>
        <v>0</v>
      </c>
      <c r="CX591" s="1097">
        <f t="shared" si="844"/>
        <v>2407.2648161033053</v>
      </c>
      <c r="CY591" s="1110">
        <f t="shared" si="845"/>
        <v>2407.2648161033053</v>
      </c>
      <c r="CZ591" s="437"/>
      <c r="DA591" s="1114"/>
      <c r="DB591" s="1115" t="s">
        <v>569</v>
      </c>
      <c r="DC591" s="1115"/>
      <c r="DD591" s="1119"/>
      <c r="DE591" s="1092"/>
      <c r="DF591" s="1092"/>
      <c r="DG591" s="1116">
        <f t="shared" si="846"/>
        <v>0</v>
      </c>
      <c r="DH591" s="1116">
        <f t="shared" si="847"/>
        <v>0</v>
      </c>
      <c r="DI591" s="1116">
        <f t="shared" si="848"/>
        <v>0</v>
      </c>
      <c r="DJ591" s="1118">
        <f t="shared" si="871"/>
        <v>0</v>
      </c>
      <c r="DK591" s="1109">
        <f t="shared" si="872"/>
        <v>0</v>
      </c>
      <c r="DL591" s="1101">
        <f t="shared" si="849"/>
        <v>0</v>
      </c>
      <c r="DM591" s="1097">
        <f t="shared" si="850"/>
        <v>0</v>
      </c>
      <c r="DN591" s="1097">
        <f t="shared" si="851"/>
        <v>0</v>
      </c>
      <c r="DO591" s="1097">
        <f t="shared" si="852"/>
        <v>0</v>
      </c>
      <c r="DP591" s="1110">
        <f t="shared" si="853"/>
        <v>0</v>
      </c>
      <c r="DQ591" s="1113" t="s">
        <v>549</v>
      </c>
      <c r="DR591" s="1120">
        <f t="shared" si="792"/>
        <v>0.3</v>
      </c>
      <c r="DS591" s="1124"/>
      <c r="DT591" s="1124" t="s">
        <v>179</v>
      </c>
      <c r="DU591" s="1124"/>
      <c r="DV591" s="1098">
        <f>IF($P591="","N/A",IF(P591=-1,INDEX('卡片raw data'!AN:AN,MATCH(D591,'卡片raw data'!$F:$F,)),0)+IF(AND(L591&lt;&gt;"party卡",P591&lt;=2,P591&gt;=0),INDEX('卡片raw data'!AP:AP,MATCH(D591,'卡片raw data'!$F:$F,)),0)+IF(OR(AND(L591="party卡",P591&lt;=1),AND(P591&lt;=4,L591&lt;&gt;"party卡",P591&gt;=3)),INDEX('卡片raw data'!AQ:AQ,MATCH(D591,'卡片raw data'!$F:$F,)),0)+IF(OR(P591=5,AND(L591="party卡",P591&gt;=2)),INDEX('卡片raw data'!AR:AR,MATCH(D591,'卡片raw data'!$F:$F,)),0))</f>
        <v>7.0000000000000007E-2</v>
      </c>
      <c r="DW591" s="1098">
        <f t="shared" si="854"/>
        <v>0.3</v>
      </c>
      <c r="DX591" s="1098">
        <f t="shared" si="855"/>
        <v>0.3</v>
      </c>
      <c r="DY591" s="1098">
        <f t="shared" si="856"/>
        <v>7.0000000000000001E-3</v>
      </c>
      <c r="DZ591" s="1098">
        <f t="shared" si="857"/>
        <v>6.9632499999999998E-3</v>
      </c>
      <c r="EA591" s="1098">
        <f t="shared" si="858"/>
        <v>0</v>
      </c>
      <c r="EB591" s="1121">
        <f t="shared" si="859"/>
        <v>42.663074999999999</v>
      </c>
      <c r="EC591" s="1101">
        <f t="shared" si="860"/>
        <v>3150</v>
      </c>
      <c r="ED591" s="1097">
        <f t="shared" si="861"/>
        <v>1740.8125</v>
      </c>
      <c r="EE591" s="1110">
        <f t="shared" si="775"/>
        <v>3150</v>
      </c>
      <c r="EF591" s="1113" t="s">
        <v>569</v>
      </c>
      <c r="EG591" s="1120">
        <f t="shared" si="793"/>
        <v>0.3</v>
      </c>
      <c r="EH591" s="1124"/>
      <c r="EI591" s="1124"/>
      <c r="EJ591" s="1124"/>
      <c r="EK591" s="1097">
        <f>IF($P591="","N/A",IF(P591=-1,INDEX('卡片raw data'!AS:AS,MATCH(D591,'卡片raw data'!$F:$F,)),0)+IF(AND(L591&lt;&gt;"party卡",P591&lt;=2,P591&gt;=0),INDEX('卡片raw data'!AU:AU,MATCH(D591,'卡片raw data'!$F:$F,)),0)+IF(OR(AND(L591="party卡",P591&lt;=1),AND(P591&lt;=4,L591&lt;&gt;"party卡",P591&gt;=3)),INDEX('卡片raw data'!AV:AV,MATCH(D591,'卡片raw data'!$F:$F,)),0)+IF(OR(P591=5,AND(L591="party卡",P591&gt;=2)),INDEX('卡片raw data'!AW:AW,MATCH(D591,'卡片raw data'!$F:$F,)),0))</f>
        <v>0</v>
      </c>
      <c r="EL591" s="1098">
        <f t="shared" si="862"/>
        <v>0.3</v>
      </c>
      <c r="EM591" s="1098">
        <f t="shared" si="863"/>
        <v>0.3</v>
      </c>
      <c r="EN591" s="1097">
        <f t="shared" si="864"/>
        <v>0</v>
      </c>
      <c r="EO591" s="1097">
        <f t="shared" si="865"/>
        <v>0</v>
      </c>
      <c r="EP591" s="1098">
        <f t="shared" si="866"/>
        <v>0</v>
      </c>
      <c r="EQ591" s="1121">
        <f t="shared" si="867"/>
        <v>0</v>
      </c>
      <c r="ER591" s="1101">
        <f t="shared" si="868"/>
        <v>0</v>
      </c>
      <c r="ES591" s="1097">
        <f t="shared" si="869"/>
        <v>0</v>
      </c>
      <c r="ET591" s="1122">
        <f t="shared" si="776"/>
        <v>0</v>
      </c>
    </row>
    <row r="592" spans="2:150" ht="16.5" customHeight="1">
      <c r="B592" s="1123" t="str">
        <f>INDEX('卡片raw data'!B:B,MATCH($D592,'卡片raw data'!$F:$F,))</f>
        <v>雪光曜</v>
      </c>
      <c r="C592" s="1025" t="s">
        <v>4803</v>
      </c>
      <c r="D592" s="408">
        <v>589</v>
      </c>
      <c r="E592" s="1164">
        <v>401053005</v>
      </c>
      <c r="F592" s="1090" t="str">
        <f>INDEX('卡片raw data'!C:C,MATCH($D592,'卡片raw data'!$F:$F,))</f>
        <v>UR</v>
      </c>
      <c r="G592" s="1026" t="s">
        <v>4804</v>
      </c>
      <c r="H592" s="411">
        <f>IFERROR(INDEX(绊状态确认!C:C,MATCH($G592,绊状态确认!$B:$B,)),"")</f>
        <v>105</v>
      </c>
      <c r="I592" s="1124" t="str">
        <f>IFERROR(INDEX(绊状态确认!D:D,MATCH($G592,绊状态确认!$B:$B,)),"")</f>
        <v>水</v>
      </c>
      <c r="J592" s="1124" t="str">
        <f>IFERROR(INDEX(绊状态确认!E:E,MATCH($G592,绊状态确认!$B:$B,)),"")</f>
        <v>2年级</v>
      </c>
      <c r="K592" s="451" t="str">
        <f>IFERROR(INDEX(绊状态确认!F:F,MATCH($G592,绊状态确认!$B:$B,)),"")</f>
        <v>CYaRon!</v>
      </c>
      <c r="L592" s="1094" t="str">
        <f>INDEX('卡片raw data'!E:E,MATCH($D592,'卡片raw data'!$F:$F,))</f>
        <v>卡池卡</v>
      </c>
      <c r="M592" s="1065">
        <v>44534</v>
      </c>
      <c r="N592" s="1027">
        <v>53</v>
      </c>
      <c r="O592" s="1091" t="str">
        <f>INDEX('卡片raw data'!D:D,MATCH($D592,'卡片raw data'!$F:$F,))</f>
        <v>vo</v>
      </c>
      <c r="P592" s="1126">
        <v>5</v>
      </c>
      <c r="Q592" s="1095">
        <f t="shared" si="796"/>
        <v>74843.715327687227</v>
      </c>
      <c r="R592" s="1096">
        <f t="shared" si="797"/>
        <v>0.87</v>
      </c>
      <c r="S592" s="1097">
        <f t="shared" si="798"/>
        <v>21010.365133488463</v>
      </c>
      <c r="T592" s="1098">
        <f t="shared" si="799"/>
        <v>1.05</v>
      </c>
      <c r="U592" s="1099">
        <f t="shared" si="800"/>
        <v>-10.867838542857145</v>
      </c>
      <c r="V592" s="1100">
        <f t="shared" si="801"/>
        <v>74671.394648832487</v>
      </c>
      <c r="W592" s="1101">
        <f t="shared" si="802"/>
        <v>5956.6517201519891</v>
      </c>
      <c r="X592" s="1096">
        <f t="shared" si="803"/>
        <v>6.9000000000000006E-2</v>
      </c>
      <c r="Y592" s="1097">
        <f t="shared" si="804"/>
        <v>1132.3477713869506</v>
      </c>
      <c r="Z592" s="1102">
        <f t="shared" si="805"/>
        <v>14.132161457142855</v>
      </c>
      <c r="AA592" s="1103">
        <f t="shared" si="806"/>
        <v>7088.9994915389398</v>
      </c>
      <c r="AB592" s="1101">
        <f t="shared" si="807"/>
        <v>7258.8823719883894</v>
      </c>
      <c r="AC592" s="1104">
        <f t="shared" si="808"/>
        <v>8.4000000000000005E-2</v>
      </c>
      <c r="AD592" s="1105">
        <f t="shared" si="809"/>
        <v>0</v>
      </c>
      <c r="AE592" s="1128">
        <f t="shared" si="810"/>
        <v>0</v>
      </c>
      <c r="AF592" s="1130">
        <f t="shared" si="811"/>
        <v>0</v>
      </c>
      <c r="AG592" s="1097">
        <f t="shared" si="812"/>
        <v>0</v>
      </c>
      <c r="AH592" s="1097">
        <f t="shared" si="813"/>
        <v>0</v>
      </c>
      <c r="AI592" s="1097">
        <f t="shared" si="814"/>
        <v>0</v>
      </c>
      <c r="AJ592" s="1097">
        <f t="shared" si="815"/>
        <v>0</v>
      </c>
      <c r="AK592" s="1129">
        <f t="shared" si="816"/>
        <v>0</v>
      </c>
      <c r="AL592" s="1042">
        <f>IF($P592="","N/A",(IF($P592=-1,INDEX('卡片raw data'!S:S,MATCH($D592,'卡片raw data'!$F:$F,)),0)+IF($P592=0,INDEX('卡片raw data'!V:V,MATCH($D592,'卡片raw data'!$F:$F,)),0)+IF($P592=1,INDEX('卡片raw data'!Y:Y,MATCH($D592,'卡片raw data'!$F:$F,)),0)+IF($P592=2,INDEX('卡片raw data'!AB:AB,MATCH($D592,'卡片raw data'!$F:$F,)),0)+IF($P592=3,INDEX('卡片raw data'!AE:AE,MATCH($D592,'卡片raw data'!$F:$F,)),0)+IF($P592=4,INDEX('卡片raw data'!AH:AH,MATCH($D592,'卡片raw data'!$F:$F,)),0)+IF($P592=5,INDEX('卡片raw data'!AK:AK,MATCH($D592,'卡片raw data'!$F:$F,)),0)+INDEX('卡片raw data'!S:S,MATCH($D592,'卡片raw data'!$F:$F,))*(IF($F592="UR",0.04,0.033))*(IF($F592="UR",INDEX(绊状态确认!$S:$S,MATCH($G592,绊状态确认!$B:$B,))/2-40)+IF($F592="SR",INDEX(绊状态确认!$R:$R,MATCH($G592,绊状态确认!$B:$B,))/4-15))+IF($F592="R",INDEX(绊状态确认!$Q:$Q,MATCH($G592,绊状态确认!$B:$B,))/6-40/6)))*(INDEX(绊状态确认!$H:$H,MATCH($G592,绊状态确认!$B:$B,))+INDEX(绊状态确认!J:J,MATCH($G592,绊状态确认!$B:$B,)))</f>
        <v>16131.152543999997</v>
      </c>
      <c r="AM592" s="1035">
        <f>IF($P592="","N/A",(IF($P592=-1,INDEX('卡片raw data'!T:T,MATCH($D592,'卡片raw data'!$F:$F,)),0)+IF($P592=0,INDEX('卡片raw data'!W:W,MATCH($D592,'卡片raw data'!$F:$F,)),0)+IF($P592=1,INDEX('卡片raw data'!Z:Z,MATCH($D592,'卡片raw data'!$F:$F,)),0)+IF($P592=2,INDEX('卡片raw data'!AC:AC,MATCH($D592,'卡片raw data'!$F:$F,)),0)+IF($P592=3,INDEX('卡片raw data'!AF:AF,MATCH($D592,'卡片raw data'!$F:$F,)),0)+IF($P592=4,INDEX('卡片raw data'!AI:AI,MATCH($D592,'卡片raw data'!$F:$F,)),0)+IF($P592=5,INDEX('卡片raw data'!AL:AL,MATCH($D592,'卡片raw data'!$F:$F,)),0)+INDEX('卡片raw data'!T:T,MATCH($D592,'卡片raw data'!$F:$F,))*(IF($F592="UR",0.04,0.033))*(IF($F592="UR",INDEX(绊状态确认!$S:$S,MATCH($G592,绊状态确认!$B:$B,))/2-40)+IF($F592="SR",INDEX(绊状态确认!$R:$R,MATCH($G592,绊状态确认!$B:$B,))/4-15))+IF($F592="R",INDEX(绊状态确认!$Q:$Q,MATCH($G592,绊状态确认!$B:$B,))/6-40/6)))*(INDEX(绊状态确认!$H:$H,MATCH($G592,绊状态确认!$B:$B,))+INDEX(绊状态确认!K:K,MATCH($G592,绊状态确认!$B:$B,)))</f>
        <v>7682.0639999999994</v>
      </c>
      <c r="AN592" s="1043">
        <f>IF($P592="","N/A",(IF($P592=-1,INDEX('卡片raw data'!U:U,MATCH($D592,'卡片raw data'!$F:$F,)),0)+IF($P592=0,INDEX('卡片raw data'!X:X,MATCH($D592,'卡片raw data'!$F:$F,)),0)+IF($P592=1,INDEX('卡片raw data'!AA:AA,MATCH($D592,'卡片raw data'!$F:$F,)),0)+IF($P592=2,INDEX('卡片raw data'!AD:AD,MATCH($D592,'卡片raw data'!$F:$F,)),0)+IF($P592=3,INDEX('卡片raw data'!AG:AG,MATCH($D592,'卡片raw data'!$F:$F,)),0)+IF($P592=4,INDEX('卡片raw data'!AJ:AJ,MATCH($D592,'卡片raw data'!$F:$F,)),0)+IF($P592=5,INDEX('卡片raw data'!AM:AM,MATCH($D592,'卡片raw data'!$F:$F,)),0)+INDEX('卡片raw data'!U:U,MATCH($D592,'卡片raw data'!$F:$F,))*(IF($F592="UR",0.04,0.033))*(IF($F592="UR",INDEX(绊状态确认!$S:$S,MATCH($G592,绊状态确认!$B:$B,))/2-40)+IF($F592="SR",INDEX(绊状态确认!$R:$R,MATCH($G592,绊状态确认!$B:$B,))/4-15))+IF($F592="R",INDEX(绊状态确认!$Q:$Q,MATCH($G592,绊状态确认!$B:$B,))/6-40/6)))*(INDEX(绊状态确认!$H:$H,MATCH($G592,绊状态确认!$B:$B,))+INDEX(绊状态确认!L:L,MATCH($G592,绊状态确认!$B:$B,)))</f>
        <v>14594.739743999997</v>
      </c>
      <c r="AO592" s="1167">
        <f t="shared" si="817"/>
        <v>1</v>
      </c>
      <c r="AP592" s="1044">
        <f>1+(INDEX(绊状态确认!$T:$T,MATCH($G592,绊状态确认!$B:$B,))+0.2)*$AO592</f>
        <v>1.3</v>
      </c>
      <c r="AQ592" s="1035">
        <f t="shared" si="818"/>
        <v>45594.275427999994</v>
      </c>
      <c r="AR592" s="1035">
        <f>(AM592*(1+$EX$9)+$EX$35)*(1+(INDEX(绊状态确认!$T:$T,MATCH($G592,绊状态确认!$B:$B,))+0.2)*AO592)*IF(J592=$FF$17,1+$FE$17,1)*IF(I592=$FF$14,1+$FE$14,1)</f>
        <v>13190.01736</v>
      </c>
      <c r="AS592" s="1035">
        <f>(AN592*(1+$EX$10)+$EX$36)*(1+(INDEX(绊状态确认!$T:$T,MATCH($G592,绊状态确认!$B:$B,))+0.2)*AO592)*IF(J592=$FF$17,1+$FE$17,1)*IF(I592=$FF$14,1+$FE$14,1)</f>
        <v>25875.135917279997</v>
      </c>
      <c r="AT592" s="1165">
        <f>IF(AND(INDEX('卡片raw data'!AK:AK,MATCH($D592,'卡片raw data'!$F:$F,))&lt;INDEX('卡片raw data'!AM:AM,MATCH($D592,'卡片raw data'!$F:$F,)),INDEX('卡片raw data'!AL:AL,MATCH($D592,'卡片raw data'!$F:$F,))&lt;INDEX('卡片raw data'!AM:AM,MATCH($D592,'卡片raw data'!$F:$F,))),1,0)</f>
        <v>0</v>
      </c>
      <c r="AU592" s="1031">
        <f>MIN(AT592*0.15+AS592*0.00003+INDEX(绊状态确认!M:M,MATCH($G592,绊状态确认!$B:$B,)),1)</f>
        <v>0.80625407751839995</v>
      </c>
      <c r="AV592" s="1045">
        <f>(INDEX(绊状态确认!$N:$N,MATCH($G592,绊状态确认!$B:$B,))+1.5)*$EW$21</f>
        <v>2.6599999999999997</v>
      </c>
      <c r="AW592" s="1038">
        <f t="shared" si="819"/>
        <v>55371.093287520547</v>
      </c>
      <c r="AX592" s="1035">
        <f t="shared" si="820"/>
        <v>1132.3477713869502</v>
      </c>
      <c r="AY592" s="483">
        <f t="shared" si="821"/>
        <v>56503.441058907498</v>
      </c>
      <c r="AZ592" s="1106">
        <f t="shared" si="822"/>
        <v>34055.74746079999</v>
      </c>
      <c r="BA592" s="1108">
        <f t="shared" si="823"/>
        <v>40866.896952959985</v>
      </c>
      <c r="BB592" s="1035">
        <f>(AM592*(1+$FB$9)+$FB$35)*(1+(INDEX(绊状态确认!$T:$T,MATCH($G592,绊状态确认!$B:$B,))+0.2)*AO592)*IF(J592=$FF$17,1+$FE$17,1)*IF(I592=$FF$14,1+$FE$14,1)*(1+$FE$15)</f>
        <v>13190.01736</v>
      </c>
      <c r="BC592" s="1035">
        <f>(AN592*(1+$FB$10)+$FB$36)*(1+(INDEX(绊状态确认!$T:$T,MATCH($G592,绊状态确认!$B:$B,))+0.2)*AO592)*IF(J592=$FF$17,1+$FE$17,1)*IF(I592=$FF$14,1+$FE$14,1)*(1+$FE$15)</f>
        <v>25875.135917279997</v>
      </c>
      <c r="BD592" s="481">
        <f>MIN(AT592*0.15+BC592*0.00003+INDEX(绊状态确认!M:M,MATCH($G592,绊状态确认!$B:$B,)),1)</f>
        <v>0.80625407751839995</v>
      </c>
      <c r="BE592" s="1109">
        <f>(INDEX(绊状态确认!$N:$N,MATCH($G592,绊状态确认!$B:$B,))+1.5)</f>
        <v>1.9</v>
      </c>
      <c r="BF592" s="646">
        <f t="array" ref="BF592">SUMPRODUCT(IF(AZ592*AP592*$FI$16:$FI$23*$FA$22&gt;=$FI$24,$FI$24,AZ592*AP592*$FI$16:$FI$23*$FA$22),$FJ$16:$FJ$23)</f>
        <v>59068.117924759994</v>
      </c>
      <c r="BG592" s="1047">
        <f t="array" ref="BG592">SUMPRODUCT(IF(BE592*AZ592*AP592*$FI$16:$FI$23*$FA$22&gt;=$FI$24,$FI$24,BE592*AZ592*AP592*$FI$16:$FI$23*$FA$22),$FJ$16:$FJ$23)</f>
        <v>60000</v>
      </c>
      <c r="BH592" s="1046">
        <f t="shared" si="824"/>
        <v>19939.817215896186</v>
      </c>
      <c r="BI592" s="1048">
        <f>IF(O592="vo",$EW$26/$EW$24*0.05,0)+IF(O592="sk",-$EW$26/$EW$24*(0.05-INDEX(绊状态确认!W:W,MATCH($G592,绊状态确认!$B:$B,)))+0.05*$EW$28,0)+IF(O592="sp",0.05*$EW$32*$EW$30*(1-$EW$33)-(0.05-INDEX(绊状态确认!V:V,MATCH($G592,绊状态确认!$B:$B,)))*$EW$28,0)+IF(O592="gd",-(0.05-INDEX(绊状态确认!X:X,MATCH($G592,绊状态确认!$B:$B,)))*$EW$32*$EW$30*(1-$EW$33),0)</f>
        <v>7726.3029277443748</v>
      </c>
      <c r="BJ592" s="1097">
        <f>IF(O592="vo",0.05*(1-$FI$26)*$FA$24,0)+IF(O592="sk",-(0.05-INDEX(绊状态确认!W:W,MATCH($G592,绊状态确认!$B:$B,)))*(1-$FI$26)*$FA$24+0.05*$FA$26,0)+IF(O592="sp",0.05*$FA$32*$FA$27*(1-$FA$33)/$FA$30+0.05*$FA$29/$FA$69*$FA$27*(1-$FA$33)-(0.05-INDEX(绊状态确认!V:V,MATCH($G592,绊状态确认!$B:$B,)))*$FA$26,0)+IF(O592="gd",-(0.05-INDEX(绊状态确认!X:X,MATCH($G592,绊状态确认!$B:$B,)))*$FA$32*$FA$27*(1-$FA$33)/$FA$30-(0.05-INDEX(绊状态确认!X:X,MATCH($G592,绊状态确认!$B:$B,)))*$FA$29/$FA$69*$FA$27*(1-$FA$33),0)</f>
        <v>393.93433687500004</v>
      </c>
      <c r="BK592" s="1046">
        <f>IF(O592="vo",$EW$26/$EW$24*0.05+$EW$26*(-HP($EW$62,$EW$65,$EW$64)+HP($EW$62,$EW$65,(1.05-INDEX(绊状态确认!U:U,MATCH($G592,绊状态确认!$B:$B,)))*$EW$64)),0)+IF(O592="sk",-$EW$26/$EW$24*(0.05-INDEX(绊状态确认!W:W,MATCH($G592,绊状态确认!$B:$B,)))+0.05*$EW$29,0)+IF(O592="sp",0.05*$EW$32*$EW$30*(1-$EW$33)-(0.05-INDEX(绊状态确认!V:V,MATCH($G592,绊状态确认!$B:$B,)))*$EW$29,0)+IF(O592="gd",-(0.05-INDEX(绊状态确认!X:X,MATCH($G592,绊状态确认!$B:$B,)))*$EW$32*$EW$30*(1-$EW$33)+$EW$26*(-HP($EW$62,$EW$65,$EW$64)+HP($EW$62,$EW$65,0.95*$EW$64)),0)</f>
        <v>6421.6344775026746</v>
      </c>
      <c r="BL592" s="1048">
        <f t="shared" si="825"/>
        <v>0</v>
      </c>
      <c r="BM592" s="1046">
        <f t="shared" si="826"/>
        <v>0</v>
      </c>
      <c r="BN592" s="1167">
        <f t="shared" si="827"/>
        <v>3</v>
      </c>
      <c r="BO592" s="1035">
        <f t="shared" si="828"/>
        <v>4507.7214871259994</v>
      </c>
      <c r="BP592" s="1043">
        <f t="shared" si="829"/>
        <v>221.34103209030098</v>
      </c>
      <c r="BQ592" s="1167" t="s">
        <v>1940</v>
      </c>
      <c r="BR592" s="1165" t="s">
        <v>2075</v>
      </c>
      <c r="BS592" s="1098">
        <f>IF($P592="","N/A",IF($P592=-1,INDEX('卡片raw data'!AX:AX,MATCH($D592,'卡片raw data'!$F:$F,)),0)+IF($L592="party卡",IF($P592=5,INDEX('卡片raw data'!BD:BD,MATCH($D592,'卡片raw data'!$F:$F,)),IF($P592&gt;=3,INDEX('卡片raw data'!BC:BC,MATCH($D592,'卡片raw data'!$F:$F,)),INDEX('卡片raw data'!BB:BB,MATCH($D592,'卡片raw data'!$F:$F,)))),IF(OR(AND($F592="UR",$P592=0),AND($F592="SR",$P592&gt;=0,$P592&lt;=2),AND($F592="R",$P592&gt;=0,$P592&lt;4)),INDEX('卡片raw data'!AZ:AZ,MATCH($D592,'卡片raw data'!$F:$F,)),0)+IF(OR(AND($F592="UR",$P592&gt;=1,$P592&lt;=4),AND($F592="SR",$P592&lt;=4,$P592&gt;=3),AND($F592="R",$P592=4)),INDEX('卡片raw data'!BA:BA,MATCH($D592,'卡片raw data'!$F:$F,)),0)+IF($P592=5,INDEX('卡片raw data'!BB:BB,MATCH($D592,'卡片raw data'!$F:$F,)),0)))</f>
        <v>5.1999999999999998E-2</v>
      </c>
      <c r="BT592" s="1101">
        <f t="shared" si="830"/>
        <v>2604.4613036728001</v>
      </c>
      <c r="BU592" s="1097">
        <f t="shared" si="831"/>
        <v>111.90018844565216</v>
      </c>
      <c r="BV592" s="1097">
        <f t="shared" si="832"/>
        <v>1302.2306518363998</v>
      </c>
      <c r="BW592" s="1112">
        <f t="shared" si="833"/>
        <v>0</v>
      </c>
      <c r="BX592" s="1100">
        <f t="shared" si="834"/>
        <v>2604.4613036728001</v>
      </c>
      <c r="BY592" s="1110">
        <f t="shared" si="835"/>
        <v>1302.2306518363998</v>
      </c>
      <c r="BZ592" s="1113" t="s">
        <v>569</v>
      </c>
      <c r="CA592" s="1124"/>
      <c r="CB592" s="1098">
        <f>IF($P592="","N/A",IF($P592=-1,INDEX('卡片raw data'!BE:BE,MATCH($D592,'卡片raw data'!$F:$F,)),0)+IF($L592="party卡",IF($P592=5,INDEX('卡片raw data'!BK:BK,MATCH($D592,'卡片raw data'!$F:$F,)),IF($P592&gt;=3,INDEX('卡片raw data'!BJ:BJ,MATCH($D592,'卡片raw data'!$F:$F,)),INDEX('卡片raw data'!BI:BI,MATCH($D592,'卡片raw data'!$F:$F,)))),IF(OR(AND($F592="UR",$P592=0),AND($F592="SR",$P592&gt;=0,$P592&lt;=2),AND($F592="R",$P592&gt;=0,$P592&lt;4)),INDEX('卡片raw data'!BG:BG,MATCH($D592,'卡片raw data'!$F:$F,)),0)+IF(OR(AND($F592="UR",$P592&gt;=1,$P592&lt;=4),AND($F592="SR",$P592&lt;=4,$P592&gt;=3),AND($F592="R",$P592=4)),INDEX('卡片raw data'!BH:BH,MATCH($D592,'卡片raw data'!$F:$F,)),0)+IF($P592=5,INDEX('卡片raw data'!BI:BI,MATCH($D592,'卡片raw data'!$F:$F,)),0)))</f>
        <v>0</v>
      </c>
      <c r="CC592" s="1101">
        <f t="shared" si="873"/>
        <v>0</v>
      </c>
      <c r="CD592" s="1097">
        <f>IF(BZ592="ap",CB592*(1-$FI$26)*$FB$5/$FB$11*(+IF(CA592="全员",$FA$24,0)+IF(CA592="同作战",$FA$24,0)+IF(CA592="仲间",$FA$24*2/3,0)+IF(CA592="同属性",$FA$24*$FA$37/3,0)+IF(CA592="同年级",$FA$24*$FA$40/3,0)+IF(CA592="同学校",$FA$24*$FA$43/3,0)+IF(CA592="同小队",$FA$24*$FA$46/3,0)+IF(CA592="同type",$FA$24*INDEX($FB$49:$FB$52,MATCH(X592,$FA$49:$FA$52,))/3,0)+IF(CA592="自身",#REF!/3,0)),0)+IF(BZ592="te",CB592*(1-$FI$27)*($FA$20-1)*$FB$7/$FB$13*(+IF(CA592="全员",$FA$19*$FA$24/(1+($FA$20-1)*$FA$19),0)+IF(CA592="同作战",$FA$19*$FA$24/(1+($FA$20-1)*$FA$19),0)+IF(CA592="仲间",$FA$19*$FA$24*2/3/(1+($FA$20-1)*$FA$19),0)+IF(CA592="同属性",$FA$19*$FA$24*$FA$37/3/(1+($FA$20-1)*$FA$19),0)+IF(CA592="同年级",$FA$19*$FA$24*$FA$40/3/(1+($FA$20-1)*$FA$19),0)+IF(CA592="同学校",$FA$19*$FA$24*$FA$43/3/(1+($FA$20-1)*$FA$19),0)+IF(CA592="同小队",$FA$19*$FA$24*$FA$46/3/(1+($FA$20-1)*$FA$19),0)+IF(CA592="同type",$FA$19*$FA$24*INDEX($FB$49:$FB$52,MATCH(X592,$FA$49:$FA$52,))/3/(1+($FA$20-1)*$FA$19),0)+IF(CA592="自身",$FA$19*#REF!/3/(1+(BH592-1)*$BD592),0)),0)</f>
        <v>0</v>
      </c>
      <c r="CE592" s="1097">
        <f t="shared" si="836"/>
        <v>0</v>
      </c>
      <c r="CF592" s="1112">
        <f t="shared" si="874"/>
        <v>0</v>
      </c>
      <c r="CG592" s="1100">
        <f t="shared" si="837"/>
        <v>0</v>
      </c>
      <c r="CH592" s="1110">
        <f t="shared" si="838"/>
        <v>0</v>
      </c>
      <c r="CI592" s="1167" t="s">
        <v>4652</v>
      </c>
      <c r="CJ592" s="1114">
        <v>1</v>
      </c>
      <c r="CK592" s="1169" t="s">
        <v>2046</v>
      </c>
      <c r="CL592" s="1169" t="s">
        <v>1940</v>
      </c>
      <c r="CM592" s="1166">
        <v>0.105</v>
      </c>
      <c r="CN592" s="1169"/>
      <c r="CO592" s="1169"/>
      <c r="CP592" s="1116">
        <f t="shared" si="839"/>
        <v>133.36325562689996</v>
      </c>
      <c r="CQ592" s="1116">
        <f t="shared" si="840"/>
        <v>185.94438113596792</v>
      </c>
      <c r="CR592" s="1116">
        <f t="shared" si="841"/>
        <v>133.36325562689996</v>
      </c>
      <c r="CS592" s="1118">
        <f t="shared" si="875"/>
        <v>0</v>
      </c>
      <c r="CT592" s="1109">
        <f t="shared" si="876"/>
        <v>0</v>
      </c>
      <c r="CU592" s="1101">
        <f t="shared" si="842"/>
        <v>146.69958118958996</v>
      </c>
      <c r="CV592" s="1108">
        <f t="shared" si="870"/>
        <v>185.94438113596792</v>
      </c>
      <c r="CW592" s="1097">
        <f t="shared" si="843"/>
        <v>146.69958118958996</v>
      </c>
      <c r="CX592" s="1097">
        <f t="shared" si="844"/>
        <v>146.69958118958996</v>
      </c>
      <c r="CY592" s="1110">
        <f t="shared" si="845"/>
        <v>146.69958118958996</v>
      </c>
      <c r="CZ592" s="1113"/>
      <c r="DA592" s="1114"/>
      <c r="DB592" s="1115" t="s">
        <v>569</v>
      </c>
      <c r="DC592" s="1115"/>
      <c r="DD592" s="1119"/>
      <c r="DE592" s="1092"/>
      <c r="DF592" s="1092"/>
      <c r="DG592" s="1116">
        <f t="shared" si="846"/>
        <v>0</v>
      </c>
      <c r="DH592" s="1116">
        <f t="shared" si="847"/>
        <v>0</v>
      </c>
      <c r="DI592" s="1116">
        <f t="shared" si="848"/>
        <v>0</v>
      </c>
      <c r="DJ592" s="1118">
        <f t="shared" si="871"/>
        <v>0</v>
      </c>
      <c r="DK592" s="1109">
        <f t="shared" si="872"/>
        <v>0</v>
      </c>
      <c r="DL592" s="1101">
        <f t="shared" si="849"/>
        <v>0</v>
      </c>
      <c r="DM592" s="1097">
        <f t="shared" si="850"/>
        <v>0</v>
      </c>
      <c r="DN592" s="1097">
        <f t="shared" si="851"/>
        <v>0</v>
      </c>
      <c r="DO592" s="1097">
        <f t="shared" si="852"/>
        <v>0</v>
      </c>
      <c r="DP592" s="1110">
        <f t="shared" si="853"/>
        <v>0</v>
      </c>
      <c r="DQ592" s="1113" t="s">
        <v>221</v>
      </c>
      <c r="DR592" s="1120">
        <f t="shared" si="792"/>
        <v>0.33</v>
      </c>
      <c r="DS592" s="1124">
        <v>5</v>
      </c>
      <c r="DT592" s="1124" t="s">
        <v>2075</v>
      </c>
      <c r="DU592" s="1165" t="s">
        <v>2145</v>
      </c>
      <c r="DV592" s="1098">
        <f>IF($P592="","N/A",IF(P592=-1,INDEX('卡片raw data'!AN:AN,MATCH(D592,'卡片raw data'!$F:$F,)),0)+IF(AND(L592&lt;&gt;"party卡",P592&lt;=2,P592&gt;=0),INDEX('卡片raw data'!AP:AP,MATCH(D592,'卡片raw data'!$F:$F,)),0)+IF(OR(AND(L592="party卡",P592&lt;=1),AND(P592&lt;=4,L592&lt;&gt;"party卡",P592&gt;=3)),INDEX('卡片raw data'!AQ:AQ,MATCH(D592,'卡片raw data'!$F:$F,)),0)+IF(OR(P592=5,AND(L592="party卡",P592&gt;=2)),INDEX('卡片raw data'!AR:AR,MATCH(D592,'卡片raw data'!$F:$F,)),0))</f>
        <v>7.1999999999999995E-2</v>
      </c>
      <c r="DW592" s="1098">
        <f t="shared" si="854"/>
        <v>0.33</v>
      </c>
      <c r="DX592" s="1098">
        <f t="shared" si="855"/>
        <v>0.33</v>
      </c>
      <c r="DY592" s="1098">
        <f t="shared" si="856"/>
        <v>2.6399999999999996E-2</v>
      </c>
      <c r="DZ592" s="1098">
        <f t="shared" si="857"/>
        <v>1.9981499999999999E-2</v>
      </c>
      <c r="EA592" s="1098">
        <f t="shared" si="858"/>
        <v>0</v>
      </c>
      <c r="EB592" s="1121">
        <f t="shared" si="859"/>
        <v>0</v>
      </c>
      <c r="EC592" s="1101">
        <f t="shared" si="860"/>
        <v>4487.4367404339328</v>
      </c>
      <c r="ED592" s="1097">
        <f t="shared" si="861"/>
        <v>157.42797904535627</v>
      </c>
      <c r="EE592" s="1110">
        <f t="shared" si="775"/>
        <v>4487.4367404339328</v>
      </c>
      <c r="EF592" s="1113" t="s">
        <v>569</v>
      </c>
      <c r="EG592" s="1120">
        <f t="shared" si="793"/>
        <v>0.33</v>
      </c>
      <c r="EH592" s="1124"/>
      <c r="EI592" s="1124"/>
      <c r="EJ592" s="1124"/>
      <c r="EK592" s="1097">
        <f>IF($P592="","N/A",IF(P592=-1,INDEX('卡片raw data'!AS:AS,MATCH(D592,'卡片raw data'!$F:$F,)),0)+IF(AND(L592&lt;&gt;"party卡",P592&lt;=2,P592&gt;=0),INDEX('卡片raw data'!AU:AU,MATCH(D592,'卡片raw data'!$F:$F,)),0)+IF(OR(AND(L592="party卡",P592&lt;=1),AND(P592&lt;=4,L592&lt;&gt;"party卡",P592&gt;=3)),INDEX('卡片raw data'!AV:AV,MATCH(D592,'卡片raw data'!$F:$F,)),0)+IF(OR(P592=5,AND(L592="party卡",P592&gt;=2)),INDEX('卡片raw data'!AW:AW,MATCH(D592,'卡片raw data'!$F:$F,)),0))</f>
        <v>0</v>
      </c>
      <c r="EL592" s="1098">
        <f t="shared" si="862"/>
        <v>0.33</v>
      </c>
      <c r="EM592" s="1098">
        <f t="shared" si="863"/>
        <v>0.33</v>
      </c>
      <c r="EN592" s="1097">
        <f t="shared" si="864"/>
        <v>0</v>
      </c>
      <c r="EO592" s="1097">
        <f t="shared" si="865"/>
        <v>0</v>
      </c>
      <c r="EP592" s="1098">
        <f t="shared" si="866"/>
        <v>0</v>
      </c>
      <c r="EQ592" s="1121">
        <f t="shared" si="867"/>
        <v>0</v>
      </c>
      <c r="ER592" s="1101">
        <f t="shared" si="868"/>
        <v>0</v>
      </c>
      <c r="ES592" s="1097">
        <f t="shared" si="869"/>
        <v>0</v>
      </c>
      <c r="ET592" s="1122">
        <f t="shared" si="776"/>
        <v>0</v>
      </c>
    </row>
    <row r="593" spans="2:150" ht="16.5" customHeight="1">
      <c r="B593" s="1123" t="str">
        <f>INDEX('卡片raw data'!B:B,MATCH($D593,'卡片raw data'!$F:$F,))</f>
        <v>雪光花</v>
      </c>
      <c r="C593" s="1025" t="s">
        <v>579</v>
      </c>
      <c r="D593" s="408">
        <v>590</v>
      </c>
      <c r="E593" s="1164">
        <v>400083006</v>
      </c>
      <c r="F593" s="1090" t="str">
        <f>INDEX('卡片raw data'!C:C,MATCH($D593,'卡片raw data'!$F:$F,))</f>
        <v>UR</v>
      </c>
      <c r="G593" s="1026" t="s">
        <v>31</v>
      </c>
      <c r="H593" s="411">
        <f>IFERROR(INDEX(绊状态确认!C:C,MATCH($G593,绊状态确认!$B:$B,)),"")</f>
        <v>8</v>
      </c>
      <c r="I593" s="450" t="str">
        <f>IFERROR(INDEX(绊状态确认!D:D,MATCH($G593,绊状态确认!$B:$B,)),"")</f>
        <v>缪</v>
      </c>
      <c r="J593" s="450" t="str">
        <f>IFERROR(INDEX(绊状态确认!E:E,MATCH($G593,绊状态确认!$B:$B,)),"")</f>
        <v>1年级</v>
      </c>
      <c r="K593" s="451" t="str">
        <f>IFERROR(INDEX(绊状态确认!F:F,MATCH($G593,绊状态确认!$B:$B,)),"")</f>
        <v>Printemps</v>
      </c>
      <c r="L593" s="1094" t="str">
        <f>INDEX('卡片raw data'!E:E,MATCH($D593,'卡片raw data'!$F:$F,))</f>
        <v>活动卡</v>
      </c>
      <c r="M593" s="1065">
        <v>44534</v>
      </c>
      <c r="N593" s="1027">
        <v>53</v>
      </c>
      <c r="O593" s="1091" t="str">
        <f>INDEX('卡片raw data'!D:D,MATCH($D593,'卡片raw data'!$F:$F,))</f>
        <v>sk</v>
      </c>
      <c r="P593" s="1126">
        <v>5</v>
      </c>
      <c r="Q593" s="1095">
        <f t="shared" si="796"/>
        <v>50258.489292969294</v>
      </c>
      <c r="R593" s="1096">
        <f t="shared" si="797"/>
        <v>0.58399999999999996</v>
      </c>
      <c r="S593" s="1097">
        <f t="shared" si="798"/>
        <v>21175.666586882122</v>
      </c>
      <c r="T593" s="1098">
        <f t="shared" si="799"/>
        <v>1.0580000000000001</v>
      </c>
      <c r="U593" s="1099">
        <f t="shared" si="800"/>
        <v>11.925843129942857</v>
      </c>
      <c r="V593" s="1100">
        <f t="shared" si="801"/>
        <v>53209.734915548914</v>
      </c>
      <c r="W593" s="1101">
        <f t="shared" si="802"/>
        <v>5559.5231674553997</v>
      </c>
      <c r="X593" s="1096">
        <f t="shared" si="803"/>
        <v>6.4000000000000001E-2</v>
      </c>
      <c r="Y593" s="1097">
        <f t="shared" si="804"/>
        <v>951.24562257962316</v>
      </c>
      <c r="Z593" s="1102">
        <f t="shared" si="805"/>
        <v>11.925843129942857</v>
      </c>
      <c r="AA593" s="1103">
        <f t="shared" si="806"/>
        <v>6510.7687900350229</v>
      </c>
      <c r="AB593" s="1101">
        <f t="shared" si="807"/>
        <v>6611.3248477847992</v>
      </c>
      <c r="AC593" s="1104">
        <f t="shared" si="808"/>
        <v>7.5999999999999998E-2</v>
      </c>
      <c r="AD593" s="1105" t="e">
        <f t="shared" si="809"/>
        <v>#VALUE!</v>
      </c>
      <c r="AE593" s="1128" t="e">
        <f t="shared" si="810"/>
        <v>#VALUE!</v>
      </c>
      <c r="AF593" s="1130">
        <f t="shared" si="811"/>
        <v>0</v>
      </c>
      <c r="AG593" s="1097">
        <f t="shared" si="812"/>
        <v>0</v>
      </c>
      <c r="AH593" s="1097">
        <f t="shared" si="813"/>
        <v>0</v>
      </c>
      <c r="AI593" s="1097">
        <f t="shared" si="814"/>
        <v>0</v>
      </c>
      <c r="AJ593" s="1097">
        <f t="shared" si="815"/>
        <v>0</v>
      </c>
      <c r="AK593" s="1129">
        <f t="shared" si="816"/>
        <v>0</v>
      </c>
      <c r="AL593" s="1042">
        <f>IF($P593="","N/A",(IF($P593=-1,INDEX('卡片raw data'!S:S,MATCH($D593,'卡片raw data'!$F:$F,)),0)+IF($P593=0,INDEX('卡片raw data'!V:V,MATCH($D593,'卡片raw data'!$F:$F,)),0)+IF($P593=1,INDEX('卡片raw data'!Y:Y,MATCH($D593,'卡片raw data'!$F:$F,)),0)+IF($P593=2,INDEX('卡片raw data'!AB:AB,MATCH($D593,'卡片raw data'!$F:$F,)),0)+IF($P593=3,INDEX('卡片raw data'!AE:AE,MATCH($D593,'卡片raw data'!$F:$F,)),0)+IF($P593=4,INDEX('卡片raw data'!AH:AH,MATCH($D593,'卡片raw data'!$F:$F,)),0)+IF($P593=5,INDEX('卡片raw data'!AK:AK,MATCH($D593,'卡片raw data'!$F:$F,)),0)+INDEX('卡片raw data'!S:S,MATCH($D593,'卡片raw data'!$F:$F,))*(IF($F593="UR",0.04,0.033))*(IF($F593="UR",INDEX(绊状态确认!$S:$S,MATCH($G593,绊状态确认!$B:$B,))/2-40)+IF($F593="SR",INDEX(绊状态确认!$R:$R,MATCH($G593,绊状态确认!$B:$B,))/4-15))+IF($F593="R",INDEX(绊状态确认!$Q:$Q,MATCH($G593,绊状态确认!$B:$B,))/6-40/6)))*(INDEX(绊状态确认!$H:$H,MATCH($G593,绊状态确认!$B:$B,))+INDEX(绊状态确认!J:J,MATCH($G593,绊状态确认!$B:$B,)))</f>
        <v>13000.415999999997</v>
      </c>
      <c r="AM593" s="1035">
        <f>IF($P593="","N/A",(IF($P593=-1,INDEX('卡片raw data'!T:T,MATCH($D593,'卡片raw data'!$F:$F,)),0)+IF($P593=0,INDEX('卡片raw data'!W:W,MATCH($D593,'卡片raw data'!$F:$F,)),0)+IF($P593=1,INDEX('卡片raw data'!Z:Z,MATCH($D593,'卡片raw data'!$F:$F,)),0)+IF($P593=2,INDEX('卡片raw data'!AC:AC,MATCH($D593,'卡片raw data'!$F:$F,)),0)+IF($P593=3,INDEX('卡片raw data'!AF:AF,MATCH($D593,'卡片raw data'!$F:$F,)),0)+IF($P593=4,INDEX('卡片raw data'!AI:AI,MATCH($D593,'卡片raw data'!$F:$F,)),0)+IF($P593=5,INDEX('卡片raw data'!AL:AL,MATCH($D593,'卡片raw data'!$F:$F,)),0)+INDEX('卡片raw data'!T:T,MATCH($D593,'卡片raw data'!$F:$F,))*(IF($F593="UR",0.04,0.033))*(IF($F593="UR",INDEX(绊状态确认!$S:$S,MATCH($G593,绊状态确认!$B:$B,))/2-40)+IF($F593="SR",INDEX(绊状态确认!$R:$R,MATCH($G593,绊状态确认!$B:$B,))/4-15))+IF($F593="R",INDEX(绊状态确认!$Q:$Q,MATCH($G593,绊状态确认!$B:$B,))/6-40/6)))*(INDEX(绊状态确认!$H:$H,MATCH($G593,绊状态确认!$B:$B,))+INDEX(绊状态确认!K:K,MATCH($G593,绊状态确认!$B:$B,)))</f>
        <v>6173.4702719999987</v>
      </c>
      <c r="AN593" s="1043">
        <f>IF($P593="","N/A",(IF($P593=-1,INDEX('卡片raw data'!U:U,MATCH($D593,'卡片raw data'!$F:$F,)),0)+IF($P593=0,INDEX('卡片raw data'!X:X,MATCH($D593,'卡片raw data'!$F:$F,)),0)+IF($P593=1,INDEX('卡片raw data'!AA:AA,MATCH($D593,'卡片raw data'!$F:$F,)),0)+IF($P593=2,INDEX('卡片raw data'!AD:AD,MATCH($D593,'卡片raw data'!$F:$F,)),0)+IF($P593=3,INDEX('卡片raw data'!AG:AG,MATCH($D593,'卡片raw data'!$F:$F,)),0)+IF($P593=4,INDEX('卡片raw data'!AJ:AJ,MATCH($D593,'卡片raw data'!$F:$F,)),0)+IF($P593=5,INDEX('卡片raw data'!AM:AM,MATCH($D593,'卡片raw data'!$F:$F,)),0)+INDEX('卡片raw data'!U:U,MATCH($D593,'卡片raw data'!$F:$F,))*(IF($F593="UR",0.04,0.033))*(IF($F593="UR",INDEX(绊状态确认!$S:$S,MATCH($G593,绊状态确认!$B:$B,))/2-40)+IF($F593="SR",INDEX(绊状态确认!$R:$R,MATCH($G593,绊状态确认!$B:$B,))/4-15))+IF($F593="R",INDEX(绊状态确认!$Q:$Q,MATCH($G593,绊状态确认!$B:$B,))/6-40/6)))*(INDEX(绊状态确认!$H:$H,MATCH($G593,绊状态确认!$B:$B,))+INDEX(绊状态确认!L:L,MATCH($G593,绊状态确认!$B:$B,)))</f>
        <v>13322.517215999998</v>
      </c>
      <c r="AO593" s="1167">
        <f t="shared" si="817"/>
        <v>1</v>
      </c>
      <c r="AP593" s="1044">
        <f>1+(INDEX(绊状态确认!$T:$T,MATCH($G593,绊状态确认!$B:$B,))+0.2)*$AO593</f>
        <v>1.3</v>
      </c>
      <c r="AQ593" s="1035">
        <f t="shared" si="818"/>
        <v>37376.091999999997</v>
      </c>
      <c r="AR593" s="1035">
        <f>(AM593*(1+$EX$9)+$EX$35)*(1+(INDEX(绊状态确认!$T:$T,MATCH($G593,绊状态确认!$B:$B,))+0.2)*AO593)*IF(J593=$FF$17,1+$FE$17,1)*IF(I593=$FF$14,1+$FE$14,1)</f>
        <v>11130.78692128</v>
      </c>
      <c r="AS593" s="1035">
        <f>(AN593*(1+$EX$10)+$EX$36)*(1+(INDEX(绊状态确认!$T:$T,MATCH($G593,绊状态确认!$B:$B,))+0.2)*AO593)*IF(J593=$FF$17,1+$FE$17,1)*IF(I593=$FF$14,1+$FE$14,1)</f>
        <v>23973.163237919998</v>
      </c>
      <c r="AT593" s="1165">
        <f>IF(AND(INDEX('卡片raw data'!AK:AK,MATCH($D593,'卡片raw data'!$F:$F,))&lt;INDEX('卡片raw data'!AM:AM,MATCH($D593,'卡片raw data'!$F:$F,)),INDEX('卡片raw data'!AL:AL,MATCH($D593,'卡片raw data'!$F:$F,))&lt;INDEX('卡片raw data'!AM:AM,MATCH($D593,'卡片raw data'!$F:$F,))),1,0)</f>
        <v>1</v>
      </c>
      <c r="AU593" s="1031">
        <f>MIN(AT593*0.15+AS593*0.00003+INDEX(绊状态确认!M:M,MATCH($G593,绊状态确认!$B:$B,)),1)</f>
        <v>0.89919489713760004</v>
      </c>
      <c r="AV593" s="1045">
        <f>(INDEX(绊状态确认!$N:$N,MATCH($G593,绊状态确认!$B:$B,))+1.5)*$EW$21</f>
        <v>2.6599999999999997</v>
      </c>
      <c r="AW593" s="1038">
        <f t="shared" si="819"/>
        <v>48385.464365734239</v>
      </c>
      <c r="AX593" s="1035">
        <f t="shared" si="820"/>
        <v>951.24562257962316</v>
      </c>
      <c r="AY593" s="483">
        <f t="shared" si="821"/>
        <v>49336.709988313858</v>
      </c>
      <c r="AZ593" s="1106">
        <f t="shared" si="822"/>
        <v>27950.811199999993</v>
      </c>
      <c r="BA593" s="1108">
        <f t="shared" si="823"/>
        <v>33540.973439999987</v>
      </c>
      <c r="BB593" s="1035">
        <f>(AM593*(1+$FB$9)+$FB$35)*(1+(INDEX(绊状态确认!$T:$T,MATCH($G593,绊状态确认!$B:$B,))+0.2)*AO593)*IF(J593=$FF$17,1+$FE$17,1)*IF(I593=$FF$14,1+$FE$14,1)*(1+$FE$15)</f>
        <v>11130.78692128</v>
      </c>
      <c r="BC593" s="1035">
        <f>(AN593*(1+$FB$10)+$FB$36)*(1+(INDEX(绊状态确认!$T:$T,MATCH($G593,绊状态确认!$B:$B,))+0.2)*AO593)*IF(J593=$FF$17,1+$FE$17,1)*IF(I593=$FF$14,1+$FE$14,1)*(1+$FE$15)</f>
        <v>23973.163237919998</v>
      </c>
      <c r="BD593" s="481">
        <f>MIN(AT593*0.15+BC593*0.00003+INDEX(绊状态确认!M:M,MATCH($G593,绊状态确认!$B:$B,)),1)</f>
        <v>0.89919489713760004</v>
      </c>
      <c r="BE593" s="1109">
        <f>(INDEX(绊状态确认!$N:$N,MATCH($G593,绊状态确认!$B:$B,))+1.5)</f>
        <v>1.9</v>
      </c>
      <c r="BF593" s="646">
        <f t="array" ref="BF593">SUMPRODUCT(IF(AZ593*AP593*$FI$16:$FI$23*$FA$22&gt;=$FI$24,$FI$24,AZ593*AP593*$FI$16:$FI$23*$FA$22),$FJ$16:$FJ$23)</f>
        <v>53972.694014399996</v>
      </c>
      <c r="BG593" s="1047">
        <f t="array" ref="BG593">SUMPRODUCT(IF(BE593*AZ593*AP593*$FI$16:$FI$23*$FA$22&gt;=$FI$24,$FI$24,BE593*AZ593*AP593*$FI$16:$FI$23*$FA$22),$FJ$16:$FJ$23)</f>
        <v>60000</v>
      </c>
      <c r="BH593" s="1046">
        <f t="shared" si="824"/>
        <v>19797.472266712812</v>
      </c>
      <c r="BI593" s="1048">
        <f>IF(O593="vo",$EW$26/$EW$24*0.05,0)+IF(O593="sk",-$EW$26/$EW$24*(0.05-INDEX(绊状态确认!W:W,MATCH($G593,绊状态确认!$B:$B,)))+0.05*$EW$28,0)+IF(O593="sp",0.05*$EW$32*$EW$30*(1-$EW$33)-(0.05-INDEX(绊状态确认!V:V,MATCH($G593,绊状态确认!$B:$B,)))*$EW$28,0)+IF(O593="gd",-(0.05-INDEX(绊状态确认!X:X,MATCH($G593,绊状态确认!$B:$B,)))*$EW$32*$EW$30*(1-$EW$33),0)</f>
        <v>-6253.6726349699375</v>
      </c>
      <c r="BJ593" s="1097">
        <f>IF(O593="vo",0.05*(1-$FI$26)*$FA$24,0)+IF(O593="sk",-(0.05-INDEX(绊状态确认!W:W,MATCH($G593,绊状态确认!$B:$B,)))*(1-$FI$26)*$FA$24+0.05*$FA$26,0)+IF(O593="sp",0.05*$FA$32*$FA$27*(1-$FA$33)/$FA$30+0.05*$FA$29/$FA$69*$FA$27*(1-$FA$33)-(0.05-INDEX(绊状态确认!V:V,MATCH($G593,绊状态确认!$B:$B,)))*$FA$26,0)+IF(O593="gd",-(0.05-INDEX(绊状态确认!X:X,MATCH($G593,绊状态确认!$B:$B,)))*$FA$32*$FA$27*(1-$FA$33)/$FA$30-(0.05-INDEX(绊状态确认!X:X,MATCH($G593,绊状态确认!$B:$B,)))*$FA$29/$FA$69*$FA$27*(1-$FA$33),0)</f>
        <v>20.459096812499922</v>
      </c>
      <c r="BK593" s="1046">
        <f>IF(O593="vo",$EW$26/$EW$24*0.05+$EW$26*(-HP($EW$62,$EW$65,$EW$64)+HP($EW$62,$EW$65,(1.05-INDEX(绊状态确认!U:U,MATCH($G593,绊状态确认!$B:$B,)))*$EW$64)),0)+IF(O593="sk",-$EW$26/$EW$24*(0.05-INDEX(绊状态确认!W:W,MATCH($G593,绊状态确认!$B:$B,)))+0.05*$EW$29,0)+IF(O593="sp",0.05*$EW$32*$EW$30*(1-$EW$33)-(0.05-INDEX(绊状态确认!V:V,MATCH($G593,绊状态确认!$B:$B,)))*$EW$29,0)+IF(O593="gd",-(0.05-INDEX(绊状态确认!X:X,MATCH($G593,绊状态确认!$B:$B,)))*$EW$32*$EW$30*(1-$EW$33)+$EW$26*(-HP($EW$62,$EW$65,$EW$64)+HP($EW$62,$EW$65,0.95*$EW$64)),0)</f>
        <v>-4253.6726349699375</v>
      </c>
      <c r="BL593" s="1048">
        <f t="shared" si="825"/>
        <v>0</v>
      </c>
      <c r="BM593" s="1046">
        <f t="shared" si="826"/>
        <v>0</v>
      </c>
      <c r="BN593" s="1167">
        <f t="shared" si="827"/>
        <v>3</v>
      </c>
      <c r="BO593" s="1035">
        <f t="shared" si="828"/>
        <v>4507.7214871259994</v>
      </c>
      <c r="BP593" s="1043">
        <f t="shared" si="829"/>
        <v>221.34103209030098</v>
      </c>
      <c r="BQ593" s="1167" t="s">
        <v>1940</v>
      </c>
      <c r="BR593" s="1165" t="s">
        <v>2075</v>
      </c>
      <c r="BS593" s="1098">
        <f>IF($P593="","N/A",IF($P593=-1,INDEX('卡片raw data'!AX:AX,MATCH($D593,'卡片raw data'!$F:$F,)),0)+IF($L593="party卡",IF($P593=5,INDEX('卡片raw data'!BD:BD,MATCH($D593,'卡片raw data'!$F:$F,)),IF($P593&gt;=3,INDEX('卡片raw data'!BC:BC,MATCH($D593,'卡片raw data'!$F:$F,)),INDEX('卡片raw data'!BB:BB,MATCH($D593,'卡片raw data'!$F:$F,)))),IF(OR(AND($F593="UR",$P593=0),AND($F593="SR",$P593&gt;=0,$P593&lt;=2),AND($F593="R",$P593&gt;=0,$P593&lt;4)),INDEX('卡片raw data'!AZ:AZ,MATCH($D593,'卡片raw data'!$F:$F,)),0)+IF(OR(AND($F593="UR",$P593&gt;=1,$P593&lt;=4),AND($F593="SR",$P593&lt;=4,$P593&gt;=3),AND($F593="R",$P593=4)),INDEX('卡片raw data'!BA:BA,MATCH($D593,'卡片raw data'!$F:$F,)),0)+IF($P593=5,INDEX('卡片raw data'!BB:BB,MATCH($D593,'卡片raw data'!$F:$F,)),0)))</f>
        <v>4.2000000000000003E-2</v>
      </c>
      <c r="BT593" s="1101">
        <f t="shared" si="830"/>
        <v>2103.6033606587998</v>
      </c>
      <c r="BU593" s="1097">
        <f t="shared" si="831"/>
        <v>90.380921436872924</v>
      </c>
      <c r="BV593" s="1097">
        <f t="shared" si="832"/>
        <v>1051.8016803293999</v>
      </c>
      <c r="BW593" s="1112">
        <f t="shared" si="833"/>
        <v>0</v>
      </c>
      <c r="BX593" s="1100">
        <f t="shared" si="834"/>
        <v>2103.6033606587998</v>
      </c>
      <c r="BY593" s="1110">
        <f t="shared" si="835"/>
        <v>1051.8016803293999</v>
      </c>
      <c r="BZ593" s="1113" t="s">
        <v>569</v>
      </c>
      <c r="CA593" s="1124"/>
      <c r="CB593" s="1098">
        <f>IF($P593="","N/A",IF($P593=-1,INDEX('卡片raw data'!BE:BE,MATCH($D593,'卡片raw data'!$F:$F,)),0)+IF($L593="party卡",IF($P593=5,INDEX('卡片raw data'!BK:BK,MATCH($D593,'卡片raw data'!$F:$F,)),IF($P593&gt;=3,INDEX('卡片raw data'!BJ:BJ,MATCH($D593,'卡片raw data'!$F:$F,)),INDEX('卡片raw data'!BI:BI,MATCH($D593,'卡片raw data'!$F:$F,)))),IF(OR(AND($F593="UR",$P593=0),AND($F593="SR",$P593&gt;=0,$P593&lt;=2),AND($F593="R",$P593&gt;=0,$P593&lt;4)),INDEX('卡片raw data'!BG:BG,MATCH($D593,'卡片raw data'!$F:$F,)),0)+IF(OR(AND($F593="UR",$P593&gt;=1,$P593&lt;=4),AND($F593="SR",$P593&lt;=4,$P593&gt;=3),AND($F593="R",$P593=4)),INDEX('卡片raw data'!BH:BH,MATCH($D593,'卡片raw data'!$F:$F,)),0)+IF($P593=5,INDEX('卡片raw data'!BI:BI,MATCH($D593,'卡片raw data'!$F:$F,)),0)))</f>
        <v>0</v>
      </c>
      <c r="CC593" s="1101">
        <f t="shared" si="873"/>
        <v>0</v>
      </c>
      <c r="CD593" s="1097">
        <f>IF(BZ593="ap",CB593*(1-$FI$26)*$FB$5/$FB$11*(+IF(CA593="全员",$FA$24,0)+IF(CA593="同作战",$FA$24,0)+IF(CA593="仲间",$FA$24*2/3,0)+IF(CA593="同属性",$FA$24*$FA$37/3,0)+IF(CA593="同年级",$FA$24*$FA$40/3,0)+IF(CA593="同学校",$FA$24*$FA$43/3,0)+IF(CA593="同小队",$FA$24*$FA$46/3,0)+IF(CA593="同type",$FA$24*INDEX($FB$49:$FB$52,MATCH(X593,$FA$49:$FA$52,))/3,0)+IF(CA593="自身",#REF!/3,0)),0)+IF(BZ593="te",CB593*(1-$FI$27)*($FA$20-1)*$FB$7/$FB$13*(+IF(CA593="全员",$FA$19*$FA$24/(1+($FA$20-1)*$FA$19),0)+IF(CA593="同作战",$FA$19*$FA$24/(1+($FA$20-1)*$FA$19),0)+IF(CA593="仲间",$FA$19*$FA$24*2/3/(1+($FA$20-1)*$FA$19),0)+IF(CA593="同属性",$FA$19*$FA$24*$FA$37/3/(1+($FA$20-1)*$FA$19),0)+IF(CA593="同年级",$FA$19*$FA$24*$FA$40/3/(1+($FA$20-1)*$FA$19),0)+IF(CA593="同学校",$FA$19*$FA$24*$FA$43/3/(1+($FA$20-1)*$FA$19),0)+IF(CA593="同小队",$FA$19*$FA$24*$FA$46/3/(1+($FA$20-1)*$FA$19),0)+IF(CA593="同type",$FA$19*$FA$24*INDEX($FB$49:$FB$52,MATCH(X593,$FA$49:$FA$52,))/3/(1+($FA$20-1)*$FA$19),0)+IF(CA593="自身",$FA$19*#REF!/3/(1+(BH593-1)*$BD593),0)),0)</f>
        <v>0</v>
      </c>
      <c r="CE593" s="1097">
        <f t="shared" si="836"/>
        <v>0</v>
      </c>
      <c r="CF593" s="1112">
        <f t="shared" si="874"/>
        <v>0</v>
      </c>
      <c r="CG593" s="1100">
        <f t="shared" si="837"/>
        <v>0</v>
      </c>
      <c r="CH593" s="1110">
        <f t="shared" si="838"/>
        <v>0</v>
      </c>
      <c r="CI593" s="1113" t="s">
        <v>162</v>
      </c>
      <c r="CJ593" s="1114">
        <v>1</v>
      </c>
      <c r="CK593" s="1115" t="s">
        <v>295</v>
      </c>
      <c r="CL593" s="1115" t="s">
        <v>2667</v>
      </c>
      <c r="CM593" s="1119">
        <v>0.1</v>
      </c>
      <c r="CN593" s="1115" t="s">
        <v>1948</v>
      </c>
      <c r="CO593" s="1115"/>
      <c r="CP593" s="1118">
        <f t="shared" si="839"/>
        <v>1.7857142857142856E-2</v>
      </c>
      <c r="CQ593" s="1118">
        <f t="shared" si="840"/>
        <v>1.6666666666666666E-2</v>
      </c>
      <c r="CR593" s="1118">
        <f t="shared" si="841"/>
        <v>0</v>
      </c>
      <c r="CS593" s="1118" t="e">
        <f t="shared" si="875"/>
        <v>#VALUE!</v>
      </c>
      <c r="CT593" s="1109">
        <f t="shared" si="876"/>
        <v>0</v>
      </c>
      <c r="CU593" s="1101">
        <f t="shared" si="842"/>
        <v>0</v>
      </c>
      <c r="CV593" s="1108">
        <f t="shared" si="870"/>
        <v>0</v>
      </c>
      <c r="CW593" s="1097">
        <f t="shared" si="843"/>
        <v>0</v>
      </c>
      <c r="CX593" s="1097">
        <f t="shared" si="844"/>
        <v>0</v>
      </c>
      <c r="CY593" s="1110">
        <f t="shared" si="845"/>
        <v>0</v>
      </c>
      <c r="CZ593" s="1113"/>
      <c r="DA593" s="1114"/>
      <c r="DB593" s="1115" t="s">
        <v>569</v>
      </c>
      <c r="DC593" s="1115"/>
      <c r="DD593" s="1119"/>
      <c r="DE593" s="1092"/>
      <c r="DF593" s="1092"/>
      <c r="DG593" s="1116">
        <f t="shared" si="846"/>
        <v>0</v>
      </c>
      <c r="DH593" s="1116">
        <f t="shared" si="847"/>
        <v>0</v>
      </c>
      <c r="DI593" s="1116">
        <f t="shared" si="848"/>
        <v>0</v>
      </c>
      <c r="DJ593" s="1118">
        <f t="shared" si="871"/>
        <v>0</v>
      </c>
      <c r="DK593" s="1109">
        <f t="shared" si="872"/>
        <v>0</v>
      </c>
      <c r="DL593" s="1101">
        <f t="shared" si="849"/>
        <v>0</v>
      </c>
      <c r="DM593" s="1097">
        <f t="shared" si="850"/>
        <v>0</v>
      </c>
      <c r="DN593" s="1097">
        <f t="shared" si="851"/>
        <v>0</v>
      </c>
      <c r="DO593" s="1097">
        <f t="shared" si="852"/>
        <v>0</v>
      </c>
      <c r="DP593" s="1110">
        <f t="shared" si="853"/>
        <v>0</v>
      </c>
      <c r="DQ593" s="1113" t="s">
        <v>545</v>
      </c>
      <c r="DR593" s="1114">
        <v>0.11</v>
      </c>
      <c r="DS593" s="1124"/>
      <c r="DT593" s="1093" t="s">
        <v>132</v>
      </c>
      <c r="DU593" s="1124"/>
      <c r="DV593" s="1098">
        <f>IF($P593="","N/A",IF(P593=-1,INDEX('卡片raw data'!AN:AN,MATCH(D593,'卡片raw data'!$F:$F,)),0)+IF(AND(L593&lt;&gt;"party卡",P593&lt;=2,P593&gt;=0),INDEX('卡片raw data'!AP:AP,MATCH(D593,'卡片raw data'!$F:$F,)),0)+IF(OR(AND(L593="party卡",P593&lt;=1),AND(P593&lt;=4,L593&lt;&gt;"party卡",P593&gt;=3)),INDEX('卡片raw data'!AQ:AQ,MATCH(D593,'卡片raw data'!$F:$F,)),0)+IF(OR(P593=5,AND(L593="party卡",P593&gt;=2)),INDEX('卡片raw data'!AR:AR,MATCH(D593,'卡片raw data'!$F:$F,)),0))</f>
        <v>0.52</v>
      </c>
      <c r="DW593" s="1098">
        <f t="shared" si="854"/>
        <v>0.16357142857142856</v>
      </c>
      <c r="DX593" s="1098">
        <f t="shared" si="855"/>
        <v>0.16</v>
      </c>
      <c r="DY593" s="1097">
        <f t="shared" si="856"/>
        <v>1377.6115585638092</v>
      </c>
      <c r="DZ593" s="1097">
        <f t="shared" si="857"/>
        <v>1046.0132698296318</v>
      </c>
      <c r="EA593" s="1098">
        <f t="shared" si="858"/>
        <v>0</v>
      </c>
      <c r="EB593" s="1121">
        <f t="shared" si="859"/>
        <v>0</v>
      </c>
      <c r="EC593" s="1101">
        <f t="shared" si="860"/>
        <v>1515.3727144201903</v>
      </c>
      <c r="ED593" s="1097">
        <f t="shared" si="861"/>
        <v>1046.0132698296318</v>
      </c>
      <c r="EE593" s="1110">
        <f t="shared" si="775"/>
        <v>1515.3727144201903</v>
      </c>
      <c r="EF593" s="1113" t="s">
        <v>569</v>
      </c>
      <c r="EG593" s="1114">
        <v>0.11</v>
      </c>
      <c r="EH593" s="1124"/>
      <c r="EI593" s="1124"/>
      <c r="EJ593" s="1124"/>
      <c r="EK593" s="1097">
        <f>IF($P593="","N/A",IF(P593=-1,INDEX('卡片raw data'!AS:AS,MATCH(D593,'卡片raw data'!$F:$F,)),0)+IF(AND(L593&lt;&gt;"party卡",P593&lt;=2,P593&gt;=0),INDEX('卡片raw data'!AU:AU,MATCH(D593,'卡片raw data'!$F:$F,)),0)+IF(OR(AND(L593="party卡",P593&lt;=1),AND(P593&lt;=4,L593&lt;&gt;"party卡",P593&gt;=3)),INDEX('卡片raw data'!AV:AV,MATCH(D593,'卡片raw data'!$F:$F,)),0)+IF(OR(P593=5,AND(L593="party卡",P593&gt;=2)),INDEX('卡片raw data'!AW:AW,MATCH(D593,'卡片raw data'!$F:$F,)),0))</f>
        <v>0</v>
      </c>
      <c r="EL593" s="1098">
        <f t="shared" si="862"/>
        <v>0.16357142857142856</v>
      </c>
      <c r="EM593" s="1098">
        <f t="shared" si="863"/>
        <v>0.16</v>
      </c>
      <c r="EN593" s="1097">
        <f t="shared" si="864"/>
        <v>0</v>
      </c>
      <c r="EO593" s="1097">
        <f t="shared" si="865"/>
        <v>0</v>
      </c>
      <c r="EP593" s="1098">
        <f t="shared" si="866"/>
        <v>0</v>
      </c>
      <c r="EQ593" s="1121">
        <f t="shared" si="867"/>
        <v>0</v>
      </c>
      <c r="ER593" s="1101">
        <f t="shared" si="868"/>
        <v>0</v>
      </c>
      <c r="ES593" s="1097">
        <f t="shared" si="869"/>
        <v>0</v>
      </c>
      <c r="ET593" s="1122">
        <f t="shared" si="776"/>
        <v>0</v>
      </c>
    </row>
    <row r="594" spans="2:150" ht="16.5" customHeight="1">
      <c r="B594" s="1123" t="str">
        <f>INDEX('卡片raw data'!B:B,MATCH($D594,'卡片raw data'!$F:$F,))</f>
        <v>四单妮</v>
      </c>
      <c r="C594" s="1025" t="s">
        <v>578</v>
      </c>
      <c r="D594" s="408">
        <v>591</v>
      </c>
      <c r="E594" s="1164">
        <v>400092007</v>
      </c>
      <c r="F594" s="1090" t="str">
        <f>INDEX('卡片raw data'!C:C,MATCH($D594,'卡片raw data'!$F:$F,))</f>
        <v>SR</v>
      </c>
      <c r="G594" s="1026" t="s">
        <v>32</v>
      </c>
      <c r="H594" s="411">
        <f>IFERROR(INDEX(绊状态确认!C:C,MATCH($G594,绊状态确认!$B:$B,)),"")</f>
        <v>9</v>
      </c>
      <c r="I594" s="450" t="str">
        <f>IFERROR(INDEX(绊状态确认!D:D,MATCH($G594,绊状态确认!$B:$B,)),"")</f>
        <v>缪</v>
      </c>
      <c r="J594" s="450" t="str">
        <f>IFERROR(INDEX(绊状态确认!E:E,MATCH($G594,绊状态确认!$B:$B,)),"")</f>
        <v>3年级</v>
      </c>
      <c r="K594" s="451" t="str">
        <f>IFERROR(INDEX(绊状态确认!F:F,MATCH($G594,绊状态确认!$B:$B,)),"")</f>
        <v>BiBi</v>
      </c>
      <c r="L594" s="1094" t="str">
        <f>INDEX('卡片raw data'!E:E,MATCH($D594,'卡片raw data'!$F:$F,))</f>
        <v>活动卡</v>
      </c>
      <c r="M594" s="1065">
        <v>44534</v>
      </c>
      <c r="N594" s="1027">
        <v>53</v>
      </c>
      <c r="O594" s="1091" t="str">
        <f>INDEX('卡片raw data'!D:D,MATCH($D594,'卡片raw data'!$F:$F,))</f>
        <v>sk</v>
      </c>
      <c r="P594" s="1126">
        <v>5</v>
      </c>
      <c r="Q594" s="1095">
        <f t="shared" si="796"/>
        <v>19502.584417695765</v>
      </c>
      <c r="R594" s="1096">
        <f t="shared" si="797"/>
        <v>0.22600000000000001</v>
      </c>
      <c r="S594" s="1097">
        <f t="shared" si="798"/>
        <v>14972.965147744208</v>
      </c>
      <c r="T594" s="1098">
        <f t="shared" si="799"/>
        <v>0.748</v>
      </c>
      <c r="U594" s="1099">
        <f t="shared" si="800"/>
        <v>439.70178068702779</v>
      </c>
      <c r="V594" s="1100">
        <f t="shared" si="801"/>
        <v>70866.995798393764</v>
      </c>
      <c r="W594" s="1101">
        <f t="shared" si="802"/>
        <v>4544.0851234896354</v>
      </c>
      <c r="X594" s="1096">
        <f t="shared" si="803"/>
        <v>5.1999999999999998E-2</v>
      </c>
      <c r="Y594" s="1097">
        <f t="shared" si="804"/>
        <v>929.38029107424427</v>
      </c>
      <c r="Z594" s="1102">
        <f t="shared" si="805"/>
        <v>11.658107318352856</v>
      </c>
      <c r="AA594" s="1103">
        <f t="shared" si="806"/>
        <v>5473.4654145638797</v>
      </c>
      <c r="AB594" s="1101">
        <f t="shared" si="807"/>
        <v>4959.6662797094614</v>
      </c>
      <c r="AC594" s="1104">
        <f t="shared" si="808"/>
        <v>5.7000000000000002E-2</v>
      </c>
      <c r="AD594" s="1105">
        <f t="shared" si="809"/>
        <v>8.0494224431818168E-2</v>
      </c>
      <c r="AE594" s="1128">
        <f t="shared" si="810"/>
        <v>34.271665883523589</v>
      </c>
      <c r="AF594" s="1130">
        <f t="shared" si="811"/>
        <v>5707.7289782489979</v>
      </c>
      <c r="AG594" s="1097">
        <f t="shared" si="812"/>
        <v>105551.574836204</v>
      </c>
      <c r="AH594" s="1097">
        <f t="shared" si="813"/>
        <v>18.492744704319307</v>
      </c>
      <c r="AI594" s="1097">
        <f t="shared" si="814"/>
        <v>92005.636194069841</v>
      </c>
      <c r="AJ594" s="1097">
        <f t="shared" si="815"/>
        <v>70866.995798393764</v>
      </c>
      <c r="AK594" s="1129">
        <f t="shared" si="816"/>
        <v>21138.640395676077</v>
      </c>
      <c r="AL594" s="1042">
        <f>IF($P594="","N/A",(IF($P594=-1,INDEX('卡片raw data'!S:S,MATCH($D594,'卡片raw data'!$F:$F,)),0)+IF($P594=0,INDEX('卡片raw data'!V:V,MATCH($D594,'卡片raw data'!$F:$F,)),0)+IF($P594=1,INDEX('卡片raw data'!Y:Y,MATCH($D594,'卡片raw data'!$F:$F,)),0)+IF($P594=2,INDEX('卡片raw data'!AB:AB,MATCH($D594,'卡片raw data'!$F:$F,)),0)+IF($P594=3,INDEX('卡片raw data'!AE:AE,MATCH($D594,'卡片raw data'!$F:$F,)),0)+IF($P594=4,INDEX('卡片raw data'!AH:AH,MATCH($D594,'卡片raw data'!$F:$F,)),0)+IF($P594=5,INDEX('卡片raw data'!AK:AK,MATCH($D594,'卡片raw data'!$F:$F,)),0)+INDEX('卡片raw data'!S:S,MATCH($D594,'卡片raw data'!$F:$F,))*(IF($F594="UR",0.04,0.033))*(IF($F594="UR",INDEX(绊状态确认!$S:$S,MATCH($G594,绊状态确认!$B:$B,))/2-40)+IF($F594="SR",INDEX(绊状态确认!$R:$R,MATCH($G594,绊状态确认!$B:$B,))/4-15))+IF($F594="R",INDEX(绊状态确认!$Q:$Q,MATCH($G594,绊状态确认!$B:$B,))/6-40/6)))*(INDEX(绊状态确认!$H:$H,MATCH($G594,绊状态确认!$B:$B,))+INDEX(绊状态确认!J:J,MATCH($G594,绊状态确认!$B:$B,)))</f>
        <v>6588.1858151999986</v>
      </c>
      <c r="AM594" s="1035">
        <f>IF($P594="","N/A",(IF($P594=-1,INDEX('卡片raw data'!T:T,MATCH($D594,'卡片raw data'!$F:$F,)),0)+IF($P594=0,INDEX('卡片raw data'!W:W,MATCH($D594,'卡片raw data'!$F:$F,)),0)+IF($P594=1,INDEX('卡片raw data'!Z:Z,MATCH($D594,'卡片raw data'!$F:$F,)),0)+IF($P594=2,INDEX('卡片raw data'!AC:AC,MATCH($D594,'卡片raw data'!$F:$F,)),0)+IF($P594=3,INDEX('卡片raw data'!AF:AF,MATCH($D594,'卡片raw data'!$F:$F,)),0)+IF($P594=4,INDEX('卡片raw data'!AI:AI,MATCH($D594,'卡片raw data'!$F:$F,)),0)+IF($P594=5,INDEX('卡片raw data'!AL:AL,MATCH($D594,'卡片raw data'!$F:$F,)),0)+INDEX('卡片raw data'!T:T,MATCH($D594,'卡片raw data'!$F:$F,))*(IF($F594="UR",0.04,0.033))*(IF($F594="UR",INDEX(绊状态确认!$S:$S,MATCH($G594,绊状态确认!$B:$B,))/2-40)+IF($F594="SR",INDEX(绊状态确认!$R:$R,MATCH($G594,绊状态确认!$B:$B,))/4-15))+IF($F594="R",INDEX(绊状态确认!$Q:$Q,MATCH($G594,绊状态确认!$B:$B,))/6-40/6)))*(INDEX(绊状态确认!$H:$H,MATCH($G594,绊状态确认!$B:$B,))+INDEX(绊状态确认!K:K,MATCH($G594,绊状态确认!$B:$B,)))</f>
        <v>5990.4030503999993</v>
      </c>
      <c r="AN594" s="1043">
        <f>IF($P594="","N/A",(IF($P594=-1,INDEX('卡片raw data'!U:U,MATCH($D594,'卡片raw data'!$F:$F,)),0)+IF($P594=0,INDEX('卡片raw data'!X:X,MATCH($D594,'卡片raw data'!$F:$F,)),0)+IF($P594=1,INDEX('卡片raw data'!AA:AA,MATCH($D594,'卡片raw data'!$F:$F,)),0)+IF($P594=2,INDEX('卡片raw data'!AD:AD,MATCH($D594,'卡片raw data'!$F:$F,)),0)+IF($P594=3,INDEX('卡片raw data'!AG:AG,MATCH($D594,'卡片raw data'!$F:$F,)),0)+IF($P594=4,INDEX('卡片raw data'!AJ:AJ,MATCH($D594,'卡片raw data'!$F:$F,)),0)+IF($P594=5,INDEX('卡片raw data'!AM:AM,MATCH($D594,'卡片raw data'!$F:$F,)),0)+INDEX('卡片raw data'!U:U,MATCH($D594,'卡片raw data'!$F:$F,))*(IF($F594="UR",0.04,0.033))*(IF($F594="UR",INDEX(绊状态确认!$S:$S,MATCH($G594,绊状态确认!$B:$B,))/2-40)+IF($F594="SR",INDEX(绊状态确认!$R:$R,MATCH($G594,绊状态确认!$B:$B,))/4-15))+IF($F594="R",INDEX(绊状态确认!$Q:$Q,MATCH($G594,绊状态确认!$B:$B,))/6-40/6)))*(INDEX(绊状态确认!$H:$H,MATCH($G594,绊状态确认!$B:$B,))+INDEX(绊状态确认!L:L,MATCH($G594,绊状态确认!$B:$B,)))</f>
        <v>7386.3158999999987</v>
      </c>
      <c r="AO594" s="1167">
        <f t="shared" si="817"/>
        <v>1</v>
      </c>
      <c r="AP594" s="1044">
        <f>1+(INDEX(绊状态确认!$T:$T,MATCH($G594,绊状态确认!$B:$B,))+0.2)*$AO594</f>
        <v>1.3</v>
      </c>
      <c r="AQ594" s="1035">
        <f t="shared" si="818"/>
        <v>20543.987764899997</v>
      </c>
      <c r="AR594" s="1035">
        <f>(AM594*(1+$EX$9)+$EX$35)*(1+(INDEX(绊状态确认!$T:$T,MATCH($G594,绊状态确认!$B:$B,))+0.2)*AO594)*IF(J594=$FF$17,1+$FE$17,1)*IF(I594=$FF$14,1+$FE$14,1)</f>
        <v>10880.900163795999</v>
      </c>
      <c r="AS594" s="1035">
        <f>(AN594*(1+$EX$10)+$EX$36)*(1+(INDEX(绊状态确认!$T:$T,MATCH($G594,绊状态确认!$B:$B,))+0.2)*AO594)*IF(J594=$FF$17,1+$FE$17,1)*IF(I594=$FF$14,1+$FE$14,1)</f>
        <v>15098.542270499996</v>
      </c>
      <c r="AT594" s="1165">
        <f>IF(AND(INDEX('卡片raw data'!AK:AK,MATCH($D594,'卡片raw data'!$F:$F,))&lt;INDEX('卡片raw data'!AM:AM,MATCH($D594,'卡片raw data'!$F:$F,)),INDEX('卡片raw data'!AL:AL,MATCH($D594,'卡片raw data'!$F:$F,))&lt;INDEX('卡片raw data'!AM:AM,MATCH($D594,'卡片raw data'!$F:$F,))),1,0)</f>
        <v>1</v>
      </c>
      <c r="AU594" s="1031">
        <f>MIN(AT594*0.15+AS594*0.00003+INDEX(绊状态确认!M:M,MATCH($G594,绊状态确认!$B:$B,)),1)</f>
        <v>0.63295626811499994</v>
      </c>
      <c r="AV594" s="1045">
        <f>(INDEX(绊状态确认!$N:$N,MATCH($G594,绊状态确认!$B:$B,))+1.5)*$EW$21</f>
        <v>2.6599999999999997</v>
      </c>
      <c r="AW594" s="1038">
        <f t="shared" si="819"/>
        <v>21879.924106289574</v>
      </c>
      <c r="AX594" s="1035">
        <f t="shared" si="820"/>
        <v>929.38029107424404</v>
      </c>
      <c r="AY594" s="483">
        <f t="shared" si="821"/>
        <v>22809.30439736382</v>
      </c>
      <c r="AZ594" s="1106">
        <f t="shared" si="822"/>
        <v>15446.962339639997</v>
      </c>
      <c r="BA594" s="1108">
        <f t="shared" si="823"/>
        <v>18536.354807567994</v>
      </c>
      <c r="BB594" s="1035">
        <f>(AM594*(1+$FB$9)+$FB$35)*(1+(INDEX(绊状态确认!$T:$T,MATCH($G594,绊状态确认!$B:$B,))+0.2)*AO594)*IF(J594=$FF$17,1+$FE$17,1)*IF(I594=$FF$14,1+$FE$14,1)*(1+$FE$15)</f>
        <v>10880.900163795999</v>
      </c>
      <c r="BC594" s="1035">
        <f>(AN594*(1+$FB$10)+$FB$36)*(1+(INDEX(绊状态确认!$T:$T,MATCH($G594,绊状态确认!$B:$B,))+0.2)*AO594)*IF(J594=$FF$17,1+$FE$17,1)*IF(I594=$FF$14,1+$FE$14,1)*(1+$FE$15)</f>
        <v>15098.542270499996</v>
      </c>
      <c r="BD594" s="481">
        <f>MIN(AT594*0.15+BC594*0.00003+INDEX(绊状态确认!M:M,MATCH($G594,绊状态确认!$B:$B,)),1)</f>
        <v>0.63295626811499994</v>
      </c>
      <c r="BE594" s="1109">
        <f>(INDEX(绊状态确认!$N:$N,MATCH($G594,绊状态确认!$B:$B,))+1.5)</f>
        <v>1.9</v>
      </c>
      <c r="BF594" s="646">
        <f t="array" ref="BF594">SUMPRODUCT(IF(AZ594*AP594*$FI$16:$FI$23*$FA$22&gt;=$FI$24,$FI$24,AZ594*AP594*$FI$16:$FI$23*$FA$22),$FJ$16:$FJ$23)</f>
        <v>30724.008093543962</v>
      </c>
      <c r="BG594" s="1047">
        <f t="array" ref="BG594">SUMPRODUCT(IF(BE594*AZ594*AP594*$FI$16:$FI$23*$FA$22&gt;=$FI$24,$FI$24,BE594*AZ594*AP594*$FI$16:$FI$23*$FA$22),$FJ$16:$FJ$23)</f>
        <v>55667.81749249596</v>
      </c>
      <c r="BH594" s="1046">
        <f t="shared" si="824"/>
        <v>15504.11620109216</v>
      </c>
      <c r="BI594" s="1048">
        <f>IF(O594="vo",$EW$26/$EW$24*0.05,0)+IF(O594="sk",-$EW$26/$EW$24*(0.05-INDEX(绊状态确认!W:W,MATCH($G594,绊状态确认!$B:$B,)))+0.05*$EW$28,0)+IF(O594="sp",0.05*$EW$32*$EW$30*(1-$EW$33)-(0.05-INDEX(绊状态确认!V:V,MATCH($G594,绊状态确认!$B:$B,)))*$EW$28,0)+IF(O594="gd",-(0.05-INDEX(绊状态确认!X:X,MATCH($G594,绊状态确认!$B:$B,)))*$EW$32*$EW$30*(1-$EW$33),0)</f>
        <v>-6253.6726349699375</v>
      </c>
      <c r="BJ594" s="1097">
        <f>IF(O594="vo",0.05*(1-$FI$26)*$FA$24,0)+IF(O594="sk",-(0.05-INDEX(绊状态确认!W:W,MATCH($G594,绊状态确认!$B:$B,)))*(1-$FI$26)*$FA$24+0.05*$FA$26,0)+IF(O594="sp",0.05*$FA$32*$FA$27*(1-$FA$33)/$FA$30+0.05*$FA$29/$FA$69*$FA$27*(1-$FA$33)-(0.05-INDEX(绊状态确认!V:V,MATCH($G594,绊状态确认!$B:$B,)))*$FA$26,0)+IF(O594="gd",-(0.05-INDEX(绊状态确认!X:X,MATCH($G594,绊状态确认!$B:$B,)))*$FA$32*$FA$27*(1-$FA$33)/$FA$30-(0.05-INDEX(绊状态确认!X:X,MATCH($G594,绊状态确认!$B:$B,)))*$FA$29/$FA$69*$FA$27*(1-$FA$33),0)</f>
        <v>20.459096812499922</v>
      </c>
      <c r="BK594" s="1046">
        <f>IF(O594="vo",$EW$26/$EW$24*0.05+$EW$26*(-HP($EW$62,$EW$65,$EW$64)+HP($EW$62,$EW$65,(1.05-INDEX(绊状态确认!U:U,MATCH($G594,绊状态确认!$B:$B,)))*$EW$64)),0)+IF(O594="sk",-$EW$26/$EW$24*(0.05-INDEX(绊状态确认!W:W,MATCH($G594,绊状态确认!$B:$B,)))+0.05*$EW$29,0)+IF(O594="sp",0.05*$EW$32*$EW$30*(1-$EW$33)-(0.05-INDEX(绊状态确认!V:V,MATCH($G594,绊状态确认!$B:$B,)))*$EW$29,0)+IF(O594="gd",-(0.05-INDEX(绊状态确认!X:X,MATCH($G594,绊状态确认!$B:$B,)))*$EW$32*$EW$30*(1-$EW$33)+$EW$26*(-HP($EW$62,$EW$65,$EW$64)+HP($EW$62,$EW$65,0.95*$EW$64)),0)</f>
        <v>-4253.6726349699375</v>
      </c>
      <c r="BL594" s="1048">
        <f t="shared" si="825"/>
        <v>-1083.3333333333333</v>
      </c>
      <c r="BM594" s="1046">
        <f t="shared" si="826"/>
        <v>-830.55555555555543</v>
      </c>
      <c r="BN594" s="1167">
        <f t="shared" si="827"/>
        <v>3</v>
      </c>
      <c r="BO594" s="1035">
        <f t="shared" si="828"/>
        <v>4507.7214871259994</v>
      </c>
      <c r="BP594" s="1043">
        <f t="shared" si="829"/>
        <v>221.34103209030098</v>
      </c>
      <c r="BQ594" s="1167" t="s">
        <v>1941</v>
      </c>
      <c r="BR594" s="1124" t="s">
        <v>166</v>
      </c>
      <c r="BS594" s="1098">
        <f>IF($P594="","N/A",IF($P594=-1,INDEX('卡片raw data'!AX:AX,MATCH($D594,'卡片raw data'!$F:$F,)),0)+IF($L594="party卡",IF($P594=5,INDEX('卡片raw data'!BD:BD,MATCH($D594,'卡片raw data'!$F:$F,)),IF($P594&gt;=3,INDEX('卡片raw data'!BC:BC,MATCH($D594,'卡片raw data'!$F:$F,)),INDEX('卡片raw data'!BB:BB,MATCH($D594,'卡片raw data'!$F:$F,)))),IF(OR(AND($F594="UR",$P594=0),AND($F594="SR",$P594&gt;=0,$P594&lt;=2),AND($F594="R",$P594&gt;=0,$P594&lt;4)),INDEX('卡片raw data'!AZ:AZ,MATCH($D594,'卡片raw data'!$F:$F,)),0)+IF(OR(AND($F594="UR",$P594&gt;=1,$P594&lt;=4),AND($F594="SR",$P594&lt;=4,$P594&gt;=3),AND($F594="R",$P594=4)),INDEX('卡片raw data'!BA:BA,MATCH($D594,'卡片raw data'!$F:$F,)),0)+IF($P594=5,INDEX('卡片raw data'!BB:BB,MATCH($D594,'卡片raw data'!$F:$F,)),0)))</f>
        <v>7.0000000000000007E-2</v>
      </c>
      <c r="BT594" s="1101">
        <f t="shared" si="830"/>
        <v>415.58115621982552</v>
      </c>
      <c r="BU594" s="1097">
        <f t="shared" si="831"/>
        <v>27.301343001772661</v>
      </c>
      <c r="BV594" s="1097">
        <f t="shared" si="832"/>
        <v>0</v>
      </c>
      <c r="BW594" s="1112">
        <f t="shared" si="833"/>
        <v>0</v>
      </c>
      <c r="BX594" s="1100">
        <f t="shared" si="834"/>
        <v>415.58115621982552</v>
      </c>
      <c r="BY594" s="1110">
        <f t="shared" si="835"/>
        <v>0</v>
      </c>
      <c r="BZ594" s="1113" t="s">
        <v>569</v>
      </c>
      <c r="CA594" s="1124"/>
      <c r="CB594" s="1098">
        <v>0</v>
      </c>
      <c r="CC594" s="1101">
        <f t="shared" si="873"/>
        <v>0</v>
      </c>
      <c r="CD594" s="1097">
        <f>IF(BZ594="ap",CB594*(1-$FI$26)*$FB$5/$FB$11*(+IF(CA594="全员",$FA$24,0)+IF(CA594="同作战",$FA$24,0)+IF(CA594="仲间",$FA$24*2/3,0)+IF(CA594="同属性",$FA$24*$FA$37/3,0)+IF(CA594="同年级",$FA$24*$FA$40/3,0)+IF(CA594="同学校",$FA$24*$FA$43/3,0)+IF(CA594="同小队",$FA$24*$FA$46/3,0)+IF(CA594="同type",$FA$24*INDEX($FB$49:$FB$52,MATCH(X594,$FA$49:$FA$52,))/3,0)+IF(CA594="自身",#REF!/3,0)),0)+IF(BZ594="te",CB594*(1-$FI$27)*($FA$20-1)*$FB$7/$FB$13*(+IF(CA594="全员",$FA$19*$FA$24/(1+($FA$20-1)*$FA$19),0)+IF(CA594="同作战",$FA$19*$FA$24/(1+($FA$20-1)*$FA$19),0)+IF(CA594="仲间",$FA$19*$FA$24*2/3/(1+($FA$20-1)*$FA$19),0)+IF(CA594="同属性",$FA$19*$FA$24*$FA$37/3/(1+($FA$20-1)*$FA$19),0)+IF(CA594="同年级",$FA$19*$FA$24*$FA$40/3/(1+($FA$20-1)*$FA$19),0)+IF(CA594="同学校",$FA$19*$FA$24*$FA$43/3/(1+($FA$20-1)*$FA$19),0)+IF(CA594="同小队",$FA$19*$FA$24*$FA$46/3/(1+($FA$20-1)*$FA$19),0)+IF(CA594="同type",$FA$19*$FA$24*INDEX($FB$49:$FB$52,MATCH(X594,$FA$49:$FA$52,))/3/(1+($FA$20-1)*$FA$19),0)+IF(CA594="自身",$FA$19*#REF!/3/(1+(BH594-1)*$BD594),0)),0)</f>
        <v>0</v>
      </c>
      <c r="CE594" s="1097">
        <f t="shared" si="836"/>
        <v>0</v>
      </c>
      <c r="CF594" s="1112">
        <f t="shared" si="874"/>
        <v>0</v>
      </c>
      <c r="CG594" s="1100">
        <f t="shared" si="837"/>
        <v>0</v>
      </c>
      <c r="CH594" s="1110">
        <f t="shared" si="838"/>
        <v>0</v>
      </c>
      <c r="CI594" s="1113" t="s">
        <v>170</v>
      </c>
      <c r="CJ594" s="1114">
        <v>0.3</v>
      </c>
      <c r="CK594" s="1115" t="s">
        <v>295</v>
      </c>
      <c r="CL594" s="1115" t="s">
        <v>161</v>
      </c>
      <c r="CM594" s="1119">
        <v>0.08</v>
      </c>
      <c r="CN594" s="1115">
        <v>10</v>
      </c>
      <c r="CO594" s="1092"/>
      <c r="CP594" s="1118">
        <f t="shared" si="839"/>
        <v>8.571428571428571E-4</v>
      </c>
      <c r="CQ594" s="1118">
        <f t="shared" si="840"/>
        <v>1.3333333333333333E-3</v>
      </c>
      <c r="CR594" s="1118">
        <f t="shared" si="841"/>
        <v>8.571428571428571E-4</v>
      </c>
      <c r="CS594" s="1118">
        <f t="shared" si="875"/>
        <v>6.1499999999999992E-2</v>
      </c>
      <c r="CT594" s="1109">
        <f t="shared" si="876"/>
        <v>0</v>
      </c>
      <c r="CU594" s="1101">
        <f t="shared" si="842"/>
        <v>36.36363636363636</v>
      </c>
      <c r="CV594" s="1108">
        <f t="shared" si="870"/>
        <v>30.303030303030301</v>
      </c>
      <c r="CW594" s="1097">
        <f t="shared" si="843"/>
        <v>36.36363636363636</v>
      </c>
      <c r="CX594" s="1097">
        <f t="shared" si="844"/>
        <v>36.36363636363636</v>
      </c>
      <c r="CY594" s="1110">
        <f t="shared" si="845"/>
        <v>36.36363636363636</v>
      </c>
      <c r="CZ594" s="1113"/>
      <c r="DA594" s="1114"/>
      <c r="DB594" s="1115" t="s">
        <v>569</v>
      </c>
      <c r="DC594" s="1115"/>
      <c r="DD594" s="1119"/>
      <c r="DE594" s="1092"/>
      <c r="DF594" s="1092"/>
      <c r="DG594" s="1116">
        <f t="shared" si="846"/>
        <v>0</v>
      </c>
      <c r="DH594" s="1116">
        <f t="shared" si="847"/>
        <v>0</v>
      </c>
      <c r="DI594" s="1116">
        <f t="shared" si="848"/>
        <v>0</v>
      </c>
      <c r="DJ594" s="1118">
        <f t="shared" si="871"/>
        <v>0</v>
      </c>
      <c r="DK594" s="1109">
        <f t="shared" si="872"/>
        <v>0</v>
      </c>
      <c r="DL594" s="1101">
        <f t="shared" si="849"/>
        <v>0</v>
      </c>
      <c r="DM594" s="1097">
        <f t="shared" si="850"/>
        <v>0</v>
      </c>
      <c r="DN594" s="1097">
        <f t="shared" si="851"/>
        <v>0</v>
      </c>
      <c r="DO594" s="1097">
        <f t="shared" si="852"/>
        <v>0</v>
      </c>
      <c r="DP594" s="1110">
        <f t="shared" si="853"/>
        <v>0</v>
      </c>
      <c r="DQ594" s="1167" t="s">
        <v>2305</v>
      </c>
      <c r="DR594" s="1120">
        <f>IF(F594="UR",0.33,0.3)</f>
        <v>0.3</v>
      </c>
      <c r="DS594" s="1165"/>
      <c r="DT594" s="1093" t="s">
        <v>134</v>
      </c>
      <c r="DU594" s="1165"/>
      <c r="DV594" s="1098">
        <f>IF($P594="","N/A",IF(P594=-1,INDEX('卡片raw data'!AN:AN,MATCH(D594,'卡片raw data'!$F:$F,)),0)+IF(AND(L594&lt;&gt;"party卡",P594&lt;=2,P594&gt;=0),INDEX('卡片raw data'!AP:AP,MATCH(D594,'卡片raw data'!$F:$F,)),0)+IF(OR(AND(L594="party卡",P594&lt;=1),AND(P594&lt;=4,L594&lt;&gt;"party卡",P594&gt;=3)),INDEX('卡片raw data'!AQ:AQ,MATCH(D594,'卡片raw data'!$F:$F,)),0)+IF(OR(P594=5,AND(L594="party卡",P594&gt;=2)),INDEX('卡片raw data'!AR:AR,MATCH(D594,'卡片raw data'!$F:$F,)),0))</f>
        <v>0.27</v>
      </c>
      <c r="DW594" s="1098">
        <f t="shared" si="854"/>
        <v>0.3</v>
      </c>
      <c r="DX594" s="1098">
        <f t="shared" si="855"/>
        <v>0.3</v>
      </c>
      <c r="DY594" s="1097">
        <f t="shared" si="856"/>
        <v>407.66064130349992</v>
      </c>
      <c r="DZ594" s="1097">
        <f t="shared" si="857"/>
        <v>352.6264547275274</v>
      </c>
      <c r="EA594" s="1098">
        <f t="shared" si="858"/>
        <v>0</v>
      </c>
      <c r="EB594" s="1121">
        <f t="shared" si="859"/>
        <v>0</v>
      </c>
      <c r="EC594" s="1101">
        <f t="shared" si="860"/>
        <v>0</v>
      </c>
      <c r="ED594" s="1097">
        <f t="shared" si="861"/>
        <v>0</v>
      </c>
      <c r="EE594" s="1110">
        <f t="shared" si="775"/>
        <v>48435.03108962375</v>
      </c>
      <c r="EF594" s="1113" t="s">
        <v>569</v>
      </c>
      <c r="EG594" s="1120">
        <f>IF(F594="UR",0.33,0.3)</f>
        <v>0.3</v>
      </c>
      <c r="EH594" s="1124"/>
      <c r="EI594" s="1124"/>
      <c r="EJ594" s="1124"/>
      <c r="EK594" s="1097">
        <f>IF($P594="","N/A",IF(P594=-1,INDEX('卡片raw data'!AS:AS,MATCH(D594,'卡片raw data'!$F:$F,)),0)+IF(AND(L594&lt;&gt;"party卡",P594&lt;=2,P594&gt;=0),INDEX('卡片raw data'!AU:AU,MATCH(D594,'卡片raw data'!$F:$F,)),0)+IF(OR(AND(L594="party卡",P594&lt;=1),AND(P594&lt;=4,L594&lt;&gt;"party卡",P594&gt;=3)),INDEX('卡片raw data'!AV:AV,MATCH(D594,'卡片raw data'!$F:$F,)),0)+IF(OR(P594=5,AND(L594="party卡",P594&gt;=2)),INDEX('卡片raw data'!AW:AW,MATCH(D594,'卡片raw data'!$F:$F,)),0))</f>
        <v>0</v>
      </c>
      <c r="EL594" s="1098">
        <f t="shared" si="862"/>
        <v>0.3</v>
      </c>
      <c r="EM594" s="1098">
        <f t="shared" si="863"/>
        <v>0.3</v>
      </c>
      <c r="EN594" s="1097">
        <f t="shared" si="864"/>
        <v>0</v>
      </c>
      <c r="EO594" s="1097">
        <f t="shared" si="865"/>
        <v>0</v>
      </c>
      <c r="EP594" s="1098">
        <f t="shared" si="866"/>
        <v>0</v>
      </c>
      <c r="EQ594" s="1121">
        <f t="shared" si="867"/>
        <v>0</v>
      </c>
      <c r="ER594" s="1101">
        <f t="shared" si="868"/>
        <v>0</v>
      </c>
      <c r="ES594" s="1097">
        <f t="shared" si="869"/>
        <v>0</v>
      </c>
      <c r="ET594" s="1122">
        <f t="shared" si="776"/>
        <v>0</v>
      </c>
    </row>
    <row r="595" spans="2:150" ht="16.5" customHeight="1">
      <c r="B595" s="1123" t="str">
        <f>INDEX('卡片raw data'!B:B,MATCH($D595,'卡片raw data'!$F:$F,))</f>
        <v>四专彼</v>
      </c>
      <c r="C595" s="1025" t="s">
        <v>657</v>
      </c>
      <c r="D595" s="408">
        <v>592</v>
      </c>
      <c r="E595" s="1164">
        <v>402062006</v>
      </c>
      <c r="F595" s="1090" t="str">
        <f>INDEX('卡片raw data'!C:C,MATCH($D595,'卡片raw data'!$F:$F,))</f>
        <v>SR</v>
      </c>
      <c r="G595" s="1026" t="s">
        <v>50</v>
      </c>
      <c r="H595" s="411">
        <f>IFERROR(INDEX(绊状态确认!C:C,MATCH($G595,绊状态确认!$B:$B,)),"")</f>
        <v>206</v>
      </c>
      <c r="I595" s="450" t="str">
        <f>IFERROR(INDEX(绊状态确认!D:D,MATCH($G595,绊状态确认!$B:$B,)),"")</f>
        <v>虹</v>
      </c>
      <c r="J595" s="450" t="str">
        <f>IFERROR(INDEX(绊状态确认!E:E,MATCH($G595,绊状态确认!$B:$B,)),"")</f>
        <v>3年级</v>
      </c>
      <c r="K595" s="451" t="str">
        <f>IFERROR(INDEX(绊状态确认!F:F,MATCH($G595,绊状态确认!$B:$B,)),"")</f>
        <v>QU4RTZ</v>
      </c>
      <c r="L595" s="1094" t="str">
        <f>INDEX('卡片raw data'!E:E,MATCH($D595,'卡片raw data'!$F:$F,))</f>
        <v>活动卡</v>
      </c>
      <c r="M595" s="1065">
        <v>44534</v>
      </c>
      <c r="N595" s="1027">
        <v>53</v>
      </c>
      <c r="O595" s="1091" t="str">
        <f>INDEX('卡片raw data'!D:D,MATCH($D595,'卡片raw data'!$F:$F,))</f>
        <v>gd</v>
      </c>
      <c r="P595" s="1126">
        <v>5</v>
      </c>
      <c r="Q595" s="1095">
        <f t="shared" si="796"/>
        <v>19246.763974648697</v>
      </c>
      <c r="R595" s="1096">
        <f t="shared" si="797"/>
        <v>0.223</v>
      </c>
      <c r="S595" s="1097">
        <f t="shared" si="798"/>
        <v>11263.058163865404</v>
      </c>
      <c r="T595" s="1098">
        <f t="shared" si="799"/>
        <v>0.56299999999999994</v>
      </c>
      <c r="U595" s="1099">
        <f t="shared" si="800"/>
        <v>414.88238751755057</v>
      </c>
      <c r="V595" s="1100">
        <f t="shared" si="801"/>
        <v>70562.623182394818</v>
      </c>
      <c r="W595" s="1101">
        <f t="shared" si="802"/>
        <v>4507.7214871259994</v>
      </c>
      <c r="X595" s="1096">
        <f t="shared" si="803"/>
        <v>5.1999999999999998E-2</v>
      </c>
      <c r="Y595" s="1097">
        <f t="shared" si="804"/>
        <v>1792.1827869990066</v>
      </c>
      <c r="Z595" s="1102">
        <f t="shared" si="805"/>
        <v>22.492020946894627</v>
      </c>
      <c r="AA595" s="1103">
        <f t="shared" si="806"/>
        <v>6299.9042741250059</v>
      </c>
      <c r="AB595" s="1101">
        <f t="shared" si="807"/>
        <v>4507.7214871259994</v>
      </c>
      <c r="AC595" s="1104">
        <f t="shared" si="808"/>
        <v>5.1999999999999998E-2</v>
      </c>
      <c r="AD595" s="1105">
        <f t="shared" si="809"/>
        <v>-3.8207812500000026E-3</v>
      </c>
      <c r="AE595" s="1128">
        <f t="shared" si="810"/>
        <v>-18.525362318840578</v>
      </c>
      <c r="AF595" s="1130">
        <f t="shared" si="811"/>
        <v>5823.817662675584</v>
      </c>
      <c r="AG595" s="1097">
        <f t="shared" si="812"/>
        <v>99630.893705259907</v>
      </c>
      <c r="AH595" s="1097">
        <f t="shared" si="813"/>
        <v>17.10748850256541</v>
      </c>
      <c r="AI595" s="1097">
        <f t="shared" si="814"/>
        <v>92890.554165030539</v>
      </c>
      <c r="AJ595" s="1097">
        <f t="shared" si="815"/>
        <v>70562.623182394818</v>
      </c>
      <c r="AK595" s="1129">
        <f t="shared" si="816"/>
        <v>22327.93098263572</v>
      </c>
      <c r="AL595" s="1042">
        <f>IF($P595="","N/A",(IF($P595=-1,INDEX('卡片raw data'!S:S,MATCH($D595,'卡片raw data'!$F:$F,)),0)+IF($P595=0,INDEX('卡片raw data'!V:V,MATCH($D595,'卡片raw data'!$F:$F,)),0)+IF($P595=1,INDEX('卡片raw data'!Y:Y,MATCH($D595,'卡片raw data'!$F:$F,)),0)+IF($P595=2,INDEX('卡片raw data'!AB:AB,MATCH($D595,'卡片raw data'!$F:$F,)),0)+IF($P595=3,INDEX('卡片raw data'!AE:AE,MATCH($D595,'卡片raw data'!$F:$F,)),0)+IF($P595=4,INDEX('卡片raw data'!AH:AH,MATCH($D595,'卡片raw data'!$F:$F,)),0)+IF($P595=5,INDEX('卡片raw data'!AK:AK,MATCH($D595,'卡片raw data'!$F:$F,)),0)+INDEX('卡片raw data'!S:S,MATCH($D595,'卡片raw data'!$F:$F,))*(IF($F595="UR",0.04,0.033))*(IF($F595="UR",INDEX(绊状态确认!$S:$S,MATCH($G595,绊状态确认!$B:$B,))/2-40)+IF($F595="SR",INDEX(绊状态确认!$R:$R,MATCH($G595,绊状态确认!$B:$B,))/4-15))+IF($F595="R",INDEX(绊状态确认!$Q:$Q,MATCH($G595,绊状态确认!$B:$B,))/6-40/6)))*(INDEX(绊状态确认!$H:$H,MATCH($G595,绊状态确认!$B:$B,))+INDEX(绊状态确认!J:J,MATCH($G595,绊状态确认!$B:$B,)))</f>
        <v>5789.9807279999995</v>
      </c>
      <c r="AM595" s="1035">
        <f>IF($P595="","N/A",(IF($P595=-1,INDEX('卡片raw data'!T:T,MATCH($D595,'卡片raw data'!$F:$F,)),0)+IF($P595=0,INDEX('卡片raw data'!W:W,MATCH($D595,'卡片raw data'!$F:$F,)),0)+IF($P595=1,INDEX('卡片raw data'!Z:Z,MATCH($D595,'卡片raw data'!$F:$F,)),0)+IF($P595=2,INDEX('卡片raw data'!AC:AC,MATCH($D595,'卡片raw data'!$F:$F,)),0)+IF($P595=3,INDEX('卡片raw data'!AF:AF,MATCH($D595,'卡片raw data'!$F:$F,)),0)+IF($P595=4,INDEX('卡片raw data'!AI:AI,MATCH($D595,'卡片raw data'!$F:$F,)),0)+IF($P595=5,INDEX('卡片raw data'!AL:AL,MATCH($D595,'卡片raw data'!$F:$F,)),0)+INDEX('卡片raw data'!T:T,MATCH($D595,'卡片raw data'!$F:$F,))*(IF($F595="UR",0.04,0.033))*(IF($F595="UR",INDEX(绊状态确认!$S:$S,MATCH($G595,绊状态确认!$B:$B,))/2-40)+IF($F595="SR",INDEX(绊状态确认!$R:$R,MATCH($G595,绊状态确认!$B:$B,))/4-15))+IF($F595="R",INDEX(绊状态确认!$Q:$Q,MATCH($G595,绊状态确认!$B:$B,))/6-40/6)))*(INDEX(绊状态确认!$H:$H,MATCH($G595,绊状态确认!$B:$B,))+INDEX(绊状态确认!K:K,MATCH($G595,绊状态确认!$B:$B,)))</f>
        <v>7987.5828671999989</v>
      </c>
      <c r="AN595" s="1043">
        <f>IF($P595="","N/A",(IF($P595=-1,INDEX('卡片raw data'!U:U,MATCH($D595,'卡片raw data'!$F:$F,)),0)+IF($P595=0,INDEX('卡片raw data'!X:X,MATCH($D595,'卡片raw data'!$F:$F,)),0)+IF($P595=1,INDEX('卡片raw data'!AA:AA,MATCH($D595,'卡片raw data'!$F:$F,)),0)+IF($P595=2,INDEX('卡片raw data'!AD:AD,MATCH($D595,'卡片raw data'!$F:$F,)),0)+IF($P595=3,INDEX('卡片raw data'!AG:AG,MATCH($D595,'卡片raw data'!$F:$F,)),0)+IF($P595=4,INDEX('卡片raw data'!AJ:AJ,MATCH($D595,'卡片raw data'!$F:$F,)),0)+IF($P595=5,INDEX('卡片raw data'!AM:AM,MATCH($D595,'卡片raw data'!$F:$F,)),0)+INDEX('卡片raw data'!U:U,MATCH($D595,'卡片raw data'!$F:$F,))*(IF($F595="UR",0.04,0.033))*(IF($F595="UR",INDEX(绊状态确认!$S:$S,MATCH($G595,绊状态确认!$B:$B,))/2-40)+IF($F595="SR",INDEX(绊状态确认!$R:$R,MATCH($G595,绊状态确认!$B:$B,))/4-15))+IF($F595="R",INDEX(绊状态确认!$Q:$Q,MATCH($G595,绊状态确认!$B:$B,))/6-40/6)))*(INDEX(绊状态确认!$H:$H,MATCH($G595,绊状态确认!$B:$B,))+INDEX(绊状态确认!L:L,MATCH($G595,绊状态确认!$B:$B,)))</f>
        <v>6187.3411703999991</v>
      </c>
      <c r="AO595" s="1167">
        <f t="shared" si="817"/>
        <v>1</v>
      </c>
      <c r="AP595" s="1044">
        <f>1+(INDEX(绊状态确认!$T:$T,MATCH($G595,绊状态确认!$B:$B,))+0.2)*$AO595</f>
        <v>1.3</v>
      </c>
      <c r="AQ595" s="1035">
        <f t="shared" si="818"/>
        <v>18448.699411000001</v>
      </c>
      <c r="AR595" s="1035">
        <f>(AM595*(1+$EX$9)+$EX$35)*(1+(INDEX(绊状态确认!$T:$T,MATCH($G595,绊状态确认!$B:$B,))+0.2)*AO595)*IF(J595=$FF$17,1+$FE$17,1)*IF(I595=$FF$14,1+$FE$14,1)</f>
        <v>13607.050613727999</v>
      </c>
      <c r="AS595" s="1035">
        <f>(AN595*(1+$EX$10)+$EX$36)*(1+(INDEX(绊状态确认!$T:$T,MATCH($G595,绊状态确认!$B:$B,))+0.2)*AO595)*IF(J595=$FF$17,1+$FE$17,1)*IF(I595=$FF$14,1+$FE$14,1)</f>
        <v>13306.075049747998</v>
      </c>
      <c r="AT595" s="1165">
        <f>IF(AND(INDEX('卡片raw data'!AK:AK,MATCH($D595,'卡片raw data'!$F:$F,))&lt;INDEX('卡片raw data'!AM:AM,MATCH($D595,'卡片raw data'!$F:$F,)),INDEX('卡片raw data'!AL:AL,MATCH($D595,'卡片raw data'!$F:$F,))&lt;INDEX('卡片raw data'!AM:AM,MATCH($D595,'卡片raw data'!$F:$F,))),1,0)</f>
        <v>0</v>
      </c>
      <c r="AU595" s="1031">
        <f>MIN(AT595*0.15+AS595*0.00003+INDEX(绊状态确认!M:M,MATCH($G595,绊状态确认!$B:$B,)),1)</f>
        <v>0.42918225149243999</v>
      </c>
      <c r="AV595" s="1045">
        <f>(INDEX(绊状态确认!$N:$N,MATCH($G595,绊状态确认!$B:$B,))+1.5)*$EW$21</f>
        <v>2.6599999999999997</v>
      </c>
      <c r="AW595" s="1038">
        <f t="shared" si="819"/>
        <v>16407.375820856028</v>
      </c>
      <c r="AX595" s="1035">
        <f t="shared" si="820"/>
        <v>1169.2248557948224</v>
      </c>
      <c r="AY595" s="483">
        <f t="shared" si="821"/>
        <v>17576.600676650851</v>
      </c>
      <c r="AZ595" s="1106">
        <f t="shared" si="822"/>
        <v>13890.462419599999</v>
      </c>
      <c r="BA595" s="1108">
        <f t="shared" si="823"/>
        <v>16668.554903519998</v>
      </c>
      <c r="BB595" s="1035">
        <f>(AM595*(1+$FB$9)+$FB$35)*(1+(INDEX(绊状态确认!$T:$T,MATCH($G595,绊状态确认!$B:$B,))+0.2)*AO595)*IF(J595=$FF$17,1+$FE$17,1)*IF(I595=$FF$14,1+$FE$14,1)*(1+$FE$15)</f>
        <v>13607.050613727999</v>
      </c>
      <c r="BC595" s="1035">
        <f>(AN595*(1+$FB$10)+$FB$36)*(1+(INDEX(绊状态确认!$T:$T,MATCH($G595,绊状态确认!$B:$B,))+0.2)*AO595)*IF(J595=$FF$17,1+$FE$17,1)*IF(I595=$FF$14,1+$FE$14,1)*(1+$FE$15)</f>
        <v>13306.075049747998</v>
      </c>
      <c r="BD595" s="481">
        <f>MIN(AT595*0.15+BC595*0.00003+INDEX(绊状态确认!M:M,MATCH($G595,绊状态确认!$B:$B,)),1)</f>
        <v>0.42918225149243999</v>
      </c>
      <c r="BE595" s="1109">
        <f>(INDEX(绊状态确认!$N:$N,MATCH($G595,绊状态确认!$B:$B,))+1.5)</f>
        <v>1.9</v>
      </c>
      <c r="BF595" s="646">
        <f t="array" ref="BF595">SUMPRODUCT(IF(AZ595*AP595*$FI$16:$FI$23*$FA$22&gt;=$FI$24,$FI$24,AZ595*AP595*$FI$16:$FI$23*$FA$22),$FJ$16:$FJ$23)</f>
        <v>27628.129752584402</v>
      </c>
      <c r="BG595" s="1047">
        <f t="array" ref="BG595">SUMPRODUCT(IF(BE595*AZ595*AP595*$FI$16:$FI$23*$FA$22&gt;=$FI$24,$FI$24,BE595*AZ595*AP595*$FI$16:$FI$23*$FA$22),$FJ$16:$FJ$23)</f>
        <v>51798.952924637924</v>
      </c>
      <c r="BH595" s="1046">
        <f t="shared" si="824"/>
        <v>12667.272687330658</v>
      </c>
      <c r="BI595" s="1048">
        <f>IF(O595="vo",$EW$26/$EW$24*0.05,0)+IF(O595="sk",-$EW$26/$EW$24*(0.05-INDEX(绊状态确认!W:W,MATCH($G595,绊状态确认!$B:$B,)))+0.05*$EW$28,0)+IF(O595="sp",0.05*$EW$32*$EW$30*(1-$EW$33)-(0.05-INDEX(绊状态确认!V:V,MATCH($G595,绊状态确认!$B:$B,)))*$EW$28,0)+IF(O595="gd",-(0.05-INDEX(绊状态确认!X:X,MATCH($G595,绊状态确认!$B:$B,)))*$EW$32*$EW$30*(1-$EW$33),0)</f>
        <v>-585.00000000000011</v>
      </c>
      <c r="BJ595" s="1097">
        <f>IF(O595="vo",0.05*(1-$FI$26)*$FA$24,0)+IF(O595="sk",-(0.05-INDEX(绊状态确认!W:W,MATCH($G595,绊状态确认!$B:$B,)))*(1-$FI$26)*$FA$24+0.05*$FA$26,0)+IF(O595="sp",0.05*$FA$32*$FA$27*(1-$FA$33)/$FA$30+0.05*$FA$29/$FA$69*$FA$27*(1-$FA$33)-(0.05-INDEX(绊状态确认!V:V,MATCH($G595,绊状态确认!$B:$B,)))*$FA$26,0)+IF(O595="gd",-(0.05-INDEX(绊状态确认!X:X,MATCH($G595,绊状态确认!$B:$B,)))*$FA$32*$FA$27*(1-$FA$33)/$FA$30-(0.05-INDEX(绊状态确认!X:X,MATCH($G595,绊状态确认!$B:$B,)))*$FA$29/$FA$69*$FA$27*(1-$FA$33),0)</f>
        <v>-795.00000000000011</v>
      </c>
      <c r="BK595" s="1046">
        <f>IF(O595="vo",$EW$26/$EW$24*0.05+$EW$26*(-HP($EW$62,$EW$65,$EW$64)+HP($EW$62,$EW$65,(1.05-INDEX(绊状态确认!U:U,MATCH($G595,绊状态确认!$B:$B,)))*$EW$64)),0)+IF(O595="sk",-$EW$26/$EW$24*(0.05-INDEX(绊状态确认!W:W,MATCH($G595,绊状态确认!$B:$B,)))+0.05*$EW$29,0)+IF(O595="sp",0.05*$EW$32*$EW$30*(1-$EW$33)-(0.05-INDEX(绊状态确认!V:V,MATCH($G595,绊状态确认!$B:$B,)))*$EW$29,0)+IF(O595="gd",-(0.05-INDEX(绊状态确认!X:X,MATCH($G595,绊状态确认!$B:$B,)))*$EW$32*$EW$30*(1-$EW$33)+$EW$26*(-HP($EW$62,$EW$65,$EW$64)+HP($EW$62,$EW$65,0.95*$EW$64)),0)</f>
        <v>1009.5947725176144</v>
      </c>
      <c r="BL595" s="1048">
        <f t="shared" si="825"/>
        <v>-1083.3333333333333</v>
      </c>
      <c r="BM595" s="1046">
        <f t="shared" si="826"/>
        <v>-830.55555555555543</v>
      </c>
      <c r="BN595" s="1167">
        <f t="shared" si="827"/>
        <v>3</v>
      </c>
      <c r="BO595" s="1035">
        <f t="shared" si="828"/>
        <v>4507.7214871259994</v>
      </c>
      <c r="BP595" s="1043">
        <f t="shared" si="829"/>
        <v>221.34103209030098</v>
      </c>
      <c r="BQ595" s="1167" t="s">
        <v>1943</v>
      </c>
      <c r="BR595" s="1124" t="s">
        <v>169</v>
      </c>
      <c r="BS595" s="1098">
        <f>IF($P595="","N/A",IF($P595=-1,INDEX('卡片raw data'!AX:AX,MATCH($D595,'卡片raw data'!$F:$F,)),0)+IF($L595="party卡",IF($P595=5,INDEX('卡片raw data'!BD:BD,MATCH($D595,'卡片raw data'!$F:$F,)),IF($P595&gt;=3,INDEX('卡片raw data'!BC:BC,MATCH($D595,'卡片raw data'!$F:$F,)),INDEX('卡片raw data'!BB:BB,MATCH($D595,'卡片raw data'!$F:$F,)))),IF(OR(AND($F595="UR",$P595=0),AND($F595="SR",$P595&gt;=0,$P595&lt;=2),AND($F595="R",$P595&gt;=0,$P595&lt;4)),INDEX('卡片raw data'!AZ:AZ,MATCH($D595,'卡片raw data'!$F:$F,)),0)+IF(OR(AND($F595="UR",$P595&gt;=1,$P595&lt;=4),AND($F595="SR",$P595&lt;=4,$P595&gt;=3),AND($F595="R",$P595=4)),INDEX('卡片raw data'!BA:BA,MATCH($D595,'卡片raw data'!$F:$F,)),0)+IF($P595=5,INDEX('卡片raw data'!BB:BB,MATCH($D595,'卡片raw data'!$F:$F,)),0)))</f>
        <v>3.2000000000000001E-2</v>
      </c>
      <c r="BT595" s="1101">
        <f t="shared" si="830"/>
        <v>0</v>
      </c>
      <c r="BU595" s="1097">
        <f t="shared" si="831"/>
        <v>0</v>
      </c>
      <c r="BV595" s="1097">
        <f t="shared" si="832"/>
        <v>0</v>
      </c>
      <c r="BW595" s="1112">
        <f t="shared" si="833"/>
        <v>1.498285714285714</v>
      </c>
      <c r="BX595" s="1100">
        <f t="shared" si="834"/>
        <v>117.00848980993118</v>
      </c>
      <c r="BY595" s="1110">
        <f t="shared" si="835"/>
        <v>117.00848980993118</v>
      </c>
      <c r="BZ595" s="1113" t="s">
        <v>569</v>
      </c>
      <c r="CA595" s="1124"/>
      <c r="CB595" s="1098">
        <v>0</v>
      </c>
      <c r="CC595" s="1101">
        <f t="shared" si="873"/>
        <v>0</v>
      </c>
      <c r="CD595" s="1097">
        <f>IF(BZ595="ap",CB595*(1-$FI$26)*$FB$5/$FB$11*(+IF(CA595="全员",$FA$24,0)+IF(CA595="同作战",$FA$24,0)+IF(CA595="仲间",$FA$24*2/3,0)+IF(CA595="同属性",$FA$24*$FA$37/3,0)+IF(CA595="同年级",$FA$24*$FA$40/3,0)+IF(CA595="同学校",$FA$24*$FA$43/3,0)+IF(CA595="同小队",$FA$24*$FA$46/3,0)+IF(CA595="同type",$FA$24*INDEX($FB$49:$FB$52,MATCH(X595,$FA$49:$FA$52,))/3,0)+IF(CA595="自身",#REF!/3,0)),0)+IF(BZ595="te",CB595*(1-$FI$27)*($FA$20-1)*$FB$7/$FB$13*(+IF(CA595="全员",$FA$19*$FA$24/(1+($FA$20-1)*$FA$19),0)+IF(CA595="同作战",$FA$19*$FA$24/(1+($FA$20-1)*$FA$19),0)+IF(CA595="仲间",$FA$19*$FA$24*2/3/(1+($FA$20-1)*$FA$19),0)+IF(CA595="同属性",$FA$19*$FA$24*$FA$37/3/(1+($FA$20-1)*$FA$19),0)+IF(CA595="同年级",$FA$19*$FA$24*$FA$40/3/(1+($FA$20-1)*$FA$19),0)+IF(CA595="同学校",$FA$19*$FA$24*$FA$43/3/(1+($FA$20-1)*$FA$19),0)+IF(CA595="同小队",$FA$19*$FA$24*$FA$46/3/(1+($FA$20-1)*$FA$19),0)+IF(CA595="同type",$FA$19*$FA$24*INDEX($FB$49:$FB$52,MATCH(X595,$FA$49:$FA$52,))/3/(1+($FA$20-1)*$FA$19),0)+IF(CA595="自身",$FA$19*#REF!/3/(1+(BH595-1)*$BD595),0)),0)</f>
        <v>0</v>
      </c>
      <c r="CE595" s="1097">
        <f t="shared" si="836"/>
        <v>0</v>
      </c>
      <c r="CF595" s="1112">
        <f t="shared" si="874"/>
        <v>0</v>
      </c>
      <c r="CG595" s="1100">
        <f t="shared" si="837"/>
        <v>0</v>
      </c>
      <c r="CH595" s="1110">
        <f t="shared" si="838"/>
        <v>0</v>
      </c>
      <c r="CI595" s="1113" t="s">
        <v>288</v>
      </c>
      <c r="CJ595" s="1114">
        <v>1</v>
      </c>
      <c r="CK595" s="1115" t="s">
        <v>2080</v>
      </c>
      <c r="CL595" s="1115" t="s">
        <v>1943</v>
      </c>
      <c r="CM595" s="1119">
        <v>0.13200000000000001</v>
      </c>
      <c r="CN595" s="1115"/>
      <c r="CO595" s="1115">
        <v>1</v>
      </c>
      <c r="CP595" s="1116">
        <f t="shared" si="839"/>
        <v>6.4147524321860567</v>
      </c>
      <c r="CQ595" s="1116">
        <f t="shared" si="840"/>
        <v>9.9785037834005337</v>
      </c>
      <c r="CR595" s="1117">
        <f t="shared" si="841"/>
        <v>6.4147524321860567</v>
      </c>
      <c r="CS595" s="1118">
        <f t="shared" si="875"/>
        <v>0</v>
      </c>
      <c r="CT595" s="1109">
        <f t="shared" si="876"/>
        <v>0</v>
      </c>
      <c r="CU595" s="1101">
        <f t="shared" si="842"/>
        <v>0</v>
      </c>
      <c r="CV595" s="1108">
        <f t="shared" si="870"/>
        <v>0</v>
      </c>
      <c r="CW595" s="1097">
        <f t="shared" si="843"/>
        <v>0</v>
      </c>
      <c r="CX595" s="1097">
        <f t="shared" si="844"/>
        <v>0</v>
      </c>
      <c r="CY595" s="1110">
        <f t="shared" si="845"/>
        <v>505.94944139425314</v>
      </c>
      <c r="CZ595" s="437"/>
      <c r="DA595" s="438"/>
      <c r="DB595" s="1115" t="s">
        <v>569</v>
      </c>
      <c r="DC595" s="1115"/>
      <c r="DD595" s="1119"/>
      <c r="DE595" s="1092"/>
      <c r="DF595" s="1092"/>
      <c r="DG595" s="1116">
        <f t="shared" si="846"/>
        <v>0</v>
      </c>
      <c r="DH595" s="1116">
        <f t="shared" si="847"/>
        <v>0</v>
      </c>
      <c r="DI595" s="1116">
        <f t="shared" si="848"/>
        <v>0</v>
      </c>
      <c r="DJ595" s="1118">
        <f t="shared" si="871"/>
        <v>0</v>
      </c>
      <c r="DK595" s="1109">
        <f t="shared" si="872"/>
        <v>0</v>
      </c>
      <c r="DL595" s="1101">
        <f t="shared" si="849"/>
        <v>0</v>
      </c>
      <c r="DM595" s="1097">
        <f t="shared" si="850"/>
        <v>0</v>
      </c>
      <c r="DN595" s="1097">
        <f t="shared" si="851"/>
        <v>0</v>
      </c>
      <c r="DO595" s="1097">
        <f t="shared" si="852"/>
        <v>0</v>
      </c>
      <c r="DP595" s="1110">
        <f t="shared" si="853"/>
        <v>0</v>
      </c>
      <c r="DQ595" s="1167" t="s">
        <v>636</v>
      </c>
      <c r="DR595" s="1120">
        <f>IF(F595="UR",0.33,0.3)</f>
        <v>0.3</v>
      </c>
      <c r="DS595" s="1165"/>
      <c r="DT595" s="1093" t="s">
        <v>133</v>
      </c>
      <c r="DU595" s="1124"/>
      <c r="DV595" s="1098">
        <f>IF($P595="","N/A",IF(P595=-1,INDEX('卡片raw data'!AN:AN,MATCH(D595,'卡片raw data'!$F:$F,)),0)+IF(AND(L595&lt;&gt;"party卡",P595&lt;=2,P595&gt;=0),INDEX('卡片raw data'!AP:AP,MATCH(D595,'卡片raw data'!$F:$F,)),0)+IF(OR(AND(L595="party卡",P595&lt;=1),AND(P595&lt;=4,L595&lt;&gt;"party卡",P595&gt;=3)),INDEX('卡片raw data'!AQ:AQ,MATCH(D595,'卡片raw data'!$F:$F,)),0)+IF(OR(P595=5,AND(L595="party卡",P595&gt;=2)),INDEX('卡片raw data'!AR:AR,MATCH(D595,'卡片raw data'!$F:$F,)),0))</f>
        <v>0.27</v>
      </c>
      <c r="DW595" s="1098">
        <f t="shared" si="854"/>
        <v>0.3</v>
      </c>
      <c r="DX595" s="1098">
        <f t="shared" si="855"/>
        <v>0.3</v>
      </c>
      <c r="DY595" s="1097">
        <f t="shared" si="856"/>
        <v>367.39036657065594</v>
      </c>
      <c r="DZ595" s="1097">
        <f t="shared" si="857"/>
        <v>317.7926670836174</v>
      </c>
      <c r="EA595" s="1098">
        <f t="shared" si="858"/>
        <v>0</v>
      </c>
      <c r="EB595" s="1121">
        <f t="shared" si="859"/>
        <v>0</v>
      </c>
      <c r="EC595" s="1101">
        <f t="shared" si="860"/>
        <v>0</v>
      </c>
      <c r="ED595" s="1097">
        <f t="shared" si="861"/>
        <v>0</v>
      </c>
      <c r="EE595" s="1110">
        <f t="shared" si="775"/>
        <v>48435.03108962375</v>
      </c>
      <c r="EF595" s="1113" t="s">
        <v>569</v>
      </c>
      <c r="EG595" s="1120">
        <f>IF(F595="UR",0.33,0.3)</f>
        <v>0.3</v>
      </c>
      <c r="EH595" s="1124"/>
      <c r="EI595" s="1124"/>
      <c r="EJ595" s="1124"/>
      <c r="EK595" s="1097">
        <f>IF($P595="","N/A",IF(P595=-1,INDEX('卡片raw data'!AS:AS,MATCH(D595,'卡片raw data'!$F:$F,)),0)+IF(AND(L595&lt;&gt;"party卡",P595&lt;=2,P595&gt;=0),INDEX('卡片raw data'!AU:AU,MATCH(D595,'卡片raw data'!$F:$F,)),0)+IF(OR(AND(L595="party卡",P595&lt;=1),AND(P595&lt;=4,L595&lt;&gt;"party卡",P595&gt;=3)),INDEX('卡片raw data'!AV:AV,MATCH(D595,'卡片raw data'!$F:$F,)),0)+IF(OR(P595=5,AND(L595="party卡",P595&gt;=2)),INDEX('卡片raw data'!AW:AW,MATCH(D595,'卡片raw data'!$F:$F,)),0))</f>
        <v>0</v>
      </c>
      <c r="EL595" s="1098">
        <f t="shared" si="862"/>
        <v>0.3</v>
      </c>
      <c r="EM595" s="1098">
        <f t="shared" si="863"/>
        <v>0.3</v>
      </c>
      <c r="EN595" s="1097">
        <f t="shared" si="864"/>
        <v>0</v>
      </c>
      <c r="EO595" s="1097">
        <f t="shared" si="865"/>
        <v>0</v>
      </c>
      <c r="EP595" s="1098">
        <f t="shared" si="866"/>
        <v>0</v>
      </c>
      <c r="EQ595" s="1121">
        <f t="shared" si="867"/>
        <v>0</v>
      </c>
      <c r="ER595" s="1101">
        <f t="shared" si="868"/>
        <v>0</v>
      </c>
      <c r="ES595" s="1097">
        <f t="shared" si="869"/>
        <v>0</v>
      </c>
      <c r="ET595" s="1122">
        <f t="shared" si="776"/>
        <v>0</v>
      </c>
    </row>
    <row r="596" spans="2:150" ht="16.5" customHeight="1">
      <c r="B596" s="1123" t="str">
        <f>INDEX('卡片raw data'!B:B,MATCH($D596,'卡片raw data'!$F:$F,))</f>
        <v>prt绘</v>
      </c>
      <c r="C596" s="1025" t="s">
        <v>4826</v>
      </c>
      <c r="D596" s="408">
        <v>593</v>
      </c>
      <c r="E596" s="1164">
        <v>300023002</v>
      </c>
      <c r="F596" s="1090" t="str">
        <f>INDEX('卡片raw data'!C:C,MATCH($D596,'卡片raw data'!$F:$F,))</f>
        <v>UR</v>
      </c>
      <c r="G596" s="1026" t="s">
        <v>4827</v>
      </c>
      <c r="H596" s="411">
        <f>IFERROR(INDEX(绊状态确认!C:C,MATCH($G596,绊状态确认!$B:$B,)),"")</f>
        <v>2</v>
      </c>
      <c r="I596" s="1124" t="str">
        <f>IFERROR(INDEX(绊状态确认!D:D,MATCH($G596,绊状态确认!$B:$B,)),"")</f>
        <v>缪</v>
      </c>
      <c r="J596" s="1124" t="str">
        <f>IFERROR(INDEX(绊状态确认!E:E,MATCH($G596,绊状态确认!$B:$B,)),"")</f>
        <v>3年级</v>
      </c>
      <c r="K596" s="451" t="str">
        <f>IFERROR(INDEX(绊状态确认!F:F,MATCH($G596,绊状态确认!$B:$B,)),"")</f>
        <v>BiBi</v>
      </c>
      <c r="L596" s="1094" t="str">
        <f>INDEX('卡片raw data'!E:E,MATCH($D596,'卡片raw data'!$F:$F,))</f>
        <v>party卡</v>
      </c>
      <c r="M596" s="1065">
        <v>44544</v>
      </c>
      <c r="N596" s="1027">
        <v>53.5</v>
      </c>
      <c r="O596" s="1091" t="str">
        <f>INDEX('卡片raw data'!D:D,MATCH($D596,'卡片raw data'!$F:$F,))</f>
        <v>sk</v>
      </c>
      <c r="P596" s="1126">
        <v>5</v>
      </c>
      <c r="Q596" s="1095">
        <f t="shared" si="796"/>
        <v>62051.540474235095</v>
      </c>
      <c r="R596" s="1096">
        <f t="shared" si="797"/>
        <v>0.72099999999999997</v>
      </c>
      <c r="S596" s="1097">
        <f t="shared" si="798"/>
        <v>21636.924020925766</v>
      </c>
      <c r="T596" s="1098">
        <f t="shared" si="799"/>
        <v>1.081</v>
      </c>
      <c r="U596" s="1099">
        <f t="shared" si="800"/>
        <v>1117.8877084274372</v>
      </c>
      <c r="V596" s="1100">
        <f t="shared" si="801"/>
        <v>113526.35154616814</v>
      </c>
      <c r="W596" s="1101">
        <f t="shared" si="802"/>
        <v>12284.864539447322</v>
      </c>
      <c r="X596" s="1096">
        <f t="shared" si="803"/>
        <v>0.14199999999999999</v>
      </c>
      <c r="Y596" s="1097">
        <f t="shared" si="804"/>
        <v>1039.779982309301</v>
      </c>
      <c r="Z596" s="1102">
        <f t="shared" si="805"/>
        <v>13.006931132742857</v>
      </c>
      <c r="AA596" s="1103">
        <f t="shared" si="806"/>
        <v>13324.644521756623</v>
      </c>
      <c r="AB596" s="1101">
        <f t="shared" si="807"/>
        <v>12284.864539447321</v>
      </c>
      <c r="AC596" s="1104">
        <f t="shared" si="808"/>
        <v>0.14199999999999999</v>
      </c>
      <c r="AD596" s="1105">
        <f t="shared" si="809"/>
        <v>2.1769318181818181E-2</v>
      </c>
      <c r="AE596" s="1128">
        <f t="shared" si="810"/>
        <v>11.953757704745847</v>
      </c>
      <c r="AF596" s="1130">
        <f t="shared" si="811"/>
        <v>13392.494270238716</v>
      </c>
      <c r="AG596" s="1097">
        <f t="shared" si="812"/>
        <v>104292.67260944001</v>
      </c>
      <c r="AH596" s="1097">
        <f t="shared" si="813"/>
        <v>7.7873972170518639</v>
      </c>
      <c r="AI596" s="1097">
        <f t="shared" si="814"/>
        <v>126941.579516381</v>
      </c>
      <c r="AJ596" s="1097">
        <f t="shared" si="815"/>
        <v>113526.35154616814</v>
      </c>
      <c r="AK596" s="1129">
        <f t="shared" si="816"/>
        <v>13415.227970212858</v>
      </c>
      <c r="AL596" s="1042">
        <f>IF($P596="","N/A",(IF($P596=-1,INDEX('卡片raw data'!S:S,MATCH($D596,'卡片raw data'!$F:$F,)),0)+IF($P596=0,INDEX('卡片raw data'!V:V,MATCH($D596,'卡片raw data'!$F:$F,)),0)+IF($P596=1,INDEX('卡片raw data'!Y:Y,MATCH($D596,'卡片raw data'!$F:$F,)),0)+IF($P596=2,INDEX('卡片raw data'!AB:AB,MATCH($D596,'卡片raw data'!$F:$F,)),0)+IF($P596=3,INDEX('卡片raw data'!AE:AE,MATCH($D596,'卡片raw data'!$F:$F,)),0)+IF($P596=4,INDEX('卡片raw data'!AH:AH,MATCH($D596,'卡片raw data'!$F:$F,)),0)+IF($P596=5,INDEX('卡片raw data'!AK:AK,MATCH($D596,'卡片raw data'!$F:$F,)),0)+INDEX('卡片raw data'!S:S,MATCH($D596,'卡片raw data'!$F:$F,))*(IF($F596="UR",0.04,0.033))*(IF($F596="UR",INDEX(绊状态确认!$S:$S,MATCH($G596,绊状态确认!$B:$B,))/2-40)+IF($F596="SR",INDEX(绊状态确认!$R:$R,MATCH($G596,绊状态确认!$B:$B,))/4-15))+IF($F596="R",INDEX(绊状态确认!$Q:$Q,MATCH($G596,绊状态确认!$B:$B,))/6-40/6)))*(INDEX(绊状态确认!$H:$H,MATCH($G596,绊状态确认!$B:$B,))+INDEX(绊状态确认!J:J,MATCH($G596,绊状态确认!$B:$B,)))</f>
        <v>14210.091071999997</v>
      </c>
      <c r="AM596" s="1035">
        <f>IF($P596="","N/A",(IF($P596=-1,INDEX('卡片raw data'!T:T,MATCH($D596,'卡片raw data'!$F:$F,)),0)+IF($P596=0,INDEX('卡片raw data'!W:W,MATCH($D596,'卡片raw data'!$F:$F,)),0)+IF($P596=1,INDEX('卡片raw data'!Z:Z,MATCH($D596,'卡片raw data'!$F:$F,)),0)+IF($P596=2,INDEX('卡片raw data'!AC:AC,MATCH($D596,'卡片raw data'!$F:$F,)),0)+IF($P596=3,INDEX('卡片raw data'!AF:AF,MATCH($D596,'卡片raw data'!$F:$F,)),0)+IF($P596=4,INDEX('卡片raw data'!AI:AI,MATCH($D596,'卡片raw data'!$F:$F,)),0)+IF($P596=5,INDEX('卡片raw data'!AL:AL,MATCH($D596,'卡片raw data'!$F:$F,)),0)+INDEX('卡片raw data'!T:T,MATCH($D596,'卡片raw data'!$F:$F,))*(IF($F596="UR",0.04,0.033))*(IF($F596="UR",INDEX(绊状态确认!$S:$S,MATCH($G596,绊状态确认!$B:$B,))/2-40)+IF($F596="SR",INDEX(绊状态确认!$R:$R,MATCH($G596,绊状态确认!$B:$B,))/4-15))+IF($F596="R",INDEX(绊状态确认!$Q:$Q,MATCH($G596,绊状态确认!$B:$B,))/6-40/6)))*(INDEX(绊状态确认!$H:$H,MATCH($G596,绊状态确认!$B:$B,))+INDEX(绊状态确认!K:K,MATCH($G596,绊状态确认!$B:$B,)))</f>
        <v>6912.6757439999992</v>
      </c>
      <c r="AN596" s="1043">
        <f>IF($P596="","N/A",(IF($P596=-1,INDEX('卡片raw data'!U:U,MATCH($D596,'卡片raw data'!$F:$F,)),0)+IF($P596=0,INDEX('卡片raw data'!X:X,MATCH($D596,'卡片raw data'!$F:$F,)),0)+IF($P596=1,INDEX('卡片raw data'!AA:AA,MATCH($D596,'卡片raw data'!$F:$F,)),0)+IF($P596=2,INDEX('卡片raw data'!AD:AD,MATCH($D596,'卡片raw data'!$F:$F,)),0)+IF($P596=3,INDEX('卡片raw data'!AG:AG,MATCH($D596,'卡片raw data'!$F:$F,)),0)+IF($P596=4,INDEX('卡片raw data'!AJ:AJ,MATCH($D596,'卡片raw data'!$F:$F,)),0)+IF($P596=5,INDEX('卡片raw data'!AM:AM,MATCH($D596,'卡片raw data'!$F:$F,)),0)+INDEX('卡片raw data'!U:U,MATCH($D596,'卡片raw data'!$F:$F,))*(IF($F596="UR",0.04,0.033))*(IF($F596="UR",INDEX(绊状态确认!$S:$S,MATCH($G596,绊状态确认!$B:$B,))/2-40)+IF($F596="SR",INDEX(绊状态确认!$R:$R,MATCH($G596,绊状态确认!$B:$B,))/4-15))+IF($F596="R",INDEX(绊状态确认!$Q:$Q,MATCH($G596,绊状态确认!$B:$B,))/6-40/6)))*(INDEX(绊状态确认!$H:$H,MATCH($G596,绊状态确认!$B:$B,))+INDEX(绊状态确认!L:L,MATCH($G596,绊状态确认!$B:$B,)))</f>
        <v>17282.916671999996</v>
      </c>
      <c r="AO596" s="1167">
        <f t="shared" si="817"/>
        <v>1</v>
      </c>
      <c r="AP596" s="1044">
        <f>1+(INDEX(绊状态确认!$T:$T,MATCH($G596,绊状态确认!$B:$B,))+0.2)*$AO596</f>
        <v>1.3</v>
      </c>
      <c r="AQ596" s="1035">
        <f t="shared" si="818"/>
        <v>40551.489063999994</v>
      </c>
      <c r="AR596" s="1035">
        <f>(AM596*(1+$EX$9)+$EX$35)*(1+(INDEX(绊状态确认!$T:$T,MATCH($G596,绊状态确认!$B:$B,))+0.2)*AO596)*IF(J596=$FF$17,1+$FE$17,1)*IF(I596=$FF$14,1+$FE$14,1)</f>
        <v>12139.80239056</v>
      </c>
      <c r="AS596" s="1035">
        <f>(AN596*(1+$EX$10)+$EX$36)*(1+(INDEX(绊状态确认!$T:$T,MATCH($G596,绊状态确认!$B:$B,))+0.2)*AO596)*IF(J596=$FF$17,1+$FE$17,1)*IF(I596=$FF$14,1+$FE$14,1)</f>
        <v>29893.960424639994</v>
      </c>
      <c r="AT596" s="1165">
        <f>IF(AND(INDEX('卡片raw data'!AK:AK,MATCH($D596,'卡片raw data'!$F:$F,))&lt;INDEX('卡片raw data'!AM:AM,MATCH($D596,'卡片raw data'!$F:$F,)),INDEX('卡片raw data'!AL:AL,MATCH($D596,'卡片raw data'!$F:$F,))&lt;INDEX('卡片raw data'!AM:AM,MATCH($D596,'卡片raw data'!$F:$F,))),1,0)</f>
        <v>1</v>
      </c>
      <c r="AU596" s="1031">
        <f>MIN(AT596*0.15+AS596*0.00003+INDEX(绊状态确认!M:M,MATCH($G596,绊状态确认!$B:$B,)),1)</f>
        <v>1</v>
      </c>
      <c r="AV596" s="1045">
        <f>(INDEX(绊状态确认!$N:$N,MATCH($G596,绊状态确认!$B:$B,))+1.5)*$EW$21</f>
        <v>2.6599999999999997</v>
      </c>
      <c r="AW596" s="1038">
        <f t="shared" si="819"/>
        <v>56020.348569757713</v>
      </c>
      <c r="AX596" s="1035">
        <f t="shared" si="820"/>
        <v>1039.7799823093005</v>
      </c>
      <c r="AY596" s="483">
        <f t="shared" si="821"/>
        <v>57060.128552067014</v>
      </c>
      <c r="AZ596" s="1106">
        <f t="shared" si="822"/>
        <v>30309.677590399995</v>
      </c>
      <c r="BA596" s="1108">
        <f t="shared" si="823"/>
        <v>36371.613108479993</v>
      </c>
      <c r="BB596" s="1035">
        <f>(AM596*(1+$FB$9)+$FB$35)*(1+(INDEX(绊状态确认!$T:$T,MATCH($G596,绊状态确认!$B:$B,))+0.2)*AO596)*IF(J596=$FF$17,1+$FE$17,1)*IF(I596=$FF$14,1+$FE$14,1)*(1+$FE$15)</f>
        <v>12139.80239056</v>
      </c>
      <c r="BC596" s="1035">
        <f>(AN596*(1+$FB$10)+$FB$36)*(1+(INDEX(绊状态确认!$T:$T,MATCH($G596,绊状态确认!$B:$B,))+0.2)*AO596)*IF(J596=$FF$17,1+$FE$17,1)*IF(I596=$FF$14,1+$FE$14,1)*(1+$FE$15)</f>
        <v>29893.960424639994</v>
      </c>
      <c r="BD596" s="481">
        <f>MIN(AT596*0.15+BC596*0.00003+INDEX(绊状态确认!M:M,MATCH($G596,绊状态确认!$B:$B,)),1)</f>
        <v>1</v>
      </c>
      <c r="BE596" s="1109">
        <f>(INDEX(绊状态确认!$N:$N,MATCH($G596,绊状态确认!$B:$B,))+1.5)</f>
        <v>1.9</v>
      </c>
      <c r="BF596" s="646">
        <f t="array" ref="BF596">SUMPRODUCT(IF(AZ596*AP596*$FI$16:$FI$23*$FA$22&gt;=$FI$24,$FI$24,AZ596*AP596*$FI$16:$FI$23*$FA$22),$FJ$16:$FJ$23)</f>
        <v>56704.142120041593</v>
      </c>
      <c r="BG596" s="1047">
        <f t="array" ref="BG596">SUMPRODUCT(IF(BE596*AZ596*AP596*$FI$16:$FI$23*$FA$22&gt;=$FI$24,$FI$24,BE596*AZ596*AP596*$FI$16:$FI$23*$FA$22),$FJ$16:$FJ$23)</f>
        <v>60000</v>
      </c>
      <c r="BH596" s="1046">
        <f t="shared" si="824"/>
        <v>20000</v>
      </c>
      <c r="BI596" s="1048">
        <f>IF(O596="vo",$EW$26/$EW$24*0.05,0)+IF(O596="sk",-$EW$26/$EW$24*(0.05-INDEX(绊状态确认!W:W,MATCH($G596,绊状态确认!$B:$B,)))+0.05*$EW$28,0)+IF(O596="sp",0.05*$EW$32*$EW$30*(1-$EW$33)-(0.05-INDEX(绊状态确认!V:V,MATCH($G596,绊状态确认!$B:$B,)))*$EW$28,0)+IF(O596="gd",-(0.05-INDEX(绊状态确认!X:X,MATCH($G596,绊状态确认!$B:$B,)))*$EW$32*$EW$30*(1-$EW$33),0)</f>
        <v>-6253.6726349699375</v>
      </c>
      <c r="BJ596" s="1097">
        <f>IF(O596="vo",0.05*(1-$FI$26)*$FA$24,0)+IF(O596="sk",-(0.05-INDEX(绊状态确认!W:W,MATCH($G596,绊状态确认!$B:$B,)))*(1-$FI$26)*$FA$24+0.05*$FA$26,0)+IF(O596="sp",0.05*$FA$32*$FA$27*(1-$FA$33)/$FA$30+0.05*$FA$29/$FA$69*$FA$27*(1-$FA$33)-(0.05-INDEX(绊状态确认!V:V,MATCH($G596,绊状态确认!$B:$B,)))*$FA$26,0)+IF(O596="gd",-(0.05-INDEX(绊状态确认!X:X,MATCH($G596,绊状态确认!$B:$B,)))*$FA$32*$FA$27*(1-$FA$33)/$FA$30-(0.05-INDEX(绊状态确认!X:X,MATCH($G596,绊状态确认!$B:$B,)))*$FA$29/$FA$69*$FA$27*(1-$FA$33),0)</f>
        <v>20.459096812499922</v>
      </c>
      <c r="BK596" s="1046">
        <f>IF(O596="vo",$EW$26/$EW$24*0.05+$EW$26*(-HP($EW$62,$EW$65,$EW$64)+HP($EW$62,$EW$65,(1.05-INDEX(绊状态确认!U:U,MATCH($G596,绊状态确认!$B:$B,)))*$EW$64)),0)+IF(O596="sk",-$EW$26/$EW$24*(0.05-INDEX(绊状态确认!W:W,MATCH($G596,绊状态确认!$B:$B,)))+0.05*$EW$29,0)+IF(O596="sp",0.05*$EW$32*$EW$30*(1-$EW$33)-(0.05-INDEX(绊状态确认!V:V,MATCH($G596,绊状态确认!$B:$B,)))*$EW$29,0)+IF(O596="gd",-(0.05-INDEX(绊状态确认!X:X,MATCH($G596,绊状态确认!$B:$B,)))*$EW$32*$EW$30*(1-$EW$33)+$EW$26*(-HP($EW$62,$EW$65,$EW$64)+HP($EW$62,$EW$65,0.95*$EW$64)),0)</f>
        <v>-4253.6726349699375</v>
      </c>
      <c r="BL596" s="1048">
        <f t="shared" si="825"/>
        <v>0</v>
      </c>
      <c r="BM596" s="1046">
        <f t="shared" si="826"/>
        <v>0</v>
      </c>
      <c r="BN596" s="1167">
        <f t="shared" si="827"/>
        <v>4</v>
      </c>
      <c r="BO596" s="1035">
        <f t="shared" si="828"/>
        <v>6010.2953161679998</v>
      </c>
      <c r="BP596" s="1043">
        <f t="shared" si="829"/>
        <v>295.12137612040135</v>
      </c>
      <c r="BQ596" s="1113" t="s">
        <v>1940</v>
      </c>
      <c r="BR596" s="1124" t="s">
        <v>1947</v>
      </c>
      <c r="BS596" s="1098">
        <f>IF($P596="","N/A",IF($P596=-1,INDEX('卡片raw data'!AX:AX,MATCH($D596,'卡片raw data'!$F:$F,)),0)+IF($L596="party卡",IF($P596=5,INDEX('卡片raw data'!BD:BD,MATCH($D596,'卡片raw data'!$F:$F,)),IF($P596&gt;=3,INDEX('卡片raw data'!BC:BC,MATCH($D596,'卡片raw data'!$F:$F,)),INDEX('卡片raw data'!BB:BB,MATCH($D596,'卡片raw data'!$F:$F,)))),IF(OR(AND($F596="UR",$P596=0),AND($F596="SR",$P596&gt;=0,$P596&lt;=2),AND($F596="R",$P596&gt;=0,$P596&lt;4)),INDEX('卡片raw data'!AZ:AZ,MATCH($D596,'卡片raw data'!$F:$F,)),0)+IF(OR(AND($F596="UR",$P596&gt;=1,$P596&lt;=4),AND($F596="SR",$P596&lt;=4,$P596&gt;=3),AND($F596="R",$P596=4)),INDEX('卡片raw data'!BA:BA,MATCH($D596,'卡片raw data'!$F:$F,)),0)+IF($P596=5,INDEX('卡片raw data'!BB:BB,MATCH($D596,'卡片raw data'!$F:$F,)),0)))</f>
        <v>5.1999999999999998E-2</v>
      </c>
      <c r="BT596" s="1101">
        <f t="shared" si="830"/>
        <v>3906.6919555091999</v>
      </c>
      <c r="BU596" s="1097">
        <f t="shared" si="831"/>
        <v>191.82889447826088</v>
      </c>
      <c r="BV596" s="1097">
        <f t="shared" si="832"/>
        <v>3906.6919555091999</v>
      </c>
      <c r="BW596" s="1112">
        <f t="shared" si="833"/>
        <v>0</v>
      </c>
      <c r="BX596" s="1100">
        <f t="shared" si="834"/>
        <v>3906.6919555091999</v>
      </c>
      <c r="BY596" s="1110">
        <f t="shared" si="835"/>
        <v>3906.6919555091999</v>
      </c>
      <c r="BZ596" s="1113" t="s">
        <v>134</v>
      </c>
      <c r="CA596" s="1124" t="s">
        <v>161</v>
      </c>
      <c r="CB596" s="1098">
        <f>IF($P596="","N/A",IF($P596=-1,INDEX('卡片raw data'!BE:BE,MATCH($D596,'卡片raw data'!$F:$F,)),0)+IF($L596="party卡",IF($P596=5,INDEX('卡片raw data'!BK:BK,MATCH($D596,'卡片raw data'!$F:$F,)),IF($P596&gt;=3,INDEX('卡片raw data'!BJ:BJ,MATCH($D596,'卡片raw data'!$F:$F,)),INDEX('卡片raw data'!BI:BI,MATCH($D596,'卡片raw data'!$F:$F,)))),IF(OR(AND($F596="UR",$P596=0),AND($F596="SR",$P596&gt;=0,$P596&lt;=2),AND($F596="R",$P596&gt;=0,$P596&lt;4)),INDEX('卡片raw data'!BG:BG,MATCH($D596,'卡片raw data'!$F:$F,)),0)+IF(OR(AND($F596="UR",$P596&gt;=1,$P596&lt;=4),AND($F596="SR",$P596&lt;=4,$P596&gt;=3),AND($F596="R",$P596=4)),INDEX('卡片raw data'!BH:BH,MATCH($D596,'卡片raw data'!$F:$F,)),0)+IF($P596=5,INDEX('卡片raw data'!BI:BI,MATCH($D596,'卡片raw data'!$F:$F,)),0)))</f>
        <v>2.5999999999999999E-2</v>
      </c>
      <c r="CC596" s="1101">
        <f t="shared" si="873"/>
        <v>1839.394753120235</v>
      </c>
      <c r="CD596" s="1097">
        <f>IF(BZ596="ap",CB596*(1-$FI$26)*$FB$5/$FB$11*(+IF(CA596="全员",$FA$24,0)+IF(CA596="同作战",$FA$24,0)+IF(CA596="仲间",$FA$24*2/3,0)+IF(CA596="同属性",$FA$24*$FA$37/3,0)+IF(CA596="同年级",$FA$24*$FA$40/3,0)+IF(CA596="同学校",$FA$24*$FA$43/3,0)+IF(CA596="同小队",$FA$24*$FA$46/3,0)+IF(CA596="同type",$FA$24*INDEX($FB$49:$FB$52,MATCH(X596,$FA$49:$FA$52,))/3,0)+IF(CA596="自身",#REF!/3,0)),0)+IF(BZ596="te",CB596*(1-$FI$27)*($FA$20-1)*$FB$7/$FB$13*(+IF(CA596="全员",$FA$19*$FA$24/(1+($FA$20-1)*$FA$19),0)+IF(CA596="同作战",$FA$19*$FA$24/(1+($FA$20-1)*$FA$19),0)+IF(CA596="仲间",$FA$19*$FA$24*2/3/(1+($FA$20-1)*$FA$19),0)+IF(CA596="同属性",$FA$19*$FA$24*$FA$37/3/(1+($FA$20-1)*$FA$19),0)+IF(CA596="同年级",$FA$19*$FA$24*$FA$40/3/(1+($FA$20-1)*$FA$19),0)+IF(CA596="同学校",$FA$19*$FA$24*$FA$43/3/(1+($FA$20-1)*$FA$19),0)+IF(CA596="同小队",$FA$19*$FA$24*$FA$46/3/(1+($FA$20-1)*$FA$19),0)+IF(CA596="同type",$FA$19*$FA$24*INDEX($FB$49:$FB$52,MATCH(X596,$FA$49:$FA$52,))/3/(1+($FA$20-1)*$FA$19),0)+IF(CA596="自身",$FA$19*#REF!/3/(1+(BH596-1)*$BD596),0)),0)</f>
        <v>133.0493060266021</v>
      </c>
      <c r="CE596" s="1097">
        <f t="shared" si="836"/>
        <v>1839.3947531202352</v>
      </c>
      <c r="CF596" s="1112">
        <f t="shared" si="874"/>
        <v>0</v>
      </c>
      <c r="CG596" s="1100">
        <f t="shared" si="837"/>
        <v>1839.394753120235</v>
      </c>
      <c r="CH596" s="1110">
        <f t="shared" si="838"/>
        <v>1839.3947531202352</v>
      </c>
      <c r="CI596" s="1113" t="s">
        <v>160</v>
      </c>
      <c r="CJ596" s="1114">
        <v>1</v>
      </c>
      <c r="CK596" s="1115" t="s">
        <v>2046</v>
      </c>
      <c r="CL596" s="1115" t="s">
        <v>1941</v>
      </c>
      <c r="CM596" s="1119">
        <v>0.3</v>
      </c>
      <c r="CN596" s="1115"/>
      <c r="CO596" s="1115">
        <v>20</v>
      </c>
      <c r="CP596" s="1116">
        <f t="shared" si="839"/>
        <v>480.43864968171414</v>
      </c>
      <c r="CQ596" s="1116">
        <f t="shared" si="840"/>
        <v>996.46534748799979</v>
      </c>
      <c r="CR596" s="1117">
        <f t="shared" si="841"/>
        <v>480.43864968171414</v>
      </c>
      <c r="CS596" s="1118">
        <f t="shared" si="875"/>
        <v>0</v>
      </c>
      <c r="CT596" s="1109">
        <f t="shared" si="876"/>
        <v>0</v>
      </c>
      <c r="CU596" s="1101">
        <f t="shared" si="842"/>
        <v>528.48251464988562</v>
      </c>
      <c r="CV596" s="1108">
        <f t="shared" si="870"/>
        <v>996.46534748799979</v>
      </c>
      <c r="CW596" s="1097">
        <f t="shared" si="843"/>
        <v>528.48251464988562</v>
      </c>
      <c r="CX596" s="1097">
        <f t="shared" si="844"/>
        <v>528.48251464988562</v>
      </c>
      <c r="CY596" s="1110">
        <f t="shared" si="845"/>
        <v>528.48251464988562</v>
      </c>
      <c r="CZ596" s="1113"/>
      <c r="DA596" s="1114"/>
      <c r="DB596" s="1115" t="s">
        <v>569</v>
      </c>
      <c r="DC596" s="1115"/>
      <c r="DD596" s="1119"/>
      <c r="DE596" s="1092"/>
      <c r="DF596" s="1092"/>
      <c r="DG596" s="1116">
        <f t="shared" si="846"/>
        <v>0</v>
      </c>
      <c r="DH596" s="1116">
        <f t="shared" si="847"/>
        <v>0</v>
      </c>
      <c r="DI596" s="1116">
        <f t="shared" si="848"/>
        <v>0</v>
      </c>
      <c r="DJ596" s="1118">
        <f t="shared" si="871"/>
        <v>0</v>
      </c>
      <c r="DK596" s="1109">
        <f t="shared" si="872"/>
        <v>0</v>
      </c>
      <c r="DL596" s="1101">
        <f t="shared" si="849"/>
        <v>0</v>
      </c>
      <c r="DM596" s="1097">
        <f t="shared" si="850"/>
        <v>0</v>
      </c>
      <c r="DN596" s="1097">
        <f t="shared" si="851"/>
        <v>0</v>
      </c>
      <c r="DO596" s="1097">
        <f t="shared" si="852"/>
        <v>0</v>
      </c>
      <c r="DP596" s="1110">
        <f t="shared" si="853"/>
        <v>0</v>
      </c>
      <c r="DQ596" s="1167" t="s">
        <v>2305</v>
      </c>
      <c r="DR596" s="1120">
        <v>0.33</v>
      </c>
      <c r="DS596" s="1165"/>
      <c r="DT596" s="1093" t="s">
        <v>134</v>
      </c>
      <c r="DU596" s="1165"/>
      <c r="DV596" s="1098">
        <f>IF($P596="","N/A",IF(P596=-1,INDEX('卡片raw data'!AN:AN,MATCH(D596,'卡片raw data'!$F:$F,)),0)+IF(AND(L596&lt;&gt;"party卡",P596&lt;=2,P596&gt;=0),INDEX('卡片raw data'!AP:AP,MATCH(D596,'卡片raw data'!$F:$F,)),0)+IF(OR(AND(L596="party卡",P596&lt;=1),AND(P596&lt;=4,L596&lt;&gt;"party卡",P596&gt;=3)),INDEX('卡片raw data'!AQ:AQ,MATCH(D596,'卡片raw data'!$F:$F,)),0)+IF(OR(P596=5,AND(L596="party卡",P596&gt;=2)),INDEX('卡片raw data'!AR:AR,MATCH(D596,'卡片raw data'!$F:$F,)),0))</f>
        <v>0.32</v>
      </c>
      <c r="DW596" s="1098">
        <f t="shared" si="854"/>
        <v>0.33</v>
      </c>
      <c r="DX596" s="1098">
        <f t="shared" si="855"/>
        <v>0.33</v>
      </c>
      <c r="DY596" s="1097">
        <f t="shared" si="856"/>
        <v>1052.2674069473278</v>
      </c>
      <c r="DZ596" s="1097">
        <f t="shared" si="857"/>
        <v>910.21130700943854</v>
      </c>
      <c r="EA596" s="1098">
        <f t="shared" si="858"/>
        <v>0</v>
      </c>
      <c r="EB596" s="1121">
        <f t="shared" si="859"/>
        <v>0</v>
      </c>
      <c r="EC596" s="1101">
        <f t="shared" si="860"/>
        <v>0</v>
      </c>
      <c r="ED596" s="1097">
        <f t="shared" si="861"/>
        <v>0</v>
      </c>
      <c r="EE596" s="1110">
        <f t="shared" si="775"/>
        <v>48435.03108962375</v>
      </c>
      <c r="EF596" s="1113" t="s">
        <v>569</v>
      </c>
      <c r="EG596" s="1120">
        <v>0.33</v>
      </c>
      <c r="EH596" s="1124"/>
      <c r="EI596" s="1124"/>
      <c r="EJ596" s="1124"/>
      <c r="EK596" s="1097">
        <f>IF($P596="","N/A",IF(P596=-1,INDEX('卡片raw data'!AS:AS,MATCH(D596,'卡片raw data'!$F:$F,)),0)+IF(AND(L596&lt;&gt;"party卡",P596&lt;=2,P596&gt;=0),INDEX('卡片raw data'!AU:AU,MATCH(D596,'卡片raw data'!$F:$F,)),0)+IF(OR(AND(L596="party卡",P596&lt;=1),AND(P596&lt;=4,L596&lt;&gt;"party卡",P596&gt;=3)),INDEX('卡片raw data'!AV:AV,MATCH(D596,'卡片raw data'!$F:$F,)),0)+IF(OR(P596=5,AND(L596="party卡",P596&gt;=2)),INDEX('卡片raw data'!AW:AW,MATCH(D596,'卡片raw data'!$F:$F,)),0))</f>
        <v>0</v>
      </c>
      <c r="EL596" s="1098">
        <f t="shared" si="862"/>
        <v>0.33</v>
      </c>
      <c r="EM596" s="1098">
        <f t="shared" si="863"/>
        <v>0.33</v>
      </c>
      <c r="EN596" s="1097">
        <f t="shared" si="864"/>
        <v>0</v>
      </c>
      <c r="EO596" s="1097">
        <f t="shared" si="865"/>
        <v>0</v>
      </c>
      <c r="EP596" s="1098">
        <f t="shared" si="866"/>
        <v>0</v>
      </c>
      <c r="EQ596" s="1121">
        <f t="shared" si="867"/>
        <v>0</v>
      </c>
      <c r="ER596" s="1101">
        <f t="shared" si="868"/>
        <v>0</v>
      </c>
      <c r="ES596" s="1097">
        <f t="shared" si="869"/>
        <v>0</v>
      </c>
      <c r="ET596" s="1122">
        <f t="shared" si="776"/>
        <v>0</v>
      </c>
    </row>
    <row r="597" spans="2:150" ht="16.5" customHeight="1">
      <c r="B597" s="1123" t="str">
        <f>INDEX('卡片raw data'!B:B,MATCH($D597,'卡片raw data'!$F:$F,))</f>
        <v>四专林</v>
      </c>
      <c r="C597" s="1025" t="s">
        <v>4829</v>
      </c>
      <c r="D597" s="408">
        <v>594</v>
      </c>
      <c r="E597" s="1164">
        <v>302042003</v>
      </c>
      <c r="F597" s="1090" t="str">
        <f>INDEX('卡片raw data'!C:C,MATCH($D597,'卡片raw data'!$F:$F,))</f>
        <v>SR</v>
      </c>
      <c r="G597" s="1026" t="s">
        <v>4830</v>
      </c>
      <c r="H597" s="411">
        <f>IFERROR(INDEX(绊状态确认!C:C,MATCH($G597,绊状态确认!$B:$B,)),"")</f>
        <v>204</v>
      </c>
      <c r="I597" s="450" t="str">
        <f>IFERROR(INDEX(绊状态确认!D:D,MATCH($G597,绊状态确认!$B:$B,)),"")</f>
        <v>虹</v>
      </c>
      <c r="J597" s="450" t="str">
        <f>IFERROR(INDEX(绊状态确认!E:E,MATCH($G597,绊状态确认!$B:$B,)),"")</f>
        <v>3年级</v>
      </c>
      <c r="K597" s="451" t="str">
        <f>IFERROR(INDEX(绊状态确认!F:F,MATCH($G597,绊状态确认!$B:$B,)),"")</f>
        <v>Diver Diva</v>
      </c>
      <c r="L597" s="1094" t="str">
        <f>INDEX('卡片raw data'!E:E,MATCH($D597,'卡片raw data'!$F:$F,))</f>
        <v>卡池卡</v>
      </c>
      <c r="M597" s="1065">
        <v>44544</v>
      </c>
      <c r="N597" s="1027">
        <v>53.5</v>
      </c>
      <c r="O597" s="1091" t="str">
        <f>INDEX('卡片raw data'!D:D,MATCH($D597,'卡片raw data'!$F:$F,))</f>
        <v>vo</v>
      </c>
      <c r="P597" s="1126">
        <v>5</v>
      </c>
      <c r="Q597" s="1095">
        <f t="shared" si="796"/>
        <v>41591.328832067346</v>
      </c>
      <c r="R597" s="1096">
        <f t="shared" si="797"/>
        <v>0.48299999999999998</v>
      </c>
      <c r="S597" s="1097">
        <f t="shared" si="798"/>
        <v>16568.424693650177</v>
      </c>
      <c r="T597" s="1098">
        <f t="shared" si="799"/>
        <v>0.82799999999999996</v>
      </c>
      <c r="U597" s="1099">
        <f t="shared" si="800"/>
        <v>-11.446043124357143</v>
      </c>
      <c r="V597" s="1100">
        <f t="shared" si="801"/>
        <v>41371.388295109646</v>
      </c>
      <c r="W597" s="1101">
        <f t="shared" si="802"/>
        <v>5649.0515247691528</v>
      </c>
      <c r="X597" s="1096">
        <f t="shared" si="803"/>
        <v>6.5000000000000002E-2</v>
      </c>
      <c r="Y597" s="1097">
        <f t="shared" si="804"/>
        <v>1084.7279132840031</v>
      </c>
      <c r="Z597" s="1102">
        <f t="shared" si="805"/>
        <v>13.553956875642857</v>
      </c>
      <c r="AA597" s="1103">
        <f t="shared" si="806"/>
        <v>6733.7794380531559</v>
      </c>
      <c r="AB597" s="1101">
        <f t="shared" si="807"/>
        <v>6790.3815624123044</v>
      </c>
      <c r="AC597" s="1104">
        <f t="shared" si="808"/>
        <v>7.8E-2</v>
      </c>
      <c r="AD597" s="1105">
        <f t="shared" si="809"/>
        <v>-3.8207812500000026E-3</v>
      </c>
      <c r="AE597" s="1128">
        <f t="shared" si="810"/>
        <v>-12.27536231884058</v>
      </c>
      <c r="AF597" s="1130">
        <f t="shared" si="811"/>
        <v>0</v>
      </c>
      <c r="AG597" s="1097">
        <f t="shared" si="812"/>
        <v>0</v>
      </c>
      <c r="AH597" s="1097">
        <f t="shared" si="813"/>
        <v>0</v>
      </c>
      <c r="AI597" s="1097">
        <f t="shared" si="814"/>
        <v>0</v>
      </c>
      <c r="AJ597" s="1097">
        <f t="shared" si="815"/>
        <v>0</v>
      </c>
      <c r="AK597" s="1129">
        <f t="shared" si="816"/>
        <v>0</v>
      </c>
      <c r="AL597" s="1042">
        <f>IF($P597="","N/A",(IF($P597=-1,INDEX('卡片raw data'!S:S,MATCH($D597,'卡片raw data'!$F:$F,)),0)+IF($P597=0,INDEX('卡片raw data'!V:V,MATCH($D597,'卡片raw data'!$F:$F,)),0)+IF($P597=1,INDEX('卡片raw data'!Y:Y,MATCH($D597,'卡片raw data'!$F:$F,)),0)+IF($P597=2,INDEX('卡片raw data'!AB:AB,MATCH($D597,'卡片raw data'!$F:$F,)),0)+IF($P597=3,INDEX('卡片raw data'!AE:AE,MATCH($D597,'卡片raw data'!$F:$F,)),0)+IF($P597=4,INDEX('卡片raw data'!AH:AH,MATCH($D597,'卡片raw data'!$F:$F,)),0)+IF($P597=5,INDEX('卡片raw data'!AK:AK,MATCH($D597,'卡片raw data'!$F:$F,)),0)+INDEX('卡片raw data'!S:S,MATCH($D597,'卡片raw data'!$F:$F,))*(IF($F597="UR",0.04,0.033))*(IF($F597="UR",INDEX(绊状态确认!$S:$S,MATCH($G597,绊状态确认!$B:$B,))/2-40)+IF($F597="SR",INDEX(绊状态确认!$R:$R,MATCH($G597,绊状态确认!$B:$B,))/4-15))+IF($F597="R",INDEX(绊状态确认!$Q:$Q,MATCH($G597,绊状态确认!$B:$B,))/6-40/6)))*(INDEX(绊状态确认!$H:$H,MATCH($G597,绊状态确认!$B:$B,))+INDEX(绊状态确认!J:J,MATCH($G597,绊状态确认!$B:$B,)))</f>
        <v>9169.2115871999995</v>
      </c>
      <c r="AM597" s="1035">
        <f>IF($P597="","N/A",(IF($P597=-1,INDEX('卡片raw data'!T:T,MATCH($D597,'卡片raw data'!$F:$F,)),0)+IF($P597=0,INDEX('卡片raw data'!W:W,MATCH($D597,'卡片raw data'!$F:$F,)),0)+IF($P597=1,INDEX('卡片raw data'!Z:Z,MATCH($D597,'卡片raw data'!$F:$F,)),0)+IF($P597=2,INDEX('卡片raw data'!AC:AC,MATCH($D597,'卡片raw data'!$F:$F,)),0)+IF($P597=3,INDEX('卡片raw data'!AF:AF,MATCH($D597,'卡片raw data'!$F:$F,)),0)+IF($P597=4,INDEX('卡片raw data'!AI:AI,MATCH($D597,'卡片raw data'!$F:$F,)),0)+IF($P597=5,INDEX('卡片raw data'!AL:AL,MATCH($D597,'卡片raw data'!$F:$F,)),0)+INDEX('卡片raw data'!T:T,MATCH($D597,'卡片raw data'!$F:$F,))*(IF($F597="UR",0.04,0.033))*(IF($F597="UR",INDEX(绊状态确认!$S:$S,MATCH($G597,绊状态确认!$B:$B,))/2-40)+IF($F597="SR",INDEX(绊状态确认!$R:$R,MATCH($G597,绊状态确认!$B:$B,))/4-15))+IF($F597="R",INDEX(绊状态确认!$Q:$Q,MATCH($G597,绊状态确认!$B:$B,))/6-40/6)))*(INDEX(绊状态确认!$H:$H,MATCH($G597,绊状态确认!$B:$B,))+INDEX(绊状态确认!K:K,MATCH($G597,绊状态确认!$B:$B,)))</f>
        <v>7286.7104399999998</v>
      </c>
      <c r="AN597" s="1043">
        <f>IF($P597="","N/A",(IF($P597=-1,INDEX('卡片raw data'!U:U,MATCH($D597,'卡片raw data'!$F:$F,)),0)+IF($P597=0,INDEX('卡片raw data'!X:X,MATCH($D597,'卡片raw data'!$F:$F,)),0)+IF($P597=1,INDEX('卡片raw data'!AA:AA,MATCH($D597,'卡片raw data'!$F:$F,)),0)+IF($P597=2,INDEX('卡片raw data'!AD:AD,MATCH($D597,'卡片raw data'!$F:$F,)),0)+IF($P597=3,INDEX('卡片raw data'!AG:AG,MATCH($D597,'卡片raw data'!$F:$F,)),0)+IF($P597=4,INDEX('卡片raw data'!AJ:AJ,MATCH($D597,'卡片raw data'!$F:$F,)),0)+IF($P597=5,INDEX('卡片raw data'!AM:AM,MATCH($D597,'卡片raw data'!$F:$F,)),0)+INDEX('卡片raw data'!U:U,MATCH($D597,'卡片raw data'!$F:$F,))*(IF($F597="UR",0.04,0.033))*(IF($F597="UR",INDEX(绊状态确认!$S:$S,MATCH($G597,绊状态确认!$B:$B,))/2-40)+IF($F597="SR",INDEX(绊状态确认!$R:$R,MATCH($G597,绊状态确认!$B:$B,))/4-15))+IF($F597="R",INDEX(绊状态确认!$Q:$Q,MATCH($G597,绊状态确认!$B:$B,))/6-40/6)))*(INDEX(绊状态确认!$H:$H,MATCH($G597,绊状态确认!$B:$B,))+INDEX(绊状态确认!L:L,MATCH($G597,绊状态确认!$B:$B,)))</f>
        <v>7053.8688983999991</v>
      </c>
      <c r="AO597" s="1167">
        <f t="shared" si="817"/>
        <v>1</v>
      </c>
      <c r="AP597" s="1044">
        <f>1+(INDEX(绊状态确认!$T:$T,MATCH($G597,绊状态确认!$B:$B,))+0.2)*$AO597</f>
        <v>1.3</v>
      </c>
      <c r="AQ597" s="1035">
        <f t="shared" si="818"/>
        <v>27319.180416399999</v>
      </c>
      <c r="AR597" s="1035">
        <f>(AM597*(1+$EX$9)+$EX$35)*(1+(INDEX(绊状态确认!$T:$T,MATCH($G597,绊状态确认!$B:$B,))+0.2)*AO597)*IF(J597=$FF$17,1+$FE$17,1)*IF(I597=$FF$14,1+$FE$14,1)</f>
        <v>12650.359750600001</v>
      </c>
      <c r="AS597" s="1035">
        <f>(AN597*(1+$EX$10)+$EX$36)*(1+(INDEX(绊状态确认!$T:$T,MATCH($G597,绊状态确认!$B:$B,))+0.2)*AO597)*IF(J597=$FF$17,1+$FE$17,1)*IF(I597=$FF$14,1+$FE$14,1)</f>
        <v>14601.534003107998</v>
      </c>
      <c r="AT597" s="1165">
        <f>IF(AND(INDEX('卡片raw data'!AK:AK,MATCH($D597,'卡片raw data'!$F:$F,))&lt;INDEX('卡片raw data'!AM:AM,MATCH($D597,'卡片raw data'!$F:$F,)),INDEX('卡片raw data'!AL:AL,MATCH($D597,'卡片raw data'!$F:$F,))&lt;INDEX('卡片raw data'!AM:AM,MATCH($D597,'卡片raw data'!$F:$F,))),1,0)</f>
        <v>0</v>
      </c>
      <c r="AU597" s="1031">
        <f>MIN(AT597*0.15+AS597*0.00003+INDEX(绊状态确认!M:M,MATCH($G597,绊状态确认!$B:$B,)),1)</f>
        <v>0.46804602009323998</v>
      </c>
      <c r="AV597" s="1045">
        <f>(INDEX(绊状态确认!$N:$N,MATCH($G597,绊状态确认!$B:$B,))+1.5)*$EW$21</f>
        <v>2.6599999999999997</v>
      </c>
      <c r="AW597" s="1038">
        <f t="shared" si="819"/>
        <v>25211.68082546414</v>
      </c>
      <c r="AX597" s="1035">
        <f t="shared" si="820"/>
        <v>1084.7279132840029</v>
      </c>
      <c r="AY597" s="483">
        <f t="shared" si="821"/>
        <v>26296.408738748141</v>
      </c>
      <c r="AZ597" s="1106">
        <f t="shared" si="822"/>
        <v>20479.962595039997</v>
      </c>
      <c r="BA597" s="1108">
        <f t="shared" si="823"/>
        <v>24575.955114047996</v>
      </c>
      <c r="BB597" s="1035">
        <f>(AM597*(1+$FB$9)+$FB$35)*(1+(INDEX(绊状态确认!$T:$T,MATCH($G597,绊状态确认!$B:$B,))+0.2)*AO597)*IF(J597=$FF$17,1+$FE$17,1)*IF(I597=$FF$14,1+$FE$14,1)*(1+$FE$15)</f>
        <v>12650.359750600001</v>
      </c>
      <c r="BC597" s="1035">
        <f>(AN597*(1+$FB$10)+$FB$36)*(1+(INDEX(绊状态确认!$T:$T,MATCH($G597,绊状态确认!$B:$B,))+0.2)*AO597)*IF(J597=$FF$17,1+$FE$17,1)*IF(I597=$FF$14,1+$FE$14,1)*(1+$FE$15)</f>
        <v>14601.534003107998</v>
      </c>
      <c r="BD597" s="481">
        <f>MIN(AT597*0.15+BC597*0.00003+INDEX(绊状态确认!M:M,MATCH($G597,绊状态确认!$B:$B,)),1)</f>
        <v>0.46804602009323998</v>
      </c>
      <c r="BE597" s="1109">
        <f>(INDEX(绊状态确认!$N:$N,MATCH($G597,绊状态确认!$B:$B,))+1.5)</f>
        <v>1.9</v>
      </c>
      <c r="BF597" s="646">
        <f t="array" ref="BF597">SUMPRODUCT(IF(AZ597*AP597*$FI$16:$FI$23*$FA$22&gt;=$FI$24,$FI$24,AZ597*AP597*$FI$16:$FI$23*$FA$22),$FJ$16:$FJ$23)</f>
        <v>40734.645601534561</v>
      </c>
      <c r="BG597" s="1047">
        <f t="array" ref="BG597">SUMPRODUCT(IF(BE597*AZ597*AP597*$FI$16:$FI$23*$FA$22&gt;=$FI$24,$FI$24,BE597*AZ597*AP597*$FI$16:$FI$23*$FA$22),$FJ$16:$FJ$23)</f>
        <v>60000</v>
      </c>
      <c r="BH597" s="1046">
        <f t="shared" si="824"/>
        <v>16583.906017807367</v>
      </c>
      <c r="BI597" s="1048">
        <f>IF(O597="vo",$EW$26/$EW$24*0.05,0)+IF(O597="sk",-$EW$26/$EW$24*(0.05-INDEX(绊状态确认!W:W,MATCH($G597,绊状态确认!$B:$B,)))+0.05*$EW$28,0)+IF(O597="sp",0.05*$EW$32*$EW$30*(1-$EW$33)-(0.05-INDEX(绊状态确认!V:V,MATCH($G597,绊状态确认!$B:$B,)))*$EW$28,0)+IF(O597="gd",-(0.05-INDEX(绊状态确认!X:X,MATCH($G597,绊状态确认!$B:$B,)))*$EW$32*$EW$30*(1-$EW$33),0)</f>
        <v>7726.3029277443748</v>
      </c>
      <c r="BJ597" s="1097">
        <f>IF(O597="vo",0.05*(1-$FI$26)*$FA$24,0)+IF(O597="sk",-(0.05-INDEX(绊状态确认!W:W,MATCH($G597,绊状态确认!$B:$B,)))*(1-$FI$26)*$FA$24+0.05*$FA$26,0)+IF(O597="sp",0.05*$FA$32*$FA$27*(1-$FA$33)/$FA$30+0.05*$FA$29/$FA$69*$FA$27*(1-$FA$33)-(0.05-INDEX(绊状态确认!V:V,MATCH($G597,绊状态确认!$B:$B,)))*$FA$26,0)+IF(O597="gd",-(0.05-INDEX(绊状态确认!X:X,MATCH($G597,绊状态确认!$B:$B,)))*$FA$32*$FA$27*(1-$FA$33)/$FA$30-(0.05-INDEX(绊状态确认!X:X,MATCH($G597,绊状态确认!$B:$B,)))*$FA$29/$FA$69*$FA$27*(1-$FA$33),0)</f>
        <v>393.93433687500004</v>
      </c>
      <c r="BK597" s="1046">
        <f>IF(O597="vo",$EW$26/$EW$24*0.05+$EW$26*(-HP($EW$62,$EW$65,$EW$64)+HP($EW$62,$EW$65,(1.05-INDEX(绊状态确认!U:U,MATCH($G597,绊状态确认!$B:$B,)))*$EW$64)),0)+IF(O597="sk",-$EW$26/$EW$24*(0.05-INDEX(绊状态确认!W:W,MATCH($G597,绊状态确认!$B:$B,)))+0.05*$EW$29,0)+IF(O597="sp",0.05*$EW$32*$EW$30*(1-$EW$33)-(0.05-INDEX(绊状态确认!V:V,MATCH($G597,绊状态确认!$B:$B,)))*$EW$29,0)+IF(O597="gd",-(0.05-INDEX(绊状态确认!X:X,MATCH($G597,绊状态确认!$B:$B,)))*$EW$32*$EW$30*(1-$EW$33)+$EW$26*(-HP($EW$62,$EW$65,$EW$64)+HP($EW$62,$EW$65,0.95*$EW$64)),0)</f>
        <v>6421.6344775026746</v>
      </c>
      <c r="BL597" s="1048">
        <f t="shared" si="825"/>
        <v>-1083.3333333333333</v>
      </c>
      <c r="BM597" s="1046">
        <f t="shared" si="826"/>
        <v>-830.55555555555543</v>
      </c>
      <c r="BN597" s="1167">
        <f t="shared" si="827"/>
        <v>3</v>
      </c>
      <c r="BO597" s="1035">
        <f t="shared" si="828"/>
        <v>4507.7214871259994</v>
      </c>
      <c r="BP597" s="1043">
        <f t="shared" si="829"/>
        <v>221.34103209030098</v>
      </c>
      <c r="BQ597" s="1167" t="s">
        <v>1940</v>
      </c>
      <c r="BR597" s="1165" t="s">
        <v>2075</v>
      </c>
      <c r="BS597" s="1098">
        <f>IF($P597="","N/A",IF($P597=-1,INDEX('卡片raw data'!AX:AX,MATCH($D597,'卡片raw data'!$F:$F,)),0)+IF($L597="party卡",IF($P597=5,INDEX('卡片raw data'!BD:BD,MATCH($D597,'卡片raw data'!$F:$F,)),IF($P597&gt;=3,INDEX('卡片raw data'!BC:BC,MATCH($D597,'卡片raw data'!$F:$F,)),INDEX('卡片raw data'!BB:BB,MATCH($D597,'卡片raw data'!$F:$F,)))),IF(OR(AND($F597="UR",$P597=0),AND($F597="SR",$P597&gt;=0,$P597&lt;=2),AND($F597="R",$P597&gt;=0,$P597&lt;4)),INDEX('卡片raw data'!AZ:AZ,MATCH($D597,'卡片raw data'!$F:$F,)),0)+IF(OR(AND($F597="UR",$P597&gt;=1,$P597&lt;=4),AND($F597="SR",$P597&lt;=4,$P597&gt;=3),AND($F597="R",$P597=4)),INDEX('卡片raw data'!BA:BA,MATCH($D597,'卡片raw data'!$F:$F,)),0)+IF($P597=5,INDEX('卡片raw data'!BB:BB,MATCH($D597,'卡片raw data'!$F:$F,)),0)))</f>
        <v>3.2000000000000001E-2</v>
      </c>
      <c r="BT597" s="1101">
        <f t="shared" si="830"/>
        <v>1602.7454176448</v>
      </c>
      <c r="BU597" s="1097">
        <f t="shared" si="831"/>
        <v>68.861654428093644</v>
      </c>
      <c r="BV597" s="1097">
        <f t="shared" si="832"/>
        <v>801.37270882240011</v>
      </c>
      <c r="BW597" s="1112">
        <f t="shared" si="833"/>
        <v>0</v>
      </c>
      <c r="BX597" s="1100">
        <f t="shared" si="834"/>
        <v>1602.7454176448</v>
      </c>
      <c r="BY597" s="1110">
        <f t="shared" si="835"/>
        <v>801.37270882240011</v>
      </c>
      <c r="BZ597" s="1113" t="s">
        <v>569</v>
      </c>
      <c r="CA597" s="1124"/>
      <c r="CB597" s="1098">
        <f>IF($P597="","N/A",IF($P597=-1,INDEX('卡片raw data'!BE:BE,MATCH($D597,'卡片raw data'!$F:$F,)),0)+IF($L597="party卡",IF($P597=5,INDEX('卡片raw data'!BK:BK,MATCH($D597,'卡片raw data'!$F:$F,)),IF($P597&gt;=3,INDEX('卡片raw data'!BJ:BJ,MATCH($D597,'卡片raw data'!$F:$F,)),INDEX('卡片raw data'!BI:BI,MATCH($D597,'卡片raw data'!$F:$F,)))),IF(OR(AND($F597="UR",$P597=0),AND($F597="SR",$P597&gt;=0,$P597&lt;=2),AND($F597="R",$P597&gt;=0,$P597&lt;4)),INDEX('卡片raw data'!BG:BG,MATCH($D597,'卡片raw data'!$F:$F,)),0)+IF(OR(AND($F597="UR",$P597&gt;=1,$P597&lt;=4),AND($F597="SR",$P597&lt;=4,$P597&gt;=3),AND($F597="R",$P597=4)),INDEX('卡片raw data'!BH:BH,MATCH($D597,'卡片raw data'!$F:$F,)),0)+IF($P597=5,INDEX('卡片raw data'!BI:BI,MATCH($D597,'卡片raw data'!$F:$F,)),0)))</f>
        <v>0</v>
      </c>
      <c r="CC597" s="1101">
        <f t="shared" si="873"/>
        <v>0</v>
      </c>
      <c r="CD597" s="1097">
        <f>IF(BZ597="ap",CB597*(1-$FI$26)*$FB$5/$FB$11*(+IF(CA597="全员",$FA$24,0)+IF(CA597="同作战",$FA$24,0)+IF(CA597="仲间",$FA$24*2/3,0)+IF(CA597="同属性",$FA$24*$FA$37/3,0)+IF(CA597="同年级",$FA$24*$FA$40/3,0)+IF(CA597="同学校",$FA$24*$FA$43/3,0)+IF(CA597="同小队",$FA$24*$FA$46/3,0)+IF(CA597="同type",$FA$24*INDEX($FB$49:$FB$52,MATCH(X597,$FA$49:$FA$52,))/3,0)+IF(CA597="自身",#REF!/3,0)),0)+IF(BZ597="te",CB597*(1-$FI$27)*($FA$20-1)*$FB$7/$FB$13*(+IF(CA597="全员",$FA$19*$FA$24/(1+($FA$20-1)*$FA$19),0)+IF(CA597="同作战",$FA$19*$FA$24/(1+($FA$20-1)*$FA$19),0)+IF(CA597="仲间",$FA$19*$FA$24*2/3/(1+($FA$20-1)*$FA$19),0)+IF(CA597="同属性",$FA$19*$FA$24*$FA$37/3/(1+($FA$20-1)*$FA$19),0)+IF(CA597="同年级",$FA$19*$FA$24*$FA$40/3/(1+($FA$20-1)*$FA$19),0)+IF(CA597="同学校",$FA$19*$FA$24*$FA$43/3/(1+($FA$20-1)*$FA$19),0)+IF(CA597="同小队",$FA$19*$FA$24*$FA$46/3/(1+($FA$20-1)*$FA$19),0)+IF(CA597="同type",$FA$19*$FA$24*INDEX($FB$49:$FB$52,MATCH(X597,$FA$49:$FA$52,))/3/(1+($FA$20-1)*$FA$19),0)+IF(CA597="自身",$FA$19*#REF!/3/(1+(BH597-1)*$BD597),0)),0)</f>
        <v>0</v>
      </c>
      <c r="CE597" s="1097">
        <f t="shared" si="836"/>
        <v>0</v>
      </c>
      <c r="CF597" s="1112">
        <f t="shared" si="874"/>
        <v>0</v>
      </c>
      <c r="CG597" s="1100">
        <f t="shared" si="837"/>
        <v>0</v>
      </c>
      <c r="CH597" s="1110">
        <f t="shared" si="838"/>
        <v>0</v>
      </c>
      <c r="CI597" s="1113" t="s">
        <v>165</v>
      </c>
      <c r="CJ597" s="1114">
        <v>0.3</v>
      </c>
      <c r="CK597" s="1115" t="s">
        <v>2074</v>
      </c>
      <c r="CL597" s="1115" t="s">
        <v>2075</v>
      </c>
      <c r="CM597" s="1166">
        <v>0.02</v>
      </c>
      <c r="CN597" s="1169" t="s">
        <v>2076</v>
      </c>
      <c r="CO597" s="1169"/>
      <c r="CP597" s="1118">
        <f t="shared" si="839"/>
        <v>4.0000000000000001E-3</v>
      </c>
      <c r="CQ597" s="1118">
        <f t="shared" si="840"/>
        <v>3.5000000000000005E-3</v>
      </c>
      <c r="CR597" s="1118">
        <f t="shared" si="841"/>
        <v>2E-3</v>
      </c>
      <c r="CS597" s="1118">
        <f t="shared" si="875"/>
        <v>0</v>
      </c>
      <c r="CT597" s="1109">
        <f t="shared" si="876"/>
        <v>0</v>
      </c>
      <c r="CU597" s="1101">
        <f t="shared" si="842"/>
        <v>679.91465764150507</v>
      </c>
      <c r="CV597" s="1108">
        <f t="shared" si="870"/>
        <v>27.575403581250004</v>
      </c>
      <c r="CW597" s="1108">
        <f t="shared" si="843"/>
        <v>339.95732882075254</v>
      </c>
      <c r="CX597" s="1097">
        <f t="shared" si="844"/>
        <v>679.91465764150507</v>
      </c>
      <c r="CY597" s="1110">
        <f t="shared" si="845"/>
        <v>339.95732882075254</v>
      </c>
      <c r="CZ597" s="1113"/>
      <c r="DA597" s="1114"/>
      <c r="DB597" s="1115" t="s">
        <v>569</v>
      </c>
      <c r="DC597" s="1115"/>
      <c r="DD597" s="1119"/>
      <c r="DE597" s="1092"/>
      <c r="DF597" s="1092"/>
      <c r="DG597" s="1116">
        <f t="shared" si="846"/>
        <v>0</v>
      </c>
      <c r="DH597" s="1116">
        <f t="shared" si="847"/>
        <v>0</v>
      </c>
      <c r="DI597" s="1116">
        <f t="shared" si="848"/>
        <v>0</v>
      </c>
      <c r="DJ597" s="1118">
        <f t="shared" si="871"/>
        <v>0</v>
      </c>
      <c r="DK597" s="1109">
        <f t="shared" si="872"/>
        <v>0</v>
      </c>
      <c r="DL597" s="1101">
        <f t="shared" si="849"/>
        <v>0</v>
      </c>
      <c r="DM597" s="1097">
        <f t="shared" si="850"/>
        <v>0</v>
      </c>
      <c r="DN597" s="1097">
        <f t="shared" si="851"/>
        <v>0</v>
      </c>
      <c r="DO597" s="1097">
        <f t="shared" si="852"/>
        <v>0</v>
      </c>
      <c r="DP597" s="1110">
        <f t="shared" si="853"/>
        <v>0</v>
      </c>
      <c r="DQ597" s="1113" t="s">
        <v>221</v>
      </c>
      <c r="DR597" s="1120">
        <f>IF(F597="UR",0.33,0.3)</f>
        <v>0.3</v>
      </c>
      <c r="DS597" s="1124">
        <v>5</v>
      </c>
      <c r="DT597" s="1124" t="s">
        <v>2075</v>
      </c>
      <c r="DU597" s="1165" t="s">
        <v>2145</v>
      </c>
      <c r="DV597" s="1098">
        <f>IF($P597="","N/A",IF(P597=-1,INDEX('卡片raw data'!AN:AN,MATCH(D597,'卡片raw data'!$F:$F,)),0)+IF(AND(L597&lt;&gt;"party卡",P597&lt;=2,P597&gt;=0),INDEX('卡片raw data'!AP:AP,MATCH(D597,'卡片raw data'!$F:$F,)),0)+IF(OR(AND(L597="party卡",P597&lt;=1),AND(P597&lt;=4,L597&lt;&gt;"party卡",P597&gt;=3)),INDEX('卡片raw data'!AQ:AQ,MATCH(D597,'卡片raw data'!$F:$F,)),0)+IF(OR(P597=5,AND(L597="party卡",P597&gt;=2)),INDEX('卡片raw data'!AR:AR,MATCH(D597,'卡片raw data'!$F:$F,)),0))</f>
        <v>5.1999999999999998E-2</v>
      </c>
      <c r="DW597" s="1098">
        <f t="shared" si="854"/>
        <v>0.3</v>
      </c>
      <c r="DX597" s="1098">
        <f t="shared" si="855"/>
        <v>0.3</v>
      </c>
      <c r="DY597" s="1098">
        <f t="shared" si="856"/>
        <v>1.7333333333333333E-2</v>
      </c>
      <c r="DZ597" s="1098">
        <f t="shared" si="857"/>
        <v>1.3119166666666666E-2</v>
      </c>
      <c r="EA597" s="1098">
        <f t="shared" si="858"/>
        <v>0</v>
      </c>
      <c r="EB597" s="1121">
        <f t="shared" si="859"/>
        <v>0</v>
      </c>
      <c r="EC597" s="1101">
        <f t="shared" si="860"/>
        <v>2946.2968497798547</v>
      </c>
      <c r="ED597" s="1097">
        <f t="shared" si="861"/>
        <v>103.36180442371877</v>
      </c>
      <c r="EE597" s="1110">
        <f t="shared" si="775"/>
        <v>2946.2968497798547</v>
      </c>
      <c r="EF597" s="1113" t="s">
        <v>569</v>
      </c>
      <c r="EG597" s="1120">
        <f>IF(F597="UR",0.33,0.3)</f>
        <v>0.3</v>
      </c>
      <c r="EH597" s="1124"/>
      <c r="EI597" s="1124"/>
      <c r="EJ597" s="1124"/>
      <c r="EK597" s="1097">
        <f>IF($P597="","N/A",IF(P597=-1,INDEX('卡片raw data'!AS:AS,MATCH(D597,'卡片raw data'!$F:$F,)),0)+IF(AND(L597&lt;&gt;"party卡",P597&lt;=2,P597&gt;=0),INDEX('卡片raw data'!AU:AU,MATCH(D597,'卡片raw data'!$F:$F,)),0)+IF(OR(AND(L597="party卡",P597&lt;=1),AND(P597&lt;=4,L597&lt;&gt;"party卡",P597&gt;=3)),INDEX('卡片raw data'!AV:AV,MATCH(D597,'卡片raw data'!$F:$F,)),0)+IF(OR(P597=5,AND(L597="party卡",P597&gt;=2)),INDEX('卡片raw data'!AW:AW,MATCH(D597,'卡片raw data'!$F:$F,)),0))</f>
        <v>0</v>
      </c>
      <c r="EL597" s="1098">
        <f t="shared" si="862"/>
        <v>0.3</v>
      </c>
      <c r="EM597" s="1098">
        <f t="shared" si="863"/>
        <v>0.3</v>
      </c>
      <c r="EN597" s="1097">
        <f t="shared" si="864"/>
        <v>0</v>
      </c>
      <c r="EO597" s="1097">
        <f t="shared" si="865"/>
        <v>0</v>
      </c>
      <c r="EP597" s="1098">
        <f t="shared" si="866"/>
        <v>0</v>
      </c>
      <c r="EQ597" s="1121">
        <f t="shared" si="867"/>
        <v>0</v>
      </c>
      <c r="ER597" s="1101">
        <f t="shared" si="868"/>
        <v>0</v>
      </c>
      <c r="ES597" s="1097">
        <f t="shared" si="869"/>
        <v>0</v>
      </c>
      <c r="ET597" s="1122">
        <f t="shared" si="776"/>
        <v>0</v>
      </c>
    </row>
    <row r="598" spans="2:150" ht="16.5" customHeight="1">
      <c r="B598" s="1123" t="str">
        <f>INDEX('卡片raw data'!B:B,MATCH($D598,'卡片raw data'!$F:$F,))</f>
        <v>圣诞珠</v>
      </c>
      <c r="C598" s="1025" t="s">
        <v>4844</v>
      </c>
      <c r="D598" s="408">
        <v>595</v>
      </c>
      <c r="E598" s="1164">
        <v>402123001</v>
      </c>
      <c r="F598" s="1090" t="str">
        <f>INDEX('卡片raw data'!C:C,MATCH($D598,'卡片raw data'!$F:$F,))</f>
        <v>UR</v>
      </c>
      <c r="G598" s="1026" t="s">
        <v>4845</v>
      </c>
      <c r="H598" s="411">
        <f>IFERROR(INDEX(绊状态确认!C:C,MATCH($G598,绊状态确认!$B:$B,)),"")</f>
        <v>212</v>
      </c>
      <c r="I598" s="450" t="str">
        <f>IFERROR(INDEX(绊状态确认!D:D,MATCH($G598,绊状态确认!$B:$B,)),"")</f>
        <v>虹</v>
      </c>
      <c r="J598" s="450" t="str">
        <f>IFERROR(INDEX(绊状态确认!E:E,MATCH($G598,绊状态确认!$B:$B,)),"")</f>
        <v>2年级</v>
      </c>
      <c r="K598" s="451" t="str">
        <f>IFERROR(INDEX(绊状态确认!F:F,MATCH($G598,绊状态确认!$B:$B,)),"")</f>
        <v>R3BIRTH</v>
      </c>
      <c r="L598" s="1094" t="str">
        <f>INDEX('卡片raw data'!E:E,MATCH($D598,'卡片raw data'!$F:$F,))</f>
        <v>卡池卡</v>
      </c>
      <c r="M598" s="1065">
        <v>44548</v>
      </c>
      <c r="N598" s="1027">
        <v>54</v>
      </c>
      <c r="O598" s="1091" t="str">
        <f>INDEX('卡片raw data'!D:D,MATCH($D598,'卡片raw data'!$F:$F,))</f>
        <v>sk</v>
      </c>
      <c r="P598" s="1126">
        <v>5</v>
      </c>
      <c r="Q598" s="1095">
        <f t="shared" si="796"/>
        <v>59466.377069926639</v>
      </c>
      <c r="R598" s="1096">
        <f t="shared" si="797"/>
        <v>0.69099999999999995</v>
      </c>
      <c r="S598" s="1097">
        <f t="shared" si="798"/>
        <v>22218.077296310814</v>
      </c>
      <c r="T598" s="1098">
        <f t="shared" si="799"/>
        <v>1.1100000000000001</v>
      </c>
      <c r="U598" s="1099">
        <f t="shared" si="800"/>
        <v>13.039160378303571</v>
      </c>
      <c r="V598" s="1100">
        <f t="shared" si="801"/>
        <v>62508.802460571234</v>
      </c>
      <c r="W598" s="1101">
        <f t="shared" si="802"/>
        <v>5809.9521389623987</v>
      </c>
      <c r="X598" s="1096">
        <f t="shared" si="803"/>
        <v>6.7000000000000004E-2</v>
      </c>
      <c r="Y598" s="1097">
        <f t="shared" si="804"/>
        <v>1042.4253906445938</v>
      </c>
      <c r="Z598" s="1102">
        <f t="shared" si="805"/>
        <v>13.039160378303571</v>
      </c>
      <c r="AA598" s="1103">
        <f t="shared" si="806"/>
        <v>6852.3775296069925</v>
      </c>
      <c r="AB598" s="1101">
        <f t="shared" si="807"/>
        <v>7112.182790798799</v>
      </c>
      <c r="AC598" s="1104">
        <f t="shared" si="808"/>
        <v>8.2000000000000003E-2</v>
      </c>
      <c r="AD598" s="1105" t="e">
        <f t="shared" si="809"/>
        <v>#VALUE!</v>
      </c>
      <c r="AE598" s="1128" t="e">
        <f t="shared" si="810"/>
        <v>#VALUE!</v>
      </c>
      <c r="AF598" s="1130">
        <f t="shared" si="811"/>
        <v>0</v>
      </c>
      <c r="AG598" s="1097">
        <f t="shared" si="812"/>
        <v>0</v>
      </c>
      <c r="AH598" s="1097">
        <f t="shared" si="813"/>
        <v>0</v>
      </c>
      <c r="AI598" s="1097">
        <f t="shared" si="814"/>
        <v>0</v>
      </c>
      <c r="AJ598" s="1097">
        <f t="shared" si="815"/>
        <v>0</v>
      </c>
      <c r="AK598" s="1129">
        <f t="shared" si="816"/>
        <v>0</v>
      </c>
      <c r="AL598" s="1042">
        <f>IF($P598="","N/A",(IF($P598=-1,INDEX('卡片raw data'!S:S,MATCH($D598,'卡片raw data'!$F:$F,)),0)+IF($P598=0,INDEX('卡片raw data'!V:V,MATCH($D598,'卡片raw data'!$F:$F,)),0)+IF($P598=1,INDEX('卡片raw data'!Y:Y,MATCH($D598,'卡片raw data'!$F:$F,)),0)+IF($P598=2,INDEX('卡片raw data'!AB:AB,MATCH($D598,'卡片raw data'!$F:$F,)),0)+IF($P598=3,INDEX('卡片raw data'!AE:AE,MATCH($D598,'卡片raw data'!$F:$F,)),0)+IF($P598=4,INDEX('卡片raw data'!AH:AH,MATCH($D598,'卡片raw data'!$F:$F,)),0)+IF($P598=5,INDEX('卡片raw data'!AK:AK,MATCH($D598,'卡片raw data'!$F:$F,)),0)+INDEX('卡片raw data'!S:S,MATCH($D598,'卡片raw data'!$F:$F,))*(IF($F598="UR",0.04,0.033))*(IF($F598="UR",INDEX(绊状态确认!$S:$S,MATCH($G598,绊状态确认!$B:$B,))/2-40)+IF($F598="SR",INDEX(绊状态确认!$R:$R,MATCH($G598,绊状态确认!$B:$B,))/4-15))+IF($F598="R",INDEX(绊状态确认!$Q:$Q,MATCH($G598,绊状态确认!$B:$B,))/6-40/6)))*(INDEX(绊状态确认!$H:$H,MATCH($G598,绊状态确认!$B:$B,))+INDEX(绊状态确认!J:J,MATCH($G598,绊状态确认!$B:$B,)))</f>
        <v>14973.4</v>
      </c>
      <c r="AM598" s="1035">
        <f>IF($P598="","N/A",(IF($P598=-1,INDEX('卡片raw data'!T:T,MATCH($D598,'卡片raw data'!$F:$F,)),0)+IF($P598=0,INDEX('卡片raw data'!W:W,MATCH($D598,'卡片raw data'!$F:$F,)),0)+IF($P598=1,INDEX('卡片raw data'!Z:Z,MATCH($D598,'卡片raw data'!$F:$F,)),0)+IF($P598=2,INDEX('卡片raw data'!AC:AC,MATCH($D598,'卡片raw data'!$F:$F,)),0)+IF($P598=3,INDEX('卡片raw data'!AF:AF,MATCH($D598,'卡片raw data'!$F:$F,)),0)+IF($P598=4,INDEX('卡片raw data'!AI:AI,MATCH($D598,'卡片raw data'!$F:$F,)),0)+IF($P598=5,INDEX('卡片raw data'!AL:AL,MATCH($D598,'卡片raw data'!$F:$F,)),0)+INDEX('卡片raw data'!T:T,MATCH($D598,'卡片raw data'!$F:$F,))*(IF($F598="UR",0.04,0.033))*(IF($F598="UR",INDEX(绊状态确认!$S:$S,MATCH($G598,绊状态确认!$B:$B,))/2-40)+IF($F598="SR",INDEX(绊状态确认!$R:$R,MATCH($G598,绊状态确认!$B:$B,))/4-15))+IF($F598="R",INDEX(绊状态确认!$Q:$Q,MATCH($G598,绊状态确认!$B:$B,))/6-40/6)))*(INDEX(绊状态确认!$H:$H,MATCH($G598,绊状态确认!$B:$B,))+INDEX(绊状态确认!K:K,MATCH($G598,绊状态确认!$B:$B,)))</f>
        <v>7109.5297999999993</v>
      </c>
      <c r="AN598" s="1043">
        <f>IF($P598="","N/A",(IF($P598=-1,INDEX('卡片raw data'!U:U,MATCH($D598,'卡片raw data'!$F:$F,)),0)+IF($P598=0,INDEX('卡片raw data'!X:X,MATCH($D598,'卡片raw data'!$F:$F,)),0)+IF($P598=1,INDEX('卡片raw data'!AA:AA,MATCH($D598,'卡片raw data'!$F:$F,)),0)+IF($P598=2,INDEX('卡片raw data'!AD:AD,MATCH($D598,'卡片raw data'!$F:$F,)),0)+IF($P598=3,INDEX('卡片raw data'!AG:AG,MATCH($D598,'卡片raw data'!$F:$F,)),0)+IF($P598=4,INDEX('卡片raw data'!AJ:AJ,MATCH($D598,'卡片raw data'!$F:$F,)),0)+IF($P598=5,INDEX('卡片raw data'!AM:AM,MATCH($D598,'卡片raw data'!$F:$F,)),0)+INDEX('卡片raw data'!U:U,MATCH($D598,'卡片raw data'!$F:$F,))*(IF($F598="UR",0.04,0.033))*(IF($F598="UR",INDEX(绊状态确认!$S:$S,MATCH($G598,绊状态确认!$B:$B,))/2-40)+IF($F598="SR",INDEX(绊状态确认!$R:$R,MATCH($G598,绊状态确认!$B:$B,))/4-15))+IF($F598="R",INDEX(绊状态确认!$Q:$Q,MATCH($G598,绊状态确认!$B:$B,))/6-40/6)))*(INDEX(绊状态确认!$H:$H,MATCH($G598,绊状态确认!$B:$B,))+INDEX(绊状态确认!L:L,MATCH($G598,绊状态确认!$B:$B,)))</f>
        <v>15346.051599999999</v>
      </c>
      <c r="AO598" s="1167">
        <f t="shared" si="817"/>
        <v>1</v>
      </c>
      <c r="AP598" s="1044">
        <f>1+(INDEX(绊状态确认!$T:$T,MATCH($G598,绊状态确认!$B:$B,))+0.2)*$AO598</f>
        <v>1.2749999999999999</v>
      </c>
      <c r="AQ598" s="1035">
        <f t="shared" si="818"/>
        <v>42555.175000000003</v>
      </c>
      <c r="AR598" s="1035">
        <f>(AM598*(1+$EX$9)+$EX$35)*(1+(INDEX(绊状态确认!$T:$T,MATCH($G598,绊状态确认!$B:$B,))+0.2)*AO598)*IF(J598=$FF$17,1+$FE$17,1)*IF(I598=$FF$14,1+$FE$14,1)</f>
        <v>12169.883019749999</v>
      </c>
      <c r="AS598" s="1035">
        <f>(AN598*(1+$EX$10)+$EX$36)*(1+(INDEX(绊状态确认!$T:$T,MATCH($G598,绊状态确认!$B:$B,))+0.2)*AO598)*IF(J598=$FF$17,1+$FE$17,1)*IF(I598=$FF$14,1+$FE$14,1)</f>
        <v>26479.148158499996</v>
      </c>
      <c r="AT598" s="1165">
        <f>IF(AND(INDEX('卡片raw data'!AK:AK,MATCH($D598,'卡片raw data'!$F:$F,))&lt;INDEX('卡片raw data'!AM:AM,MATCH($D598,'卡片raw data'!$F:$F,)),INDEX('卡片raw data'!AL:AL,MATCH($D598,'卡片raw data'!$F:$F,))&lt;INDEX('卡片raw data'!AM:AM,MATCH($D598,'卡片raw data'!$F:$F,))),1,0)</f>
        <v>1</v>
      </c>
      <c r="AU598" s="1031">
        <f>MIN(AT598*0.15+AS598*0.00003+INDEX(绊状态确认!M:M,MATCH($G598,绊状态确认!$B:$B,)),1)</f>
        <v>0.96937444475500001</v>
      </c>
      <c r="AV598" s="1045">
        <f>(INDEX(绊状态确认!$N:$N,MATCH($G598,绊状态确认!$B:$B,))+1.5)*$EW$21</f>
        <v>2.59</v>
      </c>
      <c r="AW598" s="1038">
        <f t="shared" si="819"/>
        <v>55085.009771240635</v>
      </c>
      <c r="AX598" s="1035">
        <f t="shared" si="820"/>
        <v>1042.4253906445936</v>
      </c>
      <c r="AY598" s="483">
        <f t="shared" si="821"/>
        <v>56127.435161885231</v>
      </c>
      <c r="AZ598" s="1106">
        <f t="shared" si="822"/>
        <v>31798.129999999997</v>
      </c>
      <c r="BA598" s="1108">
        <f t="shared" si="823"/>
        <v>38157.755999999994</v>
      </c>
      <c r="BB598" s="1035">
        <f>(AM598*(1+$FB$9)+$FB$35)*(1+(INDEX(绊状态确认!$T:$T,MATCH($G598,绊状态确认!$B:$B,))+0.2)*AO598)*IF(J598=$FF$17,1+$FE$17,1)*IF(I598=$FF$14,1+$FE$14,1)*(1+$FE$15)</f>
        <v>12169.883019749999</v>
      </c>
      <c r="BC598" s="1035">
        <f>(AN598*(1+$FB$10)+$FB$36)*(1+(INDEX(绊状态确认!$T:$T,MATCH($G598,绊状态确认!$B:$B,))+0.2)*AO598)*IF(J598=$FF$17,1+$FE$17,1)*IF(I598=$FF$14,1+$FE$14,1)*(1+$FE$15)</f>
        <v>26479.148158499996</v>
      </c>
      <c r="BD598" s="481">
        <f>MIN(AT598*0.15+BC598*0.00003+INDEX(绊状态确认!M:M,MATCH($G598,绊状态确认!$B:$B,)),1)</f>
        <v>0.96937444475500001</v>
      </c>
      <c r="BE598" s="1109">
        <f>(INDEX(绊状态确认!$N:$N,MATCH($G598,绊状态确认!$B:$B,))+1.5)</f>
        <v>1.85</v>
      </c>
      <c r="BF598" s="646">
        <f t="array" ref="BF598">SUMPRODUCT(IF(AZ598*AP598*$FI$16:$FI$23*$FA$22&gt;=$FI$24,$FI$24,AZ598*AP598*$FI$16:$FI$23*$FA$22),$FJ$16:$FJ$23)</f>
        <v>57487.586347500001</v>
      </c>
      <c r="BG598" s="1047">
        <f t="array" ref="BG598">SUMPRODUCT(IF(BE598*AZ598*AP598*$FI$16:$FI$23*$FA$22&gt;=$FI$24,$FI$24,BE598*AZ598*AP598*$FI$16:$FI$23*$FA$22),$FJ$16:$FJ$23)</f>
        <v>60000</v>
      </c>
      <c r="BH598" s="1046">
        <f t="shared" si="824"/>
        <v>19974.351978962357</v>
      </c>
      <c r="BI598" s="1048">
        <f>IF(O598="vo",$EW$26/$EW$24*0.05,0)+IF(O598="sk",-$EW$26/$EW$24*(0.05-INDEX(绊状态确认!W:W,MATCH($G598,绊状态确认!$B:$B,)))+0.05*$EW$28,0)+IF(O598="sp",0.05*$EW$32*$EW$30*(1-$EW$33)-(0.05-INDEX(绊状态确认!V:V,MATCH($G598,绊状态确认!$B:$B,)))*$EW$28,0)+IF(O598="gd",-(0.05-INDEX(绊状态确认!X:X,MATCH($G598,绊状态确认!$B:$B,)))*$EW$32*$EW$30*(1-$EW$33),0)</f>
        <v>-6253.6726349699375</v>
      </c>
      <c r="BJ598" s="1097">
        <f>IF(O598="vo",0.05*(1-$FI$26)*$FA$24,0)+IF(O598="sk",-(0.05-INDEX(绊状态确认!W:W,MATCH($G598,绊状态确认!$B:$B,)))*(1-$FI$26)*$FA$24+0.05*$FA$26,0)+IF(O598="sp",0.05*$FA$32*$FA$27*(1-$FA$33)/$FA$30+0.05*$FA$29/$FA$69*$FA$27*(1-$FA$33)-(0.05-INDEX(绊状态确认!V:V,MATCH($G598,绊状态确认!$B:$B,)))*$FA$26,0)+IF(O598="gd",-(0.05-INDEX(绊状态确认!X:X,MATCH($G598,绊状态确认!$B:$B,)))*$FA$32*$FA$27*(1-$FA$33)/$FA$30-(0.05-INDEX(绊状态确认!X:X,MATCH($G598,绊状态确认!$B:$B,)))*$FA$29/$FA$69*$FA$27*(1-$FA$33),0)</f>
        <v>20.459096812499922</v>
      </c>
      <c r="BK598" s="1046">
        <f>IF(O598="vo",$EW$26/$EW$24*0.05+$EW$26*(-HP($EW$62,$EW$65,$EW$64)+HP($EW$62,$EW$65,(1.05-INDEX(绊状态确认!U:U,MATCH($G598,绊状态确认!$B:$B,)))*$EW$64)),0)+IF(O598="sk",-$EW$26/$EW$24*(0.05-INDEX(绊状态确认!W:W,MATCH($G598,绊状态确认!$B:$B,)))+0.05*$EW$29,0)+IF(O598="sp",0.05*$EW$32*$EW$30*(1-$EW$33)-(0.05-INDEX(绊状态确认!V:V,MATCH($G598,绊状态确认!$B:$B,)))*$EW$29,0)+IF(O598="gd",-(0.05-INDEX(绊状态确认!X:X,MATCH($G598,绊状态确认!$B:$B,)))*$EW$32*$EW$30*(1-$EW$33)+$EW$26*(-HP($EW$62,$EW$65,$EW$64)+HP($EW$62,$EW$65,0.95*$EW$64)),0)</f>
        <v>-4253.6726349699375</v>
      </c>
      <c r="BL598" s="1048">
        <f t="shared" si="825"/>
        <v>0</v>
      </c>
      <c r="BM598" s="1046">
        <f t="shared" si="826"/>
        <v>0</v>
      </c>
      <c r="BN598" s="1167">
        <f t="shared" si="827"/>
        <v>3</v>
      </c>
      <c r="BO598" s="1035">
        <f t="shared" si="828"/>
        <v>4507.7214871259994</v>
      </c>
      <c r="BP598" s="1043">
        <f t="shared" si="829"/>
        <v>221.34103209030098</v>
      </c>
      <c r="BQ598" s="1167" t="s">
        <v>1940</v>
      </c>
      <c r="BR598" s="1165" t="s">
        <v>2075</v>
      </c>
      <c r="BS598" s="1098">
        <f>IF($P598="","N/A",IF($P598=-1,INDEX('卡片raw data'!AX:AX,MATCH($D598,'卡片raw data'!$F:$F,)),0)+IF($L598="party卡",IF($P598=5,INDEX('卡片raw data'!BD:BD,MATCH($D598,'卡片raw data'!$F:$F,)),IF($P598&gt;=3,INDEX('卡片raw data'!BC:BC,MATCH($D598,'卡片raw data'!$F:$F,)),INDEX('卡片raw data'!BB:BB,MATCH($D598,'卡片raw data'!$F:$F,)))),IF(OR(AND($F598="UR",$P598=0),AND($F598="SR",$P598&gt;=0,$P598&lt;=2),AND($F598="R",$P598&gt;=0,$P598&lt;4)),INDEX('卡片raw data'!AZ:AZ,MATCH($D598,'卡片raw data'!$F:$F,)),0)+IF(OR(AND($F598="UR",$P598&gt;=1,$P598&lt;=4),AND($F598="SR",$P598&lt;=4,$P598&gt;=3),AND($F598="R",$P598=4)),INDEX('卡片raw data'!BA:BA,MATCH($D598,'卡片raw data'!$F:$F,)),0)+IF($P598=5,INDEX('卡片raw data'!BB:BB,MATCH($D598,'卡片raw data'!$F:$F,)),0)))</f>
        <v>5.1999999999999998E-2</v>
      </c>
      <c r="BT598" s="1101">
        <f t="shared" si="830"/>
        <v>2604.4613036728001</v>
      </c>
      <c r="BU598" s="1097">
        <f t="shared" si="831"/>
        <v>111.90018844565216</v>
      </c>
      <c r="BV598" s="1097">
        <f t="shared" si="832"/>
        <v>1302.2306518363998</v>
      </c>
      <c r="BW598" s="1112">
        <f t="shared" si="833"/>
        <v>0</v>
      </c>
      <c r="BX598" s="1100">
        <f t="shared" si="834"/>
        <v>2604.4613036728001</v>
      </c>
      <c r="BY598" s="1110">
        <f t="shared" si="835"/>
        <v>1302.2306518363998</v>
      </c>
      <c r="BZ598" s="1113" t="s">
        <v>569</v>
      </c>
      <c r="CA598" s="1124"/>
      <c r="CB598" s="1098">
        <f>IF($P598="","N/A",IF($P598=-1,INDEX('卡片raw data'!BE:BE,MATCH($D598,'卡片raw data'!$F:$F,)),0)+IF($L598="party卡",IF($P598=5,INDEX('卡片raw data'!BK:BK,MATCH($D598,'卡片raw data'!$F:$F,)),IF($P598&gt;=3,INDEX('卡片raw data'!BJ:BJ,MATCH($D598,'卡片raw data'!$F:$F,)),INDEX('卡片raw data'!BI:BI,MATCH($D598,'卡片raw data'!$F:$F,)))),IF(OR(AND($F598="UR",$P598=0),AND($F598="SR",$P598&gt;=0,$P598&lt;=2),AND($F598="R",$P598&gt;=0,$P598&lt;4)),INDEX('卡片raw data'!BG:BG,MATCH($D598,'卡片raw data'!$F:$F,)),0)+IF(OR(AND($F598="UR",$P598&gt;=1,$P598&lt;=4),AND($F598="SR",$P598&lt;=4,$P598&gt;=3),AND($F598="R",$P598=4)),INDEX('卡片raw data'!BH:BH,MATCH($D598,'卡片raw data'!$F:$F,)),0)+IF($P598=5,INDEX('卡片raw data'!BI:BI,MATCH($D598,'卡片raw data'!$F:$F,)),0)))</f>
        <v>0</v>
      </c>
      <c r="CC598" s="1101">
        <f t="shared" si="873"/>
        <v>0</v>
      </c>
      <c r="CD598" s="1097">
        <f>IF(BZ598="ap",CB598*(1-$FI$26)*$FB$5/$FB$11*(+IF(CA598="全员",$FA$24,0)+IF(CA598="同作战",$FA$24,0)+IF(CA598="仲间",$FA$24*2/3,0)+IF(CA598="同属性",$FA$24*$FA$37/3,0)+IF(CA598="同年级",$FA$24*$FA$40/3,0)+IF(CA598="同学校",$FA$24*$FA$43/3,0)+IF(CA598="同小队",$FA$24*$FA$46/3,0)+IF(CA598="同type",$FA$24*INDEX($FB$49:$FB$52,MATCH(X598,$FA$49:$FA$52,))/3,0)+IF(CA598="自身",#REF!/3,0)),0)+IF(BZ598="te",CB598*(1-$FI$27)*($FA$20-1)*$FB$7/$FB$13*(+IF(CA598="全员",$FA$19*$FA$24/(1+($FA$20-1)*$FA$19),0)+IF(CA598="同作战",$FA$19*$FA$24/(1+($FA$20-1)*$FA$19),0)+IF(CA598="仲间",$FA$19*$FA$24*2/3/(1+($FA$20-1)*$FA$19),0)+IF(CA598="同属性",$FA$19*$FA$24*$FA$37/3/(1+($FA$20-1)*$FA$19),0)+IF(CA598="同年级",$FA$19*$FA$24*$FA$40/3/(1+($FA$20-1)*$FA$19),0)+IF(CA598="同学校",$FA$19*$FA$24*$FA$43/3/(1+($FA$20-1)*$FA$19),0)+IF(CA598="同小队",$FA$19*$FA$24*$FA$46/3/(1+($FA$20-1)*$FA$19),0)+IF(CA598="同type",$FA$19*$FA$24*INDEX($FB$49:$FB$52,MATCH(X598,$FA$49:$FA$52,))/3/(1+($FA$20-1)*$FA$19),0)+IF(CA598="自身",$FA$19*#REF!/3/(1+(BH598-1)*$BD598),0)),0)</f>
        <v>0</v>
      </c>
      <c r="CE598" s="1097">
        <f t="shared" si="836"/>
        <v>0</v>
      </c>
      <c r="CF598" s="1112">
        <f t="shared" si="874"/>
        <v>0</v>
      </c>
      <c r="CG598" s="1100">
        <f t="shared" si="837"/>
        <v>0</v>
      </c>
      <c r="CH598" s="1110">
        <f t="shared" si="838"/>
        <v>0</v>
      </c>
      <c r="CI598" s="1113" t="s">
        <v>162</v>
      </c>
      <c r="CJ598" s="1114">
        <v>1</v>
      </c>
      <c r="CK598" s="1115" t="s">
        <v>295</v>
      </c>
      <c r="CL598" s="1115" t="s">
        <v>2667</v>
      </c>
      <c r="CM598" s="1119">
        <v>0.16</v>
      </c>
      <c r="CN598" s="1115" t="s">
        <v>1948</v>
      </c>
      <c r="CO598" s="1115"/>
      <c r="CP598" s="1118">
        <f t="shared" si="839"/>
        <v>2.8571428571428571E-2</v>
      </c>
      <c r="CQ598" s="1118">
        <f t="shared" si="840"/>
        <v>2.6666666666666661E-2</v>
      </c>
      <c r="CR598" s="1118">
        <f t="shared" si="841"/>
        <v>0</v>
      </c>
      <c r="CS598" s="1118" t="e">
        <f t="shared" si="875"/>
        <v>#VALUE!</v>
      </c>
      <c r="CT598" s="1109">
        <f t="shared" si="876"/>
        <v>0</v>
      </c>
      <c r="CU598" s="1101">
        <f t="shared" si="842"/>
        <v>0</v>
      </c>
      <c r="CV598" s="1108">
        <f t="shared" si="870"/>
        <v>0</v>
      </c>
      <c r="CW598" s="1097">
        <f t="shared" si="843"/>
        <v>0</v>
      </c>
      <c r="CX598" s="1097">
        <f t="shared" si="844"/>
        <v>0</v>
      </c>
      <c r="CY598" s="1110">
        <f t="shared" si="845"/>
        <v>0</v>
      </c>
      <c r="CZ598" s="437"/>
      <c r="DA598" s="438"/>
      <c r="DB598" s="1115" t="s">
        <v>569</v>
      </c>
      <c r="DC598" s="1115"/>
      <c r="DD598" s="1119"/>
      <c r="DE598" s="1092"/>
      <c r="DF598" s="1092"/>
      <c r="DG598" s="1116">
        <f t="shared" si="846"/>
        <v>0</v>
      </c>
      <c r="DH598" s="1116">
        <f t="shared" si="847"/>
        <v>0</v>
      </c>
      <c r="DI598" s="1116">
        <f t="shared" si="848"/>
        <v>0</v>
      </c>
      <c r="DJ598" s="1118">
        <f t="shared" si="871"/>
        <v>0</v>
      </c>
      <c r="DK598" s="1109">
        <f t="shared" si="872"/>
        <v>0</v>
      </c>
      <c r="DL598" s="1101">
        <f t="shared" si="849"/>
        <v>0</v>
      </c>
      <c r="DM598" s="1097">
        <f t="shared" si="850"/>
        <v>0</v>
      </c>
      <c r="DN598" s="1097">
        <f t="shared" si="851"/>
        <v>0</v>
      </c>
      <c r="DO598" s="1097">
        <f t="shared" si="852"/>
        <v>0</v>
      </c>
      <c r="DP598" s="1110">
        <f t="shared" si="853"/>
        <v>0</v>
      </c>
      <c r="DQ598" s="1113" t="s">
        <v>549</v>
      </c>
      <c r="DR598" s="1114">
        <v>0.11</v>
      </c>
      <c r="DS598" s="1124"/>
      <c r="DT598" s="1124" t="s">
        <v>179</v>
      </c>
      <c r="DU598" s="1124"/>
      <c r="DV598" s="1098">
        <f>IF($P598="","N/A",IF(P598=-1,INDEX('卡片raw data'!AN:AN,MATCH(D598,'卡片raw data'!$F:$F,)),0)+IF(AND(L598&lt;&gt;"party卡",P598&lt;=2,P598&gt;=0),INDEX('卡片raw data'!AP:AP,MATCH(D598,'卡片raw data'!$F:$F,)),0)+IF(OR(AND(L598="party卡",P598&lt;=1),AND(P598&lt;=4,L598&lt;&gt;"party卡",P598&gt;=3)),INDEX('卡片raw data'!AQ:AQ,MATCH(D598,'卡片raw data'!$F:$F,)),0)+IF(OR(P598=5,AND(L598="party卡",P598&gt;=2)),INDEX('卡片raw data'!AR:AR,MATCH(D598,'卡片raw data'!$F:$F,)),0))</f>
        <v>0.12</v>
      </c>
      <c r="DW598" s="1098">
        <f t="shared" si="854"/>
        <v>0.19571428571428573</v>
      </c>
      <c r="DX598" s="1098">
        <f t="shared" si="855"/>
        <v>0.19</v>
      </c>
      <c r="DY598" s="1098">
        <f t="shared" si="856"/>
        <v>7.8285714285714295E-3</v>
      </c>
      <c r="DZ598" s="1098">
        <f t="shared" si="857"/>
        <v>7.5600999999999993E-3</v>
      </c>
      <c r="EA598" s="1098">
        <f t="shared" si="858"/>
        <v>0</v>
      </c>
      <c r="EB598" s="1121">
        <f t="shared" si="859"/>
        <v>30.916599999999999</v>
      </c>
      <c r="EC598" s="1101">
        <f t="shared" si="860"/>
        <v>3522.8571428571431</v>
      </c>
      <c r="ED598" s="1097">
        <f t="shared" si="861"/>
        <v>1890.0249999999999</v>
      </c>
      <c r="EE598" s="1110">
        <f t="shared" si="775"/>
        <v>3522.8571428571431</v>
      </c>
      <c r="EF598" s="1113" t="s">
        <v>569</v>
      </c>
      <c r="EG598" s="1120">
        <v>0.11</v>
      </c>
      <c r="EH598" s="1124"/>
      <c r="EI598" s="1124"/>
      <c r="EJ598" s="1124"/>
      <c r="EK598" s="1097">
        <f>IF($P598="","N/A",IF(P598=-1,INDEX('卡片raw data'!AS:AS,MATCH(D598,'卡片raw data'!$F:$F,)),0)+IF(AND(L598&lt;&gt;"party卡",P598&lt;=2,P598&gt;=0),INDEX('卡片raw data'!AU:AU,MATCH(D598,'卡片raw data'!$F:$F,)),0)+IF(OR(AND(L598="party卡",P598&lt;=1),AND(P598&lt;=4,L598&lt;&gt;"party卡",P598&gt;=3)),INDEX('卡片raw data'!AV:AV,MATCH(D598,'卡片raw data'!$F:$F,)),0)+IF(OR(P598=5,AND(L598="party卡",P598&gt;=2)),INDEX('卡片raw data'!AW:AW,MATCH(D598,'卡片raw data'!$F:$F,)),0))</f>
        <v>0</v>
      </c>
      <c r="EL598" s="1098">
        <f t="shared" si="862"/>
        <v>0.19571428571428573</v>
      </c>
      <c r="EM598" s="1098">
        <f t="shared" si="863"/>
        <v>0.19</v>
      </c>
      <c r="EN598" s="1097">
        <f t="shared" si="864"/>
        <v>0</v>
      </c>
      <c r="EO598" s="1097">
        <f t="shared" si="865"/>
        <v>0</v>
      </c>
      <c r="EP598" s="1098">
        <f t="shared" si="866"/>
        <v>0</v>
      </c>
      <c r="EQ598" s="1121">
        <f t="shared" si="867"/>
        <v>0</v>
      </c>
      <c r="ER598" s="1101">
        <f t="shared" si="868"/>
        <v>0</v>
      </c>
      <c r="ES598" s="1097">
        <f t="shared" si="869"/>
        <v>0</v>
      </c>
      <c r="ET598" s="1122">
        <f t="shared" si="776"/>
        <v>0</v>
      </c>
    </row>
    <row r="599" spans="2:150" ht="16.5" customHeight="1">
      <c r="B599" s="1123" t="str">
        <f>INDEX('卡片raw data'!B:B,MATCH($D599,'卡片raw data'!$F:$F,))</f>
        <v>水蓝黛</v>
      </c>
      <c r="C599" s="1025" t="s">
        <v>4848</v>
      </c>
      <c r="D599" s="408">
        <v>596</v>
      </c>
      <c r="E599" s="1164">
        <v>401042004</v>
      </c>
      <c r="F599" s="1090" t="str">
        <f>INDEX('卡片raw data'!C:C,MATCH($D599,'卡片raw data'!$F:$F,))</f>
        <v>SR</v>
      </c>
      <c r="G599" s="1026" t="s">
        <v>4849</v>
      </c>
      <c r="H599" s="411">
        <f>IFERROR(INDEX(绊状态确认!C:C,MATCH($G599,绊状态确认!$B:$B,)),"")</f>
        <v>104</v>
      </c>
      <c r="I599" s="450" t="str">
        <f>IFERROR(INDEX(绊状态确认!D:D,MATCH($G599,绊状态确认!$B:$B,)),"")</f>
        <v>水</v>
      </c>
      <c r="J599" s="450" t="str">
        <f>IFERROR(INDEX(绊状态确认!E:E,MATCH($G599,绊状态确认!$B:$B,)),"")</f>
        <v>3年级</v>
      </c>
      <c r="K599" s="451" t="str">
        <f>IFERROR(INDEX(绊状态确认!F:F,MATCH($G599,绊状态确认!$B:$B,)),"")</f>
        <v>AZALEA</v>
      </c>
      <c r="L599" s="1094" t="str">
        <f>INDEX('卡片raw data'!E:E,MATCH($D599,'卡片raw data'!$F:$F,))</f>
        <v>卡池卡</v>
      </c>
      <c r="M599" s="1065">
        <v>44548</v>
      </c>
      <c r="N599" s="1027">
        <v>54</v>
      </c>
      <c r="O599" s="1091" t="str">
        <f>INDEX('卡片raw data'!D:D,MATCH($D599,'卡片raw data'!$F:$F,))</f>
        <v>sp</v>
      </c>
      <c r="P599" s="1126">
        <v>5</v>
      </c>
      <c r="Q599" s="1095">
        <f t="shared" si="796"/>
        <v>33702.666028948493</v>
      </c>
      <c r="R599" s="1096">
        <f t="shared" si="797"/>
        <v>0.39100000000000001</v>
      </c>
      <c r="S599" s="1097">
        <f t="shared" si="798"/>
        <v>17277.003929025228</v>
      </c>
      <c r="T599" s="1098">
        <f t="shared" si="799"/>
        <v>0.86299999999999999</v>
      </c>
      <c r="U599" s="1099">
        <f t="shared" si="800"/>
        <v>12.522173319852858</v>
      </c>
      <c r="V599" s="1100">
        <f t="shared" si="801"/>
        <v>32902.698808809393</v>
      </c>
      <c r="W599" s="1101">
        <f t="shared" si="802"/>
        <v>4524.178624487562</v>
      </c>
      <c r="X599" s="1096">
        <f t="shared" si="803"/>
        <v>5.1999999999999998E-2</v>
      </c>
      <c r="Y599" s="1097">
        <f t="shared" si="804"/>
        <v>1000.0327798609032</v>
      </c>
      <c r="Z599" s="1102">
        <f t="shared" si="805"/>
        <v>12.522173319852858</v>
      </c>
      <c r="AA599" s="1103">
        <f t="shared" si="806"/>
        <v>5524.2114043484653</v>
      </c>
      <c r="AB599" s="1101">
        <f t="shared" si="807"/>
        <v>8280.6131970925617</v>
      </c>
      <c r="AC599" s="1104">
        <f t="shared" si="808"/>
        <v>9.6000000000000002E-2</v>
      </c>
      <c r="AD599" s="1105">
        <f t="shared" si="809"/>
        <v>-1.9908281250000003E-2</v>
      </c>
      <c r="AE599" s="1128">
        <f t="shared" si="810"/>
        <v>-1.3514492753623202</v>
      </c>
      <c r="AF599" s="1130">
        <f t="shared" si="811"/>
        <v>0</v>
      </c>
      <c r="AG599" s="1097">
        <f t="shared" si="812"/>
        <v>0</v>
      </c>
      <c r="AH599" s="1097">
        <f t="shared" si="813"/>
        <v>0</v>
      </c>
      <c r="AI599" s="1097">
        <f t="shared" si="814"/>
        <v>0</v>
      </c>
      <c r="AJ599" s="1097">
        <f t="shared" si="815"/>
        <v>0</v>
      </c>
      <c r="AK599" s="1129">
        <f t="shared" si="816"/>
        <v>0</v>
      </c>
      <c r="AL599" s="1042">
        <f>IF($P599="","N/A",(IF($P599=-1,INDEX('卡片raw data'!S:S,MATCH($D599,'卡片raw data'!$F:$F,)),0)+IF($P599=0,INDEX('卡片raw data'!V:V,MATCH($D599,'卡片raw data'!$F:$F,)),0)+IF($P599=1,INDEX('卡片raw data'!Y:Y,MATCH($D599,'卡片raw data'!$F:$F,)),0)+IF($P599=2,INDEX('卡片raw data'!AB:AB,MATCH($D599,'卡片raw data'!$F:$F,)),0)+IF($P599=3,INDEX('卡片raw data'!AE:AE,MATCH($D599,'卡片raw data'!$F:$F,)),0)+IF($P599=4,INDEX('卡片raw data'!AH:AH,MATCH($D599,'卡片raw data'!$F:$F,)),0)+IF($P599=5,INDEX('卡片raw data'!AK:AK,MATCH($D599,'卡片raw data'!$F:$F,)),0)+INDEX('卡片raw data'!S:S,MATCH($D599,'卡片raw data'!$F:$F,))*(IF($F599="UR",0.04,0.033))*(IF($F599="UR",INDEX(绊状态确认!$S:$S,MATCH($G599,绊状态确认!$B:$B,))/2-40)+IF($F599="SR",INDEX(绊状态确认!$R:$R,MATCH($G599,绊状态确认!$B:$B,))/4-15))+IF($F599="R",INDEX(绊状态确认!$Q:$Q,MATCH($G599,绊状态确认!$B:$B,))/6-40/6)))*(INDEX(绊状态确认!$H:$H,MATCH($G599,绊状态确认!$B:$B,))+INDEX(绊状态确认!J:J,MATCH($G599,绊状态确认!$B:$B,)))</f>
        <v>7286.7104399999998</v>
      </c>
      <c r="AM599" s="1035">
        <f>IF($P599="","N/A",(IF($P599=-1,INDEX('卡片raw data'!T:T,MATCH($D599,'卡片raw data'!$F:$F,)),0)+IF($P599=0,INDEX('卡片raw data'!W:W,MATCH($D599,'卡片raw data'!$F:$F,)),0)+IF($P599=1,INDEX('卡片raw data'!Z:Z,MATCH($D599,'卡片raw data'!$F:$F,)),0)+IF($P599=2,INDEX('卡片raw data'!AC:AC,MATCH($D599,'卡片raw data'!$F:$F,)),0)+IF($P599=3,INDEX('卡片raw data'!AF:AF,MATCH($D599,'卡片raw data'!$F:$F,)),0)+IF($P599=4,INDEX('卡片raw data'!AI:AI,MATCH($D599,'卡片raw data'!$F:$F,)),0)+IF($P599=5,INDEX('卡片raw data'!AL:AL,MATCH($D599,'卡片raw data'!$F:$F,)),0)+INDEX('卡片raw data'!T:T,MATCH($D599,'卡片raw data'!$F:$F,))*(IF($F599="UR",0.04,0.033))*(IF($F599="UR",INDEX(绊状态确认!$S:$S,MATCH($G599,绊状态确认!$B:$B,))/2-40)+IF($F599="SR",INDEX(绊状态确认!$R:$R,MATCH($G599,绊状态确认!$B:$B,))/4-15))+IF($F599="R",INDEX(绊状态确认!$Q:$Q,MATCH($G599,绊状态确认!$B:$B,))/6-40/6)))*(INDEX(绊状态确认!$H:$H,MATCH($G599,绊状态确认!$B:$B,))+INDEX(绊状态确认!K:K,MATCH($G599,绊状态确认!$B:$B,)))</f>
        <v>6581.2174103999996</v>
      </c>
      <c r="AN599" s="1043">
        <f>IF($P599="","N/A",(IF($P599=-1,INDEX('卡片raw data'!U:U,MATCH($D599,'卡片raw data'!$F:$F,)),0)+IF($P599=0,INDEX('卡片raw data'!X:X,MATCH($D599,'卡片raw data'!$F:$F,)),0)+IF($P599=1,INDEX('卡片raw data'!AA:AA,MATCH($D599,'卡片raw data'!$F:$F,)),0)+IF($P599=2,INDEX('卡片raw data'!AD:AD,MATCH($D599,'卡片raw data'!$F:$F,)),0)+IF($P599=3,INDEX('卡片raw data'!AG:AG,MATCH($D599,'卡片raw data'!$F:$F,)),0)+IF($P599=4,INDEX('卡片raw data'!AJ:AJ,MATCH($D599,'卡片raw data'!$F:$F,)),0)+IF($P599=5,INDEX('卡片raw data'!AM:AM,MATCH($D599,'卡片raw data'!$F:$F,)),0)+INDEX('卡片raw data'!U:U,MATCH($D599,'卡片raw data'!$F:$F,))*(IF($F599="UR",0.04,0.033))*(IF($F599="UR",INDEX(绊状态确认!$S:$S,MATCH($G599,绊状态确认!$B:$B,))/2-40)+IF($F599="SR",INDEX(绊状态确认!$R:$R,MATCH($G599,绊状态确认!$B:$B,))/4-15))+IF($F599="R",INDEX(绊状态确认!$Q:$Q,MATCH($G599,绊状态确认!$B:$B,))/6-40/6)))*(INDEX(绊状态确认!$H:$H,MATCH($G599,绊状态确认!$B:$B,))+INDEX(绊状态确认!L:L,MATCH($G599,绊状态确认!$B:$B,)))</f>
        <v>9638.3788728</v>
      </c>
      <c r="AO599" s="1167">
        <f t="shared" si="817"/>
        <v>1</v>
      </c>
      <c r="AP599" s="1044">
        <f>1+(INDEX(绊状态确认!$T:$T,MATCH($G599,绊状态确认!$B:$B,))+0.2)*$AO599</f>
        <v>1.3</v>
      </c>
      <c r="AQ599" s="1035">
        <f t="shared" si="818"/>
        <v>22377.614905000002</v>
      </c>
      <c r="AR599" s="1035">
        <f>(AM599*(1+$EX$9)+$EX$35)*(1+(INDEX(绊状态确认!$T:$T,MATCH($G599,绊状态确认!$B:$B,))+0.2)*AO599)*IF(J599=$FF$17,1+$FE$17,1)*IF(I599=$FF$14,1+$FE$14,1)</f>
        <v>11687.361765195999</v>
      </c>
      <c r="AS599" s="1035">
        <f>(AN599*(1+$EX$10)+$EX$36)*(1+(INDEX(绊状态确认!$T:$T,MATCH($G599,绊状态确认!$B:$B,))+0.2)*AO599)*IF(J599=$FF$17,1+$FE$17,1)*IF(I599=$FF$14,1+$FE$14,1)</f>
        <v>18465.376414835999</v>
      </c>
      <c r="AT599" s="1165">
        <f>IF(AND(INDEX('卡片raw data'!AK:AK,MATCH($D599,'卡片raw data'!$F:$F,))&lt;INDEX('卡片raw data'!AM:AM,MATCH($D599,'卡片raw data'!$F:$F,)),INDEX('卡片raw data'!AL:AL,MATCH($D599,'卡片raw data'!$F:$F,))&lt;INDEX('卡片raw data'!AM:AM,MATCH($D599,'卡片raw data'!$F:$F,))),1,0)</f>
        <v>1</v>
      </c>
      <c r="AU599" s="1031">
        <f>MIN(AT599*0.15+AS599*0.00003+INDEX(绊状态确认!M:M,MATCH($G599,绊状态确认!$B:$B,)),1)</f>
        <v>0.73396129244508002</v>
      </c>
      <c r="AV599" s="1045">
        <f>(INDEX(绊状态确认!$N:$N,MATCH($G599,绊状态确认!$B:$B,))+1.5)*$EW$21</f>
        <v>2.6599999999999997</v>
      </c>
      <c r="AW599" s="1038">
        <f t="shared" si="819"/>
        <v>25781.386400277966</v>
      </c>
      <c r="AX599" s="1035">
        <f t="shared" si="820"/>
        <v>1000.0327798609034</v>
      </c>
      <c r="AY599" s="483">
        <f t="shared" si="821"/>
        <v>26781.41918013887</v>
      </c>
      <c r="AZ599" s="1106">
        <f t="shared" si="822"/>
        <v>16809.085357999997</v>
      </c>
      <c r="BA599" s="1108">
        <f t="shared" si="823"/>
        <v>20170.902429599995</v>
      </c>
      <c r="BB599" s="1035">
        <f>(AM599*(1+$FB$9)+$FB$35)*(1+(INDEX(绊状态确认!$T:$T,MATCH($G599,绊状态确认!$B:$B,))+0.2)*AO599)*IF(J599=$FF$17,1+$FE$17,1)*IF(I599=$FF$14,1+$FE$14,1)*(1+$FE$15)</f>
        <v>11687.361765195999</v>
      </c>
      <c r="BC599" s="1035">
        <f>(AN599*(1+$FB$10)+$FB$36)*(1+(INDEX(绊状态确认!$T:$T,MATCH($G599,绊状态确认!$B:$B,))+0.2)*AO599)*IF(J599=$FF$17,1+$FE$17,1)*IF(I599=$FF$14,1+$FE$14,1)*(1+$FE$15)</f>
        <v>18465.376414835999</v>
      </c>
      <c r="BD599" s="481">
        <f>MIN(AT599*0.15+BC599*0.00003+INDEX(绊状态确认!M:M,MATCH($G599,绊状态确认!$B:$B,)),1)</f>
        <v>0.73396129244508002</v>
      </c>
      <c r="BE599" s="1109">
        <f>(INDEX(绊状态确认!$N:$N,MATCH($G599,绊状态确认!$B:$B,))+1.5)</f>
        <v>1.9</v>
      </c>
      <c r="BF599" s="646">
        <f t="array" ref="BF599">SUMPRODUCT(IF(AZ599*AP599*$FI$16:$FI$23*$FA$22&gt;=$FI$24,$FI$24,AZ599*AP599*$FI$16:$FI$23*$FA$22),$FJ$16:$FJ$23)</f>
        <v>33433.270777061996</v>
      </c>
      <c r="BG599" s="1047">
        <f t="array" ref="BG599">SUMPRODUCT(IF(BE599*AZ599*AP599*$FI$16:$FI$23*$FA$22&gt;=$FI$24,$FI$24,BE599*AZ599*AP599*$FI$16:$FI$23*$FA$22),$FJ$16:$FJ$23)</f>
        <v>58004.773642157794</v>
      </c>
      <c r="BH599" s="1046">
        <f t="shared" si="824"/>
        <v>17155.934259081896</v>
      </c>
      <c r="BI599" s="1048">
        <f>IF(O599="vo",$EW$26/$EW$24*0.05,0)+IF(O599="sk",-$EW$26/$EW$24*(0.05-INDEX(绊状态确认!W:W,MATCH($G599,绊状态确认!$B:$B,)))+0.05*$EW$28,0)+IF(O599="sp",0.05*$EW$32*$EW$30*(1-$EW$33)-(0.05-INDEX(绊状态确认!V:V,MATCH($G599,绊状态确认!$B:$B,)))*$EW$28,0)+IF(O599="gd",-(0.05-INDEX(绊状态确认!X:X,MATCH($G599,绊状态确认!$B:$B,)))*$EW$32*$EW$30*(1-$EW$33),0)</f>
        <v>19.999999999999886</v>
      </c>
      <c r="BJ599" s="1097">
        <f>IF(O599="vo",0.05*(1-$FI$26)*$FA$24,0)+IF(O599="sk",-(0.05-INDEX(绊状态确认!W:W,MATCH($G599,绊状态确认!$B:$B,)))*(1-$FI$26)*$FA$24+0.05*$FA$26,0)+IF(O599="sp",0.05*$FA$32*$FA$27*(1-$FA$33)/$FA$30+0.05*$FA$29/$FA$69*$FA$27*(1-$FA$33)-(0.05-INDEX(绊状态确认!V:V,MATCH($G599,绊状态确认!$B:$B,)))*$FA$26,0)+IF(O599="gd",-(0.05-INDEX(绊状态确认!X:X,MATCH($G599,绊状态确认!$B:$B,)))*$FA$32*$FA$27*(1-$FA$33)/$FA$30-(0.05-INDEX(绊状态确认!X:X,MATCH($G599,绊状态确认!$B:$B,)))*$FA$29/$FA$69*$FA$27*(1-$FA$33),0)</f>
        <v>545.83333333333326</v>
      </c>
      <c r="BK599" s="1046">
        <f>IF(O599="vo",$EW$26/$EW$24*0.05+$EW$26*(-HP($EW$62,$EW$65,$EW$64)+HP($EW$62,$EW$65,(1.05-INDEX(绊状态确认!U:U,MATCH($G599,绊状态确认!$B:$B,)))*$EW$64)),0)+IF(O599="sk",-$EW$26/$EW$24*(0.05-INDEX(绊状态确认!W:W,MATCH($G599,绊状态确认!$B:$B,)))+0.05*$EW$29,0)+IF(O599="sp",0.05*$EW$32*$EW$30*(1-$EW$33)-(0.05-INDEX(绊状态确认!V:V,MATCH($G599,绊状态确认!$B:$B,)))*$EW$29,0)+IF(O599="gd",-(0.05-INDEX(绊状态确认!X:X,MATCH($G599,绊状态确认!$B:$B,)))*$EW$32*$EW$30*(1-$EW$33)+$EW$26*(-HP($EW$62,$EW$65,$EW$64)+HP($EW$62,$EW$65,0.95*$EW$64)),0)</f>
        <v>-1780.0000000000005</v>
      </c>
      <c r="BL599" s="1048">
        <f t="shared" si="825"/>
        <v>-1083.3333333333333</v>
      </c>
      <c r="BM599" s="1046">
        <f t="shared" si="826"/>
        <v>-830.55555555555543</v>
      </c>
      <c r="BN599" s="1167">
        <f t="shared" si="827"/>
        <v>3</v>
      </c>
      <c r="BO599" s="1035">
        <f t="shared" si="828"/>
        <v>4507.7214871259994</v>
      </c>
      <c r="BP599" s="1043">
        <f t="shared" si="829"/>
        <v>221.34103209030098</v>
      </c>
      <c r="BQ599" s="1167" t="s">
        <v>1940</v>
      </c>
      <c r="BR599" s="1165" t="s">
        <v>2127</v>
      </c>
      <c r="BS599" s="1098">
        <f>IF($P599="","N/A",IF($P599=-1,INDEX('卡片raw data'!AX:AX,MATCH($D599,'卡片raw data'!$F:$F,)),0)+IF($L599="party卡",IF($P599=5,INDEX('卡片raw data'!BD:BD,MATCH($D599,'卡片raw data'!$F:$F,)),IF($P599&gt;=3,INDEX('卡片raw data'!BC:BC,MATCH($D599,'卡片raw data'!$F:$F,)),INDEX('卡片raw data'!BB:BB,MATCH($D599,'卡片raw data'!$F:$F,)))),IF(OR(AND($F599="UR",$P599=0),AND($F599="SR",$P599&gt;=0,$P599&lt;=2),AND($F599="R",$P599&gt;=0,$P599&lt;4)),INDEX('卡片raw data'!AZ:AZ,MATCH($D599,'卡片raw data'!$F:$F,)),0)+IF(OR(AND($F599="UR",$P599&gt;=1,$P599&lt;=4),AND($F599="SR",$P599&lt;=4,$P599&gt;=3),AND($F599="R",$P599=4)),INDEX('卡片raw data'!BA:BA,MATCH($D599,'卡片raw data'!$F:$F,)),0)+IF($P599=5,INDEX('卡片raw data'!BB:BB,MATCH($D599,'卡片raw data'!$F:$F,)),0)))</f>
        <v>0.05</v>
      </c>
      <c r="BT599" s="1101">
        <f t="shared" si="830"/>
        <v>3756.4345726050001</v>
      </c>
      <c r="BU599" s="1097">
        <f t="shared" si="831"/>
        <v>184.45086007525089</v>
      </c>
      <c r="BV599" s="1097">
        <f t="shared" si="832"/>
        <v>0</v>
      </c>
      <c r="BW599" s="1112">
        <f t="shared" si="833"/>
        <v>0</v>
      </c>
      <c r="BX599" s="1100">
        <f t="shared" si="834"/>
        <v>3756.4345726050001</v>
      </c>
      <c r="BY599" s="1110">
        <f t="shared" si="835"/>
        <v>0</v>
      </c>
      <c r="BZ599" s="1113" t="s">
        <v>569</v>
      </c>
      <c r="CA599" s="1124"/>
      <c r="CB599" s="1098">
        <f>IF($P599="","N/A",IF($P599=-1,INDEX('卡片raw data'!BE:BE,MATCH($D599,'卡片raw data'!$F:$F,)),0)+IF($L599="party卡",IF($P599=5,INDEX('卡片raw data'!BK:BK,MATCH($D599,'卡片raw data'!$F:$F,)),IF($P599&gt;=3,INDEX('卡片raw data'!BJ:BJ,MATCH($D599,'卡片raw data'!$F:$F,)),INDEX('卡片raw data'!BI:BI,MATCH($D599,'卡片raw data'!$F:$F,)))),IF(OR(AND($F599="UR",$P599=0),AND($F599="SR",$P599&gt;=0,$P599&lt;=2),AND($F599="R",$P599&gt;=0,$P599&lt;4)),INDEX('卡片raw data'!BG:BG,MATCH($D599,'卡片raw data'!$F:$F,)),0)+IF(OR(AND($F599="UR",$P599&gt;=1,$P599&lt;=4),AND($F599="SR",$P599&lt;=4,$P599&gt;=3),AND($F599="R",$P599=4)),INDEX('卡片raw data'!BH:BH,MATCH($D599,'卡片raw data'!$F:$F,)),0)+IF($P599=5,INDEX('卡片raw data'!BI:BI,MATCH($D599,'卡片raw data'!$F:$F,)),0)))</f>
        <v>0</v>
      </c>
      <c r="CC599" s="1101">
        <f t="shared" si="873"/>
        <v>0</v>
      </c>
      <c r="CD599" s="1097">
        <f>IF(BZ599="ap",CB599*(1-$FI$26)*$FB$5/$FB$11*(+IF(CA599="全员",$FA$24,0)+IF(CA599="同作战",$FA$24,0)+IF(CA599="仲间",$FA$24*2/3,0)+IF(CA599="同属性",$FA$24*$FA$37/3,0)+IF(CA599="同年级",$FA$24*$FA$40/3,0)+IF(CA599="同学校",$FA$24*$FA$43/3,0)+IF(CA599="同小队",$FA$24*$FA$46/3,0)+IF(CA599="同type",$FA$24*INDEX($FB$49:$FB$52,MATCH(X599,$FA$49:$FA$52,))/3,0)+IF(CA599="自身",#REF!/3,0)),0)+IF(BZ599="te",CB599*(1-$FI$27)*($FA$20-1)*$FB$7/$FB$13*(+IF(CA599="全员",$FA$19*$FA$24/(1+($FA$20-1)*$FA$19),0)+IF(CA599="同作战",$FA$19*$FA$24/(1+($FA$20-1)*$FA$19),0)+IF(CA599="仲间",$FA$19*$FA$24*2/3/(1+($FA$20-1)*$FA$19),0)+IF(CA599="同属性",$FA$19*$FA$24*$FA$37/3/(1+($FA$20-1)*$FA$19),0)+IF(CA599="同年级",$FA$19*$FA$24*$FA$40/3/(1+($FA$20-1)*$FA$19),0)+IF(CA599="同学校",$FA$19*$FA$24*$FA$43/3/(1+($FA$20-1)*$FA$19),0)+IF(CA599="同小队",$FA$19*$FA$24*$FA$46/3/(1+($FA$20-1)*$FA$19),0)+IF(CA599="同type",$FA$19*$FA$24*INDEX($FB$49:$FB$52,MATCH(X599,$FA$49:$FA$52,))/3/(1+($FA$20-1)*$FA$19),0)+IF(CA599="自身",$FA$19*#REF!/3/(1+(BH599-1)*$BD599),0)),0)</f>
        <v>0</v>
      </c>
      <c r="CE599" s="1097">
        <f t="shared" si="836"/>
        <v>0</v>
      </c>
      <c r="CF599" s="1112">
        <f t="shared" si="874"/>
        <v>0</v>
      </c>
      <c r="CG599" s="1100">
        <f t="shared" si="837"/>
        <v>0</v>
      </c>
      <c r="CH599" s="1110">
        <f t="shared" si="838"/>
        <v>0</v>
      </c>
      <c r="CI599" s="1113" t="s">
        <v>162</v>
      </c>
      <c r="CJ599" s="1114">
        <v>0.3</v>
      </c>
      <c r="CK599" s="1115" t="s">
        <v>2158</v>
      </c>
      <c r="CL599" s="1169" t="s">
        <v>1940</v>
      </c>
      <c r="CM599" s="1166">
        <v>0.08</v>
      </c>
      <c r="CN599" s="1169"/>
      <c r="CO599" s="1169"/>
      <c r="CP599" s="1116">
        <f t="shared" si="839"/>
        <v>11.50848766542857</v>
      </c>
      <c r="CQ599" s="1116">
        <f t="shared" si="840"/>
        <v>16.136721943679998</v>
      </c>
      <c r="CR599" s="1117">
        <f t="shared" si="841"/>
        <v>11.50848766542857</v>
      </c>
      <c r="CS599" s="1118">
        <f t="shared" si="875"/>
        <v>0</v>
      </c>
      <c r="CT599" s="1109">
        <f t="shared" si="876"/>
        <v>0</v>
      </c>
      <c r="CU599" s="1101">
        <f t="shared" si="842"/>
        <v>16.457137361562857</v>
      </c>
      <c r="CV599" s="1108">
        <f t="shared" si="870"/>
        <v>0</v>
      </c>
      <c r="CW599" s="1097">
        <f t="shared" si="843"/>
        <v>16.457137361562857</v>
      </c>
      <c r="CX599" s="1097">
        <f t="shared" si="844"/>
        <v>16.457137361562857</v>
      </c>
      <c r="CY599" s="1110">
        <f t="shared" si="845"/>
        <v>16.457137361562857</v>
      </c>
      <c r="CZ599" s="437"/>
      <c r="DA599" s="438"/>
      <c r="DB599" s="1115" t="s">
        <v>569</v>
      </c>
      <c r="DC599" s="1115"/>
      <c r="DD599" s="1119"/>
      <c r="DE599" s="1092"/>
      <c r="DF599" s="1092"/>
      <c r="DG599" s="1116">
        <f t="shared" si="846"/>
        <v>0</v>
      </c>
      <c r="DH599" s="1116">
        <f t="shared" si="847"/>
        <v>0</v>
      </c>
      <c r="DI599" s="1116">
        <f t="shared" si="848"/>
        <v>0</v>
      </c>
      <c r="DJ599" s="1118">
        <f t="shared" si="871"/>
        <v>0</v>
      </c>
      <c r="DK599" s="1109">
        <f t="shared" si="872"/>
        <v>0</v>
      </c>
      <c r="DL599" s="1101">
        <f t="shared" si="849"/>
        <v>0</v>
      </c>
      <c r="DM599" s="1097">
        <f t="shared" si="850"/>
        <v>0</v>
      </c>
      <c r="DN599" s="1097">
        <f t="shared" si="851"/>
        <v>0</v>
      </c>
      <c r="DO599" s="1097">
        <f t="shared" si="852"/>
        <v>0</v>
      </c>
      <c r="DP599" s="1110">
        <f t="shared" si="853"/>
        <v>0</v>
      </c>
      <c r="DQ599" s="1113" t="s">
        <v>2158</v>
      </c>
      <c r="DR599" s="1120">
        <f>IF(F599="UR",0.33,0.3)</f>
        <v>0.3</v>
      </c>
      <c r="DS599" s="1124"/>
      <c r="DT599" s="1124" t="s">
        <v>132</v>
      </c>
      <c r="DU599" s="1124"/>
      <c r="DV599" s="1098">
        <f>IF($P599="","N/A",IF(P599=-1,INDEX('卡片raw data'!AN:AN,MATCH(D599,'卡片raw data'!$F:$F,)),0)+IF(AND(L599&lt;&gt;"party卡",P599&lt;=2,P599&gt;=0),INDEX('卡片raw data'!AP:AP,MATCH(D599,'卡片raw data'!$F:$F,)),0)+IF(OR(AND(L599="party卡",P599&lt;=1),AND(P599&lt;=4,L599&lt;&gt;"party卡",P599&gt;=3)),INDEX('卡片raw data'!AQ:AQ,MATCH(D599,'卡片raw data'!$F:$F,)),0)+IF(OR(P599=5,AND(L599="party卡",P599&gt;=2)),INDEX('卡片raw data'!AR:AR,MATCH(D599,'卡片raw data'!$F:$F,)),0))</f>
        <v>0.22</v>
      </c>
      <c r="DW599" s="1098">
        <f t="shared" si="854"/>
        <v>0.3</v>
      </c>
      <c r="DX599" s="1098">
        <f t="shared" si="855"/>
        <v>0.3</v>
      </c>
      <c r="DY599" s="1097">
        <f t="shared" si="856"/>
        <v>492.30752791000003</v>
      </c>
      <c r="DZ599" s="1097">
        <f t="shared" si="857"/>
        <v>383.8522732352879</v>
      </c>
      <c r="EA599" s="1098">
        <f t="shared" si="858"/>
        <v>0</v>
      </c>
      <c r="EB599" s="1121">
        <f t="shared" si="859"/>
        <v>0</v>
      </c>
      <c r="EC599" s="1101">
        <f t="shared" si="860"/>
        <v>703.99976491130008</v>
      </c>
      <c r="ED599" s="1097">
        <f t="shared" si="861"/>
        <v>0</v>
      </c>
      <c r="EE599" s="1110">
        <f t="shared" si="775"/>
        <v>703.99976491130008</v>
      </c>
      <c r="EF599" s="1113" t="s">
        <v>569</v>
      </c>
      <c r="EG599" s="1120">
        <f>IF(F599="UR",0.33,0.3)</f>
        <v>0.3</v>
      </c>
      <c r="EH599" s="1124"/>
      <c r="EI599" s="1124"/>
      <c r="EJ599" s="1124"/>
      <c r="EK599" s="1097">
        <f>IF($P599="","N/A",IF(P599=-1,INDEX('卡片raw data'!AS:AS,MATCH(D599,'卡片raw data'!$F:$F,)),0)+IF(AND(L599&lt;&gt;"party卡",P599&lt;=2,P599&gt;=0),INDEX('卡片raw data'!AU:AU,MATCH(D599,'卡片raw data'!$F:$F,)),0)+IF(OR(AND(L599="party卡",P599&lt;=1),AND(P599&lt;=4,L599&lt;&gt;"party卡",P599&gt;=3)),INDEX('卡片raw data'!AV:AV,MATCH(D599,'卡片raw data'!$F:$F,)),0)+IF(OR(P599=5,AND(L599="party卡",P599&gt;=2)),INDEX('卡片raw data'!AW:AW,MATCH(D599,'卡片raw data'!$F:$F,)),0))</f>
        <v>0</v>
      </c>
      <c r="EL599" s="1098">
        <f t="shared" si="862"/>
        <v>0.3</v>
      </c>
      <c r="EM599" s="1098">
        <f t="shared" si="863"/>
        <v>0.3</v>
      </c>
      <c r="EN599" s="1097">
        <f t="shared" si="864"/>
        <v>0</v>
      </c>
      <c r="EO599" s="1097">
        <f t="shared" si="865"/>
        <v>0</v>
      </c>
      <c r="EP599" s="1098">
        <f t="shared" si="866"/>
        <v>0</v>
      </c>
      <c r="EQ599" s="1121">
        <f t="shared" si="867"/>
        <v>0</v>
      </c>
      <c r="ER599" s="1101">
        <f t="shared" si="868"/>
        <v>0</v>
      </c>
      <c r="ES599" s="1097">
        <f t="shared" si="869"/>
        <v>0</v>
      </c>
      <c r="ET599" s="1122">
        <f t="shared" si="776"/>
        <v>0</v>
      </c>
    </row>
    <row r="600" spans="2:150" ht="16.5" customHeight="1">
      <c r="B600" s="1123" t="str">
        <f>INDEX('卡片raw data'!B:B,MATCH($D600,'卡片raw data'!$F:$F,))</f>
        <v>圣诞千</v>
      </c>
      <c r="C600" s="1025" t="s">
        <v>4851</v>
      </c>
      <c r="D600" s="408">
        <v>597</v>
      </c>
      <c r="E600" s="1164">
        <v>401013005</v>
      </c>
      <c r="F600" s="1090" t="str">
        <f>INDEX('卡片raw data'!C:C,MATCH($D600,'卡片raw data'!$F:$F,))</f>
        <v>UR</v>
      </c>
      <c r="G600" s="1026" t="s">
        <v>4852</v>
      </c>
      <c r="H600" s="411">
        <f>IFERROR(INDEX(绊状态确认!C:C,MATCH($G600,绊状态确认!$B:$B,)),"")</f>
        <v>101</v>
      </c>
      <c r="I600" s="450" t="str">
        <f>IFERROR(INDEX(绊状态确认!D:D,MATCH($G600,绊状态确认!$B:$B,)),"")</f>
        <v>水</v>
      </c>
      <c r="J600" s="450" t="str">
        <f>IFERROR(INDEX(绊状态确认!E:E,MATCH($G600,绊状态确认!$B:$B,)),"")</f>
        <v>2年级</v>
      </c>
      <c r="K600" s="451" t="str">
        <f>IFERROR(INDEX(绊状态确认!F:F,MATCH($G600,绊状态确认!$B:$B,)),"")</f>
        <v>CYaRon!</v>
      </c>
      <c r="L600" s="1094" t="str">
        <f>INDEX('卡片raw data'!E:E,MATCH($D600,'卡片raw data'!$F:$F,))</f>
        <v>卡池卡</v>
      </c>
      <c r="M600" s="1065">
        <v>44548</v>
      </c>
      <c r="N600" s="1027">
        <v>54</v>
      </c>
      <c r="O600" s="1091" t="str">
        <f>INDEX('卡片raw data'!D:D,MATCH($D600,'卡片raw data'!$F:$F,))</f>
        <v>sp</v>
      </c>
      <c r="P600" s="1126">
        <v>5</v>
      </c>
      <c r="Q600" s="1095">
        <f t="shared" si="796"/>
        <v>62473.62009424634</v>
      </c>
      <c r="R600" s="1096">
        <f t="shared" si="797"/>
        <v>0.72599999999999998</v>
      </c>
      <c r="S600" s="1097">
        <f t="shared" si="798"/>
        <v>21196.255829708814</v>
      </c>
      <c r="T600" s="1098">
        <f t="shared" si="799"/>
        <v>1.0589999999999999</v>
      </c>
      <c r="U600" s="1099">
        <f t="shared" si="800"/>
        <v>18.060163285542856</v>
      </c>
      <c r="V600" s="1100">
        <f t="shared" si="801"/>
        <v>62132.495617767665</v>
      </c>
      <c r="W600" s="1101">
        <f t="shared" si="802"/>
        <v>4776.4231527349275</v>
      </c>
      <c r="X600" s="1096">
        <f t="shared" si="803"/>
        <v>5.5E-2</v>
      </c>
      <c r="Y600" s="1097">
        <f t="shared" si="804"/>
        <v>1458.8755235213221</v>
      </c>
      <c r="Z600" s="1102">
        <f t="shared" si="805"/>
        <v>18.060163285542856</v>
      </c>
      <c r="AA600" s="1103">
        <f t="shared" si="806"/>
        <v>6235.2986762562496</v>
      </c>
      <c r="AB600" s="1101">
        <f t="shared" si="807"/>
        <v>10035.431554381928</v>
      </c>
      <c r="AC600" s="1104">
        <f t="shared" si="808"/>
        <v>0.11600000000000001</v>
      </c>
      <c r="AD600" s="1105">
        <f t="shared" si="809"/>
        <v>-1.6087500000000001E-2</v>
      </c>
      <c r="AE600" s="1128">
        <f t="shared" si="810"/>
        <v>17.945983238058261</v>
      </c>
      <c r="AF600" s="1130">
        <f t="shared" si="811"/>
        <v>0</v>
      </c>
      <c r="AG600" s="1097">
        <f t="shared" si="812"/>
        <v>0</v>
      </c>
      <c r="AH600" s="1097">
        <f t="shared" si="813"/>
        <v>0</v>
      </c>
      <c r="AI600" s="1097">
        <f t="shared" si="814"/>
        <v>0</v>
      </c>
      <c r="AJ600" s="1097">
        <f t="shared" si="815"/>
        <v>0</v>
      </c>
      <c r="AK600" s="1129">
        <f t="shared" si="816"/>
        <v>0</v>
      </c>
      <c r="AL600" s="1042">
        <f>IF($P600="","N/A",(IF($P600=-1,INDEX('卡片raw data'!S:S,MATCH($D600,'卡片raw data'!$F:$F,)),0)+IF($P600=0,INDEX('卡片raw data'!V:V,MATCH($D600,'卡片raw data'!$F:$F,)),0)+IF($P600=1,INDEX('卡片raw data'!Y:Y,MATCH($D600,'卡片raw data'!$F:$F,)),0)+IF($P600=2,INDEX('卡片raw data'!AB:AB,MATCH($D600,'卡片raw data'!$F:$F,)),0)+IF($P600=3,INDEX('卡片raw data'!AE:AE,MATCH($D600,'卡片raw data'!$F:$F,)),0)+IF($P600=4,INDEX('卡片raw data'!AH:AH,MATCH($D600,'卡片raw data'!$F:$F,)),0)+IF($P600=5,INDEX('卡片raw data'!AK:AK,MATCH($D600,'卡片raw data'!$F:$F,)),0)+INDEX('卡片raw data'!S:S,MATCH($D600,'卡片raw data'!$F:$F,))*(IF($F600="UR",0.04,0.033))*(IF($F600="UR",INDEX(绊状态确认!$S:$S,MATCH($G600,绊状态确认!$B:$B,))/2-40)+IF($F600="SR",INDEX(绊状态确认!$R:$R,MATCH($G600,绊状态确认!$B:$B,))/4-15))+IF($F600="R",INDEX(绊状态确认!$Q:$Q,MATCH($G600,绊状态确认!$B:$B,))/6-40/6)))*(INDEX(绊状态确认!$H:$H,MATCH($G600,绊状态确认!$B:$B,))+INDEX(绊状态确认!J:J,MATCH($G600,绊状态确认!$B:$B,)))</f>
        <v>15746.503871999998</v>
      </c>
      <c r="AM600" s="1035">
        <f>IF($P600="","N/A",(IF($P600=-1,INDEX('卡片raw data'!T:T,MATCH($D600,'卡片raw data'!$F:$F,)),0)+IF($P600=0,INDEX('卡片raw data'!W:W,MATCH($D600,'卡片raw data'!$F:$F,)),0)+IF($P600=1,INDEX('卡片raw data'!Z:Z,MATCH($D600,'卡片raw data'!$F:$F,)),0)+IF($P600=2,INDEX('卡片raw data'!AC:AC,MATCH($D600,'卡片raw data'!$F:$F,)),0)+IF($P600=3,INDEX('卡片raw data'!AF:AF,MATCH($D600,'卡片raw data'!$F:$F,)),0)+IF($P600=4,INDEX('卡片raw data'!AI:AI,MATCH($D600,'卡片raw data'!$F:$F,)),0)+IF($P600=5,INDEX('卡片raw data'!AL:AL,MATCH($D600,'卡片raw data'!$F:$F,)),0)+INDEX('卡片raw data'!T:T,MATCH($D600,'卡片raw data'!$F:$F,))*(IF($F600="UR",0.04,0.033))*(IF($F600="UR",INDEX(绊状态确认!$S:$S,MATCH($G600,绊状态确认!$B:$B,))/2-40)+IF($F600="SR",INDEX(绊状态确认!$R:$R,MATCH($G600,绊状态确认!$B:$B,))/4-15))+IF($F600="R",INDEX(绊状态确认!$Q:$Q,MATCH($G600,绊状态确认!$B:$B,))/6-40/6)))*(INDEX(绊状态确认!$H:$H,MATCH($G600,绊状态确认!$B:$B,))+INDEX(绊状态确认!K:K,MATCH($G600,绊状态确认!$B:$B,)))</f>
        <v>10367.877215999999</v>
      </c>
      <c r="AN600" s="1043">
        <f>IF($P600="","N/A",(IF($P600=-1,INDEX('卡片raw data'!U:U,MATCH($D600,'卡片raw data'!$F:$F,)),0)+IF($P600=0,INDEX('卡片raw data'!X:X,MATCH($D600,'卡片raw data'!$F:$F,)),0)+IF($P600=1,INDEX('卡片raw data'!AA:AA,MATCH($D600,'卡片raw data'!$F:$F,)),0)+IF($P600=2,INDEX('卡片raw data'!AD:AD,MATCH($D600,'卡片raw data'!$F:$F,)),0)+IF($P600=3,INDEX('卡片raw data'!AG:AG,MATCH($D600,'卡片raw data'!$F:$F,)),0)+IF($P600=4,INDEX('卡片raw data'!AJ:AJ,MATCH($D600,'卡片raw data'!$F:$F,)),0)+IF($P600=5,INDEX('卡片raw data'!AM:AM,MATCH($D600,'卡片raw data'!$F:$F,)),0)+INDEX('卡片raw data'!U:U,MATCH($D600,'卡片raw data'!$F:$F,))*(IF($F600="UR",0.04,0.033))*(IF($F600="UR",INDEX(绊状态确认!$S:$S,MATCH($G600,绊状态确认!$B:$B,))/2-40)+IF($F600="SR",INDEX(绊状态确认!$R:$R,MATCH($G600,绊状态确认!$B:$B,))/4-15))+IF($F600="R",INDEX(绊状态确认!$Q:$Q,MATCH($G600,绊状态确认!$B:$B,))/6-40/6)))*(INDEX(绊状态确认!$H:$H,MATCH($G600,绊状态确认!$B:$B,))+INDEX(绊状态确认!L:L,MATCH($G600,绊状态确认!$B:$B,)))</f>
        <v>12291.302399999999</v>
      </c>
      <c r="AO600" s="1167">
        <f t="shared" si="817"/>
        <v>1</v>
      </c>
      <c r="AP600" s="1044">
        <f>1+(INDEX(绊状态确认!$T:$T,MATCH($G600,绊状态确认!$B:$B,))+0.2)*$AO600</f>
        <v>1.3</v>
      </c>
      <c r="AQ600" s="1035">
        <f t="shared" si="818"/>
        <v>44584.572663999999</v>
      </c>
      <c r="AR600" s="1035">
        <f>(AM600*(1+$EX$9)+$EX$35)*(1+(INDEX(绊状态确认!$T:$T,MATCH($G600,绊状态确认!$B:$B,))+0.2)*AO600)*IF(J600=$FF$17,1+$FE$17,1)*IF(I600=$FF$14,1+$FE$14,1)</f>
        <v>16856.152399840001</v>
      </c>
      <c r="AS600" s="1035">
        <f>(AN600*(1+$EX$10)+$EX$36)*(1+(INDEX(绊状态确认!$T:$T,MATCH($G600,绊状态确认!$B:$B,))+0.2)*AO600)*IF(J600=$FF$17,1+$FE$17,1)*IF(I600=$FF$14,1+$FE$14,1)</f>
        <v>22431.497088</v>
      </c>
      <c r="AT600" s="1165">
        <f>IF(AND(INDEX('卡片raw data'!AK:AK,MATCH($D600,'卡片raw data'!$F:$F,))&lt;INDEX('卡片raw data'!AM:AM,MATCH($D600,'卡片raw data'!$F:$F,)),INDEX('卡片raw data'!AL:AL,MATCH($D600,'卡片raw data'!$F:$F,))&lt;INDEX('卡片raw data'!AM:AM,MATCH($D600,'卡片raw data'!$F:$F,))),1,0)</f>
        <v>0</v>
      </c>
      <c r="AU600" s="1031">
        <f>MIN(AT600*0.15+AS600*0.00003+INDEX(绊状态确认!M:M,MATCH($G600,绊状态确认!$B:$B,)),1)</f>
        <v>0.70294491264000003</v>
      </c>
      <c r="AV600" s="1045">
        <f>(INDEX(绊状态确认!$N:$N,MATCH($G600,绊状态确认!$B:$B,))+1.5)*$EW$21</f>
        <v>2.6599999999999997</v>
      </c>
      <c r="AW600" s="1038">
        <f t="shared" si="819"/>
        <v>50173.979490249309</v>
      </c>
      <c r="AX600" s="1035">
        <f t="shared" si="820"/>
        <v>1458.8755235213218</v>
      </c>
      <c r="AY600" s="483">
        <f t="shared" si="821"/>
        <v>51632.855013770633</v>
      </c>
      <c r="AZ600" s="1106">
        <f t="shared" si="822"/>
        <v>33305.682550399993</v>
      </c>
      <c r="BA600" s="1108">
        <f t="shared" si="823"/>
        <v>39966.819060479989</v>
      </c>
      <c r="BB600" s="1035">
        <f>(AM600*(1+$FB$9)+$FB$35)*(1+(INDEX(绊状态确认!$T:$T,MATCH($G600,绊状态确认!$B:$B,))+0.2)*AO600)*IF(J600=$FF$17,1+$FE$17,1)*IF(I600=$FF$14,1+$FE$14,1)*(1+$FE$15)</f>
        <v>16856.152399840001</v>
      </c>
      <c r="BC600" s="1035">
        <f>(AN600*(1+$FB$10)+$FB$36)*(1+(INDEX(绊状态确认!$T:$T,MATCH($G600,绊状态确认!$B:$B,))+0.2)*AO600)*IF(J600=$FF$17,1+$FE$17,1)*IF(I600=$FF$14,1+$FE$14,1)*(1+$FE$15)</f>
        <v>22431.497088</v>
      </c>
      <c r="BD600" s="481">
        <f>MIN(AT600*0.15+BC600*0.00003+INDEX(绊状态确认!M:M,MATCH($G600,绊状态确认!$B:$B,)),1)</f>
        <v>0.70294491264000003</v>
      </c>
      <c r="BE600" s="1109">
        <f>(INDEX(绊状态确认!$N:$N,MATCH($G600,绊状态确认!$B:$B,))+1.5)</f>
        <v>1.9</v>
      </c>
      <c r="BF600" s="646">
        <f t="array" ref="BF600">SUMPRODUCT(IF(AZ600*AP600*$FI$16:$FI$23*$FA$22&gt;=$FI$24,$FI$24,AZ600*AP600*$FI$16:$FI$23*$FA$22),$FJ$16:$FJ$23)</f>
        <v>58824.34682888</v>
      </c>
      <c r="BG600" s="1047">
        <f t="array" ref="BG600">SUMPRODUCT(IF(BE600*AZ600*AP600*$FI$16:$FI$23*$FA$22&gt;=$FI$24,$FI$24,BE600*AZ600*AP600*$FI$16:$FI$23*$FA$22),$FJ$16:$FJ$23)</f>
        <v>60000</v>
      </c>
      <c r="BH600" s="1046">
        <f t="shared" si="824"/>
        <v>19883.588748182628</v>
      </c>
      <c r="BI600" s="1048">
        <f>IF(O600="vo",$EW$26/$EW$24*0.05,0)+IF(O600="sk",-$EW$26/$EW$24*(0.05-INDEX(绊状态确认!W:W,MATCH($G600,绊状态确认!$B:$B,)))+0.05*$EW$28,0)+IF(O600="sp",0.05*$EW$32*$EW$30*(1-$EW$33)-(0.05-INDEX(绊状态确认!V:V,MATCH($G600,绊状态确认!$B:$B,)))*$EW$28,0)+IF(O600="gd",-(0.05-INDEX(绊状态确认!X:X,MATCH($G600,绊状态确认!$B:$B,)))*$EW$32*$EW$30*(1-$EW$33),0)</f>
        <v>19.999999999999886</v>
      </c>
      <c r="BJ600" s="1097">
        <f>IF(O600="vo",0.05*(1-$FI$26)*$FA$24,0)+IF(O600="sk",-(0.05-INDEX(绊状态确认!W:W,MATCH($G600,绊状态确认!$B:$B,)))*(1-$FI$26)*$FA$24+0.05*$FA$26,0)+IF(O600="sp",0.05*$FA$32*$FA$27*(1-$FA$33)/$FA$30+0.05*$FA$29/$FA$69*$FA$27*(1-$FA$33)-(0.05-INDEX(绊状态确认!V:V,MATCH($G600,绊状态确认!$B:$B,)))*$FA$26,0)+IF(O600="gd",-(0.05-INDEX(绊状态确认!X:X,MATCH($G600,绊状态确认!$B:$B,)))*$FA$32*$FA$27*(1-$FA$33)/$FA$30-(0.05-INDEX(绊状态确认!X:X,MATCH($G600,绊状态确认!$B:$B,)))*$FA$29/$FA$69*$FA$27*(1-$FA$33),0)</f>
        <v>545.83333333333326</v>
      </c>
      <c r="BK600" s="1046">
        <f>IF(O600="vo",$EW$26/$EW$24*0.05+$EW$26*(-HP($EW$62,$EW$65,$EW$64)+HP($EW$62,$EW$65,(1.05-INDEX(绊状态确认!U:U,MATCH($G600,绊状态确认!$B:$B,)))*$EW$64)),0)+IF(O600="sk",-$EW$26/$EW$24*(0.05-INDEX(绊状态确认!W:W,MATCH($G600,绊状态确认!$B:$B,)))+0.05*$EW$29,0)+IF(O600="sp",0.05*$EW$32*$EW$30*(1-$EW$33)-(0.05-INDEX(绊状态确认!V:V,MATCH($G600,绊状态确认!$B:$B,)))*$EW$29,0)+IF(O600="gd",-(0.05-INDEX(绊状态确认!X:X,MATCH($G600,绊状态确认!$B:$B,)))*$EW$32*$EW$30*(1-$EW$33)+$EW$26*(-HP($EW$62,$EW$65,$EW$64)+HP($EW$62,$EW$65,0.95*$EW$64)),0)</f>
        <v>-1780.0000000000005</v>
      </c>
      <c r="BL600" s="1048">
        <f t="shared" si="825"/>
        <v>0</v>
      </c>
      <c r="BM600" s="1046">
        <f t="shared" si="826"/>
        <v>0</v>
      </c>
      <c r="BN600" s="1167">
        <f t="shared" si="827"/>
        <v>3</v>
      </c>
      <c r="BO600" s="1035">
        <f t="shared" si="828"/>
        <v>4507.7214871259994</v>
      </c>
      <c r="BP600" s="1043">
        <f t="shared" si="829"/>
        <v>221.34103209030098</v>
      </c>
      <c r="BQ600" s="1167" t="s">
        <v>1940</v>
      </c>
      <c r="BR600" s="1165" t="s">
        <v>2127</v>
      </c>
      <c r="BS600" s="1098">
        <f>IF($P600="","N/A",IF($P600=-1,INDEX('卡片raw data'!AX:AX,MATCH($D600,'卡片raw data'!$F:$F,)),0)+IF($L600="party卡",IF($P600=5,INDEX('卡片raw data'!BD:BD,MATCH($D600,'卡片raw data'!$F:$F,)),IF($P600&gt;=3,INDEX('卡片raw data'!BC:BC,MATCH($D600,'卡片raw data'!$F:$F,)),INDEX('卡片raw data'!BB:BB,MATCH($D600,'卡片raw data'!$F:$F,)))),IF(OR(AND($F600="UR",$P600=0),AND($F600="SR",$P600&gt;=0,$P600&lt;=2),AND($F600="R",$P600&gt;=0,$P600&lt;4)),INDEX('卡片raw data'!AZ:AZ,MATCH($D600,'卡片raw data'!$F:$F,)),0)+IF(OR(AND($F600="UR",$P600&gt;=1,$P600&lt;=4),AND($F600="SR",$P600&lt;=4,$P600&gt;=3),AND($F600="R",$P600=4)),INDEX('卡片raw data'!BA:BA,MATCH($D600,'卡片raw data'!$F:$F,)),0)+IF($P600=5,INDEX('卡片raw data'!BB:BB,MATCH($D600,'卡片raw data'!$F:$F,)),0)))</f>
        <v>7.0000000000000007E-2</v>
      </c>
      <c r="BT600" s="1101">
        <f t="shared" si="830"/>
        <v>5259.008401647</v>
      </c>
      <c r="BU600" s="1097">
        <f t="shared" si="831"/>
        <v>258.2312041053512</v>
      </c>
      <c r="BV600" s="1097">
        <f t="shared" si="832"/>
        <v>0</v>
      </c>
      <c r="BW600" s="1112">
        <f t="shared" si="833"/>
        <v>0</v>
      </c>
      <c r="BX600" s="1100">
        <f t="shared" si="834"/>
        <v>5259.008401647</v>
      </c>
      <c r="BY600" s="1110">
        <f t="shared" si="835"/>
        <v>0</v>
      </c>
      <c r="BZ600" s="1113" t="s">
        <v>569</v>
      </c>
      <c r="CA600" s="1124"/>
      <c r="CB600" s="1098">
        <f>IF($P600="","N/A",IF($P600=-1,INDEX('卡片raw data'!BE:BE,MATCH($D600,'卡片raw data'!$F:$F,)),0)+IF($L600="party卡",IF($P600=5,INDEX('卡片raw data'!BK:BK,MATCH($D600,'卡片raw data'!$F:$F,)),IF($P600&gt;=3,INDEX('卡片raw data'!BJ:BJ,MATCH($D600,'卡片raw data'!$F:$F,)),INDEX('卡片raw data'!BI:BI,MATCH($D600,'卡片raw data'!$F:$F,)))),IF(OR(AND($F600="UR",$P600=0),AND($F600="SR",$P600&gt;=0,$P600&lt;=2),AND($F600="R",$P600&gt;=0,$P600&lt;4)),INDEX('卡片raw data'!BG:BG,MATCH($D600,'卡片raw data'!$F:$F,)),0)+IF(OR(AND($F600="UR",$P600&gt;=1,$P600&lt;=4),AND($F600="SR",$P600&lt;=4,$P600&gt;=3),AND($F600="R",$P600=4)),INDEX('卡片raw data'!BH:BH,MATCH($D600,'卡片raw data'!$F:$F,)),0)+IF($P600=5,INDEX('卡片raw data'!BI:BI,MATCH($D600,'卡片raw data'!$F:$F,)),0)))</f>
        <v>0</v>
      </c>
      <c r="CC600" s="1101">
        <f t="shared" si="873"/>
        <v>0</v>
      </c>
      <c r="CD600" s="1097">
        <f>IF(BZ600="ap",CB600*(1-$FI$26)*$FB$5/$FB$11*(+IF(CA600="全员",$FA$24,0)+IF(CA600="同作战",$FA$24,0)+IF(CA600="仲间",$FA$24*2/3,0)+IF(CA600="同属性",$FA$24*$FA$37/3,0)+IF(CA600="同年级",$FA$24*$FA$40/3,0)+IF(CA600="同学校",$FA$24*$FA$43/3,0)+IF(CA600="同小队",$FA$24*$FA$46/3,0)+IF(CA600="同type",$FA$24*INDEX($FB$49:$FB$52,MATCH(X600,$FA$49:$FA$52,))/3,0)+IF(CA600="自身",#REF!/3,0)),0)+IF(BZ600="te",CB600*(1-$FI$27)*($FA$20-1)*$FB$7/$FB$13*(+IF(CA600="全员",$FA$19*$FA$24/(1+($FA$20-1)*$FA$19),0)+IF(CA600="同作战",$FA$19*$FA$24/(1+($FA$20-1)*$FA$19),0)+IF(CA600="仲间",$FA$19*$FA$24*2/3/(1+($FA$20-1)*$FA$19),0)+IF(CA600="同属性",$FA$19*$FA$24*$FA$37/3/(1+($FA$20-1)*$FA$19),0)+IF(CA600="同年级",$FA$19*$FA$24*$FA$40/3/(1+($FA$20-1)*$FA$19),0)+IF(CA600="同学校",$FA$19*$FA$24*$FA$43/3/(1+($FA$20-1)*$FA$19),0)+IF(CA600="同小队",$FA$19*$FA$24*$FA$46/3/(1+($FA$20-1)*$FA$19),0)+IF(CA600="同type",$FA$19*$FA$24*INDEX($FB$49:$FB$52,MATCH(X600,$FA$49:$FA$52,))/3/(1+($FA$20-1)*$FA$19),0)+IF(CA600="自身",$FA$19*#REF!/3/(1+(BH600-1)*$BD600),0)),0)</f>
        <v>0</v>
      </c>
      <c r="CE600" s="1097">
        <f t="shared" si="836"/>
        <v>0</v>
      </c>
      <c r="CF600" s="1112">
        <f t="shared" si="874"/>
        <v>0</v>
      </c>
      <c r="CG600" s="1100">
        <f t="shared" si="837"/>
        <v>0</v>
      </c>
      <c r="CH600" s="1110">
        <f t="shared" si="838"/>
        <v>0</v>
      </c>
      <c r="CI600" s="1113" t="s">
        <v>165</v>
      </c>
      <c r="CJ600" s="1114">
        <v>1</v>
      </c>
      <c r="CK600" s="1115" t="s">
        <v>156</v>
      </c>
      <c r="CL600" s="1169" t="s">
        <v>1940</v>
      </c>
      <c r="CM600" s="1166">
        <v>2.7E-2</v>
      </c>
      <c r="CN600" s="1169"/>
      <c r="CO600" s="1169"/>
      <c r="CP600" s="1116">
        <f t="shared" si="839"/>
        <v>4.2992266497428568</v>
      </c>
      <c r="CQ600" s="1116">
        <f t="shared" si="840"/>
        <v>6.8942762879327963</v>
      </c>
      <c r="CR600" s="1117">
        <f t="shared" si="841"/>
        <v>4.2992266497428568</v>
      </c>
      <c r="CS600" s="1118">
        <f t="shared" si="875"/>
        <v>0</v>
      </c>
      <c r="CT600" s="1109">
        <f t="shared" si="876"/>
        <v>7.0220701945800004</v>
      </c>
      <c r="CU600" s="1101">
        <f t="shared" si="842"/>
        <v>268.70166560892858</v>
      </c>
      <c r="CV600" s="1108">
        <f t="shared" si="870"/>
        <v>287.26151199719988</v>
      </c>
      <c r="CW600" s="1097">
        <f t="shared" si="843"/>
        <v>268.70166560892858</v>
      </c>
      <c r="CX600" s="1097">
        <f t="shared" si="844"/>
        <v>268.70166560892858</v>
      </c>
      <c r="CY600" s="1110">
        <f t="shared" si="845"/>
        <v>268.70166560892858</v>
      </c>
      <c r="CZ600" s="437"/>
      <c r="DA600" s="438"/>
      <c r="DB600" s="1115" t="s">
        <v>569</v>
      </c>
      <c r="DC600" s="1115"/>
      <c r="DD600" s="1119"/>
      <c r="DE600" s="1092"/>
      <c r="DF600" s="1092"/>
      <c r="DG600" s="1116">
        <f t="shared" si="846"/>
        <v>0</v>
      </c>
      <c r="DH600" s="1116">
        <f t="shared" si="847"/>
        <v>0</v>
      </c>
      <c r="DI600" s="1116">
        <f t="shared" si="848"/>
        <v>0</v>
      </c>
      <c r="DJ600" s="1118">
        <f t="shared" si="871"/>
        <v>0</v>
      </c>
      <c r="DK600" s="1109">
        <f t="shared" si="872"/>
        <v>0</v>
      </c>
      <c r="DL600" s="1101">
        <f t="shared" si="849"/>
        <v>0</v>
      </c>
      <c r="DM600" s="1097">
        <f t="shared" si="850"/>
        <v>0</v>
      </c>
      <c r="DN600" s="1097">
        <f t="shared" si="851"/>
        <v>0</v>
      </c>
      <c r="DO600" s="1097">
        <f t="shared" si="852"/>
        <v>0</v>
      </c>
      <c r="DP600" s="1110">
        <f t="shared" si="853"/>
        <v>0</v>
      </c>
      <c r="DQ600" s="1113" t="s">
        <v>2158</v>
      </c>
      <c r="DR600" s="1120">
        <f>IF(F600="UR",0.33,0.3)</f>
        <v>0.33</v>
      </c>
      <c r="DS600" s="1124"/>
      <c r="DT600" s="1124" t="s">
        <v>132</v>
      </c>
      <c r="DU600" s="1124"/>
      <c r="DV600" s="1098">
        <f>IF($P600="","N/A",IF(P600=-1,INDEX('卡片raw data'!AN:AN,MATCH(D600,'卡片raw data'!$F:$F,)),0)+IF(AND(L600&lt;&gt;"party卡",P600&lt;=2,P600&gt;=0),INDEX('卡片raw data'!AP:AP,MATCH(D600,'卡片raw data'!$F:$F,)),0)+IF(OR(AND(L600="party卡",P600&lt;=1),AND(P600&lt;=4,L600&lt;&gt;"party卡",P600&gt;=3)),INDEX('卡片raw data'!AQ:AQ,MATCH(D600,'卡片raw data'!$F:$F,)),0)+IF(OR(P600=5,AND(L600="party卡",P600&gt;=2)),INDEX('卡片raw data'!AR:AR,MATCH(D600,'卡片raw data'!$F:$F,)),0))</f>
        <v>0.32</v>
      </c>
      <c r="DW600" s="1098">
        <f t="shared" si="854"/>
        <v>0.33</v>
      </c>
      <c r="DX600" s="1098">
        <f t="shared" si="855"/>
        <v>0.33</v>
      </c>
      <c r="DY600" s="1097">
        <f t="shared" si="856"/>
        <v>1569.3769577728001</v>
      </c>
      <c r="DZ600" s="1097">
        <f t="shared" si="857"/>
        <v>1216.9097067534949</v>
      </c>
      <c r="EA600" s="1098">
        <f t="shared" si="858"/>
        <v>0</v>
      </c>
      <c r="EB600" s="1121">
        <f t="shared" si="859"/>
        <v>0</v>
      </c>
      <c r="EC600" s="1101">
        <f t="shared" si="860"/>
        <v>2244.2090496151045</v>
      </c>
      <c r="ED600" s="1097">
        <f t="shared" si="861"/>
        <v>0</v>
      </c>
      <c r="EE600" s="1110">
        <f t="shared" si="775"/>
        <v>2244.2090496151045</v>
      </c>
      <c r="EF600" s="1113" t="s">
        <v>569</v>
      </c>
      <c r="EG600" s="1120">
        <f>IF(F600="UR",0.33,0.3)</f>
        <v>0.33</v>
      </c>
      <c r="EH600" s="1124"/>
      <c r="EI600" s="1124"/>
      <c r="EJ600" s="1124"/>
      <c r="EK600" s="1097">
        <f>IF($P600="","N/A",IF(P600=-1,INDEX('卡片raw data'!AS:AS,MATCH(D600,'卡片raw data'!$F:$F,)),0)+IF(AND(L600&lt;&gt;"party卡",P600&lt;=2,P600&gt;=0),INDEX('卡片raw data'!AU:AU,MATCH(D600,'卡片raw data'!$F:$F,)),0)+IF(OR(AND(L600="party卡",P600&lt;=1),AND(P600&lt;=4,L600&lt;&gt;"party卡",P600&gt;=3)),INDEX('卡片raw data'!AV:AV,MATCH(D600,'卡片raw data'!$F:$F,)),0)+IF(OR(P600=5,AND(L600="party卡",P600&gt;=2)),INDEX('卡片raw data'!AW:AW,MATCH(D600,'卡片raw data'!$F:$F,)),0))</f>
        <v>0</v>
      </c>
      <c r="EL600" s="1098">
        <f t="shared" si="862"/>
        <v>0.33</v>
      </c>
      <c r="EM600" s="1098">
        <f t="shared" si="863"/>
        <v>0.33</v>
      </c>
      <c r="EN600" s="1097">
        <f t="shared" si="864"/>
        <v>0</v>
      </c>
      <c r="EO600" s="1097">
        <f t="shared" si="865"/>
        <v>0</v>
      </c>
      <c r="EP600" s="1098">
        <f t="shared" si="866"/>
        <v>0</v>
      </c>
      <c r="EQ600" s="1121">
        <f t="shared" si="867"/>
        <v>0</v>
      </c>
      <c r="ER600" s="1101">
        <f t="shared" si="868"/>
        <v>0</v>
      </c>
      <c r="ES600" s="1097">
        <f t="shared" si="869"/>
        <v>0</v>
      </c>
      <c r="ET600" s="1122">
        <f t="shared" si="776"/>
        <v>0</v>
      </c>
    </row>
    <row r="601" spans="2:150" ht="16.5" customHeight="1">
      <c r="B601" s="1123" t="str">
        <f>INDEX('卡片raw data'!B:B,MATCH($D601,'卡片raw data'!$F:$F,))</f>
        <v>圣诞海</v>
      </c>
      <c r="C601" s="1025" t="s">
        <v>4858</v>
      </c>
      <c r="D601" s="408">
        <v>598</v>
      </c>
      <c r="E601" s="1164">
        <v>400043006</v>
      </c>
      <c r="F601" s="1090" t="str">
        <f>INDEX('卡片raw data'!C:C,MATCH($D601,'卡片raw data'!$F:$F,))</f>
        <v>UR</v>
      </c>
      <c r="G601" s="1026" t="s">
        <v>4859</v>
      </c>
      <c r="H601" s="411">
        <f>IFERROR(INDEX(绊状态确认!C:C,MATCH($G601,绊状态确认!$B:$B,)),"")</f>
        <v>4</v>
      </c>
      <c r="I601" s="450" t="str">
        <f>IFERROR(INDEX(绊状态确认!D:D,MATCH($G601,绊状态确认!$B:$B,)),"")</f>
        <v>缪</v>
      </c>
      <c r="J601" s="450" t="str">
        <f>IFERROR(INDEX(绊状态确认!E:E,MATCH($G601,绊状态确认!$B:$B,)),"")</f>
        <v>2年级</v>
      </c>
      <c r="K601" s="451" t="str">
        <f>IFERROR(INDEX(绊状态确认!F:F,MATCH($G601,绊状态确认!$B:$B,)),"")</f>
        <v>lilywhite</v>
      </c>
      <c r="L601" s="1094" t="str">
        <f>INDEX('卡片raw data'!E:E,MATCH($D601,'卡片raw data'!$F:$F,))</f>
        <v>活动卡</v>
      </c>
      <c r="M601" s="1065">
        <v>44548</v>
      </c>
      <c r="N601" s="1027">
        <v>54</v>
      </c>
      <c r="O601" s="1091" t="str">
        <f>INDEX('卡片raw data'!D:D,MATCH($D601,'卡片raw data'!$F:$F,))</f>
        <v>gd</v>
      </c>
      <c r="P601" s="1126">
        <v>5</v>
      </c>
      <c r="Q601" s="1095">
        <f t="shared" si="796"/>
        <v>24882.725627952641</v>
      </c>
      <c r="R601" s="1096">
        <f t="shared" si="797"/>
        <v>0.28899999999999998</v>
      </c>
      <c r="S601" s="1097">
        <f t="shared" si="798"/>
        <v>14455.981026488633</v>
      </c>
      <c r="T601" s="1098">
        <f t="shared" si="799"/>
        <v>0.72199999999999998</v>
      </c>
      <c r="U601" s="1099">
        <f t="shared" si="800"/>
        <v>719.97619983305299</v>
      </c>
      <c r="V601" s="1100">
        <f t="shared" si="801"/>
        <v>77135.326116893528</v>
      </c>
      <c r="W601" s="1101">
        <f t="shared" si="802"/>
        <v>4507.7214871259994</v>
      </c>
      <c r="X601" s="1096">
        <f t="shared" si="803"/>
        <v>5.1999999999999998E-2</v>
      </c>
      <c r="Y601" s="1097">
        <f t="shared" si="804"/>
        <v>2222.9746267995297</v>
      </c>
      <c r="Z601" s="1102">
        <f t="shared" si="805"/>
        <v>27.201519009942857</v>
      </c>
      <c r="AA601" s="1103">
        <f t="shared" si="806"/>
        <v>6730.6961139255291</v>
      </c>
      <c r="AB601" s="1101">
        <f t="shared" si="807"/>
        <v>4507.7214871259994</v>
      </c>
      <c r="AC601" s="1104">
        <f t="shared" si="808"/>
        <v>5.1999999999999998E-2</v>
      </c>
      <c r="AD601" s="1105" t="e">
        <f t="shared" si="809"/>
        <v>#VALUE!</v>
      </c>
      <c r="AE601" s="1128" t="e">
        <f t="shared" si="810"/>
        <v>#VALUE!</v>
      </c>
      <c r="AF601" s="1130">
        <f t="shared" si="811"/>
        <v>10975.550934724481</v>
      </c>
      <c r="AG601" s="1097">
        <f t="shared" si="812"/>
        <v>91044.39059072001</v>
      </c>
      <c r="AH601" s="1097">
        <f t="shared" si="813"/>
        <v>8.2952000434596407</v>
      </c>
      <c r="AI601" s="1097">
        <f t="shared" si="814"/>
        <v>111150.05764755628</v>
      </c>
      <c r="AJ601" s="1097">
        <f t="shared" si="815"/>
        <v>77135.326116893528</v>
      </c>
      <c r="AK601" s="1129">
        <f t="shared" si="816"/>
        <v>34014.731530662757</v>
      </c>
      <c r="AL601" s="1042">
        <f>IF($P601="","N/A",(IF($P601=-1,INDEX('卡片raw data'!S:S,MATCH($D601,'卡片raw data'!$F:$F,)),0)+IF($P601=0,INDEX('卡片raw data'!V:V,MATCH($D601,'卡片raw data'!$F:$F,)),0)+IF($P601=1,INDEX('卡片raw data'!Y:Y,MATCH($D601,'卡片raw data'!$F:$F,)),0)+IF($P601=2,INDEX('卡片raw data'!AB:AB,MATCH($D601,'卡片raw data'!$F:$F,)),0)+IF($P601=3,INDEX('卡片raw data'!AE:AE,MATCH($D601,'卡片raw data'!$F:$F,)),0)+IF($P601=4,INDEX('卡片raw data'!AH:AH,MATCH($D601,'卡片raw data'!$F:$F,)),0)+IF($P601=5,INDEX('卡片raw data'!AK:AK,MATCH($D601,'卡片raw data'!$F:$F,)),0)+INDEX('卡片raw data'!S:S,MATCH($D601,'卡片raw data'!$F:$F,))*(IF($F601="UR",0.04,0.033))*(IF($F601="UR",INDEX(绊状态确认!$S:$S,MATCH($G601,绊状态确认!$B:$B,))/2-40)+IF($F601="SR",INDEX(绊状态确认!$R:$R,MATCH($G601,绊状态确认!$B:$B,))/4-15))+IF($F601="R",INDEX(绊状态确认!$Q:$Q,MATCH($G601,绊状态确认!$B:$B,))/6-40/6)))*(INDEX(绊状态确认!$H:$H,MATCH($G601,绊状态确认!$B:$B,))+INDEX(绊状态确认!J:J,MATCH($G601,绊状态确认!$B:$B,)))</f>
        <v>6173.4702719999987</v>
      </c>
      <c r="AM601" s="1035">
        <f>IF($P601="","N/A",(IF($P601=-1,INDEX('卡片raw data'!T:T,MATCH($D601,'卡片raw data'!$F:$F,)),0)+IF($P601=0,INDEX('卡片raw data'!W:W,MATCH($D601,'卡片raw data'!$F:$F,)),0)+IF($P601=1,INDEX('卡片raw data'!Z:Z,MATCH($D601,'卡片raw data'!$F:$F,)),0)+IF($P601=2,INDEX('卡片raw data'!AC:AC,MATCH($D601,'卡片raw data'!$F:$F,)),0)+IF($P601=3,INDEX('卡片raw data'!AF:AF,MATCH($D601,'卡片raw data'!$F:$F,)),0)+IF($P601=4,INDEX('卡片raw data'!AI:AI,MATCH($D601,'卡片raw data'!$F:$F,)),0)+IF($P601=5,INDEX('卡片raw data'!AL:AL,MATCH($D601,'卡片raw data'!$F:$F,)),0)+INDEX('卡片raw data'!T:T,MATCH($D601,'卡片raw data'!$F:$F,))*(IF($F601="UR",0.04,0.033))*(IF($F601="UR",INDEX(绊状态确认!$S:$S,MATCH($G601,绊状态确认!$B:$B,))/2-40)+IF($F601="SR",INDEX(绊状态确认!$R:$R,MATCH($G601,绊状态确认!$B:$B,))/4-15))+IF($F601="R",INDEX(绊状态确认!$Q:$Q,MATCH($G601,绊状态确认!$B:$B,))/6-40/6)))*(INDEX(绊状态确认!$H:$H,MATCH($G601,绊状态确认!$B:$B,))+INDEX(绊状态确认!K:K,MATCH($G601,绊状态确认!$B:$B,)))</f>
        <v>15273.761471999998</v>
      </c>
      <c r="AN601" s="1043">
        <f>IF($P601="","N/A",(IF($P601=-1,INDEX('卡片raw data'!U:U,MATCH($D601,'卡片raw data'!$F:$F,)),0)+IF($P601=0,INDEX('卡片raw data'!X:X,MATCH($D601,'卡片raw data'!$F:$F,)),0)+IF($P601=1,INDEX('卡片raw data'!AA:AA,MATCH($D601,'卡片raw data'!$F:$F,)),0)+IF($P601=2,INDEX('卡片raw data'!AD:AD,MATCH($D601,'卡片raw data'!$F:$F,)),0)+IF($P601=3,INDEX('卡片raw data'!AG:AG,MATCH($D601,'卡片raw data'!$F:$F,)),0)+IF($P601=4,INDEX('卡片raw data'!AJ:AJ,MATCH($D601,'卡片raw data'!$F:$F,)),0)+IF($P601=5,INDEX('卡片raw data'!AM:AM,MATCH($D601,'卡片raw data'!$F:$F,)),0)+INDEX('卡片raw data'!U:U,MATCH($D601,'卡片raw data'!$F:$F,))*(IF($F601="UR",0.04,0.033))*(IF($F601="UR",INDEX(绊状态确认!$S:$S,MATCH($G601,绊状态确认!$B:$B,))/2-40)+IF($F601="SR",INDEX(绊状态确认!$R:$R,MATCH($G601,绊状态确认!$B:$B,))/4-15))+IF($F601="R",INDEX(绊状态确认!$Q:$Q,MATCH($G601,绊状态确认!$B:$B,))/6-40/6)))*(INDEX(绊状态确认!$H:$H,MATCH($G601,绊状态确认!$B:$B,))+INDEX(绊状态确认!L:L,MATCH($G601,绊状态确认!$B:$B,)))</f>
        <v>11049.171743999997</v>
      </c>
      <c r="AO601" s="1167">
        <f t="shared" si="817"/>
        <v>1</v>
      </c>
      <c r="AP601" s="1044">
        <f>1+(INDEX(绊状态确认!$T:$T,MATCH($G601,绊状态确认!$B:$B,))+0.2)*$AO601</f>
        <v>1.3</v>
      </c>
      <c r="AQ601" s="1035">
        <f t="shared" si="818"/>
        <v>19455.359463999997</v>
      </c>
      <c r="AR601" s="1035">
        <f>(AM601*(1+$EX$9)+$EX$35)*(1+(INDEX(绊状态确认!$T:$T,MATCH($G601,绊状态确认!$B:$B,))+0.2)*AO601)*IF(J601=$FF$17,1+$FE$17,1)*IF(I601=$FF$14,1+$FE$14,1)</f>
        <v>23552.684409280002</v>
      </c>
      <c r="AS601" s="1035">
        <f>(AN601*(1+$EX$10)+$EX$36)*(1+(INDEX(绊状态确认!$T:$T,MATCH($G601,绊状态确认!$B:$B,))+0.2)*AO601)*IF(J601=$FF$17,1+$FE$17,1)*IF(I601=$FF$14,1+$FE$14,1)</f>
        <v>20574.511757279994</v>
      </c>
      <c r="AT601" s="1165">
        <f>IF(AND(INDEX('卡片raw data'!AK:AK,MATCH($D601,'卡片raw data'!$F:$F,))&lt;INDEX('卡片raw data'!AM:AM,MATCH($D601,'卡片raw data'!$F:$F,)),INDEX('卡片raw data'!AL:AL,MATCH($D601,'卡片raw data'!$F:$F,))&lt;INDEX('卡片raw data'!AM:AM,MATCH($D601,'卡片raw data'!$F:$F,))),1,0)</f>
        <v>0</v>
      </c>
      <c r="AU601" s="1031">
        <f>MIN(AT601*0.15+AS601*0.00003+INDEX(绊状态确认!M:M,MATCH($G601,绊状态确认!$B:$B,)),1)</f>
        <v>0.64723535271839983</v>
      </c>
      <c r="AV601" s="1045">
        <f>(INDEX(绊状态确认!$N:$N,MATCH($G601,绊状态确认!$B:$B,))+1.5)*$EW$21</f>
        <v>2.6599999999999997</v>
      </c>
      <c r="AW601" s="1038">
        <f t="shared" si="819"/>
        <v>20960.004140826641</v>
      </c>
      <c r="AX601" s="1035">
        <f t="shared" si="820"/>
        <v>2069.256605336021</v>
      </c>
      <c r="AY601" s="483">
        <f t="shared" si="821"/>
        <v>23029.260746162661</v>
      </c>
      <c r="AZ601" s="1106">
        <f t="shared" si="822"/>
        <v>14638.267030399997</v>
      </c>
      <c r="BA601" s="1108">
        <f t="shared" si="823"/>
        <v>17565.920436479995</v>
      </c>
      <c r="BB601" s="1035">
        <f>(AM601*(1+$FB$9)+$FB$35)*(1+(INDEX(绊状态确认!$T:$T,MATCH($G601,绊状态确认!$B:$B,))+0.2)*AO601)*IF(J601=$FF$17,1+$FE$17,1)*IF(I601=$FF$14,1+$FE$14,1)*(1+$FE$15)</f>
        <v>23552.684409280002</v>
      </c>
      <c r="BC601" s="1035">
        <f>(AN601*(1+$FB$10)+$FB$36)*(1+(INDEX(绊状态确认!$T:$T,MATCH($G601,绊状态确认!$B:$B,))+0.2)*AO601)*IF(J601=$FF$17,1+$FE$17,1)*IF(I601=$FF$14,1+$FE$14,1)*(1+$FE$15)</f>
        <v>20574.511757279994</v>
      </c>
      <c r="BD601" s="481">
        <f>MIN(AT601*0.15+BC601*0.00003+INDEX(绊状态确认!M:M,MATCH($G601,绊状态确认!$B:$B,)),1)</f>
        <v>0.64723535271839983</v>
      </c>
      <c r="BE601" s="1109">
        <f>(INDEX(绊状态确认!$N:$N,MATCH($G601,绊状态确认!$B:$B,))+1.5)</f>
        <v>1.9</v>
      </c>
      <c r="BF601" s="646">
        <f t="array" ref="BF601">SUMPRODUCT(IF(AZ601*AP601*$FI$16:$FI$23*$FA$22&gt;=$FI$24,$FI$24,AZ601*AP601*$FI$16:$FI$23*$FA$22),$FJ$16:$FJ$23)</f>
        <v>29115.513123465596</v>
      </c>
      <c r="BG601" s="1047">
        <f t="array" ref="BG601">SUMPRODUCT(IF(BE601*AZ601*AP601*$FI$16:$FI$23*$FA$22&gt;=$FI$24,$FI$24,BE601*AZ601*AP601*$FI$16:$FI$23*$FA$22),$FJ$16:$FJ$23)</f>
        <v>53794.95436943711</v>
      </c>
      <c r="BH601" s="1046">
        <f t="shared" si="824"/>
        <v>15029.639994398332</v>
      </c>
      <c r="BI601" s="1048">
        <f>IF(O601="vo",$EW$26/$EW$24*0.05,0)+IF(O601="sk",-$EW$26/$EW$24*(0.05-INDEX(绊状态确认!W:W,MATCH($G601,绊状态确认!$B:$B,)))+0.05*$EW$28,0)+IF(O601="sp",0.05*$EW$32*$EW$30*(1-$EW$33)-(0.05-INDEX(绊状态确认!V:V,MATCH($G601,绊状态确认!$B:$B,)))*$EW$28,0)+IF(O601="gd",-(0.05-INDEX(绊状态确认!X:X,MATCH($G601,绊状态确认!$B:$B,)))*$EW$32*$EW$30*(1-$EW$33),0)</f>
        <v>-585.00000000000011</v>
      </c>
      <c r="BJ601" s="1097">
        <f>IF(O601="vo",0.05*(1-$FI$26)*$FA$24,0)+IF(O601="sk",-(0.05-INDEX(绊状态确认!W:W,MATCH($G601,绊状态确认!$B:$B,)))*(1-$FI$26)*$FA$24+0.05*$FA$26,0)+IF(O601="sp",0.05*$FA$32*$FA$27*(1-$FA$33)/$FA$30+0.05*$FA$29/$FA$69*$FA$27*(1-$FA$33)-(0.05-INDEX(绊状态确认!V:V,MATCH($G601,绊状态确认!$B:$B,)))*$FA$26,0)+IF(O601="gd",-(0.05-INDEX(绊状态确认!X:X,MATCH($G601,绊状态确认!$B:$B,)))*$FA$32*$FA$27*(1-$FA$33)/$FA$30-(0.05-INDEX(绊状态确认!X:X,MATCH($G601,绊状态确认!$B:$B,)))*$FA$29/$FA$69*$FA$27*(1-$FA$33),0)</f>
        <v>-795.00000000000011</v>
      </c>
      <c r="BK601" s="1046">
        <f>IF(O601="vo",$EW$26/$EW$24*0.05+$EW$26*(-HP($EW$62,$EW$65,$EW$64)+HP($EW$62,$EW$65,(1.05-INDEX(绊状态确认!U:U,MATCH($G601,绊状态确认!$B:$B,)))*$EW$64)),0)+IF(O601="sk",-$EW$26/$EW$24*(0.05-INDEX(绊状态确认!W:W,MATCH($G601,绊状态确认!$B:$B,)))+0.05*$EW$29,0)+IF(O601="sp",0.05*$EW$32*$EW$30*(1-$EW$33)-(0.05-INDEX(绊状态确认!V:V,MATCH($G601,绊状态确认!$B:$B,)))*$EW$29,0)+IF(O601="gd",-(0.05-INDEX(绊状态确认!X:X,MATCH($G601,绊状态确认!$B:$B,)))*$EW$32*$EW$30*(1-$EW$33)+$EW$26*(-HP($EW$62,$EW$65,$EW$64)+HP($EW$62,$EW$65,0.95*$EW$64)),0)</f>
        <v>1009.5947725176144</v>
      </c>
      <c r="BL601" s="1048">
        <f t="shared" si="825"/>
        <v>0</v>
      </c>
      <c r="BM601" s="1046">
        <f t="shared" si="826"/>
        <v>0</v>
      </c>
      <c r="BN601" s="1167">
        <f t="shared" si="827"/>
        <v>3</v>
      </c>
      <c r="BO601" s="1035">
        <f t="shared" si="828"/>
        <v>4507.7214871259994</v>
      </c>
      <c r="BP601" s="1043">
        <f t="shared" si="829"/>
        <v>221.34103209030098</v>
      </c>
      <c r="BQ601" s="1113" t="s">
        <v>133</v>
      </c>
      <c r="BR601" s="1124" t="s">
        <v>171</v>
      </c>
      <c r="BS601" s="1098">
        <f>IF($P601="","N/A",IF($P601=-1,INDEX('卡片raw data'!AX:AX,MATCH($D601,'卡片raw data'!$F:$F,)),0)+IF($L601="party卡",IF($P601=5,INDEX('卡片raw data'!BD:BD,MATCH($D601,'卡片raw data'!$F:$F,)),IF($P601&gt;=3,INDEX('卡片raw data'!BC:BC,MATCH($D601,'卡片raw data'!$F:$F,)),INDEX('卡片raw data'!BB:BB,MATCH($D601,'卡片raw data'!$F:$F,)))),IF(OR(AND($F601="UR",$P601=0),AND($F601="SR",$P601&gt;=0,$P601&lt;=2),AND($F601="R",$P601&gt;=0,$P601&lt;4)),INDEX('卡片raw data'!AZ:AZ,MATCH($D601,'卡片raw data'!$F:$F,)),0)+IF(OR(AND($F601="UR",$P601&gt;=1,$P601&lt;=4),AND($F601="SR",$P601&lt;=4,$P601&gt;=3),AND($F601="R",$P601=4)),INDEX('卡片raw data'!BA:BA,MATCH($D601,'卡片raw data'!$F:$F,)),0)+IF($P601=5,INDEX('卡片raw data'!BB:BB,MATCH($D601,'卡片raw data'!$F:$F,)),0)))</f>
        <v>4.2000000000000003E-2</v>
      </c>
      <c r="BT601" s="1101">
        <f t="shared" si="830"/>
        <v>0</v>
      </c>
      <c r="BU601" s="1097">
        <f t="shared" si="831"/>
        <v>0</v>
      </c>
      <c r="BV601" s="1097">
        <f t="shared" si="832"/>
        <v>0</v>
      </c>
      <c r="BW601" s="1112">
        <f t="shared" si="833"/>
        <v>1.9664999999999995</v>
      </c>
      <c r="BX601" s="1100">
        <f t="shared" si="834"/>
        <v>153.71802146350896</v>
      </c>
      <c r="BY601" s="1110">
        <f t="shared" si="835"/>
        <v>153.71802146350896</v>
      </c>
      <c r="BZ601" s="1113" t="s">
        <v>569</v>
      </c>
      <c r="CA601" s="1124"/>
      <c r="CB601" s="1098">
        <f>IF($P601="","N/A",IF($P601=-1,INDEX('卡片raw data'!BE:BE,MATCH($D601,'卡片raw data'!$F:$F,)),0)+IF($L601="party卡",IF($P601=5,INDEX('卡片raw data'!BK:BK,MATCH($D601,'卡片raw data'!$F:$F,)),IF($P601&gt;=3,INDEX('卡片raw data'!BJ:BJ,MATCH($D601,'卡片raw data'!$F:$F,)),INDEX('卡片raw data'!BI:BI,MATCH($D601,'卡片raw data'!$F:$F,)))),IF(OR(AND($F601="UR",$P601=0),AND($F601="SR",$P601&gt;=0,$P601&lt;=2),AND($F601="R",$P601&gt;=0,$P601&lt;4)),INDEX('卡片raw data'!BG:BG,MATCH($D601,'卡片raw data'!$F:$F,)),0)+IF(OR(AND($F601="UR",$P601&gt;=1,$P601&lt;=4),AND($F601="SR",$P601&lt;=4,$P601&gt;=3),AND($F601="R",$P601=4)),INDEX('卡片raw data'!BH:BH,MATCH($D601,'卡片raw data'!$F:$F,)),0)+IF($P601=5,INDEX('卡片raw data'!BI:BI,MATCH($D601,'卡片raw data'!$F:$F,)),0)))</f>
        <v>0</v>
      </c>
      <c r="CC601" s="1101">
        <f t="shared" si="873"/>
        <v>0</v>
      </c>
      <c r="CD601" s="1097">
        <f>IF(BZ601="ap",CB601*(1-$FI$26)*$FB$5/$FB$11*(+IF(CA601="全员",$FA$24,0)+IF(CA601="同作战",$FA$24,0)+IF(CA601="仲间",$FA$24*2/3,0)+IF(CA601="同属性",$FA$24*$FA$37/3,0)+IF(CA601="同年级",$FA$24*$FA$40/3,0)+IF(CA601="同学校",$FA$24*$FA$43/3,0)+IF(CA601="同小队",$FA$24*$FA$46/3,0)+IF(CA601="同type",$FA$24*INDEX($FB$49:$FB$52,MATCH(X601,$FA$49:$FA$52,))/3,0)+IF(CA601="自身",#REF!/3,0)),0)+IF(BZ601="te",CB601*(1-$FI$27)*($FA$20-1)*$FB$7/$FB$13*(+IF(CA601="全员",$FA$19*$FA$24/(1+($FA$20-1)*$FA$19),0)+IF(CA601="同作战",$FA$19*$FA$24/(1+($FA$20-1)*$FA$19),0)+IF(CA601="仲间",$FA$19*$FA$24*2/3/(1+($FA$20-1)*$FA$19),0)+IF(CA601="同属性",$FA$19*$FA$24*$FA$37/3/(1+($FA$20-1)*$FA$19),0)+IF(CA601="同年级",$FA$19*$FA$24*$FA$40/3/(1+($FA$20-1)*$FA$19),0)+IF(CA601="同学校",$FA$19*$FA$24*$FA$43/3/(1+($FA$20-1)*$FA$19),0)+IF(CA601="同小队",$FA$19*$FA$24*$FA$46/3/(1+($FA$20-1)*$FA$19),0)+IF(CA601="同type",$FA$19*$FA$24*INDEX($FB$49:$FB$52,MATCH(X601,$FA$49:$FA$52,))/3/(1+($FA$20-1)*$FA$19),0)+IF(CA601="自身",$FA$19*#REF!/3/(1+(BH601-1)*$BD601),0)),0)</f>
        <v>0</v>
      </c>
      <c r="CE601" s="1097">
        <f t="shared" si="836"/>
        <v>0</v>
      </c>
      <c r="CF601" s="1112">
        <f t="shared" si="874"/>
        <v>0</v>
      </c>
      <c r="CG601" s="1100">
        <f t="shared" si="837"/>
        <v>0</v>
      </c>
      <c r="CH601" s="1110">
        <f t="shared" si="838"/>
        <v>0</v>
      </c>
      <c r="CI601" s="1113" t="s">
        <v>162</v>
      </c>
      <c r="CJ601" s="1114">
        <v>1</v>
      </c>
      <c r="CK601" s="1115" t="s">
        <v>295</v>
      </c>
      <c r="CL601" s="1115" t="s">
        <v>2667</v>
      </c>
      <c r="CM601" s="1119">
        <v>0.1</v>
      </c>
      <c r="CN601" s="1115" t="s">
        <v>1948</v>
      </c>
      <c r="CO601" s="1115"/>
      <c r="CP601" s="1118">
        <f t="shared" si="839"/>
        <v>1.7857142857142856E-2</v>
      </c>
      <c r="CQ601" s="1118">
        <f t="shared" si="840"/>
        <v>1.6666666666666666E-2</v>
      </c>
      <c r="CR601" s="1118">
        <f t="shared" si="841"/>
        <v>0</v>
      </c>
      <c r="CS601" s="1118" t="e">
        <f t="shared" si="875"/>
        <v>#VALUE!</v>
      </c>
      <c r="CT601" s="1109">
        <f t="shared" si="876"/>
        <v>0</v>
      </c>
      <c r="CU601" s="1101">
        <f t="shared" si="842"/>
        <v>0</v>
      </c>
      <c r="CV601" s="1108">
        <f t="shared" si="870"/>
        <v>0</v>
      </c>
      <c r="CW601" s="1097">
        <f t="shared" si="843"/>
        <v>0</v>
      </c>
      <c r="CX601" s="1097">
        <f t="shared" si="844"/>
        <v>0</v>
      </c>
      <c r="CY601" s="1110">
        <f t="shared" si="845"/>
        <v>0</v>
      </c>
      <c r="CZ601" s="1113"/>
      <c r="DA601" s="1114"/>
      <c r="DB601" s="1115" t="s">
        <v>569</v>
      </c>
      <c r="DC601" s="1115"/>
      <c r="DD601" s="1119"/>
      <c r="DE601" s="1092"/>
      <c r="DF601" s="1092"/>
      <c r="DG601" s="1116">
        <f t="shared" si="846"/>
        <v>0</v>
      </c>
      <c r="DH601" s="1116">
        <f t="shared" si="847"/>
        <v>0</v>
      </c>
      <c r="DI601" s="1116">
        <f t="shared" si="848"/>
        <v>0</v>
      </c>
      <c r="DJ601" s="1118">
        <f t="shared" si="871"/>
        <v>0</v>
      </c>
      <c r="DK601" s="1109">
        <f t="shared" si="872"/>
        <v>0</v>
      </c>
      <c r="DL601" s="1101">
        <f t="shared" si="849"/>
        <v>0</v>
      </c>
      <c r="DM601" s="1097">
        <f t="shared" si="850"/>
        <v>0</v>
      </c>
      <c r="DN601" s="1097">
        <f t="shared" si="851"/>
        <v>0</v>
      </c>
      <c r="DO601" s="1097">
        <f t="shared" si="852"/>
        <v>0</v>
      </c>
      <c r="DP601" s="1110">
        <f t="shared" si="853"/>
        <v>0</v>
      </c>
      <c r="DQ601" s="1167" t="s">
        <v>2305</v>
      </c>
      <c r="DR601" s="1114">
        <v>0.11</v>
      </c>
      <c r="DS601" s="1165"/>
      <c r="DT601" s="1093" t="s">
        <v>133</v>
      </c>
      <c r="DU601" s="1165"/>
      <c r="DV601" s="1098">
        <f>IF($P601="","N/A",IF(P601=-1,INDEX('卡片raw data'!AN:AN,MATCH(D601,'卡片raw data'!$F:$F,)),0)+IF(AND(L601&lt;&gt;"party卡",P601&lt;=2,P601&gt;=0),INDEX('卡片raw data'!AP:AP,MATCH(D601,'卡片raw data'!$F:$F,)),0)+IF(OR(AND(L601="party卡",P601&lt;=1),AND(P601&lt;=4,L601&lt;&gt;"party卡",P601&gt;=3)),INDEX('卡片raw data'!AQ:AQ,MATCH(D601,'卡片raw data'!$F:$F,)),0)+IF(OR(P601=5,AND(L601="party卡",P601&gt;=2)),INDEX('卡片raw data'!AR:AR,MATCH(D601,'卡片raw data'!$F:$F,)),0))</f>
        <v>0.52</v>
      </c>
      <c r="DW601" s="1098">
        <f t="shared" si="854"/>
        <v>0.16357142857142856</v>
      </c>
      <c r="DX601" s="1098">
        <f t="shared" si="855"/>
        <v>0.16</v>
      </c>
      <c r="DY601" s="1097">
        <f t="shared" si="856"/>
        <v>667.77468082311009</v>
      </c>
      <c r="DZ601" s="1097">
        <f t="shared" si="857"/>
        <v>565.01319718902107</v>
      </c>
      <c r="EA601" s="1098">
        <f t="shared" si="858"/>
        <v>0</v>
      </c>
      <c r="EB601" s="1121">
        <f t="shared" si="859"/>
        <v>0</v>
      </c>
      <c r="EC601" s="1101">
        <f t="shared" si="860"/>
        <v>0</v>
      </c>
      <c r="ED601" s="1097">
        <f t="shared" si="861"/>
        <v>0</v>
      </c>
      <c r="EE601" s="1110">
        <f t="shared" si="775"/>
        <v>48435.03108962375</v>
      </c>
      <c r="EF601" s="1113" t="s">
        <v>569</v>
      </c>
      <c r="EG601" s="1120">
        <v>0.11</v>
      </c>
      <c r="EH601" s="1124"/>
      <c r="EI601" s="1124"/>
      <c r="EJ601" s="1124"/>
      <c r="EK601" s="1097">
        <f>IF($P601="","N/A",IF(P601=-1,INDEX('卡片raw data'!AS:AS,MATCH(D601,'卡片raw data'!$F:$F,)),0)+IF(AND(L601&lt;&gt;"party卡",P601&lt;=2,P601&gt;=0),INDEX('卡片raw data'!AU:AU,MATCH(D601,'卡片raw data'!$F:$F,)),0)+IF(OR(AND(L601="party卡",P601&lt;=1),AND(P601&lt;=4,L601&lt;&gt;"party卡",P601&gt;=3)),INDEX('卡片raw data'!AV:AV,MATCH(D601,'卡片raw data'!$F:$F,)),0)+IF(OR(P601=5,AND(L601="party卡",P601&gt;=2)),INDEX('卡片raw data'!AW:AW,MATCH(D601,'卡片raw data'!$F:$F,)),0))</f>
        <v>0</v>
      </c>
      <c r="EL601" s="1098">
        <f t="shared" si="862"/>
        <v>0.16357142857142856</v>
      </c>
      <c r="EM601" s="1098">
        <f t="shared" si="863"/>
        <v>0.16</v>
      </c>
      <c r="EN601" s="1097">
        <f t="shared" si="864"/>
        <v>0</v>
      </c>
      <c r="EO601" s="1097">
        <f t="shared" si="865"/>
        <v>0</v>
      </c>
      <c r="EP601" s="1098">
        <f t="shared" si="866"/>
        <v>0</v>
      </c>
      <c r="EQ601" s="1121">
        <f t="shared" si="867"/>
        <v>0</v>
      </c>
      <c r="ER601" s="1101">
        <f t="shared" si="868"/>
        <v>0</v>
      </c>
      <c r="ES601" s="1097">
        <f t="shared" si="869"/>
        <v>0</v>
      </c>
      <c r="ET601" s="1122">
        <f t="shared" si="776"/>
        <v>0</v>
      </c>
    </row>
    <row r="602" spans="2:150" ht="16.5" customHeight="1">
      <c r="B602" s="1123" t="str">
        <f>INDEX('卡片raw data'!B:B,MATCH($D602,'卡片raw data'!$F:$F,))</f>
        <v>四专栞</v>
      </c>
      <c r="C602" s="1025" t="s">
        <v>4851</v>
      </c>
      <c r="D602" s="408">
        <v>599</v>
      </c>
      <c r="E602" s="1164">
        <v>402102002</v>
      </c>
      <c r="F602" s="1090" t="str">
        <f>INDEX('卡片raw data'!C:C,MATCH($D602,'卡片raw data'!$F:$F,))</f>
        <v>SR</v>
      </c>
      <c r="G602" s="1026" t="s">
        <v>4861</v>
      </c>
      <c r="H602" s="411">
        <f>IFERROR(INDEX(绊状态确认!C:C,MATCH($G602,绊状态确认!$B:$B,)),"")</f>
        <v>210</v>
      </c>
      <c r="I602" s="450" t="str">
        <f>IFERROR(INDEX(绊状态确认!D:D,MATCH($G602,绊状态确认!$B:$B,)),"")</f>
        <v>虹</v>
      </c>
      <c r="J602" s="450" t="str">
        <f>IFERROR(INDEX(绊状态确认!E:E,MATCH($G602,绊状态确认!$B:$B,)),"")</f>
        <v>1年级</v>
      </c>
      <c r="K602" s="451" t="str">
        <f>IFERROR(INDEX(绊状态确认!F:F,MATCH($G602,绊状态确认!$B:$B,)),"")</f>
        <v>R3BIRTH</v>
      </c>
      <c r="L602" s="1094" t="str">
        <f>INDEX('卡片raw data'!E:E,MATCH($D602,'卡片raw data'!$F:$F,))</f>
        <v>活动卡</v>
      </c>
      <c r="M602" s="1065">
        <v>44548</v>
      </c>
      <c r="N602" s="1027">
        <v>54</v>
      </c>
      <c r="O602" s="1091" t="str">
        <f>INDEX('卡片raw data'!D:D,MATCH($D602,'卡片raw data'!$F:$F,))</f>
        <v>sk</v>
      </c>
      <c r="P602" s="1126">
        <v>5</v>
      </c>
      <c r="Q602" s="1095">
        <f t="shared" si="796"/>
        <v>30223.646435886414</v>
      </c>
      <c r="R602" s="1096">
        <f t="shared" si="797"/>
        <v>0.35099999999999998</v>
      </c>
      <c r="S602" s="1097">
        <f t="shared" si="798"/>
        <v>15356.918372633265</v>
      </c>
      <c r="T602" s="1098">
        <f t="shared" si="799"/>
        <v>0.76700000000000002</v>
      </c>
      <c r="U602" s="1099">
        <f t="shared" si="800"/>
        <v>10.638177039582855</v>
      </c>
      <c r="V602" s="1100">
        <f t="shared" si="801"/>
        <v>33069.950681863098</v>
      </c>
      <c r="W602" s="1101">
        <f t="shared" si="802"/>
        <v>4725.9033053078174</v>
      </c>
      <c r="X602" s="1096">
        <f t="shared" si="803"/>
        <v>5.3999999999999999E-2</v>
      </c>
      <c r="Y602" s="1097">
        <f t="shared" si="804"/>
        <v>846.30424597668662</v>
      </c>
      <c r="Z602" s="1102">
        <f t="shared" si="805"/>
        <v>10.638177039582855</v>
      </c>
      <c r="AA602" s="1103">
        <f t="shared" si="806"/>
        <v>5572.207551284504</v>
      </c>
      <c r="AB602" s="1101">
        <f t="shared" si="807"/>
        <v>8482.3378779128179</v>
      </c>
      <c r="AC602" s="1104">
        <f t="shared" si="808"/>
        <v>9.8000000000000004E-2</v>
      </c>
      <c r="AD602" s="1105">
        <f t="shared" si="809"/>
        <v>2.5827557765151516E-2</v>
      </c>
      <c r="AE602" s="1128">
        <f t="shared" si="810"/>
        <v>7.6779697246100422</v>
      </c>
      <c r="AF602" s="1130">
        <f t="shared" si="811"/>
        <v>0</v>
      </c>
      <c r="AG602" s="1097">
        <f t="shared" si="812"/>
        <v>0</v>
      </c>
      <c r="AH602" s="1097">
        <f t="shared" si="813"/>
        <v>0</v>
      </c>
      <c r="AI602" s="1097">
        <f t="shared" si="814"/>
        <v>0</v>
      </c>
      <c r="AJ602" s="1097">
        <f t="shared" si="815"/>
        <v>0</v>
      </c>
      <c r="AK602" s="1129">
        <f t="shared" si="816"/>
        <v>0</v>
      </c>
      <c r="AL602" s="1042">
        <f>IF($P602="","N/A",(IF($P602=-1,INDEX('卡片raw data'!S:S,MATCH($D602,'卡片raw data'!$F:$F,)),0)+IF($P602=0,INDEX('卡片raw data'!V:V,MATCH($D602,'卡片raw data'!$F:$F,)),0)+IF($P602=1,INDEX('卡片raw data'!Y:Y,MATCH($D602,'卡片raw data'!$F:$F,)),0)+IF($P602=2,INDEX('卡片raw data'!AB:AB,MATCH($D602,'卡片raw data'!$F:$F,)),0)+IF($P602=3,INDEX('卡片raw data'!AE:AE,MATCH($D602,'卡片raw data'!$F:$F,)),0)+IF($P602=4,INDEX('卡片raw data'!AH:AH,MATCH($D602,'卡片raw data'!$F:$F,)),0)+IF($P602=5,INDEX('卡片raw data'!AK:AK,MATCH($D602,'卡片raw data'!$F:$F,)),0)+INDEX('卡片raw data'!S:S,MATCH($D602,'卡片raw data'!$F:$F,))*(IF($F602="UR",0.04,0.033))*(IF($F602="UR",INDEX(绊状态确认!$S:$S,MATCH($G602,绊状态确认!$B:$B,))/2-40)+IF($F602="SR",INDEX(绊状态确认!$R:$R,MATCH($G602,绊状态确认!$B:$B,))/4-15))+IF($F602="R",INDEX(绊状态确认!$Q:$Q,MATCH($G602,绊状态确认!$B:$B,))/6-40/6)))*(INDEX(绊状态确认!$H:$H,MATCH($G602,绊状态确认!$B:$B,))+INDEX(绊状态确认!J:J,MATCH($G602,绊状态确认!$B:$B,)))</f>
        <v>7452.365740799999</v>
      </c>
      <c r="AM602" s="1035">
        <f>IF($P602="","N/A",(IF($P602=-1,INDEX('卡片raw data'!T:T,MATCH($D602,'卡片raw data'!$F:$F,)),0)+IF($P602=0,INDEX('卡片raw data'!W:W,MATCH($D602,'卡片raw data'!$F:$F,)),0)+IF($P602=1,INDEX('卡片raw data'!Z:Z,MATCH($D602,'卡片raw data'!$F:$F,)),0)+IF($P602=2,INDEX('卡片raw data'!AC:AC,MATCH($D602,'卡片raw data'!$F:$F,)),0)+IF($P602=3,INDEX('卡片raw data'!AF:AF,MATCH($D602,'卡片raw data'!$F:$F,)),0)+IF($P602=4,INDEX('卡片raw data'!AI:AI,MATCH($D602,'卡片raw data'!$F:$F,)),0)+IF($P602=5,INDEX('卡片raw data'!AL:AL,MATCH($D602,'卡片raw data'!$F:$F,)),0)+INDEX('卡片raw data'!T:T,MATCH($D602,'卡片raw data'!$F:$F,))*(IF($F602="UR",0.04,0.033))*(IF($F602="UR",INDEX(绊状态确认!$S:$S,MATCH($G602,绊状态确认!$B:$B,))/2-40)+IF($F602="SR",INDEX(绊状态确认!$R:$R,MATCH($G602,绊状态确认!$B:$B,))/4-15))+IF($F602="R",INDEX(绊状态确认!$Q:$Q,MATCH($G602,绊状态确认!$B:$B,))/6-40/6)))*(INDEX(绊状态确认!$H:$H,MATCH($G602,绊状态确认!$B:$B,))+INDEX(绊状态确认!K:K,MATCH($G602,绊状态确认!$B:$B,)))</f>
        <v>5293.0148255999993</v>
      </c>
      <c r="AN602" s="1043">
        <f>IF($P602="","N/A",(IF($P602=-1,INDEX('卡片raw data'!U:U,MATCH($D602,'卡片raw data'!$F:$F,)),0)+IF($P602=0,INDEX('卡片raw data'!X:X,MATCH($D602,'卡片raw data'!$F:$F,)),0)+IF($P602=1,INDEX('卡片raw data'!AA:AA,MATCH($D602,'卡片raw data'!$F:$F,)),0)+IF($P602=2,INDEX('卡片raw data'!AD:AD,MATCH($D602,'卡片raw data'!$F:$F,)),0)+IF($P602=3,INDEX('卡片raw data'!AG:AG,MATCH($D602,'卡片raw data'!$F:$F,)),0)+IF($P602=4,INDEX('卡片raw data'!AJ:AJ,MATCH($D602,'卡片raw data'!$F:$F,)),0)+IF($P602=5,INDEX('卡片raw data'!AM:AM,MATCH($D602,'卡片raw data'!$F:$F,)),0)+INDEX('卡片raw data'!U:U,MATCH($D602,'卡片raw data'!$F:$F,))*(IF($F602="UR",0.04,0.033))*(IF($F602="UR",INDEX(绊状态确认!$S:$S,MATCH($G602,绊状态确认!$B:$B,))/2-40)+IF($F602="SR",INDEX(绊状态确认!$R:$R,MATCH($G602,绊状态确认!$B:$B,))/4-15))+IF($F602="R",INDEX(绊状态确认!$Q:$Q,MATCH($G602,绊状态确认!$B:$B,))/6-40/6)))*(INDEX(绊状态确认!$H:$H,MATCH($G602,绊状态确认!$B:$B,))+INDEX(绊状态确认!L:L,MATCH($G602,绊状态确认!$B:$B,)))</f>
        <v>6865.0355831999996</v>
      </c>
      <c r="AO602" s="1167">
        <f t="shared" si="817"/>
        <v>1</v>
      </c>
      <c r="AP602" s="1044">
        <f>1+(INDEX(绊状态确认!$T:$T,MATCH($G602,绊状态确认!$B:$B,))+0.2)*$AO602</f>
        <v>1.3</v>
      </c>
      <c r="AQ602" s="1035">
        <f t="shared" si="818"/>
        <v>22812.460069600002</v>
      </c>
      <c r="AR602" s="1035">
        <f>(AM602*(1+$EX$9)+$EX$35)*(1+(INDEX(绊状态确认!$T:$T,MATCH($G602,绊状态确认!$B:$B,))+0.2)*AO602)*IF(J602=$FF$17,1+$FE$17,1)*IF(I602=$FF$14,1+$FE$14,1)</f>
        <v>9928.9652369439991</v>
      </c>
      <c r="AS602" s="1035">
        <f>(AN602*(1+$EX$10)+$EX$36)*(1+(INDEX(绊状态确认!$T:$T,MATCH($G602,绊状态确认!$B:$B,))+0.2)*AO602)*IF(J602=$FF$17,1+$FE$17,1)*IF(I602=$FF$14,1+$FE$14,1)</f>
        <v>14319.228196884</v>
      </c>
      <c r="AT602" s="1165">
        <f>IF(AND(INDEX('卡片raw data'!AK:AK,MATCH($D602,'卡片raw data'!$F:$F,))&lt;INDEX('卡片raw data'!AM:AM,MATCH($D602,'卡片raw data'!$F:$F,)),INDEX('卡片raw data'!AL:AL,MATCH($D602,'卡片raw data'!$F:$F,))&lt;INDEX('卡片raw data'!AM:AM,MATCH($D602,'卡片raw data'!$F:$F,))),1,0)</f>
        <v>0</v>
      </c>
      <c r="AU602" s="1031">
        <f>MIN(AT602*0.15+AS602*0.00003+INDEX(绊状态确认!M:M,MATCH($G602,绊状态确认!$B:$B,)),1)</f>
        <v>0.45957684590652004</v>
      </c>
      <c r="AV602" s="1045">
        <f>(INDEX(绊状态确认!$N:$N,MATCH($G602,绊状态确认!$B:$B,))+1.5)*$EW$21</f>
        <v>2.6599999999999997</v>
      </c>
      <c r="AW602" s="1038">
        <f t="shared" si="819"/>
        <v>20886.062015084113</v>
      </c>
      <c r="AX602" s="1035">
        <f t="shared" si="820"/>
        <v>846.30424597668684</v>
      </c>
      <c r="AY602" s="483">
        <f t="shared" si="821"/>
        <v>21732.366261060801</v>
      </c>
      <c r="AZ602" s="1106">
        <f t="shared" si="822"/>
        <v>17132.113194559999</v>
      </c>
      <c r="BA602" s="1108">
        <f t="shared" si="823"/>
        <v>20558.535833471997</v>
      </c>
      <c r="BB602" s="1035">
        <f>(AM602*(1+$FB$9)+$FB$35)*(1+(INDEX(绊状态确认!$T:$T,MATCH($G602,绊状态确认!$B:$B,))+0.2)*AO602)*IF(J602=$FF$17,1+$FE$17,1)*IF(I602=$FF$14,1+$FE$14,1)*(1+$FE$15)</f>
        <v>9928.9652369439991</v>
      </c>
      <c r="BC602" s="1035">
        <f>(AN602*(1+$FB$10)+$FB$36)*(1+(INDEX(绊状态确认!$T:$T,MATCH($G602,绊状态确认!$B:$B,))+0.2)*AO602)*IF(J602=$FF$17,1+$FE$17,1)*IF(I602=$FF$14,1+$FE$14,1)*(1+$FE$15)</f>
        <v>14319.228196884</v>
      </c>
      <c r="BD602" s="481">
        <f>MIN(AT602*0.15+BC602*0.00003+INDEX(绊状态确认!M:M,MATCH($G602,绊状态确认!$B:$B,)),1)</f>
        <v>0.45957684590652004</v>
      </c>
      <c r="BE602" s="1109">
        <f>(INDEX(绊状态确认!$N:$N,MATCH($G602,绊状态确认!$B:$B,))+1.5)</f>
        <v>1.9</v>
      </c>
      <c r="BF602" s="646">
        <f t="array" ref="BF602">SUMPRODUCT(IF(AZ602*AP602*$FI$16:$FI$23*$FA$22&gt;=$FI$24,$FI$24,AZ602*AP602*$FI$16:$FI$23*$FA$22),$FJ$16:$FJ$23)</f>
        <v>34075.773143979844</v>
      </c>
      <c r="BG602" s="1047">
        <f t="array" ref="BG602">SUMPRODUCT(IF(BE602*AZ602*AP602*$FI$16:$FI$23*$FA$22&gt;=$FI$24,$FI$24,BE602*AZ602*AP602*$FI$16:$FI$23*$FA$22),$FJ$16:$FJ$23)</f>
        <v>58427.64938299849</v>
      </c>
      <c r="BH602" s="1046">
        <f t="shared" si="824"/>
        <v>15089.110539271322</v>
      </c>
      <c r="BI602" s="1048">
        <f>IF(O602="vo",$EW$26/$EW$24*0.05,0)+IF(O602="sk",-$EW$26/$EW$24*(0.05-INDEX(绊状态确认!W:W,MATCH($G602,绊状态确认!$B:$B,)))+0.05*$EW$28,0)+IF(O602="sp",0.05*$EW$32*$EW$30*(1-$EW$33)-(0.05-INDEX(绊状态确认!V:V,MATCH($G602,绊状态确认!$B:$B,)))*$EW$28,0)+IF(O602="gd",-(0.05-INDEX(绊状态确认!X:X,MATCH($G602,绊状态确认!$B:$B,)))*$EW$32*$EW$30*(1-$EW$33),0)</f>
        <v>-6253.6726349699375</v>
      </c>
      <c r="BJ602" s="1097">
        <f>IF(O602="vo",0.05*(1-$FI$26)*$FA$24,0)+IF(O602="sk",-(0.05-INDEX(绊状态确认!W:W,MATCH($G602,绊状态确认!$B:$B,)))*(1-$FI$26)*$FA$24+0.05*$FA$26,0)+IF(O602="sp",0.05*$FA$32*$FA$27*(1-$FA$33)/$FA$30+0.05*$FA$29/$FA$69*$FA$27*(1-$FA$33)-(0.05-INDEX(绊状态确认!V:V,MATCH($G602,绊状态确认!$B:$B,)))*$FA$26,0)+IF(O602="gd",-(0.05-INDEX(绊状态确认!X:X,MATCH($G602,绊状态确认!$B:$B,)))*$FA$32*$FA$27*(1-$FA$33)/$FA$30-(0.05-INDEX(绊状态确认!X:X,MATCH($G602,绊状态确认!$B:$B,)))*$FA$29/$FA$69*$FA$27*(1-$FA$33),0)</f>
        <v>20.459096812499922</v>
      </c>
      <c r="BK602" s="1046">
        <f>IF(O602="vo",$EW$26/$EW$24*0.05+$EW$26*(-HP($EW$62,$EW$65,$EW$64)+HP($EW$62,$EW$65,(1.05-INDEX(绊状态确认!U:U,MATCH($G602,绊状态确认!$B:$B,)))*$EW$64)),0)+IF(O602="sk",-$EW$26/$EW$24*(0.05-INDEX(绊状态确认!W:W,MATCH($G602,绊状态确认!$B:$B,)))+0.05*$EW$29,0)+IF(O602="sp",0.05*$EW$32*$EW$30*(1-$EW$33)-(0.05-INDEX(绊状态确认!V:V,MATCH($G602,绊状态确认!$B:$B,)))*$EW$29,0)+IF(O602="gd",-(0.05-INDEX(绊状态确认!X:X,MATCH($G602,绊状态确认!$B:$B,)))*$EW$32*$EW$30*(1-$EW$33)+$EW$26*(-HP($EW$62,$EW$65,$EW$64)+HP($EW$62,$EW$65,0.95*$EW$64)),0)</f>
        <v>-4253.6726349699375</v>
      </c>
      <c r="BL602" s="1048">
        <f t="shared" si="825"/>
        <v>-1083.3333333333333</v>
      </c>
      <c r="BM602" s="1046">
        <f t="shared" si="826"/>
        <v>-830.55555555555543</v>
      </c>
      <c r="BN602" s="1167">
        <f t="shared" si="827"/>
        <v>3</v>
      </c>
      <c r="BO602" s="1035">
        <f t="shared" si="828"/>
        <v>4507.7214871259994</v>
      </c>
      <c r="BP602" s="1043">
        <f t="shared" si="829"/>
        <v>221.34103209030098</v>
      </c>
      <c r="BQ602" s="1167" t="s">
        <v>1940</v>
      </c>
      <c r="BR602" s="1165" t="s">
        <v>2127</v>
      </c>
      <c r="BS602" s="1098">
        <f>IF($P602="","N/A",IF($P602=-1,INDEX('卡片raw data'!AX:AX,MATCH($D602,'卡片raw data'!$F:$F,)),0)+IF($L602="party卡",IF($P602=5,INDEX('卡片raw data'!BD:BD,MATCH($D602,'卡片raw data'!$F:$F,)),IF($P602&gt;=3,INDEX('卡片raw data'!BC:BC,MATCH($D602,'卡片raw data'!$F:$F,)),INDEX('卡片raw data'!BB:BB,MATCH($D602,'卡片raw data'!$F:$F,)))),IF(OR(AND($F602="UR",$P602=0),AND($F602="SR",$P602&gt;=0,$P602&lt;=2),AND($F602="R",$P602&gt;=0,$P602&lt;4)),INDEX('卡片raw data'!AZ:AZ,MATCH($D602,'卡片raw data'!$F:$F,)),0)+IF(OR(AND($F602="UR",$P602&gt;=1,$P602&lt;=4),AND($F602="SR",$P602&lt;=4,$P602&gt;=3),AND($F602="R",$P602=4)),INDEX('卡片raw data'!BA:BA,MATCH($D602,'卡片raw data'!$F:$F,)),0)+IF($P602=5,INDEX('卡片raw data'!BB:BB,MATCH($D602,'卡片raw data'!$F:$F,)),0)))</f>
        <v>0.05</v>
      </c>
      <c r="BT602" s="1101">
        <f t="shared" si="830"/>
        <v>3756.4345726050001</v>
      </c>
      <c r="BU602" s="1097">
        <f t="shared" si="831"/>
        <v>184.45086007525089</v>
      </c>
      <c r="BV602" s="1097">
        <f t="shared" si="832"/>
        <v>0</v>
      </c>
      <c r="BW602" s="1112">
        <f t="shared" si="833"/>
        <v>0</v>
      </c>
      <c r="BX602" s="1100">
        <f t="shared" si="834"/>
        <v>3756.4345726050001</v>
      </c>
      <c r="BY602" s="1110">
        <f t="shared" si="835"/>
        <v>0</v>
      </c>
      <c r="BZ602" s="1113" t="s">
        <v>569</v>
      </c>
      <c r="CA602" s="1124"/>
      <c r="CB602" s="1098">
        <f>IF($P602="","N/A",IF($P602=-1,INDEX('卡片raw data'!BE:BE,MATCH($D602,'卡片raw data'!$F:$F,)),0)+IF($L602="party卡",IF($P602=5,INDEX('卡片raw data'!BK:BK,MATCH($D602,'卡片raw data'!$F:$F,)),IF($P602&gt;=3,INDEX('卡片raw data'!BJ:BJ,MATCH($D602,'卡片raw data'!$F:$F,)),INDEX('卡片raw data'!BI:BI,MATCH($D602,'卡片raw data'!$F:$F,)))),IF(OR(AND($F602="UR",$P602=0),AND($F602="SR",$P602&gt;=0,$P602&lt;=2),AND($F602="R",$P602&gt;=0,$P602&lt;4)),INDEX('卡片raw data'!BG:BG,MATCH($D602,'卡片raw data'!$F:$F,)),0)+IF(OR(AND($F602="UR",$P602&gt;=1,$P602&lt;=4),AND($F602="SR",$P602&lt;=4,$P602&gt;=3),AND($F602="R",$P602=4)),INDEX('卡片raw data'!BH:BH,MATCH($D602,'卡片raw data'!$F:$F,)),0)+IF($P602=5,INDEX('卡片raw data'!BI:BI,MATCH($D602,'卡片raw data'!$F:$F,)),0)))</f>
        <v>0</v>
      </c>
      <c r="CC602" s="1101">
        <f t="shared" si="873"/>
        <v>0</v>
      </c>
      <c r="CD602" s="1097">
        <f>IF(BZ602="ap",CB602*(1-$FI$26)*$FB$5/$FB$11*(+IF(CA602="全员",$FA$24,0)+IF(CA602="同作战",$FA$24,0)+IF(CA602="仲间",$FA$24*2/3,0)+IF(CA602="同属性",$FA$24*$FA$37/3,0)+IF(CA602="同年级",$FA$24*$FA$40/3,0)+IF(CA602="同学校",$FA$24*$FA$43/3,0)+IF(CA602="同小队",$FA$24*$FA$46/3,0)+IF(CA602="同type",$FA$24*INDEX($FB$49:$FB$52,MATCH(X602,$FA$49:$FA$52,))/3,0)+IF(CA602="自身",#REF!/3,0)),0)+IF(BZ602="te",CB602*(1-$FI$27)*($FA$20-1)*$FB$7/$FB$13*(+IF(CA602="全员",$FA$19*$FA$24/(1+($FA$20-1)*$FA$19),0)+IF(CA602="同作战",$FA$19*$FA$24/(1+($FA$20-1)*$FA$19),0)+IF(CA602="仲间",$FA$19*$FA$24*2/3/(1+($FA$20-1)*$FA$19),0)+IF(CA602="同属性",$FA$19*$FA$24*$FA$37/3/(1+($FA$20-1)*$FA$19),0)+IF(CA602="同年级",$FA$19*$FA$24*$FA$40/3/(1+($FA$20-1)*$FA$19),0)+IF(CA602="同学校",$FA$19*$FA$24*$FA$43/3/(1+($FA$20-1)*$FA$19),0)+IF(CA602="同小队",$FA$19*$FA$24*$FA$46/3/(1+($FA$20-1)*$FA$19),0)+IF(CA602="同type",$FA$19*$FA$24*INDEX($FB$49:$FB$52,MATCH(X602,$FA$49:$FA$52,))/3/(1+($FA$20-1)*$FA$19),0)+IF(CA602="自身",$FA$19*#REF!/3/(1+(BH602-1)*$BD602),0)),0)</f>
        <v>0</v>
      </c>
      <c r="CE602" s="1097">
        <f t="shared" si="836"/>
        <v>0</v>
      </c>
      <c r="CF602" s="1112">
        <f t="shared" si="874"/>
        <v>0</v>
      </c>
      <c r="CG602" s="1100">
        <f t="shared" si="837"/>
        <v>0</v>
      </c>
      <c r="CH602" s="1110">
        <f t="shared" si="838"/>
        <v>0</v>
      </c>
      <c r="CI602" s="1113" t="s">
        <v>162</v>
      </c>
      <c r="CJ602" s="1114">
        <v>0.3</v>
      </c>
      <c r="CK602" s="1115" t="s">
        <v>295</v>
      </c>
      <c r="CL602" s="1115" t="s">
        <v>161</v>
      </c>
      <c r="CM602" s="1119">
        <v>0.08</v>
      </c>
      <c r="CN602" s="1115">
        <v>10</v>
      </c>
      <c r="CO602" s="1092"/>
      <c r="CP602" s="1118">
        <f t="shared" si="839"/>
        <v>5.1428571428571426E-3</v>
      </c>
      <c r="CQ602" s="1118">
        <f t="shared" si="840"/>
        <v>8.0000000000000002E-3</v>
      </c>
      <c r="CR602" s="1118">
        <f t="shared" si="841"/>
        <v>5.1428571428571426E-3</v>
      </c>
      <c r="CS602" s="1118">
        <f t="shared" si="875"/>
        <v>6.8333333333333319E-3</v>
      </c>
      <c r="CT602" s="1109">
        <f t="shared" si="876"/>
        <v>0</v>
      </c>
      <c r="CU602" s="1101">
        <f t="shared" si="842"/>
        <v>218.18181818181816</v>
      </c>
      <c r="CV602" s="1108">
        <f t="shared" si="870"/>
        <v>181.81818181818181</v>
      </c>
      <c r="CW602" s="1097">
        <f t="shared" si="843"/>
        <v>218.18181818181816</v>
      </c>
      <c r="CX602" s="1097">
        <f t="shared" si="844"/>
        <v>218.18181818181816</v>
      </c>
      <c r="CY602" s="1110">
        <f t="shared" si="845"/>
        <v>218.18181818181816</v>
      </c>
      <c r="CZ602" s="1113"/>
      <c r="DA602" s="1114"/>
      <c r="DB602" s="1115" t="s">
        <v>569</v>
      </c>
      <c r="DC602" s="1115"/>
      <c r="DD602" s="1119"/>
      <c r="DE602" s="1092"/>
      <c r="DF602" s="1092"/>
      <c r="DG602" s="1116">
        <f t="shared" si="846"/>
        <v>0</v>
      </c>
      <c r="DH602" s="1116">
        <f t="shared" si="847"/>
        <v>0</v>
      </c>
      <c r="DI602" s="1116">
        <f t="shared" si="848"/>
        <v>0</v>
      </c>
      <c r="DJ602" s="1118">
        <f t="shared" si="871"/>
        <v>0</v>
      </c>
      <c r="DK602" s="1109">
        <f t="shared" si="872"/>
        <v>0</v>
      </c>
      <c r="DL602" s="1101">
        <f t="shared" si="849"/>
        <v>0</v>
      </c>
      <c r="DM602" s="1097">
        <f t="shared" si="850"/>
        <v>0</v>
      </c>
      <c r="DN602" s="1097">
        <f t="shared" si="851"/>
        <v>0</v>
      </c>
      <c r="DO602" s="1097">
        <f t="shared" si="852"/>
        <v>0</v>
      </c>
      <c r="DP602" s="1110">
        <f t="shared" si="853"/>
        <v>0</v>
      </c>
      <c r="DQ602" s="1113" t="s">
        <v>292</v>
      </c>
      <c r="DR602" s="1120">
        <f t="shared" ref="DR602:DR615" si="877">IF(F602="UR",0.33,0.3)</f>
        <v>0.3</v>
      </c>
      <c r="DS602" s="1124">
        <v>10</v>
      </c>
      <c r="DT602" s="1093" t="s">
        <v>2127</v>
      </c>
      <c r="DU602" s="1124" t="s">
        <v>2145</v>
      </c>
      <c r="DV602" s="1098">
        <f>IF($P602="","N/A",IF(P602=-1,INDEX('卡片raw data'!AN:AN,MATCH(D602,'卡片raw data'!$F:$F,)),0)+IF(AND(L602&lt;&gt;"party卡",P602&lt;=2,P602&gt;=0),INDEX('卡片raw data'!AP:AP,MATCH(D602,'卡片raw data'!$F:$F,)),0)+IF(OR(AND(L602="party卡",P602&lt;=1),AND(P602&lt;=4,L602&lt;&gt;"party卡",P602&gt;=3)),INDEX('卡片raw data'!AQ:AQ,MATCH(D602,'卡片raw data'!$F:$F,)),0)+IF(OR(P602=5,AND(L602="party卡",P602&gt;=2)),INDEX('卡片raw data'!AR:AR,MATCH(D602,'卡片raw data'!$F:$F,)),0))</f>
        <v>7.0000000000000007E-2</v>
      </c>
      <c r="DW602" s="1098">
        <f t="shared" si="854"/>
        <v>0.3</v>
      </c>
      <c r="DX602" s="1098">
        <f t="shared" si="855"/>
        <v>0.3</v>
      </c>
      <c r="DY602" s="1098">
        <f t="shared" si="856"/>
        <v>7.0000000000000007E-2</v>
      </c>
      <c r="DZ602" s="1098">
        <f t="shared" si="857"/>
        <v>6.0550000000000007E-2</v>
      </c>
      <c r="EA602" s="1098">
        <f t="shared" si="858"/>
        <v>0</v>
      </c>
      <c r="EB602" s="1121">
        <f t="shared" si="859"/>
        <v>0</v>
      </c>
      <c r="EC602" s="1101">
        <f t="shared" si="860"/>
        <v>8192.2525111927516</v>
      </c>
      <c r="ED602" s="1097">
        <f t="shared" si="861"/>
        <v>490.2942181212656</v>
      </c>
      <c r="EE602" s="1110">
        <f t="shared" si="775"/>
        <v>8192.2525111927516</v>
      </c>
      <c r="EF602" s="1113" t="s">
        <v>569</v>
      </c>
      <c r="EG602" s="1120">
        <f t="shared" ref="EG602:EG615" si="878">IF(F602="UR",0.33,0.3)</f>
        <v>0.3</v>
      </c>
      <c r="EH602" s="1124"/>
      <c r="EI602" s="1124"/>
      <c r="EJ602" s="1124"/>
      <c r="EK602" s="1097">
        <f>IF($P602="","N/A",IF(P602=-1,INDEX('卡片raw data'!AS:AS,MATCH(D602,'卡片raw data'!$F:$F,)),0)+IF(AND(L602&lt;&gt;"party卡",P602&lt;=2,P602&gt;=0),INDEX('卡片raw data'!AU:AU,MATCH(D602,'卡片raw data'!$F:$F,)),0)+IF(OR(AND(L602="party卡",P602&lt;=1),AND(P602&lt;=4,L602&lt;&gt;"party卡",P602&gt;=3)),INDEX('卡片raw data'!AV:AV,MATCH(D602,'卡片raw data'!$F:$F,)),0)+IF(OR(P602=5,AND(L602="party卡",P602&gt;=2)),INDEX('卡片raw data'!AW:AW,MATCH(D602,'卡片raw data'!$F:$F,)),0))</f>
        <v>0</v>
      </c>
      <c r="EL602" s="1098">
        <f t="shared" si="862"/>
        <v>0.3</v>
      </c>
      <c r="EM602" s="1098">
        <f t="shared" si="863"/>
        <v>0.3</v>
      </c>
      <c r="EN602" s="1097">
        <f t="shared" si="864"/>
        <v>0</v>
      </c>
      <c r="EO602" s="1097">
        <f t="shared" si="865"/>
        <v>0</v>
      </c>
      <c r="EP602" s="1098">
        <f t="shared" si="866"/>
        <v>0</v>
      </c>
      <c r="EQ602" s="1121">
        <f t="shared" si="867"/>
        <v>0</v>
      </c>
      <c r="ER602" s="1101">
        <f t="shared" si="868"/>
        <v>0</v>
      </c>
      <c r="ES602" s="1097">
        <f t="shared" si="869"/>
        <v>0</v>
      </c>
      <c r="ET602" s="1122">
        <f t="shared" si="776"/>
        <v>0</v>
      </c>
    </row>
    <row r="603" spans="2:150" ht="16.5" customHeight="1">
      <c r="B603" s="1123" t="str">
        <f>INDEX('卡片raw data'!B:B,MATCH($D603,'卡片raw data'!$F:$F,))</f>
        <v>四单凛</v>
      </c>
      <c r="C603" s="1025" t="s">
        <v>4864</v>
      </c>
      <c r="D603" s="408">
        <v>600</v>
      </c>
      <c r="E603" s="1164">
        <v>400052006</v>
      </c>
      <c r="F603" s="1090" t="str">
        <f>INDEX('卡片raw data'!C:C,MATCH($D603,'卡片raw data'!$F:$F,))</f>
        <v>SR</v>
      </c>
      <c r="G603" s="1026" t="s">
        <v>4865</v>
      </c>
      <c r="H603" s="411">
        <f>IFERROR(INDEX(绊状态确认!C:C,MATCH($G603,绊状态确认!$B:$B,)),"")</f>
        <v>5</v>
      </c>
      <c r="I603" s="450" t="str">
        <f>IFERROR(INDEX(绊状态确认!D:D,MATCH($G603,绊状态确认!$B:$B,)),"")</f>
        <v>缪</v>
      </c>
      <c r="J603" s="450" t="str">
        <f>IFERROR(INDEX(绊状态确认!E:E,MATCH($G603,绊状态确认!$B:$B,)),"")</f>
        <v>1年级</v>
      </c>
      <c r="K603" s="451" t="str">
        <f>IFERROR(INDEX(绊状态确认!F:F,MATCH($G603,绊状态确认!$B:$B,)),"")</f>
        <v>lilywhite</v>
      </c>
      <c r="L603" s="1094" t="str">
        <f>INDEX('卡片raw data'!E:E,MATCH($D603,'卡片raw data'!$F:$F,))</f>
        <v>活动卡</v>
      </c>
      <c r="M603" s="1065">
        <v>44548</v>
      </c>
      <c r="N603" s="1027">
        <v>54</v>
      </c>
      <c r="O603" s="1091" t="str">
        <f>INDEX('卡片raw data'!D:D,MATCH($D603,'卡片raw data'!$F:$F,))</f>
        <v>vo</v>
      </c>
      <c r="P603" s="1126">
        <v>5</v>
      </c>
      <c r="Q603" s="1095">
        <f t="shared" si="796"/>
        <v>37939.778826219088</v>
      </c>
      <c r="R603" s="1096">
        <f t="shared" si="797"/>
        <v>0.441</v>
      </c>
      <c r="S603" s="1097">
        <f t="shared" si="798"/>
        <v>15349.054016955815</v>
      </c>
      <c r="T603" s="1098">
        <f t="shared" si="799"/>
        <v>0.76700000000000002</v>
      </c>
      <c r="U603" s="1099">
        <f t="shared" si="800"/>
        <v>-14.221245621177141</v>
      </c>
      <c r="V603" s="1100">
        <f t="shared" si="801"/>
        <v>37492.844440097389</v>
      </c>
      <c r="W603" s="1101">
        <f t="shared" si="802"/>
        <v>4561.6629531810722</v>
      </c>
      <c r="X603" s="1096">
        <f t="shared" si="803"/>
        <v>5.2999999999999999E-2</v>
      </c>
      <c r="Y603" s="1097">
        <f t="shared" si="804"/>
        <v>857.7340641200035</v>
      </c>
      <c r="Z603" s="1102">
        <f t="shared" si="805"/>
        <v>10.778754378822859</v>
      </c>
      <c r="AA603" s="1103">
        <f t="shared" si="806"/>
        <v>5419.3970173010757</v>
      </c>
      <c r="AB603" s="1101">
        <f t="shared" si="807"/>
        <v>5221.1708019525831</v>
      </c>
      <c r="AC603" s="1104">
        <f t="shared" si="808"/>
        <v>0.06</v>
      </c>
      <c r="AD603" s="1105">
        <f t="shared" si="809"/>
        <v>-3.8207812500000026E-3</v>
      </c>
      <c r="AE603" s="1128">
        <f t="shared" si="810"/>
        <v>-12.27536231884058</v>
      </c>
      <c r="AF603" s="1130">
        <f t="shared" si="811"/>
        <v>0</v>
      </c>
      <c r="AG603" s="1097">
        <f t="shared" si="812"/>
        <v>0</v>
      </c>
      <c r="AH603" s="1097">
        <f t="shared" si="813"/>
        <v>0</v>
      </c>
      <c r="AI603" s="1097">
        <f t="shared" si="814"/>
        <v>0</v>
      </c>
      <c r="AJ603" s="1097">
        <f t="shared" si="815"/>
        <v>0</v>
      </c>
      <c r="AK603" s="1129">
        <f t="shared" si="816"/>
        <v>0</v>
      </c>
      <c r="AL603" s="1042">
        <f>IF($P603="","N/A",(IF($P603=-1,INDEX('卡片raw data'!S:S,MATCH($D603,'卡片raw data'!$F:$F,)),0)+IF($P603=0,INDEX('卡片raw data'!V:V,MATCH($D603,'卡片raw data'!$F:$F,)),0)+IF($P603=1,INDEX('卡片raw data'!Y:Y,MATCH($D603,'卡片raw data'!$F:$F,)),0)+IF($P603=2,INDEX('卡片raw data'!AB:AB,MATCH($D603,'卡片raw data'!$F:$F,)),0)+IF($P603=3,INDEX('卡片raw data'!AE:AE,MATCH($D603,'卡片raw data'!$F:$F,)),0)+IF($P603=4,INDEX('卡片raw data'!AH:AH,MATCH($D603,'卡片raw data'!$F:$F,)),0)+IF($P603=5,INDEX('卡片raw data'!AK:AK,MATCH($D603,'卡片raw data'!$F:$F,)),0)+INDEX('卡片raw data'!S:S,MATCH($D603,'卡片raw data'!$F:$F,))*(IF($F603="UR",0.04,0.033))*(IF($F603="UR",INDEX(绊状态确认!$S:$S,MATCH($G603,绊状态确认!$B:$B,))/2-40)+IF($F603="SR",INDEX(绊状态确认!$R:$R,MATCH($G603,绊状态确认!$B:$B,))/4-15))+IF($F603="R",INDEX(绊状态确认!$Q:$Q,MATCH($G603,绊状态确认!$B:$B,))/6-40/6)))*(INDEX(绊状态确认!$H:$H,MATCH($G603,绊状态确认!$B:$B,))+INDEX(绊状态确认!J:J,MATCH($G603,绊状态确认!$B:$B,)))</f>
        <v>7585.601822399999</v>
      </c>
      <c r="AM603" s="1035">
        <f>IF($P603="","N/A",(IF($P603=-1,INDEX('卡片raw data'!T:T,MATCH($D603,'卡片raw data'!$F:$F,)),0)+IF($P603=0,INDEX('卡片raw data'!W:W,MATCH($D603,'卡片raw data'!$F:$F,)),0)+IF($P603=1,INDEX('卡片raw data'!Z:Z,MATCH($D603,'卡片raw data'!$F:$F,)),0)+IF($P603=2,INDEX('卡片raw data'!AC:AC,MATCH($D603,'卡片raw data'!$F:$F,)),0)+IF($P603=3,INDEX('卡片raw data'!AF:AF,MATCH($D603,'卡片raw data'!$F:$F,)),0)+IF($P603=4,INDEX('卡片raw data'!AI:AI,MATCH($D603,'卡片raw data'!$F:$F,)),0)+IF($P603=5,INDEX('卡片raw data'!AL:AL,MATCH($D603,'卡片raw data'!$F:$F,)),0)+INDEX('卡片raw data'!T:T,MATCH($D603,'卡片raw data'!$F:$F,))*(IF($F603="UR",0.04,0.033))*(IF($F603="UR",INDEX(绊状态确认!$S:$S,MATCH($G603,绊状态确认!$B:$B,))/2-40)+IF($F603="SR",INDEX(绊状态确认!$R:$R,MATCH($G603,绊状态确认!$B:$B,))/4-15))+IF($F603="R",INDEX(绊状态确认!$Q:$Q,MATCH($G603,绊状态确认!$B:$B,))/6-40/6)))*(INDEX(绊状态确认!$H:$H,MATCH($G603,绊状态确认!$B:$B,))+INDEX(绊状态确认!K:K,MATCH($G603,绊状态确认!$B:$B,)))</f>
        <v>5389.1360832</v>
      </c>
      <c r="AN603" s="1043">
        <f>IF($P603="","N/A",(IF($P603=-1,INDEX('卡片raw data'!U:U,MATCH($D603,'卡片raw data'!$F:$F,)),0)+IF($P603=0,INDEX('卡片raw data'!X:X,MATCH($D603,'卡片raw data'!$F:$F,)),0)+IF($P603=1,INDEX('卡片raw data'!AA:AA,MATCH($D603,'卡片raw data'!$F:$F,)),0)+IF($P603=2,INDEX('卡片raw data'!AD:AD,MATCH($D603,'卡片raw data'!$F:$F,)),0)+IF($P603=3,INDEX('卡片raw data'!AG:AG,MATCH($D603,'卡片raw data'!$F:$F,)),0)+IF($P603=4,INDEX('卡片raw data'!AJ:AJ,MATCH($D603,'卡片raw data'!$F:$F,)),0)+IF($P603=5,INDEX('卡片raw data'!AM:AM,MATCH($D603,'卡片raw data'!$F:$F,)),0)+INDEX('卡片raw data'!U:U,MATCH($D603,'卡片raw data'!$F:$F,))*(IF($F603="UR",0.04,0.033))*(IF($F603="UR",INDEX(绊状态确认!$S:$S,MATCH($G603,绊状态确认!$B:$B,))/2-40)+IF($F603="SR",INDEX(绊状态确认!$R:$R,MATCH($G603,绊状态确认!$B:$B,))/4-15))+IF($F603="R",INDEX(绊状态确认!$Q:$Q,MATCH($G603,绊状态确认!$B:$B,))/6-40/6)))*(INDEX(绊状态确认!$H:$H,MATCH($G603,绊状态确认!$B:$B,))+INDEX(绊状态确认!L:L,MATCH($G603,绊状态确认!$B:$B,)))</f>
        <v>6987.8190575999988</v>
      </c>
      <c r="AO603" s="1167">
        <f t="shared" si="817"/>
        <v>1</v>
      </c>
      <c r="AP603" s="1044">
        <f>1+(INDEX(绊状态确认!$T:$T,MATCH($G603,绊状态确认!$B:$B,))+0.2)*$AO603</f>
        <v>1.3</v>
      </c>
      <c r="AQ603" s="1035">
        <f t="shared" si="818"/>
        <v>23162.2047838</v>
      </c>
      <c r="AR603" s="1035">
        <f>(AM603*(1+$EX$9)+$EX$35)*(1+(INDEX(绊状态确认!$T:$T,MATCH($G603,绊状态确认!$B:$B,))+0.2)*AO603)*IF(J603=$FF$17,1+$FE$17,1)*IF(I603=$FF$14,1+$FE$14,1)</f>
        <v>10060.170753568002</v>
      </c>
      <c r="AS603" s="1035">
        <f>(AN603*(1+$EX$10)+$EX$36)*(1+(INDEX(绊状态确认!$T:$T,MATCH($G603,绊状态确认!$B:$B,))+0.2)*AO603)*IF(J603=$FF$17,1+$FE$17,1)*IF(I603=$FF$14,1+$FE$14,1)</f>
        <v>14502.789491111998</v>
      </c>
      <c r="AT603" s="1165">
        <f>IF(AND(INDEX('卡片raw data'!AK:AK,MATCH($D603,'卡片raw data'!$F:$F,))&lt;INDEX('卡片raw data'!AM:AM,MATCH($D603,'卡片raw data'!$F:$F,)),INDEX('卡片raw data'!AL:AL,MATCH($D603,'卡片raw data'!$F:$F,))&lt;INDEX('卡片raw data'!AM:AM,MATCH($D603,'卡片raw data'!$F:$F,))),1,0)</f>
        <v>0</v>
      </c>
      <c r="AU603" s="1031">
        <f>MIN(AT603*0.15+AS603*0.00003+INDEX(绊状态确认!M:M,MATCH($G603,绊状态确认!$B:$B,)),1)</f>
        <v>0.46508368473335998</v>
      </c>
      <c r="AV603" s="1045">
        <f>(INDEX(绊状态确认!$N:$N,MATCH($G603,绊状态确认!$B:$B,))+1.5)*$EW$21</f>
        <v>2.6599999999999997</v>
      </c>
      <c r="AW603" s="1038">
        <f t="shared" si="819"/>
        <v>21316.235826364929</v>
      </c>
      <c r="AX603" s="1035">
        <f t="shared" si="820"/>
        <v>857.73406412000372</v>
      </c>
      <c r="AY603" s="483">
        <f t="shared" si="821"/>
        <v>22173.969890484932</v>
      </c>
      <c r="AZ603" s="1106">
        <f t="shared" si="822"/>
        <v>17391.923553679997</v>
      </c>
      <c r="BA603" s="1108">
        <f t="shared" si="823"/>
        <v>20870.308264415995</v>
      </c>
      <c r="BB603" s="1035">
        <f>(AM603*(1+$FB$9)+$FB$35)*(1+(INDEX(绊状态确认!$T:$T,MATCH($G603,绊状态确认!$B:$B,))+0.2)*AO603)*IF(J603=$FF$17,1+$FE$17,1)*IF(I603=$FF$14,1+$FE$14,1)*(1+$FE$15)</f>
        <v>10060.170753568002</v>
      </c>
      <c r="BC603" s="1035">
        <f>(AN603*(1+$FB$10)+$FB$36)*(1+(INDEX(绊状态确认!$T:$T,MATCH($G603,绊状态确认!$B:$B,))+0.2)*AO603)*IF(J603=$FF$17,1+$FE$17,1)*IF(I603=$FF$14,1+$FE$14,1)*(1+$FE$15)</f>
        <v>14502.789491111998</v>
      </c>
      <c r="BD603" s="481">
        <f>MIN(AT603*0.15+BC603*0.00003+INDEX(绊状态确认!M:M,MATCH($G603,绊状态确认!$B:$B,)),1)</f>
        <v>0.46508368473335998</v>
      </c>
      <c r="BE603" s="1109">
        <f>(INDEX(绊状态确认!$N:$N,MATCH($G603,绊状态确认!$B:$B,))+1.5)</f>
        <v>1.9</v>
      </c>
      <c r="BF603" s="646">
        <f t="array" ref="BF603">SUMPRODUCT(IF(AZ603*AP603*$FI$16:$FI$23*$FA$22&gt;=$FI$24,$FI$24,AZ603*AP603*$FI$16:$FI$23*$FA$22),$FJ$16:$FJ$23)</f>
        <v>34592.53594826952</v>
      </c>
      <c r="BG603" s="1047">
        <f t="array" ref="BG603">SUMPRODUCT(IF(BE603*AZ603*AP603*$FI$16:$FI$23*$FA$22&gt;=$FI$24,$FI$24,BE603*AZ603*AP603*$FI$16:$FI$23*$FA$22),$FJ$16:$FJ$23)</f>
        <v>58739.5127943974</v>
      </c>
      <c r="BH603" s="1046">
        <f t="shared" si="824"/>
        <v>15274.300305012601</v>
      </c>
      <c r="BI603" s="1048">
        <f>IF(O603="vo",$EW$26/$EW$24*0.05,0)+IF(O603="sk",-$EW$26/$EW$24*(0.05-INDEX(绊状态确认!W:W,MATCH($G603,绊状态确认!$B:$B,)))+0.05*$EW$28,0)+IF(O603="sp",0.05*$EW$32*$EW$30*(1-$EW$33)-(0.05-INDEX(绊状态确认!V:V,MATCH($G603,绊状态确认!$B:$B,)))*$EW$28,0)+IF(O603="gd",-(0.05-INDEX(绊状态确认!X:X,MATCH($G603,绊状态确认!$B:$B,)))*$EW$32*$EW$30*(1-$EW$33),0)</f>
        <v>7726.3029277443748</v>
      </c>
      <c r="BJ603" s="1097">
        <f>IF(O603="vo",0.05*(1-$FI$26)*$FA$24,0)+IF(O603="sk",-(0.05-INDEX(绊状态确认!W:W,MATCH($G603,绊状态确认!$B:$B,)))*(1-$FI$26)*$FA$24+0.05*$FA$26,0)+IF(O603="sp",0.05*$FA$32*$FA$27*(1-$FA$33)/$FA$30+0.05*$FA$29/$FA$69*$FA$27*(1-$FA$33)-(0.05-INDEX(绊状态确认!V:V,MATCH($G603,绊状态确认!$B:$B,)))*$FA$26,0)+IF(O603="gd",-(0.05-INDEX(绊状态确认!X:X,MATCH($G603,绊状态确认!$B:$B,)))*$FA$32*$FA$27*(1-$FA$33)/$FA$30-(0.05-INDEX(绊状态确认!X:X,MATCH($G603,绊状态确认!$B:$B,)))*$FA$29/$FA$69*$FA$27*(1-$FA$33),0)</f>
        <v>393.93433687500004</v>
      </c>
      <c r="BK603" s="1046">
        <f>IF(O603="vo",$EW$26/$EW$24*0.05+$EW$26*(-HP($EW$62,$EW$65,$EW$64)+HP($EW$62,$EW$65,(1.05-INDEX(绊状态确认!U:U,MATCH($G603,绊状态确认!$B:$B,)))*$EW$64)),0)+IF(O603="sk",-$EW$26/$EW$24*(0.05-INDEX(绊状态确认!W:W,MATCH($G603,绊状态确认!$B:$B,)))+0.05*$EW$29,0)+IF(O603="sp",0.05*$EW$32*$EW$30*(1-$EW$33)-(0.05-INDEX(绊状态确认!V:V,MATCH($G603,绊状态确认!$B:$B,)))*$EW$29,0)+IF(O603="gd",-(0.05-INDEX(绊状态确认!X:X,MATCH($G603,绊状态确认!$B:$B,)))*$EW$32*$EW$30*(1-$EW$33)+$EW$26*(-HP($EW$62,$EW$65,$EW$64)+HP($EW$62,$EW$65,0.95*$EW$64)),0)</f>
        <v>6421.6344775026746</v>
      </c>
      <c r="BL603" s="1048">
        <f t="shared" si="825"/>
        <v>-1083.3333333333333</v>
      </c>
      <c r="BM603" s="1046">
        <f t="shared" si="826"/>
        <v>-830.55555555555543</v>
      </c>
      <c r="BN603" s="1167">
        <f t="shared" si="827"/>
        <v>3</v>
      </c>
      <c r="BO603" s="1035">
        <f t="shared" si="828"/>
        <v>4507.7214871259994</v>
      </c>
      <c r="BP603" s="1043">
        <f t="shared" si="829"/>
        <v>221.34103209030098</v>
      </c>
      <c r="BQ603" s="1113" t="s">
        <v>132</v>
      </c>
      <c r="BR603" s="1124" t="s">
        <v>166</v>
      </c>
      <c r="BS603" s="1098">
        <f>IF($P603="","N/A",IF($P603=-1,INDEX('卡片raw data'!AX:AX,MATCH($D603,'卡片raw data'!$F:$F,)),0)+IF($L603="party卡",IF($P603=5,INDEX('卡片raw data'!BD:BD,MATCH($D603,'卡片raw data'!$F:$F,)),IF($P603&gt;=3,INDEX('卡片raw data'!BC:BC,MATCH($D603,'卡片raw data'!$F:$F,)),INDEX('卡片raw data'!BB:BB,MATCH($D603,'卡片raw data'!$F:$F,)))),IF(OR(AND($F603="UR",$P603=0),AND($F603="SR",$P603&gt;=0,$P603&lt;=2),AND($F603="R",$P603&gt;=0,$P603&lt;4)),INDEX('卡片raw data'!AZ:AZ,MATCH($D603,'卡片raw data'!$F:$F,)),0)+IF(OR(AND($F603="UR",$P603&gt;=1,$P603&lt;=4),AND($F603="SR",$P603&lt;=4,$P603&gt;=3),AND($F603="R",$P603=4)),INDEX('卡片raw data'!BA:BA,MATCH($D603,'卡片raw data'!$F:$F,)),0)+IF($P603=5,INDEX('卡片raw data'!BB:BB,MATCH($D603,'卡片raw data'!$F:$F,)),0)))</f>
        <v>7.0000000000000007E-2</v>
      </c>
      <c r="BT603" s="1101">
        <f t="shared" si="830"/>
        <v>659.5078487715117</v>
      </c>
      <c r="BU603" s="1097">
        <f t="shared" si="831"/>
        <v>22.528315834483468</v>
      </c>
      <c r="BV603" s="1097">
        <f t="shared" si="832"/>
        <v>0</v>
      </c>
      <c r="BW603" s="1112">
        <f t="shared" si="833"/>
        <v>0</v>
      </c>
      <c r="BX603" s="1100">
        <f t="shared" si="834"/>
        <v>659.5078487715117</v>
      </c>
      <c r="BY603" s="1110">
        <f t="shared" si="835"/>
        <v>0</v>
      </c>
      <c r="BZ603" s="1113" t="s">
        <v>569</v>
      </c>
      <c r="CA603" s="1124"/>
      <c r="CB603" s="1098">
        <f>IF($P603="","N/A",IF($P603=-1,INDEX('卡片raw data'!BE:BE,MATCH($D603,'卡片raw data'!$F:$F,)),0)+IF($L603="party卡",IF($P603=5,INDEX('卡片raw data'!BK:BK,MATCH($D603,'卡片raw data'!$F:$F,)),IF($P603&gt;=3,INDEX('卡片raw data'!BJ:BJ,MATCH($D603,'卡片raw data'!$F:$F,)),INDEX('卡片raw data'!BI:BI,MATCH($D603,'卡片raw data'!$F:$F,)))),IF(OR(AND($F603="UR",$P603=0),AND($F603="SR",$P603&gt;=0,$P603&lt;=2),AND($F603="R",$P603&gt;=0,$P603&lt;4)),INDEX('卡片raw data'!BG:BG,MATCH($D603,'卡片raw data'!$F:$F,)),0)+IF(OR(AND($F603="UR",$P603&gt;=1,$P603&lt;=4),AND($F603="SR",$P603&lt;=4,$P603&gt;=3),AND($F603="R",$P603=4)),INDEX('卡片raw data'!BH:BH,MATCH($D603,'卡片raw data'!$F:$F,)),0)+IF($P603=5,INDEX('卡片raw data'!BI:BI,MATCH($D603,'卡片raw data'!$F:$F,)),0)))</f>
        <v>0</v>
      </c>
      <c r="CC603" s="1101">
        <f t="shared" si="873"/>
        <v>0</v>
      </c>
      <c r="CD603" s="1097">
        <f>IF(BZ603="ap",CB603*(1-$FI$26)*$FB$5/$FB$11*(+IF(CA603="全员",$FA$24,0)+IF(CA603="同作战",$FA$24,0)+IF(CA603="仲间",$FA$24*2/3,0)+IF(CA603="同属性",$FA$24*$FA$37/3,0)+IF(CA603="同年级",$FA$24*$FA$40/3,0)+IF(CA603="同学校",$FA$24*$FA$43/3,0)+IF(CA603="同小队",$FA$24*$FA$46/3,0)+IF(CA603="同type",$FA$24*INDEX($FB$49:$FB$52,MATCH(X603,$FA$49:$FA$52,))/3,0)+IF(CA603="自身",#REF!/3,0)),0)+IF(BZ603="te",CB603*(1-$FI$27)*($FA$20-1)*$FB$7/$FB$13*(+IF(CA603="全员",$FA$19*$FA$24/(1+($FA$20-1)*$FA$19),0)+IF(CA603="同作战",$FA$19*$FA$24/(1+($FA$20-1)*$FA$19),0)+IF(CA603="仲间",$FA$19*$FA$24*2/3/(1+($FA$20-1)*$FA$19),0)+IF(CA603="同属性",$FA$19*$FA$24*$FA$37/3/(1+($FA$20-1)*$FA$19),0)+IF(CA603="同年级",$FA$19*$FA$24*$FA$40/3/(1+($FA$20-1)*$FA$19),0)+IF(CA603="同学校",$FA$19*$FA$24*$FA$43/3/(1+($FA$20-1)*$FA$19),0)+IF(CA603="同小队",$FA$19*$FA$24*$FA$46/3/(1+($FA$20-1)*$FA$19),0)+IF(CA603="同type",$FA$19*$FA$24*INDEX($FB$49:$FB$52,MATCH(X603,$FA$49:$FA$52,))/3/(1+($FA$20-1)*$FA$19),0)+IF(CA603="自身",$FA$19*#REF!/3/(1+(BH603-1)*$BD603),0)),0)</f>
        <v>0</v>
      </c>
      <c r="CE603" s="1097">
        <f t="shared" si="836"/>
        <v>0</v>
      </c>
      <c r="CF603" s="1112">
        <f t="shared" si="874"/>
        <v>0</v>
      </c>
      <c r="CG603" s="1100">
        <f t="shared" si="837"/>
        <v>0</v>
      </c>
      <c r="CH603" s="1110">
        <f t="shared" si="838"/>
        <v>0</v>
      </c>
      <c r="CI603" s="1167" t="s">
        <v>4652</v>
      </c>
      <c r="CJ603" s="1114">
        <v>1</v>
      </c>
      <c r="CK603" s="1169" t="s">
        <v>2046</v>
      </c>
      <c r="CL603" s="1169" t="s">
        <v>1940</v>
      </c>
      <c r="CM603" s="1166">
        <v>7.5999999999999998E-2</v>
      </c>
      <c r="CN603" s="1169"/>
      <c r="CO603" s="1169"/>
      <c r="CP603" s="1116">
        <f t="shared" si="839"/>
        <v>49.037696413702292</v>
      </c>
      <c r="CQ603" s="1116">
        <f t="shared" si="840"/>
        <v>68.732881884143339</v>
      </c>
      <c r="CR603" s="1116">
        <f t="shared" si="841"/>
        <v>49.037696413702292</v>
      </c>
      <c r="CS603" s="1118">
        <f t="shared" si="875"/>
        <v>0</v>
      </c>
      <c r="CT603" s="1109">
        <f t="shared" si="876"/>
        <v>0</v>
      </c>
      <c r="CU603" s="1101">
        <f t="shared" si="842"/>
        <v>53.941466055072524</v>
      </c>
      <c r="CV603" s="1108">
        <f t="shared" si="870"/>
        <v>68.732881884143339</v>
      </c>
      <c r="CW603" s="1097">
        <f t="shared" si="843"/>
        <v>53.941466055072524</v>
      </c>
      <c r="CX603" s="1097">
        <f t="shared" si="844"/>
        <v>53.941466055072524</v>
      </c>
      <c r="CY603" s="1110">
        <f t="shared" si="845"/>
        <v>53.941466055072524</v>
      </c>
      <c r="CZ603" s="437"/>
      <c r="DA603" s="438"/>
      <c r="DB603" s="1115" t="s">
        <v>569</v>
      </c>
      <c r="DC603" s="1115"/>
      <c r="DD603" s="1119"/>
      <c r="DE603" s="1092"/>
      <c r="DF603" s="1092"/>
      <c r="DG603" s="1116">
        <f t="shared" si="846"/>
        <v>0</v>
      </c>
      <c r="DH603" s="1116">
        <f t="shared" si="847"/>
        <v>0</v>
      </c>
      <c r="DI603" s="1116">
        <f t="shared" si="848"/>
        <v>0</v>
      </c>
      <c r="DJ603" s="1118">
        <f t="shared" si="871"/>
        <v>0</v>
      </c>
      <c r="DK603" s="1109">
        <f t="shared" si="872"/>
        <v>0</v>
      </c>
      <c r="DL603" s="1101">
        <f t="shared" si="849"/>
        <v>0</v>
      </c>
      <c r="DM603" s="1097">
        <f t="shared" si="850"/>
        <v>0</v>
      </c>
      <c r="DN603" s="1097">
        <f t="shared" si="851"/>
        <v>0</v>
      </c>
      <c r="DO603" s="1097">
        <f t="shared" si="852"/>
        <v>0</v>
      </c>
      <c r="DP603" s="1110">
        <f t="shared" si="853"/>
        <v>0</v>
      </c>
      <c r="DQ603" s="1113" t="s">
        <v>167</v>
      </c>
      <c r="DR603" s="1120">
        <f t="shared" si="877"/>
        <v>0.3</v>
      </c>
      <c r="DS603" s="1124">
        <v>5</v>
      </c>
      <c r="DT603" s="1124" t="s">
        <v>2127</v>
      </c>
      <c r="DU603" s="1093" t="s">
        <v>2145</v>
      </c>
      <c r="DV603" s="1098">
        <f>IF($P603="","N/A",IF(P603=-1,INDEX('卡片raw data'!AN:AN,MATCH(D603,'卡片raw data'!$F:$F,)),0)+IF(AND(L603&lt;&gt;"party卡",P603&lt;=2,P603&gt;=0),INDEX('卡片raw data'!AP:AP,MATCH(D603,'卡片raw data'!$F:$F,)),0)+IF(OR(AND(L603="party卡",P603&lt;=1),AND(P603&lt;=4,L603&lt;&gt;"party卡",P603&gt;=3)),INDEX('卡片raw data'!AQ:AQ,MATCH(D603,'卡片raw data'!$F:$F,)),0)+IF(OR(P603=5,AND(L603="party卡",P603&gt;=2)),INDEX('卡片raw data'!AR:AR,MATCH(D603,'卡片raw data'!$F:$F,)),0))</f>
        <v>7.0000000000000007E-2</v>
      </c>
      <c r="DW603" s="1098">
        <f t="shared" si="854"/>
        <v>0.3</v>
      </c>
      <c r="DX603" s="1098">
        <f t="shared" si="855"/>
        <v>0.3</v>
      </c>
      <c r="DY603" s="1098">
        <f t="shared" si="856"/>
        <v>3.5000000000000003E-2</v>
      </c>
      <c r="DZ603" s="1098">
        <f t="shared" si="857"/>
        <v>3.0275000000000003E-2</v>
      </c>
      <c r="EA603" s="1098">
        <f t="shared" si="858"/>
        <v>0</v>
      </c>
      <c r="EB603" s="1121">
        <f t="shared" si="859"/>
        <v>0</v>
      </c>
      <c r="EC603" s="1101">
        <f t="shared" si="860"/>
        <v>4759.4026034905355</v>
      </c>
      <c r="ED603" s="1097">
        <f t="shared" si="861"/>
        <v>198.7727008148438</v>
      </c>
      <c r="EE603" s="1110">
        <f t="shared" si="775"/>
        <v>4759.4026034905355</v>
      </c>
      <c r="EF603" s="1113" t="s">
        <v>569</v>
      </c>
      <c r="EG603" s="1120">
        <f t="shared" si="878"/>
        <v>0.3</v>
      </c>
      <c r="EH603" s="1124"/>
      <c r="EI603" s="1124"/>
      <c r="EJ603" s="1124"/>
      <c r="EK603" s="1097">
        <f>IF($P603="","N/A",IF(P603=-1,INDEX('卡片raw data'!AS:AS,MATCH(D603,'卡片raw data'!$F:$F,)),0)+IF(AND(L603&lt;&gt;"party卡",P603&lt;=2,P603&gt;=0),INDEX('卡片raw data'!AU:AU,MATCH(D603,'卡片raw data'!$F:$F,)),0)+IF(OR(AND(L603="party卡",P603&lt;=1),AND(P603&lt;=4,L603&lt;&gt;"party卡",P603&gt;=3)),INDEX('卡片raw data'!AV:AV,MATCH(D603,'卡片raw data'!$F:$F,)),0)+IF(OR(P603=5,AND(L603="party卡",P603&gt;=2)),INDEX('卡片raw data'!AW:AW,MATCH(D603,'卡片raw data'!$F:$F,)),0))</f>
        <v>0</v>
      </c>
      <c r="EL603" s="1098">
        <f t="shared" si="862"/>
        <v>0.3</v>
      </c>
      <c r="EM603" s="1098">
        <f t="shared" si="863"/>
        <v>0.3</v>
      </c>
      <c r="EN603" s="1097">
        <f t="shared" si="864"/>
        <v>0</v>
      </c>
      <c r="EO603" s="1097">
        <f t="shared" si="865"/>
        <v>0</v>
      </c>
      <c r="EP603" s="1098">
        <f t="shared" si="866"/>
        <v>0</v>
      </c>
      <c r="EQ603" s="1121">
        <f t="shared" si="867"/>
        <v>0</v>
      </c>
      <c r="ER603" s="1101">
        <f t="shared" si="868"/>
        <v>0</v>
      </c>
      <c r="ES603" s="1097">
        <f t="shared" si="869"/>
        <v>0</v>
      </c>
      <c r="ET603" s="1122">
        <f t="shared" si="776"/>
        <v>0</v>
      </c>
    </row>
    <row r="604" spans="2:150" ht="16.5" customHeight="1">
      <c r="B604" s="1123" t="str">
        <f>INDEX('卡片raw data'!B:B,MATCH($D604,'卡片raw data'!$F:$F,))</f>
        <v>fes2步</v>
      </c>
      <c r="C604" s="1025" t="s">
        <v>4873</v>
      </c>
      <c r="D604" s="408">
        <v>601</v>
      </c>
      <c r="E604" s="1164">
        <v>202013002</v>
      </c>
      <c r="F604" s="1090" t="str">
        <f>INDEX('卡片raw data'!C:C,MATCH($D604,'卡片raw data'!$F:$F,))</f>
        <v>UR</v>
      </c>
      <c r="G604" s="1026" t="s">
        <v>4874</v>
      </c>
      <c r="H604" s="411">
        <f>IFERROR(INDEX(绊状态确认!C:C,MATCH($G604,绊状态确认!$B:$B,)),"")</f>
        <v>201</v>
      </c>
      <c r="I604" s="450" t="str">
        <f>IFERROR(INDEX(绊状态确认!D:D,MATCH($G604,绊状态确认!$B:$B,)),"")</f>
        <v>虹</v>
      </c>
      <c r="J604" s="450" t="str">
        <f>IFERROR(INDEX(绊状态确认!E:E,MATCH($G604,绊状态确认!$B:$B,)),"")</f>
        <v>2年级</v>
      </c>
      <c r="K604" s="451" t="str">
        <f>IFERROR(INDEX(绊状态确认!F:F,MATCH($G604,绊状态确认!$B:$B,)),"")</f>
        <v>A·ZU·NA</v>
      </c>
      <c r="L604" s="1094" t="str">
        <f>INDEX('卡片raw data'!E:E,MATCH($D604,'卡片raw data'!$F:$F,))</f>
        <v>fes卡</v>
      </c>
      <c r="M604" s="1065">
        <v>44558</v>
      </c>
      <c r="N604" s="1027">
        <v>54.5</v>
      </c>
      <c r="O604" s="1091" t="str">
        <f>INDEX('卡片raw data'!D:D,MATCH($D604,'卡片raw data'!$F:$F,))</f>
        <v>vo</v>
      </c>
      <c r="P604" s="1126">
        <v>5</v>
      </c>
      <c r="Q604" s="1095">
        <f t="shared" si="796"/>
        <v>85525.129843983232</v>
      </c>
      <c r="R604" s="1096">
        <f t="shared" si="797"/>
        <v>0.99399999999999999</v>
      </c>
      <c r="S604" s="1097">
        <f t="shared" si="798"/>
        <v>24677.458987001264</v>
      </c>
      <c r="T604" s="1098">
        <f t="shared" si="799"/>
        <v>1.2330000000000001</v>
      </c>
      <c r="U604" s="1099">
        <f t="shared" si="800"/>
        <v>-12.408232720257145</v>
      </c>
      <c r="V604" s="1100">
        <f t="shared" si="801"/>
        <v>85226.195596002217</v>
      </c>
      <c r="W604" s="1101">
        <f t="shared" si="802"/>
        <v>6010.2953161679998</v>
      </c>
      <c r="X604" s="1096">
        <f t="shared" si="803"/>
        <v>6.9000000000000006E-2</v>
      </c>
      <c r="Y604" s="1097">
        <f t="shared" si="804"/>
        <v>1005.7342022606736</v>
      </c>
      <c r="Z604" s="1102">
        <f t="shared" si="805"/>
        <v>12.591767279742855</v>
      </c>
      <c r="AA604" s="1103">
        <f t="shared" si="806"/>
        <v>7016.0295184286733</v>
      </c>
      <c r="AB604" s="1101">
        <f t="shared" si="807"/>
        <v>15435.213362104008</v>
      </c>
      <c r="AC604" s="1104">
        <f t="shared" si="808"/>
        <v>0.17899999999999999</v>
      </c>
      <c r="AD604" s="1105">
        <f t="shared" si="809"/>
        <v>0</v>
      </c>
      <c r="AE604" s="1128">
        <f t="shared" si="810"/>
        <v>0</v>
      </c>
      <c r="AF604" s="1130">
        <f t="shared" si="811"/>
        <v>0</v>
      </c>
      <c r="AG604" s="1097">
        <f t="shared" si="812"/>
        <v>0</v>
      </c>
      <c r="AH604" s="1097">
        <f t="shared" si="813"/>
        <v>0</v>
      </c>
      <c r="AI604" s="1097">
        <f t="shared" si="814"/>
        <v>0</v>
      </c>
      <c r="AJ604" s="1097">
        <f t="shared" si="815"/>
        <v>0</v>
      </c>
      <c r="AK604" s="1129">
        <f t="shared" si="816"/>
        <v>0</v>
      </c>
      <c r="AL604" s="1042">
        <f>IF($P604="","N/A",(IF($P604=-1,INDEX('卡片raw data'!S:S,MATCH($D604,'卡片raw data'!$F:$F,)),0)+IF($P604=0,INDEX('卡片raw data'!V:V,MATCH($D604,'卡片raw data'!$F:$F,)),0)+IF($P604=1,INDEX('卡片raw data'!Y:Y,MATCH($D604,'卡片raw data'!$F:$F,)),0)+IF($P604=2,INDEX('卡片raw data'!AB:AB,MATCH($D604,'卡片raw data'!$F:$F,)),0)+IF($P604=3,INDEX('卡片raw data'!AE:AE,MATCH($D604,'卡片raw data'!$F:$F,)),0)+IF($P604=4,INDEX('卡片raw data'!AH:AH,MATCH($D604,'卡片raw data'!$F:$F,)),0)+IF($P604=5,INDEX('卡片raw data'!AK:AK,MATCH($D604,'卡片raw data'!$F:$F,)),0)+INDEX('卡片raw data'!S:S,MATCH($D604,'卡片raw data'!$F:$F,))*(IF($F604="UR",0.04,0.033))*(IF($F604="UR",INDEX(绊状态确认!$S:$S,MATCH($G604,绊状态确认!$B:$B,))/2-40)+IF($F604="SR",INDEX(绊状态确认!$R:$R,MATCH($G604,绊状态确认!$B:$B,))/4-15))+IF($F604="R",INDEX(绊状态确认!$Q:$Q,MATCH($G604,绊状态确认!$B:$B,))/6-40/6)))*(INDEX(绊状态确认!$H:$H,MATCH($G604,绊状态确认!$B:$B,))+INDEX(绊状态确认!J:J,MATCH($G604,绊状态确认!$B:$B,)))</f>
        <v>16768.445663999999</v>
      </c>
      <c r="AM604" s="1035">
        <f>IF($P604="","N/A",(IF($P604=-1,INDEX('卡片raw data'!T:T,MATCH($D604,'卡片raw data'!$F:$F,)),0)+IF($P604=0,INDEX('卡片raw data'!W:W,MATCH($D604,'卡片raw data'!$F:$F,)),0)+IF($P604=1,INDEX('卡片raw data'!Z:Z,MATCH($D604,'卡片raw data'!$F:$F,)),0)+IF($P604=2,INDEX('卡片raw data'!AC:AC,MATCH($D604,'卡片raw data'!$F:$F,)),0)+IF($P604=3,INDEX('卡片raw data'!AF:AF,MATCH($D604,'卡片raw data'!$F:$F,)),0)+IF($P604=4,INDEX('卡片raw data'!AI:AI,MATCH($D604,'卡片raw data'!$F:$F,)),0)+IF($P604=5,INDEX('卡片raw data'!AL:AL,MATCH($D604,'卡片raw data'!$F:$F,)),0)+INDEX('卡片raw data'!T:T,MATCH($D604,'卡片raw data'!$F:$F,))*(IF($F604="UR",0.04,0.033))*(IF($F604="UR",INDEX(绊状态确认!$S:$S,MATCH($G604,绊状态确认!$B:$B,))/2-40)+IF($F604="SR",INDEX(绊状态确认!$R:$R,MATCH($G604,绊状态确认!$B:$B,))/4-15))+IF($F604="R",INDEX(绊状态确认!$Q:$Q,MATCH($G604,绊状态确认!$B:$B,))/6-40/6)))*(INDEX(绊状态确认!$H:$H,MATCH($G604,绊状态确认!$B:$B,))+INDEX(绊状态确认!K:K,MATCH($G604,绊状态确认!$B:$B,)))</f>
        <v>6628.8030239999989</v>
      </c>
      <c r="AN604" s="1043">
        <f>IF($P604="","N/A",(IF($P604=-1,INDEX('卡片raw data'!U:U,MATCH($D604,'卡片raw data'!$F:$F,)),0)+IF($P604=0,INDEX('卡片raw data'!X:X,MATCH($D604,'卡片raw data'!$F:$F,)),0)+IF($P604=1,INDEX('卡片raw data'!AA:AA,MATCH($D604,'卡片raw data'!$F:$F,)),0)+IF($P604=2,INDEX('卡片raw data'!AD:AD,MATCH($D604,'卡片raw data'!$F:$F,)),0)+IF($P604=3,INDEX('卡片raw data'!AG:AG,MATCH($D604,'卡片raw data'!$F:$F,)),0)+IF($P604=4,INDEX('卡片raw data'!AJ:AJ,MATCH($D604,'卡片raw data'!$F:$F,)),0)+IF($P604=5,INDEX('卡片raw data'!AM:AM,MATCH($D604,'卡片raw data'!$F:$F,)),0)+INDEX('卡片raw data'!U:U,MATCH($D604,'卡片raw data'!$F:$F,))*(IF($F604="UR",0.04,0.033))*(IF($F604="UR",INDEX(绊状态确认!$S:$S,MATCH($G604,绊状态确认!$B:$B,))/2-40)+IF($F604="SR",INDEX(绊状态确认!$R:$R,MATCH($G604,绊状态确认!$B:$B,))/4-15))+IF($F604="R",INDEX(绊状态确认!$Q:$Q,MATCH($G604,绊状态确认!$B:$B,))/6-40/6)))*(INDEX(绊状态确认!$H:$H,MATCH($G604,绊状态确认!$B:$B,))+INDEX(绊状态确认!L:L,MATCH($G604,绊状态确认!$B:$B,)))</f>
        <v>15600.499199999998</v>
      </c>
      <c r="AO604" s="1167">
        <f t="shared" si="817"/>
        <v>1</v>
      </c>
      <c r="AP604" s="1044">
        <f>1+(INDEX(绊状态确认!$T:$T,MATCH($G604,绊状态确认!$B:$B,))+0.2)*$AO604</f>
        <v>1.3</v>
      </c>
      <c r="AQ604" s="1035">
        <f t="shared" si="818"/>
        <v>47267.169867999997</v>
      </c>
      <c r="AR604" s="1035">
        <f>(AM604*(1+$EX$9)+$EX$35)*(1+(INDEX(绊状态确认!$T:$T,MATCH($G604,绊状态确认!$B:$B,))+0.2)*AO604)*IF(J604=$FF$17,1+$FE$17,1)*IF(I604=$FF$14,1+$FE$14,1)</f>
        <v>11752.316127759999</v>
      </c>
      <c r="AS604" s="1035">
        <f>(AN604*(1+$EX$10)+$EX$36)*(1+(INDEX(绊状态确认!$T:$T,MATCH($G604,绊状态确认!$B:$B,))+0.2)*AO604)*IF(J604=$FF$17,1+$FE$17,1)*IF(I604=$FF$14,1+$FE$14,1)</f>
        <v>27378.746304</v>
      </c>
      <c r="AT604" s="1165">
        <f>IF(AND(INDEX('卡片raw data'!AK:AK,MATCH($D604,'卡片raw data'!$F:$F,))&lt;INDEX('卡片raw data'!AM:AM,MATCH($D604,'卡片raw data'!$F:$F,)),INDEX('卡片raw data'!AL:AL,MATCH($D604,'卡片raw data'!$F:$F,))&lt;INDEX('卡片raw data'!AM:AM,MATCH($D604,'卡片raw data'!$F:$F,))),1,0)</f>
        <v>0</v>
      </c>
      <c r="AU604" s="1031">
        <f>MIN(AT604*0.15+AS604*0.00003+INDEX(绊状态确认!M:M,MATCH($G604,绊状态确认!$B:$B,)),1)</f>
        <v>0.85136238912000006</v>
      </c>
      <c r="AV604" s="1045">
        <f>(INDEX(绊状态确认!$N:$N,MATCH($G604,绊状态确认!$B:$B,))+1.5)*$EW$21</f>
        <v>2.6599999999999997</v>
      </c>
      <c r="AW604" s="1038">
        <f t="shared" si="819"/>
        <v>59240.860709635541</v>
      </c>
      <c r="AX604" s="1035">
        <f t="shared" si="820"/>
        <v>1005.7342022606732</v>
      </c>
      <c r="AY604" s="483">
        <f t="shared" si="821"/>
        <v>60246.594911896216</v>
      </c>
      <c r="AZ604" s="1106">
        <f t="shared" si="822"/>
        <v>35298.469044799996</v>
      </c>
      <c r="BA604" s="1108">
        <f t="shared" si="823"/>
        <v>42358.162853759997</v>
      </c>
      <c r="BB604" s="1035">
        <f>(AM604*(1+$FB$9)+$FB$35)*(1+(INDEX(绊状态确认!$T:$T,MATCH($G604,绊状态确认!$B:$B,))+0.2)*AO604)*IF(J604=$FF$17,1+$FE$17,1)*IF(I604=$FF$14,1+$FE$14,1)*(1+$FE$15)</f>
        <v>11752.316127759999</v>
      </c>
      <c r="BC604" s="1035">
        <f>(AN604*(1+$FB$10)+$FB$36)*(1+(INDEX(绊状态确认!$T:$T,MATCH($G604,绊状态确认!$B:$B,))+0.2)*AO604)*IF(J604=$FF$17,1+$FE$17,1)*IF(I604=$FF$14,1+$FE$14,1)*(1+$FE$15)</f>
        <v>27378.746304</v>
      </c>
      <c r="BD604" s="481">
        <f>MIN(AT604*0.15+BC604*0.00003+INDEX(绊状态确认!M:M,MATCH($G604,绊状态确认!$B:$B,)),1)</f>
        <v>0.85136238912000006</v>
      </c>
      <c r="BE604" s="1109">
        <f>(INDEX(绊状态确认!$N:$N,MATCH($G604,绊状态确认!$B:$B,))+1.5)</f>
        <v>1.9</v>
      </c>
      <c r="BF604" s="646">
        <f t="array" ref="BF604">SUMPRODUCT(IF(AZ604*AP604*$FI$16:$FI$23*$FA$22&gt;=$FI$24,$FI$24,AZ604*AP604*$FI$16:$FI$23*$FA$22),$FJ$16:$FJ$23)</f>
        <v>59472.002439560005</v>
      </c>
      <c r="BG604" s="1047">
        <f t="array" ref="BG604">SUMPRODUCT(IF(BE604*AZ604*AP604*$FI$16:$FI$23*$FA$22&gt;=$FI$24,$FI$24,BE604*AZ604*AP604*$FI$16:$FI$23*$FA$22),$FJ$16:$FJ$23)</f>
        <v>60000</v>
      </c>
      <c r="BH604" s="1046">
        <f t="shared" si="824"/>
        <v>19973.839901355244</v>
      </c>
      <c r="BI604" s="1048">
        <f>IF(O604="vo",$EW$26/$EW$24*0.05,0)+IF(O604="sk",-$EW$26/$EW$24*(0.05-INDEX(绊状态确认!W:W,MATCH($G604,绊状态确认!$B:$B,)))+0.05*$EW$28,0)+IF(O604="sp",0.05*$EW$32*$EW$30*(1-$EW$33)-(0.05-INDEX(绊状态确认!V:V,MATCH($G604,绊状态确认!$B:$B,)))*$EW$28,0)+IF(O604="gd",-(0.05-INDEX(绊状态确认!X:X,MATCH($G604,绊状态确认!$B:$B,)))*$EW$32*$EW$30*(1-$EW$33),0)</f>
        <v>7726.3029277443748</v>
      </c>
      <c r="BJ604" s="1097">
        <f>IF(O604="vo",0.05*(1-$FI$26)*$FA$24,0)+IF(O604="sk",-(0.05-INDEX(绊状态确认!W:W,MATCH($G604,绊状态确认!$B:$B,)))*(1-$FI$26)*$FA$24+0.05*$FA$26,0)+IF(O604="sp",0.05*$FA$32*$FA$27*(1-$FA$33)/$FA$30+0.05*$FA$29/$FA$69*$FA$27*(1-$FA$33)-(0.05-INDEX(绊状态确认!V:V,MATCH($G604,绊状态确认!$B:$B,)))*$FA$26,0)+IF(O604="gd",-(0.05-INDEX(绊状态确认!X:X,MATCH($G604,绊状态确认!$B:$B,)))*$FA$32*$FA$27*(1-$FA$33)/$FA$30-(0.05-INDEX(绊状态确认!X:X,MATCH($G604,绊状态确认!$B:$B,)))*$FA$29/$FA$69*$FA$27*(1-$FA$33),0)</f>
        <v>393.93433687500004</v>
      </c>
      <c r="BK604" s="1046">
        <f>IF(O604="vo",$EW$26/$EW$24*0.05+$EW$26*(-HP($EW$62,$EW$65,$EW$64)+HP($EW$62,$EW$65,(1.05-INDEX(绊状态确认!U:U,MATCH($G604,绊状态确认!$B:$B,)))*$EW$64)),0)+IF(O604="sk",-$EW$26/$EW$24*(0.05-INDEX(绊状态确认!W:W,MATCH($G604,绊状态确认!$B:$B,)))+0.05*$EW$29,0)+IF(O604="sp",0.05*$EW$32*$EW$30*(1-$EW$33)-(0.05-INDEX(绊状态确认!V:V,MATCH($G604,绊状态确认!$B:$B,)))*$EW$29,0)+IF(O604="gd",-(0.05-INDEX(绊状态确认!X:X,MATCH($G604,绊状态确认!$B:$B,)))*$EW$32*$EW$30*(1-$EW$33)+$EW$26*(-HP($EW$62,$EW$65,$EW$64)+HP($EW$62,$EW$65,0.95*$EW$64)),0)</f>
        <v>6421.6344775026746</v>
      </c>
      <c r="BL604" s="1048">
        <f t="shared" si="825"/>
        <v>0</v>
      </c>
      <c r="BM604" s="1046">
        <f t="shared" si="826"/>
        <v>0</v>
      </c>
      <c r="BN604" s="1167">
        <f t="shared" si="827"/>
        <v>4</v>
      </c>
      <c r="BO604" s="1035">
        <f t="shared" si="828"/>
        <v>6010.2953161679998</v>
      </c>
      <c r="BP604" s="1043">
        <f t="shared" si="829"/>
        <v>295.12137612040135</v>
      </c>
      <c r="BQ604" s="1167" t="s">
        <v>1940</v>
      </c>
      <c r="BR604" s="1165" t="s">
        <v>2127</v>
      </c>
      <c r="BS604" s="1098">
        <f>IF($P604="","N/A",IF($P604=-1,INDEX('卡片raw data'!AX:AX,MATCH($D604,'卡片raw data'!$F:$F,)),0)+IF($L604="party卡",IF($P604=5,INDEX('卡片raw data'!BD:BD,MATCH($D604,'卡片raw data'!$F:$F,)),IF($P604&gt;=3,INDEX('卡片raw data'!BC:BC,MATCH($D604,'卡片raw data'!$F:$F,)),INDEX('卡片raw data'!BB:BB,MATCH($D604,'卡片raw data'!$F:$F,)))),IF(OR(AND($F604="UR",$P604=0),AND($F604="SR",$P604&gt;=0,$P604&lt;=2),AND($F604="R",$P604&gt;=0,$P604&lt;4)),INDEX('卡片raw data'!AZ:AZ,MATCH($D604,'卡片raw data'!$F:$F,)),0)+IF(OR(AND($F604="UR",$P604&gt;=1,$P604&lt;=4),AND($F604="SR",$P604&lt;=4,$P604&gt;=3),AND($F604="R",$P604=4)),INDEX('卡片raw data'!BA:BA,MATCH($D604,'卡片raw data'!$F:$F,)),0)+IF($P604=5,INDEX('卡片raw data'!BB:BB,MATCH($D604,'卡片raw data'!$F:$F,)),0)))</f>
        <v>7.0000000000000007E-2</v>
      </c>
      <c r="BT604" s="1101">
        <f t="shared" si="830"/>
        <v>5259.008401647</v>
      </c>
      <c r="BU604" s="1097">
        <f t="shared" si="831"/>
        <v>258.2312041053512</v>
      </c>
      <c r="BV604" s="1097">
        <f t="shared" si="832"/>
        <v>0</v>
      </c>
      <c r="BW604" s="1112">
        <f t="shared" si="833"/>
        <v>0</v>
      </c>
      <c r="BX604" s="1100">
        <f t="shared" si="834"/>
        <v>5259.008401647</v>
      </c>
      <c r="BY604" s="1110">
        <f t="shared" si="835"/>
        <v>0</v>
      </c>
      <c r="BZ604" s="1113" t="s">
        <v>134</v>
      </c>
      <c r="CA604" s="1124" t="s">
        <v>168</v>
      </c>
      <c r="CB604" s="1098">
        <f>IF($P604="","N/A",IF($P604=-1,INDEX('卡片raw data'!BE:BE,MATCH($D604,'卡片raw data'!$F:$F,)),0)+IF($L604="party卡",IF($P604=5,INDEX('卡片raw data'!BK:BK,MATCH($D604,'卡片raw data'!$F:$F,)),IF($P604&gt;=3,INDEX('卡片raw data'!BJ:BJ,MATCH($D604,'卡片raw data'!$F:$F,)),INDEX('卡片raw data'!BI:BI,MATCH($D604,'卡片raw data'!$F:$F,)))),IF(OR(AND($F604="UR",$P604=0),AND($F604="SR",$P604&gt;=0,$P604&lt;=2),AND($F604="R",$P604&gt;=0,$P604&lt;4)),INDEX('卡片raw data'!BG:BG,MATCH($D604,'卡片raw data'!$F:$F,)),0)+IF(OR(AND($F604="UR",$P604&gt;=1,$P604&lt;=4),AND($F604="SR",$P604&lt;=4,$P604&gt;=3),AND($F604="R",$P604=4)),INDEX('卡片raw data'!BH:BH,MATCH($D604,'卡片raw data'!$F:$F,)),0)+IF($P604=5,INDEX('卡片raw data'!BI:BI,MATCH($D604,'卡片raw data'!$F:$F,)),0)))</f>
        <v>3.5000000000000003E-2</v>
      </c>
      <c r="CC604" s="1101">
        <f t="shared" si="873"/>
        <v>2476.1083215080093</v>
      </c>
      <c r="CD604" s="1097">
        <f>IF(BZ604="ap",CB604*(1-$FI$26)*$FB$5/$FB$11*(+IF(CA604="全员",$FA$24,0)+IF(CA604="同作战",$FA$24,0)+IF(CA604="仲间",$FA$24*2/3,0)+IF(CA604="同属性",$FA$24*$FA$37/3,0)+IF(CA604="同年级",$FA$24*$FA$40/3,0)+IF(CA604="同学校",$FA$24*$FA$43/3,0)+IF(CA604="同小队",$FA$24*$FA$46/3,0)+IF(CA604="同type",$FA$24*INDEX($FB$49:$FB$52,MATCH(X604,$FA$49:$FA$52,))/3,0)+IF(CA604="自身",#REF!/3,0)),0)+IF(BZ604="te",CB604*(1-$FI$27)*($FA$20-1)*$FB$7/$FB$13*(+IF(CA604="全员",$FA$19*$FA$24/(1+($FA$20-1)*$FA$19),0)+IF(CA604="同作战",$FA$19*$FA$24/(1+($FA$20-1)*$FA$19),0)+IF(CA604="仲间",$FA$19*$FA$24*2/3/(1+($FA$20-1)*$FA$19),0)+IF(CA604="同属性",$FA$19*$FA$24*$FA$37/3/(1+($FA$20-1)*$FA$19),0)+IF(CA604="同年级",$FA$19*$FA$24*$FA$40/3/(1+($FA$20-1)*$FA$19),0)+IF(CA604="同学校",$FA$19*$FA$24*$FA$43/3/(1+($FA$20-1)*$FA$19),0)+IF(CA604="同小队",$FA$19*$FA$24*$FA$46/3/(1+($FA$20-1)*$FA$19),0)+IF(CA604="同type",$FA$19*$FA$24*INDEX($FB$49:$FB$52,MATCH(X604,$FA$49:$FA$52,))/3/(1+($FA$20-1)*$FA$19),0)+IF(CA604="自身",$FA$19*#REF!/3/(1+(BH604-1)*$BD604),0)),0)</f>
        <v>179.10483503581057</v>
      </c>
      <c r="CE604" s="1097">
        <f t="shared" si="836"/>
        <v>0</v>
      </c>
      <c r="CF604" s="1112">
        <f t="shared" si="874"/>
        <v>0</v>
      </c>
      <c r="CG604" s="1100">
        <f t="shared" si="837"/>
        <v>2476.1083215080093</v>
      </c>
      <c r="CH604" s="1110">
        <f t="shared" si="838"/>
        <v>0</v>
      </c>
      <c r="CI604" s="1167" t="s">
        <v>172</v>
      </c>
      <c r="CJ604" s="1168">
        <v>0.5</v>
      </c>
      <c r="CK604" s="1169" t="s">
        <v>2046</v>
      </c>
      <c r="CL604" s="1169" t="s">
        <v>1940</v>
      </c>
      <c r="CM604" s="1166">
        <v>0.15</v>
      </c>
      <c r="CN604" s="1169"/>
      <c r="CO604" s="1169"/>
      <c r="CP604" s="1116">
        <f t="shared" si="839"/>
        <v>1536.1830207099999</v>
      </c>
      <c r="CQ604" s="1116">
        <f t="shared" si="840"/>
        <v>1376.6402927472</v>
      </c>
      <c r="CR604" s="1116">
        <f t="shared" si="841"/>
        <v>0</v>
      </c>
      <c r="CS604" s="1118">
        <f t="shared" si="875"/>
        <v>0</v>
      </c>
      <c r="CT604" s="1109">
        <f t="shared" si="876"/>
        <v>0</v>
      </c>
      <c r="CU604" s="1101">
        <f t="shared" si="842"/>
        <v>1689.8013227810002</v>
      </c>
      <c r="CV604" s="1108">
        <f t="shared" si="870"/>
        <v>1376.6402927472</v>
      </c>
      <c r="CW604" s="1097">
        <f t="shared" si="843"/>
        <v>0</v>
      </c>
      <c r="CX604" s="1097">
        <f t="shared" si="844"/>
        <v>1689.8013227810002</v>
      </c>
      <c r="CY604" s="1110">
        <f t="shared" si="845"/>
        <v>0</v>
      </c>
      <c r="CZ604" s="1113"/>
      <c r="DA604" s="1114"/>
      <c r="DB604" s="1115" t="s">
        <v>569</v>
      </c>
      <c r="DC604" s="1115"/>
      <c r="DD604" s="1119"/>
      <c r="DE604" s="1092"/>
      <c r="DF604" s="1092"/>
      <c r="DG604" s="1116">
        <f t="shared" si="846"/>
        <v>0</v>
      </c>
      <c r="DH604" s="1116">
        <f t="shared" si="847"/>
        <v>0</v>
      </c>
      <c r="DI604" s="1116">
        <f t="shared" si="848"/>
        <v>0</v>
      </c>
      <c r="DJ604" s="1118">
        <f t="shared" si="871"/>
        <v>0</v>
      </c>
      <c r="DK604" s="1109">
        <f t="shared" si="872"/>
        <v>0</v>
      </c>
      <c r="DL604" s="1101">
        <f t="shared" si="849"/>
        <v>0</v>
      </c>
      <c r="DM604" s="1097">
        <f t="shared" si="850"/>
        <v>0</v>
      </c>
      <c r="DN604" s="1097">
        <f t="shared" si="851"/>
        <v>0</v>
      </c>
      <c r="DO604" s="1097">
        <f t="shared" si="852"/>
        <v>0</v>
      </c>
      <c r="DP604" s="1110">
        <f t="shared" si="853"/>
        <v>0</v>
      </c>
      <c r="DQ604" s="1167" t="s">
        <v>2046</v>
      </c>
      <c r="DR604" s="1120">
        <f t="shared" si="877"/>
        <v>0.33</v>
      </c>
      <c r="DS604" s="1165"/>
      <c r="DT604" s="1165" t="s">
        <v>1940</v>
      </c>
      <c r="DU604" s="1124"/>
      <c r="DV604" s="1098">
        <f>IF($P604="","N/A",IF(P604=-1,INDEX('卡片raw data'!AN:AN,MATCH(D604,'卡片raw data'!$F:$F,)),0)+IF(AND(L604&lt;&gt;"party卡",P604&lt;=2,P604&gt;=0),INDEX('卡片raw data'!AP:AP,MATCH(D604,'卡片raw data'!$F:$F,)),0)+IF(OR(AND(L604="party卡",P604&lt;=1),AND(P604&lt;=4,L604&lt;&gt;"party卡",P604&gt;=3)),INDEX('卡片raw data'!AQ:AQ,MATCH(D604,'卡片raw data'!$F:$F,)),0)+IF(OR(P604=5,AND(L604="party卡",P604&gt;=2)),INDEX('卡片raw data'!AR:AR,MATCH(D604,'卡片raw data'!$F:$F,)),0))</f>
        <v>0.42</v>
      </c>
      <c r="DW604" s="1098">
        <f t="shared" si="854"/>
        <v>0.33</v>
      </c>
      <c r="DX604" s="1098">
        <f t="shared" si="855"/>
        <v>0.33</v>
      </c>
      <c r="DY604" s="1097">
        <f t="shared" si="856"/>
        <v>2838.8662222720795</v>
      </c>
      <c r="DZ604" s="1097">
        <f t="shared" si="857"/>
        <v>2200.5870407622542</v>
      </c>
      <c r="EA604" s="1098">
        <f t="shared" si="858"/>
        <v>0</v>
      </c>
      <c r="EB604" s="1121">
        <f t="shared" si="859"/>
        <v>0</v>
      </c>
      <c r="EC604" s="1101">
        <f t="shared" si="860"/>
        <v>3122.7528444992877</v>
      </c>
      <c r="ED604" s="1097">
        <f t="shared" si="861"/>
        <v>2200.5870407622542</v>
      </c>
      <c r="EE604" s="1110">
        <f t="shared" si="775"/>
        <v>3122.7528444992877</v>
      </c>
      <c r="EF604" s="1113" t="s">
        <v>569</v>
      </c>
      <c r="EG604" s="1120">
        <f t="shared" si="878"/>
        <v>0.33</v>
      </c>
      <c r="EH604" s="1124"/>
      <c r="EI604" s="1124"/>
      <c r="EJ604" s="1124"/>
      <c r="EK604" s="1097">
        <f>IF($P604="","N/A",IF(P604=-1,INDEX('卡片raw data'!AS:AS,MATCH(D604,'卡片raw data'!$F:$F,)),0)+IF(AND(L604&lt;&gt;"party卡",P604&lt;=2,P604&gt;=0),INDEX('卡片raw data'!AU:AU,MATCH(D604,'卡片raw data'!$F:$F,)),0)+IF(OR(AND(L604="party卡",P604&lt;=1),AND(P604&lt;=4,L604&lt;&gt;"party卡",P604&gt;=3)),INDEX('卡片raw data'!AV:AV,MATCH(D604,'卡片raw data'!$F:$F,)),0)+IF(OR(P604=5,AND(L604="party卡",P604&gt;=2)),INDEX('卡片raw data'!AW:AW,MATCH(D604,'卡片raw data'!$F:$F,)),0))</f>
        <v>0</v>
      </c>
      <c r="EL604" s="1098">
        <f t="shared" si="862"/>
        <v>0.33</v>
      </c>
      <c r="EM604" s="1098">
        <f t="shared" si="863"/>
        <v>0.33</v>
      </c>
      <c r="EN604" s="1097">
        <f t="shared" si="864"/>
        <v>0</v>
      </c>
      <c r="EO604" s="1097">
        <f t="shared" si="865"/>
        <v>0</v>
      </c>
      <c r="EP604" s="1098">
        <f t="shared" si="866"/>
        <v>0</v>
      </c>
      <c r="EQ604" s="1121">
        <f t="shared" si="867"/>
        <v>0</v>
      </c>
      <c r="ER604" s="1101">
        <f t="shared" si="868"/>
        <v>0</v>
      </c>
      <c r="ES604" s="1097">
        <f t="shared" si="869"/>
        <v>0</v>
      </c>
      <c r="ET604" s="1122">
        <f t="shared" si="776"/>
        <v>0</v>
      </c>
    </row>
    <row r="605" spans="2:150" ht="16.5" customHeight="1">
      <c r="B605" s="1123" t="str">
        <f>INDEX('卡片raw data'!B:B,MATCH($D605,'卡片raw data'!$F:$F,))</f>
        <v>fes2鞠</v>
      </c>
      <c r="C605" s="1025" t="s">
        <v>4873</v>
      </c>
      <c r="D605" s="408">
        <v>602</v>
      </c>
      <c r="E605" s="1164">
        <v>201083002</v>
      </c>
      <c r="F605" s="1090" t="str">
        <f>INDEX('卡片raw data'!C:C,MATCH($D605,'卡片raw data'!$F:$F,))</f>
        <v>UR</v>
      </c>
      <c r="G605" s="1026" t="s">
        <v>4875</v>
      </c>
      <c r="H605" s="411">
        <f>IFERROR(INDEX(绊状态确认!C:C,MATCH($G605,绊状态确认!$B:$B,)),"")</f>
        <v>108</v>
      </c>
      <c r="I605" s="450" t="str">
        <f>IFERROR(INDEX(绊状态确认!D:D,MATCH($G605,绊状态确认!$B:$B,)),"")</f>
        <v>水</v>
      </c>
      <c r="J605" s="450" t="str">
        <f>IFERROR(INDEX(绊状态确认!E:E,MATCH($G605,绊状态确认!$B:$B,)),"")</f>
        <v>3年级</v>
      </c>
      <c r="K605" s="451" t="str">
        <f>IFERROR(INDEX(绊状态确认!F:F,MATCH($G605,绊状态确认!$B:$B,)),"")</f>
        <v>Guilty Kiss</v>
      </c>
      <c r="L605" s="1094" t="str">
        <f>INDEX('卡片raw data'!E:E,MATCH($D605,'卡片raw data'!$F:$F,))</f>
        <v>fes卡</v>
      </c>
      <c r="M605" s="1065">
        <v>44558</v>
      </c>
      <c r="N605" s="1027">
        <v>54.5</v>
      </c>
      <c r="O605" s="1091" t="str">
        <f>INDEX('卡片raw data'!D:D,MATCH($D605,'卡片raw data'!$F:$F,))</f>
        <v>vo</v>
      </c>
      <c r="P605" s="1126">
        <v>5</v>
      </c>
      <c r="Q605" s="1095">
        <f t="shared" si="796"/>
        <v>81728.742674199792</v>
      </c>
      <c r="R605" s="1096">
        <f t="shared" si="797"/>
        <v>0.95</v>
      </c>
      <c r="S605" s="1097">
        <f t="shared" si="798"/>
        <v>21336.340109919533</v>
      </c>
      <c r="T605" s="1098">
        <f t="shared" si="799"/>
        <v>1.0660000000000001</v>
      </c>
      <c r="U605" s="1099">
        <f t="shared" si="800"/>
        <v>-8.9868703992571426</v>
      </c>
      <c r="V605" s="1100">
        <f t="shared" si="801"/>
        <v>81712.122171372568</v>
      </c>
      <c r="W605" s="1101">
        <f t="shared" si="802"/>
        <v>6010.2953161679998</v>
      </c>
      <c r="X605" s="1096">
        <f t="shared" si="803"/>
        <v>6.9000000000000006E-2</v>
      </c>
      <c r="Y605" s="1097">
        <f t="shared" si="804"/>
        <v>1288.0479474144922</v>
      </c>
      <c r="Z605" s="1102">
        <f t="shared" si="805"/>
        <v>16.013129600742857</v>
      </c>
      <c r="AA605" s="1103">
        <f t="shared" si="806"/>
        <v>7298.343263582492</v>
      </c>
      <c r="AB605" s="1101">
        <f t="shared" si="807"/>
        <v>14371.904831006967</v>
      </c>
      <c r="AC605" s="1104">
        <f t="shared" si="808"/>
        <v>0.16700000000000001</v>
      </c>
      <c r="AD605" s="1105">
        <f t="shared" si="809"/>
        <v>0</v>
      </c>
      <c r="AE605" s="1128">
        <f t="shared" si="810"/>
        <v>0</v>
      </c>
      <c r="AF605" s="1130">
        <f t="shared" si="811"/>
        <v>0</v>
      </c>
      <c r="AG605" s="1097">
        <f t="shared" si="812"/>
        <v>0</v>
      </c>
      <c r="AH605" s="1097">
        <f t="shared" si="813"/>
        <v>0</v>
      </c>
      <c r="AI605" s="1097">
        <f t="shared" si="814"/>
        <v>0</v>
      </c>
      <c r="AJ605" s="1097">
        <f t="shared" si="815"/>
        <v>0</v>
      </c>
      <c r="AK605" s="1129">
        <f t="shared" si="816"/>
        <v>0</v>
      </c>
      <c r="AL605" s="1042">
        <f>IF($P605="","N/A",(IF($P605=-1,INDEX('卡片raw data'!S:S,MATCH($D605,'卡片raw data'!$F:$F,)),0)+IF($P605=0,INDEX('卡片raw data'!V:V,MATCH($D605,'卡片raw data'!$F:$F,)),0)+IF($P605=1,INDEX('卡片raw data'!Y:Y,MATCH($D605,'卡片raw data'!$F:$F,)),0)+IF($P605=2,INDEX('卡片raw data'!AB:AB,MATCH($D605,'卡片raw data'!$F:$F,)),0)+IF($P605=3,INDEX('卡片raw data'!AE:AE,MATCH($D605,'卡片raw data'!$F:$F,)),0)+IF($P605=4,INDEX('卡片raw data'!AH:AH,MATCH($D605,'卡片raw data'!$F:$F,)),0)+IF($P605=5,INDEX('卡片raw data'!AK:AK,MATCH($D605,'卡片raw data'!$F:$F,)),0)+INDEX('卡片raw data'!S:S,MATCH($D605,'卡片raw data'!$F:$F,))*(IF($F605="UR",0.04,0.033))*(IF($F605="UR",INDEX(绊状态确认!$S:$S,MATCH($G605,绊状态确认!$B:$B,))/2-40)+IF($F605="SR",INDEX(绊状态确认!$R:$R,MATCH($G605,绊状态确认!$B:$B,))/4-15))+IF($F605="R",INDEX(绊状态确认!$Q:$Q,MATCH($G605,绊状态确认!$B:$B,))/6-40/6)))*(INDEX(绊状态确认!$H:$H,MATCH($G605,绊状态确认!$B:$B,))+INDEX(绊状态确认!J:J,MATCH($G605,绊状态确认!$B:$B,)))</f>
        <v>15988.647983999997</v>
      </c>
      <c r="AM605" s="1035">
        <f>IF($P605="","N/A",(IF($P605=-1,INDEX('卡片raw data'!T:T,MATCH($D605,'卡片raw data'!$F:$F,)),0)+IF($P605=0,INDEX('卡片raw data'!W:W,MATCH($D605,'卡片raw data'!$F:$F,)),0)+IF($P605=1,INDEX('卡片raw data'!Z:Z,MATCH($D605,'卡片raw data'!$F:$F,)),0)+IF($P605=2,INDEX('卡片raw data'!AC:AC,MATCH($D605,'卡片raw data'!$F:$F,)),0)+IF($P605=3,INDEX('卡片raw data'!AF:AF,MATCH($D605,'卡片raw data'!$F:$F,)),0)+IF($P605=4,INDEX('卡片raw data'!AI:AI,MATCH($D605,'卡片raw data'!$F:$F,)),0)+IF($P605=5,INDEX('卡片raw data'!AL:AL,MATCH($D605,'卡片raw data'!$F:$F,)),0)+INDEX('卡片raw data'!T:T,MATCH($D605,'卡片raw data'!$F:$F,))*(IF($F605="UR",0.04,0.033))*(IF($F605="UR",INDEX(绊状态确认!$S:$S,MATCH($G605,绊状态确认!$B:$B,))/2-40)+IF($F605="SR",INDEX(绊状态确认!$R:$R,MATCH($G605,绊状态确认!$B:$B,))/4-15))+IF($F605="R",INDEX(绊状态确认!$Q:$Q,MATCH($G605,绊状态确认!$B:$B,))/6-40/6)))*(INDEX(绊状态确认!$H:$H,MATCH($G605,绊状态确认!$B:$B,))+INDEX(绊状态确认!K:K,MATCH($G605,绊状态确认!$B:$B,)))</f>
        <v>8968.1960639999998</v>
      </c>
      <c r="AN605" s="1043">
        <f>IF($P605="","N/A",(IF($P605=-1,INDEX('卡片raw data'!U:U,MATCH($D605,'卡片raw data'!$F:$F,)),0)+IF($P605=0,INDEX('卡片raw data'!X:X,MATCH($D605,'卡片raw data'!$F:$F,)),0)+IF($P605=1,INDEX('卡片raw data'!AA:AA,MATCH($D605,'卡片raw data'!$F:$F,)),0)+IF($P605=2,INDEX('卡片raw data'!AD:AD,MATCH($D605,'卡片raw data'!$F:$F,)),0)+IF($P605=3,INDEX('卡片raw data'!AG:AG,MATCH($D605,'卡片raw data'!$F:$F,)),0)+IF($P605=4,INDEX('卡片raw data'!AJ:AJ,MATCH($D605,'卡片raw data'!$F:$F,)),0)+IF($P605=5,INDEX('卡片raw data'!AM:AM,MATCH($D605,'卡片raw data'!$F:$F,)),0)+INDEX('卡片raw data'!U:U,MATCH($D605,'卡片raw data'!$F:$F,))*(IF($F605="UR",0.04,0.033))*(IF($F605="UR",INDEX(绊状态确认!$S:$S,MATCH($G605,绊状态确认!$B:$B,))/2-40)+IF($F605="SR",INDEX(绊状态确认!$R:$R,MATCH($G605,绊状态确认!$B:$B,))/4-15))+IF($F605="R",INDEX(绊状态确认!$Q:$Q,MATCH($G605,绊状态确认!$B:$B,))/6-40/6)))*(INDEX(绊状态确认!$H:$H,MATCH($G605,绊状态确认!$B:$B,))+INDEX(绊状态确认!L:L,MATCH($G605,绊状态确认!$B:$B,)))</f>
        <v>14039.767439999998</v>
      </c>
      <c r="AO605" s="1167">
        <f t="shared" si="817"/>
        <v>1</v>
      </c>
      <c r="AP605" s="1044">
        <f>1+(INDEX(绊状态确认!$T:$T,MATCH($G605,绊状态确认!$B:$B,))+0.2)*$AO605</f>
        <v>1.3</v>
      </c>
      <c r="AQ605" s="1035">
        <f t="shared" si="818"/>
        <v>45220.200957999994</v>
      </c>
      <c r="AR605" s="1035">
        <f>(AM605*(1+$EX$9)+$EX$35)*(1+(INDEX(绊状态确认!$T:$T,MATCH($G605,绊状态确认!$B:$B,))+0.2)*AO605)*IF(J605=$FF$17,1+$FE$17,1)*IF(I605=$FF$14,1+$FE$14,1)</f>
        <v>14945.587627360001</v>
      </c>
      <c r="AS605" s="1035">
        <f>(AN605*(1+$EX$10)+$EX$36)*(1+(INDEX(绊状态确认!$T:$T,MATCH($G605,绊状态确认!$B:$B,))+0.2)*AO605)*IF(J605=$FF$17,1+$FE$17,1)*IF(I605=$FF$14,1+$FE$14,1)</f>
        <v>25045.452322799996</v>
      </c>
      <c r="AT605" s="1165">
        <f>IF(AND(INDEX('卡片raw data'!AK:AK,MATCH($D605,'卡片raw data'!$F:$F,))&lt;INDEX('卡片raw data'!AM:AM,MATCH($D605,'卡片raw data'!$F:$F,)),INDEX('卡片raw data'!AL:AL,MATCH($D605,'卡片raw data'!$F:$F,))&lt;INDEX('卡片raw data'!AM:AM,MATCH($D605,'卡片raw data'!$F:$F,))),1,0)</f>
        <v>0</v>
      </c>
      <c r="AU605" s="1031">
        <f>MIN(AT605*0.15+AS605*0.00003+INDEX(绊状态确认!M:M,MATCH($G605,绊状态确认!$B:$B,)),1)</f>
        <v>0.78136356968399989</v>
      </c>
      <c r="AV605" s="1045">
        <f>(INDEX(绊状态确认!$N:$N,MATCH($G605,绊状态确认!$B:$B,))+1.5)*$EW$21</f>
        <v>2.6599999999999997</v>
      </c>
      <c r="AW605" s="1038">
        <f t="shared" si="819"/>
        <v>53946.448377565459</v>
      </c>
      <c r="AX605" s="1035">
        <f t="shared" si="820"/>
        <v>1288.0479474144918</v>
      </c>
      <c r="AY605" s="483">
        <f t="shared" si="821"/>
        <v>55234.496324979948</v>
      </c>
      <c r="AZ605" s="1106">
        <f t="shared" si="822"/>
        <v>33777.863568799992</v>
      </c>
      <c r="BA605" s="1108">
        <f t="shared" si="823"/>
        <v>40533.436282559989</v>
      </c>
      <c r="BB605" s="1035">
        <f>(AM605*(1+$FB$9)+$FB$35)*(1+(INDEX(绊状态确认!$T:$T,MATCH($G605,绊状态确认!$B:$B,))+0.2)*AO605)*IF(J605=$FF$17,1+$FE$17,1)*IF(I605=$FF$14,1+$FE$14,1)*(1+$FE$15)</f>
        <v>14945.587627360001</v>
      </c>
      <c r="BC605" s="1035">
        <f>(AN605*(1+$FB$10)+$FB$36)*(1+(INDEX(绊状态确认!$T:$T,MATCH($G605,绊状态确认!$B:$B,))+0.2)*AO605)*IF(J605=$FF$17,1+$FE$17,1)*IF(I605=$FF$14,1+$FE$14,1)*(1+$FE$15)</f>
        <v>25045.452322799996</v>
      </c>
      <c r="BD605" s="481">
        <f>MIN(AT605*0.15+BC605*0.00003+INDEX(绊状态确认!M:M,MATCH($G605,绊状态确认!$B:$B,)),1)</f>
        <v>0.78136356968399989</v>
      </c>
      <c r="BE605" s="1109">
        <f>(INDEX(绊状态确认!$N:$N,MATCH($G605,绊状态确认!$B:$B,))+1.5)</f>
        <v>1.9</v>
      </c>
      <c r="BF605" s="646">
        <f t="array" ref="BF605">SUMPRODUCT(IF(AZ605*AP605*$FI$16:$FI$23*$FA$22&gt;=$FI$24,$FI$24,AZ605*AP605*$FI$16:$FI$23*$FA$22),$FJ$16:$FJ$23)</f>
        <v>58977.805659859994</v>
      </c>
      <c r="BG605" s="1047">
        <f t="array" ref="BG605">SUMPRODUCT(IF(BE605*AZ605*AP605*$FI$16:$FI$23*$FA$22&gt;=$FI$24,$FI$24,BE605*AZ605*AP605*$FI$16:$FI$23*$FA$22),$FJ$16:$FJ$23)</f>
        <v>60000</v>
      </c>
      <c r="BH605" s="1046">
        <f t="shared" si="824"/>
        <v>19925.503692794187</v>
      </c>
      <c r="BI605" s="1048">
        <f>IF(O605="vo",$EW$26/$EW$24*0.05,0)+IF(O605="sk",-$EW$26/$EW$24*(0.05-INDEX(绊状态确认!W:W,MATCH($G605,绊状态确认!$B:$B,)))+0.05*$EW$28,0)+IF(O605="sp",0.05*$EW$32*$EW$30*(1-$EW$33)-(0.05-INDEX(绊状态确认!V:V,MATCH($G605,绊状态确认!$B:$B,)))*$EW$28,0)+IF(O605="gd",-(0.05-INDEX(绊状态确认!X:X,MATCH($G605,绊状态确认!$B:$B,)))*$EW$32*$EW$30*(1-$EW$33),0)</f>
        <v>7726.3029277443748</v>
      </c>
      <c r="BJ605" s="1097">
        <f>IF(O605="vo",0.05*(1-$FI$26)*$FA$24,0)+IF(O605="sk",-(0.05-INDEX(绊状态确认!W:W,MATCH($G605,绊状态确认!$B:$B,)))*(1-$FI$26)*$FA$24+0.05*$FA$26,0)+IF(O605="sp",0.05*$FA$32*$FA$27*(1-$FA$33)/$FA$30+0.05*$FA$29/$FA$69*$FA$27*(1-$FA$33)-(0.05-INDEX(绊状态确认!V:V,MATCH($G605,绊状态确认!$B:$B,)))*$FA$26,0)+IF(O605="gd",-(0.05-INDEX(绊状态确认!X:X,MATCH($G605,绊状态确认!$B:$B,)))*$FA$32*$FA$27*(1-$FA$33)/$FA$30-(0.05-INDEX(绊状态确认!X:X,MATCH($G605,绊状态确认!$B:$B,)))*$FA$29/$FA$69*$FA$27*(1-$FA$33),0)</f>
        <v>393.93433687500004</v>
      </c>
      <c r="BK605" s="1046">
        <f>IF(O605="vo",$EW$26/$EW$24*0.05+$EW$26*(-HP($EW$62,$EW$65,$EW$64)+HP($EW$62,$EW$65,(1.05-INDEX(绊状态确认!U:U,MATCH($G605,绊状态确认!$B:$B,)))*$EW$64)),0)+IF(O605="sk",-$EW$26/$EW$24*(0.05-INDEX(绊状态确认!W:W,MATCH($G605,绊状态确认!$B:$B,)))+0.05*$EW$29,0)+IF(O605="sp",0.05*$EW$32*$EW$30*(1-$EW$33)-(0.05-INDEX(绊状态确认!V:V,MATCH($G605,绊状态确认!$B:$B,)))*$EW$29,0)+IF(O605="gd",-(0.05-INDEX(绊状态确认!X:X,MATCH($G605,绊状态确认!$B:$B,)))*$EW$32*$EW$30*(1-$EW$33)+$EW$26*(-HP($EW$62,$EW$65,$EW$64)+HP($EW$62,$EW$65,0.95*$EW$64)),0)</f>
        <v>6421.6344775026746</v>
      </c>
      <c r="BL605" s="1048">
        <f t="shared" si="825"/>
        <v>0</v>
      </c>
      <c r="BM605" s="1046">
        <f t="shared" si="826"/>
        <v>0</v>
      </c>
      <c r="BN605" s="1167">
        <f t="shared" si="827"/>
        <v>4</v>
      </c>
      <c r="BO605" s="1035">
        <f t="shared" si="828"/>
        <v>6010.2953161679998</v>
      </c>
      <c r="BP605" s="1043">
        <f t="shared" si="829"/>
        <v>295.12137612040135</v>
      </c>
      <c r="BQ605" s="1167" t="s">
        <v>1940</v>
      </c>
      <c r="BR605" s="1165" t="s">
        <v>2127</v>
      </c>
      <c r="BS605" s="1098">
        <f>IF($P605="","N/A",IF($P605=-1,INDEX('卡片raw data'!AX:AX,MATCH($D605,'卡片raw data'!$F:$F,)),0)+IF($L605="party卡",IF($P605=5,INDEX('卡片raw data'!BD:BD,MATCH($D605,'卡片raw data'!$F:$F,)),IF($P605&gt;=3,INDEX('卡片raw data'!BC:BC,MATCH($D605,'卡片raw data'!$F:$F,)),INDEX('卡片raw data'!BB:BB,MATCH($D605,'卡片raw data'!$F:$F,)))),IF(OR(AND($F605="UR",$P605=0),AND($F605="SR",$P605&gt;=0,$P605&lt;=2),AND($F605="R",$P605&gt;=0,$P605&lt;4)),INDEX('卡片raw data'!AZ:AZ,MATCH($D605,'卡片raw data'!$F:$F,)),0)+IF(OR(AND($F605="UR",$P605&gt;=1,$P605&lt;=4),AND($F605="SR",$P605&lt;=4,$P605&gt;=3),AND($F605="R",$P605=4)),INDEX('卡片raw data'!BA:BA,MATCH($D605,'卡片raw data'!$F:$F,)),0)+IF($P605=5,INDEX('卡片raw data'!BB:BB,MATCH($D605,'卡片raw data'!$F:$F,)),0)))</f>
        <v>7.0000000000000007E-2</v>
      </c>
      <c r="BT605" s="1101">
        <f t="shared" si="830"/>
        <v>5259.008401647</v>
      </c>
      <c r="BU605" s="1097">
        <f t="shared" si="831"/>
        <v>258.2312041053512</v>
      </c>
      <c r="BV605" s="1097">
        <f t="shared" si="832"/>
        <v>0</v>
      </c>
      <c r="BW605" s="1112">
        <f t="shared" si="833"/>
        <v>0</v>
      </c>
      <c r="BX605" s="1100">
        <f t="shared" si="834"/>
        <v>5259.008401647</v>
      </c>
      <c r="BY605" s="1110">
        <f t="shared" si="835"/>
        <v>0</v>
      </c>
      <c r="BZ605" s="1113" t="s">
        <v>134</v>
      </c>
      <c r="CA605" s="1124" t="s">
        <v>168</v>
      </c>
      <c r="CB605" s="1098">
        <f>IF($P605="","N/A",IF($P605=-1,INDEX('卡片raw data'!BE:BE,MATCH($D605,'卡片raw data'!$F:$F,)),0)+IF($L605="party卡",IF($P605=5,INDEX('卡片raw data'!BK:BK,MATCH($D605,'卡片raw data'!$F:$F,)),IF($P605&gt;=3,INDEX('卡片raw data'!BJ:BJ,MATCH($D605,'卡片raw data'!$F:$F,)),INDEX('卡片raw data'!BI:BI,MATCH($D605,'卡片raw data'!$F:$F,)))),IF(OR(AND($F605="UR",$P605=0),AND($F605="SR",$P605&gt;=0,$P605&lt;=2),AND($F605="R",$P605&gt;=0,$P605&lt;4)),INDEX('卡片raw data'!BG:BG,MATCH($D605,'卡片raw data'!$F:$F,)),0)+IF(OR(AND($F605="UR",$P605&gt;=1,$P605&lt;=4),AND($F605="SR",$P605&lt;=4,$P605&gt;=3),AND($F605="R",$P605=4)),INDEX('卡片raw data'!BH:BH,MATCH($D605,'卡片raw data'!$F:$F,)),0)+IF($P605=5,INDEX('卡片raw data'!BI:BI,MATCH($D605,'卡片raw data'!$F:$F,)),0)))</f>
        <v>3.5000000000000003E-2</v>
      </c>
      <c r="CC605" s="1101">
        <f t="shared" si="873"/>
        <v>2476.1083215080093</v>
      </c>
      <c r="CD605" s="1097">
        <f>IF(BZ605="ap",CB605*(1-$FI$26)*$FB$5/$FB$11*(+IF(CA605="全员",$FA$24,0)+IF(CA605="同作战",$FA$24,0)+IF(CA605="仲间",$FA$24*2/3,0)+IF(CA605="同属性",$FA$24*$FA$37/3,0)+IF(CA605="同年级",$FA$24*$FA$40/3,0)+IF(CA605="同学校",$FA$24*$FA$43/3,0)+IF(CA605="同小队",$FA$24*$FA$46/3,0)+IF(CA605="同type",$FA$24*INDEX($FB$49:$FB$52,MATCH(X605,$FA$49:$FA$52,))/3,0)+IF(CA605="自身",#REF!/3,0)),0)+IF(BZ605="te",CB605*(1-$FI$27)*($FA$20-1)*$FB$7/$FB$13*(+IF(CA605="全员",$FA$19*$FA$24/(1+($FA$20-1)*$FA$19),0)+IF(CA605="同作战",$FA$19*$FA$24/(1+($FA$20-1)*$FA$19),0)+IF(CA605="仲间",$FA$19*$FA$24*2/3/(1+($FA$20-1)*$FA$19),0)+IF(CA605="同属性",$FA$19*$FA$24*$FA$37/3/(1+($FA$20-1)*$FA$19),0)+IF(CA605="同年级",$FA$19*$FA$24*$FA$40/3/(1+($FA$20-1)*$FA$19),0)+IF(CA605="同学校",$FA$19*$FA$24*$FA$43/3/(1+($FA$20-1)*$FA$19),0)+IF(CA605="同小队",$FA$19*$FA$24*$FA$46/3/(1+($FA$20-1)*$FA$19),0)+IF(CA605="同type",$FA$19*$FA$24*INDEX($FB$49:$FB$52,MATCH(X605,$FA$49:$FA$52,))/3/(1+($FA$20-1)*$FA$19),0)+IF(CA605="自身",$FA$19*#REF!/3/(1+(BH605-1)*$BD605),0)),0)</f>
        <v>179.10483503581057</v>
      </c>
      <c r="CE605" s="1097">
        <f t="shared" si="836"/>
        <v>0</v>
      </c>
      <c r="CF605" s="1112">
        <f t="shared" si="874"/>
        <v>0</v>
      </c>
      <c r="CG605" s="1100">
        <f t="shared" si="837"/>
        <v>2476.1083215080093</v>
      </c>
      <c r="CH605" s="1110">
        <f t="shared" si="838"/>
        <v>0</v>
      </c>
      <c r="CI605" s="1167" t="s">
        <v>4652</v>
      </c>
      <c r="CJ605" s="1168">
        <v>0.5</v>
      </c>
      <c r="CK605" s="1115" t="s">
        <v>2286</v>
      </c>
      <c r="CL605" s="1115" t="s">
        <v>2127</v>
      </c>
      <c r="CM605" s="1166">
        <v>8.5999999999999993E-2</v>
      </c>
      <c r="CN605" s="1169">
        <v>5</v>
      </c>
      <c r="CO605" s="1169"/>
      <c r="CP605" s="1118">
        <f t="shared" si="839"/>
        <v>4.6071428571428565E-3</v>
      </c>
      <c r="CQ605" s="1118">
        <f t="shared" si="840"/>
        <v>7.1666666666666658E-3</v>
      </c>
      <c r="CR605" s="1118">
        <f t="shared" si="841"/>
        <v>0</v>
      </c>
      <c r="CS605" s="1118">
        <f t="shared" si="875"/>
        <v>0</v>
      </c>
      <c r="CT605" s="1109">
        <f t="shared" si="876"/>
        <v>0</v>
      </c>
      <c r="CU605" s="1101">
        <f t="shared" si="842"/>
        <v>626.4927916839581</v>
      </c>
      <c r="CV605" s="1108">
        <f t="shared" si="870"/>
        <v>47.053268015625001</v>
      </c>
      <c r="CW605" s="1097">
        <f t="shared" si="843"/>
        <v>0</v>
      </c>
      <c r="CX605" s="1097">
        <f t="shared" si="844"/>
        <v>626.4927916839581</v>
      </c>
      <c r="CY605" s="1110">
        <f t="shared" si="845"/>
        <v>0</v>
      </c>
      <c r="CZ605" s="1113"/>
      <c r="DA605" s="1114"/>
      <c r="DB605" s="1115" t="s">
        <v>569</v>
      </c>
      <c r="DC605" s="1115"/>
      <c r="DD605" s="1119"/>
      <c r="DE605" s="1092"/>
      <c r="DF605" s="1092"/>
      <c r="DG605" s="1116">
        <f t="shared" si="846"/>
        <v>0</v>
      </c>
      <c r="DH605" s="1116">
        <f t="shared" si="847"/>
        <v>0</v>
      </c>
      <c r="DI605" s="1116">
        <f t="shared" si="848"/>
        <v>0</v>
      </c>
      <c r="DJ605" s="1118">
        <f t="shared" si="871"/>
        <v>0</v>
      </c>
      <c r="DK605" s="1109">
        <f t="shared" si="872"/>
        <v>0</v>
      </c>
      <c r="DL605" s="1101">
        <f t="shared" si="849"/>
        <v>0</v>
      </c>
      <c r="DM605" s="1097">
        <f t="shared" si="850"/>
        <v>0</v>
      </c>
      <c r="DN605" s="1097">
        <f t="shared" si="851"/>
        <v>0</v>
      </c>
      <c r="DO605" s="1097">
        <f t="shared" si="852"/>
        <v>0</v>
      </c>
      <c r="DP605" s="1110">
        <f t="shared" si="853"/>
        <v>0</v>
      </c>
      <c r="DQ605" s="1113" t="s">
        <v>167</v>
      </c>
      <c r="DR605" s="1120">
        <f t="shared" si="877"/>
        <v>0.33</v>
      </c>
      <c r="DS605" s="1124">
        <v>5</v>
      </c>
      <c r="DT605" s="1124" t="s">
        <v>2127</v>
      </c>
      <c r="DU605" s="1093" t="s">
        <v>544</v>
      </c>
      <c r="DV605" s="1098">
        <f>IF($P605="","N/A",IF(P605=-1,INDEX('卡片raw data'!AN:AN,MATCH(D605,'卡片raw data'!$F:$F,)),0)+IF(AND(L605&lt;&gt;"party卡",P605&lt;=2,P605&gt;=0),INDEX('卡片raw data'!AP:AP,MATCH(D605,'卡片raw data'!$F:$F,)),0)+IF(OR(AND(L605="party卡",P605&lt;=1),AND(P605&lt;=4,L605&lt;&gt;"party卡",P605&gt;=3)),INDEX('卡片raw data'!AQ:AQ,MATCH(D605,'卡片raw data'!$F:$F,)),0)+IF(OR(P605=5,AND(L605="party卡",P605&gt;=2)),INDEX('卡片raw data'!AR:AR,MATCH(D605,'卡片raw data'!$F:$F,)),0))</f>
        <v>7.5999999999999998E-2</v>
      </c>
      <c r="DW605" s="1098">
        <f t="shared" si="854"/>
        <v>0.33</v>
      </c>
      <c r="DX605" s="1098">
        <f t="shared" si="855"/>
        <v>0.33</v>
      </c>
      <c r="DY605" s="1098">
        <f t="shared" si="856"/>
        <v>4.1800000000000004E-2</v>
      </c>
      <c r="DZ605" s="1098">
        <f t="shared" si="857"/>
        <v>3.6157000000000002E-2</v>
      </c>
      <c r="EA605" s="1098">
        <f t="shared" si="858"/>
        <v>0</v>
      </c>
      <c r="EB605" s="1121">
        <f t="shared" si="859"/>
        <v>0</v>
      </c>
      <c r="EC605" s="1101">
        <f t="shared" si="860"/>
        <v>5684.0865378829831</v>
      </c>
      <c r="ED605" s="1097">
        <f t="shared" si="861"/>
        <v>237.39139697315628</v>
      </c>
      <c r="EE605" s="1110">
        <f t="shared" si="775"/>
        <v>5684.0865378829831</v>
      </c>
      <c r="EF605" s="1113" t="s">
        <v>569</v>
      </c>
      <c r="EG605" s="1120">
        <f t="shared" si="878"/>
        <v>0.33</v>
      </c>
      <c r="EH605" s="1124"/>
      <c r="EI605" s="1124"/>
      <c r="EJ605" s="1124"/>
      <c r="EK605" s="1097">
        <f>IF($P605="","N/A",IF(P605=-1,INDEX('卡片raw data'!AS:AS,MATCH(D605,'卡片raw data'!$F:$F,)),0)+IF(AND(L605&lt;&gt;"party卡",P605&lt;=2,P605&gt;=0),INDEX('卡片raw data'!AU:AU,MATCH(D605,'卡片raw data'!$F:$F,)),0)+IF(OR(AND(L605="party卡",P605&lt;=1),AND(P605&lt;=4,L605&lt;&gt;"party卡",P605&gt;=3)),INDEX('卡片raw data'!AV:AV,MATCH(D605,'卡片raw data'!$F:$F,)),0)+IF(OR(P605=5,AND(L605="party卡",P605&gt;=2)),INDEX('卡片raw data'!AW:AW,MATCH(D605,'卡片raw data'!$F:$F,)),0))</f>
        <v>0</v>
      </c>
      <c r="EL605" s="1098">
        <f t="shared" si="862"/>
        <v>0.33</v>
      </c>
      <c r="EM605" s="1098">
        <f t="shared" si="863"/>
        <v>0.33</v>
      </c>
      <c r="EN605" s="1097">
        <f t="shared" si="864"/>
        <v>0</v>
      </c>
      <c r="EO605" s="1097">
        <f t="shared" si="865"/>
        <v>0</v>
      </c>
      <c r="EP605" s="1098">
        <f t="shared" si="866"/>
        <v>0</v>
      </c>
      <c r="EQ605" s="1121">
        <f t="shared" si="867"/>
        <v>0</v>
      </c>
      <c r="ER605" s="1101">
        <f t="shared" si="868"/>
        <v>0</v>
      </c>
      <c r="ES605" s="1097">
        <f t="shared" si="869"/>
        <v>0</v>
      </c>
      <c r="ET605" s="1122">
        <f t="shared" si="776"/>
        <v>0</v>
      </c>
    </row>
    <row r="606" spans="2:150" ht="16.5" customHeight="1">
      <c r="B606" s="1123" t="str">
        <f>INDEX('卡片raw data'!B:B,MATCH($D606,'卡片raw data'!$F:$F,))</f>
        <v>四单鸟</v>
      </c>
      <c r="C606" s="1025" t="s">
        <v>4876</v>
      </c>
      <c r="D606" s="408">
        <v>603</v>
      </c>
      <c r="E606" s="1164">
        <v>200032003</v>
      </c>
      <c r="F606" s="1090" t="str">
        <f>INDEX('卡片raw data'!C:C,MATCH($D606,'卡片raw data'!$F:$F,))</f>
        <v>SR</v>
      </c>
      <c r="G606" s="1026" t="s">
        <v>4877</v>
      </c>
      <c r="H606" s="411">
        <f>IFERROR(INDEX(绊状态确认!C:C,MATCH($G606,绊状态确认!$B:$B,)),"")</f>
        <v>3</v>
      </c>
      <c r="I606" s="450" t="str">
        <f>IFERROR(INDEX(绊状态确认!D:D,MATCH($G606,绊状态确认!$B:$B,)),"")</f>
        <v>缪</v>
      </c>
      <c r="J606" s="450" t="str">
        <f>IFERROR(INDEX(绊状态确认!E:E,MATCH($G606,绊状态确认!$B:$B,)),"")</f>
        <v>2年级</v>
      </c>
      <c r="K606" s="451" t="str">
        <f>IFERROR(INDEX(绊状态确认!F:F,MATCH($G606,绊状态确认!$B:$B,)),"")</f>
        <v>Printemps</v>
      </c>
      <c r="L606" s="1094" t="str">
        <f>INDEX('卡片raw data'!E:E,MATCH($D606,'卡片raw data'!$F:$F,))</f>
        <v>卡池卡</v>
      </c>
      <c r="M606" s="1065">
        <v>44558</v>
      </c>
      <c r="N606" s="1027">
        <v>54.5</v>
      </c>
      <c r="O606" s="1091" t="str">
        <f>INDEX('卡片raw data'!D:D,MATCH($D606,'卡片raw data'!$F:$F,))</f>
        <v>gd</v>
      </c>
      <c r="P606" s="1126">
        <v>5</v>
      </c>
      <c r="Q606" s="1095">
        <f t="shared" si="796"/>
        <v>21966.451362034575</v>
      </c>
      <c r="R606" s="1096">
        <f t="shared" si="797"/>
        <v>0.255</v>
      </c>
      <c r="S606" s="1097">
        <f t="shared" si="798"/>
        <v>12806.425816459408</v>
      </c>
      <c r="T606" s="1098">
        <f t="shared" si="799"/>
        <v>0.64</v>
      </c>
      <c r="U606" s="1099">
        <f t="shared" si="800"/>
        <v>77.369078822597487</v>
      </c>
      <c r="V606" s="1100">
        <f t="shared" si="801"/>
        <v>29608.667998685873</v>
      </c>
      <c r="W606" s="1101">
        <f t="shared" si="802"/>
        <v>4507.7214871259994</v>
      </c>
      <c r="X606" s="1096">
        <f t="shared" si="803"/>
        <v>5.1999999999999998E-2</v>
      </c>
      <c r="Y606" s="1097">
        <f t="shared" si="804"/>
        <v>1480.3627059331193</v>
      </c>
      <c r="Z606" s="1102">
        <f t="shared" si="805"/>
        <v>18.244078822597487</v>
      </c>
      <c r="AA606" s="1103">
        <f t="shared" si="806"/>
        <v>5988.0841930591187</v>
      </c>
      <c r="AB606" s="1101">
        <f t="shared" si="807"/>
        <v>4507.7214871259994</v>
      </c>
      <c r="AC606" s="1104">
        <f t="shared" si="808"/>
        <v>5.1999999999999998E-2</v>
      </c>
      <c r="AD606" s="1105">
        <f t="shared" si="809"/>
        <v>-3.8207812500000026E-3</v>
      </c>
      <c r="AE606" s="1128">
        <f t="shared" si="810"/>
        <v>-18.525362318840578</v>
      </c>
      <c r="AF606" s="1130">
        <f t="shared" si="811"/>
        <v>0</v>
      </c>
      <c r="AG606" s="1097">
        <f t="shared" si="812"/>
        <v>0</v>
      </c>
      <c r="AH606" s="1097">
        <f t="shared" si="813"/>
        <v>0</v>
      </c>
      <c r="AI606" s="1097">
        <f t="shared" si="814"/>
        <v>0</v>
      </c>
      <c r="AJ606" s="1097">
        <f t="shared" si="815"/>
        <v>0</v>
      </c>
      <c r="AK606" s="1129">
        <f t="shared" si="816"/>
        <v>0</v>
      </c>
      <c r="AL606" s="1042">
        <f>IF($P606="","N/A",(IF($P606=-1,INDEX('卡片raw data'!S:S,MATCH($D606,'卡片raw data'!$F:$F,)),0)+IF($P606=0,INDEX('卡片raw data'!V:V,MATCH($D606,'卡片raw data'!$F:$F,)),0)+IF($P606=1,INDEX('卡片raw data'!Y:Y,MATCH($D606,'卡片raw data'!$F:$F,)),0)+IF($P606=2,INDEX('卡片raw data'!AB:AB,MATCH($D606,'卡片raw data'!$F:$F,)),0)+IF($P606=3,INDEX('卡片raw data'!AE:AE,MATCH($D606,'卡片raw data'!$F:$F,)),0)+IF($P606=4,INDEX('卡片raw data'!AH:AH,MATCH($D606,'卡片raw data'!$F:$F,)),0)+IF($P606=5,INDEX('卡片raw data'!AK:AK,MATCH($D606,'卡片raw data'!$F:$F,)),0)+INDEX('卡片raw data'!S:S,MATCH($D606,'卡片raw data'!$F:$F,))*(IF($F606="UR",0.04,0.033))*(IF($F606="UR",INDEX(绊状态确认!$S:$S,MATCH($G606,绊状态确认!$B:$B,))/2-40)+IF($F606="SR",INDEX(绊状态确认!$R:$R,MATCH($G606,绊状态确认!$B:$B,))/4-15))+IF($F606="R",INDEX(绊状态确认!$Q:$Q,MATCH($G606,绊状态确认!$B:$B,))/6-40/6)))*(INDEX(绊状态确认!$H:$H,MATCH($G606,绊状态确认!$B:$B,))+INDEX(绊状态确认!J:J,MATCH($G606,绊状态确认!$B:$B,)))</f>
        <v>6581.2174103999996</v>
      </c>
      <c r="AM606" s="1035">
        <f>IF($P606="","N/A",(IF($P606=-1,INDEX('卡片raw data'!T:T,MATCH($D606,'卡片raw data'!$F:$F,)),0)+IF($P606=0,INDEX('卡片raw data'!W:W,MATCH($D606,'卡片raw data'!$F:$F,)),0)+IF($P606=1,INDEX('卡片raw data'!Z:Z,MATCH($D606,'卡片raw data'!$F:$F,)),0)+IF($P606=2,INDEX('卡片raw data'!AC:AC,MATCH($D606,'卡片raw data'!$F:$F,)),0)+IF($P606=3,INDEX('卡片raw data'!AF:AF,MATCH($D606,'卡片raw data'!$F:$F,)),0)+IF($P606=4,INDEX('卡片raw data'!AI:AI,MATCH($D606,'卡片raw data'!$F:$F,)),0)+IF($P606=5,INDEX('卡片raw data'!AL:AL,MATCH($D606,'卡片raw data'!$F:$F,)),0)+INDEX('卡片raw data'!T:T,MATCH($D606,'卡片raw data'!$F:$F,))*(IF($F606="UR",0.04,0.033))*(IF($F606="UR",INDEX(绊状态确认!$S:$S,MATCH($G606,绊状态确认!$B:$B,))/2-40)+IF($F606="SR",INDEX(绊状态确认!$R:$R,MATCH($G606,绊状态确认!$B:$B,))/4-15))+IF($F606="R",INDEX(绊状态确认!$Q:$Q,MATCH($G606,绊状态确认!$B:$B,))/6-40/6)))*(INDEX(绊状态确认!$H:$H,MATCH($G606,绊状态确认!$B:$B,))+INDEX(绊状态确认!K:K,MATCH($G606,绊状态确认!$B:$B,)))</f>
        <v>9638.3788728</v>
      </c>
      <c r="AN606" s="1043">
        <f>IF($P606="","N/A",(IF($P606=-1,INDEX('卡片raw data'!U:U,MATCH($D606,'卡片raw data'!$F:$F,)),0)+IF($P606=0,INDEX('卡片raw data'!X:X,MATCH($D606,'卡片raw data'!$F:$F,)),0)+IF($P606=1,INDEX('卡片raw data'!AA:AA,MATCH($D606,'卡片raw data'!$F:$F,)),0)+IF($P606=2,INDEX('卡片raw data'!AD:AD,MATCH($D606,'卡片raw data'!$F:$F,)),0)+IF($P606=3,INDEX('卡片raw data'!AG:AG,MATCH($D606,'卡片raw data'!$F:$F,)),0)+IF($P606=4,INDEX('卡片raw data'!AJ:AJ,MATCH($D606,'卡片raw data'!$F:$F,)),0)+IF($P606=5,INDEX('卡片raw data'!AM:AM,MATCH($D606,'卡片raw data'!$F:$F,)),0)+INDEX('卡片raw data'!U:U,MATCH($D606,'卡片raw data'!$F:$F,))*(IF($F606="UR",0.04,0.033))*(IF($F606="UR",INDEX(绊状态确认!$S:$S,MATCH($G606,绊状态确认!$B:$B,))/2-40)+IF($F606="SR",INDEX(绊状态确认!$R:$R,MATCH($G606,绊状态确认!$B:$B,))/4-15))+IF($F606="R",INDEX(绊状态确认!$Q:$Q,MATCH($G606,绊状态确认!$B:$B,))/6-40/6)))*(INDEX(绊状态确认!$H:$H,MATCH($G606,绊状态确认!$B:$B,))+INDEX(绊状态确认!L:L,MATCH($G606,绊状态确认!$B:$B,)))</f>
        <v>7286.7104399999998</v>
      </c>
      <c r="AO606" s="1167">
        <f t="shared" si="817"/>
        <v>1</v>
      </c>
      <c r="AP606" s="1044">
        <f>1+(INDEX(绊状态确认!$T:$T,MATCH($G606,绊状态确认!$B:$B,))+0.2)*$AO606</f>
        <v>1.3</v>
      </c>
      <c r="AQ606" s="1035">
        <f t="shared" si="818"/>
        <v>20525.6957023</v>
      </c>
      <c r="AR606" s="1035">
        <f>(AM606*(1+$EX$9)+$EX$35)*(1+(INDEX(绊状态确认!$T:$T,MATCH($G606,绊状态确认!$B:$B,))+0.2)*AO606)*IF(J606=$FF$17,1+$FE$17,1)*IF(I606=$FF$14,1+$FE$14,1)</f>
        <v>15860.387161372002</v>
      </c>
      <c r="AS606" s="1035">
        <f>(AN606*(1+$EX$10)+$EX$36)*(1+(INDEX(绊状态确认!$T:$T,MATCH($G606,绊状态确认!$B:$B,))+0.2)*AO606)*IF(J606=$FF$17,1+$FE$17,1)*IF(I606=$FF$14,1+$FE$14,1)</f>
        <v>14949.632107799998</v>
      </c>
      <c r="AT606" s="1165">
        <f>IF(AND(INDEX('卡片raw data'!AK:AK,MATCH($D606,'卡片raw data'!$F:$F,))&lt;INDEX('卡片raw data'!AM:AM,MATCH($D606,'卡片raw data'!$F:$F,)),INDEX('卡片raw data'!AL:AL,MATCH($D606,'卡片raw data'!$F:$F,))&lt;INDEX('卡片raw data'!AM:AM,MATCH($D606,'卡片raw data'!$F:$F,))),1,0)</f>
        <v>0</v>
      </c>
      <c r="AU606" s="1031">
        <f>MIN(AT606*0.15+AS606*0.00003+INDEX(绊状态确认!M:M,MATCH($G606,绊状态确认!$B:$B,)),1)</f>
        <v>0.47848896323399998</v>
      </c>
      <c r="AV606" s="1045">
        <f>(INDEX(绊状态确认!$N:$N,MATCH($G606,绊状态确认!$B:$B,))+1.5)*$EW$21</f>
        <v>2.6599999999999997</v>
      </c>
      <c r="AW606" s="1038">
        <f t="shared" si="819"/>
        <v>19127.063208241907</v>
      </c>
      <c r="AX606" s="1035">
        <f t="shared" si="820"/>
        <v>1369.6614080297775</v>
      </c>
      <c r="AY606" s="483">
        <f t="shared" si="821"/>
        <v>20496.724616271684</v>
      </c>
      <c r="AZ606" s="1106">
        <f t="shared" si="822"/>
        <v>15433.373950279998</v>
      </c>
      <c r="BA606" s="1108">
        <f t="shared" si="823"/>
        <v>18520.048740335998</v>
      </c>
      <c r="BB606" s="1035">
        <f>(AM606*(1+$FB$9)+$FB$35)*(1+(INDEX(绊状态确认!$T:$T,MATCH($G606,绊状态确认!$B:$B,))+0.2)*AO606)*IF(J606=$FF$17,1+$FE$17,1)*IF(I606=$FF$14,1+$FE$14,1)*(1+$FE$15)</f>
        <v>15860.387161372002</v>
      </c>
      <c r="BC606" s="1035">
        <f>(AN606*(1+$FB$10)+$FB$36)*(1+(INDEX(绊状态确认!$T:$T,MATCH($G606,绊状态确认!$B:$B,))+0.2)*AO606)*IF(J606=$FF$17,1+$FE$17,1)*IF(I606=$FF$14,1+$FE$14,1)*(1+$FE$15)</f>
        <v>14949.632107799998</v>
      </c>
      <c r="BD606" s="481">
        <f>MIN(AT606*0.15+BC606*0.00003+INDEX(绊状态确认!M:M,MATCH($G606,绊状态确认!$B:$B,)),1)</f>
        <v>0.47848896323399998</v>
      </c>
      <c r="BE606" s="1109">
        <f>(INDEX(绊状态确认!$N:$N,MATCH($G606,绊状态确认!$B:$B,))+1.5)</f>
        <v>1.9</v>
      </c>
      <c r="BF606" s="646">
        <f t="array" ref="BF606">SUMPRODUCT(IF(AZ606*AP606*$FI$16:$FI$23*$FA$22&gt;=$FI$24,$FI$24,AZ606*AP606*$FI$16:$FI$23*$FA$22),$FJ$16:$FJ$23)</f>
        <v>30696.980787106921</v>
      </c>
      <c r="BG606" s="1047">
        <f t="array" ref="BG606">SUMPRODUCT(IF(BE606*AZ606*AP606*$FI$16:$FI$23*$FA$22&gt;=$FI$24,$FI$24,BE606*AZ606*AP606*$FI$16:$FI$23*$FA$22),$FJ$16:$FJ$23)</f>
        <v>55639.959935469029</v>
      </c>
      <c r="BH606" s="1046">
        <f t="shared" si="824"/>
        <v>14210.640339924663</v>
      </c>
      <c r="BI606" s="1048">
        <f>IF(O606="vo",$EW$26/$EW$24*0.05,0)+IF(O606="sk",-$EW$26/$EW$24*(0.05-INDEX(绊状态确认!W:W,MATCH($G606,绊状态确认!$B:$B,)))+0.05*$EW$28,0)+IF(O606="sp",0.05*$EW$32*$EW$30*(1-$EW$33)-(0.05-INDEX(绊状态确认!V:V,MATCH($G606,绊状态确认!$B:$B,)))*$EW$28,0)+IF(O606="gd",-(0.05-INDEX(绊状态确认!X:X,MATCH($G606,绊状态确认!$B:$B,)))*$EW$32*$EW$30*(1-$EW$33),0)</f>
        <v>-585.00000000000011</v>
      </c>
      <c r="BJ606" s="1097">
        <f>IF(O606="vo",0.05*(1-$FI$26)*$FA$24,0)+IF(O606="sk",-(0.05-INDEX(绊状态确认!W:W,MATCH($G606,绊状态确认!$B:$B,)))*(1-$FI$26)*$FA$24+0.05*$FA$26,0)+IF(O606="sp",0.05*$FA$32*$FA$27*(1-$FA$33)/$FA$30+0.05*$FA$29/$FA$69*$FA$27*(1-$FA$33)-(0.05-INDEX(绊状态确认!V:V,MATCH($G606,绊状态确认!$B:$B,)))*$FA$26,0)+IF(O606="gd",-(0.05-INDEX(绊状态确认!X:X,MATCH($G606,绊状态确认!$B:$B,)))*$FA$32*$FA$27*(1-$FA$33)/$FA$30-(0.05-INDEX(绊状态确认!X:X,MATCH($G606,绊状态确认!$B:$B,)))*$FA$29/$FA$69*$FA$27*(1-$FA$33),0)</f>
        <v>-795.00000000000011</v>
      </c>
      <c r="BK606" s="1046">
        <f>IF(O606="vo",$EW$26/$EW$24*0.05+$EW$26*(-HP($EW$62,$EW$65,$EW$64)+HP($EW$62,$EW$65,(1.05-INDEX(绊状态确认!U:U,MATCH($G606,绊状态确认!$B:$B,)))*$EW$64)),0)+IF(O606="sk",-$EW$26/$EW$24*(0.05-INDEX(绊状态确认!W:W,MATCH($G606,绊状态确认!$B:$B,)))+0.05*$EW$29,0)+IF(O606="sp",0.05*$EW$32*$EW$30*(1-$EW$33)-(0.05-INDEX(绊状态确认!V:V,MATCH($G606,绊状态确认!$B:$B,)))*$EW$29,0)+IF(O606="gd",-(0.05-INDEX(绊状态确认!X:X,MATCH($G606,绊状态确认!$B:$B,)))*$EW$32*$EW$30*(1-$EW$33)+$EW$26*(-HP($EW$62,$EW$65,$EW$64)+HP($EW$62,$EW$65,0.95*$EW$64)),0)</f>
        <v>1009.5947725176144</v>
      </c>
      <c r="BL606" s="1048">
        <f t="shared" si="825"/>
        <v>-1083.3333333333333</v>
      </c>
      <c r="BM606" s="1046">
        <f t="shared" si="826"/>
        <v>-830.55555555555543</v>
      </c>
      <c r="BN606" s="1167">
        <f t="shared" si="827"/>
        <v>3</v>
      </c>
      <c r="BO606" s="1035">
        <f t="shared" si="828"/>
        <v>4507.7214871259994</v>
      </c>
      <c r="BP606" s="1043">
        <f t="shared" si="829"/>
        <v>221.34103209030098</v>
      </c>
      <c r="BQ606" s="1113" t="s">
        <v>133</v>
      </c>
      <c r="BR606" s="1124" t="s">
        <v>166</v>
      </c>
      <c r="BS606" s="1098">
        <f>IF($P606="","N/A",IF($P606=-1,INDEX('卡片raw data'!AX:AX,MATCH($D606,'卡片raw data'!$F:$F,)),0)+IF($L606="party卡",IF($P606=5,INDEX('卡片raw data'!BD:BD,MATCH($D606,'卡片raw data'!$F:$F,)),IF($P606&gt;=3,INDEX('卡片raw data'!BC:BC,MATCH($D606,'卡片raw data'!$F:$F,)),INDEX('卡片raw data'!BB:BB,MATCH($D606,'卡片raw data'!$F:$F,)))),IF(OR(AND($F606="UR",$P606=0),AND($F606="SR",$P606&gt;=0,$P606&lt;=2),AND($F606="R",$P606&gt;=0,$P606&lt;4)),INDEX('卡片raw data'!AZ:AZ,MATCH($D606,'卡片raw data'!$F:$F,)),0)+IF(OR(AND($F606="UR",$P606&gt;=1,$P606&lt;=4),AND($F606="SR",$P606&lt;=4,$P606&gt;=3),AND($F606="R",$P606=4)),INDEX('卡片raw data'!BA:BA,MATCH($D606,'卡片raw data'!$F:$F,)),0)+IF($P606=5,INDEX('卡片raw data'!BB:BB,MATCH($D606,'卡片raw data'!$F:$F,)),0)))</f>
        <v>7.0000000000000007E-2</v>
      </c>
      <c r="BT606" s="1101">
        <f t="shared" si="830"/>
        <v>0</v>
      </c>
      <c r="BU606" s="1097">
        <f t="shared" si="831"/>
        <v>0</v>
      </c>
      <c r="BV606" s="1097">
        <f t="shared" si="832"/>
        <v>0</v>
      </c>
      <c r="BW606" s="1112">
        <f t="shared" si="833"/>
        <v>0.93741400684177123</v>
      </c>
      <c r="BX606" s="1100">
        <f t="shared" si="834"/>
        <v>73.124989606753061</v>
      </c>
      <c r="BY606" s="1110">
        <f t="shared" si="835"/>
        <v>73.124989606753061</v>
      </c>
      <c r="BZ606" s="1113" t="s">
        <v>569</v>
      </c>
      <c r="CA606" s="1124"/>
      <c r="CB606" s="1098">
        <v>0</v>
      </c>
      <c r="CC606" s="1101">
        <f t="shared" si="873"/>
        <v>0</v>
      </c>
      <c r="CD606" s="1097">
        <f>IF(BZ606="ap",CB606*(1-$FI$26)*$FB$5/$FB$11*(+IF(CA606="全员",$FA$24,0)+IF(CA606="同作战",$FA$24,0)+IF(CA606="仲间",$FA$24*2/3,0)+IF(CA606="同属性",$FA$24*$FA$37/3,0)+IF(CA606="同年级",$FA$24*$FA$40/3,0)+IF(CA606="同学校",$FA$24*$FA$43/3,0)+IF(CA606="同小队",$FA$24*$FA$46/3,0)+IF(CA606="同type",$FA$24*INDEX($FB$49:$FB$52,MATCH(X606,$FA$49:$FA$52,))/3,0)+IF(CA606="自身",#REF!/3,0)),0)+IF(BZ606="te",CB606*(1-$FI$27)*($FA$20-1)*$FB$7/$FB$13*(+IF(CA606="全员",$FA$19*$FA$24/(1+($FA$20-1)*$FA$19),0)+IF(CA606="同作战",$FA$19*$FA$24/(1+($FA$20-1)*$FA$19),0)+IF(CA606="仲间",$FA$19*$FA$24*2/3/(1+($FA$20-1)*$FA$19),0)+IF(CA606="同属性",$FA$19*$FA$24*$FA$37/3/(1+($FA$20-1)*$FA$19),0)+IF(CA606="同年级",$FA$19*$FA$24*$FA$40/3/(1+($FA$20-1)*$FA$19),0)+IF(CA606="同学校",$FA$19*$FA$24*$FA$43/3/(1+($FA$20-1)*$FA$19),0)+IF(CA606="同小队",$FA$19*$FA$24*$FA$46/3/(1+($FA$20-1)*$FA$19),0)+IF(CA606="同type",$FA$19*$FA$24*INDEX($FB$49:$FB$52,MATCH(X606,$FA$49:$FA$52,))/3/(1+($FA$20-1)*$FA$19),0)+IF(CA606="自身",$FA$19*#REF!/3/(1+(BH606-1)*$BD606),0)),0)</f>
        <v>0</v>
      </c>
      <c r="CE606" s="1097">
        <f t="shared" si="836"/>
        <v>0</v>
      </c>
      <c r="CF606" s="1112">
        <f t="shared" si="874"/>
        <v>0</v>
      </c>
      <c r="CG606" s="1100">
        <f t="shared" si="837"/>
        <v>0</v>
      </c>
      <c r="CH606" s="1110">
        <f t="shared" si="838"/>
        <v>0</v>
      </c>
      <c r="CI606" s="1113" t="s">
        <v>170</v>
      </c>
      <c r="CJ606" s="1114">
        <v>1</v>
      </c>
      <c r="CK606" s="1115" t="s">
        <v>2152</v>
      </c>
      <c r="CL606" s="1115" t="s">
        <v>1947</v>
      </c>
      <c r="CM606" s="1119">
        <v>5.3999999999999999E-2</v>
      </c>
      <c r="CN606" s="1115">
        <v>5</v>
      </c>
      <c r="CO606" s="1115">
        <v>3</v>
      </c>
      <c r="CP606" s="1118">
        <f t="shared" si="839"/>
        <v>9.642857142857144E-4</v>
      </c>
      <c r="CQ606" s="1118">
        <f t="shared" si="840"/>
        <v>1.5E-3</v>
      </c>
      <c r="CR606" s="1118">
        <f t="shared" si="841"/>
        <v>9.642857142857144E-4</v>
      </c>
      <c r="CS606" s="1118">
        <f t="shared" si="875"/>
        <v>0</v>
      </c>
      <c r="CT606" s="1109">
        <f t="shared" si="876"/>
        <v>0</v>
      </c>
      <c r="CU606" s="1101">
        <f t="shared" si="842"/>
        <v>0</v>
      </c>
      <c r="CV606" s="1108">
        <f t="shared" si="870"/>
        <v>0</v>
      </c>
      <c r="CW606" s="1097">
        <f t="shared" si="843"/>
        <v>0</v>
      </c>
      <c r="CX606" s="1097">
        <f t="shared" si="844"/>
        <v>37.576308296588941</v>
      </c>
      <c r="CY606" s="1110">
        <f t="shared" si="845"/>
        <v>37.576308296588941</v>
      </c>
      <c r="CZ606" s="1113"/>
      <c r="DA606" s="1114"/>
      <c r="DB606" s="1115" t="s">
        <v>569</v>
      </c>
      <c r="DC606" s="1115"/>
      <c r="DD606" s="1119"/>
      <c r="DE606" s="1092"/>
      <c r="DF606" s="1092"/>
      <c r="DG606" s="1116">
        <f t="shared" si="846"/>
        <v>0</v>
      </c>
      <c r="DH606" s="1116">
        <f t="shared" si="847"/>
        <v>0</v>
      </c>
      <c r="DI606" s="1116">
        <f t="shared" si="848"/>
        <v>0</v>
      </c>
      <c r="DJ606" s="1118">
        <f t="shared" si="871"/>
        <v>0</v>
      </c>
      <c r="DK606" s="1109">
        <f t="shared" si="872"/>
        <v>0</v>
      </c>
      <c r="DL606" s="1101">
        <f t="shared" si="849"/>
        <v>0</v>
      </c>
      <c r="DM606" s="1097">
        <f t="shared" si="850"/>
        <v>0</v>
      </c>
      <c r="DN606" s="1097">
        <f t="shared" si="851"/>
        <v>0</v>
      </c>
      <c r="DO606" s="1097">
        <f t="shared" si="852"/>
        <v>0</v>
      </c>
      <c r="DP606" s="1110">
        <f t="shared" si="853"/>
        <v>0</v>
      </c>
      <c r="DQ606" s="1113" t="s">
        <v>556</v>
      </c>
      <c r="DR606" s="1120">
        <f t="shared" si="877"/>
        <v>0.3</v>
      </c>
      <c r="DS606" s="1124">
        <v>3</v>
      </c>
      <c r="DT606" s="1093" t="s">
        <v>161</v>
      </c>
      <c r="DU606" s="1093" t="s">
        <v>544</v>
      </c>
      <c r="DV606" s="1098">
        <f>IF($P606="","N/A",IF(P606=-1,INDEX('卡片raw data'!AN:AN,MATCH(D606,'卡片raw data'!$F:$F,)),0)+IF(AND(L606&lt;&gt;"party卡",P606&lt;=2,P606&gt;=0),INDEX('卡片raw data'!AP:AP,MATCH(D606,'卡片raw data'!$F:$F,)),0)+IF(OR(AND(L606="party卡",P606&lt;=1),AND(P606&lt;=4,L606&lt;&gt;"party卡",P606&gt;=3)),INDEX('卡片raw data'!AQ:AQ,MATCH(D606,'卡片raw data'!$F:$F,)),0)+IF(OR(P606=5,AND(L606="party卡",P606&gt;=2)),INDEX('卡片raw data'!AR:AR,MATCH(D606,'卡片raw data'!$F:$F,)),0))</f>
        <v>0.35</v>
      </c>
      <c r="DW606" s="1098">
        <f t="shared" si="854"/>
        <v>0.3</v>
      </c>
      <c r="DX606" s="1098">
        <f t="shared" si="855"/>
        <v>0.3</v>
      </c>
      <c r="DY606" s="1098">
        <f t="shared" si="856"/>
        <v>0.10499999999999998</v>
      </c>
      <c r="DZ606" s="1098">
        <f t="shared" si="857"/>
        <v>9.0824999999999989E-2</v>
      </c>
      <c r="EA606" s="1098">
        <f t="shared" si="858"/>
        <v>0</v>
      </c>
      <c r="EB606" s="1121">
        <f t="shared" si="859"/>
        <v>0</v>
      </c>
      <c r="EC606" s="1101">
        <f t="shared" si="860"/>
        <v>0</v>
      </c>
      <c r="ED606" s="1097">
        <f t="shared" si="861"/>
        <v>0</v>
      </c>
      <c r="EE606" s="1110">
        <f t="shared" si="775"/>
        <v>4567.2591582005616</v>
      </c>
      <c r="EF606" s="1115" t="s">
        <v>569</v>
      </c>
      <c r="EG606" s="1120">
        <f t="shared" si="878"/>
        <v>0.3</v>
      </c>
      <c r="EH606" s="1124"/>
      <c r="EI606" s="1093"/>
      <c r="EJ606" s="1093"/>
      <c r="EK606" s="1097">
        <f>IF($P606="","N/A",IF(P606=-1,INDEX('卡片raw data'!AS:AS,MATCH(D606,'卡片raw data'!$F:$F,)),0)+IF(AND(L606&lt;&gt;"party卡",P606&lt;=2,P606&gt;=0),INDEX('卡片raw data'!AU:AU,MATCH(D606,'卡片raw data'!$F:$F,)),0)+IF(OR(AND(L606="party卡",P606&lt;=1),AND(P606&lt;=4,L606&lt;&gt;"party卡",P606&gt;=3)),INDEX('卡片raw data'!AV:AV,MATCH(D606,'卡片raw data'!$F:$F,)),0)+IF(OR(P606=5,AND(L606="party卡",P606&gt;=2)),INDEX('卡片raw data'!AW:AW,MATCH(D606,'卡片raw data'!$F:$F,)),0))</f>
        <v>0</v>
      </c>
      <c r="EL606" s="1098">
        <f t="shared" si="862"/>
        <v>0.3</v>
      </c>
      <c r="EM606" s="1098">
        <f t="shared" si="863"/>
        <v>0.3</v>
      </c>
      <c r="EN606" s="1097">
        <f t="shared" si="864"/>
        <v>0</v>
      </c>
      <c r="EO606" s="1097">
        <f t="shared" si="865"/>
        <v>0</v>
      </c>
      <c r="EP606" s="1098">
        <f t="shared" si="866"/>
        <v>0</v>
      </c>
      <c r="EQ606" s="1121">
        <f t="shared" si="867"/>
        <v>0</v>
      </c>
      <c r="ER606" s="1101">
        <f t="shared" si="868"/>
        <v>0</v>
      </c>
      <c r="ES606" s="1097">
        <f t="shared" si="869"/>
        <v>0</v>
      </c>
      <c r="ET606" s="1122">
        <f t="shared" si="776"/>
        <v>0</v>
      </c>
    </row>
    <row r="607" spans="2:150" ht="16.5" customHeight="1">
      <c r="B607" s="1123" t="str">
        <f>INDEX('卡片raw data'!B:B,MATCH($D607,'卡片raw data'!$F:$F,))</f>
        <v>四专雫</v>
      </c>
      <c r="C607" s="1025" t="s">
        <v>4878</v>
      </c>
      <c r="D607" s="408">
        <v>604</v>
      </c>
      <c r="E607" s="1164">
        <v>202032003</v>
      </c>
      <c r="F607" s="1090" t="str">
        <f>INDEX('卡片raw data'!C:C,MATCH($D607,'卡片raw data'!$F:$F,))</f>
        <v>SR</v>
      </c>
      <c r="G607" s="1026" t="s">
        <v>4879</v>
      </c>
      <c r="H607" s="411">
        <f>IFERROR(INDEX(绊状态确认!C:C,MATCH($G607,绊状态确认!$B:$B,)),"")</f>
        <v>203</v>
      </c>
      <c r="I607" s="450" t="str">
        <f>IFERROR(INDEX(绊状态确认!D:D,MATCH($G607,绊状态确认!$B:$B,)),"")</f>
        <v>虹</v>
      </c>
      <c r="J607" s="450" t="str">
        <f>IFERROR(INDEX(绊状态确认!E:E,MATCH($G607,绊状态确认!$B:$B,)),"")</f>
        <v>1年级</v>
      </c>
      <c r="K607" s="451" t="str">
        <f>IFERROR(INDEX(绊状态确认!F:F,MATCH($G607,绊状态确认!$B:$B,)),"")</f>
        <v>A·ZU·NA</v>
      </c>
      <c r="L607" s="1094" t="str">
        <f>INDEX('卡片raw data'!E:E,MATCH($D607,'卡片raw data'!$F:$F,))</f>
        <v>卡池卡</v>
      </c>
      <c r="M607" s="1065">
        <v>44558</v>
      </c>
      <c r="N607" s="1027">
        <v>54.5</v>
      </c>
      <c r="O607" s="1091" t="str">
        <f>INDEX('卡片raw data'!D:D,MATCH($D607,'卡片raw data'!$F:$F,))</f>
        <v>sk</v>
      </c>
      <c r="P607" s="1126">
        <v>5</v>
      </c>
      <c r="Q607" s="1095">
        <f t="shared" si="796"/>
        <v>31500.119401714725</v>
      </c>
      <c r="R607" s="1096">
        <f t="shared" si="797"/>
        <v>0.36599999999999999</v>
      </c>
      <c r="S607" s="1097">
        <f t="shared" si="798"/>
        <v>17392.379480417476</v>
      </c>
      <c r="T607" s="1098">
        <f t="shared" si="799"/>
        <v>0.86899999999999999</v>
      </c>
      <c r="U607" s="1099">
        <f t="shared" si="800"/>
        <v>11.492051749062856</v>
      </c>
      <c r="V607" s="1100">
        <f t="shared" si="801"/>
        <v>34415.950381350645</v>
      </c>
      <c r="W607" s="1101">
        <f t="shared" si="802"/>
        <v>6162.7289755782331</v>
      </c>
      <c r="X607" s="1096">
        <f t="shared" si="803"/>
        <v>7.0999999999999994E-2</v>
      </c>
      <c r="Y607" s="1097">
        <f t="shared" si="804"/>
        <v>915.83097963592627</v>
      </c>
      <c r="Z607" s="1102">
        <f t="shared" si="805"/>
        <v>11.492051749062856</v>
      </c>
      <c r="AA607" s="1103">
        <f t="shared" si="806"/>
        <v>7078.5599552141593</v>
      </c>
      <c r="AB607" s="1101">
        <f t="shared" si="807"/>
        <v>6162.728975578234</v>
      </c>
      <c r="AC607" s="1104">
        <f t="shared" si="808"/>
        <v>7.0999999999999994E-2</v>
      </c>
      <c r="AD607" s="1105">
        <f t="shared" si="809"/>
        <v>1.8994224431818179E-2</v>
      </c>
      <c r="AE607" s="1128">
        <f t="shared" si="810"/>
        <v>4.3537577047458456</v>
      </c>
      <c r="AF607" s="1130">
        <f t="shared" si="811"/>
        <v>0</v>
      </c>
      <c r="AG607" s="1097">
        <f t="shared" si="812"/>
        <v>0</v>
      </c>
      <c r="AH607" s="1097">
        <f t="shared" si="813"/>
        <v>0</v>
      </c>
      <c r="AI607" s="1097">
        <f t="shared" si="814"/>
        <v>0</v>
      </c>
      <c r="AJ607" s="1097">
        <f t="shared" si="815"/>
        <v>0</v>
      </c>
      <c r="AK607" s="1129">
        <f t="shared" si="816"/>
        <v>0</v>
      </c>
      <c r="AL607" s="1042">
        <f>IF($P607="","N/A",(IF($P607=-1,INDEX('卡片raw data'!S:S,MATCH($D607,'卡片raw data'!$F:$F,)),0)+IF($P607=0,INDEX('卡片raw data'!V:V,MATCH($D607,'卡片raw data'!$F:$F,)),0)+IF($P607=1,INDEX('卡片raw data'!Y:Y,MATCH($D607,'卡片raw data'!$F:$F,)),0)+IF($P607=2,INDEX('卡片raw data'!AB:AB,MATCH($D607,'卡片raw data'!$F:$F,)),0)+IF($P607=3,INDEX('卡片raw data'!AE:AE,MATCH($D607,'卡片raw data'!$F:$F,)),0)+IF($P607=4,INDEX('卡片raw data'!AH:AH,MATCH($D607,'卡片raw data'!$F:$F,)),0)+IF($P607=5,INDEX('卡片raw data'!AK:AK,MATCH($D607,'卡片raw data'!$F:$F,)),0)+INDEX('卡片raw data'!S:S,MATCH($D607,'卡片raw data'!$F:$F,))*(IF($F607="UR",0.04,0.033))*(IF($F607="UR",INDEX(绊状态确认!$S:$S,MATCH($G607,绊状态确认!$B:$B,))/2-40)+IF($F607="SR",INDEX(绊状态确认!$R:$R,MATCH($G607,绊状态确认!$B:$B,))/4-15))+IF($F607="R",INDEX(绊状态确认!$Q:$Q,MATCH($G607,绊状态确认!$B:$B,))/6-40/6)))*(INDEX(绊状态确认!$H:$H,MATCH($G607,绊状态确认!$B:$B,))+INDEX(绊状态确认!J:J,MATCH($G607,绊状态确认!$B:$B,)))</f>
        <v>7992.2034695999992</v>
      </c>
      <c r="AM607" s="1035">
        <f>IF($P607="","N/A",(IF($P607=-1,INDEX('卡片raw data'!T:T,MATCH($D607,'卡片raw data'!$F:$F,)),0)+IF($P607=0,INDEX('卡片raw data'!W:W,MATCH($D607,'卡片raw data'!$F:$F,)),0)+IF($P607=1,INDEX('卡片raw data'!Z:Z,MATCH($D607,'卡片raw data'!$F:$F,)),0)+IF($P607=2,INDEX('卡片raw data'!AC:AC,MATCH($D607,'卡片raw data'!$F:$F,)),0)+IF($P607=3,INDEX('卡片raw data'!AF:AF,MATCH($D607,'卡片raw data'!$F:$F,)),0)+IF($P607=4,INDEX('卡片raw data'!AI:AI,MATCH($D607,'卡片raw data'!$F:$F,)),0)+IF($P607=5,INDEX('卡片raw data'!AL:AL,MATCH($D607,'卡片raw data'!$F:$F,)),0)+INDEX('卡片raw data'!T:T,MATCH($D607,'卡片raw data'!$F:$F,))*(IF($F607="UR",0.04,0.033))*(IF($F607="UR",INDEX(绊状态确认!$S:$S,MATCH($G607,绊状态确认!$B:$B,))/2-40)+IF($F607="SR",INDEX(绊状态确认!$R:$R,MATCH($G607,绊状态确认!$B:$B,))/4-15))+IF($F607="R",INDEX(绊状态确认!$Q:$Q,MATCH($G607,绊状态确认!$B:$B,))/6-40/6)))*(INDEX(绊状态确认!$H:$H,MATCH($G607,绊状态确认!$B:$B,))+INDEX(绊状态确认!K:K,MATCH($G607,绊状态确认!$B:$B,)))</f>
        <v>5876.8607807999988</v>
      </c>
      <c r="AN607" s="1043">
        <f>IF($P607="","N/A",(IF($P607=-1,INDEX('卡片raw data'!U:U,MATCH($D607,'卡片raw data'!$F:$F,)),0)+IF($P607=0,INDEX('卡片raw data'!X:X,MATCH($D607,'卡片raw data'!$F:$F,)),0)+IF($P607=1,INDEX('卡片raw data'!AA:AA,MATCH($D607,'卡片raw data'!$F:$F,)),0)+IF($P607=2,INDEX('卡片raw data'!AD:AD,MATCH($D607,'卡片raw data'!$F:$F,)),0)+IF($P607=3,INDEX('卡片raw data'!AG:AG,MATCH($D607,'卡片raw data'!$F:$F,)),0)+IF($P607=4,INDEX('卡片raw data'!AJ:AJ,MATCH($D607,'卡片raw data'!$F:$F,)),0)+IF($P607=5,INDEX('卡片raw data'!AM:AM,MATCH($D607,'卡片raw data'!$F:$F,)),0)+INDEX('卡片raw data'!U:U,MATCH($D607,'卡片raw data'!$F:$F,))*(IF($F607="UR",0.04,0.033))*(IF($F607="UR",INDEX(绊状态确认!$S:$S,MATCH($G607,绊状态确认!$B:$B,))/2-40)+IF($F607="SR",INDEX(绊状态确认!$R:$R,MATCH($G607,绊状态确认!$B:$B,))/4-15))+IF($F607="R",INDEX(绊状态确认!$Q:$Q,MATCH($G607,绊状态确认!$B:$B,))/6-40/6)))*(INDEX(绊状态确认!$H:$H,MATCH($G607,绊状态确认!$B:$B,))+INDEX(绊状态确认!L:L,MATCH($G607,绊状态确认!$B:$B,)))</f>
        <v>9638.3788728</v>
      </c>
      <c r="AO607" s="1167">
        <f t="shared" si="817"/>
        <v>1</v>
      </c>
      <c r="AP607" s="1044">
        <f>1+(INDEX(绊状态确认!$T:$T,MATCH($G607,绊状态确认!$B:$B,))+0.2)*$AO607</f>
        <v>1.3</v>
      </c>
      <c r="AQ607" s="1035">
        <f t="shared" si="818"/>
        <v>24229.534107699998</v>
      </c>
      <c r="AR607" s="1035">
        <f>(AM607*(1+$EX$9)+$EX$35)*(1+(INDEX(绊状态确认!$T:$T,MATCH($G607,绊状态确认!$B:$B,))+0.2)*AO607)*IF(J607=$FF$17,1+$FE$17,1)*IF(I607=$FF$14,1+$FE$14,1)</f>
        <v>10725.914965791999</v>
      </c>
      <c r="AS607" s="1035">
        <f>(AN607*(1+$EX$10)+$EX$36)*(1+(INDEX(绊状态确认!$T:$T,MATCH($G607,绊状态确认!$B:$B,))+0.2)*AO607)*IF(J607=$FF$17,1+$FE$17,1)*IF(I607=$FF$14,1+$FE$14,1)</f>
        <v>18465.376414835999</v>
      </c>
      <c r="AT607" s="1165">
        <f>IF(AND(INDEX('卡片raw data'!AK:AK,MATCH($D607,'卡片raw data'!$F:$F,))&lt;INDEX('卡片raw data'!AM:AM,MATCH($D607,'卡片raw data'!$F:$F,)),INDEX('卡片raw data'!AL:AL,MATCH($D607,'卡片raw data'!$F:$F,))&lt;INDEX('卡片raw data'!AM:AM,MATCH($D607,'卡片raw data'!$F:$F,))),1,0)</f>
        <v>1</v>
      </c>
      <c r="AU607" s="1031">
        <f>MIN(AT607*0.15+AS607*0.00003+INDEX(绊状态确认!M:M,MATCH($G607,绊状态确认!$B:$B,)),1)</f>
        <v>0.73396129244508002</v>
      </c>
      <c r="AV607" s="1045">
        <f>(INDEX(绊状态确认!$N:$N,MATCH($G607,绊状态确认!$B:$B,))+1.5)*$EW$21</f>
        <v>2.6599999999999997</v>
      </c>
      <c r="AW607" s="1038">
        <f t="shared" si="819"/>
        <v>27914.993790949226</v>
      </c>
      <c r="AX607" s="1035">
        <f t="shared" si="820"/>
        <v>915.83097963592672</v>
      </c>
      <c r="AY607" s="483">
        <f t="shared" si="821"/>
        <v>28830.824770585154</v>
      </c>
      <c r="AZ607" s="1106">
        <f t="shared" si="822"/>
        <v>18184.796765719999</v>
      </c>
      <c r="BA607" s="1108">
        <f t="shared" si="823"/>
        <v>21821.756118863999</v>
      </c>
      <c r="BB607" s="1035">
        <f>(AM607*(1+$FB$9)+$FB$35)*(1+(INDEX(绊状态确认!$T:$T,MATCH($G607,绊状态确认!$B:$B,))+0.2)*AO607)*IF(J607=$FF$17,1+$FE$17,1)*IF(I607=$FF$14,1+$FE$14,1)*(1+$FE$15)</f>
        <v>10725.914965791999</v>
      </c>
      <c r="BC607" s="1035">
        <f>(AN607*(1+$FB$10)+$FB$36)*(1+(INDEX(绊状态确认!$T:$T,MATCH($G607,绊状态确认!$B:$B,))+0.2)*AO607)*IF(J607=$FF$17,1+$FE$17,1)*IF(I607=$FF$14,1+$FE$14,1)*(1+$FE$15)</f>
        <v>18465.376414835999</v>
      </c>
      <c r="BD607" s="481">
        <f>MIN(AT607*0.15+BC607*0.00003+INDEX(绊状态确认!M:M,MATCH($G607,绊状态确认!$B:$B,)),1)</f>
        <v>0.73396129244508002</v>
      </c>
      <c r="BE607" s="1109">
        <f>(INDEX(绊状态确认!$N:$N,MATCH($G607,绊状态确认!$B:$B,))+1.5)</f>
        <v>1.9</v>
      </c>
      <c r="BF607" s="646">
        <f t="array" ref="BF607">SUMPRODUCT(IF(AZ607*AP607*$FI$16:$FI$23*$FA$22&gt;=$FI$24,$FI$24,AZ607*AP607*$FI$16:$FI$23*$FA$22),$FJ$16:$FJ$23)</f>
        <v>36169.560767017079</v>
      </c>
      <c r="BG607" s="1047">
        <f t="array" ref="BG607">SUMPRODUCT(IF(BE607*AZ607*AP607*$FI$16:$FI$23*$FA$22&gt;=$FI$24,$FI$24,BE607*AZ607*AP607*$FI$16:$FI$23*$FA$22),$FJ$16:$FJ$23)</f>
        <v>59229.112002832102</v>
      </c>
      <c r="BH607" s="1046">
        <f t="shared" si="824"/>
        <v>17698.12626508647</v>
      </c>
      <c r="BI607" s="1048">
        <f>IF(O607="vo",$EW$26/$EW$24*0.05,0)+IF(O607="sk",-$EW$26/$EW$24*(0.05-INDEX(绊状态确认!W:W,MATCH($G607,绊状态确认!$B:$B,)))+0.05*$EW$28,0)+IF(O607="sp",0.05*$EW$32*$EW$30*(1-$EW$33)-(0.05-INDEX(绊状态确认!V:V,MATCH($G607,绊状态确认!$B:$B,)))*$EW$28,0)+IF(O607="gd",-(0.05-INDEX(绊状态确认!X:X,MATCH($G607,绊状态确认!$B:$B,)))*$EW$32*$EW$30*(1-$EW$33),0)</f>
        <v>-6253.6726349699375</v>
      </c>
      <c r="BJ607" s="1097">
        <f>IF(O607="vo",0.05*(1-$FI$26)*$FA$24,0)+IF(O607="sk",-(0.05-INDEX(绊状态确认!W:W,MATCH($G607,绊状态确认!$B:$B,)))*(1-$FI$26)*$FA$24+0.05*$FA$26,0)+IF(O607="sp",0.05*$FA$32*$FA$27*(1-$FA$33)/$FA$30+0.05*$FA$29/$FA$69*$FA$27*(1-$FA$33)-(0.05-INDEX(绊状态确认!V:V,MATCH($G607,绊状态确认!$B:$B,)))*$FA$26,0)+IF(O607="gd",-(0.05-INDEX(绊状态确认!X:X,MATCH($G607,绊状态确认!$B:$B,)))*$FA$32*$FA$27*(1-$FA$33)/$FA$30-(0.05-INDEX(绊状态确认!X:X,MATCH($G607,绊状态确认!$B:$B,)))*$FA$29/$FA$69*$FA$27*(1-$FA$33),0)</f>
        <v>20.459096812499922</v>
      </c>
      <c r="BK607" s="1046">
        <f>IF(O607="vo",$EW$26/$EW$24*0.05+$EW$26*(-HP($EW$62,$EW$65,$EW$64)+HP($EW$62,$EW$65,(1.05-INDEX(绊状态确认!U:U,MATCH($G607,绊状态确认!$B:$B,)))*$EW$64)),0)+IF(O607="sk",-$EW$26/$EW$24*(0.05-INDEX(绊状态确认!W:W,MATCH($G607,绊状态确认!$B:$B,)))+0.05*$EW$29,0)+IF(O607="sp",0.05*$EW$32*$EW$30*(1-$EW$33)-(0.05-INDEX(绊状态确认!V:V,MATCH($G607,绊状态确认!$B:$B,)))*$EW$29,0)+IF(O607="gd",-(0.05-INDEX(绊状态确认!X:X,MATCH($G607,绊状态确认!$B:$B,)))*$EW$32*$EW$30*(1-$EW$33)+$EW$26*(-HP($EW$62,$EW$65,$EW$64)+HP($EW$62,$EW$65,0.95*$EW$64)),0)</f>
        <v>-4253.6726349699375</v>
      </c>
      <c r="BL607" s="1048">
        <f t="shared" si="825"/>
        <v>-1083.3333333333333</v>
      </c>
      <c r="BM607" s="1046">
        <f t="shared" si="826"/>
        <v>-830.55555555555543</v>
      </c>
      <c r="BN607" s="1167">
        <f t="shared" si="827"/>
        <v>3</v>
      </c>
      <c r="BO607" s="1035">
        <f t="shared" si="828"/>
        <v>4507.7214871259994</v>
      </c>
      <c r="BP607" s="1043">
        <f t="shared" si="829"/>
        <v>221.34103209030098</v>
      </c>
      <c r="BQ607" s="1113" t="s">
        <v>132</v>
      </c>
      <c r="BR607" s="1124" t="s">
        <v>161</v>
      </c>
      <c r="BS607" s="1098">
        <f>IF($P607="","N/A",IF($P607=-1,INDEX('卡片raw data'!AX:AX,MATCH($D607,'卡片raw data'!$F:$F,)),0)+IF($L607="party卡",IF($P607=5,INDEX('卡片raw data'!BD:BD,MATCH($D607,'卡片raw data'!$F:$F,)),IF($P607&gt;=3,INDEX('卡片raw data'!BC:BC,MATCH($D607,'卡片raw data'!$F:$F,)),INDEX('卡片raw data'!BB:BB,MATCH($D607,'卡片raw data'!$F:$F,)))),IF(OR(AND($F607="UR",$P607=0),AND($F607="SR",$P607&gt;=0,$P607&lt;=2),AND($F607="R",$P607&gt;=0,$P607&lt;4)),INDEX('卡片raw data'!AZ:AZ,MATCH($D607,'卡片raw data'!$F:$F,)),0)+IF(OR(AND($F607="UR",$P607&gt;=1,$P607&lt;=4),AND($F607="SR",$P607&lt;=4,$P607&gt;=3),AND($F607="R",$P607=4)),INDEX('卡片raw data'!BA:BA,MATCH($D607,'卡片raw data'!$F:$F,)),0)+IF($P607=5,INDEX('卡片raw data'!BB:BB,MATCH($D607,'卡片raw data'!$F:$F,)),0)))</f>
        <v>2.1999999999999999E-2</v>
      </c>
      <c r="BT607" s="1101">
        <f t="shared" si="830"/>
        <v>1652.8312119462</v>
      </c>
      <c r="BU607" s="1097">
        <f t="shared" si="831"/>
        <v>81.158378433110371</v>
      </c>
      <c r="BV607" s="1097">
        <f t="shared" si="832"/>
        <v>1652.8312119462</v>
      </c>
      <c r="BW607" s="1112">
        <f t="shared" si="833"/>
        <v>0</v>
      </c>
      <c r="BX607" s="1100">
        <f t="shared" si="834"/>
        <v>1652.8312119462</v>
      </c>
      <c r="BY607" s="1110">
        <f t="shared" si="835"/>
        <v>1652.8312119462</v>
      </c>
      <c r="BZ607" s="1113" t="s">
        <v>569</v>
      </c>
      <c r="CA607" s="1124"/>
      <c r="CB607" s="1098">
        <f>IF($P607="","N/A",IF($P607=-1,INDEX('卡片raw data'!BE:BE,MATCH($D607,'卡片raw data'!$F:$F,)),0)+IF($L607="party卡",IF($P607=5,INDEX('卡片raw data'!BK:BK,MATCH($D607,'卡片raw data'!$F:$F,)),IF($P607&gt;=3,INDEX('卡片raw data'!BJ:BJ,MATCH($D607,'卡片raw data'!$F:$F,)),INDEX('卡片raw data'!BI:BI,MATCH($D607,'卡片raw data'!$F:$F,)))),IF(OR(AND($F607="UR",$P607=0),AND($F607="SR",$P607&gt;=0,$P607&lt;=2),AND($F607="R",$P607&gt;=0,$P607&lt;4)),INDEX('卡片raw data'!BG:BG,MATCH($D607,'卡片raw data'!$F:$F,)),0)+IF(OR(AND($F607="UR",$P607&gt;=1,$P607&lt;=4),AND($F607="SR",$P607&lt;=4,$P607&gt;=3),AND($F607="R",$P607=4)),INDEX('卡片raw data'!BH:BH,MATCH($D607,'卡片raw data'!$F:$F,)),0)+IF($P607=5,INDEX('卡片raw data'!BI:BI,MATCH($D607,'卡片raw data'!$F:$F,)),0)))</f>
        <v>0</v>
      </c>
      <c r="CC607" s="1101">
        <f t="shared" si="873"/>
        <v>0</v>
      </c>
      <c r="CD607" s="1097">
        <f>IF(BZ607="ap",CB607*(1-$FI$26)*$FB$5/$FB$11*(+IF(CA607="全员",$FA$24,0)+IF(CA607="同作战",$FA$24,0)+IF(CA607="仲间",$FA$24*2/3,0)+IF(CA607="同属性",$FA$24*$FA$37/3,0)+IF(CA607="同年级",$FA$24*$FA$40/3,0)+IF(CA607="同学校",$FA$24*$FA$43/3,0)+IF(CA607="同小队",$FA$24*$FA$46/3,0)+IF(CA607="同type",$FA$24*INDEX($FB$49:$FB$52,MATCH(X607,$FA$49:$FA$52,))/3,0)+IF(CA607="自身",#REF!/3,0)),0)+IF(BZ607="te",CB607*(1-$FI$27)*($FA$20-1)*$FB$7/$FB$13*(+IF(CA607="全员",$FA$19*$FA$24/(1+($FA$20-1)*$FA$19),0)+IF(CA607="同作战",$FA$19*$FA$24/(1+($FA$20-1)*$FA$19),0)+IF(CA607="仲间",$FA$19*$FA$24*2/3/(1+($FA$20-1)*$FA$19),0)+IF(CA607="同属性",$FA$19*$FA$24*$FA$37/3/(1+($FA$20-1)*$FA$19),0)+IF(CA607="同年级",$FA$19*$FA$24*$FA$40/3/(1+($FA$20-1)*$FA$19),0)+IF(CA607="同学校",$FA$19*$FA$24*$FA$43/3/(1+($FA$20-1)*$FA$19),0)+IF(CA607="同小队",$FA$19*$FA$24*$FA$46/3/(1+($FA$20-1)*$FA$19),0)+IF(CA607="同type",$FA$19*$FA$24*INDEX($FB$49:$FB$52,MATCH(X607,$FA$49:$FA$52,))/3/(1+($FA$20-1)*$FA$19),0)+IF(CA607="自身",$FA$19*#REF!/3/(1+(BH607-1)*$BD607),0)),0)</f>
        <v>0</v>
      </c>
      <c r="CE607" s="1097">
        <f t="shared" si="836"/>
        <v>0</v>
      </c>
      <c r="CF607" s="1112">
        <f t="shared" si="874"/>
        <v>0</v>
      </c>
      <c r="CG607" s="1100">
        <f t="shared" si="837"/>
        <v>0</v>
      </c>
      <c r="CH607" s="1110">
        <f t="shared" si="838"/>
        <v>0</v>
      </c>
      <c r="CI607" s="1113" t="s">
        <v>170</v>
      </c>
      <c r="CJ607" s="1168">
        <v>0.15</v>
      </c>
      <c r="CK607" s="1115" t="s">
        <v>2046</v>
      </c>
      <c r="CL607" s="1115" t="s">
        <v>1941</v>
      </c>
      <c r="CM607" s="1166">
        <v>0.2</v>
      </c>
      <c r="CN607" s="1169"/>
      <c r="CO607" s="1169"/>
      <c r="CP607" s="1116">
        <f t="shared" si="839"/>
        <v>1.978433187303857</v>
      </c>
      <c r="CQ607" s="1116">
        <f t="shared" si="840"/>
        <v>3.0775627358059996</v>
      </c>
      <c r="CR607" s="1116">
        <f t="shared" si="841"/>
        <v>1.978433187303857</v>
      </c>
      <c r="CS607" s="1118">
        <f t="shared" si="875"/>
        <v>0</v>
      </c>
      <c r="CT607" s="1109">
        <f t="shared" si="876"/>
        <v>0</v>
      </c>
      <c r="CU607" s="1101">
        <f t="shared" si="842"/>
        <v>2.1762765060342431</v>
      </c>
      <c r="CV607" s="1108">
        <f t="shared" si="870"/>
        <v>3.0775627358059996</v>
      </c>
      <c r="CW607" s="1097">
        <f t="shared" si="843"/>
        <v>2.1762765060342431</v>
      </c>
      <c r="CX607" s="1097">
        <f t="shared" si="844"/>
        <v>2.1762765060342431</v>
      </c>
      <c r="CY607" s="1110">
        <f t="shared" si="845"/>
        <v>2.1762765060342431</v>
      </c>
      <c r="CZ607" s="1113"/>
      <c r="DA607" s="1114"/>
      <c r="DB607" s="1115" t="s">
        <v>569</v>
      </c>
      <c r="DC607" s="1115"/>
      <c r="DD607" s="1119"/>
      <c r="DE607" s="1092"/>
      <c r="DF607" s="1092"/>
      <c r="DG607" s="1116">
        <f t="shared" si="846"/>
        <v>0</v>
      </c>
      <c r="DH607" s="1116">
        <f t="shared" si="847"/>
        <v>0</v>
      </c>
      <c r="DI607" s="1116">
        <f t="shared" si="848"/>
        <v>0</v>
      </c>
      <c r="DJ607" s="1118">
        <f t="shared" si="871"/>
        <v>0</v>
      </c>
      <c r="DK607" s="1109">
        <f t="shared" si="872"/>
        <v>0</v>
      </c>
      <c r="DL607" s="1101">
        <f t="shared" si="849"/>
        <v>0</v>
      </c>
      <c r="DM607" s="1097">
        <f t="shared" si="850"/>
        <v>0</v>
      </c>
      <c r="DN607" s="1097">
        <f t="shared" si="851"/>
        <v>0</v>
      </c>
      <c r="DO607" s="1097">
        <f t="shared" si="852"/>
        <v>0</v>
      </c>
      <c r="DP607" s="1110">
        <f t="shared" si="853"/>
        <v>0</v>
      </c>
      <c r="DQ607" s="1113" t="s">
        <v>167</v>
      </c>
      <c r="DR607" s="1120">
        <f t="shared" si="877"/>
        <v>0.3</v>
      </c>
      <c r="DS607" s="1124">
        <v>5</v>
      </c>
      <c r="DT607" s="1124" t="s">
        <v>2127</v>
      </c>
      <c r="DU607" s="1093" t="s">
        <v>2145</v>
      </c>
      <c r="DV607" s="1098">
        <f>IF($P607="","N/A",IF(P607=-1,INDEX('卡片raw data'!AN:AN,MATCH(D607,'卡片raw data'!$F:$F,)),0)+IF(AND(L607&lt;&gt;"party卡",P607&lt;=2,P607&gt;=0),INDEX('卡片raw data'!AP:AP,MATCH(D607,'卡片raw data'!$F:$F,)),0)+IF(OR(AND(L607="party卡",P607&lt;=1),AND(P607&lt;=4,L607&lt;&gt;"party卡",P607&gt;=3)),INDEX('卡片raw data'!AQ:AQ,MATCH(D607,'卡片raw data'!$F:$F,)),0)+IF(OR(P607=5,AND(L607="party卡",P607&gt;=2)),INDEX('卡片raw data'!AR:AR,MATCH(D607,'卡片raw data'!$F:$F,)),0))</f>
        <v>7.0000000000000007E-2</v>
      </c>
      <c r="DW607" s="1098">
        <f t="shared" si="854"/>
        <v>0.3</v>
      </c>
      <c r="DX607" s="1098">
        <f t="shared" si="855"/>
        <v>0.3</v>
      </c>
      <c r="DY607" s="1098">
        <f t="shared" si="856"/>
        <v>3.5000000000000003E-2</v>
      </c>
      <c r="DZ607" s="1098">
        <f t="shared" si="857"/>
        <v>3.0275000000000003E-2</v>
      </c>
      <c r="EA607" s="1098">
        <f t="shared" si="858"/>
        <v>0</v>
      </c>
      <c r="EB607" s="1121">
        <f t="shared" si="859"/>
        <v>0</v>
      </c>
      <c r="EC607" s="1101">
        <f t="shared" si="860"/>
        <v>4759.4026034905355</v>
      </c>
      <c r="ED607" s="1097">
        <f t="shared" si="861"/>
        <v>198.7727008148438</v>
      </c>
      <c r="EE607" s="1110">
        <f t="shared" ref="EE607:EE616" si="879">EC607+IF(OR(DQ607="回血",DQ607="加盾"),$EW$26*(HP($EW$62,$EW$65,$EW$64-DY607)/$EW$66-1))+IF(DQ607="减伤",$EW$26*(HP($EW$62,$EW$65,$EW$64*(1-DY607))/$EW$66-1))</f>
        <v>4759.4026034905355</v>
      </c>
      <c r="EF607" s="1113" t="s">
        <v>569</v>
      </c>
      <c r="EG607" s="1120">
        <f t="shared" si="878"/>
        <v>0.3</v>
      </c>
      <c r="EH607" s="1124"/>
      <c r="EI607" s="1124"/>
      <c r="EJ607" s="1124"/>
      <c r="EK607" s="1097">
        <f>IF($P607="","N/A",IF(P607=-1,INDEX('卡片raw data'!AS:AS,MATCH(D607,'卡片raw data'!$F:$F,)),0)+IF(AND(L607&lt;&gt;"party卡",P607&lt;=2,P607&gt;=0),INDEX('卡片raw data'!AU:AU,MATCH(D607,'卡片raw data'!$F:$F,)),0)+IF(OR(AND(L607="party卡",P607&lt;=1),AND(P607&lt;=4,L607&lt;&gt;"party卡",P607&gt;=3)),INDEX('卡片raw data'!AV:AV,MATCH(D607,'卡片raw data'!$F:$F,)),0)+IF(OR(P607=5,AND(L607="party卡",P607&gt;=2)),INDEX('卡片raw data'!AW:AW,MATCH(D607,'卡片raw data'!$F:$F,)),0))</f>
        <v>0</v>
      </c>
      <c r="EL607" s="1098">
        <f t="shared" si="862"/>
        <v>0.3</v>
      </c>
      <c r="EM607" s="1098">
        <f t="shared" si="863"/>
        <v>0.3</v>
      </c>
      <c r="EN607" s="1097">
        <f t="shared" si="864"/>
        <v>0</v>
      </c>
      <c r="EO607" s="1097">
        <f t="shared" si="865"/>
        <v>0</v>
      </c>
      <c r="EP607" s="1098">
        <f t="shared" si="866"/>
        <v>0</v>
      </c>
      <c r="EQ607" s="1121">
        <f t="shared" si="867"/>
        <v>0</v>
      </c>
      <c r="ER607" s="1101">
        <f t="shared" si="868"/>
        <v>0</v>
      </c>
      <c r="ES607" s="1097">
        <f t="shared" si="869"/>
        <v>0</v>
      </c>
      <c r="ET607" s="1122">
        <f t="shared" ref="ET607:ET616" si="880">ER607+IF(OR(EF607="回血",EF607="加盾"),$EW$26*(HP($EW$62,$EW$65,$EW$64-EN607)/$EW$66-1))+IF(EF607="减伤",$EW$26*(HP($EW$62,$EW$65,$EW$64*(1-EN607))/$EW$66-1))</f>
        <v>0</v>
      </c>
    </row>
    <row r="608" spans="2:150" ht="16.5" customHeight="1">
      <c r="B608" s="1123" t="str">
        <f>INDEX('卡片raw data'!B:B,MATCH($D608,'卡片raw data'!$F:$F,))</f>
        <v>新年妮</v>
      </c>
      <c r="C608" s="1025" t="s">
        <v>4895</v>
      </c>
      <c r="D608" s="408">
        <v>605</v>
      </c>
      <c r="E608" s="1164">
        <v>400093006</v>
      </c>
      <c r="F608" s="1090" t="str">
        <f>INDEX('卡片raw data'!C:C,MATCH($D608,'卡片raw data'!$F:$F,))</f>
        <v>UR</v>
      </c>
      <c r="G608" s="1026" t="s">
        <v>4896</v>
      </c>
      <c r="H608" s="411">
        <f>IFERROR(INDEX(绊状态确认!C:C,MATCH($G608,绊状态确认!$B:$B,)),"")</f>
        <v>9</v>
      </c>
      <c r="I608" s="450" t="str">
        <f>IFERROR(INDEX(绊状态确认!D:D,MATCH($G608,绊状态确认!$B:$B,)),"")</f>
        <v>缪</v>
      </c>
      <c r="J608" s="450" t="str">
        <f>IFERROR(INDEX(绊状态确认!E:E,MATCH($G608,绊状态确认!$B:$B,)),"")</f>
        <v>3年级</v>
      </c>
      <c r="K608" s="451" t="str">
        <f>IFERROR(INDEX(绊状态确认!F:F,MATCH($G608,绊状态确认!$B:$B,)),"")</f>
        <v>BiBi</v>
      </c>
      <c r="L608" s="1094" t="str">
        <f>INDEX('卡片raw data'!E:E,MATCH($D608,'卡片raw data'!$F:$F,))</f>
        <v>卡池卡</v>
      </c>
      <c r="M608" s="1065">
        <v>44565</v>
      </c>
      <c r="N608" s="1027">
        <v>55</v>
      </c>
      <c r="O608" s="1091" t="str">
        <f>INDEX('卡片raw data'!D:D,MATCH($D608,'卡片raw data'!$F:$F,))</f>
        <v>sp</v>
      </c>
      <c r="P608" s="1126">
        <v>5</v>
      </c>
      <c r="Q608" s="1095">
        <f t="shared" si="796"/>
        <v>68469.101715825964</v>
      </c>
      <c r="R608" s="1096">
        <f t="shared" si="797"/>
        <v>0.79600000000000004</v>
      </c>
      <c r="S608" s="1097">
        <f t="shared" si="798"/>
        <v>21638.891947111151</v>
      </c>
      <c r="T608" s="1098">
        <f t="shared" si="799"/>
        <v>1.081</v>
      </c>
      <c r="U608" s="1099">
        <f t="shared" si="800"/>
        <v>16.013129600742857</v>
      </c>
      <c r="V608" s="1100">
        <f t="shared" si="801"/>
        <v>67957.149663240445</v>
      </c>
      <c r="W608" s="1101">
        <f t="shared" si="802"/>
        <v>4604.5943412550705</v>
      </c>
      <c r="X608" s="1096">
        <f t="shared" si="803"/>
        <v>5.2999999999999999E-2</v>
      </c>
      <c r="Y608" s="1097">
        <f t="shared" si="804"/>
        <v>1288.0479474144913</v>
      </c>
      <c r="Z608" s="1102">
        <f t="shared" si="805"/>
        <v>16.013129600742857</v>
      </c>
      <c r="AA608" s="1103">
        <f t="shared" si="806"/>
        <v>5892.6422886695618</v>
      </c>
      <c r="AB608" s="1101">
        <f t="shared" si="807"/>
        <v>9863.6027429020705</v>
      </c>
      <c r="AC608" s="1104">
        <f t="shared" si="808"/>
        <v>0.114</v>
      </c>
      <c r="AD608" s="1105">
        <f t="shared" si="809"/>
        <v>-1.6087500000000001E-2</v>
      </c>
      <c r="AE608" s="1128">
        <f t="shared" si="810"/>
        <v>10.92391304347826</v>
      </c>
      <c r="AF608" s="1130">
        <f t="shared" si="811"/>
        <v>0</v>
      </c>
      <c r="AG608" s="1097">
        <f t="shared" si="812"/>
        <v>0</v>
      </c>
      <c r="AH608" s="1097">
        <f t="shared" si="813"/>
        <v>0</v>
      </c>
      <c r="AI608" s="1097">
        <f t="shared" si="814"/>
        <v>0</v>
      </c>
      <c r="AJ608" s="1097">
        <f t="shared" si="815"/>
        <v>0</v>
      </c>
      <c r="AK608" s="1129">
        <f t="shared" si="816"/>
        <v>0</v>
      </c>
      <c r="AL608" s="1042">
        <f>IF($P608="","N/A",(IF($P608=-1,INDEX('卡片raw data'!S:S,MATCH($D608,'卡片raw data'!$F:$F,)),0)+IF($P608=0,INDEX('卡片raw data'!V:V,MATCH($D608,'卡片raw data'!$F:$F,)),0)+IF($P608=1,INDEX('卡片raw data'!Y:Y,MATCH($D608,'卡片raw data'!$F:$F,)),0)+IF($P608=2,INDEX('卡片raw data'!AB:AB,MATCH($D608,'卡片raw data'!$F:$F,)),0)+IF($P608=3,INDEX('卡片raw data'!AE:AE,MATCH($D608,'卡片raw data'!$F:$F,)),0)+IF($P608=4,INDEX('卡片raw data'!AH:AH,MATCH($D608,'卡片raw data'!$F:$F,)),0)+IF($P608=5,INDEX('卡片raw data'!AK:AK,MATCH($D608,'卡片raw data'!$F:$F,)),0)+INDEX('卡片raw data'!S:S,MATCH($D608,'卡片raw data'!$F:$F,))*(IF($F608="UR",0.04,0.033))*(IF($F608="UR",INDEX(绊状态确认!$S:$S,MATCH($G608,绊状态确认!$B:$B,))/2-40)+IF($F608="SR",INDEX(绊状态确认!$R:$R,MATCH($G608,绊状态确认!$B:$B,))/4-15))+IF($F608="R",INDEX(绊状态确认!$Q:$Q,MATCH($G608,绊状态确认!$B:$B,))/6-40/6)))*(INDEX(绊状态确认!$H:$H,MATCH($G608,绊状态确认!$B:$B,))+INDEX(绊状态确认!J:J,MATCH($G608,绊状态确认!$B:$B,)))</f>
        <v>14819.565119999997</v>
      </c>
      <c r="AM608" s="1035">
        <f>IF($P608="","N/A",(IF($P608=-1,INDEX('卡片raw data'!T:T,MATCH($D608,'卡片raw data'!$F:$F,)),0)+IF($P608=0,INDEX('卡片raw data'!W:W,MATCH($D608,'卡片raw data'!$F:$F,)),0)+IF($P608=1,INDEX('卡片raw data'!Z:Z,MATCH($D608,'卡片raw data'!$F:$F,)),0)+IF($P608=2,INDEX('卡片raw data'!AC:AC,MATCH($D608,'卡片raw data'!$F:$F,)),0)+IF($P608=3,INDEX('卡片raw data'!AF:AF,MATCH($D608,'卡片raw data'!$F:$F,)),0)+IF($P608=4,INDEX('卡片raw data'!AI:AI,MATCH($D608,'卡片raw data'!$F:$F,)),0)+IF($P608=5,INDEX('卡片raw data'!AL:AL,MATCH($D608,'卡片raw data'!$F:$F,)),0)+INDEX('卡片raw data'!T:T,MATCH($D608,'卡片raw data'!$F:$F,))*(IF($F608="UR",0.04,0.033))*(IF($F608="UR",INDEX(绊状态确认!$S:$S,MATCH($G608,绊状态确认!$B:$B,))/2-40)+IF($F608="SR",INDEX(绊状态确认!$R:$R,MATCH($G608,绊状态确认!$B:$B,))/4-15))+IF($F608="R",INDEX(绊状态确认!$Q:$Q,MATCH($G608,绊状态确认!$B:$B,))/6-40/6)))*(INDEX(绊状态确认!$H:$H,MATCH($G608,绊状态确认!$B:$B,))+INDEX(绊状态确认!K:K,MATCH($G608,绊状态确认!$B:$B,)))</f>
        <v>8968.1960639999998</v>
      </c>
      <c r="AN608" s="1043">
        <f>IF($P608="","N/A",(IF($P608=-1,INDEX('卡片raw data'!U:U,MATCH($D608,'卡片raw data'!$F:$F,)),0)+IF($P608=0,INDEX('卡片raw data'!X:X,MATCH($D608,'卡片raw data'!$F:$F,)),0)+IF($P608=1,INDEX('卡片raw data'!AA:AA,MATCH($D608,'卡片raw data'!$F:$F,)),0)+IF($P608=2,INDEX('卡片raw data'!AD:AD,MATCH($D608,'卡片raw data'!$F:$F,)),0)+IF($P608=3,INDEX('卡片raw data'!AG:AG,MATCH($D608,'卡片raw data'!$F:$F,)),0)+IF($P608=4,INDEX('卡片raw data'!AJ:AJ,MATCH($D608,'卡片raw data'!$F:$F,)),0)+IF($P608=5,INDEX('卡片raw data'!AM:AM,MATCH($D608,'卡片raw data'!$F:$F,)),0)+INDEX('卡片raw data'!U:U,MATCH($D608,'卡片raw data'!$F:$F,))*(IF($F608="UR",0.04,0.033))*(IF($F608="UR",INDEX(绊状态确认!$S:$S,MATCH($G608,绊状态确认!$B:$B,))/2-40)+IF($F608="SR",INDEX(绊状态确认!$R:$R,MATCH($G608,绊状态确认!$B:$B,))/4-15))+IF($F608="R",INDEX(绊状态确认!$Q:$Q,MATCH($G608,绊状态确认!$B:$B,))/6-40/6)))*(INDEX(绊状态确认!$H:$H,MATCH($G608,绊状态确认!$B:$B,))+INDEX(绊状态确认!L:L,MATCH($G608,绊状态确认!$B:$B,)))</f>
        <v>15208.850304</v>
      </c>
      <c r="AO608" s="1167">
        <f t="shared" si="817"/>
        <v>1</v>
      </c>
      <c r="AP608" s="1044">
        <f>1+(INDEX(绊状态确认!$T:$T,MATCH($G608,绊状态确认!$B:$B,))+0.2)*$AO608</f>
        <v>1.3</v>
      </c>
      <c r="AQ608" s="1035">
        <f t="shared" si="818"/>
        <v>42151.358439999996</v>
      </c>
      <c r="AR608" s="1035">
        <f>(AM608*(1+$EX$9)+$EX$35)*(1+(INDEX(绊状态确认!$T:$T,MATCH($G608,绊状态确认!$B:$B,))+0.2)*AO608)*IF(J608=$FF$17,1+$FE$17,1)*IF(I608=$FF$14,1+$FE$14,1)</f>
        <v>14945.587627360001</v>
      </c>
      <c r="AS608" s="1035">
        <f>(AN608*(1+$EX$10)+$EX$36)*(1+(INDEX(绊状态确认!$T:$T,MATCH($G608,绊状态确认!$B:$B,))+0.2)*AO608)*IF(J608=$FF$17,1+$FE$17,1)*IF(I608=$FF$14,1+$FE$14,1)</f>
        <v>26793.231204479998</v>
      </c>
      <c r="AT608" s="1165">
        <f>IF(AND(INDEX('卡片raw data'!AK:AK,MATCH($D608,'卡片raw data'!$F:$F,))&lt;INDEX('卡片raw data'!AM:AM,MATCH($D608,'卡片raw data'!$F:$F,)),INDEX('卡片raw data'!AL:AL,MATCH($D608,'卡片raw data'!$F:$F,))&lt;INDEX('卡片raw data'!AM:AM,MATCH($D608,'卡片raw data'!$F:$F,))),1,0)</f>
        <v>1</v>
      </c>
      <c r="AU608" s="1031">
        <f>MIN(AT608*0.15+AS608*0.00003+INDEX(绊状态确认!M:M,MATCH($G608,绊状态确认!$B:$B,)),1)</f>
        <v>0.9837969361344</v>
      </c>
      <c r="AV608" s="1045">
        <f>(INDEX(绊状态确认!$N:$N,MATCH($G608,绊状态确认!$B:$B,))+1.5)*$EW$21</f>
        <v>2.6599999999999997</v>
      </c>
      <c r="AW608" s="1038">
        <f t="shared" si="819"/>
        <v>57641.698972923878</v>
      </c>
      <c r="AX608" s="1035">
        <f t="shared" si="820"/>
        <v>1288.0479474144918</v>
      </c>
      <c r="AY608" s="483">
        <f t="shared" si="821"/>
        <v>58929.746920338366</v>
      </c>
      <c r="AZ608" s="1106">
        <f t="shared" si="822"/>
        <v>31498.151983999993</v>
      </c>
      <c r="BA608" s="1108">
        <f t="shared" si="823"/>
        <v>37797.782380799988</v>
      </c>
      <c r="BB608" s="1035">
        <f>(AM608*(1+$FB$9)+$FB$35)*(1+(INDEX(绊状态确认!$T:$T,MATCH($G608,绊状态确认!$B:$B,))+0.2)*AO608)*IF(J608=$FF$17,1+$FE$17,1)*IF(I608=$FF$14,1+$FE$14,1)*(1+$FE$15)</f>
        <v>14945.587627360001</v>
      </c>
      <c r="BC608" s="1035">
        <f>(AN608*(1+$FB$10)+$FB$36)*(1+(INDEX(绊状态确认!$T:$T,MATCH($G608,绊状态确认!$B:$B,))+0.2)*AO608)*IF(J608=$FF$17,1+$FE$17,1)*IF(I608=$FF$14,1+$FE$14,1)*(1+$FE$15)</f>
        <v>26793.231204479998</v>
      </c>
      <c r="BD608" s="481">
        <f>MIN(AT608*0.15+BC608*0.00003+INDEX(绊状态确认!M:M,MATCH($G608,绊状态确认!$B:$B,)),1)</f>
        <v>0.9837969361344</v>
      </c>
      <c r="BE608" s="1109">
        <f>(INDEX(绊状态确认!$N:$N,MATCH($G608,绊状态确认!$B:$B,))+1.5)</f>
        <v>1.9</v>
      </c>
      <c r="BF608" s="646">
        <f t="array" ref="BF608">SUMPRODUCT(IF(AZ608*AP608*$FI$16:$FI$23*$FA$22&gt;=$FI$24,$FI$24,AZ608*AP608*$FI$16:$FI$23*$FA$22),$FJ$16:$FJ$23)</f>
        <v>57702.226716976002</v>
      </c>
      <c r="BG608" s="1047">
        <f t="array" ref="BG608">SUMPRODUCT(IF(BE608*AZ608*AP608*$FI$16:$FI$23*$FA$22&gt;=$FI$24,$FI$24,BE608*AZ608*AP608*$FI$16:$FI$23*$FA$22),$FJ$16:$FJ$23)</f>
        <v>60000</v>
      </c>
      <c r="BH608" s="1046">
        <f t="shared" si="824"/>
        <v>19987.589677582164</v>
      </c>
      <c r="BI608" s="1048">
        <f>IF(O608="vo",$EW$26/$EW$24*0.05,0)+IF(O608="sk",-$EW$26/$EW$24*(0.05-INDEX(绊状态确认!W:W,MATCH($G608,绊状态确认!$B:$B,)))+0.05*$EW$28,0)+IF(O608="sp",0.05*$EW$32*$EW$30*(1-$EW$33)-(0.05-INDEX(绊状态确认!V:V,MATCH($G608,绊状态确认!$B:$B,)))*$EW$28,0)+IF(O608="gd",-(0.05-INDEX(绊状态确认!X:X,MATCH($G608,绊状态确认!$B:$B,)))*$EW$32*$EW$30*(1-$EW$33),0)</f>
        <v>19.999999999999886</v>
      </c>
      <c r="BJ608" s="1097">
        <f>IF(O608="vo",0.05*(1-$FI$26)*$FA$24,0)+IF(O608="sk",-(0.05-INDEX(绊状态确认!W:W,MATCH($G608,绊状态确认!$B:$B,)))*(1-$FI$26)*$FA$24+0.05*$FA$26,0)+IF(O608="sp",0.05*$FA$32*$FA$27*(1-$FA$33)/$FA$30+0.05*$FA$29/$FA$69*$FA$27*(1-$FA$33)-(0.05-INDEX(绊状态确认!V:V,MATCH($G608,绊状态确认!$B:$B,)))*$FA$26,0)+IF(O608="gd",-(0.05-INDEX(绊状态确认!X:X,MATCH($G608,绊状态确认!$B:$B,)))*$FA$32*$FA$27*(1-$FA$33)/$FA$30-(0.05-INDEX(绊状态确认!X:X,MATCH($G608,绊状态确认!$B:$B,)))*$FA$29/$FA$69*$FA$27*(1-$FA$33),0)</f>
        <v>545.83333333333326</v>
      </c>
      <c r="BK608" s="1046">
        <f>IF(O608="vo",$EW$26/$EW$24*0.05+$EW$26*(-HP($EW$62,$EW$65,$EW$64)+HP($EW$62,$EW$65,(1.05-INDEX(绊状态确认!U:U,MATCH($G608,绊状态确认!$B:$B,)))*$EW$64)),0)+IF(O608="sk",-$EW$26/$EW$24*(0.05-INDEX(绊状态确认!W:W,MATCH($G608,绊状态确认!$B:$B,)))+0.05*$EW$29,0)+IF(O608="sp",0.05*$EW$32*$EW$30*(1-$EW$33)-(0.05-INDEX(绊状态确认!V:V,MATCH($G608,绊状态确认!$B:$B,)))*$EW$29,0)+IF(O608="gd",-(0.05-INDEX(绊状态确认!X:X,MATCH($G608,绊状态确认!$B:$B,)))*$EW$32*$EW$30*(1-$EW$33)+$EW$26*(-HP($EW$62,$EW$65,$EW$64)+HP($EW$62,$EW$65,0.95*$EW$64)),0)</f>
        <v>-1780.0000000000005</v>
      </c>
      <c r="BL608" s="1048">
        <f t="shared" si="825"/>
        <v>0</v>
      </c>
      <c r="BM608" s="1046">
        <f t="shared" si="826"/>
        <v>0</v>
      </c>
      <c r="BN608" s="1167">
        <f t="shared" si="827"/>
        <v>3</v>
      </c>
      <c r="BO608" s="1035">
        <f t="shared" si="828"/>
        <v>4507.7214871259994</v>
      </c>
      <c r="BP608" s="1043">
        <f t="shared" si="829"/>
        <v>221.34103209030098</v>
      </c>
      <c r="BQ608" s="1167" t="s">
        <v>1940</v>
      </c>
      <c r="BR608" s="1165" t="s">
        <v>2127</v>
      </c>
      <c r="BS608" s="1098">
        <f>IF($P608="","N/A",IF($P608=-1,INDEX('卡片raw data'!AX:AX,MATCH($D608,'卡片raw data'!$F:$F,)),0)+IF($L608="party卡",IF($P608=5,INDEX('卡片raw data'!BD:BD,MATCH($D608,'卡片raw data'!$F:$F,)),IF($P608&gt;=3,INDEX('卡片raw data'!BC:BC,MATCH($D608,'卡片raw data'!$F:$F,)),INDEX('卡片raw data'!BB:BB,MATCH($D608,'卡片raw data'!$F:$F,)))),IF(OR(AND($F608="UR",$P608=0),AND($F608="SR",$P608&gt;=0,$P608&lt;=2),AND($F608="R",$P608&gt;=0,$P608&lt;4)),INDEX('卡片raw data'!AZ:AZ,MATCH($D608,'卡片raw data'!$F:$F,)),0)+IF(OR(AND($F608="UR",$P608&gt;=1,$P608&lt;=4),AND($F608="SR",$P608&lt;=4,$P608&gt;=3),AND($F608="R",$P608=4)),INDEX('卡片raw data'!BA:BA,MATCH($D608,'卡片raw data'!$F:$F,)),0)+IF($P608=5,INDEX('卡片raw data'!BB:BB,MATCH($D608,'卡片raw data'!$F:$F,)),0)))</f>
        <v>7.0000000000000007E-2</v>
      </c>
      <c r="BT608" s="1101">
        <f t="shared" si="830"/>
        <v>5259.008401647</v>
      </c>
      <c r="BU608" s="1097">
        <f t="shared" si="831"/>
        <v>258.2312041053512</v>
      </c>
      <c r="BV608" s="1097">
        <f t="shared" si="832"/>
        <v>0</v>
      </c>
      <c r="BW608" s="1112">
        <f t="shared" si="833"/>
        <v>0</v>
      </c>
      <c r="BX608" s="1100">
        <f t="shared" si="834"/>
        <v>5259.008401647</v>
      </c>
      <c r="BY608" s="1110">
        <f t="shared" si="835"/>
        <v>0</v>
      </c>
      <c r="BZ608" s="1113" t="s">
        <v>569</v>
      </c>
      <c r="CA608" s="1124"/>
      <c r="CB608" s="1098">
        <f>IF($P608="","N/A",IF($P608=-1,INDEX('卡片raw data'!BE:BE,MATCH($D608,'卡片raw data'!$F:$F,)),0)+IF($L608="party卡",IF($P608=5,INDEX('卡片raw data'!BK:BK,MATCH($D608,'卡片raw data'!$F:$F,)),IF($P608&gt;=3,INDEX('卡片raw data'!BJ:BJ,MATCH($D608,'卡片raw data'!$F:$F,)),INDEX('卡片raw data'!BI:BI,MATCH($D608,'卡片raw data'!$F:$F,)))),IF(OR(AND($F608="UR",$P608=0),AND($F608="SR",$P608&gt;=0,$P608&lt;=2),AND($F608="R",$P608&gt;=0,$P608&lt;4)),INDEX('卡片raw data'!BG:BG,MATCH($D608,'卡片raw data'!$F:$F,)),0)+IF(OR(AND($F608="UR",$P608&gt;=1,$P608&lt;=4),AND($F608="SR",$P608&lt;=4,$P608&gt;=3),AND($F608="R",$P608=4)),INDEX('卡片raw data'!BH:BH,MATCH($D608,'卡片raw data'!$F:$F,)),0)+IF($P608=5,INDEX('卡片raw data'!BI:BI,MATCH($D608,'卡片raw data'!$F:$F,)),0)))</f>
        <v>0</v>
      </c>
      <c r="CC608" s="1101">
        <f t="shared" si="873"/>
        <v>0</v>
      </c>
      <c r="CD608" s="1097">
        <f>IF(BZ608="ap",CB608*(1-$FI$26)*$FB$5/$FB$11*(+IF(CA608="全员",$FA$24,0)+IF(CA608="同作战",$FA$24,0)+IF(CA608="仲间",$FA$24*2/3,0)+IF(CA608="同属性",$FA$24*$FA$37/3,0)+IF(CA608="同年级",$FA$24*$FA$40/3,0)+IF(CA608="同学校",$FA$24*$FA$43/3,0)+IF(CA608="同小队",$FA$24*$FA$46/3,0)+IF(CA608="同type",$FA$24*INDEX($FB$49:$FB$52,MATCH(X608,$FA$49:$FA$52,))/3,0)+IF(CA608="自身",#REF!/3,0)),0)+IF(BZ608="te",CB608*(1-$FI$27)*($FA$20-1)*$FB$7/$FB$13*(+IF(CA608="全员",$FA$19*$FA$24/(1+($FA$20-1)*$FA$19),0)+IF(CA608="同作战",$FA$19*$FA$24/(1+($FA$20-1)*$FA$19),0)+IF(CA608="仲间",$FA$19*$FA$24*2/3/(1+($FA$20-1)*$FA$19),0)+IF(CA608="同属性",$FA$19*$FA$24*$FA$37/3/(1+($FA$20-1)*$FA$19),0)+IF(CA608="同年级",$FA$19*$FA$24*$FA$40/3/(1+($FA$20-1)*$FA$19),0)+IF(CA608="同学校",$FA$19*$FA$24*$FA$43/3/(1+($FA$20-1)*$FA$19),0)+IF(CA608="同小队",$FA$19*$FA$24*$FA$46/3/(1+($FA$20-1)*$FA$19),0)+IF(CA608="同type",$FA$19*$FA$24*INDEX($FB$49:$FB$52,MATCH(X608,$FA$49:$FA$52,))/3/(1+($FA$20-1)*$FA$19),0)+IF(CA608="自身",$FA$19*#REF!/3/(1+(BH608-1)*$BD608),0)),0)</f>
        <v>0</v>
      </c>
      <c r="CE608" s="1097">
        <f t="shared" si="836"/>
        <v>0</v>
      </c>
      <c r="CF608" s="1112">
        <f t="shared" si="874"/>
        <v>0</v>
      </c>
      <c r="CG608" s="1100">
        <f t="shared" si="837"/>
        <v>0</v>
      </c>
      <c r="CH608" s="1110">
        <f t="shared" si="838"/>
        <v>0</v>
      </c>
      <c r="CI608" s="1167" t="s">
        <v>4652</v>
      </c>
      <c r="CJ608" s="1114">
        <v>1</v>
      </c>
      <c r="CK608" s="1115" t="s">
        <v>2158</v>
      </c>
      <c r="CL608" s="1169" t="s">
        <v>1940</v>
      </c>
      <c r="CM608" s="1166">
        <v>7.4999999999999997E-2</v>
      </c>
      <c r="CN608" s="1169"/>
      <c r="CO608" s="1169"/>
      <c r="CP608" s="1116">
        <f t="shared" si="839"/>
        <v>67.74325463571428</v>
      </c>
      <c r="CQ608" s="1116">
        <f t="shared" si="840"/>
        <v>94.494455951999967</v>
      </c>
      <c r="CR608" s="1116">
        <f t="shared" si="841"/>
        <v>67.74325463571428</v>
      </c>
      <c r="CS608" s="1118">
        <f t="shared" si="875"/>
        <v>0</v>
      </c>
      <c r="CT608" s="1109">
        <f t="shared" si="876"/>
        <v>0</v>
      </c>
      <c r="CU608" s="1101">
        <f t="shared" si="842"/>
        <v>96.872854129071428</v>
      </c>
      <c r="CV608" s="1108">
        <f t="shared" si="870"/>
        <v>0</v>
      </c>
      <c r="CW608" s="1097">
        <f t="shared" si="843"/>
        <v>96.872854129071428</v>
      </c>
      <c r="CX608" s="1097">
        <f t="shared" si="844"/>
        <v>96.872854129071428</v>
      </c>
      <c r="CY608" s="1110">
        <f t="shared" si="845"/>
        <v>96.872854129071428</v>
      </c>
      <c r="CZ608" s="1113"/>
      <c r="DA608" s="1114"/>
      <c r="DB608" s="1115" t="s">
        <v>569</v>
      </c>
      <c r="DC608" s="1115"/>
      <c r="DD608" s="1119"/>
      <c r="DE608" s="1092"/>
      <c r="DF608" s="1092"/>
      <c r="DG608" s="1116">
        <f t="shared" si="846"/>
        <v>0</v>
      </c>
      <c r="DH608" s="1116">
        <f t="shared" si="847"/>
        <v>0</v>
      </c>
      <c r="DI608" s="1116">
        <f t="shared" si="848"/>
        <v>0</v>
      </c>
      <c r="DJ608" s="1118">
        <f t="shared" si="871"/>
        <v>0</v>
      </c>
      <c r="DK608" s="1109">
        <f t="shared" si="872"/>
        <v>0</v>
      </c>
      <c r="DL608" s="1101">
        <f t="shared" si="849"/>
        <v>0</v>
      </c>
      <c r="DM608" s="1097">
        <f t="shared" si="850"/>
        <v>0</v>
      </c>
      <c r="DN608" s="1097">
        <f t="shared" si="851"/>
        <v>0</v>
      </c>
      <c r="DO608" s="1097">
        <f t="shared" si="852"/>
        <v>0</v>
      </c>
      <c r="DP608" s="1110">
        <f t="shared" si="853"/>
        <v>0</v>
      </c>
      <c r="DQ608" s="1167" t="s">
        <v>4897</v>
      </c>
      <c r="DR608" s="1120">
        <f t="shared" si="877"/>
        <v>0.33</v>
      </c>
      <c r="DS608" s="1165">
        <v>10</v>
      </c>
      <c r="DT608" s="1124" t="s">
        <v>2127</v>
      </c>
      <c r="DU608" s="1093" t="s">
        <v>2145</v>
      </c>
      <c r="DV608" s="1098">
        <f>IF($P608="","N/A",IF(P608=-1,INDEX('卡片raw data'!AN:AN,MATCH(D608,'卡片raw data'!$F:$F,)),0)+IF(AND(L608&lt;&gt;"party卡",P608&lt;=2,P608&gt;=0),INDEX('卡片raw data'!AP:AP,MATCH(D608,'卡片raw data'!$F:$F,)),0)+IF(OR(AND(L608="party卡",P608&lt;=1),AND(P608&lt;=4,L608&lt;&gt;"party卡",P608&gt;=3)),INDEX('卡片raw data'!AQ:AQ,MATCH(D608,'卡片raw data'!$F:$F,)),0)+IF(OR(P608=5,AND(L608="party卡",P608&gt;=2)),INDEX('卡片raw data'!AR:AR,MATCH(D608,'卡片raw data'!$F:$F,)),0))</f>
        <v>6.6000000000000003E-2</v>
      </c>
      <c r="DW608" s="1098">
        <f t="shared" si="854"/>
        <v>0.33</v>
      </c>
      <c r="DX608" s="1098">
        <f t="shared" si="855"/>
        <v>0.33</v>
      </c>
      <c r="DY608" s="1098">
        <f t="shared" si="856"/>
        <v>7.2599999999999998E-2</v>
      </c>
      <c r="DZ608" s="1098">
        <f t="shared" si="857"/>
        <v>6.2798999999999994E-2</v>
      </c>
      <c r="EA608" s="1098">
        <f t="shared" si="858"/>
        <v>0</v>
      </c>
      <c r="EB608" s="1121">
        <f t="shared" si="859"/>
        <v>0</v>
      </c>
      <c r="EC608" s="1101">
        <f t="shared" si="860"/>
        <v>943.8</v>
      </c>
      <c r="ED608" s="1097">
        <f t="shared" si="861"/>
        <v>625.8966999999999</v>
      </c>
      <c r="EE608" s="1110">
        <f t="shared" si="879"/>
        <v>943.8</v>
      </c>
      <c r="EF608" s="1113" t="s">
        <v>569</v>
      </c>
      <c r="EG608" s="1120">
        <f t="shared" si="878"/>
        <v>0.33</v>
      </c>
      <c r="EH608" s="1124"/>
      <c r="EI608" s="1124"/>
      <c r="EJ608" s="1124"/>
      <c r="EK608" s="1097">
        <f>IF($P608="","N/A",IF(P608=-1,INDEX('卡片raw data'!AS:AS,MATCH(D608,'卡片raw data'!$F:$F,)),0)+IF(AND(L608&lt;&gt;"party卡",P608&lt;=2,P608&gt;=0),INDEX('卡片raw data'!AU:AU,MATCH(D608,'卡片raw data'!$F:$F,)),0)+IF(OR(AND(L608="party卡",P608&lt;=1),AND(P608&lt;=4,L608&lt;&gt;"party卡",P608&gt;=3)),INDEX('卡片raw data'!AV:AV,MATCH(D608,'卡片raw data'!$F:$F,)),0)+IF(OR(P608=5,AND(L608="party卡",P608&gt;=2)),INDEX('卡片raw data'!AW:AW,MATCH(D608,'卡片raw data'!$F:$F,)),0))</f>
        <v>0</v>
      </c>
      <c r="EL608" s="1098">
        <f t="shared" si="862"/>
        <v>0.33</v>
      </c>
      <c r="EM608" s="1098">
        <f t="shared" si="863"/>
        <v>0.33</v>
      </c>
      <c r="EN608" s="1097">
        <f t="shared" si="864"/>
        <v>0</v>
      </c>
      <c r="EO608" s="1097">
        <f t="shared" si="865"/>
        <v>0</v>
      </c>
      <c r="EP608" s="1098">
        <f t="shared" si="866"/>
        <v>0</v>
      </c>
      <c r="EQ608" s="1121">
        <f t="shared" si="867"/>
        <v>0</v>
      </c>
      <c r="ER608" s="1101">
        <f t="shared" si="868"/>
        <v>0</v>
      </c>
      <c r="ES608" s="1097">
        <f t="shared" si="869"/>
        <v>0</v>
      </c>
      <c r="ET608" s="1122">
        <f t="shared" si="880"/>
        <v>0</v>
      </c>
    </row>
    <row r="609" spans="2:150" ht="16.5" customHeight="1">
      <c r="B609" s="1123" t="str">
        <f>INDEX('卡片raw data'!B:B,MATCH($D609,'卡片raw data'!$F:$F,))</f>
        <v>水蓝露</v>
      </c>
      <c r="C609" s="1025" t="s">
        <v>4901</v>
      </c>
      <c r="D609" s="408">
        <v>606</v>
      </c>
      <c r="E609" s="1164">
        <v>401092007</v>
      </c>
      <c r="F609" s="1090" t="str">
        <f>INDEX('卡片raw data'!C:C,MATCH($D609,'卡片raw data'!$F:$F,))</f>
        <v>SR</v>
      </c>
      <c r="G609" s="1026" t="s">
        <v>4902</v>
      </c>
      <c r="H609" s="411">
        <f>IFERROR(INDEX(绊状态确认!C:C,MATCH($G609,绊状态确认!$B:$B,)),"")</f>
        <v>109</v>
      </c>
      <c r="I609" s="450" t="str">
        <f>IFERROR(INDEX(绊状态确认!D:D,MATCH($G609,绊状态确认!$B:$B,)),"")</f>
        <v>水</v>
      </c>
      <c r="J609" s="450" t="str">
        <f>IFERROR(INDEX(绊状态确认!E:E,MATCH($G609,绊状态确认!$B:$B,)),"")</f>
        <v>1年级</v>
      </c>
      <c r="K609" s="451" t="str">
        <f>IFERROR(INDEX(绊状态确认!F:F,MATCH($G609,绊状态确认!$B:$B,)),"")</f>
        <v>CYaRon!</v>
      </c>
      <c r="L609" s="1094" t="str">
        <f>INDEX('卡片raw data'!E:E,MATCH($D609,'卡片raw data'!$F:$F,))</f>
        <v>卡池卡</v>
      </c>
      <c r="M609" s="1065">
        <v>44565</v>
      </c>
      <c r="N609" s="1027">
        <v>55</v>
      </c>
      <c r="O609" s="1091" t="str">
        <f>INDEX('卡片raw data'!D:D,MATCH($D609,'卡片raw data'!$F:$F,))</f>
        <v>gd</v>
      </c>
      <c r="P609" s="1126">
        <v>5</v>
      </c>
      <c r="Q609" s="1095">
        <f t="shared" si="796"/>
        <v>22354.156710756342</v>
      </c>
      <c r="R609" s="1096">
        <f t="shared" si="797"/>
        <v>0.25900000000000001</v>
      </c>
      <c r="S609" s="1097">
        <f t="shared" si="798"/>
        <v>13029.52644565031</v>
      </c>
      <c r="T609" s="1098">
        <f t="shared" si="799"/>
        <v>0.65100000000000002</v>
      </c>
      <c r="U609" s="1099">
        <f t="shared" si="800"/>
        <v>551.84332183680272</v>
      </c>
      <c r="V609" s="1100">
        <f t="shared" si="801"/>
        <v>73934.739479551747</v>
      </c>
      <c r="W609" s="1101">
        <f t="shared" si="802"/>
        <v>4507.7214871259994</v>
      </c>
      <c r="X609" s="1096">
        <f t="shared" si="803"/>
        <v>5.1999999999999998E-2</v>
      </c>
      <c r="Y609" s="1097">
        <f t="shared" si="804"/>
        <v>1550.9569066540371</v>
      </c>
      <c r="Z609" s="1102">
        <f t="shared" si="805"/>
        <v>19.310932672898574</v>
      </c>
      <c r="AA609" s="1103">
        <f t="shared" si="806"/>
        <v>6058.6783937800365</v>
      </c>
      <c r="AB609" s="1101">
        <f t="shared" si="807"/>
        <v>4507.7214871259994</v>
      </c>
      <c r="AC609" s="1104">
        <f t="shared" si="808"/>
        <v>5.1999999999999998E-2</v>
      </c>
      <c r="AD609" s="1105">
        <f t="shared" si="809"/>
        <v>-3.8207812500000026E-3</v>
      </c>
      <c r="AE609" s="1128">
        <f t="shared" si="810"/>
        <v>-18.525362318840578</v>
      </c>
      <c r="AF609" s="1130">
        <f t="shared" si="811"/>
        <v>7898.4728063632574</v>
      </c>
      <c r="AG609" s="1097">
        <f t="shared" si="812"/>
        <v>98408.937838628015</v>
      </c>
      <c r="AH609" s="1097">
        <f t="shared" si="813"/>
        <v>12.459236139845501</v>
      </c>
      <c r="AI609" s="1097">
        <f t="shared" si="814"/>
        <v>102831.57784540689</v>
      </c>
      <c r="AJ609" s="1097">
        <f t="shared" si="815"/>
        <v>73934.739479551747</v>
      </c>
      <c r="AK609" s="1129">
        <f t="shared" si="816"/>
        <v>28896.838365855147</v>
      </c>
      <c r="AL609" s="1042">
        <f>IF($P609="","N/A",(IF($P609=-1,INDEX('卡片raw data'!S:S,MATCH($D609,'卡片raw data'!$F:$F,)),0)+IF($P609=0,INDEX('卡片raw data'!V:V,MATCH($D609,'卡片raw data'!$F:$F,)),0)+IF($P609=1,INDEX('卡片raw data'!Y:Y,MATCH($D609,'卡片raw data'!$F:$F,)),0)+IF($P609=2,INDEX('卡片raw data'!AB:AB,MATCH($D609,'卡片raw data'!$F:$F,)),0)+IF($P609=3,INDEX('卡片raw data'!AE:AE,MATCH($D609,'卡片raw data'!$F:$F,)),0)+IF($P609=4,INDEX('卡片raw data'!AH:AH,MATCH($D609,'卡片raw data'!$F:$F,)),0)+IF($P609=5,INDEX('卡片raw data'!AK:AK,MATCH($D609,'卡片raw data'!$F:$F,)),0)+INDEX('卡片raw data'!S:S,MATCH($D609,'卡片raw data'!$F:$F,))*(IF($F609="UR",0.04,0.033))*(IF($F609="UR",INDEX(绊状态确认!$S:$S,MATCH($G609,绊状态确认!$B:$B,))/2-40)+IF($F609="SR",INDEX(绊状态确认!$R:$R,MATCH($G609,绊状态确认!$B:$B,))/4-15))+IF($F609="R",INDEX(绊状态确认!$Q:$Q,MATCH($G609,绊状态确认!$B:$B,))/6-40/6)))*(INDEX(绊状态确认!$H:$H,MATCH($G609,绊状态确认!$B:$B,))+INDEX(绊状态确认!J:J,MATCH($G609,绊状态确认!$B:$B,)))</f>
        <v>6817.5431543999994</v>
      </c>
      <c r="AM609" s="1035">
        <f>IF($P609="","N/A",(IF($P609=-1,INDEX('卡片raw data'!T:T,MATCH($D609,'卡片raw data'!$F:$F,)),0)+IF($P609=0,INDEX('卡片raw data'!W:W,MATCH($D609,'卡片raw data'!$F:$F,)),0)+IF($P609=1,INDEX('卡片raw data'!Z:Z,MATCH($D609,'卡片raw data'!$F:$F,)),0)+IF($P609=2,INDEX('卡片raw data'!AC:AC,MATCH($D609,'卡片raw data'!$F:$F,)),0)+IF($P609=3,INDEX('卡片raw data'!AF:AF,MATCH($D609,'卡片raw data'!$F:$F,)),0)+IF($P609=4,INDEX('卡片raw data'!AI:AI,MATCH($D609,'卡片raw data'!$F:$F,)),0)+IF($P609=5,INDEX('卡片raw data'!AL:AL,MATCH($D609,'卡片raw data'!$F:$F,)),0)+INDEX('卡片raw data'!T:T,MATCH($D609,'卡片raw data'!$F:$F,))*(IF($F609="UR",0.04,0.033))*(IF($F609="UR",INDEX(绊状态确认!$S:$S,MATCH($G609,绊状态确认!$B:$B,))/2-40)+IF($F609="SR",INDEX(绊状态确认!$R:$R,MATCH($G609,绊状态确认!$B:$B,))/4-15))+IF($F609="R",INDEX(绊状态确认!$Q:$Q,MATCH($G609,绊状态确认!$B:$B,))/6-40/6)))*(INDEX(绊状态确认!$H:$H,MATCH($G609,绊状态确认!$B:$B,))+INDEX(绊状态确认!K:K,MATCH($G609,绊状态确认!$B:$B,)))</f>
        <v>9638.3788728</v>
      </c>
      <c r="AN609" s="1043">
        <f>IF($P609="","N/A",(IF($P609=-1,INDEX('卡片raw data'!U:U,MATCH($D609,'卡片raw data'!$F:$F,)),0)+IF($P609=0,INDEX('卡片raw data'!X:X,MATCH($D609,'卡片raw data'!$F:$F,)),0)+IF($P609=1,INDEX('卡片raw data'!AA:AA,MATCH($D609,'卡片raw data'!$F:$F,)),0)+IF($P609=2,INDEX('卡片raw data'!AD:AD,MATCH($D609,'卡片raw data'!$F:$F,)),0)+IF($P609=3,INDEX('卡片raw data'!AG:AG,MATCH($D609,'卡片raw data'!$F:$F,)),0)+IF($P609=4,INDEX('卡片raw data'!AJ:AJ,MATCH($D609,'卡片raw data'!$F:$F,)),0)+IF($P609=5,INDEX('卡片raw data'!AM:AM,MATCH($D609,'卡片raw data'!$F:$F,)),0)+INDEX('卡片raw data'!U:U,MATCH($D609,'卡片raw data'!$F:$F,))*(IF($F609="UR",0.04,0.033))*(IF($F609="UR",INDEX(绊状态确认!$S:$S,MATCH($G609,绊状态确认!$B:$B,))/2-40)+IF($F609="SR",INDEX(绊状态确认!$R:$R,MATCH($G609,绊状态确认!$B:$B,))/4-15))+IF($F609="R",INDEX(绊状态确认!$Q:$Q,MATCH($G609,绊状态确认!$B:$B,))/6-40/6)))*(INDEX(绊状态确认!$H:$H,MATCH($G609,绊状态确认!$B:$B,))+INDEX(绊状态确认!L:L,MATCH($G609,绊状态确认!$B:$B,)))</f>
        <v>7053.8688983999991</v>
      </c>
      <c r="AO609" s="1167">
        <f t="shared" si="817"/>
        <v>1</v>
      </c>
      <c r="AP609" s="1044">
        <f>1+(INDEX(绊状态确认!$T:$T,MATCH($G609,绊状态确认!$B:$B,))+0.2)*$AO609</f>
        <v>1.3</v>
      </c>
      <c r="AQ609" s="1035">
        <f t="shared" si="818"/>
        <v>21146.0507803</v>
      </c>
      <c r="AR609" s="1035">
        <f>(AM609*(1+$EX$9)+$EX$35)*(1+(INDEX(绊状态确认!$T:$T,MATCH($G609,绊状态确认!$B:$B,))+0.2)*AO609)*IF(J609=$FF$17,1+$FE$17,1)*IF(I609=$FF$14,1+$FE$14,1)</f>
        <v>15860.387161372002</v>
      </c>
      <c r="AS609" s="1035">
        <f>(AN609*(1+$EX$10)+$EX$36)*(1+(INDEX(绊状态确认!$T:$T,MATCH($G609,绊状态确认!$B:$B,))+0.2)*AO609)*IF(J609=$FF$17,1+$FE$17,1)*IF(I609=$FF$14,1+$FE$14,1)</f>
        <v>14601.534003107998</v>
      </c>
      <c r="AT609" s="1165">
        <f>IF(AND(INDEX('卡片raw data'!AK:AK,MATCH($D609,'卡片raw data'!$F:$F,))&lt;INDEX('卡片raw data'!AM:AM,MATCH($D609,'卡片raw data'!$F:$F,)),INDEX('卡片raw data'!AL:AL,MATCH($D609,'卡片raw data'!$F:$F,))&lt;INDEX('卡片raw data'!AM:AM,MATCH($D609,'卡片raw data'!$F:$F,))),1,0)</f>
        <v>0</v>
      </c>
      <c r="AU609" s="1031">
        <f>MIN(AT609*0.15+AS609*0.00003+INDEX(绊状态确认!M:M,MATCH($G609,绊状态确认!$B:$B,)),1)</f>
        <v>0.46804602009323998</v>
      </c>
      <c r="AV609" s="1045">
        <f>(INDEX(绊状态确认!$N:$N,MATCH($G609,绊状态确认!$B:$B,))+1.5)*$EW$21</f>
        <v>2.6599999999999997</v>
      </c>
      <c r="AW609" s="1038">
        <f t="shared" si="819"/>
        <v>19514.768556963674</v>
      </c>
      <c r="AX609" s="1035">
        <f t="shared" si="820"/>
        <v>1369.6614080297775</v>
      </c>
      <c r="AY609" s="483">
        <f t="shared" si="821"/>
        <v>20884.429964993451</v>
      </c>
      <c r="AZ609" s="1106">
        <f t="shared" si="822"/>
        <v>15894.209151079998</v>
      </c>
      <c r="BA609" s="1108">
        <f t="shared" si="823"/>
        <v>19073.050981295997</v>
      </c>
      <c r="BB609" s="1035">
        <f>(AM609*(1+$FB$9)+$FB$35)*(1+(INDEX(绊状态确认!$T:$T,MATCH($G609,绊状态确认!$B:$B,))+0.2)*AO609)*IF(J609=$FF$17,1+$FE$17,1)*IF(I609=$FF$14,1+$FE$14,1)*(1+$FE$15)</f>
        <v>15860.387161372002</v>
      </c>
      <c r="BC609" s="1035">
        <f>(AN609*(1+$FB$10)+$FB$36)*(1+(INDEX(绊状态确认!$T:$T,MATCH($G609,绊状态确认!$B:$B,))+0.2)*AO609)*IF(J609=$FF$17,1+$FE$17,1)*IF(I609=$FF$14,1+$FE$14,1)*(1+$FE$15)</f>
        <v>14601.534003107998</v>
      </c>
      <c r="BD609" s="481">
        <f>MIN(AT609*0.15+BC609*0.00003+INDEX(绊状态确认!M:M,MATCH($G609,绊状态确认!$B:$B,)),1)</f>
        <v>0.46804602009323998</v>
      </c>
      <c r="BE609" s="1109">
        <f>(INDEX(绊状态确认!$N:$N,MATCH($G609,绊状态确认!$B:$B,))+1.5)</f>
        <v>1.9</v>
      </c>
      <c r="BF609" s="646">
        <f t="array" ref="BF609">SUMPRODUCT(IF(AZ609*AP609*$FI$16:$FI$23*$FA$22&gt;=$FI$24,$FI$24,AZ609*AP609*$FI$16:$FI$23*$FA$22),$FJ$16:$FJ$23)</f>
        <v>31613.582001498122</v>
      </c>
      <c r="BG609" s="1047">
        <f t="array" ref="BG609">SUMPRODUCT(IF(BE609*AZ609*AP609*$FI$16:$FI$23*$FA$22&gt;=$FI$24,$FI$24,BE609*AZ609*AP609*$FI$16:$FI$23*$FA$22),$FJ$16:$FJ$23)</f>
        <v>56584.718180629105</v>
      </c>
      <c r="BH609" s="1046">
        <f t="shared" si="824"/>
        <v>14433.740969115564</v>
      </c>
      <c r="BI609" s="1048">
        <f>IF(O609="vo",$EW$26/$EW$24*0.05,0)+IF(O609="sk",-$EW$26/$EW$24*(0.05-INDEX(绊状态确认!W:W,MATCH($G609,绊状态确认!$B:$B,)))+0.05*$EW$28,0)+IF(O609="sp",0.05*$EW$32*$EW$30*(1-$EW$33)-(0.05-INDEX(绊状态确认!V:V,MATCH($G609,绊状态确认!$B:$B,)))*$EW$28,0)+IF(O609="gd",-(0.05-INDEX(绊状态确认!X:X,MATCH($G609,绊状态确认!$B:$B,)))*$EW$32*$EW$30*(1-$EW$33),0)</f>
        <v>-585.00000000000011</v>
      </c>
      <c r="BJ609" s="1097">
        <f>IF(O609="vo",0.05*(1-$FI$26)*$FA$24,0)+IF(O609="sk",-(0.05-INDEX(绊状态确认!W:W,MATCH($G609,绊状态确认!$B:$B,)))*(1-$FI$26)*$FA$24+0.05*$FA$26,0)+IF(O609="sp",0.05*$FA$32*$FA$27*(1-$FA$33)/$FA$30+0.05*$FA$29/$FA$69*$FA$27*(1-$FA$33)-(0.05-INDEX(绊状态确认!V:V,MATCH($G609,绊状态确认!$B:$B,)))*$FA$26,0)+IF(O609="gd",-(0.05-INDEX(绊状态确认!X:X,MATCH($G609,绊状态确认!$B:$B,)))*$FA$32*$FA$27*(1-$FA$33)/$FA$30-(0.05-INDEX(绊状态确认!X:X,MATCH($G609,绊状态确认!$B:$B,)))*$FA$29/$FA$69*$FA$27*(1-$FA$33),0)</f>
        <v>-795.00000000000011</v>
      </c>
      <c r="BK609" s="1046">
        <f>IF(O609="vo",$EW$26/$EW$24*0.05+$EW$26*(-HP($EW$62,$EW$65,$EW$64)+HP($EW$62,$EW$65,(1.05-INDEX(绊状态确认!U:U,MATCH($G609,绊状态确认!$B:$B,)))*$EW$64)),0)+IF(O609="sk",-$EW$26/$EW$24*(0.05-INDEX(绊状态确认!W:W,MATCH($G609,绊状态确认!$B:$B,)))+0.05*$EW$29,0)+IF(O609="sp",0.05*$EW$32*$EW$30*(1-$EW$33)-(0.05-INDEX(绊状态确认!V:V,MATCH($G609,绊状态确认!$B:$B,)))*$EW$29,0)+IF(O609="gd",-(0.05-INDEX(绊状态确认!X:X,MATCH($G609,绊状态确认!$B:$B,)))*$EW$32*$EW$30*(1-$EW$33)+$EW$26*(-HP($EW$62,$EW$65,$EW$64)+HP($EW$62,$EW$65,0.95*$EW$64)),0)</f>
        <v>1009.5947725176144</v>
      </c>
      <c r="BL609" s="1048">
        <f t="shared" si="825"/>
        <v>-1083.3333333333333</v>
      </c>
      <c r="BM609" s="1046">
        <f t="shared" si="826"/>
        <v>-830.55555555555543</v>
      </c>
      <c r="BN609" s="1167">
        <f t="shared" si="827"/>
        <v>3</v>
      </c>
      <c r="BO609" s="1035">
        <f t="shared" si="828"/>
        <v>4507.7214871259994</v>
      </c>
      <c r="BP609" s="1043">
        <f t="shared" si="829"/>
        <v>221.34103209030098</v>
      </c>
      <c r="BQ609" s="1113" t="s">
        <v>133</v>
      </c>
      <c r="BR609" s="1124" t="s">
        <v>161</v>
      </c>
      <c r="BS609" s="1098">
        <f>IF($P609="","N/A",IF($P609=-1,INDEX('卡片raw data'!AX:AX,MATCH($D609,'卡片raw data'!$F:$F,)),0)+IF($L609="party卡",IF($P609=5,INDEX('卡片raw data'!BD:BD,MATCH($D609,'卡片raw data'!$F:$F,)),IF($P609&gt;=3,INDEX('卡片raw data'!BC:BC,MATCH($D609,'卡片raw data'!$F:$F,)),INDEX('卡片raw data'!BB:BB,MATCH($D609,'卡片raw data'!$F:$F,)))),IF(OR(AND($F609="UR",$P609=0),AND($F609="SR",$P609&gt;=0,$P609&lt;=2),AND($F609="R",$P609&gt;=0,$P609&lt;4)),INDEX('卡片raw data'!AZ:AZ,MATCH($D609,'卡片raw data'!$F:$F,)),0)+IF(OR(AND($F609="UR",$P609&gt;=1,$P609&lt;=4),AND($F609="SR",$P609&lt;=4,$P609&gt;=3),AND($F609="R",$P609=4)),INDEX('卡片raw data'!BA:BA,MATCH($D609,'卡片raw data'!$F:$F,)),0)+IF($P609=5,INDEX('卡片raw data'!BB:BB,MATCH($D609,'卡片raw data'!$F:$F,)),0)))</f>
        <v>2.1999999999999999E-2</v>
      </c>
      <c r="BT609" s="1101">
        <f t="shared" si="830"/>
        <v>0</v>
      </c>
      <c r="BU609" s="1097">
        <f t="shared" si="831"/>
        <v>0</v>
      </c>
      <c r="BV609" s="1097">
        <f t="shared" si="832"/>
        <v>0</v>
      </c>
      <c r="BW609" s="1112">
        <f t="shared" si="833"/>
        <v>2.3176607142857137</v>
      </c>
      <c r="BX609" s="1100">
        <f t="shared" si="834"/>
        <v>181.29549862425898</v>
      </c>
      <c r="BY609" s="1110">
        <f t="shared" si="835"/>
        <v>181.29549862425898</v>
      </c>
      <c r="BZ609" s="1113" t="s">
        <v>569</v>
      </c>
      <c r="CA609" s="1124"/>
      <c r="CB609" s="1098">
        <f>IF($P609="","N/A",IF($P609=-1,INDEX('卡片raw data'!BE:BE,MATCH($D609,'卡片raw data'!$F:$F,)),0)+IF($L609="party卡",IF($P609=5,INDEX('卡片raw data'!BK:BK,MATCH($D609,'卡片raw data'!$F:$F,)),IF($P609&gt;=3,INDEX('卡片raw data'!BJ:BJ,MATCH($D609,'卡片raw data'!$F:$F,)),INDEX('卡片raw data'!BI:BI,MATCH($D609,'卡片raw data'!$F:$F,)))),IF(OR(AND($F609="UR",$P609=0),AND($F609="SR",$P609&gt;=0,$P609&lt;=2),AND($F609="R",$P609&gt;=0,$P609&lt;4)),INDEX('卡片raw data'!BG:BG,MATCH($D609,'卡片raw data'!$F:$F,)),0)+IF(OR(AND($F609="UR",$P609&gt;=1,$P609&lt;=4),AND($F609="SR",$P609&lt;=4,$P609&gt;=3),AND($F609="R",$P609=4)),INDEX('卡片raw data'!BH:BH,MATCH($D609,'卡片raw data'!$F:$F,)),0)+IF($P609=5,INDEX('卡片raw data'!BI:BI,MATCH($D609,'卡片raw data'!$F:$F,)),0)))</f>
        <v>0</v>
      </c>
      <c r="CC609" s="1101">
        <f t="shared" si="873"/>
        <v>0</v>
      </c>
      <c r="CD609" s="1097">
        <f>IF(BZ609="ap",CB609*(1-$FI$26)*$FB$5/$FB$11*(+IF(CA609="全员",$FA$24,0)+IF(CA609="同作战",$FA$24,0)+IF(CA609="仲间",$FA$24*2/3,0)+IF(CA609="同属性",$FA$24*$FA$37/3,0)+IF(CA609="同年级",$FA$24*$FA$40/3,0)+IF(CA609="同学校",$FA$24*$FA$43/3,0)+IF(CA609="同小队",$FA$24*$FA$46/3,0)+IF(CA609="同type",$FA$24*INDEX($FB$49:$FB$52,MATCH(X609,$FA$49:$FA$52,))/3,0)+IF(CA609="自身",#REF!/3,0)),0)+IF(BZ609="te",CB609*(1-$FI$27)*($FA$20-1)*$FB$7/$FB$13*(+IF(CA609="全员",$FA$19*$FA$24/(1+($FA$20-1)*$FA$19),0)+IF(CA609="同作战",$FA$19*$FA$24/(1+($FA$20-1)*$FA$19),0)+IF(CA609="仲间",$FA$19*$FA$24*2/3/(1+($FA$20-1)*$FA$19),0)+IF(CA609="同属性",$FA$19*$FA$24*$FA$37/3/(1+($FA$20-1)*$FA$19),0)+IF(CA609="同年级",$FA$19*$FA$24*$FA$40/3/(1+($FA$20-1)*$FA$19),0)+IF(CA609="同学校",$FA$19*$FA$24*$FA$43/3/(1+($FA$20-1)*$FA$19),0)+IF(CA609="同小队",$FA$19*$FA$24*$FA$46/3/(1+($FA$20-1)*$FA$19),0)+IF(CA609="同type",$FA$19*$FA$24*INDEX($FB$49:$FB$52,MATCH(X609,$FA$49:$FA$52,))/3/(1+($FA$20-1)*$FA$19),0)+IF(CA609="自身",$FA$19*#REF!/3/(1+(BH609-1)*$BD609),0)),0)</f>
        <v>0</v>
      </c>
      <c r="CE609" s="1097">
        <f t="shared" si="836"/>
        <v>0</v>
      </c>
      <c r="CF609" s="1112">
        <f t="shared" si="874"/>
        <v>0</v>
      </c>
      <c r="CG609" s="1100">
        <f t="shared" si="837"/>
        <v>0</v>
      </c>
      <c r="CH609" s="1110">
        <f t="shared" si="838"/>
        <v>0</v>
      </c>
      <c r="CI609" s="1113" t="s">
        <v>2653</v>
      </c>
      <c r="CJ609" s="1114">
        <v>1</v>
      </c>
      <c r="CK609" s="1115" t="s">
        <v>2080</v>
      </c>
      <c r="CL609" s="1115" t="s">
        <v>1943</v>
      </c>
      <c r="CM609" s="1119">
        <v>0.2</v>
      </c>
      <c r="CN609" s="1115"/>
      <c r="CO609" s="1115"/>
      <c r="CP609" s="1116">
        <f t="shared" si="839"/>
        <v>0</v>
      </c>
      <c r="CQ609" s="1116">
        <f t="shared" si="840"/>
        <v>0</v>
      </c>
      <c r="CR609" s="1117">
        <f t="shared" si="841"/>
        <v>0</v>
      </c>
      <c r="CS609" s="1118">
        <f t="shared" si="875"/>
        <v>0</v>
      </c>
      <c r="CT609" s="1109">
        <f t="shared" si="876"/>
        <v>0</v>
      </c>
      <c r="CU609" s="1101">
        <f t="shared" si="842"/>
        <v>0</v>
      </c>
      <c r="CV609" s="1108">
        <f t="shared" si="870"/>
        <v>0</v>
      </c>
      <c r="CW609" s="1097">
        <f t="shared" si="843"/>
        <v>0</v>
      </c>
      <c r="CX609" s="1097">
        <f t="shared" si="844"/>
        <v>0</v>
      </c>
      <c r="CY609" s="1110">
        <f t="shared" si="845"/>
        <v>0</v>
      </c>
      <c r="CZ609" s="1113"/>
      <c r="DA609" s="1114"/>
      <c r="DB609" s="1115" t="s">
        <v>569</v>
      </c>
      <c r="DC609" s="1115"/>
      <c r="DD609" s="1119"/>
      <c r="DE609" s="1092"/>
      <c r="DF609" s="1092"/>
      <c r="DG609" s="1116">
        <f t="shared" si="846"/>
        <v>0</v>
      </c>
      <c r="DH609" s="1116">
        <f t="shared" si="847"/>
        <v>0</v>
      </c>
      <c r="DI609" s="1116">
        <f t="shared" si="848"/>
        <v>0</v>
      </c>
      <c r="DJ609" s="1118">
        <f t="shared" si="871"/>
        <v>0</v>
      </c>
      <c r="DK609" s="1109">
        <f t="shared" si="872"/>
        <v>0</v>
      </c>
      <c r="DL609" s="1101">
        <f t="shared" si="849"/>
        <v>0</v>
      </c>
      <c r="DM609" s="1097">
        <f t="shared" si="850"/>
        <v>0</v>
      </c>
      <c r="DN609" s="1097">
        <f t="shared" si="851"/>
        <v>0</v>
      </c>
      <c r="DO609" s="1097">
        <f t="shared" si="852"/>
        <v>0</v>
      </c>
      <c r="DP609" s="1110">
        <f t="shared" si="853"/>
        <v>0</v>
      </c>
      <c r="DQ609" s="1113" t="s">
        <v>635</v>
      </c>
      <c r="DR609" s="1120">
        <f t="shared" si="877"/>
        <v>0.3</v>
      </c>
      <c r="DS609" s="1124"/>
      <c r="DT609" s="1093" t="s">
        <v>133</v>
      </c>
      <c r="DU609" s="1124"/>
      <c r="DV609" s="1098">
        <f>IF($P609="","N/A",IF(P609=-1,INDEX('卡片raw data'!AN:AN,MATCH(D609,'卡片raw data'!$F:$F,)),0)+IF(AND(L609&lt;&gt;"party卡",P609&lt;=2,P609&gt;=0),INDEX('卡片raw data'!AP:AP,MATCH(D609,'卡片raw data'!$F:$F,)),0)+IF(OR(AND(L609="party卡",P609&lt;=1),AND(P609&lt;=4,L609&lt;&gt;"party卡",P609&gt;=3)),INDEX('卡片raw data'!AQ:AQ,MATCH(D609,'卡片raw data'!$F:$F,)),0)+IF(OR(P609=5,AND(L609="party卡",P609&gt;=2)),INDEX('卡片raw data'!AR:AR,MATCH(D609,'卡片raw data'!$F:$F,)),0))</f>
        <v>0.32</v>
      </c>
      <c r="DW609" s="1098">
        <f t="shared" si="854"/>
        <v>0.3</v>
      </c>
      <c r="DX609" s="1098">
        <f t="shared" si="855"/>
        <v>0.3</v>
      </c>
      <c r="DY609" s="1097">
        <f t="shared" si="856"/>
        <v>507.5323891639041</v>
      </c>
      <c r="DZ609" s="1097">
        <f t="shared" si="857"/>
        <v>439.01551662677701</v>
      </c>
      <c r="EA609" s="1098">
        <f t="shared" si="858"/>
        <v>0</v>
      </c>
      <c r="EB609" s="1121">
        <f t="shared" si="859"/>
        <v>0</v>
      </c>
      <c r="EC609" s="1101">
        <f t="shared" si="860"/>
        <v>0</v>
      </c>
      <c r="ED609" s="1097">
        <f t="shared" si="861"/>
        <v>0</v>
      </c>
      <c r="EE609" s="1110">
        <f t="shared" si="879"/>
        <v>48435.03108962375</v>
      </c>
      <c r="EF609" s="1113" t="s">
        <v>569</v>
      </c>
      <c r="EG609" s="1120">
        <f t="shared" si="878"/>
        <v>0.3</v>
      </c>
      <c r="EH609" s="1124"/>
      <c r="EI609" s="1124"/>
      <c r="EJ609" s="1124"/>
      <c r="EK609" s="1097">
        <f>IF($P609="","N/A",IF(P609=-1,INDEX('卡片raw data'!AS:AS,MATCH(D609,'卡片raw data'!$F:$F,)),0)+IF(AND(L609&lt;&gt;"party卡",P609&lt;=2,P609&gt;=0),INDEX('卡片raw data'!AU:AU,MATCH(D609,'卡片raw data'!$F:$F,)),0)+IF(OR(AND(L609="party卡",P609&lt;=1),AND(P609&lt;=4,L609&lt;&gt;"party卡",P609&gt;=3)),INDEX('卡片raw data'!AV:AV,MATCH(D609,'卡片raw data'!$F:$F,)),0)+IF(OR(P609=5,AND(L609="party卡",P609&gt;=2)),INDEX('卡片raw data'!AW:AW,MATCH(D609,'卡片raw data'!$F:$F,)),0))</f>
        <v>0</v>
      </c>
      <c r="EL609" s="1098">
        <f t="shared" si="862"/>
        <v>0.3</v>
      </c>
      <c r="EM609" s="1098">
        <f t="shared" si="863"/>
        <v>0.3</v>
      </c>
      <c r="EN609" s="1097">
        <f t="shared" si="864"/>
        <v>0</v>
      </c>
      <c r="EO609" s="1097">
        <f t="shared" si="865"/>
        <v>0</v>
      </c>
      <c r="EP609" s="1098">
        <f t="shared" si="866"/>
        <v>0</v>
      </c>
      <c r="EQ609" s="1121">
        <f t="shared" si="867"/>
        <v>0</v>
      </c>
      <c r="ER609" s="1101">
        <f t="shared" si="868"/>
        <v>0</v>
      </c>
      <c r="ES609" s="1097">
        <f t="shared" si="869"/>
        <v>0</v>
      </c>
      <c r="ET609" s="1122">
        <f t="shared" si="880"/>
        <v>0</v>
      </c>
    </row>
    <row r="610" spans="2:150" ht="16.5" customHeight="1">
      <c r="B610" s="1123" t="str">
        <f>INDEX('卡片raw data'!B:B,MATCH($D610,'卡片raw data'!$F:$F,))</f>
        <v>新年爱</v>
      </c>
      <c r="C610" s="1025" t="s">
        <v>4905</v>
      </c>
      <c r="D610" s="408">
        <v>607</v>
      </c>
      <c r="E610" s="1164">
        <v>402053006</v>
      </c>
      <c r="F610" s="1090" t="str">
        <f>INDEX('卡片raw data'!C:C,MATCH($D610,'卡片raw data'!$F:$F,))</f>
        <v>UR</v>
      </c>
      <c r="G610" s="1026" t="s">
        <v>4906</v>
      </c>
      <c r="H610" s="411">
        <f>IFERROR(INDEX(绊状态确认!C:C,MATCH($G610,绊状态确认!$B:$B,)),"")</f>
        <v>205</v>
      </c>
      <c r="I610" s="450" t="str">
        <f>IFERROR(INDEX(绊状态确认!D:D,MATCH($G610,绊状态确认!$B:$B,)),"")</f>
        <v>虹</v>
      </c>
      <c r="J610" s="450" t="str">
        <f>IFERROR(INDEX(绊状态确认!E:E,MATCH($G610,绊状态确认!$B:$B,)),"")</f>
        <v>2年级</v>
      </c>
      <c r="K610" s="451" t="str">
        <f>IFERROR(INDEX(绊状态确认!F:F,MATCH($G610,绊状态确认!$B:$B,)),"")</f>
        <v>Diver Diva</v>
      </c>
      <c r="L610" s="1094" t="str">
        <f>INDEX('卡片raw data'!E:E,MATCH($D610,'卡片raw data'!$F:$F,))</f>
        <v>卡池卡</v>
      </c>
      <c r="M610" s="1065">
        <v>44565</v>
      </c>
      <c r="N610" s="1027">
        <v>55</v>
      </c>
      <c r="O610" s="1091" t="str">
        <f>INDEX('卡片raw data'!D:D,MATCH($D610,'卡片raw data'!$F:$F,))</f>
        <v>vo</v>
      </c>
      <c r="P610" s="1126">
        <v>5</v>
      </c>
      <c r="Q610" s="1095">
        <f t="shared" si="796"/>
        <v>67261.550724621178</v>
      </c>
      <c r="R610" s="1096">
        <f t="shared" si="797"/>
        <v>0.78100000000000003</v>
      </c>
      <c r="S610" s="1097">
        <f t="shared" si="798"/>
        <v>22269.120363336555</v>
      </c>
      <c r="T610" s="1098">
        <f t="shared" si="799"/>
        <v>1.113</v>
      </c>
      <c r="U610" s="1099">
        <f t="shared" si="800"/>
        <v>-5.2520577072571442</v>
      </c>
      <c r="V610" s="1100">
        <f t="shared" si="801"/>
        <v>67557.700450227901</v>
      </c>
      <c r="W610" s="1101">
        <f t="shared" si="802"/>
        <v>9638.0474679884046</v>
      </c>
      <c r="X610" s="1096">
        <f t="shared" si="803"/>
        <v>0.112</v>
      </c>
      <c r="Y610" s="1097">
        <f t="shared" si="804"/>
        <v>1600.818175848437</v>
      </c>
      <c r="Z610" s="1102">
        <f t="shared" si="805"/>
        <v>19.747942292742856</v>
      </c>
      <c r="AA610" s="1103">
        <f t="shared" si="806"/>
        <v>11238.865643836842</v>
      </c>
      <c r="AB610" s="1101">
        <f t="shared" si="807"/>
        <v>10940.278119824805</v>
      </c>
      <c r="AC610" s="1104">
        <f t="shared" si="808"/>
        <v>0.127</v>
      </c>
      <c r="AD610" s="1105">
        <f t="shared" si="809"/>
        <v>0</v>
      </c>
      <c r="AE610" s="1128">
        <f t="shared" si="810"/>
        <v>0</v>
      </c>
      <c r="AF610" s="1130">
        <f t="shared" si="811"/>
        <v>0</v>
      </c>
      <c r="AG610" s="1097">
        <f t="shared" si="812"/>
        <v>0</v>
      </c>
      <c r="AH610" s="1097">
        <f t="shared" si="813"/>
        <v>0</v>
      </c>
      <c r="AI610" s="1097">
        <f t="shared" si="814"/>
        <v>0</v>
      </c>
      <c r="AJ610" s="1097">
        <f t="shared" si="815"/>
        <v>0</v>
      </c>
      <c r="AK610" s="1129">
        <f t="shared" si="816"/>
        <v>0</v>
      </c>
      <c r="AL610" s="1042">
        <f>IF($P610="","N/A",(IF($P610=-1,INDEX('卡片raw data'!S:S,MATCH($D610,'卡片raw data'!$F:$F,)),0)+IF($P610=0,INDEX('卡片raw data'!V:V,MATCH($D610,'卡片raw data'!$F:$F,)),0)+IF($P610=1,INDEX('卡片raw data'!Y:Y,MATCH($D610,'卡片raw data'!$F:$F,)),0)+IF($P610=2,INDEX('卡片raw data'!AB:AB,MATCH($D610,'卡片raw data'!$F:$F,)),0)+IF($P610=3,INDEX('卡片raw data'!AE:AE,MATCH($D610,'卡片raw data'!$F:$F,)),0)+IF($P610=4,INDEX('卡片raw data'!AH:AH,MATCH($D610,'卡片raw data'!$F:$F,)),0)+IF($P610=5,INDEX('卡片raw data'!AK:AK,MATCH($D610,'卡片raw data'!$F:$F,)),0)+INDEX('卡片raw data'!S:S,MATCH($D610,'卡片raw data'!$F:$F,))*(IF($F610="UR",0.04,0.033))*(IF($F610="UR",INDEX(绊状态确认!$S:$S,MATCH($G610,绊状态确认!$B:$B,))/2-40)+IF($F610="SR",INDEX(绊状态确认!$R:$R,MATCH($G610,绊状态确认!$B:$B,))/4-15))+IF($F610="R",INDEX(绊状态确认!$Q:$Q,MATCH($G610,绊状态确认!$B:$B,))/6-40/6)))*(INDEX(绊状态确认!$H:$H,MATCH($G610,绊状态确认!$B:$B,))+INDEX(绊状态确认!J:J,MATCH($G610,绊状态确认!$B:$B,)))</f>
        <v>14210.091071999997</v>
      </c>
      <c r="AM610" s="1035">
        <f>IF($P610="","N/A",(IF($P610=-1,INDEX('卡片raw data'!T:T,MATCH($D610,'卡片raw data'!$F:$F,)),0)+IF($P610=0,INDEX('卡片raw data'!W:W,MATCH($D610,'卡片raw data'!$F:$F,)),0)+IF($P610=1,INDEX('卡片raw data'!Z:Z,MATCH($D610,'卡片raw data'!$F:$F,)),0)+IF($P610=2,INDEX('卡片raw data'!AC:AC,MATCH($D610,'卡片raw data'!$F:$F,)),0)+IF($P610=3,INDEX('卡片raw data'!AF:AF,MATCH($D610,'卡片raw data'!$F:$F,)),0)+IF($P610=4,INDEX('卡片raw data'!AI:AI,MATCH($D610,'卡片raw data'!$F:$F,)),0)+IF($P610=5,INDEX('卡片raw data'!AL:AL,MATCH($D610,'卡片raw data'!$F:$F,)),0)+INDEX('卡片raw data'!T:T,MATCH($D610,'卡片raw data'!$F:$F,))*(IF($F610="UR",0.04,0.033))*(IF($F610="UR",INDEX(绊状态确认!$S:$S,MATCH($G610,绊状态确认!$B:$B,))/2-40)+IF($F610="SR",INDEX(绊状态确认!$R:$R,MATCH($G610,绊状态确认!$B:$B,))/4-15))+IF($F610="R",INDEX(绊状态确认!$Q:$Q,MATCH($G610,绊状态确认!$B:$B,))/6-40/6)))*(INDEX(绊状态确认!$H:$H,MATCH($G610,绊状态确认!$B:$B,))+INDEX(绊状态确认!K:K,MATCH($G610,绊状态确认!$B:$B,)))</f>
        <v>11521.914143999997</v>
      </c>
      <c r="AN610" s="1043">
        <f>IF($P610="","N/A",(IF($P610=-1,INDEX('卡片raw data'!U:U,MATCH($D610,'卡片raw data'!$F:$F,)),0)+IF($P610=0,INDEX('卡片raw data'!X:X,MATCH($D610,'卡片raw data'!$F:$F,)),0)+IF($P610=1,INDEX('卡片raw data'!AA:AA,MATCH($D610,'卡片raw data'!$F:$F,)),0)+IF($P610=2,INDEX('卡片raw data'!AD:AD,MATCH($D610,'卡片raw data'!$F:$F,)),0)+IF($P610=3,INDEX('卡片raw data'!AG:AG,MATCH($D610,'卡片raw data'!$F:$F,)),0)+IF($P610=4,INDEX('卡片raw data'!AJ:AJ,MATCH($D610,'卡片raw data'!$F:$F,)),0)+IF($P610=5,INDEX('卡片raw data'!AM:AM,MATCH($D610,'卡片raw data'!$F:$F,)),0)+INDEX('卡片raw data'!U:U,MATCH($D610,'卡片raw data'!$F:$F,))*(IF($F610="UR",0.04,0.033))*(IF($F610="UR",INDEX(绊状态确认!$S:$S,MATCH($G610,绊状态确认!$B:$B,))/2-40)+IF($F610="SR",INDEX(绊状态确认!$R:$R,MATCH($G610,绊状态确认!$B:$B,))/4-15))+IF($F610="R",INDEX(绊状态确认!$Q:$Q,MATCH($G610,绊状态确认!$B:$B,))/6-40/6)))*(INDEX(绊状态确认!$H:$H,MATCH($G610,绊状态确认!$B:$B,))+INDEX(绊状态确认!L:L,MATCH($G610,绊状态确认!$B:$B,)))</f>
        <v>12673.678271999997</v>
      </c>
      <c r="AO610" s="1167">
        <f t="shared" si="817"/>
        <v>1</v>
      </c>
      <c r="AP610" s="1044">
        <f>1+(INDEX(绊状态确认!$T:$T,MATCH($G610,绊状态确认!$B:$B,))+0.2)*$AO610</f>
        <v>1.3</v>
      </c>
      <c r="AQ610" s="1035">
        <f t="shared" si="818"/>
        <v>40551.489063999994</v>
      </c>
      <c r="AR610" s="1035">
        <f>(AM610*(1+$EX$9)+$EX$35)*(1+(INDEX(绊状态确认!$T:$T,MATCH($G610,绊状态确认!$B:$B,))+0.2)*AO610)*IF(J610=$FF$17,1+$FE$17,1)*IF(I610=$FF$14,1+$FE$14,1)</f>
        <v>18431.412806559998</v>
      </c>
      <c r="AS610" s="1035">
        <f>(AN610*(1+$EX$10)+$EX$36)*(1+(INDEX(绊状态确认!$T:$T,MATCH($G610,绊状态确认!$B:$B,))+0.2)*AO610)*IF(J610=$FF$17,1+$FE$17,1)*IF(I610=$FF$14,1+$FE$14,1)</f>
        <v>23003.149016639996</v>
      </c>
      <c r="AT610" s="1165">
        <f>IF(AND(INDEX('卡片raw data'!AK:AK,MATCH($D610,'卡片raw data'!$F:$F,))&lt;INDEX('卡片raw data'!AM:AM,MATCH($D610,'卡片raw data'!$F:$F,)),INDEX('卡片raw data'!AL:AL,MATCH($D610,'卡片raw data'!$F:$F,))&lt;INDEX('卡片raw data'!AM:AM,MATCH($D610,'卡片raw data'!$F:$F,))),1,0)</f>
        <v>0</v>
      </c>
      <c r="AU610" s="1031">
        <f>MIN(AT610*0.15+AS610*0.00003+INDEX(绊状态确认!M:M,MATCH($G610,绊状态确认!$B:$B,)),1)</f>
        <v>0.72009447049919995</v>
      </c>
      <c r="AV610" s="1045">
        <f>(INDEX(绊状态确认!$N:$N,MATCH($G610,绊状态确认!$B:$B,))+1.5)*$EW$21</f>
        <v>2.6599999999999997</v>
      </c>
      <c r="AW610" s="1038">
        <f t="shared" si="819"/>
        <v>46234.832462038125</v>
      </c>
      <c r="AX610" s="1035">
        <f t="shared" si="820"/>
        <v>1600.8181758484368</v>
      </c>
      <c r="AY610" s="483">
        <f t="shared" si="821"/>
        <v>47835.65063788656</v>
      </c>
      <c r="AZ610" s="1106">
        <f t="shared" si="822"/>
        <v>30309.677590399995</v>
      </c>
      <c r="BA610" s="1108">
        <f t="shared" si="823"/>
        <v>36371.613108479993</v>
      </c>
      <c r="BB610" s="1035">
        <f>(AM610*(1+$FB$9)+$FB$35)*(1+(INDEX(绊状态确认!$T:$T,MATCH($G610,绊状态确认!$B:$B,))+0.2)*AO610)*IF(J610=$FF$17,1+$FE$17,1)*IF(I610=$FF$14,1+$FE$14,1)*(1+$FE$15)</f>
        <v>18431.412806559998</v>
      </c>
      <c r="BC610" s="1035">
        <f>(AN610*(1+$FB$10)+$FB$36)*(1+(INDEX(绊状态确认!$T:$T,MATCH($G610,绊状态确认!$B:$B,))+0.2)*AO610)*IF(J610=$FF$17,1+$FE$17,1)*IF(I610=$FF$14,1+$FE$14,1)*(1+$FE$15)</f>
        <v>23003.149016639996</v>
      </c>
      <c r="BD610" s="481">
        <f>MIN(AT610*0.15+BC610*0.00003+INDEX(绊状态确认!M:M,MATCH($G610,绊状态确认!$B:$B,)),1)</f>
        <v>0.72009447049919995</v>
      </c>
      <c r="BE610" s="1109">
        <f>(INDEX(绊状态确认!$N:$N,MATCH($G610,绊状态确认!$B:$B,))+1.5)</f>
        <v>1.9</v>
      </c>
      <c r="BF610" s="646">
        <f t="array" ref="BF610">SUMPRODUCT(IF(AZ610*AP610*$FI$16:$FI$23*$FA$22&gt;=$FI$24,$FI$24,AZ610*AP610*$FI$16:$FI$23*$FA$22),$FJ$16:$FJ$23)</f>
        <v>56704.142120041593</v>
      </c>
      <c r="BG610" s="1047">
        <f t="array" ref="BG610">SUMPRODUCT(IF(BE610*AZ610*AP610*$FI$16:$FI$23*$FA$22&gt;=$FI$24,$FI$24,BE610*AZ610*AP610*$FI$16:$FI$23*$FA$22),$FJ$16:$FJ$23)</f>
        <v>60000</v>
      </c>
      <c r="BH610" s="1046">
        <f t="shared" si="824"/>
        <v>19692.490384983619</v>
      </c>
      <c r="BI610" s="1048">
        <f>IF(O610="vo",$EW$26/$EW$24*0.05,0)+IF(O610="sk",-$EW$26/$EW$24*(0.05-INDEX(绊状态确认!W:W,MATCH($G610,绊状态确认!$B:$B,)))+0.05*$EW$28,0)+IF(O610="sp",0.05*$EW$32*$EW$30*(1-$EW$33)-(0.05-INDEX(绊状态确认!V:V,MATCH($G610,绊状态确认!$B:$B,)))*$EW$28,0)+IF(O610="gd",-(0.05-INDEX(绊状态确认!X:X,MATCH($G610,绊状态确认!$B:$B,)))*$EW$32*$EW$30*(1-$EW$33),0)</f>
        <v>7726.3029277443748</v>
      </c>
      <c r="BJ610" s="1097">
        <f>IF(O610="vo",0.05*(1-$FI$26)*$FA$24,0)+IF(O610="sk",-(0.05-INDEX(绊状态确认!W:W,MATCH($G610,绊状态确认!$B:$B,)))*(1-$FI$26)*$FA$24+0.05*$FA$26,0)+IF(O610="sp",0.05*$FA$32*$FA$27*(1-$FA$33)/$FA$30+0.05*$FA$29/$FA$69*$FA$27*(1-$FA$33)-(0.05-INDEX(绊状态确认!V:V,MATCH($G610,绊状态确认!$B:$B,)))*$FA$26,0)+IF(O610="gd",-(0.05-INDEX(绊状态确认!X:X,MATCH($G610,绊状态确认!$B:$B,)))*$FA$32*$FA$27*(1-$FA$33)/$FA$30-(0.05-INDEX(绊状态确认!X:X,MATCH($G610,绊状态确认!$B:$B,)))*$FA$29/$FA$69*$FA$27*(1-$FA$33),0)</f>
        <v>393.93433687500004</v>
      </c>
      <c r="BK610" s="1046">
        <f>IF(O610="vo",$EW$26/$EW$24*0.05+$EW$26*(-HP($EW$62,$EW$65,$EW$64)+HP($EW$62,$EW$65,(1.05-INDEX(绊状态确认!U:U,MATCH($G610,绊状态确认!$B:$B,)))*$EW$64)),0)+IF(O610="sk",-$EW$26/$EW$24*(0.05-INDEX(绊状态确认!W:W,MATCH($G610,绊状态确认!$B:$B,)))+0.05*$EW$29,0)+IF(O610="sp",0.05*$EW$32*$EW$30*(1-$EW$33)-(0.05-INDEX(绊状态确认!V:V,MATCH($G610,绊状态确认!$B:$B,)))*$EW$29,0)+IF(O610="gd",-(0.05-INDEX(绊状态确认!X:X,MATCH($G610,绊状态确认!$B:$B,)))*$EW$32*$EW$30*(1-$EW$33)+$EW$26*(-HP($EW$62,$EW$65,$EW$64)+HP($EW$62,$EW$65,0.95*$EW$64)),0)</f>
        <v>6421.6344775026746</v>
      </c>
      <c r="BL610" s="1048">
        <f t="shared" si="825"/>
        <v>0</v>
      </c>
      <c r="BM610" s="1046">
        <f t="shared" si="826"/>
        <v>0</v>
      </c>
      <c r="BN610" s="1167">
        <f t="shared" si="827"/>
        <v>3</v>
      </c>
      <c r="BO610" s="1035">
        <f t="shared" si="828"/>
        <v>4507.7214871259994</v>
      </c>
      <c r="BP610" s="1043">
        <f t="shared" si="829"/>
        <v>221.34103209030098</v>
      </c>
      <c r="BQ610" s="1167" t="s">
        <v>1940</v>
      </c>
      <c r="BR610" s="1165" t="s">
        <v>2075</v>
      </c>
      <c r="BS610" s="1098">
        <f>IF($P610="","N/A",IF($P610=-1,INDEX('卡片raw data'!AX:AX,MATCH($D610,'卡片raw data'!$F:$F,)),0)+IF($L610="party卡",IF($P610=5,INDEX('卡片raw data'!BD:BD,MATCH($D610,'卡片raw data'!$F:$F,)),IF($P610&gt;=3,INDEX('卡片raw data'!BC:BC,MATCH($D610,'卡片raw data'!$F:$F,)),INDEX('卡片raw data'!BB:BB,MATCH($D610,'卡片raw data'!$F:$F,)))),IF(OR(AND($F610="UR",$P610=0),AND($F610="SR",$P610&gt;=0,$P610&lt;=2),AND($F610="R",$P610&gt;=0,$P610&lt;4)),INDEX('卡片raw data'!AZ:AZ,MATCH($D610,'卡片raw data'!$F:$F,)),0)+IF(OR(AND($F610="UR",$P610&gt;=1,$P610&lt;=4),AND($F610="SR",$P610&lt;=4,$P610&gt;=3),AND($F610="R",$P610=4)),INDEX('卡片raw data'!BA:BA,MATCH($D610,'卡片raw data'!$F:$F,)),0)+IF($P610=5,INDEX('卡片raw data'!BB:BB,MATCH($D610,'卡片raw data'!$F:$F,)),0)))</f>
        <v>5.1999999999999998E-2</v>
      </c>
      <c r="BT610" s="1101">
        <f t="shared" si="830"/>
        <v>2604.4613036728001</v>
      </c>
      <c r="BU610" s="1097">
        <f t="shared" si="831"/>
        <v>111.90018844565216</v>
      </c>
      <c r="BV610" s="1097">
        <f t="shared" si="832"/>
        <v>1302.2306518363998</v>
      </c>
      <c r="BW610" s="1112">
        <f t="shared" si="833"/>
        <v>0</v>
      </c>
      <c r="BX610" s="1100">
        <f t="shared" si="834"/>
        <v>2604.4613036728001</v>
      </c>
      <c r="BY610" s="1110">
        <f t="shared" si="835"/>
        <v>1302.2306518363998</v>
      </c>
      <c r="BZ610" s="1113" t="s">
        <v>569</v>
      </c>
      <c r="CA610" s="1124"/>
      <c r="CB610" s="1098">
        <f>IF($P610="","N/A",IF($P610=-1,INDEX('卡片raw data'!BE:BE,MATCH($D610,'卡片raw data'!$F:$F,)),0)+IF($L610="party卡",IF($P610=5,INDEX('卡片raw data'!BK:BK,MATCH($D610,'卡片raw data'!$F:$F,)),IF($P610&gt;=3,INDEX('卡片raw data'!BJ:BJ,MATCH($D610,'卡片raw data'!$F:$F,)),INDEX('卡片raw data'!BI:BI,MATCH($D610,'卡片raw data'!$F:$F,)))),IF(OR(AND($F610="UR",$P610=0),AND($F610="SR",$P610&gt;=0,$P610&lt;=2),AND($F610="R",$P610&gt;=0,$P610&lt;4)),INDEX('卡片raw data'!BG:BG,MATCH($D610,'卡片raw data'!$F:$F,)),0)+IF(OR(AND($F610="UR",$P610&gt;=1,$P610&lt;=4),AND($F610="SR",$P610&lt;=4,$P610&gt;=3),AND($F610="R",$P610=4)),INDEX('卡片raw data'!BH:BH,MATCH($D610,'卡片raw data'!$F:$F,)),0)+IF($P610=5,INDEX('卡片raw data'!BI:BI,MATCH($D610,'卡片raw data'!$F:$F,)),0)))</f>
        <v>0</v>
      </c>
      <c r="CC610" s="1101">
        <f t="shared" si="873"/>
        <v>0</v>
      </c>
      <c r="CD610" s="1097">
        <f>IF(BZ610="ap",CB610*(1-$FI$26)*$FB$5/$FB$11*(+IF(CA610="全员",$FA$24,0)+IF(CA610="同作战",$FA$24,0)+IF(CA610="仲间",$FA$24*2/3,0)+IF(CA610="同属性",$FA$24*$FA$37/3,0)+IF(CA610="同年级",$FA$24*$FA$40/3,0)+IF(CA610="同学校",$FA$24*$FA$43/3,0)+IF(CA610="同小队",$FA$24*$FA$46/3,0)+IF(CA610="同type",$FA$24*INDEX($FB$49:$FB$52,MATCH(X610,$FA$49:$FA$52,))/3,0)+IF(CA610="自身",#REF!/3,0)),0)+IF(BZ610="te",CB610*(1-$FI$27)*($FA$20-1)*$FB$7/$FB$13*(+IF(CA610="全员",$FA$19*$FA$24/(1+($FA$20-1)*$FA$19),0)+IF(CA610="同作战",$FA$19*$FA$24/(1+($FA$20-1)*$FA$19),0)+IF(CA610="仲间",$FA$19*$FA$24*2/3/(1+($FA$20-1)*$FA$19),0)+IF(CA610="同属性",$FA$19*$FA$24*$FA$37/3/(1+($FA$20-1)*$FA$19),0)+IF(CA610="同年级",$FA$19*$FA$24*$FA$40/3/(1+($FA$20-1)*$FA$19),0)+IF(CA610="同学校",$FA$19*$FA$24*$FA$43/3/(1+($FA$20-1)*$FA$19),0)+IF(CA610="同小队",$FA$19*$FA$24*$FA$46/3/(1+($FA$20-1)*$FA$19),0)+IF(CA610="同type",$FA$19*$FA$24*INDEX($FB$49:$FB$52,MATCH(X610,$FA$49:$FA$52,))/3/(1+($FA$20-1)*$FA$19),0)+IF(CA610="自身",$FA$19*#REF!/3/(1+(BH610-1)*$BD610),0)),0)</f>
        <v>0</v>
      </c>
      <c r="CE610" s="1097">
        <f t="shared" si="836"/>
        <v>0</v>
      </c>
      <c r="CF610" s="1112">
        <f t="shared" si="874"/>
        <v>0</v>
      </c>
      <c r="CG610" s="1100">
        <f t="shared" si="837"/>
        <v>0</v>
      </c>
      <c r="CH610" s="1110">
        <f t="shared" si="838"/>
        <v>0</v>
      </c>
      <c r="CI610" s="1113" t="s">
        <v>164</v>
      </c>
      <c r="CJ610" s="1114">
        <v>0.3</v>
      </c>
      <c r="CK610" s="1115" t="s">
        <v>153</v>
      </c>
      <c r="CL610" s="1115" t="s">
        <v>161</v>
      </c>
      <c r="CM610" s="1119">
        <v>0.05</v>
      </c>
      <c r="CN610" s="1115" t="s">
        <v>163</v>
      </c>
      <c r="CO610" s="1092">
        <v>1</v>
      </c>
      <c r="CP610" s="1118">
        <f t="shared" si="839"/>
        <v>2.8151292857142858E-2</v>
      </c>
      <c r="CQ610" s="1118">
        <f t="shared" si="840"/>
        <v>2.8151292857142858E-2</v>
      </c>
      <c r="CR610" s="1118">
        <f t="shared" si="841"/>
        <v>2.8151292857142858E-2</v>
      </c>
      <c r="CS610" s="1118">
        <f t="shared" si="875"/>
        <v>0</v>
      </c>
      <c r="CT610" s="1109">
        <f t="shared" si="876"/>
        <v>0</v>
      </c>
      <c r="CU610" s="1101">
        <f t="shared" si="842"/>
        <v>3828.0953290260063</v>
      </c>
      <c r="CV610" s="1108">
        <f t="shared" si="870"/>
        <v>184.82934806420829</v>
      </c>
      <c r="CW610" s="1097">
        <f t="shared" si="843"/>
        <v>3828.0953290260063</v>
      </c>
      <c r="CX610" s="1097">
        <f t="shared" si="844"/>
        <v>3828.0953290260063</v>
      </c>
      <c r="CY610" s="1110">
        <f t="shared" si="845"/>
        <v>3828.0953290260063</v>
      </c>
      <c r="CZ610" s="1113"/>
      <c r="DA610" s="1114"/>
      <c r="DB610" s="1115" t="s">
        <v>569</v>
      </c>
      <c r="DC610" s="1115"/>
      <c r="DD610" s="1119"/>
      <c r="DE610" s="1092"/>
      <c r="DF610" s="1092"/>
      <c r="DG610" s="1116">
        <f t="shared" si="846"/>
        <v>0</v>
      </c>
      <c r="DH610" s="1116">
        <f t="shared" si="847"/>
        <v>0</v>
      </c>
      <c r="DI610" s="1116">
        <f t="shared" si="848"/>
        <v>0</v>
      </c>
      <c r="DJ610" s="1118">
        <f t="shared" si="871"/>
        <v>0</v>
      </c>
      <c r="DK610" s="1109">
        <f t="shared" si="872"/>
        <v>0</v>
      </c>
      <c r="DL610" s="1101">
        <f t="shared" si="849"/>
        <v>0</v>
      </c>
      <c r="DM610" s="1097">
        <f t="shared" si="850"/>
        <v>0</v>
      </c>
      <c r="DN610" s="1097">
        <f t="shared" si="851"/>
        <v>0</v>
      </c>
      <c r="DO610" s="1097">
        <f t="shared" si="852"/>
        <v>0</v>
      </c>
      <c r="DP610" s="1110">
        <f t="shared" si="853"/>
        <v>0</v>
      </c>
      <c r="DQ610" s="1167" t="s">
        <v>2046</v>
      </c>
      <c r="DR610" s="1120">
        <f t="shared" si="877"/>
        <v>0.33</v>
      </c>
      <c r="DS610" s="1165"/>
      <c r="DT610" s="1124" t="s">
        <v>132</v>
      </c>
      <c r="DU610" s="1124"/>
      <c r="DV610" s="1098">
        <f>IF($P610="","N/A",IF(P610=-1,INDEX('卡片raw data'!AN:AN,MATCH(D610,'卡片raw data'!$F:$F,)),0)+IF(AND(L610&lt;&gt;"party卡",P610&lt;=2,P610&gt;=0),INDEX('卡片raw data'!AP:AP,MATCH(D610,'卡片raw data'!$F:$F,)),0)+IF(OR(AND(L610="party卡",P610&lt;=1),AND(P610&lt;=4,L610&lt;&gt;"party卡",P610&gt;=3)),INDEX('卡片raw data'!AQ:AQ,MATCH(D610,'卡片raw data'!$F:$F,)),0)+IF(OR(P610=5,AND(L610="party卡",P610&gt;=2)),INDEX('卡片raw data'!AR:AR,MATCH(D610,'卡片raw data'!$F:$F,)),0))</f>
        <v>0.37</v>
      </c>
      <c r="DW610" s="1098">
        <f t="shared" si="854"/>
        <v>0.33</v>
      </c>
      <c r="DX610" s="1098">
        <f t="shared" si="855"/>
        <v>0.33</v>
      </c>
      <c r="DY610" s="1097">
        <f t="shared" si="856"/>
        <v>2145.5792863762395</v>
      </c>
      <c r="DZ610" s="1097">
        <f t="shared" si="857"/>
        <v>1664.62507287777</v>
      </c>
      <c r="EA610" s="1098">
        <f t="shared" si="858"/>
        <v>0</v>
      </c>
      <c r="EB610" s="1121">
        <f t="shared" si="859"/>
        <v>0</v>
      </c>
      <c r="EC610" s="1101">
        <f t="shared" si="860"/>
        <v>2360.1372150138636</v>
      </c>
      <c r="ED610" s="1097">
        <f t="shared" si="861"/>
        <v>1664.62507287777</v>
      </c>
      <c r="EE610" s="1110">
        <f t="shared" si="879"/>
        <v>2360.1372150138636</v>
      </c>
      <c r="EF610" s="1113" t="s">
        <v>569</v>
      </c>
      <c r="EG610" s="1120">
        <f t="shared" si="878"/>
        <v>0.33</v>
      </c>
      <c r="EH610" s="1124"/>
      <c r="EI610" s="1124"/>
      <c r="EJ610" s="1124"/>
      <c r="EK610" s="1097">
        <f>IF($P610="","N/A",IF(P610=-1,INDEX('卡片raw data'!AS:AS,MATCH(D610,'卡片raw data'!$F:$F,)),0)+IF(AND(L610&lt;&gt;"party卡",P610&lt;=2,P610&gt;=0),INDEX('卡片raw data'!AU:AU,MATCH(D610,'卡片raw data'!$F:$F,)),0)+IF(OR(AND(L610="party卡",P610&lt;=1),AND(P610&lt;=4,L610&lt;&gt;"party卡",P610&gt;=3)),INDEX('卡片raw data'!AV:AV,MATCH(D610,'卡片raw data'!$F:$F,)),0)+IF(OR(P610=5,AND(L610="party卡",P610&gt;=2)),INDEX('卡片raw data'!AW:AW,MATCH(D610,'卡片raw data'!$F:$F,)),0))</f>
        <v>0</v>
      </c>
      <c r="EL610" s="1098">
        <f t="shared" si="862"/>
        <v>0.33</v>
      </c>
      <c r="EM610" s="1098">
        <f t="shared" si="863"/>
        <v>0.33</v>
      </c>
      <c r="EN610" s="1097">
        <f t="shared" si="864"/>
        <v>0</v>
      </c>
      <c r="EO610" s="1097">
        <f t="shared" si="865"/>
        <v>0</v>
      </c>
      <c r="EP610" s="1098">
        <f t="shared" si="866"/>
        <v>0</v>
      </c>
      <c r="EQ610" s="1121">
        <f t="shared" si="867"/>
        <v>0</v>
      </c>
      <c r="ER610" s="1101">
        <f t="shared" si="868"/>
        <v>0</v>
      </c>
      <c r="ES610" s="1097">
        <f t="shared" si="869"/>
        <v>0</v>
      </c>
      <c r="ET610" s="1122">
        <f t="shared" si="880"/>
        <v>0</v>
      </c>
    </row>
    <row r="611" spans="2:150" ht="16.5" customHeight="1">
      <c r="B611" s="1123" t="str">
        <f>INDEX('卡片raw data'!B:B,MATCH($D611,'卡片raw data'!$F:$F,))</f>
        <v>新年艾</v>
      </c>
      <c r="C611" s="1025" t="s">
        <v>4895</v>
      </c>
      <c r="D611" s="408">
        <v>608</v>
      </c>
      <c r="E611" s="1164">
        <v>402083004</v>
      </c>
      <c r="F611" s="1090" t="str">
        <f>INDEX('卡片raw data'!C:C,MATCH($D611,'卡片raw data'!$F:$F,))</f>
        <v>UR</v>
      </c>
      <c r="G611" s="1026" t="s">
        <v>4909</v>
      </c>
      <c r="H611" s="411">
        <f>IFERROR(INDEX(绊状态确认!C:C,MATCH($G611,绊状态确认!$B:$B,)),"")</f>
        <v>208</v>
      </c>
      <c r="I611" s="450" t="str">
        <f>IFERROR(INDEX(绊状态确认!D:D,MATCH($G611,绊状态确认!$B:$B,)),"")</f>
        <v>虹</v>
      </c>
      <c r="J611" s="450" t="str">
        <f>IFERROR(INDEX(绊状态确认!E:E,MATCH($G611,绊状态确认!$B:$B,)),"")</f>
        <v>3年级</v>
      </c>
      <c r="K611" s="451" t="str">
        <f>IFERROR(INDEX(绊状态确认!F:F,MATCH($G611,绊状态确认!$B:$B,)),"")</f>
        <v>QU4RTZ</v>
      </c>
      <c r="L611" s="1094" t="str">
        <f>INDEX('卡片raw data'!E:E,MATCH($D611,'卡片raw data'!$F:$F,))</f>
        <v>活动卡</v>
      </c>
      <c r="M611" s="1065">
        <v>44565</v>
      </c>
      <c r="N611" s="1027">
        <v>55</v>
      </c>
      <c r="O611" s="1091" t="str">
        <f>INDEX('卡片raw data'!D:D,MATCH($D611,'卡片raw data'!$F:$F,))</f>
        <v>gd</v>
      </c>
      <c r="P611" s="1126">
        <v>5</v>
      </c>
      <c r="Q611" s="1095">
        <f t="shared" si="796"/>
        <v>29469.482330298197</v>
      </c>
      <c r="R611" s="1096">
        <f t="shared" si="797"/>
        <v>0.34200000000000003</v>
      </c>
      <c r="S611" s="1097">
        <f t="shared" si="798"/>
        <v>16384.052527598233</v>
      </c>
      <c r="T611" s="1098">
        <f t="shared" si="799"/>
        <v>0.81899999999999995</v>
      </c>
      <c r="U611" s="1099">
        <f t="shared" si="800"/>
        <v>736.0589435712867</v>
      </c>
      <c r="V611" s="1100">
        <f t="shared" si="801"/>
        <v>81720.635424300039</v>
      </c>
      <c r="W611" s="1101">
        <f t="shared" si="802"/>
        <v>4780.4487598532723</v>
      </c>
      <c r="X611" s="1096">
        <f t="shared" si="803"/>
        <v>5.5E-2</v>
      </c>
      <c r="Y611" s="1097">
        <f t="shared" si="804"/>
        <v>2221.5272318604657</v>
      </c>
      <c r="Z611" s="1102">
        <f t="shared" si="805"/>
        <v>27.387178679742853</v>
      </c>
      <c r="AA611" s="1103">
        <f t="shared" si="806"/>
        <v>7001.975991713738</v>
      </c>
      <c r="AB611" s="1101">
        <f t="shared" si="807"/>
        <v>4780.4487598532723</v>
      </c>
      <c r="AC611" s="1104">
        <f t="shared" si="808"/>
        <v>5.5E-2</v>
      </c>
      <c r="AD611" s="1105">
        <f t="shared" si="809"/>
        <v>8.5416666666666662E-3</v>
      </c>
      <c r="AE611" s="1128">
        <f t="shared" si="810"/>
        <v>-2.0947349751697573</v>
      </c>
      <c r="AF611" s="1130">
        <f t="shared" si="811"/>
        <v>9772.8628460985583</v>
      </c>
      <c r="AG611" s="1097">
        <f t="shared" si="812"/>
        <v>90871.108232240018</v>
      </c>
      <c r="AH611" s="1097">
        <f t="shared" si="813"/>
        <v>9.2983099899449453</v>
      </c>
      <c r="AI611" s="1097">
        <f t="shared" si="814"/>
        <v>110525.51009164118</v>
      </c>
      <c r="AJ611" s="1097">
        <f t="shared" si="815"/>
        <v>81720.635424300039</v>
      </c>
      <c r="AK611" s="1129">
        <f t="shared" si="816"/>
        <v>28804.874667341137</v>
      </c>
      <c r="AL611" s="1042">
        <f>IF($P611="","N/A",(IF($P611=-1,INDEX('卡片raw data'!S:S,MATCH($D611,'卡片raw data'!$F:$F,)),0)+IF($P611=0,INDEX('卡片raw data'!V:V,MATCH($D611,'卡片raw data'!$F:$F,)),0)+IF($P611=1,INDEX('卡片raw data'!Y:Y,MATCH($D611,'卡片raw data'!$F:$F,)),0)+IF($P611=2,INDEX('卡片raw data'!AB:AB,MATCH($D611,'卡片raw data'!$F:$F,)),0)+IF($P611=3,INDEX('卡片raw data'!AE:AE,MATCH($D611,'卡片raw data'!$F:$F,)),0)+IF($P611=4,INDEX('卡片raw data'!AH:AH,MATCH($D611,'卡片raw data'!$F:$F,)),0)+IF($P611=5,INDEX('卡片raw data'!AK:AK,MATCH($D611,'卡片raw data'!$F:$F,)),0)+INDEX('卡片raw data'!S:S,MATCH($D611,'卡片raw data'!$F:$F,))*(IF($F611="UR",0.04,0.033))*(IF($F611="UR",INDEX(绊状态确认!$S:$S,MATCH($G611,绊状态确认!$B:$B,))/2-40)+IF($F611="SR",INDEX(绊状态确认!$R:$R,MATCH($G611,绊状态确认!$B:$B,))/4-15))+IF($F611="R",INDEX(绊状态确认!$Q:$Q,MATCH($G611,绊状态确认!$B:$B,))/6-40/6)))*(INDEX(绊状态确认!$H:$H,MATCH($G611,绊状态确认!$B:$B,))+INDEX(绊状态确认!J:J,MATCH($G611,绊状态确认!$B:$B,)))</f>
        <v>7976.3461439999992</v>
      </c>
      <c r="AM611" s="1035">
        <f>IF($P611="","N/A",(IF($P611=-1,INDEX('卡片raw data'!T:T,MATCH($D611,'卡片raw data'!$F:$F,)),0)+IF($P611=0,INDEX('卡片raw data'!W:W,MATCH($D611,'卡片raw data'!$F:$F,)),0)+IF($P611=1,INDEX('卡片raw data'!Z:Z,MATCH($D611,'卡片raw data'!$F:$F,)),0)+IF($P611=2,INDEX('卡片raw data'!AC:AC,MATCH($D611,'卡片raw data'!$F:$F,)),0)+IF($P611=3,INDEX('卡片raw data'!AF:AF,MATCH($D611,'卡片raw data'!$F:$F,)),0)+IF($P611=4,INDEX('卡片raw data'!AI:AI,MATCH($D611,'卡片raw data'!$F:$F,)),0)+IF($P611=5,INDEX('卡片raw data'!AL:AL,MATCH($D611,'卡片raw data'!$F:$F,)),0)+INDEX('卡片raw data'!T:T,MATCH($D611,'卡片raw data'!$F:$F,))*(IF($F611="UR",0.04,0.033))*(IF($F611="UR",INDEX(绊状态确认!$S:$S,MATCH($G611,绊状态确认!$B:$B,))/2-40)+IF($F611="SR",INDEX(绊状态确认!$R:$R,MATCH($G611,绊状态确认!$B:$B,))/4-15))+IF($F611="R",INDEX(绊状态确认!$Q:$Q,MATCH($G611,绊状态确认!$B:$B,))/6-40/6)))*(INDEX(绊状态确认!$H:$H,MATCH($G611,绊状态确认!$B:$B,))+INDEX(绊状态确认!K:K,MATCH($G611,绊状态确认!$B:$B,)))</f>
        <v>13719.939023999998</v>
      </c>
      <c r="AN611" s="1043">
        <f>IF($P611="","N/A",(IF($P611=-1,INDEX('卡片raw data'!U:U,MATCH($D611,'卡片raw data'!$F:$F,)),0)+IF($P611=0,INDEX('卡片raw data'!X:X,MATCH($D611,'卡片raw data'!$F:$F,)),0)+IF($P611=1,INDEX('卡片raw data'!AA:AA,MATCH($D611,'卡片raw data'!$F:$F,)),0)+IF($P611=2,INDEX('卡片raw data'!AD:AD,MATCH($D611,'卡片raw data'!$F:$F,)),0)+IF($P611=3,INDEX('卡片raw data'!AG:AG,MATCH($D611,'卡片raw data'!$F:$F,)),0)+IF($P611=4,INDEX('卡片raw data'!AJ:AJ,MATCH($D611,'卡片raw data'!$F:$F,)),0)+IF($P611=5,INDEX('卡片raw data'!AM:AM,MATCH($D611,'卡片raw data'!$F:$F,)),0)+INDEX('卡片raw data'!U:U,MATCH($D611,'卡片raw data'!$F:$F,))*(IF($F611="UR",0.04,0.033))*(IF($F611="UR",INDEX(绊状态确认!$S:$S,MATCH($G611,绊状态确认!$B:$B,))/2-40)+IF($F611="SR",INDEX(绊状态确认!$R:$R,MATCH($G611,绊状态确认!$B:$B,))/4-15))+IF($F611="R",INDEX(绊状态确认!$Q:$Q,MATCH($G611,绊状态确认!$B:$B,))/6-40/6)))*(INDEX(绊状态确认!$H:$H,MATCH($G611,绊状态确认!$B:$B,))+INDEX(绊状态确认!L:L,MATCH($G611,绊状态确认!$B:$B,)))</f>
        <v>10210.326719999997</v>
      </c>
      <c r="AO611" s="1167">
        <f t="shared" si="817"/>
        <v>1</v>
      </c>
      <c r="AP611" s="1044">
        <f>1+(INDEX(绊状态确认!$T:$T,MATCH($G611,绊状态确认!$B:$B,))+0.2)*$AO611</f>
        <v>1.3</v>
      </c>
      <c r="AQ611" s="1035">
        <f t="shared" si="818"/>
        <v>24187.908628000001</v>
      </c>
      <c r="AR611" s="1035">
        <f>(AM611*(1+$EX$9)+$EX$35)*(1+(INDEX(绊状态确认!$T:$T,MATCH($G611,绊状态确认!$B:$B,))+0.2)*AO611)*IF(J611=$FF$17,1+$FE$17,1)*IF(I611=$FF$14,1+$FE$14,1)</f>
        <v>21431.716767759997</v>
      </c>
      <c r="AS611" s="1035">
        <f>(AN611*(1+$EX$10)+$EX$36)*(1+(INDEX(绊状态确认!$T:$T,MATCH($G611,绊状态确认!$B:$B,))+0.2)*AO611)*IF(J611=$FF$17,1+$FE$17,1)*IF(I611=$FF$14,1+$FE$14,1)</f>
        <v>19320.438446399996</v>
      </c>
      <c r="AT611" s="1165">
        <f>IF(AND(INDEX('卡片raw data'!AK:AK,MATCH($D611,'卡片raw data'!$F:$F,))&lt;INDEX('卡片raw data'!AM:AM,MATCH($D611,'卡片raw data'!$F:$F,)),INDEX('卡片raw data'!AL:AL,MATCH($D611,'卡片raw data'!$F:$F,))&lt;INDEX('卡片raw data'!AM:AM,MATCH($D611,'卡片raw data'!$F:$F,))),1,0)</f>
        <v>0</v>
      </c>
      <c r="AU611" s="1031">
        <f>MIN(AT611*0.15+AS611*0.00003+INDEX(绊状态确认!M:M,MATCH($G611,绊状态确认!$B:$B,)),1)</f>
        <v>0.60961315339199995</v>
      </c>
      <c r="AV611" s="1045">
        <f>(INDEX(绊状态确认!$N:$N,MATCH($G611,绊状态确认!$B:$B,))+1.5)*$EW$21</f>
        <v>2.6599999999999997</v>
      </c>
      <c r="AW611" s="1038">
        <f t="shared" si="819"/>
        <v>25274.033570444924</v>
      </c>
      <c r="AX611" s="1035">
        <f t="shared" si="820"/>
        <v>1873.9461407988731</v>
      </c>
      <c r="AY611" s="483">
        <f t="shared" si="821"/>
        <v>27147.979711243799</v>
      </c>
      <c r="AZ611" s="1106">
        <f t="shared" si="822"/>
        <v>18153.874980799999</v>
      </c>
      <c r="BA611" s="1108">
        <f t="shared" si="823"/>
        <v>21784.649976959998</v>
      </c>
      <c r="BB611" s="1035">
        <f>(AM611*(1+$FB$9)+$FB$35)*(1+(INDEX(绊状态确认!$T:$T,MATCH($G611,绊状态确认!$B:$B,))+0.2)*AO611)*IF(J611=$FF$17,1+$FE$17,1)*IF(I611=$FF$14,1+$FE$14,1)*(1+$FE$15)</f>
        <v>21431.716767759997</v>
      </c>
      <c r="BC611" s="1035">
        <f>(AN611*(1+$FB$10)+$FB$36)*(1+(INDEX(绊状态确认!$T:$T,MATCH($G611,绊状态确认!$B:$B,))+0.2)*AO611)*IF(J611=$FF$17,1+$FE$17,1)*IF(I611=$FF$14,1+$FE$14,1)*(1+$FE$15)</f>
        <v>19320.438446399996</v>
      </c>
      <c r="BD611" s="481">
        <f>MIN(AT611*0.15+BC611*0.00003+INDEX(绊状态确认!M:M,MATCH($G611,绊状态确认!$B:$B,)),1)</f>
        <v>0.60961315339199995</v>
      </c>
      <c r="BE611" s="1109">
        <f>(INDEX(绊状态确认!$N:$N,MATCH($G611,绊状态确认!$B:$B,))+1.5)</f>
        <v>1.9</v>
      </c>
      <c r="BF611" s="646">
        <f t="array" ref="BF611">SUMPRODUCT(IF(AZ611*AP611*$FI$16:$FI$23*$FA$22&gt;=$FI$24,$FI$24,AZ611*AP611*$FI$16:$FI$23*$FA$22),$FJ$16:$FJ$23)</f>
        <v>36108.057336811202</v>
      </c>
      <c r="BG611" s="1047">
        <f t="array" ref="BG611">SUMPRODUCT(IF(BE611*AZ611*AP611*$FI$16:$FI$23*$FA$22&gt;=$FI$24,$FI$24,BE611*AZ611*AP611*$FI$16:$FI$23*$FA$22),$FJ$16:$FJ$23)</f>
        <v>59210.017800643996</v>
      </c>
      <c r="BH611" s="1046">
        <f t="shared" si="824"/>
        <v>16730.438768235206</v>
      </c>
      <c r="BI611" s="1048">
        <f>IF(O611="vo",$EW$26/$EW$24*0.05,0)+IF(O611="sk",-$EW$26/$EW$24*(0.05-INDEX(绊状态确认!W:W,MATCH($G611,绊状态确认!$B:$B,)))+0.05*$EW$28,0)+IF(O611="sp",0.05*$EW$32*$EW$30*(1-$EW$33)-(0.05-INDEX(绊状态确认!V:V,MATCH($G611,绊状态确认!$B:$B,)))*$EW$28,0)+IF(O611="gd",-(0.05-INDEX(绊状态确认!X:X,MATCH($G611,绊状态确认!$B:$B,)))*$EW$32*$EW$30*(1-$EW$33),0)</f>
        <v>-585.00000000000011</v>
      </c>
      <c r="BJ611" s="1097">
        <f>IF(O611="vo",0.05*(1-$FI$26)*$FA$24,0)+IF(O611="sk",-(0.05-INDEX(绊状态确认!W:W,MATCH($G611,绊状态确认!$B:$B,)))*(1-$FI$26)*$FA$24+0.05*$FA$26,0)+IF(O611="sp",0.05*$FA$32*$FA$27*(1-$FA$33)/$FA$30+0.05*$FA$29/$FA$69*$FA$27*(1-$FA$33)-(0.05-INDEX(绊状态确认!V:V,MATCH($G611,绊状态确认!$B:$B,)))*$FA$26,0)+IF(O611="gd",-(0.05-INDEX(绊状态确认!X:X,MATCH($G611,绊状态确认!$B:$B,)))*$FA$32*$FA$27*(1-$FA$33)/$FA$30-(0.05-INDEX(绊状态确认!X:X,MATCH($G611,绊状态确认!$B:$B,)))*$FA$29/$FA$69*$FA$27*(1-$FA$33),0)</f>
        <v>-795.00000000000011</v>
      </c>
      <c r="BK611" s="1046">
        <f>IF(O611="vo",$EW$26/$EW$24*0.05+$EW$26*(-HP($EW$62,$EW$65,$EW$64)+HP($EW$62,$EW$65,(1.05-INDEX(绊状态确认!U:U,MATCH($G611,绊状态确认!$B:$B,)))*$EW$64)),0)+IF(O611="sk",-$EW$26/$EW$24*(0.05-INDEX(绊状态确认!W:W,MATCH($G611,绊状态确认!$B:$B,)))+0.05*$EW$29,0)+IF(O611="sp",0.05*$EW$32*$EW$30*(1-$EW$33)-(0.05-INDEX(绊状态确认!V:V,MATCH($G611,绊状态确认!$B:$B,)))*$EW$29,0)+IF(O611="gd",-(0.05-INDEX(绊状态确认!X:X,MATCH($G611,绊状态确认!$B:$B,)))*$EW$32*$EW$30*(1-$EW$33)+$EW$26*(-HP($EW$62,$EW$65,$EW$64)+HP($EW$62,$EW$65,0.95*$EW$64)),0)</f>
        <v>1009.5947725176144</v>
      </c>
      <c r="BL611" s="1048">
        <f t="shared" si="825"/>
        <v>0</v>
      </c>
      <c r="BM611" s="1046">
        <f t="shared" si="826"/>
        <v>0</v>
      </c>
      <c r="BN611" s="1167">
        <f t="shared" si="827"/>
        <v>3</v>
      </c>
      <c r="BO611" s="1035">
        <f t="shared" si="828"/>
        <v>4507.7214871259994</v>
      </c>
      <c r="BP611" s="1043">
        <f t="shared" si="829"/>
        <v>221.34103209030098</v>
      </c>
      <c r="BQ611" s="1113" t="s">
        <v>133</v>
      </c>
      <c r="BR611" s="1124" t="s">
        <v>161</v>
      </c>
      <c r="BS611" s="1098">
        <f>IF($P611="","N/A",IF($P611=-1,INDEX('卡片raw data'!AX:AX,MATCH($D611,'卡片raw data'!$F:$F,)),0)+IF($L611="party卡",IF($P611=5,INDEX('卡片raw data'!BD:BD,MATCH($D611,'卡片raw data'!$F:$F,)),IF($P611&gt;=3,INDEX('卡片raw data'!BC:BC,MATCH($D611,'卡片raw data'!$F:$F,)),INDEX('卡片raw data'!BB:BB,MATCH($D611,'卡片raw data'!$F:$F,)))),IF(OR(AND($F611="UR",$P611=0),AND($F611="SR",$P611&gt;=0,$P611&lt;=2),AND($F611="R",$P611&gt;=0,$P611&lt;4)),INDEX('卡片raw data'!AZ:AZ,MATCH($D611,'卡片raw data'!$F:$F,)),0)+IF(OR(AND($F611="UR",$P611&gt;=1,$P611&lt;=4),AND($F611="SR",$P611&lt;=4,$P611&gt;=3),AND($F611="R",$P611=4)),INDEX('卡片raw data'!BA:BA,MATCH($D611,'卡片raw data'!$F:$F,)),0)+IF($P611=5,INDEX('卡片raw data'!BB:BB,MATCH($D611,'卡片raw data'!$F:$F,)),0)))</f>
        <v>4.2000000000000003E-2</v>
      </c>
      <c r="BT611" s="1101">
        <f t="shared" si="830"/>
        <v>0</v>
      </c>
      <c r="BU611" s="1097">
        <f t="shared" si="831"/>
        <v>0</v>
      </c>
      <c r="BV611" s="1097">
        <f t="shared" si="832"/>
        <v>0</v>
      </c>
      <c r="BW611" s="1112">
        <f t="shared" si="833"/>
        <v>4.4246249999999989</v>
      </c>
      <c r="BX611" s="1100">
        <f t="shared" si="834"/>
        <v>347.58109106159276</v>
      </c>
      <c r="BY611" s="1110">
        <f t="shared" si="835"/>
        <v>347.58109106159276</v>
      </c>
      <c r="BZ611" s="1113" t="s">
        <v>569</v>
      </c>
      <c r="CA611" s="1124"/>
      <c r="CB611" s="1098">
        <f>IF($P611="","N/A",IF($P611=-1,INDEX('卡片raw data'!BE:BE,MATCH($D611,'卡片raw data'!$F:$F,)),0)+IF($L611="party卡",IF($P611=5,INDEX('卡片raw data'!BK:BK,MATCH($D611,'卡片raw data'!$F:$F,)),IF($P611&gt;=3,INDEX('卡片raw data'!BJ:BJ,MATCH($D611,'卡片raw data'!$F:$F,)),INDEX('卡片raw data'!BI:BI,MATCH($D611,'卡片raw data'!$F:$F,)))),IF(OR(AND($F611="UR",$P611=0),AND($F611="SR",$P611&gt;=0,$P611&lt;=2),AND($F611="R",$P611&gt;=0,$P611&lt;4)),INDEX('卡片raw data'!BG:BG,MATCH($D611,'卡片raw data'!$F:$F,)),0)+IF(OR(AND($F611="UR",$P611&gt;=1,$P611&lt;=4),AND($F611="SR",$P611&lt;=4,$P611&gt;=3),AND($F611="R",$P611=4)),INDEX('卡片raw data'!BH:BH,MATCH($D611,'卡片raw data'!$F:$F,)),0)+IF($P611=5,INDEX('卡片raw data'!BI:BI,MATCH($D611,'卡片raw data'!$F:$F,)),0)))</f>
        <v>0</v>
      </c>
      <c r="CC611" s="1101">
        <f t="shared" si="873"/>
        <v>0</v>
      </c>
      <c r="CD611" s="1097">
        <f>IF(BZ611="ap",CB611*(1-$FI$26)*$FB$5/$FB$11*(+IF(CA611="全员",$FA$24,0)+IF(CA611="同作战",$FA$24,0)+IF(CA611="仲间",$FA$24*2/3,0)+IF(CA611="同属性",$FA$24*$FA$37/3,0)+IF(CA611="同年级",$FA$24*$FA$40/3,0)+IF(CA611="同学校",$FA$24*$FA$43/3,0)+IF(CA611="同小队",$FA$24*$FA$46/3,0)+IF(CA611="同type",$FA$24*INDEX($FB$49:$FB$52,MATCH(X611,$FA$49:$FA$52,))/3,0)+IF(CA611="自身",#REF!/3,0)),0)+IF(BZ611="te",CB611*(1-$FI$27)*($FA$20-1)*$FB$7/$FB$13*(+IF(CA611="全员",$FA$19*$FA$24/(1+($FA$20-1)*$FA$19),0)+IF(CA611="同作战",$FA$19*$FA$24/(1+($FA$20-1)*$FA$19),0)+IF(CA611="仲间",$FA$19*$FA$24*2/3/(1+($FA$20-1)*$FA$19),0)+IF(CA611="同属性",$FA$19*$FA$24*$FA$37/3/(1+($FA$20-1)*$FA$19),0)+IF(CA611="同年级",$FA$19*$FA$24*$FA$40/3/(1+($FA$20-1)*$FA$19),0)+IF(CA611="同学校",$FA$19*$FA$24*$FA$43/3/(1+($FA$20-1)*$FA$19),0)+IF(CA611="同小队",$FA$19*$FA$24*$FA$46/3/(1+($FA$20-1)*$FA$19),0)+IF(CA611="同type",$FA$19*$FA$24*INDEX($FB$49:$FB$52,MATCH(X611,$FA$49:$FA$52,))/3/(1+($FA$20-1)*$FA$19),0)+IF(CA611="自身",$FA$19*#REF!/3/(1+(BH611-1)*$BD611),0)),0)</f>
        <v>0</v>
      </c>
      <c r="CE611" s="1097">
        <f t="shared" si="836"/>
        <v>0</v>
      </c>
      <c r="CF611" s="1112">
        <f t="shared" si="874"/>
        <v>0</v>
      </c>
      <c r="CG611" s="1100">
        <f t="shared" si="837"/>
        <v>0</v>
      </c>
      <c r="CH611" s="1110">
        <f t="shared" si="838"/>
        <v>0</v>
      </c>
      <c r="CI611" s="1113" t="s">
        <v>162</v>
      </c>
      <c r="CJ611" s="1114">
        <v>1</v>
      </c>
      <c r="CK611" s="1115" t="s">
        <v>295</v>
      </c>
      <c r="CL611" s="1115" t="s">
        <v>161</v>
      </c>
      <c r="CM611" s="1119">
        <v>0.06</v>
      </c>
      <c r="CN611" s="1115">
        <v>5</v>
      </c>
      <c r="CO611" s="1115"/>
      <c r="CP611" s="1118">
        <f t="shared" si="839"/>
        <v>6.4285714285714276E-3</v>
      </c>
      <c r="CQ611" s="1118">
        <f t="shared" si="840"/>
        <v>9.9999999999999985E-3</v>
      </c>
      <c r="CR611" s="1118">
        <f t="shared" si="841"/>
        <v>6.4285714285714276E-3</v>
      </c>
      <c r="CS611" s="1118">
        <f t="shared" si="875"/>
        <v>8.5416666666666662E-3</v>
      </c>
      <c r="CT611" s="1109">
        <f t="shared" si="876"/>
        <v>0</v>
      </c>
      <c r="CU611" s="1101">
        <f t="shared" si="842"/>
        <v>272.72727272727269</v>
      </c>
      <c r="CV611" s="1108">
        <f t="shared" si="870"/>
        <v>227.27272727272722</v>
      </c>
      <c r="CW611" s="1097">
        <f t="shared" si="843"/>
        <v>272.72727272727269</v>
      </c>
      <c r="CX611" s="1097">
        <f t="shared" si="844"/>
        <v>272.72727272727269</v>
      </c>
      <c r="CY611" s="1110">
        <f t="shared" si="845"/>
        <v>272.72727272727269</v>
      </c>
      <c r="CZ611" s="1113"/>
      <c r="DA611" s="1114"/>
      <c r="DB611" s="1115" t="s">
        <v>569</v>
      </c>
      <c r="DC611" s="1115"/>
      <c r="DD611" s="1119"/>
      <c r="DE611" s="1092"/>
      <c r="DF611" s="1092"/>
      <c r="DG611" s="1116">
        <f t="shared" si="846"/>
        <v>0</v>
      </c>
      <c r="DH611" s="1116">
        <f t="shared" si="847"/>
        <v>0</v>
      </c>
      <c r="DI611" s="1116">
        <f t="shared" si="848"/>
        <v>0</v>
      </c>
      <c r="DJ611" s="1118">
        <f t="shared" si="871"/>
        <v>0</v>
      </c>
      <c r="DK611" s="1109">
        <f t="shared" si="872"/>
        <v>0</v>
      </c>
      <c r="DL611" s="1101">
        <f t="shared" si="849"/>
        <v>0</v>
      </c>
      <c r="DM611" s="1097">
        <f t="shared" si="850"/>
        <v>0</v>
      </c>
      <c r="DN611" s="1097">
        <f t="shared" si="851"/>
        <v>0</v>
      </c>
      <c r="DO611" s="1097">
        <f t="shared" si="852"/>
        <v>0</v>
      </c>
      <c r="DP611" s="1110">
        <f t="shared" si="853"/>
        <v>0</v>
      </c>
      <c r="DQ611" s="1113" t="s">
        <v>635</v>
      </c>
      <c r="DR611" s="1120">
        <f t="shared" si="877"/>
        <v>0.33</v>
      </c>
      <c r="DS611" s="1124"/>
      <c r="DT611" s="1093" t="s">
        <v>133</v>
      </c>
      <c r="DU611" s="1124"/>
      <c r="DV611" s="1098">
        <f>IF($P611="","N/A",IF(P611=-1,INDEX('卡片raw data'!AN:AN,MATCH(D611,'卡片raw data'!$F:$F,)),0)+IF(AND(L611&lt;&gt;"party卡",P611&lt;=2,P611&gt;=0),INDEX('卡片raw data'!AP:AP,MATCH(D611,'卡片raw data'!$F:$F,)),0)+IF(OR(AND(L611="party卡",P611&lt;=1),AND(P611&lt;=4,L611&lt;&gt;"party卡",P611&gt;=3)),INDEX('卡片raw data'!AQ:AQ,MATCH(D611,'卡片raw data'!$F:$F,)),0)+IF(OR(P611=5,AND(L611="party卡",P611&gt;=2)),INDEX('卡片raw data'!AR:AR,MATCH(D611,'卡片raw data'!$F:$F,)),0))</f>
        <v>0.28999999999999998</v>
      </c>
      <c r="DW611" s="1098">
        <f t="shared" si="854"/>
        <v>0.33</v>
      </c>
      <c r="DX611" s="1098">
        <f t="shared" si="855"/>
        <v>0.33</v>
      </c>
      <c r="DY611" s="1097">
        <f t="shared" si="856"/>
        <v>683.67176489154383</v>
      </c>
      <c r="DZ611" s="1097">
        <f t="shared" si="857"/>
        <v>591.37607663118536</v>
      </c>
      <c r="EA611" s="1098">
        <f t="shared" si="858"/>
        <v>0</v>
      </c>
      <c r="EB611" s="1121">
        <f t="shared" si="859"/>
        <v>0</v>
      </c>
      <c r="EC611" s="1101">
        <f t="shared" si="860"/>
        <v>0</v>
      </c>
      <c r="ED611" s="1097">
        <f t="shared" si="861"/>
        <v>0</v>
      </c>
      <c r="EE611" s="1110">
        <f t="shared" si="879"/>
        <v>48435.03108962375</v>
      </c>
      <c r="EF611" s="1113" t="s">
        <v>569</v>
      </c>
      <c r="EG611" s="1120">
        <f t="shared" si="878"/>
        <v>0.33</v>
      </c>
      <c r="EH611" s="1124"/>
      <c r="EI611" s="1124"/>
      <c r="EJ611" s="1124"/>
      <c r="EK611" s="1097">
        <f>IF($P611="","N/A",IF(P611=-1,INDEX('卡片raw data'!AS:AS,MATCH(D611,'卡片raw data'!$F:$F,)),0)+IF(AND(L611&lt;&gt;"party卡",P611&lt;=2,P611&gt;=0),INDEX('卡片raw data'!AU:AU,MATCH(D611,'卡片raw data'!$F:$F,)),0)+IF(OR(AND(L611="party卡",P611&lt;=1),AND(P611&lt;=4,L611&lt;&gt;"party卡",P611&gt;=3)),INDEX('卡片raw data'!AV:AV,MATCH(D611,'卡片raw data'!$F:$F,)),0)+IF(OR(P611=5,AND(L611="party卡",P611&gt;=2)),INDEX('卡片raw data'!AW:AW,MATCH(D611,'卡片raw data'!$F:$F,)),0))</f>
        <v>0</v>
      </c>
      <c r="EL611" s="1098">
        <f t="shared" si="862"/>
        <v>0.33</v>
      </c>
      <c r="EM611" s="1098">
        <f t="shared" si="863"/>
        <v>0.33</v>
      </c>
      <c r="EN611" s="1097">
        <f t="shared" si="864"/>
        <v>0</v>
      </c>
      <c r="EO611" s="1097">
        <f t="shared" si="865"/>
        <v>0</v>
      </c>
      <c r="EP611" s="1098">
        <f t="shared" si="866"/>
        <v>0</v>
      </c>
      <c r="EQ611" s="1121">
        <f t="shared" si="867"/>
        <v>0</v>
      </c>
      <c r="ER611" s="1101">
        <f t="shared" si="868"/>
        <v>0</v>
      </c>
      <c r="ES611" s="1097">
        <f t="shared" si="869"/>
        <v>0</v>
      </c>
      <c r="ET611" s="1122">
        <f t="shared" si="880"/>
        <v>0</v>
      </c>
    </row>
    <row r="612" spans="2:150" ht="16.5" customHeight="1">
      <c r="B612" s="1123" t="str">
        <f>INDEX('卡片raw data'!B:B,MATCH($D612,'卡片raw data'!$F:$F,))</f>
        <v>四单花</v>
      </c>
      <c r="C612" s="1025" t="s">
        <v>4895</v>
      </c>
      <c r="D612" s="408">
        <v>609</v>
      </c>
      <c r="E612" s="1164">
        <v>400082005</v>
      </c>
      <c r="F612" s="1090" t="str">
        <f>INDEX('卡片raw data'!C:C,MATCH($D612,'卡片raw data'!$F:$F,))</f>
        <v>SR</v>
      </c>
      <c r="G612" s="1026" t="s">
        <v>4911</v>
      </c>
      <c r="H612" s="411">
        <f>IFERROR(INDEX(绊状态确认!C:C,MATCH($G612,绊状态确认!$B:$B,)),"")</f>
        <v>8</v>
      </c>
      <c r="I612" s="450" t="str">
        <f>IFERROR(INDEX(绊状态确认!D:D,MATCH($G612,绊状态确认!$B:$B,)),"")</f>
        <v>缪</v>
      </c>
      <c r="J612" s="450" t="str">
        <f>IFERROR(INDEX(绊状态确认!E:E,MATCH($G612,绊状态确认!$B:$B,)),"")</f>
        <v>1年级</v>
      </c>
      <c r="K612" s="451" t="str">
        <f>IFERROR(INDEX(绊状态确认!F:F,MATCH($G612,绊状态确认!$B:$B,)),"")</f>
        <v>Printemps</v>
      </c>
      <c r="L612" s="1094" t="str">
        <f>INDEX('卡片raw data'!E:E,MATCH($D612,'卡片raw data'!$F:$F,))</f>
        <v>活动卡</v>
      </c>
      <c r="M612" s="1065">
        <v>44565</v>
      </c>
      <c r="N612" s="1027">
        <v>55</v>
      </c>
      <c r="O612" s="1091" t="str">
        <f>INDEX('卡片raw data'!D:D,MATCH($D612,'卡片raw data'!$F:$F,))</f>
        <v>vo</v>
      </c>
      <c r="P612" s="1126">
        <v>5</v>
      </c>
      <c r="Q612" s="1095">
        <f t="shared" si="796"/>
        <v>38848.810006090214</v>
      </c>
      <c r="R612" s="1096">
        <f t="shared" si="797"/>
        <v>0.45100000000000001</v>
      </c>
      <c r="S612" s="1097">
        <f t="shared" si="798"/>
        <v>15690.078361704855</v>
      </c>
      <c r="T612" s="1098">
        <f t="shared" si="799"/>
        <v>0.78400000000000003</v>
      </c>
      <c r="U612" s="1099">
        <f t="shared" si="800"/>
        <v>-14.804047253187141</v>
      </c>
      <c r="V612" s="1100">
        <f t="shared" si="801"/>
        <v>38354.532979471274</v>
      </c>
      <c r="W612" s="1101">
        <f t="shared" si="802"/>
        <v>5964.2789926535879</v>
      </c>
      <c r="X612" s="1096">
        <f t="shared" si="803"/>
        <v>6.9000000000000006E-2</v>
      </c>
      <c r="Y612" s="1097">
        <f t="shared" si="804"/>
        <v>810.39142362275925</v>
      </c>
      <c r="Z612" s="1102">
        <f t="shared" si="805"/>
        <v>10.195952746812859</v>
      </c>
      <c r="AA612" s="1103">
        <f t="shared" si="806"/>
        <v>6774.6704162763472</v>
      </c>
      <c r="AB612" s="1101">
        <f t="shared" si="807"/>
        <v>7097.1570525083789</v>
      </c>
      <c r="AC612" s="1104">
        <f t="shared" si="808"/>
        <v>8.2000000000000003E-2</v>
      </c>
      <c r="AD612" s="1105">
        <f t="shared" si="809"/>
        <v>-3.8207812500000026E-3</v>
      </c>
      <c r="AE612" s="1128">
        <f t="shared" si="810"/>
        <v>-12.27536231884058</v>
      </c>
      <c r="AF612" s="1130">
        <f t="shared" si="811"/>
        <v>0</v>
      </c>
      <c r="AG612" s="1097">
        <f t="shared" si="812"/>
        <v>0</v>
      </c>
      <c r="AH612" s="1097">
        <f t="shared" si="813"/>
        <v>0</v>
      </c>
      <c r="AI612" s="1097">
        <f t="shared" si="814"/>
        <v>0</v>
      </c>
      <c r="AJ612" s="1097">
        <f t="shared" si="815"/>
        <v>0</v>
      </c>
      <c r="AK612" s="1129">
        <f t="shared" si="816"/>
        <v>0</v>
      </c>
      <c r="AL612" s="1042">
        <f>IF($P612="","N/A",(IF($P612=-1,INDEX('卡片raw data'!S:S,MATCH($D612,'卡片raw data'!$F:$F,)),0)+IF($P612=0,INDEX('卡片raw data'!V:V,MATCH($D612,'卡片raw data'!$F:$F,)),0)+IF($P612=1,INDEX('卡片raw data'!Y:Y,MATCH($D612,'卡片raw data'!$F:$F,)),0)+IF($P612=2,INDEX('卡片raw data'!AB:AB,MATCH($D612,'卡片raw data'!$F:$F,)),0)+IF($P612=3,INDEX('卡片raw data'!AE:AE,MATCH($D612,'卡片raw data'!$F:$F,)),0)+IF($P612=4,INDEX('卡片raw data'!AH:AH,MATCH($D612,'卡片raw data'!$F:$F,)),0)+IF($P612=5,INDEX('卡片raw data'!AK:AK,MATCH($D612,'卡片raw data'!$F:$F,)),0)+INDEX('卡片raw data'!S:S,MATCH($D612,'卡片raw data'!$F:$F,))*(IF($F612="UR",0.04,0.033))*(IF($F612="UR",INDEX(绊状态确认!$S:$S,MATCH($G612,绊状态确认!$B:$B,))/2-40)+IF($F612="SR",INDEX(绊状态确认!$R:$R,MATCH($G612,绊状态确认!$B:$B,))/4-15))+IF($F612="R",INDEX(绊状态确认!$Q:$Q,MATCH($G612,绊状态确认!$B:$B,))/6-40/6)))*(INDEX(绊状态确认!$H:$H,MATCH($G612,绊状态确认!$B:$B,))+INDEX(绊状态确认!J:J,MATCH($G612,绊状态确认!$B:$B,)))</f>
        <v>8184.5209871999987</v>
      </c>
      <c r="AM612" s="1035">
        <f>IF($P612="","N/A",(IF($P612=-1,INDEX('卡片raw data'!T:T,MATCH($D612,'卡片raw data'!$F:$F,)),0)+IF($P612=0,INDEX('卡片raw data'!W:W,MATCH($D612,'卡片raw data'!$F:$F,)),0)+IF($P612=1,INDEX('卡片raw data'!Z:Z,MATCH($D612,'卡片raw data'!$F:$F,)),0)+IF($P612=2,INDEX('卡片raw data'!AC:AC,MATCH($D612,'卡片raw data'!$F:$F,)),0)+IF($P612=3,INDEX('卡片raw data'!AF:AF,MATCH($D612,'卡片raw data'!$F:$F,)),0)+IF($P612=4,INDEX('卡片raw data'!AI:AI,MATCH($D612,'卡片raw data'!$F:$F,)),0)+IF($P612=5,INDEX('卡片raw data'!AL:AL,MATCH($D612,'卡片raw data'!$F:$F,)),0)+INDEX('卡片raw data'!T:T,MATCH($D612,'卡片raw data'!$F:$F,))*(IF($F612="UR",0.04,0.033))*(IF($F612="UR",INDEX(绊状态确认!$S:$S,MATCH($G612,绊状态确认!$B:$B,))/2-40)+IF($F612="SR",INDEX(绊状态确认!$R:$R,MATCH($G612,绊状态确认!$B:$B,))/4-15))+IF($F612="R",INDEX(绊状态确认!$Q:$Q,MATCH($G612,绊状态确认!$B:$B,))/6-40/6)))*(INDEX(绊状态确认!$H:$H,MATCH($G612,绊状态确认!$B:$B,))+INDEX(绊状态确认!K:K,MATCH($G612,绊状态确认!$B:$B,)))</f>
        <v>4990.6392408000002</v>
      </c>
      <c r="AN612" s="1043">
        <f>IF($P612="","N/A",(IF($P612=-1,INDEX('卡片raw data'!U:U,MATCH($D612,'卡片raw data'!$F:$F,)),0)+IF($P612=0,INDEX('卡片raw data'!X:X,MATCH($D612,'卡片raw data'!$F:$F,)),0)+IF($P612=1,INDEX('卡片raw data'!AA:AA,MATCH($D612,'卡片raw data'!$F:$F,)),0)+IF($P612=2,INDEX('卡片raw data'!AD:AD,MATCH($D612,'卡片raw data'!$F:$F,)),0)+IF($P612=3,INDEX('卡片raw data'!AG:AG,MATCH($D612,'卡片raw data'!$F:$F,)),0)+IF($P612=4,INDEX('卡片raw data'!AJ:AJ,MATCH($D612,'卡片raw data'!$F:$F,)),0)+IF($P612=5,INDEX('卡片raw data'!AM:AM,MATCH($D612,'卡片raw data'!$F:$F,)),0)+INDEX('卡片raw data'!U:U,MATCH($D612,'卡片raw data'!$F:$F,))*(IF($F612="UR",0.04,0.033))*(IF($F612="UR",INDEX(绊状态确认!$S:$S,MATCH($G612,绊状态确认!$B:$B,))/2-40)+IF($F612="SR",INDEX(绊状态确认!$R:$R,MATCH($G612,绊状态确认!$B:$B,))/4-15))+IF($F612="R",INDEX(绊状态确认!$Q:$Q,MATCH($G612,绊状态确认!$B:$B,))/6-40/6)))*(INDEX(绊状态确认!$H:$H,MATCH($G612,绊状态确认!$B:$B,))+INDEX(绊状态确认!L:L,MATCH($G612,绊状态确认!$B:$B,)))</f>
        <v>6786.2603351999987</v>
      </c>
      <c r="AO612" s="1167">
        <f t="shared" si="817"/>
        <v>1</v>
      </c>
      <c r="AP612" s="1044">
        <f>1+(INDEX(绊状态确认!$T:$T,MATCH($G612,绊状态确认!$B:$B,))+0.2)*$AO612</f>
        <v>1.3</v>
      </c>
      <c r="AQ612" s="1035">
        <f t="shared" si="818"/>
        <v>24734.367591399998</v>
      </c>
      <c r="AR612" s="1035">
        <f>(AM612*(1+$EX$9)+$EX$35)*(1+(INDEX(绊状态确认!$T:$T,MATCH($G612,绊状态确认!$B:$B,))+0.2)*AO612)*IF(J612=$FF$17,1+$FE$17,1)*IF(I612=$FF$14,1+$FE$14,1)</f>
        <v>9516.2225636920011</v>
      </c>
      <c r="AS612" s="1035">
        <f>(AN612*(1+$EX$10)+$EX$36)*(1+(INDEX(绊状态确认!$T:$T,MATCH($G612,绊状态确认!$B:$B,))+0.2)*AO612)*IF(J612=$FF$17,1+$FE$17,1)*IF(I612=$FF$14,1+$FE$14,1)</f>
        <v>14201.459201123998</v>
      </c>
      <c r="AT612" s="1165">
        <f>IF(AND(INDEX('卡片raw data'!AK:AK,MATCH($D612,'卡片raw data'!$F:$F,))&lt;INDEX('卡片raw data'!AM:AM,MATCH($D612,'卡片raw data'!$F:$F,)),INDEX('卡片raw data'!AL:AL,MATCH($D612,'卡片raw data'!$F:$F,))&lt;INDEX('卡片raw data'!AM:AM,MATCH($D612,'卡片raw data'!$F:$F,))),1,0)</f>
        <v>0</v>
      </c>
      <c r="AU612" s="1031">
        <f>MIN(AT612*0.15+AS612*0.00003+INDEX(绊状态确认!M:M,MATCH($G612,绊状态确认!$B:$B,)),1)</f>
        <v>0.45604377603371998</v>
      </c>
      <c r="AV612" s="1045">
        <f>(INDEX(绊状态确认!$N:$N,MATCH($G612,绊状态确认!$B:$B,))+1.5)*$EW$21</f>
        <v>2.6599999999999997</v>
      </c>
      <c r="AW612" s="1038">
        <f t="shared" si="819"/>
        <v>22570.335303975844</v>
      </c>
      <c r="AX612" s="1035">
        <f t="shared" si="820"/>
        <v>810.3914236227597</v>
      </c>
      <c r="AY612" s="483">
        <f t="shared" si="821"/>
        <v>23380.726727598605</v>
      </c>
      <c r="AZ612" s="1106">
        <f t="shared" si="822"/>
        <v>18559.815925039999</v>
      </c>
      <c r="BA612" s="1108">
        <f t="shared" si="823"/>
        <v>22271.779110047999</v>
      </c>
      <c r="BB612" s="1035">
        <f>(AM612*(1+$FB$9)+$FB$35)*(1+(INDEX(绊状态确认!$T:$T,MATCH($G612,绊状态确认!$B:$B,))+0.2)*AO612)*IF(J612=$FF$17,1+$FE$17,1)*IF(I612=$FF$14,1+$FE$14,1)*(1+$FE$15)</f>
        <v>9516.2225636920011</v>
      </c>
      <c r="BC612" s="1035">
        <f>(AN612*(1+$FB$10)+$FB$36)*(1+(INDEX(绊状态确认!$T:$T,MATCH($G612,绊状态确认!$B:$B,))+0.2)*AO612)*IF(J612=$FF$17,1+$FE$17,1)*IF(I612=$FF$14,1+$FE$14,1)*(1+$FE$15)</f>
        <v>14201.459201123998</v>
      </c>
      <c r="BD612" s="481">
        <f>MIN(AT612*0.15+BC612*0.00003+INDEX(绊状态确认!M:M,MATCH($G612,绊状态确认!$B:$B,)),1)</f>
        <v>0.45604377603371998</v>
      </c>
      <c r="BE612" s="1109">
        <f>(INDEX(绊状态确认!$N:$N,MATCH($G612,绊状态确认!$B:$B,))+1.5)</f>
        <v>1.9</v>
      </c>
      <c r="BF612" s="646">
        <f t="array" ref="BF612">SUMPRODUCT(IF(AZ612*AP612*$FI$16:$FI$23*$FA$22&gt;=$FI$24,$FI$24,AZ612*AP612*$FI$16:$FI$23*$FA$22),$FJ$16:$FJ$23)</f>
        <v>36915.473874904557</v>
      </c>
      <c r="BG612" s="1047">
        <f t="array" ref="BG612">SUMPRODUCT(IF(BE612*AZ612*AP612*$FI$16:$FI$23*$FA$22&gt;=$FI$24,$FI$24,BE612*AZ612*AP612*$FI$16:$FI$23*$FA$22),$FJ$16:$FJ$23)</f>
        <v>59460.686333712205</v>
      </c>
      <c r="BH612" s="1046">
        <f t="shared" si="824"/>
        <v>15732.359232033888</v>
      </c>
      <c r="BI612" s="1048">
        <f>IF(O612="vo",$EW$26/$EW$24*0.05,0)+IF(O612="sk",-$EW$26/$EW$24*(0.05-INDEX(绊状态确认!W:W,MATCH($G612,绊状态确认!$B:$B,)))+0.05*$EW$28,0)+IF(O612="sp",0.05*$EW$32*$EW$30*(1-$EW$33)-(0.05-INDEX(绊状态确认!V:V,MATCH($G612,绊状态确认!$B:$B,)))*$EW$28,0)+IF(O612="gd",-(0.05-INDEX(绊状态确认!X:X,MATCH($G612,绊状态确认!$B:$B,)))*$EW$32*$EW$30*(1-$EW$33),0)</f>
        <v>7726.3029277443748</v>
      </c>
      <c r="BJ612" s="1097">
        <f>IF(O612="vo",0.05*(1-$FI$26)*$FA$24,0)+IF(O612="sk",-(0.05-INDEX(绊状态确认!W:W,MATCH($G612,绊状态确认!$B:$B,)))*(1-$FI$26)*$FA$24+0.05*$FA$26,0)+IF(O612="sp",0.05*$FA$32*$FA$27*(1-$FA$33)/$FA$30+0.05*$FA$29/$FA$69*$FA$27*(1-$FA$33)-(0.05-INDEX(绊状态确认!V:V,MATCH($G612,绊状态确认!$B:$B,)))*$FA$26,0)+IF(O612="gd",-(0.05-INDEX(绊状态确认!X:X,MATCH($G612,绊状态确认!$B:$B,)))*$FA$32*$FA$27*(1-$FA$33)/$FA$30-(0.05-INDEX(绊状态确认!X:X,MATCH($G612,绊状态确认!$B:$B,)))*$FA$29/$FA$69*$FA$27*(1-$FA$33),0)</f>
        <v>393.93433687500004</v>
      </c>
      <c r="BK612" s="1046">
        <f>IF(O612="vo",$EW$26/$EW$24*0.05+$EW$26*(-HP($EW$62,$EW$65,$EW$64)+HP($EW$62,$EW$65,(1.05-INDEX(绊状态确认!U:U,MATCH($G612,绊状态确认!$B:$B,)))*$EW$64)),0)+IF(O612="sk",-$EW$26/$EW$24*(0.05-INDEX(绊状态确认!W:W,MATCH($G612,绊状态确认!$B:$B,)))+0.05*$EW$29,0)+IF(O612="sp",0.05*$EW$32*$EW$30*(1-$EW$33)-(0.05-INDEX(绊状态确认!V:V,MATCH($G612,绊状态确认!$B:$B,)))*$EW$29,0)+IF(O612="gd",-(0.05-INDEX(绊状态确认!X:X,MATCH($G612,绊状态确认!$B:$B,)))*$EW$32*$EW$30*(1-$EW$33)+$EW$26*(-HP($EW$62,$EW$65,$EW$64)+HP($EW$62,$EW$65,0.95*$EW$64)),0)</f>
        <v>6421.6344775026746</v>
      </c>
      <c r="BL612" s="1048">
        <f t="shared" si="825"/>
        <v>-1083.3333333333333</v>
      </c>
      <c r="BM612" s="1046">
        <f t="shared" si="826"/>
        <v>-830.55555555555543</v>
      </c>
      <c r="BN612" s="1113">
        <f t="shared" si="827"/>
        <v>3</v>
      </c>
      <c r="BO612" s="1108">
        <f t="shared" si="828"/>
        <v>4507.7214871259994</v>
      </c>
      <c r="BP612" s="1127">
        <f t="shared" si="829"/>
        <v>221.34103209030098</v>
      </c>
      <c r="BQ612" s="1113" t="s">
        <v>132</v>
      </c>
      <c r="BR612" s="1124" t="s">
        <v>557</v>
      </c>
      <c r="BS612" s="1098">
        <f>IF($P612="","N/A",IF($P612=-1,INDEX('卡片raw data'!AX:AX,MATCH($D612,'卡片raw data'!$F:$F,)),0)+IF($L612="party卡",IF($P612=5,INDEX('卡片raw data'!BD:BD,MATCH($D612,'卡片raw data'!$F:$F,)),IF($P612&gt;=3,INDEX('卡片raw data'!BC:BC,MATCH($D612,'卡片raw data'!$F:$F,)),INDEX('卡片raw data'!BB:BB,MATCH($D612,'卡片raw data'!$F:$F,)))),IF(OR(AND($F612="UR",$P612=0),AND($F612="SR",$P612&gt;=0,$P612&lt;=2),AND($F612="R",$P612&gt;=0,$P612&lt;4)),INDEX('卡片raw data'!AZ:AZ,MATCH($D612,'卡片raw data'!$F:$F,)),0)+IF(OR(AND($F612="UR",$P612&gt;=1,$P612&lt;=4),AND($F612="SR",$P612&lt;=4,$P612&gt;=3),AND($F612="R",$P612=4)),INDEX('卡片raw data'!BA:BA,MATCH($D612,'卡片raw data'!$F:$F,)),0)+IF($P612=5,INDEX('卡片raw data'!BB:BB,MATCH($D612,'卡片raw data'!$F:$F,)),0)))</f>
        <v>4.2000000000000003E-2</v>
      </c>
      <c r="BT612" s="1101">
        <f t="shared" si="830"/>
        <v>1682.88268852704</v>
      </c>
      <c r="BU612" s="1097">
        <f t="shared" si="831"/>
        <v>61.975488985284287</v>
      </c>
      <c r="BV612" s="1097">
        <f t="shared" si="832"/>
        <v>946.62151229645997</v>
      </c>
      <c r="BW612" s="1112">
        <f t="shared" si="833"/>
        <v>0</v>
      </c>
      <c r="BX612" s="1100">
        <f t="shared" si="834"/>
        <v>1682.88268852704</v>
      </c>
      <c r="BY612" s="1110">
        <f t="shared" si="835"/>
        <v>946.62151229645997</v>
      </c>
      <c r="BZ612" s="1113" t="s">
        <v>569</v>
      </c>
      <c r="CA612" s="1124"/>
      <c r="CB612" s="1098">
        <f>IF($P612="","N/A",IF($P612=-1,INDEX('卡片raw data'!BE:BE,MATCH($D612,'卡片raw data'!$F:$F,)),0)+IF($L612="party卡",IF($P612=5,INDEX('卡片raw data'!BK:BK,MATCH($D612,'卡片raw data'!$F:$F,)),IF($P612&gt;=3,INDEX('卡片raw data'!BJ:BJ,MATCH($D612,'卡片raw data'!$F:$F,)),INDEX('卡片raw data'!BI:BI,MATCH($D612,'卡片raw data'!$F:$F,)))),IF(OR(AND($F612="UR",$P612=0),AND($F612="SR",$P612&gt;=0,$P612&lt;=2),AND($F612="R",$P612&gt;=0,$P612&lt;4)),INDEX('卡片raw data'!BG:BG,MATCH($D612,'卡片raw data'!$F:$F,)),0)+IF(OR(AND($F612="UR",$P612&gt;=1,$P612&lt;=4),AND($F612="SR",$P612&lt;=4,$P612&gt;=3),AND($F612="R",$P612=4)),INDEX('卡片raw data'!BH:BH,MATCH($D612,'卡片raw data'!$F:$F,)),0)+IF($P612=5,INDEX('卡片raw data'!BI:BI,MATCH($D612,'卡片raw data'!$F:$F,)),0)))</f>
        <v>0</v>
      </c>
      <c r="CC612" s="1101">
        <f t="shared" si="873"/>
        <v>0</v>
      </c>
      <c r="CD612" s="1097">
        <f>IF(BZ612="ap",CB612*(1-$FI$26)*$FB$5/$FB$11*(+IF(CA612="全员",$FA$24,0)+IF(CA612="同作战",$FA$24,0)+IF(CA612="仲间",$FA$24*2/3,0)+IF(CA612="同属性",$FA$24*$FA$37/3,0)+IF(CA612="同年级",$FA$24*$FA$40/3,0)+IF(CA612="同学校",$FA$24*$FA$43/3,0)+IF(CA612="同小队",$FA$24*$FA$46/3,0)+IF(CA612="同type",$FA$24*INDEX($FB$49:$FB$52,MATCH(X612,$FA$49:$FA$52,))/3,0)+IF(CA612="自身",#REF!/3,0)),0)+IF(BZ612="te",CB612*(1-$FI$27)*($FA$20-1)*$FB$7/$FB$13*(+IF(CA612="全员",$FA$19*$FA$24/(1+($FA$20-1)*$FA$19),0)+IF(CA612="同作战",$FA$19*$FA$24/(1+($FA$20-1)*$FA$19),0)+IF(CA612="仲间",$FA$19*$FA$24*2/3/(1+($FA$20-1)*$FA$19),0)+IF(CA612="同属性",$FA$19*$FA$24*$FA$37/3/(1+($FA$20-1)*$FA$19),0)+IF(CA612="同年级",$FA$19*$FA$24*$FA$40/3/(1+($FA$20-1)*$FA$19),0)+IF(CA612="同学校",$FA$19*$FA$24*$FA$43/3/(1+($FA$20-1)*$FA$19),0)+IF(CA612="同小队",$FA$19*$FA$24*$FA$46/3/(1+($FA$20-1)*$FA$19),0)+IF(CA612="同type",$FA$19*$FA$24*INDEX($FB$49:$FB$52,MATCH(X612,$FA$49:$FA$52,))/3/(1+($FA$20-1)*$FA$19),0)+IF(CA612="自身",$FA$19*#REF!/3/(1+(BH612-1)*$BD612),0)),0)</f>
        <v>0</v>
      </c>
      <c r="CE612" s="1097">
        <f t="shared" si="836"/>
        <v>0</v>
      </c>
      <c r="CF612" s="1112">
        <f t="shared" si="874"/>
        <v>0</v>
      </c>
      <c r="CG612" s="1100">
        <f t="shared" si="837"/>
        <v>0</v>
      </c>
      <c r="CH612" s="1110">
        <f t="shared" si="838"/>
        <v>0</v>
      </c>
      <c r="CI612" s="1113" t="s">
        <v>165</v>
      </c>
      <c r="CJ612" s="1114">
        <v>1</v>
      </c>
      <c r="CK612" s="1115" t="s">
        <v>2074</v>
      </c>
      <c r="CL612" s="1115" t="s">
        <v>2629</v>
      </c>
      <c r="CM612" s="1119">
        <v>0.01</v>
      </c>
      <c r="CN612" s="1115" t="s">
        <v>2076</v>
      </c>
      <c r="CO612" s="1115"/>
      <c r="CP612" s="1118">
        <f t="shared" si="839"/>
        <v>5.3333333333333332E-3</v>
      </c>
      <c r="CQ612" s="1118">
        <f t="shared" si="840"/>
        <v>4.0000000000000001E-3</v>
      </c>
      <c r="CR612" s="1118">
        <f t="shared" si="841"/>
        <v>3.0000000000000001E-3</v>
      </c>
      <c r="CS612" s="1118">
        <f>IF(CK612="技能+",IF(CN612="infty",(IF(CI612="曲开始",CM612*CJ612)+IF(OR(CI612="AC时",CI612="AC成功"),(1-(1-(1-CJ612)^($FM$20+1))/(($FM$20+1)*CJ612))*CM612))*(IF(CL612="全员",1)))+IF(CN612&lt;&gt;"infty",CM612*(IF(CI612="曲开始",CJ612*CN612/$FM$19)+IF(OR(CI612="AC时",CI612="AC成功"),CN612*IF(CO612&lt;&gt;"",MIN(CO612,CJ612*$FM$20),CJ612*$FM$20)/$FM$19)+IF(CI612="切队",CN612*IF(CO612&lt;&gt;"",MIN(CJ612*$FM$11,CO612/$FM$19),CJ612*$FM$11))+IF(CI612="ap时",IF(CO612&lt;&gt;"",MIN(CO612/$FM1060,IF($O612="sk",$FM$10,$FM$9)*CJ612),IF($O612="sk",$FM$10,$FM$9)*CJ612)*CN612)+IF(CI612="ct时",IF(CO612&lt;&gt;"",MIN(CO612/$FM1060,$AU612*IF($O612="sk",$FM$10,$FM$9)*CJ612),$AU612*IF($O612="sk",$FM$10,$FM$9)*CJ612)*CN612))*(IF(CL612="全员",1)+IF(CL612="同作战",IF($O612="sk",$FM$10*3,$FM$9*3))+IF(CL612="同属性",$FM$23/6)+IF(CL612="同年级",$FM$24/6)+IF(CL612="自身",IF($O612="sk",$FM$10,$FM$9)))),0)*$FM$16</f>
        <v>0</v>
      </c>
      <c r="CT612" s="1109">
        <f>IF(CK612="sp+",IF(CN612="infty",(IF(CI612="曲开始",CM612*CJ612*$FM$28)+IF(OR(CI612="AC时",CI612="AC成功"),(1-(1-(1-CJ612)^($FM$20+1))/(($FM$20+1)*CJ612))*CM612*$FM$28))*(IF(CL612="全员",1)))+IF(CN612&lt;&gt;"infty",CM612*$FM$28*(IF(CI612="曲开始",CJ612*CN612/$FM$19)+IF(OR(CI612="AC时",CI612="AC成功"),CN612*IF(CO612&lt;&gt;"",MIN(CO612,CJ612*$FM$20),CJ612*$FM$20)/$FM$19)+IF(CI612="切队",CN612*IF(CO612&lt;&gt;"",MIN(CJ612*$FM$11,CO612/$FM$19),CJ612*$FM$11))+IF(CI612="ap时",IF(CO612&lt;&gt;"",MIN(CO612/$FM1060,IF($O612="sk",$FM$10,$FM$9)*CJ612),IF($O612="sk",$FM$10,$FM$9)*CJ612)*CN612)+IF(CI612="ct时",IF(CO612&lt;&gt;"",MIN(CO612/$FM1060,$AU612*IF($O612="sk",$FM$10,$FM$9)*CJ612),$AU612*IF($O612="sk",$FM$10,$FM$9)*CJ612)*CN612))*(IF(CL612="全员",1)+IF(CL612="同作战",IF($O612="sk",$FM$10*3,$FM$9*3))+IF(CL612="同属性",$FM$23/6)+IF(CL612="同年级",$FM$24/6)+IF(CL612="同type",IF(O612="sp",$FN$6*$FM$9)))),0)+IF(CK612="sp获得",IF(CI612="AC成功",0,CM612*(IF(CL612="ap",AQ612)+IF(CL612="st",AR612)+IF(CL612="te",AS612)+IF(CL612="sp槽",$EW$77)+IF(CL612="",1))*IF($O612="sk",1,1+(1+$FM$10/$FM$9)*($FM$27-1))*(IF(CI612="曲开始",CJ612/$FM$19)+IF(CI612="SP发动",IF(CO612&lt;&gt;"",MIN(CO612/$FM$19,CJ612*$FM$30/$FM$19),CJ612*$FM$30/$FM$19))+IF(CI612="切队",IF(CO612&lt;&gt;"",MIN(CO612/$FM$19,CJ612*$FM$11),CJ612*$FM$11))+IF(OR(CI612="AC时",CI612="AC成功"),IF(CO612&lt;&gt;"",MIN(CO612/$FM$19,CJ612*$FM$20/$FM$19),CJ612*$FM$20/$FM$19))+IF(CI612="ap时",IF(CO612&lt;&gt;"",MIN(CO612/$FM$19,CJ612*IF($O612="sk",$FM$10,$FM$9)),CJ612*IF($O612="sk",$FM$10,$FM$9)))+IF(CI612="ct时",IF(CO612&lt;&gt;"",MIN(CO612/$FM$19,CJ612*IF($O612="sk",$FM$10,$FM$9)*$AU612),CJ612*IF($O612="sk",$FM$10,$FM$9)*$AU612)))))</f>
        <v>0</v>
      </c>
      <c r="CU612" s="1101">
        <f t="shared" si="842"/>
        <v>906.55287685533995</v>
      </c>
      <c r="CV612" s="1108">
        <f t="shared" si="870"/>
        <v>31.514746950000003</v>
      </c>
      <c r="CW612" s="1097">
        <f t="shared" si="843"/>
        <v>509.93599323112875</v>
      </c>
      <c r="CX612" s="1097">
        <f t="shared" si="844"/>
        <v>906.55287685533995</v>
      </c>
      <c r="CY612" s="1110">
        <f t="shared" si="845"/>
        <v>509.93599323112875</v>
      </c>
      <c r="CZ612" s="1113"/>
      <c r="DA612" s="1114"/>
      <c r="DB612" s="1115" t="s">
        <v>569</v>
      </c>
      <c r="DC612" s="1115"/>
      <c r="DD612" s="1119"/>
      <c r="DE612" s="1092"/>
      <c r="DF612" s="1092"/>
      <c r="DG612" s="1116">
        <f t="shared" si="846"/>
        <v>0</v>
      </c>
      <c r="DH612" s="1116">
        <f t="shared" si="847"/>
        <v>0</v>
      </c>
      <c r="DI612" s="1116">
        <f t="shared" si="848"/>
        <v>0</v>
      </c>
      <c r="DJ612" s="1118">
        <f t="shared" si="871"/>
        <v>0</v>
      </c>
      <c r="DK612" s="1109">
        <f t="shared" si="872"/>
        <v>0</v>
      </c>
      <c r="DL612" s="1101">
        <f t="shared" si="849"/>
        <v>0</v>
      </c>
      <c r="DM612" s="1097">
        <f t="shared" si="850"/>
        <v>0</v>
      </c>
      <c r="DN612" s="1097">
        <f t="shared" si="851"/>
        <v>0</v>
      </c>
      <c r="DO612" s="1097">
        <f t="shared" si="852"/>
        <v>0</v>
      </c>
      <c r="DP612" s="1110">
        <f t="shared" si="853"/>
        <v>0</v>
      </c>
      <c r="DQ612" s="1113" t="s">
        <v>167</v>
      </c>
      <c r="DR612" s="1120">
        <f t="shared" si="877"/>
        <v>0.3</v>
      </c>
      <c r="DS612" s="1124">
        <v>5</v>
      </c>
      <c r="DT612" s="1124" t="s">
        <v>2629</v>
      </c>
      <c r="DU612" s="1093" t="s">
        <v>2145</v>
      </c>
      <c r="DV612" s="1098">
        <f>IF($P612="","N/A",IF(P612=-1,INDEX('卡片raw data'!AN:AN,MATCH(D612,'卡片raw data'!$F:$F,)),0)+IF(AND(L612&lt;&gt;"party卡",P612&lt;=2,P612&gt;=0),INDEX('卡片raw data'!AP:AP,MATCH(D612,'卡片raw data'!$F:$F,)),0)+IF(OR(AND(L612="party卡",P612&lt;=1),AND(P612&lt;=4,L612&lt;&gt;"party卡",P612&gt;=3)),INDEX('卡片raw data'!AQ:AQ,MATCH(D612,'卡片raw data'!$F:$F,)),0)+IF(OR(P612=5,AND(L612="party卡",P612&gt;=2)),INDEX('卡片raw data'!AR:AR,MATCH(D612,'卡片raw data'!$F:$F,)),0))</f>
        <v>7.0000000000000007E-2</v>
      </c>
      <c r="DW612" s="1098">
        <f t="shared" si="854"/>
        <v>0.3</v>
      </c>
      <c r="DX612" s="1098">
        <f t="shared" si="855"/>
        <v>0.3</v>
      </c>
      <c r="DY612" s="1098">
        <f t="shared" si="856"/>
        <v>1.8666666666666668E-2</v>
      </c>
      <c r="DZ612" s="1098">
        <f t="shared" si="857"/>
        <v>1.2110000000000001E-2</v>
      </c>
      <c r="EA612" s="1098">
        <f t="shared" si="858"/>
        <v>0</v>
      </c>
      <c r="EB612" s="1121">
        <f t="shared" si="859"/>
        <v>0</v>
      </c>
      <c r="EC612" s="1101">
        <f t="shared" si="860"/>
        <v>2538.3480551949524</v>
      </c>
      <c r="ED612" s="1097">
        <f t="shared" si="861"/>
        <v>79.509080325937518</v>
      </c>
      <c r="EE612" s="1110">
        <f t="shared" si="879"/>
        <v>2538.3480551949524</v>
      </c>
      <c r="EF612" s="1113" t="s">
        <v>569</v>
      </c>
      <c r="EG612" s="1120">
        <f t="shared" si="878"/>
        <v>0.3</v>
      </c>
      <c r="EH612" s="1124"/>
      <c r="EI612" s="1124"/>
      <c r="EJ612" s="1124"/>
      <c r="EK612" s="1097">
        <f>IF($P612="","N/A",IF(P612=-1,INDEX('卡片raw data'!AS:AS,MATCH(D612,'卡片raw data'!$F:$F,)),0)+IF(AND(L612&lt;&gt;"party卡",P612&lt;=2,P612&gt;=0),INDEX('卡片raw data'!AU:AU,MATCH(D612,'卡片raw data'!$F:$F,)),0)+IF(OR(AND(L612="party卡",P612&lt;=1),AND(P612&lt;=4,L612&lt;&gt;"party卡",P612&gt;=3)),INDEX('卡片raw data'!AV:AV,MATCH(D612,'卡片raw data'!$F:$F,)),0)+IF(OR(P612=5,AND(L612="party卡",P612&gt;=2)),INDEX('卡片raw data'!AW:AW,MATCH(D612,'卡片raw data'!$F:$F,)),0))</f>
        <v>0</v>
      </c>
      <c r="EL612" s="1098">
        <f t="shared" si="862"/>
        <v>0.3</v>
      </c>
      <c r="EM612" s="1098">
        <f t="shared" si="863"/>
        <v>0.3</v>
      </c>
      <c r="EN612" s="1097">
        <f t="shared" si="864"/>
        <v>0</v>
      </c>
      <c r="EO612" s="1097">
        <f t="shared" si="865"/>
        <v>0</v>
      </c>
      <c r="EP612" s="1098">
        <f t="shared" si="866"/>
        <v>0</v>
      </c>
      <c r="EQ612" s="1121">
        <f t="shared" si="867"/>
        <v>0</v>
      </c>
      <c r="ER612" s="1101">
        <f t="shared" si="868"/>
        <v>0</v>
      </c>
      <c r="ES612" s="1097">
        <f t="shared" si="869"/>
        <v>0</v>
      </c>
      <c r="ET612" s="1122">
        <f t="shared" si="880"/>
        <v>0</v>
      </c>
    </row>
    <row r="613" spans="2:150" ht="16.5" customHeight="1">
      <c r="B613" s="1123" t="str">
        <f>INDEX('卡片raw data'!B:B,MATCH($D613,'卡片raw data'!$F:$F,))</f>
        <v>四专菜</v>
      </c>
      <c r="C613" s="1025" t="s">
        <v>4901</v>
      </c>
      <c r="D613" s="408">
        <v>610</v>
      </c>
      <c r="E613" s="1164">
        <v>402072005</v>
      </c>
      <c r="F613" s="1090" t="str">
        <f>INDEX('卡片raw data'!C:C,MATCH($D613,'卡片raw data'!$F:$F,))</f>
        <v>SR</v>
      </c>
      <c r="G613" s="1026" t="s">
        <v>4914</v>
      </c>
      <c r="H613" s="411">
        <f>IFERROR(INDEX(绊状态确认!C:C,MATCH($G613,绊状态确认!$B:$B,)),"")</f>
        <v>207</v>
      </c>
      <c r="I613" s="450" t="str">
        <f>IFERROR(INDEX(绊状态确认!D:D,MATCH($G613,绊状态确认!$B:$B,)),"")</f>
        <v>虹</v>
      </c>
      <c r="J613" s="450" t="str">
        <f>IFERROR(INDEX(绊状态确认!E:E,MATCH($G613,绊状态确认!$B:$B,)),"")</f>
        <v>2年级</v>
      </c>
      <c r="K613" s="451" t="str">
        <f>IFERROR(INDEX(绊状态确认!F:F,MATCH($G613,绊状态确认!$B:$B,)),"")</f>
        <v>A·ZU·NA</v>
      </c>
      <c r="L613" s="1094" t="str">
        <f>INDEX('卡片raw data'!E:E,MATCH($D613,'卡片raw data'!$F:$F,))</f>
        <v>活动卡</v>
      </c>
      <c r="M613" s="1065">
        <v>44565</v>
      </c>
      <c r="N613" s="1027">
        <v>55</v>
      </c>
      <c r="O613" s="1091" t="str">
        <f>INDEX('卡片raw data'!D:D,MATCH($D613,'卡片raw data'!$F:$F,))</f>
        <v>sk</v>
      </c>
      <c r="P613" s="1126">
        <v>5</v>
      </c>
      <c r="Q613" s="1095">
        <f t="shared" si="796"/>
        <v>22228.226439334157</v>
      </c>
      <c r="R613" s="1096">
        <f t="shared" si="797"/>
        <v>0.25800000000000001</v>
      </c>
      <c r="S613" s="1097">
        <f t="shared" si="798"/>
        <v>15509.228525723514</v>
      </c>
      <c r="T613" s="1098">
        <f t="shared" si="799"/>
        <v>0.77500000000000002</v>
      </c>
      <c r="U613" s="1099">
        <f t="shared" si="800"/>
        <v>10.487408408322857</v>
      </c>
      <c r="V613" s="1100">
        <f t="shared" si="801"/>
        <v>25062.279547217615</v>
      </c>
      <c r="W613" s="1101">
        <f t="shared" si="802"/>
        <v>5801.6800161245201</v>
      </c>
      <c r="X613" s="1096">
        <f t="shared" si="803"/>
        <v>6.7000000000000004E-2</v>
      </c>
      <c r="Y613" s="1097">
        <f t="shared" si="804"/>
        <v>834.05310788345741</v>
      </c>
      <c r="Z613" s="1102">
        <f t="shared" si="805"/>
        <v>10.487408408322857</v>
      </c>
      <c r="AA613" s="1103">
        <f t="shared" si="806"/>
        <v>6635.7331240079775</v>
      </c>
      <c r="AB613" s="1101">
        <f t="shared" si="807"/>
        <v>6556.3035045841043</v>
      </c>
      <c r="AC613" s="1104">
        <f t="shared" si="808"/>
        <v>7.5999999999999998E-2</v>
      </c>
      <c r="AD613" s="1105">
        <f t="shared" si="809"/>
        <v>2.555869546046401E-2</v>
      </c>
      <c r="AE613" s="1128">
        <f t="shared" si="810"/>
        <v>7.5471762653519079</v>
      </c>
      <c r="AF613" s="1130">
        <f t="shared" si="811"/>
        <v>0</v>
      </c>
      <c r="AG613" s="1097">
        <f t="shared" si="812"/>
        <v>0</v>
      </c>
      <c r="AH613" s="1097">
        <f t="shared" si="813"/>
        <v>0</v>
      </c>
      <c r="AI613" s="1097">
        <f t="shared" si="814"/>
        <v>0</v>
      </c>
      <c r="AJ613" s="1097">
        <f t="shared" si="815"/>
        <v>0</v>
      </c>
      <c r="AK613" s="1129">
        <f t="shared" si="816"/>
        <v>0</v>
      </c>
      <c r="AL613" s="1042">
        <f>IF($P613="","N/A",(IF($P613=-1,INDEX('卡片raw data'!S:S,MATCH($D613,'卡片raw data'!$F:$F,)),0)+IF($P613=0,INDEX('卡片raw data'!V:V,MATCH($D613,'卡片raw data'!$F:$F,)),0)+IF($P613=1,INDEX('卡片raw data'!Y:Y,MATCH($D613,'卡片raw data'!$F:$F,)),0)+IF($P613=2,INDEX('卡片raw data'!AB:AB,MATCH($D613,'卡片raw data'!$F:$F,)),0)+IF($P613=3,INDEX('卡片raw data'!AE:AE,MATCH($D613,'卡片raw data'!$F:$F,)),0)+IF($P613=4,INDEX('卡片raw data'!AH:AH,MATCH($D613,'卡片raw data'!$F:$F,)),0)+IF($P613=5,INDEX('卡片raw data'!AK:AK,MATCH($D613,'卡片raw data'!$F:$F,)),0)+INDEX('卡片raw data'!S:S,MATCH($D613,'卡片raw data'!$F:$F,))*(IF($F613="UR",0.04,0.033))*(IF($F613="UR",INDEX(绊状态确认!$S:$S,MATCH($G613,绊状态确认!$B:$B,))/2-40)+IF($F613="SR",INDEX(绊状态确认!$R:$R,MATCH($G613,绊状态确认!$B:$B,))/4-15))+IF($F613="R",INDEX(绊状态确认!$Q:$Q,MATCH($G613,绊状态确认!$B:$B,))/6-40/6)))*(INDEX(绊状态确认!$H:$H,MATCH($G613,绊状态确认!$B:$B,))+INDEX(绊状态确认!J:J,MATCH($G613,绊状态确认!$B:$B,)))</f>
        <v>6588.1858151999986</v>
      </c>
      <c r="AM613" s="1035">
        <f>IF($P613="","N/A",(IF($P613=-1,INDEX('卡片raw data'!T:T,MATCH($D613,'卡片raw data'!$F:$F,)),0)+IF($P613=0,INDEX('卡片raw data'!W:W,MATCH($D613,'卡片raw data'!$F:$F,)),0)+IF($P613=1,INDEX('卡片raw data'!Z:Z,MATCH($D613,'卡片raw data'!$F:$F,)),0)+IF($P613=2,INDEX('卡片raw data'!AC:AC,MATCH($D613,'卡片raw data'!$F:$F,)),0)+IF($P613=3,INDEX('卡片raw data'!AF:AF,MATCH($D613,'卡片raw data'!$F:$F,)),0)+IF($P613=4,INDEX('卡片raw data'!AI:AI,MATCH($D613,'卡片raw data'!$F:$F,)),0)+IF($P613=5,INDEX('卡片raw data'!AL:AL,MATCH($D613,'卡片raw data'!$F:$F,)),0)+INDEX('卡片raw data'!T:T,MATCH($D613,'卡片raw data'!$F:$F,))*(IF($F613="UR",0.04,0.033))*(IF($F613="UR",INDEX(绊状态确认!$S:$S,MATCH($G613,绊状态确认!$B:$B,))/2-40)+IF($F613="SR",INDEX(绊状态确认!$R:$R,MATCH($G613,绊状态确认!$B:$B,))/4-15))+IF($F613="R",INDEX(绊状态确认!$Q:$Q,MATCH($G613,绊状态确认!$B:$B,))/6-40/6)))*(INDEX(绊状态确认!$H:$H,MATCH($G613,绊状态确认!$B:$B,))+INDEX(绊状态确认!K:K,MATCH($G613,绊状态确认!$B:$B,)))</f>
        <v>5189.9251631999996</v>
      </c>
      <c r="AN613" s="1043">
        <f>IF($P613="","N/A",(IF($P613=-1,INDEX('卡片raw data'!U:U,MATCH($D613,'卡片raw data'!$F:$F,)),0)+IF($P613=0,INDEX('卡片raw data'!X:X,MATCH($D613,'卡片raw data'!$F:$F,)),0)+IF($P613=1,INDEX('卡片raw data'!AA:AA,MATCH($D613,'卡片raw data'!$F:$F,)),0)+IF($P613=2,INDEX('卡片raw data'!AD:AD,MATCH($D613,'卡片raw data'!$F:$F,)),0)+IF($P613=3,INDEX('卡片raw data'!AG:AG,MATCH($D613,'卡片raw data'!$F:$F,)),0)+IF($P613=4,INDEX('卡片raw data'!AJ:AJ,MATCH($D613,'卡片raw data'!$F:$F,)),0)+IF($P613=5,INDEX('卡片raw data'!AM:AM,MATCH($D613,'卡片raw data'!$F:$F,)),0)+INDEX('卡片raw data'!U:U,MATCH($D613,'卡片raw data'!$F:$F,))*(IF($F613="UR",0.04,0.033))*(IF($F613="UR",INDEX(绊状态确认!$S:$S,MATCH($G613,绊状态确认!$B:$B,))/2-40)+IF($F613="SR",INDEX(绊状态确认!$R:$R,MATCH($G613,绊状态确认!$B:$B,))/4-15))+IF($F613="R",INDEX(绊状态确认!$Q:$Q,MATCH($G613,绊状态确认!$B:$B,))/6-40/6)))*(INDEX(绊状态确认!$H:$H,MATCH($G613,绊状态确认!$B:$B,))+INDEX(绊状态确认!L:L,MATCH($G613,绊状态确认!$B:$B,)))</f>
        <v>8184.5209871999987</v>
      </c>
      <c r="AO613" s="1167">
        <f t="shared" si="817"/>
        <v>1</v>
      </c>
      <c r="AP613" s="1044">
        <f>1+(INDEX(绊状态确认!$T:$T,MATCH($G613,绊状态确认!$B:$B,))+0.2)*$AO613</f>
        <v>1.3</v>
      </c>
      <c r="AQ613" s="1035">
        <f t="shared" si="818"/>
        <v>20543.987764899997</v>
      </c>
      <c r="AR613" s="1035">
        <f>(AM613*(1+$EX$9)+$EX$35)*(1+(INDEX(绊状态确认!$T:$T,MATCH($G613,绊状态确认!$B:$B,))+0.2)*AO613)*IF(J613=$FF$17,1+$FE$17,1)*IF(I613=$FF$14,1+$FE$14,1)</f>
        <v>9788.2478477679997</v>
      </c>
      <c r="AS613" s="1035">
        <f>(AN613*(1+$EX$10)+$EX$36)*(1+(INDEX(绊状态确认!$T:$T,MATCH($G613,绊状态确认!$B:$B,))+0.2)*AO613)*IF(J613=$FF$17,1+$FE$17,1)*IF(I613=$FF$14,1+$FE$14,1)</f>
        <v>16291.858875863998</v>
      </c>
      <c r="AT613" s="1165">
        <f>IF(AND(INDEX('卡片raw data'!AK:AK,MATCH($D613,'卡片raw data'!$F:$F,))&lt;INDEX('卡片raw data'!AM:AM,MATCH($D613,'卡片raw data'!$F:$F,)),INDEX('卡片raw data'!AL:AL,MATCH($D613,'卡片raw data'!$F:$F,))&lt;INDEX('卡片raw data'!AM:AM,MATCH($D613,'卡片raw data'!$F:$F,))),1,0)</f>
        <v>1</v>
      </c>
      <c r="AU613" s="1031">
        <f>MIN(AT613*0.15+AS613*0.00003+INDEX(绊状态确认!M:M,MATCH($G613,绊状态确认!$B:$B,)),1)</f>
        <v>0.66875576627591993</v>
      </c>
      <c r="AV613" s="1045">
        <f>(INDEX(绊状态确认!$N:$N,MATCH($G613,绊状态确认!$B:$B,))+1.5)*$EW$21</f>
        <v>2.6599999999999997</v>
      </c>
      <c r="AW613" s="1038">
        <f t="shared" si="819"/>
        <v>22513.979408103827</v>
      </c>
      <c r="AX613" s="1035">
        <f t="shared" si="820"/>
        <v>834.05310788345776</v>
      </c>
      <c r="AY613" s="483">
        <f t="shared" si="821"/>
        <v>23348.032515987285</v>
      </c>
      <c r="AZ613" s="1106">
        <f t="shared" si="822"/>
        <v>15446.962339639997</v>
      </c>
      <c r="BA613" s="1108">
        <f t="shared" si="823"/>
        <v>18536.354807567994</v>
      </c>
      <c r="BB613" s="1035">
        <f>(AM613*(1+$FB$9)+$FB$35)*(1+(INDEX(绊状态确认!$T:$T,MATCH($G613,绊状态确认!$B:$B,))+0.2)*AO613)*IF(J613=$FF$17,1+$FE$17,1)*IF(I613=$FF$14,1+$FE$14,1)*(1+$FE$15)</f>
        <v>9788.2478477679997</v>
      </c>
      <c r="BC613" s="1035">
        <f>(AN613*(1+$FB$10)+$FB$36)*(1+(INDEX(绊状态确认!$T:$T,MATCH($G613,绊状态确认!$B:$B,))+0.2)*AO613)*IF(J613=$FF$17,1+$FE$17,1)*IF(I613=$FF$14,1+$FE$14,1)*(1+$FE$15)</f>
        <v>16291.858875863998</v>
      </c>
      <c r="BD613" s="481">
        <f>MIN(AT613*0.15+BC613*0.00003+INDEX(绊状态确认!M:M,MATCH($G613,绊状态确认!$B:$B,)),1)</f>
        <v>0.66875576627591993</v>
      </c>
      <c r="BE613" s="1109">
        <f>(INDEX(绊状态确认!$N:$N,MATCH($G613,绊状态确认!$B:$B,))+1.5)</f>
        <v>1.9</v>
      </c>
      <c r="BF613" s="646">
        <f t="array" ref="BF613">SUMPRODUCT(IF(AZ613*AP613*$FI$16:$FI$23*$FA$22&gt;=$FI$24,$FI$24,AZ613*AP613*$FI$16:$FI$23*$FA$22),$FJ$16:$FJ$23)</f>
        <v>30724.008093543962</v>
      </c>
      <c r="BG613" s="1047">
        <f t="array" ref="BG613">SUMPRODUCT(IF(BE613*AZ613*AP613*$FI$16:$FI$23*$FA$22&gt;=$FI$24,$FI$24,BE613*AZ613*AP613*$FI$16:$FI$23*$FA$22),$FJ$16:$FJ$23)</f>
        <v>55667.81749249596</v>
      </c>
      <c r="BH613" s="1046">
        <f t="shared" si="824"/>
        <v>15801.774820660199</v>
      </c>
      <c r="BI613" s="1048">
        <f>IF(O613="vo",$EW$26/$EW$24*0.05,0)+IF(O613="sk",-$EW$26/$EW$24*(0.05-INDEX(绊状态确认!W:W,MATCH($G613,绊状态确认!$B:$B,)))+0.05*$EW$28,0)+IF(O613="sp",0.05*$EW$32*$EW$30*(1-$EW$33)-(0.05-INDEX(绊状态确认!V:V,MATCH($G613,绊状态确认!$B:$B,)))*$EW$28,0)+IF(O613="gd",-(0.05-INDEX(绊状态确认!X:X,MATCH($G613,绊状态确认!$B:$B,)))*$EW$32*$EW$30*(1-$EW$33),0)</f>
        <v>-6253.6726349699375</v>
      </c>
      <c r="BJ613" s="1097">
        <f>IF(O613="vo",0.05*(1-$FI$26)*$FA$24,0)+IF(O613="sk",-(0.05-INDEX(绊状态确认!W:W,MATCH($G613,绊状态确认!$B:$B,)))*(1-$FI$26)*$FA$24+0.05*$FA$26,0)+IF(O613="sp",0.05*$FA$32*$FA$27*(1-$FA$33)/$FA$30+0.05*$FA$29/$FA$69*$FA$27*(1-$FA$33)-(0.05-INDEX(绊状态确认!V:V,MATCH($G613,绊状态确认!$B:$B,)))*$FA$26,0)+IF(O613="gd",-(0.05-INDEX(绊状态确认!X:X,MATCH($G613,绊状态确认!$B:$B,)))*$FA$32*$FA$27*(1-$FA$33)/$FA$30-(0.05-INDEX(绊状态确认!X:X,MATCH($G613,绊状态确认!$B:$B,)))*$FA$29/$FA$69*$FA$27*(1-$FA$33),0)</f>
        <v>20.459096812499922</v>
      </c>
      <c r="BK613" s="1046">
        <f>IF(O613="vo",$EW$26/$EW$24*0.05+$EW$26*(-HP($EW$62,$EW$65,$EW$64)+HP($EW$62,$EW$65,(1.05-INDEX(绊状态确认!U:U,MATCH($G613,绊状态确认!$B:$B,)))*$EW$64)),0)+IF(O613="sk",-$EW$26/$EW$24*(0.05-INDEX(绊状态确认!W:W,MATCH($G613,绊状态确认!$B:$B,)))+0.05*$EW$29,0)+IF(O613="sp",0.05*$EW$32*$EW$30*(1-$EW$33)-(0.05-INDEX(绊状态确认!V:V,MATCH($G613,绊状态确认!$B:$B,)))*$EW$29,0)+IF(O613="gd",-(0.05-INDEX(绊状态确认!X:X,MATCH($G613,绊状态确认!$B:$B,)))*$EW$32*$EW$30*(1-$EW$33)+$EW$26*(-HP($EW$62,$EW$65,$EW$64)+HP($EW$62,$EW$65,0.95*$EW$64)),0)</f>
        <v>-4253.6726349699375</v>
      </c>
      <c r="BL613" s="1048">
        <f t="shared" si="825"/>
        <v>-1083.3333333333333</v>
      </c>
      <c r="BM613" s="1046">
        <f t="shared" si="826"/>
        <v>-830.55555555555543</v>
      </c>
      <c r="BN613" s="1113">
        <f t="shared" si="827"/>
        <v>3</v>
      </c>
      <c r="BO613" s="1108">
        <f t="shared" si="828"/>
        <v>4507.7214871259994</v>
      </c>
      <c r="BP613" s="1127">
        <f t="shared" si="829"/>
        <v>221.34103209030098</v>
      </c>
      <c r="BQ613" s="1167" t="s">
        <v>1941</v>
      </c>
      <c r="BR613" s="1165" t="s">
        <v>2075</v>
      </c>
      <c r="BS613" s="1098">
        <f>IF($P613="","N/A",IF($P613=-1,INDEX('卡片raw data'!AX:AX,MATCH($D613,'卡片raw data'!$F:$F,)),0)+IF($L613="party卡",IF($P613=5,INDEX('卡片raw data'!BD:BD,MATCH($D613,'卡片raw data'!$F:$F,)),IF($P613&gt;=3,INDEX('卡片raw data'!BC:BC,MATCH($D613,'卡片raw data'!$F:$F,)),INDEX('卡片raw data'!BB:BB,MATCH($D613,'卡片raw data'!$F:$F,)))),IF(OR(AND($F613="UR",$P613=0),AND($F613="SR",$P613&gt;=0,$P613&lt;=2),AND($F613="R",$P613&gt;=0,$P613&lt;4)),INDEX('卡片raw data'!AZ:AZ,MATCH($D613,'卡片raw data'!$F:$F,)),0)+IF(OR(AND($F613="UR",$P613&gt;=1,$P613&lt;=4),AND($F613="SR",$P613&lt;=4,$P613&gt;=3),AND($F613="R",$P613=4)),INDEX('卡片raw data'!BA:BA,MATCH($D613,'卡片raw data'!$F:$F,)),0)+IF($P613=5,INDEX('卡片raw data'!BB:BB,MATCH($D613,'卡片raw data'!$F:$F,)),0)))</f>
        <v>3.2000000000000001E-2</v>
      </c>
      <c r="BT613" s="1101">
        <f t="shared" si="830"/>
        <v>1509.2469769191675</v>
      </c>
      <c r="BU613" s="1097">
        <f t="shared" si="831"/>
        <v>95.522578685765595</v>
      </c>
      <c r="BV613" s="1097">
        <f t="shared" si="832"/>
        <v>754.62348845958354</v>
      </c>
      <c r="BW613" s="1112">
        <f t="shared" si="833"/>
        <v>0</v>
      </c>
      <c r="BX613" s="1100">
        <f t="shared" si="834"/>
        <v>1509.2469769191675</v>
      </c>
      <c r="BY613" s="1110">
        <f t="shared" si="835"/>
        <v>754.62348845958354</v>
      </c>
      <c r="BZ613" s="1113" t="s">
        <v>569</v>
      </c>
      <c r="CA613" s="1124"/>
      <c r="CB613" s="1098">
        <v>0</v>
      </c>
      <c r="CC613" s="1101">
        <f t="shared" si="873"/>
        <v>0</v>
      </c>
      <c r="CD613" s="1097">
        <f>IF(BZ613="ap",CB613*(1-$FI$26)*$FB$5/$FB$11*(+IF(CA613="全员",$FA$24,0)+IF(CA613="同作战",$FA$24,0)+IF(CA613="仲间",$FA$24*2/3,0)+IF(CA613="同属性",$FA$24*$FA$37/3,0)+IF(CA613="同年级",$FA$24*$FA$40/3,0)+IF(CA613="同学校",$FA$24*$FA$43/3,0)+IF(CA613="同小队",$FA$24*$FA$46/3,0)+IF(CA613="同type",$FA$24*INDEX($FB$49:$FB$52,MATCH(X613,$FA$49:$FA$52,))/3,0)+IF(CA613="自身",#REF!/3,0)),0)+IF(BZ613="te",CB613*(1-$FI$27)*($FA$20-1)*$FB$7/$FB$13*(+IF(CA613="全员",$FA$19*$FA$24/(1+($FA$20-1)*$FA$19),0)+IF(CA613="同作战",$FA$19*$FA$24/(1+($FA$20-1)*$FA$19),0)+IF(CA613="仲间",$FA$19*$FA$24*2/3/(1+($FA$20-1)*$FA$19),0)+IF(CA613="同属性",$FA$19*$FA$24*$FA$37/3/(1+($FA$20-1)*$FA$19),0)+IF(CA613="同年级",$FA$19*$FA$24*$FA$40/3/(1+($FA$20-1)*$FA$19),0)+IF(CA613="同学校",$FA$19*$FA$24*$FA$43/3/(1+($FA$20-1)*$FA$19),0)+IF(CA613="同小队",$FA$19*$FA$24*$FA$46/3/(1+($FA$20-1)*$FA$19),0)+IF(CA613="同type",$FA$19*$FA$24*INDEX($FB$49:$FB$52,MATCH(X613,$FA$49:$FA$52,))/3/(1+($FA$20-1)*$FA$19),0)+IF(CA613="自身",$FA$19*#REF!/3/(1+(BH613-1)*$BD613),0)),0)</f>
        <v>0</v>
      </c>
      <c r="CE613" s="1097">
        <f t="shared" si="836"/>
        <v>0</v>
      </c>
      <c r="CF613" s="1112">
        <f t="shared" si="874"/>
        <v>0</v>
      </c>
      <c r="CG613" s="1100">
        <f t="shared" si="837"/>
        <v>0</v>
      </c>
      <c r="CH613" s="1110">
        <f t="shared" si="838"/>
        <v>0</v>
      </c>
      <c r="CI613" s="1113" t="s">
        <v>165</v>
      </c>
      <c r="CJ613" s="1114">
        <v>0.3</v>
      </c>
      <c r="CK613" s="1115" t="s">
        <v>551</v>
      </c>
      <c r="CL613" s="1169" t="s">
        <v>1947</v>
      </c>
      <c r="CM613" s="1166">
        <v>0.03</v>
      </c>
      <c r="CN613" s="1169" t="s">
        <v>2076</v>
      </c>
      <c r="CO613" s="1169"/>
      <c r="CP613" s="1118">
        <f t="shared" si="839"/>
        <v>8.9999999999999993E-3</v>
      </c>
      <c r="CQ613" s="1118">
        <f t="shared" si="840"/>
        <v>8.9999999999999993E-3</v>
      </c>
      <c r="CR613" s="1118">
        <f t="shared" si="841"/>
        <v>8.9999999999999993E-3</v>
      </c>
      <c r="CS613" s="1118">
        <f>IF(CK613="技能+",IF(CN613="infty",(IF(CI613="曲开始",CM613*CJ613)+IF(OR(CI613="AC时",CI613="AC成功"),(1-(1-(1-CJ613)^($FM$20+1))/(($FM$20+1)*CJ613))*CM613))*(IF(CL613="全员",1)))+IF(CN613&lt;&gt;"infty",CM613*(IF(CI613="曲开始",CJ613*CN613/$FM$19)+IF(OR(CI613="AC时",CI613="AC成功"),CN613*IF(CO613&lt;&gt;"",MIN(CO613,CJ613*$FM$20),CJ613*$FM$20)/$FM$19)+IF(CI613="切队",CN613*IF(CO613&lt;&gt;"",MIN(CJ613*$FM$11,CO613/$FM$19),CJ613*$FM$11))+IF(CI613="ap时",IF(CO613&lt;&gt;"",MIN(CO613/$FM628,IF($O613="sk",$FM$10,$FM$9)*CJ613),IF($O613="sk",$FM$10,$FM$9)*CJ613)*CN613)+IF(CI613="ct时",IF(CO613&lt;&gt;"",MIN(CO613/$FM628,$AU613*IF($O613="sk",$FM$10,$FM$9)*CJ613),$AU613*IF($O613="sk",$FM$10,$FM$9)*CJ613)*CN613))*(IF(CL613="全员",1)+IF(CL613="同作战",IF($O613="sk",$FM$10*3,$FM$9*3))+IF(CL613="同属性",$FM$23/6)+IF(CL613="同年级",$FM$24/6)+IF(CL613="自身",IF($O613="sk",$FM$10,$FM$9)))),0)*$FM$16</f>
        <v>0</v>
      </c>
      <c r="CT613" s="1109">
        <f>IF(CK613="sp+",IF(CN613="infty",(IF(CI613="曲开始",CM613*CJ613*$FM$28)+IF(OR(CI613="AC时",CI613="AC成功"),(1-(1-(1-CJ613)^($FM$20+1))/(($FM$20+1)*CJ613))*CM613*$FM$28))*(IF(CL613="全员",1)))+IF(CN613&lt;&gt;"infty",CM613*$FM$28*(IF(CI613="曲开始",CJ613*CN613/$FM$19)+IF(OR(CI613="AC时",CI613="AC成功"),CN613*IF(CO613&lt;&gt;"",MIN(CO613,CJ613*$FM$20),CJ613*$FM$20)/$FM$19)+IF(CI613="切队",CN613*IF(CO613&lt;&gt;"",MIN(CJ613*$FM$11,CO613/$FM$19),CJ613*$FM$11))+IF(CI613="ap时",IF(CO613&lt;&gt;"",MIN(CO613/$FM628,IF($O613="sk",$FM$10,$FM$9)*CJ613),IF($O613="sk",$FM$10,$FM$9)*CJ613)*CN613)+IF(CI613="ct时",IF(CO613&lt;&gt;"",MIN(CO613/$FM628,$AU613*IF($O613="sk",$FM$10,$FM$9)*CJ613),$AU613*IF($O613="sk",$FM$10,$FM$9)*CJ613)*CN613))*(IF(CL613="全员",1)+IF(CL613="同作战",IF($O613="sk",$FM$10*3,$FM$9*3))+IF(CL613="同属性",$FM$23/6)+IF(CL613="同年级",$FM$24/6)+IF(CL613="同type",IF(O613="sp",$FN$6*$FM$9)))),0)+IF(CK613="sp获得",IF(CI613="AC成功",0,CM613*(IF(CL613="ap",AQ613)+IF(CL613="st",AR613)+IF(CL613="te",AS613)+IF(CL613="sp槽",$EW$77)+IF(CL613="",1))*IF($O613="sk",1,1+(1+$FM$10/$FM$9)*($FM$27-1))*(IF(CI613="曲开始",CJ613/$FM$19)+IF(CI613="SP发动",IF(CO613&lt;&gt;"",MIN(CO613/$FM$19,CJ613*$FM$30/$FM$19),CJ613*$FM$30/$FM$19))+IF(CI613="切队",IF(CO613&lt;&gt;"",MIN(CO613/$FM$19,CJ613*$FM$11),CJ613*$FM$11))+IF(OR(CI613="AC时",CI613="AC成功"),IF(CO613&lt;&gt;"",MIN(CO613/$FM$19,CJ613*$FM$20/$FM$19),CJ613*$FM$20/$FM$19))+IF(CI613="ap时",IF(CO613&lt;&gt;"",MIN(CO613/$FM$19,CJ613*IF($O613="sk",$FM$10,$FM$9)),CJ613*IF($O613="sk",$FM$10,$FM$9)))+IF(CI613="ct时",IF(CO613&lt;&gt;"",MIN(CO613/$FM$19,CJ613*IF($O613="sk",$FM$10,$FM$9)*$AU613),CJ613*IF($O613="sk",$FM$10,$FM$9)*$AU613)))))</f>
        <v>0</v>
      </c>
      <c r="CU613" s="1101">
        <f t="shared" si="842"/>
        <v>539.33504053893762</v>
      </c>
      <c r="CV613" s="1108">
        <f t="shared" si="870"/>
        <v>0</v>
      </c>
      <c r="CW613" s="1108">
        <f t="shared" si="843"/>
        <v>539.33504053893762</v>
      </c>
      <c r="CX613" s="1097">
        <f t="shared" si="844"/>
        <v>539.33504053893762</v>
      </c>
      <c r="CY613" s="1110">
        <f t="shared" si="845"/>
        <v>539.33504053893762</v>
      </c>
      <c r="CZ613" s="1113"/>
      <c r="DA613" s="1114"/>
      <c r="DB613" s="1115" t="s">
        <v>569</v>
      </c>
      <c r="DC613" s="1115"/>
      <c r="DD613" s="1119"/>
      <c r="DE613" s="1092"/>
      <c r="DF613" s="1092"/>
      <c r="DG613" s="1116">
        <f t="shared" si="846"/>
        <v>0</v>
      </c>
      <c r="DH613" s="1116">
        <f t="shared" si="847"/>
        <v>0</v>
      </c>
      <c r="DI613" s="1116">
        <f t="shared" si="848"/>
        <v>0</v>
      </c>
      <c r="DJ613" s="1118">
        <f t="shared" si="871"/>
        <v>0</v>
      </c>
      <c r="DK613" s="1109">
        <f t="shared" si="872"/>
        <v>0</v>
      </c>
      <c r="DL613" s="1101">
        <f t="shared" si="849"/>
        <v>0</v>
      </c>
      <c r="DM613" s="1097">
        <f t="shared" si="850"/>
        <v>0</v>
      </c>
      <c r="DN613" s="1097">
        <f t="shared" si="851"/>
        <v>0</v>
      </c>
      <c r="DO613" s="1097">
        <f t="shared" si="852"/>
        <v>0</v>
      </c>
      <c r="DP613" s="1110">
        <f t="shared" si="853"/>
        <v>0</v>
      </c>
      <c r="DQ613" s="1167" t="s">
        <v>2160</v>
      </c>
      <c r="DR613" s="1120">
        <f t="shared" si="877"/>
        <v>0.3</v>
      </c>
      <c r="DS613" s="1165">
        <v>5</v>
      </c>
      <c r="DT613" s="1124" t="s">
        <v>2075</v>
      </c>
      <c r="DU613" s="1165" t="s">
        <v>2145</v>
      </c>
      <c r="DV613" s="1098">
        <f>IF($P613="","N/A",IF(P613=-1,INDEX('卡片raw data'!AN:AN,MATCH(D613,'卡片raw data'!$F:$F,)),0)+IF(AND(L613&lt;&gt;"party卡",P613&lt;=2,P613&gt;=0),INDEX('卡片raw data'!AP:AP,MATCH(D613,'卡片raw data'!$F:$F,)),0)+IF(OR(AND(L613="party卡",P613&lt;=1),AND(P613&lt;=4,L613&lt;&gt;"party卡",P613&gt;=3)),INDEX('卡片raw data'!AQ:AQ,MATCH(D613,'卡片raw data'!$F:$F,)),0)+IF(OR(P613=5,AND(L613="party卡",P613&gt;=2)),INDEX('卡片raw data'!AR:AR,MATCH(D613,'卡片raw data'!$F:$F,)),0))</f>
        <v>3.5000000000000003E-2</v>
      </c>
      <c r="DW613" s="1098">
        <f t="shared" si="854"/>
        <v>0.3</v>
      </c>
      <c r="DX613" s="1098">
        <f t="shared" si="855"/>
        <v>0.3</v>
      </c>
      <c r="DY613" s="1098">
        <f t="shared" si="856"/>
        <v>1.1666666666666667E-2</v>
      </c>
      <c r="DZ613" s="1098">
        <f t="shared" si="857"/>
        <v>8.830208333333334E-3</v>
      </c>
      <c r="EA613" s="1098">
        <f t="shared" si="858"/>
        <v>6.5644710286458319E-3</v>
      </c>
      <c r="EB613" s="1121">
        <f t="shared" si="859"/>
        <v>0</v>
      </c>
      <c r="EC613" s="1101">
        <f t="shared" si="860"/>
        <v>494.94949494949498</v>
      </c>
      <c r="ED613" s="1097">
        <f t="shared" si="861"/>
        <v>200.68655303030303</v>
      </c>
      <c r="EE613" s="1110">
        <f t="shared" si="879"/>
        <v>494.94949494949498</v>
      </c>
      <c r="EF613" s="1113" t="s">
        <v>569</v>
      </c>
      <c r="EG613" s="1120">
        <f t="shared" si="878"/>
        <v>0.3</v>
      </c>
      <c r="EH613" s="1124"/>
      <c r="EI613" s="1124"/>
      <c r="EJ613" s="1124"/>
      <c r="EK613" s="1097">
        <f>IF($P613="","N/A",IF(P613=-1,INDEX('卡片raw data'!AS:AS,MATCH(D613,'卡片raw data'!$F:$F,)),0)+IF(AND(L613&lt;&gt;"party卡",P613&lt;=2,P613&gt;=0),INDEX('卡片raw data'!AU:AU,MATCH(D613,'卡片raw data'!$F:$F,)),0)+IF(OR(AND(L613="party卡",P613&lt;=1),AND(P613&lt;=4,L613&lt;&gt;"party卡",P613&gt;=3)),INDEX('卡片raw data'!AV:AV,MATCH(D613,'卡片raw data'!$F:$F,)),0)+IF(OR(P613=5,AND(L613="party卡",P613&gt;=2)),INDEX('卡片raw data'!AW:AW,MATCH(D613,'卡片raw data'!$F:$F,)),0))</f>
        <v>0</v>
      </c>
      <c r="EL613" s="1098">
        <f t="shared" si="862"/>
        <v>0.3</v>
      </c>
      <c r="EM613" s="1098">
        <f t="shared" si="863"/>
        <v>0.3</v>
      </c>
      <c r="EN613" s="1097">
        <f t="shared" si="864"/>
        <v>0</v>
      </c>
      <c r="EO613" s="1097">
        <f t="shared" si="865"/>
        <v>0</v>
      </c>
      <c r="EP613" s="1098">
        <f t="shared" si="866"/>
        <v>0</v>
      </c>
      <c r="EQ613" s="1121">
        <f t="shared" si="867"/>
        <v>0</v>
      </c>
      <c r="ER613" s="1101">
        <f t="shared" si="868"/>
        <v>0</v>
      </c>
      <c r="ES613" s="1097">
        <f t="shared" si="869"/>
        <v>0</v>
      </c>
      <c r="ET613" s="1122">
        <f t="shared" si="880"/>
        <v>0</v>
      </c>
    </row>
    <row r="614" spans="2:150" ht="16.5" customHeight="1">
      <c r="B614" s="1123" t="str">
        <f>INDEX('卡片raw data'!B:B,MATCH($D614,'卡片raw data'!$F:$F,))</f>
        <v>prt璃</v>
      </c>
      <c r="C614" s="1025" t="s">
        <v>4931</v>
      </c>
      <c r="D614" s="408">
        <v>611</v>
      </c>
      <c r="E614" s="1164">
        <v>302093003</v>
      </c>
      <c r="F614" s="1090" t="str">
        <f>INDEX('卡片raw data'!C:C,MATCH($D614,'卡片raw data'!$F:$F,))</f>
        <v>UR</v>
      </c>
      <c r="G614" s="1026" t="s">
        <v>4932</v>
      </c>
      <c r="H614" s="411">
        <f>IFERROR(INDEX(绊状态确认!C:C,MATCH($G614,绊状态确认!$B:$B,)),"")</f>
        <v>209</v>
      </c>
      <c r="I614" s="450" t="str">
        <f>IFERROR(INDEX(绊状态确认!D:D,MATCH($G614,绊状态确认!$B:$B,)),"")</f>
        <v>虹</v>
      </c>
      <c r="J614" s="450" t="str">
        <f>IFERROR(INDEX(绊状态确认!E:E,MATCH($G614,绊状态确认!$B:$B,)),"")</f>
        <v>1年级</v>
      </c>
      <c r="K614" s="451" t="str">
        <f>IFERROR(INDEX(绊状态确认!F:F,MATCH($G614,绊状态确认!$B:$B,)),"")</f>
        <v>QU4RTZ</v>
      </c>
      <c r="L614" s="1094" t="str">
        <f>INDEX('卡片raw data'!E:E,MATCH($D614,'卡片raw data'!$F:$F,))</f>
        <v>party卡</v>
      </c>
      <c r="M614" s="1065">
        <v>44575</v>
      </c>
      <c r="N614" s="1027">
        <v>55.5</v>
      </c>
      <c r="O614" s="1091" t="str">
        <f>INDEX('卡片raw data'!D:D,MATCH($D614,'卡片raw data'!$F:$F,))</f>
        <v>sp</v>
      </c>
      <c r="P614" s="1028">
        <v>5</v>
      </c>
      <c r="Q614" s="1095">
        <f t="shared" si="796"/>
        <v>66382.876321501244</v>
      </c>
      <c r="R614" s="1096">
        <f t="shared" si="797"/>
        <v>0.77100000000000002</v>
      </c>
      <c r="S614" s="1097">
        <f t="shared" si="798"/>
        <v>23442.836195010797</v>
      </c>
      <c r="T614" s="1098">
        <f t="shared" si="799"/>
        <v>1.1719999999999999</v>
      </c>
      <c r="U614" s="1099">
        <f t="shared" si="800"/>
        <v>17.726370218142854</v>
      </c>
      <c r="V614" s="1100">
        <f t="shared" si="801"/>
        <v>66013.797432714622</v>
      </c>
      <c r="W614" s="1101">
        <f t="shared" si="802"/>
        <v>7705.2006719030196</v>
      </c>
      <c r="X614" s="1096">
        <f t="shared" si="803"/>
        <v>8.8999999999999996E-2</v>
      </c>
      <c r="Y614" s="1097">
        <f t="shared" si="804"/>
        <v>1430.9211112133762</v>
      </c>
      <c r="Z614" s="1102">
        <f t="shared" si="805"/>
        <v>17.726370218142854</v>
      </c>
      <c r="AA614" s="1103">
        <f t="shared" si="806"/>
        <v>9136.1217831163958</v>
      </c>
      <c r="AB614" s="1101">
        <f t="shared" si="807"/>
        <v>9332.9889866985195</v>
      </c>
      <c r="AC614" s="1104">
        <f t="shared" si="808"/>
        <v>0.108</v>
      </c>
      <c r="AD614" s="1105">
        <f t="shared" si="809"/>
        <v>-1.6087500000000001E-2</v>
      </c>
      <c r="AE614" s="1128">
        <f t="shared" si="810"/>
        <v>71.261690543478238</v>
      </c>
      <c r="AF614" s="1130">
        <f t="shared" si="811"/>
        <v>0</v>
      </c>
      <c r="AG614" s="1097">
        <f t="shared" si="812"/>
        <v>0</v>
      </c>
      <c r="AH614" s="1097">
        <f t="shared" si="813"/>
        <v>0</v>
      </c>
      <c r="AI614" s="1097">
        <f t="shared" si="814"/>
        <v>0</v>
      </c>
      <c r="AJ614" s="1097">
        <f t="shared" si="815"/>
        <v>0</v>
      </c>
      <c r="AK614" s="1129">
        <f t="shared" si="816"/>
        <v>0</v>
      </c>
      <c r="AL614" s="1042">
        <f>IF($P614="","N/A",(IF($P614=-1,INDEX('卡片raw data'!S:S,MATCH($D614,'卡片raw data'!$F:$F,)),0)+IF($P614=0,INDEX('卡片raw data'!V:V,MATCH($D614,'卡片raw data'!$F:$F,)),0)+IF($P614=1,INDEX('卡片raw data'!Y:Y,MATCH($D614,'卡片raw data'!$F:$F,)),0)+IF($P614=2,INDEX('卡片raw data'!AB:AB,MATCH($D614,'卡片raw data'!$F:$F,)),0)+IF($P614=3,INDEX('卡片raw data'!AE:AE,MATCH($D614,'卡片raw data'!$F:$F,)),0)+IF($P614=4,INDEX('卡片raw data'!AH:AH,MATCH($D614,'卡片raw data'!$F:$F,)),0)+IF($P614=5,INDEX('卡片raw data'!AK:AK,MATCH($D614,'卡片raw data'!$F:$F,)),0)+INDEX('卡片raw data'!S:S,MATCH($D614,'卡片raw data'!$F:$F,))*(IF($F614="UR",0.04,0.033))*(IF($F614="UR",INDEX(绊状态确认!$S:$S,MATCH($G614,绊状态确认!$B:$B,))/2-40)+IF($F614="SR",INDEX(绊状态确认!$R:$R,MATCH($G614,绊状态确认!$B:$B,))/4-15))+IF($F614="R",INDEX(绊状态确认!$Q:$Q,MATCH($G614,绊状态确认!$B:$B,))/6-40/6)))*(INDEX(绊状态确认!$H:$H,MATCH($G614,绊状态确认!$B:$B,))+INDEX(绊状态确认!J:J,MATCH($G614,绊状态确认!$B:$B,)))</f>
        <v>13259.969759999998</v>
      </c>
      <c r="AM614" s="1035">
        <f>IF($P614="","N/A",(IF($P614=-1,INDEX('卡片raw data'!T:T,MATCH($D614,'卡片raw data'!$F:$F,)),0)+IF($P614=0,INDEX('卡片raw data'!W:W,MATCH($D614,'卡片raw data'!$F:$F,)),0)+IF($P614=1,INDEX('卡片raw data'!Z:Z,MATCH($D614,'卡片raw data'!$F:$F,)),0)+IF($P614=2,INDEX('卡片raw data'!AC:AC,MATCH($D614,'卡片raw data'!$F:$F,)),0)+IF($P614=3,INDEX('卡片raw data'!AF:AF,MATCH($D614,'卡片raw data'!$F:$F,)),0)+IF($P614=4,INDEX('卡片raw data'!AI:AI,MATCH($D614,'卡片raw data'!$F:$F,)),0)+IF($P614=5,INDEX('卡片raw data'!AL:AL,MATCH($D614,'卡片raw data'!$F:$F,)),0)+INDEX('卡片raw data'!T:T,MATCH($D614,'卡片raw data'!$F:$F,))*(IF($F614="UR",0.04,0.033))*(IF($F614="UR",INDEX(绊状态确认!$S:$S,MATCH($G614,绊状态确认!$B:$B,))/2-40)+IF($F614="SR",INDEX(绊状态确认!$R:$R,MATCH($G614,绊状态确认!$B:$B,))/4-15))+IF($F614="R",INDEX(绊状态确认!$Q:$Q,MATCH($G614,绊状态确认!$B:$B,))/6-40/6)))*(INDEX(绊状态确认!$H:$H,MATCH($G614,绊状态确认!$B:$B,))+INDEX(绊状态确认!K:K,MATCH($G614,绊状态确认!$B:$B,)))</f>
        <v>10139.642639999998</v>
      </c>
      <c r="AN614" s="1043">
        <f>IF($P614="","N/A",(IF($P614=-1,INDEX('卡片raw data'!U:U,MATCH($D614,'卡片raw data'!$F:$F,)),0)+IF($P614=0,INDEX('卡片raw data'!X:X,MATCH($D614,'卡片raw data'!$F:$F,)),0)+IF($P614=1,INDEX('卡片raw data'!AA:AA,MATCH($D614,'卡片raw data'!$F:$F,)),0)+IF($P614=2,INDEX('卡片raw data'!AD:AD,MATCH($D614,'卡片raw data'!$F:$F,)),0)+IF($P614=3,INDEX('卡片raw data'!AG:AG,MATCH($D614,'卡片raw data'!$F:$F,)),0)+IF($P614=4,INDEX('卡片raw data'!AJ:AJ,MATCH($D614,'卡片raw data'!$F:$F,)),0)+IF($P614=5,INDEX('卡片raw data'!AM:AM,MATCH($D614,'卡片raw data'!$F:$F,)),0)+INDEX('卡片raw data'!U:U,MATCH($D614,'卡片raw data'!$F:$F,))*(IF($F614="UR",0.04,0.033))*(IF($F614="UR",INDEX(绊状态确认!$S:$S,MATCH($G614,绊状态确认!$B:$B,))/2-40)+IF($F614="SR",INDEX(绊状态确认!$R:$R,MATCH($G614,绊状态确认!$B:$B,))/4-15))+IF($F614="R",INDEX(绊状态确认!$Q:$Q,MATCH($G614,绊状态确认!$B:$B,))/6-40/6)))*(INDEX(绊状态确认!$H:$H,MATCH($G614,绊状态确认!$B:$B,))+INDEX(绊状态确认!L:L,MATCH($G614,绊状态确认!$B:$B,)))</f>
        <v>15600.499199999998</v>
      </c>
      <c r="AO614" s="1167">
        <f t="shared" si="817"/>
        <v>1</v>
      </c>
      <c r="AP614" s="1044">
        <f>1+(INDEX(绊状态确认!$T:$T,MATCH($G614,绊状态确认!$B:$B,))+0.2)*$AO614</f>
        <v>1.3</v>
      </c>
      <c r="AQ614" s="1035">
        <f t="shared" si="818"/>
        <v>38057.420619999997</v>
      </c>
      <c r="AR614" s="1035">
        <f>(AM614*(1+$EX$9)+$EX$35)*(1+(INDEX(绊状态确认!$T:$T,MATCH($G614,绊状态确认!$B:$B,))+0.2)*AO614)*IF(J614=$FF$17,1+$FE$17,1)*IF(I614=$FF$14,1+$FE$14,1)</f>
        <v>16544.612203599998</v>
      </c>
      <c r="AS614" s="1035">
        <f>(AN614*(1+$EX$10)+$EX$36)*(1+(INDEX(绊状态确认!$T:$T,MATCH($G614,绊状态确认!$B:$B,))+0.2)*AO614)*IF(J614=$FF$17,1+$FE$17,1)*IF(I614=$FF$14,1+$FE$14,1)</f>
        <v>27378.746304</v>
      </c>
      <c r="AT614" s="1165">
        <f>IF(AND(INDEX('卡片raw data'!AK:AK,MATCH($D614,'卡片raw data'!$F:$F,))&lt;INDEX('卡片raw data'!AM:AM,MATCH($D614,'卡片raw data'!$F:$F,)),INDEX('卡片raw data'!AL:AL,MATCH($D614,'卡片raw data'!$F:$F,))&lt;INDEX('卡片raw data'!AM:AM,MATCH($D614,'卡片raw data'!$F:$F,))),1,0)</f>
        <v>1</v>
      </c>
      <c r="AU614" s="1031">
        <f>MIN(AT614*0.15+AS614*0.00003+INDEX(绊状态确认!M:M,MATCH($G614,绊状态确认!$B:$B,)),1)</f>
        <v>1</v>
      </c>
      <c r="AV614" s="1045">
        <f>(INDEX(绊状态确认!$N:$N,MATCH($G614,绊状态确认!$B:$B,))+1.5)*$EW$21</f>
        <v>2.6599999999999997</v>
      </c>
      <c r="AW614" s="1038">
        <f t="shared" si="819"/>
        <v>52574.887334802726</v>
      </c>
      <c r="AX614" s="1035">
        <f t="shared" si="820"/>
        <v>1430.921111213376</v>
      </c>
      <c r="AY614" s="483">
        <f t="shared" si="821"/>
        <v>54005.808446016104</v>
      </c>
      <c r="AZ614" s="1106">
        <f t="shared" si="822"/>
        <v>28456.941031999995</v>
      </c>
      <c r="BA614" s="1108">
        <f t="shared" si="823"/>
        <v>34148.329238399994</v>
      </c>
      <c r="BB614" s="1035">
        <f>(AM614*(1+$FB$9)+$FB$35)*(1+(INDEX(绊状态确认!$T:$T,MATCH($G614,绊状态确认!$B:$B,))+0.2)*AO614)*IF(J614=$FF$17,1+$FE$17,1)*IF(I614=$FF$14,1+$FE$14,1)*(1+$FE$15)</f>
        <v>16544.612203599998</v>
      </c>
      <c r="BC614" s="1035">
        <f>(AN614*(1+$FB$10)+$FB$36)*(1+(INDEX(绊状态确认!$T:$T,MATCH($G614,绊状态确认!$B:$B,))+0.2)*AO614)*IF(J614=$FF$17,1+$FE$17,1)*IF(I614=$FF$14,1+$FE$14,1)*(1+$FE$15)</f>
        <v>27378.746304</v>
      </c>
      <c r="BD614" s="481">
        <f>MIN(AT614*0.15+BC614*0.00003+INDEX(绊状态确认!M:M,MATCH($G614,绊状态确认!$B:$B,)),1)</f>
        <v>1</v>
      </c>
      <c r="BE614" s="1109">
        <f>(INDEX(绊状态确认!$N:$N,MATCH($G614,绊状态确认!$B:$B,))+1.5)</f>
        <v>1.9</v>
      </c>
      <c r="BF614" s="646">
        <f t="array" ref="BF614">SUMPRODUCT(IF(AZ614*AP614*$FI$16:$FI$23*$FA$22&gt;=$FI$24,$FI$24,AZ614*AP614*$FI$16:$FI$23*$FA$22),$FJ$16:$FJ$23)</f>
        <v>54624.083108183993</v>
      </c>
      <c r="BG614" s="1047">
        <f t="array" ref="BG614">SUMPRODUCT(IF(BE614*AZ614*AP614*$FI$16:$FI$23*$FA$22&gt;=$FI$24,$FI$24,BE614*AZ614*AP614*$FI$16:$FI$23*$FA$22),$FJ$16:$FJ$23)</f>
        <v>60000</v>
      </c>
      <c r="BH614" s="1046">
        <f t="shared" si="824"/>
        <v>20000</v>
      </c>
      <c r="BI614" s="1048">
        <f>IF(O614="vo",$EW$26/$EW$24*0.05,0)+IF(O614="sk",-$EW$26/$EW$24*(0.05-INDEX(绊状态确认!W:W,MATCH($G614,绊状态确认!$B:$B,)))+0.05*$EW$28,0)+IF(O614="sp",0.05*$EW$32*$EW$30*(1-$EW$33)-(0.05-INDEX(绊状态确认!V:V,MATCH($G614,绊状态确认!$B:$B,)))*$EW$28,0)+IF(O614="gd",-(0.05-INDEX(绊状态确认!X:X,MATCH($G614,绊状态确认!$B:$B,)))*$EW$32*$EW$30*(1-$EW$33),0)</f>
        <v>19.999999999999886</v>
      </c>
      <c r="BJ614" s="1097">
        <f>IF(O614="vo",0.05*(1-$FI$26)*$FA$24,0)+IF(O614="sk",-(0.05-INDEX(绊状态确认!W:W,MATCH($G614,绊状态确认!$B:$B,)))*(1-$FI$26)*$FA$24+0.05*$FA$26,0)+IF(O614="sp",0.05*$FA$32*$FA$27*(1-$FA$33)/$FA$30+0.05*$FA$29/$FA$69*$FA$27*(1-$FA$33)-(0.05-INDEX(绊状态确认!V:V,MATCH($G614,绊状态确认!$B:$B,)))*$FA$26,0)+IF(O614="gd",-(0.05-INDEX(绊状态确认!X:X,MATCH($G614,绊状态确认!$B:$B,)))*$FA$32*$FA$27*(1-$FA$33)/$FA$30-(0.05-INDEX(绊状态确认!X:X,MATCH($G614,绊状态确认!$B:$B,)))*$FA$29/$FA$69*$FA$27*(1-$FA$33),0)</f>
        <v>545.83333333333326</v>
      </c>
      <c r="BK614" s="1046">
        <f>IF(O614="vo",$EW$26/$EW$24*0.05+$EW$26*(-HP($EW$62,$EW$65,$EW$64)+HP($EW$62,$EW$65,(1.05-INDEX(绊状态确认!U:U,MATCH($G614,绊状态确认!$B:$B,)))*$EW$64)),0)+IF(O614="sk",-$EW$26/$EW$24*(0.05-INDEX(绊状态确认!W:W,MATCH($G614,绊状态确认!$B:$B,)))+0.05*$EW$29,0)+IF(O614="sp",0.05*$EW$32*$EW$30*(1-$EW$33)-(0.05-INDEX(绊状态确认!V:V,MATCH($G614,绊状态确认!$B:$B,)))*$EW$29,0)+IF(O614="gd",-(0.05-INDEX(绊状态确认!X:X,MATCH($G614,绊状态确认!$B:$B,)))*$EW$32*$EW$30*(1-$EW$33)+$EW$26*(-HP($EW$62,$EW$65,$EW$64)+HP($EW$62,$EW$65,0.95*$EW$64)),0)</f>
        <v>-1780.0000000000005</v>
      </c>
      <c r="BL614" s="1048">
        <f t="shared" si="825"/>
        <v>0</v>
      </c>
      <c r="BM614" s="1046">
        <f t="shared" si="826"/>
        <v>0</v>
      </c>
      <c r="BN614" s="1167">
        <f t="shared" si="827"/>
        <v>4</v>
      </c>
      <c r="BO614" s="1035">
        <f t="shared" si="828"/>
        <v>6010.2953161679998</v>
      </c>
      <c r="BP614" s="1043">
        <f t="shared" si="829"/>
        <v>295.12137612040135</v>
      </c>
      <c r="BQ614" s="1167" t="s">
        <v>1940</v>
      </c>
      <c r="BR614" s="1165" t="s">
        <v>2075</v>
      </c>
      <c r="BS614" s="1098">
        <f>IF($P614="","N/A",IF($P614=-1,INDEX('卡片raw data'!AX:AX,MATCH($D614,'卡片raw data'!$F:$F,)),0)+IF($L614="party卡",IF($P614=5,INDEX('卡片raw data'!BD:BD,MATCH($D614,'卡片raw data'!$F:$F,)),IF($P614&gt;=3,INDEX('卡片raw data'!BC:BC,MATCH($D614,'卡片raw data'!$F:$F,)),INDEX('卡片raw data'!BB:BB,MATCH($D614,'卡片raw data'!$F:$F,)))),IF(OR(AND($F614="UR",$P614=0),AND($F614="SR",$P614&gt;=0,$P614&lt;=2),AND($F614="R",$P614&gt;=0,$P614&lt;4)),INDEX('卡片raw data'!AZ:AZ,MATCH($D614,'卡片raw data'!$F:$F,)),0)+IF(OR(AND($F614="UR",$P614&gt;=1,$P614&lt;=4),AND($F614="SR",$P614&lt;=4,$P614&gt;=3),AND($F614="R",$P614=4)),INDEX('卡片raw data'!BA:BA,MATCH($D614,'卡片raw data'!$F:$F,)),0)+IF($P614=5,INDEX('卡片raw data'!BB:BB,MATCH($D614,'卡片raw data'!$F:$F,)),0)))</f>
        <v>6.5000000000000002E-2</v>
      </c>
      <c r="BT614" s="1101">
        <f t="shared" si="830"/>
        <v>3255.5766295909998</v>
      </c>
      <c r="BU614" s="1097">
        <f t="shared" si="831"/>
        <v>139.87523555706522</v>
      </c>
      <c r="BV614" s="1097">
        <f t="shared" si="832"/>
        <v>1627.7883147955001</v>
      </c>
      <c r="BW614" s="1112">
        <f t="shared" si="833"/>
        <v>0</v>
      </c>
      <c r="BX614" s="1100">
        <f t="shared" si="834"/>
        <v>3255.5766295909998</v>
      </c>
      <c r="BY614" s="1110">
        <f t="shared" si="835"/>
        <v>1627.7883147955001</v>
      </c>
      <c r="BZ614" s="1113" t="s">
        <v>569</v>
      </c>
      <c r="CA614" s="1124"/>
      <c r="CB614" s="1098">
        <f>IF($P614="","N/A",IF($P614=-1,INDEX('卡片raw data'!BE:BE,MATCH($D614,'卡片raw data'!$F:$F,)),0)+IF($L614="party卡",IF($P614=5,INDEX('卡片raw data'!BK:BK,MATCH($D614,'卡片raw data'!$F:$F,)),IF($P614&gt;=3,INDEX('卡片raw data'!BJ:BJ,MATCH($D614,'卡片raw data'!$F:$F,)),INDEX('卡片raw data'!BI:BI,MATCH($D614,'卡片raw data'!$F:$F,)))),IF(OR(AND($F614="UR",$P614=0),AND($F614="SR",$P614&gt;=0,$P614&lt;=2),AND($F614="R",$P614&gt;=0,$P614&lt;4)),INDEX('卡片raw data'!BG:BG,MATCH($D614,'卡片raw data'!$F:$F,)),0)+IF(OR(AND($F614="UR",$P614&gt;=1,$P614&lt;=4),AND($F614="SR",$P614&lt;=4,$P614&gt;=3),AND($F614="R",$P614=4)),INDEX('卡片raw data'!BH:BH,MATCH($D614,'卡片raw data'!$F:$F,)),0)+IF($P614=5,INDEX('卡片raw data'!BI:BI,MATCH($D614,'卡片raw data'!$F:$F,)),0)))</f>
        <v>0</v>
      </c>
      <c r="CC614" s="1101">
        <f t="shared" si="873"/>
        <v>0</v>
      </c>
      <c r="CD614" s="1097">
        <f>IF(BZ614="ap",CB614*(1-$FI$26)*$FB$5/$FB$11*(+IF(CA614="全员",$FA$24,0)+IF(CA614="同作战",$FA$24,0)+IF(CA614="仲间",$FA$24*2/3,0)+IF(CA614="同属性",$FA$24*$FA$37/3,0)+IF(CA614="同年级",$FA$24*$FA$40/3,0)+IF(CA614="同学校",$FA$24*$FA$43/3,0)+IF(CA614="同小队",$FA$24*$FA$46/3,0)+IF(CA614="同type",$FA$24*INDEX($FB$49:$FB$52,MATCH(X614,$FA$49:$FA$52,))/3,0)+IF(CA614="自身",#REF!/3,0)),0)+IF(BZ614="te",CB614*(1-$FI$27)*($FA$20-1)*$FB$7/$FB$13*(+IF(CA614="全员",$FA$19*$FA$24/(1+($FA$20-1)*$FA$19),0)+IF(CA614="同作战",$FA$19*$FA$24/(1+($FA$20-1)*$FA$19),0)+IF(CA614="仲间",$FA$19*$FA$24*2/3/(1+($FA$20-1)*$FA$19),0)+IF(CA614="同属性",$FA$19*$FA$24*$FA$37/3/(1+($FA$20-1)*$FA$19),0)+IF(CA614="同年级",$FA$19*$FA$24*$FA$40/3/(1+($FA$20-1)*$FA$19),0)+IF(CA614="同学校",$FA$19*$FA$24*$FA$43/3/(1+($FA$20-1)*$FA$19),0)+IF(CA614="同小队",$FA$19*$FA$24*$FA$46/3/(1+($FA$20-1)*$FA$19),0)+IF(CA614="同type",$FA$19*$FA$24*INDEX($FB$49:$FB$52,MATCH(X614,$FA$49:$FA$52,))/3/(1+($FA$20-1)*$FA$19),0)+IF(CA614="自身",$FA$19*#REF!/3/(1+(BH614-1)*$BD614),0)),0)</f>
        <v>0</v>
      </c>
      <c r="CE614" s="1097">
        <f t="shared" si="836"/>
        <v>0</v>
      </c>
      <c r="CF614" s="1112">
        <f t="shared" si="874"/>
        <v>0</v>
      </c>
      <c r="CG614" s="1100">
        <f t="shared" si="837"/>
        <v>0</v>
      </c>
      <c r="CH614" s="1110">
        <f t="shared" si="838"/>
        <v>0</v>
      </c>
      <c r="CI614" s="1113" t="s">
        <v>164</v>
      </c>
      <c r="CJ614" s="1114">
        <v>1</v>
      </c>
      <c r="CK614" s="1115" t="s">
        <v>2158</v>
      </c>
      <c r="CL614" s="1115" t="s">
        <v>1941</v>
      </c>
      <c r="CM614" s="1166">
        <v>0.08</v>
      </c>
      <c r="CN614" s="1169"/>
      <c r="CO614" s="1169"/>
      <c r="CP614" s="1116">
        <f t="shared" si="839"/>
        <v>46.934993664000004</v>
      </c>
      <c r="CQ614" s="1116">
        <f t="shared" si="840"/>
        <v>73.009990144000014</v>
      </c>
      <c r="CR614" s="1116">
        <f t="shared" si="841"/>
        <v>46.934993664000004</v>
      </c>
      <c r="CS614" s="1118">
        <f>IF(CK614="技能+",IF(CN614="infty",(IF(CI614="曲开始",CM614*CJ614)+IF(OR(CI614="AC时",CI614="AC成功"),(1-(1-(1-CJ614)^($FM$20+1))/(($FM$20+1)*CJ614))*CM614))*(IF(CL614="全员",1)))+IF(CN614&lt;&gt;"infty",CM614*(IF(CI614="曲开始",CJ614*CN614/$FM$19)+IF(OR(CI614="AC时",CI614="AC成功"),CN614*IF(CO614&lt;&gt;"",MIN(CO614,CJ614*$FM$20),CJ614*$FM$20)/$FM$19)+IF(CI614="切队",CN614*IF(CO614&lt;&gt;"",MIN(CJ614*$FM$11,CO614/$FM$19),CJ614*$FM$11))+IF(CI614="ap时",IF(CO614&lt;&gt;"",MIN(CO614/$FM629,IF($O614="sk",$FM$10,$FM$9)*CJ614),IF($O614="sk",$FM$10,$FM$9)*CJ614)*CN614)+IF(CI614="ct时",IF(CO614&lt;&gt;"",MIN(CO614/$FM629,$AU614*IF($O614="sk",$FM$10,$FM$9)*CJ614),$AU614*IF($O614="sk",$FM$10,$FM$9)*CJ614)*CN614))*(IF(CL614="全员",1)+IF(CL614="同作战",IF($O614="sk",$FM$10*3,$FM$9*3))+IF(CL614="同属性",$FM$23/6)+IF(CL614="同年级",$FM$24/6)+IF(CL614="自身",IF($O614="sk",$FM$10,$FM$9)))),0)*$FM$16</f>
        <v>0</v>
      </c>
      <c r="CT614" s="1109">
        <f>IF(CK614="sp+",IF(CN614="infty",(IF(CI614="曲开始",CM614*CJ614*$FM$28)+IF(OR(CI614="AC时",CI614="AC成功"),(1-(1-(1-CJ614)^($FM$20+1))/(($FM$20+1)*CJ614))*CM614*$FM$28))*(IF(CL614="全员",1)))+IF(CN614&lt;&gt;"infty",CM614*$FM$28*(IF(CI614="曲开始",CJ614*CN614/$FM$19)+IF(OR(CI614="AC时",CI614="AC成功"),CN614*IF(CO614&lt;&gt;"",MIN(CO614,CJ614*$FM$20),CJ614*$FM$20)/$FM$19)+IF(CI614="切队",CN614*IF(CO614&lt;&gt;"",MIN(CJ614*$FM$11,CO614/$FM$19),CJ614*$FM$11))+IF(CI614="ap时",IF(CO614&lt;&gt;"",MIN(CO614/$FM629,IF($O614="sk",$FM$10,$FM$9)*CJ614),IF($O614="sk",$FM$10,$FM$9)*CJ614)*CN614)+IF(CI614="ct时",IF(CO614&lt;&gt;"",MIN(CO614/$FM629,$AU614*IF($O614="sk",$FM$10,$FM$9)*CJ614),$AU614*IF($O614="sk",$FM$10,$FM$9)*CJ614)*CN614))*(IF(CL614="全员",1)+IF(CL614="同作战",IF($O614="sk",$FM$10*3,$FM$9*3))+IF(CL614="同属性",$FM$23/6)+IF(CL614="同年级",$FM$24/6)+IF(CL614="同type",IF(O614="sp",$FN$6*$FM$9)))),0)+IF(CK614="sp获得",IF(CI614="AC成功",0,CM614*(IF(CL614="ap",AQ614)+IF(CL614="st",AR614)+IF(CL614="te",AS614)+IF(CL614="sp槽",$EW$77)+IF(CL614="",1))*IF($O614="sk",1,1+(1+$FM$10/$FM$9)*($FM$27-1))*(IF(CI614="曲开始",CJ614/$FM$19)+IF(CI614="SP发动",IF(CO614&lt;&gt;"",MIN(CO614/$FM$19,CJ614*$FM$30/$FM$19),CJ614*$FM$30/$FM$19))+IF(CI614="切队",IF(CO614&lt;&gt;"",MIN(CO614/$FM$19,CJ614*$FM$11),CJ614*$FM$11))+IF(OR(CI614="AC时",CI614="AC成功"),IF(CO614&lt;&gt;"",MIN(CO614/$FM$19,CJ614*$FM$20/$FM$19),CJ614*$FM$20/$FM$19))+IF(CI614="ap时",IF(CO614&lt;&gt;"",MIN(CO614/$FM$19,CJ614*IF($O614="sk",$FM$10,$FM$9)),CJ614*IF($O614="sk",$FM$10,$FM$9)))+IF(CI614="ct时",IF(CO614&lt;&gt;"",MIN(CO614/$FM$19,CJ614*IF($O614="sk",$FM$10,$FM$9)*$AU614),CJ614*IF($O614="sk",$FM$10,$FM$9)*$AU614)))))</f>
        <v>0</v>
      </c>
      <c r="CU614" s="1101">
        <f t="shared" si="842"/>
        <v>67.11704093952001</v>
      </c>
      <c r="CV614" s="1108">
        <f t="shared" si="870"/>
        <v>0</v>
      </c>
      <c r="CW614" s="1097">
        <f t="shared" si="843"/>
        <v>67.11704093952001</v>
      </c>
      <c r="CX614" s="1097">
        <f t="shared" si="844"/>
        <v>67.11704093952001</v>
      </c>
      <c r="CY614" s="1110">
        <f t="shared" si="845"/>
        <v>67.11704093952001</v>
      </c>
      <c r="CZ614" s="437"/>
      <c r="DA614" s="438"/>
      <c r="DB614" s="1115" t="s">
        <v>569</v>
      </c>
      <c r="DC614" s="1115"/>
      <c r="DD614" s="1119"/>
      <c r="DE614" s="1092"/>
      <c r="DF614" s="1092"/>
      <c r="DG614" s="1116">
        <f t="shared" si="846"/>
        <v>0</v>
      </c>
      <c r="DH614" s="1116">
        <f t="shared" si="847"/>
        <v>0</v>
      </c>
      <c r="DI614" s="1116">
        <f t="shared" si="848"/>
        <v>0</v>
      </c>
      <c r="DJ614" s="1118">
        <f t="shared" si="871"/>
        <v>0</v>
      </c>
      <c r="DK614" s="1109">
        <f t="shared" si="872"/>
        <v>0</v>
      </c>
      <c r="DL614" s="1101">
        <f t="shared" si="849"/>
        <v>0</v>
      </c>
      <c r="DM614" s="1097">
        <f t="shared" si="850"/>
        <v>0</v>
      </c>
      <c r="DN614" s="1097">
        <f t="shared" si="851"/>
        <v>0</v>
      </c>
      <c r="DO614" s="1097">
        <f t="shared" si="852"/>
        <v>0</v>
      </c>
      <c r="DP614" s="1110">
        <f t="shared" si="853"/>
        <v>0</v>
      </c>
      <c r="DQ614" s="1113" t="s">
        <v>549</v>
      </c>
      <c r="DR614" s="1120">
        <f t="shared" si="877"/>
        <v>0.33</v>
      </c>
      <c r="DS614" s="1124"/>
      <c r="DT614" s="1124" t="s">
        <v>179</v>
      </c>
      <c r="DU614" s="1124"/>
      <c r="DV614" s="1098">
        <f>IF($P614="","N/A",IF(P614=-1,INDEX('卡片raw data'!AN:AN,MATCH(D614,'卡片raw data'!$F:$F,)),0)+IF(AND(L614&lt;&gt;"party卡",P614&lt;=2,P614&gt;=0),INDEX('卡片raw data'!AP:AP,MATCH(D614,'卡片raw data'!$F:$F,)),0)+IF(OR(AND(L614="party卡",P614&lt;=1),AND(P614&lt;=4,L614&lt;&gt;"party卡",P614&gt;=3)),INDEX('卡片raw data'!AQ:AQ,MATCH(D614,'卡片raw data'!$F:$F,)),0)+IF(OR(P614=5,AND(L614="party卡",P614&gt;=2)),INDEX('卡片raw data'!AR:AR,MATCH(D614,'卡片raw data'!$F:$F,)),0))</f>
        <v>0.09</v>
      </c>
      <c r="DW614" s="1098">
        <f t="shared" si="854"/>
        <v>0.33</v>
      </c>
      <c r="DX614" s="1098">
        <f t="shared" si="855"/>
        <v>0.33</v>
      </c>
      <c r="DY614" s="1098">
        <f t="shared" si="856"/>
        <v>9.9000000000000008E-3</v>
      </c>
      <c r="DZ614" s="1098">
        <f t="shared" si="857"/>
        <v>9.8480249999999998E-3</v>
      </c>
      <c r="EA614" s="1098">
        <f t="shared" si="858"/>
        <v>0</v>
      </c>
      <c r="EB614" s="1121">
        <f t="shared" si="859"/>
        <v>60.337777499999987</v>
      </c>
      <c r="EC614" s="1101">
        <f t="shared" si="860"/>
        <v>4455</v>
      </c>
      <c r="ED614" s="1097">
        <f t="shared" si="861"/>
        <v>2462.0062499999999</v>
      </c>
      <c r="EE614" s="1110">
        <f t="shared" si="879"/>
        <v>4455</v>
      </c>
      <c r="EF614" s="1113" t="s">
        <v>569</v>
      </c>
      <c r="EG614" s="1120">
        <f t="shared" si="878"/>
        <v>0.33</v>
      </c>
      <c r="EH614" s="1124"/>
      <c r="EI614" s="1124"/>
      <c r="EJ614" s="1124"/>
      <c r="EK614" s="1097">
        <f>IF($P614="","N/A",IF(P614=-1,INDEX('卡片raw data'!AS:AS,MATCH(D614,'卡片raw data'!$F:$F,)),0)+IF(AND(L614&lt;&gt;"party卡",P614&lt;=2,P614&gt;=0),INDEX('卡片raw data'!AU:AU,MATCH(D614,'卡片raw data'!$F:$F,)),0)+IF(OR(AND(L614="party卡",P614&lt;=1),AND(P614&lt;=4,L614&lt;&gt;"party卡",P614&gt;=3)),INDEX('卡片raw data'!AV:AV,MATCH(D614,'卡片raw data'!$F:$F,)),0)+IF(OR(P614=5,AND(L614="party卡",P614&gt;=2)),INDEX('卡片raw data'!AW:AW,MATCH(D614,'卡片raw data'!$F:$F,)),0))</f>
        <v>0</v>
      </c>
      <c r="EL614" s="1098">
        <f t="shared" si="862"/>
        <v>0.33</v>
      </c>
      <c r="EM614" s="1098">
        <f t="shared" si="863"/>
        <v>0.33</v>
      </c>
      <c r="EN614" s="1097">
        <f t="shared" si="864"/>
        <v>0</v>
      </c>
      <c r="EO614" s="1097">
        <f t="shared" si="865"/>
        <v>0</v>
      </c>
      <c r="EP614" s="1098">
        <f t="shared" si="866"/>
        <v>0</v>
      </c>
      <c r="EQ614" s="1121">
        <f t="shared" si="867"/>
        <v>0</v>
      </c>
      <c r="ER614" s="1101">
        <f t="shared" si="868"/>
        <v>0</v>
      </c>
      <c r="ES614" s="1097">
        <f t="shared" si="869"/>
        <v>0</v>
      </c>
      <c r="ET614" s="1122">
        <f t="shared" si="880"/>
        <v>0</v>
      </c>
    </row>
    <row r="615" spans="2:150" ht="16.5" customHeight="1">
      <c r="B615" s="1123" t="str">
        <f>INDEX('卡片raw data'!B:B,MATCH($D615,'卡片raw data'!$F:$F,))</f>
        <v>op1果</v>
      </c>
      <c r="C615" s="1025" t="s">
        <v>4936</v>
      </c>
      <c r="D615" s="408">
        <v>612</v>
      </c>
      <c r="E615" s="1164">
        <v>300012004</v>
      </c>
      <c r="F615" s="1090" t="str">
        <f>INDEX('卡片raw data'!C:C,MATCH($D615,'卡片raw data'!$F:$F,))</f>
        <v>SR</v>
      </c>
      <c r="G615" s="1026" t="s">
        <v>4937</v>
      </c>
      <c r="H615" s="411">
        <f>IFERROR(INDEX(绊状态确认!C:C,MATCH($G615,绊状态确认!$B:$B,)),"")</f>
        <v>1</v>
      </c>
      <c r="I615" s="450" t="str">
        <f>IFERROR(INDEX(绊状态确认!D:D,MATCH($G615,绊状态确认!$B:$B,)),"")</f>
        <v>缪</v>
      </c>
      <c r="J615" s="450" t="str">
        <f>IFERROR(INDEX(绊状态确认!E:E,MATCH($G615,绊状态确认!$B:$B,)),"")</f>
        <v>2年级</v>
      </c>
      <c r="K615" s="451" t="str">
        <f>IFERROR(INDEX(绊状态确认!F:F,MATCH($G615,绊状态确认!$B:$B,)),"")</f>
        <v>Printemps</v>
      </c>
      <c r="L615" s="1094" t="str">
        <f>INDEX('卡片raw data'!E:E,MATCH($D615,'卡片raw data'!$F:$F,))</f>
        <v>卡池卡</v>
      </c>
      <c r="M615" s="1065">
        <v>44575</v>
      </c>
      <c r="N615" s="1027">
        <v>55.5</v>
      </c>
      <c r="O615" s="1091" t="str">
        <f>INDEX('卡片raw data'!D:D,MATCH($D615,'卡片raw data'!$F:$F,))</f>
        <v>sp</v>
      </c>
      <c r="P615" s="1028">
        <v>5</v>
      </c>
      <c r="Q615" s="1095">
        <f t="shared" si="796"/>
        <v>42275.496860143001</v>
      </c>
      <c r="R615" s="1096">
        <f t="shared" si="797"/>
        <v>0.49099999999999999</v>
      </c>
      <c r="S615" s="1097">
        <f t="shared" si="798"/>
        <v>18199.063700172414</v>
      </c>
      <c r="T615" s="1098">
        <f t="shared" si="799"/>
        <v>0.90900000000000003</v>
      </c>
      <c r="U615" s="1099">
        <f t="shared" si="800"/>
        <v>12.667846305102858</v>
      </c>
      <c r="V615" s="1100">
        <f t="shared" si="801"/>
        <v>41487.465631019411</v>
      </c>
      <c r="W615" s="1101">
        <f t="shared" si="802"/>
        <v>4507.7214871259994</v>
      </c>
      <c r="X615" s="1096">
        <f t="shared" si="803"/>
        <v>5.1999999999999998E-2</v>
      </c>
      <c r="Y615" s="1097">
        <f t="shared" si="804"/>
        <v>1011.9687708764122</v>
      </c>
      <c r="Z615" s="1102">
        <f t="shared" si="805"/>
        <v>12.667846305102858</v>
      </c>
      <c r="AA615" s="1103">
        <f t="shared" si="806"/>
        <v>5519.6902580024116</v>
      </c>
      <c r="AB615" s="1101">
        <f t="shared" si="807"/>
        <v>8389.513202588143</v>
      </c>
      <c r="AC615" s="1104">
        <f t="shared" si="808"/>
        <v>9.7000000000000003E-2</v>
      </c>
      <c r="AD615" s="1105">
        <f t="shared" si="809"/>
        <v>-1.9908281250000003E-2</v>
      </c>
      <c r="AE615" s="1128">
        <f t="shared" si="810"/>
        <v>-1.3514492753623202</v>
      </c>
      <c r="AF615" s="1130">
        <f t="shared" si="811"/>
        <v>0</v>
      </c>
      <c r="AG615" s="1097">
        <f t="shared" si="812"/>
        <v>0</v>
      </c>
      <c r="AH615" s="1097">
        <f t="shared" si="813"/>
        <v>0</v>
      </c>
      <c r="AI615" s="1097">
        <f t="shared" si="814"/>
        <v>0</v>
      </c>
      <c r="AJ615" s="1097">
        <f t="shared" si="815"/>
        <v>0</v>
      </c>
      <c r="AK615" s="1129">
        <f t="shared" si="816"/>
        <v>0</v>
      </c>
      <c r="AL615" s="1042">
        <f>IF($P615="","N/A",(IF($P615=-1,INDEX('卡片raw data'!S:S,MATCH($D615,'卡片raw data'!$F:$F,)),0)+IF($P615=0,INDEX('卡片raw data'!V:V,MATCH($D615,'卡片raw data'!$F:$F,)),0)+IF($P615=1,INDEX('卡片raw data'!Y:Y,MATCH($D615,'卡片raw data'!$F:$F,)),0)+IF($P615=2,INDEX('卡片raw data'!AB:AB,MATCH($D615,'卡片raw data'!$F:$F,)),0)+IF($P615=3,INDEX('卡片raw data'!AE:AE,MATCH($D615,'卡片raw data'!$F:$F,)),0)+IF($P615=4,INDEX('卡片raw data'!AH:AH,MATCH($D615,'卡片raw data'!$F:$F,)),0)+IF($P615=5,INDEX('卡片raw data'!AK:AK,MATCH($D615,'卡片raw data'!$F:$F,)),0)+INDEX('卡片raw data'!S:S,MATCH($D615,'卡片raw data'!$F:$F,))*(IF($F615="UR",0.04,0.033))*(IF($F615="UR",INDEX(绊状态确认!$S:$S,MATCH($G615,绊状态确认!$B:$B,))/2-40)+IF($F615="SR",INDEX(绊状态确认!$R:$R,MATCH($G615,绊状态确认!$B:$B,))/4-15))+IF($F615="R",INDEX(绊状态确认!$Q:$Q,MATCH($G615,绊状态确认!$B:$B,))/6-40/6)))*(INDEX(绊状态确认!$H:$H,MATCH($G615,绊状态确认!$B:$B,))+INDEX(绊状态确认!J:J,MATCH($G615,绊状态确认!$B:$B,)))</f>
        <v>7636.5784535999992</v>
      </c>
      <c r="AM615" s="1035">
        <f>IF($P615="","N/A",(IF($P615=-1,INDEX('卡片raw data'!T:T,MATCH($D615,'卡片raw data'!$F:$F,)),0)+IF($P615=0,INDEX('卡片raw data'!W:W,MATCH($D615,'卡片raw data'!$F:$F,)),0)+IF($P615=1,INDEX('卡片raw data'!Z:Z,MATCH($D615,'卡片raw data'!$F:$F,)),0)+IF($P615=2,INDEX('卡片raw data'!AC:AC,MATCH($D615,'卡片raw data'!$F:$F,)),0)+IF($P615=3,INDEX('卡片raw data'!AF:AF,MATCH($D615,'卡片raw data'!$F:$F,)),0)+IF($P615=4,INDEX('卡片raw data'!AI:AI,MATCH($D615,'卡片raw data'!$F:$F,)),0)+IF($P615=5,INDEX('卡片raw data'!AL:AL,MATCH($D615,'卡片raw data'!$F:$F,)),0)+INDEX('卡片raw data'!T:T,MATCH($D615,'卡片raw data'!$F:$F,))*(IF($F615="UR",0.04,0.033))*(IF($F615="UR",INDEX(绊状态确认!$S:$S,MATCH($G615,绊状态确认!$B:$B,))/2-40)+IF($F615="SR",INDEX(绊状态确认!$R:$R,MATCH($G615,绊状态确认!$B:$B,))/4-15))+IF($F615="R",INDEX(绊状态确认!$Q:$Q,MATCH($G615,绊状态确认!$B:$B,))/6-40/6)))*(INDEX(绊状态确认!$H:$H,MATCH($G615,绊状态确认!$B:$B,))+INDEX(绊状态确认!K:K,MATCH($G615,绊状态确认!$B:$B,)))</f>
        <v>6680.8228703999985</v>
      </c>
      <c r="AN615" s="1043">
        <f>IF($P615="","N/A",(IF($P615=-1,INDEX('卡片raw data'!U:U,MATCH($D615,'卡片raw data'!$F:$F,)),0)+IF($P615=0,INDEX('卡片raw data'!X:X,MATCH($D615,'卡片raw data'!$F:$F,)),0)+IF($P615=1,INDEX('卡片raw data'!AA:AA,MATCH($D615,'卡片raw data'!$F:$F,)),0)+IF($P615=2,INDEX('卡片raw data'!AD:AD,MATCH($D615,'卡片raw data'!$F:$F,)),0)+IF($P615=3,INDEX('卡片raw data'!AG:AG,MATCH($D615,'卡片raw data'!$F:$F,)),0)+IF($P615=4,INDEX('卡片raw data'!AJ:AJ,MATCH($D615,'卡片raw data'!$F:$F,)),0)+IF($P615=5,INDEX('卡片raw data'!AM:AM,MATCH($D615,'卡片raw data'!$F:$F,)),0)+INDEX('卡片raw data'!U:U,MATCH($D615,'卡片raw data'!$F:$F,))*(IF($F615="UR",0.04,0.033))*(IF($F615="UR",INDEX(绊状态确认!$S:$S,MATCH($G615,绊状态确认!$B:$B,))/2-40)+IF($F615="SR",INDEX(绊状态确认!$R:$R,MATCH($G615,绊状态确认!$B:$B,))/4-15))+IF($F615="R",INDEX(绊状态确认!$Q:$Q,MATCH($G615,绊状态确认!$B:$B,))/6-40/6)))*(INDEX(绊状态确认!$H:$H,MATCH($G615,绊状态确认!$B:$B,))+INDEX(绊状态确认!L:L,MATCH($G615,绊状态确认!$B:$B,)))</f>
        <v>9546.8782175999986</v>
      </c>
      <c r="AO615" s="1167">
        <f t="shared" si="817"/>
        <v>1</v>
      </c>
      <c r="AP615" s="1044">
        <f>1+(INDEX(绊状态确认!$T:$T,MATCH($G615,绊状态确认!$B:$B,))+0.2)*$AO615</f>
        <v>1.3</v>
      </c>
      <c r="AQ615" s="1035">
        <f t="shared" si="818"/>
        <v>23296.018440699998</v>
      </c>
      <c r="AR615" s="1035">
        <f>(AM615*(1+$EX$9)+$EX$35)*(1+(INDEX(绊状态确认!$T:$T,MATCH($G615,绊状态确认!$B:$B,))+0.2)*AO615)*IF(J615=$FF$17,1+$FE$17,1)*IF(I615=$FF$14,1+$FE$14,1)</f>
        <v>11823.323218096</v>
      </c>
      <c r="AS615" s="1035">
        <f>(AN615*(1+$EX$10)+$EX$36)*(1+(INDEX(绊状态确认!$T:$T,MATCH($G615,绊状态确认!$B:$B,))+0.2)*AO615)*IF(J615=$FF$17,1+$FE$17,1)*IF(I615=$FF$14,1+$FE$14,1)</f>
        <v>18328.582935311995</v>
      </c>
      <c r="AT615" s="1165">
        <f>IF(AND(INDEX('卡片raw data'!AK:AK,MATCH($D615,'卡片raw data'!$F:$F,))&lt;INDEX('卡片raw data'!AM:AM,MATCH($D615,'卡片raw data'!$F:$F,)),INDEX('卡片raw data'!AL:AL,MATCH($D615,'卡片raw data'!$F:$F,))&lt;INDEX('卡片raw data'!AM:AM,MATCH($D615,'卡片raw data'!$F:$F,))),1,0)</f>
        <v>1</v>
      </c>
      <c r="AU615" s="1031">
        <f>MIN(AT615*0.15+AS615*0.00003+INDEX(绊状态确认!M:M,MATCH($G615,绊状态确认!$B:$B,)),1)</f>
        <v>0.7298574880593599</v>
      </c>
      <c r="AV615" s="1045">
        <f>(INDEX(绊状态确认!$N:$N,MATCH($G615,绊状态确认!$B:$B,))+1.5)*$EW$21</f>
        <v>2.6599999999999997</v>
      </c>
      <c r="AW615" s="1038">
        <f t="shared" si="819"/>
        <v>26757.06447969544</v>
      </c>
      <c r="AX615" s="1035">
        <f t="shared" si="820"/>
        <v>1011.968770876412</v>
      </c>
      <c r="AY615" s="483">
        <f t="shared" si="821"/>
        <v>27769.033250571851</v>
      </c>
      <c r="AZ615" s="1106">
        <f t="shared" si="822"/>
        <v>17491.327984519998</v>
      </c>
      <c r="BA615" s="1108">
        <f t="shared" si="823"/>
        <v>20989.593581423997</v>
      </c>
      <c r="BB615" s="1035">
        <f>(AM615*(1+$FB$9)+$FB$35)*(1+(INDEX(绊状态确认!$T:$T,MATCH($G615,绊状态确认!$B:$B,))+0.2)*AO615)*IF(J615=$FF$17,1+$FE$17,1)*IF(I615=$FF$14,1+$FE$14,1)*(1+$FE$15)</f>
        <v>11823.323218096</v>
      </c>
      <c r="BC615" s="1035">
        <f>(AN615*(1+$FB$10)+$FB$36)*(1+(INDEX(绊状态确认!$T:$T,MATCH($G615,绊状态确认!$B:$B,))+0.2)*AO615)*IF(J615=$FF$17,1+$FE$17,1)*IF(I615=$FF$14,1+$FE$14,1)*(1+$FE$15)</f>
        <v>18328.582935311995</v>
      </c>
      <c r="BD615" s="481">
        <f>MIN(AT615*0.15+BC615*0.00003+INDEX(绊状态确认!M:M,MATCH($G615,绊状态确认!$B:$B,)),1)</f>
        <v>0.7298574880593599</v>
      </c>
      <c r="BE615" s="1109">
        <f>(INDEX(绊状态确认!$N:$N,MATCH($G615,绊状态确认!$B:$B,))+1.5)</f>
        <v>1.9</v>
      </c>
      <c r="BF615" s="646">
        <f t="array" ref="BF615">SUMPRODUCT(IF(AZ615*AP615*$FI$16:$FI$23*$FA$22&gt;=$FI$24,$FI$24,AZ615*AP615*$FI$16:$FI$23*$FA$22),$FJ$16:$FJ$23)</f>
        <v>34790.251361210285</v>
      </c>
      <c r="BG615" s="1047">
        <f t="array" ref="BG615">SUMPRODUCT(IF(BE615*AZ615*AP615*$FI$16:$FI$23*$FA$22&gt;=$FI$24,$FI$24,BE615*AZ615*AP615*$FI$16:$FI$23*$FA$22),$FJ$16:$FJ$23)</f>
        <v>58800.895030441097</v>
      </c>
      <c r="BH615" s="1046">
        <f t="shared" si="824"/>
        <v>17438.199812107818</v>
      </c>
      <c r="BI615" s="1048">
        <f>IF(O615="vo",$EW$26/$EW$24*0.05,0)+IF(O615="sk",-$EW$26/$EW$24*(0.05-INDEX(绊状态确认!W:W,MATCH($G615,绊状态确认!$B:$B,)))+0.05*$EW$28,0)+IF(O615="sp",0.05*$EW$32*$EW$30*(1-$EW$33)-(0.05-INDEX(绊状态确认!V:V,MATCH($G615,绊状态确认!$B:$B,)))*$EW$28,0)+IF(O615="gd",-(0.05-INDEX(绊状态确认!X:X,MATCH($G615,绊状态确认!$B:$B,)))*$EW$32*$EW$30*(1-$EW$33),0)</f>
        <v>19.999999999999886</v>
      </c>
      <c r="BJ615" s="1097">
        <f>IF(O615="vo",0.05*(1-$FI$26)*$FA$24,0)+IF(O615="sk",-(0.05-INDEX(绊状态确认!W:W,MATCH($G615,绊状态确认!$B:$B,)))*(1-$FI$26)*$FA$24+0.05*$FA$26,0)+IF(O615="sp",0.05*$FA$32*$FA$27*(1-$FA$33)/$FA$30+0.05*$FA$29/$FA$69*$FA$27*(1-$FA$33)-(0.05-INDEX(绊状态确认!V:V,MATCH($G615,绊状态确认!$B:$B,)))*$FA$26,0)+IF(O615="gd",-(0.05-INDEX(绊状态确认!X:X,MATCH($G615,绊状态确认!$B:$B,)))*$FA$32*$FA$27*(1-$FA$33)/$FA$30-(0.05-INDEX(绊状态确认!X:X,MATCH($G615,绊状态确认!$B:$B,)))*$FA$29/$FA$69*$FA$27*(1-$FA$33),0)</f>
        <v>545.83333333333326</v>
      </c>
      <c r="BK615" s="1046">
        <f>IF(O615="vo",$EW$26/$EW$24*0.05+$EW$26*(-HP($EW$62,$EW$65,$EW$64)+HP($EW$62,$EW$65,(1.05-INDEX(绊状态确认!U:U,MATCH($G615,绊状态确认!$B:$B,)))*$EW$64)),0)+IF(O615="sk",-$EW$26/$EW$24*(0.05-INDEX(绊状态确认!W:W,MATCH($G615,绊状态确认!$B:$B,)))+0.05*$EW$29,0)+IF(O615="sp",0.05*$EW$32*$EW$30*(1-$EW$33)-(0.05-INDEX(绊状态确认!V:V,MATCH($G615,绊状态确认!$B:$B,)))*$EW$29,0)+IF(O615="gd",-(0.05-INDEX(绊状态确认!X:X,MATCH($G615,绊状态确认!$B:$B,)))*$EW$32*$EW$30*(1-$EW$33)+$EW$26*(-HP($EW$62,$EW$65,$EW$64)+HP($EW$62,$EW$65,0.95*$EW$64)),0)</f>
        <v>-1780.0000000000005</v>
      </c>
      <c r="BL615" s="1048">
        <f t="shared" si="825"/>
        <v>-1083.3333333333333</v>
      </c>
      <c r="BM615" s="1046">
        <f t="shared" si="826"/>
        <v>-830.55555555555543</v>
      </c>
      <c r="BN615" s="1167">
        <f t="shared" si="827"/>
        <v>3</v>
      </c>
      <c r="BO615" s="1035">
        <f t="shared" si="828"/>
        <v>4507.7214871259994</v>
      </c>
      <c r="BP615" s="1043">
        <f t="shared" si="829"/>
        <v>221.34103209030098</v>
      </c>
      <c r="BQ615" s="1167" t="s">
        <v>1940</v>
      </c>
      <c r="BR615" s="1165" t="s">
        <v>2127</v>
      </c>
      <c r="BS615" s="1098">
        <f>IF($P615="","N/A",IF($P615=-1,INDEX('卡片raw data'!AX:AX,MATCH($D615,'卡片raw data'!$F:$F,)),0)+IF($L615="party卡",IF($P615=5,INDEX('卡片raw data'!BD:BD,MATCH($D615,'卡片raw data'!$F:$F,)),IF($P615&gt;=3,INDEX('卡片raw data'!BC:BC,MATCH($D615,'卡片raw data'!$F:$F,)),INDEX('卡片raw data'!BB:BB,MATCH($D615,'卡片raw data'!$F:$F,)))),IF(OR(AND($F615="UR",$P615=0),AND($F615="SR",$P615&gt;=0,$P615&lt;=2),AND($F615="R",$P615&gt;=0,$P615&lt;4)),INDEX('卡片raw data'!AZ:AZ,MATCH($D615,'卡片raw data'!$F:$F,)),0)+IF(OR(AND($F615="UR",$P615&gt;=1,$P615&lt;=4),AND($F615="SR",$P615&lt;=4,$P615&gt;=3),AND($F615="R",$P615=4)),INDEX('卡片raw data'!BA:BA,MATCH($D615,'卡片raw data'!$F:$F,)),0)+IF($P615=5,INDEX('卡片raw data'!BB:BB,MATCH($D615,'卡片raw data'!$F:$F,)),0)))</f>
        <v>0.05</v>
      </c>
      <c r="BT615" s="1101">
        <f t="shared" si="830"/>
        <v>3756.4345726050001</v>
      </c>
      <c r="BU615" s="1097">
        <f t="shared" si="831"/>
        <v>184.45086007525089</v>
      </c>
      <c r="BV615" s="1097">
        <f t="shared" si="832"/>
        <v>0</v>
      </c>
      <c r="BW615" s="1112">
        <f t="shared" si="833"/>
        <v>0</v>
      </c>
      <c r="BX615" s="1100">
        <f t="shared" si="834"/>
        <v>3756.4345726050001</v>
      </c>
      <c r="BY615" s="1110">
        <f t="shared" si="835"/>
        <v>0</v>
      </c>
      <c r="BZ615" s="1113" t="s">
        <v>569</v>
      </c>
      <c r="CA615" s="1124"/>
      <c r="CB615" s="1098">
        <f>IF($P615="","N/A",IF($P615=-1,INDEX('卡片raw data'!BE:BE,MATCH($D615,'卡片raw data'!$F:$F,)),0)+IF($L615="party卡",IF($P615=5,INDEX('卡片raw data'!BK:BK,MATCH($D615,'卡片raw data'!$F:$F,)),IF($P615&gt;=3,INDEX('卡片raw data'!BJ:BJ,MATCH($D615,'卡片raw data'!$F:$F,)),INDEX('卡片raw data'!BI:BI,MATCH($D615,'卡片raw data'!$F:$F,)))),IF(OR(AND($F615="UR",$P615=0),AND($F615="SR",$P615&gt;=0,$P615&lt;=2),AND($F615="R",$P615&gt;=0,$P615&lt;4)),INDEX('卡片raw data'!BG:BG,MATCH($D615,'卡片raw data'!$F:$F,)),0)+IF(OR(AND($F615="UR",$P615&gt;=1,$P615&lt;=4),AND($F615="SR",$P615&lt;=4,$P615&gt;=3),AND($F615="R",$P615=4)),INDEX('卡片raw data'!BH:BH,MATCH($D615,'卡片raw data'!$F:$F,)),0)+IF($P615=5,INDEX('卡片raw data'!BI:BI,MATCH($D615,'卡片raw data'!$F:$F,)),0)))</f>
        <v>0</v>
      </c>
      <c r="CC615" s="1101">
        <f t="shared" si="873"/>
        <v>0</v>
      </c>
      <c r="CD615" s="1097">
        <f>IF(BZ615="ap",CB615*(1-$FI$26)*$FB$5/$FB$11*(+IF(CA615="全员",$FA$24,0)+IF(CA615="同作战",$FA$24,0)+IF(CA615="仲间",$FA$24*2/3,0)+IF(CA615="同属性",$FA$24*$FA$37/3,0)+IF(CA615="同年级",$FA$24*$FA$40/3,0)+IF(CA615="同学校",$FA$24*$FA$43/3,0)+IF(CA615="同小队",$FA$24*$FA$46/3,0)+IF(CA615="同type",$FA$24*INDEX($FB$49:$FB$52,MATCH(X615,$FA$49:$FA$52,))/3,0)+IF(CA615="自身",#REF!/3,0)),0)+IF(BZ615="te",CB615*(1-$FI$27)*($FA$20-1)*$FB$7/$FB$13*(+IF(CA615="全员",$FA$19*$FA$24/(1+($FA$20-1)*$FA$19),0)+IF(CA615="同作战",$FA$19*$FA$24/(1+($FA$20-1)*$FA$19),0)+IF(CA615="仲间",$FA$19*$FA$24*2/3/(1+($FA$20-1)*$FA$19),0)+IF(CA615="同属性",$FA$19*$FA$24*$FA$37/3/(1+($FA$20-1)*$FA$19),0)+IF(CA615="同年级",$FA$19*$FA$24*$FA$40/3/(1+($FA$20-1)*$FA$19),0)+IF(CA615="同学校",$FA$19*$FA$24*$FA$43/3/(1+($FA$20-1)*$FA$19),0)+IF(CA615="同小队",$FA$19*$FA$24*$FA$46/3/(1+($FA$20-1)*$FA$19),0)+IF(CA615="同type",$FA$19*$FA$24*INDEX($FB$49:$FB$52,MATCH(X615,$FA$49:$FA$52,))/3/(1+($FA$20-1)*$FA$19),0)+IF(CA615="自身",$FA$19*#REF!/3/(1+(BH615-1)*$BD615),0)),0)</f>
        <v>0</v>
      </c>
      <c r="CE615" s="1097">
        <f t="shared" si="836"/>
        <v>0</v>
      </c>
      <c r="CF615" s="1112">
        <f t="shared" si="874"/>
        <v>0</v>
      </c>
      <c r="CG615" s="1100">
        <f t="shared" si="837"/>
        <v>0</v>
      </c>
      <c r="CH615" s="1110">
        <f t="shared" si="838"/>
        <v>0</v>
      </c>
      <c r="CI615" s="1113" t="s">
        <v>160</v>
      </c>
      <c r="CJ615" s="1114">
        <v>1</v>
      </c>
      <c r="CK615" s="1169" t="s">
        <v>4938</v>
      </c>
      <c r="CL615" s="1169" t="s">
        <v>4939</v>
      </c>
      <c r="CM615" s="1166">
        <v>0.09</v>
      </c>
      <c r="CN615" s="1169">
        <v>30</v>
      </c>
      <c r="CO615" s="1169">
        <v>1</v>
      </c>
      <c r="CP615" s="1118">
        <f t="shared" si="839"/>
        <v>9.6428571428571423E-3</v>
      </c>
      <c r="CQ615" s="1118">
        <f t="shared" si="840"/>
        <v>1.4999999999999998E-2</v>
      </c>
      <c r="CR615" s="1118">
        <f t="shared" si="841"/>
        <v>0</v>
      </c>
      <c r="CS615" s="1118">
        <f>IF(CK615="技能+",IF(CN615="infty",(IF(CI615="曲开始",CM615*CJ615)+IF(OR(CI615="AC时",CI615="AC成功"),(1-(1-(1-CJ615)^($FM$20+1))/(($FM$20+1)*CJ615))*CM615))*(IF(CL615="全员",1)))+IF(CN615&lt;&gt;"infty",CM615*(IF(CI615="曲开始",CJ615*CN615/$FM$19)+IF(OR(CI615="AC时",CI615="AC成功"),CN615*IF(CO615&lt;&gt;"",MIN(CO615,CJ615*$FM$20),CJ615*$FM$20)/$FM$19)+IF(CI615="切队",CN615*IF(CO615&lt;&gt;"",MIN(CJ615*$FM$11,CO615/$FM$19),CJ615*$FM$11))+IF(CI615="ap时",IF(CO615&lt;&gt;"",MIN(CO615/$FM630,IF($O615="sk",$FM$10,$FM$9)*CJ615),IF($O615="sk",$FM$10,$FM$9)*CJ615)*CN615)+IF(CI615="ct时",IF(CO615&lt;&gt;"",MIN(CO615/$FM630,$AU615*IF($O615="sk",$FM$10,$FM$9)*CJ615),$AU615*IF($O615="sk",$FM$10,$FM$9)*CJ615)*CN615))*(IF(CL615="全员",1)+IF(CL615="同作战",IF($O615="sk",$FM$10*3,$FM$9*3))+IF(CL615="同属性",$FM$23/6)+IF(CL615="同年级",$FM$24/6)+IF(CL615="自身",IF($O615="sk",$FM$10,$FM$9)))),0)*$FM$16</f>
        <v>0</v>
      </c>
      <c r="CT615" s="1109">
        <f>IF(CK615="sp+",IF(CN615="infty",(IF(CI615="曲开始",CM615*CJ615*$FM$28)+IF(OR(CI615="AC时",CI615="AC成功"),(1-(1-(1-CJ615)^($FM$20+1))/(($FM$20+1)*CJ615))*CM615*$FM$28))*(IF(CL615="全员",1)))+IF(CN615&lt;&gt;"infty",CM615*$FM$28*(IF(CI615="曲开始",CJ615*CN615/$FM$19)+IF(OR(CI615="AC时",CI615="AC成功"),CN615*IF(CO615&lt;&gt;"",MIN(CO615,CJ615*$FM$20),CJ615*$FM$20)/$FM$19)+IF(CI615="切队",CN615*IF(CO615&lt;&gt;"",MIN(CJ615*$FM$11,CO615/$FM$19),CJ615*$FM$11))+IF(CI615="ap时",IF(CO615&lt;&gt;"",MIN(CO615/$FM630,IF($O615="sk",$FM$10,$FM$9)*CJ615),IF($O615="sk",$FM$10,$FM$9)*CJ615)*CN615)+IF(CI615="ct时",IF(CO615&lt;&gt;"",MIN(CO615/$FM630,$AU615*IF($O615="sk",$FM$10,$FM$9)*CJ615),$AU615*IF($O615="sk",$FM$10,$FM$9)*CJ615)*CN615))*(IF(CL615="全员",1)+IF(CL615="同作战",IF($O615="sk",$FM$10*3,$FM$9*3))+IF(CL615="同属性",$FM$23/6)+IF(CL615="同年级",$FM$24/6)+IF(CL615="同type",IF(O615="sp",$FN$6*$FM$9)))),0)+IF(CK615="sp获得",IF(CI615="AC成功",0,CM615*(IF(CL615="ap",AQ615)+IF(CL615="st",AR615)+IF(CL615="te",AS615)+IF(CL615="sp槽",$EW$77)+IF(CL615="",1))*IF($O615="sk",1,1+(1+$FM$10/$FM$9)*($FM$27-1))*(IF(CI615="曲开始",CJ615/$FM$19)+IF(CI615="SP发动",IF(CO615&lt;&gt;"",MIN(CO615/$FM$19,CJ615*$FM$30/$FM$19),CJ615*$FM$30/$FM$19))+IF(CI615="切队",IF(CO615&lt;&gt;"",MIN(CO615/$FM$19,CJ615*$FM$11),CJ615*$FM$11))+IF(OR(CI615="AC时",CI615="AC成功"),IF(CO615&lt;&gt;"",MIN(CO615/$FM$19,CJ615*$FM$20/$FM$19),CJ615*$FM$20/$FM$19))+IF(CI615="ap时",IF(CO615&lt;&gt;"",MIN(CO615/$FM$19,CJ615*IF($O615="sk",$FM$10,$FM$9)),CJ615*IF($O615="sk",$FM$10,$FM$9)))+IF(CI615="ct时",IF(CO615&lt;&gt;"",MIN(CO615/$FM$19,CJ615*IF($O615="sk",$FM$10,$FM$9)*$AU615),CJ615*IF($O615="sk",$FM$10,$FM$9)*$AU615)))))</f>
        <v>0</v>
      </c>
      <c r="CU615" s="1101">
        <f t="shared" si="842"/>
        <v>125.35714285714283</v>
      </c>
      <c r="CV615" s="1108">
        <f t="shared" si="870"/>
        <v>149.49999999999997</v>
      </c>
      <c r="CW615" s="1108">
        <f t="shared" si="843"/>
        <v>0</v>
      </c>
      <c r="CX615" s="1097">
        <f t="shared" si="844"/>
        <v>125.35714285714283</v>
      </c>
      <c r="CY615" s="1110">
        <f t="shared" si="845"/>
        <v>0</v>
      </c>
      <c r="CZ615" s="1113"/>
      <c r="DA615" s="1114"/>
      <c r="DB615" s="1115" t="s">
        <v>569</v>
      </c>
      <c r="DC615" s="1115"/>
      <c r="DD615" s="1119"/>
      <c r="DE615" s="1092"/>
      <c r="DF615" s="1092"/>
      <c r="DG615" s="1116">
        <f t="shared" si="846"/>
        <v>0</v>
      </c>
      <c r="DH615" s="1116">
        <f t="shared" si="847"/>
        <v>0</v>
      </c>
      <c r="DI615" s="1116">
        <f t="shared" si="848"/>
        <v>0</v>
      </c>
      <c r="DJ615" s="1118">
        <f t="shared" si="871"/>
        <v>0</v>
      </c>
      <c r="DK615" s="1109">
        <f t="shared" si="872"/>
        <v>0</v>
      </c>
      <c r="DL615" s="1101">
        <f t="shared" si="849"/>
        <v>0</v>
      </c>
      <c r="DM615" s="1097">
        <f t="shared" si="850"/>
        <v>0</v>
      </c>
      <c r="DN615" s="1097">
        <f t="shared" si="851"/>
        <v>0</v>
      </c>
      <c r="DO615" s="1097">
        <f t="shared" si="852"/>
        <v>0</v>
      </c>
      <c r="DP615" s="1110">
        <f t="shared" si="853"/>
        <v>0</v>
      </c>
      <c r="DQ615" s="1113" t="s">
        <v>292</v>
      </c>
      <c r="DR615" s="1120">
        <f t="shared" si="877"/>
        <v>0.3</v>
      </c>
      <c r="DS615" s="1124">
        <v>10</v>
      </c>
      <c r="DT615" s="1093" t="s">
        <v>2127</v>
      </c>
      <c r="DU615" s="1124" t="s">
        <v>2145</v>
      </c>
      <c r="DV615" s="1098">
        <f>IF($P615="","N/A",IF(P615=-1,INDEX('卡片raw data'!AN:AN,MATCH(D615,'卡片raw data'!$F:$F,)),0)+IF(AND(L615&lt;&gt;"party卡",P615&lt;=2,P615&gt;=0),INDEX('卡片raw data'!AP:AP,MATCH(D615,'卡片raw data'!$F:$F,)),0)+IF(OR(AND(L615="party卡",P615&lt;=1),AND(P615&lt;=4,L615&lt;&gt;"party卡",P615&gt;=3)),INDEX('卡片raw data'!AQ:AQ,MATCH(D615,'卡片raw data'!$F:$F,)),0)+IF(OR(P615=5,AND(L615="party卡",P615&gt;=2)),INDEX('卡片raw data'!AR:AR,MATCH(D615,'卡片raw data'!$F:$F,)),0))</f>
        <v>7.0000000000000007E-2</v>
      </c>
      <c r="DW615" s="1098">
        <f t="shared" si="854"/>
        <v>0.3</v>
      </c>
      <c r="DX615" s="1098">
        <f t="shared" si="855"/>
        <v>0.3</v>
      </c>
      <c r="DY615" s="1098">
        <f t="shared" si="856"/>
        <v>7.0000000000000007E-2</v>
      </c>
      <c r="DZ615" s="1098">
        <f t="shared" si="857"/>
        <v>6.0550000000000007E-2</v>
      </c>
      <c r="EA615" s="1098">
        <f t="shared" si="858"/>
        <v>0</v>
      </c>
      <c r="EB615" s="1121">
        <f t="shared" si="859"/>
        <v>0</v>
      </c>
      <c r="EC615" s="1101">
        <f t="shared" si="860"/>
        <v>8192.2525111927516</v>
      </c>
      <c r="ED615" s="1097">
        <f t="shared" si="861"/>
        <v>490.2942181212656</v>
      </c>
      <c r="EE615" s="1110">
        <f t="shared" si="879"/>
        <v>8192.2525111927516</v>
      </c>
      <c r="EF615" s="1113" t="s">
        <v>569</v>
      </c>
      <c r="EG615" s="1120">
        <f t="shared" si="878"/>
        <v>0.3</v>
      </c>
      <c r="EH615" s="1124"/>
      <c r="EI615" s="1124"/>
      <c r="EJ615" s="1124"/>
      <c r="EK615" s="1097">
        <f>IF($P615="","N/A",IF(P615=-1,INDEX('卡片raw data'!AS:AS,MATCH(D615,'卡片raw data'!$F:$F,)),0)+IF(AND(L615&lt;&gt;"party卡",P615&lt;=2,P615&gt;=0),INDEX('卡片raw data'!AU:AU,MATCH(D615,'卡片raw data'!$F:$F,)),0)+IF(OR(AND(L615="party卡",P615&lt;=1),AND(P615&lt;=4,L615&lt;&gt;"party卡",P615&gt;=3)),INDEX('卡片raw data'!AV:AV,MATCH(D615,'卡片raw data'!$F:$F,)),0)+IF(OR(P615=5,AND(L615="party卡",P615&gt;=2)),INDEX('卡片raw data'!AW:AW,MATCH(D615,'卡片raw data'!$F:$F,)),0))</f>
        <v>0</v>
      </c>
      <c r="EL615" s="1098">
        <f t="shared" si="862"/>
        <v>0.3</v>
      </c>
      <c r="EM615" s="1098">
        <f t="shared" si="863"/>
        <v>0.3</v>
      </c>
      <c r="EN615" s="1097">
        <f t="shared" si="864"/>
        <v>0</v>
      </c>
      <c r="EO615" s="1097">
        <f t="shared" si="865"/>
        <v>0</v>
      </c>
      <c r="EP615" s="1098">
        <f t="shared" si="866"/>
        <v>0</v>
      </c>
      <c r="EQ615" s="1121">
        <f t="shared" si="867"/>
        <v>0</v>
      </c>
      <c r="ER615" s="1101">
        <f t="shared" si="868"/>
        <v>0</v>
      </c>
      <c r="ES615" s="1097">
        <f t="shared" si="869"/>
        <v>0</v>
      </c>
      <c r="ET615" s="1122">
        <f t="shared" si="880"/>
        <v>0</v>
      </c>
    </row>
    <row r="616" spans="2:150" ht="16.5" customHeight="1">
      <c r="B616" s="1123" t="str">
        <f>INDEX('卡片raw data'!B:B,MATCH($D616,'卡片raw data'!$F:$F,))</f>
        <v>虎年林</v>
      </c>
      <c r="C616" s="1025" t="s">
        <v>4991</v>
      </c>
      <c r="D616" s="408">
        <v>613</v>
      </c>
      <c r="E616" s="1164">
        <v>402043006</v>
      </c>
      <c r="F616" s="1090" t="str">
        <f>INDEX('卡片raw data'!C:C,MATCH($D616,'卡片raw data'!$F:$F,))</f>
        <v>UR</v>
      </c>
      <c r="G616" s="1026" t="s">
        <v>4992</v>
      </c>
      <c r="H616" s="411">
        <f>IFERROR(INDEX(绊状态确认!C:C,MATCH($G616,绊状态确认!$B:$B,)),"")</f>
        <v>204</v>
      </c>
      <c r="I616" s="450" t="str">
        <f>IFERROR(INDEX(绊状态确认!D:D,MATCH($G616,绊状态确认!$B:$B,)),"")</f>
        <v>虹</v>
      </c>
      <c r="J616" s="450" t="str">
        <f>IFERROR(INDEX(绊状态确认!E:E,MATCH($G616,绊状态确认!$B:$B,)),"")</f>
        <v>3年级</v>
      </c>
      <c r="K616" s="451" t="str">
        <f>IFERROR(INDEX(绊状态确认!F:F,MATCH($G616,绊状态确认!$B:$B,)),"")</f>
        <v>Diver Diva</v>
      </c>
      <c r="L616" s="1094" t="str">
        <f>INDEX('卡片raw data'!E:E,MATCH($D616,'卡片raw data'!$F:$F,))</f>
        <v>卡池卡</v>
      </c>
      <c r="M616" s="1065">
        <v>44581</v>
      </c>
      <c r="N616" s="1027">
        <v>56</v>
      </c>
      <c r="O616" s="1091" t="str">
        <f>INDEX('卡片raw data'!D:D,MATCH($D616,'卡片raw data'!$F:$F,))</f>
        <v>vo</v>
      </c>
      <c r="P616" s="1028">
        <v>5</v>
      </c>
      <c r="Q616" s="1095">
        <f t="shared" ref="Q616" si="881">IF($P616="",0,AW616+BI616+BO616+BT616+CU616+EC616+ER616+CC616+DL616+BL616)</f>
        <v>72144.753884019097</v>
      </c>
      <c r="R616" s="1096">
        <f t="shared" ref="R616" si="882">_xlfn.FLOOR.MATH(IF($P616="","N/A",Q616/$EW$81)*1000)/1000</f>
        <v>0.83799999999999997</v>
      </c>
      <c r="S616" s="1097">
        <f t="shared" ref="S616" si="883">IF($P616="",0,BH616+BJ616+BP616+BU616+CV616+ED616+ES616+CD616+DM616+BM616)</f>
        <v>20949.342762333348</v>
      </c>
      <c r="T616" s="1098">
        <f t="shared" ref="T616" si="884">_xlfn.FLOOR.MATH(IF($P616="","N/A",S616/($FI$24/3))*1000)/1000</f>
        <v>1.0469999999999999</v>
      </c>
      <c r="U616" s="1099">
        <f t="shared" ref="U616" si="885">$EW$64*(IF(O616="vo",-0.05)+IF(O616="gd",0.05))+CP616*(IF(CK616="减伤",$EW$64*(1-$EW$75))+IF(OR(CK616="加盾",AND(CK616="回血",OR(CI616&lt;&gt;"切队",CO616=""))),1))+DG616*(IF(DB616="减伤",$EW$64*(1-$EW$75))+IF(OR(DB616="加盾",AND(DB616="回血",OR(CZ616&lt;&gt;"切队",DF616=""))),1))+AR616*$EW$78/$EW$65+BW616+CF616+DY616*(1+IF(O616="sk",0.05)+IF(O616="sp",-0.05))*(IF(DQ616="减伤",$EW$64*(1-$EW$75))+IF(OR(DQ616="回血",DQ616="加盾"),1))+EN616*(1+IF(O616="sk",0.05)+IF(O616="sp",-0.05))*(IF(EF616="减伤",$EW$64*(1-$EW$75))+IF(OR(EF616="回血",EF616="加盾"),1))</f>
        <v>-5.814606390057147</v>
      </c>
      <c r="V616" s="1100">
        <f t="shared" ref="V616" si="886">IF($P616="",0,AY616+BK616+BO616+BX616+CX616+EE616+ET616+CG616+DO616+BL616)</f>
        <v>72393.482400710855</v>
      </c>
      <c r="W616" s="1101">
        <f t="shared" ref="W616" si="887">IF($P616="",0,BO616+BV616+CW616+CE616+DN616)</f>
        <v>4517.4345536637347</v>
      </c>
      <c r="X616" s="1096">
        <f t="shared" ref="X616" si="888">_xlfn.FLOOR.MATH(IF($P616="","N/A",W616/$EW$81)*1000)/1000</f>
        <v>5.1999999999999998E-2</v>
      </c>
      <c r="Y616" s="1097">
        <f t="shared" ref="Y616" si="889">IF($P616="",0,AA616-W616)</f>
        <v>1553.3969669334738</v>
      </c>
      <c r="Z616" s="1102">
        <f t="shared" ref="Z616" si="890">CP616*IF(OR(CI616="ap时",CI616="ct时"),0,1)*(IF(CK616="减伤",$EW$64*(1-$EW$75))+IF(OR(CK616="加盾",AND(CK616="回血",OR(CI616&lt;&gt;"切队",CO616=""))),1))+DG616*IF(OR(CZ616="ap时",CZ616="ct时"),0,1)*(IF(DB616="减伤",$EW$64*(1-$EW$75))+IF(OR(DB616="加盾",AND(DB616="回血",OR(CZ616&lt;&gt;"切队",DF616=""))),1))+AR616*$EW$78/$EW$65+BW616+CF616</f>
        <v>19.185393609942853</v>
      </c>
      <c r="AA616" s="1103">
        <f t="shared" ref="AA616" si="891">IF($P616="",0,BO616+BY616+CY616+AX616+CH616+DP616)</f>
        <v>6070.8315205972085</v>
      </c>
      <c r="AB616" s="1101">
        <f t="shared" ref="AB616" si="892">IF($P616="",0,BT616+CU616+BO616+CC616+DL616)</f>
        <v>9786.1560218484701</v>
      </c>
      <c r="AC616" s="1104">
        <f t="shared" ref="AC616" si="893">_xlfn.FLOOR.MATH(IF($P616="","N/A",AB616/$EW$81)*1000)/1000</f>
        <v>0.113</v>
      </c>
      <c r="AD616" s="1105">
        <f t="shared" ref="AD616" si="894">CS616+DJ616+EA616+EP616+IF(O616="sp",-0.05*FM$14*FM$15/2)+IF(O616="sk",0.05*FM$14*FM$15/2)+IF(O616="sk",FM$11^2/(3-FM$11)*FM$12)-IF(O616="sk",FM$10,FM$9)*IF(O616="sk",FM$18,FM$17)*($FM$14-DR616)</f>
        <v>0</v>
      </c>
      <c r="AE616" s="1128">
        <f t="shared" ref="AE616" si="895">AD616/FM$18*FM$29+CT616+DK616+EB616+EQ616+IF(O616="sp",0.05*$FM$9*3*FM$26)-IF(O616="gd",0.05*$FM$9*3*FM$26)+IF(O616="sp",300*1/3*$FM$11/2)+IF(O616="sk",FM$11^2/(3-FM$11)*FM$13)+IF(F616="R",-100*IF(O616="sk",FM$10,FM$9))+IF(F616="SR",-50*IF(O616="sk",FM$10,FM$9))</f>
        <v>0</v>
      </c>
      <c r="AF616" s="1130">
        <f t="shared" ref="AF616" si="896">IF(OR(DQ616="回血",DQ616="加盾"),EN616/EL616*3*2*IF(EG616=0.11,$EW$71,$EW$70)+DY616/DW616*3*2*IF(DR616=0.11,$EW$71,$EW$70)+IF(O616="gd",AR616*0.05)+IF(OR(CK616="回血",CK616="加盾"),-(CR616-CP616)*6)+IF(AND(CI616="切队",CO616=""),CP616/$EW$79*$EW$65*2),0)</f>
        <v>0</v>
      </c>
      <c r="AG616" s="1097">
        <f t="shared" ref="AG616" si="897">IF(OR(DQ616="回血",DQ616="加盾"),MAX($EW$64*$EW$65*IF(CK616="减伤",(1-IF(CI616="切队",IF(CO616&lt;&gt;"",MAX(CO616/$EW$79,1),0),1)*CR616),1)-$EW$62*0.3+$EX$17-AR616-(BW616+CF616)/$EW$78*$EW$65-IF(OR(CK616="回血",CK616="加盾"),IF(CI616="切队",IF(CO616&lt;&gt;"",MAX(CO616/$EW$79,1),0),1)*CR616*$EW$65),0),0)</f>
        <v>0</v>
      </c>
      <c r="AH616" s="1097">
        <f t="shared" ref="AH616" si="898">IFERROR(AG616/AF616,0)</f>
        <v>0</v>
      </c>
      <c r="AI616" s="1097">
        <f t="shared" ref="AI616" si="899">IF(OR(DQ616="回血",DQ616="加盾"),$EW$26*(1-$EW$66)/$EW$66-AH616*(($EW$26*IF(O616="sk",14/3-8/3*$EW$68,5-3*$EW$68)-2*3*Q616*$EW$69)/$EW$66)/$EW$65+($EW$26/3+$EW$26/$EW$24*0.05+$EW$61*4*$EW$26*$EX$5/$EX$11+$EW$28)-($EW$72-W616),0)</f>
        <v>0</v>
      </c>
      <c r="AJ616" s="1097">
        <f t="shared" ref="AJ616" si="900">IF(OR(DQ616="回血",DQ616="加盾"),V616,0)</f>
        <v>0</v>
      </c>
      <c r="AK616" s="1129">
        <f t="shared" ref="AK616" si="901">IFERROR(AI616-AJ616,"")</f>
        <v>0</v>
      </c>
      <c r="AL616" s="1042">
        <f>IF($P616="","N/A",(IF($P616=-1,INDEX('卡片raw data'!S:S,MATCH($D616,'卡片raw data'!$F:$F,)),0)+IF($P616=0,INDEX('卡片raw data'!V:V,MATCH($D616,'卡片raw data'!$F:$F,)),0)+IF($P616=1,INDEX('卡片raw data'!Y:Y,MATCH($D616,'卡片raw data'!$F:$F,)),0)+IF($P616=2,INDEX('卡片raw data'!AB:AB,MATCH($D616,'卡片raw data'!$F:$F,)),0)+IF($P616=3,INDEX('卡片raw data'!AE:AE,MATCH($D616,'卡片raw data'!$F:$F,)),0)+IF($P616=4,INDEX('卡片raw data'!AH:AH,MATCH($D616,'卡片raw data'!$F:$F,)),0)+IF($P616=5,INDEX('卡片raw data'!AK:AK,MATCH($D616,'卡片raw data'!$F:$F,)),0)+INDEX('卡片raw data'!S:S,MATCH($D616,'卡片raw data'!$F:$F,))*(IF($F616="UR",0.04,0.033))*(IF($F616="UR",INDEX(绊状态确认!$S:$S,MATCH($G616,绊状态确认!$B:$B,))/2-40)+IF($F616="SR",INDEX(绊状态确认!$R:$R,MATCH($G616,绊状态确认!$B:$B,))/4-15))+IF($F616="R",INDEX(绊状态确认!$Q:$Q,MATCH($G616,绊状态确认!$B:$B,))/6-40/6)))*(INDEX(绊状态确认!$H:$H,MATCH($G616,绊状态确认!$B:$B,))+INDEX(绊状态确认!J:J,MATCH($G616,绊状态确认!$B:$B,)))</f>
        <v>14977.115615999999</v>
      </c>
      <c r="AM616" s="1035">
        <f>IF($P616="","N/A",(IF($P616=-1,INDEX('卡片raw data'!T:T,MATCH($D616,'卡片raw data'!$F:$F,)),0)+IF($P616=0,INDEX('卡片raw data'!W:W,MATCH($D616,'卡片raw data'!$F:$F,)),0)+IF($P616=1,INDEX('卡片raw data'!Z:Z,MATCH($D616,'卡片raw data'!$F:$F,)),0)+IF($P616=2,INDEX('卡片raw data'!AC:AC,MATCH($D616,'卡片raw data'!$F:$F,)),0)+IF($P616=3,INDEX('卡片raw data'!AF:AF,MATCH($D616,'卡片raw data'!$F:$F,)),0)+IF($P616=4,INDEX('卡片raw data'!AI:AI,MATCH($D616,'卡片raw data'!$F:$F,)),0)+IF($P616=5,INDEX('卡片raw data'!AL:AL,MATCH($D616,'卡片raw data'!$F:$F,)),0)+INDEX('卡片raw data'!T:T,MATCH($D616,'卡片raw data'!$F:$F,))*(IF($F616="UR",0.04,0.033))*(IF($F616="UR",INDEX(绊状态确认!$S:$S,MATCH($G616,绊状态确认!$B:$B,))/2-40)+IF($F616="SR",INDEX(绊状态确认!$R:$R,MATCH($G616,绊状态确认!$B:$B,))/4-15))+IF($F616="R",INDEX(绊状态确认!$Q:$Q,MATCH($G616,绊状态确认!$B:$B,))/6-40/6)))*(INDEX(绊状态确认!$H:$H,MATCH($G616,绊状态确认!$B:$B,))+INDEX(绊状态确认!K:K,MATCH($G616,绊状态确认!$B:$B,)))</f>
        <v>11137.265471999997</v>
      </c>
      <c r="AN616" s="1043">
        <f>IF($P616="","N/A",(IF($P616=-1,INDEX('卡片raw data'!U:U,MATCH($D616,'卡片raw data'!$F:$F,)),0)+IF($P616=0,INDEX('卡片raw data'!X:X,MATCH($D616,'卡片raw data'!$F:$F,)),0)+IF($P616=1,INDEX('卡片raw data'!AA:AA,MATCH($D616,'卡片raw data'!$F:$F,)),0)+IF($P616=2,INDEX('卡片raw data'!AD:AD,MATCH($D616,'卡片raw data'!$F:$F,)),0)+IF($P616=3,INDEX('卡片raw data'!AG:AG,MATCH($D616,'卡片raw data'!$F:$F,)),0)+IF($P616=4,INDEX('卡片raw data'!AJ:AJ,MATCH($D616,'卡片raw data'!$F:$F,)),0)+IF($P616=5,INDEX('卡片raw data'!AM:AM,MATCH($D616,'卡片raw data'!$F:$F,)),0)+INDEX('卡片raw data'!U:U,MATCH($D616,'卡片raw data'!$F:$F,))*(IF($F616="UR",0.04,0.033))*(IF($F616="UR",INDEX(绊状态确认!$S:$S,MATCH($G616,绊状态确认!$B:$B,))/2-40)+IF($F616="SR",INDEX(绊状态确认!$R:$R,MATCH($G616,绊状态确认!$B:$B,))/4-15))+IF($F616="R",INDEX(绊状态确认!$Q:$Q,MATCH($G616,绊状态确认!$B:$B,))/6-40/6)))*(INDEX(绊状态确认!$H:$H,MATCH($G616,绊状态确认!$B:$B,))+INDEX(绊状态确认!L:L,MATCH($G616,绊状态确认!$B:$B,)))</f>
        <v>12291.302399999999</v>
      </c>
      <c r="AO616" s="1167">
        <f t="shared" ref="AO616:AO617" si="902">IF(OR($FE$5=C616,$FE$5="全"),1,0)</f>
        <v>1</v>
      </c>
      <c r="AP616" s="1044">
        <f>1+(INDEX(绊状态确认!$T:$T,MATCH($G616,绊状态确认!$B:$B,))+0.2)*$AO616</f>
        <v>1.3</v>
      </c>
      <c r="AQ616" s="1035">
        <f t="shared" ref="AQ616" si="903">(AL616*(1+$EX$8)+$EX$34)*(1+$EW$15)*IF(AO616=0,1-$FE$6,1)*IF(AO616=1,1+$FE$7,1)*IF(O616="vo",1+$FE$8,1)*IF(O616="gd",1+$FE$9,1)*IF(O616="sp",1+$FE$10,1)*IF(O616="sk",1+$FE$11,1)*IF(I616=$FF$12,1+$FE$12,1)*IF(I616=$FF$13,1,1-$FE$13)*IF(I616=$FF$14,1+$FE$14,1)*IF(J616=$FF$16,1+$FE$16,1)*IF(J616=$FF$17,1+$FE$17,1)*IF(K616=$FF$18,1+$FE$18,1)*(1+$FE$15)</f>
        <v>42564.928491999999</v>
      </c>
      <c r="AR616" s="1035">
        <f>(AM616*(1+$EX$9)+$EX$35)*(1+(INDEX(绊状态确认!$T:$T,MATCH($G616,绊状态确认!$B:$B,))+0.2)*AO616)*IF(J616=$FF$17,1+$FE$17,1)*IF(I616=$FF$14,1+$FE$14,1)</f>
        <v>17906.367369279997</v>
      </c>
      <c r="AS616" s="1035">
        <f>(AN616*(1+$EX$10)+$EX$36)*(1+(INDEX(绊状态确认!$T:$T,MATCH($G616,绊状态确认!$B:$B,))+0.2)*AO616)*IF(J616=$FF$17,1+$FE$17,1)*IF(I616=$FF$14,1+$FE$14,1)</f>
        <v>22431.497088</v>
      </c>
      <c r="AT616" s="1165">
        <f>IF(AND(INDEX('卡片raw data'!AK:AK,MATCH($D616,'卡片raw data'!$F:$F,))&lt;INDEX('卡片raw data'!AM:AM,MATCH($D616,'卡片raw data'!$F:$F,)),INDEX('卡片raw data'!AL:AL,MATCH($D616,'卡片raw data'!$F:$F,))&lt;INDEX('卡片raw data'!AM:AM,MATCH($D616,'卡片raw data'!$F:$F,))),1,0)</f>
        <v>0</v>
      </c>
      <c r="AU616" s="1031">
        <f>MIN(AT616*0.15+AS616*0.00003+INDEX(绊状态确认!M:M,MATCH($G616,绊状态确认!$B:$B,)),1)</f>
        <v>0.70294491264000003</v>
      </c>
      <c r="AV616" s="1045">
        <f>(INDEX(绊状态确认!$N:$N,MATCH($G616,绊状态确认!$B:$B,))+1.5)*$EW$21</f>
        <v>2.6599999999999997</v>
      </c>
      <c r="AW616" s="1038">
        <f t="shared" ref="AW616" si="904">AQ616*(1+(AV616-1)*AU616)*(AP616)*(1+EW$25)*EW$66/3*$EW$24</f>
        <v>47901.139823775338</v>
      </c>
      <c r="AX616" s="1035">
        <f t="shared" ref="AX616" si="905">$EW$26*(HP($EW$62,$EW$65,$EW$64-AR616*$EW$78/$EW$65)/$EW$66-1)</f>
        <v>1553.396966933474</v>
      </c>
      <c r="AY616" s="483">
        <f t="shared" ref="AY616" si="906">AW616+AX616</f>
        <v>49454.536790708815</v>
      </c>
      <c r="AZ616" s="1106">
        <f t="shared" ref="AZ616" si="907">(AL616*(1+$FB$8)+$FB$34)*IF(AO616=0,1-$FE$6,1)*IF(AO616=1,1+$FE$7,1)*IF(O616="vo",1+$FE$8,1)*IF(O616="gd",1+$FE$9,1)*IF(O616="sp",1+$FE$10,1)*IF(O616="sk",1+$FE$11,1)*IF(I616=$FF$12,1+$FE$12,1)*IF(I616=$FF$13,1,1-$FE$13)*IF(I616=$FF$14,1+$FE$14,1)*IF(J616=$FF$16,1+$FE$16,1)*IF(J616=$FF$17,1+$FE$17,1)*IF(K616=$FF$18,1+$FE$18,1)*(1+$FE$15)</f>
        <v>31805.375451199998</v>
      </c>
      <c r="BA616" s="1108">
        <f t="shared" ref="BA616" si="908">AZ616*(1+$FA$15)</f>
        <v>38166.450541439997</v>
      </c>
      <c r="BB616" s="1035">
        <f>(AM616*(1+$FB$9)+$FB$35)*(1+(INDEX(绊状态确认!$T:$T,MATCH($G616,绊状态确认!$B:$B,))+0.2)*AO616)*IF(J616=$FF$17,1+$FE$17,1)*IF(I616=$FF$14,1+$FE$14,1)*(1+$FE$15)</f>
        <v>17906.367369279997</v>
      </c>
      <c r="BC616" s="1035">
        <f>(AN616*(1+$FB$10)+$FB$36)*(1+(INDEX(绊状态确认!$T:$T,MATCH($G616,绊状态确认!$B:$B,))+0.2)*AO616)*IF(J616=$FF$17,1+$FE$17,1)*IF(I616=$FF$14,1+$FE$14,1)*(1+$FE$15)</f>
        <v>22431.497088</v>
      </c>
      <c r="BD616" s="481">
        <f>MIN(AT616*0.15+BC616*0.00003+INDEX(绊状态确认!M:M,MATCH($G616,绊状态确认!$B:$B,)),1)</f>
        <v>0.70294491264000003</v>
      </c>
      <c r="BE616" s="1109">
        <f>(INDEX(绊状态确认!$N:$N,MATCH($G616,绊状态确认!$B:$B,))+1.5)</f>
        <v>1.9</v>
      </c>
      <c r="BF616" s="646">
        <f t="array" ref="BF616">SUMPRODUCT(IF(AZ616*AP616*$FI$16:$FI$23*$FA$22&gt;=$FI$24,$FI$24,AZ616*AP616*$FI$16:$FI$23*$FA$22),$FJ$16:$FJ$23)</f>
        <v>57913.903685876801</v>
      </c>
      <c r="BG616" s="1047">
        <f t="array" ref="BG616">SUMPRODUCT(IF(BE616*AZ616*AP616*$FI$16:$FI$23*$FA$22&gt;=$FI$24,$FI$24,BE616*AZ616*AP616*$FI$16:$FI$23*$FA$22),$FJ$16:$FJ$23)</f>
        <v>60000</v>
      </c>
      <c r="BH616" s="1046">
        <f t="shared" ref="BH616" si="909">((1-$BD616)*BF616+$BD616*BG616)/3</f>
        <v>19793.438159055586</v>
      </c>
      <c r="BI616" s="1048">
        <f>IF(O616="vo",$EW$26/$EW$24*0.05,0)+IF(O616="sk",-$EW$26/$EW$24*(0.05-INDEX(绊状态确认!W:W,MATCH($G616,绊状态确认!$B:$B,)))+0.05*$EW$28,0)+IF(O616="sp",0.05*$EW$32*$EW$30*(1-$EW$33)-(0.05-INDEX(绊状态确认!V:V,MATCH($G616,绊状态确认!$B:$B,)))*$EW$28,0)+IF(O616="gd",-(0.05-INDEX(绊状态确认!X:X,MATCH($G616,绊状态确认!$B:$B,)))*$EW$32*$EW$30*(1-$EW$33),0)</f>
        <v>7726.3029277443748</v>
      </c>
      <c r="BJ616" s="1097">
        <f>IF(O616="vo",0.05*(1-$FI$26)*$FA$24,0)+IF(O616="sk",-(0.05-INDEX(绊状态确认!W:W,MATCH($G616,绊状态确认!$B:$B,)))*(1-$FI$26)*$FA$24+0.05*$FA$26,0)+IF(O616="sp",0.05*$FA$32*$FA$27*(1-$FA$33)/$FA$30+0.05*$FA$29/$FA$69*$FA$27*(1-$FA$33)-(0.05-INDEX(绊状态确认!V:V,MATCH($G616,绊状态确认!$B:$B,)))*$FA$26,0)+IF(O616="gd",-(0.05-INDEX(绊状态确认!X:X,MATCH($G616,绊状态确认!$B:$B,)))*$FA$32*$FA$27*(1-$FA$33)/$FA$30-(0.05-INDEX(绊状态确认!X:X,MATCH($G616,绊状态确认!$B:$B,)))*$FA$29/$FA$69*$FA$27*(1-$FA$33),0)</f>
        <v>393.93433687500004</v>
      </c>
      <c r="BK616" s="1046">
        <f>IF(O616="vo",$EW$26/$EW$24*0.05+$EW$26*(-HP($EW$62,$EW$65,$EW$64)+HP($EW$62,$EW$65,(1.05-INDEX(绊状态确认!U:U,MATCH($G616,绊状态确认!$B:$B,)))*$EW$64)),0)+IF(O616="sk",-$EW$26/$EW$24*(0.05-INDEX(绊状态确认!W:W,MATCH($G616,绊状态确认!$B:$B,)))+0.05*$EW$29,0)+IF(O616="sp",0.05*$EW$32*$EW$30*(1-$EW$33)-(0.05-INDEX(绊状态确认!V:V,MATCH($G616,绊状态确认!$B:$B,)))*$EW$29,0)+IF(O616="gd",-(0.05-INDEX(绊状态确认!X:X,MATCH($G616,绊状态确认!$B:$B,)))*$EW$32*$EW$30*(1-$EW$33)+$EW$26*(-HP($EW$62,$EW$65,$EW$64)+HP($EW$62,$EW$65,0.95*$EW$64)),0)</f>
        <v>6421.6344775026746</v>
      </c>
      <c r="BL616" s="1048">
        <f t="shared" ref="BL616" si="910">(IF(F616="UR",0)+IF(F616="SR",-1/4)+IF(F616="R",-1/2))*1/3*$EW$31/$EW$77*$EW$30</f>
        <v>0</v>
      </c>
      <c r="BM616" s="1046">
        <f t="shared" ref="BM616" si="911">(IF(F616="UR",0)+IF(F616="SR",-1/4)+IF(F616="R",-1/2))*1/3*$FA$31/$FA$69*$FA$27</f>
        <v>0</v>
      </c>
      <c r="BN616" s="1167">
        <f t="shared" ref="BN616" si="912">IF($P616="","N/A",IF(P616=-1,IF(OR(L616="fes卡",L616="party卡"),2,1),IF(F616="UR",IF(L616="party卡",4-IF(P616=0,1),IF(L616="fes卡",4,3)-IF(P616&gt;=4,0,1)))+IF(F616="SR",IF(P616&gt;=4,3,2))+IF(F616="R",2)))</f>
        <v>3</v>
      </c>
      <c r="BO616" s="1035">
        <f t="shared" si="828"/>
        <v>4507.7214871259994</v>
      </c>
      <c r="BP616" s="1043">
        <f t="shared" ref="BP616" si="913">BN616*$FA$58*(1-$FI$26)*$FA$24*$FB$5/$FB$11</f>
        <v>221.34103209030098</v>
      </c>
      <c r="BQ616" s="1167" t="s">
        <v>1940</v>
      </c>
      <c r="BR616" s="1165" t="s">
        <v>2127</v>
      </c>
      <c r="BS616" s="1098">
        <f>IF($P616="","N/A",IF($P616=-1,INDEX('卡片raw data'!AX:AX,MATCH($D616,'卡片raw data'!$F:$F,)),0)+IF($L616="party卡",IF($P616=5,INDEX('卡片raw data'!BD:BD,MATCH($D616,'卡片raw data'!$F:$F,)),IF($P616&gt;=3,INDEX('卡片raw data'!BC:BC,MATCH($D616,'卡片raw data'!$F:$F,)),INDEX('卡片raw data'!BB:BB,MATCH($D616,'卡片raw data'!$F:$F,)))),IF(OR(AND($F616="UR",$P616=0),AND($F616="SR",$P616&gt;=0,$P616&lt;=2),AND($F616="R",$P616&gt;=0,$P616&lt;4)),INDEX('卡片raw data'!AZ:AZ,MATCH($D616,'卡片raw data'!$F:$F,)),0)+IF(OR(AND($F616="UR",$P616&gt;=1,$P616&lt;=4),AND($F616="SR",$P616&lt;=4,$P616&gt;=3),AND($F616="R",$P616=4)),INDEX('卡片raw data'!BA:BA,MATCH($D616,'卡片raw data'!$F:$F,)),0)+IF($P616=5,INDEX('卡片raw data'!BB:BB,MATCH($D616,'卡片raw data'!$F:$F,)),0)))</f>
        <v>7.0000000000000007E-2</v>
      </c>
      <c r="BT616" s="1101">
        <f t="shared" ref="BT616:BT617" si="914">IF(BQ616="ap",BS616*$EX$5/$EX$11*(+IF(BR616="全员",$EW$26,0)+IF(BR616="同作战",$EW$26,0)+IF(BR616="仲间",$EW$26*2/3,0)+IF(BR616="同属性",$EW$26*$EW$37/3,0)+IF(BR616="同年级",$EW$26*$EW$40/3,0)+IF(BR616="同学校",$EW$26*$EW$43/3,0)+IF(BR616="同小队",$EW$26*$EW$46/3,0)+IF(BR616="同type",$EW$26*INDEX($EX$49:$EX$52,MATCH(O616,$EW$49:$EW$52,))/3,0)+IF(BR616="自身",$AW616,0)),0)+IF(BQ616="te",BS616*($EW$22-1)*0.00003*$EX$7/$EX$13*(+IF(BR616="全员",$EX$18*$EW$26/(1+($EW$22-1)*$EW$19),0)+IF(BR616="同作战",$EX$18*$EW$26/(1+($EW$22-1)*$EW$19),0)+IF(BR616="仲间",$EX$18*$EW$26/(1+($EW$22-1)*$EW$19)*2/3,0)+IF(BR616="同属性",$EX$18*$EW$26/(1+($EW$22-1)*$EW$19)*$EW$37/3,0)+IF(BR616="同年级",$EX$18*$EW$26/(1+($EW$22-1)*$EW$19)*$EW$40/3,0)+IF(BR616="同学校",$EX$18*$EW$26/(1+($EW$22-1)*$EW$19)*$EW$43/3,0)+IF(BR616="同小队",$EX$18*$EW$26/(1+($EW$22-1)*$EW$19)*$EW$46/3,0)+IF(BR616="同type",$EX$18*$EW$26/(1+($EW$22-1)*$EW$19)*INDEX($EX$49:$EX$52,MATCH(O616,$EW$49:$EW$52,))/3,0)+IF(BR616="自身",$AS616*$AW616/(1+(AV616-1)*$AU616),0)),0)</f>
        <v>5259.008401647</v>
      </c>
      <c r="BU616" s="1097">
        <f t="shared" ref="BU616:BU617" si="915">IF(BQ616="ap",BS616*(1-$FI$26)*$FB$5/$FB$11*(+IF(BR616="全员",$FA$24,0)+IF(BR616="同作战",$FA$24,0)+IF(BR616="仲间",$FA$24*2/3,0)+IF(BR616="同属性",$FA$24*$FA$37/3,0)+IF(BR616="同年级",$FA$24*$FA$40/3,0)+IF(BR616="同学校",$FA$24*$FA$43/3,0)+IF(BR616="同小队",$FA$24*$FA$46/3,0)+IF(BR616="同type",$FA$24*INDEX($FB$49:$FB$52,MATCH(O616,$FA$49:$FA$52,))/3,0)+IF(BR616="自身",BH616/3,0)),0)+IF(BQ616="te",BS616*(1-$FI$27)*($FA$20-1)*$FB$7/$FB$13*(+IF(BR616="全员",$FA$19*$FA$24/(1+($FA$20-1)*$FA$19),0)+IF(BR616="同作战",$FA$19*$FA$24/(1+($FA$20-1)*$FA$19),0)+IF(BR616="仲间",$FA$19*$FA$24*2/3/(1+($FA$20-1)*$FA$19),0)+IF(BR616="同属性",$FA$19*$FA$24*$FA$37/3/(1+($FA$20-1)*$FA$19),0)+IF(BR616="同年级",$FA$19*$FA$24*$FA$40/3/(1+($FA$20-1)*$FA$19),0)+IF(BR616="同学校",$FA$19*$FA$24*$FA$43/3/(1+($FA$20-1)*$FA$19),0)+IF(BR616="同小队",$FA$19*$FA$24*$FA$46/3/(1+($FA$20-1)*$FA$19),0)+IF(BR616="同type",$FA$19*$FA$24*INDEX($FB$49:$FB$52,MATCH(O616,$FA$49:$FA$52,))/3/(1+($FA$20-1)*$FA$19),0)+IF(BR616="自身",$FA$19*BH616/3/(1+(AV616-1)*$BD616),0)),0)</f>
        <v>258.2312041053512</v>
      </c>
      <c r="BV616" s="1097">
        <f t="shared" ref="BV616:BV617" si="916">IF(BQ616="ap",BS616*$EW$26*$EX$5/$EX$11*(+IF(BR616="全员",1,0)+IF(BR616="仲间",1,0)+IF(BR616="同属性",$EW$38/3,0)+IF(BR616="同年级",$EW$41/3,0)+IF(BR616="同学校",$EW$44/3,0)+IF(BR616="同小队",$EW$47/3,0)+IF(BR616="同type",INDEX($EX$53:$EX$56,MATCH(O616,$EW$53:$EW$56,))/3,0)),0)+IF(BQ616="te",BS616*($EW$22-1)*0.00003*$EX$18*$EW$26/(1+($EW$22-1)*$EW$19)*$EX$7/$EX$13*(+IF(BR616="全员",1,0)+IF(BR616="仲间",1,0)+IF(BR616="同属性",$EW$38/3,0)+IF(BR616="同年级",$EW$41/3,0)+IF(BR616="同学校",$EW$44/3,0)+IF(BR616="同小队",$EW$47/3,0)+IF(BR616="同type",INDEX($EX$53:$EX$56,MATCH(O616,$EW$53:$EW$56,))/3,0)),0)</f>
        <v>0</v>
      </c>
      <c r="BW616" s="1112">
        <f t="shared" ref="BW616:BW617" si="917">IF(BQ616="st",BS616*$EX$6/$EX$12*(+IF(BR616="全员",$EX$17*9,0)+IF(BR616="仲间",$EX$17*8,0)+IF(BR616="同作战",$EX$17*3,0)+IF(BR616="同属性",$EX$17*$EW$39,0)+IF(BR616="同年级",$EX$17*$EW$42,0)+IF(BR616="同学校",$EX$17*$EW$45,0)+IF(BR616="同小队",$EX$17*$EW$48,0)+IF(BR616="同type",$EX$17*INDEX($EX$57:$EX$60,MATCH(O616,$EW$57:$EW$60,)),0)+IF(BR616="自身",$AR616)),0)/$EW$65*$EW$78</f>
        <v>0</v>
      </c>
      <c r="BX616" s="1100">
        <f t="shared" ref="BX616:BX617" si="918">IF(BQ616="st",$EW$26*(HP($EW$62,$EW$65,$EW$64-BW616)/$EW$66-1),BT616)</f>
        <v>5259.008401647</v>
      </c>
      <c r="BY616" s="1110">
        <f t="shared" ref="BY616:BY617" si="919">IF(BQ616="st",$EW$26*(HP($EW$62,$EW$65,$EW$64-BW616)/$EW$66-1),BV616)</f>
        <v>0</v>
      </c>
      <c r="BZ616" s="1113" t="s">
        <v>569</v>
      </c>
      <c r="CA616" s="1124"/>
      <c r="CB616" s="1098">
        <f>IF($P616="","N/A",IF($P616=-1,INDEX('卡片raw data'!BE:BE,MATCH($D616,'卡片raw data'!$F:$F,)),0)+IF($L616="party卡",IF($P616=5,INDEX('卡片raw data'!BK:BK,MATCH($D616,'卡片raw data'!$F:$F,)),IF($P616&gt;=3,INDEX('卡片raw data'!BJ:BJ,MATCH($D616,'卡片raw data'!$F:$F,)),INDEX('卡片raw data'!BI:BI,MATCH($D616,'卡片raw data'!$F:$F,)))),IF(OR(AND($F616="UR",$P616=0),AND($F616="SR",$P616&gt;=0,$P616&lt;=2),AND($F616="R",$P616&gt;=0,$P616&lt;4)),INDEX('卡片raw data'!BG:BG,MATCH($D616,'卡片raw data'!$F:$F,)),0)+IF(OR(AND($F616="UR",$P616&gt;=1,$P616&lt;=4),AND($F616="SR",$P616&lt;=4,$P616&gt;=3),AND($F616="R",$P616=4)),INDEX('卡片raw data'!BH:BH,MATCH($D616,'卡片raw data'!$F:$F,)),0)+IF($P616=5,INDEX('卡片raw data'!BI:BI,MATCH($D616,'卡片raw data'!$F:$F,)),0)))</f>
        <v>0</v>
      </c>
      <c r="CC616" s="1101">
        <f t="shared" ref="CC616:CC621" si="920">IF(BZ616="ap",CB616*$EX$5/$EX$11*(+IF(CA616="全员",$EW$26,0)+IF(CA616="同作战",$EW$26,0)+IF(CA616="仲间",$EW$26*2/3,0)+IF(CA616="同属性",$EW$26*$EW$37/3,0)+IF(CA616="同年级",$EW$26*$EW$40/3,0)+IF(CA616="同学校",$EW$26*$EW$43/3,0)+IF(CA616="同小队",$EW$26*$EW$46/3,0)+IF(CA616="同type",$EW$26*INDEX($EX$49:$EX$52,MATCH(O616,$EW$49:$EW$52,))/3,0)+IF(CA616="自身",$AW616,0)),0)+IF(BZ616="te",CB616*($EW$22-1)*0.00003*$EX$7/$EX$13*(+IF(CA616="全员",$EX$18*$EW$26/(1+($EW$22-1)*$EW$19),0)+IF(CA616="同作战",$EX$18*$EW$26/(1+($EW$22-1)*$EW$19),0)+IF(CA616="仲间",$EX$18*$EW$26/(1+($EW$22-1)*$EW$19)*2/3,0)+IF(CA616="同属性",$EX$18*$EW$26/(1+($EW$22-1)*$EW$19)*$EW$37/3,0)+IF(CA616="同年级",$EX$18*$EW$26/(1+($EW$22-1)*$EW$19)*$EW$40/3,0)+IF(CA616="同学校",$EX$18*$EW$26/(1+($EW$22-1)*$EW$19)*$EW$43/3,0)+IF(CA616="同小队",$EX$18*$EW$26/(1+($EW$22-1)*$EW$19)*$EW$46/3,0)+IF(CA616="同type",$EX$18*$EW$26/(1+($EW$22-1)*$EW$19)*INDEX($EX$49:$EX$52,MATCH(O616,$EW$49:$EW$52,))/3,0)+IF(CA616="自身",$AS616*$AW616/(1+(AV616-1)*$AU616),0)),0)</f>
        <v>0</v>
      </c>
      <c r="CD616" s="1097">
        <f>IF(BZ616="ap",CB616*(1-$FI$26)*$FB$5/$FB$11*(+IF(CA616="全员",$FA$24,0)+IF(CA616="同作战",$FA$24,0)+IF(CA616="仲间",$FA$24*2/3,0)+IF(CA616="同属性",$FA$24*$FA$37/3,0)+IF(CA616="同年级",$FA$24*$FA$40/3,0)+IF(CA616="同学校",$FA$24*$FA$43/3,0)+IF(CA616="同小队",$FA$24*$FA$46/3,0)+IF(CA616="同type",$FA$24*INDEX($FB$49:$FB$52,MATCH(X616,$FA$49:$FA$52,))/3,0)+IF(CA616="自身",#REF!/3,0)),0)+IF(BZ616="te",CB616*(1-$FI$27)*($FA$20-1)*$FB$7/$FB$13*(+IF(CA616="全员",$FA$19*$FA$24/(1+($FA$20-1)*$FA$19),0)+IF(CA616="同作战",$FA$19*$FA$24/(1+($FA$20-1)*$FA$19),0)+IF(CA616="仲间",$FA$19*$FA$24*2/3/(1+($FA$20-1)*$FA$19),0)+IF(CA616="同属性",$FA$19*$FA$24*$FA$37/3/(1+($FA$20-1)*$FA$19),0)+IF(CA616="同年级",$FA$19*$FA$24*$FA$40/3/(1+($FA$20-1)*$FA$19),0)+IF(CA616="同学校",$FA$19*$FA$24*$FA$43/3/(1+($FA$20-1)*$FA$19),0)+IF(CA616="同小队",$FA$19*$FA$24*$FA$46/3/(1+($FA$20-1)*$FA$19),0)+IF(CA616="同type",$FA$19*$FA$24*INDEX($FB$49:$FB$52,MATCH(X616,$FA$49:$FA$52,))/3/(1+($FA$20-1)*$FA$19),0)+IF(CA616="自身",$FA$19*#REF!/3/(1+(BH616-1)*$BD616),0)),0)</f>
        <v>0</v>
      </c>
      <c r="CE616" s="1097">
        <f t="shared" ref="CE616:CE621" si="921">IF(BZ616="ap",CB616*$EW$26*$EX$5/$EX$11*(+IF(CA616="全员",1,0)+IF(CA616="仲间",1,0)+IF(CA616="同属性",$EW$38/3,0)+IF(CA616="同年级",$EW$41/3,0)+IF(CA616="同学校",$EW$44/3,0)+IF(CA616="同小队",$EW$47/3,0)+IF(CA616="同type",INDEX($EX$53:$EX$56,MATCH(X616,$EW$53:$EW$56,))/3,0)),0)+IF(BZ616="te",CB616*($EW$22-1)*0.00003*$EX$18*$EW$26/(1+($EW$22-1)*$EW$19)*$EX$7/$EX$13*(+IF(CA616="全员",1,0)+IF(CA616="仲间",1,0)+IF(CA616="同属性",$EW$38/3,0)+IF(CA616="同年级",$EW$41/3,0)+IF(CA616="同学校",$EW$44/3,0)+IF(CA616="同小队",$EW$47/3,0)+IF(CA616="同type",INDEX($EX$53:$EX$56,MATCH(X616,$EW$53:$EW$56,))/3,0)),0)</f>
        <v>0</v>
      </c>
      <c r="CF616" s="1112">
        <f t="shared" ref="CF616:CF621" si="922">IF(BZ616="st",CB616*$EX$6/$EX$12*(+IF(CA616="全员",$EX$17*9,0)+IF(CA616="仲间",$EX$17*8,0)+IF(CA616="同作战",$EX$17*3,0)+IF(CA616="同属性",$EX$17*$EW$39,0)+IF(CA616="同年级",$EX$17*$EW$42,0)+IF(CA616="同学校",$EX$17*$EW$45,0)+IF(CA616="同小队",$EX$17*$EW$48,0)+IF(CA616="同type",$EX$17*INDEX($EX$57:$EX$60,MATCH(O616,$EW$57:$EW$60,)),0)+IF(CA616="自身",$AR616)),0)/$EW$65*$EW$78</f>
        <v>0</v>
      </c>
      <c r="CG616" s="1100">
        <f t="shared" ref="CG616:CG621" si="923">IF(BZ616="st",$EW$26*(HP($EW$62,$EW$65,$EW$64-CF616)/$EW$66-1),CC616)</f>
        <v>0</v>
      </c>
      <c r="CH616" s="1110">
        <f t="shared" ref="CH616:CH621" si="924">IF(BZ616="st",$EW$26*(HP($EW$62,$EW$65,$EW$64-CF616)/$EW$66-1),CE616)</f>
        <v>0</v>
      </c>
      <c r="CI616" s="1113" t="s">
        <v>2045</v>
      </c>
      <c r="CJ616" s="1114">
        <v>1</v>
      </c>
      <c r="CK616" s="1115" t="s">
        <v>2286</v>
      </c>
      <c r="CL616" s="1115" t="s">
        <v>2075</v>
      </c>
      <c r="CM616" s="1119">
        <v>0.02</v>
      </c>
      <c r="CN616" s="1115">
        <v>3</v>
      </c>
      <c r="CO616" s="1115"/>
      <c r="CP616" s="1118">
        <f t="shared" si="839"/>
        <v>1.4285714285714284E-4</v>
      </c>
      <c r="CQ616" s="1118">
        <f t="shared" si="840"/>
        <v>1.9444444444444446E-4</v>
      </c>
      <c r="CR616" s="1118">
        <f t="shared" si="841"/>
        <v>7.142857142857142E-5</v>
      </c>
      <c r="CS616" s="1118">
        <f t="shared" ref="CS616" si="925">IF(CK616="技能+",IF(CN616="infty",(IF(CI616="曲开始",CM616*CJ616)+IF(OR(CI616="AC时",CI616="AC成功"),(1-(1-(1-CJ616)^($FM$20+1))/(($FM$20+1)*CJ616))*CM616))*(IF(CL616="全员",1)))+IF(CN616&lt;&gt;"infty",CM616*(IF(CI616="曲开始",CJ616*CN616/$FM$19)+IF(OR(CI616="AC时",CI616="AC成功"),CN616*IF(CO616&lt;&gt;"",MIN(CO616,CJ616*$FM$20),CJ616*$FM$20)/$FM$19)+IF(CI616="切队",CN616*IF(CO616&lt;&gt;"",MIN(CJ616*$FM$11,CO616/$FM$19),CJ616*$FM$11))+IF(CI616="ap时",IF(CO616&lt;&gt;"",MIN(CO616/$FM631,IF($O616="sk",$FM$10,$FM$9)*CJ616),IF($O616="sk",$FM$10,$FM$9)*CJ616)*CN616)+IF(CI616="ct时",IF(CO616&lt;&gt;"",MIN(CO616/$FM631,$AU616*IF($O616="sk",$FM$10,$FM$9)*CJ616),$AU616*IF($O616="sk",$FM$10,$FM$9)*CJ616)*CN616))*(IF(CL616="全员",1)+IF(CL616="同作战",IF($O616="sk",$FM$10*3,$FM$9*3))+IF(CL616="同属性",$FM$23/6)+IF(CL616="同年级",$FM$24/6)+IF(CL616="自身",IF($O616="sk",$FM$10,$FM$9)))),0)*$FM$16</f>
        <v>0</v>
      </c>
      <c r="CT616" s="1109">
        <f t="shared" ref="CT616" si="926">IF(CK616="sp+",IF(CN616="infty",(IF(CI616="曲开始",CM616*CJ616*$FM$28)+IF(OR(CI616="AC时",CI616="AC成功"),(1-(1-(1-CJ616)^($FM$20+1))/(($FM$20+1)*CJ616))*CM616*$FM$28))*(IF(CL616="全员",1)))+IF(CN616&lt;&gt;"infty",CM616*$FM$28*(IF(CI616="曲开始",CJ616*CN616/$FM$19)+IF(OR(CI616="AC时",CI616="AC成功"),CN616*IF(CO616&lt;&gt;"",MIN(CO616,CJ616*$FM$20),CJ616*$FM$20)/$FM$19)+IF(CI616="切队",CN616*IF(CO616&lt;&gt;"",MIN(CJ616*$FM$11,CO616/$FM$19),CJ616*$FM$11))+IF(CI616="ap时",IF(CO616&lt;&gt;"",MIN(CO616/$FM631,IF($O616="sk",$FM$10,$FM$9)*CJ616),IF($O616="sk",$FM$10,$FM$9)*CJ616)*CN616)+IF(CI616="ct时",IF(CO616&lt;&gt;"",MIN(CO616/$FM631,$AU616*IF($O616="sk",$FM$10,$FM$9)*CJ616),$AU616*IF($O616="sk",$FM$10,$FM$9)*CJ616)*CN616))*(IF(CL616="全员",1)+IF(CL616="同作战",IF($O616="sk",$FM$10*3,$FM$9*3))+IF(CL616="同属性",$FM$23/6)+IF(CL616="同年级",$FM$24/6)+IF(CL616="同type",IF(O616="sp",$FN$6*$FM$9)))),0)+IF(CK616="sp获得",IF(CI616="AC成功",0,CM616*(IF(CL616="ap",AQ616)+IF(CL616="st",AR616)+IF(CL616="te",AS616)+IF(CL616="sp槽",$EW$77)+IF(CL616="",1))*IF($O616="sk",1,1+(1+$FM$10/$FM$9)*($FM$27-1))*(IF(CI616="曲开始",CJ616/$FM$19)+IF(CI616="SP发动",IF(CO616&lt;&gt;"",MIN(CO616/$FM$19,CJ616*$FM$30/$FM$19),CJ616*$FM$30/$FM$19))+IF(CI616="切队",IF(CO616&lt;&gt;"",MIN(CO616/$FM$19,CJ616*$FM$11),CJ616*$FM$11))+IF(OR(CI616="AC时",CI616="AC成功"),IF(CO616&lt;&gt;"",MIN(CO616/$FM$19,CJ616*$FM$20/$FM$19),CJ616*$FM$20/$FM$19))+IF(CI616="ap时",IF(CO616&lt;&gt;"",MIN(CO616/$FM$19,CJ616*IF($O616="sk",$FM$10,$FM$9)),CJ616*IF($O616="sk",$FM$10,$FM$9)))+IF(CI616="ct时",IF(CO616&lt;&gt;"",MIN(CO616/$FM$19,CJ616*IF($O616="sk",$FM$10,$FM$9)*$AU616),CJ616*IF($O616="sk",$FM$10,$FM$9)*$AU616)))))</f>
        <v>0</v>
      </c>
      <c r="CU616" s="1101">
        <f t="shared" si="842"/>
        <v>19.426133075471569</v>
      </c>
      <c r="CV616" s="1108">
        <f t="shared" si="870"/>
        <v>1.2766390546875002</v>
      </c>
      <c r="CW616" s="1097">
        <f t="shared" si="843"/>
        <v>9.7130665377357843</v>
      </c>
      <c r="CX616" s="1097">
        <f t="shared" si="844"/>
        <v>19.426133075471569</v>
      </c>
      <c r="CY616" s="1110">
        <f t="shared" si="845"/>
        <v>9.7130665377357843</v>
      </c>
      <c r="CZ616" s="1113"/>
      <c r="DA616" s="1114"/>
      <c r="DB616" s="1115" t="s">
        <v>569</v>
      </c>
      <c r="DC616" s="1115"/>
      <c r="DD616" s="1119"/>
      <c r="DE616" s="1092"/>
      <c r="DF616" s="1092"/>
      <c r="DG616" s="1116">
        <f t="shared" si="846"/>
        <v>0</v>
      </c>
      <c r="DH616" s="1116">
        <f t="shared" si="847"/>
        <v>0</v>
      </c>
      <c r="DI616" s="1116">
        <f t="shared" si="848"/>
        <v>0</v>
      </c>
      <c r="DJ616" s="1118">
        <f t="shared" si="871"/>
        <v>0</v>
      </c>
      <c r="DK616" s="1109">
        <f t="shared" si="872"/>
        <v>0</v>
      </c>
      <c r="DL616" s="1101">
        <f t="shared" si="849"/>
        <v>0</v>
      </c>
      <c r="DM616" s="1097">
        <f t="shared" si="850"/>
        <v>0</v>
      </c>
      <c r="DN616" s="1097">
        <f t="shared" si="851"/>
        <v>0</v>
      </c>
      <c r="DO616" s="1097">
        <f t="shared" si="852"/>
        <v>0</v>
      </c>
      <c r="DP616" s="1110">
        <f t="shared" si="853"/>
        <v>0</v>
      </c>
      <c r="DQ616" s="1113" t="s">
        <v>167</v>
      </c>
      <c r="DR616" s="1120">
        <f t="shared" ref="DR616:DR619" si="927">IF(F616="UR",0.33,0.3)</f>
        <v>0.33</v>
      </c>
      <c r="DS616" s="1124">
        <v>5</v>
      </c>
      <c r="DT616" s="1124" t="s">
        <v>2127</v>
      </c>
      <c r="DU616" s="1093" t="s">
        <v>2145</v>
      </c>
      <c r="DV616" s="1098">
        <f>IF($P616="","N/A",IF(P616=-1,INDEX('卡片raw data'!AN:AN,MATCH(D616,'卡片raw data'!$F:$F,)),0)+IF(AND(L616&lt;&gt;"party卡",P616&lt;=2,P616&gt;=0),INDEX('卡片raw data'!AP:AP,MATCH(D616,'卡片raw data'!$F:$F,)),0)+IF(OR(AND(L616="party卡",P616&lt;=1),AND(P616&lt;=4,L616&lt;&gt;"party卡",P616&gt;=3)),INDEX('卡片raw data'!AQ:AQ,MATCH(D616,'卡片raw data'!$F:$F,)),0)+IF(OR(P616=5,AND(L616="party卡",P616&gt;=2)),INDEX('卡片raw data'!AR:AR,MATCH(D616,'卡片raw data'!$F:$F,)),0))</f>
        <v>0.09</v>
      </c>
      <c r="DW616" s="1098">
        <f t="shared" ref="DW616:DW621" si="928">DR616+IF(AND($CK616="技能+",$CL616="自身",DR616=0.11),$CP616*3)</f>
        <v>0.33</v>
      </c>
      <c r="DX616" s="1098">
        <f t="shared" ref="DX616:DX621" si="929">DR616+IF(AND($CK616="技能+",$CL616="自身",DR616=0.11),$CQ616*3)</f>
        <v>0.33</v>
      </c>
      <c r="DY616" s="1098">
        <f t="shared" ref="DY616:DY621" si="930">IF(DS616=0,IF(DT616="ap",DV616*$AQ616*DW616/3*IF(DQ616="vo获得",$AP616,1))+IF(DT616="st",DV616*$AR616*DW616/3)+IF(DT616="te",DV616*$AS616*DW616/3)+IF(DT616="sp槽",DV616*DW616/3)+IF(DT616="固定值",IF(DQ616="sp获得",DV616/3*DW616/$EW$77,DV616*DW616/3)),IF(DU616="百分比",IF(DT616="全员",DV616*DW616/3*DS616)+IF(DT616="仲间",DV616*DW616/3*DS616*2/3)+IF(DT616="同作战",DV616*DW616/3*DS616)+IF(DT616="同年级",DV616*DW616/3*DS616*$EW$40/3)+IF(DT616="同学校",DV616*DW616/3*DS616*$EW$43/3)+IF(DT616="同属性",DV616*DW616/3*DS616*$EW$37/3)+IF(DT616="同type",DV616*DW616/3*DS616*INDEX($EX$49:$EX$52,MATCH(O616,$EW$49:$EW$52,))/3),(IF(DQ616="ap+",DV616/$EX$16*DS616*DW616/3)+IF(DQ616="vo+",DV616*(1+$EW$23)/$EW$26*DS616*DW616/3))*(IF(DT616="全员",1)+IF(DT616="同作战",1)))-IF(AND(DQ616="ct+",DT616&lt;&gt;"仲间"),MAX(DV616+$AU616-1,0)*DW616/3*_xlfn.FLOOR.MATH(DS616/3)))</f>
        <v>4.9500000000000002E-2</v>
      </c>
      <c r="DZ616" s="1098">
        <f t="shared" ref="DZ616:DZ621" si="931">IF(DS616=0,IF(DT616="ap",IF(DQ616="vo获得",MIN(DV616*$BA616*$AP616,$FI$25)*$FA$22*DX616/3,DV616*$BA616*DX616/3))+IF(DT616="st",DV616*$BB616*DX616/3)+IF(DT616="te",DV616*$BC616*DX616/3)+IF(DT616="sp槽",DV616*DX616/3*$FA$30)+IF(DT616="固定值",IF(DQ616="sp获得",DV616/3*DX616/$FA$69*$FA$30,DV616*DX616/3)),IF(DU616="百分比",IF(DT616="全员",DV616*DX616/3*DS616)+IF(DT616="仲间",DV616*DX616/3*DS616*2/3)+IF(DT616="同作战",DV616*DX616/3*DS616)+IF(DT616="同年级",DV616*DX616/3*DS616*$FA$40/3)+IF(DT616="同学校",DV616*DX616/3*DS616*$FA$43/3)+IF(DT616="同属性",DV616*DX616/3*DS616*$FA$37/3)+IF(DT616="同type",DV616*DX616/3*DS616*INDEX($FB$49:$FB$52,MATCH(O616,$FA$49:$FA$52,))/3),(IF(DQ616="ap+",DV616/$FB$16*DS616*DX616/3)+IF(DQ616="vo+",DV616*(1+$FA$21)/$FA$24*DS616*DX616/3))*(IF(DT616="全员",1)+IF(DT616="同作战",1)))-IF(AND(DQ616="ct+",DT616&lt;&gt;"仲间"),MAX(DV616+$BD616-1,0)*DX616/3*_xlfn.FLOOR.MATH(DS616/3)))*$FA$57</f>
        <v>4.2817500000000001E-2</v>
      </c>
      <c r="EA616" s="1098">
        <f t="shared" ref="EA616:EA621" si="932">IF(DQ616="技能+",IF(O616="sk",FM$10,FM$9)*(1+0.1*$FM$31/$FM$19)*IF(O616="sk",$FM$18,$FM$17)*DR616/$FM$14*(IF(DT616="全员",DS616*DV616)+IF(DT616="同属性",DS616*DV616*$FM$23/6)+IF(DT616="同作战",DV616*IF(O616="sk",IF(AND(DS616&gt;1,DS616&lt;6),2),$FM$9*DS616*3))),0)*$FM$16</f>
        <v>0</v>
      </c>
      <c r="EB616" s="1121">
        <f t="shared" ref="EB616:EB621" si="933">IF(DQ616="sp+",1/6*(1+0.1*$FM$31/$FM$19)*IF(O616="sk",$FM$18,$FM$17)*DR616/$FM$14*$FM$28*(IF(DT616="全员",DS616*DV616)+IF(DT616="同属性",DS616*DV616*$FM$23/6)+IF(DT616="同年级",DS616*DV616*$FM$24/6)),0)+IF(DQ616="sp获得",1/6*(1+0.1*$FM$31/$FM$19)*IF(O616="sk",$FM$18,$FM$17)*DR616/$FM$14*IF(O616="sk",1,1+(1+$FM$10/$FM$9)*($FM$27-1))*IF(DT616="固定值",DV616,DV616*$FM$25))</f>
        <v>0</v>
      </c>
      <c r="EC616" s="1101">
        <f t="shared" ref="EC616:EC621" si="934">IF(DQ616="ap+",$EW$26/(1+$EW$15)*DY616)+IF(DQ616="vo+",$EW$26*DY616)+IF(DQ616="vo获得",DY616*$EW$24)+IF(DQ616="sp+",DY616*$EW$30*$EW$32*(1-$EW$33))+IF(DQ616="sp获得",DY616*$EW$30*(1-$EW$33))+IF(DQ616="技能+",DY616*$EW$28/$EW$27)+IF(DQ616="ct+",DY616*$EW$26/(1+($EW$22-1)*$EW$19)*($EW$22-1))+IF(DQ616="核弹",DY616*(1+$EW$23)*$EW$24)+IF(DQ616="ct值+",$EW$26/(1+($EW$22-1)*$EW$19)*$EW$19*DY616)</f>
        <v>6731.1551106509005</v>
      </c>
      <c r="ED616" s="1097">
        <f t="shared" ref="ED616:ED621" si="935">IF(DQ616="ap+",$FA$24/(1+$FA$15)*DZ616*(1-$FI$26))+IF(DQ616="vo+",$FA$24*DZ616*(1-$FI$26))+IF(DQ616="vo获得",DZ616)+IF(DQ616="sp+",DZ616*$FA$27*$FA$32*(1-$FA$33))+IF(DQ616="sp获得",DZ616*$FA$27*(1-$FA$33))+IF(DQ616="技能+",DZ616*$FA$26/$FA$25)+IF(DQ616="ct+",DZ616*$FA$24/(1+($FA$20-1)*$FA$19)*($FA$20-1)*(1-$FI$27))+IF(DQ616="核弹",DZ616*(1+$FA$21)*(1-$FI$29))+IF(DQ616="ct值+",$FA$24/(1+($FA$20-1)*$FA$19)*$FA$19*DZ616*(1-$FI$28))</f>
        <v>281.12139115242189</v>
      </c>
      <c r="EE616" s="1110">
        <f t="shared" si="879"/>
        <v>6731.1551106509005</v>
      </c>
      <c r="EF616" s="1113" t="s">
        <v>569</v>
      </c>
      <c r="EG616" s="1120">
        <f t="shared" ref="EG616:EG619" si="936">IF(F616="UR",0.33,0.3)</f>
        <v>0.33</v>
      </c>
      <c r="EH616" s="1124"/>
      <c r="EI616" s="1124"/>
      <c r="EJ616" s="1124"/>
      <c r="EK616" s="1097">
        <f>IF($P616="","N/A",IF(P616=-1,INDEX('卡片raw data'!AS:AS,MATCH(D616,'卡片raw data'!$F:$F,)),0)+IF(AND(L616&lt;&gt;"party卡",P616&lt;=2,P616&gt;=0),INDEX('卡片raw data'!AU:AU,MATCH(D616,'卡片raw data'!$F:$F,)),0)+IF(OR(AND(L616="party卡",P616&lt;=1),AND(P616&lt;=4,L616&lt;&gt;"party卡",P616&gt;=3)),INDEX('卡片raw data'!AV:AV,MATCH(D616,'卡片raw data'!$F:$F,)),0)+IF(OR(P616=5,AND(L616="party卡",P616&gt;=2)),INDEX('卡片raw data'!AW:AW,MATCH(D616,'卡片raw data'!$F:$F,)),0))</f>
        <v>0</v>
      </c>
      <c r="EL616" s="1098">
        <f t="shared" ref="EL616:EL620" si="937">EG616+IF(AND($CK616="技能+",$CL616="自身",EG616=0.11),$CP616*3)</f>
        <v>0.33</v>
      </c>
      <c r="EM616" s="1098">
        <f t="shared" ref="EM616:EM620" si="938">EG616+IF(AND($CK616="技能+",$CL616="自身",EG616=0.11),$CQ616*3)</f>
        <v>0.33</v>
      </c>
      <c r="EN616" s="1097">
        <f t="shared" ref="EN616:EN620" si="939">IF(EH616=0,IF(EI616="ap",EK616*$AQ616*EL616/3*IF(EF616="vo获得",$AP616,1))+IF(EI616="st",EK616*$AR616*EL616/3)+IF(EI616="te",EK616*$AS616*EL616/3)+IF(EI616="sp槽",EK616*EL616/3)+IF(EI616="固定值",IF(EF616="sp获得",EK616/3*EL616/$EW$77,EK616*EL616/3)),IF(EJ616="百分比",IF(EI616="全员",EK616*EL616/3*EH616)+IF(EI616="仲间",EK616*EL616/3*EH616*2/3)+IF(EI616="同作战",EK616*EL616/3*EH616)+IF(EI616="同年级",EK616*EL616/3*EH616*$EW$40/3)+IF(EI616="同学校",EK616*EL616/3*EH616*$EW$43/3)+IF(EI616="同属性",EK616*EL616/3*EH616*$EW$37/3)+IF(EI616="同type",EK616*EL616/3*EH616*INDEX($EX$49:$EX$52,MATCH(AD616,$EW$49:$EW$52,))/3),(IF(EF616="ap+",EK616/$EX$16*EH616*EL616/3)+IF(EF616="vo+",EK616*(1+$EW$23)/$EW$26*EH616*EL616/3))*(IF(EI616="全员",1)+IF(EI616="同作战",1)))-IF(AND(EF616="ct+",EI616&lt;&gt;"仲间"),MAX(EK616+$AU616-1,0)*EL616/3*_xlfn.FLOOR.MATH(EH616/3)))</f>
        <v>0</v>
      </c>
      <c r="EO616" s="1097">
        <f t="shared" ref="EO616:EO620" si="940">IF(EH616=0,IF(EI616="ap",IF(EF616="vo获得",MIN(EK616*$BA616*$AP616,$FI$25)*$FA$22*EM616/3,EK616*$BA616*EM616/3))+IF(EI616="st",EK616*$BB616*EM616/3)+IF(EI616="te",EK616*$BC616*EM616/3)+IF(EI616="sp槽",EK616*EM616/3*$FA$30)+IF(EI616="固定值",IF(EF616="sp获得",EK616/3*EM616/$FA$69*$FA$30,EK616*EM616/3)),IF(EJ616="百分比",IF(EI616="全员",EK616*EM616/3*EH616)+IF(EI616="仲间",EK616*EM616/3*EH616*2/3)+IF(EI616="同作战",EK616*EM616/3*EH616)+IF(EI616="同年级",EK616*EM616/3*EH616*$FA$40/3)+IF(EI616="同学校",EK616*EM616/3*EH616*$FA$43/3)+IF(EI616="同属性",EK616*EM616/3*EH616*$FA$37/3)+IF(EI616="同type",EK616*EM616/3*EH616*INDEX($FB$49:$FB$52,MATCH(AD616,$FA$49:$FA$52,))/3),(IF(EF616="ap+",EK616/$FB$16*EH616*EM616/3)+IF(EF616="vo+",EK616*(1+$FA$21)/$FA$24*EH616*EM616/3))*(IF(EI616="全员",1)+IF(EI616="同作战",1)))-IF(AND(EF616="ct+",EI616&lt;&gt;"仲间"),MAX(EK616+$BD616-1,0)*EM616/3*_xlfn.FLOOR.MATH(EH616/3)))*$FA$57</f>
        <v>0</v>
      </c>
      <c r="EP616" s="1098">
        <f t="shared" ref="EP616:EP620" si="941">IF(EF616="技能+",IF(AB616="sk",FZ$10,FZ$9)*(1+0.1*$FM$31/$FM$19)*IF(AB616="sk",$FM$18,$FM$17)*EG616/$FM$14*(IF(EI616="全员",EH616*EK616)+IF(EI616="同属性",EH616*EK616*$FM$23/6)+IF(EI616="同作战",EK616*IF(AB616="sk",IF(AND(EH616&gt;1,EH616&lt;6),2),$FM$9*EH616*3))),0)*$FM$16</f>
        <v>0</v>
      </c>
      <c r="EQ616" s="1121">
        <f t="shared" ref="EQ616:EQ620" si="942">IF(EF616="sp+",1/6*(1+0.1*$FM$31/$FM$19)*IF(AB616="sk",$FM$18,$FM$17)*EG616/$FM$14*$FM$28*(IF(EI616="全员",EH616*EK616)+IF(EI616="同属性",EH616*EK616*$FM$23/6)+IF(EI616="同年级",EH616*EK616*$FM$24/6)),0)+IF(EF616="sp获得",1/6*(1+0.1*$FM$31/$FM$19)*IF(AB616="sk",$FM$18,$FM$17)*EG616/$FM$14*IF(AB616="sk",1,1+(1+$FM$10/$FM$9)*($FM$27-1))*IF(EI616="固定值",EK616,EK616*$FM$25))</f>
        <v>0</v>
      </c>
      <c r="ER616" s="1101">
        <f t="shared" ref="ER616:ER620" si="943">IF(EF616="ap+",$EW$26/(1+$EW$15)*EN616)+IF(EF616="vo+",$EW$26*EN616)+IF(EF616="vo获得",EN616*$EW$24)+IF(EF616="sp+",EN616*$EW$30*$EW$32*(1-$EW$33))+IF(EF616="sp获得",EN616*$EW$30*(1-$EW$33))+IF(EF616="技能+",EN616*$EW$28/$EW$27)+IF(EF616="ct+",EN616*$EW$26/(1+($EW$22-1)*$EW$19)*($EW$22-1))+IF(EF616="核弹",EN616*(1+$EW$23)*$EW$24)+IF(EF616="ct值+",$EW$26/(1+($EW$22-1)*$EW$19)*$EW$19*EN616)</f>
        <v>0</v>
      </c>
      <c r="ES616" s="1097">
        <f t="shared" ref="ES616:ES620" si="944">IF(EF616="ap+",$FA$24/(1+$FA$15)*EO616*(1-$FI$26))+IF(EF616="vo+",$FA$24*EO616*(1-$FI$26))+IF(EF616="vo获得",EO616)+IF(EF616="sp+",EO616*$FA$27*$FA$32*(1-$FA$33))+IF(EF616="sp获得",EO616*$FA$27*(1-$FA$33))+IF(EF616="技能+",EO616*$FA$26/$FA$25)+IF(EF616="ct+",EO616*$FA$24/(1+($FA$20-1)*$FA$19)*($FA$20-1)*(1-$FI$27))+IF(EF616="核弹",EO616*(1+$FA$21)*(1-$FI$29))+IF(EF616="ct值+",$FA$24/(1+($FA$20-1)*$FA$19)*$FA$19*EO616*(1-$FI$28))</f>
        <v>0</v>
      </c>
      <c r="ET616" s="1122">
        <f t="shared" si="880"/>
        <v>0</v>
      </c>
    </row>
    <row r="617" spans="2:150" ht="16.5" customHeight="1">
      <c r="B617" s="1123" t="str">
        <f>INDEX('卡片raw data'!B:B,MATCH($D617,'卡片raw data'!$F:$F,))</f>
        <v>礼服步</v>
      </c>
      <c r="C617" s="1025" t="s">
        <v>4993</v>
      </c>
      <c r="D617" s="408">
        <v>614</v>
      </c>
      <c r="E617" s="1164">
        <v>402012006</v>
      </c>
      <c r="F617" s="1090" t="str">
        <f>INDEX('卡片raw data'!C:C,MATCH($D617,'卡片raw data'!$F:$F,))</f>
        <v>SR</v>
      </c>
      <c r="G617" s="1026" t="s">
        <v>4994</v>
      </c>
      <c r="H617" s="411">
        <f>IFERROR(INDEX(绊状态确认!C:C,MATCH($G617,绊状态确认!$B:$B,)),"")</f>
        <v>201</v>
      </c>
      <c r="I617" s="450" t="str">
        <f>IFERROR(INDEX(绊状态确认!D:D,MATCH($G617,绊状态确认!$B:$B,)),"")</f>
        <v>虹</v>
      </c>
      <c r="J617" s="450" t="str">
        <f>IFERROR(INDEX(绊状态确认!E:E,MATCH($G617,绊状态确认!$B:$B,)),"")</f>
        <v>2年级</v>
      </c>
      <c r="K617" s="451" t="str">
        <f>IFERROR(INDEX(绊状态确认!F:F,MATCH($G617,绊状态确认!$B:$B,)),"")</f>
        <v>A·ZU·NA</v>
      </c>
      <c r="L617" s="1094" t="str">
        <f>INDEX('卡片raw data'!E:E,MATCH($D617,'卡片raw data'!$F:$F,))</f>
        <v>卡池卡</v>
      </c>
      <c r="M617" s="1065">
        <v>44581</v>
      </c>
      <c r="N617" s="1027">
        <v>56</v>
      </c>
      <c r="O617" s="1091" t="str">
        <f>INDEX('卡片raw data'!D:D,MATCH($D617,'卡片raw data'!$F:$F,))</f>
        <v>vo</v>
      </c>
      <c r="P617" s="1028">
        <v>5</v>
      </c>
      <c r="Q617" s="1095">
        <f t="shared" ref="Q617" si="945">IF($P617="",0,AW617+BI617+BO617+BT617+CU617+EC617+ER617+CC617+DL617+BL617)</f>
        <v>39664.562869947687</v>
      </c>
      <c r="R617" s="1096">
        <f t="shared" ref="R617" si="946">_xlfn.FLOOR.MATH(IF($P617="","N/A",Q617/$EW$81)*1000)/1000</f>
        <v>0.46100000000000002</v>
      </c>
      <c r="S617" s="1097">
        <f t="shared" ref="S617" si="947">IF($P617="",0,BH617+BJ617+BP617+BU617+CV617+ED617+ES617+CD617+DM617+BM617)</f>
        <v>17628.391545384638</v>
      </c>
      <c r="T617" s="1098">
        <f t="shared" ref="T617" si="948">_xlfn.FLOOR.MATH(IF($P617="","N/A",S617/($FI$24/3))*1000)/1000</f>
        <v>0.88100000000000001</v>
      </c>
      <c r="U617" s="1099">
        <f t="shared" ref="U617" si="949">$EW$64*(IF(O617="vo",-0.05)+IF(O617="gd",0.05))+CP617*(IF(CK617="减伤",$EW$64*(1-$EW$75))+IF(OR(CK617="加盾",AND(CK617="回血",OR(CI617&lt;&gt;"切队",CO617=""))),1))+DG617*(IF(DB617="减伤",$EW$64*(1-$EW$75))+IF(OR(DB617="加盾",AND(DB617="回血",OR(CZ617&lt;&gt;"切队",DF617=""))),1))+AR617*$EW$78/$EW$65+BW617+CF617+DY617*(1+IF(O617="sk",0.05)+IF(O617="sp",-0.05))*(IF(DQ617="减伤",$EW$64*(1-$EW$75))+IF(OR(DQ617="回血",DQ617="加盾"),1))+EN617*(1+IF(O617="sk",0.05)+IF(O617="sp",-0.05))*(IF(EF617="减伤",$EW$64*(1-$EW$75))+IF(OR(EF617="回血",EF617="加盾"),1))</f>
        <v>-11.285083201077143</v>
      </c>
      <c r="V617" s="1100">
        <f t="shared" ref="V617" si="950">IF($P617="",0,AY617+BK617+BO617+BX617+CX617+EE617+ET617+CG617+DO617+BL617)</f>
        <v>39457.867319777222</v>
      </c>
      <c r="W617" s="1101">
        <f t="shared" ref="W617" si="951">IF($P617="",0,BO617+BV617+CW617+CE617+DN617)</f>
        <v>6266.9329316481735</v>
      </c>
      <c r="X617" s="1096">
        <f t="shared" ref="X617" si="952">_xlfn.FLOOR.MATH(IF($P617="","N/A",W617/$EW$81)*1000)/1000</f>
        <v>7.1999999999999995E-2</v>
      </c>
      <c r="Y617" s="1097">
        <f t="shared" ref="Y617" si="953">IF($P617="",0,AA617-W617)</f>
        <v>1097.9729000712259</v>
      </c>
      <c r="Z617" s="1102">
        <f t="shared" ref="Z617" si="954">CP617*IF(OR(CI617="ap时",CI617="ct时"),0,1)*(IF(CK617="减伤",$EW$64*(1-$EW$75))+IF(OR(CK617="加盾",AND(CK617="回血",OR(CI617&lt;&gt;"切队",CO617=""))),1))+DG617*IF(OR(CZ617="ap时",CZ617="ct时"),0,1)*(IF(DB617="减伤",$EW$64*(1-$EW$75))+IF(OR(DB617="加盾",AND(DB617="回血",OR(CZ617&lt;&gt;"切队",DF617=""))),1))+AR617*$EW$78/$EW$65+BW617+CF617</f>
        <v>13.714916798922857</v>
      </c>
      <c r="AA617" s="1103">
        <f t="shared" ref="AA617" si="955">IF($P617="",0,BO617+BY617+CY617+AX617+CH617+DP617)</f>
        <v>7364.9058317193994</v>
      </c>
      <c r="AB617" s="1101">
        <f t="shared" ref="AB617" si="956">IF($P617="",0,BT617+CU617+BO617+CC617+DL617)</f>
        <v>6266.9329316481744</v>
      </c>
      <c r="AC617" s="1104">
        <f t="shared" ref="AC617" si="957">_xlfn.FLOOR.MATH(IF($P617="","N/A",AB617/$EW$81)*1000)/1000</f>
        <v>7.1999999999999995E-2</v>
      </c>
      <c r="AD617" s="1105">
        <f t="shared" ref="AD617" si="958">CS617+DJ617+EA617+EP617+IF(O617="sp",-0.05*FM$14*FM$15/2)+IF(O617="sk",0.05*FM$14*FM$15/2)+IF(O617="sk",FM$11^2/(3-FM$11)*FM$12)-IF(O617="sk",FM$10,FM$9)*IF(O617="sk",FM$18,FM$17)*($FM$14-DR617)</f>
        <v>-3.8207812500000026E-3</v>
      </c>
      <c r="AE617" s="1128">
        <f t="shared" ref="AE617" si="959">AD617/FM$18*FM$29+CT617+DK617+EB617+EQ617+IF(O617="sp",0.05*$FM$9*3*FM$26)-IF(O617="gd",0.05*$FM$9*3*FM$26)+IF(O617="sp",300*1/3*$FM$11/2)+IF(O617="sk",FM$11^2/(3-FM$11)*FM$13)+IF(F617="R",-100*IF(O617="sk",FM$10,FM$9))+IF(F617="SR",-50*IF(O617="sk",FM$10,FM$9))</f>
        <v>-12.27536231884058</v>
      </c>
      <c r="AF617" s="1130">
        <f t="shared" ref="AF617" si="960">IF(OR(DQ617="回血",DQ617="加盾"),EN617/EL617*3*2*IF(EG617=0.11,$EW$71,$EW$70)+DY617/DW617*3*2*IF(DR617=0.11,$EW$71,$EW$70)+IF(O617="gd",AR617*0.05)+IF(OR(CK617="回血",CK617="加盾"),-(CR617-CP617)*6)+IF(AND(CI617="切队",CO617=""),CP617/$EW$79*$EW$65*2),0)</f>
        <v>0</v>
      </c>
      <c r="AG617" s="1097">
        <f t="shared" ref="AG617" si="961">IF(OR(DQ617="回血",DQ617="加盾"),MAX($EW$64*$EW$65*IF(CK617="减伤",(1-IF(CI617="切队",IF(CO617&lt;&gt;"",MAX(CO617/$EW$79,1),0),1)*CR617),1)-$EW$62*0.3+$EX$17-AR617-(BW617+CF617)/$EW$78*$EW$65-IF(OR(CK617="回血",CK617="加盾"),IF(CI617="切队",IF(CO617&lt;&gt;"",MAX(CO617/$EW$79,1),0),1)*CR617*$EW$65),0),0)</f>
        <v>0</v>
      </c>
      <c r="AH617" s="1097">
        <f t="shared" ref="AH617" si="962">IFERROR(AG617/AF617,0)</f>
        <v>0</v>
      </c>
      <c r="AI617" s="1097">
        <f t="shared" ref="AI617" si="963">IF(OR(DQ617="回血",DQ617="加盾"),$EW$26*(1-$EW$66)/$EW$66-AH617*(($EW$26*IF(O617="sk",14/3-8/3*$EW$68,5-3*$EW$68)-2*3*Q617*$EW$69)/$EW$66)/$EW$65+($EW$26/3+$EW$26/$EW$24*0.05+$EW$61*4*$EW$26*$EX$5/$EX$11+$EW$28)-($EW$72-W617),0)</f>
        <v>0</v>
      </c>
      <c r="AJ617" s="1097">
        <f t="shared" ref="AJ617" si="964">IF(OR(DQ617="回血",DQ617="加盾"),V617,0)</f>
        <v>0</v>
      </c>
      <c r="AK617" s="1129">
        <f t="shared" ref="AK617" si="965">IFERROR(AI617-AJ617,"")</f>
        <v>0</v>
      </c>
      <c r="AL617" s="1042">
        <f>IF($P617="","N/A",(IF($P617=-1,INDEX('卡片raw data'!S:S,MATCH($D617,'卡片raw data'!$F:$F,)),0)+IF($P617=0,INDEX('卡片raw data'!V:V,MATCH($D617,'卡片raw data'!$F:$F,)),0)+IF($P617=1,INDEX('卡片raw data'!Y:Y,MATCH($D617,'卡片raw data'!$F:$F,)),0)+IF($P617=2,INDEX('卡片raw data'!AB:AB,MATCH($D617,'卡片raw data'!$F:$F,)),0)+IF($P617=3,INDEX('卡片raw data'!AE:AE,MATCH($D617,'卡片raw data'!$F:$F,)),0)+IF($P617=4,INDEX('卡片raw data'!AH:AH,MATCH($D617,'卡片raw data'!$F:$F,)),0)+IF($P617=5,INDEX('卡片raw data'!AK:AK,MATCH($D617,'卡片raw data'!$F:$F,)),0)+INDEX('卡片raw data'!S:S,MATCH($D617,'卡片raw data'!$F:$F,))*(IF($F617="UR",0.04,0.033))*(IF($F617="UR",INDEX(绊状态确认!$S:$S,MATCH($G617,绊状态确认!$B:$B,))/2-40)+IF($F617="SR",INDEX(绊状态确认!$R:$R,MATCH($G617,绊状态确认!$B:$B,))/4-15))+IF($F617="R",INDEX(绊状态确认!$Q:$Q,MATCH($G617,绊状态确认!$B:$B,))/6-40/6)))*(INDEX(绊状态确认!$H:$H,MATCH($G617,绊状态确认!$B:$B,))+INDEX(绊状态确认!J:J,MATCH($G617,绊状态确认!$B:$B,)))</f>
        <v>9067.2583247999992</v>
      </c>
      <c r="AM617" s="1035">
        <f>IF($P617="","N/A",(IF($P617=-1,INDEX('卡片raw data'!T:T,MATCH($D617,'卡片raw data'!$F:$F,)),0)+IF($P617=0,INDEX('卡片raw data'!W:W,MATCH($D617,'卡片raw data'!$F:$F,)),0)+IF($P617=1,INDEX('卡片raw data'!Z:Z,MATCH($D617,'卡片raw data'!$F:$F,)),0)+IF($P617=2,INDEX('卡片raw data'!AC:AC,MATCH($D617,'卡片raw data'!$F:$F,)),0)+IF($P617=3,INDEX('卡片raw data'!AF:AF,MATCH($D617,'卡片raw data'!$F:$F,)),0)+IF($P617=4,INDEX('卡片raw data'!AI:AI,MATCH($D617,'卡片raw data'!$F:$F,)),0)+IF($P617=5,INDEX('卡片raw data'!AL:AL,MATCH($D617,'卡片raw data'!$F:$F,)),0)+INDEX('卡片raw data'!T:T,MATCH($D617,'卡片raw data'!$F:$F,))*(IF($F617="UR",0.04,0.033))*(IF($F617="UR",INDEX(绊状态确认!$S:$S,MATCH($G617,绊状态确认!$B:$B,))/2-40)+IF($F617="SR",INDEX(绊状态确认!$R:$R,MATCH($G617,绊状态确认!$B:$B,))/4-15))+IF($F617="R",INDEX(绊状态确认!$Q:$Q,MATCH($G617,绊状态确认!$B:$B,))/6-40/6)))*(INDEX(绊状态确认!$H:$H,MATCH($G617,绊状态确认!$B:$B,))+INDEX(绊状态确认!K:K,MATCH($G617,绊状态确认!$B:$B,)))</f>
        <v>7396.7685071999995</v>
      </c>
      <c r="AN617" s="1043">
        <f>IF($P617="","N/A",(IF($P617=-1,INDEX('卡片raw data'!U:U,MATCH($D617,'卡片raw data'!$F:$F,)),0)+IF($P617=0,INDEX('卡片raw data'!X:X,MATCH($D617,'卡片raw data'!$F:$F,)),0)+IF($P617=1,INDEX('卡片raw data'!AA:AA,MATCH($D617,'卡片raw data'!$F:$F,)),0)+IF($P617=2,INDEX('卡片raw data'!AD:AD,MATCH($D617,'卡片raw data'!$F:$F,)),0)+IF($P617=3,INDEX('卡片raw data'!AG:AG,MATCH($D617,'卡片raw data'!$F:$F,)),0)+IF($P617=4,INDEX('卡片raw data'!AJ:AJ,MATCH($D617,'卡片raw data'!$F:$F,)),0)+IF($P617=5,INDEX('卡片raw data'!AM:AM,MATCH($D617,'卡片raw data'!$F:$F,)),0)+INDEX('卡片raw data'!U:U,MATCH($D617,'卡片raw data'!$F:$F,))*(IF($F617="UR",0.04,0.033))*(IF($F617="UR",INDEX(绊状态确认!$S:$S,MATCH($G617,绊状态确认!$B:$B,))/2-40)+IF($F617="SR",INDEX(绊状态确认!$R:$R,MATCH($G617,绊状态确认!$B:$B,))/4-15))+IF($F617="R",INDEX(绊状态确认!$Q:$Q,MATCH($G617,绊状态确认!$B:$B,))/6-40/6)))*(INDEX(绊状态确认!$H:$H,MATCH($G617,绊状态确认!$B:$B,))+INDEX(绊状态确认!L:L,MATCH($G617,绊状态确认!$B:$B,)))</f>
        <v>7396.7685071999995</v>
      </c>
      <c r="AO617" s="1167">
        <f t="shared" ref="AO617:AO618" si="966">IF(OR($FE$5=C617,$FE$5="全"),1,0)</f>
        <v>1</v>
      </c>
      <c r="AP617" s="1044">
        <f>1+(INDEX(绊状态确认!$T:$T,MATCH($G617,绊状态确认!$B:$B,))+0.2)*$AO617</f>
        <v>1.3</v>
      </c>
      <c r="AQ617" s="1035">
        <f t="shared" ref="AQ617" si="967">(AL617*(1+$EX$8)+$EX$34)*(1+$EW$15)*IF(AO617=0,1-$FE$6,1)*IF(AO617=1,1+$FE$7,1)*IF(O617="vo",1+$FE$8,1)*IF(O617="gd",1+$FE$9,1)*IF(O617="sp",1+$FE$10,1)*IF(O617="sk",1+$FE$11,1)*IF(I617=$FF$12,1+$FE$12,1)*IF(I617=$FF$13,1,1-$FE$13)*IF(I617=$FF$14,1+$FE$14,1)*IF(J617=$FF$16,1+$FE$16,1)*IF(J617=$FF$17,1+$FE$17,1)*IF(K617=$FF$18,1+$FE$18,1)*(1+$FE$15)</f>
        <v>27051.553102600003</v>
      </c>
      <c r="AR617" s="1035">
        <f>(AM617*(1+$EX$9)+$EX$35)*(1+(INDEX(绊状态确认!$T:$T,MATCH($G617,绊状态确认!$B:$B,))+0.2)*AO617)*IF(J617=$FF$17,1+$FE$17,1)*IF(I617=$FF$14,1+$FE$14,1)</f>
        <v>12800.589012328001</v>
      </c>
      <c r="AS617" s="1035">
        <f>(AN617*(1+$EX$10)+$EX$36)*(1+(INDEX(绊状态确认!$T:$T,MATCH($G617,绊状态确认!$B:$B,))+0.2)*AO617)*IF(J617=$FF$17,1+$FE$17,1)*IF(I617=$FF$14,1+$FE$14,1)</f>
        <v>15114.168918264</v>
      </c>
      <c r="AT617" s="1165">
        <f>IF(AND(INDEX('卡片raw data'!AK:AK,MATCH($D617,'卡片raw data'!$F:$F,))&lt;INDEX('卡片raw data'!AM:AM,MATCH($D617,'卡片raw data'!$F:$F,)),INDEX('卡片raw data'!AL:AL,MATCH($D617,'卡片raw data'!$F:$F,))&lt;INDEX('卡片raw data'!AM:AM,MATCH($D617,'卡片raw data'!$F:$F,))),1,0)</f>
        <v>0</v>
      </c>
      <c r="AU617" s="1031">
        <f>MIN(AT617*0.15+AS617*0.00003+INDEX(绊状态确认!M:M,MATCH($G617,绊状态确认!$B:$B,)),1)</f>
        <v>0.48342506754792003</v>
      </c>
      <c r="AV617" s="1045">
        <f>(INDEX(绊状态确认!$N:$N,MATCH($G617,绊状态确认!$B:$B,))+1.5)*$EW$21</f>
        <v>2.6599999999999997</v>
      </c>
      <c r="AW617" s="1038">
        <f t="shared" ref="AW617" si="968">AQ617*(1+(AV617-1)*AU617)*(AP617)*(1+EW$25)*EW$66/3*$EW$24</f>
        <v>25323.362669229915</v>
      </c>
      <c r="AX617" s="1035">
        <f t="shared" ref="AX617" si="969">$EW$26*(HP($EW$62,$EW$65,$EW$64-AR617*$EW$78/$EW$65)/$EW$66-1)</f>
        <v>1097.9729000712255</v>
      </c>
      <c r="AY617" s="483">
        <f t="shared" ref="AY617" si="970">AW617+AX617</f>
        <v>26421.33556930114</v>
      </c>
      <c r="AZ617" s="1106">
        <f t="shared" ref="AZ617" si="971">(AL617*(1+$FB$8)+$FB$34)*IF(AO617=0,1-$FE$6,1)*IF(AO617=1,1+$FE$7,1)*IF(O617="vo",1+$FE$8,1)*IF(O617="gd",1+$FE$9,1)*IF(O617="sp",1+$FE$10,1)*IF(O617="sk",1+$FE$11,1)*IF(I617=$FF$12,1+$FE$12,1)*IF(I617=$FF$13,1,1-$FE$13)*IF(I617=$FF$14,1+$FE$14,1)*IF(J617=$FF$16,1+$FE$16,1)*IF(J617=$FF$17,1+$FE$17,1)*IF(K617=$FF$18,1+$FE$18,1)*(1+$FE$15)</f>
        <v>20281.153733359999</v>
      </c>
      <c r="BA617" s="1108">
        <f t="shared" ref="BA617" si="972">AZ617*(1+$FA$15)</f>
        <v>24337.384480031997</v>
      </c>
      <c r="BB617" s="1035">
        <f>(AM617*(1+$FB$9)+$FB$35)*(1+(INDEX(绊状态确认!$T:$T,MATCH($G617,绊状态确认!$B:$B,))+0.2)*AO617)*IF(J617=$FF$17,1+$FE$17,1)*IF(I617=$FF$14,1+$FE$14,1)*(1+$FE$15)</f>
        <v>12800.589012328001</v>
      </c>
      <c r="BC617" s="1035">
        <f>(AN617*(1+$FB$10)+$FB$36)*(1+(INDEX(绊状态确认!$T:$T,MATCH($G617,绊状态确认!$B:$B,))+0.2)*AO617)*IF(J617=$FF$17,1+$FE$17,1)*IF(I617=$FF$14,1+$FE$14,1)*(1+$FE$15)</f>
        <v>15114.168918264</v>
      </c>
      <c r="BD617" s="481">
        <f>MIN(AT617*0.15+BC617*0.00003+INDEX(绊状态确认!M:M,MATCH($G617,绊状态确认!$B:$B,)),1)</f>
        <v>0.48342506754792003</v>
      </c>
      <c r="BE617" s="1109">
        <f>(INDEX(绊状态确认!$N:$N,MATCH($G617,绊状态确认!$B:$B,))+1.5)</f>
        <v>1.9</v>
      </c>
      <c r="BF617" s="646">
        <f t="array" ref="BF617">SUMPRODUCT(IF(AZ617*AP617*$FI$16:$FI$23*$FA$22&gt;=$FI$24,$FI$24,AZ617*AP617*$FI$16:$FI$23*$FA$22),$FJ$16:$FJ$23)</f>
        <v>40339.214775653047</v>
      </c>
      <c r="BG617" s="1047">
        <f t="array" ref="BG617">SUMPRODUCT(IF(BE617*AZ617*AP617*$FI$16:$FI$23*$FA$22&gt;=$FI$24,$FI$24,BE617*AZ617*AP617*$FI$16:$FI$23*$FA$22),$FJ$16:$FJ$23)</f>
        <v>60000</v>
      </c>
      <c r="BH617" s="1046">
        <f t="shared" ref="BH617" si="973">((1-$BD617)*BF617+$BD617*BG617)/3</f>
        <v>16614.577066926042</v>
      </c>
      <c r="BI617" s="1048">
        <f>IF(O617="vo",$EW$26/$EW$24*0.05,0)+IF(O617="sk",-$EW$26/$EW$24*(0.05-INDEX(绊状态确认!W:W,MATCH($G617,绊状态确认!$B:$B,)))+0.05*$EW$28,0)+IF(O617="sp",0.05*$EW$32*$EW$30*(1-$EW$33)-(0.05-INDEX(绊状态确认!V:V,MATCH($G617,绊状态确认!$B:$B,)))*$EW$28,0)+IF(O617="gd",-(0.05-INDEX(绊状态确认!X:X,MATCH($G617,绊状态确认!$B:$B,)))*$EW$32*$EW$30*(1-$EW$33),0)</f>
        <v>7726.3029277443748</v>
      </c>
      <c r="BJ617" s="1097">
        <f>IF(O617="vo",0.05*(1-$FI$26)*$FA$24,0)+IF(O617="sk",-(0.05-INDEX(绊状态确认!W:W,MATCH($G617,绊状态确认!$B:$B,)))*(1-$FI$26)*$FA$24+0.05*$FA$26,0)+IF(O617="sp",0.05*$FA$32*$FA$27*(1-$FA$33)/$FA$30+0.05*$FA$29/$FA$69*$FA$27*(1-$FA$33)-(0.05-INDEX(绊状态确认!V:V,MATCH($G617,绊状态确认!$B:$B,)))*$FA$26,0)+IF(O617="gd",-(0.05-INDEX(绊状态确认!X:X,MATCH($G617,绊状态确认!$B:$B,)))*$FA$32*$FA$27*(1-$FA$33)/$FA$30-(0.05-INDEX(绊状态确认!X:X,MATCH($G617,绊状态确认!$B:$B,)))*$FA$29/$FA$69*$FA$27*(1-$FA$33),0)</f>
        <v>393.93433687500004</v>
      </c>
      <c r="BK617" s="1046">
        <f>IF(O617="vo",$EW$26/$EW$24*0.05+$EW$26*(-HP($EW$62,$EW$65,$EW$64)+HP($EW$62,$EW$65,(1.05-INDEX(绊状态确认!U:U,MATCH($G617,绊状态确认!$B:$B,)))*$EW$64)),0)+IF(O617="sk",-$EW$26/$EW$24*(0.05-INDEX(绊状态确认!W:W,MATCH($G617,绊状态确认!$B:$B,)))+0.05*$EW$29,0)+IF(O617="sp",0.05*$EW$32*$EW$30*(1-$EW$33)-(0.05-INDEX(绊状态确认!V:V,MATCH($G617,绊状态确认!$B:$B,)))*$EW$29,0)+IF(O617="gd",-(0.05-INDEX(绊状态确认!X:X,MATCH($G617,绊状态确认!$B:$B,)))*$EW$32*$EW$30*(1-$EW$33)+$EW$26*(-HP($EW$62,$EW$65,$EW$64)+HP($EW$62,$EW$65,0.95*$EW$64)),0)</f>
        <v>6421.6344775026746</v>
      </c>
      <c r="BL617" s="1048">
        <f t="shared" ref="BL617" si="974">(IF(F617="UR",0)+IF(F617="SR",-1/4)+IF(F617="R",-1/2))*1/3*$EW$31/$EW$77*$EW$30</f>
        <v>-1083.3333333333333</v>
      </c>
      <c r="BM617" s="1046">
        <f t="shared" ref="BM617" si="975">(IF(F617="UR",0)+IF(F617="SR",-1/4)+IF(F617="R",-1/2))*1/3*$FA$31/$FA$69*$FA$27</f>
        <v>-830.55555555555543</v>
      </c>
      <c r="BN617" s="1167">
        <f t="shared" ref="BN617" si="976">IF($P617="","N/A",IF(P617=-1,IF(OR(L617="fes卡",L617="party卡"),2,1),IF(F617="UR",IF(L617="party卡",4-IF(P617=0,1),IF(L617="fes卡",4,3)-IF(P617&gt;=4,0,1)))+IF(F617="SR",IF(P617&gt;=4,3,2))+IF(F617="R",2)))</f>
        <v>3</v>
      </c>
      <c r="BO617" s="1035">
        <f t="shared" si="828"/>
        <v>4507.7214871259994</v>
      </c>
      <c r="BP617" s="1043">
        <f t="shared" ref="BP617" si="977">BN617*$FA$58*(1-$FI$26)*$FA$24*$FB$5/$FB$11</f>
        <v>221.34103209030098</v>
      </c>
      <c r="BQ617" s="1167" t="s">
        <v>1940</v>
      </c>
      <c r="BR617" s="1124" t="s">
        <v>161</v>
      </c>
      <c r="BS617" s="1098">
        <f>IF($P617="","N/A",IF($P617=-1,INDEX('卡片raw data'!AX:AX,MATCH($D617,'卡片raw data'!$F:$F,)),0)+IF($L617="party卡",IF($P617=5,INDEX('卡片raw data'!BD:BD,MATCH($D617,'卡片raw data'!$F:$F,)),IF($P617&gt;=3,INDEX('卡片raw data'!BC:BC,MATCH($D617,'卡片raw data'!$F:$F,)),INDEX('卡片raw data'!BB:BB,MATCH($D617,'卡片raw data'!$F:$F,)))),IF(OR(AND($F617="UR",$P617=0),AND($F617="SR",$P617&gt;=0,$P617&lt;=2),AND($F617="R",$P617&gt;=0,$P617&lt;4)),INDEX('卡片raw data'!AZ:AZ,MATCH($D617,'卡片raw data'!$F:$F,)),0)+IF(OR(AND($F617="UR",$P617&gt;=1,$P617&lt;=4),AND($F617="SR",$P617&lt;=4,$P617&gt;=3),AND($F617="R",$P617=4)),INDEX('卡片raw data'!BA:BA,MATCH($D617,'卡片raw data'!$F:$F,)),0)+IF($P617=5,INDEX('卡片raw data'!BB:BB,MATCH($D617,'卡片raw data'!$F:$F,)),0)))</f>
        <v>2.1999999999999999E-2</v>
      </c>
      <c r="BT617" s="1101">
        <f t="shared" si="914"/>
        <v>1652.8312119462</v>
      </c>
      <c r="BU617" s="1097">
        <f t="shared" si="915"/>
        <v>81.158378433110371</v>
      </c>
      <c r="BV617" s="1097">
        <f t="shared" si="916"/>
        <v>1652.8312119462</v>
      </c>
      <c r="BW617" s="1112">
        <f t="shared" si="917"/>
        <v>0</v>
      </c>
      <c r="BX617" s="1100">
        <f t="shared" si="918"/>
        <v>1652.8312119462</v>
      </c>
      <c r="BY617" s="1110">
        <f t="shared" si="919"/>
        <v>1652.8312119462</v>
      </c>
      <c r="BZ617" s="1113" t="s">
        <v>569</v>
      </c>
      <c r="CA617" s="1124"/>
      <c r="CB617" s="1098">
        <f>IF($P617="","N/A",IF($P617=-1,INDEX('卡片raw data'!BE:BE,MATCH($D617,'卡片raw data'!$F:$F,)),0)+IF($L617="party卡",IF($P617=5,INDEX('卡片raw data'!BK:BK,MATCH($D617,'卡片raw data'!$F:$F,)),IF($P617&gt;=3,INDEX('卡片raw data'!BJ:BJ,MATCH($D617,'卡片raw data'!$F:$F,)),INDEX('卡片raw data'!BI:BI,MATCH($D617,'卡片raw data'!$F:$F,)))),IF(OR(AND($F617="UR",$P617=0),AND($F617="SR",$P617&gt;=0,$P617&lt;=2),AND($F617="R",$P617&gt;=0,$P617&lt;4)),INDEX('卡片raw data'!BG:BG,MATCH($D617,'卡片raw data'!$F:$F,)),0)+IF(OR(AND($F617="UR",$P617&gt;=1,$P617&lt;=4),AND($F617="SR",$P617&lt;=4,$P617&gt;=3),AND($F617="R",$P617=4)),INDEX('卡片raw data'!BH:BH,MATCH($D617,'卡片raw data'!$F:$F,)),0)+IF($P617=5,INDEX('卡片raw data'!BI:BI,MATCH($D617,'卡片raw data'!$F:$F,)),0)))</f>
        <v>0</v>
      </c>
      <c r="CC617" s="1101">
        <f t="shared" si="920"/>
        <v>0</v>
      </c>
      <c r="CD617" s="1097">
        <f>IF(BZ617="ap",CB617*(1-$FI$26)*$FB$5/$FB$11*(+IF(CA617="全员",$FA$24,0)+IF(CA617="同作战",$FA$24,0)+IF(CA617="仲间",$FA$24*2/3,0)+IF(CA617="同属性",$FA$24*$FA$37/3,0)+IF(CA617="同年级",$FA$24*$FA$40/3,0)+IF(CA617="同学校",$FA$24*$FA$43/3,0)+IF(CA617="同小队",$FA$24*$FA$46/3,0)+IF(CA617="同type",$FA$24*INDEX($FB$49:$FB$52,MATCH(X617,$FA$49:$FA$52,))/3,0)+IF(CA617="自身",#REF!/3,0)),0)+IF(BZ617="te",CB617*(1-$FI$27)*($FA$20-1)*$FB$7/$FB$13*(+IF(CA617="全员",$FA$19*$FA$24/(1+($FA$20-1)*$FA$19),0)+IF(CA617="同作战",$FA$19*$FA$24/(1+($FA$20-1)*$FA$19),0)+IF(CA617="仲间",$FA$19*$FA$24*2/3/(1+($FA$20-1)*$FA$19),0)+IF(CA617="同属性",$FA$19*$FA$24*$FA$37/3/(1+($FA$20-1)*$FA$19),0)+IF(CA617="同年级",$FA$19*$FA$24*$FA$40/3/(1+($FA$20-1)*$FA$19),0)+IF(CA617="同学校",$FA$19*$FA$24*$FA$43/3/(1+($FA$20-1)*$FA$19),0)+IF(CA617="同小队",$FA$19*$FA$24*$FA$46/3/(1+($FA$20-1)*$FA$19),0)+IF(CA617="同type",$FA$19*$FA$24*INDEX($FB$49:$FB$52,MATCH(X617,$FA$49:$FA$52,))/3/(1+($FA$20-1)*$FA$19),0)+IF(CA617="自身",$FA$19*#REF!/3/(1+(BH617-1)*$BD617),0)),0)</f>
        <v>0</v>
      </c>
      <c r="CE617" s="1097">
        <f t="shared" si="921"/>
        <v>0</v>
      </c>
      <c r="CF617" s="1112">
        <f t="shared" si="922"/>
        <v>0</v>
      </c>
      <c r="CG617" s="1100">
        <f t="shared" si="923"/>
        <v>0</v>
      </c>
      <c r="CH617" s="1110">
        <f t="shared" si="924"/>
        <v>0</v>
      </c>
      <c r="CI617" s="1113" t="s">
        <v>162</v>
      </c>
      <c r="CJ617" s="1114">
        <v>1</v>
      </c>
      <c r="CK617" s="1169" t="s">
        <v>2046</v>
      </c>
      <c r="CL617" s="1169" t="s">
        <v>1940</v>
      </c>
      <c r="CM617" s="1166">
        <v>0.77</v>
      </c>
      <c r="CN617" s="1169"/>
      <c r="CO617" s="1169">
        <v>1</v>
      </c>
      <c r="CP617" s="1116">
        <f t="shared" ref="CP617:CP620" si="978">IF(OR(CK617="无",CI617="大量伤害",CI617="AC失败",CI617="低血量",CK617="复活",CK617="驱散",CK617="Gd切队效果up"),0,IF(AND(CK617="sp获得",CI617="AC成功"),0,IF(CK617="其他",0,IF(CN617=0,CM617*(IF(CL617="ap",AQ617*IF(CK617="vo获得",AP617,1))+IF(CL617="st",AR617)+IF(CL617="te",AS617)+IF(CL617="sp槽",$EW$77)+IF(CL617="",1))*(IF(CI617="曲开始",CJ617,0)+IF(CI617="切队",IF(CO617&lt;&gt;"",MIN(CO617,CJ617*$EW$79),CJ617*$EW$79))+IF(CI617="SP发动",IF(CO617&lt;&gt;"",MIN(CO617,CJ617*$EW$76),CJ617*$EW$76))+IF(CI617="ap时",IF(CO617&lt;&gt;"",MIN(CO617,CJ617*$EW$65/3),CJ617*$EW$65/3),0)+IF(CI617="伤害时",IF(CO617&lt;&gt;"",MIN(CO617,CJ617*$EW$65*(1-$EW$75)),CJ617*$EW$65*(1-$EW$75)),0)+IF(CI617="ct时",IF(CO617&lt;&gt;"",MIN(CO617,CJ617*$EW$65/3*$AU617),CJ617*$EW$65/3*$AU617),0)+IF(OR(CI617="AC时",CI617="AC成功"),IF(CO617&lt;&gt;"",MIN(CO617,CJ617*$EW$73),CJ617*$EW$73))),0)/$EW$65+IF(CN617="infty",IF(OR(CI617="曲开始",AND(CJ617=1,CO617=1)),CM617*CJ617,IF(CI617="SP发动",IF(CO617=1,CM617*(1-(1-(1-CJ617)^($EW$76+1))/(($EW$76+1)*CJ617)))+IF(CO617="",CJ617*CM617*$EW$76/2),0)+IF(CI617="AC时",IF(CO617=1,CM617*(1-(1-(1-CJ617)^($EW$73+1))/(($EW$73+1)*CJ617)))+IF(CO617="",CJ617*CM617*$EW$73/2),0)+IF(CI617="AC成功",IF(CO617=1,CM617*(1-(1-(1-CJ617)^($EW$73+1))/(($EW$73+1)*CJ617)))+IF(CO617="",CJ617*CM617*$EW$73/2),0)),0)*(IF(CL617="全员",1,0)+IF(CL617="同属性",$EW$37/3,0)+IF(CL617="同年级",$EW$40/3,0)+IF(CL617="同作战",1,0)+IF(CL617="自身",1/3,0)+IF(CL617="同type",INDEX($EX$49:$EX$52,MATCH($O617,$EW$49:$EW$52,))/3))+IF(AND(CN617&lt;&gt;0,CN617&lt;&gt;"infty"),IF(CN617="AC内",$EW$74,CN617)*CM617*(IF(CI617="曲开始",CJ617,0)+IF(CI617="切队",IF(CO617&lt;&gt;"",MIN(CO617,CJ617*$EW$79),CJ617*$EW$79))+IF(CI617="SP发动",IF(CO617&lt;&gt;"",MIN(CO617,CJ617*$EW$76),CJ617*$EW$76))+IF(CI617="ap时",IF(CO617&lt;&gt;"",MIN(CO617,CJ617*$EW$65/3),CJ617*$EW$65/3),0)+IF(CI617="伤害时",IF(CO617&lt;&gt;"",MIN(CO617,CJ617*$EW$65*(1-$EW$75)),CJ617*$EW$65*(1-$EW$75)),0)+IF(CI617="ct时",IF(CO617&lt;&gt;"",MIN(CO617,CJ617*$EW$65/3*$AU617),CJ617*$EW$65/3*$AU617),0)+IF(OR(CI617="AC时",CI617="AC成功"),IF(CO617&lt;&gt;"",MIN(CO617,CJ617*$EW$73),CJ617*$EW$73))),0)/$EW$65*(IF(CL617="全员",1,0)+IF(CL617="同属性",$EW$37/3,0)+IF(CL617="同年级",$EW$40/3,0)+IF(CL617="同学校",$EW$43/3,0)+IF(CL617="同作战",1,0)+IF(CL617="自身",1/3,0)+IF(CL617="同type",INDEX($EX$49:$EX$52,MATCH($O617,$EW$49:$EW$52,))/3)-IF(AND(CK617="ct+",CL617&lt;&gt;"仲间"),MAX(CM617+$AU617-1,0)/CM617/3)))))</f>
        <v>96.709302341795023</v>
      </c>
      <c r="CQ617" s="1116">
        <f t="shared" ref="CQ617:CQ620" si="979">IF(OR(CK617="无",CI617="大量伤害",CI617="AC失败",CI617="低血量",CK617="复活",CK617="驱散",CK617="Gd切队效果up"),0,IF(AND(CK617="sp获得",CI617="AC成功"),0,IF(CK617="其他",0,IF(CN617=0,CM617*(IF(CL617="ap",BA617*IF(CK617="vo获得",AP617,1))+IF(CL617="st",BB617)+IF(CL617="te",BC617)+IF(CL617="sp槽",$FA$69)+IF(CL617="",1))*(IF(CK617="sp获得",$FA$30,1))*(IF(CI617="曲开始",CJ617,0)+IF(CI617="切队",IF(CO617&lt;&gt;"",MIN(CO617,CJ617*$FA$71),CJ617*$FA$71))+IF(CI617="SP发动",IF(CO617&lt;&gt;"",MIN(CO617,CJ617*$FA$68),CJ617*$FA$68))+IF(CI617="ap时",IF(CO617&lt;&gt;"",MIN(CO617,CJ617*$FA$62/3),CJ617*$FA$62/3),0)+IF(CI617="伤害时",IF(CO617&lt;&gt;"",MIN(CO617,CJ617*$FA$62*(1-$FA$67)),CJ617*$FA$62*(1-$FA$67)),0)+IF(CI617="ct时",IF(CO617&lt;&gt;"",MIN(CO617,CJ617*$FA$62/3*$BD617),CJ617*$FA$62/3*$BD617),0)+IF(OR(CI617="AC时",CI617="AC成功"),IF(CO617&lt;&gt;"",MIN(CO617,CJ617*$FA$65),CJ617*$FA$65))),0)/$FA$62+IF(CN617="infty",IF(OR(CI617="曲开始",AND(CJ617=1,CO617=1)),CM617*CJ617,IF(CI617="SP发动",IF(CO617=1,CM617*(1-(1-(1-CJ617)^($FA$68+1))/(($FA$68+1)*CJ617)))+IF(CO617="",CJ617*CM617*$FA$68/2),0)+IF(CI617="AC时",IF(CO617=1,CM617*(1-(1-(1-CJ617)^($FA$65+1))/(($FA$65+1)*CJ617)))+IF(CO617="",CJ617*CM617*$FA$65/2),0)+IF(CI617="AC成功",IF(CO617=1,CM617*(1-(1-(1-CJ617)^($FA$65+1))/(($FA$65+1)*CJ617)))+IF(CO617="",CJ617*CM617*$FA$65/2),0)),0)*(IF(CL617="全员",1,0)+IF(CL617="同属性",$FA$37/3,0)+IF(CL617="同年级",$FA$40/3,0)+IF(CL617="同作战",1,0)+IF(CL617="自身",1/3,0)+IF(CL617="同type",INDEX($FB$49:$FB$52,MATCH($O617,$FA$49:$FA$52,))/3))+IF(AND(CN617&lt;&gt;0,CN617&lt;&gt;"infty"),IF(CN617="AC内",$FA$66,CN617)*CM617*(IF(CI617="曲开始",CJ617,0)+IF(CI617="切队",IF(CO617&lt;&gt;"",MIN(CO617,CJ617*$FA$71),CJ617*$FA$71))+IF(CI617="SP发动",IF(CO617&lt;&gt;"",MIN(CO617,CJ617*$FA$68),CJ617*$FA$68))+IF(CI617="ap时",IF(CO617&lt;&gt;"",MIN(CO617,CJ617*$FA$62/3),CJ617*$FA$62/3),0)+IF(CI617="伤害时",IF(CO617&lt;&gt;"",MIN(CO617,CJ617*$FA$62*(1-$FA$67)),CJ617*$FA$62*(1-$FA$67)),0)+IF(CI617="ct时",IF(CO617&lt;&gt;"",MIN(CO617,CJ617*$FA$62/3*$BD617),CJ617*$FA$62/3*$BD617),0)+IF(OR(CI617="AC时",CI617="AC成功"),IF(CO617&lt;&gt;"",MIN(CO617,CJ617*$FA$65),CJ617*$FA$65))),0)/$FA$62*(IF(CL617="全员",1,0)+IF(CL617="同属性",$FA$37/3,0)+IF(CL617="同年级",$FA$40/3,0)+IF(CL617="同学校",$FA$43/3,0)+IF(CL617="同作战",1,0)+IF(CL617="自身",1/3,0)+IF(CL617="同type",INDEX($FB$49:$FB$52,MATCH($O617,$FA$49:$FA$52,))/3)-IF(AND(CK617="ct+",CL617&lt;&gt;"仲间"),MAX(CM617+$BD617-1,0)/3/CM617)))))</f>
        <v>135.34289924728907</v>
      </c>
      <c r="CR617" s="1116">
        <f t="shared" ref="CR617:CR620" si="980">IF(OR(CK617="无",CI617="大量伤害",CI617="AC失败",CI617="低血量",CK617="复活",CK617="驱散",CK617="Gd切队效果up"),0,IF(AND(CK617="sp获得",CI617="AC成功"),0,IF(CK617="其他",0,IF(CN617=0,CM617*(IF(CL617="ap",AQ617*IF(CK617="vo获得",AP617,1))+IF(CL617="st",AR617)+IF(CL617="te",AS617)+IF(CL617="sp槽",$EW$77)+IF(CL617="",1))*(IF(CI617="曲开始",CJ617,0)+IF(CI617="切队",IF(CO617&lt;&gt;"",MIN(CO617,CJ617*$EW$79),CJ617*$EW$79))+IF(CI617="SP发动",IF(CO617&lt;&gt;"",MIN(CO617,CJ617*$EW$76),CJ617*$EW$76))+IF(CI617="ap时",0)+IF(CI617="伤害时",IF(CO617&lt;&gt;"",MIN(CO617,CJ617*$EW$65*(1-$EW$75)),CJ617*$EW$65*(1-$EW$75)),0)+IF(CI617="ct时",0)+IF(OR(CI617="AC时",CI617="AC成功"),IF(CO617&lt;&gt;"",MIN(CO617,CJ617*$EW$73),CJ617*$EW$73))),0)/$EW$65+IF(CN617="infty",IF(OR(CI617="曲开始",AND(CJ617=1,CO617=1)),CM617*CJ617,IF(CI617="SP发动",IF(CO617=1,CM617*(1-(1-(1-CJ617)^($EW$76+1))/(($EW$76+1)*CJ617)))+IF(CO617="",CJ617*CM617*$EW$76/2),0)+IF(CI617="AC时",IF(CO617=1,CM617*(1-(1-(1-CJ617)^($EW$73+1))/(($EW$73+1)*CJ617)))+IF(CO617="",CJ617*CM617*$EW$73/2),0)+IF(CI617="AC成功",IF(CO617=1,CM617*(1-(1-(1-CJ617)^($EW$73+1))/(($EW$73+1)*CJ617)))+IF(CO617="",CJ617*CM617*$EW$73/2),0)),0)*(IF(CL617="全员",1,0)+IF(CL617="同属性",$EW$38/3,0)+IF(CL617="同年级",$EW$41/3,0)+IF(CL617="同作战",0,0)+IF(CL617="自身",0,0)+IF(CL617="同type",INDEX($EX$53:$EX$56,MATCH($O617,$EW$53:$EW$56,))/3))+IF(AND(CN617&lt;&gt;0,CN617&lt;&gt;"infty"),IF(CN617="AC内",$EW$74,CN617)*(IF(CI617="曲开始",CM617*CJ617,0)+IF(CI617="切队",CM617*IF(CO617&lt;&gt;"",MIN(CO617,CJ617*$EW$79),CJ617*$EW$79))+IF(CI617="SP发动",CM617*IF(CO617&lt;&gt;"",MIN(CO617,CJ617*$EW$76),CJ617*$EW$76))+IF(CI617="ap时",0,0)+IF(CI617="伤害时",CM617*IF(CO617&lt;&gt;"",MIN(CO617,CJ617*$EW$65*(1-$EW$75)),CJ617*$EW$65*(1-$EW$75)),0)+IF(CI617="ct时",0,0)+IF(OR(CI617="AC时",CI617="AC成功"),CM617*IF(CO617&lt;&gt;"",MIN(CO617,CJ617*$EW$73),CJ617*$EW$73))),0)/$EW$65*(IF(CL617="全员",1,0)+IF(CL617="同属性",$EW$38/3,0)+IF(CL617="同年级",$EW$41/3,0)+IF(CL617="同学校",$EW$44/3,0)+IF(CL617="同作战",0,0)+IF(CL617="自身",0,0)+IF(CL617="同type",INDEX($EX$53:$EX$56,MATCH($O617,$EW$53:$EW$56,))/3)))))</f>
        <v>96.709302341795023</v>
      </c>
      <c r="CS617" s="1118">
        <f>IF(CK617="技能+",IF(CN617="infty",(IF(CI617="曲开始",CM617*CJ617)+IF(OR(CI617="AC时",CI617="AC成功"),(1-(1-(1-CJ617)^($FM$20+1))/(($FM$20+1)*CJ617))*CM617))*(IF(CL617="全员",1)))+IF(CN617&lt;&gt;"infty",CM617*(IF(CI617="曲开始",CJ617*CN617/$FM$19)+IF(OR(CI617="AC时",CI617="AC成功"),CN617*IF(CO617&lt;&gt;"",MIN(CO617,CJ617*$FM$20),CJ617*$FM$20)/$FM$19)+IF(CI617="切队",CN617*IF(CO617&lt;&gt;"",MIN(CJ617*$FM$11,CO617/$FM$19),CJ617*$FM$11))+IF(CI617="ap时",IF(CO617&lt;&gt;"",MIN(CO617/$FM632,IF($O617="sk",$FM$10,$FM$9)*CJ617),IF($O617="sk",$FM$10,$FM$9)*CJ617)*CN617)+IF(CI617="ct时",IF(CO617&lt;&gt;"",MIN(CO617/$FM632,$AU617*IF($O617="sk",$FM$10,$FM$9)*CJ617),$AU617*IF($O617="sk",$FM$10,$FM$9)*CJ617)*CN617))*(IF(CL617="全员",1)+IF(CL617="同作战",IF($O617="sk",$FM$10*3,$FM$9*3))+IF(CL617="同属性",$FM$23/6)+IF(CL617="同年级",$FM$24/6)+IF(CL617="自身",IF($O617="sk",$FM$10,$FM$9)))),0)*$FM$16</f>
        <v>0</v>
      </c>
      <c r="CT617" s="1109">
        <f>IF(CK617="sp+",IF(CN617="infty",(IF(CI617="曲开始",CM617*CJ617*$FM$28)+IF(OR(CI617="AC时",CI617="AC成功"),(1-(1-(1-CJ617)^($FM$20+1))/(($FM$20+1)*CJ617))*CM617*$FM$28))*(IF(CL617="全员",1)))+IF(CN617&lt;&gt;"infty",CM617*$FM$28*(IF(CI617="曲开始",CJ617*CN617/$FM$19)+IF(OR(CI617="AC时",CI617="AC成功"),CN617*IF(CO617&lt;&gt;"",MIN(CO617,CJ617*$FM$20),CJ617*$FM$20)/$FM$19)+IF(CI617="切队",CN617*IF(CO617&lt;&gt;"",MIN(CJ617*$FM$11,CO617/$FM$19),CJ617*$FM$11))+IF(CI617="ap时",IF(CO617&lt;&gt;"",MIN(CO617/$FM632,IF($O617="sk",$FM$10,$FM$9)*CJ617),IF($O617="sk",$FM$10,$FM$9)*CJ617)*CN617)+IF(CI617="ct时",IF(CO617&lt;&gt;"",MIN(CO617/$FM632,$AU617*IF($O617="sk",$FM$10,$FM$9)*CJ617),$AU617*IF($O617="sk",$FM$10,$FM$9)*CJ617)*CN617))*(IF(CL617="全员",1)+IF(CL617="同作战",IF($O617="sk",$FM$10*3,$FM$9*3))+IF(CL617="同属性",$FM$23/6)+IF(CL617="同年级",$FM$24/6)+IF(CL617="同type",IF(O617="sp",$FN$6*$FM$9)))),0)+IF(CK617="sp获得",IF(CI617="AC成功",0,CM617*(IF(CL617="ap",AQ617)+IF(CL617="st",AR617)+IF(CL617="te",AS617)+IF(CL617="sp槽",$EW$77)+IF(CL617="",1))*IF($O617="sk",1,1+(1+$FM$10/$FM$9)*($FM$27-1))*(IF(CI617="曲开始",CJ617/$FM$19)+IF(CI617="SP发动",IF(CO617&lt;&gt;"",MIN(CO617/$FM$19,CJ617*$FM$30/$FM$19),CJ617*$FM$30/$FM$19))+IF(CI617="切队",IF(CO617&lt;&gt;"",MIN(CO617/$FM$19,CJ617*$FM$11),CJ617*$FM$11))+IF(OR(CI617="AC时",CI617="AC成功"),IF(CO617&lt;&gt;"",MIN(CO617/$FM$19,CJ617*$FM$20/$FM$19),CJ617*$FM$20/$FM$19))+IF(CI617="ap时",IF(CO617&lt;&gt;"",MIN(CO617/$FM$19,CJ617*IF($O617="sk",$FM$10,$FM$9)),CJ617*IF($O617="sk",$FM$10,$FM$9)))+IF(CI617="ct时",IF(CO617&lt;&gt;"",MIN(CO617/$FM$19,CJ617*IF($O617="sk",$FM$10,$FM$9)*$AU617),CJ617*IF($O617="sk",$FM$10,$FM$9)*$AU617)))))</f>
        <v>0</v>
      </c>
      <c r="CU617" s="1101">
        <f t="shared" ref="CU617:CU620" si="981">IF(AND(CK617="技能+",CL617="自身",$DR617=0.11),0,IF(CK617="sp+",CP617*$EW$30*$EW$32*(1-$EW$33),0)+IF(CK617="ap+",CP617*$EW$26/(1+$EW$15),0)+IF(CK617="ap+元气",CP617*$EW$26/(1+$EW$15)*$EW$67,0)+IF(CK617="技能+",$EW$28*CP617/$EW$27,0)+IF(CK617="vo+",$EW$26*CP617,0)+IF(CK617="sp获得",CP617*(1-$EW$33)*$EW$30/$EW$77)+IF(CK617="vo获得",CP617*$EW$24)+IF(CK617="ct+",$EW$26/(1+($EW$22-1)*$EW$19)*($EW$22-1)*CP617)+IF(CK617="核弹",$EW$24*CP617*(1+$EW$23))+IF(CK617="ct值+",$EW$26/(1+($EW$22-1)*$EW$19)*$EW$19*CP617))</f>
        <v>106.38023257597453</v>
      </c>
      <c r="CV617" s="1108">
        <f t="shared" ref="CV617:CV620" si="982">IF(AND(CK617="技能+",CL617="自身",$DR617=0.11),0,IF(CK617="sp+",CQ617*$FA$27*$FA$32*(1-$FA$33),0)+IF(CK617="ap+",CQ617*$FA$24/(1+$FA$15)*(1-$FI$26),0)+IF(CK617="ap+元气",CQ617*$FA$24/(1+$FA$15)*(1-$FI$26)*$FA$64,0)+IF(CK617="技能+",$FA$26*CQ617/$FA$25,0)+IF(CK617="vo+",$FA$24*CQ617*(1-$FI$26),0)+IF(CK617="sp获得",CQ617*(1-$FA$33)*$FA$27/$FA$69)+IF(CK617="vo获得",CQ617*$FA$22)+IF(CK617="ct+",$FA$24/(1+($FA$20-1)*$FA$19)*($FA$20-1)*CQ617*(1-$FI$27))+IF(CK617="核弹",CQ617*(1+$FA$21)*(1-$FI$29))+IF(CK617="ct值+",$FA$24/(1+($FA$20-1)*$FA$19)*$FA$19*CQ617*(1-$FI$28))+IF(CK617="自身ct时上限突破",CQ617*$FI$24*$FI$26*BD617,0))</f>
        <v>135.34289924728907</v>
      </c>
      <c r="CW617" s="1097">
        <f t="shared" ref="CW617:CW620" si="983">IF(CK617="sp+",CR617*$EW$30*$EW$32*(1-$EW$33),0)+IF(CK617="ap+",CR617*$EW$26/(1+$EW$15),0)+IF(CK617="ap+元气",CR617*$EW$26/(1+$EW$15)*$EW$67,0)+IF(CK617="技能+",$EW$28*CR617/$EW$27,0)+IF(CK617="vo+",$EW$26*CR617,0)+IF(CK617="sp获得",CR617*(1-$EW$33)*$EW$30/$EW$77)+IF(CK617="vo获得",CR617*$EW$24)+IF(CK617="ct+",$EW$26/(1+($EW$22-1)*$EW$19)*($EW$22-1)*CR617)+IF(CK617="核弹",CR617*(1+$EW$23)*$EW$24)+IF(CK617="ct值+",$EW$26/(1+($EW$22-1)*$EW$19)*$EW$19*CR617)</f>
        <v>106.38023257597453</v>
      </c>
      <c r="CX617" s="1097">
        <f t="shared" ref="CX617:CX620" si="984">CU617+IF(OR(CK617="加盾",AND(CK617="回血",OR(CI617&lt;&gt;"切队",CO617=""))),MIN($EW$26/$EW$66*(1-$EW$66)-$EE617+$EC617-$ET617+$ER617, $EW$26*(HP($EW$62,$EW$65,$EW$64-CP617)/$EW$66-1)))+IF(CK617="减伤",MIN($EW$26/$EW$66*(1-$EW$66)-$EE617+$EC617-$ET617+$ER617, $EW$26*(HP($EW$62,$EW$65,$EW$64*(1-CP617))/$EW$66-1)))</f>
        <v>106.38023257597453</v>
      </c>
      <c r="CY617" s="1110">
        <f t="shared" ref="CY617:CY620" si="985">CW617+(IF(OR(CK617="加盾",AND(CK617="回血",OR(CI617&lt;&gt;"切队",CO617=""))),$EW$26*(HP($EW$62,$EW$65,$EW$64-CP617)/$EW$66-1))+IF(CK617="减伤",$EW$26*(HP($EW$62,$EW$65,$EW$64*(1-CP617))/$EW$66-1)))*IF(OR(CL617="自身",CL617="同作战"),0,1)*IF(OR(CI617="ap时",CI617="ct时"),0,1)</f>
        <v>106.38023257597453</v>
      </c>
      <c r="CZ617" s="1113"/>
      <c r="DA617" s="1114"/>
      <c r="DB617" s="1115" t="s">
        <v>569</v>
      </c>
      <c r="DC617" s="1115"/>
      <c r="DD617" s="1119"/>
      <c r="DE617" s="1092"/>
      <c r="DF617" s="1092"/>
      <c r="DG617" s="1116">
        <f t="shared" ref="DG617:DG621" si="986">IF(OR(DB617="无",CZ617="大量伤害",CZ617="AC失败",CZ617="低血量",DB617="复活",DB617="驱散",DB617="Gd切队效果up"),0,IF(AND(DB617="sp获得",CZ617="AC成功"),0,IF(DB617="其他",0,IF(DE617=0,DD617*(IF(DC617="ap",BH617*IF(DB617="vo获得",BG617,1))+IF(DC617="st",BI617)+IF(DC617="te",BJ617)+IF(DC617="sp槽",$EW$77)+IF(DC617="",1))*(IF(CZ617="曲开始",DA617,0)+IF(CZ617="切队",IF(DF617&lt;&gt;"",MIN(DF617,DA617*$EW$79),DA617*$EW$79))+IF(CZ617="SP发动",IF(DF617&lt;&gt;"",MIN(DF617,DA617*$EW$76),DA617*$EW$76))+IF(CZ617="ap时",IF(DF617&lt;&gt;"",MIN(DF617,DA617*$EW$65/3),DA617*$EW$65/3),0)+IF(CZ617="伤害时",IF(DF617&lt;&gt;"",MIN(DF617,DA617*$EW$65*(1-$EW$75)),DA617*$EW$65*(1-$EW$75)),0)+IF(CZ617="ct时",IF(DF617&lt;&gt;"",MIN(DF617,DA617*$EW$65/3*$AU617),DA617*$EW$65/3*$AU617),0)+IF(OR(CZ617="AC时",CZ617="AC成功"),IF(DF617&lt;&gt;"",MIN(DF617,DA617*$EW$73),DA617*$EW$73))),0)/$EW$65+IF(DE617="infty",IF(OR(CZ617="曲开始",AND(DA617=1,DF617=1)),DD617*DA617,IF(CZ617="SP发动",IF(DF617=1,DD617*(1-(1-(1-DA617)^($EW$76+1))/(($EW$76+1)*DA617)))+IF(DF617="",DA617*DD617*$EW$76/2),0)+IF(CZ617="AC时",IF(DF617=1,DD617*(1-(1-(1-DA617)^($EW$73+1))/(($EW$73+1)*DA617)))+IF(DF617="",DA617*DD617*$EW$73/2),0)+IF(CZ617="AC成功",IF(DF617=1,DD617*(1-(1-(1-DA617)^($EW$73+1))/(($EW$73+1)*DA617)))+IF(DF617="",DA617*DD617*$EW$73/2),0)),0)*(IF(DC617="全员",1,0)+IF(DC617="同属性",$EW$37/3,0)+IF(DC617="同年级",$EW$40/3,0)+IF(DC617="同作战",1,0)+IF(DC617="自身",1/3,0)+IF(DC617="同type",INDEX($EX$49:$EX$52,MATCH($O617,$EW$49:$EW$52,))/3))+IF(AND(DE617&lt;&gt;0,DE617&lt;&gt;"infty"),IF(DE617="AC内",$EW$74,DE617)*DD617*(IF(CZ617="曲开始",DA617,0)+IF(CZ617="切队",IF(DF617&lt;&gt;"",MIN(DF617,DA617*$EW$79),DA617*$EW$79))+IF(CZ617="SP发动",IF(DF617&lt;&gt;"",MIN(DF617,DA617*$EW$76),DA617*$EW$76))+IF(CZ617="ap时",IF(DF617&lt;&gt;"",MIN(DF617,DA617*$EW$65/3),DA617*$EW$65/3),0)+IF(CZ617="伤害时",IF(DF617&lt;&gt;"",MIN(DF617,DA617*$EW$65*(1-$EW$75)),DA617*$EW$65*(1-$EW$75)),0)+IF(CZ617="ct时",IF(DF617&lt;&gt;"",MIN(DF617,DA617*$EW$65/3*$AU617),DA617*$EW$65/3*$AU617),0)+IF(OR(CZ617="AC时",CZ617="AC成功"),IF(DF617&lt;&gt;"",MIN(DF617,DA617*$EW$73),DA617*$EW$73))),0)/$EW$65*(IF(DC617="全员",1,0)+IF(DC617="同属性",$EW$37/3,0)+IF(DC617="同年级",$EW$40/3,0)+IF(DC617="同学校",$EW$43/3,0)+IF(DC617="同作战",1,0)+IF(DC617="自身",1/3,0)+IF(DC617="同type",INDEX($EX$49:$EX$52,MATCH($O617,$EW$49:$EW$52,))/3)-IF(AND(DB617="ct+",DC617&lt;&gt;"仲间"),MAX(DD617+$AU617-1,0)/DD617/3)))))</f>
        <v>0</v>
      </c>
      <c r="DH617" s="1116">
        <f t="shared" ref="DH617:DH621" si="987">IF(OR(DB617="无",CZ617="大量伤害",CZ617="AC失败",CZ617="低血量",DB617="复活",DB617="驱散",DB617="Gd切队效果up"),0,IF(AND(DB617="sp获得",CZ617="AC成功"),0,IF(DB617="其他",0,IF(DE617=0,DD617*(IF(DC617="ap",BR617*IF(DB617="vo获得",BG617,1))+IF(DC617="st",BS617)+IF(DC617="te",BT617)+IF(DC617="sp槽",$FA$69)+IF(DC617="",1))*(IF(DB617="sp获得",$FA$30,1))*(IF(CZ617="曲开始",DA617,0)+IF(CZ617="切队",IF(DF617&lt;&gt;"",MIN(DF617,DA617*$FA$71),DA617*$FA$71))+IF(CZ617="SP发动",IF(DF617&lt;&gt;"",MIN(DF617,DA617*$FA$68),DA617*$FA$68))+IF(CZ617="ap时",IF(DF617&lt;&gt;"",MIN(DF617,DA617*$FA$62/3),DA617*$FA$62/3),0)+IF(CZ617="伤害时",IF(DF617&lt;&gt;"",MIN(DF617,DA617*$FA$62*(1-$FA$67)),DA617*$FA$62*(1-$FA$67)),0)+IF(CZ617="ct时",IF(DF617&lt;&gt;"",MIN(DF617,DA617*$FA$62/3*$BD617),DA617*$FA$62/3*$BD617),0)+IF(OR(CZ617="AC时",CZ617="AC成功"),IF(DF617&lt;&gt;"",MIN(DF617,DA617*$FA$65),DA617*$FA$65))),0)/$FA$62+IF(DE617="infty",IF(OR(CZ617="曲开始",AND(DA617=1,DF617=1)),DD617*DA617,IF(CZ617="SP发动",IF(DF617=1,DD617*(1-(1-(1-DA617)^($FA$68+1))/(($FA$68+1)*DA617)))+IF(DF617="",DA617*DD617*$FA$68/2),0)+IF(CZ617="AC时",IF(DF617=1,DD617*(1-(1-(1-DA617)^($FA$65+1))/(($FA$65+1)*DA617)))+IF(DF617="",DA617*DD617*$FA$65/2),0)+IF(CZ617="AC成功",IF(DF617=1,DD617*(1-(1-(1-DA617)^($FA$65+1))/(($FA$65+1)*DA617)))+IF(DF617="",DA617*DD617*$FA$65/2),0)),0)*(IF(DC617="全员",1,0)+IF(DC617="同属性",$FA$37/3,0)+IF(DC617="同年级",$FA$40/3,0)+IF(DC617="同作战",1,0)+IF(DC617="自身",1/3,0)+IF(DC617="同type",INDEX($FB$49:$FB$52,MATCH($O617,$FA$49:$FA$52,))/3))+IF(AND(DE617&lt;&gt;0,DE617&lt;&gt;"infty"),IF(DE617="AC内",$FA$66,DE617)*DD617*(IF(CZ617="曲开始",DA617,0)+IF(CZ617="切队",IF(DF617&lt;&gt;"",MIN(DF617,DA617*$FA$71),DA617*$FA$71))+IF(CZ617="SP发动",IF(DF617&lt;&gt;"",MIN(DF617,DA617*$FA$68),DA617*$FA$68))+IF(CZ617="ap时",IF(DF617&lt;&gt;"",MIN(DF617,DA617*$FA$62/3),DA617*$FA$62/3),0)+IF(CZ617="伤害时",IF(DF617&lt;&gt;"",MIN(DF617,DA617*$FA$62*(1-$FA$67)),DA617*$FA$62*(1-$FA$67)),0)+IF(CZ617="ct时",IF(DF617&lt;&gt;"",MIN(DF617,DA617*$FA$62/3*$BD617),DA617*$FA$62/3*$BD617),0)+IF(OR(CZ617="AC时",CZ617="AC成功"),IF(DF617&lt;&gt;"",MIN(DF617,DA617*$FA$65),DA617*$FA$65))),0)/$FA$62*(IF(DC617="全员",1,0)+IF(DC617="同属性",$FA$37/3,0)+IF(DC617="同年级",$FA$40/3,0)+IF(DC617="同学校",$FA$43/3,0)+IF(DC617="同作战",1,0)+IF(DC617="自身",1/3,0)+IF(DC617="同type",INDEX($FB$49:$FB$52,MATCH($O617,$FA$49:$FA$52,))/3)-IF(AND(DB617="ct+",DC617&lt;&gt;"仲间"),MAX(DD617+$BD617-1,0)/3/DD617)))))</f>
        <v>0</v>
      </c>
      <c r="DI617" s="1116">
        <f t="shared" ref="DI617:DI621" si="988">IF(OR(DB617="无",CZ617="大量伤害",CZ617="AC失败",CZ617="低血量",DB617="复活",DB617="驱散",DB617="Gd切队效果up"),0,IF(AND(DB617="sp获得",CZ617="AC成功"),0,IF(DB617="其他",0,IF(DE617=0,DD617*(IF(DC617="ap",BH617*IF(DB617="vo获得",BG617,1))+IF(DC617="st",BI617)+IF(DC617="te",BJ617)+IF(DC617="sp槽",$EW$77)+IF(DC617="",1))*(IF(CZ617="曲开始",DA617,0)+IF(CZ617="切队",IF(DF617&lt;&gt;"",MIN(DF617,DA617*$EW$79),DA617*$EW$79))+IF(CZ617="SP发动",IF(DF617&lt;&gt;"",MIN(DF617,DA617*$EW$76),DA617*$EW$76))+IF(CZ617="ap时",0)+IF(CZ617="伤害时",IF(DF617&lt;&gt;"",MIN(DF617,DA617*$EW$65*(1-$EW$75)),DA617*$EW$65*(1-$EW$75)),0)+IF(CZ617="ct时",0)+IF(OR(CZ617="AC时",CZ617="AC成功"),IF(DF617&lt;&gt;"",MIN(DF617,DA617*$EW$73),DA617*$EW$73))),0)/$EW$65+IF(DE617="infty",IF(OR(CZ617="曲开始",AND(DA617=1,DF617=1)),DD617*DA617,IF(CZ617="SP发动",IF(DF617=1,DD617*(1-(1-(1-DA617)^($EW$76+1))/(($EW$76+1)*DA617)))+IF(DF617="",DA617*DD617*$EW$76/2),0)+IF(CZ617="AC时",IF(DF617=1,DD617*(1-(1-(1-DA617)^($EW$73+1))/(($EW$73+1)*DA617)))+IF(DF617="",DA617*DD617*$EW$73/2),0)+IF(CZ617="AC成功",IF(DF617=1,DD617*(1-(1-(1-DA617)^($EW$73+1))/(($EW$73+1)*DA617)))+IF(DF617="",DA617*DD617*$EW$73/2),0)),0)*(IF(DC617="全员",1,0)+IF(DC617="同属性",$EW$38/3,0)+IF(DC617="同年级",$EW$41/3,0)+IF(DC617="同作战",0,0)+IF(DC617="自身",0,0)+IF(DC617="同type",INDEX($EX$53:$EX$56,MATCH($O617,$EW$53:$EW$56,))/3))+IF(AND(DE617&lt;&gt;0,DE617&lt;&gt;"infty"),IF(DE617="AC内",$EW$74,DE617)*(IF(CZ617="曲开始",DD617*DA617,0)+IF(CZ617="切队",DD617*IF(DF617&lt;&gt;"",MIN(DF617,DA617*$EW$79),DA617*$EW$79))+IF(CZ617="SP发动",DD617*IF(DF617&lt;&gt;"",MIN(DF617,DA617*$EW$76),DA617*$EW$76))+IF(CZ617="ap时",0,0)+IF(CZ617="伤害时",DD617*IF(DF617&lt;&gt;"",MIN(DF617,DA617*$EW$65*(1-$EW$75)),DA617*$EW$65*(1-$EW$75)),0)+IF(CZ617="ct时",0,0)+IF(OR(CZ617="AC时",CZ617="AC成功"),DD617*IF(DF617&lt;&gt;"",MIN(DF617,DA617*$EW$73),DA617*$EW$73))),0)/$EW$65*(IF(DC617="全员",1,0)+IF(DC617="同属性",$EW$38/3,0)+IF(DC617="同年级",$EW$41/3,0)+IF(DC617="同学校",$EW$44/3,0)+IF(DC617="同作战",0,0)+IF(DC617="自身",0,0)+IF(DC617="同type",INDEX($EX$53:$EX$56,MATCH($O617,$EW$53:$EW$56,))/3)))))</f>
        <v>0</v>
      </c>
      <c r="DJ617" s="1118">
        <f t="shared" ref="DJ617:DJ621" si="989">IF(DB617="技能+",IF(DE617="infty",(IF(CZ617="曲开始",DD617*DA617)+IF(OR(CZ617="AC时",CZ617="AC成功"),(1-(1-(1-DA617)^($FM$20+1))/(($FM$20+1)*DA617))*DD617))*(IF(DC617="全员",1)))+IF(DE617&lt;&gt;"infty",DD617*(IF(CZ617="曲开始",DA617*DE617/$FM$19)+IF(OR(CZ617="AC时",CZ617="AC成功"),DE617*IF(DF617&lt;&gt;"",MIN(DF617,DA617*$FM$20),DA617*$FM$20)/$FM$19)+IF(CZ617="切队",DE617*IF(DF617&lt;&gt;"",MIN(DA617*$FM$11,DF617/$FM$19),DA617*$FM$11))+IF(CZ617="ap时",IF(DF617&lt;&gt;"",MIN(DF617/$FM632,IF($O617="sk",$FM$10,$FM$9)*DA617),IF($O617="sk",$FM$10,$FM$9)*DA617)*DE617)+IF(CZ617="ct时",IF(DF617&lt;&gt;"",MIN(DF617/$FM632,$AU617*IF($O617="sk",$FM$10,$FM$9)*DA617),$AU617*IF($O617="sk",$FM$10,$FM$9)*DA617)*DE617))*(IF(DC617="全员",1)+IF(DC617="同作战",IF($O617="sk",$FM$10*3,$FM$9*3))+IF(DC617="同属性",$FM$23/6)+IF(DC617="同年级",$FM$24/6)+IF(DC617="自身",IF($O617="sk",$FM$10,$FM$9)))),0)*$FM$16</f>
        <v>0</v>
      </c>
      <c r="DK617" s="1109">
        <f t="shared" ref="DK617:DK621" si="990">IF(DB617="sp+",IF(DE617="infty",(IF(CZ617="曲开始",DD617*DA617*$FM$28)+IF(OR(CZ617="AC时",CZ617="AC成功"),(1-(1-(1-DA617)^($FM$20+1))/(($FM$20+1)*DA617))*DD617*$FM$28))*(IF(DC617="全员",1)))+IF(DE617&lt;&gt;"infty",DD617*$FM$28*(IF(CZ617="曲开始",DA617*DE617/$FM$19)+IF(OR(CZ617="AC时",CZ617="AC成功"),DE617*IF(DF617&lt;&gt;"",MIN(DF617,DA617*$FM$20),DA617*$FM$20)/$FM$19)+IF(CZ617="切队",DE617*IF(DF617&lt;&gt;"",MIN(DA617*$FM$11,DF617/$FM$19),DA617*$FM$11))+IF(CZ617="ap时",IF(DF617&lt;&gt;"",MIN(DF617/$FM632,IF($O617="sk",$FM$10,$FM$9)*DA617),IF($O617="sk",$FM$10,$FM$9)*DA617)*DE617)+IF(CZ617="ct时",IF(DF617&lt;&gt;"",MIN(DF617/$FM632,$AU617*IF($O617="sk",$FM$10,$FM$9)*DA617),$AU617*IF($O617="sk",$FM$10,$FM$9)*DA617)*DE617))*(IF(DC617="全员",1)+IF(DC617="同作战",IF($O617="sk",$FM$10*3,$FM$9*3))+IF(DC617="同属性",$FM$23/6)+IF(DC617="同年级",$FM$24/6)+IF(DC617="同type",IF(AF617="sp",$FN$6*$FM$9)))),0)+IF(DB617="sp获得",IF(CZ617="AC成功",0,DD617*(IF(DC617="ap",BI617)+IF(DC617="st",BJ617)+IF(DC617="te",BK617)+IF(DC617="sp槽",$EW$77)+IF(DC617="",1))*IF($O617="sk",1,1+(1+$FM$10/$FM$9)*($FM$27-1))*(IF(CZ617="曲开始",DA617/$FM$19)+IF(CZ617="SP发动",IF(DF617&lt;&gt;"",MIN(DF617/$FM$19,DA617*$FM$30/$FM$19),DA617*$FM$30/$FM$19))+IF(CZ617="切队",IF(DF617&lt;&gt;"",MIN(DF617/$FM$19,DA617*$FM$11),DA617*$FM$11))+IF(OR(CZ617="AC时",CZ617="AC成功"),IF(DF617&lt;&gt;"",MIN(DF617/$FM$19,DA617*$FM$20/$FM$19),DA617*$FM$20/$FM$19))+IF(CZ617="ap时",IF(DF617&lt;&gt;"",MIN(DF617/$FM$19,DA617*IF($O617="sk",$FM$10,$FM$9)),DA617*IF($O617="sk",$FM$10,$FM$9)))+IF(CZ617="ct时",IF(DF617&lt;&gt;"",MIN(DF617/$FM$19,DA617*IF($O617="sk",$FM$10,$FM$9)*$AU617),DA617*IF($O617="sk",$FM$10,$FM$9)*$AU617)))))</f>
        <v>0</v>
      </c>
      <c r="DL617" s="1101">
        <f t="shared" ref="DL617:DL621" si="991">IF(DB617="sp+",DG617*$EW$30*$EW$32*(1-$EW$33),0)+IF(DB617="ap+",DG617*$EW$26/(1+$EW$15),0)+IF(DB617="ap+元气",DG617*$EW$26/(1+$EW$15)*$EW$67,0)+IF(DB617="技能+",$EW$28*DG617/$EW$27,0)+IF(DB617="vo+",$EW$26*DG617,0)+IF(DB617="sp获得",DG617*(1-$EW$33)*$EW$30/$EW$77)+IF(DB617="vo获得",DG617*$EW$24)+IF(DB617="ct+",$EW$26/(1+($EW$22-1)*$EW$19)*($EW$22-1)*DG617)+IF(DB617="核弹",DG617*(1+$EW$23))+IF(DB617="ct值+",$EW$26/(1+($EW$22-1)*$EW$19)*$EW$19*DG617)</f>
        <v>0</v>
      </c>
      <c r="DM617" s="1097">
        <f t="shared" ref="DM617:DM621" si="992">IF(DB617="sp+",DH617*$FA$27*$FA$32*(1-$FA$33),0)+IF(DB617="ap+",DH617*$FA$24/(1+$FA$15)*(1-$FI$26),0)+IF(DB617="ap+元气",DH617*$FA$24/(1+$FA$15)*(1-$FI$26)*$FA$64,0)+IF(DB617="技能+",$FA$26*DH617/$FA$25,0)+IF(DB617="vo+",$FA$24*DH617*(1-$FI$26),0)+IF(DB617="sp获得",DH617*(1-$FA$33)*$FA$27/$FA$69)+IF(DB617="vo获得",DH617*$FA$22)+IF(DB617="ct+",$FA$24/(1+($FA$20-1)*$FA$19)*($FA$20-1)*DH617*(1-$FI$27))+IF(DB617="核弹",DH617*(1+$FA$21)*(1-$FI$29))+IF(DB617="ct值+",$FA$24/(1+($FA$20-1)*$FA$19)*$FA$19*DH617*(1-$FI$28))</f>
        <v>0</v>
      </c>
      <c r="DN617" s="1097">
        <f t="shared" ref="DN617:DN621" si="993">IF(DB617="sp+",DI617*$EW$30*$EW$32*(1-$EW$33),0)+IF(DB617="ap+",DI617*$EW$26/(1+$EW$15),0)+IF(DB617="ap+元气",DI617*$EW$26/(1+$EW$15)*$EW$67,0)+IF(DB617="技能+",$EW$28*DI617/$EW$27,0)+IF(DB617="vo+",$EW$26*DI617,0)+IF(DB617="sp获得",DI617*(1-$EW$33)*$EW$30/$EW$77)+IF(DB617="vo获得",DI617*$EW$24)+IF(DB617="ct+",$EW$26/(1+($EW$22-1)*$EW$19)*($EW$22-1)*DI617)+IF(DB617="核弹",DI617*(1+$EW$23))+IF(DB617="ct值+",$EW$26/(1+($EW$22-1)*$EW$19)*$EW$19*DI617)</f>
        <v>0</v>
      </c>
      <c r="DO617" s="1097">
        <f t="shared" ref="DO617:DO621" si="994">DL617+IF(OR(DB617="加盾",AND(DB617="回血",OR(CZ617&lt;&gt;"切队",DF617=""))),MIN($EW$26/$EW$66*(1-$EW$66)-$EE617+$EC617-$ET617+$ER617, $EW$26*(HP($EW$62,$EW$65,$EW$64-DG617)/$EW$66-1)))+IF(DB617="减伤",MIN($EW$26/$EW$66*(1-$EW$66)-$EE617+$EC617-$ET617+$ER617, $EW$26*(HP($EW$62,$EW$65,$EW$64*(1-DG617))/$EW$66-1)))</f>
        <v>0</v>
      </c>
      <c r="DP617" s="1110">
        <f t="shared" ref="DP617:DP621" si="995">DN617+(IF(OR(DB617="加盾",AND(DB617="回血",OR(CZ617&lt;&gt;"切队",DF617=""))),$EW$26*(HP($EW$62,$EW$65,$EW$64-DG617)/$EW$66-1))+IF(DB617="减伤",$EW$26*(HP($EW$62,$EW$65,$EW$64*(1-DG617))/$EW$66-1)))*IF(OR(DC617="自身",DC617="同作战"),0,1)*IF(OR(CZ617="ap时",CZ617="ct时"),0,1)</f>
        <v>0</v>
      </c>
      <c r="DQ617" s="1167" t="s">
        <v>2046</v>
      </c>
      <c r="DR617" s="1120">
        <f t="shared" si="927"/>
        <v>0.3</v>
      </c>
      <c r="DS617" s="1165"/>
      <c r="DT617" s="1124" t="s">
        <v>132</v>
      </c>
      <c r="DU617" s="1124"/>
      <c r="DV617" s="1098">
        <f>IF($P617="","N/A",IF(P617=-1,INDEX('卡片raw data'!AN:AN,MATCH(D617,'卡片raw data'!$F:$F,)),0)+IF(AND(L617&lt;&gt;"party卡",P617&lt;=2,P617&gt;=0),INDEX('卡片raw data'!AP:AP,MATCH(D617,'卡片raw data'!$F:$F,)),0)+IF(OR(AND(L617="party卡",P617&lt;=1),AND(P617&lt;=4,L617&lt;&gt;"party卡",P617&gt;=3)),INDEX('卡片raw data'!AQ:AQ,MATCH(D617,'卡片raw data'!$F:$F,)),0)+IF(OR(P617=5,AND(L617="party卡",P617&gt;=2)),INDEX('卡片raw data'!AR:AR,MATCH(D617,'卡片raw data'!$F:$F,)),0))</f>
        <v>0.37</v>
      </c>
      <c r="DW617" s="1098">
        <f t="shared" si="928"/>
        <v>0.3</v>
      </c>
      <c r="DX617" s="1098">
        <f t="shared" si="929"/>
        <v>0.3</v>
      </c>
      <c r="DY617" s="1097">
        <f t="shared" si="930"/>
        <v>1301.1797042350602</v>
      </c>
      <c r="DZ617" s="1097">
        <f t="shared" si="931"/>
        <v>1012.5933873684512</v>
      </c>
      <c r="EA617" s="1098">
        <f t="shared" si="932"/>
        <v>0</v>
      </c>
      <c r="EB617" s="1121">
        <f t="shared" si="933"/>
        <v>0</v>
      </c>
      <c r="EC617" s="1101">
        <f t="shared" si="934"/>
        <v>1431.2976746585664</v>
      </c>
      <c r="ED617" s="1097">
        <f t="shared" si="935"/>
        <v>1012.5933873684512</v>
      </c>
      <c r="EE617" s="1110">
        <f t="shared" ref="EE617:EE621" si="996">EC617+IF(OR(DQ617="回血",DQ617="加盾"),$EW$26*(HP($EW$62,$EW$65,$EW$64-DY617)/$EW$66-1))+IF(DQ617="减伤",$EW$26*(HP($EW$62,$EW$65,$EW$64*(1-DY617))/$EW$66-1))</f>
        <v>1431.2976746585664</v>
      </c>
      <c r="EF617" s="1113" t="s">
        <v>569</v>
      </c>
      <c r="EG617" s="1120">
        <f t="shared" si="936"/>
        <v>0.3</v>
      </c>
      <c r="EH617" s="1124"/>
      <c r="EI617" s="1124"/>
      <c r="EJ617" s="1124"/>
      <c r="EK617" s="1097">
        <f>IF($P617="","N/A",IF(P617=-1,INDEX('卡片raw data'!AS:AS,MATCH(D617,'卡片raw data'!$F:$F,)),0)+IF(AND(L617&lt;&gt;"party卡",P617&lt;=2,P617&gt;=0),INDEX('卡片raw data'!AU:AU,MATCH(D617,'卡片raw data'!$F:$F,)),0)+IF(OR(AND(L617="party卡",P617&lt;=1),AND(P617&lt;=4,L617&lt;&gt;"party卡",P617&gt;=3)),INDEX('卡片raw data'!AV:AV,MATCH(D617,'卡片raw data'!$F:$F,)),0)+IF(OR(P617=5,AND(L617="party卡",P617&gt;=2)),INDEX('卡片raw data'!AW:AW,MATCH(D617,'卡片raw data'!$F:$F,)),0))</f>
        <v>0</v>
      </c>
      <c r="EL617" s="1098">
        <f t="shared" si="937"/>
        <v>0.3</v>
      </c>
      <c r="EM617" s="1098">
        <f t="shared" si="938"/>
        <v>0.3</v>
      </c>
      <c r="EN617" s="1097">
        <f t="shared" si="939"/>
        <v>0</v>
      </c>
      <c r="EO617" s="1097">
        <f t="shared" si="940"/>
        <v>0</v>
      </c>
      <c r="EP617" s="1098">
        <f t="shared" si="941"/>
        <v>0</v>
      </c>
      <c r="EQ617" s="1121">
        <f t="shared" si="942"/>
        <v>0</v>
      </c>
      <c r="ER617" s="1101">
        <f t="shared" si="943"/>
        <v>0</v>
      </c>
      <c r="ES617" s="1097">
        <f t="shared" si="944"/>
        <v>0</v>
      </c>
      <c r="ET617" s="1122">
        <f t="shared" ref="ET617:ET620" si="997">ER617+IF(OR(EF617="回血",EF617="加盾"),$EW$26*(HP($EW$62,$EW$65,$EW$64-EN617)/$EW$66-1))+IF(EF617="减伤",$EW$26*(HP($EW$62,$EW$65,$EW$64*(1-EN617))/$EW$66-1))</f>
        <v>0</v>
      </c>
    </row>
    <row r="618" spans="2:150" ht="16.5" customHeight="1">
      <c r="B618" s="1123" t="str">
        <f>INDEX('卡片raw data'!B:B,MATCH($D618,'卡片raw data'!$F:$F,))</f>
        <v>虎年鸟</v>
      </c>
      <c r="C618" s="1025" t="s">
        <v>4998</v>
      </c>
      <c r="D618" s="408">
        <v>615</v>
      </c>
      <c r="E618" s="1164">
        <v>400033006</v>
      </c>
      <c r="F618" s="1090" t="str">
        <f>INDEX('卡片raw data'!C:C,MATCH($D618,'卡片raw data'!$F:$F,))</f>
        <v>UR</v>
      </c>
      <c r="G618" s="1026" t="s">
        <v>4999</v>
      </c>
      <c r="H618" s="411">
        <f>IFERROR(INDEX(绊状态确认!C:C,MATCH($G618,绊状态确认!$B:$B,)),"")</f>
        <v>3</v>
      </c>
      <c r="I618" s="450" t="str">
        <f>IFERROR(INDEX(绊状态确认!D:D,MATCH($G618,绊状态确认!$B:$B,)),"")</f>
        <v>缪</v>
      </c>
      <c r="J618" s="450" t="str">
        <f>IFERROR(INDEX(绊状态确认!E:E,MATCH($G618,绊状态确认!$B:$B,)),"")</f>
        <v>2年级</v>
      </c>
      <c r="K618" s="451" t="str">
        <f>IFERROR(INDEX(绊状态确认!F:F,MATCH($G618,绊状态确认!$B:$B,)),"")</f>
        <v>Printemps</v>
      </c>
      <c r="L618" s="1094" t="str">
        <f>INDEX('卡片raw data'!E:E,MATCH($D618,'卡片raw data'!$F:$F,))</f>
        <v>卡池卡</v>
      </c>
      <c r="M618" s="1065">
        <v>44581</v>
      </c>
      <c r="N618" s="1027">
        <v>56</v>
      </c>
      <c r="O618" s="1091" t="str">
        <f>INDEX('卡片raw data'!D:D,MATCH($D618,'卡片raw data'!$F:$F,))</f>
        <v>gd</v>
      </c>
      <c r="P618" s="1028">
        <v>5</v>
      </c>
      <c r="Q618" s="1095">
        <f t="shared" ref="Q618" si="998">IF($P618="",0,AW618+BI618+BO618+BT618+CU618+EC618+ER618+CC618+DL618+BL618)</f>
        <v>35884.25709234002</v>
      </c>
      <c r="R618" s="1096">
        <f t="shared" ref="R618" si="999">_xlfn.FLOOR.MATH(IF($P618="","N/A",Q618/$EW$81)*1000)/1000</f>
        <v>0.41699999999999998</v>
      </c>
      <c r="S618" s="1097">
        <f t="shared" ref="S618" si="1000">IF($P618="",0,BH618+BJ618+BP618+BU618+CV618+ED618+ES618+CD618+DM618+BM618)</f>
        <v>17953.524450770368</v>
      </c>
      <c r="T618" s="1098">
        <f t="shared" ref="T618" si="1001">_xlfn.FLOOR.MATH(IF($P618="","N/A",S618/($FI$24/3))*1000)/1000</f>
        <v>0.89700000000000002</v>
      </c>
      <c r="U618" s="1099">
        <f t="shared" ref="U618" si="1002">$EW$64*(IF(O618="vo",-0.05)+IF(O618="gd",0.05))+CP618*(IF(CK618="减伤",$EW$64*(1-$EW$75))+IF(OR(CK618="加盾",AND(CK618="回血",OR(CI618&lt;&gt;"切队",CO618=""))),1))+DG618*(IF(DB618="减伤",$EW$64*(1-$EW$75))+IF(OR(DB618="加盾",AND(DB618="回血",OR(CZ618&lt;&gt;"切队",DF618=""))),1))+AR618*$EW$78/$EW$65+BW618+CF618+DY618*(1+IF(O618="sk",0.05)+IF(O618="sp",-0.05))*(IF(DQ618="减伤",$EW$64*(1-$EW$75))+IF(OR(DQ618="回血",DQ618="加盾"),1))+EN618*(1+IF(O618="sk",0.05)+IF(O618="sp",-0.05))*(IF(EF618="减伤",$EW$64*(1-$EW$75))+IF(OR(EF618="回血",EF618="加盾"),1))</f>
        <v>117.74821147533828</v>
      </c>
      <c r="V618" s="1100">
        <f t="shared" ref="V618" si="1003">IF($P618="",0,AY618+BK618+BO618+BX618+CX618+EE618+ET618+CG618+DO618+BL618)</f>
        <v>47798.998779935078</v>
      </c>
      <c r="W618" s="1101">
        <f t="shared" ref="W618" si="1004">IF($P618="",0,BO618+BV618+CW618+CE618+DN618)</f>
        <v>4507.7214871259994</v>
      </c>
      <c r="X618" s="1096">
        <f t="shared" ref="X618" si="1005">_xlfn.FLOOR.MATH(IF($P618="","N/A",W618/$EW$81)*1000)/1000</f>
        <v>5.1999999999999998E-2</v>
      </c>
      <c r="Y618" s="1097">
        <f t="shared" ref="Y618" si="1006">IF($P618="",0,AA618-W618)</f>
        <v>3707.2539337641256</v>
      </c>
      <c r="Z618" s="1102">
        <f t="shared" ref="Z618" si="1007">CP618*IF(OR(CI618="ap时",CI618="ct时"),0,1)*(IF(CK618="减伤",$EW$64*(1-$EW$75))+IF(OR(CK618="加盾",AND(CK618="回血",OR(CI618&lt;&gt;"切队",CO618=""))),1))+DG618*IF(OR(CZ618="ap时",CZ618="ct时"),0,1)*(IF(DB618="减伤",$EW$64*(1-$EW$75))+IF(OR(DB618="加盾",AND(DB618="回血",OR(CZ618&lt;&gt;"切队",DF618=""))),1))+AR618*$EW$78/$EW$65+BW618+CF618</f>
        <v>45.55821147533829</v>
      </c>
      <c r="AA618" s="1103">
        <f t="shared" ref="AA618" si="1008">IF($P618="",0,BO618+BY618+CY618+AX618+CH618+DP618)</f>
        <v>8214.975420890125</v>
      </c>
      <c r="AB618" s="1101">
        <f t="shared" ref="AB618" si="1009">IF($P618="",0,BT618+CU618+BO618+CC618+DL618)</f>
        <v>4507.7214871259994</v>
      </c>
      <c r="AC618" s="1104">
        <f t="shared" ref="AC618" si="1010">_xlfn.FLOOR.MATH(IF($P618="","N/A",AB618/$EW$81)*1000)/1000</f>
        <v>5.1999999999999998E-2</v>
      </c>
      <c r="AD618" s="1105">
        <f t="shared" ref="AD618" si="1011">CS618+DJ618+EA618+EP618+IF(O618="sp",-0.05*FM$14*FM$15/2)+IF(O618="sk",0.05*FM$14*FM$15/2)+IF(O618="sk",FM$11^2/(3-FM$11)*FM$12)-IF(O618="sk",FM$10,FM$9)*IF(O618="sk",FM$18,FM$17)*($FM$14-DR618)</f>
        <v>0</v>
      </c>
      <c r="AE618" s="1128">
        <f t="shared" ref="AE618" si="1012">AD618/FM$18*FM$29+CT618+DK618+EB618+EQ618+IF(O618="sp",0.05*$FM$9*3*FM$26)-IF(O618="gd",0.05*$FM$9*3*FM$26)+IF(O618="sp",300*1/3*$FM$11/2)+IF(O618="sk",FM$11^2/(3-FM$11)*FM$13)+IF(F618="R",-100*IF(O618="sk",FM$10,FM$9))+IF(F618="SR",-50*IF(O618="sk",FM$10,FM$9))</f>
        <v>-6.25</v>
      </c>
      <c r="AF618" s="1130">
        <f t="shared" ref="AF618" si="1013">IF(OR(DQ618="回血",DQ618="加盾"),EN618/EL618*3*2*IF(EG618=0.11,$EW$71,$EW$70)+DY618/DW618*3*2*IF(DR618=0.11,$EW$71,$EW$70)+IF(O618="gd",AR618*0.05)+IF(OR(CK618="回血",CK618="加盾"),-(CR618-CP618)*6)+IF(AND(CI618="切队",CO618=""),CP618/$EW$79*$EW$65*2),0)</f>
        <v>0</v>
      </c>
      <c r="AG618" s="1097">
        <f t="shared" ref="AG618" si="1014">IF(OR(DQ618="回血",DQ618="加盾"),MAX($EW$64*$EW$65*IF(CK618="减伤",(1-IF(CI618="切队",IF(CO618&lt;&gt;"",MAX(CO618/$EW$79,1),0),1)*CR618),1)-$EW$62*0.3+$EX$17-AR618-(BW618+CF618)/$EW$78*$EW$65-IF(OR(CK618="回血",CK618="加盾"),IF(CI618="切队",IF(CO618&lt;&gt;"",MAX(CO618/$EW$79,1),0),1)*CR618*$EW$65),0),0)</f>
        <v>0</v>
      </c>
      <c r="AH618" s="1097">
        <f t="shared" ref="AH618" si="1015">IFERROR(AG618/AF618,0)</f>
        <v>0</v>
      </c>
      <c r="AI618" s="1097">
        <f t="shared" ref="AI618" si="1016">IF(OR(DQ618="回血",DQ618="加盾"),$EW$26*(1-$EW$66)/$EW$66-AH618*(($EW$26*IF(O618="sk",14/3-8/3*$EW$68,5-3*$EW$68)-2*3*Q618*$EW$69)/$EW$66)/$EW$65+($EW$26/3+$EW$26/$EW$24*0.05+$EW$61*4*$EW$26*$EX$5/$EX$11+$EW$28)-($EW$72-W618),0)</f>
        <v>0</v>
      </c>
      <c r="AJ618" s="1097">
        <f t="shared" ref="AJ618" si="1017">IF(OR(DQ618="回血",DQ618="加盾"),V618,0)</f>
        <v>0</v>
      </c>
      <c r="AK618" s="1129">
        <f t="shared" ref="AK618" si="1018">IFERROR(AI618-AJ618,"")</f>
        <v>0</v>
      </c>
      <c r="AL618" s="1042">
        <f>IF($P618="","N/A",(IF($P618=-1,INDEX('卡片raw data'!S:S,MATCH($D618,'卡片raw data'!$F:$F,)),0)+IF($P618=0,INDEX('卡片raw data'!V:V,MATCH($D618,'卡片raw data'!$F:$F,)),0)+IF($P618=1,INDEX('卡片raw data'!Y:Y,MATCH($D618,'卡片raw data'!$F:$F,)),0)+IF($P618=2,INDEX('卡片raw data'!AB:AB,MATCH($D618,'卡片raw data'!$F:$F,)),0)+IF($P618=3,INDEX('卡片raw data'!AE:AE,MATCH($D618,'卡片raw data'!$F:$F,)),0)+IF($P618=4,INDEX('卡片raw data'!AH:AH,MATCH($D618,'卡片raw data'!$F:$F,)),0)+IF($P618=5,INDEX('卡片raw data'!AK:AK,MATCH($D618,'卡片raw data'!$F:$F,)),0)+INDEX('卡片raw data'!S:S,MATCH($D618,'卡片raw data'!$F:$F,))*(IF($F618="UR",0.04,0.033))*(IF($F618="UR",INDEX(绊状态确认!$S:$S,MATCH($G618,绊状态确认!$B:$B,))/2-40)+IF($F618="SR",INDEX(绊状态确认!$R:$R,MATCH($G618,绊状态确认!$B:$B,))/4-15))+IF($F618="R",INDEX(绊状态确认!$Q:$Q,MATCH($G618,绊状态确认!$B:$B,))/6-40/6)))*(INDEX(绊状态确认!$H:$H,MATCH($G618,绊状态确认!$B:$B,))+INDEX(绊状态确认!J:J,MATCH($G618,绊状态确认!$B:$B,)))</f>
        <v>8968.1960639999998</v>
      </c>
      <c r="AM618" s="1035">
        <f>IF($P618="","N/A",(IF($P618=-1,INDEX('卡片raw data'!T:T,MATCH($D618,'卡片raw data'!$F:$F,)),0)+IF($P618=0,INDEX('卡片raw data'!W:W,MATCH($D618,'卡片raw data'!$F:$F,)),0)+IF($P618=1,INDEX('卡片raw data'!Z:Z,MATCH($D618,'卡片raw data'!$F:$F,)),0)+IF($P618=2,INDEX('卡片raw data'!AC:AC,MATCH($D618,'卡片raw data'!$F:$F,)),0)+IF($P618=3,INDEX('卡片raw data'!AF:AF,MATCH($D618,'卡片raw data'!$F:$F,)),0)+IF($P618=4,INDEX('卡片raw data'!AI:AI,MATCH($D618,'卡片raw data'!$F:$F,)),0)+IF($P618=5,INDEX('卡片raw data'!AL:AL,MATCH($D618,'卡片raw data'!$F:$F,)),0)+INDEX('卡片raw data'!T:T,MATCH($D618,'卡片raw data'!$F:$F,))*(IF($F618="UR",0.04,0.033))*(IF($F618="UR",INDEX(绊状态确认!$S:$S,MATCH($G618,绊状态确认!$B:$B,))/2-40)+IF($F618="SR",INDEX(绊状态确认!$R:$R,MATCH($G618,绊状态确认!$B:$B,))/4-15))+IF($F618="R",INDEX(绊状态确认!$Q:$Q,MATCH($G618,绊状态确认!$B:$B,))/6-40/6)))*(INDEX(绊状态确认!$H:$H,MATCH($G618,绊状态确认!$B:$B,))+INDEX(绊状态确认!K:K,MATCH($G618,绊状态确认!$B:$B,)))</f>
        <v>15988.647983999997</v>
      </c>
      <c r="AN618" s="1043">
        <f>IF($P618="","N/A",(IF($P618=-1,INDEX('卡片raw data'!U:U,MATCH($D618,'卡片raw data'!$F:$F,)),0)+IF($P618=0,INDEX('卡片raw data'!X:X,MATCH($D618,'卡片raw data'!$F:$F,)),0)+IF($P618=1,INDEX('卡片raw data'!AA:AA,MATCH($D618,'卡片raw data'!$F:$F,)),0)+IF($P618=2,INDEX('卡片raw data'!AD:AD,MATCH($D618,'卡片raw data'!$F:$F,)),0)+IF($P618=3,INDEX('卡片raw data'!AG:AG,MATCH($D618,'卡片raw data'!$F:$F,)),0)+IF($P618=4,INDEX('卡片raw data'!AJ:AJ,MATCH($D618,'卡片raw data'!$F:$F,)),0)+IF($P618=5,INDEX('卡片raw data'!AM:AM,MATCH($D618,'卡片raw data'!$F:$F,)),0)+INDEX('卡片raw data'!U:U,MATCH($D618,'卡片raw data'!$F:$F,))*(IF($F618="UR",0.04,0.033))*(IF($F618="UR",INDEX(绊状态确认!$S:$S,MATCH($G618,绊状态确认!$B:$B,))/2-40)+IF($F618="SR",INDEX(绊状态确认!$R:$R,MATCH($G618,绊状态确认!$B:$B,))/4-15))+IF($F618="R",INDEX(绊状态确认!$Q:$Q,MATCH($G618,绊状态确认!$B:$B,))/6-40/6)))*(INDEX(绊状态确认!$H:$H,MATCH($G618,绊状态确认!$B:$B,))+INDEX(绊状态确认!L:L,MATCH($G618,绊状态确认!$B:$B,)))</f>
        <v>14039.767439999998</v>
      </c>
      <c r="AO618" s="1167">
        <f t="shared" ref="AO618:AO619" si="1019">IF(OR($FE$5=C618,$FE$5="全"),1,0)</f>
        <v>1</v>
      </c>
      <c r="AP618" s="1044">
        <f>1+(INDEX(绊状态确认!$T:$T,MATCH($G618,绊状态确认!$B:$B,))+0.2)*$AO618</f>
        <v>1.3</v>
      </c>
      <c r="AQ618" s="1035">
        <f t="shared" ref="AQ618" si="1020">(AL618*(1+$EX$8)+$EX$34)*(1+$EW$15)*IF(AO618=0,1-$FE$6,1)*IF(AO618=1,1+$FE$7,1)*IF(O618="vo",1+$FE$8,1)*IF(O618="gd",1+$FE$9,1)*IF(O618="sp",1+$FE$10,1)*IF(O618="sk",1+$FE$11,1)*IF(I618=$FF$12,1+$FE$12,1)*IF(I618=$FF$13,1,1-$FE$13)*IF(I618=$FF$14,1+$FE$14,1)*IF(J618=$FF$16,1+$FE$16,1)*IF(J618=$FF$17,1+$FE$17,1)*IF(K618=$FF$18,1+$FE$18,1)*(1+$FE$15)</f>
        <v>26791.514668</v>
      </c>
      <c r="AR618" s="1035">
        <f>(AM618*(1+$EX$9)+$EX$35)*(1+(INDEX(绊状态确认!$T:$T,MATCH($G618,绊状态确认!$B:$B,))+0.2)*AO618)*IF(J618=$FF$17,1+$FE$17,1)*IF(I618=$FF$14,1+$FE$14,1)</f>
        <v>24528.50449816</v>
      </c>
      <c r="AS618" s="1035">
        <f>(AN618*(1+$EX$10)+$EX$36)*(1+(INDEX(绊状态确认!$T:$T,MATCH($G618,绊状态确认!$B:$B,))+0.2)*AO618)*IF(J618=$FF$17,1+$FE$17,1)*IF(I618=$FF$14,1+$FE$14,1)</f>
        <v>25045.452322799996</v>
      </c>
      <c r="AT618" s="1165">
        <f>IF(AND(INDEX('卡片raw data'!AK:AK,MATCH($D618,'卡片raw data'!$F:$F,))&lt;INDEX('卡片raw data'!AM:AM,MATCH($D618,'卡片raw data'!$F:$F,)),INDEX('卡片raw data'!AL:AL,MATCH($D618,'卡片raw data'!$F:$F,))&lt;INDEX('卡片raw data'!AM:AM,MATCH($D618,'卡片raw data'!$F:$F,))),1,0)</f>
        <v>0</v>
      </c>
      <c r="AU618" s="1031">
        <f>MIN(AT618*0.15+AS618*0.00003+INDEX(绊状态确认!M:M,MATCH($G618,绊状态确认!$B:$B,)),1)</f>
        <v>0.78136356968399989</v>
      </c>
      <c r="AV618" s="1045">
        <f>(INDEX(绊状态确认!$N:$N,MATCH($G618,绊状态确认!$B:$B,))+1.5)*$EW$21</f>
        <v>2.6599999999999997</v>
      </c>
      <c r="AW618" s="1038">
        <f t="shared" ref="AW618" si="1021">AQ618*(1+(AV618-1)*AU618)*(AP618)*(1+EW$25)*EW$66/3*$EW$24</f>
        <v>31961.53560521402</v>
      </c>
      <c r="AX618" s="1035">
        <f t="shared" ref="AX618" si="1022">$EW$26*(HP($EW$62,$EW$65,$EW$64-AR618*$EW$78/$EW$65)/$EW$66-1)</f>
        <v>2159.7449140757676</v>
      </c>
      <c r="AY618" s="483">
        <f t="shared" ref="AY618" si="1023">AW618+AX618</f>
        <v>34121.280519289787</v>
      </c>
      <c r="AZ618" s="1106">
        <f t="shared" ref="AZ618" si="1024">(AL618*(1+$FB$8)+$FB$34)*IF(AO618=0,1-$FE$6,1)*IF(AO618=1,1+$FE$7,1)*IF(O618="vo",1+$FE$8,1)*IF(O618="gd",1+$FE$9,1)*IF(O618="sp",1+$FE$10,1)*IF(O618="sk",1+$FE$11,1)*IF(I618=$FF$12,1+$FE$12,1)*IF(I618=$FF$13,1,1-$FE$13)*IF(I618=$FF$14,1+$FE$14,1)*IF(J618=$FF$16,1+$FE$16,1)*IF(J618=$FF$17,1+$FE$17,1)*IF(K618=$FF$18,1+$FE$18,1)*(1+$FE$15)</f>
        <v>20087.982324799999</v>
      </c>
      <c r="BA618" s="1108">
        <f t="shared" ref="BA618" si="1025">AZ618*(1+$FA$15)</f>
        <v>24105.578789759998</v>
      </c>
      <c r="BB618" s="1035">
        <f>(AM618*(1+$FB$9)+$FB$35)*(1+(INDEX(绊状态确认!$T:$T,MATCH($G618,绊状态确认!$B:$B,))+0.2)*AO618)*IF(J618=$FF$17,1+$FE$17,1)*IF(I618=$FF$14,1+$FE$14,1)*(1+$FE$15)</f>
        <v>24528.50449816</v>
      </c>
      <c r="BC618" s="1035">
        <f>(AN618*(1+$FB$10)+$FB$36)*(1+(INDEX(绊状态确认!$T:$T,MATCH($G618,绊状态确认!$B:$B,))+0.2)*AO618)*IF(J618=$FF$17,1+$FE$17,1)*IF(I618=$FF$14,1+$FE$14,1)*(1+$FE$15)</f>
        <v>25045.452322799996</v>
      </c>
      <c r="BD618" s="481">
        <f>MIN(AT618*0.15+BC618*0.00003+INDEX(绊状态确认!M:M,MATCH($G618,绊状态确认!$B:$B,)),1)</f>
        <v>0.78136356968399989</v>
      </c>
      <c r="BE618" s="1109">
        <f>(INDEX(绊状态确认!$N:$N,MATCH($G618,绊状态确认!$B:$B,))+1.5)</f>
        <v>1.9</v>
      </c>
      <c r="BF618" s="646">
        <f t="array" ref="BF618">SUMPRODUCT(IF(AZ618*AP618*$FI$16:$FI$23*$FA$22&gt;=$FI$24,$FI$24,AZ618*AP618*$FI$16:$FI$23*$FA$22),$FJ$16:$FJ$23)</f>
        <v>39954.996844027206</v>
      </c>
      <c r="BG618" s="1047">
        <f t="array" ref="BG618">SUMPRODUCT(IF(BE618*AZ618*AP618*$FI$16:$FI$23*$FA$22&gt;=$FI$24,$FI$24,BE618*AZ618*AP618*$FI$16:$FI$23*$FA$22),$FJ$16:$FJ$23)</f>
        <v>59954.077961070718</v>
      </c>
      <c r="BH618" s="1046">
        <f t="shared" ref="BH618" si="1026">((1-$BD618)*BF618+$BD618*BG618)/3</f>
        <v>18527.183418680066</v>
      </c>
      <c r="BI618" s="1048">
        <f>IF(O618="vo",$EW$26/$EW$24*0.05,0)+IF(O618="sk",-$EW$26/$EW$24*(0.05-INDEX(绊状态确认!W:W,MATCH($G618,绊状态确认!$B:$B,)))+0.05*$EW$28,0)+IF(O618="sp",0.05*$EW$32*$EW$30*(1-$EW$33)-(0.05-INDEX(绊状态确认!V:V,MATCH($G618,绊状态确认!$B:$B,)))*$EW$28,0)+IF(O618="gd",-(0.05-INDEX(绊状态确认!X:X,MATCH($G618,绊状态确认!$B:$B,)))*$EW$32*$EW$30*(1-$EW$33),0)</f>
        <v>-585.00000000000011</v>
      </c>
      <c r="BJ618" s="1097">
        <f>IF(O618="vo",0.05*(1-$FI$26)*$FA$24,0)+IF(O618="sk",-(0.05-INDEX(绊状态确认!W:W,MATCH($G618,绊状态确认!$B:$B,)))*(1-$FI$26)*$FA$24+0.05*$FA$26,0)+IF(O618="sp",0.05*$FA$32*$FA$27*(1-$FA$33)/$FA$30+0.05*$FA$29/$FA$69*$FA$27*(1-$FA$33)-(0.05-INDEX(绊状态确认!V:V,MATCH($G618,绊状态确认!$B:$B,)))*$FA$26,0)+IF(O618="gd",-(0.05-INDEX(绊状态确认!X:X,MATCH($G618,绊状态确认!$B:$B,)))*$FA$32*$FA$27*(1-$FA$33)/$FA$30-(0.05-INDEX(绊状态确认!X:X,MATCH($G618,绊状态确认!$B:$B,)))*$FA$29/$FA$69*$FA$27*(1-$FA$33),0)</f>
        <v>-795.00000000000011</v>
      </c>
      <c r="BK618" s="1046">
        <f>IF(O618="vo",$EW$26/$EW$24*0.05+$EW$26*(-HP($EW$62,$EW$65,$EW$64)+HP($EW$62,$EW$65,(1.05-INDEX(绊状态确认!U:U,MATCH($G618,绊状态确认!$B:$B,)))*$EW$64)),0)+IF(O618="sk",-$EW$26/$EW$24*(0.05-INDEX(绊状态确认!W:W,MATCH($G618,绊状态确认!$B:$B,)))+0.05*$EW$29,0)+IF(O618="sp",0.05*$EW$32*$EW$30*(1-$EW$33)-(0.05-INDEX(绊状态确认!V:V,MATCH($G618,绊状态确认!$B:$B,)))*$EW$29,0)+IF(O618="gd",-(0.05-INDEX(绊状态确认!X:X,MATCH($G618,绊状态确认!$B:$B,)))*$EW$32*$EW$30*(1-$EW$33)+$EW$26*(-HP($EW$62,$EW$65,$EW$64)+HP($EW$62,$EW$65,0.95*$EW$64)),0)</f>
        <v>1009.5947725176144</v>
      </c>
      <c r="BL618" s="1048">
        <f t="shared" ref="BL618" si="1027">(IF(F618="UR",0)+IF(F618="SR",-1/4)+IF(F618="R",-1/2))*1/3*$EW$31/$EW$77*$EW$30</f>
        <v>0</v>
      </c>
      <c r="BM618" s="1046">
        <f t="shared" ref="BM618" si="1028">(IF(F618="UR",0)+IF(F618="SR",-1/4)+IF(F618="R",-1/2))*1/3*$FA$31/$FA$69*$FA$27</f>
        <v>0</v>
      </c>
      <c r="BN618" s="1167">
        <f t="shared" ref="BN618" si="1029">IF($P618="","N/A",IF(P618=-1,IF(OR(L618="fes卡",L618="party卡"),2,1),IF(F618="UR",IF(L618="party卡",4-IF(P618=0,1),IF(L618="fes卡",4,3)-IF(P618&gt;=4,0,1)))+IF(F618="SR",IF(P618&gt;=4,3,2))+IF(F618="R",2)))</f>
        <v>3</v>
      </c>
      <c r="BO618" s="1035">
        <f t="shared" si="828"/>
        <v>4507.7214871259994</v>
      </c>
      <c r="BP618" s="1043">
        <f t="shared" ref="BP618" si="1030">BN618*$FA$58*(1-$FI$26)*$FA$24*$FB$5/$FB$11</f>
        <v>221.34103209030098</v>
      </c>
      <c r="BQ618" s="1113" t="s">
        <v>133</v>
      </c>
      <c r="BR618" s="1165" t="s">
        <v>2127</v>
      </c>
      <c r="BS618" s="1098">
        <f>IF($P618="","N/A",IF($P618=-1,INDEX('卡片raw data'!AX:AX,MATCH($D618,'卡片raw data'!$F:$F,)),0)+IF($L618="party卡",IF($P618=5,INDEX('卡片raw data'!BD:BD,MATCH($D618,'卡片raw data'!$F:$F,)),IF($P618&gt;=3,INDEX('卡片raw data'!BC:BC,MATCH($D618,'卡片raw data'!$F:$F,)),INDEX('卡片raw data'!BB:BB,MATCH($D618,'卡片raw data'!$F:$F,)))),IF(OR(AND($F618="UR",$P618=0),AND($F618="SR",$P618&gt;=0,$P618&lt;=2),AND($F618="R",$P618&gt;=0,$P618&lt;4)),INDEX('卡片raw data'!AZ:AZ,MATCH($D618,'卡片raw data'!$F:$F,)),0)+IF(OR(AND($F618="UR",$P618&gt;=1,$P618&lt;=4),AND($F618="SR",$P618&lt;=4,$P618&gt;=3),AND($F618="R",$P618=4)),INDEX('卡片raw data'!BA:BA,MATCH($D618,'卡片raw data'!$F:$F,)),0)+IF($P618=5,INDEX('卡片raw data'!BB:BB,MATCH($D618,'卡片raw data'!$F:$F,)),0)))</f>
        <v>7.0000000000000007E-2</v>
      </c>
      <c r="BT618" s="1101">
        <f t="shared" ref="BT618:BT620" si="1031">IF(BQ618="ap",BS618*$EX$5/$EX$11*(+IF(BR618="全员",$EW$26,0)+IF(BR618="同作战",$EW$26,0)+IF(BR618="仲间",$EW$26*2/3,0)+IF(BR618="同属性",$EW$26*$EW$37/3,0)+IF(BR618="同年级",$EW$26*$EW$40/3,0)+IF(BR618="同学校",$EW$26*$EW$43/3,0)+IF(BR618="同小队",$EW$26*$EW$46/3,0)+IF(BR618="同type",$EW$26*INDEX($EX$49:$EX$52,MATCH(O618,$EW$49:$EW$52,))/3,0)+IF(BR618="自身",$AW618,0)),0)+IF(BQ618="te",BS618*($EW$22-1)*0.00003*$EX$7/$EX$13*(+IF(BR618="全员",$EX$18*$EW$26/(1+($EW$22-1)*$EW$19),0)+IF(BR618="同作战",$EX$18*$EW$26/(1+($EW$22-1)*$EW$19),0)+IF(BR618="仲间",$EX$18*$EW$26/(1+($EW$22-1)*$EW$19)*2/3,0)+IF(BR618="同属性",$EX$18*$EW$26/(1+($EW$22-1)*$EW$19)*$EW$37/3,0)+IF(BR618="同年级",$EX$18*$EW$26/(1+($EW$22-1)*$EW$19)*$EW$40/3,0)+IF(BR618="同学校",$EX$18*$EW$26/(1+($EW$22-1)*$EW$19)*$EW$43/3,0)+IF(BR618="同小队",$EX$18*$EW$26/(1+($EW$22-1)*$EW$19)*$EW$46/3,0)+IF(BR618="同type",$EX$18*$EW$26/(1+($EW$22-1)*$EW$19)*INDEX($EX$49:$EX$52,MATCH(O618,$EW$49:$EW$52,))/3,0)+IF(BR618="自身",$AS618*$AW618/(1+(AV618-1)*$AU618),0)),0)</f>
        <v>0</v>
      </c>
      <c r="BU618" s="1097">
        <f t="shared" ref="BU618:BU620" si="1032">IF(BQ618="ap",BS618*(1-$FI$26)*$FB$5/$FB$11*(+IF(BR618="全员",$FA$24,0)+IF(BR618="同作战",$FA$24,0)+IF(BR618="仲间",$FA$24*2/3,0)+IF(BR618="同属性",$FA$24*$FA$37/3,0)+IF(BR618="同年级",$FA$24*$FA$40/3,0)+IF(BR618="同学校",$FA$24*$FA$43/3,0)+IF(BR618="同小队",$FA$24*$FA$46/3,0)+IF(BR618="同type",$FA$24*INDEX($FB$49:$FB$52,MATCH(O618,$FA$49:$FA$52,))/3,0)+IF(BR618="自身",BH618/3,0)),0)+IF(BQ618="te",BS618*(1-$FI$27)*($FA$20-1)*$FB$7/$FB$13*(+IF(BR618="全员",$FA$19*$FA$24/(1+($FA$20-1)*$FA$19),0)+IF(BR618="同作战",$FA$19*$FA$24/(1+($FA$20-1)*$FA$19),0)+IF(BR618="仲间",$FA$19*$FA$24*2/3/(1+($FA$20-1)*$FA$19),0)+IF(BR618="同属性",$FA$19*$FA$24*$FA$37/3/(1+($FA$20-1)*$FA$19),0)+IF(BR618="同年级",$FA$19*$FA$24*$FA$40/3/(1+($FA$20-1)*$FA$19),0)+IF(BR618="同学校",$FA$19*$FA$24*$FA$43/3/(1+($FA$20-1)*$FA$19),0)+IF(BR618="同小队",$FA$19*$FA$24*$FA$46/3/(1+($FA$20-1)*$FA$19),0)+IF(BR618="同type",$FA$19*$FA$24*INDEX($FB$49:$FB$52,MATCH(O618,$FA$49:$FA$52,))/3/(1+($FA$20-1)*$FA$19),0)+IF(BR618="自身",$FA$19*BH618/3/(1+(AV618-1)*$BD618),0)),0)</f>
        <v>0</v>
      </c>
      <c r="BV618" s="1097">
        <f t="shared" ref="BV618:BV620" si="1033">IF(BQ618="ap",BS618*$EW$26*$EX$5/$EX$11*(+IF(BR618="全员",1,0)+IF(BR618="仲间",1,0)+IF(BR618="同属性",$EW$38/3,0)+IF(BR618="同年级",$EW$41/3,0)+IF(BR618="同学校",$EW$44/3,0)+IF(BR618="同小队",$EW$47/3,0)+IF(BR618="同type",INDEX($EX$53:$EX$56,MATCH(O618,$EW$53:$EW$56,))/3,0)),0)+IF(BQ618="te",BS618*($EW$22-1)*0.00003*$EX$18*$EW$26/(1+($EW$22-1)*$EW$19)*$EX$7/$EX$13*(+IF(BR618="全员",1,0)+IF(BR618="仲间",1,0)+IF(BR618="同属性",$EW$38/3,0)+IF(BR618="同年级",$EW$41/3,0)+IF(BR618="同学校",$EW$44/3,0)+IF(BR618="同小队",$EW$47/3,0)+IF(BR618="同type",INDEX($EX$53:$EX$56,MATCH(O618,$EW$53:$EW$56,))/3,0)),0)</f>
        <v>0</v>
      </c>
      <c r="BW618" s="1112">
        <f t="shared" ref="BW618:BW620" si="1034">IF(BQ618="st",BS618*$EX$6/$EX$12*(+IF(BR618="全员",$EX$17*9,0)+IF(BR618="仲间",$EX$17*8,0)+IF(BR618="同作战",$EX$17*3,0)+IF(BR618="同属性",$EX$17*$EW$39,0)+IF(BR618="同年级",$EX$17*$EW$42,0)+IF(BR618="同学校",$EX$17*$EW$45,0)+IF(BR618="同小队",$EX$17*$EW$48,0)+IF(BR618="同type",$EX$17*INDEX($EX$57:$EX$60,MATCH(O618,$EW$57:$EW$60,)),0)+IF(BR618="自身",$AR618)),0)/$EW$65*$EW$78</f>
        <v>2.4581249999999999</v>
      </c>
      <c r="BX618" s="1100">
        <f t="shared" ref="BX618:BX620" si="1035">IF(BQ618="st",$EW$26*(HP($EW$62,$EW$65,$EW$64-BW618)/$EW$66-1),BT618)</f>
        <v>192.3373892964872</v>
      </c>
      <c r="BY618" s="1110">
        <f t="shared" ref="BY618:BY620" si="1036">IF(BQ618="st",$EW$26*(HP($EW$62,$EW$65,$EW$64-BW618)/$EW$66-1),BV618)</f>
        <v>192.3373892964872</v>
      </c>
      <c r="BZ618" s="1113" t="s">
        <v>569</v>
      </c>
      <c r="CA618" s="1124"/>
      <c r="CB618" s="1098">
        <f>IF($P618="","N/A",IF($P618=-1,INDEX('卡片raw data'!BE:BE,MATCH($D618,'卡片raw data'!$F:$F,)),0)+IF($L618="party卡",IF($P618=5,INDEX('卡片raw data'!BK:BK,MATCH($D618,'卡片raw data'!$F:$F,)),IF($P618&gt;=3,INDEX('卡片raw data'!BJ:BJ,MATCH($D618,'卡片raw data'!$F:$F,)),INDEX('卡片raw data'!BI:BI,MATCH($D618,'卡片raw data'!$F:$F,)))),IF(OR(AND($F618="UR",$P618=0),AND($F618="SR",$P618&gt;=0,$P618&lt;=2),AND($F618="R",$P618&gt;=0,$P618&lt;4)),INDEX('卡片raw data'!BG:BG,MATCH($D618,'卡片raw data'!$F:$F,)),0)+IF(OR(AND($F618="UR",$P618&gt;=1,$P618&lt;=4),AND($F618="SR",$P618&lt;=4,$P618&gt;=3),AND($F618="R",$P618=4)),INDEX('卡片raw data'!BH:BH,MATCH($D618,'卡片raw data'!$F:$F,)),0)+IF($P618=5,INDEX('卡片raw data'!BI:BI,MATCH($D618,'卡片raw data'!$F:$F,)),0)))</f>
        <v>0</v>
      </c>
      <c r="CC618" s="1101">
        <f t="shared" si="920"/>
        <v>0</v>
      </c>
      <c r="CD618" s="1097">
        <f>IF(BZ618="ap",CB618*(1-$FI$26)*$FB$5/$FB$11*(+IF(CA618="全员",$FA$24,0)+IF(CA618="同作战",$FA$24,0)+IF(CA618="仲间",$FA$24*2/3,0)+IF(CA618="同属性",$FA$24*$FA$37/3,0)+IF(CA618="同年级",$FA$24*$FA$40/3,0)+IF(CA618="同学校",$FA$24*$FA$43/3,0)+IF(CA618="同小队",$FA$24*$FA$46/3,0)+IF(CA618="同type",$FA$24*INDEX($FB$49:$FB$52,MATCH(X618,$FA$49:$FA$52,))/3,0)+IF(CA618="自身",#REF!/3,0)),0)+IF(BZ618="te",CB618*(1-$FI$27)*($FA$20-1)*$FB$7/$FB$13*(+IF(CA618="全员",$FA$19*$FA$24/(1+($FA$20-1)*$FA$19),0)+IF(CA618="同作战",$FA$19*$FA$24/(1+($FA$20-1)*$FA$19),0)+IF(CA618="仲间",$FA$19*$FA$24*2/3/(1+($FA$20-1)*$FA$19),0)+IF(CA618="同属性",$FA$19*$FA$24*$FA$37/3/(1+($FA$20-1)*$FA$19),0)+IF(CA618="同年级",$FA$19*$FA$24*$FA$40/3/(1+($FA$20-1)*$FA$19),0)+IF(CA618="同学校",$FA$19*$FA$24*$FA$43/3/(1+($FA$20-1)*$FA$19),0)+IF(CA618="同小队",$FA$19*$FA$24*$FA$46/3/(1+($FA$20-1)*$FA$19),0)+IF(CA618="同type",$FA$19*$FA$24*INDEX($FB$49:$FB$52,MATCH(X618,$FA$49:$FA$52,))/3/(1+($FA$20-1)*$FA$19),0)+IF(CA618="自身",$FA$19*#REF!/3/(1+(BH618-1)*$BD618),0)),0)</f>
        <v>0</v>
      </c>
      <c r="CE618" s="1097">
        <f t="shared" si="921"/>
        <v>0</v>
      </c>
      <c r="CF618" s="1112">
        <f t="shared" si="922"/>
        <v>0</v>
      </c>
      <c r="CG618" s="1100">
        <f t="shared" si="923"/>
        <v>0</v>
      </c>
      <c r="CH618" s="1110">
        <f t="shared" si="924"/>
        <v>0</v>
      </c>
      <c r="CI618" s="1113" t="s">
        <v>164</v>
      </c>
      <c r="CJ618" s="1114">
        <v>1</v>
      </c>
      <c r="CK618" s="1115" t="s">
        <v>2080</v>
      </c>
      <c r="CL618" s="1115" t="s">
        <v>1943</v>
      </c>
      <c r="CM618" s="1119">
        <v>3.2000000000000001E-2</v>
      </c>
      <c r="CN618" s="1115"/>
      <c r="CO618" s="1115"/>
      <c r="CP618" s="1116">
        <f t="shared" si="978"/>
        <v>16.819545941595429</v>
      </c>
      <c r="CQ618" s="1116">
        <f t="shared" si="979"/>
        <v>26.163738131370664</v>
      </c>
      <c r="CR618" s="1117">
        <f t="shared" si="980"/>
        <v>16.819545941595429</v>
      </c>
      <c r="CS618" s="1118">
        <f t="shared" ref="CS618:CS620" si="1037">IF(CK618="技能+",IF(CN618="infty",(IF(CI618="曲开始",CM618*CJ618)+IF(OR(CI618="AC时",CI618="AC成功"),(1-(1-(1-CJ618)^($FM$20+1))/(($FM$20+1)*CJ618))*CM618))*(IF(CL618="全员",1)))+IF(CN618&lt;&gt;"infty",CM618*(IF(CI618="曲开始",CJ618*CN618/$FM$19)+IF(OR(CI618="AC时",CI618="AC成功"),CN618*IF(CO618&lt;&gt;"",MIN(CO618,CJ618*$FM$20),CJ618*$FM$20)/$FM$19)+IF(CI618="切队",CN618*IF(CO618&lt;&gt;"",MIN(CJ618*$FM$11,CO618/$FM$19),CJ618*$FM$11))+IF(CI618="ap时",IF(CO618&lt;&gt;"",MIN(CO618/$FM633,IF($O618="sk",$FM$10,$FM$9)*CJ618),IF($O618="sk",$FM$10,$FM$9)*CJ618)*CN618)+IF(CI618="ct时",IF(CO618&lt;&gt;"",MIN(CO618/$FM633,$AU618*IF($O618="sk",$FM$10,$FM$9)*CJ618),$AU618*IF($O618="sk",$FM$10,$FM$9)*CJ618)*CN618))*(IF(CL618="全员",1)+IF(CL618="同作战",IF($O618="sk",$FM$10*3,$FM$9*3))+IF(CL618="同属性",$FM$23/6)+IF(CL618="同年级",$FM$24/6)+IF(CL618="自身",IF($O618="sk",$FM$10,$FM$9)))),0)*$FM$16</f>
        <v>0</v>
      </c>
      <c r="CT618" s="1109">
        <f t="shared" ref="CT618:CT620" si="1038">IF(CK618="sp+",IF(CN618="infty",(IF(CI618="曲开始",CM618*CJ618*$FM$28)+IF(OR(CI618="AC时",CI618="AC成功"),(1-(1-(1-CJ618)^($FM$20+1))/(($FM$20+1)*CJ618))*CM618*$FM$28))*(IF(CL618="全员",1)))+IF(CN618&lt;&gt;"infty",CM618*$FM$28*(IF(CI618="曲开始",CJ618*CN618/$FM$19)+IF(OR(CI618="AC时",CI618="AC成功"),CN618*IF(CO618&lt;&gt;"",MIN(CO618,CJ618*$FM$20),CJ618*$FM$20)/$FM$19)+IF(CI618="切队",CN618*IF(CO618&lt;&gt;"",MIN(CJ618*$FM$11,CO618/$FM$19),CJ618*$FM$11))+IF(CI618="ap时",IF(CO618&lt;&gt;"",MIN(CO618/$FM633,IF($O618="sk",$FM$10,$FM$9)*CJ618),IF($O618="sk",$FM$10,$FM$9)*CJ618)*CN618)+IF(CI618="ct时",IF(CO618&lt;&gt;"",MIN(CO618/$FM633,$AU618*IF($O618="sk",$FM$10,$FM$9)*CJ618),$AU618*IF($O618="sk",$FM$10,$FM$9)*CJ618)*CN618))*(IF(CL618="全员",1)+IF(CL618="同作战",IF($O618="sk",$FM$10*3,$FM$9*3))+IF(CL618="同属性",$FM$23/6)+IF(CL618="同年级",$FM$24/6)+IF(CL618="同type",IF(O618="sp",$FN$6*$FM$9)))),0)+IF(CK618="sp获得",IF(CI618="AC成功",0,CM618*(IF(CL618="ap",AQ618)+IF(CL618="st",AR618)+IF(CL618="te",AS618)+IF(CL618="sp槽",$EW$77)+IF(CL618="",1))*IF($O618="sk",1,1+(1+$FM$10/$FM$9)*($FM$27-1))*(IF(CI618="曲开始",CJ618/$FM$19)+IF(CI618="SP发动",IF(CO618&lt;&gt;"",MIN(CO618/$FM$19,CJ618*$FM$30/$FM$19),CJ618*$FM$30/$FM$19))+IF(CI618="切队",IF(CO618&lt;&gt;"",MIN(CO618/$FM$19,CJ618*$FM$11),CJ618*$FM$11))+IF(OR(CI618="AC时",CI618="AC成功"),IF(CO618&lt;&gt;"",MIN(CO618/$FM$19,CJ618*$FM$20/$FM$19),CJ618*$FM$20/$FM$19))+IF(CI618="ap时",IF(CO618&lt;&gt;"",MIN(CO618/$FM$19,CJ618*IF($O618="sk",$FM$10,$FM$9)),CJ618*IF($O618="sk",$FM$10,$FM$9)))+IF(CI618="ct时",IF(CO618&lt;&gt;"",MIN(CO618/$FM$19,CJ618*IF($O618="sk",$FM$10,$FM$9)*$AU618),CJ618*IF($O618="sk",$FM$10,$FM$9)*$AU618)))))</f>
        <v>0</v>
      </c>
      <c r="CU618" s="1101">
        <f t="shared" si="981"/>
        <v>0</v>
      </c>
      <c r="CV618" s="1108">
        <f t="shared" si="982"/>
        <v>0</v>
      </c>
      <c r="CW618" s="1097">
        <f t="shared" si="983"/>
        <v>0</v>
      </c>
      <c r="CX618" s="1097">
        <f t="shared" si="984"/>
        <v>1355.1716303918713</v>
      </c>
      <c r="CY618" s="1110">
        <f t="shared" si="985"/>
        <v>1355.1716303918713</v>
      </c>
      <c r="CZ618" s="1113"/>
      <c r="DA618" s="1114"/>
      <c r="DB618" s="1115" t="s">
        <v>569</v>
      </c>
      <c r="DC618" s="1115"/>
      <c r="DD618" s="1119"/>
      <c r="DE618" s="1092"/>
      <c r="DF618" s="1092"/>
      <c r="DG618" s="1116">
        <f t="shared" si="986"/>
        <v>0</v>
      </c>
      <c r="DH618" s="1116">
        <f t="shared" si="987"/>
        <v>0</v>
      </c>
      <c r="DI618" s="1116">
        <f t="shared" si="988"/>
        <v>0</v>
      </c>
      <c r="DJ618" s="1118">
        <f t="shared" si="989"/>
        <v>0</v>
      </c>
      <c r="DK618" s="1109">
        <f t="shared" si="990"/>
        <v>0</v>
      </c>
      <c r="DL618" s="1101">
        <f t="shared" si="991"/>
        <v>0</v>
      </c>
      <c r="DM618" s="1097">
        <f t="shared" si="992"/>
        <v>0</v>
      </c>
      <c r="DN618" s="1097">
        <f t="shared" si="993"/>
        <v>0</v>
      </c>
      <c r="DO618" s="1097">
        <f t="shared" si="994"/>
        <v>0</v>
      </c>
      <c r="DP618" s="1110">
        <f t="shared" si="995"/>
        <v>0</v>
      </c>
      <c r="DQ618" s="1113" t="s">
        <v>556</v>
      </c>
      <c r="DR618" s="1120">
        <f t="shared" si="927"/>
        <v>0.33</v>
      </c>
      <c r="DS618" s="1124">
        <v>4</v>
      </c>
      <c r="DT618" s="1093" t="s">
        <v>161</v>
      </c>
      <c r="DU618" s="1093" t="s">
        <v>544</v>
      </c>
      <c r="DV618" s="1098">
        <f>IF($P618="","N/A",IF(P618=-1,INDEX('卡片raw data'!AN:AN,MATCH(D618,'卡片raw data'!$F:$F,)),0)+IF(AND(L618&lt;&gt;"party卡",P618&lt;=2,P618&gt;=0),INDEX('卡片raw data'!AP:AP,MATCH(D618,'卡片raw data'!$F:$F,)),0)+IF(OR(AND(L618="party卡",P618&lt;=1),AND(P618&lt;=4,L618&lt;&gt;"party卡",P618&gt;=3)),INDEX('卡片raw data'!AQ:AQ,MATCH(D618,'卡片raw data'!$F:$F,)),0)+IF(OR(P618=5,AND(L618="party卡",P618&gt;=2)),INDEX('卡片raw data'!AR:AR,MATCH(D618,'卡片raw data'!$F:$F,)),0))</f>
        <v>0.33</v>
      </c>
      <c r="DW618" s="1098">
        <f t="shared" si="928"/>
        <v>0.33</v>
      </c>
      <c r="DX618" s="1098">
        <f t="shared" si="929"/>
        <v>0.33</v>
      </c>
      <c r="DY618" s="1098">
        <f t="shared" si="930"/>
        <v>0.14520000000000002</v>
      </c>
      <c r="DZ618" s="1098">
        <f t="shared" si="931"/>
        <v>0.12559800000000002</v>
      </c>
      <c r="EA618" s="1098">
        <f t="shared" si="932"/>
        <v>0</v>
      </c>
      <c r="EB618" s="1121">
        <f t="shared" si="933"/>
        <v>0</v>
      </c>
      <c r="EC618" s="1101">
        <f t="shared" si="934"/>
        <v>0</v>
      </c>
      <c r="ED618" s="1097">
        <f t="shared" si="935"/>
        <v>0</v>
      </c>
      <c r="EE618" s="1110">
        <f t="shared" si="996"/>
        <v>6612.8929813133173</v>
      </c>
      <c r="EF618" s="1115" t="s">
        <v>569</v>
      </c>
      <c r="EG618" s="1120">
        <f t="shared" si="936"/>
        <v>0.33</v>
      </c>
      <c r="EH618" s="1124"/>
      <c r="EI618" s="1093"/>
      <c r="EJ618" s="1093"/>
      <c r="EK618" s="1097">
        <f>IF($P618="","N/A",IF(P618=-1,INDEX('卡片raw data'!AS:AS,MATCH(D618,'卡片raw data'!$F:$F,)),0)+IF(AND(L618&lt;&gt;"party卡",P618&lt;=2,P618&gt;=0),INDEX('卡片raw data'!AU:AU,MATCH(D618,'卡片raw data'!$F:$F,)),0)+IF(OR(AND(L618="party卡",P618&lt;=1),AND(P618&lt;=4,L618&lt;&gt;"party卡",P618&gt;=3)),INDEX('卡片raw data'!AV:AV,MATCH(D618,'卡片raw data'!$F:$F,)),0)+IF(OR(P618=5,AND(L618="party卡",P618&gt;=2)),INDEX('卡片raw data'!AW:AW,MATCH(D618,'卡片raw data'!$F:$F,)),0))</f>
        <v>0</v>
      </c>
      <c r="EL618" s="1098">
        <f t="shared" si="937"/>
        <v>0.33</v>
      </c>
      <c r="EM618" s="1098">
        <f t="shared" si="938"/>
        <v>0.33</v>
      </c>
      <c r="EN618" s="1097">
        <f t="shared" si="939"/>
        <v>0</v>
      </c>
      <c r="EO618" s="1097">
        <f t="shared" si="940"/>
        <v>0</v>
      </c>
      <c r="EP618" s="1098">
        <f t="shared" si="941"/>
        <v>0</v>
      </c>
      <c r="EQ618" s="1121">
        <f t="shared" si="942"/>
        <v>0</v>
      </c>
      <c r="ER618" s="1101">
        <f t="shared" si="943"/>
        <v>0</v>
      </c>
      <c r="ES618" s="1097">
        <f t="shared" si="944"/>
        <v>0</v>
      </c>
      <c r="ET618" s="1122">
        <f t="shared" si="997"/>
        <v>0</v>
      </c>
    </row>
    <row r="619" spans="2:150" ht="16.5" customHeight="1">
      <c r="B619" s="1123" t="str">
        <f>INDEX('卡片raw data'!B:B,MATCH($D619,'卡片raw data'!$F:$F,))</f>
        <v>虎年丸</v>
      </c>
      <c r="C619" s="1025" t="s">
        <v>5002</v>
      </c>
      <c r="D619" s="408">
        <v>616</v>
      </c>
      <c r="E619" s="1164">
        <v>401073006</v>
      </c>
      <c r="F619" s="1090" t="str">
        <f>INDEX('卡片raw data'!C:C,MATCH($D619,'卡片raw data'!$F:$F,))</f>
        <v>UR</v>
      </c>
      <c r="G619" s="1026" t="s">
        <v>5003</v>
      </c>
      <c r="H619" s="411">
        <f>IFERROR(INDEX(绊状态确认!C:C,MATCH($G619,绊状态确认!$B:$B,)),"")</f>
        <v>107</v>
      </c>
      <c r="I619" s="450" t="str">
        <f>IFERROR(INDEX(绊状态确认!D:D,MATCH($G619,绊状态确认!$B:$B,)),"")</f>
        <v>水</v>
      </c>
      <c r="J619" s="450" t="str">
        <f>IFERROR(INDEX(绊状态确认!E:E,MATCH($G619,绊状态确认!$B:$B,)),"")</f>
        <v>1年级</v>
      </c>
      <c r="K619" s="451" t="str">
        <f>IFERROR(INDEX(绊状态确认!F:F,MATCH($G619,绊状态确认!$B:$B,)),"")</f>
        <v>AZALEA</v>
      </c>
      <c r="L619" s="1094" t="str">
        <f>INDEX('卡片raw data'!E:E,MATCH($D619,'卡片raw data'!$F:$F,))</f>
        <v>活动卡</v>
      </c>
      <c r="M619" s="1065">
        <v>44581</v>
      </c>
      <c r="N619" s="1027">
        <v>56</v>
      </c>
      <c r="O619" s="1091" t="str">
        <f>INDEX('卡片raw data'!D:D,MATCH($D619,'卡片raw data'!$F:$F,))</f>
        <v>sk</v>
      </c>
      <c r="P619" s="1028">
        <v>5</v>
      </c>
      <c r="Q619" s="1095">
        <f t="shared" ref="Q619" si="1039">IF($P619="",0,AW619+BI619+BO619+BT619+CU619+EC619+ER619+CC619+DL619+BL619)</f>
        <v>54933.615861343031</v>
      </c>
      <c r="R619" s="1096">
        <f t="shared" ref="R619" si="1040">_xlfn.FLOOR.MATH(IF($P619="","N/A",Q619/$EW$81)*1000)/1000</f>
        <v>0.63800000000000001</v>
      </c>
      <c r="S619" s="1097">
        <f t="shared" ref="S619" si="1041">IF($P619="",0,BH619+BJ619+BP619+BU619+CV619+ED619+ES619+CD619+DM619+BM619)</f>
        <v>22422.743171343489</v>
      </c>
      <c r="T619" s="1098">
        <f t="shared" ref="T619" si="1042">_xlfn.FLOOR.MATH(IF($P619="","N/A",S619/($FI$24/3))*1000)/1000</f>
        <v>1.121</v>
      </c>
      <c r="U619" s="1099">
        <f t="shared" ref="U619" si="1043">$EW$64*(IF(O619="vo",-0.05)+IF(O619="gd",0.05))+CP619*(IF(CK619="减伤",$EW$64*(1-$EW$75))+IF(OR(CK619="加盾",AND(CK619="回血",OR(CI619&lt;&gt;"切队",CO619=""))),1))+DG619*(IF(DB619="减伤",$EW$64*(1-$EW$75))+IF(OR(DB619="加盾",AND(DB619="回血",OR(CZ619&lt;&gt;"切队",DF619=""))),1))+AR619*$EW$78/$EW$65+BW619+CF619+DY619*(1+IF(O619="sk",0.05)+IF(O619="sp",-0.05))*(IF(DQ619="减伤",$EW$64*(1-$EW$75))+IF(OR(DQ619="回血",DQ619="加盾"),1))+EN619*(1+IF(O619="sk",0.05)+IF(O619="sp",-0.05))*(IF(EF619="减伤",$EW$64*(1-$EW$75))+IF(OR(EF619="回血",EF619="加盾"),1))</f>
        <v>12.091908671142855</v>
      </c>
      <c r="V619" s="1100">
        <f t="shared" ref="V619" si="1044">IF($P619="",0,AY619+BK619+BO619+BX619+CX619+EE619+ET619+CG619+DO619+BL619)</f>
        <v>57898.435710309488</v>
      </c>
      <c r="W619" s="1101">
        <f t="shared" ref="W619" si="1045">IF($P619="",0,BO619+BV619+CW619+CE619+DN619)</f>
        <v>6453.0980432580727</v>
      </c>
      <c r="X619" s="1096">
        <f t="shared" ref="X619" si="1046">_xlfn.FLOOR.MATH(IF($P619="","N/A",W619/$EW$81)*1000)/1000</f>
        <v>7.4999999999999997E-2</v>
      </c>
      <c r="Y619" s="1097">
        <f t="shared" ref="Y619" si="1047">IF($P619="",0,AA619-W619)</f>
        <v>964.81984896645827</v>
      </c>
      <c r="Z619" s="1102">
        <f t="shared" ref="Z619" si="1048">CP619*IF(OR(CI619="ap时",CI619="ct时"),0,1)*(IF(CK619="减伤",$EW$64*(1-$EW$75))+IF(OR(CK619="加盾",AND(CK619="回血",OR(CI619&lt;&gt;"切队",CO619=""))),1))+DG619*IF(OR(CZ619="ap时",CZ619="ct时"),0,1)*(IF(DB619="减伤",$EW$64*(1-$EW$75))+IF(OR(DB619="加盾",AND(DB619="回血",OR(CZ619&lt;&gt;"切队",DF619=""))),1))+AR619*$EW$78/$EW$65+BW619+CF619</f>
        <v>12.091908671142855</v>
      </c>
      <c r="AA619" s="1103">
        <f t="shared" ref="AA619" si="1049">IF($P619="",0,BO619+BY619+CY619+AX619+CH619+DP619)</f>
        <v>7417.917892224531</v>
      </c>
      <c r="AB619" s="1101">
        <f t="shared" ref="AB619" si="1050">IF($P619="",0,BT619+CU619+BO619+CC619+DL619)</f>
        <v>7679.3612120048965</v>
      </c>
      <c r="AC619" s="1104">
        <f t="shared" ref="AC619" si="1051">_xlfn.FLOOR.MATH(IF($P619="","N/A",AB619/$EW$81)*1000)/1000</f>
        <v>8.8999999999999996E-2</v>
      </c>
      <c r="AD619" s="1105">
        <f t="shared" ref="AD619" si="1052">CS619+DJ619+EA619+EP619+IF(O619="sp",-0.05*FM$14*FM$15/2)+IF(O619="sk",0.05*FM$14*FM$15/2)+IF(O619="sk",FM$11^2/(3-FM$11)*FM$12)-IF(O619="sk",FM$10,FM$9)*IF(O619="sk",FM$18,FM$17)*($FM$14-DR619)</f>
        <v>2.1769318181818181E-2</v>
      </c>
      <c r="AE619" s="1128">
        <f t="shared" ref="AE619" si="1053">AD619/FM$18*FM$29+CT619+DK619+EB619+EQ619+IF(O619="sp",0.05*$FM$9*3*FM$26)-IF(O619="gd",0.05*$FM$9*3*FM$26)+IF(O619="sp",300*1/3*$FM$11/2)+IF(O619="sk",FM$11^2/(3-FM$11)*FM$13)+IF(F619="R",-100*IF(O619="sk",FM$10,FM$9))+IF(F619="SR",-50*IF(O619="sk",FM$10,FM$9))</f>
        <v>73.786957704745831</v>
      </c>
      <c r="AF619" s="1130">
        <f t="shared" ref="AF619" si="1054">IF(OR(DQ619="回血",DQ619="加盾"),EN619/EL619*3*2*IF(EG619=0.11,$EW$71,$EW$70)+DY619/DW619*3*2*IF(DR619=0.11,$EW$71,$EW$70)+IF(O619="gd",AR619*0.05)+IF(OR(CK619="回血",CK619="加盾"),-(CR619-CP619)*6)+IF(AND(CI619="切队",CO619=""),CP619/$EW$79*$EW$65*2),0)</f>
        <v>0</v>
      </c>
      <c r="AG619" s="1097">
        <f t="shared" ref="AG619" si="1055">IF(OR(DQ619="回血",DQ619="加盾"),MAX($EW$64*$EW$65*IF(CK619="减伤",(1-IF(CI619="切队",IF(CO619&lt;&gt;"",MAX(CO619/$EW$79,1),0),1)*CR619),1)-$EW$62*0.3+$EX$17-AR619-(BW619+CF619)/$EW$78*$EW$65-IF(OR(CK619="回血",CK619="加盾"),IF(CI619="切队",IF(CO619&lt;&gt;"",MAX(CO619/$EW$79,1),0),1)*CR619*$EW$65),0),0)</f>
        <v>0</v>
      </c>
      <c r="AH619" s="1097">
        <f t="shared" ref="AH619" si="1056">IFERROR(AG619/AF619,0)</f>
        <v>0</v>
      </c>
      <c r="AI619" s="1097">
        <f t="shared" ref="AI619" si="1057">IF(OR(DQ619="回血",DQ619="加盾"),$EW$26*(1-$EW$66)/$EW$66-AH619*(($EW$26*IF(O619="sk",14/3-8/3*$EW$68,5-3*$EW$68)-2*3*Q619*$EW$69)/$EW$66)/$EW$65+($EW$26/3+$EW$26/$EW$24*0.05+$EW$61*4*$EW$26*$EX$5/$EX$11+$EW$28)-($EW$72-W619),0)</f>
        <v>0</v>
      </c>
      <c r="AJ619" s="1097">
        <f t="shared" ref="AJ619" si="1058">IF(OR(DQ619="回血",DQ619="加盾"),V619,0)</f>
        <v>0</v>
      </c>
      <c r="AK619" s="1129">
        <f t="shared" ref="AK619" si="1059">IFERROR(AI619-AJ619,"")</f>
        <v>0</v>
      </c>
      <c r="AL619" s="1042">
        <f>IF($P619="","N/A",(IF($P619=-1,INDEX('卡片raw data'!S:S,MATCH($D619,'卡片raw data'!$F:$F,)),0)+IF($P619=0,INDEX('卡片raw data'!V:V,MATCH($D619,'卡片raw data'!$F:$F,)),0)+IF($P619=1,INDEX('卡片raw data'!Y:Y,MATCH($D619,'卡片raw data'!$F:$F,)),0)+IF($P619=2,INDEX('卡片raw data'!AB:AB,MATCH($D619,'卡片raw data'!$F:$F,)),0)+IF($P619=3,INDEX('卡片raw data'!AE:AE,MATCH($D619,'卡片raw data'!$F:$F,)),0)+IF($P619=4,INDEX('卡片raw data'!AH:AH,MATCH($D619,'卡片raw data'!$F:$F,)),0)+IF($P619=5,INDEX('卡片raw data'!AK:AK,MATCH($D619,'卡片raw data'!$F:$F,)),0)+INDEX('卡片raw data'!S:S,MATCH($D619,'卡片raw data'!$F:$F,))*(IF($F619="UR",0.04,0.033))*(IF($F619="UR",INDEX(绊状态确认!$S:$S,MATCH($G619,绊状态确认!$B:$B,))/2-40)+IF($F619="SR",INDEX(绊状态确认!$R:$R,MATCH($G619,绊状态确认!$B:$B,))/4-15))+IF($F619="R",INDEX(绊状态确认!$Q:$Q,MATCH($G619,绊状态确认!$B:$B,))/6-40/6)))*(INDEX(绊状态确认!$H:$H,MATCH($G619,绊状态确认!$B:$B,))+INDEX(绊状态确认!J:J,MATCH($G619,绊状态确认!$B:$B,)))</f>
        <v>13236.787199999999</v>
      </c>
      <c r="AM619" s="1035">
        <f>IF($P619="","N/A",(IF($P619=-1,INDEX('卡片raw data'!T:T,MATCH($D619,'卡片raw data'!$F:$F,)),0)+IF($P619=0,INDEX('卡片raw data'!W:W,MATCH($D619,'卡片raw data'!$F:$F,)),0)+IF($P619=1,INDEX('卡片raw data'!Z:Z,MATCH($D619,'卡片raw data'!$F:$F,)),0)+IF($P619=2,INDEX('卡片raw data'!AC:AC,MATCH($D619,'卡片raw data'!$F:$F,)),0)+IF($P619=3,INDEX('卡片raw data'!AF:AF,MATCH($D619,'卡片raw data'!$F:$F,)),0)+IF($P619=4,INDEX('卡片raw data'!AI:AI,MATCH($D619,'卡片raw data'!$F:$F,)),0)+IF($P619=5,INDEX('卡片raw data'!AL:AL,MATCH($D619,'卡片raw data'!$F:$F,)),0)+INDEX('卡片raw data'!T:T,MATCH($D619,'卡片raw data'!$F:$F,))*(IF($F619="UR",0.04,0.033))*(IF($F619="UR",INDEX(绊状态确认!$S:$S,MATCH($G619,绊状态确认!$B:$B,))/2-40)+IF($F619="SR",INDEX(绊状态确认!$R:$R,MATCH($G619,绊状态确认!$B:$B,))/4-15))+IF($F619="R",INDEX(绊状态确认!$Q:$Q,MATCH($G619,绊状态确认!$B:$B,))/6-40/6)))*(INDEX(绊状态确认!$H:$H,MATCH($G619,绊状态确认!$B:$B,))+INDEX(绊状态确认!K:K,MATCH($G619,绊状态确认!$B:$B,)))</f>
        <v>6287.0193599999984</v>
      </c>
      <c r="AN619" s="1043">
        <f>IF($P619="","N/A",(IF($P619=-1,INDEX('卡片raw data'!U:U,MATCH($D619,'卡片raw data'!$F:$F,)),0)+IF($P619=0,INDEX('卡片raw data'!X:X,MATCH($D619,'卡片raw data'!$F:$F,)),0)+IF($P619=1,INDEX('卡片raw data'!AA:AA,MATCH($D619,'卡片raw data'!$F:$F,)),0)+IF($P619=2,INDEX('卡片raw data'!AD:AD,MATCH($D619,'卡片raw data'!$F:$F,)),0)+IF($P619=3,INDEX('卡片raw data'!AG:AG,MATCH($D619,'卡片raw data'!$F:$F,)),0)+IF($P619=4,INDEX('卡片raw data'!AJ:AJ,MATCH($D619,'卡片raw data'!$F:$F,)),0)+IF($P619=5,INDEX('卡片raw data'!AM:AM,MATCH($D619,'卡片raw data'!$F:$F,)),0)+INDEX('卡片raw data'!U:U,MATCH($D619,'卡片raw data'!$F:$F,))*(IF($F619="UR",0.04,0.033))*(IF($F619="UR",INDEX(绊状态确认!$S:$S,MATCH($G619,绊状态确认!$B:$B,))/2-40)+IF($F619="SR",INDEX(绊状态确认!$R:$R,MATCH($G619,绊状态确认!$B:$B,))/4-15))+IF($F619="R",INDEX(绊状态确认!$Q:$Q,MATCH($G619,绊状态确认!$B:$B,))/6-40/6)))*(INDEX(绊状态确认!$H:$H,MATCH($G619,绊状态确认!$B:$B,))+INDEX(绊状态确认!L:L,MATCH($G619,绊状态确认!$B:$B,)))</f>
        <v>13567.025039999999</v>
      </c>
      <c r="AO619" s="1167">
        <f t="shared" ref="AO619:AO620" si="1060">IF(OR($FE$5=C619,$FE$5="全"),1,0)</f>
        <v>1</v>
      </c>
      <c r="AP619" s="1044">
        <f>1+(INDEX(绊状态确认!$T:$T,MATCH($G619,绊状态确认!$B:$B,))+0.2)*$AO619</f>
        <v>1.3</v>
      </c>
      <c r="AQ619" s="1035">
        <f t="shared" ref="AQ619" si="1061">(AL619*(1+$EX$8)+$EX$34)*(1+$EW$15)*IF(AO619=0,1-$FE$6,1)*IF(AO619=1,1+$FE$7,1)*IF(O619="vo",1+$FE$8,1)*IF(O619="gd",1+$FE$9,1)*IF(O619="sp",1+$FE$10,1)*IF(O619="sk",1+$FE$11,1)*IF(I619=$FF$12,1+$FE$12,1)*IF(I619=$FF$13,1,1-$FE$13)*IF(I619=$FF$14,1+$FE$14,1)*IF(J619=$FF$16,1+$FE$16,1)*IF(J619=$FF$17,1+$FE$17,1)*IF(K619=$FF$18,1+$FE$18,1)*(1+$FE$15)</f>
        <v>37996.566399999996</v>
      </c>
      <c r="AR619" s="1035">
        <f>(AM619*(1+$EX$9)+$EX$35)*(1+(INDEX(绊状态确认!$T:$T,MATCH($G619,绊状态确认!$B:$B,))+0.2)*AO619)*IF(J619=$FF$17,1+$FE$17,1)*IF(I619=$FF$14,1+$FE$14,1)</f>
        <v>11285.781426399999</v>
      </c>
      <c r="AS619" s="1035">
        <f>(AN619*(1+$EX$10)+$EX$36)*(1+(INDEX(绊状态确认!$T:$T,MATCH($G619,绊状态确认!$B:$B,))+0.2)*AO619)*IF(J619=$FF$17,1+$FE$17,1)*IF(I619=$FF$14,1+$FE$14,1)</f>
        <v>24338.702434799998</v>
      </c>
      <c r="AT619" s="1165">
        <f>IF(AND(INDEX('卡片raw data'!AK:AK,MATCH($D619,'卡片raw data'!$F:$F,))&lt;INDEX('卡片raw data'!AM:AM,MATCH($D619,'卡片raw data'!$F:$F,)),INDEX('卡片raw data'!AL:AL,MATCH($D619,'卡片raw data'!$F:$F,))&lt;INDEX('卡片raw data'!AM:AM,MATCH($D619,'卡片raw data'!$F:$F,))),1,0)</f>
        <v>1</v>
      </c>
      <c r="AU619" s="1031">
        <f>MIN(AT619*0.15+AS619*0.00003+INDEX(绊状态确认!M:M,MATCH($G619,绊状态确认!$B:$B,)),1)</f>
        <v>0.91016107304399996</v>
      </c>
      <c r="AV619" s="1045">
        <f>(INDEX(绊状态确认!$N:$N,MATCH($G619,绊状态确认!$B:$B,))+1.5)*$EW$21</f>
        <v>2.6599999999999997</v>
      </c>
      <c r="AW619" s="1038">
        <f t="shared" ref="AW619" si="1062">AQ619*(1+(AV619-1)*AU619)*(AP619)*(1+EW$25)*EW$66/3*$EW$24</f>
        <v>49547.927284308069</v>
      </c>
      <c r="AX619" s="1035">
        <f t="shared" ref="AX619" si="1063">$EW$26*(HP($EW$62,$EW$65,$EW$64-AR619*$EW$78/$EW$65)/$EW$66-1)</f>
        <v>964.81984896645827</v>
      </c>
      <c r="AY619" s="483">
        <f t="shared" ref="AY619" si="1064">AW619+AX619</f>
        <v>50512.747133274526</v>
      </c>
      <c r="AZ619" s="1106">
        <f t="shared" ref="AZ619" si="1065">(AL619*(1+$FB$8)+$FB$34)*IF(AO619=0,1-$FE$6,1)*IF(AO619=1,1+$FE$7,1)*IF(O619="vo",1+$FE$8,1)*IF(O619="gd",1+$FE$9,1)*IF(O619="sp",1+$FE$10,1)*IF(O619="sk",1+$FE$11,1)*IF(I619=$FF$12,1+$FE$12,1)*IF(I619=$FF$13,1,1-$FE$13)*IF(I619=$FF$14,1+$FE$14,1)*IF(J619=$FF$16,1+$FE$16,1)*IF(J619=$FF$17,1+$FE$17,1)*IF(K619=$FF$18,1+$FE$18,1)*(1+$FE$15)</f>
        <v>28411.735039999996</v>
      </c>
      <c r="BA619" s="1108">
        <f t="shared" ref="BA619" si="1066">AZ619*(1+$FA$15)</f>
        <v>34094.082047999997</v>
      </c>
      <c r="BB619" s="1035">
        <f>(AM619*(1+$FB$9)+$FB$35)*(1+(INDEX(绊状态确认!$T:$T,MATCH($G619,绊状态确认!$B:$B,))+0.2)*AO619)*IF(J619=$FF$17,1+$FE$17,1)*IF(I619=$FF$14,1+$FE$14,1)*(1+$FE$15)</f>
        <v>11285.781426399999</v>
      </c>
      <c r="BC619" s="1035">
        <f>(AN619*(1+$FB$10)+$FB$36)*(1+(INDEX(绊状态确认!$T:$T,MATCH($G619,绊状态确认!$B:$B,))+0.2)*AO619)*IF(J619=$FF$17,1+$FE$17,1)*IF(I619=$FF$14,1+$FE$14,1)*(1+$FE$15)</f>
        <v>24338.702434799998</v>
      </c>
      <c r="BD619" s="481">
        <f>MIN(AT619*0.15+BC619*0.00003+INDEX(绊状态确认!M:M,MATCH($G619,绊状态确认!$B:$B,)),1)</f>
        <v>0.91016107304399996</v>
      </c>
      <c r="BE619" s="1109">
        <f>(INDEX(绊状态确认!$N:$N,MATCH($G619,绊状态确认!$B:$B,))+1.5)</f>
        <v>1.9</v>
      </c>
      <c r="BF619" s="646">
        <f t="array" ref="BF619">SUMPRODUCT(IF(AZ619*AP619*$FI$16:$FI$23*$FA$22&gt;=$FI$24,$FI$24,AZ619*AP619*$FI$16:$FI$23*$FA$22),$FJ$16:$FJ$23)</f>
        <v>54565.902996479992</v>
      </c>
      <c r="BG619" s="1047">
        <f t="array" ref="BG619">SUMPRODUCT(IF(BE619*AZ619*AP619*$FI$16:$FI$23*$FA$22&gt;=$FI$24,$FI$24,BE619*AZ619*AP619*$FI$16:$FI$23*$FA$22),$FJ$16:$FJ$23)</f>
        <v>60000</v>
      </c>
      <c r="BH619" s="1046">
        <f t="shared" ref="BH619" si="1067">((1-$BD619)*BF619+$BD619*BG619)/3</f>
        <v>19837.268852076315</v>
      </c>
      <c r="BI619" s="1048">
        <f>IF(O619="vo",$EW$26/$EW$24*0.05,0)+IF(O619="sk",-$EW$26/$EW$24*(0.05-INDEX(绊状态确认!W:W,MATCH($G619,绊状态确认!$B:$B,)))+0.05*$EW$28,0)+IF(O619="sp",0.05*$EW$32*$EW$30*(1-$EW$33)-(0.05-INDEX(绊状态确认!V:V,MATCH($G619,绊状态确认!$B:$B,)))*$EW$28,0)+IF(O619="gd",-(0.05-INDEX(绊状态确认!X:X,MATCH($G619,绊状态确认!$B:$B,)))*$EW$32*$EW$30*(1-$EW$33),0)</f>
        <v>-6253.6726349699375</v>
      </c>
      <c r="BJ619" s="1097">
        <f>IF(O619="vo",0.05*(1-$FI$26)*$FA$24,0)+IF(O619="sk",-(0.05-INDEX(绊状态确认!W:W,MATCH($G619,绊状态确认!$B:$B,)))*(1-$FI$26)*$FA$24+0.05*$FA$26,0)+IF(O619="sp",0.05*$FA$32*$FA$27*(1-$FA$33)/$FA$30+0.05*$FA$29/$FA$69*$FA$27*(1-$FA$33)-(0.05-INDEX(绊状态确认!V:V,MATCH($G619,绊状态确认!$B:$B,)))*$FA$26,0)+IF(O619="gd",-(0.05-INDEX(绊状态确认!X:X,MATCH($G619,绊状态确认!$B:$B,)))*$FA$32*$FA$27*(1-$FA$33)/$FA$30-(0.05-INDEX(绊状态确认!X:X,MATCH($G619,绊状态确认!$B:$B,)))*$FA$29/$FA$69*$FA$27*(1-$FA$33),0)</f>
        <v>20.459096812499922</v>
      </c>
      <c r="BK619" s="1046">
        <f>IF(O619="vo",$EW$26/$EW$24*0.05+$EW$26*(-HP($EW$62,$EW$65,$EW$64)+HP($EW$62,$EW$65,(1.05-INDEX(绊状态确认!U:U,MATCH($G619,绊状态确认!$B:$B,)))*$EW$64)),0)+IF(O619="sk",-$EW$26/$EW$24*(0.05-INDEX(绊状态确认!W:W,MATCH($G619,绊状态确认!$B:$B,)))+0.05*$EW$29,0)+IF(O619="sp",0.05*$EW$32*$EW$30*(1-$EW$33)-(0.05-INDEX(绊状态确认!V:V,MATCH($G619,绊状态确认!$B:$B,)))*$EW$29,0)+IF(O619="gd",-(0.05-INDEX(绊状态确认!X:X,MATCH($G619,绊状态确认!$B:$B,)))*$EW$32*$EW$30*(1-$EW$33)+$EW$26*(-HP($EW$62,$EW$65,$EW$64)+HP($EW$62,$EW$65,0.95*$EW$64)),0)</f>
        <v>-4253.6726349699375</v>
      </c>
      <c r="BL619" s="1048">
        <f t="shared" ref="BL619" si="1068">(IF(F619="UR",0)+IF(F619="SR",-1/4)+IF(F619="R",-1/2))*1/3*$EW$31/$EW$77*$EW$30</f>
        <v>0</v>
      </c>
      <c r="BM619" s="1046">
        <f t="shared" ref="BM619" si="1069">(IF(F619="UR",0)+IF(F619="SR",-1/4)+IF(F619="R",-1/2))*1/3*$FA$31/$FA$69*$FA$27</f>
        <v>0</v>
      </c>
      <c r="BN619" s="1167">
        <f t="shared" ref="BN619" si="1070">IF($P619="","N/A",IF(P619=-1,IF(OR(L619="fes卡",L619="party卡"),2,1),IF(F619="UR",IF(L619="party卡",4-IF(P619=0,1),IF(L619="fes卡",4,3)-IF(P619&gt;=4,0,1)))+IF(F619="SR",IF(P619&gt;=4,3,2))+IF(F619="R",2)))</f>
        <v>3</v>
      </c>
      <c r="BO619" s="1035">
        <f t="shared" si="828"/>
        <v>4507.7214871259994</v>
      </c>
      <c r="BP619" s="1043">
        <f t="shared" ref="BP619" si="1071">BN619*$FA$58*(1-$FI$26)*$FA$24*$FB$5/$FB$11</f>
        <v>221.34103209030098</v>
      </c>
      <c r="BQ619" s="1113" t="s">
        <v>134</v>
      </c>
      <c r="BR619" s="1124" t="s">
        <v>171</v>
      </c>
      <c r="BS619" s="1098">
        <f>IF($P619="","N/A",IF($P619=-1,INDEX('卡片raw data'!AX:AX,MATCH($D619,'卡片raw data'!$F:$F,)),0)+IF($L619="party卡",IF($P619=5,INDEX('卡片raw data'!BD:BD,MATCH($D619,'卡片raw data'!$F:$F,)),IF($P619&gt;=3,INDEX('卡片raw data'!BC:BC,MATCH($D619,'卡片raw data'!$F:$F,)),INDEX('卡片raw data'!BB:BB,MATCH($D619,'卡片raw data'!$F:$F,)))),IF(OR(AND($F619="UR",$P619=0),AND($F619="SR",$P619&gt;=0,$P619&lt;=2),AND($F619="R",$P619&gt;=0,$P619&lt;4)),INDEX('卡片raw data'!AZ:AZ,MATCH($D619,'卡片raw data'!$F:$F,)),0)+IF(OR(AND($F619="UR",$P619&gt;=1,$P619&lt;=4),AND($F619="SR",$P619&lt;=4,$P619&gt;=3),AND($F619="R",$P619=4)),INDEX('卡片raw data'!BA:BA,MATCH($D619,'卡片raw data'!$F:$F,)),0)+IF($P619=5,INDEX('卡片raw data'!BB:BB,MATCH($D619,'卡片raw data'!$F:$F,)),0)))</f>
        <v>5.1999999999999998E-2</v>
      </c>
      <c r="BT619" s="1101">
        <f t="shared" si="1031"/>
        <v>2452.5263374936467</v>
      </c>
      <c r="BU619" s="1097">
        <f t="shared" si="1032"/>
        <v>155.22419036436909</v>
      </c>
      <c r="BV619" s="1097">
        <f t="shared" si="1033"/>
        <v>1226.2631687468233</v>
      </c>
      <c r="BW619" s="1112">
        <f t="shared" si="1034"/>
        <v>0</v>
      </c>
      <c r="BX619" s="1100">
        <f t="shared" si="1035"/>
        <v>2452.5263374936467</v>
      </c>
      <c r="BY619" s="1110">
        <f t="shared" si="1036"/>
        <v>1226.2631687468233</v>
      </c>
      <c r="BZ619" s="1113" t="s">
        <v>569</v>
      </c>
      <c r="CA619" s="1124"/>
      <c r="CB619" s="1098">
        <f>IF($P619="","N/A",IF($P619=-1,INDEX('卡片raw data'!BE:BE,MATCH($D619,'卡片raw data'!$F:$F,)),0)+IF($L619="party卡",IF($P619=5,INDEX('卡片raw data'!BK:BK,MATCH($D619,'卡片raw data'!$F:$F,)),IF($P619&gt;=3,INDEX('卡片raw data'!BJ:BJ,MATCH($D619,'卡片raw data'!$F:$F,)),INDEX('卡片raw data'!BI:BI,MATCH($D619,'卡片raw data'!$F:$F,)))),IF(OR(AND($F619="UR",$P619=0),AND($F619="SR",$P619&gt;=0,$P619&lt;=2),AND($F619="R",$P619&gt;=0,$P619&lt;4)),INDEX('卡片raw data'!BG:BG,MATCH($D619,'卡片raw data'!$F:$F,)),0)+IF(OR(AND($F619="UR",$P619&gt;=1,$P619&lt;=4),AND($F619="SR",$P619&lt;=4,$P619&gt;=3),AND($F619="R",$P619=4)),INDEX('卡片raw data'!BH:BH,MATCH($D619,'卡片raw data'!$F:$F,)),0)+IF($P619=5,INDEX('卡片raw data'!BI:BI,MATCH($D619,'卡片raw data'!$F:$F,)),0)))</f>
        <v>0</v>
      </c>
      <c r="CC619" s="1101">
        <f t="shared" si="920"/>
        <v>0</v>
      </c>
      <c r="CD619" s="1097">
        <f>IF(BZ619="ap",CB619*(1-$FI$26)*$FB$5/$FB$11*(+IF(CA619="全员",$FA$24,0)+IF(CA619="同作战",$FA$24,0)+IF(CA619="仲间",$FA$24*2/3,0)+IF(CA619="同属性",$FA$24*$FA$37/3,0)+IF(CA619="同年级",$FA$24*$FA$40/3,0)+IF(CA619="同学校",$FA$24*$FA$43/3,0)+IF(CA619="同小队",$FA$24*$FA$46/3,0)+IF(CA619="同type",$FA$24*INDEX($FB$49:$FB$52,MATCH(X619,$FA$49:$FA$52,))/3,0)+IF(CA619="自身",#REF!/3,0)),0)+IF(BZ619="te",CB619*(1-$FI$27)*($FA$20-1)*$FB$7/$FB$13*(+IF(CA619="全员",$FA$19*$FA$24/(1+($FA$20-1)*$FA$19),0)+IF(CA619="同作战",$FA$19*$FA$24/(1+($FA$20-1)*$FA$19),0)+IF(CA619="仲间",$FA$19*$FA$24*2/3/(1+($FA$20-1)*$FA$19),0)+IF(CA619="同属性",$FA$19*$FA$24*$FA$37/3/(1+($FA$20-1)*$FA$19),0)+IF(CA619="同年级",$FA$19*$FA$24*$FA$40/3/(1+($FA$20-1)*$FA$19),0)+IF(CA619="同学校",$FA$19*$FA$24*$FA$43/3/(1+($FA$20-1)*$FA$19),0)+IF(CA619="同小队",$FA$19*$FA$24*$FA$46/3/(1+($FA$20-1)*$FA$19),0)+IF(CA619="同type",$FA$19*$FA$24*INDEX($FB$49:$FB$52,MATCH(X619,$FA$49:$FA$52,))/3/(1+($FA$20-1)*$FA$19),0)+IF(CA619="自身",$FA$19*#REF!/3/(1+(BH619-1)*$BD619),0)),0)</f>
        <v>0</v>
      </c>
      <c r="CE619" s="1097">
        <f t="shared" si="921"/>
        <v>0</v>
      </c>
      <c r="CF619" s="1112">
        <f t="shared" si="922"/>
        <v>0</v>
      </c>
      <c r="CG619" s="1100">
        <f t="shared" si="923"/>
        <v>0</v>
      </c>
      <c r="CH619" s="1110">
        <f t="shared" si="924"/>
        <v>0</v>
      </c>
      <c r="CI619" s="1113" t="s">
        <v>165</v>
      </c>
      <c r="CJ619" s="1114">
        <v>1</v>
      </c>
      <c r="CK619" s="1115" t="s">
        <v>551</v>
      </c>
      <c r="CL619" s="1115" t="s">
        <v>1947</v>
      </c>
      <c r="CM619" s="1119">
        <v>1.2E-2</v>
      </c>
      <c r="CN619" s="1115" t="s">
        <v>163</v>
      </c>
      <c r="CO619" s="1115"/>
      <c r="CP619" s="1118">
        <f t="shared" si="978"/>
        <v>1.2E-2</v>
      </c>
      <c r="CQ619" s="1118">
        <f t="shared" si="979"/>
        <v>1.2E-2</v>
      </c>
      <c r="CR619" s="1118">
        <f t="shared" si="980"/>
        <v>1.2E-2</v>
      </c>
      <c r="CS619" s="1118">
        <f t="shared" si="1037"/>
        <v>0</v>
      </c>
      <c r="CT619" s="1109">
        <f t="shared" si="1038"/>
        <v>0</v>
      </c>
      <c r="CU619" s="1101">
        <f t="shared" si="981"/>
        <v>719.11338738525012</v>
      </c>
      <c r="CV619" s="1108">
        <f t="shared" si="982"/>
        <v>0</v>
      </c>
      <c r="CW619" s="1097">
        <f t="shared" si="983"/>
        <v>719.11338738525012</v>
      </c>
      <c r="CX619" s="1097">
        <f t="shared" si="984"/>
        <v>719.11338738525012</v>
      </c>
      <c r="CY619" s="1110">
        <f t="shared" si="985"/>
        <v>719.11338738525012</v>
      </c>
      <c r="CZ619" s="1113"/>
      <c r="DA619" s="1114"/>
      <c r="DB619" s="1115" t="s">
        <v>569</v>
      </c>
      <c r="DC619" s="1115"/>
      <c r="DD619" s="1119"/>
      <c r="DE619" s="1092"/>
      <c r="DF619" s="1092"/>
      <c r="DG619" s="1116">
        <f t="shared" si="986"/>
        <v>0</v>
      </c>
      <c r="DH619" s="1116">
        <f t="shared" si="987"/>
        <v>0</v>
      </c>
      <c r="DI619" s="1116">
        <f t="shared" si="988"/>
        <v>0</v>
      </c>
      <c r="DJ619" s="1118">
        <f t="shared" si="989"/>
        <v>0</v>
      </c>
      <c r="DK619" s="1109">
        <f t="shared" si="990"/>
        <v>0</v>
      </c>
      <c r="DL619" s="1101">
        <f t="shared" si="991"/>
        <v>0</v>
      </c>
      <c r="DM619" s="1097">
        <f t="shared" si="992"/>
        <v>0</v>
      </c>
      <c r="DN619" s="1097">
        <f t="shared" si="993"/>
        <v>0</v>
      </c>
      <c r="DO619" s="1097">
        <f t="shared" si="994"/>
        <v>0</v>
      </c>
      <c r="DP619" s="1110">
        <f t="shared" si="995"/>
        <v>0</v>
      </c>
      <c r="DQ619" s="1113" t="s">
        <v>549</v>
      </c>
      <c r="DR619" s="1120">
        <f t="shared" si="927"/>
        <v>0.33</v>
      </c>
      <c r="DS619" s="1124"/>
      <c r="DT619" s="1093" t="s">
        <v>179</v>
      </c>
      <c r="DU619" s="1093"/>
      <c r="DV619" s="1098">
        <f>IF($P619="","N/A",IF(P619=-1,INDEX('卡片raw data'!AN:AN,MATCH(D619,'卡片raw data'!$F:$F,)),0)+IF(AND(L619&lt;&gt;"party卡",P619&lt;=2,P619&gt;=0),INDEX('卡片raw data'!AP:AP,MATCH(D619,'卡片raw data'!$F:$F,)),0)+IF(OR(AND(L619="party卡",P619&lt;=1),AND(P619&lt;=4,L619&lt;&gt;"party卡",P619&gt;=3)),INDEX('卡片raw data'!AQ:AQ,MATCH(D619,'卡片raw data'!$F:$F,)),0)+IF(OR(P619=5,AND(L619="party卡",P619&gt;=2)),INDEX('卡片raw data'!AR:AR,MATCH(D619,'卡片raw data'!$F:$F,)),0))</f>
        <v>0.08</v>
      </c>
      <c r="DW619" s="1098">
        <f t="shared" si="928"/>
        <v>0.33</v>
      </c>
      <c r="DX619" s="1098">
        <f t="shared" si="929"/>
        <v>0.33</v>
      </c>
      <c r="DY619" s="1098">
        <f t="shared" si="930"/>
        <v>8.8000000000000005E-3</v>
      </c>
      <c r="DZ619" s="1098">
        <f t="shared" si="931"/>
        <v>8.7538000000000008E-3</v>
      </c>
      <c r="EA619" s="1098">
        <f t="shared" si="932"/>
        <v>0</v>
      </c>
      <c r="EB619" s="1121">
        <f t="shared" si="933"/>
        <v>61.833199999999991</v>
      </c>
      <c r="EC619" s="1101">
        <f t="shared" si="934"/>
        <v>3960.0000000000005</v>
      </c>
      <c r="ED619" s="1097">
        <f t="shared" si="935"/>
        <v>2188.4500000000003</v>
      </c>
      <c r="EE619" s="1110">
        <f t="shared" si="996"/>
        <v>3960.0000000000005</v>
      </c>
      <c r="EF619" s="1115" t="s">
        <v>569</v>
      </c>
      <c r="EG619" s="1120">
        <f t="shared" si="936"/>
        <v>0.33</v>
      </c>
      <c r="EH619" s="1124"/>
      <c r="EI619" s="1093"/>
      <c r="EJ619" s="1093"/>
      <c r="EK619" s="1097">
        <f>IF($P619="","N/A",IF(P619=-1,INDEX('卡片raw data'!AS:AS,MATCH(D619,'卡片raw data'!$F:$F,)),0)+IF(AND(L619&lt;&gt;"party卡",P619&lt;=2,P619&gt;=0),INDEX('卡片raw data'!AU:AU,MATCH(D619,'卡片raw data'!$F:$F,)),0)+IF(OR(AND(L619="party卡",P619&lt;=1),AND(P619&lt;=4,L619&lt;&gt;"party卡",P619&gt;=3)),INDEX('卡片raw data'!AV:AV,MATCH(D619,'卡片raw data'!$F:$F,)),0)+IF(OR(P619=5,AND(L619="party卡",P619&gt;=2)),INDEX('卡片raw data'!AW:AW,MATCH(D619,'卡片raw data'!$F:$F,)),0))</f>
        <v>0</v>
      </c>
      <c r="EL619" s="1098">
        <f t="shared" si="937"/>
        <v>0.33</v>
      </c>
      <c r="EM619" s="1098">
        <f t="shared" si="938"/>
        <v>0.33</v>
      </c>
      <c r="EN619" s="1097">
        <f t="shared" si="939"/>
        <v>0</v>
      </c>
      <c r="EO619" s="1097">
        <f t="shared" si="940"/>
        <v>0</v>
      </c>
      <c r="EP619" s="1098">
        <f t="shared" si="941"/>
        <v>0</v>
      </c>
      <c r="EQ619" s="1121">
        <f t="shared" si="942"/>
        <v>0</v>
      </c>
      <c r="ER619" s="1101">
        <f t="shared" si="943"/>
        <v>0</v>
      </c>
      <c r="ES619" s="1097">
        <f t="shared" si="944"/>
        <v>0</v>
      </c>
      <c r="ET619" s="1122">
        <f t="shared" si="997"/>
        <v>0</v>
      </c>
    </row>
    <row r="620" spans="2:150" ht="16.5" customHeight="1">
      <c r="B620" s="1123" t="str">
        <f>INDEX('卡片raw data'!B:B,MATCH($D620,'卡片raw data'!$F:$F,))</f>
        <v>my舞千</v>
      </c>
      <c r="C620" s="1025" t="s">
        <v>5006</v>
      </c>
      <c r="D620" s="408">
        <v>617</v>
      </c>
      <c r="E620" s="1164">
        <v>401012007</v>
      </c>
      <c r="F620" s="1090" t="str">
        <f>INDEX('卡片raw data'!C:C,MATCH($D620,'卡片raw data'!$F:$F,))</f>
        <v>SR</v>
      </c>
      <c r="G620" s="1026" t="s">
        <v>5007</v>
      </c>
      <c r="H620" s="411">
        <f>IFERROR(INDEX(绊状态确认!C:C,MATCH($G620,绊状态确认!$B:$B,)),"")</f>
        <v>101</v>
      </c>
      <c r="I620" s="450" t="str">
        <f>IFERROR(INDEX(绊状态确认!D:D,MATCH($G620,绊状态确认!$B:$B,)),"")</f>
        <v>水</v>
      </c>
      <c r="J620" s="450" t="str">
        <f>IFERROR(INDEX(绊状态确认!E:E,MATCH($G620,绊状态确认!$B:$B,)),"")</f>
        <v>2年级</v>
      </c>
      <c r="K620" s="451" t="str">
        <f>IFERROR(INDEX(绊状态确认!F:F,MATCH($G620,绊状态确认!$B:$B,)),"")</f>
        <v>CYaRon!</v>
      </c>
      <c r="L620" s="1094" t="str">
        <f>INDEX('卡片raw data'!E:E,MATCH($D620,'卡片raw data'!$F:$F,))</f>
        <v>活动卡</v>
      </c>
      <c r="M620" s="1065">
        <v>44581</v>
      </c>
      <c r="N620" s="1027">
        <v>56</v>
      </c>
      <c r="O620" s="1091" t="str">
        <f>INDEX('卡片raw data'!D:D,MATCH($D620,'卡片raw data'!$F:$F,))</f>
        <v>sk</v>
      </c>
      <c r="P620" s="1028">
        <v>5</v>
      </c>
      <c r="Q620" s="1095">
        <f t="shared" ref="Q620" si="1072">IF($P620="",0,AW620+BI620+BO620+BT620+CU620+EC620+ER620+CC620+DL620+BL620)</f>
        <v>19269.081980001469</v>
      </c>
      <c r="R620" s="1096">
        <f t="shared" ref="R620" si="1073">_xlfn.FLOOR.MATH(IF($P620="","N/A",Q620/$EW$81)*1000)/1000</f>
        <v>0.224</v>
      </c>
      <c r="S620" s="1097">
        <f t="shared" ref="S620" si="1074">IF($P620="",0,BH620+BJ620+BP620+BU620+CV620+ED620+ES620+CD620+DM620+BM620)</f>
        <v>14842.590982268839</v>
      </c>
      <c r="T620" s="1098">
        <f t="shared" ref="T620" si="1075">_xlfn.FLOOR.MATH(IF($P620="","N/A",S620/($FI$24/3))*1000)/1000</f>
        <v>0.74199999999999999</v>
      </c>
      <c r="U620" s="1099">
        <f t="shared" ref="U620" si="1076">$EW$64*(IF(O620="vo",-0.05)+IF(O620="gd",0.05))+CP620*(IF(CK620="减伤",$EW$64*(1-$EW$75))+IF(OR(CK620="加盾",AND(CK620="回血",OR(CI620&lt;&gt;"切队",CO620=""))),1))+DG620*(IF(DB620="减伤",$EW$64*(1-$EW$75))+IF(OR(DB620="加盾",AND(DB620="回血",OR(CZ620&lt;&gt;"切队",DF620=""))),1))+AR620*$EW$78/$EW$65+BW620+CF620+DY620*(1+IF(O620="sk",0.05)+IF(O620="sp",-0.05))*(IF(DQ620="减伤",$EW$64*(1-$EW$75))+IF(OR(DQ620="回血",DQ620="加盾"),1))+EN620*(1+IF(O620="sk",0.05)+IF(O620="sp",-0.05))*(IF(EF620="减伤",$EW$64*(1-$EW$75))+IF(OR(EF620="回血",EF620="加盾"),1))</f>
        <v>476.38538103383416</v>
      </c>
      <c r="V620" s="1100">
        <f t="shared" ref="V620" si="1077">IF($P620="",0,AY620+BK620+BO620+BX620+CX620+EE620+ET620+CG620+DO620+BL620)</f>
        <v>70549.039705587216</v>
      </c>
      <c r="W620" s="1101">
        <f t="shared" ref="W620" si="1078">IF($P620="",0,BO620+BV620+CW620+CE620+DN620)</f>
        <v>4509.5242336714218</v>
      </c>
      <c r="X620" s="1096">
        <f t="shared" ref="X620" si="1079">_xlfn.FLOOR.MATH(IF($P620="","N/A",W620/$EW$81)*1000)/1000</f>
        <v>5.1999999999999998E-2</v>
      </c>
      <c r="Y620" s="1097">
        <f t="shared" ref="Y620" si="1080">IF($P620="",0,AA620-W620)</f>
        <v>844.92663596198963</v>
      </c>
      <c r="Z620" s="1102">
        <f t="shared" ref="Z620" si="1081">CP620*IF(OR(CI620="ap时",CI620="ct时"),0,1)*(IF(CK620="减伤",$EW$64*(1-$EW$75))+IF(OR(CK620="加盾",AND(CK620="回血",OR(CI620&lt;&gt;"切队",CO620=""))),1))+DG620*IF(OR(CZ620="ap时",CZ620="ct时"),0,1)*(IF(DB620="减伤",$EW$64*(1-$EW$75))+IF(OR(DB620="加盾",AND(DB620="回血",OR(CZ620&lt;&gt;"切队",DF620=""))),1))+AR620*$EW$78/$EW$65+BW620+CF620</f>
        <v>10.621228116552858</v>
      </c>
      <c r="AA620" s="1103">
        <f t="shared" ref="AA620" si="1082">IF($P620="",0,BO620+BY620+CY620+AX620+CH620+DP620)</f>
        <v>5354.4508696334115</v>
      </c>
      <c r="AB620" s="1101">
        <f t="shared" ref="AB620" si="1083">IF($P620="",0,BT620+CU620+BO620+CC620+DL620)</f>
        <v>4980.5831622485475</v>
      </c>
      <c r="AC620" s="1104">
        <f t="shared" ref="AC620" si="1084">_xlfn.FLOOR.MATH(IF($P620="","N/A",AB620/$EW$81)*1000)/1000</f>
        <v>5.7000000000000002E-2</v>
      </c>
      <c r="AD620" s="1105">
        <f t="shared" ref="AD620" si="1085">CS620+DJ620+EA620+EP620+IF(O620="sp",-0.05*FM$14*FM$15/2)+IF(O620="sk",0.05*FM$14*FM$15/2)+IF(O620="sk",FM$11^2/(3-FM$11)*FM$12)-IF(O620="sk",FM$10,FM$9)*IF(O620="sk",FM$18,FM$17)*($FM$14-DR620)</f>
        <v>1.8994224431818179E-2</v>
      </c>
      <c r="AE620" s="1128">
        <f t="shared" ref="AE620" si="1086">AD620/FM$18*FM$29+CT620+DK620+EB620+EQ620+IF(O620="sp",0.05*$FM$9*3*FM$26)-IF(O620="gd",0.05*$FM$9*3*FM$26)+IF(O620="sp",300*1/3*$FM$11/2)+IF(O620="sk",FM$11^2/(3-FM$11)*FM$13)+IF(F620="R",-100*IF(O620="sk",FM$10,FM$9))+IF(F620="SR",-50*IF(O620="sk",FM$10,FM$9))</f>
        <v>4.3537577047458456</v>
      </c>
      <c r="AF620" s="1130">
        <f t="shared" ref="AF620" si="1087">IF(OR(DQ620="回血",DQ620="加盾"),EN620/EL620*3*2*IF(EG620=0.11,$EW$71,$EW$70)+DY620/DW620*3*2*IF(DR620=0.11,$EW$71,$EW$70)+IF(O620="gd",AR620*0.05)+IF(OR(CK620="回血",CK620="加盾"),-(CR620-CP620)*6)+IF(AND(CI620="切队",CO620=""),CP620/$EW$79*$EW$65*2),0)</f>
        <v>7127.9505832332716</v>
      </c>
      <c r="AG620" s="1097">
        <f t="shared" ref="AG620" si="1088">IF(OR(DQ620="回血",DQ620="加盾"),MAX($EW$64*$EW$65*IF(CK620="减伤",(1-IF(CI620="切队",IF(CO620&lt;&gt;"",MAX(CO620/$EW$79,1),0),1)*CR620),1)-$EW$62*0.3+$EX$17-AR620-(BW620+CF620)/$EW$78*$EW$65-IF(OR(CK620="回血",CK620="加盾"),IF(CI620="切队",IF(CO620&lt;&gt;"",MAX(CO620/$EW$79,1),0),1)*CR620*$EW$65),0),0)</f>
        <v>106519.32875788401</v>
      </c>
      <c r="AH620" s="1097">
        <f t="shared" ref="AH620" si="1089">IFERROR(AG620/AF620,0)</f>
        <v>14.943892709980931</v>
      </c>
      <c r="AI620" s="1097">
        <f t="shared" ref="AI620" si="1090">IF(OR(DQ620="回血",DQ620="加盾"),$EW$26*(1-$EW$66)/$EW$66-AH620*(($EW$26*IF(O620="sk",14/3-8/3*$EW$68,5-3*$EW$68)-2*3*Q620*$EW$69)/$EW$66)/$EW$65+($EW$26/3+$EW$26/$EW$24*0.05+$EW$61*4*$EW$26*$EX$5/$EX$11+$EW$28)-($EW$72-W620),0)</f>
        <v>98489.918975390843</v>
      </c>
      <c r="AJ620" s="1097">
        <f t="shared" ref="AJ620" si="1091">IF(OR(DQ620="回血",DQ620="加盾"),V620,0)</f>
        <v>70549.039705587216</v>
      </c>
      <c r="AK620" s="1129">
        <f t="shared" ref="AK620" si="1092">IFERROR(AI620-AJ620,"")</f>
        <v>27940.879269803627</v>
      </c>
      <c r="AL620" s="1042">
        <f>IF($P620="","N/A",(IF($P620=-1,INDEX('卡片raw data'!S:S,MATCH($D620,'卡片raw data'!$F:$F,)),0)+IF($P620=0,INDEX('卡片raw data'!V:V,MATCH($D620,'卡片raw data'!$F:$F,)),0)+IF($P620=1,INDEX('卡片raw data'!Y:Y,MATCH($D620,'卡片raw data'!$F:$F,)),0)+IF($P620=2,INDEX('卡片raw data'!AB:AB,MATCH($D620,'卡片raw data'!$F:$F,)),0)+IF($P620=3,INDEX('卡片raw data'!AE:AE,MATCH($D620,'卡片raw data'!$F:$F,)),0)+IF($P620=4,INDEX('卡片raw data'!AH:AH,MATCH($D620,'卡片raw data'!$F:$F,)),0)+IF($P620=5,INDEX('卡片raw data'!AK:AK,MATCH($D620,'卡片raw data'!$F:$F,)),0)+INDEX('卡片raw data'!S:S,MATCH($D620,'卡片raw data'!$F:$F,))*(IF($F620="UR",0.04,0.033))*(IF($F620="UR",INDEX(绊状态确认!$S:$S,MATCH($G620,绊状态确认!$B:$B,))/2-40)+IF($F620="SR",INDEX(绊状态确认!$R:$R,MATCH($G620,绊状态确认!$B:$B,))/4-15))+IF($F620="R",INDEX(绊状态确认!$Q:$Q,MATCH($G620,绊状态确认!$B:$B,))/6-40/6)))*(INDEX(绊状态确认!$H:$H,MATCH($G620,绊状态确认!$B:$B,))+INDEX(绊状态确认!J:J,MATCH($G620,绊状态确认!$B:$B,)))</f>
        <v>7518.4155815999984</v>
      </c>
      <c r="AM620" s="1035">
        <f>IF($P620="","N/A",(IF($P620=-1,INDEX('卡片raw data'!T:T,MATCH($D620,'卡片raw data'!$F:$F,)),0)+IF($P620=0,INDEX('卡片raw data'!W:W,MATCH($D620,'卡片raw data'!$F:$F,)),0)+IF($P620=1,INDEX('卡片raw data'!Z:Z,MATCH($D620,'卡片raw data'!$F:$F,)),0)+IF($P620=2,INDEX('卡片raw data'!AC:AC,MATCH($D620,'卡片raw data'!$F:$F,)),0)+IF($P620=3,INDEX('卡片raw data'!AF:AF,MATCH($D620,'卡片raw data'!$F:$F,)),0)+IF($P620=4,INDEX('卡片raw data'!AI:AI,MATCH($D620,'卡片raw data'!$F:$F,)),0)+IF($P620=5,INDEX('卡片raw data'!AL:AL,MATCH($D620,'卡片raw data'!$F:$F,)),0)+INDEX('卡片raw data'!T:T,MATCH($D620,'卡片raw data'!$F:$F,))*(IF($F620="UR",0.04,0.033))*(IF($F620="UR",INDEX(绊状态确认!$S:$S,MATCH($G620,绊状态确认!$B:$B,))/2-40)+IF($F620="SR",INDEX(绊状态确认!$R:$R,MATCH($G620,绊状态确认!$B:$B,))/4-15))+IF($F620="R",INDEX(绊状态确认!$Q:$Q,MATCH($G620,绊状态确认!$B:$B,))/6-40/6)))*(INDEX(绊状态确认!$H:$H,MATCH($G620,绊状态确认!$B:$B,))+INDEX(绊状态确认!K:K,MATCH($G620,绊状态确认!$B:$B,)))</f>
        <v>5281.4258184</v>
      </c>
      <c r="AN620" s="1043">
        <f>IF($P620="","N/A",(IF($P620=-1,INDEX('卡片raw data'!U:U,MATCH($D620,'卡片raw data'!$F:$F,)),0)+IF($P620=0,INDEX('卡片raw data'!X:X,MATCH($D620,'卡片raw data'!$F:$F,)),0)+IF($P620=1,INDEX('卡片raw data'!AA:AA,MATCH($D620,'卡片raw data'!$F:$F,)),0)+IF($P620=2,INDEX('卡片raw data'!AD:AD,MATCH($D620,'卡片raw data'!$F:$F,)),0)+IF($P620=3,INDEX('卡片raw data'!AG:AG,MATCH($D620,'卡片raw data'!$F:$F,)),0)+IF($P620=4,INDEX('卡片raw data'!AJ:AJ,MATCH($D620,'卡片raw data'!$F:$F,)),0)+IF($P620=5,INDEX('卡片raw data'!AM:AM,MATCH($D620,'卡片raw data'!$F:$F,)),0)+INDEX('卡片raw data'!U:U,MATCH($D620,'卡片raw data'!$F:$F,))*(IF($F620="UR",0.04,0.033))*(IF($F620="UR",INDEX(绊状态确认!$S:$S,MATCH($G620,绊状态确认!$B:$B,))/2-40)+IF($F620="SR",INDEX(绊状态确认!$R:$R,MATCH($G620,绊状态确认!$B:$B,))/4-15))+IF($F620="R",INDEX(绊状态确认!$Q:$Q,MATCH($G620,绊状态确认!$B:$B,))/6-40/6)))*(INDEX(绊状态确认!$H:$H,MATCH($G620,绊状态确认!$B:$B,))+INDEX(绊状态确认!L:L,MATCH($G620,绊状态确认!$B:$B,)))</f>
        <v>7518.4155815999984</v>
      </c>
      <c r="AO620" s="1167">
        <f t="shared" ref="AO620:AO621" si="1093">IF(OR($FE$5=C620,$FE$5="全"),1,0)</f>
        <v>1</v>
      </c>
      <c r="AP620" s="1044">
        <f>1+(INDEX(绊状态确认!$T:$T,MATCH($G620,绊状态确认!$B:$B,))+0.2)*$AO620</f>
        <v>1.3</v>
      </c>
      <c r="AQ620" s="1035">
        <f t="shared" ref="AQ620" si="1094">(AL620*(1+$EX$8)+$EX$34)*(1+$EW$15)*IF(AO620=0,1-$FE$6,1)*IF(AO620=1,1+$FE$7,1)*IF(O620="vo",1+$FE$8,1)*IF(O620="gd",1+$FE$9,1)*IF(O620="sp",1+$FE$10,1)*IF(O620="sk",1+$FE$11,1)*IF(I620=$FF$12,1+$FE$12,1)*IF(I620=$FF$13,1,1-$FE$13)*IF(I620=$FF$14,1+$FE$14,1)*IF(J620=$FF$16,1+$FE$16,1)*IF(J620=$FF$17,1+$FE$17,1)*IF(K620=$FF$18,1+$FE$18,1)*(1+$FE$15)</f>
        <v>22985.840901699994</v>
      </c>
      <c r="AR620" s="1035">
        <f>(AM620*(1+$EX$9)+$EX$35)*(1+(INDEX(绊状态确认!$T:$T,MATCH($G620,绊状态确认!$B:$B,))+0.2)*AO620)*IF(J620=$FF$17,1+$FE$17,1)*IF(I620=$FF$14,1+$FE$14,1)</f>
        <v>9913.1462421160013</v>
      </c>
      <c r="AS620" s="1035">
        <f>(AN620*(1+$EX$10)+$EX$36)*(1+(INDEX(绊状态确认!$T:$T,MATCH($G620,绊状态确认!$B:$B,))+0.2)*AO620)*IF(J620=$FF$17,1+$FE$17,1)*IF(I620=$FF$14,1+$FE$14,1)</f>
        <v>15296.031294491997</v>
      </c>
      <c r="AT620" s="1165">
        <f>IF(AND(INDEX('卡片raw data'!AK:AK,MATCH($D620,'卡片raw data'!$F:$F,))&lt;INDEX('卡片raw data'!AM:AM,MATCH($D620,'卡片raw data'!$F:$F,)),INDEX('卡片raw data'!AL:AL,MATCH($D620,'卡片raw data'!$F:$F,))&lt;INDEX('卡片raw data'!AM:AM,MATCH($D620,'卡片raw data'!$F:$F,))),1,0)</f>
        <v>0</v>
      </c>
      <c r="AU620" s="1031">
        <f>MIN(AT620*0.15+AS620*0.00003+INDEX(绊状态确认!M:M,MATCH($G620,绊状态确认!$B:$B,)),1)</f>
        <v>0.48888093883475997</v>
      </c>
      <c r="AV620" s="1045">
        <f>(INDEX(绊状态确认!$N:$N,MATCH($G620,绊状态确认!$B:$B,))+1.5)*$EW$21</f>
        <v>2.6599999999999997</v>
      </c>
      <c r="AW620" s="1038">
        <f t="shared" ref="AW620" si="1095">AQ620*(1+(AV620-1)*AU620)*(AP620)*(1+EW$25)*EW$66/3*$EW$24</f>
        <v>21625.50478605619</v>
      </c>
      <c r="AX620" s="1035">
        <f t="shared" ref="AX620" si="1096">$EW$26*(HP($EW$62,$EW$65,$EW$64-AR620*$EW$78/$EW$65)/$EW$66-1)</f>
        <v>844.92663596198997</v>
      </c>
      <c r="AY620" s="483">
        <f t="shared" ref="AY620" si="1097">AW620+AX620</f>
        <v>22470.43142201818</v>
      </c>
      <c r="AZ620" s="1106">
        <f t="shared" ref="AZ620" si="1098">(AL620*(1+$FB$8)+$FB$34)*IF(AO620=0,1-$FE$6,1)*IF(AO620=1,1+$FE$7,1)*IF(O620="vo",1+$FE$8,1)*IF(O620="gd",1+$FE$9,1)*IF(O620="sp",1+$FE$10,1)*IF(O620="sk",1+$FE$11,1)*IF(I620=$FF$12,1+$FE$12,1)*IF(I620=$FF$13,1,1-$FE$13)*IF(I620=$FF$14,1+$FE$14,1)*IF(J620=$FF$16,1+$FE$16,1)*IF(J620=$FF$17,1+$FE$17,1)*IF(K620=$FF$18,1+$FE$18,1)*(1+$FE$15)</f>
        <v>17260.910384119998</v>
      </c>
      <c r="BA620" s="1108">
        <f t="shared" ref="BA620" si="1099">AZ620*(1+$FA$15)</f>
        <v>20713.092460943997</v>
      </c>
      <c r="BB620" s="1035">
        <f>(AM620*(1+$FB$9)+$FB$35)*(1+(INDEX(绊状态确认!$T:$T,MATCH($G620,绊状态确认!$B:$B,))+0.2)*AO620)*IF(J620=$FF$17,1+$FE$17,1)*IF(I620=$FF$14,1+$FE$14,1)*(1+$FE$15)</f>
        <v>9913.1462421160013</v>
      </c>
      <c r="BC620" s="1035">
        <f>(AN620*(1+$FB$10)+$FB$36)*(1+(INDEX(绊状态确认!$T:$T,MATCH($G620,绊状态确认!$B:$B,))+0.2)*AO620)*IF(J620=$FF$17,1+$FE$17,1)*IF(I620=$FF$14,1+$FE$14,1)*(1+$FE$15)</f>
        <v>15296.031294491997</v>
      </c>
      <c r="BD620" s="481">
        <f>MIN(AT620*0.15+BC620*0.00003+INDEX(绊状态确认!M:M,MATCH($G620,绊状态确认!$B:$B,)),1)</f>
        <v>0.48888093883475997</v>
      </c>
      <c r="BE620" s="1109">
        <f>(INDEX(绊状态确认!$N:$N,MATCH($G620,绊状态确认!$B:$B,))+1.5)</f>
        <v>1.9</v>
      </c>
      <c r="BF620" s="646">
        <f t="array" ref="BF620">SUMPRODUCT(IF(AZ620*AP620*$FI$16:$FI$23*$FA$22&gt;=$FI$24,$FI$24,AZ620*AP620*$FI$16:$FI$23*$FA$22),$FJ$16:$FJ$23)</f>
        <v>34331.950754014673</v>
      </c>
      <c r="BG620" s="1047">
        <f t="array" ref="BG620">SUMPRODUCT(IF(BE620*AZ620*AP620*$FI$16:$FI$23*$FA$22&gt;=$FI$24,$FI$24,BE620*AZ620*AP620*$FI$16:$FI$23*$FA$22),$FJ$16:$FJ$23)</f>
        <v>58596.257783851484</v>
      </c>
      <c r="BH620" s="1046">
        <f t="shared" ref="BH620" si="1100">((1-$BD620)*BF620+$BD620*BG620)/3</f>
        <v>15398.102651645386</v>
      </c>
      <c r="BI620" s="1048">
        <f>IF(O620="vo",$EW$26/$EW$24*0.05,0)+IF(O620="sk",-$EW$26/$EW$24*(0.05-INDEX(绊状态确认!W:W,MATCH($G620,绊状态确认!$B:$B,)))+0.05*$EW$28,0)+IF(O620="sp",0.05*$EW$32*$EW$30*(1-$EW$33)-(0.05-INDEX(绊状态确认!V:V,MATCH($G620,绊状态确认!$B:$B,)))*$EW$28,0)+IF(O620="gd",-(0.05-INDEX(绊状态确认!X:X,MATCH($G620,绊状态确认!$B:$B,)))*$EW$32*$EW$30*(1-$EW$33),0)</f>
        <v>-6253.6726349699375</v>
      </c>
      <c r="BJ620" s="1097">
        <f>IF(O620="vo",0.05*(1-$FI$26)*$FA$24,0)+IF(O620="sk",-(0.05-INDEX(绊状态确认!W:W,MATCH($G620,绊状态确认!$B:$B,)))*(1-$FI$26)*$FA$24+0.05*$FA$26,0)+IF(O620="sp",0.05*$FA$32*$FA$27*(1-$FA$33)/$FA$30+0.05*$FA$29/$FA$69*$FA$27*(1-$FA$33)-(0.05-INDEX(绊状态确认!V:V,MATCH($G620,绊状态确认!$B:$B,)))*$FA$26,0)+IF(O620="gd",-(0.05-INDEX(绊状态确认!X:X,MATCH($G620,绊状态确认!$B:$B,)))*$FA$32*$FA$27*(1-$FA$33)/$FA$30-(0.05-INDEX(绊状态确认!X:X,MATCH($G620,绊状态确认!$B:$B,)))*$FA$29/$FA$69*$FA$27*(1-$FA$33),0)</f>
        <v>20.459096812499922</v>
      </c>
      <c r="BK620" s="1046">
        <f>IF(O620="vo",$EW$26/$EW$24*0.05+$EW$26*(-HP($EW$62,$EW$65,$EW$64)+HP($EW$62,$EW$65,(1.05-INDEX(绊状态确认!U:U,MATCH($G620,绊状态确认!$B:$B,)))*$EW$64)),0)+IF(O620="sk",-$EW$26/$EW$24*(0.05-INDEX(绊状态确认!W:W,MATCH($G620,绊状态确认!$B:$B,)))+0.05*$EW$29,0)+IF(O620="sp",0.05*$EW$32*$EW$30*(1-$EW$33)-(0.05-INDEX(绊状态确认!V:V,MATCH($G620,绊状态确认!$B:$B,)))*$EW$29,0)+IF(O620="gd",-(0.05-INDEX(绊状态确认!X:X,MATCH($G620,绊状态确认!$B:$B,)))*$EW$32*$EW$30*(1-$EW$33)+$EW$26*(-HP($EW$62,$EW$65,$EW$64)+HP($EW$62,$EW$65,0.95*$EW$64)),0)</f>
        <v>-4253.6726349699375</v>
      </c>
      <c r="BL620" s="1048">
        <f t="shared" ref="BL620" si="1101">(IF(F620="UR",0)+IF(F620="SR",-1/4)+IF(F620="R",-1/2))*1/3*$EW$31/$EW$77*$EW$30</f>
        <v>-1083.3333333333333</v>
      </c>
      <c r="BM620" s="1046">
        <f t="shared" ref="BM620" si="1102">(IF(F620="UR",0)+IF(F620="SR",-1/4)+IF(F620="R",-1/2))*1/3*$FA$31/$FA$69*$FA$27</f>
        <v>-830.55555555555543</v>
      </c>
      <c r="BN620" s="1167">
        <f t="shared" ref="BN620" si="1103">IF($P620="","N/A",IF(P620=-1,IF(OR(L620="fes卡",L620="party卡"),2,1),IF(F620="UR",IF(L620="party卡",4-IF(P620=0,1),IF(L620="fes卡",4,3)-IF(P620&gt;=4,0,1)))+IF(F620="SR",IF(P620&gt;=4,3,2))+IF(F620="R",2)))</f>
        <v>3</v>
      </c>
      <c r="BO620" s="1035">
        <f t="shared" si="828"/>
        <v>4507.7214871259994</v>
      </c>
      <c r="BP620" s="1043">
        <f t="shared" ref="BP620" si="1104">BN620*$FA$58*(1-$FI$26)*$FA$24*$FB$5/$FB$11</f>
        <v>221.34103209030098</v>
      </c>
      <c r="BQ620" s="1167" t="s">
        <v>1941</v>
      </c>
      <c r="BR620" s="1124" t="s">
        <v>166</v>
      </c>
      <c r="BS620" s="1098">
        <f>IF($P620="","N/A",IF($P620=-1,INDEX('卡片raw data'!AX:AX,MATCH($D620,'卡片raw data'!$F:$F,)),0)+IF($L620="party卡",IF($P620=5,INDEX('卡片raw data'!BD:BD,MATCH($D620,'卡片raw data'!$F:$F,)),IF($P620&gt;=3,INDEX('卡片raw data'!BC:BC,MATCH($D620,'卡片raw data'!$F:$F,)),INDEX('卡片raw data'!BB:BB,MATCH($D620,'卡片raw data'!$F:$F,)))),IF(OR(AND($F620="UR",$P620=0),AND($F620="SR",$P620&gt;=0,$P620&lt;=2),AND($F620="R",$P620&gt;=0,$P620&lt;4)),INDEX('卡片raw data'!AZ:AZ,MATCH($D620,'卡片raw data'!$F:$F,)),0)+IF(OR(AND($F620="UR",$P620&gt;=1,$P620&lt;=4),AND($F620="SR",$P620&lt;=4,$P620&gt;=3),AND($F620="R",$P620=4)),INDEX('卡片raw data'!BA:BA,MATCH($D620,'卡片raw data'!$F:$F,)),0)+IF($P620=5,INDEX('卡片raw data'!BB:BB,MATCH($D620,'卡片raw data'!$F:$F,)),0)))</f>
        <v>7.0000000000000007E-2</v>
      </c>
      <c r="BT620" s="1101">
        <f t="shared" si="1031"/>
        <v>471.05892857712627</v>
      </c>
      <c r="BU620" s="1097">
        <f t="shared" si="1032"/>
        <v>30.694418727124898</v>
      </c>
      <c r="BV620" s="1097">
        <f t="shared" si="1033"/>
        <v>0</v>
      </c>
      <c r="BW620" s="1112">
        <f t="shared" si="1034"/>
        <v>0</v>
      </c>
      <c r="BX620" s="1100">
        <f t="shared" si="1035"/>
        <v>471.05892857712627</v>
      </c>
      <c r="BY620" s="1110">
        <f t="shared" si="1036"/>
        <v>0</v>
      </c>
      <c r="BZ620" s="1113" t="s">
        <v>569</v>
      </c>
      <c r="CA620" s="1124"/>
      <c r="CB620" s="1098">
        <f>IF($P620="","N/A",IF($P620=-1,INDEX('卡片raw data'!BE:BE,MATCH($D620,'卡片raw data'!$F:$F,)),0)+IF($L620="party卡",IF($P620=5,INDEX('卡片raw data'!BK:BK,MATCH($D620,'卡片raw data'!$F:$F,)),IF($P620&gt;=3,INDEX('卡片raw data'!BJ:BJ,MATCH($D620,'卡片raw data'!$F:$F,)),INDEX('卡片raw data'!BI:BI,MATCH($D620,'卡片raw data'!$F:$F,)))),IF(OR(AND($F620="UR",$P620=0),AND($F620="SR",$P620&gt;=0,$P620&lt;=2),AND($F620="R",$P620&gt;=0,$P620&lt;4)),INDEX('卡片raw data'!BG:BG,MATCH($D620,'卡片raw data'!$F:$F,)),0)+IF(OR(AND($F620="UR",$P620&gt;=1,$P620&lt;=4),AND($F620="SR",$P620&lt;=4,$P620&gt;=3),AND($F620="R",$P620=4)),INDEX('卡片raw data'!BH:BH,MATCH($D620,'卡片raw data'!$F:$F,)),0)+IF($P620=5,INDEX('卡片raw data'!BI:BI,MATCH($D620,'卡片raw data'!$F:$F,)),0)))</f>
        <v>0</v>
      </c>
      <c r="CC620" s="1101">
        <f t="shared" si="920"/>
        <v>0</v>
      </c>
      <c r="CD620" s="1097">
        <f>IF(BZ620="ap",CB620*(1-$FI$26)*$FB$5/$FB$11*(+IF(CA620="全员",$FA$24,0)+IF(CA620="同作战",$FA$24,0)+IF(CA620="仲间",$FA$24*2/3,0)+IF(CA620="同属性",$FA$24*$FA$37/3,0)+IF(CA620="同年级",$FA$24*$FA$40/3,0)+IF(CA620="同学校",$FA$24*$FA$43/3,0)+IF(CA620="同小队",$FA$24*$FA$46/3,0)+IF(CA620="同type",$FA$24*INDEX($FB$49:$FB$52,MATCH(X620,$FA$49:$FA$52,))/3,0)+IF(CA620="自身",#REF!/3,0)),0)+IF(BZ620="te",CB620*(1-$FI$27)*($FA$20-1)*$FB$7/$FB$13*(+IF(CA620="全员",$FA$19*$FA$24/(1+($FA$20-1)*$FA$19),0)+IF(CA620="同作战",$FA$19*$FA$24/(1+($FA$20-1)*$FA$19),0)+IF(CA620="仲间",$FA$19*$FA$24*2/3/(1+($FA$20-1)*$FA$19),0)+IF(CA620="同属性",$FA$19*$FA$24*$FA$37/3/(1+($FA$20-1)*$FA$19),0)+IF(CA620="同年级",$FA$19*$FA$24*$FA$40/3/(1+($FA$20-1)*$FA$19),0)+IF(CA620="同学校",$FA$19*$FA$24*$FA$43/3/(1+($FA$20-1)*$FA$19),0)+IF(CA620="同小队",$FA$19*$FA$24*$FA$46/3/(1+($FA$20-1)*$FA$19),0)+IF(CA620="同type",$FA$19*$FA$24*INDEX($FB$49:$FB$52,MATCH(X620,$FA$49:$FA$52,))/3/(1+($FA$20-1)*$FA$19),0)+IF(CA620="自身",$FA$19*#REF!/3/(1+(BH620-1)*$BD620),0)),0)</f>
        <v>0</v>
      </c>
      <c r="CE620" s="1097">
        <f t="shared" si="921"/>
        <v>0</v>
      </c>
      <c r="CF620" s="1112">
        <f t="shared" si="922"/>
        <v>0</v>
      </c>
      <c r="CG620" s="1100">
        <f t="shared" si="923"/>
        <v>0</v>
      </c>
      <c r="CH620" s="1110">
        <f t="shared" si="924"/>
        <v>0</v>
      </c>
      <c r="CI620" s="1113" t="s">
        <v>170</v>
      </c>
      <c r="CJ620" s="1168">
        <v>0.15</v>
      </c>
      <c r="CK620" s="1115" t="s">
        <v>2046</v>
      </c>
      <c r="CL620" s="1115" t="s">
        <v>1941</v>
      </c>
      <c r="CM620" s="1166">
        <v>0.2</v>
      </c>
      <c r="CN620" s="1169"/>
      <c r="CO620" s="1169"/>
      <c r="CP620" s="1116">
        <f t="shared" si="978"/>
        <v>1.6388604958384281</v>
      </c>
      <c r="CQ620" s="1116">
        <f t="shared" si="979"/>
        <v>2.5493385490819995</v>
      </c>
      <c r="CR620" s="1116">
        <f t="shared" si="980"/>
        <v>1.6388604958384281</v>
      </c>
      <c r="CS620" s="1118">
        <f t="shared" si="1037"/>
        <v>0</v>
      </c>
      <c r="CT620" s="1109">
        <f t="shared" si="1038"/>
        <v>0</v>
      </c>
      <c r="CU620" s="1101">
        <f t="shared" si="981"/>
        <v>1.8027465454222711</v>
      </c>
      <c r="CV620" s="1108">
        <f t="shared" si="982"/>
        <v>2.5493385490819995</v>
      </c>
      <c r="CW620" s="1097">
        <f t="shared" si="983"/>
        <v>1.8027465454222711</v>
      </c>
      <c r="CX620" s="1097">
        <f t="shared" si="984"/>
        <v>1.8027465454222711</v>
      </c>
      <c r="CY620" s="1110">
        <f t="shared" si="985"/>
        <v>1.8027465454222711</v>
      </c>
      <c r="CZ620" s="1113"/>
      <c r="DA620" s="1114"/>
      <c r="DB620" s="1115" t="s">
        <v>569</v>
      </c>
      <c r="DC620" s="1115"/>
      <c r="DD620" s="1119"/>
      <c r="DE620" s="1092"/>
      <c r="DF620" s="1092"/>
      <c r="DG620" s="1116">
        <f t="shared" si="986"/>
        <v>0</v>
      </c>
      <c r="DH620" s="1116">
        <f t="shared" si="987"/>
        <v>0</v>
      </c>
      <c r="DI620" s="1116">
        <f t="shared" si="988"/>
        <v>0</v>
      </c>
      <c r="DJ620" s="1118">
        <f t="shared" si="989"/>
        <v>0</v>
      </c>
      <c r="DK620" s="1109">
        <f t="shared" si="990"/>
        <v>0</v>
      </c>
      <c r="DL620" s="1101">
        <f t="shared" si="991"/>
        <v>0</v>
      </c>
      <c r="DM620" s="1097">
        <f t="shared" si="992"/>
        <v>0</v>
      </c>
      <c r="DN620" s="1097">
        <f t="shared" si="993"/>
        <v>0</v>
      </c>
      <c r="DO620" s="1097">
        <f t="shared" si="994"/>
        <v>0</v>
      </c>
      <c r="DP620" s="1110">
        <f t="shared" si="995"/>
        <v>0</v>
      </c>
      <c r="DQ620" s="1167" t="s">
        <v>2305</v>
      </c>
      <c r="DR620" s="1120">
        <f>IF(F620="UR",0.33,0.3)</f>
        <v>0.3</v>
      </c>
      <c r="DS620" s="1165"/>
      <c r="DT620" s="1093" t="s">
        <v>134</v>
      </c>
      <c r="DU620" s="1165"/>
      <c r="DV620" s="1098">
        <f>IF($P620="","N/A",IF(P620=-1,INDEX('卡片raw data'!AN:AN,MATCH(D620,'卡片raw data'!$F:$F,)),0)+IF(AND(L620&lt;&gt;"party卡",P620&lt;=2,P620&gt;=0),INDEX('卡片raw data'!AP:AP,MATCH(D620,'卡片raw data'!$F:$F,)),0)+IF(OR(AND(L620="party卡",P620&lt;=1),AND(P620&lt;=4,L620&lt;&gt;"party卡",P620&gt;=3)),INDEX('卡片raw data'!AQ:AQ,MATCH(D620,'卡片raw data'!$F:$F,)),0)+IF(OR(P620=5,AND(L620="party卡",P620&gt;=2)),INDEX('卡片raw data'!AR:AR,MATCH(D620,'卡片raw data'!$F:$F,)),0))</f>
        <v>0.28999999999999998</v>
      </c>
      <c r="DW620" s="1098">
        <f t="shared" si="928"/>
        <v>0.3</v>
      </c>
      <c r="DX620" s="1098">
        <f t="shared" si="929"/>
        <v>0.3</v>
      </c>
      <c r="DY620" s="1097">
        <f t="shared" si="930"/>
        <v>443.58490754026792</v>
      </c>
      <c r="DZ620" s="1097">
        <f t="shared" si="931"/>
        <v>383.70094502233172</v>
      </c>
      <c r="EA620" s="1098">
        <f t="shared" si="932"/>
        <v>0</v>
      </c>
      <c r="EB620" s="1121">
        <f t="shared" si="933"/>
        <v>0</v>
      </c>
      <c r="EC620" s="1101">
        <f t="shared" si="934"/>
        <v>0</v>
      </c>
      <c r="ED620" s="1097">
        <f t="shared" si="935"/>
        <v>0</v>
      </c>
      <c r="EE620" s="1110">
        <f t="shared" si="996"/>
        <v>48435.03108962375</v>
      </c>
      <c r="EF620" s="1113" t="s">
        <v>569</v>
      </c>
      <c r="EG620" s="1120">
        <f>IF(F620="UR",0.33,0.3)</f>
        <v>0.3</v>
      </c>
      <c r="EH620" s="1124"/>
      <c r="EI620" s="1124"/>
      <c r="EJ620" s="1124"/>
      <c r="EK620" s="1097">
        <f>IF($P620="","N/A",IF(P620=-1,INDEX('卡片raw data'!AS:AS,MATCH(D620,'卡片raw data'!$F:$F,)),0)+IF(AND(L620&lt;&gt;"party卡",P620&lt;=2,P620&gt;=0),INDEX('卡片raw data'!AU:AU,MATCH(D620,'卡片raw data'!$F:$F,)),0)+IF(OR(AND(L620="party卡",P620&lt;=1),AND(P620&lt;=4,L620&lt;&gt;"party卡",P620&gt;=3)),INDEX('卡片raw data'!AV:AV,MATCH(D620,'卡片raw data'!$F:$F,)),0)+IF(OR(P620=5,AND(L620="party卡",P620&gt;=2)),INDEX('卡片raw data'!AW:AW,MATCH(D620,'卡片raw data'!$F:$F,)),0))</f>
        <v>0</v>
      </c>
      <c r="EL620" s="1098">
        <f t="shared" si="937"/>
        <v>0.3</v>
      </c>
      <c r="EM620" s="1098">
        <f t="shared" si="938"/>
        <v>0.3</v>
      </c>
      <c r="EN620" s="1097">
        <f t="shared" si="939"/>
        <v>0</v>
      </c>
      <c r="EO620" s="1097">
        <f t="shared" si="940"/>
        <v>0</v>
      </c>
      <c r="EP620" s="1098">
        <f t="shared" si="941"/>
        <v>0</v>
      </c>
      <c r="EQ620" s="1121">
        <f t="shared" si="942"/>
        <v>0</v>
      </c>
      <c r="ER620" s="1101">
        <f t="shared" si="943"/>
        <v>0</v>
      </c>
      <c r="ES620" s="1097">
        <f t="shared" si="944"/>
        <v>0</v>
      </c>
      <c r="ET620" s="1122">
        <f t="shared" si="997"/>
        <v>0</v>
      </c>
    </row>
    <row r="621" spans="2:150" ht="16.5" customHeight="1">
      <c r="B621" s="1123" t="str">
        <f>INDEX('卡片raw data'!B:B,MATCH($D621,'卡片raw data'!$F:$F,))</f>
        <v>op1姬</v>
      </c>
      <c r="C621" s="1025" t="s">
        <v>4998</v>
      </c>
      <c r="D621" s="408">
        <v>618</v>
      </c>
      <c r="E621" s="1164">
        <v>400062007</v>
      </c>
      <c r="F621" s="1090" t="str">
        <f>INDEX('卡片raw data'!C:C,MATCH($D621,'卡片raw data'!$F:$F,))</f>
        <v>SR</v>
      </c>
      <c r="G621" s="1026" t="s">
        <v>5010</v>
      </c>
      <c r="H621" s="411">
        <f>IFERROR(INDEX(绊状态确认!C:C,MATCH($G621,绊状态确认!$B:$B,)),"")</f>
        <v>6</v>
      </c>
      <c r="I621" s="450" t="str">
        <f>IFERROR(INDEX(绊状态确认!D:D,MATCH($G621,绊状态确认!$B:$B,)),"")</f>
        <v>缪</v>
      </c>
      <c r="J621" s="450" t="str">
        <f>IFERROR(INDEX(绊状态确认!E:E,MATCH($G621,绊状态确认!$B:$B,)),"")</f>
        <v>1年级</v>
      </c>
      <c r="K621" s="451" t="str">
        <f>IFERROR(INDEX(绊状态确认!F:F,MATCH($G621,绊状态确认!$B:$B,)),"")</f>
        <v>BiBi</v>
      </c>
      <c r="L621" s="1094" t="str">
        <f>INDEX('卡片raw data'!E:E,MATCH($D621,'卡片raw data'!$F:$F,))</f>
        <v>活动卡</v>
      </c>
      <c r="M621" s="1065">
        <v>44581</v>
      </c>
      <c r="N621" s="1027">
        <v>56</v>
      </c>
      <c r="O621" s="1091" t="str">
        <f>INDEX('卡片raw data'!D:D,MATCH($D621,'卡片raw data'!$F:$F,))</f>
        <v>sp</v>
      </c>
      <c r="P621" s="1028">
        <v>5</v>
      </c>
      <c r="Q621" s="1095">
        <f t="shared" ref="Q621" si="1105">IF($P621="",0,AW621+BI621+BO621+BT621+CU621+EC621+ER621+CC621+DL621+BL621)</f>
        <v>30135.481544299513</v>
      </c>
      <c r="R621" s="1096">
        <f t="shared" ref="R621" si="1106">_xlfn.FLOOR.MATH(IF($P621="","N/A",Q621/$EW$81)*1000)/1000</f>
        <v>0.35</v>
      </c>
      <c r="S621" s="1097">
        <f t="shared" ref="S621" si="1107">IF($P621="",0,BH621+BJ621+BP621+BU621+CV621+ED621+ES621+CD621+DM621+BM621)</f>
        <v>17215.007567082968</v>
      </c>
      <c r="T621" s="1098">
        <f t="shared" ref="T621" si="1108">_xlfn.FLOOR.MATH(IF($P621="","N/A",S621/($FI$24/3))*1000)/1000</f>
        <v>0.86</v>
      </c>
      <c r="U621" s="1099">
        <f t="shared" ref="U621" si="1109">$EW$64*(IF(O621="vo",-0.05)+IF(O621="gd",0.05))+CP621*(IF(CK621="减伤",$EW$64*(1-$EW$75))+IF(OR(CK621="加盾",AND(CK621="回血",OR(CI621&lt;&gt;"切队",CO621=""))),1))+DG621*(IF(DB621="减伤",$EW$64*(1-$EW$75))+IF(OR(DB621="加盾",AND(DB621="回血",OR(CZ621&lt;&gt;"切队",DF621=""))),1))+AR621*$EW$78/$EW$65+BW621+CF621+DY621*(1+IF(O621="sk",0.05)+IF(O621="sp",-0.05))*(IF(DQ621="减伤",$EW$64*(1-$EW$75))+IF(OR(DQ621="回血",DQ621="加盾"),1))+EN621*(1+IF(O621="sk",0.05)+IF(O621="sp",-0.05))*(IF(EF621="减伤",$EW$64*(1-$EW$75))+IF(OR(EF621="回血",EF621="加盾"),1))</f>
        <v>9.1353669909728552</v>
      </c>
      <c r="V621" s="1100">
        <f t="shared" ref="V621" si="1110">IF($P621="",0,AY621+BK621+BO621+BX621+CX621+EE621+ET621+CG621+DO621+BL621)</f>
        <v>29060.006999099187</v>
      </c>
      <c r="W621" s="1101">
        <f t="shared" ref="W621" si="1111">IF($P621="",0,BO621+BV621+CW621+CE621+DN621)</f>
        <v>4544.8643442688563</v>
      </c>
      <c r="X621" s="1096">
        <f t="shared" ref="X621" si="1112">_xlfn.FLOOR.MATH(IF($P621="","N/A",W621/$EW$81)*1000)/1000</f>
        <v>5.1999999999999998E-2</v>
      </c>
      <c r="Y621" s="1097">
        <f t="shared" ref="Y621" si="1113">IF($P621="",0,AA621-W621)</f>
        <v>724.52545479967284</v>
      </c>
      <c r="Z621" s="1102">
        <f t="shared" ref="Z621" si="1114">CP621*IF(OR(CI621="ap时",CI621="ct时"),0,1)*(IF(CK621="减伤",$EW$64*(1-$EW$75))+IF(OR(CK621="加盾",AND(CK621="回血",OR(CI621&lt;&gt;"切队",CO621=""))),1))+DG621*IF(OR(CZ621="ap时",CZ621="ct时"),0,1)*(IF(DB621="减伤",$EW$64*(1-$EW$75))+IF(OR(DB621="加盾",AND(DB621="回血",OR(CZ621&lt;&gt;"切队",DF621=""))),1))+AR621*$EW$78/$EW$65+BW621+CF621</f>
        <v>9.1353669909728552</v>
      </c>
      <c r="AA621" s="1103">
        <f t="shared" ref="AA621" si="1115">IF($P621="",0,BO621+BY621+CY621+AX621+CH621+DP621)</f>
        <v>5269.3897990685291</v>
      </c>
      <c r="AB621" s="1101">
        <f t="shared" ref="AB621" si="1116">IF($P621="",0,BT621+CU621+BO621+CC621+DL621)</f>
        <v>5102.157397165679</v>
      </c>
      <c r="AC621" s="1104">
        <f t="shared" ref="AC621" si="1117">_xlfn.FLOOR.MATH(IF($P621="","N/A",AB621/$EW$81)*1000)/1000</f>
        <v>5.8999999999999997E-2</v>
      </c>
      <c r="AD621" s="1105">
        <f t="shared" ref="AD621" si="1118">CS621+DJ621+EA621+EP621+IF(O621="sp",-0.05*FM$14*FM$15/2)+IF(O621="sk",0.05*FM$14*FM$15/2)+IF(O621="sk",FM$11^2/(3-FM$11)*FM$12)-IF(O621="sk",FM$10,FM$9)*IF(O621="sk",FM$18,FM$17)*($FM$14-DR621)</f>
        <v>-1.9908281250000003E-2</v>
      </c>
      <c r="AE621" s="1128">
        <f t="shared" ref="AE621" si="1119">AD621/FM$18*FM$29+CT621+DK621+EB621+EQ621+IF(O621="sp",0.05*$FM$9*3*FM$26)-IF(O621="gd",0.05*$FM$9*3*FM$26)+IF(O621="sp",300*1/3*$FM$11/2)+IF(O621="sk",FM$11^2/(3-FM$11)*FM$13)+IF(F621="R",-100*IF(O621="sk",FM$10,FM$9))+IF(F621="SR",-50*IF(O621="sk",FM$10,FM$9))</f>
        <v>0.51082780797101357</v>
      </c>
      <c r="AF621" s="1130">
        <f t="shared" ref="AF621" si="1120">IF(OR(DQ621="回血",DQ621="加盾"),EN621/EL621*3*2*IF(EG621=0.11,$EW$71,$EW$70)+DY621/DW621*3*2*IF(DR621=0.11,$EW$71,$EW$70)+IF(O621="gd",AR621*0.05)+IF(OR(CK621="回血",CK621="加盾"),-(CR621-CP621)*6)+IF(AND(CI621="切队",CO621=""),CP621/$EW$79*$EW$65*2),0)</f>
        <v>0</v>
      </c>
      <c r="AG621" s="1097">
        <f t="shared" ref="AG621" si="1121">IF(OR(DQ621="回血",DQ621="加盾"),MAX($EW$64*$EW$65*IF(CK621="减伤",(1-IF(CI621="切队",IF(CO621&lt;&gt;"",MAX(CO621/$EW$79,1),0),1)*CR621),1)-$EW$62*0.3+$EX$17-AR621-(BW621+CF621)/$EW$78*$EW$65-IF(OR(CK621="回血",CK621="加盾"),IF(CI621="切队",IF(CO621&lt;&gt;"",MAX(CO621/$EW$79,1),0),1)*CR621*$EW$65),0),0)</f>
        <v>0</v>
      </c>
      <c r="AH621" s="1097">
        <f t="shared" ref="AH621" si="1122">IFERROR(AG621/AF621,0)</f>
        <v>0</v>
      </c>
      <c r="AI621" s="1097">
        <f t="shared" ref="AI621" si="1123">IF(OR(DQ621="回血",DQ621="加盾"),$EW$26*(1-$EW$66)/$EW$66-AH621*(($EW$26*IF(O621="sk",14/3-8/3*$EW$68,5-3*$EW$68)-2*3*Q621*$EW$69)/$EW$66)/$EW$65+($EW$26/3+$EW$26/$EW$24*0.05+$EW$61*4*$EW$26*$EX$5/$EX$11+$EW$28)-($EW$72-W621),0)</f>
        <v>0</v>
      </c>
      <c r="AJ621" s="1097">
        <f t="shared" ref="AJ621" si="1124">IF(OR(DQ621="回血",DQ621="加盾"),V621,0)</f>
        <v>0</v>
      </c>
      <c r="AK621" s="1129">
        <f t="shared" ref="AK621" si="1125">IFERROR(AI621-AJ621,"")</f>
        <v>0</v>
      </c>
      <c r="AL621" s="1042">
        <f>IF($P621="","N/A",(IF($P621=-1,INDEX('卡片raw data'!S:S,MATCH($D621,'卡片raw data'!$F:$F,)),0)+IF($P621=0,INDEX('卡片raw data'!V:V,MATCH($D621,'卡片raw data'!$F:$F,)),0)+IF($P621=1,INDEX('卡片raw data'!Y:Y,MATCH($D621,'卡片raw data'!$F:$F,)),0)+IF($P621=2,INDEX('卡片raw data'!AB:AB,MATCH($D621,'卡片raw data'!$F:$F,)),0)+IF($P621=3,INDEX('卡片raw data'!AE:AE,MATCH($D621,'卡片raw data'!$F:$F,)),0)+IF($P621=4,INDEX('卡片raw data'!AH:AH,MATCH($D621,'卡片raw data'!$F:$F,)),0)+IF($P621=5,INDEX('卡片raw data'!AK:AK,MATCH($D621,'卡片raw data'!$F:$F,)),0)+INDEX('卡片raw data'!S:S,MATCH($D621,'卡片raw data'!$F:$F,))*(IF($F621="UR",0.04,0.033))*(IF($F621="UR",INDEX(绊状态确认!$S:$S,MATCH($G621,绊状态确认!$B:$B,))/2-40)+IF($F621="SR",INDEX(绊状态确认!$R:$R,MATCH($G621,绊状态确认!$B:$B,))/4-15))+IF($F621="R",INDEX(绊状态确认!$Q:$Q,MATCH($G621,绊状态确认!$B:$B,))/6-40/6)))*(INDEX(绊状态确认!$H:$H,MATCH($G621,绊状态确认!$B:$B,))+INDEX(绊状态确认!J:J,MATCH($G621,绊状态确认!$B:$B,)))</f>
        <v>7719.9743039999985</v>
      </c>
      <c r="AM621" s="1035">
        <f>IF($P621="","N/A",(IF($P621=-1,INDEX('卡片raw data'!T:T,MATCH($D621,'卡片raw data'!$F:$F,)),0)+IF($P621=0,INDEX('卡片raw data'!W:W,MATCH($D621,'卡片raw data'!$F:$F,)),0)+IF($P621=1,INDEX('卡片raw data'!Z:Z,MATCH($D621,'卡片raw data'!$F:$F,)),0)+IF($P621=2,INDEX('卡片raw data'!AC:AC,MATCH($D621,'卡片raw data'!$F:$F,)),0)+IF($P621=3,INDEX('卡片raw data'!AF:AF,MATCH($D621,'卡片raw data'!$F:$F,)),0)+IF($P621=4,INDEX('卡片raw data'!AI:AI,MATCH($D621,'卡片raw data'!$F:$F,)),0)+IF($P621=5,INDEX('卡片raw data'!AL:AL,MATCH($D621,'卡片raw data'!$F:$F,)),0)+INDEX('卡片raw data'!T:T,MATCH($D621,'卡片raw data'!$F:$F,))*(IF($F621="UR",0.04,0.033))*(IF($F621="UR",INDEX(绊状态确认!$S:$S,MATCH($G621,绊状态确认!$B:$B,))/2-40)+IF($F621="SR",INDEX(绊状态确认!$R:$R,MATCH($G621,绊状态确认!$B:$B,))/4-15))+IF($F621="R",INDEX(绊状态确认!$Q:$Q,MATCH($G621,绊状态确认!$B:$B,))/6-40/6)))*(INDEX(绊状态确认!$H:$H,MATCH($G621,绊状态确认!$B:$B,))+INDEX(绊状态确认!K:K,MATCH($G621,绊状态确认!$B:$B,)))</f>
        <v>4265.4523991999995</v>
      </c>
      <c r="AN621" s="1043">
        <f>IF($P621="","N/A",(IF($P621=-1,INDEX('卡片raw data'!U:U,MATCH($D621,'卡片raw data'!$F:$F,)),0)+IF($P621=0,INDEX('卡片raw data'!X:X,MATCH($D621,'卡片raw data'!$F:$F,)),0)+IF($P621=1,INDEX('卡片raw data'!AA:AA,MATCH($D621,'卡片raw data'!$F:$F,)),0)+IF($P621=2,INDEX('卡片raw data'!AD:AD,MATCH($D621,'卡片raw data'!$F:$F,)),0)+IF($P621=3,INDEX('卡片raw data'!AG:AG,MATCH($D621,'卡片raw data'!$F:$F,)),0)+IF($P621=4,INDEX('卡片raw data'!AJ:AJ,MATCH($D621,'卡片raw data'!$F:$F,)),0)+IF($P621=5,INDEX('卡片raw data'!AM:AM,MATCH($D621,'卡片raw data'!$F:$F,)),0)+INDEX('卡片raw data'!U:U,MATCH($D621,'卡片raw data'!$F:$F,))*(IF($F621="UR",0.04,0.033))*(IF($F621="UR",INDEX(绊状态确认!$S:$S,MATCH($G621,绊状态确认!$B:$B,))/2-40)+IF($F621="SR",INDEX(绊状态确认!$R:$R,MATCH($G621,绊状态确认!$B:$B,))/4-15))+IF($F621="R",INDEX(绊状态确认!$Q:$Q,MATCH($G621,绊状态确认!$B:$B,))/6-40/6)))*(INDEX(绊状态确认!$H:$H,MATCH($G621,绊状态确认!$B:$B,))+INDEX(绊状态确认!L:L,MATCH($G621,绊状态确认!$B:$B,)))</f>
        <v>8330.4824759999992</v>
      </c>
      <c r="AO621" s="1167">
        <f t="shared" ref="AO621" si="1126">IF(OR($FE$5=C621,$FE$5="全"),1,0)</f>
        <v>1</v>
      </c>
      <c r="AP621" s="1044">
        <f>1+(INDEX(绊状态确认!$T:$T,MATCH($G621,绊状态确认!$B:$B,))+0.2)*$AO621</f>
        <v>1.3</v>
      </c>
      <c r="AQ621" s="1035">
        <f t="shared" ref="AQ621" si="1127">(AL621*(1+$EX$8)+$EX$34)*(1+$EW$15)*IF(AO621=0,1-$FE$6,1)*IF(AO621=1,1+$FE$7,1)*IF(O621="vo",1+$FE$8,1)*IF(O621="gd",1+$FE$9,1)*IF(O621="sp",1+$FE$10,1)*IF(O621="sk",1+$FE$11,1)*IF(I621=$FF$12,1+$FE$12,1)*IF(I621=$FF$13,1,1-$FE$13)*IF(I621=$FF$14,1+$FE$14,1)*IF(J621=$FF$16,1+$FE$16,1)*IF(J621=$FF$17,1+$FE$17,1)*IF(K621=$FF$18,1+$FE$18,1)*(1+$FE$15)</f>
        <v>23514.932547999997</v>
      </c>
      <c r="AR621" s="1035">
        <f>(AM621*(1+$EX$9)+$EX$35)*(1+(INDEX(绊状态确认!$T:$T,MATCH($G621,绊状态确认!$B:$B,))+0.2)*AO621)*IF(J621=$FF$17,1+$FE$17,1)*IF(I621=$FF$14,1+$FE$14,1)</f>
        <v>8526.3425249079992</v>
      </c>
      <c r="AS621" s="1035">
        <f>(AN621*(1+$EX$10)+$EX$36)*(1+(INDEX(绊状态确认!$T:$T,MATCH($G621,绊状态确认!$B:$B,))+0.2)*AO621)*IF(J621=$FF$17,1+$FE$17,1)*IF(I621=$FF$14,1+$FE$14,1)</f>
        <v>16510.071301619999</v>
      </c>
      <c r="AT621" s="1165">
        <f>IF(AND(INDEX('卡片raw data'!AK:AK,MATCH($D621,'卡片raw data'!$F:$F,))&lt;INDEX('卡片raw data'!AM:AM,MATCH($D621,'卡片raw data'!$F:$F,)),INDEX('卡片raw data'!AL:AL,MATCH($D621,'卡片raw data'!$F:$F,))&lt;INDEX('卡片raw data'!AM:AM,MATCH($D621,'卡片raw data'!$F:$F,))),1,0)</f>
        <v>1</v>
      </c>
      <c r="AU621" s="1031">
        <f>MIN(AT621*0.15+AS621*0.00003+INDEX(绊状态确认!M:M,MATCH($G621,绊状态确认!$B:$B,)),1)</f>
        <v>0.67530213904860004</v>
      </c>
      <c r="AV621" s="1045">
        <f>(INDEX(绊状态确认!$N:$N,MATCH($G621,绊状态确认!$B:$B,))+1.5)*$EW$21</f>
        <v>2.6599999999999997</v>
      </c>
      <c r="AW621" s="1038">
        <f t="shared" ref="AW621" si="1128">AQ621*(1+(AV621-1)*AU621)*(AP621)*(1+EW$25)*EW$66/3*$EW$24</f>
        <v>25902.52414713383</v>
      </c>
      <c r="AX621" s="1035">
        <f t="shared" ref="AX621" si="1129">$EW$26*(HP($EW$62,$EW$65,$EW$64-AR621*$EW$78/$EW$65)/$EW$66-1)</f>
        <v>724.52545479967284</v>
      </c>
      <c r="AY621" s="483">
        <f t="shared" ref="AY621" si="1130">AW621+AX621</f>
        <v>26627.049601933504</v>
      </c>
      <c r="AZ621" s="1106">
        <f t="shared" ref="AZ621" si="1131">(AL621*(1+$FB$8)+$FB$34)*IF(AO621=0,1-$FE$6,1)*IF(AO621=1,1+$FE$7,1)*IF(O621="vo",1+$FE$8,1)*IF(O621="gd",1+$FE$9,1)*IF(O621="sp",1+$FE$10,1)*IF(O621="sk",1+$FE$11,1)*IF(I621=$FF$12,1+$FE$12,1)*IF(I621=$FF$13,1,1-$FE$13)*IF(I621=$FF$14,1+$FE$14,1)*IF(J621=$FF$16,1+$FE$16,1)*IF(J621=$FF$17,1+$FE$17,1)*IF(K621=$FF$18,1+$FE$18,1)*(1+$FE$15)</f>
        <v>17653.949892799996</v>
      </c>
      <c r="BA621" s="1108">
        <f t="shared" ref="BA621" si="1132">AZ621*(1+$FA$15)</f>
        <v>21184.739871359994</v>
      </c>
      <c r="BB621" s="1035">
        <f>(AM621*(1+$FB$9)+$FB$35)*(1+(INDEX(绊状态确认!$T:$T,MATCH($G621,绊状态确认!$B:$B,))+0.2)*AO621)*IF(J621=$FF$17,1+$FE$17,1)*IF(I621=$FF$14,1+$FE$14,1)*(1+$FE$15)</f>
        <v>8526.3425249079992</v>
      </c>
      <c r="BC621" s="1035">
        <f>(AN621*(1+$FB$10)+$FB$36)*(1+(INDEX(绊状态确认!$T:$T,MATCH($G621,绊状态确认!$B:$B,))+0.2)*AO621)*IF(J621=$FF$17,1+$FE$17,1)*IF(I621=$FF$14,1+$FE$14,1)*(1+$FE$15)</f>
        <v>16510.071301619999</v>
      </c>
      <c r="BD621" s="481">
        <f>MIN(AT621*0.15+BC621*0.00003+INDEX(绊状态确认!M:M,MATCH($G621,绊状态确认!$B:$B,)),1)</f>
        <v>0.67530213904860004</v>
      </c>
      <c r="BE621" s="1109">
        <f>(INDEX(绊状态确认!$N:$N,MATCH($G621,绊状态确认!$B:$B,))+1.5)</f>
        <v>1.9</v>
      </c>
      <c r="BF621" s="646">
        <f t="array" ref="BF621">SUMPRODUCT(IF(AZ621*AP621*$FI$16:$FI$23*$FA$22&gt;=$FI$24,$FI$24,AZ621*AP621*$FI$16:$FI$23*$FA$22),$FJ$16:$FJ$23)</f>
        <v>35113.706336779192</v>
      </c>
      <c r="BG621" s="1047">
        <f t="array" ref="BG621">SUMPRODUCT(IF(BE621*AZ621*AP621*$FI$16:$FI$23*$FA$22&gt;=$FI$24,$FI$24,BE621*AZ621*AP621*$FI$16:$FI$23*$FA$22),$FJ$16:$FJ$23)</f>
        <v>58901.314058803997</v>
      </c>
      <c r="BH621" s="1046">
        <f t="shared" ref="BH621" si="1133">((1-$BD621)*BF621+$BD621*BG621)/3</f>
        <v>17059.176238103846</v>
      </c>
      <c r="BI621" s="1048">
        <f>IF(O621="vo",$EW$26/$EW$24*0.05,0)+IF(O621="sk",-$EW$26/$EW$24*(0.05-INDEX(绊状态确认!W:W,MATCH($G621,绊状态确认!$B:$B,)))+0.05*$EW$28,0)+IF(O621="sp",0.05*$EW$32*$EW$30*(1-$EW$33)-(0.05-INDEX(绊状态确认!V:V,MATCH($G621,绊状态确认!$B:$B,)))*$EW$28,0)+IF(O621="gd",-(0.05-INDEX(绊状态确认!X:X,MATCH($G621,绊状态确认!$B:$B,)))*$EW$32*$EW$30*(1-$EW$33),0)</f>
        <v>19.999999999999886</v>
      </c>
      <c r="BJ621" s="1097">
        <f>IF(O621="vo",0.05*(1-$FI$26)*$FA$24,0)+IF(O621="sk",-(0.05-INDEX(绊状态确认!W:W,MATCH($G621,绊状态确认!$B:$B,)))*(1-$FI$26)*$FA$24+0.05*$FA$26,0)+IF(O621="sp",0.05*$FA$32*$FA$27*(1-$FA$33)/$FA$30+0.05*$FA$29/$FA$69*$FA$27*(1-$FA$33)-(0.05-INDEX(绊状态确认!V:V,MATCH($G621,绊状态确认!$B:$B,)))*$FA$26,0)+IF(O621="gd",-(0.05-INDEX(绊状态确认!X:X,MATCH($G621,绊状态确认!$B:$B,)))*$FA$32*$FA$27*(1-$FA$33)/$FA$30-(0.05-INDEX(绊状态确认!X:X,MATCH($G621,绊状态确认!$B:$B,)))*$FA$29/$FA$69*$FA$27*(1-$FA$33),0)</f>
        <v>545.83333333333326</v>
      </c>
      <c r="BK621" s="1046">
        <f>IF(O621="vo",$EW$26/$EW$24*0.05+$EW$26*(-HP($EW$62,$EW$65,$EW$64)+HP($EW$62,$EW$65,(1.05-INDEX(绊状态确认!U:U,MATCH($G621,绊状态确认!$B:$B,)))*$EW$64)),0)+IF(O621="sk",-$EW$26/$EW$24*(0.05-INDEX(绊状态确认!W:W,MATCH($G621,绊状态确认!$B:$B,)))+0.05*$EW$29,0)+IF(O621="sp",0.05*$EW$32*$EW$30*(1-$EW$33)-(0.05-INDEX(绊状态确认!V:V,MATCH($G621,绊状态确认!$B:$B,)))*$EW$29,0)+IF(O621="gd",-(0.05-INDEX(绊状态确认!X:X,MATCH($G621,绊状态确认!$B:$B,)))*$EW$32*$EW$30*(1-$EW$33)+$EW$26*(-HP($EW$62,$EW$65,$EW$64)+HP($EW$62,$EW$65,0.95*$EW$64)),0)</f>
        <v>-1780.0000000000005</v>
      </c>
      <c r="BL621" s="1048">
        <f t="shared" ref="BL621" si="1134">(IF(F621="UR",0)+IF(F621="SR",-1/4)+IF(F621="R",-1/2))*1/3*$EW$31/$EW$77*$EW$30</f>
        <v>-1083.3333333333333</v>
      </c>
      <c r="BM621" s="1046">
        <f t="shared" ref="BM621" si="1135">(IF(F621="UR",0)+IF(F621="SR",-1/4)+IF(F621="R",-1/2))*1/3*$FA$31/$FA$69*$FA$27</f>
        <v>-830.55555555555543</v>
      </c>
      <c r="BN621" s="1167">
        <f t="shared" ref="BN621" si="1136">IF($P621="","N/A",IF(P621=-1,IF(OR(L621="fes卡",L621="party卡"),2,1),IF(F621="UR",IF(L621="party卡",4-IF(P621=0,1),IF(L621="fes卡",4,3)-IF(P621&gt;=4,0,1)))+IF(F621="SR",IF(P621&gt;=4,3,2))+IF(F621="R",2)))</f>
        <v>3</v>
      </c>
      <c r="BO621" s="1035">
        <f t="shared" si="828"/>
        <v>4507.7214871259994</v>
      </c>
      <c r="BP621" s="1043">
        <f t="shared" ref="BP621" si="1137">BN621*$FA$58*(1-$FI$26)*$FA$24*$FB$5/$FB$11</f>
        <v>221.34103209030098</v>
      </c>
      <c r="BQ621" s="1167" t="s">
        <v>1941</v>
      </c>
      <c r="BR621" s="1124" t="s">
        <v>166</v>
      </c>
      <c r="BS621" s="1098">
        <f>IF($P621="","N/A",IF($P621=-1,INDEX('卡片raw data'!AX:AX,MATCH($D621,'卡片raw data'!$F:$F,)),0)+IF($L621="party卡",IF($P621=5,INDEX('卡片raw data'!BD:BD,MATCH($D621,'卡片raw data'!$F:$F,)),IF($P621&gt;=3,INDEX('卡片raw data'!BC:BC,MATCH($D621,'卡片raw data'!$F:$F,)),INDEX('卡片raw data'!BB:BB,MATCH($D621,'卡片raw data'!$F:$F,)))),IF(OR(AND($F621="UR",$P621=0),AND($F621="SR",$P621&gt;=0,$P621&lt;=2),AND($F621="R",$P621&gt;=0,$P621&lt;4)),INDEX('卡片raw data'!AZ:AZ,MATCH($D621,'卡片raw data'!$F:$F,)),0)+IF(OR(AND($F621="UR",$P621&gt;=1,$P621&lt;=4),AND($F621="SR",$P621&lt;=4,$P621&gt;=3),AND($F621="R",$P621=4)),INDEX('卡片raw data'!BA:BA,MATCH($D621,'卡片raw data'!$F:$F,)),0)+IF($P621=5,INDEX('卡片raw data'!BB:BB,MATCH($D621,'卡片raw data'!$F:$F,)),0)))</f>
        <v>7.0000000000000007E-2</v>
      </c>
      <c r="BT621" s="1101">
        <f t="shared" ref="BT621" si="1138">IF(BQ621="ap",BS621*$EX$5/$EX$11*(+IF(BR621="全员",$EW$26,0)+IF(BR621="同作战",$EW$26,0)+IF(BR621="仲间",$EW$26*2/3,0)+IF(BR621="同属性",$EW$26*$EW$37/3,0)+IF(BR621="同年级",$EW$26*$EW$40/3,0)+IF(BR621="同学校",$EW$26*$EW$43/3,0)+IF(BR621="同小队",$EW$26*$EW$46/3,0)+IF(BR621="同type",$EW$26*INDEX($EX$49:$EX$52,MATCH(O621,$EW$49:$EW$52,))/3,0)+IF(BR621="自身",$AW621,0)),0)+IF(BQ621="te",BS621*($EW$22-1)*0.00003*$EX$7/$EX$13*(+IF(BR621="全员",$EX$18*$EW$26/(1+($EW$22-1)*$EW$19),0)+IF(BR621="同作战",$EX$18*$EW$26/(1+($EW$22-1)*$EW$19),0)+IF(BR621="仲间",$EX$18*$EW$26/(1+($EW$22-1)*$EW$19)*2/3,0)+IF(BR621="同属性",$EX$18*$EW$26/(1+($EW$22-1)*$EW$19)*$EW$37/3,0)+IF(BR621="同年级",$EX$18*$EW$26/(1+($EW$22-1)*$EW$19)*$EW$40/3,0)+IF(BR621="同学校",$EX$18*$EW$26/(1+($EW$22-1)*$EW$19)*$EW$43/3,0)+IF(BR621="同小队",$EX$18*$EW$26/(1+($EW$22-1)*$EW$19)*$EW$46/3,0)+IF(BR621="同type",$EX$18*$EW$26/(1+($EW$22-1)*$EW$19)*INDEX($EX$49:$EX$52,MATCH(O621,$EW$49:$EW$52,))/3,0)+IF(BR621="自身",$AS621*$AW621/(1+(AV621-1)*$AU621),0)),0)</f>
        <v>520.15019575396502</v>
      </c>
      <c r="BU621" s="1097">
        <f t="shared" ref="BU621" si="1139">IF(BQ621="ap",BS621*(1-$FI$26)*$FB$5/$FB$11*(+IF(BR621="全员",$FA$24,0)+IF(BR621="同作战",$FA$24,0)+IF(BR621="仲间",$FA$24*2/3,0)+IF(BR621="同属性",$FA$24*$FA$37/3,0)+IF(BR621="同年级",$FA$24*$FA$40/3,0)+IF(BR621="同学校",$FA$24*$FA$43/3,0)+IF(BR621="同小队",$FA$24*$FA$46/3,0)+IF(BR621="同type",$FA$24*INDEX($FB$49:$FB$52,MATCH(O621,$FA$49:$FA$52,))/3,0)+IF(BR621="自身",BH621/3,0)),0)+IF(BQ621="te",BS621*(1-$FI$27)*($FA$20-1)*$FB$7/$FB$13*(+IF(BR621="全员",$FA$19*$FA$24/(1+($FA$20-1)*$FA$19),0)+IF(BR621="同作战",$FA$19*$FA$24/(1+($FA$20-1)*$FA$19),0)+IF(BR621="仲间",$FA$19*$FA$24*2/3/(1+($FA$20-1)*$FA$19),0)+IF(BR621="同属性",$FA$19*$FA$24*$FA$37/3/(1+($FA$20-1)*$FA$19),0)+IF(BR621="同年级",$FA$19*$FA$24*$FA$40/3/(1+($FA$20-1)*$FA$19),0)+IF(BR621="同学校",$FA$19*$FA$24*$FA$43/3/(1+($FA$20-1)*$FA$19),0)+IF(BR621="同小队",$FA$19*$FA$24*$FA$46/3/(1+($FA$20-1)*$FA$19),0)+IF(BR621="同type",$FA$19*$FA$24*INDEX($FB$49:$FB$52,MATCH(O621,$FA$49:$FA$52,))/3/(1+($FA$20-1)*$FA$19),0)+IF(BR621="自身",$FA$19*BH621/3/(1+(AV621-1)*$BD621),0)),0)</f>
        <v>29.044089481412641</v>
      </c>
      <c r="BV621" s="1097">
        <f t="shared" ref="BV621" si="1140">IF(BQ621="ap",BS621*$EW$26*$EX$5/$EX$11*(+IF(BR621="全员",1,0)+IF(BR621="仲间",1,0)+IF(BR621="同属性",$EW$38/3,0)+IF(BR621="同年级",$EW$41/3,0)+IF(BR621="同学校",$EW$44/3,0)+IF(BR621="同小队",$EW$47/3,0)+IF(BR621="同type",INDEX($EX$53:$EX$56,MATCH(O621,$EW$53:$EW$56,))/3,0)),0)+IF(BQ621="te",BS621*($EW$22-1)*0.00003*$EX$18*$EW$26/(1+($EW$22-1)*$EW$19)*$EX$7/$EX$13*(+IF(BR621="全员",1,0)+IF(BR621="仲间",1,0)+IF(BR621="同属性",$EW$38/3,0)+IF(BR621="同年级",$EW$41/3,0)+IF(BR621="同学校",$EW$44/3,0)+IF(BR621="同小队",$EW$47/3,0)+IF(BR621="同type",INDEX($EX$53:$EX$56,MATCH(O621,$EW$53:$EW$56,))/3,0)),0)</f>
        <v>0</v>
      </c>
      <c r="BW621" s="1112">
        <f t="shared" ref="BW621" si="1141">IF(BQ621="st",BS621*$EX$6/$EX$12*(+IF(BR621="全员",$EX$17*9,0)+IF(BR621="仲间",$EX$17*8,0)+IF(BR621="同作战",$EX$17*3,0)+IF(BR621="同属性",$EX$17*$EW$39,0)+IF(BR621="同年级",$EX$17*$EW$42,0)+IF(BR621="同学校",$EX$17*$EW$45,0)+IF(BR621="同小队",$EX$17*$EW$48,0)+IF(BR621="同type",$EX$17*INDEX($EX$57:$EX$60,MATCH(O621,$EW$57:$EW$60,)),0)+IF(BR621="自身",$AR621)),0)/$EW$65*$EW$78</f>
        <v>0</v>
      </c>
      <c r="BX621" s="1100">
        <f t="shared" ref="BX621" si="1142">IF(BQ621="st",$EW$26*(HP($EW$62,$EW$65,$EW$64-BW621)/$EW$66-1),BT621)</f>
        <v>520.15019575396502</v>
      </c>
      <c r="BY621" s="1110">
        <f t="shared" ref="BY621" si="1143">IF(BQ621="st",$EW$26*(HP($EW$62,$EW$65,$EW$64-BW621)/$EW$66-1),BV621)</f>
        <v>0</v>
      </c>
      <c r="BZ621" s="1113" t="s">
        <v>569</v>
      </c>
      <c r="CA621" s="1124"/>
      <c r="CB621" s="1098">
        <f>IF($P621="","N/A",IF($P621=-1,INDEX('卡片raw data'!BE:BE,MATCH($D621,'卡片raw data'!$F:$F,)),0)+IF($L621="party卡",IF($P621=5,INDEX('卡片raw data'!BK:BK,MATCH($D621,'卡片raw data'!$F:$F,)),IF($P621&gt;=3,INDEX('卡片raw data'!BJ:BJ,MATCH($D621,'卡片raw data'!$F:$F,)),INDEX('卡片raw data'!BI:BI,MATCH($D621,'卡片raw data'!$F:$F,)))),IF(OR(AND($F621="UR",$P621=0),AND($F621="SR",$P621&gt;=0,$P621&lt;=2),AND($F621="R",$P621&gt;=0,$P621&lt;4)),INDEX('卡片raw data'!BG:BG,MATCH($D621,'卡片raw data'!$F:$F,)),0)+IF(OR(AND($F621="UR",$P621&gt;=1,$P621&lt;=4),AND($F621="SR",$P621&lt;=4,$P621&gt;=3),AND($F621="R",$P621=4)),INDEX('卡片raw data'!BH:BH,MATCH($D621,'卡片raw data'!$F:$F,)),0)+IF($P621=5,INDEX('卡片raw data'!BI:BI,MATCH($D621,'卡片raw data'!$F:$F,)),0)))</f>
        <v>0</v>
      </c>
      <c r="CC621" s="1101">
        <f t="shared" si="920"/>
        <v>0</v>
      </c>
      <c r="CD621" s="1097">
        <f>IF(BZ621="ap",CB621*(1-$FI$26)*$FB$5/$FB$11*(+IF(CA621="全员",$FA$24,0)+IF(CA621="同作战",$FA$24,0)+IF(CA621="仲间",$FA$24*2/3,0)+IF(CA621="同属性",$FA$24*$FA$37/3,0)+IF(CA621="同年级",$FA$24*$FA$40/3,0)+IF(CA621="同学校",$FA$24*$FA$43/3,0)+IF(CA621="同小队",$FA$24*$FA$46/3,0)+IF(CA621="同type",$FA$24*INDEX($FB$49:$FB$52,MATCH(X621,$FA$49:$FA$52,))/3,0)+IF(CA621="自身",#REF!/3,0)),0)+IF(BZ621="te",CB621*(1-$FI$27)*($FA$20-1)*$FB$7/$FB$13*(+IF(CA621="全员",$FA$19*$FA$24/(1+($FA$20-1)*$FA$19),0)+IF(CA621="同作战",$FA$19*$FA$24/(1+($FA$20-1)*$FA$19),0)+IF(CA621="仲间",$FA$19*$FA$24*2/3/(1+($FA$20-1)*$FA$19),0)+IF(CA621="同属性",$FA$19*$FA$24*$FA$37/3/(1+($FA$20-1)*$FA$19),0)+IF(CA621="同年级",$FA$19*$FA$24*$FA$40/3/(1+($FA$20-1)*$FA$19),0)+IF(CA621="同学校",$FA$19*$FA$24*$FA$43/3/(1+($FA$20-1)*$FA$19),0)+IF(CA621="同小队",$FA$19*$FA$24*$FA$46/3/(1+($FA$20-1)*$FA$19),0)+IF(CA621="同type",$FA$19*$FA$24*INDEX($FB$49:$FB$52,MATCH(X621,$FA$49:$FA$52,))/3/(1+($FA$20-1)*$FA$19),0)+IF(CA621="自身",$FA$19*#REF!/3/(1+(BH621-1)*$BD621),0)),0)</f>
        <v>0</v>
      </c>
      <c r="CE621" s="1097">
        <f t="shared" si="921"/>
        <v>0</v>
      </c>
      <c r="CF621" s="1112">
        <f t="shared" si="922"/>
        <v>0</v>
      </c>
      <c r="CG621" s="1100">
        <f t="shared" si="923"/>
        <v>0</v>
      </c>
      <c r="CH621" s="1110">
        <f t="shared" si="924"/>
        <v>0</v>
      </c>
      <c r="CI621" s="1113" t="s">
        <v>160</v>
      </c>
      <c r="CJ621" s="1114">
        <v>1</v>
      </c>
      <c r="CK621" s="1169" t="s">
        <v>5011</v>
      </c>
      <c r="CL621" s="1169" t="s">
        <v>5012</v>
      </c>
      <c r="CM621" s="1166">
        <v>0.24</v>
      </c>
      <c r="CN621" s="1169">
        <v>10</v>
      </c>
      <c r="CO621" s="1169">
        <v>1</v>
      </c>
      <c r="CP621" s="1118">
        <f t="shared" ref="CP621" si="1144">IF(OR(CK621="无",CI621="大量伤害",CI621="AC失败",CI621="低血量",CK621="复活",CK621="驱散",CK621="Gd切队效果up"),0,IF(AND(CK621="sp获得",CI621="AC成功"),0,IF(CK621="其他",0,IF(CN621=0,CM621*(IF(CL621="ap",AQ621*IF(CK621="vo获得",AP621,1))+IF(CL621="st",AR621)+IF(CL621="te",AS621)+IF(CL621="sp槽",$EW$77)+IF(CL621="",1))*(IF(CI621="曲开始",CJ621,0)+IF(CI621="切队",IF(CO621&lt;&gt;"",MIN(CO621,CJ621*$EW$79),CJ621*$EW$79))+IF(CI621="SP发动",IF(CO621&lt;&gt;"",MIN(CO621,CJ621*$EW$76),CJ621*$EW$76))+IF(CI621="ap时",IF(CO621&lt;&gt;"",MIN(CO621,CJ621*$EW$65/3),CJ621*$EW$65/3),0)+IF(CI621="伤害时",IF(CO621&lt;&gt;"",MIN(CO621,CJ621*$EW$65*(1-$EW$75)),CJ621*$EW$65*(1-$EW$75)),0)+IF(CI621="ct时",IF(CO621&lt;&gt;"",MIN(CO621,CJ621*$EW$65/3*$AU621),CJ621*$EW$65/3*$AU621),0)+IF(OR(CI621="AC时",CI621="AC成功"),IF(CO621&lt;&gt;"",MIN(CO621,CJ621*$EW$73),CJ621*$EW$73))),0)/$EW$65+IF(CN621="infty",IF(OR(CI621="曲开始",AND(CJ621=1,CO621=1)),CM621*CJ621,IF(CI621="SP发动",IF(CO621=1,CM621*(1-(1-(1-CJ621)^($EW$76+1))/(($EW$76+1)*CJ621)))+IF(CO621="",CJ621*CM621*$EW$76/2),0)+IF(CI621="AC时",IF(CO621=1,CM621*(1-(1-(1-CJ621)^($EW$73+1))/(($EW$73+1)*CJ621)))+IF(CO621="",CJ621*CM621*$EW$73/2),0)+IF(CI621="AC成功",IF(CO621=1,CM621*(1-(1-(1-CJ621)^($EW$73+1))/(($EW$73+1)*CJ621)))+IF(CO621="",CJ621*CM621*$EW$73/2),0)),0)*(IF(CL621="全员",1,0)+IF(CL621="同属性",$EW$37/3,0)+IF(CL621="同年级",$EW$40/3,0)+IF(CL621="同作战",1,0)+IF(CL621="自身",1/3,0)+IF(CL621="同type",INDEX($EX$49:$EX$52,MATCH($O621,$EW$49:$EW$52,))/3))+IF(AND(CN621&lt;&gt;0,CN621&lt;&gt;"infty"),IF(CN621="AC内",$EW$74,CN621)*CM621*(IF(CI621="曲开始",CJ621,0)+IF(CI621="切队",IF(CO621&lt;&gt;"",MIN(CO621,CJ621*$EW$79),CJ621*$EW$79))+IF(CI621="SP发动",IF(CO621&lt;&gt;"",MIN(CO621,CJ621*$EW$76),CJ621*$EW$76))+IF(CI621="ap时",IF(CO621&lt;&gt;"",MIN(CO621,CJ621*$EW$65/3),CJ621*$EW$65/3),0)+IF(CI621="伤害时",IF(CO621&lt;&gt;"",MIN(CO621,CJ621*$EW$65*(1-$EW$75)),CJ621*$EW$65*(1-$EW$75)),0)+IF(CI621="ct时",IF(CO621&lt;&gt;"",MIN(CO621,CJ621*$EW$65/3*$AU621),CJ621*$EW$65/3*$AU621),0)+IF(OR(CI621="AC时",CI621="AC成功"),IF(CO621&lt;&gt;"",MIN(CO621,CJ621*$EW$73),CJ621*$EW$73))),0)/$EW$65*(IF(CL621="全员",1,0)+IF(CL621="同属性",$EW$37/3,0)+IF(CL621="同年级",$EW$40/3,0)+IF(CL621="同学校",$EW$43/3,0)+IF(CL621="同作战",1,0)+IF(CL621="自身",1/3,0)+IF(CL621="同type",INDEX($EX$49:$EX$52,MATCH($O621,$EW$49:$EW$52,))/3)-IF(AND(CK621="ct+",CL621&lt;&gt;"仲间"),MAX(CM621+$AU621-1,0)/CM621/3)))))</f>
        <v>5.7142857142857143E-3</v>
      </c>
      <c r="CQ621" s="1118">
        <f t="shared" ref="CQ621" si="1145">IF(OR(CK621="无",CI621="大量伤害",CI621="AC失败",CI621="低血量",CK621="复活",CK621="驱散",CK621="Gd切队效果up"),0,IF(AND(CK621="sp获得",CI621="AC成功"),0,IF(CK621="其他",0,IF(CN621=0,CM621*(IF(CL621="ap",BA621*IF(CK621="vo获得",AP621,1))+IF(CL621="st",BB621)+IF(CL621="te",BC621)+IF(CL621="sp槽",$FA$69)+IF(CL621="",1))*(IF(CK621="sp获得",$FA$30,1))*(IF(CI621="曲开始",CJ621,0)+IF(CI621="切队",IF(CO621&lt;&gt;"",MIN(CO621,CJ621*$FA$71),CJ621*$FA$71))+IF(CI621="SP发动",IF(CO621&lt;&gt;"",MIN(CO621,CJ621*$FA$68),CJ621*$FA$68))+IF(CI621="ap时",IF(CO621&lt;&gt;"",MIN(CO621,CJ621*$FA$62/3),CJ621*$FA$62/3),0)+IF(CI621="伤害时",IF(CO621&lt;&gt;"",MIN(CO621,CJ621*$FA$62*(1-$FA$67)),CJ621*$FA$62*(1-$FA$67)),0)+IF(CI621="ct时",IF(CO621&lt;&gt;"",MIN(CO621,CJ621*$FA$62/3*$BD621),CJ621*$FA$62/3*$BD621),0)+IF(OR(CI621="AC时",CI621="AC成功"),IF(CO621&lt;&gt;"",MIN(CO621,CJ621*$FA$65),CJ621*$FA$65))),0)/$FA$62+IF(CN621="infty",IF(OR(CI621="曲开始",AND(CJ621=1,CO621=1)),CM621*CJ621,IF(CI621="SP发动",IF(CO621=1,CM621*(1-(1-(1-CJ621)^($FA$68+1))/(($FA$68+1)*CJ621)))+IF(CO621="",CJ621*CM621*$FA$68/2),0)+IF(CI621="AC时",IF(CO621=1,CM621*(1-(1-(1-CJ621)^($FA$65+1))/(($FA$65+1)*CJ621)))+IF(CO621="",CJ621*CM621*$FA$65/2),0)+IF(CI621="AC成功",IF(CO621=1,CM621*(1-(1-(1-CJ621)^($FA$65+1))/(($FA$65+1)*CJ621)))+IF(CO621="",CJ621*CM621*$FA$65/2),0)),0)*(IF(CL621="全员",1,0)+IF(CL621="同属性",$FA$37/3,0)+IF(CL621="同年级",$FA$40/3,0)+IF(CL621="同作战",1,0)+IF(CL621="自身",1/3,0)+IF(CL621="同type",INDEX($FB$49:$FB$52,MATCH($O621,$FA$49:$FA$52,))/3))+IF(AND(CN621&lt;&gt;0,CN621&lt;&gt;"infty"),IF(CN621="AC内",$FA$66,CN621)*CM621*(IF(CI621="曲开始",CJ621,0)+IF(CI621="切队",IF(CO621&lt;&gt;"",MIN(CO621,CJ621*$FA$71),CJ621*$FA$71))+IF(CI621="SP发动",IF(CO621&lt;&gt;"",MIN(CO621,CJ621*$FA$68),CJ621*$FA$68))+IF(CI621="ap时",IF(CO621&lt;&gt;"",MIN(CO621,CJ621*$FA$62/3),CJ621*$FA$62/3),0)+IF(CI621="伤害时",IF(CO621&lt;&gt;"",MIN(CO621,CJ621*$FA$62*(1-$FA$67)),CJ621*$FA$62*(1-$FA$67)),0)+IF(CI621="ct时",IF(CO621&lt;&gt;"",MIN(CO621,CJ621*$FA$62/3*$BD621),CJ621*$FA$62/3*$BD621),0)+IF(OR(CI621="AC时",CI621="AC成功"),IF(CO621&lt;&gt;"",MIN(CO621,CJ621*$FA$65),CJ621*$FA$65))),0)/$FA$62*(IF(CL621="全员",1,0)+IF(CL621="同属性",$FA$37/3,0)+IF(CL621="同年级",$FA$40/3,0)+IF(CL621="同学校",$FA$43/3,0)+IF(CL621="同作战",1,0)+IF(CL621="自身",1/3,0)+IF(CL621="同type",INDEX($FB$49:$FB$52,MATCH($O621,$FA$49:$FA$52,))/3)-IF(AND(CK621="ct+",CL621&lt;&gt;"仲间"),MAX(CM621+$BD621-1,0)/3/CM621)))))</f>
        <v>7.7777777777777776E-3</v>
      </c>
      <c r="CR621" s="1118">
        <f t="shared" ref="CR621" si="1146">IF(OR(CK621="无",CI621="大量伤害",CI621="AC失败",CI621="低血量",CK621="复活",CK621="驱散",CK621="Gd切队效果up"),0,IF(AND(CK621="sp获得",CI621="AC成功"),0,IF(CK621="其他",0,IF(CN621=0,CM621*(IF(CL621="ap",AQ621*IF(CK621="vo获得",AP621,1))+IF(CL621="st",AR621)+IF(CL621="te",AS621)+IF(CL621="sp槽",$EW$77)+IF(CL621="",1))*(IF(CI621="曲开始",CJ621,0)+IF(CI621="切队",IF(CO621&lt;&gt;"",MIN(CO621,CJ621*$EW$79),CJ621*$EW$79))+IF(CI621="SP发动",IF(CO621&lt;&gt;"",MIN(CO621,CJ621*$EW$76),CJ621*$EW$76))+IF(CI621="ap时",0)+IF(CI621="伤害时",IF(CO621&lt;&gt;"",MIN(CO621,CJ621*$EW$65*(1-$EW$75)),CJ621*$EW$65*(1-$EW$75)),0)+IF(CI621="ct时",0)+IF(OR(CI621="AC时",CI621="AC成功"),IF(CO621&lt;&gt;"",MIN(CO621,CJ621*$EW$73),CJ621*$EW$73))),0)/$EW$65+IF(CN621="infty",IF(OR(CI621="曲开始",AND(CJ621=1,CO621=1)),CM621*CJ621,IF(CI621="SP发动",IF(CO621=1,CM621*(1-(1-(1-CJ621)^($EW$76+1))/(($EW$76+1)*CJ621)))+IF(CO621="",CJ621*CM621*$EW$76/2),0)+IF(CI621="AC时",IF(CO621=1,CM621*(1-(1-(1-CJ621)^($EW$73+1))/(($EW$73+1)*CJ621)))+IF(CO621="",CJ621*CM621*$EW$73/2),0)+IF(CI621="AC成功",IF(CO621=1,CM621*(1-(1-(1-CJ621)^($EW$73+1))/(($EW$73+1)*CJ621)))+IF(CO621="",CJ621*CM621*$EW$73/2),0)),0)*(IF(CL621="全员",1,0)+IF(CL621="同属性",$EW$38/3,0)+IF(CL621="同年级",$EW$41/3,0)+IF(CL621="同作战",0,0)+IF(CL621="自身",0,0)+IF(CL621="同type",INDEX($EX$53:$EX$56,MATCH($O621,$EW$53:$EW$56,))/3))+IF(AND(CN621&lt;&gt;0,CN621&lt;&gt;"infty"),IF(CN621="AC内",$EW$74,CN621)*(IF(CI621="曲开始",CM621*CJ621,0)+IF(CI621="切队",CM621*IF(CO621&lt;&gt;"",MIN(CO621,CJ621*$EW$79),CJ621*$EW$79))+IF(CI621="SP发动",CM621*IF(CO621&lt;&gt;"",MIN(CO621,CJ621*$EW$76),CJ621*$EW$76))+IF(CI621="ap时",0,0)+IF(CI621="伤害时",CM621*IF(CO621&lt;&gt;"",MIN(CO621,CJ621*$EW$65*(1-$EW$75)),CJ621*$EW$65*(1-$EW$75)),0)+IF(CI621="ct时",0,0)+IF(OR(CI621="AC时",CI621="AC成功"),CM621*IF(CO621&lt;&gt;"",MIN(CO621,CJ621*$EW$73),CJ621*$EW$73))),0)/$EW$65*(IF(CL621="全员",1,0)+IF(CL621="同属性",$EW$38/3,0)+IF(CL621="同年级",$EW$41/3,0)+IF(CL621="同学校",$EW$44/3,0)+IF(CL621="同作战",0,0)+IF(CL621="自身",0,0)+IF(CL621="同type",INDEX($EX$53:$EX$56,MATCH($O621,$EW$53:$EW$56,))/3)))))</f>
        <v>2.8571428571428571E-3</v>
      </c>
      <c r="CS621" s="1118">
        <f t="shared" ref="CS621" si="1147">IF(CK621="技能+",IF(CN621="infty",(IF(CI621="曲开始",CM621*CJ621)+IF(OR(CI621="AC时",CI621="AC成功"),(1-(1-(1-CJ621)^($FM$20+1))/(($FM$20+1)*CJ621))*CM621))*(IF(CL621="全员",1)))+IF(CN621&lt;&gt;"infty",CM621*(IF(CI621="曲开始",CJ621*CN621/$FM$19)+IF(OR(CI621="AC时",CI621="AC成功"),CN621*IF(CO621&lt;&gt;"",MIN(CO621,CJ621*$FM$20),CJ621*$FM$20)/$FM$19)+IF(CI621="切队",CN621*IF(CO621&lt;&gt;"",MIN(CJ621*$FM$11,CO621/$FM$19),CJ621*$FM$11))+IF(CI621="ap时",IF(CO621&lt;&gt;"",MIN(CO621/$FM636,IF($O621="sk",$FM$10,$FM$9)*CJ621),IF($O621="sk",$FM$10,$FM$9)*CJ621)*CN621)+IF(CI621="ct时",IF(CO621&lt;&gt;"",MIN(CO621/$FM636,$AU621*IF($O621="sk",$FM$10,$FM$9)*CJ621),$AU621*IF($O621="sk",$FM$10,$FM$9)*CJ621)*CN621))*(IF(CL621="全员",1)+IF(CL621="同作战",IF($O621="sk",$FM$10*3,$FM$9*3))+IF(CL621="同属性",$FM$23/6)+IF(CL621="同年级",$FM$24/6)+IF(CL621="自身",IF($O621="sk",$FM$10,$FM$9)))),0)*$FM$16</f>
        <v>0</v>
      </c>
      <c r="CT621" s="1109">
        <f t="shared" ref="CT621" si="1148">IF(CK621="sp+",IF(CN621="infty",(IF(CI621="曲开始",CM621*CJ621*$FM$28)+IF(OR(CI621="AC时",CI621="AC成功"),(1-(1-(1-CJ621)^($FM$20+1))/(($FM$20+1)*CJ621))*CM621*$FM$28))*(IF(CL621="全员",1)))+IF(CN621&lt;&gt;"infty",CM621*$FM$28*(IF(CI621="曲开始",CJ621*CN621/$FM$19)+IF(OR(CI621="AC时",CI621="AC成功"),CN621*IF(CO621&lt;&gt;"",MIN(CO621,CJ621*$FM$20),CJ621*$FM$20)/$FM$19)+IF(CI621="切队",CN621*IF(CO621&lt;&gt;"",MIN(CJ621*$FM$11,CO621/$FM$19),CJ621*$FM$11))+IF(CI621="ap时",IF(CO621&lt;&gt;"",MIN(CO621/$FM636,IF($O621="sk",$FM$10,$FM$9)*CJ621),IF($O621="sk",$FM$10,$FM$9)*CJ621)*CN621)+IF(CI621="ct时",IF(CO621&lt;&gt;"",MIN(CO621/$FM636,$AU621*IF($O621="sk",$FM$10,$FM$9)*CJ621),$AU621*IF($O621="sk",$FM$10,$FM$9)*CJ621)*CN621))*(IF(CL621="全员",1)+IF(CL621="同作战",IF($O621="sk",$FM$10*3,$FM$9*3))+IF(CL621="同属性",$FM$23/6)+IF(CL621="同年级",$FM$24/6)+IF(CL621="同type",IF(O621="sp",$FN$6*$FM$9)))),0)+IF(CK621="sp获得",IF(CI621="AC成功",0,CM621*(IF(CL621="ap",AQ621)+IF(CL621="st",AR621)+IF(CL621="te",AS621)+IF(CL621="sp槽",$EW$77)+IF(CL621="",1))*IF($O621="sk",1,1+(1+$FM$10/$FM$9)*($FM$27-1))*(IF(CI621="曲开始",CJ621/$FM$19)+IF(CI621="SP发动",IF(CO621&lt;&gt;"",MIN(CO621/$FM$19,CJ621*$FM$30/$FM$19),CJ621*$FM$30/$FM$19))+IF(CI621="切队",IF(CO621&lt;&gt;"",MIN(CO621/$FM$19,CJ621*$FM$11),CJ621*$FM$11))+IF(OR(CI621="AC时",CI621="AC成功"),IF(CO621&lt;&gt;"",MIN(CO621/$FM$19,CJ621*$FM$20/$FM$19),CJ621*$FM$20/$FM$19))+IF(CI621="ap时",IF(CO621&lt;&gt;"",MIN(CO621/$FM$19,CJ621*IF($O621="sk",$FM$10,$FM$9)),CJ621*IF($O621="sk",$FM$10,$FM$9)))+IF(CI621="ct时",IF(CO621&lt;&gt;"",MIN(CO621/$FM$19,CJ621*IF($O621="sk",$FM$10,$FM$9)*$AU621),CJ621*IF($O621="sk",$FM$10,$FM$9)*$AU621)))))</f>
        <v>0</v>
      </c>
      <c r="CU621" s="1101">
        <f t="shared" ref="CU621" si="1149">IF(AND(CK621="技能+",CL621="自身",$DR621=0.11),0,IF(CK621="sp+",CP621*$EW$30*$EW$32*(1-$EW$33),0)+IF(CK621="ap+",CP621*$EW$26/(1+$EW$15),0)+IF(CK621="ap+元气",CP621*$EW$26/(1+$EW$15)*$EW$67,0)+IF(CK621="技能+",$EW$28*CP621/$EW$27,0)+IF(CK621="vo+",$EW$26*CP621,0)+IF(CK621="sp获得",CP621*(1-$EW$33)*$EW$30/$EW$77)+IF(CK621="vo获得",CP621*$EW$24)+IF(CK621="ct+",$EW$26/(1+($EW$22-1)*$EW$19)*($EW$22-1)*CP621)+IF(CK621="核弹",$EW$24*CP621*(1+$EW$23))+IF(CK621="ct值+",$EW$26/(1+($EW$22-1)*$EW$19)*$EW$19*CP621))</f>
        <v>74.285714285714292</v>
      </c>
      <c r="CV621" s="1108">
        <f t="shared" ref="CV621" si="1150">IF(AND(CK621="技能+",CL621="自身",$DR621=0.11),0,IF(CK621="sp+",CQ621*$FA$27*$FA$32*(1-$FA$33),0)+IF(CK621="ap+",CQ621*$FA$24/(1+$FA$15)*(1-$FI$26),0)+IF(CK621="ap+元气",CQ621*$FA$24/(1+$FA$15)*(1-$FI$26)*$FA$64,0)+IF(CK621="技能+",$FA$26*CQ621/$FA$25,0)+IF(CK621="vo+",$FA$24*CQ621*(1-$FI$26),0)+IF(CK621="sp获得",CQ621*(1-$FA$33)*$FA$27/$FA$69)+IF(CK621="vo获得",CQ621*$FA$22)+IF(CK621="ct+",$FA$24/(1+($FA$20-1)*$FA$19)*($FA$20-1)*CQ621*(1-$FI$27))+IF(CK621="核弹",CQ621*(1+$FA$21)*(1-$FI$29))+IF(CK621="ct值+",$FA$24/(1+($FA$20-1)*$FA$19)*$FA$19*CQ621*(1-$FI$28))+IF(CK621="自身ct时上限突破",CQ621*$FI$24*$FI$26*BD621,0))</f>
        <v>77.518518518518505</v>
      </c>
      <c r="CW621" s="1097">
        <f t="shared" ref="CW621" si="1151">IF(CK621="sp+",CR621*$EW$30*$EW$32*(1-$EW$33),0)+IF(CK621="ap+",CR621*$EW$26/(1+$EW$15),0)+IF(CK621="ap+元气",CR621*$EW$26/(1+$EW$15)*$EW$67,0)+IF(CK621="技能+",$EW$28*CR621/$EW$27,0)+IF(CK621="vo+",$EW$26*CR621,0)+IF(CK621="sp获得",CR621*(1-$EW$33)*$EW$30/$EW$77)+IF(CK621="vo获得",CR621*$EW$24)+IF(CK621="ct+",$EW$26/(1+($EW$22-1)*$EW$19)*($EW$22-1)*CR621)+IF(CK621="核弹",CR621*(1+$EW$23)*$EW$24)+IF(CK621="ct值+",$EW$26/(1+($EW$22-1)*$EW$19)*$EW$19*CR621)</f>
        <v>37.142857142857146</v>
      </c>
      <c r="CX621" s="1097">
        <f t="shared" ref="CX621" si="1152">CU621+IF(OR(CK621="加盾",AND(CK621="回血",OR(CI621&lt;&gt;"切队",CO621=""))),MIN($EW$26/$EW$66*(1-$EW$66)-$EE621+$EC621-$ET621+$ER621, $EW$26*(HP($EW$62,$EW$65,$EW$64-CP621)/$EW$66-1)))+IF(CK621="减伤",MIN($EW$26/$EW$66*(1-$EW$66)-$EE621+$EC621-$ET621+$ER621, $EW$26*(HP($EW$62,$EW$65,$EW$64*(1-CP621))/$EW$66-1)))</f>
        <v>74.285714285714292</v>
      </c>
      <c r="CY621" s="1110">
        <f t="shared" ref="CY621" si="1153">CW621+(IF(OR(CK621="加盾",AND(CK621="回血",OR(CI621&lt;&gt;"切队",CO621=""))),$EW$26*(HP($EW$62,$EW$65,$EW$64-CP621)/$EW$66-1))+IF(CK621="减伤",$EW$26*(HP($EW$62,$EW$65,$EW$64*(1-CP621))/$EW$66-1)))*IF(OR(CL621="自身",CL621="同作战"),0,1)*IF(OR(CI621="ap时",CI621="ct时"),0,1)</f>
        <v>37.142857142857146</v>
      </c>
      <c r="CZ621" s="1113"/>
      <c r="DA621" s="1114"/>
      <c r="DB621" s="1115" t="s">
        <v>569</v>
      </c>
      <c r="DC621" s="1115"/>
      <c r="DD621" s="1119"/>
      <c r="DE621" s="1092"/>
      <c r="DF621" s="1092"/>
      <c r="DG621" s="1116">
        <f t="shared" si="986"/>
        <v>0</v>
      </c>
      <c r="DH621" s="1116">
        <f t="shared" si="987"/>
        <v>0</v>
      </c>
      <c r="DI621" s="1116">
        <f t="shared" si="988"/>
        <v>0</v>
      </c>
      <c r="DJ621" s="1118">
        <f t="shared" si="989"/>
        <v>0</v>
      </c>
      <c r="DK621" s="1109">
        <f t="shared" si="990"/>
        <v>0</v>
      </c>
      <c r="DL621" s="1101">
        <f t="shared" si="991"/>
        <v>0</v>
      </c>
      <c r="DM621" s="1097">
        <f t="shared" si="992"/>
        <v>0</v>
      </c>
      <c r="DN621" s="1097">
        <f t="shared" si="993"/>
        <v>0</v>
      </c>
      <c r="DO621" s="1097">
        <f t="shared" si="994"/>
        <v>0</v>
      </c>
      <c r="DP621" s="1110">
        <f t="shared" si="995"/>
        <v>0</v>
      </c>
      <c r="DQ621" s="1167" t="s">
        <v>533</v>
      </c>
      <c r="DR621" s="1120">
        <f t="shared" ref="DR621" si="1154">IF(F621="UR",0.33,0.3)</f>
        <v>0.3</v>
      </c>
      <c r="DS621" s="1165">
        <v>2</v>
      </c>
      <c r="DT621" s="1124" t="s">
        <v>2075</v>
      </c>
      <c r="DU621" s="1165" t="s">
        <v>2145</v>
      </c>
      <c r="DV621" s="1098">
        <f>IF($P621="","N/A",IF(P621=-1,INDEX('卡片raw data'!AN:AN,MATCH(D621,'卡片raw data'!$F:$F,)),0)+IF(AND(L621&lt;&gt;"party卡",P621&lt;=2,P621&gt;=0),INDEX('卡片raw data'!AP:AP,MATCH(D621,'卡片raw data'!$F:$F,)),0)+IF(OR(AND(L621="party卡",P621&lt;=1),AND(P621&lt;=4,L621&lt;&gt;"party卡",P621&gt;=3)),INDEX('卡片raw data'!AQ:AQ,MATCH(D621,'卡片raw data'!$F:$F,)),0)+IF(OR(P621=5,AND(L621="party卡",P621&gt;=2)),INDEX('卡片raw data'!AR:AR,MATCH(D621,'卡片raw data'!$F:$F,)),0))</f>
        <v>0.112</v>
      </c>
      <c r="DW621" s="1098">
        <f t="shared" si="928"/>
        <v>0.3</v>
      </c>
      <c r="DX621" s="1098">
        <f t="shared" si="929"/>
        <v>0.3</v>
      </c>
      <c r="DY621" s="1098">
        <f t="shared" si="930"/>
        <v>1.4933333333333333E-2</v>
      </c>
      <c r="DZ621" s="1098">
        <f t="shared" si="931"/>
        <v>1.1302666666666666E-2</v>
      </c>
      <c r="EA621" s="1098">
        <f t="shared" si="932"/>
        <v>0</v>
      </c>
      <c r="EB621" s="1121">
        <f t="shared" si="933"/>
        <v>1.8622770833333331</v>
      </c>
      <c r="EC621" s="1101">
        <f t="shared" si="934"/>
        <v>194.13333333333333</v>
      </c>
      <c r="ED621" s="1097">
        <f t="shared" si="935"/>
        <v>112.64991111111109</v>
      </c>
      <c r="EE621" s="1110">
        <f t="shared" si="996"/>
        <v>194.13333333333333</v>
      </c>
      <c r="EF621" s="1113" t="s">
        <v>569</v>
      </c>
      <c r="EG621" s="1120">
        <f>IF(F621="UR",0.33,0.3)</f>
        <v>0.3</v>
      </c>
      <c r="EH621" s="1124"/>
      <c r="EI621" s="1124"/>
      <c r="EJ621" s="1124"/>
      <c r="EK621" s="1097">
        <f>IF($P621="","N/A",IF(P621=-1,INDEX('卡片raw data'!AS:AS,MATCH(D621,'卡片raw data'!$F:$F,)),0)+IF(AND(L621&lt;&gt;"party卡",P621&lt;=2,P621&gt;=0),INDEX('卡片raw data'!AU:AU,MATCH(D621,'卡片raw data'!$F:$F,)),0)+IF(OR(AND(L621="party卡",P621&lt;=1),AND(P621&lt;=4,L621&lt;&gt;"party卡",P621&gt;=3)),INDEX('卡片raw data'!AV:AV,MATCH(D621,'卡片raw data'!$F:$F,)),0)+IF(OR(P621=5,AND(L621="party卡",P621&gt;=2)),INDEX('卡片raw data'!AW:AW,MATCH(D621,'卡片raw data'!$F:$F,)),0))</f>
        <v>0</v>
      </c>
      <c r="EL621" s="1098">
        <f t="shared" ref="EL621" si="1155">EG621+IF(AND($CK621="技能+",$CL621="自身",EG621=0.11),$CP621*3)</f>
        <v>0.3</v>
      </c>
      <c r="EM621" s="1098">
        <f t="shared" ref="EM621" si="1156">EG621+IF(AND($CK621="技能+",$CL621="自身",EG621=0.11),$CQ621*3)</f>
        <v>0.3</v>
      </c>
      <c r="EN621" s="1097">
        <f t="shared" ref="EN621" si="1157">IF(EH621=0,IF(EI621="ap",EK621*$AQ621*EL621/3*IF(EF621="vo获得",$AP621,1))+IF(EI621="st",EK621*$AR621*EL621/3)+IF(EI621="te",EK621*$AS621*EL621/3)+IF(EI621="sp槽",EK621*EL621/3)+IF(EI621="固定值",IF(EF621="sp获得",EK621/3*EL621/$EW$77,EK621*EL621/3)),IF(EJ621="百分比",IF(EI621="全员",EK621*EL621/3*EH621)+IF(EI621="仲间",EK621*EL621/3*EH621*2/3)+IF(EI621="同作战",EK621*EL621/3*EH621)+IF(EI621="同年级",EK621*EL621/3*EH621*$EW$40/3)+IF(EI621="同学校",EK621*EL621/3*EH621*$EW$43/3)+IF(EI621="同属性",EK621*EL621/3*EH621*$EW$37/3)+IF(EI621="同type",EK621*EL621/3*EH621*INDEX($EX$49:$EX$52,MATCH(AD621,$EW$49:$EW$52,))/3),(IF(EF621="ap+",EK621/$EX$16*EH621*EL621/3)+IF(EF621="vo+",EK621*(1+$EW$23)/$EW$26*EH621*EL621/3))*(IF(EI621="全员",1)+IF(EI621="同作战",1)))-IF(AND(EF621="ct+",EI621&lt;&gt;"仲间"),MAX(EK621+$AU621-1,0)*EL621/3*_xlfn.FLOOR.MATH(EH621/3)))</f>
        <v>0</v>
      </c>
      <c r="EO621" s="1097">
        <f t="shared" ref="EO621" si="1158">IF(EH621=0,IF(EI621="ap",IF(EF621="vo获得",MIN(EK621*$BA621*$AP621,$FI$25)*$FA$22*EM621/3,EK621*$BA621*EM621/3))+IF(EI621="st",EK621*$BB621*EM621/3)+IF(EI621="te",EK621*$BC621*EM621/3)+IF(EI621="sp槽",EK621*EM621/3*$FA$30)+IF(EI621="固定值",IF(EF621="sp获得",EK621/3*EM621/$FA$69*$FA$30,EK621*EM621/3)),IF(EJ621="百分比",IF(EI621="全员",EK621*EM621/3*EH621)+IF(EI621="仲间",EK621*EM621/3*EH621*2/3)+IF(EI621="同作战",EK621*EM621/3*EH621)+IF(EI621="同年级",EK621*EM621/3*EH621*$FA$40/3)+IF(EI621="同学校",EK621*EM621/3*EH621*$FA$43/3)+IF(EI621="同属性",EK621*EM621/3*EH621*$FA$37/3)+IF(EI621="同type",EK621*EM621/3*EH621*INDEX($FB$49:$FB$52,MATCH(AD621,$FA$49:$FA$52,))/3),(IF(EF621="ap+",EK621/$FB$16*EH621*EM621/3)+IF(EF621="vo+",EK621*(1+$FA$21)/$FA$24*EH621*EM621/3))*(IF(EI621="全员",1)+IF(EI621="同作战",1)))-IF(AND(EF621="ct+",EI621&lt;&gt;"仲间"),MAX(EK621+$BD621-1,0)*EM621/3*_xlfn.FLOOR.MATH(EH621/3)))*$FA$57</f>
        <v>0</v>
      </c>
      <c r="EP621" s="1098">
        <f t="shared" ref="EP621" si="1159">IF(EF621="技能+",IF(AB621="sk",FZ$10,FZ$9)*(1+0.1*$FM$31/$FM$19)*IF(AB621="sk",$FM$18,$FM$17)*EG621/$FM$14*(IF(EI621="全员",EH621*EK621)+IF(EI621="同属性",EH621*EK621*$FM$23/6)+IF(EI621="同作战",EK621*IF(AB621="sk",IF(AND(EH621&gt;1,EH621&lt;6),2),$FM$9*EH621*3))),0)*$FM$16</f>
        <v>0</v>
      </c>
      <c r="EQ621" s="1121">
        <f t="shared" ref="EQ621" si="1160">IF(EF621="sp+",1/6*(1+0.1*$FM$31/$FM$19)*IF(AB621="sk",$FM$18,$FM$17)*EG621/$FM$14*$FM$28*(IF(EI621="全员",EH621*EK621)+IF(EI621="同属性",EH621*EK621*$FM$23/6)+IF(EI621="同年级",EH621*EK621*$FM$24/6)),0)+IF(EF621="sp获得",1/6*(1+0.1*$FM$31/$FM$19)*IF(AB621="sk",$FM$18,$FM$17)*EG621/$FM$14*IF(AB621="sk",1,1+(1+$FM$10/$FM$9)*($FM$27-1))*IF(EI621="固定值",EK621,EK621*$FM$25))</f>
        <v>0</v>
      </c>
      <c r="ER621" s="1101">
        <f t="shared" ref="ER621" si="1161">IF(EF621="ap+",$EW$26/(1+$EW$15)*EN621)+IF(EF621="vo+",$EW$26*EN621)+IF(EF621="vo获得",EN621*$EW$24)+IF(EF621="sp+",EN621*$EW$30*$EW$32*(1-$EW$33))+IF(EF621="sp获得",EN621*$EW$30*(1-$EW$33))+IF(EF621="技能+",EN621*$EW$28/$EW$27)+IF(EF621="ct+",EN621*$EW$26/(1+($EW$22-1)*$EW$19)*($EW$22-1))+IF(EF621="核弹",EN621*(1+$EW$23)*$EW$24)+IF(EF621="ct值+",$EW$26/(1+($EW$22-1)*$EW$19)*$EW$19*EN621)</f>
        <v>0</v>
      </c>
      <c r="ES621" s="1097">
        <f t="shared" ref="ES621" si="1162">IF(EF621="ap+",$FA$24/(1+$FA$15)*EO621*(1-$FI$26))+IF(EF621="vo+",$FA$24*EO621*(1-$FI$26))+IF(EF621="vo获得",EO621)+IF(EF621="sp+",EO621*$FA$27*$FA$32*(1-$FA$33))+IF(EF621="sp获得",EO621*$FA$27*(1-$FA$33))+IF(EF621="技能+",EO621*$FA$26/$FA$25)+IF(EF621="ct+",EO621*$FA$24/(1+($FA$20-1)*$FA$19)*($FA$20-1)*(1-$FI$27))+IF(EF621="核弹",EO621*(1+$FA$21)*(1-$FI$29))+IF(EF621="ct值+",$FA$24/(1+($FA$20-1)*$FA$19)*$FA$19*EO621*(1-$FI$28))</f>
        <v>0</v>
      </c>
      <c r="ET621" s="1122">
        <f t="shared" ref="ET621" si="1163">ER621+IF(OR(EF621="回血",EF621="加盾"),$EW$26*(HP($EW$62,$EW$65,$EW$64-EN621)/$EW$66-1))+IF(EF621="减伤",$EW$26*(HP($EW$62,$EW$65,$EW$64*(1-EN621))/$EW$66-1))</f>
        <v>0</v>
      </c>
    </row>
    <row r="622" spans="2:150" ht="16.5" customHeight="1">
      <c r="B622" s="1024"/>
      <c r="C622" s="1025"/>
      <c r="D622" s="408">
        <v>619</v>
      </c>
      <c r="E622" s="1164"/>
      <c r="F622" s="1164"/>
      <c r="G622" s="1026"/>
      <c r="H622" s="411" t="str">
        <f>IFERROR(INDEX(绊状态确认!C:C,MATCH($G622,绊状态确认!$B:$B,)),"")</f>
        <v/>
      </c>
      <c r="I622" s="450" t="str">
        <f>IFERROR(INDEX(绊状态确认!D:D,MATCH($G622,绊状态确认!$B:$B,)),"")</f>
        <v/>
      </c>
      <c r="J622" s="450" t="str">
        <f>IFERROR(INDEX(绊状态确认!E:E,MATCH($G622,绊状态确认!$B:$B,)),"")</f>
        <v/>
      </c>
      <c r="K622" s="451" t="str">
        <f>IFERROR(INDEX(绊状态确认!F:F,MATCH($G622,绊状态确认!$B:$B,)),"")</f>
        <v/>
      </c>
      <c r="L622" s="1026"/>
      <c r="M622" s="1165"/>
      <c r="N622" s="1027"/>
      <c r="O622" s="1026"/>
      <c r="P622" s="1028"/>
      <c r="Q622" s="1029"/>
      <c r="R622" s="1166"/>
      <c r="S622" s="1030"/>
      <c r="T622" s="1031"/>
      <c r="U622" s="1032"/>
      <c r="V622" s="1033"/>
      <c r="W622" s="1034"/>
      <c r="X622" s="1166"/>
      <c r="Y622" s="1035"/>
      <c r="Z622" s="1036"/>
      <c r="AA622" s="1037"/>
      <c r="AB622" s="1038"/>
      <c r="AC622" s="1039"/>
      <c r="AD622" s="1040"/>
      <c r="AE622" s="1041"/>
      <c r="AF622" s="521"/>
      <c r="AG622" s="420"/>
      <c r="AH622" s="420"/>
      <c r="AI622" s="420"/>
      <c r="AJ622" s="420"/>
      <c r="AK622" s="518"/>
      <c r="AL622" s="1042"/>
      <c r="AM622" s="1035"/>
      <c r="AN622" s="1043"/>
      <c r="AO622" s="1167"/>
      <c r="AP622" s="1044"/>
      <c r="AQ622" s="1035"/>
      <c r="AR622" s="1035"/>
      <c r="AS622" s="1035"/>
      <c r="AT622" s="1165"/>
      <c r="AU622" s="1031"/>
      <c r="AV622" s="1045"/>
      <c r="AW622" s="1038"/>
      <c r="AX622" s="1035"/>
      <c r="AY622" s="483"/>
      <c r="AZ622" s="429"/>
      <c r="BA622" s="431"/>
      <c r="BB622" s="1035"/>
      <c r="BC622" s="1035"/>
      <c r="BD622" s="481"/>
      <c r="BE622" s="432"/>
      <c r="BF622" s="646"/>
      <c r="BG622" s="1047"/>
      <c r="BH622" s="1046"/>
      <c r="BI622" s="1048"/>
      <c r="BJ622" s="1030"/>
      <c r="BK622" s="1046"/>
      <c r="BL622" s="1048"/>
      <c r="BM622" s="1046"/>
      <c r="BN622" s="1167"/>
      <c r="BO622" s="1035"/>
      <c r="BP622" s="1043"/>
      <c r="BQ622" s="1167"/>
      <c r="BR622" s="1165"/>
      <c r="BS622" s="1031"/>
      <c r="BT622" s="1038"/>
      <c r="BU622" s="1035"/>
      <c r="BV622" s="1035"/>
      <c r="BW622" s="1049"/>
      <c r="BX622" s="1043"/>
      <c r="BY622" s="1046"/>
      <c r="BZ622" s="1167"/>
      <c r="CA622" s="1165"/>
      <c r="CB622" s="1031"/>
      <c r="CC622" s="1038"/>
      <c r="CD622" s="1035"/>
      <c r="CE622" s="1035"/>
      <c r="CF622" s="1049"/>
      <c r="CG622" s="1043"/>
      <c r="CH622" s="1046"/>
      <c r="CI622" s="1167"/>
      <c r="CJ622" s="1168"/>
      <c r="CK622" s="1169"/>
      <c r="CL622" s="1169"/>
      <c r="CM622" s="1166"/>
      <c r="CN622" s="1169"/>
      <c r="CO622" s="1169"/>
      <c r="CP622" s="452"/>
      <c r="CQ622" s="435"/>
      <c r="CR622" s="441"/>
      <c r="CS622" s="452"/>
      <c r="CT622" s="482"/>
      <c r="CU622" s="476"/>
      <c r="CV622" s="431"/>
      <c r="CW622" s="1108"/>
      <c r="CX622" s="1108"/>
      <c r="CY622" s="483"/>
      <c r="CZ622" s="437"/>
      <c r="DA622" s="438"/>
      <c r="DB622" s="439"/>
      <c r="DC622" s="439"/>
      <c r="DD622" s="443"/>
      <c r="DE622" s="411"/>
      <c r="DF622" s="411"/>
      <c r="DG622" s="1117"/>
      <c r="DH622" s="1117"/>
      <c r="DI622" s="1117"/>
      <c r="DJ622" s="442"/>
      <c r="DK622" s="482"/>
      <c r="DL622" s="1038"/>
      <c r="DM622" s="1035"/>
      <c r="DN622" s="1035"/>
      <c r="DO622" s="1035"/>
      <c r="DP622" s="1046"/>
      <c r="DQ622" s="1167"/>
      <c r="DR622" s="1168"/>
      <c r="DS622" s="1165"/>
      <c r="DT622" s="1165"/>
      <c r="DU622" s="1165"/>
      <c r="DV622" s="1031"/>
      <c r="DW622" s="1098">
        <f t="shared" si="854"/>
        <v>0</v>
      </c>
      <c r="DX622" s="1098">
        <f t="shared" si="855"/>
        <v>0</v>
      </c>
      <c r="DY622" s="1030"/>
      <c r="DZ622" s="1030"/>
      <c r="EA622" s="1031"/>
      <c r="EB622" s="1050"/>
      <c r="EC622" s="1038"/>
      <c r="ED622" s="1035"/>
      <c r="EE622" s="1046"/>
      <c r="EF622" s="1169"/>
      <c r="EG622" s="1168"/>
      <c r="EH622" s="1165"/>
      <c r="EI622" s="1165"/>
      <c r="EJ622" s="1165"/>
      <c r="EK622" s="1031"/>
      <c r="EL622" s="1098">
        <f t="shared" si="862"/>
        <v>0</v>
      </c>
      <c r="EM622" s="1098">
        <f t="shared" si="863"/>
        <v>0</v>
      </c>
      <c r="EN622" s="1030"/>
      <c r="EO622" s="1030"/>
      <c r="EP622" s="1031"/>
      <c r="EQ622" s="1050"/>
      <c r="ER622" s="1038"/>
      <c r="ES622" s="1035"/>
      <c r="ET622" s="1051"/>
    </row>
    <row r="623" spans="2:150" ht="16.5" customHeight="1">
      <c r="B623" s="1024"/>
      <c r="C623" s="1025"/>
      <c r="D623" s="408">
        <v>620</v>
      </c>
      <c r="E623" s="1164"/>
      <c r="F623" s="1164"/>
      <c r="G623" s="1026"/>
      <c r="H623" s="411" t="str">
        <f>IFERROR(INDEX(绊状态确认!C:C,MATCH($G623,绊状态确认!$B:$B,)),"")</f>
        <v/>
      </c>
      <c r="I623" s="450" t="str">
        <f>IFERROR(INDEX(绊状态确认!D:D,MATCH($G623,绊状态确认!$B:$B,)),"")</f>
        <v/>
      </c>
      <c r="J623" s="450" t="str">
        <f>IFERROR(INDEX(绊状态确认!E:E,MATCH($G623,绊状态确认!$B:$B,)),"")</f>
        <v/>
      </c>
      <c r="K623" s="451" t="str">
        <f>IFERROR(INDEX(绊状态确认!F:F,MATCH($G623,绊状态确认!$B:$B,)),"")</f>
        <v/>
      </c>
      <c r="L623" s="1026"/>
      <c r="M623" s="1165"/>
      <c r="N623" s="1027"/>
      <c r="O623" s="1026"/>
      <c r="P623" s="1028"/>
      <c r="Q623" s="1029"/>
      <c r="R623" s="1166"/>
      <c r="S623" s="1030"/>
      <c r="T623" s="1031"/>
      <c r="U623" s="1032"/>
      <c r="V623" s="1033"/>
      <c r="W623" s="1034"/>
      <c r="X623" s="1166"/>
      <c r="Y623" s="1035"/>
      <c r="Z623" s="1036"/>
      <c r="AA623" s="1037"/>
      <c r="AB623" s="1038"/>
      <c r="AC623" s="1039"/>
      <c r="AD623" s="1040"/>
      <c r="AE623" s="1041"/>
      <c r="AF623" s="521"/>
      <c r="AG623" s="420"/>
      <c r="AH623" s="420"/>
      <c r="AI623" s="420"/>
      <c r="AJ623" s="420"/>
      <c r="AK623" s="518"/>
      <c r="AL623" s="1042"/>
      <c r="AM623" s="1035"/>
      <c r="AN623" s="1043"/>
      <c r="AO623" s="1167"/>
      <c r="AP623" s="1044"/>
      <c r="AQ623" s="1035"/>
      <c r="AR623" s="1035"/>
      <c r="AS623" s="1035"/>
      <c r="AT623" s="1165"/>
      <c r="AU623" s="1031"/>
      <c r="AV623" s="1045"/>
      <c r="AW623" s="1038"/>
      <c r="AX623" s="1035"/>
      <c r="AY623" s="483"/>
      <c r="AZ623" s="429"/>
      <c r="BA623" s="431"/>
      <c r="BB623" s="1035"/>
      <c r="BC623" s="1035"/>
      <c r="BD623" s="481"/>
      <c r="BE623" s="432"/>
      <c r="BF623" s="646"/>
      <c r="BG623" s="1047"/>
      <c r="BH623" s="1046"/>
      <c r="BI623" s="1048"/>
      <c r="BJ623" s="1030"/>
      <c r="BK623" s="1046"/>
      <c r="BL623" s="1048"/>
      <c r="BM623" s="1046"/>
      <c r="BN623" s="1167"/>
      <c r="BO623" s="1035"/>
      <c r="BP623" s="1043"/>
      <c r="BQ623" s="1167"/>
      <c r="BR623" s="1165"/>
      <c r="BS623" s="1031"/>
      <c r="BT623" s="1038"/>
      <c r="BU623" s="1035"/>
      <c r="BV623" s="1035"/>
      <c r="BW623" s="1049"/>
      <c r="BX623" s="1043"/>
      <c r="BY623" s="1046"/>
      <c r="BZ623" s="1167"/>
      <c r="CA623" s="1165"/>
      <c r="CB623" s="1031"/>
      <c r="CC623" s="1038"/>
      <c r="CD623" s="1035"/>
      <c r="CE623" s="1035"/>
      <c r="CF623" s="1049"/>
      <c r="CG623" s="1043"/>
      <c r="CH623" s="1046"/>
      <c r="CI623" s="1167"/>
      <c r="CJ623" s="1168"/>
      <c r="CK623" s="1169"/>
      <c r="CL623" s="1169"/>
      <c r="CM623" s="1166"/>
      <c r="CN623" s="1169"/>
      <c r="CO623" s="1169"/>
      <c r="CP623" s="452"/>
      <c r="CQ623" s="435"/>
      <c r="CR623" s="1117"/>
      <c r="CS623" s="452"/>
      <c r="CT623" s="482"/>
      <c r="CU623" s="476"/>
      <c r="CV623" s="431"/>
      <c r="CW623" s="1108"/>
      <c r="CX623" s="1108"/>
      <c r="CY623" s="483"/>
      <c r="CZ623" s="437"/>
      <c r="DA623" s="438"/>
      <c r="DB623" s="439"/>
      <c r="DC623" s="439"/>
      <c r="DD623" s="443"/>
      <c r="DE623" s="411"/>
      <c r="DF623" s="411"/>
      <c r="DG623" s="1117"/>
      <c r="DH623" s="1117"/>
      <c r="DI623" s="1117"/>
      <c r="DJ623" s="442"/>
      <c r="DK623" s="482"/>
      <c r="DL623" s="1038"/>
      <c r="DM623" s="1035"/>
      <c r="DN623" s="1035"/>
      <c r="DO623" s="1035"/>
      <c r="DP623" s="1046"/>
      <c r="DQ623" s="1167"/>
      <c r="DR623" s="1168"/>
      <c r="DS623" s="1165"/>
      <c r="DT623" s="1165"/>
      <c r="DU623" s="1165"/>
      <c r="DV623" s="1031"/>
      <c r="DW623" s="1098">
        <f t="shared" si="854"/>
        <v>0</v>
      </c>
      <c r="DX623" s="1098">
        <f t="shared" si="855"/>
        <v>0</v>
      </c>
      <c r="DY623" s="1030"/>
      <c r="DZ623" s="1030"/>
      <c r="EA623" s="1031"/>
      <c r="EB623" s="1050"/>
      <c r="EC623" s="1038"/>
      <c r="ED623" s="1035"/>
      <c r="EE623" s="1046"/>
      <c r="EF623" s="1169"/>
      <c r="EG623" s="1168"/>
      <c r="EH623" s="1165"/>
      <c r="EI623" s="1165"/>
      <c r="EJ623" s="1165"/>
      <c r="EK623" s="1031"/>
      <c r="EL623" s="1098">
        <f t="shared" si="862"/>
        <v>0</v>
      </c>
      <c r="EM623" s="1098">
        <f t="shared" si="863"/>
        <v>0</v>
      </c>
      <c r="EN623" s="1030"/>
      <c r="EO623" s="1030"/>
      <c r="EP623" s="1031"/>
      <c r="EQ623" s="1050"/>
      <c r="ER623" s="1038"/>
      <c r="ES623" s="1035"/>
      <c r="ET623" s="1051"/>
    </row>
    <row r="624" spans="2:150" ht="16.5" customHeight="1">
      <c r="B624" s="1024"/>
      <c r="C624" s="1025"/>
      <c r="D624" s="408">
        <v>621</v>
      </c>
      <c r="E624" s="1164"/>
      <c r="F624" s="1164"/>
      <c r="G624" s="1026"/>
      <c r="H624" s="411" t="str">
        <f>IFERROR(INDEX(绊状态确认!C:C,MATCH($G624,绊状态确认!$B:$B,)),"")</f>
        <v/>
      </c>
      <c r="I624" s="450" t="str">
        <f>IFERROR(INDEX(绊状态确认!D:D,MATCH($G624,绊状态确认!$B:$B,)),"")</f>
        <v/>
      </c>
      <c r="J624" s="450" t="str">
        <f>IFERROR(INDEX(绊状态确认!E:E,MATCH($G624,绊状态确认!$B:$B,)),"")</f>
        <v/>
      </c>
      <c r="K624" s="451" t="str">
        <f>IFERROR(INDEX(绊状态确认!F:F,MATCH($G624,绊状态确认!$B:$B,)),"")</f>
        <v/>
      </c>
      <c r="L624" s="1026"/>
      <c r="M624" s="1165"/>
      <c r="N624" s="1027"/>
      <c r="O624" s="1026"/>
      <c r="P624" s="1028"/>
      <c r="Q624" s="1029"/>
      <c r="R624" s="1166"/>
      <c r="S624" s="1030"/>
      <c r="T624" s="1031"/>
      <c r="U624" s="1032"/>
      <c r="V624" s="1033"/>
      <c r="W624" s="1034"/>
      <c r="X624" s="1166"/>
      <c r="Y624" s="1035"/>
      <c r="Z624" s="1036"/>
      <c r="AA624" s="1037"/>
      <c r="AB624" s="1038"/>
      <c r="AC624" s="1039"/>
      <c r="AD624" s="1040"/>
      <c r="AE624" s="1041"/>
      <c r="AF624" s="521"/>
      <c r="AG624" s="420"/>
      <c r="AH624" s="420"/>
      <c r="AI624" s="420"/>
      <c r="AJ624" s="420"/>
      <c r="AK624" s="518"/>
      <c r="AL624" s="1042"/>
      <c r="AM624" s="1035"/>
      <c r="AN624" s="1043"/>
      <c r="AO624" s="1167"/>
      <c r="AP624" s="1044"/>
      <c r="AQ624" s="1035"/>
      <c r="AR624" s="1035"/>
      <c r="AS624" s="1035"/>
      <c r="AT624" s="1165"/>
      <c r="AU624" s="1031"/>
      <c r="AV624" s="1045"/>
      <c r="AW624" s="1038"/>
      <c r="AX624" s="1035"/>
      <c r="AY624" s="483"/>
      <c r="AZ624" s="429"/>
      <c r="BA624" s="431"/>
      <c r="BB624" s="1035"/>
      <c r="BC624" s="1035"/>
      <c r="BD624" s="481"/>
      <c r="BE624" s="432"/>
      <c r="BF624" s="646"/>
      <c r="BG624" s="1047"/>
      <c r="BH624" s="1046"/>
      <c r="BI624" s="1048"/>
      <c r="BJ624" s="1030"/>
      <c r="BK624" s="1046"/>
      <c r="BL624" s="1048"/>
      <c r="BM624" s="1046"/>
      <c r="BN624" s="1167"/>
      <c r="BO624" s="1035"/>
      <c r="BP624" s="1043"/>
      <c r="BQ624" s="1167"/>
      <c r="BR624" s="1165"/>
      <c r="BS624" s="1031"/>
      <c r="BT624" s="1038"/>
      <c r="BU624" s="1035"/>
      <c r="BV624" s="1035"/>
      <c r="BW624" s="1049"/>
      <c r="BX624" s="1043"/>
      <c r="BY624" s="1046"/>
      <c r="BZ624" s="1167"/>
      <c r="CA624" s="1165"/>
      <c r="CB624" s="1031"/>
      <c r="CC624" s="1038"/>
      <c r="CD624" s="1035"/>
      <c r="CE624" s="1035"/>
      <c r="CF624" s="1049"/>
      <c r="CG624" s="1043"/>
      <c r="CH624" s="1046"/>
      <c r="CI624" s="1167"/>
      <c r="CJ624" s="1168"/>
      <c r="CK624" s="1169"/>
      <c r="CL624" s="1169"/>
      <c r="CM624" s="1166"/>
      <c r="CN624" s="1169"/>
      <c r="CO624" s="1169"/>
      <c r="CP624" s="452"/>
      <c r="CQ624" s="435"/>
      <c r="CR624" s="441"/>
      <c r="CS624" s="452"/>
      <c r="CT624" s="482"/>
      <c r="CU624" s="476"/>
      <c r="CV624" s="431"/>
      <c r="CW624" s="1108"/>
      <c r="CX624" s="1108"/>
      <c r="CY624" s="483"/>
      <c r="CZ624" s="437"/>
      <c r="DA624" s="438"/>
      <c r="DB624" s="439"/>
      <c r="DC624" s="439"/>
      <c r="DD624" s="443"/>
      <c r="DE624" s="411"/>
      <c r="DF624" s="411"/>
      <c r="DG624" s="1117"/>
      <c r="DH624" s="1117"/>
      <c r="DI624" s="1117"/>
      <c r="DJ624" s="442"/>
      <c r="DK624" s="482"/>
      <c r="DL624" s="1038"/>
      <c r="DM624" s="1035"/>
      <c r="DN624" s="1035"/>
      <c r="DO624" s="1035"/>
      <c r="DP624" s="1046"/>
      <c r="DQ624" s="1167"/>
      <c r="DR624" s="1168"/>
      <c r="DS624" s="1165"/>
      <c r="DT624" s="1165"/>
      <c r="DU624" s="1165"/>
      <c r="DV624" s="1031"/>
      <c r="DW624" s="1098">
        <f t="shared" si="854"/>
        <v>0</v>
      </c>
      <c r="DX624" s="1098">
        <f t="shared" si="855"/>
        <v>0</v>
      </c>
      <c r="DY624" s="1030"/>
      <c r="DZ624" s="1030"/>
      <c r="EA624" s="1031"/>
      <c r="EB624" s="1050"/>
      <c r="EC624" s="1038"/>
      <c r="ED624" s="1035"/>
      <c r="EE624" s="1046"/>
      <c r="EF624" s="1169"/>
      <c r="EG624" s="1168"/>
      <c r="EH624" s="1165"/>
      <c r="EI624" s="1165"/>
      <c r="EJ624" s="1165"/>
      <c r="EK624" s="1031"/>
      <c r="EL624" s="1098">
        <f t="shared" si="862"/>
        <v>0</v>
      </c>
      <c r="EM624" s="1098">
        <f t="shared" si="863"/>
        <v>0</v>
      </c>
      <c r="EN624" s="1030"/>
      <c r="EO624" s="1030"/>
      <c r="EP624" s="1031"/>
      <c r="EQ624" s="1050"/>
      <c r="ER624" s="1038"/>
      <c r="ES624" s="1035"/>
      <c r="ET624" s="1051"/>
    </row>
    <row r="625" spans="2:150" ht="16.5" customHeight="1">
      <c r="B625" s="1024"/>
      <c r="C625" s="1025"/>
      <c r="D625" s="408">
        <v>622</v>
      </c>
      <c r="E625" s="1164"/>
      <c r="F625" s="1164"/>
      <c r="G625" s="1026"/>
      <c r="H625" s="411" t="str">
        <f>IFERROR(INDEX(绊状态确认!C:C,MATCH($G625,绊状态确认!$B:$B,)),"")</f>
        <v/>
      </c>
      <c r="I625" s="450" t="str">
        <f>IFERROR(INDEX(绊状态确认!D:D,MATCH($G625,绊状态确认!$B:$B,)),"")</f>
        <v/>
      </c>
      <c r="J625" s="450" t="str">
        <f>IFERROR(INDEX(绊状态确认!E:E,MATCH($G625,绊状态确认!$B:$B,)),"")</f>
        <v/>
      </c>
      <c r="K625" s="451" t="str">
        <f>IFERROR(INDEX(绊状态确认!F:F,MATCH($G625,绊状态确认!$B:$B,)),"")</f>
        <v/>
      </c>
      <c r="L625" s="1026"/>
      <c r="M625" s="1165"/>
      <c r="N625" s="1027"/>
      <c r="O625" s="1026"/>
      <c r="P625" s="1028"/>
      <c r="Q625" s="1029"/>
      <c r="R625" s="1166"/>
      <c r="S625" s="1030"/>
      <c r="T625" s="1031"/>
      <c r="U625" s="1032"/>
      <c r="V625" s="1033"/>
      <c r="W625" s="1034"/>
      <c r="X625" s="1166"/>
      <c r="Y625" s="1035"/>
      <c r="Z625" s="1036"/>
      <c r="AA625" s="1037"/>
      <c r="AB625" s="1038"/>
      <c r="AC625" s="1039"/>
      <c r="AD625" s="1040"/>
      <c r="AE625" s="1041"/>
      <c r="AF625" s="521"/>
      <c r="AG625" s="420"/>
      <c r="AH625" s="420"/>
      <c r="AI625" s="420"/>
      <c r="AJ625" s="420"/>
      <c r="AK625" s="518"/>
      <c r="AL625" s="1042"/>
      <c r="AM625" s="1035"/>
      <c r="AN625" s="1043"/>
      <c r="AO625" s="1167"/>
      <c r="AP625" s="1044"/>
      <c r="AQ625" s="1035"/>
      <c r="AR625" s="1035"/>
      <c r="AS625" s="1035"/>
      <c r="AT625" s="1165"/>
      <c r="AU625" s="1031"/>
      <c r="AV625" s="1045"/>
      <c r="AW625" s="1038"/>
      <c r="AX625" s="1035"/>
      <c r="AY625" s="483"/>
      <c r="AZ625" s="429"/>
      <c r="BA625" s="431"/>
      <c r="BB625" s="1035"/>
      <c r="BC625" s="1035"/>
      <c r="BD625" s="481"/>
      <c r="BE625" s="432"/>
      <c r="BF625" s="646"/>
      <c r="BG625" s="1047"/>
      <c r="BH625" s="1046"/>
      <c r="BI625" s="1048"/>
      <c r="BJ625" s="1030"/>
      <c r="BK625" s="1046"/>
      <c r="BL625" s="1048"/>
      <c r="BM625" s="1046"/>
      <c r="BN625" s="1167"/>
      <c r="BO625" s="1035"/>
      <c r="BP625" s="1043"/>
      <c r="BQ625" s="1167"/>
      <c r="BR625" s="1165"/>
      <c r="BS625" s="1031"/>
      <c r="BT625" s="1038"/>
      <c r="BU625" s="1035"/>
      <c r="BV625" s="1035"/>
      <c r="BW625" s="1049"/>
      <c r="BX625" s="1043"/>
      <c r="BY625" s="1046"/>
      <c r="BZ625" s="1167"/>
      <c r="CA625" s="1165"/>
      <c r="CB625" s="1031"/>
      <c r="CC625" s="1038"/>
      <c r="CD625" s="1035"/>
      <c r="CE625" s="1035"/>
      <c r="CF625" s="1049"/>
      <c r="CG625" s="1043"/>
      <c r="CH625" s="1046"/>
      <c r="CI625" s="1167"/>
      <c r="CJ625" s="1168"/>
      <c r="CK625" s="1169"/>
      <c r="CL625" s="1169"/>
      <c r="CM625" s="1166"/>
      <c r="CN625" s="1169"/>
      <c r="CO625" s="1169"/>
      <c r="CP625" s="452"/>
      <c r="CQ625" s="435"/>
      <c r="CR625" s="1117"/>
      <c r="CS625" s="452"/>
      <c r="CT625" s="482"/>
      <c r="CU625" s="476"/>
      <c r="CV625" s="431"/>
      <c r="CW625" s="1108"/>
      <c r="CX625" s="1108"/>
      <c r="CY625" s="483"/>
      <c r="CZ625" s="437"/>
      <c r="DA625" s="438"/>
      <c r="DB625" s="439"/>
      <c r="DC625" s="439"/>
      <c r="DD625" s="443"/>
      <c r="DE625" s="411"/>
      <c r="DF625" s="411"/>
      <c r="DG625" s="1117"/>
      <c r="DH625" s="1117"/>
      <c r="DI625" s="1117"/>
      <c r="DJ625" s="442"/>
      <c r="DK625" s="482"/>
      <c r="DL625" s="1038"/>
      <c r="DM625" s="1035"/>
      <c r="DN625" s="1035"/>
      <c r="DO625" s="1035"/>
      <c r="DP625" s="1046"/>
      <c r="DQ625" s="1167"/>
      <c r="DR625" s="1168"/>
      <c r="DS625" s="1165"/>
      <c r="DT625" s="1165"/>
      <c r="DU625" s="1165"/>
      <c r="DV625" s="1031"/>
      <c r="DW625" s="1098">
        <f t="shared" si="854"/>
        <v>0</v>
      </c>
      <c r="DX625" s="1098">
        <f t="shared" si="855"/>
        <v>0</v>
      </c>
      <c r="DY625" s="1030"/>
      <c r="DZ625" s="1030"/>
      <c r="EA625" s="1031"/>
      <c r="EB625" s="1050"/>
      <c r="EC625" s="1038"/>
      <c r="ED625" s="1035"/>
      <c r="EE625" s="1046"/>
      <c r="EF625" s="1169"/>
      <c r="EG625" s="1168"/>
      <c r="EH625" s="1165"/>
      <c r="EI625" s="1165"/>
      <c r="EJ625" s="1165"/>
      <c r="EK625" s="1031"/>
      <c r="EL625" s="1098">
        <f t="shared" si="862"/>
        <v>0</v>
      </c>
      <c r="EM625" s="1098">
        <f t="shared" si="863"/>
        <v>0</v>
      </c>
      <c r="EN625" s="1030"/>
      <c r="EO625" s="1030"/>
      <c r="EP625" s="1031"/>
      <c r="EQ625" s="1050"/>
      <c r="ER625" s="1038"/>
      <c r="ES625" s="1035"/>
      <c r="ET625" s="1051"/>
    </row>
    <row r="626" spans="2:150" ht="16.5" customHeight="1">
      <c r="B626" s="1024"/>
      <c r="C626" s="1025"/>
      <c r="D626" s="408">
        <v>623</v>
      </c>
      <c r="E626" s="1164"/>
      <c r="F626" s="1164"/>
      <c r="G626" s="1026"/>
      <c r="H626" s="411" t="str">
        <f>IFERROR(INDEX(绊状态确认!C:C,MATCH($G626,绊状态确认!$B:$B,)),"")</f>
        <v/>
      </c>
      <c r="I626" s="450" t="str">
        <f>IFERROR(INDEX(绊状态确认!D:D,MATCH($G626,绊状态确认!$B:$B,)),"")</f>
        <v/>
      </c>
      <c r="J626" s="450" t="str">
        <f>IFERROR(INDEX(绊状态确认!E:E,MATCH($G626,绊状态确认!$B:$B,)),"")</f>
        <v/>
      </c>
      <c r="K626" s="451" t="str">
        <f>IFERROR(INDEX(绊状态确认!F:F,MATCH($G626,绊状态确认!$B:$B,)),"")</f>
        <v/>
      </c>
      <c r="L626" s="1026"/>
      <c r="M626" s="1165"/>
      <c r="N626" s="1027"/>
      <c r="O626" s="1026"/>
      <c r="P626" s="1028"/>
      <c r="Q626" s="1029"/>
      <c r="R626" s="1166"/>
      <c r="S626" s="1030"/>
      <c r="T626" s="1031"/>
      <c r="U626" s="1032"/>
      <c r="V626" s="1033"/>
      <c r="W626" s="1034"/>
      <c r="X626" s="1166"/>
      <c r="Y626" s="1035"/>
      <c r="Z626" s="1036"/>
      <c r="AA626" s="1037"/>
      <c r="AB626" s="1038"/>
      <c r="AC626" s="1039"/>
      <c r="AD626" s="1040"/>
      <c r="AE626" s="1041"/>
      <c r="AF626" s="521"/>
      <c r="AG626" s="420"/>
      <c r="AH626" s="420"/>
      <c r="AI626" s="420"/>
      <c r="AJ626" s="420"/>
      <c r="AK626" s="518"/>
      <c r="AL626" s="1042"/>
      <c r="AM626" s="1035"/>
      <c r="AN626" s="1043"/>
      <c r="AO626" s="1167"/>
      <c r="AP626" s="1044"/>
      <c r="AQ626" s="1035"/>
      <c r="AR626" s="1035"/>
      <c r="AS626" s="1035"/>
      <c r="AT626" s="1165"/>
      <c r="AU626" s="1031"/>
      <c r="AV626" s="1045"/>
      <c r="AW626" s="1038"/>
      <c r="AX626" s="1035"/>
      <c r="AY626" s="483"/>
      <c r="AZ626" s="429"/>
      <c r="BA626" s="431"/>
      <c r="BB626" s="1035"/>
      <c r="BC626" s="1035"/>
      <c r="BD626" s="481"/>
      <c r="BE626" s="432"/>
      <c r="BF626" s="646"/>
      <c r="BG626" s="1047"/>
      <c r="BH626" s="1046"/>
      <c r="BI626" s="1048"/>
      <c r="BJ626" s="1030"/>
      <c r="BK626" s="1046"/>
      <c r="BL626" s="1048"/>
      <c r="BM626" s="1046"/>
      <c r="BN626" s="1167"/>
      <c r="BO626" s="1035"/>
      <c r="BP626" s="1043"/>
      <c r="BQ626" s="1167"/>
      <c r="BR626" s="1165"/>
      <c r="BS626" s="1031"/>
      <c r="BT626" s="1038"/>
      <c r="BU626" s="1035"/>
      <c r="BV626" s="1035"/>
      <c r="BW626" s="1049"/>
      <c r="BX626" s="1043"/>
      <c r="BY626" s="1046"/>
      <c r="BZ626" s="1167"/>
      <c r="CA626" s="1165"/>
      <c r="CB626" s="1031"/>
      <c r="CC626" s="1038"/>
      <c r="CD626" s="1035"/>
      <c r="CE626" s="1035"/>
      <c r="CF626" s="1049"/>
      <c r="CG626" s="1043"/>
      <c r="CH626" s="1046"/>
      <c r="CI626" s="1167"/>
      <c r="CJ626" s="1168"/>
      <c r="CK626" s="1169"/>
      <c r="CL626" s="1169"/>
      <c r="CM626" s="1166"/>
      <c r="CN626" s="1169"/>
      <c r="CO626" s="1169"/>
      <c r="CP626" s="452"/>
      <c r="CQ626" s="435"/>
      <c r="CR626" s="1117"/>
      <c r="CS626" s="452"/>
      <c r="CT626" s="482"/>
      <c r="CU626" s="476"/>
      <c r="CV626" s="431"/>
      <c r="CW626" s="1108"/>
      <c r="CX626" s="1108"/>
      <c r="CY626" s="483"/>
      <c r="CZ626" s="437"/>
      <c r="DA626" s="438"/>
      <c r="DB626" s="439"/>
      <c r="DC626" s="439"/>
      <c r="DD626" s="443"/>
      <c r="DE626" s="411"/>
      <c r="DF626" s="411"/>
      <c r="DG626" s="1117"/>
      <c r="DH626" s="1117"/>
      <c r="DI626" s="1117"/>
      <c r="DJ626" s="442"/>
      <c r="DK626" s="482"/>
      <c r="DL626" s="1038"/>
      <c r="DM626" s="1035"/>
      <c r="DN626" s="1035"/>
      <c r="DO626" s="1035"/>
      <c r="DP626" s="1046"/>
      <c r="DQ626" s="1167"/>
      <c r="DR626" s="1168"/>
      <c r="DS626" s="1165"/>
      <c r="DT626" s="1165"/>
      <c r="DU626" s="1165"/>
      <c r="DV626" s="1031"/>
      <c r="DW626" s="1098">
        <f t="shared" si="854"/>
        <v>0</v>
      </c>
      <c r="DX626" s="1098">
        <f t="shared" si="855"/>
        <v>0</v>
      </c>
      <c r="DY626" s="1030"/>
      <c r="DZ626" s="1030"/>
      <c r="EA626" s="1031"/>
      <c r="EB626" s="1050"/>
      <c r="EC626" s="1038"/>
      <c r="ED626" s="1035"/>
      <c r="EE626" s="1046"/>
      <c r="EF626" s="1169"/>
      <c r="EG626" s="1168"/>
      <c r="EH626" s="1165"/>
      <c r="EI626" s="1165"/>
      <c r="EJ626" s="1165"/>
      <c r="EK626" s="1031"/>
      <c r="EL626" s="1098">
        <f t="shared" si="862"/>
        <v>0</v>
      </c>
      <c r="EM626" s="1098">
        <f t="shared" si="863"/>
        <v>0</v>
      </c>
      <c r="EN626" s="1030"/>
      <c r="EO626" s="1030"/>
      <c r="EP626" s="1031"/>
      <c r="EQ626" s="1050"/>
      <c r="ER626" s="1038"/>
      <c r="ES626" s="1035"/>
      <c r="ET626" s="1051"/>
    </row>
    <row r="627" spans="2:150" ht="16.5" customHeight="1">
      <c r="B627" s="1024"/>
      <c r="C627" s="1025"/>
      <c r="D627" s="408">
        <v>624</v>
      </c>
      <c r="E627" s="1164"/>
      <c r="F627" s="1164"/>
      <c r="G627" s="1026"/>
      <c r="H627" s="411" t="str">
        <f>IFERROR(INDEX(绊状态确认!C:C,MATCH($G627,绊状态确认!$B:$B,)),"")</f>
        <v/>
      </c>
      <c r="I627" s="450" t="str">
        <f>IFERROR(INDEX(绊状态确认!D:D,MATCH($G627,绊状态确认!$B:$B,)),"")</f>
        <v/>
      </c>
      <c r="J627" s="450" t="str">
        <f>IFERROR(INDEX(绊状态确认!E:E,MATCH($G627,绊状态确认!$B:$B,)),"")</f>
        <v/>
      </c>
      <c r="K627" s="451" t="str">
        <f>IFERROR(INDEX(绊状态确认!F:F,MATCH($G627,绊状态确认!$B:$B,)),"")</f>
        <v/>
      </c>
      <c r="L627" s="1026"/>
      <c r="M627" s="1165"/>
      <c r="N627" s="1027"/>
      <c r="O627" s="1026"/>
      <c r="P627" s="1028"/>
      <c r="Q627" s="1029"/>
      <c r="R627" s="1166"/>
      <c r="S627" s="1030"/>
      <c r="T627" s="1031"/>
      <c r="U627" s="1032"/>
      <c r="V627" s="1033"/>
      <c r="W627" s="1034"/>
      <c r="X627" s="1166"/>
      <c r="Y627" s="1035"/>
      <c r="Z627" s="1036"/>
      <c r="AA627" s="1037"/>
      <c r="AB627" s="1038"/>
      <c r="AC627" s="1039"/>
      <c r="AD627" s="1040"/>
      <c r="AE627" s="1041"/>
      <c r="AF627" s="521"/>
      <c r="AG627" s="420"/>
      <c r="AH627" s="420"/>
      <c r="AI627" s="420"/>
      <c r="AJ627" s="420"/>
      <c r="AK627" s="518"/>
      <c r="AL627" s="1042"/>
      <c r="AM627" s="1035"/>
      <c r="AN627" s="1043"/>
      <c r="AO627" s="1167"/>
      <c r="AP627" s="1044"/>
      <c r="AQ627" s="1035"/>
      <c r="AR627" s="1035"/>
      <c r="AS627" s="1035"/>
      <c r="AT627" s="1165"/>
      <c r="AU627" s="1031"/>
      <c r="AV627" s="1045"/>
      <c r="AW627" s="1038"/>
      <c r="AX627" s="1035"/>
      <c r="AY627" s="483"/>
      <c r="AZ627" s="429"/>
      <c r="BA627" s="431"/>
      <c r="BB627" s="1035"/>
      <c r="BC627" s="1035"/>
      <c r="BD627" s="481"/>
      <c r="BE627" s="432"/>
      <c r="BF627" s="646"/>
      <c r="BG627" s="1047"/>
      <c r="BH627" s="1046"/>
      <c r="BI627" s="1048"/>
      <c r="BJ627" s="1030"/>
      <c r="BK627" s="1046"/>
      <c r="BL627" s="1048"/>
      <c r="BM627" s="1046"/>
      <c r="BN627" s="1167"/>
      <c r="BO627" s="1035"/>
      <c r="BP627" s="1043"/>
      <c r="BQ627" s="1167"/>
      <c r="BR627" s="1165"/>
      <c r="BS627" s="1031"/>
      <c r="BT627" s="1038"/>
      <c r="BU627" s="1035"/>
      <c r="BV627" s="1035"/>
      <c r="BW627" s="1049"/>
      <c r="BX627" s="1043"/>
      <c r="BY627" s="1046"/>
      <c r="BZ627" s="1167"/>
      <c r="CA627" s="1165"/>
      <c r="CB627" s="1031"/>
      <c r="CC627" s="1038"/>
      <c r="CD627" s="1035"/>
      <c r="CE627" s="1035"/>
      <c r="CF627" s="1049"/>
      <c r="CG627" s="1043"/>
      <c r="CH627" s="1046"/>
      <c r="CI627" s="1167"/>
      <c r="CJ627" s="1168"/>
      <c r="CK627" s="1169"/>
      <c r="CL627" s="1169"/>
      <c r="CM627" s="1166"/>
      <c r="CN627" s="1169"/>
      <c r="CO627" s="1169"/>
      <c r="CP627" s="452"/>
      <c r="CQ627" s="435"/>
      <c r="CR627" s="441"/>
      <c r="CS627" s="452"/>
      <c r="CT627" s="482"/>
      <c r="CU627" s="476"/>
      <c r="CV627" s="431"/>
      <c r="CW627" s="1108"/>
      <c r="CX627" s="1108"/>
      <c r="CY627" s="483"/>
      <c r="CZ627" s="437"/>
      <c r="DA627" s="438"/>
      <c r="DB627" s="439"/>
      <c r="DC627" s="439"/>
      <c r="DD627" s="443"/>
      <c r="DE627" s="411"/>
      <c r="DF627" s="411"/>
      <c r="DG627" s="1117"/>
      <c r="DH627" s="1117"/>
      <c r="DI627" s="1117"/>
      <c r="DJ627" s="442"/>
      <c r="DK627" s="482"/>
      <c r="DL627" s="1038"/>
      <c r="DM627" s="1035"/>
      <c r="DN627" s="1035"/>
      <c r="DO627" s="1035"/>
      <c r="DP627" s="1046"/>
      <c r="DQ627" s="1167"/>
      <c r="DR627" s="1168"/>
      <c r="DS627" s="1165"/>
      <c r="DT627" s="1165"/>
      <c r="DU627" s="1165"/>
      <c r="DV627" s="1031"/>
      <c r="DW627" s="1098">
        <f t="shared" si="854"/>
        <v>0</v>
      </c>
      <c r="DX627" s="1098">
        <f t="shared" si="855"/>
        <v>0</v>
      </c>
      <c r="DY627" s="1030"/>
      <c r="DZ627" s="1030"/>
      <c r="EA627" s="1031"/>
      <c r="EB627" s="1050"/>
      <c r="EC627" s="1038"/>
      <c r="ED627" s="1035"/>
      <c r="EE627" s="1046"/>
      <c r="EF627" s="1169"/>
      <c r="EG627" s="1168"/>
      <c r="EH627" s="1165"/>
      <c r="EI627" s="1165"/>
      <c r="EJ627" s="1165"/>
      <c r="EK627" s="1031"/>
      <c r="EL627" s="1098">
        <f t="shared" si="862"/>
        <v>0</v>
      </c>
      <c r="EM627" s="1098">
        <f t="shared" si="863"/>
        <v>0</v>
      </c>
      <c r="EN627" s="1030"/>
      <c r="EO627" s="1030"/>
      <c r="EP627" s="1031"/>
      <c r="EQ627" s="1050"/>
      <c r="ER627" s="1038"/>
      <c r="ES627" s="1035"/>
      <c r="ET627" s="1051"/>
    </row>
    <row r="628" spans="2:150" ht="16.5" customHeight="1">
      <c r="B628" s="1024"/>
      <c r="C628" s="1025"/>
      <c r="D628" s="408">
        <v>625</v>
      </c>
      <c r="E628" s="1164"/>
      <c r="F628" s="1164"/>
      <c r="G628" s="1026"/>
      <c r="H628" s="411" t="str">
        <f>IFERROR(INDEX(绊状态确认!C:C,MATCH($G628,绊状态确认!$B:$B,)),"")</f>
        <v/>
      </c>
      <c r="I628" s="450" t="str">
        <f>IFERROR(INDEX(绊状态确认!D:D,MATCH($G628,绊状态确认!$B:$B,)),"")</f>
        <v/>
      </c>
      <c r="J628" s="450" t="str">
        <f>IFERROR(INDEX(绊状态确认!E:E,MATCH($G628,绊状态确认!$B:$B,)),"")</f>
        <v/>
      </c>
      <c r="K628" s="451" t="str">
        <f>IFERROR(INDEX(绊状态确认!F:F,MATCH($G628,绊状态确认!$B:$B,)),"")</f>
        <v/>
      </c>
      <c r="L628" s="1026"/>
      <c r="M628" s="1165"/>
      <c r="N628" s="1027"/>
      <c r="O628" s="1026"/>
      <c r="P628" s="1028"/>
      <c r="Q628" s="1029"/>
      <c r="R628" s="1166"/>
      <c r="S628" s="1030"/>
      <c r="T628" s="1031"/>
      <c r="U628" s="1032"/>
      <c r="V628" s="1033"/>
      <c r="W628" s="1034"/>
      <c r="X628" s="1166"/>
      <c r="Y628" s="1035"/>
      <c r="Z628" s="1036"/>
      <c r="AA628" s="1037"/>
      <c r="AB628" s="1038"/>
      <c r="AC628" s="1039"/>
      <c r="AD628" s="1040"/>
      <c r="AE628" s="1041"/>
      <c r="AF628" s="521"/>
      <c r="AG628" s="420"/>
      <c r="AH628" s="420"/>
      <c r="AI628" s="420"/>
      <c r="AJ628" s="420"/>
      <c r="AK628" s="518"/>
      <c r="AL628" s="1042"/>
      <c r="AM628" s="1035"/>
      <c r="AN628" s="1043"/>
      <c r="AO628" s="1167"/>
      <c r="AP628" s="1044"/>
      <c r="AQ628" s="1035"/>
      <c r="AR628" s="1035"/>
      <c r="AS628" s="1035"/>
      <c r="AT628" s="1165"/>
      <c r="AU628" s="1031"/>
      <c r="AV628" s="1045"/>
      <c r="AW628" s="1038"/>
      <c r="AX628" s="1035"/>
      <c r="AY628" s="483"/>
      <c r="AZ628" s="429"/>
      <c r="BA628" s="431"/>
      <c r="BB628" s="1035"/>
      <c r="BC628" s="1035"/>
      <c r="BD628" s="481"/>
      <c r="BE628" s="432"/>
      <c r="BF628" s="646"/>
      <c r="BG628" s="1047"/>
      <c r="BH628" s="1046"/>
      <c r="BI628" s="1048"/>
      <c r="BJ628" s="1030"/>
      <c r="BK628" s="1046"/>
      <c r="BL628" s="1048"/>
      <c r="BM628" s="1046"/>
      <c r="BN628" s="1167"/>
      <c r="BO628" s="1035"/>
      <c r="BP628" s="1043"/>
      <c r="BQ628" s="1167"/>
      <c r="BR628" s="1165"/>
      <c r="BS628" s="1031"/>
      <c r="BT628" s="1038"/>
      <c r="BU628" s="1035"/>
      <c r="BV628" s="1035"/>
      <c r="BW628" s="1049"/>
      <c r="BX628" s="1043"/>
      <c r="BY628" s="1046"/>
      <c r="BZ628" s="1167"/>
      <c r="CA628" s="1165"/>
      <c r="CB628" s="1031"/>
      <c r="CC628" s="1038"/>
      <c r="CD628" s="1035"/>
      <c r="CE628" s="1035"/>
      <c r="CF628" s="1049"/>
      <c r="CG628" s="1043"/>
      <c r="CH628" s="1046"/>
      <c r="CI628" s="1167"/>
      <c r="CJ628" s="1168"/>
      <c r="CK628" s="1169"/>
      <c r="CL628" s="1169"/>
      <c r="CM628" s="1166"/>
      <c r="CN628" s="1169"/>
      <c r="CO628" s="1169"/>
      <c r="CP628" s="452"/>
      <c r="CQ628" s="435"/>
      <c r="CR628" s="441"/>
      <c r="CS628" s="452"/>
      <c r="CT628" s="482"/>
      <c r="CU628" s="476"/>
      <c r="CV628" s="431"/>
      <c r="CW628" s="1108"/>
      <c r="CX628" s="1108"/>
      <c r="CY628" s="483"/>
      <c r="CZ628" s="437"/>
      <c r="DA628" s="438"/>
      <c r="DB628" s="439"/>
      <c r="DC628" s="439"/>
      <c r="DD628" s="443"/>
      <c r="DE628" s="411"/>
      <c r="DF628" s="411"/>
      <c r="DG628" s="1117"/>
      <c r="DH628" s="1117"/>
      <c r="DI628" s="1117"/>
      <c r="DJ628" s="442"/>
      <c r="DK628" s="482"/>
      <c r="DL628" s="1038"/>
      <c r="DM628" s="1035"/>
      <c r="DN628" s="1035"/>
      <c r="DO628" s="1035"/>
      <c r="DP628" s="1046"/>
      <c r="DQ628" s="1167"/>
      <c r="DR628" s="1168"/>
      <c r="DS628" s="1165"/>
      <c r="DT628" s="1165"/>
      <c r="DU628" s="1165"/>
      <c r="DV628" s="1031"/>
      <c r="DW628" s="1098">
        <f t="shared" si="854"/>
        <v>0</v>
      </c>
      <c r="DX628" s="1098">
        <f t="shared" si="855"/>
        <v>0</v>
      </c>
      <c r="DY628" s="1030"/>
      <c r="DZ628" s="1030"/>
      <c r="EA628" s="1031"/>
      <c r="EB628" s="1050"/>
      <c r="EC628" s="1038"/>
      <c r="ED628" s="1035"/>
      <c r="EE628" s="1046"/>
      <c r="EF628" s="1169"/>
      <c r="EG628" s="1168"/>
      <c r="EH628" s="1165"/>
      <c r="EI628" s="1165"/>
      <c r="EJ628" s="1165"/>
      <c r="EK628" s="1031"/>
      <c r="EL628" s="1098">
        <f t="shared" si="862"/>
        <v>0</v>
      </c>
      <c r="EM628" s="1098">
        <f t="shared" si="863"/>
        <v>0</v>
      </c>
      <c r="EN628" s="1030"/>
      <c r="EO628" s="1030"/>
      <c r="EP628" s="1031"/>
      <c r="EQ628" s="1050"/>
      <c r="ER628" s="1038"/>
      <c r="ES628" s="1035"/>
      <c r="ET628" s="1051"/>
    </row>
    <row r="629" spans="2:150" ht="16.5" customHeight="1">
      <c r="B629" s="1024"/>
      <c r="C629" s="1025"/>
      <c r="D629" s="408">
        <v>626</v>
      </c>
      <c r="E629" s="1164"/>
      <c r="F629" s="1164"/>
      <c r="G629" s="1026"/>
      <c r="H629" s="411" t="str">
        <f>IFERROR(INDEX(绊状态确认!C:C,MATCH($G629,绊状态确认!$B:$B,)),"")</f>
        <v/>
      </c>
      <c r="I629" s="450" t="str">
        <f>IFERROR(INDEX(绊状态确认!D:D,MATCH($G629,绊状态确认!$B:$B,)),"")</f>
        <v/>
      </c>
      <c r="J629" s="450" t="str">
        <f>IFERROR(INDEX(绊状态确认!E:E,MATCH($G629,绊状态确认!$B:$B,)),"")</f>
        <v/>
      </c>
      <c r="K629" s="451" t="str">
        <f>IFERROR(INDEX(绊状态确认!F:F,MATCH($G629,绊状态确认!$B:$B,)),"")</f>
        <v/>
      </c>
      <c r="L629" s="1026"/>
      <c r="M629" s="1165"/>
      <c r="N629" s="1027"/>
      <c r="O629" s="1026"/>
      <c r="P629" s="1028"/>
      <c r="Q629" s="1029"/>
      <c r="R629" s="1166"/>
      <c r="S629" s="1030"/>
      <c r="T629" s="1031"/>
      <c r="U629" s="1032"/>
      <c r="V629" s="1033"/>
      <c r="W629" s="1034"/>
      <c r="X629" s="1166"/>
      <c r="Y629" s="1035"/>
      <c r="Z629" s="1036"/>
      <c r="AA629" s="1037"/>
      <c r="AB629" s="1038"/>
      <c r="AC629" s="1039"/>
      <c r="AD629" s="1040"/>
      <c r="AE629" s="1041"/>
      <c r="AF629" s="521"/>
      <c r="AG629" s="420"/>
      <c r="AH629" s="420"/>
      <c r="AI629" s="420"/>
      <c r="AJ629" s="420"/>
      <c r="AK629" s="518"/>
      <c r="AL629" s="1042"/>
      <c r="AM629" s="1035"/>
      <c r="AN629" s="1043"/>
      <c r="AO629" s="1167"/>
      <c r="AP629" s="1044"/>
      <c r="AQ629" s="1035"/>
      <c r="AR629" s="1035"/>
      <c r="AS629" s="1035"/>
      <c r="AT629" s="1165"/>
      <c r="AU629" s="1031"/>
      <c r="AV629" s="1045"/>
      <c r="AW629" s="1038"/>
      <c r="AX629" s="1035"/>
      <c r="AY629" s="483"/>
      <c r="AZ629" s="429"/>
      <c r="BA629" s="431"/>
      <c r="BB629" s="1035"/>
      <c r="BC629" s="1035"/>
      <c r="BD629" s="481"/>
      <c r="BE629" s="432"/>
      <c r="BF629" s="646"/>
      <c r="BG629" s="1047"/>
      <c r="BH629" s="1046"/>
      <c r="BI629" s="1048"/>
      <c r="BJ629" s="1030"/>
      <c r="BK629" s="1046"/>
      <c r="BL629" s="1048"/>
      <c r="BM629" s="1046"/>
      <c r="BN629" s="1167"/>
      <c r="BO629" s="1035"/>
      <c r="BP629" s="1043"/>
      <c r="BQ629" s="1167"/>
      <c r="BR629" s="1165"/>
      <c r="BS629" s="1031"/>
      <c r="BT629" s="1038"/>
      <c r="BU629" s="1035"/>
      <c r="BV629" s="1035"/>
      <c r="BW629" s="1049"/>
      <c r="BX629" s="1043"/>
      <c r="BY629" s="1046"/>
      <c r="BZ629" s="1167"/>
      <c r="CA629" s="1165"/>
      <c r="CB629" s="1031"/>
      <c r="CC629" s="1038"/>
      <c r="CD629" s="1035"/>
      <c r="CE629" s="1035"/>
      <c r="CF629" s="1049"/>
      <c r="CG629" s="1043"/>
      <c r="CH629" s="1046"/>
      <c r="CI629" s="1167"/>
      <c r="CJ629" s="1168"/>
      <c r="CK629" s="1169"/>
      <c r="CL629" s="1169"/>
      <c r="CM629" s="1166"/>
      <c r="CN629" s="1169"/>
      <c r="CO629" s="1169"/>
      <c r="CP629" s="452"/>
      <c r="CQ629" s="435"/>
      <c r="CR629" s="441"/>
      <c r="CS629" s="452"/>
      <c r="CT629" s="482"/>
      <c r="CU629" s="476"/>
      <c r="CV629" s="431"/>
      <c r="CW629" s="1108"/>
      <c r="CX629" s="1108"/>
      <c r="CY629" s="483"/>
      <c r="CZ629" s="437"/>
      <c r="DA629" s="438"/>
      <c r="DB629" s="439"/>
      <c r="DC629" s="439"/>
      <c r="DD629" s="443"/>
      <c r="DE629" s="411"/>
      <c r="DF629" s="411"/>
      <c r="DG629" s="1117"/>
      <c r="DH629" s="1117"/>
      <c r="DI629" s="1117"/>
      <c r="DJ629" s="442"/>
      <c r="DK629" s="482"/>
      <c r="DL629" s="1038"/>
      <c r="DM629" s="1035"/>
      <c r="DN629" s="1035"/>
      <c r="DO629" s="1035"/>
      <c r="DP629" s="1046"/>
      <c r="DQ629" s="1167"/>
      <c r="DR629" s="1168"/>
      <c r="DS629" s="1165"/>
      <c r="DT629" s="1165"/>
      <c r="DU629" s="1165"/>
      <c r="DV629" s="1031"/>
      <c r="DW629" s="1098">
        <f t="shared" si="854"/>
        <v>0</v>
      </c>
      <c r="DX629" s="1098">
        <f t="shared" si="855"/>
        <v>0</v>
      </c>
      <c r="DY629" s="1030"/>
      <c r="DZ629" s="1030"/>
      <c r="EA629" s="1031"/>
      <c r="EB629" s="1050"/>
      <c r="EC629" s="1038"/>
      <c r="ED629" s="1035"/>
      <c r="EE629" s="1046"/>
      <c r="EF629" s="1169"/>
      <c r="EG629" s="1168"/>
      <c r="EH629" s="1165"/>
      <c r="EI629" s="1165"/>
      <c r="EJ629" s="1165"/>
      <c r="EK629" s="1031"/>
      <c r="EL629" s="1098">
        <f t="shared" si="862"/>
        <v>0</v>
      </c>
      <c r="EM629" s="1098">
        <f t="shared" si="863"/>
        <v>0</v>
      </c>
      <c r="EN629" s="1030"/>
      <c r="EO629" s="1030"/>
      <c r="EP629" s="1031"/>
      <c r="EQ629" s="1050"/>
      <c r="ER629" s="1038"/>
      <c r="ES629" s="1035"/>
      <c r="ET629" s="1051"/>
    </row>
    <row r="630" spans="2:150" ht="16.5" customHeight="1">
      <c r="B630" s="1024"/>
      <c r="C630" s="1025"/>
      <c r="D630" s="408">
        <v>627</v>
      </c>
      <c r="E630" s="1164"/>
      <c r="F630" s="1164"/>
      <c r="G630" s="1026"/>
      <c r="H630" s="411" t="str">
        <f>IFERROR(INDEX(绊状态确认!C:C,MATCH($G630,绊状态确认!$B:$B,)),"")</f>
        <v/>
      </c>
      <c r="I630" s="450" t="str">
        <f>IFERROR(INDEX(绊状态确认!D:D,MATCH($G630,绊状态确认!$B:$B,)),"")</f>
        <v/>
      </c>
      <c r="J630" s="450" t="str">
        <f>IFERROR(INDEX(绊状态确认!E:E,MATCH($G630,绊状态确认!$B:$B,)),"")</f>
        <v/>
      </c>
      <c r="K630" s="451" t="str">
        <f>IFERROR(INDEX(绊状态确认!F:F,MATCH($G630,绊状态确认!$B:$B,)),"")</f>
        <v/>
      </c>
      <c r="L630" s="1026"/>
      <c r="M630" s="1165"/>
      <c r="N630" s="1027"/>
      <c r="O630" s="1026"/>
      <c r="P630" s="1028"/>
      <c r="Q630" s="1029"/>
      <c r="R630" s="1166"/>
      <c r="S630" s="1030"/>
      <c r="T630" s="1031"/>
      <c r="U630" s="1032"/>
      <c r="V630" s="1033"/>
      <c r="W630" s="1034"/>
      <c r="X630" s="1166"/>
      <c r="Y630" s="1035"/>
      <c r="Z630" s="1036"/>
      <c r="AA630" s="1037"/>
      <c r="AB630" s="1038"/>
      <c r="AC630" s="1039"/>
      <c r="AD630" s="1040"/>
      <c r="AE630" s="1041"/>
      <c r="AF630" s="521"/>
      <c r="AG630" s="420"/>
      <c r="AH630" s="420"/>
      <c r="AI630" s="420"/>
      <c r="AJ630" s="420"/>
      <c r="AK630" s="518"/>
      <c r="AL630" s="1042"/>
      <c r="AM630" s="1035"/>
      <c r="AN630" s="1043"/>
      <c r="AO630" s="1167"/>
      <c r="AP630" s="1044"/>
      <c r="AQ630" s="1035"/>
      <c r="AR630" s="1035"/>
      <c r="AS630" s="1035"/>
      <c r="AT630" s="1165"/>
      <c r="AU630" s="1031"/>
      <c r="AV630" s="1045"/>
      <c r="AW630" s="1038"/>
      <c r="AX630" s="1035"/>
      <c r="AY630" s="483"/>
      <c r="AZ630" s="429"/>
      <c r="BA630" s="431"/>
      <c r="BB630" s="1035"/>
      <c r="BC630" s="1035"/>
      <c r="BD630" s="481"/>
      <c r="BE630" s="432"/>
      <c r="BF630" s="646"/>
      <c r="BG630" s="1047"/>
      <c r="BH630" s="1046"/>
      <c r="BI630" s="1048"/>
      <c r="BJ630" s="1030"/>
      <c r="BK630" s="1046"/>
      <c r="BL630" s="1048"/>
      <c r="BM630" s="1046"/>
      <c r="BN630" s="1167"/>
      <c r="BO630" s="1035"/>
      <c r="BP630" s="1043"/>
      <c r="BQ630" s="1167"/>
      <c r="BR630" s="1165"/>
      <c r="BS630" s="1031"/>
      <c r="BT630" s="1038"/>
      <c r="BU630" s="1035"/>
      <c r="BV630" s="1035"/>
      <c r="BW630" s="1049"/>
      <c r="BX630" s="1043"/>
      <c r="BY630" s="1046"/>
      <c r="BZ630" s="1167"/>
      <c r="CA630" s="1165"/>
      <c r="CB630" s="1031"/>
      <c r="CC630" s="1038"/>
      <c r="CD630" s="1035"/>
      <c r="CE630" s="1035"/>
      <c r="CF630" s="1049"/>
      <c r="CG630" s="1043"/>
      <c r="CH630" s="1046"/>
      <c r="CI630" s="1167"/>
      <c r="CJ630" s="1168"/>
      <c r="CK630" s="1169"/>
      <c r="CL630" s="1169"/>
      <c r="CM630" s="1166"/>
      <c r="CN630" s="1169"/>
      <c r="CO630" s="1169"/>
      <c r="CP630" s="452"/>
      <c r="CQ630" s="435"/>
      <c r="CR630" s="1117"/>
      <c r="CS630" s="452"/>
      <c r="CT630" s="482"/>
      <c r="CU630" s="476"/>
      <c r="CV630" s="431"/>
      <c r="CW630" s="1108"/>
      <c r="CX630" s="1108"/>
      <c r="CY630" s="483"/>
      <c r="CZ630" s="437"/>
      <c r="DA630" s="438"/>
      <c r="DB630" s="439"/>
      <c r="DC630" s="439"/>
      <c r="DD630" s="443"/>
      <c r="DE630" s="411"/>
      <c r="DF630" s="411"/>
      <c r="DG630" s="1117"/>
      <c r="DH630" s="1117"/>
      <c r="DI630" s="1117"/>
      <c r="DJ630" s="442"/>
      <c r="DK630" s="482"/>
      <c r="DL630" s="1038"/>
      <c r="DM630" s="1035"/>
      <c r="DN630" s="1035"/>
      <c r="DO630" s="1035"/>
      <c r="DP630" s="1046"/>
      <c r="DQ630" s="1167"/>
      <c r="DR630" s="1168"/>
      <c r="DS630" s="1165"/>
      <c r="DT630" s="1165"/>
      <c r="DU630" s="1165"/>
      <c r="DV630" s="1031"/>
      <c r="DW630" s="1098">
        <f t="shared" si="854"/>
        <v>0</v>
      </c>
      <c r="DX630" s="1098">
        <f t="shared" si="855"/>
        <v>0</v>
      </c>
      <c r="DY630" s="1030"/>
      <c r="DZ630" s="1030"/>
      <c r="EA630" s="1031"/>
      <c r="EB630" s="1050"/>
      <c r="EC630" s="1038"/>
      <c r="ED630" s="1035"/>
      <c r="EE630" s="1046"/>
      <c r="EF630" s="1169"/>
      <c r="EG630" s="1168"/>
      <c r="EH630" s="1165"/>
      <c r="EI630" s="1165"/>
      <c r="EJ630" s="1165"/>
      <c r="EK630" s="1031"/>
      <c r="EL630" s="1098">
        <f t="shared" si="862"/>
        <v>0</v>
      </c>
      <c r="EM630" s="1098">
        <f t="shared" si="863"/>
        <v>0</v>
      </c>
      <c r="EN630" s="1030"/>
      <c r="EO630" s="1030"/>
      <c r="EP630" s="1031"/>
      <c r="EQ630" s="1050"/>
      <c r="ER630" s="1038"/>
      <c r="ES630" s="1035"/>
      <c r="ET630" s="1051"/>
    </row>
    <row r="631" spans="2:150" ht="16.5" customHeight="1">
      <c r="B631" s="1024"/>
      <c r="C631" s="1025"/>
      <c r="D631" s="408">
        <v>628</v>
      </c>
      <c r="E631" s="1164"/>
      <c r="F631" s="1164"/>
      <c r="G631" s="1026"/>
      <c r="H631" s="411" t="str">
        <f>IFERROR(INDEX(绊状态确认!C:C,MATCH($G631,绊状态确认!$B:$B,)),"")</f>
        <v/>
      </c>
      <c r="I631" s="450" t="str">
        <f>IFERROR(INDEX(绊状态确认!D:D,MATCH($G631,绊状态确认!$B:$B,)),"")</f>
        <v/>
      </c>
      <c r="J631" s="450" t="str">
        <f>IFERROR(INDEX(绊状态确认!E:E,MATCH($G631,绊状态确认!$B:$B,)),"")</f>
        <v/>
      </c>
      <c r="K631" s="451" t="str">
        <f>IFERROR(INDEX(绊状态确认!F:F,MATCH($G631,绊状态确认!$B:$B,)),"")</f>
        <v/>
      </c>
      <c r="L631" s="1026"/>
      <c r="M631" s="1165"/>
      <c r="N631" s="1027"/>
      <c r="O631" s="1026"/>
      <c r="P631" s="1028"/>
      <c r="Q631" s="1029"/>
      <c r="R631" s="1166"/>
      <c r="S631" s="1030"/>
      <c r="T631" s="1031"/>
      <c r="U631" s="1032"/>
      <c r="V631" s="1033"/>
      <c r="W631" s="1034"/>
      <c r="X631" s="1166"/>
      <c r="Y631" s="1035"/>
      <c r="Z631" s="1036"/>
      <c r="AA631" s="1037"/>
      <c r="AB631" s="1038"/>
      <c r="AC631" s="1039"/>
      <c r="AD631" s="1040"/>
      <c r="AE631" s="1041"/>
      <c r="AF631" s="521"/>
      <c r="AG631" s="420"/>
      <c r="AH631" s="420"/>
      <c r="AI631" s="420"/>
      <c r="AJ631" s="420"/>
      <c r="AK631" s="518"/>
      <c r="AL631" s="1042"/>
      <c r="AM631" s="1035"/>
      <c r="AN631" s="1043"/>
      <c r="AO631" s="1167"/>
      <c r="AP631" s="1044"/>
      <c r="AQ631" s="1035"/>
      <c r="AR631" s="1035"/>
      <c r="AS631" s="1035"/>
      <c r="AT631" s="1165"/>
      <c r="AU631" s="1031"/>
      <c r="AV631" s="1045"/>
      <c r="AW631" s="1038"/>
      <c r="AX631" s="1035"/>
      <c r="AY631" s="483"/>
      <c r="AZ631" s="429"/>
      <c r="BA631" s="431"/>
      <c r="BB631" s="1035"/>
      <c r="BC631" s="1035"/>
      <c r="BD631" s="481"/>
      <c r="BE631" s="432"/>
      <c r="BF631" s="646"/>
      <c r="BG631" s="1047"/>
      <c r="BH631" s="1046"/>
      <c r="BI631" s="1048"/>
      <c r="BJ631" s="1030"/>
      <c r="BK631" s="1046"/>
      <c r="BL631" s="1048"/>
      <c r="BM631" s="1046"/>
      <c r="BN631" s="1167"/>
      <c r="BO631" s="1035"/>
      <c r="BP631" s="1043"/>
      <c r="BQ631" s="1167"/>
      <c r="BR631" s="1165"/>
      <c r="BS631" s="1031"/>
      <c r="BT631" s="1038"/>
      <c r="BU631" s="1035"/>
      <c r="BV631" s="1035"/>
      <c r="BW631" s="1049"/>
      <c r="BX631" s="1043"/>
      <c r="BY631" s="1046"/>
      <c r="BZ631" s="1167"/>
      <c r="CA631" s="1165"/>
      <c r="CB631" s="1031"/>
      <c r="CC631" s="1038"/>
      <c r="CD631" s="1035"/>
      <c r="CE631" s="1035"/>
      <c r="CF631" s="1049"/>
      <c r="CG631" s="1043"/>
      <c r="CH631" s="1046"/>
      <c r="CI631" s="1167"/>
      <c r="CJ631" s="1168"/>
      <c r="CK631" s="1169"/>
      <c r="CL631" s="1169"/>
      <c r="CM631" s="1166"/>
      <c r="CN631" s="1169"/>
      <c r="CO631" s="1169"/>
      <c r="CP631" s="452"/>
      <c r="CQ631" s="435"/>
      <c r="CR631" s="441"/>
      <c r="CS631" s="452"/>
      <c r="CT631" s="482"/>
      <c r="CU631" s="476"/>
      <c r="CV631" s="431"/>
      <c r="CW631" s="1108"/>
      <c r="CX631" s="1108"/>
      <c r="CY631" s="483"/>
      <c r="CZ631" s="437"/>
      <c r="DA631" s="438"/>
      <c r="DB631" s="439"/>
      <c r="DC631" s="439"/>
      <c r="DD631" s="443"/>
      <c r="DE631" s="411"/>
      <c r="DF631" s="411"/>
      <c r="DG631" s="1117"/>
      <c r="DH631" s="1117"/>
      <c r="DI631" s="1117"/>
      <c r="DJ631" s="442"/>
      <c r="DK631" s="482"/>
      <c r="DL631" s="1038"/>
      <c r="DM631" s="1035"/>
      <c r="DN631" s="1035"/>
      <c r="DO631" s="1035"/>
      <c r="DP631" s="1046"/>
      <c r="DQ631" s="1167"/>
      <c r="DR631" s="1168"/>
      <c r="DS631" s="1165"/>
      <c r="DT631" s="1165"/>
      <c r="DU631" s="1165"/>
      <c r="DV631" s="1031"/>
      <c r="DW631" s="1098">
        <f t="shared" si="854"/>
        <v>0</v>
      </c>
      <c r="DX631" s="1098">
        <f t="shared" si="855"/>
        <v>0</v>
      </c>
      <c r="DY631" s="1030"/>
      <c r="DZ631" s="1030"/>
      <c r="EA631" s="1031"/>
      <c r="EB631" s="1050"/>
      <c r="EC631" s="1038"/>
      <c r="ED631" s="1035"/>
      <c r="EE631" s="1046"/>
      <c r="EF631" s="1169"/>
      <c r="EG631" s="1168"/>
      <c r="EH631" s="1165"/>
      <c r="EI631" s="1165"/>
      <c r="EJ631" s="1165"/>
      <c r="EK631" s="1031"/>
      <c r="EL631" s="1098">
        <f t="shared" si="862"/>
        <v>0</v>
      </c>
      <c r="EM631" s="1098">
        <f t="shared" si="863"/>
        <v>0</v>
      </c>
      <c r="EN631" s="1030"/>
      <c r="EO631" s="1030"/>
      <c r="EP631" s="1031"/>
      <c r="EQ631" s="1050"/>
      <c r="ER631" s="1038"/>
      <c r="ES631" s="1035"/>
      <c r="ET631" s="1051"/>
    </row>
    <row r="632" spans="2:150" ht="16.5" customHeight="1">
      <c r="B632" s="1024"/>
      <c r="C632" s="1025"/>
      <c r="D632" s="408">
        <v>629</v>
      </c>
      <c r="E632" s="1164"/>
      <c r="F632" s="1164"/>
      <c r="G632" s="1026"/>
      <c r="H632" s="411" t="str">
        <f>IFERROR(INDEX(绊状态确认!C:C,MATCH($G632,绊状态确认!$B:$B,)),"")</f>
        <v/>
      </c>
      <c r="I632" s="450" t="str">
        <f>IFERROR(INDEX(绊状态确认!D:D,MATCH($G632,绊状态确认!$B:$B,)),"")</f>
        <v/>
      </c>
      <c r="J632" s="450" t="str">
        <f>IFERROR(INDEX(绊状态确认!E:E,MATCH($G632,绊状态确认!$B:$B,)),"")</f>
        <v/>
      </c>
      <c r="K632" s="451" t="str">
        <f>IFERROR(INDEX(绊状态确认!F:F,MATCH($G632,绊状态确认!$B:$B,)),"")</f>
        <v/>
      </c>
      <c r="L632" s="1026"/>
      <c r="M632" s="1165"/>
      <c r="N632" s="1027"/>
      <c r="O632" s="1026"/>
      <c r="P632" s="1028"/>
      <c r="Q632" s="1029"/>
      <c r="R632" s="1166"/>
      <c r="S632" s="1030"/>
      <c r="T632" s="1031"/>
      <c r="U632" s="1032"/>
      <c r="V632" s="1033"/>
      <c r="W632" s="1034"/>
      <c r="X632" s="1166"/>
      <c r="Y632" s="1035"/>
      <c r="Z632" s="1036"/>
      <c r="AA632" s="1037"/>
      <c r="AB632" s="1038"/>
      <c r="AC632" s="1039"/>
      <c r="AD632" s="1040"/>
      <c r="AE632" s="1041"/>
      <c r="AF632" s="521"/>
      <c r="AG632" s="420"/>
      <c r="AH632" s="420"/>
      <c r="AI632" s="420"/>
      <c r="AJ632" s="420"/>
      <c r="AK632" s="518"/>
      <c r="AL632" s="1042"/>
      <c r="AM632" s="1035"/>
      <c r="AN632" s="1043"/>
      <c r="AO632" s="1167"/>
      <c r="AP632" s="1044"/>
      <c r="AQ632" s="1035"/>
      <c r="AR632" s="1035"/>
      <c r="AS632" s="1035"/>
      <c r="AT632" s="1165"/>
      <c r="AU632" s="1031"/>
      <c r="AV632" s="1045"/>
      <c r="AW632" s="1038"/>
      <c r="AX632" s="1035"/>
      <c r="AY632" s="483"/>
      <c r="AZ632" s="429"/>
      <c r="BA632" s="431"/>
      <c r="BB632" s="1035"/>
      <c r="BC632" s="1035"/>
      <c r="BD632" s="481"/>
      <c r="BE632" s="432"/>
      <c r="BF632" s="646"/>
      <c r="BG632" s="1047"/>
      <c r="BH632" s="1046"/>
      <c r="BI632" s="1048"/>
      <c r="BJ632" s="1030"/>
      <c r="BK632" s="1046"/>
      <c r="BL632" s="1048"/>
      <c r="BM632" s="1046"/>
      <c r="BN632" s="1167"/>
      <c r="BO632" s="1035"/>
      <c r="BP632" s="1043"/>
      <c r="BQ632" s="1167"/>
      <c r="BR632" s="1165"/>
      <c r="BS632" s="1031"/>
      <c r="BT632" s="1038"/>
      <c r="BU632" s="1035"/>
      <c r="BV632" s="1035"/>
      <c r="BW632" s="1049"/>
      <c r="BX632" s="1043"/>
      <c r="BY632" s="1046"/>
      <c r="BZ632" s="1167"/>
      <c r="CA632" s="1165"/>
      <c r="CB632" s="1031"/>
      <c r="CC632" s="1038"/>
      <c r="CD632" s="1035"/>
      <c r="CE632" s="1035"/>
      <c r="CF632" s="1049"/>
      <c r="CG632" s="1043"/>
      <c r="CH632" s="1046"/>
      <c r="CI632" s="1167"/>
      <c r="CJ632" s="1168"/>
      <c r="CK632" s="1169"/>
      <c r="CL632" s="1169"/>
      <c r="CM632" s="1166"/>
      <c r="CN632" s="1169"/>
      <c r="CO632" s="1169"/>
      <c r="CP632" s="452"/>
      <c r="CQ632" s="435"/>
      <c r="CR632" s="441"/>
      <c r="CS632" s="452"/>
      <c r="CT632" s="482"/>
      <c r="CU632" s="476"/>
      <c r="CV632" s="431"/>
      <c r="CW632" s="1108"/>
      <c r="CX632" s="1108"/>
      <c r="CY632" s="483"/>
      <c r="CZ632" s="437"/>
      <c r="DA632" s="438"/>
      <c r="DB632" s="439"/>
      <c r="DC632" s="439"/>
      <c r="DD632" s="443"/>
      <c r="DE632" s="411"/>
      <c r="DF632" s="411"/>
      <c r="DG632" s="1117"/>
      <c r="DH632" s="1117"/>
      <c r="DI632" s="1117"/>
      <c r="DJ632" s="442"/>
      <c r="DK632" s="482"/>
      <c r="DL632" s="1038"/>
      <c r="DM632" s="1035"/>
      <c r="DN632" s="1035"/>
      <c r="DO632" s="1035"/>
      <c r="DP632" s="1046"/>
      <c r="DQ632" s="1167"/>
      <c r="DR632" s="1168"/>
      <c r="DS632" s="1165"/>
      <c r="DT632" s="1165"/>
      <c r="DU632" s="1165"/>
      <c r="DV632" s="1031"/>
      <c r="DW632" s="1098">
        <f t="shared" si="854"/>
        <v>0</v>
      </c>
      <c r="DX632" s="1098">
        <f t="shared" si="855"/>
        <v>0</v>
      </c>
      <c r="DY632" s="1030"/>
      <c r="DZ632" s="1030"/>
      <c r="EA632" s="1031"/>
      <c r="EB632" s="1050"/>
      <c r="EC632" s="1038"/>
      <c r="ED632" s="1035"/>
      <c r="EE632" s="1046"/>
      <c r="EF632" s="1169"/>
      <c r="EG632" s="1168"/>
      <c r="EH632" s="1165"/>
      <c r="EI632" s="1165"/>
      <c r="EJ632" s="1165"/>
      <c r="EK632" s="1031"/>
      <c r="EL632" s="1098">
        <f t="shared" si="862"/>
        <v>0</v>
      </c>
      <c r="EM632" s="1098">
        <f t="shared" si="863"/>
        <v>0</v>
      </c>
      <c r="EN632" s="1030"/>
      <c r="EO632" s="1030"/>
      <c r="EP632" s="1031"/>
      <c r="EQ632" s="1050"/>
      <c r="ER632" s="1038"/>
      <c r="ES632" s="1035"/>
      <c r="ET632" s="1051"/>
    </row>
    <row r="633" spans="2:150" ht="16.5" customHeight="1">
      <c r="B633" s="1024"/>
      <c r="C633" s="1025"/>
      <c r="D633" s="408">
        <v>630</v>
      </c>
      <c r="E633" s="1164"/>
      <c r="F633" s="1164"/>
      <c r="G633" s="1026"/>
      <c r="H633" s="411" t="str">
        <f>IFERROR(INDEX(绊状态确认!C:C,MATCH($G633,绊状态确认!$B:$B,)),"")</f>
        <v/>
      </c>
      <c r="I633" s="450" t="str">
        <f>IFERROR(INDEX(绊状态确认!D:D,MATCH($G633,绊状态确认!$B:$B,)),"")</f>
        <v/>
      </c>
      <c r="J633" s="450" t="str">
        <f>IFERROR(INDEX(绊状态确认!E:E,MATCH($G633,绊状态确认!$B:$B,)),"")</f>
        <v/>
      </c>
      <c r="K633" s="451" t="str">
        <f>IFERROR(INDEX(绊状态确认!F:F,MATCH($G633,绊状态确认!$B:$B,)),"")</f>
        <v/>
      </c>
      <c r="L633" s="1026"/>
      <c r="M633" s="1165"/>
      <c r="N633" s="1027"/>
      <c r="O633" s="1026"/>
      <c r="P633" s="1028"/>
      <c r="Q633" s="1029"/>
      <c r="R633" s="1166"/>
      <c r="S633" s="1030"/>
      <c r="T633" s="1031"/>
      <c r="U633" s="1032"/>
      <c r="V633" s="1033"/>
      <c r="W633" s="1034"/>
      <c r="X633" s="1166"/>
      <c r="Y633" s="1035"/>
      <c r="Z633" s="1036"/>
      <c r="AA633" s="1037"/>
      <c r="AB633" s="1038"/>
      <c r="AC633" s="1039"/>
      <c r="AD633" s="1040"/>
      <c r="AE633" s="1041"/>
      <c r="AF633" s="521"/>
      <c r="AG633" s="420"/>
      <c r="AH633" s="420"/>
      <c r="AI633" s="420"/>
      <c r="AJ633" s="420"/>
      <c r="AK633" s="518"/>
      <c r="AL633" s="1042"/>
      <c r="AM633" s="1035"/>
      <c r="AN633" s="1043"/>
      <c r="AO633" s="1167"/>
      <c r="AP633" s="1044"/>
      <c r="AQ633" s="1035"/>
      <c r="AR633" s="1035"/>
      <c r="AS633" s="1035"/>
      <c r="AT633" s="1165"/>
      <c r="AU633" s="1031"/>
      <c r="AV633" s="1045"/>
      <c r="AW633" s="1038"/>
      <c r="AX633" s="1035"/>
      <c r="AY633" s="483"/>
      <c r="AZ633" s="429"/>
      <c r="BA633" s="431"/>
      <c r="BB633" s="1035"/>
      <c r="BC633" s="1035"/>
      <c r="BD633" s="481"/>
      <c r="BE633" s="432"/>
      <c r="BF633" s="646"/>
      <c r="BG633" s="1047"/>
      <c r="BH633" s="1046"/>
      <c r="BI633" s="1048"/>
      <c r="BJ633" s="1030"/>
      <c r="BK633" s="1046"/>
      <c r="BL633" s="1048"/>
      <c r="BM633" s="1046"/>
      <c r="BN633" s="1167"/>
      <c r="BO633" s="1035"/>
      <c r="BP633" s="1043"/>
      <c r="BQ633" s="1167"/>
      <c r="BR633" s="1165"/>
      <c r="BS633" s="1031"/>
      <c r="BT633" s="1038"/>
      <c r="BU633" s="1035"/>
      <c r="BV633" s="1035"/>
      <c r="BW633" s="1049"/>
      <c r="BX633" s="1043"/>
      <c r="BY633" s="1046"/>
      <c r="BZ633" s="1167"/>
      <c r="CA633" s="1165"/>
      <c r="CB633" s="1031"/>
      <c r="CC633" s="1038"/>
      <c r="CD633" s="1035"/>
      <c r="CE633" s="1035"/>
      <c r="CF633" s="1049"/>
      <c r="CG633" s="1043"/>
      <c r="CH633" s="1046"/>
      <c r="CI633" s="1167"/>
      <c r="CJ633" s="1168"/>
      <c r="CK633" s="1169"/>
      <c r="CL633" s="1169"/>
      <c r="CM633" s="1166"/>
      <c r="CN633" s="1169"/>
      <c r="CO633" s="1169"/>
      <c r="CP633" s="452"/>
      <c r="CQ633" s="435"/>
      <c r="CR633" s="441"/>
      <c r="CS633" s="452"/>
      <c r="CT633" s="482"/>
      <c r="CU633" s="476"/>
      <c r="CV633" s="431"/>
      <c r="CW633" s="1108"/>
      <c r="CX633" s="1108"/>
      <c r="CY633" s="483"/>
      <c r="CZ633" s="437"/>
      <c r="DA633" s="438"/>
      <c r="DB633" s="439"/>
      <c r="DC633" s="439"/>
      <c r="DD633" s="443"/>
      <c r="DE633" s="411"/>
      <c r="DF633" s="411"/>
      <c r="DG633" s="1117"/>
      <c r="DH633" s="1117"/>
      <c r="DI633" s="1117"/>
      <c r="DJ633" s="442"/>
      <c r="DK633" s="482"/>
      <c r="DL633" s="1038"/>
      <c r="DM633" s="1035"/>
      <c r="DN633" s="1035"/>
      <c r="DO633" s="1035"/>
      <c r="DP633" s="1046"/>
      <c r="DQ633" s="1167"/>
      <c r="DR633" s="1168"/>
      <c r="DS633" s="1165"/>
      <c r="DT633" s="1165"/>
      <c r="DU633" s="1165"/>
      <c r="DV633" s="1031"/>
      <c r="DW633" s="1098">
        <f t="shared" si="854"/>
        <v>0</v>
      </c>
      <c r="DX633" s="1098">
        <f t="shared" si="855"/>
        <v>0</v>
      </c>
      <c r="DY633" s="1030"/>
      <c r="DZ633" s="1030"/>
      <c r="EA633" s="1031"/>
      <c r="EB633" s="1050"/>
      <c r="EC633" s="1038"/>
      <c r="ED633" s="1035"/>
      <c r="EE633" s="1046"/>
      <c r="EF633" s="1169"/>
      <c r="EG633" s="1168"/>
      <c r="EH633" s="1165"/>
      <c r="EI633" s="1165"/>
      <c r="EJ633" s="1165"/>
      <c r="EK633" s="1031"/>
      <c r="EL633" s="1098">
        <f t="shared" si="862"/>
        <v>0</v>
      </c>
      <c r="EM633" s="1098">
        <f t="shared" si="863"/>
        <v>0</v>
      </c>
      <c r="EN633" s="1030"/>
      <c r="EO633" s="1030"/>
      <c r="EP633" s="1031"/>
      <c r="EQ633" s="1050"/>
      <c r="ER633" s="1038"/>
      <c r="ES633" s="1035"/>
      <c r="ET633" s="1051"/>
    </row>
    <row r="634" spans="2:150" ht="16.5" customHeight="1">
      <c r="B634" s="1024"/>
      <c r="C634" s="1025"/>
      <c r="D634" s="408">
        <v>631</v>
      </c>
      <c r="E634" s="1164"/>
      <c r="F634" s="1164"/>
      <c r="G634" s="1026"/>
      <c r="H634" s="411" t="str">
        <f>IFERROR(INDEX(绊状态确认!C:C,MATCH($G634,绊状态确认!$B:$B,)),"")</f>
        <v/>
      </c>
      <c r="I634" s="450" t="str">
        <f>IFERROR(INDEX(绊状态确认!D:D,MATCH($G634,绊状态确认!$B:$B,)),"")</f>
        <v/>
      </c>
      <c r="J634" s="450" t="str">
        <f>IFERROR(INDEX(绊状态确认!E:E,MATCH($G634,绊状态确认!$B:$B,)),"")</f>
        <v/>
      </c>
      <c r="K634" s="451" t="str">
        <f>IFERROR(INDEX(绊状态确认!F:F,MATCH($G634,绊状态确认!$B:$B,)),"")</f>
        <v/>
      </c>
      <c r="L634" s="1026"/>
      <c r="M634" s="1165"/>
      <c r="N634" s="1027"/>
      <c r="O634" s="1026"/>
      <c r="P634" s="1028"/>
      <c r="Q634" s="1029"/>
      <c r="R634" s="1166"/>
      <c r="S634" s="1030"/>
      <c r="T634" s="1031"/>
      <c r="U634" s="1032"/>
      <c r="V634" s="1033"/>
      <c r="W634" s="1034"/>
      <c r="X634" s="1166"/>
      <c r="Y634" s="1035"/>
      <c r="Z634" s="1036"/>
      <c r="AA634" s="1037"/>
      <c r="AB634" s="1038"/>
      <c r="AC634" s="1039"/>
      <c r="AD634" s="1040"/>
      <c r="AE634" s="1041"/>
      <c r="AF634" s="521"/>
      <c r="AG634" s="420"/>
      <c r="AH634" s="420"/>
      <c r="AI634" s="420"/>
      <c r="AJ634" s="420"/>
      <c r="AK634" s="518"/>
      <c r="AL634" s="1042"/>
      <c r="AM634" s="1035"/>
      <c r="AN634" s="1043"/>
      <c r="AO634" s="1167"/>
      <c r="AP634" s="1044"/>
      <c r="AQ634" s="1035"/>
      <c r="AR634" s="1035"/>
      <c r="AS634" s="1035"/>
      <c r="AT634" s="1165"/>
      <c r="AU634" s="1031"/>
      <c r="AV634" s="1045"/>
      <c r="AW634" s="1038"/>
      <c r="AX634" s="1035"/>
      <c r="AY634" s="483"/>
      <c r="AZ634" s="429"/>
      <c r="BA634" s="431"/>
      <c r="BB634" s="1035"/>
      <c r="BC634" s="1035"/>
      <c r="BD634" s="481"/>
      <c r="BE634" s="432"/>
      <c r="BF634" s="646"/>
      <c r="BG634" s="1047"/>
      <c r="BH634" s="1046"/>
      <c r="BI634" s="1048"/>
      <c r="BJ634" s="1030"/>
      <c r="BK634" s="1046"/>
      <c r="BL634" s="1048"/>
      <c r="BM634" s="1046"/>
      <c r="BN634" s="1167"/>
      <c r="BO634" s="1035"/>
      <c r="BP634" s="1043"/>
      <c r="BQ634" s="1167"/>
      <c r="BR634" s="1165"/>
      <c r="BS634" s="1031"/>
      <c r="BT634" s="1038"/>
      <c r="BU634" s="1035"/>
      <c r="BV634" s="1035"/>
      <c r="BW634" s="1049"/>
      <c r="BX634" s="1043"/>
      <c r="BY634" s="1046"/>
      <c r="BZ634" s="1167"/>
      <c r="CA634" s="1165"/>
      <c r="CB634" s="1031"/>
      <c r="CC634" s="1038"/>
      <c r="CD634" s="1035"/>
      <c r="CE634" s="1035"/>
      <c r="CF634" s="1049"/>
      <c r="CG634" s="1043"/>
      <c r="CH634" s="1046"/>
      <c r="CI634" s="1167"/>
      <c r="CJ634" s="1168"/>
      <c r="CK634" s="1169"/>
      <c r="CL634" s="1169"/>
      <c r="CM634" s="1166"/>
      <c r="CN634" s="1169"/>
      <c r="CO634" s="1169"/>
      <c r="CP634" s="452"/>
      <c r="CQ634" s="435"/>
      <c r="CR634" s="441"/>
      <c r="CS634" s="452"/>
      <c r="CT634" s="482"/>
      <c r="CU634" s="476"/>
      <c r="CV634" s="431"/>
      <c r="CW634" s="1108"/>
      <c r="CX634" s="1108"/>
      <c r="CY634" s="483"/>
      <c r="CZ634" s="437"/>
      <c r="DA634" s="438"/>
      <c r="DB634" s="439"/>
      <c r="DC634" s="439"/>
      <c r="DD634" s="443"/>
      <c r="DE634" s="411"/>
      <c r="DF634" s="411"/>
      <c r="DG634" s="1117"/>
      <c r="DH634" s="1117"/>
      <c r="DI634" s="1117"/>
      <c r="DJ634" s="442"/>
      <c r="DK634" s="482"/>
      <c r="DL634" s="1038"/>
      <c r="DM634" s="1035"/>
      <c r="DN634" s="1035"/>
      <c r="DO634" s="1035"/>
      <c r="DP634" s="1046"/>
      <c r="DQ634" s="1167"/>
      <c r="DR634" s="1168"/>
      <c r="DS634" s="1165"/>
      <c r="DT634" s="1165"/>
      <c r="DU634" s="1165"/>
      <c r="DV634" s="1031"/>
      <c r="DW634" s="1098">
        <f t="shared" si="854"/>
        <v>0</v>
      </c>
      <c r="DX634" s="1098">
        <f t="shared" si="855"/>
        <v>0</v>
      </c>
      <c r="DY634" s="1030"/>
      <c r="DZ634" s="1030"/>
      <c r="EA634" s="1031"/>
      <c r="EB634" s="1050"/>
      <c r="EC634" s="1038"/>
      <c r="ED634" s="1035"/>
      <c r="EE634" s="1046"/>
      <c r="EF634" s="1169"/>
      <c r="EG634" s="1168"/>
      <c r="EH634" s="1165"/>
      <c r="EI634" s="1165"/>
      <c r="EJ634" s="1165"/>
      <c r="EK634" s="1031"/>
      <c r="EL634" s="1098">
        <f t="shared" si="862"/>
        <v>0</v>
      </c>
      <c r="EM634" s="1098">
        <f t="shared" si="863"/>
        <v>0</v>
      </c>
      <c r="EN634" s="1030"/>
      <c r="EO634" s="1030"/>
      <c r="EP634" s="1031"/>
      <c r="EQ634" s="1050"/>
      <c r="ER634" s="1038"/>
      <c r="ES634" s="1035"/>
      <c r="ET634" s="1051"/>
    </row>
    <row r="635" spans="2:150" ht="16.5" customHeight="1">
      <c r="B635" s="1024"/>
      <c r="C635" s="1025"/>
      <c r="D635" s="408">
        <v>632</v>
      </c>
      <c r="E635" s="1164"/>
      <c r="F635" s="1164"/>
      <c r="G635" s="1026"/>
      <c r="H635" s="411" t="str">
        <f>IFERROR(INDEX(绊状态确认!C:C,MATCH($G635,绊状态确认!$B:$B,)),"")</f>
        <v/>
      </c>
      <c r="I635" s="450" t="str">
        <f>IFERROR(INDEX(绊状态确认!D:D,MATCH($G635,绊状态确认!$B:$B,)),"")</f>
        <v/>
      </c>
      <c r="J635" s="450" t="str">
        <f>IFERROR(INDEX(绊状态确认!E:E,MATCH($G635,绊状态确认!$B:$B,)),"")</f>
        <v/>
      </c>
      <c r="K635" s="451" t="str">
        <f>IFERROR(INDEX(绊状态确认!F:F,MATCH($G635,绊状态确认!$B:$B,)),"")</f>
        <v/>
      </c>
      <c r="L635" s="1026"/>
      <c r="M635" s="1165"/>
      <c r="N635" s="1027"/>
      <c r="O635" s="1026"/>
      <c r="P635" s="1028"/>
      <c r="Q635" s="1029"/>
      <c r="R635" s="1166"/>
      <c r="S635" s="1030"/>
      <c r="T635" s="1031"/>
      <c r="U635" s="1032"/>
      <c r="V635" s="1033"/>
      <c r="W635" s="1034"/>
      <c r="X635" s="1166"/>
      <c r="Y635" s="1035"/>
      <c r="Z635" s="1036"/>
      <c r="AA635" s="1037"/>
      <c r="AB635" s="1038"/>
      <c r="AC635" s="1039"/>
      <c r="AD635" s="1040"/>
      <c r="AE635" s="1041"/>
      <c r="AF635" s="521"/>
      <c r="AG635" s="420"/>
      <c r="AH635" s="420"/>
      <c r="AI635" s="420"/>
      <c r="AJ635" s="420"/>
      <c r="AK635" s="518"/>
      <c r="AL635" s="1042"/>
      <c r="AM635" s="1035"/>
      <c r="AN635" s="1043"/>
      <c r="AO635" s="1167"/>
      <c r="AP635" s="1044"/>
      <c r="AQ635" s="1035"/>
      <c r="AR635" s="1035"/>
      <c r="AS635" s="1035"/>
      <c r="AT635" s="1165"/>
      <c r="AU635" s="1031"/>
      <c r="AV635" s="1045"/>
      <c r="AW635" s="1038"/>
      <c r="AX635" s="1035"/>
      <c r="AY635" s="483"/>
      <c r="AZ635" s="429"/>
      <c r="BA635" s="431"/>
      <c r="BB635" s="1035"/>
      <c r="BC635" s="1035"/>
      <c r="BD635" s="481"/>
      <c r="BE635" s="432"/>
      <c r="BF635" s="646"/>
      <c r="BG635" s="1047"/>
      <c r="BH635" s="1046"/>
      <c r="BI635" s="1048"/>
      <c r="BJ635" s="1030"/>
      <c r="BK635" s="1046"/>
      <c r="BL635" s="1048"/>
      <c r="BM635" s="1046"/>
      <c r="BN635" s="1167"/>
      <c r="BO635" s="1035"/>
      <c r="BP635" s="1043"/>
      <c r="BQ635" s="1167"/>
      <c r="BR635" s="1165"/>
      <c r="BS635" s="1031"/>
      <c r="BT635" s="1038"/>
      <c r="BU635" s="1035"/>
      <c r="BV635" s="1035"/>
      <c r="BW635" s="1049"/>
      <c r="BX635" s="1043"/>
      <c r="BY635" s="1046"/>
      <c r="BZ635" s="1167"/>
      <c r="CA635" s="1165"/>
      <c r="CB635" s="1031"/>
      <c r="CC635" s="1038"/>
      <c r="CD635" s="1035"/>
      <c r="CE635" s="1035"/>
      <c r="CF635" s="1049"/>
      <c r="CG635" s="1043"/>
      <c r="CH635" s="1046"/>
      <c r="CI635" s="1167"/>
      <c r="CJ635" s="1168"/>
      <c r="CK635" s="1169"/>
      <c r="CL635" s="1169"/>
      <c r="CM635" s="1166"/>
      <c r="CN635" s="1169"/>
      <c r="CO635" s="1169"/>
      <c r="CP635" s="452"/>
      <c r="CQ635" s="435"/>
      <c r="CR635" s="441"/>
      <c r="CS635" s="452"/>
      <c r="CT635" s="482"/>
      <c r="CU635" s="476"/>
      <c r="CV635" s="431"/>
      <c r="CW635" s="1108"/>
      <c r="CX635" s="1108"/>
      <c r="CY635" s="483"/>
      <c r="CZ635" s="437"/>
      <c r="DA635" s="438"/>
      <c r="DB635" s="439"/>
      <c r="DC635" s="439"/>
      <c r="DD635" s="443"/>
      <c r="DE635" s="411"/>
      <c r="DF635" s="411"/>
      <c r="DG635" s="1117"/>
      <c r="DH635" s="1117"/>
      <c r="DI635" s="1117"/>
      <c r="DJ635" s="442"/>
      <c r="DK635" s="482"/>
      <c r="DL635" s="1038"/>
      <c r="DM635" s="1035"/>
      <c r="DN635" s="1035"/>
      <c r="DO635" s="1035"/>
      <c r="DP635" s="1046"/>
      <c r="DQ635" s="1167"/>
      <c r="DR635" s="1168"/>
      <c r="DS635" s="1165"/>
      <c r="DT635" s="1165"/>
      <c r="DU635" s="1165"/>
      <c r="DV635" s="1031"/>
      <c r="DW635" s="1098">
        <f t="shared" si="854"/>
        <v>0</v>
      </c>
      <c r="DX635" s="1098">
        <f t="shared" si="855"/>
        <v>0</v>
      </c>
      <c r="DY635" s="1030"/>
      <c r="DZ635" s="1030"/>
      <c r="EA635" s="1031"/>
      <c r="EB635" s="1050"/>
      <c r="EC635" s="1038"/>
      <c r="ED635" s="1035"/>
      <c r="EE635" s="1046"/>
      <c r="EF635" s="1169"/>
      <c r="EG635" s="1168"/>
      <c r="EH635" s="1165"/>
      <c r="EI635" s="1165"/>
      <c r="EJ635" s="1165"/>
      <c r="EK635" s="1031"/>
      <c r="EL635" s="1098">
        <f t="shared" si="862"/>
        <v>0</v>
      </c>
      <c r="EM635" s="1098">
        <f t="shared" si="863"/>
        <v>0</v>
      </c>
      <c r="EN635" s="1030"/>
      <c r="EO635" s="1030"/>
      <c r="EP635" s="1031"/>
      <c r="EQ635" s="1050"/>
      <c r="ER635" s="1038"/>
      <c r="ES635" s="1035"/>
      <c r="ET635" s="1051"/>
    </row>
    <row r="636" spans="2:150" ht="16.5" customHeight="1">
      <c r="B636" s="1024"/>
      <c r="C636" s="1025"/>
      <c r="D636" s="408">
        <v>633</v>
      </c>
      <c r="E636" s="1164"/>
      <c r="F636" s="1164"/>
      <c r="G636" s="1026"/>
      <c r="H636" s="411" t="str">
        <f>IFERROR(INDEX(绊状态确认!C:C,MATCH($G636,绊状态确认!$B:$B,)),"")</f>
        <v/>
      </c>
      <c r="I636" s="450" t="str">
        <f>IFERROR(INDEX(绊状态确认!D:D,MATCH($G636,绊状态确认!$B:$B,)),"")</f>
        <v/>
      </c>
      <c r="J636" s="450" t="str">
        <f>IFERROR(INDEX(绊状态确认!E:E,MATCH($G636,绊状态确认!$B:$B,)),"")</f>
        <v/>
      </c>
      <c r="K636" s="451" t="str">
        <f>IFERROR(INDEX(绊状态确认!F:F,MATCH($G636,绊状态确认!$B:$B,)),"")</f>
        <v/>
      </c>
      <c r="L636" s="1026"/>
      <c r="M636" s="1165"/>
      <c r="N636" s="1027"/>
      <c r="O636" s="1026"/>
      <c r="P636" s="1028"/>
      <c r="Q636" s="1029"/>
      <c r="R636" s="1166"/>
      <c r="S636" s="1030"/>
      <c r="T636" s="1031"/>
      <c r="U636" s="1032"/>
      <c r="V636" s="1033"/>
      <c r="W636" s="1034"/>
      <c r="X636" s="1166"/>
      <c r="Y636" s="1035"/>
      <c r="Z636" s="1036"/>
      <c r="AA636" s="1037"/>
      <c r="AB636" s="1038"/>
      <c r="AC636" s="1039"/>
      <c r="AD636" s="1040"/>
      <c r="AE636" s="1041"/>
      <c r="AF636" s="521"/>
      <c r="AG636" s="420"/>
      <c r="AH636" s="420"/>
      <c r="AI636" s="420"/>
      <c r="AJ636" s="420"/>
      <c r="AK636" s="518"/>
      <c r="AL636" s="1042"/>
      <c r="AM636" s="1035"/>
      <c r="AN636" s="1043"/>
      <c r="AO636" s="1167"/>
      <c r="AP636" s="1044"/>
      <c r="AQ636" s="1035"/>
      <c r="AR636" s="1035"/>
      <c r="AS636" s="1035"/>
      <c r="AT636" s="1165"/>
      <c r="AU636" s="1031"/>
      <c r="AV636" s="1045"/>
      <c r="AW636" s="1038"/>
      <c r="AX636" s="1035"/>
      <c r="AY636" s="483"/>
      <c r="AZ636" s="429"/>
      <c r="BA636" s="431"/>
      <c r="BB636" s="1035"/>
      <c r="BC636" s="1035"/>
      <c r="BD636" s="481"/>
      <c r="BE636" s="432"/>
      <c r="BF636" s="646"/>
      <c r="BG636" s="1047"/>
      <c r="BH636" s="1046"/>
      <c r="BI636" s="1048"/>
      <c r="BJ636" s="1030"/>
      <c r="BK636" s="1046"/>
      <c r="BL636" s="1048"/>
      <c r="BM636" s="1046"/>
      <c r="BN636" s="1167"/>
      <c r="BO636" s="1035"/>
      <c r="BP636" s="1043"/>
      <c r="BQ636" s="1167"/>
      <c r="BR636" s="1165"/>
      <c r="BS636" s="1031"/>
      <c r="BT636" s="1038"/>
      <c r="BU636" s="1035"/>
      <c r="BV636" s="1035"/>
      <c r="BW636" s="1049"/>
      <c r="BX636" s="1043"/>
      <c r="BY636" s="1046"/>
      <c r="BZ636" s="1167"/>
      <c r="CA636" s="1165"/>
      <c r="CB636" s="1031"/>
      <c r="CC636" s="1038"/>
      <c r="CD636" s="1035"/>
      <c r="CE636" s="1035"/>
      <c r="CF636" s="1049"/>
      <c r="CG636" s="1043"/>
      <c r="CH636" s="1046"/>
      <c r="CI636" s="1167"/>
      <c r="CJ636" s="1168"/>
      <c r="CK636" s="1169"/>
      <c r="CL636" s="1169"/>
      <c r="CM636" s="1166"/>
      <c r="CN636" s="1169"/>
      <c r="CO636" s="1169"/>
      <c r="CP636" s="452"/>
      <c r="CQ636" s="435"/>
      <c r="CR636" s="1117"/>
      <c r="CS636" s="452"/>
      <c r="CT636" s="482"/>
      <c r="CU636" s="476"/>
      <c r="CV636" s="431"/>
      <c r="CW636" s="1108"/>
      <c r="CX636" s="1108"/>
      <c r="CY636" s="483"/>
      <c r="CZ636" s="437"/>
      <c r="DA636" s="438"/>
      <c r="DB636" s="439"/>
      <c r="DC636" s="439"/>
      <c r="DD636" s="443"/>
      <c r="DE636" s="411"/>
      <c r="DF636" s="411"/>
      <c r="DG636" s="1117"/>
      <c r="DH636" s="1117"/>
      <c r="DI636" s="1117"/>
      <c r="DJ636" s="442"/>
      <c r="DK636" s="482"/>
      <c r="DL636" s="1038"/>
      <c r="DM636" s="1035"/>
      <c r="DN636" s="1035"/>
      <c r="DO636" s="1035"/>
      <c r="DP636" s="1046"/>
      <c r="DQ636" s="1167"/>
      <c r="DR636" s="1168"/>
      <c r="DS636" s="1165"/>
      <c r="DT636" s="1165"/>
      <c r="DU636" s="1165"/>
      <c r="DV636" s="1031"/>
      <c r="DW636" s="1098">
        <f t="shared" si="854"/>
        <v>0</v>
      </c>
      <c r="DX636" s="1098">
        <f t="shared" si="855"/>
        <v>0</v>
      </c>
      <c r="DY636" s="1030"/>
      <c r="DZ636" s="1030"/>
      <c r="EA636" s="1031"/>
      <c r="EB636" s="1050"/>
      <c r="EC636" s="1038"/>
      <c r="ED636" s="1035"/>
      <c r="EE636" s="1046"/>
      <c r="EF636" s="1169"/>
      <c r="EG636" s="1168"/>
      <c r="EH636" s="1165"/>
      <c r="EI636" s="1165"/>
      <c r="EJ636" s="1165"/>
      <c r="EK636" s="1031"/>
      <c r="EL636" s="1098">
        <f t="shared" si="862"/>
        <v>0</v>
      </c>
      <c r="EM636" s="1098">
        <f t="shared" si="863"/>
        <v>0</v>
      </c>
      <c r="EN636" s="1030"/>
      <c r="EO636" s="1030"/>
      <c r="EP636" s="1031"/>
      <c r="EQ636" s="1050"/>
      <c r="ER636" s="1038"/>
      <c r="ES636" s="1035"/>
      <c r="ET636" s="1051"/>
    </row>
    <row r="637" spans="2:150" ht="16.5" customHeight="1">
      <c r="B637" s="1024"/>
      <c r="C637" s="1025"/>
      <c r="D637" s="408">
        <v>634</v>
      </c>
      <c r="E637" s="1164"/>
      <c r="F637" s="1164"/>
      <c r="G637" s="1026"/>
      <c r="H637" s="411" t="str">
        <f>IFERROR(INDEX(绊状态确认!C:C,MATCH($G637,绊状态确认!$B:$B,)),"")</f>
        <v/>
      </c>
      <c r="I637" s="450" t="str">
        <f>IFERROR(INDEX(绊状态确认!D:D,MATCH($G637,绊状态确认!$B:$B,)),"")</f>
        <v/>
      </c>
      <c r="J637" s="450" t="str">
        <f>IFERROR(INDEX(绊状态确认!E:E,MATCH($G637,绊状态确认!$B:$B,)),"")</f>
        <v/>
      </c>
      <c r="K637" s="451" t="str">
        <f>IFERROR(INDEX(绊状态确认!F:F,MATCH($G637,绊状态确认!$B:$B,)),"")</f>
        <v/>
      </c>
      <c r="L637" s="1026"/>
      <c r="M637" s="1165"/>
      <c r="N637" s="1027"/>
      <c r="O637" s="1026"/>
      <c r="P637" s="1028"/>
      <c r="Q637" s="1029"/>
      <c r="R637" s="1166"/>
      <c r="S637" s="1030"/>
      <c r="T637" s="1031"/>
      <c r="U637" s="1032"/>
      <c r="V637" s="1033"/>
      <c r="W637" s="1034"/>
      <c r="X637" s="1166"/>
      <c r="Y637" s="1035"/>
      <c r="Z637" s="1036"/>
      <c r="AA637" s="1037"/>
      <c r="AB637" s="1038"/>
      <c r="AC637" s="1039"/>
      <c r="AD637" s="1040"/>
      <c r="AE637" s="1041"/>
      <c r="AF637" s="521"/>
      <c r="AG637" s="420"/>
      <c r="AH637" s="420"/>
      <c r="AI637" s="420"/>
      <c r="AJ637" s="420"/>
      <c r="AK637" s="518"/>
      <c r="AL637" s="1042"/>
      <c r="AM637" s="1035"/>
      <c r="AN637" s="1043"/>
      <c r="AO637" s="1167"/>
      <c r="AP637" s="1044"/>
      <c r="AQ637" s="1035"/>
      <c r="AR637" s="1035"/>
      <c r="AS637" s="1035"/>
      <c r="AT637" s="1165"/>
      <c r="AU637" s="1031"/>
      <c r="AV637" s="1045"/>
      <c r="AW637" s="1038"/>
      <c r="AX637" s="1035"/>
      <c r="AY637" s="483"/>
      <c r="AZ637" s="429"/>
      <c r="BA637" s="431"/>
      <c r="BB637" s="1035"/>
      <c r="BC637" s="1035"/>
      <c r="BD637" s="481"/>
      <c r="BE637" s="432"/>
      <c r="BF637" s="646"/>
      <c r="BG637" s="1047"/>
      <c r="BH637" s="1046"/>
      <c r="BI637" s="1048"/>
      <c r="BJ637" s="1030"/>
      <c r="BK637" s="1046"/>
      <c r="BL637" s="1048"/>
      <c r="BM637" s="1046"/>
      <c r="BN637" s="1167"/>
      <c r="BO637" s="1035"/>
      <c r="BP637" s="1043"/>
      <c r="BQ637" s="1167"/>
      <c r="BR637" s="1165"/>
      <c r="BS637" s="1031"/>
      <c r="BT637" s="1038"/>
      <c r="BU637" s="1035"/>
      <c r="BV637" s="1035"/>
      <c r="BW637" s="1049"/>
      <c r="BX637" s="1043"/>
      <c r="BY637" s="1046"/>
      <c r="BZ637" s="1167"/>
      <c r="CA637" s="1165"/>
      <c r="CB637" s="1031"/>
      <c r="CC637" s="1038"/>
      <c r="CD637" s="1035"/>
      <c r="CE637" s="1035"/>
      <c r="CF637" s="1049"/>
      <c r="CG637" s="1043"/>
      <c r="CH637" s="1046"/>
      <c r="CI637" s="1167"/>
      <c r="CJ637" s="1168"/>
      <c r="CK637" s="1169"/>
      <c r="CL637" s="1169"/>
      <c r="CM637" s="1166"/>
      <c r="CN637" s="1169"/>
      <c r="CO637" s="1169"/>
      <c r="CP637" s="452"/>
      <c r="CQ637" s="435"/>
      <c r="CR637" s="441"/>
      <c r="CS637" s="452"/>
      <c r="CT637" s="482"/>
      <c r="CU637" s="476"/>
      <c r="CV637" s="431"/>
      <c r="CW637" s="1108"/>
      <c r="CX637" s="1108"/>
      <c r="CY637" s="483"/>
      <c r="CZ637" s="437"/>
      <c r="DA637" s="438"/>
      <c r="DB637" s="439"/>
      <c r="DC637" s="439"/>
      <c r="DD637" s="443"/>
      <c r="DE637" s="411"/>
      <c r="DF637" s="411"/>
      <c r="DG637" s="1117"/>
      <c r="DH637" s="1117"/>
      <c r="DI637" s="1117"/>
      <c r="DJ637" s="442"/>
      <c r="DK637" s="482"/>
      <c r="DL637" s="1038"/>
      <c r="DM637" s="1035"/>
      <c r="DN637" s="1035"/>
      <c r="DO637" s="1035"/>
      <c r="DP637" s="1046"/>
      <c r="DQ637" s="1167"/>
      <c r="DR637" s="1168"/>
      <c r="DS637" s="1165"/>
      <c r="DT637" s="1165"/>
      <c r="DU637" s="1165"/>
      <c r="DV637" s="1031"/>
      <c r="DW637" s="1098">
        <f t="shared" si="854"/>
        <v>0</v>
      </c>
      <c r="DX637" s="1098">
        <f t="shared" si="855"/>
        <v>0</v>
      </c>
      <c r="DY637" s="1030"/>
      <c r="DZ637" s="1030"/>
      <c r="EA637" s="1031"/>
      <c r="EB637" s="1050"/>
      <c r="EC637" s="1038"/>
      <c r="ED637" s="1035"/>
      <c r="EE637" s="1046"/>
      <c r="EF637" s="1169"/>
      <c r="EG637" s="1168"/>
      <c r="EH637" s="1165"/>
      <c r="EI637" s="1165"/>
      <c r="EJ637" s="1165"/>
      <c r="EK637" s="1031"/>
      <c r="EL637" s="1098">
        <f t="shared" si="862"/>
        <v>0</v>
      </c>
      <c r="EM637" s="1098">
        <f t="shared" si="863"/>
        <v>0</v>
      </c>
      <c r="EN637" s="1030"/>
      <c r="EO637" s="1030"/>
      <c r="EP637" s="1031"/>
      <c r="EQ637" s="1050"/>
      <c r="ER637" s="1038"/>
      <c r="ES637" s="1035"/>
      <c r="ET637" s="1051"/>
    </row>
    <row r="638" spans="2:150" ht="16.5" customHeight="1">
      <c r="B638" s="1024"/>
      <c r="C638" s="1025"/>
      <c r="D638" s="408">
        <v>635</v>
      </c>
      <c r="E638" s="1164"/>
      <c r="F638" s="1164"/>
      <c r="G638" s="1026"/>
      <c r="H638" s="411" t="str">
        <f>IFERROR(INDEX(绊状态确认!C:C,MATCH($G638,绊状态确认!$B:$B,)),"")</f>
        <v/>
      </c>
      <c r="I638" s="450" t="str">
        <f>IFERROR(INDEX(绊状态确认!D:D,MATCH($G638,绊状态确认!$B:$B,)),"")</f>
        <v/>
      </c>
      <c r="J638" s="450" t="str">
        <f>IFERROR(INDEX(绊状态确认!E:E,MATCH($G638,绊状态确认!$B:$B,)),"")</f>
        <v/>
      </c>
      <c r="K638" s="451" t="str">
        <f>IFERROR(INDEX(绊状态确认!F:F,MATCH($G638,绊状态确认!$B:$B,)),"")</f>
        <v/>
      </c>
      <c r="L638" s="1026"/>
      <c r="M638" s="1165"/>
      <c r="N638" s="1027"/>
      <c r="O638" s="1026"/>
      <c r="P638" s="1028"/>
      <c r="Q638" s="1029"/>
      <c r="R638" s="1166"/>
      <c r="S638" s="1030"/>
      <c r="T638" s="1031"/>
      <c r="U638" s="1032"/>
      <c r="V638" s="1033"/>
      <c r="W638" s="1034"/>
      <c r="X638" s="1166"/>
      <c r="Y638" s="1035"/>
      <c r="Z638" s="1036"/>
      <c r="AA638" s="1037"/>
      <c r="AB638" s="1038"/>
      <c r="AC638" s="1039"/>
      <c r="AD638" s="1040"/>
      <c r="AE638" s="1041"/>
      <c r="AF638" s="521"/>
      <c r="AG638" s="420"/>
      <c r="AH638" s="420"/>
      <c r="AI638" s="420"/>
      <c r="AJ638" s="420"/>
      <c r="AK638" s="518"/>
      <c r="AL638" s="1042"/>
      <c r="AM638" s="1035"/>
      <c r="AN638" s="1043"/>
      <c r="AO638" s="1167"/>
      <c r="AP638" s="1044"/>
      <c r="AQ638" s="1035"/>
      <c r="AR638" s="1035"/>
      <c r="AS638" s="1035"/>
      <c r="AT638" s="1165"/>
      <c r="AU638" s="1031"/>
      <c r="AV638" s="1045"/>
      <c r="AW638" s="1038"/>
      <c r="AX638" s="1035"/>
      <c r="AY638" s="483"/>
      <c r="AZ638" s="429"/>
      <c r="BA638" s="431"/>
      <c r="BB638" s="1035"/>
      <c r="BC638" s="1035"/>
      <c r="BD638" s="481"/>
      <c r="BE638" s="432"/>
      <c r="BF638" s="646"/>
      <c r="BG638" s="1047"/>
      <c r="BH638" s="1046"/>
      <c r="BI638" s="1048"/>
      <c r="BJ638" s="1030"/>
      <c r="BK638" s="1046"/>
      <c r="BL638" s="1048"/>
      <c r="BM638" s="1046"/>
      <c r="BN638" s="1167"/>
      <c r="BO638" s="1035"/>
      <c r="BP638" s="1043"/>
      <c r="BQ638" s="1167"/>
      <c r="BR638" s="1165"/>
      <c r="BS638" s="1031"/>
      <c r="BT638" s="1038"/>
      <c r="BU638" s="1035"/>
      <c r="BV638" s="1035"/>
      <c r="BW638" s="1049"/>
      <c r="BX638" s="1043"/>
      <c r="BY638" s="1046"/>
      <c r="BZ638" s="1167"/>
      <c r="CA638" s="1165"/>
      <c r="CB638" s="1031"/>
      <c r="CC638" s="1038"/>
      <c r="CD638" s="1035"/>
      <c r="CE638" s="1035"/>
      <c r="CF638" s="1049"/>
      <c r="CG638" s="1043"/>
      <c r="CH638" s="1046"/>
      <c r="CI638" s="1167"/>
      <c r="CJ638" s="1168"/>
      <c r="CK638" s="1169"/>
      <c r="CL638" s="1169"/>
      <c r="CM638" s="1166"/>
      <c r="CN638" s="1169"/>
      <c r="CO638" s="1169"/>
      <c r="CP638" s="452"/>
      <c r="CQ638" s="435"/>
      <c r="CR638" s="441"/>
      <c r="CS638" s="452"/>
      <c r="CT638" s="482"/>
      <c r="CU638" s="476"/>
      <c r="CV638" s="431"/>
      <c r="CW638" s="1108"/>
      <c r="CX638" s="1108"/>
      <c r="CY638" s="483"/>
      <c r="CZ638" s="437"/>
      <c r="DA638" s="438"/>
      <c r="DB638" s="439"/>
      <c r="DC638" s="439"/>
      <c r="DD638" s="443"/>
      <c r="DE638" s="411"/>
      <c r="DF638" s="411"/>
      <c r="DG638" s="1117"/>
      <c r="DH638" s="1117"/>
      <c r="DI638" s="1117"/>
      <c r="DJ638" s="442"/>
      <c r="DK638" s="482"/>
      <c r="DL638" s="1038"/>
      <c r="DM638" s="1035"/>
      <c r="DN638" s="1035"/>
      <c r="DO638" s="1035"/>
      <c r="DP638" s="1046"/>
      <c r="DQ638" s="1167"/>
      <c r="DR638" s="1168"/>
      <c r="DS638" s="1165"/>
      <c r="DT638" s="1165"/>
      <c r="DU638" s="1165"/>
      <c r="DV638" s="1031"/>
      <c r="DW638" s="1098">
        <f t="shared" si="854"/>
        <v>0</v>
      </c>
      <c r="DX638" s="1098">
        <f t="shared" si="855"/>
        <v>0</v>
      </c>
      <c r="DY638" s="1030"/>
      <c r="DZ638" s="1030"/>
      <c r="EA638" s="1031"/>
      <c r="EB638" s="1050"/>
      <c r="EC638" s="1038"/>
      <c r="ED638" s="1035"/>
      <c r="EE638" s="1046"/>
      <c r="EF638" s="1169"/>
      <c r="EG638" s="1168"/>
      <c r="EH638" s="1165"/>
      <c r="EI638" s="1165"/>
      <c r="EJ638" s="1165"/>
      <c r="EK638" s="1031"/>
      <c r="EL638" s="1098">
        <f t="shared" si="862"/>
        <v>0</v>
      </c>
      <c r="EM638" s="1098">
        <f t="shared" si="863"/>
        <v>0</v>
      </c>
      <c r="EN638" s="1030"/>
      <c r="EO638" s="1030"/>
      <c r="EP638" s="1031"/>
      <c r="EQ638" s="1050"/>
      <c r="ER638" s="1038"/>
      <c r="ES638" s="1035"/>
      <c r="ET638" s="1051"/>
    </row>
    <row r="639" spans="2:150" ht="16.5" customHeight="1">
      <c r="B639" s="1024"/>
      <c r="C639" s="1025"/>
      <c r="D639" s="408">
        <v>636</v>
      </c>
      <c r="E639" s="1164"/>
      <c r="F639" s="1164"/>
      <c r="G639" s="1026"/>
      <c r="H639" s="411" t="str">
        <f>IFERROR(INDEX(绊状态确认!C:C,MATCH($G639,绊状态确认!$B:$B,)),"")</f>
        <v/>
      </c>
      <c r="I639" s="450" t="str">
        <f>IFERROR(INDEX(绊状态确认!D:D,MATCH($G639,绊状态确认!$B:$B,)),"")</f>
        <v/>
      </c>
      <c r="J639" s="450" t="str">
        <f>IFERROR(INDEX(绊状态确认!E:E,MATCH($G639,绊状态确认!$B:$B,)),"")</f>
        <v/>
      </c>
      <c r="K639" s="451" t="str">
        <f>IFERROR(INDEX(绊状态确认!F:F,MATCH($G639,绊状态确认!$B:$B,)),"")</f>
        <v/>
      </c>
      <c r="L639" s="1026"/>
      <c r="M639" s="1165"/>
      <c r="N639" s="1027"/>
      <c r="O639" s="1026"/>
      <c r="P639" s="1028"/>
      <c r="Q639" s="1029"/>
      <c r="R639" s="1166"/>
      <c r="S639" s="1030"/>
      <c r="T639" s="1031"/>
      <c r="U639" s="1032"/>
      <c r="V639" s="1033"/>
      <c r="W639" s="1034"/>
      <c r="X639" s="1166"/>
      <c r="Y639" s="1035"/>
      <c r="Z639" s="1036"/>
      <c r="AA639" s="1037"/>
      <c r="AB639" s="1038"/>
      <c r="AC639" s="1039"/>
      <c r="AD639" s="1040"/>
      <c r="AE639" s="1041"/>
      <c r="AF639" s="521"/>
      <c r="AG639" s="420"/>
      <c r="AH639" s="420"/>
      <c r="AI639" s="420"/>
      <c r="AJ639" s="420"/>
      <c r="AK639" s="518"/>
      <c r="AL639" s="1042"/>
      <c r="AM639" s="1035"/>
      <c r="AN639" s="1043"/>
      <c r="AO639" s="1167"/>
      <c r="AP639" s="1044"/>
      <c r="AQ639" s="1035"/>
      <c r="AR639" s="1035"/>
      <c r="AS639" s="1035"/>
      <c r="AT639" s="1165"/>
      <c r="AU639" s="1031"/>
      <c r="AV639" s="1045"/>
      <c r="AW639" s="1038"/>
      <c r="AX639" s="1035"/>
      <c r="AY639" s="483"/>
      <c r="AZ639" s="429"/>
      <c r="BA639" s="431"/>
      <c r="BB639" s="1035"/>
      <c r="BC639" s="1035"/>
      <c r="BD639" s="481"/>
      <c r="BE639" s="432"/>
      <c r="BF639" s="646"/>
      <c r="BG639" s="1047"/>
      <c r="BH639" s="1046"/>
      <c r="BI639" s="1048"/>
      <c r="BJ639" s="1030"/>
      <c r="BK639" s="1046"/>
      <c r="BL639" s="1048"/>
      <c r="BM639" s="1046"/>
      <c r="BN639" s="1167"/>
      <c r="BO639" s="1035"/>
      <c r="BP639" s="1043"/>
      <c r="BQ639" s="1167"/>
      <c r="BR639" s="1165"/>
      <c r="BS639" s="1031"/>
      <c r="BT639" s="1038"/>
      <c r="BU639" s="1035"/>
      <c r="BV639" s="1035"/>
      <c r="BW639" s="1049"/>
      <c r="BX639" s="1043"/>
      <c r="BY639" s="1046"/>
      <c r="BZ639" s="1167"/>
      <c r="CA639" s="1165"/>
      <c r="CB639" s="1031"/>
      <c r="CC639" s="1038"/>
      <c r="CD639" s="1035"/>
      <c r="CE639" s="1035"/>
      <c r="CF639" s="1049"/>
      <c r="CG639" s="1043"/>
      <c r="CH639" s="1046"/>
      <c r="CI639" s="1167"/>
      <c r="CJ639" s="1168"/>
      <c r="CK639" s="1169"/>
      <c r="CL639" s="1169"/>
      <c r="CM639" s="1166"/>
      <c r="CN639" s="1169"/>
      <c r="CO639" s="1169"/>
      <c r="CP639" s="452"/>
      <c r="CQ639" s="435"/>
      <c r="CR639" s="441"/>
      <c r="CS639" s="452"/>
      <c r="CT639" s="482"/>
      <c r="CU639" s="476"/>
      <c r="CV639" s="431"/>
      <c r="CW639" s="1108"/>
      <c r="CX639" s="1108"/>
      <c r="CY639" s="483"/>
      <c r="CZ639" s="437"/>
      <c r="DA639" s="438"/>
      <c r="DB639" s="439"/>
      <c r="DC639" s="439"/>
      <c r="DD639" s="443"/>
      <c r="DE639" s="411"/>
      <c r="DF639" s="411"/>
      <c r="DG639" s="1117"/>
      <c r="DH639" s="1117"/>
      <c r="DI639" s="1117"/>
      <c r="DJ639" s="442"/>
      <c r="DK639" s="482"/>
      <c r="DL639" s="1038"/>
      <c r="DM639" s="1035"/>
      <c r="DN639" s="1035"/>
      <c r="DO639" s="1035"/>
      <c r="DP639" s="1046"/>
      <c r="DQ639" s="1167"/>
      <c r="DR639" s="1168"/>
      <c r="DS639" s="1165"/>
      <c r="DT639" s="1165"/>
      <c r="DU639" s="1165"/>
      <c r="DV639" s="1031"/>
      <c r="DW639" s="1098">
        <f t="shared" si="854"/>
        <v>0</v>
      </c>
      <c r="DX639" s="1098">
        <f t="shared" si="855"/>
        <v>0</v>
      </c>
      <c r="DY639" s="1030"/>
      <c r="DZ639" s="1030"/>
      <c r="EA639" s="1031"/>
      <c r="EB639" s="1050"/>
      <c r="EC639" s="1038"/>
      <c r="ED639" s="1035"/>
      <c r="EE639" s="1046"/>
      <c r="EF639" s="1169"/>
      <c r="EG639" s="1168"/>
      <c r="EH639" s="1165"/>
      <c r="EI639" s="1165"/>
      <c r="EJ639" s="1165"/>
      <c r="EK639" s="1031"/>
      <c r="EL639" s="1098">
        <f t="shared" si="862"/>
        <v>0</v>
      </c>
      <c r="EM639" s="1098">
        <f t="shared" si="863"/>
        <v>0</v>
      </c>
      <c r="EN639" s="1030"/>
      <c r="EO639" s="1030"/>
      <c r="EP639" s="1031"/>
      <c r="EQ639" s="1050"/>
      <c r="ER639" s="1038"/>
      <c r="ES639" s="1035"/>
      <c r="ET639" s="1051"/>
    </row>
    <row r="640" spans="2:150" ht="16.5" customHeight="1">
      <c r="B640" s="1024"/>
      <c r="C640" s="1025"/>
      <c r="D640" s="408">
        <v>637</v>
      </c>
      <c r="E640" s="1164"/>
      <c r="F640" s="1164"/>
      <c r="G640" s="1026"/>
      <c r="H640" s="411" t="str">
        <f>IFERROR(INDEX(绊状态确认!C:C,MATCH($G640,绊状态确认!$B:$B,)),"")</f>
        <v/>
      </c>
      <c r="I640" s="450" t="str">
        <f>IFERROR(INDEX(绊状态确认!D:D,MATCH($G640,绊状态确认!$B:$B,)),"")</f>
        <v/>
      </c>
      <c r="J640" s="450" t="str">
        <f>IFERROR(INDEX(绊状态确认!E:E,MATCH($G640,绊状态确认!$B:$B,)),"")</f>
        <v/>
      </c>
      <c r="K640" s="451" t="str">
        <f>IFERROR(INDEX(绊状态确认!F:F,MATCH($G640,绊状态确认!$B:$B,)),"")</f>
        <v/>
      </c>
      <c r="L640" s="1026"/>
      <c r="M640" s="1165"/>
      <c r="N640" s="1027"/>
      <c r="O640" s="1026"/>
      <c r="P640" s="1028"/>
      <c r="Q640" s="1029"/>
      <c r="R640" s="1166"/>
      <c r="S640" s="1030"/>
      <c r="T640" s="1031"/>
      <c r="U640" s="1032"/>
      <c r="V640" s="1033"/>
      <c r="W640" s="1034"/>
      <c r="X640" s="1166"/>
      <c r="Y640" s="1035"/>
      <c r="Z640" s="1036"/>
      <c r="AA640" s="1037"/>
      <c r="AB640" s="1038"/>
      <c r="AC640" s="1039"/>
      <c r="AD640" s="1040"/>
      <c r="AE640" s="1041"/>
      <c r="AF640" s="521"/>
      <c r="AG640" s="420"/>
      <c r="AH640" s="420"/>
      <c r="AI640" s="420"/>
      <c r="AJ640" s="420"/>
      <c r="AK640" s="518"/>
      <c r="AL640" s="1042"/>
      <c r="AM640" s="1035"/>
      <c r="AN640" s="1043"/>
      <c r="AO640" s="1167"/>
      <c r="AP640" s="1044"/>
      <c r="AQ640" s="1035"/>
      <c r="AR640" s="1035"/>
      <c r="AS640" s="1035"/>
      <c r="AT640" s="1165"/>
      <c r="AU640" s="1031"/>
      <c r="AV640" s="1045"/>
      <c r="AW640" s="1038"/>
      <c r="AX640" s="1035"/>
      <c r="AY640" s="483"/>
      <c r="AZ640" s="429"/>
      <c r="BA640" s="431"/>
      <c r="BB640" s="1035"/>
      <c r="BC640" s="1035"/>
      <c r="BD640" s="481"/>
      <c r="BE640" s="432"/>
      <c r="BF640" s="646"/>
      <c r="BG640" s="1047"/>
      <c r="BH640" s="1046"/>
      <c r="BI640" s="1048"/>
      <c r="BJ640" s="1030"/>
      <c r="BK640" s="1046"/>
      <c r="BL640" s="1048"/>
      <c r="BM640" s="1046"/>
      <c r="BN640" s="1167"/>
      <c r="BO640" s="1035"/>
      <c r="BP640" s="1043"/>
      <c r="BQ640" s="1167"/>
      <c r="BR640" s="1165"/>
      <c r="BS640" s="1031"/>
      <c r="BT640" s="1038"/>
      <c r="BU640" s="1035"/>
      <c r="BV640" s="1035"/>
      <c r="BW640" s="1049"/>
      <c r="BX640" s="1043"/>
      <c r="BY640" s="1046"/>
      <c r="BZ640" s="1167"/>
      <c r="CA640" s="1165"/>
      <c r="CB640" s="1031"/>
      <c r="CC640" s="1038"/>
      <c r="CD640" s="1035"/>
      <c r="CE640" s="1035"/>
      <c r="CF640" s="1049"/>
      <c r="CG640" s="1043"/>
      <c r="CH640" s="1046"/>
      <c r="CI640" s="1167"/>
      <c r="CJ640" s="1168"/>
      <c r="CK640" s="1169"/>
      <c r="CL640" s="1169"/>
      <c r="CM640" s="1166"/>
      <c r="CN640" s="1169"/>
      <c r="CO640" s="1169"/>
      <c r="CP640" s="452"/>
      <c r="CQ640" s="435"/>
      <c r="CR640" s="1117"/>
      <c r="CS640" s="452"/>
      <c r="CT640" s="482"/>
      <c r="CU640" s="476"/>
      <c r="CV640" s="431"/>
      <c r="CW640" s="1108"/>
      <c r="CX640" s="1108"/>
      <c r="CY640" s="483"/>
      <c r="CZ640" s="437"/>
      <c r="DA640" s="438"/>
      <c r="DB640" s="439"/>
      <c r="DC640" s="439"/>
      <c r="DD640" s="443"/>
      <c r="DE640" s="411"/>
      <c r="DF640" s="411"/>
      <c r="DG640" s="1117"/>
      <c r="DH640" s="1117"/>
      <c r="DI640" s="1117"/>
      <c r="DJ640" s="442"/>
      <c r="DK640" s="482"/>
      <c r="DL640" s="1038"/>
      <c r="DM640" s="1035"/>
      <c r="DN640" s="1035"/>
      <c r="DO640" s="1035"/>
      <c r="DP640" s="1046"/>
      <c r="DQ640" s="1167"/>
      <c r="DR640" s="1168"/>
      <c r="DS640" s="1165"/>
      <c r="DT640" s="1165"/>
      <c r="DU640" s="1165"/>
      <c r="DV640" s="1031"/>
      <c r="DW640" s="1098">
        <f t="shared" si="854"/>
        <v>0</v>
      </c>
      <c r="DX640" s="1098">
        <f t="shared" si="855"/>
        <v>0</v>
      </c>
      <c r="DY640" s="1030"/>
      <c r="DZ640" s="1030"/>
      <c r="EA640" s="1031"/>
      <c r="EB640" s="1050"/>
      <c r="EC640" s="1038"/>
      <c r="ED640" s="1035"/>
      <c r="EE640" s="1046"/>
      <c r="EF640" s="1169"/>
      <c r="EG640" s="1168"/>
      <c r="EH640" s="1165"/>
      <c r="EI640" s="1165"/>
      <c r="EJ640" s="1165"/>
      <c r="EK640" s="1031"/>
      <c r="EL640" s="1098">
        <f t="shared" si="862"/>
        <v>0</v>
      </c>
      <c r="EM640" s="1098">
        <f t="shared" si="863"/>
        <v>0</v>
      </c>
      <c r="EN640" s="1030"/>
      <c r="EO640" s="1030"/>
      <c r="EP640" s="1031"/>
      <c r="EQ640" s="1050"/>
      <c r="ER640" s="1038"/>
      <c r="ES640" s="1035"/>
      <c r="ET640" s="1051"/>
    </row>
    <row r="641" spans="2:150" ht="16.5" customHeight="1">
      <c r="B641" s="1024"/>
      <c r="C641" s="1025"/>
      <c r="D641" s="408">
        <v>638</v>
      </c>
      <c r="E641" s="1164"/>
      <c r="F641" s="1164"/>
      <c r="G641" s="1026"/>
      <c r="H641" s="411" t="str">
        <f>IFERROR(INDEX(绊状态确认!C:C,MATCH($G641,绊状态确认!$B:$B,)),"")</f>
        <v/>
      </c>
      <c r="I641" s="450" t="str">
        <f>IFERROR(INDEX(绊状态确认!D:D,MATCH($G641,绊状态确认!$B:$B,)),"")</f>
        <v/>
      </c>
      <c r="J641" s="450" t="str">
        <f>IFERROR(INDEX(绊状态确认!E:E,MATCH($G641,绊状态确认!$B:$B,)),"")</f>
        <v/>
      </c>
      <c r="K641" s="451" t="str">
        <f>IFERROR(INDEX(绊状态确认!F:F,MATCH($G641,绊状态确认!$B:$B,)),"")</f>
        <v/>
      </c>
      <c r="L641" s="1026"/>
      <c r="M641" s="1165"/>
      <c r="N641" s="1027"/>
      <c r="O641" s="1026"/>
      <c r="P641" s="1028"/>
      <c r="Q641" s="1029"/>
      <c r="R641" s="1166"/>
      <c r="S641" s="1030"/>
      <c r="T641" s="1031"/>
      <c r="U641" s="1032"/>
      <c r="V641" s="1033"/>
      <c r="W641" s="1034"/>
      <c r="X641" s="1166"/>
      <c r="Y641" s="1035"/>
      <c r="Z641" s="1036"/>
      <c r="AA641" s="1037"/>
      <c r="AB641" s="1038"/>
      <c r="AC641" s="1039"/>
      <c r="AD641" s="1040"/>
      <c r="AE641" s="1041"/>
      <c r="AF641" s="521"/>
      <c r="AG641" s="420"/>
      <c r="AH641" s="420"/>
      <c r="AI641" s="420"/>
      <c r="AJ641" s="420"/>
      <c r="AK641" s="518"/>
      <c r="AL641" s="1042"/>
      <c r="AM641" s="1035"/>
      <c r="AN641" s="1043"/>
      <c r="AO641" s="1167"/>
      <c r="AP641" s="1044"/>
      <c r="AQ641" s="1035"/>
      <c r="AR641" s="1035"/>
      <c r="AS641" s="1035"/>
      <c r="AT641" s="1165"/>
      <c r="AU641" s="1031"/>
      <c r="AV641" s="1045"/>
      <c r="AW641" s="1038"/>
      <c r="AX641" s="1035"/>
      <c r="AY641" s="483"/>
      <c r="AZ641" s="429"/>
      <c r="BA641" s="431"/>
      <c r="BB641" s="1035"/>
      <c r="BC641" s="1035"/>
      <c r="BD641" s="481"/>
      <c r="BE641" s="432"/>
      <c r="BF641" s="646"/>
      <c r="BG641" s="1047"/>
      <c r="BH641" s="1046"/>
      <c r="BI641" s="1048"/>
      <c r="BJ641" s="1030"/>
      <c r="BK641" s="1046"/>
      <c r="BL641" s="1048"/>
      <c r="BM641" s="1046"/>
      <c r="BN641" s="1167"/>
      <c r="BO641" s="1035"/>
      <c r="BP641" s="1043"/>
      <c r="BQ641" s="1167"/>
      <c r="BR641" s="1165"/>
      <c r="BS641" s="1031"/>
      <c r="BT641" s="1038"/>
      <c r="BU641" s="1035"/>
      <c r="BV641" s="1035"/>
      <c r="BW641" s="1049"/>
      <c r="BX641" s="1043"/>
      <c r="BY641" s="1046"/>
      <c r="BZ641" s="1167"/>
      <c r="CA641" s="1165"/>
      <c r="CB641" s="1031"/>
      <c r="CC641" s="1038"/>
      <c r="CD641" s="1035"/>
      <c r="CE641" s="1035"/>
      <c r="CF641" s="1049"/>
      <c r="CG641" s="1043"/>
      <c r="CH641" s="1046"/>
      <c r="CI641" s="1167"/>
      <c r="CJ641" s="1168"/>
      <c r="CK641" s="1169"/>
      <c r="CL641" s="1169"/>
      <c r="CM641" s="1166"/>
      <c r="CN641" s="1169"/>
      <c r="CO641" s="1169"/>
      <c r="CP641" s="452"/>
      <c r="CQ641" s="435"/>
      <c r="CR641" s="441"/>
      <c r="CS641" s="452"/>
      <c r="CT641" s="482"/>
      <c r="CU641" s="476"/>
      <c r="CV641" s="431"/>
      <c r="CW641" s="1108"/>
      <c r="CX641" s="1108"/>
      <c r="CY641" s="483"/>
      <c r="CZ641" s="437"/>
      <c r="DA641" s="438"/>
      <c r="DB641" s="439"/>
      <c r="DC641" s="439"/>
      <c r="DD641" s="443"/>
      <c r="DE641" s="411"/>
      <c r="DF641" s="411"/>
      <c r="DG641" s="1117"/>
      <c r="DH641" s="1117"/>
      <c r="DI641" s="1117"/>
      <c r="DJ641" s="442"/>
      <c r="DK641" s="482"/>
      <c r="DL641" s="1038"/>
      <c r="DM641" s="1035"/>
      <c r="DN641" s="1035"/>
      <c r="DO641" s="1035"/>
      <c r="DP641" s="1046"/>
      <c r="DQ641" s="1167"/>
      <c r="DR641" s="1168"/>
      <c r="DS641" s="1165"/>
      <c r="DT641" s="1165"/>
      <c r="DU641" s="1165"/>
      <c r="DV641" s="1031"/>
      <c r="DW641" s="1098">
        <f t="shared" si="854"/>
        <v>0</v>
      </c>
      <c r="DX641" s="1098">
        <f t="shared" si="855"/>
        <v>0</v>
      </c>
      <c r="DY641" s="1030"/>
      <c r="DZ641" s="1030"/>
      <c r="EA641" s="1031"/>
      <c r="EB641" s="1050"/>
      <c r="EC641" s="1038"/>
      <c r="ED641" s="1035"/>
      <c r="EE641" s="1046"/>
      <c r="EF641" s="1169"/>
      <c r="EG641" s="1168"/>
      <c r="EH641" s="1165"/>
      <c r="EI641" s="1165"/>
      <c r="EJ641" s="1165"/>
      <c r="EK641" s="1031"/>
      <c r="EL641" s="1098">
        <f t="shared" si="862"/>
        <v>0</v>
      </c>
      <c r="EM641" s="1098">
        <f t="shared" si="863"/>
        <v>0</v>
      </c>
      <c r="EN641" s="1030"/>
      <c r="EO641" s="1030"/>
      <c r="EP641" s="1031"/>
      <c r="EQ641" s="1050"/>
      <c r="ER641" s="1038"/>
      <c r="ES641" s="1035"/>
      <c r="ET641" s="1051"/>
    </row>
    <row r="642" spans="2:150" ht="16.5" customHeight="1">
      <c r="B642" s="1024"/>
      <c r="C642" s="1025"/>
      <c r="D642" s="408">
        <v>639</v>
      </c>
      <c r="E642" s="1164"/>
      <c r="F642" s="1164"/>
      <c r="G642" s="1026"/>
      <c r="H642" s="411" t="str">
        <f>IFERROR(INDEX(绊状态确认!C:C,MATCH($G642,绊状态确认!$B:$B,)),"")</f>
        <v/>
      </c>
      <c r="I642" s="450" t="str">
        <f>IFERROR(INDEX(绊状态确认!D:D,MATCH($G642,绊状态确认!$B:$B,)),"")</f>
        <v/>
      </c>
      <c r="J642" s="450" t="str">
        <f>IFERROR(INDEX(绊状态确认!E:E,MATCH($G642,绊状态确认!$B:$B,)),"")</f>
        <v/>
      </c>
      <c r="K642" s="451" t="str">
        <f>IFERROR(INDEX(绊状态确认!F:F,MATCH($G642,绊状态确认!$B:$B,)),"")</f>
        <v/>
      </c>
      <c r="L642" s="1026"/>
      <c r="M642" s="1165"/>
      <c r="N642" s="1027"/>
      <c r="O642" s="1026"/>
      <c r="P642" s="1028"/>
      <c r="Q642" s="1029"/>
      <c r="R642" s="1166"/>
      <c r="S642" s="1030"/>
      <c r="T642" s="1031"/>
      <c r="U642" s="1032"/>
      <c r="V642" s="1033"/>
      <c r="W642" s="1034"/>
      <c r="X642" s="1166"/>
      <c r="Y642" s="1035"/>
      <c r="Z642" s="1036"/>
      <c r="AA642" s="1037"/>
      <c r="AB642" s="1038"/>
      <c r="AC642" s="1039"/>
      <c r="AD642" s="1040"/>
      <c r="AE642" s="1041"/>
      <c r="AF642" s="521"/>
      <c r="AG642" s="420"/>
      <c r="AH642" s="420"/>
      <c r="AI642" s="420"/>
      <c r="AJ642" s="420"/>
      <c r="AK642" s="518"/>
      <c r="AL642" s="1042"/>
      <c r="AM642" s="1035"/>
      <c r="AN642" s="1043"/>
      <c r="AO642" s="1167"/>
      <c r="AP642" s="1044"/>
      <c r="AQ642" s="1035"/>
      <c r="AR642" s="1035"/>
      <c r="AS642" s="1035"/>
      <c r="AT642" s="1165"/>
      <c r="AU642" s="1031"/>
      <c r="AV642" s="1045"/>
      <c r="AW642" s="1038"/>
      <c r="AX642" s="1035"/>
      <c r="AY642" s="483"/>
      <c r="AZ642" s="429"/>
      <c r="BA642" s="431"/>
      <c r="BB642" s="1035"/>
      <c r="BC642" s="1035"/>
      <c r="BD642" s="481"/>
      <c r="BE642" s="432"/>
      <c r="BF642" s="646"/>
      <c r="BG642" s="1047"/>
      <c r="BH642" s="1046"/>
      <c r="BI642" s="1048"/>
      <c r="BJ642" s="1030"/>
      <c r="BK642" s="1046"/>
      <c r="BL642" s="1048"/>
      <c r="BM642" s="1046"/>
      <c r="BN642" s="1167"/>
      <c r="BO642" s="1035"/>
      <c r="BP642" s="1043"/>
      <c r="BQ642" s="1167"/>
      <c r="BR642" s="1165"/>
      <c r="BS642" s="1031"/>
      <c r="BT642" s="1038"/>
      <c r="BU642" s="1035"/>
      <c r="BV642" s="1035"/>
      <c r="BW642" s="1049"/>
      <c r="BX642" s="1043"/>
      <c r="BY642" s="1046"/>
      <c r="BZ642" s="1167"/>
      <c r="CA642" s="1165"/>
      <c r="CB642" s="1031"/>
      <c r="CC642" s="1038"/>
      <c r="CD642" s="1035"/>
      <c r="CE642" s="1035"/>
      <c r="CF642" s="1049"/>
      <c r="CG642" s="1043"/>
      <c r="CH642" s="1046"/>
      <c r="CI642" s="1167"/>
      <c r="CJ642" s="1168"/>
      <c r="CK642" s="1169"/>
      <c r="CL642" s="1169"/>
      <c r="CM642" s="1166"/>
      <c r="CN642" s="1169"/>
      <c r="CO642" s="1169"/>
      <c r="CP642" s="452"/>
      <c r="CQ642" s="435"/>
      <c r="CR642" s="1117"/>
      <c r="CS642" s="452"/>
      <c r="CT642" s="482"/>
      <c r="CU642" s="476"/>
      <c r="CV642" s="431"/>
      <c r="CW642" s="1108"/>
      <c r="CX642" s="1108"/>
      <c r="CY642" s="483"/>
      <c r="CZ642" s="437"/>
      <c r="DA642" s="438"/>
      <c r="DB642" s="439"/>
      <c r="DC642" s="439"/>
      <c r="DD642" s="443"/>
      <c r="DE642" s="411"/>
      <c r="DF642" s="411"/>
      <c r="DG642" s="1117"/>
      <c r="DH642" s="1117"/>
      <c r="DI642" s="1117"/>
      <c r="DJ642" s="442"/>
      <c r="DK642" s="482"/>
      <c r="DL642" s="1038"/>
      <c r="DM642" s="1035"/>
      <c r="DN642" s="1035"/>
      <c r="DO642" s="1035"/>
      <c r="DP642" s="1046"/>
      <c r="DQ642" s="1167"/>
      <c r="DR642" s="1168"/>
      <c r="DS642" s="1165"/>
      <c r="DT642" s="1165"/>
      <c r="DU642" s="1165"/>
      <c r="DV642" s="1031"/>
      <c r="DW642" s="1098">
        <f t="shared" si="854"/>
        <v>0</v>
      </c>
      <c r="DX642" s="1098">
        <f t="shared" si="855"/>
        <v>0</v>
      </c>
      <c r="DY642" s="1030"/>
      <c r="DZ642" s="1030"/>
      <c r="EA642" s="1031"/>
      <c r="EB642" s="1050"/>
      <c r="EC642" s="1038"/>
      <c r="ED642" s="1035"/>
      <c r="EE642" s="1046"/>
      <c r="EF642" s="1169"/>
      <c r="EG642" s="1168"/>
      <c r="EH642" s="1165"/>
      <c r="EI642" s="1165"/>
      <c r="EJ642" s="1165"/>
      <c r="EK642" s="1031"/>
      <c r="EL642" s="1098">
        <f t="shared" si="862"/>
        <v>0</v>
      </c>
      <c r="EM642" s="1098">
        <f t="shared" si="863"/>
        <v>0</v>
      </c>
      <c r="EN642" s="1030"/>
      <c r="EO642" s="1030"/>
      <c r="EP642" s="1031"/>
      <c r="EQ642" s="1050"/>
      <c r="ER642" s="1038"/>
      <c r="ES642" s="1035"/>
      <c r="ET642" s="1051"/>
    </row>
    <row r="643" spans="2:150" ht="16.5" customHeight="1">
      <c r="B643" s="1024"/>
      <c r="C643" s="1025"/>
      <c r="D643" s="408">
        <v>640</v>
      </c>
      <c r="E643" s="1164"/>
      <c r="F643" s="1164"/>
      <c r="G643" s="1026"/>
      <c r="H643" s="411" t="str">
        <f>IFERROR(INDEX(绊状态确认!C:C,MATCH($G643,绊状态确认!$B:$B,)),"")</f>
        <v/>
      </c>
      <c r="I643" s="450" t="str">
        <f>IFERROR(INDEX(绊状态确认!D:D,MATCH($G643,绊状态确认!$B:$B,)),"")</f>
        <v/>
      </c>
      <c r="J643" s="450" t="str">
        <f>IFERROR(INDEX(绊状态确认!E:E,MATCH($G643,绊状态确认!$B:$B,)),"")</f>
        <v/>
      </c>
      <c r="K643" s="451" t="str">
        <f>IFERROR(INDEX(绊状态确认!F:F,MATCH($G643,绊状态确认!$B:$B,)),"")</f>
        <v/>
      </c>
      <c r="L643" s="1026"/>
      <c r="M643" s="1165"/>
      <c r="N643" s="1027"/>
      <c r="O643" s="1026"/>
      <c r="P643" s="1028"/>
      <c r="Q643" s="1029"/>
      <c r="R643" s="1166"/>
      <c r="S643" s="1030"/>
      <c r="T643" s="1031"/>
      <c r="U643" s="1032"/>
      <c r="V643" s="1033"/>
      <c r="W643" s="1034"/>
      <c r="X643" s="1166"/>
      <c r="Y643" s="1035"/>
      <c r="Z643" s="1036"/>
      <c r="AA643" s="1037"/>
      <c r="AB643" s="1038"/>
      <c r="AC643" s="1039"/>
      <c r="AD643" s="1040"/>
      <c r="AE643" s="1041"/>
      <c r="AF643" s="521"/>
      <c r="AG643" s="420"/>
      <c r="AH643" s="420"/>
      <c r="AI643" s="420"/>
      <c r="AJ643" s="420"/>
      <c r="AK643" s="518"/>
      <c r="AL643" s="1042"/>
      <c r="AM643" s="1035"/>
      <c r="AN643" s="1043"/>
      <c r="AO643" s="1167"/>
      <c r="AP643" s="1044"/>
      <c r="AQ643" s="1035"/>
      <c r="AR643" s="1035"/>
      <c r="AS643" s="1035"/>
      <c r="AT643" s="1165"/>
      <c r="AU643" s="1031"/>
      <c r="AV643" s="1045"/>
      <c r="AW643" s="1038"/>
      <c r="AX643" s="1035"/>
      <c r="AY643" s="483"/>
      <c r="AZ643" s="429"/>
      <c r="BA643" s="431"/>
      <c r="BB643" s="1035"/>
      <c r="BC643" s="1035"/>
      <c r="BD643" s="481"/>
      <c r="BE643" s="432"/>
      <c r="BF643" s="646"/>
      <c r="BG643" s="1047"/>
      <c r="BH643" s="1046"/>
      <c r="BI643" s="1048"/>
      <c r="BJ643" s="1030"/>
      <c r="BK643" s="1046"/>
      <c r="BL643" s="1048"/>
      <c r="BM643" s="1046"/>
      <c r="BN643" s="1167"/>
      <c r="BO643" s="1035"/>
      <c r="BP643" s="1043"/>
      <c r="BQ643" s="1167"/>
      <c r="BR643" s="1165"/>
      <c r="BS643" s="1031"/>
      <c r="BT643" s="1038"/>
      <c r="BU643" s="1035"/>
      <c r="BV643" s="1035"/>
      <c r="BW643" s="1049"/>
      <c r="BX643" s="1043"/>
      <c r="BY643" s="1046"/>
      <c r="BZ643" s="1167"/>
      <c r="CA643" s="1165"/>
      <c r="CB643" s="1031"/>
      <c r="CC643" s="1038"/>
      <c r="CD643" s="1035"/>
      <c r="CE643" s="1035"/>
      <c r="CF643" s="1049"/>
      <c r="CG643" s="1043"/>
      <c r="CH643" s="1046"/>
      <c r="CI643" s="1167"/>
      <c r="CJ643" s="1168"/>
      <c r="CK643" s="1169"/>
      <c r="CL643" s="1169"/>
      <c r="CM643" s="1166"/>
      <c r="CN643" s="1169"/>
      <c r="CO643" s="1169"/>
      <c r="CP643" s="452"/>
      <c r="CQ643" s="435"/>
      <c r="CR643" s="1117"/>
      <c r="CS643" s="452"/>
      <c r="CT643" s="482"/>
      <c r="CU643" s="476"/>
      <c r="CV643" s="431"/>
      <c r="CW643" s="1108"/>
      <c r="CX643" s="1108"/>
      <c r="CY643" s="483"/>
      <c r="CZ643" s="437"/>
      <c r="DA643" s="438"/>
      <c r="DB643" s="439"/>
      <c r="DC643" s="439"/>
      <c r="DD643" s="443"/>
      <c r="DE643" s="411"/>
      <c r="DF643" s="411"/>
      <c r="DG643" s="1117"/>
      <c r="DH643" s="1117"/>
      <c r="DI643" s="1117"/>
      <c r="DJ643" s="442"/>
      <c r="DK643" s="482"/>
      <c r="DL643" s="1038"/>
      <c r="DM643" s="1035"/>
      <c r="DN643" s="1035"/>
      <c r="DO643" s="1035"/>
      <c r="DP643" s="1046"/>
      <c r="DQ643" s="1167"/>
      <c r="DR643" s="1168"/>
      <c r="DS643" s="1165"/>
      <c r="DT643" s="1165"/>
      <c r="DU643" s="1165"/>
      <c r="DV643" s="1031"/>
      <c r="DW643" s="1098">
        <f t="shared" si="854"/>
        <v>0</v>
      </c>
      <c r="DX643" s="1098">
        <f t="shared" si="855"/>
        <v>0</v>
      </c>
      <c r="DY643" s="1030"/>
      <c r="DZ643" s="1030"/>
      <c r="EA643" s="1031"/>
      <c r="EB643" s="1050"/>
      <c r="EC643" s="1038"/>
      <c r="ED643" s="1035"/>
      <c r="EE643" s="1046"/>
      <c r="EF643" s="1169"/>
      <c r="EG643" s="1168"/>
      <c r="EH643" s="1165"/>
      <c r="EI643" s="1165"/>
      <c r="EJ643" s="1165"/>
      <c r="EK643" s="1031"/>
      <c r="EL643" s="1098">
        <f t="shared" si="862"/>
        <v>0</v>
      </c>
      <c r="EM643" s="1098">
        <f t="shared" si="863"/>
        <v>0</v>
      </c>
      <c r="EN643" s="1030"/>
      <c r="EO643" s="1030"/>
      <c r="EP643" s="1031"/>
      <c r="EQ643" s="1050"/>
      <c r="ER643" s="1038"/>
      <c r="ES643" s="1035"/>
      <c r="ET643" s="1051"/>
    </row>
    <row r="644" spans="2:150" ht="16.5" customHeight="1">
      <c r="B644" s="1024"/>
      <c r="C644" s="1025"/>
      <c r="D644" s="408">
        <v>641</v>
      </c>
      <c r="E644" s="1164"/>
      <c r="F644" s="1164"/>
      <c r="G644" s="1026"/>
      <c r="H644" s="411" t="str">
        <f>IFERROR(INDEX(绊状态确认!C:C,MATCH($G644,绊状态确认!$B:$B,)),"")</f>
        <v/>
      </c>
      <c r="I644" s="450" t="str">
        <f>IFERROR(INDEX(绊状态确认!D:D,MATCH($G644,绊状态确认!$B:$B,)),"")</f>
        <v/>
      </c>
      <c r="J644" s="450" t="str">
        <f>IFERROR(INDEX(绊状态确认!E:E,MATCH($G644,绊状态确认!$B:$B,)),"")</f>
        <v/>
      </c>
      <c r="K644" s="451" t="str">
        <f>IFERROR(INDEX(绊状态确认!F:F,MATCH($G644,绊状态确认!$B:$B,)),"")</f>
        <v/>
      </c>
      <c r="L644" s="1026"/>
      <c r="M644" s="1165"/>
      <c r="N644" s="1027"/>
      <c r="O644" s="1026"/>
      <c r="P644" s="1028"/>
      <c r="Q644" s="1029"/>
      <c r="R644" s="1166"/>
      <c r="S644" s="1030"/>
      <c r="T644" s="1031"/>
      <c r="U644" s="1032"/>
      <c r="V644" s="1033"/>
      <c r="W644" s="1034"/>
      <c r="X644" s="1166"/>
      <c r="Y644" s="1035"/>
      <c r="Z644" s="1036"/>
      <c r="AA644" s="1037"/>
      <c r="AB644" s="1038"/>
      <c r="AC644" s="1039"/>
      <c r="AD644" s="1040"/>
      <c r="AE644" s="1041"/>
      <c r="AF644" s="521"/>
      <c r="AG644" s="420"/>
      <c r="AH644" s="420"/>
      <c r="AI644" s="420"/>
      <c r="AJ644" s="420"/>
      <c r="AK644" s="518"/>
      <c r="AL644" s="1042"/>
      <c r="AM644" s="1035"/>
      <c r="AN644" s="1043"/>
      <c r="AO644" s="1167"/>
      <c r="AP644" s="1044"/>
      <c r="AQ644" s="1035"/>
      <c r="AR644" s="1035"/>
      <c r="AS644" s="1035"/>
      <c r="AT644" s="1165"/>
      <c r="AU644" s="1031"/>
      <c r="AV644" s="1045"/>
      <c r="AW644" s="1038"/>
      <c r="AX644" s="1035"/>
      <c r="AY644" s="483"/>
      <c r="AZ644" s="429"/>
      <c r="BA644" s="431"/>
      <c r="BB644" s="1035"/>
      <c r="BC644" s="1035"/>
      <c r="BD644" s="481"/>
      <c r="BE644" s="432"/>
      <c r="BF644" s="646"/>
      <c r="BG644" s="1047"/>
      <c r="BH644" s="1046"/>
      <c r="BI644" s="1048"/>
      <c r="BJ644" s="1030"/>
      <c r="BK644" s="1046"/>
      <c r="BL644" s="1048"/>
      <c r="BM644" s="1046"/>
      <c r="BN644" s="1167"/>
      <c r="BO644" s="1035"/>
      <c r="BP644" s="1043"/>
      <c r="BQ644" s="1167"/>
      <c r="BR644" s="1165"/>
      <c r="BS644" s="1031"/>
      <c r="BT644" s="1038"/>
      <c r="BU644" s="1035"/>
      <c r="BV644" s="1035"/>
      <c r="BW644" s="1049"/>
      <c r="BX644" s="1043"/>
      <c r="BY644" s="1046"/>
      <c r="BZ644" s="1167"/>
      <c r="CA644" s="1165"/>
      <c r="CB644" s="1031"/>
      <c r="CC644" s="1038"/>
      <c r="CD644" s="1035"/>
      <c r="CE644" s="1035"/>
      <c r="CF644" s="1049"/>
      <c r="CG644" s="1043"/>
      <c r="CH644" s="1046"/>
      <c r="CI644" s="1167"/>
      <c r="CJ644" s="1168"/>
      <c r="CK644" s="1169"/>
      <c r="CL644" s="1169"/>
      <c r="CM644" s="1166"/>
      <c r="CN644" s="1169"/>
      <c r="CO644" s="1169"/>
      <c r="CP644" s="452"/>
      <c r="CQ644" s="435"/>
      <c r="CR644" s="441"/>
      <c r="CS644" s="452"/>
      <c r="CT644" s="482"/>
      <c r="CU644" s="476"/>
      <c r="CV644" s="431"/>
      <c r="CW644" s="1108"/>
      <c r="CX644" s="1108"/>
      <c r="CY644" s="483"/>
      <c r="CZ644" s="437"/>
      <c r="DA644" s="438"/>
      <c r="DB644" s="439"/>
      <c r="DC644" s="439"/>
      <c r="DD644" s="443"/>
      <c r="DE644" s="411"/>
      <c r="DF644" s="411"/>
      <c r="DG644" s="1117"/>
      <c r="DH644" s="1117"/>
      <c r="DI644" s="1117"/>
      <c r="DJ644" s="442"/>
      <c r="DK644" s="482"/>
      <c r="DL644" s="1038"/>
      <c r="DM644" s="1035"/>
      <c r="DN644" s="1035"/>
      <c r="DO644" s="1035"/>
      <c r="DP644" s="1046"/>
      <c r="DQ644" s="1167"/>
      <c r="DR644" s="1168"/>
      <c r="DS644" s="1165"/>
      <c r="DT644" s="1165"/>
      <c r="DU644" s="1165"/>
      <c r="DV644" s="1031"/>
      <c r="DW644" s="1098">
        <f t="shared" ref="DW644:DW707" si="1164">DR644+IF(AND($CK644="技能+",$CL644="自身",DR644=0.11),$CP644*3)</f>
        <v>0</v>
      </c>
      <c r="DX644" s="1098">
        <f t="shared" ref="DX644:DX707" si="1165">DR644+IF(AND($CK644="技能+",$CL644="自身",DR644=0.11),$CQ644*3)</f>
        <v>0</v>
      </c>
      <c r="DY644" s="1030"/>
      <c r="DZ644" s="1030"/>
      <c r="EA644" s="1031"/>
      <c r="EB644" s="1050"/>
      <c r="EC644" s="1038"/>
      <c r="ED644" s="1035"/>
      <c r="EE644" s="1046"/>
      <c r="EF644" s="1169"/>
      <c r="EG644" s="1168"/>
      <c r="EH644" s="1165"/>
      <c r="EI644" s="1165"/>
      <c r="EJ644" s="1165"/>
      <c r="EK644" s="1031"/>
      <c r="EL644" s="1098">
        <f t="shared" ref="EL644:EL707" si="1166">EG644+IF(AND($CK644="技能+",$CL644="自身",EG644=0.11),$CP644*3)</f>
        <v>0</v>
      </c>
      <c r="EM644" s="1098">
        <f t="shared" ref="EM644:EM707" si="1167">EG644+IF(AND($CK644="技能+",$CL644="自身",EG644=0.11),$CQ644*3)</f>
        <v>0</v>
      </c>
      <c r="EN644" s="1030"/>
      <c r="EO644" s="1030"/>
      <c r="EP644" s="1031"/>
      <c r="EQ644" s="1050"/>
      <c r="ER644" s="1038"/>
      <c r="ES644" s="1035"/>
      <c r="ET644" s="1051"/>
    </row>
    <row r="645" spans="2:150" ht="16.5" customHeight="1">
      <c r="B645" s="1024"/>
      <c r="C645" s="1025"/>
      <c r="D645" s="408">
        <v>642</v>
      </c>
      <c r="E645" s="1164"/>
      <c r="F645" s="1164"/>
      <c r="G645" s="1026"/>
      <c r="H645" s="411" t="str">
        <f>IFERROR(INDEX(绊状态确认!C:C,MATCH($G645,绊状态确认!$B:$B,)),"")</f>
        <v/>
      </c>
      <c r="I645" s="450" t="str">
        <f>IFERROR(INDEX(绊状态确认!D:D,MATCH($G645,绊状态确认!$B:$B,)),"")</f>
        <v/>
      </c>
      <c r="J645" s="450" t="str">
        <f>IFERROR(INDEX(绊状态确认!E:E,MATCH($G645,绊状态确认!$B:$B,)),"")</f>
        <v/>
      </c>
      <c r="K645" s="451" t="str">
        <f>IFERROR(INDEX(绊状态确认!F:F,MATCH($G645,绊状态确认!$B:$B,)),"")</f>
        <v/>
      </c>
      <c r="L645" s="1026"/>
      <c r="M645" s="1165"/>
      <c r="N645" s="1027"/>
      <c r="O645" s="1026"/>
      <c r="P645" s="1028"/>
      <c r="Q645" s="1029"/>
      <c r="R645" s="1166"/>
      <c r="S645" s="1030"/>
      <c r="T645" s="1031"/>
      <c r="U645" s="1032"/>
      <c r="V645" s="1033"/>
      <c r="W645" s="1034"/>
      <c r="X645" s="1166"/>
      <c r="Y645" s="1035"/>
      <c r="Z645" s="1036"/>
      <c r="AA645" s="1037"/>
      <c r="AB645" s="1038"/>
      <c r="AC645" s="1039"/>
      <c r="AD645" s="1040"/>
      <c r="AE645" s="1041"/>
      <c r="AF645" s="521"/>
      <c r="AG645" s="420"/>
      <c r="AH645" s="420"/>
      <c r="AI645" s="420"/>
      <c r="AJ645" s="420"/>
      <c r="AK645" s="518"/>
      <c r="AL645" s="1042"/>
      <c r="AM645" s="1035"/>
      <c r="AN645" s="1043"/>
      <c r="AO645" s="1167"/>
      <c r="AP645" s="1044"/>
      <c r="AQ645" s="1035"/>
      <c r="AR645" s="1035"/>
      <c r="AS645" s="1035"/>
      <c r="AT645" s="1165"/>
      <c r="AU645" s="1031"/>
      <c r="AV645" s="1045"/>
      <c r="AW645" s="1038"/>
      <c r="AX645" s="1035"/>
      <c r="AY645" s="483"/>
      <c r="AZ645" s="429"/>
      <c r="BA645" s="431"/>
      <c r="BB645" s="1035"/>
      <c r="BC645" s="1035"/>
      <c r="BD645" s="481"/>
      <c r="BE645" s="432"/>
      <c r="BF645" s="646"/>
      <c r="BG645" s="1047"/>
      <c r="BH645" s="1046"/>
      <c r="BI645" s="1048"/>
      <c r="BJ645" s="1030"/>
      <c r="BK645" s="1046"/>
      <c r="BL645" s="1048"/>
      <c r="BM645" s="1046"/>
      <c r="BN645" s="1167"/>
      <c r="BO645" s="1035"/>
      <c r="BP645" s="1043"/>
      <c r="BQ645" s="1167"/>
      <c r="BR645" s="1165"/>
      <c r="BS645" s="1031"/>
      <c r="BT645" s="1038"/>
      <c r="BU645" s="1035"/>
      <c r="BV645" s="1035"/>
      <c r="BW645" s="1049"/>
      <c r="BX645" s="1043"/>
      <c r="BY645" s="1046"/>
      <c r="BZ645" s="1167"/>
      <c r="CA645" s="1165"/>
      <c r="CB645" s="1031"/>
      <c r="CC645" s="1038"/>
      <c r="CD645" s="1035"/>
      <c r="CE645" s="1035"/>
      <c r="CF645" s="1049"/>
      <c r="CG645" s="1043"/>
      <c r="CH645" s="1046"/>
      <c r="CI645" s="1167"/>
      <c r="CJ645" s="1168"/>
      <c r="CK645" s="1169"/>
      <c r="CL645" s="1169"/>
      <c r="CM645" s="1166"/>
      <c r="CN645" s="1169"/>
      <c r="CO645" s="1169"/>
      <c r="CP645" s="452"/>
      <c r="CQ645" s="435"/>
      <c r="CR645" s="441"/>
      <c r="CS645" s="452"/>
      <c r="CT645" s="482"/>
      <c r="CU645" s="476"/>
      <c r="CV645" s="431"/>
      <c r="CW645" s="1108"/>
      <c r="CX645" s="1108"/>
      <c r="CY645" s="483"/>
      <c r="CZ645" s="437"/>
      <c r="DA645" s="438"/>
      <c r="DB645" s="439"/>
      <c r="DC645" s="439"/>
      <c r="DD645" s="443"/>
      <c r="DE645" s="411"/>
      <c r="DF645" s="411"/>
      <c r="DG645" s="1117"/>
      <c r="DH645" s="1117"/>
      <c r="DI645" s="1117"/>
      <c r="DJ645" s="442"/>
      <c r="DK645" s="482"/>
      <c r="DL645" s="1038"/>
      <c r="DM645" s="1035"/>
      <c r="DN645" s="1035"/>
      <c r="DO645" s="1035"/>
      <c r="DP645" s="1046"/>
      <c r="DQ645" s="1167"/>
      <c r="DR645" s="1168"/>
      <c r="DS645" s="1165"/>
      <c r="DT645" s="1165"/>
      <c r="DU645" s="1165"/>
      <c r="DV645" s="1031"/>
      <c r="DW645" s="1098">
        <f t="shared" si="1164"/>
        <v>0</v>
      </c>
      <c r="DX645" s="1098">
        <f t="shared" si="1165"/>
        <v>0</v>
      </c>
      <c r="DY645" s="1030"/>
      <c r="DZ645" s="1030"/>
      <c r="EA645" s="1031"/>
      <c r="EB645" s="1050"/>
      <c r="EC645" s="1038"/>
      <c r="ED645" s="1035"/>
      <c r="EE645" s="1046"/>
      <c r="EF645" s="1169"/>
      <c r="EG645" s="1168"/>
      <c r="EH645" s="1165"/>
      <c r="EI645" s="1165"/>
      <c r="EJ645" s="1165"/>
      <c r="EK645" s="1031"/>
      <c r="EL645" s="1098">
        <f t="shared" si="1166"/>
        <v>0</v>
      </c>
      <c r="EM645" s="1098">
        <f t="shared" si="1167"/>
        <v>0</v>
      </c>
      <c r="EN645" s="1030"/>
      <c r="EO645" s="1030"/>
      <c r="EP645" s="1031"/>
      <c r="EQ645" s="1050"/>
      <c r="ER645" s="1038"/>
      <c r="ES645" s="1035"/>
      <c r="ET645" s="1051"/>
    </row>
    <row r="646" spans="2:150" ht="16.5" customHeight="1">
      <c r="B646" s="1024"/>
      <c r="C646" s="1025"/>
      <c r="D646" s="408">
        <v>643</v>
      </c>
      <c r="E646" s="1164"/>
      <c r="F646" s="1164"/>
      <c r="G646" s="1026"/>
      <c r="H646" s="411" t="str">
        <f>IFERROR(INDEX(绊状态确认!C:C,MATCH($G646,绊状态确认!$B:$B,)),"")</f>
        <v/>
      </c>
      <c r="I646" s="450" t="str">
        <f>IFERROR(INDEX(绊状态确认!D:D,MATCH($G646,绊状态确认!$B:$B,)),"")</f>
        <v/>
      </c>
      <c r="J646" s="450" t="str">
        <f>IFERROR(INDEX(绊状态确认!E:E,MATCH($G646,绊状态确认!$B:$B,)),"")</f>
        <v/>
      </c>
      <c r="K646" s="451" t="str">
        <f>IFERROR(INDEX(绊状态确认!F:F,MATCH($G646,绊状态确认!$B:$B,)),"")</f>
        <v/>
      </c>
      <c r="L646" s="1026"/>
      <c r="M646" s="1165"/>
      <c r="N646" s="1027"/>
      <c r="O646" s="1026"/>
      <c r="P646" s="1028"/>
      <c r="Q646" s="1029"/>
      <c r="R646" s="1166"/>
      <c r="S646" s="1030"/>
      <c r="T646" s="1031"/>
      <c r="U646" s="1032"/>
      <c r="V646" s="1033"/>
      <c r="W646" s="1034"/>
      <c r="X646" s="1166"/>
      <c r="Y646" s="1035"/>
      <c r="Z646" s="1036"/>
      <c r="AA646" s="1037"/>
      <c r="AB646" s="1038"/>
      <c r="AC646" s="1039"/>
      <c r="AD646" s="1040"/>
      <c r="AE646" s="1041"/>
      <c r="AF646" s="521"/>
      <c r="AG646" s="420"/>
      <c r="AH646" s="420"/>
      <c r="AI646" s="420"/>
      <c r="AJ646" s="420"/>
      <c r="AK646" s="518"/>
      <c r="AL646" s="1042"/>
      <c r="AM646" s="1035"/>
      <c r="AN646" s="1043"/>
      <c r="AO646" s="1167"/>
      <c r="AP646" s="1044"/>
      <c r="AQ646" s="1035"/>
      <c r="AR646" s="1035"/>
      <c r="AS646" s="1035"/>
      <c r="AT646" s="1165"/>
      <c r="AU646" s="1031"/>
      <c r="AV646" s="1045"/>
      <c r="AW646" s="1038"/>
      <c r="AX646" s="1035"/>
      <c r="AY646" s="483"/>
      <c r="AZ646" s="429"/>
      <c r="BA646" s="431"/>
      <c r="BB646" s="1035"/>
      <c r="BC646" s="1035"/>
      <c r="BD646" s="481"/>
      <c r="BE646" s="432"/>
      <c r="BF646" s="646"/>
      <c r="BG646" s="1047"/>
      <c r="BH646" s="1046"/>
      <c r="BI646" s="1048"/>
      <c r="BJ646" s="1030"/>
      <c r="BK646" s="1046"/>
      <c r="BL646" s="1048"/>
      <c r="BM646" s="1046"/>
      <c r="BN646" s="1167"/>
      <c r="BO646" s="1035"/>
      <c r="BP646" s="1043"/>
      <c r="BQ646" s="1167"/>
      <c r="BR646" s="1165"/>
      <c r="BS646" s="1031"/>
      <c r="BT646" s="1038"/>
      <c r="BU646" s="1035"/>
      <c r="BV646" s="1035"/>
      <c r="BW646" s="1049"/>
      <c r="BX646" s="1043"/>
      <c r="BY646" s="1046"/>
      <c r="BZ646" s="1167"/>
      <c r="CA646" s="1165"/>
      <c r="CB646" s="1031"/>
      <c r="CC646" s="1038"/>
      <c r="CD646" s="1035"/>
      <c r="CE646" s="1035"/>
      <c r="CF646" s="1049"/>
      <c r="CG646" s="1043"/>
      <c r="CH646" s="1046"/>
      <c r="CI646" s="1167"/>
      <c r="CJ646" s="1168"/>
      <c r="CK646" s="1169"/>
      <c r="CL646" s="1169"/>
      <c r="CM646" s="1166"/>
      <c r="CN646" s="1169"/>
      <c r="CO646" s="1169"/>
      <c r="CP646" s="452"/>
      <c r="CQ646" s="435"/>
      <c r="CR646" s="1117"/>
      <c r="CS646" s="452"/>
      <c r="CT646" s="482"/>
      <c r="CU646" s="476"/>
      <c r="CV646" s="431"/>
      <c r="CW646" s="1108"/>
      <c r="CX646" s="1108"/>
      <c r="CY646" s="483"/>
      <c r="CZ646" s="437"/>
      <c r="DA646" s="438"/>
      <c r="DB646" s="439"/>
      <c r="DC646" s="439"/>
      <c r="DD646" s="443"/>
      <c r="DE646" s="411"/>
      <c r="DF646" s="411"/>
      <c r="DG646" s="1117"/>
      <c r="DH646" s="1117"/>
      <c r="DI646" s="1117"/>
      <c r="DJ646" s="442"/>
      <c r="DK646" s="482"/>
      <c r="DL646" s="1038"/>
      <c r="DM646" s="1035"/>
      <c r="DN646" s="1035"/>
      <c r="DO646" s="1035"/>
      <c r="DP646" s="1046"/>
      <c r="DQ646" s="1167"/>
      <c r="DR646" s="1168"/>
      <c r="DS646" s="1165"/>
      <c r="DT646" s="1165"/>
      <c r="DU646" s="1165"/>
      <c r="DV646" s="1031"/>
      <c r="DW646" s="1098">
        <f t="shared" si="1164"/>
        <v>0</v>
      </c>
      <c r="DX646" s="1098">
        <f t="shared" si="1165"/>
        <v>0</v>
      </c>
      <c r="DY646" s="1030"/>
      <c r="DZ646" s="1030"/>
      <c r="EA646" s="1031"/>
      <c r="EB646" s="1050"/>
      <c r="EC646" s="1038"/>
      <c r="ED646" s="1035"/>
      <c r="EE646" s="1046"/>
      <c r="EF646" s="1169"/>
      <c r="EG646" s="1168"/>
      <c r="EH646" s="1165"/>
      <c r="EI646" s="1165"/>
      <c r="EJ646" s="1165"/>
      <c r="EK646" s="1031"/>
      <c r="EL646" s="1098">
        <f t="shared" si="1166"/>
        <v>0</v>
      </c>
      <c r="EM646" s="1098">
        <f t="shared" si="1167"/>
        <v>0</v>
      </c>
      <c r="EN646" s="1030"/>
      <c r="EO646" s="1030"/>
      <c r="EP646" s="1031"/>
      <c r="EQ646" s="1050"/>
      <c r="ER646" s="1038"/>
      <c r="ES646" s="1035"/>
      <c r="ET646" s="1051"/>
    </row>
    <row r="647" spans="2:150" ht="16.5" customHeight="1">
      <c r="B647" s="1024"/>
      <c r="C647" s="1025"/>
      <c r="D647" s="408">
        <v>644</v>
      </c>
      <c r="E647" s="1164"/>
      <c r="F647" s="1164"/>
      <c r="G647" s="1026"/>
      <c r="H647" s="411" t="str">
        <f>IFERROR(INDEX(绊状态确认!C:C,MATCH($G647,绊状态确认!$B:$B,)),"")</f>
        <v/>
      </c>
      <c r="I647" s="450" t="str">
        <f>IFERROR(INDEX(绊状态确认!D:D,MATCH($G647,绊状态确认!$B:$B,)),"")</f>
        <v/>
      </c>
      <c r="J647" s="450" t="str">
        <f>IFERROR(INDEX(绊状态确认!E:E,MATCH($G647,绊状态确认!$B:$B,)),"")</f>
        <v/>
      </c>
      <c r="K647" s="451" t="str">
        <f>IFERROR(INDEX(绊状态确认!F:F,MATCH($G647,绊状态确认!$B:$B,)),"")</f>
        <v/>
      </c>
      <c r="L647" s="1026"/>
      <c r="M647" s="1165"/>
      <c r="N647" s="1027"/>
      <c r="O647" s="1026"/>
      <c r="P647" s="1028"/>
      <c r="Q647" s="1029"/>
      <c r="R647" s="1166"/>
      <c r="S647" s="1030"/>
      <c r="T647" s="1031"/>
      <c r="U647" s="1032"/>
      <c r="V647" s="1033"/>
      <c r="W647" s="1034"/>
      <c r="X647" s="1166"/>
      <c r="Y647" s="1035"/>
      <c r="Z647" s="1036"/>
      <c r="AA647" s="1037"/>
      <c r="AB647" s="1038"/>
      <c r="AC647" s="1039"/>
      <c r="AD647" s="1040"/>
      <c r="AE647" s="1041"/>
      <c r="AF647" s="521"/>
      <c r="AG647" s="420"/>
      <c r="AH647" s="420"/>
      <c r="AI647" s="420"/>
      <c r="AJ647" s="420"/>
      <c r="AK647" s="518"/>
      <c r="AL647" s="1042"/>
      <c r="AM647" s="1035"/>
      <c r="AN647" s="1043"/>
      <c r="AO647" s="1167"/>
      <c r="AP647" s="1044"/>
      <c r="AQ647" s="1035"/>
      <c r="AR647" s="1035"/>
      <c r="AS647" s="1035"/>
      <c r="AT647" s="1165"/>
      <c r="AU647" s="1031"/>
      <c r="AV647" s="1045"/>
      <c r="AW647" s="1038"/>
      <c r="AX647" s="1035"/>
      <c r="AY647" s="483"/>
      <c r="AZ647" s="429"/>
      <c r="BA647" s="431"/>
      <c r="BB647" s="1035"/>
      <c r="BC647" s="1035"/>
      <c r="BD647" s="481"/>
      <c r="BE647" s="432"/>
      <c r="BF647" s="646"/>
      <c r="BG647" s="1047"/>
      <c r="BH647" s="1046"/>
      <c r="BI647" s="1048"/>
      <c r="BJ647" s="1030"/>
      <c r="BK647" s="1046"/>
      <c r="BL647" s="1048"/>
      <c r="BM647" s="1046"/>
      <c r="BN647" s="1167"/>
      <c r="BO647" s="1035"/>
      <c r="BP647" s="1043"/>
      <c r="BQ647" s="1167"/>
      <c r="BR647" s="1165"/>
      <c r="BS647" s="1031"/>
      <c r="BT647" s="1038"/>
      <c r="BU647" s="1035"/>
      <c r="BV647" s="1035"/>
      <c r="BW647" s="1049"/>
      <c r="BX647" s="1043"/>
      <c r="BY647" s="1046"/>
      <c r="BZ647" s="1167"/>
      <c r="CA647" s="1165"/>
      <c r="CB647" s="1031"/>
      <c r="CC647" s="1038"/>
      <c r="CD647" s="1035"/>
      <c r="CE647" s="1035"/>
      <c r="CF647" s="1049"/>
      <c r="CG647" s="1043"/>
      <c r="CH647" s="1046"/>
      <c r="CI647" s="1167"/>
      <c r="CJ647" s="1168"/>
      <c r="CK647" s="1169"/>
      <c r="CL647" s="1169"/>
      <c r="CM647" s="1166"/>
      <c r="CN647" s="1169"/>
      <c r="CO647" s="1169"/>
      <c r="CP647" s="452"/>
      <c r="CQ647" s="435"/>
      <c r="CR647" s="441"/>
      <c r="CS647" s="452"/>
      <c r="CT647" s="482"/>
      <c r="CU647" s="476"/>
      <c r="CV647" s="431"/>
      <c r="CW647" s="1108"/>
      <c r="CX647" s="1108"/>
      <c r="CY647" s="483"/>
      <c r="CZ647" s="437"/>
      <c r="DA647" s="438"/>
      <c r="DB647" s="439"/>
      <c r="DC647" s="439"/>
      <c r="DD647" s="443"/>
      <c r="DE647" s="411"/>
      <c r="DF647" s="411"/>
      <c r="DG647" s="1117"/>
      <c r="DH647" s="1117"/>
      <c r="DI647" s="1117"/>
      <c r="DJ647" s="442"/>
      <c r="DK647" s="482"/>
      <c r="DL647" s="1038"/>
      <c r="DM647" s="1035"/>
      <c r="DN647" s="1035"/>
      <c r="DO647" s="1035"/>
      <c r="DP647" s="1046"/>
      <c r="DQ647" s="1167"/>
      <c r="DR647" s="1168"/>
      <c r="DS647" s="1165"/>
      <c r="DT647" s="1165"/>
      <c r="DU647" s="1165"/>
      <c r="DV647" s="1031"/>
      <c r="DW647" s="1098">
        <f t="shared" si="1164"/>
        <v>0</v>
      </c>
      <c r="DX647" s="1098">
        <f t="shared" si="1165"/>
        <v>0</v>
      </c>
      <c r="DY647" s="1030"/>
      <c r="DZ647" s="1030"/>
      <c r="EA647" s="1031"/>
      <c r="EB647" s="1050"/>
      <c r="EC647" s="1038"/>
      <c r="ED647" s="1035"/>
      <c r="EE647" s="1046"/>
      <c r="EF647" s="1169"/>
      <c r="EG647" s="1168"/>
      <c r="EH647" s="1165"/>
      <c r="EI647" s="1165"/>
      <c r="EJ647" s="1165"/>
      <c r="EK647" s="1031"/>
      <c r="EL647" s="1098">
        <f t="shared" si="1166"/>
        <v>0</v>
      </c>
      <c r="EM647" s="1098">
        <f t="shared" si="1167"/>
        <v>0</v>
      </c>
      <c r="EN647" s="1030"/>
      <c r="EO647" s="1030"/>
      <c r="EP647" s="1031"/>
      <c r="EQ647" s="1050"/>
      <c r="ER647" s="1038"/>
      <c r="ES647" s="1035"/>
      <c r="ET647" s="1051"/>
    </row>
    <row r="648" spans="2:150" ht="16.5" customHeight="1">
      <c r="B648" s="1024"/>
      <c r="C648" s="1025"/>
      <c r="D648" s="408">
        <v>645</v>
      </c>
      <c r="E648" s="1164"/>
      <c r="F648" s="1164"/>
      <c r="G648" s="1026"/>
      <c r="H648" s="411" t="str">
        <f>IFERROR(INDEX(绊状态确认!C:C,MATCH($G648,绊状态确认!$B:$B,)),"")</f>
        <v/>
      </c>
      <c r="I648" s="450" t="str">
        <f>IFERROR(INDEX(绊状态确认!D:D,MATCH($G648,绊状态确认!$B:$B,)),"")</f>
        <v/>
      </c>
      <c r="J648" s="450" t="str">
        <f>IFERROR(INDEX(绊状态确认!E:E,MATCH($G648,绊状态确认!$B:$B,)),"")</f>
        <v/>
      </c>
      <c r="K648" s="451" t="str">
        <f>IFERROR(INDEX(绊状态确认!F:F,MATCH($G648,绊状态确认!$B:$B,)),"")</f>
        <v/>
      </c>
      <c r="L648" s="1026"/>
      <c r="M648" s="1165"/>
      <c r="N648" s="1027"/>
      <c r="O648" s="1026"/>
      <c r="P648" s="1028"/>
      <c r="Q648" s="1029"/>
      <c r="R648" s="1166"/>
      <c r="S648" s="1030"/>
      <c r="T648" s="1031"/>
      <c r="U648" s="1032"/>
      <c r="V648" s="1033"/>
      <c r="W648" s="1034"/>
      <c r="X648" s="1166"/>
      <c r="Y648" s="1035"/>
      <c r="Z648" s="1036"/>
      <c r="AA648" s="1037"/>
      <c r="AB648" s="1038"/>
      <c r="AC648" s="1039"/>
      <c r="AD648" s="1040"/>
      <c r="AE648" s="1041"/>
      <c r="AF648" s="521"/>
      <c r="AG648" s="420"/>
      <c r="AH648" s="420"/>
      <c r="AI648" s="420"/>
      <c r="AJ648" s="420"/>
      <c r="AK648" s="518"/>
      <c r="AL648" s="1042"/>
      <c r="AM648" s="1035"/>
      <c r="AN648" s="1043"/>
      <c r="AO648" s="1167"/>
      <c r="AP648" s="1044"/>
      <c r="AQ648" s="1035"/>
      <c r="AR648" s="1035"/>
      <c r="AS648" s="1035"/>
      <c r="AT648" s="1165"/>
      <c r="AU648" s="1031"/>
      <c r="AV648" s="1045"/>
      <c r="AW648" s="1038"/>
      <c r="AX648" s="1035"/>
      <c r="AY648" s="483"/>
      <c r="AZ648" s="429"/>
      <c r="BA648" s="431"/>
      <c r="BB648" s="1035"/>
      <c r="BC648" s="1035"/>
      <c r="BD648" s="481"/>
      <c r="BE648" s="432"/>
      <c r="BF648" s="646"/>
      <c r="BG648" s="1047"/>
      <c r="BH648" s="1046"/>
      <c r="BI648" s="1048"/>
      <c r="BJ648" s="1030"/>
      <c r="BK648" s="1046"/>
      <c r="BL648" s="1048"/>
      <c r="BM648" s="1046"/>
      <c r="BN648" s="1167"/>
      <c r="BO648" s="1035"/>
      <c r="BP648" s="1043"/>
      <c r="BQ648" s="1167"/>
      <c r="BR648" s="1165"/>
      <c r="BS648" s="1031"/>
      <c r="BT648" s="1038"/>
      <c r="BU648" s="1035"/>
      <c r="BV648" s="1035"/>
      <c r="BW648" s="1049"/>
      <c r="BX648" s="1043"/>
      <c r="BY648" s="1046"/>
      <c r="BZ648" s="1167"/>
      <c r="CA648" s="1165"/>
      <c r="CB648" s="1031"/>
      <c r="CC648" s="1038"/>
      <c r="CD648" s="1035"/>
      <c r="CE648" s="1035"/>
      <c r="CF648" s="1049"/>
      <c r="CG648" s="1043"/>
      <c r="CH648" s="1046"/>
      <c r="CI648" s="1167"/>
      <c r="CJ648" s="1168"/>
      <c r="CK648" s="1169"/>
      <c r="CL648" s="1169"/>
      <c r="CM648" s="1166"/>
      <c r="CN648" s="1169"/>
      <c r="CO648" s="1169"/>
      <c r="CP648" s="452"/>
      <c r="CQ648" s="435"/>
      <c r="CR648" s="1117"/>
      <c r="CS648" s="452"/>
      <c r="CT648" s="482"/>
      <c r="CU648" s="476"/>
      <c r="CV648" s="431"/>
      <c r="CW648" s="1108"/>
      <c r="CX648" s="1108"/>
      <c r="CY648" s="483"/>
      <c r="CZ648" s="437"/>
      <c r="DA648" s="438"/>
      <c r="DB648" s="439"/>
      <c r="DC648" s="439"/>
      <c r="DD648" s="443"/>
      <c r="DE648" s="411"/>
      <c r="DF648" s="411"/>
      <c r="DG648" s="1117"/>
      <c r="DH648" s="1117"/>
      <c r="DI648" s="1117"/>
      <c r="DJ648" s="442"/>
      <c r="DK648" s="482"/>
      <c r="DL648" s="1038"/>
      <c r="DM648" s="1035"/>
      <c r="DN648" s="1035"/>
      <c r="DO648" s="1035"/>
      <c r="DP648" s="1046"/>
      <c r="DQ648" s="1167"/>
      <c r="DR648" s="1168"/>
      <c r="DS648" s="1165"/>
      <c r="DT648" s="1165"/>
      <c r="DU648" s="1165"/>
      <c r="DV648" s="1031"/>
      <c r="DW648" s="1098">
        <f t="shared" si="1164"/>
        <v>0</v>
      </c>
      <c r="DX648" s="1098">
        <f t="shared" si="1165"/>
        <v>0</v>
      </c>
      <c r="DY648" s="1030"/>
      <c r="DZ648" s="1030"/>
      <c r="EA648" s="1031"/>
      <c r="EB648" s="1050"/>
      <c r="EC648" s="1038"/>
      <c r="ED648" s="1035"/>
      <c r="EE648" s="1046"/>
      <c r="EF648" s="1169"/>
      <c r="EG648" s="1168"/>
      <c r="EH648" s="1165"/>
      <c r="EI648" s="1165"/>
      <c r="EJ648" s="1165"/>
      <c r="EK648" s="1031"/>
      <c r="EL648" s="1098">
        <f t="shared" si="1166"/>
        <v>0</v>
      </c>
      <c r="EM648" s="1098">
        <f t="shared" si="1167"/>
        <v>0</v>
      </c>
      <c r="EN648" s="1030"/>
      <c r="EO648" s="1030"/>
      <c r="EP648" s="1031"/>
      <c r="EQ648" s="1050"/>
      <c r="ER648" s="1038"/>
      <c r="ES648" s="1035"/>
      <c r="ET648" s="1051"/>
    </row>
    <row r="649" spans="2:150" ht="16.5" customHeight="1">
      <c r="B649" s="1024"/>
      <c r="C649" s="1025"/>
      <c r="D649" s="408">
        <v>646</v>
      </c>
      <c r="E649" s="1164"/>
      <c r="F649" s="1164"/>
      <c r="G649" s="1026"/>
      <c r="H649" s="411" t="str">
        <f>IFERROR(INDEX(绊状态确认!C:C,MATCH($G649,绊状态确认!$B:$B,)),"")</f>
        <v/>
      </c>
      <c r="I649" s="450" t="str">
        <f>IFERROR(INDEX(绊状态确认!D:D,MATCH($G649,绊状态确认!$B:$B,)),"")</f>
        <v/>
      </c>
      <c r="J649" s="450" t="str">
        <f>IFERROR(INDEX(绊状态确认!E:E,MATCH($G649,绊状态确认!$B:$B,)),"")</f>
        <v/>
      </c>
      <c r="K649" s="451" t="str">
        <f>IFERROR(INDEX(绊状态确认!F:F,MATCH($G649,绊状态确认!$B:$B,)),"")</f>
        <v/>
      </c>
      <c r="L649" s="1026"/>
      <c r="M649" s="1165"/>
      <c r="N649" s="1027"/>
      <c r="O649" s="1026"/>
      <c r="P649" s="1028"/>
      <c r="Q649" s="1029"/>
      <c r="R649" s="1166"/>
      <c r="S649" s="1030"/>
      <c r="T649" s="1031"/>
      <c r="U649" s="1032"/>
      <c r="V649" s="1033"/>
      <c r="W649" s="1034"/>
      <c r="X649" s="1166"/>
      <c r="Y649" s="1035"/>
      <c r="Z649" s="1036"/>
      <c r="AA649" s="1037"/>
      <c r="AB649" s="1038"/>
      <c r="AC649" s="1039"/>
      <c r="AD649" s="1040"/>
      <c r="AE649" s="1041"/>
      <c r="AF649" s="521"/>
      <c r="AG649" s="420"/>
      <c r="AH649" s="420"/>
      <c r="AI649" s="420"/>
      <c r="AJ649" s="420"/>
      <c r="AK649" s="518"/>
      <c r="AL649" s="1042"/>
      <c r="AM649" s="1035"/>
      <c r="AN649" s="1043"/>
      <c r="AO649" s="1167"/>
      <c r="AP649" s="1044"/>
      <c r="AQ649" s="1035"/>
      <c r="AR649" s="1035"/>
      <c r="AS649" s="1035"/>
      <c r="AT649" s="1165"/>
      <c r="AU649" s="1031"/>
      <c r="AV649" s="1045"/>
      <c r="AW649" s="1038"/>
      <c r="AX649" s="1035"/>
      <c r="AY649" s="483"/>
      <c r="AZ649" s="429"/>
      <c r="BA649" s="431"/>
      <c r="BB649" s="1035"/>
      <c r="BC649" s="1035"/>
      <c r="BD649" s="481"/>
      <c r="BE649" s="432"/>
      <c r="BF649" s="646"/>
      <c r="BG649" s="1047"/>
      <c r="BH649" s="1046"/>
      <c r="BI649" s="1048"/>
      <c r="BJ649" s="1030"/>
      <c r="BK649" s="1046"/>
      <c r="BL649" s="1048"/>
      <c r="BM649" s="1046"/>
      <c r="BN649" s="1167"/>
      <c r="BO649" s="1035"/>
      <c r="BP649" s="1043"/>
      <c r="BQ649" s="1167"/>
      <c r="BR649" s="1165"/>
      <c r="BS649" s="1031"/>
      <c r="BT649" s="1038"/>
      <c r="BU649" s="1035"/>
      <c r="BV649" s="1035"/>
      <c r="BW649" s="1049"/>
      <c r="BX649" s="1043"/>
      <c r="BY649" s="1046"/>
      <c r="BZ649" s="1167"/>
      <c r="CA649" s="1165"/>
      <c r="CB649" s="1031"/>
      <c r="CC649" s="1038"/>
      <c r="CD649" s="1035"/>
      <c r="CE649" s="1035"/>
      <c r="CF649" s="1049"/>
      <c r="CG649" s="1043"/>
      <c r="CH649" s="1046"/>
      <c r="CI649" s="1167"/>
      <c r="CJ649" s="1168"/>
      <c r="CK649" s="1169"/>
      <c r="CL649" s="1169"/>
      <c r="CM649" s="1166"/>
      <c r="CN649" s="1169"/>
      <c r="CO649" s="1169"/>
      <c r="CP649" s="452"/>
      <c r="CQ649" s="435"/>
      <c r="CR649" s="1117"/>
      <c r="CS649" s="452"/>
      <c r="CT649" s="482"/>
      <c r="CU649" s="476"/>
      <c r="CV649" s="431"/>
      <c r="CW649" s="1108"/>
      <c r="CX649" s="1108"/>
      <c r="CY649" s="483"/>
      <c r="CZ649" s="437"/>
      <c r="DA649" s="438"/>
      <c r="DB649" s="439"/>
      <c r="DC649" s="439"/>
      <c r="DD649" s="443"/>
      <c r="DE649" s="411"/>
      <c r="DF649" s="411"/>
      <c r="DG649" s="1117"/>
      <c r="DH649" s="1117"/>
      <c r="DI649" s="1117"/>
      <c r="DJ649" s="442"/>
      <c r="DK649" s="482"/>
      <c r="DL649" s="1038"/>
      <c r="DM649" s="1035"/>
      <c r="DN649" s="1035"/>
      <c r="DO649" s="1035"/>
      <c r="DP649" s="1046"/>
      <c r="DQ649" s="1167"/>
      <c r="DR649" s="1168"/>
      <c r="DS649" s="1165"/>
      <c r="DT649" s="1165"/>
      <c r="DU649" s="1165"/>
      <c r="DV649" s="1031"/>
      <c r="DW649" s="1098">
        <f t="shared" si="1164"/>
        <v>0</v>
      </c>
      <c r="DX649" s="1098">
        <f t="shared" si="1165"/>
        <v>0</v>
      </c>
      <c r="DY649" s="1030"/>
      <c r="DZ649" s="1030"/>
      <c r="EA649" s="1031"/>
      <c r="EB649" s="1050"/>
      <c r="EC649" s="1038"/>
      <c r="ED649" s="1035"/>
      <c r="EE649" s="1046"/>
      <c r="EF649" s="1169"/>
      <c r="EG649" s="1168"/>
      <c r="EH649" s="1165"/>
      <c r="EI649" s="1165"/>
      <c r="EJ649" s="1165"/>
      <c r="EK649" s="1031"/>
      <c r="EL649" s="1098">
        <f t="shared" si="1166"/>
        <v>0</v>
      </c>
      <c r="EM649" s="1098">
        <f t="shared" si="1167"/>
        <v>0</v>
      </c>
      <c r="EN649" s="1030"/>
      <c r="EO649" s="1030"/>
      <c r="EP649" s="1031"/>
      <c r="EQ649" s="1050"/>
      <c r="ER649" s="1038"/>
      <c r="ES649" s="1035"/>
      <c r="ET649" s="1051"/>
    </row>
    <row r="650" spans="2:150" ht="16.5" customHeight="1">
      <c r="B650" s="1024"/>
      <c r="C650" s="1025"/>
      <c r="D650" s="408">
        <v>647</v>
      </c>
      <c r="E650" s="1164"/>
      <c r="F650" s="1164"/>
      <c r="G650" s="1026"/>
      <c r="H650" s="411" t="str">
        <f>IFERROR(INDEX(绊状态确认!C:C,MATCH($G650,绊状态确认!$B:$B,)),"")</f>
        <v/>
      </c>
      <c r="I650" s="450" t="str">
        <f>IFERROR(INDEX(绊状态确认!D:D,MATCH($G650,绊状态确认!$B:$B,)),"")</f>
        <v/>
      </c>
      <c r="J650" s="450" t="str">
        <f>IFERROR(INDEX(绊状态确认!E:E,MATCH($G650,绊状态确认!$B:$B,)),"")</f>
        <v/>
      </c>
      <c r="K650" s="451" t="str">
        <f>IFERROR(INDEX(绊状态确认!F:F,MATCH($G650,绊状态确认!$B:$B,)),"")</f>
        <v/>
      </c>
      <c r="L650" s="1026"/>
      <c r="M650" s="1165"/>
      <c r="N650" s="1027"/>
      <c r="O650" s="1026"/>
      <c r="P650" s="1028"/>
      <c r="Q650" s="1029"/>
      <c r="R650" s="1166"/>
      <c r="S650" s="1030"/>
      <c r="T650" s="1031"/>
      <c r="U650" s="1032"/>
      <c r="V650" s="1033"/>
      <c r="W650" s="1034"/>
      <c r="X650" s="1166"/>
      <c r="Y650" s="1035"/>
      <c r="Z650" s="1036"/>
      <c r="AA650" s="1037"/>
      <c r="AB650" s="1038"/>
      <c r="AC650" s="1039"/>
      <c r="AD650" s="1040"/>
      <c r="AE650" s="1041"/>
      <c r="AF650" s="521"/>
      <c r="AG650" s="420"/>
      <c r="AH650" s="420"/>
      <c r="AI650" s="420"/>
      <c r="AJ650" s="420"/>
      <c r="AK650" s="518"/>
      <c r="AL650" s="1042"/>
      <c r="AM650" s="1035"/>
      <c r="AN650" s="1043"/>
      <c r="AO650" s="1167"/>
      <c r="AP650" s="1044"/>
      <c r="AQ650" s="1035"/>
      <c r="AR650" s="1035"/>
      <c r="AS650" s="1035"/>
      <c r="AT650" s="1165"/>
      <c r="AU650" s="1031"/>
      <c r="AV650" s="1045"/>
      <c r="AW650" s="1038"/>
      <c r="AX650" s="1035"/>
      <c r="AY650" s="483"/>
      <c r="AZ650" s="429"/>
      <c r="BA650" s="431"/>
      <c r="BB650" s="1035"/>
      <c r="BC650" s="1035"/>
      <c r="BD650" s="481"/>
      <c r="BE650" s="432"/>
      <c r="BF650" s="646"/>
      <c r="BG650" s="1047"/>
      <c r="BH650" s="1046"/>
      <c r="BI650" s="1048"/>
      <c r="BJ650" s="1030"/>
      <c r="BK650" s="1046"/>
      <c r="BL650" s="1048"/>
      <c r="BM650" s="1046"/>
      <c r="BN650" s="1167"/>
      <c r="BO650" s="1035"/>
      <c r="BP650" s="1043"/>
      <c r="BQ650" s="1167"/>
      <c r="BR650" s="1165"/>
      <c r="BS650" s="1031"/>
      <c r="BT650" s="1038"/>
      <c r="BU650" s="1035"/>
      <c r="BV650" s="1035"/>
      <c r="BW650" s="1049"/>
      <c r="BX650" s="1043"/>
      <c r="BY650" s="1046"/>
      <c r="BZ650" s="1167"/>
      <c r="CA650" s="1165"/>
      <c r="CB650" s="1031"/>
      <c r="CC650" s="1038"/>
      <c r="CD650" s="1035"/>
      <c r="CE650" s="1035"/>
      <c r="CF650" s="1049"/>
      <c r="CG650" s="1043"/>
      <c r="CH650" s="1046"/>
      <c r="CI650" s="1167"/>
      <c r="CJ650" s="1168"/>
      <c r="CK650" s="1169"/>
      <c r="CL650" s="1169"/>
      <c r="CM650" s="1166"/>
      <c r="CN650" s="1169"/>
      <c r="CO650" s="1169"/>
      <c r="CP650" s="452"/>
      <c r="CQ650" s="435"/>
      <c r="CR650" s="441"/>
      <c r="CS650" s="452"/>
      <c r="CT650" s="482"/>
      <c r="CU650" s="476"/>
      <c r="CV650" s="431"/>
      <c r="CW650" s="1108"/>
      <c r="CX650" s="1108"/>
      <c r="CY650" s="483"/>
      <c r="CZ650" s="437"/>
      <c r="DA650" s="438"/>
      <c r="DB650" s="439"/>
      <c r="DC650" s="439"/>
      <c r="DD650" s="443"/>
      <c r="DE650" s="411"/>
      <c r="DF650" s="411"/>
      <c r="DG650" s="1117"/>
      <c r="DH650" s="1117"/>
      <c r="DI650" s="1117"/>
      <c r="DJ650" s="442"/>
      <c r="DK650" s="482"/>
      <c r="DL650" s="1038"/>
      <c r="DM650" s="1035"/>
      <c r="DN650" s="1035"/>
      <c r="DO650" s="1035"/>
      <c r="DP650" s="1046"/>
      <c r="DQ650" s="1167"/>
      <c r="DR650" s="1168"/>
      <c r="DS650" s="1165"/>
      <c r="DT650" s="1165"/>
      <c r="DU650" s="1165"/>
      <c r="DV650" s="1031"/>
      <c r="DW650" s="1098">
        <f t="shared" si="1164"/>
        <v>0</v>
      </c>
      <c r="DX650" s="1098">
        <f t="shared" si="1165"/>
        <v>0</v>
      </c>
      <c r="DY650" s="1030"/>
      <c r="DZ650" s="1030"/>
      <c r="EA650" s="1031"/>
      <c r="EB650" s="1050"/>
      <c r="EC650" s="1038"/>
      <c r="ED650" s="1035"/>
      <c r="EE650" s="1046"/>
      <c r="EF650" s="1169"/>
      <c r="EG650" s="1168"/>
      <c r="EH650" s="1165"/>
      <c r="EI650" s="1165"/>
      <c r="EJ650" s="1165"/>
      <c r="EK650" s="1031"/>
      <c r="EL650" s="1098">
        <f t="shared" si="1166"/>
        <v>0</v>
      </c>
      <c r="EM650" s="1098">
        <f t="shared" si="1167"/>
        <v>0</v>
      </c>
      <c r="EN650" s="1030"/>
      <c r="EO650" s="1030"/>
      <c r="EP650" s="1031"/>
      <c r="EQ650" s="1050"/>
      <c r="ER650" s="1038"/>
      <c r="ES650" s="1035"/>
      <c r="ET650" s="1051"/>
    </row>
    <row r="651" spans="2:150" ht="16.5" customHeight="1">
      <c r="B651" s="1024"/>
      <c r="C651" s="1025"/>
      <c r="D651" s="408">
        <v>648</v>
      </c>
      <c r="E651" s="1164"/>
      <c r="F651" s="1164"/>
      <c r="G651" s="1026"/>
      <c r="H651" s="411" t="str">
        <f>IFERROR(INDEX(绊状态确认!C:C,MATCH($G651,绊状态确认!$B:$B,)),"")</f>
        <v/>
      </c>
      <c r="I651" s="450" t="str">
        <f>IFERROR(INDEX(绊状态确认!D:D,MATCH($G651,绊状态确认!$B:$B,)),"")</f>
        <v/>
      </c>
      <c r="J651" s="450" t="str">
        <f>IFERROR(INDEX(绊状态确认!E:E,MATCH($G651,绊状态确认!$B:$B,)),"")</f>
        <v/>
      </c>
      <c r="K651" s="451" t="str">
        <f>IFERROR(INDEX(绊状态确认!F:F,MATCH($G651,绊状态确认!$B:$B,)),"")</f>
        <v/>
      </c>
      <c r="L651" s="1026"/>
      <c r="M651" s="1165"/>
      <c r="N651" s="1027"/>
      <c r="O651" s="1026"/>
      <c r="P651" s="1028"/>
      <c r="Q651" s="1029"/>
      <c r="R651" s="1166"/>
      <c r="S651" s="1030"/>
      <c r="T651" s="1031"/>
      <c r="U651" s="1032"/>
      <c r="V651" s="1033"/>
      <c r="W651" s="1034"/>
      <c r="X651" s="1166"/>
      <c r="Y651" s="1035"/>
      <c r="Z651" s="1036"/>
      <c r="AA651" s="1037"/>
      <c r="AB651" s="1038"/>
      <c r="AC651" s="1039"/>
      <c r="AD651" s="1040"/>
      <c r="AE651" s="1041"/>
      <c r="AF651" s="521"/>
      <c r="AG651" s="420"/>
      <c r="AH651" s="420"/>
      <c r="AI651" s="420"/>
      <c r="AJ651" s="420"/>
      <c r="AK651" s="518"/>
      <c r="AL651" s="1042"/>
      <c r="AM651" s="1035"/>
      <c r="AN651" s="1043"/>
      <c r="AO651" s="1167"/>
      <c r="AP651" s="1044"/>
      <c r="AQ651" s="1035"/>
      <c r="AR651" s="1035"/>
      <c r="AS651" s="1035"/>
      <c r="AT651" s="1165"/>
      <c r="AU651" s="1031"/>
      <c r="AV651" s="1045"/>
      <c r="AW651" s="1038"/>
      <c r="AX651" s="1035"/>
      <c r="AY651" s="483"/>
      <c r="AZ651" s="429"/>
      <c r="BA651" s="431"/>
      <c r="BB651" s="1035"/>
      <c r="BC651" s="1035"/>
      <c r="BD651" s="481"/>
      <c r="BE651" s="432"/>
      <c r="BF651" s="646"/>
      <c r="BG651" s="1047"/>
      <c r="BH651" s="1046"/>
      <c r="BI651" s="1048"/>
      <c r="BJ651" s="1030"/>
      <c r="BK651" s="1046"/>
      <c r="BL651" s="1048"/>
      <c r="BM651" s="1046"/>
      <c r="BN651" s="1167"/>
      <c r="BO651" s="1035"/>
      <c r="BP651" s="1043"/>
      <c r="BQ651" s="1167"/>
      <c r="BR651" s="1165"/>
      <c r="BS651" s="1031"/>
      <c r="BT651" s="1038"/>
      <c r="BU651" s="1035"/>
      <c r="BV651" s="1035"/>
      <c r="BW651" s="1049"/>
      <c r="BX651" s="1043"/>
      <c r="BY651" s="1046"/>
      <c r="BZ651" s="1167"/>
      <c r="CA651" s="1165"/>
      <c r="CB651" s="1031"/>
      <c r="CC651" s="1038"/>
      <c r="CD651" s="1035"/>
      <c r="CE651" s="1035"/>
      <c r="CF651" s="1049"/>
      <c r="CG651" s="1043"/>
      <c r="CH651" s="1046"/>
      <c r="CI651" s="1167"/>
      <c r="CJ651" s="1168"/>
      <c r="CK651" s="1169"/>
      <c r="CL651" s="1169"/>
      <c r="CM651" s="1166"/>
      <c r="CN651" s="1169"/>
      <c r="CO651" s="1169"/>
      <c r="CP651" s="452"/>
      <c r="CQ651" s="435"/>
      <c r="CR651" s="1117"/>
      <c r="CS651" s="452"/>
      <c r="CT651" s="482"/>
      <c r="CU651" s="476"/>
      <c r="CV651" s="431"/>
      <c r="CW651" s="1108"/>
      <c r="CX651" s="1108"/>
      <c r="CY651" s="483"/>
      <c r="CZ651" s="437"/>
      <c r="DA651" s="438"/>
      <c r="DB651" s="439"/>
      <c r="DC651" s="439"/>
      <c r="DD651" s="443"/>
      <c r="DE651" s="411"/>
      <c r="DF651" s="411"/>
      <c r="DG651" s="1117"/>
      <c r="DH651" s="1117"/>
      <c r="DI651" s="1117"/>
      <c r="DJ651" s="442"/>
      <c r="DK651" s="482"/>
      <c r="DL651" s="1038"/>
      <c r="DM651" s="1035"/>
      <c r="DN651" s="1035"/>
      <c r="DO651" s="1035"/>
      <c r="DP651" s="1046"/>
      <c r="DQ651" s="1167"/>
      <c r="DR651" s="1168"/>
      <c r="DS651" s="1165"/>
      <c r="DT651" s="1165"/>
      <c r="DU651" s="1165"/>
      <c r="DV651" s="1031"/>
      <c r="DW651" s="1098">
        <f t="shared" si="1164"/>
        <v>0</v>
      </c>
      <c r="DX651" s="1098">
        <f t="shared" si="1165"/>
        <v>0</v>
      </c>
      <c r="DY651" s="1030"/>
      <c r="DZ651" s="1030"/>
      <c r="EA651" s="1031"/>
      <c r="EB651" s="1050"/>
      <c r="EC651" s="1038"/>
      <c r="ED651" s="1035"/>
      <c r="EE651" s="1046"/>
      <c r="EF651" s="1169"/>
      <c r="EG651" s="1168"/>
      <c r="EH651" s="1165"/>
      <c r="EI651" s="1165"/>
      <c r="EJ651" s="1165"/>
      <c r="EK651" s="1031"/>
      <c r="EL651" s="1098">
        <f t="shared" si="1166"/>
        <v>0</v>
      </c>
      <c r="EM651" s="1098">
        <f t="shared" si="1167"/>
        <v>0</v>
      </c>
      <c r="EN651" s="1030"/>
      <c r="EO651" s="1030"/>
      <c r="EP651" s="1031"/>
      <c r="EQ651" s="1050"/>
      <c r="ER651" s="1038"/>
      <c r="ES651" s="1035"/>
      <c r="ET651" s="1051"/>
    </row>
    <row r="652" spans="2:150" ht="16.5" customHeight="1">
      <c r="B652" s="1024"/>
      <c r="C652" s="1025"/>
      <c r="D652" s="408">
        <v>649</v>
      </c>
      <c r="E652" s="1164"/>
      <c r="F652" s="1164"/>
      <c r="G652" s="1026"/>
      <c r="H652" s="411" t="str">
        <f>IFERROR(INDEX(绊状态确认!C:C,MATCH($G652,绊状态确认!$B:$B,)),"")</f>
        <v/>
      </c>
      <c r="I652" s="450" t="str">
        <f>IFERROR(INDEX(绊状态确认!D:D,MATCH($G652,绊状态确认!$B:$B,)),"")</f>
        <v/>
      </c>
      <c r="J652" s="450" t="str">
        <f>IFERROR(INDEX(绊状态确认!E:E,MATCH($G652,绊状态确认!$B:$B,)),"")</f>
        <v/>
      </c>
      <c r="K652" s="451" t="str">
        <f>IFERROR(INDEX(绊状态确认!F:F,MATCH($G652,绊状态确认!$B:$B,)),"")</f>
        <v/>
      </c>
      <c r="L652" s="1026"/>
      <c r="M652" s="1165"/>
      <c r="N652" s="1027"/>
      <c r="O652" s="1026"/>
      <c r="P652" s="1028"/>
      <c r="Q652" s="1029"/>
      <c r="R652" s="1166"/>
      <c r="S652" s="1030"/>
      <c r="T652" s="1031"/>
      <c r="U652" s="1032"/>
      <c r="V652" s="1033"/>
      <c r="W652" s="1034"/>
      <c r="X652" s="1166"/>
      <c r="Y652" s="1035"/>
      <c r="Z652" s="1036"/>
      <c r="AA652" s="1037"/>
      <c r="AB652" s="1038"/>
      <c r="AC652" s="1039"/>
      <c r="AD652" s="1040"/>
      <c r="AE652" s="1041"/>
      <c r="AF652" s="521"/>
      <c r="AG652" s="420"/>
      <c r="AH652" s="420"/>
      <c r="AI652" s="420"/>
      <c r="AJ652" s="420"/>
      <c r="AK652" s="518"/>
      <c r="AL652" s="1042"/>
      <c r="AM652" s="1035"/>
      <c r="AN652" s="1043"/>
      <c r="AO652" s="1167"/>
      <c r="AP652" s="1044"/>
      <c r="AQ652" s="1035"/>
      <c r="AR652" s="1035"/>
      <c r="AS652" s="1035"/>
      <c r="AT652" s="1165"/>
      <c r="AU652" s="1031"/>
      <c r="AV652" s="1045"/>
      <c r="AW652" s="1038"/>
      <c r="AX652" s="1035"/>
      <c r="AY652" s="483"/>
      <c r="AZ652" s="429"/>
      <c r="BA652" s="431"/>
      <c r="BB652" s="1035"/>
      <c r="BC652" s="1035"/>
      <c r="BD652" s="481"/>
      <c r="BE652" s="432"/>
      <c r="BF652" s="646"/>
      <c r="BG652" s="1047"/>
      <c r="BH652" s="1046"/>
      <c r="BI652" s="1048"/>
      <c r="BJ652" s="1030"/>
      <c r="BK652" s="1046"/>
      <c r="BL652" s="1048"/>
      <c r="BM652" s="1046"/>
      <c r="BN652" s="1167"/>
      <c r="BO652" s="1035"/>
      <c r="BP652" s="1043"/>
      <c r="BQ652" s="1167"/>
      <c r="BR652" s="1165"/>
      <c r="BS652" s="1031"/>
      <c r="BT652" s="1038"/>
      <c r="BU652" s="1035"/>
      <c r="BV652" s="1035"/>
      <c r="BW652" s="1049"/>
      <c r="BX652" s="1043"/>
      <c r="BY652" s="1046"/>
      <c r="BZ652" s="1167"/>
      <c r="CA652" s="1165"/>
      <c r="CB652" s="1031"/>
      <c r="CC652" s="1038"/>
      <c r="CD652" s="1035"/>
      <c r="CE652" s="1035"/>
      <c r="CF652" s="1049"/>
      <c r="CG652" s="1043"/>
      <c r="CH652" s="1046"/>
      <c r="CI652" s="1167"/>
      <c r="CJ652" s="1168"/>
      <c r="CK652" s="1169"/>
      <c r="CL652" s="1169"/>
      <c r="CM652" s="1166"/>
      <c r="CN652" s="1169"/>
      <c r="CO652" s="1169"/>
      <c r="CP652" s="452"/>
      <c r="CQ652" s="435"/>
      <c r="CR652" s="441"/>
      <c r="CS652" s="452"/>
      <c r="CT652" s="482"/>
      <c r="CU652" s="476"/>
      <c r="CV652" s="431"/>
      <c r="CW652" s="1108"/>
      <c r="CX652" s="1108"/>
      <c r="CY652" s="483"/>
      <c r="CZ652" s="437"/>
      <c r="DA652" s="438"/>
      <c r="DB652" s="439"/>
      <c r="DC652" s="439"/>
      <c r="DD652" s="443"/>
      <c r="DE652" s="411"/>
      <c r="DF652" s="411"/>
      <c r="DG652" s="1117"/>
      <c r="DH652" s="1117"/>
      <c r="DI652" s="1117"/>
      <c r="DJ652" s="442"/>
      <c r="DK652" s="482"/>
      <c r="DL652" s="1038"/>
      <c r="DM652" s="1035"/>
      <c r="DN652" s="1035"/>
      <c r="DO652" s="1035"/>
      <c r="DP652" s="1046"/>
      <c r="DQ652" s="1167"/>
      <c r="DR652" s="1168"/>
      <c r="DS652" s="1165"/>
      <c r="DT652" s="1165"/>
      <c r="DU652" s="1165"/>
      <c r="DV652" s="1031"/>
      <c r="DW652" s="1098">
        <f t="shared" si="1164"/>
        <v>0</v>
      </c>
      <c r="DX652" s="1098">
        <f t="shared" si="1165"/>
        <v>0</v>
      </c>
      <c r="DY652" s="1030"/>
      <c r="DZ652" s="1030"/>
      <c r="EA652" s="1031"/>
      <c r="EB652" s="1050"/>
      <c r="EC652" s="1038"/>
      <c r="ED652" s="1035"/>
      <c r="EE652" s="1046"/>
      <c r="EF652" s="1169"/>
      <c r="EG652" s="1168"/>
      <c r="EH652" s="1165"/>
      <c r="EI652" s="1165"/>
      <c r="EJ652" s="1165"/>
      <c r="EK652" s="1031"/>
      <c r="EL652" s="1098">
        <f t="shared" si="1166"/>
        <v>0</v>
      </c>
      <c r="EM652" s="1098">
        <f t="shared" si="1167"/>
        <v>0</v>
      </c>
      <c r="EN652" s="1030"/>
      <c r="EO652" s="1030"/>
      <c r="EP652" s="1031"/>
      <c r="EQ652" s="1050"/>
      <c r="ER652" s="1038"/>
      <c r="ES652" s="1035"/>
      <c r="ET652" s="1051"/>
    </row>
    <row r="653" spans="2:150" ht="16.5" customHeight="1">
      <c r="B653" s="1024"/>
      <c r="C653" s="1025"/>
      <c r="D653" s="408">
        <v>650</v>
      </c>
      <c r="E653" s="1164"/>
      <c r="F653" s="1164"/>
      <c r="G653" s="1026"/>
      <c r="H653" s="411" t="str">
        <f>IFERROR(INDEX(绊状态确认!C:C,MATCH($G653,绊状态确认!$B:$B,)),"")</f>
        <v/>
      </c>
      <c r="I653" s="450" t="str">
        <f>IFERROR(INDEX(绊状态确认!D:D,MATCH($G653,绊状态确认!$B:$B,)),"")</f>
        <v/>
      </c>
      <c r="J653" s="450" t="str">
        <f>IFERROR(INDEX(绊状态确认!E:E,MATCH($G653,绊状态确认!$B:$B,)),"")</f>
        <v/>
      </c>
      <c r="K653" s="451" t="str">
        <f>IFERROR(INDEX(绊状态确认!F:F,MATCH($G653,绊状态确认!$B:$B,)),"")</f>
        <v/>
      </c>
      <c r="L653" s="1026"/>
      <c r="M653" s="1165"/>
      <c r="N653" s="1027"/>
      <c r="O653" s="1026"/>
      <c r="P653" s="1028"/>
      <c r="Q653" s="1029"/>
      <c r="R653" s="1166"/>
      <c r="S653" s="1030"/>
      <c r="T653" s="1031"/>
      <c r="U653" s="1032"/>
      <c r="V653" s="1033"/>
      <c r="W653" s="1034"/>
      <c r="X653" s="1166"/>
      <c r="Y653" s="1035"/>
      <c r="Z653" s="1036"/>
      <c r="AA653" s="1037"/>
      <c r="AB653" s="1038"/>
      <c r="AC653" s="1039"/>
      <c r="AD653" s="1040"/>
      <c r="AE653" s="1041"/>
      <c r="AF653" s="521"/>
      <c r="AG653" s="420"/>
      <c r="AH653" s="420"/>
      <c r="AI653" s="420"/>
      <c r="AJ653" s="420"/>
      <c r="AK653" s="518"/>
      <c r="AL653" s="1042"/>
      <c r="AM653" s="1035"/>
      <c r="AN653" s="1043"/>
      <c r="AO653" s="1167"/>
      <c r="AP653" s="1044"/>
      <c r="AQ653" s="1035"/>
      <c r="AR653" s="1035"/>
      <c r="AS653" s="1035"/>
      <c r="AT653" s="1165"/>
      <c r="AU653" s="1031"/>
      <c r="AV653" s="1045"/>
      <c r="AW653" s="1038"/>
      <c r="AX653" s="1035"/>
      <c r="AY653" s="483"/>
      <c r="AZ653" s="429"/>
      <c r="BA653" s="431"/>
      <c r="BB653" s="1035"/>
      <c r="BC653" s="1035"/>
      <c r="BD653" s="481"/>
      <c r="BE653" s="432"/>
      <c r="BF653" s="646"/>
      <c r="BG653" s="1047"/>
      <c r="BH653" s="1046"/>
      <c r="BI653" s="1048"/>
      <c r="BJ653" s="1030"/>
      <c r="BK653" s="1046"/>
      <c r="BL653" s="1048"/>
      <c r="BM653" s="1046"/>
      <c r="BN653" s="1167"/>
      <c r="BO653" s="1035"/>
      <c r="BP653" s="1043"/>
      <c r="BQ653" s="1167"/>
      <c r="BR653" s="1165"/>
      <c r="BS653" s="1031"/>
      <c r="BT653" s="1038"/>
      <c r="BU653" s="1035"/>
      <c r="BV653" s="1035"/>
      <c r="BW653" s="1049"/>
      <c r="BX653" s="1043"/>
      <c r="BY653" s="1046"/>
      <c r="BZ653" s="1167"/>
      <c r="CA653" s="1165"/>
      <c r="CB653" s="1031"/>
      <c r="CC653" s="1038"/>
      <c r="CD653" s="1035"/>
      <c r="CE653" s="1035"/>
      <c r="CF653" s="1049"/>
      <c r="CG653" s="1043"/>
      <c r="CH653" s="1046"/>
      <c r="CI653" s="1167"/>
      <c r="CJ653" s="1168"/>
      <c r="CK653" s="1169"/>
      <c r="CL653" s="1169"/>
      <c r="CM653" s="1166"/>
      <c r="CN653" s="1169"/>
      <c r="CO653" s="1169"/>
      <c r="CP653" s="452"/>
      <c r="CQ653" s="435"/>
      <c r="CR653" s="1117"/>
      <c r="CS653" s="452"/>
      <c r="CT653" s="482"/>
      <c r="CU653" s="476"/>
      <c r="CV653" s="431"/>
      <c r="CW653" s="1108"/>
      <c r="CX653" s="1108"/>
      <c r="CY653" s="483"/>
      <c r="CZ653" s="437"/>
      <c r="DA653" s="438"/>
      <c r="DB653" s="439"/>
      <c r="DC653" s="439"/>
      <c r="DD653" s="443"/>
      <c r="DE653" s="411"/>
      <c r="DF653" s="411"/>
      <c r="DG653" s="1117"/>
      <c r="DH653" s="1117"/>
      <c r="DI653" s="1117"/>
      <c r="DJ653" s="442"/>
      <c r="DK653" s="482"/>
      <c r="DL653" s="1038"/>
      <c r="DM653" s="1035"/>
      <c r="DN653" s="1035"/>
      <c r="DO653" s="1035"/>
      <c r="DP653" s="1046"/>
      <c r="DQ653" s="1167"/>
      <c r="DR653" s="1168"/>
      <c r="DS653" s="1165"/>
      <c r="DT653" s="1165"/>
      <c r="DU653" s="1165"/>
      <c r="DV653" s="1031"/>
      <c r="DW653" s="1098">
        <f t="shared" si="1164"/>
        <v>0</v>
      </c>
      <c r="DX653" s="1098">
        <f t="shared" si="1165"/>
        <v>0</v>
      </c>
      <c r="DY653" s="1030"/>
      <c r="DZ653" s="1030"/>
      <c r="EA653" s="1031"/>
      <c r="EB653" s="1050"/>
      <c r="EC653" s="1038"/>
      <c r="ED653" s="1035"/>
      <c r="EE653" s="1046"/>
      <c r="EF653" s="1169"/>
      <c r="EG653" s="1168"/>
      <c r="EH653" s="1165"/>
      <c r="EI653" s="1165"/>
      <c r="EJ653" s="1165"/>
      <c r="EK653" s="1031"/>
      <c r="EL653" s="1098">
        <f t="shared" si="1166"/>
        <v>0</v>
      </c>
      <c r="EM653" s="1098">
        <f t="shared" si="1167"/>
        <v>0</v>
      </c>
      <c r="EN653" s="1030"/>
      <c r="EO653" s="1030"/>
      <c r="EP653" s="1031"/>
      <c r="EQ653" s="1050"/>
      <c r="ER653" s="1038"/>
      <c r="ES653" s="1035"/>
      <c r="ET653" s="1051"/>
    </row>
    <row r="654" spans="2:150" ht="16.5" customHeight="1">
      <c r="B654" s="1024"/>
      <c r="C654" s="1025"/>
      <c r="D654" s="408">
        <v>651</v>
      </c>
      <c r="E654" s="1164"/>
      <c r="F654" s="1164"/>
      <c r="G654" s="1026"/>
      <c r="H654" s="411" t="str">
        <f>IFERROR(INDEX(绊状态确认!C:C,MATCH($G654,绊状态确认!$B:$B,)),"")</f>
        <v/>
      </c>
      <c r="I654" s="450" t="str">
        <f>IFERROR(INDEX(绊状态确认!D:D,MATCH($G654,绊状态确认!$B:$B,)),"")</f>
        <v/>
      </c>
      <c r="J654" s="450" t="str">
        <f>IFERROR(INDEX(绊状态确认!E:E,MATCH($G654,绊状态确认!$B:$B,)),"")</f>
        <v/>
      </c>
      <c r="K654" s="451" t="str">
        <f>IFERROR(INDEX(绊状态确认!F:F,MATCH($G654,绊状态确认!$B:$B,)),"")</f>
        <v/>
      </c>
      <c r="L654" s="1026"/>
      <c r="M654" s="1165"/>
      <c r="N654" s="1027"/>
      <c r="O654" s="1026"/>
      <c r="P654" s="1028"/>
      <c r="Q654" s="1029"/>
      <c r="R654" s="1166"/>
      <c r="S654" s="1030"/>
      <c r="T654" s="1031"/>
      <c r="U654" s="1032"/>
      <c r="V654" s="1033"/>
      <c r="W654" s="1034"/>
      <c r="X654" s="1166"/>
      <c r="Y654" s="1035"/>
      <c r="Z654" s="1036"/>
      <c r="AA654" s="1037"/>
      <c r="AB654" s="1038"/>
      <c r="AC654" s="1039"/>
      <c r="AD654" s="1040"/>
      <c r="AE654" s="1041"/>
      <c r="AF654" s="521"/>
      <c r="AG654" s="420"/>
      <c r="AH654" s="420"/>
      <c r="AI654" s="420"/>
      <c r="AJ654" s="420"/>
      <c r="AK654" s="518"/>
      <c r="AL654" s="1042"/>
      <c r="AM654" s="1035"/>
      <c r="AN654" s="1043"/>
      <c r="AO654" s="1167"/>
      <c r="AP654" s="1044"/>
      <c r="AQ654" s="1035"/>
      <c r="AR654" s="1035"/>
      <c r="AS654" s="1035"/>
      <c r="AT654" s="1165"/>
      <c r="AU654" s="1031"/>
      <c r="AV654" s="1045"/>
      <c r="AW654" s="1038"/>
      <c r="AX654" s="1035"/>
      <c r="AY654" s="483"/>
      <c r="AZ654" s="429"/>
      <c r="BA654" s="431"/>
      <c r="BB654" s="1035"/>
      <c r="BC654" s="1035"/>
      <c r="BD654" s="481"/>
      <c r="BE654" s="432"/>
      <c r="BF654" s="646"/>
      <c r="BG654" s="1047"/>
      <c r="BH654" s="1046"/>
      <c r="BI654" s="1048"/>
      <c r="BJ654" s="1030"/>
      <c r="BK654" s="1046"/>
      <c r="BL654" s="1048"/>
      <c r="BM654" s="1046"/>
      <c r="BN654" s="1167"/>
      <c r="BO654" s="1035"/>
      <c r="BP654" s="1043"/>
      <c r="BQ654" s="1167"/>
      <c r="BR654" s="1165"/>
      <c r="BS654" s="1031"/>
      <c r="BT654" s="1038"/>
      <c r="BU654" s="1035"/>
      <c r="BV654" s="1035"/>
      <c r="BW654" s="1049"/>
      <c r="BX654" s="1043"/>
      <c r="BY654" s="1046"/>
      <c r="BZ654" s="1167"/>
      <c r="CA654" s="1165"/>
      <c r="CB654" s="1031"/>
      <c r="CC654" s="1038"/>
      <c r="CD654" s="1035"/>
      <c r="CE654" s="1035"/>
      <c r="CF654" s="1049"/>
      <c r="CG654" s="1043"/>
      <c r="CH654" s="1046"/>
      <c r="CI654" s="1167"/>
      <c r="CJ654" s="1168"/>
      <c r="CK654" s="1169"/>
      <c r="CL654" s="1169"/>
      <c r="CM654" s="1166"/>
      <c r="CN654" s="1169"/>
      <c r="CO654" s="1169"/>
      <c r="CP654" s="452"/>
      <c r="CQ654" s="435"/>
      <c r="CR654" s="441"/>
      <c r="CS654" s="452"/>
      <c r="CT654" s="482"/>
      <c r="CU654" s="476"/>
      <c r="CV654" s="431"/>
      <c r="CW654" s="1108"/>
      <c r="CX654" s="1108"/>
      <c r="CY654" s="483"/>
      <c r="CZ654" s="437"/>
      <c r="DA654" s="438"/>
      <c r="DB654" s="439"/>
      <c r="DC654" s="439"/>
      <c r="DD654" s="443"/>
      <c r="DE654" s="411"/>
      <c r="DF654" s="411"/>
      <c r="DG654" s="1117"/>
      <c r="DH654" s="1117"/>
      <c r="DI654" s="1117"/>
      <c r="DJ654" s="442"/>
      <c r="DK654" s="482"/>
      <c r="DL654" s="1038"/>
      <c r="DM654" s="1035"/>
      <c r="DN654" s="1035"/>
      <c r="DO654" s="1035"/>
      <c r="DP654" s="1046"/>
      <c r="DQ654" s="1167"/>
      <c r="DR654" s="1168"/>
      <c r="DS654" s="1165"/>
      <c r="DT654" s="1165"/>
      <c r="DU654" s="1165"/>
      <c r="DV654" s="1031"/>
      <c r="DW654" s="1098">
        <f t="shared" si="1164"/>
        <v>0</v>
      </c>
      <c r="DX654" s="1098">
        <f t="shared" si="1165"/>
        <v>0</v>
      </c>
      <c r="DY654" s="1030"/>
      <c r="DZ654" s="1030"/>
      <c r="EA654" s="1031"/>
      <c r="EB654" s="1050"/>
      <c r="EC654" s="1038"/>
      <c r="ED654" s="1035"/>
      <c r="EE654" s="1046"/>
      <c r="EF654" s="1169"/>
      <c r="EG654" s="1168"/>
      <c r="EH654" s="1165"/>
      <c r="EI654" s="1165"/>
      <c r="EJ654" s="1165"/>
      <c r="EK654" s="1031"/>
      <c r="EL654" s="1098">
        <f t="shared" si="1166"/>
        <v>0</v>
      </c>
      <c r="EM654" s="1098">
        <f t="shared" si="1167"/>
        <v>0</v>
      </c>
      <c r="EN654" s="1030"/>
      <c r="EO654" s="1030"/>
      <c r="EP654" s="1031"/>
      <c r="EQ654" s="1050"/>
      <c r="ER654" s="1038"/>
      <c r="ES654" s="1035"/>
      <c r="ET654" s="1051"/>
    </row>
    <row r="655" spans="2:150" ht="16.5" customHeight="1">
      <c r="B655" s="1024"/>
      <c r="C655" s="1025"/>
      <c r="D655" s="408">
        <v>652</v>
      </c>
      <c r="E655" s="1164"/>
      <c r="F655" s="1164"/>
      <c r="G655" s="1026"/>
      <c r="H655" s="411" t="str">
        <f>IFERROR(INDEX(绊状态确认!C:C,MATCH($G655,绊状态确认!$B:$B,)),"")</f>
        <v/>
      </c>
      <c r="I655" s="450" t="str">
        <f>IFERROR(INDEX(绊状态确认!D:D,MATCH($G655,绊状态确认!$B:$B,)),"")</f>
        <v/>
      </c>
      <c r="J655" s="450" t="str">
        <f>IFERROR(INDEX(绊状态确认!E:E,MATCH($G655,绊状态确认!$B:$B,)),"")</f>
        <v/>
      </c>
      <c r="K655" s="451" t="str">
        <f>IFERROR(INDEX(绊状态确认!F:F,MATCH($G655,绊状态确认!$B:$B,)),"")</f>
        <v/>
      </c>
      <c r="L655" s="1026"/>
      <c r="M655" s="1165"/>
      <c r="N655" s="1027"/>
      <c r="O655" s="1026"/>
      <c r="P655" s="1028"/>
      <c r="Q655" s="1029"/>
      <c r="R655" s="1166"/>
      <c r="S655" s="1030"/>
      <c r="T655" s="1031"/>
      <c r="U655" s="1032"/>
      <c r="V655" s="1033"/>
      <c r="W655" s="1034"/>
      <c r="X655" s="1166"/>
      <c r="Y655" s="1035"/>
      <c r="Z655" s="1036"/>
      <c r="AA655" s="1037"/>
      <c r="AB655" s="1038"/>
      <c r="AC655" s="1039"/>
      <c r="AD655" s="1040"/>
      <c r="AE655" s="1041"/>
      <c r="AF655" s="521"/>
      <c r="AG655" s="420"/>
      <c r="AH655" s="420"/>
      <c r="AI655" s="420"/>
      <c r="AJ655" s="420"/>
      <c r="AK655" s="518"/>
      <c r="AL655" s="1042"/>
      <c r="AM655" s="1035"/>
      <c r="AN655" s="1043"/>
      <c r="AO655" s="1167"/>
      <c r="AP655" s="1044"/>
      <c r="AQ655" s="1035"/>
      <c r="AR655" s="1035"/>
      <c r="AS655" s="1035"/>
      <c r="AT655" s="1165"/>
      <c r="AU655" s="1031"/>
      <c r="AV655" s="1045"/>
      <c r="AW655" s="1038"/>
      <c r="AX655" s="1035"/>
      <c r="AY655" s="483"/>
      <c r="AZ655" s="429"/>
      <c r="BA655" s="431"/>
      <c r="BB655" s="1035"/>
      <c r="BC655" s="1035"/>
      <c r="BD655" s="481"/>
      <c r="BE655" s="432"/>
      <c r="BF655" s="646"/>
      <c r="BG655" s="1047"/>
      <c r="BH655" s="1046"/>
      <c r="BI655" s="1048"/>
      <c r="BJ655" s="1030"/>
      <c r="BK655" s="1046"/>
      <c r="BL655" s="1048"/>
      <c r="BM655" s="1046"/>
      <c r="BN655" s="1167"/>
      <c r="BO655" s="1035"/>
      <c r="BP655" s="1043"/>
      <c r="BQ655" s="1167"/>
      <c r="BR655" s="1165"/>
      <c r="BS655" s="1031"/>
      <c r="BT655" s="1038"/>
      <c r="BU655" s="1035"/>
      <c r="BV655" s="1035"/>
      <c r="BW655" s="1049"/>
      <c r="BX655" s="1043"/>
      <c r="BY655" s="1046"/>
      <c r="BZ655" s="1167"/>
      <c r="CA655" s="1165"/>
      <c r="CB655" s="1031"/>
      <c r="CC655" s="1038"/>
      <c r="CD655" s="1035"/>
      <c r="CE655" s="1035"/>
      <c r="CF655" s="1049"/>
      <c r="CG655" s="1043"/>
      <c r="CH655" s="1046"/>
      <c r="CI655" s="1167"/>
      <c r="CJ655" s="1168"/>
      <c r="CK655" s="1169"/>
      <c r="CL655" s="1169"/>
      <c r="CM655" s="1166"/>
      <c r="CN655" s="1169"/>
      <c r="CO655" s="1169"/>
      <c r="CP655" s="452"/>
      <c r="CQ655" s="435"/>
      <c r="CR655" s="441"/>
      <c r="CS655" s="452"/>
      <c r="CT655" s="482"/>
      <c r="CU655" s="476"/>
      <c r="CV655" s="431"/>
      <c r="CW655" s="1108"/>
      <c r="CX655" s="1108"/>
      <c r="CY655" s="483"/>
      <c r="CZ655" s="437"/>
      <c r="DA655" s="438"/>
      <c r="DB655" s="439"/>
      <c r="DC655" s="439"/>
      <c r="DD655" s="443"/>
      <c r="DE655" s="411"/>
      <c r="DF655" s="411"/>
      <c r="DG655" s="1117"/>
      <c r="DH655" s="1117"/>
      <c r="DI655" s="1117"/>
      <c r="DJ655" s="442"/>
      <c r="DK655" s="482"/>
      <c r="DL655" s="1038"/>
      <c r="DM655" s="1035"/>
      <c r="DN655" s="1035"/>
      <c r="DO655" s="1035"/>
      <c r="DP655" s="1046"/>
      <c r="DQ655" s="1167"/>
      <c r="DR655" s="1168"/>
      <c r="DS655" s="1165"/>
      <c r="DT655" s="1165"/>
      <c r="DU655" s="1165"/>
      <c r="DV655" s="1031"/>
      <c r="DW655" s="1098">
        <f t="shared" si="1164"/>
        <v>0</v>
      </c>
      <c r="DX655" s="1098">
        <f t="shared" si="1165"/>
        <v>0</v>
      </c>
      <c r="DY655" s="1030"/>
      <c r="DZ655" s="1030"/>
      <c r="EA655" s="1031"/>
      <c r="EB655" s="1050"/>
      <c r="EC655" s="1038"/>
      <c r="ED655" s="1035"/>
      <c r="EE655" s="1046"/>
      <c r="EF655" s="1169"/>
      <c r="EG655" s="1168"/>
      <c r="EH655" s="1165"/>
      <c r="EI655" s="1165"/>
      <c r="EJ655" s="1165"/>
      <c r="EK655" s="1031"/>
      <c r="EL655" s="1098">
        <f t="shared" si="1166"/>
        <v>0</v>
      </c>
      <c r="EM655" s="1098">
        <f t="shared" si="1167"/>
        <v>0</v>
      </c>
      <c r="EN655" s="1030"/>
      <c r="EO655" s="1030"/>
      <c r="EP655" s="1031"/>
      <c r="EQ655" s="1050"/>
      <c r="ER655" s="1038"/>
      <c r="ES655" s="1035"/>
      <c r="ET655" s="1051"/>
    </row>
    <row r="656" spans="2:150" ht="16.5" customHeight="1">
      <c r="B656" s="1024"/>
      <c r="C656" s="1025"/>
      <c r="D656" s="408">
        <v>653</v>
      </c>
      <c r="E656" s="1164"/>
      <c r="F656" s="1164"/>
      <c r="G656" s="1026"/>
      <c r="H656" s="411" t="str">
        <f>IFERROR(INDEX(绊状态确认!C:C,MATCH($G656,绊状态确认!$B:$B,)),"")</f>
        <v/>
      </c>
      <c r="I656" s="450" t="str">
        <f>IFERROR(INDEX(绊状态确认!D:D,MATCH($G656,绊状态确认!$B:$B,)),"")</f>
        <v/>
      </c>
      <c r="J656" s="450" t="str">
        <f>IFERROR(INDEX(绊状态确认!E:E,MATCH($G656,绊状态确认!$B:$B,)),"")</f>
        <v/>
      </c>
      <c r="K656" s="451" t="str">
        <f>IFERROR(INDEX(绊状态确认!F:F,MATCH($G656,绊状态确认!$B:$B,)),"")</f>
        <v/>
      </c>
      <c r="L656" s="1026"/>
      <c r="M656" s="1165"/>
      <c r="N656" s="1027"/>
      <c r="O656" s="1026"/>
      <c r="P656" s="1028"/>
      <c r="Q656" s="1029"/>
      <c r="R656" s="1166"/>
      <c r="S656" s="1030"/>
      <c r="T656" s="1031"/>
      <c r="U656" s="1032"/>
      <c r="V656" s="1033"/>
      <c r="W656" s="1034"/>
      <c r="X656" s="1166"/>
      <c r="Y656" s="1035"/>
      <c r="Z656" s="1036"/>
      <c r="AA656" s="1037"/>
      <c r="AB656" s="1038"/>
      <c r="AC656" s="1039"/>
      <c r="AD656" s="1040"/>
      <c r="AE656" s="1041"/>
      <c r="AF656" s="521"/>
      <c r="AG656" s="420"/>
      <c r="AH656" s="420"/>
      <c r="AI656" s="420"/>
      <c r="AJ656" s="420"/>
      <c r="AK656" s="518"/>
      <c r="AL656" s="1042"/>
      <c r="AM656" s="1035"/>
      <c r="AN656" s="1043"/>
      <c r="AO656" s="1167"/>
      <c r="AP656" s="1044"/>
      <c r="AQ656" s="1035"/>
      <c r="AR656" s="1035"/>
      <c r="AS656" s="1035"/>
      <c r="AT656" s="1165"/>
      <c r="AU656" s="1031"/>
      <c r="AV656" s="1045"/>
      <c r="AW656" s="1038"/>
      <c r="AX656" s="1035"/>
      <c r="AY656" s="483"/>
      <c r="AZ656" s="429"/>
      <c r="BA656" s="431"/>
      <c r="BB656" s="1035"/>
      <c r="BC656" s="1035"/>
      <c r="BD656" s="481"/>
      <c r="BE656" s="432"/>
      <c r="BF656" s="646"/>
      <c r="BG656" s="1047"/>
      <c r="BH656" s="1046"/>
      <c r="BI656" s="1048"/>
      <c r="BJ656" s="1030"/>
      <c r="BK656" s="1046"/>
      <c r="BL656" s="1048"/>
      <c r="BM656" s="1046"/>
      <c r="BN656" s="1167"/>
      <c r="BO656" s="1035"/>
      <c r="BP656" s="1043"/>
      <c r="BQ656" s="1167"/>
      <c r="BR656" s="1165"/>
      <c r="BS656" s="1031"/>
      <c r="BT656" s="1038"/>
      <c r="BU656" s="1035"/>
      <c r="BV656" s="1035"/>
      <c r="BW656" s="1049"/>
      <c r="BX656" s="1043"/>
      <c r="BY656" s="1046"/>
      <c r="BZ656" s="1167"/>
      <c r="CA656" s="1165"/>
      <c r="CB656" s="1031"/>
      <c r="CC656" s="1038"/>
      <c r="CD656" s="1035"/>
      <c r="CE656" s="1035"/>
      <c r="CF656" s="1049"/>
      <c r="CG656" s="1043"/>
      <c r="CH656" s="1046"/>
      <c r="CI656" s="1167"/>
      <c r="CJ656" s="1168"/>
      <c r="CK656" s="1169"/>
      <c r="CL656" s="1169"/>
      <c r="CM656" s="1166"/>
      <c r="CN656" s="1169"/>
      <c r="CO656" s="1169"/>
      <c r="CP656" s="452"/>
      <c r="CQ656" s="435"/>
      <c r="CR656" s="441"/>
      <c r="CS656" s="452"/>
      <c r="CT656" s="482"/>
      <c r="CU656" s="476"/>
      <c r="CV656" s="431"/>
      <c r="CW656" s="1108"/>
      <c r="CX656" s="1108"/>
      <c r="CY656" s="483"/>
      <c r="CZ656" s="437"/>
      <c r="DA656" s="438"/>
      <c r="DB656" s="439"/>
      <c r="DC656" s="439"/>
      <c r="DD656" s="443"/>
      <c r="DE656" s="411"/>
      <c r="DF656" s="411"/>
      <c r="DG656" s="1117"/>
      <c r="DH656" s="1117"/>
      <c r="DI656" s="1117"/>
      <c r="DJ656" s="442"/>
      <c r="DK656" s="482"/>
      <c r="DL656" s="1038"/>
      <c r="DM656" s="1035"/>
      <c r="DN656" s="1035"/>
      <c r="DO656" s="1035"/>
      <c r="DP656" s="1046"/>
      <c r="DQ656" s="1167"/>
      <c r="DR656" s="1168"/>
      <c r="DS656" s="1165"/>
      <c r="DT656" s="1165"/>
      <c r="DU656" s="1165"/>
      <c r="DV656" s="1031"/>
      <c r="DW656" s="1098">
        <f t="shared" si="1164"/>
        <v>0</v>
      </c>
      <c r="DX656" s="1098">
        <f t="shared" si="1165"/>
        <v>0</v>
      </c>
      <c r="DY656" s="1030"/>
      <c r="DZ656" s="1030"/>
      <c r="EA656" s="1031"/>
      <c r="EB656" s="1050"/>
      <c r="EC656" s="1038"/>
      <c r="ED656" s="1035"/>
      <c r="EE656" s="1046"/>
      <c r="EF656" s="1169"/>
      <c r="EG656" s="1168"/>
      <c r="EH656" s="1165"/>
      <c r="EI656" s="1165"/>
      <c r="EJ656" s="1165"/>
      <c r="EK656" s="1031"/>
      <c r="EL656" s="1098">
        <f t="shared" si="1166"/>
        <v>0</v>
      </c>
      <c r="EM656" s="1098">
        <f t="shared" si="1167"/>
        <v>0</v>
      </c>
      <c r="EN656" s="1030"/>
      <c r="EO656" s="1030"/>
      <c r="EP656" s="1031"/>
      <c r="EQ656" s="1050"/>
      <c r="ER656" s="1038"/>
      <c r="ES656" s="1035"/>
      <c r="ET656" s="1051"/>
    </row>
    <row r="657" spans="2:150" ht="16.5" customHeight="1">
      <c r="B657" s="1024"/>
      <c r="C657" s="1025"/>
      <c r="D657" s="408">
        <v>654</v>
      </c>
      <c r="E657" s="1164"/>
      <c r="F657" s="1164"/>
      <c r="G657" s="1026"/>
      <c r="H657" s="411" t="str">
        <f>IFERROR(INDEX(绊状态确认!C:C,MATCH($G657,绊状态确认!$B:$B,)),"")</f>
        <v/>
      </c>
      <c r="I657" s="450" t="str">
        <f>IFERROR(INDEX(绊状态确认!D:D,MATCH($G657,绊状态确认!$B:$B,)),"")</f>
        <v/>
      </c>
      <c r="J657" s="450" t="str">
        <f>IFERROR(INDEX(绊状态确认!E:E,MATCH($G657,绊状态确认!$B:$B,)),"")</f>
        <v/>
      </c>
      <c r="K657" s="451" t="str">
        <f>IFERROR(INDEX(绊状态确认!F:F,MATCH($G657,绊状态确认!$B:$B,)),"")</f>
        <v/>
      </c>
      <c r="L657" s="1026"/>
      <c r="M657" s="1165"/>
      <c r="N657" s="1027"/>
      <c r="O657" s="1026"/>
      <c r="P657" s="1028"/>
      <c r="Q657" s="1029"/>
      <c r="R657" s="1166"/>
      <c r="S657" s="1030"/>
      <c r="T657" s="1031"/>
      <c r="U657" s="1032"/>
      <c r="V657" s="1033"/>
      <c r="W657" s="1034"/>
      <c r="X657" s="1166"/>
      <c r="Y657" s="1035"/>
      <c r="Z657" s="1036"/>
      <c r="AA657" s="1037"/>
      <c r="AB657" s="1038"/>
      <c r="AC657" s="1039"/>
      <c r="AD657" s="1040"/>
      <c r="AE657" s="1041"/>
      <c r="AF657" s="521"/>
      <c r="AG657" s="420"/>
      <c r="AH657" s="420"/>
      <c r="AI657" s="420"/>
      <c r="AJ657" s="420"/>
      <c r="AK657" s="518"/>
      <c r="AL657" s="1042"/>
      <c r="AM657" s="1035"/>
      <c r="AN657" s="1043"/>
      <c r="AO657" s="1167"/>
      <c r="AP657" s="1044"/>
      <c r="AQ657" s="1035"/>
      <c r="AR657" s="1035"/>
      <c r="AS657" s="1035"/>
      <c r="AT657" s="1165"/>
      <c r="AU657" s="1031"/>
      <c r="AV657" s="1045"/>
      <c r="AW657" s="1038"/>
      <c r="AX657" s="1035"/>
      <c r="AY657" s="483"/>
      <c r="AZ657" s="429"/>
      <c r="BA657" s="431"/>
      <c r="BB657" s="1035"/>
      <c r="BC657" s="1035"/>
      <c r="BD657" s="481"/>
      <c r="BE657" s="432"/>
      <c r="BF657" s="646"/>
      <c r="BG657" s="1047"/>
      <c r="BH657" s="1046"/>
      <c r="BI657" s="1048"/>
      <c r="BJ657" s="1030"/>
      <c r="BK657" s="1046"/>
      <c r="BL657" s="1048"/>
      <c r="BM657" s="1046"/>
      <c r="BN657" s="1167"/>
      <c r="BO657" s="1035"/>
      <c r="BP657" s="1043"/>
      <c r="BQ657" s="1167"/>
      <c r="BR657" s="1165"/>
      <c r="BS657" s="1031"/>
      <c r="BT657" s="1038"/>
      <c r="BU657" s="1035"/>
      <c r="BV657" s="1035"/>
      <c r="BW657" s="1049"/>
      <c r="BX657" s="1043"/>
      <c r="BY657" s="1046"/>
      <c r="BZ657" s="1167"/>
      <c r="CA657" s="1165"/>
      <c r="CB657" s="1031"/>
      <c r="CC657" s="1038"/>
      <c r="CD657" s="1035"/>
      <c r="CE657" s="1035"/>
      <c r="CF657" s="1049"/>
      <c r="CG657" s="1043"/>
      <c r="CH657" s="1046"/>
      <c r="CI657" s="1167"/>
      <c r="CJ657" s="1168"/>
      <c r="CK657" s="1169"/>
      <c r="CL657" s="1169"/>
      <c r="CM657" s="1166"/>
      <c r="CN657" s="1169"/>
      <c r="CO657" s="1169"/>
      <c r="CP657" s="452"/>
      <c r="CQ657" s="435"/>
      <c r="CR657" s="441"/>
      <c r="CS657" s="452"/>
      <c r="CT657" s="482"/>
      <c r="CU657" s="476"/>
      <c r="CV657" s="431"/>
      <c r="CW657" s="1108"/>
      <c r="CX657" s="1108"/>
      <c r="CY657" s="483"/>
      <c r="CZ657" s="437"/>
      <c r="DA657" s="438"/>
      <c r="DB657" s="439"/>
      <c r="DC657" s="439"/>
      <c r="DD657" s="443"/>
      <c r="DE657" s="411"/>
      <c r="DF657" s="411"/>
      <c r="DG657" s="1117"/>
      <c r="DH657" s="1117"/>
      <c r="DI657" s="1117"/>
      <c r="DJ657" s="442"/>
      <c r="DK657" s="482"/>
      <c r="DL657" s="1038"/>
      <c r="DM657" s="1035"/>
      <c r="DN657" s="1035"/>
      <c r="DO657" s="1035"/>
      <c r="DP657" s="1046"/>
      <c r="DQ657" s="1167"/>
      <c r="DR657" s="1168"/>
      <c r="DS657" s="1165"/>
      <c r="DT657" s="1165"/>
      <c r="DU657" s="1165"/>
      <c r="DV657" s="1031"/>
      <c r="DW657" s="1098">
        <f t="shared" si="1164"/>
        <v>0</v>
      </c>
      <c r="DX657" s="1098">
        <f t="shared" si="1165"/>
        <v>0</v>
      </c>
      <c r="DY657" s="1030"/>
      <c r="DZ657" s="1030"/>
      <c r="EA657" s="1031"/>
      <c r="EB657" s="1050"/>
      <c r="EC657" s="1038"/>
      <c r="ED657" s="1035"/>
      <c r="EE657" s="1046"/>
      <c r="EF657" s="1169"/>
      <c r="EG657" s="1168"/>
      <c r="EH657" s="1165"/>
      <c r="EI657" s="1165"/>
      <c r="EJ657" s="1165"/>
      <c r="EK657" s="1031"/>
      <c r="EL657" s="1098">
        <f t="shared" si="1166"/>
        <v>0</v>
      </c>
      <c r="EM657" s="1098">
        <f t="shared" si="1167"/>
        <v>0</v>
      </c>
      <c r="EN657" s="1030"/>
      <c r="EO657" s="1030"/>
      <c r="EP657" s="1031"/>
      <c r="EQ657" s="1050"/>
      <c r="ER657" s="1038"/>
      <c r="ES657" s="1035"/>
      <c r="ET657" s="1051"/>
    </row>
    <row r="658" spans="2:150" ht="16.5" customHeight="1">
      <c r="B658" s="1024"/>
      <c r="C658" s="1025"/>
      <c r="D658" s="408">
        <v>655</v>
      </c>
      <c r="E658" s="1164"/>
      <c r="F658" s="1164"/>
      <c r="G658" s="1026"/>
      <c r="H658" s="411" t="str">
        <f>IFERROR(INDEX(绊状态确认!C:C,MATCH($G658,绊状态确认!$B:$B,)),"")</f>
        <v/>
      </c>
      <c r="I658" s="450" t="str">
        <f>IFERROR(INDEX(绊状态确认!D:D,MATCH($G658,绊状态确认!$B:$B,)),"")</f>
        <v/>
      </c>
      <c r="J658" s="450" t="str">
        <f>IFERROR(INDEX(绊状态确认!E:E,MATCH($G658,绊状态确认!$B:$B,)),"")</f>
        <v/>
      </c>
      <c r="K658" s="451" t="str">
        <f>IFERROR(INDEX(绊状态确认!F:F,MATCH($G658,绊状态确认!$B:$B,)),"")</f>
        <v/>
      </c>
      <c r="L658" s="1026"/>
      <c r="M658" s="1165"/>
      <c r="N658" s="1027"/>
      <c r="O658" s="1026"/>
      <c r="P658" s="1028"/>
      <c r="Q658" s="1029"/>
      <c r="R658" s="1166"/>
      <c r="S658" s="1030"/>
      <c r="T658" s="1031"/>
      <c r="U658" s="1032"/>
      <c r="V658" s="1033"/>
      <c r="W658" s="1034"/>
      <c r="X658" s="1166"/>
      <c r="Y658" s="1035"/>
      <c r="Z658" s="1036"/>
      <c r="AA658" s="1037"/>
      <c r="AB658" s="1038"/>
      <c r="AC658" s="1039"/>
      <c r="AD658" s="1040"/>
      <c r="AE658" s="1041"/>
      <c r="AF658" s="521"/>
      <c r="AG658" s="420"/>
      <c r="AH658" s="420"/>
      <c r="AI658" s="420"/>
      <c r="AJ658" s="420"/>
      <c r="AK658" s="518"/>
      <c r="AL658" s="1042"/>
      <c r="AM658" s="1035"/>
      <c r="AN658" s="1043"/>
      <c r="AO658" s="1167"/>
      <c r="AP658" s="1044"/>
      <c r="AQ658" s="1035"/>
      <c r="AR658" s="1035"/>
      <c r="AS658" s="1035"/>
      <c r="AT658" s="1165"/>
      <c r="AU658" s="1031"/>
      <c r="AV658" s="1045"/>
      <c r="AW658" s="1038"/>
      <c r="AX658" s="1035"/>
      <c r="AY658" s="483"/>
      <c r="AZ658" s="429"/>
      <c r="BA658" s="431"/>
      <c r="BB658" s="1035"/>
      <c r="BC658" s="1035"/>
      <c r="BD658" s="481"/>
      <c r="BE658" s="432"/>
      <c r="BF658" s="646"/>
      <c r="BG658" s="1047"/>
      <c r="BH658" s="1046"/>
      <c r="BI658" s="1048"/>
      <c r="BJ658" s="1030"/>
      <c r="BK658" s="1046"/>
      <c r="BL658" s="1048"/>
      <c r="BM658" s="1046"/>
      <c r="BN658" s="1167"/>
      <c r="BO658" s="1035"/>
      <c r="BP658" s="1043"/>
      <c r="BQ658" s="1167"/>
      <c r="BR658" s="1165"/>
      <c r="BS658" s="1031"/>
      <c r="BT658" s="1038"/>
      <c r="BU658" s="1035"/>
      <c r="BV658" s="1035"/>
      <c r="BW658" s="1049"/>
      <c r="BX658" s="1043"/>
      <c r="BY658" s="1046"/>
      <c r="BZ658" s="1167"/>
      <c r="CA658" s="1165"/>
      <c r="CB658" s="1031"/>
      <c r="CC658" s="1038"/>
      <c r="CD658" s="1035"/>
      <c r="CE658" s="1035"/>
      <c r="CF658" s="1049"/>
      <c r="CG658" s="1043"/>
      <c r="CH658" s="1046"/>
      <c r="CI658" s="1167"/>
      <c r="CJ658" s="1168"/>
      <c r="CK658" s="1169"/>
      <c r="CL658" s="1169"/>
      <c r="CM658" s="1166"/>
      <c r="CN658" s="1169"/>
      <c r="CO658" s="1169"/>
      <c r="CP658" s="452"/>
      <c r="CQ658" s="435"/>
      <c r="CR658" s="1117"/>
      <c r="CS658" s="452"/>
      <c r="CT658" s="482"/>
      <c r="CU658" s="476"/>
      <c r="CV658" s="431"/>
      <c r="CW658" s="1108"/>
      <c r="CX658" s="1108"/>
      <c r="CY658" s="483"/>
      <c r="CZ658" s="437"/>
      <c r="DA658" s="438"/>
      <c r="DB658" s="439"/>
      <c r="DC658" s="439"/>
      <c r="DD658" s="443"/>
      <c r="DE658" s="411"/>
      <c r="DF658" s="411"/>
      <c r="DG658" s="1117"/>
      <c r="DH658" s="1117"/>
      <c r="DI658" s="1117"/>
      <c r="DJ658" s="442"/>
      <c r="DK658" s="482"/>
      <c r="DL658" s="1038"/>
      <c r="DM658" s="1035"/>
      <c r="DN658" s="1035"/>
      <c r="DO658" s="1035"/>
      <c r="DP658" s="1046"/>
      <c r="DQ658" s="1167"/>
      <c r="DR658" s="1168"/>
      <c r="DS658" s="1165"/>
      <c r="DT658" s="1165"/>
      <c r="DU658" s="1165"/>
      <c r="DV658" s="1031"/>
      <c r="DW658" s="1098">
        <f t="shared" si="1164"/>
        <v>0</v>
      </c>
      <c r="DX658" s="1098">
        <f t="shared" si="1165"/>
        <v>0</v>
      </c>
      <c r="DY658" s="1030"/>
      <c r="DZ658" s="1030"/>
      <c r="EA658" s="1031"/>
      <c r="EB658" s="1050"/>
      <c r="EC658" s="1038"/>
      <c r="ED658" s="1035"/>
      <c r="EE658" s="1046"/>
      <c r="EF658" s="1169"/>
      <c r="EG658" s="1168"/>
      <c r="EH658" s="1165"/>
      <c r="EI658" s="1165"/>
      <c r="EJ658" s="1165"/>
      <c r="EK658" s="1031"/>
      <c r="EL658" s="1098">
        <f t="shared" si="1166"/>
        <v>0</v>
      </c>
      <c r="EM658" s="1098">
        <f t="shared" si="1167"/>
        <v>0</v>
      </c>
      <c r="EN658" s="1030"/>
      <c r="EO658" s="1030"/>
      <c r="EP658" s="1031"/>
      <c r="EQ658" s="1050"/>
      <c r="ER658" s="1038"/>
      <c r="ES658" s="1035"/>
      <c r="ET658" s="1051"/>
    </row>
    <row r="659" spans="2:150" ht="16.5" customHeight="1">
      <c r="B659" s="1024"/>
      <c r="C659" s="1025"/>
      <c r="D659" s="408">
        <v>656</v>
      </c>
      <c r="E659" s="1164"/>
      <c r="F659" s="1164"/>
      <c r="G659" s="1026"/>
      <c r="H659" s="411" t="str">
        <f>IFERROR(INDEX(绊状态确认!C:C,MATCH($G659,绊状态确认!$B:$B,)),"")</f>
        <v/>
      </c>
      <c r="I659" s="450" t="str">
        <f>IFERROR(INDEX(绊状态确认!D:D,MATCH($G659,绊状态确认!$B:$B,)),"")</f>
        <v/>
      </c>
      <c r="J659" s="450" t="str">
        <f>IFERROR(INDEX(绊状态确认!E:E,MATCH($G659,绊状态确认!$B:$B,)),"")</f>
        <v/>
      </c>
      <c r="K659" s="451" t="str">
        <f>IFERROR(INDEX(绊状态确认!F:F,MATCH($G659,绊状态确认!$B:$B,)),"")</f>
        <v/>
      </c>
      <c r="L659" s="1026"/>
      <c r="M659" s="1165"/>
      <c r="N659" s="1027"/>
      <c r="O659" s="1026"/>
      <c r="P659" s="1028"/>
      <c r="Q659" s="1029"/>
      <c r="R659" s="1166"/>
      <c r="S659" s="1030"/>
      <c r="T659" s="1031"/>
      <c r="U659" s="1032"/>
      <c r="V659" s="1033"/>
      <c r="W659" s="1034"/>
      <c r="X659" s="1166"/>
      <c r="Y659" s="1035"/>
      <c r="Z659" s="1036"/>
      <c r="AA659" s="1037"/>
      <c r="AB659" s="1038"/>
      <c r="AC659" s="1039"/>
      <c r="AD659" s="1040"/>
      <c r="AE659" s="1041"/>
      <c r="AF659" s="521"/>
      <c r="AG659" s="420"/>
      <c r="AH659" s="420"/>
      <c r="AI659" s="420"/>
      <c r="AJ659" s="420"/>
      <c r="AK659" s="518"/>
      <c r="AL659" s="1042"/>
      <c r="AM659" s="1035"/>
      <c r="AN659" s="1043"/>
      <c r="AO659" s="1167"/>
      <c r="AP659" s="1044"/>
      <c r="AQ659" s="1035"/>
      <c r="AR659" s="1035"/>
      <c r="AS659" s="1035"/>
      <c r="AT659" s="1165"/>
      <c r="AU659" s="1031"/>
      <c r="AV659" s="1045"/>
      <c r="AW659" s="1038"/>
      <c r="AX659" s="1035"/>
      <c r="AY659" s="483"/>
      <c r="AZ659" s="429"/>
      <c r="BA659" s="431"/>
      <c r="BB659" s="1035"/>
      <c r="BC659" s="1035"/>
      <c r="BD659" s="481"/>
      <c r="BE659" s="432"/>
      <c r="BF659" s="646"/>
      <c r="BG659" s="1047"/>
      <c r="BH659" s="1046"/>
      <c r="BI659" s="1048"/>
      <c r="BJ659" s="1030"/>
      <c r="BK659" s="1046"/>
      <c r="BL659" s="1048"/>
      <c r="BM659" s="1046"/>
      <c r="BN659" s="1167"/>
      <c r="BO659" s="1035"/>
      <c r="BP659" s="1043"/>
      <c r="BQ659" s="1167"/>
      <c r="BR659" s="1165"/>
      <c r="BS659" s="1031"/>
      <c r="BT659" s="1038"/>
      <c r="BU659" s="1035"/>
      <c r="BV659" s="1035"/>
      <c r="BW659" s="1049"/>
      <c r="BX659" s="1043"/>
      <c r="BY659" s="1046"/>
      <c r="BZ659" s="1167"/>
      <c r="CA659" s="1165"/>
      <c r="CB659" s="1031"/>
      <c r="CC659" s="1038"/>
      <c r="CD659" s="1035"/>
      <c r="CE659" s="1035"/>
      <c r="CF659" s="1049"/>
      <c r="CG659" s="1043"/>
      <c r="CH659" s="1046"/>
      <c r="CI659" s="1167"/>
      <c r="CJ659" s="1168"/>
      <c r="CK659" s="1169"/>
      <c r="CL659" s="1169"/>
      <c r="CM659" s="1166"/>
      <c r="CN659" s="1169"/>
      <c r="CO659" s="1169"/>
      <c r="CP659" s="452"/>
      <c r="CQ659" s="435"/>
      <c r="CR659" s="1117"/>
      <c r="CS659" s="452"/>
      <c r="CT659" s="482"/>
      <c r="CU659" s="476"/>
      <c r="CV659" s="431"/>
      <c r="CW659" s="1108"/>
      <c r="CX659" s="1108"/>
      <c r="CY659" s="483"/>
      <c r="CZ659" s="437"/>
      <c r="DA659" s="438"/>
      <c r="DB659" s="439"/>
      <c r="DC659" s="439"/>
      <c r="DD659" s="443"/>
      <c r="DE659" s="411"/>
      <c r="DF659" s="411"/>
      <c r="DG659" s="1117"/>
      <c r="DH659" s="1117"/>
      <c r="DI659" s="1117"/>
      <c r="DJ659" s="442"/>
      <c r="DK659" s="482"/>
      <c r="DL659" s="1038"/>
      <c r="DM659" s="1035"/>
      <c r="DN659" s="1035"/>
      <c r="DO659" s="1035"/>
      <c r="DP659" s="1046"/>
      <c r="DQ659" s="1167"/>
      <c r="DR659" s="1168"/>
      <c r="DS659" s="1165"/>
      <c r="DT659" s="1165"/>
      <c r="DU659" s="1165"/>
      <c r="DV659" s="1031"/>
      <c r="DW659" s="1098">
        <f t="shared" si="1164"/>
        <v>0</v>
      </c>
      <c r="DX659" s="1098">
        <f t="shared" si="1165"/>
        <v>0</v>
      </c>
      <c r="DY659" s="1030"/>
      <c r="DZ659" s="1030"/>
      <c r="EA659" s="1031"/>
      <c r="EB659" s="1050"/>
      <c r="EC659" s="1038"/>
      <c r="ED659" s="1035"/>
      <c r="EE659" s="1046"/>
      <c r="EF659" s="1169"/>
      <c r="EG659" s="1168"/>
      <c r="EH659" s="1165"/>
      <c r="EI659" s="1165"/>
      <c r="EJ659" s="1165"/>
      <c r="EK659" s="1031"/>
      <c r="EL659" s="1098">
        <f t="shared" si="1166"/>
        <v>0</v>
      </c>
      <c r="EM659" s="1098">
        <f t="shared" si="1167"/>
        <v>0</v>
      </c>
      <c r="EN659" s="1030"/>
      <c r="EO659" s="1030"/>
      <c r="EP659" s="1031"/>
      <c r="EQ659" s="1050"/>
      <c r="ER659" s="1038"/>
      <c r="ES659" s="1035"/>
      <c r="ET659" s="1051"/>
    </row>
    <row r="660" spans="2:150" ht="16.5" customHeight="1">
      <c r="B660" s="1024"/>
      <c r="C660" s="1025"/>
      <c r="D660" s="408">
        <v>657</v>
      </c>
      <c r="E660" s="1164"/>
      <c r="F660" s="1164"/>
      <c r="G660" s="1026"/>
      <c r="H660" s="411" t="str">
        <f>IFERROR(INDEX(绊状态确认!C:C,MATCH($G660,绊状态确认!$B:$B,)),"")</f>
        <v/>
      </c>
      <c r="I660" s="450" t="str">
        <f>IFERROR(INDEX(绊状态确认!D:D,MATCH($G660,绊状态确认!$B:$B,)),"")</f>
        <v/>
      </c>
      <c r="J660" s="450" t="str">
        <f>IFERROR(INDEX(绊状态确认!E:E,MATCH($G660,绊状态确认!$B:$B,)),"")</f>
        <v/>
      </c>
      <c r="K660" s="451" t="str">
        <f>IFERROR(INDEX(绊状态确认!F:F,MATCH($G660,绊状态确认!$B:$B,)),"")</f>
        <v/>
      </c>
      <c r="L660" s="1026"/>
      <c r="M660" s="1165"/>
      <c r="N660" s="1027"/>
      <c r="O660" s="1026"/>
      <c r="P660" s="1028"/>
      <c r="Q660" s="1029"/>
      <c r="R660" s="1166"/>
      <c r="S660" s="1030"/>
      <c r="T660" s="1031"/>
      <c r="U660" s="1032"/>
      <c r="V660" s="1033"/>
      <c r="W660" s="1034"/>
      <c r="X660" s="1166"/>
      <c r="Y660" s="1035"/>
      <c r="Z660" s="1036"/>
      <c r="AA660" s="1037"/>
      <c r="AB660" s="1038"/>
      <c r="AC660" s="1039"/>
      <c r="AD660" s="1040"/>
      <c r="AE660" s="1041"/>
      <c r="AF660" s="521"/>
      <c r="AG660" s="420"/>
      <c r="AH660" s="420"/>
      <c r="AI660" s="420"/>
      <c r="AJ660" s="420"/>
      <c r="AK660" s="518"/>
      <c r="AL660" s="1042"/>
      <c r="AM660" s="1035"/>
      <c r="AN660" s="1043"/>
      <c r="AO660" s="1167"/>
      <c r="AP660" s="1044"/>
      <c r="AQ660" s="1035"/>
      <c r="AR660" s="1035"/>
      <c r="AS660" s="1035"/>
      <c r="AT660" s="1165"/>
      <c r="AU660" s="1031"/>
      <c r="AV660" s="1045"/>
      <c r="AW660" s="1038"/>
      <c r="AX660" s="1035"/>
      <c r="AY660" s="483"/>
      <c r="AZ660" s="429"/>
      <c r="BA660" s="431"/>
      <c r="BB660" s="1035"/>
      <c r="BC660" s="1035"/>
      <c r="BD660" s="481"/>
      <c r="BE660" s="432"/>
      <c r="BF660" s="646"/>
      <c r="BG660" s="1047"/>
      <c r="BH660" s="1046"/>
      <c r="BI660" s="1048"/>
      <c r="BJ660" s="1030"/>
      <c r="BK660" s="1046"/>
      <c r="BL660" s="1048"/>
      <c r="BM660" s="1046"/>
      <c r="BN660" s="1167"/>
      <c r="BO660" s="1035"/>
      <c r="BP660" s="1043"/>
      <c r="BQ660" s="1167"/>
      <c r="BR660" s="1165"/>
      <c r="BS660" s="1031"/>
      <c r="BT660" s="1038"/>
      <c r="BU660" s="1035"/>
      <c r="BV660" s="1035"/>
      <c r="BW660" s="1049"/>
      <c r="BX660" s="1043"/>
      <c r="BY660" s="1046"/>
      <c r="BZ660" s="1167"/>
      <c r="CA660" s="1165"/>
      <c r="CB660" s="1031"/>
      <c r="CC660" s="1038"/>
      <c r="CD660" s="1035"/>
      <c r="CE660" s="1035"/>
      <c r="CF660" s="1049"/>
      <c r="CG660" s="1043"/>
      <c r="CH660" s="1046"/>
      <c r="CI660" s="1167"/>
      <c r="CJ660" s="1168"/>
      <c r="CK660" s="1169"/>
      <c r="CL660" s="1169"/>
      <c r="CM660" s="1166"/>
      <c r="CN660" s="1169"/>
      <c r="CO660" s="1169"/>
      <c r="CP660" s="452"/>
      <c r="CQ660" s="435"/>
      <c r="CR660" s="441"/>
      <c r="CS660" s="452"/>
      <c r="CT660" s="482"/>
      <c r="CU660" s="476"/>
      <c r="CV660" s="431"/>
      <c r="CW660" s="1108"/>
      <c r="CX660" s="1108"/>
      <c r="CY660" s="483"/>
      <c r="CZ660" s="437"/>
      <c r="DA660" s="438"/>
      <c r="DB660" s="439"/>
      <c r="DC660" s="439"/>
      <c r="DD660" s="443"/>
      <c r="DE660" s="411"/>
      <c r="DF660" s="411"/>
      <c r="DG660" s="1117"/>
      <c r="DH660" s="1117"/>
      <c r="DI660" s="1117"/>
      <c r="DJ660" s="442"/>
      <c r="DK660" s="482"/>
      <c r="DL660" s="1038"/>
      <c r="DM660" s="1035"/>
      <c r="DN660" s="1035"/>
      <c r="DO660" s="1035"/>
      <c r="DP660" s="1046"/>
      <c r="DQ660" s="1167"/>
      <c r="DR660" s="1168"/>
      <c r="DS660" s="1165"/>
      <c r="DT660" s="1165"/>
      <c r="DU660" s="1165"/>
      <c r="DV660" s="1031"/>
      <c r="DW660" s="1098">
        <f t="shared" si="1164"/>
        <v>0</v>
      </c>
      <c r="DX660" s="1098">
        <f t="shared" si="1165"/>
        <v>0</v>
      </c>
      <c r="DY660" s="1030"/>
      <c r="DZ660" s="1030"/>
      <c r="EA660" s="1031"/>
      <c r="EB660" s="1050"/>
      <c r="EC660" s="1038"/>
      <c r="ED660" s="1035"/>
      <c r="EE660" s="1046"/>
      <c r="EF660" s="1169"/>
      <c r="EG660" s="1168"/>
      <c r="EH660" s="1165"/>
      <c r="EI660" s="1165"/>
      <c r="EJ660" s="1165"/>
      <c r="EK660" s="1031"/>
      <c r="EL660" s="1098">
        <f t="shared" si="1166"/>
        <v>0</v>
      </c>
      <c r="EM660" s="1098">
        <f t="shared" si="1167"/>
        <v>0</v>
      </c>
      <c r="EN660" s="1030"/>
      <c r="EO660" s="1030"/>
      <c r="EP660" s="1031"/>
      <c r="EQ660" s="1050"/>
      <c r="ER660" s="1038"/>
      <c r="ES660" s="1035"/>
      <c r="ET660" s="1051"/>
    </row>
    <row r="661" spans="2:150" ht="16.5" customHeight="1">
      <c r="B661" s="1024"/>
      <c r="C661" s="1025"/>
      <c r="D661" s="408">
        <v>658</v>
      </c>
      <c r="E661" s="1164"/>
      <c r="F661" s="1164"/>
      <c r="G661" s="1026"/>
      <c r="H661" s="411" t="str">
        <f>IFERROR(INDEX(绊状态确认!C:C,MATCH($G661,绊状态确认!$B:$B,)),"")</f>
        <v/>
      </c>
      <c r="I661" s="450" t="str">
        <f>IFERROR(INDEX(绊状态确认!D:D,MATCH($G661,绊状态确认!$B:$B,)),"")</f>
        <v/>
      </c>
      <c r="J661" s="450" t="str">
        <f>IFERROR(INDEX(绊状态确认!E:E,MATCH($G661,绊状态确认!$B:$B,)),"")</f>
        <v/>
      </c>
      <c r="K661" s="451" t="str">
        <f>IFERROR(INDEX(绊状态确认!F:F,MATCH($G661,绊状态确认!$B:$B,)),"")</f>
        <v/>
      </c>
      <c r="L661" s="1026"/>
      <c r="M661" s="1165"/>
      <c r="N661" s="1027"/>
      <c r="O661" s="1026"/>
      <c r="P661" s="1028"/>
      <c r="Q661" s="1029"/>
      <c r="R661" s="1166"/>
      <c r="S661" s="1030"/>
      <c r="T661" s="1031"/>
      <c r="U661" s="1032"/>
      <c r="V661" s="1033"/>
      <c r="W661" s="1034"/>
      <c r="X661" s="1166"/>
      <c r="Y661" s="1035"/>
      <c r="Z661" s="1036"/>
      <c r="AA661" s="1037"/>
      <c r="AB661" s="1038"/>
      <c r="AC661" s="1039"/>
      <c r="AD661" s="1040"/>
      <c r="AE661" s="1041"/>
      <c r="AF661" s="521"/>
      <c r="AG661" s="420"/>
      <c r="AH661" s="420"/>
      <c r="AI661" s="420"/>
      <c r="AJ661" s="420"/>
      <c r="AK661" s="518"/>
      <c r="AL661" s="1042"/>
      <c r="AM661" s="1035"/>
      <c r="AN661" s="1043"/>
      <c r="AO661" s="1167"/>
      <c r="AP661" s="1044"/>
      <c r="AQ661" s="1035"/>
      <c r="AR661" s="1035"/>
      <c r="AS661" s="1035"/>
      <c r="AT661" s="1165"/>
      <c r="AU661" s="1031"/>
      <c r="AV661" s="1045"/>
      <c r="AW661" s="1038"/>
      <c r="AX661" s="1035"/>
      <c r="AY661" s="483"/>
      <c r="AZ661" s="429"/>
      <c r="BA661" s="431"/>
      <c r="BB661" s="1035"/>
      <c r="BC661" s="1035"/>
      <c r="BD661" s="481"/>
      <c r="BE661" s="432"/>
      <c r="BF661" s="646"/>
      <c r="BG661" s="1047"/>
      <c r="BH661" s="1046"/>
      <c r="BI661" s="1048"/>
      <c r="BJ661" s="1030"/>
      <c r="BK661" s="1046"/>
      <c r="BL661" s="1048"/>
      <c r="BM661" s="1046"/>
      <c r="BN661" s="1167"/>
      <c r="BO661" s="1035"/>
      <c r="BP661" s="1043"/>
      <c r="BQ661" s="1167"/>
      <c r="BR661" s="1165"/>
      <c r="BS661" s="1031"/>
      <c r="BT661" s="1038"/>
      <c r="BU661" s="1035"/>
      <c r="BV661" s="1035"/>
      <c r="BW661" s="1049"/>
      <c r="BX661" s="1043"/>
      <c r="BY661" s="1046"/>
      <c r="BZ661" s="1167"/>
      <c r="CA661" s="1165"/>
      <c r="CB661" s="1031"/>
      <c r="CC661" s="1038"/>
      <c r="CD661" s="1035"/>
      <c r="CE661" s="1035"/>
      <c r="CF661" s="1049"/>
      <c r="CG661" s="1043"/>
      <c r="CH661" s="1046"/>
      <c r="CI661" s="1167"/>
      <c r="CJ661" s="1168"/>
      <c r="CK661" s="1169"/>
      <c r="CL661" s="1169"/>
      <c r="CM661" s="1166"/>
      <c r="CN661" s="1169"/>
      <c r="CO661" s="1169"/>
      <c r="CP661" s="452"/>
      <c r="CQ661" s="435"/>
      <c r="CR661" s="1117"/>
      <c r="CS661" s="452"/>
      <c r="CT661" s="482"/>
      <c r="CU661" s="476"/>
      <c r="CV661" s="431"/>
      <c r="CW661" s="1108"/>
      <c r="CX661" s="1108"/>
      <c r="CY661" s="483"/>
      <c r="CZ661" s="437"/>
      <c r="DA661" s="438"/>
      <c r="DB661" s="439"/>
      <c r="DC661" s="439"/>
      <c r="DD661" s="443"/>
      <c r="DE661" s="411"/>
      <c r="DF661" s="411"/>
      <c r="DG661" s="1117"/>
      <c r="DH661" s="1117"/>
      <c r="DI661" s="1117"/>
      <c r="DJ661" s="442"/>
      <c r="DK661" s="482"/>
      <c r="DL661" s="1038"/>
      <c r="DM661" s="1035"/>
      <c r="DN661" s="1035"/>
      <c r="DO661" s="1035"/>
      <c r="DP661" s="1046"/>
      <c r="DQ661" s="1167"/>
      <c r="DR661" s="1168"/>
      <c r="DS661" s="1165"/>
      <c r="DT661" s="1165"/>
      <c r="DU661" s="1165"/>
      <c r="DV661" s="1031"/>
      <c r="DW661" s="1098">
        <f t="shared" si="1164"/>
        <v>0</v>
      </c>
      <c r="DX661" s="1098">
        <f t="shared" si="1165"/>
        <v>0</v>
      </c>
      <c r="DY661" s="1030"/>
      <c r="DZ661" s="1030"/>
      <c r="EA661" s="1031"/>
      <c r="EB661" s="1050"/>
      <c r="EC661" s="1038"/>
      <c r="ED661" s="1035"/>
      <c r="EE661" s="1046"/>
      <c r="EF661" s="1169"/>
      <c r="EG661" s="1168"/>
      <c r="EH661" s="1165"/>
      <c r="EI661" s="1165"/>
      <c r="EJ661" s="1165"/>
      <c r="EK661" s="1031"/>
      <c r="EL661" s="1098">
        <f t="shared" si="1166"/>
        <v>0</v>
      </c>
      <c r="EM661" s="1098">
        <f t="shared" si="1167"/>
        <v>0</v>
      </c>
      <c r="EN661" s="1030"/>
      <c r="EO661" s="1030"/>
      <c r="EP661" s="1031"/>
      <c r="EQ661" s="1050"/>
      <c r="ER661" s="1038"/>
      <c r="ES661" s="1035"/>
      <c r="ET661" s="1051"/>
    </row>
    <row r="662" spans="2:150" ht="16.5" customHeight="1">
      <c r="B662" s="1024"/>
      <c r="C662" s="1025"/>
      <c r="D662" s="408">
        <v>659</v>
      </c>
      <c r="E662" s="1164"/>
      <c r="F662" s="1164"/>
      <c r="G662" s="1026"/>
      <c r="H662" s="411" t="str">
        <f>IFERROR(INDEX(绊状态确认!C:C,MATCH($G662,绊状态确认!$B:$B,)),"")</f>
        <v/>
      </c>
      <c r="I662" s="450" t="str">
        <f>IFERROR(INDEX(绊状态确认!D:D,MATCH($G662,绊状态确认!$B:$B,)),"")</f>
        <v/>
      </c>
      <c r="J662" s="450" t="str">
        <f>IFERROR(INDEX(绊状态确认!E:E,MATCH($G662,绊状态确认!$B:$B,)),"")</f>
        <v/>
      </c>
      <c r="K662" s="451" t="str">
        <f>IFERROR(INDEX(绊状态确认!F:F,MATCH($G662,绊状态确认!$B:$B,)),"")</f>
        <v/>
      </c>
      <c r="L662" s="1026"/>
      <c r="M662" s="1165"/>
      <c r="N662" s="1027"/>
      <c r="O662" s="1026"/>
      <c r="P662" s="1028"/>
      <c r="Q662" s="1029"/>
      <c r="R662" s="1166"/>
      <c r="S662" s="1030"/>
      <c r="T662" s="1031"/>
      <c r="U662" s="1032"/>
      <c r="V662" s="1033"/>
      <c r="W662" s="1034"/>
      <c r="X662" s="1166"/>
      <c r="Y662" s="1035"/>
      <c r="Z662" s="1036"/>
      <c r="AA662" s="1037"/>
      <c r="AB662" s="1038"/>
      <c r="AC662" s="1039"/>
      <c r="AD662" s="1040"/>
      <c r="AE662" s="1041"/>
      <c r="AF662" s="521"/>
      <c r="AG662" s="420"/>
      <c r="AH662" s="420"/>
      <c r="AI662" s="420"/>
      <c r="AJ662" s="420"/>
      <c r="AK662" s="518"/>
      <c r="AL662" s="1042"/>
      <c r="AM662" s="1035"/>
      <c r="AN662" s="1043"/>
      <c r="AO662" s="1167"/>
      <c r="AP662" s="1044"/>
      <c r="AQ662" s="1035"/>
      <c r="AR662" s="1035"/>
      <c r="AS662" s="1035"/>
      <c r="AT662" s="1165"/>
      <c r="AU662" s="1031"/>
      <c r="AV662" s="1045"/>
      <c r="AW662" s="1038"/>
      <c r="AX662" s="1035"/>
      <c r="AY662" s="483"/>
      <c r="AZ662" s="429"/>
      <c r="BA662" s="431"/>
      <c r="BB662" s="1035"/>
      <c r="BC662" s="1035"/>
      <c r="BD662" s="481"/>
      <c r="BE662" s="432"/>
      <c r="BF662" s="646"/>
      <c r="BG662" s="1047"/>
      <c r="BH662" s="1046"/>
      <c r="BI662" s="1048"/>
      <c r="BJ662" s="1030"/>
      <c r="BK662" s="1046"/>
      <c r="BL662" s="1048"/>
      <c r="BM662" s="1046"/>
      <c r="BN662" s="1167"/>
      <c r="BO662" s="1035"/>
      <c r="BP662" s="1043"/>
      <c r="BQ662" s="1167"/>
      <c r="BR662" s="1165"/>
      <c r="BS662" s="1031"/>
      <c r="BT662" s="1038"/>
      <c r="BU662" s="1035"/>
      <c r="BV662" s="1035"/>
      <c r="BW662" s="1049"/>
      <c r="BX662" s="1043"/>
      <c r="BY662" s="1046"/>
      <c r="BZ662" s="1167"/>
      <c r="CA662" s="1165"/>
      <c r="CB662" s="1031"/>
      <c r="CC662" s="1038"/>
      <c r="CD662" s="1035"/>
      <c r="CE662" s="1035"/>
      <c r="CF662" s="1049"/>
      <c r="CG662" s="1043"/>
      <c r="CH662" s="1046"/>
      <c r="CI662" s="1167"/>
      <c r="CJ662" s="1168"/>
      <c r="CK662" s="1169"/>
      <c r="CL662" s="1169"/>
      <c r="CM662" s="1166"/>
      <c r="CN662" s="1169"/>
      <c r="CO662" s="1169"/>
      <c r="CP662" s="452"/>
      <c r="CQ662" s="435"/>
      <c r="CR662" s="441"/>
      <c r="CS662" s="452"/>
      <c r="CT662" s="482"/>
      <c r="CU662" s="476"/>
      <c r="CV662" s="431"/>
      <c r="CW662" s="1108"/>
      <c r="CX662" s="1108"/>
      <c r="CY662" s="483"/>
      <c r="CZ662" s="437"/>
      <c r="DA662" s="438"/>
      <c r="DB662" s="439"/>
      <c r="DC662" s="439"/>
      <c r="DD662" s="443"/>
      <c r="DE662" s="411"/>
      <c r="DF662" s="411"/>
      <c r="DG662" s="1117"/>
      <c r="DH662" s="1117"/>
      <c r="DI662" s="1117"/>
      <c r="DJ662" s="442"/>
      <c r="DK662" s="482"/>
      <c r="DL662" s="1038"/>
      <c r="DM662" s="1035"/>
      <c r="DN662" s="1035"/>
      <c r="DO662" s="1035"/>
      <c r="DP662" s="1046"/>
      <c r="DQ662" s="1167"/>
      <c r="DR662" s="1168"/>
      <c r="DS662" s="1165"/>
      <c r="DT662" s="1165"/>
      <c r="DU662" s="1165"/>
      <c r="DV662" s="1031"/>
      <c r="DW662" s="1098">
        <f t="shared" si="1164"/>
        <v>0</v>
      </c>
      <c r="DX662" s="1098">
        <f t="shared" si="1165"/>
        <v>0</v>
      </c>
      <c r="DY662" s="1030"/>
      <c r="DZ662" s="1030"/>
      <c r="EA662" s="1031"/>
      <c r="EB662" s="1050"/>
      <c r="EC662" s="1038"/>
      <c r="ED662" s="1035"/>
      <c r="EE662" s="1046"/>
      <c r="EF662" s="1169"/>
      <c r="EG662" s="1168"/>
      <c r="EH662" s="1165"/>
      <c r="EI662" s="1165"/>
      <c r="EJ662" s="1165"/>
      <c r="EK662" s="1031"/>
      <c r="EL662" s="1098">
        <f t="shared" si="1166"/>
        <v>0</v>
      </c>
      <c r="EM662" s="1098">
        <f t="shared" si="1167"/>
        <v>0</v>
      </c>
      <c r="EN662" s="1030"/>
      <c r="EO662" s="1030"/>
      <c r="EP662" s="1031"/>
      <c r="EQ662" s="1050"/>
      <c r="ER662" s="1038"/>
      <c r="ES662" s="1035"/>
      <c r="ET662" s="1051"/>
    </row>
    <row r="663" spans="2:150" ht="16.5" customHeight="1">
      <c r="B663" s="1024"/>
      <c r="C663" s="1025"/>
      <c r="D663" s="408">
        <v>660</v>
      </c>
      <c r="E663" s="1164"/>
      <c r="F663" s="1164"/>
      <c r="G663" s="1026"/>
      <c r="H663" s="411" t="str">
        <f>IFERROR(INDEX(绊状态确认!C:C,MATCH($G663,绊状态确认!$B:$B,)),"")</f>
        <v/>
      </c>
      <c r="I663" s="450" t="str">
        <f>IFERROR(INDEX(绊状态确认!D:D,MATCH($G663,绊状态确认!$B:$B,)),"")</f>
        <v/>
      </c>
      <c r="J663" s="450" t="str">
        <f>IFERROR(INDEX(绊状态确认!E:E,MATCH($G663,绊状态确认!$B:$B,)),"")</f>
        <v/>
      </c>
      <c r="K663" s="451" t="str">
        <f>IFERROR(INDEX(绊状态确认!F:F,MATCH($G663,绊状态确认!$B:$B,)),"")</f>
        <v/>
      </c>
      <c r="L663" s="1026"/>
      <c r="M663" s="1165"/>
      <c r="N663" s="1027"/>
      <c r="O663" s="1026"/>
      <c r="P663" s="1028"/>
      <c r="Q663" s="1029"/>
      <c r="R663" s="1166"/>
      <c r="S663" s="1030"/>
      <c r="T663" s="1031"/>
      <c r="U663" s="1032"/>
      <c r="V663" s="1033"/>
      <c r="W663" s="1034"/>
      <c r="X663" s="1166"/>
      <c r="Y663" s="1035"/>
      <c r="Z663" s="1036"/>
      <c r="AA663" s="1037"/>
      <c r="AB663" s="1038"/>
      <c r="AC663" s="1039"/>
      <c r="AD663" s="1040"/>
      <c r="AE663" s="1041"/>
      <c r="AF663" s="521"/>
      <c r="AG663" s="420"/>
      <c r="AH663" s="420"/>
      <c r="AI663" s="420"/>
      <c r="AJ663" s="420"/>
      <c r="AK663" s="518"/>
      <c r="AL663" s="1042"/>
      <c r="AM663" s="1035"/>
      <c r="AN663" s="1043"/>
      <c r="AO663" s="1167"/>
      <c r="AP663" s="1044"/>
      <c r="AQ663" s="1035"/>
      <c r="AR663" s="1035"/>
      <c r="AS663" s="1035"/>
      <c r="AT663" s="1165"/>
      <c r="AU663" s="1031"/>
      <c r="AV663" s="1045"/>
      <c r="AW663" s="1038"/>
      <c r="AX663" s="1035"/>
      <c r="AY663" s="483"/>
      <c r="AZ663" s="429"/>
      <c r="BA663" s="431"/>
      <c r="BB663" s="1035"/>
      <c r="BC663" s="1035"/>
      <c r="BD663" s="481"/>
      <c r="BE663" s="432"/>
      <c r="BF663" s="646"/>
      <c r="BG663" s="1047"/>
      <c r="BH663" s="1046"/>
      <c r="BI663" s="1048"/>
      <c r="BJ663" s="1030"/>
      <c r="BK663" s="1046"/>
      <c r="BL663" s="1048"/>
      <c r="BM663" s="1046"/>
      <c r="BN663" s="1167"/>
      <c r="BO663" s="1035"/>
      <c r="BP663" s="1043"/>
      <c r="BQ663" s="1167"/>
      <c r="BR663" s="1165"/>
      <c r="BS663" s="1031"/>
      <c r="BT663" s="1038"/>
      <c r="BU663" s="1035"/>
      <c r="BV663" s="1035"/>
      <c r="BW663" s="1049"/>
      <c r="BX663" s="1043"/>
      <c r="BY663" s="1046"/>
      <c r="BZ663" s="1167"/>
      <c r="CA663" s="1165"/>
      <c r="CB663" s="1031"/>
      <c r="CC663" s="1038"/>
      <c r="CD663" s="1035"/>
      <c r="CE663" s="1035"/>
      <c r="CF663" s="1049"/>
      <c r="CG663" s="1043"/>
      <c r="CH663" s="1046"/>
      <c r="CI663" s="1167"/>
      <c r="CJ663" s="1168"/>
      <c r="CK663" s="1169"/>
      <c r="CL663" s="1169"/>
      <c r="CM663" s="1166"/>
      <c r="CN663" s="1169"/>
      <c r="CO663" s="1169"/>
      <c r="CP663" s="452"/>
      <c r="CQ663" s="435"/>
      <c r="CR663" s="1117"/>
      <c r="CS663" s="452"/>
      <c r="CT663" s="482"/>
      <c r="CU663" s="476"/>
      <c r="CV663" s="431"/>
      <c r="CW663" s="1108"/>
      <c r="CX663" s="1108"/>
      <c r="CY663" s="483"/>
      <c r="CZ663" s="437"/>
      <c r="DA663" s="438"/>
      <c r="DB663" s="439"/>
      <c r="DC663" s="439"/>
      <c r="DD663" s="443"/>
      <c r="DE663" s="411"/>
      <c r="DF663" s="411"/>
      <c r="DG663" s="1117"/>
      <c r="DH663" s="1117"/>
      <c r="DI663" s="1117"/>
      <c r="DJ663" s="442"/>
      <c r="DK663" s="482"/>
      <c r="DL663" s="1038"/>
      <c r="DM663" s="1035"/>
      <c r="DN663" s="1035"/>
      <c r="DO663" s="1035"/>
      <c r="DP663" s="1046"/>
      <c r="DQ663" s="1167"/>
      <c r="DR663" s="1168"/>
      <c r="DS663" s="1165"/>
      <c r="DT663" s="1165"/>
      <c r="DU663" s="1165"/>
      <c r="DV663" s="1031"/>
      <c r="DW663" s="1098">
        <f t="shared" si="1164"/>
        <v>0</v>
      </c>
      <c r="DX663" s="1098">
        <f t="shared" si="1165"/>
        <v>0</v>
      </c>
      <c r="DY663" s="1030"/>
      <c r="DZ663" s="1030"/>
      <c r="EA663" s="1031"/>
      <c r="EB663" s="1050"/>
      <c r="EC663" s="1038"/>
      <c r="ED663" s="1035"/>
      <c r="EE663" s="1046"/>
      <c r="EF663" s="1169"/>
      <c r="EG663" s="1168"/>
      <c r="EH663" s="1165"/>
      <c r="EI663" s="1165"/>
      <c r="EJ663" s="1165"/>
      <c r="EK663" s="1031"/>
      <c r="EL663" s="1098">
        <f t="shared" si="1166"/>
        <v>0</v>
      </c>
      <c r="EM663" s="1098">
        <f t="shared" si="1167"/>
        <v>0</v>
      </c>
      <c r="EN663" s="1030"/>
      <c r="EO663" s="1030"/>
      <c r="EP663" s="1031"/>
      <c r="EQ663" s="1050"/>
      <c r="ER663" s="1038"/>
      <c r="ES663" s="1035"/>
      <c r="ET663" s="1051"/>
    </row>
    <row r="664" spans="2:150" ht="16.5" customHeight="1">
      <c r="B664" s="1024"/>
      <c r="C664" s="1025"/>
      <c r="D664" s="408">
        <v>661</v>
      </c>
      <c r="E664" s="1164"/>
      <c r="F664" s="1164"/>
      <c r="G664" s="1026"/>
      <c r="H664" s="411" t="str">
        <f>IFERROR(INDEX(绊状态确认!C:C,MATCH($G664,绊状态确认!$B:$B,)),"")</f>
        <v/>
      </c>
      <c r="I664" s="450" t="str">
        <f>IFERROR(INDEX(绊状态确认!D:D,MATCH($G664,绊状态确认!$B:$B,)),"")</f>
        <v/>
      </c>
      <c r="J664" s="450" t="str">
        <f>IFERROR(INDEX(绊状态确认!E:E,MATCH($G664,绊状态确认!$B:$B,)),"")</f>
        <v/>
      </c>
      <c r="K664" s="451" t="str">
        <f>IFERROR(INDEX(绊状态确认!F:F,MATCH($G664,绊状态确认!$B:$B,)),"")</f>
        <v/>
      </c>
      <c r="L664" s="1026"/>
      <c r="M664" s="1165"/>
      <c r="N664" s="1027"/>
      <c r="O664" s="1026"/>
      <c r="P664" s="1028"/>
      <c r="Q664" s="1029"/>
      <c r="R664" s="1166"/>
      <c r="S664" s="1030"/>
      <c r="T664" s="1031"/>
      <c r="U664" s="1032"/>
      <c r="V664" s="1033"/>
      <c r="W664" s="1034"/>
      <c r="X664" s="1166"/>
      <c r="Y664" s="1035"/>
      <c r="Z664" s="1036"/>
      <c r="AA664" s="1037"/>
      <c r="AB664" s="1038"/>
      <c r="AC664" s="1039"/>
      <c r="AD664" s="1040"/>
      <c r="AE664" s="1041"/>
      <c r="AF664" s="521"/>
      <c r="AG664" s="420"/>
      <c r="AH664" s="420"/>
      <c r="AI664" s="420"/>
      <c r="AJ664" s="420"/>
      <c r="AK664" s="518"/>
      <c r="AL664" s="1042"/>
      <c r="AM664" s="1035"/>
      <c r="AN664" s="1043"/>
      <c r="AO664" s="1167"/>
      <c r="AP664" s="1044"/>
      <c r="AQ664" s="1035"/>
      <c r="AR664" s="1035"/>
      <c r="AS664" s="1035"/>
      <c r="AT664" s="1165"/>
      <c r="AU664" s="1031"/>
      <c r="AV664" s="1045"/>
      <c r="AW664" s="1038"/>
      <c r="AX664" s="1035"/>
      <c r="AY664" s="483"/>
      <c r="AZ664" s="429"/>
      <c r="BA664" s="431"/>
      <c r="BB664" s="1035"/>
      <c r="BC664" s="1035"/>
      <c r="BD664" s="481"/>
      <c r="BE664" s="432"/>
      <c r="BF664" s="646"/>
      <c r="BG664" s="1047"/>
      <c r="BH664" s="1046"/>
      <c r="BI664" s="1048"/>
      <c r="BJ664" s="1030"/>
      <c r="BK664" s="1046"/>
      <c r="BL664" s="1048"/>
      <c r="BM664" s="1046"/>
      <c r="BN664" s="1167"/>
      <c r="BO664" s="1035"/>
      <c r="BP664" s="1043"/>
      <c r="BQ664" s="1167"/>
      <c r="BR664" s="1165"/>
      <c r="BS664" s="1031"/>
      <c r="BT664" s="1038"/>
      <c r="BU664" s="1035"/>
      <c r="BV664" s="1035"/>
      <c r="BW664" s="1049"/>
      <c r="BX664" s="1043"/>
      <c r="BY664" s="1046"/>
      <c r="BZ664" s="1167"/>
      <c r="CA664" s="1165"/>
      <c r="CB664" s="1031"/>
      <c r="CC664" s="1038"/>
      <c r="CD664" s="1035"/>
      <c r="CE664" s="1035"/>
      <c r="CF664" s="1049"/>
      <c r="CG664" s="1043"/>
      <c r="CH664" s="1046"/>
      <c r="CI664" s="1167"/>
      <c r="CJ664" s="1168"/>
      <c r="CK664" s="1169"/>
      <c r="CL664" s="1169"/>
      <c r="CM664" s="1166"/>
      <c r="CN664" s="1169"/>
      <c r="CO664" s="1169"/>
      <c r="CP664" s="452"/>
      <c r="CQ664" s="435"/>
      <c r="CR664" s="1117"/>
      <c r="CS664" s="452"/>
      <c r="CT664" s="482"/>
      <c r="CU664" s="476"/>
      <c r="CV664" s="431"/>
      <c r="CW664" s="1108"/>
      <c r="CX664" s="1108"/>
      <c r="CY664" s="483"/>
      <c r="CZ664" s="437"/>
      <c r="DA664" s="438"/>
      <c r="DB664" s="439"/>
      <c r="DC664" s="439"/>
      <c r="DD664" s="443"/>
      <c r="DE664" s="411"/>
      <c r="DF664" s="411"/>
      <c r="DG664" s="1117"/>
      <c r="DH664" s="1117"/>
      <c r="DI664" s="1117"/>
      <c r="DJ664" s="442"/>
      <c r="DK664" s="482"/>
      <c r="DL664" s="1038"/>
      <c r="DM664" s="1035"/>
      <c r="DN664" s="1035"/>
      <c r="DO664" s="1035"/>
      <c r="DP664" s="1046"/>
      <c r="DQ664" s="1167"/>
      <c r="DR664" s="1168"/>
      <c r="DS664" s="1165"/>
      <c r="DT664" s="1165"/>
      <c r="DU664" s="1165"/>
      <c r="DV664" s="1031"/>
      <c r="DW664" s="1098">
        <f t="shared" si="1164"/>
        <v>0</v>
      </c>
      <c r="DX664" s="1098">
        <f t="shared" si="1165"/>
        <v>0</v>
      </c>
      <c r="DY664" s="1030"/>
      <c r="DZ664" s="1030"/>
      <c r="EA664" s="1031"/>
      <c r="EB664" s="1050"/>
      <c r="EC664" s="1038"/>
      <c r="ED664" s="1035"/>
      <c r="EE664" s="1046"/>
      <c r="EF664" s="1169"/>
      <c r="EG664" s="1168"/>
      <c r="EH664" s="1165"/>
      <c r="EI664" s="1165"/>
      <c r="EJ664" s="1165"/>
      <c r="EK664" s="1031"/>
      <c r="EL664" s="1098">
        <f t="shared" si="1166"/>
        <v>0</v>
      </c>
      <c r="EM664" s="1098">
        <f t="shared" si="1167"/>
        <v>0</v>
      </c>
      <c r="EN664" s="1030"/>
      <c r="EO664" s="1030"/>
      <c r="EP664" s="1031"/>
      <c r="EQ664" s="1050"/>
      <c r="ER664" s="1038"/>
      <c r="ES664" s="1035"/>
      <c r="ET664" s="1051"/>
    </row>
    <row r="665" spans="2:150" ht="16.5" customHeight="1">
      <c r="B665" s="1024"/>
      <c r="C665" s="1025"/>
      <c r="D665" s="408">
        <v>662</v>
      </c>
      <c r="E665" s="1164"/>
      <c r="F665" s="1164"/>
      <c r="G665" s="1026"/>
      <c r="H665" s="411" t="str">
        <f>IFERROR(INDEX(绊状态确认!C:C,MATCH($G665,绊状态确认!$B:$B,)),"")</f>
        <v/>
      </c>
      <c r="I665" s="450" t="str">
        <f>IFERROR(INDEX(绊状态确认!D:D,MATCH($G665,绊状态确认!$B:$B,)),"")</f>
        <v/>
      </c>
      <c r="J665" s="450" t="str">
        <f>IFERROR(INDEX(绊状态确认!E:E,MATCH($G665,绊状态确认!$B:$B,)),"")</f>
        <v/>
      </c>
      <c r="K665" s="451" t="str">
        <f>IFERROR(INDEX(绊状态确认!F:F,MATCH($G665,绊状态确认!$B:$B,)),"")</f>
        <v/>
      </c>
      <c r="L665" s="1026"/>
      <c r="M665" s="1165"/>
      <c r="N665" s="1027"/>
      <c r="O665" s="1026"/>
      <c r="P665" s="1028"/>
      <c r="Q665" s="1029"/>
      <c r="R665" s="1166"/>
      <c r="S665" s="1030"/>
      <c r="T665" s="1031"/>
      <c r="U665" s="1032"/>
      <c r="V665" s="1033"/>
      <c r="W665" s="1034"/>
      <c r="X665" s="1166"/>
      <c r="Y665" s="1035"/>
      <c r="Z665" s="1036"/>
      <c r="AA665" s="1037"/>
      <c r="AB665" s="1038"/>
      <c r="AC665" s="1039"/>
      <c r="AD665" s="1040"/>
      <c r="AE665" s="1041"/>
      <c r="AF665" s="521"/>
      <c r="AG665" s="420"/>
      <c r="AH665" s="420"/>
      <c r="AI665" s="420"/>
      <c r="AJ665" s="420"/>
      <c r="AK665" s="518"/>
      <c r="AL665" s="1042"/>
      <c r="AM665" s="1035"/>
      <c r="AN665" s="1043"/>
      <c r="AO665" s="1167"/>
      <c r="AP665" s="1044"/>
      <c r="AQ665" s="1035"/>
      <c r="AR665" s="1035"/>
      <c r="AS665" s="1035"/>
      <c r="AT665" s="1165"/>
      <c r="AU665" s="1031"/>
      <c r="AV665" s="1045"/>
      <c r="AW665" s="1038"/>
      <c r="AX665" s="1035"/>
      <c r="AY665" s="483"/>
      <c r="AZ665" s="429"/>
      <c r="BA665" s="431"/>
      <c r="BB665" s="1035"/>
      <c r="BC665" s="1035"/>
      <c r="BD665" s="481"/>
      <c r="BE665" s="432"/>
      <c r="BF665" s="646"/>
      <c r="BG665" s="1047"/>
      <c r="BH665" s="1046"/>
      <c r="BI665" s="1048"/>
      <c r="BJ665" s="1030"/>
      <c r="BK665" s="1046"/>
      <c r="BL665" s="1048"/>
      <c r="BM665" s="1046"/>
      <c r="BN665" s="1167"/>
      <c r="BO665" s="1035"/>
      <c r="BP665" s="1043"/>
      <c r="BQ665" s="1167"/>
      <c r="BR665" s="1165"/>
      <c r="BS665" s="1031"/>
      <c r="BT665" s="1038"/>
      <c r="BU665" s="1035"/>
      <c r="BV665" s="1035"/>
      <c r="BW665" s="1049"/>
      <c r="BX665" s="1043"/>
      <c r="BY665" s="1046"/>
      <c r="BZ665" s="1167"/>
      <c r="CA665" s="1165"/>
      <c r="CB665" s="1031"/>
      <c r="CC665" s="1038"/>
      <c r="CD665" s="1035"/>
      <c r="CE665" s="1035"/>
      <c r="CF665" s="1049"/>
      <c r="CG665" s="1043"/>
      <c r="CH665" s="1046"/>
      <c r="CI665" s="1167"/>
      <c r="CJ665" s="1168"/>
      <c r="CK665" s="1169"/>
      <c r="CL665" s="1169"/>
      <c r="CM665" s="1166"/>
      <c r="CN665" s="1169"/>
      <c r="CO665" s="1169"/>
      <c r="CP665" s="452"/>
      <c r="CQ665" s="435"/>
      <c r="CR665" s="1117"/>
      <c r="CS665" s="452"/>
      <c r="CT665" s="482"/>
      <c r="CU665" s="476"/>
      <c r="CV665" s="431"/>
      <c r="CW665" s="1108"/>
      <c r="CX665" s="1108"/>
      <c r="CY665" s="483"/>
      <c r="CZ665" s="437"/>
      <c r="DA665" s="438"/>
      <c r="DB665" s="439"/>
      <c r="DC665" s="439"/>
      <c r="DD665" s="443"/>
      <c r="DE665" s="411"/>
      <c r="DF665" s="411"/>
      <c r="DG665" s="1117"/>
      <c r="DH665" s="1117"/>
      <c r="DI665" s="1117"/>
      <c r="DJ665" s="442"/>
      <c r="DK665" s="482"/>
      <c r="DL665" s="1038"/>
      <c r="DM665" s="1035"/>
      <c r="DN665" s="1035"/>
      <c r="DO665" s="1035"/>
      <c r="DP665" s="1046"/>
      <c r="DQ665" s="1167"/>
      <c r="DR665" s="1168"/>
      <c r="DS665" s="1165"/>
      <c r="DT665" s="1165"/>
      <c r="DU665" s="1165"/>
      <c r="DV665" s="1031"/>
      <c r="DW665" s="1098">
        <f t="shared" si="1164"/>
        <v>0</v>
      </c>
      <c r="DX665" s="1098">
        <f t="shared" si="1165"/>
        <v>0</v>
      </c>
      <c r="DY665" s="1030"/>
      <c r="DZ665" s="1030"/>
      <c r="EA665" s="1031"/>
      <c r="EB665" s="1050"/>
      <c r="EC665" s="1038"/>
      <c r="ED665" s="1035"/>
      <c r="EE665" s="1046"/>
      <c r="EF665" s="1169"/>
      <c r="EG665" s="1168"/>
      <c r="EH665" s="1165"/>
      <c r="EI665" s="1165"/>
      <c r="EJ665" s="1165"/>
      <c r="EK665" s="1031"/>
      <c r="EL665" s="1098">
        <f t="shared" si="1166"/>
        <v>0</v>
      </c>
      <c r="EM665" s="1098">
        <f t="shared" si="1167"/>
        <v>0</v>
      </c>
      <c r="EN665" s="1030"/>
      <c r="EO665" s="1030"/>
      <c r="EP665" s="1031"/>
      <c r="EQ665" s="1050"/>
      <c r="ER665" s="1038"/>
      <c r="ES665" s="1035"/>
      <c r="ET665" s="1051"/>
    </row>
    <row r="666" spans="2:150" ht="16.5" customHeight="1">
      <c r="B666" s="1024"/>
      <c r="C666" s="1025"/>
      <c r="D666" s="408">
        <v>663</v>
      </c>
      <c r="E666" s="1164"/>
      <c r="F666" s="1164"/>
      <c r="G666" s="1026"/>
      <c r="H666" s="411" t="str">
        <f>IFERROR(INDEX(绊状态确认!C:C,MATCH($G666,绊状态确认!$B:$B,)),"")</f>
        <v/>
      </c>
      <c r="I666" s="450" t="str">
        <f>IFERROR(INDEX(绊状态确认!D:D,MATCH($G666,绊状态确认!$B:$B,)),"")</f>
        <v/>
      </c>
      <c r="J666" s="450" t="str">
        <f>IFERROR(INDEX(绊状态确认!E:E,MATCH($G666,绊状态确认!$B:$B,)),"")</f>
        <v/>
      </c>
      <c r="K666" s="451" t="str">
        <f>IFERROR(INDEX(绊状态确认!F:F,MATCH($G666,绊状态确认!$B:$B,)),"")</f>
        <v/>
      </c>
      <c r="L666" s="1026"/>
      <c r="M666" s="1165"/>
      <c r="N666" s="1027"/>
      <c r="O666" s="1026"/>
      <c r="P666" s="1028"/>
      <c r="Q666" s="1029"/>
      <c r="R666" s="1166"/>
      <c r="S666" s="1030"/>
      <c r="T666" s="1031"/>
      <c r="U666" s="1032"/>
      <c r="V666" s="1033"/>
      <c r="W666" s="1034"/>
      <c r="X666" s="1166"/>
      <c r="Y666" s="1035"/>
      <c r="Z666" s="1036"/>
      <c r="AA666" s="1037"/>
      <c r="AB666" s="1038"/>
      <c r="AC666" s="1039"/>
      <c r="AD666" s="1040"/>
      <c r="AE666" s="1041"/>
      <c r="AF666" s="521"/>
      <c r="AG666" s="420"/>
      <c r="AH666" s="420"/>
      <c r="AI666" s="420"/>
      <c r="AJ666" s="420"/>
      <c r="AK666" s="518"/>
      <c r="AL666" s="1042"/>
      <c r="AM666" s="1035"/>
      <c r="AN666" s="1043"/>
      <c r="AO666" s="1167"/>
      <c r="AP666" s="1044"/>
      <c r="AQ666" s="1035"/>
      <c r="AR666" s="1035"/>
      <c r="AS666" s="1035"/>
      <c r="AT666" s="1165"/>
      <c r="AU666" s="1031"/>
      <c r="AV666" s="1045"/>
      <c r="AW666" s="1038"/>
      <c r="AX666" s="1035"/>
      <c r="AY666" s="483"/>
      <c r="AZ666" s="429"/>
      <c r="BA666" s="431"/>
      <c r="BB666" s="1035"/>
      <c r="BC666" s="1035"/>
      <c r="BD666" s="481"/>
      <c r="BE666" s="432"/>
      <c r="BF666" s="646"/>
      <c r="BG666" s="1047"/>
      <c r="BH666" s="1046"/>
      <c r="BI666" s="1048"/>
      <c r="BJ666" s="1030"/>
      <c r="BK666" s="1046"/>
      <c r="BL666" s="1048"/>
      <c r="BM666" s="1046"/>
      <c r="BN666" s="1167"/>
      <c r="BO666" s="1035"/>
      <c r="BP666" s="1043"/>
      <c r="BQ666" s="1167"/>
      <c r="BR666" s="1165"/>
      <c r="BS666" s="1031"/>
      <c r="BT666" s="1038"/>
      <c r="BU666" s="1035"/>
      <c r="BV666" s="1035"/>
      <c r="BW666" s="1049"/>
      <c r="BX666" s="1043"/>
      <c r="BY666" s="1046"/>
      <c r="BZ666" s="1167"/>
      <c r="CA666" s="1165"/>
      <c r="CB666" s="1031"/>
      <c r="CC666" s="1038"/>
      <c r="CD666" s="1035"/>
      <c r="CE666" s="1035"/>
      <c r="CF666" s="1049"/>
      <c r="CG666" s="1043"/>
      <c r="CH666" s="1046"/>
      <c r="CI666" s="1167"/>
      <c r="CJ666" s="1168"/>
      <c r="CK666" s="1169"/>
      <c r="CL666" s="1169"/>
      <c r="CM666" s="1166"/>
      <c r="CN666" s="1169"/>
      <c r="CO666" s="1169"/>
      <c r="CP666" s="452"/>
      <c r="CQ666" s="435"/>
      <c r="CR666" s="1117"/>
      <c r="CS666" s="452"/>
      <c r="CT666" s="482"/>
      <c r="CU666" s="476"/>
      <c r="CV666" s="431"/>
      <c r="CW666" s="1108"/>
      <c r="CX666" s="1108"/>
      <c r="CY666" s="483"/>
      <c r="CZ666" s="437"/>
      <c r="DA666" s="438"/>
      <c r="DB666" s="439"/>
      <c r="DC666" s="439"/>
      <c r="DD666" s="443"/>
      <c r="DE666" s="411"/>
      <c r="DF666" s="411"/>
      <c r="DG666" s="1117"/>
      <c r="DH666" s="1117"/>
      <c r="DI666" s="1117"/>
      <c r="DJ666" s="442"/>
      <c r="DK666" s="482"/>
      <c r="DL666" s="1038"/>
      <c r="DM666" s="1035"/>
      <c r="DN666" s="1035"/>
      <c r="DO666" s="1035"/>
      <c r="DP666" s="1046"/>
      <c r="DQ666" s="1167"/>
      <c r="DR666" s="1168"/>
      <c r="DS666" s="1165"/>
      <c r="DT666" s="1165"/>
      <c r="DU666" s="1165"/>
      <c r="DV666" s="1031"/>
      <c r="DW666" s="1098">
        <f t="shared" si="1164"/>
        <v>0</v>
      </c>
      <c r="DX666" s="1098">
        <f t="shared" si="1165"/>
        <v>0</v>
      </c>
      <c r="DY666" s="1030"/>
      <c r="DZ666" s="1030"/>
      <c r="EA666" s="1031"/>
      <c r="EB666" s="1050"/>
      <c r="EC666" s="1038"/>
      <c r="ED666" s="1035"/>
      <c r="EE666" s="1046"/>
      <c r="EF666" s="1169"/>
      <c r="EG666" s="1168"/>
      <c r="EH666" s="1165"/>
      <c r="EI666" s="1165"/>
      <c r="EJ666" s="1165"/>
      <c r="EK666" s="1031"/>
      <c r="EL666" s="1098">
        <f t="shared" si="1166"/>
        <v>0</v>
      </c>
      <c r="EM666" s="1098">
        <f t="shared" si="1167"/>
        <v>0</v>
      </c>
      <c r="EN666" s="1030"/>
      <c r="EO666" s="1030"/>
      <c r="EP666" s="1031"/>
      <c r="EQ666" s="1050"/>
      <c r="ER666" s="1038"/>
      <c r="ES666" s="1035"/>
      <c r="ET666" s="1051"/>
    </row>
    <row r="667" spans="2:150" ht="16.5" customHeight="1">
      <c r="B667" s="1024"/>
      <c r="C667" s="1025"/>
      <c r="D667" s="408">
        <v>664</v>
      </c>
      <c r="E667" s="1164"/>
      <c r="F667" s="1164"/>
      <c r="G667" s="1026"/>
      <c r="H667" s="411" t="str">
        <f>IFERROR(INDEX(绊状态确认!C:C,MATCH($G667,绊状态确认!$B:$B,)),"")</f>
        <v/>
      </c>
      <c r="I667" s="450" t="str">
        <f>IFERROR(INDEX(绊状态确认!D:D,MATCH($G667,绊状态确认!$B:$B,)),"")</f>
        <v/>
      </c>
      <c r="J667" s="450" t="str">
        <f>IFERROR(INDEX(绊状态确认!E:E,MATCH($G667,绊状态确认!$B:$B,)),"")</f>
        <v/>
      </c>
      <c r="K667" s="451" t="str">
        <f>IFERROR(INDEX(绊状态确认!F:F,MATCH($G667,绊状态确认!$B:$B,)),"")</f>
        <v/>
      </c>
      <c r="L667" s="1026"/>
      <c r="M667" s="1165"/>
      <c r="N667" s="1027"/>
      <c r="O667" s="1026"/>
      <c r="P667" s="1028"/>
      <c r="Q667" s="1029"/>
      <c r="R667" s="1166"/>
      <c r="S667" s="1030"/>
      <c r="T667" s="1031"/>
      <c r="U667" s="1032"/>
      <c r="V667" s="1033"/>
      <c r="W667" s="1034"/>
      <c r="X667" s="1166"/>
      <c r="Y667" s="1035"/>
      <c r="Z667" s="1036"/>
      <c r="AA667" s="1037"/>
      <c r="AB667" s="1038"/>
      <c r="AC667" s="1039"/>
      <c r="AD667" s="1040"/>
      <c r="AE667" s="1041"/>
      <c r="AF667" s="521"/>
      <c r="AG667" s="420"/>
      <c r="AH667" s="420"/>
      <c r="AI667" s="420"/>
      <c r="AJ667" s="420"/>
      <c r="AK667" s="518"/>
      <c r="AL667" s="1042"/>
      <c r="AM667" s="1035"/>
      <c r="AN667" s="1043"/>
      <c r="AO667" s="1167"/>
      <c r="AP667" s="1044"/>
      <c r="AQ667" s="1035"/>
      <c r="AR667" s="1035"/>
      <c r="AS667" s="1035"/>
      <c r="AT667" s="1165"/>
      <c r="AU667" s="1031"/>
      <c r="AV667" s="1045"/>
      <c r="AW667" s="1038"/>
      <c r="AX667" s="1035"/>
      <c r="AY667" s="483"/>
      <c r="AZ667" s="429"/>
      <c r="BA667" s="431"/>
      <c r="BB667" s="1035"/>
      <c r="BC667" s="1035"/>
      <c r="BD667" s="481"/>
      <c r="BE667" s="432"/>
      <c r="BF667" s="646"/>
      <c r="BG667" s="1047"/>
      <c r="BH667" s="1046"/>
      <c r="BI667" s="1048"/>
      <c r="BJ667" s="1030"/>
      <c r="BK667" s="1046"/>
      <c r="BL667" s="1048"/>
      <c r="BM667" s="1046"/>
      <c r="BN667" s="1167"/>
      <c r="BO667" s="1035"/>
      <c r="BP667" s="1043"/>
      <c r="BQ667" s="1167"/>
      <c r="BR667" s="1165"/>
      <c r="BS667" s="1031"/>
      <c r="BT667" s="1038"/>
      <c r="BU667" s="1035"/>
      <c r="BV667" s="1035"/>
      <c r="BW667" s="1049"/>
      <c r="BX667" s="1043"/>
      <c r="BY667" s="1046"/>
      <c r="BZ667" s="1167"/>
      <c r="CA667" s="1165"/>
      <c r="CB667" s="1031"/>
      <c r="CC667" s="1038"/>
      <c r="CD667" s="1035"/>
      <c r="CE667" s="1035"/>
      <c r="CF667" s="1049"/>
      <c r="CG667" s="1043"/>
      <c r="CH667" s="1046"/>
      <c r="CI667" s="1167"/>
      <c r="CJ667" s="1168"/>
      <c r="CK667" s="1169"/>
      <c r="CL667" s="1169"/>
      <c r="CM667" s="1166"/>
      <c r="CN667" s="1169"/>
      <c r="CO667" s="1169"/>
      <c r="CP667" s="452"/>
      <c r="CQ667" s="435"/>
      <c r="CR667" s="1117"/>
      <c r="CS667" s="452"/>
      <c r="CT667" s="482"/>
      <c r="CU667" s="476"/>
      <c r="CV667" s="431"/>
      <c r="CW667" s="1108"/>
      <c r="CX667" s="1108"/>
      <c r="CY667" s="483"/>
      <c r="CZ667" s="437"/>
      <c r="DA667" s="438"/>
      <c r="DB667" s="439"/>
      <c r="DC667" s="439"/>
      <c r="DD667" s="443"/>
      <c r="DE667" s="411"/>
      <c r="DF667" s="411"/>
      <c r="DG667" s="1117"/>
      <c r="DH667" s="1117"/>
      <c r="DI667" s="1117"/>
      <c r="DJ667" s="442"/>
      <c r="DK667" s="482"/>
      <c r="DL667" s="1038"/>
      <c r="DM667" s="1035"/>
      <c r="DN667" s="1035"/>
      <c r="DO667" s="1035"/>
      <c r="DP667" s="1046"/>
      <c r="DQ667" s="1167"/>
      <c r="DR667" s="1168"/>
      <c r="DS667" s="1165"/>
      <c r="DT667" s="1165"/>
      <c r="DU667" s="1165"/>
      <c r="DV667" s="1031"/>
      <c r="DW667" s="1098">
        <f t="shared" si="1164"/>
        <v>0</v>
      </c>
      <c r="DX667" s="1098">
        <f t="shared" si="1165"/>
        <v>0</v>
      </c>
      <c r="DY667" s="1030"/>
      <c r="DZ667" s="1030"/>
      <c r="EA667" s="1031"/>
      <c r="EB667" s="1050"/>
      <c r="EC667" s="1038"/>
      <c r="ED667" s="1035"/>
      <c r="EE667" s="1046"/>
      <c r="EF667" s="1169"/>
      <c r="EG667" s="1168"/>
      <c r="EH667" s="1165"/>
      <c r="EI667" s="1165"/>
      <c r="EJ667" s="1165"/>
      <c r="EK667" s="1031"/>
      <c r="EL667" s="1098">
        <f t="shared" si="1166"/>
        <v>0</v>
      </c>
      <c r="EM667" s="1098">
        <f t="shared" si="1167"/>
        <v>0</v>
      </c>
      <c r="EN667" s="1030"/>
      <c r="EO667" s="1030"/>
      <c r="EP667" s="1031"/>
      <c r="EQ667" s="1050"/>
      <c r="ER667" s="1038"/>
      <c r="ES667" s="1035"/>
      <c r="ET667" s="1051"/>
    </row>
    <row r="668" spans="2:150" ht="16.5" customHeight="1">
      <c r="B668" s="1024"/>
      <c r="C668" s="1025"/>
      <c r="D668" s="408">
        <v>665</v>
      </c>
      <c r="E668" s="1164"/>
      <c r="F668" s="1164"/>
      <c r="G668" s="1026"/>
      <c r="H668" s="411" t="str">
        <f>IFERROR(INDEX(绊状态确认!C:C,MATCH($G668,绊状态确认!$B:$B,)),"")</f>
        <v/>
      </c>
      <c r="I668" s="450" t="str">
        <f>IFERROR(INDEX(绊状态确认!D:D,MATCH($G668,绊状态确认!$B:$B,)),"")</f>
        <v/>
      </c>
      <c r="J668" s="450" t="str">
        <f>IFERROR(INDEX(绊状态确认!E:E,MATCH($G668,绊状态确认!$B:$B,)),"")</f>
        <v/>
      </c>
      <c r="K668" s="451" t="str">
        <f>IFERROR(INDEX(绊状态确认!F:F,MATCH($G668,绊状态确认!$B:$B,)),"")</f>
        <v/>
      </c>
      <c r="L668" s="1026"/>
      <c r="M668" s="1165"/>
      <c r="N668" s="1027"/>
      <c r="O668" s="1026"/>
      <c r="P668" s="1028"/>
      <c r="Q668" s="1029"/>
      <c r="R668" s="1166"/>
      <c r="S668" s="1030"/>
      <c r="T668" s="1031"/>
      <c r="U668" s="1032"/>
      <c r="V668" s="1033"/>
      <c r="W668" s="1034"/>
      <c r="X668" s="1166"/>
      <c r="Y668" s="1035"/>
      <c r="Z668" s="1036"/>
      <c r="AA668" s="1037"/>
      <c r="AB668" s="1038"/>
      <c r="AC668" s="1039"/>
      <c r="AD668" s="1040"/>
      <c r="AE668" s="1041"/>
      <c r="AF668" s="521"/>
      <c r="AG668" s="420"/>
      <c r="AH668" s="420"/>
      <c r="AI668" s="420"/>
      <c r="AJ668" s="420"/>
      <c r="AK668" s="518"/>
      <c r="AL668" s="1042"/>
      <c r="AM668" s="1035"/>
      <c r="AN668" s="1043"/>
      <c r="AO668" s="1167"/>
      <c r="AP668" s="1044"/>
      <c r="AQ668" s="1035"/>
      <c r="AR668" s="1035"/>
      <c r="AS668" s="1035"/>
      <c r="AT668" s="1165"/>
      <c r="AU668" s="1031"/>
      <c r="AV668" s="1045"/>
      <c r="AW668" s="1038"/>
      <c r="AX668" s="1035"/>
      <c r="AY668" s="483"/>
      <c r="AZ668" s="429"/>
      <c r="BA668" s="431"/>
      <c r="BB668" s="1035"/>
      <c r="BC668" s="1035"/>
      <c r="BD668" s="481"/>
      <c r="BE668" s="432"/>
      <c r="BF668" s="646"/>
      <c r="BG668" s="1047"/>
      <c r="BH668" s="1046"/>
      <c r="BI668" s="1048"/>
      <c r="BJ668" s="1030"/>
      <c r="BK668" s="1046"/>
      <c r="BL668" s="1048"/>
      <c r="BM668" s="1046"/>
      <c r="BN668" s="1167"/>
      <c r="BO668" s="1035"/>
      <c r="BP668" s="1043"/>
      <c r="BQ668" s="1167"/>
      <c r="BR668" s="1165"/>
      <c r="BS668" s="1031"/>
      <c r="BT668" s="1038"/>
      <c r="BU668" s="1035"/>
      <c r="BV668" s="1035"/>
      <c r="BW668" s="1049"/>
      <c r="BX668" s="1043"/>
      <c r="BY668" s="1046"/>
      <c r="BZ668" s="1167"/>
      <c r="CA668" s="1165"/>
      <c r="CB668" s="1031"/>
      <c r="CC668" s="1038"/>
      <c r="CD668" s="1035"/>
      <c r="CE668" s="1035"/>
      <c r="CF668" s="1049"/>
      <c r="CG668" s="1043"/>
      <c r="CH668" s="1046"/>
      <c r="CI668" s="1167"/>
      <c r="CJ668" s="1168"/>
      <c r="CK668" s="1169"/>
      <c r="CL668" s="1169"/>
      <c r="CM668" s="1166"/>
      <c r="CN668" s="1169"/>
      <c r="CO668" s="1169"/>
      <c r="CP668" s="452"/>
      <c r="CQ668" s="435"/>
      <c r="CR668" s="1117"/>
      <c r="CS668" s="452"/>
      <c r="CT668" s="482"/>
      <c r="CU668" s="476"/>
      <c r="CV668" s="431"/>
      <c r="CW668" s="1108"/>
      <c r="CX668" s="1108"/>
      <c r="CY668" s="483"/>
      <c r="CZ668" s="437"/>
      <c r="DA668" s="438"/>
      <c r="DB668" s="439"/>
      <c r="DC668" s="439"/>
      <c r="DD668" s="443"/>
      <c r="DE668" s="411"/>
      <c r="DF668" s="411"/>
      <c r="DG668" s="1117"/>
      <c r="DH668" s="1117"/>
      <c r="DI668" s="1117"/>
      <c r="DJ668" s="442"/>
      <c r="DK668" s="482"/>
      <c r="DL668" s="1038"/>
      <c r="DM668" s="1035"/>
      <c r="DN668" s="1035"/>
      <c r="DO668" s="1035"/>
      <c r="DP668" s="1046"/>
      <c r="DQ668" s="1167"/>
      <c r="DR668" s="1168"/>
      <c r="DS668" s="1165"/>
      <c r="DT668" s="1165"/>
      <c r="DU668" s="1165"/>
      <c r="DV668" s="1031"/>
      <c r="DW668" s="1098">
        <f t="shared" si="1164"/>
        <v>0</v>
      </c>
      <c r="DX668" s="1098">
        <f t="shared" si="1165"/>
        <v>0</v>
      </c>
      <c r="DY668" s="1030"/>
      <c r="DZ668" s="1030"/>
      <c r="EA668" s="1031"/>
      <c r="EB668" s="1050"/>
      <c r="EC668" s="1038"/>
      <c r="ED668" s="1035"/>
      <c r="EE668" s="1046"/>
      <c r="EF668" s="1169"/>
      <c r="EG668" s="1168"/>
      <c r="EH668" s="1165"/>
      <c r="EI668" s="1165"/>
      <c r="EJ668" s="1165"/>
      <c r="EK668" s="1031"/>
      <c r="EL668" s="1098">
        <f t="shared" si="1166"/>
        <v>0</v>
      </c>
      <c r="EM668" s="1098">
        <f t="shared" si="1167"/>
        <v>0</v>
      </c>
      <c r="EN668" s="1030"/>
      <c r="EO668" s="1030"/>
      <c r="EP668" s="1031"/>
      <c r="EQ668" s="1050"/>
      <c r="ER668" s="1038"/>
      <c r="ES668" s="1035"/>
      <c r="ET668" s="1051"/>
    </row>
    <row r="669" spans="2:150" ht="16.5" customHeight="1">
      <c r="B669" s="1024"/>
      <c r="C669" s="1025"/>
      <c r="D669" s="408">
        <v>666</v>
      </c>
      <c r="E669" s="1164"/>
      <c r="F669" s="1164"/>
      <c r="G669" s="1026"/>
      <c r="H669" s="411" t="str">
        <f>IFERROR(INDEX(绊状态确认!C:C,MATCH($G669,绊状态确认!$B:$B,)),"")</f>
        <v/>
      </c>
      <c r="I669" s="450" t="str">
        <f>IFERROR(INDEX(绊状态确认!D:D,MATCH($G669,绊状态确认!$B:$B,)),"")</f>
        <v/>
      </c>
      <c r="J669" s="450" t="str">
        <f>IFERROR(INDEX(绊状态确认!E:E,MATCH($G669,绊状态确认!$B:$B,)),"")</f>
        <v/>
      </c>
      <c r="K669" s="451" t="str">
        <f>IFERROR(INDEX(绊状态确认!F:F,MATCH($G669,绊状态确认!$B:$B,)),"")</f>
        <v/>
      </c>
      <c r="L669" s="1026"/>
      <c r="M669" s="1165"/>
      <c r="N669" s="1027"/>
      <c r="O669" s="1026"/>
      <c r="P669" s="1028"/>
      <c r="Q669" s="1029"/>
      <c r="R669" s="1166"/>
      <c r="S669" s="1030"/>
      <c r="T669" s="1031"/>
      <c r="U669" s="1032"/>
      <c r="V669" s="1033"/>
      <c r="W669" s="1034"/>
      <c r="X669" s="1166"/>
      <c r="Y669" s="1035"/>
      <c r="Z669" s="1036"/>
      <c r="AA669" s="1037"/>
      <c r="AB669" s="1038"/>
      <c r="AC669" s="1039"/>
      <c r="AD669" s="1040"/>
      <c r="AE669" s="1041"/>
      <c r="AF669" s="521"/>
      <c r="AG669" s="420"/>
      <c r="AH669" s="420"/>
      <c r="AI669" s="420"/>
      <c r="AJ669" s="420"/>
      <c r="AK669" s="518"/>
      <c r="AL669" s="1042"/>
      <c r="AM669" s="1035"/>
      <c r="AN669" s="1043"/>
      <c r="AO669" s="1167"/>
      <c r="AP669" s="1044"/>
      <c r="AQ669" s="1035"/>
      <c r="AR669" s="1035"/>
      <c r="AS669" s="1035"/>
      <c r="AT669" s="1165"/>
      <c r="AU669" s="1031"/>
      <c r="AV669" s="1045"/>
      <c r="AW669" s="1038"/>
      <c r="AX669" s="1035"/>
      <c r="AY669" s="483"/>
      <c r="AZ669" s="429"/>
      <c r="BA669" s="431"/>
      <c r="BB669" s="1035"/>
      <c r="BC669" s="1035"/>
      <c r="BD669" s="481"/>
      <c r="BE669" s="432"/>
      <c r="BF669" s="646"/>
      <c r="BG669" s="1047"/>
      <c r="BH669" s="1046"/>
      <c r="BI669" s="1048"/>
      <c r="BJ669" s="1030"/>
      <c r="BK669" s="1046"/>
      <c r="BL669" s="1048"/>
      <c r="BM669" s="1046"/>
      <c r="BN669" s="1167"/>
      <c r="BO669" s="1035"/>
      <c r="BP669" s="1043"/>
      <c r="BQ669" s="1167"/>
      <c r="BR669" s="1165"/>
      <c r="BS669" s="1031"/>
      <c r="BT669" s="1038"/>
      <c r="BU669" s="1035"/>
      <c r="BV669" s="1035"/>
      <c r="BW669" s="1049"/>
      <c r="BX669" s="1043"/>
      <c r="BY669" s="1046"/>
      <c r="BZ669" s="1167"/>
      <c r="CA669" s="1165"/>
      <c r="CB669" s="1031"/>
      <c r="CC669" s="1038"/>
      <c r="CD669" s="1035"/>
      <c r="CE669" s="1035"/>
      <c r="CF669" s="1049"/>
      <c r="CG669" s="1043"/>
      <c r="CH669" s="1046"/>
      <c r="CI669" s="1167"/>
      <c r="CJ669" s="1168"/>
      <c r="CK669" s="1169"/>
      <c r="CL669" s="1169"/>
      <c r="CM669" s="1166"/>
      <c r="CN669" s="1169"/>
      <c r="CO669" s="1169"/>
      <c r="CP669" s="452"/>
      <c r="CQ669" s="435"/>
      <c r="CR669" s="1117"/>
      <c r="CS669" s="452"/>
      <c r="CT669" s="482"/>
      <c r="CU669" s="476"/>
      <c r="CV669" s="431"/>
      <c r="CW669" s="1108"/>
      <c r="CX669" s="1108"/>
      <c r="CY669" s="483"/>
      <c r="CZ669" s="437"/>
      <c r="DA669" s="438"/>
      <c r="DB669" s="439"/>
      <c r="DC669" s="439"/>
      <c r="DD669" s="443"/>
      <c r="DE669" s="411"/>
      <c r="DF669" s="411"/>
      <c r="DG669" s="1117"/>
      <c r="DH669" s="1117"/>
      <c r="DI669" s="1117"/>
      <c r="DJ669" s="442"/>
      <c r="DK669" s="482"/>
      <c r="DL669" s="1038"/>
      <c r="DM669" s="1035"/>
      <c r="DN669" s="1035"/>
      <c r="DO669" s="1035"/>
      <c r="DP669" s="1046"/>
      <c r="DQ669" s="1167"/>
      <c r="DR669" s="1168"/>
      <c r="DS669" s="1165"/>
      <c r="DT669" s="1165"/>
      <c r="DU669" s="1165"/>
      <c r="DV669" s="1031"/>
      <c r="DW669" s="1098">
        <f t="shared" si="1164"/>
        <v>0</v>
      </c>
      <c r="DX669" s="1098">
        <f t="shared" si="1165"/>
        <v>0</v>
      </c>
      <c r="DY669" s="1030"/>
      <c r="DZ669" s="1030"/>
      <c r="EA669" s="1031"/>
      <c r="EB669" s="1050"/>
      <c r="EC669" s="1038"/>
      <c r="ED669" s="1035"/>
      <c r="EE669" s="1046"/>
      <c r="EF669" s="1169"/>
      <c r="EG669" s="1168"/>
      <c r="EH669" s="1165"/>
      <c r="EI669" s="1165"/>
      <c r="EJ669" s="1165"/>
      <c r="EK669" s="1031"/>
      <c r="EL669" s="1098">
        <f t="shared" si="1166"/>
        <v>0</v>
      </c>
      <c r="EM669" s="1098">
        <f t="shared" si="1167"/>
        <v>0</v>
      </c>
      <c r="EN669" s="1030"/>
      <c r="EO669" s="1030"/>
      <c r="EP669" s="1031"/>
      <c r="EQ669" s="1050"/>
      <c r="ER669" s="1038"/>
      <c r="ES669" s="1035"/>
      <c r="ET669" s="1051"/>
    </row>
    <row r="670" spans="2:150" ht="16.5" customHeight="1">
      <c r="B670" s="1024"/>
      <c r="C670" s="1025"/>
      <c r="D670" s="408">
        <v>667</v>
      </c>
      <c r="E670" s="1164"/>
      <c r="F670" s="1164"/>
      <c r="G670" s="1026"/>
      <c r="H670" s="411" t="str">
        <f>IFERROR(INDEX(绊状态确认!C:C,MATCH($G670,绊状态确认!$B:$B,)),"")</f>
        <v/>
      </c>
      <c r="I670" s="450" t="str">
        <f>IFERROR(INDEX(绊状态确认!D:D,MATCH($G670,绊状态确认!$B:$B,)),"")</f>
        <v/>
      </c>
      <c r="J670" s="450" t="str">
        <f>IFERROR(INDEX(绊状态确认!E:E,MATCH($G670,绊状态确认!$B:$B,)),"")</f>
        <v/>
      </c>
      <c r="K670" s="451" t="str">
        <f>IFERROR(INDEX(绊状态确认!F:F,MATCH($G670,绊状态确认!$B:$B,)),"")</f>
        <v/>
      </c>
      <c r="L670" s="1026"/>
      <c r="M670" s="1165"/>
      <c r="N670" s="1027"/>
      <c r="O670" s="1026"/>
      <c r="P670" s="1028"/>
      <c r="Q670" s="1029"/>
      <c r="R670" s="1166"/>
      <c r="S670" s="1030"/>
      <c r="T670" s="1031"/>
      <c r="U670" s="1032"/>
      <c r="V670" s="1033"/>
      <c r="W670" s="1034"/>
      <c r="X670" s="1166"/>
      <c r="Y670" s="1035"/>
      <c r="Z670" s="1036"/>
      <c r="AA670" s="1037"/>
      <c r="AB670" s="1038"/>
      <c r="AC670" s="1039"/>
      <c r="AD670" s="1040"/>
      <c r="AE670" s="1041"/>
      <c r="AF670" s="521"/>
      <c r="AG670" s="420"/>
      <c r="AH670" s="420"/>
      <c r="AI670" s="420"/>
      <c r="AJ670" s="420"/>
      <c r="AK670" s="518"/>
      <c r="AL670" s="1042"/>
      <c r="AM670" s="1035"/>
      <c r="AN670" s="1043"/>
      <c r="AO670" s="1167"/>
      <c r="AP670" s="1044"/>
      <c r="AQ670" s="1035"/>
      <c r="AR670" s="1035"/>
      <c r="AS670" s="1035"/>
      <c r="AT670" s="1165"/>
      <c r="AU670" s="1031"/>
      <c r="AV670" s="1045"/>
      <c r="AW670" s="1038"/>
      <c r="AX670" s="1035"/>
      <c r="AY670" s="483"/>
      <c r="AZ670" s="429"/>
      <c r="BA670" s="431"/>
      <c r="BB670" s="1035"/>
      <c r="BC670" s="1035"/>
      <c r="BD670" s="481"/>
      <c r="BE670" s="432"/>
      <c r="BF670" s="646"/>
      <c r="BG670" s="1047"/>
      <c r="BH670" s="1046"/>
      <c r="BI670" s="1048"/>
      <c r="BJ670" s="1030"/>
      <c r="BK670" s="1046"/>
      <c r="BL670" s="1048"/>
      <c r="BM670" s="1046"/>
      <c r="BN670" s="1167"/>
      <c r="BO670" s="1035"/>
      <c r="BP670" s="1043"/>
      <c r="BQ670" s="1167"/>
      <c r="BR670" s="1165"/>
      <c r="BS670" s="1031"/>
      <c r="BT670" s="1038"/>
      <c r="BU670" s="1035"/>
      <c r="BV670" s="1035"/>
      <c r="BW670" s="1049"/>
      <c r="BX670" s="1043"/>
      <c r="BY670" s="1046"/>
      <c r="BZ670" s="1167"/>
      <c r="CA670" s="1165"/>
      <c r="CB670" s="1031"/>
      <c r="CC670" s="1038"/>
      <c r="CD670" s="1035"/>
      <c r="CE670" s="1035"/>
      <c r="CF670" s="1049"/>
      <c r="CG670" s="1043"/>
      <c r="CH670" s="1046"/>
      <c r="CI670" s="1167"/>
      <c r="CJ670" s="1168"/>
      <c r="CK670" s="1169"/>
      <c r="CL670" s="1169"/>
      <c r="CM670" s="1166"/>
      <c r="CN670" s="1169"/>
      <c r="CO670" s="1169"/>
      <c r="CP670" s="452"/>
      <c r="CQ670" s="435"/>
      <c r="CR670" s="1117"/>
      <c r="CS670" s="452"/>
      <c r="CT670" s="482"/>
      <c r="CU670" s="476"/>
      <c r="CV670" s="431"/>
      <c r="CW670" s="1108"/>
      <c r="CX670" s="1108"/>
      <c r="CY670" s="483"/>
      <c r="CZ670" s="437"/>
      <c r="DA670" s="438"/>
      <c r="DB670" s="439"/>
      <c r="DC670" s="439"/>
      <c r="DD670" s="443"/>
      <c r="DE670" s="411"/>
      <c r="DF670" s="411"/>
      <c r="DG670" s="1117"/>
      <c r="DH670" s="1117"/>
      <c r="DI670" s="1117"/>
      <c r="DJ670" s="442"/>
      <c r="DK670" s="482"/>
      <c r="DL670" s="1038"/>
      <c r="DM670" s="1035"/>
      <c r="DN670" s="1035"/>
      <c r="DO670" s="1035"/>
      <c r="DP670" s="1046"/>
      <c r="DQ670" s="1167"/>
      <c r="DR670" s="1168"/>
      <c r="DS670" s="1165"/>
      <c r="DT670" s="1165"/>
      <c r="DU670" s="1165"/>
      <c r="DV670" s="1031"/>
      <c r="DW670" s="1098">
        <f t="shared" si="1164"/>
        <v>0</v>
      </c>
      <c r="DX670" s="1098">
        <f t="shared" si="1165"/>
        <v>0</v>
      </c>
      <c r="DY670" s="1030"/>
      <c r="DZ670" s="1030"/>
      <c r="EA670" s="1031"/>
      <c r="EB670" s="1050"/>
      <c r="EC670" s="1038"/>
      <c r="ED670" s="1035"/>
      <c r="EE670" s="1046"/>
      <c r="EF670" s="1169"/>
      <c r="EG670" s="1168"/>
      <c r="EH670" s="1165"/>
      <c r="EI670" s="1165"/>
      <c r="EJ670" s="1165"/>
      <c r="EK670" s="1031"/>
      <c r="EL670" s="1098">
        <f t="shared" si="1166"/>
        <v>0</v>
      </c>
      <c r="EM670" s="1098">
        <f t="shared" si="1167"/>
        <v>0</v>
      </c>
      <c r="EN670" s="1030"/>
      <c r="EO670" s="1030"/>
      <c r="EP670" s="1031"/>
      <c r="EQ670" s="1050"/>
      <c r="ER670" s="1038"/>
      <c r="ES670" s="1035"/>
      <c r="ET670" s="1051"/>
    </row>
    <row r="671" spans="2:150" ht="16.5" customHeight="1">
      <c r="B671" s="1024"/>
      <c r="C671" s="1025"/>
      <c r="D671" s="408">
        <v>668</v>
      </c>
      <c r="E671" s="1164"/>
      <c r="F671" s="1164"/>
      <c r="G671" s="1026"/>
      <c r="H671" s="411" t="str">
        <f>IFERROR(INDEX(绊状态确认!C:C,MATCH($G671,绊状态确认!$B:$B,)),"")</f>
        <v/>
      </c>
      <c r="I671" s="450" t="str">
        <f>IFERROR(INDEX(绊状态确认!D:D,MATCH($G671,绊状态确认!$B:$B,)),"")</f>
        <v/>
      </c>
      <c r="J671" s="450" t="str">
        <f>IFERROR(INDEX(绊状态确认!E:E,MATCH($G671,绊状态确认!$B:$B,)),"")</f>
        <v/>
      </c>
      <c r="K671" s="451" t="str">
        <f>IFERROR(INDEX(绊状态确认!F:F,MATCH($G671,绊状态确认!$B:$B,)),"")</f>
        <v/>
      </c>
      <c r="L671" s="1026"/>
      <c r="M671" s="1165"/>
      <c r="N671" s="1027"/>
      <c r="O671" s="1026"/>
      <c r="P671" s="1028"/>
      <c r="Q671" s="1029"/>
      <c r="R671" s="1166"/>
      <c r="S671" s="1030"/>
      <c r="T671" s="1031"/>
      <c r="U671" s="1032"/>
      <c r="V671" s="1033"/>
      <c r="W671" s="1034"/>
      <c r="X671" s="1166"/>
      <c r="Y671" s="1035"/>
      <c r="Z671" s="1036"/>
      <c r="AA671" s="1037"/>
      <c r="AB671" s="1038"/>
      <c r="AC671" s="1039"/>
      <c r="AD671" s="1040"/>
      <c r="AE671" s="1041"/>
      <c r="AF671" s="521"/>
      <c r="AG671" s="420"/>
      <c r="AH671" s="420"/>
      <c r="AI671" s="420"/>
      <c r="AJ671" s="420"/>
      <c r="AK671" s="518"/>
      <c r="AL671" s="1042"/>
      <c r="AM671" s="1035"/>
      <c r="AN671" s="1043"/>
      <c r="AO671" s="1167"/>
      <c r="AP671" s="1044"/>
      <c r="AQ671" s="1035"/>
      <c r="AR671" s="1035"/>
      <c r="AS671" s="1035"/>
      <c r="AT671" s="1165"/>
      <c r="AU671" s="1031"/>
      <c r="AV671" s="1045"/>
      <c r="AW671" s="1038"/>
      <c r="AX671" s="1035"/>
      <c r="AY671" s="483"/>
      <c r="AZ671" s="429"/>
      <c r="BA671" s="431"/>
      <c r="BB671" s="1035"/>
      <c r="BC671" s="1035"/>
      <c r="BD671" s="481"/>
      <c r="BE671" s="432"/>
      <c r="BF671" s="646"/>
      <c r="BG671" s="1047"/>
      <c r="BH671" s="1046"/>
      <c r="BI671" s="1048"/>
      <c r="BJ671" s="1030"/>
      <c r="BK671" s="1046"/>
      <c r="BL671" s="1048"/>
      <c r="BM671" s="1046"/>
      <c r="BN671" s="1167"/>
      <c r="BO671" s="1035"/>
      <c r="BP671" s="1043"/>
      <c r="BQ671" s="1167"/>
      <c r="BR671" s="1165"/>
      <c r="BS671" s="1031"/>
      <c r="BT671" s="1038"/>
      <c r="BU671" s="1035"/>
      <c r="BV671" s="1035"/>
      <c r="BW671" s="1049"/>
      <c r="BX671" s="1043"/>
      <c r="BY671" s="1046"/>
      <c r="BZ671" s="1167"/>
      <c r="CA671" s="1165"/>
      <c r="CB671" s="1031"/>
      <c r="CC671" s="1038"/>
      <c r="CD671" s="1035"/>
      <c r="CE671" s="1035"/>
      <c r="CF671" s="1049"/>
      <c r="CG671" s="1043"/>
      <c r="CH671" s="1046"/>
      <c r="CI671" s="1167"/>
      <c r="CJ671" s="1168"/>
      <c r="CK671" s="1169"/>
      <c r="CL671" s="1169"/>
      <c r="CM671" s="1166"/>
      <c r="CN671" s="1169"/>
      <c r="CO671" s="1169"/>
      <c r="CP671" s="452"/>
      <c r="CQ671" s="435"/>
      <c r="CR671" s="1117"/>
      <c r="CS671" s="452"/>
      <c r="CT671" s="482"/>
      <c r="CU671" s="476"/>
      <c r="CV671" s="431"/>
      <c r="CW671" s="1108"/>
      <c r="CX671" s="1108"/>
      <c r="CY671" s="483"/>
      <c r="CZ671" s="437"/>
      <c r="DA671" s="438"/>
      <c r="DB671" s="439"/>
      <c r="DC671" s="439"/>
      <c r="DD671" s="443"/>
      <c r="DE671" s="411"/>
      <c r="DF671" s="411"/>
      <c r="DG671" s="1117"/>
      <c r="DH671" s="1117"/>
      <c r="DI671" s="1117"/>
      <c r="DJ671" s="442"/>
      <c r="DK671" s="482"/>
      <c r="DL671" s="1038"/>
      <c r="DM671" s="1035"/>
      <c r="DN671" s="1035"/>
      <c r="DO671" s="1035"/>
      <c r="DP671" s="1046"/>
      <c r="DQ671" s="1167"/>
      <c r="DR671" s="1168"/>
      <c r="DS671" s="1165"/>
      <c r="DT671" s="1165"/>
      <c r="DU671" s="1165"/>
      <c r="DV671" s="1031"/>
      <c r="DW671" s="1098">
        <f t="shared" si="1164"/>
        <v>0</v>
      </c>
      <c r="DX671" s="1098">
        <f t="shared" si="1165"/>
        <v>0</v>
      </c>
      <c r="DY671" s="1030"/>
      <c r="DZ671" s="1030"/>
      <c r="EA671" s="1031"/>
      <c r="EB671" s="1050"/>
      <c r="EC671" s="1038"/>
      <c r="ED671" s="1035"/>
      <c r="EE671" s="1046"/>
      <c r="EF671" s="1169"/>
      <c r="EG671" s="1168"/>
      <c r="EH671" s="1165"/>
      <c r="EI671" s="1165"/>
      <c r="EJ671" s="1165"/>
      <c r="EK671" s="1031"/>
      <c r="EL671" s="1098">
        <f t="shared" si="1166"/>
        <v>0</v>
      </c>
      <c r="EM671" s="1098">
        <f t="shared" si="1167"/>
        <v>0</v>
      </c>
      <c r="EN671" s="1030"/>
      <c r="EO671" s="1030"/>
      <c r="EP671" s="1031"/>
      <c r="EQ671" s="1050"/>
      <c r="ER671" s="1038"/>
      <c r="ES671" s="1035"/>
      <c r="ET671" s="1051"/>
    </row>
    <row r="672" spans="2:150" ht="16.5" customHeight="1">
      <c r="B672" s="1024"/>
      <c r="C672" s="1025"/>
      <c r="D672" s="408">
        <v>669</v>
      </c>
      <c r="E672" s="1164"/>
      <c r="F672" s="1164"/>
      <c r="G672" s="1026"/>
      <c r="H672" s="411" t="str">
        <f>IFERROR(INDEX(绊状态确认!C:C,MATCH($G672,绊状态确认!$B:$B,)),"")</f>
        <v/>
      </c>
      <c r="I672" s="450" t="str">
        <f>IFERROR(INDEX(绊状态确认!D:D,MATCH($G672,绊状态确认!$B:$B,)),"")</f>
        <v/>
      </c>
      <c r="J672" s="450" t="str">
        <f>IFERROR(INDEX(绊状态确认!E:E,MATCH($G672,绊状态确认!$B:$B,)),"")</f>
        <v/>
      </c>
      <c r="K672" s="451" t="str">
        <f>IFERROR(INDEX(绊状态确认!F:F,MATCH($G672,绊状态确认!$B:$B,)),"")</f>
        <v/>
      </c>
      <c r="L672" s="1026"/>
      <c r="M672" s="1165"/>
      <c r="N672" s="1027"/>
      <c r="O672" s="1026"/>
      <c r="P672" s="1028"/>
      <c r="Q672" s="1029"/>
      <c r="R672" s="1166"/>
      <c r="S672" s="1030"/>
      <c r="T672" s="1031"/>
      <c r="U672" s="1032"/>
      <c r="V672" s="1033"/>
      <c r="W672" s="1034"/>
      <c r="X672" s="1166"/>
      <c r="Y672" s="1035"/>
      <c r="Z672" s="1036"/>
      <c r="AA672" s="1037"/>
      <c r="AB672" s="1038"/>
      <c r="AC672" s="1039"/>
      <c r="AD672" s="1040"/>
      <c r="AE672" s="1041"/>
      <c r="AF672" s="521"/>
      <c r="AG672" s="420"/>
      <c r="AH672" s="420"/>
      <c r="AI672" s="420"/>
      <c r="AJ672" s="420"/>
      <c r="AK672" s="518"/>
      <c r="AL672" s="1042"/>
      <c r="AM672" s="1035"/>
      <c r="AN672" s="1043"/>
      <c r="AO672" s="1167"/>
      <c r="AP672" s="1044"/>
      <c r="AQ672" s="1035"/>
      <c r="AR672" s="1035"/>
      <c r="AS672" s="1035"/>
      <c r="AT672" s="1165"/>
      <c r="AU672" s="1031"/>
      <c r="AV672" s="1045"/>
      <c r="AW672" s="1038"/>
      <c r="AX672" s="1035"/>
      <c r="AY672" s="483"/>
      <c r="AZ672" s="429"/>
      <c r="BA672" s="431"/>
      <c r="BB672" s="1035"/>
      <c r="BC672" s="1035"/>
      <c r="BD672" s="481"/>
      <c r="BE672" s="432"/>
      <c r="BF672" s="646"/>
      <c r="BG672" s="1047"/>
      <c r="BH672" s="1046"/>
      <c r="BI672" s="1048"/>
      <c r="BJ672" s="1030"/>
      <c r="BK672" s="1046"/>
      <c r="BL672" s="1048"/>
      <c r="BM672" s="1046"/>
      <c r="BN672" s="1167"/>
      <c r="BO672" s="1035"/>
      <c r="BP672" s="1043"/>
      <c r="BQ672" s="1167"/>
      <c r="BR672" s="1165"/>
      <c r="BS672" s="1031"/>
      <c r="BT672" s="1038"/>
      <c r="BU672" s="1035"/>
      <c r="BV672" s="1035"/>
      <c r="BW672" s="1049"/>
      <c r="BX672" s="1043"/>
      <c r="BY672" s="1046"/>
      <c r="BZ672" s="1167"/>
      <c r="CA672" s="1165"/>
      <c r="CB672" s="1031"/>
      <c r="CC672" s="1038"/>
      <c r="CD672" s="1035"/>
      <c r="CE672" s="1035"/>
      <c r="CF672" s="1049"/>
      <c r="CG672" s="1043"/>
      <c r="CH672" s="1046"/>
      <c r="CI672" s="1167"/>
      <c r="CJ672" s="1168"/>
      <c r="CK672" s="1169"/>
      <c r="CL672" s="1169"/>
      <c r="CM672" s="1166"/>
      <c r="CN672" s="1169"/>
      <c r="CO672" s="1169"/>
      <c r="CP672" s="452"/>
      <c r="CQ672" s="435"/>
      <c r="CR672" s="1117"/>
      <c r="CS672" s="452"/>
      <c r="CT672" s="482"/>
      <c r="CU672" s="476"/>
      <c r="CV672" s="431"/>
      <c r="CW672" s="1108"/>
      <c r="CX672" s="1108"/>
      <c r="CY672" s="483"/>
      <c r="CZ672" s="437"/>
      <c r="DA672" s="438"/>
      <c r="DB672" s="439"/>
      <c r="DC672" s="439"/>
      <c r="DD672" s="443"/>
      <c r="DE672" s="411"/>
      <c r="DF672" s="411"/>
      <c r="DG672" s="1117"/>
      <c r="DH672" s="1117"/>
      <c r="DI672" s="1117"/>
      <c r="DJ672" s="442"/>
      <c r="DK672" s="482"/>
      <c r="DL672" s="1038"/>
      <c r="DM672" s="1035"/>
      <c r="DN672" s="1035"/>
      <c r="DO672" s="1035"/>
      <c r="DP672" s="1046"/>
      <c r="DQ672" s="1167"/>
      <c r="DR672" s="1168"/>
      <c r="DS672" s="1165"/>
      <c r="DT672" s="1165"/>
      <c r="DU672" s="1165"/>
      <c r="DV672" s="1031"/>
      <c r="DW672" s="1098">
        <f t="shared" si="1164"/>
        <v>0</v>
      </c>
      <c r="DX672" s="1098">
        <f t="shared" si="1165"/>
        <v>0</v>
      </c>
      <c r="DY672" s="1030"/>
      <c r="DZ672" s="1030"/>
      <c r="EA672" s="1031"/>
      <c r="EB672" s="1050"/>
      <c r="EC672" s="1038"/>
      <c r="ED672" s="1035"/>
      <c r="EE672" s="1046"/>
      <c r="EF672" s="1169"/>
      <c r="EG672" s="1168"/>
      <c r="EH672" s="1165"/>
      <c r="EI672" s="1165"/>
      <c r="EJ672" s="1165"/>
      <c r="EK672" s="1031"/>
      <c r="EL672" s="1098">
        <f t="shared" si="1166"/>
        <v>0</v>
      </c>
      <c r="EM672" s="1098">
        <f t="shared" si="1167"/>
        <v>0</v>
      </c>
      <c r="EN672" s="1030"/>
      <c r="EO672" s="1030"/>
      <c r="EP672" s="1031"/>
      <c r="EQ672" s="1050"/>
      <c r="ER672" s="1038"/>
      <c r="ES672" s="1035"/>
      <c r="ET672" s="1051"/>
    </row>
    <row r="673" spans="2:150" ht="16.5" customHeight="1">
      <c r="B673" s="1024"/>
      <c r="C673" s="1025"/>
      <c r="D673" s="408">
        <v>670</v>
      </c>
      <c r="E673" s="1164"/>
      <c r="F673" s="1164"/>
      <c r="G673" s="1026"/>
      <c r="H673" s="411" t="str">
        <f>IFERROR(INDEX(绊状态确认!C:C,MATCH($G673,绊状态确认!$B:$B,)),"")</f>
        <v/>
      </c>
      <c r="I673" s="450" t="str">
        <f>IFERROR(INDEX(绊状态确认!D:D,MATCH($G673,绊状态确认!$B:$B,)),"")</f>
        <v/>
      </c>
      <c r="J673" s="450" t="str">
        <f>IFERROR(INDEX(绊状态确认!E:E,MATCH($G673,绊状态确认!$B:$B,)),"")</f>
        <v/>
      </c>
      <c r="K673" s="451" t="str">
        <f>IFERROR(INDEX(绊状态确认!F:F,MATCH($G673,绊状态确认!$B:$B,)),"")</f>
        <v/>
      </c>
      <c r="L673" s="1026"/>
      <c r="M673" s="1165"/>
      <c r="N673" s="1027"/>
      <c r="O673" s="1026"/>
      <c r="P673" s="1028"/>
      <c r="Q673" s="1029"/>
      <c r="R673" s="1166"/>
      <c r="S673" s="1030"/>
      <c r="T673" s="1031"/>
      <c r="U673" s="1032"/>
      <c r="V673" s="1033"/>
      <c r="W673" s="1034"/>
      <c r="X673" s="1166"/>
      <c r="Y673" s="1035"/>
      <c r="Z673" s="1036"/>
      <c r="AA673" s="1037"/>
      <c r="AB673" s="1038"/>
      <c r="AC673" s="1039"/>
      <c r="AD673" s="1040"/>
      <c r="AE673" s="1041"/>
      <c r="AF673" s="521"/>
      <c r="AG673" s="420"/>
      <c r="AH673" s="420"/>
      <c r="AI673" s="420"/>
      <c r="AJ673" s="420"/>
      <c r="AK673" s="518"/>
      <c r="AL673" s="1042"/>
      <c r="AM673" s="1035"/>
      <c r="AN673" s="1043"/>
      <c r="AO673" s="1167"/>
      <c r="AP673" s="1044"/>
      <c r="AQ673" s="1035"/>
      <c r="AR673" s="1035"/>
      <c r="AS673" s="1035"/>
      <c r="AT673" s="1165"/>
      <c r="AU673" s="1031"/>
      <c r="AV673" s="1045"/>
      <c r="AW673" s="1038"/>
      <c r="AX673" s="1035"/>
      <c r="AY673" s="483"/>
      <c r="AZ673" s="429"/>
      <c r="BA673" s="431"/>
      <c r="BB673" s="1035"/>
      <c r="BC673" s="1035"/>
      <c r="BD673" s="481"/>
      <c r="BE673" s="432"/>
      <c r="BF673" s="646"/>
      <c r="BG673" s="1047"/>
      <c r="BH673" s="1046"/>
      <c r="BI673" s="1048"/>
      <c r="BJ673" s="1030"/>
      <c r="BK673" s="1046"/>
      <c r="BL673" s="1048"/>
      <c r="BM673" s="1046"/>
      <c r="BN673" s="1167"/>
      <c r="BO673" s="1035"/>
      <c r="BP673" s="1043"/>
      <c r="BQ673" s="1167"/>
      <c r="BR673" s="1165"/>
      <c r="BS673" s="1031"/>
      <c r="BT673" s="1038"/>
      <c r="BU673" s="1035"/>
      <c r="BV673" s="1035"/>
      <c r="BW673" s="1049"/>
      <c r="BX673" s="1043"/>
      <c r="BY673" s="1046"/>
      <c r="BZ673" s="1167"/>
      <c r="CA673" s="1165"/>
      <c r="CB673" s="1031"/>
      <c r="CC673" s="1038"/>
      <c r="CD673" s="1035"/>
      <c r="CE673" s="1035"/>
      <c r="CF673" s="1049"/>
      <c r="CG673" s="1043"/>
      <c r="CH673" s="1046"/>
      <c r="CI673" s="1167"/>
      <c r="CJ673" s="1168"/>
      <c r="CK673" s="1169"/>
      <c r="CL673" s="1169"/>
      <c r="CM673" s="1166"/>
      <c r="CN673" s="1169"/>
      <c r="CO673" s="1169"/>
      <c r="CP673" s="452"/>
      <c r="CQ673" s="435"/>
      <c r="CR673" s="1117"/>
      <c r="CS673" s="452"/>
      <c r="CT673" s="482"/>
      <c r="CU673" s="476"/>
      <c r="CV673" s="431"/>
      <c r="CW673" s="1108"/>
      <c r="CX673" s="1108"/>
      <c r="CY673" s="483"/>
      <c r="CZ673" s="437"/>
      <c r="DA673" s="438"/>
      <c r="DB673" s="439"/>
      <c r="DC673" s="439"/>
      <c r="DD673" s="443"/>
      <c r="DE673" s="411"/>
      <c r="DF673" s="411"/>
      <c r="DG673" s="1117"/>
      <c r="DH673" s="1117"/>
      <c r="DI673" s="1117"/>
      <c r="DJ673" s="442"/>
      <c r="DK673" s="482"/>
      <c r="DL673" s="1038"/>
      <c r="DM673" s="1035"/>
      <c r="DN673" s="1035"/>
      <c r="DO673" s="1035"/>
      <c r="DP673" s="1046"/>
      <c r="DQ673" s="1167"/>
      <c r="DR673" s="1168"/>
      <c r="DS673" s="1165"/>
      <c r="DT673" s="1165"/>
      <c r="DU673" s="1165"/>
      <c r="DV673" s="1031"/>
      <c r="DW673" s="1098">
        <f t="shared" si="1164"/>
        <v>0</v>
      </c>
      <c r="DX673" s="1098">
        <f t="shared" si="1165"/>
        <v>0</v>
      </c>
      <c r="DY673" s="1030"/>
      <c r="DZ673" s="1030"/>
      <c r="EA673" s="1031"/>
      <c r="EB673" s="1050"/>
      <c r="EC673" s="1038"/>
      <c r="ED673" s="1035"/>
      <c r="EE673" s="1046"/>
      <c r="EF673" s="1169"/>
      <c r="EG673" s="1168"/>
      <c r="EH673" s="1165"/>
      <c r="EI673" s="1165"/>
      <c r="EJ673" s="1165"/>
      <c r="EK673" s="1031"/>
      <c r="EL673" s="1098">
        <f t="shared" si="1166"/>
        <v>0</v>
      </c>
      <c r="EM673" s="1098">
        <f t="shared" si="1167"/>
        <v>0</v>
      </c>
      <c r="EN673" s="1030"/>
      <c r="EO673" s="1030"/>
      <c r="EP673" s="1031"/>
      <c r="EQ673" s="1050"/>
      <c r="ER673" s="1038"/>
      <c r="ES673" s="1035"/>
      <c r="ET673" s="1051"/>
    </row>
    <row r="674" spans="2:150" ht="16.5" customHeight="1">
      <c r="B674" s="1024"/>
      <c r="C674" s="1025"/>
      <c r="D674" s="408">
        <v>671</v>
      </c>
      <c r="E674" s="1164"/>
      <c r="F674" s="1164"/>
      <c r="G674" s="1026"/>
      <c r="H674" s="411" t="str">
        <f>IFERROR(INDEX(绊状态确认!C:C,MATCH($G674,绊状态确认!$B:$B,)),"")</f>
        <v/>
      </c>
      <c r="I674" s="450" t="str">
        <f>IFERROR(INDEX(绊状态确认!D:D,MATCH($G674,绊状态确认!$B:$B,)),"")</f>
        <v/>
      </c>
      <c r="J674" s="450" t="str">
        <f>IFERROR(INDEX(绊状态确认!E:E,MATCH($G674,绊状态确认!$B:$B,)),"")</f>
        <v/>
      </c>
      <c r="K674" s="451" t="str">
        <f>IFERROR(INDEX(绊状态确认!F:F,MATCH($G674,绊状态确认!$B:$B,)),"")</f>
        <v/>
      </c>
      <c r="L674" s="1026"/>
      <c r="M674" s="1165"/>
      <c r="N674" s="1027"/>
      <c r="O674" s="1026"/>
      <c r="P674" s="1028"/>
      <c r="Q674" s="1029"/>
      <c r="R674" s="1166"/>
      <c r="S674" s="1030"/>
      <c r="T674" s="1031"/>
      <c r="U674" s="1032"/>
      <c r="V674" s="1033"/>
      <c r="W674" s="1034"/>
      <c r="X674" s="1166"/>
      <c r="Y674" s="1035"/>
      <c r="Z674" s="1036"/>
      <c r="AA674" s="1037"/>
      <c r="AB674" s="1038"/>
      <c r="AC674" s="1039"/>
      <c r="AD674" s="1040"/>
      <c r="AE674" s="1041"/>
      <c r="AF674" s="521"/>
      <c r="AG674" s="420"/>
      <c r="AH674" s="420"/>
      <c r="AI674" s="420"/>
      <c r="AJ674" s="420"/>
      <c r="AK674" s="518"/>
      <c r="AL674" s="1042"/>
      <c r="AM674" s="1035"/>
      <c r="AN674" s="1043"/>
      <c r="AO674" s="1167"/>
      <c r="AP674" s="1044"/>
      <c r="AQ674" s="1035"/>
      <c r="AR674" s="1035"/>
      <c r="AS674" s="1035"/>
      <c r="AT674" s="1165"/>
      <c r="AU674" s="1031"/>
      <c r="AV674" s="1045"/>
      <c r="AW674" s="1038"/>
      <c r="AX674" s="1035"/>
      <c r="AY674" s="483"/>
      <c r="AZ674" s="429"/>
      <c r="BA674" s="431"/>
      <c r="BB674" s="1035"/>
      <c r="BC674" s="1035"/>
      <c r="BD674" s="481"/>
      <c r="BE674" s="432"/>
      <c r="BF674" s="646"/>
      <c r="BG674" s="1047"/>
      <c r="BH674" s="1046"/>
      <c r="BI674" s="1048"/>
      <c r="BJ674" s="1030"/>
      <c r="BK674" s="1046"/>
      <c r="BL674" s="1048"/>
      <c r="BM674" s="1046"/>
      <c r="BN674" s="1167"/>
      <c r="BO674" s="1035"/>
      <c r="BP674" s="1043"/>
      <c r="BQ674" s="1167"/>
      <c r="BR674" s="1165"/>
      <c r="BS674" s="1031"/>
      <c r="BT674" s="1038"/>
      <c r="BU674" s="1035"/>
      <c r="BV674" s="1035"/>
      <c r="BW674" s="1049"/>
      <c r="BX674" s="1043"/>
      <c r="BY674" s="1046"/>
      <c r="BZ674" s="1167"/>
      <c r="CA674" s="1165"/>
      <c r="CB674" s="1031"/>
      <c r="CC674" s="1038"/>
      <c r="CD674" s="1035"/>
      <c r="CE674" s="1035"/>
      <c r="CF674" s="1049"/>
      <c r="CG674" s="1043"/>
      <c r="CH674" s="1046"/>
      <c r="CI674" s="1167"/>
      <c r="CJ674" s="1168"/>
      <c r="CK674" s="1169"/>
      <c r="CL674" s="1169"/>
      <c r="CM674" s="1166"/>
      <c r="CN674" s="1169"/>
      <c r="CO674" s="1169"/>
      <c r="CP674" s="452"/>
      <c r="CQ674" s="435"/>
      <c r="CR674" s="1117"/>
      <c r="CS674" s="452"/>
      <c r="CT674" s="482"/>
      <c r="CU674" s="476"/>
      <c r="CV674" s="431"/>
      <c r="CW674" s="1108"/>
      <c r="CX674" s="1108"/>
      <c r="CY674" s="483"/>
      <c r="CZ674" s="437"/>
      <c r="DA674" s="438"/>
      <c r="DB674" s="439"/>
      <c r="DC674" s="439"/>
      <c r="DD674" s="443"/>
      <c r="DE674" s="411"/>
      <c r="DF674" s="411"/>
      <c r="DG674" s="1117"/>
      <c r="DH674" s="1117"/>
      <c r="DI674" s="1117"/>
      <c r="DJ674" s="442"/>
      <c r="DK674" s="482"/>
      <c r="DL674" s="1038"/>
      <c r="DM674" s="1035"/>
      <c r="DN674" s="1035"/>
      <c r="DO674" s="1035"/>
      <c r="DP674" s="1046"/>
      <c r="DQ674" s="1167"/>
      <c r="DR674" s="1168"/>
      <c r="DS674" s="1165"/>
      <c r="DT674" s="1165"/>
      <c r="DU674" s="1165"/>
      <c r="DV674" s="1031"/>
      <c r="DW674" s="1098">
        <f t="shared" si="1164"/>
        <v>0</v>
      </c>
      <c r="DX674" s="1098">
        <f t="shared" si="1165"/>
        <v>0</v>
      </c>
      <c r="DY674" s="1030"/>
      <c r="DZ674" s="1030"/>
      <c r="EA674" s="1031"/>
      <c r="EB674" s="1050"/>
      <c r="EC674" s="1038"/>
      <c r="ED674" s="1035"/>
      <c r="EE674" s="1046"/>
      <c r="EF674" s="1169"/>
      <c r="EG674" s="1168"/>
      <c r="EH674" s="1165"/>
      <c r="EI674" s="1165"/>
      <c r="EJ674" s="1165"/>
      <c r="EK674" s="1031"/>
      <c r="EL674" s="1098">
        <f t="shared" si="1166"/>
        <v>0</v>
      </c>
      <c r="EM674" s="1098">
        <f t="shared" si="1167"/>
        <v>0</v>
      </c>
      <c r="EN674" s="1030"/>
      <c r="EO674" s="1030"/>
      <c r="EP674" s="1031"/>
      <c r="EQ674" s="1050"/>
      <c r="ER674" s="1038"/>
      <c r="ES674" s="1035"/>
      <c r="ET674" s="1051"/>
    </row>
    <row r="675" spans="2:150" ht="16.5" customHeight="1">
      <c r="B675" s="1024"/>
      <c r="C675" s="1025"/>
      <c r="D675" s="408">
        <v>672</v>
      </c>
      <c r="E675" s="1164"/>
      <c r="F675" s="1164"/>
      <c r="G675" s="1026"/>
      <c r="H675" s="411" t="str">
        <f>IFERROR(INDEX(绊状态确认!C:C,MATCH($G675,绊状态确认!$B:$B,)),"")</f>
        <v/>
      </c>
      <c r="I675" s="450" t="str">
        <f>IFERROR(INDEX(绊状态确认!D:D,MATCH($G675,绊状态确认!$B:$B,)),"")</f>
        <v/>
      </c>
      <c r="J675" s="450" t="str">
        <f>IFERROR(INDEX(绊状态确认!E:E,MATCH($G675,绊状态确认!$B:$B,)),"")</f>
        <v/>
      </c>
      <c r="K675" s="451" t="str">
        <f>IFERROR(INDEX(绊状态确认!F:F,MATCH($G675,绊状态确认!$B:$B,)),"")</f>
        <v/>
      </c>
      <c r="L675" s="1026"/>
      <c r="M675" s="1165"/>
      <c r="N675" s="1027"/>
      <c r="O675" s="1026"/>
      <c r="P675" s="1028"/>
      <c r="Q675" s="1029"/>
      <c r="R675" s="1166"/>
      <c r="S675" s="1030"/>
      <c r="T675" s="1031"/>
      <c r="U675" s="1032"/>
      <c r="V675" s="1033"/>
      <c r="W675" s="1034"/>
      <c r="X675" s="1166"/>
      <c r="Y675" s="1035"/>
      <c r="Z675" s="1036"/>
      <c r="AA675" s="1037"/>
      <c r="AB675" s="1038"/>
      <c r="AC675" s="1039"/>
      <c r="AD675" s="1040"/>
      <c r="AE675" s="1041"/>
      <c r="AF675" s="521"/>
      <c r="AG675" s="420"/>
      <c r="AH675" s="420"/>
      <c r="AI675" s="420"/>
      <c r="AJ675" s="420"/>
      <c r="AK675" s="518"/>
      <c r="AL675" s="1042"/>
      <c r="AM675" s="1035"/>
      <c r="AN675" s="1043"/>
      <c r="AO675" s="1167"/>
      <c r="AP675" s="1044"/>
      <c r="AQ675" s="1035"/>
      <c r="AR675" s="1035"/>
      <c r="AS675" s="1035"/>
      <c r="AT675" s="1165"/>
      <c r="AU675" s="1031"/>
      <c r="AV675" s="1045"/>
      <c r="AW675" s="1038"/>
      <c r="AX675" s="1035"/>
      <c r="AY675" s="483"/>
      <c r="AZ675" s="429"/>
      <c r="BA675" s="431"/>
      <c r="BB675" s="1035"/>
      <c r="BC675" s="1035"/>
      <c r="BD675" s="481"/>
      <c r="BE675" s="432"/>
      <c r="BF675" s="646"/>
      <c r="BG675" s="1047"/>
      <c r="BH675" s="1046"/>
      <c r="BI675" s="1048"/>
      <c r="BJ675" s="1030"/>
      <c r="BK675" s="1046"/>
      <c r="BL675" s="1048"/>
      <c r="BM675" s="1046"/>
      <c r="BN675" s="1167"/>
      <c r="BO675" s="1035"/>
      <c r="BP675" s="1043"/>
      <c r="BQ675" s="1167"/>
      <c r="BR675" s="1165"/>
      <c r="BS675" s="1031"/>
      <c r="BT675" s="1038"/>
      <c r="BU675" s="1035"/>
      <c r="BV675" s="1035"/>
      <c r="BW675" s="1049"/>
      <c r="BX675" s="1043"/>
      <c r="BY675" s="1046"/>
      <c r="BZ675" s="1167"/>
      <c r="CA675" s="1165"/>
      <c r="CB675" s="1031"/>
      <c r="CC675" s="1038"/>
      <c r="CD675" s="1035"/>
      <c r="CE675" s="1035"/>
      <c r="CF675" s="1049"/>
      <c r="CG675" s="1043"/>
      <c r="CH675" s="1046"/>
      <c r="CI675" s="1167"/>
      <c r="CJ675" s="1168"/>
      <c r="CK675" s="1169"/>
      <c r="CL675" s="1169"/>
      <c r="CM675" s="1166"/>
      <c r="CN675" s="1169"/>
      <c r="CO675" s="1169"/>
      <c r="CP675" s="452"/>
      <c r="CQ675" s="435"/>
      <c r="CR675" s="1117"/>
      <c r="CS675" s="452"/>
      <c r="CT675" s="482"/>
      <c r="CU675" s="476"/>
      <c r="CV675" s="431"/>
      <c r="CW675" s="1108"/>
      <c r="CX675" s="1108"/>
      <c r="CY675" s="483"/>
      <c r="CZ675" s="437"/>
      <c r="DA675" s="438"/>
      <c r="DB675" s="439"/>
      <c r="DC675" s="439"/>
      <c r="DD675" s="443"/>
      <c r="DE675" s="411"/>
      <c r="DF675" s="411"/>
      <c r="DG675" s="1117"/>
      <c r="DH675" s="1117"/>
      <c r="DI675" s="1117"/>
      <c r="DJ675" s="442"/>
      <c r="DK675" s="482"/>
      <c r="DL675" s="1038"/>
      <c r="DM675" s="1035"/>
      <c r="DN675" s="1035"/>
      <c r="DO675" s="1035"/>
      <c r="DP675" s="1046"/>
      <c r="DQ675" s="1167"/>
      <c r="DR675" s="1168"/>
      <c r="DS675" s="1165"/>
      <c r="DT675" s="1165"/>
      <c r="DU675" s="1165"/>
      <c r="DV675" s="1031"/>
      <c r="DW675" s="1098">
        <f t="shared" si="1164"/>
        <v>0</v>
      </c>
      <c r="DX675" s="1098">
        <f t="shared" si="1165"/>
        <v>0</v>
      </c>
      <c r="DY675" s="1030"/>
      <c r="DZ675" s="1030"/>
      <c r="EA675" s="1031"/>
      <c r="EB675" s="1050"/>
      <c r="EC675" s="1038"/>
      <c r="ED675" s="1035"/>
      <c r="EE675" s="1046"/>
      <c r="EF675" s="1169"/>
      <c r="EG675" s="1168"/>
      <c r="EH675" s="1165"/>
      <c r="EI675" s="1165"/>
      <c r="EJ675" s="1165"/>
      <c r="EK675" s="1031"/>
      <c r="EL675" s="1098">
        <f t="shared" si="1166"/>
        <v>0</v>
      </c>
      <c r="EM675" s="1098">
        <f t="shared" si="1167"/>
        <v>0</v>
      </c>
      <c r="EN675" s="1030"/>
      <c r="EO675" s="1030"/>
      <c r="EP675" s="1031"/>
      <c r="EQ675" s="1050"/>
      <c r="ER675" s="1038"/>
      <c r="ES675" s="1035"/>
      <c r="ET675" s="1051"/>
    </row>
    <row r="676" spans="2:150" ht="16.5" customHeight="1">
      <c r="B676" s="1024"/>
      <c r="C676" s="1025"/>
      <c r="D676" s="408">
        <v>673</v>
      </c>
      <c r="E676" s="1164"/>
      <c r="F676" s="1164"/>
      <c r="G676" s="1026"/>
      <c r="H676" s="411" t="str">
        <f>IFERROR(INDEX(绊状态确认!C:C,MATCH($G676,绊状态确认!$B:$B,)),"")</f>
        <v/>
      </c>
      <c r="I676" s="450" t="str">
        <f>IFERROR(INDEX(绊状态确认!D:D,MATCH($G676,绊状态确认!$B:$B,)),"")</f>
        <v/>
      </c>
      <c r="J676" s="450" t="str">
        <f>IFERROR(INDEX(绊状态确认!E:E,MATCH($G676,绊状态确认!$B:$B,)),"")</f>
        <v/>
      </c>
      <c r="K676" s="451" t="str">
        <f>IFERROR(INDEX(绊状态确认!F:F,MATCH($G676,绊状态确认!$B:$B,)),"")</f>
        <v/>
      </c>
      <c r="L676" s="1026"/>
      <c r="M676" s="1165"/>
      <c r="N676" s="1027"/>
      <c r="O676" s="1026"/>
      <c r="P676" s="1028"/>
      <c r="Q676" s="1029"/>
      <c r="R676" s="1166"/>
      <c r="S676" s="1030"/>
      <c r="T676" s="1031"/>
      <c r="U676" s="1032"/>
      <c r="V676" s="1033"/>
      <c r="W676" s="1034"/>
      <c r="X676" s="1166"/>
      <c r="Y676" s="1035"/>
      <c r="Z676" s="1036"/>
      <c r="AA676" s="1037"/>
      <c r="AB676" s="1038"/>
      <c r="AC676" s="1039"/>
      <c r="AD676" s="1040"/>
      <c r="AE676" s="1041"/>
      <c r="AF676" s="521"/>
      <c r="AG676" s="420"/>
      <c r="AH676" s="420"/>
      <c r="AI676" s="420"/>
      <c r="AJ676" s="420"/>
      <c r="AK676" s="518"/>
      <c r="AL676" s="1042"/>
      <c r="AM676" s="1035"/>
      <c r="AN676" s="1043"/>
      <c r="AO676" s="1167"/>
      <c r="AP676" s="1044"/>
      <c r="AQ676" s="1035"/>
      <c r="AR676" s="1035"/>
      <c r="AS676" s="1035"/>
      <c r="AT676" s="1165"/>
      <c r="AU676" s="1031"/>
      <c r="AV676" s="1045"/>
      <c r="AW676" s="1038"/>
      <c r="AX676" s="1035"/>
      <c r="AY676" s="483"/>
      <c r="AZ676" s="429"/>
      <c r="BA676" s="431"/>
      <c r="BB676" s="1035"/>
      <c r="BC676" s="1035"/>
      <c r="BD676" s="481"/>
      <c r="BE676" s="432"/>
      <c r="BF676" s="646"/>
      <c r="BG676" s="1047"/>
      <c r="BH676" s="1046"/>
      <c r="BI676" s="1048"/>
      <c r="BJ676" s="1030"/>
      <c r="BK676" s="1046"/>
      <c r="BL676" s="1048"/>
      <c r="BM676" s="1046"/>
      <c r="BN676" s="1167"/>
      <c r="BO676" s="1035"/>
      <c r="BP676" s="1043"/>
      <c r="BQ676" s="1167"/>
      <c r="BR676" s="1165"/>
      <c r="BS676" s="1031"/>
      <c r="BT676" s="1038"/>
      <c r="BU676" s="1035"/>
      <c r="BV676" s="1035"/>
      <c r="BW676" s="1049"/>
      <c r="BX676" s="1043"/>
      <c r="BY676" s="1046"/>
      <c r="BZ676" s="1167"/>
      <c r="CA676" s="1165"/>
      <c r="CB676" s="1031"/>
      <c r="CC676" s="1038"/>
      <c r="CD676" s="1035"/>
      <c r="CE676" s="1035"/>
      <c r="CF676" s="1049"/>
      <c r="CG676" s="1043"/>
      <c r="CH676" s="1046"/>
      <c r="CI676" s="1167"/>
      <c r="CJ676" s="1168"/>
      <c r="CK676" s="1169"/>
      <c r="CL676" s="1169"/>
      <c r="CM676" s="1166"/>
      <c r="CN676" s="1169"/>
      <c r="CO676" s="1169"/>
      <c r="CP676" s="452"/>
      <c r="CQ676" s="435"/>
      <c r="CR676" s="1117"/>
      <c r="CS676" s="452"/>
      <c r="CT676" s="482"/>
      <c r="CU676" s="476"/>
      <c r="CV676" s="431"/>
      <c r="CW676" s="1108"/>
      <c r="CX676" s="1108"/>
      <c r="CY676" s="483"/>
      <c r="CZ676" s="437"/>
      <c r="DA676" s="438"/>
      <c r="DB676" s="439"/>
      <c r="DC676" s="439"/>
      <c r="DD676" s="443"/>
      <c r="DE676" s="411"/>
      <c r="DF676" s="411"/>
      <c r="DG676" s="1117"/>
      <c r="DH676" s="1117"/>
      <c r="DI676" s="1117"/>
      <c r="DJ676" s="442"/>
      <c r="DK676" s="482"/>
      <c r="DL676" s="1038"/>
      <c r="DM676" s="1035"/>
      <c r="DN676" s="1035"/>
      <c r="DO676" s="1035"/>
      <c r="DP676" s="1046"/>
      <c r="DQ676" s="1167"/>
      <c r="DR676" s="1168"/>
      <c r="DS676" s="1165"/>
      <c r="DT676" s="1165"/>
      <c r="DU676" s="1165"/>
      <c r="DV676" s="1031"/>
      <c r="DW676" s="1098">
        <f t="shared" si="1164"/>
        <v>0</v>
      </c>
      <c r="DX676" s="1098">
        <f t="shared" si="1165"/>
        <v>0</v>
      </c>
      <c r="DY676" s="1030"/>
      <c r="DZ676" s="1030"/>
      <c r="EA676" s="1031"/>
      <c r="EB676" s="1050"/>
      <c r="EC676" s="1038"/>
      <c r="ED676" s="1035"/>
      <c r="EE676" s="1046"/>
      <c r="EF676" s="1169"/>
      <c r="EG676" s="1168"/>
      <c r="EH676" s="1165"/>
      <c r="EI676" s="1165"/>
      <c r="EJ676" s="1165"/>
      <c r="EK676" s="1031"/>
      <c r="EL676" s="1098">
        <f t="shared" si="1166"/>
        <v>0</v>
      </c>
      <c r="EM676" s="1098">
        <f t="shared" si="1167"/>
        <v>0</v>
      </c>
      <c r="EN676" s="1030"/>
      <c r="EO676" s="1030"/>
      <c r="EP676" s="1031"/>
      <c r="EQ676" s="1050"/>
      <c r="ER676" s="1038"/>
      <c r="ES676" s="1035"/>
      <c r="ET676" s="1051"/>
    </row>
    <row r="677" spans="2:150" ht="16.5" customHeight="1">
      <c r="B677" s="1024"/>
      <c r="C677" s="1025"/>
      <c r="D677" s="408">
        <v>674</v>
      </c>
      <c r="E677" s="1164"/>
      <c r="F677" s="1164"/>
      <c r="G677" s="1026"/>
      <c r="H677" s="411" t="str">
        <f>IFERROR(INDEX(绊状态确认!C:C,MATCH($G677,绊状态确认!$B:$B,)),"")</f>
        <v/>
      </c>
      <c r="I677" s="450" t="str">
        <f>IFERROR(INDEX(绊状态确认!D:D,MATCH($G677,绊状态确认!$B:$B,)),"")</f>
        <v/>
      </c>
      <c r="J677" s="450" t="str">
        <f>IFERROR(INDEX(绊状态确认!E:E,MATCH($G677,绊状态确认!$B:$B,)),"")</f>
        <v/>
      </c>
      <c r="K677" s="451" t="str">
        <f>IFERROR(INDEX(绊状态确认!F:F,MATCH($G677,绊状态确认!$B:$B,)),"")</f>
        <v/>
      </c>
      <c r="L677" s="1026"/>
      <c r="M677" s="1165"/>
      <c r="N677" s="1027"/>
      <c r="O677" s="1026"/>
      <c r="P677" s="1028"/>
      <c r="Q677" s="1029"/>
      <c r="R677" s="1166"/>
      <c r="S677" s="1030"/>
      <c r="T677" s="1031"/>
      <c r="U677" s="1032"/>
      <c r="V677" s="1033"/>
      <c r="W677" s="1034"/>
      <c r="X677" s="1166"/>
      <c r="Y677" s="1035"/>
      <c r="Z677" s="1036"/>
      <c r="AA677" s="1037"/>
      <c r="AB677" s="1038"/>
      <c r="AC677" s="1039"/>
      <c r="AD677" s="1040"/>
      <c r="AE677" s="1041"/>
      <c r="AF677" s="521"/>
      <c r="AG677" s="420"/>
      <c r="AH677" s="420"/>
      <c r="AI677" s="420"/>
      <c r="AJ677" s="420"/>
      <c r="AK677" s="518"/>
      <c r="AL677" s="1042"/>
      <c r="AM677" s="1035"/>
      <c r="AN677" s="1043"/>
      <c r="AO677" s="1167"/>
      <c r="AP677" s="1044"/>
      <c r="AQ677" s="1035"/>
      <c r="AR677" s="1035"/>
      <c r="AS677" s="1035"/>
      <c r="AT677" s="1165"/>
      <c r="AU677" s="1031"/>
      <c r="AV677" s="1045"/>
      <c r="AW677" s="1038"/>
      <c r="AX677" s="1035"/>
      <c r="AY677" s="483"/>
      <c r="AZ677" s="429"/>
      <c r="BA677" s="431"/>
      <c r="BB677" s="1035"/>
      <c r="BC677" s="1035"/>
      <c r="BD677" s="481"/>
      <c r="BE677" s="432"/>
      <c r="BF677" s="646"/>
      <c r="BG677" s="1047"/>
      <c r="BH677" s="1046"/>
      <c r="BI677" s="1048"/>
      <c r="BJ677" s="1030"/>
      <c r="BK677" s="1046"/>
      <c r="BL677" s="1048"/>
      <c r="BM677" s="1046"/>
      <c r="BN677" s="1167"/>
      <c r="BO677" s="1035"/>
      <c r="BP677" s="1043"/>
      <c r="BQ677" s="1167"/>
      <c r="BR677" s="1165"/>
      <c r="BS677" s="1031"/>
      <c r="BT677" s="1038"/>
      <c r="BU677" s="1035"/>
      <c r="BV677" s="1035"/>
      <c r="BW677" s="1049"/>
      <c r="BX677" s="1043"/>
      <c r="BY677" s="1046"/>
      <c r="BZ677" s="1167"/>
      <c r="CA677" s="1165"/>
      <c r="CB677" s="1031"/>
      <c r="CC677" s="1038"/>
      <c r="CD677" s="1035"/>
      <c r="CE677" s="1035"/>
      <c r="CF677" s="1049"/>
      <c r="CG677" s="1043"/>
      <c r="CH677" s="1046"/>
      <c r="CI677" s="1167"/>
      <c r="CJ677" s="1168"/>
      <c r="CK677" s="1169"/>
      <c r="CL677" s="1169"/>
      <c r="CM677" s="1166"/>
      <c r="CN677" s="1169"/>
      <c r="CO677" s="1169"/>
      <c r="CP677" s="452"/>
      <c r="CQ677" s="435"/>
      <c r="CR677" s="1117"/>
      <c r="CS677" s="452"/>
      <c r="CT677" s="482"/>
      <c r="CU677" s="476"/>
      <c r="CV677" s="431"/>
      <c r="CW677" s="1108"/>
      <c r="CX677" s="1108"/>
      <c r="CY677" s="483"/>
      <c r="CZ677" s="437"/>
      <c r="DA677" s="438"/>
      <c r="DB677" s="439"/>
      <c r="DC677" s="439"/>
      <c r="DD677" s="443"/>
      <c r="DE677" s="411"/>
      <c r="DF677" s="411"/>
      <c r="DG677" s="1117"/>
      <c r="DH677" s="1117"/>
      <c r="DI677" s="1117"/>
      <c r="DJ677" s="442"/>
      <c r="DK677" s="482"/>
      <c r="DL677" s="1038"/>
      <c r="DM677" s="1035"/>
      <c r="DN677" s="1035"/>
      <c r="DO677" s="1035"/>
      <c r="DP677" s="1046"/>
      <c r="DQ677" s="1167"/>
      <c r="DR677" s="1168"/>
      <c r="DS677" s="1165"/>
      <c r="DT677" s="1165"/>
      <c r="DU677" s="1165"/>
      <c r="DV677" s="1031"/>
      <c r="DW677" s="1098">
        <f t="shared" si="1164"/>
        <v>0</v>
      </c>
      <c r="DX677" s="1098">
        <f t="shared" si="1165"/>
        <v>0</v>
      </c>
      <c r="DY677" s="1030"/>
      <c r="DZ677" s="1030"/>
      <c r="EA677" s="1031"/>
      <c r="EB677" s="1050"/>
      <c r="EC677" s="1038"/>
      <c r="ED677" s="1035"/>
      <c r="EE677" s="1046"/>
      <c r="EF677" s="1169"/>
      <c r="EG677" s="1168"/>
      <c r="EH677" s="1165"/>
      <c r="EI677" s="1165"/>
      <c r="EJ677" s="1165"/>
      <c r="EK677" s="1031"/>
      <c r="EL677" s="1098">
        <f t="shared" si="1166"/>
        <v>0</v>
      </c>
      <c r="EM677" s="1098">
        <f t="shared" si="1167"/>
        <v>0</v>
      </c>
      <c r="EN677" s="1030"/>
      <c r="EO677" s="1030"/>
      <c r="EP677" s="1031"/>
      <c r="EQ677" s="1050"/>
      <c r="ER677" s="1038"/>
      <c r="ES677" s="1035"/>
      <c r="ET677" s="1051"/>
    </row>
    <row r="678" spans="2:150" ht="16.5" customHeight="1">
      <c r="B678" s="1024"/>
      <c r="C678" s="1025"/>
      <c r="D678" s="408">
        <v>675</v>
      </c>
      <c r="E678" s="1164"/>
      <c r="F678" s="1164"/>
      <c r="G678" s="1026"/>
      <c r="H678" s="411" t="str">
        <f>IFERROR(INDEX(绊状态确认!C:C,MATCH($G678,绊状态确认!$B:$B,)),"")</f>
        <v/>
      </c>
      <c r="I678" s="450" t="str">
        <f>IFERROR(INDEX(绊状态确认!D:D,MATCH($G678,绊状态确认!$B:$B,)),"")</f>
        <v/>
      </c>
      <c r="J678" s="450" t="str">
        <f>IFERROR(INDEX(绊状态确认!E:E,MATCH($G678,绊状态确认!$B:$B,)),"")</f>
        <v/>
      </c>
      <c r="K678" s="451" t="str">
        <f>IFERROR(INDEX(绊状态确认!F:F,MATCH($G678,绊状态确认!$B:$B,)),"")</f>
        <v/>
      </c>
      <c r="L678" s="1026"/>
      <c r="M678" s="1165"/>
      <c r="N678" s="1027"/>
      <c r="O678" s="1026"/>
      <c r="P678" s="1028"/>
      <c r="Q678" s="1029"/>
      <c r="R678" s="1166"/>
      <c r="S678" s="1030"/>
      <c r="T678" s="1031"/>
      <c r="U678" s="1032"/>
      <c r="V678" s="1033"/>
      <c r="W678" s="1034"/>
      <c r="X678" s="1166"/>
      <c r="Y678" s="1035"/>
      <c r="Z678" s="1036"/>
      <c r="AA678" s="1037"/>
      <c r="AB678" s="1038"/>
      <c r="AC678" s="1039"/>
      <c r="AD678" s="1040"/>
      <c r="AE678" s="1041"/>
      <c r="AF678" s="521"/>
      <c r="AG678" s="420"/>
      <c r="AH678" s="420"/>
      <c r="AI678" s="420"/>
      <c r="AJ678" s="420"/>
      <c r="AK678" s="518"/>
      <c r="AL678" s="1042"/>
      <c r="AM678" s="1035"/>
      <c r="AN678" s="1043"/>
      <c r="AO678" s="1167"/>
      <c r="AP678" s="1044"/>
      <c r="AQ678" s="1035"/>
      <c r="AR678" s="1035"/>
      <c r="AS678" s="1035"/>
      <c r="AT678" s="1165"/>
      <c r="AU678" s="1031"/>
      <c r="AV678" s="1045"/>
      <c r="AW678" s="1038"/>
      <c r="AX678" s="1035"/>
      <c r="AY678" s="483"/>
      <c r="AZ678" s="429"/>
      <c r="BA678" s="431"/>
      <c r="BB678" s="1035"/>
      <c r="BC678" s="1035"/>
      <c r="BD678" s="481"/>
      <c r="BE678" s="432"/>
      <c r="BF678" s="646"/>
      <c r="BG678" s="1047"/>
      <c r="BH678" s="1046"/>
      <c r="BI678" s="1048"/>
      <c r="BJ678" s="1030"/>
      <c r="BK678" s="1046"/>
      <c r="BL678" s="1048"/>
      <c r="BM678" s="1046"/>
      <c r="BN678" s="1167"/>
      <c r="BO678" s="1035"/>
      <c r="BP678" s="1043"/>
      <c r="BQ678" s="1167"/>
      <c r="BR678" s="1165"/>
      <c r="BS678" s="1031"/>
      <c r="BT678" s="1038"/>
      <c r="BU678" s="1035"/>
      <c r="BV678" s="1035"/>
      <c r="BW678" s="1049"/>
      <c r="BX678" s="1043"/>
      <c r="BY678" s="1046"/>
      <c r="BZ678" s="1167"/>
      <c r="CA678" s="1165"/>
      <c r="CB678" s="1031"/>
      <c r="CC678" s="1038"/>
      <c r="CD678" s="1035"/>
      <c r="CE678" s="1035"/>
      <c r="CF678" s="1049"/>
      <c r="CG678" s="1043"/>
      <c r="CH678" s="1046"/>
      <c r="CI678" s="1167"/>
      <c r="CJ678" s="1168"/>
      <c r="CK678" s="1169"/>
      <c r="CL678" s="1169"/>
      <c r="CM678" s="1166"/>
      <c r="CN678" s="1169"/>
      <c r="CO678" s="1169"/>
      <c r="CP678" s="452"/>
      <c r="CQ678" s="435"/>
      <c r="CR678" s="1117"/>
      <c r="CS678" s="452"/>
      <c r="CT678" s="482"/>
      <c r="CU678" s="476"/>
      <c r="CV678" s="431"/>
      <c r="CW678" s="1108"/>
      <c r="CX678" s="1108"/>
      <c r="CY678" s="483"/>
      <c r="CZ678" s="437"/>
      <c r="DA678" s="438"/>
      <c r="DB678" s="439"/>
      <c r="DC678" s="439"/>
      <c r="DD678" s="443"/>
      <c r="DE678" s="411"/>
      <c r="DF678" s="411"/>
      <c r="DG678" s="1117"/>
      <c r="DH678" s="1117"/>
      <c r="DI678" s="1117"/>
      <c r="DJ678" s="442"/>
      <c r="DK678" s="482"/>
      <c r="DL678" s="1038"/>
      <c r="DM678" s="1035"/>
      <c r="DN678" s="1035"/>
      <c r="DO678" s="1035"/>
      <c r="DP678" s="1046"/>
      <c r="DQ678" s="1167"/>
      <c r="DR678" s="1168"/>
      <c r="DS678" s="1165"/>
      <c r="DT678" s="1165"/>
      <c r="DU678" s="1165"/>
      <c r="DV678" s="1031"/>
      <c r="DW678" s="1098">
        <f t="shared" si="1164"/>
        <v>0</v>
      </c>
      <c r="DX678" s="1098">
        <f t="shared" si="1165"/>
        <v>0</v>
      </c>
      <c r="DY678" s="1030"/>
      <c r="DZ678" s="1030"/>
      <c r="EA678" s="1031"/>
      <c r="EB678" s="1050"/>
      <c r="EC678" s="1038"/>
      <c r="ED678" s="1035"/>
      <c r="EE678" s="1046"/>
      <c r="EF678" s="1169"/>
      <c r="EG678" s="1168"/>
      <c r="EH678" s="1165"/>
      <c r="EI678" s="1165"/>
      <c r="EJ678" s="1165"/>
      <c r="EK678" s="1031"/>
      <c r="EL678" s="1098">
        <f t="shared" si="1166"/>
        <v>0</v>
      </c>
      <c r="EM678" s="1098">
        <f t="shared" si="1167"/>
        <v>0</v>
      </c>
      <c r="EN678" s="1030"/>
      <c r="EO678" s="1030"/>
      <c r="EP678" s="1031"/>
      <c r="EQ678" s="1050"/>
      <c r="ER678" s="1038"/>
      <c r="ES678" s="1035"/>
      <c r="ET678" s="1051"/>
    </row>
    <row r="679" spans="2:150" ht="16.5" customHeight="1">
      <c r="B679" s="1024"/>
      <c r="C679" s="1025"/>
      <c r="D679" s="408">
        <v>676</v>
      </c>
      <c r="E679" s="1164"/>
      <c r="F679" s="1164"/>
      <c r="G679" s="1026"/>
      <c r="H679" s="411" t="str">
        <f>IFERROR(INDEX(绊状态确认!C:C,MATCH($G679,绊状态确认!$B:$B,)),"")</f>
        <v/>
      </c>
      <c r="I679" s="450" t="str">
        <f>IFERROR(INDEX(绊状态确认!D:D,MATCH($G679,绊状态确认!$B:$B,)),"")</f>
        <v/>
      </c>
      <c r="J679" s="450" t="str">
        <f>IFERROR(INDEX(绊状态确认!E:E,MATCH($G679,绊状态确认!$B:$B,)),"")</f>
        <v/>
      </c>
      <c r="K679" s="451" t="str">
        <f>IFERROR(INDEX(绊状态确认!F:F,MATCH($G679,绊状态确认!$B:$B,)),"")</f>
        <v/>
      </c>
      <c r="L679" s="1026"/>
      <c r="M679" s="1165"/>
      <c r="N679" s="1027"/>
      <c r="O679" s="1026"/>
      <c r="P679" s="1028"/>
      <c r="Q679" s="1029"/>
      <c r="R679" s="1166"/>
      <c r="S679" s="1030"/>
      <c r="T679" s="1031"/>
      <c r="U679" s="1032"/>
      <c r="V679" s="1033"/>
      <c r="W679" s="1034"/>
      <c r="X679" s="1166"/>
      <c r="Y679" s="1035"/>
      <c r="Z679" s="1036"/>
      <c r="AA679" s="1037"/>
      <c r="AB679" s="1038"/>
      <c r="AC679" s="1039"/>
      <c r="AD679" s="1040"/>
      <c r="AE679" s="1041"/>
      <c r="AF679" s="521"/>
      <c r="AG679" s="420"/>
      <c r="AH679" s="420"/>
      <c r="AI679" s="420"/>
      <c r="AJ679" s="420"/>
      <c r="AK679" s="518"/>
      <c r="AL679" s="1042"/>
      <c r="AM679" s="1035"/>
      <c r="AN679" s="1043"/>
      <c r="AO679" s="1167"/>
      <c r="AP679" s="1044"/>
      <c r="AQ679" s="1035"/>
      <c r="AR679" s="1035"/>
      <c r="AS679" s="1035"/>
      <c r="AT679" s="1165"/>
      <c r="AU679" s="1031"/>
      <c r="AV679" s="1045"/>
      <c r="AW679" s="1038"/>
      <c r="AX679" s="1035"/>
      <c r="AY679" s="483"/>
      <c r="AZ679" s="429"/>
      <c r="BA679" s="431"/>
      <c r="BB679" s="1035"/>
      <c r="BC679" s="1035"/>
      <c r="BD679" s="481"/>
      <c r="BE679" s="432"/>
      <c r="BF679" s="646"/>
      <c r="BG679" s="1047"/>
      <c r="BH679" s="1046"/>
      <c r="BI679" s="1048"/>
      <c r="BJ679" s="1030"/>
      <c r="BK679" s="1046"/>
      <c r="BL679" s="1048"/>
      <c r="BM679" s="1046"/>
      <c r="BN679" s="1167"/>
      <c r="BO679" s="1035"/>
      <c r="BP679" s="1043"/>
      <c r="BQ679" s="1167"/>
      <c r="BR679" s="1165"/>
      <c r="BS679" s="1031"/>
      <c r="BT679" s="1038"/>
      <c r="BU679" s="1035"/>
      <c r="BV679" s="1035"/>
      <c r="BW679" s="1049"/>
      <c r="BX679" s="1043"/>
      <c r="BY679" s="1046"/>
      <c r="BZ679" s="1167"/>
      <c r="CA679" s="1165"/>
      <c r="CB679" s="1031"/>
      <c r="CC679" s="1038"/>
      <c r="CD679" s="1035"/>
      <c r="CE679" s="1035"/>
      <c r="CF679" s="1049"/>
      <c r="CG679" s="1043"/>
      <c r="CH679" s="1046"/>
      <c r="CI679" s="1167"/>
      <c r="CJ679" s="1168"/>
      <c r="CK679" s="1169"/>
      <c r="CL679" s="1169"/>
      <c r="CM679" s="1166"/>
      <c r="CN679" s="1169"/>
      <c r="CO679" s="1169"/>
      <c r="CP679" s="452"/>
      <c r="CQ679" s="435"/>
      <c r="CR679" s="1117"/>
      <c r="CS679" s="452"/>
      <c r="CT679" s="482"/>
      <c r="CU679" s="476"/>
      <c r="CV679" s="431"/>
      <c r="CW679" s="1108"/>
      <c r="CX679" s="1108"/>
      <c r="CY679" s="483"/>
      <c r="CZ679" s="437"/>
      <c r="DA679" s="438"/>
      <c r="DB679" s="439"/>
      <c r="DC679" s="439"/>
      <c r="DD679" s="443"/>
      <c r="DE679" s="411"/>
      <c r="DF679" s="411"/>
      <c r="DG679" s="1117"/>
      <c r="DH679" s="1117"/>
      <c r="DI679" s="1117"/>
      <c r="DJ679" s="442"/>
      <c r="DK679" s="482"/>
      <c r="DL679" s="1038"/>
      <c r="DM679" s="1035"/>
      <c r="DN679" s="1035"/>
      <c r="DO679" s="1035"/>
      <c r="DP679" s="1046"/>
      <c r="DQ679" s="1167"/>
      <c r="DR679" s="1168"/>
      <c r="DS679" s="1165"/>
      <c r="DT679" s="1165"/>
      <c r="DU679" s="1165"/>
      <c r="DV679" s="1031"/>
      <c r="DW679" s="1098">
        <f t="shared" si="1164"/>
        <v>0</v>
      </c>
      <c r="DX679" s="1098">
        <f t="shared" si="1165"/>
        <v>0</v>
      </c>
      <c r="DY679" s="1030"/>
      <c r="DZ679" s="1030"/>
      <c r="EA679" s="1031"/>
      <c r="EB679" s="1050"/>
      <c r="EC679" s="1038"/>
      <c r="ED679" s="1035"/>
      <c r="EE679" s="1046"/>
      <c r="EF679" s="1169"/>
      <c r="EG679" s="1168"/>
      <c r="EH679" s="1165"/>
      <c r="EI679" s="1165"/>
      <c r="EJ679" s="1165"/>
      <c r="EK679" s="1031"/>
      <c r="EL679" s="1098">
        <f t="shared" si="1166"/>
        <v>0</v>
      </c>
      <c r="EM679" s="1098">
        <f t="shared" si="1167"/>
        <v>0</v>
      </c>
      <c r="EN679" s="1030"/>
      <c r="EO679" s="1030"/>
      <c r="EP679" s="1031"/>
      <c r="EQ679" s="1050"/>
      <c r="ER679" s="1038"/>
      <c r="ES679" s="1035"/>
      <c r="ET679" s="1051"/>
    </row>
    <row r="680" spans="2:150" ht="16.5" customHeight="1">
      <c r="B680" s="1024"/>
      <c r="C680" s="1025"/>
      <c r="D680" s="408">
        <v>677</v>
      </c>
      <c r="E680" s="1164"/>
      <c r="F680" s="1164"/>
      <c r="G680" s="1026"/>
      <c r="H680" s="411" t="str">
        <f>IFERROR(INDEX(绊状态确认!C:C,MATCH($G680,绊状态确认!$B:$B,)),"")</f>
        <v/>
      </c>
      <c r="I680" s="450" t="str">
        <f>IFERROR(INDEX(绊状态确认!D:D,MATCH($G680,绊状态确认!$B:$B,)),"")</f>
        <v/>
      </c>
      <c r="J680" s="450" t="str">
        <f>IFERROR(INDEX(绊状态确认!E:E,MATCH($G680,绊状态确认!$B:$B,)),"")</f>
        <v/>
      </c>
      <c r="K680" s="451" t="str">
        <f>IFERROR(INDEX(绊状态确认!F:F,MATCH($G680,绊状态确认!$B:$B,)),"")</f>
        <v/>
      </c>
      <c r="L680" s="1026"/>
      <c r="M680" s="1165"/>
      <c r="N680" s="1027"/>
      <c r="O680" s="1026"/>
      <c r="P680" s="1028"/>
      <c r="Q680" s="1029"/>
      <c r="R680" s="1166"/>
      <c r="S680" s="1030"/>
      <c r="T680" s="1031"/>
      <c r="U680" s="1032"/>
      <c r="V680" s="1033"/>
      <c r="W680" s="1034"/>
      <c r="X680" s="1166"/>
      <c r="Y680" s="1035"/>
      <c r="Z680" s="1036"/>
      <c r="AA680" s="1037"/>
      <c r="AB680" s="1038"/>
      <c r="AC680" s="1039"/>
      <c r="AD680" s="1040"/>
      <c r="AE680" s="1041"/>
      <c r="AF680" s="521"/>
      <c r="AG680" s="420"/>
      <c r="AH680" s="420"/>
      <c r="AI680" s="420"/>
      <c r="AJ680" s="420"/>
      <c r="AK680" s="518"/>
      <c r="AL680" s="1042"/>
      <c r="AM680" s="1035"/>
      <c r="AN680" s="1043"/>
      <c r="AO680" s="1167"/>
      <c r="AP680" s="1044"/>
      <c r="AQ680" s="1035"/>
      <c r="AR680" s="1035"/>
      <c r="AS680" s="1035"/>
      <c r="AT680" s="1165"/>
      <c r="AU680" s="1031"/>
      <c r="AV680" s="1045"/>
      <c r="AW680" s="1038"/>
      <c r="AX680" s="1035"/>
      <c r="AY680" s="483"/>
      <c r="AZ680" s="429"/>
      <c r="BA680" s="431"/>
      <c r="BB680" s="1035"/>
      <c r="BC680" s="1035"/>
      <c r="BD680" s="481"/>
      <c r="BE680" s="432"/>
      <c r="BF680" s="646"/>
      <c r="BG680" s="1047"/>
      <c r="BH680" s="1046"/>
      <c r="BI680" s="1048"/>
      <c r="BJ680" s="1030"/>
      <c r="BK680" s="1046"/>
      <c r="BL680" s="1048"/>
      <c r="BM680" s="1046"/>
      <c r="BN680" s="1167"/>
      <c r="BO680" s="1035"/>
      <c r="BP680" s="1043"/>
      <c r="BQ680" s="1167"/>
      <c r="BR680" s="1165"/>
      <c r="BS680" s="1031"/>
      <c r="BT680" s="1038"/>
      <c r="BU680" s="1035"/>
      <c r="BV680" s="1035"/>
      <c r="BW680" s="1049"/>
      <c r="BX680" s="1043"/>
      <c r="BY680" s="1046"/>
      <c r="BZ680" s="1167"/>
      <c r="CA680" s="1165"/>
      <c r="CB680" s="1031"/>
      <c r="CC680" s="1038"/>
      <c r="CD680" s="1035"/>
      <c r="CE680" s="1035"/>
      <c r="CF680" s="1049"/>
      <c r="CG680" s="1043"/>
      <c r="CH680" s="1046"/>
      <c r="CI680" s="1167"/>
      <c r="CJ680" s="1168"/>
      <c r="CK680" s="1169"/>
      <c r="CL680" s="1169"/>
      <c r="CM680" s="1166"/>
      <c r="CN680" s="1169"/>
      <c r="CO680" s="1169"/>
      <c r="CP680" s="452"/>
      <c r="CQ680" s="435"/>
      <c r="CR680" s="1117"/>
      <c r="CS680" s="452"/>
      <c r="CT680" s="482"/>
      <c r="CU680" s="476"/>
      <c r="CV680" s="431"/>
      <c r="CW680" s="1108"/>
      <c r="CX680" s="1108"/>
      <c r="CY680" s="483"/>
      <c r="CZ680" s="437"/>
      <c r="DA680" s="438"/>
      <c r="DB680" s="439"/>
      <c r="DC680" s="439"/>
      <c r="DD680" s="443"/>
      <c r="DE680" s="411"/>
      <c r="DF680" s="411"/>
      <c r="DG680" s="1117"/>
      <c r="DH680" s="1117"/>
      <c r="DI680" s="1117"/>
      <c r="DJ680" s="442"/>
      <c r="DK680" s="482"/>
      <c r="DL680" s="1038"/>
      <c r="DM680" s="1035"/>
      <c r="DN680" s="1035"/>
      <c r="DO680" s="1035"/>
      <c r="DP680" s="1046"/>
      <c r="DQ680" s="1167"/>
      <c r="DR680" s="1168"/>
      <c r="DS680" s="1165"/>
      <c r="DT680" s="1165"/>
      <c r="DU680" s="1165"/>
      <c r="DV680" s="1031"/>
      <c r="DW680" s="1098">
        <f t="shared" si="1164"/>
        <v>0</v>
      </c>
      <c r="DX680" s="1098">
        <f t="shared" si="1165"/>
        <v>0</v>
      </c>
      <c r="DY680" s="1030"/>
      <c r="DZ680" s="1030"/>
      <c r="EA680" s="1031"/>
      <c r="EB680" s="1050"/>
      <c r="EC680" s="1038"/>
      <c r="ED680" s="1035"/>
      <c r="EE680" s="1046"/>
      <c r="EF680" s="1169"/>
      <c r="EG680" s="1168"/>
      <c r="EH680" s="1165"/>
      <c r="EI680" s="1165"/>
      <c r="EJ680" s="1165"/>
      <c r="EK680" s="1031"/>
      <c r="EL680" s="1098">
        <f t="shared" si="1166"/>
        <v>0</v>
      </c>
      <c r="EM680" s="1098">
        <f t="shared" si="1167"/>
        <v>0</v>
      </c>
      <c r="EN680" s="1030"/>
      <c r="EO680" s="1030"/>
      <c r="EP680" s="1031"/>
      <c r="EQ680" s="1050"/>
      <c r="ER680" s="1038"/>
      <c r="ES680" s="1035"/>
      <c r="ET680" s="1051"/>
    </row>
    <row r="681" spans="2:150" ht="16.5" customHeight="1">
      <c r="B681" s="1024"/>
      <c r="C681" s="1025"/>
      <c r="D681" s="408">
        <v>678</v>
      </c>
      <c r="E681" s="1164"/>
      <c r="F681" s="1164"/>
      <c r="G681" s="1026"/>
      <c r="H681" s="411" t="str">
        <f>IFERROR(INDEX(绊状态确认!C:C,MATCH($G681,绊状态确认!$B:$B,)),"")</f>
        <v/>
      </c>
      <c r="I681" s="450" t="str">
        <f>IFERROR(INDEX(绊状态确认!D:D,MATCH($G681,绊状态确认!$B:$B,)),"")</f>
        <v/>
      </c>
      <c r="J681" s="450" t="str">
        <f>IFERROR(INDEX(绊状态确认!E:E,MATCH($G681,绊状态确认!$B:$B,)),"")</f>
        <v/>
      </c>
      <c r="K681" s="451" t="str">
        <f>IFERROR(INDEX(绊状态确认!F:F,MATCH($G681,绊状态确认!$B:$B,)),"")</f>
        <v/>
      </c>
      <c r="L681" s="1026"/>
      <c r="M681" s="1165"/>
      <c r="N681" s="1027"/>
      <c r="O681" s="1026"/>
      <c r="P681" s="1028"/>
      <c r="Q681" s="1029"/>
      <c r="R681" s="1166"/>
      <c r="S681" s="1030"/>
      <c r="T681" s="1031"/>
      <c r="U681" s="1032"/>
      <c r="V681" s="1033"/>
      <c r="W681" s="1034"/>
      <c r="X681" s="1166"/>
      <c r="Y681" s="1035"/>
      <c r="Z681" s="1036"/>
      <c r="AA681" s="1037"/>
      <c r="AB681" s="1038"/>
      <c r="AC681" s="1039"/>
      <c r="AD681" s="1040"/>
      <c r="AE681" s="1041"/>
      <c r="AF681" s="521"/>
      <c r="AG681" s="420"/>
      <c r="AH681" s="420"/>
      <c r="AI681" s="420"/>
      <c r="AJ681" s="420"/>
      <c r="AK681" s="518"/>
      <c r="AL681" s="1042"/>
      <c r="AM681" s="1035"/>
      <c r="AN681" s="1043"/>
      <c r="AO681" s="1167"/>
      <c r="AP681" s="1044"/>
      <c r="AQ681" s="1035"/>
      <c r="AR681" s="1035"/>
      <c r="AS681" s="1035"/>
      <c r="AT681" s="1165"/>
      <c r="AU681" s="1031"/>
      <c r="AV681" s="1045"/>
      <c r="AW681" s="1038"/>
      <c r="AX681" s="1035"/>
      <c r="AY681" s="483"/>
      <c r="AZ681" s="429"/>
      <c r="BA681" s="431"/>
      <c r="BB681" s="1035"/>
      <c r="BC681" s="1035"/>
      <c r="BD681" s="481"/>
      <c r="BE681" s="432"/>
      <c r="BF681" s="646"/>
      <c r="BG681" s="1047"/>
      <c r="BH681" s="1046"/>
      <c r="BI681" s="1048"/>
      <c r="BJ681" s="1030"/>
      <c r="BK681" s="1046"/>
      <c r="BL681" s="1048"/>
      <c r="BM681" s="1046"/>
      <c r="BN681" s="1167"/>
      <c r="BO681" s="1035"/>
      <c r="BP681" s="1043"/>
      <c r="BQ681" s="1167"/>
      <c r="BR681" s="1165"/>
      <c r="BS681" s="1031"/>
      <c r="BT681" s="1038"/>
      <c r="BU681" s="1035"/>
      <c r="BV681" s="1035"/>
      <c r="BW681" s="1049"/>
      <c r="BX681" s="1043"/>
      <c r="BY681" s="1046"/>
      <c r="BZ681" s="1167"/>
      <c r="CA681" s="1165"/>
      <c r="CB681" s="1031"/>
      <c r="CC681" s="1038"/>
      <c r="CD681" s="1035"/>
      <c r="CE681" s="1035"/>
      <c r="CF681" s="1049"/>
      <c r="CG681" s="1043"/>
      <c r="CH681" s="1046"/>
      <c r="CI681" s="1167"/>
      <c r="CJ681" s="1168"/>
      <c r="CK681" s="1169"/>
      <c r="CL681" s="1169"/>
      <c r="CM681" s="1166"/>
      <c r="CN681" s="1169"/>
      <c r="CO681" s="1169"/>
      <c r="CP681" s="452"/>
      <c r="CQ681" s="435"/>
      <c r="CR681" s="1117"/>
      <c r="CS681" s="452"/>
      <c r="CT681" s="482"/>
      <c r="CU681" s="476"/>
      <c r="CV681" s="431"/>
      <c r="CW681" s="1108"/>
      <c r="CX681" s="1108"/>
      <c r="CY681" s="483"/>
      <c r="CZ681" s="437"/>
      <c r="DA681" s="438"/>
      <c r="DB681" s="439"/>
      <c r="DC681" s="439"/>
      <c r="DD681" s="443"/>
      <c r="DE681" s="411"/>
      <c r="DF681" s="411"/>
      <c r="DG681" s="1117"/>
      <c r="DH681" s="1117"/>
      <c r="DI681" s="1117"/>
      <c r="DJ681" s="442"/>
      <c r="DK681" s="482"/>
      <c r="DL681" s="1038"/>
      <c r="DM681" s="1035"/>
      <c r="DN681" s="1035"/>
      <c r="DO681" s="1035"/>
      <c r="DP681" s="1046"/>
      <c r="DQ681" s="1167"/>
      <c r="DR681" s="1168"/>
      <c r="DS681" s="1165"/>
      <c r="DT681" s="1165"/>
      <c r="DU681" s="1165"/>
      <c r="DV681" s="1031"/>
      <c r="DW681" s="1098">
        <f t="shared" si="1164"/>
        <v>0</v>
      </c>
      <c r="DX681" s="1098">
        <f t="shared" si="1165"/>
        <v>0</v>
      </c>
      <c r="DY681" s="1030"/>
      <c r="DZ681" s="1030"/>
      <c r="EA681" s="1031"/>
      <c r="EB681" s="1050"/>
      <c r="EC681" s="1038"/>
      <c r="ED681" s="1035"/>
      <c r="EE681" s="1046"/>
      <c r="EF681" s="1169"/>
      <c r="EG681" s="1168"/>
      <c r="EH681" s="1165"/>
      <c r="EI681" s="1165"/>
      <c r="EJ681" s="1165"/>
      <c r="EK681" s="1031"/>
      <c r="EL681" s="1098">
        <f t="shared" si="1166"/>
        <v>0</v>
      </c>
      <c r="EM681" s="1098">
        <f t="shared" si="1167"/>
        <v>0</v>
      </c>
      <c r="EN681" s="1030"/>
      <c r="EO681" s="1030"/>
      <c r="EP681" s="1031"/>
      <c r="EQ681" s="1050"/>
      <c r="ER681" s="1038"/>
      <c r="ES681" s="1035"/>
      <c r="ET681" s="1051"/>
    </row>
    <row r="682" spans="2:150" ht="16.5" customHeight="1">
      <c r="B682" s="1024"/>
      <c r="C682" s="1025"/>
      <c r="D682" s="408">
        <v>679</v>
      </c>
      <c r="E682" s="1164"/>
      <c r="F682" s="1164"/>
      <c r="G682" s="1026"/>
      <c r="H682" s="411" t="str">
        <f>IFERROR(INDEX(绊状态确认!C:C,MATCH($G682,绊状态确认!$B:$B,)),"")</f>
        <v/>
      </c>
      <c r="I682" s="450" t="str">
        <f>IFERROR(INDEX(绊状态确认!D:D,MATCH($G682,绊状态确认!$B:$B,)),"")</f>
        <v/>
      </c>
      <c r="J682" s="450" t="str">
        <f>IFERROR(INDEX(绊状态确认!E:E,MATCH($G682,绊状态确认!$B:$B,)),"")</f>
        <v/>
      </c>
      <c r="K682" s="451" t="str">
        <f>IFERROR(INDEX(绊状态确认!F:F,MATCH($G682,绊状态确认!$B:$B,)),"")</f>
        <v/>
      </c>
      <c r="L682" s="1026"/>
      <c r="M682" s="1165"/>
      <c r="N682" s="1027"/>
      <c r="O682" s="1026"/>
      <c r="P682" s="1028"/>
      <c r="Q682" s="1029"/>
      <c r="R682" s="1166"/>
      <c r="S682" s="1030"/>
      <c r="T682" s="1031"/>
      <c r="U682" s="1032"/>
      <c r="V682" s="1033"/>
      <c r="W682" s="1034"/>
      <c r="X682" s="1166"/>
      <c r="Y682" s="1035"/>
      <c r="Z682" s="1036"/>
      <c r="AA682" s="1037"/>
      <c r="AB682" s="1038"/>
      <c r="AC682" s="1039"/>
      <c r="AD682" s="1040"/>
      <c r="AE682" s="1041"/>
      <c r="AF682" s="521"/>
      <c r="AG682" s="420"/>
      <c r="AH682" s="420"/>
      <c r="AI682" s="420"/>
      <c r="AJ682" s="420"/>
      <c r="AK682" s="518"/>
      <c r="AL682" s="1042"/>
      <c r="AM682" s="1035"/>
      <c r="AN682" s="1043"/>
      <c r="AO682" s="1167"/>
      <c r="AP682" s="1044"/>
      <c r="AQ682" s="1035"/>
      <c r="AR682" s="1035"/>
      <c r="AS682" s="1035"/>
      <c r="AT682" s="1165"/>
      <c r="AU682" s="1031"/>
      <c r="AV682" s="1045"/>
      <c r="AW682" s="1038"/>
      <c r="AX682" s="1035"/>
      <c r="AY682" s="483"/>
      <c r="AZ682" s="429"/>
      <c r="BA682" s="431"/>
      <c r="BB682" s="1035"/>
      <c r="BC682" s="1035"/>
      <c r="BD682" s="481"/>
      <c r="BE682" s="432"/>
      <c r="BF682" s="646"/>
      <c r="BG682" s="1047"/>
      <c r="BH682" s="1046"/>
      <c r="BI682" s="1048"/>
      <c r="BJ682" s="1030"/>
      <c r="BK682" s="1046"/>
      <c r="BL682" s="1048"/>
      <c r="BM682" s="1046"/>
      <c r="BN682" s="1167"/>
      <c r="BO682" s="1035"/>
      <c r="BP682" s="1043"/>
      <c r="BQ682" s="1167"/>
      <c r="BR682" s="1165"/>
      <c r="BS682" s="1031"/>
      <c r="BT682" s="1038"/>
      <c r="BU682" s="1035"/>
      <c r="BV682" s="1035"/>
      <c r="BW682" s="1049"/>
      <c r="BX682" s="1043"/>
      <c r="BY682" s="1046"/>
      <c r="BZ682" s="1167"/>
      <c r="CA682" s="1165"/>
      <c r="CB682" s="1031"/>
      <c r="CC682" s="1038"/>
      <c r="CD682" s="1035"/>
      <c r="CE682" s="1035"/>
      <c r="CF682" s="1049"/>
      <c r="CG682" s="1043"/>
      <c r="CH682" s="1046"/>
      <c r="CI682" s="1167"/>
      <c r="CJ682" s="1168"/>
      <c r="CK682" s="1169"/>
      <c r="CL682" s="1169"/>
      <c r="CM682" s="1166"/>
      <c r="CN682" s="1169"/>
      <c r="CO682" s="1169"/>
      <c r="CP682" s="452"/>
      <c r="CQ682" s="435"/>
      <c r="CR682" s="1117"/>
      <c r="CS682" s="452"/>
      <c r="CT682" s="482"/>
      <c r="CU682" s="476"/>
      <c r="CV682" s="431"/>
      <c r="CW682" s="1108"/>
      <c r="CX682" s="1108"/>
      <c r="CY682" s="483"/>
      <c r="CZ682" s="437"/>
      <c r="DA682" s="438"/>
      <c r="DB682" s="439"/>
      <c r="DC682" s="439"/>
      <c r="DD682" s="443"/>
      <c r="DE682" s="411"/>
      <c r="DF682" s="411"/>
      <c r="DG682" s="1117"/>
      <c r="DH682" s="1117"/>
      <c r="DI682" s="1117"/>
      <c r="DJ682" s="442"/>
      <c r="DK682" s="482"/>
      <c r="DL682" s="1038"/>
      <c r="DM682" s="1035"/>
      <c r="DN682" s="1035"/>
      <c r="DO682" s="1035"/>
      <c r="DP682" s="1046"/>
      <c r="DQ682" s="1167"/>
      <c r="DR682" s="1168"/>
      <c r="DS682" s="1165"/>
      <c r="DT682" s="1165"/>
      <c r="DU682" s="1165"/>
      <c r="DV682" s="1031"/>
      <c r="DW682" s="1098">
        <f t="shared" si="1164"/>
        <v>0</v>
      </c>
      <c r="DX682" s="1098">
        <f t="shared" si="1165"/>
        <v>0</v>
      </c>
      <c r="DY682" s="1030"/>
      <c r="DZ682" s="1030"/>
      <c r="EA682" s="1031"/>
      <c r="EB682" s="1050"/>
      <c r="EC682" s="1038"/>
      <c r="ED682" s="1035"/>
      <c r="EE682" s="1046"/>
      <c r="EF682" s="1169"/>
      <c r="EG682" s="1168"/>
      <c r="EH682" s="1165"/>
      <c r="EI682" s="1165"/>
      <c r="EJ682" s="1165"/>
      <c r="EK682" s="1031"/>
      <c r="EL682" s="1098">
        <f t="shared" si="1166"/>
        <v>0</v>
      </c>
      <c r="EM682" s="1098">
        <f t="shared" si="1167"/>
        <v>0</v>
      </c>
      <c r="EN682" s="1030"/>
      <c r="EO682" s="1030"/>
      <c r="EP682" s="1031"/>
      <c r="EQ682" s="1050"/>
      <c r="ER682" s="1038"/>
      <c r="ES682" s="1035"/>
      <c r="ET682" s="1051"/>
    </row>
    <row r="683" spans="2:150" ht="16.5" customHeight="1">
      <c r="B683" s="1024"/>
      <c r="C683" s="1025"/>
      <c r="D683" s="408">
        <v>680</v>
      </c>
      <c r="E683" s="1164"/>
      <c r="F683" s="1164"/>
      <c r="G683" s="1026"/>
      <c r="H683" s="411" t="str">
        <f>IFERROR(INDEX(绊状态确认!C:C,MATCH($G683,绊状态确认!$B:$B,)),"")</f>
        <v/>
      </c>
      <c r="I683" s="450" t="str">
        <f>IFERROR(INDEX(绊状态确认!D:D,MATCH($G683,绊状态确认!$B:$B,)),"")</f>
        <v/>
      </c>
      <c r="J683" s="450" t="str">
        <f>IFERROR(INDEX(绊状态确认!E:E,MATCH($G683,绊状态确认!$B:$B,)),"")</f>
        <v/>
      </c>
      <c r="K683" s="451" t="str">
        <f>IFERROR(INDEX(绊状态确认!F:F,MATCH($G683,绊状态确认!$B:$B,)),"")</f>
        <v/>
      </c>
      <c r="L683" s="1026"/>
      <c r="M683" s="1165"/>
      <c r="N683" s="1027"/>
      <c r="O683" s="1026"/>
      <c r="P683" s="1028"/>
      <c r="Q683" s="1029"/>
      <c r="R683" s="1166"/>
      <c r="S683" s="1030"/>
      <c r="T683" s="1031"/>
      <c r="U683" s="1032"/>
      <c r="V683" s="1033"/>
      <c r="W683" s="1034"/>
      <c r="X683" s="1166"/>
      <c r="Y683" s="1035"/>
      <c r="Z683" s="1036"/>
      <c r="AA683" s="1037"/>
      <c r="AB683" s="1038"/>
      <c r="AC683" s="1039"/>
      <c r="AD683" s="1040"/>
      <c r="AE683" s="1041"/>
      <c r="AF683" s="521"/>
      <c r="AG683" s="420"/>
      <c r="AH683" s="420"/>
      <c r="AI683" s="420"/>
      <c r="AJ683" s="420"/>
      <c r="AK683" s="518"/>
      <c r="AL683" s="1042"/>
      <c r="AM683" s="1035"/>
      <c r="AN683" s="1043"/>
      <c r="AO683" s="1167"/>
      <c r="AP683" s="1044"/>
      <c r="AQ683" s="1035"/>
      <c r="AR683" s="1035"/>
      <c r="AS683" s="1035"/>
      <c r="AT683" s="1165"/>
      <c r="AU683" s="1031"/>
      <c r="AV683" s="1045"/>
      <c r="AW683" s="1038"/>
      <c r="AX683" s="1035"/>
      <c r="AY683" s="483"/>
      <c r="AZ683" s="429"/>
      <c r="BA683" s="431"/>
      <c r="BB683" s="1035"/>
      <c r="BC683" s="1035"/>
      <c r="BD683" s="481"/>
      <c r="BE683" s="432"/>
      <c r="BF683" s="646"/>
      <c r="BG683" s="1047"/>
      <c r="BH683" s="1046"/>
      <c r="BI683" s="1048"/>
      <c r="BJ683" s="1030"/>
      <c r="BK683" s="1046"/>
      <c r="BL683" s="1048"/>
      <c r="BM683" s="1046"/>
      <c r="BN683" s="1167"/>
      <c r="BO683" s="1035"/>
      <c r="BP683" s="1043"/>
      <c r="BQ683" s="1167"/>
      <c r="BR683" s="1165"/>
      <c r="BS683" s="1031"/>
      <c r="BT683" s="1038"/>
      <c r="BU683" s="1035"/>
      <c r="BV683" s="1035"/>
      <c r="BW683" s="1049"/>
      <c r="BX683" s="1043"/>
      <c r="BY683" s="1046"/>
      <c r="BZ683" s="1167"/>
      <c r="CA683" s="1165"/>
      <c r="CB683" s="1031"/>
      <c r="CC683" s="1038"/>
      <c r="CD683" s="1035"/>
      <c r="CE683" s="1035"/>
      <c r="CF683" s="1049"/>
      <c r="CG683" s="1043"/>
      <c r="CH683" s="1046"/>
      <c r="CI683" s="1167"/>
      <c r="CJ683" s="1168"/>
      <c r="CK683" s="1169"/>
      <c r="CL683" s="1169"/>
      <c r="CM683" s="1166"/>
      <c r="CN683" s="1169"/>
      <c r="CO683" s="1169"/>
      <c r="CP683" s="452"/>
      <c r="CQ683" s="435"/>
      <c r="CR683" s="1117"/>
      <c r="CS683" s="452"/>
      <c r="CT683" s="482"/>
      <c r="CU683" s="476"/>
      <c r="CV683" s="431"/>
      <c r="CW683" s="1108"/>
      <c r="CX683" s="1108"/>
      <c r="CY683" s="483"/>
      <c r="CZ683" s="437"/>
      <c r="DA683" s="438"/>
      <c r="DB683" s="439"/>
      <c r="DC683" s="439"/>
      <c r="DD683" s="443"/>
      <c r="DE683" s="411"/>
      <c r="DF683" s="411"/>
      <c r="DG683" s="1117"/>
      <c r="DH683" s="1117"/>
      <c r="DI683" s="1117"/>
      <c r="DJ683" s="442"/>
      <c r="DK683" s="482"/>
      <c r="DL683" s="1038"/>
      <c r="DM683" s="1035"/>
      <c r="DN683" s="1035"/>
      <c r="DO683" s="1035"/>
      <c r="DP683" s="1046"/>
      <c r="DQ683" s="1167"/>
      <c r="DR683" s="1168"/>
      <c r="DS683" s="1165"/>
      <c r="DT683" s="1165"/>
      <c r="DU683" s="1165"/>
      <c r="DV683" s="1031"/>
      <c r="DW683" s="1098">
        <f t="shared" si="1164"/>
        <v>0</v>
      </c>
      <c r="DX683" s="1098">
        <f t="shared" si="1165"/>
        <v>0</v>
      </c>
      <c r="DY683" s="1030"/>
      <c r="DZ683" s="1030"/>
      <c r="EA683" s="1031"/>
      <c r="EB683" s="1050"/>
      <c r="EC683" s="1038"/>
      <c r="ED683" s="1035"/>
      <c r="EE683" s="1046"/>
      <c r="EF683" s="1169"/>
      <c r="EG683" s="1168"/>
      <c r="EH683" s="1165"/>
      <c r="EI683" s="1165"/>
      <c r="EJ683" s="1165"/>
      <c r="EK683" s="1031"/>
      <c r="EL683" s="1098">
        <f t="shared" si="1166"/>
        <v>0</v>
      </c>
      <c r="EM683" s="1098">
        <f t="shared" si="1167"/>
        <v>0</v>
      </c>
      <c r="EN683" s="1030"/>
      <c r="EO683" s="1030"/>
      <c r="EP683" s="1031"/>
      <c r="EQ683" s="1050"/>
      <c r="ER683" s="1038"/>
      <c r="ES683" s="1035"/>
      <c r="ET683" s="1051"/>
    </row>
    <row r="684" spans="2:150" ht="16.5" customHeight="1">
      <c r="B684" s="1024"/>
      <c r="C684" s="1025"/>
      <c r="D684" s="408">
        <v>681</v>
      </c>
      <c r="E684" s="1164"/>
      <c r="F684" s="1164"/>
      <c r="G684" s="1026"/>
      <c r="H684" s="411" t="str">
        <f>IFERROR(INDEX(绊状态确认!C:C,MATCH($G684,绊状态确认!$B:$B,)),"")</f>
        <v/>
      </c>
      <c r="I684" s="450" t="str">
        <f>IFERROR(INDEX(绊状态确认!D:D,MATCH($G684,绊状态确认!$B:$B,)),"")</f>
        <v/>
      </c>
      <c r="J684" s="450" t="str">
        <f>IFERROR(INDEX(绊状态确认!E:E,MATCH($G684,绊状态确认!$B:$B,)),"")</f>
        <v/>
      </c>
      <c r="K684" s="451" t="str">
        <f>IFERROR(INDEX(绊状态确认!F:F,MATCH($G684,绊状态确认!$B:$B,)),"")</f>
        <v/>
      </c>
      <c r="L684" s="1026"/>
      <c r="M684" s="1165"/>
      <c r="N684" s="1027"/>
      <c r="O684" s="1026"/>
      <c r="P684" s="1028"/>
      <c r="Q684" s="1029"/>
      <c r="R684" s="1166"/>
      <c r="S684" s="1030"/>
      <c r="T684" s="1031"/>
      <c r="U684" s="1032"/>
      <c r="V684" s="1033"/>
      <c r="W684" s="1034"/>
      <c r="X684" s="1166"/>
      <c r="Y684" s="1035"/>
      <c r="Z684" s="1036"/>
      <c r="AA684" s="1037"/>
      <c r="AB684" s="1038"/>
      <c r="AC684" s="1039"/>
      <c r="AD684" s="1040"/>
      <c r="AE684" s="1041"/>
      <c r="AF684" s="521"/>
      <c r="AG684" s="420"/>
      <c r="AH684" s="420"/>
      <c r="AI684" s="420"/>
      <c r="AJ684" s="420"/>
      <c r="AK684" s="518"/>
      <c r="AL684" s="1042"/>
      <c r="AM684" s="1035"/>
      <c r="AN684" s="1043"/>
      <c r="AO684" s="1167"/>
      <c r="AP684" s="1044"/>
      <c r="AQ684" s="1035"/>
      <c r="AR684" s="1035"/>
      <c r="AS684" s="1035"/>
      <c r="AT684" s="1165"/>
      <c r="AU684" s="1031"/>
      <c r="AV684" s="1045"/>
      <c r="AW684" s="1038"/>
      <c r="AX684" s="1035"/>
      <c r="AY684" s="483"/>
      <c r="AZ684" s="429"/>
      <c r="BA684" s="431"/>
      <c r="BB684" s="1035"/>
      <c r="BC684" s="1035"/>
      <c r="BD684" s="481"/>
      <c r="BE684" s="432"/>
      <c r="BF684" s="646"/>
      <c r="BG684" s="1047"/>
      <c r="BH684" s="1046"/>
      <c r="BI684" s="1048"/>
      <c r="BJ684" s="1030"/>
      <c r="BK684" s="1046"/>
      <c r="BL684" s="1048"/>
      <c r="BM684" s="1046"/>
      <c r="BN684" s="1167"/>
      <c r="BO684" s="1035"/>
      <c r="BP684" s="1043"/>
      <c r="BQ684" s="1167"/>
      <c r="BR684" s="1165"/>
      <c r="BS684" s="1031"/>
      <c r="BT684" s="1038"/>
      <c r="BU684" s="1035"/>
      <c r="BV684" s="1035"/>
      <c r="BW684" s="1049"/>
      <c r="BX684" s="1043"/>
      <c r="BY684" s="1046"/>
      <c r="BZ684" s="1167"/>
      <c r="CA684" s="1165"/>
      <c r="CB684" s="1031"/>
      <c r="CC684" s="1038"/>
      <c r="CD684" s="1035"/>
      <c r="CE684" s="1035"/>
      <c r="CF684" s="1049"/>
      <c r="CG684" s="1043"/>
      <c r="CH684" s="1046"/>
      <c r="CI684" s="1167"/>
      <c r="CJ684" s="1168"/>
      <c r="CK684" s="1169"/>
      <c r="CL684" s="1169"/>
      <c r="CM684" s="1166"/>
      <c r="CN684" s="1169"/>
      <c r="CO684" s="1169"/>
      <c r="CP684" s="452"/>
      <c r="CQ684" s="435"/>
      <c r="CR684" s="1117"/>
      <c r="CS684" s="452"/>
      <c r="CT684" s="482"/>
      <c r="CU684" s="476"/>
      <c r="CV684" s="431"/>
      <c r="CW684" s="1108"/>
      <c r="CX684" s="1108"/>
      <c r="CY684" s="483"/>
      <c r="CZ684" s="437"/>
      <c r="DA684" s="438"/>
      <c r="DB684" s="439"/>
      <c r="DC684" s="439"/>
      <c r="DD684" s="443"/>
      <c r="DE684" s="411"/>
      <c r="DF684" s="411"/>
      <c r="DG684" s="1117"/>
      <c r="DH684" s="1117"/>
      <c r="DI684" s="1117"/>
      <c r="DJ684" s="442"/>
      <c r="DK684" s="482"/>
      <c r="DL684" s="1038"/>
      <c r="DM684" s="1035"/>
      <c r="DN684" s="1035"/>
      <c r="DO684" s="1035"/>
      <c r="DP684" s="1046"/>
      <c r="DQ684" s="1167"/>
      <c r="DR684" s="1168"/>
      <c r="DS684" s="1165"/>
      <c r="DT684" s="1165"/>
      <c r="DU684" s="1165"/>
      <c r="DV684" s="1031"/>
      <c r="DW684" s="1098">
        <f t="shared" si="1164"/>
        <v>0</v>
      </c>
      <c r="DX684" s="1098">
        <f t="shared" si="1165"/>
        <v>0</v>
      </c>
      <c r="DY684" s="1030"/>
      <c r="DZ684" s="1030"/>
      <c r="EA684" s="1031"/>
      <c r="EB684" s="1050"/>
      <c r="EC684" s="1038"/>
      <c r="ED684" s="1035"/>
      <c r="EE684" s="1046"/>
      <c r="EF684" s="1169"/>
      <c r="EG684" s="1168"/>
      <c r="EH684" s="1165"/>
      <c r="EI684" s="1165"/>
      <c r="EJ684" s="1165"/>
      <c r="EK684" s="1031"/>
      <c r="EL684" s="1098">
        <f t="shared" si="1166"/>
        <v>0</v>
      </c>
      <c r="EM684" s="1098">
        <f t="shared" si="1167"/>
        <v>0</v>
      </c>
      <c r="EN684" s="1030"/>
      <c r="EO684" s="1030"/>
      <c r="EP684" s="1031"/>
      <c r="EQ684" s="1050"/>
      <c r="ER684" s="1038"/>
      <c r="ES684" s="1035"/>
      <c r="ET684" s="1051"/>
    </row>
    <row r="685" spans="2:150" ht="16.5" customHeight="1">
      <c r="B685" s="1024"/>
      <c r="C685" s="1025"/>
      <c r="D685" s="408">
        <v>682</v>
      </c>
      <c r="E685" s="1164"/>
      <c r="F685" s="1164"/>
      <c r="G685" s="1026"/>
      <c r="H685" s="411" t="str">
        <f>IFERROR(INDEX(绊状态确认!C:C,MATCH($G685,绊状态确认!$B:$B,)),"")</f>
        <v/>
      </c>
      <c r="I685" s="450" t="str">
        <f>IFERROR(INDEX(绊状态确认!D:D,MATCH($G685,绊状态确认!$B:$B,)),"")</f>
        <v/>
      </c>
      <c r="J685" s="450" t="str">
        <f>IFERROR(INDEX(绊状态确认!E:E,MATCH($G685,绊状态确认!$B:$B,)),"")</f>
        <v/>
      </c>
      <c r="K685" s="451" t="str">
        <f>IFERROR(INDEX(绊状态确认!F:F,MATCH($G685,绊状态确认!$B:$B,)),"")</f>
        <v/>
      </c>
      <c r="L685" s="1026"/>
      <c r="M685" s="1165"/>
      <c r="N685" s="1027"/>
      <c r="O685" s="1026"/>
      <c r="P685" s="1028"/>
      <c r="Q685" s="1029"/>
      <c r="R685" s="1166"/>
      <c r="S685" s="1030"/>
      <c r="T685" s="1031"/>
      <c r="U685" s="1032"/>
      <c r="V685" s="1033"/>
      <c r="W685" s="1034"/>
      <c r="X685" s="1166"/>
      <c r="Y685" s="1035"/>
      <c r="Z685" s="1036"/>
      <c r="AA685" s="1037"/>
      <c r="AB685" s="1038"/>
      <c r="AC685" s="1039"/>
      <c r="AD685" s="1040"/>
      <c r="AE685" s="1041"/>
      <c r="AF685" s="521"/>
      <c r="AG685" s="420"/>
      <c r="AH685" s="420"/>
      <c r="AI685" s="420"/>
      <c r="AJ685" s="420"/>
      <c r="AK685" s="518"/>
      <c r="AL685" s="1042"/>
      <c r="AM685" s="1035"/>
      <c r="AN685" s="1043"/>
      <c r="AO685" s="1167"/>
      <c r="AP685" s="1044"/>
      <c r="AQ685" s="1035"/>
      <c r="AR685" s="1035"/>
      <c r="AS685" s="1035"/>
      <c r="AT685" s="1165"/>
      <c r="AU685" s="1031"/>
      <c r="AV685" s="1045"/>
      <c r="AW685" s="1038"/>
      <c r="AX685" s="1035"/>
      <c r="AY685" s="483"/>
      <c r="AZ685" s="429"/>
      <c r="BA685" s="431"/>
      <c r="BB685" s="1035"/>
      <c r="BC685" s="1035"/>
      <c r="BD685" s="481"/>
      <c r="BE685" s="432"/>
      <c r="BF685" s="646"/>
      <c r="BG685" s="1047"/>
      <c r="BH685" s="1046"/>
      <c r="BI685" s="1048"/>
      <c r="BJ685" s="1030"/>
      <c r="BK685" s="1046"/>
      <c r="BL685" s="1048"/>
      <c r="BM685" s="1046"/>
      <c r="BN685" s="1167"/>
      <c r="BO685" s="1035"/>
      <c r="BP685" s="1043"/>
      <c r="BQ685" s="1167"/>
      <c r="BR685" s="1165"/>
      <c r="BS685" s="1031"/>
      <c r="BT685" s="1038"/>
      <c r="BU685" s="1035"/>
      <c r="BV685" s="1035"/>
      <c r="BW685" s="1049"/>
      <c r="BX685" s="1043"/>
      <c r="BY685" s="1046"/>
      <c r="BZ685" s="1167"/>
      <c r="CA685" s="1165"/>
      <c r="CB685" s="1031"/>
      <c r="CC685" s="1038"/>
      <c r="CD685" s="1035"/>
      <c r="CE685" s="1035"/>
      <c r="CF685" s="1049"/>
      <c r="CG685" s="1043"/>
      <c r="CH685" s="1046"/>
      <c r="CI685" s="1167"/>
      <c r="CJ685" s="1168"/>
      <c r="CK685" s="1169"/>
      <c r="CL685" s="1169"/>
      <c r="CM685" s="1166"/>
      <c r="CN685" s="1169"/>
      <c r="CO685" s="1169"/>
      <c r="CP685" s="452"/>
      <c r="CQ685" s="435"/>
      <c r="CR685" s="1117"/>
      <c r="CS685" s="452"/>
      <c r="CT685" s="482"/>
      <c r="CU685" s="476"/>
      <c r="CV685" s="431"/>
      <c r="CW685" s="1108"/>
      <c r="CX685" s="1108"/>
      <c r="CY685" s="483"/>
      <c r="CZ685" s="437"/>
      <c r="DA685" s="438"/>
      <c r="DB685" s="439"/>
      <c r="DC685" s="439"/>
      <c r="DD685" s="443"/>
      <c r="DE685" s="411"/>
      <c r="DF685" s="411"/>
      <c r="DG685" s="1117"/>
      <c r="DH685" s="1117"/>
      <c r="DI685" s="1117"/>
      <c r="DJ685" s="442"/>
      <c r="DK685" s="482"/>
      <c r="DL685" s="1038"/>
      <c r="DM685" s="1035"/>
      <c r="DN685" s="1035"/>
      <c r="DO685" s="1035"/>
      <c r="DP685" s="1046"/>
      <c r="DQ685" s="1167"/>
      <c r="DR685" s="1168"/>
      <c r="DS685" s="1165"/>
      <c r="DT685" s="1165"/>
      <c r="DU685" s="1165"/>
      <c r="DV685" s="1031"/>
      <c r="DW685" s="1098">
        <f t="shared" si="1164"/>
        <v>0</v>
      </c>
      <c r="DX685" s="1098">
        <f t="shared" si="1165"/>
        <v>0</v>
      </c>
      <c r="DY685" s="1030"/>
      <c r="DZ685" s="1030"/>
      <c r="EA685" s="1031"/>
      <c r="EB685" s="1050"/>
      <c r="EC685" s="1038"/>
      <c r="ED685" s="1035"/>
      <c r="EE685" s="1046"/>
      <c r="EF685" s="1169"/>
      <c r="EG685" s="1168"/>
      <c r="EH685" s="1165"/>
      <c r="EI685" s="1165"/>
      <c r="EJ685" s="1165"/>
      <c r="EK685" s="1031"/>
      <c r="EL685" s="1098">
        <f t="shared" si="1166"/>
        <v>0</v>
      </c>
      <c r="EM685" s="1098">
        <f t="shared" si="1167"/>
        <v>0</v>
      </c>
      <c r="EN685" s="1030"/>
      <c r="EO685" s="1030"/>
      <c r="EP685" s="1031"/>
      <c r="EQ685" s="1050"/>
      <c r="ER685" s="1038"/>
      <c r="ES685" s="1035"/>
      <c r="ET685" s="1051"/>
    </row>
    <row r="686" spans="2:150" ht="16.5" customHeight="1">
      <c r="B686" s="1024"/>
      <c r="C686" s="1025"/>
      <c r="D686" s="408">
        <v>683</v>
      </c>
      <c r="E686" s="1164"/>
      <c r="F686" s="1164"/>
      <c r="G686" s="1026"/>
      <c r="H686" s="411" t="str">
        <f>IFERROR(INDEX(绊状态确认!C:C,MATCH($G686,绊状态确认!$B:$B,)),"")</f>
        <v/>
      </c>
      <c r="I686" s="450" t="str">
        <f>IFERROR(INDEX(绊状态确认!D:D,MATCH($G686,绊状态确认!$B:$B,)),"")</f>
        <v/>
      </c>
      <c r="J686" s="450" t="str">
        <f>IFERROR(INDEX(绊状态确认!E:E,MATCH($G686,绊状态确认!$B:$B,)),"")</f>
        <v/>
      </c>
      <c r="K686" s="451" t="str">
        <f>IFERROR(INDEX(绊状态确认!F:F,MATCH($G686,绊状态确认!$B:$B,)),"")</f>
        <v/>
      </c>
      <c r="L686" s="1026"/>
      <c r="M686" s="1165"/>
      <c r="N686" s="1027"/>
      <c r="O686" s="1026"/>
      <c r="P686" s="1028"/>
      <c r="Q686" s="1029"/>
      <c r="R686" s="1166"/>
      <c r="S686" s="1030"/>
      <c r="T686" s="1031"/>
      <c r="U686" s="1032"/>
      <c r="V686" s="1033"/>
      <c r="W686" s="1034"/>
      <c r="X686" s="1166"/>
      <c r="Y686" s="1035"/>
      <c r="Z686" s="1036"/>
      <c r="AA686" s="1037"/>
      <c r="AB686" s="1038"/>
      <c r="AC686" s="1039"/>
      <c r="AD686" s="1040"/>
      <c r="AE686" s="1041"/>
      <c r="AF686" s="521"/>
      <c r="AG686" s="420"/>
      <c r="AH686" s="420"/>
      <c r="AI686" s="420"/>
      <c r="AJ686" s="420"/>
      <c r="AK686" s="518"/>
      <c r="AL686" s="1042"/>
      <c r="AM686" s="1035"/>
      <c r="AN686" s="1043"/>
      <c r="AO686" s="1167"/>
      <c r="AP686" s="1044"/>
      <c r="AQ686" s="1035"/>
      <c r="AR686" s="1035"/>
      <c r="AS686" s="1035"/>
      <c r="AT686" s="1165"/>
      <c r="AU686" s="1031"/>
      <c r="AV686" s="1045"/>
      <c r="AW686" s="1038"/>
      <c r="AX686" s="1035"/>
      <c r="AY686" s="483"/>
      <c r="AZ686" s="429"/>
      <c r="BA686" s="431"/>
      <c r="BB686" s="1035"/>
      <c r="BC686" s="1035"/>
      <c r="BD686" s="481"/>
      <c r="BE686" s="432"/>
      <c r="BF686" s="646"/>
      <c r="BG686" s="1047"/>
      <c r="BH686" s="1046"/>
      <c r="BI686" s="1048"/>
      <c r="BJ686" s="1030"/>
      <c r="BK686" s="1046"/>
      <c r="BL686" s="1048"/>
      <c r="BM686" s="1046"/>
      <c r="BN686" s="1167"/>
      <c r="BO686" s="1035"/>
      <c r="BP686" s="1043"/>
      <c r="BQ686" s="1167"/>
      <c r="BR686" s="1165"/>
      <c r="BS686" s="1031"/>
      <c r="BT686" s="1038"/>
      <c r="BU686" s="1035"/>
      <c r="BV686" s="1035"/>
      <c r="BW686" s="1049"/>
      <c r="BX686" s="1043"/>
      <c r="BY686" s="1046"/>
      <c r="BZ686" s="1167"/>
      <c r="CA686" s="1165"/>
      <c r="CB686" s="1031"/>
      <c r="CC686" s="1038"/>
      <c r="CD686" s="1035"/>
      <c r="CE686" s="1035"/>
      <c r="CF686" s="1049"/>
      <c r="CG686" s="1043"/>
      <c r="CH686" s="1046"/>
      <c r="CI686" s="1167"/>
      <c r="CJ686" s="1168"/>
      <c r="CK686" s="1169"/>
      <c r="CL686" s="1169"/>
      <c r="CM686" s="1166"/>
      <c r="CN686" s="1169"/>
      <c r="CO686" s="1169"/>
      <c r="CP686" s="452"/>
      <c r="CQ686" s="435"/>
      <c r="CR686" s="1117"/>
      <c r="CS686" s="452"/>
      <c r="CT686" s="482"/>
      <c r="CU686" s="476"/>
      <c r="CV686" s="431"/>
      <c r="CW686" s="1108"/>
      <c r="CX686" s="1108"/>
      <c r="CY686" s="483"/>
      <c r="CZ686" s="437"/>
      <c r="DA686" s="438"/>
      <c r="DB686" s="439"/>
      <c r="DC686" s="439"/>
      <c r="DD686" s="443"/>
      <c r="DE686" s="411"/>
      <c r="DF686" s="411"/>
      <c r="DG686" s="1117"/>
      <c r="DH686" s="1117"/>
      <c r="DI686" s="1117"/>
      <c r="DJ686" s="442"/>
      <c r="DK686" s="482"/>
      <c r="DL686" s="1038"/>
      <c r="DM686" s="1035"/>
      <c r="DN686" s="1035"/>
      <c r="DO686" s="1035"/>
      <c r="DP686" s="1046"/>
      <c r="DQ686" s="1167"/>
      <c r="DR686" s="1168"/>
      <c r="DS686" s="1165"/>
      <c r="DT686" s="1165"/>
      <c r="DU686" s="1165"/>
      <c r="DV686" s="1031"/>
      <c r="DW686" s="1098">
        <f t="shared" si="1164"/>
        <v>0</v>
      </c>
      <c r="DX686" s="1098">
        <f t="shared" si="1165"/>
        <v>0</v>
      </c>
      <c r="DY686" s="1030"/>
      <c r="DZ686" s="1030"/>
      <c r="EA686" s="1031"/>
      <c r="EB686" s="1050"/>
      <c r="EC686" s="1038"/>
      <c r="ED686" s="1035"/>
      <c r="EE686" s="1046"/>
      <c r="EF686" s="1169"/>
      <c r="EG686" s="1168"/>
      <c r="EH686" s="1165"/>
      <c r="EI686" s="1165"/>
      <c r="EJ686" s="1165"/>
      <c r="EK686" s="1031"/>
      <c r="EL686" s="1098">
        <f t="shared" si="1166"/>
        <v>0</v>
      </c>
      <c r="EM686" s="1098">
        <f t="shared" si="1167"/>
        <v>0</v>
      </c>
      <c r="EN686" s="1030"/>
      <c r="EO686" s="1030"/>
      <c r="EP686" s="1031"/>
      <c r="EQ686" s="1050"/>
      <c r="ER686" s="1038"/>
      <c r="ES686" s="1035"/>
      <c r="ET686" s="1051"/>
    </row>
    <row r="687" spans="2:150" ht="16.5" customHeight="1">
      <c r="B687" s="1024"/>
      <c r="C687" s="1025"/>
      <c r="D687" s="408">
        <v>684</v>
      </c>
      <c r="E687" s="1164"/>
      <c r="F687" s="1164"/>
      <c r="G687" s="1026"/>
      <c r="H687" s="411" t="str">
        <f>IFERROR(INDEX(绊状态确认!C:C,MATCH($G687,绊状态确认!$B:$B,)),"")</f>
        <v/>
      </c>
      <c r="I687" s="450" t="str">
        <f>IFERROR(INDEX(绊状态确认!D:D,MATCH($G687,绊状态确认!$B:$B,)),"")</f>
        <v/>
      </c>
      <c r="J687" s="450" t="str">
        <f>IFERROR(INDEX(绊状态确认!E:E,MATCH($G687,绊状态确认!$B:$B,)),"")</f>
        <v/>
      </c>
      <c r="K687" s="451" t="str">
        <f>IFERROR(INDEX(绊状态确认!F:F,MATCH($G687,绊状态确认!$B:$B,)),"")</f>
        <v/>
      </c>
      <c r="L687" s="1026"/>
      <c r="M687" s="1165"/>
      <c r="N687" s="1027"/>
      <c r="O687" s="1026"/>
      <c r="P687" s="1028"/>
      <c r="Q687" s="1029"/>
      <c r="R687" s="1166"/>
      <c r="S687" s="1030"/>
      <c r="T687" s="1031"/>
      <c r="U687" s="1032"/>
      <c r="V687" s="1033"/>
      <c r="W687" s="1034"/>
      <c r="X687" s="1166"/>
      <c r="Y687" s="1035"/>
      <c r="Z687" s="1036"/>
      <c r="AA687" s="1037"/>
      <c r="AB687" s="1038"/>
      <c r="AC687" s="1039"/>
      <c r="AD687" s="1040"/>
      <c r="AE687" s="1041"/>
      <c r="AF687" s="521"/>
      <c r="AG687" s="420"/>
      <c r="AH687" s="420"/>
      <c r="AI687" s="420"/>
      <c r="AJ687" s="420"/>
      <c r="AK687" s="518"/>
      <c r="AL687" s="1042"/>
      <c r="AM687" s="1035"/>
      <c r="AN687" s="1043"/>
      <c r="AO687" s="1167"/>
      <c r="AP687" s="1044"/>
      <c r="AQ687" s="1035"/>
      <c r="AR687" s="1035"/>
      <c r="AS687" s="1035"/>
      <c r="AT687" s="1165"/>
      <c r="AU687" s="1031"/>
      <c r="AV687" s="1045"/>
      <c r="AW687" s="1038"/>
      <c r="AX687" s="1035"/>
      <c r="AY687" s="483"/>
      <c r="AZ687" s="429"/>
      <c r="BA687" s="431"/>
      <c r="BB687" s="1035"/>
      <c r="BC687" s="1035"/>
      <c r="BD687" s="481"/>
      <c r="BE687" s="432"/>
      <c r="BF687" s="646"/>
      <c r="BG687" s="1047"/>
      <c r="BH687" s="1046"/>
      <c r="BI687" s="1048"/>
      <c r="BJ687" s="1030"/>
      <c r="BK687" s="1046"/>
      <c r="BL687" s="1048"/>
      <c r="BM687" s="1046"/>
      <c r="BN687" s="1167"/>
      <c r="BO687" s="1035"/>
      <c r="BP687" s="1043"/>
      <c r="BQ687" s="1167"/>
      <c r="BR687" s="1165"/>
      <c r="BS687" s="1031"/>
      <c r="BT687" s="1038"/>
      <c r="BU687" s="1035"/>
      <c r="BV687" s="1035"/>
      <c r="BW687" s="1049"/>
      <c r="BX687" s="1043"/>
      <c r="BY687" s="1046"/>
      <c r="BZ687" s="1167"/>
      <c r="CA687" s="1165"/>
      <c r="CB687" s="1031"/>
      <c r="CC687" s="1038"/>
      <c r="CD687" s="1035"/>
      <c r="CE687" s="1035"/>
      <c r="CF687" s="1049"/>
      <c r="CG687" s="1043"/>
      <c r="CH687" s="1046"/>
      <c r="CI687" s="1167"/>
      <c r="CJ687" s="1168"/>
      <c r="CK687" s="1169"/>
      <c r="CL687" s="1169"/>
      <c r="CM687" s="1166"/>
      <c r="CN687" s="1169"/>
      <c r="CO687" s="1169"/>
      <c r="CP687" s="452"/>
      <c r="CQ687" s="435"/>
      <c r="CR687" s="1117"/>
      <c r="CS687" s="452"/>
      <c r="CT687" s="482"/>
      <c r="CU687" s="476"/>
      <c r="CV687" s="431"/>
      <c r="CW687" s="1108"/>
      <c r="CX687" s="1108"/>
      <c r="CY687" s="483"/>
      <c r="CZ687" s="437"/>
      <c r="DA687" s="438"/>
      <c r="DB687" s="439"/>
      <c r="DC687" s="439"/>
      <c r="DD687" s="443"/>
      <c r="DE687" s="411"/>
      <c r="DF687" s="411"/>
      <c r="DG687" s="1117"/>
      <c r="DH687" s="1117"/>
      <c r="DI687" s="1117"/>
      <c r="DJ687" s="442"/>
      <c r="DK687" s="482"/>
      <c r="DL687" s="1038"/>
      <c r="DM687" s="1035"/>
      <c r="DN687" s="1035"/>
      <c r="DO687" s="1035"/>
      <c r="DP687" s="1046"/>
      <c r="DQ687" s="1167"/>
      <c r="DR687" s="1168"/>
      <c r="DS687" s="1165"/>
      <c r="DT687" s="1165"/>
      <c r="DU687" s="1165"/>
      <c r="DV687" s="1031"/>
      <c r="DW687" s="1098">
        <f t="shared" si="1164"/>
        <v>0</v>
      </c>
      <c r="DX687" s="1098">
        <f t="shared" si="1165"/>
        <v>0</v>
      </c>
      <c r="DY687" s="1030"/>
      <c r="DZ687" s="1030"/>
      <c r="EA687" s="1031"/>
      <c r="EB687" s="1050"/>
      <c r="EC687" s="1038"/>
      <c r="ED687" s="1035"/>
      <c r="EE687" s="1046"/>
      <c r="EF687" s="1169"/>
      <c r="EG687" s="1168"/>
      <c r="EH687" s="1165"/>
      <c r="EI687" s="1165"/>
      <c r="EJ687" s="1165"/>
      <c r="EK687" s="1031"/>
      <c r="EL687" s="1098">
        <f t="shared" si="1166"/>
        <v>0</v>
      </c>
      <c r="EM687" s="1098">
        <f t="shared" si="1167"/>
        <v>0</v>
      </c>
      <c r="EN687" s="1030"/>
      <c r="EO687" s="1030"/>
      <c r="EP687" s="1031"/>
      <c r="EQ687" s="1050"/>
      <c r="ER687" s="1038"/>
      <c r="ES687" s="1035"/>
      <c r="ET687" s="1051"/>
    </row>
    <row r="688" spans="2:150" ht="16.5" customHeight="1">
      <c r="B688" s="1024"/>
      <c r="C688" s="1025"/>
      <c r="D688" s="408">
        <v>685</v>
      </c>
      <c r="E688" s="1164"/>
      <c r="F688" s="1164"/>
      <c r="G688" s="1026"/>
      <c r="H688" s="411" t="str">
        <f>IFERROR(INDEX(绊状态确认!C:C,MATCH($G688,绊状态确认!$B:$B,)),"")</f>
        <v/>
      </c>
      <c r="I688" s="450" t="str">
        <f>IFERROR(INDEX(绊状态确认!D:D,MATCH($G688,绊状态确认!$B:$B,)),"")</f>
        <v/>
      </c>
      <c r="J688" s="450" t="str">
        <f>IFERROR(INDEX(绊状态确认!E:E,MATCH($G688,绊状态确认!$B:$B,)),"")</f>
        <v/>
      </c>
      <c r="K688" s="451" t="str">
        <f>IFERROR(INDEX(绊状态确认!F:F,MATCH($G688,绊状态确认!$B:$B,)),"")</f>
        <v/>
      </c>
      <c r="L688" s="1026"/>
      <c r="M688" s="1165"/>
      <c r="N688" s="1027"/>
      <c r="O688" s="1026"/>
      <c r="P688" s="1028"/>
      <c r="Q688" s="1029"/>
      <c r="R688" s="1166"/>
      <c r="S688" s="1030"/>
      <c r="T688" s="1031"/>
      <c r="U688" s="1032"/>
      <c r="V688" s="1033"/>
      <c r="W688" s="1034"/>
      <c r="X688" s="1166"/>
      <c r="Y688" s="1035"/>
      <c r="Z688" s="1036"/>
      <c r="AA688" s="1037"/>
      <c r="AB688" s="1038"/>
      <c r="AC688" s="1039"/>
      <c r="AD688" s="1040"/>
      <c r="AE688" s="1041"/>
      <c r="AF688" s="521"/>
      <c r="AG688" s="420"/>
      <c r="AH688" s="420"/>
      <c r="AI688" s="420"/>
      <c r="AJ688" s="420"/>
      <c r="AK688" s="518"/>
      <c r="AL688" s="1042"/>
      <c r="AM688" s="1035"/>
      <c r="AN688" s="1043"/>
      <c r="AO688" s="1167"/>
      <c r="AP688" s="1044"/>
      <c r="AQ688" s="1035"/>
      <c r="AR688" s="1035"/>
      <c r="AS688" s="1035"/>
      <c r="AT688" s="1165"/>
      <c r="AU688" s="1031"/>
      <c r="AV688" s="1045"/>
      <c r="AW688" s="1038"/>
      <c r="AX688" s="1035"/>
      <c r="AY688" s="483"/>
      <c r="AZ688" s="429"/>
      <c r="BA688" s="431"/>
      <c r="BB688" s="1035"/>
      <c r="BC688" s="1035"/>
      <c r="BD688" s="481"/>
      <c r="BE688" s="432"/>
      <c r="BF688" s="646"/>
      <c r="BG688" s="1047"/>
      <c r="BH688" s="1046"/>
      <c r="BI688" s="1048"/>
      <c r="BJ688" s="1030"/>
      <c r="BK688" s="1046"/>
      <c r="BL688" s="1048"/>
      <c r="BM688" s="1046"/>
      <c r="BN688" s="1167"/>
      <c r="BO688" s="1035"/>
      <c r="BP688" s="1043"/>
      <c r="BQ688" s="1167"/>
      <c r="BR688" s="1165"/>
      <c r="BS688" s="1031"/>
      <c r="BT688" s="1038"/>
      <c r="BU688" s="1035"/>
      <c r="BV688" s="1035"/>
      <c r="BW688" s="1049"/>
      <c r="BX688" s="1043"/>
      <c r="BY688" s="1046"/>
      <c r="BZ688" s="1167"/>
      <c r="CA688" s="1165"/>
      <c r="CB688" s="1031"/>
      <c r="CC688" s="1038"/>
      <c r="CD688" s="1035"/>
      <c r="CE688" s="1035"/>
      <c r="CF688" s="1049"/>
      <c r="CG688" s="1043"/>
      <c r="CH688" s="1046"/>
      <c r="CI688" s="1167"/>
      <c r="CJ688" s="1168"/>
      <c r="CK688" s="1169"/>
      <c r="CL688" s="1169"/>
      <c r="CM688" s="1166"/>
      <c r="CN688" s="1169"/>
      <c r="CO688" s="1169"/>
      <c r="CP688" s="452"/>
      <c r="CQ688" s="435"/>
      <c r="CR688" s="1117"/>
      <c r="CS688" s="452"/>
      <c r="CT688" s="482"/>
      <c r="CU688" s="476"/>
      <c r="CV688" s="431"/>
      <c r="CW688" s="1108"/>
      <c r="CX688" s="1108"/>
      <c r="CY688" s="483"/>
      <c r="CZ688" s="437"/>
      <c r="DA688" s="438"/>
      <c r="DB688" s="439"/>
      <c r="DC688" s="439"/>
      <c r="DD688" s="443"/>
      <c r="DE688" s="411"/>
      <c r="DF688" s="411"/>
      <c r="DG688" s="1117"/>
      <c r="DH688" s="1117"/>
      <c r="DI688" s="1117"/>
      <c r="DJ688" s="442"/>
      <c r="DK688" s="482"/>
      <c r="DL688" s="1038"/>
      <c r="DM688" s="1035"/>
      <c r="DN688" s="1035"/>
      <c r="DO688" s="1035"/>
      <c r="DP688" s="1046"/>
      <c r="DQ688" s="1167"/>
      <c r="DR688" s="1168"/>
      <c r="DS688" s="1165"/>
      <c r="DT688" s="1165"/>
      <c r="DU688" s="1165"/>
      <c r="DV688" s="1031"/>
      <c r="DW688" s="1098">
        <f t="shared" si="1164"/>
        <v>0</v>
      </c>
      <c r="DX688" s="1098">
        <f t="shared" si="1165"/>
        <v>0</v>
      </c>
      <c r="DY688" s="1030"/>
      <c r="DZ688" s="1030"/>
      <c r="EA688" s="1031"/>
      <c r="EB688" s="1050"/>
      <c r="EC688" s="1038"/>
      <c r="ED688" s="1035"/>
      <c r="EE688" s="1046"/>
      <c r="EF688" s="1169"/>
      <c r="EG688" s="1168"/>
      <c r="EH688" s="1165"/>
      <c r="EI688" s="1165"/>
      <c r="EJ688" s="1165"/>
      <c r="EK688" s="1031"/>
      <c r="EL688" s="1098">
        <f t="shared" si="1166"/>
        <v>0</v>
      </c>
      <c r="EM688" s="1098">
        <f t="shared" si="1167"/>
        <v>0</v>
      </c>
      <c r="EN688" s="1030"/>
      <c r="EO688" s="1030"/>
      <c r="EP688" s="1031"/>
      <c r="EQ688" s="1050"/>
      <c r="ER688" s="1038"/>
      <c r="ES688" s="1035"/>
      <c r="ET688" s="1051"/>
    </row>
    <row r="689" spans="2:150" ht="16.5" customHeight="1">
      <c r="B689" s="1024"/>
      <c r="C689" s="1025"/>
      <c r="D689" s="408">
        <v>686</v>
      </c>
      <c r="E689" s="1164"/>
      <c r="F689" s="1164"/>
      <c r="G689" s="1026"/>
      <c r="H689" s="411" t="str">
        <f>IFERROR(INDEX(绊状态确认!C:C,MATCH($G689,绊状态确认!$B:$B,)),"")</f>
        <v/>
      </c>
      <c r="I689" s="450" t="str">
        <f>IFERROR(INDEX(绊状态确认!D:D,MATCH($G689,绊状态确认!$B:$B,)),"")</f>
        <v/>
      </c>
      <c r="J689" s="450" t="str">
        <f>IFERROR(INDEX(绊状态确认!E:E,MATCH($G689,绊状态确认!$B:$B,)),"")</f>
        <v/>
      </c>
      <c r="K689" s="451" t="str">
        <f>IFERROR(INDEX(绊状态确认!F:F,MATCH($G689,绊状态确认!$B:$B,)),"")</f>
        <v/>
      </c>
      <c r="L689" s="1026"/>
      <c r="M689" s="1165"/>
      <c r="N689" s="1027"/>
      <c r="O689" s="1026"/>
      <c r="P689" s="1028"/>
      <c r="Q689" s="1029"/>
      <c r="R689" s="1166"/>
      <c r="S689" s="1030"/>
      <c r="T689" s="1031"/>
      <c r="U689" s="1032"/>
      <c r="V689" s="1033"/>
      <c r="W689" s="1034"/>
      <c r="X689" s="1166"/>
      <c r="Y689" s="1035"/>
      <c r="Z689" s="1036"/>
      <c r="AA689" s="1037"/>
      <c r="AB689" s="1038"/>
      <c r="AC689" s="1039"/>
      <c r="AD689" s="1040"/>
      <c r="AE689" s="1041"/>
      <c r="AF689" s="521"/>
      <c r="AG689" s="420"/>
      <c r="AH689" s="420"/>
      <c r="AI689" s="420"/>
      <c r="AJ689" s="420"/>
      <c r="AK689" s="518"/>
      <c r="AL689" s="1042"/>
      <c r="AM689" s="1035"/>
      <c r="AN689" s="1043"/>
      <c r="AO689" s="1167"/>
      <c r="AP689" s="1044"/>
      <c r="AQ689" s="1035"/>
      <c r="AR689" s="1035"/>
      <c r="AS689" s="1035"/>
      <c r="AT689" s="1165"/>
      <c r="AU689" s="1031"/>
      <c r="AV689" s="1045"/>
      <c r="AW689" s="1038"/>
      <c r="AX689" s="1035"/>
      <c r="AY689" s="483"/>
      <c r="AZ689" s="429"/>
      <c r="BA689" s="431"/>
      <c r="BB689" s="1035"/>
      <c r="BC689" s="1035"/>
      <c r="BD689" s="481"/>
      <c r="BE689" s="432"/>
      <c r="BF689" s="646"/>
      <c r="BG689" s="1047"/>
      <c r="BH689" s="1046"/>
      <c r="BI689" s="1048"/>
      <c r="BJ689" s="1030"/>
      <c r="BK689" s="1046"/>
      <c r="BL689" s="1048"/>
      <c r="BM689" s="1046"/>
      <c r="BN689" s="1167"/>
      <c r="BO689" s="1035"/>
      <c r="BP689" s="1043"/>
      <c r="BQ689" s="1167"/>
      <c r="BR689" s="1165"/>
      <c r="BS689" s="1031"/>
      <c r="BT689" s="1038"/>
      <c r="BU689" s="1035"/>
      <c r="BV689" s="1035"/>
      <c r="BW689" s="1049"/>
      <c r="BX689" s="1043"/>
      <c r="BY689" s="1046"/>
      <c r="BZ689" s="1167"/>
      <c r="CA689" s="1165"/>
      <c r="CB689" s="1031"/>
      <c r="CC689" s="1038"/>
      <c r="CD689" s="1035"/>
      <c r="CE689" s="1035"/>
      <c r="CF689" s="1049"/>
      <c r="CG689" s="1043"/>
      <c r="CH689" s="1046"/>
      <c r="CI689" s="1167"/>
      <c r="CJ689" s="1168"/>
      <c r="CK689" s="1169"/>
      <c r="CL689" s="1169"/>
      <c r="CM689" s="1166"/>
      <c r="CN689" s="1169"/>
      <c r="CO689" s="1169"/>
      <c r="CP689" s="452"/>
      <c r="CQ689" s="435"/>
      <c r="CR689" s="1117"/>
      <c r="CS689" s="452"/>
      <c r="CT689" s="482"/>
      <c r="CU689" s="476"/>
      <c r="CV689" s="431"/>
      <c r="CW689" s="1108"/>
      <c r="CX689" s="1108"/>
      <c r="CY689" s="483"/>
      <c r="CZ689" s="437"/>
      <c r="DA689" s="438"/>
      <c r="DB689" s="439"/>
      <c r="DC689" s="439"/>
      <c r="DD689" s="443"/>
      <c r="DE689" s="411"/>
      <c r="DF689" s="411"/>
      <c r="DG689" s="1117"/>
      <c r="DH689" s="1117"/>
      <c r="DI689" s="1117"/>
      <c r="DJ689" s="442"/>
      <c r="DK689" s="482"/>
      <c r="DL689" s="1038"/>
      <c r="DM689" s="1035"/>
      <c r="DN689" s="1035"/>
      <c r="DO689" s="1035"/>
      <c r="DP689" s="1046"/>
      <c r="DQ689" s="1167"/>
      <c r="DR689" s="1168"/>
      <c r="DS689" s="1165"/>
      <c r="DT689" s="1165"/>
      <c r="DU689" s="1165"/>
      <c r="DV689" s="1031"/>
      <c r="DW689" s="1098">
        <f t="shared" si="1164"/>
        <v>0</v>
      </c>
      <c r="DX689" s="1098">
        <f t="shared" si="1165"/>
        <v>0</v>
      </c>
      <c r="DY689" s="1030"/>
      <c r="DZ689" s="1030"/>
      <c r="EA689" s="1031"/>
      <c r="EB689" s="1050"/>
      <c r="EC689" s="1038"/>
      <c r="ED689" s="1035"/>
      <c r="EE689" s="1046"/>
      <c r="EF689" s="1169"/>
      <c r="EG689" s="1168"/>
      <c r="EH689" s="1165"/>
      <c r="EI689" s="1165"/>
      <c r="EJ689" s="1165"/>
      <c r="EK689" s="1031"/>
      <c r="EL689" s="1098">
        <f t="shared" si="1166"/>
        <v>0</v>
      </c>
      <c r="EM689" s="1098">
        <f t="shared" si="1167"/>
        <v>0</v>
      </c>
      <c r="EN689" s="1030"/>
      <c r="EO689" s="1030"/>
      <c r="EP689" s="1031"/>
      <c r="EQ689" s="1050"/>
      <c r="ER689" s="1038"/>
      <c r="ES689" s="1035"/>
      <c r="ET689" s="1051"/>
    </row>
    <row r="690" spans="2:150" ht="16.5" customHeight="1">
      <c r="B690" s="1024"/>
      <c r="C690" s="1025"/>
      <c r="D690" s="408">
        <v>687</v>
      </c>
      <c r="E690" s="1164"/>
      <c r="F690" s="1164"/>
      <c r="G690" s="1026"/>
      <c r="H690" s="411" t="str">
        <f>IFERROR(INDEX(绊状态确认!C:C,MATCH($G690,绊状态确认!$B:$B,)),"")</f>
        <v/>
      </c>
      <c r="I690" s="450" t="str">
        <f>IFERROR(INDEX(绊状态确认!D:D,MATCH($G690,绊状态确认!$B:$B,)),"")</f>
        <v/>
      </c>
      <c r="J690" s="450" t="str">
        <f>IFERROR(INDEX(绊状态确认!E:E,MATCH($G690,绊状态确认!$B:$B,)),"")</f>
        <v/>
      </c>
      <c r="K690" s="451" t="str">
        <f>IFERROR(INDEX(绊状态确认!F:F,MATCH($G690,绊状态确认!$B:$B,)),"")</f>
        <v/>
      </c>
      <c r="L690" s="1026"/>
      <c r="M690" s="1165"/>
      <c r="N690" s="1027"/>
      <c r="O690" s="1026"/>
      <c r="P690" s="1028"/>
      <c r="Q690" s="1029"/>
      <c r="R690" s="1166"/>
      <c r="S690" s="1030"/>
      <c r="T690" s="1031"/>
      <c r="U690" s="1032"/>
      <c r="V690" s="1033"/>
      <c r="W690" s="1034"/>
      <c r="X690" s="1166"/>
      <c r="Y690" s="1035"/>
      <c r="Z690" s="1036"/>
      <c r="AA690" s="1037"/>
      <c r="AB690" s="1038"/>
      <c r="AC690" s="1039"/>
      <c r="AD690" s="1040"/>
      <c r="AE690" s="1041"/>
      <c r="AF690" s="521"/>
      <c r="AG690" s="420"/>
      <c r="AH690" s="420"/>
      <c r="AI690" s="420"/>
      <c r="AJ690" s="420"/>
      <c r="AK690" s="518"/>
      <c r="AL690" s="1042"/>
      <c r="AM690" s="1035"/>
      <c r="AN690" s="1043"/>
      <c r="AO690" s="1167"/>
      <c r="AP690" s="1044"/>
      <c r="AQ690" s="1035"/>
      <c r="AR690" s="1035"/>
      <c r="AS690" s="1035"/>
      <c r="AT690" s="1165"/>
      <c r="AU690" s="1031"/>
      <c r="AV690" s="1045"/>
      <c r="AW690" s="1038"/>
      <c r="AX690" s="1035"/>
      <c r="AY690" s="483"/>
      <c r="AZ690" s="429"/>
      <c r="BA690" s="431"/>
      <c r="BB690" s="1035"/>
      <c r="BC690" s="1035"/>
      <c r="BD690" s="481"/>
      <c r="BE690" s="432"/>
      <c r="BF690" s="646"/>
      <c r="BG690" s="1047"/>
      <c r="BH690" s="1046"/>
      <c r="BI690" s="1048"/>
      <c r="BJ690" s="1030"/>
      <c r="BK690" s="1046"/>
      <c r="BL690" s="1048"/>
      <c r="BM690" s="1046"/>
      <c r="BN690" s="1167"/>
      <c r="BO690" s="1035"/>
      <c r="BP690" s="1043"/>
      <c r="BQ690" s="1167"/>
      <c r="BR690" s="1165"/>
      <c r="BS690" s="1031"/>
      <c r="BT690" s="1038"/>
      <c r="BU690" s="1035"/>
      <c r="BV690" s="1035"/>
      <c r="BW690" s="1049"/>
      <c r="BX690" s="1043"/>
      <c r="BY690" s="1046"/>
      <c r="BZ690" s="1167"/>
      <c r="CA690" s="1165"/>
      <c r="CB690" s="1031"/>
      <c r="CC690" s="1038"/>
      <c r="CD690" s="1035"/>
      <c r="CE690" s="1035"/>
      <c r="CF690" s="1049"/>
      <c r="CG690" s="1043"/>
      <c r="CH690" s="1046"/>
      <c r="CI690" s="1167"/>
      <c r="CJ690" s="1168"/>
      <c r="CK690" s="1169"/>
      <c r="CL690" s="1169"/>
      <c r="CM690" s="1166"/>
      <c r="CN690" s="1169"/>
      <c r="CO690" s="1169"/>
      <c r="CP690" s="452"/>
      <c r="CQ690" s="435"/>
      <c r="CR690" s="1117"/>
      <c r="CS690" s="452"/>
      <c r="CT690" s="482"/>
      <c r="CU690" s="476"/>
      <c r="CV690" s="431"/>
      <c r="CW690" s="1108"/>
      <c r="CX690" s="1108"/>
      <c r="CY690" s="483"/>
      <c r="CZ690" s="437"/>
      <c r="DA690" s="438"/>
      <c r="DB690" s="439"/>
      <c r="DC690" s="439"/>
      <c r="DD690" s="443"/>
      <c r="DE690" s="411"/>
      <c r="DF690" s="411"/>
      <c r="DG690" s="1117"/>
      <c r="DH690" s="1117"/>
      <c r="DI690" s="1117"/>
      <c r="DJ690" s="442"/>
      <c r="DK690" s="482"/>
      <c r="DL690" s="1038"/>
      <c r="DM690" s="1035"/>
      <c r="DN690" s="1035"/>
      <c r="DO690" s="1035"/>
      <c r="DP690" s="1046"/>
      <c r="DQ690" s="1167"/>
      <c r="DR690" s="1168"/>
      <c r="DS690" s="1165"/>
      <c r="DT690" s="1165"/>
      <c r="DU690" s="1165"/>
      <c r="DV690" s="1031"/>
      <c r="DW690" s="1098">
        <f t="shared" si="1164"/>
        <v>0</v>
      </c>
      <c r="DX690" s="1098">
        <f t="shared" si="1165"/>
        <v>0</v>
      </c>
      <c r="DY690" s="1030"/>
      <c r="DZ690" s="1030"/>
      <c r="EA690" s="1031"/>
      <c r="EB690" s="1050"/>
      <c r="EC690" s="1038"/>
      <c r="ED690" s="1035"/>
      <c r="EE690" s="1046"/>
      <c r="EF690" s="1169"/>
      <c r="EG690" s="1168"/>
      <c r="EH690" s="1165"/>
      <c r="EI690" s="1165"/>
      <c r="EJ690" s="1165"/>
      <c r="EK690" s="1031"/>
      <c r="EL690" s="1098">
        <f t="shared" si="1166"/>
        <v>0</v>
      </c>
      <c r="EM690" s="1098">
        <f t="shared" si="1167"/>
        <v>0</v>
      </c>
      <c r="EN690" s="1030"/>
      <c r="EO690" s="1030"/>
      <c r="EP690" s="1031"/>
      <c r="EQ690" s="1050"/>
      <c r="ER690" s="1038"/>
      <c r="ES690" s="1035"/>
      <c r="ET690" s="1051"/>
    </row>
    <row r="691" spans="2:150" ht="16.5" customHeight="1">
      <c r="B691" s="1024"/>
      <c r="C691" s="1025"/>
      <c r="D691" s="408">
        <v>688</v>
      </c>
      <c r="E691" s="1164"/>
      <c r="F691" s="1164"/>
      <c r="G691" s="1026"/>
      <c r="H691" s="411" t="str">
        <f>IFERROR(INDEX(绊状态确认!C:C,MATCH($G691,绊状态确认!$B:$B,)),"")</f>
        <v/>
      </c>
      <c r="I691" s="450" t="str">
        <f>IFERROR(INDEX(绊状态确认!D:D,MATCH($G691,绊状态确认!$B:$B,)),"")</f>
        <v/>
      </c>
      <c r="J691" s="450" t="str">
        <f>IFERROR(INDEX(绊状态确认!E:E,MATCH($G691,绊状态确认!$B:$B,)),"")</f>
        <v/>
      </c>
      <c r="K691" s="451" t="str">
        <f>IFERROR(INDEX(绊状态确认!F:F,MATCH($G691,绊状态确认!$B:$B,)),"")</f>
        <v/>
      </c>
      <c r="L691" s="1026"/>
      <c r="M691" s="1165"/>
      <c r="N691" s="1027"/>
      <c r="O691" s="1026"/>
      <c r="P691" s="1028"/>
      <c r="Q691" s="1029"/>
      <c r="R691" s="1166"/>
      <c r="S691" s="1030"/>
      <c r="T691" s="1031"/>
      <c r="U691" s="1032"/>
      <c r="V691" s="1033"/>
      <c r="W691" s="1034"/>
      <c r="X691" s="1166"/>
      <c r="Y691" s="1035"/>
      <c r="Z691" s="1036"/>
      <c r="AA691" s="1037"/>
      <c r="AB691" s="1038"/>
      <c r="AC691" s="1039"/>
      <c r="AD691" s="1040"/>
      <c r="AE691" s="1041"/>
      <c r="AF691" s="521"/>
      <c r="AG691" s="420"/>
      <c r="AH691" s="420"/>
      <c r="AI691" s="420"/>
      <c r="AJ691" s="420"/>
      <c r="AK691" s="518"/>
      <c r="AL691" s="1042"/>
      <c r="AM691" s="1035"/>
      <c r="AN691" s="1043"/>
      <c r="AO691" s="1167"/>
      <c r="AP691" s="1044"/>
      <c r="AQ691" s="1035"/>
      <c r="AR691" s="1035"/>
      <c r="AS691" s="1035"/>
      <c r="AT691" s="1165"/>
      <c r="AU691" s="1031"/>
      <c r="AV691" s="1045"/>
      <c r="AW691" s="1038"/>
      <c r="AX691" s="1035"/>
      <c r="AY691" s="483"/>
      <c r="AZ691" s="429"/>
      <c r="BA691" s="431"/>
      <c r="BB691" s="1035"/>
      <c r="BC691" s="1035"/>
      <c r="BD691" s="481"/>
      <c r="BE691" s="432"/>
      <c r="BF691" s="646"/>
      <c r="BG691" s="1047"/>
      <c r="BH691" s="1046"/>
      <c r="BI691" s="1048"/>
      <c r="BJ691" s="1030"/>
      <c r="BK691" s="1046"/>
      <c r="BL691" s="1048"/>
      <c r="BM691" s="1046"/>
      <c r="BN691" s="1167"/>
      <c r="BO691" s="1035"/>
      <c r="BP691" s="1043"/>
      <c r="BQ691" s="1167"/>
      <c r="BR691" s="1165"/>
      <c r="BS691" s="1031"/>
      <c r="BT691" s="1038"/>
      <c r="BU691" s="1035"/>
      <c r="BV691" s="1035"/>
      <c r="BW691" s="1049"/>
      <c r="BX691" s="1043"/>
      <c r="BY691" s="1046"/>
      <c r="BZ691" s="1167"/>
      <c r="CA691" s="1165"/>
      <c r="CB691" s="1031"/>
      <c r="CC691" s="1038"/>
      <c r="CD691" s="1035"/>
      <c r="CE691" s="1035"/>
      <c r="CF691" s="1049"/>
      <c r="CG691" s="1043"/>
      <c r="CH691" s="1046"/>
      <c r="CI691" s="1167"/>
      <c r="CJ691" s="1168"/>
      <c r="CK691" s="1169"/>
      <c r="CL691" s="1169"/>
      <c r="CM691" s="1166"/>
      <c r="CN691" s="1169"/>
      <c r="CO691" s="1169"/>
      <c r="CP691" s="452"/>
      <c r="CQ691" s="435"/>
      <c r="CR691" s="1117"/>
      <c r="CS691" s="452"/>
      <c r="CT691" s="482"/>
      <c r="CU691" s="476"/>
      <c r="CV691" s="431"/>
      <c r="CW691" s="1108"/>
      <c r="CX691" s="1108"/>
      <c r="CY691" s="483"/>
      <c r="CZ691" s="437"/>
      <c r="DA691" s="438"/>
      <c r="DB691" s="439"/>
      <c r="DC691" s="439"/>
      <c r="DD691" s="443"/>
      <c r="DE691" s="411"/>
      <c r="DF691" s="411"/>
      <c r="DG691" s="1117"/>
      <c r="DH691" s="1117"/>
      <c r="DI691" s="1117"/>
      <c r="DJ691" s="442"/>
      <c r="DK691" s="482"/>
      <c r="DL691" s="1038"/>
      <c r="DM691" s="1035"/>
      <c r="DN691" s="1035"/>
      <c r="DO691" s="1035"/>
      <c r="DP691" s="1046"/>
      <c r="DQ691" s="1167"/>
      <c r="DR691" s="1168"/>
      <c r="DS691" s="1165"/>
      <c r="DT691" s="1165"/>
      <c r="DU691" s="1165"/>
      <c r="DV691" s="1031"/>
      <c r="DW691" s="1098">
        <f t="shared" si="1164"/>
        <v>0</v>
      </c>
      <c r="DX691" s="1098">
        <f t="shared" si="1165"/>
        <v>0</v>
      </c>
      <c r="DY691" s="1030"/>
      <c r="DZ691" s="1030"/>
      <c r="EA691" s="1031"/>
      <c r="EB691" s="1050"/>
      <c r="EC691" s="1038"/>
      <c r="ED691" s="1035"/>
      <c r="EE691" s="1046"/>
      <c r="EF691" s="1169"/>
      <c r="EG691" s="1168"/>
      <c r="EH691" s="1165"/>
      <c r="EI691" s="1165"/>
      <c r="EJ691" s="1165"/>
      <c r="EK691" s="1031"/>
      <c r="EL691" s="1098">
        <f t="shared" si="1166"/>
        <v>0</v>
      </c>
      <c r="EM691" s="1098">
        <f t="shared" si="1167"/>
        <v>0</v>
      </c>
      <c r="EN691" s="1030"/>
      <c r="EO691" s="1030"/>
      <c r="EP691" s="1031"/>
      <c r="EQ691" s="1050"/>
      <c r="ER691" s="1038"/>
      <c r="ES691" s="1035"/>
      <c r="ET691" s="1051"/>
    </row>
    <row r="692" spans="2:150" ht="16.5" customHeight="1">
      <c r="B692" s="1024"/>
      <c r="C692" s="1025"/>
      <c r="D692" s="408">
        <v>689</v>
      </c>
      <c r="E692" s="1164"/>
      <c r="F692" s="1164"/>
      <c r="G692" s="1026"/>
      <c r="H692" s="411" t="str">
        <f>IFERROR(INDEX(绊状态确认!C:C,MATCH($G692,绊状态确认!$B:$B,)),"")</f>
        <v/>
      </c>
      <c r="I692" s="450" t="str">
        <f>IFERROR(INDEX(绊状态确认!D:D,MATCH($G692,绊状态确认!$B:$B,)),"")</f>
        <v/>
      </c>
      <c r="J692" s="450" t="str">
        <f>IFERROR(INDEX(绊状态确认!E:E,MATCH($G692,绊状态确认!$B:$B,)),"")</f>
        <v/>
      </c>
      <c r="K692" s="451" t="str">
        <f>IFERROR(INDEX(绊状态确认!F:F,MATCH($G692,绊状态确认!$B:$B,)),"")</f>
        <v/>
      </c>
      <c r="L692" s="1026"/>
      <c r="M692" s="1165"/>
      <c r="N692" s="1027"/>
      <c r="O692" s="1026"/>
      <c r="P692" s="1028"/>
      <c r="Q692" s="1029"/>
      <c r="R692" s="1166"/>
      <c r="S692" s="1030"/>
      <c r="T692" s="1031"/>
      <c r="U692" s="1032"/>
      <c r="V692" s="1033"/>
      <c r="W692" s="1034"/>
      <c r="X692" s="1166"/>
      <c r="Y692" s="1035"/>
      <c r="Z692" s="1036"/>
      <c r="AA692" s="1037"/>
      <c r="AB692" s="1038"/>
      <c r="AC692" s="1039"/>
      <c r="AD692" s="1040"/>
      <c r="AE692" s="1041"/>
      <c r="AF692" s="521"/>
      <c r="AG692" s="420"/>
      <c r="AH692" s="420"/>
      <c r="AI692" s="420"/>
      <c r="AJ692" s="420"/>
      <c r="AK692" s="518"/>
      <c r="AL692" s="1042"/>
      <c r="AM692" s="1035"/>
      <c r="AN692" s="1043"/>
      <c r="AO692" s="1167"/>
      <c r="AP692" s="1044"/>
      <c r="AQ692" s="1035"/>
      <c r="AR692" s="1035"/>
      <c r="AS692" s="1035"/>
      <c r="AT692" s="1165"/>
      <c r="AU692" s="1031"/>
      <c r="AV692" s="1045"/>
      <c r="AW692" s="1038"/>
      <c r="AX692" s="1035"/>
      <c r="AY692" s="483"/>
      <c r="AZ692" s="429"/>
      <c r="BA692" s="431"/>
      <c r="BB692" s="1035"/>
      <c r="BC692" s="1035"/>
      <c r="BD692" s="481"/>
      <c r="BE692" s="432"/>
      <c r="BF692" s="646"/>
      <c r="BG692" s="1047"/>
      <c r="BH692" s="1046"/>
      <c r="BI692" s="1048"/>
      <c r="BJ692" s="1030"/>
      <c r="BK692" s="1046"/>
      <c r="BL692" s="1048"/>
      <c r="BM692" s="1046"/>
      <c r="BN692" s="1167"/>
      <c r="BO692" s="1035"/>
      <c r="BP692" s="1043"/>
      <c r="BQ692" s="1167"/>
      <c r="BR692" s="1165"/>
      <c r="BS692" s="1031"/>
      <c r="BT692" s="1038"/>
      <c r="BU692" s="1035"/>
      <c r="BV692" s="1035"/>
      <c r="BW692" s="1049"/>
      <c r="BX692" s="1043"/>
      <c r="BY692" s="1046"/>
      <c r="BZ692" s="1167"/>
      <c r="CA692" s="1165"/>
      <c r="CB692" s="1031"/>
      <c r="CC692" s="1038"/>
      <c r="CD692" s="1035"/>
      <c r="CE692" s="1035"/>
      <c r="CF692" s="1049"/>
      <c r="CG692" s="1043"/>
      <c r="CH692" s="1046"/>
      <c r="CI692" s="1167"/>
      <c r="CJ692" s="1168"/>
      <c r="CK692" s="1169"/>
      <c r="CL692" s="1169"/>
      <c r="CM692" s="1166"/>
      <c r="CN692" s="1169"/>
      <c r="CO692" s="1169"/>
      <c r="CP692" s="452"/>
      <c r="CQ692" s="435"/>
      <c r="CR692" s="1117"/>
      <c r="CS692" s="452"/>
      <c r="CT692" s="482"/>
      <c r="CU692" s="476"/>
      <c r="CV692" s="431"/>
      <c r="CW692" s="1108"/>
      <c r="CX692" s="1108"/>
      <c r="CY692" s="483"/>
      <c r="CZ692" s="437"/>
      <c r="DA692" s="438"/>
      <c r="DB692" s="439"/>
      <c r="DC692" s="439"/>
      <c r="DD692" s="443"/>
      <c r="DE692" s="411"/>
      <c r="DF692" s="411"/>
      <c r="DG692" s="1117"/>
      <c r="DH692" s="1117"/>
      <c r="DI692" s="1117"/>
      <c r="DJ692" s="442"/>
      <c r="DK692" s="482"/>
      <c r="DL692" s="1038"/>
      <c r="DM692" s="1035"/>
      <c r="DN692" s="1035"/>
      <c r="DO692" s="1035"/>
      <c r="DP692" s="1046"/>
      <c r="DQ692" s="1167"/>
      <c r="DR692" s="1168"/>
      <c r="DS692" s="1165"/>
      <c r="DT692" s="1165"/>
      <c r="DU692" s="1165"/>
      <c r="DV692" s="1031"/>
      <c r="DW692" s="1098">
        <f t="shared" si="1164"/>
        <v>0</v>
      </c>
      <c r="DX692" s="1098">
        <f t="shared" si="1165"/>
        <v>0</v>
      </c>
      <c r="DY692" s="1030"/>
      <c r="DZ692" s="1030"/>
      <c r="EA692" s="1031"/>
      <c r="EB692" s="1050"/>
      <c r="EC692" s="1038"/>
      <c r="ED692" s="1035"/>
      <c r="EE692" s="1046"/>
      <c r="EF692" s="1169"/>
      <c r="EG692" s="1168"/>
      <c r="EH692" s="1165"/>
      <c r="EI692" s="1165"/>
      <c r="EJ692" s="1165"/>
      <c r="EK692" s="1031"/>
      <c r="EL692" s="1098">
        <f t="shared" si="1166"/>
        <v>0</v>
      </c>
      <c r="EM692" s="1098">
        <f t="shared" si="1167"/>
        <v>0</v>
      </c>
      <c r="EN692" s="1030"/>
      <c r="EO692" s="1030"/>
      <c r="EP692" s="1031"/>
      <c r="EQ692" s="1050"/>
      <c r="ER692" s="1038"/>
      <c r="ES692" s="1035"/>
      <c r="ET692" s="1051"/>
    </row>
    <row r="693" spans="2:150" ht="16.5" customHeight="1">
      <c r="B693" s="1024"/>
      <c r="C693" s="1025"/>
      <c r="D693" s="408">
        <v>690</v>
      </c>
      <c r="E693" s="1164"/>
      <c r="F693" s="1164"/>
      <c r="G693" s="1026"/>
      <c r="H693" s="411" t="str">
        <f>IFERROR(INDEX(绊状态确认!C:C,MATCH($G693,绊状态确认!$B:$B,)),"")</f>
        <v/>
      </c>
      <c r="I693" s="450" t="str">
        <f>IFERROR(INDEX(绊状态确认!D:D,MATCH($G693,绊状态确认!$B:$B,)),"")</f>
        <v/>
      </c>
      <c r="J693" s="450" t="str">
        <f>IFERROR(INDEX(绊状态确认!E:E,MATCH($G693,绊状态确认!$B:$B,)),"")</f>
        <v/>
      </c>
      <c r="K693" s="451" t="str">
        <f>IFERROR(INDEX(绊状态确认!F:F,MATCH($G693,绊状态确认!$B:$B,)),"")</f>
        <v/>
      </c>
      <c r="L693" s="1026"/>
      <c r="M693" s="1165"/>
      <c r="N693" s="1027"/>
      <c r="O693" s="1026"/>
      <c r="P693" s="1028"/>
      <c r="Q693" s="1029"/>
      <c r="R693" s="1166"/>
      <c r="S693" s="1030"/>
      <c r="T693" s="1031"/>
      <c r="U693" s="1032"/>
      <c r="V693" s="1033"/>
      <c r="W693" s="1034"/>
      <c r="X693" s="1166"/>
      <c r="Y693" s="1035"/>
      <c r="Z693" s="1036"/>
      <c r="AA693" s="1037"/>
      <c r="AB693" s="1038"/>
      <c r="AC693" s="1039"/>
      <c r="AD693" s="1040"/>
      <c r="AE693" s="1041"/>
      <c r="AF693" s="521"/>
      <c r="AG693" s="420"/>
      <c r="AH693" s="420"/>
      <c r="AI693" s="420"/>
      <c r="AJ693" s="420"/>
      <c r="AK693" s="518"/>
      <c r="AL693" s="1042"/>
      <c r="AM693" s="1035"/>
      <c r="AN693" s="1043"/>
      <c r="AO693" s="1167"/>
      <c r="AP693" s="1044"/>
      <c r="AQ693" s="1035"/>
      <c r="AR693" s="1035"/>
      <c r="AS693" s="1035"/>
      <c r="AT693" s="1165"/>
      <c r="AU693" s="1031"/>
      <c r="AV693" s="1045"/>
      <c r="AW693" s="1038"/>
      <c r="AX693" s="1035"/>
      <c r="AY693" s="483"/>
      <c r="AZ693" s="429"/>
      <c r="BA693" s="431"/>
      <c r="BB693" s="1035"/>
      <c r="BC693" s="1035"/>
      <c r="BD693" s="481"/>
      <c r="BE693" s="432"/>
      <c r="BF693" s="646"/>
      <c r="BG693" s="1047"/>
      <c r="BH693" s="1046"/>
      <c r="BI693" s="1048"/>
      <c r="BJ693" s="1030"/>
      <c r="BK693" s="1046"/>
      <c r="BL693" s="1048"/>
      <c r="BM693" s="1046"/>
      <c r="BN693" s="1167"/>
      <c r="BO693" s="1035"/>
      <c r="BP693" s="1043"/>
      <c r="BQ693" s="1167"/>
      <c r="BR693" s="1165"/>
      <c r="BS693" s="1031"/>
      <c r="BT693" s="1038"/>
      <c r="BU693" s="1035"/>
      <c r="BV693" s="1035"/>
      <c r="BW693" s="1049"/>
      <c r="BX693" s="1043"/>
      <c r="BY693" s="1046"/>
      <c r="BZ693" s="1167"/>
      <c r="CA693" s="1165"/>
      <c r="CB693" s="1031"/>
      <c r="CC693" s="1038"/>
      <c r="CD693" s="1035"/>
      <c r="CE693" s="1035"/>
      <c r="CF693" s="1049"/>
      <c r="CG693" s="1043"/>
      <c r="CH693" s="1046"/>
      <c r="CI693" s="1167"/>
      <c r="CJ693" s="1168"/>
      <c r="CK693" s="1169"/>
      <c r="CL693" s="1169"/>
      <c r="CM693" s="1166"/>
      <c r="CN693" s="1169"/>
      <c r="CO693" s="1169"/>
      <c r="CP693" s="452"/>
      <c r="CQ693" s="435"/>
      <c r="CR693" s="1117"/>
      <c r="CS693" s="452"/>
      <c r="CT693" s="482"/>
      <c r="CU693" s="476"/>
      <c r="CV693" s="431"/>
      <c r="CW693" s="1108"/>
      <c r="CX693" s="1108"/>
      <c r="CY693" s="483"/>
      <c r="CZ693" s="437"/>
      <c r="DA693" s="438"/>
      <c r="DB693" s="439"/>
      <c r="DC693" s="439"/>
      <c r="DD693" s="443"/>
      <c r="DE693" s="411"/>
      <c r="DF693" s="411"/>
      <c r="DG693" s="1117"/>
      <c r="DH693" s="1117"/>
      <c r="DI693" s="1117"/>
      <c r="DJ693" s="442"/>
      <c r="DK693" s="482"/>
      <c r="DL693" s="1038"/>
      <c r="DM693" s="1035"/>
      <c r="DN693" s="1035"/>
      <c r="DO693" s="1035"/>
      <c r="DP693" s="1046"/>
      <c r="DQ693" s="1167"/>
      <c r="DR693" s="1168"/>
      <c r="DS693" s="1165"/>
      <c r="DT693" s="1165"/>
      <c r="DU693" s="1165"/>
      <c r="DV693" s="1031"/>
      <c r="DW693" s="1098">
        <f t="shared" si="1164"/>
        <v>0</v>
      </c>
      <c r="DX693" s="1098">
        <f t="shared" si="1165"/>
        <v>0</v>
      </c>
      <c r="DY693" s="1030"/>
      <c r="DZ693" s="1030"/>
      <c r="EA693" s="1031"/>
      <c r="EB693" s="1050"/>
      <c r="EC693" s="1038"/>
      <c r="ED693" s="1035"/>
      <c r="EE693" s="1046"/>
      <c r="EF693" s="1169"/>
      <c r="EG693" s="1168"/>
      <c r="EH693" s="1165"/>
      <c r="EI693" s="1165"/>
      <c r="EJ693" s="1165"/>
      <c r="EK693" s="1031"/>
      <c r="EL693" s="1098">
        <f t="shared" si="1166"/>
        <v>0</v>
      </c>
      <c r="EM693" s="1098">
        <f t="shared" si="1167"/>
        <v>0</v>
      </c>
      <c r="EN693" s="1030"/>
      <c r="EO693" s="1030"/>
      <c r="EP693" s="1031"/>
      <c r="EQ693" s="1050"/>
      <c r="ER693" s="1038"/>
      <c r="ES693" s="1035"/>
      <c r="ET693" s="1051"/>
    </row>
    <row r="694" spans="2:150" ht="16.5" customHeight="1">
      <c r="B694" s="1024"/>
      <c r="C694" s="1025"/>
      <c r="D694" s="408">
        <v>691</v>
      </c>
      <c r="E694" s="1164"/>
      <c r="F694" s="1164"/>
      <c r="G694" s="1026"/>
      <c r="H694" s="411" t="str">
        <f>IFERROR(INDEX(绊状态确认!C:C,MATCH($G694,绊状态确认!$B:$B,)),"")</f>
        <v/>
      </c>
      <c r="I694" s="450" t="str">
        <f>IFERROR(INDEX(绊状态确认!D:D,MATCH($G694,绊状态确认!$B:$B,)),"")</f>
        <v/>
      </c>
      <c r="J694" s="450" t="str">
        <f>IFERROR(INDEX(绊状态确认!E:E,MATCH($G694,绊状态确认!$B:$B,)),"")</f>
        <v/>
      </c>
      <c r="K694" s="451" t="str">
        <f>IFERROR(INDEX(绊状态确认!F:F,MATCH($G694,绊状态确认!$B:$B,)),"")</f>
        <v/>
      </c>
      <c r="L694" s="1026"/>
      <c r="M694" s="1165"/>
      <c r="N694" s="1027"/>
      <c r="O694" s="1026"/>
      <c r="P694" s="1028"/>
      <c r="Q694" s="1029"/>
      <c r="R694" s="1166"/>
      <c r="S694" s="1030"/>
      <c r="T694" s="1031"/>
      <c r="U694" s="1032"/>
      <c r="V694" s="1033"/>
      <c r="W694" s="1034"/>
      <c r="X694" s="1166"/>
      <c r="Y694" s="1035"/>
      <c r="Z694" s="1036"/>
      <c r="AA694" s="1037"/>
      <c r="AB694" s="1038"/>
      <c r="AC694" s="1039"/>
      <c r="AD694" s="1040"/>
      <c r="AE694" s="1041"/>
      <c r="AF694" s="521"/>
      <c r="AG694" s="420"/>
      <c r="AH694" s="420"/>
      <c r="AI694" s="420"/>
      <c r="AJ694" s="420"/>
      <c r="AK694" s="518"/>
      <c r="AL694" s="1042"/>
      <c r="AM694" s="1035"/>
      <c r="AN694" s="1043"/>
      <c r="AO694" s="1167"/>
      <c r="AP694" s="1044"/>
      <c r="AQ694" s="1035"/>
      <c r="AR694" s="1035"/>
      <c r="AS694" s="1035"/>
      <c r="AT694" s="1165"/>
      <c r="AU694" s="1031"/>
      <c r="AV694" s="1045"/>
      <c r="AW694" s="1038"/>
      <c r="AX694" s="1035"/>
      <c r="AY694" s="483"/>
      <c r="AZ694" s="429"/>
      <c r="BA694" s="431"/>
      <c r="BB694" s="1035"/>
      <c r="BC694" s="1035"/>
      <c r="BD694" s="481"/>
      <c r="BE694" s="432"/>
      <c r="BF694" s="646"/>
      <c r="BG694" s="1047"/>
      <c r="BH694" s="1046"/>
      <c r="BI694" s="1048"/>
      <c r="BJ694" s="1030"/>
      <c r="BK694" s="1046"/>
      <c r="BL694" s="1048"/>
      <c r="BM694" s="1046"/>
      <c r="BN694" s="1167"/>
      <c r="BO694" s="1035"/>
      <c r="BP694" s="1043"/>
      <c r="BQ694" s="1167"/>
      <c r="BR694" s="1165"/>
      <c r="BS694" s="1031"/>
      <c r="BT694" s="1038"/>
      <c r="BU694" s="1035"/>
      <c r="BV694" s="1035"/>
      <c r="BW694" s="1049"/>
      <c r="BX694" s="1043"/>
      <c r="BY694" s="1046"/>
      <c r="BZ694" s="1167"/>
      <c r="CA694" s="1165"/>
      <c r="CB694" s="1031"/>
      <c r="CC694" s="1038"/>
      <c r="CD694" s="1035"/>
      <c r="CE694" s="1035"/>
      <c r="CF694" s="1049"/>
      <c r="CG694" s="1043"/>
      <c r="CH694" s="1046"/>
      <c r="CI694" s="1167"/>
      <c r="CJ694" s="1168"/>
      <c r="CK694" s="1169"/>
      <c r="CL694" s="1169"/>
      <c r="CM694" s="1166"/>
      <c r="CN694" s="1169"/>
      <c r="CO694" s="1169"/>
      <c r="CP694" s="452"/>
      <c r="CQ694" s="435"/>
      <c r="CR694" s="1117"/>
      <c r="CS694" s="452"/>
      <c r="CT694" s="482"/>
      <c r="CU694" s="476"/>
      <c r="CV694" s="431"/>
      <c r="CW694" s="1108"/>
      <c r="CX694" s="1108"/>
      <c r="CY694" s="483"/>
      <c r="CZ694" s="437"/>
      <c r="DA694" s="438"/>
      <c r="DB694" s="439"/>
      <c r="DC694" s="439"/>
      <c r="DD694" s="443"/>
      <c r="DE694" s="411"/>
      <c r="DF694" s="411"/>
      <c r="DG694" s="1117"/>
      <c r="DH694" s="1117"/>
      <c r="DI694" s="1117"/>
      <c r="DJ694" s="442"/>
      <c r="DK694" s="482"/>
      <c r="DL694" s="1038"/>
      <c r="DM694" s="1035"/>
      <c r="DN694" s="1035"/>
      <c r="DO694" s="1035"/>
      <c r="DP694" s="1046"/>
      <c r="DQ694" s="1167"/>
      <c r="DR694" s="1168"/>
      <c r="DS694" s="1165"/>
      <c r="DT694" s="1165"/>
      <c r="DU694" s="1165"/>
      <c r="DV694" s="1031"/>
      <c r="DW694" s="1098">
        <f t="shared" si="1164"/>
        <v>0</v>
      </c>
      <c r="DX694" s="1098">
        <f t="shared" si="1165"/>
        <v>0</v>
      </c>
      <c r="DY694" s="1030"/>
      <c r="DZ694" s="1030"/>
      <c r="EA694" s="1031"/>
      <c r="EB694" s="1050"/>
      <c r="EC694" s="1038"/>
      <c r="ED694" s="1035"/>
      <c r="EE694" s="1046"/>
      <c r="EF694" s="1169"/>
      <c r="EG694" s="1168"/>
      <c r="EH694" s="1165"/>
      <c r="EI694" s="1165"/>
      <c r="EJ694" s="1165"/>
      <c r="EK694" s="1031"/>
      <c r="EL694" s="1098">
        <f t="shared" si="1166"/>
        <v>0</v>
      </c>
      <c r="EM694" s="1098">
        <f t="shared" si="1167"/>
        <v>0</v>
      </c>
      <c r="EN694" s="1030"/>
      <c r="EO694" s="1030"/>
      <c r="EP694" s="1031"/>
      <c r="EQ694" s="1050"/>
      <c r="ER694" s="1038"/>
      <c r="ES694" s="1035"/>
      <c r="ET694" s="1051"/>
    </row>
    <row r="695" spans="2:150" ht="16.5" customHeight="1">
      <c r="B695" s="1024"/>
      <c r="C695" s="1025"/>
      <c r="D695" s="408">
        <v>692</v>
      </c>
      <c r="E695" s="1164"/>
      <c r="F695" s="1164"/>
      <c r="G695" s="1026"/>
      <c r="H695" s="411" t="str">
        <f>IFERROR(INDEX(绊状态确认!C:C,MATCH($G695,绊状态确认!$B:$B,)),"")</f>
        <v/>
      </c>
      <c r="I695" s="450" t="str">
        <f>IFERROR(INDEX(绊状态确认!D:D,MATCH($G695,绊状态确认!$B:$B,)),"")</f>
        <v/>
      </c>
      <c r="J695" s="450" t="str">
        <f>IFERROR(INDEX(绊状态确认!E:E,MATCH($G695,绊状态确认!$B:$B,)),"")</f>
        <v/>
      </c>
      <c r="K695" s="451" t="str">
        <f>IFERROR(INDEX(绊状态确认!F:F,MATCH($G695,绊状态确认!$B:$B,)),"")</f>
        <v/>
      </c>
      <c r="L695" s="1026"/>
      <c r="M695" s="1165"/>
      <c r="N695" s="1027"/>
      <c r="O695" s="1026"/>
      <c r="P695" s="1028"/>
      <c r="Q695" s="1029"/>
      <c r="R695" s="1166"/>
      <c r="S695" s="1030"/>
      <c r="T695" s="1031"/>
      <c r="U695" s="1032"/>
      <c r="V695" s="1033"/>
      <c r="W695" s="1034"/>
      <c r="X695" s="1166"/>
      <c r="Y695" s="1035"/>
      <c r="Z695" s="1036"/>
      <c r="AA695" s="1037"/>
      <c r="AB695" s="1038"/>
      <c r="AC695" s="1039"/>
      <c r="AD695" s="1040"/>
      <c r="AE695" s="1041"/>
      <c r="AF695" s="521"/>
      <c r="AG695" s="420"/>
      <c r="AH695" s="420"/>
      <c r="AI695" s="420"/>
      <c r="AJ695" s="420"/>
      <c r="AK695" s="518"/>
      <c r="AL695" s="1042"/>
      <c r="AM695" s="1035"/>
      <c r="AN695" s="1043"/>
      <c r="AO695" s="1167"/>
      <c r="AP695" s="1044"/>
      <c r="AQ695" s="1035"/>
      <c r="AR695" s="1035"/>
      <c r="AS695" s="1035"/>
      <c r="AT695" s="1165"/>
      <c r="AU695" s="1031"/>
      <c r="AV695" s="1045"/>
      <c r="AW695" s="1038"/>
      <c r="AX695" s="1035"/>
      <c r="AY695" s="483"/>
      <c r="AZ695" s="429"/>
      <c r="BA695" s="431"/>
      <c r="BB695" s="1035"/>
      <c r="BC695" s="1035"/>
      <c r="BD695" s="481"/>
      <c r="BE695" s="432"/>
      <c r="BF695" s="646"/>
      <c r="BG695" s="1047"/>
      <c r="BH695" s="1046"/>
      <c r="BI695" s="1048"/>
      <c r="BJ695" s="1030"/>
      <c r="BK695" s="1046"/>
      <c r="BL695" s="1048"/>
      <c r="BM695" s="1046"/>
      <c r="BN695" s="1167"/>
      <c r="BO695" s="1035"/>
      <c r="BP695" s="1043"/>
      <c r="BQ695" s="1167"/>
      <c r="BR695" s="1165"/>
      <c r="BS695" s="1031"/>
      <c r="BT695" s="1038"/>
      <c r="BU695" s="1035"/>
      <c r="BV695" s="1035"/>
      <c r="BW695" s="1049"/>
      <c r="BX695" s="1043"/>
      <c r="BY695" s="1046"/>
      <c r="BZ695" s="1167"/>
      <c r="CA695" s="1165"/>
      <c r="CB695" s="1031"/>
      <c r="CC695" s="1038"/>
      <c r="CD695" s="1035"/>
      <c r="CE695" s="1035"/>
      <c r="CF695" s="1049"/>
      <c r="CG695" s="1043"/>
      <c r="CH695" s="1046"/>
      <c r="CI695" s="1167"/>
      <c r="CJ695" s="1168"/>
      <c r="CK695" s="1169"/>
      <c r="CL695" s="1169"/>
      <c r="CM695" s="1166"/>
      <c r="CN695" s="1169"/>
      <c r="CO695" s="1169"/>
      <c r="CP695" s="452"/>
      <c r="CQ695" s="435"/>
      <c r="CR695" s="1117"/>
      <c r="CS695" s="452"/>
      <c r="CT695" s="482"/>
      <c r="CU695" s="476"/>
      <c r="CV695" s="431"/>
      <c r="CW695" s="1108"/>
      <c r="CX695" s="1108"/>
      <c r="CY695" s="483"/>
      <c r="CZ695" s="437"/>
      <c r="DA695" s="438"/>
      <c r="DB695" s="439"/>
      <c r="DC695" s="439"/>
      <c r="DD695" s="443"/>
      <c r="DE695" s="411"/>
      <c r="DF695" s="411"/>
      <c r="DG695" s="1117"/>
      <c r="DH695" s="1117"/>
      <c r="DI695" s="1117"/>
      <c r="DJ695" s="442"/>
      <c r="DK695" s="482"/>
      <c r="DL695" s="1038"/>
      <c r="DM695" s="1035"/>
      <c r="DN695" s="1035"/>
      <c r="DO695" s="1035"/>
      <c r="DP695" s="1046"/>
      <c r="DQ695" s="1167"/>
      <c r="DR695" s="1168"/>
      <c r="DS695" s="1165"/>
      <c r="DT695" s="1165"/>
      <c r="DU695" s="1165"/>
      <c r="DV695" s="1031"/>
      <c r="DW695" s="1098">
        <f t="shared" si="1164"/>
        <v>0</v>
      </c>
      <c r="DX695" s="1098">
        <f t="shared" si="1165"/>
        <v>0</v>
      </c>
      <c r="DY695" s="1030"/>
      <c r="DZ695" s="1030"/>
      <c r="EA695" s="1031"/>
      <c r="EB695" s="1050"/>
      <c r="EC695" s="1038"/>
      <c r="ED695" s="1035"/>
      <c r="EE695" s="1046"/>
      <c r="EF695" s="1169"/>
      <c r="EG695" s="1168"/>
      <c r="EH695" s="1165"/>
      <c r="EI695" s="1165"/>
      <c r="EJ695" s="1165"/>
      <c r="EK695" s="1031"/>
      <c r="EL695" s="1098">
        <f t="shared" si="1166"/>
        <v>0</v>
      </c>
      <c r="EM695" s="1098">
        <f t="shared" si="1167"/>
        <v>0</v>
      </c>
      <c r="EN695" s="1030"/>
      <c r="EO695" s="1030"/>
      <c r="EP695" s="1031"/>
      <c r="EQ695" s="1050"/>
      <c r="ER695" s="1038"/>
      <c r="ES695" s="1035"/>
      <c r="ET695" s="1051"/>
    </row>
    <row r="696" spans="2:150" ht="16.5" customHeight="1">
      <c r="B696" s="1024"/>
      <c r="C696" s="1025"/>
      <c r="D696" s="408">
        <v>693</v>
      </c>
      <c r="E696" s="1164"/>
      <c r="F696" s="1164"/>
      <c r="G696" s="1026"/>
      <c r="H696" s="411" t="str">
        <f>IFERROR(INDEX(绊状态确认!C:C,MATCH($G696,绊状态确认!$B:$B,)),"")</f>
        <v/>
      </c>
      <c r="I696" s="450" t="str">
        <f>IFERROR(INDEX(绊状态确认!D:D,MATCH($G696,绊状态确认!$B:$B,)),"")</f>
        <v/>
      </c>
      <c r="J696" s="450" t="str">
        <f>IFERROR(INDEX(绊状态确认!E:E,MATCH($G696,绊状态确认!$B:$B,)),"")</f>
        <v/>
      </c>
      <c r="K696" s="451" t="str">
        <f>IFERROR(INDEX(绊状态确认!F:F,MATCH($G696,绊状态确认!$B:$B,)),"")</f>
        <v/>
      </c>
      <c r="L696" s="1026"/>
      <c r="M696" s="1165"/>
      <c r="N696" s="1027"/>
      <c r="O696" s="1026"/>
      <c r="P696" s="1028"/>
      <c r="Q696" s="1029"/>
      <c r="R696" s="1166"/>
      <c r="S696" s="1030"/>
      <c r="T696" s="1031"/>
      <c r="U696" s="1032"/>
      <c r="V696" s="1033"/>
      <c r="W696" s="1034"/>
      <c r="X696" s="1166"/>
      <c r="Y696" s="1035"/>
      <c r="Z696" s="1036"/>
      <c r="AA696" s="1037"/>
      <c r="AB696" s="1038"/>
      <c r="AC696" s="1039"/>
      <c r="AD696" s="1040"/>
      <c r="AE696" s="1041"/>
      <c r="AF696" s="521"/>
      <c r="AG696" s="420"/>
      <c r="AH696" s="420"/>
      <c r="AI696" s="420"/>
      <c r="AJ696" s="420"/>
      <c r="AK696" s="518"/>
      <c r="AL696" s="1042"/>
      <c r="AM696" s="1035"/>
      <c r="AN696" s="1043"/>
      <c r="AO696" s="1167"/>
      <c r="AP696" s="1044"/>
      <c r="AQ696" s="1035"/>
      <c r="AR696" s="1035"/>
      <c r="AS696" s="1035"/>
      <c r="AT696" s="1165"/>
      <c r="AU696" s="1031"/>
      <c r="AV696" s="1045"/>
      <c r="AW696" s="1038"/>
      <c r="AX696" s="1035"/>
      <c r="AY696" s="483"/>
      <c r="AZ696" s="429"/>
      <c r="BA696" s="431"/>
      <c r="BB696" s="1035"/>
      <c r="BC696" s="1035"/>
      <c r="BD696" s="481"/>
      <c r="BE696" s="432"/>
      <c r="BF696" s="646"/>
      <c r="BG696" s="1047"/>
      <c r="BH696" s="1046"/>
      <c r="BI696" s="1048"/>
      <c r="BJ696" s="1030"/>
      <c r="BK696" s="1046"/>
      <c r="BL696" s="1048"/>
      <c r="BM696" s="1046"/>
      <c r="BN696" s="1167"/>
      <c r="BO696" s="1035"/>
      <c r="BP696" s="1043"/>
      <c r="BQ696" s="1167"/>
      <c r="BR696" s="1165"/>
      <c r="BS696" s="1031"/>
      <c r="BT696" s="1038"/>
      <c r="BU696" s="1035"/>
      <c r="BV696" s="1035"/>
      <c r="BW696" s="1049"/>
      <c r="BX696" s="1043"/>
      <c r="BY696" s="1046"/>
      <c r="BZ696" s="1167"/>
      <c r="CA696" s="1165"/>
      <c r="CB696" s="1031"/>
      <c r="CC696" s="1038"/>
      <c r="CD696" s="1035"/>
      <c r="CE696" s="1035"/>
      <c r="CF696" s="1049"/>
      <c r="CG696" s="1043"/>
      <c r="CH696" s="1046"/>
      <c r="CI696" s="1167"/>
      <c r="CJ696" s="1168"/>
      <c r="CK696" s="1169"/>
      <c r="CL696" s="1169"/>
      <c r="CM696" s="1166"/>
      <c r="CN696" s="1169"/>
      <c r="CO696" s="1169"/>
      <c r="CP696" s="452"/>
      <c r="CQ696" s="435"/>
      <c r="CR696" s="1117"/>
      <c r="CS696" s="452"/>
      <c r="CT696" s="482"/>
      <c r="CU696" s="476"/>
      <c r="CV696" s="431"/>
      <c r="CW696" s="1108"/>
      <c r="CX696" s="1108"/>
      <c r="CY696" s="483"/>
      <c r="CZ696" s="437"/>
      <c r="DA696" s="438"/>
      <c r="DB696" s="439"/>
      <c r="DC696" s="439"/>
      <c r="DD696" s="443"/>
      <c r="DE696" s="411"/>
      <c r="DF696" s="411"/>
      <c r="DG696" s="1117"/>
      <c r="DH696" s="1117"/>
      <c r="DI696" s="1117"/>
      <c r="DJ696" s="442"/>
      <c r="DK696" s="482"/>
      <c r="DL696" s="1038"/>
      <c r="DM696" s="1035"/>
      <c r="DN696" s="1035"/>
      <c r="DO696" s="1035"/>
      <c r="DP696" s="1046"/>
      <c r="DQ696" s="1167"/>
      <c r="DR696" s="1168"/>
      <c r="DS696" s="1165"/>
      <c r="DT696" s="1165"/>
      <c r="DU696" s="1165"/>
      <c r="DV696" s="1031"/>
      <c r="DW696" s="1098">
        <f t="shared" si="1164"/>
        <v>0</v>
      </c>
      <c r="DX696" s="1098">
        <f t="shared" si="1165"/>
        <v>0</v>
      </c>
      <c r="DY696" s="1030"/>
      <c r="DZ696" s="1030"/>
      <c r="EA696" s="1031"/>
      <c r="EB696" s="1050"/>
      <c r="EC696" s="1038"/>
      <c r="ED696" s="1035"/>
      <c r="EE696" s="1046"/>
      <c r="EF696" s="1169"/>
      <c r="EG696" s="1168"/>
      <c r="EH696" s="1165"/>
      <c r="EI696" s="1165"/>
      <c r="EJ696" s="1165"/>
      <c r="EK696" s="1031"/>
      <c r="EL696" s="1098">
        <f t="shared" si="1166"/>
        <v>0</v>
      </c>
      <c r="EM696" s="1098">
        <f t="shared" si="1167"/>
        <v>0</v>
      </c>
      <c r="EN696" s="1030"/>
      <c r="EO696" s="1030"/>
      <c r="EP696" s="1031"/>
      <c r="EQ696" s="1050"/>
      <c r="ER696" s="1038"/>
      <c r="ES696" s="1035"/>
      <c r="ET696" s="1051"/>
    </row>
    <row r="697" spans="2:150" ht="16.5" customHeight="1">
      <c r="B697" s="1024"/>
      <c r="C697" s="1025"/>
      <c r="D697" s="408">
        <v>694</v>
      </c>
      <c r="E697" s="1164"/>
      <c r="F697" s="1164"/>
      <c r="G697" s="1026"/>
      <c r="H697" s="411" t="str">
        <f>IFERROR(INDEX(绊状态确认!C:C,MATCH($G697,绊状态确认!$B:$B,)),"")</f>
        <v/>
      </c>
      <c r="I697" s="450" t="str">
        <f>IFERROR(INDEX(绊状态确认!D:D,MATCH($G697,绊状态确认!$B:$B,)),"")</f>
        <v/>
      </c>
      <c r="J697" s="450" t="str">
        <f>IFERROR(INDEX(绊状态确认!E:E,MATCH($G697,绊状态确认!$B:$B,)),"")</f>
        <v/>
      </c>
      <c r="K697" s="451" t="str">
        <f>IFERROR(INDEX(绊状态确认!F:F,MATCH($G697,绊状态确认!$B:$B,)),"")</f>
        <v/>
      </c>
      <c r="L697" s="1026"/>
      <c r="M697" s="1165"/>
      <c r="N697" s="1027"/>
      <c r="O697" s="1026"/>
      <c r="P697" s="1028"/>
      <c r="Q697" s="1029"/>
      <c r="R697" s="1166"/>
      <c r="S697" s="1030"/>
      <c r="T697" s="1031"/>
      <c r="U697" s="1032"/>
      <c r="V697" s="1033"/>
      <c r="W697" s="1034"/>
      <c r="X697" s="1166"/>
      <c r="Y697" s="1035"/>
      <c r="Z697" s="1036"/>
      <c r="AA697" s="1037"/>
      <c r="AB697" s="1038"/>
      <c r="AC697" s="1039"/>
      <c r="AD697" s="1040"/>
      <c r="AE697" s="1041"/>
      <c r="AF697" s="521"/>
      <c r="AG697" s="420"/>
      <c r="AH697" s="420"/>
      <c r="AI697" s="420"/>
      <c r="AJ697" s="420"/>
      <c r="AK697" s="518"/>
      <c r="AL697" s="1042"/>
      <c r="AM697" s="1035"/>
      <c r="AN697" s="1043"/>
      <c r="AO697" s="1167"/>
      <c r="AP697" s="1044"/>
      <c r="AQ697" s="1035"/>
      <c r="AR697" s="1035"/>
      <c r="AS697" s="1035"/>
      <c r="AT697" s="1165"/>
      <c r="AU697" s="1031"/>
      <c r="AV697" s="1045"/>
      <c r="AW697" s="1038"/>
      <c r="AX697" s="1035"/>
      <c r="AY697" s="483"/>
      <c r="AZ697" s="429"/>
      <c r="BA697" s="431"/>
      <c r="BB697" s="1035"/>
      <c r="BC697" s="1035"/>
      <c r="BD697" s="481"/>
      <c r="BE697" s="432"/>
      <c r="BF697" s="646"/>
      <c r="BG697" s="1047"/>
      <c r="BH697" s="1046"/>
      <c r="BI697" s="1048"/>
      <c r="BJ697" s="1030"/>
      <c r="BK697" s="1046"/>
      <c r="BL697" s="1048"/>
      <c r="BM697" s="1046"/>
      <c r="BN697" s="1167"/>
      <c r="BO697" s="1035"/>
      <c r="BP697" s="1043"/>
      <c r="BQ697" s="1167"/>
      <c r="BR697" s="1165"/>
      <c r="BS697" s="1031"/>
      <c r="BT697" s="1038"/>
      <c r="BU697" s="1035"/>
      <c r="BV697" s="1035"/>
      <c r="BW697" s="1049"/>
      <c r="BX697" s="1043"/>
      <c r="BY697" s="1046"/>
      <c r="BZ697" s="1167"/>
      <c r="CA697" s="1165"/>
      <c r="CB697" s="1031"/>
      <c r="CC697" s="1038"/>
      <c r="CD697" s="1035"/>
      <c r="CE697" s="1035"/>
      <c r="CF697" s="1049"/>
      <c r="CG697" s="1043"/>
      <c r="CH697" s="1046"/>
      <c r="CI697" s="1167"/>
      <c r="CJ697" s="1168"/>
      <c r="CK697" s="1169"/>
      <c r="CL697" s="1169"/>
      <c r="CM697" s="1166"/>
      <c r="CN697" s="1169"/>
      <c r="CO697" s="1169"/>
      <c r="CP697" s="452"/>
      <c r="CQ697" s="435"/>
      <c r="CR697" s="1117"/>
      <c r="CS697" s="452"/>
      <c r="CT697" s="482"/>
      <c r="CU697" s="476"/>
      <c r="CV697" s="431"/>
      <c r="CW697" s="1108"/>
      <c r="CX697" s="1108"/>
      <c r="CY697" s="483"/>
      <c r="CZ697" s="437"/>
      <c r="DA697" s="438"/>
      <c r="DB697" s="439"/>
      <c r="DC697" s="439"/>
      <c r="DD697" s="443"/>
      <c r="DE697" s="411"/>
      <c r="DF697" s="411"/>
      <c r="DG697" s="1117"/>
      <c r="DH697" s="1117"/>
      <c r="DI697" s="1117"/>
      <c r="DJ697" s="442"/>
      <c r="DK697" s="482"/>
      <c r="DL697" s="1038"/>
      <c r="DM697" s="1035"/>
      <c r="DN697" s="1035"/>
      <c r="DO697" s="1035"/>
      <c r="DP697" s="1046"/>
      <c r="DQ697" s="1167"/>
      <c r="DR697" s="1168"/>
      <c r="DS697" s="1165"/>
      <c r="DT697" s="1165"/>
      <c r="DU697" s="1165"/>
      <c r="DV697" s="1031"/>
      <c r="DW697" s="1098">
        <f t="shared" si="1164"/>
        <v>0</v>
      </c>
      <c r="DX697" s="1098">
        <f t="shared" si="1165"/>
        <v>0</v>
      </c>
      <c r="DY697" s="1030"/>
      <c r="DZ697" s="1030"/>
      <c r="EA697" s="1031"/>
      <c r="EB697" s="1050"/>
      <c r="EC697" s="1038"/>
      <c r="ED697" s="1035"/>
      <c r="EE697" s="1046"/>
      <c r="EF697" s="1169"/>
      <c r="EG697" s="1168"/>
      <c r="EH697" s="1165"/>
      <c r="EI697" s="1165"/>
      <c r="EJ697" s="1165"/>
      <c r="EK697" s="1031"/>
      <c r="EL697" s="1098">
        <f t="shared" si="1166"/>
        <v>0</v>
      </c>
      <c r="EM697" s="1098">
        <f t="shared" si="1167"/>
        <v>0</v>
      </c>
      <c r="EN697" s="1030"/>
      <c r="EO697" s="1030"/>
      <c r="EP697" s="1031"/>
      <c r="EQ697" s="1050"/>
      <c r="ER697" s="1038"/>
      <c r="ES697" s="1035"/>
      <c r="ET697" s="1051"/>
    </row>
    <row r="698" spans="2:150" ht="16.5" customHeight="1">
      <c r="B698" s="1024"/>
      <c r="C698" s="1025"/>
      <c r="D698" s="408">
        <v>695</v>
      </c>
      <c r="E698" s="1164"/>
      <c r="F698" s="1164"/>
      <c r="G698" s="1026"/>
      <c r="H698" s="411" t="str">
        <f>IFERROR(INDEX(绊状态确认!C:C,MATCH($G698,绊状态确认!$B:$B,)),"")</f>
        <v/>
      </c>
      <c r="I698" s="450" t="str">
        <f>IFERROR(INDEX(绊状态确认!D:D,MATCH($G698,绊状态确认!$B:$B,)),"")</f>
        <v/>
      </c>
      <c r="J698" s="450" t="str">
        <f>IFERROR(INDEX(绊状态确认!E:E,MATCH($G698,绊状态确认!$B:$B,)),"")</f>
        <v/>
      </c>
      <c r="K698" s="451" t="str">
        <f>IFERROR(INDEX(绊状态确认!F:F,MATCH($G698,绊状态确认!$B:$B,)),"")</f>
        <v/>
      </c>
      <c r="L698" s="1026"/>
      <c r="M698" s="1165"/>
      <c r="N698" s="1027"/>
      <c r="O698" s="1026"/>
      <c r="P698" s="1028"/>
      <c r="Q698" s="1029"/>
      <c r="R698" s="1166"/>
      <c r="S698" s="1030"/>
      <c r="T698" s="1031"/>
      <c r="U698" s="1032"/>
      <c r="V698" s="1033"/>
      <c r="W698" s="1034"/>
      <c r="X698" s="1166"/>
      <c r="Y698" s="1035"/>
      <c r="Z698" s="1036"/>
      <c r="AA698" s="1037"/>
      <c r="AB698" s="1038"/>
      <c r="AC698" s="1039"/>
      <c r="AD698" s="1040"/>
      <c r="AE698" s="1041"/>
      <c r="AF698" s="521"/>
      <c r="AG698" s="420"/>
      <c r="AH698" s="420"/>
      <c r="AI698" s="420"/>
      <c r="AJ698" s="420"/>
      <c r="AK698" s="518"/>
      <c r="AL698" s="1042"/>
      <c r="AM698" s="1035"/>
      <c r="AN698" s="1043"/>
      <c r="AO698" s="1167"/>
      <c r="AP698" s="1044"/>
      <c r="AQ698" s="1035"/>
      <c r="AR698" s="1035"/>
      <c r="AS698" s="1035"/>
      <c r="AT698" s="1165"/>
      <c r="AU698" s="1031"/>
      <c r="AV698" s="1045"/>
      <c r="AW698" s="1038"/>
      <c r="AX698" s="1035"/>
      <c r="AY698" s="483"/>
      <c r="AZ698" s="429"/>
      <c r="BA698" s="431"/>
      <c r="BB698" s="1035"/>
      <c r="BC698" s="1035"/>
      <c r="BD698" s="481"/>
      <c r="BE698" s="432"/>
      <c r="BF698" s="646"/>
      <c r="BG698" s="1047"/>
      <c r="BH698" s="1046"/>
      <c r="BI698" s="1048"/>
      <c r="BJ698" s="1030"/>
      <c r="BK698" s="1046"/>
      <c r="BL698" s="1048"/>
      <c r="BM698" s="1046"/>
      <c r="BN698" s="1167"/>
      <c r="BO698" s="1035"/>
      <c r="BP698" s="1043"/>
      <c r="BQ698" s="1167"/>
      <c r="BR698" s="1165"/>
      <c r="BS698" s="1031"/>
      <c r="BT698" s="1038"/>
      <c r="BU698" s="1035"/>
      <c r="BV698" s="1035"/>
      <c r="BW698" s="1049"/>
      <c r="BX698" s="1043"/>
      <c r="BY698" s="1046"/>
      <c r="BZ698" s="1167"/>
      <c r="CA698" s="1165"/>
      <c r="CB698" s="1031"/>
      <c r="CC698" s="1038"/>
      <c r="CD698" s="1035"/>
      <c r="CE698" s="1035"/>
      <c r="CF698" s="1049"/>
      <c r="CG698" s="1043"/>
      <c r="CH698" s="1046"/>
      <c r="CI698" s="1167"/>
      <c r="CJ698" s="1168"/>
      <c r="CK698" s="1169"/>
      <c r="CL698" s="1169"/>
      <c r="CM698" s="1166"/>
      <c r="CN698" s="1169"/>
      <c r="CO698" s="1169"/>
      <c r="CP698" s="452"/>
      <c r="CQ698" s="435"/>
      <c r="CR698" s="1117"/>
      <c r="CS698" s="452"/>
      <c r="CT698" s="482"/>
      <c r="CU698" s="476"/>
      <c r="CV698" s="431"/>
      <c r="CW698" s="1108"/>
      <c r="CX698" s="1108"/>
      <c r="CY698" s="483"/>
      <c r="CZ698" s="437"/>
      <c r="DA698" s="438"/>
      <c r="DB698" s="439"/>
      <c r="DC698" s="439"/>
      <c r="DD698" s="443"/>
      <c r="DE698" s="411"/>
      <c r="DF698" s="411"/>
      <c r="DG698" s="1117"/>
      <c r="DH698" s="1117"/>
      <c r="DI698" s="1117"/>
      <c r="DJ698" s="442"/>
      <c r="DK698" s="482"/>
      <c r="DL698" s="1038"/>
      <c r="DM698" s="1035"/>
      <c r="DN698" s="1035"/>
      <c r="DO698" s="1035"/>
      <c r="DP698" s="1046"/>
      <c r="DQ698" s="1167"/>
      <c r="DR698" s="1168"/>
      <c r="DS698" s="1165"/>
      <c r="DT698" s="1165"/>
      <c r="DU698" s="1165"/>
      <c r="DV698" s="1031"/>
      <c r="DW698" s="1098">
        <f t="shared" si="1164"/>
        <v>0</v>
      </c>
      <c r="DX698" s="1098">
        <f t="shared" si="1165"/>
        <v>0</v>
      </c>
      <c r="DY698" s="1030"/>
      <c r="DZ698" s="1030"/>
      <c r="EA698" s="1031"/>
      <c r="EB698" s="1050"/>
      <c r="EC698" s="1038"/>
      <c r="ED698" s="1035"/>
      <c r="EE698" s="1046"/>
      <c r="EF698" s="1169"/>
      <c r="EG698" s="1168"/>
      <c r="EH698" s="1165"/>
      <c r="EI698" s="1165"/>
      <c r="EJ698" s="1165"/>
      <c r="EK698" s="1031"/>
      <c r="EL698" s="1098">
        <f t="shared" si="1166"/>
        <v>0</v>
      </c>
      <c r="EM698" s="1098">
        <f t="shared" si="1167"/>
        <v>0</v>
      </c>
      <c r="EN698" s="1030"/>
      <c r="EO698" s="1030"/>
      <c r="EP698" s="1031"/>
      <c r="EQ698" s="1050"/>
      <c r="ER698" s="1038"/>
      <c r="ES698" s="1035"/>
      <c r="ET698" s="1051"/>
    </row>
    <row r="699" spans="2:150" ht="16.5" customHeight="1">
      <c r="B699" s="1024"/>
      <c r="C699" s="1025"/>
      <c r="D699" s="408">
        <v>696</v>
      </c>
      <c r="E699" s="1164"/>
      <c r="F699" s="1164"/>
      <c r="G699" s="1026"/>
      <c r="H699" s="411" t="str">
        <f>IFERROR(INDEX(绊状态确认!C:C,MATCH($G699,绊状态确认!$B:$B,)),"")</f>
        <v/>
      </c>
      <c r="I699" s="450" t="str">
        <f>IFERROR(INDEX(绊状态确认!D:D,MATCH($G699,绊状态确认!$B:$B,)),"")</f>
        <v/>
      </c>
      <c r="J699" s="450" t="str">
        <f>IFERROR(INDEX(绊状态确认!E:E,MATCH($G699,绊状态确认!$B:$B,)),"")</f>
        <v/>
      </c>
      <c r="K699" s="451" t="str">
        <f>IFERROR(INDEX(绊状态确认!F:F,MATCH($G699,绊状态确认!$B:$B,)),"")</f>
        <v/>
      </c>
      <c r="L699" s="1026"/>
      <c r="M699" s="1165"/>
      <c r="N699" s="1027"/>
      <c r="O699" s="1026"/>
      <c r="P699" s="1028"/>
      <c r="Q699" s="1029"/>
      <c r="R699" s="1166"/>
      <c r="S699" s="1030"/>
      <c r="T699" s="1031"/>
      <c r="U699" s="1032"/>
      <c r="V699" s="1033"/>
      <c r="W699" s="1034"/>
      <c r="X699" s="1166"/>
      <c r="Y699" s="1035"/>
      <c r="Z699" s="1036"/>
      <c r="AA699" s="1037"/>
      <c r="AB699" s="1038"/>
      <c r="AC699" s="1039"/>
      <c r="AD699" s="1040"/>
      <c r="AE699" s="1041"/>
      <c r="AF699" s="521"/>
      <c r="AG699" s="420"/>
      <c r="AH699" s="420"/>
      <c r="AI699" s="420"/>
      <c r="AJ699" s="420"/>
      <c r="AK699" s="518"/>
      <c r="AL699" s="1042"/>
      <c r="AM699" s="1035"/>
      <c r="AN699" s="1043"/>
      <c r="AO699" s="1167"/>
      <c r="AP699" s="1044"/>
      <c r="AQ699" s="1035"/>
      <c r="AR699" s="1035"/>
      <c r="AS699" s="1035"/>
      <c r="AT699" s="1165"/>
      <c r="AU699" s="1031"/>
      <c r="AV699" s="1045"/>
      <c r="AW699" s="1038"/>
      <c r="AX699" s="1035"/>
      <c r="AY699" s="483"/>
      <c r="AZ699" s="429"/>
      <c r="BA699" s="431"/>
      <c r="BB699" s="1035"/>
      <c r="BC699" s="1035"/>
      <c r="BD699" s="481"/>
      <c r="BE699" s="432"/>
      <c r="BF699" s="646"/>
      <c r="BG699" s="1047"/>
      <c r="BH699" s="1046"/>
      <c r="BI699" s="1048"/>
      <c r="BJ699" s="1030"/>
      <c r="BK699" s="1046"/>
      <c r="BL699" s="1048"/>
      <c r="BM699" s="1046"/>
      <c r="BN699" s="1167"/>
      <c r="BO699" s="1035"/>
      <c r="BP699" s="1043"/>
      <c r="BQ699" s="1167"/>
      <c r="BR699" s="1165"/>
      <c r="BS699" s="1031"/>
      <c r="BT699" s="1038"/>
      <c r="BU699" s="1035"/>
      <c r="BV699" s="1035"/>
      <c r="BW699" s="1049"/>
      <c r="BX699" s="1043"/>
      <c r="BY699" s="1046"/>
      <c r="BZ699" s="1167"/>
      <c r="CA699" s="1165"/>
      <c r="CB699" s="1031"/>
      <c r="CC699" s="1038"/>
      <c r="CD699" s="1035"/>
      <c r="CE699" s="1035"/>
      <c r="CF699" s="1049"/>
      <c r="CG699" s="1043"/>
      <c r="CH699" s="1046"/>
      <c r="CI699" s="1167"/>
      <c r="CJ699" s="1168"/>
      <c r="CK699" s="1169"/>
      <c r="CL699" s="1169"/>
      <c r="CM699" s="1166"/>
      <c r="CN699" s="1169"/>
      <c r="CO699" s="1169"/>
      <c r="CP699" s="452"/>
      <c r="CQ699" s="435"/>
      <c r="CR699" s="1117"/>
      <c r="CS699" s="452"/>
      <c r="CT699" s="482"/>
      <c r="CU699" s="476"/>
      <c r="CV699" s="431"/>
      <c r="CW699" s="1108"/>
      <c r="CX699" s="1108"/>
      <c r="CY699" s="483"/>
      <c r="CZ699" s="437"/>
      <c r="DA699" s="438"/>
      <c r="DB699" s="439"/>
      <c r="DC699" s="439"/>
      <c r="DD699" s="443"/>
      <c r="DE699" s="411"/>
      <c r="DF699" s="411"/>
      <c r="DG699" s="1117"/>
      <c r="DH699" s="1117"/>
      <c r="DI699" s="1117"/>
      <c r="DJ699" s="442"/>
      <c r="DK699" s="482"/>
      <c r="DL699" s="1038"/>
      <c r="DM699" s="1035"/>
      <c r="DN699" s="1035"/>
      <c r="DO699" s="1035"/>
      <c r="DP699" s="1046"/>
      <c r="DQ699" s="1167"/>
      <c r="DR699" s="1168"/>
      <c r="DS699" s="1165"/>
      <c r="DT699" s="1165"/>
      <c r="DU699" s="1165"/>
      <c r="DV699" s="1031"/>
      <c r="DW699" s="1098">
        <f t="shared" si="1164"/>
        <v>0</v>
      </c>
      <c r="DX699" s="1098">
        <f t="shared" si="1165"/>
        <v>0</v>
      </c>
      <c r="DY699" s="1030"/>
      <c r="DZ699" s="1030"/>
      <c r="EA699" s="1031"/>
      <c r="EB699" s="1050"/>
      <c r="EC699" s="1038"/>
      <c r="ED699" s="1035"/>
      <c r="EE699" s="1046"/>
      <c r="EF699" s="1169"/>
      <c r="EG699" s="1168"/>
      <c r="EH699" s="1165"/>
      <c r="EI699" s="1165"/>
      <c r="EJ699" s="1165"/>
      <c r="EK699" s="1031"/>
      <c r="EL699" s="1098">
        <f t="shared" si="1166"/>
        <v>0</v>
      </c>
      <c r="EM699" s="1098">
        <f t="shared" si="1167"/>
        <v>0</v>
      </c>
      <c r="EN699" s="1030"/>
      <c r="EO699" s="1030"/>
      <c r="EP699" s="1031"/>
      <c r="EQ699" s="1050"/>
      <c r="ER699" s="1038"/>
      <c r="ES699" s="1035"/>
      <c r="ET699" s="1051"/>
    </row>
    <row r="700" spans="2:150" ht="16.5" customHeight="1">
      <c r="B700" s="1024"/>
      <c r="C700" s="1025"/>
      <c r="D700" s="408">
        <v>697</v>
      </c>
      <c r="E700" s="1164"/>
      <c r="F700" s="1164"/>
      <c r="G700" s="1026"/>
      <c r="H700" s="411" t="str">
        <f>IFERROR(INDEX(绊状态确认!C:C,MATCH($G700,绊状态确认!$B:$B,)),"")</f>
        <v/>
      </c>
      <c r="I700" s="450" t="str">
        <f>IFERROR(INDEX(绊状态确认!D:D,MATCH($G700,绊状态确认!$B:$B,)),"")</f>
        <v/>
      </c>
      <c r="J700" s="450" t="str">
        <f>IFERROR(INDEX(绊状态确认!E:E,MATCH($G700,绊状态确认!$B:$B,)),"")</f>
        <v/>
      </c>
      <c r="K700" s="451" t="str">
        <f>IFERROR(INDEX(绊状态确认!F:F,MATCH($G700,绊状态确认!$B:$B,)),"")</f>
        <v/>
      </c>
      <c r="L700" s="1026"/>
      <c r="M700" s="1165"/>
      <c r="N700" s="1027"/>
      <c r="O700" s="1026"/>
      <c r="P700" s="1028"/>
      <c r="Q700" s="1029"/>
      <c r="R700" s="1166"/>
      <c r="S700" s="1030"/>
      <c r="T700" s="1031"/>
      <c r="U700" s="1032"/>
      <c r="V700" s="1033"/>
      <c r="W700" s="1034"/>
      <c r="X700" s="1166"/>
      <c r="Y700" s="1035"/>
      <c r="Z700" s="1036"/>
      <c r="AA700" s="1037"/>
      <c r="AB700" s="1038"/>
      <c r="AC700" s="1039"/>
      <c r="AD700" s="1040"/>
      <c r="AE700" s="1041"/>
      <c r="AF700" s="521"/>
      <c r="AG700" s="420"/>
      <c r="AH700" s="420"/>
      <c r="AI700" s="420"/>
      <c r="AJ700" s="420"/>
      <c r="AK700" s="518"/>
      <c r="AL700" s="1042"/>
      <c r="AM700" s="1035"/>
      <c r="AN700" s="1043"/>
      <c r="AO700" s="1167"/>
      <c r="AP700" s="1044"/>
      <c r="AQ700" s="1035"/>
      <c r="AR700" s="1035"/>
      <c r="AS700" s="1035"/>
      <c r="AT700" s="1165"/>
      <c r="AU700" s="1031"/>
      <c r="AV700" s="1045"/>
      <c r="AW700" s="1038"/>
      <c r="AX700" s="1035"/>
      <c r="AY700" s="483"/>
      <c r="AZ700" s="429"/>
      <c r="BA700" s="431"/>
      <c r="BB700" s="1035"/>
      <c r="BC700" s="1035"/>
      <c r="BD700" s="481"/>
      <c r="BE700" s="432"/>
      <c r="BF700" s="646"/>
      <c r="BG700" s="1047"/>
      <c r="BH700" s="1046"/>
      <c r="BI700" s="1048"/>
      <c r="BJ700" s="1030"/>
      <c r="BK700" s="1046"/>
      <c r="BL700" s="1048"/>
      <c r="BM700" s="1046"/>
      <c r="BN700" s="1167"/>
      <c r="BO700" s="1035"/>
      <c r="BP700" s="1043"/>
      <c r="BQ700" s="1167"/>
      <c r="BR700" s="1165"/>
      <c r="BS700" s="1031"/>
      <c r="BT700" s="1038"/>
      <c r="BU700" s="1035"/>
      <c r="BV700" s="1035"/>
      <c r="BW700" s="1049"/>
      <c r="BX700" s="1043"/>
      <c r="BY700" s="1046"/>
      <c r="BZ700" s="1167"/>
      <c r="CA700" s="1165"/>
      <c r="CB700" s="1031"/>
      <c r="CC700" s="1038"/>
      <c r="CD700" s="1035"/>
      <c r="CE700" s="1035"/>
      <c r="CF700" s="1049"/>
      <c r="CG700" s="1043"/>
      <c r="CH700" s="1046"/>
      <c r="CI700" s="1167"/>
      <c r="CJ700" s="1168"/>
      <c r="CK700" s="1169"/>
      <c r="CL700" s="1169"/>
      <c r="CM700" s="1166"/>
      <c r="CN700" s="1169"/>
      <c r="CO700" s="1169"/>
      <c r="CP700" s="452"/>
      <c r="CQ700" s="435"/>
      <c r="CR700" s="1117"/>
      <c r="CS700" s="452"/>
      <c r="CT700" s="482"/>
      <c r="CU700" s="476"/>
      <c r="CV700" s="431"/>
      <c r="CW700" s="1108"/>
      <c r="CX700" s="1108"/>
      <c r="CY700" s="483"/>
      <c r="CZ700" s="437"/>
      <c r="DA700" s="438"/>
      <c r="DB700" s="439"/>
      <c r="DC700" s="439"/>
      <c r="DD700" s="443"/>
      <c r="DE700" s="411"/>
      <c r="DF700" s="411"/>
      <c r="DG700" s="1117"/>
      <c r="DH700" s="1117"/>
      <c r="DI700" s="1117"/>
      <c r="DJ700" s="442"/>
      <c r="DK700" s="482"/>
      <c r="DL700" s="1038"/>
      <c r="DM700" s="1035"/>
      <c r="DN700" s="1035"/>
      <c r="DO700" s="1035"/>
      <c r="DP700" s="1046"/>
      <c r="DQ700" s="1167"/>
      <c r="DR700" s="1168"/>
      <c r="DS700" s="1165"/>
      <c r="DT700" s="1165"/>
      <c r="DU700" s="1165"/>
      <c r="DV700" s="1031"/>
      <c r="DW700" s="1098">
        <f t="shared" si="1164"/>
        <v>0</v>
      </c>
      <c r="DX700" s="1098">
        <f t="shared" si="1165"/>
        <v>0</v>
      </c>
      <c r="DY700" s="1030"/>
      <c r="DZ700" s="1030"/>
      <c r="EA700" s="1031"/>
      <c r="EB700" s="1050"/>
      <c r="EC700" s="1038"/>
      <c r="ED700" s="1035"/>
      <c r="EE700" s="1046"/>
      <c r="EF700" s="1169"/>
      <c r="EG700" s="1168"/>
      <c r="EH700" s="1165"/>
      <c r="EI700" s="1165"/>
      <c r="EJ700" s="1165"/>
      <c r="EK700" s="1031"/>
      <c r="EL700" s="1098">
        <f t="shared" si="1166"/>
        <v>0</v>
      </c>
      <c r="EM700" s="1098">
        <f t="shared" si="1167"/>
        <v>0</v>
      </c>
      <c r="EN700" s="1030"/>
      <c r="EO700" s="1030"/>
      <c r="EP700" s="1031"/>
      <c r="EQ700" s="1050"/>
      <c r="ER700" s="1038"/>
      <c r="ES700" s="1035"/>
      <c r="ET700" s="1051"/>
    </row>
    <row r="701" spans="2:150" ht="16.5" customHeight="1">
      <c r="B701" s="1024"/>
      <c r="C701" s="1025"/>
      <c r="D701" s="408">
        <v>698</v>
      </c>
      <c r="E701" s="1164"/>
      <c r="F701" s="1164"/>
      <c r="G701" s="1026"/>
      <c r="H701" s="411" t="str">
        <f>IFERROR(INDEX(绊状态确认!C:C,MATCH($G701,绊状态确认!$B:$B,)),"")</f>
        <v/>
      </c>
      <c r="I701" s="450" t="str">
        <f>IFERROR(INDEX(绊状态确认!D:D,MATCH($G701,绊状态确认!$B:$B,)),"")</f>
        <v/>
      </c>
      <c r="J701" s="450" t="str">
        <f>IFERROR(INDEX(绊状态确认!E:E,MATCH($G701,绊状态确认!$B:$B,)),"")</f>
        <v/>
      </c>
      <c r="K701" s="451" t="str">
        <f>IFERROR(INDEX(绊状态确认!F:F,MATCH($G701,绊状态确认!$B:$B,)),"")</f>
        <v/>
      </c>
      <c r="L701" s="1026"/>
      <c r="M701" s="1165"/>
      <c r="N701" s="1027"/>
      <c r="O701" s="1026"/>
      <c r="P701" s="1028"/>
      <c r="Q701" s="1029"/>
      <c r="R701" s="1166"/>
      <c r="S701" s="1030"/>
      <c r="T701" s="1031"/>
      <c r="U701" s="1032"/>
      <c r="V701" s="1033"/>
      <c r="W701" s="1034"/>
      <c r="X701" s="1166"/>
      <c r="Y701" s="1035"/>
      <c r="Z701" s="1036"/>
      <c r="AA701" s="1037"/>
      <c r="AB701" s="1038"/>
      <c r="AC701" s="1039"/>
      <c r="AD701" s="1040"/>
      <c r="AE701" s="1041"/>
      <c r="AF701" s="521"/>
      <c r="AG701" s="420"/>
      <c r="AH701" s="420"/>
      <c r="AI701" s="420"/>
      <c r="AJ701" s="420"/>
      <c r="AK701" s="518"/>
      <c r="AL701" s="1042"/>
      <c r="AM701" s="1035"/>
      <c r="AN701" s="1043"/>
      <c r="AO701" s="1167"/>
      <c r="AP701" s="1044"/>
      <c r="AQ701" s="1035"/>
      <c r="AR701" s="1035"/>
      <c r="AS701" s="1035"/>
      <c r="AT701" s="1165"/>
      <c r="AU701" s="1031"/>
      <c r="AV701" s="1045"/>
      <c r="AW701" s="1038"/>
      <c r="AX701" s="1035"/>
      <c r="AY701" s="483"/>
      <c r="AZ701" s="429"/>
      <c r="BA701" s="431"/>
      <c r="BB701" s="1035"/>
      <c r="BC701" s="1035"/>
      <c r="BD701" s="481"/>
      <c r="BE701" s="432"/>
      <c r="BF701" s="646"/>
      <c r="BG701" s="1047"/>
      <c r="BH701" s="1046"/>
      <c r="BI701" s="1048"/>
      <c r="BJ701" s="1030"/>
      <c r="BK701" s="1046"/>
      <c r="BL701" s="1048"/>
      <c r="BM701" s="1046"/>
      <c r="BN701" s="1167"/>
      <c r="BO701" s="1035"/>
      <c r="BP701" s="1043"/>
      <c r="BQ701" s="1167"/>
      <c r="BR701" s="1165"/>
      <c r="BS701" s="1031"/>
      <c r="BT701" s="1038"/>
      <c r="BU701" s="1035"/>
      <c r="BV701" s="1035"/>
      <c r="BW701" s="1049"/>
      <c r="BX701" s="1043"/>
      <c r="BY701" s="1046"/>
      <c r="BZ701" s="1167"/>
      <c r="CA701" s="1165"/>
      <c r="CB701" s="1031"/>
      <c r="CC701" s="1038"/>
      <c r="CD701" s="1035"/>
      <c r="CE701" s="1035"/>
      <c r="CF701" s="1049"/>
      <c r="CG701" s="1043"/>
      <c r="CH701" s="1046"/>
      <c r="CI701" s="1167"/>
      <c r="CJ701" s="1168"/>
      <c r="CK701" s="1169"/>
      <c r="CL701" s="1169"/>
      <c r="CM701" s="1166"/>
      <c r="CN701" s="1169"/>
      <c r="CO701" s="1169"/>
      <c r="CP701" s="452"/>
      <c r="CQ701" s="435"/>
      <c r="CR701" s="1117"/>
      <c r="CS701" s="452"/>
      <c r="CT701" s="482"/>
      <c r="CU701" s="476"/>
      <c r="CV701" s="431"/>
      <c r="CW701" s="1108"/>
      <c r="CX701" s="1108"/>
      <c r="CY701" s="483"/>
      <c r="CZ701" s="437"/>
      <c r="DA701" s="438"/>
      <c r="DB701" s="439"/>
      <c r="DC701" s="439"/>
      <c r="DD701" s="443"/>
      <c r="DE701" s="411"/>
      <c r="DF701" s="411"/>
      <c r="DG701" s="1117"/>
      <c r="DH701" s="1117"/>
      <c r="DI701" s="1117"/>
      <c r="DJ701" s="442"/>
      <c r="DK701" s="482"/>
      <c r="DL701" s="1038"/>
      <c r="DM701" s="1035"/>
      <c r="DN701" s="1035"/>
      <c r="DO701" s="1035"/>
      <c r="DP701" s="1046"/>
      <c r="DQ701" s="1167"/>
      <c r="DR701" s="1168"/>
      <c r="DS701" s="1165"/>
      <c r="DT701" s="1165"/>
      <c r="DU701" s="1165"/>
      <c r="DV701" s="1031"/>
      <c r="DW701" s="1098">
        <f t="shared" si="1164"/>
        <v>0</v>
      </c>
      <c r="DX701" s="1098">
        <f t="shared" si="1165"/>
        <v>0</v>
      </c>
      <c r="DY701" s="1030"/>
      <c r="DZ701" s="1030"/>
      <c r="EA701" s="1031"/>
      <c r="EB701" s="1050"/>
      <c r="EC701" s="1038"/>
      <c r="ED701" s="1035"/>
      <c r="EE701" s="1046"/>
      <c r="EF701" s="1169"/>
      <c r="EG701" s="1168"/>
      <c r="EH701" s="1165"/>
      <c r="EI701" s="1165"/>
      <c r="EJ701" s="1165"/>
      <c r="EK701" s="1031"/>
      <c r="EL701" s="1098">
        <f t="shared" si="1166"/>
        <v>0</v>
      </c>
      <c r="EM701" s="1098">
        <f t="shared" si="1167"/>
        <v>0</v>
      </c>
      <c r="EN701" s="1030"/>
      <c r="EO701" s="1030"/>
      <c r="EP701" s="1031"/>
      <c r="EQ701" s="1050"/>
      <c r="ER701" s="1038"/>
      <c r="ES701" s="1035"/>
      <c r="ET701" s="1051"/>
    </row>
    <row r="702" spans="2:150" ht="16.5" customHeight="1">
      <c r="B702" s="1024"/>
      <c r="C702" s="1025"/>
      <c r="D702" s="408">
        <v>699</v>
      </c>
      <c r="E702" s="1164"/>
      <c r="F702" s="1164"/>
      <c r="G702" s="1026"/>
      <c r="H702" s="411" t="str">
        <f>IFERROR(INDEX(绊状态确认!C:C,MATCH($G702,绊状态确认!$B:$B,)),"")</f>
        <v/>
      </c>
      <c r="I702" s="450" t="str">
        <f>IFERROR(INDEX(绊状态确认!D:D,MATCH($G702,绊状态确认!$B:$B,)),"")</f>
        <v/>
      </c>
      <c r="J702" s="450" t="str">
        <f>IFERROR(INDEX(绊状态确认!E:E,MATCH($G702,绊状态确认!$B:$B,)),"")</f>
        <v/>
      </c>
      <c r="K702" s="451" t="str">
        <f>IFERROR(INDEX(绊状态确认!F:F,MATCH($G702,绊状态确认!$B:$B,)),"")</f>
        <v/>
      </c>
      <c r="L702" s="1026"/>
      <c r="M702" s="1165"/>
      <c r="N702" s="1027"/>
      <c r="O702" s="1026"/>
      <c r="P702" s="1028"/>
      <c r="Q702" s="1029"/>
      <c r="R702" s="1166"/>
      <c r="S702" s="1030"/>
      <c r="T702" s="1031"/>
      <c r="U702" s="1032"/>
      <c r="V702" s="1033"/>
      <c r="W702" s="1034"/>
      <c r="X702" s="1166"/>
      <c r="Y702" s="1035"/>
      <c r="Z702" s="1036"/>
      <c r="AA702" s="1037"/>
      <c r="AB702" s="1038"/>
      <c r="AC702" s="1039"/>
      <c r="AD702" s="1040"/>
      <c r="AE702" s="1041"/>
      <c r="AF702" s="521"/>
      <c r="AG702" s="420"/>
      <c r="AH702" s="420"/>
      <c r="AI702" s="420"/>
      <c r="AJ702" s="420"/>
      <c r="AK702" s="518"/>
      <c r="AL702" s="1042"/>
      <c r="AM702" s="1035"/>
      <c r="AN702" s="1043"/>
      <c r="AO702" s="1167"/>
      <c r="AP702" s="1044"/>
      <c r="AQ702" s="1035"/>
      <c r="AR702" s="1035"/>
      <c r="AS702" s="1035"/>
      <c r="AT702" s="1165"/>
      <c r="AU702" s="1031"/>
      <c r="AV702" s="1045"/>
      <c r="AW702" s="1038"/>
      <c r="AX702" s="1035"/>
      <c r="AY702" s="483"/>
      <c r="AZ702" s="429"/>
      <c r="BA702" s="431"/>
      <c r="BB702" s="1035"/>
      <c r="BC702" s="1035"/>
      <c r="BD702" s="481"/>
      <c r="BE702" s="432"/>
      <c r="BF702" s="646"/>
      <c r="BG702" s="1047"/>
      <c r="BH702" s="1046"/>
      <c r="BI702" s="1048"/>
      <c r="BJ702" s="1030"/>
      <c r="BK702" s="1046"/>
      <c r="BL702" s="1048"/>
      <c r="BM702" s="1046"/>
      <c r="BN702" s="1167"/>
      <c r="BO702" s="1035"/>
      <c r="BP702" s="1043"/>
      <c r="BQ702" s="1167"/>
      <c r="BR702" s="1165"/>
      <c r="BS702" s="1031"/>
      <c r="BT702" s="1038"/>
      <c r="BU702" s="1035"/>
      <c r="BV702" s="1035"/>
      <c r="BW702" s="1049"/>
      <c r="BX702" s="1043"/>
      <c r="BY702" s="1046"/>
      <c r="BZ702" s="1167"/>
      <c r="CA702" s="1165"/>
      <c r="CB702" s="1031"/>
      <c r="CC702" s="1038"/>
      <c r="CD702" s="1035"/>
      <c r="CE702" s="1035"/>
      <c r="CF702" s="1049"/>
      <c r="CG702" s="1043"/>
      <c r="CH702" s="1046"/>
      <c r="CI702" s="1167"/>
      <c r="CJ702" s="1168"/>
      <c r="CK702" s="1169"/>
      <c r="CL702" s="1169"/>
      <c r="CM702" s="1166"/>
      <c r="CN702" s="1169"/>
      <c r="CO702" s="1169"/>
      <c r="CP702" s="452"/>
      <c r="CQ702" s="435"/>
      <c r="CR702" s="1117"/>
      <c r="CS702" s="452"/>
      <c r="CT702" s="482"/>
      <c r="CU702" s="476"/>
      <c r="CV702" s="431"/>
      <c r="CW702" s="1108"/>
      <c r="CX702" s="1108"/>
      <c r="CY702" s="483"/>
      <c r="CZ702" s="437"/>
      <c r="DA702" s="438"/>
      <c r="DB702" s="439"/>
      <c r="DC702" s="439"/>
      <c r="DD702" s="443"/>
      <c r="DE702" s="411"/>
      <c r="DF702" s="411"/>
      <c r="DG702" s="1117"/>
      <c r="DH702" s="1117"/>
      <c r="DI702" s="1117"/>
      <c r="DJ702" s="442"/>
      <c r="DK702" s="482"/>
      <c r="DL702" s="1038"/>
      <c r="DM702" s="1035"/>
      <c r="DN702" s="1035"/>
      <c r="DO702" s="1035"/>
      <c r="DP702" s="1046"/>
      <c r="DQ702" s="1167"/>
      <c r="DR702" s="1168"/>
      <c r="DS702" s="1165"/>
      <c r="DT702" s="1165"/>
      <c r="DU702" s="1165"/>
      <c r="DV702" s="1031"/>
      <c r="DW702" s="1098">
        <f t="shared" si="1164"/>
        <v>0</v>
      </c>
      <c r="DX702" s="1098">
        <f t="shared" si="1165"/>
        <v>0</v>
      </c>
      <c r="DY702" s="1030"/>
      <c r="DZ702" s="1030"/>
      <c r="EA702" s="1031"/>
      <c r="EB702" s="1050"/>
      <c r="EC702" s="1038"/>
      <c r="ED702" s="1035"/>
      <c r="EE702" s="1046"/>
      <c r="EF702" s="1169"/>
      <c r="EG702" s="1168"/>
      <c r="EH702" s="1165"/>
      <c r="EI702" s="1165"/>
      <c r="EJ702" s="1165"/>
      <c r="EK702" s="1031"/>
      <c r="EL702" s="1098">
        <f t="shared" si="1166"/>
        <v>0</v>
      </c>
      <c r="EM702" s="1098">
        <f t="shared" si="1167"/>
        <v>0</v>
      </c>
      <c r="EN702" s="1030"/>
      <c r="EO702" s="1030"/>
      <c r="EP702" s="1031"/>
      <c r="EQ702" s="1050"/>
      <c r="ER702" s="1038"/>
      <c r="ES702" s="1035"/>
      <c r="ET702" s="1051"/>
    </row>
    <row r="703" spans="2:150" ht="16.5" customHeight="1">
      <c r="B703" s="1024"/>
      <c r="C703" s="1025"/>
      <c r="D703" s="408">
        <v>700</v>
      </c>
      <c r="E703" s="1164"/>
      <c r="F703" s="1164"/>
      <c r="G703" s="1026"/>
      <c r="H703" s="411" t="str">
        <f>IFERROR(INDEX(绊状态确认!C:C,MATCH($G703,绊状态确认!$B:$B,)),"")</f>
        <v/>
      </c>
      <c r="I703" s="450" t="str">
        <f>IFERROR(INDEX(绊状态确认!D:D,MATCH($G703,绊状态确认!$B:$B,)),"")</f>
        <v/>
      </c>
      <c r="J703" s="450" t="str">
        <f>IFERROR(INDEX(绊状态确认!E:E,MATCH($G703,绊状态确认!$B:$B,)),"")</f>
        <v/>
      </c>
      <c r="K703" s="451" t="str">
        <f>IFERROR(INDEX(绊状态确认!F:F,MATCH($G703,绊状态确认!$B:$B,)),"")</f>
        <v/>
      </c>
      <c r="L703" s="1026"/>
      <c r="M703" s="1165"/>
      <c r="N703" s="1027"/>
      <c r="O703" s="1026"/>
      <c r="P703" s="1028"/>
      <c r="Q703" s="1029"/>
      <c r="R703" s="1166"/>
      <c r="S703" s="1030"/>
      <c r="T703" s="1031"/>
      <c r="U703" s="1032"/>
      <c r="V703" s="1033"/>
      <c r="W703" s="1034"/>
      <c r="X703" s="1166"/>
      <c r="Y703" s="1035"/>
      <c r="Z703" s="1036"/>
      <c r="AA703" s="1037"/>
      <c r="AB703" s="1038"/>
      <c r="AC703" s="1039"/>
      <c r="AD703" s="1040"/>
      <c r="AE703" s="1041"/>
      <c r="AF703" s="521"/>
      <c r="AG703" s="420"/>
      <c r="AH703" s="420"/>
      <c r="AI703" s="420"/>
      <c r="AJ703" s="420"/>
      <c r="AK703" s="518"/>
      <c r="AL703" s="1042"/>
      <c r="AM703" s="1035"/>
      <c r="AN703" s="1043"/>
      <c r="AO703" s="1167"/>
      <c r="AP703" s="1044"/>
      <c r="AQ703" s="1035"/>
      <c r="AR703" s="1035"/>
      <c r="AS703" s="1035"/>
      <c r="AT703" s="1165"/>
      <c r="AU703" s="1031"/>
      <c r="AV703" s="1045"/>
      <c r="AW703" s="1038"/>
      <c r="AX703" s="1035"/>
      <c r="AY703" s="483"/>
      <c r="AZ703" s="429"/>
      <c r="BA703" s="431"/>
      <c r="BB703" s="1035"/>
      <c r="BC703" s="1035"/>
      <c r="BD703" s="481"/>
      <c r="BE703" s="432"/>
      <c r="BF703" s="646"/>
      <c r="BG703" s="1047"/>
      <c r="BH703" s="1046"/>
      <c r="BI703" s="1048"/>
      <c r="BJ703" s="1030"/>
      <c r="BK703" s="1046"/>
      <c r="BL703" s="1048"/>
      <c r="BM703" s="1046"/>
      <c r="BN703" s="1167"/>
      <c r="BO703" s="1035"/>
      <c r="BP703" s="1043"/>
      <c r="BQ703" s="1167"/>
      <c r="BR703" s="1165"/>
      <c r="BS703" s="1031"/>
      <c r="BT703" s="1038"/>
      <c r="BU703" s="1035"/>
      <c r="BV703" s="1035"/>
      <c r="BW703" s="1049"/>
      <c r="BX703" s="1043"/>
      <c r="BY703" s="1046"/>
      <c r="BZ703" s="1167"/>
      <c r="CA703" s="1165"/>
      <c r="CB703" s="1031"/>
      <c r="CC703" s="1038"/>
      <c r="CD703" s="1035"/>
      <c r="CE703" s="1035"/>
      <c r="CF703" s="1049"/>
      <c r="CG703" s="1043"/>
      <c r="CH703" s="1046"/>
      <c r="CI703" s="1167"/>
      <c r="CJ703" s="1168"/>
      <c r="CK703" s="1169"/>
      <c r="CL703" s="1169"/>
      <c r="CM703" s="1166"/>
      <c r="CN703" s="1169"/>
      <c r="CO703" s="1169"/>
      <c r="CP703" s="452"/>
      <c r="CQ703" s="435"/>
      <c r="CR703" s="1117"/>
      <c r="CS703" s="452"/>
      <c r="CT703" s="482"/>
      <c r="CU703" s="476"/>
      <c r="CV703" s="431"/>
      <c r="CW703" s="1108"/>
      <c r="CX703" s="1108"/>
      <c r="CY703" s="483"/>
      <c r="CZ703" s="437"/>
      <c r="DA703" s="438"/>
      <c r="DB703" s="439"/>
      <c r="DC703" s="439"/>
      <c r="DD703" s="443"/>
      <c r="DE703" s="411"/>
      <c r="DF703" s="411"/>
      <c r="DG703" s="1117"/>
      <c r="DH703" s="1117"/>
      <c r="DI703" s="1117"/>
      <c r="DJ703" s="442"/>
      <c r="DK703" s="482"/>
      <c r="DL703" s="1038"/>
      <c r="DM703" s="1035"/>
      <c r="DN703" s="1035"/>
      <c r="DO703" s="1035"/>
      <c r="DP703" s="1046"/>
      <c r="DQ703" s="1167"/>
      <c r="DR703" s="1168"/>
      <c r="DS703" s="1165"/>
      <c r="DT703" s="1165"/>
      <c r="DU703" s="1165"/>
      <c r="DV703" s="1031"/>
      <c r="DW703" s="1098">
        <f t="shared" si="1164"/>
        <v>0</v>
      </c>
      <c r="DX703" s="1098">
        <f t="shared" si="1165"/>
        <v>0</v>
      </c>
      <c r="DY703" s="1030"/>
      <c r="DZ703" s="1030"/>
      <c r="EA703" s="1031"/>
      <c r="EB703" s="1050"/>
      <c r="EC703" s="1038"/>
      <c r="ED703" s="1035"/>
      <c r="EE703" s="1046"/>
      <c r="EF703" s="1169"/>
      <c r="EG703" s="1168"/>
      <c r="EH703" s="1165"/>
      <c r="EI703" s="1165"/>
      <c r="EJ703" s="1165"/>
      <c r="EK703" s="1031"/>
      <c r="EL703" s="1098">
        <f t="shared" si="1166"/>
        <v>0</v>
      </c>
      <c r="EM703" s="1098">
        <f t="shared" si="1167"/>
        <v>0</v>
      </c>
      <c r="EN703" s="1030"/>
      <c r="EO703" s="1030"/>
      <c r="EP703" s="1031"/>
      <c r="EQ703" s="1050"/>
      <c r="ER703" s="1038"/>
      <c r="ES703" s="1035"/>
      <c r="ET703" s="1051"/>
    </row>
    <row r="704" spans="2:150" ht="16.5" customHeight="1">
      <c r="B704" s="1024"/>
      <c r="C704" s="1025"/>
      <c r="D704" s="408">
        <v>701</v>
      </c>
      <c r="E704" s="1164"/>
      <c r="F704" s="1164"/>
      <c r="G704" s="1026"/>
      <c r="H704" s="411" t="str">
        <f>IFERROR(INDEX(绊状态确认!C:C,MATCH($G704,绊状态确认!$B:$B,)),"")</f>
        <v/>
      </c>
      <c r="I704" s="450" t="str">
        <f>IFERROR(INDEX(绊状态确认!D:D,MATCH($G704,绊状态确认!$B:$B,)),"")</f>
        <v/>
      </c>
      <c r="J704" s="450" t="str">
        <f>IFERROR(INDEX(绊状态确认!E:E,MATCH($G704,绊状态确认!$B:$B,)),"")</f>
        <v/>
      </c>
      <c r="K704" s="451" t="str">
        <f>IFERROR(INDEX(绊状态确认!F:F,MATCH($G704,绊状态确认!$B:$B,)),"")</f>
        <v/>
      </c>
      <c r="L704" s="1026"/>
      <c r="M704" s="1165"/>
      <c r="N704" s="1027"/>
      <c r="O704" s="1026"/>
      <c r="P704" s="1028"/>
      <c r="Q704" s="1029"/>
      <c r="R704" s="1166"/>
      <c r="S704" s="1030"/>
      <c r="T704" s="1031"/>
      <c r="U704" s="1032"/>
      <c r="V704" s="1033"/>
      <c r="W704" s="1034"/>
      <c r="X704" s="1166"/>
      <c r="Y704" s="1035"/>
      <c r="Z704" s="1036"/>
      <c r="AA704" s="1037"/>
      <c r="AB704" s="1038"/>
      <c r="AC704" s="1039"/>
      <c r="AD704" s="1040"/>
      <c r="AE704" s="1041"/>
      <c r="AF704" s="521"/>
      <c r="AG704" s="420"/>
      <c r="AH704" s="420"/>
      <c r="AI704" s="420"/>
      <c r="AJ704" s="420"/>
      <c r="AK704" s="518"/>
      <c r="AL704" s="1042"/>
      <c r="AM704" s="1035"/>
      <c r="AN704" s="1043"/>
      <c r="AO704" s="1167"/>
      <c r="AP704" s="1044"/>
      <c r="AQ704" s="1035"/>
      <c r="AR704" s="1035"/>
      <c r="AS704" s="1035"/>
      <c r="AT704" s="1165"/>
      <c r="AU704" s="1031"/>
      <c r="AV704" s="1045"/>
      <c r="AW704" s="1038"/>
      <c r="AX704" s="1035"/>
      <c r="AY704" s="483"/>
      <c r="AZ704" s="429"/>
      <c r="BA704" s="431"/>
      <c r="BB704" s="1035"/>
      <c r="BC704" s="1035"/>
      <c r="BD704" s="481"/>
      <c r="BE704" s="432"/>
      <c r="BF704" s="646"/>
      <c r="BG704" s="1047"/>
      <c r="BH704" s="1046"/>
      <c r="BI704" s="1048"/>
      <c r="BJ704" s="1030"/>
      <c r="BK704" s="1046"/>
      <c r="BL704" s="1048"/>
      <c r="BM704" s="1046"/>
      <c r="BN704" s="1167"/>
      <c r="BO704" s="1035"/>
      <c r="BP704" s="1043"/>
      <c r="BQ704" s="1167"/>
      <c r="BR704" s="1165"/>
      <c r="BS704" s="1031"/>
      <c r="BT704" s="1038"/>
      <c r="BU704" s="1035"/>
      <c r="BV704" s="1035"/>
      <c r="BW704" s="1049"/>
      <c r="BX704" s="1043"/>
      <c r="BY704" s="1046"/>
      <c r="BZ704" s="1167"/>
      <c r="CA704" s="1165"/>
      <c r="CB704" s="1031"/>
      <c r="CC704" s="1038"/>
      <c r="CD704" s="1035"/>
      <c r="CE704" s="1035"/>
      <c r="CF704" s="1049"/>
      <c r="CG704" s="1043"/>
      <c r="CH704" s="1046"/>
      <c r="CI704" s="1167"/>
      <c r="CJ704" s="1168"/>
      <c r="CK704" s="1169"/>
      <c r="CL704" s="1169"/>
      <c r="CM704" s="1166"/>
      <c r="CN704" s="1169"/>
      <c r="CO704" s="1169"/>
      <c r="CP704" s="452"/>
      <c r="CQ704" s="435"/>
      <c r="CR704" s="1117"/>
      <c r="CS704" s="452"/>
      <c r="CT704" s="482"/>
      <c r="CU704" s="476"/>
      <c r="CV704" s="431"/>
      <c r="CW704" s="1108"/>
      <c r="CX704" s="1108"/>
      <c r="CY704" s="483"/>
      <c r="CZ704" s="437"/>
      <c r="DA704" s="438"/>
      <c r="DB704" s="439"/>
      <c r="DC704" s="439"/>
      <c r="DD704" s="443"/>
      <c r="DE704" s="411"/>
      <c r="DF704" s="411"/>
      <c r="DG704" s="1117"/>
      <c r="DH704" s="1117"/>
      <c r="DI704" s="1117"/>
      <c r="DJ704" s="442"/>
      <c r="DK704" s="482"/>
      <c r="DL704" s="1038"/>
      <c r="DM704" s="1035"/>
      <c r="DN704" s="1035"/>
      <c r="DO704" s="1035"/>
      <c r="DP704" s="1046"/>
      <c r="DQ704" s="1167"/>
      <c r="DR704" s="1168"/>
      <c r="DS704" s="1165"/>
      <c r="DT704" s="1165"/>
      <c r="DU704" s="1165"/>
      <c r="DV704" s="1031"/>
      <c r="DW704" s="1098">
        <f t="shared" si="1164"/>
        <v>0</v>
      </c>
      <c r="DX704" s="1098">
        <f t="shared" si="1165"/>
        <v>0</v>
      </c>
      <c r="DY704" s="1030"/>
      <c r="DZ704" s="1030"/>
      <c r="EA704" s="1031"/>
      <c r="EB704" s="1050"/>
      <c r="EC704" s="1038"/>
      <c r="ED704" s="1035"/>
      <c r="EE704" s="1046"/>
      <c r="EF704" s="1169"/>
      <c r="EG704" s="1168"/>
      <c r="EH704" s="1165"/>
      <c r="EI704" s="1165"/>
      <c r="EJ704" s="1165"/>
      <c r="EK704" s="1031"/>
      <c r="EL704" s="1098">
        <f t="shared" si="1166"/>
        <v>0</v>
      </c>
      <c r="EM704" s="1098">
        <f t="shared" si="1167"/>
        <v>0</v>
      </c>
      <c r="EN704" s="1030"/>
      <c r="EO704" s="1030"/>
      <c r="EP704" s="1031"/>
      <c r="EQ704" s="1050"/>
      <c r="ER704" s="1038"/>
      <c r="ES704" s="1035"/>
      <c r="ET704" s="1051"/>
    </row>
    <row r="705" spans="2:150" ht="16.5" customHeight="1">
      <c r="B705" s="1024"/>
      <c r="C705" s="1025"/>
      <c r="D705" s="408">
        <v>702</v>
      </c>
      <c r="E705" s="1164"/>
      <c r="F705" s="1164"/>
      <c r="G705" s="1026"/>
      <c r="H705" s="411" t="str">
        <f>IFERROR(INDEX(绊状态确认!C:C,MATCH($G705,绊状态确认!$B:$B,)),"")</f>
        <v/>
      </c>
      <c r="I705" s="450" t="str">
        <f>IFERROR(INDEX(绊状态确认!D:D,MATCH($G705,绊状态确认!$B:$B,)),"")</f>
        <v/>
      </c>
      <c r="J705" s="450" t="str">
        <f>IFERROR(INDEX(绊状态确认!E:E,MATCH($G705,绊状态确认!$B:$B,)),"")</f>
        <v/>
      </c>
      <c r="K705" s="451" t="str">
        <f>IFERROR(INDEX(绊状态确认!F:F,MATCH($G705,绊状态确认!$B:$B,)),"")</f>
        <v/>
      </c>
      <c r="L705" s="1026"/>
      <c r="M705" s="1165"/>
      <c r="N705" s="1027"/>
      <c r="O705" s="1026"/>
      <c r="P705" s="1028"/>
      <c r="Q705" s="1029"/>
      <c r="R705" s="1166"/>
      <c r="S705" s="1030"/>
      <c r="T705" s="1031"/>
      <c r="U705" s="1032"/>
      <c r="V705" s="1033"/>
      <c r="W705" s="1034"/>
      <c r="X705" s="1166"/>
      <c r="Y705" s="1035"/>
      <c r="Z705" s="1036"/>
      <c r="AA705" s="1037"/>
      <c r="AB705" s="1038"/>
      <c r="AC705" s="1039"/>
      <c r="AD705" s="1040"/>
      <c r="AE705" s="1041"/>
      <c r="AF705" s="521"/>
      <c r="AG705" s="420"/>
      <c r="AH705" s="420"/>
      <c r="AI705" s="420"/>
      <c r="AJ705" s="420"/>
      <c r="AK705" s="518"/>
      <c r="AL705" s="1042"/>
      <c r="AM705" s="1035"/>
      <c r="AN705" s="1043"/>
      <c r="AO705" s="1167"/>
      <c r="AP705" s="1044"/>
      <c r="AQ705" s="1035"/>
      <c r="AR705" s="1035"/>
      <c r="AS705" s="1035"/>
      <c r="AT705" s="1165"/>
      <c r="AU705" s="1031"/>
      <c r="AV705" s="1045"/>
      <c r="AW705" s="1038"/>
      <c r="AX705" s="1035"/>
      <c r="AY705" s="483"/>
      <c r="AZ705" s="429"/>
      <c r="BA705" s="431"/>
      <c r="BB705" s="1035"/>
      <c r="BC705" s="1035"/>
      <c r="BD705" s="481"/>
      <c r="BE705" s="432"/>
      <c r="BF705" s="646"/>
      <c r="BG705" s="1047"/>
      <c r="BH705" s="1046"/>
      <c r="BI705" s="1048"/>
      <c r="BJ705" s="1030"/>
      <c r="BK705" s="1046"/>
      <c r="BL705" s="1048"/>
      <c r="BM705" s="1046"/>
      <c r="BN705" s="1167"/>
      <c r="BO705" s="1035"/>
      <c r="BP705" s="1043"/>
      <c r="BQ705" s="1167"/>
      <c r="BR705" s="1165"/>
      <c r="BS705" s="1031"/>
      <c r="BT705" s="1038"/>
      <c r="BU705" s="1035"/>
      <c r="BV705" s="1035"/>
      <c r="BW705" s="1049"/>
      <c r="BX705" s="1043"/>
      <c r="BY705" s="1046"/>
      <c r="BZ705" s="1167"/>
      <c r="CA705" s="1165"/>
      <c r="CB705" s="1031"/>
      <c r="CC705" s="1038"/>
      <c r="CD705" s="1035"/>
      <c r="CE705" s="1035"/>
      <c r="CF705" s="1049"/>
      <c r="CG705" s="1043"/>
      <c r="CH705" s="1046"/>
      <c r="CI705" s="1167"/>
      <c r="CJ705" s="1168"/>
      <c r="CK705" s="1169"/>
      <c r="CL705" s="1169"/>
      <c r="CM705" s="1166"/>
      <c r="CN705" s="1169"/>
      <c r="CO705" s="1169"/>
      <c r="CP705" s="452"/>
      <c r="CQ705" s="435"/>
      <c r="CR705" s="1117"/>
      <c r="CS705" s="452"/>
      <c r="CT705" s="482"/>
      <c r="CU705" s="476"/>
      <c r="CV705" s="431"/>
      <c r="CW705" s="1108"/>
      <c r="CX705" s="1108"/>
      <c r="CY705" s="483"/>
      <c r="CZ705" s="437"/>
      <c r="DA705" s="438"/>
      <c r="DB705" s="439"/>
      <c r="DC705" s="439"/>
      <c r="DD705" s="443"/>
      <c r="DE705" s="411"/>
      <c r="DF705" s="411"/>
      <c r="DG705" s="1117"/>
      <c r="DH705" s="1117"/>
      <c r="DI705" s="1117"/>
      <c r="DJ705" s="442"/>
      <c r="DK705" s="482"/>
      <c r="DL705" s="1038"/>
      <c r="DM705" s="1035"/>
      <c r="DN705" s="1035"/>
      <c r="DO705" s="1035"/>
      <c r="DP705" s="1046"/>
      <c r="DQ705" s="1167"/>
      <c r="DR705" s="1168"/>
      <c r="DS705" s="1165"/>
      <c r="DT705" s="1165"/>
      <c r="DU705" s="1165"/>
      <c r="DV705" s="1031"/>
      <c r="DW705" s="1098">
        <f t="shared" si="1164"/>
        <v>0</v>
      </c>
      <c r="DX705" s="1098">
        <f t="shared" si="1165"/>
        <v>0</v>
      </c>
      <c r="DY705" s="1030"/>
      <c r="DZ705" s="1030"/>
      <c r="EA705" s="1031"/>
      <c r="EB705" s="1050"/>
      <c r="EC705" s="1038"/>
      <c r="ED705" s="1035"/>
      <c r="EE705" s="1046"/>
      <c r="EF705" s="1169"/>
      <c r="EG705" s="1168"/>
      <c r="EH705" s="1165"/>
      <c r="EI705" s="1165"/>
      <c r="EJ705" s="1165"/>
      <c r="EK705" s="1031"/>
      <c r="EL705" s="1098">
        <f t="shared" si="1166"/>
        <v>0</v>
      </c>
      <c r="EM705" s="1098">
        <f t="shared" si="1167"/>
        <v>0</v>
      </c>
      <c r="EN705" s="1030"/>
      <c r="EO705" s="1030"/>
      <c r="EP705" s="1031"/>
      <c r="EQ705" s="1050"/>
      <c r="ER705" s="1038"/>
      <c r="ES705" s="1035"/>
      <c r="ET705" s="1051"/>
    </row>
    <row r="706" spans="2:150" ht="16.5" customHeight="1">
      <c r="B706" s="1024"/>
      <c r="C706" s="1025"/>
      <c r="D706" s="408">
        <v>703</v>
      </c>
      <c r="E706" s="1164"/>
      <c r="F706" s="1164"/>
      <c r="G706" s="1026"/>
      <c r="H706" s="411" t="str">
        <f>IFERROR(INDEX(绊状态确认!C:C,MATCH($G706,绊状态确认!$B:$B,)),"")</f>
        <v/>
      </c>
      <c r="I706" s="450" t="str">
        <f>IFERROR(INDEX(绊状态确认!D:D,MATCH($G706,绊状态确认!$B:$B,)),"")</f>
        <v/>
      </c>
      <c r="J706" s="450" t="str">
        <f>IFERROR(INDEX(绊状态确认!E:E,MATCH($G706,绊状态确认!$B:$B,)),"")</f>
        <v/>
      </c>
      <c r="K706" s="451" t="str">
        <f>IFERROR(INDEX(绊状态确认!F:F,MATCH($G706,绊状态确认!$B:$B,)),"")</f>
        <v/>
      </c>
      <c r="L706" s="1026"/>
      <c r="M706" s="1165"/>
      <c r="N706" s="1027"/>
      <c r="O706" s="1026"/>
      <c r="P706" s="1028"/>
      <c r="Q706" s="1029"/>
      <c r="R706" s="1166"/>
      <c r="S706" s="1030"/>
      <c r="T706" s="1031"/>
      <c r="U706" s="1032"/>
      <c r="V706" s="1033"/>
      <c r="W706" s="1034"/>
      <c r="X706" s="1166"/>
      <c r="Y706" s="1035"/>
      <c r="Z706" s="1036"/>
      <c r="AA706" s="1037"/>
      <c r="AB706" s="1038"/>
      <c r="AC706" s="1039"/>
      <c r="AD706" s="1040"/>
      <c r="AE706" s="1041"/>
      <c r="AF706" s="521"/>
      <c r="AG706" s="420"/>
      <c r="AH706" s="420"/>
      <c r="AI706" s="420"/>
      <c r="AJ706" s="420"/>
      <c r="AK706" s="518"/>
      <c r="AL706" s="1042"/>
      <c r="AM706" s="1035"/>
      <c r="AN706" s="1043"/>
      <c r="AO706" s="1167"/>
      <c r="AP706" s="1044"/>
      <c r="AQ706" s="1035"/>
      <c r="AR706" s="1035"/>
      <c r="AS706" s="1035"/>
      <c r="AT706" s="1165"/>
      <c r="AU706" s="1031"/>
      <c r="AV706" s="1045"/>
      <c r="AW706" s="1038"/>
      <c r="AX706" s="1035"/>
      <c r="AY706" s="483"/>
      <c r="AZ706" s="429"/>
      <c r="BA706" s="431"/>
      <c r="BB706" s="1035"/>
      <c r="BC706" s="1035"/>
      <c r="BD706" s="481"/>
      <c r="BE706" s="432"/>
      <c r="BF706" s="646"/>
      <c r="BG706" s="1047"/>
      <c r="BH706" s="1046"/>
      <c r="BI706" s="1048"/>
      <c r="BJ706" s="1030"/>
      <c r="BK706" s="1046"/>
      <c r="BL706" s="1048"/>
      <c r="BM706" s="1046"/>
      <c r="BN706" s="1167"/>
      <c r="BO706" s="1035"/>
      <c r="BP706" s="1043"/>
      <c r="BQ706" s="1167"/>
      <c r="BR706" s="1165"/>
      <c r="BS706" s="1031"/>
      <c r="BT706" s="1038"/>
      <c r="BU706" s="1035"/>
      <c r="BV706" s="1035"/>
      <c r="BW706" s="1049"/>
      <c r="BX706" s="1043"/>
      <c r="BY706" s="1046"/>
      <c r="BZ706" s="1167"/>
      <c r="CA706" s="1165"/>
      <c r="CB706" s="1031"/>
      <c r="CC706" s="1038"/>
      <c r="CD706" s="1035"/>
      <c r="CE706" s="1035"/>
      <c r="CF706" s="1049"/>
      <c r="CG706" s="1043"/>
      <c r="CH706" s="1046"/>
      <c r="CI706" s="1167"/>
      <c r="CJ706" s="1168"/>
      <c r="CK706" s="1169"/>
      <c r="CL706" s="1169"/>
      <c r="CM706" s="1166"/>
      <c r="CN706" s="1169"/>
      <c r="CO706" s="1169"/>
      <c r="CP706" s="452"/>
      <c r="CQ706" s="435"/>
      <c r="CR706" s="1117"/>
      <c r="CS706" s="452"/>
      <c r="CT706" s="482"/>
      <c r="CU706" s="476"/>
      <c r="CV706" s="431"/>
      <c r="CW706" s="1108"/>
      <c r="CX706" s="1108"/>
      <c r="CY706" s="483"/>
      <c r="CZ706" s="437"/>
      <c r="DA706" s="438"/>
      <c r="DB706" s="439"/>
      <c r="DC706" s="439"/>
      <c r="DD706" s="443"/>
      <c r="DE706" s="411"/>
      <c r="DF706" s="411"/>
      <c r="DG706" s="1117"/>
      <c r="DH706" s="1117"/>
      <c r="DI706" s="1117"/>
      <c r="DJ706" s="442"/>
      <c r="DK706" s="482"/>
      <c r="DL706" s="1038"/>
      <c r="DM706" s="1035"/>
      <c r="DN706" s="1035"/>
      <c r="DO706" s="1035"/>
      <c r="DP706" s="1046"/>
      <c r="DQ706" s="1167"/>
      <c r="DR706" s="1168"/>
      <c r="DS706" s="1165"/>
      <c r="DT706" s="1165"/>
      <c r="DU706" s="1165"/>
      <c r="DV706" s="1031"/>
      <c r="DW706" s="1098">
        <f t="shared" si="1164"/>
        <v>0</v>
      </c>
      <c r="DX706" s="1098">
        <f t="shared" si="1165"/>
        <v>0</v>
      </c>
      <c r="DY706" s="1030"/>
      <c r="DZ706" s="1030"/>
      <c r="EA706" s="1031"/>
      <c r="EB706" s="1050"/>
      <c r="EC706" s="1038"/>
      <c r="ED706" s="1035"/>
      <c r="EE706" s="1046"/>
      <c r="EF706" s="1169"/>
      <c r="EG706" s="1168"/>
      <c r="EH706" s="1165"/>
      <c r="EI706" s="1165"/>
      <c r="EJ706" s="1165"/>
      <c r="EK706" s="1031"/>
      <c r="EL706" s="1098">
        <f t="shared" si="1166"/>
        <v>0</v>
      </c>
      <c r="EM706" s="1098">
        <f t="shared" si="1167"/>
        <v>0</v>
      </c>
      <c r="EN706" s="1030"/>
      <c r="EO706" s="1030"/>
      <c r="EP706" s="1031"/>
      <c r="EQ706" s="1050"/>
      <c r="ER706" s="1038"/>
      <c r="ES706" s="1035"/>
      <c r="ET706" s="1051"/>
    </row>
    <row r="707" spans="2:150" ht="16.5" customHeight="1">
      <c r="B707" s="1024"/>
      <c r="C707" s="1025"/>
      <c r="D707" s="408">
        <v>704</v>
      </c>
      <c r="E707" s="1164"/>
      <c r="F707" s="1164"/>
      <c r="G707" s="1026"/>
      <c r="H707" s="411" t="str">
        <f>IFERROR(INDEX(绊状态确认!C:C,MATCH($G707,绊状态确认!$B:$B,)),"")</f>
        <v/>
      </c>
      <c r="I707" s="450" t="str">
        <f>IFERROR(INDEX(绊状态确认!D:D,MATCH($G707,绊状态确认!$B:$B,)),"")</f>
        <v/>
      </c>
      <c r="J707" s="450" t="str">
        <f>IFERROR(INDEX(绊状态确认!E:E,MATCH($G707,绊状态确认!$B:$B,)),"")</f>
        <v/>
      </c>
      <c r="K707" s="451" t="str">
        <f>IFERROR(INDEX(绊状态确认!F:F,MATCH($G707,绊状态确认!$B:$B,)),"")</f>
        <v/>
      </c>
      <c r="L707" s="1026"/>
      <c r="M707" s="1165"/>
      <c r="N707" s="1027"/>
      <c r="O707" s="1026"/>
      <c r="P707" s="1028"/>
      <c r="Q707" s="1029"/>
      <c r="R707" s="1166"/>
      <c r="S707" s="1030"/>
      <c r="T707" s="1031"/>
      <c r="U707" s="1032"/>
      <c r="V707" s="1033"/>
      <c r="W707" s="1034"/>
      <c r="X707" s="1166"/>
      <c r="Y707" s="1035"/>
      <c r="Z707" s="1036"/>
      <c r="AA707" s="1037"/>
      <c r="AB707" s="1038"/>
      <c r="AC707" s="1039"/>
      <c r="AD707" s="1040"/>
      <c r="AE707" s="1041"/>
      <c r="AF707" s="521"/>
      <c r="AG707" s="420"/>
      <c r="AH707" s="420"/>
      <c r="AI707" s="420"/>
      <c r="AJ707" s="420"/>
      <c r="AK707" s="518"/>
      <c r="AL707" s="1042"/>
      <c r="AM707" s="1035"/>
      <c r="AN707" s="1043"/>
      <c r="AO707" s="1167"/>
      <c r="AP707" s="1044"/>
      <c r="AQ707" s="1035"/>
      <c r="AR707" s="1035"/>
      <c r="AS707" s="1035"/>
      <c r="AT707" s="1165"/>
      <c r="AU707" s="1031"/>
      <c r="AV707" s="1045"/>
      <c r="AW707" s="1038"/>
      <c r="AX707" s="1035"/>
      <c r="AY707" s="483"/>
      <c r="AZ707" s="429"/>
      <c r="BA707" s="431"/>
      <c r="BB707" s="1035"/>
      <c r="BC707" s="1035"/>
      <c r="BD707" s="481"/>
      <c r="BE707" s="432"/>
      <c r="BF707" s="646"/>
      <c r="BG707" s="1047"/>
      <c r="BH707" s="1046"/>
      <c r="BI707" s="1048"/>
      <c r="BJ707" s="1030"/>
      <c r="BK707" s="1046"/>
      <c r="BL707" s="1048"/>
      <c r="BM707" s="1046"/>
      <c r="BN707" s="1167"/>
      <c r="BO707" s="1035"/>
      <c r="BP707" s="1043"/>
      <c r="BQ707" s="1167"/>
      <c r="BR707" s="1165"/>
      <c r="BS707" s="1031"/>
      <c r="BT707" s="1038"/>
      <c r="BU707" s="1035"/>
      <c r="BV707" s="1035"/>
      <c r="BW707" s="1049"/>
      <c r="BX707" s="1043"/>
      <c r="BY707" s="1046"/>
      <c r="BZ707" s="1167"/>
      <c r="CA707" s="1165"/>
      <c r="CB707" s="1031"/>
      <c r="CC707" s="1038"/>
      <c r="CD707" s="1035"/>
      <c r="CE707" s="1035"/>
      <c r="CF707" s="1049"/>
      <c r="CG707" s="1043"/>
      <c r="CH707" s="1046"/>
      <c r="CI707" s="1167"/>
      <c r="CJ707" s="1168"/>
      <c r="CK707" s="1169"/>
      <c r="CL707" s="1169"/>
      <c r="CM707" s="1166"/>
      <c r="CN707" s="1169"/>
      <c r="CO707" s="1169"/>
      <c r="CP707" s="452"/>
      <c r="CQ707" s="435"/>
      <c r="CR707" s="1117"/>
      <c r="CS707" s="452"/>
      <c r="CT707" s="482"/>
      <c r="CU707" s="476"/>
      <c r="CV707" s="431"/>
      <c r="CW707" s="1108"/>
      <c r="CX707" s="1108"/>
      <c r="CY707" s="483"/>
      <c r="CZ707" s="437"/>
      <c r="DA707" s="438"/>
      <c r="DB707" s="439"/>
      <c r="DC707" s="439"/>
      <c r="DD707" s="443"/>
      <c r="DE707" s="411"/>
      <c r="DF707" s="411"/>
      <c r="DG707" s="1117"/>
      <c r="DH707" s="1117"/>
      <c r="DI707" s="1117"/>
      <c r="DJ707" s="442"/>
      <c r="DK707" s="482"/>
      <c r="DL707" s="1038"/>
      <c r="DM707" s="1035"/>
      <c r="DN707" s="1035"/>
      <c r="DO707" s="1035"/>
      <c r="DP707" s="1046"/>
      <c r="DQ707" s="1167"/>
      <c r="DR707" s="1168"/>
      <c r="DS707" s="1165"/>
      <c r="DT707" s="1165"/>
      <c r="DU707" s="1165"/>
      <c r="DV707" s="1031"/>
      <c r="DW707" s="1098">
        <f t="shared" si="1164"/>
        <v>0</v>
      </c>
      <c r="DX707" s="1098">
        <f t="shared" si="1165"/>
        <v>0</v>
      </c>
      <c r="DY707" s="1030"/>
      <c r="DZ707" s="1030"/>
      <c r="EA707" s="1031"/>
      <c r="EB707" s="1050"/>
      <c r="EC707" s="1038"/>
      <c r="ED707" s="1035"/>
      <c r="EE707" s="1046"/>
      <c r="EF707" s="1169"/>
      <c r="EG707" s="1168"/>
      <c r="EH707" s="1165"/>
      <c r="EI707" s="1165"/>
      <c r="EJ707" s="1165"/>
      <c r="EK707" s="1031"/>
      <c r="EL707" s="1098">
        <f t="shared" si="1166"/>
        <v>0</v>
      </c>
      <c r="EM707" s="1098">
        <f t="shared" si="1167"/>
        <v>0</v>
      </c>
      <c r="EN707" s="1030"/>
      <c r="EO707" s="1030"/>
      <c r="EP707" s="1031"/>
      <c r="EQ707" s="1050"/>
      <c r="ER707" s="1038"/>
      <c r="ES707" s="1035"/>
      <c r="ET707" s="1051"/>
    </row>
    <row r="708" spans="2:150" ht="16.5" customHeight="1">
      <c r="B708" s="1024"/>
      <c r="C708" s="1025"/>
      <c r="D708" s="408">
        <v>705</v>
      </c>
      <c r="E708" s="1164"/>
      <c r="F708" s="1164"/>
      <c r="G708" s="1026"/>
      <c r="H708" s="411" t="str">
        <f>IFERROR(INDEX(绊状态确认!C:C,MATCH($G708,绊状态确认!$B:$B,)),"")</f>
        <v/>
      </c>
      <c r="I708" s="450" t="str">
        <f>IFERROR(INDEX(绊状态确认!D:D,MATCH($G708,绊状态确认!$B:$B,)),"")</f>
        <v/>
      </c>
      <c r="J708" s="450" t="str">
        <f>IFERROR(INDEX(绊状态确认!E:E,MATCH($G708,绊状态确认!$B:$B,)),"")</f>
        <v/>
      </c>
      <c r="K708" s="451" t="str">
        <f>IFERROR(INDEX(绊状态确认!F:F,MATCH($G708,绊状态确认!$B:$B,)),"")</f>
        <v/>
      </c>
      <c r="L708" s="1026"/>
      <c r="M708" s="1165"/>
      <c r="N708" s="1027"/>
      <c r="O708" s="1026"/>
      <c r="P708" s="1028"/>
      <c r="Q708" s="1029"/>
      <c r="R708" s="1166"/>
      <c r="S708" s="1030"/>
      <c r="T708" s="1031"/>
      <c r="U708" s="1032"/>
      <c r="V708" s="1033"/>
      <c r="W708" s="1034"/>
      <c r="X708" s="1166"/>
      <c r="Y708" s="1035"/>
      <c r="Z708" s="1036"/>
      <c r="AA708" s="1037"/>
      <c r="AB708" s="1038"/>
      <c r="AC708" s="1039"/>
      <c r="AD708" s="1040"/>
      <c r="AE708" s="1041"/>
      <c r="AF708" s="521"/>
      <c r="AG708" s="420"/>
      <c r="AH708" s="420"/>
      <c r="AI708" s="420"/>
      <c r="AJ708" s="420"/>
      <c r="AK708" s="518"/>
      <c r="AL708" s="1042"/>
      <c r="AM708" s="1035"/>
      <c r="AN708" s="1043"/>
      <c r="AO708" s="1167"/>
      <c r="AP708" s="1044"/>
      <c r="AQ708" s="1035"/>
      <c r="AR708" s="1035"/>
      <c r="AS708" s="1035"/>
      <c r="AT708" s="1165"/>
      <c r="AU708" s="1031"/>
      <c r="AV708" s="1045"/>
      <c r="AW708" s="1038"/>
      <c r="AX708" s="1035"/>
      <c r="AY708" s="483"/>
      <c r="AZ708" s="429"/>
      <c r="BA708" s="431"/>
      <c r="BB708" s="1035"/>
      <c r="BC708" s="1035"/>
      <c r="BD708" s="481"/>
      <c r="BE708" s="432"/>
      <c r="BF708" s="646"/>
      <c r="BG708" s="1047"/>
      <c r="BH708" s="1046"/>
      <c r="BI708" s="1048"/>
      <c r="BJ708" s="1030"/>
      <c r="BK708" s="1046"/>
      <c r="BL708" s="1048"/>
      <c r="BM708" s="1046"/>
      <c r="BN708" s="1167"/>
      <c r="BO708" s="1035"/>
      <c r="BP708" s="1043"/>
      <c r="BQ708" s="1167"/>
      <c r="BR708" s="1165"/>
      <c r="BS708" s="1031"/>
      <c r="BT708" s="1038"/>
      <c r="BU708" s="1035"/>
      <c r="BV708" s="1035"/>
      <c r="BW708" s="1049"/>
      <c r="BX708" s="1043"/>
      <c r="BY708" s="1046"/>
      <c r="BZ708" s="1167"/>
      <c r="CA708" s="1165"/>
      <c r="CB708" s="1031"/>
      <c r="CC708" s="1038"/>
      <c r="CD708" s="1035"/>
      <c r="CE708" s="1035"/>
      <c r="CF708" s="1049"/>
      <c r="CG708" s="1043"/>
      <c r="CH708" s="1046"/>
      <c r="CI708" s="1167"/>
      <c r="CJ708" s="1168"/>
      <c r="CK708" s="1169"/>
      <c r="CL708" s="1169"/>
      <c r="CM708" s="1166"/>
      <c r="CN708" s="1169"/>
      <c r="CO708" s="1169"/>
      <c r="CP708" s="452"/>
      <c r="CQ708" s="435"/>
      <c r="CR708" s="1117"/>
      <c r="CS708" s="452"/>
      <c r="CT708" s="482"/>
      <c r="CU708" s="476"/>
      <c r="CV708" s="431"/>
      <c r="CW708" s="1108"/>
      <c r="CX708" s="1108"/>
      <c r="CY708" s="483"/>
      <c r="CZ708" s="437"/>
      <c r="DA708" s="438"/>
      <c r="DB708" s="439"/>
      <c r="DC708" s="439"/>
      <c r="DD708" s="443"/>
      <c r="DE708" s="411"/>
      <c r="DF708" s="411"/>
      <c r="DG708" s="1117"/>
      <c r="DH708" s="1117"/>
      <c r="DI708" s="1117"/>
      <c r="DJ708" s="442"/>
      <c r="DK708" s="482"/>
      <c r="DL708" s="1038"/>
      <c r="DM708" s="1035"/>
      <c r="DN708" s="1035"/>
      <c r="DO708" s="1035"/>
      <c r="DP708" s="1046"/>
      <c r="DQ708" s="1167"/>
      <c r="DR708" s="1168"/>
      <c r="DS708" s="1165"/>
      <c r="DT708" s="1165"/>
      <c r="DU708" s="1165"/>
      <c r="DV708" s="1031"/>
      <c r="DW708" s="1098">
        <f t="shared" ref="DW708:DW771" si="1168">DR708+IF(AND($CK708="技能+",$CL708="自身",DR708=0.11),$CP708*3)</f>
        <v>0</v>
      </c>
      <c r="DX708" s="1098">
        <f t="shared" ref="DX708:DX771" si="1169">DR708+IF(AND($CK708="技能+",$CL708="自身",DR708=0.11),$CQ708*3)</f>
        <v>0</v>
      </c>
      <c r="DY708" s="1030"/>
      <c r="DZ708" s="1030"/>
      <c r="EA708" s="1031"/>
      <c r="EB708" s="1050"/>
      <c r="EC708" s="1038"/>
      <c r="ED708" s="1035"/>
      <c r="EE708" s="1046"/>
      <c r="EF708" s="1169"/>
      <c r="EG708" s="1168"/>
      <c r="EH708" s="1165"/>
      <c r="EI708" s="1165"/>
      <c r="EJ708" s="1165"/>
      <c r="EK708" s="1031"/>
      <c r="EL708" s="1098">
        <f t="shared" ref="EL708:EL771" si="1170">EG708+IF(AND($CK708="技能+",$CL708="自身",EG708=0.11),$CP708*3)</f>
        <v>0</v>
      </c>
      <c r="EM708" s="1098">
        <f t="shared" ref="EM708:EM771" si="1171">EG708+IF(AND($CK708="技能+",$CL708="自身",EG708=0.11),$CQ708*3)</f>
        <v>0</v>
      </c>
      <c r="EN708" s="1030"/>
      <c r="EO708" s="1030"/>
      <c r="EP708" s="1031"/>
      <c r="EQ708" s="1050"/>
      <c r="ER708" s="1038"/>
      <c r="ES708" s="1035"/>
      <c r="ET708" s="1051"/>
    </row>
    <row r="709" spans="2:150" ht="16.5" customHeight="1">
      <c r="B709" s="1024"/>
      <c r="C709" s="1025"/>
      <c r="D709" s="408">
        <v>706</v>
      </c>
      <c r="E709" s="1164"/>
      <c r="F709" s="1164"/>
      <c r="G709" s="1026"/>
      <c r="H709" s="411" t="str">
        <f>IFERROR(INDEX(绊状态确认!C:C,MATCH($G709,绊状态确认!$B:$B,)),"")</f>
        <v/>
      </c>
      <c r="I709" s="450" t="str">
        <f>IFERROR(INDEX(绊状态确认!D:D,MATCH($G709,绊状态确认!$B:$B,)),"")</f>
        <v/>
      </c>
      <c r="J709" s="450" t="str">
        <f>IFERROR(INDEX(绊状态确认!E:E,MATCH($G709,绊状态确认!$B:$B,)),"")</f>
        <v/>
      </c>
      <c r="K709" s="451" t="str">
        <f>IFERROR(INDEX(绊状态确认!F:F,MATCH($G709,绊状态确认!$B:$B,)),"")</f>
        <v/>
      </c>
      <c r="L709" s="1026"/>
      <c r="M709" s="1165"/>
      <c r="N709" s="1027"/>
      <c r="O709" s="1026"/>
      <c r="P709" s="1028"/>
      <c r="Q709" s="1029"/>
      <c r="R709" s="1166"/>
      <c r="S709" s="1030"/>
      <c r="T709" s="1031"/>
      <c r="U709" s="1032"/>
      <c r="V709" s="1033"/>
      <c r="W709" s="1034"/>
      <c r="X709" s="1166"/>
      <c r="Y709" s="1035"/>
      <c r="Z709" s="1036"/>
      <c r="AA709" s="1037"/>
      <c r="AB709" s="1038"/>
      <c r="AC709" s="1039"/>
      <c r="AD709" s="1040"/>
      <c r="AE709" s="1041"/>
      <c r="AF709" s="521"/>
      <c r="AG709" s="420"/>
      <c r="AH709" s="420"/>
      <c r="AI709" s="420"/>
      <c r="AJ709" s="420"/>
      <c r="AK709" s="518"/>
      <c r="AL709" s="1042"/>
      <c r="AM709" s="1035"/>
      <c r="AN709" s="1043"/>
      <c r="AO709" s="1167"/>
      <c r="AP709" s="1044"/>
      <c r="AQ709" s="1035"/>
      <c r="AR709" s="1035"/>
      <c r="AS709" s="1035"/>
      <c r="AT709" s="1165"/>
      <c r="AU709" s="1031"/>
      <c r="AV709" s="1045"/>
      <c r="AW709" s="1038"/>
      <c r="AX709" s="1035"/>
      <c r="AY709" s="483"/>
      <c r="AZ709" s="429"/>
      <c r="BA709" s="431"/>
      <c r="BB709" s="1035"/>
      <c r="BC709" s="1035"/>
      <c r="BD709" s="481"/>
      <c r="BE709" s="432"/>
      <c r="BF709" s="646"/>
      <c r="BG709" s="1047"/>
      <c r="BH709" s="1046"/>
      <c r="BI709" s="1048"/>
      <c r="BJ709" s="1030"/>
      <c r="BK709" s="1046"/>
      <c r="BL709" s="1048"/>
      <c r="BM709" s="1046"/>
      <c r="BN709" s="1167"/>
      <c r="BO709" s="1035"/>
      <c r="BP709" s="1043"/>
      <c r="BQ709" s="1167"/>
      <c r="BR709" s="1165"/>
      <c r="BS709" s="1031"/>
      <c r="BT709" s="1038"/>
      <c r="BU709" s="1035"/>
      <c r="BV709" s="1035"/>
      <c r="BW709" s="1049"/>
      <c r="BX709" s="1043"/>
      <c r="BY709" s="1046"/>
      <c r="BZ709" s="1167"/>
      <c r="CA709" s="1165"/>
      <c r="CB709" s="1031"/>
      <c r="CC709" s="1038"/>
      <c r="CD709" s="1035"/>
      <c r="CE709" s="1035"/>
      <c r="CF709" s="1049"/>
      <c r="CG709" s="1043"/>
      <c r="CH709" s="1046"/>
      <c r="CI709" s="1167"/>
      <c r="CJ709" s="1168"/>
      <c r="CK709" s="1169"/>
      <c r="CL709" s="1169"/>
      <c r="CM709" s="1166"/>
      <c r="CN709" s="1169"/>
      <c r="CO709" s="1169"/>
      <c r="CP709" s="452"/>
      <c r="CQ709" s="435"/>
      <c r="CR709" s="1117"/>
      <c r="CS709" s="452"/>
      <c r="CT709" s="482"/>
      <c r="CU709" s="476"/>
      <c r="CV709" s="431"/>
      <c r="CW709" s="1108"/>
      <c r="CX709" s="1108"/>
      <c r="CY709" s="483"/>
      <c r="CZ709" s="437"/>
      <c r="DA709" s="438"/>
      <c r="DB709" s="439"/>
      <c r="DC709" s="439"/>
      <c r="DD709" s="443"/>
      <c r="DE709" s="411"/>
      <c r="DF709" s="411"/>
      <c r="DG709" s="1117"/>
      <c r="DH709" s="1117"/>
      <c r="DI709" s="1117"/>
      <c r="DJ709" s="442"/>
      <c r="DK709" s="482"/>
      <c r="DL709" s="1038"/>
      <c r="DM709" s="1035"/>
      <c r="DN709" s="1035"/>
      <c r="DO709" s="1035"/>
      <c r="DP709" s="1046"/>
      <c r="DQ709" s="1167"/>
      <c r="DR709" s="1168"/>
      <c r="DS709" s="1165"/>
      <c r="DT709" s="1165"/>
      <c r="DU709" s="1165"/>
      <c r="DV709" s="1031"/>
      <c r="DW709" s="1098">
        <f t="shared" si="1168"/>
        <v>0</v>
      </c>
      <c r="DX709" s="1098">
        <f t="shared" si="1169"/>
        <v>0</v>
      </c>
      <c r="DY709" s="1030"/>
      <c r="DZ709" s="1030"/>
      <c r="EA709" s="1031"/>
      <c r="EB709" s="1050"/>
      <c r="EC709" s="1038"/>
      <c r="ED709" s="1035"/>
      <c r="EE709" s="1046"/>
      <c r="EF709" s="1169"/>
      <c r="EG709" s="1168"/>
      <c r="EH709" s="1165"/>
      <c r="EI709" s="1165"/>
      <c r="EJ709" s="1165"/>
      <c r="EK709" s="1031"/>
      <c r="EL709" s="1098">
        <f t="shared" si="1170"/>
        <v>0</v>
      </c>
      <c r="EM709" s="1098">
        <f t="shared" si="1171"/>
        <v>0</v>
      </c>
      <c r="EN709" s="1030"/>
      <c r="EO709" s="1030"/>
      <c r="EP709" s="1031"/>
      <c r="EQ709" s="1050"/>
      <c r="ER709" s="1038"/>
      <c r="ES709" s="1035"/>
      <c r="ET709" s="1051"/>
    </row>
    <row r="710" spans="2:150" ht="16.5" customHeight="1">
      <c r="B710" s="1024"/>
      <c r="C710" s="1025"/>
      <c r="D710" s="408">
        <v>707</v>
      </c>
      <c r="E710" s="1164"/>
      <c r="F710" s="1164"/>
      <c r="G710" s="1026"/>
      <c r="H710" s="411" t="str">
        <f>IFERROR(INDEX(绊状态确认!C:C,MATCH($G710,绊状态确认!$B:$B,)),"")</f>
        <v/>
      </c>
      <c r="I710" s="450" t="str">
        <f>IFERROR(INDEX(绊状态确认!D:D,MATCH($G710,绊状态确认!$B:$B,)),"")</f>
        <v/>
      </c>
      <c r="J710" s="450" t="str">
        <f>IFERROR(INDEX(绊状态确认!E:E,MATCH($G710,绊状态确认!$B:$B,)),"")</f>
        <v/>
      </c>
      <c r="K710" s="451" t="str">
        <f>IFERROR(INDEX(绊状态确认!F:F,MATCH($G710,绊状态确认!$B:$B,)),"")</f>
        <v/>
      </c>
      <c r="L710" s="1026"/>
      <c r="M710" s="1165"/>
      <c r="N710" s="1027"/>
      <c r="O710" s="1026"/>
      <c r="P710" s="1028"/>
      <c r="Q710" s="1029"/>
      <c r="R710" s="1166"/>
      <c r="S710" s="1030"/>
      <c r="T710" s="1031"/>
      <c r="U710" s="1032"/>
      <c r="V710" s="1033"/>
      <c r="W710" s="1034"/>
      <c r="X710" s="1166"/>
      <c r="Y710" s="1035"/>
      <c r="Z710" s="1036"/>
      <c r="AA710" s="1037"/>
      <c r="AB710" s="1038"/>
      <c r="AC710" s="1039"/>
      <c r="AD710" s="1040"/>
      <c r="AE710" s="1041"/>
      <c r="AF710" s="521"/>
      <c r="AG710" s="420"/>
      <c r="AH710" s="420"/>
      <c r="AI710" s="420"/>
      <c r="AJ710" s="420"/>
      <c r="AK710" s="518"/>
      <c r="AL710" s="1042"/>
      <c r="AM710" s="1035"/>
      <c r="AN710" s="1043"/>
      <c r="AO710" s="1167"/>
      <c r="AP710" s="1044"/>
      <c r="AQ710" s="1035"/>
      <c r="AR710" s="1035"/>
      <c r="AS710" s="1035"/>
      <c r="AT710" s="1165"/>
      <c r="AU710" s="1031"/>
      <c r="AV710" s="1045"/>
      <c r="AW710" s="1038"/>
      <c r="AX710" s="1035"/>
      <c r="AY710" s="483"/>
      <c r="AZ710" s="429"/>
      <c r="BA710" s="431"/>
      <c r="BB710" s="1035"/>
      <c r="BC710" s="1035"/>
      <c r="BD710" s="481"/>
      <c r="BE710" s="432"/>
      <c r="BF710" s="646"/>
      <c r="BG710" s="1047"/>
      <c r="BH710" s="1046"/>
      <c r="BI710" s="1048"/>
      <c r="BJ710" s="1030"/>
      <c r="BK710" s="1046"/>
      <c r="BL710" s="1048"/>
      <c r="BM710" s="1046"/>
      <c r="BN710" s="1167"/>
      <c r="BO710" s="1035"/>
      <c r="BP710" s="1043"/>
      <c r="BQ710" s="1167"/>
      <c r="BR710" s="1165"/>
      <c r="BS710" s="1031"/>
      <c r="BT710" s="1038"/>
      <c r="BU710" s="1035"/>
      <c r="BV710" s="1035"/>
      <c r="BW710" s="1049"/>
      <c r="BX710" s="1043"/>
      <c r="BY710" s="1046"/>
      <c r="BZ710" s="1167"/>
      <c r="CA710" s="1165"/>
      <c r="CB710" s="1031"/>
      <c r="CC710" s="1038"/>
      <c r="CD710" s="1035"/>
      <c r="CE710" s="1035"/>
      <c r="CF710" s="1049"/>
      <c r="CG710" s="1043"/>
      <c r="CH710" s="1046"/>
      <c r="CI710" s="1167"/>
      <c r="CJ710" s="1168"/>
      <c r="CK710" s="1169"/>
      <c r="CL710" s="1169"/>
      <c r="CM710" s="1166"/>
      <c r="CN710" s="1169"/>
      <c r="CO710" s="1169"/>
      <c r="CP710" s="452"/>
      <c r="CQ710" s="435"/>
      <c r="CR710" s="1117"/>
      <c r="CS710" s="452"/>
      <c r="CT710" s="482"/>
      <c r="CU710" s="476"/>
      <c r="CV710" s="431"/>
      <c r="CW710" s="1108"/>
      <c r="CX710" s="1108"/>
      <c r="CY710" s="483"/>
      <c r="CZ710" s="437"/>
      <c r="DA710" s="438"/>
      <c r="DB710" s="439"/>
      <c r="DC710" s="439"/>
      <c r="DD710" s="443"/>
      <c r="DE710" s="411"/>
      <c r="DF710" s="411"/>
      <c r="DG710" s="1117"/>
      <c r="DH710" s="1117"/>
      <c r="DI710" s="1117"/>
      <c r="DJ710" s="442"/>
      <c r="DK710" s="482"/>
      <c r="DL710" s="1038"/>
      <c r="DM710" s="1035"/>
      <c r="DN710" s="1035"/>
      <c r="DO710" s="1035"/>
      <c r="DP710" s="1046"/>
      <c r="DQ710" s="1167"/>
      <c r="DR710" s="1168"/>
      <c r="DS710" s="1165"/>
      <c r="DT710" s="1165"/>
      <c r="DU710" s="1165"/>
      <c r="DV710" s="1031"/>
      <c r="DW710" s="1098">
        <f t="shared" si="1168"/>
        <v>0</v>
      </c>
      <c r="DX710" s="1098">
        <f t="shared" si="1169"/>
        <v>0</v>
      </c>
      <c r="DY710" s="1030"/>
      <c r="DZ710" s="1030"/>
      <c r="EA710" s="1031"/>
      <c r="EB710" s="1050"/>
      <c r="EC710" s="1038"/>
      <c r="ED710" s="1035"/>
      <c r="EE710" s="1046"/>
      <c r="EF710" s="1169"/>
      <c r="EG710" s="1168"/>
      <c r="EH710" s="1165"/>
      <c r="EI710" s="1165"/>
      <c r="EJ710" s="1165"/>
      <c r="EK710" s="1031"/>
      <c r="EL710" s="1098">
        <f t="shared" si="1170"/>
        <v>0</v>
      </c>
      <c r="EM710" s="1098">
        <f t="shared" si="1171"/>
        <v>0</v>
      </c>
      <c r="EN710" s="1030"/>
      <c r="EO710" s="1030"/>
      <c r="EP710" s="1031"/>
      <c r="EQ710" s="1050"/>
      <c r="ER710" s="1038"/>
      <c r="ES710" s="1035"/>
      <c r="ET710" s="1051"/>
    </row>
    <row r="711" spans="2:150" ht="16.5" customHeight="1">
      <c r="B711" s="1024"/>
      <c r="C711" s="1025"/>
      <c r="D711" s="408">
        <v>708</v>
      </c>
      <c r="E711" s="1164"/>
      <c r="F711" s="1164"/>
      <c r="G711" s="1026"/>
      <c r="H711" s="411" t="str">
        <f>IFERROR(INDEX(绊状态确认!C:C,MATCH($G711,绊状态确认!$B:$B,)),"")</f>
        <v/>
      </c>
      <c r="I711" s="450" t="str">
        <f>IFERROR(INDEX(绊状态确认!D:D,MATCH($G711,绊状态确认!$B:$B,)),"")</f>
        <v/>
      </c>
      <c r="J711" s="450" t="str">
        <f>IFERROR(INDEX(绊状态确认!E:E,MATCH($G711,绊状态确认!$B:$B,)),"")</f>
        <v/>
      </c>
      <c r="K711" s="451" t="str">
        <f>IFERROR(INDEX(绊状态确认!F:F,MATCH($G711,绊状态确认!$B:$B,)),"")</f>
        <v/>
      </c>
      <c r="L711" s="1026"/>
      <c r="M711" s="1165"/>
      <c r="N711" s="1027"/>
      <c r="O711" s="1026"/>
      <c r="P711" s="1028"/>
      <c r="Q711" s="1029"/>
      <c r="R711" s="1166"/>
      <c r="S711" s="1030"/>
      <c r="T711" s="1031"/>
      <c r="U711" s="1032"/>
      <c r="V711" s="1033"/>
      <c r="W711" s="1034"/>
      <c r="X711" s="1166"/>
      <c r="Y711" s="1035"/>
      <c r="Z711" s="1036"/>
      <c r="AA711" s="1037"/>
      <c r="AB711" s="1038"/>
      <c r="AC711" s="1039"/>
      <c r="AD711" s="1040"/>
      <c r="AE711" s="1041"/>
      <c r="AF711" s="521"/>
      <c r="AG711" s="420"/>
      <c r="AH711" s="420"/>
      <c r="AI711" s="420"/>
      <c r="AJ711" s="420"/>
      <c r="AK711" s="518"/>
      <c r="AL711" s="1042"/>
      <c r="AM711" s="1035"/>
      <c r="AN711" s="1043"/>
      <c r="AO711" s="1167"/>
      <c r="AP711" s="1044"/>
      <c r="AQ711" s="1035"/>
      <c r="AR711" s="1035"/>
      <c r="AS711" s="1035"/>
      <c r="AT711" s="1165"/>
      <c r="AU711" s="1031"/>
      <c r="AV711" s="1045"/>
      <c r="AW711" s="1038"/>
      <c r="AX711" s="1035"/>
      <c r="AY711" s="483"/>
      <c r="AZ711" s="429"/>
      <c r="BA711" s="431"/>
      <c r="BB711" s="1035"/>
      <c r="BC711" s="1035"/>
      <c r="BD711" s="481"/>
      <c r="BE711" s="432"/>
      <c r="BF711" s="646"/>
      <c r="BG711" s="1047"/>
      <c r="BH711" s="1046"/>
      <c r="BI711" s="1048"/>
      <c r="BJ711" s="1030"/>
      <c r="BK711" s="1046"/>
      <c r="BL711" s="1048"/>
      <c r="BM711" s="1046"/>
      <c r="BN711" s="1167"/>
      <c r="BO711" s="1035"/>
      <c r="BP711" s="1043"/>
      <c r="BQ711" s="1167"/>
      <c r="BR711" s="1165"/>
      <c r="BS711" s="1031"/>
      <c r="BT711" s="1038"/>
      <c r="BU711" s="1035"/>
      <c r="BV711" s="1035"/>
      <c r="BW711" s="1049"/>
      <c r="BX711" s="1043"/>
      <c r="BY711" s="1046"/>
      <c r="BZ711" s="1167"/>
      <c r="CA711" s="1165"/>
      <c r="CB711" s="1031"/>
      <c r="CC711" s="1038"/>
      <c r="CD711" s="1035"/>
      <c r="CE711" s="1035"/>
      <c r="CF711" s="1049"/>
      <c r="CG711" s="1043"/>
      <c r="CH711" s="1046"/>
      <c r="CI711" s="1167"/>
      <c r="CJ711" s="1168"/>
      <c r="CK711" s="1169"/>
      <c r="CL711" s="1169"/>
      <c r="CM711" s="1166"/>
      <c r="CN711" s="1169"/>
      <c r="CO711" s="1169"/>
      <c r="CP711" s="452"/>
      <c r="CQ711" s="435"/>
      <c r="CR711" s="1117"/>
      <c r="CS711" s="452"/>
      <c r="CT711" s="482"/>
      <c r="CU711" s="476"/>
      <c r="CV711" s="431"/>
      <c r="CW711" s="1108"/>
      <c r="CX711" s="1108"/>
      <c r="CY711" s="483"/>
      <c r="CZ711" s="437"/>
      <c r="DA711" s="438"/>
      <c r="DB711" s="439"/>
      <c r="DC711" s="439"/>
      <c r="DD711" s="443"/>
      <c r="DE711" s="411"/>
      <c r="DF711" s="411"/>
      <c r="DG711" s="1117"/>
      <c r="DH711" s="1117"/>
      <c r="DI711" s="1117"/>
      <c r="DJ711" s="442"/>
      <c r="DK711" s="482"/>
      <c r="DL711" s="1038"/>
      <c r="DM711" s="1035"/>
      <c r="DN711" s="1035"/>
      <c r="DO711" s="1035"/>
      <c r="DP711" s="1046"/>
      <c r="DQ711" s="1167"/>
      <c r="DR711" s="1168"/>
      <c r="DS711" s="1165"/>
      <c r="DT711" s="1165"/>
      <c r="DU711" s="1165"/>
      <c r="DV711" s="1031"/>
      <c r="DW711" s="1098">
        <f t="shared" si="1168"/>
        <v>0</v>
      </c>
      <c r="DX711" s="1098">
        <f t="shared" si="1169"/>
        <v>0</v>
      </c>
      <c r="DY711" s="1030"/>
      <c r="DZ711" s="1030"/>
      <c r="EA711" s="1031"/>
      <c r="EB711" s="1050"/>
      <c r="EC711" s="1038"/>
      <c r="ED711" s="1035"/>
      <c r="EE711" s="1046"/>
      <c r="EF711" s="1169"/>
      <c r="EG711" s="1168"/>
      <c r="EH711" s="1165"/>
      <c r="EI711" s="1165"/>
      <c r="EJ711" s="1165"/>
      <c r="EK711" s="1031"/>
      <c r="EL711" s="1098">
        <f t="shared" si="1170"/>
        <v>0</v>
      </c>
      <c r="EM711" s="1098">
        <f t="shared" si="1171"/>
        <v>0</v>
      </c>
      <c r="EN711" s="1030"/>
      <c r="EO711" s="1030"/>
      <c r="EP711" s="1031"/>
      <c r="EQ711" s="1050"/>
      <c r="ER711" s="1038"/>
      <c r="ES711" s="1035"/>
      <c r="ET711" s="1051"/>
    </row>
    <row r="712" spans="2:150" ht="16.5" customHeight="1">
      <c r="B712" s="1024"/>
      <c r="C712" s="1025"/>
      <c r="D712" s="408">
        <v>709</v>
      </c>
      <c r="E712" s="1164"/>
      <c r="F712" s="1164"/>
      <c r="G712" s="1026"/>
      <c r="H712" s="411" t="str">
        <f>IFERROR(INDEX(绊状态确认!C:C,MATCH($G712,绊状态确认!$B:$B,)),"")</f>
        <v/>
      </c>
      <c r="I712" s="450" t="str">
        <f>IFERROR(INDEX(绊状态确认!D:D,MATCH($G712,绊状态确认!$B:$B,)),"")</f>
        <v/>
      </c>
      <c r="J712" s="450" t="str">
        <f>IFERROR(INDEX(绊状态确认!E:E,MATCH($G712,绊状态确认!$B:$B,)),"")</f>
        <v/>
      </c>
      <c r="K712" s="451" t="str">
        <f>IFERROR(INDEX(绊状态确认!F:F,MATCH($G712,绊状态确认!$B:$B,)),"")</f>
        <v/>
      </c>
      <c r="L712" s="1026"/>
      <c r="M712" s="1165"/>
      <c r="N712" s="1027"/>
      <c r="O712" s="1026"/>
      <c r="P712" s="1028"/>
      <c r="Q712" s="1029"/>
      <c r="R712" s="1166"/>
      <c r="S712" s="1030"/>
      <c r="T712" s="1031"/>
      <c r="U712" s="1032"/>
      <c r="V712" s="1033"/>
      <c r="W712" s="1034"/>
      <c r="X712" s="1166"/>
      <c r="Y712" s="1035"/>
      <c r="Z712" s="1036"/>
      <c r="AA712" s="1037"/>
      <c r="AB712" s="1038"/>
      <c r="AC712" s="1039"/>
      <c r="AD712" s="1040"/>
      <c r="AE712" s="1041"/>
      <c r="AF712" s="521"/>
      <c r="AG712" s="420"/>
      <c r="AH712" s="420"/>
      <c r="AI712" s="420"/>
      <c r="AJ712" s="420"/>
      <c r="AK712" s="518"/>
      <c r="AL712" s="1042"/>
      <c r="AM712" s="1035"/>
      <c r="AN712" s="1043"/>
      <c r="AO712" s="1167"/>
      <c r="AP712" s="1044"/>
      <c r="AQ712" s="1035"/>
      <c r="AR712" s="1035"/>
      <c r="AS712" s="1035"/>
      <c r="AT712" s="1165"/>
      <c r="AU712" s="1031"/>
      <c r="AV712" s="1045"/>
      <c r="AW712" s="1038"/>
      <c r="AX712" s="1035"/>
      <c r="AY712" s="483"/>
      <c r="AZ712" s="429"/>
      <c r="BA712" s="431"/>
      <c r="BB712" s="1035"/>
      <c r="BC712" s="1035"/>
      <c r="BD712" s="481"/>
      <c r="BE712" s="432"/>
      <c r="BF712" s="646"/>
      <c r="BG712" s="1047"/>
      <c r="BH712" s="1046"/>
      <c r="BI712" s="1048"/>
      <c r="BJ712" s="1030"/>
      <c r="BK712" s="1046"/>
      <c r="BL712" s="1048"/>
      <c r="BM712" s="1046"/>
      <c r="BN712" s="1167"/>
      <c r="BO712" s="1035"/>
      <c r="BP712" s="1043"/>
      <c r="BQ712" s="1167"/>
      <c r="BR712" s="1165"/>
      <c r="BS712" s="1031"/>
      <c r="BT712" s="1038"/>
      <c r="BU712" s="1035"/>
      <c r="BV712" s="1035"/>
      <c r="BW712" s="1049"/>
      <c r="BX712" s="1043"/>
      <c r="BY712" s="1046"/>
      <c r="BZ712" s="1167"/>
      <c r="CA712" s="1165"/>
      <c r="CB712" s="1031"/>
      <c r="CC712" s="1038"/>
      <c r="CD712" s="1035"/>
      <c r="CE712" s="1035"/>
      <c r="CF712" s="1049"/>
      <c r="CG712" s="1043"/>
      <c r="CH712" s="1046"/>
      <c r="CI712" s="1167"/>
      <c r="CJ712" s="1168"/>
      <c r="CK712" s="1169"/>
      <c r="CL712" s="1169"/>
      <c r="CM712" s="1166"/>
      <c r="CN712" s="1169"/>
      <c r="CO712" s="1169"/>
      <c r="CP712" s="452"/>
      <c r="CQ712" s="435"/>
      <c r="CR712" s="1117"/>
      <c r="CS712" s="452"/>
      <c r="CT712" s="482"/>
      <c r="CU712" s="476"/>
      <c r="CV712" s="431"/>
      <c r="CW712" s="1108"/>
      <c r="CX712" s="1108"/>
      <c r="CY712" s="483"/>
      <c r="CZ712" s="437"/>
      <c r="DA712" s="438"/>
      <c r="DB712" s="439"/>
      <c r="DC712" s="439"/>
      <c r="DD712" s="443"/>
      <c r="DE712" s="411"/>
      <c r="DF712" s="411"/>
      <c r="DG712" s="1117"/>
      <c r="DH712" s="1117"/>
      <c r="DI712" s="1117"/>
      <c r="DJ712" s="442"/>
      <c r="DK712" s="482"/>
      <c r="DL712" s="1038"/>
      <c r="DM712" s="1035"/>
      <c r="DN712" s="1035"/>
      <c r="DO712" s="1035"/>
      <c r="DP712" s="1046"/>
      <c r="DQ712" s="1167"/>
      <c r="DR712" s="1168"/>
      <c r="DS712" s="1165"/>
      <c r="DT712" s="1165"/>
      <c r="DU712" s="1165"/>
      <c r="DV712" s="1031"/>
      <c r="DW712" s="1098">
        <f t="shared" si="1168"/>
        <v>0</v>
      </c>
      <c r="DX712" s="1098">
        <f t="shared" si="1169"/>
        <v>0</v>
      </c>
      <c r="DY712" s="1030"/>
      <c r="DZ712" s="1030"/>
      <c r="EA712" s="1031"/>
      <c r="EB712" s="1050"/>
      <c r="EC712" s="1038"/>
      <c r="ED712" s="1035"/>
      <c r="EE712" s="1046"/>
      <c r="EF712" s="1169"/>
      <c r="EG712" s="1168"/>
      <c r="EH712" s="1165"/>
      <c r="EI712" s="1165"/>
      <c r="EJ712" s="1165"/>
      <c r="EK712" s="1031"/>
      <c r="EL712" s="1098">
        <f t="shared" si="1170"/>
        <v>0</v>
      </c>
      <c r="EM712" s="1098">
        <f t="shared" si="1171"/>
        <v>0</v>
      </c>
      <c r="EN712" s="1030"/>
      <c r="EO712" s="1030"/>
      <c r="EP712" s="1031"/>
      <c r="EQ712" s="1050"/>
      <c r="ER712" s="1038"/>
      <c r="ES712" s="1035"/>
      <c r="ET712" s="1051"/>
    </row>
    <row r="713" spans="2:150" ht="16.5" customHeight="1">
      <c r="B713" s="1024"/>
      <c r="C713" s="1025"/>
      <c r="D713" s="408">
        <v>710</v>
      </c>
      <c r="E713" s="1164"/>
      <c r="F713" s="1164"/>
      <c r="G713" s="1026"/>
      <c r="H713" s="411" t="str">
        <f>IFERROR(INDEX(绊状态确认!C:C,MATCH($G713,绊状态确认!$B:$B,)),"")</f>
        <v/>
      </c>
      <c r="I713" s="450" t="str">
        <f>IFERROR(INDEX(绊状态确认!D:D,MATCH($G713,绊状态确认!$B:$B,)),"")</f>
        <v/>
      </c>
      <c r="J713" s="450" t="str">
        <f>IFERROR(INDEX(绊状态确认!E:E,MATCH($G713,绊状态确认!$B:$B,)),"")</f>
        <v/>
      </c>
      <c r="K713" s="451" t="str">
        <f>IFERROR(INDEX(绊状态确认!F:F,MATCH($G713,绊状态确认!$B:$B,)),"")</f>
        <v/>
      </c>
      <c r="L713" s="1026"/>
      <c r="M713" s="1165"/>
      <c r="N713" s="1027"/>
      <c r="O713" s="1026"/>
      <c r="P713" s="1028"/>
      <c r="Q713" s="1029"/>
      <c r="R713" s="1166"/>
      <c r="S713" s="1030"/>
      <c r="T713" s="1031"/>
      <c r="U713" s="1032"/>
      <c r="V713" s="1033"/>
      <c r="W713" s="1034"/>
      <c r="X713" s="1166"/>
      <c r="Y713" s="1035"/>
      <c r="Z713" s="1036"/>
      <c r="AA713" s="1037"/>
      <c r="AB713" s="1038"/>
      <c r="AC713" s="1039"/>
      <c r="AD713" s="1040"/>
      <c r="AE713" s="1041"/>
      <c r="AF713" s="521"/>
      <c r="AG713" s="420"/>
      <c r="AH713" s="420"/>
      <c r="AI713" s="420"/>
      <c r="AJ713" s="420"/>
      <c r="AK713" s="518"/>
      <c r="AL713" s="1042"/>
      <c r="AM713" s="1035"/>
      <c r="AN713" s="1043"/>
      <c r="AO713" s="1167"/>
      <c r="AP713" s="1044"/>
      <c r="AQ713" s="1035"/>
      <c r="AR713" s="1035"/>
      <c r="AS713" s="1035"/>
      <c r="AT713" s="1165"/>
      <c r="AU713" s="1031"/>
      <c r="AV713" s="1045"/>
      <c r="AW713" s="1038"/>
      <c r="AX713" s="1035"/>
      <c r="AY713" s="483"/>
      <c r="AZ713" s="429"/>
      <c r="BA713" s="431"/>
      <c r="BB713" s="1035"/>
      <c r="BC713" s="1035"/>
      <c r="BD713" s="481"/>
      <c r="BE713" s="432"/>
      <c r="BF713" s="646"/>
      <c r="BG713" s="1047"/>
      <c r="BH713" s="1046"/>
      <c r="BI713" s="1048"/>
      <c r="BJ713" s="1030"/>
      <c r="BK713" s="1046"/>
      <c r="BL713" s="1048"/>
      <c r="BM713" s="1046"/>
      <c r="BN713" s="1167"/>
      <c r="BO713" s="1035"/>
      <c r="BP713" s="1043"/>
      <c r="BQ713" s="1167"/>
      <c r="BR713" s="1165"/>
      <c r="BS713" s="1031"/>
      <c r="BT713" s="1038"/>
      <c r="BU713" s="1035"/>
      <c r="BV713" s="1035"/>
      <c r="BW713" s="1049"/>
      <c r="BX713" s="1043"/>
      <c r="BY713" s="1046"/>
      <c r="BZ713" s="1167"/>
      <c r="CA713" s="1165"/>
      <c r="CB713" s="1031"/>
      <c r="CC713" s="1038"/>
      <c r="CD713" s="1035"/>
      <c r="CE713" s="1035"/>
      <c r="CF713" s="1049"/>
      <c r="CG713" s="1043"/>
      <c r="CH713" s="1046"/>
      <c r="CI713" s="1167"/>
      <c r="CJ713" s="1168"/>
      <c r="CK713" s="1169"/>
      <c r="CL713" s="1169"/>
      <c r="CM713" s="1166"/>
      <c r="CN713" s="1169"/>
      <c r="CO713" s="1169"/>
      <c r="CP713" s="452"/>
      <c r="CQ713" s="435"/>
      <c r="CR713" s="1117"/>
      <c r="CS713" s="452"/>
      <c r="CT713" s="482"/>
      <c r="CU713" s="476"/>
      <c r="CV713" s="431"/>
      <c r="CW713" s="1108"/>
      <c r="CX713" s="1108"/>
      <c r="CY713" s="483"/>
      <c r="CZ713" s="437"/>
      <c r="DA713" s="438"/>
      <c r="DB713" s="439"/>
      <c r="DC713" s="439"/>
      <c r="DD713" s="443"/>
      <c r="DE713" s="411"/>
      <c r="DF713" s="411"/>
      <c r="DG713" s="1117"/>
      <c r="DH713" s="1117"/>
      <c r="DI713" s="1117"/>
      <c r="DJ713" s="442"/>
      <c r="DK713" s="482"/>
      <c r="DL713" s="1038"/>
      <c r="DM713" s="1035"/>
      <c r="DN713" s="1035"/>
      <c r="DO713" s="1035"/>
      <c r="DP713" s="1046"/>
      <c r="DQ713" s="1167"/>
      <c r="DR713" s="1168"/>
      <c r="DS713" s="1165"/>
      <c r="DT713" s="1165"/>
      <c r="DU713" s="1165"/>
      <c r="DV713" s="1031"/>
      <c r="DW713" s="1098">
        <f t="shared" si="1168"/>
        <v>0</v>
      </c>
      <c r="DX713" s="1098">
        <f t="shared" si="1169"/>
        <v>0</v>
      </c>
      <c r="DY713" s="1030"/>
      <c r="DZ713" s="1030"/>
      <c r="EA713" s="1031"/>
      <c r="EB713" s="1050"/>
      <c r="EC713" s="1038"/>
      <c r="ED713" s="1035"/>
      <c r="EE713" s="1046"/>
      <c r="EF713" s="1169"/>
      <c r="EG713" s="1168"/>
      <c r="EH713" s="1165"/>
      <c r="EI713" s="1165"/>
      <c r="EJ713" s="1165"/>
      <c r="EK713" s="1031"/>
      <c r="EL713" s="1098">
        <f t="shared" si="1170"/>
        <v>0</v>
      </c>
      <c r="EM713" s="1098">
        <f t="shared" si="1171"/>
        <v>0</v>
      </c>
      <c r="EN713" s="1030"/>
      <c r="EO713" s="1030"/>
      <c r="EP713" s="1031"/>
      <c r="EQ713" s="1050"/>
      <c r="ER713" s="1038"/>
      <c r="ES713" s="1035"/>
      <c r="ET713" s="1051"/>
    </row>
    <row r="714" spans="2:150" ht="16.5" customHeight="1">
      <c r="B714" s="1024"/>
      <c r="C714" s="1025"/>
      <c r="D714" s="408">
        <v>711</v>
      </c>
      <c r="E714" s="1164"/>
      <c r="F714" s="1164"/>
      <c r="G714" s="1026"/>
      <c r="H714" s="411" t="str">
        <f>IFERROR(INDEX(绊状态确认!C:C,MATCH($G714,绊状态确认!$B:$B,)),"")</f>
        <v/>
      </c>
      <c r="I714" s="450" t="str">
        <f>IFERROR(INDEX(绊状态确认!D:D,MATCH($G714,绊状态确认!$B:$B,)),"")</f>
        <v/>
      </c>
      <c r="J714" s="450" t="str">
        <f>IFERROR(INDEX(绊状态确认!E:E,MATCH($G714,绊状态确认!$B:$B,)),"")</f>
        <v/>
      </c>
      <c r="K714" s="451" t="str">
        <f>IFERROR(INDEX(绊状态确认!F:F,MATCH($G714,绊状态确认!$B:$B,)),"")</f>
        <v/>
      </c>
      <c r="L714" s="1026"/>
      <c r="M714" s="1165"/>
      <c r="N714" s="1027"/>
      <c r="O714" s="1026"/>
      <c r="P714" s="1028"/>
      <c r="Q714" s="1029"/>
      <c r="R714" s="1166"/>
      <c r="S714" s="1030"/>
      <c r="T714" s="1031"/>
      <c r="U714" s="1032"/>
      <c r="V714" s="1033"/>
      <c r="W714" s="1034"/>
      <c r="X714" s="1166"/>
      <c r="Y714" s="1035"/>
      <c r="Z714" s="1036"/>
      <c r="AA714" s="1037"/>
      <c r="AB714" s="1038"/>
      <c r="AC714" s="1039"/>
      <c r="AD714" s="1040"/>
      <c r="AE714" s="1041"/>
      <c r="AF714" s="521"/>
      <c r="AG714" s="420"/>
      <c r="AH714" s="420"/>
      <c r="AI714" s="420"/>
      <c r="AJ714" s="420"/>
      <c r="AK714" s="518"/>
      <c r="AL714" s="1042"/>
      <c r="AM714" s="1035"/>
      <c r="AN714" s="1043"/>
      <c r="AO714" s="1167"/>
      <c r="AP714" s="1044"/>
      <c r="AQ714" s="1035"/>
      <c r="AR714" s="1035"/>
      <c r="AS714" s="1035"/>
      <c r="AT714" s="1165"/>
      <c r="AU714" s="1031"/>
      <c r="AV714" s="1045"/>
      <c r="AW714" s="1038"/>
      <c r="AX714" s="1035"/>
      <c r="AY714" s="483"/>
      <c r="AZ714" s="429"/>
      <c r="BA714" s="431"/>
      <c r="BB714" s="1035"/>
      <c r="BC714" s="1035"/>
      <c r="BD714" s="481"/>
      <c r="BE714" s="432"/>
      <c r="BF714" s="646"/>
      <c r="BG714" s="1047"/>
      <c r="BH714" s="1046"/>
      <c r="BI714" s="1048"/>
      <c r="BJ714" s="1030"/>
      <c r="BK714" s="1046"/>
      <c r="BL714" s="1048"/>
      <c r="BM714" s="1046"/>
      <c r="BN714" s="1167"/>
      <c r="BO714" s="1035"/>
      <c r="BP714" s="1043"/>
      <c r="BQ714" s="1167"/>
      <c r="BR714" s="1165"/>
      <c r="BS714" s="1031"/>
      <c r="BT714" s="1038"/>
      <c r="BU714" s="1035"/>
      <c r="BV714" s="1035"/>
      <c r="BW714" s="1049"/>
      <c r="BX714" s="1043"/>
      <c r="BY714" s="1046"/>
      <c r="BZ714" s="1167"/>
      <c r="CA714" s="1165"/>
      <c r="CB714" s="1031"/>
      <c r="CC714" s="1038"/>
      <c r="CD714" s="1035"/>
      <c r="CE714" s="1035"/>
      <c r="CF714" s="1049"/>
      <c r="CG714" s="1043"/>
      <c r="CH714" s="1046"/>
      <c r="CI714" s="1167"/>
      <c r="CJ714" s="1168"/>
      <c r="CK714" s="1169"/>
      <c r="CL714" s="1169"/>
      <c r="CM714" s="1166"/>
      <c r="CN714" s="1169"/>
      <c r="CO714" s="1169"/>
      <c r="CP714" s="452"/>
      <c r="CQ714" s="435"/>
      <c r="CR714" s="1117"/>
      <c r="CS714" s="452"/>
      <c r="CT714" s="482"/>
      <c r="CU714" s="476"/>
      <c r="CV714" s="431"/>
      <c r="CW714" s="1108"/>
      <c r="CX714" s="1108"/>
      <c r="CY714" s="483"/>
      <c r="CZ714" s="437"/>
      <c r="DA714" s="438"/>
      <c r="DB714" s="439"/>
      <c r="DC714" s="439"/>
      <c r="DD714" s="443"/>
      <c r="DE714" s="411"/>
      <c r="DF714" s="411"/>
      <c r="DG714" s="1117"/>
      <c r="DH714" s="1117"/>
      <c r="DI714" s="1117"/>
      <c r="DJ714" s="442"/>
      <c r="DK714" s="482"/>
      <c r="DL714" s="1038"/>
      <c r="DM714" s="1035"/>
      <c r="DN714" s="1035"/>
      <c r="DO714" s="1035"/>
      <c r="DP714" s="1046"/>
      <c r="DQ714" s="1167"/>
      <c r="DR714" s="1168"/>
      <c r="DS714" s="1165"/>
      <c r="DT714" s="1165"/>
      <c r="DU714" s="1165"/>
      <c r="DV714" s="1031"/>
      <c r="DW714" s="1098">
        <f t="shared" si="1168"/>
        <v>0</v>
      </c>
      <c r="DX714" s="1098">
        <f t="shared" si="1169"/>
        <v>0</v>
      </c>
      <c r="DY714" s="1030"/>
      <c r="DZ714" s="1030"/>
      <c r="EA714" s="1031"/>
      <c r="EB714" s="1050"/>
      <c r="EC714" s="1038"/>
      <c r="ED714" s="1035"/>
      <c r="EE714" s="1046"/>
      <c r="EF714" s="1169"/>
      <c r="EG714" s="1168"/>
      <c r="EH714" s="1165"/>
      <c r="EI714" s="1165"/>
      <c r="EJ714" s="1165"/>
      <c r="EK714" s="1031"/>
      <c r="EL714" s="1098">
        <f t="shared" si="1170"/>
        <v>0</v>
      </c>
      <c r="EM714" s="1098">
        <f t="shared" si="1171"/>
        <v>0</v>
      </c>
      <c r="EN714" s="1030"/>
      <c r="EO714" s="1030"/>
      <c r="EP714" s="1031"/>
      <c r="EQ714" s="1050"/>
      <c r="ER714" s="1038"/>
      <c r="ES714" s="1035"/>
      <c r="ET714" s="1051"/>
    </row>
    <row r="715" spans="2:150" ht="16.5" customHeight="1">
      <c r="B715" s="1024"/>
      <c r="C715" s="1025"/>
      <c r="D715" s="408">
        <v>712</v>
      </c>
      <c r="E715" s="1164"/>
      <c r="F715" s="1164"/>
      <c r="G715" s="1026"/>
      <c r="H715" s="411" t="str">
        <f>IFERROR(INDEX(绊状态确认!C:C,MATCH($G715,绊状态确认!$B:$B,)),"")</f>
        <v/>
      </c>
      <c r="I715" s="450" t="str">
        <f>IFERROR(INDEX(绊状态确认!D:D,MATCH($G715,绊状态确认!$B:$B,)),"")</f>
        <v/>
      </c>
      <c r="J715" s="450" t="str">
        <f>IFERROR(INDEX(绊状态确认!E:E,MATCH($G715,绊状态确认!$B:$B,)),"")</f>
        <v/>
      </c>
      <c r="K715" s="451" t="str">
        <f>IFERROR(INDEX(绊状态确认!F:F,MATCH($G715,绊状态确认!$B:$B,)),"")</f>
        <v/>
      </c>
      <c r="L715" s="1026"/>
      <c r="M715" s="1165"/>
      <c r="N715" s="1027"/>
      <c r="O715" s="1026"/>
      <c r="P715" s="1028"/>
      <c r="Q715" s="1029"/>
      <c r="R715" s="1166"/>
      <c r="S715" s="1030"/>
      <c r="T715" s="1031"/>
      <c r="U715" s="1032"/>
      <c r="V715" s="1033"/>
      <c r="W715" s="1034"/>
      <c r="X715" s="1166"/>
      <c r="Y715" s="1035"/>
      <c r="Z715" s="1036"/>
      <c r="AA715" s="1037"/>
      <c r="AB715" s="1038"/>
      <c r="AC715" s="1039"/>
      <c r="AD715" s="1040"/>
      <c r="AE715" s="1041"/>
      <c r="AF715" s="521"/>
      <c r="AG715" s="420"/>
      <c r="AH715" s="420"/>
      <c r="AI715" s="420"/>
      <c r="AJ715" s="420"/>
      <c r="AK715" s="518"/>
      <c r="AL715" s="1042"/>
      <c r="AM715" s="1035"/>
      <c r="AN715" s="1043"/>
      <c r="AO715" s="1167"/>
      <c r="AP715" s="1044"/>
      <c r="AQ715" s="1035"/>
      <c r="AR715" s="1035"/>
      <c r="AS715" s="1035"/>
      <c r="AT715" s="1165"/>
      <c r="AU715" s="1031"/>
      <c r="AV715" s="1045"/>
      <c r="AW715" s="1038"/>
      <c r="AX715" s="1035"/>
      <c r="AY715" s="483"/>
      <c r="AZ715" s="429"/>
      <c r="BA715" s="431"/>
      <c r="BB715" s="1035"/>
      <c r="BC715" s="1035"/>
      <c r="BD715" s="481"/>
      <c r="BE715" s="432"/>
      <c r="BF715" s="646"/>
      <c r="BG715" s="1047"/>
      <c r="BH715" s="1046"/>
      <c r="BI715" s="1048"/>
      <c r="BJ715" s="1030"/>
      <c r="BK715" s="1046"/>
      <c r="BL715" s="1048"/>
      <c r="BM715" s="1046"/>
      <c r="BN715" s="1167"/>
      <c r="BO715" s="1035"/>
      <c r="BP715" s="1043"/>
      <c r="BQ715" s="1167"/>
      <c r="BR715" s="1165"/>
      <c r="BS715" s="1031"/>
      <c r="BT715" s="1038"/>
      <c r="BU715" s="1035"/>
      <c r="BV715" s="1035"/>
      <c r="BW715" s="1049"/>
      <c r="BX715" s="1043"/>
      <c r="BY715" s="1046"/>
      <c r="BZ715" s="1167"/>
      <c r="CA715" s="1165"/>
      <c r="CB715" s="1031"/>
      <c r="CC715" s="1038"/>
      <c r="CD715" s="1035"/>
      <c r="CE715" s="1035"/>
      <c r="CF715" s="1049"/>
      <c r="CG715" s="1043"/>
      <c r="CH715" s="1046"/>
      <c r="CI715" s="1167"/>
      <c r="CJ715" s="1168"/>
      <c r="CK715" s="1169"/>
      <c r="CL715" s="1169"/>
      <c r="CM715" s="1166"/>
      <c r="CN715" s="1169"/>
      <c r="CO715" s="1169"/>
      <c r="CP715" s="452"/>
      <c r="CQ715" s="435"/>
      <c r="CR715" s="441"/>
      <c r="CS715" s="452"/>
      <c r="CT715" s="482"/>
      <c r="CU715" s="476"/>
      <c r="CV715" s="431"/>
      <c r="CW715" s="1108"/>
      <c r="CX715" s="1108"/>
      <c r="CY715" s="483"/>
      <c r="CZ715" s="437"/>
      <c r="DA715" s="438"/>
      <c r="DB715" s="439"/>
      <c r="DC715" s="439"/>
      <c r="DD715" s="443"/>
      <c r="DE715" s="411"/>
      <c r="DF715" s="411"/>
      <c r="DG715" s="1117"/>
      <c r="DH715" s="1117"/>
      <c r="DI715" s="1117"/>
      <c r="DJ715" s="442"/>
      <c r="DK715" s="482"/>
      <c r="DL715" s="1038"/>
      <c r="DM715" s="1035"/>
      <c r="DN715" s="1035"/>
      <c r="DO715" s="1035"/>
      <c r="DP715" s="1046"/>
      <c r="DQ715" s="1167"/>
      <c r="DR715" s="1168"/>
      <c r="DS715" s="1165"/>
      <c r="DT715" s="1165"/>
      <c r="DU715" s="1165"/>
      <c r="DV715" s="1031"/>
      <c r="DW715" s="1098">
        <f t="shared" si="1168"/>
        <v>0</v>
      </c>
      <c r="DX715" s="1098">
        <f t="shared" si="1169"/>
        <v>0</v>
      </c>
      <c r="DY715" s="1030"/>
      <c r="DZ715" s="1030"/>
      <c r="EA715" s="1031"/>
      <c r="EB715" s="1050"/>
      <c r="EC715" s="1038"/>
      <c r="ED715" s="1035"/>
      <c r="EE715" s="1046"/>
      <c r="EF715" s="1169"/>
      <c r="EG715" s="1168"/>
      <c r="EH715" s="1165"/>
      <c r="EI715" s="1165"/>
      <c r="EJ715" s="1165"/>
      <c r="EK715" s="1031"/>
      <c r="EL715" s="1098">
        <f t="shared" si="1170"/>
        <v>0</v>
      </c>
      <c r="EM715" s="1098">
        <f t="shared" si="1171"/>
        <v>0</v>
      </c>
      <c r="EN715" s="1030"/>
      <c r="EO715" s="1030"/>
      <c r="EP715" s="1031"/>
      <c r="EQ715" s="1050"/>
      <c r="ER715" s="1038"/>
      <c r="ES715" s="1035"/>
      <c r="ET715" s="1051"/>
    </row>
    <row r="716" spans="2:150" ht="16.5" customHeight="1">
      <c r="B716" s="1024"/>
      <c r="C716" s="1025"/>
      <c r="D716" s="408">
        <v>713</v>
      </c>
      <c r="E716" s="1164"/>
      <c r="F716" s="1164"/>
      <c r="G716" s="1026"/>
      <c r="H716" s="411" t="str">
        <f>IFERROR(INDEX(绊状态确认!C:C,MATCH($G716,绊状态确认!$B:$B,)),"")</f>
        <v/>
      </c>
      <c r="I716" s="450" t="str">
        <f>IFERROR(INDEX(绊状态确认!D:D,MATCH($G716,绊状态确认!$B:$B,)),"")</f>
        <v/>
      </c>
      <c r="J716" s="450" t="str">
        <f>IFERROR(INDEX(绊状态确认!E:E,MATCH($G716,绊状态确认!$B:$B,)),"")</f>
        <v/>
      </c>
      <c r="K716" s="451" t="str">
        <f>IFERROR(INDEX(绊状态确认!F:F,MATCH($G716,绊状态确认!$B:$B,)),"")</f>
        <v/>
      </c>
      <c r="L716" s="1026"/>
      <c r="M716" s="1165"/>
      <c r="N716" s="1027"/>
      <c r="O716" s="1026"/>
      <c r="P716" s="1028"/>
      <c r="Q716" s="1029"/>
      <c r="R716" s="1166"/>
      <c r="S716" s="1030"/>
      <c r="T716" s="1031"/>
      <c r="U716" s="1032"/>
      <c r="V716" s="1033"/>
      <c r="W716" s="1034"/>
      <c r="X716" s="1166"/>
      <c r="Y716" s="1035"/>
      <c r="Z716" s="1036"/>
      <c r="AA716" s="1037"/>
      <c r="AB716" s="1038"/>
      <c r="AC716" s="1039"/>
      <c r="AD716" s="1040"/>
      <c r="AE716" s="1041"/>
      <c r="AF716" s="521"/>
      <c r="AG716" s="420"/>
      <c r="AH716" s="420"/>
      <c r="AI716" s="420"/>
      <c r="AJ716" s="420"/>
      <c r="AK716" s="518"/>
      <c r="AL716" s="1042"/>
      <c r="AM716" s="1035"/>
      <c r="AN716" s="1043"/>
      <c r="AO716" s="1167"/>
      <c r="AP716" s="1044"/>
      <c r="AQ716" s="1035"/>
      <c r="AR716" s="1035"/>
      <c r="AS716" s="1035"/>
      <c r="AT716" s="1165"/>
      <c r="AU716" s="1031"/>
      <c r="AV716" s="1045"/>
      <c r="AW716" s="1038"/>
      <c r="AX716" s="1035"/>
      <c r="AY716" s="483"/>
      <c r="AZ716" s="429"/>
      <c r="BA716" s="431"/>
      <c r="BB716" s="1035"/>
      <c r="BC716" s="1035"/>
      <c r="BD716" s="481"/>
      <c r="BE716" s="432"/>
      <c r="BF716" s="646"/>
      <c r="BG716" s="1047"/>
      <c r="BH716" s="1046"/>
      <c r="BI716" s="1048"/>
      <c r="BJ716" s="1030"/>
      <c r="BK716" s="1046"/>
      <c r="BL716" s="1048"/>
      <c r="BM716" s="1046"/>
      <c r="BN716" s="1167"/>
      <c r="BO716" s="1035"/>
      <c r="BP716" s="1043"/>
      <c r="BQ716" s="1167"/>
      <c r="BR716" s="1165"/>
      <c r="BS716" s="1031"/>
      <c r="BT716" s="1038"/>
      <c r="BU716" s="1035"/>
      <c r="BV716" s="1035"/>
      <c r="BW716" s="1049"/>
      <c r="BX716" s="1043"/>
      <c r="BY716" s="1046"/>
      <c r="BZ716" s="1167"/>
      <c r="CA716" s="1165"/>
      <c r="CB716" s="1031"/>
      <c r="CC716" s="1038"/>
      <c r="CD716" s="1035"/>
      <c r="CE716" s="1035"/>
      <c r="CF716" s="1049"/>
      <c r="CG716" s="1043"/>
      <c r="CH716" s="1046"/>
      <c r="CI716" s="1167"/>
      <c r="CJ716" s="1168"/>
      <c r="CK716" s="1169"/>
      <c r="CL716" s="1169"/>
      <c r="CM716" s="1166"/>
      <c r="CN716" s="1169"/>
      <c r="CO716" s="1169"/>
      <c r="CP716" s="452"/>
      <c r="CQ716" s="435"/>
      <c r="CR716" s="441"/>
      <c r="CS716" s="452"/>
      <c r="CT716" s="482"/>
      <c r="CU716" s="476"/>
      <c r="CV716" s="431"/>
      <c r="CW716" s="1108"/>
      <c r="CX716" s="1108"/>
      <c r="CY716" s="483"/>
      <c r="CZ716" s="437"/>
      <c r="DA716" s="438"/>
      <c r="DB716" s="439"/>
      <c r="DC716" s="439"/>
      <c r="DD716" s="443"/>
      <c r="DE716" s="411"/>
      <c r="DF716" s="411"/>
      <c r="DG716" s="1117"/>
      <c r="DH716" s="1117"/>
      <c r="DI716" s="1117"/>
      <c r="DJ716" s="442"/>
      <c r="DK716" s="482"/>
      <c r="DL716" s="1038"/>
      <c r="DM716" s="1035"/>
      <c r="DN716" s="1035"/>
      <c r="DO716" s="1035"/>
      <c r="DP716" s="1046"/>
      <c r="DQ716" s="1167"/>
      <c r="DR716" s="1168"/>
      <c r="DS716" s="1165"/>
      <c r="DT716" s="1165"/>
      <c r="DU716" s="1165"/>
      <c r="DV716" s="1031"/>
      <c r="DW716" s="1098">
        <f t="shared" si="1168"/>
        <v>0</v>
      </c>
      <c r="DX716" s="1098">
        <f t="shared" si="1169"/>
        <v>0</v>
      </c>
      <c r="DY716" s="1030"/>
      <c r="DZ716" s="1030"/>
      <c r="EA716" s="1031"/>
      <c r="EB716" s="1050"/>
      <c r="EC716" s="1038"/>
      <c r="ED716" s="1035"/>
      <c r="EE716" s="1046"/>
      <c r="EF716" s="1169"/>
      <c r="EG716" s="1168"/>
      <c r="EH716" s="1165"/>
      <c r="EI716" s="1165"/>
      <c r="EJ716" s="1165"/>
      <c r="EK716" s="1031"/>
      <c r="EL716" s="1098">
        <f t="shared" si="1170"/>
        <v>0</v>
      </c>
      <c r="EM716" s="1098">
        <f t="shared" si="1171"/>
        <v>0</v>
      </c>
      <c r="EN716" s="1030"/>
      <c r="EO716" s="1030"/>
      <c r="EP716" s="1031"/>
      <c r="EQ716" s="1050"/>
      <c r="ER716" s="1038"/>
      <c r="ES716" s="1035"/>
      <c r="ET716" s="1051"/>
    </row>
    <row r="717" spans="2:150" ht="16.5" customHeight="1">
      <c r="B717" s="1024"/>
      <c r="C717" s="1025"/>
      <c r="D717" s="408">
        <v>714</v>
      </c>
      <c r="E717" s="1164"/>
      <c r="F717" s="1164"/>
      <c r="G717" s="1026"/>
      <c r="H717" s="411" t="str">
        <f>IFERROR(INDEX(绊状态确认!C:C,MATCH($G717,绊状态确认!$B:$B,)),"")</f>
        <v/>
      </c>
      <c r="I717" s="450" t="str">
        <f>IFERROR(INDEX(绊状态确认!D:D,MATCH($G717,绊状态确认!$B:$B,)),"")</f>
        <v/>
      </c>
      <c r="J717" s="450" t="str">
        <f>IFERROR(INDEX(绊状态确认!E:E,MATCH($G717,绊状态确认!$B:$B,)),"")</f>
        <v/>
      </c>
      <c r="K717" s="451" t="str">
        <f>IFERROR(INDEX(绊状态确认!F:F,MATCH($G717,绊状态确认!$B:$B,)),"")</f>
        <v/>
      </c>
      <c r="L717" s="1026"/>
      <c r="M717" s="1165"/>
      <c r="N717" s="1027"/>
      <c r="O717" s="1026"/>
      <c r="P717" s="1028"/>
      <c r="Q717" s="1029"/>
      <c r="R717" s="1166"/>
      <c r="S717" s="1030"/>
      <c r="T717" s="1031"/>
      <c r="U717" s="1032"/>
      <c r="V717" s="1033"/>
      <c r="W717" s="1034"/>
      <c r="X717" s="1166"/>
      <c r="Y717" s="1035"/>
      <c r="Z717" s="1036"/>
      <c r="AA717" s="1037"/>
      <c r="AB717" s="1038"/>
      <c r="AC717" s="1039"/>
      <c r="AD717" s="1040"/>
      <c r="AE717" s="1041"/>
      <c r="AF717" s="521"/>
      <c r="AG717" s="420"/>
      <c r="AH717" s="420"/>
      <c r="AI717" s="420"/>
      <c r="AJ717" s="420"/>
      <c r="AK717" s="518"/>
      <c r="AL717" s="1042"/>
      <c r="AM717" s="1035"/>
      <c r="AN717" s="1043"/>
      <c r="AO717" s="1167"/>
      <c r="AP717" s="1044"/>
      <c r="AQ717" s="1035"/>
      <c r="AR717" s="1035"/>
      <c r="AS717" s="1035"/>
      <c r="AT717" s="1165"/>
      <c r="AU717" s="1031"/>
      <c r="AV717" s="1045"/>
      <c r="AW717" s="1038"/>
      <c r="AX717" s="1035"/>
      <c r="AY717" s="483"/>
      <c r="AZ717" s="429"/>
      <c r="BA717" s="431"/>
      <c r="BB717" s="1035"/>
      <c r="BC717" s="1035"/>
      <c r="BD717" s="481"/>
      <c r="BE717" s="432"/>
      <c r="BF717" s="646"/>
      <c r="BG717" s="1047"/>
      <c r="BH717" s="1046"/>
      <c r="BI717" s="1048"/>
      <c r="BJ717" s="1030"/>
      <c r="BK717" s="1046"/>
      <c r="BL717" s="1048"/>
      <c r="BM717" s="1046"/>
      <c r="BN717" s="1167"/>
      <c r="BO717" s="1035"/>
      <c r="BP717" s="1043"/>
      <c r="BQ717" s="1167"/>
      <c r="BR717" s="1165"/>
      <c r="BS717" s="1031"/>
      <c r="BT717" s="1038"/>
      <c r="BU717" s="1035"/>
      <c r="BV717" s="1035"/>
      <c r="BW717" s="1049"/>
      <c r="BX717" s="1043"/>
      <c r="BY717" s="1046"/>
      <c r="BZ717" s="1167"/>
      <c r="CA717" s="1165"/>
      <c r="CB717" s="1031"/>
      <c r="CC717" s="1038"/>
      <c r="CD717" s="1035"/>
      <c r="CE717" s="1035"/>
      <c r="CF717" s="1049"/>
      <c r="CG717" s="1043"/>
      <c r="CH717" s="1046"/>
      <c r="CI717" s="1167"/>
      <c r="CJ717" s="1168"/>
      <c r="CK717" s="1169"/>
      <c r="CL717" s="1169"/>
      <c r="CM717" s="1166"/>
      <c r="CN717" s="1169"/>
      <c r="CO717" s="1169"/>
      <c r="CP717" s="452"/>
      <c r="CQ717" s="435"/>
      <c r="CR717" s="1117"/>
      <c r="CS717" s="452"/>
      <c r="CT717" s="482"/>
      <c r="CU717" s="476"/>
      <c r="CV717" s="431"/>
      <c r="CW717" s="1108"/>
      <c r="CX717" s="1108"/>
      <c r="CY717" s="483"/>
      <c r="CZ717" s="437"/>
      <c r="DA717" s="438"/>
      <c r="DB717" s="439"/>
      <c r="DC717" s="439"/>
      <c r="DD717" s="443"/>
      <c r="DE717" s="411"/>
      <c r="DF717" s="411"/>
      <c r="DG717" s="1117"/>
      <c r="DH717" s="1117"/>
      <c r="DI717" s="1117"/>
      <c r="DJ717" s="442"/>
      <c r="DK717" s="482"/>
      <c r="DL717" s="1038"/>
      <c r="DM717" s="1035"/>
      <c r="DN717" s="1035"/>
      <c r="DO717" s="1035"/>
      <c r="DP717" s="1046"/>
      <c r="DQ717" s="1167"/>
      <c r="DR717" s="1168"/>
      <c r="DS717" s="1165"/>
      <c r="DT717" s="1165"/>
      <c r="DU717" s="1165"/>
      <c r="DV717" s="1031"/>
      <c r="DW717" s="1098">
        <f t="shared" si="1168"/>
        <v>0</v>
      </c>
      <c r="DX717" s="1098">
        <f t="shared" si="1169"/>
        <v>0</v>
      </c>
      <c r="DY717" s="1030"/>
      <c r="DZ717" s="1030"/>
      <c r="EA717" s="1031"/>
      <c r="EB717" s="1050"/>
      <c r="EC717" s="1038"/>
      <c r="ED717" s="1035"/>
      <c r="EE717" s="1046"/>
      <c r="EF717" s="1169"/>
      <c r="EG717" s="1168"/>
      <c r="EH717" s="1165"/>
      <c r="EI717" s="1165"/>
      <c r="EJ717" s="1165"/>
      <c r="EK717" s="1031"/>
      <c r="EL717" s="1098">
        <f t="shared" si="1170"/>
        <v>0</v>
      </c>
      <c r="EM717" s="1098">
        <f t="shared" si="1171"/>
        <v>0</v>
      </c>
      <c r="EN717" s="1030"/>
      <c r="EO717" s="1030"/>
      <c r="EP717" s="1031"/>
      <c r="EQ717" s="1050"/>
      <c r="ER717" s="1038"/>
      <c r="ES717" s="1035"/>
      <c r="ET717" s="1051"/>
    </row>
    <row r="718" spans="2:150" ht="16.5" customHeight="1">
      <c r="B718" s="1024"/>
      <c r="C718" s="1025"/>
      <c r="D718" s="408">
        <v>715</v>
      </c>
      <c r="E718" s="1164"/>
      <c r="F718" s="1164"/>
      <c r="G718" s="1026"/>
      <c r="H718" s="411" t="str">
        <f>IFERROR(INDEX(绊状态确认!C:C,MATCH($G718,绊状态确认!$B:$B,)),"")</f>
        <v/>
      </c>
      <c r="I718" s="450" t="str">
        <f>IFERROR(INDEX(绊状态确认!D:D,MATCH($G718,绊状态确认!$B:$B,)),"")</f>
        <v/>
      </c>
      <c r="J718" s="450" t="str">
        <f>IFERROR(INDEX(绊状态确认!E:E,MATCH($G718,绊状态确认!$B:$B,)),"")</f>
        <v/>
      </c>
      <c r="K718" s="451" t="str">
        <f>IFERROR(INDEX(绊状态确认!F:F,MATCH($G718,绊状态确认!$B:$B,)),"")</f>
        <v/>
      </c>
      <c r="L718" s="1026"/>
      <c r="M718" s="1165"/>
      <c r="N718" s="1027"/>
      <c r="O718" s="1026"/>
      <c r="P718" s="1028"/>
      <c r="Q718" s="1029"/>
      <c r="R718" s="1166"/>
      <c r="S718" s="1030"/>
      <c r="T718" s="1031"/>
      <c r="U718" s="1032"/>
      <c r="V718" s="1033"/>
      <c r="W718" s="1034"/>
      <c r="X718" s="1166"/>
      <c r="Y718" s="1035"/>
      <c r="Z718" s="1036"/>
      <c r="AA718" s="1037"/>
      <c r="AB718" s="1038"/>
      <c r="AC718" s="1039"/>
      <c r="AD718" s="1040"/>
      <c r="AE718" s="1041"/>
      <c r="AF718" s="521"/>
      <c r="AG718" s="420"/>
      <c r="AH718" s="420"/>
      <c r="AI718" s="420"/>
      <c r="AJ718" s="420"/>
      <c r="AK718" s="518"/>
      <c r="AL718" s="1042"/>
      <c r="AM718" s="1035"/>
      <c r="AN718" s="1043"/>
      <c r="AO718" s="1167"/>
      <c r="AP718" s="1044"/>
      <c r="AQ718" s="1035"/>
      <c r="AR718" s="1035"/>
      <c r="AS718" s="1035"/>
      <c r="AT718" s="1165"/>
      <c r="AU718" s="1031"/>
      <c r="AV718" s="1045"/>
      <c r="AW718" s="1038"/>
      <c r="AX718" s="1035"/>
      <c r="AY718" s="483"/>
      <c r="AZ718" s="429"/>
      <c r="BA718" s="431"/>
      <c r="BB718" s="1035"/>
      <c r="BC718" s="1035"/>
      <c r="BD718" s="481"/>
      <c r="BE718" s="432"/>
      <c r="BF718" s="646"/>
      <c r="BG718" s="1047"/>
      <c r="BH718" s="1046"/>
      <c r="BI718" s="1048"/>
      <c r="BJ718" s="1030"/>
      <c r="BK718" s="1046"/>
      <c r="BL718" s="1048"/>
      <c r="BM718" s="1046"/>
      <c r="BN718" s="1167"/>
      <c r="BO718" s="1035"/>
      <c r="BP718" s="1043"/>
      <c r="BQ718" s="1167"/>
      <c r="BR718" s="1165"/>
      <c r="BS718" s="1031"/>
      <c r="BT718" s="1038"/>
      <c r="BU718" s="1035"/>
      <c r="BV718" s="1035"/>
      <c r="BW718" s="1049"/>
      <c r="BX718" s="1043"/>
      <c r="BY718" s="1046"/>
      <c r="BZ718" s="1167"/>
      <c r="CA718" s="1165"/>
      <c r="CB718" s="1031"/>
      <c r="CC718" s="1038"/>
      <c r="CD718" s="1035"/>
      <c r="CE718" s="1035"/>
      <c r="CF718" s="1049"/>
      <c r="CG718" s="1043"/>
      <c r="CH718" s="1046"/>
      <c r="CI718" s="1167"/>
      <c r="CJ718" s="1168"/>
      <c r="CK718" s="1169"/>
      <c r="CL718" s="1169"/>
      <c r="CM718" s="1166"/>
      <c r="CN718" s="1169"/>
      <c r="CO718" s="1169"/>
      <c r="CP718" s="452"/>
      <c r="CQ718" s="435"/>
      <c r="CR718" s="1117"/>
      <c r="CS718" s="452"/>
      <c r="CT718" s="482"/>
      <c r="CU718" s="476"/>
      <c r="CV718" s="431"/>
      <c r="CW718" s="1108"/>
      <c r="CX718" s="1108"/>
      <c r="CY718" s="483"/>
      <c r="CZ718" s="437"/>
      <c r="DA718" s="438"/>
      <c r="DB718" s="439"/>
      <c r="DC718" s="439"/>
      <c r="DD718" s="443"/>
      <c r="DE718" s="411"/>
      <c r="DF718" s="411"/>
      <c r="DG718" s="1117"/>
      <c r="DH718" s="1117"/>
      <c r="DI718" s="1117"/>
      <c r="DJ718" s="442"/>
      <c r="DK718" s="482"/>
      <c r="DL718" s="1038"/>
      <c r="DM718" s="1035"/>
      <c r="DN718" s="1035"/>
      <c r="DO718" s="1035"/>
      <c r="DP718" s="1046"/>
      <c r="DQ718" s="1167"/>
      <c r="DR718" s="1168"/>
      <c r="DS718" s="1165"/>
      <c r="DT718" s="1165"/>
      <c r="DU718" s="1165"/>
      <c r="DV718" s="1031"/>
      <c r="DW718" s="1098">
        <f t="shared" si="1168"/>
        <v>0</v>
      </c>
      <c r="DX718" s="1098">
        <f t="shared" si="1169"/>
        <v>0</v>
      </c>
      <c r="DY718" s="1030"/>
      <c r="DZ718" s="1030"/>
      <c r="EA718" s="1031"/>
      <c r="EB718" s="1050"/>
      <c r="EC718" s="1038"/>
      <c r="ED718" s="1035"/>
      <c r="EE718" s="1046"/>
      <c r="EF718" s="1169"/>
      <c r="EG718" s="1168"/>
      <c r="EH718" s="1165"/>
      <c r="EI718" s="1165"/>
      <c r="EJ718" s="1165"/>
      <c r="EK718" s="1031"/>
      <c r="EL718" s="1098">
        <f t="shared" si="1170"/>
        <v>0</v>
      </c>
      <c r="EM718" s="1098">
        <f t="shared" si="1171"/>
        <v>0</v>
      </c>
      <c r="EN718" s="1030"/>
      <c r="EO718" s="1030"/>
      <c r="EP718" s="1031"/>
      <c r="EQ718" s="1050"/>
      <c r="ER718" s="1038"/>
      <c r="ES718" s="1035"/>
      <c r="ET718" s="1051"/>
    </row>
    <row r="719" spans="2:150" ht="16.5" customHeight="1">
      <c r="B719" s="1024"/>
      <c r="C719" s="1025"/>
      <c r="D719" s="408">
        <v>716</v>
      </c>
      <c r="E719" s="1164"/>
      <c r="F719" s="1164"/>
      <c r="G719" s="1026"/>
      <c r="H719" s="411" t="str">
        <f>IFERROR(INDEX(绊状态确认!C:C,MATCH($G719,绊状态确认!$B:$B,)),"")</f>
        <v/>
      </c>
      <c r="I719" s="450" t="str">
        <f>IFERROR(INDEX(绊状态确认!D:D,MATCH($G719,绊状态确认!$B:$B,)),"")</f>
        <v/>
      </c>
      <c r="J719" s="450" t="str">
        <f>IFERROR(INDEX(绊状态确认!E:E,MATCH($G719,绊状态确认!$B:$B,)),"")</f>
        <v/>
      </c>
      <c r="K719" s="451" t="str">
        <f>IFERROR(INDEX(绊状态确认!F:F,MATCH($G719,绊状态确认!$B:$B,)),"")</f>
        <v/>
      </c>
      <c r="L719" s="1026"/>
      <c r="M719" s="1165"/>
      <c r="N719" s="1027"/>
      <c r="O719" s="1026"/>
      <c r="P719" s="1028"/>
      <c r="Q719" s="1029"/>
      <c r="R719" s="1166"/>
      <c r="S719" s="1030"/>
      <c r="T719" s="1031"/>
      <c r="U719" s="1032"/>
      <c r="V719" s="1033"/>
      <c r="W719" s="1034"/>
      <c r="X719" s="1166"/>
      <c r="Y719" s="1035"/>
      <c r="Z719" s="1036"/>
      <c r="AA719" s="1037"/>
      <c r="AB719" s="1038"/>
      <c r="AC719" s="1039"/>
      <c r="AD719" s="1040"/>
      <c r="AE719" s="1041"/>
      <c r="AF719" s="521"/>
      <c r="AG719" s="420"/>
      <c r="AH719" s="420"/>
      <c r="AI719" s="420"/>
      <c r="AJ719" s="420"/>
      <c r="AK719" s="518"/>
      <c r="AL719" s="1042"/>
      <c r="AM719" s="1035"/>
      <c r="AN719" s="1043"/>
      <c r="AO719" s="1167"/>
      <c r="AP719" s="1044"/>
      <c r="AQ719" s="1035"/>
      <c r="AR719" s="1035"/>
      <c r="AS719" s="1035"/>
      <c r="AT719" s="1165"/>
      <c r="AU719" s="1031"/>
      <c r="AV719" s="1045"/>
      <c r="AW719" s="1038"/>
      <c r="AX719" s="1035"/>
      <c r="AY719" s="483"/>
      <c r="AZ719" s="429"/>
      <c r="BA719" s="431"/>
      <c r="BB719" s="1035"/>
      <c r="BC719" s="1035"/>
      <c r="BD719" s="481"/>
      <c r="BE719" s="432"/>
      <c r="BF719" s="646"/>
      <c r="BG719" s="1047"/>
      <c r="BH719" s="1046"/>
      <c r="BI719" s="1048"/>
      <c r="BJ719" s="1030"/>
      <c r="BK719" s="1046"/>
      <c r="BL719" s="1048"/>
      <c r="BM719" s="1046"/>
      <c r="BN719" s="1167"/>
      <c r="BO719" s="1035"/>
      <c r="BP719" s="1043"/>
      <c r="BQ719" s="1167"/>
      <c r="BR719" s="1165"/>
      <c r="BS719" s="1031"/>
      <c r="BT719" s="1038"/>
      <c r="BU719" s="1035"/>
      <c r="BV719" s="1035"/>
      <c r="BW719" s="1049"/>
      <c r="BX719" s="1043"/>
      <c r="BY719" s="1046"/>
      <c r="BZ719" s="1167"/>
      <c r="CA719" s="1165"/>
      <c r="CB719" s="1031"/>
      <c r="CC719" s="1038"/>
      <c r="CD719" s="1035"/>
      <c r="CE719" s="1035"/>
      <c r="CF719" s="1049"/>
      <c r="CG719" s="1043"/>
      <c r="CH719" s="1046"/>
      <c r="CI719" s="1167"/>
      <c r="CJ719" s="1168"/>
      <c r="CK719" s="1169"/>
      <c r="CL719" s="1169"/>
      <c r="CM719" s="1166"/>
      <c r="CN719" s="1169"/>
      <c r="CO719" s="1169"/>
      <c r="CP719" s="452"/>
      <c r="CQ719" s="435"/>
      <c r="CR719" s="1117"/>
      <c r="CS719" s="452"/>
      <c r="CT719" s="482"/>
      <c r="CU719" s="476"/>
      <c r="CV719" s="431"/>
      <c r="CW719" s="1108"/>
      <c r="CX719" s="1108"/>
      <c r="CY719" s="483"/>
      <c r="CZ719" s="437"/>
      <c r="DA719" s="438"/>
      <c r="DB719" s="439"/>
      <c r="DC719" s="439"/>
      <c r="DD719" s="443"/>
      <c r="DE719" s="411"/>
      <c r="DF719" s="411"/>
      <c r="DG719" s="1117"/>
      <c r="DH719" s="1117"/>
      <c r="DI719" s="1117"/>
      <c r="DJ719" s="442"/>
      <c r="DK719" s="482"/>
      <c r="DL719" s="1038"/>
      <c r="DM719" s="1035"/>
      <c r="DN719" s="1035"/>
      <c r="DO719" s="1035"/>
      <c r="DP719" s="1046"/>
      <c r="DQ719" s="1167"/>
      <c r="DR719" s="1168"/>
      <c r="DS719" s="1165"/>
      <c r="DT719" s="1165"/>
      <c r="DU719" s="1165"/>
      <c r="DV719" s="1031"/>
      <c r="DW719" s="1098">
        <f t="shared" si="1168"/>
        <v>0</v>
      </c>
      <c r="DX719" s="1098">
        <f t="shared" si="1169"/>
        <v>0</v>
      </c>
      <c r="DY719" s="1030"/>
      <c r="DZ719" s="1030"/>
      <c r="EA719" s="1031"/>
      <c r="EB719" s="1050"/>
      <c r="EC719" s="1038"/>
      <c r="ED719" s="1035"/>
      <c r="EE719" s="1046"/>
      <c r="EF719" s="1169"/>
      <c r="EG719" s="1168"/>
      <c r="EH719" s="1165"/>
      <c r="EI719" s="1165"/>
      <c r="EJ719" s="1165"/>
      <c r="EK719" s="1031"/>
      <c r="EL719" s="1098">
        <f t="shared" si="1170"/>
        <v>0</v>
      </c>
      <c r="EM719" s="1098">
        <f t="shared" si="1171"/>
        <v>0</v>
      </c>
      <c r="EN719" s="1030"/>
      <c r="EO719" s="1030"/>
      <c r="EP719" s="1031"/>
      <c r="EQ719" s="1050"/>
      <c r="ER719" s="1038"/>
      <c r="ES719" s="1035"/>
      <c r="ET719" s="1051"/>
    </row>
    <row r="720" spans="2:150" ht="16.5" customHeight="1">
      <c r="B720" s="1024"/>
      <c r="C720" s="1025"/>
      <c r="D720" s="408">
        <v>717</v>
      </c>
      <c r="E720" s="1164"/>
      <c r="F720" s="1164"/>
      <c r="G720" s="1026"/>
      <c r="H720" s="411" t="str">
        <f>IFERROR(INDEX(绊状态确认!C:C,MATCH($G720,绊状态确认!$B:$B,)),"")</f>
        <v/>
      </c>
      <c r="I720" s="450" t="str">
        <f>IFERROR(INDEX(绊状态确认!D:D,MATCH($G720,绊状态确认!$B:$B,)),"")</f>
        <v/>
      </c>
      <c r="J720" s="450" t="str">
        <f>IFERROR(INDEX(绊状态确认!E:E,MATCH($G720,绊状态确认!$B:$B,)),"")</f>
        <v/>
      </c>
      <c r="K720" s="451" t="str">
        <f>IFERROR(INDEX(绊状态确认!F:F,MATCH($G720,绊状态确认!$B:$B,)),"")</f>
        <v/>
      </c>
      <c r="L720" s="1026"/>
      <c r="M720" s="1165"/>
      <c r="N720" s="1027"/>
      <c r="O720" s="1026"/>
      <c r="P720" s="1028"/>
      <c r="Q720" s="1029"/>
      <c r="R720" s="1166"/>
      <c r="S720" s="1030"/>
      <c r="T720" s="1031"/>
      <c r="U720" s="1032"/>
      <c r="V720" s="1033"/>
      <c r="W720" s="1034"/>
      <c r="X720" s="1166"/>
      <c r="Y720" s="1035"/>
      <c r="Z720" s="1036"/>
      <c r="AA720" s="1037"/>
      <c r="AB720" s="1038"/>
      <c r="AC720" s="1039"/>
      <c r="AD720" s="1040"/>
      <c r="AE720" s="1041"/>
      <c r="AF720" s="521"/>
      <c r="AG720" s="420"/>
      <c r="AH720" s="420"/>
      <c r="AI720" s="420"/>
      <c r="AJ720" s="420"/>
      <c r="AK720" s="518"/>
      <c r="AL720" s="1042"/>
      <c r="AM720" s="1035"/>
      <c r="AN720" s="1043"/>
      <c r="AO720" s="1167"/>
      <c r="AP720" s="1044"/>
      <c r="AQ720" s="1035"/>
      <c r="AR720" s="1035"/>
      <c r="AS720" s="1035"/>
      <c r="AT720" s="1165"/>
      <c r="AU720" s="1031"/>
      <c r="AV720" s="1045"/>
      <c r="AW720" s="1038"/>
      <c r="AX720" s="1035"/>
      <c r="AY720" s="483"/>
      <c r="AZ720" s="429"/>
      <c r="BA720" s="431"/>
      <c r="BB720" s="1035"/>
      <c r="BC720" s="1035"/>
      <c r="BD720" s="481"/>
      <c r="BE720" s="432"/>
      <c r="BF720" s="646"/>
      <c r="BG720" s="1047"/>
      <c r="BH720" s="1046"/>
      <c r="BI720" s="1048"/>
      <c r="BJ720" s="1030"/>
      <c r="BK720" s="1046"/>
      <c r="BL720" s="1048"/>
      <c r="BM720" s="1046"/>
      <c r="BN720" s="1167"/>
      <c r="BO720" s="1035"/>
      <c r="BP720" s="1043"/>
      <c r="BQ720" s="1167"/>
      <c r="BR720" s="1165"/>
      <c r="BS720" s="1031"/>
      <c r="BT720" s="1038"/>
      <c r="BU720" s="1035"/>
      <c r="BV720" s="1035"/>
      <c r="BW720" s="1049"/>
      <c r="BX720" s="1043"/>
      <c r="BY720" s="1046"/>
      <c r="BZ720" s="1167"/>
      <c r="CA720" s="1165"/>
      <c r="CB720" s="1031"/>
      <c r="CC720" s="1038"/>
      <c r="CD720" s="1035"/>
      <c r="CE720" s="1035"/>
      <c r="CF720" s="1049"/>
      <c r="CG720" s="1043"/>
      <c r="CH720" s="1046"/>
      <c r="CI720" s="1167"/>
      <c r="CJ720" s="1168"/>
      <c r="CK720" s="1169"/>
      <c r="CL720" s="1169"/>
      <c r="CM720" s="1166"/>
      <c r="CN720" s="1169"/>
      <c r="CO720" s="1169"/>
      <c r="CP720" s="452"/>
      <c r="CQ720" s="435"/>
      <c r="CR720" s="1117"/>
      <c r="CS720" s="452"/>
      <c r="CT720" s="482"/>
      <c r="CU720" s="476"/>
      <c r="CV720" s="431"/>
      <c r="CW720" s="1108"/>
      <c r="CX720" s="1108"/>
      <c r="CY720" s="483"/>
      <c r="CZ720" s="437"/>
      <c r="DA720" s="438"/>
      <c r="DB720" s="439"/>
      <c r="DC720" s="439"/>
      <c r="DD720" s="443"/>
      <c r="DE720" s="411"/>
      <c r="DF720" s="411"/>
      <c r="DG720" s="1117"/>
      <c r="DH720" s="1117"/>
      <c r="DI720" s="1117"/>
      <c r="DJ720" s="442"/>
      <c r="DK720" s="482"/>
      <c r="DL720" s="1038"/>
      <c r="DM720" s="1035"/>
      <c r="DN720" s="1035"/>
      <c r="DO720" s="1035"/>
      <c r="DP720" s="1046"/>
      <c r="DQ720" s="1167"/>
      <c r="DR720" s="1168"/>
      <c r="DS720" s="1165"/>
      <c r="DT720" s="1165"/>
      <c r="DU720" s="1165"/>
      <c r="DV720" s="1031"/>
      <c r="DW720" s="1098">
        <f t="shared" si="1168"/>
        <v>0</v>
      </c>
      <c r="DX720" s="1098">
        <f t="shared" si="1169"/>
        <v>0</v>
      </c>
      <c r="DY720" s="1030"/>
      <c r="DZ720" s="1030"/>
      <c r="EA720" s="1031"/>
      <c r="EB720" s="1050"/>
      <c r="EC720" s="1038"/>
      <c r="ED720" s="1035"/>
      <c r="EE720" s="1046"/>
      <c r="EF720" s="1169"/>
      <c r="EG720" s="1168"/>
      <c r="EH720" s="1165"/>
      <c r="EI720" s="1165"/>
      <c r="EJ720" s="1165"/>
      <c r="EK720" s="1031"/>
      <c r="EL720" s="1098">
        <f t="shared" si="1170"/>
        <v>0</v>
      </c>
      <c r="EM720" s="1098">
        <f t="shared" si="1171"/>
        <v>0</v>
      </c>
      <c r="EN720" s="1030"/>
      <c r="EO720" s="1030"/>
      <c r="EP720" s="1031"/>
      <c r="EQ720" s="1050"/>
      <c r="ER720" s="1038"/>
      <c r="ES720" s="1035"/>
      <c r="ET720" s="1051"/>
    </row>
    <row r="721" spans="2:150" ht="16.5" customHeight="1">
      <c r="B721" s="1024"/>
      <c r="C721" s="1025"/>
      <c r="D721" s="408">
        <v>718</v>
      </c>
      <c r="E721" s="1164"/>
      <c r="F721" s="1164"/>
      <c r="G721" s="1026"/>
      <c r="H721" s="411" t="str">
        <f>IFERROR(INDEX(绊状态确认!C:C,MATCH($G721,绊状态确认!$B:$B,)),"")</f>
        <v/>
      </c>
      <c r="I721" s="450" t="str">
        <f>IFERROR(INDEX(绊状态确认!D:D,MATCH($G721,绊状态确认!$B:$B,)),"")</f>
        <v/>
      </c>
      <c r="J721" s="450" t="str">
        <f>IFERROR(INDEX(绊状态确认!E:E,MATCH($G721,绊状态确认!$B:$B,)),"")</f>
        <v/>
      </c>
      <c r="K721" s="451" t="str">
        <f>IFERROR(INDEX(绊状态确认!F:F,MATCH($G721,绊状态确认!$B:$B,)),"")</f>
        <v/>
      </c>
      <c r="L721" s="1026"/>
      <c r="M721" s="1165"/>
      <c r="N721" s="1027"/>
      <c r="O721" s="1026"/>
      <c r="P721" s="1028"/>
      <c r="Q721" s="1029"/>
      <c r="R721" s="1166"/>
      <c r="S721" s="1030"/>
      <c r="T721" s="1031"/>
      <c r="U721" s="1032"/>
      <c r="V721" s="1033"/>
      <c r="W721" s="1034"/>
      <c r="X721" s="1166"/>
      <c r="Y721" s="1035"/>
      <c r="Z721" s="1036"/>
      <c r="AA721" s="1037"/>
      <c r="AB721" s="1038"/>
      <c r="AC721" s="1039"/>
      <c r="AD721" s="1040"/>
      <c r="AE721" s="1041"/>
      <c r="AF721" s="521"/>
      <c r="AG721" s="420"/>
      <c r="AH721" s="420"/>
      <c r="AI721" s="420"/>
      <c r="AJ721" s="420"/>
      <c r="AK721" s="518"/>
      <c r="AL721" s="1042"/>
      <c r="AM721" s="1035"/>
      <c r="AN721" s="1043"/>
      <c r="AO721" s="1167"/>
      <c r="AP721" s="1044"/>
      <c r="AQ721" s="1035"/>
      <c r="AR721" s="1035"/>
      <c r="AS721" s="1035"/>
      <c r="AT721" s="1165"/>
      <c r="AU721" s="1031"/>
      <c r="AV721" s="1045"/>
      <c r="AW721" s="1038"/>
      <c r="AX721" s="1035"/>
      <c r="AY721" s="483"/>
      <c r="AZ721" s="429"/>
      <c r="BA721" s="431"/>
      <c r="BB721" s="1035"/>
      <c r="BC721" s="1035"/>
      <c r="BD721" s="481"/>
      <c r="BE721" s="432"/>
      <c r="BF721" s="646"/>
      <c r="BG721" s="1047"/>
      <c r="BH721" s="1046"/>
      <c r="BI721" s="1048"/>
      <c r="BJ721" s="1030"/>
      <c r="BK721" s="1046"/>
      <c r="BL721" s="1048"/>
      <c r="BM721" s="1046"/>
      <c r="BN721" s="1167"/>
      <c r="BO721" s="1035"/>
      <c r="BP721" s="1043"/>
      <c r="BQ721" s="1167"/>
      <c r="BR721" s="1165"/>
      <c r="BS721" s="1031"/>
      <c r="BT721" s="1038"/>
      <c r="BU721" s="1035"/>
      <c r="BV721" s="1035"/>
      <c r="BW721" s="1049"/>
      <c r="BX721" s="1043"/>
      <c r="BY721" s="1046"/>
      <c r="BZ721" s="1167"/>
      <c r="CA721" s="1165"/>
      <c r="CB721" s="1031"/>
      <c r="CC721" s="1038"/>
      <c r="CD721" s="1035"/>
      <c r="CE721" s="1035"/>
      <c r="CF721" s="1049"/>
      <c r="CG721" s="1043"/>
      <c r="CH721" s="1046"/>
      <c r="CI721" s="1167"/>
      <c r="CJ721" s="1168"/>
      <c r="CK721" s="1169"/>
      <c r="CL721" s="1169"/>
      <c r="CM721" s="1166"/>
      <c r="CN721" s="1169"/>
      <c r="CO721" s="1169"/>
      <c r="CP721" s="452"/>
      <c r="CQ721" s="435"/>
      <c r="CR721" s="1117"/>
      <c r="CS721" s="452"/>
      <c r="CT721" s="482"/>
      <c r="CU721" s="476"/>
      <c r="CV721" s="431"/>
      <c r="CW721" s="1108"/>
      <c r="CX721" s="1108"/>
      <c r="CY721" s="483"/>
      <c r="CZ721" s="437"/>
      <c r="DA721" s="438"/>
      <c r="DB721" s="439"/>
      <c r="DC721" s="439"/>
      <c r="DD721" s="443"/>
      <c r="DE721" s="411"/>
      <c r="DF721" s="411"/>
      <c r="DG721" s="1117"/>
      <c r="DH721" s="1117"/>
      <c r="DI721" s="1117"/>
      <c r="DJ721" s="442"/>
      <c r="DK721" s="482"/>
      <c r="DL721" s="1038"/>
      <c r="DM721" s="1035"/>
      <c r="DN721" s="1035"/>
      <c r="DO721" s="1035"/>
      <c r="DP721" s="1046"/>
      <c r="DQ721" s="1167"/>
      <c r="DR721" s="1168"/>
      <c r="DS721" s="1165"/>
      <c r="DT721" s="1165"/>
      <c r="DU721" s="1165"/>
      <c r="DV721" s="1031"/>
      <c r="DW721" s="1098">
        <f t="shared" si="1168"/>
        <v>0</v>
      </c>
      <c r="DX721" s="1098">
        <f t="shared" si="1169"/>
        <v>0</v>
      </c>
      <c r="DY721" s="1030"/>
      <c r="DZ721" s="1030"/>
      <c r="EA721" s="1031"/>
      <c r="EB721" s="1050"/>
      <c r="EC721" s="1038"/>
      <c r="ED721" s="1035"/>
      <c r="EE721" s="1046"/>
      <c r="EF721" s="1169"/>
      <c r="EG721" s="1168"/>
      <c r="EH721" s="1165"/>
      <c r="EI721" s="1165"/>
      <c r="EJ721" s="1165"/>
      <c r="EK721" s="1031"/>
      <c r="EL721" s="1098">
        <f t="shared" si="1170"/>
        <v>0</v>
      </c>
      <c r="EM721" s="1098">
        <f t="shared" si="1171"/>
        <v>0</v>
      </c>
      <c r="EN721" s="1030"/>
      <c r="EO721" s="1030"/>
      <c r="EP721" s="1031"/>
      <c r="EQ721" s="1050"/>
      <c r="ER721" s="1038"/>
      <c r="ES721" s="1035"/>
      <c r="ET721" s="1051"/>
    </row>
    <row r="722" spans="2:150" ht="16.5" customHeight="1">
      <c r="B722" s="1024"/>
      <c r="C722" s="1025"/>
      <c r="D722" s="408">
        <v>719</v>
      </c>
      <c r="E722" s="1164"/>
      <c r="F722" s="1164"/>
      <c r="G722" s="1026"/>
      <c r="H722" s="411" t="str">
        <f>IFERROR(INDEX(绊状态确认!C:C,MATCH($G722,绊状态确认!$B:$B,)),"")</f>
        <v/>
      </c>
      <c r="I722" s="450" t="str">
        <f>IFERROR(INDEX(绊状态确认!D:D,MATCH($G722,绊状态确认!$B:$B,)),"")</f>
        <v/>
      </c>
      <c r="J722" s="450" t="str">
        <f>IFERROR(INDEX(绊状态确认!E:E,MATCH($G722,绊状态确认!$B:$B,)),"")</f>
        <v/>
      </c>
      <c r="K722" s="451" t="str">
        <f>IFERROR(INDEX(绊状态确认!F:F,MATCH($G722,绊状态确认!$B:$B,)),"")</f>
        <v/>
      </c>
      <c r="L722" s="1026"/>
      <c r="M722" s="1165"/>
      <c r="N722" s="1027"/>
      <c r="O722" s="1026"/>
      <c r="P722" s="1028"/>
      <c r="Q722" s="1029"/>
      <c r="R722" s="1166"/>
      <c r="S722" s="1030"/>
      <c r="T722" s="1031"/>
      <c r="U722" s="1032"/>
      <c r="V722" s="1033"/>
      <c r="W722" s="1034"/>
      <c r="X722" s="1166"/>
      <c r="Y722" s="1035"/>
      <c r="Z722" s="1036"/>
      <c r="AA722" s="1037"/>
      <c r="AB722" s="1038"/>
      <c r="AC722" s="1039"/>
      <c r="AD722" s="1040"/>
      <c r="AE722" s="1041"/>
      <c r="AF722" s="521"/>
      <c r="AG722" s="420"/>
      <c r="AH722" s="420"/>
      <c r="AI722" s="420"/>
      <c r="AJ722" s="420"/>
      <c r="AK722" s="518"/>
      <c r="AL722" s="1042"/>
      <c r="AM722" s="1035"/>
      <c r="AN722" s="1043"/>
      <c r="AO722" s="1167"/>
      <c r="AP722" s="1044"/>
      <c r="AQ722" s="1035"/>
      <c r="AR722" s="1035"/>
      <c r="AS722" s="1035"/>
      <c r="AT722" s="1165"/>
      <c r="AU722" s="1031"/>
      <c r="AV722" s="1045"/>
      <c r="AW722" s="1038"/>
      <c r="AX722" s="1035"/>
      <c r="AY722" s="483"/>
      <c r="AZ722" s="429"/>
      <c r="BA722" s="431"/>
      <c r="BB722" s="1035"/>
      <c r="BC722" s="1035"/>
      <c r="BD722" s="481"/>
      <c r="BE722" s="432"/>
      <c r="BF722" s="646"/>
      <c r="BG722" s="1047"/>
      <c r="BH722" s="1046"/>
      <c r="BI722" s="1048"/>
      <c r="BJ722" s="1030"/>
      <c r="BK722" s="1046"/>
      <c r="BL722" s="1048"/>
      <c r="BM722" s="1046"/>
      <c r="BN722" s="1167"/>
      <c r="BO722" s="1035"/>
      <c r="BP722" s="1043"/>
      <c r="BQ722" s="1167"/>
      <c r="BR722" s="1165"/>
      <c r="BS722" s="1031"/>
      <c r="BT722" s="1038"/>
      <c r="BU722" s="1035"/>
      <c r="BV722" s="1035"/>
      <c r="BW722" s="1049"/>
      <c r="BX722" s="1043"/>
      <c r="BY722" s="1046"/>
      <c r="BZ722" s="1167"/>
      <c r="CA722" s="1165"/>
      <c r="CB722" s="1031"/>
      <c r="CC722" s="1038"/>
      <c r="CD722" s="1035"/>
      <c r="CE722" s="1035"/>
      <c r="CF722" s="1049"/>
      <c r="CG722" s="1043"/>
      <c r="CH722" s="1046"/>
      <c r="CI722" s="1167"/>
      <c r="CJ722" s="1168"/>
      <c r="CK722" s="1169"/>
      <c r="CL722" s="1169"/>
      <c r="CM722" s="1166"/>
      <c r="CN722" s="1169"/>
      <c r="CO722" s="1169"/>
      <c r="CP722" s="452"/>
      <c r="CQ722" s="435"/>
      <c r="CR722" s="1117"/>
      <c r="CS722" s="452"/>
      <c r="CT722" s="482"/>
      <c r="CU722" s="476"/>
      <c r="CV722" s="431"/>
      <c r="CW722" s="1108"/>
      <c r="CX722" s="1108"/>
      <c r="CY722" s="483"/>
      <c r="CZ722" s="437"/>
      <c r="DA722" s="438"/>
      <c r="DB722" s="439"/>
      <c r="DC722" s="439"/>
      <c r="DD722" s="443"/>
      <c r="DE722" s="411"/>
      <c r="DF722" s="411"/>
      <c r="DG722" s="1117"/>
      <c r="DH722" s="1117"/>
      <c r="DI722" s="1117"/>
      <c r="DJ722" s="442"/>
      <c r="DK722" s="482"/>
      <c r="DL722" s="1038"/>
      <c r="DM722" s="1035"/>
      <c r="DN722" s="1035"/>
      <c r="DO722" s="1035"/>
      <c r="DP722" s="1046"/>
      <c r="DQ722" s="1167"/>
      <c r="DR722" s="1168"/>
      <c r="DS722" s="1165"/>
      <c r="DT722" s="1165"/>
      <c r="DU722" s="1165"/>
      <c r="DV722" s="1031"/>
      <c r="DW722" s="1098">
        <f t="shared" si="1168"/>
        <v>0</v>
      </c>
      <c r="DX722" s="1098">
        <f t="shared" si="1169"/>
        <v>0</v>
      </c>
      <c r="DY722" s="1030"/>
      <c r="DZ722" s="1030"/>
      <c r="EA722" s="1031"/>
      <c r="EB722" s="1050"/>
      <c r="EC722" s="1038"/>
      <c r="ED722" s="1035"/>
      <c r="EE722" s="1046"/>
      <c r="EF722" s="1169"/>
      <c r="EG722" s="1168"/>
      <c r="EH722" s="1165"/>
      <c r="EI722" s="1165"/>
      <c r="EJ722" s="1165"/>
      <c r="EK722" s="1031"/>
      <c r="EL722" s="1098">
        <f t="shared" si="1170"/>
        <v>0</v>
      </c>
      <c r="EM722" s="1098">
        <f t="shared" si="1171"/>
        <v>0</v>
      </c>
      <c r="EN722" s="1030"/>
      <c r="EO722" s="1030"/>
      <c r="EP722" s="1031"/>
      <c r="EQ722" s="1050"/>
      <c r="ER722" s="1038"/>
      <c r="ES722" s="1035"/>
      <c r="ET722" s="1051"/>
    </row>
    <row r="723" spans="2:150" ht="16.5" customHeight="1">
      <c r="B723" s="1024"/>
      <c r="C723" s="1025"/>
      <c r="D723" s="408">
        <v>720</v>
      </c>
      <c r="E723" s="1164"/>
      <c r="F723" s="1164"/>
      <c r="G723" s="1026"/>
      <c r="H723" s="411" t="str">
        <f>IFERROR(INDEX(绊状态确认!C:C,MATCH($G723,绊状态确认!$B:$B,)),"")</f>
        <v/>
      </c>
      <c r="I723" s="450" t="str">
        <f>IFERROR(INDEX(绊状态确认!D:D,MATCH($G723,绊状态确认!$B:$B,)),"")</f>
        <v/>
      </c>
      <c r="J723" s="450" t="str">
        <f>IFERROR(INDEX(绊状态确认!E:E,MATCH($G723,绊状态确认!$B:$B,)),"")</f>
        <v/>
      </c>
      <c r="K723" s="451" t="str">
        <f>IFERROR(INDEX(绊状态确认!F:F,MATCH($G723,绊状态确认!$B:$B,)),"")</f>
        <v/>
      </c>
      <c r="L723" s="1026"/>
      <c r="M723" s="1165"/>
      <c r="N723" s="1027"/>
      <c r="O723" s="1026"/>
      <c r="P723" s="1028"/>
      <c r="Q723" s="1029"/>
      <c r="R723" s="1166"/>
      <c r="S723" s="1030"/>
      <c r="T723" s="1031"/>
      <c r="U723" s="1032"/>
      <c r="V723" s="1033"/>
      <c r="W723" s="1034"/>
      <c r="X723" s="1166"/>
      <c r="Y723" s="1035"/>
      <c r="Z723" s="1036"/>
      <c r="AA723" s="1037"/>
      <c r="AB723" s="1038"/>
      <c r="AC723" s="1039"/>
      <c r="AD723" s="1040"/>
      <c r="AE723" s="1041"/>
      <c r="AF723" s="521"/>
      <c r="AG723" s="420"/>
      <c r="AH723" s="420"/>
      <c r="AI723" s="420"/>
      <c r="AJ723" s="420"/>
      <c r="AK723" s="518"/>
      <c r="AL723" s="1042"/>
      <c r="AM723" s="1035"/>
      <c r="AN723" s="1043"/>
      <c r="AO723" s="1167"/>
      <c r="AP723" s="1044"/>
      <c r="AQ723" s="1035"/>
      <c r="AR723" s="1035"/>
      <c r="AS723" s="1035"/>
      <c r="AT723" s="1165"/>
      <c r="AU723" s="1031"/>
      <c r="AV723" s="1045"/>
      <c r="AW723" s="1038"/>
      <c r="AX723" s="1035"/>
      <c r="AY723" s="483"/>
      <c r="AZ723" s="429"/>
      <c r="BA723" s="431"/>
      <c r="BB723" s="1035"/>
      <c r="BC723" s="1035"/>
      <c r="BD723" s="481"/>
      <c r="BE723" s="432"/>
      <c r="BF723" s="646"/>
      <c r="BG723" s="1047"/>
      <c r="BH723" s="1046"/>
      <c r="BI723" s="1048"/>
      <c r="BJ723" s="1030"/>
      <c r="BK723" s="1046"/>
      <c r="BL723" s="1048"/>
      <c r="BM723" s="1046"/>
      <c r="BN723" s="1167"/>
      <c r="BO723" s="1035"/>
      <c r="BP723" s="1043"/>
      <c r="BQ723" s="1167"/>
      <c r="BR723" s="1165"/>
      <c r="BS723" s="1031"/>
      <c r="BT723" s="1038"/>
      <c r="BU723" s="1035"/>
      <c r="BV723" s="1035"/>
      <c r="BW723" s="1049"/>
      <c r="BX723" s="1043"/>
      <c r="BY723" s="1046"/>
      <c r="BZ723" s="1167"/>
      <c r="CA723" s="1165"/>
      <c r="CB723" s="1031"/>
      <c r="CC723" s="1038"/>
      <c r="CD723" s="1035"/>
      <c r="CE723" s="1035"/>
      <c r="CF723" s="1049"/>
      <c r="CG723" s="1043"/>
      <c r="CH723" s="1046"/>
      <c r="CI723" s="1167"/>
      <c r="CJ723" s="1168"/>
      <c r="CK723" s="1169"/>
      <c r="CL723" s="1169"/>
      <c r="CM723" s="1166"/>
      <c r="CN723" s="1169"/>
      <c r="CO723" s="1169"/>
      <c r="CP723" s="452"/>
      <c r="CQ723" s="435"/>
      <c r="CR723" s="1117"/>
      <c r="CS723" s="452"/>
      <c r="CT723" s="482"/>
      <c r="CU723" s="476"/>
      <c r="CV723" s="431"/>
      <c r="CW723" s="1108"/>
      <c r="CX723" s="1108"/>
      <c r="CY723" s="483"/>
      <c r="CZ723" s="437"/>
      <c r="DA723" s="438"/>
      <c r="DB723" s="439"/>
      <c r="DC723" s="439"/>
      <c r="DD723" s="443"/>
      <c r="DE723" s="411"/>
      <c r="DF723" s="411"/>
      <c r="DG723" s="1117"/>
      <c r="DH723" s="1117"/>
      <c r="DI723" s="1117"/>
      <c r="DJ723" s="442"/>
      <c r="DK723" s="482"/>
      <c r="DL723" s="1038"/>
      <c r="DM723" s="1035"/>
      <c r="DN723" s="1035"/>
      <c r="DO723" s="1035"/>
      <c r="DP723" s="1046"/>
      <c r="DQ723" s="1167"/>
      <c r="DR723" s="1168"/>
      <c r="DS723" s="1165"/>
      <c r="DT723" s="1165"/>
      <c r="DU723" s="1165"/>
      <c r="DV723" s="1031"/>
      <c r="DW723" s="1098">
        <f t="shared" si="1168"/>
        <v>0</v>
      </c>
      <c r="DX723" s="1098">
        <f t="shared" si="1169"/>
        <v>0</v>
      </c>
      <c r="DY723" s="1030"/>
      <c r="DZ723" s="1030"/>
      <c r="EA723" s="1031"/>
      <c r="EB723" s="1050"/>
      <c r="EC723" s="1038"/>
      <c r="ED723" s="1035"/>
      <c r="EE723" s="1046"/>
      <c r="EF723" s="1169"/>
      <c r="EG723" s="1168"/>
      <c r="EH723" s="1165"/>
      <c r="EI723" s="1165"/>
      <c r="EJ723" s="1165"/>
      <c r="EK723" s="1031"/>
      <c r="EL723" s="1098">
        <f t="shared" si="1170"/>
        <v>0</v>
      </c>
      <c r="EM723" s="1098">
        <f t="shared" si="1171"/>
        <v>0</v>
      </c>
      <c r="EN723" s="1030"/>
      <c r="EO723" s="1030"/>
      <c r="EP723" s="1031"/>
      <c r="EQ723" s="1050"/>
      <c r="ER723" s="1038"/>
      <c r="ES723" s="1035"/>
      <c r="ET723" s="1051"/>
    </row>
    <row r="724" spans="2:150" ht="16.5" customHeight="1">
      <c r="B724" s="1024"/>
      <c r="C724" s="1025"/>
      <c r="D724" s="408">
        <v>721</v>
      </c>
      <c r="E724" s="1164"/>
      <c r="F724" s="1164"/>
      <c r="G724" s="1026"/>
      <c r="H724" s="411" t="str">
        <f>IFERROR(INDEX(绊状态确认!C:C,MATCH($G724,绊状态确认!$B:$B,)),"")</f>
        <v/>
      </c>
      <c r="I724" s="450" t="str">
        <f>IFERROR(INDEX(绊状态确认!D:D,MATCH($G724,绊状态确认!$B:$B,)),"")</f>
        <v/>
      </c>
      <c r="J724" s="450" t="str">
        <f>IFERROR(INDEX(绊状态确认!E:E,MATCH($G724,绊状态确认!$B:$B,)),"")</f>
        <v/>
      </c>
      <c r="K724" s="451" t="str">
        <f>IFERROR(INDEX(绊状态确认!F:F,MATCH($G724,绊状态确认!$B:$B,)),"")</f>
        <v/>
      </c>
      <c r="L724" s="1026"/>
      <c r="M724" s="1165"/>
      <c r="N724" s="1027"/>
      <c r="O724" s="1026"/>
      <c r="P724" s="1028"/>
      <c r="Q724" s="1029"/>
      <c r="R724" s="1166"/>
      <c r="S724" s="1030"/>
      <c r="T724" s="1031"/>
      <c r="U724" s="1032"/>
      <c r="V724" s="1033"/>
      <c r="W724" s="1034"/>
      <c r="X724" s="1166"/>
      <c r="Y724" s="1035"/>
      <c r="Z724" s="1036"/>
      <c r="AA724" s="1037"/>
      <c r="AB724" s="1038"/>
      <c r="AC724" s="1039"/>
      <c r="AD724" s="1040"/>
      <c r="AE724" s="1041"/>
      <c r="AF724" s="521"/>
      <c r="AG724" s="420"/>
      <c r="AH724" s="420"/>
      <c r="AI724" s="420"/>
      <c r="AJ724" s="420"/>
      <c r="AK724" s="518"/>
      <c r="AL724" s="1042"/>
      <c r="AM724" s="1035"/>
      <c r="AN724" s="1043"/>
      <c r="AO724" s="1167"/>
      <c r="AP724" s="1044"/>
      <c r="AQ724" s="1035"/>
      <c r="AR724" s="1035"/>
      <c r="AS724" s="1035"/>
      <c r="AT724" s="1165"/>
      <c r="AU724" s="1031"/>
      <c r="AV724" s="1045"/>
      <c r="AW724" s="1038"/>
      <c r="AX724" s="1035"/>
      <c r="AY724" s="483"/>
      <c r="AZ724" s="429"/>
      <c r="BA724" s="431"/>
      <c r="BB724" s="1035"/>
      <c r="BC724" s="1035"/>
      <c r="BD724" s="481"/>
      <c r="BE724" s="432"/>
      <c r="BF724" s="646"/>
      <c r="BG724" s="1047"/>
      <c r="BH724" s="1046"/>
      <c r="BI724" s="1048"/>
      <c r="BJ724" s="1030"/>
      <c r="BK724" s="1046"/>
      <c r="BL724" s="1048"/>
      <c r="BM724" s="1046"/>
      <c r="BN724" s="1167"/>
      <c r="BO724" s="1035"/>
      <c r="BP724" s="1043"/>
      <c r="BQ724" s="1167"/>
      <c r="BR724" s="1165"/>
      <c r="BS724" s="1031"/>
      <c r="BT724" s="1038"/>
      <c r="BU724" s="1035"/>
      <c r="BV724" s="1035"/>
      <c r="BW724" s="1049"/>
      <c r="BX724" s="1043"/>
      <c r="BY724" s="1046"/>
      <c r="BZ724" s="1167"/>
      <c r="CA724" s="1165"/>
      <c r="CB724" s="1031"/>
      <c r="CC724" s="1038"/>
      <c r="CD724" s="1035"/>
      <c r="CE724" s="1035"/>
      <c r="CF724" s="1049"/>
      <c r="CG724" s="1043"/>
      <c r="CH724" s="1046"/>
      <c r="CI724" s="1167"/>
      <c r="CJ724" s="1168"/>
      <c r="CK724" s="1169"/>
      <c r="CL724" s="1169"/>
      <c r="CM724" s="1166"/>
      <c r="CN724" s="1169"/>
      <c r="CO724" s="1169"/>
      <c r="CP724" s="452"/>
      <c r="CQ724" s="435"/>
      <c r="CR724" s="1117"/>
      <c r="CS724" s="452"/>
      <c r="CT724" s="482"/>
      <c r="CU724" s="476"/>
      <c r="CV724" s="431"/>
      <c r="CW724" s="1108"/>
      <c r="CX724" s="1108"/>
      <c r="CY724" s="483"/>
      <c r="CZ724" s="437"/>
      <c r="DA724" s="438"/>
      <c r="DB724" s="439"/>
      <c r="DC724" s="439"/>
      <c r="DD724" s="443"/>
      <c r="DE724" s="411"/>
      <c r="DF724" s="411"/>
      <c r="DG724" s="1117"/>
      <c r="DH724" s="1117"/>
      <c r="DI724" s="1117"/>
      <c r="DJ724" s="442"/>
      <c r="DK724" s="482"/>
      <c r="DL724" s="1038"/>
      <c r="DM724" s="1035"/>
      <c r="DN724" s="1035"/>
      <c r="DO724" s="1035"/>
      <c r="DP724" s="1046"/>
      <c r="DQ724" s="1167"/>
      <c r="DR724" s="1168"/>
      <c r="DS724" s="1165"/>
      <c r="DT724" s="1165"/>
      <c r="DU724" s="1165"/>
      <c r="DV724" s="1031"/>
      <c r="DW724" s="1098">
        <f t="shared" si="1168"/>
        <v>0</v>
      </c>
      <c r="DX724" s="1098">
        <f t="shared" si="1169"/>
        <v>0</v>
      </c>
      <c r="DY724" s="1030"/>
      <c r="DZ724" s="1030"/>
      <c r="EA724" s="1031"/>
      <c r="EB724" s="1050"/>
      <c r="EC724" s="1038"/>
      <c r="ED724" s="1035"/>
      <c r="EE724" s="1046"/>
      <c r="EF724" s="1169"/>
      <c r="EG724" s="1168"/>
      <c r="EH724" s="1165"/>
      <c r="EI724" s="1165"/>
      <c r="EJ724" s="1165"/>
      <c r="EK724" s="1031"/>
      <c r="EL724" s="1098">
        <f t="shared" si="1170"/>
        <v>0</v>
      </c>
      <c r="EM724" s="1098">
        <f t="shared" si="1171"/>
        <v>0</v>
      </c>
      <c r="EN724" s="1030"/>
      <c r="EO724" s="1030"/>
      <c r="EP724" s="1031"/>
      <c r="EQ724" s="1050"/>
      <c r="ER724" s="1038"/>
      <c r="ES724" s="1035"/>
      <c r="ET724" s="1051"/>
    </row>
    <row r="725" spans="2:150" ht="16.5" customHeight="1">
      <c r="B725" s="1024"/>
      <c r="C725" s="1025"/>
      <c r="D725" s="408">
        <v>722</v>
      </c>
      <c r="E725" s="1164"/>
      <c r="F725" s="1164"/>
      <c r="G725" s="1026"/>
      <c r="H725" s="411" t="str">
        <f>IFERROR(INDEX(绊状态确认!C:C,MATCH($G725,绊状态确认!$B:$B,)),"")</f>
        <v/>
      </c>
      <c r="I725" s="450" t="str">
        <f>IFERROR(INDEX(绊状态确认!D:D,MATCH($G725,绊状态确认!$B:$B,)),"")</f>
        <v/>
      </c>
      <c r="J725" s="450" t="str">
        <f>IFERROR(INDEX(绊状态确认!E:E,MATCH($G725,绊状态确认!$B:$B,)),"")</f>
        <v/>
      </c>
      <c r="K725" s="451" t="str">
        <f>IFERROR(INDEX(绊状态确认!F:F,MATCH($G725,绊状态确认!$B:$B,)),"")</f>
        <v/>
      </c>
      <c r="L725" s="1026"/>
      <c r="M725" s="1165"/>
      <c r="N725" s="1027"/>
      <c r="O725" s="1026"/>
      <c r="P725" s="1028"/>
      <c r="Q725" s="1029"/>
      <c r="R725" s="1166"/>
      <c r="S725" s="1030"/>
      <c r="T725" s="1031"/>
      <c r="U725" s="1032"/>
      <c r="V725" s="1033"/>
      <c r="W725" s="1034"/>
      <c r="X725" s="1166"/>
      <c r="Y725" s="1035"/>
      <c r="Z725" s="1036"/>
      <c r="AA725" s="1037"/>
      <c r="AB725" s="1038"/>
      <c r="AC725" s="1039"/>
      <c r="AD725" s="1040"/>
      <c r="AE725" s="1041"/>
      <c r="AF725" s="521"/>
      <c r="AG725" s="420"/>
      <c r="AH725" s="420"/>
      <c r="AI725" s="420"/>
      <c r="AJ725" s="420"/>
      <c r="AK725" s="518"/>
      <c r="AL725" s="1042"/>
      <c r="AM725" s="1035"/>
      <c r="AN725" s="1043"/>
      <c r="AO725" s="1167"/>
      <c r="AP725" s="1044"/>
      <c r="AQ725" s="1035"/>
      <c r="AR725" s="1035"/>
      <c r="AS725" s="1035"/>
      <c r="AT725" s="1165"/>
      <c r="AU725" s="1031"/>
      <c r="AV725" s="1045"/>
      <c r="AW725" s="1038"/>
      <c r="AX725" s="1035"/>
      <c r="AY725" s="483"/>
      <c r="AZ725" s="429"/>
      <c r="BA725" s="431"/>
      <c r="BB725" s="1035"/>
      <c r="BC725" s="1035"/>
      <c r="BD725" s="481"/>
      <c r="BE725" s="432"/>
      <c r="BF725" s="646"/>
      <c r="BG725" s="1047"/>
      <c r="BH725" s="1046"/>
      <c r="BI725" s="1048"/>
      <c r="BJ725" s="1030"/>
      <c r="BK725" s="1046"/>
      <c r="BL725" s="1048"/>
      <c r="BM725" s="1046"/>
      <c r="BN725" s="1167"/>
      <c r="BO725" s="1035"/>
      <c r="BP725" s="1043"/>
      <c r="BQ725" s="1167"/>
      <c r="BR725" s="1165"/>
      <c r="BS725" s="1031"/>
      <c r="BT725" s="1038"/>
      <c r="BU725" s="1035"/>
      <c r="BV725" s="1035"/>
      <c r="BW725" s="1049"/>
      <c r="BX725" s="1043"/>
      <c r="BY725" s="1046"/>
      <c r="BZ725" s="1167"/>
      <c r="CA725" s="1165"/>
      <c r="CB725" s="1031"/>
      <c r="CC725" s="1038"/>
      <c r="CD725" s="1035"/>
      <c r="CE725" s="1035"/>
      <c r="CF725" s="1049"/>
      <c r="CG725" s="1043"/>
      <c r="CH725" s="1046"/>
      <c r="CI725" s="1167"/>
      <c r="CJ725" s="1168"/>
      <c r="CK725" s="1169"/>
      <c r="CL725" s="1169"/>
      <c r="CM725" s="1166"/>
      <c r="CN725" s="1169"/>
      <c r="CO725" s="1169"/>
      <c r="CP725" s="452"/>
      <c r="CQ725" s="435"/>
      <c r="CR725" s="1117"/>
      <c r="CS725" s="452"/>
      <c r="CT725" s="482"/>
      <c r="CU725" s="476"/>
      <c r="CV725" s="431"/>
      <c r="CW725" s="1108"/>
      <c r="CX725" s="1108"/>
      <c r="CY725" s="483"/>
      <c r="CZ725" s="437"/>
      <c r="DA725" s="438"/>
      <c r="DB725" s="439"/>
      <c r="DC725" s="439"/>
      <c r="DD725" s="443"/>
      <c r="DE725" s="411"/>
      <c r="DF725" s="411"/>
      <c r="DG725" s="1117"/>
      <c r="DH725" s="1117"/>
      <c r="DI725" s="1117"/>
      <c r="DJ725" s="442"/>
      <c r="DK725" s="482"/>
      <c r="DL725" s="1038"/>
      <c r="DM725" s="1035"/>
      <c r="DN725" s="1035"/>
      <c r="DO725" s="1035"/>
      <c r="DP725" s="1046"/>
      <c r="DQ725" s="1167"/>
      <c r="DR725" s="1168"/>
      <c r="DS725" s="1165"/>
      <c r="DT725" s="1165"/>
      <c r="DU725" s="1165"/>
      <c r="DV725" s="1031"/>
      <c r="DW725" s="1098">
        <f t="shared" si="1168"/>
        <v>0</v>
      </c>
      <c r="DX725" s="1098">
        <f t="shared" si="1169"/>
        <v>0</v>
      </c>
      <c r="DY725" s="1030"/>
      <c r="DZ725" s="1030"/>
      <c r="EA725" s="1031"/>
      <c r="EB725" s="1050"/>
      <c r="EC725" s="1038"/>
      <c r="ED725" s="1035"/>
      <c r="EE725" s="1046"/>
      <c r="EF725" s="1169"/>
      <c r="EG725" s="1168"/>
      <c r="EH725" s="1165"/>
      <c r="EI725" s="1165"/>
      <c r="EJ725" s="1165"/>
      <c r="EK725" s="1031"/>
      <c r="EL725" s="1098">
        <f t="shared" si="1170"/>
        <v>0</v>
      </c>
      <c r="EM725" s="1098">
        <f t="shared" si="1171"/>
        <v>0</v>
      </c>
      <c r="EN725" s="1030"/>
      <c r="EO725" s="1030"/>
      <c r="EP725" s="1031"/>
      <c r="EQ725" s="1050"/>
      <c r="ER725" s="1038"/>
      <c r="ES725" s="1035"/>
      <c r="ET725" s="1051"/>
    </row>
    <row r="726" spans="2:150" ht="16.5" customHeight="1">
      <c r="B726" s="1024"/>
      <c r="C726" s="1025"/>
      <c r="D726" s="408">
        <v>723</v>
      </c>
      <c r="E726" s="1164"/>
      <c r="F726" s="1164"/>
      <c r="G726" s="1026"/>
      <c r="H726" s="411" t="str">
        <f>IFERROR(INDEX(绊状态确认!C:C,MATCH($G726,绊状态确认!$B:$B,)),"")</f>
        <v/>
      </c>
      <c r="I726" s="450" t="str">
        <f>IFERROR(INDEX(绊状态确认!D:D,MATCH($G726,绊状态确认!$B:$B,)),"")</f>
        <v/>
      </c>
      <c r="J726" s="450" t="str">
        <f>IFERROR(INDEX(绊状态确认!E:E,MATCH($G726,绊状态确认!$B:$B,)),"")</f>
        <v/>
      </c>
      <c r="K726" s="451" t="str">
        <f>IFERROR(INDEX(绊状态确认!F:F,MATCH($G726,绊状态确认!$B:$B,)),"")</f>
        <v/>
      </c>
      <c r="L726" s="1026"/>
      <c r="M726" s="1165"/>
      <c r="N726" s="1027"/>
      <c r="O726" s="1026"/>
      <c r="P726" s="1028"/>
      <c r="Q726" s="1029"/>
      <c r="R726" s="1166"/>
      <c r="S726" s="1030"/>
      <c r="T726" s="1031"/>
      <c r="U726" s="1032"/>
      <c r="V726" s="1033"/>
      <c r="W726" s="1034"/>
      <c r="X726" s="1166"/>
      <c r="Y726" s="1035"/>
      <c r="Z726" s="1036"/>
      <c r="AA726" s="1037"/>
      <c r="AB726" s="1038"/>
      <c r="AC726" s="1039"/>
      <c r="AD726" s="1040"/>
      <c r="AE726" s="1041"/>
      <c r="AF726" s="521"/>
      <c r="AG726" s="420"/>
      <c r="AH726" s="420"/>
      <c r="AI726" s="420"/>
      <c r="AJ726" s="420"/>
      <c r="AK726" s="518"/>
      <c r="AL726" s="1042"/>
      <c r="AM726" s="1035"/>
      <c r="AN726" s="1043"/>
      <c r="AO726" s="1167"/>
      <c r="AP726" s="1044"/>
      <c r="AQ726" s="1035"/>
      <c r="AR726" s="1035"/>
      <c r="AS726" s="1035"/>
      <c r="AT726" s="1165"/>
      <c r="AU726" s="1031"/>
      <c r="AV726" s="1045"/>
      <c r="AW726" s="1038"/>
      <c r="AX726" s="1035"/>
      <c r="AY726" s="483"/>
      <c r="AZ726" s="429"/>
      <c r="BA726" s="431"/>
      <c r="BB726" s="1035"/>
      <c r="BC726" s="1035"/>
      <c r="BD726" s="481"/>
      <c r="BE726" s="432"/>
      <c r="BF726" s="646"/>
      <c r="BG726" s="1047"/>
      <c r="BH726" s="1046"/>
      <c r="BI726" s="1048"/>
      <c r="BJ726" s="1030"/>
      <c r="BK726" s="1046"/>
      <c r="BL726" s="1048"/>
      <c r="BM726" s="1046"/>
      <c r="BN726" s="1167"/>
      <c r="BO726" s="1035"/>
      <c r="BP726" s="1043"/>
      <c r="BQ726" s="1167"/>
      <c r="BR726" s="1165"/>
      <c r="BS726" s="1031"/>
      <c r="BT726" s="1038"/>
      <c r="BU726" s="1035"/>
      <c r="BV726" s="1035"/>
      <c r="BW726" s="1049"/>
      <c r="BX726" s="1043"/>
      <c r="BY726" s="1046"/>
      <c r="BZ726" s="1167"/>
      <c r="CA726" s="1165"/>
      <c r="CB726" s="1031"/>
      <c r="CC726" s="1038"/>
      <c r="CD726" s="1035"/>
      <c r="CE726" s="1035"/>
      <c r="CF726" s="1049"/>
      <c r="CG726" s="1043"/>
      <c r="CH726" s="1046"/>
      <c r="CI726" s="1167"/>
      <c r="CJ726" s="1168"/>
      <c r="CK726" s="1169"/>
      <c r="CL726" s="1169"/>
      <c r="CM726" s="1166"/>
      <c r="CN726" s="1169"/>
      <c r="CO726" s="1169"/>
      <c r="CP726" s="452"/>
      <c r="CQ726" s="435"/>
      <c r="CR726" s="1117"/>
      <c r="CS726" s="452"/>
      <c r="CT726" s="482"/>
      <c r="CU726" s="476"/>
      <c r="CV726" s="431"/>
      <c r="CW726" s="1108"/>
      <c r="CX726" s="1108"/>
      <c r="CY726" s="483"/>
      <c r="CZ726" s="437"/>
      <c r="DA726" s="438"/>
      <c r="DB726" s="439"/>
      <c r="DC726" s="439"/>
      <c r="DD726" s="443"/>
      <c r="DE726" s="411"/>
      <c r="DF726" s="411"/>
      <c r="DG726" s="1117"/>
      <c r="DH726" s="1117"/>
      <c r="DI726" s="1117"/>
      <c r="DJ726" s="442"/>
      <c r="DK726" s="482"/>
      <c r="DL726" s="1038"/>
      <c r="DM726" s="1035"/>
      <c r="DN726" s="1035"/>
      <c r="DO726" s="1035"/>
      <c r="DP726" s="1046"/>
      <c r="DQ726" s="1167"/>
      <c r="DR726" s="1168"/>
      <c r="DS726" s="1165"/>
      <c r="DT726" s="1165"/>
      <c r="DU726" s="1165"/>
      <c r="DV726" s="1031"/>
      <c r="DW726" s="1098">
        <f t="shared" si="1168"/>
        <v>0</v>
      </c>
      <c r="DX726" s="1098">
        <f t="shared" si="1169"/>
        <v>0</v>
      </c>
      <c r="DY726" s="1030"/>
      <c r="DZ726" s="1030"/>
      <c r="EA726" s="1031"/>
      <c r="EB726" s="1050"/>
      <c r="EC726" s="1038"/>
      <c r="ED726" s="1035"/>
      <c r="EE726" s="1046"/>
      <c r="EF726" s="1169"/>
      <c r="EG726" s="1168"/>
      <c r="EH726" s="1165"/>
      <c r="EI726" s="1165"/>
      <c r="EJ726" s="1165"/>
      <c r="EK726" s="1031"/>
      <c r="EL726" s="1098">
        <f t="shared" si="1170"/>
        <v>0</v>
      </c>
      <c r="EM726" s="1098">
        <f t="shared" si="1171"/>
        <v>0</v>
      </c>
      <c r="EN726" s="1030"/>
      <c r="EO726" s="1030"/>
      <c r="EP726" s="1031"/>
      <c r="EQ726" s="1050"/>
      <c r="ER726" s="1038"/>
      <c r="ES726" s="1035"/>
      <c r="ET726" s="1051"/>
    </row>
    <row r="727" spans="2:150" ht="16.5" customHeight="1">
      <c r="B727" s="1024"/>
      <c r="C727" s="1025"/>
      <c r="D727" s="408">
        <v>724</v>
      </c>
      <c r="E727" s="1164"/>
      <c r="F727" s="1164"/>
      <c r="G727" s="1026"/>
      <c r="H727" s="411" t="str">
        <f>IFERROR(INDEX(绊状态确认!C:C,MATCH($G727,绊状态确认!$B:$B,)),"")</f>
        <v/>
      </c>
      <c r="I727" s="450" t="str">
        <f>IFERROR(INDEX(绊状态确认!D:D,MATCH($G727,绊状态确认!$B:$B,)),"")</f>
        <v/>
      </c>
      <c r="J727" s="450" t="str">
        <f>IFERROR(INDEX(绊状态确认!E:E,MATCH($G727,绊状态确认!$B:$B,)),"")</f>
        <v/>
      </c>
      <c r="K727" s="451" t="str">
        <f>IFERROR(INDEX(绊状态确认!F:F,MATCH($G727,绊状态确认!$B:$B,)),"")</f>
        <v/>
      </c>
      <c r="L727" s="1026"/>
      <c r="M727" s="1165"/>
      <c r="N727" s="1027"/>
      <c r="O727" s="1026"/>
      <c r="P727" s="1028"/>
      <c r="Q727" s="1029"/>
      <c r="R727" s="1166"/>
      <c r="S727" s="1030"/>
      <c r="T727" s="1031"/>
      <c r="U727" s="1032"/>
      <c r="V727" s="1033"/>
      <c r="W727" s="1034"/>
      <c r="X727" s="1166"/>
      <c r="Y727" s="1035"/>
      <c r="Z727" s="1036"/>
      <c r="AA727" s="1037"/>
      <c r="AB727" s="1038"/>
      <c r="AC727" s="1039"/>
      <c r="AD727" s="1040"/>
      <c r="AE727" s="1041"/>
      <c r="AF727" s="521"/>
      <c r="AG727" s="420"/>
      <c r="AH727" s="420"/>
      <c r="AI727" s="420"/>
      <c r="AJ727" s="420"/>
      <c r="AK727" s="518"/>
      <c r="AL727" s="1042"/>
      <c r="AM727" s="1035"/>
      <c r="AN727" s="1043"/>
      <c r="AO727" s="1167"/>
      <c r="AP727" s="1044"/>
      <c r="AQ727" s="1035"/>
      <c r="AR727" s="1035"/>
      <c r="AS727" s="1035"/>
      <c r="AT727" s="1165"/>
      <c r="AU727" s="1031"/>
      <c r="AV727" s="1045"/>
      <c r="AW727" s="1038"/>
      <c r="AX727" s="1035"/>
      <c r="AY727" s="483"/>
      <c r="AZ727" s="429"/>
      <c r="BA727" s="431"/>
      <c r="BB727" s="1035"/>
      <c r="BC727" s="1035"/>
      <c r="BD727" s="481"/>
      <c r="BE727" s="432"/>
      <c r="BF727" s="646"/>
      <c r="BG727" s="1047"/>
      <c r="BH727" s="1046"/>
      <c r="BI727" s="1048"/>
      <c r="BJ727" s="1030"/>
      <c r="BK727" s="1046"/>
      <c r="BL727" s="1048"/>
      <c r="BM727" s="1046"/>
      <c r="BN727" s="1167"/>
      <c r="BO727" s="1035"/>
      <c r="BP727" s="1043"/>
      <c r="BQ727" s="1167"/>
      <c r="BR727" s="1165"/>
      <c r="BS727" s="1031"/>
      <c r="BT727" s="1038"/>
      <c r="BU727" s="1035"/>
      <c r="BV727" s="1035"/>
      <c r="BW727" s="1049"/>
      <c r="BX727" s="1043"/>
      <c r="BY727" s="1046"/>
      <c r="BZ727" s="1167"/>
      <c r="CA727" s="1165"/>
      <c r="CB727" s="1031"/>
      <c r="CC727" s="1038"/>
      <c r="CD727" s="1035"/>
      <c r="CE727" s="1035"/>
      <c r="CF727" s="1049"/>
      <c r="CG727" s="1043"/>
      <c r="CH727" s="1046"/>
      <c r="CI727" s="1167"/>
      <c r="CJ727" s="1168"/>
      <c r="CK727" s="1169"/>
      <c r="CL727" s="1169"/>
      <c r="CM727" s="1166"/>
      <c r="CN727" s="1169"/>
      <c r="CO727" s="1169"/>
      <c r="CP727" s="452"/>
      <c r="CQ727" s="435"/>
      <c r="CR727" s="1117"/>
      <c r="CS727" s="452"/>
      <c r="CT727" s="482"/>
      <c r="CU727" s="476"/>
      <c r="CV727" s="431"/>
      <c r="CW727" s="1108"/>
      <c r="CX727" s="1108"/>
      <c r="CY727" s="483"/>
      <c r="CZ727" s="437"/>
      <c r="DA727" s="438"/>
      <c r="DB727" s="439"/>
      <c r="DC727" s="439"/>
      <c r="DD727" s="443"/>
      <c r="DE727" s="411"/>
      <c r="DF727" s="411"/>
      <c r="DG727" s="1117"/>
      <c r="DH727" s="1117"/>
      <c r="DI727" s="1117"/>
      <c r="DJ727" s="442"/>
      <c r="DK727" s="482"/>
      <c r="DL727" s="1038"/>
      <c r="DM727" s="1035"/>
      <c r="DN727" s="1035"/>
      <c r="DO727" s="1035"/>
      <c r="DP727" s="1046"/>
      <c r="DQ727" s="1167"/>
      <c r="DR727" s="1168"/>
      <c r="DS727" s="1165"/>
      <c r="DT727" s="1165"/>
      <c r="DU727" s="1165"/>
      <c r="DV727" s="1031"/>
      <c r="DW727" s="1098">
        <f t="shared" si="1168"/>
        <v>0</v>
      </c>
      <c r="DX727" s="1098">
        <f t="shared" si="1169"/>
        <v>0</v>
      </c>
      <c r="DY727" s="1030"/>
      <c r="DZ727" s="1030"/>
      <c r="EA727" s="1031"/>
      <c r="EB727" s="1050"/>
      <c r="EC727" s="1038"/>
      <c r="ED727" s="1035"/>
      <c r="EE727" s="1046"/>
      <c r="EF727" s="1169"/>
      <c r="EG727" s="1168"/>
      <c r="EH727" s="1165"/>
      <c r="EI727" s="1165"/>
      <c r="EJ727" s="1165"/>
      <c r="EK727" s="1031"/>
      <c r="EL727" s="1098">
        <f t="shared" si="1170"/>
        <v>0</v>
      </c>
      <c r="EM727" s="1098">
        <f t="shared" si="1171"/>
        <v>0</v>
      </c>
      <c r="EN727" s="1030"/>
      <c r="EO727" s="1030"/>
      <c r="EP727" s="1031"/>
      <c r="EQ727" s="1050"/>
      <c r="ER727" s="1038"/>
      <c r="ES727" s="1035"/>
      <c r="ET727" s="1051"/>
    </row>
    <row r="728" spans="2:150" ht="16.5" customHeight="1">
      <c r="B728" s="1024"/>
      <c r="C728" s="1025"/>
      <c r="D728" s="408">
        <v>725</v>
      </c>
      <c r="E728" s="1164"/>
      <c r="F728" s="1164"/>
      <c r="G728" s="1026"/>
      <c r="H728" s="411" t="str">
        <f>IFERROR(INDEX(绊状态确认!C:C,MATCH($G728,绊状态确认!$B:$B,)),"")</f>
        <v/>
      </c>
      <c r="I728" s="450" t="str">
        <f>IFERROR(INDEX(绊状态确认!D:D,MATCH($G728,绊状态确认!$B:$B,)),"")</f>
        <v/>
      </c>
      <c r="J728" s="450" t="str">
        <f>IFERROR(INDEX(绊状态确认!E:E,MATCH($G728,绊状态确认!$B:$B,)),"")</f>
        <v/>
      </c>
      <c r="K728" s="451" t="str">
        <f>IFERROR(INDEX(绊状态确认!F:F,MATCH($G728,绊状态确认!$B:$B,)),"")</f>
        <v/>
      </c>
      <c r="L728" s="1026"/>
      <c r="M728" s="1165"/>
      <c r="N728" s="1027"/>
      <c r="O728" s="1026"/>
      <c r="P728" s="1028"/>
      <c r="Q728" s="1029"/>
      <c r="R728" s="1166"/>
      <c r="S728" s="1030"/>
      <c r="T728" s="1031"/>
      <c r="U728" s="1032"/>
      <c r="V728" s="1033"/>
      <c r="W728" s="1034"/>
      <c r="X728" s="1166"/>
      <c r="Y728" s="1035"/>
      <c r="Z728" s="1036"/>
      <c r="AA728" s="1037"/>
      <c r="AB728" s="1038"/>
      <c r="AC728" s="1039"/>
      <c r="AD728" s="1040"/>
      <c r="AE728" s="1041"/>
      <c r="AF728" s="521"/>
      <c r="AG728" s="420"/>
      <c r="AH728" s="420"/>
      <c r="AI728" s="420"/>
      <c r="AJ728" s="420"/>
      <c r="AK728" s="518"/>
      <c r="AL728" s="1042"/>
      <c r="AM728" s="1035"/>
      <c r="AN728" s="1043"/>
      <c r="AO728" s="1167"/>
      <c r="AP728" s="1044"/>
      <c r="AQ728" s="1035"/>
      <c r="AR728" s="1035"/>
      <c r="AS728" s="1035"/>
      <c r="AT728" s="1165"/>
      <c r="AU728" s="1031"/>
      <c r="AV728" s="1045"/>
      <c r="AW728" s="1038"/>
      <c r="AX728" s="1035"/>
      <c r="AY728" s="483"/>
      <c r="AZ728" s="429"/>
      <c r="BA728" s="431"/>
      <c r="BB728" s="1035"/>
      <c r="BC728" s="1035"/>
      <c r="BD728" s="481"/>
      <c r="BE728" s="432"/>
      <c r="BF728" s="646"/>
      <c r="BG728" s="1047"/>
      <c r="BH728" s="1046"/>
      <c r="BI728" s="1048"/>
      <c r="BJ728" s="1030"/>
      <c r="BK728" s="1046"/>
      <c r="BL728" s="1048"/>
      <c r="BM728" s="1046"/>
      <c r="BN728" s="1167"/>
      <c r="BO728" s="1035"/>
      <c r="BP728" s="1043"/>
      <c r="BQ728" s="1167"/>
      <c r="BR728" s="1165"/>
      <c r="BS728" s="1031"/>
      <c r="BT728" s="1038"/>
      <c r="BU728" s="1035"/>
      <c r="BV728" s="1035"/>
      <c r="BW728" s="1049"/>
      <c r="BX728" s="1043"/>
      <c r="BY728" s="1046"/>
      <c r="BZ728" s="1167"/>
      <c r="CA728" s="1165"/>
      <c r="CB728" s="1031"/>
      <c r="CC728" s="1038"/>
      <c r="CD728" s="1035"/>
      <c r="CE728" s="1035"/>
      <c r="CF728" s="1049"/>
      <c r="CG728" s="1043"/>
      <c r="CH728" s="1046"/>
      <c r="CI728" s="1167"/>
      <c r="CJ728" s="1168"/>
      <c r="CK728" s="1169"/>
      <c r="CL728" s="1169"/>
      <c r="CM728" s="1166"/>
      <c r="CN728" s="1169"/>
      <c r="CO728" s="1169"/>
      <c r="CP728" s="452"/>
      <c r="CQ728" s="435"/>
      <c r="CR728" s="1117"/>
      <c r="CS728" s="452"/>
      <c r="CT728" s="482"/>
      <c r="CU728" s="476"/>
      <c r="CV728" s="431"/>
      <c r="CW728" s="1108"/>
      <c r="CX728" s="1108"/>
      <c r="CY728" s="483"/>
      <c r="CZ728" s="437"/>
      <c r="DA728" s="438"/>
      <c r="DB728" s="439"/>
      <c r="DC728" s="439"/>
      <c r="DD728" s="443"/>
      <c r="DE728" s="411"/>
      <c r="DF728" s="411"/>
      <c r="DG728" s="1117"/>
      <c r="DH728" s="1117"/>
      <c r="DI728" s="1117"/>
      <c r="DJ728" s="442"/>
      <c r="DK728" s="482"/>
      <c r="DL728" s="1038"/>
      <c r="DM728" s="1035"/>
      <c r="DN728" s="1035"/>
      <c r="DO728" s="1035"/>
      <c r="DP728" s="1046"/>
      <c r="DQ728" s="1167"/>
      <c r="DR728" s="1168"/>
      <c r="DS728" s="1165"/>
      <c r="DT728" s="1165"/>
      <c r="DU728" s="1165"/>
      <c r="DV728" s="1031"/>
      <c r="DW728" s="1098">
        <f t="shared" si="1168"/>
        <v>0</v>
      </c>
      <c r="DX728" s="1098">
        <f t="shared" si="1169"/>
        <v>0</v>
      </c>
      <c r="DY728" s="1030"/>
      <c r="DZ728" s="1030"/>
      <c r="EA728" s="1031"/>
      <c r="EB728" s="1050"/>
      <c r="EC728" s="1038"/>
      <c r="ED728" s="1035"/>
      <c r="EE728" s="1046"/>
      <c r="EF728" s="1169"/>
      <c r="EG728" s="1168"/>
      <c r="EH728" s="1165"/>
      <c r="EI728" s="1165"/>
      <c r="EJ728" s="1165"/>
      <c r="EK728" s="1031"/>
      <c r="EL728" s="1098">
        <f t="shared" si="1170"/>
        <v>0</v>
      </c>
      <c r="EM728" s="1098">
        <f t="shared" si="1171"/>
        <v>0</v>
      </c>
      <c r="EN728" s="1030"/>
      <c r="EO728" s="1030"/>
      <c r="EP728" s="1031"/>
      <c r="EQ728" s="1050"/>
      <c r="ER728" s="1038"/>
      <c r="ES728" s="1035"/>
      <c r="ET728" s="1051"/>
    </row>
    <row r="729" spans="2:150" ht="16.5" customHeight="1">
      <c r="B729" s="1024"/>
      <c r="C729" s="1025"/>
      <c r="D729" s="408">
        <v>726</v>
      </c>
      <c r="E729" s="1164"/>
      <c r="F729" s="1164"/>
      <c r="G729" s="1026"/>
      <c r="H729" s="411" t="str">
        <f>IFERROR(INDEX(绊状态确认!C:C,MATCH($G729,绊状态确认!$B:$B,)),"")</f>
        <v/>
      </c>
      <c r="I729" s="450" t="str">
        <f>IFERROR(INDEX(绊状态确认!D:D,MATCH($G729,绊状态确认!$B:$B,)),"")</f>
        <v/>
      </c>
      <c r="J729" s="450" t="str">
        <f>IFERROR(INDEX(绊状态确认!E:E,MATCH($G729,绊状态确认!$B:$B,)),"")</f>
        <v/>
      </c>
      <c r="K729" s="451" t="str">
        <f>IFERROR(INDEX(绊状态确认!F:F,MATCH($G729,绊状态确认!$B:$B,)),"")</f>
        <v/>
      </c>
      <c r="L729" s="1026"/>
      <c r="M729" s="1165"/>
      <c r="N729" s="1027"/>
      <c r="O729" s="1026"/>
      <c r="P729" s="1028"/>
      <c r="Q729" s="1029"/>
      <c r="R729" s="1166"/>
      <c r="S729" s="1030"/>
      <c r="T729" s="1031"/>
      <c r="U729" s="1032"/>
      <c r="V729" s="1033"/>
      <c r="W729" s="1034"/>
      <c r="X729" s="1166"/>
      <c r="Y729" s="1035"/>
      <c r="Z729" s="1036"/>
      <c r="AA729" s="1037"/>
      <c r="AB729" s="1038"/>
      <c r="AC729" s="1039"/>
      <c r="AD729" s="1040"/>
      <c r="AE729" s="1041"/>
      <c r="AF729" s="521"/>
      <c r="AG729" s="420"/>
      <c r="AH729" s="420"/>
      <c r="AI729" s="420"/>
      <c r="AJ729" s="420"/>
      <c r="AK729" s="518"/>
      <c r="AL729" s="1042"/>
      <c r="AM729" s="1035"/>
      <c r="AN729" s="1043"/>
      <c r="AO729" s="1167"/>
      <c r="AP729" s="1044"/>
      <c r="AQ729" s="1035"/>
      <c r="AR729" s="1035"/>
      <c r="AS729" s="1035"/>
      <c r="AT729" s="1165"/>
      <c r="AU729" s="1031"/>
      <c r="AV729" s="1045"/>
      <c r="AW729" s="1038"/>
      <c r="AX729" s="1035"/>
      <c r="AY729" s="483"/>
      <c r="AZ729" s="429"/>
      <c r="BA729" s="431"/>
      <c r="BB729" s="1035"/>
      <c r="BC729" s="1035"/>
      <c r="BD729" s="481"/>
      <c r="BE729" s="432"/>
      <c r="BF729" s="646"/>
      <c r="BG729" s="1047"/>
      <c r="BH729" s="1046"/>
      <c r="BI729" s="1048"/>
      <c r="BJ729" s="1030"/>
      <c r="BK729" s="1046"/>
      <c r="BL729" s="1048"/>
      <c r="BM729" s="1046"/>
      <c r="BN729" s="1167"/>
      <c r="BO729" s="1035"/>
      <c r="BP729" s="1043"/>
      <c r="BQ729" s="1167"/>
      <c r="BR729" s="1165"/>
      <c r="BS729" s="1031"/>
      <c r="BT729" s="1038"/>
      <c r="BU729" s="1035"/>
      <c r="BV729" s="1035"/>
      <c r="BW729" s="1049"/>
      <c r="BX729" s="1043"/>
      <c r="BY729" s="1046"/>
      <c r="BZ729" s="1167"/>
      <c r="CA729" s="1165"/>
      <c r="CB729" s="1031"/>
      <c r="CC729" s="1038"/>
      <c r="CD729" s="1035"/>
      <c r="CE729" s="1035"/>
      <c r="CF729" s="1049"/>
      <c r="CG729" s="1043"/>
      <c r="CH729" s="1046"/>
      <c r="CI729" s="1167"/>
      <c r="CJ729" s="1168"/>
      <c r="CK729" s="1169"/>
      <c r="CL729" s="1169"/>
      <c r="CM729" s="1166"/>
      <c r="CN729" s="1169"/>
      <c r="CO729" s="1169"/>
      <c r="CP729" s="452"/>
      <c r="CQ729" s="435"/>
      <c r="CR729" s="1117"/>
      <c r="CS729" s="452"/>
      <c r="CT729" s="482"/>
      <c r="CU729" s="476"/>
      <c r="CV729" s="431"/>
      <c r="CW729" s="1108"/>
      <c r="CX729" s="1108"/>
      <c r="CY729" s="483"/>
      <c r="CZ729" s="437"/>
      <c r="DA729" s="438"/>
      <c r="DB729" s="439"/>
      <c r="DC729" s="439"/>
      <c r="DD729" s="443"/>
      <c r="DE729" s="411"/>
      <c r="DF729" s="411"/>
      <c r="DG729" s="1117"/>
      <c r="DH729" s="1117"/>
      <c r="DI729" s="1117"/>
      <c r="DJ729" s="442"/>
      <c r="DK729" s="482"/>
      <c r="DL729" s="1038"/>
      <c r="DM729" s="1035"/>
      <c r="DN729" s="1035"/>
      <c r="DO729" s="1035"/>
      <c r="DP729" s="1046"/>
      <c r="DQ729" s="1167"/>
      <c r="DR729" s="1168"/>
      <c r="DS729" s="1165"/>
      <c r="DT729" s="1165"/>
      <c r="DU729" s="1165"/>
      <c r="DV729" s="1031"/>
      <c r="DW729" s="1098">
        <f t="shared" si="1168"/>
        <v>0</v>
      </c>
      <c r="DX729" s="1098">
        <f t="shared" si="1169"/>
        <v>0</v>
      </c>
      <c r="DY729" s="1030"/>
      <c r="DZ729" s="1030"/>
      <c r="EA729" s="1031"/>
      <c r="EB729" s="1050"/>
      <c r="EC729" s="1038"/>
      <c r="ED729" s="1035"/>
      <c r="EE729" s="1046"/>
      <c r="EF729" s="1169"/>
      <c r="EG729" s="1168"/>
      <c r="EH729" s="1165"/>
      <c r="EI729" s="1165"/>
      <c r="EJ729" s="1165"/>
      <c r="EK729" s="1031"/>
      <c r="EL729" s="1098">
        <f t="shared" si="1170"/>
        <v>0</v>
      </c>
      <c r="EM729" s="1098">
        <f t="shared" si="1171"/>
        <v>0</v>
      </c>
      <c r="EN729" s="1030"/>
      <c r="EO729" s="1030"/>
      <c r="EP729" s="1031"/>
      <c r="EQ729" s="1050"/>
      <c r="ER729" s="1038"/>
      <c r="ES729" s="1035"/>
      <c r="ET729" s="1051"/>
    </row>
    <row r="730" spans="2:150" ht="16.5" customHeight="1">
      <c r="B730" s="1024"/>
      <c r="C730" s="1025"/>
      <c r="D730" s="408">
        <v>727</v>
      </c>
      <c r="E730" s="1164"/>
      <c r="F730" s="1164"/>
      <c r="G730" s="1026"/>
      <c r="H730" s="411" t="str">
        <f>IFERROR(INDEX(绊状态确认!C:C,MATCH($G730,绊状态确认!$B:$B,)),"")</f>
        <v/>
      </c>
      <c r="I730" s="450" t="str">
        <f>IFERROR(INDEX(绊状态确认!D:D,MATCH($G730,绊状态确认!$B:$B,)),"")</f>
        <v/>
      </c>
      <c r="J730" s="450" t="str">
        <f>IFERROR(INDEX(绊状态确认!E:E,MATCH($G730,绊状态确认!$B:$B,)),"")</f>
        <v/>
      </c>
      <c r="K730" s="451" t="str">
        <f>IFERROR(INDEX(绊状态确认!F:F,MATCH($G730,绊状态确认!$B:$B,)),"")</f>
        <v/>
      </c>
      <c r="L730" s="1026"/>
      <c r="M730" s="1165"/>
      <c r="N730" s="1027"/>
      <c r="O730" s="1026"/>
      <c r="P730" s="1028"/>
      <c r="Q730" s="1029"/>
      <c r="R730" s="1166"/>
      <c r="S730" s="1030"/>
      <c r="T730" s="1031"/>
      <c r="U730" s="1032"/>
      <c r="V730" s="1033"/>
      <c r="W730" s="1034"/>
      <c r="X730" s="1166"/>
      <c r="Y730" s="1035"/>
      <c r="Z730" s="1036"/>
      <c r="AA730" s="1037"/>
      <c r="AB730" s="1038"/>
      <c r="AC730" s="1039"/>
      <c r="AD730" s="1040"/>
      <c r="AE730" s="1041"/>
      <c r="AF730" s="521"/>
      <c r="AG730" s="420"/>
      <c r="AH730" s="420"/>
      <c r="AI730" s="420"/>
      <c r="AJ730" s="420"/>
      <c r="AK730" s="518"/>
      <c r="AL730" s="1042"/>
      <c r="AM730" s="1035"/>
      <c r="AN730" s="1043"/>
      <c r="AO730" s="1167"/>
      <c r="AP730" s="1044"/>
      <c r="AQ730" s="1035"/>
      <c r="AR730" s="1035"/>
      <c r="AS730" s="1035"/>
      <c r="AT730" s="1165"/>
      <c r="AU730" s="1031"/>
      <c r="AV730" s="1045"/>
      <c r="AW730" s="1038"/>
      <c r="AX730" s="1035"/>
      <c r="AY730" s="483"/>
      <c r="AZ730" s="429"/>
      <c r="BA730" s="431"/>
      <c r="BB730" s="1035"/>
      <c r="BC730" s="1035"/>
      <c r="BD730" s="481"/>
      <c r="BE730" s="432"/>
      <c r="BF730" s="646"/>
      <c r="BG730" s="1047"/>
      <c r="BH730" s="1046"/>
      <c r="BI730" s="1048"/>
      <c r="BJ730" s="1030"/>
      <c r="BK730" s="1046"/>
      <c r="BL730" s="1048"/>
      <c r="BM730" s="1046"/>
      <c r="BN730" s="1167"/>
      <c r="BO730" s="1035"/>
      <c r="BP730" s="1043"/>
      <c r="BQ730" s="1167"/>
      <c r="BR730" s="1165"/>
      <c r="BS730" s="1031"/>
      <c r="BT730" s="1038"/>
      <c r="BU730" s="1035"/>
      <c r="BV730" s="1035"/>
      <c r="BW730" s="1049"/>
      <c r="BX730" s="1043"/>
      <c r="BY730" s="1046"/>
      <c r="BZ730" s="1167"/>
      <c r="CA730" s="1165"/>
      <c r="CB730" s="1031"/>
      <c r="CC730" s="1038"/>
      <c r="CD730" s="1035"/>
      <c r="CE730" s="1035"/>
      <c r="CF730" s="1049"/>
      <c r="CG730" s="1043"/>
      <c r="CH730" s="1046"/>
      <c r="CI730" s="1167"/>
      <c r="CJ730" s="1168"/>
      <c r="CK730" s="1169"/>
      <c r="CL730" s="1169"/>
      <c r="CM730" s="1166"/>
      <c r="CN730" s="1169"/>
      <c r="CO730" s="1169"/>
      <c r="CP730" s="452"/>
      <c r="CQ730" s="435"/>
      <c r="CR730" s="1117"/>
      <c r="CS730" s="452"/>
      <c r="CT730" s="482"/>
      <c r="CU730" s="476"/>
      <c r="CV730" s="431"/>
      <c r="CW730" s="1108"/>
      <c r="CX730" s="1108"/>
      <c r="CY730" s="483"/>
      <c r="CZ730" s="437"/>
      <c r="DA730" s="438"/>
      <c r="DB730" s="439"/>
      <c r="DC730" s="439"/>
      <c r="DD730" s="443"/>
      <c r="DE730" s="411"/>
      <c r="DF730" s="411"/>
      <c r="DG730" s="1117"/>
      <c r="DH730" s="1117"/>
      <c r="DI730" s="1117"/>
      <c r="DJ730" s="442"/>
      <c r="DK730" s="482"/>
      <c r="DL730" s="1038"/>
      <c r="DM730" s="1035"/>
      <c r="DN730" s="1035"/>
      <c r="DO730" s="1035"/>
      <c r="DP730" s="1046"/>
      <c r="DQ730" s="1167"/>
      <c r="DR730" s="1168"/>
      <c r="DS730" s="1165"/>
      <c r="DT730" s="1165"/>
      <c r="DU730" s="1165"/>
      <c r="DV730" s="1031"/>
      <c r="DW730" s="1098">
        <f t="shared" si="1168"/>
        <v>0</v>
      </c>
      <c r="DX730" s="1098">
        <f t="shared" si="1169"/>
        <v>0</v>
      </c>
      <c r="DY730" s="1030"/>
      <c r="DZ730" s="1030"/>
      <c r="EA730" s="1031"/>
      <c r="EB730" s="1050"/>
      <c r="EC730" s="1038"/>
      <c r="ED730" s="1035"/>
      <c r="EE730" s="1046"/>
      <c r="EF730" s="1169"/>
      <c r="EG730" s="1168"/>
      <c r="EH730" s="1165"/>
      <c r="EI730" s="1165"/>
      <c r="EJ730" s="1165"/>
      <c r="EK730" s="1031"/>
      <c r="EL730" s="1098">
        <f t="shared" si="1170"/>
        <v>0</v>
      </c>
      <c r="EM730" s="1098">
        <f t="shared" si="1171"/>
        <v>0</v>
      </c>
      <c r="EN730" s="1030"/>
      <c r="EO730" s="1030"/>
      <c r="EP730" s="1031"/>
      <c r="EQ730" s="1050"/>
      <c r="ER730" s="1038"/>
      <c r="ES730" s="1035"/>
      <c r="ET730" s="1051"/>
    </row>
    <row r="731" spans="2:150" ht="16.5" customHeight="1">
      <c r="B731" s="1024"/>
      <c r="C731" s="1025"/>
      <c r="D731" s="408">
        <v>728</v>
      </c>
      <c r="E731" s="1164"/>
      <c r="F731" s="1164"/>
      <c r="G731" s="1026"/>
      <c r="H731" s="411" t="str">
        <f>IFERROR(INDEX(绊状态确认!C:C,MATCH($G731,绊状态确认!$B:$B,)),"")</f>
        <v/>
      </c>
      <c r="I731" s="450" t="str">
        <f>IFERROR(INDEX(绊状态确认!D:D,MATCH($G731,绊状态确认!$B:$B,)),"")</f>
        <v/>
      </c>
      <c r="J731" s="450" t="str">
        <f>IFERROR(INDEX(绊状态确认!E:E,MATCH($G731,绊状态确认!$B:$B,)),"")</f>
        <v/>
      </c>
      <c r="K731" s="451" t="str">
        <f>IFERROR(INDEX(绊状态确认!F:F,MATCH($G731,绊状态确认!$B:$B,)),"")</f>
        <v/>
      </c>
      <c r="L731" s="1026"/>
      <c r="M731" s="1165"/>
      <c r="N731" s="1027"/>
      <c r="O731" s="1026"/>
      <c r="P731" s="1028"/>
      <c r="Q731" s="1029"/>
      <c r="R731" s="1166"/>
      <c r="S731" s="1030"/>
      <c r="T731" s="1031"/>
      <c r="U731" s="1032"/>
      <c r="V731" s="1033"/>
      <c r="W731" s="1034"/>
      <c r="X731" s="1166"/>
      <c r="Y731" s="1035"/>
      <c r="Z731" s="1036"/>
      <c r="AA731" s="1037"/>
      <c r="AB731" s="1038"/>
      <c r="AC731" s="1039"/>
      <c r="AD731" s="1040"/>
      <c r="AE731" s="1041"/>
      <c r="AF731" s="521"/>
      <c r="AG731" s="420"/>
      <c r="AH731" s="420"/>
      <c r="AI731" s="420"/>
      <c r="AJ731" s="420"/>
      <c r="AK731" s="518"/>
      <c r="AL731" s="1042"/>
      <c r="AM731" s="1035"/>
      <c r="AN731" s="1043"/>
      <c r="AO731" s="1167"/>
      <c r="AP731" s="1044"/>
      <c r="AQ731" s="1035"/>
      <c r="AR731" s="1035"/>
      <c r="AS731" s="1035"/>
      <c r="AT731" s="1165"/>
      <c r="AU731" s="1031"/>
      <c r="AV731" s="1045"/>
      <c r="AW731" s="1038"/>
      <c r="AX731" s="1035"/>
      <c r="AY731" s="483"/>
      <c r="AZ731" s="429"/>
      <c r="BA731" s="431"/>
      <c r="BB731" s="1035"/>
      <c r="BC731" s="1035"/>
      <c r="BD731" s="481"/>
      <c r="BE731" s="432"/>
      <c r="BF731" s="646"/>
      <c r="BG731" s="1047"/>
      <c r="BH731" s="1046"/>
      <c r="BI731" s="1048"/>
      <c r="BJ731" s="1030"/>
      <c r="BK731" s="1046"/>
      <c r="BL731" s="1048"/>
      <c r="BM731" s="1046"/>
      <c r="BN731" s="1167"/>
      <c r="BO731" s="1035"/>
      <c r="BP731" s="1043"/>
      <c r="BQ731" s="1167"/>
      <c r="BR731" s="1165"/>
      <c r="BS731" s="1031"/>
      <c r="BT731" s="1038"/>
      <c r="BU731" s="1035"/>
      <c r="BV731" s="1035"/>
      <c r="BW731" s="1049"/>
      <c r="BX731" s="1043"/>
      <c r="BY731" s="1046"/>
      <c r="BZ731" s="1167"/>
      <c r="CA731" s="1165"/>
      <c r="CB731" s="1031"/>
      <c r="CC731" s="1038"/>
      <c r="CD731" s="1035"/>
      <c r="CE731" s="1035"/>
      <c r="CF731" s="1049"/>
      <c r="CG731" s="1043"/>
      <c r="CH731" s="1046"/>
      <c r="CI731" s="1167"/>
      <c r="CJ731" s="1168"/>
      <c r="CK731" s="1169"/>
      <c r="CL731" s="1169"/>
      <c r="CM731" s="1166"/>
      <c r="CN731" s="1169"/>
      <c r="CO731" s="1169"/>
      <c r="CP731" s="452"/>
      <c r="CQ731" s="435"/>
      <c r="CR731" s="1117"/>
      <c r="CS731" s="452"/>
      <c r="CT731" s="482"/>
      <c r="CU731" s="476"/>
      <c r="CV731" s="431"/>
      <c r="CW731" s="1108"/>
      <c r="CX731" s="1108"/>
      <c r="CY731" s="483"/>
      <c r="CZ731" s="437"/>
      <c r="DA731" s="438"/>
      <c r="DB731" s="439"/>
      <c r="DC731" s="439"/>
      <c r="DD731" s="443"/>
      <c r="DE731" s="411"/>
      <c r="DF731" s="411"/>
      <c r="DG731" s="1117"/>
      <c r="DH731" s="1117"/>
      <c r="DI731" s="1117"/>
      <c r="DJ731" s="442"/>
      <c r="DK731" s="482"/>
      <c r="DL731" s="1038"/>
      <c r="DM731" s="1035"/>
      <c r="DN731" s="1035"/>
      <c r="DO731" s="1035"/>
      <c r="DP731" s="1046"/>
      <c r="DQ731" s="1167"/>
      <c r="DR731" s="1168"/>
      <c r="DS731" s="1165"/>
      <c r="DT731" s="1165"/>
      <c r="DU731" s="1165"/>
      <c r="DV731" s="1031"/>
      <c r="DW731" s="1098">
        <f t="shared" si="1168"/>
        <v>0</v>
      </c>
      <c r="DX731" s="1098">
        <f t="shared" si="1169"/>
        <v>0</v>
      </c>
      <c r="DY731" s="1030"/>
      <c r="DZ731" s="1030"/>
      <c r="EA731" s="1031"/>
      <c r="EB731" s="1050"/>
      <c r="EC731" s="1038"/>
      <c r="ED731" s="1035"/>
      <c r="EE731" s="1046"/>
      <c r="EF731" s="1169"/>
      <c r="EG731" s="1168"/>
      <c r="EH731" s="1165"/>
      <c r="EI731" s="1165"/>
      <c r="EJ731" s="1165"/>
      <c r="EK731" s="1031"/>
      <c r="EL731" s="1098">
        <f t="shared" si="1170"/>
        <v>0</v>
      </c>
      <c r="EM731" s="1098">
        <f t="shared" si="1171"/>
        <v>0</v>
      </c>
      <c r="EN731" s="1030"/>
      <c r="EO731" s="1030"/>
      <c r="EP731" s="1031"/>
      <c r="EQ731" s="1050"/>
      <c r="ER731" s="1038"/>
      <c r="ES731" s="1035"/>
      <c r="ET731" s="1051"/>
    </row>
    <row r="732" spans="2:150" ht="16.5" customHeight="1">
      <c r="B732" s="1024"/>
      <c r="C732" s="1025"/>
      <c r="D732" s="408">
        <v>729</v>
      </c>
      <c r="E732" s="1164"/>
      <c r="F732" s="1164"/>
      <c r="G732" s="1026"/>
      <c r="H732" s="411" t="str">
        <f>IFERROR(INDEX(绊状态确认!C:C,MATCH($G732,绊状态确认!$B:$B,)),"")</f>
        <v/>
      </c>
      <c r="I732" s="450" t="str">
        <f>IFERROR(INDEX(绊状态确认!D:D,MATCH($G732,绊状态确认!$B:$B,)),"")</f>
        <v/>
      </c>
      <c r="J732" s="450" t="str">
        <f>IFERROR(INDEX(绊状态确认!E:E,MATCH($G732,绊状态确认!$B:$B,)),"")</f>
        <v/>
      </c>
      <c r="K732" s="451" t="str">
        <f>IFERROR(INDEX(绊状态确认!F:F,MATCH($G732,绊状态确认!$B:$B,)),"")</f>
        <v/>
      </c>
      <c r="L732" s="1026"/>
      <c r="M732" s="1165"/>
      <c r="N732" s="1027"/>
      <c r="O732" s="1026"/>
      <c r="P732" s="1028"/>
      <c r="Q732" s="1029"/>
      <c r="R732" s="1166"/>
      <c r="S732" s="1030"/>
      <c r="T732" s="1031"/>
      <c r="U732" s="1032"/>
      <c r="V732" s="1033"/>
      <c r="W732" s="1034"/>
      <c r="X732" s="1166"/>
      <c r="Y732" s="1035"/>
      <c r="Z732" s="1036"/>
      <c r="AA732" s="1037"/>
      <c r="AB732" s="1038"/>
      <c r="AC732" s="1039"/>
      <c r="AD732" s="1040"/>
      <c r="AE732" s="1041"/>
      <c r="AF732" s="521"/>
      <c r="AG732" s="420"/>
      <c r="AH732" s="420"/>
      <c r="AI732" s="420"/>
      <c r="AJ732" s="420"/>
      <c r="AK732" s="518"/>
      <c r="AL732" s="1042"/>
      <c r="AM732" s="1035"/>
      <c r="AN732" s="1043"/>
      <c r="AO732" s="1167"/>
      <c r="AP732" s="1044"/>
      <c r="AQ732" s="1035"/>
      <c r="AR732" s="1035"/>
      <c r="AS732" s="1035"/>
      <c r="AT732" s="1165"/>
      <c r="AU732" s="1031"/>
      <c r="AV732" s="1045"/>
      <c r="AW732" s="1038"/>
      <c r="AX732" s="1035"/>
      <c r="AY732" s="483"/>
      <c r="AZ732" s="429"/>
      <c r="BA732" s="431"/>
      <c r="BB732" s="1035"/>
      <c r="BC732" s="1035"/>
      <c r="BD732" s="481"/>
      <c r="BE732" s="432"/>
      <c r="BF732" s="646"/>
      <c r="BG732" s="1047"/>
      <c r="BH732" s="1046"/>
      <c r="BI732" s="1048"/>
      <c r="BJ732" s="1030"/>
      <c r="BK732" s="1046"/>
      <c r="BL732" s="1048"/>
      <c r="BM732" s="1046"/>
      <c r="BN732" s="1167"/>
      <c r="BO732" s="1035"/>
      <c r="BP732" s="1043"/>
      <c r="BQ732" s="1167"/>
      <c r="BR732" s="1165"/>
      <c r="BS732" s="1031"/>
      <c r="BT732" s="1038"/>
      <c r="BU732" s="1035"/>
      <c r="BV732" s="1035"/>
      <c r="BW732" s="1049"/>
      <c r="BX732" s="1043"/>
      <c r="BY732" s="1046"/>
      <c r="BZ732" s="1167"/>
      <c r="CA732" s="1165"/>
      <c r="CB732" s="1031"/>
      <c r="CC732" s="1038"/>
      <c r="CD732" s="1035"/>
      <c r="CE732" s="1035"/>
      <c r="CF732" s="1049"/>
      <c r="CG732" s="1043"/>
      <c r="CH732" s="1046"/>
      <c r="CI732" s="1167"/>
      <c r="CJ732" s="1168"/>
      <c r="CK732" s="1169"/>
      <c r="CL732" s="1169"/>
      <c r="CM732" s="1166"/>
      <c r="CN732" s="1169"/>
      <c r="CO732" s="1169"/>
      <c r="CP732" s="452"/>
      <c r="CQ732" s="435"/>
      <c r="CR732" s="1117"/>
      <c r="CS732" s="452"/>
      <c r="CT732" s="482"/>
      <c r="CU732" s="476"/>
      <c r="CV732" s="431"/>
      <c r="CW732" s="1108"/>
      <c r="CX732" s="1108"/>
      <c r="CY732" s="483"/>
      <c r="CZ732" s="437"/>
      <c r="DA732" s="438"/>
      <c r="DB732" s="439"/>
      <c r="DC732" s="439"/>
      <c r="DD732" s="443"/>
      <c r="DE732" s="411"/>
      <c r="DF732" s="411"/>
      <c r="DG732" s="1117"/>
      <c r="DH732" s="1117"/>
      <c r="DI732" s="1117"/>
      <c r="DJ732" s="442"/>
      <c r="DK732" s="482"/>
      <c r="DL732" s="1038"/>
      <c r="DM732" s="1035"/>
      <c r="DN732" s="1035"/>
      <c r="DO732" s="1035"/>
      <c r="DP732" s="1046"/>
      <c r="DQ732" s="1167"/>
      <c r="DR732" s="1168"/>
      <c r="DS732" s="1165"/>
      <c r="DT732" s="1165"/>
      <c r="DU732" s="1165"/>
      <c r="DV732" s="1031"/>
      <c r="DW732" s="1098">
        <f t="shared" si="1168"/>
        <v>0</v>
      </c>
      <c r="DX732" s="1098">
        <f t="shared" si="1169"/>
        <v>0</v>
      </c>
      <c r="DY732" s="1030"/>
      <c r="DZ732" s="1030"/>
      <c r="EA732" s="1031"/>
      <c r="EB732" s="1050"/>
      <c r="EC732" s="1038"/>
      <c r="ED732" s="1035"/>
      <c r="EE732" s="1046"/>
      <c r="EF732" s="1169"/>
      <c r="EG732" s="1168"/>
      <c r="EH732" s="1165"/>
      <c r="EI732" s="1165"/>
      <c r="EJ732" s="1165"/>
      <c r="EK732" s="1031"/>
      <c r="EL732" s="1098">
        <f t="shared" si="1170"/>
        <v>0</v>
      </c>
      <c r="EM732" s="1098">
        <f t="shared" si="1171"/>
        <v>0</v>
      </c>
      <c r="EN732" s="1030"/>
      <c r="EO732" s="1030"/>
      <c r="EP732" s="1031"/>
      <c r="EQ732" s="1050"/>
      <c r="ER732" s="1038"/>
      <c r="ES732" s="1035"/>
      <c r="ET732" s="1051"/>
    </row>
    <row r="733" spans="2:150" ht="16.5" customHeight="1">
      <c r="B733" s="1024"/>
      <c r="C733" s="1025"/>
      <c r="D733" s="408">
        <v>730</v>
      </c>
      <c r="E733" s="1164"/>
      <c r="F733" s="1164"/>
      <c r="G733" s="1026"/>
      <c r="H733" s="411" t="str">
        <f>IFERROR(INDEX(绊状态确认!C:C,MATCH($G733,绊状态确认!$B:$B,)),"")</f>
        <v/>
      </c>
      <c r="I733" s="450" t="str">
        <f>IFERROR(INDEX(绊状态确认!D:D,MATCH($G733,绊状态确认!$B:$B,)),"")</f>
        <v/>
      </c>
      <c r="J733" s="450" t="str">
        <f>IFERROR(INDEX(绊状态确认!E:E,MATCH($G733,绊状态确认!$B:$B,)),"")</f>
        <v/>
      </c>
      <c r="K733" s="451" t="str">
        <f>IFERROR(INDEX(绊状态确认!F:F,MATCH($G733,绊状态确认!$B:$B,)),"")</f>
        <v/>
      </c>
      <c r="L733" s="1026"/>
      <c r="M733" s="1165"/>
      <c r="N733" s="1027"/>
      <c r="O733" s="1026"/>
      <c r="P733" s="1028"/>
      <c r="Q733" s="1029"/>
      <c r="R733" s="1166"/>
      <c r="S733" s="1030"/>
      <c r="T733" s="1031"/>
      <c r="U733" s="1032"/>
      <c r="V733" s="1033"/>
      <c r="W733" s="1034"/>
      <c r="X733" s="1166"/>
      <c r="Y733" s="1035"/>
      <c r="Z733" s="1036"/>
      <c r="AA733" s="1037"/>
      <c r="AB733" s="1038"/>
      <c r="AC733" s="1039"/>
      <c r="AD733" s="1040"/>
      <c r="AE733" s="1041"/>
      <c r="AF733" s="521"/>
      <c r="AG733" s="420"/>
      <c r="AH733" s="420"/>
      <c r="AI733" s="420"/>
      <c r="AJ733" s="420"/>
      <c r="AK733" s="518"/>
      <c r="AL733" s="1042"/>
      <c r="AM733" s="1035"/>
      <c r="AN733" s="1043"/>
      <c r="AO733" s="1167"/>
      <c r="AP733" s="1044"/>
      <c r="AQ733" s="1035"/>
      <c r="AR733" s="1035"/>
      <c r="AS733" s="1035"/>
      <c r="AT733" s="1165"/>
      <c r="AU733" s="1031"/>
      <c r="AV733" s="1045"/>
      <c r="AW733" s="1038"/>
      <c r="AX733" s="1035"/>
      <c r="AY733" s="483"/>
      <c r="AZ733" s="429"/>
      <c r="BA733" s="431"/>
      <c r="BB733" s="1035"/>
      <c r="BC733" s="1035"/>
      <c r="BD733" s="481"/>
      <c r="BE733" s="432"/>
      <c r="BF733" s="646"/>
      <c r="BG733" s="1047"/>
      <c r="BH733" s="1046"/>
      <c r="BI733" s="1048"/>
      <c r="BJ733" s="1030"/>
      <c r="BK733" s="1046"/>
      <c r="BL733" s="1048"/>
      <c r="BM733" s="1046"/>
      <c r="BN733" s="1167"/>
      <c r="BO733" s="1035"/>
      <c r="BP733" s="1043"/>
      <c r="BQ733" s="1167"/>
      <c r="BR733" s="1165"/>
      <c r="BS733" s="1031"/>
      <c r="BT733" s="1038"/>
      <c r="BU733" s="1035"/>
      <c r="BV733" s="1035"/>
      <c r="BW733" s="1049"/>
      <c r="BX733" s="1043"/>
      <c r="BY733" s="1046"/>
      <c r="BZ733" s="1167"/>
      <c r="CA733" s="1165"/>
      <c r="CB733" s="1031"/>
      <c r="CC733" s="1038"/>
      <c r="CD733" s="1035"/>
      <c r="CE733" s="1035"/>
      <c r="CF733" s="1049"/>
      <c r="CG733" s="1043"/>
      <c r="CH733" s="1046"/>
      <c r="CI733" s="1167"/>
      <c r="CJ733" s="1168"/>
      <c r="CK733" s="1169"/>
      <c r="CL733" s="1169"/>
      <c r="CM733" s="1166"/>
      <c r="CN733" s="1169"/>
      <c r="CO733" s="1169"/>
      <c r="CP733" s="452"/>
      <c r="CQ733" s="435"/>
      <c r="CR733" s="1117"/>
      <c r="CS733" s="452"/>
      <c r="CT733" s="482"/>
      <c r="CU733" s="476"/>
      <c r="CV733" s="431"/>
      <c r="CW733" s="1108"/>
      <c r="CX733" s="1108"/>
      <c r="CY733" s="483"/>
      <c r="CZ733" s="437"/>
      <c r="DA733" s="438"/>
      <c r="DB733" s="439"/>
      <c r="DC733" s="439"/>
      <c r="DD733" s="443"/>
      <c r="DE733" s="411"/>
      <c r="DF733" s="411"/>
      <c r="DG733" s="1117"/>
      <c r="DH733" s="1117"/>
      <c r="DI733" s="1117"/>
      <c r="DJ733" s="442"/>
      <c r="DK733" s="482"/>
      <c r="DL733" s="1038"/>
      <c r="DM733" s="1035"/>
      <c r="DN733" s="1035"/>
      <c r="DO733" s="1035"/>
      <c r="DP733" s="1046"/>
      <c r="DQ733" s="1167"/>
      <c r="DR733" s="1168"/>
      <c r="DS733" s="1165"/>
      <c r="DT733" s="1165"/>
      <c r="DU733" s="1165"/>
      <c r="DV733" s="1031"/>
      <c r="DW733" s="1098">
        <f t="shared" si="1168"/>
        <v>0</v>
      </c>
      <c r="DX733" s="1098">
        <f t="shared" si="1169"/>
        <v>0</v>
      </c>
      <c r="DY733" s="1030"/>
      <c r="DZ733" s="1030"/>
      <c r="EA733" s="1031"/>
      <c r="EB733" s="1050"/>
      <c r="EC733" s="1038"/>
      <c r="ED733" s="1035"/>
      <c r="EE733" s="1046"/>
      <c r="EF733" s="1169"/>
      <c r="EG733" s="1168"/>
      <c r="EH733" s="1165"/>
      <c r="EI733" s="1165"/>
      <c r="EJ733" s="1165"/>
      <c r="EK733" s="1031"/>
      <c r="EL733" s="1098">
        <f t="shared" si="1170"/>
        <v>0</v>
      </c>
      <c r="EM733" s="1098">
        <f t="shared" si="1171"/>
        <v>0</v>
      </c>
      <c r="EN733" s="1030"/>
      <c r="EO733" s="1030"/>
      <c r="EP733" s="1031"/>
      <c r="EQ733" s="1050"/>
      <c r="ER733" s="1038"/>
      <c r="ES733" s="1035"/>
      <c r="ET733" s="1051"/>
    </row>
    <row r="734" spans="2:150" ht="16.5" customHeight="1">
      <c r="B734" s="1024"/>
      <c r="C734" s="1025"/>
      <c r="D734" s="408">
        <v>731</v>
      </c>
      <c r="E734" s="1164"/>
      <c r="F734" s="1164"/>
      <c r="G734" s="1026"/>
      <c r="H734" s="411" t="str">
        <f>IFERROR(INDEX(绊状态确认!C:C,MATCH($G734,绊状态确认!$B:$B,)),"")</f>
        <v/>
      </c>
      <c r="I734" s="450" t="str">
        <f>IFERROR(INDEX(绊状态确认!D:D,MATCH($G734,绊状态确认!$B:$B,)),"")</f>
        <v/>
      </c>
      <c r="J734" s="450" t="str">
        <f>IFERROR(INDEX(绊状态确认!E:E,MATCH($G734,绊状态确认!$B:$B,)),"")</f>
        <v/>
      </c>
      <c r="K734" s="451" t="str">
        <f>IFERROR(INDEX(绊状态确认!F:F,MATCH($G734,绊状态确认!$B:$B,)),"")</f>
        <v/>
      </c>
      <c r="L734" s="1026"/>
      <c r="M734" s="1165"/>
      <c r="N734" s="1027"/>
      <c r="O734" s="1026"/>
      <c r="P734" s="1028"/>
      <c r="Q734" s="1029"/>
      <c r="R734" s="1166"/>
      <c r="S734" s="1030"/>
      <c r="T734" s="1031"/>
      <c r="U734" s="1032"/>
      <c r="V734" s="1033"/>
      <c r="W734" s="1034"/>
      <c r="X734" s="1166"/>
      <c r="Y734" s="1035"/>
      <c r="Z734" s="1036"/>
      <c r="AA734" s="1037"/>
      <c r="AB734" s="1038"/>
      <c r="AC734" s="1039"/>
      <c r="AD734" s="1040"/>
      <c r="AE734" s="1041"/>
      <c r="AF734" s="521"/>
      <c r="AG734" s="420"/>
      <c r="AH734" s="420"/>
      <c r="AI734" s="420"/>
      <c r="AJ734" s="420"/>
      <c r="AK734" s="518"/>
      <c r="AL734" s="1042"/>
      <c r="AM734" s="1035"/>
      <c r="AN734" s="1043"/>
      <c r="AO734" s="1167"/>
      <c r="AP734" s="1044"/>
      <c r="AQ734" s="1035"/>
      <c r="AR734" s="1035"/>
      <c r="AS734" s="1035"/>
      <c r="AT734" s="1165"/>
      <c r="AU734" s="1031"/>
      <c r="AV734" s="1045"/>
      <c r="AW734" s="1038"/>
      <c r="AX734" s="1035"/>
      <c r="AY734" s="483"/>
      <c r="AZ734" s="429"/>
      <c r="BA734" s="431"/>
      <c r="BB734" s="1035"/>
      <c r="BC734" s="1035"/>
      <c r="BD734" s="481"/>
      <c r="BE734" s="432"/>
      <c r="BF734" s="646"/>
      <c r="BG734" s="1047"/>
      <c r="BH734" s="1046"/>
      <c r="BI734" s="1048"/>
      <c r="BJ734" s="1030"/>
      <c r="BK734" s="1046"/>
      <c r="BL734" s="1048"/>
      <c r="BM734" s="1046"/>
      <c r="BN734" s="1167"/>
      <c r="BO734" s="1035"/>
      <c r="BP734" s="1043"/>
      <c r="BQ734" s="1167"/>
      <c r="BR734" s="1165"/>
      <c r="BS734" s="1031"/>
      <c r="BT734" s="1038"/>
      <c r="BU734" s="1035"/>
      <c r="BV734" s="1035"/>
      <c r="BW734" s="1049"/>
      <c r="BX734" s="1043"/>
      <c r="BY734" s="1046"/>
      <c r="BZ734" s="1167"/>
      <c r="CA734" s="1165"/>
      <c r="CB734" s="1031"/>
      <c r="CC734" s="1038"/>
      <c r="CD734" s="1035"/>
      <c r="CE734" s="1035"/>
      <c r="CF734" s="1049"/>
      <c r="CG734" s="1043"/>
      <c r="CH734" s="1046"/>
      <c r="CI734" s="1167"/>
      <c r="CJ734" s="1168"/>
      <c r="CK734" s="1169"/>
      <c r="CL734" s="1169"/>
      <c r="CM734" s="1166"/>
      <c r="CN734" s="1169"/>
      <c r="CO734" s="1169"/>
      <c r="CP734" s="452"/>
      <c r="CQ734" s="435"/>
      <c r="CR734" s="1117"/>
      <c r="CS734" s="452"/>
      <c r="CT734" s="482"/>
      <c r="CU734" s="476"/>
      <c r="CV734" s="431"/>
      <c r="CW734" s="1108"/>
      <c r="CX734" s="1108"/>
      <c r="CY734" s="483"/>
      <c r="CZ734" s="437"/>
      <c r="DA734" s="438"/>
      <c r="DB734" s="439"/>
      <c r="DC734" s="439"/>
      <c r="DD734" s="443"/>
      <c r="DE734" s="411"/>
      <c r="DF734" s="411"/>
      <c r="DG734" s="1117"/>
      <c r="DH734" s="1117"/>
      <c r="DI734" s="1117"/>
      <c r="DJ734" s="442"/>
      <c r="DK734" s="482"/>
      <c r="DL734" s="1038"/>
      <c r="DM734" s="1035"/>
      <c r="DN734" s="1035"/>
      <c r="DO734" s="1035"/>
      <c r="DP734" s="1046"/>
      <c r="DQ734" s="1167"/>
      <c r="DR734" s="1168"/>
      <c r="DS734" s="1165"/>
      <c r="DT734" s="1165"/>
      <c r="DU734" s="1165"/>
      <c r="DV734" s="1031"/>
      <c r="DW734" s="1098">
        <f t="shared" si="1168"/>
        <v>0</v>
      </c>
      <c r="DX734" s="1098">
        <f t="shared" si="1169"/>
        <v>0</v>
      </c>
      <c r="DY734" s="1030"/>
      <c r="DZ734" s="1030"/>
      <c r="EA734" s="1031"/>
      <c r="EB734" s="1050"/>
      <c r="EC734" s="1038"/>
      <c r="ED734" s="1035"/>
      <c r="EE734" s="1046"/>
      <c r="EF734" s="1169"/>
      <c r="EG734" s="1168"/>
      <c r="EH734" s="1165"/>
      <c r="EI734" s="1165"/>
      <c r="EJ734" s="1165"/>
      <c r="EK734" s="1031"/>
      <c r="EL734" s="1098">
        <f t="shared" si="1170"/>
        <v>0</v>
      </c>
      <c r="EM734" s="1098">
        <f t="shared" si="1171"/>
        <v>0</v>
      </c>
      <c r="EN734" s="1030"/>
      <c r="EO734" s="1030"/>
      <c r="EP734" s="1031"/>
      <c r="EQ734" s="1050"/>
      <c r="ER734" s="1038"/>
      <c r="ES734" s="1035"/>
      <c r="ET734" s="1051"/>
    </row>
    <row r="735" spans="2:150" ht="16.5" customHeight="1">
      <c r="B735" s="1024"/>
      <c r="C735" s="1025"/>
      <c r="D735" s="408">
        <v>732</v>
      </c>
      <c r="E735" s="1164"/>
      <c r="F735" s="1164"/>
      <c r="G735" s="1026"/>
      <c r="H735" s="411" t="str">
        <f>IFERROR(INDEX(绊状态确认!C:C,MATCH($G735,绊状态确认!$B:$B,)),"")</f>
        <v/>
      </c>
      <c r="I735" s="450" t="str">
        <f>IFERROR(INDEX(绊状态确认!D:D,MATCH($G735,绊状态确认!$B:$B,)),"")</f>
        <v/>
      </c>
      <c r="J735" s="450" t="str">
        <f>IFERROR(INDEX(绊状态确认!E:E,MATCH($G735,绊状态确认!$B:$B,)),"")</f>
        <v/>
      </c>
      <c r="K735" s="451" t="str">
        <f>IFERROR(INDEX(绊状态确认!F:F,MATCH($G735,绊状态确认!$B:$B,)),"")</f>
        <v/>
      </c>
      <c r="L735" s="1026"/>
      <c r="M735" s="1165"/>
      <c r="N735" s="1027"/>
      <c r="O735" s="1026"/>
      <c r="P735" s="1028"/>
      <c r="Q735" s="1029"/>
      <c r="R735" s="1166"/>
      <c r="S735" s="1030"/>
      <c r="T735" s="1031"/>
      <c r="U735" s="1032"/>
      <c r="V735" s="1033"/>
      <c r="W735" s="1034"/>
      <c r="X735" s="1166"/>
      <c r="Y735" s="1035"/>
      <c r="Z735" s="1036"/>
      <c r="AA735" s="1037"/>
      <c r="AB735" s="1038"/>
      <c r="AC735" s="1039"/>
      <c r="AD735" s="1040"/>
      <c r="AE735" s="1041"/>
      <c r="AF735" s="521"/>
      <c r="AG735" s="420"/>
      <c r="AH735" s="420"/>
      <c r="AI735" s="420"/>
      <c r="AJ735" s="420"/>
      <c r="AK735" s="518"/>
      <c r="AL735" s="1042"/>
      <c r="AM735" s="1035"/>
      <c r="AN735" s="1043"/>
      <c r="AO735" s="1167"/>
      <c r="AP735" s="1044"/>
      <c r="AQ735" s="1035"/>
      <c r="AR735" s="1035"/>
      <c r="AS735" s="1035"/>
      <c r="AT735" s="1165"/>
      <c r="AU735" s="1031"/>
      <c r="AV735" s="1045"/>
      <c r="AW735" s="1038"/>
      <c r="AX735" s="1035"/>
      <c r="AY735" s="483"/>
      <c r="AZ735" s="429"/>
      <c r="BA735" s="431"/>
      <c r="BB735" s="1035"/>
      <c r="BC735" s="1035"/>
      <c r="BD735" s="481"/>
      <c r="BE735" s="432"/>
      <c r="BF735" s="646"/>
      <c r="BG735" s="1047"/>
      <c r="BH735" s="1046"/>
      <c r="BI735" s="1048"/>
      <c r="BJ735" s="1030"/>
      <c r="BK735" s="1046"/>
      <c r="BL735" s="1048"/>
      <c r="BM735" s="1046"/>
      <c r="BN735" s="1167"/>
      <c r="BO735" s="1035"/>
      <c r="BP735" s="1043"/>
      <c r="BQ735" s="1167"/>
      <c r="BR735" s="1165"/>
      <c r="BS735" s="1031"/>
      <c r="BT735" s="1038"/>
      <c r="BU735" s="1035"/>
      <c r="BV735" s="1035"/>
      <c r="BW735" s="1049"/>
      <c r="BX735" s="1043"/>
      <c r="BY735" s="1046"/>
      <c r="BZ735" s="1167"/>
      <c r="CA735" s="1165"/>
      <c r="CB735" s="1031"/>
      <c r="CC735" s="1038"/>
      <c r="CD735" s="1035"/>
      <c r="CE735" s="1035"/>
      <c r="CF735" s="1049"/>
      <c r="CG735" s="1043"/>
      <c r="CH735" s="1046"/>
      <c r="CI735" s="1167"/>
      <c r="CJ735" s="1168"/>
      <c r="CK735" s="1169"/>
      <c r="CL735" s="1169"/>
      <c r="CM735" s="1166"/>
      <c r="CN735" s="1169"/>
      <c r="CO735" s="1169"/>
      <c r="CP735" s="452"/>
      <c r="CQ735" s="435"/>
      <c r="CR735" s="1117"/>
      <c r="CS735" s="452"/>
      <c r="CT735" s="482"/>
      <c r="CU735" s="476"/>
      <c r="CV735" s="431"/>
      <c r="CW735" s="1108"/>
      <c r="CX735" s="1108"/>
      <c r="CY735" s="483"/>
      <c r="CZ735" s="437"/>
      <c r="DA735" s="438"/>
      <c r="DB735" s="439"/>
      <c r="DC735" s="439"/>
      <c r="DD735" s="443"/>
      <c r="DE735" s="411"/>
      <c r="DF735" s="411"/>
      <c r="DG735" s="1117"/>
      <c r="DH735" s="1117"/>
      <c r="DI735" s="1117"/>
      <c r="DJ735" s="442"/>
      <c r="DK735" s="482"/>
      <c r="DL735" s="1038"/>
      <c r="DM735" s="1035"/>
      <c r="DN735" s="1035"/>
      <c r="DO735" s="1035"/>
      <c r="DP735" s="1046"/>
      <c r="DQ735" s="1167"/>
      <c r="DR735" s="1168"/>
      <c r="DS735" s="1165"/>
      <c r="DT735" s="1165"/>
      <c r="DU735" s="1165"/>
      <c r="DV735" s="1031"/>
      <c r="DW735" s="1098">
        <f t="shared" si="1168"/>
        <v>0</v>
      </c>
      <c r="DX735" s="1098">
        <f t="shared" si="1169"/>
        <v>0</v>
      </c>
      <c r="DY735" s="1030"/>
      <c r="DZ735" s="1030"/>
      <c r="EA735" s="1031"/>
      <c r="EB735" s="1050"/>
      <c r="EC735" s="1038"/>
      <c r="ED735" s="1035"/>
      <c r="EE735" s="1046"/>
      <c r="EF735" s="1169"/>
      <c r="EG735" s="1168"/>
      <c r="EH735" s="1165"/>
      <c r="EI735" s="1165"/>
      <c r="EJ735" s="1165"/>
      <c r="EK735" s="1031"/>
      <c r="EL735" s="1098">
        <f t="shared" si="1170"/>
        <v>0</v>
      </c>
      <c r="EM735" s="1098">
        <f t="shared" si="1171"/>
        <v>0</v>
      </c>
      <c r="EN735" s="1030"/>
      <c r="EO735" s="1030"/>
      <c r="EP735" s="1031"/>
      <c r="EQ735" s="1050"/>
      <c r="ER735" s="1038"/>
      <c r="ES735" s="1035"/>
      <c r="ET735" s="1051"/>
    </row>
    <row r="736" spans="2:150" ht="16.5" customHeight="1">
      <c r="B736" s="1024"/>
      <c r="C736" s="1025"/>
      <c r="D736" s="408">
        <v>733</v>
      </c>
      <c r="E736" s="1164"/>
      <c r="F736" s="1164"/>
      <c r="G736" s="1026"/>
      <c r="H736" s="411" t="str">
        <f>IFERROR(INDEX(绊状态确认!C:C,MATCH($G736,绊状态确认!$B:$B,)),"")</f>
        <v/>
      </c>
      <c r="I736" s="450" t="str">
        <f>IFERROR(INDEX(绊状态确认!D:D,MATCH($G736,绊状态确认!$B:$B,)),"")</f>
        <v/>
      </c>
      <c r="J736" s="450" t="str">
        <f>IFERROR(INDEX(绊状态确认!E:E,MATCH($G736,绊状态确认!$B:$B,)),"")</f>
        <v/>
      </c>
      <c r="K736" s="451" t="str">
        <f>IFERROR(INDEX(绊状态确认!F:F,MATCH($G736,绊状态确认!$B:$B,)),"")</f>
        <v/>
      </c>
      <c r="L736" s="1026"/>
      <c r="M736" s="1165"/>
      <c r="N736" s="1027"/>
      <c r="O736" s="1026"/>
      <c r="P736" s="1028"/>
      <c r="Q736" s="1029"/>
      <c r="R736" s="1166"/>
      <c r="S736" s="1030"/>
      <c r="T736" s="1031"/>
      <c r="U736" s="1032"/>
      <c r="V736" s="1033"/>
      <c r="W736" s="1034"/>
      <c r="X736" s="1166"/>
      <c r="Y736" s="1035"/>
      <c r="Z736" s="1036"/>
      <c r="AA736" s="1037"/>
      <c r="AB736" s="1038"/>
      <c r="AC736" s="1039"/>
      <c r="AD736" s="1040"/>
      <c r="AE736" s="1041"/>
      <c r="AF736" s="521"/>
      <c r="AG736" s="420"/>
      <c r="AH736" s="420"/>
      <c r="AI736" s="420"/>
      <c r="AJ736" s="420"/>
      <c r="AK736" s="518"/>
      <c r="AL736" s="1042"/>
      <c r="AM736" s="1035"/>
      <c r="AN736" s="1043"/>
      <c r="AO736" s="1167"/>
      <c r="AP736" s="1044"/>
      <c r="AQ736" s="1035"/>
      <c r="AR736" s="1035"/>
      <c r="AS736" s="1035"/>
      <c r="AT736" s="1165"/>
      <c r="AU736" s="1031"/>
      <c r="AV736" s="1045"/>
      <c r="AW736" s="1038"/>
      <c r="AX736" s="1035"/>
      <c r="AY736" s="483"/>
      <c r="AZ736" s="429"/>
      <c r="BA736" s="431"/>
      <c r="BB736" s="1035"/>
      <c r="BC736" s="1035"/>
      <c r="BD736" s="481"/>
      <c r="BE736" s="432"/>
      <c r="BF736" s="646"/>
      <c r="BG736" s="1047"/>
      <c r="BH736" s="1046"/>
      <c r="BI736" s="1048"/>
      <c r="BJ736" s="1030"/>
      <c r="BK736" s="1046"/>
      <c r="BL736" s="1048"/>
      <c r="BM736" s="1046"/>
      <c r="BN736" s="1167"/>
      <c r="BO736" s="1035"/>
      <c r="BP736" s="1043"/>
      <c r="BQ736" s="1167"/>
      <c r="BR736" s="1165"/>
      <c r="BS736" s="1031"/>
      <c r="BT736" s="1038"/>
      <c r="BU736" s="1035"/>
      <c r="BV736" s="1035"/>
      <c r="BW736" s="1049"/>
      <c r="BX736" s="1043"/>
      <c r="BY736" s="1046"/>
      <c r="BZ736" s="1167"/>
      <c r="CA736" s="1165"/>
      <c r="CB736" s="1031"/>
      <c r="CC736" s="1038"/>
      <c r="CD736" s="1035"/>
      <c r="CE736" s="1035"/>
      <c r="CF736" s="1049"/>
      <c r="CG736" s="1043"/>
      <c r="CH736" s="1046"/>
      <c r="CI736" s="1167"/>
      <c r="CJ736" s="1168"/>
      <c r="CK736" s="1169"/>
      <c r="CL736" s="1169"/>
      <c r="CM736" s="1166"/>
      <c r="CN736" s="1169"/>
      <c r="CO736" s="1169"/>
      <c r="CP736" s="452"/>
      <c r="CQ736" s="435"/>
      <c r="CR736" s="1117"/>
      <c r="CS736" s="452"/>
      <c r="CT736" s="482"/>
      <c r="CU736" s="476"/>
      <c r="CV736" s="431"/>
      <c r="CW736" s="1108"/>
      <c r="CX736" s="1108"/>
      <c r="CY736" s="483"/>
      <c r="CZ736" s="437"/>
      <c r="DA736" s="438"/>
      <c r="DB736" s="439"/>
      <c r="DC736" s="439"/>
      <c r="DD736" s="443"/>
      <c r="DE736" s="411"/>
      <c r="DF736" s="411"/>
      <c r="DG736" s="1117"/>
      <c r="DH736" s="1117"/>
      <c r="DI736" s="1117"/>
      <c r="DJ736" s="442"/>
      <c r="DK736" s="482"/>
      <c r="DL736" s="1038"/>
      <c r="DM736" s="1035"/>
      <c r="DN736" s="1035"/>
      <c r="DO736" s="1035"/>
      <c r="DP736" s="1046"/>
      <c r="DQ736" s="1167"/>
      <c r="DR736" s="1168"/>
      <c r="DS736" s="1165"/>
      <c r="DT736" s="1165"/>
      <c r="DU736" s="1165"/>
      <c r="DV736" s="1031"/>
      <c r="DW736" s="1098">
        <f t="shared" si="1168"/>
        <v>0</v>
      </c>
      <c r="DX736" s="1098">
        <f t="shared" si="1169"/>
        <v>0</v>
      </c>
      <c r="DY736" s="1030"/>
      <c r="DZ736" s="1030"/>
      <c r="EA736" s="1031"/>
      <c r="EB736" s="1050"/>
      <c r="EC736" s="1038"/>
      <c r="ED736" s="1035"/>
      <c r="EE736" s="1046"/>
      <c r="EF736" s="1169"/>
      <c r="EG736" s="1168"/>
      <c r="EH736" s="1165"/>
      <c r="EI736" s="1165"/>
      <c r="EJ736" s="1165"/>
      <c r="EK736" s="1031"/>
      <c r="EL736" s="1098">
        <f t="shared" si="1170"/>
        <v>0</v>
      </c>
      <c r="EM736" s="1098">
        <f t="shared" si="1171"/>
        <v>0</v>
      </c>
      <c r="EN736" s="1030"/>
      <c r="EO736" s="1030"/>
      <c r="EP736" s="1031"/>
      <c r="EQ736" s="1050"/>
      <c r="ER736" s="1038"/>
      <c r="ES736" s="1035"/>
      <c r="ET736" s="1051"/>
    </row>
    <row r="737" spans="2:150" ht="16.5" customHeight="1">
      <c r="B737" s="1024"/>
      <c r="C737" s="1025"/>
      <c r="D737" s="408">
        <v>734</v>
      </c>
      <c r="E737" s="1164"/>
      <c r="F737" s="1164"/>
      <c r="G737" s="1026"/>
      <c r="H737" s="411" t="str">
        <f>IFERROR(INDEX(绊状态确认!C:C,MATCH($G737,绊状态确认!$B:$B,)),"")</f>
        <v/>
      </c>
      <c r="I737" s="450" t="str">
        <f>IFERROR(INDEX(绊状态确认!D:D,MATCH($G737,绊状态确认!$B:$B,)),"")</f>
        <v/>
      </c>
      <c r="J737" s="450" t="str">
        <f>IFERROR(INDEX(绊状态确认!E:E,MATCH($G737,绊状态确认!$B:$B,)),"")</f>
        <v/>
      </c>
      <c r="K737" s="451" t="str">
        <f>IFERROR(INDEX(绊状态确认!F:F,MATCH($G737,绊状态确认!$B:$B,)),"")</f>
        <v/>
      </c>
      <c r="L737" s="1026"/>
      <c r="M737" s="1165"/>
      <c r="N737" s="1027"/>
      <c r="O737" s="1026"/>
      <c r="P737" s="1028"/>
      <c r="Q737" s="1029"/>
      <c r="R737" s="1166"/>
      <c r="S737" s="1030"/>
      <c r="T737" s="1031"/>
      <c r="U737" s="1032"/>
      <c r="V737" s="1033"/>
      <c r="W737" s="1034"/>
      <c r="X737" s="1166"/>
      <c r="Y737" s="1035"/>
      <c r="Z737" s="1036"/>
      <c r="AA737" s="1037"/>
      <c r="AB737" s="1038"/>
      <c r="AC737" s="1039"/>
      <c r="AD737" s="1040"/>
      <c r="AE737" s="1041"/>
      <c r="AF737" s="521"/>
      <c r="AG737" s="420"/>
      <c r="AH737" s="420"/>
      <c r="AI737" s="420"/>
      <c r="AJ737" s="420"/>
      <c r="AK737" s="518"/>
      <c r="AL737" s="1042"/>
      <c r="AM737" s="1035"/>
      <c r="AN737" s="1043"/>
      <c r="AO737" s="1167"/>
      <c r="AP737" s="1044"/>
      <c r="AQ737" s="1035"/>
      <c r="AR737" s="1035"/>
      <c r="AS737" s="1035"/>
      <c r="AT737" s="1165"/>
      <c r="AU737" s="1031"/>
      <c r="AV737" s="1045"/>
      <c r="AW737" s="1038"/>
      <c r="AX737" s="1035"/>
      <c r="AY737" s="483"/>
      <c r="AZ737" s="429"/>
      <c r="BA737" s="431"/>
      <c r="BB737" s="1035"/>
      <c r="BC737" s="1035"/>
      <c r="BD737" s="481"/>
      <c r="BE737" s="432"/>
      <c r="BF737" s="646"/>
      <c r="BG737" s="1047"/>
      <c r="BH737" s="1046"/>
      <c r="BI737" s="1048"/>
      <c r="BJ737" s="1030"/>
      <c r="BK737" s="1046"/>
      <c r="BL737" s="1048"/>
      <c r="BM737" s="1046"/>
      <c r="BN737" s="1167"/>
      <c r="BO737" s="1035"/>
      <c r="BP737" s="1043"/>
      <c r="BQ737" s="1167"/>
      <c r="BR737" s="1165"/>
      <c r="BS737" s="1031"/>
      <c r="BT737" s="1038"/>
      <c r="BU737" s="1035"/>
      <c r="BV737" s="1035"/>
      <c r="BW737" s="1049"/>
      <c r="BX737" s="1043"/>
      <c r="BY737" s="1046"/>
      <c r="BZ737" s="1167"/>
      <c r="CA737" s="1165"/>
      <c r="CB737" s="1031"/>
      <c r="CC737" s="1038"/>
      <c r="CD737" s="1035"/>
      <c r="CE737" s="1035"/>
      <c r="CF737" s="1049"/>
      <c r="CG737" s="1043"/>
      <c r="CH737" s="1046"/>
      <c r="CI737" s="1167"/>
      <c r="CJ737" s="1168"/>
      <c r="CK737" s="1169"/>
      <c r="CL737" s="1169"/>
      <c r="CM737" s="1166"/>
      <c r="CN737" s="1169"/>
      <c r="CO737" s="1169"/>
      <c r="CP737" s="452"/>
      <c r="CQ737" s="435"/>
      <c r="CR737" s="1117"/>
      <c r="CS737" s="452"/>
      <c r="CT737" s="482"/>
      <c r="CU737" s="476"/>
      <c r="CV737" s="431"/>
      <c r="CW737" s="1108"/>
      <c r="CX737" s="1108"/>
      <c r="CY737" s="483"/>
      <c r="CZ737" s="437"/>
      <c r="DA737" s="438"/>
      <c r="DB737" s="439"/>
      <c r="DC737" s="439"/>
      <c r="DD737" s="443"/>
      <c r="DE737" s="411"/>
      <c r="DF737" s="411"/>
      <c r="DG737" s="1117"/>
      <c r="DH737" s="1117"/>
      <c r="DI737" s="1117"/>
      <c r="DJ737" s="442"/>
      <c r="DK737" s="482"/>
      <c r="DL737" s="1038"/>
      <c r="DM737" s="1035"/>
      <c r="DN737" s="1035"/>
      <c r="DO737" s="1035"/>
      <c r="DP737" s="1046"/>
      <c r="DQ737" s="1167"/>
      <c r="DR737" s="1168"/>
      <c r="DS737" s="1165"/>
      <c r="DT737" s="1165"/>
      <c r="DU737" s="1165"/>
      <c r="DV737" s="1031"/>
      <c r="DW737" s="1098">
        <f t="shared" si="1168"/>
        <v>0</v>
      </c>
      <c r="DX737" s="1098">
        <f t="shared" si="1169"/>
        <v>0</v>
      </c>
      <c r="DY737" s="1030"/>
      <c r="DZ737" s="1030"/>
      <c r="EA737" s="1031"/>
      <c r="EB737" s="1050"/>
      <c r="EC737" s="1038"/>
      <c r="ED737" s="1035"/>
      <c r="EE737" s="1046"/>
      <c r="EF737" s="1169"/>
      <c r="EG737" s="1168"/>
      <c r="EH737" s="1165"/>
      <c r="EI737" s="1165"/>
      <c r="EJ737" s="1165"/>
      <c r="EK737" s="1031"/>
      <c r="EL737" s="1098">
        <f t="shared" si="1170"/>
        <v>0</v>
      </c>
      <c r="EM737" s="1098">
        <f t="shared" si="1171"/>
        <v>0</v>
      </c>
      <c r="EN737" s="1030"/>
      <c r="EO737" s="1030"/>
      <c r="EP737" s="1031"/>
      <c r="EQ737" s="1050"/>
      <c r="ER737" s="1038"/>
      <c r="ES737" s="1035"/>
      <c r="ET737" s="1051"/>
    </row>
    <row r="738" spans="2:150" ht="16.5" customHeight="1">
      <c r="B738" s="1024"/>
      <c r="C738" s="1025"/>
      <c r="D738" s="408">
        <v>735</v>
      </c>
      <c r="E738" s="1164"/>
      <c r="F738" s="1164"/>
      <c r="G738" s="1026"/>
      <c r="H738" s="411" t="str">
        <f>IFERROR(INDEX(绊状态确认!C:C,MATCH($G738,绊状态确认!$B:$B,)),"")</f>
        <v/>
      </c>
      <c r="I738" s="450" t="str">
        <f>IFERROR(INDEX(绊状态确认!D:D,MATCH($G738,绊状态确认!$B:$B,)),"")</f>
        <v/>
      </c>
      <c r="J738" s="450" t="str">
        <f>IFERROR(INDEX(绊状态确认!E:E,MATCH($G738,绊状态确认!$B:$B,)),"")</f>
        <v/>
      </c>
      <c r="K738" s="451" t="str">
        <f>IFERROR(INDEX(绊状态确认!F:F,MATCH($G738,绊状态确认!$B:$B,)),"")</f>
        <v/>
      </c>
      <c r="L738" s="1026"/>
      <c r="M738" s="1165"/>
      <c r="N738" s="1027"/>
      <c r="O738" s="1026"/>
      <c r="P738" s="1028"/>
      <c r="Q738" s="1029"/>
      <c r="R738" s="1166"/>
      <c r="S738" s="1030"/>
      <c r="T738" s="1031"/>
      <c r="U738" s="1032"/>
      <c r="V738" s="1033"/>
      <c r="W738" s="1034"/>
      <c r="X738" s="1166"/>
      <c r="Y738" s="1035"/>
      <c r="Z738" s="1036"/>
      <c r="AA738" s="1037"/>
      <c r="AB738" s="1038"/>
      <c r="AC738" s="1039"/>
      <c r="AD738" s="1040"/>
      <c r="AE738" s="1041"/>
      <c r="AF738" s="521"/>
      <c r="AG738" s="420"/>
      <c r="AH738" s="420"/>
      <c r="AI738" s="420"/>
      <c r="AJ738" s="420"/>
      <c r="AK738" s="518"/>
      <c r="AL738" s="1042"/>
      <c r="AM738" s="1035"/>
      <c r="AN738" s="1043"/>
      <c r="AO738" s="1167"/>
      <c r="AP738" s="1044"/>
      <c r="AQ738" s="1035"/>
      <c r="AR738" s="1035"/>
      <c r="AS738" s="1035"/>
      <c r="AT738" s="1165"/>
      <c r="AU738" s="1031"/>
      <c r="AV738" s="1045"/>
      <c r="AW738" s="1038"/>
      <c r="AX738" s="1035"/>
      <c r="AY738" s="483"/>
      <c r="AZ738" s="429"/>
      <c r="BA738" s="431"/>
      <c r="BB738" s="1035"/>
      <c r="BC738" s="1035"/>
      <c r="BD738" s="481"/>
      <c r="BE738" s="432"/>
      <c r="BF738" s="646"/>
      <c r="BG738" s="1047"/>
      <c r="BH738" s="1046"/>
      <c r="BI738" s="1048"/>
      <c r="BJ738" s="1030"/>
      <c r="BK738" s="1046"/>
      <c r="BL738" s="1048"/>
      <c r="BM738" s="1046"/>
      <c r="BN738" s="1167"/>
      <c r="BO738" s="1035"/>
      <c r="BP738" s="1043"/>
      <c r="BQ738" s="1167"/>
      <c r="BR738" s="1165"/>
      <c r="BS738" s="1031"/>
      <c r="BT738" s="1038"/>
      <c r="BU738" s="1035"/>
      <c r="BV738" s="1035"/>
      <c r="BW738" s="1049"/>
      <c r="BX738" s="1043"/>
      <c r="BY738" s="1046"/>
      <c r="BZ738" s="1167"/>
      <c r="CA738" s="1165"/>
      <c r="CB738" s="1031"/>
      <c r="CC738" s="1038"/>
      <c r="CD738" s="1035"/>
      <c r="CE738" s="1035"/>
      <c r="CF738" s="1049"/>
      <c r="CG738" s="1043"/>
      <c r="CH738" s="1046"/>
      <c r="CI738" s="1167"/>
      <c r="CJ738" s="1168"/>
      <c r="CK738" s="1169"/>
      <c r="CL738" s="1169"/>
      <c r="CM738" s="1166"/>
      <c r="CN738" s="1169"/>
      <c r="CO738" s="1169"/>
      <c r="CP738" s="452"/>
      <c r="CQ738" s="435"/>
      <c r="CR738" s="1117"/>
      <c r="CS738" s="452"/>
      <c r="CT738" s="482"/>
      <c r="CU738" s="476"/>
      <c r="CV738" s="431"/>
      <c r="CW738" s="1108"/>
      <c r="CX738" s="1108"/>
      <c r="CY738" s="483"/>
      <c r="CZ738" s="437"/>
      <c r="DA738" s="438"/>
      <c r="DB738" s="439"/>
      <c r="DC738" s="439"/>
      <c r="DD738" s="443"/>
      <c r="DE738" s="411"/>
      <c r="DF738" s="411"/>
      <c r="DG738" s="1117"/>
      <c r="DH738" s="1117"/>
      <c r="DI738" s="1117"/>
      <c r="DJ738" s="442"/>
      <c r="DK738" s="482"/>
      <c r="DL738" s="1038"/>
      <c r="DM738" s="1035"/>
      <c r="DN738" s="1035"/>
      <c r="DO738" s="1035"/>
      <c r="DP738" s="1046"/>
      <c r="DQ738" s="1167"/>
      <c r="DR738" s="1168"/>
      <c r="DS738" s="1165"/>
      <c r="DT738" s="1165"/>
      <c r="DU738" s="1165"/>
      <c r="DV738" s="1031"/>
      <c r="DW738" s="1098">
        <f t="shared" si="1168"/>
        <v>0</v>
      </c>
      <c r="DX738" s="1098">
        <f t="shared" si="1169"/>
        <v>0</v>
      </c>
      <c r="DY738" s="1030"/>
      <c r="DZ738" s="1030"/>
      <c r="EA738" s="1031"/>
      <c r="EB738" s="1050"/>
      <c r="EC738" s="1038"/>
      <c r="ED738" s="1035"/>
      <c r="EE738" s="1046"/>
      <c r="EF738" s="1169"/>
      <c r="EG738" s="1168"/>
      <c r="EH738" s="1165"/>
      <c r="EI738" s="1165"/>
      <c r="EJ738" s="1165"/>
      <c r="EK738" s="1031"/>
      <c r="EL738" s="1098">
        <f t="shared" si="1170"/>
        <v>0</v>
      </c>
      <c r="EM738" s="1098">
        <f t="shared" si="1171"/>
        <v>0</v>
      </c>
      <c r="EN738" s="1030"/>
      <c r="EO738" s="1030"/>
      <c r="EP738" s="1031"/>
      <c r="EQ738" s="1050"/>
      <c r="ER738" s="1038"/>
      <c r="ES738" s="1035"/>
      <c r="ET738" s="1051"/>
    </row>
    <row r="739" spans="2:150" ht="16.5" customHeight="1">
      <c r="B739" s="1024"/>
      <c r="C739" s="1025"/>
      <c r="D739" s="408">
        <v>736</v>
      </c>
      <c r="E739" s="1164"/>
      <c r="F739" s="1164"/>
      <c r="G739" s="1026"/>
      <c r="H739" s="411" t="str">
        <f>IFERROR(INDEX(绊状态确认!C:C,MATCH($G739,绊状态确认!$B:$B,)),"")</f>
        <v/>
      </c>
      <c r="I739" s="450" t="str">
        <f>IFERROR(INDEX(绊状态确认!D:D,MATCH($G739,绊状态确认!$B:$B,)),"")</f>
        <v/>
      </c>
      <c r="J739" s="450" t="str">
        <f>IFERROR(INDEX(绊状态确认!E:E,MATCH($G739,绊状态确认!$B:$B,)),"")</f>
        <v/>
      </c>
      <c r="K739" s="451" t="str">
        <f>IFERROR(INDEX(绊状态确认!F:F,MATCH($G739,绊状态确认!$B:$B,)),"")</f>
        <v/>
      </c>
      <c r="L739" s="1026"/>
      <c r="M739" s="1165"/>
      <c r="N739" s="1027"/>
      <c r="O739" s="1026"/>
      <c r="P739" s="1028"/>
      <c r="Q739" s="1029"/>
      <c r="R739" s="1166"/>
      <c r="S739" s="1030"/>
      <c r="T739" s="1031"/>
      <c r="U739" s="1032"/>
      <c r="V739" s="1033"/>
      <c r="W739" s="1034"/>
      <c r="X739" s="1166"/>
      <c r="Y739" s="1035"/>
      <c r="Z739" s="1036"/>
      <c r="AA739" s="1037"/>
      <c r="AB739" s="1038"/>
      <c r="AC739" s="1039"/>
      <c r="AD739" s="1040"/>
      <c r="AE739" s="1041"/>
      <c r="AF739" s="521"/>
      <c r="AG739" s="420"/>
      <c r="AH739" s="420"/>
      <c r="AI739" s="420"/>
      <c r="AJ739" s="420"/>
      <c r="AK739" s="518"/>
      <c r="AL739" s="1042"/>
      <c r="AM739" s="1035"/>
      <c r="AN739" s="1043"/>
      <c r="AO739" s="1167"/>
      <c r="AP739" s="1044"/>
      <c r="AQ739" s="1035"/>
      <c r="AR739" s="1035"/>
      <c r="AS739" s="1035"/>
      <c r="AT739" s="1165"/>
      <c r="AU739" s="1031"/>
      <c r="AV739" s="1045"/>
      <c r="AW739" s="1038"/>
      <c r="AX739" s="1035"/>
      <c r="AY739" s="483"/>
      <c r="AZ739" s="429"/>
      <c r="BA739" s="431"/>
      <c r="BB739" s="1035"/>
      <c r="BC739" s="1035"/>
      <c r="BD739" s="481"/>
      <c r="BE739" s="432"/>
      <c r="BF739" s="646"/>
      <c r="BG739" s="1047"/>
      <c r="BH739" s="1046"/>
      <c r="BI739" s="1048"/>
      <c r="BJ739" s="1030"/>
      <c r="BK739" s="1046"/>
      <c r="BL739" s="1048"/>
      <c r="BM739" s="1046"/>
      <c r="BN739" s="1167"/>
      <c r="BO739" s="1035"/>
      <c r="BP739" s="1043"/>
      <c r="BQ739" s="1167"/>
      <c r="BR739" s="1165"/>
      <c r="BS739" s="1031"/>
      <c r="BT739" s="1038"/>
      <c r="BU739" s="1035"/>
      <c r="BV739" s="1035"/>
      <c r="BW739" s="1049"/>
      <c r="BX739" s="1043"/>
      <c r="BY739" s="1046"/>
      <c r="BZ739" s="1167"/>
      <c r="CA739" s="1165"/>
      <c r="CB739" s="1031"/>
      <c r="CC739" s="1038"/>
      <c r="CD739" s="1035"/>
      <c r="CE739" s="1035"/>
      <c r="CF739" s="1049"/>
      <c r="CG739" s="1043"/>
      <c r="CH739" s="1046"/>
      <c r="CI739" s="1167"/>
      <c r="CJ739" s="1168"/>
      <c r="CK739" s="1169"/>
      <c r="CL739" s="1169"/>
      <c r="CM739" s="1166"/>
      <c r="CN739" s="1169"/>
      <c r="CO739" s="1169"/>
      <c r="CP739" s="452"/>
      <c r="CQ739" s="435"/>
      <c r="CR739" s="1117"/>
      <c r="CS739" s="452"/>
      <c r="CT739" s="482"/>
      <c r="CU739" s="476"/>
      <c r="CV739" s="431"/>
      <c r="CW739" s="1108"/>
      <c r="CX739" s="1108"/>
      <c r="CY739" s="483"/>
      <c r="CZ739" s="437"/>
      <c r="DA739" s="438"/>
      <c r="DB739" s="439"/>
      <c r="DC739" s="439"/>
      <c r="DD739" s="443"/>
      <c r="DE739" s="411"/>
      <c r="DF739" s="411"/>
      <c r="DG739" s="1117"/>
      <c r="DH739" s="1117"/>
      <c r="DI739" s="1117"/>
      <c r="DJ739" s="442"/>
      <c r="DK739" s="482"/>
      <c r="DL739" s="1038"/>
      <c r="DM739" s="1035"/>
      <c r="DN739" s="1035"/>
      <c r="DO739" s="1035"/>
      <c r="DP739" s="1046"/>
      <c r="DQ739" s="1167"/>
      <c r="DR739" s="1168"/>
      <c r="DS739" s="1165"/>
      <c r="DT739" s="1165"/>
      <c r="DU739" s="1165"/>
      <c r="DV739" s="1031"/>
      <c r="DW739" s="1098">
        <f t="shared" si="1168"/>
        <v>0</v>
      </c>
      <c r="DX739" s="1098">
        <f t="shared" si="1169"/>
        <v>0</v>
      </c>
      <c r="DY739" s="1030"/>
      <c r="DZ739" s="1030"/>
      <c r="EA739" s="1031"/>
      <c r="EB739" s="1050"/>
      <c r="EC739" s="1038"/>
      <c r="ED739" s="1035"/>
      <c r="EE739" s="1046"/>
      <c r="EF739" s="1169"/>
      <c r="EG739" s="1168"/>
      <c r="EH739" s="1165"/>
      <c r="EI739" s="1165"/>
      <c r="EJ739" s="1165"/>
      <c r="EK739" s="1031"/>
      <c r="EL739" s="1098">
        <f t="shared" si="1170"/>
        <v>0</v>
      </c>
      <c r="EM739" s="1098">
        <f t="shared" si="1171"/>
        <v>0</v>
      </c>
      <c r="EN739" s="1030"/>
      <c r="EO739" s="1030"/>
      <c r="EP739" s="1031"/>
      <c r="EQ739" s="1050"/>
      <c r="ER739" s="1038"/>
      <c r="ES739" s="1035"/>
      <c r="ET739" s="1051"/>
    </row>
    <row r="740" spans="2:150" ht="16.5" customHeight="1">
      <c r="B740" s="1024"/>
      <c r="C740" s="1025"/>
      <c r="D740" s="408">
        <v>737</v>
      </c>
      <c r="E740" s="1164"/>
      <c r="F740" s="1164"/>
      <c r="G740" s="1026"/>
      <c r="H740" s="411" t="str">
        <f>IFERROR(INDEX(绊状态确认!C:C,MATCH($G740,绊状态确认!$B:$B,)),"")</f>
        <v/>
      </c>
      <c r="I740" s="450" t="str">
        <f>IFERROR(INDEX(绊状态确认!D:D,MATCH($G740,绊状态确认!$B:$B,)),"")</f>
        <v/>
      </c>
      <c r="J740" s="450" t="str">
        <f>IFERROR(INDEX(绊状态确认!E:E,MATCH($G740,绊状态确认!$B:$B,)),"")</f>
        <v/>
      </c>
      <c r="K740" s="451" t="str">
        <f>IFERROR(INDEX(绊状态确认!F:F,MATCH($G740,绊状态确认!$B:$B,)),"")</f>
        <v/>
      </c>
      <c r="L740" s="1026"/>
      <c r="M740" s="1165"/>
      <c r="N740" s="1027"/>
      <c r="O740" s="1026"/>
      <c r="P740" s="1028"/>
      <c r="Q740" s="1029"/>
      <c r="R740" s="1166"/>
      <c r="S740" s="1030"/>
      <c r="T740" s="1031"/>
      <c r="U740" s="1032"/>
      <c r="V740" s="1033"/>
      <c r="W740" s="1034"/>
      <c r="X740" s="1166"/>
      <c r="Y740" s="1035"/>
      <c r="Z740" s="1036"/>
      <c r="AA740" s="1037"/>
      <c r="AB740" s="1038"/>
      <c r="AC740" s="1039"/>
      <c r="AD740" s="1040"/>
      <c r="AE740" s="1041"/>
      <c r="AF740" s="521"/>
      <c r="AG740" s="420"/>
      <c r="AH740" s="420"/>
      <c r="AI740" s="420"/>
      <c r="AJ740" s="420"/>
      <c r="AK740" s="518"/>
      <c r="AL740" s="1042"/>
      <c r="AM740" s="1035"/>
      <c r="AN740" s="1043"/>
      <c r="AO740" s="1167"/>
      <c r="AP740" s="1044"/>
      <c r="AQ740" s="1035"/>
      <c r="AR740" s="1035"/>
      <c r="AS740" s="1035"/>
      <c r="AT740" s="1165"/>
      <c r="AU740" s="1031"/>
      <c r="AV740" s="1045"/>
      <c r="AW740" s="1038"/>
      <c r="AX740" s="1035"/>
      <c r="AY740" s="483"/>
      <c r="AZ740" s="429"/>
      <c r="BA740" s="431"/>
      <c r="BB740" s="1035"/>
      <c r="BC740" s="1035"/>
      <c r="BD740" s="481"/>
      <c r="BE740" s="432"/>
      <c r="BF740" s="646"/>
      <c r="BG740" s="1047"/>
      <c r="BH740" s="1046"/>
      <c r="BI740" s="1048"/>
      <c r="BJ740" s="1030"/>
      <c r="BK740" s="1046"/>
      <c r="BL740" s="1048"/>
      <c r="BM740" s="1046"/>
      <c r="BN740" s="1167"/>
      <c r="BO740" s="1035"/>
      <c r="BP740" s="1043"/>
      <c r="BQ740" s="1167"/>
      <c r="BR740" s="1165"/>
      <c r="BS740" s="1031"/>
      <c r="BT740" s="1038"/>
      <c r="BU740" s="1035"/>
      <c r="BV740" s="1035"/>
      <c r="BW740" s="1049"/>
      <c r="BX740" s="1043"/>
      <c r="BY740" s="1046"/>
      <c r="BZ740" s="1167"/>
      <c r="CA740" s="1165"/>
      <c r="CB740" s="1031"/>
      <c r="CC740" s="1038"/>
      <c r="CD740" s="1035"/>
      <c r="CE740" s="1035"/>
      <c r="CF740" s="1049"/>
      <c r="CG740" s="1043"/>
      <c r="CH740" s="1046"/>
      <c r="CI740" s="1167"/>
      <c r="CJ740" s="1168"/>
      <c r="CK740" s="1169"/>
      <c r="CL740" s="1169"/>
      <c r="CM740" s="1166"/>
      <c r="CN740" s="1169"/>
      <c r="CO740" s="1169"/>
      <c r="CP740" s="452"/>
      <c r="CQ740" s="435"/>
      <c r="CR740" s="1117"/>
      <c r="CS740" s="452"/>
      <c r="CT740" s="482"/>
      <c r="CU740" s="476"/>
      <c r="CV740" s="431"/>
      <c r="CW740" s="1108"/>
      <c r="CX740" s="1108"/>
      <c r="CY740" s="483"/>
      <c r="CZ740" s="437"/>
      <c r="DA740" s="438"/>
      <c r="DB740" s="439"/>
      <c r="DC740" s="439"/>
      <c r="DD740" s="443"/>
      <c r="DE740" s="411"/>
      <c r="DF740" s="411"/>
      <c r="DG740" s="1117"/>
      <c r="DH740" s="1117"/>
      <c r="DI740" s="1117"/>
      <c r="DJ740" s="442"/>
      <c r="DK740" s="482"/>
      <c r="DL740" s="1038"/>
      <c r="DM740" s="1035"/>
      <c r="DN740" s="1035"/>
      <c r="DO740" s="1035"/>
      <c r="DP740" s="1046"/>
      <c r="DQ740" s="1167"/>
      <c r="DR740" s="1168"/>
      <c r="DS740" s="1165"/>
      <c r="DT740" s="1165"/>
      <c r="DU740" s="1165"/>
      <c r="DV740" s="1031"/>
      <c r="DW740" s="1098">
        <f t="shared" si="1168"/>
        <v>0</v>
      </c>
      <c r="DX740" s="1098">
        <f t="shared" si="1169"/>
        <v>0</v>
      </c>
      <c r="DY740" s="1030"/>
      <c r="DZ740" s="1030"/>
      <c r="EA740" s="1031"/>
      <c r="EB740" s="1050"/>
      <c r="EC740" s="1038"/>
      <c r="ED740" s="1035"/>
      <c r="EE740" s="1046"/>
      <c r="EF740" s="1169"/>
      <c r="EG740" s="1168"/>
      <c r="EH740" s="1165"/>
      <c r="EI740" s="1165"/>
      <c r="EJ740" s="1165"/>
      <c r="EK740" s="1031"/>
      <c r="EL740" s="1098">
        <f t="shared" si="1170"/>
        <v>0</v>
      </c>
      <c r="EM740" s="1098">
        <f t="shared" si="1171"/>
        <v>0</v>
      </c>
      <c r="EN740" s="1030"/>
      <c r="EO740" s="1030"/>
      <c r="EP740" s="1031"/>
      <c r="EQ740" s="1050"/>
      <c r="ER740" s="1038"/>
      <c r="ES740" s="1035"/>
      <c r="ET740" s="1051"/>
    </row>
    <row r="741" spans="2:150" ht="16.5" customHeight="1">
      <c r="B741" s="1024"/>
      <c r="C741" s="1025"/>
      <c r="D741" s="408">
        <v>738</v>
      </c>
      <c r="E741" s="1164"/>
      <c r="F741" s="1164"/>
      <c r="G741" s="1026"/>
      <c r="H741" s="411" t="str">
        <f>IFERROR(INDEX(绊状态确认!C:C,MATCH($G741,绊状态确认!$B:$B,)),"")</f>
        <v/>
      </c>
      <c r="I741" s="450" t="str">
        <f>IFERROR(INDEX(绊状态确认!D:D,MATCH($G741,绊状态确认!$B:$B,)),"")</f>
        <v/>
      </c>
      <c r="J741" s="450" t="str">
        <f>IFERROR(INDEX(绊状态确认!E:E,MATCH($G741,绊状态确认!$B:$B,)),"")</f>
        <v/>
      </c>
      <c r="K741" s="451" t="str">
        <f>IFERROR(INDEX(绊状态确认!F:F,MATCH($G741,绊状态确认!$B:$B,)),"")</f>
        <v/>
      </c>
      <c r="L741" s="1026"/>
      <c r="M741" s="1165"/>
      <c r="N741" s="1027"/>
      <c r="O741" s="1026"/>
      <c r="P741" s="1028"/>
      <c r="Q741" s="1029"/>
      <c r="R741" s="1166"/>
      <c r="S741" s="1030"/>
      <c r="T741" s="1031"/>
      <c r="U741" s="1032"/>
      <c r="V741" s="1033"/>
      <c r="W741" s="1034"/>
      <c r="X741" s="1166"/>
      <c r="Y741" s="1035"/>
      <c r="Z741" s="1036"/>
      <c r="AA741" s="1037"/>
      <c r="AB741" s="1038"/>
      <c r="AC741" s="1039"/>
      <c r="AD741" s="1040"/>
      <c r="AE741" s="1041"/>
      <c r="AF741" s="521"/>
      <c r="AG741" s="420"/>
      <c r="AH741" s="420"/>
      <c r="AI741" s="420"/>
      <c r="AJ741" s="420"/>
      <c r="AK741" s="518"/>
      <c r="AL741" s="1042"/>
      <c r="AM741" s="1035"/>
      <c r="AN741" s="1043"/>
      <c r="AO741" s="1167"/>
      <c r="AP741" s="1044"/>
      <c r="AQ741" s="1035"/>
      <c r="AR741" s="1035"/>
      <c r="AS741" s="1035"/>
      <c r="AT741" s="1165"/>
      <c r="AU741" s="1031"/>
      <c r="AV741" s="1045"/>
      <c r="AW741" s="1038"/>
      <c r="AX741" s="1035"/>
      <c r="AY741" s="483"/>
      <c r="AZ741" s="429"/>
      <c r="BA741" s="431"/>
      <c r="BB741" s="1035"/>
      <c r="BC741" s="1035"/>
      <c r="BD741" s="481"/>
      <c r="BE741" s="432"/>
      <c r="BF741" s="646"/>
      <c r="BG741" s="1047"/>
      <c r="BH741" s="1046"/>
      <c r="BI741" s="1048"/>
      <c r="BJ741" s="1030"/>
      <c r="BK741" s="1046"/>
      <c r="BL741" s="1048"/>
      <c r="BM741" s="1046"/>
      <c r="BN741" s="1167"/>
      <c r="BO741" s="1035"/>
      <c r="BP741" s="1043"/>
      <c r="BQ741" s="1167"/>
      <c r="BR741" s="1165"/>
      <c r="BS741" s="1031"/>
      <c r="BT741" s="1038"/>
      <c r="BU741" s="1035"/>
      <c r="BV741" s="1035"/>
      <c r="BW741" s="1049"/>
      <c r="BX741" s="1043"/>
      <c r="BY741" s="1046"/>
      <c r="BZ741" s="1167"/>
      <c r="CA741" s="1165"/>
      <c r="CB741" s="1031"/>
      <c r="CC741" s="1038"/>
      <c r="CD741" s="1035"/>
      <c r="CE741" s="1035"/>
      <c r="CF741" s="1049"/>
      <c r="CG741" s="1043"/>
      <c r="CH741" s="1046"/>
      <c r="CI741" s="1167"/>
      <c r="CJ741" s="1168"/>
      <c r="CK741" s="1169"/>
      <c r="CL741" s="1169"/>
      <c r="CM741" s="1166"/>
      <c r="CN741" s="1169"/>
      <c r="CO741" s="1169"/>
      <c r="CP741" s="452"/>
      <c r="CQ741" s="435"/>
      <c r="CR741" s="1117"/>
      <c r="CS741" s="452"/>
      <c r="CT741" s="482"/>
      <c r="CU741" s="476"/>
      <c r="CV741" s="431"/>
      <c r="CW741" s="1108"/>
      <c r="CX741" s="1108"/>
      <c r="CY741" s="483"/>
      <c r="CZ741" s="437"/>
      <c r="DA741" s="438"/>
      <c r="DB741" s="439"/>
      <c r="DC741" s="439"/>
      <c r="DD741" s="443"/>
      <c r="DE741" s="411"/>
      <c r="DF741" s="411"/>
      <c r="DG741" s="1117"/>
      <c r="DH741" s="1117"/>
      <c r="DI741" s="1117"/>
      <c r="DJ741" s="442"/>
      <c r="DK741" s="482"/>
      <c r="DL741" s="1038"/>
      <c r="DM741" s="1035"/>
      <c r="DN741" s="1035"/>
      <c r="DO741" s="1035"/>
      <c r="DP741" s="1046"/>
      <c r="DQ741" s="1167"/>
      <c r="DR741" s="1168"/>
      <c r="DS741" s="1165"/>
      <c r="DT741" s="1165"/>
      <c r="DU741" s="1165"/>
      <c r="DV741" s="1031"/>
      <c r="DW741" s="1098">
        <f t="shared" si="1168"/>
        <v>0</v>
      </c>
      <c r="DX741" s="1098">
        <f t="shared" si="1169"/>
        <v>0</v>
      </c>
      <c r="DY741" s="1030"/>
      <c r="DZ741" s="1030"/>
      <c r="EA741" s="1031"/>
      <c r="EB741" s="1050"/>
      <c r="EC741" s="1038"/>
      <c r="ED741" s="1035"/>
      <c r="EE741" s="1046"/>
      <c r="EF741" s="1169"/>
      <c r="EG741" s="1168"/>
      <c r="EH741" s="1165"/>
      <c r="EI741" s="1165"/>
      <c r="EJ741" s="1165"/>
      <c r="EK741" s="1031"/>
      <c r="EL741" s="1098">
        <f t="shared" si="1170"/>
        <v>0</v>
      </c>
      <c r="EM741" s="1098">
        <f t="shared" si="1171"/>
        <v>0</v>
      </c>
      <c r="EN741" s="1030"/>
      <c r="EO741" s="1030"/>
      <c r="EP741" s="1031"/>
      <c r="EQ741" s="1050"/>
      <c r="ER741" s="1038"/>
      <c r="ES741" s="1035"/>
      <c r="ET741" s="1051"/>
    </row>
    <row r="742" spans="2:150" ht="16.5" customHeight="1">
      <c r="B742" s="1024"/>
      <c r="C742" s="1025"/>
      <c r="D742" s="408">
        <v>739</v>
      </c>
      <c r="E742" s="1164"/>
      <c r="F742" s="1164"/>
      <c r="G742" s="1026"/>
      <c r="H742" s="411" t="str">
        <f>IFERROR(INDEX(绊状态确认!C:C,MATCH($G742,绊状态确认!$B:$B,)),"")</f>
        <v/>
      </c>
      <c r="I742" s="450" t="str">
        <f>IFERROR(INDEX(绊状态确认!D:D,MATCH($G742,绊状态确认!$B:$B,)),"")</f>
        <v/>
      </c>
      <c r="J742" s="450" t="str">
        <f>IFERROR(INDEX(绊状态确认!E:E,MATCH($G742,绊状态确认!$B:$B,)),"")</f>
        <v/>
      </c>
      <c r="K742" s="451" t="str">
        <f>IFERROR(INDEX(绊状态确认!F:F,MATCH($G742,绊状态确认!$B:$B,)),"")</f>
        <v/>
      </c>
      <c r="L742" s="1026"/>
      <c r="M742" s="1165"/>
      <c r="N742" s="1027"/>
      <c r="O742" s="1026"/>
      <c r="P742" s="1028"/>
      <c r="Q742" s="1029"/>
      <c r="R742" s="1166"/>
      <c r="S742" s="1030"/>
      <c r="T742" s="1031"/>
      <c r="U742" s="1032"/>
      <c r="V742" s="1033"/>
      <c r="W742" s="1034"/>
      <c r="X742" s="1166"/>
      <c r="Y742" s="1035"/>
      <c r="Z742" s="1036"/>
      <c r="AA742" s="1037"/>
      <c r="AB742" s="1038"/>
      <c r="AC742" s="1039"/>
      <c r="AD742" s="1040"/>
      <c r="AE742" s="1041"/>
      <c r="AF742" s="521"/>
      <c r="AG742" s="420"/>
      <c r="AH742" s="420"/>
      <c r="AI742" s="420"/>
      <c r="AJ742" s="420"/>
      <c r="AK742" s="518"/>
      <c r="AL742" s="1042"/>
      <c r="AM742" s="1035"/>
      <c r="AN742" s="1043"/>
      <c r="AO742" s="1167"/>
      <c r="AP742" s="1044"/>
      <c r="AQ742" s="1035"/>
      <c r="AR742" s="1035"/>
      <c r="AS742" s="1035"/>
      <c r="AT742" s="1165"/>
      <c r="AU742" s="1031"/>
      <c r="AV742" s="1045"/>
      <c r="AW742" s="1038"/>
      <c r="AX742" s="1035"/>
      <c r="AY742" s="483"/>
      <c r="AZ742" s="429"/>
      <c r="BA742" s="431"/>
      <c r="BB742" s="1035"/>
      <c r="BC742" s="1035"/>
      <c r="BD742" s="481"/>
      <c r="BE742" s="432"/>
      <c r="BF742" s="646"/>
      <c r="BG742" s="1047"/>
      <c r="BH742" s="1046"/>
      <c r="BI742" s="1048"/>
      <c r="BJ742" s="1030"/>
      <c r="BK742" s="1046"/>
      <c r="BL742" s="1048"/>
      <c r="BM742" s="1046"/>
      <c r="BN742" s="1167"/>
      <c r="BO742" s="1035"/>
      <c r="BP742" s="1043"/>
      <c r="BQ742" s="1167"/>
      <c r="BR742" s="1165"/>
      <c r="BS742" s="1031"/>
      <c r="BT742" s="1038"/>
      <c r="BU742" s="1035"/>
      <c r="BV742" s="1035"/>
      <c r="BW742" s="1049"/>
      <c r="BX742" s="1043"/>
      <c r="BY742" s="1046"/>
      <c r="BZ742" s="1167"/>
      <c r="CA742" s="1165"/>
      <c r="CB742" s="1031"/>
      <c r="CC742" s="1038"/>
      <c r="CD742" s="1035"/>
      <c r="CE742" s="1035"/>
      <c r="CF742" s="1049"/>
      <c r="CG742" s="1043"/>
      <c r="CH742" s="1046"/>
      <c r="CI742" s="1167"/>
      <c r="CJ742" s="1168"/>
      <c r="CK742" s="1169"/>
      <c r="CL742" s="1169"/>
      <c r="CM742" s="1166"/>
      <c r="CN742" s="1169"/>
      <c r="CO742" s="1169"/>
      <c r="CP742" s="452"/>
      <c r="CQ742" s="435"/>
      <c r="CR742" s="1117"/>
      <c r="CS742" s="452"/>
      <c r="CT742" s="482"/>
      <c r="CU742" s="476"/>
      <c r="CV742" s="431"/>
      <c r="CW742" s="1108"/>
      <c r="CX742" s="1108"/>
      <c r="CY742" s="483"/>
      <c r="CZ742" s="437"/>
      <c r="DA742" s="438"/>
      <c r="DB742" s="439"/>
      <c r="DC742" s="439"/>
      <c r="DD742" s="443"/>
      <c r="DE742" s="411"/>
      <c r="DF742" s="411"/>
      <c r="DG742" s="1117"/>
      <c r="DH742" s="1117"/>
      <c r="DI742" s="1117"/>
      <c r="DJ742" s="442"/>
      <c r="DK742" s="482"/>
      <c r="DL742" s="1038"/>
      <c r="DM742" s="1035"/>
      <c r="DN742" s="1035"/>
      <c r="DO742" s="1035"/>
      <c r="DP742" s="1046"/>
      <c r="DQ742" s="1167"/>
      <c r="DR742" s="1168"/>
      <c r="DS742" s="1165"/>
      <c r="DT742" s="1165"/>
      <c r="DU742" s="1165"/>
      <c r="DV742" s="1031"/>
      <c r="DW742" s="1098">
        <f t="shared" si="1168"/>
        <v>0</v>
      </c>
      <c r="DX742" s="1098">
        <f t="shared" si="1169"/>
        <v>0</v>
      </c>
      <c r="DY742" s="1030"/>
      <c r="DZ742" s="1030"/>
      <c r="EA742" s="1031"/>
      <c r="EB742" s="1050"/>
      <c r="EC742" s="1038"/>
      <c r="ED742" s="1035"/>
      <c r="EE742" s="1046"/>
      <c r="EF742" s="1169"/>
      <c r="EG742" s="1168"/>
      <c r="EH742" s="1165"/>
      <c r="EI742" s="1165"/>
      <c r="EJ742" s="1165"/>
      <c r="EK742" s="1031"/>
      <c r="EL742" s="1098">
        <f t="shared" si="1170"/>
        <v>0</v>
      </c>
      <c r="EM742" s="1098">
        <f t="shared" si="1171"/>
        <v>0</v>
      </c>
      <c r="EN742" s="1030"/>
      <c r="EO742" s="1030"/>
      <c r="EP742" s="1031"/>
      <c r="EQ742" s="1050"/>
      <c r="ER742" s="1038"/>
      <c r="ES742" s="1035"/>
      <c r="ET742" s="1051"/>
    </row>
    <row r="743" spans="2:150" ht="16.5" customHeight="1">
      <c r="B743" s="1024"/>
      <c r="C743" s="1025"/>
      <c r="D743" s="408">
        <v>740</v>
      </c>
      <c r="E743" s="1164"/>
      <c r="F743" s="1164"/>
      <c r="G743" s="1026"/>
      <c r="H743" s="411" t="str">
        <f>IFERROR(INDEX(绊状态确认!C:C,MATCH($G743,绊状态确认!$B:$B,)),"")</f>
        <v/>
      </c>
      <c r="I743" s="450" t="str">
        <f>IFERROR(INDEX(绊状态确认!D:D,MATCH($G743,绊状态确认!$B:$B,)),"")</f>
        <v/>
      </c>
      <c r="J743" s="450" t="str">
        <f>IFERROR(INDEX(绊状态确认!E:E,MATCH($G743,绊状态确认!$B:$B,)),"")</f>
        <v/>
      </c>
      <c r="K743" s="451" t="str">
        <f>IFERROR(INDEX(绊状态确认!F:F,MATCH($G743,绊状态确认!$B:$B,)),"")</f>
        <v/>
      </c>
      <c r="L743" s="1026"/>
      <c r="M743" s="1165"/>
      <c r="N743" s="1027"/>
      <c r="O743" s="1026"/>
      <c r="P743" s="1028"/>
      <c r="Q743" s="1029"/>
      <c r="R743" s="1166"/>
      <c r="S743" s="1030"/>
      <c r="T743" s="1031"/>
      <c r="U743" s="1032"/>
      <c r="V743" s="1033"/>
      <c r="W743" s="1034"/>
      <c r="X743" s="1166"/>
      <c r="Y743" s="1035"/>
      <c r="Z743" s="1036"/>
      <c r="AA743" s="1037"/>
      <c r="AB743" s="1038"/>
      <c r="AC743" s="1039"/>
      <c r="AD743" s="1040"/>
      <c r="AE743" s="1041"/>
      <c r="AF743" s="521"/>
      <c r="AG743" s="420"/>
      <c r="AH743" s="420"/>
      <c r="AI743" s="420"/>
      <c r="AJ743" s="420"/>
      <c r="AK743" s="518"/>
      <c r="AL743" s="1042"/>
      <c r="AM743" s="1035"/>
      <c r="AN743" s="1043"/>
      <c r="AO743" s="1167"/>
      <c r="AP743" s="1044"/>
      <c r="AQ743" s="1035"/>
      <c r="AR743" s="1035"/>
      <c r="AS743" s="1035"/>
      <c r="AT743" s="1165"/>
      <c r="AU743" s="1031"/>
      <c r="AV743" s="1045"/>
      <c r="AW743" s="1038"/>
      <c r="AX743" s="1035"/>
      <c r="AY743" s="483"/>
      <c r="AZ743" s="429"/>
      <c r="BA743" s="431"/>
      <c r="BB743" s="1035"/>
      <c r="BC743" s="1035"/>
      <c r="BD743" s="481"/>
      <c r="BE743" s="432"/>
      <c r="BF743" s="646"/>
      <c r="BG743" s="1047"/>
      <c r="BH743" s="1046"/>
      <c r="BI743" s="1048"/>
      <c r="BJ743" s="1030"/>
      <c r="BK743" s="1046"/>
      <c r="BL743" s="1048"/>
      <c r="BM743" s="1046"/>
      <c r="BN743" s="1167"/>
      <c r="BO743" s="1035"/>
      <c r="BP743" s="1043"/>
      <c r="BQ743" s="1167"/>
      <c r="BR743" s="1165"/>
      <c r="BS743" s="1031"/>
      <c r="BT743" s="1038"/>
      <c r="BU743" s="1035"/>
      <c r="BV743" s="1035"/>
      <c r="BW743" s="1049"/>
      <c r="BX743" s="1043"/>
      <c r="BY743" s="1046"/>
      <c r="BZ743" s="1167"/>
      <c r="CA743" s="1165"/>
      <c r="CB743" s="1031"/>
      <c r="CC743" s="1038"/>
      <c r="CD743" s="1035"/>
      <c r="CE743" s="1035"/>
      <c r="CF743" s="1049"/>
      <c r="CG743" s="1043"/>
      <c r="CH743" s="1046"/>
      <c r="CI743" s="1167"/>
      <c r="CJ743" s="1168"/>
      <c r="CK743" s="1169"/>
      <c r="CL743" s="1169"/>
      <c r="CM743" s="1166"/>
      <c r="CN743" s="1169"/>
      <c r="CO743" s="1169"/>
      <c r="CP743" s="452"/>
      <c r="CQ743" s="435"/>
      <c r="CR743" s="1117"/>
      <c r="CS743" s="452"/>
      <c r="CT743" s="482"/>
      <c r="CU743" s="476"/>
      <c r="CV743" s="431"/>
      <c r="CW743" s="1108"/>
      <c r="CX743" s="1108"/>
      <c r="CY743" s="483"/>
      <c r="CZ743" s="437"/>
      <c r="DA743" s="438"/>
      <c r="DB743" s="439"/>
      <c r="DC743" s="439"/>
      <c r="DD743" s="443"/>
      <c r="DE743" s="411"/>
      <c r="DF743" s="411"/>
      <c r="DG743" s="1117"/>
      <c r="DH743" s="1117"/>
      <c r="DI743" s="1117"/>
      <c r="DJ743" s="442"/>
      <c r="DK743" s="482"/>
      <c r="DL743" s="1038"/>
      <c r="DM743" s="1035"/>
      <c r="DN743" s="1035"/>
      <c r="DO743" s="1035"/>
      <c r="DP743" s="1046"/>
      <c r="DQ743" s="1167"/>
      <c r="DR743" s="1168"/>
      <c r="DS743" s="1165"/>
      <c r="DT743" s="1165"/>
      <c r="DU743" s="1165"/>
      <c r="DV743" s="1031"/>
      <c r="DW743" s="1098">
        <f t="shared" si="1168"/>
        <v>0</v>
      </c>
      <c r="DX743" s="1098">
        <f t="shared" si="1169"/>
        <v>0</v>
      </c>
      <c r="DY743" s="1030"/>
      <c r="DZ743" s="1030"/>
      <c r="EA743" s="1031"/>
      <c r="EB743" s="1050"/>
      <c r="EC743" s="1038"/>
      <c r="ED743" s="1035"/>
      <c r="EE743" s="1046"/>
      <c r="EF743" s="1169"/>
      <c r="EG743" s="1168"/>
      <c r="EH743" s="1165"/>
      <c r="EI743" s="1165"/>
      <c r="EJ743" s="1165"/>
      <c r="EK743" s="1031"/>
      <c r="EL743" s="1098">
        <f t="shared" si="1170"/>
        <v>0</v>
      </c>
      <c r="EM743" s="1098">
        <f t="shared" si="1171"/>
        <v>0</v>
      </c>
      <c r="EN743" s="1030"/>
      <c r="EO743" s="1030"/>
      <c r="EP743" s="1031"/>
      <c r="EQ743" s="1050"/>
      <c r="ER743" s="1038"/>
      <c r="ES743" s="1035"/>
      <c r="ET743" s="1051"/>
    </row>
    <row r="744" spans="2:150" ht="16.5" customHeight="1">
      <c r="B744" s="1024"/>
      <c r="C744" s="1025"/>
      <c r="D744" s="408">
        <v>741</v>
      </c>
      <c r="E744" s="1164"/>
      <c r="F744" s="1164"/>
      <c r="G744" s="1026"/>
      <c r="H744" s="411" t="str">
        <f>IFERROR(INDEX(绊状态确认!C:C,MATCH($G744,绊状态确认!$B:$B,)),"")</f>
        <v/>
      </c>
      <c r="I744" s="450" t="str">
        <f>IFERROR(INDEX(绊状态确认!D:D,MATCH($G744,绊状态确认!$B:$B,)),"")</f>
        <v/>
      </c>
      <c r="J744" s="450" t="str">
        <f>IFERROR(INDEX(绊状态确认!E:E,MATCH($G744,绊状态确认!$B:$B,)),"")</f>
        <v/>
      </c>
      <c r="K744" s="451" t="str">
        <f>IFERROR(INDEX(绊状态确认!F:F,MATCH($G744,绊状态确认!$B:$B,)),"")</f>
        <v/>
      </c>
      <c r="L744" s="1026"/>
      <c r="M744" s="1165"/>
      <c r="N744" s="1027"/>
      <c r="O744" s="1026"/>
      <c r="P744" s="1028"/>
      <c r="Q744" s="1029"/>
      <c r="R744" s="1166"/>
      <c r="S744" s="1030"/>
      <c r="T744" s="1031"/>
      <c r="U744" s="1032"/>
      <c r="V744" s="1033"/>
      <c r="W744" s="1034"/>
      <c r="X744" s="1166"/>
      <c r="Y744" s="1035"/>
      <c r="Z744" s="1036"/>
      <c r="AA744" s="1037"/>
      <c r="AB744" s="1038"/>
      <c r="AC744" s="1039"/>
      <c r="AD744" s="1040"/>
      <c r="AE744" s="1041"/>
      <c r="AF744" s="521"/>
      <c r="AG744" s="420"/>
      <c r="AH744" s="420"/>
      <c r="AI744" s="420"/>
      <c r="AJ744" s="420"/>
      <c r="AK744" s="518"/>
      <c r="AL744" s="1042"/>
      <c r="AM744" s="1035"/>
      <c r="AN744" s="1043"/>
      <c r="AO744" s="1167"/>
      <c r="AP744" s="1044"/>
      <c r="AQ744" s="1035"/>
      <c r="AR744" s="1035"/>
      <c r="AS744" s="1035"/>
      <c r="AT744" s="1165"/>
      <c r="AU744" s="1031"/>
      <c r="AV744" s="1045"/>
      <c r="AW744" s="1038"/>
      <c r="AX744" s="1035"/>
      <c r="AY744" s="483"/>
      <c r="AZ744" s="429"/>
      <c r="BA744" s="431"/>
      <c r="BB744" s="1035"/>
      <c r="BC744" s="1035"/>
      <c r="BD744" s="481"/>
      <c r="BE744" s="432"/>
      <c r="BF744" s="646"/>
      <c r="BG744" s="1047"/>
      <c r="BH744" s="1046"/>
      <c r="BI744" s="1048"/>
      <c r="BJ744" s="1030"/>
      <c r="BK744" s="1046"/>
      <c r="BL744" s="1048"/>
      <c r="BM744" s="1046"/>
      <c r="BN744" s="1167"/>
      <c r="BO744" s="1035"/>
      <c r="BP744" s="1043"/>
      <c r="BQ744" s="1167"/>
      <c r="BR744" s="1165"/>
      <c r="BS744" s="1031"/>
      <c r="BT744" s="1038"/>
      <c r="BU744" s="1035"/>
      <c r="BV744" s="1035"/>
      <c r="BW744" s="1049"/>
      <c r="BX744" s="1043"/>
      <c r="BY744" s="1046"/>
      <c r="BZ744" s="1167"/>
      <c r="CA744" s="1165"/>
      <c r="CB744" s="1031"/>
      <c r="CC744" s="1038"/>
      <c r="CD744" s="1035"/>
      <c r="CE744" s="1035"/>
      <c r="CF744" s="1049"/>
      <c r="CG744" s="1043"/>
      <c r="CH744" s="1046"/>
      <c r="CI744" s="1167"/>
      <c r="CJ744" s="1168"/>
      <c r="CK744" s="1169"/>
      <c r="CL744" s="1169"/>
      <c r="CM744" s="1166"/>
      <c r="CN744" s="1169"/>
      <c r="CO744" s="1169"/>
      <c r="CP744" s="452"/>
      <c r="CQ744" s="435"/>
      <c r="CR744" s="1117"/>
      <c r="CS744" s="452"/>
      <c r="CT744" s="482"/>
      <c r="CU744" s="476"/>
      <c r="CV744" s="431"/>
      <c r="CW744" s="1108"/>
      <c r="CX744" s="1108"/>
      <c r="CY744" s="483"/>
      <c r="CZ744" s="437"/>
      <c r="DA744" s="438"/>
      <c r="DB744" s="439"/>
      <c r="DC744" s="439"/>
      <c r="DD744" s="443"/>
      <c r="DE744" s="411"/>
      <c r="DF744" s="411"/>
      <c r="DG744" s="1117"/>
      <c r="DH744" s="1117"/>
      <c r="DI744" s="1117"/>
      <c r="DJ744" s="442"/>
      <c r="DK744" s="482"/>
      <c r="DL744" s="1038"/>
      <c r="DM744" s="1035"/>
      <c r="DN744" s="1035"/>
      <c r="DO744" s="1035"/>
      <c r="DP744" s="1046"/>
      <c r="DQ744" s="1167"/>
      <c r="DR744" s="1168"/>
      <c r="DS744" s="1165"/>
      <c r="DT744" s="1165"/>
      <c r="DU744" s="1165"/>
      <c r="DV744" s="1031"/>
      <c r="DW744" s="1098">
        <f t="shared" si="1168"/>
        <v>0</v>
      </c>
      <c r="DX744" s="1098">
        <f t="shared" si="1169"/>
        <v>0</v>
      </c>
      <c r="DY744" s="1030"/>
      <c r="DZ744" s="1030"/>
      <c r="EA744" s="1031"/>
      <c r="EB744" s="1050"/>
      <c r="EC744" s="1038"/>
      <c r="ED744" s="1035"/>
      <c r="EE744" s="1046"/>
      <c r="EF744" s="1169"/>
      <c r="EG744" s="1168"/>
      <c r="EH744" s="1165"/>
      <c r="EI744" s="1165"/>
      <c r="EJ744" s="1165"/>
      <c r="EK744" s="1031"/>
      <c r="EL744" s="1098">
        <f t="shared" si="1170"/>
        <v>0</v>
      </c>
      <c r="EM744" s="1098">
        <f t="shared" si="1171"/>
        <v>0</v>
      </c>
      <c r="EN744" s="1030"/>
      <c r="EO744" s="1030"/>
      <c r="EP744" s="1031"/>
      <c r="EQ744" s="1050"/>
      <c r="ER744" s="1038"/>
      <c r="ES744" s="1035"/>
      <c r="ET744" s="1051"/>
    </row>
    <row r="745" spans="2:150" ht="16.5" customHeight="1">
      <c r="B745" s="1024"/>
      <c r="C745" s="1025"/>
      <c r="D745" s="408">
        <v>742</v>
      </c>
      <c r="E745" s="1164"/>
      <c r="F745" s="1164"/>
      <c r="G745" s="1026"/>
      <c r="H745" s="411" t="str">
        <f>IFERROR(INDEX(绊状态确认!C:C,MATCH($G745,绊状态确认!$B:$B,)),"")</f>
        <v/>
      </c>
      <c r="I745" s="450" t="str">
        <f>IFERROR(INDEX(绊状态确认!D:D,MATCH($G745,绊状态确认!$B:$B,)),"")</f>
        <v/>
      </c>
      <c r="J745" s="450" t="str">
        <f>IFERROR(INDEX(绊状态确认!E:E,MATCH($G745,绊状态确认!$B:$B,)),"")</f>
        <v/>
      </c>
      <c r="K745" s="451" t="str">
        <f>IFERROR(INDEX(绊状态确认!F:F,MATCH($G745,绊状态确认!$B:$B,)),"")</f>
        <v/>
      </c>
      <c r="L745" s="1026"/>
      <c r="M745" s="1165"/>
      <c r="N745" s="1027"/>
      <c r="O745" s="1026"/>
      <c r="P745" s="1028"/>
      <c r="Q745" s="1029"/>
      <c r="R745" s="1166"/>
      <c r="S745" s="1030"/>
      <c r="T745" s="1031"/>
      <c r="U745" s="1032"/>
      <c r="V745" s="1033"/>
      <c r="W745" s="1034"/>
      <c r="X745" s="1166"/>
      <c r="Y745" s="1035"/>
      <c r="Z745" s="1036"/>
      <c r="AA745" s="1037"/>
      <c r="AB745" s="1038"/>
      <c r="AC745" s="1039"/>
      <c r="AD745" s="1040"/>
      <c r="AE745" s="1041"/>
      <c r="AF745" s="521"/>
      <c r="AG745" s="420"/>
      <c r="AH745" s="420"/>
      <c r="AI745" s="420"/>
      <c r="AJ745" s="420"/>
      <c r="AK745" s="518"/>
      <c r="AL745" s="1042"/>
      <c r="AM745" s="1035"/>
      <c r="AN745" s="1043"/>
      <c r="AO745" s="1167"/>
      <c r="AP745" s="1044"/>
      <c r="AQ745" s="1035"/>
      <c r="AR745" s="1035"/>
      <c r="AS745" s="1035"/>
      <c r="AT745" s="1165"/>
      <c r="AU745" s="1031"/>
      <c r="AV745" s="1045"/>
      <c r="AW745" s="1038"/>
      <c r="AX745" s="1035"/>
      <c r="AY745" s="483"/>
      <c r="AZ745" s="429"/>
      <c r="BA745" s="431"/>
      <c r="BB745" s="1035"/>
      <c r="BC745" s="1035"/>
      <c r="BD745" s="481"/>
      <c r="BE745" s="432"/>
      <c r="BF745" s="646"/>
      <c r="BG745" s="1047"/>
      <c r="BH745" s="1046"/>
      <c r="BI745" s="1048"/>
      <c r="BJ745" s="1030"/>
      <c r="BK745" s="1046"/>
      <c r="BL745" s="1048"/>
      <c r="BM745" s="1046"/>
      <c r="BN745" s="1167"/>
      <c r="BO745" s="1035"/>
      <c r="BP745" s="1043"/>
      <c r="BQ745" s="1167"/>
      <c r="BR745" s="1165"/>
      <c r="BS745" s="1031"/>
      <c r="BT745" s="1038"/>
      <c r="BU745" s="1035"/>
      <c r="BV745" s="1035"/>
      <c r="BW745" s="1049"/>
      <c r="BX745" s="1043"/>
      <c r="BY745" s="1046"/>
      <c r="BZ745" s="1167"/>
      <c r="CA745" s="1165"/>
      <c r="CB745" s="1031"/>
      <c r="CC745" s="1038"/>
      <c r="CD745" s="1035"/>
      <c r="CE745" s="1035"/>
      <c r="CF745" s="1049"/>
      <c r="CG745" s="1043"/>
      <c r="CH745" s="1046"/>
      <c r="CI745" s="1167"/>
      <c r="CJ745" s="1168"/>
      <c r="CK745" s="1169"/>
      <c r="CL745" s="1169"/>
      <c r="CM745" s="1166"/>
      <c r="CN745" s="1169"/>
      <c r="CO745" s="1169"/>
      <c r="CP745" s="452"/>
      <c r="CQ745" s="435"/>
      <c r="CR745" s="1117"/>
      <c r="CS745" s="452"/>
      <c r="CT745" s="482"/>
      <c r="CU745" s="476"/>
      <c r="CV745" s="431"/>
      <c r="CW745" s="1108"/>
      <c r="CX745" s="1108"/>
      <c r="CY745" s="483"/>
      <c r="CZ745" s="437"/>
      <c r="DA745" s="438"/>
      <c r="DB745" s="439"/>
      <c r="DC745" s="439"/>
      <c r="DD745" s="443"/>
      <c r="DE745" s="411"/>
      <c r="DF745" s="411"/>
      <c r="DG745" s="1117"/>
      <c r="DH745" s="1117"/>
      <c r="DI745" s="1117"/>
      <c r="DJ745" s="442"/>
      <c r="DK745" s="482"/>
      <c r="DL745" s="1038"/>
      <c r="DM745" s="1035"/>
      <c r="DN745" s="1035"/>
      <c r="DO745" s="1035"/>
      <c r="DP745" s="1046"/>
      <c r="DQ745" s="1167"/>
      <c r="DR745" s="1168"/>
      <c r="DS745" s="1165"/>
      <c r="DT745" s="1165"/>
      <c r="DU745" s="1165"/>
      <c r="DV745" s="1031"/>
      <c r="DW745" s="1098">
        <f t="shared" si="1168"/>
        <v>0</v>
      </c>
      <c r="DX745" s="1098">
        <f t="shared" si="1169"/>
        <v>0</v>
      </c>
      <c r="DY745" s="1030"/>
      <c r="DZ745" s="1030"/>
      <c r="EA745" s="1031"/>
      <c r="EB745" s="1050"/>
      <c r="EC745" s="1038"/>
      <c r="ED745" s="1035"/>
      <c r="EE745" s="1046"/>
      <c r="EF745" s="1169"/>
      <c r="EG745" s="1168"/>
      <c r="EH745" s="1165"/>
      <c r="EI745" s="1165"/>
      <c r="EJ745" s="1165"/>
      <c r="EK745" s="1031"/>
      <c r="EL745" s="1098">
        <f t="shared" si="1170"/>
        <v>0</v>
      </c>
      <c r="EM745" s="1098">
        <f t="shared" si="1171"/>
        <v>0</v>
      </c>
      <c r="EN745" s="1030"/>
      <c r="EO745" s="1030"/>
      <c r="EP745" s="1031"/>
      <c r="EQ745" s="1050"/>
      <c r="ER745" s="1038"/>
      <c r="ES745" s="1035"/>
      <c r="ET745" s="1051"/>
    </row>
    <row r="746" spans="2:150" ht="16.5" customHeight="1">
      <c r="B746" s="1024"/>
      <c r="C746" s="1025"/>
      <c r="D746" s="408">
        <v>743</v>
      </c>
      <c r="E746" s="1164"/>
      <c r="F746" s="1164"/>
      <c r="G746" s="1026"/>
      <c r="H746" s="411" t="str">
        <f>IFERROR(INDEX(绊状态确认!C:C,MATCH($G746,绊状态确认!$B:$B,)),"")</f>
        <v/>
      </c>
      <c r="I746" s="450" t="str">
        <f>IFERROR(INDEX(绊状态确认!D:D,MATCH($G746,绊状态确认!$B:$B,)),"")</f>
        <v/>
      </c>
      <c r="J746" s="450" t="str">
        <f>IFERROR(INDEX(绊状态确认!E:E,MATCH($G746,绊状态确认!$B:$B,)),"")</f>
        <v/>
      </c>
      <c r="K746" s="451" t="str">
        <f>IFERROR(INDEX(绊状态确认!F:F,MATCH($G746,绊状态确认!$B:$B,)),"")</f>
        <v/>
      </c>
      <c r="L746" s="1026"/>
      <c r="M746" s="1165"/>
      <c r="N746" s="1027"/>
      <c r="O746" s="1026"/>
      <c r="P746" s="1028"/>
      <c r="Q746" s="1029"/>
      <c r="R746" s="1166"/>
      <c r="S746" s="1030"/>
      <c r="T746" s="1031"/>
      <c r="U746" s="1032"/>
      <c r="V746" s="1033"/>
      <c r="W746" s="1034"/>
      <c r="X746" s="1166"/>
      <c r="Y746" s="1035"/>
      <c r="Z746" s="1036"/>
      <c r="AA746" s="1037"/>
      <c r="AB746" s="1038"/>
      <c r="AC746" s="1039"/>
      <c r="AD746" s="1040"/>
      <c r="AE746" s="1041"/>
      <c r="AF746" s="521"/>
      <c r="AG746" s="420"/>
      <c r="AH746" s="420"/>
      <c r="AI746" s="420"/>
      <c r="AJ746" s="420"/>
      <c r="AK746" s="518"/>
      <c r="AL746" s="1042"/>
      <c r="AM746" s="1035"/>
      <c r="AN746" s="1043"/>
      <c r="AO746" s="1167"/>
      <c r="AP746" s="1044"/>
      <c r="AQ746" s="1035"/>
      <c r="AR746" s="1035"/>
      <c r="AS746" s="1035"/>
      <c r="AT746" s="1165"/>
      <c r="AU746" s="1031"/>
      <c r="AV746" s="1045"/>
      <c r="AW746" s="1038"/>
      <c r="AX746" s="1035"/>
      <c r="AY746" s="483"/>
      <c r="AZ746" s="429"/>
      <c r="BA746" s="431"/>
      <c r="BB746" s="1035"/>
      <c r="BC746" s="1035"/>
      <c r="BD746" s="481"/>
      <c r="BE746" s="432"/>
      <c r="BF746" s="646"/>
      <c r="BG746" s="1047"/>
      <c r="BH746" s="1046"/>
      <c r="BI746" s="1048"/>
      <c r="BJ746" s="1030"/>
      <c r="BK746" s="1046"/>
      <c r="BL746" s="1048"/>
      <c r="BM746" s="1046"/>
      <c r="BN746" s="1167"/>
      <c r="BO746" s="1035"/>
      <c r="BP746" s="1043"/>
      <c r="BQ746" s="1167"/>
      <c r="BR746" s="1165"/>
      <c r="BS746" s="1031"/>
      <c r="BT746" s="1038"/>
      <c r="BU746" s="1035"/>
      <c r="BV746" s="1035"/>
      <c r="BW746" s="1049"/>
      <c r="BX746" s="1043"/>
      <c r="BY746" s="1046"/>
      <c r="BZ746" s="1167"/>
      <c r="CA746" s="1165"/>
      <c r="CB746" s="1031"/>
      <c r="CC746" s="1038"/>
      <c r="CD746" s="1035"/>
      <c r="CE746" s="1035"/>
      <c r="CF746" s="1049"/>
      <c r="CG746" s="1043"/>
      <c r="CH746" s="1046"/>
      <c r="CI746" s="1167"/>
      <c r="CJ746" s="1168"/>
      <c r="CK746" s="1169"/>
      <c r="CL746" s="1169"/>
      <c r="CM746" s="1166"/>
      <c r="CN746" s="1169"/>
      <c r="CO746" s="1169"/>
      <c r="CP746" s="452"/>
      <c r="CQ746" s="435"/>
      <c r="CR746" s="1117"/>
      <c r="CS746" s="452"/>
      <c r="CT746" s="482"/>
      <c r="CU746" s="476"/>
      <c r="CV746" s="431"/>
      <c r="CW746" s="1108"/>
      <c r="CX746" s="1108"/>
      <c r="CY746" s="483"/>
      <c r="CZ746" s="437"/>
      <c r="DA746" s="438"/>
      <c r="DB746" s="439"/>
      <c r="DC746" s="439"/>
      <c r="DD746" s="443"/>
      <c r="DE746" s="411"/>
      <c r="DF746" s="411"/>
      <c r="DG746" s="1117"/>
      <c r="DH746" s="1117"/>
      <c r="DI746" s="1117"/>
      <c r="DJ746" s="442"/>
      <c r="DK746" s="482"/>
      <c r="DL746" s="1038"/>
      <c r="DM746" s="1035"/>
      <c r="DN746" s="1035"/>
      <c r="DO746" s="1035"/>
      <c r="DP746" s="1046"/>
      <c r="DQ746" s="1167"/>
      <c r="DR746" s="1168"/>
      <c r="DS746" s="1165"/>
      <c r="DT746" s="1165"/>
      <c r="DU746" s="1165"/>
      <c r="DV746" s="1031"/>
      <c r="DW746" s="1098">
        <f t="shared" si="1168"/>
        <v>0</v>
      </c>
      <c r="DX746" s="1098">
        <f t="shared" si="1169"/>
        <v>0</v>
      </c>
      <c r="DY746" s="1030"/>
      <c r="DZ746" s="1030"/>
      <c r="EA746" s="1031"/>
      <c r="EB746" s="1050"/>
      <c r="EC746" s="1038"/>
      <c r="ED746" s="1035"/>
      <c r="EE746" s="1046"/>
      <c r="EF746" s="1169"/>
      <c r="EG746" s="1168"/>
      <c r="EH746" s="1165"/>
      <c r="EI746" s="1165"/>
      <c r="EJ746" s="1165"/>
      <c r="EK746" s="1031"/>
      <c r="EL746" s="1098">
        <f t="shared" si="1170"/>
        <v>0</v>
      </c>
      <c r="EM746" s="1098">
        <f t="shared" si="1171"/>
        <v>0</v>
      </c>
      <c r="EN746" s="1030"/>
      <c r="EO746" s="1030"/>
      <c r="EP746" s="1031"/>
      <c r="EQ746" s="1050"/>
      <c r="ER746" s="1038"/>
      <c r="ES746" s="1035"/>
      <c r="ET746" s="1051"/>
    </row>
    <row r="747" spans="2:150" ht="16.5" customHeight="1">
      <c r="B747" s="1024"/>
      <c r="C747" s="1025"/>
      <c r="D747" s="408">
        <v>744</v>
      </c>
      <c r="E747" s="1164"/>
      <c r="F747" s="1164"/>
      <c r="G747" s="1026"/>
      <c r="H747" s="411" t="str">
        <f>IFERROR(INDEX(绊状态确认!C:C,MATCH($G747,绊状态确认!$B:$B,)),"")</f>
        <v/>
      </c>
      <c r="I747" s="450" t="str">
        <f>IFERROR(INDEX(绊状态确认!D:D,MATCH($G747,绊状态确认!$B:$B,)),"")</f>
        <v/>
      </c>
      <c r="J747" s="450" t="str">
        <f>IFERROR(INDEX(绊状态确认!E:E,MATCH($G747,绊状态确认!$B:$B,)),"")</f>
        <v/>
      </c>
      <c r="K747" s="451" t="str">
        <f>IFERROR(INDEX(绊状态确认!F:F,MATCH($G747,绊状态确认!$B:$B,)),"")</f>
        <v/>
      </c>
      <c r="L747" s="1026"/>
      <c r="M747" s="1165"/>
      <c r="N747" s="1027"/>
      <c r="O747" s="1026"/>
      <c r="P747" s="1028"/>
      <c r="Q747" s="1029"/>
      <c r="R747" s="1166"/>
      <c r="S747" s="1030"/>
      <c r="T747" s="1031"/>
      <c r="U747" s="1032"/>
      <c r="V747" s="1033"/>
      <c r="W747" s="1034"/>
      <c r="X747" s="1166"/>
      <c r="Y747" s="1035"/>
      <c r="Z747" s="1036"/>
      <c r="AA747" s="1037"/>
      <c r="AB747" s="1038"/>
      <c r="AC747" s="1039"/>
      <c r="AD747" s="1040"/>
      <c r="AE747" s="1041"/>
      <c r="AF747" s="521"/>
      <c r="AG747" s="420"/>
      <c r="AH747" s="420"/>
      <c r="AI747" s="420"/>
      <c r="AJ747" s="420"/>
      <c r="AK747" s="518"/>
      <c r="AL747" s="1042"/>
      <c r="AM747" s="1035"/>
      <c r="AN747" s="1043"/>
      <c r="AO747" s="1167"/>
      <c r="AP747" s="1044"/>
      <c r="AQ747" s="1035"/>
      <c r="AR747" s="1035"/>
      <c r="AS747" s="1035"/>
      <c r="AT747" s="1165"/>
      <c r="AU747" s="1031"/>
      <c r="AV747" s="1045"/>
      <c r="AW747" s="1038"/>
      <c r="AX747" s="1035"/>
      <c r="AY747" s="483"/>
      <c r="AZ747" s="429"/>
      <c r="BA747" s="431"/>
      <c r="BB747" s="1035"/>
      <c r="BC747" s="1035"/>
      <c r="BD747" s="481"/>
      <c r="BE747" s="432"/>
      <c r="BF747" s="646"/>
      <c r="BG747" s="1047"/>
      <c r="BH747" s="1046"/>
      <c r="BI747" s="1048"/>
      <c r="BJ747" s="1030"/>
      <c r="BK747" s="1046"/>
      <c r="BL747" s="1048"/>
      <c r="BM747" s="1046"/>
      <c r="BN747" s="1167"/>
      <c r="BO747" s="1035"/>
      <c r="BP747" s="1043"/>
      <c r="BQ747" s="1167"/>
      <c r="BR747" s="1165"/>
      <c r="BS747" s="1031"/>
      <c r="BT747" s="1038"/>
      <c r="BU747" s="1035"/>
      <c r="BV747" s="1035"/>
      <c r="BW747" s="1049"/>
      <c r="BX747" s="1043"/>
      <c r="BY747" s="1046"/>
      <c r="BZ747" s="1167"/>
      <c r="CA747" s="1165"/>
      <c r="CB747" s="1031"/>
      <c r="CC747" s="1038"/>
      <c r="CD747" s="1035"/>
      <c r="CE747" s="1035"/>
      <c r="CF747" s="1049"/>
      <c r="CG747" s="1043"/>
      <c r="CH747" s="1046"/>
      <c r="CI747" s="1167"/>
      <c r="CJ747" s="1168"/>
      <c r="CK747" s="1169"/>
      <c r="CL747" s="1169"/>
      <c r="CM747" s="1166"/>
      <c r="CN747" s="1169"/>
      <c r="CO747" s="1169"/>
      <c r="CP747" s="452"/>
      <c r="CQ747" s="435"/>
      <c r="CR747" s="1117"/>
      <c r="CS747" s="452"/>
      <c r="CT747" s="482"/>
      <c r="CU747" s="476"/>
      <c r="CV747" s="431"/>
      <c r="CW747" s="1108"/>
      <c r="CX747" s="1108"/>
      <c r="CY747" s="483"/>
      <c r="CZ747" s="437"/>
      <c r="DA747" s="438"/>
      <c r="DB747" s="439"/>
      <c r="DC747" s="439"/>
      <c r="DD747" s="443"/>
      <c r="DE747" s="411"/>
      <c r="DF747" s="411"/>
      <c r="DG747" s="1117"/>
      <c r="DH747" s="1117"/>
      <c r="DI747" s="1117"/>
      <c r="DJ747" s="442"/>
      <c r="DK747" s="482"/>
      <c r="DL747" s="1038"/>
      <c r="DM747" s="1035"/>
      <c r="DN747" s="1035"/>
      <c r="DO747" s="1035"/>
      <c r="DP747" s="1046"/>
      <c r="DQ747" s="1167"/>
      <c r="DR747" s="1168"/>
      <c r="DS747" s="1165"/>
      <c r="DT747" s="1165"/>
      <c r="DU747" s="1165"/>
      <c r="DV747" s="1031"/>
      <c r="DW747" s="1098">
        <f t="shared" si="1168"/>
        <v>0</v>
      </c>
      <c r="DX747" s="1098">
        <f t="shared" si="1169"/>
        <v>0</v>
      </c>
      <c r="DY747" s="1030"/>
      <c r="DZ747" s="1030"/>
      <c r="EA747" s="1031"/>
      <c r="EB747" s="1050"/>
      <c r="EC747" s="1038"/>
      <c r="ED747" s="1035"/>
      <c r="EE747" s="1046"/>
      <c r="EF747" s="1169"/>
      <c r="EG747" s="1168"/>
      <c r="EH747" s="1165"/>
      <c r="EI747" s="1165"/>
      <c r="EJ747" s="1165"/>
      <c r="EK747" s="1031"/>
      <c r="EL747" s="1098">
        <f t="shared" si="1170"/>
        <v>0</v>
      </c>
      <c r="EM747" s="1098">
        <f t="shared" si="1171"/>
        <v>0</v>
      </c>
      <c r="EN747" s="1030"/>
      <c r="EO747" s="1030"/>
      <c r="EP747" s="1031"/>
      <c r="EQ747" s="1050"/>
      <c r="ER747" s="1038"/>
      <c r="ES747" s="1035"/>
      <c r="ET747" s="1051"/>
    </row>
    <row r="748" spans="2:150" ht="16.5" customHeight="1">
      <c r="B748" s="1024"/>
      <c r="C748" s="1025"/>
      <c r="D748" s="408">
        <v>745</v>
      </c>
      <c r="E748" s="1164"/>
      <c r="F748" s="1164"/>
      <c r="G748" s="1026"/>
      <c r="H748" s="411" t="str">
        <f>IFERROR(INDEX(绊状态确认!C:C,MATCH($G748,绊状态确认!$B:$B,)),"")</f>
        <v/>
      </c>
      <c r="I748" s="450" t="str">
        <f>IFERROR(INDEX(绊状态确认!D:D,MATCH($G748,绊状态确认!$B:$B,)),"")</f>
        <v/>
      </c>
      <c r="J748" s="450" t="str">
        <f>IFERROR(INDEX(绊状态确认!E:E,MATCH($G748,绊状态确认!$B:$B,)),"")</f>
        <v/>
      </c>
      <c r="K748" s="451" t="str">
        <f>IFERROR(INDEX(绊状态确认!F:F,MATCH($G748,绊状态确认!$B:$B,)),"")</f>
        <v/>
      </c>
      <c r="L748" s="1026"/>
      <c r="M748" s="1165"/>
      <c r="N748" s="1027"/>
      <c r="O748" s="1026"/>
      <c r="P748" s="1028"/>
      <c r="Q748" s="1029"/>
      <c r="R748" s="1166"/>
      <c r="S748" s="1030"/>
      <c r="T748" s="1031"/>
      <c r="U748" s="1032"/>
      <c r="V748" s="1033"/>
      <c r="W748" s="1034"/>
      <c r="X748" s="1166"/>
      <c r="Y748" s="1035"/>
      <c r="Z748" s="1036"/>
      <c r="AA748" s="1037"/>
      <c r="AB748" s="1038"/>
      <c r="AC748" s="1039"/>
      <c r="AD748" s="1040"/>
      <c r="AE748" s="1041"/>
      <c r="AF748" s="521"/>
      <c r="AG748" s="420"/>
      <c r="AH748" s="420"/>
      <c r="AI748" s="420"/>
      <c r="AJ748" s="420"/>
      <c r="AK748" s="518"/>
      <c r="AL748" s="1042"/>
      <c r="AM748" s="1035"/>
      <c r="AN748" s="1043"/>
      <c r="AO748" s="1167"/>
      <c r="AP748" s="1044"/>
      <c r="AQ748" s="1035"/>
      <c r="AR748" s="1035"/>
      <c r="AS748" s="1035"/>
      <c r="AT748" s="1165"/>
      <c r="AU748" s="1031"/>
      <c r="AV748" s="1045"/>
      <c r="AW748" s="1038"/>
      <c r="AX748" s="1035"/>
      <c r="AY748" s="483"/>
      <c r="AZ748" s="429"/>
      <c r="BA748" s="431"/>
      <c r="BB748" s="1035"/>
      <c r="BC748" s="1035"/>
      <c r="BD748" s="481"/>
      <c r="BE748" s="432"/>
      <c r="BF748" s="646"/>
      <c r="BG748" s="1047"/>
      <c r="BH748" s="1046"/>
      <c r="BI748" s="1048"/>
      <c r="BJ748" s="1030"/>
      <c r="BK748" s="1046"/>
      <c r="BL748" s="1048"/>
      <c r="BM748" s="1046"/>
      <c r="BN748" s="1167"/>
      <c r="BO748" s="1035"/>
      <c r="BP748" s="1043"/>
      <c r="BQ748" s="1167"/>
      <c r="BR748" s="1165"/>
      <c r="BS748" s="1031"/>
      <c r="BT748" s="1038"/>
      <c r="BU748" s="1035"/>
      <c r="BV748" s="1035"/>
      <c r="BW748" s="1049"/>
      <c r="BX748" s="1043"/>
      <c r="BY748" s="1046"/>
      <c r="BZ748" s="1167"/>
      <c r="CA748" s="1165"/>
      <c r="CB748" s="1031"/>
      <c r="CC748" s="1038"/>
      <c r="CD748" s="1035"/>
      <c r="CE748" s="1035"/>
      <c r="CF748" s="1049"/>
      <c r="CG748" s="1043"/>
      <c r="CH748" s="1046"/>
      <c r="CI748" s="1167"/>
      <c r="CJ748" s="1168"/>
      <c r="CK748" s="1169"/>
      <c r="CL748" s="1169"/>
      <c r="CM748" s="1166"/>
      <c r="CN748" s="1169"/>
      <c r="CO748" s="1169"/>
      <c r="CP748" s="452"/>
      <c r="CQ748" s="435"/>
      <c r="CR748" s="1117"/>
      <c r="CS748" s="452"/>
      <c r="CT748" s="482"/>
      <c r="CU748" s="476"/>
      <c r="CV748" s="431"/>
      <c r="CW748" s="1108"/>
      <c r="CX748" s="1108"/>
      <c r="CY748" s="483"/>
      <c r="CZ748" s="437"/>
      <c r="DA748" s="438"/>
      <c r="DB748" s="439"/>
      <c r="DC748" s="439"/>
      <c r="DD748" s="443"/>
      <c r="DE748" s="411"/>
      <c r="DF748" s="411"/>
      <c r="DG748" s="1117"/>
      <c r="DH748" s="1117"/>
      <c r="DI748" s="1117"/>
      <c r="DJ748" s="442"/>
      <c r="DK748" s="482"/>
      <c r="DL748" s="1038"/>
      <c r="DM748" s="1035"/>
      <c r="DN748" s="1035"/>
      <c r="DO748" s="1035"/>
      <c r="DP748" s="1046"/>
      <c r="DQ748" s="1167"/>
      <c r="DR748" s="1168"/>
      <c r="DS748" s="1165"/>
      <c r="DT748" s="1165"/>
      <c r="DU748" s="1165"/>
      <c r="DV748" s="1031"/>
      <c r="DW748" s="1098">
        <f t="shared" si="1168"/>
        <v>0</v>
      </c>
      <c r="DX748" s="1098">
        <f t="shared" si="1169"/>
        <v>0</v>
      </c>
      <c r="DY748" s="1030"/>
      <c r="DZ748" s="1030"/>
      <c r="EA748" s="1031"/>
      <c r="EB748" s="1050"/>
      <c r="EC748" s="1038"/>
      <c r="ED748" s="1035"/>
      <c r="EE748" s="1046"/>
      <c r="EF748" s="1169"/>
      <c r="EG748" s="1168"/>
      <c r="EH748" s="1165"/>
      <c r="EI748" s="1165"/>
      <c r="EJ748" s="1165"/>
      <c r="EK748" s="1031"/>
      <c r="EL748" s="1098">
        <f t="shared" si="1170"/>
        <v>0</v>
      </c>
      <c r="EM748" s="1098">
        <f t="shared" si="1171"/>
        <v>0</v>
      </c>
      <c r="EN748" s="1030"/>
      <c r="EO748" s="1030"/>
      <c r="EP748" s="1031"/>
      <c r="EQ748" s="1050"/>
      <c r="ER748" s="1038"/>
      <c r="ES748" s="1035"/>
      <c r="ET748" s="1051"/>
    </row>
    <row r="749" spans="2:150" ht="16.5" customHeight="1">
      <c r="B749" s="1024"/>
      <c r="C749" s="1025"/>
      <c r="D749" s="408">
        <v>746</v>
      </c>
      <c r="E749" s="1164"/>
      <c r="F749" s="1164"/>
      <c r="G749" s="1026"/>
      <c r="H749" s="411" t="str">
        <f>IFERROR(INDEX(绊状态确认!C:C,MATCH($G749,绊状态确认!$B:$B,)),"")</f>
        <v/>
      </c>
      <c r="I749" s="450" t="str">
        <f>IFERROR(INDEX(绊状态确认!D:D,MATCH($G749,绊状态确认!$B:$B,)),"")</f>
        <v/>
      </c>
      <c r="J749" s="450" t="str">
        <f>IFERROR(INDEX(绊状态确认!E:E,MATCH($G749,绊状态确认!$B:$B,)),"")</f>
        <v/>
      </c>
      <c r="K749" s="451" t="str">
        <f>IFERROR(INDEX(绊状态确认!F:F,MATCH($G749,绊状态确认!$B:$B,)),"")</f>
        <v/>
      </c>
      <c r="L749" s="1026"/>
      <c r="M749" s="1165"/>
      <c r="N749" s="1027"/>
      <c r="O749" s="1026"/>
      <c r="P749" s="1028"/>
      <c r="Q749" s="1029"/>
      <c r="R749" s="1166"/>
      <c r="S749" s="1030"/>
      <c r="T749" s="1031"/>
      <c r="U749" s="1032"/>
      <c r="V749" s="1033"/>
      <c r="W749" s="1034"/>
      <c r="X749" s="1166"/>
      <c r="Y749" s="1035"/>
      <c r="Z749" s="1036"/>
      <c r="AA749" s="1037"/>
      <c r="AB749" s="1038"/>
      <c r="AC749" s="1039"/>
      <c r="AD749" s="1040"/>
      <c r="AE749" s="1041"/>
      <c r="AF749" s="521"/>
      <c r="AG749" s="420"/>
      <c r="AH749" s="420"/>
      <c r="AI749" s="420"/>
      <c r="AJ749" s="420"/>
      <c r="AK749" s="518"/>
      <c r="AL749" s="1042"/>
      <c r="AM749" s="1035"/>
      <c r="AN749" s="1043"/>
      <c r="AO749" s="1167"/>
      <c r="AP749" s="1044"/>
      <c r="AQ749" s="1035"/>
      <c r="AR749" s="1035"/>
      <c r="AS749" s="1035"/>
      <c r="AT749" s="1165"/>
      <c r="AU749" s="1031"/>
      <c r="AV749" s="1045"/>
      <c r="AW749" s="1038"/>
      <c r="AX749" s="1035"/>
      <c r="AY749" s="483"/>
      <c r="AZ749" s="429"/>
      <c r="BA749" s="431"/>
      <c r="BB749" s="1035"/>
      <c r="BC749" s="1035"/>
      <c r="BD749" s="481"/>
      <c r="BE749" s="432"/>
      <c r="BF749" s="646"/>
      <c r="BG749" s="1047"/>
      <c r="BH749" s="1046"/>
      <c r="BI749" s="1048"/>
      <c r="BJ749" s="1030"/>
      <c r="BK749" s="1046"/>
      <c r="BL749" s="1048"/>
      <c r="BM749" s="1046"/>
      <c r="BN749" s="1167"/>
      <c r="BO749" s="1035"/>
      <c r="BP749" s="1043"/>
      <c r="BQ749" s="1167"/>
      <c r="BR749" s="1165"/>
      <c r="BS749" s="1031"/>
      <c r="BT749" s="1038"/>
      <c r="BU749" s="1035"/>
      <c r="BV749" s="1035"/>
      <c r="BW749" s="1049"/>
      <c r="BX749" s="1043"/>
      <c r="BY749" s="1046"/>
      <c r="BZ749" s="1167"/>
      <c r="CA749" s="1165"/>
      <c r="CB749" s="1031"/>
      <c r="CC749" s="1038"/>
      <c r="CD749" s="1035"/>
      <c r="CE749" s="1035"/>
      <c r="CF749" s="1049"/>
      <c r="CG749" s="1043"/>
      <c r="CH749" s="1046"/>
      <c r="CI749" s="1167"/>
      <c r="CJ749" s="1168"/>
      <c r="CK749" s="1169"/>
      <c r="CL749" s="1169"/>
      <c r="CM749" s="1166"/>
      <c r="CN749" s="1169"/>
      <c r="CO749" s="1169"/>
      <c r="CP749" s="452"/>
      <c r="CQ749" s="435"/>
      <c r="CR749" s="1117"/>
      <c r="CS749" s="452"/>
      <c r="CT749" s="482"/>
      <c r="CU749" s="476"/>
      <c r="CV749" s="431"/>
      <c r="CW749" s="1108"/>
      <c r="CX749" s="1108"/>
      <c r="CY749" s="483"/>
      <c r="CZ749" s="437"/>
      <c r="DA749" s="438"/>
      <c r="DB749" s="439"/>
      <c r="DC749" s="439"/>
      <c r="DD749" s="443"/>
      <c r="DE749" s="411"/>
      <c r="DF749" s="411"/>
      <c r="DG749" s="1117"/>
      <c r="DH749" s="1117"/>
      <c r="DI749" s="1117"/>
      <c r="DJ749" s="442"/>
      <c r="DK749" s="482"/>
      <c r="DL749" s="1038"/>
      <c r="DM749" s="1035"/>
      <c r="DN749" s="1035"/>
      <c r="DO749" s="1035"/>
      <c r="DP749" s="1046"/>
      <c r="DQ749" s="1167"/>
      <c r="DR749" s="1168"/>
      <c r="DS749" s="1165"/>
      <c r="DT749" s="1165"/>
      <c r="DU749" s="1165"/>
      <c r="DV749" s="1031"/>
      <c r="DW749" s="1098">
        <f t="shared" si="1168"/>
        <v>0</v>
      </c>
      <c r="DX749" s="1098">
        <f t="shared" si="1169"/>
        <v>0</v>
      </c>
      <c r="DY749" s="1030"/>
      <c r="DZ749" s="1030"/>
      <c r="EA749" s="1031"/>
      <c r="EB749" s="1050"/>
      <c r="EC749" s="1038"/>
      <c r="ED749" s="1035"/>
      <c r="EE749" s="1046"/>
      <c r="EF749" s="1169"/>
      <c r="EG749" s="1168"/>
      <c r="EH749" s="1165"/>
      <c r="EI749" s="1165"/>
      <c r="EJ749" s="1165"/>
      <c r="EK749" s="1031"/>
      <c r="EL749" s="1098">
        <f t="shared" si="1170"/>
        <v>0</v>
      </c>
      <c r="EM749" s="1098">
        <f t="shared" si="1171"/>
        <v>0</v>
      </c>
      <c r="EN749" s="1030"/>
      <c r="EO749" s="1030"/>
      <c r="EP749" s="1031"/>
      <c r="EQ749" s="1050"/>
      <c r="ER749" s="1038"/>
      <c r="ES749" s="1035"/>
      <c r="ET749" s="1051"/>
    </row>
    <row r="750" spans="2:150" ht="16.5" customHeight="1">
      <c r="B750" s="1024"/>
      <c r="C750" s="1025"/>
      <c r="D750" s="408">
        <v>747</v>
      </c>
      <c r="E750" s="1164"/>
      <c r="F750" s="1164"/>
      <c r="G750" s="1026"/>
      <c r="H750" s="411" t="str">
        <f>IFERROR(INDEX(绊状态确认!C:C,MATCH($G750,绊状态确认!$B:$B,)),"")</f>
        <v/>
      </c>
      <c r="I750" s="450" t="str">
        <f>IFERROR(INDEX(绊状态确认!D:D,MATCH($G750,绊状态确认!$B:$B,)),"")</f>
        <v/>
      </c>
      <c r="J750" s="450" t="str">
        <f>IFERROR(INDEX(绊状态确认!E:E,MATCH($G750,绊状态确认!$B:$B,)),"")</f>
        <v/>
      </c>
      <c r="K750" s="451" t="str">
        <f>IFERROR(INDEX(绊状态确认!F:F,MATCH($G750,绊状态确认!$B:$B,)),"")</f>
        <v/>
      </c>
      <c r="L750" s="1026"/>
      <c r="M750" s="1165"/>
      <c r="N750" s="1027"/>
      <c r="O750" s="1026"/>
      <c r="P750" s="1028"/>
      <c r="Q750" s="1029"/>
      <c r="R750" s="1166"/>
      <c r="S750" s="1030"/>
      <c r="T750" s="1031"/>
      <c r="U750" s="1032"/>
      <c r="V750" s="1033"/>
      <c r="W750" s="1034"/>
      <c r="X750" s="1166"/>
      <c r="Y750" s="1035"/>
      <c r="Z750" s="1036"/>
      <c r="AA750" s="1037"/>
      <c r="AB750" s="1038"/>
      <c r="AC750" s="1039"/>
      <c r="AD750" s="1040"/>
      <c r="AE750" s="1041"/>
      <c r="AF750" s="521"/>
      <c r="AG750" s="420"/>
      <c r="AH750" s="420"/>
      <c r="AI750" s="420"/>
      <c r="AJ750" s="420"/>
      <c r="AK750" s="518"/>
      <c r="AL750" s="1042"/>
      <c r="AM750" s="1035"/>
      <c r="AN750" s="1043"/>
      <c r="AO750" s="1167"/>
      <c r="AP750" s="1044"/>
      <c r="AQ750" s="1035"/>
      <c r="AR750" s="1035"/>
      <c r="AS750" s="1035"/>
      <c r="AT750" s="1165"/>
      <c r="AU750" s="1031"/>
      <c r="AV750" s="1045"/>
      <c r="AW750" s="1038"/>
      <c r="AX750" s="1035"/>
      <c r="AY750" s="483"/>
      <c r="AZ750" s="429"/>
      <c r="BA750" s="431"/>
      <c r="BB750" s="1035"/>
      <c r="BC750" s="1035"/>
      <c r="BD750" s="481"/>
      <c r="BE750" s="432"/>
      <c r="BF750" s="646"/>
      <c r="BG750" s="1047"/>
      <c r="BH750" s="1046"/>
      <c r="BI750" s="1048"/>
      <c r="BJ750" s="1030"/>
      <c r="BK750" s="1046"/>
      <c r="BL750" s="1048"/>
      <c r="BM750" s="1046"/>
      <c r="BN750" s="1167"/>
      <c r="BO750" s="1035"/>
      <c r="BP750" s="1043"/>
      <c r="BQ750" s="1167"/>
      <c r="BR750" s="1165"/>
      <c r="BS750" s="1031"/>
      <c r="BT750" s="1038"/>
      <c r="BU750" s="1035"/>
      <c r="BV750" s="1035"/>
      <c r="BW750" s="1049"/>
      <c r="BX750" s="1043"/>
      <c r="BY750" s="1046"/>
      <c r="BZ750" s="1167"/>
      <c r="CA750" s="1165"/>
      <c r="CB750" s="1031"/>
      <c r="CC750" s="1038"/>
      <c r="CD750" s="1035"/>
      <c r="CE750" s="1035"/>
      <c r="CF750" s="1049"/>
      <c r="CG750" s="1043"/>
      <c r="CH750" s="1046"/>
      <c r="CI750" s="1167"/>
      <c r="CJ750" s="1168"/>
      <c r="CK750" s="1169"/>
      <c r="CL750" s="1169"/>
      <c r="CM750" s="1166"/>
      <c r="CN750" s="1169"/>
      <c r="CO750" s="1169"/>
      <c r="CP750" s="452"/>
      <c r="CQ750" s="435"/>
      <c r="CR750" s="1117"/>
      <c r="CS750" s="452"/>
      <c r="CT750" s="482"/>
      <c r="CU750" s="476"/>
      <c r="CV750" s="431"/>
      <c r="CW750" s="1108"/>
      <c r="CX750" s="1108"/>
      <c r="CY750" s="483"/>
      <c r="CZ750" s="437"/>
      <c r="DA750" s="438"/>
      <c r="DB750" s="439"/>
      <c r="DC750" s="439"/>
      <c r="DD750" s="443"/>
      <c r="DE750" s="411"/>
      <c r="DF750" s="411"/>
      <c r="DG750" s="1117"/>
      <c r="DH750" s="1117"/>
      <c r="DI750" s="1117"/>
      <c r="DJ750" s="442"/>
      <c r="DK750" s="482"/>
      <c r="DL750" s="1038"/>
      <c r="DM750" s="1035"/>
      <c r="DN750" s="1035"/>
      <c r="DO750" s="1035"/>
      <c r="DP750" s="1046"/>
      <c r="DQ750" s="1167"/>
      <c r="DR750" s="1168"/>
      <c r="DS750" s="1165"/>
      <c r="DT750" s="1165"/>
      <c r="DU750" s="1165"/>
      <c r="DV750" s="1031"/>
      <c r="DW750" s="1098">
        <f t="shared" si="1168"/>
        <v>0</v>
      </c>
      <c r="DX750" s="1098">
        <f t="shared" si="1169"/>
        <v>0</v>
      </c>
      <c r="DY750" s="1030"/>
      <c r="DZ750" s="1030"/>
      <c r="EA750" s="1031"/>
      <c r="EB750" s="1050"/>
      <c r="EC750" s="1038"/>
      <c r="ED750" s="1035"/>
      <c r="EE750" s="1046"/>
      <c r="EF750" s="1169"/>
      <c r="EG750" s="1168"/>
      <c r="EH750" s="1165"/>
      <c r="EI750" s="1165"/>
      <c r="EJ750" s="1165"/>
      <c r="EK750" s="1031"/>
      <c r="EL750" s="1098">
        <f t="shared" si="1170"/>
        <v>0</v>
      </c>
      <c r="EM750" s="1098">
        <f t="shared" si="1171"/>
        <v>0</v>
      </c>
      <c r="EN750" s="1030"/>
      <c r="EO750" s="1030"/>
      <c r="EP750" s="1031"/>
      <c r="EQ750" s="1050"/>
      <c r="ER750" s="1038"/>
      <c r="ES750" s="1035"/>
      <c r="ET750" s="1051"/>
    </row>
    <row r="751" spans="2:150" ht="16.5" customHeight="1">
      <c r="B751" s="1024"/>
      <c r="C751" s="1025"/>
      <c r="D751" s="408">
        <v>748</v>
      </c>
      <c r="E751" s="1164"/>
      <c r="F751" s="1164"/>
      <c r="G751" s="1026"/>
      <c r="H751" s="411" t="str">
        <f>IFERROR(INDEX(绊状态确认!C:C,MATCH($G751,绊状态确认!$B:$B,)),"")</f>
        <v/>
      </c>
      <c r="I751" s="450" t="str">
        <f>IFERROR(INDEX(绊状态确认!D:D,MATCH($G751,绊状态确认!$B:$B,)),"")</f>
        <v/>
      </c>
      <c r="J751" s="450" t="str">
        <f>IFERROR(INDEX(绊状态确认!E:E,MATCH($G751,绊状态确认!$B:$B,)),"")</f>
        <v/>
      </c>
      <c r="K751" s="451" t="str">
        <f>IFERROR(INDEX(绊状态确认!F:F,MATCH($G751,绊状态确认!$B:$B,)),"")</f>
        <v/>
      </c>
      <c r="L751" s="1026"/>
      <c r="M751" s="1165"/>
      <c r="N751" s="1027"/>
      <c r="O751" s="1026"/>
      <c r="P751" s="1028"/>
      <c r="Q751" s="1029"/>
      <c r="R751" s="1166"/>
      <c r="S751" s="1030"/>
      <c r="T751" s="1031"/>
      <c r="U751" s="1032"/>
      <c r="V751" s="1033"/>
      <c r="W751" s="1034"/>
      <c r="X751" s="1166"/>
      <c r="Y751" s="1035"/>
      <c r="Z751" s="1036"/>
      <c r="AA751" s="1037"/>
      <c r="AB751" s="1038"/>
      <c r="AC751" s="1039"/>
      <c r="AD751" s="1040"/>
      <c r="AE751" s="1041"/>
      <c r="AF751" s="521"/>
      <c r="AG751" s="420"/>
      <c r="AH751" s="420"/>
      <c r="AI751" s="420"/>
      <c r="AJ751" s="420"/>
      <c r="AK751" s="518"/>
      <c r="AL751" s="1042"/>
      <c r="AM751" s="1035"/>
      <c r="AN751" s="1043"/>
      <c r="AO751" s="1167"/>
      <c r="AP751" s="1044"/>
      <c r="AQ751" s="1035"/>
      <c r="AR751" s="1035"/>
      <c r="AS751" s="1035"/>
      <c r="AT751" s="1165"/>
      <c r="AU751" s="1031"/>
      <c r="AV751" s="1045"/>
      <c r="AW751" s="1038"/>
      <c r="AX751" s="1035"/>
      <c r="AY751" s="483"/>
      <c r="AZ751" s="429"/>
      <c r="BA751" s="431"/>
      <c r="BB751" s="1035"/>
      <c r="BC751" s="1035"/>
      <c r="BD751" s="481"/>
      <c r="BE751" s="432"/>
      <c r="BF751" s="646"/>
      <c r="BG751" s="1047"/>
      <c r="BH751" s="1046"/>
      <c r="BI751" s="1048"/>
      <c r="BJ751" s="1030"/>
      <c r="BK751" s="1046"/>
      <c r="BL751" s="1048"/>
      <c r="BM751" s="1046"/>
      <c r="BN751" s="1167"/>
      <c r="BO751" s="1035"/>
      <c r="BP751" s="1043"/>
      <c r="BQ751" s="1167"/>
      <c r="BR751" s="1165"/>
      <c r="BS751" s="1031"/>
      <c r="BT751" s="1038"/>
      <c r="BU751" s="1035"/>
      <c r="BV751" s="1035"/>
      <c r="BW751" s="1049"/>
      <c r="BX751" s="1043"/>
      <c r="BY751" s="1046"/>
      <c r="BZ751" s="1167"/>
      <c r="CA751" s="1165"/>
      <c r="CB751" s="1031"/>
      <c r="CC751" s="1038"/>
      <c r="CD751" s="1035"/>
      <c r="CE751" s="1035"/>
      <c r="CF751" s="1049"/>
      <c r="CG751" s="1043"/>
      <c r="CH751" s="1046"/>
      <c r="CI751" s="1167"/>
      <c r="CJ751" s="1168"/>
      <c r="CK751" s="1169"/>
      <c r="CL751" s="1169"/>
      <c r="CM751" s="1166"/>
      <c r="CN751" s="1169"/>
      <c r="CO751" s="1169"/>
      <c r="CP751" s="452"/>
      <c r="CQ751" s="435"/>
      <c r="CR751" s="1117"/>
      <c r="CS751" s="452"/>
      <c r="CT751" s="482"/>
      <c r="CU751" s="476"/>
      <c r="CV751" s="431"/>
      <c r="CW751" s="1108"/>
      <c r="CX751" s="1108"/>
      <c r="CY751" s="483"/>
      <c r="CZ751" s="437"/>
      <c r="DA751" s="438"/>
      <c r="DB751" s="439"/>
      <c r="DC751" s="439"/>
      <c r="DD751" s="443"/>
      <c r="DE751" s="411"/>
      <c r="DF751" s="411"/>
      <c r="DG751" s="1117"/>
      <c r="DH751" s="1117"/>
      <c r="DI751" s="1117"/>
      <c r="DJ751" s="442"/>
      <c r="DK751" s="482"/>
      <c r="DL751" s="1038"/>
      <c r="DM751" s="1035"/>
      <c r="DN751" s="1035"/>
      <c r="DO751" s="1035"/>
      <c r="DP751" s="1046"/>
      <c r="DQ751" s="1167"/>
      <c r="DR751" s="1168"/>
      <c r="DS751" s="1165"/>
      <c r="DT751" s="1165"/>
      <c r="DU751" s="1165"/>
      <c r="DV751" s="1031"/>
      <c r="DW751" s="1098">
        <f t="shared" si="1168"/>
        <v>0</v>
      </c>
      <c r="DX751" s="1098">
        <f t="shared" si="1169"/>
        <v>0</v>
      </c>
      <c r="DY751" s="1030"/>
      <c r="DZ751" s="1030"/>
      <c r="EA751" s="1031"/>
      <c r="EB751" s="1050"/>
      <c r="EC751" s="1038"/>
      <c r="ED751" s="1035"/>
      <c r="EE751" s="1046"/>
      <c r="EF751" s="1169"/>
      <c r="EG751" s="1168"/>
      <c r="EH751" s="1165"/>
      <c r="EI751" s="1165"/>
      <c r="EJ751" s="1165"/>
      <c r="EK751" s="1031"/>
      <c r="EL751" s="1098">
        <f t="shared" si="1170"/>
        <v>0</v>
      </c>
      <c r="EM751" s="1098">
        <f t="shared" si="1171"/>
        <v>0</v>
      </c>
      <c r="EN751" s="1030"/>
      <c r="EO751" s="1030"/>
      <c r="EP751" s="1031"/>
      <c r="EQ751" s="1050"/>
      <c r="ER751" s="1038"/>
      <c r="ES751" s="1035"/>
      <c r="ET751" s="1051"/>
    </row>
    <row r="752" spans="2:150" ht="16.5" customHeight="1">
      <c r="B752" s="1024"/>
      <c r="C752" s="1025"/>
      <c r="D752" s="408">
        <v>749</v>
      </c>
      <c r="E752" s="1164"/>
      <c r="F752" s="1164"/>
      <c r="G752" s="1026"/>
      <c r="H752" s="411" t="str">
        <f>IFERROR(INDEX(绊状态确认!C:C,MATCH($G752,绊状态确认!$B:$B,)),"")</f>
        <v/>
      </c>
      <c r="I752" s="450" t="str">
        <f>IFERROR(INDEX(绊状态确认!D:D,MATCH($G752,绊状态确认!$B:$B,)),"")</f>
        <v/>
      </c>
      <c r="J752" s="450" t="str">
        <f>IFERROR(INDEX(绊状态确认!E:E,MATCH($G752,绊状态确认!$B:$B,)),"")</f>
        <v/>
      </c>
      <c r="K752" s="451" t="str">
        <f>IFERROR(INDEX(绊状态确认!F:F,MATCH($G752,绊状态确认!$B:$B,)),"")</f>
        <v/>
      </c>
      <c r="L752" s="1026"/>
      <c r="M752" s="1165"/>
      <c r="N752" s="1027"/>
      <c r="O752" s="1026"/>
      <c r="P752" s="1028"/>
      <c r="Q752" s="1029"/>
      <c r="R752" s="1166"/>
      <c r="S752" s="1030"/>
      <c r="T752" s="1031"/>
      <c r="U752" s="1032"/>
      <c r="V752" s="1033"/>
      <c r="W752" s="1034"/>
      <c r="X752" s="1166"/>
      <c r="Y752" s="1035"/>
      <c r="Z752" s="1036"/>
      <c r="AA752" s="1037"/>
      <c r="AB752" s="1038"/>
      <c r="AC752" s="1039"/>
      <c r="AD752" s="1040"/>
      <c r="AE752" s="1041"/>
      <c r="AF752" s="521"/>
      <c r="AG752" s="420"/>
      <c r="AH752" s="420"/>
      <c r="AI752" s="420"/>
      <c r="AJ752" s="420"/>
      <c r="AK752" s="518"/>
      <c r="AL752" s="1042"/>
      <c r="AM752" s="1035"/>
      <c r="AN752" s="1043"/>
      <c r="AO752" s="1167"/>
      <c r="AP752" s="1044"/>
      <c r="AQ752" s="1035"/>
      <c r="AR752" s="1035"/>
      <c r="AS752" s="1035"/>
      <c r="AT752" s="1165"/>
      <c r="AU752" s="1031"/>
      <c r="AV752" s="1045"/>
      <c r="AW752" s="1038"/>
      <c r="AX752" s="1035"/>
      <c r="AY752" s="483"/>
      <c r="AZ752" s="429"/>
      <c r="BA752" s="431"/>
      <c r="BB752" s="1035"/>
      <c r="BC752" s="1035"/>
      <c r="BD752" s="481"/>
      <c r="BE752" s="432"/>
      <c r="BF752" s="646"/>
      <c r="BG752" s="1047"/>
      <c r="BH752" s="1046"/>
      <c r="BI752" s="1048"/>
      <c r="BJ752" s="1030"/>
      <c r="BK752" s="1046"/>
      <c r="BL752" s="1048"/>
      <c r="BM752" s="1046"/>
      <c r="BN752" s="1167"/>
      <c r="BO752" s="1035"/>
      <c r="BP752" s="1043"/>
      <c r="BQ752" s="1167"/>
      <c r="BR752" s="1165"/>
      <c r="BS752" s="1031"/>
      <c r="BT752" s="1038"/>
      <c r="BU752" s="1035"/>
      <c r="BV752" s="1035"/>
      <c r="BW752" s="1049"/>
      <c r="BX752" s="1043"/>
      <c r="BY752" s="1046"/>
      <c r="BZ752" s="1167"/>
      <c r="CA752" s="1165"/>
      <c r="CB752" s="1031"/>
      <c r="CC752" s="1038"/>
      <c r="CD752" s="1035"/>
      <c r="CE752" s="1035"/>
      <c r="CF752" s="1049"/>
      <c r="CG752" s="1043"/>
      <c r="CH752" s="1046"/>
      <c r="CI752" s="1167"/>
      <c r="CJ752" s="1168"/>
      <c r="CK752" s="1169"/>
      <c r="CL752" s="1169"/>
      <c r="CM752" s="1166"/>
      <c r="CN752" s="1169"/>
      <c r="CO752" s="1169"/>
      <c r="CP752" s="452"/>
      <c r="CQ752" s="435"/>
      <c r="CR752" s="1117"/>
      <c r="CS752" s="452"/>
      <c r="CT752" s="482"/>
      <c r="CU752" s="476"/>
      <c r="CV752" s="431"/>
      <c r="CW752" s="1108"/>
      <c r="CX752" s="1108"/>
      <c r="CY752" s="483"/>
      <c r="CZ752" s="437"/>
      <c r="DA752" s="438"/>
      <c r="DB752" s="439"/>
      <c r="DC752" s="439"/>
      <c r="DD752" s="443"/>
      <c r="DE752" s="411"/>
      <c r="DF752" s="411"/>
      <c r="DG752" s="1117"/>
      <c r="DH752" s="1117"/>
      <c r="DI752" s="1117"/>
      <c r="DJ752" s="442"/>
      <c r="DK752" s="482"/>
      <c r="DL752" s="1038"/>
      <c r="DM752" s="1035"/>
      <c r="DN752" s="1035"/>
      <c r="DO752" s="1035"/>
      <c r="DP752" s="1046"/>
      <c r="DQ752" s="1167"/>
      <c r="DR752" s="1168"/>
      <c r="DS752" s="1165"/>
      <c r="DT752" s="1165"/>
      <c r="DU752" s="1165"/>
      <c r="DV752" s="1031"/>
      <c r="DW752" s="1098">
        <f t="shared" si="1168"/>
        <v>0</v>
      </c>
      <c r="DX752" s="1098">
        <f t="shared" si="1169"/>
        <v>0</v>
      </c>
      <c r="DY752" s="1030"/>
      <c r="DZ752" s="1030"/>
      <c r="EA752" s="1031"/>
      <c r="EB752" s="1050"/>
      <c r="EC752" s="1038"/>
      <c r="ED752" s="1035"/>
      <c r="EE752" s="1046"/>
      <c r="EF752" s="1169"/>
      <c r="EG752" s="1168"/>
      <c r="EH752" s="1165"/>
      <c r="EI752" s="1165"/>
      <c r="EJ752" s="1165"/>
      <c r="EK752" s="1031"/>
      <c r="EL752" s="1098">
        <f t="shared" si="1170"/>
        <v>0</v>
      </c>
      <c r="EM752" s="1098">
        <f t="shared" si="1171"/>
        <v>0</v>
      </c>
      <c r="EN752" s="1030"/>
      <c r="EO752" s="1030"/>
      <c r="EP752" s="1031"/>
      <c r="EQ752" s="1050"/>
      <c r="ER752" s="1038"/>
      <c r="ES752" s="1035"/>
      <c r="ET752" s="1051"/>
    </row>
    <row r="753" spans="2:150" ht="16.5" customHeight="1">
      <c r="B753" s="1024"/>
      <c r="C753" s="1025"/>
      <c r="D753" s="408">
        <v>750</v>
      </c>
      <c r="E753" s="1164"/>
      <c r="F753" s="1164"/>
      <c r="G753" s="1026"/>
      <c r="H753" s="411" t="str">
        <f>IFERROR(INDEX(绊状态确认!C:C,MATCH($G753,绊状态确认!$B:$B,)),"")</f>
        <v/>
      </c>
      <c r="I753" s="450" t="str">
        <f>IFERROR(INDEX(绊状态确认!D:D,MATCH($G753,绊状态确认!$B:$B,)),"")</f>
        <v/>
      </c>
      <c r="J753" s="450" t="str">
        <f>IFERROR(INDEX(绊状态确认!E:E,MATCH($G753,绊状态确认!$B:$B,)),"")</f>
        <v/>
      </c>
      <c r="K753" s="451" t="str">
        <f>IFERROR(INDEX(绊状态确认!F:F,MATCH($G753,绊状态确认!$B:$B,)),"")</f>
        <v/>
      </c>
      <c r="L753" s="1026"/>
      <c r="M753" s="1165"/>
      <c r="N753" s="1027"/>
      <c r="O753" s="1026"/>
      <c r="P753" s="1028"/>
      <c r="Q753" s="1029"/>
      <c r="R753" s="1166"/>
      <c r="S753" s="1030"/>
      <c r="T753" s="1031"/>
      <c r="U753" s="1032"/>
      <c r="V753" s="1033"/>
      <c r="W753" s="1034"/>
      <c r="X753" s="1166"/>
      <c r="Y753" s="1035"/>
      <c r="Z753" s="1036"/>
      <c r="AA753" s="1037"/>
      <c r="AB753" s="1038"/>
      <c r="AC753" s="1039"/>
      <c r="AD753" s="1040"/>
      <c r="AE753" s="1041"/>
      <c r="AF753" s="521"/>
      <c r="AG753" s="420"/>
      <c r="AH753" s="420"/>
      <c r="AI753" s="420"/>
      <c r="AJ753" s="420"/>
      <c r="AK753" s="518"/>
      <c r="AL753" s="1042"/>
      <c r="AM753" s="1035"/>
      <c r="AN753" s="1043"/>
      <c r="AO753" s="1167"/>
      <c r="AP753" s="1044"/>
      <c r="AQ753" s="1035"/>
      <c r="AR753" s="1035"/>
      <c r="AS753" s="1035"/>
      <c r="AT753" s="1165"/>
      <c r="AU753" s="1031"/>
      <c r="AV753" s="1045"/>
      <c r="AW753" s="1038"/>
      <c r="AX753" s="1035"/>
      <c r="AY753" s="483"/>
      <c r="AZ753" s="429"/>
      <c r="BA753" s="431"/>
      <c r="BB753" s="1035"/>
      <c r="BC753" s="1035"/>
      <c r="BD753" s="481"/>
      <c r="BE753" s="432"/>
      <c r="BF753" s="646"/>
      <c r="BG753" s="1047"/>
      <c r="BH753" s="1046"/>
      <c r="BI753" s="1048"/>
      <c r="BJ753" s="1030"/>
      <c r="BK753" s="1046"/>
      <c r="BL753" s="1048"/>
      <c r="BM753" s="1046"/>
      <c r="BN753" s="1167"/>
      <c r="BO753" s="1035"/>
      <c r="BP753" s="1043"/>
      <c r="BQ753" s="1167"/>
      <c r="BR753" s="1165"/>
      <c r="BS753" s="1031"/>
      <c r="BT753" s="1038"/>
      <c r="BU753" s="1035"/>
      <c r="BV753" s="1035"/>
      <c r="BW753" s="1049"/>
      <c r="BX753" s="1043"/>
      <c r="BY753" s="1046"/>
      <c r="BZ753" s="1167"/>
      <c r="CA753" s="1165"/>
      <c r="CB753" s="1031"/>
      <c r="CC753" s="1038"/>
      <c r="CD753" s="1035"/>
      <c r="CE753" s="1035"/>
      <c r="CF753" s="1049"/>
      <c r="CG753" s="1043"/>
      <c r="CH753" s="1046"/>
      <c r="CI753" s="1167"/>
      <c r="CJ753" s="1168"/>
      <c r="CK753" s="1169"/>
      <c r="CL753" s="1169"/>
      <c r="CM753" s="1166"/>
      <c r="CN753" s="1169"/>
      <c r="CO753" s="1169"/>
      <c r="CP753" s="452"/>
      <c r="CQ753" s="435"/>
      <c r="CR753" s="1117"/>
      <c r="CS753" s="452"/>
      <c r="CT753" s="482"/>
      <c r="CU753" s="476"/>
      <c r="CV753" s="431"/>
      <c r="CW753" s="1108"/>
      <c r="CX753" s="1108"/>
      <c r="CY753" s="483"/>
      <c r="CZ753" s="437"/>
      <c r="DA753" s="438"/>
      <c r="DB753" s="439"/>
      <c r="DC753" s="439"/>
      <c r="DD753" s="443"/>
      <c r="DE753" s="411"/>
      <c r="DF753" s="411"/>
      <c r="DG753" s="1117"/>
      <c r="DH753" s="1117"/>
      <c r="DI753" s="1117"/>
      <c r="DJ753" s="442"/>
      <c r="DK753" s="482"/>
      <c r="DL753" s="1038"/>
      <c r="DM753" s="1035"/>
      <c r="DN753" s="1035"/>
      <c r="DO753" s="1035"/>
      <c r="DP753" s="1046"/>
      <c r="DQ753" s="1167"/>
      <c r="DR753" s="1168"/>
      <c r="DS753" s="1165"/>
      <c r="DT753" s="1165"/>
      <c r="DU753" s="1165"/>
      <c r="DV753" s="1031"/>
      <c r="DW753" s="1098">
        <f t="shared" si="1168"/>
        <v>0</v>
      </c>
      <c r="DX753" s="1098">
        <f t="shared" si="1169"/>
        <v>0</v>
      </c>
      <c r="DY753" s="1030"/>
      <c r="DZ753" s="1030"/>
      <c r="EA753" s="1031"/>
      <c r="EB753" s="1050"/>
      <c r="EC753" s="1038"/>
      <c r="ED753" s="1035"/>
      <c r="EE753" s="1046"/>
      <c r="EF753" s="1169"/>
      <c r="EG753" s="1168"/>
      <c r="EH753" s="1165"/>
      <c r="EI753" s="1165"/>
      <c r="EJ753" s="1165"/>
      <c r="EK753" s="1031"/>
      <c r="EL753" s="1098">
        <f t="shared" si="1170"/>
        <v>0</v>
      </c>
      <c r="EM753" s="1098">
        <f t="shared" si="1171"/>
        <v>0</v>
      </c>
      <c r="EN753" s="1030"/>
      <c r="EO753" s="1030"/>
      <c r="EP753" s="1031"/>
      <c r="EQ753" s="1050"/>
      <c r="ER753" s="1038"/>
      <c r="ES753" s="1035"/>
      <c r="ET753" s="1051"/>
    </row>
    <row r="754" spans="2:150" ht="16.5" customHeight="1">
      <c r="B754" s="1024"/>
      <c r="C754" s="1025"/>
      <c r="D754" s="408">
        <v>751</v>
      </c>
      <c r="E754" s="1164"/>
      <c r="F754" s="1164"/>
      <c r="G754" s="1026"/>
      <c r="H754" s="411" t="str">
        <f>IFERROR(INDEX(绊状态确认!C:C,MATCH($G754,绊状态确认!$B:$B,)),"")</f>
        <v/>
      </c>
      <c r="I754" s="450" t="str">
        <f>IFERROR(INDEX(绊状态确认!D:D,MATCH($G754,绊状态确认!$B:$B,)),"")</f>
        <v/>
      </c>
      <c r="J754" s="450" t="str">
        <f>IFERROR(INDEX(绊状态确认!E:E,MATCH($G754,绊状态确认!$B:$B,)),"")</f>
        <v/>
      </c>
      <c r="K754" s="451" t="str">
        <f>IFERROR(INDEX(绊状态确认!F:F,MATCH($G754,绊状态确认!$B:$B,)),"")</f>
        <v/>
      </c>
      <c r="L754" s="1026"/>
      <c r="M754" s="1165"/>
      <c r="N754" s="1027"/>
      <c r="O754" s="1026"/>
      <c r="P754" s="1028"/>
      <c r="Q754" s="1029"/>
      <c r="R754" s="1166"/>
      <c r="S754" s="1030"/>
      <c r="T754" s="1031"/>
      <c r="U754" s="1032"/>
      <c r="V754" s="1033"/>
      <c r="W754" s="1034"/>
      <c r="X754" s="1166"/>
      <c r="Y754" s="1035"/>
      <c r="Z754" s="1036"/>
      <c r="AA754" s="1037"/>
      <c r="AB754" s="1038"/>
      <c r="AC754" s="1039"/>
      <c r="AD754" s="1040"/>
      <c r="AE754" s="1041"/>
      <c r="AF754" s="521"/>
      <c r="AG754" s="420"/>
      <c r="AH754" s="420"/>
      <c r="AI754" s="420"/>
      <c r="AJ754" s="420"/>
      <c r="AK754" s="518"/>
      <c r="AL754" s="1042"/>
      <c r="AM754" s="1035"/>
      <c r="AN754" s="1043"/>
      <c r="AO754" s="1167"/>
      <c r="AP754" s="1044"/>
      <c r="AQ754" s="1035"/>
      <c r="AR754" s="1035"/>
      <c r="AS754" s="1035"/>
      <c r="AT754" s="1165"/>
      <c r="AU754" s="1031"/>
      <c r="AV754" s="1045"/>
      <c r="AW754" s="1038"/>
      <c r="AX754" s="1035"/>
      <c r="AY754" s="483"/>
      <c r="AZ754" s="429"/>
      <c r="BA754" s="431"/>
      <c r="BB754" s="1035"/>
      <c r="BC754" s="1035"/>
      <c r="BD754" s="481"/>
      <c r="BE754" s="432"/>
      <c r="BF754" s="646"/>
      <c r="BG754" s="1047"/>
      <c r="BH754" s="1046"/>
      <c r="BI754" s="1048"/>
      <c r="BJ754" s="1030"/>
      <c r="BK754" s="1046"/>
      <c r="BL754" s="1048"/>
      <c r="BM754" s="1046"/>
      <c r="BN754" s="1167"/>
      <c r="BO754" s="1035"/>
      <c r="BP754" s="1043"/>
      <c r="BQ754" s="1167"/>
      <c r="BR754" s="1165"/>
      <c r="BS754" s="1031"/>
      <c r="BT754" s="1038"/>
      <c r="BU754" s="1035"/>
      <c r="BV754" s="1035"/>
      <c r="BW754" s="1049"/>
      <c r="BX754" s="1043"/>
      <c r="BY754" s="1046"/>
      <c r="BZ754" s="1167"/>
      <c r="CA754" s="1165"/>
      <c r="CB754" s="1031"/>
      <c r="CC754" s="1038"/>
      <c r="CD754" s="1035"/>
      <c r="CE754" s="1035"/>
      <c r="CF754" s="1049"/>
      <c r="CG754" s="1043"/>
      <c r="CH754" s="1046"/>
      <c r="CI754" s="1167"/>
      <c r="CJ754" s="1168"/>
      <c r="CK754" s="1169"/>
      <c r="CL754" s="1169"/>
      <c r="CM754" s="1166"/>
      <c r="CN754" s="1169"/>
      <c r="CO754" s="1169"/>
      <c r="CP754" s="452"/>
      <c r="CQ754" s="435"/>
      <c r="CR754" s="1117"/>
      <c r="CS754" s="452"/>
      <c r="CT754" s="482"/>
      <c r="CU754" s="476"/>
      <c r="CV754" s="431"/>
      <c r="CW754" s="1108"/>
      <c r="CX754" s="1108"/>
      <c r="CY754" s="483"/>
      <c r="CZ754" s="437"/>
      <c r="DA754" s="438"/>
      <c r="DB754" s="439"/>
      <c r="DC754" s="439"/>
      <c r="DD754" s="443"/>
      <c r="DE754" s="411"/>
      <c r="DF754" s="411"/>
      <c r="DG754" s="1117"/>
      <c r="DH754" s="1117"/>
      <c r="DI754" s="1117"/>
      <c r="DJ754" s="442"/>
      <c r="DK754" s="482"/>
      <c r="DL754" s="1038"/>
      <c r="DM754" s="1035"/>
      <c r="DN754" s="1035"/>
      <c r="DO754" s="1035"/>
      <c r="DP754" s="1046"/>
      <c r="DQ754" s="1167"/>
      <c r="DR754" s="1168"/>
      <c r="DS754" s="1165"/>
      <c r="DT754" s="1165"/>
      <c r="DU754" s="1165"/>
      <c r="DV754" s="1031"/>
      <c r="DW754" s="1098">
        <f t="shared" si="1168"/>
        <v>0</v>
      </c>
      <c r="DX754" s="1098">
        <f t="shared" si="1169"/>
        <v>0</v>
      </c>
      <c r="DY754" s="1030"/>
      <c r="DZ754" s="1030"/>
      <c r="EA754" s="1031"/>
      <c r="EB754" s="1050"/>
      <c r="EC754" s="1038"/>
      <c r="ED754" s="1035"/>
      <c r="EE754" s="1046"/>
      <c r="EF754" s="1169"/>
      <c r="EG754" s="1168"/>
      <c r="EH754" s="1165"/>
      <c r="EI754" s="1165"/>
      <c r="EJ754" s="1165"/>
      <c r="EK754" s="1031"/>
      <c r="EL754" s="1098">
        <f t="shared" si="1170"/>
        <v>0</v>
      </c>
      <c r="EM754" s="1098">
        <f t="shared" si="1171"/>
        <v>0</v>
      </c>
      <c r="EN754" s="1030"/>
      <c r="EO754" s="1030"/>
      <c r="EP754" s="1031"/>
      <c r="EQ754" s="1050"/>
      <c r="ER754" s="1038"/>
      <c r="ES754" s="1035"/>
      <c r="ET754" s="1051"/>
    </row>
    <row r="755" spans="2:150" ht="16.5" customHeight="1">
      <c r="B755" s="1024"/>
      <c r="C755" s="1025"/>
      <c r="D755" s="408">
        <v>752</v>
      </c>
      <c r="E755" s="1164"/>
      <c r="F755" s="1164"/>
      <c r="G755" s="1026"/>
      <c r="H755" s="411" t="str">
        <f>IFERROR(INDEX(绊状态确认!C:C,MATCH($G755,绊状态确认!$B:$B,)),"")</f>
        <v/>
      </c>
      <c r="I755" s="450" t="str">
        <f>IFERROR(INDEX(绊状态确认!D:D,MATCH($G755,绊状态确认!$B:$B,)),"")</f>
        <v/>
      </c>
      <c r="J755" s="450" t="str">
        <f>IFERROR(INDEX(绊状态确认!E:E,MATCH($G755,绊状态确认!$B:$B,)),"")</f>
        <v/>
      </c>
      <c r="K755" s="451" t="str">
        <f>IFERROR(INDEX(绊状态确认!F:F,MATCH($G755,绊状态确认!$B:$B,)),"")</f>
        <v/>
      </c>
      <c r="L755" s="1026"/>
      <c r="M755" s="1165"/>
      <c r="N755" s="1027"/>
      <c r="O755" s="1026"/>
      <c r="P755" s="1028"/>
      <c r="Q755" s="1029"/>
      <c r="R755" s="1166"/>
      <c r="S755" s="1030"/>
      <c r="T755" s="1031"/>
      <c r="U755" s="1032"/>
      <c r="V755" s="1033"/>
      <c r="W755" s="1034"/>
      <c r="X755" s="1166"/>
      <c r="Y755" s="1035"/>
      <c r="Z755" s="1036"/>
      <c r="AA755" s="1037"/>
      <c r="AB755" s="1038"/>
      <c r="AC755" s="1039"/>
      <c r="AD755" s="1040"/>
      <c r="AE755" s="1041"/>
      <c r="AF755" s="521"/>
      <c r="AG755" s="420"/>
      <c r="AH755" s="420"/>
      <c r="AI755" s="420"/>
      <c r="AJ755" s="420"/>
      <c r="AK755" s="518"/>
      <c r="AL755" s="1042"/>
      <c r="AM755" s="1035"/>
      <c r="AN755" s="1043"/>
      <c r="AO755" s="1167"/>
      <c r="AP755" s="1044"/>
      <c r="AQ755" s="1035"/>
      <c r="AR755" s="1035"/>
      <c r="AS755" s="1035"/>
      <c r="AT755" s="1165"/>
      <c r="AU755" s="1031"/>
      <c r="AV755" s="1045"/>
      <c r="AW755" s="1038"/>
      <c r="AX755" s="1035"/>
      <c r="AY755" s="483"/>
      <c r="AZ755" s="429"/>
      <c r="BA755" s="431"/>
      <c r="BB755" s="1035"/>
      <c r="BC755" s="1035"/>
      <c r="BD755" s="481"/>
      <c r="BE755" s="432"/>
      <c r="BF755" s="646"/>
      <c r="BG755" s="1047"/>
      <c r="BH755" s="1046"/>
      <c r="BI755" s="1048"/>
      <c r="BJ755" s="1030"/>
      <c r="BK755" s="1046"/>
      <c r="BL755" s="1048"/>
      <c r="BM755" s="1046"/>
      <c r="BN755" s="1167"/>
      <c r="BO755" s="1035"/>
      <c r="BP755" s="1043"/>
      <c r="BQ755" s="1167"/>
      <c r="BR755" s="1165"/>
      <c r="BS755" s="1031"/>
      <c r="BT755" s="1038"/>
      <c r="BU755" s="1035"/>
      <c r="BV755" s="1035"/>
      <c r="BW755" s="1049"/>
      <c r="BX755" s="1043"/>
      <c r="BY755" s="1046"/>
      <c r="BZ755" s="1167"/>
      <c r="CA755" s="1165"/>
      <c r="CB755" s="1031"/>
      <c r="CC755" s="1038"/>
      <c r="CD755" s="1035"/>
      <c r="CE755" s="1035"/>
      <c r="CF755" s="1049"/>
      <c r="CG755" s="1043"/>
      <c r="CH755" s="1046"/>
      <c r="CI755" s="1167"/>
      <c r="CJ755" s="1168"/>
      <c r="CK755" s="1169"/>
      <c r="CL755" s="1169"/>
      <c r="CM755" s="1166"/>
      <c r="CN755" s="1169"/>
      <c r="CO755" s="1169"/>
      <c r="CP755" s="452"/>
      <c r="CQ755" s="435"/>
      <c r="CR755" s="1117"/>
      <c r="CS755" s="452"/>
      <c r="CT755" s="482"/>
      <c r="CU755" s="476"/>
      <c r="CV755" s="431"/>
      <c r="CW755" s="1108"/>
      <c r="CX755" s="1108"/>
      <c r="CY755" s="483"/>
      <c r="CZ755" s="437"/>
      <c r="DA755" s="438"/>
      <c r="DB755" s="439"/>
      <c r="DC755" s="439"/>
      <c r="DD755" s="443"/>
      <c r="DE755" s="411"/>
      <c r="DF755" s="411"/>
      <c r="DG755" s="1117"/>
      <c r="DH755" s="1117"/>
      <c r="DI755" s="1117"/>
      <c r="DJ755" s="442"/>
      <c r="DK755" s="482"/>
      <c r="DL755" s="1038"/>
      <c r="DM755" s="1035"/>
      <c r="DN755" s="1035"/>
      <c r="DO755" s="1035"/>
      <c r="DP755" s="1046"/>
      <c r="DQ755" s="1167"/>
      <c r="DR755" s="1168"/>
      <c r="DS755" s="1165"/>
      <c r="DT755" s="1165"/>
      <c r="DU755" s="1165"/>
      <c r="DV755" s="1031"/>
      <c r="DW755" s="1098">
        <f t="shared" si="1168"/>
        <v>0</v>
      </c>
      <c r="DX755" s="1098">
        <f t="shared" si="1169"/>
        <v>0</v>
      </c>
      <c r="DY755" s="1030"/>
      <c r="DZ755" s="1030"/>
      <c r="EA755" s="1031"/>
      <c r="EB755" s="1050"/>
      <c r="EC755" s="1038"/>
      <c r="ED755" s="1035"/>
      <c r="EE755" s="1046"/>
      <c r="EF755" s="1169"/>
      <c r="EG755" s="1168"/>
      <c r="EH755" s="1165"/>
      <c r="EI755" s="1165"/>
      <c r="EJ755" s="1165"/>
      <c r="EK755" s="1031"/>
      <c r="EL755" s="1098">
        <f t="shared" si="1170"/>
        <v>0</v>
      </c>
      <c r="EM755" s="1098">
        <f t="shared" si="1171"/>
        <v>0</v>
      </c>
      <c r="EN755" s="1030"/>
      <c r="EO755" s="1030"/>
      <c r="EP755" s="1031"/>
      <c r="EQ755" s="1050"/>
      <c r="ER755" s="1038"/>
      <c r="ES755" s="1035"/>
      <c r="ET755" s="1051"/>
    </row>
    <row r="756" spans="2:150" ht="16.5" customHeight="1">
      <c r="B756" s="1024"/>
      <c r="C756" s="1025"/>
      <c r="D756" s="408">
        <v>753</v>
      </c>
      <c r="E756" s="1164"/>
      <c r="F756" s="1164"/>
      <c r="G756" s="1026"/>
      <c r="H756" s="411" t="str">
        <f>IFERROR(INDEX(绊状态确认!C:C,MATCH($G756,绊状态确认!$B:$B,)),"")</f>
        <v/>
      </c>
      <c r="I756" s="450" t="str">
        <f>IFERROR(INDEX(绊状态确认!D:D,MATCH($G756,绊状态确认!$B:$B,)),"")</f>
        <v/>
      </c>
      <c r="J756" s="450" t="str">
        <f>IFERROR(INDEX(绊状态确认!E:E,MATCH($G756,绊状态确认!$B:$B,)),"")</f>
        <v/>
      </c>
      <c r="K756" s="451" t="str">
        <f>IFERROR(INDEX(绊状态确认!F:F,MATCH($G756,绊状态确认!$B:$B,)),"")</f>
        <v/>
      </c>
      <c r="L756" s="1026"/>
      <c r="M756" s="1165"/>
      <c r="N756" s="1027"/>
      <c r="O756" s="1026"/>
      <c r="P756" s="1028"/>
      <c r="Q756" s="1029"/>
      <c r="R756" s="1166"/>
      <c r="S756" s="1030"/>
      <c r="T756" s="1031"/>
      <c r="U756" s="1032"/>
      <c r="V756" s="1033"/>
      <c r="W756" s="1034"/>
      <c r="X756" s="1166"/>
      <c r="Y756" s="1035"/>
      <c r="Z756" s="1036"/>
      <c r="AA756" s="1037"/>
      <c r="AB756" s="1038"/>
      <c r="AC756" s="1039"/>
      <c r="AD756" s="1040"/>
      <c r="AE756" s="1041"/>
      <c r="AF756" s="521"/>
      <c r="AG756" s="420"/>
      <c r="AH756" s="420"/>
      <c r="AI756" s="420"/>
      <c r="AJ756" s="420"/>
      <c r="AK756" s="518"/>
      <c r="AL756" s="1042"/>
      <c r="AM756" s="1035"/>
      <c r="AN756" s="1043"/>
      <c r="AO756" s="1167"/>
      <c r="AP756" s="1044"/>
      <c r="AQ756" s="1035"/>
      <c r="AR756" s="1035"/>
      <c r="AS756" s="1035"/>
      <c r="AT756" s="1165"/>
      <c r="AU756" s="1031"/>
      <c r="AV756" s="1045"/>
      <c r="AW756" s="1038"/>
      <c r="AX756" s="1035"/>
      <c r="AY756" s="483"/>
      <c r="AZ756" s="429"/>
      <c r="BA756" s="431"/>
      <c r="BB756" s="1035"/>
      <c r="BC756" s="1035"/>
      <c r="BD756" s="481"/>
      <c r="BE756" s="432"/>
      <c r="BF756" s="646"/>
      <c r="BG756" s="1047"/>
      <c r="BH756" s="1046"/>
      <c r="BI756" s="1048"/>
      <c r="BJ756" s="1030"/>
      <c r="BK756" s="1046"/>
      <c r="BL756" s="1048"/>
      <c r="BM756" s="1046"/>
      <c r="BN756" s="1167"/>
      <c r="BO756" s="1035"/>
      <c r="BP756" s="1043"/>
      <c r="BQ756" s="1167"/>
      <c r="BR756" s="1165"/>
      <c r="BS756" s="1031"/>
      <c r="BT756" s="1038"/>
      <c r="BU756" s="1035"/>
      <c r="BV756" s="1035"/>
      <c r="BW756" s="1049"/>
      <c r="BX756" s="1043"/>
      <c r="BY756" s="1046"/>
      <c r="BZ756" s="1167"/>
      <c r="CA756" s="1165"/>
      <c r="CB756" s="1031"/>
      <c r="CC756" s="1038"/>
      <c r="CD756" s="1035"/>
      <c r="CE756" s="1035"/>
      <c r="CF756" s="1049"/>
      <c r="CG756" s="1043"/>
      <c r="CH756" s="1046"/>
      <c r="CI756" s="1167"/>
      <c r="CJ756" s="1168"/>
      <c r="CK756" s="1169"/>
      <c r="CL756" s="1169"/>
      <c r="CM756" s="1166"/>
      <c r="CN756" s="1169"/>
      <c r="CO756" s="1169"/>
      <c r="CP756" s="452"/>
      <c r="CQ756" s="435"/>
      <c r="CR756" s="1117"/>
      <c r="CS756" s="452"/>
      <c r="CT756" s="482"/>
      <c r="CU756" s="476"/>
      <c r="CV756" s="431"/>
      <c r="CW756" s="1108"/>
      <c r="CX756" s="1108"/>
      <c r="CY756" s="483"/>
      <c r="CZ756" s="437"/>
      <c r="DA756" s="438"/>
      <c r="DB756" s="439"/>
      <c r="DC756" s="439"/>
      <c r="DD756" s="443"/>
      <c r="DE756" s="411"/>
      <c r="DF756" s="411"/>
      <c r="DG756" s="1117"/>
      <c r="DH756" s="1117"/>
      <c r="DI756" s="1117"/>
      <c r="DJ756" s="442"/>
      <c r="DK756" s="482"/>
      <c r="DL756" s="1038"/>
      <c r="DM756" s="1035"/>
      <c r="DN756" s="1035"/>
      <c r="DO756" s="1035"/>
      <c r="DP756" s="1046"/>
      <c r="DQ756" s="1167"/>
      <c r="DR756" s="1168"/>
      <c r="DS756" s="1165"/>
      <c r="DT756" s="1165"/>
      <c r="DU756" s="1165"/>
      <c r="DV756" s="1031"/>
      <c r="DW756" s="1098">
        <f t="shared" si="1168"/>
        <v>0</v>
      </c>
      <c r="DX756" s="1098">
        <f t="shared" si="1169"/>
        <v>0</v>
      </c>
      <c r="DY756" s="1030"/>
      <c r="DZ756" s="1030"/>
      <c r="EA756" s="1031"/>
      <c r="EB756" s="1050"/>
      <c r="EC756" s="1038"/>
      <c r="ED756" s="1035"/>
      <c r="EE756" s="1046"/>
      <c r="EF756" s="1169"/>
      <c r="EG756" s="1168"/>
      <c r="EH756" s="1165"/>
      <c r="EI756" s="1165"/>
      <c r="EJ756" s="1165"/>
      <c r="EK756" s="1031"/>
      <c r="EL756" s="1098">
        <f t="shared" si="1170"/>
        <v>0</v>
      </c>
      <c r="EM756" s="1098">
        <f t="shared" si="1171"/>
        <v>0</v>
      </c>
      <c r="EN756" s="1030"/>
      <c r="EO756" s="1030"/>
      <c r="EP756" s="1031"/>
      <c r="EQ756" s="1050"/>
      <c r="ER756" s="1038"/>
      <c r="ES756" s="1035"/>
      <c r="ET756" s="1051"/>
    </row>
    <row r="757" spans="2:150" ht="16.5" customHeight="1">
      <c r="B757" s="1024"/>
      <c r="C757" s="1025"/>
      <c r="D757" s="408">
        <v>754</v>
      </c>
      <c r="E757" s="1164"/>
      <c r="F757" s="1164"/>
      <c r="G757" s="1026"/>
      <c r="H757" s="411" t="str">
        <f>IFERROR(INDEX(绊状态确认!C:C,MATCH($G757,绊状态确认!$B:$B,)),"")</f>
        <v/>
      </c>
      <c r="I757" s="450" t="str">
        <f>IFERROR(INDEX(绊状态确认!D:D,MATCH($G757,绊状态确认!$B:$B,)),"")</f>
        <v/>
      </c>
      <c r="J757" s="450" t="str">
        <f>IFERROR(INDEX(绊状态确认!E:E,MATCH($G757,绊状态确认!$B:$B,)),"")</f>
        <v/>
      </c>
      <c r="K757" s="451" t="str">
        <f>IFERROR(INDEX(绊状态确认!F:F,MATCH($G757,绊状态确认!$B:$B,)),"")</f>
        <v/>
      </c>
      <c r="L757" s="1026"/>
      <c r="M757" s="1165"/>
      <c r="N757" s="1027"/>
      <c r="O757" s="1026"/>
      <c r="P757" s="1028"/>
      <c r="Q757" s="1029"/>
      <c r="R757" s="1166"/>
      <c r="S757" s="1030"/>
      <c r="T757" s="1031"/>
      <c r="U757" s="1032"/>
      <c r="V757" s="1033"/>
      <c r="W757" s="1034"/>
      <c r="X757" s="1166"/>
      <c r="Y757" s="1035"/>
      <c r="Z757" s="1036"/>
      <c r="AA757" s="1037"/>
      <c r="AB757" s="1038"/>
      <c r="AC757" s="1039"/>
      <c r="AD757" s="1040"/>
      <c r="AE757" s="1041"/>
      <c r="AF757" s="521"/>
      <c r="AG757" s="420"/>
      <c r="AH757" s="420"/>
      <c r="AI757" s="420"/>
      <c r="AJ757" s="420"/>
      <c r="AK757" s="518"/>
      <c r="AL757" s="1042"/>
      <c r="AM757" s="1035"/>
      <c r="AN757" s="1043"/>
      <c r="AO757" s="1167"/>
      <c r="AP757" s="1044"/>
      <c r="AQ757" s="1035"/>
      <c r="AR757" s="1035"/>
      <c r="AS757" s="1035"/>
      <c r="AT757" s="1165"/>
      <c r="AU757" s="1031"/>
      <c r="AV757" s="1045"/>
      <c r="AW757" s="1038"/>
      <c r="AX757" s="1035"/>
      <c r="AY757" s="483"/>
      <c r="AZ757" s="429"/>
      <c r="BA757" s="431"/>
      <c r="BB757" s="1035"/>
      <c r="BC757" s="1035"/>
      <c r="BD757" s="481"/>
      <c r="BE757" s="432"/>
      <c r="BF757" s="646"/>
      <c r="BG757" s="1047"/>
      <c r="BH757" s="1046"/>
      <c r="BI757" s="1048"/>
      <c r="BJ757" s="1030"/>
      <c r="BK757" s="1046"/>
      <c r="BL757" s="1048"/>
      <c r="BM757" s="1046"/>
      <c r="BN757" s="1167"/>
      <c r="BO757" s="1035"/>
      <c r="BP757" s="1043"/>
      <c r="BQ757" s="1167"/>
      <c r="BR757" s="1165"/>
      <c r="BS757" s="1031"/>
      <c r="BT757" s="1038"/>
      <c r="BU757" s="1035"/>
      <c r="BV757" s="1035"/>
      <c r="BW757" s="1049"/>
      <c r="BX757" s="1043"/>
      <c r="BY757" s="1046"/>
      <c r="BZ757" s="1167"/>
      <c r="CA757" s="1165"/>
      <c r="CB757" s="1031"/>
      <c r="CC757" s="1038"/>
      <c r="CD757" s="1035"/>
      <c r="CE757" s="1035"/>
      <c r="CF757" s="1049"/>
      <c r="CG757" s="1043"/>
      <c r="CH757" s="1046"/>
      <c r="CI757" s="1167"/>
      <c r="CJ757" s="1168"/>
      <c r="CK757" s="1169"/>
      <c r="CL757" s="1169"/>
      <c r="CM757" s="1166"/>
      <c r="CN757" s="1169"/>
      <c r="CO757" s="1169"/>
      <c r="CP757" s="452"/>
      <c r="CQ757" s="435"/>
      <c r="CR757" s="1117"/>
      <c r="CS757" s="452"/>
      <c r="CT757" s="482"/>
      <c r="CU757" s="476"/>
      <c r="CV757" s="431"/>
      <c r="CW757" s="1108"/>
      <c r="CX757" s="1108"/>
      <c r="CY757" s="483"/>
      <c r="CZ757" s="437"/>
      <c r="DA757" s="438"/>
      <c r="DB757" s="439"/>
      <c r="DC757" s="439"/>
      <c r="DD757" s="443"/>
      <c r="DE757" s="411"/>
      <c r="DF757" s="411"/>
      <c r="DG757" s="1117"/>
      <c r="DH757" s="1117"/>
      <c r="DI757" s="1117"/>
      <c r="DJ757" s="442"/>
      <c r="DK757" s="482"/>
      <c r="DL757" s="1038"/>
      <c r="DM757" s="1035"/>
      <c r="DN757" s="1035"/>
      <c r="DO757" s="1035"/>
      <c r="DP757" s="1046"/>
      <c r="DQ757" s="1167"/>
      <c r="DR757" s="1168"/>
      <c r="DS757" s="1165"/>
      <c r="DT757" s="1165"/>
      <c r="DU757" s="1165"/>
      <c r="DV757" s="1031"/>
      <c r="DW757" s="1098">
        <f t="shared" si="1168"/>
        <v>0</v>
      </c>
      <c r="DX757" s="1098">
        <f t="shared" si="1169"/>
        <v>0</v>
      </c>
      <c r="DY757" s="1030"/>
      <c r="DZ757" s="1030"/>
      <c r="EA757" s="1031"/>
      <c r="EB757" s="1050"/>
      <c r="EC757" s="1038"/>
      <c r="ED757" s="1035"/>
      <c r="EE757" s="1046"/>
      <c r="EF757" s="1169"/>
      <c r="EG757" s="1168"/>
      <c r="EH757" s="1165"/>
      <c r="EI757" s="1165"/>
      <c r="EJ757" s="1165"/>
      <c r="EK757" s="1031"/>
      <c r="EL757" s="1098">
        <f t="shared" si="1170"/>
        <v>0</v>
      </c>
      <c r="EM757" s="1098">
        <f t="shared" si="1171"/>
        <v>0</v>
      </c>
      <c r="EN757" s="1030"/>
      <c r="EO757" s="1030"/>
      <c r="EP757" s="1031"/>
      <c r="EQ757" s="1050"/>
      <c r="ER757" s="1038"/>
      <c r="ES757" s="1035"/>
      <c r="ET757" s="1051"/>
    </row>
    <row r="758" spans="2:150" ht="16.5" customHeight="1">
      <c r="B758" s="1024"/>
      <c r="C758" s="1025"/>
      <c r="D758" s="408">
        <v>755</v>
      </c>
      <c r="E758" s="1164"/>
      <c r="F758" s="1164"/>
      <c r="G758" s="1026"/>
      <c r="H758" s="411" t="str">
        <f>IFERROR(INDEX(绊状态确认!C:C,MATCH($G758,绊状态确认!$B:$B,)),"")</f>
        <v/>
      </c>
      <c r="I758" s="450" t="str">
        <f>IFERROR(INDEX(绊状态确认!D:D,MATCH($G758,绊状态确认!$B:$B,)),"")</f>
        <v/>
      </c>
      <c r="J758" s="450" t="str">
        <f>IFERROR(INDEX(绊状态确认!E:E,MATCH($G758,绊状态确认!$B:$B,)),"")</f>
        <v/>
      </c>
      <c r="K758" s="451" t="str">
        <f>IFERROR(INDEX(绊状态确认!F:F,MATCH($G758,绊状态确认!$B:$B,)),"")</f>
        <v/>
      </c>
      <c r="L758" s="1026"/>
      <c r="M758" s="1165"/>
      <c r="N758" s="1027"/>
      <c r="O758" s="1026"/>
      <c r="P758" s="1028"/>
      <c r="Q758" s="1029"/>
      <c r="R758" s="1166"/>
      <c r="S758" s="1030"/>
      <c r="T758" s="1031"/>
      <c r="U758" s="1032"/>
      <c r="V758" s="1033"/>
      <c r="W758" s="1034"/>
      <c r="X758" s="1166"/>
      <c r="Y758" s="1035"/>
      <c r="Z758" s="1036"/>
      <c r="AA758" s="1037"/>
      <c r="AB758" s="1038"/>
      <c r="AC758" s="1039"/>
      <c r="AD758" s="1040"/>
      <c r="AE758" s="1041"/>
      <c r="AF758" s="521"/>
      <c r="AG758" s="420"/>
      <c r="AH758" s="420"/>
      <c r="AI758" s="420"/>
      <c r="AJ758" s="420"/>
      <c r="AK758" s="518"/>
      <c r="AL758" s="1042"/>
      <c r="AM758" s="1035"/>
      <c r="AN758" s="1043"/>
      <c r="AO758" s="1167"/>
      <c r="AP758" s="1044"/>
      <c r="AQ758" s="1035"/>
      <c r="AR758" s="1035"/>
      <c r="AS758" s="1035"/>
      <c r="AT758" s="1165"/>
      <c r="AU758" s="1031"/>
      <c r="AV758" s="1045"/>
      <c r="AW758" s="1038"/>
      <c r="AX758" s="1035"/>
      <c r="AY758" s="483"/>
      <c r="AZ758" s="429"/>
      <c r="BA758" s="431"/>
      <c r="BB758" s="1035"/>
      <c r="BC758" s="1035"/>
      <c r="BD758" s="481"/>
      <c r="BE758" s="432"/>
      <c r="BF758" s="646"/>
      <c r="BG758" s="1047"/>
      <c r="BH758" s="1046"/>
      <c r="BI758" s="1048"/>
      <c r="BJ758" s="1030"/>
      <c r="BK758" s="1046"/>
      <c r="BL758" s="1048"/>
      <c r="BM758" s="1046"/>
      <c r="BN758" s="1167"/>
      <c r="BO758" s="1035"/>
      <c r="BP758" s="1043"/>
      <c r="BQ758" s="1167"/>
      <c r="BR758" s="1165"/>
      <c r="BS758" s="1031"/>
      <c r="BT758" s="1038"/>
      <c r="BU758" s="1035"/>
      <c r="BV758" s="1035"/>
      <c r="BW758" s="1049"/>
      <c r="BX758" s="1043"/>
      <c r="BY758" s="1046"/>
      <c r="BZ758" s="1167"/>
      <c r="CA758" s="1165"/>
      <c r="CB758" s="1031"/>
      <c r="CC758" s="1038"/>
      <c r="CD758" s="1035"/>
      <c r="CE758" s="1035"/>
      <c r="CF758" s="1049"/>
      <c r="CG758" s="1043"/>
      <c r="CH758" s="1046"/>
      <c r="CI758" s="1167"/>
      <c r="CJ758" s="1168"/>
      <c r="CK758" s="1169"/>
      <c r="CL758" s="1169"/>
      <c r="CM758" s="1166"/>
      <c r="CN758" s="1169"/>
      <c r="CO758" s="1169"/>
      <c r="CP758" s="452"/>
      <c r="CQ758" s="435"/>
      <c r="CR758" s="1117"/>
      <c r="CS758" s="452"/>
      <c r="CT758" s="482"/>
      <c r="CU758" s="476"/>
      <c r="CV758" s="431"/>
      <c r="CW758" s="1108"/>
      <c r="CX758" s="1108"/>
      <c r="CY758" s="483"/>
      <c r="CZ758" s="437"/>
      <c r="DA758" s="438"/>
      <c r="DB758" s="439"/>
      <c r="DC758" s="439"/>
      <c r="DD758" s="443"/>
      <c r="DE758" s="411"/>
      <c r="DF758" s="411"/>
      <c r="DG758" s="1117"/>
      <c r="DH758" s="1117"/>
      <c r="DI758" s="1117"/>
      <c r="DJ758" s="442"/>
      <c r="DK758" s="482"/>
      <c r="DL758" s="1038"/>
      <c r="DM758" s="1035"/>
      <c r="DN758" s="1035"/>
      <c r="DO758" s="1035"/>
      <c r="DP758" s="1046"/>
      <c r="DQ758" s="1167"/>
      <c r="DR758" s="1168"/>
      <c r="DS758" s="1165"/>
      <c r="DT758" s="1165"/>
      <c r="DU758" s="1165"/>
      <c r="DV758" s="1031"/>
      <c r="DW758" s="1098">
        <f t="shared" si="1168"/>
        <v>0</v>
      </c>
      <c r="DX758" s="1098">
        <f t="shared" si="1169"/>
        <v>0</v>
      </c>
      <c r="DY758" s="1030"/>
      <c r="DZ758" s="1030"/>
      <c r="EA758" s="1031"/>
      <c r="EB758" s="1050"/>
      <c r="EC758" s="1038"/>
      <c r="ED758" s="1035"/>
      <c r="EE758" s="1046"/>
      <c r="EF758" s="1169"/>
      <c r="EG758" s="1168"/>
      <c r="EH758" s="1165"/>
      <c r="EI758" s="1165"/>
      <c r="EJ758" s="1165"/>
      <c r="EK758" s="1031"/>
      <c r="EL758" s="1098">
        <f t="shared" si="1170"/>
        <v>0</v>
      </c>
      <c r="EM758" s="1098">
        <f t="shared" si="1171"/>
        <v>0</v>
      </c>
      <c r="EN758" s="1030"/>
      <c r="EO758" s="1030"/>
      <c r="EP758" s="1031"/>
      <c r="EQ758" s="1050"/>
      <c r="ER758" s="1038"/>
      <c r="ES758" s="1035"/>
      <c r="ET758" s="1051"/>
    </row>
    <row r="759" spans="2:150" ht="16.5" customHeight="1">
      <c r="B759" s="1024"/>
      <c r="C759" s="1025"/>
      <c r="D759" s="408">
        <v>756</v>
      </c>
      <c r="E759" s="1164"/>
      <c r="F759" s="1164"/>
      <c r="G759" s="1026"/>
      <c r="H759" s="411" t="str">
        <f>IFERROR(INDEX(绊状态确认!C:C,MATCH($G759,绊状态确认!$B:$B,)),"")</f>
        <v/>
      </c>
      <c r="I759" s="450" t="str">
        <f>IFERROR(INDEX(绊状态确认!D:D,MATCH($G759,绊状态确认!$B:$B,)),"")</f>
        <v/>
      </c>
      <c r="J759" s="450" t="str">
        <f>IFERROR(INDEX(绊状态确认!E:E,MATCH($G759,绊状态确认!$B:$B,)),"")</f>
        <v/>
      </c>
      <c r="K759" s="451" t="str">
        <f>IFERROR(INDEX(绊状态确认!F:F,MATCH($G759,绊状态确认!$B:$B,)),"")</f>
        <v/>
      </c>
      <c r="L759" s="1026"/>
      <c r="M759" s="1165"/>
      <c r="N759" s="1027"/>
      <c r="O759" s="1026"/>
      <c r="P759" s="1028"/>
      <c r="Q759" s="1029"/>
      <c r="R759" s="1166"/>
      <c r="S759" s="1030"/>
      <c r="T759" s="1031"/>
      <c r="U759" s="1032"/>
      <c r="V759" s="1033"/>
      <c r="W759" s="1034"/>
      <c r="X759" s="1166"/>
      <c r="Y759" s="1035"/>
      <c r="Z759" s="1036"/>
      <c r="AA759" s="1037"/>
      <c r="AB759" s="1038"/>
      <c r="AC759" s="1039"/>
      <c r="AD759" s="1040"/>
      <c r="AE759" s="1041"/>
      <c r="AF759" s="521"/>
      <c r="AG759" s="420"/>
      <c r="AH759" s="420"/>
      <c r="AI759" s="420"/>
      <c r="AJ759" s="420"/>
      <c r="AK759" s="518"/>
      <c r="AL759" s="1042"/>
      <c r="AM759" s="1035"/>
      <c r="AN759" s="1043"/>
      <c r="AO759" s="1167"/>
      <c r="AP759" s="1044"/>
      <c r="AQ759" s="1035"/>
      <c r="AR759" s="1035"/>
      <c r="AS759" s="1035"/>
      <c r="AT759" s="1165"/>
      <c r="AU759" s="1031"/>
      <c r="AV759" s="1045"/>
      <c r="AW759" s="1038"/>
      <c r="AX759" s="1035"/>
      <c r="AY759" s="483"/>
      <c r="AZ759" s="429"/>
      <c r="BA759" s="431"/>
      <c r="BB759" s="1035"/>
      <c r="BC759" s="1035"/>
      <c r="BD759" s="481"/>
      <c r="BE759" s="432"/>
      <c r="BF759" s="646"/>
      <c r="BG759" s="1047"/>
      <c r="BH759" s="1046"/>
      <c r="BI759" s="1048"/>
      <c r="BJ759" s="1030"/>
      <c r="BK759" s="1046"/>
      <c r="BL759" s="1048"/>
      <c r="BM759" s="1046"/>
      <c r="BN759" s="1167"/>
      <c r="BO759" s="1035"/>
      <c r="BP759" s="1043"/>
      <c r="BQ759" s="1167"/>
      <c r="BR759" s="1165"/>
      <c r="BS759" s="1031"/>
      <c r="BT759" s="1038"/>
      <c r="BU759" s="1035"/>
      <c r="BV759" s="1035"/>
      <c r="BW759" s="1049"/>
      <c r="BX759" s="1043"/>
      <c r="BY759" s="1046"/>
      <c r="BZ759" s="1167"/>
      <c r="CA759" s="1165"/>
      <c r="CB759" s="1031"/>
      <c r="CC759" s="1038"/>
      <c r="CD759" s="1035"/>
      <c r="CE759" s="1035"/>
      <c r="CF759" s="1049"/>
      <c r="CG759" s="1043"/>
      <c r="CH759" s="1046"/>
      <c r="CI759" s="1167"/>
      <c r="CJ759" s="1168"/>
      <c r="CK759" s="1169"/>
      <c r="CL759" s="1169"/>
      <c r="CM759" s="1166"/>
      <c r="CN759" s="1169"/>
      <c r="CO759" s="1169"/>
      <c r="CP759" s="452"/>
      <c r="CQ759" s="435"/>
      <c r="CR759" s="1117"/>
      <c r="CS759" s="452"/>
      <c r="CT759" s="482"/>
      <c r="CU759" s="476"/>
      <c r="CV759" s="431"/>
      <c r="CW759" s="1108"/>
      <c r="CX759" s="1108"/>
      <c r="CY759" s="483"/>
      <c r="CZ759" s="437"/>
      <c r="DA759" s="438"/>
      <c r="DB759" s="439"/>
      <c r="DC759" s="439"/>
      <c r="DD759" s="443"/>
      <c r="DE759" s="411"/>
      <c r="DF759" s="411"/>
      <c r="DG759" s="1117"/>
      <c r="DH759" s="1117"/>
      <c r="DI759" s="1117"/>
      <c r="DJ759" s="442"/>
      <c r="DK759" s="482"/>
      <c r="DL759" s="1038"/>
      <c r="DM759" s="1035"/>
      <c r="DN759" s="1035"/>
      <c r="DO759" s="1035"/>
      <c r="DP759" s="1046"/>
      <c r="DQ759" s="1167"/>
      <c r="DR759" s="1168"/>
      <c r="DS759" s="1165"/>
      <c r="DT759" s="1165"/>
      <c r="DU759" s="1165"/>
      <c r="DV759" s="1031"/>
      <c r="DW759" s="1098">
        <f t="shared" si="1168"/>
        <v>0</v>
      </c>
      <c r="DX759" s="1098">
        <f t="shared" si="1169"/>
        <v>0</v>
      </c>
      <c r="DY759" s="1030"/>
      <c r="DZ759" s="1030"/>
      <c r="EA759" s="1031"/>
      <c r="EB759" s="1050"/>
      <c r="EC759" s="1038"/>
      <c r="ED759" s="1035"/>
      <c r="EE759" s="1046"/>
      <c r="EF759" s="1169"/>
      <c r="EG759" s="1168"/>
      <c r="EH759" s="1165"/>
      <c r="EI759" s="1165"/>
      <c r="EJ759" s="1165"/>
      <c r="EK759" s="1031"/>
      <c r="EL759" s="1098">
        <f t="shared" si="1170"/>
        <v>0</v>
      </c>
      <c r="EM759" s="1098">
        <f t="shared" si="1171"/>
        <v>0</v>
      </c>
      <c r="EN759" s="1030"/>
      <c r="EO759" s="1030"/>
      <c r="EP759" s="1031"/>
      <c r="EQ759" s="1050"/>
      <c r="ER759" s="1038"/>
      <c r="ES759" s="1035"/>
      <c r="ET759" s="1051"/>
    </row>
    <row r="760" spans="2:150" ht="16.5" customHeight="1">
      <c r="B760" s="1024"/>
      <c r="C760" s="1025"/>
      <c r="D760" s="408">
        <v>757</v>
      </c>
      <c r="E760" s="1164"/>
      <c r="F760" s="1164"/>
      <c r="G760" s="1026"/>
      <c r="H760" s="411" t="str">
        <f>IFERROR(INDEX(绊状态确认!C:C,MATCH($G760,绊状态确认!$B:$B,)),"")</f>
        <v/>
      </c>
      <c r="I760" s="450" t="str">
        <f>IFERROR(INDEX(绊状态确认!D:D,MATCH($G760,绊状态确认!$B:$B,)),"")</f>
        <v/>
      </c>
      <c r="J760" s="450" t="str">
        <f>IFERROR(INDEX(绊状态确认!E:E,MATCH($G760,绊状态确认!$B:$B,)),"")</f>
        <v/>
      </c>
      <c r="K760" s="451" t="str">
        <f>IFERROR(INDEX(绊状态确认!F:F,MATCH($G760,绊状态确认!$B:$B,)),"")</f>
        <v/>
      </c>
      <c r="L760" s="1026"/>
      <c r="M760" s="1165"/>
      <c r="N760" s="1027"/>
      <c r="O760" s="1026"/>
      <c r="P760" s="1028"/>
      <c r="Q760" s="1029"/>
      <c r="R760" s="1166"/>
      <c r="S760" s="1030"/>
      <c r="T760" s="1031"/>
      <c r="U760" s="1032"/>
      <c r="V760" s="1033"/>
      <c r="W760" s="1034"/>
      <c r="X760" s="1166"/>
      <c r="Y760" s="1035"/>
      <c r="Z760" s="1036"/>
      <c r="AA760" s="1037"/>
      <c r="AB760" s="1038"/>
      <c r="AC760" s="1039"/>
      <c r="AD760" s="1040"/>
      <c r="AE760" s="1041"/>
      <c r="AF760" s="521"/>
      <c r="AG760" s="420"/>
      <c r="AH760" s="420"/>
      <c r="AI760" s="420"/>
      <c r="AJ760" s="420"/>
      <c r="AK760" s="518"/>
      <c r="AL760" s="1042"/>
      <c r="AM760" s="1035"/>
      <c r="AN760" s="1043"/>
      <c r="AO760" s="1167"/>
      <c r="AP760" s="1044"/>
      <c r="AQ760" s="1035"/>
      <c r="AR760" s="1035"/>
      <c r="AS760" s="1035"/>
      <c r="AT760" s="1165"/>
      <c r="AU760" s="1031"/>
      <c r="AV760" s="1045"/>
      <c r="AW760" s="1038"/>
      <c r="AX760" s="1035"/>
      <c r="AY760" s="483"/>
      <c r="AZ760" s="429"/>
      <c r="BA760" s="431"/>
      <c r="BB760" s="1035"/>
      <c r="BC760" s="1035"/>
      <c r="BD760" s="481"/>
      <c r="BE760" s="432"/>
      <c r="BF760" s="646"/>
      <c r="BG760" s="1047"/>
      <c r="BH760" s="1046"/>
      <c r="BI760" s="1048"/>
      <c r="BJ760" s="1030"/>
      <c r="BK760" s="1046"/>
      <c r="BL760" s="1048"/>
      <c r="BM760" s="1046"/>
      <c r="BN760" s="1167"/>
      <c r="BO760" s="1035"/>
      <c r="BP760" s="1043"/>
      <c r="BQ760" s="1167"/>
      <c r="BR760" s="1165"/>
      <c r="BS760" s="1031"/>
      <c r="BT760" s="1038"/>
      <c r="BU760" s="1035"/>
      <c r="BV760" s="1035"/>
      <c r="BW760" s="1049"/>
      <c r="BX760" s="1043"/>
      <c r="BY760" s="1046"/>
      <c r="BZ760" s="1167"/>
      <c r="CA760" s="1165"/>
      <c r="CB760" s="1031"/>
      <c r="CC760" s="1038"/>
      <c r="CD760" s="1035"/>
      <c r="CE760" s="1035"/>
      <c r="CF760" s="1049"/>
      <c r="CG760" s="1043"/>
      <c r="CH760" s="1046"/>
      <c r="CI760" s="1167"/>
      <c r="CJ760" s="1168"/>
      <c r="CK760" s="1169"/>
      <c r="CL760" s="1169"/>
      <c r="CM760" s="1166"/>
      <c r="CN760" s="1169"/>
      <c r="CO760" s="1169"/>
      <c r="CP760" s="452"/>
      <c r="CQ760" s="435"/>
      <c r="CR760" s="1117"/>
      <c r="CS760" s="452"/>
      <c r="CT760" s="482"/>
      <c r="CU760" s="476"/>
      <c r="CV760" s="431"/>
      <c r="CW760" s="1108"/>
      <c r="CX760" s="1108"/>
      <c r="CY760" s="483"/>
      <c r="CZ760" s="437"/>
      <c r="DA760" s="438"/>
      <c r="DB760" s="439"/>
      <c r="DC760" s="439"/>
      <c r="DD760" s="443"/>
      <c r="DE760" s="411"/>
      <c r="DF760" s="411"/>
      <c r="DG760" s="1117"/>
      <c r="DH760" s="1117"/>
      <c r="DI760" s="1117"/>
      <c r="DJ760" s="442"/>
      <c r="DK760" s="482"/>
      <c r="DL760" s="1038"/>
      <c r="DM760" s="1035"/>
      <c r="DN760" s="1035"/>
      <c r="DO760" s="1035"/>
      <c r="DP760" s="1046"/>
      <c r="DQ760" s="1167"/>
      <c r="DR760" s="1168"/>
      <c r="DS760" s="1165"/>
      <c r="DT760" s="1165"/>
      <c r="DU760" s="1165"/>
      <c r="DV760" s="1031"/>
      <c r="DW760" s="1098">
        <f t="shared" si="1168"/>
        <v>0</v>
      </c>
      <c r="DX760" s="1098">
        <f t="shared" si="1169"/>
        <v>0</v>
      </c>
      <c r="DY760" s="1030"/>
      <c r="DZ760" s="1030"/>
      <c r="EA760" s="1031"/>
      <c r="EB760" s="1050"/>
      <c r="EC760" s="1038"/>
      <c r="ED760" s="1035"/>
      <c r="EE760" s="1046"/>
      <c r="EF760" s="1169"/>
      <c r="EG760" s="1168"/>
      <c r="EH760" s="1165"/>
      <c r="EI760" s="1165"/>
      <c r="EJ760" s="1165"/>
      <c r="EK760" s="1031"/>
      <c r="EL760" s="1098">
        <f t="shared" si="1170"/>
        <v>0</v>
      </c>
      <c r="EM760" s="1098">
        <f t="shared" si="1171"/>
        <v>0</v>
      </c>
      <c r="EN760" s="1030"/>
      <c r="EO760" s="1030"/>
      <c r="EP760" s="1031"/>
      <c r="EQ760" s="1050"/>
      <c r="ER760" s="1038"/>
      <c r="ES760" s="1035"/>
      <c r="ET760" s="1051"/>
    </row>
    <row r="761" spans="2:150" ht="16.5" customHeight="1">
      <c r="B761" s="1024"/>
      <c r="C761" s="1025"/>
      <c r="D761" s="408">
        <v>758</v>
      </c>
      <c r="E761" s="1164"/>
      <c r="F761" s="1164"/>
      <c r="G761" s="1026"/>
      <c r="H761" s="411" t="str">
        <f>IFERROR(INDEX(绊状态确认!C:C,MATCH($G761,绊状态确认!$B:$B,)),"")</f>
        <v/>
      </c>
      <c r="I761" s="450" t="str">
        <f>IFERROR(INDEX(绊状态确认!D:D,MATCH($G761,绊状态确认!$B:$B,)),"")</f>
        <v/>
      </c>
      <c r="J761" s="450" t="str">
        <f>IFERROR(INDEX(绊状态确认!E:E,MATCH($G761,绊状态确认!$B:$B,)),"")</f>
        <v/>
      </c>
      <c r="K761" s="451" t="str">
        <f>IFERROR(INDEX(绊状态确认!F:F,MATCH($G761,绊状态确认!$B:$B,)),"")</f>
        <v/>
      </c>
      <c r="L761" s="1026"/>
      <c r="M761" s="1165"/>
      <c r="N761" s="1027"/>
      <c r="O761" s="1026"/>
      <c r="P761" s="1028"/>
      <c r="Q761" s="1029"/>
      <c r="R761" s="1166"/>
      <c r="S761" s="1030"/>
      <c r="T761" s="1031"/>
      <c r="U761" s="1032"/>
      <c r="V761" s="1033"/>
      <c r="W761" s="1034"/>
      <c r="X761" s="1166"/>
      <c r="Y761" s="1035"/>
      <c r="Z761" s="1036"/>
      <c r="AA761" s="1037"/>
      <c r="AB761" s="1038"/>
      <c r="AC761" s="1039"/>
      <c r="AD761" s="1040"/>
      <c r="AE761" s="1041"/>
      <c r="AF761" s="521"/>
      <c r="AG761" s="420"/>
      <c r="AH761" s="420"/>
      <c r="AI761" s="420"/>
      <c r="AJ761" s="420"/>
      <c r="AK761" s="518"/>
      <c r="AL761" s="1042"/>
      <c r="AM761" s="1035"/>
      <c r="AN761" s="1043"/>
      <c r="AO761" s="1167"/>
      <c r="AP761" s="1044"/>
      <c r="AQ761" s="1035"/>
      <c r="AR761" s="1035"/>
      <c r="AS761" s="1035"/>
      <c r="AT761" s="1165"/>
      <c r="AU761" s="1031"/>
      <c r="AV761" s="1045"/>
      <c r="AW761" s="1038"/>
      <c r="AX761" s="1035"/>
      <c r="AY761" s="483"/>
      <c r="AZ761" s="429"/>
      <c r="BA761" s="431"/>
      <c r="BB761" s="1035"/>
      <c r="BC761" s="1035"/>
      <c r="BD761" s="481"/>
      <c r="BE761" s="432"/>
      <c r="BF761" s="646"/>
      <c r="BG761" s="1047"/>
      <c r="BH761" s="1046"/>
      <c r="BI761" s="1048"/>
      <c r="BJ761" s="1030"/>
      <c r="BK761" s="1046"/>
      <c r="BL761" s="1048"/>
      <c r="BM761" s="1046"/>
      <c r="BN761" s="1167"/>
      <c r="BO761" s="1035"/>
      <c r="BP761" s="1043"/>
      <c r="BQ761" s="1167"/>
      <c r="BR761" s="1165"/>
      <c r="BS761" s="1031"/>
      <c r="BT761" s="1038"/>
      <c r="BU761" s="1035"/>
      <c r="BV761" s="1035"/>
      <c r="BW761" s="1049"/>
      <c r="BX761" s="1043"/>
      <c r="BY761" s="1046"/>
      <c r="BZ761" s="1167"/>
      <c r="CA761" s="1165"/>
      <c r="CB761" s="1031"/>
      <c r="CC761" s="1038"/>
      <c r="CD761" s="1035"/>
      <c r="CE761" s="1035"/>
      <c r="CF761" s="1049"/>
      <c r="CG761" s="1043"/>
      <c r="CH761" s="1046"/>
      <c r="CI761" s="1167"/>
      <c r="CJ761" s="1168"/>
      <c r="CK761" s="1169"/>
      <c r="CL761" s="1169"/>
      <c r="CM761" s="1166"/>
      <c r="CN761" s="1169"/>
      <c r="CO761" s="1169"/>
      <c r="CP761" s="452"/>
      <c r="CQ761" s="435"/>
      <c r="CR761" s="1117"/>
      <c r="CS761" s="452"/>
      <c r="CT761" s="482"/>
      <c r="CU761" s="476"/>
      <c r="CV761" s="431"/>
      <c r="CW761" s="1108"/>
      <c r="CX761" s="1108"/>
      <c r="CY761" s="483"/>
      <c r="CZ761" s="437"/>
      <c r="DA761" s="438"/>
      <c r="DB761" s="439"/>
      <c r="DC761" s="439"/>
      <c r="DD761" s="443"/>
      <c r="DE761" s="411"/>
      <c r="DF761" s="411"/>
      <c r="DG761" s="1117"/>
      <c r="DH761" s="1117"/>
      <c r="DI761" s="1117"/>
      <c r="DJ761" s="442"/>
      <c r="DK761" s="482"/>
      <c r="DL761" s="1038"/>
      <c r="DM761" s="1035"/>
      <c r="DN761" s="1035"/>
      <c r="DO761" s="1035"/>
      <c r="DP761" s="1046"/>
      <c r="DQ761" s="1167"/>
      <c r="DR761" s="1168"/>
      <c r="DS761" s="1165"/>
      <c r="DT761" s="1165"/>
      <c r="DU761" s="1165"/>
      <c r="DV761" s="1031"/>
      <c r="DW761" s="1098">
        <f t="shared" si="1168"/>
        <v>0</v>
      </c>
      <c r="DX761" s="1098">
        <f t="shared" si="1169"/>
        <v>0</v>
      </c>
      <c r="DY761" s="1030"/>
      <c r="DZ761" s="1030"/>
      <c r="EA761" s="1031"/>
      <c r="EB761" s="1050"/>
      <c r="EC761" s="1038"/>
      <c r="ED761" s="1035"/>
      <c r="EE761" s="1046"/>
      <c r="EF761" s="1169"/>
      <c r="EG761" s="1168"/>
      <c r="EH761" s="1165"/>
      <c r="EI761" s="1165"/>
      <c r="EJ761" s="1165"/>
      <c r="EK761" s="1031"/>
      <c r="EL761" s="1098">
        <f t="shared" si="1170"/>
        <v>0</v>
      </c>
      <c r="EM761" s="1098">
        <f t="shared" si="1171"/>
        <v>0</v>
      </c>
      <c r="EN761" s="1030"/>
      <c r="EO761" s="1030"/>
      <c r="EP761" s="1031"/>
      <c r="EQ761" s="1050"/>
      <c r="ER761" s="1038"/>
      <c r="ES761" s="1035"/>
      <c r="ET761" s="1051"/>
    </row>
    <row r="762" spans="2:150" ht="16.5" customHeight="1">
      <c r="B762" s="1024"/>
      <c r="C762" s="1025"/>
      <c r="D762" s="408">
        <v>759</v>
      </c>
      <c r="E762" s="1164"/>
      <c r="F762" s="1164"/>
      <c r="G762" s="1026"/>
      <c r="H762" s="411" t="str">
        <f>IFERROR(INDEX(绊状态确认!C:C,MATCH($G762,绊状态确认!$B:$B,)),"")</f>
        <v/>
      </c>
      <c r="I762" s="450" t="str">
        <f>IFERROR(INDEX(绊状态确认!D:D,MATCH($G762,绊状态确认!$B:$B,)),"")</f>
        <v/>
      </c>
      <c r="J762" s="450" t="str">
        <f>IFERROR(INDEX(绊状态确认!E:E,MATCH($G762,绊状态确认!$B:$B,)),"")</f>
        <v/>
      </c>
      <c r="K762" s="451" t="str">
        <f>IFERROR(INDEX(绊状态确认!F:F,MATCH($G762,绊状态确认!$B:$B,)),"")</f>
        <v/>
      </c>
      <c r="L762" s="1026"/>
      <c r="M762" s="1165"/>
      <c r="N762" s="1027"/>
      <c r="O762" s="1026"/>
      <c r="P762" s="1028"/>
      <c r="Q762" s="1029"/>
      <c r="R762" s="1166"/>
      <c r="S762" s="1030"/>
      <c r="T762" s="1031"/>
      <c r="U762" s="1032"/>
      <c r="V762" s="1033"/>
      <c r="W762" s="1034"/>
      <c r="X762" s="1166"/>
      <c r="Y762" s="1035"/>
      <c r="Z762" s="1036"/>
      <c r="AA762" s="1037"/>
      <c r="AB762" s="1038"/>
      <c r="AC762" s="1039"/>
      <c r="AD762" s="1040"/>
      <c r="AE762" s="1041"/>
      <c r="AF762" s="521"/>
      <c r="AG762" s="420"/>
      <c r="AH762" s="420"/>
      <c r="AI762" s="420"/>
      <c r="AJ762" s="420"/>
      <c r="AK762" s="518"/>
      <c r="AL762" s="1042"/>
      <c r="AM762" s="1035"/>
      <c r="AN762" s="1043"/>
      <c r="AO762" s="1167"/>
      <c r="AP762" s="1044"/>
      <c r="AQ762" s="1035"/>
      <c r="AR762" s="1035"/>
      <c r="AS762" s="1035"/>
      <c r="AT762" s="1165"/>
      <c r="AU762" s="1031"/>
      <c r="AV762" s="1045"/>
      <c r="AW762" s="1038"/>
      <c r="AX762" s="1035"/>
      <c r="AY762" s="483"/>
      <c r="AZ762" s="429"/>
      <c r="BA762" s="431"/>
      <c r="BB762" s="1035"/>
      <c r="BC762" s="1035"/>
      <c r="BD762" s="481"/>
      <c r="BE762" s="432"/>
      <c r="BF762" s="646"/>
      <c r="BG762" s="1047"/>
      <c r="BH762" s="1046"/>
      <c r="BI762" s="1048"/>
      <c r="BJ762" s="1030"/>
      <c r="BK762" s="1046"/>
      <c r="BL762" s="1048"/>
      <c r="BM762" s="1046"/>
      <c r="BN762" s="1167"/>
      <c r="BO762" s="1035"/>
      <c r="BP762" s="1043"/>
      <c r="BQ762" s="1167"/>
      <c r="BR762" s="1165"/>
      <c r="BS762" s="1031"/>
      <c r="BT762" s="1038"/>
      <c r="BU762" s="1035"/>
      <c r="BV762" s="1035"/>
      <c r="BW762" s="1049"/>
      <c r="BX762" s="1043"/>
      <c r="BY762" s="1046"/>
      <c r="BZ762" s="1167"/>
      <c r="CA762" s="1165"/>
      <c r="CB762" s="1031"/>
      <c r="CC762" s="1038"/>
      <c r="CD762" s="1035"/>
      <c r="CE762" s="1035"/>
      <c r="CF762" s="1049"/>
      <c r="CG762" s="1043"/>
      <c r="CH762" s="1046"/>
      <c r="CI762" s="1167"/>
      <c r="CJ762" s="1168"/>
      <c r="CK762" s="1169"/>
      <c r="CL762" s="1169"/>
      <c r="CM762" s="1166"/>
      <c r="CN762" s="1169"/>
      <c r="CO762" s="1169"/>
      <c r="CP762" s="452"/>
      <c r="CQ762" s="435"/>
      <c r="CR762" s="441"/>
      <c r="CS762" s="452"/>
      <c r="CT762" s="482"/>
      <c r="CU762" s="476"/>
      <c r="CV762" s="431"/>
      <c r="CW762" s="1108"/>
      <c r="CX762" s="1108"/>
      <c r="CY762" s="483"/>
      <c r="CZ762" s="437"/>
      <c r="DA762" s="438"/>
      <c r="DB762" s="439"/>
      <c r="DC762" s="439"/>
      <c r="DD762" s="443"/>
      <c r="DE762" s="411"/>
      <c r="DF762" s="411"/>
      <c r="DG762" s="1117"/>
      <c r="DH762" s="1117"/>
      <c r="DI762" s="1117"/>
      <c r="DJ762" s="442"/>
      <c r="DK762" s="482"/>
      <c r="DL762" s="1038"/>
      <c r="DM762" s="1035"/>
      <c r="DN762" s="1035"/>
      <c r="DO762" s="1035"/>
      <c r="DP762" s="1046"/>
      <c r="DQ762" s="1167"/>
      <c r="DR762" s="1168"/>
      <c r="DS762" s="1165"/>
      <c r="DT762" s="1165"/>
      <c r="DU762" s="1165"/>
      <c r="DV762" s="1031"/>
      <c r="DW762" s="1098">
        <f t="shared" si="1168"/>
        <v>0</v>
      </c>
      <c r="DX762" s="1098">
        <f t="shared" si="1169"/>
        <v>0</v>
      </c>
      <c r="DY762" s="1030"/>
      <c r="DZ762" s="1030"/>
      <c r="EA762" s="1031"/>
      <c r="EB762" s="1050"/>
      <c r="EC762" s="1038"/>
      <c r="ED762" s="1035"/>
      <c r="EE762" s="1046"/>
      <c r="EF762" s="1169"/>
      <c r="EG762" s="1168"/>
      <c r="EH762" s="1165"/>
      <c r="EI762" s="1165"/>
      <c r="EJ762" s="1165"/>
      <c r="EK762" s="1031"/>
      <c r="EL762" s="1098">
        <f t="shared" si="1170"/>
        <v>0</v>
      </c>
      <c r="EM762" s="1098">
        <f t="shared" si="1171"/>
        <v>0</v>
      </c>
      <c r="EN762" s="1030"/>
      <c r="EO762" s="1030"/>
      <c r="EP762" s="1031"/>
      <c r="EQ762" s="1050"/>
      <c r="ER762" s="1038"/>
      <c r="ES762" s="1035"/>
      <c r="ET762" s="1051"/>
    </row>
    <row r="763" spans="2:150" ht="16.5" customHeight="1">
      <c r="B763" s="1024"/>
      <c r="C763" s="1025"/>
      <c r="D763" s="408">
        <v>760</v>
      </c>
      <c r="E763" s="1164"/>
      <c r="F763" s="1164"/>
      <c r="G763" s="1026"/>
      <c r="H763" s="411" t="str">
        <f>IFERROR(INDEX(绊状态确认!C:C,MATCH($G763,绊状态确认!$B:$B,)),"")</f>
        <v/>
      </c>
      <c r="I763" s="450" t="str">
        <f>IFERROR(INDEX(绊状态确认!D:D,MATCH($G763,绊状态确认!$B:$B,)),"")</f>
        <v/>
      </c>
      <c r="J763" s="450" t="str">
        <f>IFERROR(INDEX(绊状态确认!E:E,MATCH($G763,绊状态确认!$B:$B,)),"")</f>
        <v/>
      </c>
      <c r="K763" s="451" t="str">
        <f>IFERROR(INDEX(绊状态确认!F:F,MATCH($G763,绊状态确认!$B:$B,)),"")</f>
        <v/>
      </c>
      <c r="L763" s="1026"/>
      <c r="M763" s="1165"/>
      <c r="N763" s="1027"/>
      <c r="O763" s="1026"/>
      <c r="P763" s="1028"/>
      <c r="Q763" s="1029"/>
      <c r="R763" s="1166"/>
      <c r="S763" s="1030"/>
      <c r="T763" s="1031"/>
      <c r="U763" s="1032"/>
      <c r="V763" s="1033"/>
      <c r="W763" s="1034"/>
      <c r="X763" s="1166"/>
      <c r="Y763" s="1035"/>
      <c r="Z763" s="1036"/>
      <c r="AA763" s="1037"/>
      <c r="AB763" s="1038"/>
      <c r="AC763" s="1039"/>
      <c r="AD763" s="1040"/>
      <c r="AE763" s="1041"/>
      <c r="AF763" s="521"/>
      <c r="AG763" s="420"/>
      <c r="AH763" s="420"/>
      <c r="AI763" s="420"/>
      <c r="AJ763" s="420"/>
      <c r="AK763" s="518"/>
      <c r="AL763" s="1042"/>
      <c r="AM763" s="1035"/>
      <c r="AN763" s="1043"/>
      <c r="AO763" s="1167"/>
      <c r="AP763" s="1044"/>
      <c r="AQ763" s="1035"/>
      <c r="AR763" s="1035"/>
      <c r="AS763" s="1035"/>
      <c r="AT763" s="1165"/>
      <c r="AU763" s="1031"/>
      <c r="AV763" s="1045"/>
      <c r="AW763" s="1038"/>
      <c r="AX763" s="1035"/>
      <c r="AY763" s="483"/>
      <c r="AZ763" s="429"/>
      <c r="BA763" s="431"/>
      <c r="BB763" s="1035"/>
      <c r="BC763" s="1035"/>
      <c r="BD763" s="481"/>
      <c r="BE763" s="432"/>
      <c r="BF763" s="646"/>
      <c r="BG763" s="1047"/>
      <c r="BH763" s="1046"/>
      <c r="BI763" s="1048"/>
      <c r="BJ763" s="1030"/>
      <c r="BK763" s="1046"/>
      <c r="BL763" s="1048"/>
      <c r="BM763" s="1046"/>
      <c r="BN763" s="1167"/>
      <c r="BO763" s="1035"/>
      <c r="BP763" s="1043"/>
      <c r="BQ763" s="1167"/>
      <c r="BR763" s="1165"/>
      <c r="BS763" s="1031"/>
      <c r="BT763" s="1038"/>
      <c r="BU763" s="1035"/>
      <c r="BV763" s="1035"/>
      <c r="BW763" s="1049"/>
      <c r="BX763" s="1043"/>
      <c r="BY763" s="1046"/>
      <c r="BZ763" s="1167"/>
      <c r="CA763" s="1165"/>
      <c r="CB763" s="1031"/>
      <c r="CC763" s="1038"/>
      <c r="CD763" s="1035"/>
      <c r="CE763" s="1035"/>
      <c r="CF763" s="1049"/>
      <c r="CG763" s="1043"/>
      <c r="CH763" s="1046"/>
      <c r="CI763" s="1167"/>
      <c r="CJ763" s="1168"/>
      <c r="CK763" s="1169"/>
      <c r="CL763" s="1169"/>
      <c r="CM763" s="1166"/>
      <c r="CN763" s="1169"/>
      <c r="CO763" s="1169"/>
      <c r="CP763" s="452"/>
      <c r="CQ763" s="435"/>
      <c r="CR763" s="1117"/>
      <c r="CS763" s="452"/>
      <c r="CT763" s="482"/>
      <c r="CU763" s="476"/>
      <c r="CV763" s="431"/>
      <c r="CW763" s="1108"/>
      <c r="CX763" s="1108"/>
      <c r="CY763" s="483"/>
      <c r="CZ763" s="437"/>
      <c r="DA763" s="438"/>
      <c r="DB763" s="439"/>
      <c r="DC763" s="439"/>
      <c r="DD763" s="443"/>
      <c r="DE763" s="411"/>
      <c r="DF763" s="411"/>
      <c r="DG763" s="1117"/>
      <c r="DH763" s="1117"/>
      <c r="DI763" s="1117"/>
      <c r="DJ763" s="442"/>
      <c r="DK763" s="482"/>
      <c r="DL763" s="1038"/>
      <c r="DM763" s="1035"/>
      <c r="DN763" s="1035"/>
      <c r="DO763" s="1035"/>
      <c r="DP763" s="1046"/>
      <c r="DQ763" s="1167"/>
      <c r="DR763" s="1168"/>
      <c r="DS763" s="1165"/>
      <c r="DT763" s="1165"/>
      <c r="DU763" s="1165"/>
      <c r="DV763" s="1031"/>
      <c r="DW763" s="1098">
        <f t="shared" si="1168"/>
        <v>0</v>
      </c>
      <c r="DX763" s="1098">
        <f t="shared" si="1169"/>
        <v>0</v>
      </c>
      <c r="DY763" s="1030"/>
      <c r="DZ763" s="1030"/>
      <c r="EA763" s="1031"/>
      <c r="EB763" s="1050"/>
      <c r="EC763" s="1038"/>
      <c r="ED763" s="1035"/>
      <c r="EE763" s="1046"/>
      <c r="EF763" s="1169"/>
      <c r="EG763" s="1168"/>
      <c r="EH763" s="1165"/>
      <c r="EI763" s="1165"/>
      <c r="EJ763" s="1165"/>
      <c r="EK763" s="1031"/>
      <c r="EL763" s="1098">
        <f t="shared" si="1170"/>
        <v>0</v>
      </c>
      <c r="EM763" s="1098">
        <f t="shared" si="1171"/>
        <v>0</v>
      </c>
      <c r="EN763" s="1030"/>
      <c r="EO763" s="1030"/>
      <c r="EP763" s="1031"/>
      <c r="EQ763" s="1050"/>
      <c r="ER763" s="1038"/>
      <c r="ES763" s="1035"/>
      <c r="ET763" s="1051"/>
    </row>
    <row r="764" spans="2:150" ht="16.5" customHeight="1">
      <c r="B764" s="1024"/>
      <c r="C764" s="1025"/>
      <c r="D764" s="408">
        <v>761</v>
      </c>
      <c r="E764" s="1164"/>
      <c r="F764" s="1164"/>
      <c r="G764" s="1026"/>
      <c r="H764" s="411" t="str">
        <f>IFERROR(INDEX(绊状态确认!C:C,MATCH($G764,绊状态确认!$B:$B,)),"")</f>
        <v/>
      </c>
      <c r="I764" s="450" t="str">
        <f>IFERROR(INDEX(绊状态确认!D:D,MATCH($G764,绊状态确认!$B:$B,)),"")</f>
        <v/>
      </c>
      <c r="J764" s="450" t="str">
        <f>IFERROR(INDEX(绊状态确认!E:E,MATCH($G764,绊状态确认!$B:$B,)),"")</f>
        <v/>
      </c>
      <c r="K764" s="451" t="str">
        <f>IFERROR(INDEX(绊状态确认!F:F,MATCH($G764,绊状态确认!$B:$B,)),"")</f>
        <v/>
      </c>
      <c r="L764" s="1026"/>
      <c r="M764" s="1165"/>
      <c r="N764" s="1027"/>
      <c r="O764" s="1026"/>
      <c r="P764" s="1028"/>
      <c r="Q764" s="1029"/>
      <c r="R764" s="1166"/>
      <c r="S764" s="1030"/>
      <c r="T764" s="1031"/>
      <c r="U764" s="1032"/>
      <c r="V764" s="1033"/>
      <c r="W764" s="1034"/>
      <c r="X764" s="1166"/>
      <c r="Y764" s="1035"/>
      <c r="Z764" s="1036"/>
      <c r="AA764" s="1037"/>
      <c r="AB764" s="1038"/>
      <c r="AC764" s="1039"/>
      <c r="AD764" s="1040"/>
      <c r="AE764" s="1041"/>
      <c r="AF764" s="521"/>
      <c r="AG764" s="420"/>
      <c r="AH764" s="420"/>
      <c r="AI764" s="420"/>
      <c r="AJ764" s="420"/>
      <c r="AK764" s="518"/>
      <c r="AL764" s="1042"/>
      <c r="AM764" s="1035"/>
      <c r="AN764" s="1043"/>
      <c r="AO764" s="1167"/>
      <c r="AP764" s="1044"/>
      <c r="AQ764" s="1035"/>
      <c r="AR764" s="1035"/>
      <c r="AS764" s="1035"/>
      <c r="AT764" s="1165"/>
      <c r="AU764" s="1031"/>
      <c r="AV764" s="1045"/>
      <c r="AW764" s="1038"/>
      <c r="AX764" s="1035"/>
      <c r="AY764" s="483"/>
      <c r="AZ764" s="429"/>
      <c r="BA764" s="431"/>
      <c r="BB764" s="1035"/>
      <c r="BC764" s="1035"/>
      <c r="BD764" s="481"/>
      <c r="BE764" s="432"/>
      <c r="BF764" s="646"/>
      <c r="BG764" s="1047"/>
      <c r="BH764" s="1046"/>
      <c r="BI764" s="1048"/>
      <c r="BJ764" s="1030"/>
      <c r="BK764" s="1046"/>
      <c r="BL764" s="1048"/>
      <c r="BM764" s="1046"/>
      <c r="BN764" s="1167"/>
      <c r="BO764" s="1035"/>
      <c r="BP764" s="1043"/>
      <c r="BQ764" s="1167"/>
      <c r="BR764" s="1165"/>
      <c r="BS764" s="1031"/>
      <c r="BT764" s="1038"/>
      <c r="BU764" s="1035"/>
      <c r="BV764" s="1035"/>
      <c r="BW764" s="1049"/>
      <c r="BX764" s="1043"/>
      <c r="BY764" s="1046"/>
      <c r="BZ764" s="1167"/>
      <c r="CA764" s="1165"/>
      <c r="CB764" s="1031"/>
      <c r="CC764" s="1038"/>
      <c r="CD764" s="1035"/>
      <c r="CE764" s="1035"/>
      <c r="CF764" s="1049"/>
      <c r="CG764" s="1043"/>
      <c r="CH764" s="1046"/>
      <c r="CI764" s="1167"/>
      <c r="CJ764" s="1168"/>
      <c r="CK764" s="1169"/>
      <c r="CL764" s="1169"/>
      <c r="CM764" s="1166"/>
      <c r="CN764" s="1169"/>
      <c r="CO764" s="1169"/>
      <c r="CP764" s="452"/>
      <c r="CQ764" s="435"/>
      <c r="CR764" s="1117"/>
      <c r="CS764" s="452"/>
      <c r="CT764" s="482"/>
      <c r="CU764" s="476"/>
      <c r="CV764" s="431"/>
      <c r="CW764" s="1108"/>
      <c r="CX764" s="1108"/>
      <c r="CY764" s="483"/>
      <c r="CZ764" s="437"/>
      <c r="DA764" s="438"/>
      <c r="DB764" s="439"/>
      <c r="DC764" s="439"/>
      <c r="DD764" s="443"/>
      <c r="DE764" s="411"/>
      <c r="DF764" s="411"/>
      <c r="DG764" s="1117"/>
      <c r="DH764" s="1117"/>
      <c r="DI764" s="1117"/>
      <c r="DJ764" s="442"/>
      <c r="DK764" s="482"/>
      <c r="DL764" s="1038"/>
      <c r="DM764" s="1035"/>
      <c r="DN764" s="1035"/>
      <c r="DO764" s="1035"/>
      <c r="DP764" s="1046"/>
      <c r="DQ764" s="1167"/>
      <c r="DR764" s="1168"/>
      <c r="DS764" s="1165"/>
      <c r="DT764" s="1165"/>
      <c r="DU764" s="1165"/>
      <c r="DV764" s="1031"/>
      <c r="DW764" s="1098">
        <f t="shared" si="1168"/>
        <v>0</v>
      </c>
      <c r="DX764" s="1098">
        <f t="shared" si="1169"/>
        <v>0</v>
      </c>
      <c r="DY764" s="1030"/>
      <c r="DZ764" s="1030"/>
      <c r="EA764" s="1031"/>
      <c r="EB764" s="1050"/>
      <c r="EC764" s="1038"/>
      <c r="ED764" s="1035"/>
      <c r="EE764" s="1046"/>
      <c r="EF764" s="1169"/>
      <c r="EG764" s="1168"/>
      <c r="EH764" s="1165"/>
      <c r="EI764" s="1165"/>
      <c r="EJ764" s="1165"/>
      <c r="EK764" s="1031"/>
      <c r="EL764" s="1098">
        <f t="shared" si="1170"/>
        <v>0</v>
      </c>
      <c r="EM764" s="1098">
        <f t="shared" si="1171"/>
        <v>0</v>
      </c>
      <c r="EN764" s="1030"/>
      <c r="EO764" s="1030"/>
      <c r="EP764" s="1031"/>
      <c r="EQ764" s="1050"/>
      <c r="ER764" s="1038"/>
      <c r="ES764" s="1035"/>
      <c r="ET764" s="1051"/>
    </row>
    <row r="765" spans="2:150" ht="16.5" customHeight="1">
      <c r="B765" s="1024"/>
      <c r="C765" s="1025"/>
      <c r="D765" s="408">
        <v>762</v>
      </c>
      <c r="E765" s="1164"/>
      <c r="F765" s="1164"/>
      <c r="G765" s="1026"/>
      <c r="H765" s="411" t="str">
        <f>IFERROR(INDEX(绊状态确认!C:C,MATCH($G765,绊状态确认!$B:$B,)),"")</f>
        <v/>
      </c>
      <c r="I765" s="450" t="str">
        <f>IFERROR(INDEX(绊状态确认!D:D,MATCH($G765,绊状态确认!$B:$B,)),"")</f>
        <v/>
      </c>
      <c r="J765" s="450" t="str">
        <f>IFERROR(INDEX(绊状态确认!E:E,MATCH($G765,绊状态确认!$B:$B,)),"")</f>
        <v/>
      </c>
      <c r="K765" s="451" t="str">
        <f>IFERROR(INDEX(绊状态确认!F:F,MATCH($G765,绊状态确认!$B:$B,)),"")</f>
        <v/>
      </c>
      <c r="L765" s="1026"/>
      <c r="M765" s="1165"/>
      <c r="N765" s="1027"/>
      <c r="O765" s="1026"/>
      <c r="P765" s="1028"/>
      <c r="Q765" s="1029"/>
      <c r="R765" s="1166"/>
      <c r="S765" s="1030"/>
      <c r="T765" s="1031"/>
      <c r="U765" s="1032"/>
      <c r="V765" s="1033"/>
      <c r="W765" s="1034"/>
      <c r="X765" s="1166"/>
      <c r="Y765" s="1035"/>
      <c r="Z765" s="1036"/>
      <c r="AA765" s="1037"/>
      <c r="AB765" s="1038"/>
      <c r="AC765" s="1039"/>
      <c r="AD765" s="1040"/>
      <c r="AE765" s="1041"/>
      <c r="AF765" s="521"/>
      <c r="AG765" s="420"/>
      <c r="AH765" s="420"/>
      <c r="AI765" s="420"/>
      <c r="AJ765" s="420"/>
      <c r="AK765" s="518"/>
      <c r="AL765" s="1042"/>
      <c r="AM765" s="1035"/>
      <c r="AN765" s="1043"/>
      <c r="AO765" s="1167"/>
      <c r="AP765" s="1044"/>
      <c r="AQ765" s="1035"/>
      <c r="AR765" s="1035"/>
      <c r="AS765" s="1035"/>
      <c r="AT765" s="1165"/>
      <c r="AU765" s="1031"/>
      <c r="AV765" s="1045"/>
      <c r="AW765" s="1038"/>
      <c r="AX765" s="1035"/>
      <c r="AY765" s="483"/>
      <c r="AZ765" s="429"/>
      <c r="BA765" s="431"/>
      <c r="BB765" s="1035"/>
      <c r="BC765" s="1035"/>
      <c r="BD765" s="481"/>
      <c r="BE765" s="432"/>
      <c r="BF765" s="646"/>
      <c r="BG765" s="1047"/>
      <c r="BH765" s="1046"/>
      <c r="BI765" s="1048"/>
      <c r="BJ765" s="1030"/>
      <c r="BK765" s="1046"/>
      <c r="BL765" s="1048"/>
      <c r="BM765" s="1046"/>
      <c r="BN765" s="1167"/>
      <c r="BO765" s="1035"/>
      <c r="BP765" s="1043"/>
      <c r="BQ765" s="1167"/>
      <c r="BR765" s="1165"/>
      <c r="BS765" s="1031"/>
      <c r="BT765" s="1038"/>
      <c r="BU765" s="1035"/>
      <c r="BV765" s="1035"/>
      <c r="BW765" s="1049"/>
      <c r="BX765" s="1043"/>
      <c r="BY765" s="1046"/>
      <c r="BZ765" s="1167"/>
      <c r="CA765" s="1165"/>
      <c r="CB765" s="1031"/>
      <c r="CC765" s="1038"/>
      <c r="CD765" s="1035"/>
      <c r="CE765" s="1035"/>
      <c r="CF765" s="1049"/>
      <c r="CG765" s="1043"/>
      <c r="CH765" s="1046"/>
      <c r="CI765" s="1167"/>
      <c r="CJ765" s="1168"/>
      <c r="CK765" s="1169"/>
      <c r="CL765" s="1169"/>
      <c r="CM765" s="1166"/>
      <c r="CN765" s="1169"/>
      <c r="CO765" s="1169"/>
      <c r="CP765" s="452"/>
      <c r="CQ765" s="435"/>
      <c r="CR765" s="1117"/>
      <c r="CS765" s="452"/>
      <c r="CT765" s="482"/>
      <c r="CU765" s="476"/>
      <c r="CV765" s="431"/>
      <c r="CW765" s="1108"/>
      <c r="CX765" s="1108"/>
      <c r="CY765" s="483"/>
      <c r="CZ765" s="437"/>
      <c r="DA765" s="438"/>
      <c r="DB765" s="439"/>
      <c r="DC765" s="439"/>
      <c r="DD765" s="443"/>
      <c r="DE765" s="411"/>
      <c r="DF765" s="411"/>
      <c r="DG765" s="1117"/>
      <c r="DH765" s="1117"/>
      <c r="DI765" s="1117"/>
      <c r="DJ765" s="442"/>
      <c r="DK765" s="482"/>
      <c r="DL765" s="1038"/>
      <c r="DM765" s="1035"/>
      <c r="DN765" s="1035"/>
      <c r="DO765" s="1035"/>
      <c r="DP765" s="1046"/>
      <c r="DQ765" s="1167"/>
      <c r="DR765" s="1168"/>
      <c r="DS765" s="1165"/>
      <c r="DT765" s="1165"/>
      <c r="DU765" s="1165"/>
      <c r="DV765" s="1031"/>
      <c r="DW765" s="1098">
        <f t="shared" si="1168"/>
        <v>0</v>
      </c>
      <c r="DX765" s="1098">
        <f t="shared" si="1169"/>
        <v>0</v>
      </c>
      <c r="DY765" s="1030"/>
      <c r="DZ765" s="1030"/>
      <c r="EA765" s="1031"/>
      <c r="EB765" s="1050"/>
      <c r="EC765" s="1038"/>
      <c r="ED765" s="1035"/>
      <c r="EE765" s="1046"/>
      <c r="EF765" s="1169"/>
      <c r="EG765" s="1168"/>
      <c r="EH765" s="1165"/>
      <c r="EI765" s="1165"/>
      <c r="EJ765" s="1165"/>
      <c r="EK765" s="1031"/>
      <c r="EL765" s="1098">
        <f t="shared" si="1170"/>
        <v>0</v>
      </c>
      <c r="EM765" s="1098">
        <f t="shared" si="1171"/>
        <v>0</v>
      </c>
      <c r="EN765" s="1030"/>
      <c r="EO765" s="1030"/>
      <c r="EP765" s="1031"/>
      <c r="EQ765" s="1050"/>
      <c r="ER765" s="1038"/>
      <c r="ES765" s="1035"/>
      <c r="ET765" s="1051"/>
    </row>
    <row r="766" spans="2:150" ht="16.5" customHeight="1">
      <c r="B766" s="1024"/>
      <c r="C766" s="1025"/>
      <c r="D766" s="408">
        <v>763</v>
      </c>
      <c r="E766" s="1164"/>
      <c r="F766" s="1164"/>
      <c r="G766" s="1026"/>
      <c r="H766" s="411" t="str">
        <f>IFERROR(INDEX(绊状态确认!C:C,MATCH($G766,绊状态确认!$B:$B,)),"")</f>
        <v/>
      </c>
      <c r="I766" s="450" t="str">
        <f>IFERROR(INDEX(绊状态确认!D:D,MATCH($G766,绊状态确认!$B:$B,)),"")</f>
        <v/>
      </c>
      <c r="J766" s="450" t="str">
        <f>IFERROR(INDEX(绊状态确认!E:E,MATCH($G766,绊状态确认!$B:$B,)),"")</f>
        <v/>
      </c>
      <c r="K766" s="451" t="str">
        <f>IFERROR(INDEX(绊状态确认!F:F,MATCH($G766,绊状态确认!$B:$B,)),"")</f>
        <v/>
      </c>
      <c r="L766" s="1026"/>
      <c r="M766" s="1165"/>
      <c r="N766" s="1027"/>
      <c r="O766" s="1026"/>
      <c r="P766" s="1028"/>
      <c r="Q766" s="1029"/>
      <c r="R766" s="1166"/>
      <c r="S766" s="1030"/>
      <c r="T766" s="1031"/>
      <c r="U766" s="1032"/>
      <c r="V766" s="1033"/>
      <c r="W766" s="1034"/>
      <c r="X766" s="1166"/>
      <c r="Y766" s="1035"/>
      <c r="Z766" s="1036"/>
      <c r="AA766" s="1037"/>
      <c r="AB766" s="1038"/>
      <c r="AC766" s="1039"/>
      <c r="AD766" s="1040"/>
      <c r="AE766" s="1041"/>
      <c r="AF766" s="521"/>
      <c r="AG766" s="420"/>
      <c r="AH766" s="420"/>
      <c r="AI766" s="420"/>
      <c r="AJ766" s="420"/>
      <c r="AK766" s="518"/>
      <c r="AL766" s="1042"/>
      <c r="AM766" s="1035"/>
      <c r="AN766" s="1043"/>
      <c r="AO766" s="1167"/>
      <c r="AP766" s="1044"/>
      <c r="AQ766" s="1035"/>
      <c r="AR766" s="1035"/>
      <c r="AS766" s="1035"/>
      <c r="AT766" s="1165"/>
      <c r="AU766" s="1031"/>
      <c r="AV766" s="1045"/>
      <c r="AW766" s="1038"/>
      <c r="AX766" s="1035"/>
      <c r="AY766" s="483"/>
      <c r="AZ766" s="429"/>
      <c r="BA766" s="431"/>
      <c r="BB766" s="1035"/>
      <c r="BC766" s="1035"/>
      <c r="BD766" s="481"/>
      <c r="BE766" s="432"/>
      <c r="BF766" s="646"/>
      <c r="BG766" s="1047"/>
      <c r="BH766" s="1046"/>
      <c r="BI766" s="1048"/>
      <c r="BJ766" s="1030"/>
      <c r="BK766" s="1046"/>
      <c r="BL766" s="1048"/>
      <c r="BM766" s="1046"/>
      <c r="BN766" s="1167"/>
      <c r="BO766" s="1035"/>
      <c r="BP766" s="1043"/>
      <c r="BQ766" s="1167"/>
      <c r="BR766" s="1165"/>
      <c r="BS766" s="1031"/>
      <c r="BT766" s="1038"/>
      <c r="BU766" s="1035"/>
      <c r="BV766" s="1035"/>
      <c r="BW766" s="1049"/>
      <c r="BX766" s="1043"/>
      <c r="BY766" s="1046"/>
      <c r="BZ766" s="1167"/>
      <c r="CA766" s="1165"/>
      <c r="CB766" s="1031"/>
      <c r="CC766" s="1038"/>
      <c r="CD766" s="1035"/>
      <c r="CE766" s="1035"/>
      <c r="CF766" s="1049"/>
      <c r="CG766" s="1043"/>
      <c r="CH766" s="1046"/>
      <c r="CI766" s="1167"/>
      <c r="CJ766" s="1168"/>
      <c r="CK766" s="1169"/>
      <c r="CL766" s="1169"/>
      <c r="CM766" s="1166"/>
      <c r="CN766" s="1169"/>
      <c r="CO766" s="1169"/>
      <c r="CP766" s="452"/>
      <c r="CQ766" s="435"/>
      <c r="CR766" s="1117"/>
      <c r="CS766" s="452"/>
      <c r="CT766" s="482"/>
      <c r="CU766" s="476"/>
      <c r="CV766" s="431"/>
      <c r="CW766" s="1108"/>
      <c r="CX766" s="1108"/>
      <c r="CY766" s="483"/>
      <c r="CZ766" s="437"/>
      <c r="DA766" s="438"/>
      <c r="DB766" s="439"/>
      <c r="DC766" s="439"/>
      <c r="DD766" s="443"/>
      <c r="DE766" s="411"/>
      <c r="DF766" s="411"/>
      <c r="DG766" s="1117"/>
      <c r="DH766" s="1117"/>
      <c r="DI766" s="1117"/>
      <c r="DJ766" s="442"/>
      <c r="DK766" s="482"/>
      <c r="DL766" s="1038"/>
      <c r="DM766" s="1035"/>
      <c r="DN766" s="1035"/>
      <c r="DO766" s="1035"/>
      <c r="DP766" s="1046"/>
      <c r="DQ766" s="1167"/>
      <c r="DR766" s="1168"/>
      <c r="DS766" s="1165"/>
      <c r="DT766" s="1165"/>
      <c r="DU766" s="1165"/>
      <c r="DV766" s="1031"/>
      <c r="DW766" s="1098">
        <f t="shared" si="1168"/>
        <v>0</v>
      </c>
      <c r="DX766" s="1098">
        <f t="shared" si="1169"/>
        <v>0</v>
      </c>
      <c r="DY766" s="1030"/>
      <c r="DZ766" s="1030"/>
      <c r="EA766" s="1031"/>
      <c r="EB766" s="1050"/>
      <c r="EC766" s="1038"/>
      <c r="ED766" s="1035"/>
      <c r="EE766" s="1046"/>
      <c r="EF766" s="1169"/>
      <c r="EG766" s="1168"/>
      <c r="EH766" s="1165"/>
      <c r="EI766" s="1165"/>
      <c r="EJ766" s="1165"/>
      <c r="EK766" s="1031"/>
      <c r="EL766" s="1098">
        <f t="shared" si="1170"/>
        <v>0</v>
      </c>
      <c r="EM766" s="1098">
        <f t="shared" si="1171"/>
        <v>0</v>
      </c>
      <c r="EN766" s="1030"/>
      <c r="EO766" s="1030"/>
      <c r="EP766" s="1031"/>
      <c r="EQ766" s="1050"/>
      <c r="ER766" s="1038"/>
      <c r="ES766" s="1035"/>
      <c r="ET766" s="1051"/>
    </row>
    <row r="767" spans="2:150" ht="16.5" customHeight="1">
      <c r="B767" s="1024"/>
      <c r="C767" s="1025"/>
      <c r="D767" s="408">
        <v>764</v>
      </c>
      <c r="E767" s="1164"/>
      <c r="F767" s="1164"/>
      <c r="G767" s="1026"/>
      <c r="H767" s="411" t="str">
        <f>IFERROR(INDEX(绊状态确认!C:C,MATCH($G767,绊状态确认!$B:$B,)),"")</f>
        <v/>
      </c>
      <c r="I767" s="450" t="str">
        <f>IFERROR(INDEX(绊状态确认!D:D,MATCH($G767,绊状态确认!$B:$B,)),"")</f>
        <v/>
      </c>
      <c r="J767" s="450" t="str">
        <f>IFERROR(INDEX(绊状态确认!E:E,MATCH($G767,绊状态确认!$B:$B,)),"")</f>
        <v/>
      </c>
      <c r="K767" s="451" t="str">
        <f>IFERROR(INDEX(绊状态确认!F:F,MATCH($G767,绊状态确认!$B:$B,)),"")</f>
        <v/>
      </c>
      <c r="L767" s="1026"/>
      <c r="M767" s="1165"/>
      <c r="N767" s="1027"/>
      <c r="O767" s="1026"/>
      <c r="P767" s="1028"/>
      <c r="Q767" s="1029"/>
      <c r="R767" s="1166"/>
      <c r="S767" s="1030"/>
      <c r="T767" s="1031"/>
      <c r="U767" s="1032"/>
      <c r="V767" s="1033"/>
      <c r="W767" s="1034"/>
      <c r="X767" s="1166"/>
      <c r="Y767" s="1035"/>
      <c r="Z767" s="1036"/>
      <c r="AA767" s="1037"/>
      <c r="AB767" s="1038"/>
      <c r="AC767" s="1039"/>
      <c r="AD767" s="1040"/>
      <c r="AE767" s="1041"/>
      <c r="AF767" s="521"/>
      <c r="AG767" s="420"/>
      <c r="AH767" s="420"/>
      <c r="AI767" s="420"/>
      <c r="AJ767" s="420"/>
      <c r="AK767" s="518"/>
      <c r="AL767" s="1042"/>
      <c r="AM767" s="1035"/>
      <c r="AN767" s="1043"/>
      <c r="AO767" s="1167"/>
      <c r="AP767" s="1044"/>
      <c r="AQ767" s="1035"/>
      <c r="AR767" s="1035"/>
      <c r="AS767" s="1035"/>
      <c r="AT767" s="1165"/>
      <c r="AU767" s="1031"/>
      <c r="AV767" s="1045"/>
      <c r="AW767" s="1038"/>
      <c r="AX767" s="1035"/>
      <c r="AY767" s="483"/>
      <c r="AZ767" s="429"/>
      <c r="BA767" s="431"/>
      <c r="BB767" s="1035"/>
      <c r="BC767" s="1035"/>
      <c r="BD767" s="481"/>
      <c r="BE767" s="432"/>
      <c r="BF767" s="646"/>
      <c r="BG767" s="1047"/>
      <c r="BH767" s="1046"/>
      <c r="BI767" s="1048"/>
      <c r="BJ767" s="1030"/>
      <c r="BK767" s="1046"/>
      <c r="BL767" s="1048"/>
      <c r="BM767" s="1046"/>
      <c r="BN767" s="1167"/>
      <c r="BO767" s="1035"/>
      <c r="BP767" s="1043"/>
      <c r="BQ767" s="1167"/>
      <c r="BR767" s="1165"/>
      <c r="BS767" s="1031"/>
      <c r="BT767" s="1038"/>
      <c r="BU767" s="1035"/>
      <c r="BV767" s="1035"/>
      <c r="BW767" s="1049"/>
      <c r="BX767" s="1043"/>
      <c r="BY767" s="1046"/>
      <c r="BZ767" s="1167"/>
      <c r="CA767" s="1165"/>
      <c r="CB767" s="1031"/>
      <c r="CC767" s="1038"/>
      <c r="CD767" s="1035"/>
      <c r="CE767" s="1035"/>
      <c r="CF767" s="1049"/>
      <c r="CG767" s="1043"/>
      <c r="CH767" s="1046"/>
      <c r="CI767" s="1167"/>
      <c r="CJ767" s="1168"/>
      <c r="CK767" s="1169"/>
      <c r="CL767" s="1169"/>
      <c r="CM767" s="1166"/>
      <c r="CN767" s="1169"/>
      <c r="CO767" s="1169"/>
      <c r="CP767" s="452"/>
      <c r="CQ767" s="435"/>
      <c r="CR767" s="1117"/>
      <c r="CS767" s="452"/>
      <c r="CT767" s="482"/>
      <c r="CU767" s="476"/>
      <c r="CV767" s="431"/>
      <c r="CW767" s="1108"/>
      <c r="CX767" s="1108"/>
      <c r="CY767" s="483"/>
      <c r="CZ767" s="437"/>
      <c r="DA767" s="438"/>
      <c r="DB767" s="439"/>
      <c r="DC767" s="439"/>
      <c r="DD767" s="443"/>
      <c r="DE767" s="411"/>
      <c r="DF767" s="411"/>
      <c r="DG767" s="1117"/>
      <c r="DH767" s="1117"/>
      <c r="DI767" s="1117"/>
      <c r="DJ767" s="442"/>
      <c r="DK767" s="482"/>
      <c r="DL767" s="1038"/>
      <c r="DM767" s="1035"/>
      <c r="DN767" s="1035"/>
      <c r="DO767" s="1035"/>
      <c r="DP767" s="1046"/>
      <c r="DQ767" s="1167"/>
      <c r="DR767" s="1168"/>
      <c r="DS767" s="1165"/>
      <c r="DT767" s="1165"/>
      <c r="DU767" s="1165"/>
      <c r="DV767" s="1031"/>
      <c r="DW767" s="1098">
        <f t="shared" si="1168"/>
        <v>0</v>
      </c>
      <c r="DX767" s="1098">
        <f t="shared" si="1169"/>
        <v>0</v>
      </c>
      <c r="DY767" s="1030"/>
      <c r="DZ767" s="1030"/>
      <c r="EA767" s="1031"/>
      <c r="EB767" s="1050"/>
      <c r="EC767" s="1038"/>
      <c r="ED767" s="1035"/>
      <c r="EE767" s="1046"/>
      <c r="EF767" s="1169"/>
      <c r="EG767" s="1168"/>
      <c r="EH767" s="1165"/>
      <c r="EI767" s="1165"/>
      <c r="EJ767" s="1165"/>
      <c r="EK767" s="1031"/>
      <c r="EL767" s="1098">
        <f t="shared" si="1170"/>
        <v>0</v>
      </c>
      <c r="EM767" s="1098">
        <f t="shared" si="1171"/>
        <v>0</v>
      </c>
      <c r="EN767" s="1030"/>
      <c r="EO767" s="1030"/>
      <c r="EP767" s="1031"/>
      <c r="EQ767" s="1050"/>
      <c r="ER767" s="1038"/>
      <c r="ES767" s="1035"/>
      <c r="ET767" s="1051"/>
    </row>
    <row r="768" spans="2:150" ht="16.5" customHeight="1">
      <c r="B768" s="1024"/>
      <c r="C768" s="1025"/>
      <c r="D768" s="408">
        <v>765</v>
      </c>
      <c r="E768" s="1164"/>
      <c r="F768" s="1164"/>
      <c r="G768" s="1026"/>
      <c r="H768" s="411" t="str">
        <f>IFERROR(INDEX(绊状态确认!C:C,MATCH($G768,绊状态确认!$B:$B,)),"")</f>
        <v/>
      </c>
      <c r="I768" s="450" t="str">
        <f>IFERROR(INDEX(绊状态确认!D:D,MATCH($G768,绊状态确认!$B:$B,)),"")</f>
        <v/>
      </c>
      <c r="J768" s="450" t="str">
        <f>IFERROR(INDEX(绊状态确认!E:E,MATCH($G768,绊状态确认!$B:$B,)),"")</f>
        <v/>
      </c>
      <c r="K768" s="451" t="str">
        <f>IFERROR(INDEX(绊状态确认!F:F,MATCH($G768,绊状态确认!$B:$B,)),"")</f>
        <v/>
      </c>
      <c r="L768" s="1026"/>
      <c r="M768" s="1165"/>
      <c r="N768" s="1027"/>
      <c r="O768" s="1026"/>
      <c r="P768" s="1028"/>
      <c r="Q768" s="1029"/>
      <c r="R768" s="1166"/>
      <c r="S768" s="1030"/>
      <c r="T768" s="1031"/>
      <c r="U768" s="1032"/>
      <c r="V768" s="1033"/>
      <c r="W768" s="1034"/>
      <c r="X768" s="1166"/>
      <c r="Y768" s="1035"/>
      <c r="Z768" s="1036"/>
      <c r="AA768" s="1037"/>
      <c r="AB768" s="1038"/>
      <c r="AC768" s="1039"/>
      <c r="AD768" s="1040"/>
      <c r="AE768" s="1041"/>
      <c r="AF768" s="521"/>
      <c r="AG768" s="420"/>
      <c r="AH768" s="420"/>
      <c r="AI768" s="420"/>
      <c r="AJ768" s="420"/>
      <c r="AK768" s="518"/>
      <c r="AL768" s="1042"/>
      <c r="AM768" s="1035"/>
      <c r="AN768" s="1043"/>
      <c r="AO768" s="1167"/>
      <c r="AP768" s="1044"/>
      <c r="AQ768" s="1035"/>
      <c r="AR768" s="1035"/>
      <c r="AS768" s="1035"/>
      <c r="AT768" s="1165"/>
      <c r="AU768" s="1031"/>
      <c r="AV768" s="1045"/>
      <c r="AW768" s="1038"/>
      <c r="AX768" s="1035"/>
      <c r="AY768" s="483"/>
      <c r="AZ768" s="429"/>
      <c r="BA768" s="431"/>
      <c r="BB768" s="1035"/>
      <c r="BC768" s="1035"/>
      <c r="BD768" s="481"/>
      <c r="BE768" s="432"/>
      <c r="BF768" s="646"/>
      <c r="BG768" s="1047"/>
      <c r="BH768" s="1046"/>
      <c r="BI768" s="1048"/>
      <c r="BJ768" s="1030"/>
      <c r="BK768" s="1046"/>
      <c r="BL768" s="1048"/>
      <c r="BM768" s="1046"/>
      <c r="BN768" s="1167"/>
      <c r="BO768" s="1035"/>
      <c r="BP768" s="1043"/>
      <c r="BQ768" s="1167"/>
      <c r="BR768" s="1165"/>
      <c r="BS768" s="1031"/>
      <c r="BT768" s="1038"/>
      <c r="BU768" s="1035"/>
      <c r="BV768" s="1035"/>
      <c r="BW768" s="1049"/>
      <c r="BX768" s="1043"/>
      <c r="BY768" s="1046"/>
      <c r="BZ768" s="1167"/>
      <c r="CA768" s="1165"/>
      <c r="CB768" s="1031"/>
      <c r="CC768" s="1038"/>
      <c r="CD768" s="1035"/>
      <c r="CE768" s="1035"/>
      <c r="CF768" s="1049"/>
      <c r="CG768" s="1043"/>
      <c r="CH768" s="1046"/>
      <c r="CI768" s="1167"/>
      <c r="CJ768" s="1168"/>
      <c r="CK768" s="1169"/>
      <c r="CL768" s="1169"/>
      <c r="CM768" s="1166"/>
      <c r="CN768" s="1169"/>
      <c r="CO768" s="1169"/>
      <c r="CP768" s="452"/>
      <c r="CQ768" s="435"/>
      <c r="CR768" s="1117"/>
      <c r="CS768" s="452"/>
      <c r="CT768" s="482"/>
      <c r="CU768" s="476"/>
      <c r="CV768" s="431"/>
      <c r="CW768" s="1108"/>
      <c r="CX768" s="1108"/>
      <c r="CY768" s="483"/>
      <c r="CZ768" s="437"/>
      <c r="DA768" s="438"/>
      <c r="DB768" s="439"/>
      <c r="DC768" s="439"/>
      <c r="DD768" s="443"/>
      <c r="DE768" s="411"/>
      <c r="DF768" s="411"/>
      <c r="DG768" s="1117"/>
      <c r="DH768" s="1117"/>
      <c r="DI768" s="1117"/>
      <c r="DJ768" s="442"/>
      <c r="DK768" s="482"/>
      <c r="DL768" s="1038"/>
      <c r="DM768" s="1035"/>
      <c r="DN768" s="1035"/>
      <c r="DO768" s="1035"/>
      <c r="DP768" s="1046"/>
      <c r="DQ768" s="1167"/>
      <c r="DR768" s="1168"/>
      <c r="DS768" s="1165"/>
      <c r="DT768" s="1165"/>
      <c r="DU768" s="1165"/>
      <c r="DV768" s="1031"/>
      <c r="DW768" s="1098">
        <f t="shared" si="1168"/>
        <v>0</v>
      </c>
      <c r="DX768" s="1098">
        <f t="shared" si="1169"/>
        <v>0</v>
      </c>
      <c r="DY768" s="1030"/>
      <c r="DZ768" s="1030"/>
      <c r="EA768" s="1031"/>
      <c r="EB768" s="1050"/>
      <c r="EC768" s="1038"/>
      <c r="ED768" s="1035"/>
      <c r="EE768" s="1046"/>
      <c r="EF768" s="1169"/>
      <c r="EG768" s="1168"/>
      <c r="EH768" s="1165"/>
      <c r="EI768" s="1165"/>
      <c r="EJ768" s="1165"/>
      <c r="EK768" s="1031"/>
      <c r="EL768" s="1098">
        <f t="shared" si="1170"/>
        <v>0</v>
      </c>
      <c r="EM768" s="1098">
        <f t="shared" si="1171"/>
        <v>0</v>
      </c>
      <c r="EN768" s="1030"/>
      <c r="EO768" s="1030"/>
      <c r="EP768" s="1031"/>
      <c r="EQ768" s="1050"/>
      <c r="ER768" s="1038"/>
      <c r="ES768" s="1035"/>
      <c r="ET768" s="1051"/>
    </row>
    <row r="769" spans="2:150" ht="16.5" customHeight="1">
      <c r="B769" s="1024"/>
      <c r="C769" s="1025"/>
      <c r="D769" s="408">
        <v>766</v>
      </c>
      <c r="E769" s="1164"/>
      <c r="F769" s="1164"/>
      <c r="G769" s="1026"/>
      <c r="H769" s="411" t="str">
        <f>IFERROR(INDEX(绊状态确认!C:C,MATCH($G769,绊状态确认!$B:$B,)),"")</f>
        <v/>
      </c>
      <c r="I769" s="450" t="str">
        <f>IFERROR(INDEX(绊状态确认!D:D,MATCH($G769,绊状态确认!$B:$B,)),"")</f>
        <v/>
      </c>
      <c r="J769" s="450" t="str">
        <f>IFERROR(INDEX(绊状态确认!E:E,MATCH($G769,绊状态确认!$B:$B,)),"")</f>
        <v/>
      </c>
      <c r="K769" s="451" t="str">
        <f>IFERROR(INDEX(绊状态确认!F:F,MATCH($G769,绊状态确认!$B:$B,)),"")</f>
        <v/>
      </c>
      <c r="L769" s="1026"/>
      <c r="M769" s="1165"/>
      <c r="N769" s="1027"/>
      <c r="O769" s="1026"/>
      <c r="P769" s="1028"/>
      <c r="Q769" s="1029"/>
      <c r="R769" s="1166"/>
      <c r="S769" s="1030"/>
      <c r="T769" s="1031"/>
      <c r="U769" s="1032"/>
      <c r="V769" s="1033"/>
      <c r="W769" s="1034"/>
      <c r="X769" s="1166"/>
      <c r="Y769" s="1035"/>
      <c r="Z769" s="1036"/>
      <c r="AA769" s="1037"/>
      <c r="AB769" s="1038"/>
      <c r="AC769" s="1039"/>
      <c r="AD769" s="1040"/>
      <c r="AE769" s="1041"/>
      <c r="AF769" s="521"/>
      <c r="AG769" s="420"/>
      <c r="AH769" s="420"/>
      <c r="AI769" s="420"/>
      <c r="AJ769" s="420"/>
      <c r="AK769" s="518"/>
      <c r="AL769" s="1042"/>
      <c r="AM769" s="1035"/>
      <c r="AN769" s="1043"/>
      <c r="AO769" s="1167"/>
      <c r="AP769" s="1044"/>
      <c r="AQ769" s="1035"/>
      <c r="AR769" s="1035"/>
      <c r="AS769" s="1035"/>
      <c r="AT769" s="1165"/>
      <c r="AU769" s="1031"/>
      <c r="AV769" s="1045"/>
      <c r="AW769" s="1038"/>
      <c r="AX769" s="1035"/>
      <c r="AY769" s="483"/>
      <c r="AZ769" s="429"/>
      <c r="BA769" s="431"/>
      <c r="BB769" s="1035"/>
      <c r="BC769" s="1035"/>
      <c r="BD769" s="481"/>
      <c r="BE769" s="432"/>
      <c r="BF769" s="646"/>
      <c r="BG769" s="1047"/>
      <c r="BH769" s="1046"/>
      <c r="BI769" s="1048"/>
      <c r="BJ769" s="1030"/>
      <c r="BK769" s="1046"/>
      <c r="BL769" s="1048"/>
      <c r="BM769" s="1046"/>
      <c r="BN769" s="1167"/>
      <c r="BO769" s="1035"/>
      <c r="BP769" s="1043"/>
      <c r="BQ769" s="1167"/>
      <c r="BR769" s="1165"/>
      <c r="BS769" s="1031"/>
      <c r="BT769" s="1038"/>
      <c r="BU769" s="1035"/>
      <c r="BV769" s="1035"/>
      <c r="BW769" s="1049"/>
      <c r="BX769" s="1043"/>
      <c r="BY769" s="1046"/>
      <c r="BZ769" s="1167"/>
      <c r="CA769" s="1165"/>
      <c r="CB769" s="1031"/>
      <c r="CC769" s="1038"/>
      <c r="CD769" s="1035"/>
      <c r="CE769" s="1035"/>
      <c r="CF769" s="1049"/>
      <c r="CG769" s="1043"/>
      <c r="CH769" s="1046"/>
      <c r="CI769" s="1167"/>
      <c r="CJ769" s="1168"/>
      <c r="CK769" s="1169"/>
      <c r="CL769" s="1169"/>
      <c r="CM769" s="1166"/>
      <c r="CN769" s="1169"/>
      <c r="CO769" s="1169"/>
      <c r="CP769" s="452"/>
      <c r="CQ769" s="435"/>
      <c r="CR769" s="441"/>
      <c r="CS769" s="452"/>
      <c r="CT769" s="482"/>
      <c r="CU769" s="476"/>
      <c r="CV769" s="431"/>
      <c r="CW769" s="1108"/>
      <c r="CX769" s="1108"/>
      <c r="CY769" s="483"/>
      <c r="CZ769" s="437"/>
      <c r="DA769" s="438"/>
      <c r="DB769" s="439"/>
      <c r="DC769" s="439"/>
      <c r="DD769" s="443"/>
      <c r="DE769" s="411"/>
      <c r="DF769" s="411"/>
      <c r="DG769" s="1117"/>
      <c r="DH769" s="1117"/>
      <c r="DI769" s="1117"/>
      <c r="DJ769" s="442"/>
      <c r="DK769" s="482"/>
      <c r="DL769" s="1038"/>
      <c r="DM769" s="1035"/>
      <c r="DN769" s="1035"/>
      <c r="DO769" s="1035"/>
      <c r="DP769" s="1046"/>
      <c r="DQ769" s="1167"/>
      <c r="DR769" s="1168"/>
      <c r="DS769" s="1165"/>
      <c r="DT769" s="1165"/>
      <c r="DU769" s="1165"/>
      <c r="DV769" s="1031"/>
      <c r="DW769" s="1098">
        <f t="shared" si="1168"/>
        <v>0</v>
      </c>
      <c r="DX769" s="1098">
        <f t="shared" si="1169"/>
        <v>0</v>
      </c>
      <c r="DY769" s="1030"/>
      <c r="DZ769" s="1030"/>
      <c r="EA769" s="1031"/>
      <c r="EB769" s="1050"/>
      <c r="EC769" s="1038"/>
      <c r="ED769" s="1035"/>
      <c r="EE769" s="1046"/>
      <c r="EF769" s="1169"/>
      <c r="EG769" s="1168"/>
      <c r="EH769" s="1165"/>
      <c r="EI769" s="1165"/>
      <c r="EJ769" s="1165"/>
      <c r="EK769" s="1031"/>
      <c r="EL769" s="1098">
        <f t="shared" si="1170"/>
        <v>0</v>
      </c>
      <c r="EM769" s="1098">
        <f t="shared" si="1171"/>
        <v>0</v>
      </c>
      <c r="EN769" s="1030"/>
      <c r="EO769" s="1030"/>
      <c r="EP769" s="1031"/>
      <c r="EQ769" s="1050"/>
      <c r="ER769" s="1038"/>
      <c r="ES769" s="1035"/>
      <c r="ET769" s="1051"/>
    </row>
    <row r="770" spans="2:150" ht="16.5" customHeight="1">
      <c r="B770" s="1024"/>
      <c r="C770" s="1025"/>
      <c r="D770" s="408">
        <v>767</v>
      </c>
      <c r="E770" s="1164"/>
      <c r="F770" s="1164"/>
      <c r="G770" s="1026"/>
      <c r="H770" s="411" t="str">
        <f>IFERROR(INDEX(绊状态确认!C:C,MATCH($G770,绊状态确认!$B:$B,)),"")</f>
        <v/>
      </c>
      <c r="I770" s="450" t="str">
        <f>IFERROR(INDEX(绊状态确认!D:D,MATCH($G770,绊状态确认!$B:$B,)),"")</f>
        <v/>
      </c>
      <c r="J770" s="450" t="str">
        <f>IFERROR(INDEX(绊状态确认!E:E,MATCH($G770,绊状态确认!$B:$B,)),"")</f>
        <v/>
      </c>
      <c r="K770" s="451" t="str">
        <f>IFERROR(INDEX(绊状态确认!F:F,MATCH($G770,绊状态确认!$B:$B,)),"")</f>
        <v/>
      </c>
      <c r="L770" s="1026"/>
      <c r="M770" s="1165"/>
      <c r="N770" s="1027"/>
      <c r="O770" s="1026"/>
      <c r="P770" s="1028"/>
      <c r="Q770" s="1029"/>
      <c r="R770" s="1166"/>
      <c r="S770" s="1030"/>
      <c r="T770" s="1031"/>
      <c r="U770" s="1032"/>
      <c r="V770" s="1033"/>
      <c r="W770" s="1034"/>
      <c r="X770" s="1166"/>
      <c r="Y770" s="1035"/>
      <c r="Z770" s="1036"/>
      <c r="AA770" s="1037"/>
      <c r="AB770" s="1038"/>
      <c r="AC770" s="1039"/>
      <c r="AD770" s="1040"/>
      <c r="AE770" s="1041"/>
      <c r="AF770" s="521"/>
      <c r="AG770" s="420"/>
      <c r="AH770" s="420"/>
      <c r="AI770" s="420"/>
      <c r="AJ770" s="420"/>
      <c r="AK770" s="518"/>
      <c r="AL770" s="1042"/>
      <c r="AM770" s="1035"/>
      <c r="AN770" s="1043"/>
      <c r="AO770" s="1167"/>
      <c r="AP770" s="1044"/>
      <c r="AQ770" s="1035"/>
      <c r="AR770" s="1035"/>
      <c r="AS770" s="1035"/>
      <c r="AT770" s="1165"/>
      <c r="AU770" s="1031"/>
      <c r="AV770" s="1045"/>
      <c r="AW770" s="1038"/>
      <c r="AX770" s="1035"/>
      <c r="AY770" s="483"/>
      <c r="AZ770" s="429"/>
      <c r="BA770" s="431"/>
      <c r="BB770" s="1035"/>
      <c r="BC770" s="1035"/>
      <c r="BD770" s="481"/>
      <c r="BE770" s="432"/>
      <c r="BF770" s="646"/>
      <c r="BG770" s="1047"/>
      <c r="BH770" s="1046"/>
      <c r="BI770" s="1048"/>
      <c r="BJ770" s="1030"/>
      <c r="BK770" s="1046"/>
      <c r="BL770" s="1048"/>
      <c r="BM770" s="1046"/>
      <c r="BN770" s="1167"/>
      <c r="BO770" s="1035"/>
      <c r="BP770" s="1043"/>
      <c r="BQ770" s="1167"/>
      <c r="BR770" s="1165"/>
      <c r="BS770" s="1031"/>
      <c r="BT770" s="1038"/>
      <c r="BU770" s="1035"/>
      <c r="BV770" s="1035"/>
      <c r="BW770" s="1049"/>
      <c r="BX770" s="1043"/>
      <c r="BY770" s="1046"/>
      <c r="BZ770" s="1167"/>
      <c r="CA770" s="1165"/>
      <c r="CB770" s="1031"/>
      <c r="CC770" s="1038"/>
      <c r="CD770" s="1035"/>
      <c r="CE770" s="1035"/>
      <c r="CF770" s="1049"/>
      <c r="CG770" s="1043"/>
      <c r="CH770" s="1046"/>
      <c r="CI770" s="1167"/>
      <c r="CJ770" s="1168"/>
      <c r="CK770" s="1169"/>
      <c r="CL770" s="1169"/>
      <c r="CM770" s="1166"/>
      <c r="CN770" s="1169"/>
      <c r="CO770" s="1169"/>
      <c r="CP770" s="452"/>
      <c r="CQ770" s="435"/>
      <c r="CR770" s="1117"/>
      <c r="CS770" s="452"/>
      <c r="CT770" s="482"/>
      <c r="CU770" s="476"/>
      <c r="CV770" s="431"/>
      <c r="CW770" s="1108"/>
      <c r="CX770" s="1108"/>
      <c r="CY770" s="483"/>
      <c r="CZ770" s="437"/>
      <c r="DA770" s="438"/>
      <c r="DB770" s="439"/>
      <c r="DC770" s="439"/>
      <c r="DD770" s="443"/>
      <c r="DE770" s="411"/>
      <c r="DF770" s="411"/>
      <c r="DG770" s="1117"/>
      <c r="DH770" s="1117"/>
      <c r="DI770" s="1117"/>
      <c r="DJ770" s="442"/>
      <c r="DK770" s="482"/>
      <c r="DL770" s="1038"/>
      <c r="DM770" s="1035"/>
      <c r="DN770" s="1035"/>
      <c r="DO770" s="1035"/>
      <c r="DP770" s="1046"/>
      <c r="DQ770" s="1167"/>
      <c r="DR770" s="1168"/>
      <c r="DS770" s="1165"/>
      <c r="DT770" s="1165"/>
      <c r="DU770" s="1165"/>
      <c r="DV770" s="1031"/>
      <c r="DW770" s="1098">
        <f t="shared" si="1168"/>
        <v>0</v>
      </c>
      <c r="DX770" s="1098">
        <f t="shared" si="1169"/>
        <v>0</v>
      </c>
      <c r="DY770" s="1030"/>
      <c r="DZ770" s="1030"/>
      <c r="EA770" s="1031"/>
      <c r="EB770" s="1050"/>
      <c r="EC770" s="1038"/>
      <c r="ED770" s="1035"/>
      <c r="EE770" s="1046"/>
      <c r="EF770" s="1169"/>
      <c r="EG770" s="1168"/>
      <c r="EH770" s="1165"/>
      <c r="EI770" s="1165"/>
      <c r="EJ770" s="1165"/>
      <c r="EK770" s="1031"/>
      <c r="EL770" s="1098">
        <f t="shared" si="1170"/>
        <v>0</v>
      </c>
      <c r="EM770" s="1098">
        <f t="shared" si="1171"/>
        <v>0</v>
      </c>
      <c r="EN770" s="1030"/>
      <c r="EO770" s="1030"/>
      <c r="EP770" s="1031"/>
      <c r="EQ770" s="1050"/>
      <c r="ER770" s="1038"/>
      <c r="ES770" s="1035"/>
      <c r="ET770" s="1051"/>
    </row>
    <row r="771" spans="2:150" ht="16.5" customHeight="1">
      <c r="B771" s="1024"/>
      <c r="C771" s="1025"/>
      <c r="D771" s="408">
        <v>768</v>
      </c>
      <c r="E771" s="1164"/>
      <c r="F771" s="1164"/>
      <c r="G771" s="1026"/>
      <c r="H771" s="411" t="str">
        <f>IFERROR(INDEX(绊状态确认!C:C,MATCH($G771,绊状态确认!$B:$B,)),"")</f>
        <v/>
      </c>
      <c r="I771" s="450" t="str">
        <f>IFERROR(INDEX(绊状态确认!D:D,MATCH($G771,绊状态确认!$B:$B,)),"")</f>
        <v/>
      </c>
      <c r="J771" s="450" t="str">
        <f>IFERROR(INDEX(绊状态确认!E:E,MATCH($G771,绊状态确认!$B:$B,)),"")</f>
        <v/>
      </c>
      <c r="K771" s="451" t="str">
        <f>IFERROR(INDEX(绊状态确认!F:F,MATCH($G771,绊状态确认!$B:$B,)),"")</f>
        <v/>
      </c>
      <c r="L771" s="1026"/>
      <c r="M771" s="1165"/>
      <c r="N771" s="1027"/>
      <c r="O771" s="1026"/>
      <c r="P771" s="1028"/>
      <c r="Q771" s="1029"/>
      <c r="R771" s="1166"/>
      <c r="S771" s="1030"/>
      <c r="T771" s="1031"/>
      <c r="U771" s="1032"/>
      <c r="V771" s="1033"/>
      <c r="W771" s="1034"/>
      <c r="X771" s="1166"/>
      <c r="Y771" s="1035"/>
      <c r="Z771" s="1036"/>
      <c r="AA771" s="1037"/>
      <c r="AB771" s="1038"/>
      <c r="AC771" s="1039"/>
      <c r="AD771" s="1040"/>
      <c r="AE771" s="1041"/>
      <c r="AF771" s="521"/>
      <c r="AG771" s="420"/>
      <c r="AH771" s="420"/>
      <c r="AI771" s="420"/>
      <c r="AJ771" s="420"/>
      <c r="AK771" s="518"/>
      <c r="AL771" s="1042"/>
      <c r="AM771" s="1035"/>
      <c r="AN771" s="1043"/>
      <c r="AO771" s="1167"/>
      <c r="AP771" s="1044"/>
      <c r="AQ771" s="1035"/>
      <c r="AR771" s="1035"/>
      <c r="AS771" s="1035"/>
      <c r="AT771" s="1165"/>
      <c r="AU771" s="1031"/>
      <c r="AV771" s="1045"/>
      <c r="AW771" s="1038"/>
      <c r="AX771" s="1035"/>
      <c r="AY771" s="483"/>
      <c r="AZ771" s="429"/>
      <c r="BA771" s="431"/>
      <c r="BB771" s="1035"/>
      <c r="BC771" s="1035"/>
      <c r="BD771" s="481"/>
      <c r="BE771" s="432"/>
      <c r="BF771" s="646"/>
      <c r="BG771" s="1047"/>
      <c r="BH771" s="1046"/>
      <c r="BI771" s="1048"/>
      <c r="BJ771" s="1030"/>
      <c r="BK771" s="1046"/>
      <c r="BL771" s="1048"/>
      <c r="BM771" s="1046"/>
      <c r="BN771" s="1167"/>
      <c r="BO771" s="1035"/>
      <c r="BP771" s="1043"/>
      <c r="BQ771" s="1167"/>
      <c r="BR771" s="1165"/>
      <c r="BS771" s="1031"/>
      <c r="BT771" s="1038"/>
      <c r="BU771" s="1035"/>
      <c r="BV771" s="1035"/>
      <c r="BW771" s="1049"/>
      <c r="BX771" s="1043"/>
      <c r="BY771" s="1046"/>
      <c r="BZ771" s="1167"/>
      <c r="CA771" s="1165"/>
      <c r="CB771" s="1031"/>
      <c r="CC771" s="1038"/>
      <c r="CD771" s="1035"/>
      <c r="CE771" s="1035"/>
      <c r="CF771" s="1049"/>
      <c r="CG771" s="1043"/>
      <c r="CH771" s="1046"/>
      <c r="CI771" s="1167"/>
      <c r="CJ771" s="1168"/>
      <c r="CK771" s="1169"/>
      <c r="CL771" s="1169"/>
      <c r="CM771" s="1166"/>
      <c r="CN771" s="1169"/>
      <c r="CO771" s="1169"/>
      <c r="CP771" s="452"/>
      <c r="CQ771" s="435"/>
      <c r="CR771" s="1117"/>
      <c r="CS771" s="452"/>
      <c r="CT771" s="482"/>
      <c r="CU771" s="476"/>
      <c r="CV771" s="431"/>
      <c r="CW771" s="1108"/>
      <c r="CX771" s="1108"/>
      <c r="CY771" s="483"/>
      <c r="CZ771" s="437"/>
      <c r="DA771" s="438"/>
      <c r="DB771" s="439"/>
      <c r="DC771" s="439"/>
      <c r="DD771" s="443"/>
      <c r="DE771" s="411"/>
      <c r="DF771" s="411"/>
      <c r="DG771" s="1117"/>
      <c r="DH771" s="1117"/>
      <c r="DI771" s="1117"/>
      <c r="DJ771" s="442"/>
      <c r="DK771" s="482"/>
      <c r="DL771" s="1038"/>
      <c r="DM771" s="1035"/>
      <c r="DN771" s="1035"/>
      <c r="DO771" s="1035"/>
      <c r="DP771" s="1046"/>
      <c r="DQ771" s="1167"/>
      <c r="DR771" s="1168"/>
      <c r="DS771" s="1165"/>
      <c r="DT771" s="1165"/>
      <c r="DU771" s="1165"/>
      <c r="DV771" s="1031"/>
      <c r="DW771" s="1098">
        <f t="shared" si="1168"/>
        <v>0</v>
      </c>
      <c r="DX771" s="1098">
        <f t="shared" si="1169"/>
        <v>0</v>
      </c>
      <c r="DY771" s="1030"/>
      <c r="DZ771" s="1030"/>
      <c r="EA771" s="1031"/>
      <c r="EB771" s="1050"/>
      <c r="EC771" s="1038"/>
      <c r="ED771" s="1035"/>
      <c r="EE771" s="1046"/>
      <c r="EF771" s="1169"/>
      <c r="EG771" s="1168"/>
      <c r="EH771" s="1165"/>
      <c r="EI771" s="1165"/>
      <c r="EJ771" s="1165"/>
      <c r="EK771" s="1031"/>
      <c r="EL771" s="1098">
        <f t="shared" si="1170"/>
        <v>0</v>
      </c>
      <c r="EM771" s="1098">
        <f t="shared" si="1171"/>
        <v>0</v>
      </c>
      <c r="EN771" s="1030"/>
      <c r="EO771" s="1030"/>
      <c r="EP771" s="1031"/>
      <c r="EQ771" s="1050"/>
      <c r="ER771" s="1038"/>
      <c r="ES771" s="1035"/>
      <c r="ET771" s="1051"/>
    </row>
    <row r="772" spans="2:150" ht="16.5" customHeight="1">
      <c r="B772" s="1024"/>
      <c r="C772" s="1025"/>
      <c r="D772" s="408">
        <v>769</v>
      </c>
      <c r="E772" s="1164"/>
      <c r="F772" s="1164"/>
      <c r="G772" s="1026"/>
      <c r="H772" s="411" t="str">
        <f>IFERROR(INDEX(绊状态确认!C:C,MATCH($G772,绊状态确认!$B:$B,)),"")</f>
        <v/>
      </c>
      <c r="I772" s="450" t="str">
        <f>IFERROR(INDEX(绊状态确认!D:D,MATCH($G772,绊状态确认!$B:$B,)),"")</f>
        <v/>
      </c>
      <c r="J772" s="450" t="str">
        <f>IFERROR(INDEX(绊状态确认!E:E,MATCH($G772,绊状态确认!$B:$B,)),"")</f>
        <v/>
      </c>
      <c r="K772" s="451" t="str">
        <f>IFERROR(INDEX(绊状态确认!F:F,MATCH($G772,绊状态确认!$B:$B,)),"")</f>
        <v/>
      </c>
      <c r="L772" s="1026"/>
      <c r="M772" s="1165"/>
      <c r="N772" s="1027"/>
      <c r="O772" s="1026"/>
      <c r="P772" s="1028"/>
      <c r="Q772" s="1029"/>
      <c r="R772" s="1166"/>
      <c r="S772" s="1030"/>
      <c r="T772" s="1031"/>
      <c r="U772" s="1032"/>
      <c r="V772" s="1033"/>
      <c r="W772" s="1034"/>
      <c r="X772" s="1166"/>
      <c r="Y772" s="1035"/>
      <c r="Z772" s="1036"/>
      <c r="AA772" s="1037"/>
      <c r="AB772" s="1038"/>
      <c r="AC772" s="1039"/>
      <c r="AD772" s="1040"/>
      <c r="AE772" s="1041"/>
      <c r="AF772" s="521"/>
      <c r="AG772" s="420"/>
      <c r="AH772" s="420"/>
      <c r="AI772" s="420"/>
      <c r="AJ772" s="420"/>
      <c r="AK772" s="518"/>
      <c r="AL772" s="1042"/>
      <c r="AM772" s="1035"/>
      <c r="AN772" s="1043"/>
      <c r="AO772" s="1167"/>
      <c r="AP772" s="1044"/>
      <c r="AQ772" s="1035"/>
      <c r="AR772" s="1035"/>
      <c r="AS772" s="1035"/>
      <c r="AT772" s="1165"/>
      <c r="AU772" s="1031"/>
      <c r="AV772" s="1045"/>
      <c r="AW772" s="1038"/>
      <c r="AX772" s="1035"/>
      <c r="AY772" s="483"/>
      <c r="AZ772" s="429"/>
      <c r="BA772" s="431"/>
      <c r="BB772" s="1035"/>
      <c r="BC772" s="1035"/>
      <c r="BD772" s="481"/>
      <c r="BE772" s="432"/>
      <c r="BF772" s="646"/>
      <c r="BG772" s="1047"/>
      <c r="BH772" s="1046"/>
      <c r="BI772" s="1048"/>
      <c r="BJ772" s="1030"/>
      <c r="BK772" s="1046"/>
      <c r="BL772" s="1048"/>
      <c r="BM772" s="1046"/>
      <c r="BN772" s="1167"/>
      <c r="BO772" s="1035"/>
      <c r="BP772" s="1043"/>
      <c r="BQ772" s="1167"/>
      <c r="BR772" s="1165"/>
      <c r="BS772" s="1031"/>
      <c r="BT772" s="1038"/>
      <c r="BU772" s="1035"/>
      <c r="BV772" s="1035"/>
      <c r="BW772" s="1049"/>
      <c r="BX772" s="1043"/>
      <c r="BY772" s="1046"/>
      <c r="BZ772" s="1167"/>
      <c r="CA772" s="1165"/>
      <c r="CB772" s="1031"/>
      <c r="CC772" s="1038"/>
      <c r="CD772" s="1035"/>
      <c r="CE772" s="1035"/>
      <c r="CF772" s="1049"/>
      <c r="CG772" s="1043"/>
      <c r="CH772" s="1046"/>
      <c r="CI772" s="1167"/>
      <c r="CJ772" s="1168"/>
      <c r="CK772" s="1169"/>
      <c r="CL772" s="1169"/>
      <c r="CM772" s="1166"/>
      <c r="CN772" s="1169"/>
      <c r="CO772" s="1169"/>
      <c r="CP772" s="452"/>
      <c r="CQ772" s="435"/>
      <c r="CR772" s="1117"/>
      <c r="CS772" s="452"/>
      <c r="CT772" s="482"/>
      <c r="CU772" s="476"/>
      <c r="CV772" s="431"/>
      <c r="CW772" s="1108"/>
      <c r="CX772" s="1108"/>
      <c r="CY772" s="483"/>
      <c r="CZ772" s="437"/>
      <c r="DA772" s="438"/>
      <c r="DB772" s="439"/>
      <c r="DC772" s="439"/>
      <c r="DD772" s="443"/>
      <c r="DE772" s="411"/>
      <c r="DF772" s="411"/>
      <c r="DG772" s="1117"/>
      <c r="DH772" s="1117"/>
      <c r="DI772" s="1117"/>
      <c r="DJ772" s="442"/>
      <c r="DK772" s="482"/>
      <c r="DL772" s="1038"/>
      <c r="DM772" s="1035"/>
      <c r="DN772" s="1035"/>
      <c r="DO772" s="1035"/>
      <c r="DP772" s="1046"/>
      <c r="DQ772" s="1167"/>
      <c r="DR772" s="1168"/>
      <c r="DS772" s="1165"/>
      <c r="DT772" s="1165"/>
      <c r="DU772" s="1165"/>
      <c r="DV772" s="1031"/>
      <c r="DW772" s="1098">
        <f t="shared" ref="DW772:DW835" si="1172">DR772+IF(AND($CK772="技能+",$CL772="自身",DR772=0.11),$CP772*3)</f>
        <v>0</v>
      </c>
      <c r="DX772" s="1098">
        <f t="shared" ref="DX772:DX835" si="1173">DR772+IF(AND($CK772="技能+",$CL772="自身",DR772=0.11),$CQ772*3)</f>
        <v>0</v>
      </c>
      <c r="DY772" s="1030"/>
      <c r="DZ772" s="1030"/>
      <c r="EA772" s="1031"/>
      <c r="EB772" s="1050"/>
      <c r="EC772" s="1038"/>
      <c r="ED772" s="1035"/>
      <c r="EE772" s="1046"/>
      <c r="EF772" s="1169"/>
      <c r="EG772" s="1168"/>
      <c r="EH772" s="1165"/>
      <c r="EI772" s="1165"/>
      <c r="EJ772" s="1165"/>
      <c r="EK772" s="1031"/>
      <c r="EL772" s="1098">
        <f t="shared" ref="EL772:EL835" si="1174">EG772+IF(AND($CK772="技能+",$CL772="自身",EG772=0.11),$CP772*3)</f>
        <v>0</v>
      </c>
      <c r="EM772" s="1098">
        <f t="shared" ref="EM772:EM835" si="1175">EG772+IF(AND($CK772="技能+",$CL772="自身",EG772=0.11),$CQ772*3)</f>
        <v>0</v>
      </c>
      <c r="EN772" s="1030"/>
      <c r="EO772" s="1030"/>
      <c r="EP772" s="1031"/>
      <c r="EQ772" s="1050"/>
      <c r="ER772" s="1038"/>
      <c r="ES772" s="1035"/>
      <c r="ET772" s="1051"/>
    </row>
    <row r="773" spans="2:150" ht="16.5" customHeight="1">
      <c r="B773" s="1024"/>
      <c r="C773" s="1025"/>
      <c r="D773" s="408">
        <v>770</v>
      </c>
      <c r="E773" s="1164"/>
      <c r="F773" s="1164"/>
      <c r="G773" s="1026"/>
      <c r="H773" s="411" t="str">
        <f>IFERROR(INDEX(绊状态确认!C:C,MATCH($G773,绊状态确认!$B:$B,)),"")</f>
        <v/>
      </c>
      <c r="I773" s="450" t="str">
        <f>IFERROR(INDEX(绊状态确认!D:D,MATCH($G773,绊状态确认!$B:$B,)),"")</f>
        <v/>
      </c>
      <c r="J773" s="450" t="str">
        <f>IFERROR(INDEX(绊状态确认!E:E,MATCH($G773,绊状态确认!$B:$B,)),"")</f>
        <v/>
      </c>
      <c r="K773" s="451" t="str">
        <f>IFERROR(INDEX(绊状态确认!F:F,MATCH($G773,绊状态确认!$B:$B,)),"")</f>
        <v/>
      </c>
      <c r="L773" s="1026"/>
      <c r="M773" s="1165"/>
      <c r="N773" s="1027"/>
      <c r="O773" s="1026"/>
      <c r="P773" s="1028"/>
      <c r="Q773" s="1029"/>
      <c r="R773" s="1166"/>
      <c r="S773" s="1030"/>
      <c r="T773" s="1031"/>
      <c r="U773" s="1032"/>
      <c r="V773" s="1033"/>
      <c r="W773" s="1034"/>
      <c r="X773" s="1166"/>
      <c r="Y773" s="1035"/>
      <c r="Z773" s="1036"/>
      <c r="AA773" s="1037"/>
      <c r="AB773" s="1038"/>
      <c r="AC773" s="1039"/>
      <c r="AD773" s="1040"/>
      <c r="AE773" s="1041"/>
      <c r="AF773" s="521"/>
      <c r="AG773" s="420"/>
      <c r="AH773" s="420"/>
      <c r="AI773" s="420"/>
      <c r="AJ773" s="420"/>
      <c r="AK773" s="518"/>
      <c r="AL773" s="1042"/>
      <c r="AM773" s="1035"/>
      <c r="AN773" s="1043"/>
      <c r="AO773" s="1167"/>
      <c r="AP773" s="1044"/>
      <c r="AQ773" s="1035"/>
      <c r="AR773" s="1035"/>
      <c r="AS773" s="1035"/>
      <c r="AT773" s="1165"/>
      <c r="AU773" s="1031"/>
      <c r="AV773" s="1045"/>
      <c r="AW773" s="1038"/>
      <c r="AX773" s="1035"/>
      <c r="AY773" s="483"/>
      <c r="AZ773" s="429"/>
      <c r="BA773" s="431"/>
      <c r="BB773" s="1035"/>
      <c r="BC773" s="1035"/>
      <c r="BD773" s="481"/>
      <c r="BE773" s="432"/>
      <c r="BF773" s="646"/>
      <c r="BG773" s="1047"/>
      <c r="BH773" s="1046"/>
      <c r="BI773" s="1048"/>
      <c r="BJ773" s="1030"/>
      <c r="BK773" s="1046"/>
      <c r="BL773" s="1048"/>
      <c r="BM773" s="1046"/>
      <c r="BN773" s="1167"/>
      <c r="BO773" s="1035"/>
      <c r="BP773" s="1043"/>
      <c r="BQ773" s="1167"/>
      <c r="BR773" s="1165"/>
      <c r="BS773" s="1031"/>
      <c r="BT773" s="1038"/>
      <c r="BU773" s="1035"/>
      <c r="BV773" s="1035"/>
      <c r="BW773" s="1049"/>
      <c r="BX773" s="1043"/>
      <c r="BY773" s="1046"/>
      <c r="BZ773" s="1167"/>
      <c r="CA773" s="1165"/>
      <c r="CB773" s="1031"/>
      <c r="CC773" s="1038"/>
      <c r="CD773" s="1035"/>
      <c r="CE773" s="1035"/>
      <c r="CF773" s="1049"/>
      <c r="CG773" s="1043"/>
      <c r="CH773" s="1046"/>
      <c r="CI773" s="1167"/>
      <c r="CJ773" s="1168"/>
      <c r="CK773" s="1169"/>
      <c r="CL773" s="1169"/>
      <c r="CM773" s="1166"/>
      <c r="CN773" s="1169"/>
      <c r="CO773" s="1169"/>
      <c r="CP773" s="452"/>
      <c r="CQ773" s="435"/>
      <c r="CR773" s="1117"/>
      <c r="CS773" s="452"/>
      <c r="CT773" s="482"/>
      <c r="CU773" s="476"/>
      <c r="CV773" s="431"/>
      <c r="CW773" s="1108"/>
      <c r="CX773" s="1108"/>
      <c r="CY773" s="483"/>
      <c r="CZ773" s="437"/>
      <c r="DA773" s="438"/>
      <c r="DB773" s="439"/>
      <c r="DC773" s="439"/>
      <c r="DD773" s="443"/>
      <c r="DE773" s="411"/>
      <c r="DF773" s="411"/>
      <c r="DG773" s="1117"/>
      <c r="DH773" s="1117"/>
      <c r="DI773" s="1117"/>
      <c r="DJ773" s="442"/>
      <c r="DK773" s="482"/>
      <c r="DL773" s="1038"/>
      <c r="DM773" s="1035"/>
      <c r="DN773" s="1035"/>
      <c r="DO773" s="1035"/>
      <c r="DP773" s="1046"/>
      <c r="DQ773" s="1167"/>
      <c r="DR773" s="1168"/>
      <c r="DS773" s="1165"/>
      <c r="DT773" s="1165"/>
      <c r="DU773" s="1165"/>
      <c r="DV773" s="1031"/>
      <c r="DW773" s="1098">
        <f t="shared" si="1172"/>
        <v>0</v>
      </c>
      <c r="DX773" s="1098">
        <f t="shared" si="1173"/>
        <v>0</v>
      </c>
      <c r="DY773" s="1030"/>
      <c r="DZ773" s="1030"/>
      <c r="EA773" s="1031"/>
      <c r="EB773" s="1050"/>
      <c r="EC773" s="1038"/>
      <c r="ED773" s="1035"/>
      <c r="EE773" s="1046"/>
      <c r="EF773" s="1169"/>
      <c r="EG773" s="1168"/>
      <c r="EH773" s="1165"/>
      <c r="EI773" s="1165"/>
      <c r="EJ773" s="1165"/>
      <c r="EK773" s="1031"/>
      <c r="EL773" s="1098">
        <f t="shared" si="1174"/>
        <v>0</v>
      </c>
      <c r="EM773" s="1098">
        <f t="shared" si="1175"/>
        <v>0</v>
      </c>
      <c r="EN773" s="1030"/>
      <c r="EO773" s="1030"/>
      <c r="EP773" s="1031"/>
      <c r="EQ773" s="1050"/>
      <c r="ER773" s="1038"/>
      <c r="ES773" s="1035"/>
      <c r="ET773" s="1051"/>
    </row>
    <row r="774" spans="2:150" ht="16.5" customHeight="1">
      <c r="B774" s="1024"/>
      <c r="C774" s="1025"/>
      <c r="D774" s="408">
        <v>771</v>
      </c>
      <c r="E774" s="1164"/>
      <c r="F774" s="1164"/>
      <c r="G774" s="1026"/>
      <c r="H774" s="411" t="str">
        <f>IFERROR(INDEX(绊状态确认!C:C,MATCH($G774,绊状态确认!$B:$B,)),"")</f>
        <v/>
      </c>
      <c r="I774" s="450" t="str">
        <f>IFERROR(INDEX(绊状态确认!D:D,MATCH($G774,绊状态确认!$B:$B,)),"")</f>
        <v/>
      </c>
      <c r="J774" s="450" t="str">
        <f>IFERROR(INDEX(绊状态确认!E:E,MATCH($G774,绊状态确认!$B:$B,)),"")</f>
        <v/>
      </c>
      <c r="K774" s="451" t="str">
        <f>IFERROR(INDEX(绊状态确认!F:F,MATCH($G774,绊状态确认!$B:$B,)),"")</f>
        <v/>
      </c>
      <c r="L774" s="1026"/>
      <c r="M774" s="1165"/>
      <c r="N774" s="1027"/>
      <c r="O774" s="1026"/>
      <c r="P774" s="1028"/>
      <c r="Q774" s="1029"/>
      <c r="R774" s="1166"/>
      <c r="S774" s="1030"/>
      <c r="T774" s="1031"/>
      <c r="U774" s="1032"/>
      <c r="V774" s="1033"/>
      <c r="W774" s="1034"/>
      <c r="X774" s="1166"/>
      <c r="Y774" s="1035"/>
      <c r="Z774" s="1036"/>
      <c r="AA774" s="1037"/>
      <c r="AB774" s="1038"/>
      <c r="AC774" s="1039"/>
      <c r="AD774" s="1040"/>
      <c r="AE774" s="1041"/>
      <c r="AF774" s="521"/>
      <c r="AG774" s="420"/>
      <c r="AH774" s="420"/>
      <c r="AI774" s="420"/>
      <c r="AJ774" s="420"/>
      <c r="AK774" s="518"/>
      <c r="AL774" s="1042"/>
      <c r="AM774" s="1035"/>
      <c r="AN774" s="1043"/>
      <c r="AO774" s="1167"/>
      <c r="AP774" s="1044"/>
      <c r="AQ774" s="1035"/>
      <c r="AR774" s="1035"/>
      <c r="AS774" s="1035"/>
      <c r="AT774" s="1165"/>
      <c r="AU774" s="1031"/>
      <c r="AV774" s="1045"/>
      <c r="AW774" s="1038"/>
      <c r="AX774" s="1035"/>
      <c r="AY774" s="483"/>
      <c r="AZ774" s="429"/>
      <c r="BA774" s="431"/>
      <c r="BB774" s="1035"/>
      <c r="BC774" s="1035"/>
      <c r="BD774" s="481"/>
      <c r="BE774" s="432"/>
      <c r="BF774" s="646"/>
      <c r="BG774" s="1047"/>
      <c r="BH774" s="1046"/>
      <c r="BI774" s="1048"/>
      <c r="BJ774" s="1030"/>
      <c r="BK774" s="1046"/>
      <c r="BL774" s="1048"/>
      <c r="BM774" s="1046"/>
      <c r="BN774" s="1167"/>
      <c r="BO774" s="1035"/>
      <c r="BP774" s="1043"/>
      <c r="BQ774" s="1167"/>
      <c r="BR774" s="1165"/>
      <c r="BS774" s="1031"/>
      <c r="BT774" s="1038"/>
      <c r="BU774" s="1035"/>
      <c r="BV774" s="1035"/>
      <c r="BW774" s="1049"/>
      <c r="BX774" s="1043"/>
      <c r="BY774" s="1046"/>
      <c r="BZ774" s="1167"/>
      <c r="CA774" s="1165"/>
      <c r="CB774" s="1031"/>
      <c r="CC774" s="1038"/>
      <c r="CD774" s="1035"/>
      <c r="CE774" s="1035"/>
      <c r="CF774" s="1049"/>
      <c r="CG774" s="1043"/>
      <c r="CH774" s="1046"/>
      <c r="CI774" s="1167"/>
      <c r="CJ774" s="1168"/>
      <c r="CK774" s="1169"/>
      <c r="CL774" s="1169"/>
      <c r="CM774" s="1166"/>
      <c r="CN774" s="1169"/>
      <c r="CO774" s="1169"/>
      <c r="CP774" s="452"/>
      <c r="CQ774" s="435"/>
      <c r="CR774" s="1117"/>
      <c r="CS774" s="452"/>
      <c r="CT774" s="482"/>
      <c r="CU774" s="476"/>
      <c r="CV774" s="431"/>
      <c r="CW774" s="1108"/>
      <c r="CX774" s="1108"/>
      <c r="CY774" s="483"/>
      <c r="CZ774" s="437"/>
      <c r="DA774" s="438"/>
      <c r="DB774" s="439"/>
      <c r="DC774" s="439"/>
      <c r="DD774" s="443"/>
      <c r="DE774" s="411"/>
      <c r="DF774" s="411"/>
      <c r="DG774" s="1117"/>
      <c r="DH774" s="1117"/>
      <c r="DI774" s="1117"/>
      <c r="DJ774" s="442"/>
      <c r="DK774" s="482"/>
      <c r="DL774" s="1038"/>
      <c r="DM774" s="1035"/>
      <c r="DN774" s="1035"/>
      <c r="DO774" s="1035"/>
      <c r="DP774" s="1046"/>
      <c r="DQ774" s="1167"/>
      <c r="DR774" s="1168"/>
      <c r="DS774" s="1165"/>
      <c r="DT774" s="1165"/>
      <c r="DU774" s="1165"/>
      <c r="DV774" s="1031"/>
      <c r="DW774" s="1098">
        <f t="shared" si="1172"/>
        <v>0</v>
      </c>
      <c r="DX774" s="1098">
        <f t="shared" si="1173"/>
        <v>0</v>
      </c>
      <c r="DY774" s="1030"/>
      <c r="DZ774" s="1030"/>
      <c r="EA774" s="1031"/>
      <c r="EB774" s="1050"/>
      <c r="EC774" s="1038"/>
      <c r="ED774" s="1035"/>
      <c r="EE774" s="1046"/>
      <c r="EF774" s="1169"/>
      <c r="EG774" s="1168"/>
      <c r="EH774" s="1165"/>
      <c r="EI774" s="1165"/>
      <c r="EJ774" s="1165"/>
      <c r="EK774" s="1031"/>
      <c r="EL774" s="1098">
        <f t="shared" si="1174"/>
        <v>0</v>
      </c>
      <c r="EM774" s="1098">
        <f t="shared" si="1175"/>
        <v>0</v>
      </c>
      <c r="EN774" s="1030"/>
      <c r="EO774" s="1030"/>
      <c r="EP774" s="1031"/>
      <c r="EQ774" s="1050"/>
      <c r="ER774" s="1038"/>
      <c r="ES774" s="1035"/>
      <c r="ET774" s="1051"/>
    </row>
    <row r="775" spans="2:150" ht="16.5" customHeight="1">
      <c r="B775" s="1024"/>
      <c r="C775" s="1025"/>
      <c r="D775" s="408">
        <v>772</v>
      </c>
      <c r="E775" s="1164"/>
      <c r="F775" s="1164"/>
      <c r="G775" s="1026"/>
      <c r="H775" s="411" t="str">
        <f>IFERROR(INDEX(绊状态确认!C:C,MATCH($G775,绊状态确认!$B:$B,)),"")</f>
        <v/>
      </c>
      <c r="I775" s="450" t="str">
        <f>IFERROR(INDEX(绊状态确认!D:D,MATCH($G775,绊状态确认!$B:$B,)),"")</f>
        <v/>
      </c>
      <c r="J775" s="450" t="str">
        <f>IFERROR(INDEX(绊状态确认!E:E,MATCH($G775,绊状态确认!$B:$B,)),"")</f>
        <v/>
      </c>
      <c r="K775" s="451" t="str">
        <f>IFERROR(INDEX(绊状态确认!F:F,MATCH($G775,绊状态确认!$B:$B,)),"")</f>
        <v/>
      </c>
      <c r="L775" s="1026"/>
      <c r="M775" s="1165"/>
      <c r="N775" s="1027"/>
      <c r="O775" s="1026"/>
      <c r="P775" s="1028"/>
      <c r="Q775" s="1029"/>
      <c r="R775" s="1166"/>
      <c r="S775" s="1030"/>
      <c r="T775" s="1031"/>
      <c r="U775" s="1032"/>
      <c r="V775" s="1033"/>
      <c r="W775" s="1034"/>
      <c r="X775" s="1166"/>
      <c r="Y775" s="1035"/>
      <c r="Z775" s="1036"/>
      <c r="AA775" s="1037"/>
      <c r="AB775" s="1038"/>
      <c r="AC775" s="1039"/>
      <c r="AD775" s="1040"/>
      <c r="AE775" s="1041"/>
      <c r="AF775" s="521"/>
      <c r="AG775" s="420"/>
      <c r="AH775" s="420"/>
      <c r="AI775" s="420"/>
      <c r="AJ775" s="420"/>
      <c r="AK775" s="518"/>
      <c r="AL775" s="1042"/>
      <c r="AM775" s="1035"/>
      <c r="AN775" s="1043"/>
      <c r="AO775" s="1167"/>
      <c r="AP775" s="1044"/>
      <c r="AQ775" s="1035"/>
      <c r="AR775" s="1035"/>
      <c r="AS775" s="1035"/>
      <c r="AT775" s="1165"/>
      <c r="AU775" s="1031"/>
      <c r="AV775" s="1045"/>
      <c r="AW775" s="1038"/>
      <c r="AX775" s="1035"/>
      <c r="AY775" s="483"/>
      <c r="AZ775" s="429"/>
      <c r="BA775" s="431"/>
      <c r="BB775" s="1035"/>
      <c r="BC775" s="1035"/>
      <c r="BD775" s="481"/>
      <c r="BE775" s="432"/>
      <c r="BF775" s="646"/>
      <c r="BG775" s="1047"/>
      <c r="BH775" s="1046"/>
      <c r="BI775" s="1048"/>
      <c r="BJ775" s="1030"/>
      <c r="BK775" s="1046"/>
      <c r="BL775" s="1048"/>
      <c r="BM775" s="1046"/>
      <c r="BN775" s="1167"/>
      <c r="BO775" s="1035"/>
      <c r="BP775" s="1043"/>
      <c r="BQ775" s="1167"/>
      <c r="BR775" s="1165"/>
      <c r="BS775" s="1031"/>
      <c r="BT775" s="1038"/>
      <c r="BU775" s="1035"/>
      <c r="BV775" s="1035"/>
      <c r="BW775" s="1049"/>
      <c r="BX775" s="1043"/>
      <c r="BY775" s="1046"/>
      <c r="BZ775" s="1167"/>
      <c r="CA775" s="1165"/>
      <c r="CB775" s="1031"/>
      <c r="CC775" s="1038"/>
      <c r="CD775" s="1035"/>
      <c r="CE775" s="1035"/>
      <c r="CF775" s="1049"/>
      <c r="CG775" s="1043"/>
      <c r="CH775" s="1046"/>
      <c r="CI775" s="1167"/>
      <c r="CJ775" s="1168"/>
      <c r="CK775" s="1169"/>
      <c r="CL775" s="1169"/>
      <c r="CM775" s="1166"/>
      <c r="CN775" s="1169"/>
      <c r="CO775" s="1169"/>
      <c r="CP775" s="452"/>
      <c r="CQ775" s="435"/>
      <c r="CR775" s="1117"/>
      <c r="CS775" s="452"/>
      <c r="CT775" s="482"/>
      <c r="CU775" s="476"/>
      <c r="CV775" s="431"/>
      <c r="CW775" s="1108"/>
      <c r="CX775" s="1108"/>
      <c r="CY775" s="483"/>
      <c r="CZ775" s="437"/>
      <c r="DA775" s="438"/>
      <c r="DB775" s="439"/>
      <c r="DC775" s="439"/>
      <c r="DD775" s="443"/>
      <c r="DE775" s="411"/>
      <c r="DF775" s="411"/>
      <c r="DG775" s="1117"/>
      <c r="DH775" s="1117"/>
      <c r="DI775" s="1117"/>
      <c r="DJ775" s="442"/>
      <c r="DK775" s="482"/>
      <c r="DL775" s="1038"/>
      <c r="DM775" s="1035"/>
      <c r="DN775" s="1035"/>
      <c r="DO775" s="1035"/>
      <c r="DP775" s="1046"/>
      <c r="DQ775" s="1167"/>
      <c r="DR775" s="1168"/>
      <c r="DS775" s="1165"/>
      <c r="DT775" s="1165"/>
      <c r="DU775" s="1165"/>
      <c r="DV775" s="1031"/>
      <c r="DW775" s="1098">
        <f t="shared" si="1172"/>
        <v>0</v>
      </c>
      <c r="DX775" s="1098">
        <f t="shared" si="1173"/>
        <v>0</v>
      </c>
      <c r="DY775" s="1030"/>
      <c r="DZ775" s="1030"/>
      <c r="EA775" s="1031"/>
      <c r="EB775" s="1050"/>
      <c r="EC775" s="1038"/>
      <c r="ED775" s="1035"/>
      <c r="EE775" s="1046"/>
      <c r="EF775" s="1169"/>
      <c r="EG775" s="1168"/>
      <c r="EH775" s="1165"/>
      <c r="EI775" s="1165"/>
      <c r="EJ775" s="1165"/>
      <c r="EK775" s="1031"/>
      <c r="EL775" s="1098">
        <f t="shared" si="1174"/>
        <v>0</v>
      </c>
      <c r="EM775" s="1098">
        <f t="shared" si="1175"/>
        <v>0</v>
      </c>
      <c r="EN775" s="1030"/>
      <c r="EO775" s="1030"/>
      <c r="EP775" s="1031"/>
      <c r="EQ775" s="1050"/>
      <c r="ER775" s="1038"/>
      <c r="ES775" s="1035"/>
      <c r="ET775" s="1051"/>
    </row>
    <row r="776" spans="2:150" ht="16.5" customHeight="1">
      <c r="B776" s="1024"/>
      <c r="C776" s="1025"/>
      <c r="D776" s="408">
        <v>773</v>
      </c>
      <c r="E776" s="1164"/>
      <c r="F776" s="1164"/>
      <c r="G776" s="1026"/>
      <c r="H776" s="411" t="str">
        <f>IFERROR(INDEX(绊状态确认!C:C,MATCH($G776,绊状态确认!$B:$B,)),"")</f>
        <v/>
      </c>
      <c r="I776" s="450" t="str">
        <f>IFERROR(INDEX(绊状态确认!D:D,MATCH($G776,绊状态确认!$B:$B,)),"")</f>
        <v/>
      </c>
      <c r="J776" s="450" t="str">
        <f>IFERROR(INDEX(绊状态确认!E:E,MATCH($G776,绊状态确认!$B:$B,)),"")</f>
        <v/>
      </c>
      <c r="K776" s="451" t="str">
        <f>IFERROR(INDEX(绊状态确认!F:F,MATCH($G776,绊状态确认!$B:$B,)),"")</f>
        <v/>
      </c>
      <c r="L776" s="1026"/>
      <c r="M776" s="1165"/>
      <c r="N776" s="1027"/>
      <c r="O776" s="1026"/>
      <c r="P776" s="1028"/>
      <c r="Q776" s="1029"/>
      <c r="R776" s="1166"/>
      <c r="S776" s="1030"/>
      <c r="T776" s="1031"/>
      <c r="U776" s="1032"/>
      <c r="V776" s="1033"/>
      <c r="W776" s="1034"/>
      <c r="X776" s="1166"/>
      <c r="Y776" s="1035"/>
      <c r="Z776" s="1036"/>
      <c r="AA776" s="1037"/>
      <c r="AB776" s="1038"/>
      <c r="AC776" s="1039"/>
      <c r="AD776" s="1040"/>
      <c r="AE776" s="1041"/>
      <c r="AF776" s="521"/>
      <c r="AG776" s="420"/>
      <c r="AH776" s="420"/>
      <c r="AI776" s="420"/>
      <c r="AJ776" s="420"/>
      <c r="AK776" s="518"/>
      <c r="AL776" s="1042"/>
      <c r="AM776" s="1035"/>
      <c r="AN776" s="1043"/>
      <c r="AO776" s="1167"/>
      <c r="AP776" s="1044"/>
      <c r="AQ776" s="1035"/>
      <c r="AR776" s="1035"/>
      <c r="AS776" s="1035"/>
      <c r="AT776" s="1165"/>
      <c r="AU776" s="1031"/>
      <c r="AV776" s="1045"/>
      <c r="AW776" s="1038"/>
      <c r="AX776" s="1035"/>
      <c r="AY776" s="483"/>
      <c r="AZ776" s="429"/>
      <c r="BA776" s="431"/>
      <c r="BB776" s="1035"/>
      <c r="BC776" s="1035"/>
      <c r="BD776" s="481"/>
      <c r="BE776" s="432"/>
      <c r="BF776" s="646"/>
      <c r="BG776" s="1047"/>
      <c r="BH776" s="1046"/>
      <c r="BI776" s="1048"/>
      <c r="BJ776" s="1030"/>
      <c r="BK776" s="1046"/>
      <c r="BL776" s="1048"/>
      <c r="BM776" s="1046"/>
      <c r="BN776" s="1167"/>
      <c r="BO776" s="1035"/>
      <c r="BP776" s="1043"/>
      <c r="BQ776" s="1167"/>
      <c r="BR776" s="1165"/>
      <c r="BS776" s="1031"/>
      <c r="BT776" s="1038"/>
      <c r="BU776" s="1035"/>
      <c r="BV776" s="1035"/>
      <c r="BW776" s="1049"/>
      <c r="BX776" s="1043"/>
      <c r="BY776" s="1046"/>
      <c r="BZ776" s="1167"/>
      <c r="CA776" s="1165"/>
      <c r="CB776" s="1031"/>
      <c r="CC776" s="1038"/>
      <c r="CD776" s="1035"/>
      <c r="CE776" s="1035"/>
      <c r="CF776" s="1049"/>
      <c r="CG776" s="1043"/>
      <c r="CH776" s="1046"/>
      <c r="CI776" s="1167"/>
      <c r="CJ776" s="1168"/>
      <c r="CK776" s="1169"/>
      <c r="CL776" s="1169"/>
      <c r="CM776" s="1166"/>
      <c r="CN776" s="1169"/>
      <c r="CO776" s="1169"/>
      <c r="CP776" s="452"/>
      <c r="CQ776" s="435"/>
      <c r="CR776" s="441"/>
      <c r="CS776" s="452"/>
      <c r="CT776" s="482"/>
      <c r="CU776" s="476"/>
      <c r="CV776" s="431"/>
      <c r="CW776" s="1108"/>
      <c r="CX776" s="1108"/>
      <c r="CY776" s="483"/>
      <c r="CZ776" s="437"/>
      <c r="DA776" s="438"/>
      <c r="DB776" s="439"/>
      <c r="DC776" s="439"/>
      <c r="DD776" s="443"/>
      <c r="DE776" s="411"/>
      <c r="DF776" s="411"/>
      <c r="DG776" s="1117"/>
      <c r="DH776" s="1117"/>
      <c r="DI776" s="1117"/>
      <c r="DJ776" s="442"/>
      <c r="DK776" s="482"/>
      <c r="DL776" s="1038"/>
      <c r="DM776" s="1035"/>
      <c r="DN776" s="1035"/>
      <c r="DO776" s="1035"/>
      <c r="DP776" s="1046"/>
      <c r="DQ776" s="1167"/>
      <c r="DR776" s="1168"/>
      <c r="DS776" s="1165"/>
      <c r="DT776" s="1165"/>
      <c r="DU776" s="1165"/>
      <c r="DV776" s="1031"/>
      <c r="DW776" s="1098">
        <f t="shared" si="1172"/>
        <v>0</v>
      </c>
      <c r="DX776" s="1098">
        <f t="shared" si="1173"/>
        <v>0</v>
      </c>
      <c r="DY776" s="1030"/>
      <c r="DZ776" s="1030"/>
      <c r="EA776" s="1031"/>
      <c r="EB776" s="1050"/>
      <c r="EC776" s="1038"/>
      <c r="ED776" s="1035"/>
      <c r="EE776" s="1046"/>
      <c r="EF776" s="1169"/>
      <c r="EG776" s="1168"/>
      <c r="EH776" s="1165"/>
      <c r="EI776" s="1165"/>
      <c r="EJ776" s="1165"/>
      <c r="EK776" s="1031"/>
      <c r="EL776" s="1098">
        <f t="shared" si="1174"/>
        <v>0</v>
      </c>
      <c r="EM776" s="1098">
        <f t="shared" si="1175"/>
        <v>0</v>
      </c>
      <c r="EN776" s="1030"/>
      <c r="EO776" s="1030"/>
      <c r="EP776" s="1031"/>
      <c r="EQ776" s="1050"/>
      <c r="ER776" s="1038"/>
      <c r="ES776" s="1035"/>
      <c r="ET776" s="1051"/>
    </row>
    <row r="777" spans="2:150" ht="16.5" customHeight="1">
      <c r="B777" s="1024"/>
      <c r="C777" s="1025"/>
      <c r="D777" s="408">
        <v>774</v>
      </c>
      <c r="E777" s="1164"/>
      <c r="F777" s="1164"/>
      <c r="G777" s="1026"/>
      <c r="H777" s="411" t="str">
        <f>IFERROR(INDEX(绊状态确认!C:C,MATCH($G777,绊状态确认!$B:$B,)),"")</f>
        <v/>
      </c>
      <c r="I777" s="450" t="str">
        <f>IFERROR(INDEX(绊状态确认!D:D,MATCH($G777,绊状态确认!$B:$B,)),"")</f>
        <v/>
      </c>
      <c r="J777" s="450" t="str">
        <f>IFERROR(INDEX(绊状态确认!E:E,MATCH($G777,绊状态确认!$B:$B,)),"")</f>
        <v/>
      </c>
      <c r="K777" s="451" t="str">
        <f>IFERROR(INDEX(绊状态确认!F:F,MATCH($G777,绊状态确认!$B:$B,)),"")</f>
        <v/>
      </c>
      <c r="L777" s="1026"/>
      <c r="M777" s="1165"/>
      <c r="N777" s="1027"/>
      <c r="O777" s="1026"/>
      <c r="P777" s="1028"/>
      <c r="Q777" s="1029"/>
      <c r="R777" s="1166"/>
      <c r="S777" s="1030"/>
      <c r="T777" s="1031"/>
      <c r="U777" s="1032"/>
      <c r="V777" s="1033"/>
      <c r="W777" s="1034"/>
      <c r="X777" s="1166"/>
      <c r="Y777" s="1035"/>
      <c r="Z777" s="1036"/>
      <c r="AA777" s="1037"/>
      <c r="AB777" s="1038"/>
      <c r="AC777" s="1039"/>
      <c r="AD777" s="1040"/>
      <c r="AE777" s="1041"/>
      <c r="AF777" s="521"/>
      <c r="AG777" s="420"/>
      <c r="AH777" s="420"/>
      <c r="AI777" s="420"/>
      <c r="AJ777" s="420"/>
      <c r="AK777" s="518"/>
      <c r="AL777" s="1042"/>
      <c r="AM777" s="1035"/>
      <c r="AN777" s="1043"/>
      <c r="AO777" s="1167"/>
      <c r="AP777" s="1044"/>
      <c r="AQ777" s="1035"/>
      <c r="AR777" s="1035"/>
      <c r="AS777" s="1035"/>
      <c r="AT777" s="1165"/>
      <c r="AU777" s="1031"/>
      <c r="AV777" s="1045"/>
      <c r="AW777" s="1038"/>
      <c r="AX777" s="1035"/>
      <c r="AY777" s="483"/>
      <c r="AZ777" s="429"/>
      <c r="BA777" s="431"/>
      <c r="BB777" s="1035"/>
      <c r="BC777" s="1035"/>
      <c r="BD777" s="481"/>
      <c r="BE777" s="432"/>
      <c r="BF777" s="646"/>
      <c r="BG777" s="1047"/>
      <c r="BH777" s="1046"/>
      <c r="BI777" s="1048"/>
      <c r="BJ777" s="1030"/>
      <c r="BK777" s="1046"/>
      <c r="BL777" s="1048"/>
      <c r="BM777" s="1046"/>
      <c r="BN777" s="1167"/>
      <c r="BO777" s="1035"/>
      <c r="BP777" s="1043"/>
      <c r="BQ777" s="1167"/>
      <c r="BR777" s="1165"/>
      <c r="BS777" s="1031"/>
      <c r="BT777" s="1038"/>
      <c r="BU777" s="1035"/>
      <c r="BV777" s="1035"/>
      <c r="BW777" s="1049"/>
      <c r="BX777" s="1043"/>
      <c r="BY777" s="1046"/>
      <c r="BZ777" s="1167"/>
      <c r="CA777" s="1165"/>
      <c r="CB777" s="1031"/>
      <c r="CC777" s="1038"/>
      <c r="CD777" s="1035"/>
      <c r="CE777" s="1035"/>
      <c r="CF777" s="1049"/>
      <c r="CG777" s="1043"/>
      <c r="CH777" s="1046"/>
      <c r="CI777" s="1167"/>
      <c r="CJ777" s="1168"/>
      <c r="CK777" s="1169"/>
      <c r="CL777" s="1169"/>
      <c r="CM777" s="1166"/>
      <c r="CN777" s="1169"/>
      <c r="CO777" s="1169"/>
      <c r="CP777" s="452"/>
      <c r="CQ777" s="435"/>
      <c r="CR777" s="1117"/>
      <c r="CS777" s="452"/>
      <c r="CT777" s="482"/>
      <c r="CU777" s="476"/>
      <c r="CV777" s="431"/>
      <c r="CW777" s="1108"/>
      <c r="CX777" s="1108"/>
      <c r="CY777" s="483"/>
      <c r="CZ777" s="437"/>
      <c r="DA777" s="438"/>
      <c r="DB777" s="439"/>
      <c r="DC777" s="439"/>
      <c r="DD777" s="443"/>
      <c r="DE777" s="411"/>
      <c r="DF777" s="411"/>
      <c r="DG777" s="1117"/>
      <c r="DH777" s="1117"/>
      <c r="DI777" s="1117"/>
      <c r="DJ777" s="442"/>
      <c r="DK777" s="482"/>
      <c r="DL777" s="1038"/>
      <c r="DM777" s="1035"/>
      <c r="DN777" s="1035"/>
      <c r="DO777" s="1035"/>
      <c r="DP777" s="1046"/>
      <c r="DQ777" s="1167"/>
      <c r="DR777" s="1168"/>
      <c r="DS777" s="1165"/>
      <c r="DT777" s="1165"/>
      <c r="DU777" s="1165"/>
      <c r="DV777" s="1031"/>
      <c r="DW777" s="1098">
        <f t="shared" si="1172"/>
        <v>0</v>
      </c>
      <c r="DX777" s="1098">
        <f t="shared" si="1173"/>
        <v>0</v>
      </c>
      <c r="DY777" s="1030"/>
      <c r="DZ777" s="1030"/>
      <c r="EA777" s="1031"/>
      <c r="EB777" s="1050"/>
      <c r="EC777" s="1038"/>
      <c r="ED777" s="1035"/>
      <c r="EE777" s="1046"/>
      <c r="EF777" s="1169"/>
      <c r="EG777" s="1168"/>
      <c r="EH777" s="1165"/>
      <c r="EI777" s="1165"/>
      <c r="EJ777" s="1165"/>
      <c r="EK777" s="1031"/>
      <c r="EL777" s="1098">
        <f t="shared" si="1174"/>
        <v>0</v>
      </c>
      <c r="EM777" s="1098">
        <f t="shared" si="1175"/>
        <v>0</v>
      </c>
      <c r="EN777" s="1030"/>
      <c r="EO777" s="1030"/>
      <c r="EP777" s="1031"/>
      <c r="EQ777" s="1050"/>
      <c r="ER777" s="1038"/>
      <c r="ES777" s="1035"/>
      <c r="ET777" s="1051"/>
    </row>
    <row r="778" spans="2:150" ht="16.5" customHeight="1">
      <c r="B778" s="1024"/>
      <c r="C778" s="1025"/>
      <c r="D778" s="408">
        <v>775</v>
      </c>
      <c r="E778" s="1164"/>
      <c r="F778" s="1164"/>
      <c r="G778" s="1026"/>
      <c r="H778" s="411" t="str">
        <f>IFERROR(INDEX(绊状态确认!C:C,MATCH($G778,绊状态确认!$B:$B,)),"")</f>
        <v/>
      </c>
      <c r="I778" s="450" t="str">
        <f>IFERROR(INDEX(绊状态确认!D:D,MATCH($G778,绊状态确认!$B:$B,)),"")</f>
        <v/>
      </c>
      <c r="J778" s="450" t="str">
        <f>IFERROR(INDEX(绊状态确认!E:E,MATCH($G778,绊状态确认!$B:$B,)),"")</f>
        <v/>
      </c>
      <c r="K778" s="451" t="str">
        <f>IFERROR(INDEX(绊状态确认!F:F,MATCH($G778,绊状态确认!$B:$B,)),"")</f>
        <v/>
      </c>
      <c r="L778" s="1026"/>
      <c r="M778" s="1165"/>
      <c r="N778" s="1027"/>
      <c r="O778" s="1026"/>
      <c r="P778" s="1028"/>
      <c r="Q778" s="1029"/>
      <c r="R778" s="1166"/>
      <c r="S778" s="1030"/>
      <c r="T778" s="1031"/>
      <c r="U778" s="1032"/>
      <c r="V778" s="1033"/>
      <c r="W778" s="1034"/>
      <c r="X778" s="1166"/>
      <c r="Y778" s="1035"/>
      <c r="Z778" s="1036"/>
      <c r="AA778" s="1037"/>
      <c r="AB778" s="1038"/>
      <c r="AC778" s="1039"/>
      <c r="AD778" s="1040"/>
      <c r="AE778" s="1041"/>
      <c r="AF778" s="521"/>
      <c r="AG778" s="420"/>
      <c r="AH778" s="420"/>
      <c r="AI778" s="420"/>
      <c r="AJ778" s="420"/>
      <c r="AK778" s="518"/>
      <c r="AL778" s="1042"/>
      <c r="AM778" s="1035"/>
      <c r="AN778" s="1043"/>
      <c r="AO778" s="1167"/>
      <c r="AP778" s="1044"/>
      <c r="AQ778" s="1035"/>
      <c r="AR778" s="1035"/>
      <c r="AS778" s="1035"/>
      <c r="AT778" s="1165"/>
      <c r="AU778" s="1031"/>
      <c r="AV778" s="1045"/>
      <c r="AW778" s="1038"/>
      <c r="AX778" s="1035"/>
      <c r="AY778" s="483"/>
      <c r="AZ778" s="429"/>
      <c r="BA778" s="431"/>
      <c r="BB778" s="1035"/>
      <c r="BC778" s="1035"/>
      <c r="BD778" s="481"/>
      <c r="BE778" s="432"/>
      <c r="BF778" s="646"/>
      <c r="BG778" s="1047"/>
      <c r="BH778" s="1046"/>
      <c r="BI778" s="1048"/>
      <c r="BJ778" s="1030"/>
      <c r="BK778" s="1046"/>
      <c r="BL778" s="1048"/>
      <c r="BM778" s="1046"/>
      <c r="BN778" s="1167"/>
      <c r="BO778" s="1035"/>
      <c r="BP778" s="1043"/>
      <c r="BQ778" s="1167"/>
      <c r="BR778" s="1165"/>
      <c r="BS778" s="1031"/>
      <c r="BT778" s="1038"/>
      <c r="BU778" s="1035"/>
      <c r="BV778" s="1035"/>
      <c r="BW778" s="1049"/>
      <c r="BX778" s="1043"/>
      <c r="BY778" s="1046"/>
      <c r="BZ778" s="1167"/>
      <c r="CA778" s="1165"/>
      <c r="CB778" s="1031"/>
      <c r="CC778" s="1038"/>
      <c r="CD778" s="1035"/>
      <c r="CE778" s="1035"/>
      <c r="CF778" s="1049"/>
      <c r="CG778" s="1043"/>
      <c r="CH778" s="1046"/>
      <c r="CI778" s="1167"/>
      <c r="CJ778" s="1168"/>
      <c r="CK778" s="1169"/>
      <c r="CL778" s="1169"/>
      <c r="CM778" s="1166"/>
      <c r="CN778" s="1169"/>
      <c r="CO778" s="1169"/>
      <c r="CP778" s="452"/>
      <c r="CQ778" s="435"/>
      <c r="CR778" s="1117"/>
      <c r="CS778" s="452"/>
      <c r="CT778" s="482"/>
      <c r="CU778" s="476"/>
      <c r="CV778" s="431"/>
      <c r="CW778" s="1108"/>
      <c r="CX778" s="1108"/>
      <c r="CY778" s="483"/>
      <c r="CZ778" s="437"/>
      <c r="DA778" s="438"/>
      <c r="DB778" s="439"/>
      <c r="DC778" s="439"/>
      <c r="DD778" s="443"/>
      <c r="DE778" s="411"/>
      <c r="DF778" s="411"/>
      <c r="DG778" s="1117"/>
      <c r="DH778" s="1117"/>
      <c r="DI778" s="1117"/>
      <c r="DJ778" s="442"/>
      <c r="DK778" s="482"/>
      <c r="DL778" s="1038"/>
      <c r="DM778" s="1035"/>
      <c r="DN778" s="1035"/>
      <c r="DO778" s="1035"/>
      <c r="DP778" s="1046"/>
      <c r="DQ778" s="1167"/>
      <c r="DR778" s="1168"/>
      <c r="DS778" s="1165"/>
      <c r="DT778" s="1165"/>
      <c r="DU778" s="1165"/>
      <c r="DV778" s="1031"/>
      <c r="DW778" s="1098">
        <f t="shared" si="1172"/>
        <v>0</v>
      </c>
      <c r="DX778" s="1098">
        <f t="shared" si="1173"/>
        <v>0</v>
      </c>
      <c r="DY778" s="1030"/>
      <c r="DZ778" s="1030"/>
      <c r="EA778" s="1031"/>
      <c r="EB778" s="1050"/>
      <c r="EC778" s="1038"/>
      <c r="ED778" s="1035"/>
      <c r="EE778" s="1046"/>
      <c r="EF778" s="1169"/>
      <c r="EG778" s="1168"/>
      <c r="EH778" s="1165"/>
      <c r="EI778" s="1165"/>
      <c r="EJ778" s="1165"/>
      <c r="EK778" s="1031"/>
      <c r="EL778" s="1098">
        <f t="shared" si="1174"/>
        <v>0</v>
      </c>
      <c r="EM778" s="1098">
        <f t="shared" si="1175"/>
        <v>0</v>
      </c>
      <c r="EN778" s="1030"/>
      <c r="EO778" s="1030"/>
      <c r="EP778" s="1031"/>
      <c r="EQ778" s="1050"/>
      <c r="ER778" s="1038"/>
      <c r="ES778" s="1035"/>
      <c r="ET778" s="1051"/>
    </row>
    <row r="779" spans="2:150" ht="16.5" customHeight="1">
      <c r="B779" s="1024"/>
      <c r="C779" s="1025"/>
      <c r="D779" s="408">
        <v>776</v>
      </c>
      <c r="E779" s="1164"/>
      <c r="F779" s="1164"/>
      <c r="G779" s="1026"/>
      <c r="H779" s="411" t="str">
        <f>IFERROR(INDEX(绊状态确认!C:C,MATCH($G779,绊状态确认!$B:$B,)),"")</f>
        <v/>
      </c>
      <c r="I779" s="450" t="str">
        <f>IFERROR(INDEX(绊状态确认!D:D,MATCH($G779,绊状态确认!$B:$B,)),"")</f>
        <v/>
      </c>
      <c r="J779" s="450" t="str">
        <f>IFERROR(INDEX(绊状态确认!E:E,MATCH($G779,绊状态确认!$B:$B,)),"")</f>
        <v/>
      </c>
      <c r="K779" s="451" t="str">
        <f>IFERROR(INDEX(绊状态确认!F:F,MATCH($G779,绊状态确认!$B:$B,)),"")</f>
        <v/>
      </c>
      <c r="L779" s="1026"/>
      <c r="M779" s="1165"/>
      <c r="N779" s="1027"/>
      <c r="O779" s="1026"/>
      <c r="P779" s="1028"/>
      <c r="Q779" s="1029"/>
      <c r="R779" s="1166"/>
      <c r="S779" s="1030"/>
      <c r="T779" s="1031"/>
      <c r="U779" s="1032"/>
      <c r="V779" s="1033"/>
      <c r="W779" s="1034"/>
      <c r="X779" s="1166"/>
      <c r="Y779" s="1035"/>
      <c r="Z779" s="1036"/>
      <c r="AA779" s="1037"/>
      <c r="AB779" s="1038"/>
      <c r="AC779" s="1039"/>
      <c r="AD779" s="1040"/>
      <c r="AE779" s="1041"/>
      <c r="AF779" s="521"/>
      <c r="AG779" s="420"/>
      <c r="AH779" s="420"/>
      <c r="AI779" s="420"/>
      <c r="AJ779" s="420"/>
      <c r="AK779" s="518"/>
      <c r="AL779" s="1042"/>
      <c r="AM779" s="1035"/>
      <c r="AN779" s="1043"/>
      <c r="AO779" s="1167"/>
      <c r="AP779" s="1044"/>
      <c r="AQ779" s="1035"/>
      <c r="AR779" s="1035"/>
      <c r="AS779" s="1035"/>
      <c r="AT779" s="1165"/>
      <c r="AU779" s="1031"/>
      <c r="AV779" s="1045"/>
      <c r="AW779" s="1038"/>
      <c r="AX779" s="1035"/>
      <c r="AY779" s="483"/>
      <c r="AZ779" s="429"/>
      <c r="BA779" s="431"/>
      <c r="BB779" s="1035"/>
      <c r="BC779" s="1035"/>
      <c r="BD779" s="481"/>
      <c r="BE779" s="432"/>
      <c r="BF779" s="646"/>
      <c r="BG779" s="1047"/>
      <c r="BH779" s="1046"/>
      <c r="BI779" s="1048"/>
      <c r="BJ779" s="1030"/>
      <c r="BK779" s="1046"/>
      <c r="BL779" s="1048"/>
      <c r="BM779" s="1046"/>
      <c r="BN779" s="1167"/>
      <c r="BO779" s="1035"/>
      <c r="BP779" s="1043"/>
      <c r="BQ779" s="1167"/>
      <c r="BR779" s="1165"/>
      <c r="BS779" s="1031"/>
      <c r="BT779" s="1038"/>
      <c r="BU779" s="1035"/>
      <c r="BV779" s="1035"/>
      <c r="BW779" s="1049"/>
      <c r="BX779" s="1043"/>
      <c r="BY779" s="1046"/>
      <c r="BZ779" s="1167"/>
      <c r="CA779" s="1165"/>
      <c r="CB779" s="1031"/>
      <c r="CC779" s="1038"/>
      <c r="CD779" s="1035"/>
      <c r="CE779" s="1035"/>
      <c r="CF779" s="1049"/>
      <c r="CG779" s="1043"/>
      <c r="CH779" s="1046"/>
      <c r="CI779" s="1167"/>
      <c r="CJ779" s="1168"/>
      <c r="CK779" s="1169"/>
      <c r="CL779" s="1169"/>
      <c r="CM779" s="1166"/>
      <c r="CN779" s="1169"/>
      <c r="CO779" s="1169"/>
      <c r="CP779" s="452"/>
      <c r="CQ779" s="435"/>
      <c r="CR779" s="1117"/>
      <c r="CS779" s="452"/>
      <c r="CT779" s="482"/>
      <c r="CU779" s="476"/>
      <c r="CV779" s="431"/>
      <c r="CW779" s="1108"/>
      <c r="CX779" s="1108"/>
      <c r="CY779" s="483"/>
      <c r="CZ779" s="437"/>
      <c r="DA779" s="438"/>
      <c r="DB779" s="439"/>
      <c r="DC779" s="439"/>
      <c r="DD779" s="443"/>
      <c r="DE779" s="411"/>
      <c r="DF779" s="411"/>
      <c r="DG779" s="1117"/>
      <c r="DH779" s="1117"/>
      <c r="DI779" s="1117"/>
      <c r="DJ779" s="442"/>
      <c r="DK779" s="482"/>
      <c r="DL779" s="1038"/>
      <c r="DM779" s="1035"/>
      <c r="DN779" s="1035"/>
      <c r="DO779" s="1035"/>
      <c r="DP779" s="1046"/>
      <c r="DQ779" s="1167"/>
      <c r="DR779" s="1168"/>
      <c r="DS779" s="1165"/>
      <c r="DT779" s="1165"/>
      <c r="DU779" s="1165"/>
      <c r="DV779" s="1031"/>
      <c r="DW779" s="1098">
        <f t="shared" si="1172"/>
        <v>0</v>
      </c>
      <c r="DX779" s="1098">
        <f t="shared" si="1173"/>
        <v>0</v>
      </c>
      <c r="DY779" s="1030"/>
      <c r="DZ779" s="1030"/>
      <c r="EA779" s="1031"/>
      <c r="EB779" s="1050"/>
      <c r="EC779" s="1038"/>
      <c r="ED779" s="1035"/>
      <c r="EE779" s="1046"/>
      <c r="EF779" s="1169"/>
      <c r="EG779" s="1168"/>
      <c r="EH779" s="1165"/>
      <c r="EI779" s="1165"/>
      <c r="EJ779" s="1165"/>
      <c r="EK779" s="1031"/>
      <c r="EL779" s="1098">
        <f t="shared" si="1174"/>
        <v>0</v>
      </c>
      <c r="EM779" s="1098">
        <f t="shared" si="1175"/>
        <v>0</v>
      </c>
      <c r="EN779" s="1030"/>
      <c r="EO779" s="1030"/>
      <c r="EP779" s="1031"/>
      <c r="EQ779" s="1050"/>
      <c r="ER779" s="1038"/>
      <c r="ES779" s="1035"/>
      <c r="ET779" s="1051"/>
    </row>
    <row r="780" spans="2:150" ht="16.5" customHeight="1">
      <c r="B780" s="1024"/>
      <c r="C780" s="1025"/>
      <c r="D780" s="408">
        <v>777</v>
      </c>
      <c r="E780" s="1164"/>
      <c r="F780" s="1164"/>
      <c r="G780" s="1026"/>
      <c r="H780" s="411" t="str">
        <f>IFERROR(INDEX(绊状态确认!C:C,MATCH($G780,绊状态确认!$B:$B,)),"")</f>
        <v/>
      </c>
      <c r="I780" s="450" t="str">
        <f>IFERROR(INDEX(绊状态确认!D:D,MATCH($G780,绊状态确认!$B:$B,)),"")</f>
        <v/>
      </c>
      <c r="J780" s="450" t="str">
        <f>IFERROR(INDEX(绊状态确认!E:E,MATCH($G780,绊状态确认!$B:$B,)),"")</f>
        <v/>
      </c>
      <c r="K780" s="451" t="str">
        <f>IFERROR(INDEX(绊状态确认!F:F,MATCH($G780,绊状态确认!$B:$B,)),"")</f>
        <v/>
      </c>
      <c r="L780" s="1026"/>
      <c r="M780" s="1165"/>
      <c r="N780" s="1027"/>
      <c r="O780" s="1026"/>
      <c r="P780" s="1028"/>
      <c r="Q780" s="1029"/>
      <c r="R780" s="1166"/>
      <c r="S780" s="1030"/>
      <c r="T780" s="1031"/>
      <c r="U780" s="1032"/>
      <c r="V780" s="1033"/>
      <c r="W780" s="1034"/>
      <c r="X780" s="1166"/>
      <c r="Y780" s="1035"/>
      <c r="Z780" s="1036"/>
      <c r="AA780" s="1037"/>
      <c r="AB780" s="1038"/>
      <c r="AC780" s="1039"/>
      <c r="AD780" s="1040"/>
      <c r="AE780" s="1041"/>
      <c r="AF780" s="521"/>
      <c r="AG780" s="420"/>
      <c r="AH780" s="420"/>
      <c r="AI780" s="420"/>
      <c r="AJ780" s="420"/>
      <c r="AK780" s="518"/>
      <c r="AL780" s="1042"/>
      <c r="AM780" s="1035"/>
      <c r="AN780" s="1043"/>
      <c r="AO780" s="1167"/>
      <c r="AP780" s="1044"/>
      <c r="AQ780" s="1035"/>
      <c r="AR780" s="1035"/>
      <c r="AS780" s="1035"/>
      <c r="AT780" s="1165"/>
      <c r="AU780" s="1031"/>
      <c r="AV780" s="1045"/>
      <c r="AW780" s="1038"/>
      <c r="AX780" s="1035"/>
      <c r="AY780" s="483"/>
      <c r="AZ780" s="429"/>
      <c r="BA780" s="431"/>
      <c r="BB780" s="1035"/>
      <c r="BC780" s="1035"/>
      <c r="BD780" s="481"/>
      <c r="BE780" s="432"/>
      <c r="BF780" s="646"/>
      <c r="BG780" s="1047"/>
      <c r="BH780" s="1046"/>
      <c r="BI780" s="1048"/>
      <c r="BJ780" s="1030"/>
      <c r="BK780" s="1046"/>
      <c r="BL780" s="1048"/>
      <c r="BM780" s="1046"/>
      <c r="BN780" s="1167"/>
      <c r="BO780" s="1035"/>
      <c r="BP780" s="1043"/>
      <c r="BQ780" s="1167"/>
      <c r="BR780" s="1165"/>
      <c r="BS780" s="1031"/>
      <c r="BT780" s="1038"/>
      <c r="BU780" s="1035"/>
      <c r="BV780" s="1035"/>
      <c r="BW780" s="1049"/>
      <c r="BX780" s="1043"/>
      <c r="BY780" s="1046"/>
      <c r="BZ780" s="1167"/>
      <c r="CA780" s="1165"/>
      <c r="CB780" s="1031"/>
      <c r="CC780" s="1038"/>
      <c r="CD780" s="1035"/>
      <c r="CE780" s="1035"/>
      <c r="CF780" s="1049"/>
      <c r="CG780" s="1043"/>
      <c r="CH780" s="1046"/>
      <c r="CI780" s="1167"/>
      <c r="CJ780" s="1168"/>
      <c r="CK780" s="1169"/>
      <c r="CL780" s="1169"/>
      <c r="CM780" s="1166"/>
      <c r="CN780" s="1169"/>
      <c r="CO780" s="1169"/>
      <c r="CP780" s="452"/>
      <c r="CQ780" s="435"/>
      <c r="CR780" s="1117"/>
      <c r="CS780" s="452"/>
      <c r="CT780" s="482"/>
      <c r="CU780" s="476"/>
      <c r="CV780" s="431"/>
      <c r="CW780" s="1108"/>
      <c r="CX780" s="1108"/>
      <c r="CY780" s="483"/>
      <c r="CZ780" s="437"/>
      <c r="DA780" s="438"/>
      <c r="DB780" s="439"/>
      <c r="DC780" s="439"/>
      <c r="DD780" s="443"/>
      <c r="DE780" s="411"/>
      <c r="DF780" s="411"/>
      <c r="DG780" s="1117"/>
      <c r="DH780" s="1117"/>
      <c r="DI780" s="1117"/>
      <c r="DJ780" s="442"/>
      <c r="DK780" s="482"/>
      <c r="DL780" s="1038"/>
      <c r="DM780" s="1035"/>
      <c r="DN780" s="1035"/>
      <c r="DO780" s="1035"/>
      <c r="DP780" s="1046"/>
      <c r="DQ780" s="1167"/>
      <c r="DR780" s="1168"/>
      <c r="DS780" s="1165"/>
      <c r="DT780" s="1165"/>
      <c r="DU780" s="1165"/>
      <c r="DV780" s="1031"/>
      <c r="DW780" s="1098">
        <f t="shared" si="1172"/>
        <v>0</v>
      </c>
      <c r="DX780" s="1098">
        <f t="shared" si="1173"/>
        <v>0</v>
      </c>
      <c r="DY780" s="1030"/>
      <c r="DZ780" s="1030"/>
      <c r="EA780" s="1031"/>
      <c r="EB780" s="1050"/>
      <c r="EC780" s="1038"/>
      <c r="ED780" s="1035"/>
      <c r="EE780" s="1046"/>
      <c r="EF780" s="1169"/>
      <c r="EG780" s="1168"/>
      <c r="EH780" s="1165"/>
      <c r="EI780" s="1165"/>
      <c r="EJ780" s="1165"/>
      <c r="EK780" s="1031"/>
      <c r="EL780" s="1098">
        <f t="shared" si="1174"/>
        <v>0</v>
      </c>
      <c r="EM780" s="1098">
        <f t="shared" si="1175"/>
        <v>0</v>
      </c>
      <c r="EN780" s="1030"/>
      <c r="EO780" s="1030"/>
      <c r="EP780" s="1031"/>
      <c r="EQ780" s="1050"/>
      <c r="ER780" s="1038"/>
      <c r="ES780" s="1035"/>
      <c r="ET780" s="1051"/>
    </row>
    <row r="781" spans="2:150" ht="16.5" customHeight="1">
      <c r="B781" s="1024"/>
      <c r="C781" s="1025"/>
      <c r="D781" s="408">
        <v>778</v>
      </c>
      <c r="E781" s="1164"/>
      <c r="F781" s="1164"/>
      <c r="G781" s="1026"/>
      <c r="H781" s="411" t="str">
        <f>IFERROR(INDEX(绊状态确认!C:C,MATCH($G781,绊状态确认!$B:$B,)),"")</f>
        <v/>
      </c>
      <c r="I781" s="450" t="str">
        <f>IFERROR(INDEX(绊状态确认!D:D,MATCH($G781,绊状态确认!$B:$B,)),"")</f>
        <v/>
      </c>
      <c r="J781" s="450" t="str">
        <f>IFERROR(INDEX(绊状态确认!E:E,MATCH($G781,绊状态确认!$B:$B,)),"")</f>
        <v/>
      </c>
      <c r="K781" s="451" t="str">
        <f>IFERROR(INDEX(绊状态确认!F:F,MATCH($G781,绊状态确认!$B:$B,)),"")</f>
        <v/>
      </c>
      <c r="L781" s="1026"/>
      <c r="M781" s="1165"/>
      <c r="N781" s="1027"/>
      <c r="O781" s="1026"/>
      <c r="P781" s="1028"/>
      <c r="Q781" s="1029"/>
      <c r="R781" s="1166"/>
      <c r="S781" s="1030"/>
      <c r="T781" s="1031"/>
      <c r="U781" s="1032"/>
      <c r="V781" s="1033"/>
      <c r="W781" s="1034"/>
      <c r="X781" s="1166"/>
      <c r="Y781" s="1035"/>
      <c r="Z781" s="1036"/>
      <c r="AA781" s="1037"/>
      <c r="AB781" s="1038"/>
      <c r="AC781" s="1039"/>
      <c r="AD781" s="1040"/>
      <c r="AE781" s="1041"/>
      <c r="AF781" s="521"/>
      <c r="AG781" s="420"/>
      <c r="AH781" s="420"/>
      <c r="AI781" s="420"/>
      <c r="AJ781" s="420"/>
      <c r="AK781" s="518"/>
      <c r="AL781" s="1042"/>
      <c r="AM781" s="1035"/>
      <c r="AN781" s="1043"/>
      <c r="AO781" s="1167"/>
      <c r="AP781" s="1044"/>
      <c r="AQ781" s="1035"/>
      <c r="AR781" s="1035"/>
      <c r="AS781" s="1035"/>
      <c r="AT781" s="1165"/>
      <c r="AU781" s="1031"/>
      <c r="AV781" s="1045"/>
      <c r="AW781" s="1038"/>
      <c r="AX781" s="1035"/>
      <c r="AY781" s="483"/>
      <c r="AZ781" s="429"/>
      <c r="BA781" s="431"/>
      <c r="BB781" s="1035"/>
      <c r="BC781" s="1035"/>
      <c r="BD781" s="481"/>
      <c r="BE781" s="432"/>
      <c r="BF781" s="646"/>
      <c r="BG781" s="1047"/>
      <c r="BH781" s="1046"/>
      <c r="BI781" s="1048"/>
      <c r="BJ781" s="1030"/>
      <c r="BK781" s="1046"/>
      <c r="BL781" s="1048"/>
      <c r="BM781" s="1046"/>
      <c r="BN781" s="1167"/>
      <c r="BO781" s="1035"/>
      <c r="BP781" s="1043"/>
      <c r="BQ781" s="1167"/>
      <c r="BR781" s="1165"/>
      <c r="BS781" s="1031"/>
      <c r="BT781" s="1038"/>
      <c r="BU781" s="1035"/>
      <c r="BV781" s="1035"/>
      <c r="BW781" s="1049"/>
      <c r="BX781" s="1043"/>
      <c r="BY781" s="1046"/>
      <c r="BZ781" s="1167"/>
      <c r="CA781" s="1165"/>
      <c r="CB781" s="1031"/>
      <c r="CC781" s="1038"/>
      <c r="CD781" s="1035"/>
      <c r="CE781" s="1035"/>
      <c r="CF781" s="1049"/>
      <c r="CG781" s="1043"/>
      <c r="CH781" s="1046"/>
      <c r="CI781" s="1167"/>
      <c r="CJ781" s="1168"/>
      <c r="CK781" s="1169"/>
      <c r="CL781" s="1169"/>
      <c r="CM781" s="1166"/>
      <c r="CN781" s="1169"/>
      <c r="CO781" s="1169"/>
      <c r="CP781" s="452"/>
      <c r="CQ781" s="435"/>
      <c r="CR781" s="1117"/>
      <c r="CS781" s="452"/>
      <c r="CT781" s="482"/>
      <c r="CU781" s="476"/>
      <c r="CV781" s="431"/>
      <c r="CW781" s="1108"/>
      <c r="CX781" s="1108"/>
      <c r="CY781" s="483"/>
      <c r="CZ781" s="437"/>
      <c r="DA781" s="438"/>
      <c r="DB781" s="439"/>
      <c r="DC781" s="439"/>
      <c r="DD781" s="443"/>
      <c r="DE781" s="411"/>
      <c r="DF781" s="411"/>
      <c r="DG781" s="1117"/>
      <c r="DH781" s="1117"/>
      <c r="DI781" s="1117"/>
      <c r="DJ781" s="442"/>
      <c r="DK781" s="482"/>
      <c r="DL781" s="1038"/>
      <c r="DM781" s="1035"/>
      <c r="DN781" s="1035"/>
      <c r="DO781" s="1035"/>
      <c r="DP781" s="1046"/>
      <c r="DQ781" s="1167"/>
      <c r="DR781" s="1168"/>
      <c r="DS781" s="1165"/>
      <c r="DT781" s="1165"/>
      <c r="DU781" s="1165"/>
      <c r="DV781" s="1031"/>
      <c r="DW781" s="1098">
        <f t="shared" si="1172"/>
        <v>0</v>
      </c>
      <c r="DX781" s="1098">
        <f t="shared" si="1173"/>
        <v>0</v>
      </c>
      <c r="DY781" s="1030"/>
      <c r="DZ781" s="1030"/>
      <c r="EA781" s="1031"/>
      <c r="EB781" s="1050"/>
      <c r="EC781" s="1038"/>
      <c r="ED781" s="1035"/>
      <c r="EE781" s="1046"/>
      <c r="EF781" s="1169"/>
      <c r="EG781" s="1168"/>
      <c r="EH781" s="1165"/>
      <c r="EI781" s="1165"/>
      <c r="EJ781" s="1165"/>
      <c r="EK781" s="1031"/>
      <c r="EL781" s="1098">
        <f t="shared" si="1174"/>
        <v>0</v>
      </c>
      <c r="EM781" s="1098">
        <f t="shared" si="1175"/>
        <v>0</v>
      </c>
      <c r="EN781" s="1030"/>
      <c r="EO781" s="1030"/>
      <c r="EP781" s="1031"/>
      <c r="EQ781" s="1050"/>
      <c r="ER781" s="1038"/>
      <c r="ES781" s="1035"/>
      <c r="ET781" s="1051"/>
    </row>
    <row r="782" spans="2:150" ht="16.5" customHeight="1">
      <c r="B782" s="1024"/>
      <c r="C782" s="1025"/>
      <c r="D782" s="408">
        <v>779</v>
      </c>
      <c r="E782" s="1164"/>
      <c r="F782" s="1164"/>
      <c r="G782" s="1026"/>
      <c r="H782" s="411" t="str">
        <f>IFERROR(INDEX(绊状态确认!C:C,MATCH($G782,绊状态确认!$B:$B,)),"")</f>
        <v/>
      </c>
      <c r="I782" s="450" t="str">
        <f>IFERROR(INDEX(绊状态确认!D:D,MATCH($G782,绊状态确认!$B:$B,)),"")</f>
        <v/>
      </c>
      <c r="J782" s="450" t="str">
        <f>IFERROR(INDEX(绊状态确认!E:E,MATCH($G782,绊状态确认!$B:$B,)),"")</f>
        <v/>
      </c>
      <c r="K782" s="451" t="str">
        <f>IFERROR(INDEX(绊状态确认!F:F,MATCH($G782,绊状态确认!$B:$B,)),"")</f>
        <v/>
      </c>
      <c r="L782" s="1026"/>
      <c r="M782" s="1165"/>
      <c r="N782" s="1027"/>
      <c r="O782" s="1026"/>
      <c r="P782" s="1028"/>
      <c r="Q782" s="1029"/>
      <c r="R782" s="1166"/>
      <c r="S782" s="1030"/>
      <c r="T782" s="1031"/>
      <c r="U782" s="1032"/>
      <c r="V782" s="1033"/>
      <c r="W782" s="1034"/>
      <c r="X782" s="1166"/>
      <c r="Y782" s="1035"/>
      <c r="Z782" s="1036"/>
      <c r="AA782" s="1037"/>
      <c r="AB782" s="1038"/>
      <c r="AC782" s="1039"/>
      <c r="AD782" s="1040"/>
      <c r="AE782" s="1041"/>
      <c r="AF782" s="521"/>
      <c r="AG782" s="420"/>
      <c r="AH782" s="420"/>
      <c r="AI782" s="420"/>
      <c r="AJ782" s="420"/>
      <c r="AK782" s="518"/>
      <c r="AL782" s="1042"/>
      <c r="AM782" s="1035"/>
      <c r="AN782" s="1043"/>
      <c r="AO782" s="1167"/>
      <c r="AP782" s="1044"/>
      <c r="AQ782" s="1035"/>
      <c r="AR782" s="1035"/>
      <c r="AS782" s="1035"/>
      <c r="AT782" s="1165"/>
      <c r="AU782" s="1031"/>
      <c r="AV782" s="1045"/>
      <c r="AW782" s="1038"/>
      <c r="AX782" s="1035"/>
      <c r="AY782" s="483"/>
      <c r="AZ782" s="429"/>
      <c r="BA782" s="431"/>
      <c r="BB782" s="1035"/>
      <c r="BC782" s="1035"/>
      <c r="BD782" s="481"/>
      <c r="BE782" s="432"/>
      <c r="BF782" s="646"/>
      <c r="BG782" s="1047"/>
      <c r="BH782" s="1046"/>
      <c r="BI782" s="1048"/>
      <c r="BJ782" s="1030"/>
      <c r="BK782" s="1046"/>
      <c r="BL782" s="1048"/>
      <c r="BM782" s="1046"/>
      <c r="BN782" s="1167"/>
      <c r="BO782" s="1035"/>
      <c r="BP782" s="1043"/>
      <c r="BQ782" s="1167"/>
      <c r="BR782" s="1165"/>
      <c r="BS782" s="1031"/>
      <c r="BT782" s="1038"/>
      <c r="BU782" s="1035"/>
      <c r="BV782" s="1035"/>
      <c r="BW782" s="1049"/>
      <c r="BX782" s="1043"/>
      <c r="BY782" s="1046"/>
      <c r="BZ782" s="1167"/>
      <c r="CA782" s="1165"/>
      <c r="CB782" s="1031"/>
      <c r="CC782" s="1038"/>
      <c r="CD782" s="1035"/>
      <c r="CE782" s="1035"/>
      <c r="CF782" s="1049"/>
      <c r="CG782" s="1043"/>
      <c r="CH782" s="1046"/>
      <c r="CI782" s="1167"/>
      <c r="CJ782" s="1168"/>
      <c r="CK782" s="1169"/>
      <c r="CL782" s="1169"/>
      <c r="CM782" s="1166"/>
      <c r="CN782" s="1169"/>
      <c r="CO782" s="1169"/>
      <c r="CP782" s="452"/>
      <c r="CQ782" s="435"/>
      <c r="CR782" s="1117"/>
      <c r="CS782" s="452"/>
      <c r="CT782" s="482"/>
      <c r="CU782" s="476"/>
      <c r="CV782" s="431"/>
      <c r="CW782" s="1108"/>
      <c r="CX782" s="1108"/>
      <c r="CY782" s="483"/>
      <c r="CZ782" s="437"/>
      <c r="DA782" s="438"/>
      <c r="DB782" s="439"/>
      <c r="DC782" s="439"/>
      <c r="DD782" s="443"/>
      <c r="DE782" s="411"/>
      <c r="DF782" s="411"/>
      <c r="DG782" s="1117"/>
      <c r="DH782" s="1117"/>
      <c r="DI782" s="1117"/>
      <c r="DJ782" s="442"/>
      <c r="DK782" s="482"/>
      <c r="DL782" s="1038"/>
      <c r="DM782" s="1035"/>
      <c r="DN782" s="1035"/>
      <c r="DO782" s="1035"/>
      <c r="DP782" s="1046"/>
      <c r="DQ782" s="1167"/>
      <c r="DR782" s="1168"/>
      <c r="DS782" s="1165"/>
      <c r="DT782" s="1165"/>
      <c r="DU782" s="1165"/>
      <c r="DV782" s="1031"/>
      <c r="DW782" s="1098">
        <f t="shared" si="1172"/>
        <v>0</v>
      </c>
      <c r="DX782" s="1098">
        <f t="shared" si="1173"/>
        <v>0</v>
      </c>
      <c r="DY782" s="1030"/>
      <c r="DZ782" s="1030"/>
      <c r="EA782" s="1031"/>
      <c r="EB782" s="1050"/>
      <c r="EC782" s="1038"/>
      <c r="ED782" s="1035"/>
      <c r="EE782" s="1046"/>
      <c r="EF782" s="1169"/>
      <c r="EG782" s="1168"/>
      <c r="EH782" s="1165"/>
      <c r="EI782" s="1165"/>
      <c r="EJ782" s="1165"/>
      <c r="EK782" s="1031"/>
      <c r="EL782" s="1098">
        <f t="shared" si="1174"/>
        <v>0</v>
      </c>
      <c r="EM782" s="1098">
        <f t="shared" si="1175"/>
        <v>0</v>
      </c>
      <c r="EN782" s="1030"/>
      <c r="EO782" s="1030"/>
      <c r="EP782" s="1031"/>
      <c r="EQ782" s="1050"/>
      <c r="ER782" s="1038"/>
      <c r="ES782" s="1035"/>
      <c r="ET782" s="1051"/>
    </row>
    <row r="783" spans="2:150" ht="16.5" customHeight="1">
      <c r="B783" s="1024"/>
      <c r="C783" s="1025"/>
      <c r="D783" s="408">
        <v>780</v>
      </c>
      <c r="E783" s="1164"/>
      <c r="F783" s="1164"/>
      <c r="G783" s="1026"/>
      <c r="H783" s="411" t="str">
        <f>IFERROR(INDEX(绊状态确认!C:C,MATCH($G783,绊状态确认!$B:$B,)),"")</f>
        <v/>
      </c>
      <c r="I783" s="450" t="str">
        <f>IFERROR(INDEX(绊状态确认!D:D,MATCH($G783,绊状态确认!$B:$B,)),"")</f>
        <v/>
      </c>
      <c r="J783" s="450" t="str">
        <f>IFERROR(INDEX(绊状态确认!E:E,MATCH($G783,绊状态确认!$B:$B,)),"")</f>
        <v/>
      </c>
      <c r="K783" s="451" t="str">
        <f>IFERROR(INDEX(绊状态确认!F:F,MATCH($G783,绊状态确认!$B:$B,)),"")</f>
        <v/>
      </c>
      <c r="L783" s="1026"/>
      <c r="M783" s="1165"/>
      <c r="N783" s="1027"/>
      <c r="O783" s="1026"/>
      <c r="P783" s="1028"/>
      <c r="Q783" s="1029"/>
      <c r="R783" s="1166"/>
      <c r="S783" s="1030"/>
      <c r="T783" s="1031"/>
      <c r="U783" s="1032"/>
      <c r="V783" s="1033"/>
      <c r="W783" s="1034"/>
      <c r="X783" s="1166"/>
      <c r="Y783" s="1035"/>
      <c r="Z783" s="1036"/>
      <c r="AA783" s="1037"/>
      <c r="AB783" s="1038"/>
      <c r="AC783" s="1039"/>
      <c r="AD783" s="1040"/>
      <c r="AE783" s="1041"/>
      <c r="AF783" s="521"/>
      <c r="AG783" s="420"/>
      <c r="AH783" s="420"/>
      <c r="AI783" s="420"/>
      <c r="AJ783" s="420"/>
      <c r="AK783" s="518"/>
      <c r="AL783" s="1042"/>
      <c r="AM783" s="1035"/>
      <c r="AN783" s="1043"/>
      <c r="AO783" s="1167"/>
      <c r="AP783" s="1044"/>
      <c r="AQ783" s="1035"/>
      <c r="AR783" s="1035"/>
      <c r="AS783" s="1035"/>
      <c r="AT783" s="1165"/>
      <c r="AU783" s="1031"/>
      <c r="AV783" s="1045"/>
      <c r="AW783" s="1038"/>
      <c r="AX783" s="1035"/>
      <c r="AY783" s="483"/>
      <c r="AZ783" s="429"/>
      <c r="BA783" s="431"/>
      <c r="BB783" s="1035"/>
      <c r="BC783" s="1035"/>
      <c r="BD783" s="481"/>
      <c r="BE783" s="432"/>
      <c r="BF783" s="646"/>
      <c r="BG783" s="1047"/>
      <c r="BH783" s="1046"/>
      <c r="BI783" s="1048"/>
      <c r="BJ783" s="1030"/>
      <c r="BK783" s="1046"/>
      <c r="BL783" s="1048"/>
      <c r="BM783" s="1046"/>
      <c r="BN783" s="1167"/>
      <c r="BO783" s="1035"/>
      <c r="BP783" s="1043"/>
      <c r="BQ783" s="1167"/>
      <c r="BR783" s="1165"/>
      <c r="BS783" s="1031"/>
      <c r="BT783" s="1038"/>
      <c r="BU783" s="1035"/>
      <c r="BV783" s="1035"/>
      <c r="BW783" s="1049"/>
      <c r="BX783" s="1043"/>
      <c r="BY783" s="1046"/>
      <c r="BZ783" s="1167"/>
      <c r="CA783" s="1165"/>
      <c r="CB783" s="1031"/>
      <c r="CC783" s="1038"/>
      <c r="CD783" s="1035"/>
      <c r="CE783" s="1035"/>
      <c r="CF783" s="1049"/>
      <c r="CG783" s="1043"/>
      <c r="CH783" s="1046"/>
      <c r="CI783" s="1167"/>
      <c r="CJ783" s="1168"/>
      <c r="CK783" s="1169"/>
      <c r="CL783" s="1169"/>
      <c r="CM783" s="1166"/>
      <c r="CN783" s="1169"/>
      <c r="CO783" s="1169"/>
      <c r="CP783" s="452"/>
      <c r="CQ783" s="435"/>
      <c r="CR783" s="1117"/>
      <c r="CS783" s="452"/>
      <c r="CT783" s="482"/>
      <c r="CU783" s="476"/>
      <c r="CV783" s="431"/>
      <c r="CW783" s="1108"/>
      <c r="CX783" s="1108"/>
      <c r="CY783" s="483"/>
      <c r="CZ783" s="437"/>
      <c r="DA783" s="438"/>
      <c r="DB783" s="439"/>
      <c r="DC783" s="439"/>
      <c r="DD783" s="443"/>
      <c r="DE783" s="411"/>
      <c r="DF783" s="411"/>
      <c r="DG783" s="1117"/>
      <c r="DH783" s="1117"/>
      <c r="DI783" s="1117"/>
      <c r="DJ783" s="442"/>
      <c r="DK783" s="482"/>
      <c r="DL783" s="1038"/>
      <c r="DM783" s="1035"/>
      <c r="DN783" s="1035"/>
      <c r="DO783" s="1035"/>
      <c r="DP783" s="1046"/>
      <c r="DQ783" s="1167"/>
      <c r="DR783" s="1168"/>
      <c r="DS783" s="1165"/>
      <c r="DT783" s="1165"/>
      <c r="DU783" s="1165"/>
      <c r="DV783" s="1031"/>
      <c r="DW783" s="1098">
        <f t="shared" si="1172"/>
        <v>0</v>
      </c>
      <c r="DX783" s="1098">
        <f t="shared" si="1173"/>
        <v>0</v>
      </c>
      <c r="DY783" s="1030"/>
      <c r="DZ783" s="1030"/>
      <c r="EA783" s="1031"/>
      <c r="EB783" s="1050"/>
      <c r="EC783" s="1038"/>
      <c r="ED783" s="1035"/>
      <c r="EE783" s="1046"/>
      <c r="EF783" s="1169"/>
      <c r="EG783" s="1168"/>
      <c r="EH783" s="1165"/>
      <c r="EI783" s="1165"/>
      <c r="EJ783" s="1165"/>
      <c r="EK783" s="1031"/>
      <c r="EL783" s="1098">
        <f t="shared" si="1174"/>
        <v>0</v>
      </c>
      <c r="EM783" s="1098">
        <f t="shared" si="1175"/>
        <v>0</v>
      </c>
      <c r="EN783" s="1030"/>
      <c r="EO783" s="1030"/>
      <c r="EP783" s="1031"/>
      <c r="EQ783" s="1050"/>
      <c r="ER783" s="1038"/>
      <c r="ES783" s="1035"/>
      <c r="ET783" s="1051"/>
    </row>
    <row r="784" spans="2:150" ht="16.5" customHeight="1">
      <c r="B784" s="1024"/>
      <c r="C784" s="1025"/>
      <c r="D784" s="408">
        <v>781</v>
      </c>
      <c r="E784" s="1164"/>
      <c r="F784" s="1164"/>
      <c r="G784" s="1026"/>
      <c r="H784" s="411" t="str">
        <f>IFERROR(INDEX(绊状态确认!C:C,MATCH($G784,绊状态确认!$B:$B,)),"")</f>
        <v/>
      </c>
      <c r="I784" s="450" t="str">
        <f>IFERROR(INDEX(绊状态确认!D:D,MATCH($G784,绊状态确认!$B:$B,)),"")</f>
        <v/>
      </c>
      <c r="J784" s="450" t="str">
        <f>IFERROR(INDEX(绊状态确认!E:E,MATCH($G784,绊状态确认!$B:$B,)),"")</f>
        <v/>
      </c>
      <c r="K784" s="451" t="str">
        <f>IFERROR(INDEX(绊状态确认!F:F,MATCH($G784,绊状态确认!$B:$B,)),"")</f>
        <v/>
      </c>
      <c r="L784" s="1026"/>
      <c r="M784" s="1165"/>
      <c r="N784" s="1027"/>
      <c r="O784" s="1026"/>
      <c r="P784" s="1028"/>
      <c r="Q784" s="1029"/>
      <c r="R784" s="1166"/>
      <c r="S784" s="1030"/>
      <c r="T784" s="1031"/>
      <c r="U784" s="1032"/>
      <c r="V784" s="1033"/>
      <c r="W784" s="1034"/>
      <c r="X784" s="1166"/>
      <c r="Y784" s="1035"/>
      <c r="Z784" s="1036"/>
      <c r="AA784" s="1037"/>
      <c r="AB784" s="1038"/>
      <c r="AC784" s="1039"/>
      <c r="AD784" s="1040"/>
      <c r="AE784" s="1041"/>
      <c r="AF784" s="521"/>
      <c r="AG784" s="420"/>
      <c r="AH784" s="420"/>
      <c r="AI784" s="420"/>
      <c r="AJ784" s="420"/>
      <c r="AK784" s="518"/>
      <c r="AL784" s="1042"/>
      <c r="AM784" s="1035"/>
      <c r="AN784" s="1043"/>
      <c r="AO784" s="1167"/>
      <c r="AP784" s="1044"/>
      <c r="AQ784" s="1035"/>
      <c r="AR784" s="1035"/>
      <c r="AS784" s="1035"/>
      <c r="AT784" s="1165"/>
      <c r="AU784" s="1031"/>
      <c r="AV784" s="1045"/>
      <c r="AW784" s="1038"/>
      <c r="AX784" s="1035"/>
      <c r="AY784" s="483"/>
      <c r="AZ784" s="429"/>
      <c r="BA784" s="431"/>
      <c r="BB784" s="1035"/>
      <c r="BC784" s="1035"/>
      <c r="BD784" s="481"/>
      <c r="BE784" s="432"/>
      <c r="BF784" s="646"/>
      <c r="BG784" s="1047"/>
      <c r="BH784" s="1046"/>
      <c r="BI784" s="1048"/>
      <c r="BJ784" s="1030"/>
      <c r="BK784" s="1046"/>
      <c r="BL784" s="1048"/>
      <c r="BM784" s="1046"/>
      <c r="BN784" s="1167"/>
      <c r="BO784" s="1035"/>
      <c r="BP784" s="1043"/>
      <c r="BQ784" s="1167"/>
      <c r="BR784" s="1165"/>
      <c r="BS784" s="1031"/>
      <c r="BT784" s="1038"/>
      <c r="BU784" s="1035"/>
      <c r="BV784" s="1035"/>
      <c r="BW784" s="1049"/>
      <c r="BX784" s="1043"/>
      <c r="BY784" s="1046"/>
      <c r="BZ784" s="1167"/>
      <c r="CA784" s="1165"/>
      <c r="CB784" s="1031"/>
      <c r="CC784" s="1038"/>
      <c r="CD784" s="1035"/>
      <c r="CE784" s="1035"/>
      <c r="CF784" s="1049"/>
      <c r="CG784" s="1043"/>
      <c r="CH784" s="1046"/>
      <c r="CI784" s="1167"/>
      <c r="CJ784" s="1168"/>
      <c r="CK784" s="1169"/>
      <c r="CL784" s="1169"/>
      <c r="CM784" s="1166"/>
      <c r="CN784" s="1169"/>
      <c r="CO784" s="1169"/>
      <c r="CP784" s="452"/>
      <c r="CQ784" s="435"/>
      <c r="CR784" s="1117"/>
      <c r="CS784" s="452"/>
      <c r="CT784" s="482"/>
      <c r="CU784" s="476"/>
      <c r="CV784" s="431"/>
      <c r="CW784" s="1108"/>
      <c r="CX784" s="1108"/>
      <c r="CY784" s="483"/>
      <c r="CZ784" s="437"/>
      <c r="DA784" s="438"/>
      <c r="DB784" s="439"/>
      <c r="DC784" s="439"/>
      <c r="DD784" s="443"/>
      <c r="DE784" s="411"/>
      <c r="DF784" s="411"/>
      <c r="DG784" s="1117"/>
      <c r="DH784" s="1117"/>
      <c r="DI784" s="1117"/>
      <c r="DJ784" s="442"/>
      <c r="DK784" s="482"/>
      <c r="DL784" s="1038"/>
      <c r="DM784" s="1035"/>
      <c r="DN784" s="1035"/>
      <c r="DO784" s="1035"/>
      <c r="DP784" s="1046"/>
      <c r="DQ784" s="1167"/>
      <c r="DR784" s="1168"/>
      <c r="DS784" s="1165"/>
      <c r="DT784" s="1165"/>
      <c r="DU784" s="1165"/>
      <c r="DV784" s="1031"/>
      <c r="DW784" s="1098">
        <f t="shared" si="1172"/>
        <v>0</v>
      </c>
      <c r="DX784" s="1098">
        <f t="shared" si="1173"/>
        <v>0</v>
      </c>
      <c r="DY784" s="1030"/>
      <c r="DZ784" s="1030"/>
      <c r="EA784" s="1031"/>
      <c r="EB784" s="1050"/>
      <c r="EC784" s="1038"/>
      <c r="ED784" s="1035"/>
      <c r="EE784" s="1046"/>
      <c r="EF784" s="1169"/>
      <c r="EG784" s="1168"/>
      <c r="EH784" s="1165"/>
      <c r="EI784" s="1165"/>
      <c r="EJ784" s="1165"/>
      <c r="EK784" s="1031"/>
      <c r="EL784" s="1098">
        <f t="shared" si="1174"/>
        <v>0</v>
      </c>
      <c r="EM784" s="1098">
        <f t="shared" si="1175"/>
        <v>0</v>
      </c>
      <c r="EN784" s="1030"/>
      <c r="EO784" s="1030"/>
      <c r="EP784" s="1031"/>
      <c r="EQ784" s="1050"/>
      <c r="ER784" s="1038"/>
      <c r="ES784" s="1035"/>
      <c r="ET784" s="1051"/>
    </row>
    <row r="785" spans="2:150" ht="16.5" customHeight="1">
      <c r="B785" s="1024"/>
      <c r="C785" s="1025"/>
      <c r="D785" s="408">
        <v>782</v>
      </c>
      <c r="E785" s="1164"/>
      <c r="F785" s="1164"/>
      <c r="G785" s="1026"/>
      <c r="H785" s="411" t="str">
        <f>IFERROR(INDEX(绊状态确认!C:C,MATCH($G785,绊状态确认!$B:$B,)),"")</f>
        <v/>
      </c>
      <c r="I785" s="450" t="str">
        <f>IFERROR(INDEX(绊状态确认!D:D,MATCH($G785,绊状态确认!$B:$B,)),"")</f>
        <v/>
      </c>
      <c r="J785" s="450" t="str">
        <f>IFERROR(INDEX(绊状态确认!E:E,MATCH($G785,绊状态确认!$B:$B,)),"")</f>
        <v/>
      </c>
      <c r="K785" s="451" t="str">
        <f>IFERROR(INDEX(绊状态确认!F:F,MATCH($G785,绊状态确认!$B:$B,)),"")</f>
        <v/>
      </c>
      <c r="L785" s="1026"/>
      <c r="M785" s="1165"/>
      <c r="N785" s="1027"/>
      <c r="O785" s="1026"/>
      <c r="P785" s="1028"/>
      <c r="Q785" s="1029"/>
      <c r="R785" s="1166"/>
      <c r="S785" s="1030"/>
      <c r="T785" s="1031"/>
      <c r="U785" s="1032"/>
      <c r="V785" s="1033"/>
      <c r="W785" s="1034"/>
      <c r="X785" s="1166"/>
      <c r="Y785" s="1035"/>
      <c r="Z785" s="1036"/>
      <c r="AA785" s="1037"/>
      <c r="AB785" s="1038"/>
      <c r="AC785" s="1039"/>
      <c r="AD785" s="1040"/>
      <c r="AE785" s="1041"/>
      <c r="AF785" s="521"/>
      <c r="AG785" s="420"/>
      <c r="AH785" s="420"/>
      <c r="AI785" s="420"/>
      <c r="AJ785" s="420"/>
      <c r="AK785" s="518"/>
      <c r="AL785" s="1042"/>
      <c r="AM785" s="1035"/>
      <c r="AN785" s="1043"/>
      <c r="AO785" s="1167"/>
      <c r="AP785" s="1044"/>
      <c r="AQ785" s="1035"/>
      <c r="AR785" s="1035"/>
      <c r="AS785" s="1035"/>
      <c r="AT785" s="1165"/>
      <c r="AU785" s="1031"/>
      <c r="AV785" s="1045"/>
      <c r="AW785" s="1038"/>
      <c r="AX785" s="1035"/>
      <c r="AY785" s="483"/>
      <c r="AZ785" s="429"/>
      <c r="BA785" s="431"/>
      <c r="BB785" s="1035"/>
      <c r="BC785" s="1035"/>
      <c r="BD785" s="481"/>
      <c r="BE785" s="432"/>
      <c r="BF785" s="646"/>
      <c r="BG785" s="1047"/>
      <c r="BH785" s="1046"/>
      <c r="BI785" s="1048"/>
      <c r="BJ785" s="1030"/>
      <c r="BK785" s="1046"/>
      <c r="BL785" s="1048"/>
      <c r="BM785" s="1046"/>
      <c r="BN785" s="1167"/>
      <c r="BO785" s="1035"/>
      <c r="BP785" s="1043"/>
      <c r="BQ785" s="1167"/>
      <c r="BR785" s="1165"/>
      <c r="BS785" s="1031"/>
      <c r="BT785" s="1038"/>
      <c r="BU785" s="1035"/>
      <c r="BV785" s="1035"/>
      <c r="BW785" s="1049"/>
      <c r="BX785" s="1043"/>
      <c r="BY785" s="1046"/>
      <c r="BZ785" s="1167"/>
      <c r="CA785" s="1165"/>
      <c r="CB785" s="1031"/>
      <c r="CC785" s="1038"/>
      <c r="CD785" s="1035"/>
      <c r="CE785" s="1035"/>
      <c r="CF785" s="1049"/>
      <c r="CG785" s="1043"/>
      <c r="CH785" s="1046"/>
      <c r="CI785" s="1167"/>
      <c r="CJ785" s="1168"/>
      <c r="CK785" s="1169"/>
      <c r="CL785" s="1169"/>
      <c r="CM785" s="1166"/>
      <c r="CN785" s="1169"/>
      <c r="CO785" s="1169"/>
      <c r="CP785" s="452"/>
      <c r="CQ785" s="435"/>
      <c r="CR785" s="1117"/>
      <c r="CS785" s="452"/>
      <c r="CT785" s="482"/>
      <c r="CU785" s="476"/>
      <c r="CV785" s="431"/>
      <c r="CW785" s="1108"/>
      <c r="CX785" s="1108"/>
      <c r="CY785" s="483"/>
      <c r="CZ785" s="437"/>
      <c r="DA785" s="438"/>
      <c r="DB785" s="439"/>
      <c r="DC785" s="439"/>
      <c r="DD785" s="443"/>
      <c r="DE785" s="411"/>
      <c r="DF785" s="411"/>
      <c r="DG785" s="1117"/>
      <c r="DH785" s="1117"/>
      <c r="DI785" s="1117"/>
      <c r="DJ785" s="442"/>
      <c r="DK785" s="482"/>
      <c r="DL785" s="1038"/>
      <c r="DM785" s="1035"/>
      <c r="DN785" s="1035"/>
      <c r="DO785" s="1035"/>
      <c r="DP785" s="1046"/>
      <c r="DQ785" s="1167"/>
      <c r="DR785" s="1168"/>
      <c r="DS785" s="1165"/>
      <c r="DT785" s="1165"/>
      <c r="DU785" s="1165"/>
      <c r="DV785" s="1031"/>
      <c r="DW785" s="1098">
        <f t="shared" si="1172"/>
        <v>0</v>
      </c>
      <c r="DX785" s="1098">
        <f t="shared" si="1173"/>
        <v>0</v>
      </c>
      <c r="DY785" s="1030"/>
      <c r="DZ785" s="1030"/>
      <c r="EA785" s="1031"/>
      <c r="EB785" s="1050"/>
      <c r="EC785" s="1038"/>
      <c r="ED785" s="1035"/>
      <c r="EE785" s="1046"/>
      <c r="EF785" s="1169"/>
      <c r="EG785" s="1168"/>
      <c r="EH785" s="1165"/>
      <c r="EI785" s="1165"/>
      <c r="EJ785" s="1165"/>
      <c r="EK785" s="1031"/>
      <c r="EL785" s="1098">
        <f t="shared" si="1174"/>
        <v>0</v>
      </c>
      <c r="EM785" s="1098">
        <f t="shared" si="1175"/>
        <v>0</v>
      </c>
      <c r="EN785" s="1030"/>
      <c r="EO785" s="1030"/>
      <c r="EP785" s="1031"/>
      <c r="EQ785" s="1050"/>
      <c r="ER785" s="1038"/>
      <c r="ES785" s="1035"/>
      <c r="ET785" s="1051"/>
    </row>
    <row r="786" spans="2:150" ht="16.5" customHeight="1">
      <c r="B786" s="1024"/>
      <c r="C786" s="1025"/>
      <c r="D786" s="408">
        <v>783</v>
      </c>
      <c r="E786" s="1164"/>
      <c r="F786" s="1164"/>
      <c r="G786" s="1026"/>
      <c r="H786" s="411" t="str">
        <f>IFERROR(INDEX(绊状态确认!C:C,MATCH($G786,绊状态确认!$B:$B,)),"")</f>
        <v/>
      </c>
      <c r="I786" s="450" t="str">
        <f>IFERROR(INDEX(绊状态确认!D:D,MATCH($G786,绊状态确认!$B:$B,)),"")</f>
        <v/>
      </c>
      <c r="J786" s="450" t="str">
        <f>IFERROR(INDEX(绊状态确认!E:E,MATCH($G786,绊状态确认!$B:$B,)),"")</f>
        <v/>
      </c>
      <c r="K786" s="451" t="str">
        <f>IFERROR(INDEX(绊状态确认!F:F,MATCH($G786,绊状态确认!$B:$B,)),"")</f>
        <v/>
      </c>
      <c r="L786" s="1026"/>
      <c r="M786" s="1165"/>
      <c r="N786" s="1027"/>
      <c r="O786" s="1026"/>
      <c r="P786" s="1028"/>
      <c r="Q786" s="1029"/>
      <c r="R786" s="1166"/>
      <c r="S786" s="1030"/>
      <c r="T786" s="1031"/>
      <c r="U786" s="1032"/>
      <c r="V786" s="1033"/>
      <c r="W786" s="1034"/>
      <c r="X786" s="1166"/>
      <c r="Y786" s="1035"/>
      <c r="Z786" s="1036"/>
      <c r="AA786" s="1037"/>
      <c r="AB786" s="1038"/>
      <c r="AC786" s="1039"/>
      <c r="AD786" s="1040"/>
      <c r="AE786" s="1041"/>
      <c r="AF786" s="521"/>
      <c r="AG786" s="420"/>
      <c r="AH786" s="420"/>
      <c r="AI786" s="420"/>
      <c r="AJ786" s="420"/>
      <c r="AK786" s="518"/>
      <c r="AL786" s="1042"/>
      <c r="AM786" s="1035"/>
      <c r="AN786" s="1043"/>
      <c r="AO786" s="1167"/>
      <c r="AP786" s="1044"/>
      <c r="AQ786" s="1035"/>
      <c r="AR786" s="1035"/>
      <c r="AS786" s="1035"/>
      <c r="AT786" s="1165"/>
      <c r="AU786" s="1031"/>
      <c r="AV786" s="1045"/>
      <c r="AW786" s="1038"/>
      <c r="AX786" s="1035"/>
      <c r="AY786" s="483"/>
      <c r="AZ786" s="429"/>
      <c r="BA786" s="431"/>
      <c r="BB786" s="1035"/>
      <c r="BC786" s="1035"/>
      <c r="BD786" s="481"/>
      <c r="BE786" s="432"/>
      <c r="BF786" s="646"/>
      <c r="BG786" s="1047"/>
      <c r="BH786" s="1046"/>
      <c r="BI786" s="1048"/>
      <c r="BJ786" s="1030"/>
      <c r="BK786" s="1046"/>
      <c r="BL786" s="1048"/>
      <c r="BM786" s="1046"/>
      <c r="BN786" s="1167"/>
      <c r="BO786" s="1035"/>
      <c r="BP786" s="1043"/>
      <c r="BQ786" s="1167"/>
      <c r="BR786" s="1165"/>
      <c r="BS786" s="1031"/>
      <c r="BT786" s="1038"/>
      <c r="BU786" s="1035"/>
      <c r="BV786" s="1035"/>
      <c r="BW786" s="1049"/>
      <c r="BX786" s="1043"/>
      <c r="BY786" s="1046"/>
      <c r="BZ786" s="1167"/>
      <c r="CA786" s="1165"/>
      <c r="CB786" s="1031"/>
      <c r="CC786" s="1038"/>
      <c r="CD786" s="1035"/>
      <c r="CE786" s="1035"/>
      <c r="CF786" s="1049"/>
      <c r="CG786" s="1043"/>
      <c r="CH786" s="1046"/>
      <c r="CI786" s="1167"/>
      <c r="CJ786" s="1168"/>
      <c r="CK786" s="1169"/>
      <c r="CL786" s="1169"/>
      <c r="CM786" s="1166"/>
      <c r="CN786" s="1169"/>
      <c r="CO786" s="1169"/>
      <c r="CP786" s="452"/>
      <c r="CQ786" s="435"/>
      <c r="CR786" s="1117"/>
      <c r="CS786" s="452"/>
      <c r="CT786" s="482"/>
      <c r="CU786" s="476"/>
      <c r="CV786" s="431"/>
      <c r="CW786" s="1108"/>
      <c r="CX786" s="1108"/>
      <c r="CY786" s="483"/>
      <c r="CZ786" s="437"/>
      <c r="DA786" s="438"/>
      <c r="DB786" s="439"/>
      <c r="DC786" s="439"/>
      <c r="DD786" s="443"/>
      <c r="DE786" s="411"/>
      <c r="DF786" s="411"/>
      <c r="DG786" s="1117"/>
      <c r="DH786" s="1117"/>
      <c r="DI786" s="1117"/>
      <c r="DJ786" s="442"/>
      <c r="DK786" s="482"/>
      <c r="DL786" s="1038"/>
      <c r="DM786" s="1035"/>
      <c r="DN786" s="1035"/>
      <c r="DO786" s="1035"/>
      <c r="DP786" s="1046"/>
      <c r="DQ786" s="1167"/>
      <c r="DR786" s="1168"/>
      <c r="DS786" s="1165"/>
      <c r="DT786" s="1165"/>
      <c r="DU786" s="1165"/>
      <c r="DV786" s="1031"/>
      <c r="DW786" s="1098">
        <f t="shared" si="1172"/>
        <v>0</v>
      </c>
      <c r="DX786" s="1098">
        <f t="shared" si="1173"/>
        <v>0</v>
      </c>
      <c r="DY786" s="1030"/>
      <c r="DZ786" s="1030"/>
      <c r="EA786" s="1031"/>
      <c r="EB786" s="1050"/>
      <c r="EC786" s="1038"/>
      <c r="ED786" s="1035"/>
      <c r="EE786" s="1046"/>
      <c r="EF786" s="1169"/>
      <c r="EG786" s="1168"/>
      <c r="EH786" s="1165"/>
      <c r="EI786" s="1165"/>
      <c r="EJ786" s="1165"/>
      <c r="EK786" s="1031"/>
      <c r="EL786" s="1098">
        <f t="shared" si="1174"/>
        <v>0</v>
      </c>
      <c r="EM786" s="1098">
        <f t="shared" si="1175"/>
        <v>0</v>
      </c>
      <c r="EN786" s="1030"/>
      <c r="EO786" s="1030"/>
      <c r="EP786" s="1031"/>
      <c r="EQ786" s="1050"/>
      <c r="ER786" s="1038"/>
      <c r="ES786" s="1035"/>
      <c r="ET786" s="1051"/>
    </row>
    <row r="787" spans="2:150" ht="16.5" customHeight="1">
      <c r="B787" s="1024"/>
      <c r="C787" s="1025"/>
      <c r="D787" s="408">
        <v>784</v>
      </c>
      <c r="E787" s="1164"/>
      <c r="F787" s="1164"/>
      <c r="G787" s="1026"/>
      <c r="H787" s="411" t="str">
        <f>IFERROR(INDEX(绊状态确认!C:C,MATCH($G787,绊状态确认!$B:$B,)),"")</f>
        <v/>
      </c>
      <c r="I787" s="450" t="str">
        <f>IFERROR(INDEX(绊状态确认!D:D,MATCH($G787,绊状态确认!$B:$B,)),"")</f>
        <v/>
      </c>
      <c r="J787" s="450" t="str">
        <f>IFERROR(INDEX(绊状态确认!E:E,MATCH($G787,绊状态确认!$B:$B,)),"")</f>
        <v/>
      </c>
      <c r="K787" s="451" t="str">
        <f>IFERROR(INDEX(绊状态确认!F:F,MATCH($G787,绊状态确认!$B:$B,)),"")</f>
        <v/>
      </c>
      <c r="L787" s="1026"/>
      <c r="M787" s="1165"/>
      <c r="N787" s="1027"/>
      <c r="O787" s="1026"/>
      <c r="P787" s="1028"/>
      <c r="Q787" s="1029"/>
      <c r="R787" s="1166"/>
      <c r="S787" s="1030"/>
      <c r="T787" s="1031"/>
      <c r="U787" s="1032"/>
      <c r="V787" s="1033"/>
      <c r="W787" s="1034"/>
      <c r="X787" s="1166"/>
      <c r="Y787" s="1035"/>
      <c r="Z787" s="1036"/>
      <c r="AA787" s="1037"/>
      <c r="AB787" s="1038"/>
      <c r="AC787" s="1039"/>
      <c r="AD787" s="1040"/>
      <c r="AE787" s="1041"/>
      <c r="AF787" s="521"/>
      <c r="AG787" s="420"/>
      <c r="AH787" s="420"/>
      <c r="AI787" s="420"/>
      <c r="AJ787" s="420"/>
      <c r="AK787" s="518"/>
      <c r="AL787" s="1042"/>
      <c r="AM787" s="1035"/>
      <c r="AN787" s="1043"/>
      <c r="AO787" s="1167"/>
      <c r="AP787" s="1044"/>
      <c r="AQ787" s="1035"/>
      <c r="AR787" s="1035"/>
      <c r="AS787" s="1035"/>
      <c r="AT787" s="1165"/>
      <c r="AU787" s="1031"/>
      <c r="AV787" s="1045"/>
      <c r="AW787" s="1038"/>
      <c r="AX787" s="1035"/>
      <c r="AY787" s="483"/>
      <c r="AZ787" s="429"/>
      <c r="BA787" s="431"/>
      <c r="BB787" s="1035"/>
      <c r="BC787" s="1035"/>
      <c r="BD787" s="481"/>
      <c r="BE787" s="432"/>
      <c r="BF787" s="646"/>
      <c r="BG787" s="1047"/>
      <c r="BH787" s="1046"/>
      <c r="BI787" s="1048"/>
      <c r="BJ787" s="1030"/>
      <c r="BK787" s="1046"/>
      <c r="BL787" s="1048"/>
      <c r="BM787" s="1046"/>
      <c r="BN787" s="1167"/>
      <c r="BO787" s="1035"/>
      <c r="BP787" s="1043"/>
      <c r="BQ787" s="1167"/>
      <c r="BR787" s="1165"/>
      <c r="BS787" s="1031"/>
      <c r="BT787" s="1038"/>
      <c r="BU787" s="1035"/>
      <c r="BV787" s="1035"/>
      <c r="BW787" s="1049"/>
      <c r="BX787" s="1043"/>
      <c r="BY787" s="1046"/>
      <c r="BZ787" s="1167"/>
      <c r="CA787" s="1165"/>
      <c r="CB787" s="1031"/>
      <c r="CC787" s="1038"/>
      <c r="CD787" s="1035"/>
      <c r="CE787" s="1035"/>
      <c r="CF787" s="1049"/>
      <c r="CG787" s="1043"/>
      <c r="CH787" s="1046"/>
      <c r="CI787" s="1167"/>
      <c r="CJ787" s="1168"/>
      <c r="CK787" s="1169"/>
      <c r="CL787" s="1169"/>
      <c r="CM787" s="1166"/>
      <c r="CN787" s="1169"/>
      <c r="CO787" s="1169"/>
      <c r="CP787" s="452"/>
      <c r="CQ787" s="435"/>
      <c r="CR787" s="1117"/>
      <c r="CS787" s="452"/>
      <c r="CT787" s="482"/>
      <c r="CU787" s="476"/>
      <c r="CV787" s="431"/>
      <c r="CW787" s="1108"/>
      <c r="CX787" s="1108"/>
      <c r="CY787" s="483"/>
      <c r="CZ787" s="437"/>
      <c r="DA787" s="438"/>
      <c r="DB787" s="439"/>
      <c r="DC787" s="439"/>
      <c r="DD787" s="443"/>
      <c r="DE787" s="411"/>
      <c r="DF787" s="411"/>
      <c r="DG787" s="1117"/>
      <c r="DH787" s="1117"/>
      <c r="DI787" s="1117"/>
      <c r="DJ787" s="442"/>
      <c r="DK787" s="482"/>
      <c r="DL787" s="1038"/>
      <c r="DM787" s="1035"/>
      <c r="DN787" s="1035"/>
      <c r="DO787" s="1035"/>
      <c r="DP787" s="1046"/>
      <c r="DQ787" s="1167"/>
      <c r="DR787" s="1168"/>
      <c r="DS787" s="1165"/>
      <c r="DT787" s="1165"/>
      <c r="DU787" s="1165"/>
      <c r="DV787" s="1031"/>
      <c r="DW787" s="1098">
        <f t="shared" si="1172"/>
        <v>0</v>
      </c>
      <c r="DX787" s="1098">
        <f t="shared" si="1173"/>
        <v>0</v>
      </c>
      <c r="DY787" s="1030"/>
      <c r="DZ787" s="1030"/>
      <c r="EA787" s="1031"/>
      <c r="EB787" s="1050"/>
      <c r="EC787" s="1038"/>
      <c r="ED787" s="1035"/>
      <c r="EE787" s="1046"/>
      <c r="EF787" s="1169"/>
      <c r="EG787" s="1168"/>
      <c r="EH787" s="1165"/>
      <c r="EI787" s="1165"/>
      <c r="EJ787" s="1165"/>
      <c r="EK787" s="1031"/>
      <c r="EL787" s="1098">
        <f t="shared" si="1174"/>
        <v>0</v>
      </c>
      <c r="EM787" s="1098">
        <f t="shared" si="1175"/>
        <v>0</v>
      </c>
      <c r="EN787" s="1030"/>
      <c r="EO787" s="1030"/>
      <c r="EP787" s="1031"/>
      <c r="EQ787" s="1050"/>
      <c r="ER787" s="1038"/>
      <c r="ES787" s="1035"/>
      <c r="ET787" s="1051"/>
    </row>
    <row r="788" spans="2:150" ht="16.5" customHeight="1">
      <c r="B788" s="1024"/>
      <c r="C788" s="1025"/>
      <c r="D788" s="408">
        <v>785</v>
      </c>
      <c r="E788" s="1164"/>
      <c r="F788" s="1164"/>
      <c r="G788" s="1026"/>
      <c r="H788" s="411" t="str">
        <f>IFERROR(INDEX(绊状态确认!C:C,MATCH($G788,绊状态确认!$B:$B,)),"")</f>
        <v/>
      </c>
      <c r="I788" s="450" t="str">
        <f>IFERROR(INDEX(绊状态确认!D:D,MATCH($G788,绊状态确认!$B:$B,)),"")</f>
        <v/>
      </c>
      <c r="J788" s="450" t="str">
        <f>IFERROR(INDEX(绊状态确认!E:E,MATCH($G788,绊状态确认!$B:$B,)),"")</f>
        <v/>
      </c>
      <c r="K788" s="451" t="str">
        <f>IFERROR(INDEX(绊状态确认!F:F,MATCH($G788,绊状态确认!$B:$B,)),"")</f>
        <v/>
      </c>
      <c r="L788" s="1026"/>
      <c r="M788" s="1165"/>
      <c r="N788" s="1027"/>
      <c r="O788" s="1026"/>
      <c r="P788" s="1028"/>
      <c r="Q788" s="1029"/>
      <c r="R788" s="1166"/>
      <c r="S788" s="1030"/>
      <c r="T788" s="1031"/>
      <c r="U788" s="1032"/>
      <c r="V788" s="1033"/>
      <c r="W788" s="1034"/>
      <c r="X788" s="1166"/>
      <c r="Y788" s="1035"/>
      <c r="Z788" s="1036"/>
      <c r="AA788" s="1037"/>
      <c r="AB788" s="1038"/>
      <c r="AC788" s="1039"/>
      <c r="AD788" s="1040"/>
      <c r="AE788" s="1041"/>
      <c r="AF788" s="521"/>
      <c r="AG788" s="420"/>
      <c r="AH788" s="420"/>
      <c r="AI788" s="420"/>
      <c r="AJ788" s="420"/>
      <c r="AK788" s="518"/>
      <c r="AL788" s="1042"/>
      <c r="AM788" s="1035"/>
      <c r="AN788" s="1043"/>
      <c r="AO788" s="1167"/>
      <c r="AP788" s="1044"/>
      <c r="AQ788" s="1035"/>
      <c r="AR788" s="1035"/>
      <c r="AS788" s="1035"/>
      <c r="AT788" s="1165"/>
      <c r="AU788" s="1031"/>
      <c r="AV788" s="1045"/>
      <c r="AW788" s="1038"/>
      <c r="AX788" s="1035"/>
      <c r="AY788" s="483"/>
      <c r="AZ788" s="429"/>
      <c r="BA788" s="431"/>
      <c r="BB788" s="1035"/>
      <c r="BC788" s="1035"/>
      <c r="BD788" s="481"/>
      <c r="BE788" s="432"/>
      <c r="BF788" s="646"/>
      <c r="BG788" s="1047"/>
      <c r="BH788" s="1046"/>
      <c r="BI788" s="1048"/>
      <c r="BJ788" s="1030"/>
      <c r="BK788" s="1046"/>
      <c r="BL788" s="1048"/>
      <c r="BM788" s="1046"/>
      <c r="BN788" s="1167"/>
      <c r="BO788" s="1035"/>
      <c r="BP788" s="1043"/>
      <c r="BQ788" s="1167"/>
      <c r="BR788" s="1165"/>
      <c r="BS788" s="1031"/>
      <c r="BT788" s="1038"/>
      <c r="BU788" s="1035"/>
      <c r="BV788" s="1035"/>
      <c r="BW788" s="1049"/>
      <c r="BX788" s="1043"/>
      <c r="BY788" s="1046"/>
      <c r="BZ788" s="1167"/>
      <c r="CA788" s="1165"/>
      <c r="CB788" s="1031"/>
      <c r="CC788" s="1038"/>
      <c r="CD788" s="1035"/>
      <c r="CE788" s="1035"/>
      <c r="CF788" s="1049"/>
      <c r="CG788" s="1043"/>
      <c r="CH788" s="1046"/>
      <c r="CI788" s="1167"/>
      <c r="CJ788" s="1168"/>
      <c r="CK788" s="1169"/>
      <c r="CL788" s="1169"/>
      <c r="CM788" s="1166"/>
      <c r="CN788" s="1169"/>
      <c r="CO788" s="1169"/>
      <c r="CP788" s="452"/>
      <c r="CQ788" s="435"/>
      <c r="CR788" s="1117"/>
      <c r="CS788" s="452"/>
      <c r="CT788" s="482"/>
      <c r="CU788" s="476"/>
      <c r="CV788" s="431"/>
      <c r="CW788" s="1108"/>
      <c r="CX788" s="1108"/>
      <c r="CY788" s="483"/>
      <c r="CZ788" s="437"/>
      <c r="DA788" s="438"/>
      <c r="DB788" s="439"/>
      <c r="DC788" s="439"/>
      <c r="DD788" s="443"/>
      <c r="DE788" s="411"/>
      <c r="DF788" s="411"/>
      <c r="DG788" s="1117"/>
      <c r="DH788" s="1117"/>
      <c r="DI788" s="1117"/>
      <c r="DJ788" s="442"/>
      <c r="DK788" s="482"/>
      <c r="DL788" s="1038"/>
      <c r="DM788" s="1035"/>
      <c r="DN788" s="1035"/>
      <c r="DO788" s="1035"/>
      <c r="DP788" s="1046"/>
      <c r="DQ788" s="1167"/>
      <c r="DR788" s="1168"/>
      <c r="DS788" s="1165"/>
      <c r="DT788" s="1165"/>
      <c r="DU788" s="1165"/>
      <c r="DV788" s="1031"/>
      <c r="DW788" s="1098">
        <f t="shared" si="1172"/>
        <v>0</v>
      </c>
      <c r="DX788" s="1098">
        <f t="shared" si="1173"/>
        <v>0</v>
      </c>
      <c r="DY788" s="1030"/>
      <c r="DZ788" s="1030"/>
      <c r="EA788" s="1031"/>
      <c r="EB788" s="1050"/>
      <c r="EC788" s="1038"/>
      <c r="ED788" s="1035"/>
      <c r="EE788" s="1046"/>
      <c r="EF788" s="1169"/>
      <c r="EG788" s="1168"/>
      <c r="EH788" s="1165"/>
      <c r="EI788" s="1165"/>
      <c r="EJ788" s="1165"/>
      <c r="EK788" s="1031"/>
      <c r="EL788" s="1098">
        <f t="shared" si="1174"/>
        <v>0</v>
      </c>
      <c r="EM788" s="1098">
        <f t="shared" si="1175"/>
        <v>0</v>
      </c>
      <c r="EN788" s="1030"/>
      <c r="EO788" s="1030"/>
      <c r="EP788" s="1031"/>
      <c r="EQ788" s="1050"/>
      <c r="ER788" s="1038"/>
      <c r="ES788" s="1035"/>
      <c r="ET788" s="1051"/>
    </row>
    <row r="789" spans="2:150" ht="16.5" customHeight="1">
      <c r="B789" s="1024"/>
      <c r="C789" s="1025"/>
      <c r="D789" s="408">
        <v>786</v>
      </c>
      <c r="E789" s="1164"/>
      <c r="F789" s="1164"/>
      <c r="G789" s="1026"/>
      <c r="H789" s="411" t="str">
        <f>IFERROR(INDEX(绊状态确认!C:C,MATCH($G789,绊状态确认!$B:$B,)),"")</f>
        <v/>
      </c>
      <c r="I789" s="450" t="str">
        <f>IFERROR(INDEX(绊状态确认!D:D,MATCH($G789,绊状态确认!$B:$B,)),"")</f>
        <v/>
      </c>
      <c r="J789" s="450" t="str">
        <f>IFERROR(INDEX(绊状态确认!E:E,MATCH($G789,绊状态确认!$B:$B,)),"")</f>
        <v/>
      </c>
      <c r="K789" s="451" t="str">
        <f>IFERROR(INDEX(绊状态确认!F:F,MATCH($G789,绊状态确认!$B:$B,)),"")</f>
        <v/>
      </c>
      <c r="L789" s="1026"/>
      <c r="M789" s="1165"/>
      <c r="N789" s="1027"/>
      <c r="O789" s="1026"/>
      <c r="P789" s="1028"/>
      <c r="Q789" s="1029"/>
      <c r="R789" s="1166"/>
      <c r="S789" s="1030"/>
      <c r="T789" s="1031"/>
      <c r="U789" s="1032"/>
      <c r="V789" s="1033"/>
      <c r="W789" s="1034"/>
      <c r="X789" s="1166"/>
      <c r="Y789" s="1035"/>
      <c r="Z789" s="1036"/>
      <c r="AA789" s="1037"/>
      <c r="AB789" s="1038"/>
      <c r="AC789" s="1039"/>
      <c r="AD789" s="1040"/>
      <c r="AE789" s="1041"/>
      <c r="AF789" s="521"/>
      <c r="AG789" s="420"/>
      <c r="AH789" s="420"/>
      <c r="AI789" s="420"/>
      <c r="AJ789" s="420"/>
      <c r="AK789" s="518"/>
      <c r="AL789" s="1042"/>
      <c r="AM789" s="1035"/>
      <c r="AN789" s="1043"/>
      <c r="AO789" s="1167"/>
      <c r="AP789" s="1044"/>
      <c r="AQ789" s="1035"/>
      <c r="AR789" s="1035"/>
      <c r="AS789" s="1035"/>
      <c r="AT789" s="1165"/>
      <c r="AU789" s="1031"/>
      <c r="AV789" s="1045"/>
      <c r="AW789" s="1038"/>
      <c r="AX789" s="1035"/>
      <c r="AY789" s="483"/>
      <c r="AZ789" s="429"/>
      <c r="BA789" s="431"/>
      <c r="BB789" s="1035"/>
      <c r="BC789" s="1035"/>
      <c r="BD789" s="481"/>
      <c r="BE789" s="432"/>
      <c r="BF789" s="646"/>
      <c r="BG789" s="1047"/>
      <c r="BH789" s="1046"/>
      <c r="BI789" s="1048"/>
      <c r="BJ789" s="1030"/>
      <c r="BK789" s="1046"/>
      <c r="BL789" s="1048"/>
      <c r="BM789" s="1046"/>
      <c r="BN789" s="1167"/>
      <c r="BO789" s="1035"/>
      <c r="BP789" s="1043"/>
      <c r="BQ789" s="1167"/>
      <c r="BR789" s="1165"/>
      <c r="BS789" s="1031"/>
      <c r="BT789" s="1038"/>
      <c r="BU789" s="1035"/>
      <c r="BV789" s="1035"/>
      <c r="BW789" s="1049"/>
      <c r="BX789" s="1043"/>
      <c r="BY789" s="1046"/>
      <c r="BZ789" s="1167"/>
      <c r="CA789" s="1165"/>
      <c r="CB789" s="1031"/>
      <c r="CC789" s="1038"/>
      <c r="CD789" s="1035"/>
      <c r="CE789" s="1035"/>
      <c r="CF789" s="1049"/>
      <c r="CG789" s="1043"/>
      <c r="CH789" s="1046"/>
      <c r="CI789" s="1167"/>
      <c r="CJ789" s="1168"/>
      <c r="CK789" s="1169"/>
      <c r="CL789" s="1169"/>
      <c r="CM789" s="1166"/>
      <c r="CN789" s="1169"/>
      <c r="CO789" s="1169"/>
      <c r="CP789" s="452"/>
      <c r="CQ789" s="435"/>
      <c r="CR789" s="441"/>
      <c r="CS789" s="452"/>
      <c r="CT789" s="482"/>
      <c r="CU789" s="476"/>
      <c r="CV789" s="431"/>
      <c r="CW789" s="1108"/>
      <c r="CX789" s="1108"/>
      <c r="CY789" s="483"/>
      <c r="CZ789" s="437"/>
      <c r="DA789" s="438"/>
      <c r="DB789" s="439"/>
      <c r="DC789" s="439"/>
      <c r="DD789" s="443"/>
      <c r="DE789" s="411"/>
      <c r="DF789" s="411"/>
      <c r="DG789" s="1117"/>
      <c r="DH789" s="1117"/>
      <c r="DI789" s="1117"/>
      <c r="DJ789" s="442"/>
      <c r="DK789" s="482"/>
      <c r="DL789" s="1038"/>
      <c r="DM789" s="1035"/>
      <c r="DN789" s="1035"/>
      <c r="DO789" s="1035"/>
      <c r="DP789" s="1046"/>
      <c r="DQ789" s="1167"/>
      <c r="DR789" s="1168"/>
      <c r="DS789" s="1165"/>
      <c r="DT789" s="1165"/>
      <c r="DU789" s="1165"/>
      <c r="DV789" s="1031"/>
      <c r="DW789" s="1098">
        <f t="shared" si="1172"/>
        <v>0</v>
      </c>
      <c r="DX789" s="1098">
        <f t="shared" si="1173"/>
        <v>0</v>
      </c>
      <c r="DY789" s="1030"/>
      <c r="DZ789" s="1030"/>
      <c r="EA789" s="1031"/>
      <c r="EB789" s="1050"/>
      <c r="EC789" s="1038"/>
      <c r="ED789" s="1035"/>
      <c r="EE789" s="1046"/>
      <c r="EF789" s="1169"/>
      <c r="EG789" s="1168"/>
      <c r="EH789" s="1165"/>
      <c r="EI789" s="1165"/>
      <c r="EJ789" s="1165"/>
      <c r="EK789" s="1031"/>
      <c r="EL789" s="1098">
        <f t="shared" si="1174"/>
        <v>0</v>
      </c>
      <c r="EM789" s="1098">
        <f t="shared" si="1175"/>
        <v>0</v>
      </c>
      <c r="EN789" s="1030"/>
      <c r="EO789" s="1030"/>
      <c r="EP789" s="1031"/>
      <c r="EQ789" s="1050"/>
      <c r="ER789" s="1038"/>
      <c r="ES789" s="1035"/>
      <c r="ET789" s="1051"/>
    </row>
    <row r="790" spans="2:150" ht="16.5" customHeight="1">
      <c r="B790" s="1024"/>
      <c r="C790" s="1025"/>
      <c r="D790" s="408">
        <v>787</v>
      </c>
      <c r="E790" s="1164"/>
      <c r="F790" s="1164"/>
      <c r="G790" s="1026"/>
      <c r="H790" s="411" t="str">
        <f>IFERROR(INDEX(绊状态确认!C:C,MATCH($G790,绊状态确认!$B:$B,)),"")</f>
        <v/>
      </c>
      <c r="I790" s="450" t="str">
        <f>IFERROR(INDEX(绊状态确认!D:D,MATCH($G790,绊状态确认!$B:$B,)),"")</f>
        <v/>
      </c>
      <c r="J790" s="450" t="str">
        <f>IFERROR(INDEX(绊状态确认!E:E,MATCH($G790,绊状态确认!$B:$B,)),"")</f>
        <v/>
      </c>
      <c r="K790" s="451" t="str">
        <f>IFERROR(INDEX(绊状态确认!F:F,MATCH($G790,绊状态确认!$B:$B,)),"")</f>
        <v/>
      </c>
      <c r="L790" s="1026"/>
      <c r="M790" s="1165"/>
      <c r="N790" s="1027"/>
      <c r="O790" s="1026"/>
      <c r="P790" s="1028"/>
      <c r="Q790" s="1029"/>
      <c r="R790" s="1166"/>
      <c r="S790" s="1030"/>
      <c r="T790" s="1031"/>
      <c r="U790" s="1032"/>
      <c r="V790" s="1033"/>
      <c r="W790" s="1034"/>
      <c r="X790" s="1166"/>
      <c r="Y790" s="1035"/>
      <c r="Z790" s="1036"/>
      <c r="AA790" s="1037"/>
      <c r="AB790" s="1038"/>
      <c r="AC790" s="1039"/>
      <c r="AD790" s="1040"/>
      <c r="AE790" s="1041"/>
      <c r="AF790" s="521"/>
      <c r="AG790" s="420"/>
      <c r="AH790" s="420"/>
      <c r="AI790" s="420"/>
      <c r="AJ790" s="420"/>
      <c r="AK790" s="518"/>
      <c r="AL790" s="1042"/>
      <c r="AM790" s="1035"/>
      <c r="AN790" s="1043"/>
      <c r="AO790" s="1167"/>
      <c r="AP790" s="1044"/>
      <c r="AQ790" s="1035"/>
      <c r="AR790" s="1035"/>
      <c r="AS790" s="1035"/>
      <c r="AT790" s="1165"/>
      <c r="AU790" s="1031"/>
      <c r="AV790" s="1045"/>
      <c r="AW790" s="1038"/>
      <c r="AX790" s="1035"/>
      <c r="AY790" s="483"/>
      <c r="AZ790" s="429"/>
      <c r="BA790" s="431"/>
      <c r="BB790" s="1035"/>
      <c r="BC790" s="1035"/>
      <c r="BD790" s="481"/>
      <c r="BE790" s="432"/>
      <c r="BF790" s="646"/>
      <c r="BG790" s="1047"/>
      <c r="BH790" s="1046"/>
      <c r="BI790" s="1048"/>
      <c r="BJ790" s="1030"/>
      <c r="BK790" s="1046"/>
      <c r="BL790" s="1048"/>
      <c r="BM790" s="1046"/>
      <c r="BN790" s="1167"/>
      <c r="BO790" s="1035"/>
      <c r="BP790" s="1043"/>
      <c r="BQ790" s="1167"/>
      <c r="BR790" s="1165"/>
      <c r="BS790" s="1031"/>
      <c r="BT790" s="1038"/>
      <c r="BU790" s="1035"/>
      <c r="BV790" s="1035"/>
      <c r="BW790" s="1049"/>
      <c r="BX790" s="1043"/>
      <c r="BY790" s="1046"/>
      <c r="BZ790" s="1167"/>
      <c r="CA790" s="1165"/>
      <c r="CB790" s="1031"/>
      <c r="CC790" s="1038"/>
      <c r="CD790" s="1035"/>
      <c r="CE790" s="1035"/>
      <c r="CF790" s="1049"/>
      <c r="CG790" s="1043"/>
      <c r="CH790" s="1046"/>
      <c r="CI790" s="1167"/>
      <c r="CJ790" s="1168"/>
      <c r="CK790" s="1169"/>
      <c r="CL790" s="1169"/>
      <c r="CM790" s="1166"/>
      <c r="CN790" s="1169"/>
      <c r="CO790" s="1169"/>
      <c r="CP790" s="452"/>
      <c r="CQ790" s="435"/>
      <c r="CR790" s="441"/>
      <c r="CS790" s="452"/>
      <c r="CT790" s="482"/>
      <c r="CU790" s="476"/>
      <c r="CV790" s="431"/>
      <c r="CW790" s="1108"/>
      <c r="CX790" s="1108"/>
      <c r="CY790" s="483"/>
      <c r="CZ790" s="437"/>
      <c r="DA790" s="438"/>
      <c r="DB790" s="439"/>
      <c r="DC790" s="439"/>
      <c r="DD790" s="443"/>
      <c r="DE790" s="411"/>
      <c r="DF790" s="411"/>
      <c r="DG790" s="1117"/>
      <c r="DH790" s="1117"/>
      <c r="DI790" s="1117"/>
      <c r="DJ790" s="442"/>
      <c r="DK790" s="482"/>
      <c r="DL790" s="1038"/>
      <c r="DM790" s="1035"/>
      <c r="DN790" s="1035"/>
      <c r="DO790" s="1035"/>
      <c r="DP790" s="1046"/>
      <c r="DQ790" s="1167"/>
      <c r="DR790" s="1168"/>
      <c r="DS790" s="1165"/>
      <c r="DT790" s="1165"/>
      <c r="DU790" s="1165"/>
      <c r="DV790" s="1031"/>
      <c r="DW790" s="1098">
        <f t="shared" si="1172"/>
        <v>0</v>
      </c>
      <c r="DX790" s="1098">
        <f t="shared" si="1173"/>
        <v>0</v>
      </c>
      <c r="DY790" s="1030"/>
      <c r="DZ790" s="1030"/>
      <c r="EA790" s="1031"/>
      <c r="EB790" s="1050"/>
      <c r="EC790" s="1038"/>
      <c r="ED790" s="1035"/>
      <c r="EE790" s="1046"/>
      <c r="EF790" s="1169"/>
      <c r="EG790" s="1168"/>
      <c r="EH790" s="1165"/>
      <c r="EI790" s="1165"/>
      <c r="EJ790" s="1165"/>
      <c r="EK790" s="1031"/>
      <c r="EL790" s="1098">
        <f t="shared" si="1174"/>
        <v>0</v>
      </c>
      <c r="EM790" s="1098">
        <f t="shared" si="1175"/>
        <v>0</v>
      </c>
      <c r="EN790" s="1030"/>
      <c r="EO790" s="1030"/>
      <c r="EP790" s="1031"/>
      <c r="EQ790" s="1050"/>
      <c r="ER790" s="1038"/>
      <c r="ES790" s="1035"/>
      <c r="ET790" s="1051"/>
    </row>
    <row r="791" spans="2:150" ht="16.5" customHeight="1">
      <c r="B791" s="1024"/>
      <c r="C791" s="1025"/>
      <c r="D791" s="408">
        <v>788</v>
      </c>
      <c r="E791" s="1164"/>
      <c r="F791" s="1164"/>
      <c r="G791" s="1026"/>
      <c r="H791" s="411" t="str">
        <f>IFERROR(INDEX(绊状态确认!C:C,MATCH($G791,绊状态确认!$B:$B,)),"")</f>
        <v/>
      </c>
      <c r="I791" s="450" t="str">
        <f>IFERROR(INDEX(绊状态确认!D:D,MATCH($G791,绊状态确认!$B:$B,)),"")</f>
        <v/>
      </c>
      <c r="J791" s="450" t="str">
        <f>IFERROR(INDEX(绊状态确认!E:E,MATCH($G791,绊状态确认!$B:$B,)),"")</f>
        <v/>
      </c>
      <c r="K791" s="451" t="str">
        <f>IFERROR(INDEX(绊状态确认!F:F,MATCH($G791,绊状态确认!$B:$B,)),"")</f>
        <v/>
      </c>
      <c r="L791" s="1026"/>
      <c r="M791" s="1165"/>
      <c r="N791" s="1027"/>
      <c r="O791" s="1026"/>
      <c r="P791" s="1028"/>
      <c r="Q791" s="1029"/>
      <c r="R791" s="1166"/>
      <c r="S791" s="1030"/>
      <c r="T791" s="1031"/>
      <c r="U791" s="1032"/>
      <c r="V791" s="1033"/>
      <c r="W791" s="1034"/>
      <c r="X791" s="1166"/>
      <c r="Y791" s="1035"/>
      <c r="Z791" s="1036"/>
      <c r="AA791" s="1037"/>
      <c r="AB791" s="1038"/>
      <c r="AC791" s="1039"/>
      <c r="AD791" s="1040"/>
      <c r="AE791" s="1041"/>
      <c r="AF791" s="521"/>
      <c r="AG791" s="420"/>
      <c r="AH791" s="420"/>
      <c r="AI791" s="420"/>
      <c r="AJ791" s="420"/>
      <c r="AK791" s="518"/>
      <c r="AL791" s="1042"/>
      <c r="AM791" s="1035"/>
      <c r="AN791" s="1043"/>
      <c r="AO791" s="1167"/>
      <c r="AP791" s="1044"/>
      <c r="AQ791" s="1035"/>
      <c r="AR791" s="1035"/>
      <c r="AS791" s="1035"/>
      <c r="AT791" s="1165"/>
      <c r="AU791" s="1031"/>
      <c r="AV791" s="1045"/>
      <c r="AW791" s="1038"/>
      <c r="AX791" s="1035"/>
      <c r="AY791" s="483"/>
      <c r="AZ791" s="429"/>
      <c r="BA791" s="431"/>
      <c r="BB791" s="1035"/>
      <c r="BC791" s="1035"/>
      <c r="BD791" s="481"/>
      <c r="BE791" s="432"/>
      <c r="BF791" s="646"/>
      <c r="BG791" s="1047"/>
      <c r="BH791" s="1046"/>
      <c r="BI791" s="1048"/>
      <c r="BJ791" s="1030"/>
      <c r="BK791" s="1046"/>
      <c r="BL791" s="1048"/>
      <c r="BM791" s="1046"/>
      <c r="BN791" s="1167"/>
      <c r="BO791" s="1035"/>
      <c r="BP791" s="1043"/>
      <c r="BQ791" s="1167"/>
      <c r="BR791" s="1165"/>
      <c r="BS791" s="1031"/>
      <c r="BT791" s="1038"/>
      <c r="BU791" s="1035"/>
      <c r="BV791" s="1035"/>
      <c r="BW791" s="1049"/>
      <c r="BX791" s="1043"/>
      <c r="BY791" s="1046"/>
      <c r="BZ791" s="1167"/>
      <c r="CA791" s="1165"/>
      <c r="CB791" s="1031"/>
      <c r="CC791" s="1038"/>
      <c r="CD791" s="1035"/>
      <c r="CE791" s="1035"/>
      <c r="CF791" s="1049"/>
      <c r="CG791" s="1043"/>
      <c r="CH791" s="1046"/>
      <c r="CI791" s="1167"/>
      <c r="CJ791" s="1168"/>
      <c r="CK791" s="1169"/>
      <c r="CL791" s="1169"/>
      <c r="CM791" s="1166"/>
      <c r="CN791" s="1169"/>
      <c r="CO791" s="1169"/>
      <c r="CP791" s="452"/>
      <c r="CQ791" s="435"/>
      <c r="CR791" s="441"/>
      <c r="CS791" s="452"/>
      <c r="CT791" s="482"/>
      <c r="CU791" s="476"/>
      <c r="CV791" s="431"/>
      <c r="CW791" s="1108"/>
      <c r="CX791" s="1108"/>
      <c r="CY791" s="483"/>
      <c r="CZ791" s="437"/>
      <c r="DA791" s="438"/>
      <c r="DB791" s="439"/>
      <c r="DC791" s="439"/>
      <c r="DD791" s="443"/>
      <c r="DE791" s="411"/>
      <c r="DF791" s="411"/>
      <c r="DG791" s="1117"/>
      <c r="DH791" s="1117"/>
      <c r="DI791" s="1117"/>
      <c r="DJ791" s="442"/>
      <c r="DK791" s="482"/>
      <c r="DL791" s="1038"/>
      <c r="DM791" s="1035"/>
      <c r="DN791" s="1035"/>
      <c r="DO791" s="1035"/>
      <c r="DP791" s="1046"/>
      <c r="DQ791" s="1167"/>
      <c r="DR791" s="1168"/>
      <c r="DS791" s="1165"/>
      <c r="DT791" s="1165"/>
      <c r="DU791" s="1165"/>
      <c r="DV791" s="1031"/>
      <c r="DW791" s="1098">
        <f t="shared" si="1172"/>
        <v>0</v>
      </c>
      <c r="DX791" s="1098">
        <f t="shared" si="1173"/>
        <v>0</v>
      </c>
      <c r="DY791" s="1030"/>
      <c r="DZ791" s="1030"/>
      <c r="EA791" s="1031"/>
      <c r="EB791" s="1050"/>
      <c r="EC791" s="1038"/>
      <c r="ED791" s="1035"/>
      <c r="EE791" s="1046"/>
      <c r="EF791" s="1169"/>
      <c r="EG791" s="1168"/>
      <c r="EH791" s="1165"/>
      <c r="EI791" s="1165"/>
      <c r="EJ791" s="1165"/>
      <c r="EK791" s="1031"/>
      <c r="EL791" s="1098">
        <f t="shared" si="1174"/>
        <v>0</v>
      </c>
      <c r="EM791" s="1098">
        <f t="shared" si="1175"/>
        <v>0</v>
      </c>
      <c r="EN791" s="1030"/>
      <c r="EO791" s="1030"/>
      <c r="EP791" s="1031"/>
      <c r="EQ791" s="1050"/>
      <c r="ER791" s="1038"/>
      <c r="ES791" s="1035"/>
      <c r="ET791" s="1051"/>
    </row>
    <row r="792" spans="2:150" ht="16.5" customHeight="1">
      <c r="B792" s="1024"/>
      <c r="C792" s="1025"/>
      <c r="D792" s="408">
        <v>789</v>
      </c>
      <c r="E792" s="1164"/>
      <c r="F792" s="1164"/>
      <c r="G792" s="1026"/>
      <c r="H792" s="411" t="str">
        <f>IFERROR(INDEX(绊状态确认!C:C,MATCH($G792,绊状态确认!$B:$B,)),"")</f>
        <v/>
      </c>
      <c r="I792" s="450" t="str">
        <f>IFERROR(INDEX(绊状态确认!D:D,MATCH($G792,绊状态确认!$B:$B,)),"")</f>
        <v/>
      </c>
      <c r="J792" s="450" t="str">
        <f>IFERROR(INDEX(绊状态确认!E:E,MATCH($G792,绊状态确认!$B:$B,)),"")</f>
        <v/>
      </c>
      <c r="K792" s="451" t="str">
        <f>IFERROR(INDEX(绊状态确认!F:F,MATCH($G792,绊状态确认!$B:$B,)),"")</f>
        <v/>
      </c>
      <c r="L792" s="1026"/>
      <c r="M792" s="1165"/>
      <c r="N792" s="1027"/>
      <c r="O792" s="1026"/>
      <c r="P792" s="1028"/>
      <c r="Q792" s="1029"/>
      <c r="R792" s="1166"/>
      <c r="S792" s="1030"/>
      <c r="T792" s="1031"/>
      <c r="U792" s="1032"/>
      <c r="V792" s="1033"/>
      <c r="W792" s="1034"/>
      <c r="X792" s="1166"/>
      <c r="Y792" s="1035"/>
      <c r="Z792" s="1036"/>
      <c r="AA792" s="1037"/>
      <c r="AB792" s="1038"/>
      <c r="AC792" s="1039"/>
      <c r="AD792" s="1040"/>
      <c r="AE792" s="1041"/>
      <c r="AF792" s="521"/>
      <c r="AG792" s="420"/>
      <c r="AH792" s="420"/>
      <c r="AI792" s="420"/>
      <c r="AJ792" s="420"/>
      <c r="AK792" s="518"/>
      <c r="AL792" s="1042"/>
      <c r="AM792" s="1035"/>
      <c r="AN792" s="1043"/>
      <c r="AO792" s="1167"/>
      <c r="AP792" s="1044"/>
      <c r="AQ792" s="1035"/>
      <c r="AR792" s="1035"/>
      <c r="AS792" s="1035"/>
      <c r="AT792" s="1165"/>
      <c r="AU792" s="1031"/>
      <c r="AV792" s="1045"/>
      <c r="AW792" s="1038"/>
      <c r="AX792" s="1035"/>
      <c r="AY792" s="483"/>
      <c r="AZ792" s="429"/>
      <c r="BA792" s="431"/>
      <c r="BB792" s="1035"/>
      <c r="BC792" s="1035"/>
      <c r="BD792" s="481"/>
      <c r="BE792" s="432"/>
      <c r="BF792" s="646"/>
      <c r="BG792" s="1047"/>
      <c r="BH792" s="1046"/>
      <c r="BI792" s="1048"/>
      <c r="BJ792" s="1030"/>
      <c r="BK792" s="1046"/>
      <c r="BL792" s="1048"/>
      <c r="BM792" s="1046"/>
      <c r="BN792" s="1167"/>
      <c r="BO792" s="1035"/>
      <c r="BP792" s="1043"/>
      <c r="BQ792" s="1167"/>
      <c r="BR792" s="1165"/>
      <c r="BS792" s="1031"/>
      <c r="BT792" s="1038"/>
      <c r="BU792" s="1035"/>
      <c r="BV792" s="1035"/>
      <c r="BW792" s="1049"/>
      <c r="BX792" s="1043"/>
      <c r="BY792" s="1046"/>
      <c r="BZ792" s="1167"/>
      <c r="CA792" s="1165"/>
      <c r="CB792" s="1031"/>
      <c r="CC792" s="1038"/>
      <c r="CD792" s="1035"/>
      <c r="CE792" s="1035"/>
      <c r="CF792" s="1049"/>
      <c r="CG792" s="1043"/>
      <c r="CH792" s="1046"/>
      <c r="CI792" s="1167"/>
      <c r="CJ792" s="1168"/>
      <c r="CK792" s="1169"/>
      <c r="CL792" s="1169"/>
      <c r="CM792" s="1166"/>
      <c r="CN792" s="1169"/>
      <c r="CO792" s="1169"/>
      <c r="CP792" s="452"/>
      <c r="CQ792" s="435"/>
      <c r="CR792" s="441"/>
      <c r="CS792" s="452"/>
      <c r="CT792" s="482"/>
      <c r="CU792" s="476"/>
      <c r="CV792" s="431"/>
      <c r="CW792" s="1108"/>
      <c r="CX792" s="1108"/>
      <c r="CY792" s="483"/>
      <c r="CZ792" s="437"/>
      <c r="DA792" s="438"/>
      <c r="DB792" s="439"/>
      <c r="DC792" s="439"/>
      <c r="DD792" s="443"/>
      <c r="DE792" s="411"/>
      <c r="DF792" s="411"/>
      <c r="DG792" s="1117"/>
      <c r="DH792" s="1117"/>
      <c r="DI792" s="1117"/>
      <c r="DJ792" s="442"/>
      <c r="DK792" s="482"/>
      <c r="DL792" s="1038"/>
      <c r="DM792" s="1035"/>
      <c r="DN792" s="1035"/>
      <c r="DO792" s="1035"/>
      <c r="DP792" s="1046"/>
      <c r="DQ792" s="1167"/>
      <c r="DR792" s="1168"/>
      <c r="DS792" s="1165"/>
      <c r="DT792" s="1165"/>
      <c r="DU792" s="1165"/>
      <c r="DV792" s="1031"/>
      <c r="DW792" s="1098">
        <f t="shared" si="1172"/>
        <v>0</v>
      </c>
      <c r="DX792" s="1098">
        <f t="shared" si="1173"/>
        <v>0</v>
      </c>
      <c r="DY792" s="1030"/>
      <c r="DZ792" s="1030"/>
      <c r="EA792" s="1031"/>
      <c r="EB792" s="1050"/>
      <c r="EC792" s="1038"/>
      <c r="ED792" s="1035"/>
      <c r="EE792" s="1046"/>
      <c r="EF792" s="1169"/>
      <c r="EG792" s="1168"/>
      <c r="EH792" s="1165"/>
      <c r="EI792" s="1165"/>
      <c r="EJ792" s="1165"/>
      <c r="EK792" s="1031"/>
      <c r="EL792" s="1098">
        <f t="shared" si="1174"/>
        <v>0</v>
      </c>
      <c r="EM792" s="1098">
        <f t="shared" si="1175"/>
        <v>0</v>
      </c>
      <c r="EN792" s="1030"/>
      <c r="EO792" s="1030"/>
      <c r="EP792" s="1031"/>
      <c r="EQ792" s="1050"/>
      <c r="ER792" s="1038"/>
      <c r="ES792" s="1035"/>
      <c r="ET792" s="1051"/>
    </row>
    <row r="793" spans="2:150" ht="16.5" customHeight="1">
      <c r="B793" s="1024"/>
      <c r="C793" s="1025"/>
      <c r="D793" s="408">
        <v>790</v>
      </c>
      <c r="E793" s="1164"/>
      <c r="F793" s="1164"/>
      <c r="G793" s="1026"/>
      <c r="H793" s="411" t="str">
        <f>IFERROR(INDEX(绊状态确认!C:C,MATCH($G793,绊状态确认!$B:$B,)),"")</f>
        <v/>
      </c>
      <c r="I793" s="450" t="str">
        <f>IFERROR(INDEX(绊状态确认!D:D,MATCH($G793,绊状态确认!$B:$B,)),"")</f>
        <v/>
      </c>
      <c r="J793" s="450" t="str">
        <f>IFERROR(INDEX(绊状态确认!E:E,MATCH($G793,绊状态确认!$B:$B,)),"")</f>
        <v/>
      </c>
      <c r="K793" s="451" t="str">
        <f>IFERROR(INDEX(绊状态确认!F:F,MATCH($G793,绊状态确认!$B:$B,)),"")</f>
        <v/>
      </c>
      <c r="L793" s="1026"/>
      <c r="M793" s="1165"/>
      <c r="N793" s="1027"/>
      <c r="O793" s="1026"/>
      <c r="P793" s="1028"/>
      <c r="Q793" s="1029"/>
      <c r="R793" s="1166"/>
      <c r="S793" s="1030"/>
      <c r="T793" s="1031"/>
      <c r="U793" s="1032"/>
      <c r="V793" s="1033"/>
      <c r="W793" s="1034"/>
      <c r="X793" s="1166"/>
      <c r="Y793" s="1035"/>
      <c r="Z793" s="1036"/>
      <c r="AA793" s="1037"/>
      <c r="AB793" s="1038"/>
      <c r="AC793" s="1039"/>
      <c r="AD793" s="1040"/>
      <c r="AE793" s="1041"/>
      <c r="AF793" s="521"/>
      <c r="AG793" s="420"/>
      <c r="AH793" s="420"/>
      <c r="AI793" s="420"/>
      <c r="AJ793" s="420"/>
      <c r="AK793" s="518"/>
      <c r="AL793" s="1042"/>
      <c r="AM793" s="1035"/>
      <c r="AN793" s="1043"/>
      <c r="AO793" s="1167"/>
      <c r="AP793" s="1044"/>
      <c r="AQ793" s="1035"/>
      <c r="AR793" s="1035"/>
      <c r="AS793" s="1035"/>
      <c r="AT793" s="1165"/>
      <c r="AU793" s="1031"/>
      <c r="AV793" s="1045"/>
      <c r="AW793" s="1038"/>
      <c r="AX793" s="1035"/>
      <c r="AY793" s="483"/>
      <c r="AZ793" s="429"/>
      <c r="BA793" s="431"/>
      <c r="BB793" s="1035"/>
      <c r="BC793" s="1035"/>
      <c r="BD793" s="481"/>
      <c r="BE793" s="432"/>
      <c r="BF793" s="646"/>
      <c r="BG793" s="1047"/>
      <c r="BH793" s="1046"/>
      <c r="BI793" s="1048"/>
      <c r="BJ793" s="1030"/>
      <c r="BK793" s="1046"/>
      <c r="BL793" s="1048"/>
      <c r="BM793" s="1046"/>
      <c r="BN793" s="1167"/>
      <c r="BO793" s="1035"/>
      <c r="BP793" s="1043"/>
      <c r="BQ793" s="1167"/>
      <c r="BR793" s="1165"/>
      <c r="BS793" s="1031"/>
      <c r="BT793" s="1038"/>
      <c r="BU793" s="1035"/>
      <c r="BV793" s="1035"/>
      <c r="BW793" s="1049"/>
      <c r="BX793" s="1043"/>
      <c r="BY793" s="1046"/>
      <c r="BZ793" s="1167"/>
      <c r="CA793" s="1165"/>
      <c r="CB793" s="1031"/>
      <c r="CC793" s="1038"/>
      <c r="CD793" s="1035"/>
      <c r="CE793" s="1035"/>
      <c r="CF793" s="1049"/>
      <c r="CG793" s="1043"/>
      <c r="CH793" s="1046"/>
      <c r="CI793" s="1167"/>
      <c r="CJ793" s="1168"/>
      <c r="CK793" s="1169"/>
      <c r="CL793" s="1169"/>
      <c r="CM793" s="1166"/>
      <c r="CN793" s="1169"/>
      <c r="CO793" s="1169"/>
      <c r="CP793" s="452"/>
      <c r="CQ793" s="435"/>
      <c r="CR793" s="441"/>
      <c r="CS793" s="452"/>
      <c r="CT793" s="482"/>
      <c r="CU793" s="476"/>
      <c r="CV793" s="431"/>
      <c r="CW793" s="1108"/>
      <c r="CX793" s="1108"/>
      <c r="CY793" s="483"/>
      <c r="CZ793" s="437"/>
      <c r="DA793" s="438"/>
      <c r="DB793" s="439"/>
      <c r="DC793" s="439"/>
      <c r="DD793" s="443"/>
      <c r="DE793" s="411"/>
      <c r="DF793" s="411"/>
      <c r="DG793" s="1117"/>
      <c r="DH793" s="1117"/>
      <c r="DI793" s="1117"/>
      <c r="DJ793" s="442"/>
      <c r="DK793" s="482"/>
      <c r="DL793" s="1038"/>
      <c r="DM793" s="1035"/>
      <c r="DN793" s="1035"/>
      <c r="DO793" s="1035"/>
      <c r="DP793" s="1046"/>
      <c r="DQ793" s="1167"/>
      <c r="DR793" s="1168"/>
      <c r="DS793" s="1165"/>
      <c r="DT793" s="1165"/>
      <c r="DU793" s="1165"/>
      <c r="DV793" s="1031"/>
      <c r="DW793" s="1098">
        <f t="shared" si="1172"/>
        <v>0</v>
      </c>
      <c r="DX793" s="1098">
        <f t="shared" si="1173"/>
        <v>0</v>
      </c>
      <c r="DY793" s="1030"/>
      <c r="DZ793" s="1030"/>
      <c r="EA793" s="1031"/>
      <c r="EB793" s="1050"/>
      <c r="EC793" s="1038"/>
      <c r="ED793" s="1035"/>
      <c r="EE793" s="1046"/>
      <c r="EF793" s="1169"/>
      <c r="EG793" s="1168"/>
      <c r="EH793" s="1165"/>
      <c r="EI793" s="1165"/>
      <c r="EJ793" s="1165"/>
      <c r="EK793" s="1031"/>
      <c r="EL793" s="1098">
        <f t="shared" si="1174"/>
        <v>0</v>
      </c>
      <c r="EM793" s="1098">
        <f t="shared" si="1175"/>
        <v>0</v>
      </c>
      <c r="EN793" s="1030"/>
      <c r="EO793" s="1030"/>
      <c r="EP793" s="1031"/>
      <c r="EQ793" s="1050"/>
      <c r="ER793" s="1038"/>
      <c r="ES793" s="1035"/>
      <c r="ET793" s="1051"/>
    </row>
    <row r="794" spans="2:150" ht="16.5" customHeight="1">
      <c r="B794" s="1024"/>
      <c r="C794" s="1025"/>
      <c r="D794" s="408">
        <v>791</v>
      </c>
      <c r="E794" s="1164"/>
      <c r="F794" s="1164"/>
      <c r="G794" s="1026"/>
      <c r="H794" s="411" t="str">
        <f>IFERROR(INDEX(绊状态确认!C:C,MATCH($G794,绊状态确认!$B:$B,)),"")</f>
        <v/>
      </c>
      <c r="I794" s="450" t="str">
        <f>IFERROR(INDEX(绊状态确认!D:D,MATCH($G794,绊状态确认!$B:$B,)),"")</f>
        <v/>
      </c>
      <c r="J794" s="450" t="str">
        <f>IFERROR(INDEX(绊状态确认!E:E,MATCH($G794,绊状态确认!$B:$B,)),"")</f>
        <v/>
      </c>
      <c r="K794" s="451" t="str">
        <f>IFERROR(INDEX(绊状态确认!F:F,MATCH($G794,绊状态确认!$B:$B,)),"")</f>
        <v/>
      </c>
      <c r="L794" s="1026"/>
      <c r="M794" s="1165"/>
      <c r="N794" s="1027"/>
      <c r="O794" s="1026"/>
      <c r="P794" s="1028"/>
      <c r="Q794" s="1029"/>
      <c r="R794" s="1166"/>
      <c r="S794" s="1030"/>
      <c r="T794" s="1031"/>
      <c r="U794" s="1032"/>
      <c r="V794" s="1033"/>
      <c r="W794" s="1034"/>
      <c r="X794" s="1166"/>
      <c r="Y794" s="1035"/>
      <c r="Z794" s="1036"/>
      <c r="AA794" s="1037"/>
      <c r="AB794" s="1038"/>
      <c r="AC794" s="1039"/>
      <c r="AD794" s="1040"/>
      <c r="AE794" s="1041"/>
      <c r="AF794" s="521"/>
      <c r="AG794" s="420"/>
      <c r="AH794" s="420"/>
      <c r="AI794" s="420"/>
      <c r="AJ794" s="420"/>
      <c r="AK794" s="518"/>
      <c r="AL794" s="1042"/>
      <c r="AM794" s="1035"/>
      <c r="AN794" s="1043"/>
      <c r="AO794" s="1167"/>
      <c r="AP794" s="1044"/>
      <c r="AQ794" s="1035"/>
      <c r="AR794" s="1035"/>
      <c r="AS794" s="1035"/>
      <c r="AT794" s="1165"/>
      <c r="AU794" s="1031"/>
      <c r="AV794" s="1045"/>
      <c r="AW794" s="1038"/>
      <c r="AX794" s="1035"/>
      <c r="AY794" s="483"/>
      <c r="AZ794" s="429"/>
      <c r="BA794" s="431"/>
      <c r="BB794" s="1035"/>
      <c r="BC794" s="1035"/>
      <c r="BD794" s="481"/>
      <c r="BE794" s="432"/>
      <c r="BF794" s="646"/>
      <c r="BG794" s="1047"/>
      <c r="BH794" s="1046"/>
      <c r="BI794" s="1048"/>
      <c r="BJ794" s="1030"/>
      <c r="BK794" s="1046"/>
      <c r="BL794" s="1048"/>
      <c r="BM794" s="1046"/>
      <c r="BN794" s="1167"/>
      <c r="BO794" s="1035"/>
      <c r="BP794" s="1043"/>
      <c r="BQ794" s="1167"/>
      <c r="BR794" s="1165"/>
      <c r="BS794" s="1031"/>
      <c r="BT794" s="1038"/>
      <c r="BU794" s="1035"/>
      <c r="BV794" s="1035"/>
      <c r="BW794" s="1049"/>
      <c r="BX794" s="1043"/>
      <c r="BY794" s="1046"/>
      <c r="BZ794" s="1167"/>
      <c r="CA794" s="1165"/>
      <c r="CB794" s="1031"/>
      <c r="CC794" s="1038"/>
      <c r="CD794" s="1035"/>
      <c r="CE794" s="1035"/>
      <c r="CF794" s="1049"/>
      <c r="CG794" s="1043"/>
      <c r="CH794" s="1046"/>
      <c r="CI794" s="1167"/>
      <c r="CJ794" s="1168"/>
      <c r="CK794" s="1169"/>
      <c r="CL794" s="1169"/>
      <c r="CM794" s="1166"/>
      <c r="CN794" s="1169"/>
      <c r="CO794" s="1169"/>
      <c r="CP794" s="452"/>
      <c r="CQ794" s="435"/>
      <c r="CR794" s="441"/>
      <c r="CS794" s="452"/>
      <c r="CT794" s="482"/>
      <c r="CU794" s="476"/>
      <c r="CV794" s="431"/>
      <c r="CW794" s="1108"/>
      <c r="CX794" s="1108"/>
      <c r="CY794" s="483"/>
      <c r="CZ794" s="437"/>
      <c r="DA794" s="438"/>
      <c r="DB794" s="439"/>
      <c r="DC794" s="439"/>
      <c r="DD794" s="443"/>
      <c r="DE794" s="411"/>
      <c r="DF794" s="411"/>
      <c r="DG794" s="1117"/>
      <c r="DH794" s="1117"/>
      <c r="DI794" s="1117"/>
      <c r="DJ794" s="442"/>
      <c r="DK794" s="482"/>
      <c r="DL794" s="1038"/>
      <c r="DM794" s="1035"/>
      <c r="DN794" s="1035"/>
      <c r="DO794" s="1035"/>
      <c r="DP794" s="1046"/>
      <c r="DQ794" s="1167"/>
      <c r="DR794" s="1168"/>
      <c r="DS794" s="1165"/>
      <c r="DT794" s="1165"/>
      <c r="DU794" s="1165"/>
      <c r="DV794" s="1031"/>
      <c r="DW794" s="1098">
        <f t="shared" si="1172"/>
        <v>0</v>
      </c>
      <c r="DX794" s="1098">
        <f t="shared" si="1173"/>
        <v>0</v>
      </c>
      <c r="DY794" s="1030"/>
      <c r="DZ794" s="1030"/>
      <c r="EA794" s="1031"/>
      <c r="EB794" s="1050"/>
      <c r="EC794" s="1038"/>
      <c r="ED794" s="1035"/>
      <c r="EE794" s="1046"/>
      <c r="EF794" s="1169"/>
      <c r="EG794" s="1168"/>
      <c r="EH794" s="1165"/>
      <c r="EI794" s="1165"/>
      <c r="EJ794" s="1165"/>
      <c r="EK794" s="1031"/>
      <c r="EL794" s="1098">
        <f t="shared" si="1174"/>
        <v>0</v>
      </c>
      <c r="EM794" s="1098">
        <f t="shared" si="1175"/>
        <v>0</v>
      </c>
      <c r="EN794" s="1030"/>
      <c r="EO794" s="1030"/>
      <c r="EP794" s="1031"/>
      <c r="EQ794" s="1050"/>
      <c r="ER794" s="1038"/>
      <c r="ES794" s="1035"/>
      <c r="ET794" s="1051"/>
    </row>
    <row r="795" spans="2:150" ht="16.5" customHeight="1">
      <c r="B795" s="1024"/>
      <c r="C795" s="1025"/>
      <c r="D795" s="408">
        <v>792</v>
      </c>
      <c r="E795" s="1164"/>
      <c r="F795" s="1164"/>
      <c r="G795" s="1026"/>
      <c r="H795" s="411" t="str">
        <f>IFERROR(INDEX(绊状态确认!C:C,MATCH($G795,绊状态确认!$B:$B,)),"")</f>
        <v/>
      </c>
      <c r="I795" s="450" t="str">
        <f>IFERROR(INDEX(绊状态确认!D:D,MATCH($G795,绊状态确认!$B:$B,)),"")</f>
        <v/>
      </c>
      <c r="J795" s="450" t="str">
        <f>IFERROR(INDEX(绊状态确认!E:E,MATCH($G795,绊状态确认!$B:$B,)),"")</f>
        <v/>
      </c>
      <c r="K795" s="451" t="str">
        <f>IFERROR(INDEX(绊状态确认!F:F,MATCH($G795,绊状态确认!$B:$B,)),"")</f>
        <v/>
      </c>
      <c r="L795" s="1026"/>
      <c r="M795" s="1165"/>
      <c r="N795" s="1027"/>
      <c r="O795" s="1026"/>
      <c r="P795" s="1028"/>
      <c r="Q795" s="1029"/>
      <c r="R795" s="1166"/>
      <c r="S795" s="1030"/>
      <c r="T795" s="1031"/>
      <c r="U795" s="1032"/>
      <c r="V795" s="1033"/>
      <c r="W795" s="1034"/>
      <c r="X795" s="1166"/>
      <c r="Y795" s="1035"/>
      <c r="Z795" s="1036"/>
      <c r="AA795" s="1037"/>
      <c r="AB795" s="1038"/>
      <c r="AC795" s="1039"/>
      <c r="AD795" s="1040"/>
      <c r="AE795" s="1041"/>
      <c r="AF795" s="521"/>
      <c r="AG795" s="420"/>
      <c r="AH795" s="420"/>
      <c r="AI795" s="420"/>
      <c r="AJ795" s="420"/>
      <c r="AK795" s="518"/>
      <c r="AL795" s="1042"/>
      <c r="AM795" s="1035"/>
      <c r="AN795" s="1043"/>
      <c r="AO795" s="1167"/>
      <c r="AP795" s="1044"/>
      <c r="AQ795" s="1035"/>
      <c r="AR795" s="1035"/>
      <c r="AS795" s="1035"/>
      <c r="AT795" s="1165"/>
      <c r="AU795" s="1031"/>
      <c r="AV795" s="1045"/>
      <c r="AW795" s="1038"/>
      <c r="AX795" s="1035"/>
      <c r="AY795" s="483"/>
      <c r="AZ795" s="429"/>
      <c r="BA795" s="431"/>
      <c r="BB795" s="1035"/>
      <c r="BC795" s="1035"/>
      <c r="BD795" s="481"/>
      <c r="BE795" s="432"/>
      <c r="BF795" s="646"/>
      <c r="BG795" s="1047"/>
      <c r="BH795" s="1046"/>
      <c r="BI795" s="1048"/>
      <c r="BJ795" s="1030"/>
      <c r="BK795" s="1046"/>
      <c r="BL795" s="1048"/>
      <c r="BM795" s="1046"/>
      <c r="BN795" s="1167"/>
      <c r="BO795" s="1035"/>
      <c r="BP795" s="1043"/>
      <c r="BQ795" s="1167"/>
      <c r="BR795" s="1165"/>
      <c r="BS795" s="1031"/>
      <c r="BT795" s="1038"/>
      <c r="BU795" s="1035"/>
      <c r="BV795" s="1035"/>
      <c r="BW795" s="1049"/>
      <c r="BX795" s="1043"/>
      <c r="BY795" s="1046"/>
      <c r="BZ795" s="1167"/>
      <c r="CA795" s="1165"/>
      <c r="CB795" s="1031"/>
      <c r="CC795" s="1038"/>
      <c r="CD795" s="1035"/>
      <c r="CE795" s="1035"/>
      <c r="CF795" s="1049"/>
      <c r="CG795" s="1043"/>
      <c r="CH795" s="1046"/>
      <c r="CI795" s="1167"/>
      <c r="CJ795" s="1168"/>
      <c r="CK795" s="1169"/>
      <c r="CL795" s="1169"/>
      <c r="CM795" s="1166"/>
      <c r="CN795" s="1169"/>
      <c r="CO795" s="1169"/>
      <c r="CP795" s="452"/>
      <c r="CQ795" s="435"/>
      <c r="CR795" s="441"/>
      <c r="CS795" s="452"/>
      <c r="CT795" s="482"/>
      <c r="CU795" s="476"/>
      <c r="CV795" s="431"/>
      <c r="CW795" s="1108"/>
      <c r="CX795" s="1108"/>
      <c r="CY795" s="483"/>
      <c r="CZ795" s="437"/>
      <c r="DA795" s="438"/>
      <c r="DB795" s="439"/>
      <c r="DC795" s="439"/>
      <c r="DD795" s="443"/>
      <c r="DE795" s="411"/>
      <c r="DF795" s="411"/>
      <c r="DG795" s="1117"/>
      <c r="DH795" s="1117"/>
      <c r="DI795" s="1117"/>
      <c r="DJ795" s="442"/>
      <c r="DK795" s="482"/>
      <c r="DL795" s="1038"/>
      <c r="DM795" s="1035"/>
      <c r="DN795" s="1035"/>
      <c r="DO795" s="1035"/>
      <c r="DP795" s="1046"/>
      <c r="DQ795" s="1167"/>
      <c r="DR795" s="1168"/>
      <c r="DS795" s="1165"/>
      <c r="DT795" s="1165"/>
      <c r="DU795" s="1165"/>
      <c r="DV795" s="1031"/>
      <c r="DW795" s="1098">
        <f t="shared" si="1172"/>
        <v>0</v>
      </c>
      <c r="DX795" s="1098">
        <f t="shared" si="1173"/>
        <v>0</v>
      </c>
      <c r="DY795" s="1030"/>
      <c r="DZ795" s="1030"/>
      <c r="EA795" s="1031"/>
      <c r="EB795" s="1050"/>
      <c r="EC795" s="1038"/>
      <c r="ED795" s="1035"/>
      <c r="EE795" s="1046"/>
      <c r="EF795" s="1169"/>
      <c r="EG795" s="1168"/>
      <c r="EH795" s="1165"/>
      <c r="EI795" s="1165"/>
      <c r="EJ795" s="1165"/>
      <c r="EK795" s="1031"/>
      <c r="EL795" s="1098">
        <f t="shared" si="1174"/>
        <v>0</v>
      </c>
      <c r="EM795" s="1098">
        <f t="shared" si="1175"/>
        <v>0</v>
      </c>
      <c r="EN795" s="1030"/>
      <c r="EO795" s="1030"/>
      <c r="EP795" s="1031"/>
      <c r="EQ795" s="1050"/>
      <c r="ER795" s="1038"/>
      <c r="ES795" s="1035"/>
      <c r="ET795" s="1051"/>
    </row>
    <row r="796" spans="2:150" ht="16.5" customHeight="1">
      <c r="B796" s="1024"/>
      <c r="C796" s="1025"/>
      <c r="D796" s="408">
        <v>793</v>
      </c>
      <c r="E796" s="1164"/>
      <c r="F796" s="1164"/>
      <c r="G796" s="1026"/>
      <c r="H796" s="411" t="str">
        <f>IFERROR(INDEX(绊状态确认!C:C,MATCH($G796,绊状态确认!$B:$B,)),"")</f>
        <v/>
      </c>
      <c r="I796" s="450" t="str">
        <f>IFERROR(INDEX(绊状态确认!D:D,MATCH($G796,绊状态确认!$B:$B,)),"")</f>
        <v/>
      </c>
      <c r="J796" s="450" t="str">
        <f>IFERROR(INDEX(绊状态确认!E:E,MATCH($G796,绊状态确认!$B:$B,)),"")</f>
        <v/>
      </c>
      <c r="K796" s="451" t="str">
        <f>IFERROR(INDEX(绊状态确认!F:F,MATCH($G796,绊状态确认!$B:$B,)),"")</f>
        <v/>
      </c>
      <c r="L796" s="1026"/>
      <c r="M796" s="1165"/>
      <c r="N796" s="1027"/>
      <c r="O796" s="1026"/>
      <c r="P796" s="1028"/>
      <c r="Q796" s="1029"/>
      <c r="R796" s="1166"/>
      <c r="S796" s="1030"/>
      <c r="T796" s="1031"/>
      <c r="U796" s="1032"/>
      <c r="V796" s="1033"/>
      <c r="W796" s="1034"/>
      <c r="X796" s="1166"/>
      <c r="Y796" s="1035"/>
      <c r="Z796" s="1036"/>
      <c r="AA796" s="1037"/>
      <c r="AB796" s="1038"/>
      <c r="AC796" s="1039"/>
      <c r="AD796" s="1040"/>
      <c r="AE796" s="1041"/>
      <c r="AF796" s="521"/>
      <c r="AG796" s="420"/>
      <c r="AH796" s="420"/>
      <c r="AI796" s="420"/>
      <c r="AJ796" s="420"/>
      <c r="AK796" s="518"/>
      <c r="AL796" s="1042"/>
      <c r="AM796" s="1035"/>
      <c r="AN796" s="1043"/>
      <c r="AO796" s="1167"/>
      <c r="AP796" s="1044"/>
      <c r="AQ796" s="1035"/>
      <c r="AR796" s="1035"/>
      <c r="AS796" s="1035"/>
      <c r="AT796" s="1165"/>
      <c r="AU796" s="1031"/>
      <c r="AV796" s="1045"/>
      <c r="AW796" s="1038"/>
      <c r="AX796" s="1035"/>
      <c r="AY796" s="483"/>
      <c r="AZ796" s="429"/>
      <c r="BA796" s="431"/>
      <c r="BB796" s="1035"/>
      <c r="BC796" s="1035"/>
      <c r="BD796" s="481"/>
      <c r="BE796" s="432"/>
      <c r="BF796" s="646"/>
      <c r="BG796" s="1047"/>
      <c r="BH796" s="1046"/>
      <c r="BI796" s="1048"/>
      <c r="BJ796" s="1030"/>
      <c r="BK796" s="1046"/>
      <c r="BL796" s="1048"/>
      <c r="BM796" s="1046"/>
      <c r="BN796" s="1167"/>
      <c r="BO796" s="1035"/>
      <c r="BP796" s="1043"/>
      <c r="BQ796" s="1167"/>
      <c r="BR796" s="1165"/>
      <c r="BS796" s="1031"/>
      <c r="BT796" s="1038"/>
      <c r="BU796" s="1035"/>
      <c r="BV796" s="1035"/>
      <c r="BW796" s="1049"/>
      <c r="BX796" s="1043"/>
      <c r="BY796" s="1046"/>
      <c r="BZ796" s="1167"/>
      <c r="CA796" s="1165"/>
      <c r="CB796" s="1031"/>
      <c r="CC796" s="1038"/>
      <c r="CD796" s="1035"/>
      <c r="CE796" s="1035"/>
      <c r="CF796" s="1049"/>
      <c r="CG796" s="1043"/>
      <c r="CH796" s="1046"/>
      <c r="CI796" s="1167"/>
      <c r="CJ796" s="1168"/>
      <c r="CK796" s="1169"/>
      <c r="CL796" s="1169"/>
      <c r="CM796" s="1166"/>
      <c r="CN796" s="1169"/>
      <c r="CO796" s="1169"/>
      <c r="CP796" s="452"/>
      <c r="CQ796" s="435"/>
      <c r="CR796" s="441"/>
      <c r="CS796" s="452"/>
      <c r="CT796" s="482"/>
      <c r="CU796" s="476"/>
      <c r="CV796" s="431"/>
      <c r="CW796" s="1108"/>
      <c r="CX796" s="1108"/>
      <c r="CY796" s="483"/>
      <c r="CZ796" s="437"/>
      <c r="DA796" s="438"/>
      <c r="DB796" s="439"/>
      <c r="DC796" s="439"/>
      <c r="DD796" s="443"/>
      <c r="DE796" s="411"/>
      <c r="DF796" s="411"/>
      <c r="DG796" s="1117"/>
      <c r="DH796" s="1117"/>
      <c r="DI796" s="1117"/>
      <c r="DJ796" s="442"/>
      <c r="DK796" s="482"/>
      <c r="DL796" s="1038"/>
      <c r="DM796" s="1035"/>
      <c r="DN796" s="1035"/>
      <c r="DO796" s="1035"/>
      <c r="DP796" s="1046"/>
      <c r="DQ796" s="1167"/>
      <c r="DR796" s="1168"/>
      <c r="DS796" s="1165"/>
      <c r="DT796" s="1165"/>
      <c r="DU796" s="1165"/>
      <c r="DV796" s="1031"/>
      <c r="DW796" s="1098">
        <f t="shared" si="1172"/>
        <v>0</v>
      </c>
      <c r="DX796" s="1098">
        <f t="shared" si="1173"/>
        <v>0</v>
      </c>
      <c r="DY796" s="1030"/>
      <c r="DZ796" s="1030"/>
      <c r="EA796" s="1031"/>
      <c r="EB796" s="1050"/>
      <c r="EC796" s="1038"/>
      <c r="ED796" s="1035"/>
      <c r="EE796" s="1046"/>
      <c r="EF796" s="1169"/>
      <c r="EG796" s="1168"/>
      <c r="EH796" s="1165"/>
      <c r="EI796" s="1165"/>
      <c r="EJ796" s="1165"/>
      <c r="EK796" s="1031"/>
      <c r="EL796" s="1098">
        <f t="shared" si="1174"/>
        <v>0</v>
      </c>
      <c r="EM796" s="1098">
        <f t="shared" si="1175"/>
        <v>0</v>
      </c>
      <c r="EN796" s="1030"/>
      <c r="EO796" s="1030"/>
      <c r="EP796" s="1031"/>
      <c r="EQ796" s="1050"/>
      <c r="ER796" s="1038"/>
      <c r="ES796" s="1035"/>
      <c r="ET796" s="1051"/>
    </row>
    <row r="797" spans="2:150" ht="16.5" customHeight="1">
      <c r="B797" s="1024"/>
      <c r="C797" s="1025"/>
      <c r="D797" s="408">
        <v>794</v>
      </c>
      <c r="E797" s="1164"/>
      <c r="F797" s="1164"/>
      <c r="G797" s="1026"/>
      <c r="H797" s="411" t="str">
        <f>IFERROR(INDEX(绊状态确认!C:C,MATCH($G797,绊状态确认!$B:$B,)),"")</f>
        <v/>
      </c>
      <c r="I797" s="450" t="str">
        <f>IFERROR(INDEX(绊状态确认!D:D,MATCH($G797,绊状态确认!$B:$B,)),"")</f>
        <v/>
      </c>
      <c r="J797" s="450" t="str">
        <f>IFERROR(INDEX(绊状态确认!E:E,MATCH($G797,绊状态确认!$B:$B,)),"")</f>
        <v/>
      </c>
      <c r="K797" s="451" t="str">
        <f>IFERROR(INDEX(绊状态确认!F:F,MATCH($G797,绊状态确认!$B:$B,)),"")</f>
        <v/>
      </c>
      <c r="L797" s="1026"/>
      <c r="M797" s="1165"/>
      <c r="N797" s="1027"/>
      <c r="O797" s="1026"/>
      <c r="P797" s="1028"/>
      <c r="Q797" s="1029"/>
      <c r="R797" s="1166"/>
      <c r="S797" s="1030"/>
      <c r="T797" s="1031"/>
      <c r="U797" s="1032"/>
      <c r="V797" s="1033"/>
      <c r="W797" s="1034"/>
      <c r="X797" s="1166"/>
      <c r="Y797" s="1035"/>
      <c r="Z797" s="1036"/>
      <c r="AA797" s="1037"/>
      <c r="AB797" s="1038"/>
      <c r="AC797" s="1039"/>
      <c r="AD797" s="1040"/>
      <c r="AE797" s="1041"/>
      <c r="AF797" s="521"/>
      <c r="AG797" s="420"/>
      <c r="AH797" s="420"/>
      <c r="AI797" s="420"/>
      <c r="AJ797" s="420"/>
      <c r="AK797" s="518"/>
      <c r="AL797" s="1042"/>
      <c r="AM797" s="1035"/>
      <c r="AN797" s="1043"/>
      <c r="AO797" s="1167"/>
      <c r="AP797" s="1044"/>
      <c r="AQ797" s="1035"/>
      <c r="AR797" s="1035"/>
      <c r="AS797" s="1035"/>
      <c r="AT797" s="1165"/>
      <c r="AU797" s="1031"/>
      <c r="AV797" s="1045"/>
      <c r="AW797" s="1038"/>
      <c r="AX797" s="1035"/>
      <c r="AY797" s="483"/>
      <c r="AZ797" s="429"/>
      <c r="BA797" s="431"/>
      <c r="BB797" s="1035"/>
      <c r="BC797" s="1035"/>
      <c r="BD797" s="481"/>
      <c r="BE797" s="432"/>
      <c r="BF797" s="646"/>
      <c r="BG797" s="1047"/>
      <c r="BH797" s="1046"/>
      <c r="BI797" s="1048"/>
      <c r="BJ797" s="1030"/>
      <c r="BK797" s="1046"/>
      <c r="BL797" s="1048"/>
      <c r="BM797" s="1046"/>
      <c r="BN797" s="1167"/>
      <c r="BO797" s="1035"/>
      <c r="BP797" s="1043"/>
      <c r="BQ797" s="1167"/>
      <c r="BR797" s="1165"/>
      <c r="BS797" s="1031"/>
      <c r="BT797" s="1038"/>
      <c r="BU797" s="1035"/>
      <c r="BV797" s="1035"/>
      <c r="BW797" s="1049"/>
      <c r="BX797" s="1043"/>
      <c r="BY797" s="1046"/>
      <c r="BZ797" s="1167"/>
      <c r="CA797" s="1165"/>
      <c r="CB797" s="1031"/>
      <c r="CC797" s="1038"/>
      <c r="CD797" s="1035"/>
      <c r="CE797" s="1035"/>
      <c r="CF797" s="1049"/>
      <c r="CG797" s="1043"/>
      <c r="CH797" s="1046"/>
      <c r="CI797" s="1167"/>
      <c r="CJ797" s="1168"/>
      <c r="CK797" s="1169"/>
      <c r="CL797" s="1169"/>
      <c r="CM797" s="1166"/>
      <c r="CN797" s="1169"/>
      <c r="CO797" s="1169"/>
      <c r="CP797" s="452"/>
      <c r="CQ797" s="435"/>
      <c r="CR797" s="441"/>
      <c r="CS797" s="452"/>
      <c r="CT797" s="482"/>
      <c r="CU797" s="476"/>
      <c r="CV797" s="431"/>
      <c r="CW797" s="1108"/>
      <c r="CX797" s="1108"/>
      <c r="CY797" s="483"/>
      <c r="CZ797" s="437"/>
      <c r="DA797" s="438"/>
      <c r="DB797" s="439"/>
      <c r="DC797" s="439"/>
      <c r="DD797" s="443"/>
      <c r="DE797" s="411"/>
      <c r="DF797" s="411"/>
      <c r="DG797" s="1117"/>
      <c r="DH797" s="1117"/>
      <c r="DI797" s="1117"/>
      <c r="DJ797" s="442"/>
      <c r="DK797" s="482"/>
      <c r="DL797" s="1038"/>
      <c r="DM797" s="1035"/>
      <c r="DN797" s="1035"/>
      <c r="DO797" s="1035"/>
      <c r="DP797" s="1046"/>
      <c r="DQ797" s="1167"/>
      <c r="DR797" s="1168"/>
      <c r="DS797" s="1165"/>
      <c r="DT797" s="1165"/>
      <c r="DU797" s="1165"/>
      <c r="DV797" s="1031"/>
      <c r="DW797" s="1098">
        <f t="shared" si="1172"/>
        <v>0</v>
      </c>
      <c r="DX797" s="1098">
        <f t="shared" si="1173"/>
        <v>0</v>
      </c>
      <c r="DY797" s="1030"/>
      <c r="DZ797" s="1030"/>
      <c r="EA797" s="1031"/>
      <c r="EB797" s="1050"/>
      <c r="EC797" s="1038"/>
      <c r="ED797" s="1035"/>
      <c r="EE797" s="1046"/>
      <c r="EF797" s="1169"/>
      <c r="EG797" s="1168"/>
      <c r="EH797" s="1165"/>
      <c r="EI797" s="1165"/>
      <c r="EJ797" s="1165"/>
      <c r="EK797" s="1031"/>
      <c r="EL797" s="1098">
        <f t="shared" si="1174"/>
        <v>0</v>
      </c>
      <c r="EM797" s="1098">
        <f t="shared" si="1175"/>
        <v>0</v>
      </c>
      <c r="EN797" s="1030"/>
      <c r="EO797" s="1030"/>
      <c r="EP797" s="1031"/>
      <c r="EQ797" s="1050"/>
      <c r="ER797" s="1038"/>
      <c r="ES797" s="1035"/>
      <c r="ET797" s="1051"/>
    </row>
    <row r="798" spans="2:150" ht="16.5" customHeight="1">
      <c r="B798" s="1024"/>
      <c r="C798" s="1025"/>
      <c r="D798" s="408">
        <v>795</v>
      </c>
      <c r="E798" s="1164"/>
      <c r="F798" s="1164"/>
      <c r="G798" s="1026"/>
      <c r="H798" s="411" t="str">
        <f>IFERROR(INDEX(绊状态确认!C:C,MATCH($G798,绊状态确认!$B:$B,)),"")</f>
        <v/>
      </c>
      <c r="I798" s="450" t="str">
        <f>IFERROR(INDEX(绊状态确认!D:D,MATCH($G798,绊状态确认!$B:$B,)),"")</f>
        <v/>
      </c>
      <c r="J798" s="450" t="str">
        <f>IFERROR(INDEX(绊状态确认!E:E,MATCH($G798,绊状态确认!$B:$B,)),"")</f>
        <v/>
      </c>
      <c r="K798" s="451" t="str">
        <f>IFERROR(INDEX(绊状态确认!F:F,MATCH($G798,绊状态确认!$B:$B,)),"")</f>
        <v/>
      </c>
      <c r="L798" s="1026"/>
      <c r="M798" s="1165"/>
      <c r="N798" s="1027"/>
      <c r="O798" s="1026"/>
      <c r="P798" s="1028"/>
      <c r="Q798" s="1029"/>
      <c r="R798" s="1166"/>
      <c r="S798" s="1030"/>
      <c r="T798" s="1031"/>
      <c r="U798" s="1032"/>
      <c r="V798" s="1033"/>
      <c r="W798" s="1034"/>
      <c r="X798" s="1166"/>
      <c r="Y798" s="1035"/>
      <c r="Z798" s="1036"/>
      <c r="AA798" s="1037"/>
      <c r="AB798" s="1038"/>
      <c r="AC798" s="1039"/>
      <c r="AD798" s="1040"/>
      <c r="AE798" s="1041"/>
      <c r="AF798" s="521"/>
      <c r="AG798" s="420"/>
      <c r="AH798" s="420"/>
      <c r="AI798" s="420"/>
      <c r="AJ798" s="420"/>
      <c r="AK798" s="518"/>
      <c r="AL798" s="1042"/>
      <c r="AM798" s="1035"/>
      <c r="AN798" s="1043"/>
      <c r="AO798" s="1167"/>
      <c r="AP798" s="1044"/>
      <c r="AQ798" s="1035"/>
      <c r="AR798" s="1035"/>
      <c r="AS798" s="1035"/>
      <c r="AT798" s="1165"/>
      <c r="AU798" s="1031"/>
      <c r="AV798" s="1045"/>
      <c r="AW798" s="1038"/>
      <c r="AX798" s="1035"/>
      <c r="AY798" s="483"/>
      <c r="AZ798" s="429"/>
      <c r="BA798" s="431"/>
      <c r="BB798" s="1035"/>
      <c r="BC798" s="1035"/>
      <c r="BD798" s="481"/>
      <c r="BE798" s="432"/>
      <c r="BF798" s="646"/>
      <c r="BG798" s="1047"/>
      <c r="BH798" s="1046"/>
      <c r="BI798" s="1048"/>
      <c r="BJ798" s="1030"/>
      <c r="BK798" s="1046"/>
      <c r="BL798" s="1048"/>
      <c r="BM798" s="1046"/>
      <c r="BN798" s="1167"/>
      <c r="BO798" s="1035"/>
      <c r="BP798" s="1043"/>
      <c r="BQ798" s="1167"/>
      <c r="BR798" s="1165"/>
      <c r="BS798" s="1031"/>
      <c r="BT798" s="1038"/>
      <c r="BU798" s="1035"/>
      <c r="BV798" s="1035"/>
      <c r="BW798" s="1049"/>
      <c r="BX798" s="1043"/>
      <c r="BY798" s="1046"/>
      <c r="BZ798" s="1167"/>
      <c r="CA798" s="1165"/>
      <c r="CB798" s="1031"/>
      <c r="CC798" s="1038"/>
      <c r="CD798" s="1035"/>
      <c r="CE798" s="1035"/>
      <c r="CF798" s="1049"/>
      <c r="CG798" s="1043"/>
      <c r="CH798" s="1046"/>
      <c r="CI798" s="1167"/>
      <c r="CJ798" s="1168"/>
      <c r="CK798" s="1169"/>
      <c r="CL798" s="1169"/>
      <c r="CM798" s="1166"/>
      <c r="CN798" s="1169"/>
      <c r="CO798" s="1169"/>
      <c r="CP798" s="452"/>
      <c r="CQ798" s="435"/>
      <c r="CR798" s="1117"/>
      <c r="CS798" s="452"/>
      <c r="CT798" s="482"/>
      <c r="CU798" s="476"/>
      <c r="CV798" s="431"/>
      <c r="CW798" s="1108"/>
      <c r="CX798" s="1108"/>
      <c r="CY798" s="483"/>
      <c r="CZ798" s="437"/>
      <c r="DA798" s="438"/>
      <c r="DB798" s="439"/>
      <c r="DC798" s="439"/>
      <c r="DD798" s="443"/>
      <c r="DE798" s="411"/>
      <c r="DF798" s="411"/>
      <c r="DG798" s="1117"/>
      <c r="DH798" s="1117"/>
      <c r="DI798" s="1117"/>
      <c r="DJ798" s="442"/>
      <c r="DK798" s="482"/>
      <c r="DL798" s="1038"/>
      <c r="DM798" s="1035"/>
      <c r="DN798" s="1035"/>
      <c r="DO798" s="1035"/>
      <c r="DP798" s="1046"/>
      <c r="DQ798" s="1167"/>
      <c r="DR798" s="1168"/>
      <c r="DS798" s="1165"/>
      <c r="DT798" s="1165"/>
      <c r="DU798" s="1165"/>
      <c r="DV798" s="1031"/>
      <c r="DW798" s="1098">
        <f t="shared" si="1172"/>
        <v>0</v>
      </c>
      <c r="DX798" s="1098">
        <f t="shared" si="1173"/>
        <v>0</v>
      </c>
      <c r="DY798" s="1030"/>
      <c r="DZ798" s="1030"/>
      <c r="EA798" s="1031"/>
      <c r="EB798" s="1050"/>
      <c r="EC798" s="1038"/>
      <c r="ED798" s="1035"/>
      <c r="EE798" s="1046"/>
      <c r="EF798" s="1169"/>
      <c r="EG798" s="1168"/>
      <c r="EH798" s="1165"/>
      <c r="EI798" s="1165"/>
      <c r="EJ798" s="1165"/>
      <c r="EK798" s="1031"/>
      <c r="EL798" s="1098">
        <f t="shared" si="1174"/>
        <v>0</v>
      </c>
      <c r="EM798" s="1098">
        <f t="shared" si="1175"/>
        <v>0</v>
      </c>
      <c r="EN798" s="1030"/>
      <c r="EO798" s="1030"/>
      <c r="EP798" s="1031"/>
      <c r="EQ798" s="1050"/>
      <c r="ER798" s="1038"/>
      <c r="ES798" s="1035"/>
      <c r="ET798" s="1051"/>
    </row>
    <row r="799" spans="2:150" ht="16.5" customHeight="1">
      <c r="B799" s="1024"/>
      <c r="C799" s="1025"/>
      <c r="D799" s="408">
        <v>796</v>
      </c>
      <c r="E799" s="1164"/>
      <c r="F799" s="1164"/>
      <c r="G799" s="1026"/>
      <c r="H799" s="411" t="str">
        <f>IFERROR(INDEX(绊状态确认!C:C,MATCH($G799,绊状态确认!$B:$B,)),"")</f>
        <v/>
      </c>
      <c r="I799" s="450" t="str">
        <f>IFERROR(INDEX(绊状态确认!D:D,MATCH($G799,绊状态确认!$B:$B,)),"")</f>
        <v/>
      </c>
      <c r="J799" s="450" t="str">
        <f>IFERROR(INDEX(绊状态确认!E:E,MATCH($G799,绊状态确认!$B:$B,)),"")</f>
        <v/>
      </c>
      <c r="K799" s="451" t="str">
        <f>IFERROR(INDEX(绊状态确认!F:F,MATCH($G799,绊状态确认!$B:$B,)),"")</f>
        <v/>
      </c>
      <c r="L799" s="1026"/>
      <c r="M799" s="1165"/>
      <c r="N799" s="1027"/>
      <c r="O799" s="1026"/>
      <c r="P799" s="1028"/>
      <c r="Q799" s="1029"/>
      <c r="R799" s="1166"/>
      <c r="S799" s="1030"/>
      <c r="T799" s="1031"/>
      <c r="U799" s="1032"/>
      <c r="V799" s="1033"/>
      <c r="W799" s="1034"/>
      <c r="X799" s="1166"/>
      <c r="Y799" s="1035"/>
      <c r="Z799" s="1036"/>
      <c r="AA799" s="1037"/>
      <c r="AB799" s="1038"/>
      <c r="AC799" s="1039"/>
      <c r="AD799" s="1040"/>
      <c r="AE799" s="1041"/>
      <c r="AF799" s="521"/>
      <c r="AG799" s="420"/>
      <c r="AH799" s="420"/>
      <c r="AI799" s="420"/>
      <c r="AJ799" s="420"/>
      <c r="AK799" s="518"/>
      <c r="AL799" s="1042"/>
      <c r="AM799" s="1035"/>
      <c r="AN799" s="1043"/>
      <c r="AO799" s="1167"/>
      <c r="AP799" s="1044"/>
      <c r="AQ799" s="1035"/>
      <c r="AR799" s="1035"/>
      <c r="AS799" s="1035"/>
      <c r="AT799" s="1165"/>
      <c r="AU799" s="1031"/>
      <c r="AV799" s="1045"/>
      <c r="AW799" s="1038"/>
      <c r="AX799" s="1035"/>
      <c r="AY799" s="483"/>
      <c r="AZ799" s="429"/>
      <c r="BA799" s="431"/>
      <c r="BB799" s="1035"/>
      <c r="BC799" s="1035"/>
      <c r="BD799" s="481"/>
      <c r="BE799" s="432"/>
      <c r="BF799" s="646"/>
      <c r="BG799" s="1047"/>
      <c r="BH799" s="1046"/>
      <c r="BI799" s="1048"/>
      <c r="BJ799" s="1030"/>
      <c r="BK799" s="1046"/>
      <c r="BL799" s="1048"/>
      <c r="BM799" s="1046"/>
      <c r="BN799" s="1167"/>
      <c r="BO799" s="1035"/>
      <c r="BP799" s="1043"/>
      <c r="BQ799" s="1167"/>
      <c r="BR799" s="1165"/>
      <c r="BS799" s="1031"/>
      <c r="BT799" s="1038"/>
      <c r="BU799" s="1035"/>
      <c r="BV799" s="1035"/>
      <c r="BW799" s="1049"/>
      <c r="BX799" s="1043"/>
      <c r="BY799" s="1046"/>
      <c r="BZ799" s="1167"/>
      <c r="CA799" s="1165"/>
      <c r="CB799" s="1031"/>
      <c r="CC799" s="1038"/>
      <c r="CD799" s="1035"/>
      <c r="CE799" s="1035"/>
      <c r="CF799" s="1049"/>
      <c r="CG799" s="1043"/>
      <c r="CH799" s="1046"/>
      <c r="CI799" s="1167"/>
      <c r="CJ799" s="1168"/>
      <c r="CK799" s="1169"/>
      <c r="CL799" s="1169"/>
      <c r="CM799" s="1166"/>
      <c r="CN799" s="1169"/>
      <c r="CO799" s="1169"/>
      <c r="CP799" s="452"/>
      <c r="CQ799" s="435"/>
      <c r="CR799" s="1117"/>
      <c r="CS799" s="452"/>
      <c r="CT799" s="482"/>
      <c r="CU799" s="476"/>
      <c r="CV799" s="431"/>
      <c r="CW799" s="1108"/>
      <c r="CX799" s="1108"/>
      <c r="CY799" s="483"/>
      <c r="CZ799" s="437"/>
      <c r="DA799" s="438"/>
      <c r="DB799" s="439"/>
      <c r="DC799" s="439"/>
      <c r="DD799" s="443"/>
      <c r="DE799" s="411"/>
      <c r="DF799" s="411"/>
      <c r="DG799" s="1117"/>
      <c r="DH799" s="1117"/>
      <c r="DI799" s="1117"/>
      <c r="DJ799" s="442"/>
      <c r="DK799" s="482"/>
      <c r="DL799" s="1038"/>
      <c r="DM799" s="1035"/>
      <c r="DN799" s="1035"/>
      <c r="DO799" s="1035"/>
      <c r="DP799" s="1046"/>
      <c r="DQ799" s="1167"/>
      <c r="DR799" s="1168"/>
      <c r="DS799" s="1165"/>
      <c r="DT799" s="1165"/>
      <c r="DU799" s="1165"/>
      <c r="DV799" s="1031"/>
      <c r="DW799" s="1098">
        <f t="shared" si="1172"/>
        <v>0</v>
      </c>
      <c r="DX799" s="1098">
        <f t="shared" si="1173"/>
        <v>0</v>
      </c>
      <c r="DY799" s="1030"/>
      <c r="DZ799" s="1030"/>
      <c r="EA799" s="1031"/>
      <c r="EB799" s="1050"/>
      <c r="EC799" s="1038"/>
      <c r="ED799" s="1035"/>
      <c r="EE799" s="1046"/>
      <c r="EF799" s="1169"/>
      <c r="EG799" s="1168"/>
      <c r="EH799" s="1165"/>
      <c r="EI799" s="1165"/>
      <c r="EJ799" s="1165"/>
      <c r="EK799" s="1031"/>
      <c r="EL799" s="1098">
        <f t="shared" si="1174"/>
        <v>0</v>
      </c>
      <c r="EM799" s="1098">
        <f t="shared" si="1175"/>
        <v>0</v>
      </c>
      <c r="EN799" s="1030"/>
      <c r="EO799" s="1030"/>
      <c r="EP799" s="1031"/>
      <c r="EQ799" s="1050"/>
      <c r="ER799" s="1038"/>
      <c r="ES799" s="1035"/>
      <c r="ET799" s="1051"/>
    </row>
    <row r="800" spans="2:150" ht="16.5" customHeight="1">
      <c r="B800" s="1024"/>
      <c r="C800" s="1025"/>
      <c r="D800" s="408">
        <v>797</v>
      </c>
      <c r="E800" s="1164"/>
      <c r="F800" s="1164"/>
      <c r="G800" s="1026"/>
      <c r="H800" s="411" t="str">
        <f>IFERROR(INDEX(绊状态确认!C:C,MATCH($G800,绊状态确认!$B:$B,)),"")</f>
        <v/>
      </c>
      <c r="I800" s="450" t="str">
        <f>IFERROR(INDEX(绊状态确认!D:D,MATCH($G800,绊状态确认!$B:$B,)),"")</f>
        <v/>
      </c>
      <c r="J800" s="450" t="str">
        <f>IFERROR(INDEX(绊状态确认!E:E,MATCH($G800,绊状态确认!$B:$B,)),"")</f>
        <v/>
      </c>
      <c r="K800" s="451" t="str">
        <f>IFERROR(INDEX(绊状态确认!F:F,MATCH($G800,绊状态确认!$B:$B,)),"")</f>
        <v/>
      </c>
      <c r="L800" s="1026"/>
      <c r="M800" s="1165"/>
      <c r="N800" s="1027"/>
      <c r="O800" s="1026"/>
      <c r="P800" s="1028"/>
      <c r="Q800" s="1029"/>
      <c r="R800" s="1166"/>
      <c r="S800" s="1030"/>
      <c r="T800" s="1031"/>
      <c r="U800" s="1032"/>
      <c r="V800" s="1033"/>
      <c r="W800" s="1034"/>
      <c r="X800" s="1166"/>
      <c r="Y800" s="1035"/>
      <c r="Z800" s="1036"/>
      <c r="AA800" s="1037"/>
      <c r="AB800" s="1038"/>
      <c r="AC800" s="1039"/>
      <c r="AD800" s="1040"/>
      <c r="AE800" s="1041"/>
      <c r="AF800" s="521"/>
      <c r="AG800" s="420"/>
      <c r="AH800" s="420"/>
      <c r="AI800" s="420"/>
      <c r="AJ800" s="420"/>
      <c r="AK800" s="518"/>
      <c r="AL800" s="1042"/>
      <c r="AM800" s="1035"/>
      <c r="AN800" s="1043"/>
      <c r="AO800" s="1167"/>
      <c r="AP800" s="1044"/>
      <c r="AQ800" s="1035"/>
      <c r="AR800" s="1035"/>
      <c r="AS800" s="1035"/>
      <c r="AT800" s="1165"/>
      <c r="AU800" s="1031"/>
      <c r="AV800" s="1045"/>
      <c r="AW800" s="1038"/>
      <c r="AX800" s="1035"/>
      <c r="AY800" s="483"/>
      <c r="AZ800" s="429"/>
      <c r="BA800" s="431"/>
      <c r="BB800" s="1035"/>
      <c r="BC800" s="1035"/>
      <c r="BD800" s="481"/>
      <c r="BE800" s="432"/>
      <c r="BF800" s="646"/>
      <c r="BG800" s="1047"/>
      <c r="BH800" s="1046"/>
      <c r="BI800" s="1048"/>
      <c r="BJ800" s="1030"/>
      <c r="BK800" s="1046"/>
      <c r="BL800" s="1048"/>
      <c r="BM800" s="1046"/>
      <c r="BN800" s="1167"/>
      <c r="BO800" s="1035"/>
      <c r="BP800" s="1043"/>
      <c r="BQ800" s="1167"/>
      <c r="BR800" s="1165"/>
      <c r="BS800" s="1031"/>
      <c r="BT800" s="1038"/>
      <c r="BU800" s="1035"/>
      <c r="BV800" s="1035"/>
      <c r="BW800" s="1049"/>
      <c r="BX800" s="1043"/>
      <c r="BY800" s="1046"/>
      <c r="BZ800" s="1167"/>
      <c r="CA800" s="1165"/>
      <c r="CB800" s="1031"/>
      <c r="CC800" s="1038"/>
      <c r="CD800" s="1035"/>
      <c r="CE800" s="1035"/>
      <c r="CF800" s="1049"/>
      <c r="CG800" s="1043"/>
      <c r="CH800" s="1046"/>
      <c r="CI800" s="1167"/>
      <c r="CJ800" s="1168"/>
      <c r="CK800" s="1169"/>
      <c r="CL800" s="1169"/>
      <c r="CM800" s="1166"/>
      <c r="CN800" s="1169"/>
      <c r="CO800" s="1169"/>
      <c r="CP800" s="452"/>
      <c r="CQ800" s="435"/>
      <c r="CR800" s="1117"/>
      <c r="CS800" s="452"/>
      <c r="CT800" s="482"/>
      <c r="CU800" s="476"/>
      <c r="CV800" s="431"/>
      <c r="CW800" s="1108"/>
      <c r="CX800" s="1108"/>
      <c r="CY800" s="483"/>
      <c r="CZ800" s="437"/>
      <c r="DA800" s="438"/>
      <c r="DB800" s="439"/>
      <c r="DC800" s="439"/>
      <c r="DD800" s="443"/>
      <c r="DE800" s="411"/>
      <c r="DF800" s="411"/>
      <c r="DG800" s="1117"/>
      <c r="DH800" s="1117"/>
      <c r="DI800" s="1117"/>
      <c r="DJ800" s="442"/>
      <c r="DK800" s="482"/>
      <c r="DL800" s="1038"/>
      <c r="DM800" s="1035"/>
      <c r="DN800" s="1035"/>
      <c r="DO800" s="1035"/>
      <c r="DP800" s="1046"/>
      <c r="DQ800" s="1167"/>
      <c r="DR800" s="1168"/>
      <c r="DS800" s="1165"/>
      <c r="DT800" s="1165"/>
      <c r="DU800" s="1165"/>
      <c r="DV800" s="1031"/>
      <c r="DW800" s="1098">
        <f t="shared" si="1172"/>
        <v>0</v>
      </c>
      <c r="DX800" s="1098">
        <f t="shared" si="1173"/>
        <v>0</v>
      </c>
      <c r="DY800" s="1030"/>
      <c r="DZ800" s="1030"/>
      <c r="EA800" s="1031"/>
      <c r="EB800" s="1050"/>
      <c r="EC800" s="1038"/>
      <c r="ED800" s="1035"/>
      <c r="EE800" s="1046"/>
      <c r="EF800" s="1169"/>
      <c r="EG800" s="1168"/>
      <c r="EH800" s="1165"/>
      <c r="EI800" s="1165"/>
      <c r="EJ800" s="1165"/>
      <c r="EK800" s="1031"/>
      <c r="EL800" s="1098">
        <f t="shared" si="1174"/>
        <v>0</v>
      </c>
      <c r="EM800" s="1098">
        <f t="shared" si="1175"/>
        <v>0</v>
      </c>
      <c r="EN800" s="1030"/>
      <c r="EO800" s="1030"/>
      <c r="EP800" s="1031"/>
      <c r="EQ800" s="1050"/>
      <c r="ER800" s="1038"/>
      <c r="ES800" s="1035"/>
      <c r="ET800" s="1051"/>
    </row>
    <row r="801" spans="2:150" ht="16.5" customHeight="1">
      <c r="B801" s="1024"/>
      <c r="C801" s="1025"/>
      <c r="D801" s="408">
        <v>798</v>
      </c>
      <c r="E801" s="1164"/>
      <c r="F801" s="1164"/>
      <c r="G801" s="1026"/>
      <c r="H801" s="411" t="str">
        <f>IFERROR(INDEX(绊状态确认!C:C,MATCH($G801,绊状态确认!$B:$B,)),"")</f>
        <v/>
      </c>
      <c r="I801" s="450" t="str">
        <f>IFERROR(INDEX(绊状态确认!D:D,MATCH($G801,绊状态确认!$B:$B,)),"")</f>
        <v/>
      </c>
      <c r="J801" s="450" t="str">
        <f>IFERROR(INDEX(绊状态确认!E:E,MATCH($G801,绊状态确认!$B:$B,)),"")</f>
        <v/>
      </c>
      <c r="K801" s="451" t="str">
        <f>IFERROR(INDEX(绊状态确认!F:F,MATCH($G801,绊状态确认!$B:$B,)),"")</f>
        <v/>
      </c>
      <c r="L801" s="1026"/>
      <c r="M801" s="1165"/>
      <c r="N801" s="1027"/>
      <c r="O801" s="1026"/>
      <c r="P801" s="1028"/>
      <c r="Q801" s="1029"/>
      <c r="R801" s="1166"/>
      <c r="S801" s="1030"/>
      <c r="T801" s="1031"/>
      <c r="U801" s="1032"/>
      <c r="V801" s="1033"/>
      <c r="W801" s="1034"/>
      <c r="X801" s="1166"/>
      <c r="Y801" s="1035"/>
      <c r="Z801" s="1036"/>
      <c r="AA801" s="1037"/>
      <c r="AB801" s="1038"/>
      <c r="AC801" s="1039"/>
      <c r="AD801" s="1040"/>
      <c r="AE801" s="1041"/>
      <c r="AF801" s="521"/>
      <c r="AG801" s="420"/>
      <c r="AH801" s="420"/>
      <c r="AI801" s="420"/>
      <c r="AJ801" s="420"/>
      <c r="AK801" s="518"/>
      <c r="AL801" s="1042"/>
      <c r="AM801" s="1035"/>
      <c r="AN801" s="1043"/>
      <c r="AO801" s="1167"/>
      <c r="AP801" s="1044"/>
      <c r="AQ801" s="1035"/>
      <c r="AR801" s="1035"/>
      <c r="AS801" s="1035"/>
      <c r="AT801" s="1165"/>
      <c r="AU801" s="1031"/>
      <c r="AV801" s="1045"/>
      <c r="AW801" s="1038"/>
      <c r="AX801" s="1035"/>
      <c r="AY801" s="483"/>
      <c r="AZ801" s="429"/>
      <c r="BA801" s="431"/>
      <c r="BB801" s="1035"/>
      <c r="BC801" s="1035"/>
      <c r="BD801" s="481"/>
      <c r="BE801" s="432"/>
      <c r="BF801" s="646"/>
      <c r="BG801" s="1047"/>
      <c r="BH801" s="1046"/>
      <c r="BI801" s="1048"/>
      <c r="BJ801" s="1030"/>
      <c r="BK801" s="1046"/>
      <c r="BL801" s="1048"/>
      <c r="BM801" s="1046"/>
      <c r="BN801" s="1167"/>
      <c r="BO801" s="1035"/>
      <c r="BP801" s="1043"/>
      <c r="BQ801" s="1167"/>
      <c r="BR801" s="1165"/>
      <c r="BS801" s="1031"/>
      <c r="BT801" s="1038"/>
      <c r="BU801" s="1035"/>
      <c r="BV801" s="1035"/>
      <c r="BW801" s="1049"/>
      <c r="BX801" s="1043"/>
      <c r="BY801" s="1046"/>
      <c r="BZ801" s="1167"/>
      <c r="CA801" s="1165"/>
      <c r="CB801" s="1031"/>
      <c r="CC801" s="1038"/>
      <c r="CD801" s="1035"/>
      <c r="CE801" s="1035"/>
      <c r="CF801" s="1049"/>
      <c r="CG801" s="1043"/>
      <c r="CH801" s="1046"/>
      <c r="CI801" s="1167"/>
      <c r="CJ801" s="1168"/>
      <c r="CK801" s="1169"/>
      <c r="CL801" s="1169"/>
      <c r="CM801" s="1166"/>
      <c r="CN801" s="1169"/>
      <c r="CO801" s="1169"/>
      <c r="CP801" s="452"/>
      <c r="CQ801" s="435"/>
      <c r="CR801" s="1117"/>
      <c r="CS801" s="452"/>
      <c r="CT801" s="482"/>
      <c r="CU801" s="476"/>
      <c r="CV801" s="431"/>
      <c r="CW801" s="1108"/>
      <c r="CX801" s="1108"/>
      <c r="CY801" s="483"/>
      <c r="CZ801" s="437"/>
      <c r="DA801" s="438"/>
      <c r="DB801" s="439"/>
      <c r="DC801" s="439"/>
      <c r="DD801" s="443"/>
      <c r="DE801" s="411"/>
      <c r="DF801" s="411"/>
      <c r="DG801" s="1117"/>
      <c r="DH801" s="1117"/>
      <c r="DI801" s="1117"/>
      <c r="DJ801" s="442"/>
      <c r="DK801" s="482"/>
      <c r="DL801" s="1038"/>
      <c r="DM801" s="1035"/>
      <c r="DN801" s="1035"/>
      <c r="DO801" s="1035"/>
      <c r="DP801" s="1046"/>
      <c r="DQ801" s="1167"/>
      <c r="DR801" s="1168"/>
      <c r="DS801" s="1165"/>
      <c r="DT801" s="1165"/>
      <c r="DU801" s="1165"/>
      <c r="DV801" s="1031"/>
      <c r="DW801" s="1098">
        <f t="shared" si="1172"/>
        <v>0</v>
      </c>
      <c r="DX801" s="1098">
        <f t="shared" si="1173"/>
        <v>0</v>
      </c>
      <c r="DY801" s="1030"/>
      <c r="DZ801" s="1030"/>
      <c r="EA801" s="1031"/>
      <c r="EB801" s="1050"/>
      <c r="EC801" s="1038"/>
      <c r="ED801" s="1035"/>
      <c r="EE801" s="1046"/>
      <c r="EF801" s="1169"/>
      <c r="EG801" s="1168"/>
      <c r="EH801" s="1165"/>
      <c r="EI801" s="1165"/>
      <c r="EJ801" s="1165"/>
      <c r="EK801" s="1031"/>
      <c r="EL801" s="1098">
        <f t="shared" si="1174"/>
        <v>0</v>
      </c>
      <c r="EM801" s="1098">
        <f t="shared" si="1175"/>
        <v>0</v>
      </c>
      <c r="EN801" s="1030"/>
      <c r="EO801" s="1030"/>
      <c r="EP801" s="1031"/>
      <c r="EQ801" s="1050"/>
      <c r="ER801" s="1038"/>
      <c r="ES801" s="1035"/>
      <c r="ET801" s="1051"/>
    </row>
    <row r="802" spans="2:150" ht="16.5" customHeight="1">
      <c r="B802" s="1024"/>
      <c r="C802" s="1025"/>
      <c r="D802" s="408">
        <v>799</v>
      </c>
      <c r="E802" s="1164"/>
      <c r="F802" s="1164"/>
      <c r="G802" s="1026"/>
      <c r="H802" s="411" t="str">
        <f>IFERROR(INDEX(绊状态确认!C:C,MATCH($G802,绊状态确认!$B:$B,)),"")</f>
        <v/>
      </c>
      <c r="I802" s="450" t="str">
        <f>IFERROR(INDEX(绊状态确认!D:D,MATCH($G802,绊状态确认!$B:$B,)),"")</f>
        <v/>
      </c>
      <c r="J802" s="450" t="str">
        <f>IFERROR(INDEX(绊状态确认!E:E,MATCH($G802,绊状态确认!$B:$B,)),"")</f>
        <v/>
      </c>
      <c r="K802" s="451" t="str">
        <f>IFERROR(INDEX(绊状态确认!F:F,MATCH($G802,绊状态确认!$B:$B,)),"")</f>
        <v/>
      </c>
      <c r="L802" s="1026"/>
      <c r="M802" s="1165"/>
      <c r="N802" s="1027"/>
      <c r="O802" s="1026"/>
      <c r="P802" s="1028"/>
      <c r="Q802" s="1029"/>
      <c r="R802" s="1166"/>
      <c r="S802" s="1030"/>
      <c r="T802" s="1031"/>
      <c r="U802" s="1032"/>
      <c r="V802" s="1033"/>
      <c r="W802" s="1034"/>
      <c r="X802" s="1166"/>
      <c r="Y802" s="1035"/>
      <c r="Z802" s="1036"/>
      <c r="AA802" s="1037"/>
      <c r="AB802" s="1038"/>
      <c r="AC802" s="1039"/>
      <c r="AD802" s="1040"/>
      <c r="AE802" s="1041"/>
      <c r="AF802" s="521"/>
      <c r="AG802" s="420"/>
      <c r="AH802" s="420"/>
      <c r="AI802" s="420"/>
      <c r="AJ802" s="420"/>
      <c r="AK802" s="518"/>
      <c r="AL802" s="1042"/>
      <c r="AM802" s="1035"/>
      <c r="AN802" s="1043"/>
      <c r="AO802" s="1167"/>
      <c r="AP802" s="1044"/>
      <c r="AQ802" s="1035"/>
      <c r="AR802" s="1035"/>
      <c r="AS802" s="1035"/>
      <c r="AT802" s="1165"/>
      <c r="AU802" s="1031"/>
      <c r="AV802" s="1045"/>
      <c r="AW802" s="1038"/>
      <c r="AX802" s="1035"/>
      <c r="AY802" s="483"/>
      <c r="AZ802" s="429"/>
      <c r="BA802" s="431"/>
      <c r="BB802" s="1035"/>
      <c r="BC802" s="1035"/>
      <c r="BD802" s="481"/>
      <c r="BE802" s="432"/>
      <c r="BF802" s="646"/>
      <c r="BG802" s="1047"/>
      <c r="BH802" s="1046"/>
      <c r="BI802" s="1048"/>
      <c r="BJ802" s="1030"/>
      <c r="BK802" s="1046"/>
      <c r="BL802" s="1048"/>
      <c r="BM802" s="1046"/>
      <c r="BN802" s="1167"/>
      <c r="BO802" s="1035"/>
      <c r="BP802" s="1043"/>
      <c r="BQ802" s="1167"/>
      <c r="BR802" s="1165"/>
      <c r="BS802" s="1031"/>
      <c r="BT802" s="1038"/>
      <c r="BU802" s="1035"/>
      <c r="BV802" s="1035"/>
      <c r="BW802" s="1049"/>
      <c r="BX802" s="1043"/>
      <c r="BY802" s="1046"/>
      <c r="BZ802" s="1167"/>
      <c r="CA802" s="1165"/>
      <c r="CB802" s="1031"/>
      <c r="CC802" s="1038"/>
      <c r="CD802" s="1035"/>
      <c r="CE802" s="1035"/>
      <c r="CF802" s="1049"/>
      <c r="CG802" s="1043"/>
      <c r="CH802" s="1046"/>
      <c r="CI802" s="1167"/>
      <c r="CJ802" s="1168"/>
      <c r="CK802" s="1169"/>
      <c r="CL802" s="1169"/>
      <c r="CM802" s="1166"/>
      <c r="CN802" s="1169"/>
      <c r="CO802" s="1169"/>
      <c r="CP802" s="452"/>
      <c r="CQ802" s="435"/>
      <c r="CR802" s="441"/>
      <c r="CS802" s="452"/>
      <c r="CT802" s="482"/>
      <c r="CU802" s="476"/>
      <c r="CV802" s="431"/>
      <c r="CW802" s="1108"/>
      <c r="CX802" s="1108"/>
      <c r="CY802" s="483"/>
      <c r="CZ802" s="437"/>
      <c r="DA802" s="438"/>
      <c r="DB802" s="439"/>
      <c r="DC802" s="439"/>
      <c r="DD802" s="443"/>
      <c r="DE802" s="411"/>
      <c r="DF802" s="411"/>
      <c r="DG802" s="1117"/>
      <c r="DH802" s="1117"/>
      <c r="DI802" s="1117"/>
      <c r="DJ802" s="442"/>
      <c r="DK802" s="482"/>
      <c r="DL802" s="1038"/>
      <c r="DM802" s="1035"/>
      <c r="DN802" s="1035"/>
      <c r="DO802" s="1035"/>
      <c r="DP802" s="1046"/>
      <c r="DQ802" s="1167"/>
      <c r="DR802" s="1168"/>
      <c r="DS802" s="1165"/>
      <c r="DT802" s="1165"/>
      <c r="DU802" s="1165"/>
      <c r="DV802" s="1031"/>
      <c r="DW802" s="1098">
        <f t="shared" si="1172"/>
        <v>0</v>
      </c>
      <c r="DX802" s="1098">
        <f t="shared" si="1173"/>
        <v>0</v>
      </c>
      <c r="DY802" s="1030"/>
      <c r="DZ802" s="1030"/>
      <c r="EA802" s="1031"/>
      <c r="EB802" s="1050"/>
      <c r="EC802" s="1038"/>
      <c r="ED802" s="1035"/>
      <c r="EE802" s="1046"/>
      <c r="EF802" s="1169"/>
      <c r="EG802" s="1168"/>
      <c r="EH802" s="1165"/>
      <c r="EI802" s="1165"/>
      <c r="EJ802" s="1165"/>
      <c r="EK802" s="1031"/>
      <c r="EL802" s="1098">
        <f t="shared" si="1174"/>
        <v>0</v>
      </c>
      <c r="EM802" s="1098">
        <f t="shared" si="1175"/>
        <v>0</v>
      </c>
      <c r="EN802" s="1030"/>
      <c r="EO802" s="1030"/>
      <c r="EP802" s="1031"/>
      <c r="EQ802" s="1050"/>
      <c r="ER802" s="1038"/>
      <c r="ES802" s="1035"/>
      <c r="ET802" s="1051"/>
    </row>
    <row r="803" spans="2:150" ht="16.5" customHeight="1">
      <c r="B803" s="1024"/>
      <c r="C803" s="1025"/>
      <c r="D803" s="408">
        <v>800</v>
      </c>
      <c r="E803" s="1164"/>
      <c r="F803" s="1164"/>
      <c r="G803" s="1026"/>
      <c r="H803" s="411" t="str">
        <f>IFERROR(INDEX(绊状态确认!C:C,MATCH($G803,绊状态确认!$B:$B,)),"")</f>
        <v/>
      </c>
      <c r="I803" s="450" t="str">
        <f>IFERROR(INDEX(绊状态确认!D:D,MATCH($G803,绊状态确认!$B:$B,)),"")</f>
        <v/>
      </c>
      <c r="J803" s="450" t="str">
        <f>IFERROR(INDEX(绊状态确认!E:E,MATCH($G803,绊状态确认!$B:$B,)),"")</f>
        <v/>
      </c>
      <c r="K803" s="451" t="str">
        <f>IFERROR(INDEX(绊状态确认!F:F,MATCH($G803,绊状态确认!$B:$B,)),"")</f>
        <v/>
      </c>
      <c r="L803" s="1026"/>
      <c r="M803" s="1165"/>
      <c r="N803" s="1027"/>
      <c r="O803" s="1026"/>
      <c r="P803" s="1028"/>
      <c r="Q803" s="1029"/>
      <c r="R803" s="1166"/>
      <c r="S803" s="1030"/>
      <c r="T803" s="1031"/>
      <c r="U803" s="1032"/>
      <c r="V803" s="1033"/>
      <c r="W803" s="1034"/>
      <c r="X803" s="1166"/>
      <c r="Y803" s="1035"/>
      <c r="Z803" s="1036"/>
      <c r="AA803" s="1037"/>
      <c r="AB803" s="1038"/>
      <c r="AC803" s="1039"/>
      <c r="AD803" s="1040"/>
      <c r="AE803" s="1041"/>
      <c r="AF803" s="521"/>
      <c r="AG803" s="420"/>
      <c r="AH803" s="420"/>
      <c r="AI803" s="420"/>
      <c r="AJ803" s="420"/>
      <c r="AK803" s="518"/>
      <c r="AL803" s="1042"/>
      <c r="AM803" s="1035"/>
      <c r="AN803" s="1043"/>
      <c r="AO803" s="1167"/>
      <c r="AP803" s="1044"/>
      <c r="AQ803" s="1035"/>
      <c r="AR803" s="1035"/>
      <c r="AS803" s="1035"/>
      <c r="AT803" s="1165"/>
      <c r="AU803" s="1031"/>
      <c r="AV803" s="1045"/>
      <c r="AW803" s="1038"/>
      <c r="AX803" s="1035"/>
      <c r="AY803" s="483"/>
      <c r="AZ803" s="429"/>
      <c r="BA803" s="431"/>
      <c r="BB803" s="1035"/>
      <c r="BC803" s="1035"/>
      <c r="BD803" s="481"/>
      <c r="BE803" s="432"/>
      <c r="BF803" s="646"/>
      <c r="BG803" s="1047"/>
      <c r="BH803" s="1046"/>
      <c r="BI803" s="1048"/>
      <c r="BJ803" s="1030"/>
      <c r="BK803" s="1046"/>
      <c r="BL803" s="1048"/>
      <c r="BM803" s="1046"/>
      <c r="BN803" s="1167"/>
      <c r="BO803" s="1035"/>
      <c r="BP803" s="1043"/>
      <c r="BQ803" s="1167"/>
      <c r="BR803" s="1165"/>
      <c r="BS803" s="1031"/>
      <c r="BT803" s="1038"/>
      <c r="BU803" s="1035"/>
      <c r="BV803" s="1035"/>
      <c r="BW803" s="1049"/>
      <c r="BX803" s="1043"/>
      <c r="BY803" s="1046"/>
      <c r="BZ803" s="1167"/>
      <c r="CA803" s="1165"/>
      <c r="CB803" s="1031"/>
      <c r="CC803" s="1038"/>
      <c r="CD803" s="1035"/>
      <c r="CE803" s="1035"/>
      <c r="CF803" s="1049"/>
      <c r="CG803" s="1043"/>
      <c r="CH803" s="1046"/>
      <c r="CI803" s="1167"/>
      <c r="CJ803" s="1168"/>
      <c r="CK803" s="1169"/>
      <c r="CL803" s="1169"/>
      <c r="CM803" s="1166"/>
      <c r="CN803" s="1169"/>
      <c r="CO803" s="1169"/>
      <c r="CP803" s="452"/>
      <c r="CQ803" s="435"/>
      <c r="CR803" s="1117"/>
      <c r="CS803" s="452"/>
      <c r="CT803" s="482"/>
      <c r="CU803" s="476"/>
      <c r="CV803" s="431"/>
      <c r="CW803" s="1108"/>
      <c r="CX803" s="1108"/>
      <c r="CY803" s="483"/>
      <c r="CZ803" s="437"/>
      <c r="DA803" s="438"/>
      <c r="DB803" s="439"/>
      <c r="DC803" s="439"/>
      <c r="DD803" s="443"/>
      <c r="DE803" s="411"/>
      <c r="DF803" s="411"/>
      <c r="DG803" s="1117"/>
      <c r="DH803" s="1117"/>
      <c r="DI803" s="1117"/>
      <c r="DJ803" s="442"/>
      <c r="DK803" s="482"/>
      <c r="DL803" s="1038"/>
      <c r="DM803" s="1035"/>
      <c r="DN803" s="1035"/>
      <c r="DO803" s="1035"/>
      <c r="DP803" s="1046"/>
      <c r="DQ803" s="1167"/>
      <c r="DR803" s="1168"/>
      <c r="DS803" s="1165"/>
      <c r="DT803" s="1165"/>
      <c r="DU803" s="1165"/>
      <c r="DV803" s="1031"/>
      <c r="DW803" s="1098">
        <f t="shared" si="1172"/>
        <v>0</v>
      </c>
      <c r="DX803" s="1098">
        <f t="shared" si="1173"/>
        <v>0</v>
      </c>
      <c r="DY803" s="1030"/>
      <c r="DZ803" s="1030"/>
      <c r="EA803" s="1031"/>
      <c r="EB803" s="1050"/>
      <c r="EC803" s="1038"/>
      <c r="ED803" s="1035"/>
      <c r="EE803" s="1046"/>
      <c r="EF803" s="1169"/>
      <c r="EG803" s="1168"/>
      <c r="EH803" s="1165"/>
      <c r="EI803" s="1165"/>
      <c r="EJ803" s="1165"/>
      <c r="EK803" s="1031"/>
      <c r="EL803" s="1098">
        <f t="shared" si="1174"/>
        <v>0</v>
      </c>
      <c r="EM803" s="1098">
        <f t="shared" si="1175"/>
        <v>0</v>
      </c>
      <c r="EN803" s="1030"/>
      <c r="EO803" s="1030"/>
      <c r="EP803" s="1031"/>
      <c r="EQ803" s="1050"/>
      <c r="ER803" s="1038"/>
      <c r="ES803" s="1035"/>
      <c r="ET803" s="1051"/>
    </row>
    <row r="804" spans="2:150" ht="16.5" customHeight="1">
      <c r="B804" s="1024"/>
      <c r="C804" s="1025"/>
      <c r="D804" s="408">
        <v>801</v>
      </c>
      <c r="E804" s="1164"/>
      <c r="F804" s="1164"/>
      <c r="G804" s="1026"/>
      <c r="H804" s="411" t="str">
        <f>IFERROR(INDEX(绊状态确认!C:C,MATCH($G804,绊状态确认!$B:$B,)),"")</f>
        <v/>
      </c>
      <c r="I804" s="450" t="str">
        <f>IFERROR(INDEX(绊状态确认!D:D,MATCH($G804,绊状态确认!$B:$B,)),"")</f>
        <v/>
      </c>
      <c r="J804" s="450" t="str">
        <f>IFERROR(INDEX(绊状态确认!E:E,MATCH($G804,绊状态确认!$B:$B,)),"")</f>
        <v/>
      </c>
      <c r="K804" s="451" t="str">
        <f>IFERROR(INDEX(绊状态确认!F:F,MATCH($G804,绊状态确认!$B:$B,)),"")</f>
        <v/>
      </c>
      <c r="L804" s="1026"/>
      <c r="M804" s="1165"/>
      <c r="N804" s="1027"/>
      <c r="O804" s="1026"/>
      <c r="P804" s="1028"/>
      <c r="Q804" s="1029"/>
      <c r="R804" s="1166"/>
      <c r="S804" s="1030"/>
      <c r="T804" s="1031"/>
      <c r="U804" s="1032"/>
      <c r="V804" s="1033"/>
      <c r="W804" s="1034"/>
      <c r="X804" s="1166"/>
      <c r="Y804" s="1035"/>
      <c r="Z804" s="1036"/>
      <c r="AA804" s="1037"/>
      <c r="AB804" s="1038"/>
      <c r="AC804" s="1039"/>
      <c r="AD804" s="1040"/>
      <c r="AE804" s="1041"/>
      <c r="AF804" s="521"/>
      <c r="AG804" s="420"/>
      <c r="AH804" s="420"/>
      <c r="AI804" s="420"/>
      <c r="AJ804" s="420"/>
      <c r="AK804" s="518"/>
      <c r="AL804" s="1042"/>
      <c r="AM804" s="1035"/>
      <c r="AN804" s="1043"/>
      <c r="AO804" s="1167"/>
      <c r="AP804" s="1044"/>
      <c r="AQ804" s="1035"/>
      <c r="AR804" s="1035"/>
      <c r="AS804" s="1035"/>
      <c r="AT804" s="1165"/>
      <c r="AU804" s="1031"/>
      <c r="AV804" s="1045"/>
      <c r="AW804" s="1038"/>
      <c r="AX804" s="1035"/>
      <c r="AY804" s="483"/>
      <c r="AZ804" s="429"/>
      <c r="BA804" s="431"/>
      <c r="BB804" s="1035"/>
      <c r="BC804" s="1035"/>
      <c r="BD804" s="481"/>
      <c r="BE804" s="432"/>
      <c r="BF804" s="646"/>
      <c r="BG804" s="1047"/>
      <c r="BH804" s="1046"/>
      <c r="BI804" s="1048"/>
      <c r="BJ804" s="1030"/>
      <c r="BK804" s="1046"/>
      <c r="BL804" s="1048"/>
      <c r="BM804" s="1046"/>
      <c r="BN804" s="1167"/>
      <c r="BO804" s="1035"/>
      <c r="BP804" s="1043"/>
      <c r="BQ804" s="1167"/>
      <c r="BR804" s="1165"/>
      <c r="BS804" s="1031"/>
      <c r="BT804" s="1038"/>
      <c r="BU804" s="1035"/>
      <c r="BV804" s="1035"/>
      <c r="BW804" s="1049"/>
      <c r="BX804" s="1043"/>
      <c r="BY804" s="1046"/>
      <c r="BZ804" s="1167"/>
      <c r="CA804" s="1165"/>
      <c r="CB804" s="1031"/>
      <c r="CC804" s="1038"/>
      <c r="CD804" s="1035"/>
      <c r="CE804" s="1035"/>
      <c r="CF804" s="1049"/>
      <c r="CG804" s="1043"/>
      <c r="CH804" s="1046"/>
      <c r="CI804" s="1167"/>
      <c r="CJ804" s="1168"/>
      <c r="CK804" s="1169"/>
      <c r="CL804" s="1169"/>
      <c r="CM804" s="1166"/>
      <c r="CN804" s="1169"/>
      <c r="CO804" s="1169"/>
      <c r="CP804" s="452"/>
      <c r="CQ804" s="435"/>
      <c r="CR804" s="1117"/>
      <c r="CS804" s="452"/>
      <c r="CT804" s="482"/>
      <c r="CU804" s="476"/>
      <c r="CV804" s="431"/>
      <c r="CW804" s="1108"/>
      <c r="CX804" s="1108"/>
      <c r="CY804" s="483"/>
      <c r="CZ804" s="437"/>
      <c r="DA804" s="438"/>
      <c r="DB804" s="439"/>
      <c r="DC804" s="439"/>
      <c r="DD804" s="443"/>
      <c r="DE804" s="411"/>
      <c r="DF804" s="411"/>
      <c r="DG804" s="1117"/>
      <c r="DH804" s="1117"/>
      <c r="DI804" s="1117"/>
      <c r="DJ804" s="442"/>
      <c r="DK804" s="482"/>
      <c r="DL804" s="1038"/>
      <c r="DM804" s="1035"/>
      <c r="DN804" s="1035"/>
      <c r="DO804" s="1035"/>
      <c r="DP804" s="1046"/>
      <c r="DQ804" s="1167"/>
      <c r="DR804" s="1168"/>
      <c r="DS804" s="1165"/>
      <c r="DT804" s="1165"/>
      <c r="DU804" s="1165"/>
      <c r="DV804" s="1031"/>
      <c r="DW804" s="1098">
        <f t="shared" si="1172"/>
        <v>0</v>
      </c>
      <c r="DX804" s="1098">
        <f t="shared" si="1173"/>
        <v>0</v>
      </c>
      <c r="DY804" s="1030"/>
      <c r="DZ804" s="1030"/>
      <c r="EA804" s="1031"/>
      <c r="EB804" s="1050"/>
      <c r="EC804" s="1038"/>
      <c r="ED804" s="1035"/>
      <c r="EE804" s="1046"/>
      <c r="EF804" s="1169"/>
      <c r="EG804" s="1168"/>
      <c r="EH804" s="1165"/>
      <c r="EI804" s="1165"/>
      <c r="EJ804" s="1165"/>
      <c r="EK804" s="1031"/>
      <c r="EL804" s="1098">
        <f t="shared" si="1174"/>
        <v>0</v>
      </c>
      <c r="EM804" s="1098">
        <f t="shared" si="1175"/>
        <v>0</v>
      </c>
      <c r="EN804" s="1030"/>
      <c r="EO804" s="1030"/>
      <c r="EP804" s="1031"/>
      <c r="EQ804" s="1050"/>
      <c r="ER804" s="1038"/>
      <c r="ES804" s="1035"/>
      <c r="ET804" s="1051"/>
    </row>
    <row r="805" spans="2:150" ht="16.5" customHeight="1">
      <c r="B805" s="1024"/>
      <c r="C805" s="1025"/>
      <c r="D805" s="408">
        <v>802</v>
      </c>
      <c r="E805" s="1164"/>
      <c r="F805" s="1164"/>
      <c r="G805" s="1026"/>
      <c r="H805" s="411" t="str">
        <f>IFERROR(INDEX(绊状态确认!C:C,MATCH($G805,绊状态确认!$B:$B,)),"")</f>
        <v/>
      </c>
      <c r="I805" s="450" t="str">
        <f>IFERROR(INDEX(绊状态确认!D:D,MATCH($G805,绊状态确认!$B:$B,)),"")</f>
        <v/>
      </c>
      <c r="J805" s="450" t="str">
        <f>IFERROR(INDEX(绊状态确认!E:E,MATCH($G805,绊状态确认!$B:$B,)),"")</f>
        <v/>
      </c>
      <c r="K805" s="451" t="str">
        <f>IFERROR(INDEX(绊状态确认!F:F,MATCH($G805,绊状态确认!$B:$B,)),"")</f>
        <v/>
      </c>
      <c r="L805" s="1026"/>
      <c r="M805" s="1165"/>
      <c r="N805" s="1027"/>
      <c r="O805" s="1026"/>
      <c r="P805" s="1028"/>
      <c r="Q805" s="1029"/>
      <c r="R805" s="1166"/>
      <c r="S805" s="1030"/>
      <c r="T805" s="1031"/>
      <c r="U805" s="1032"/>
      <c r="V805" s="1033"/>
      <c r="W805" s="1034"/>
      <c r="X805" s="1166"/>
      <c r="Y805" s="1035"/>
      <c r="Z805" s="1036"/>
      <c r="AA805" s="1037"/>
      <c r="AB805" s="1038"/>
      <c r="AC805" s="1039"/>
      <c r="AD805" s="1040"/>
      <c r="AE805" s="1041"/>
      <c r="AF805" s="521"/>
      <c r="AG805" s="420"/>
      <c r="AH805" s="420"/>
      <c r="AI805" s="420"/>
      <c r="AJ805" s="420"/>
      <c r="AK805" s="518"/>
      <c r="AL805" s="1042"/>
      <c r="AM805" s="1035"/>
      <c r="AN805" s="1043"/>
      <c r="AO805" s="1167"/>
      <c r="AP805" s="1044"/>
      <c r="AQ805" s="1035"/>
      <c r="AR805" s="1035"/>
      <c r="AS805" s="1035"/>
      <c r="AT805" s="1165"/>
      <c r="AU805" s="1031"/>
      <c r="AV805" s="1045"/>
      <c r="AW805" s="1038"/>
      <c r="AX805" s="1035"/>
      <c r="AY805" s="483"/>
      <c r="AZ805" s="429"/>
      <c r="BA805" s="431"/>
      <c r="BB805" s="1035"/>
      <c r="BC805" s="1035"/>
      <c r="BD805" s="481"/>
      <c r="BE805" s="432"/>
      <c r="BF805" s="646"/>
      <c r="BG805" s="1047"/>
      <c r="BH805" s="1046"/>
      <c r="BI805" s="1048"/>
      <c r="BJ805" s="1030"/>
      <c r="BK805" s="1046"/>
      <c r="BL805" s="1048"/>
      <c r="BM805" s="1046"/>
      <c r="BN805" s="1167"/>
      <c r="BO805" s="1035"/>
      <c r="BP805" s="1043"/>
      <c r="BQ805" s="1167"/>
      <c r="BR805" s="1165"/>
      <c r="BS805" s="1031"/>
      <c r="BT805" s="1038"/>
      <c r="BU805" s="1035"/>
      <c r="BV805" s="1035"/>
      <c r="BW805" s="1049"/>
      <c r="BX805" s="1043"/>
      <c r="BY805" s="1046"/>
      <c r="BZ805" s="1167"/>
      <c r="CA805" s="1165"/>
      <c r="CB805" s="1031"/>
      <c r="CC805" s="1038"/>
      <c r="CD805" s="1035"/>
      <c r="CE805" s="1035"/>
      <c r="CF805" s="1049"/>
      <c r="CG805" s="1043"/>
      <c r="CH805" s="1046"/>
      <c r="CI805" s="1167"/>
      <c r="CJ805" s="1168"/>
      <c r="CK805" s="1169"/>
      <c r="CL805" s="1169"/>
      <c r="CM805" s="1166"/>
      <c r="CN805" s="1169"/>
      <c r="CO805" s="1169"/>
      <c r="CP805" s="452"/>
      <c r="CQ805" s="435"/>
      <c r="CR805" s="1117"/>
      <c r="CS805" s="452"/>
      <c r="CT805" s="482"/>
      <c r="CU805" s="476"/>
      <c r="CV805" s="431"/>
      <c r="CW805" s="1108"/>
      <c r="CX805" s="1108"/>
      <c r="CY805" s="483"/>
      <c r="CZ805" s="437"/>
      <c r="DA805" s="438"/>
      <c r="DB805" s="439"/>
      <c r="DC805" s="439"/>
      <c r="DD805" s="443"/>
      <c r="DE805" s="411"/>
      <c r="DF805" s="411"/>
      <c r="DG805" s="1117"/>
      <c r="DH805" s="1117"/>
      <c r="DI805" s="1117"/>
      <c r="DJ805" s="442"/>
      <c r="DK805" s="482"/>
      <c r="DL805" s="1038"/>
      <c r="DM805" s="1035"/>
      <c r="DN805" s="1035"/>
      <c r="DO805" s="1035"/>
      <c r="DP805" s="1046"/>
      <c r="DQ805" s="1167"/>
      <c r="DR805" s="1168"/>
      <c r="DS805" s="1165"/>
      <c r="DT805" s="1165"/>
      <c r="DU805" s="1165"/>
      <c r="DV805" s="1031"/>
      <c r="DW805" s="1098">
        <f t="shared" si="1172"/>
        <v>0</v>
      </c>
      <c r="DX805" s="1098">
        <f t="shared" si="1173"/>
        <v>0</v>
      </c>
      <c r="DY805" s="1030"/>
      <c r="DZ805" s="1030"/>
      <c r="EA805" s="1031"/>
      <c r="EB805" s="1050"/>
      <c r="EC805" s="1038"/>
      <c r="ED805" s="1035"/>
      <c r="EE805" s="1046"/>
      <c r="EF805" s="1169"/>
      <c r="EG805" s="1168"/>
      <c r="EH805" s="1165"/>
      <c r="EI805" s="1165"/>
      <c r="EJ805" s="1165"/>
      <c r="EK805" s="1031"/>
      <c r="EL805" s="1098">
        <f t="shared" si="1174"/>
        <v>0</v>
      </c>
      <c r="EM805" s="1098">
        <f t="shared" si="1175"/>
        <v>0</v>
      </c>
      <c r="EN805" s="1030"/>
      <c r="EO805" s="1030"/>
      <c r="EP805" s="1031"/>
      <c r="EQ805" s="1050"/>
      <c r="ER805" s="1038"/>
      <c r="ES805" s="1035"/>
      <c r="ET805" s="1051"/>
    </row>
    <row r="806" spans="2:150" ht="16.5" customHeight="1">
      <c r="B806" s="1024"/>
      <c r="C806" s="1025"/>
      <c r="D806" s="408">
        <v>803</v>
      </c>
      <c r="E806" s="1164"/>
      <c r="F806" s="1164"/>
      <c r="G806" s="1026"/>
      <c r="H806" s="411" t="str">
        <f>IFERROR(INDEX(绊状态确认!C:C,MATCH($G806,绊状态确认!$B:$B,)),"")</f>
        <v/>
      </c>
      <c r="I806" s="450" t="str">
        <f>IFERROR(INDEX(绊状态确认!D:D,MATCH($G806,绊状态确认!$B:$B,)),"")</f>
        <v/>
      </c>
      <c r="J806" s="450" t="str">
        <f>IFERROR(INDEX(绊状态确认!E:E,MATCH($G806,绊状态确认!$B:$B,)),"")</f>
        <v/>
      </c>
      <c r="K806" s="451" t="str">
        <f>IFERROR(INDEX(绊状态确认!F:F,MATCH($G806,绊状态确认!$B:$B,)),"")</f>
        <v/>
      </c>
      <c r="L806" s="1026"/>
      <c r="M806" s="1165"/>
      <c r="N806" s="1027"/>
      <c r="O806" s="1026"/>
      <c r="P806" s="1028"/>
      <c r="Q806" s="1029"/>
      <c r="R806" s="1166"/>
      <c r="S806" s="1030"/>
      <c r="T806" s="1031"/>
      <c r="U806" s="1032"/>
      <c r="V806" s="1033"/>
      <c r="W806" s="1034"/>
      <c r="X806" s="1166"/>
      <c r="Y806" s="1035"/>
      <c r="Z806" s="1036"/>
      <c r="AA806" s="1037"/>
      <c r="AB806" s="1038"/>
      <c r="AC806" s="1039"/>
      <c r="AD806" s="1040"/>
      <c r="AE806" s="1041"/>
      <c r="AF806" s="521"/>
      <c r="AG806" s="420"/>
      <c r="AH806" s="420"/>
      <c r="AI806" s="420"/>
      <c r="AJ806" s="420"/>
      <c r="AK806" s="518"/>
      <c r="AL806" s="1042"/>
      <c r="AM806" s="1035"/>
      <c r="AN806" s="1043"/>
      <c r="AO806" s="1167"/>
      <c r="AP806" s="1044"/>
      <c r="AQ806" s="1035"/>
      <c r="AR806" s="1035"/>
      <c r="AS806" s="1035"/>
      <c r="AT806" s="1165"/>
      <c r="AU806" s="1031"/>
      <c r="AV806" s="1045"/>
      <c r="AW806" s="1038"/>
      <c r="AX806" s="1035"/>
      <c r="AY806" s="483"/>
      <c r="AZ806" s="429"/>
      <c r="BA806" s="431"/>
      <c r="BB806" s="1035"/>
      <c r="BC806" s="1035"/>
      <c r="BD806" s="481"/>
      <c r="BE806" s="432"/>
      <c r="BF806" s="646"/>
      <c r="BG806" s="1047"/>
      <c r="BH806" s="1046"/>
      <c r="BI806" s="1048"/>
      <c r="BJ806" s="1030"/>
      <c r="BK806" s="1046"/>
      <c r="BL806" s="1048"/>
      <c r="BM806" s="1046"/>
      <c r="BN806" s="1167"/>
      <c r="BO806" s="1035"/>
      <c r="BP806" s="1043"/>
      <c r="BQ806" s="1167"/>
      <c r="BR806" s="1165"/>
      <c r="BS806" s="1031"/>
      <c r="BT806" s="1038"/>
      <c r="BU806" s="1035"/>
      <c r="BV806" s="1035"/>
      <c r="BW806" s="1049"/>
      <c r="BX806" s="1043"/>
      <c r="BY806" s="1046"/>
      <c r="BZ806" s="1167"/>
      <c r="CA806" s="1165"/>
      <c r="CB806" s="1031"/>
      <c r="CC806" s="1038"/>
      <c r="CD806" s="1035"/>
      <c r="CE806" s="1035"/>
      <c r="CF806" s="1049"/>
      <c r="CG806" s="1043"/>
      <c r="CH806" s="1046"/>
      <c r="CI806" s="1167"/>
      <c r="CJ806" s="1168"/>
      <c r="CK806" s="1169"/>
      <c r="CL806" s="1169"/>
      <c r="CM806" s="1166"/>
      <c r="CN806" s="1169"/>
      <c r="CO806" s="1169"/>
      <c r="CP806" s="452"/>
      <c r="CQ806" s="435"/>
      <c r="CR806" s="1117"/>
      <c r="CS806" s="452"/>
      <c r="CT806" s="482"/>
      <c r="CU806" s="476"/>
      <c r="CV806" s="431"/>
      <c r="CW806" s="1108"/>
      <c r="CX806" s="1108"/>
      <c r="CY806" s="483"/>
      <c r="CZ806" s="437"/>
      <c r="DA806" s="438"/>
      <c r="DB806" s="439"/>
      <c r="DC806" s="439"/>
      <c r="DD806" s="443"/>
      <c r="DE806" s="411"/>
      <c r="DF806" s="411"/>
      <c r="DG806" s="1117"/>
      <c r="DH806" s="1117"/>
      <c r="DI806" s="1117"/>
      <c r="DJ806" s="442"/>
      <c r="DK806" s="482"/>
      <c r="DL806" s="1038"/>
      <c r="DM806" s="1035"/>
      <c r="DN806" s="1035"/>
      <c r="DO806" s="1035"/>
      <c r="DP806" s="1046"/>
      <c r="DQ806" s="1167"/>
      <c r="DR806" s="1168"/>
      <c r="DS806" s="1165"/>
      <c r="DT806" s="1165"/>
      <c r="DU806" s="1165"/>
      <c r="DV806" s="1031"/>
      <c r="DW806" s="1098">
        <f t="shared" si="1172"/>
        <v>0</v>
      </c>
      <c r="DX806" s="1098">
        <f t="shared" si="1173"/>
        <v>0</v>
      </c>
      <c r="DY806" s="1030"/>
      <c r="DZ806" s="1030"/>
      <c r="EA806" s="1031"/>
      <c r="EB806" s="1050"/>
      <c r="EC806" s="1038"/>
      <c r="ED806" s="1035"/>
      <c r="EE806" s="1046"/>
      <c r="EF806" s="1169"/>
      <c r="EG806" s="1168"/>
      <c r="EH806" s="1165"/>
      <c r="EI806" s="1165"/>
      <c r="EJ806" s="1165"/>
      <c r="EK806" s="1031"/>
      <c r="EL806" s="1098">
        <f t="shared" si="1174"/>
        <v>0</v>
      </c>
      <c r="EM806" s="1098">
        <f t="shared" si="1175"/>
        <v>0</v>
      </c>
      <c r="EN806" s="1030"/>
      <c r="EO806" s="1030"/>
      <c r="EP806" s="1031"/>
      <c r="EQ806" s="1050"/>
      <c r="ER806" s="1038"/>
      <c r="ES806" s="1035"/>
      <c r="ET806" s="1051"/>
    </row>
    <row r="807" spans="2:150" ht="16.5" customHeight="1">
      <c r="B807" s="1024"/>
      <c r="C807" s="1025"/>
      <c r="D807" s="408">
        <v>804</v>
      </c>
      <c r="E807" s="1164"/>
      <c r="F807" s="1164"/>
      <c r="G807" s="1026"/>
      <c r="H807" s="411" t="str">
        <f>IFERROR(INDEX(绊状态确认!C:C,MATCH($G807,绊状态确认!$B:$B,)),"")</f>
        <v/>
      </c>
      <c r="I807" s="450" t="str">
        <f>IFERROR(INDEX(绊状态确认!D:D,MATCH($G807,绊状态确认!$B:$B,)),"")</f>
        <v/>
      </c>
      <c r="J807" s="450" t="str">
        <f>IFERROR(INDEX(绊状态确认!E:E,MATCH($G807,绊状态确认!$B:$B,)),"")</f>
        <v/>
      </c>
      <c r="K807" s="451" t="str">
        <f>IFERROR(INDEX(绊状态确认!F:F,MATCH($G807,绊状态确认!$B:$B,)),"")</f>
        <v/>
      </c>
      <c r="L807" s="1026"/>
      <c r="M807" s="1165"/>
      <c r="N807" s="1027"/>
      <c r="O807" s="1026"/>
      <c r="P807" s="1028"/>
      <c r="Q807" s="1029"/>
      <c r="R807" s="1166"/>
      <c r="S807" s="1030"/>
      <c r="T807" s="1031"/>
      <c r="U807" s="1032"/>
      <c r="V807" s="1033"/>
      <c r="W807" s="1034"/>
      <c r="X807" s="1166"/>
      <c r="Y807" s="1035"/>
      <c r="Z807" s="1036"/>
      <c r="AA807" s="1037"/>
      <c r="AB807" s="1038"/>
      <c r="AC807" s="1039"/>
      <c r="AD807" s="1040"/>
      <c r="AE807" s="1041"/>
      <c r="AF807" s="521"/>
      <c r="AG807" s="420"/>
      <c r="AH807" s="420"/>
      <c r="AI807" s="420"/>
      <c r="AJ807" s="420"/>
      <c r="AK807" s="518"/>
      <c r="AL807" s="1042"/>
      <c r="AM807" s="1035"/>
      <c r="AN807" s="1043"/>
      <c r="AO807" s="1167"/>
      <c r="AP807" s="1044"/>
      <c r="AQ807" s="1035"/>
      <c r="AR807" s="1035"/>
      <c r="AS807" s="1035"/>
      <c r="AT807" s="1165"/>
      <c r="AU807" s="1031"/>
      <c r="AV807" s="1045"/>
      <c r="AW807" s="1038"/>
      <c r="AX807" s="1035"/>
      <c r="AY807" s="483"/>
      <c r="AZ807" s="429"/>
      <c r="BA807" s="431"/>
      <c r="BB807" s="1035"/>
      <c r="BC807" s="1035"/>
      <c r="BD807" s="481"/>
      <c r="BE807" s="432"/>
      <c r="BF807" s="646"/>
      <c r="BG807" s="1047"/>
      <c r="BH807" s="1046"/>
      <c r="BI807" s="1048"/>
      <c r="BJ807" s="1030"/>
      <c r="BK807" s="1046"/>
      <c r="BL807" s="1048"/>
      <c r="BM807" s="1046"/>
      <c r="BN807" s="1167"/>
      <c r="BO807" s="1035"/>
      <c r="BP807" s="1043"/>
      <c r="BQ807" s="1167"/>
      <c r="BR807" s="1165"/>
      <c r="BS807" s="1031"/>
      <c r="BT807" s="1038"/>
      <c r="BU807" s="1035"/>
      <c r="BV807" s="1035"/>
      <c r="BW807" s="1049"/>
      <c r="BX807" s="1043"/>
      <c r="BY807" s="1046"/>
      <c r="BZ807" s="1167"/>
      <c r="CA807" s="1165"/>
      <c r="CB807" s="1031"/>
      <c r="CC807" s="1038"/>
      <c r="CD807" s="1035"/>
      <c r="CE807" s="1035"/>
      <c r="CF807" s="1049"/>
      <c r="CG807" s="1043"/>
      <c r="CH807" s="1046"/>
      <c r="CI807" s="1167"/>
      <c r="CJ807" s="1168"/>
      <c r="CK807" s="1169"/>
      <c r="CL807" s="1169"/>
      <c r="CM807" s="1166"/>
      <c r="CN807" s="1169"/>
      <c r="CO807" s="1169"/>
      <c r="CP807" s="452"/>
      <c r="CQ807" s="435"/>
      <c r="CR807" s="1117"/>
      <c r="CS807" s="452"/>
      <c r="CT807" s="482"/>
      <c r="CU807" s="476"/>
      <c r="CV807" s="431"/>
      <c r="CW807" s="1108"/>
      <c r="CX807" s="1108"/>
      <c r="CY807" s="483"/>
      <c r="CZ807" s="437"/>
      <c r="DA807" s="438"/>
      <c r="DB807" s="439"/>
      <c r="DC807" s="439"/>
      <c r="DD807" s="443"/>
      <c r="DE807" s="411"/>
      <c r="DF807" s="411"/>
      <c r="DG807" s="1117"/>
      <c r="DH807" s="1117"/>
      <c r="DI807" s="1117"/>
      <c r="DJ807" s="442"/>
      <c r="DK807" s="482"/>
      <c r="DL807" s="1038"/>
      <c r="DM807" s="1035"/>
      <c r="DN807" s="1035"/>
      <c r="DO807" s="1035"/>
      <c r="DP807" s="1046"/>
      <c r="DQ807" s="1167"/>
      <c r="DR807" s="1168"/>
      <c r="DS807" s="1165"/>
      <c r="DT807" s="1165"/>
      <c r="DU807" s="1165"/>
      <c r="DV807" s="1031"/>
      <c r="DW807" s="1098">
        <f t="shared" si="1172"/>
        <v>0</v>
      </c>
      <c r="DX807" s="1098">
        <f t="shared" si="1173"/>
        <v>0</v>
      </c>
      <c r="DY807" s="1030"/>
      <c r="DZ807" s="1030"/>
      <c r="EA807" s="1031"/>
      <c r="EB807" s="1050"/>
      <c r="EC807" s="1038"/>
      <c r="ED807" s="1035"/>
      <c r="EE807" s="1046"/>
      <c r="EF807" s="1169"/>
      <c r="EG807" s="1168"/>
      <c r="EH807" s="1165"/>
      <c r="EI807" s="1165"/>
      <c r="EJ807" s="1165"/>
      <c r="EK807" s="1031"/>
      <c r="EL807" s="1098">
        <f t="shared" si="1174"/>
        <v>0</v>
      </c>
      <c r="EM807" s="1098">
        <f t="shared" si="1175"/>
        <v>0</v>
      </c>
      <c r="EN807" s="1030"/>
      <c r="EO807" s="1030"/>
      <c r="EP807" s="1031"/>
      <c r="EQ807" s="1050"/>
      <c r="ER807" s="1038"/>
      <c r="ES807" s="1035"/>
      <c r="ET807" s="1051"/>
    </row>
    <row r="808" spans="2:150" ht="16.5" customHeight="1">
      <c r="B808" s="1024"/>
      <c r="C808" s="1025"/>
      <c r="D808" s="408">
        <v>805</v>
      </c>
      <c r="E808" s="1164"/>
      <c r="F808" s="1164"/>
      <c r="G808" s="1026"/>
      <c r="H808" s="411" t="str">
        <f>IFERROR(INDEX(绊状态确认!C:C,MATCH($G808,绊状态确认!$B:$B,)),"")</f>
        <v/>
      </c>
      <c r="I808" s="450" t="str">
        <f>IFERROR(INDEX(绊状态确认!D:D,MATCH($G808,绊状态确认!$B:$B,)),"")</f>
        <v/>
      </c>
      <c r="J808" s="450" t="str">
        <f>IFERROR(INDEX(绊状态确认!E:E,MATCH($G808,绊状态确认!$B:$B,)),"")</f>
        <v/>
      </c>
      <c r="K808" s="451" t="str">
        <f>IFERROR(INDEX(绊状态确认!F:F,MATCH($G808,绊状态确认!$B:$B,)),"")</f>
        <v/>
      </c>
      <c r="L808" s="1026"/>
      <c r="M808" s="1165"/>
      <c r="N808" s="1027"/>
      <c r="O808" s="1026"/>
      <c r="P808" s="1028"/>
      <c r="Q808" s="1029"/>
      <c r="R808" s="1166"/>
      <c r="S808" s="1030"/>
      <c r="T808" s="1031"/>
      <c r="U808" s="1032"/>
      <c r="V808" s="1033"/>
      <c r="W808" s="1034"/>
      <c r="X808" s="1166"/>
      <c r="Y808" s="1035"/>
      <c r="Z808" s="1036"/>
      <c r="AA808" s="1037"/>
      <c r="AB808" s="1038"/>
      <c r="AC808" s="1039"/>
      <c r="AD808" s="1040"/>
      <c r="AE808" s="1041"/>
      <c r="AF808" s="521"/>
      <c r="AG808" s="420"/>
      <c r="AH808" s="420"/>
      <c r="AI808" s="420"/>
      <c r="AJ808" s="420"/>
      <c r="AK808" s="518"/>
      <c r="AL808" s="1042"/>
      <c r="AM808" s="1035"/>
      <c r="AN808" s="1043"/>
      <c r="AO808" s="1167"/>
      <c r="AP808" s="1044"/>
      <c r="AQ808" s="1035"/>
      <c r="AR808" s="1035"/>
      <c r="AS808" s="1035"/>
      <c r="AT808" s="1165"/>
      <c r="AU808" s="1031"/>
      <c r="AV808" s="1045"/>
      <c r="AW808" s="1038"/>
      <c r="AX808" s="1035"/>
      <c r="AY808" s="483"/>
      <c r="AZ808" s="429"/>
      <c r="BA808" s="431"/>
      <c r="BB808" s="1035"/>
      <c r="BC808" s="1035"/>
      <c r="BD808" s="481"/>
      <c r="BE808" s="432"/>
      <c r="BF808" s="646"/>
      <c r="BG808" s="1047"/>
      <c r="BH808" s="1046"/>
      <c r="BI808" s="1048"/>
      <c r="BJ808" s="1030"/>
      <c r="BK808" s="1046"/>
      <c r="BL808" s="1048"/>
      <c r="BM808" s="1046"/>
      <c r="BN808" s="1167"/>
      <c r="BO808" s="1035"/>
      <c r="BP808" s="1043"/>
      <c r="BQ808" s="1167"/>
      <c r="BR808" s="1165"/>
      <c r="BS808" s="1031"/>
      <c r="BT808" s="1038"/>
      <c r="BU808" s="1035"/>
      <c r="BV808" s="1035"/>
      <c r="BW808" s="1049"/>
      <c r="BX808" s="1043"/>
      <c r="BY808" s="1046"/>
      <c r="BZ808" s="1167"/>
      <c r="CA808" s="1165"/>
      <c r="CB808" s="1031"/>
      <c r="CC808" s="1038"/>
      <c r="CD808" s="1035"/>
      <c r="CE808" s="1035"/>
      <c r="CF808" s="1049"/>
      <c r="CG808" s="1043"/>
      <c r="CH808" s="1046"/>
      <c r="CI808" s="1167"/>
      <c r="CJ808" s="1168"/>
      <c r="CK808" s="1169"/>
      <c r="CL808" s="1169"/>
      <c r="CM808" s="1166"/>
      <c r="CN808" s="1169"/>
      <c r="CO808" s="1169"/>
      <c r="CP808" s="452"/>
      <c r="CQ808" s="435"/>
      <c r="CR808" s="1117"/>
      <c r="CS808" s="452"/>
      <c r="CT808" s="482"/>
      <c r="CU808" s="476"/>
      <c r="CV808" s="431"/>
      <c r="CW808" s="1108"/>
      <c r="CX808" s="1108"/>
      <c r="CY808" s="483"/>
      <c r="CZ808" s="437"/>
      <c r="DA808" s="438"/>
      <c r="DB808" s="439"/>
      <c r="DC808" s="439"/>
      <c r="DD808" s="443"/>
      <c r="DE808" s="411"/>
      <c r="DF808" s="411"/>
      <c r="DG808" s="1117"/>
      <c r="DH808" s="1117"/>
      <c r="DI808" s="1117"/>
      <c r="DJ808" s="442"/>
      <c r="DK808" s="482"/>
      <c r="DL808" s="1038"/>
      <c r="DM808" s="1035"/>
      <c r="DN808" s="1035"/>
      <c r="DO808" s="1035"/>
      <c r="DP808" s="1046"/>
      <c r="DQ808" s="1167"/>
      <c r="DR808" s="1168"/>
      <c r="DS808" s="1165"/>
      <c r="DT808" s="1165"/>
      <c r="DU808" s="1165"/>
      <c r="DV808" s="1031"/>
      <c r="DW808" s="1098">
        <f t="shared" si="1172"/>
        <v>0</v>
      </c>
      <c r="DX808" s="1098">
        <f t="shared" si="1173"/>
        <v>0</v>
      </c>
      <c r="DY808" s="1030"/>
      <c r="DZ808" s="1030"/>
      <c r="EA808" s="1031"/>
      <c r="EB808" s="1050"/>
      <c r="EC808" s="1038"/>
      <c r="ED808" s="1035"/>
      <c r="EE808" s="1046"/>
      <c r="EF808" s="1169"/>
      <c r="EG808" s="1168"/>
      <c r="EH808" s="1165"/>
      <c r="EI808" s="1165"/>
      <c r="EJ808" s="1165"/>
      <c r="EK808" s="1031"/>
      <c r="EL808" s="1098">
        <f t="shared" si="1174"/>
        <v>0</v>
      </c>
      <c r="EM808" s="1098">
        <f t="shared" si="1175"/>
        <v>0</v>
      </c>
      <c r="EN808" s="1030"/>
      <c r="EO808" s="1030"/>
      <c r="EP808" s="1031"/>
      <c r="EQ808" s="1050"/>
      <c r="ER808" s="1038"/>
      <c r="ES808" s="1035"/>
      <c r="ET808" s="1051"/>
    </row>
    <row r="809" spans="2:150" ht="16.5" customHeight="1">
      <c r="B809" s="1024"/>
      <c r="C809" s="1025"/>
      <c r="D809" s="408">
        <v>806</v>
      </c>
      <c r="E809" s="1164"/>
      <c r="F809" s="1164"/>
      <c r="G809" s="1026"/>
      <c r="H809" s="411" t="str">
        <f>IFERROR(INDEX(绊状态确认!C:C,MATCH($G809,绊状态确认!$B:$B,)),"")</f>
        <v/>
      </c>
      <c r="I809" s="450" t="str">
        <f>IFERROR(INDEX(绊状态确认!D:D,MATCH($G809,绊状态确认!$B:$B,)),"")</f>
        <v/>
      </c>
      <c r="J809" s="450" t="str">
        <f>IFERROR(INDEX(绊状态确认!E:E,MATCH($G809,绊状态确认!$B:$B,)),"")</f>
        <v/>
      </c>
      <c r="K809" s="451" t="str">
        <f>IFERROR(INDEX(绊状态确认!F:F,MATCH($G809,绊状态确认!$B:$B,)),"")</f>
        <v/>
      </c>
      <c r="L809" s="1026"/>
      <c r="M809" s="1165"/>
      <c r="N809" s="1027"/>
      <c r="O809" s="1026"/>
      <c r="P809" s="1028"/>
      <c r="Q809" s="1029"/>
      <c r="R809" s="1166"/>
      <c r="S809" s="1030"/>
      <c r="T809" s="1031"/>
      <c r="U809" s="1032"/>
      <c r="V809" s="1033"/>
      <c r="W809" s="1034"/>
      <c r="X809" s="1166"/>
      <c r="Y809" s="1035"/>
      <c r="Z809" s="1036"/>
      <c r="AA809" s="1037"/>
      <c r="AB809" s="1038"/>
      <c r="AC809" s="1039"/>
      <c r="AD809" s="1040"/>
      <c r="AE809" s="1041"/>
      <c r="AF809" s="521"/>
      <c r="AG809" s="420"/>
      <c r="AH809" s="420"/>
      <c r="AI809" s="420"/>
      <c r="AJ809" s="420"/>
      <c r="AK809" s="518"/>
      <c r="AL809" s="1042"/>
      <c r="AM809" s="1035"/>
      <c r="AN809" s="1043"/>
      <c r="AO809" s="1167"/>
      <c r="AP809" s="1044"/>
      <c r="AQ809" s="1035"/>
      <c r="AR809" s="1035"/>
      <c r="AS809" s="1035"/>
      <c r="AT809" s="1165"/>
      <c r="AU809" s="1031"/>
      <c r="AV809" s="1045"/>
      <c r="AW809" s="1038"/>
      <c r="AX809" s="1035"/>
      <c r="AY809" s="483"/>
      <c r="AZ809" s="429"/>
      <c r="BA809" s="431"/>
      <c r="BB809" s="1035"/>
      <c r="BC809" s="1035"/>
      <c r="BD809" s="481"/>
      <c r="BE809" s="432"/>
      <c r="BF809" s="646"/>
      <c r="BG809" s="1047"/>
      <c r="BH809" s="1046"/>
      <c r="BI809" s="1048"/>
      <c r="BJ809" s="1030"/>
      <c r="BK809" s="1046"/>
      <c r="BL809" s="1048"/>
      <c r="BM809" s="1046"/>
      <c r="BN809" s="1167"/>
      <c r="BO809" s="1035"/>
      <c r="BP809" s="1043"/>
      <c r="BQ809" s="1167"/>
      <c r="BR809" s="1165"/>
      <c r="BS809" s="1031"/>
      <c r="BT809" s="1038"/>
      <c r="BU809" s="1035"/>
      <c r="BV809" s="1035"/>
      <c r="BW809" s="1049"/>
      <c r="BX809" s="1043"/>
      <c r="BY809" s="1046"/>
      <c r="BZ809" s="1167"/>
      <c r="CA809" s="1165"/>
      <c r="CB809" s="1031"/>
      <c r="CC809" s="1038"/>
      <c r="CD809" s="1035"/>
      <c r="CE809" s="1035"/>
      <c r="CF809" s="1049"/>
      <c r="CG809" s="1043"/>
      <c r="CH809" s="1046"/>
      <c r="CI809" s="1167"/>
      <c r="CJ809" s="1168"/>
      <c r="CK809" s="1169"/>
      <c r="CL809" s="1169"/>
      <c r="CM809" s="1166"/>
      <c r="CN809" s="1169"/>
      <c r="CO809" s="1169"/>
      <c r="CP809" s="452"/>
      <c r="CQ809" s="435"/>
      <c r="CR809" s="1117"/>
      <c r="CS809" s="452"/>
      <c r="CT809" s="482"/>
      <c r="CU809" s="476"/>
      <c r="CV809" s="431"/>
      <c r="CW809" s="1108"/>
      <c r="CX809" s="1108"/>
      <c r="CY809" s="483"/>
      <c r="CZ809" s="437"/>
      <c r="DA809" s="438"/>
      <c r="DB809" s="439"/>
      <c r="DC809" s="439"/>
      <c r="DD809" s="443"/>
      <c r="DE809" s="411"/>
      <c r="DF809" s="411"/>
      <c r="DG809" s="1117"/>
      <c r="DH809" s="1117"/>
      <c r="DI809" s="1117"/>
      <c r="DJ809" s="442"/>
      <c r="DK809" s="482"/>
      <c r="DL809" s="1038"/>
      <c r="DM809" s="1035"/>
      <c r="DN809" s="1035"/>
      <c r="DO809" s="1035"/>
      <c r="DP809" s="1046"/>
      <c r="DQ809" s="1167"/>
      <c r="DR809" s="1168"/>
      <c r="DS809" s="1165"/>
      <c r="DT809" s="1165"/>
      <c r="DU809" s="1165"/>
      <c r="DV809" s="1031"/>
      <c r="DW809" s="1098">
        <f t="shared" si="1172"/>
        <v>0</v>
      </c>
      <c r="DX809" s="1098">
        <f t="shared" si="1173"/>
        <v>0</v>
      </c>
      <c r="DY809" s="1030"/>
      <c r="DZ809" s="1030"/>
      <c r="EA809" s="1031"/>
      <c r="EB809" s="1050"/>
      <c r="EC809" s="1038"/>
      <c r="ED809" s="1035"/>
      <c r="EE809" s="1046"/>
      <c r="EF809" s="1169"/>
      <c r="EG809" s="1168"/>
      <c r="EH809" s="1165"/>
      <c r="EI809" s="1165"/>
      <c r="EJ809" s="1165"/>
      <c r="EK809" s="1031"/>
      <c r="EL809" s="1098">
        <f t="shared" si="1174"/>
        <v>0</v>
      </c>
      <c r="EM809" s="1098">
        <f t="shared" si="1175"/>
        <v>0</v>
      </c>
      <c r="EN809" s="1030"/>
      <c r="EO809" s="1030"/>
      <c r="EP809" s="1031"/>
      <c r="EQ809" s="1050"/>
      <c r="ER809" s="1038"/>
      <c r="ES809" s="1035"/>
      <c r="ET809" s="1051"/>
    </row>
    <row r="810" spans="2:150" ht="16.5" customHeight="1">
      <c r="B810" s="1024"/>
      <c r="C810" s="1025"/>
      <c r="D810" s="408">
        <v>807</v>
      </c>
      <c r="E810" s="1164"/>
      <c r="F810" s="1164"/>
      <c r="G810" s="1026"/>
      <c r="H810" s="411" t="str">
        <f>IFERROR(INDEX(绊状态确认!C:C,MATCH($G810,绊状态确认!$B:$B,)),"")</f>
        <v/>
      </c>
      <c r="I810" s="450" t="str">
        <f>IFERROR(INDEX(绊状态确认!D:D,MATCH($G810,绊状态确认!$B:$B,)),"")</f>
        <v/>
      </c>
      <c r="J810" s="450" t="str">
        <f>IFERROR(INDEX(绊状态确认!E:E,MATCH($G810,绊状态确认!$B:$B,)),"")</f>
        <v/>
      </c>
      <c r="K810" s="451" t="str">
        <f>IFERROR(INDEX(绊状态确认!F:F,MATCH($G810,绊状态确认!$B:$B,)),"")</f>
        <v/>
      </c>
      <c r="L810" s="1026"/>
      <c r="M810" s="1165"/>
      <c r="N810" s="1027"/>
      <c r="O810" s="1026"/>
      <c r="P810" s="1028"/>
      <c r="Q810" s="1029"/>
      <c r="R810" s="1166"/>
      <c r="S810" s="1030"/>
      <c r="T810" s="1031"/>
      <c r="U810" s="1032"/>
      <c r="V810" s="1033"/>
      <c r="W810" s="1034"/>
      <c r="X810" s="1166"/>
      <c r="Y810" s="1035"/>
      <c r="Z810" s="1036"/>
      <c r="AA810" s="1037"/>
      <c r="AB810" s="1038"/>
      <c r="AC810" s="1039"/>
      <c r="AD810" s="1040"/>
      <c r="AE810" s="1041"/>
      <c r="AF810" s="521"/>
      <c r="AG810" s="420"/>
      <c r="AH810" s="420"/>
      <c r="AI810" s="420"/>
      <c r="AJ810" s="420"/>
      <c r="AK810" s="518"/>
      <c r="AL810" s="1042"/>
      <c r="AM810" s="1035"/>
      <c r="AN810" s="1043"/>
      <c r="AO810" s="1167"/>
      <c r="AP810" s="1044"/>
      <c r="AQ810" s="1035"/>
      <c r="AR810" s="1035"/>
      <c r="AS810" s="1035"/>
      <c r="AT810" s="1165"/>
      <c r="AU810" s="1031"/>
      <c r="AV810" s="1045"/>
      <c r="AW810" s="1038"/>
      <c r="AX810" s="1035"/>
      <c r="AY810" s="483"/>
      <c r="AZ810" s="429"/>
      <c r="BA810" s="431"/>
      <c r="BB810" s="1035"/>
      <c r="BC810" s="1035"/>
      <c r="BD810" s="481"/>
      <c r="BE810" s="432"/>
      <c r="BF810" s="646"/>
      <c r="BG810" s="1047"/>
      <c r="BH810" s="1046"/>
      <c r="BI810" s="1048"/>
      <c r="BJ810" s="1030"/>
      <c r="BK810" s="1046"/>
      <c r="BL810" s="1048"/>
      <c r="BM810" s="1046"/>
      <c r="BN810" s="1167"/>
      <c r="BO810" s="1035"/>
      <c r="BP810" s="1043"/>
      <c r="BQ810" s="1167"/>
      <c r="BR810" s="1165"/>
      <c r="BS810" s="1031"/>
      <c r="BT810" s="1038"/>
      <c r="BU810" s="1035"/>
      <c r="BV810" s="1035"/>
      <c r="BW810" s="1049"/>
      <c r="BX810" s="1043"/>
      <c r="BY810" s="1046"/>
      <c r="BZ810" s="1167"/>
      <c r="CA810" s="1165"/>
      <c r="CB810" s="1031"/>
      <c r="CC810" s="1038"/>
      <c r="CD810" s="1035"/>
      <c r="CE810" s="1035"/>
      <c r="CF810" s="1049"/>
      <c r="CG810" s="1043"/>
      <c r="CH810" s="1046"/>
      <c r="CI810" s="1167"/>
      <c r="CJ810" s="1168"/>
      <c r="CK810" s="1169"/>
      <c r="CL810" s="1169"/>
      <c r="CM810" s="1166"/>
      <c r="CN810" s="1169"/>
      <c r="CO810" s="1169"/>
      <c r="CP810" s="452"/>
      <c r="CQ810" s="435"/>
      <c r="CR810" s="1117"/>
      <c r="CS810" s="452"/>
      <c r="CT810" s="482"/>
      <c r="CU810" s="476"/>
      <c r="CV810" s="431"/>
      <c r="CW810" s="1108"/>
      <c r="CX810" s="1108"/>
      <c r="CY810" s="483"/>
      <c r="CZ810" s="437"/>
      <c r="DA810" s="438"/>
      <c r="DB810" s="439"/>
      <c r="DC810" s="439"/>
      <c r="DD810" s="443"/>
      <c r="DE810" s="411"/>
      <c r="DF810" s="411"/>
      <c r="DG810" s="1117"/>
      <c r="DH810" s="1117"/>
      <c r="DI810" s="1117"/>
      <c r="DJ810" s="442"/>
      <c r="DK810" s="482"/>
      <c r="DL810" s="1038"/>
      <c r="DM810" s="1035"/>
      <c r="DN810" s="1035"/>
      <c r="DO810" s="1035"/>
      <c r="DP810" s="1046"/>
      <c r="DQ810" s="1167"/>
      <c r="DR810" s="1168"/>
      <c r="DS810" s="1165"/>
      <c r="DT810" s="1165"/>
      <c r="DU810" s="1165"/>
      <c r="DV810" s="1031"/>
      <c r="DW810" s="1098">
        <f t="shared" si="1172"/>
        <v>0</v>
      </c>
      <c r="DX810" s="1098">
        <f t="shared" si="1173"/>
        <v>0</v>
      </c>
      <c r="DY810" s="1030"/>
      <c r="DZ810" s="1030"/>
      <c r="EA810" s="1031"/>
      <c r="EB810" s="1050"/>
      <c r="EC810" s="1038"/>
      <c r="ED810" s="1035"/>
      <c r="EE810" s="1046"/>
      <c r="EF810" s="1169"/>
      <c r="EG810" s="1168"/>
      <c r="EH810" s="1165"/>
      <c r="EI810" s="1165"/>
      <c r="EJ810" s="1165"/>
      <c r="EK810" s="1031"/>
      <c r="EL810" s="1098">
        <f t="shared" si="1174"/>
        <v>0</v>
      </c>
      <c r="EM810" s="1098">
        <f t="shared" si="1175"/>
        <v>0</v>
      </c>
      <c r="EN810" s="1030"/>
      <c r="EO810" s="1030"/>
      <c r="EP810" s="1031"/>
      <c r="EQ810" s="1050"/>
      <c r="ER810" s="1038"/>
      <c r="ES810" s="1035"/>
      <c r="ET810" s="1051"/>
    </row>
    <row r="811" spans="2:150" ht="16.5" customHeight="1">
      <c r="B811" s="1024"/>
      <c r="C811" s="1025"/>
      <c r="D811" s="408">
        <v>808</v>
      </c>
      <c r="E811" s="1164"/>
      <c r="F811" s="1164"/>
      <c r="G811" s="1026"/>
      <c r="H811" s="411" t="str">
        <f>IFERROR(INDEX(绊状态确认!C:C,MATCH($G811,绊状态确认!$B:$B,)),"")</f>
        <v/>
      </c>
      <c r="I811" s="450" t="str">
        <f>IFERROR(INDEX(绊状态确认!D:D,MATCH($G811,绊状态确认!$B:$B,)),"")</f>
        <v/>
      </c>
      <c r="J811" s="450" t="str">
        <f>IFERROR(INDEX(绊状态确认!E:E,MATCH($G811,绊状态确认!$B:$B,)),"")</f>
        <v/>
      </c>
      <c r="K811" s="451" t="str">
        <f>IFERROR(INDEX(绊状态确认!F:F,MATCH($G811,绊状态确认!$B:$B,)),"")</f>
        <v/>
      </c>
      <c r="L811" s="1026"/>
      <c r="M811" s="1165"/>
      <c r="N811" s="1027"/>
      <c r="O811" s="1026"/>
      <c r="P811" s="1028"/>
      <c r="Q811" s="1029"/>
      <c r="R811" s="1166"/>
      <c r="S811" s="1030"/>
      <c r="T811" s="1031"/>
      <c r="U811" s="1032"/>
      <c r="V811" s="1033"/>
      <c r="W811" s="1034"/>
      <c r="X811" s="1166"/>
      <c r="Y811" s="1035"/>
      <c r="Z811" s="1036"/>
      <c r="AA811" s="1037"/>
      <c r="AB811" s="1038"/>
      <c r="AC811" s="1039"/>
      <c r="AD811" s="1040"/>
      <c r="AE811" s="1041"/>
      <c r="AF811" s="521"/>
      <c r="AG811" s="420"/>
      <c r="AH811" s="420"/>
      <c r="AI811" s="420"/>
      <c r="AJ811" s="420"/>
      <c r="AK811" s="518"/>
      <c r="AL811" s="1042"/>
      <c r="AM811" s="1035"/>
      <c r="AN811" s="1043"/>
      <c r="AO811" s="1167"/>
      <c r="AP811" s="1044"/>
      <c r="AQ811" s="1035"/>
      <c r="AR811" s="1035"/>
      <c r="AS811" s="1035"/>
      <c r="AT811" s="1165"/>
      <c r="AU811" s="1031"/>
      <c r="AV811" s="1045"/>
      <c r="AW811" s="1038"/>
      <c r="AX811" s="1035"/>
      <c r="AY811" s="483"/>
      <c r="AZ811" s="429"/>
      <c r="BA811" s="431"/>
      <c r="BB811" s="1035"/>
      <c r="BC811" s="1035"/>
      <c r="BD811" s="481"/>
      <c r="BE811" s="432"/>
      <c r="BF811" s="646"/>
      <c r="BG811" s="1047"/>
      <c r="BH811" s="1046"/>
      <c r="BI811" s="1048"/>
      <c r="BJ811" s="1030"/>
      <c r="BK811" s="1046"/>
      <c r="BL811" s="1048"/>
      <c r="BM811" s="1046"/>
      <c r="BN811" s="1167"/>
      <c r="BO811" s="1035"/>
      <c r="BP811" s="1043"/>
      <c r="BQ811" s="1167"/>
      <c r="BR811" s="1165"/>
      <c r="BS811" s="1031"/>
      <c r="BT811" s="1038"/>
      <c r="BU811" s="1035"/>
      <c r="BV811" s="1035"/>
      <c r="BW811" s="1049"/>
      <c r="BX811" s="1043"/>
      <c r="BY811" s="1046"/>
      <c r="BZ811" s="1167"/>
      <c r="CA811" s="1165"/>
      <c r="CB811" s="1031"/>
      <c r="CC811" s="1038"/>
      <c r="CD811" s="1035"/>
      <c r="CE811" s="1035"/>
      <c r="CF811" s="1049"/>
      <c r="CG811" s="1043"/>
      <c r="CH811" s="1046"/>
      <c r="CI811" s="1167"/>
      <c r="CJ811" s="1168"/>
      <c r="CK811" s="1169"/>
      <c r="CL811" s="1169"/>
      <c r="CM811" s="1166"/>
      <c r="CN811" s="1169"/>
      <c r="CO811" s="1169"/>
      <c r="CP811" s="452"/>
      <c r="CQ811" s="435"/>
      <c r="CR811" s="441"/>
      <c r="CS811" s="452"/>
      <c r="CT811" s="482"/>
      <c r="CU811" s="476"/>
      <c r="CV811" s="431"/>
      <c r="CW811" s="1108"/>
      <c r="CX811" s="1108"/>
      <c r="CY811" s="483"/>
      <c r="CZ811" s="437"/>
      <c r="DA811" s="438"/>
      <c r="DB811" s="439"/>
      <c r="DC811" s="439"/>
      <c r="DD811" s="443"/>
      <c r="DE811" s="411"/>
      <c r="DF811" s="411"/>
      <c r="DG811" s="1117"/>
      <c r="DH811" s="1117"/>
      <c r="DI811" s="1117"/>
      <c r="DJ811" s="442"/>
      <c r="DK811" s="482"/>
      <c r="DL811" s="1038"/>
      <c r="DM811" s="1035"/>
      <c r="DN811" s="1035"/>
      <c r="DO811" s="1035"/>
      <c r="DP811" s="1046"/>
      <c r="DQ811" s="1167"/>
      <c r="DR811" s="1168"/>
      <c r="DS811" s="1165"/>
      <c r="DT811" s="1165"/>
      <c r="DU811" s="1165"/>
      <c r="DV811" s="1031"/>
      <c r="DW811" s="1098">
        <f t="shared" si="1172"/>
        <v>0</v>
      </c>
      <c r="DX811" s="1098">
        <f t="shared" si="1173"/>
        <v>0</v>
      </c>
      <c r="DY811" s="1030"/>
      <c r="DZ811" s="1030"/>
      <c r="EA811" s="1031"/>
      <c r="EB811" s="1050"/>
      <c r="EC811" s="1038"/>
      <c r="ED811" s="1035"/>
      <c r="EE811" s="1046"/>
      <c r="EF811" s="1169"/>
      <c r="EG811" s="1168"/>
      <c r="EH811" s="1165"/>
      <c r="EI811" s="1165"/>
      <c r="EJ811" s="1165"/>
      <c r="EK811" s="1031"/>
      <c r="EL811" s="1098">
        <f t="shared" si="1174"/>
        <v>0</v>
      </c>
      <c r="EM811" s="1098">
        <f t="shared" si="1175"/>
        <v>0</v>
      </c>
      <c r="EN811" s="1030"/>
      <c r="EO811" s="1030"/>
      <c r="EP811" s="1031"/>
      <c r="EQ811" s="1050"/>
      <c r="ER811" s="1038"/>
      <c r="ES811" s="1035"/>
      <c r="ET811" s="1051"/>
    </row>
    <row r="812" spans="2:150" ht="16.5" customHeight="1">
      <c r="B812" s="1024"/>
      <c r="C812" s="1025"/>
      <c r="D812" s="408">
        <v>809</v>
      </c>
      <c r="E812" s="1164"/>
      <c r="F812" s="1164"/>
      <c r="G812" s="1026"/>
      <c r="H812" s="411" t="str">
        <f>IFERROR(INDEX(绊状态确认!C:C,MATCH($G812,绊状态确认!$B:$B,)),"")</f>
        <v/>
      </c>
      <c r="I812" s="450" t="str">
        <f>IFERROR(INDEX(绊状态确认!D:D,MATCH($G812,绊状态确认!$B:$B,)),"")</f>
        <v/>
      </c>
      <c r="J812" s="450" t="str">
        <f>IFERROR(INDEX(绊状态确认!E:E,MATCH($G812,绊状态确认!$B:$B,)),"")</f>
        <v/>
      </c>
      <c r="K812" s="451" t="str">
        <f>IFERROR(INDEX(绊状态确认!F:F,MATCH($G812,绊状态确认!$B:$B,)),"")</f>
        <v/>
      </c>
      <c r="L812" s="1026"/>
      <c r="M812" s="1165"/>
      <c r="N812" s="1027"/>
      <c r="O812" s="1026"/>
      <c r="P812" s="1028"/>
      <c r="Q812" s="1029"/>
      <c r="R812" s="1166"/>
      <c r="S812" s="1030"/>
      <c r="T812" s="1031"/>
      <c r="U812" s="1032"/>
      <c r="V812" s="1033"/>
      <c r="W812" s="1034"/>
      <c r="X812" s="1166"/>
      <c r="Y812" s="1035"/>
      <c r="Z812" s="1036"/>
      <c r="AA812" s="1037"/>
      <c r="AB812" s="1038"/>
      <c r="AC812" s="1039"/>
      <c r="AD812" s="1040"/>
      <c r="AE812" s="1041"/>
      <c r="AF812" s="521"/>
      <c r="AG812" s="420"/>
      <c r="AH812" s="420"/>
      <c r="AI812" s="420"/>
      <c r="AJ812" s="420"/>
      <c r="AK812" s="518"/>
      <c r="AL812" s="1042"/>
      <c r="AM812" s="1035"/>
      <c r="AN812" s="1043"/>
      <c r="AO812" s="1167"/>
      <c r="AP812" s="1044"/>
      <c r="AQ812" s="1035"/>
      <c r="AR812" s="1035"/>
      <c r="AS812" s="1035"/>
      <c r="AT812" s="1165"/>
      <c r="AU812" s="1031"/>
      <c r="AV812" s="1045"/>
      <c r="AW812" s="1038"/>
      <c r="AX812" s="1035"/>
      <c r="AY812" s="483"/>
      <c r="AZ812" s="429"/>
      <c r="BA812" s="431"/>
      <c r="BB812" s="1035"/>
      <c r="BC812" s="1035"/>
      <c r="BD812" s="481"/>
      <c r="BE812" s="432"/>
      <c r="BF812" s="646"/>
      <c r="BG812" s="1047"/>
      <c r="BH812" s="1046"/>
      <c r="BI812" s="1048"/>
      <c r="BJ812" s="1030"/>
      <c r="BK812" s="1046"/>
      <c r="BL812" s="1048"/>
      <c r="BM812" s="1046"/>
      <c r="BN812" s="1167"/>
      <c r="BO812" s="1035"/>
      <c r="BP812" s="1043"/>
      <c r="BQ812" s="1167"/>
      <c r="BR812" s="1165"/>
      <c r="BS812" s="1031"/>
      <c r="BT812" s="1038"/>
      <c r="BU812" s="1035"/>
      <c r="BV812" s="1035"/>
      <c r="BW812" s="1049"/>
      <c r="BX812" s="1043"/>
      <c r="BY812" s="1046"/>
      <c r="BZ812" s="1167"/>
      <c r="CA812" s="1165"/>
      <c r="CB812" s="1031"/>
      <c r="CC812" s="1038"/>
      <c r="CD812" s="1035"/>
      <c r="CE812" s="1035"/>
      <c r="CF812" s="1049"/>
      <c r="CG812" s="1043"/>
      <c r="CH812" s="1046"/>
      <c r="CI812" s="1167"/>
      <c r="CJ812" s="1168"/>
      <c r="CK812" s="1169"/>
      <c r="CL812" s="1169"/>
      <c r="CM812" s="1166"/>
      <c r="CN812" s="1169"/>
      <c r="CO812" s="1169"/>
      <c r="CP812" s="452"/>
      <c r="CQ812" s="435"/>
      <c r="CR812" s="1117"/>
      <c r="CS812" s="452"/>
      <c r="CT812" s="482"/>
      <c r="CU812" s="476"/>
      <c r="CV812" s="431"/>
      <c r="CW812" s="1108"/>
      <c r="CX812" s="1108"/>
      <c r="CY812" s="483"/>
      <c r="CZ812" s="437"/>
      <c r="DA812" s="438"/>
      <c r="DB812" s="439"/>
      <c r="DC812" s="439"/>
      <c r="DD812" s="443"/>
      <c r="DE812" s="411"/>
      <c r="DF812" s="411"/>
      <c r="DG812" s="1117"/>
      <c r="DH812" s="1117"/>
      <c r="DI812" s="1117"/>
      <c r="DJ812" s="442"/>
      <c r="DK812" s="482"/>
      <c r="DL812" s="1038"/>
      <c r="DM812" s="1035"/>
      <c r="DN812" s="1035"/>
      <c r="DO812" s="1035"/>
      <c r="DP812" s="1046"/>
      <c r="DQ812" s="1167"/>
      <c r="DR812" s="1168"/>
      <c r="DS812" s="1165"/>
      <c r="DT812" s="1165"/>
      <c r="DU812" s="1165"/>
      <c r="DV812" s="1031"/>
      <c r="DW812" s="1098">
        <f t="shared" si="1172"/>
        <v>0</v>
      </c>
      <c r="DX812" s="1098">
        <f t="shared" si="1173"/>
        <v>0</v>
      </c>
      <c r="DY812" s="1030"/>
      <c r="DZ812" s="1030"/>
      <c r="EA812" s="1031"/>
      <c r="EB812" s="1050"/>
      <c r="EC812" s="1038"/>
      <c r="ED812" s="1035"/>
      <c r="EE812" s="1046"/>
      <c r="EF812" s="1169"/>
      <c r="EG812" s="1168"/>
      <c r="EH812" s="1165"/>
      <c r="EI812" s="1165"/>
      <c r="EJ812" s="1165"/>
      <c r="EK812" s="1031"/>
      <c r="EL812" s="1098">
        <f t="shared" si="1174"/>
        <v>0</v>
      </c>
      <c r="EM812" s="1098">
        <f t="shared" si="1175"/>
        <v>0</v>
      </c>
      <c r="EN812" s="1030"/>
      <c r="EO812" s="1030"/>
      <c r="EP812" s="1031"/>
      <c r="EQ812" s="1050"/>
      <c r="ER812" s="1038"/>
      <c r="ES812" s="1035"/>
      <c r="ET812" s="1051"/>
    </row>
    <row r="813" spans="2:150" ht="16.5" customHeight="1">
      <c r="B813" s="1024"/>
      <c r="C813" s="1025"/>
      <c r="D813" s="408">
        <v>810</v>
      </c>
      <c r="E813" s="1164"/>
      <c r="F813" s="1164"/>
      <c r="G813" s="1026"/>
      <c r="H813" s="411" t="str">
        <f>IFERROR(INDEX(绊状态确认!C:C,MATCH($G813,绊状态确认!$B:$B,)),"")</f>
        <v/>
      </c>
      <c r="I813" s="450" t="str">
        <f>IFERROR(INDEX(绊状态确认!D:D,MATCH($G813,绊状态确认!$B:$B,)),"")</f>
        <v/>
      </c>
      <c r="J813" s="450" t="str">
        <f>IFERROR(INDEX(绊状态确认!E:E,MATCH($G813,绊状态确认!$B:$B,)),"")</f>
        <v/>
      </c>
      <c r="K813" s="451" t="str">
        <f>IFERROR(INDEX(绊状态确认!F:F,MATCH($G813,绊状态确认!$B:$B,)),"")</f>
        <v/>
      </c>
      <c r="L813" s="1026"/>
      <c r="M813" s="1165"/>
      <c r="N813" s="1027"/>
      <c r="O813" s="1026"/>
      <c r="P813" s="1028"/>
      <c r="Q813" s="1029"/>
      <c r="R813" s="1166"/>
      <c r="S813" s="1030"/>
      <c r="T813" s="1031"/>
      <c r="U813" s="1032"/>
      <c r="V813" s="1033"/>
      <c r="W813" s="1034"/>
      <c r="X813" s="1166"/>
      <c r="Y813" s="1035"/>
      <c r="Z813" s="1036"/>
      <c r="AA813" s="1037"/>
      <c r="AB813" s="1038"/>
      <c r="AC813" s="1039"/>
      <c r="AD813" s="1040"/>
      <c r="AE813" s="1041"/>
      <c r="AF813" s="521"/>
      <c r="AG813" s="420"/>
      <c r="AH813" s="420"/>
      <c r="AI813" s="420"/>
      <c r="AJ813" s="420"/>
      <c r="AK813" s="518"/>
      <c r="AL813" s="1042"/>
      <c r="AM813" s="1035"/>
      <c r="AN813" s="1043"/>
      <c r="AO813" s="1167"/>
      <c r="AP813" s="1044"/>
      <c r="AQ813" s="1035"/>
      <c r="AR813" s="1035"/>
      <c r="AS813" s="1035"/>
      <c r="AT813" s="1165"/>
      <c r="AU813" s="1031"/>
      <c r="AV813" s="1045"/>
      <c r="AW813" s="1038"/>
      <c r="AX813" s="1035"/>
      <c r="AY813" s="483"/>
      <c r="AZ813" s="429"/>
      <c r="BA813" s="431"/>
      <c r="BB813" s="1035"/>
      <c r="BC813" s="1035"/>
      <c r="BD813" s="481"/>
      <c r="BE813" s="432"/>
      <c r="BF813" s="646"/>
      <c r="BG813" s="1047"/>
      <c r="BH813" s="1046"/>
      <c r="BI813" s="1048"/>
      <c r="BJ813" s="1030"/>
      <c r="BK813" s="1046"/>
      <c r="BL813" s="1048"/>
      <c r="BM813" s="1046"/>
      <c r="BN813" s="1167"/>
      <c r="BO813" s="1035"/>
      <c r="BP813" s="1043"/>
      <c r="BQ813" s="1167"/>
      <c r="BR813" s="1165"/>
      <c r="BS813" s="1031"/>
      <c r="BT813" s="1038"/>
      <c r="BU813" s="1035"/>
      <c r="BV813" s="1035"/>
      <c r="BW813" s="1049"/>
      <c r="BX813" s="1043"/>
      <c r="BY813" s="1046"/>
      <c r="BZ813" s="1167"/>
      <c r="CA813" s="1165"/>
      <c r="CB813" s="1031"/>
      <c r="CC813" s="1038"/>
      <c r="CD813" s="1035"/>
      <c r="CE813" s="1035"/>
      <c r="CF813" s="1049"/>
      <c r="CG813" s="1043"/>
      <c r="CH813" s="1046"/>
      <c r="CI813" s="1167"/>
      <c r="CJ813" s="1168"/>
      <c r="CK813" s="1169"/>
      <c r="CL813" s="1169"/>
      <c r="CM813" s="1166"/>
      <c r="CN813" s="1169"/>
      <c r="CO813" s="1169"/>
      <c r="CP813" s="452"/>
      <c r="CQ813" s="435"/>
      <c r="CR813" s="1117"/>
      <c r="CS813" s="452"/>
      <c r="CT813" s="482"/>
      <c r="CU813" s="476"/>
      <c r="CV813" s="431"/>
      <c r="CW813" s="1108"/>
      <c r="CX813" s="1108"/>
      <c r="CY813" s="483"/>
      <c r="CZ813" s="437"/>
      <c r="DA813" s="438"/>
      <c r="DB813" s="439"/>
      <c r="DC813" s="439"/>
      <c r="DD813" s="443"/>
      <c r="DE813" s="411"/>
      <c r="DF813" s="411"/>
      <c r="DG813" s="1117"/>
      <c r="DH813" s="1117"/>
      <c r="DI813" s="1117"/>
      <c r="DJ813" s="442"/>
      <c r="DK813" s="482"/>
      <c r="DL813" s="1038"/>
      <c r="DM813" s="1035"/>
      <c r="DN813" s="1035"/>
      <c r="DO813" s="1035"/>
      <c r="DP813" s="1046"/>
      <c r="DQ813" s="1167"/>
      <c r="DR813" s="1168"/>
      <c r="DS813" s="1165"/>
      <c r="DT813" s="1165"/>
      <c r="DU813" s="1165"/>
      <c r="DV813" s="1031"/>
      <c r="DW813" s="1098">
        <f t="shared" si="1172"/>
        <v>0</v>
      </c>
      <c r="DX813" s="1098">
        <f t="shared" si="1173"/>
        <v>0</v>
      </c>
      <c r="DY813" s="1030"/>
      <c r="DZ813" s="1030"/>
      <c r="EA813" s="1031"/>
      <c r="EB813" s="1050"/>
      <c r="EC813" s="1038"/>
      <c r="ED813" s="1035"/>
      <c r="EE813" s="1046"/>
      <c r="EF813" s="1169"/>
      <c r="EG813" s="1168"/>
      <c r="EH813" s="1165"/>
      <c r="EI813" s="1165"/>
      <c r="EJ813" s="1165"/>
      <c r="EK813" s="1031"/>
      <c r="EL813" s="1098">
        <f t="shared" si="1174"/>
        <v>0</v>
      </c>
      <c r="EM813" s="1098">
        <f t="shared" si="1175"/>
        <v>0</v>
      </c>
      <c r="EN813" s="1030"/>
      <c r="EO813" s="1030"/>
      <c r="EP813" s="1031"/>
      <c r="EQ813" s="1050"/>
      <c r="ER813" s="1038"/>
      <c r="ES813" s="1035"/>
      <c r="ET813" s="1051"/>
    </row>
    <row r="814" spans="2:150" ht="16.5" customHeight="1">
      <c r="B814" s="1024"/>
      <c r="C814" s="1025"/>
      <c r="D814" s="408">
        <v>811</v>
      </c>
      <c r="E814" s="1164"/>
      <c r="F814" s="1164"/>
      <c r="G814" s="1026"/>
      <c r="H814" s="411" t="str">
        <f>IFERROR(INDEX(绊状态确认!C:C,MATCH($G814,绊状态确认!$B:$B,)),"")</f>
        <v/>
      </c>
      <c r="I814" s="450" t="str">
        <f>IFERROR(INDEX(绊状态确认!D:D,MATCH($G814,绊状态确认!$B:$B,)),"")</f>
        <v/>
      </c>
      <c r="J814" s="450" t="str">
        <f>IFERROR(INDEX(绊状态确认!E:E,MATCH($G814,绊状态确认!$B:$B,)),"")</f>
        <v/>
      </c>
      <c r="K814" s="451" t="str">
        <f>IFERROR(INDEX(绊状态确认!F:F,MATCH($G814,绊状态确认!$B:$B,)),"")</f>
        <v/>
      </c>
      <c r="L814" s="1026"/>
      <c r="M814" s="1165"/>
      <c r="N814" s="1027"/>
      <c r="O814" s="1026"/>
      <c r="P814" s="1028"/>
      <c r="Q814" s="1029"/>
      <c r="R814" s="1166"/>
      <c r="S814" s="1030"/>
      <c r="T814" s="1031"/>
      <c r="U814" s="1032"/>
      <c r="V814" s="1033"/>
      <c r="W814" s="1034"/>
      <c r="X814" s="1166"/>
      <c r="Y814" s="1035"/>
      <c r="Z814" s="1036"/>
      <c r="AA814" s="1037"/>
      <c r="AB814" s="1038"/>
      <c r="AC814" s="1039"/>
      <c r="AD814" s="1040"/>
      <c r="AE814" s="1041"/>
      <c r="AF814" s="521"/>
      <c r="AG814" s="420"/>
      <c r="AH814" s="420"/>
      <c r="AI814" s="420"/>
      <c r="AJ814" s="420"/>
      <c r="AK814" s="518"/>
      <c r="AL814" s="1042"/>
      <c r="AM814" s="1035"/>
      <c r="AN814" s="1043"/>
      <c r="AO814" s="1167"/>
      <c r="AP814" s="1044"/>
      <c r="AQ814" s="1035"/>
      <c r="AR814" s="1035"/>
      <c r="AS814" s="1035"/>
      <c r="AT814" s="1165"/>
      <c r="AU814" s="1031"/>
      <c r="AV814" s="1045"/>
      <c r="AW814" s="1038"/>
      <c r="AX814" s="1035"/>
      <c r="AY814" s="483"/>
      <c r="AZ814" s="429"/>
      <c r="BA814" s="431"/>
      <c r="BB814" s="1035"/>
      <c r="BC814" s="1035"/>
      <c r="BD814" s="481"/>
      <c r="BE814" s="432"/>
      <c r="BF814" s="646"/>
      <c r="BG814" s="1047"/>
      <c r="BH814" s="1046"/>
      <c r="BI814" s="1048"/>
      <c r="BJ814" s="1030"/>
      <c r="BK814" s="1046"/>
      <c r="BL814" s="1048"/>
      <c r="BM814" s="1046"/>
      <c r="BN814" s="1167"/>
      <c r="BO814" s="1035"/>
      <c r="BP814" s="1043"/>
      <c r="BQ814" s="1167"/>
      <c r="BR814" s="1165"/>
      <c r="BS814" s="1031"/>
      <c r="BT814" s="1038"/>
      <c r="BU814" s="1035"/>
      <c r="BV814" s="1035"/>
      <c r="BW814" s="1049"/>
      <c r="BX814" s="1043"/>
      <c r="BY814" s="1046"/>
      <c r="BZ814" s="1167"/>
      <c r="CA814" s="1165"/>
      <c r="CB814" s="1031"/>
      <c r="CC814" s="1038"/>
      <c r="CD814" s="1035"/>
      <c r="CE814" s="1035"/>
      <c r="CF814" s="1049"/>
      <c r="CG814" s="1043"/>
      <c r="CH814" s="1046"/>
      <c r="CI814" s="1167"/>
      <c r="CJ814" s="1168"/>
      <c r="CK814" s="1169"/>
      <c r="CL814" s="1169"/>
      <c r="CM814" s="1166"/>
      <c r="CN814" s="1169"/>
      <c r="CO814" s="1169"/>
      <c r="CP814" s="452"/>
      <c r="CQ814" s="435"/>
      <c r="CR814" s="1117"/>
      <c r="CS814" s="452"/>
      <c r="CT814" s="482"/>
      <c r="CU814" s="476"/>
      <c r="CV814" s="431"/>
      <c r="CW814" s="1108"/>
      <c r="CX814" s="1108"/>
      <c r="CY814" s="483"/>
      <c r="CZ814" s="437"/>
      <c r="DA814" s="438"/>
      <c r="DB814" s="439"/>
      <c r="DC814" s="439"/>
      <c r="DD814" s="443"/>
      <c r="DE814" s="411"/>
      <c r="DF814" s="411"/>
      <c r="DG814" s="1117"/>
      <c r="DH814" s="1117"/>
      <c r="DI814" s="1117"/>
      <c r="DJ814" s="442"/>
      <c r="DK814" s="482"/>
      <c r="DL814" s="1038"/>
      <c r="DM814" s="1035"/>
      <c r="DN814" s="1035"/>
      <c r="DO814" s="1035"/>
      <c r="DP814" s="1046"/>
      <c r="DQ814" s="1167"/>
      <c r="DR814" s="1168"/>
      <c r="DS814" s="1165"/>
      <c r="DT814" s="1165"/>
      <c r="DU814" s="1165"/>
      <c r="DV814" s="1031"/>
      <c r="DW814" s="1098">
        <f t="shared" si="1172"/>
        <v>0</v>
      </c>
      <c r="DX814" s="1098">
        <f t="shared" si="1173"/>
        <v>0</v>
      </c>
      <c r="DY814" s="1030"/>
      <c r="DZ814" s="1030"/>
      <c r="EA814" s="1031"/>
      <c r="EB814" s="1050"/>
      <c r="EC814" s="1038"/>
      <c r="ED814" s="1035"/>
      <c r="EE814" s="1046"/>
      <c r="EF814" s="1169"/>
      <c r="EG814" s="1168"/>
      <c r="EH814" s="1165"/>
      <c r="EI814" s="1165"/>
      <c r="EJ814" s="1165"/>
      <c r="EK814" s="1031"/>
      <c r="EL814" s="1098">
        <f t="shared" si="1174"/>
        <v>0</v>
      </c>
      <c r="EM814" s="1098">
        <f t="shared" si="1175"/>
        <v>0</v>
      </c>
      <c r="EN814" s="1030"/>
      <c r="EO814" s="1030"/>
      <c r="EP814" s="1031"/>
      <c r="EQ814" s="1050"/>
      <c r="ER814" s="1038"/>
      <c r="ES814" s="1035"/>
      <c r="ET814" s="1051"/>
    </row>
    <row r="815" spans="2:150" ht="16.5" customHeight="1">
      <c r="B815" s="1024"/>
      <c r="C815" s="1025"/>
      <c r="D815" s="408">
        <v>812</v>
      </c>
      <c r="E815" s="1164"/>
      <c r="F815" s="1164"/>
      <c r="G815" s="1026"/>
      <c r="H815" s="411" t="str">
        <f>IFERROR(INDEX(绊状态确认!C:C,MATCH($G815,绊状态确认!$B:$B,)),"")</f>
        <v/>
      </c>
      <c r="I815" s="1124" t="str">
        <f>IFERROR(INDEX(绊状态确认!D:D,MATCH($G815,绊状态确认!$B:$B,)),"")</f>
        <v/>
      </c>
      <c r="J815" s="1124" t="str">
        <f>IFERROR(INDEX(绊状态确认!E:E,MATCH($G815,绊状态确认!$B:$B,)),"")</f>
        <v/>
      </c>
      <c r="K815" s="451" t="str">
        <f>IFERROR(INDEX(绊状态确认!F:F,MATCH($G815,绊状态确认!$B:$B,)),"")</f>
        <v/>
      </c>
      <c r="L815" s="1026"/>
      <c r="M815" s="1165"/>
      <c r="N815" s="1027"/>
      <c r="O815" s="1026"/>
      <c r="P815" s="1028"/>
      <c r="Q815" s="1029"/>
      <c r="R815" s="1166"/>
      <c r="S815" s="1030"/>
      <c r="T815" s="1031"/>
      <c r="U815" s="1032"/>
      <c r="V815" s="1033"/>
      <c r="W815" s="1034"/>
      <c r="X815" s="1166"/>
      <c r="Y815" s="1035"/>
      <c r="Z815" s="1036"/>
      <c r="AA815" s="1037"/>
      <c r="AB815" s="1038"/>
      <c r="AC815" s="1039"/>
      <c r="AD815" s="1040"/>
      <c r="AE815" s="1041"/>
      <c r="AF815" s="521"/>
      <c r="AG815" s="420"/>
      <c r="AH815" s="420"/>
      <c r="AI815" s="420"/>
      <c r="AJ815" s="420"/>
      <c r="AK815" s="518"/>
      <c r="AL815" s="1042"/>
      <c r="AM815" s="1035"/>
      <c r="AN815" s="1043"/>
      <c r="AO815" s="1167"/>
      <c r="AP815" s="1044"/>
      <c r="AQ815" s="1035"/>
      <c r="AR815" s="1035"/>
      <c r="AS815" s="1035"/>
      <c r="AT815" s="1165"/>
      <c r="AU815" s="1031"/>
      <c r="AV815" s="1045"/>
      <c r="AW815" s="1038"/>
      <c r="AX815" s="1035"/>
      <c r="AY815" s="483"/>
      <c r="AZ815" s="429"/>
      <c r="BA815" s="431"/>
      <c r="BB815" s="1035"/>
      <c r="BC815" s="1035"/>
      <c r="BD815" s="481"/>
      <c r="BE815" s="432"/>
      <c r="BF815" s="646"/>
      <c r="BG815" s="1047"/>
      <c r="BH815" s="1046"/>
      <c r="BI815" s="1048"/>
      <c r="BJ815" s="1030"/>
      <c r="BK815" s="1046"/>
      <c r="BL815" s="1048"/>
      <c r="BM815" s="1046"/>
      <c r="BN815" s="1167"/>
      <c r="BO815" s="1035"/>
      <c r="BP815" s="1043"/>
      <c r="BQ815" s="1167"/>
      <c r="BR815" s="1165"/>
      <c r="BS815" s="1031"/>
      <c r="BT815" s="1038"/>
      <c r="BU815" s="1035"/>
      <c r="BV815" s="1035"/>
      <c r="BW815" s="1049"/>
      <c r="BX815" s="1043"/>
      <c r="BY815" s="1046"/>
      <c r="BZ815" s="1167"/>
      <c r="CA815" s="1165"/>
      <c r="CB815" s="1031"/>
      <c r="CC815" s="1038"/>
      <c r="CD815" s="1035"/>
      <c r="CE815" s="1035"/>
      <c r="CF815" s="1049"/>
      <c r="CG815" s="1043"/>
      <c r="CH815" s="1046"/>
      <c r="CI815" s="1167"/>
      <c r="CJ815" s="1168"/>
      <c r="CK815" s="1169"/>
      <c r="CL815" s="1169"/>
      <c r="CM815" s="1166"/>
      <c r="CN815" s="1169"/>
      <c r="CO815" s="1169"/>
      <c r="CP815" s="452"/>
      <c r="CQ815" s="435"/>
      <c r="CR815" s="1117"/>
      <c r="CS815" s="452"/>
      <c r="CT815" s="482"/>
      <c r="CU815" s="476"/>
      <c r="CV815" s="431"/>
      <c r="CW815" s="1108"/>
      <c r="CX815" s="1108"/>
      <c r="CY815" s="483"/>
      <c r="CZ815" s="437"/>
      <c r="DA815" s="438"/>
      <c r="DB815" s="439"/>
      <c r="DC815" s="439"/>
      <c r="DD815" s="443"/>
      <c r="DE815" s="411"/>
      <c r="DF815" s="411"/>
      <c r="DG815" s="1117"/>
      <c r="DH815" s="1117"/>
      <c r="DI815" s="1117"/>
      <c r="DJ815" s="442"/>
      <c r="DK815" s="482"/>
      <c r="DL815" s="1038"/>
      <c r="DM815" s="1035"/>
      <c r="DN815" s="1035"/>
      <c r="DO815" s="1035"/>
      <c r="DP815" s="1046"/>
      <c r="DQ815" s="1167"/>
      <c r="DR815" s="1168"/>
      <c r="DS815" s="1165"/>
      <c r="DT815" s="1165"/>
      <c r="DU815" s="1165"/>
      <c r="DV815" s="1031"/>
      <c r="DW815" s="1098">
        <f t="shared" si="1172"/>
        <v>0</v>
      </c>
      <c r="DX815" s="1098">
        <f t="shared" si="1173"/>
        <v>0</v>
      </c>
      <c r="DY815" s="1030"/>
      <c r="DZ815" s="1030"/>
      <c r="EA815" s="1031"/>
      <c r="EB815" s="1050"/>
      <c r="EC815" s="1038"/>
      <c r="ED815" s="1035"/>
      <c r="EE815" s="1046"/>
      <c r="EF815" s="1169"/>
      <c r="EG815" s="1168"/>
      <c r="EH815" s="1165"/>
      <c r="EI815" s="1165"/>
      <c r="EJ815" s="1165"/>
      <c r="EK815" s="1031"/>
      <c r="EL815" s="1098">
        <f t="shared" si="1174"/>
        <v>0</v>
      </c>
      <c r="EM815" s="1098">
        <f t="shared" si="1175"/>
        <v>0</v>
      </c>
      <c r="EN815" s="1030"/>
      <c r="EO815" s="1030"/>
      <c r="EP815" s="1031"/>
      <c r="EQ815" s="1050"/>
      <c r="ER815" s="1038"/>
      <c r="ES815" s="1035"/>
      <c r="ET815" s="1051"/>
    </row>
    <row r="816" spans="2:150" ht="16.5" customHeight="1">
      <c r="B816" s="1024"/>
      <c r="C816" s="1025"/>
      <c r="D816" s="408">
        <v>813</v>
      </c>
      <c r="E816" s="1164"/>
      <c r="F816" s="1164"/>
      <c r="G816" s="1026"/>
      <c r="H816" s="411" t="str">
        <f>IFERROR(INDEX(绊状态确认!C:C,MATCH($G816,绊状态确认!$B:$B,)),"")</f>
        <v/>
      </c>
      <c r="I816" s="450" t="str">
        <f>IFERROR(INDEX(绊状态确认!D:D,MATCH($G816,绊状态确认!$B:$B,)),"")</f>
        <v/>
      </c>
      <c r="J816" s="450" t="str">
        <f>IFERROR(INDEX(绊状态确认!E:E,MATCH($G816,绊状态确认!$B:$B,)),"")</f>
        <v/>
      </c>
      <c r="K816" s="451" t="str">
        <f>IFERROR(INDEX(绊状态确认!F:F,MATCH($G816,绊状态确认!$B:$B,)),"")</f>
        <v/>
      </c>
      <c r="L816" s="1026"/>
      <c r="M816" s="1165"/>
      <c r="N816" s="1027"/>
      <c r="O816" s="1026"/>
      <c r="P816" s="1028"/>
      <c r="Q816" s="1029"/>
      <c r="R816" s="1166"/>
      <c r="S816" s="1030"/>
      <c r="T816" s="1031"/>
      <c r="U816" s="1032"/>
      <c r="V816" s="1033"/>
      <c r="W816" s="1034"/>
      <c r="X816" s="1166"/>
      <c r="Y816" s="1035"/>
      <c r="Z816" s="1036"/>
      <c r="AA816" s="1037"/>
      <c r="AB816" s="1038"/>
      <c r="AC816" s="1039"/>
      <c r="AD816" s="1040"/>
      <c r="AE816" s="1041"/>
      <c r="AF816" s="521"/>
      <c r="AG816" s="420"/>
      <c r="AH816" s="420"/>
      <c r="AI816" s="420"/>
      <c r="AJ816" s="420"/>
      <c r="AK816" s="518"/>
      <c r="AL816" s="1042"/>
      <c r="AM816" s="1035"/>
      <c r="AN816" s="1043"/>
      <c r="AO816" s="1167"/>
      <c r="AP816" s="1044"/>
      <c r="AQ816" s="1035"/>
      <c r="AR816" s="1035"/>
      <c r="AS816" s="1035"/>
      <c r="AT816" s="1165"/>
      <c r="AU816" s="1031"/>
      <c r="AV816" s="1045"/>
      <c r="AW816" s="1038"/>
      <c r="AX816" s="1035"/>
      <c r="AY816" s="483"/>
      <c r="AZ816" s="429"/>
      <c r="BA816" s="431"/>
      <c r="BB816" s="1035"/>
      <c r="BC816" s="1035"/>
      <c r="BD816" s="481"/>
      <c r="BE816" s="432"/>
      <c r="BF816" s="646"/>
      <c r="BG816" s="1047"/>
      <c r="BH816" s="1046"/>
      <c r="BI816" s="1048"/>
      <c r="BJ816" s="1030"/>
      <c r="BK816" s="1046"/>
      <c r="BL816" s="1048"/>
      <c r="BM816" s="1046"/>
      <c r="BN816" s="1167"/>
      <c r="BO816" s="1035"/>
      <c r="BP816" s="1043"/>
      <c r="BQ816" s="1167"/>
      <c r="BR816" s="1165"/>
      <c r="BS816" s="1031"/>
      <c r="BT816" s="1038"/>
      <c r="BU816" s="1035"/>
      <c r="BV816" s="1035"/>
      <c r="BW816" s="1049"/>
      <c r="BX816" s="1043"/>
      <c r="BY816" s="1046"/>
      <c r="BZ816" s="1167"/>
      <c r="CA816" s="1165"/>
      <c r="CB816" s="1031"/>
      <c r="CC816" s="1038"/>
      <c r="CD816" s="1035"/>
      <c r="CE816" s="1035"/>
      <c r="CF816" s="1049"/>
      <c r="CG816" s="1043"/>
      <c r="CH816" s="1046"/>
      <c r="CI816" s="1167"/>
      <c r="CJ816" s="1168"/>
      <c r="CK816" s="1169"/>
      <c r="CL816" s="1169"/>
      <c r="CM816" s="1166"/>
      <c r="CN816" s="1169"/>
      <c r="CO816" s="1169"/>
      <c r="CP816" s="452"/>
      <c r="CQ816" s="435"/>
      <c r="CR816" s="441"/>
      <c r="CS816" s="452"/>
      <c r="CT816" s="482"/>
      <c r="CU816" s="476"/>
      <c r="CV816" s="431"/>
      <c r="CW816" s="1108"/>
      <c r="CX816" s="1108"/>
      <c r="CY816" s="483"/>
      <c r="CZ816" s="437"/>
      <c r="DA816" s="438"/>
      <c r="DB816" s="439"/>
      <c r="DC816" s="439"/>
      <c r="DD816" s="443"/>
      <c r="DE816" s="411"/>
      <c r="DF816" s="411"/>
      <c r="DG816" s="1117"/>
      <c r="DH816" s="1117"/>
      <c r="DI816" s="1117"/>
      <c r="DJ816" s="442"/>
      <c r="DK816" s="482"/>
      <c r="DL816" s="1038"/>
      <c r="DM816" s="1035"/>
      <c r="DN816" s="1035"/>
      <c r="DO816" s="1035"/>
      <c r="DP816" s="1046"/>
      <c r="DQ816" s="1167"/>
      <c r="DR816" s="1168"/>
      <c r="DS816" s="1165"/>
      <c r="DT816" s="1165"/>
      <c r="DU816" s="1165"/>
      <c r="DV816" s="1031"/>
      <c r="DW816" s="1098">
        <f t="shared" si="1172"/>
        <v>0</v>
      </c>
      <c r="DX816" s="1098">
        <f t="shared" si="1173"/>
        <v>0</v>
      </c>
      <c r="DY816" s="1030"/>
      <c r="DZ816" s="1030"/>
      <c r="EA816" s="1031"/>
      <c r="EB816" s="1050"/>
      <c r="EC816" s="1038"/>
      <c r="ED816" s="1035"/>
      <c r="EE816" s="1046"/>
      <c r="EF816" s="1169"/>
      <c r="EG816" s="1168"/>
      <c r="EH816" s="1165"/>
      <c r="EI816" s="1165"/>
      <c r="EJ816" s="1165"/>
      <c r="EK816" s="1031"/>
      <c r="EL816" s="1098">
        <f t="shared" si="1174"/>
        <v>0</v>
      </c>
      <c r="EM816" s="1098">
        <f t="shared" si="1175"/>
        <v>0</v>
      </c>
      <c r="EN816" s="1030"/>
      <c r="EO816" s="1030"/>
      <c r="EP816" s="1031"/>
      <c r="EQ816" s="1050"/>
      <c r="ER816" s="1038"/>
      <c r="ES816" s="1035"/>
      <c r="ET816" s="1051"/>
    </row>
    <row r="817" spans="2:150" ht="16.5" customHeight="1">
      <c r="B817" s="1024"/>
      <c r="C817" s="1025"/>
      <c r="D817" s="408">
        <v>814</v>
      </c>
      <c r="E817" s="1164"/>
      <c r="F817" s="1164"/>
      <c r="G817" s="1026"/>
      <c r="H817" s="411" t="str">
        <f>IFERROR(INDEX(绊状态确认!C:C,MATCH($G817,绊状态确认!$B:$B,)),"")</f>
        <v/>
      </c>
      <c r="I817" s="450" t="str">
        <f>IFERROR(INDEX(绊状态确认!D:D,MATCH($G817,绊状态确认!$B:$B,)),"")</f>
        <v/>
      </c>
      <c r="J817" s="450" t="str">
        <f>IFERROR(INDEX(绊状态确认!E:E,MATCH($G817,绊状态确认!$B:$B,)),"")</f>
        <v/>
      </c>
      <c r="K817" s="451" t="str">
        <f>IFERROR(INDEX(绊状态确认!F:F,MATCH($G817,绊状态确认!$B:$B,)),"")</f>
        <v/>
      </c>
      <c r="L817" s="1026"/>
      <c r="M817" s="1165"/>
      <c r="N817" s="1027"/>
      <c r="O817" s="1026"/>
      <c r="P817" s="1028"/>
      <c r="Q817" s="1029"/>
      <c r="R817" s="1166"/>
      <c r="S817" s="1030"/>
      <c r="T817" s="1031"/>
      <c r="U817" s="1032"/>
      <c r="V817" s="1033"/>
      <c r="W817" s="1034"/>
      <c r="X817" s="1166"/>
      <c r="Y817" s="1035"/>
      <c r="Z817" s="1036"/>
      <c r="AA817" s="1037"/>
      <c r="AB817" s="1038"/>
      <c r="AC817" s="1039"/>
      <c r="AD817" s="1040"/>
      <c r="AE817" s="1041"/>
      <c r="AF817" s="521"/>
      <c r="AG817" s="420"/>
      <c r="AH817" s="420"/>
      <c r="AI817" s="420"/>
      <c r="AJ817" s="420"/>
      <c r="AK817" s="518"/>
      <c r="AL817" s="1042"/>
      <c r="AM817" s="1035"/>
      <c r="AN817" s="1043"/>
      <c r="AO817" s="1167"/>
      <c r="AP817" s="1044"/>
      <c r="AQ817" s="1035"/>
      <c r="AR817" s="1035"/>
      <c r="AS817" s="1035"/>
      <c r="AT817" s="1165"/>
      <c r="AU817" s="1031"/>
      <c r="AV817" s="1045"/>
      <c r="AW817" s="1038"/>
      <c r="AX817" s="1035"/>
      <c r="AY817" s="483"/>
      <c r="AZ817" s="429"/>
      <c r="BA817" s="431"/>
      <c r="BB817" s="1035"/>
      <c r="BC817" s="1035"/>
      <c r="BD817" s="481"/>
      <c r="BE817" s="432"/>
      <c r="BF817" s="646"/>
      <c r="BG817" s="1047"/>
      <c r="BH817" s="1046"/>
      <c r="BI817" s="1048"/>
      <c r="BJ817" s="1030"/>
      <c r="BK817" s="1046"/>
      <c r="BL817" s="1048"/>
      <c r="BM817" s="1046"/>
      <c r="BN817" s="1167"/>
      <c r="BO817" s="1035"/>
      <c r="BP817" s="1043"/>
      <c r="BQ817" s="1167"/>
      <c r="BR817" s="1165"/>
      <c r="BS817" s="1031"/>
      <c r="BT817" s="1038"/>
      <c r="BU817" s="1035"/>
      <c r="BV817" s="1035"/>
      <c r="BW817" s="1049"/>
      <c r="BX817" s="1043"/>
      <c r="BY817" s="1046"/>
      <c r="BZ817" s="1167"/>
      <c r="CA817" s="1165"/>
      <c r="CB817" s="1031"/>
      <c r="CC817" s="1038"/>
      <c r="CD817" s="1035"/>
      <c r="CE817" s="1035"/>
      <c r="CF817" s="1049"/>
      <c r="CG817" s="1043"/>
      <c r="CH817" s="1046"/>
      <c r="CI817" s="1167"/>
      <c r="CJ817" s="1168"/>
      <c r="CK817" s="1169"/>
      <c r="CL817" s="1169"/>
      <c r="CM817" s="1166"/>
      <c r="CN817" s="1169"/>
      <c r="CO817" s="1169"/>
      <c r="CP817" s="452"/>
      <c r="CQ817" s="435"/>
      <c r="CR817" s="1117"/>
      <c r="CS817" s="452"/>
      <c r="CT817" s="482"/>
      <c r="CU817" s="476"/>
      <c r="CV817" s="431"/>
      <c r="CW817" s="1108"/>
      <c r="CX817" s="1108"/>
      <c r="CY817" s="483"/>
      <c r="CZ817" s="437"/>
      <c r="DA817" s="438"/>
      <c r="DB817" s="439"/>
      <c r="DC817" s="439"/>
      <c r="DD817" s="443"/>
      <c r="DE817" s="411"/>
      <c r="DF817" s="411"/>
      <c r="DG817" s="1117"/>
      <c r="DH817" s="1117"/>
      <c r="DI817" s="1117"/>
      <c r="DJ817" s="442"/>
      <c r="DK817" s="482"/>
      <c r="DL817" s="1038"/>
      <c r="DM817" s="1035"/>
      <c r="DN817" s="1035"/>
      <c r="DO817" s="1035"/>
      <c r="DP817" s="1046"/>
      <c r="DQ817" s="1167"/>
      <c r="DR817" s="1168"/>
      <c r="DS817" s="1165"/>
      <c r="DT817" s="1165"/>
      <c r="DU817" s="1165"/>
      <c r="DV817" s="1031"/>
      <c r="DW817" s="1098">
        <f t="shared" si="1172"/>
        <v>0</v>
      </c>
      <c r="DX817" s="1098">
        <f t="shared" si="1173"/>
        <v>0</v>
      </c>
      <c r="DY817" s="1030"/>
      <c r="DZ817" s="1030"/>
      <c r="EA817" s="1031"/>
      <c r="EB817" s="1050"/>
      <c r="EC817" s="1038"/>
      <c r="ED817" s="1035"/>
      <c r="EE817" s="1046"/>
      <c r="EF817" s="1169"/>
      <c r="EG817" s="1168"/>
      <c r="EH817" s="1165"/>
      <c r="EI817" s="1165"/>
      <c r="EJ817" s="1165"/>
      <c r="EK817" s="1031"/>
      <c r="EL817" s="1098">
        <f t="shared" si="1174"/>
        <v>0</v>
      </c>
      <c r="EM817" s="1098">
        <f t="shared" si="1175"/>
        <v>0</v>
      </c>
      <c r="EN817" s="1030"/>
      <c r="EO817" s="1030"/>
      <c r="EP817" s="1031"/>
      <c r="EQ817" s="1050"/>
      <c r="ER817" s="1038"/>
      <c r="ES817" s="1035"/>
      <c r="ET817" s="1051"/>
    </row>
    <row r="818" spans="2:150" ht="16.5" customHeight="1">
      <c r="B818" s="1024"/>
      <c r="C818" s="1025"/>
      <c r="D818" s="408">
        <v>815</v>
      </c>
      <c r="E818" s="1164"/>
      <c r="F818" s="1164"/>
      <c r="G818" s="1026"/>
      <c r="H818" s="411" t="str">
        <f>IFERROR(INDEX(绊状态确认!C:C,MATCH($G818,绊状态确认!$B:$B,)),"")</f>
        <v/>
      </c>
      <c r="I818" s="450" t="str">
        <f>IFERROR(INDEX(绊状态确认!D:D,MATCH($G818,绊状态确认!$B:$B,)),"")</f>
        <v/>
      </c>
      <c r="J818" s="450" t="str">
        <f>IFERROR(INDEX(绊状态确认!E:E,MATCH($G818,绊状态确认!$B:$B,)),"")</f>
        <v/>
      </c>
      <c r="K818" s="451" t="str">
        <f>IFERROR(INDEX(绊状态确认!F:F,MATCH($G818,绊状态确认!$B:$B,)),"")</f>
        <v/>
      </c>
      <c r="L818" s="1026"/>
      <c r="M818" s="1165"/>
      <c r="N818" s="1027"/>
      <c r="O818" s="1026"/>
      <c r="P818" s="1028"/>
      <c r="Q818" s="1029"/>
      <c r="R818" s="1166"/>
      <c r="S818" s="1030"/>
      <c r="T818" s="1031"/>
      <c r="U818" s="1032"/>
      <c r="V818" s="1033"/>
      <c r="W818" s="1034"/>
      <c r="X818" s="1166"/>
      <c r="Y818" s="1035"/>
      <c r="Z818" s="1036"/>
      <c r="AA818" s="1037"/>
      <c r="AB818" s="1038"/>
      <c r="AC818" s="1039"/>
      <c r="AD818" s="1040"/>
      <c r="AE818" s="1041"/>
      <c r="AF818" s="521"/>
      <c r="AG818" s="420"/>
      <c r="AH818" s="420"/>
      <c r="AI818" s="420"/>
      <c r="AJ818" s="420"/>
      <c r="AK818" s="518"/>
      <c r="AL818" s="1042"/>
      <c r="AM818" s="1035"/>
      <c r="AN818" s="1043"/>
      <c r="AO818" s="1167"/>
      <c r="AP818" s="1044"/>
      <c r="AQ818" s="1035"/>
      <c r="AR818" s="1035"/>
      <c r="AS818" s="1035"/>
      <c r="AT818" s="1165"/>
      <c r="AU818" s="1031"/>
      <c r="AV818" s="1045"/>
      <c r="AW818" s="1038"/>
      <c r="AX818" s="1035"/>
      <c r="AY818" s="483"/>
      <c r="AZ818" s="429"/>
      <c r="BA818" s="431"/>
      <c r="BB818" s="1035"/>
      <c r="BC818" s="1035"/>
      <c r="BD818" s="481"/>
      <c r="BE818" s="432"/>
      <c r="BF818" s="646"/>
      <c r="BG818" s="1047"/>
      <c r="BH818" s="1046"/>
      <c r="BI818" s="1048"/>
      <c r="BJ818" s="1030"/>
      <c r="BK818" s="1046"/>
      <c r="BL818" s="1048"/>
      <c r="BM818" s="1046"/>
      <c r="BN818" s="1167"/>
      <c r="BO818" s="1035"/>
      <c r="BP818" s="1043"/>
      <c r="BQ818" s="1167"/>
      <c r="BR818" s="1165"/>
      <c r="BS818" s="1031"/>
      <c r="BT818" s="1038"/>
      <c r="BU818" s="1035"/>
      <c r="BV818" s="1035"/>
      <c r="BW818" s="1049"/>
      <c r="BX818" s="1043"/>
      <c r="BY818" s="1046"/>
      <c r="BZ818" s="1167"/>
      <c r="CA818" s="1165"/>
      <c r="CB818" s="1031"/>
      <c r="CC818" s="1038"/>
      <c r="CD818" s="1035"/>
      <c r="CE818" s="1035"/>
      <c r="CF818" s="1049"/>
      <c r="CG818" s="1043"/>
      <c r="CH818" s="1046"/>
      <c r="CI818" s="1167"/>
      <c r="CJ818" s="1168"/>
      <c r="CK818" s="1169"/>
      <c r="CL818" s="1169"/>
      <c r="CM818" s="1166"/>
      <c r="CN818" s="1169"/>
      <c r="CO818" s="1169"/>
      <c r="CP818" s="452"/>
      <c r="CQ818" s="435"/>
      <c r="CR818" s="1117"/>
      <c r="CS818" s="452"/>
      <c r="CT818" s="482"/>
      <c r="CU818" s="476"/>
      <c r="CV818" s="431"/>
      <c r="CW818" s="1108"/>
      <c r="CX818" s="1108"/>
      <c r="CY818" s="483"/>
      <c r="CZ818" s="437"/>
      <c r="DA818" s="438"/>
      <c r="DB818" s="439"/>
      <c r="DC818" s="439"/>
      <c r="DD818" s="443"/>
      <c r="DE818" s="411"/>
      <c r="DF818" s="411"/>
      <c r="DG818" s="1117"/>
      <c r="DH818" s="1117"/>
      <c r="DI818" s="1117"/>
      <c r="DJ818" s="442"/>
      <c r="DK818" s="482"/>
      <c r="DL818" s="1038"/>
      <c r="DM818" s="1035"/>
      <c r="DN818" s="1035"/>
      <c r="DO818" s="1035"/>
      <c r="DP818" s="1046"/>
      <c r="DQ818" s="1167"/>
      <c r="DR818" s="1168"/>
      <c r="DS818" s="1165"/>
      <c r="DT818" s="1165"/>
      <c r="DU818" s="1165"/>
      <c r="DV818" s="1031"/>
      <c r="DW818" s="1098">
        <f t="shared" si="1172"/>
        <v>0</v>
      </c>
      <c r="DX818" s="1098">
        <f t="shared" si="1173"/>
        <v>0</v>
      </c>
      <c r="DY818" s="1030"/>
      <c r="DZ818" s="1030"/>
      <c r="EA818" s="1031"/>
      <c r="EB818" s="1050"/>
      <c r="EC818" s="1038"/>
      <c r="ED818" s="1035"/>
      <c r="EE818" s="1046"/>
      <c r="EF818" s="1169"/>
      <c r="EG818" s="1168"/>
      <c r="EH818" s="1165"/>
      <c r="EI818" s="1165"/>
      <c r="EJ818" s="1165"/>
      <c r="EK818" s="1031"/>
      <c r="EL818" s="1098">
        <f t="shared" si="1174"/>
        <v>0</v>
      </c>
      <c r="EM818" s="1098">
        <f t="shared" si="1175"/>
        <v>0</v>
      </c>
      <c r="EN818" s="1030"/>
      <c r="EO818" s="1030"/>
      <c r="EP818" s="1031"/>
      <c r="EQ818" s="1050"/>
      <c r="ER818" s="1038"/>
      <c r="ES818" s="1035"/>
      <c r="ET818" s="1051"/>
    </row>
    <row r="819" spans="2:150" ht="16.5" customHeight="1">
      <c r="B819" s="1024"/>
      <c r="C819" s="1025"/>
      <c r="D819" s="408">
        <v>816</v>
      </c>
      <c r="E819" s="1164"/>
      <c r="F819" s="1164"/>
      <c r="G819" s="1026"/>
      <c r="H819" s="411" t="str">
        <f>IFERROR(INDEX(绊状态确认!C:C,MATCH($G819,绊状态确认!$B:$B,)),"")</f>
        <v/>
      </c>
      <c r="I819" s="450" t="str">
        <f>IFERROR(INDEX(绊状态确认!D:D,MATCH($G819,绊状态确认!$B:$B,)),"")</f>
        <v/>
      </c>
      <c r="J819" s="450" t="str">
        <f>IFERROR(INDEX(绊状态确认!E:E,MATCH($G819,绊状态确认!$B:$B,)),"")</f>
        <v/>
      </c>
      <c r="K819" s="451" t="str">
        <f>IFERROR(INDEX(绊状态确认!F:F,MATCH($G819,绊状态确认!$B:$B,)),"")</f>
        <v/>
      </c>
      <c r="L819" s="1026"/>
      <c r="M819" s="1165"/>
      <c r="N819" s="1027"/>
      <c r="O819" s="1026"/>
      <c r="P819" s="1028"/>
      <c r="Q819" s="1029"/>
      <c r="R819" s="1166"/>
      <c r="S819" s="1030"/>
      <c r="T819" s="1031"/>
      <c r="U819" s="1032"/>
      <c r="V819" s="1033"/>
      <c r="W819" s="1034"/>
      <c r="X819" s="1166"/>
      <c r="Y819" s="1035"/>
      <c r="Z819" s="1036"/>
      <c r="AA819" s="1037"/>
      <c r="AB819" s="1038"/>
      <c r="AC819" s="1039"/>
      <c r="AD819" s="1040"/>
      <c r="AE819" s="1041"/>
      <c r="AF819" s="521"/>
      <c r="AG819" s="420"/>
      <c r="AH819" s="420"/>
      <c r="AI819" s="420"/>
      <c r="AJ819" s="420"/>
      <c r="AK819" s="518"/>
      <c r="AL819" s="1042"/>
      <c r="AM819" s="1035"/>
      <c r="AN819" s="1043"/>
      <c r="AO819" s="1167"/>
      <c r="AP819" s="1044"/>
      <c r="AQ819" s="1035"/>
      <c r="AR819" s="1035"/>
      <c r="AS819" s="1035"/>
      <c r="AT819" s="1165"/>
      <c r="AU819" s="1031"/>
      <c r="AV819" s="1045"/>
      <c r="AW819" s="1038"/>
      <c r="AX819" s="1035"/>
      <c r="AY819" s="483"/>
      <c r="AZ819" s="429"/>
      <c r="BA819" s="431"/>
      <c r="BB819" s="1035"/>
      <c r="BC819" s="1035"/>
      <c r="BD819" s="481"/>
      <c r="BE819" s="432"/>
      <c r="BF819" s="646"/>
      <c r="BG819" s="1047"/>
      <c r="BH819" s="1046"/>
      <c r="BI819" s="1048"/>
      <c r="BJ819" s="1030"/>
      <c r="BK819" s="1046"/>
      <c r="BL819" s="1048"/>
      <c r="BM819" s="1046"/>
      <c r="BN819" s="1167"/>
      <c r="BO819" s="1035"/>
      <c r="BP819" s="1043"/>
      <c r="BQ819" s="1167"/>
      <c r="BR819" s="1165"/>
      <c r="BS819" s="1031"/>
      <c r="BT819" s="1038"/>
      <c r="BU819" s="1035"/>
      <c r="BV819" s="1035"/>
      <c r="BW819" s="1049"/>
      <c r="BX819" s="1043"/>
      <c r="BY819" s="1046"/>
      <c r="BZ819" s="1167"/>
      <c r="CA819" s="1165"/>
      <c r="CB819" s="1031"/>
      <c r="CC819" s="1038"/>
      <c r="CD819" s="1035"/>
      <c r="CE819" s="1035"/>
      <c r="CF819" s="1049"/>
      <c r="CG819" s="1043"/>
      <c r="CH819" s="1046"/>
      <c r="CI819" s="1167"/>
      <c r="CJ819" s="1168"/>
      <c r="CK819" s="1169"/>
      <c r="CL819" s="1169"/>
      <c r="CM819" s="1166"/>
      <c r="CN819" s="1169"/>
      <c r="CO819" s="1169"/>
      <c r="CP819" s="452"/>
      <c r="CQ819" s="435"/>
      <c r="CR819" s="1117"/>
      <c r="CS819" s="452"/>
      <c r="CT819" s="482"/>
      <c r="CU819" s="476"/>
      <c r="CV819" s="431"/>
      <c r="CW819" s="1108"/>
      <c r="CX819" s="1108"/>
      <c r="CY819" s="483"/>
      <c r="CZ819" s="437"/>
      <c r="DA819" s="438"/>
      <c r="DB819" s="439"/>
      <c r="DC819" s="439"/>
      <c r="DD819" s="443"/>
      <c r="DE819" s="411"/>
      <c r="DF819" s="411"/>
      <c r="DG819" s="1117"/>
      <c r="DH819" s="1117"/>
      <c r="DI819" s="1117"/>
      <c r="DJ819" s="442"/>
      <c r="DK819" s="482"/>
      <c r="DL819" s="1038"/>
      <c r="DM819" s="1035"/>
      <c r="DN819" s="1035"/>
      <c r="DO819" s="1035"/>
      <c r="DP819" s="1046"/>
      <c r="DQ819" s="1167"/>
      <c r="DR819" s="1168"/>
      <c r="DS819" s="1165"/>
      <c r="DT819" s="1165"/>
      <c r="DU819" s="1165"/>
      <c r="DV819" s="1031"/>
      <c r="DW819" s="1098">
        <f t="shared" si="1172"/>
        <v>0</v>
      </c>
      <c r="DX819" s="1098">
        <f t="shared" si="1173"/>
        <v>0</v>
      </c>
      <c r="DY819" s="1030"/>
      <c r="DZ819" s="1030"/>
      <c r="EA819" s="1031"/>
      <c r="EB819" s="1050"/>
      <c r="EC819" s="1038"/>
      <c r="ED819" s="1035"/>
      <c r="EE819" s="1046"/>
      <c r="EF819" s="1169"/>
      <c r="EG819" s="1168"/>
      <c r="EH819" s="1165"/>
      <c r="EI819" s="1165"/>
      <c r="EJ819" s="1165"/>
      <c r="EK819" s="1031"/>
      <c r="EL819" s="1098">
        <f t="shared" si="1174"/>
        <v>0</v>
      </c>
      <c r="EM819" s="1098">
        <f t="shared" si="1175"/>
        <v>0</v>
      </c>
      <c r="EN819" s="1030"/>
      <c r="EO819" s="1030"/>
      <c r="EP819" s="1031"/>
      <c r="EQ819" s="1050"/>
      <c r="ER819" s="1038"/>
      <c r="ES819" s="1035"/>
      <c r="ET819" s="1051"/>
    </row>
    <row r="820" spans="2:150" ht="16.5" customHeight="1">
      <c r="B820" s="1024"/>
      <c r="C820" s="1025"/>
      <c r="D820" s="408">
        <v>817</v>
      </c>
      <c r="E820" s="1164"/>
      <c r="F820" s="1164"/>
      <c r="G820" s="1026"/>
      <c r="H820" s="411" t="str">
        <f>IFERROR(INDEX(绊状态确认!C:C,MATCH($G820,绊状态确认!$B:$B,)),"")</f>
        <v/>
      </c>
      <c r="I820" s="450" t="str">
        <f>IFERROR(INDEX(绊状态确认!D:D,MATCH($G820,绊状态确认!$B:$B,)),"")</f>
        <v/>
      </c>
      <c r="J820" s="450" t="str">
        <f>IFERROR(INDEX(绊状态确认!E:E,MATCH($G820,绊状态确认!$B:$B,)),"")</f>
        <v/>
      </c>
      <c r="K820" s="451" t="str">
        <f>IFERROR(INDEX(绊状态确认!F:F,MATCH($G820,绊状态确认!$B:$B,)),"")</f>
        <v/>
      </c>
      <c r="L820" s="1026"/>
      <c r="M820" s="1165"/>
      <c r="N820" s="1027"/>
      <c r="O820" s="1026"/>
      <c r="P820" s="1028"/>
      <c r="Q820" s="1029"/>
      <c r="R820" s="1166"/>
      <c r="S820" s="1030"/>
      <c r="T820" s="1031"/>
      <c r="U820" s="1032"/>
      <c r="V820" s="1033"/>
      <c r="W820" s="1034"/>
      <c r="X820" s="1166"/>
      <c r="Y820" s="1035"/>
      <c r="Z820" s="1036"/>
      <c r="AA820" s="1037"/>
      <c r="AB820" s="1038"/>
      <c r="AC820" s="1039"/>
      <c r="AD820" s="1040"/>
      <c r="AE820" s="1041"/>
      <c r="AF820" s="521"/>
      <c r="AG820" s="420"/>
      <c r="AH820" s="420"/>
      <c r="AI820" s="420"/>
      <c r="AJ820" s="420"/>
      <c r="AK820" s="518"/>
      <c r="AL820" s="1042"/>
      <c r="AM820" s="1035"/>
      <c r="AN820" s="1043"/>
      <c r="AO820" s="1167"/>
      <c r="AP820" s="1044"/>
      <c r="AQ820" s="1035"/>
      <c r="AR820" s="1035"/>
      <c r="AS820" s="1035"/>
      <c r="AT820" s="1165"/>
      <c r="AU820" s="1031"/>
      <c r="AV820" s="1045"/>
      <c r="AW820" s="1038"/>
      <c r="AX820" s="1035"/>
      <c r="AY820" s="483"/>
      <c r="AZ820" s="429"/>
      <c r="BA820" s="431"/>
      <c r="BB820" s="1035"/>
      <c r="BC820" s="1035"/>
      <c r="BD820" s="481"/>
      <c r="BE820" s="432"/>
      <c r="BF820" s="646"/>
      <c r="BG820" s="1047"/>
      <c r="BH820" s="1046"/>
      <c r="BI820" s="1048"/>
      <c r="BJ820" s="1030"/>
      <c r="BK820" s="1046"/>
      <c r="BL820" s="1048"/>
      <c r="BM820" s="1046"/>
      <c r="BN820" s="1167"/>
      <c r="BO820" s="1035"/>
      <c r="BP820" s="1043"/>
      <c r="BQ820" s="1167"/>
      <c r="BR820" s="1165"/>
      <c r="BS820" s="1031"/>
      <c r="BT820" s="1038"/>
      <c r="BU820" s="1035"/>
      <c r="BV820" s="1035"/>
      <c r="BW820" s="1049"/>
      <c r="BX820" s="1043"/>
      <c r="BY820" s="1046"/>
      <c r="BZ820" s="1167"/>
      <c r="CA820" s="1165"/>
      <c r="CB820" s="1031"/>
      <c r="CC820" s="1038"/>
      <c r="CD820" s="1035"/>
      <c r="CE820" s="1035"/>
      <c r="CF820" s="1049"/>
      <c r="CG820" s="1043"/>
      <c r="CH820" s="1046"/>
      <c r="CI820" s="1167"/>
      <c r="CJ820" s="1168"/>
      <c r="CK820" s="1169"/>
      <c r="CL820" s="1169"/>
      <c r="CM820" s="1166"/>
      <c r="CN820" s="1169"/>
      <c r="CO820" s="1169"/>
      <c r="CP820" s="452"/>
      <c r="CQ820" s="435"/>
      <c r="CR820" s="1117"/>
      <c r="CS820" s="452"/>
      <c r="CT820" s="482"/>
      <c r="CU820" s="476"/>
      <c r="CV820" s="431"/>
      <c r="CW820" s="1108"/>
      <c r="CX820" s="1108"/>
      <c r="CY820" s="483"/>
      <c r="CZ820" s="437"/>
      <c r="DA820" s="438"/>
      <c r="DB820" s="439"/>
      <c r="DC820" s="439"/>
      <c r="DD820" s="443"/>
      <c r="DE820" s="411"/>
      <c r="DF820" s="411"/>
      <c r="DG820" s="1117"/>
      <c r="DH820" s="1117"/>
      <c r="DI820" s="1117"/>
      <c r="DJ820" s="442"/>
      <c r="DK820" s="482"/>
      <c r="DL820" s="1038"/>
      <c r="DM820" s="1035"/>
      <c r="DN820" s="1035"/>
      <c r="DO820" s="1035"/>
      <c r="DP820" s="1046"/>
      <c r="DQ820" s="1167"/>
      <c r="DR820" s="1168"/>
      <c r="DS820" s="1165"/>
      <c r="DT820" s="1165"/>
      <c r="DU820" s="1165"/>
      <c r="DV820" s="1031"/>
      <c r="DW820" s="1098">
        <f t="shared" si="1172"/>
        <v>0</v>
      </c>
      <c r="DX820" s="1098">
        <f t="shared" si="1173"/>
        <v>0</v>
      </c>
      <c r="DY820" s="1030"/>
      <c r="DZ820" s="1030"/>
      <c r="EA820" s="1031"/>
      <c r="EB820" s="1050"/>
      <c r="EC820" s="1038"/>
      <c r="ED820" s="1035"/>
      <c r="EE820" s="1046"/>
      <c r="EF820" s="1169"/>
      <c r="EG820" s="1168"/>
      <c r="EH820" s="1165"/>
      <c r="EI820" s="1165"/>
      <c r="EJ820" s="1165"/>
      <c r="EK820" s="1031"/>
      <c r="EL820" s="1098">
        <f t="shared" si="1174"/>
        <v>0</v>
      </c>
      <c r="EM820" s="1098">
        <f t="shared" si="1175"/>
        <v>0</v>
      </c>
      <c r="EN820" s="1030"/>
      <c r="EO820" s="1030"/>
      <c r="EP820" s="1031"/>
      <c r="EQ820" s="1050"/>
      <c r="ER820" s="1038"/>
      <c r="ES820" s="1035"/>
      <c r="ET820" s="1051"/>
    </row>
    <row r="821" spans="2:150" ht="16.5" customHeight="1">
      <c r="B821" s="1024"/>
      <c r="C821" s="1025"/>
      <c r="D821" s="408">
        <v>818</v>
      </c>
      <c r="E821" s="1164"/>
      <c r="F821" s="1164"/>
      <c r="G821" s="1026"/>
      <c r="H821" s="411" t="str">
        <f>IFERROR(INDEX(绊状态确认!C:C,MATCH($G821,绊状态确认!$B:$B,)),"")</f>
        <v/>
      </c>
      <c r="I821" s="450" t="str">
        <f>IFERROR(INDEX(绊状态确认!D:D,MATCH($G821,绊状态确认!$B:$B,)),"")</f>
        <v/>
      </c>
      <c r="J821" s="450" t="str">
        <f>IFERROR(INDEX(绊状态确认!E:E,MATCH($G821,绊状态确认!$B:$B,)),"")</f>
        <v/>
      </c>
      <c r="K821" s="451" t="str">
        <f>IFERROR(INDEX(绊状态确认!F:F,MATCH($G821,绊状态确认!$B:$B,)),"")</f>
        <v/>
      </c>
      <c r="L821" s="1026"/>
      <c r="M821" s="1165"/>
      <c r="N821" s="1027"/>
      <c r="O821" s="1026"/>
      <c r="P821" s="1028"/>
      <c r="Q821" s="1029"/>
      <c r="R821" s="1166"/>
      <c r="S821" s="1030"/>
      <c r="T821" s="1031"/>
      <c r="U821" s="1032"/>
      <c r="V821" s="1033"/>
      <c r="W821" s="1034"/>
      <c r="X821" s="1166"/>
      <c r="Y821" s="1035"/>
      <c r="Z821" s="1036"/>
      <c r="AA821" s="1037"/>
      <c r="AB821" s="1038"/>
      <c r="AC821" s="1039"/>
      <c r="AD821" s="1040"/>
      <c r="AE821" s="1041"/>
      <c r="AF821" s="521"/>
      <c r="AG821" s="420"/>
      <c r="AH821" s="420"/>
      <c r="AI821" s="420"/>
      <c r="AJ821" s="420"/>
      <c r="AK821" s="518"/>
      <c r="AL821" s="1042"/>
      <c r="AM821" s="1035"/>
      <c r="AN821" s="1043"/>
      <c r="AO821" s="1167"/>
      <c r="AP821" s="1044"/>
      <c r="AQ821" s="1035"/>
      <c r="AR821" s="1035"/>
      <c r="AS821" s="1035"/>
      <c r="AT821" s="1165"/>
      <c r="AU821" s="1031"/>
      <c r="AV821" s="1045"/>
      <c r="AW821" s="1038"/>
      <c r="AX821" s="1035"/>
      <c r="AY821" s="483"/>
      <c r="AZ821" s="429"/>
      <c r="BA821" s="431"/>
      <c r="BB821" s="1035"/>
      <c r="BC821" s="1035"/>
      <c r="BD821" s="481"/>
      <c r="BE821" s="432"/>
      <c r="BF821" s="646"/>
      <c r="BG821" s="1047"/>
      <c r="BH821" s="1046"/>
      <c r="BI821" s="1048"/>
      <c r="BJ821" s="1030"/>
      <c r="BK821" s="1046"/>
      <c r="BL821" s="1048"/>
      <c r="BM821" s="1046"/>
      <c r="BN821" s="1167"/>
      <c r="BO821" s="1035"/>
      <c r="BP821" s="1043"/>
      <c r="BQ821" s="1167"/>
      <c r="BR821" s="1165"/>
      <c r="BS821" s="1031"/>
      <c r="BT821" s="1038"/>
      <c r="BU821" s="1035"/>
      <c r="BV821" s="1035"/>
      <c r="BW821" s="1049"/>
      <c r="BX821" s="1043"/>
      <c r="BY821" s="1046"/>
      <c r="BZ821" s="1167"/>
      <c r="CA821" s="1165"/>
      <c r="CB821" s="1031"/>
      <c r="CC821" s="1038"/>
      <c r="CD821" s="1035"/>
      <c r="CE821" s="1035"/>
      <c r="CF821" s="1049"/>
      <c r="CG821" s="1043"/>
      <c r="CH821" s="1046"/>
      <c r="CI821" s="1167"/>
      <c r="CJ821" s="1168"/>
      <c r="CK821" s="1169"/>
      <c r="CL821" s="1169"/>
      <c r="CM821" s="1166"/>
      <c r="CN821" s="1169"/>
      <c r="CO821" s="1169"/>
      <c r="CP821" s="452"/>
      <c r="CQ821" s="435"/>
      <c r="CR821" s="441"/>
      <c r="CS821" s="452"/>
      <c r="CT821" s="482"/>
      <c r="CU821" s="476"/>
      <c r="CV821" s="431"/>
      <c r="CW821" s="1108"/>
      <c r="CX821" s="1108"/>
      <c r="CY821" s="483"/>
      <c r="CZ821" s="437"/>
      <c r="DA821" s="438"/>
      <c r="DB821" s="439"/>
      <c r="DC821" s="439"/>
      <c r="DD821" s="443"/>
      <c r="DE821" s="411"/>
      <c r="DF821" s="411"/>
      <c r="DG821" s="1117"/>
      <c r="DH821" s="1117"/>
      <c r="DI821" s="1117"/>
      <c r="DJ821" s="442"/>
      <c r="DK821" s="482"/>
      <c r="DL821" s="1038"/>
      <c r="DM821" s="1035"/>
      <c r="DN821" s="1035"/>
      <c r="DO821" s="1035"/>
      <c r="DP821" s="1046"/>
      <c r="DQ821" s="1167"/>
      <c r="DR821" s="1168"/>
      <c r="DS821" s="1165"/>
      <c r="DT821" s="1165"/>
      <c r="DU821" s="1165"/>
      <c r="DV821" s="1031"/>
      <c r="DW821" s="1098">
        <f t="shared" si="1172"/>
        <v>0</v>
      </c>
      <c r="DX821" s="1098">
        <f t="shared" si="1173"/>
        <v>0</v>
      </c>
      <c r="DY821" s="1030"/>
      <c r="DZ821" s="1030"/>
      <c r="EA821" s="1031"/>
      <c r="EB821" s="1050"/>
      <c r="EC821" s="1038"/>
      <c r="ED821" s="1035"/>
      <c r="EE821" s="1046"/>
      <c r="EF821" s="1169"/>
      <c r="EG821" s="1168"/>
      <c r="EH821" s="1165"/>
      <c r="EI821" s="1165"/>
      <c r="EJ821" s="1165"/>
      <c r="EK821" s="1031"/>
      <c r="EL821" s="1098">
        <f t="shared" si="1174"/>
        <v>0</v>
      </c>
      <c r="EM821" s="1098">
        <f t="shared" si="1175"/>
        <v>0</v>
      </c>
      <c r="EN821" s="1030"/>
      <c r="EO821" s="1030"/>
      <c r="EP821" s="1031"/>
      <c r="EQ821" s="1050"/>
      <c r="ER821" s="1038"/>
      <c r="ES821" s="1035"/>
      <c r="ET821" s="1051"/>
    </row>
    <row r="822" spans="2:150" ht="16.5" customHeight="1">
      <c r="B822" s="1024"/>
      <c r="C822" s="1025"/>
      <c r="D822" s="408">
        <v>819</v>
      </c>
      <c r="E822" s="1164"/>
      <c r="F822" s="1164"/>
      <c r="G822" s="1026"/>
      <c r="H822" s="411" t="str">
        <f>IFERROR(INDEX(绊状态确认!C:C,MATCH($G822,绊状态确认!$B:$B,)),"")</f>
        <v/>
      </c>
      <c r="I822" s="450" t="str">
        <f>IFERROR(INDEX(绊状态确认!D:D,MATCH($G822,绊状态确认!$B:$B,)),"")</f>
        <v/>
      </c>
      <c r="J822" s="450" t="str">
        <f>IFERROR(INDEX(绊状态确认!E:E,MATCH($G822,绊状态确认!$B:$B,)),"")</f>
        <v/>
      </c>
      <c r="K822" s="451" t="str">
        <f>IFERROR(INDEX(绊状态确认!F:F,MATCH($G822,绊状态确认!$B:$B,)),"")</f>
        <v/>
      </c>
      <c r="L822" s="1026"/>
      <c r="M822" s="1165"/>
      <c r="N822" s="1027"/>
      <c r="O822" s="1026"/>
      <c r="P822" s="1028"/>
      <c r="Q822" s="1029"/>
      <c r="R822" s="1166"/>
      <c r="S822" s="1030"/>
      <c r="T822" s="1031"/>
      <c r="U822" s="1032"/>
      <c r="V822" s="1033"/>
      <c r="W822" s="1034"/>
      <c r="X822" s="1166"/>
      <c r="Y822" s="1035"/>
      <c r="Z822" s="1036"/>
      <c r="AA822" s="1037"/>
      <c r="AB822" s="1038"/>
      <c r="AC822" s="1039"/>
      <c r="AD822" s="1040"/>
      <c r="AE822" s="1041"/>
      <c r="AF822" s="521"/>
      <c r="AG822" s="420"/>
      <c r="AH822" s="420"/>
      <c r="AI822" s="420"/>
      <c r="AJ822" s="420"/>
      <c r="AK822" s="518"/>
      <c r="AL822" s="1042"/>
      <c r="AM822" s="1035"/>
      <c r="AN822" s="1043"/>
      <c r="AO822" s="1167"/>
      <c r="AP822" s="1044"/>
      <c r="AQ822" s="1035"/>
      <c r="AR822" s="1035"/>
      <c r="AS822" s="1035"/>
      <c r="AT822" s="1165"/>
      <c r="AU822" s="1031"/>
      <c r="AV822" s="1045"/>
      <c r="AW822" s="1038"/>
      <c r="AX822" s="1035"/>
      <c r="AY822" s="483"/>
      <c r="AZ822" s="429"/>
      <c r="BA822" s="431"/>
      <c r="BB822" s="1035"/>
      <c r="BC822" s="1035"/>
      <c r="BD822" s="481"/>
      <c r="BE822" s="432"/>
      <c r="BF822" s="646"/>
      <c r="BG822" s="1047"/>
      <c r="BH822" s="1046"/>
      <c r="BI822" s="1048"/>
      <c r="BJ822" s="1030"/>
      <c r="BK822" s="1046"/>
      <c r="BL822" s="1048"/>
      <c r="BM822" s="1046"/>
      <c r="BN822" s="1167"/>
      <c r="BO822" s="1035"/>
      <c r="BP822" s="1043"/>
      <c r="BQ822" s="1167"/>
      <c r="BR822" s="1165"/>
      <c r="BS822" s="1031"/>
      <c r="BT822" s="1038"/>
      <c r="BU822" s="1035"/>
      <c r="BV822" s="1035"/>
      <c r="BW822" s="1049"/>
      <c r="BX822" s="1043"/>
      <c r="BY822" s="1046"/>
      <c r="BZ822" s="1167"/>
      <c r="CA822" s="1165"/>
      <c r="CB822" s="1031"/>
      <c r="CC822" s="1038"/>
      <c r="CD822" s="1035"/>
      <c r="CE822" s="1035"/>
      <c r="CF822" s="1049"/>
      <c r="CG822" s="1043"/>
      <c r="CH822" s="1046"/>
      <c r="CI822" s="1167"/>
      <c r="CJ822" s="1168"/>
      <c r="CK822" s="1169"/>
      <c r="CL822" s="1169"/>
      <c r="CM822" s="1166"/>
      <c r="CN822" s="1169"/>
      <c r="CO822" s="1169"/>
      <c r="CP822" s="452"/>
      <c r="CQ822" s="435"/>
      <c r="CR822" s="441"/>
      <c r="CS822" s="452"/>
      <c r="CT822" s="482"/>
      <c r="CU822" s="476"/>
      <c r="CV822" s="431"/>
      <c r="CW822" s="1108"/>
      <c r="CX822" s="1108"/>
      <c r="CY822" s="483"/>
      <c r="CZ822" s="437"/>
      <c r="DA822" s="438"/>
      <c r="DB822" s="439"/>
      <c r="DC822" s="439"/>
      <c r="DD822" s="443"/>
      <c r="DE822" s="411"/>
      <c r="DF822" s="411"/>
      <c r="DG822" s="1117"/>
      <c r="DH822" s="1117"/>
      <c r="DI822" s="1117"/>
      <c r="DJ822" s="442"/>
      <c r="DK822" s="482"/>
      <c r="DL822" s="1038"/>
      <c r="DM822" s="1035"/>
      <c r="DN822" s="1035"/>
      <c r="DO822" s="1035"/>
      <c r="DP822" s="1046"/>
      <c r="DQ822" s="1167"/>
      <c r="DR822" s="1168"/>
      <c r="DS822" s="1165"/>
      <c r="DT822" s="1165"/>
      <c r="DU822" s="1165"/>
      <c r="DV822" s="1031"/>
      <c r="DW822" s="1098">
        <f t="shared" si="1172"/>
        <v>0</v>
      </c>
      <c r="DX822" s="1098">
        <f t="shared" si="1173"/>
        <v>0</v>
      </c>
      <c r="DY822" s="1030"/>
      <c r="DZ822" s="1030"/>
      <c r="EA822" s="1031"/>
      <c r="EB822" s="1050"/>
      <c r="EC822" s="1038"/>
      <c r="ED822" s="1035"/>
      <c r="EE822" s="1046"/>
      <c r="EF822" s="1169"/>
      <c r="EG822" s="1168"/>
      <c r="EH822" s="1165"/>
      <c r="EI822" s="1165"/>
      <c r="EJ822" s="1165"/>
      <c r="EK822" s="1031"/>
      <c r="EL822" s="1098">
        <f t="shared" si="1174"/>
        <v>0</v>
      </c>
      <c r="EM822" s="1098">
        <f t="shared" si="1175"/>
        <v>0</v>
      </c>
      <c r="EN822" s="1030"/>
      <c r="EO822" s="1030"/>
      <c r="EP822" s="1031"/>
      <c r="EQ822" s="1050"/>
      <c r="ER822" s="1038"/>
      <c r="ES822" s="1035"/>
      <c r="ET822" s="1051"/>
    </row>
    <row r="823" spans="2:150" ht="16.5" customHeight="1">
      <c r="B823" s="1024"/>
      <c r="C823" s="1025"/>
      <c r="D823" s="408">
        <v>820</v>
      </c>
      <c r="E823" s="1164"/>
      <c r="F823" s="1164"/>
      <c r="G823" s="1026"/>
      <c r="H823" s="411" t="str">
        <f>IFERROR(INDEX(绊状态确认!C:C,MATCH($G823,绊状态确认!$B:$B,)),"")</f>
        <v/>
      </c>
      <c r="I823" s="450" t="str">
        <f>IFERROR(INDEX(绊状态确认!D:D,MATCH($G823,绊状态确认!$B:$B,)),"")</f>
        <v/>
      </c>
      <c r="J823" s="450" t="str">
        <f>IFERROR(INDEX(绊状态确认!E:E,MATCH($G823,绊状态确认!$B:$B,)),"")</f>
        <v/>
      </c>
      <c r="K823" s="451" t="str">
        <f>IFERROR(INDEX(绊状态确认!F:F,MATCH($G823,绊状态确认!$B:$B,)),"")</f>
        <v/>
      </c>
      <c r="L823" s="1026"/>
      <c r="M823" s="1165"/>
      <c r="N823" s="1027"/>
      <c r="O823" s="1026"/>
      <c r="P823" s="1028"/>
      <c r="Q823" s="1029"/>
      <c r="R823" s="1166"/>
      <c r="S823" s="1030"/>
      <c r="T823" s="1031"/>
      <c r="U823" s="1032"/>
      <c r="V823" s="1033"/>
      <c r="W823" s="1034"/>
      <c r="X823" s="1166"/>
      <c r="Y823" s="1035"/>
      <c r="Z823" s="1036"/>
      <c r="AA823" s="1037"/>
      <c r="AB823" s="1038"/>
      <c r="AC823" s="1039"/>
      <c r="AD823" s="1040"/>
      <c r="AE823" s="1041"/>
      <c r="AF823" s="521"/>
      <c r="AG823" s="420"/>
      <c r="AH823" s="420"/>
      <c r="AI823" s="420"/>
      <c r="AJ823" s="420"/>
      <c r="AK823" s="518"/>
      <c r="AL823" s="1042"/>
      <c r="AM823" s="1035"/>
      <c r="AN823" s="1043"/>
      <c r="AO823" s="1167"/>
      <c r="AP823" s="1044"/>
      <c r="AQ823" s="1035"/>
      <c r="AR823" s="1035"/>
      <c r="AS823" s="1035"/>
      <c r="AT823" s="1165"/>
      <c r="AU823" s="1031"/>
      <c r="AV823" s="1045"/>
      <c r="AW823" s="1038"/>
      <c r="AX823" s="1035"/>
      <c r="AY823" s="483"/>
      <c r="AZ823" s="429"/>
      <c r="BA823" s="431"/>
      <c r="BB823" s="1035"/>
      <c r="BC823" s="1035"/>
      <c r="BD823" s="481"/>
      <c r="BE823" s="432"/>
      <c r="BF823" s="646"/>
      <c r="BG823" s="1047"/>
      <c r="BH823" s="1046"/>
      <c r="BI823" s="1048"/>
      <c r="BJ823" s="1030"/>
      <c r="BK823" s="1046"/>
      <c r="BL823" s="1048"/>
      <c r="BM823" s="1046"/>
      <c r="BN823" s="1167"/>
      <c r="BO823" s="1035"/>
      <c r="BP823" s="1043"/>
      <c r="BQ823" s="1167"/>
      <c r="BR823" s="1165"/>
      <c r="BS823" s="1031"/>
      <c r="BT823" s="1038"/>
      <c r="BU823" s="1035"/>
      <c r="BV823" s="1035"/>
      <c r="BW823" s="1049"/>
      <c r="BX823" s="1043"/>
      <c r="BY823" s="1046"/>
      <c r="BZ823" s="1167"/>
      <c r="CA823" s="1165"/>
      <c r="CB823" s="1031"/>
      <c r="CC823" s="1038"/>
      <c r="CD823" s="1035"/>
      <c r="CE823" s="1035"/>
      <c r="CF823" s="1049"/>
      <c r="CG823" s="1043"/>
      <c r="CH823" s="1046"/>
      <c r="CI823" s="1167"/>
      <c r="CJ823" s="1168"/>
      <c r="CK823" s="1169"/>
      <c r="CL823" s="1169"/>
      <c r="CM823" s="1166"/>
      <c r="CN823" s="1169"/>
      <c r="CO823" s="1169"/>
      <c r="CP823" s="452"/>
      <c r="CQ823" s="435"/>
      <c r="CR823" s="1117"/>
      <c r="CS823" s="452"/>
      <c r="CT823" s="482"/>
      <c r="CU823" s="476"/>
      <c r="CV823" s="431"/>
      <c r="CW823" s="1108"/>
      <c r="CX823" s="1108"/>
      <c r="CY823" s="483"/>
      <c r="CZ823" s="437"/>
      <c r="DA823" s="438"/>
      <c r="DB823" s="439"/>
      <c r="DC823" s="439"/>
      <c r="DD823" s="443"/>
      <c r="DE823" s="411"/>
      <c r="DF823" s="411"/>
      <c r="DG823" s="1117"/>
      <c r="DH823" s="1117"/>
      <c r="DI823" s="1117"/>
      <c r="DJ823" s="442"/>
      <c r="DK823" s="482"/>
      <c r="DL823" s="1038"/>
      <c r="DM823" s="1035"/>
      <c r="DN823" s="1035"/>
      <c r="DO823" s="1035"/>
      <c r="DP823" s="1046"/>
      <c r="DQ823" s="1167"/>
      <c r="DR823" s="1168"/>
      <c r="DS823" s="1165"/>
      <c r="DT823" s="1165"/>
      <c r="DU823" s="1165"/>
      <c r="DV823" s="1031"/>
      <c r="DW823" s="1098">
        <f t="shared" si="1172"/>
        <v>0</v>
      </c>
      <c r="DX823" s="1098">
        <f t="shared" si="1173"/>
        <v>0</v>
      </c>
      <c r="DY823" s="1030"/>
      <c r="DZ823" s="1030"/>
      <c r="EA823" s="1031"/>
      <c r="EB823" s="1050"/>
      <c r="EC823" s="1038"/>
      <c r="ED823" s="1035"/>
      <c r="EE823" s="1046"/>
      <c r="EF823" s="1169"/>
      <c r="EG823" s="1168"/>
      <c r="EH823" s="1165"/>
      <c r="EI823" s="1165"/>
      <c r="EJ823" s="1165"/>
      <c r="EK823" s="1031"/>
      <c r="EL823" s="1098">
        <f t="shared" si="1174"/>
        <v>0</v>
      </c>
      <c r="EM823" s="1098">
        <f t="shared" si="1175"/>
        <v>0</v>
      </c>
      <c r="EN823" s="1030"/>
      <c r="EO823" s="1030"/>
      <c r="EP823" s="1031"/>
      <c r="EQ823" s="1050"/>
      <c r="ER823" s="1038"/>
      <c r="ES823" s="1035"/>
      <c r="ET823" s="1051"/>
    </row>
    <row r="824" spans="2:150" ht="16.5" customHeight="1">
      <c r="B824" s="1024"/>
      <c r="C824" s="1025"/>
      <c r="D824" s="408">
        <v>821</v>
      </c>
      <c r="E824" s="1164"/>
      <c r="F824" s="1164"/>
      <c r="G824" s="1026"/>
      <c r="H824" s="411" t="str">
        <f>IFERROR(INDEX(绊状态确认!C:C,MATCH($G824,绊状态确认!$B:$B,)),"")</f>
        <v/>
      </c>
      <c r="I824" s="450" t="str">
        <f>IFERROR(INDEX(绊状态确认!D:D,MATCH($G824,绊状态确认!$B:$B,)),"")</f>
        <v/>
      </c>
      <c r="J824" s="450" t="str">
        <f>IFERROR(INDEX(绊状态确认!E:E,MATCH($G824,绊状态确认!$B:$B,)),"")</f>
        <v/>
      </c>
      <c r="K824" s="451" t="str">
        <f>IFERROR(INDEX(绊状态确认!F:F,MATCH($G824,绊状态确认!$B:$B,)),"")</f>
        <v/>
      </c>
      <c r="L824" s="1026"/>
      <c r="M824" s="1165"/>
      <c r="N824" s="1027"/>
      <c r="O824" s="1026"/>
      <c r="P824" s="1028"/>
      <c r="Q824" s="1029"/>
      <c r="R824" s="1166"/>
      <c r="S824" s="1030"/>
      <c r="T824" s="1031"/>
      <c r="U824" s="1032"/>
      <c r="V824" s="1033"/>
      <c r="W824" s="1034"/>
      <c r="X824" s="1166"/>
      <c r="Y824" s="1035"/>
      <c r="Z824" s="1036"/>
      <c r="AA824" s="1037"/>
      <c r="AB824" s="1038"/>
      <c r="AC824" s="1039"/>
      <c r="AD824" s="1040"/>
      <c r="AE824" s="1041"/>
      <c r="AF824" s="521"/>
      <c r="AG824" s="420"/>
      <c r="AH824" s="420"/>
      <c r="AI824" s="420"/>
      <c r="AJ824" s="420"/>
      <c r="AK824" s="518"/>
      <c r="AL824" s="1042"/>
      <c r="AM824" s="1035"/>
      <c r="AN824" s="1043"/>
      <c r="AO824" s="1167"/>
      <c r="AP824" s="1044"/>
      <c r="AQ824" s="1035"/>
      <c r="AR824" s="1035"/>
      <c r="AS824" s="1035"/>
      <c r="AT824" s="1165"/>
      <c r="AU824" s="1031"/>
      <c r="AV824" s="1045"/>
      <c r="AW824" s="1038"/>
      <c r="AX824" s="1035"/>
      <c r="AY824" s="483"/>
      <c r="AZ824" s="429"/>
      <c r="BA824" s="431"/>
      <c r="BB824" s="1035"/>
      <c r="BC824" s="1035"/>
      <c r="BD824" s="481"/>
      <c r="BE824" s="432"/>
      <c r="BF824" s="646"/>
      <c r="BG824" s="1047"/>
      <c r="BH824" s="1046"/>
      <c r="BI824" s="1048"/>
      <c r="BJ824" s="1030"/>
      <c r="BK824" s="1046"/>
      <c r="BL824" s="1048"/>
      <c r="BM824" s="1046"/>
      <c r="BN824" s="1167"/>
      <c r="BO824" s="1035"/>
      <c r="BP824" s="1043"/>
      <c r="BQ824" s="1167"/>
      <c r="BR824" s="1165"/>
      <c r="BS824" s="1031"/>
      <c r="BT824" s="1038"/>
      <c r="BU824" s="1035"/>
      <c r="BV824" s="1035"/>
      <c r="BW824" s="1049"/>
      <c r="BX824" s="1043"/>
      <c r="BY824" s="1046"/>
      <c r="BZ824" s="1167"/>
      <c r="CA824" s="1165"/>
      <c r="CB824" s="1031"/>
      <c r="CC824" s="1038"/>
      <c r="CD824" s="1035"/>
      <c r="CE824" s="1035"/>
      <c r="CF824" s="1049"/>
      <c r="CG824" s="1043"/>
      <c r="CH824" s="1046"/>
      <c r="CI824" s="1167"/>
      <c r="CJ824" s="1168"/>
      <c r="CK824" s="1169"/>
      <c r="CL824" s="1169"/>
      <c r="CM824" s="1166"/>
      <c r="CN824" s="1169"/>
      <c r="CO824" s="1169"/>
      <c r="CP824" s="452"/>
      <c r="CQ824" s="435"/>
      <c r="CR824" s="1117"/>
      <c r="CS824" s="452"/>
      <c r="CT824" s="482"/>
      <c r="CU824" s="476"/>
      <c r="CV824" s="431"/>
      <c r="CW824" s="1108"/>
      <c r="CX824" s="1108"/>
      <c r="CY824" s="483"/>
      <c r="CZ824" s="437"/>
      <c r="DA824" s="438"/>
      <c r="DB824" s="439"/>
      <c r="DC824" s="439"/>
      <c r="DD824" s="443"/>
      <c r="DE824" s="411"/>
      <c r="DF824" s="411"/>
      <c r="DG824" s="1117"/>
      <c r="DH824" s="1117"/>
      <c r="DI824" s="1117"/>
      <c r="DJ824" s="442"/>
      <c r="DK824" s="482"/>
      <c r="DL824" s="1038"/>
      <c r="DM824" s="1035"/>
      <c r="DN824" s="1035"/>
      <c r="DO824" s="1035"/>
      <c r="DP824" s="1046"/>
      <c r="DQ824" s="1167"/>
      <c r="DR824" s="1168"/>
      <c r="DS824" s="1165"/>
      <c r="DT824" s="1165"/>
      <c r="DU824" s="1165"/>
      <c r="DV824" s="1031"/>
      <c r="DW824" s="1098">
        <f t="shared" si="1172"/>
        <v>0</v>
      </c>
      <c r="DX824" s="1098">
        <f t="shared" si="1173"/>
        <v>0</v>
      </c>
      <c r="DY824" s="1030"/>
      <c r="DZ824" s="1030"/>
      <c r="EA824" s="1031"/>
      <c r="EB824" s="1050"/>
      <c r="EC824" s="1038"/>
      <c r="ED824" s="1035"/>
      <c r="EE824" s="1046"/>
      <c r="EF824" s="1169"/>
      <c r="EG824" s="1168"/>
      <c r="EH824" s="1165"/>
      <c r="EI824" s="1165"/>
      <c r="EJ824" s="1165"/>
      <c r="EK824" s="1031"/>
      <c r="EL824" s="1098">
        <f t="shared" si="1174"/>
        <v>0</v>
      </c>
      <c r="EM824" s="1098">
        <f t="shared" si="1175"/>
        <v>0</v>
      </c>
      <c r="EN824" s="1030"/>
      <c r="EO824" s="1030"/>
      <c r="EP824" s="1031"/>
      <c r="EQ824" s="1050"/>
      <c r="ER824" s="1038"/>
      <c r="ES824" s="1035"/>
      <c r="ET824" s="1051"/>
    </row>
    <row r="825" spans="2:150" ht="16.5" customHeight="1">
      <c r="B825" s="1024"/>
      <c r="C825" s="1025"/>
      <c r="D825" s="408">
        <v>822</v>
      </c>
      <c r="E825" s="1164"/>
      <c r="F825" s="1164"/>
      <c r="G825" s="1026"/>
      <c r="H825" s="411" t="str">
        <f>IFERROR(INDEX(绊状态确认!C:C,MATCH($G825,绊状态确认!$B:$B,)),"")</f>
        <v/>
      </c>
      <c r="I825" s="450" t="str">
        <f>IFERROR(INDEX(绊状态确认!D:D,MATCH($G825,绊状态确认!$B:$B,)),"")</f>
        <v/>
      </c>
      <c r="J825" s="450" t="str">
        <f>IFERROR(INDEX(绊状态确认!E:E,MATCH($G825,绊状态确认!$B:$B,)),"")</f>
        <v/>
      </c>
      <c r="K825" s="451" t="str">
        <f>IFERROR(INDEX(绊状态确认!F:F,MATCH($G825,绊状态确认!$B:$B,)),"")</f>
        <v/>
      </c>
      <c r="L825" s="1026"/>
      <c r="M825" s="1165"/>
      <c r="N825" s="1027"/>
      <c r="O825" s="1026"/>
      <c r="P825" s="1028"/>
      <c r="Q825" s="1029"/>
      <c r="R825" s="1166"/>
      <c r="S825" s="1030"/>
      <c r="T825" s="1031"/>
      <c r="U825" s="1032"/>
      <c r="V825" s="1033"/>
      <c r="W825" s="1034"/>
      <c r="X825" s="1166"/>
      <c r="Y825" s="1035"/>
      <c r="Z825" s="1036"/>
      <c r="AA825" s="1037"/>
      <c r="AB825" s="1038"/>
      <c r="AC825" s="1039"/>
      <c r="AD825" s="1040"/>
      <c r="AE825" s="1041"/>
      <c r="AF825" s="521"/>
      <c r="AG825" s="420"/>
      <c r="AH825" s="420"/>
      <c r="AI825" s="420"/>
      <c r="AJ825" s="420"/>
      <c r="AK825" s="518"/>
      <c r="AL825" s="1042"/>
      <c r="AM825" s="1035"/>
      <c r="AN825" s="1043"/>
      <c r="AO825" s="1167"/>
      <c r="AP825" s="1044"/>
      <c r="AQ825" s="1035"/>
      <c r="AR825" s="1035"/>
      <c r="AS825" s="1035"/>
      <c r="AT825" s="1165"/>
      <c r="AU825" s="1031"/>
      <c r="AV825" s="1045"/>
      <c r="AW825" s="1038"/>
      <c r="AX825" s="1035"/>
      <c r="AY825" s="483"/>
      <c r="AZ825" s="429"/>
      <c r="BA825" s="431"/>
      <c r="BB825" s="1035"/>
      <c r="BC825" s="1035"/>
      <c r="BD825" s="481"/>
      <c r="BE825" s="432"/>
      <c r="BF825" s="646"/>
      <c r="BG825" s="1047"/>
      <c r="BH825" s="1046"/>
      <c r="BI825" s="1048"/>
      <c r="BJ825" s="1030"/>
      <c r="BK825" s="1046"/>
      <c r="BL825" s="1048"/>
      <c r="BM825" s="1046"/>
      <c r="BN825" s="1167"/>
      <c r="BO825" s="1035"/>
      <c r="BP825" s="1043"/>
      <c r="BQ825" s="1167"/>
      <c r="BR825" s="1165"/>
      <c r="BS825" s="1031"/>
      <c r="BT825" s="1038"/>
      <c r="BU825" s="1035"/>
      <c r="BV825" s="1035"/>
      <c r="BW825" s="1049"/>
      <c r="BX825" s="1043"/>
      <c r="BY825" s="1046"/>
      <c r="BZ825" s="1167"/>
      <c r="CA825" s="1165"/>
      <c r="CB825" s="1031"/>
      <c r="CC825" s="1038"/>
      <c r="CD825" s="1035"/>
      <c r="CE825" s="1035"/>
      <c r="CF825" s="1049"/>
      <c r="CG825" s="1043"/>
      <c r="CH825" s="1046"/>
      <c r="CI825" s="1167"/>
      <c r="CJ825" s="1168"/>
      <c r="CK825" s="1169"/>
      <c r="CL825" s="1169"/>
      <c r="CM825" s="1166"/>
      <c r="CN825" s="1169"/>
      <c r="CO825" s="1169"/>
      <c r="CP825" s="452"/>
      <c r="CQ825" s="435"/>
      <c r="CR825" s="1117"/>
      <c r="CS825" s="452"/>
      <c r="CT825" s="482"/>
      <c r="CU825" s="476"/>
      <c r="CV825" s="431"/>
      <c r="CW825" s="1108"/>
      <c r="CX825" s="1108"/>
      <c r="CY825" s="483"/>
      <c r="CZ825" s="437"/>
      <c r="DA825" s="438"/>
      <c r="DB825" s="439"/>
      <c r="DC825" s="439"/>
      <c r="DD825" s="443"/>
      <c r="DE825" s="411"/>
      <c r="DF825" s="411"/>
      <c r="DG825" s="1117"/>
      <c r="DH825" s="1117"/>
      <c r="DI825" s="1117"/>
      <c r="DJ825" s="442"/>
      <c r="DK825" s="482"/>
      <c r="DL825" s="1038"/>
      <c r="DM825" s="1035"/>
      <c r="DN825" s="1035"/>
      <c r="DO825" s="1035"/>
      <c r="DP825" s="1046"/>
      <c r="DQ825" s="1167"/>
      <c r="DR825" s="1168"/>
      <c r="DS825" s="1165"/>
      <c r="DT825" s="1165"/>
      <c r="DU825" s="1165"/>
      <c r="DV825" s="1031"/>
      <c r="DW825" s="1098">
        <f t="shared" si="1172"/>
        <v>0</v>
      </c>
      <c r="DX825" s="1098">
        <f t="shared" si="1173"/>
        <v>0</v>
      </c>
      <c r="DY825" s="1030"/>
      <c r="DZ825" s="1030"/>
      <c r="EA825" s="1031"/>
      <c r="EB825" s="1050"/>
      <c r="EC825" s="1038"/>
      <c r="ED825" s="1035"/>
      <c r="EE825" s="1046"/>
      <c r="EF825" s="1169"/>
      <c r="EG825" s="1168"/>
      <c r="EH825" s="1165"/>
      <c r="EI825" s="1165"/>
      <c r="EJ825" s="1165"/>
      <c r="EK825" s="1031"/>
      <c r="EL825" s="1098">
        <f t="shared" si="1174"/>
        <v>0</v>
      </c>
      <c r="EM825" s="1098">
        <f t="shared" si="1175"/>
        <v>0</v>
      </c>
      <c r="EN825" s="1030"/>
      <c r="EO825" s="1030"/>
      <c r="EP825" s="1031"/>
      <c r="EQ825" s="1050"/>
      <c r="ER825" s="1038"/>
      <c r="ES825" s="1035"/>
      <c r="ET825" s="1051"/>
    </row>
    <row r="826" spans="2:150" ht="16.5" customHeight="1">
      <c r="B826" s="1024"/>
      <c r="C826" s="1025"/>
      <c r="D826" s="408">
        <v>823</v>
      </c>
      <c r="E826" s="1164"/>
      <c r="F826" s="1164"/>
      <c r="G826" s="1026"/>
      <c r="H826" s="411" t="str">
        <f>IFERROR(INDEX(绊状态确认!C:C,MATCH($G826,绊状态确认!$B:$B,)),"")</f>
        <v/>
      </c>
      <c r="I826" s="450" t="str">
        <f>IFERROR(INDEX(绊状态确认!D:D,MATCH($G826,绊状态确认!$B:$B,)),"")</f>
        <v/>
      </c>
      <c r="J826" s="450" t="str">
        <f>IFERROR(INDEX(绊状态确认!E:E,MATCH($G826,绊状态确认!$B:$B,)),"")</f>
        <v/>
      </c>
      <c r="K826" s="451" t="str">
        <f>IFERROR(INDEX(绊状态确认!F:F,MATCH($G826,绊状态确认!$B:$B,)),"")</f>
        <v/>
      </c>
      <c r="L826" s="1026"/>
      <c r="M826" s="1165"/>
      <c r="N826" s="1027"/>
      <c r="O826" s="1026"/>
      <c r="P826" s="1028"/>
      <c r="Q826" s="1029"/>
      <c r="R826" s="1166"/>
      <c r="S826" s="1030"/>
      <c r="T826" s="1031"/>
      <c r="U826" s="1032"/>
      <c r="V826" s="1033"/>
      <c r="W826" s="1034"/>
      <c r="X826" s="1166"/>
      <c r="Y826" s="1035"/>
      <c r="Z826" s="1036"/>
      <c r="AA826" s="1037"/>
      <c r="AB826" s="1038"/>
      <c r="AC826" s="1039"/>
      <c r="AD826" s="1040"/>
      <c r="AE826" s="1041"/>
      <c r="AF826" s="521"/>
      <c r="AG826" s="420"/>
      <c r="AH826" s="420"/>
      <c r="AI826" s="420"/>
      <c r="AJ826" s="420"/>
      <c r="AK826" s="518"/>
      <c r="AL826" s="1042"/>
      <c r="AM826" s="1035"/>
      <c r="AN826" s="1043"/>
      <c r="AO826" s="1167"/>
      <c r="AP826" s="1044"/>
      <c r="AQ826" s="1035"/>
      <c r="AR826" s="1035"/>
      <c r="AS826" s="1035"/>
      <c r="AT826" s="1165"/>
      <c r="AU826" s="1031"/>
      <c r="AV826" s="1045"/>
      <c r="AW826" s="1038"/>
      <c r="AX826" s="1035"/>
      <c r="AY826" s="483"/>
      <c r="AZ826" s="429"/>
      <c r="BA826" s="431"/>
      <c r="BB826" s="1035"/>
      <c r="BC826" s="1035"/>
      <c r="BD826" s="481"/>
      <c r="BE826" s="432"/>
      <c r="BF826" s="646"/>
      <c r="BG826" s="1047"/>
      <c r="BH826" s="1046"/>
      <c r="BI826" s="1048"/>
      <c r="BJ826" s="1030"/>
      <c r="BK826" s="1046"/>
      <c r="BL826" s="1048"/>
      <c r="BM826" s="1046"/>
      <c r="BN826" s="1167"/>
      <c r="BO826" s="1035"/>
      <c r="BP826" s="1043"/>
      <c r="BQ826" s="1167"/>
      <c r="BR826" s="1165"/>
      <c r="BS826" s="1031"/>
      <c r="BT826" s="1038"/>
      <c r="BU826" s="1035"/>
      <c r="BV826" s="1035"/>
      <c r="BW826" s="1049"/>
      <c r="BX826" s="1043"/>
      <c r="BY826" s="1046"/>
      <c r="BZ826" s="1167"/>
      <c r="CA826" s="1165"/>
      <c r="CB826" s="1031"/>
      <c r="CC826" s="1038"/>
      <c r="CD826" s="1035"/>
      <c r="CE826" s="1035"/>
      <c r="CF826" s="1049"/>
      <c r="CG826" s="1043"/>
      <c r="CH826" s="1046"/>
      <c r="CI826" s="1167"/>
      <c r="CJ826" s="1168"/>
      <c r="CK826" s="1169"/>
      <c r="CL826" s="1169"/>
      <c r="CM826" s="1166"/>
      <c r="CN826" s="1169"/>
      <c r="CO826" s="1169"/>
      <c r="CP826" s="452"/>
      <c r="CQ826" s="435"/>
      <c r="CR826" s="1117"/>
      <c r="CS826" s="452"/>
      <c r="CT826" s="482"/>
      <c r="CU826" s="476"/>
      <c r="CV826" s="431"/>
      <c r="CW826" s="1108"/>
      <c r="CX826" s="1108"/>
      <c r="CY826" s="483"/>
      <c r="CZ826" s="437"/>
      <c r="DA826" s="438"/>
      <c r="DB826" s="439"/>
      <c r="DC826" s="439"/>
      <c r="DD826" s="443"/>
      <c r="DE826" s="411"/>
      <c r="DF826" s="411"/>
      <c r="DG826" s="1117"/>
      <c r="DH826" s="1117"/>
      <c r="DI826" s="1117"/>
      <c r="DJ826" s="442"/>
      <c r="DK826" s="482"/>
      <c r="DL826" s="1038"/>
      <c r="DM826" s="1035"/>
      <c r="DN826" s="1035"/>
      <c r="DO826" s="1035"/>
      <c r="DP826" s="1046"/>
      <c r="DQ826" s="1167"/>
      <c r="DR826" s="1168"/>
      <c r="DS826" s="1165"/>
      <c r="DT826" s="1165"/>
      <c r="DU826" s="1165"/>
      <c r="DV826" s="1031"/>
      <c r="DW826" s="1098">
        <f t="shared" si="1172"/>
        <v>0</v>
      </c>
      <c r="DX826" s="1098">
        <f t="shared" si="1173"/>
        <v>0</v>
      </c>
      <c r="DY826" s="1030"/>
      <c r="DZ826" s="1030"/>
      <c r="EA826" s="1031"/>
      <c r="EB826" s="1050"/>
      <c r="EC826" s="1038"/>
      <c r="ED826" s="1035"/>
      <c r="EE826" s="1046"/>
      <c r="EF826" s="1169"/>
      <c r="EG826" s="1168"/>
      <c r="EH826" s="1165"/>
      <c r="EI826" s="1165"/>
      <c r="EJ826" s="1165"/>
      <c r="EK826" s="1031"/>
      <c r="EL826" s="1098">
        <f t="shared" si="1174"/>
        <v>0</v>
      </c>
      <c r="EM826" s="1098">
        <f t="shared" si="1175"/>
        <v>0</v>
      </c>
      <c r="EN826" s="1030"/>
      <c r="EO826" s="1030"/>
      <c r="EP826" s="1031"/>
      <c r="EQ826" s="1050"/>
      <c r="ER826" s="1038"/>
      <c r="ES826" s="1035"/>
      <c r="ET826" s="1051"/>
    </row>
    <row r="827" spans="2:150" ht="16.5" customHeight="1">
      <c r="B827" s="1024"/>
      <c r="C827" s="1025"/>
      <c r="D827" s="408">
        <v>824</v>
      </c>
      <c r="E827" s="1164"/>
      <c r="F827" s="1164"/>
      <c r="G827" s="1026"/>
      <c r="H827" s="411" t="str">
        <f>IFERROR(INDEX(绊状态确认!C:C,MATCH($G827,绊状态确认!$B:$B,)),"")</f>
        <v/>
      </c>
      <c r="I827" s="450" t="str">
        <f>IFERROR(INDEX(绊状态确认!D:D,MATCH($G827,绊状态确认!$B:$B,)),"")</f>
        <v/>
      </c>
      <c r="J827" s="450" t="str">
        <f>IFERROR(INDEX(绊状态确认!E:E,MATCH($G827,绊状态确认!$B:$B,)),"")</f>
        <v/>
      </c>
      <c r="K827" s="451" t="str">
        <f>IFERROR(INDEX(绊状态确认!F:F,MATCH($G827,绊状态确认!$B:$B,)),"")</f>
        <v/>
      </c>
      <c r="L827" s="1026"/>
      <c r="M827" s="1165"/>
      <c r="N827" s="1027"/>
      <c r="O827" s="1026"/>
      <c r="P827" s="1028"/>
      <c r="Q827" s="1029"/>
      <c r="R827" s="1166"/>
      <c r="S827" s="1030"/>
      <c r="T827" s="1031"/>
      <c r="U827" s="1032"/>
      <c r="V827" s="1033"/>
      <c r="W827" s="1034"/>
      <c r="X827" s="1166"/>
      <c r="Y827" s="1035"/>
      <c r="Z827" s="1036"/>
      <c r="AA827" s="1037"/>
      <c r="AB827" s="1038"/>
      <c r="AC827" s="1039"/>
      <c r="AD827" s="1040"/>
      <c r="AE827" s="1041"/>
      <c r="AF827" s="521"/>
      <c r="AG827" s="420"/>
      <c r="AH827" s="420"/>
      <c r="AI827" s="420"/>
      <c r="AJ827" s="420"/>
      <c r="AK827" s="518"/>
      <c r="AL827" s="1042"/>
      <c r="AM827" s="1035"/>
      <c r="AN827" s="1043"/>
      <c r="AO827" s="1167"/>
      <c r="AP827" s="1044"/>
      <c r="AQ827" s="1035"/>
      <c r="AR827" s="1035"/>
      <c r="AS827" s="1035"/>
      <c r="AT827" s="1165"/>
      <c r="AU827" s="1031"/>
      <c r="AV827" s="1045"/>
      <c r="AW827" s="1038"/>
      <c r="AX827" s="1035"/>
      <c r="AY827" s="483"/>
      <c r="AZ827" s="429"/>
      <c r="BA827" s="431"/>
      <c r="BB827" s="1035"/>
      <c r="BC827" s="1035"/>
      <c r="BD827" s="481"/>
      <c r="BE827" s="432"/>
      <c r="BF827" s="646"/>
      <c r="BG827" s="1047"/>
      <c r="BH827" s="1046"/>
      <c r="BI827" s="1048"/>
      <c r="BJ827" s="1030"/>
      <c r="BK827" s="1046"/>
      <c r="BL827" s="1048"/>
      <c r="BM827" s="1046"/>
      <c r="BN827" s="1167"/>
      <c r="BO827" s="1035"/>
      <c r="BP827" s="1043"/>
      <c r="BQ827" s="1167"/>
      <c r="BR827" s="1165"/>
      <c r="BS827" s="1031"/>
      <c r="BT827" s="1038"/>
      <c r="BU827" s="1035"/>
      <c r="BV827" s="1035"/>
      <c r="BW827" s="1049"/>
      <c r="BX827" s="1043"/>
      <c r="BY827" s="1046"/>
      <c r="BZ827" s="1167"/>
      <c r="CA827" s="1165"/>
      <c r="CB827" s="1031"/>
      <c r="CC827" s="1038"/>
      <c r="CD827" s="1035"/>
      <c r="CE827" s="1035"/>
      <c r="CF827" s="1049"/>
      <c r="CG827" s="1043"/>
      <c r="CH827" s="1046"/>
      <c r="CI827" s="1167"/>
      <c r="CJ827" s="1168"/>
      <c r="CK827" s="1169"/>
      <c r="CL827" s="1169"/>
      <c r="CM827" s="1166"/>
      <c r="CN827" s="1169"/>
      <c r="CO827" s="1169"/>
      <c r="CP827" s="452"/>
      <c r="CQ827" s="435"/>
      <c r="CR827" s="1117"/>
      <c r="CS827" s="452"/>
      <c r="CT827" s="482"/>
      <c r="CU827" s="476"/>
      <c r="CV827" s="431"/>
      <c r="CW827" s="1108"/>
      <c r="CX827" s="1108"/>
      <c r="CY827" s="483"/>
      <c r="CZ827" s="437"/>
      <c r="DA827" s="438"/>
      <c r="DB827" s="439"/>
      <c r="DC827" s="439"/>
      <c r="DD827" s="443"/>
      <c r="DE827" s="411"/>
      <c r="DF827" s="411"/>
      <c r="DG827" s="1117"/>
      <c r="DH827" s="1117"/>
      <c r="DI827" s="1117"/>
      <c r="DJ827" s="442"/>
      <c r="DK827" s="482"/>
      <c r="DL827" s="1038"/>
      <c r="DM827" s="1035"/>
      <c r="DN827" s="1035"/>
      <c r="DO827" s="1035"/>
      <c r="DP827" s="1046"/>
      <c r="DQ827" s="1167"/>
      <c r="DR827" s="1168"/>
      <c r="DS827" s="1165"/>
      <c r="DT827" s="1165"/>
      <c r="DU827" s="1165"/>
      <c r="DV827" s="1031"/>
      <c r="DW827" s="1098">
        <f t="shared" si="1172"/>
        <v>0</v>
      </c>
      <c r="DX827" s="1098">
        <f t="shared" si="1173"/>
        <v>0</v>
      </c>
      <c r="DY827" s="1030"/>
      <c r="DZ827" s="1030"/>
      <c r="EA827" s="1031"/>
      <c r="EB827" s="1050"/>
      <c r="EC827" s="1038"/>
      <c r="ED827" s="1035"/>
      <c r="EE827" s="1046"/>
      <c r="EF827" s="1169"/>
      <c r="EG827" s="1168"/>
      <c r="EH827" s="1165"/>
      <c r="EI827" s="1165"/>
      <c r="EJ827" s="1165"/>
      <c r="EK827" s="1031"/>
      <c r="EL827" s="1098">
        <f t="shared" si="1174"/>
        <v>0</v>
      </c>
      <c r="EM827" s="1098">
        <f t="shared" si="1175"/>
        <v>0</v>
      </c>
      <c r="EN827" s="1030"/>
      <c r="EO827" s="1030"/>
      <c r="EP827" s="1031"/>
      <c r="EQ827" s="1050"/>
      <c r="ER827" s="1038"/>
      <c r="ES827" s="1035"/>
      <c r="ET827" s="1051"/>
    </row>
    <row r="828" spans="2:150" ht="16.5" customHeight="1">
      <c r="B828" s="1024"/>
      <c r="C828" s="1025"/>
      <c r="D828" s="408">
        <v>825</v>
      </c>
      <c r="E828" s="1164"/>
      <c r="F828" s="1164"/>
      <c r="G828" s="1026"/>
      <c r="H828" s="411" t="str">
        <f>IFERROR(INDEX(绊状态确认!C:C,MATCH($G828,绊状态确认!$B:$B,)),"")</f>
        <v/>
      </c>
      <c r="I828" s="450" t="str">
        <f>IFERROR(INDEX(绊状态确认!D:D,MATCH($G828,绊状态确认!$B:$B,)),"")</f>
        <v/>
      </c>
      <c r="J828" s="450" t="str">
        <f>IFERROR(INDEX(绊状态确认!E:E,MATCH($G828,绊状态确认!$B:$B,)),"")</f>
        <v/>
      </c>
      <c r="K828" s="451" t="str">
        <f>IFERROR(INDEX(绊状态确认!F:F,MATCH($G828,绊状态确认!$B:$B,)),"")</f>
        <v/>
      </c>
      <c r="L828" s="1026"/>
      <c r="M828" s="1165"/>
      <c r="N828" s="1027"/>
      <c r="O828" s="1026"/>
      <c r="P828" s="1028"/>
      <c r="Q828" s="1029"/>
      <c r="R828" s="1166"/>
      <c r="S828" s="1030"/>
      <c r="T828" s="1031"/>
      <c r="U828" s="1032"/>
      <c r="V828" s="1033"/>
      <c r="W828" s="1034"/>
      <c r="X828" s="1166"/>
      <c r="Y828" s="1035"/>
      <c r="Z828" s="1036"/>
      <c r="AA828" s="1037"/>
      <c r="AB828" s="1038"/>
      <c r="AC828" s="1039"/>
      <c r="AD828" s="1040"/>
      <c r="AE828" s="1041"/>
      <c r="AF828" s="521"/>
      <c r="AG828" s="420"/>
      <c r="AH828" s="420"/>
      <c r="AI828" s="420"/>
      <c r="AJ828" s="420"/>
      <c r="AK828" s="518"/>
      <c r="AL828" s="1042"/>
      <c r="AM828" s="1035"/>
      <c r="AN828" s="1043"/>
      <c r="AO828" s="1167"/>
      <c r="AP828" s="1044"/>
      <c r="AQ828" s="1035"/>
      <c r="AR828" s="1035"/>
      <c r="AS828" s="1035"/>
      <c r="AT828" s="1165"/>
      <c r="AU828" s="1031"/>
      <c r="AV828" s="1045"/>
      <c r="AW828" s="1038"/>
      <c r="AX828" s="1035"/>
      <c r="AY828" s="483"/>
      <c r="AZ828" s="429"/>
      <c r="BA828" s="431"/>
      <c r="BB828" s="1035"/>
      <c r="BC828" s="1035"/>
      <c r="BD828" s="481"/>
      <c r="BE828" s="432"/>
      <c r="BF828" s="646"/>
      <c r="BG828" s="1047"/>
      <c r="BH828" s="1046"/>
      <c r="BI828" s="1048"/>
      <c r="BJ828" s="1030"/>
      <c r="BK828" s="1046"/>
      <c r="BL828" s="1048"/>
      <c r="BM828" s="1046"/>
      <c r="BN828" s="1167"/>
      <c r="BO828" s="1035"/>
      <c r="BP828" s="1043"/>
      <c r="BQ828" s="1167"/>
      <c r="BR828" s="1165"/>
      <c r="BS828" s="1031"/>
      <c r="BT828" s="1038"/>
      <c r="BU828" s="1035"/>
      <c r="BV828" s="1035"/>
      <c r="BW828" s="1049"/>
      <c r="BX828" s="1043"/>
      <c r="BY828" s="1046"/>
      <c r="BZ828" s="1167"/>
      <c r="CA828" s="1165"/>
      <c r="CB828" s="1031"/>
      <c r="CC828" s="1038"/>
      <c r="CD828" s="1035"/>
      <c r="CE828" s="1035"/>
      <c r="CF828" s="1049"/>
      <c r="CG828" s="1043"/>
      <c r="CH828" s="1046"/>
      <c r="CI828" s="1167"/>
      <c r="CJ828" s="1168"/>
      <c r="CK828" s="1169"/>
      <c r="CL828" s="1169"/>
      <c r="CM828" s="1166"/>
      <c r="CN828" s="1169"/>
      <c r="CO828" s="1169"/>
      <c r="CP828" s="452"/>
      <c r="CQ828" s="435"/>
      <c r="CR828" s="441"/>
      <c r="CS828" s="452"/>
      <c r="CT828" s="482"/>
      <c r="CU828" s="476"/>
      <c r="CV828" s="431"/>
      <c r="CW828" s="1108"/>
      <c r="CX828" s="1108"/>
      <c r="CY828" s="483"/>
      <c r="CZ828" s="437"/>
      <c r="DA828" s="438"/>
      <c r="DB828" s="439"/>
      <c r="DC828" s="439"/>
      <c r="DD828" s="443"/>
      <c r="DE828" s="411"/>
      <c r="DF828" s="411"/>
      <c r="DG828" s="1117"/>
      <c r="DH828" s="1117"/>
      <c r="DI828" s="1117"/>
      <c r="DJ828" s="442"/>
      <c r="DK828" s="482"/>
      <c r="DL828" s="1038"/>
      <c r="DM828" s="1035"/>
      <c r="DN828" s="1035"/>
      <c r="DO828" s="1035"/>
      <c r="DP828" s="1046"/>
      <c r="DQ828" s="1167"/>
      <c r="DR828" s="1168"/>
      <c r="DS828" s="1165"/>
      <c r="DT828" s="1165"/>
      <c r="DU828" s="1165"/>
      <c r="DV828" s="1031"/>
      <c r="DW828" s="1098">
        <f t="shared" si="1172"/>
        <v>0</v>
      </c>
      <c r="DX828" s="1098">
        <f t="shared" si="1173"/>
        <v>0</v>
      </c>
      <c r="DY828" s="1030"/>
      <c r="DZ828" s="1030"/>
      <c r="EA828" s="1031"/>
      <c r="EB828" s="1050"/>
      <c r="EC828" s="1038"/>
      <c r="ED828" s="1035"/>
      <c r="EE828" s="1046"/>
      <c r="EF828" s="1169"/>
      <c r="EG828" s="1168"/>
      <c r="EH828" s="1165"/>
      <c r="EI828" s="1165"/>
      <c r="EJ828" s="1165"/>
      <c r="EK828" s="1031"/>
      <c r="EL828" s="1098">
        <f t="shared" si="1174"/>
        <v>0</v>
      </c>
      <c r="EM828" s="1098">
        <f t="shared" si="1175"/>
        <v>0</v>
      </c>
      <c r="EN828" s="1030"/>
      <c r="EO828" s="1030"/>
      <c r="EP828" s="1031"/>
      <c r="EQ828" s="1050"/>
      <c r="ER828" s="1038"/>
      <c r="ES828" s="1035"/>
      <c r="ET828" s="1051"/>
    </row>
    <row r="829" spans="2:150" ht="16.5" customHeight="1">
      <c r="B829" s="1024"/>
      <c r="C829" s="1025"/>
      <c r="D829" s="408">
        <v>826</v>
      </c>
      <c r="E829" s="1164"/>
      <c r="F829" s="1164"/>
      <c r="G829" s="1026"/>
      <c r="H829" s="411" t="str">
        <f>IFERROR(INDEX(绊状态确认!C:C,MATCH($G829,绊状态确认!$B:$B,)),"")</f>
        <v/>
      </c>
      <c r="I829" s="450" t="str">
        <f>IFERROR(INDEX(绊状态确认!D:D,MATCH($G829,绊状态确认!$B:$B,)),"")</f>
        <v/>
      </c>
      <c r="J829" s="450" t="str">
        <f>IFERROR(INDEX(绊状态确认!E:E,MATCH($G829,绊状态确认!$B:$B,)),"")</f>
        <v/>
      </c>
      <c r="K829" s="451" t="str">
        <f>IFERROR(INDEX(绊状态确认!F:F,MATCH($G829,绊状态确认!$B:$B,)),"")</f>
        <v/>
      </c>
      <c r="L829" s="1026"/>
      <c r="M829" s="1165"/>
      <c r="N829" s="1027"/>
      <c r="O829" s="1026"/>
      <c r="P829" s="1028"/>
      <c r="Q829" s="1029"/>
      <c r="R829" s="1166"/>
      <c r="S829" s="1030"/>
      <c r="T829" s="1031"/>
      <c r="U829" s="1032"/>
      <c r="V829" s="1033"/>
      <c r="W829" s="1034"/>
      <c r="X829" s="1166"/>
      <c r="Y829" s="1035"/>
      <c r="Z829" s="1036"/>
      <c r="AA829" s="1037"/>
      <c r="AB829" s="1038"/>
      <c r="AC829" s="1039"/>
      <c r="AD829" s="1040"/>
      <c r="AE829" s="1041"/>
      <c r="AF829" s="521"/>
      <c r="AG829" s="420"/>
      <c r="AH829" s="420"/>
      <c r="AI829" s="420"/>
      <c r="AJ829" s="420"/>
      <c r="AK829" s="518"/>
      <c r="AL829" s="1042"/>
      <c r="AM829" s="1035"/>
      <c r="AN829" s="1043"/>
      <c r="AO829" s="1167"/>
      <c r="AP829" s="1044"/>
      <c r="AQ829" s="1035"/>
      <c r="AR829" s="1035"/>
      <c r="AS829" s="1035"/>
      <c r="AT829" s="1165"/>
      <c r="AU829" s="1031"/>
      <c r="AV829" s="1045"/>
      <c r="AW829" s="1038"/>
      <c r="AX829" s="1035"/>
      <c r="AY829" s="483"/>
      <c r="AZ829" s="429"/>
      <c r="BA829" s="431"/>
      <c r="BB829" s="1035"/>
      <c r="BC829" s="1035"/>
      <c r="BD829" s="481"/>
      <c r="BE829" s="432"/>
      <c r="BF829" s="646"/>
      <c r="BG829" s="1047"/>
      <c r="BH829" s="1046"/>
      <c r="BI829" s="1048"/>
      <c r="BJ829" s="1030"/>
      <c r="BK829" s="1046"/>
      <c r="BL829" s="1048"/>
      <c r="BM829" s="1046"/>
      <c r="BN829" s="1167"/>
      <c r="BO829" s="1035"/>
      <c r="BP829" s="1043"/>
      <c r="BQ829" s="1167"/>
      <c r="BR829" s="1165"/>
      <c r="BS829" s="1031"/>
      <c r="BT829" s="1038"/>
      <c r="BU829" s="1035"/>
      <c r="BV829" s="1035"/>
      <c r="BW829" s="1049"/>
      <c r="BX829" s="1043"/>
      <c r="BY829" s="1046"/>
      <c r="BZ829" s="1167"/>
      <c r="CA829" s="1165"/>
      <c r="CB829" s="1031"/>
      <c r="CC829" s="1038"/>
      <c r="CD829" s="1035"/>
      <c r="CE829" s="1035"/>
      <c r="CF829" s="1049"/>
      <c r="CG829" s="1043"/>
      <c r="CH829" s="1046"/>
      <c r="CI829" s="1167"/>
      <c r="CJ829" s="1168"/>
      <c r="CK829" s="1169"/>
      <c r="CL829" s="1169"/>
      <c r="CM829" s="1166"/>
      <c r="CN829" s="1169"/>
      <c r="CO829" s="1169"/>
      <c r="CP829" s="452"/>
      <c r="CQ829" s="435"/>
      <c r="CR829" s="1117"/>
      <c r="CS829" s="452"/>
      <c r="CT829" s="482"/>
      <c r="CU829" s="476"/>
      <c r="CV829" s="431"/>
      <c r="CW829" s="1108"/>
      <c r="CX829" s="1108"/>
      <c r="CY829" s="483"/>
      <c r="CZ829" s="437"/>
      <c r="DA829" s="438"/>
      <c r="DB829" s="439"/>
      <c r="DC829" s="439"/>
      <c r="DD829" s="443"/>
      <c r="DE829" s="411"/>
      <c r="DF829" s="411"/>
      <c r="DG829" s="1117"/>
      <c r="DH829" s="1117"/>
      <c r="DI829" s="1117"/>
      <c r="DJ829" s="442"/>
      <c r="DK829" s="482"/>
      <c r="DL829" s="1038"/>
      <c r="DM829" s="1035"/>
      <c r="DN829" s="1035"/>
      <c r="DO829" s="1035"/>
      <c r="DP829" s="1046"/>
      <c r="DQ829" s="1167"/>
      <c r="DR829" s="1168"/>
      <c r="DS829" s="1165"/>
      <c r="DT829" s="1165"/>
      <c r="DU829" s="1165"/>
      <c r="DV829" s="1031"/>
      <c r="DW829" s="1098">
        <f t="shared" si="1172"/>
        <v>0</v>
      </c>
      <c r="DX829" s="1098">
        <f t="shared" si="1173"/>
        <v>0</v>
      </c>
      <c r="DY829" s="1030"/>
      <c r="DZ829" s="1030"/>
      <c r="EA829" s="1031"/>
      <c r="EB829" s="1050"/>
      <c r="EC829" s="1038"/>
      <c r="ED829" s="1035"/>
      <c r="EE829" s="1046"/>
      <c r="EF829" s="1169"/>
      <c r="EG829" s="1168"/>
      <c r="EH829" s="1165"/>
      <c r="EI829" s="1165"/>
      <c r="EJ829" s="1165"/>
      <c r="EK829" s="1031"/>
      <c r="EL829" s="1098">
        <f t="shared" si="1174"/>
        <v>0</v>
      </c>
      <c r="EM829" s="1098">
        <f t="shared" si="1175"/>
        <v>0</v>
      </c>
      <c r="EN829" s="1030"/>
      <c r="EO829" s="1030"/>
      <c r="EP829" s="1031"/>
      <c r="EQ829" s="1050"/>
      <c r="ER829" s="1038"/>
      <c r="ES829" s="1035"/>
      <c r="ET829" s="1051"/>
    </row>
    <row r="830" spans="2:150" ht="16.5" customHeight="1">
      <c r="B830" s="1024"/>
      <c r="C830" s="1025"/>
      <c r="D830" s="408">
        <v>827</v>
      </c>
      <c r="E830" s="1164"/>
      <c r="F830" s="1164"/>
      <c r="G830" s="1026"/>
      <c r="H830" s="411" t="str">
        <f>IFERROR(INDEX(绊状态确认!C:C,MATCH($G830,绊状态确认!$B:$B,)),"")</f>
        <v/>
      </c>
      <c r="I830" s="450" t="str">
        <f>IFERROR(INDEX(绊状态确认!D:D,MATCH($G830,绊状态确认!$B:$B,)),"")</f>
        <v/>
      </c>
      <c r="J830" s="450" t="str">
        <f>IFERROR(INDEX(绊状态确认!E:E,MATCH($G830,绊状态确认!$B:$B,)),"")</f>
        <v/>
      </c>
      <c r="K830" s="451" t="str">
        <f>IFERROR(INDEX(绊状态确认!F:F,MATCH($G830,绊状态确认!$B:$B,)),"")</f>
        <v/>
      </c>
      <c r="L830" s="1026"/>
      <c r="M830" s="1165"/>
      <c r="N830" s="1027"/>
      <c r="O830" s="1026"/>
      <c r="P830" s="1028"/>
      <c r="Q830" s="1029"/>
      <c r="R830" s="1166"/>
      <c r="S830" s="1030"/>
      <c r="T830" s="1031"/>
      <c r="U830" s="1032"/>
      <c r="V830" s="1033"/>
      <c r="W830" s="1034"/>
      <c r="X830" s="1166"/>
      <c r="Y830" s="1035"/>
      <c r="Z830" s="1036"/>
      <c r="AA830" s="1037"/>
      <c r="AB830" s="1038"/>
      <c r="AC830" s="1039"/>
      <c r="AD830" s="1040"/>
      <c r="AE830" s="1041"/>
      <c r="AF830" s="521"/>
      <c r="AG830" s="420"/>
      <c r="AH830" s="420"/>
      <c r="AI830" s="420"/>
      <c r="AJ830" s="420"/>
      <c r="AK830" s="518"/>
      <c r="AL830" s="1042"/>
      <c r="AM830" s="1035"/>
      <c r="AN830" s="1043"/>
      <c r="AO830" s="1167"/>
      <c r="AP830" s="1044"/>
      <c r="AQ830" s="1035"/>
      <c r="AR830" s="1035"/>
      <c r="AS830" s="1035"/>
      <c r="AT830" s="1165"/>
      <c r="AU830" s="1031"/>
      <c r="AV830" s="1045"/>
      <c r="AW830" s="1038"/>
      <c r="AX830" s="1035"/>
      <c r="AY830" s="483"/>
      <c r="AZ830" s="429"/>
      <c r="BA830" s="431"/>
      <c r="BB830" s="1035"/>
      <c r="BC830" s="1035"/>
      <c r="BD830" s="481"/>
      <c r="BE830" s="432"/>
      <c r="BF830" s="646"/>
      <c r="BG830" s="1047"/>
      <c r="BH830" s="1046"/>
      <c r="BI830" s="1048"/>
      <c r="BJ830" s="1030"/>
      <c r="BK830" s="1046"/>
      <c r="BL830" s="1048"/>
      <c r="BM830" s="1046"/>
      <c r="BN830" s="1167"/>
      <c r="BO830" s="1035"/>
      <c r="BP830" s="1043"/>
      <c r="BQ830" s="1167"/>
      <c r="BR830" s="1165"/>
      <c r="BS830" s="1031"/>
      <c r="BT830" s="1038"/>
      <c r="BU830" s="1035"/>
      <c r="BV830" s="1035"/>
      <c r="BW830" s="1049"/>
      <c r="BX830" s="1043"/>
      <c r="BY830" s="1046"/>
      <c r="BZ830" s="1167"/>
      <c r="CA830" s="1165"/>
      <c r="CB830" s="1031"/>
      <c r="CC830" s="1038"/>
      <c r="CD830" s="1035"/>
      <c r="CE830" s="1035"/>
      <c r="CF830" s="1049"/>
      <c r="CG830" s="1043"/>
      <c r="CH830" s="1046"/>
      <c r="CI830" s="1167"/>
      <c r="CJ830" s="1168"/>
      <c r="CK830" s="1169"/>
      <c r="CL830" s="1169"/>
      <c r="CM830" s="1166"/>
      <c r="CN830" s="1169"/>
      <c r="CO830" s="1169"/>
      <c r="CP830" s="452"/>
      <c r="CQ830" s="435"/>
      <c r="CR830" s="1117"/>
      <c r="CS830" s="452"/>
      <c r="CT830" s="482"/>
      <c r="CU830" s="476"/>
      <c r="CV830" s="431"/>
      <c r="CW830" s="1108"/>
      <c r="CX830" s="1108"/>
      <c r="CY830" s="483"/>
      <c r="CZ830" s="437"/>
      <c r="DA830" s="438"/>
      <c r="DB830" s="439"/>
      <c r="DC830" s="439"/>
      <c r="DD830" s="443"/>
      <c r="DE830" s="411"/>
      <c r="DF830" s="411"/>
      <c r="DG830" s="1117"/>
      <c r="DH830" s="1117"/>
      <c r="DI830" s="1117"/>
      <c r="DJ830" s="442"/>
      <c r="DK830" s="482"/>
      <c r="DL830" s="1038"/>
      <c r="DM830" s="1035"/>
      <c r="DN830" s="1035"/>
      <c r="DO830" s="1035"/>
      <c r="DP830" s="1046"/>
      <c r="DQ830" s="1167"/>
      <c r="DR830" s="1168"/>
      <c r="DS830" s="1165"/>
      <c r="DT830" s="1165"/>
      <c r="DU830" s="1165"/>
      <c r="DV830" s="1031"/>
      <c r="DW830" s="1098">
        <f t="shared" si="1172"/>
        <v>0</v>
      </c>
      <c r="DX830" s="1098">
        <f t="shared" si="1173"/>
        <v>0</v>
      </c>
      <c r="DY830" s="1030"/>
      <c r="DZ830" s="1030"/>
      <c r="EA830" s="1031"/>
      <c r="EB830" s="1050"/>
      <c r="EC830" s="1038"/>
      <c r="ED830" s="1035"/>
      <c r="EE830" s="1046"/>
      <c r="EF830" s="1169"/>
      <c r="EG830" s="1168"/>
      <c r="EH830" s="1165"/>
      <c r="EI830" s="1165"/>
      <c r="EJ830" s="1165"/>
      <c r="EK830" s="1031"/>
      <c r="EL830" s="1098">
        <f t="shared" si="1174"/>
        <v>0</v>
      </c>
      <c r="EM830" s="1098">
        <f t="shared" si="1175"/>
        <v>0</v>
      </c>
      <c r="EN830" s="1030"/>
      <c r="EO830" s="1030"/>
      <c r="EP830" s="1031"/>
      <c r="EQ830" s="1050"/>
      <c r="ER830" s="1038"/>
      <c r="ES830" s="1035"/>
      <c r="ET830" s="1051"/>
    </row>
    <row r="831" spans="2:150" ht="16.5" customHeight="1">
      <c r="B831" s="1024"/>
      <c r="C831" s="1025"/>
      <c r="D831" s="408">
        <v>828</v>
      </c>
      <c r="E831" s="1164"/>
      <c r="F831" s="1164"/>
      <c r="G831" s="1026"/>
      <c r="H831" s="411" t="str">
        <f>IFERROR(INDEX(绊状态确认!C:C,MATCH($G831,绊状态确认!$B:$B,)),"")</f>
        <v/>
      </c>
      <c r="I831" s="450" t="str">
        <f>IFERROR(INDEX(绊状态确认!D:D,MATCH($G831,绊状态确认!$B:$B,)),"")</f>
        <v/>
      </c>
      <c r="J831" s="450" t="str">
        <f>IFERROR(INDEX(绊状态确认!E:E,MATCH($G831,绊状态确认!$B:$B,)),"")</f>
        <v/>
      </c>
      <c r="K831" s="451" t="str">
        <f>IFERROR(INDEX(绊状态确认!F:F,MATCH($G831,绊状态确认!$B:$B,)),"")</f>
        <v/>
      </c>
      <c r="L831" s="1026"/>
      <c r="M831" s="1165"/>
      <c r="N831" s="1027"/>
      <c r="O831" s="1026"/>
      <c r="P831" s="1028"/>
      <c r="Q831" s="1029"/>
      <c r="R831" s="1166"/>
      <c r="S831" s="1030"/>
      <c r="T831" s="1031"/>
      <c r="U831" s="1032"/>
      <c r="V831" s="1033"/>
      <c r="W831" s="1034"/>
      <c r="X831" s="1166"/>
      <c r="Y831" s="1035"/>
      <c r="Z831" s="1036"/>
      <c r="AA831" s="1037"/>
      <c r="AB831" s="1038"/>
      <c r="AC831" s="1039"/>
      <c r="AD831" s="1040"/>
      <c r="AE831" s="1041"/>
      <c r="AF831" s="521"/>
      <c r="AG831" s="420"/>
      <c r="AH831" s="420"/>
      <c r="AI831" s="420"/>
      <c r="AJ831" s="420"/>
      <c r="AK831" s="518"/>
      <c r="AL831" s="1042"/>
      <c r="AM831" s="1035"/>
      <c r="AN831" s="1043"/>
      <c r="AO831" s="1167"/>
      <c r="AP831" s="1044"/>
      <c r="AQ831" s="1035"/>
      <c r="AR831" s="1035"/>
      <c r="AS831" s="1035"/>
      <c r="AT831" s="1165"/>
      <c r="AU831" s="1031"/>
      <c r="AV831" s="1045"/>
      <c r="AW831" s="1038"/>
      <c r="AX831" s="1035"/>
      <c r="AY831" s="483"/>
      <c r="AZ831" s="429"/>
      <c r="BA831" s="431"/>
      <c r="BB831" s="1035"/>
      <c r="BC831" s="1035"/>
      <c r="BD831" s="481"/>
      <c r="BE831" s="432"/>
      <c r="BF831" s="646"/>
      <c r="BG831" s="1047"/>
      <c r="BH831" s="1046"/>
      <c r="BI831" s="1048"/>
      <c r="BJ831" s="1030"/>
      <c r="BK831" s="1046"/>
      <c r="BL831" s="1048"/>
      <c r="BM831" s="1046"/>
      <c r="BN831" s="1167"/>
      <c r="BO831" s="1035"/>
      <c r="BP831" s="1043"/>
      <c r="BQ831" s="1167"/>
      <c r="BR831" s="1165"/>
      <c r="BS831" s="1031"/>
      <c r="BT831" s="1038"/>
      <c r="BU831" s="1035"/>
      <c r="BV831" s="1035"/>
      <c r="BW831" s="1049"/>
      <c r="BX831" s="1043"/>
      <c r="BY831" s="1046"/>
      <c r="BZ831" s="1167"/>
      <c r="CA831" s="1165"/>
      <c r="CB831" s="1031"/>
      <c r="CC831" s="1038"/>
      <c r="CD831" s="1035"/>
      <c r="CE831" s="1035"/>
      <c r="CF831" s="1049"/>
      <c r="CG831" s="1043"/>
      <c r="CH831" s="1046"/>
      <c r="CI831" s="1167"/>
      <c r="CJ831" s="1168"/>
      <c r="CK831" s="1169"/>
      <c r="CL831" s="1169"/>
      <c r="CM831" s="1166"/>
      <c r="CN831" s="1169"/>
      <c r="CO831" s="1169"/>
      <c r="CP831" s="452"/>
      <c r="CQ831" s="435"/>
      <c r="CR831" s="1117"/>
      <c r="CS831" s="452"/>
      <c r="CT831" s="482"/>
      <c r="CU831" s="476"/>
      <c r="CV831" s="431"/>
      <c r="CW831" s="1108"/>
      <c r="CX831" s="1108"/>
      <c r="CY831" s="483"/>
      <c r="CZ831" s="437"/>
      <c r="DA831" s="438"/>
      <c r="DB831" s="439"/>
      <c r="DC831" s="439"/>
      <c r="DD831" s="443"/>
      <c r="DE831" s="411"/>
      <c r="DF831" s="411"/>
      <c r="DG831" s="1117"/>
      <c r="DH831" s="1117"/>
      <c r="DI831" s="1117"/>
      <c r="DJ831" s="442"/>
      <c r="DK831" s="482"/>
      <c r="DL831" s="1038"/>
      <c r="DM831" s="1035"/>
      <c r="DN831" s="1035"/>
      <c r="DO831" s="1035"/>
      <c r="DP831" s="1046"/>
      <c r="DQ831" s="1167"/>
      <c r="DR831" s="1168"/>
      <c r="DS831" s="1165"/>
      <c r="DT831" s="1165"/>
      <c r="DU831" s="1165"/>
      <c r="DV831" s="1031"/>
      <c r="DW831" s="1098">
        <f t="shared" si="1172"/>
        <v>0</v>
      </c>
      <c r="DX831" s="1098">
        <f t="shared" si="1173"/>
        <v>0</v>
      </c>
      <c r="DY831" s="1030"/>
      <c r="DZ831" s="1030"/>
      <c r="EA831" s="1031"/>
      <c r="EB831" s="1050"/>
      <c r="EC831" s="1038"/>
      <c r="ED831" s="1035"/>
      <c r="EE831" s="1046"/>
      <c r="EF831" s="1169"/>
      <c r="EG831" s="1168"/>
      <c r="EH831" s="1165"/>
      <c r="EI831" s="1165"/>
      <c r="EJ831" s="1165"/>
      <c r="EK831" s="1031"/>
      <c r="EL831" s="1098">
        <f t="shared" si="1174"/>
        <v>0</v>
      </c>
      <c r="EM831" s="1098">
        <f t="shared" si="1175"/>
        <v>0</v>
      </c>
      <c r="EN831" s="1030"/>
      <c r="EO831" s="1030"/>
      <c r="EP831" s="1031"/>
      <c r="EQ831" s="1050"/>
      <c r="ER831" s="1038"/>
      <c r="ES831" s="1035"/>
      <c r="ET831" s="1051"/>
    </row>
    <row r="832" spans="2:150" ht="16.5" customHeight="1">
      <c r="B832" s="1024"/>
      <c r="C832" s="1025"/>
      <c r="D832" s="408">
        <v>829</v>
      </c>
      <c r="E832" s="1164"/>
      <c r="F832" s="1164"/>
      <c r="G832" s="1026"/>
      <c r="H832" s="411" t="str">
        <f>IFERROR(INDEX(绊状态确认!C:C,MATCH($G832,绊状态确认!$B:$B,)),"")</f>
        <v/>
      </c>
      <c r="I832" s="450" t="str">
        <f>IFERROR(INDEX(绊状态确认!D:D,MATCH($G832,绊状态确认!$B:$B,)),"")</f>
        <v/>
      </c>
      <c r="J832" s="450" t="str">
        <f>IFERROR(INDEX(绊状态确认!E:E,MATCH($G832,绊状态确认!$B:$B,)),"")</f>
        <v/>
      </c>
      <c r="K832" s="451" t="str">
        <f>IFERROR(INDEX(绊状态确认!F:F,MATCH($G832,绊状态确认!$B:$B,)),"")</f>
        <v/>
      </c>
      <c r="L832" s="1026"/>
      <c r="M832" s="1165"/>
      <c r="N832" s="1027"/>
      <c r="O832" s="1026"/>
      <c r="P832" s="1028"/>
      <c r="Q832" s="1029"/>
      <c r="R832" s="1166"/>
      <c r="S832" s="1030"/>
      <c r="T832" s="1031"/>
      <c r="U832" s="1032"/>
      <c r="V832" s="1033"/>
      <c r="W832" s="1034"/>
      <c r="X832" s="1166"/>
      <c r="Y832" s="1035"/>
      <c r="Z832" s="1036"/>
      <c r="AA832" s="1037"/>
      <c r="AB832" s="1038"/>
      <c r="AC832" s="1039"/>
      <c r="AD832" s="1040"/>
      <c r="AE832" s="1041"/>
      <c r="AF832" s="521"/>
      <c r="AG832" s="420"/>
      <c r="AH832" s="420"/>
      <c r="AI832" s="420"/>
      <c r="AJ832" s="420"/>
      <c r="AK832" s="518"/>
      <c r="AL832" s="1042"/>
      <c r="AM832" s="1035"/>
      <c r="AN832" s="1043"/>
      <c r="AO832" s="1167"/>
      <c r="AP832" s="1044"/>
      <c r="AQ832" s="1035"/>
      <c r="AR832" s="1035"/>
      <c r="AS832" s="1035"/>
      <c r="AT832" s="1165"/>
      <c r="AU832" s="1031"/>
      <c r="AV832" s="1045"/>
      <c r="AW832" s="1038"/>
      <c r="AX832" s="1035"/>
      <c r="AY832" s="483"/>
      <c r="AZ832" s="429"/>
      <c r="BA832" s="431"/>
      <c r="BB832" s="1035"/>
      <c r="BC832" s="1035"/>
      <c r="BD832" s="481"/>
      <c r="BE832" s="432"/>
      <c r="BF832" s="646"/>
      <c r="BG832" s="1047"/>
      <c r="BH832" s="1046"/>
      <c r="BI832" s="1048"/>
      <c r="BJ832" s="1030"/>
      <c r="BK832" s="1046"/>
      <c r="BL832" s="1048"/>
      <c r="BM832" s="1046"/>
      <c r="BN832" s="1167"/>
      <c r="BO832" s="1035"/>
      <c r="BP832" s="1043"/>
      <c r="BQ832" s="1167"/>
      <c r="BR832" s="1165"/>
      <c r="BS832" s="1031"/>
      <c r="BT832" s="1038"/>
      <c r="BU832" s="1035"/>
      <c r="BV832" s="1035"/>
      <c r="BW832" s="1049"/>
      <c r="BX832" s="1043"/>
      <c r="BY832" s="1046"/>
      <c r="BZ832" s="1167"/>
      <c r="CA832" s="1165"/>
      <c r="CB832" s="1031"/>
      <c r="CC832" s="1038"/>
      <c r="CD832" s="1035"/>
      <c r="CE832" s="1035"/>
      <c r="CF832" s="1049"/>
      <c r="CG832" s="1043"/>
      <c r="CH832" s="1046"/>
      <c r="CI832" s="1167"/>
      <c r="CJ832" s="1168"/>
      <c r="CK832" s="1169"/>
      <c r="CL832" s="1169"/>
      <c r="CM832" s="1166"/>
      <c r="CN832" s="1169"/>
      <c r="CO832" s="1169"/>
      <c r="CP832" s="452"/>
      <c r="CQ832" s="435"/>
      <c r="CR832" s="1117"/>
      <c r="CS832" s="452"/>
      <c r="CT832" s="482"/>
      <c r="CU832" s="476"/>
      <c r="CV832" s="431"/>
      <c r="CW832" s="1108"/>
      <c r="CX832" s="1108"/>
      <c r="CY832" s="483"/>
      <c r="CZ832" s="437"/>
      <c r="DA832" s="438"/>
      <c r="DB832" s="439"/>
      <c r="DC832" s="439"/>
      <c r="DD832" s="443"/>
      <c r="DE832" s="411"/>
      <c r="DF832" s="411"/>
      <c r="DG832" s="1117"/>
      <c r="DH832" s="1117"/>
      <c r="DI832" s="1117"/>
      <c r="DJ832" s="442"/>
      <c r="DK832" s="482"/>
      <c r="DL832" s="1038"/>
      <c r="DM832" s="1035"/>
      <c r="DN832" s="1035"/>
      <c r="DO832" s="1035"/>
      <c r="DP832" s="1046"/>
      <c r="DQ832" s="1167"/>
      <c r="DR832" s="1168"/>
      <c r="DS832" s="1165"/>
      <c r="DT832" s="1165"/>
      <c r="DU832" s="1165"/>
      <c r="DV832" s="1031"/>
      <c r="DW832" s="1098">
        <f t="shared" si="1172"/>
        <v>0</v>
      </c>
      <c r="DX832" s="1098">
        <f t="shared" si="1173"/>
        <v>0</v>
      </c>
      <c r="DY832" s="1030"/>
      <c r="DZ832" s="1030"/>
      <c r="EA832" s="1031"/>
      <c r="EB832" s="1050"/>
      <c r="EC832" s="1038"/>
      <c r="ED832" s="1035"/>
      <c r="EE832" s="1046"/>
      <c r="EF832" s="1169"/>
      <c r="EG832" s="1168"/>
      <c r="EH832" s="1165"/>
      <c r="EI832" s="1165"/>
      <c r="EJ832" s="1165"/>
      <c r="EK832" s="1031"/>
      <c r="EL832" s="1098">
        <f t="shared" si="1174"/>
        <v>0</v>
      </c>
      <c r="EM832" s="1098">
        <f t="shared" si="1175"/>
        <v>0</v>
      </c>
      <c r="EN832" s="1030"/>
      <c r="EO832" s="1030"/>
      <c r="EP832" s="1031"/>
      <c r="EQ832" s="1050"/>
      <c r="ER832" s="1038"/>
      <c r="ES832" s="1035"/>
      <c r="ET832" s="1051"/>
    </row>
    <row r="833" spans="2:150" ht="16.5" customHeight="1">
      <c r="B833" s="1024"/>
      <c r="C833" s="1025"/>
      <c r="D833" s="408">
        <v>830</v>
      </c>
      <c r="E833" s="1164"/>
      <c r="F833" s="1164"/>
      <c r="G833" s="1026"/>
      <c r="H833" s="411" t="str">
        <f>IFERROR(INDEX(绊状态确认!C:C,MATCH($G833,绊状态确认!$B:$B,)),"")</f>
        <v/>
      </c>
      <c r="I833" s="450" t="str">
        <f>IFERROR(INDEX(绊状态确认!D:D,MATCH($G833,绊状态确认!$B:$B,)),"")</f>
        <v/>
      </c>
      <c r="J833" s="450" t="str">
        <f>IFERROR(INDEX(绊状态确认!E:E,MATCH($G833,绊状态确认!$B:$B,)),"")</f>
        <v/>
      </c>
      <c r="K833" s="451" t="str">
        <f>IFERROR(INDEX(绊状态确认!F:F,MATCH($G833,绊状态确认!$B:$B,)),"")</f>
        <v/>
      </c>
      <c r="L833" s="1026"/>
      <c r="M833" s="1165"/>
      <c r="N833" s="1027"/>
      <c r="O833" s="1026"/>
      <c r="P833" s="1028"/>
      <c r="Q833" s="1029"/>
      <c r="R833" s="1166"/>
      <c r="S833" s="1030"/>
      <c r="T833" s="1031"/>
      <c r="U833" s="1032"/>
      <c r="V833" s="1033"/>
      <c r="W833" s="1034"/>
      <c r="X833" s="1166"/>
      <c r="Y833" s="1035"/>
      <c r="Z833" s="1036"/>
      <c r="AA833" s="1037"/>
      <c r="AB833" s="1038"/>
      <c r="AC833" s="1039"/>
      <c r="AD833" s="1040"/>
      <c r="AE833" s="1041"/>
      <c r="AF833" s="521"/>
      <c r="AG833" s="420"/>
      <c r="AH833" s="420"/>
      <c r="AI833" s="420"/>
      <c r="AJ833" s="420"/>
      <c r="AK833" s="518"/>
      <c r="AL833" s="1042"/>
      <c r="AM833" s="1035"/>
      <c r="AN833" s="1043"/>
      <c r="AO833" s="1167"/>
      <c r="AP833" s="1044"/>
      <c r="AQ833" s="1035"/>
      <c r="AR833" s="1035"/>
      <c r="AS833" s="1035"/>
      <c r="AT833" s="1165"/>
      <c r="AU833" s="1031"/>
      <c r="AV833" s="1045"/>
      <c r="AW833" s="1038"/>
      <c r="AX833" s="1035"/>
      <c r="AY833" s="483"/>
      <c r="AZ833" s="429"/>
      <c r="BA833" s="431"/>
      <c r="BB833" s="1035"/>
      <c r="BC833" s="1035"/>
      <c r="BD833" s="481"/>
      <c r="BE833" s="432"/>
      <c r="BF833" s="646"/>
      <c r="BG833" s="1047"/>
      <c r="BH833" s="1046"/>
      <c r="BI833" s="1048"/>
      <c r="BJ833" s="1030"/>
      <c r="BK833" s="1046"/>
      <c r="BL833" s="1048"/>
      <c r="BM833" s="1046"/>
      <c r="BN833" s="1167"/>
      <c r="BO833" s="1035"/>
      <c r="BP833" s="1043"/>
      <c r="BQ833" s="1167"/>
      <c r="BR833" s="1165"/>
      <c r="BS833" s="1031"/>
      <c r="BT833" s="1038"/>
      <c r="BU833" s="1035"/>
      <c r="BV833" s="1035"/>
      <c r="BW833" s="1049"/>
      <c r="BX833" s="1043"/>
      <c r="BY833" s="1046"/>
      <c r="BZ833" s="1167"/>
      <c r="CA833" s="1165"/>
      <c r="CB833" s="1031"/>
      <c r="CC833" s="1038"/>
      <c r="CD833" s="1035"/>
      <c r="CE833" s="1035"/>
      <c r="CF833" s="1049"/>
      <c r="CG833" s="1043"/>
      <c r="CH833" s="1046"/>
      <c r="CI833" s="1167"/>
      <c r="CJ833" s="1168"/>
      <c r="CK833" s="1169"/>
      <c r="CL833" s="1169"/>
      <c r="CM833" s="1166"/>
      <c r="CN833" s="1169"/>
      <c r="CO833" s="1169"/>
      <c r="CP833" s="452"/>
      <c r="CQ833" s="435"/>
      <c r="CR833" s="441"/>
      <c r="CS833" s="452"/>
      <c r="CT833" s="482"/>
      <c r="CU833" s="476"/>
      <c r="CV833" s="431"/>
      <c r="CW833" s="1108"/>
      <c r="CX833" s="1108"/>
      <c r="CY833" s="483"/>
      <c r="CZ833" s="437"/>
      <c r="DA833" s="438"/>
      <c r="DB833" s="439"/>
      <c r="DC833" s="439"/>
      <c r="DD833" s="443"/>
      <c r="DE833" s="411"/>
      <c r="DF833" s="411"/>
      <c r="DG833" s="1117"/>
      <c r="DH833" s="1117"/>
      <c r="DI833" s="1117"/>
      <c r="DJ833" s="442"/>
      <c r="DK833" s="482"/>
      <c r="DL833" s="1038"/>
      <c r="DM833" s="1035"/>
      <c r="DN833" s="1035"/>
      <c r="DO833" s="1035"/>
      <c r="DP833" s="1046"/>
      <c r="DQ833" s="1167"/>
      <c r="DR833" s="1168"/>
      <c r="DS833" s="1165"/>
      <c r="DT833" s="1165"/>
      <c r="DU833" s="1165"/>
      <c r="DV833" s="1031"/>
      <c r="DW833" s="1098">
        <f t="shared" si="1172"/>
        <v>0</v>
      </c>
      <c r="DX833" s="1098">
        <f t="shared" si="1173"/>
        <v>0</v>
      </c>
      <c r="DY833" s="1030"/>
      <c r="DZ833" s="1030"/>
      <c r="EA833" s="1031"/>
      <c r="EB833" s="1050"/>
      <c r="EC833" s="1038"/>
      <c r="ED833" s="1035"/>
      <c r="EE833" s="1046"/>
      <c r="EF833" s="1169"/>
      <c r="EG833" s="1168"/>
      <c r="EH833" s="1165"/>
      <c r="EI833" s="1165"/>
      <c r="EJ833" s="1165"/>
      <c r="EK833" s="1031"/>
      <c r="EL833" s="1098">
        <f t="shared" si="1174"/>
        <v>0</v>
      </c>
      <c r="EM833" s="1098">
        <f t="shared" si="1175"/>
        <v>0</v>
      </c>
      <c r="EN833" s="1030"/>
      <c r="EO833" s="1030"/>
      <c r="EP833" s="1031"/>
      <c r="EQ833" s="1050"/>
      <c r="ER833" s="1038"/>
      <c r="ES833" s="1035"/>
      <c r="ET833" s="1051"/>
    </row>
    <row r="834" spans="2:150" ht="16.5" customHeight="1">
      <c r="B834" s="1024"/>
      <c r="C834" s="1025"/>
      <c r="D834" s="408">
        <v>831</v>
      </c>
      <c r="E834" s="1164"/>
      <c r="F834" s="1164"/>
      <c r="G834" s="1026"/>
      <c r="H834" s="411" t="str">
        <f>IFERROR(INDEX(绊状态确认!C:C,MATCH($G834,绊状态确认!$B:$B,)),"")</f>
        <v/>
      </c>
      <c r="I834" s="450" t="str">
        <f>IFERROR(INDEX(绊状态确认!D:D,MATCH($G834,绊状态确认!$B:$B,)),"")</f>
        <v/>
      </c>
      <c r="J834" s="450" t="str">
        <f>IFERROR(INDEX(绊状态确认!E:E,MATCH($G834,绊状态确认!$B:$B,)),"")</f>
        <v/>
      </c>
      <c r="K834" s="451" t="str">
        <f>IFERROR(INDEX(绊状态确认!F:F,MATCH($G834,绊状态确认!$B:$B,)),"")</f>
        <v/>
      </c>
      <c r="L834" s="1026"/>
      <c r="M834" s="1165"/>
      <c r="N834" s="1027"/>
      <c r="O834" s="1026"/>
      <c r="P834" s="1028"/>
      <c r="Q834" s="1029"/>
      <c r="R834" s="1166"/>
      <c r="S834" s="1030"/>
      <c r="T834" s="1031"/>
      <c r="U834" s="1032"/>
      <c r="V834" s="1033"/>
      <c r="W834" s="1034"/>
      <c r="X834" s="1166"/>
      <c r="Y834" s="1035"/>
      <c r="Z834" s="1036"/>
      <c r="AA834" s="1037"/>
      <c r="AB834" s="1038"/>
      <c r="AC834" s="1039"/>
      <c r="AD834" s="1040"/>
      <c r="AE834" s="1041"/>
      <c r="AF834" s="521"/>
      <c r="AG834" s="420"/>
      <c r="AH834" s="420"/>
      <c r="AI834" s="420"/>
      <c r="AJ834" s="420"/>
      <c r="AK834" s="518"/>
      <c r="AL834" s="1042"/>
      <c r="AM834" s="1035"/>
      <c r="AN834" s="1043"/>
      <c r="AO834" s="1167"/>
      <c r="AP834" s="1044"/>
      <c r="AQ834" s="1035"/>
      <c r="AR834" s="1035"/>
      <c r="AS834" s="1035"/>
      <c r="AT834" s="1165"/>
      <c r="AU834" s="1031"/>
      <c r="AV834" s="1045"/>
      <c r="AW834" s="1038"/>
      <c r="AX834" s="1035"/>
      <c r="AY834" s="483"/>
      <c r="AZ834" s="429"/>
      <c r="BA834" s="431"/>
      <c r="BB834" s="1035"/>
      <c r="BC834" s="1035"/>
      <c r="BD834" s="481"/>
      <c r="BE834" s="432"/>
      <c r="BF834" s="646"/>
      <c r="BG834" s="1047"/>
      <c r="BH834" s="1046"/>
      <c r="BI834" s="1048"/>
      <c r="BJ834" s="1030"/>
      <c r="BK834" s="1046"/>
      <c r="BL834" s="1048"/>
      <c r="BM834" s="1046"/>
      <c r="BN834" s="1167"/>
      <c r="BO834" s="1035"/>
      <c r="BP834" s="1043"/>
      <c r="BQ834" s="1167"/>
      <c r="BR834" s="1165"/>
      <c r="BS834" s="1031"/>
      <c r="BT834" s="1038"/>
      <c r="BU834" s="1035"/>
      <c r="BV834" s="1035"/>
      <c r="BW834" s="1049"/>
      <c r="BX834" s="1043"/>
      <c r="BY834" s="1046"/>
      <c r="BZ834" s="1167"/>
      <c r="CA834" s="1165"/>
      <c r="CB834" s="1031"/>
      <c r="CC834" s="1038"/>
      <c r="CD834" s="1035"/>
      <c r="CE834" s="1035"/>
      <c r="CF834" s="1049"/>
      <c r="CG834" s="1043"/>
      <c r="CH834" s="1046"/>
      <c r="CI834" s="1167"/>
      <c r="CJ834" s="1168"/>
      <c r="CK834" s="1169"/>
      <c r="CL834" s="1169"/>
      <c r="CM834" s="1166"/>
      <c r="CN834" s="1169"/>
      <c r="CO834" s="1169"/>
      <c r="CP834" s="452"/>
      <c r="CQ834" s="435"/>
      <c r="CR834" s="1117"/>
      <c r="CS834" s="452"/>
      <c r="CT834" s="482"/>
      <c r="CU834" s="476"/>
      <c r="CV834" s="431"/>
      <c r="CW834" s="1108"/>
      <c r="CX834" s="1108"/>
      <c r="CY834" s="483"/>
      <c r="CZ834" s="437"/>
      <c r="DA834" s="438"/>
      <c r="DB834" s="439"/>
      <c r="DC834" s="439"/>
      <c r="DD834" s="443"/>
      <c r="DE834" s="411"/>
      <c r="DF834" s="411"/>
      <c r="DG834" s="1117"/>
      <c r="DH834" s="1117"/>
      <c r="DI834" s="1117"/>
      <c r="DJ834" s="442"/>
      <c r="DK834" s="482"/>
      <c r="DL834" s="1038"/>
      <c r="DM834" s="1035"/>
      <c r="DN834" s="1035"/>
      <c r="DO834" s="1035"/>
      <c r="DP834" s="1046"/>
      <c r="DQ834" s="1167"/>
      <c r="DR834" s="1168"/>
      <c r="DS834" s="1165"/>
      <c r="DT834" s="1165"/>
      <c r="DU834" s="1165"/>
      <c r="DV834" s="1031"/>
      <c r="DW834" s="1098">
        <f t="shared" si="1172"/>
        <v>0</v>
      </c>
      <c r="DX834" s="1098">
        <f t="shared" si="1173"/>
        <v>0</v>
      </c>
      <c r="DY834" s="1030"/>
      <c r="DZ834" s="1030"/>
      <c r="EA834" s="1031"/>
      <c r="EB834" s="1050"/>
      <c r="EC834" s="1038"/>
      <c r="ED834" s="1035"/>
      <c r="EE834" s="1046"/>
      <c r="EF834" s="1169"/>
      <c r="EG834" s="1168"/>
      <c r="EH834" s="1165"/>
      <c r="EI834" s="1165"/>
      <c r="EJ834" s="1165"/>
      <c r="EK834" s="1031"/>
      <c r="EL834" s="1098">
        <f t="shared" si="1174"/>
        <v>0</v>
      </c>
      <c r="EM834" s="1098">
        <f t="shared" si="1175"/>
        <v>0</v>
      </c>
      <c r="EN834" s="1030"/>
      <c r="EO834" s="1030"/>
      <c r="EP834" s="1031"/>
      <c r="EQ834" s="1050"/>
      <c r="ER834" s="1038"/>
      <c r="ES834" s="1035"/>
      <c r="ET834" s="1051"/>
    </row>
    <row r="835" spans="2:150" ht="16.5" customHeight="1">
      <c r="B835" s="1024"/>
      <c r="C835" s="1025"/>
      <c r="D835" s="408">
        <v>832</v>
      </c>
      <c r="E835" s="1164"/>
      <c r="F835" s="1164"/>
      <c r="G835" s="1026"/>
      <c r="H835" s="411" t="str">
        <f>IFERROR(INDEX(绊状态确认!C:C,MATCH($G835,绊状态确认!$B:$B,)),"")</f>
        <v/>
      </c>
      <c r="I835" s="450" t="str">
        <f>IFERROR(INDEX(绊状态确认!D:D,MATCH($G835,绊状态确认!$B:$B,)),"")</f>
        <v/>
      </c>
      <c r="J835" s="450" t="str">
        <f>IFERROR(INDEX(绊状态确认!E:E,MATCH($G835,绊状态确认!$B:$B,)),"")</f>
        <v/>
      </c>
      <c r="K835" s="451" t="str">
        <f>IFERROR(INDEX(绊状态确认!F:F,MATCH($G835,绊状态确认!$B:$B,)),"")</f>
        <v/>
      </c>
      <c r="L835" s="1026"/>
      <c r="M835" s="1165"/>
      <c r="N835" s="1027"/>
      <c r="O835" s="1026"/>
      <c r="P835" s="1028"/>
      <c r="Q835" s="1029"/>
      <c r="R835" s="1166"/>
      <c r="S835" s="1030"/>
      <c r="T835" s="1031"/>
      <c r="U835" s="1032"/>
      <c r="V835" s="1033"/>
      <c r="W835" s="1034"/>
      <c r="X835" s="1166"/>
      <c r="Y835" s="1035"/>
      <c r="Z835" s="1036"/>
      <c r="AA835" s="1037"/>
      <c r="AB835" s="1038"/>
      <c r="AC835" s="1039"/>
      <c r="AD835" s="1040"/>
      <c r="AE835" s="1041"/>
      <c r="AF835" s="521"/>
      <c r="AG835" s="420"/>
      <c r="AH835" s="420"/>
      <c r="AI835" s="420"/>
      <c r="AJ835" s="420"/>
      <c r="AK835" s="518"/>
      <c r="AL835" s="1042"/>
      <c r="AM835" s="1035"/>
      <c r="AN835" s="1043"/>
      <c r="AO835" s="1167"/>
      <c r="AP835" s="1044"/>
      <c r="AQ835" s="1035"/>
      <c r="AR835" s="1035"/>
      <c r="AS835" s="1035"/>
      <c r="AT835" s="1165"/>
      <c r="AU835" s="1031"/>
      <c r="AV835" s="1045"/>
      <c r="AW835" s="1038"/>
      <c r="AX835" s="1035"/>
      <c r="AY835" s="483"/>
      <c r="AZ835" s="429"/>
      <c r="BA835" s="431"/>
      <c r="BB835" s="1035"/>
      <c r="BC835" s="1035"/>
      <c r="BD835" s="481"/>
      <c r="BE835" s="432"/>
      <c r="BF835" s="646"/>
      <c r="BG835" s="1047"/>
      <c r="BH835" s="1046"/>
      <c r="BI835" s="1048"/>
      <c r="BJ835" s="1030"/>
      <c r="BK835" s="1046"/>
      <c r="BL835" s="1048"/>
      <c r="BM835" s="1046"/>
      <c r="BN835" s="1167"/>
      <c r="BO835" s="1035"/>
      <c r="BP835" s="1043"/>
      <c r="BQ835" s="1167"/>
      <c r="BR835" s="1165"/>
      <c r="BS835" s="1031"/>
      <c r="BT835" s="1038"/>
      <c r="BU835" s="1035"/>
      <c r="BV835" s="1035"/>
      <c r="BW835" s="1049"/>
      <c r="BX835" s="1043"/>
      <c r="BY835" s="1046"/>
      <c r="BZ835" s="1167"/>
      <c r="CA835" s="1165"/>
      <c r="CB835" s="1031"/>
      <c r="CC835" s="1038"/>
      <c r="CD835" s="1035"/>
      <c r="CE835" s="1035"/>
      <c r="CF835" s="1049"/>
      <c r="CG835" s="1043"/>
      <c r="CH835" s="1046"/>
      <c r="CI835" s="1167"/>
      <c r="CJ835" s="1168"/>
      <c r="CK835" s="1169"/>
      <c r="CL835" s="1169"/>
      <c r="CM835" s="1166"/>
      <c r="CN835" s="1169"/>
      <c r="CO835" s="1169"/>
      <c r="CP835" s="452"/>
      <c r="CQ835" s="435"/>
      <c r="CR835" s="1117"/>
      <c r="CS835" s="452"/>
      <c r="CT835" s="482"/>
      <c r="CU835" s="476"/>
      <c r="CV835" s="431"/>
      <c r="CW835" s="1108"/>
      <c r="CX835" s="1108"/>
      <c r="CY835" s="483"/>
      <c r="CZ835" s="437"/>
      <c r="DA835" s="438"/>
      <c r="DB835" s="439"/>
      <c r="DC835" s="439"/>
      <c r="DD835" s="443"/>
      <c r="DE835" s="411"/>
      <c r="DF835" s="411"/>
      <c r="DG835" s="1117"/>
      <c r="DH835" s="1117"/>
      <c r="DI835" s="1117"/>
      <c r="DJ835" s="442"/>
      <c r="DK835" s="482"/>
      <c r="DL835" s="1038"/>
      <c r="DM835" s="1035"/>
      <c r="DN835" s="1035"/>
      <c r="DO835" s="1035"/>
      <c r="DP835" s="1046"/>
      <c r="DQ835" s="1167"/>
      <c r="DR835" s="1168"/>
      <c r="DS835" s="1165"/>
      <c r="DT835" s="1165"/>
      <c r="DU835" s="1165"/>
      <c r="DV835" s="1031"/>
      <c r="DW835" s="1098">
        <f t="shared" si="1172"/>
        <v>0</v>
      </c>
      <c r="DX835" s="1098">
        <f t="shared" si="1173"/>
        <v>0</v>
      </c>
      <c r="DY835" s="1030"/>
      <c r="DZ835" s="1030"/>
      <c r="EA835" s="1031"/>
      <c r="EB835" s="1050"/>
      <c r="EC835" s="1038"/>
      <c r="ED835" s="1035"/>
      <c r="EE835" s="1046"/>
      <c r="EF835" s="1169"/>
      <c r="EG835" s="1168"/>
      <c r="EH835" s="1165"/>
      <c r="EI835" s="1165"/>
      <c r="EJ835" s="1165"/>
      <c r="EK835" s="1031"/>
      <c r="EL835" s="1098">
        <f t="shared" si="1174"/>
        <v>0</v>
      </c>
      <c r="EM835" s="1098">
        <f t="shared" si="1175"/>
        <v>0</v>
      </c>
      <c r="EN835" s="1030"/>
      <c r="EO835" s="1030"/>
      <c r="EP835" s="1031"/>
      <c r="EQ835" s="1050"/>
      <c r="ER835" s="1038"/>
      <c r="ES835" s="1035"/>
      <c r="ET835" s="1051"/>
    </row>
    <row r="836" spans="2:150" ht="16.5" customHeight="1">
      <c r="B836" s="1024"/>
      <c r="C836" s="1025"/>
      <c r="D836" s="408">
        <v>833</v>
      </c>
      <c r="E836" s="1164"/>
      <c r="F836" s="1164"/>
      <c r="G836" s="1026"/>
      <c r="H836" s="411" t="str">
        <f>IFERROR(INDEX(绊状态确认!C:C,MATCH($G836,绊状态确认!$B:$B,)),"")</f>
        <v/>
      </c>
      <c r="I836" s="450" t="str">
        <f>IFERROR(INDEX(绊状态确认!D:D,MATCH($G836,绊状态确认!$B:$B,)),"")</f>
        <v/>
      </c>
      <c r="J836" s="450" t="str">
        <f>IFERROR(INDEX(绊状态确认!E:E,MATCH($G836,绊状态确认!$B:$B,)),"")</f>
        <v/>
      </c>
      <c r="K836" s="451" t="str">
        <f>IFERROR(INDEX(绊状态确认!F:F,MATCH($G836,绊状态确认!$B:$B,)),"")</f>
        <v/>
      </c>
      <c r="L836" s="1026"/>
      <c r="M836" s="1165"/>
      <c r="N836" s="1027"/>
      <c r="O836" s="1026"/>
      <c r="P836" s="1028"/>
      <c r="Q836" s="1029"/>
      <c r="R836" s="1166"/>
      <c r="S836" s="1030"/>
      <c r="T836" s="1031"/>
      <c r="U836" s="1032"/>
      <c r="V836" s="1033"/>
      <c r="W836" s="1034"/>
      <c r="X836" s="1166"/>
      <c r="Y836" s="1035"/>
      <c r="Z836" s="1036"/>
      <c r="AA836" s="1037"/>
      <c r="AB836" s="1038"/>
      <c r="AC836" s="1039"/>
      <c r="AD836" s="1040"/>
      <c r="AE836" s="1041"/>
      <c r="AF836" s="521"/>
      <c r="AG836" s="420"/>
      <c r="AH836" s="420"/>
      <c r="AI836" s="420"/>
      <c r="AJ836" s="420"/>
      <c r="AK836" s="518"/>
      <c r="AL836" s="1042"/>
      <c r="AM836" s="1035"/>
      <c r="AN836" s="1043"/>
      <c r="AO836" s="1167"/>
      <c r="AP836" s="1044"/>
      <c r="AQ836" s="1035"/>
      <c r="AR836" s="1035"/>
      <c r="AS836" s="1035"/>
      <c r="AT836" s="1165"/>
      <c r="AU836" s="1031"/>
      <c r="AV836" s="1045"/>
      <c r="AW836" s="1038"/>
      <c r="AX836" s="1035"/>
      <c r="AY836" s="483"/>
      <c r="AZ836" s="429"/>
      <c r="BA836" s="431"/>
      <c r="BB836" s="1035"/>
      <c r="BC836" s="1035"/>
      <c r="BD836" s="481"/>
      <c r="BE836" s="432"/>
      <c r="BF836" s="646"/>
      <c r="BG836" s="1047"/>
      <c r="BH836" s="1046"/>
      <c r="BI836" s="1048"/>
      <c r="BJ836" s="1030"/>
      <c r="BK836" s="1046"/>
      <c r="BL836" s="1048"/>
      <c r="BM836" s="1046"/>
      <c r="BN836" s="1167"/>
      <c r="BO836" s="1035"/>
      <c r="BP836" s="1043"/>
      <c r="BQ836" s="1167"/>
      <c r="BR836" s="1165"/>
      <c r="BS836" s="1031"/>
      <c r="BT836" s="1038"/>
      <c r="BU836" s="1035"/>
      <c r="BV836" s="1035"/>
      <c r="BW836" s="1049"/>
      <c r="BX836" s="1043"/>
      <c r="BY836" s="1046"/>
      <c r="BZ836" s="1167"/>
      <c r="CA836" s="1165"/>
      <c r="CB836" s="1031"/>
      <c r="CC836" s="1038"/>
      <c r="CD836" s="1035"/>
      <c r="CE836" s="1035"/>
      <c r="CF836" s="1049"/>
      <c r="CG836" s="1043"/>
      <c r="CH836" s="1046"/>
      <c r="CI836" s="1167"/>
      <c r="CJ836" s="1168"/>
      <c r="CK836" s="1169"/>
      <c r="CL836" s="1169"/>
      <c r="CM836" s="1166"/>
      <c r="CN836" s="1169"/>
      <c r="CO836" s="1169"/>
      <c r="CP836" s="452"/>
      <c r="CQ836" s="435"/>
      <c r="CR836" s="1117"/>
      <c r="CS836" s="452"/>
      <c r="CT836" s="482"/>
      <c r="CU836" s="476"/>
      <c r="CV836" s="431"/>
      <c r="CW836" s="1108"/>
      <c r="CX836" s="1108"/>
      <c r="CY836" s="483"/>
      <c r="CZ836" s="437"/>
      <c r="DA836" s="438"/>
      <c r="DB836" s="439"/>
      <c r="DC836" s="439"/>
      <c r="DD836" s="443"/>
      <c r="DE836" s="411"/>
      <c r="DF836" s="411"/>
      <c r="DG836" s="1117"/>
      <c r="DH836" s="1117"/>
      <c r="DI836" s="1117"/>
      <c r="DJ836" s="442"/>
      <c r="DK836" s="482"/>
      <c r="DL836" s="1038"/>
      <c r="DM836" s="1035"/>
      <c r="DN836" s="1035"/>
      <c r="DO836" s="1035"/>
      <c r="DP836" s="1046"/>
      <c r="DQ836" s="1167"/>
      <c r="DR836" s="1168"/>
      <c r="DS836" s="1165"/>
      <c r="DT836" s="1165"/>
      <c r="DU836" s="1165"/>
      <c r="DV836" s="1031"/>
      <c r="DW836" s="1098">
        <f t="shared" ref="DW836:DW899" si="1176">DR836+IF(AND($CK836="技能+",$CL836="自身",DR836=0.11),$CP836*3)</f>
        <v>0</v>
      </c>
      <c r="DX836" s="1098">
        <f t="shared" ref="DX836:DX899" si="1177">DR836+IF(AND($CK836="技能+",$CL836="自身",DR836=0.11),$CQ836*3)</f>
        <v>0</v>
      </c>
      <c r="DY836" s="1030"/>
      <c r="DZ836" s="1030"/>
      <c r="EA836" s="1031"/>
      <c r="EB836" s="1050"/>
      <c r="EC836" s="1038"/>
      <c r="ED836" s="1035"/>
      <c r="EE836" s="1046"/>
      <c r="EF836" s="1169"/>
      <c r="EG836" s="1168"/>
      <c r="EH836" s="1165"/>
      <c r="EI836" s="1165"/>
      <c r="EJ836" s="1165"/>
      <c r="EK836" s="1031"/>
      <c r="EL836" s="1098">
        <f t="shared" ref="EL836:EL899" si="1178">EG836+IF(AND($CK836="技能+",$CL836="自身",EG836=0.11),$CP836*3)</f>
        <v>0</v>
      </c>
      <c r="EM836" s="1098">
        <f t="shared" ref="EM836:EM899" si="1179">EG836+IF(AND($CK836="技能+",$CL836="自身",EG836=0.11),$CQ836*3)</f>
        <v>0</v>
      </c>
      <c r="EN836" s="1030"/>
      <c r="EO836" s="1030"/>
      <c r="EP836" s="1031"/>
      <c r="EQ836" s="1050"/>
      <c r="ER836" s="1038"/>
      <c r="ES836" s="1035"/>
      <c r="ET836" s="1051"/>
    </row>
    <row r="837" spans="2:150" ht="16.5" customHeight="1">
      <c r="B837" s="1024"/>
      <c r="C837" s="1025"/>
      <c r="D837" s="408">
        <v>834</v>
      </c>
      <c r="E837" s="1164"/>
      <c r="F837" s="1164"/>
      <c r="G837" s="1026"/>
      <c r="H837" s="411" t="str">
        <f>IFERROR(INDEX(绊状态确认!C:C,MATCH($G837,绊状态确认!$B:$B,)),"")</f>
        <v/>
      </c>
      <c r="I837" s="450" t="str">
        <f>IFERROR(INDEX(绊状态确认!D:D,MATCH($G837,绊状态确认!$B:$B,)),"")</f>
        <v/>
      </c>
      <c r="J837" s="450" t="str">
        <f>IFERROR(INDEX(绊状态确认!E:E,MATCH($G837,绊状态确认!$B:$B,)),"")</f>
        <v/>
      </c>
      <c r="K837" s="451" t="str">
        <f>IFERROR(INDEX(绊状态确认!F:F,MATCH($G837,绊状态确认!$B:$B,)),"")</f>
        <v/>
      </c>
      <c r="L837" s="1026"/>
      <c r="M837" s="1165"/>
      <c r="N837" s="1027"/>
      <c r="O837" s="1026"/>
      <c r="P837" s="1028"/>
      <c r="Q837" s="1029"/>
      <c r="R837" s="1166"/>
      <c r="S837" s="1030"/>
      <c r="T837" s="1031"/>
      <c r="U837" s="1032"/>
      <c r="V837" s="1033"/>
      <c r="W837" s="1034"/>
      <c r="X837" s="1166"/>
      <c r="Y837" s="1035"/>
      <c r="Z837" s="1036"/>
      <c r="AA837" s="1037"/>
      <c r="AB837" s="1038"/>
      <c r="AC837" s="1039"/>
      <c r="AD837" s="1040"/>
      <c r="AE837" s="1041"/>
      <c r="AF837" s="521"/>
      <c r="AG837" s="420"/>
      <c r="AH837" s="420"/>
      <c r="AI837" s="420"/>
      <c r="AJ837" s="420"/>
      <c r="AK837" s="518"/>
      <c r="AL837" s="1042"/>
      <c r="AM837" s="1035"/>
      <c r="AN837" s="1043"/>
      <c r="AO837" s="1167"/>
      <c r="AP837" s="1044"/>
      <c r="AQ837" s="1035"/>
      <c r="AR837" s="1035"/>
      <c r="AS837" s="1035"/>
      <c r="AT837" s="1165"/>
      <c r="AU837" s="1031"/>
      <c r="AV837" s="1045"/>
      <c r="AW837" s="1038"/>
      <c r="AX837" s="1035"/>
      <c r="AY837" s="483"/>
      <c r="AZ837" s="429"/>
      <c r="BA837" s="431"/>
      <c r="BB837" s="1035"/>
      <c r="BC837" s="1035"/>
      <c r="BD837" s="481"/>
      <c r="BE837" s="432"/>
      <c r="BF837" s="646"/>
      <c r="BG837" s="1047"/>
      <c r="BH837" s="1046"/>
      <c r="BI837" s="1048"/>
      <c r="BJ837" s="1030"/>
      <c r="BK837" s="1046"/>
      <c r="BL837" s="1048"/>
      <c r="BM837" s="1046"/>
      <c r="BN837" s="1167"/>
      <c r="BO837" s="1035"/>
      <c r="BP837" s="1043"/>
      <c r="BQ837" s="1167"/>
      <c r="BR837" s="1165"/>
      <c r="BS837" s="1031"/>
      <c r="BT837" s="1038"/>
      <c r="BU837" s="1035"/>
      <c r="BV837" s="1035"/>
      <c r="BW837" s="1049"/>
      <c r="BX837" s="1043"/>
      <c r="BY837" s="1046"/>
      <c r="BZ837" s="1167"/>
      <c r="CA837" s="1165"/>
      <c r="CB837" s="1031"/>
      <c r="CC837" s="1038"/>
      <c r="CD837" s="1035"/>
      <c r="CE837" s="1035"/>
      <c r="CF837" s="1049"/>
      <c r="CG837" s="1043"/>
      <c r="CH837" s="1046"/>
      <c r="CI837" s="1167"/>
      <c r="CJ837" s="1168"/>
      <c r="CK837" s="1169"/>
      <c r="CL837" s="1169"/>
      <c r="CM837" s="1166"/>
      <c r="CN837" s="1169"/>
      <c r="CO837" s="1169"/>
      <c r="CP837" s="452"/>
      <c r="CQ837" s="435"/>
      <c r="CR837" s="441"/>
      <c r="CS837" s="452"/>
      <c r="CT837" s="482"/>
      <c r="CU837" s="476"/>
      <c r="CV837" s="431"/>
      <c r="CW837" s="1108"/>
      <c r="CX837" s="1108"/>
      <c r="CY837" s="483"/>
      <c r="CZ837" s="437"/>
      <c r="DA837" s="438"/>
      <c r="DB837" s="439"/>
      <c r="DC837" s="439"/>
      <c r="DD837" s="443"/>
      <c r="DE837" s="411"/>
      <c r="DF837" s="411"/>
      <c r="DG837" s="1117"/>
      <c r="DH837" s="1117"/>
      <c r="DI837" s="1117"/>
      <c r="DJ837" s="442"/>
      <c r="DK837" s="482"/>
      <c r="DL837" s="1038"/>
      <c r="DM837" s="1035"/>
      <c r="DN837" s="1035"/>
      <c r="DO837" s="1035"/>
      <c r="DP837" s="1046"/>
      <c r="DQ837" s="1167"/>
      <c r="DR837" s="1168"/>
      <c r="DS837" s="1165"/>
      <c r="DT837" s="1165"/>
      <c r="DU837" s="1165"/>
      <c r="DV837" s="1031"/>
      <c r="DW837" s="1098">
        <f t="shared" si="1176"/>
        <v>0</v>
      </c>
      <c r="DX837" s="1098">
        <f t="shared" si="1177"/>
        <v>0</v>
      </c>
      <c r="DY837" s="1030"/>
      <c r="DZ837" s="1030"/>
      <c r="EA837" s="1031"/>
      <c r="EB837" s="1050"/>
      <c r="EC837" s="1038"/>
      <c r="ED837" s="1035"/>
      <c r="EE837" s="1046"/>
      <c r="EF837" s="1169"/>
      <c r="EG837" s="1168"/>
      <c r="EH837" s="1165"/>
      <c r="EI837" s="1165"/>
      <c r="EJ837" s="1165"/>
      <c r="EK837" s="1031"/>
      <c r="EL837" s="1098">
        <f t="shared" si="1178"/>
        <v>0</v>
      </c>
      <c r="EM837" s="1098">
        <f t="shared" si="1179"/>
        <v>0</v>
      </c>
      <c r="EN837" s="1030"/>
      <c r="EO837" s="1030"/>
      <c r="EP837" s="1031"/>
      <c r="EQ837" s="1050"/>
      <c r="ER837" s="1038"/>
      <c r="ES837" s="1035"/>
      <c r="ET837" s="1051"/>
    </row>
    <row r="838" spans="2:150" ht="16.5" customHeight="1">
      <c r="B838" s="1024"/>
      <c r="C838" s="1025"/>
      <c r="D838" s="408">
        <v>835</v>
      </c>
      <c r="E838" s="1164"/>
      <c r="F838" s="1164"/>
      <c r="G838" s="1026"/>
      <c r="H838" s="411" t="str">
        <f>IFERROR(INDEX(绊状态确认!C:C,MATCH($G838,绊状态确认!$B:$B,)),"")</f>
        <v/>
      </c>
      <c r="I838" s="450" t="str">
        <f>IFERROR(INDEX(绊状态确认!D:D,MATCH($G838,绊状态确认!$B:$B,)),"")</f>
        <v/>
      </c>
      <c r="J838" s="450" t="str">
        <f>IFERROR(INDEX(绊状态确认!E:E,MATCH($G838,绊状态确认!$B:$B,)),"")</f>
        <v/>
      </c>
      <c r="K838" s="451" t="str">
        <f>IFERROR(INDEX(绊状态确认!F:F,MATCH($G838,绊状态确认!$B:$B,)),"")</f>
        <v/>
      </c>
      <c r="L838" s="1026"/>
      <c r="M838" s="1165"/>
      <c r="N838" s="1027"/>
      <c r="O838" s="1026"/>
      <c r="P838" s="1028"/>
      <c r="Q838" s="1029"/>
      <c r="R838" s="1166"/>
      <c r="S838" s="1030"/>
      <c r="T838" s="1031"/>
      <c r="U838" s="1032"/>
      <c r="V838" s="1033"/>
      <c r="W838" s="1034"/>
      <c r="X838" s="1166"/>
      <c r="Y838" s="1035"/>
      <c r="Z838" s="1036"/>
      <c r="AA838" s="1037"/>
      <c r="AB838" s="1038"/>
      <c r="AC838" s="1039"/>
      <c r="AD838" s="1040"/>
      <c r="AE838" s="1041"/>
      <c r="AF838" s="521"/>
      <c r="AG838" s="420"/>
      <c r="AH838" s="420"/>
      <c r="AI838" s="420"/>
      <c r="AJ838" s="420"/>
      <c r="AK838" s="518"/>
      <c r="AL838" s="1042"/>
      <c r="AM838" s="1035"/>
      <c r="AN838" s="1043"/>
      <c r="AO838" s="1167"/>
      <c r="AP838" s="1044"/>
      <c r="AQ838" s="1035"/>
      <c r="AR838" s="1035"/>
      <c r="AS838" s="1035"/>
      <c r="AT838" s="1165"/>
      <c r="AU838" s="1031"/>
      <c r="AV838" s="1045"/>
      <c r="AW838" s="1038"/>
      <c r="AX838" s="1035"/>
      <c r="AY838" s="483"/>
      <c r="AZ838" s="429"/>
      <c r="BA838" s="431"/>
      <c r="BB838" s="1035"/>
      <c r="BC838" s="1035"/>
      <c r="BD838" s="481"/>
      <c r="BE838" s="432"/>
      <c r="BF838" s="646"/>
      <c r="BG838" s="1047"/>
      <c r="BH838" s="1046"/>
      <c r="BI838" s="1048"/>
      <c r="BJ838" s="1030"/>
      <c r="BK838" s="1046"/>
      <c r="BL838" s="1048"/>
      <c r="BM838" s="1046"/>
      <c r="BN838" s="1167"/>
      <c r="BO838" s="1035"/>
      <c r="BP838" s="1043"/>
      <c r="BQ838" s="1167"/>
      <c r="BR838" s="1165"/>
      <c r="BS838" s="1031"/>
      <c r="BT838" s="1038"/>
      <c r="BU838" s="1035"/>
      <c r="BV838" s="1035"/>
      <c r="BW838" s="1049"/>
      <c r="BX838" s="1043"/>
      <c r="BY838" s="1046"/>
      <c r="BZ838" s="1167"/>
      <c r="CA838" s="1165"/>
      <c r="CB838" s="1031"/>
      <c r="CC838" s="1038"/>
      <c r="CD838" s="1035"/>
      <c r="CE838" s="1035"/>
      <c r="CF838" s="1049"/>
      <c r="CG838" s="1043"/>
      <c r="CH838" s="1046"/>
      <c r="CI838" s="1167"/>
      <c r="CJ838" s="1168"/>
      <c r="CK838" s="1169"/>
      <c r="CL838" s="1169"/>
      <c r="CM838" s="1166"/>
      <c r="CN838" s="1169"/>
      <c r="CO838" s="1169"/>
      <c r="CP838" s="452"/>
      <c r="CQ838" s="435"/>
      <c r="CR838" s="441"/>
      <c r="CS838" s="452"/>
      <c r="CT838" s="482"/>
      <c r="CU838" s="476"/>
      <c r="CV838" s="431"/>
      <c r="CW838" s="1108"/>
      <c r="CX838" s="1108"/>
      <c r="CY838" s="483"/>
      <c r="CZ838" s="437"/>
      <c r="DA838" s="438"/>
      <c r="DB838" s="439"/>
      <c r="DC838" s="439"/>
      <c r="DD838" s="443"/>
      <c r="DE838" s="411"/>
      <c r="DF838" s="411"/>
      <c r="DG838" s="1117"/>
      <c r="DH838" s="1117"/>
      <c r="DI838" s="1117"/>
      <c r="DJ838" s="442"/>
      <c r="DK838" s="482"/>
      <c r="DL838" s="1038"/>
      <c r="DM838" s="1035"/>
      <c r="DN838" s="1035"/>
      <c r="DO838" s="1035"/>
      <c r="DP838" s="1046"/>
      <c r="DQ838" s="1167"/>
      <c r="DR838" s="1168"/>
      <c r="DS838" s="1165"/>
      <c r="DT838" s="1165"/>
      <c r="DU838" s="1165"/>
      <c r="DV838" s="1031"/>
      <c r="DW838" s="1098">
        <f t="shared" si="1176"/>
        <v>0</v>
      </c>
      <c r="DX838" s="1098">
        <f t="shared" si="1177"/>
        <v>0</v>
      </c>
      <c r="DY838" s="1030"/>
      <c r="DZ838" s="1030"/>
      <c r="EA838" s="1031"/>
      <c r="EB838" s="1050"/>
      <c r="EC838" s="1038"/>
      <c r="ED838" s="1035"/>
      <c r="EE838" s="1046"/>
      <c r="EF838" s="1169"/>
      <c r="EG838" s="1168"/>
      <c r="EH838" s="1165"/>
      <c r="EI838" s="1165"/>
      <c r="EJ838" s="1165"/>
      <c r="EK838" s="1031"/>
      <c r="EL838" s="1098">
        <f t="shared" si="1178"/>
        <v>0</v>
      </c>
      <c r="EM838" s="1098">
        <f t="shared" si="1179"/>
        <v>0</v>
      </c>
      <c r="EN838" s="1030"/>
      <c r="EO838" s="1030"/>
      <c r="EP838" s="1031"/>
      <c r="EQ838" s="1050"/>
      <c r="ER838" s="1038"/>
      <c r="ES838" s="1035"/>
      <c r="ET838" s="1051"/>
    </row>
    <row r="839" spans="2:150" ht="16.5" customHeight="1">
      <c r="B839" s="1024"/>
      <c r="C839" s="1025"/>
      <c r="D839" s="408">
        <v>836</v>
      </c>
      <c r="E839" s="1164"/>
      <c r="F839" s="1164"/>
      <c r="G839" s="1026"/>
      <c r="H839" s="411" t="str">
        <f>IFERROR(INDEX(绊状态确认!C:C,MATCH($G839,绊状态确认!$B:$B,)),"")</f>
        <v/>
      </c>
      <c r="I839" s="450" t="str">
        <f>IFERROR(INDEX(绊状态确认!D:D,MATCH($G839,绊状态确认!$B:$B,)),"")</f>
        <v/>
      </c>
      <c r="J839" s="450" t="str">
        <f>IFERROR(INDEX(绊状态确认!E:E,MATCH($G839,绊状态确认!$B:$B,)),"")</f>
        <v/>
      </c>
      <c r="K839" s="451" t="str">
        <f>IFERROR(INDEX(绊状态确认!F:F,MATCH($G839,绊状态确认!$B:$B,)),"")</f>
        <v/>
      </c>
      <c r="L839" s="1026"/>
      <c r="M839" s="1165"/>
      <c r="N839" s="1027"/>
      <c r="O839" s="1026"/>
      <c r="P839" s="1028"/>
      <c r="Q839" s="1029"/>
      <c r="R839" s="1166"/>
      <c r="S839" s="1030"/>
      <c r="T839" s="1031"/>
      <c r="U839" s="1032"/>
      <c r="V839" s="1033"/>
      <c r="W839" s="1034"/>
      <c r="X839" s="1166"/>
      <c r="Y839" s="1035"/>
      <c r="Z839" s="1036"/>
      <c r="AA839" s="1037"/>
      <c r="AB839" s="1038"/>
      <c r="AC839" s="1039"/>
      <c r="AD839" s="1040"/>
      <c r="AE839" s="1041"/>
      <c r="AF839" s="521"/>
      <c r="AG839" s="420"/>
      <c r="AH839" s="420"/>
      <c r="AI839" s="420"/>
      <c r="AJ839" s="420"/>
      <c r="AK839" s="518"/>
      <c r="AL839" s="1042"/>
      <c r="AM839" s="1035"/>
      <c r="AN839" s="1043"/>
      <c r="AO839" s="1167"/>
      <c r="AP839" s="1044"/>
      <c r="AQ839" s="1035"/>
      <c r="AR839" s="1035"/>
      <c r="AS839" s="1035"/>
      <c r="AT839" s="1165"/>
      <c r="AU839" s="1031"/>
      <c r="AV839" s="1045"/>
      <c r="AW839" s="1038"/>
      <c r="AX839" s="1035"/>
      <c r="AY839" s="483"/>
      <c r="AZ839" s="429"/>
      <c r="BA839" s="431"/>
      <c r="BB839" s="1035"/>
      <c r="BC839" s="1035"/>
      <c r="BD839" s="481"/>
      <c r="BE839" s="432"/>
      <c r="BF839" s="646"/>
      <c r="BG839" s="1047"/>
      <c r="BH839" s="1046"/>
      <c r="BI839" s="1048"/>
      <c r="BJ839" s="1030"/>
      <c r="BK839" s="1046"/>
      <c r="BL839" s="1048"/>
      <c r="BM839" s="1046"/>
      <c r="BN839" s="1167"/>
      <c r="BO839" s="1035"/>
      <c r="BP839" s="1043"/>
      <c r="BQ839" s="1167"/>
      <c r="BR839" s="1165"/>
      <c r="BS839" s="1031"/>
      <c r="BT839" s="1038"/>
      <c r="BU839" s="1035"/>
      <c r="BV839" s="1035"/>
      <c r="BW839" s="1049"/>
      <c r="BX839" s="1043"/>
      <c r="BY839" s="1046"/>
      <c r="BZ839" s="1167"/>
      <c r="CA839" s="1165"/>
      <c r="CB839" s="1031"/>
      <c r="CC839" s="1038"/>
      <c r="CD839" s="1035"/>
      <c r="CE839" s="1035"/>
      <c r="CF839" s="1049"/>
      <c r="CG839" s="1043"/>
      <c r="CH839" s="1046"/>
      <c r="CI839" s="1167"/>
      <c r="CJ839" s="1168"/>
      <c r="CK839" s="1169"/>
      <c r="CL839" s="1169"/>
      <c r="CM839" s="1166"/>
      <c r="CN839" s="1169"/>
      <c r="CO839" s="1169"/>
      <c r="CP839" s="452"/>
      <c r="CQ839" s="435"/>
      <c r="CR839" s="1117"/>
      <c r="CS839" s="452"/>
      <c r="CT839" s="482"/>
      <c r="CU839" s="476"/>
      <c r="CV839" s="431"/>
      <c r="CW839" s="1108"/>
      <c r="CX839" s="1108"/>
      <c r="CY839" s="483"/>
      <c r="CZ839" s="437"/>
      <c r="DA839" s="438"/>
      <c r="DB839" s="439"/>
      <c r="DC839" s="439"/>
      <c r="DD839" s="443"/>
      <c r="DE839" s="411"/>
      <c r="DF839" s="411"/>
      <c r="DG839" s="1117"/>
      <c r="DH839" s="1117"/>
      <c r="DI839" s="1117"/>
      <c r="DJ839" s="442"/>
      <c r="DK839" s="482"/>
      <c r="DL839" s="1038"/>
      <c r="DM839" s="1035"/>
      <c r="DN839" s="1035"/>
      <c r="DO839" s="1035"/>
      <c r="DP839" s="1046"/>
      <c r="DQ839" s="1167"/>
      <c r="DR839" s="1168"/>
      <c r="DS839" s="1165"/>
      <c r="DT839" s="1165"/>
      <c r="DU839" s="1165"/>
      <c r="DV839" s="1031"/>
      <c r="DW839" s="1098">
        <f t="shared" si="1176"/>
        <v>0</v>
      </c>
      <c r="DX839" s="1098">
        <f t="shared" si="1177"/>
        <v>0</v>
      </c>
      <c r="DY839" s="1030"/>
      <c r="DZ839" s="1030"/>
      <c r="EA839" s="1031"/>
      <c r="EB839" s="1050"/>
      <c r="EC839" s="1038"/>
      <c r="ED839" s="1035"/>
      <c r="EE839" s="1046"/>
      <c r="EF839" s="1169"/>
      <c r="EG839" s="1168"/>
      <c r="EH839" s="1165"/>
      <c r="EI839" s="1165"/>
      <c r="EJ839" s="1165"/>
      <c r="EK839" s="1031"/>
      <c r="EL839" s="1098">
        <f t="shared" si="1178"/>
        <v>0</v>
      </c>
      <c r="EM839" s="1098">
        <f t="shared" si="1179"/>
        <v>0</v>
      </c>
      <c r="EN839" s="1030"/>
      <c r="EO839" s="1030"/>
      <c r="EP839" s="1031"/>
      <c r="EQ839" s="1050"/>
      <c r="ER839" s="1038"/>
      <c r="ES839" s="1035"/>
      <c r="ET839" s="1051"/>
    </row>
    <row r="840" spans="2:150" ht="16.5" customHeight="1">
      <c r="B840" s="1024"/>
      <c r="C840" s="1025"/>
      <c r="D840" s="408">
        <v>837</v>
      </c>
      <c r="E840" s="1164"/>
      <c r="F840" s="1164"/>
      <c r="G840" s="1026"/>
      <c r="H840" s="411" t="str">
        <f>IFERROR(INDEX(绊状态确认!C:C,MATCH($G840,绊状态确认!$B:$B,)),"")</f>
        <v/>
      </c>
      <c r="I840" s="450" t="str">
        <f>IFERROR(INDEX(绊状态确认!D:D,MATCH($G840,绊状态确认!$B:$B,)),"")</f>
        <v/>
      </c>
      <c r="J840" s="450" t="str">
        <f>IFERROR(INDEX(绊状态确认!E:E,MATCH($G840,绊状态确认!$B:$B,)),"")</f>
        <v/>
      </c>
      <c r="K840" s="451" t="str">
        <f>IFERROR(INDEX(绊状态确认!F:F,MATCH($G840,绊状态确认!$B:$B,)),"")</f>
        <v/>
      </c>
      <c r="L840" s="1026"/>
      <c r="M840" s="1165"/>
      <c r="N840" s="1027"/>
      <c r="O840" s="1026"/>
      <c r="P840" s="1028"/>
      <c r="Q840" s="1029"/>
      <c r="R840" s="1166"/>
      <c r="S840" s="1030"/>
      <c r="T840" s="1031"/>
      <c r="U840" s="1032"/>
      <c r="V840" s="1033"/>
      <c r="W840" s="1034"/>
      <c r="X840" s="1166"/>
      <c r="Y840" s="1035"/>
      <c r="Z840" s="1036"/>
      <c r="AA840" s="1037"/>
      <c r="AB840" s="1038"/>
      <c r="AC840" s="1039"/>
      <c r="AD840" s="1040"/>
      <c r="AE840" s="1041"/>
      <c r="AF840" s="521"/>
      <c r="AG840" s="420"/>
      <c r="AH840" s="420"/>
      <c r="AI840" s="420"/>
      <c r="AJ840" s="420"/>
      <c r="AK840" s="518"/>
      <c r="AL840" s="1042"/>
      <c r="AM840" s="1035"/>
      <c r="AN840" s="1043"/>
      <c r="AO840" s="1167"/>
      <c r="AP840" s="1044"/>
      <c r="AQ840" s="1035"/>
      <c r="AR840" s="1035"/>
      <c r="AS840" s="1035"/>
      <c r="AT840" s="1165"/>
      <c r="AU840" s="1031"/>
      <c r="AV840" s="1045"/>
      <c r="AW840" s="1038"/>
      <c r="AX840" s="1035"/>
      <c r="AY840" s="483"/>
      <c r="AZ840" s="429"/>
      <c r="BA840" s="431"/>
      <c r="BB840" s="1035"/>
      <c r="BC840" s="1035"/>
      <c r="BD840" s="481"/>
      <c r="BE840" s="432"/>
      <c r="BF840" s="646"/>
      <c r="BG840" s="1047"/>
      <c r="BH840" s="1046"/>
      <c r="BI840" s="1048"/>
      <c r="BJ840" s="1030"/>
      <c r="BK840" s="1046"/>
      <c r="BL840" s="1048"/>
      <c r="BM840" s="1046"/>
      <c r="BN840" s="1167"/>
      <c r="BO840" s="1035"/>
      <c r="BP840" s="1043"/>
      <c r="BQ840" s="1167"/>
      <c r="BR840" s="1165"/>
      <c r="BS840" s="1031"/>
      <c r="BT840" s="1038"/>
      <c r="BU840" s="1035"/>
      <c r="BV840" s="1035"/>
      <c r="BW840" s="1049"/>
      <c r="BX840" s="1043"/>
      <c r="BY840" s="1046"/>
      <c r="BZ840" s="1167"/>
      <c r="CA840" s="1165"/>
      <c r="CB840" s="1031"/>
      <c r="CC840" s="1038"/>
      <c r="CD840" s="1035"/>
      <c r="CE840" s="1035"/>
      <c r="CF840" s="1049"/>
      <c r="CG840" s="1043"/>
      <c r="CH840" s="1046"/>
      <c r="CI840" s="1167"/>
      <c r="CJ840" s="1168"/>
      <c r="CK840" s="1169"/>
      <c r="CL840" s="1169"/>
      <c r="CM840" s="1166"/>
      <c r="CN840" s="1169"/>
      <c r="CO840" s="1169"/>
      <c r="CP840" s="452"/>
      <c r="CQ840" s="435"/>
      <c r="CR840" s="1117"/>
      <c r="CS840" s="452"/>
      <c r="CT840" s="482"/>
      <c r="CU840" s="476"/>
      <c r="CV840" s="431"/>
      <c r="CW840" s="1108"/>
      <c r="CX840" s="1108"/>
      <c r="CY840" s="483"/>
      <c r="CZ840" s="437"/>
      <c r="DA840" s="438"/>
      <c r="DB840" s="439"/>
      <c r="DC840" s="439"/>
      <c r="DD840" s="443"/>
      <c r="DE840" s="411"/>
      <c r="DF840" s="411"/>
      <c r="DG840" s="1117"/>
      <c r="DH840" s="1117"/>
      <c r="DI840" s="1117"/>
      <c r="DJ840" s="442"/>
      <c r="DK840" s="482"/>
      <c r="DL840" s="1038"/>
      <c r="DM840" s="1035"/>
      <c r="DN840" s="1035"/>
      <c r="DO840" s="1035"/>
      <c r="DP840" s="1046"/>
      <c r="DQ840" s="1167"/>
      <c r="DR840" s="1168"/>
      <c r="DS840" s="1165"/>
      <c r="DT840" s="1165"/>
      <c r="DU840" s="1165"/>
      <c r="DV840" s="1031"/>
      <c r="DW840" s="1098">
        <f t="shared" si="1176"/>
        <v>0</v>
      </c>
      <c r="DX840" s="1098">
        <f t="shared" si="1177"/>
        <v>0</v>
      </c>
      <c r="DY840" s="1030"/>
      <c r="DZ840" s="1030"/>
      <c r="EA840" s="1031"/>
      <c r="EB840" s="1050"/>
      <c r="EC840" s="1038"/>
      <c r="ED840" s="1035"/>
      <c r="EE840" s="1046"/>
      <c r="EF840" s="1169"/>
      <c r="EG840" s="1168"/>
      <c r="EH840" s="1165"/>
      <c r="EI840" s="1165"/>
      <c r="EJ840" s="1165"/>
      <c r="EK840" s="1031"/>
      <c r="EL840" s="1098">
        <f t="shared" si="1178"/>
        <v>0</v>
      </c>
      <c r="EM840" s="1098">
        <f t="shared" si="1179"/>
        <v>0</v>
      </c>
      <c r="EN840" s="1030"/>
      <c r="EO840" s="1030"/>
      <c r="EP840" s="1031"/>
      <c r="EQ840" s="1050"/>
      <c r="ER840" s="1038"/>
      <c r="ES840" s="1035"/>
      <c r="ET840" s="1051"/>
    </row>
    <row r="841" spans="2:150" ht="16.5" customHeight="1">
      <c r="B841" s="1024"/>
      <c r="C841" s="1025"/>
      <c r="D841" s="408">
        <v>838</v>
      </c>
      <c r="E841" s="1164"/>
      <c r="F841" s="1164"/>
      <c r="G841" s="1026"/>
      <c r="H841" s="411" t="str">
        <f>IFERROR(INDEX(绊状态确认!C:C,MATCH($G841,绊状态确认!$B:$B,)),"")</f>
        <v/>
      </c>
      <c r="I841" s="450" t="str">
        <f>IFERROR(INDEX(绊状态确认!D:D,MATCH($G841,绊状态确认!$B:$B,)),"")</f>
        <v/>
      </c>
      <c r="J841" s="450" t="str">
        <f>IFERROR(INDEX(绊状态确认!E:E,MATCH($G841,绊状态确认!$B:$B,)),"")</f>
        <v/>
      </c>
      <c r="K841" s="451" t="str">
        <f>IFERROR(INDEX(绊状态确认!F:F,MATCH($G841,绊状态确认!$B:$B,)),"")</f>
        <v/>
      </c>
      <c r="L841" s="1026"/>
      <c r="M841" s="1165"/>
      <c r="N841" s="1027"/>
      <c r="O841" s="1026"/>
      <c r="P841" s="1028"/>
      <c r="Q841" s="1029"/>
      <c r="R841" s="1166"/>
      <c r="S841" s="1030"/>
      <c r="T841" s="1031"/>
      <c r="U841" s="1032"/>
      <c r="V841" s="1033"/>
      <c r="W841" s="1034"/>
      <c r="X841" s="1166"/>
      <c r="Y841" s="1035"/>
      <c r="Z841" s="1036"/>
      <c r="AA841" s="1037"/>
      <c r="AB841" s="1038"/>
      <c r="AC841" s="1039"/>
      <c r="AD841" s="1040"/>
      <c r="AE841" s="1041"/>
      <c r="AF841" s="521"/>
      <c r="AG841" s="420"/>
      <c r="AH841" s="420"/>
      <c r="AI841" s="420"/>
      <c r="AJ841" s="420"/>
      <c r="AK841" s="518"/>
      <c r="AL841" s="1042"/>
      <c r="AM841" s="1035"/>
      <c r="AN841" s="1043"/>
      <c r="AO841" s="1167"/>
      <c r="AP841" s="1044"/>
      <c r="AQ841" s="1035"/>
      <c r="AR841" s="1035"/>
      <c r="AS841" s="1035"/>
      <c r="AT841" s="1165"/>
      <c r="AU841" s="1031"/>
      <c r="AV841" s="1045"/>
      <c r="AW841" s="1038"/>
      <c r="AX841" s="1035"/>
      <c r="AY841" s="483"/>
      <c r="AZ841" s="429"/>
      <c r="BA841" s="431"/>
      <c r="BB841" s="1035"/>
      <c r="BC841" s="1035"/>
      <c r="BD841" s="481"/>
      <c r="BE841" s="432"/>
      <c r="BF841" s="646"/>
      <c r="BG841" s="1047"/>
      <c r="BH841" s="1046"/>
      <c r="BI841" s="1048"/>
      <c r="BJ841" s="1030"/>
      <c r="BK841" s="1046"/>
      <c r="BL841" s="1048"/>
      <c r="BM841" s="1046"/>
      <c r="BN841" s="1167"/>
      <c r="BO841" s="1035"/>
      <c r="BP841" s="1043"/>
      <c r="BQ841" s="1167"/>
      <c r="BR841" s="1165"/>
      <c r="BS841" s="1031"/>
      <c r="BT841" s="1038"/>
      <c r="BU841" s="1035"/>
      <c r="BV841" s="1035"/>
      <c r="BW841" s="1049"/>
      <c r="BX841" s="1043"/>
      <c r="BY841" s="1046"/>
      <c r="BZ841" s="1167"/>
      <c r="CA841" s="1165"/>
      <c r="CB841" s="1031"/>
      <c r="CC841" s="1038"/>
      <c r="CD841" s="1035"/>
      <c r="CE841" s="1035"/>
      <c r="CF841" s="1049"/>
      <c r="CG841" s="1043"/>
      <c r="CH841" s="1046"/>
      <c r="CI841" s="1167"/>
      <c r="CJ841" s="1168"/>
      <c r="CK841" s="1169"/>
      <c r="CL841" s="1169"/>
      <c r="CM841" s="1166"/>
      <c r="CN841" s="1169"/>
      <c r="CO841" s="1169"/>
      <c r="CP841" s="452"/>
      <c r="CQ841" s="435"/>
      <c r="CR841" s="1117"/>
      <c r="CS841" s="452"/>
      <c r="CT841" s="482"/>
      <c r="CU841" s="476"/>
      <c r="CV841" s="431"/>
      <c r="CW841" s="1108"/>
      <c r="CX841" s="1108"/>
      <c r="CY841" s="483"/>
      <c r="CZ841" s="437"/>
      <c r="DA841" s="438"/>
      <c r="DB841" s="439"/>
      <c r="DC841" s="439"/>
      <c r="DD841" s="443"/>
      <c r="DE841" s="411"/>
      <c r="DF841" s="411"/>
      <c r="DG841" s="1117"/>
      <c r="DH841" s="1117"/>
      <c r="DI841" s="1117"/>
      <c r="DJ841" s="442"/>
      <c r="DK841" s="482"/>
      <c r="DL841" s="1038"/>
      <c r="DM841" s="1035"/>
      <c r="DN841" s="1035"/>
      <c r="DO841" s="1035"/>
      <c r="DP841" s="1046"/>
      <c r="DQ841" s="1167"/>
      <c r="DR841" s="1168"/>
      <c r="DS841" s="1165"/>
      <c r="DT841" s="1165"/>
      <c r="DU841" s="1165"/>
      <c r="DV841" s="1031"/>
      <c r="DW841" s="1098">
        <f t="shared" si="1176"/>
        <v>0</v>
      </c>
      <c r="DX841" s="1098">
        <f t="shared" si="1177"/>
        <v>0</v>
      </c>
      <c r="DY841" s="1030"/>
      <c r="DZ841" s="1030"/>
      <c r="EA841" s="1031"/>
      <c r="EB841" s="1050"/>
      <c r="EC841" s="1038"/>
      <c r="ED841" s="1035"/>
      <c r="EE841" s="1046"/>
      <c r="EF841" s="1169"/>
      <c r="EG841" s="1168"/>
      <c r="EH841" s="1165"/>
      <c r="EI841" s="1165"/>
      <c r="EJ841" s="1165"/>
      <c r="EK841" s="1031"/>
      <c r="EL841" s="1098">
        <f t="shared" si="1178"/>
        <v>0</v>
      </c>
      <c r="EM841" s="1098">
        <f t="shared" si="1179"/>
        <v>0</v>
      </c>
      <c r="EN841" s="1030"/>
      <c r="EO841" s="1030"/>
      <c r="EP841" s="1031"/>
      <c r="EQ841" s="1050"/>
      <c r="ER841" s="1038"/>
      <c r="ES841" s="1035"/>
      <c r="ET841" s="1051"/>
    </row>
    <row r="842" spans="2:150" ht="16.5" customHeight="1">
      <c r="B842" s="1024"/>
      <c r="C842" s="1025"/>
      <c r="D842" s="408">
        <v>839</v>
      </c>
      <c r="E842" s="1164"/>
      <c r="F842" s="1164"/>
      <c r="G842" s="1026"/>
      <c r="H842" s="411" t="str">
        <f>IFERROR(INDEX(绊状态确认!C:C,MATCH($G842,绊状态确认!$B:$B,)),"")</f>
        <v/>
      </c>
      <c r="I842" s="450" t="str">
        <f>IFERROR(INDEX(绊状态确认!D:D,MATCH($G842,绊状态确认!$B:$B,)),"")</f>
        <v/>
      </c>
      <c r="J842" s="450" t="str">
        <f>IFERROR(INDEX(绊状态确认!E:E,MATCH($G842,绊状态确认!$B:$B,)),"")</f>
        <v/>
      </c>
      <c r="K842" s="451" t="str">
        <f>IFERROR(INDEX(绊状态确认!F:F,MATCH($G842,绊状态确认!$B:$B,)),"")</f>
        <v/>
      </c>
      <c r="L842" s="1026"/>
      <c r="M842" s="1165"/>
      <c r="N842" s="1027"/>
      <c r="O842" s="1026"/>
      <c r="P842" s="1028"/>
      <c r="Q842" s="1029"/>
      <c r="R842" s="1166"/>
      <c r="S842" s="1030"/>
      <c r="T842" s="1031"/>
      <c r="U842" s="1032"/>
      <c r="V842" s="1033"/>
      <c r="W842" s="1034"/>
      <c r="X842" s="1166"/>
      <c r="Y842" s="1035"/>
      <c r="Z842" s="1036"/>
      <c r="AA842" s="1037"/>
      <c r="AB842" s="1038"/>
      <c r="AC842" s="1039"/>
      <c r="AD842" s="1040"/>
      <c r="AE842" s="1041"/>
      <c r="AF842" s="521"/>
      <c r="AG842" s="420"/>
      <c r="AH842" s="420"/>
      <c r="AI842" s="420"/>
      <c r="AJ842" s="420"/>
      <c r="AK842" s="518"/>
      <c r="AL842" s="1042"/>
      <c r="AM842" s="1035"/>
      <c r="AN842" s="1043"/>
      <c r="AO842" s="1167"/>
      <c r="AP842" s="1044"/>
      <c r="AQ842" s="1035"/>
      <c r="AR842" s="1035"/>
      <c r="AS842" s="1035"/>
      <c r="AT842" s="1165"/>
      <c r="AU842" s="1031"/>
      <c r="AV842" s="1045"/>
      <c r="AW842" s="1038"/>
      <c r="AX842" s="1035"/>
      <c r="AY842" s="483"/>
      <c r="AZ842" s="429"/>
      <c r="BA842" s="431"/>
      <c r="BB842" s="1035"/>
      <c r="BC842" s="1035"/>
      <c r="BD842" s="481"/>
      <c r="BE842" s="432"/>
      <c r="BF842" s="646"/>
      <c r="BG842" s="1047"/>
      <c r="BH842" s="1046"/>
      <c r="BI842" s="1048"/>
      <c r="BJ842" s="1030"/>
      <c r="BK842" s="1046"/>
      <c r="BL842" s="1048"/>
      <c r="BM842" s="1046"/>
      <c r="BN842" s="1167"/>
      <c r="BO842" s="1035"/>
      <c r="BP842" s="1043"/>
      <c r="BQ842" s="1167"/>
      <c r="BR842" s="1165"/>
      <c r="BS842" s="1031"/>
      <c r="BT842" s="1038"/>
      <c r="BU842" s="1035"/>
      <c r="BV842" s="1035"/>
      <c r="BW842" s="1049"/>
      <c r="BX842" s="1043"/>
      <c r="BY842" s="1046"/>
      <c r="BZ842" s="1167"/>
      <c r="CA842" s="1165"/>
      <c r="CB842" s="1031"/>
      <c r="CC842" s="1038"/>
      <c r="CD842" s="1035"/>
      <c r="CE842" s="1035"/>
      <c r="CF842" s="1049"/>
      <c r="CG842" s="1043"/>
      <c r="CH842" s="1046"/>
      <c r="CI842" s="1167"/>
      <c r="CJ842" s="1168"/>
      <c r="CK842" s="1169"/>
      <c r="CL842" s="1169"/>
      <c r="CM842" s="1166"/>
      <c r="CN842" s="1169"/>
      <c r="CO842" s="1169"/>
      <c r="CP842" s="452"/>
      <c r="CQ842" s="435"/>
      <c r="CR842" s="1117"/>
      <c r="CS842" s="452"/>
      <c r="CT842" s="482"/>
      <c r="CU842" s="476"/>
      <c r="CV842" s="431"/>
      <c r="CW842" s="1108"/>
      <c r="CX842" s="1108"/>
      <c r="CY842" s="483"/>
      <c r="CZ842" s="437"/>
      <c r="DA842" s="438"/>
      <c r="DB842" s="439"/>
      <c r="DC842" s="439"/>
      <c r="DD842" s="443"/>
      <c r="DE842" s="411"/>
      <c r="DF842" s="411"/>
      <c r="DG842" s="1117"/>
      <c r="DH842" s="1117"/>
      <c r="DI842" s="1117"/>
      <c r="DJ842" s="442"/>
      <c r="DK842" s="482"/>
      <c r="DL842" s="1038"/>
      <c r="DM842" s="1035"/>
      <c r="DN842" s="1035"/>
      <c r="DO842" s="1035"/>
      <c r="DP842" s="1046"/>
      <c r="DQ842" s="1167"/>
      <c r="DR842" s="1168"/>
      <c r="DS842" s="1165"/>
      <c r="DT842" s="1165"/>
      <c r="DU842" s="1165"/>
      <c r="DV842" s="1031"/>
      <c r="DW842" s="1098">
        <f t="shared" si="1176"/>
        <v>0</v>
      </c>
      <c r="DX842" s="1098">
        <f t="shared" si="1177"/>
        <v>0</v>
      </c>
      <c r="DY842" s="1030"/>
      <c r="DZ842" s="1030"/>
      <c r="EA842" s="1031"/>
      <c r="EB842" s="1050"/>
      <c r="EC842" s="1038"/>
      <c r="ED842" s="1035"/>
      <c r="EE842" s="1046"/>
      <c r="EF842" s="1169"/>
      <c r="EG842" s="1168"/>
      <c r="EH842" s="1165"/>
      <c r="EI842" s="1165"/>
      <c r="EJ842" s="1165"/>
      <c r="EK842" s="1031"/>
      <c r="EL842" s="1098">
        <f t="shared" si="1178"/>
        <v>0</v>
      </c>
      <c r="EM842" s="1098">
        <f t="shared" si="1179"/>
        <v>0</v>
      </c>
      <c r="EN842" s="1030"/>
      <c r="EO842" s="1030"/>
      <c r="EP842" s="1031"/>
      <c r="EQ842" s="1050"/>
      <c r="ER842" s="1038"/>
      <c r="ES842" s="1035"/>
      <c r="ET842" s="1051"/>
    </row>
    <row r="843" spans="2:150" ht="16.5" customHeight="1">
      <c r="B843" s="1024"/>
      <c r="C843" s="1025"/>
      <c r="D843" s="408">
        <v>840</v>
      </c>
      <c r="E843" s="1164"/>
      <c r="F843" s="1164"/>
      <c r="G843" s="1026"/>
      <c r="H843" s="411" t="str">
        <f>IFERROR(INDEX(绊状态确认!C:C,MATCH($G843,绊状态确认!$B:$B,)),"")</f>
        <v/>
      </c>
      <c r="I843" s="450" t="str">
        <f>IFERROR(INDEX(绊状态确认!D:D,MATCH($G843,绊状态确认!$B:$B,)),"")</f>
        <v/>
      </c>
      <c r="J843" s="450" t="str">
        <f>IFERROR(INDEX(绊状态确认!E:E,MATCH($G843,绊状态确认!$B:$B,)),"")</f>
        <v/>
      </c>
      <c r="K843" s="451" t="str">
        <f>IFERROR(INDEX(绊状态确认!F:F,MATCH($G843,绊状态确认!$B:$B,)),"")</f>
        <v/>
      </c>
      <c r="L843" s="1026"/>
      <c r="M843" s="1165"/>
      <c r="N843" s="1027"/>
      <c r="O843" s="1026"/>
      <c r="P843" s="1028"/>
      <c r="Q843" s="1029"/>
      <c r="R843" s="1166"/>
      <c r="S843" s="1030"/>
      <c r="T843" s="1031"/>
      <c r="U843" s="1032"/>
      <c r="V843" s="1033"/>
      <c r="W843" s="1034"/>
      <c r="X843" s="1166"/>
      <c r="Y843" s="1035"/>
      <c r="Z843" s="1036"/>
      <c r="AA843" s="1037"/>
      <c r="AB843" s="1038"/>
      <c r="AC843" s="1039"/>
      <c r="AD843" s="1040"/>
      <c r="AE843" s="1041"/>
      <c r="AF843" s="521"/>
      <c r="AG843" s="420"/>
      <c r="AH843" s="420"/>
      <c r="AI843" s="420"/>
      <c r="AJ843" s="420"/>
      <c r="AK843" s="518"/>
      <c r="AL843" s="1042"/>
      <c r="AM843" s="1035"/>
      <c r="AN843" s="1043"/>
      <c r="AO843" s="1167"/>
      <c r="AP843" s="1044"/>
      <c r="AQ843" s="1035"/>
      <c r="AR843" s="1035"/>
      <c r="AS843" s="1035"/>
      <c r="AT843" s="1165"/>
      <c r="AU843" s="1031"/>
      <c r="AV843" s="1045"/>
      <c r="AW843" s="1038"/>
      <c r="AX843" s="1035"/>
      <c r="AY843" s="483"/>
      <c r="AZ843" s="429"/>
      <c r="BA843" s="431"/>
      <c r="BB843" s="1035"/>
      <c r="BC843" s="1035"/>
      <c r="BD843" s="481"/>
      <c r="BE843" s="432"/>
      <c r="BF843" s="646"/>
      <c r="BG843" s="1047"/>
      <c r="BH843" s="1046"/>
      <c r="BI843" s="1048"/>
      <c r="BJ843" s="1030"/>
      <c r="BK843" s="1046"/>
      <c r="BL843" s="1048"/>
      <c r="BM843" s="1046"/>
      <c r="BN843" s="1167"/>
      <c r="BO843" s="1035"/>
      <c r="BP843" s="1043"/>
      <c r="BQ843" s="1167"/>
      <c r="BR843" s="1165"/>
      <c r="BS843" s="1031"/>
      <c r="BT843" s="1038"/>
      <c r="BU843" s="1035"/>
      <c r="BV843" s="1035"/>
      <c r="BW843" s="1049"/>
      <c r="BX843" s="1043"/>
      <c r="BY843" s="1046"/>
      <c r="BZ843" s="1167"/>
      <c r="CA843" s="1165"/>
      <c r="CB843" s="1031"/>
      <c r="CC843" s="1038"/>
      <c r="CD843" s="1035"/>
      <c r="CE843" s="1035"/>
      <c r="CF843" s="1049"/>
      <c r="CG843" s="1043"/>
      <c r="CH843" s="1046"/>
      <c r="CI843" s="1167"/>
      <c r="CJ843" s="1168"/>
      <c r="CK843" s="1169"/>
      <c r="CL843" s="1169"/>
      <c r="CM843" s="1166"/>
      <c r="CN843" s="1169"/>
      <c r="CO843" s="1169"/>
      <c r="CP843" s="452"/>
      <c r="CQ843" s="435"/>
      <c r="CR843" s="1117"/>
      <c r="CS843" s="452"/>
      <c r="CT843" s="482"/>
      <c r="CU843" s="476"/>
      <c r="CV843" s="431"/>
      <c r="CW843" s="1108"/>
      <c r="CX843" s="1108"/>
      <c r="CY843" s="483"/>
      <c r="CZ843" s="437"/>
      <c r="DA843" s="438"/>
      <c r="DB843" s="439"/>
      <c r="DC843" s="439"/>
      <c r="DD843" s="443"/>
      <c r="DE843" s="411"/>
      <c r="DF843" s="411"/>
      <c r="DG843" s="1117"/>
      <c r="DH843" s="1117"/>
      <c r="DI843" s="1117"/>
      <c r="DJ843" s="442"/>
      <c r="DK843" s="482"/>
      <c r="DL843" s="1038"/>
      <c r="DM843" s="1035"/>
      <c r="DN843" s="1035"/>
      <c r="DO843" s="1035"/>
      <c r="DP843" s="1046"/>
      <c r="DQ843" s="1167"/>
      <c r="DR843" s="1168"/>
      <c r="DS843" s="1165"/>
      <c r="DT843" s="1165"/>
      <c r="DU843" s="1165"/>
      <c r="DV843" s="1031"/>
      <c r="DW843" s="1098">
        <f t="shared" si="1176"/>
        <v>0</v>
      </c>
      <c r="DX843" s="1098">
        <f t="shared" si="1177"/>
        <v>0</v>
      </c>
      <c r="DY843" s="1030"/>
      <c r="DZ843" s="1030"/>
      <c r="EA843" s="1031"/>
      <c r="EB843" s="1050"/>
      <c r="EC843" s="1038"/>
      <c r="ED843" s="1035"/>
      <c r="EE843" s="1046"/>
      <c r="EF843" s="1169"/>
      <c r="EG843" s="1168"/>
      <c r="EH843" s="1165"/>
      <c r="EI843" s="1165"/>
      <c r="EJ843" s="1165"/>
      <c r="EK843" s="1031"/>
      <c r="EL843" s="1098">
        <f t="shared" si="1178"/>
        <v>0</v>
      </c>
      <c r="EM843" s="1098">
        <f t="shared" si="1179"/>
        <v>0</v>
      </c>
      <c r="EN843" s="1030"/>
      <c r="EO843" s="1030"/>
      <c r="EP843" s="1031"/>
      <c r="EQ843" s="1050"/>
      <c r="ER843" s="1038"/>
      <c r="ES843" s="1035"/>
      <c r="ET843" s="1051"/>
    </row>
    <row r="844" spans="2:150" ht="16.5" customHeight="1">
      <c r="B844" s="1024"/>
      <c r="C844" s="1025"/>
      <c r="D844" s="408">
        <v>841</v>
      </c>
      <c r="E844" s="1164"/>
      <c r="F844" s="1164"/>
      <c r="G844" s="1026"/>
      <c r="H844" s="411" t="str">
        <f>IFERROR(INDEX(绊状态确认!C:C,MATCH($G844,绊状态确认!$B:$B,)),"")</f>
        <v/>
      </c>
      <c r="I844" s="450" t="str">
        <f>IFERROR(INDEX(绊状态确认!D:D,MATCH($G844,绊状态确认!$B:$B,)),"")</f>
        <v/>
      </c>
      <c r="J844" s="450" t="str">
        <f>IFERROR(INDEX(绊状态确认!E:E,MATCH($G844,绊状态确认!$B:$B,)),"")</f>
        <v/>
      </c>
      <c r="K844" s="451" t="str">
        <f>IFERROR(INDEX(绊状态确认!F:F,MATCH($G844,绊状态确认!$B:$B,)),"")</f>
        <v/>
      </c>
      <c r="L844" s="1026"/>
      <c r="M844" s="1165"/>
      <c r="N844" s="1027"/>
      <c r="O844" s="1026"/>
      <c r="P844" s="1028"/>
      <c r="Q844" s="1029"/>
      <c r="R844" s="1166"/>
      <c r="S844" s="1030"/>
      <c r="T844" s="1031"/>
      <c r="U844" s="1032"/>
      <c r="V844" s="1033"/>
      <c r="W844" s="1034"/>
      <c r="X844" s="1166"/>
      <c r="Y844" s="1035"/>
      <c r="Z844" s="1036"/>
      <c r="AA844" s="1037"/>
      <c r="AB844" s="1038"/>
      <c r="AC844" s="1039"/>
      <c r="AD844" s="1040"/>
      <c r="AE844" s="1041"/>
      <c r="AF844" s="521"/>
      <c r="AG844" s="420"/>
      <c r="AH844" s="420"/>
      <c r="AI844" s="420"/>
      <c r="AJ844" s="420"/>
      <c r="AK844" s="518"/>
      <c r="AL844" s="1042"/>
      <c r="AM844" s="1035"/>
      <c r="AN844" s="1043"/>
      <c r="AO844" s="1167"/>
      <c r="AP844" s="1044"/>
      <c r="AQ844" s="1035"/>
      <c r="AR844" s="1035"/>
      <c r="AS844" s="1035"/>
      <c r="AT844" s="1165"/>
      <c r="AU844" s="1031"/>
      <c r="AV844" s="1045"/>
      <c r="AW844" s="1038"/>
      <c r="AX844" s="1035"/>
      <c r="AY844" s="483"/>
      <c r="AZ844" s="429"/>
      <c r="BA844" s="431"/>
      <c r="BB844" s="1035"/>
      <c r="BC844" s="1035"/>
      <c r="BD844" s="481"/>
      <c r="BE844" s="432"/>
      <c r="BF844" s="646"/>
      <c r="BG844" s="1047"/>
      <c r="BH844" s="1046"/>
      <c r="BI844" s="1048"/>
      <c r="BJ844" s="1030"/>
      <c r="BK844" s="1046"/>
      <c r="BL844" s="1048"/>
      <c r="BM844" s="1046"/>
      <c r="BN844" s="1167"/>
      <c r="BO844" s="1035"/>
      <c r="BP844" s="1043"/>
      <c r="BQ844" s="1167"/>
      <c r="BR844" s="1165"/>
      <c r="BS844" s="1031"/>
      <c r="BT844" s="1038"/>
      <c r="BU844" s="1035"/>
      <c r="BV844" s="1035"/>
      <c r="BW844" s="1049"/>
      <c r="BX844" s="1043"/>
      <c r="BY844" s="1046"/>
      <c r="BZ844" s="1167"/>
      <c r="CA844" s="1165"/>
      <c r="CB844" s="1031"/>
      <c r="CC844" s="1038"/>
      <c r="CD844" s="1035"/>
      <c r="CE844" s="1035"/>
      <c r="CF844" s="1049"/>
      <c r="CG844" s="1043"/>
      <c r="CH844" s="1046"/>
      <c r="CI844" s="1167"/>
      <c r="CJ844" s="1168"/>
      <c r="CK844" s="1169"/>
      <c r="CL844" s="1169"/>
      <c r="CM844" s="1166"/>
      <c r="CN844" s="1169"/>
      <c r="CO844" s="1169"/>
      <c r="CP844" s="452"/>
      <c r="CQ844" s="435"/>
      <c r="CR844" s="1117"/>
      <c r="CS844" s="452"/>
      <c r="CT844" s="482"/>
      <c r="CU844" s="476"/>
      <c r="CV844" s="431"/>
      <c r="CW844" s="1108"/>
      <c r="CX844" s="1108"/>
      <c r="CY844" s="483"/>
      <c r="CZ844" s="437"/>
      <c r="DA844" s="438"/>
      <c r="DB844" s="439"/>
      <c r="DC844" s="439"/>
      <c r="DD844" s="443"/>
      <c r="DE844" s="411"/>
      <c r="DF844" s="411"/>
      <c r="DG844" s="1117"/>
      <c r="DH844" s="1117"/>
      <c r="DI844" s="1117"/>
      <c r="DJ844" s="442"/>
      <c r="DK844" s="482"/>
      <c r="DL844" s="1038"/>
      <c r="DM844" s="1035"/>
      <c r="DN844" s="1035"/>
      <c r="DO844" s="1035"/>
      <c r="DP844" s="1046"/>
      <c r="DQ844" s="1167"/>
      <c r="DR844" s="1168"/>
      <c r="DS844" s="1165"/>
      <c r="DT844" s="1165"/>
      <c r="DU844" s="1165"/>
      <c r="DV844" s="1031"/>
      <c r="DW844" s="1098">
        <f t="shared" si="1176"/>
        <v>0</v>
      </c>
      <c r="DX844" s="1098">
        <f t="shared" si="1177"/>
        <v>0</v>
      </c>
      <c r="DY844" s="1030"/>
      <c r="DZ844" s="1030"/>
      <c r="EA844" s="1031"/>
      <c r="EB844" s="1050"/>
      <c r="EC844" s="1038"/>
      <c r="ED844" s="1035"/>
      <c r="EE844" s="1046"/>
      <c r="EF844" s="1169"/>
      <c r="EG844" s="1168"/>
      <c r="EH844" s="1165"/>
      <c r="EI844" s="1165"/>
      <c r="EJ844" s="1165"/>
      <c r="EK844" s="1031"/>
      <c r="EL844" s="1098">
        <f t="shared" si="1178"/>
        <v>0</v>
      </c>
      <c r="EM844" s="1098">
        <f t="shared" si="1179"/>
        <v>0</v>
      </c>
      <c r="EN844" s="1030"/>
      <c r="EO844" s="1030"/>
      <c r="EP844" s="1031"/>
      <c r="EQ844" s="1050"/>
      <c r="ER844" s="1038"/>
      <c r="ES844" s="1035"/>
      <c r="ET844" s="1051"/>
    </row>
    <row r="845" spans="2:150" ht="16.5" customHeight="1">
      <c r="B845" s="1024"/>
      <c r="C845" s="1025"/>
      <c r="D845" s="408">
        <v>842</v>
      </c>
      <c r="E845" s="1164"/>
      <c r="F845" s="1164"/>
      <c r="G845" s="1026"/>
      <c r="H845" s="411" t="str">
        <f>IFERROR(INDEX(绊状态确认!C:C,MATCH($G845,绊状态确认!$B:$B,)),"")</f>
        <v/>
      </c>
      <c r="I845" s="450" t="str">
        <f>IFERROR(INDEX(绊状态确认!D:D,MATCH($G845,绊状态确认!$B:$B,)),"")</f>
        <v/>
      </c>
      <c r="J845" s="450" t="str">
        <f>IFERROR(INDEX(绊状态确认!E:E,MATCH($G845,绊状态确认!$B:$B,)),"")</f>
        <v/>
      </c>
      <c r="K845" s="451" t="str">
        <f>IFERROR(INDEX(绊状态确认!F:F,MATCH($G845,绊状态确认!$B:$B,)),"")</f>
        <v/>
      </c>
      <c r="L845" s="1026"/>
      <c r="M845" s="1165"/>
      <c r="N845" s="1027"/>
      <c r="O845" s="1026"/>
      <c r="P845" s="1028"/>
      <c r="Q845" s="1029"/>
      <c r="R845" s="1166"/>
      <c r="S845" s="1030"/>
      <c r="T845" s="1031"/>
      <c r="U845" s="1032"/>
      <c r="V845" s="1033"/>
      <c r="W845" s="1034"/>
      <c r="X845" s="1166"/>
      <c r="Y845" s="1035"/>
      <c r="Z845" s="1036"/>
      <c r="AA845" s="1037"/>
      <c r="AB845" s="1038"/>
      <c r="AC845" s="1039"/>
      <c r="AD845" s="1040"/>
      <c r="AE845" s="1041"/>
      <c r="AF845" s="521"/>
      <c r="AG845" s="420"/>
      <c r="AH845" s="420"/>
      <c r="AI845" s="420"/>
      <c r="AJ845" s="420"/>
      <c r="AK845" s="518"/>
      <c r="AL845" s="1042"/>
      <c r="AM845" s="1035"/>
      <c r="AN845" s="1043"/>
      <c r="AO845" s="1167"/>
      <c r="AP845" s="1044"/>
      <c r="AQ845" s="1035"/>
      <c r="AR845" s="1035"/>
      <c r="AS845" s="1035"/>
      <c r="AT845" s="1165"/>
      <c r="AU845" s="1031"/>
      <c r="AV845" s="1045"/>
      <c r="AW845" s="1038"/>
      <c r="AX845" s="1035"/>
      <c r="AY845" s="483"/>
      <c r="AZ845" s="429"/>
      <c r="BA845" s="431"/>
      <c r="BB845" s="1035"/>
      <c r="BC845" s="1035"/>
      <c r="BD845" s="481"/>
      <c r="BE845" s="432"/>
      <c r="BF845" s="646"/>
      <c r="BG845" s="1047"/>
      <c r="BH845" s="1046"/>
      <c r="BI845" s="1048"/>
      <c r="BJ845" s="1030"/>
      <c r="BK845" s="1046"/>
      <c r="BL845" s="1048"/>
      <c r="BM845" s="1046"/>
      <c r="BN845" s="1167"/>
      <c r="BO845" s="1035"/>
      <c r="BP845" s="1043"/>
      <c r="BQ845" s="1167"/>
      <c r="BR845" s="1165"/>
      <c r="BS845" s="1031"/>
      <c r="BT845" s="1038"/>
      <c r="BU845" s="1035"/>
      <c r="BV845" s="1035"/>
      <c r="BW845" s="1049"/>
      <c r="BX845" s="1043"/>
      <c r="BY845" s="1046"/>
      <c r="BZ845" s="1167"/>
      <c r="CA845" s="1165"/>
      <c r="CB845" s="1031"/>
      <c r="CC845" s="1038"/>
      <c r="CD845" s="1035"/>
      <c r="CE845" s="1035"/>
      <c r="CF845" s="1049"/>
      <c r="CG845" s="1043"/>
      <c r="CH845" s="1046"/>
      <c r="CI845" s="1167"/>
      <c r="CJ845" s="1168"/>
      <c r="CK845" s="1169"/>
      <c r="CL845" s="1169"/>
      <c r="CM845" s="1166"/>
      <c r="CN845" s="1169"/>
      <c r="CO845" s="1169"/>
      <c r="CP845" s="452"/>
      <c r="CQ845" s="435"/>
      <c r="CR845" s="1117"/>
      <c r="CS845" s="452"/>
      <c r="CT845" s="482"/>
      <c r="CU845" s="476"/>
      <c r="CV845" s="431"/>
      <c r="CW845" s="1108"/>
      <c r="CX845" s="1108"/>
      <c r="CY845" s="483"/>
      <c r="CZ845" s="437"/>
      <c r="DA845" s="438"/>
      <c r="DB845" s="439"/>
      <c r="DC845" s="439"/>
      <c r="DD845" s="443"/>
      <c r="DE845" s="411"/>
      <c r="DF845" s="411"/>
      <c r="DG845" s="1117"/>
      <c r="DH845" s="1117"/>
      <c r="DI845" s="1117"/>
      <c r="DJ845" s="442"/>
      <c r="DK845" s="482"/>
      <c r="DL845" s="1038"/>
      <c r="DM845" s="1035"/>
      <c r="DN845" s="1035"/>
      <c r="DO845" s="1035"/>
      <c r="DP845" s="1046"/>
      <c r="DQ845" s="1167"/>
      <c r="DR845" s="1168"/>
      <c r="DS845" s="1165"/>
      <c r="DT845" s="1165"/>
      <c r="DU845" s="1165"/>
      <c r="DV845" s="1031"/>
      <c r="DW845" s="1098">
        <f t="shared" si="1176"/>
        <v>0</v>
      </c>
      <c r="DX845" s="1098">
        <f t="shared" si="1177"/>
        <v>0</v>
      </c>
      <c r="DY845" s="1030"/>
      <c r="DZ845" s="1030"/>
      <c r="EA845" s="1031"/>
      <c r="EB845" s="1050"/>
      <c r="EC845" s="1038"/>
      <c r="ED845" s="1035"/>
      <c r="EE845" s="1046"/>
      <c r="EF845" s="1169"/>
      <c r="EG845" s="1168"/>
      <c r="EH845" s="1165"/>
      <c r="EI845" s="1165"/>
      <c r="EJ845" s="1165"/>
      <c r="EK845" s="1031"/>
      <c r="EL845" s="1098">
        <f t="shared" si="1178"/>
        <v>0</v>
      </c>
      <c r="EM845" s="1098">
        <f t="shared" si="1179"/>
        <v>0</v>
      </c>
      <c r="EN845" s="1030"/>
      <c r="EO845" s="1030"/>
      <c r="EP845" s="1031"/>
      <c r="EQ845" s="1050"/>
      <c r="ER845" s="1038"/>
      <c r="ES845" s="1035"/>
      <c r="ET845" s="1051"/>
    </row>
    <row r="846" spans="2:150" ht="16.5" customHeight="1">
      <c r="B846" s="1024"/>
      <c r="C846" s="1025"/>
      <c r="D846" s="408">
        <v>843</v>
      </c>
      <c r="E846" s="1164"/>
      <c r="F846" s="1164"/>
      <c r="G846" s="1026"/>
      <c r="H846" s="411" t="str">
        <f>IFERROR(INDEX(绊状态确认!C:C,MATCH($G846,绊状态确认!$B:$B,)),"")</f>
        <v/>
      </c>
      <c r="I846" s="450" t="str">
        <f>IFERROR(INDEX(绊状态确认!D:D,MATCH($G846,绊状态确认!$B:$B,)),"")</f>
        <v/>
      </c>
      <c r="J846" s="450" t="str">
        <f>IFERROR(INDEX(绊状态确认!E:E,MATCH($G846,绊状态确认!$B:$B,)),"")</f>
        <v/>
      </c>
      <c r="K846" s="451" t="str">
        <f>IFERROR(INDEX(绊状态确认!F:F,MATCH($G846,绊状态确认!$B:$B,)),"")</f>
        <v/>
      </c>
      <c r="L846" s="1026"/>
      <c r="M846" s="1165"/>
      <c r="N846" s="1027"/>
      <c r="O846" s="1026"/>
      <c r="P846" s="1028"/>
      <c r="Q846" s="1029"/>
      <c r="R846" s="1166"/>
      <c r="S846" s="1030"/>
      <c r="T846" s="1031"/>
      <c r="U846" s="1032"/>
      <c r="V846" s="1033"/>
      <c r="W846" s="1034"/>
      <c r="X846" s="1166"/>
      <c r="Y846" s="1035"/>
      <c r="Z846" s="1036"/>
      <c r="AA846" s="1037"/>
      <c r="AB846" s="1038"/>
      <c r="AC846" s="1039"/>
      <c r="AD846" s="1040"/>
      <c r="AE846" s="1041"/>
      <c r="AF846" s="521"/>
      <c r="AG846" s="420"/>
      <c r="AH846" s="420"/>
      <c r="AI846" s="420"/>
      <c r="AJ846" s="420"/>
      <c r="AK846" s="518"/>
      <c r="AL846" s="1042"/>
      <c r="AM846" s="1035"/>
      <c r="AN846" s="1043"/>
      <c r="AO846" s="1167"/>
      <c r="AP846" s="1044"/>
      <c r="AQ846" s="1035"/>
      <c r="AR846" s="1035"/>
      <c r="AS846" s="1035"/>
      <c r="AT846" s="1165"/>
      <c r="AU846" s="1031"/>
      <c r="AV846" s="1045"/>
      <c r="AW846" s="1038"/>
      <c r="AX846" s="1035"/>
      <c r="AY846" s="483"/>
      <c r="AZ846" s="429"/>
      <c r="BA846" s="431"/>
      <c r="BB846" s="1035"/>
      <c r="BC846" s="1035"/>
      <c r="BD846" s="481"/>
      <c r="BE846" s="432"/>
      <c r="BF846" s="646"/>
      <c r="BG846" s="1047"/>
      <c r="BH846" s="1046"/>
      <c r="BI846" s="1048"/>
      <c r="BJ846" s="1030"/>
      <c r="BK846" s="1046"/>
      <c r="BL846" s="1048"/>
      <c r="BM846" s="1046"/>
      <c r="BN846" s="1167"/>
      <c r="BO846" s="1035"/>
      <c r="BP846" s="1043"/>
      <c r="BQ846" s="1167"/>
      <c r="BR846" s="1165"/>
      <c r="BS846" s="1031"/>
      <c r="BT846" s="1038"/>
      <c r="BU846" s="1035"/>
      <c r="BV846" s="1035"/>
      <c r="BW846" s="1049"/>
      <c r="BX846" s="1043"/>
      <c r="BY846" s="1046"/>
      <c r="BZ846" s="1167"/>
      <c r="CA846" s="1165"/>
      <c r="CB846" s="1031"/>
      <c r="CC846" s="1038"/>
      <c r="CD846" s="1035"/>
      <c r="CE846" s="1035"/>
      <c r="CF846" s="1049"/>
      <c r="CG846" s="1043"/>
      <c r="CH846" s="1046"/>
      <c r="CI846" s="1167"/>
      <c r="CJ846" s="1168"/>
      <c r="CK846" s="1169"/>
      <c r="CL846" s="1169"/>
      <c r="CM846" s="1166"/>
      <c r="CN846" s="1169"/>
      <c r="CO846" s="1169"/>
      <c r="CP846" s="452"/>
      <c r="CQ846" s="435"/>
      <c r="CR846" s="1117"/>
      <c r="CS846" s="452"/>
      <c r="CT846" s="482"/>
      <c r="CU846" s="476"/>
      <c r="CV846" s="431"/>
      <c r="CW846" s="1108"/>
      <c r="CX846" s="1108"/>
      <c r="CY846" s="483"/>
      <c r="CZ846" s="437"/>
      <c r="DA846" s="438"/>
      <c r="DB846" s="439"/>
      <c r="DC846" s="439"/>
      <c r="DD846" s="443"/>
      <c r="DE846" s="411"/>
      <c r="DF846" s="411"/>
      <c r="DG846" s="1117"/>
      <c r="DH846" s="1117"/>
      <c r="DI846" s="1117"/>
      <c r="DJ846" s="442"/>
      <c r="DK846" s="482"/>
      <c r="DL846" s="1038"/>
      <c r="DM846" s="1035"/>
      <c r="DN846" s="1035"/>
      <c r="DO846" s="1035"/>
      <c r="DP846" s="1046"/>
      <c r="DQ846" s="1167"/>
      <c r="DR846" s="1168"/>
      <c r="DS846" s="1165"/>
      <c r="DT846" s="1165"/>
      <c r="DU846" s="1165"/>
      <c r="DV846" s="1031"/>
      <c r="DW846" s="1098">
        <f t="shared" si="1176"/>
        <v>0</v>
      </c>
      <c r="DX846" s="1098">
        <f t="shared" si="1177"/>
        <v>0</v>
      </c>
      <c r="DY846" s="1030"/>
      <c r="DZ846" s="1030"/>
      <c r="EA846" s="1031"/>
      <c r="EB846" s="1050"/>
      <c r="EC846" s="1038"/>
      <c r="ED846" s="1035"/>
      <c r="EE846" s="1046"/>
      <c r="EF846" s="1169"/>
      <c r="EG846" s="1168"/>
      <c r="EH846" s="1165"/>
      <c r="EI846" s="1165"/>
      <c r="EJ846" s="1165"/>
      <c r="EK846" s="1031"/>
      <c r="EL846" s="1098">
        <f t="shared" si="1178"/>
        <v>0</v>
      </c>
      <c r="EM846" s="1098">
        <f t="shared" si="1179"/>
        <v>0</v>
      </c>
      <c r="EN846" s="1030"/>
      <c r="EO846" s="1030"/>
      <c r="EP846" s="1031"/>
      <c r="EQ846" s="1050"/>
      <c r="ER846" s="1038"/>
      <c r="ES846" s="1035"/>
      <c r="ET846" s="1051"/>
    </row>
    <row r="847" spans="2:150" ht="16.5" customHeight="1">
      <c r="B847" s="1024"/>
      <c r="C847" s="1025"/>
      <c r="D847" s="408">
        <v>844</v>
      </c>
      <c r="E847" s="1164"/>
      <c r="F847" s="1164"/>
      <c r="G847" s="1026"/>
      <c r="H847" s="411" t="str">
        <f>IFERROR(INDEX(绊状态确认!C:C,MATCH($G847,绊状态确认!$B:$B,)),"")</f>
        <v/>
      </c>
      <c r="I847" s="450" t="str">
        <f>IFERROR(INDEX(绊状态确认!D:D,MATCH($G847,绊状态确认!$B:$B,)),"")</f>
        <v/>
      </c>
      <c r="J847" s="450" t="str">
        <f>IFERROR(INDEX(绊状态确认!E:E,MATCH($G847,绊状态确认!$B:$B,)),"")</f>
        <v/>
      </c>
      <c r="K847" s="451" t="str">
        <f>IFERROR(INDEX(绊状态确认!F:F,MATCH($G847,绊状态确认!$B:$B,)),"")</f>
        <v/>
      </c>
      <c r="L847" s="1026"/>
      <c r="M847" s="1165"/>
      <c r="N847" s="1027"/>
      <c r="O847" s="1026"/>
      <c r="P847" s="1028"/>
      <c r="Q847" s="1029"/>
      <c r="R847" s="1166"/>
      <c r="S847" s="1030"/>
      <c r="T847" s="1031"/>
      <c r="U847" s="1032"/>
      <c r="V847" s="1033"/>
      <c r="W847" s="1034"/>
      <c r="X847" s="1166"/>
      <c r="Y847" s="1035"/>
      <c r="Z847" s="1036"/>
      <c r="AA847" s="1037"/>
      <c r="AB847" s="1038"/>
      <c r="AC847" s="1039"/>
      <c r="AD847" s="1040"/>
      <c r="AE847" s="1041"/>
      <c r="AF847" s="521"/>
      <c r="AG847" s="420"/>
      <c r="AH847" s="420"/>
      <c r="AI847" s="420"/>
      <c r="AJ847" s="420"/>
      <c r="AK847" s="518"/>
      <c r="AL847" s="1042"/>
      <c r="AM847" s="1035"/>
      <c r="AN847" s="1043"/>
      <c r="AO847" s="1167"/>
      <c r="AP847" s="1044"/>
      <c r="AQ847" s="1035"/>
      <c r="AR847" s="1035"/>
      <c r="AS847" s="1035"/>
      <c r="AT847" s="1165"/>
      <c r="AU847" s="1031"/>
      <c r="AV847" s="1045"/>
      <c r="AW847" s="1038"/>
      <c r="AX847" s="1035"/>
      <c r="AY847" s="483"/>
      <c r="AZ847" s="429"/>
      <c r="BA847" s="431"/>
      <c r="BB847" s="1035"/>
      <c r="BC847" s="1035"/>
      <c r="BD847" s="481"/>
      <c r="BE847" s="432"/>
      <c r="BF847" s="646"/>
      <c r="BG847" s="1047"/>
      <c r="BH847" s="1046"/>
      <c r="BI847" s="1048"/>
      <c r="BJ847" s="1030"/>
      <c r="BK847" s="1046"/>
      <c r="BL847" s="1048"/>
      <c r="BM847" s="1046"/>
      <c r="BN847" s="1167"/>
      <c r="BO847" s="1035"/>
      <c r="BP847" s="1043"/>
      <c r="BQ847" s="1167"/>
      <c r="BR847" s="1165"/>
      <c r="BS847" s="1031"/>
      <c r="BT847" s="1038"/>
      <c r="BU847" s="1035"/>
      <c r="BV847" s="1035"/>
      <c r="BW847" s="1049"/>
      <c r="BX847" s="1043"/>
      <c r="BY847" s="1046"/>
      <c r="BZ847" s="1167"/>
      <c r="CA847" s="1165"/>
      <c r="CB847" s="1031"/>
      <c r="CC847" s="1038"/>
      <c r="CD847" s="1035"/>
      <c r="CE847" s="1035"/>
      <c r="CF847" s="1049"/>
      <c r="CG847" s="1043"/>
      <c r="CH847" s="1046"/>
      <c r="CI847" s="1167"/>
      <c r="CJ847" s="1168"/>
      <c r="CK847" s="1169"/>
      <c r="CL847" s="1169"/>
      <c r="CM847" s="1166"/>
      <c r="CN847" s="1169"/>
      <c r="CO847" s="1169"/>
      <c r="CP847" s="452"/>
      <c r="CQ847" s="435"/>
      <c r="CR847" s="441"/>
      <c r="CS847" s="452"/>
      <c r="CT847" s="482"/>
      <c r="CU847" s="476"/>
      <c r="CV847" s="431"/>
      <c r="CW847" s="1108"/>
      <c r="CX847" s="1108"/>
      <c r="CY847" s="483"/>
      <c r="CZ847" s="437"/>
      <c r="DA847" s="438"/>
      <c r="DB847" s="439"/>
      <c r="DC847" s="439"/>
      <c r="DD847" s="443"/>
      <c r="DE847" s="411"/>
      <c r="DF847" s="411"/>
      <c r="DG847" s="1117"/>
      <c r="DH847" s="1117"/>
      <c r="DI847" s="1117"/>
      <c r="DJ847" s="442"/>
      <c r="DK847" s="482"/>
      <c r="DL847" s="1038"/>
      <c r="DM847" s="1035"/>
      <c r="DN847" s="1035"/>
      <c r="DO847" s="1035"/>
      <c r="DP847" s="1046"/>
      <c r="DQ847" s="1167"/>
      <c r="DR847" s="1168"/>
      <c r="DS847" s="1165"/>
      <c r="DT847" s="1165"/>
      <c r="DU847" s="1165"/>
      <c r="DV847" s="1031"/>
      <c r="DW847" s="1098">
        <f t="shared" si="1176"/>
        <v>0</v>
      </c>
      <c r="DX847" s="1098">
        <f t="shared" si="1177"/>
        <v>0</v>
      </c>
      <c r="DY847" s="1030"/>
      <c r="DZ847" s="1030"/>
      <c r="EA847" s="1031"/>
      <c r="EB847" s="1050"/>
      <c r="EC847" s="1038"/>
      <c r="ED847" s="1035"/>
      <c r="EE847" s="1046"/>
      <c r="EF847" s="1169"/>
      <c r="EG847" s="1168"/>
      <c r="EH847" s="1165"/>
      <c r="EI847" s="1165"/>
      <c r="EJ847" s="1165"/>
      <c r="EK847" s="1031"/>
      <c r="EL847" s="1098">
        <f t="shared" si="1178"/>
        <v>0</v>
      </c>
      <c r="EM847" s="1098">
        <f t="shared" si="1179"/>
        <v>0</v>
      </c>
      <c r="EN847" s="1030"/>
      <c r="EO847" s="1030"/>
      <c r="EP847" s="1031"/>
      <c r="EQ847" s="1050"/>
      <c r="ER847" s="1038"/>
      <c r="ES847" s="1035"/>
      <c r="ET847" s="1051"/>
    </row>
    <row r="848" spans="2:150" ht="16.5" customHeight="1">
      <c r="B848" s="1024"/>
      <c r="C848" s="1025"/>
      <c r="D848" s="408">
        <v>845</v>
      </c>
      <c r="E848" s="1164"/>
      <c r="F848" s="1164"/>
      <c r="G848" s="1026"/>
      <c r="H848" s="411" t="str">
        <f>IFERROR(INDEX(绊状态确认!C:C,MATCH($G848,绊状态确认!$B:$B,)),"")</f>
        <v/>
      </c>
      <c r="I848" s="450" t="str">
        <f>IFERROR(INDEX(绊状态确认!D:D,MATCH($G848,绊状态确认!$B:$B,)),"")</f>
        <v/>
      </c>
      <c r="J848" s="450" t="str">
        <f>IFERROR(INDEX(绊状态确认!E:E,MATCH($G848,绊状态确认!$B:$B,)),"")</f>
        <v/>
      </c>
      <c r="K848" s="451" t="str">
        <f>IFERROR(INDEX(绊状态确认!F:F,MATCH($G848,绊状态确认!$B:$B,)),"")</f>
        <v/>
      </c>
      <c r="L848" s="1026"/>
      <c r="M848" s="1165"/>
      <c r="N848" s="1027"/>
      <c r="O848" s="1026"/>
      <c r="P848" s="1028"/>
      <c r="Q848" s="1029"/>
      <c r="R848" s="1166"/>
      <c r="S848" s="1030"/>
      <c r="T848" s="1031"/>
      <c r="U848" s="1032"/>
      <c r="V848" s="1033"/>
      <c r="W848" s="1034"/>
      <c r="X848" s="1166"/>
      <c r="Y848" s="1035"/>
      <c r="Z848" s="1036"/>
      <c r="AA848" s="1037"/>
      <c r="AB848" s="1038"/>
      <c r="AC848" s="1039"/>
      <c r="AD848" s="1040"/>
      <c r="AE848" s="1041"/>
      <c r="AF848" s="521"/>
      <c r="AG848" s="420"/>
      <c r="AH848" s="420"/>
      <c r="AI848" s="420"/>
      <c r="AJ848" s="420"/>
      <c r="AK848" s="518"/>
      <c r="AL848" s="1042"/>
      <c r="AM848" s="1035"/>
      <c r="AN848" s="1043"/>
      <c r="AO848" s="1167"/>
      <c r="AP848" s="1044"/>
      <c r="AQ848" s="1035"/>
      <c r="AR848" s="1035"/>
      <c r="AS848" s="1035"/>
      <c r="AT848" s="1165"/>
      <c r="AU848" s="1031"/>
      <c r="AV848" s="1045"/>
      <c r="AW848" s="1038"/>
      <c r="AX848" s="1035"/>
      <c r="AY848" s="483"/>
      <c r="AZ848" s="429"/>
      <c r="BA848" s="431"/>
      <c r="BB848" s="1035"/>
      <c r="BC848" s="1035"/>
      <c r="BD848" s="481"/>
      <c r="BE848" s="432"/>
      <c r="BF848" s="646"/>
      <c r="BG848" s="1047"/>
      <c r="BH848" s="1046"/>
      <c r="BI848" s="1048"/>
      <c r="BJ848" s="1030"/>
      <c r="BK848" s="1046"/>
      <c r="BL848" s="1048"/>
      <c r="BM848" s="1046"/>
      <c r="BN848" s="1167"/>
      <c r="BO848" s="1035"/>
      <c r="BP848" s="1043"/>
      <c r="BQ848" s="1167"/>
      <c r="BR848" s="1165"/>
      <c r="BS848" s="1031"/>
      <c r="BT848" s="1038"/>
      <c r="BU848" s="1035"/>
      <c r="BV848" s="1035"/>
      <c r="BW848" s="1049"/>
      <c r="BX848" s="1043"/>
      <c r="BY848" s="1046"/>
      <c r="BZ848" s="1167"/>
      <c r="CA848" s="1165"/>
      <c r="CB848" s="1031"/>
      <c r="CC848" s="1038"/>
      <c r="CD848" s="1035"/>
      <c r="CE848" s="1035"/>
      <c r="CF848" s="1049"/>
      <c r="CG848" s="1043"/>
      <c r="CH848" s="1046"/>
      <c r="CI848" s="1167"/>
      <c r="CJ848" s="1168"/>
      <c r="CK848" s="1169"/>
      <c r="CL848" s="1169"/>
      <c r="CM848" s="1166"/>
      <c r="CN848" s="1169"/>
      <c r="CO848" s="1169"/>
      <c r="CP848" s="452"/>
      <c r="CQ848" s="435"/>
      <c r="CR848" s="1117"/>
      <c r="CS848" s="452"/>
      <c r="CT848" s="482"/>
      <c r="CU848" s="476"/>
      <c r="CV848" s="431"/>
      <c r="CW848" s="1108"/>
      <c r="CX848" s="1108"/>
      <c r="CY848" s="483"/>
      <c r="CZ848" s="437"/>
      <c r="DA848" s="438"/>
      <c r="DB848" s="439"/>
      <c r="DC848" s="439"/>
      <c r="DD848" s="443"/>
      <c r="DE848" s="411"/>
      <c r="DF848" s="411"/>
      <c r="DG848" s="1117"/>
      <c r="DH848" s="1117"/>
      <c r="DI848" s="1117"/>
      <c r="DJ848" s="442"/>
      <c r="DK848" s="482"/>
      <c r="DL848" s="1038"/>
      <c r="DM848" s="1035"/>
      <c r="DN848" s="1035"/>
      <c r="DO848" s="1035"/>
      <c r="DP848" s="1046"/>
      <c r="DQ848" s="1167"/>
      <c r="DR848" s="1168"/>
      <c r="DS848" s="1165"/>
      <c r="DT848" s="1165"/>
      <c r="DU848" s="1165"/>
      <c r="DV848" s="1031"/>
      <c r="DW848" s="1098">
        <f t="shared" si="1176"/>
        <v>0</v>
      </c>
      <c r="DX848" s="1098">
        <f t="shared" si="1177"/>
        <v>0</v>
      </c>
      <c r="DY848" s="1030"/>
      <c r="DZ848" s="1030"/>
      <c r="EA848" s="1031"/>
      <c r="EB848" s="1050"/>
      <c r="EC848" s="1038"/>
      <c r="ED848" s="1035"/>
      <c r="EE848" s="1046"/>
      <c r="EF848" s="1169"/>
      <c r="EG848" s="1168"/>
      <c r="EH848" s="1165"/>
      <c r="EI848" s="1165"/>
      <c r="EJ848" s="1165"/>
      <c r="EK848" s="1031"/>
      <c r="EL848" s="1098">
        <f t="shared" si="1178"/>
        <v>0</v>
      </c>
      <c r="EM848" s="1098">
        <f t="shared" si="1179"/>
        <v>0</v>
      </c>
      <c r="EN848" s="1030"/>
      <c r="EO848" s="1030"/>
      <c r="EP848" s="1031"/>
      <c r="EQ848" s="1050"/>
      <c r="ER848" s="1038"/>
      <c r="ES848" s="1035"/>
      <c r="ET848" s="1051"/>
    </row>
    <row r="849" spans="2:150" ht="16.5" customHeight="1">
      <c r="B849" s="1024"/>
      <c r="C849" s="1025"/>
      <c r="D849" s="408">
        <v>846</v>
      </c>
      <c r="E849" s="1164"/>
      <c r="F849" s="1164"/>
      <c r="G849" s="1026"/>
      <c r="H849" s="411" t="str">
        <f>IFERROR(INDEX(绊状态确认!C:C,MATCH($G849,绊状态确认!$B:$B,)),"")</f>
        <v/>
      </c>
      <c r="I849" s="450" t="str">
        <f>IFERROR(INDEX(绊状态确认!D:D,MATCH($G849,绊状态确认!$B:$B,)),"")</f>
        <v/>
      </c>
      <c r="J849" s="450" t="str">
        <f>IFERROR(INDEX(绊状态确认!E:E,MATCH($G849,绊状态确认!$B:$B,)),"")</f>
        <v/>
      </c>
      <c r="K849" s="451" t="str">
        <f>IFERROR(INDEX(绊状态确认!F:F,MATCH($G849,绊状态确认!$B:$B,)),"")</f>
        <v/>
      </c>
      <c r="L849" s="1026"/>
      <c r="M849" s="1165"/>
      <c r="N849" s="1027"/>
      <c r="O849" s="1026"/>
      <c r="P849" s="1028"/>
      <c r="Q849" s="1029"/>
      <c r="R849" s="1166"/>
      <c r="S849" s="1030"/>
      <c r="T849" s="1031"/>
      <c r="U849" s="1032"/>
      <c r="V849" s="1033"/>
      <c r="W849" s="1034"/>
      <c r="X849" s="1166"/>
      <c r="Y849" s="1035"/>
      <c r="Z849" s="1036"/>
      <c r="AA849" s="1037"/>
      <c r="AB849" s="1038"/>
      <c r="AC849" s="1039"/>
      <c r="AD849" s="1040"/>
      <c r="AE849" s="1041"/>
      <c r="AF849" s="521"/>
      <c r="AG849" s="420"/>
      <c r="AH849" s="420"/>
      <c r="AI849" s="420"/>
      <c r="AJ849" s="420"/>
      <c r="AK849" s="518"/>
      <c r="AL849" s="1042"/>
      <c r="AM849" s="1035"/>
      <c r="AN849" s="1043"/>
      <c r="AO849" s="1167"/>
      <c r="AP849" s="1044"/>
      <c r="AQ849" s="1035"/>
      <c r="AR849" s="1035"/>
      <c r="AS849" s="1035"/>
      <c r="AT849" s="1165"/>
      <c r="AU849" s="1031"/>
      <c r="AV849" s="1045"/>
      <c r="AW849" s="1038"/>
      <c r="AX849" s="1035"/>
      <c r="AY849" s="483"/>
      <c r="AZ849" s="429"/>
      <c r="BA849" s="431"/>
      <c r="BB849" s="1035"/>
      <c r="BC849" s="1035"/>
      <c r="BD849" s="481"/>
      <c r="BE849" s="432"/>
      <c r="BF849" s="646"/>
      <c r="BG849" s="1047"/>
      <c r="BH849" s="1046"/>
      <c r="BI849" s="1048"/>
      <c r="BJ849" s="1030"/>
      <c r="BK849" s="1046"/>
      <c r="BL849" s="1048"/>
      <c r="BM849" s="1046"/>
      <c r="BN849" s="1167"/>
      <c r="BO849" s="1035"/>
      <c r="BP849" s="1043"/>
      <c r="BQ849" s="1167"/>
      <c r="BR849" s="1165"/>
      <c r="BS849" s="1031"/>
      <c r="BT849" s="1038"/>
      <c r="BU849" s="1035"/>
      <c r="BV849" s="1035"/>
      <c r="BW849" s="1049"/>
      <c r="BX849" s="1043"/>
      <c r="BY849" s="1046"/>
      <c r="BZ849" s="1167"/>
      <c r="CA849" s="1165"/>
      <c r="CB849" s="1031"/>
      <c r="CC849" s="1038"/>
      <c r="CD849" s="1035"/>
      <c r="CE849" s="1035"/>
      <c r="CF849" s="1049"/>
      <c r="CG849" s="1043"/>
      <c r="CH849" s="1046"/>
      <c r="CI849" s="1167"/>
      <c r="CJ849" s="1168"/>
      <c r="CK849" s="1169"/>
      <c r="CL849" s="1169"/>
      <c r="CM849" s="1166"/>
      <c r="CN849" s="1169"/>
      <c r="CO849" s="1169"/>
      <c r="CP849" s="452"/>
      <c r="CQ849" s="435"/>
      <c r="CR849" s="1117"/>
      <c r="CS849" s="452"/>
      <c r="CT849" s="482"/>
      <c r="CU849" s="476"/>
      <c r="CV849" s="431"/>
      <c r="CW849" s="1108"/>
      <c r="CX849" s="1108"/>
      <c r="CY849" s="483"/>
      <c r="CZ849" s="437"/>
      <c r="DA849" s="438"/>
      <c r="DB849" s="439"/>
      <c r="DC849" s="439"/>
      <c r="DD849" s="443"/>
      <c r="DE849" s="411"/>
      <c r="DF849" s="411"/>
      <c r="DG849" s="1117"/>
      <c r="DH849" s="1117"/>
      <c r="DI849" s="1117"/>
      <c r="DJ849" s="442"/>
      <c r="DK849" s="482"/>
      <c r="DL849" s="1038"/>
      <c r="DM849" s="1035"/>
      <c r="DN849" s="1035"/>
      <c r="DO849" s="1035"/>
      <c r="DP849" s="1046"/>
      <c r="DQ849" s="1167"/>
      <c r="DR849" s="1168"/>
      <c r="DS849" s="1165"/>
      <c r="DT849" s="1165"/>
      <c r="DU849" s="1165"/>
      <c r="DV849" s="1031"/>
      <c r="DW849" s="1098">
        <f t="shared" si="1176"/>
        <v>0</v>
      </c>
      <c r="DX849" s="1098">
        <f t="shared" si="1177"/>
        <v>0</v>
      </c>
      <c r="DY849" s="1030"/>
      <c r="DZ849" s="1030"/>
      <c r="EA849" s="1031"/>
      <c r="EB849" s="1050"/>
      <c r="EC849" s="1038"/>
      <c r="ED849" s="1035"/>
      <c r="EE849" s="1046"/>
      <c r="EF849" s="1169"/>
      <c r="EG849" s="1168"/>
      <c r="EH849" s="1165"/>
      <c r="EI849" s="1165"/>
      <c r="EJ849" s="1165"/>
      <c r="EK849" s="1031"/>
      <c r="EL849" s="1098">
        <f t="shared" si="1178"/>
        <v>0</v>
      </c>
      <c r="EM849" s="1098">
        <f t="shared" si="1179"/>
        <v>0</v>
      </c>
      <c r="EN849" s="1030"/>
      <c r="EO849" s="1030"/>
      <c r="EP849" s="1031"/>
      <c r="EQ849" s="1050"/>
      <c r="ER849" s="1038"/>
      <c r="ES849" s="1035"/>
      <c r="ET849" s="1051"/>
    </row>
    <row r="850" spans="2:150" ht="16.5" customHeight="1">
      <c r="B850" s="1024"/>
      <c r="C850" s="1025"/>
      <c r="D850" s="408">
        <v>847</v>
      </c>
      <c r="E850" s="1164"/>
      <c r="F850" s="1164"/>
      <c r="G850" s="1026"/>
      <c r="H850" s="411" t="str">
        <f>IFERROR(INDEX(绊状态确认!C:C,MATCH($G850,绊状态确认!$B:$B,)),"")</f>
        <v/>
      </c>
      <c r="I850" s="450" t="str">
        <f>IFERROR(INDEX(绊状态确认!D:D,MATCH($G850,绊状态确认!$B:$B,)),"")</f>
        <v/>
      </c>
      <c r="J850" s="450" t="str">
        <f>IFERROR(INDEX(绊状态确认!E:E,MATCH($G850,绊状态确认!$B:$B,)),"")</f>
        <v/>
      </c>
      <c r="K850" s="451" t="str">
        <f>IFERROR(INDEX(绊状态确认!F:F,MATCH($G850,绊状态确认!$B:$B,)),"")</f>
        <v/>
      </c>
      <c r="L850" s="1026"/>
      <c r="M850" s="1165"/>
      <c r="N850" s="1027"/>
      <c r="O850" s="1026"/>
      <c r="P850" s="1028"/>
      <c r="Q850" s="1029"/>
      <c r="R850" s="1166"/>
      <c r="S850" s="1030"/>
      <c r="T850" s="1031"/>
      <c r="U850" s="1032"/>
      <c r="V850" s="1033"/>
      <c r="W850" s="1034"/>
      <c r="X850" s="1166"/>
      <c r="Y850" s="1035"/>
      <c r="Z850" s="1036"/>
      <c r="AA850" s="1037"/>
      <c r="AB850" s="1038"/>
      <c r="AC850" s="1039"/>
      <c r="AD850" s="1040"/>
      <c r="AE850" s="1041"/>
      <c r="AF850" s="521"/>
      <c r="AG850" s="420"/>
      <c r="AH850" s="420"/>
      <c r="AI850" s="420"/>
      <c r="AJ850" s="420"/>
      <c r="AK850" s="518"/>
      <c r="AL850" s="1042"/>
      <c r="AM850" s="1035"/>
      <c r="AN850" s="1043"/>
      <c r="AO850" s="1167"/>
      <c r="AP850" s="1044"/>
      <c r="AQ850" s="1035"/>
      <c r="AR850" s="1035"/>
      <c r="AS850" s="1035"/>
      <c r="AT850" s="1165"/>
      <c r="AU850" s="1031"/>
      <c r="AV850" s="1045"/>
      <c r="AW850" s="1038"/>
      <c r="AX850" s="1035"/>
      <c r="AY850" s="483"/>
      <c r="AZ850" s="429"/>
      <c r="BA850" s="431"/>
      <c r="BB850" s="1035"/>
      <c r="BC850" s="1035"/>
      <c r="BD850" s="481"/>
      <c r="BE850" s="432"/>
      <c r="BF850" s="646"/>
      <c r="BG850" s="1047"/>
      <c r="BH850" s="1046"/>
      <c r="BI850" s="1048"/>
      <c r="BJ850" s="1030"/>
      <c r="BK850" s="1046"/>
      <c r="BL850" s="1048"/>
      <c r="BM850" s="1046"/>
      <c r="BN850" s="1167"/>
      <c r="BO850" s="1035"/>
      <c r="BP850" s="1043"/>
      <c r="BQ850" s="1167"/>
      <c r="BR850" s="1165"/>
      <c r="BS850" s="1031"/>
      <c r="BT850" s="1038"/>
      <c r="BU850" s="1035"/>
      <c r="BV850" s="1035"/>
      <c r="BW850" s="1049"/>
      <c r="BX850" s="1043"/>
      <c r="BY850" s="1046"/>
      <c r="BZ850" s="1167"/>
      <c r="CA850" s="1165"/>
      <c r="CB850" s="1031"/>
      <c r="CC850" s="1038"/>
      <c r="CD850" s="1035"/>
      <c r="CE850" s="1035"/>
      <c r="CF850" s="1049"/>
      <c r="CG850" s="1043"/>
      <c r="CH850" s="1046"/>
      <c r="CI850" s="1167"/>
      <c r="CJ850" s="1168"/>
      <c r="CK850" s="1169"/>
      <c r="CL850" s="1169"/>
      <c r="CM850" s="1166"/>
      <c r="CN850" s="1169"/>
      <c r="CO850" s="1169"/>
      <c r="CP850" s="452"/>
      <c r="CQ850" s="435"/>
      <c r="CR850" s="1117"/>
      <c r="CS850" s="452"/>
      <c r="CT850" s="482"/>
      <c r="CU850" s="476"/>
      <c r="CV850" s="431"/>
      <c r="CW850" s="1108"/>
      <c r="CX850" s="1108"/>
      <c r="CY850" s="483"/>
      <c r="CZ850" s="437"/>
      <c r="DA850" s="438"/>
      <c r="DB850" s="439"/>
      <c r="DC850" s="439"/>
      <c r="DD850" s="443"/>
      <c r="DE850" s="411"/>
      <c r="DF850" s="411"/>
      <c r="DG850" s="1117"/>
      <c r="DH850" s="1117"/>
      <c r="DI850" s="1117"/>
      <c r="DJ850" s="442"/>
      <c r="DK850" s="482"/>
      <c r="DL850" s="1038"/>
      <c r="DM850" s="1035"/>
      <c r="DN850" s="1035"/>
      <c r="DO850" s="1035"/>
      <c r="DP850" s="1046"/>
      <c r="DQ850" s="1167"/>
      <c r="DR850" s="1168"/>
      <c r="DS850" s="1165"/>
      <c r="DT850" s="1165"/>
      <c r="DU850" s="1165"/>
      <c r="DV850" s="1031"/>
      <c r="DW850" s="1098">
        <f t="shared" si="1176"/>
        <v>0</v>
      </c>
      <c r="DX850" s="1098">
        <f t="shared" si="1177"/>
        <v>0</v>
      </c>
      <c r="DY850" s="1030"/>
      <c r="DZ850" s="1030"/>
      <c r="EA850" s="1031"/>
      <c r="EB850" s="1050"/>
      <c r="EC850" s="1038"/>
      <c r="ED850" s="1035"/>
      <c r="EE850" s="1046"/>
      <c r="EF850" s="1169"/>
      <c r="EG850" s="1168"/>
      <c r="EH850" s="1165"/>
      <c r="EI850" s="1165"/>
      <c r="EJ850" s="1165"/>
      <c r="EK850" s="1031"/>
      <c r="EL850" s="1098">
        <f t="shared" si="1178"/>
        <v>0</v>
      </c>
      <c r="EM850" s="1098">
        <f t="shared" si="1179"/>
        <v>0</v>
      </c>
      <c r="EN850" s="1030"/>
      <c r="EO850" s="1030"/>
      <c r="EP850" s="1031"/>
      <c r="EQ850" s="1050"/>
      <c r="ER850" s="1038"/>
      <c r="ES850" s="1035"/>
      <c r="ET850" s="1051"/>
    </row>
    <row r="851" spans="2:150" ht="16.5" customHeight="1">
      <c r="B851" s="1024"/>
      <c r="C851" s="1025"/>
      <c r="D851" s="408">
        <v>848</v>
      </c>
      <c r="E851" s="1164"/>
      <c r="F851" s="1164"/>
      <c r="G851" s="1026"/>
      <c r="H851" s="411" t="str">
        <f>IFERROR(INDEX(绊状态确认!C:C,MATCH($G851,绊状态确认!$B:$B,)),"")</f>
        <v/>
      </c>
      <c r="I851" s="450" t="str">
        <f>IFERROR(INDEX(绊状态确认!D:D,MATCH($G851,绊状态确认!$B:$B,)),"")</f>
        <v/>
      </c>
      <c r="J851" s="450" t="str">
        <f>IFERROR(INDEX(绊状态确认!E:E,MATCH($G851,绊状态确认!$B:$B,)),"")</f>
        <v/>
      </c>
      <c r="K851" s="451" t="str">
        <f>IFERROR(INDEX(绊状态确认!F:F,MATCH($G851,绊状态确认!$B:$B,)),"")</f>
        <v/>
      </c>
      <c r="L851" s="1026"/>
      <c r="M851" s="1165"/>
      <c r="N851" s="1027"/>
      <c r="O851" s="1026"/>
      <c r="P851" s="1028"/>
      <c r="Q851" s="1029"/>
      <c r="R851" s="1166"/>
      <c r="S851" s="1030"/>
      <c r="T851" s="1031"/>
      <c r="U851" s="1032"/>
      <c r="V851" s="1033"/>
      <c r="W851" s="1034"/>
      <c r="X851" s="1166"/>
      <c r="Y851" s="1035"/>
      <c r="Z851" s="1036"/>
      <c r="AA851" s="1037"/>
      <c r="AB851" s="1038"/>
      <c r="AC851" s="1039"/>
      <c r="AD851" s="1040"/>
      <c r="AE851" s="1041"/>
      <c r="AF851" s="521"/>
      <c r="AG851" s="420"/>
      <c r="AH851" s="420"/>
      <c r="AI851" s="420"/>
      <c r="AJ851" s="420"/>
      <c r="AK851" s="518"/>
      <c r="AL851" s="1042"/>
      <c r="AM851" s="1035"/>
      <c r="AN851" s="1043"/>
      <c r="AO851" s="1167"/>
      <c r="AP851" s="1044"/>
      <c r="AQ851" s="1035"/>
      <c r="AR851" s="1035"/>
      <c r="AS851" s="1035"/>
      <c r="AT851" s="1165"/>
      <c r="AU851" s="1031"/>
      <c r="AV851" s="1045"/>
      <c r="AW851" s="1038"/>
      <c r="AX851" s="1035"/>
      <c r="AY851" s="483"/>
      <c r="AZ851" s="429"/>
      <c r="BA851" s="431"/>
      <c r="BB851" s="1035"/>
      <c r="BC851" s="1035"/>
      <c r="BD851" s="481"/>
      <c r="BE851" s="432"/>
      <c r="BF851" s="646"/>
      <c r="BG851" s="1047"/>
      <c r="BH851" s="1046"/>
      <c r="BI851" s="1048"/>
      <c r="BJ851" s="1030"/>
      <c r="BK851" s="1046"/>
      <c r="BL851" s="1048"/>
      <c r="BM851" s="1046"/>
      <c r="BN851" s="1167"/>
      <c r="BO851" s="1035"/>
      <c r="BP851" s="1043"/>
      <c r="BQ851" s="1167"/>
      <c r="BR851" s="1165"/>
      <c r="BS851" s="1031"/>
      <c r="BT851" s="1038"/>
      <c r="BU851" s="1035"/>
      <c r="BV851" s="1035"/>
      <c r="BW851" s="1049"/>
      <c r="BX851" s="1043"/>
      <c r="BY851" s="1046"/>
      <c r="BZ851" s="1167"/>
      <c r="CA851" s="1165"/>
      <c r="CB851" s="1031"/>
      <c r="CC851" s="1038"/>
      <c r="CD851" s="1035"/>
      <c r="CE851" s="1035"/>
      <c r="CF851" s="1049"/>
      <c r="CG851" s="1043"/>
      <c r="CH851" s="1046"/>
      <c r="CI851" s="1167"/>
      <c r="CJ851" s="1168"/>
      <c r="CK851" s="1169"/>
      <c r="CL851" s="1169"/>
      <c r="CM851" s="1166"/>
      <c r="CN851" s="1169"/>
      <c r="CO851" s="1169"/>
      <c r="CP851" s="452"/>
      <c r="CQ851" s="435"/>
      <c r="CR851" s="1117"/>
      <c r="CS851" s="452"/>
      <c r="CT851" s="482"/>
      <c r="CU851" s="476"/>
      <c r="CV851" s="431"/>
      <c r="CW851" s="1108"/>
      <c r="CX851" s="1108"/>
      <c r="CY851" s="483"/>
      <c r="CZ851" s="437"/>
      <c r="DA851" s="438"/>
      <c r="DB851" s="439"/>
      <c r="DC851" s="439"/>
      <c r="DD851" s="443"/>
      <c r="DE851" s="411"/>
      <c r="DF851" s="411"/>
      <c r="DG851" s="1117"/>
      <c r="DH851" s="1117"/>
      <c r="DI851" s="1117"/>
      <c r="DJ851" s="442"/>
      <c r="DK851" s="482"/>
      <c r="DL851" s="1038"/>
      <c r="DM851" s="1035"/>
      <c r="DN851" s="1035"/>
      <c r="DO851" s="1035"/>
      <c r="DP851" s="1046"/>
      <c r="DQ851" s="1167"/>
      <c r="DR851" s="1168"/>
      <c r="DS851" s="1165"/>
      <c r="DT851" s="1165"/>
      <c r="DU851" s="1165"/>
      <c r="DV851" s="1031"/>
      <c r="DW851" s="1098">
        <f t="shared" si="1176"/>
        <v>0</v>
      </c>
      <c r="DX851" s="1098">
        <f t="shared" si="1177"/>
        <v>0</v>
      </c>
      <c r="DY851" s="1030"/>
      <c r="DZ851" s="1030"/>
      <c r="EA851" s="1031"/>
      <c r="EB851" s="1050"/>
      <c r="EC851" s="1038"/>
      <c r="ED851" s="1035"/>
      <c r="EE851" s="1046"/>
      <c r="EF851" s="1169"/>
      <c r="EG851" s="1168"/>
      <c r="EH851" s="1165"/>
      <c r="EI851" s="1165"/>
      <c r="EJ851" s="1165"/>
      <c r="EK851" s="1031"/>
      <c r="EL851" s="1098">
        <f t="shared" si="1178"/>
        <v>0</v>
      </c>
      <c r="EM851" s="1098">
        <f t="shared" si="1179"/>
        <v>0</v>
      </c>
      <c r="EN851" s="1030"/>
      <c r="EO851" s="1030"/>
      <c r="EP851" s="1031"/>
      <c r="EQ851" s="1050"/>
      <c r="ER851" s="1038"/>
      <c r="ES851" s="1035"/>
      <c r="ET851" s="1051"/>
    </row>
    <row r="852" spans="2:150" ht="16.5" customHeight="1">
      <c r="B852" s="1024"/>
      <c r="C852" s="1025"/>
      <c r="D852" s="408">
        <v>849</v>
      </c>
      <c r="E852" s="1164"/>
      <c r="F852" s="1164"/>
      <c r="G852" s="1026"/>
      <c r="H852" s="411" t="str">
        <f>IFERROR(INDEX(绊状态确认!C:C,MATCH($G852,绊状态确认!$B:$B,)),"")</f>
        <v/>
      </c>
      <c r="I852" s="450" t="str">
        <f>IFERROR(INDEX(绊状态确认!D:D,MATCH($G852,绊状态确认!$B:$B,)),"")</f>
        <v/>
      </c>
      <c r="J852" s="450" t="str">
        <f>IFERROR(INDEX(绊状态确认!E:E,MATCH($G852,绊状态确认!$B:$B,)),"")</f>
        <v/>
      </c>
      <c r="K852" s="451" t="str">
        <f>IFERROR(INDEX(绊状态确认!F:F,MATCH($G852,绊状态确认!$B:$B,)),"")</f>
        <v/>
      </c>
      <c r="L852" s="1026"/>
      <c r="M852" s="1165"/>
      <c r="N852" s="1027"/>
      <c r="O852" s="1026"/>
      <c r="P852" s="1028"/>
      <c r="Q852" s="1029"/>
      <c r="R852" s="1166"/>
      <c r="S852" s="1030"/>
      <c r="T852" s="1031"/>
      <c r="U852" s="1032"/>
      <c r="V852" s="1033"/>
      <c r="W852" s="1034"/>
      <c r="X852" s="1166"/>
      <c r="Y852" s="1035"/>
      <c r="Z852" s="1036"/>
      <c r="AA852" s="1037"/>
      <c r="AB852" s="1038"/>
      <c r="AC852" s="1039"/>
      <c r="AD852" s="1040"/>
      <c r="AE852" s="1041"/>
      <c r="AF852" s="521"/>
      <c r="AG852" s="420"/>
      <c r="AH852" s="420"/>
      <c r="AI852" s="420"/>
      <c r="AJ852" s="420"/>
      <c r="AK852" s="518"/>
      <c r="AL852" s="1042"/>
      <c r="AM852" s="1035"/>
      <c r="AN852" s="1043"/>
      <c r="AO852" s="1167"/>
      <c r="AP852" s="1044"/>
      <c r="AQ852" s="1035"/>
      <c r="AR852" s="1035"/>
      <c r="AS852" s="1035"/>
      <c r="AT852" s="1165"/>
      <c r="AU852" s="1031"/>
      <c r="AV852" s="1045"/>
      <c r="AW852" s="1038"/>
      <c r="AX852" s="1035"/>
      <c r="AY852" s="483"/>
      <c r="AZ852" s="429"/>
      <c r="BA852" s="431"/>
      <c r="BB852" s="1035"/>
      <c r="BC852" s="1035"/>
      <c r="BD852" s="481"/>
      <c r="BE852" s="432"/>
      <c r="BF852" s="646"/>
      <c r="BG852" s="1047"/>
      <c r="BH852" s="1046"/>
      <c r="BI852" s="1048"/>
      <c r="BJ852" s="1030"/>
      <c r="BK852" s="1046"/>
      <c r="BL852" s="1048"/>
      <c r="BM852" s="1046"/>
      <c r="BN852" s="1167"/>
      <c r="BO852" s="1035"/>
      <c r="BP852" s="1043"/>
      <c r="BQ852" s="1167"/>
      <c r="BR852" s="1165"/>
      <c r="BS852" s="1031"/>
      <c r="BT852" s="1038"/>
      <c r="BU852" s="1035"/>
      <c r="BV852" s="1035"/>
      <c r="BW852" s="1049"/>
      <c r="BX852" s="1043"/>
      <c r="BY852" s="1046"/>
      <c r="BZ852" s="1167"/>
      <c r="CA852" s="1165"/>
      <c r="CB852" s="1031"/>
      <c r="CC852" s="1038"/>
      <c r="CD852" s="1035"/>
      <c r="CE852" s="1035"/>
      <c r="CF852" s="1049"/>
      <c r="CG852" s="1043"/>
      <c r="CH852" s="1046"/>
      <c r="CI852" s="1167"/>
      <c r="CJ852" s="1168"/>
      <c r="CK852" s="1169"/>
      <c r="CL852" s="1169"/>
      <c r="CM852" s="1166"/>
      <c r="CN852" s="1169"/>
      <c r="CO852" s="1169"/>
      <c r="CP852" s="452"/>
      <c r="CQ852" s="435"/>
      <c r="CR852" s="1117"/>
      <c r="CS852" s="452"/>
      <c r="CT852" s="482"/>
      <c r="CU852" s="476"/>
      <c r="CV852" s="431"/>
      <c r="CW852" s="1108"/>
      <c r="CX852" s="1108"/>
      <c r="CY852" s="483"/>
      <c r="CZ852" s="437"/>
      <c r="DA852" s="438"/>
      <c r="DB852" s="439"/>
      <c r="DC852" s="439"/>
      <c r="DD852" s="443"/>
      <c r="DE852" s="411"/>
      <c r="DF852" s="411"/>
      <c r="DG852" s="1117"/>
      <c r="DH852" s="1117"/>
      <c r="DI852" s="1117"/>
      <c r="DJ852" s="442"/>
      <c r="DK852" s="482"/>
      <c r="DL852" s="1038"/>
      <c r="DM852" s="1035"/>
      <c r="DN852" s="1035"/>
      <c r="DO852" s="1035"/>
      <c r="DP852" s="1046"/>
      <c r="DQ852" s="1167"/>
      <c r="DR852" s="1168"/>
      <c r="DS852" s="1165"/>
      <c r="DT852" s="1165"/>
      <c r="DU852" s="1165"/>
      <c r="DV852" s="1031"/>
      <c r="DW852" s="1098">
        <f t="shared" si="1176"/>
        <v>0</v>
      </c>
      <c r="DX852" s="1098">
        <f t="shared" si="1177"/>
        <v>0</v>
      </c>
      <c r="DY852" s="1030"/>
      <c r="DZ852" s="1030"/>
      <c r="EA852" s="1031"/>
      <c r="EB852" s="1050"/>
      <c r="EC852" s="1038"/>
      <c r="ED852" s="1035"/>
      <c r="EE852" s="1046"/>
      <c r="EF852" s="1169"/>
      <c r="EG852" s="1168"/>
      <c r="EH852" s="1165"/>
      <c r="EI852" s="1165"/>
      <c r="EJ852" s="1165"/>
      <c r="EK852" s="1031"/>
      <c r="EL852" s="1098">
        <f t="shared" si="1178"/>
        <v>0</v>
      </c>
      <c r="EM852" s="1098">
        <f t="shared" si="1179"/>
        <v>0</v>
      </c>
      <c r="EN852" s="1030"/>
      <c r="EO852" s="1030"/>
      <c r="EP852" s="1031"/>
      <c r="EQ852" s="1050"/>
      <c r="ER852" s="1038"/>
      <c r="ES852" s="1035"/>
      <c r="ET852" s="1051"/>
    </row>
    <row r="853" spans="2:150" ht="16.5" customHeight="1">
      <c r="B853" s="1024"/>
      <c r="C853" s="1025"/>
      <c r="D853" s="408">
        <v>850</v>
      </c>
      <c r="E853" s="1164"/>
      <c r="F853" s="1164"/>
      <c r="G853" s="1026"/>
      <c r="H853" s="411" t="str">
        <f>IFERROR(INDEX(绊状态确认!C:C,MATCH($G853,绊状态确认!$B:$B,)),"")</f>
        <v/>
      </c>
      <c r="I853" s="450" t="str">
        <f>IFERROR(INDEX(绊状态确认!D:D,MATCH($G853,绊状态确认!$B:$B,)),"")</f>
        <v/>
      </c>
      <c r="J853" s="450" t="str">
        <f>IFERROR(INDEX(绊状态确认!E:E,MATCH($G853,绊状态确认!$B:$B,)),"")</f>
        <v/>
      </c>
      <c r="K853" s="451" t="str">
        <f>IFERROR(INDEX(绊状态确认!F:F,MATCH($G853,绊状态确认!$B:$B,)),"")</f>
        <v/>
      </c>
      <c r="L853" s="1026"/>
      <c r="M853" s="1165"/>
      <c r="N853" s="1027"/>
      <c r="O853" s="1026"/>
      <c r="P853" s="1028"/>
      <c r="Q853" s="1029"/>
      <c r="R853" s="1166"/>
      <c r="S853" s="1030"/>
      <c r="T853" s="1031"/>
      <c r="U853" s="1032"/>
      <c r="V853" s="1033"/>
      <c r="W853" s="1034"/>
      <c r="X853" s="1166"/>
      <c r="Y853" s="1035"/>
      <c r="Z853" s="1036"/>
      <c r="AA853" s="1037"/>
      <c r="AB853" s="1038"/>
      <c r="AC853" s="1039"/>
      <c r="AD853" s="1040"/>
      <c r="AE853" s="1041"/>
      <c r="AF853" s="521"/>
      <c r="AG853" s="420"/>
      <c r="AH853" s="420"/>
      <c r="AI853" s="420"/>
      <c r="AJ853" s="420"/>
      <c r="AK853" s="518"/>
      <c r="AL853" s="1042"/>
      <c r="AM853" s="1035"/>
      <c r="AN853" s="1043"/>
      <c r="AO853" s="1167"/>
      <c r="AP853" s="1044"/>
      <c r="AQ853" s="1035"/>
      <c r="AR853" s="1035"/>
      <c r="AS853" s="1035"/>
      <c r="AT853" s="1165"/>
      <c r="AU853" s="1031"/>
      <c r="AV853" s="1045"/>
      <c r="AW853" s="1038"/>
      <c r="AX853" s="1035"/>
      <c r="AY853" s="483"/>
      <c r="AZ853" s="429"/>
      <c r="BA853" s="431"/>
      <c r="BB853" s="1035"/>
      <c r="BC853" s="1035"/>
      <c r="BD853" s="481"/>
      <c r="BE853" s="432"/>
      <c r="BF853" s="646"/>
      <c r="BG853" s="1047"/>
      <c r="BH853" s="1046"/>
      <c r="BI853" s="1048"/>
      <c r="BJ853" s="1030"/>
      <c r="BK853" s="1046"/>
      <c r="BL853" s="1048"/>
      <c r="BM853" s="1046"/>
      <c r="BN853" s="1167"/>
      <c r="BO853" s="1035"/>
      <c r="BP853" s="1043"/>
      <c r="BQ853" s="1167"/>
      <c r="BR853" s="1165"/>
      <c r="BS853" s="1031"/>
      <c r="BT853" s="1038"/>
      <c r="BU853" s="1035"/>
      <c r="BV853" s="1035"/>
      <c r="BW853" s="1049"/>
      <c r="BX853" s="1043"/>
      <c r="BY853" s="1046"/>
      <c r="BZ853" s="1167"/>
      <c r="CA853" s="1165"/>
      <c r="CB853" s="1031"/>
      <c r="CC853" s="1038"/>
      <c r="CD853" s="1035"/>
      <c r="CE853" s="1035"/>
      <c r="CF853" s="1049"/>
      <c r="CG853" s="1043"/>
      <c r="CH853" s="1046"/>
      <c r="CI853" s="1167"/>
      <c r="CJ853" s="1168"/>
      <c r="CK853" s="1169"/>
      <c r="CL853" s="1169"/>
      <c r="CM853" s="1166"/>
      <c r="CN853" s="1169"/>
      <c r="CO853" s="1169"/>
      <c r="CP853" s="452"/>
      <c r="CQ853" s="435"/>
      <c r="CR853" s="1117"/>
      <c r="CS853" s="452"/>
      <c r="CT853" s="482"/>
      <c r="CU853" s="476"/>
      <c r="CV853" s="431"/>
      <c r="CW853" s="1108"/>
      <c r="CX853" s="1108"/>
      <c r="CY853" s="483"/>
      <c r="CZ853" s="437"/>
      <c r="DA853" s="438"/>
      <c r="DB853" s="439"/>
      <c r="DC853" s="439"/>
      <c r="DD853" s="443"/>
      <c r="DE853" s="411"/>
      <c r="DF853" s="411"/>
      <c r="DG853" s="1117"/>
      <c r="DH853" s="1117"/>
      <c r="DI853" s="1117"/>
      <c r="DJ853" s="442"/>
      <c r="DK853" s="482"/>
      <c r="DL853" s="1038"/>
      <c r="DM853" s="1035"/>
      <c r="DN853" s="1035"/>
      <c r="DO853" s="1035"/>
      <c r="DP853" s="1046"/>
      <c r="DQ853" s="1167"/>
      <c r="DR853" s="1168"/>
      <c r="DS853" s="1165"/>
      <c r="DT853" s="1165"/>
      <c r="DU853" s="1165"/>
      <c r="DV853" s="1031"/>
      <c r="DW853" s="1098">
        <f t="shared" si="1176"/>
        <v>0</v>
      </c>
      <c r="DX853" s="1098">
        <f t="shared" si="1177"/>
        <v>0</v>
      </c>
      <c r="DY853" s="1030"/>
      <c r="DZ853" s="1030"/>
      <c r="EA853" s="1031"/>
      <c r="EB853" s="1050"/>
      <c r="EC853" s="1038"/>
      <c r="ED853" s="1035"/>
      <c r="EE853" s="1046"/>
      <c r="EF853" s="1169"/>
      <c r="EG853" s="1168"/>
      <c r="EH853" s="1165"/>
      <c r="EI853" s="1165"/>
      <c r="EJ853" s="1165"/>
      <c r="EK853" s="1031"/>
      <c r="EL853" s="1098">
        <f t="shared" si="1178"/>
        <v>0</v>
      </c>
      <c r="EM853" s="1098">
        <f t="shared" si="1179"/>
        <v>0</v>
      </c>
      <c r="EN853" s="1030"/>
      <c r="EO853" s="1030"/>
      <c r="EP853" s="1031"/>
      <c r="EQ853" s="1050"/>
      <c r="ER853" s="1038"/>
      <c r="ES853" s="1035"/>
      <c r="ET853" s="1051"/>
    </row>
    <row r="854" spans="2:150" ht="16.5" customHeight="1">
      <c r="B854" s="1024"/>
      <c r="C854" s="1025"/>
      <c r="D854" s="408">
        <v>851</v>
      </c>
      <c r="E854" s="1164"/>
      <c r="F854" s="1164"/>
      <c r="G854" s="1026"/>
      <c r="H854" s="411" t="str">
        <f>IFERROR(INDEX(绊状态确认!C:C,MATCH($G854,绊状态确认!$B:$B,)),"")</f>
        <v/>
      </c>
      <c r="I854" s="450" t="str">
        <f>IFERROR(INDEX(绊状态确认!D:D,MATCH($G854,绊状态确认!$B:$B,)),"")</f>
        <v/>
      </c>
      <c r="J854" s="450" t="str">
        <f>IFERROR(INDEX(绊状态确认!E:E,MATCH($G854,绊状态确认!$B:$B,)),"")</f>
        <v/>
      </c>
      <c r="K854" s="451" t="str">
        <f>IFERROR(INDEX(绊状态确认!F:F,MATCH($G854,绊状态确认!$B:$B,)),"")</f>
        <v/>
      </c>
      <c r="L854" s="1026"/>
      <c r="M854" s="1165"/>
      <c r="N854" s="1027"/>
      <c r="O854" s="1026"/>
      <c r="P854" s="1028"/>
      <c r="Q854" s="1029"/>
      <c r="R854" s="1166"/>
      <c r="S854" s="1030"/>
      <c r="T854" s="1031"/>
      <c r="U854" s="1032"/>
      <c r="V854" s="1033"/>
      <c r="W854" s="1034"/>
      <c r="X854" s="1166"/>
      <c r="Y854" s="1035"/>
      <c r="Z854" s="1036"/>
      <c r="AA854" s="1037"/>
      <c r="AB854" s="1038"/>
      <c r="AC854" s="1039"/>
      <c r="AD854" s="1040"/>
      <c r="AE854" s="1041"/>
      <c r="AF854" s="521"/>
      <c r="AG854" s="420"/>
      <c r="AH854" s="420"/>
      <c r="AI854" s="420"/>
      <c r="AJ854" s="420"/>
      <c r="AK854" s="518"/>
      <c r="AL854" s="1042"/>
      <c r="AM854" s="1035"/>
      <c r="AN854" s="1043"/>
      <c r="AO854" s="1167"/>
      <c r="AP854" s="1044"/>
      <c r="AQ854" s="1035"/>
      <c r="AR854" s="1035"/>
      <c r="AS854" s="1035"/>
      <c r="AT854" s="1165"/>
      <c r="AU854" s="1031"/>
      <c r="AV854" s="1045"/>
      <c r="AW854" s="1038"/>
      <c r="AX854" s="1035"/>
      <c r="AY854" s="483"/>
      <c r="AZ854" s="429"/>
      <c r="BA854" s="431"/>
      <c r="BB854" s="1035"/>
      <c r="BC854" s="1035"/>
      <c r="BD854" s="481"/>
      <c r="BE854" s="432"/>
      <c r="BF854" s="646"/>
      <c r="BG854" s="1047"/>
      <c r="BH854" s="1046"/>
      <c r="BI854" s="1048"/>
      <c r="BJ854" s="1030"/>
      <c r="BK854" s="1046"/>
      <c r="BL854" s="1048"/>
      <c r="BM854" s="1046"/>
      <c r="BN854" s="1167"/>
      <c r="BO854" s="1035"/>
      <c r="BP854" s="1043"/>
      <c r="BQ854" s="1167"/>
      <c r="BR854" s="1165"/>
      <c r="BS854" s="1031"/>
      <c r="BT854" s="1038"/>
      <c r="BU854" s="1035"/>
      <c r="BV854" s="1035"/>
      <c r="BW854" s="1049"/>
      <c r="BX854" s="1043"/>
      <c r="BY854" s="1046"/>
      <c r="BZ854" s="1167"/>
      <c r="CA854" s="1165"/>
      <c r="CB854" s="1031"/>
      <c r="CC854" s="1038"/>
      <c r="CD854" s="1035"/>
      <c r="CE854" s="1035"/>
      <c r="CF854" s="1049"/>
      <c r="CG854" s="1043"/>
      <c r="CH854" s="1046"/>
      <c r="CI854" s="1167"/>
      <c r="CJ854" s="1168"/>
      <c r="CK854" s="1169"/>
      <c r="CL854" s="1169"/>
      <c r="CM854" s="1166"/>
      <c r="CN854" s="1169"/>
      <c r="CO854" s="1169"/>
      <c r="CP854" s="452"/>
      <c r="CQ854" s="435"/>
      <c r="CR854" s="1117"/>
      <c r="CS854" s="452"/>
      <c r="CT854" s="482"/>
      <c r="CU854" s="476"/>
      <c r="CV854" s="431"/>
      <c r="CW854" s="1108"/>
      <c r="CX854" s="1108"/>
      <c r="CY854" s="483"/>
      <c r="CZ854" s="437"/>
      <c r="DA854" s="438"/>
      <c r="DB854" s="439"/>
      <c r="DC854" s="439"/>
      <c r="DD854" s="443"/>
      <c r="DE854" s="411"/>
      <c r="DF854" s="411"/>
      <c r="DG854" s="1117"/>
      <c r="DH854" s="1117"/>
      <c r="DI854" s="1117"/>
      <c r="DJ854" s="442"/>
      <c r="DK854" s="482"/>
      <c r="DL854" s="1038"/>
      <c r="DM854" s="1035"/>
      <c r="DN854" s="1035"/>
      <c r="DO854" s="1035"/>
      <c r="DP854" s="1046"/>
      <c r="DQ854" s="1167"/>
      <c r="DR854" s="1168"/>
      <c r="DS854" s="1165"/>
      <c r="DT854" s="1165"/>
      <c r="DU854" s="1165"/>
      <c r="DV854" s="1031"/>
      <c r="DW854" s="1098">
        <f t="shared" si="1176"/>
        <v>0</v>
      </c>
      <c r="DX854" s="1098">
        <f t="shared" si="1177"/>
        <v>0</v>
      </c>
      <c r="DY854" s="1030"/>
      <c r="DZ854" s="1030"/>
      <c r="EA854" s="1031"/>
      <c r="EB854" s="1050"/>
      <c r="EC854" s="1038"/>
      <c r="ED854" s="1035"/>
      <c r="EE854" s="1046"/>
      <c r="EF854" s="1169"/>
      <c r="EG854" s="1168"/>
      <c r="EH854" s="1165"/>
      <c r="EI854" s="1165"/>
      <c r="EJ854" s="1165"/>
      <c r="EK854" s="1031"/>
      <c r="EL854" s="1098">
        <f t="shared" si="1178"/>
        <v>0</v>
      </c>
      <c r="EM854" s="1098">
        <f t="shared" si="1179"/>
        <v>0</v>
      </c>
      <c r="EN854" s="1030"/>
      <c r="EO854" s="1030"/>
      <c r="EP854" s="1031"/>
      <c r="EQ854" s="1050"/>
      <c r="ER854" s="1038"/>
      <c r="ES854" s="1035"/>
      <c r="ET854" s="1051"/>
    </row>
    <row r="855" spans="2:150" ht="16.5" customHeight="1">
      <c r="B855" s="1024"/>
      <c r="C855" s="1025"/>
      <c r="D855" s="408">
        <v>852</v>
      </c>
      <c r="E855" s="1164"/>
      <c r="F855" s="1164"/>
      <c r="G855" s="1026"/>
      <c r="H855" s="411" t="str">
        <f>IFERROR(INDEX(绊状态确认!C:C,MATCH($G855,绊状态确认!$B:$B,)),"")</f>
        <v/>
      </c>
      <c r="I855" s="450" t="str">
        <f>IFERROR(INDEX(绊状态确认!D:D,MATCH($G855,绊状态确认!$B:$B,)),"")</f>
        <v/>
      </c>
      <c r="J855" s="450" t="str">
        <f>IFERROR(INDEX(绊状态确认!E:E,MATCH($G855,绊状态确认!$B:$B,)),"")</f>
        <v/>
      </c>
      <c r="K855" s="451" t="str">
        <f>IFERROR(INDEX(绊状态确认!F:F,MATCH($G855,绊状态确认!$B:$B,)),"")</f>
        <v/>
      </c>
      <c r="L855" s="1026"/>
      <c r="M855" s="1165"/>
      <c r="N855" s="1027"/>
      <c r="O855" s="1026"/>
      <c r="P855" s="1028"/>
      <c r="Q855" s="1029"/>
      <c r="R855" s="1166"/>
      <c r="S855" s="1030"/>
      <c r="T855" s="1031"/>
      <c r="U855" s="1032"/>
      <c r="V855" s="1033"/>
      <c r="W855" s="1034"/>
      <c r="X855" s="1166"/>
      <c r="Y855" s="1035"/>
      <c r="Z855" s="1036"/>
      <c r="AA855" s="1037"/>
      <c r="AB855" s="1038"/>
      <c r="AC855" s="1039"/>
      <c r="AD855" s="1040"/>
      <c r="AE855" s="1041"/>
      <c r="AF855" s="521"/>
      <c r="AG855" s="420"/>
      <c r="AH855" s="420"/>
      <c r="AI855" s="420"/>
      <c r="AJ855" s="420"/>
      <c r="AK855" s="518"/>
      <c r="AL855" s="1042"/>
      <c r="AM855" s="1035"/>
      <c r="AN855" s="1043"/>
      <c r="AO855" s="1167"/>
      <c r="AP855" s="1044"/>
      <c r="AQ855" s="1035"/>
      <c r="AR855" s="1035"/>
      <c r="AS855" s="1035"/>
      <c r="AT855" s="1165"/>
      <c r="AU855" s="1031"/>
      <c r="AV855" s="1045"/>
      <c r="AW855" s="1038"/>
      <c r="AX855" s="1035"/>
      <c r="AY855" s="483"/>
      <c r="AZ855" s="429"/>
      <c r="BA855" s="431"/>
      <c r="BB855" s="1035"/>
      <c r="BC855" s="1035"/>
      <c r="BD855" s="481"/>
      <c r="BE855" s="432"/>
      <c r="BF855" s="646"/>
      <c r="BG855" s="1047"/>
      <c r="BH855" s="1046"/>
      <c r="BI855" s="1048"/>
      <c r="BJ855" s="1030"/>
      <c r="BK855" s="1046"/>
      <c r="BL855" s="1048"/>
      <c r="BM855" s="1046"/>
      <c r="BN855" s="1167"/>
      <c r="BO855" s="1035"/>
      <c r="BP855" s="1043"/>
      <c r="BQ855" s="1167"/>
      <c r="BR855" s="1165"/>
      <c r="BS855" s="1031"/>
      <c r="BT855" s="1038"/>
      <c r="BU855" s="1035"/>
      <c r="BV855" s="1035"/>
      <c r="BW855" s="1049"/>
      <c r="BX855" s="1043"/>
      <c r="BY855" s="1046"/>
      <c r="BZ855" s="1167"/>
      <c r="CA855" s="1165"/>
      <c r="CB855" s="1031"/>
      <c r="CC855" s="1038"/>
      <c r="CD855" s="1035"/>
      <c r="CE855" s="1035"/>
      <c r="CF855" s="1049"/>
      <c r="CG855" s="1043"/>
      <c r="CH855" s="1046"/>
      <c r="CI855" s="1167"/>
      <c r="CJ855" s="1168"/>
      <c r="CK855" s="1169"/>
      <c r="CL855" s="1169"/>
      <c r="CM855" s="1166"/>
      <c r="CN855" s="1169"/>
      <c r="CO855" s="1169"/>
      <c r="CP855" s="452"/>
      <c r="CQ855" s="435"/>
      <c r="CR855" s="441"/>
      <c r="CS855" s="452"/>
      <c r="CT855" s="482"/>
      <c r="CU855" s="476"/>
      <c r="CV855" s="431"/>
      <c r="CW855" s="1108"/>
      <c r="CX855" s="1108"/>
      <c r="CY855" s="483"/>
      <c r="CZ855" s="437"/>
      <c r="DA855" s="438"/>
      <c r="DB855" s="439"/>
      <c r="DC855" s="439"/>
      <c r="DD855" s="443"/>
      <c r="DE855" s="411"/>
      <c r="DF855" s="411"/>
      <c r="DG855" s="1117"/>
      <c r="DH855" s="1117"/>
      <c r="DI855" s="1117"/>
      <c r="DJ855" s="442"/>
      <c r="DK855" s="482"/>
      <c r="DL855" s="1038"/>
      <c r="DM855" s="1035"/>
      <c r="DN855" s="1035"/>
      <c r="DO855" s="1035"/>
      <c r="DP855" s="1046"/>
      <c r="DQ855" s="1167"/>
      <c r="DR855" s="1168"/>
      <c r="DS855" s="1165"/>
      <c r="DT855" s="1165"/>
      <c r="DU855" s="1165"/>
      <c r="DV855" s="1031"/>
      <c r="DW855" s="1098">
        <f t="shared" si="1176"/>
        <v>0</v>
      </c>
      <c r="DX855" s="1098">
        <f t="shared" si="1177"/>
        <v>0</v>
      </c>
      <c r="DY855" s="1030"/>
      <c r="DZ855" s="1030"/>
      <c r="EA855" s="1031"/>
      <c r="EB855" s="1050"/>
      <c r="EC855" s="1038"/>
      <c r="ED855" s="1035"/>
      <c r="EE855" s="1046"/>
      <c r="EF855" s="1169"/>
      <c r="EG855" s="1168"/>
      <c r="EH855" s="1165"/>
      <c r="EI855" s="1165"/>
      <c r="EJ855" s="1165"/>
      <c r="EK855" s="1031"/>
      <c r="EL855" s="1098">
        <f t="shared" si="1178"/>
        <v>0</v>
      </c>
      <c r="EM855" s="1098">
        <f t="shared" si="1179"/>
        <v>0</v>
      </c>
      <c r="EN855" s="1030"/>
      <c r="EO855" s="1030"/>
      <c r="EP855" s="1031"/>
      <c r="EQ855" s="1050"/>
      <c r="ER855" s="1038"/>
      <c r="ES855" s="1035"/>
      <c r="ET855" s="1051"/>
    </row>
    <row r="856" spans="2:150" ht="16.5" customHeight="1">
      <c r="B856" s="1024"/>
      <c r="C856" s="1025"/>
      <c r="D856" s="408">
        <v>853</v>
      </c>
      <c r="E856" s="1164"/>
      <c r="F856" s="1164"/>
      <c r="G856" s="1026"/>
      <c r="H856" s="411" t="str">
        <f>IFERROR(INDEX(绊状态确认!C:C,MATCH($G856,绊状态确认!$B:$B,)),"")</f>
        <v/>
      </c>
      <c r="I856" s="450" t="str">
        <f>IFERROR(INDEX(绊状态确认!D:D,MATCH($G856,绊状态确认!$B:$B,)),"")</f>
        <v/>
      </c>
      <c r="J856" s="450" t="str">
        <f>IFERROR(INDEX(绊状态确认!E:E,MATCH($G856,绊状态确认!$B:$B,)),"")</f>
        <v/>
      </c>
      <c r="K856" s="451" t="str">
        <f>IFERROR(INDEX(绊状态确认!F:F,MATCH($G856,绊状态确认!$B:$B,)),"")</f>
        <v/>
      </c>
      <c r="L856" s="1026"/>
      <c r="M856" s="1165"/>
      <c r="N856" s="1027"/>
      <c r="O856" s="1026"/>
      <c r="P856" s="1028"/>
      <c r="Q856" s="1029"/>
      <c r="R856" s="1166"/>
      <c r="S856" s="1030"/>
      <c r="T856" s="1031"/>
      <c r="U856" s="1032"/>
      <c r="V856" s="1033"/>
      <c r="W856" s="1034"/>
      <c r="X856" s="1166"/>
      <c r="Y856" s="1035"/>
      <c r="Z856" s="1036"/>
      <c r="AA856" s="1037"/>
      <c r="AB856" s="1038"/>
      <c r="AC856" s="1039"/>
      <c r="AD856" s="1040"/>
      <c r="AE856" s="1041"/>
      <c r="AF856" s="521"/>
      <c r="AG856" s="420"/>
      <c r="AH856" s="420"/>
      <c r="AI856" s="420"/>
      <c r="AJ856" s="420"/>
      <c r="AK856" s="518"/>
      <c r="AL856" s="1042"/>
      <c r="AM856" s="1035"/>
      <c r="AN856" s="1043"/>
      <c r="AO856" s="1167"/>
      <c r="AP856" s="1044"/>
      <c r="AQ856" s="1035"/>
      <c r="AR856" s="1035"/>
      <c r="AS856" s="1035"/>
      <c r="AT856" s="1165"/>
      <c r="AU856" s="1031"/>
      <c r="AV856" s="1045"/>
      <c r="AW856" s="1038"/>
      <c r="AX856" s="1035"/>
      <c r="AY856" s="483"/>
      <c r="AZ856" s="429"/>
      <c r="BA856" s="431"/>
      <c r="BB856" s="1035"/>
      <c r="BC856" s="1035"/>
      <c r="BD856" s="481"/>
      <c r="BE856" s="432"/>
      <c r="BF856" s="646"/>
      <c r="BG856" s="1047"/>
      <c r="BH856" s="1046"/>
      <c r="BI856" s="1048"/>
      <c r="BJ856" s="1030"/>
      <c r="BK856" s="1046"/>
      <c r="BL856" s="1048"/>
      <c r="BM856" s="1046"/>
      <c r="BN856" s="1167"/>
      <c r="BO856" s="1035"/>
      <c r="BP856" s="1043"/>
      <c r="BQ856" s="1167"/>
      <c r="BR856" s="1165"/>
      <c r="BS856" s="1031"/>
      <c r="BT856" s="1038"/>
      <c r="BU856" s="1035"/>
      <c r="BV856" s="1035"/>
      <c r="BW856" s="1049"/>
      <c r="BX856" s="1043"/>
      <c r="BY856" s="1046"/>
      <c r="BZ856" s="1167"/>
      <c r="CA856" s="1165"/>
      <c r="CB856" s="1031"/>
      <c r="CC856" s="1038"/>
      <c r="CD856" s="1035"/>
      <c r="CE856" s="1035"/>
      <c r="CF856" s="1049"/>
      <c r="CG856" s="1043"/>
      <c r="CH856" s="1046"/>
      <c r="CI856" s="1167"/>
      <c r="CJ856" s="1168"/>
      <c r="CK856" s="1169"/>
      <c r="CL856" s="1169"/>
      <c r="CM856" s="1166"/>
      <c r="CN856" s="1169"/>
      <c r="CO856" s="1169"/>
      <c r="CP856" s="452"/>
      <c r="CQ856" s="435"/>
      <c r="CR856" s="1117"/>
      <c r="CS856" s="452"/>
      <c r="CT856" s="482"/>
      <c r="CU856" s="476"/>
      <c r="CV856" s="431"/>
      <c r="CW856" s="1108"/>
      <c r="CX856" s="1108"/>
      <c r="CY856" s="483"/>
      <c r="CZ856" s="437"/>
      <c r="DA856" s="438"/>
      <c r="DB856" s="439"/>
      <c r="DC856" s="439"/>
      <c r="DD856" s="443"/>
      <c r="DE856" s="411"/>
      <c r="DF856" s="411"/>
      <c r="DG856" s="1117"/>
      <c r="DH856" s="1117"/>
      <c r="DI856" s="1117"/>
      <c r="DJ856" s="442"/>
      <c r="DK856" s="482"/>
      <c r="DL856" s="1038"/>
      <c r="DM856" s="1035"/>
      <c r="DN856" s="1035"/>
      <c r="DO856" s="1035"/>
      <c r="DP856" s="1046"/>
      <c r="DQ856" s="1167"/>
      <c r="DR856" s="1168"/>
      <c r="DS856" s="1165"/>
      <c r="DT856" s="1165"/>
      <c r="DU856" s="1165"/>
      <c r="DV856" s="1031"/>
      <c r="DW856" s="1098">
        <f t="shared" si="1176"/>
        <v>0</v>
      </c>
      <c r="DX856" s="1098">
        <f t="shared" si="1177"/>
        <v>0</v>
      </c>
      <c r="DY856" s="1030"/>
      <c r="DZ856" s="1030"/>
      <c r="EA856" s="1031"/>
      <c r="EB856" s="1050"/>
      <c r="EC856" s="1038"/>
      <c r="ED856" s="1035"/>
      <c r="EE856" s="1046"/>
      <c r="EF856" s="1169"/>
      <c r="EG856" s="1168"/>
      <c r="EH856" s="1165"/>
      <c r="EI856" s="1165"/>
      <c r="EJ856" s="1165"/>
      <c r="EK856" s="1031"/>
      <c r="EL856" s="1098">
        <f t="shared" si="1178"/>
        <v>0</v>
      </c>
      <c r="EM856" s="1098">
        <f t="shared" si="1179"/>
        <v>0</v>
      </c>
      <c r="EN856" s="1030"/>
      <c r="EO856" s="1030"/>
      <c r="EP856" s="1031"/>
      <c r="EQ856" s="1050"/>
      <c r="ER856" s="1038"/>
      <c r="ES856" s="1035"/>
      <c r="ET856" s="1051"/>
    </row>
    <row r="857" spans="2:150" ht="16.5" customHeight="1">
      <c r="B857" s="1024"/>
      <c r="C857" s="1025"/>
      <c r="D857" s="408">
        <v>854</v>
      </c>
      <c r="E857" s="1164"/>
      <c r="F857" s="1164"/>
      <c r="G857" s="1026"/>
      <c r="H857" s="411" t="str">
        <f>IFERROR(INDEX(绊状态确认!C:C,MATCH($G857,绊状态确认!$B:$B,)),"")</f>
        <v/>
      </c>
      <c r="I857" s="450" t="str">
        <f>IFERROR(INDEX(绊状态确认!D:D,MATCH($G857,绊状态确认!$B:$B,)),"")</f>
        <v/>
      </c>
      <c r="J857" s="450" t="str">
        <f>IFERROR(INDEX(绊状态确认!E:E,MATCH($G857,绊状态确认!$B:$B,)),"")</f>
        <v/>
      </c>
      <c r="K857" s="451" t="str">
        <f>IFERROR(INDEX(绊状态确认!F:F,MATCH($G857,绊状态确认!$B:$B,)),"")</f>
        <v/>
      </c>
      <c r="L857" s="1026"/>
      <c r="M857" s="1165"/>
      <c r="N857" s="1027"/>
      <c r="O857" s="1026"/>
      <c r="P857" s="1028"/>
      <c r="Q857" s="1029"/>
      <c r="R857" s="1166"/>
      <c r="S857" s="1030"/>
      <c r="T857" s="1031"/>
      <c r="U857" s="1032"/>
      <c r="V857" s="1033"/>
      <c r="W857" s="1034"/>
      <c r="X857" s="1166"/>
      <c r="Y857" s="1035"/>
      <c r="Z857" s="1036"/>
      <c r="AA857" s="1037"/>
      <c r="AB857" s="1038"/>
      <c r="AC857" s="1039"/>
      <c r="AD857" s="1040"/>
      <c r="AE857" s="1041"/>
      <c r="AF857" s="521"/>
      <c r="AG857" s="420"/>
      <c r="AH857" s="420"/>
      <c r="AI857" s="420"/>
      <c r="AJ857" s="420"/>
      <c r="AK857" s="518"/>
      <c r="AL857" s="1042"/>
      <c r="AM857" s="1035"/>
      <c r="AN857" s="1043"/>
      <c r="AO857" s="1167"/>
      <c r="AP857" s="1044"/>
      <c r="AQ857" s="1035"/>
      <c r="AR857" s="1035"/>
      <c r="AS857" s="1035"/>
      <c r="AT857" s="1165"/>
      <c r="AU857" s="1031"/>
      <c r="AV857" s="1045"/>
      <c r="AW857" s="1038"/>
      <c r="AX857" s="1035"/>
      <c r="AY857" s="483"/>
      <c r="AZ857" s="429"/>
      <c r="BA857" s="431"/>
      <c r="BB857" s="1035"/>
      <c r="BC857" s="1035"/>
      <c r="BD857" s="481"/>
      <c r="BE857" s="432"/>
      <c r="BF857" s="646"/>
      <c r="BG857" s="1047"/>
      <c r="BH857" s="1046"/>
      <c r="BI857" s="1048"/>
      <c r="BJ857" s="1030"/>
      <c r="BK857" s="1046"/>
      <c r="BL857" s="1048"/>
      <c r="BM857" s="1046"/>
      <c r="BN857" s="1167"/>
      <c r="BO857" s="1035"/>
      <c r="BP857" s="1043"/>
      <c r="BQ857" s="1167"/>
      <c r="BR857" s="1165"/>
      <c r="BS857" s="1031"/>
      <c r="BT857" s="1038"/>
      <c r="BU857" s="1035"/>
      <c r="BV857" s="1035"/>
      <c r="BW857" s="1049"/>
      <c r="BX857" s="1043"/>
      <c r="BY857" s="1046"/>
      <c r="BZ857" s="1167"/>
      <c r="CA857" s="1165"/>
      <c r="CB857" s="1031"/>
      <c r="CC857" s="1038"/>
      <c r="CD857" s="1035"/>
      <c r="CE857" s="1035"/>
      <c r="CF857" s="1049"/>
      <c r="CG857" s="1043"/>
      <c r="CH857" s="1046"/>
      <c r="CI857" s="1167"/>
      <c r="CJ857" s="1168"/>
      <c r="CK857" s="1169"/>
      <c r="CL857" s="1169"/>
      <c r="CM857" s="1166"/>
      <c r="CN857" s="1169"/>
      <c r="CO857" s="1169"/>
      <c r="CP857" s="452"/>
      <c r="CQ857" s="435"/>
      <c r="CR857" s="1117"/>
      <c r="CS857" s="452"/>
      <c r="CT857" s="482"/>
      <c r="CU857" s="476"/>
      <c r="CV857" s="431"/>
      <c r="CW857" s="1108"/>
      <c r="CX857" s="1108"/>
      <c r="CY857" s="483"/>
      <c r="CZ857" s="437"/>
      <c r="DA857" s="438"/>
      <c r="DB857" s="439"/>
      <c r="DC857" s="439"/>
      <c r="DD857" s="443"/>
      <c r="DE857" s="411"/>
      <c r="DF857" s="411"/>
      <c r="DG857" s="1117"/>
      <c r="DH857" s="1117"/>
      <c r="DI857" s="1117"/>
      <c r="DJ857" s="442"/>
      <c r="DK857" s="482"/>
      <c r="DL857" s="1038"/>
      <c r="DM857" s="1035"/>
      <c r="DN857" s="1035"/>
      <c r="DO857" s="1035"/>
      <c r="DP857" s="1046"/>
      <c r="DQ857" s="1167"/>
      <c r="DR857" s="1168"/>
      <c r="DS857" s="1165"/>
      <c r="DT857" s="1165"/>
      <c r="DU857" s="1165"/>
      <c r="DV857" s="1031"/>
      <c r="DW857" s="1098">
        <f t="shared" si="1176"/>
        <v>0</v>
      </c>
      <c r="DX857" s="1098">
        <f t="shared" si="1177"/>
        <v>0</v>
      </c>
      <c r="DY857" s="1030"/>
      <c r="DZ857" s="1030"/>
      <c r="EA857" s="1031"/>
      <c r="EB857" s="1050"/>
      <c r="EC857" s="1038"/>
      <c r="ED857" s="1035"/>
      <c r="EE857" s="1046"/>
      <c r="EF857" s="1169"/>
      <c r="EG857" s="1168"/>
      <c r="EH857" s="1165"/>
      <c r="EI857" s="1165"/>
      <c r="EJ857" s="1165"/>
      <c r="EK857" s="1031"/>
      <c r="EL857" s="1098">
        <f t="shared" si="1178"/>
        <v>0</v>
      </c>
      <c r="EM857" s="1098">
        <f t="shared" si="1179"/>
        <v>0</v>
      </c>
      <c r="EN857" s="1030"/>
      <c r="EO857" s="1030"/>
      <c r="EP857" s="1031"/>
      <c r="EQ857" s="1050"/>
      <c r="ER857" s="1038"/>
      <c r="ES857" s="1035"/>
      <c r="ET857" s="1051"/>
    </row>
    <row r="858" spans="2:150" ht="16.5" customHeight="1">
      <c r="B858" s="1024"/>
      <c r="C858" s="1025"/>
      <c r="D858" s="408">
        <v>855</v>
      </c>
      <c r="E858" s="1164"/>
      <c r="F858" s="1164"/>
      <c r="G858" s="1026"/>
      <c r="H858" s="411" t="str">
        <f>IFERROR(INDEX(绊状态确认!C:C,MATCH($G858,绊状态确认!$B:$B,)),"")</f>
        <v/>
      </c>
      <c r="I858" s="450" t="str">
        <f>IFERROR(INDEX(绊状态确认!D:D,MATCH($G858,绊状态确认!$B:$B,)),"")</f>
        <v/>
      </c>
      <c r="J858" s="450" t="str">
        <f>IFERROR(INDEX(绊状态确认!E:E,MATCH($G858,绊状态确认!$B:$B,)),"")</f>
        <v/>
      </c>
      <c r="K858" s="451" t="str">
        <f>IFERROR(INDEX(绊状态确认!F:F,MATCH($G858,绊状态确认!$B:$B,)),"")</f>
        <v/>
      </c>
      <c r="L858" s="1026"/>
      <c r="M858" s="1165"/>
      <c r="N858" s="1027"/>
      <c r="O858" s="1026"/>
      <c r="P858" s="1028"/>
      <c r="Q858" s="1029"/>
      <c r="R858" s="1166"/>
      <c r="S858" s="1030"/>
      <c r="T858" s="1031"/>
      <c r="U858" s="1032"/>
      <c r="V858" s="1033"/>
      <c r="W858" s="1034"/>
      <c r="X858" s="1166"/>
      <c r="Y858" s="1035"/>
      <c r="Z858" s="1036"/>
      <c r="AA858" s="1037"/>
      <c r="AB858" s="1038"/>
      <c r="AC858" s="1039"/>
      <c r="AD858" s="1040"/>
      <c r="AE858" s="1041"/>
      <c r="AF858" s="521"/>
      <c r="AG858" s="420"/>
      <c r="AH858" s="420"/>
      <c r="AI858" s="420"/>
      <c r="AJ858" s="420"/>
      <c r="AK858" s="518"/>
      <c r="AL858" s="1042"/>
      <c r="AM858" s="1035"/>
      <c r="AN858" s="1043"/>
      <c r="AO858" s="1167"/>
      <c r="AP858" s="1044"/>
      <c r="AQ858" s="1035"/>
      <c r="AR858" s="1035"/>
      <c r="AS858" s="1035"/>
      <c r="AT858" s="1165"/>
      <c r="AU858" s="1031"/>
      <c r="AV858" s="1045"/>
      <c r="AW858" s="1038"/>
      <c r="AX858" s="1035"/>
      <c r="AY858" s="483"/>
      <c r="AZ858" s="429"/>
      <c r="BA858" s="431"/>
      <c r="BB858" s="1035"/>
      <c r="BC858" s="1035"/>
      <c r="BD858" s="481"/>
      <c r="BE858" s="432"/>
      <c r="BF858" s="646"/>
      <c r="BG858" s="1047"/>
      <c r="BH858" s="1046"/>
      <c r="BI858" s="1048"/>
      <c r="BJ858" s="1030"/>
      <c r="BK858" s="1046"/>
      <c r="BL858" s="1048"/>
      <c r="BM858" s="1046"/>
      <c r="BN858" s="1167"/>
      <c r="BO858" s="1035"/>
      <c r="BP858" s="1043"/>
      <c r="BQ858" s="1167"/>
      <c r="BR858" s="1165"/>
      <c r="BS858" s="1031"/>
      <c r="BT858" s="1038"/>
      <c r="BU858" s="1035"/>
      <c r="BV858" s="1035"/>
      <c r="BW858" s="1049"/>
      <c r="BX858" s="1043"/>
      <c r="BY858" s="1046"/>
      <c r="BZ858" s="1167"/>
      <c r="CA858" s="1165"/>
      <c r="CB858" s="1031"/>
      <c r="CC858" s="1038"/>
      <c r="CD858" s="1035"/>
      <c r="CE858" s="1035"/>
      <c r="CF858" s="1049"/>
      <c r="CG858" s="1043"/>
      <c r="CH858" s="1046"/>
      <c r="CI858" s="1167"/>
      <c r="CJ858" s="1168"/>
      <c r="CK858" s="1169"/>
      <c r="CL858" s="1169"/>
      <c r="CM858" s="1166"/>
      <c r="CN858" s="1169"/>
      <c r="CO858" s="1169"/>
      <c r="CP858" s="452"/>
      <c r="CQ858" s="435"/>
      <c r="CR858" s="1117"/>
      <c r="CS858" s="452"/>
      <c r="CT858" s="482"/>
      <c r="CU858" s="476"/>
      <c r="CV858" s="431"/>
      <c r="CW858" s="1108"/>
      <c r="CX858" s="1108"/>
      <c r="CY858" s="483"/>
      <c r="CZ858" s="437"/>
      <c r="DA858" s="438"/>
      <c r="DB858" s="439"/>
      <c r="DC858" s="439"/>
      <c r="DD858" s="443"/>
      <c r="DE858" s="411"/>
      <c r="DF858" s="411"/>
      <c r="DG858" s="1117"/>
      <c r="DH858" s="1117"/>
      <c r="DI858" s="1117"/>
      <c r="DJ858" s="442"/>
      <c r="DK858" s="482"/>
      <c r="DL858" s="1038"/>
      <c r="DM858" s="1035"/>
      <c r="DN858" s="1035"/>
      <c r="DO858" s="1035"/>
      <c r="DP858" s="1046"/>
      <c r="DQ858" s="1167"/>
      <c r="DR858" s="1168"/>
      <c r="DS858" s="1165"/>
      <c r="DT858" s="1165"/>
      <c r="DU858" s="1165"/>
      <c r="DV858" s="1031"/>
      <c r="DW858" s="1098">
        <f t="shared" si="1176"/>
        <v>0</v>
      </c>
      <c r="DX858" s="1098">
        <f t="shared" si="1177"/>
        <v>0</v>
      </c>
      <c r="DY858" s="1030"/>
      <c r="DZ858" s="1030"/>
      <c r="EA858" s="1031"/>
      <c r="EB858" s="1050"/>
      <c r="EC858" s="1038"/>
      <c r="ED858" s="1035"/>
      <c r="EE858" s="1046"/>
      <c r="EF858" s="1169"/>
      <c r="EG858" s="1168"/>
      <c r="EH858" s="1165"/>
      <c r="EI858" s="1165"/>
      <c r="EJ858" s="1165"/>
      <c r="EK858" s="1031"/>
      <c r="EL858" s="1098">
        <f t="shared" si="1178"/>
        <v>0</v>
      </c>
      <c r="EM858" s="1098">
        <f t="shared" si="1179"/>
        <v>0</v>
      </c>
      <c r="EN858" s="1030"/>
      <c r="EO858" s="1030"/>
      <c r="EP858" s="1031"/>
      <c r="EQ858" s="1050"/>
      <c r="ER858" s="1038"/>
      <c r="ES858" s="1035"/>
      <c r="ET858" s="1051"/>
    </row>
    <row r="859" spans="2:150" ht="16.5" customHeight="1">
      <c r="B859" s="1024"/>
      <c r="C859" s="1025"/>
      <c r="D859" s="408">
        <v>856</v>
      </c>
      <c r="E859" s="1164"/>
      <c r="F859" s="1164"/>
      <c r="G859" s="1026"/>
      <c r="H859" s="411" t="str">
        <f>IFERROR(INDEX(绊状态确认!C:C,MATCH($G859,绊状态确认!$B:$B,)),"")</f>
        <v/>
      </c>
      <c r="I859" s="450" t="str">
        <f>IFERROR(INDEX(绊状态确认!D:D,MATCH($G859,绊状态确认!$B:$B,)),"")</f>
        <v/>
      </c>
      <c r="J859" s="450" t="str">
        <f>IFERROR(INDEX(绊状态确认!E:E,MATCH($G859,绊状态确认!$B:$B,)),"")</f>
        <v/>
      </c>
      <c r="K859" s="451" t="str">
        <f>IFERROR(INDEX(绊状态确认!F:F,MATCH($G859,绊状态确认!$B:$B,)),"")</f>
        <v/>
      </c>
      <c r="L859" s="1026"/>
      <c r="M859" s="1165"/>
      <c r="N859" s="1027"/>
      <c r="O859" s="1026"/>
      <c r="P859" s="1028"/>
      <c r="Q859" s="1029"/>
      <c r="R859" s="1166"/>
      <c r="S859" s="1030"/>
      <c r="T859" s="1031"/>
      <c r="U859" s="1032"/>
      <c r="V859" s="1033"/>
      <c r="W859" s="1034"/>
      <c r="X859" s="1166"/>
      <c r="Y859" s="1035"/>
      <c r="Z859" s="1036"/>
      <c r="AA859" s="1037"/>
      <c r="AB859" s="1038"/>
      <c r="AC859" s="1039"/>
      <c r="AD859" s="1040"/>
      <c r="AE859" s="1041"/>
      <c r="AF859" s="521"/>
      <c r="AG859" s="420"/>
      <c r="AH859" s="420"/>
      <c r="AI859" s="420"/>
      <c r="AJ859" s="420"/>
      <c r="AK859" s="518"/>
      <c r="AL859" s="1042"/>
      <c r="AM859" s="1035"/>
      <c r="AN859" s="1043"/>
      <c r="AO859" s="1167"/>
      <c r="AP859" s="1044"/>
      <c r="AQ859" s="1035"/>
      <c r="AR859" s="1035"/>
      <c r="AS859" s="1035"/>
      <c r="AT859" s="1165"/>
      <c r="AU859" s="1031"/>
      <c r="AV859" s="1045"/>
      <c r="AW859" s="1038"/>
      <c r="AX859" s="1035"/>
      <c r="AY859" s="483"/>
      <c r="AZ859" s="429"/>
      <c r="BA859" s="431"/>
      <c r="BB859" s="1035"/>
      <c r="BC859" s="1035"/>
      <c r="BD859" s="481"/>
      <c r="BE859" s="432"/>
      <c r="BF859" s="646"/>
      <c r="BG859" s="1047"/>
      <c r="BH859" s="1046"/>
      <c r="BI859" s="1048"/>
      <c r="BJ859" s="1030"/>
      <c r="BK859" s="1046"/>
      <c r="BL859" s="1048"/>
      <c r="BM859" s="1046"/>
      <c r="BN859" s="1167"/>
      <c r="BO859" s="1035"/>
      <c r="BP859" s="1043"/>
      <c r="BQ859" s="1167"/>
      <c r="BR859" s="1165"/>
      <c r="BS859" s="1031"/>
      <c r="BT859" s="1038"/>
      <c r="BU859" s="1035"/>
      <c r="BV859" s="1035"/>
      <c r="BW859" s="1049"/>
      <c r="BX859" s="1043"/>
      <c r="BY859" s="1046"/>
      <c r="BZ859" s="1167"/>
      <c r="CA859" s="1165"/>
      <c r="CB859" s="1031"/>
      <c r="CC859" s="1038"/>
      <c r="CD859" s="1035"/>
      <c r="CE859" s="1035"/>
      <c r="CF859" s="1049"/>
      <c r="CG859" s="1043"/>
      <c r="CH859" s="1046"/>
      <c r="CI859" s="1167"/>
      <c r="CJ859" s="1168"/>
      <c r="CK859" s="1169"/>
      <c r="CL859" s="1169"/>
      <c r="CM859" s="1166"/>
      <c r="CN859" s="1169"/>
      <c r="CO859" s="1169"/>
      <c r="CP859" s="452"/>
      <c r="CQ859" s="435"/>
      <c r="CR859" s="1117"/>
      <c r="CS859" s="452"/>
      <c r="CT859" s="482"/>
      <c r="CU859" s="476"/>
      <c r="CV859" s="431"/>
      <c r="CW859" s="1108"/>
      <c r="CX859" s="1108"/>
      <c r="CY859" s="483"/>
      <c r="CZ859" s="437"/>
      <c r="DA859" s="438"/>
      <c r="DB859" s="439"/>
      <c r="DC859" s="439"/>
      <c r="DD859" s="443"/>
      <c r="DE859" s="411"/>
      <c r="DF859" s="411"/>
      <c r="DG859" s="1117"/>
      <c r="DH859" s="1117"/>
      <c r="DI859" s="1117"/>
      <c r="DJ859" s="442"/>
      <c r="DK859" s="482"/>
      <c r="DL859" s="1038"/>
      <c r="DM859" s="1035"/>
      <c r="DN859" s="1035"/>
      <c r="DO859" s="1035"/>
      <c r="DP859" s="1046"/>
      <c r="DQ859" s="1167"/>
      <c r="DR859" s="1168"/>
      <c r="DS859" s="1165"/>
      <c r="DT859" s="1165"/>
      <c r="DU859" s="1165"/>
      <c r="DV859" s="1031"/>
      <c r="DW859" s="1098">
        <f t="shared" si="1176"/>
        <v>0</v>
      </c>
      <c r="DX859" s="1098">
        <f t="shared" si="1177"/>
        <v>0</v>
      </c>
      <c r="DY859" s="1030"/>
      <c r="DZ859" s="1030"/>
      <c r="EA859" s="1031"/>
      <c r="EB859" s="1050"/>
      <c r="EC859" s="1038"/>
      <c r="ED859" s="1035"/>
      <c r="EE859" s="1046"/>
      <c r="EF859" s="1169"/>
      <c r="EG859" s="1168"/>
      <c r="EH859" s="1165"/>
      <c r="EI859" s="1165"/>
      <c r="EJ859" s="1165"/>
      <c r="EK859" s="1031"/>
      <c r="EL859" s="1098">
        <f t="shared" si="1178"/>
        <v>0</v>
      </c>
      <c r="EM859" s="1098">
        <f t="shared" si="1179"/>
        <v>0</v>
      </c>
      <c r="EN859" s="1030"/>
      <c r="EO859" s="1030"/>
      <c r="EP859" s="1031"/>
      <c r="EQ859" s="1050"/>
      <c r="ER859" s="1038"/>
      <c r="ES859" s="1035"/>
      <c r="ET859" s="1051"/>
    </row>
    <row r="860" spans="2:150" ht="16.5" customHeight="1">
      <c r="B860" s="1024"/>
      <c r="C860" s="1025"/>
      <c r="D860" s="408">
        <v>857</v>
      </c>
      <c r="E860" s="1164"/>
      <c r="F860" s="1164"/>
      <c r="G860" s="1026"/>
      <c r="H860" s="411" t="str">
        <f>IFERROR(INDEX(绊状态确认!C:C,MATCH($G860,绊状态确认!$B:$B,)),"")</f>
        <v/>
      </c>
      <c r="I860" s="450" t="str">
        <f>IFERROR(INDEX(绊状态确认!D:D,MATCH($G860,绊状态确认!$B:$B,)),"")</f>
        <v/>
      </c>
      <c r="J860" s="450" t="str">
        <f>IFERROR(INDEX(绊状态确认!E:E,MATCH($G860,绊状态确认!$B:$B,)),"")</f>
        <v/>
      </c>
      <c r="K860" s="451" t="str">
        <f>IFERROR(INDEX(绊状态确认!F:F,MATCH($G860,绊状态确认!$B:$B,)),"")</f>
        <v/>
      </c>
      <c r="L860" s="1026"/>
      <c r="M860" s="1165"/>
      <c r="N860" s="1027"/>
      <c r="O860" s="1026"/>
      <c r="P860" s="1028"/>
      <c r="Q860" s="1029"/>
      <c r="R860" s="1166"/>
      <c r="S860" s="1030"/>
      <c r="T860" s="1031"/>
      <c r="U860" s="1032"/>
      <c r="V860" s="1033"/>
      <c r="W860" s="1034"/>
      <c r="X860" s="1166"/>
      <c r="Y860" s="1035"/>
      <c r="Z860" s="1036"/>
      <c r="AA860" s="1037"/>
      <c r="AB860" s="1038"/>
      <c r="AC860" s="1039"/>
      <c r="AD860" s="1040"/>
      <c r="AE860" s="1041"/>
      <c r="AF860" s="521"/>
      <c r="AG860" s="420"/>
      <c r="AH860" s="420"/>
      <c r="AI860" s="420"/>
      <c r="AJ860" s="420"/>
      <c r="AK860" s="518"/>
      <c r="AL860" s="1042"/>
      <c r="AM860" s="1035"/>
      <c r="AN860" s="1043"/>
      <c r="AO860" s="1167"/>
      <c r="AP860" s="1044"/>
      <c r="AQ860" s="1035"/>
      <c r="AR860" s="1035"/>
      <c r="AS860" s="1035"/>
      <c r="AT860" s="1165"/>
      <c r="AU860" s="1031"/>
      <c r="AV860" s="1045"/>
      <c r="AW860" s="1038"/>
      <c r="AX860" s="1035"/>
      <c r="AY860" s="483"/>
      <c r="AZ860" s="429"/>
      <c r="BA860" s="431"/>
      <c r="BB860" s="1035"/>
      <c r="BC860" s="1035"/>
      <c r="BD860" s="481"/>
      <c r="BE860" s="432"/>
      <c r="BF860" s="646"/>
      <c r="BG860" s="1047"/>
      <c r="BH860" s="1046"/>
      <c r="BI860" s="1048"/>
      <c r="BJ860" s="1030"/>
      <c r="BK860" s="1046"/>
      <c r="BL860" s="1048"/>
      <c r="BM860" s="1046"/>
      <c r="BN860" s="1167"/>
      <c r="BO860" s="1035"/>
      <c r="BP860" s="1043"/>
      <c r="BQ860" s="1167"/>
      <c r="BR860" s="1165"/>
      <c r="BS860" s="1031"/>
      <c r="BT860" s="1038"/>
      <c r="BU860" s="1035"/>
      <c r="BV860" s="1035"/>
      <c r="BW860" s="1049"/>
      <c r="BX860" s="1043"/>
      <c r="BY860" s="1046"/>
      <c r="BZ860" s="1167"/>
      <c r="CA860" s="1165"/>
      <c r="CB860" s="1031"/>
      <c r="CC860" s="1038"/>
      <c r="CD860" s="1035"/>
      <c r="CE860" s="1035"/>
      <c r="CF860" s="1049"/>
      <c r="CG860" s="1043"/>
      <c r="CH860" s="1046"/>
      <c r="CI860" s="1167"/>
      <c r="CJ860" s="1168"/>
      <c r="CK860" s="1169"/>
      <c r="CL860" s="1169"/>
      <c r="CM860" s="1166"/>
      <c r="CN860" s="1169"/>
      <c r="CO860" s="1169"/>
      <c r="CP860" s="452"/>
      <c r="CQ860" s="435"/>
      <c r="CR860" s="1117"/>
      <c r="CS860" s="452"/>
      <c r="CT860" s="482"/>
      <c r="CU860" s="476"/>
      <c r="CV860" s="431"/>
      <c r="CW860" s="1108"/>
      <c r="CX860" s="1108"/>
      <c r="CY860" s="483"/>
      <c r="CZ860" s="437"/>
      <c r="DA860" s="438"/>
      <c r="DB860" s="439"/>
      <c r="DC860" s="439"/>
      <c r="DD860" s="443"/>
      <c r="DE860" s="411"/>
      <c r="DF860" s="411"/>
      <c r="DG860" s="1117"/>
      <c r="DH860" s="1117"/>
      <c r="DI860" s="1117"/>
      <c r="DJ860" s="442"/>
      <c r="DK860" s="482"/>
      <c r="DL860" s="1038"/>
      <c r="DM860" s="1035"/>
      <c r="DN860" s="1035"/>
      <c r="DO860" s="1035"/>
      <c r="DP860" s="1046"/>
      <c r="DQ860" s="1167"/>
      <c r="DR860" s="1168"/>
      <c r="DS860" s="1165"/>
      <c r="DT860" s="1165"/>
      <c r="DU860" s="1165"/>
      <c r="DV860" s="1031"/>
      <c r="DW860" s="1098">
        <f t="shared" si="1176"/>
        <v>0</v>
      </c>
      <c r="DX860" s="1098">
        <f t="shared" si="1177"/>
        <v>0</v>
      </c>
      <c r="DY860" s="1030"/>
      <c r="DZ860" s="1030"/>
      <c r="EA860" s="1031"/>
      <c r="EB860" s="1050"/>
      <c r="EC860" s="1038"/>
      <c r="ED860" s="1035"/>
      <c r="EE860" s="1046"/>
      <c r="EF860" s="1169"/>
      <c r="EG860" s="1168"/>
      <c r="EH860" s="1165"/>
      <c r="EI860" s="1165"/>
      <c r="EJ860" s="1165"/>
      <c r="EK860" s="1031"/>
      <c r="EL860" s="1098">
        <f t="shared" si="1178"/>
        <v>0</v>
      </c>
      <c r="EM860" s="1098">
        <f t="shared" si="1179"/>
        <v>0</v>
      </c>
      <c r="EN860" s="1030"/>
      <c r="EO860" s="1030"/>
      <c r="EP860" s="1031"/>
      <c r="EQ860" s="1050"/>
      <c r="ER860" s="1038"/>
      <c r="ES860" s="1035"/>
      <c r="ET860" s="1051"/>
    </row>
    <row r="861" spans="2:150" ht="16.5" customHeight="1">
      <c r="B861" s="1024"/>
      <c r="C861" s="1025"/>
      <c r="D861" s="408">
        <v>858</v>
      </c>
      <c r="E861" s="1164"/>
      <c r="F861" s="1164"/>
      <c r="G861" s="1026"/>
      <c r="H861" s="411" t="str">
        <f>IFERROR(INDEX(绊状态确认!C:C,MATCH($G861,绊状态确认!$B:$B,)),"")</f>
        <v/>
      </c>
      <c r="I861" s="450" t="str">
        <f>IFERROR(INDEX(绊状态确认!D:D,MATCH($G861,绊状态确认!$B:$B,)),"")</f>
        <v/>
      </c>
      <c r="J861" s="450" t="str">
        <f>IFERROR(INDEX(绊状态确认!E:E,MATCH($G861,绊状态确认!$B:$B,)),"")</f>
        <v/>
      </c>
      <c r="K861" s="451" t="str">
        <f>IFERROR(INDEX(绊状态确认!F:F,MATCH($G861,绊状态确认!$B:$B,)),"")</f>
        <v/>
      </c>
      <c r="L861" s="1026"/>
      <c r="M861" s="1165"/>
      <c r="N861" s="1027"/>
      <c r="O861" s="1026"/>
      <c r="P861" s="1028"/>
      <c r="Q861" s="1029"/>
      <c r="R861" s="1166"/>
      <c r="S861" s="1030"/>
      <c r="T861" s="1031"/>
      <c r="U861" s="1032"/>
      <c r="V861" s="1033"/>
      <c r="W861" s="1034"/>
      <c r="X861" s="1166"/>
      <c r="Y861" s="1035"/>
      <c r="Z861" s="1036"/>
      <c r="AA861" s="1037"/>
      <c r="AB861" s="1038"/>
      <c r="AC861" s="1039"/>
      <c r="AD861" s="1040"/>
      <c r="AE861" s="1041"/>
      <c r="AF861" s="521"/>
      <c r="AG861" s="420"/>
      <c r="AH861" s="420"/>
      <c r="AI861" s="420"/>
      <c r="AJ861" s="420"/>
      <c r="AK861" s="518"/>
      <c r="AL861" s="1042"/>
      <c r="AM861" s="1035"/>
      <c r="AN861" s="1043"/>
      <c r="AO861" s="1167"/>
      <c r="AP861" s="1044"/>
      <c r="AQ861" s="1035"/>
      <c r="AR861" s="1035"/>
      <c r="AS861" s="1035"/>
      <c r="AT861" s="1165"/>
      <c r="AU861" s="1031"/>
      <c r="AV861" s="1045"/>
      <c r="AW861" s="1038"/>
      <c r="AX861" s="1035"/>
      <c r="AY861" s="483"/>
      <c r="AZ861" s="429"/>
      <c r="BA861" s="431"/>
      <c r="BB861" s="1035"/>
      <c r="BC861" s="1035"/>
      <c r="BD861" s="481"/>
      <c r="BE861" s="432"/>
      <c r="BF861" s="646"/>
      <c r="BG861" s="1047"/>
      <c r="BH861" s="1046"/>
      <c r="BI861" s="1048"/>
      <c r="BJ861" s="1030"/>
      <c r="BK861" s="1046"/>
      <c r="BL861" s="1048"/>
      <c r="BM861" s="1046"/>
      <c r="BN861" s="1167"/>
      <c r="BO861" s="1035"/>
      <c r="BP861" s="1043"/>
      <c r="BQ861" s="1167"/>
      <c r="BR861" s="1165"/>
      <c r="BS861" s="1031"/>
      <c r="BT861" s="1038"/>
      <c r="BU861" s="1035"/>
      <c r="BV861" s="1035"/>
      <c r="BW861" s="1049"/>
      <c r="BX861" s="1043"/>
      <c r="BY861" s="1046"/>
      <c r="BZ861" s="1167"/>
      <c r="CA861" s="1165"/>
      <c r="CB861" s="1031"/>
      <c r="CC861" s="1038"/>
      <c r="CD861" s="1035"/>
      <c r="CE861" s="1035"/>
      <c r="CF861" s="1049"/>
      <c r="CG861" s="1043"/>
      <c r="CH861" s="1046"/>
      <c r="CI861" s="1167"/>
      <c r="CJ861" s="1168"/>
      <c r="CK861" s="1169"/>
      <c r="CL861" s="1169"/>
      <c r="CM861" s="1166"/>
      <c r="CN861" s="1169"/>
      <c r="CO861" s="1169"/>
      <c r="CP861" s="452"/>
      <c r="CQ861" s="435"/>
      <c r="CR861" s="1117"/>
      <c r="CS861" s="452"/>
      <c r="CT861" s="482"/>
      <c r="CU861" s="476"/>
      <c r="CV861" s="431"/>
      <c r="CW861" s="1108"/>
      <c r="CX861" s="1108"/>
      <c r="CY861" s="483"/>
      <c r="CZ861" s="437"/>
      <c r="DA861" s="438"/>
      <c r="DB861" s="439"/>
      <c r="DC861" s="439"/>
      <c r="DD861" s="443"/>
      <c r="DE861" s="411"/>
      <c r="DF861" s="411"/>
      <c r="DG861" s="1117"/>
      <c r="DH861" s="1117"/>
      <c r="DI861" s="1117"/>
      <c r="DJ861" s="442"/>
      <c r="DK861" s="482"/>
      <c r="DL861" s="1038"/>
      <c r="DM861" s="1035"/>
      <c r="DN861" s="1035"/>
      <c r="DO861" s="1035"/>
      <c r="DP861" s="1046"/>
      <c r="DQ861" s="1167"/>
      <c r="DR861" s="1168"/>
      <c r="DS861" s="1165"/>
      <c r="DT861" s="1165"/>
      <c r="DU861" s="1165"/>
      <c r="DV861" s="1031"/>
      <c r="DW861" s="1098">
        <f t="shared" si="1176"/>
        <v>0</v>
      </c>
      <c r="DX861" s="1098">
        <f t="shared" si="1177"/>
        <v>0</v>
      </c>
      <c r="DY861" s="1030"/>
      <c r="DZ861" s="1030"/>
      <c r="EA861" s="1031"/>
      <c r="EB861" s="1050"/>
      <c r="EC861" s="1038"/>
      <c r="ED861" s="1035"/>
      <c r="EE861" s="1046"/>
      <c r="EF861" s="1169"/>
      <c r="EG861" s="1168"/>
      <c r="EH861" s="1165"/>
      <c r="EI861" s="1165"/>
      <c r="EJ861" s="1165"/>
      <c r="EK861" s="1031"/>
      <c r="EL861" s="1098">
        <f t="shared" si="1178"/>
        <v>0</v>
      </c>
      <c r="EM861" s="1098">
        <f t="shared" si="1179"/>
        <v>0</v>
      </c>
      <c r="EN861" s="1030"/>
      <c r="EO861" s="1030"/>
      <c r="EP861" s="1031"/>
      <c r="EQ861" s="1050"/>
      <c r="ER861" s="1038"/>
      <c r="ES861" s="1035"/>
      <c r="ET861" s="1051"/>
    </row>
    <row r="862" spans="2:150" ht="16.5" customHeight="1">
      <c r="B862" s="1024"/>
      <c r="C862" s="1025"/>
      <c r="D862" s="408">
        <v>859</v>
      </c>
      <c r="E862" s="1164"/>
      <c r="F862" s="1164"/>
      <c r="G862" s="1026"/>
      <c r="H862" s="411" t="str">
        <f>IFERROR(INDEX(绊状态确认!C:C,MATCH($G862,绊状态确认!$B:$B,)),"")</f>
        <v/>
      </c>
      <c r="I862" s="450" t="str">
        <f>IFERROR(INDEX(绊状态确认!D:D,MATCH($G862,绊状态确认!$B:$B,)),"")</f>
        <v/>
      </c>
      <c r="J862" s="450" t="str">
        <f>IFERROR(INDEX(绊状态确认!E:E,MATCH($G862,绊状态确认!$B:$B,)),"")</f>
        <v/>
      </c>
      <c r="K862" s="451" t="str">
        <f>IFERROR(INDEX(绊状态确认!F:F,MATCH($G862,绊状态确认!$B:$B,)),"")</f>
        <v/>
      </c>
      <c r="L862" s="1026"/>
      <c r="M862" s="1165"/>
      <c r="N862" s="1027"/>
      <c r="O862" s="1026"/>
      <c r="P862" s="1028"/>
      <c r="Q862" s="1029"/>
      <c r="R862" s="1166"/>
      <c r="S862" s="1030"/>
      <c r="T862" s="1031"/>
      <c r="U862" s="1032"/>
      <c r="V862" s="1033"/>
      <c r="W862" s="1034"/>
      <c r="X862" s="1166"/>
      <c r="Y862" s="1035"/>
      <c r="Z862" s="1036"/>
      <c r="AA862" s="1037"/>
      <c r="AB862" s="1038"/>
      <c r="AC862" s="1039"/>
      <c r="AD862" s="1040"/>
      <c r="AE862" s="1041"/>
      <c r="AF862" s="521"/>
      <c r="AG862" s="420"/>
      <c r="AH862" s="420"/>
      <c r="AI862" s="420"/>
      <c r="AJ862" s="420"/>
      <c r="AK862" s="518"/>
      <c r="AL862" s="1042"/>
      <c r="AM862" s="1035"/>
      <c r="AN862" s="1043"/>
      <c r="AO862" s="1167"/>
      <c r="AP862" s="1044"/>
      <c r="AQ862" s="1035"/>
      <c r="AR862" s="1035"/>
      <c r="AS862" s="1035"/>
      <c r="AT862" s="1165"/>
      <c r="AU862" s="1031"/>
      <c r="AV862" s="1045"/>
      <c r="AW862" s="1038"/>
      <c r="AX862" s="1035"/>
      <c r="AY862" s="483"/>
      <c r="AZ862" s="429"/>
      <c r="BA862" s="431"/>
      <c r="BB862" s="1035"/>
      <c r="BC862" s="1035"/>
      <c r="BD862" s="481"/>
      <c r="BE862" s="432"/>
      <c r="BF862" s="646"/>
      <c r="BG862" s="1047"/>
      <c r="BH862" s="1046"/>
      <c r="BI862" s="1048"/>
      <c r="BJ862" s="1030"/>
      <c r="BK862" s="1046"/>
      <c r="BL862" s="1048"/>
      <c r="BM862" s="1046"/>
      <c r="BN862" s="1167"/>
      <c r="BO862" s="1035"/>
      <c r="BP862" s="1043"/>
      <c r="BQ862" s="1167"/>
      <c r="BR862" s="1165"/>
      <c r="BS862" s="1031"/>
      <c r="BT862" s="1038"/>
      <c r="BU862" s="1035"/>
      <c r="BV862" s="1035"/>
      <c r="BW862" s="1049"/>
      <c r="BX862" s="1043"/>
      <c r="BY862" s="1046"/>
      <c r="BZ862" s="1167"/>
      <c r="CA862" s="1165"/>
      <c r="CB862" s="1031"/>
      <c r="CC862" s="1038"/>
      <c r="CD862" s="1035"/>
      <c r="CE862" s="1035"/>
      <c r="CF862" s="1049"/>
      <c r="CG862" s="1043"/>
      <c r="CH862" s="1046"/>
      <c r="CI862" s="1167"/>
      <c r="CJ862" s="1168"/>
      <c r="CK862" s="1169"/>
      <c r="CL862" s="1169"/>
      <c r="CM862" s="1166"/>
      <c r="CN862" s="1169"/>
      <c r="CO862" s="1169"/>
      <c r="CP862" s="452"/>
      <c r="CQ862" s="435"/>
      <c r="CR862" s="1117"/>
      <c r="CS862" s="452"/>
      <c r="CT862" s="482"/>
      <c r="CU862" s="476"/>
      <c r="CV862" s="431"/>
      <c r="CW862" s="1108"/>
      <c r="CX862" s="1108"/>
      <c r="CY862" s="483"/>
      <c r="CZ862" s="437"/>
      <c r="DA862" s="438"/>
      <c r="DB862" s="439"/>
      <c r="DC862" s="439"/>
      <c r="DD862" s="443"/>
      <c r="DE862" s="411"/>
      <c r="DF862" s="411"/>
      <c r="DG862" s="1117"/>
      <c r="DH862" s="1117"/>
      <c r="DI862" s="1117"/>
      <c r="DJ862" s="442"/>
      <c r="DK862" s="482"/>
      <c r="DL862" s="1038"/>
      <c r="DM862" s="1035"/>
      <c r="DN862" s="1035"/>
      <c r="DO862" s="1035"/>
      <c r="DP862" s="1046"/>
      <c r="DQ862" s="1167"/>
      <c r="DR862" s="1168"/>
      <c r="DS862" s="1165"/>
      <c r="DT862" s="1165"/>
      <c r="DU862" s="1165"/>
      <c r="DV862" s="1031"/>
      <c r="DW862" s="1098">
        <f t="shared" si="1176"/>
        <v>0</v>
      </c>
      <c r="DX862" s="1098">
        <f t="shared" si="1177"/>
        <v>0</v>
      </c>
      <c r="DY862" s="1030"/>
      <c r="DZ862" s="1030"/>
      <c r="EA862" s="1031"/>
      <c r="EB862" s="1050"/>
      <c r="EC862" s="1038"/>
      <c r="ED862" s="1035"/>
      <c r="EE862" s="1046"/>
      <c r="EF862" s="1169"/>
      <c r="EG862" s="1168"/>
      <c r="EH862" s="1165"/>
      <c r="EI862" s="1165"/>
      <c r="EJ862" s="1165"/>
      <c r="EK862" s="1031"/>
      <c r="EL862" s="1098">
        <f t="shared" si="1178"/>
        <v>0</v>
      </c>
      <c r="EM862" s="1098">
        <f t="shared" si="1179"/>
        <v>0</v>
      </c>
      <c r="EN862" s="1030"/>
      <c r="EO862" s="1030"/>
      <c r="EP862" s="1031"/>
      <c r="EQ862" s="1050"/>
      <c r="ER862" s="1038"/>
      <c r="ES862" s="1035"/>
      <c r="ET862" s="1051"/>
    </row>
    <row r="863" spans="2:150" ht="16.5" customHeight="1">
      <c r="B863" s="1024"/>
      <c r="C863" s="1025"/>
      <c r="D863" s="408">
        <v>860</v>
      </c>
      <c r="E863" s="1164"/>
      <c r="F863" s="1164"/>
      <c r="G863" s="1026"/>
      <c r="H863" s="411" t="str">
        <f>IFERROR(INDEX(绊状态确认!C:C,MATCH($G863,绊状态确认!$B:$B,)),"")</f>
        <v/>
      </c>
      <c r="I863" s="450" t="str">
        <f>IFERROR(INDEX(绊状态确认!D:D,MATCH($G863,绊状态确认!$B:$B,)),"")</f>
        <v/>
      </c>
      <c r="J863" s="450" t="str">
        <f>IFERROR(INDEX(绊状态确认!E:E,MATCH($G863,绊状态确认!$B:$B,)),"")</f>
        <v/>
      </c>
      <c r="K863" s="451" t="str">
        <f>IFERROR(INDEX(绊状态确认!F:F,MATCH($G863,绊状态确认!$B:$B,)),"")</f>
        <v/>
      </c>
      <c r="L863" s="1026"/>
      <c r="M863" s="1165"/>
      <c r="N863" s="1027"/>
      <c r="O863" s="1026"/>
      <c r="P863" s="1028"/>
      <c r="Q863" s="1029"/>
      <c r="R863" s="1166"/>
      <c r="S863" s="1030"/>
      <c r="T863" s="1031"/>
      <c r="U863" s="1032"/>
      <c r="V863" s="1033"/>
      <c r="W863" s="1034"/>
      <c r="X863" s="1166"/>
      <c r="Y863" s="1035"/>
      <c r="Z863" s="1036"/>
      <c r="AA863" s="1037"/>
      <c r="AB863" s="1038"/>
      <c r="AC863" s="1039"/>
      <c r="AD863" s="1040"/>
      <c r="AE863" s="1041"/>
      <c r="AF863" s="521"/>
      <c r="AG863" s="420"/>
      <c r="AH863" s="420"/>
      <c r="AI863" s="420"/>
      <c r="AJ863" s="420"/>
      <c r="AK863" s="518"/>
      <c r="AL863" s="1042"/>
      <c r="AM863" s="1035"/>
      <c r="AN863" s="1043"/>
      <c r="AO863" s="1167"/>
      <c r="AP863" s="1044"/>
      <c r="AQ863" s="1035"/>
      <c r="AR863" s="1035"/>
      <c r="AS863" s="1035"/>
      <c r="AT863" s="1165"/>
      <c r="AU863" s="1031"/>
      <c r="AV863" s="1045"/>
      <c r="AW863" s="1038"/>
      <c r="AX863" s="1035"/>
      <c r="AY863" s="483"/>
      <c r="AZ863" s="429"/>
      <c r="BA863" s="431"/>
      <c r="BB863" s="1035"/>
      <c r="BC863" s="1035"/>
      <c r="BD863" s="481"/>
      <c r="BE863" s="432"/>
      <c r="BF863" s="646"/>
      <c r="BG863" s="1047"/>
      <c r="BH863" s="1046"/>
      <c r="BI863" s="1048"/>
      <c r="BJ863" s="1030"/>
      <c r="BK863" s="1046"/>
      <c r="BL863" s="1048"/>
      <c r="BM863" s="1046"/>
      <c r="BN863" s="1167"/>
      <c r="BO863" s="1035"/>
      <c r="BP863" s="1043"/>
      <c r="BQ863" s="1167"/>
      <c r="BR863" s="1165"/>
      <c r="BS863" s="1031"/>
      <c r="BT863" s="1038"/>
      <c r="BU863" s="1035"/>
      <c r="BV863" s="1035"/>
      <c r="BW863" s="1049"/>
      <c r="BX863" s="1043"/>
      <c r="BY863" s="1046"/>
      <c r="BZ863" s="1167"/>
      <c r="CA863" s="1165"/>
      <c r="CB863" s="1031"/>
      <c r="CC863" s="1038"/>
      <c r="CD863" s="1035"/>
      <c r="CE863" s="1035"/>
      <c r="CF863" s="1049"/>
      <c r="CG863" s="1043"/>
      <c r="CH863" s="1046"/>
      <c r="CI863" s="1167"/>
      <c r="CJ863" s="1168"/>
      <c r="CK863" s="1169"/>
      <c r="CL863" s="1169"/>
      <c r="CM863" s="1166"/>
      <c r="CN863" s="1169"/>
      <c r="CO863" s="1169"/>
      <c r="CP863" s="452"/>
      <c r="CQ863" s="435"/>
      <c r="CR863" s="1117"/>
      <c r="CS863" s="452"/>
      <c r="CT863" s="482"/>
      <c r="CU863" s="476"/>
      <c r="CV863" s="431"/>
      <c r="CW863" s="1108"/>
      <c r="CX863" s="1108"/>
      <c r="CY863" s="483"/>
      <c r="CZ863" s="437"/>
      <c r="DA863" s="438"/>
      <c r="DB863" s="439"/>
      <c r="DC863" s="439"/>
      <c r="DD863" s="443"/>
      <c r="DE863" s="411"/>
      <c r="DF863" s="411"/>
      <c r="DG863" s="1117"/>
      <c r="DH863" s="1117"/>
      <c r="DI863" s="1117"/>
      <c r="DJ863" s="442"/>
      <c r="DK863" s="482"/>
      <c r="DL863" s="1038"/>
      <c r="DM863" s="1035"/>
      <c r="DN863" s="1035"/>
      <c r="DO863" s="1035"/>
      <c r="DP863" s="1046"/>
      <c r="DQ863" s="1167"/>
      <c r="DR863" s="1168"/>
      <c r="DS863" s="1165"/>
      <c r="DT863" s="1165"/>
      <c r="DU863" s="1165"/>
      <c r="DV863" s="1031"/>
      <c r="DW863" s="1098">
        <f t="shared" si="1176"/>
        <v>0</v>
      </c>
      <c r="DX863" s="1098">
        <f t="shared" si="1177"/>
        <v>0</v>
      </c>
      <c r="DY863" s="1030"/>
      <c r="DZ863" s="1030"/>
      <c r="EA863" s="1031"/>
      <c r="EB863" s="1050"/>
      <c r="EC863" s="1038"/>
      <c r="ED863" s="1035"/>
      <c r="EE863" s="1046"/>
      <c r="EF863" s="1169"/>
      <c r="EG863" s="1168"/>
      <c r="EH863" s="1165"/>
      <c r="EI863" s="1165"/>
      <c r="EJ863" s="1165"/>
      <c r="EK863" s="1031"/>
      <c r="EL863" s="1098">
        <f t="shared" si="1178"/>
        <v>0</v>
      </c>
      <c r="EM863" s="1098">
        <f t="shared" si="1179"/>
        <v>0</v>
      </c>
      <c r="EN863" s="1030"/>
      <c r="EO863" s="1030"/>
      <c r="EP863" s="1031"/>
      <c r="EQ863" s="1050"/>
      <c r="ER863" s="1038"/>
      <c r="ES863" s="1035"/>
      <c r="ET863" s="1051"/>
    </row>
    <row r="864" spans="2:150" ht="16.5" customHeight="1">
      <c r="B864" s="1024"/>
      <c r="C864" s="1025"/>
      <c r="D864" s="408">
        <v>861</v>
      </c>
      <c r="E864" s="1164"/>
      <c r="F864" s="1164"/>
      <c r="G864" s="1026"/>
      <c r="H864" s="411" t="str">
        <f>IFERROR(INDEX(绊状态确认!C:C,MATCH($G864,绊状态确认!$B:$B,)),"")</f>
        <v/>
      </c>
      <c r="I864" s="450" t="str">
        <f>IFERROR(INDEX(绊状态确认!D:D,MATCH($G864,绊状态确认!$B:$B,)),"")</f>
        <v/>
      </c>
      <c r="J864" s="450" t="str">
        <f>IFERROR(INDEX(绊状态确认!E:E,MATCH($G864,绊状态确认!$B:$B,)),"")</f>
        <v/>
      </c>
      <c r="K864" s="451" t="str">
        <f>IFERROR(INDEX(绊状态确认!F:F,MATCH($G864,绊状态确认!$B:$B,)),"")</f>
        <v/>
      </c>
      <c r="L864" s="1026"/>
      <c r="M864" s="1165"/>
      <c r="N864" s="1027"/>
      <c r="O864" s="1026"/>
      <c r="P864" s="1028"/>
      <c r="Q864" s="1029"/>
      <c r="R864" s="1166"/>
      <c r="S864" s="1030"/>
      <c r="T864" s="1031"/>
      <c r="U864" s="1032"/>
      <c r="V864" s="1033"/>
      <c r="W864" s="1034"/>
      <c r="X864" s="1166"/>
      <c r="Y864" s="1035"/>
      <c r="Z864" s="1036"/>
      <c r="AA864" s="1037"/>
      <c r="AB864" s="1038"/>
      <c r="AC864" s="1039"/>
      <c r="AD864" s="1040"/>
      <c r="AE864" s="1041"/>
      <c r="AF864" s="521"/>
      <c r="AG864" s="420"/>
      <c r="AH864" s="420"/>
      <c r="AI864" s="420"/>
      <c r="AJ864" s="420"/>
      <c r="AK864" s="518"/>
      <c r="AL864" s="1042"/>
      <c r="AM864" s="1035"/>
      <c r="AN864" s="1043"/>
      <c r="AO864" s="1167"/>
      <c r="AP864" s="1044"/>
      <c r="AQ864" s="1035"/>
      <c r="AR864" s="1035"/>
      <c r="AS864" s="1035"/>
      <c r="AT864" s="1165"/>
      <c r="AU864" s="1031"/>
      <c r="AV864" s="1045"/>
      <c r="AW864" s="1038"/>
      <c r="AX864" s="1035"/>
      <c r="AY864" s="483"/>
      <c r="AZ864" s="429"/>
      <c r="BA864" s="431"/>
      <c r="BB864" s="1035"/>
      <c r="BC864" s="1035"/>
      <c r="BD864" s="481"/>
      <c r="BE864" s="432"/>
      <c r="BF864" s="646"/>
      <c r="BG864" s="1047"/>
      <c r="BH864" s="1046"/>
      <c r="BI864" s="1048"/>
      <c r="BJ864" s="1030"/>
      <c r="BK864" s="1046"/>
      <c r="BL864" s="1048"/>
      <c r="BM864" s="1046"/>
      <c r="BN864" s="1167"/>
      <c r="BO864" s="1035"/>
      <c r="BP864" s="1043"/>
      <c r="BQ864" s="1167"/>
      <c r="BR864" s="1165"/>
      <c r="BS864" s="1031"/>
      <c r="BT864" s="1038"/>
      <c r="BU864" s="1035"/>
      <c r="BV864" s="1035"/>
      <c r="BW864" s="1049"/>
      <c r="BX864" s="1043"/>
      <c r="BY864" s="1046"/>
      <c r="BZ864" s="1167"/>
      <c r="CA864" s="1165"/>
      <c r="CB864" s="1031"/>
      <c r="CC864" s="1038"/>
      <c r="CD864" s="1035"/>
      <c r="CE864" s="1035"/>
      <c r="CF864" s="1049"/>
      <c r="CG864" s="1043"/>
      <c r="CH864" s="1046"/>
      <c r="CI864" s="1167"/>
      <c r="CJ864" s="1168"/>
      <c r="CK864" s="1169"/>
      <c r="CL864" s="1169"/>
      <c r="CM864" s="1166"/>
      <c r="CN864" s="1169"/>
      <c r="CO864" s="1169"/>
      <c r="CP864" s="452"/>
      <c r="CQ864" s="435"/>
      <c r="CR864" s="1117"/>
      <c r="CS864" s="452"/>
      <c r="CT864" s="482"/>
      <c r="CU864" s="476"/>
      <c r="CV864" s="431"/>
      <c r="CW864" s="1108"/>
      <c r="CX864" s="1108"/>
      <c r="CY864" s="483"/>
      <c r="CZ864" s="437"/>
      <c r="DA864" s="438"/>
      <c r="DB864" s="439"/>
      <c r="DC864" s="439"/>
      <c r="DD864" s="443"/>
      <c r="DE864" s="411"/>
      <c r="DF864" s="411"/>
      <c r="DG864" s="1117"/>
      <c r="DH864" s="1117"/>
      <c r="DI864" s="1117"/>
      <c r="DJ864" s="442"/>
      <c r="DK864" s="482"/>
      <c r="DL864" s="1038"/>
      <c r="DM864" s="1035"/>
      <c r="DN864" s="1035"/>
      <c r="DO864" s="1035"/>
      <c r="DP864" s="1046"/>
      <c r="DQ864" s="1167"/>
      <c r="DR864" s="1168"/>
      <c r="DS864" s="1165"/>
      <c r="DT864" s="1165"/>
      <c r="DU864" s="1165"/>
      <c r="DV864" s="1031"/>
      <c r="DW864" s="1098">
        <f t="shared" si="1176"/>
        <v>0</v>
      </c>
      <c r="DX864" s="1098">
        <f t="shared" si="1177"/>
        <v>0</v>
      </c>
      <c r="DY864" s="1030"/>
      <c r="DZ864" s="1030"/>
      <c r="EA864" s="1031"/>
      <c r="EB864" s="1050"/>
      <c r="EC864" s="1038"/>
      <c r="ED864" s="1035"/>
      <c r="EE864" s="1046"/>
      <c r="EF864" s="1169"/>
      <c r="EG864" s="1168"/>
      <c r="EH864" s="1165"/>
      <c r="EI864" s="1165"/>
      <c r="EJ864" s="1165"/>
      <c r="EK864" s="1031"/>
      <c r="EL864" s="1098">
        <f t="shared" si="1178"/>
        <v>0</v>
      </c>
      <c r="EM864" s="1098">
        <f t="shared" si="1179"/>
        <v>0</v>
      </c>
      <c r="EN864" s="1030"/>
      <c r="EO864" s="1030"/>
      <c r="EP864" s="1031"/>
      <c r="EQ864" s="1050"/>
      <c r="ER864" s="1038"/>
      <c r="ES864" s="1035"/>
      <c r="ET864" s="1051"/>
    </row>
    <row r="865" spans="2:150" ht="16.5" customHeight="1">
      <c r="B865" s="1024"/>
      <c r="C865" s="1025"/>
      <c r="D865" s="408">
        <v>862</v>
      </c>
      <c r="E865" s="1164"/>
      <c r="F865" s="1164"/>
      <c r="G865" s="1026"/>
      <c r="H865" s="411" t="str">
        <f>IFERROR(INDEX(绊状态确认!C:C,MATCH($G865,绊状态确认!$B:$B,)),"")</f>
        <v/>
      </c>
      <c r="I865" s="450" t="str">
        <f>IFERROR(INDEX(绊状态确认!D:D,MATCH($G865,绊状态确认!$B:$B,)),"")</f>
        <v/>
      </c>
      <c r="J865" s="450" t="str">
        <f>IFERROR(INDEX(绊状态确认!E:E,MATCH($G865,绊状态确认!$B:$B,)),"")</f>
        <v/>
      </c>
      <c r="K865" s="451" t="str">
        <f>IFERROR(INDEX(绊状态确认!F:F,MATCH($G865,绊状态确认!$B:$B,)),"")</f>
        <v/>
      </c>
      <c r="L865" s="1026"/>
      <c r="M865" s="1165"/>
      <c r="N865" s="1027"/>
      <c r="O865" s="1026"/>
      <c r="P865" s="1028"/>
      <c r="Q865" s="1029"/>
      <c r="R865" s="1166"/>
      <c r="S865" s="1030"/>
      <c r="T865" s="1031"/>
      <c r="U865" s="1032"/>
      <c r="V865" s="1033"/>
      <c r="W865" s="1034"/>
      <c r="X865" s="1166"/>
      <c r="Y865" s="1035"/>
      <c r="Z865" s="1036"/>
      <c r="AA865" s="1037"/>
      <c r="AB865" s="1038"/>
      <c r="AC865" s="1039"/>
      <c r="AD865" s="1040"/>
      <c r="AE865" s="1041"/>
      <c r="AF865" s="521"/>
      <c r="AG865" s="420"/>
      <c r="AH865" s="420"/>
      <c r="AI865" s="420"/>
      <c r="AJ865" s="420"/>
      <c r="AK865" s="518"/>
      <c r="AL865" s="1042"/>
      <c r="AM865" s="1035"/>
      <c r="AN865" s="1043"/>
      <c r="AO865" s="1167"/>
      <c r="AP865" s="1044"/>
      <c r="AQ865" s="1035"/>
      <c r="AR865" s="1035"/>
      <c r="AS865" s="1035"/>
      <c r="AT865" s="1165"/>
      <c r="AU865" s="1031"/>
      <c r="AV865" s="1045"/>
      <c r="AW865" s="1038"/>
      <c r="AX865" s="1035"/>
      <c r="AY865" s="483"/>
      <c r="AZ865" s="429"/>
      <c r="BA865" s="431"/>
      <c r="BB865" s="1035"/>
      <c r="BC865" s="1035"/>
      <c r="BD865" s="481"/>
      <c r="BE865" s="432"/>
      <c r="BF865" s="646"/>
      <c r="BG865" s="1047"/>
      <c r="BH865" s="1046"/>
      <c r="BI865" s="1048"/>
      <c r="BJ865" s="1030"/>
      <c r="BK865" s="1046"/>
      <c r="BL865" s="1048"/>
      <c r="BM865" s="1046"/>
      <c r="BN865" s="1167"/>
      <c r="BO865" s="1035"/>
      <c r="BP865" s="1043"/>
      <c r="BQ865" s="1167"/>
      <c r="BR865" s="1165"/>
      <c r="BS865" s="1031"/>
      <c r="BT865" s="1038"/>
      <c r="BU865" s="1035"/>
      <c r="BV865" s="1035"/>
      <c r="BW865" s="1049"/>
      <c r="BX865" s="1043"/>
      <c r="BY865" s="1046"/>
      <c r="BZ865" s="1167"/>
      <c r="CA865" s="1165"/>
      <c r="CB865" s="1031"/>
      <c r="CC865" s="1038"/>
      <c r="CD865" s="1035"/>
      <c r="CE865" s="1035"/>
      <c r="CF865" s="1049"/>
      <c r="CG865" s="1043"/>
      <c r="CH865" s="1046"/>
      <c r="CI865" s="1167"/>
      <c r="CJ865" s="1168"/>
      <c r="CK865" s="1169"/>
      <c r="CL865" s="1169"/>
      <c r="CM865" s="1166"/>
      <c r="CN865" s="1169"/>
      <c r="CO865" s="1169"/>
      <c r="CP865" s="452"/>
      <c r="CQ865" s="435"/>
      <c r="CR865" s="1117"/>
      <c r="CS865" s="452"/>
      <c r="CT865" s="482"/>
      <c r="CU865" s="476"/>
      <c r="CV865" s="431"/>
      <c r="CW865" s="1108"/>
      <c r="CX865" s="1108"/>
      <c r="CY865" s="483"/>
      <c r="CZ865" s="437"/>
      <c r="DA865" s="438"/>
      <c r="DB865" s="439"/>
      <c r="DC865" s="439"/>
      <c r="DD865" s="443"/>
      <c r="DE865" s="411"/>
      <c r="DF865" s="411"/>
      <c r="DG865" s="1117"/>
      <c r="DH865" s="1117"/>
      <c r="DI865" s="1117"/>
      <c r="DJ865" s="442"/>
      <c r="DK865" s="482"/>
      <c r="DL865" s="1038"/>
      <c r="DM865" s="1035"/>
      <c r="DN865" s="1035"/>
      <c r="DO865" s="1035"/>
      <c r="DP865" s="1046"/>
      <c r="DQ865" s="1167"/>
      <c r="DR865" s="1168"/>
      <c r="DS865" s="1165"/>
      <c r="DT865" s="1165"/>
      <c r="DU865" s="1165"/>
      <c r="DV865" s="1031"/>
      <c r="DW865" s="1098">
        <f t="shared" si="1176"/>
        <v>0</v>
      </c>
      <c r="DX865" s="1098">
        <f t="shared" si="1177"/>
        <v>0</v>
      </c>
      <c r="DY865" s="1030"/>
      <c r="DZ865" s="1030"/>
      <c r="EA865" s="1031"/>
      <c r="EB865" s="1050"/>
      <c r="EC865" s="1038"/>
      <c r="ED865" s="1035"/>
      <c r="EE865" s="1046"/>
      <c r="EF865" s="1169"/>
      <c r="EG865" s="1168"/>
      <c r="EH865" s="1165"/>
      <c r="EI865" s="1165"/>
      <c r="EJ865" s="1165"/>
      <c r="EK865" s="1031"/>
      <c r="EL865" s="1098">
        <f t="shared" si="1178"/>
        <v>0</v>
      </c>
      <c r="EM865" s="1098">
        <f t="shared" si="1179"/>
        <v>0</v>
      </c>
      <c r="EN865" s="1030"/>
      <c r="EO865" s="1030"/>
      <c r="EP865" s="1031"/>
      <c r="EQ865" s="1050"/>
      <c r="ER865" s="1038"/>
      <c r="ES865" s="1035"/>
      <c r="ET865" s="1051"/>
    </row>
    <row r="866" spans="2:150" ht="16.5" customHeight="1">
      <c r="B866" s="1024"/>
      <c r="C866" s="1025"/>
      <c r="D866" s="408">
        <v>863</v>
      </c>
      <c r="E866" s="1164"/>
      <c r="F866" s="1164"/>
      <c r="G866" s="1026"/>
      <c r="H866" s="411" t="str">
        <f>IFERROR(INDEX(绊状态确认!C:C,MATCH($G866,绊状态确认!$B:$B,)),"")</f>
        <v/>
      </c>
      <c r="I866" s="450" t="str">
        <f>IFERROR(INDEX(绊状态确认!D:D,MATCH($G866,绊状态确认!$B:$B,)),"")</f>
        <v/>
      </c>
      <c r="J866" s="450" t="str">
        <f>IFERROR(INDEX(绊状态确认!E:E,MATCH($G866,绊状态确认!$B:$B,)),"")</f>
        <v/>
      </c>
      <c r="K866" s="451" t="str">
        <f>IFERROR(INDEX(绊状态确认!F:F,MATCH($G866,绊状态确认!$B:$B,)),"")</f>
        <v/>
      </c>
      <c r="L866" s="1026"/>
      <c r="M866" s="1165"/>
      <c r="N866" s="1027"/>
      <c r="O866" s="1026"/>
      <c r="P866" s="1028"/>
      <c r="Q866" s="1029"/>
      <c r="R866" s="1166"/>
      <c r="S866" s="1030"/>
      <c r="T866" s="1031"/>
      <c r="U866" s="1032"/>
      <c r="V866" s="1033"/>
      <c r="W866" s="1034"/>
      <c r="X866" s="1166"/>
      <c r="Y866" s="1035"/>
      <c r="Z866" s="1036"/>
      <c r="AA866" s="1037"/>
      <c r="AB866" s="1038"/>
      <c r="AC866" s="1039"/>
      <c r="AD866" s="1040"/>
      <c r="AE866" s="1041"/>
      <c r="AF866" s="521"/>
      <c r="AG866" s="420"/>
      <c r="AH866" s="420"/>
      <c r="AI866" s="420"/>
      <c r="AJ866" s="420"/>
      <c r="AK866" s="518"/>
      <c r="AL866" s="1042"/>
      <c r="AM866" s="1035"/>
      <c r="AN866" s="1043"/>
      <c r="AO866" s="1167"/>
      <c r="AP866" s="1044"/>
      <c r="AQ866" s="1035"/>
      <c r="AR866" s="1035"/>
      <c r="AS866" s="1035"/>
      <c r="AT866" s="1165"/>
      <c r="AU866" s="1031"/>
      <c r="AV866" s="1045"/>
      <c r="AW866" s="1038"/>
      <c r="AX866" s="1035"/>
      <c r="AY866" s="483"/>
      <c r="AZ866" s="429"/>
      <c r="BA866" s="431"/>
      <c r="BB866" s="1035"/>
      <c r="BC866" s="1035"/>
      <c r="BD866" s="481"/>
      <c r="BE866" s="432"/>
      <c r="BF866" s="646"/>
      <c r="BG866" s="1047"/>
      <c r="BH866" s="1046"/>
      <c r="BI866" s="1048"/>
      <c r="BJ866" s="1030"/>
      <c r="BK866" s="1046"/>
      <c r="BL866" s="1048"/>
      <c r="BM866" s="1046"/>
      <c r="BN866" s="1167"/>
      <c r="BO866" s="1035"/>
      <c r="BP866" s="1043"/>
      <c r="BQ866" s="1167"/>
      <c r="BR866" s="1165"/>
      <c r="BS866" s="1031"/>
      <c r="BT866" s="1038"/>
      <c r="BU866" s="1035"/>
      <c r="BV866" s="1035"/>
      <c r="BW866" s="1049"/>
      <c r="BX866" s="1043"/>
      <c r="BY866" s="1046"/>
      <c r="BZ866" s="1167"/>
      <c r="CA866" s="1165"/>
      <c r="CB866" s="1031"/>
      <c r="CC866" s="1038"/>
      <c r="CD866" s="1035"/>
      <c r="CE866" s="1035"/>
      <c r="CF866" s="1049"/>
      <c r="CG866" s="1043"/>
      <c r="CH866" s="1046"/>
      <c r="CI866" s="1167"/>
      <c r="CJ866" s="1168"/>
      <c r="CK866" s="1169"/>
      <c r="CL866" s="1169"/>
      <c r="CM866" s="1166"/>
      <c r="CN866" s="1169"/>
      <c r="CO866" s="1169"/>
      <c r="CP866" s="452"/>
      <c r="CQ866" s="435"/>
      <c r="CR866" s="1117"/>
      <c r="CS866" s="452"/>
      <c r="CT866" s="482"/>
      <c r="CU866" s="476"/>
      <c r="CV866" s="431"/>
      <c r="CW866" s="1108"/>
      <c r="CX866" s="1108"/>
      <c r="CY866" s="483"/>
      <c r="CZ866" s="437"/>
      <c r="DA866" s="438"/>
      <c r="DB866" s="439"/>
      <c r="DC866" s="439"/>
      <c r="DD866" s="443"/>
      <c r="DE866" s="411"/>
      <c r="DF866" s="411"/>
      <c r="DG866" s="1117"/>
      <c r="DH866" s="1117"/>
      <c r="DI866" s="1117"/>
      <c r="DJ866" s="442"/>
      <c r="DK866" s="482"/>
      <c r="DL866" s="1038"/>
      <c r="DM866" s="1035"/>
      <c r="DN866" s="1035"/>
      <c r="DO866" s="1035"/>
      <c r="DP866" s="1046"/>
      <c r="DQ866" s="1167"/>
      <c r="DR866" s="1168"/>
      <c r="DS866" s="1165"/>
      <c r="DT866" s="1165"/>
      <c r="DU866" s="1165"/>
      <c r="DV866" s="1031"/>
      <c r="DW866" s="1098">
        <f t="shared" si="1176"/>
        <v>0</v>
      </c>
      <c r="DX866" s="1098">
        <f t="shared" si="1177"/>
        <v>0</v>
      </c>
      <c r="DY866" s="1030"/>
      <c r="DZ866" s="1030"/>
      <c r="EA866" s="1031"/>
      <c r="EB866" s="1050"/>
      <c r="EC866" s="1038"/>
      <c r="ED866" s="1035"/>
      <c r="EE866" s="1046"/>
      <c r="EF866" s="1169"/>
      <c r="EG866" s="1168"/>
      <c r="EH866" s="1165"/>
      <c r="EI866" s="1165"/>
      <c r="EJ866" s="1165"/>
      <c r="EK866" s="1031"/>
      <c r="EL866" s="1098">
        <f t="shared" si="1178"/>
        <v>0</v>
      </c>
      <c r="EM866" s="1098">
        <f t="shared" si="1179"/>
        <v>0</v>
      </c>
      <c r="EN866" s="1030"/>
      <c r="EO866" s="1030"/>
      <c r="EP866" s="1031"/>
      <c r="EQ866" s="1050"/>
      <c r="ER866" s="1038"/>
      <c r="ES866" s="1035"/>
      <c r="ET866" s="1051"/>
    </row>
    <row r="867" spans="2:150" ht="16.5" customHeight="1">
      <c r="B867" s="1024"/>
      <c r="C867" s="1025"/>
      <c r="D867" s="408">
        <v>864</v>
      </c>
      <c r="E867" s="1164"/>
      <c r="F867" s="1164"/>
      <c r="G867" s="1026"/>
      <c r="H867" s="411" t="str">
        <f>IFERROR(INDEX(绊状态确认!C:C,MATCH($G867,绊状态确认!$B:$B,)),"")</f>
        <v/>
      </c>
      <c r="I867" s="450" t="str">
        <f>IFERROR(INDEX(绊状态确认!D:D,MATCH($G867,绊状态确认!$B:$B,)),"")</f>
        <v/>
      </c>
      <c r="J867" s="450" t="str">
        <f>IFERROR(INDEX(绊状态确认!E:E,MATCH($G867,绊状态确认!$B:$B,)),"")</f>
        <v/>
      </c>
      <c r="K867" s="451" t="str">
        <f>IFERROR(INDEX(绊状态确认!F:F,MATCH($G867,绊状态确认!$B:$B,)),"")</f>
        <v/>
      </c>
      <c r="L867" s="1026"/>
      <c r="M867" s="1165"/>
      <c r="N867" s="1027"/>
      <c r="O867" s="1026"/>
      <c r="P867" s="1028"/>
      <c r="Q867" s="1029"/>
      <c r="R867" s="1166"/>
      <c r="S867" s="1030"/>
      <c r="T867" s="1031"/>
      <c r="U867" s="1032"/>
      <c r="V867" s="1033"/>
      <c r="W867" s="1034"/>
      <c r="X867" s="1166"/>
      <c r="Y867" s="1035"/>
      <c r="Z867" s="1036"/>
      <c r="AA867" s="1037"/>
      <c r="AB867" s="1038"/>
      <c r="AC867" s="1039"/>
      <c r="AD867" s="1040"/>
      <c r="AE867" s="1041"/>
      <c r="AF867" s="521"/>
      <c r="AG867" s="420"/>
      <c r="AH867" s="420"/>
      <c r="AI867" s="420"/>
      <c r="AJ867" s="420"/>
      <c r="AK867" s="518"/>
      <c r="AL867" s="1042"/>
      <c r="AM867" s="1035"/>
      <c r="AN867" s="1043"/>
      <c r="AO867" s="1167"/>
      <c r="AP867" s="1044"/>
      <c r="AQ867" s="1035"/>
      <c r="AR867" s="1035"/>
      <c r="AS867" s="1035"/>
      <c r="AT867" s="1165"/>
      <c r="AU867" s="1031"/>
      <c r="AV867" s="1045"/>
      <c r="AW867" s="1038"/>
      <c r="AX867" s="1035"/>
      <c r="AY867" s="483"/>
      <c r="AZ867" s="429"/>
      <c r="BA867" s="431"/>
      <c r="BB867" s="1035"/>
      <c r="BC867" s="1035"/>
      <c r="BD867" s="481"/>
      <c r="BE867" s="432"/>
      <c r="BF867" s="646"/>
      <c r="BG867" s="1047"/>
      <c r="BH867" s="1046"/>
      <c r="BI867" s="1048"/>
      <c r="BJ867" s="1030"/>
      <c r="BK867" s="1046"/>
      <c r="BL867" s="1048"/>
      <c r="BM867" s="1046"/>
      <c r="BN867" s="1167"/>
      <c r="BO867" s="1035"/>
      <c r="BP867" s="1043"/>
      <c r="BQ867" s="1167"/>
      <c r="BR867" s="1165"/>
      <c r="BS867" s="1031"/>
      <c r="BT867" s="1038"/>
      <c r="BU867" s="1035"/>
      <c r="BV867" s="1035"/>
      <c r="BW867" s="1049"/>
      <c r="BX867" s="1043"/>
      <c r="BY867" s="1046"/>
      <c r="BZ867" s="1167"/>
      <c r="CA867" s="1165"/>
      <c r="CB867" s="1031"/>
      <c r="CC867" s="1038"/>
      <c r="CD867" s="1035"/>
      <c r="CE867" s="1035"/>
      <c r="CF867" s="1049"/>
      <c r="CG867" s="1043"/>
      <c r="CH867" s="1046"/>
      <c r="CI867" s="1167"/>
      <c r="CJ867" s="1168"/>
      <c r="CK867" s="1169"/>
      <c r="CL867" s="1169"/>
      <c r="CM867" s="1166"/>
      <c r="CN867" s="1169"/>
      <c r="CO867" s="1169"/>
      <c r="CP867" s="452"/>
      <c r="CQ867" s="435"/>
      <c r="CR867" s="1117"/>
      <c r="CS867" s="452"/>
      <c r="CT867" s="482"/>
      <c r="CU867" s="476"/>
      <c r="CV867" s="431"/>
      <c r="CW867" s="1108"/>
      <c r="CX867" s="1108"/>
      <c r="CY867" s="483"/>
      <c r="CZ867" s="437"/>
      <c r="DA867" s="438"/>
      <c r="DB867" s="439"/>
      <c r="DC867" s="439"/>
      <c r="DD867" s="443"/>
      <c r="DE867" s="411"/>
      <c r="DF867" s="411"/>
      <c r="DG867" s="1117"/>
      <c r="DH867" s="1117"/>
      <c r="DI867" s="1117"/>
      <c r="DJ867" s="442"/>
      <c r="DK867" s="482"/>
      <c r="DL867" s="1038"/>
      <c r="DM867" s="1035"/>
      <c r="DN867" s="1035"/>
      <c r="DO867" s="1035"/>
      <c r="DP867" s="1046"/>
      <c r="DQ867" s="1167"/>
      <c r="DR867" s="1168"/>
      <c r="DS867" s="1165"/>
      <c r="DT867" s="1165"/>
      <c r="DU867" s="1165"/>
      <c r="DV867" s="1031"/>
      <c r="DW867" s="1098">
        <f t="shared" si="1176"/>
        <v>0</v>
      </c>
      <c r="DX867" s="1098">
        <f t="shared" si="1177"/>
        <v>0</v>
      </c>
      <c r="DY867" s="1030"/>
      <c r="DZ867" s="1030"/>
      <c r="EA867" s="1031"/>
      <c r="EB867" s="1050"/>
      <c r="EC867" s="1038"/>
      <c r="ED867" s="1035"/>
      <c r="EE867" s="1046"/>
      <c r="EF867" s="1169"/>
      <c r="EG867" s="1168"/>
      <c r="EH867" s="1165"/>
      <c r="EI867" s="1165"/>
      <c r="EJ867" s="1165"/>
      <c r="EK867" s="1031"/>
      <c r="EL867" s="1098">
        <f t="shared" si="1178"/>
        <v>0</v>
      </c>
      <c r="EM867" s="1098">
        <f t="shared" si="1179"/>
        <v>0</v>
      </c>
      <c r="EN867" s="1030"/>
      <c r="EO867" s="1030"/>
      <c r="EP867" s="1031"/>
      <c r="EQ867" s="1050"/>
      <c r="ER867" s="1038"/>
      <c r="ES867" s="1035"/>
      <c r="ET867" s="1051"/>
    </row>
    <row r="868" spans="2:150" ht="16.5" customHeight="1">
      <c r="B868" s="1024"/>
      <c r="C868" s="1025"/>
      <c r="D868" s="408">
        <v>865</v>
      </c>
      <c r="E868" s="1164"/>
      <c r="F868" s="1164"/>
      <c r="G868" s="1026"/>
      <c r="H868" s="411" t="str">
        <f>IFERROR(INDEX(绊状态确认!C:C,MATCH($G868,绊状态确认!$B:$B,)),"")</f>
        <v/>
      </c>
      <c r="I868" s="450" t="str">
        <f>IFERROR(INDEX(绊状态确认!D:D,MATCH($G868,绊状态确认!$B:$B,)),"")</f>
        <v/>
      </c>
      <c r="J868" s="450" t="str">
        <f>IFERROR(INDEX(绊状态确认!E:E,MATCH($G868,绊状态确认!$B:$B,)),"")</f>
        <v/>
      </c>
      <c r="K868" s="451" t="str">
        <f>IFERROR(INDEX(绊状态确认!F:F,MATCH($G868,绊状态确认!$B:$B,)),"")</f>
        <v/>
      </c>
      <c r="L868" s="1026"/>
      <c r="M868" s="1165"/>
      <c r="N868" s="1027"/>
      <c r="O868" s="1026"/>
      <c r="P868" s="1028"/>
      <c r="Q868" s="1029"/>
      <c r="R868" s="1166"/>
      <c r="S868" s="1030"/>
      <c r="T868" s="1031"/>
      <c r="U868" s="1032"/>
      <c r="V868" s="1033"/>
      <c r="W868" s="1034"/>
      <c r="X868" s="1166"/>
      <c r="Y868" s="1035"/>
      <c r="Z868" s="1036"/>
      <c r="AA868" s="1037"/>
      <c r="AB868" s="1038"/>
      <c r="AC868" s="1039"/>
      <c r="AD868" s="1040"/>
      <c r="AE868" s="1041"/>
      <c r="AF868" s="521"/>
      <c r="AG868" s="420"/>
      <c r="AH868" s="420"/>
      <c r="AI868" s="420"/>
      <c r="AJ868" s="420"/>
      <c r="AK868" s="518"/>
      <c r="AL868" s="1042"/>
      <c r="AM868" s="1035"/>
      <c r="AN868" s="1043"/>
      <c r="AO868" s="1167"/>
      <c r="AP868" s="1044"/>
      <c r="AQ868" s="1035"/>
      <c r="AR868" s="1035"/>
      <c r="AS868" s="1035"/>
      <c r="AT868" s="1165"/>
      <c r="AU868" s="1031"/>
      <c r="AV868" s="1045"/>
      <c r="AW868" s="1038"/>
      <c r="AX868" s="1035"/>
      <c r="AY868" s="483"/>
      <c r="AZ868" s="429"/>
      <c r="BA868" s="431"/>
      <c r="BB868" s="1035"/>
      <c r="BC868" s="1035"/>
      <c r="BD868" s="481"/>
      <c r="BE868" s="432"/>
      <c r="BF868" s="646"/>
      <c r="BG868" s="1047"/>
      <c r="BH868" s="1046"/>
      <c r="BI868" s="1048"/>
      <c r="BJ868" s="1030"/>
      <c r="BK868" s="1046"/>
      <c r="BL868" s="1048"/>
      <c r="BM868" s="1046"/>
      <c r="BN868" s="1167"/>
      <c r="BO868" s="1035"/>
      <c r="BP868" s="1043"/>
      <c r="BQ868" s="1167"/>
      <c r="BR868" s="1165"/>
      <c r="BS868" s="1031"/>
      <c r="BT868" s="1038"/>
      <c r="BU868" s="1035"/>
      <c r="BV868" s="1035"/>
      <c r="BW868" s="1049"/>
      <c r="BX868" s="1043"/>
      <c r="BY868" s="1046"/>
      <c r="BZ868" s="1167"/>
      <c r="CA868" s="1165"/>
      <c r="CB868" s="1031"/>
      <c r="CC868" s="1038"/>
      <c r="CD868" s="1035"/>
      <c r="CE868" s="1035"/>
      <c r="CF868" s="1049"/>
      <c r="CG868" s="1043"/>
      <c r="CH868" s="1046"/>
      <c r="CI868" s="1167"/>
      <c r="CJ868" s="1168"/>
      <c r="CK868" s="1169"/>
      <c r="CL868" s="1169"/>
      <c r="CM868" s="1166"/>
      <c r="CN868" s="1169"/>
      <c r="CO868" s="1169"/>
      <c r="CP868" s="452"/>
      <c r="CQ868" s="435"/>
      <c r="CR868" s="1117"/>
      <c r="CS868" s="452"/>
      <c r="CT868" s="482"/>
      <c r="CU868" s="476"/>
      <c r="CV868" s="431"/>
      <c r="CW868" s="1108"/>
      <c r="CX868" s="1108"/>
      <c r="CY868" s="483"/>
      <c r="CZ868" s="437"/>
      <c r="DA868" s="438"/>
      <c r="DB868" s="439"/>
      <c r="DC868" s="439"/>
      <c r="DD868" s="443"/>
      <c r="DE868" s="411"/>
      <c r="DF868" s="411"/>
      <c r="DG868" s="1117"/>
      <c r="DH868" s="1117"/>
      <c r="DI868" s="1117"/>
      <c r="DJ868" s="442"/>
      <c r="DK868" s="482"/>
      <c r="DL868" s="1038"/>
      <c r="DM868" s="1035"/>
      <c r="DN868" s="1035"/>
      <c r="DO868" s="1035"/>
      <c r="DP868" s="1046"/>
      <c r="DQ868" s="1167"/>
      <c r="DR868" s="1168"/>
      <c r="DS868" s="1165"/>
      <c r="DT868" s="1165"/>
      <c r="DU868" s="1165"/>
      <c r="DV868" s="1031"/>
      <c r="DW868" s="1098">
        <f t="shared" si="1176"/>
        <v>0</v>
      </c>
      <c r="DX868" s="1098">
        <f t="shared" si="1177"/>
        <v>0</v>
      </c>
      <c r="DY868" s="1030"/>
      <c r="DZ868" s="1030"/>
      <c r="EA868" s="1031"/>
      <c r="EB868" s="1050"/>
      <c r="EC868" s="1038"/>
      <c r="ED868" s="1035"/>
      <c r="EE868" s="1046"/>
      <c r="EF868" s="1169"/>
      <c r="EG868" s="1168"/>
      <c r="EH868" s="1165"/>
      <c r="EI868" s="1165"/>
      <c r="EJ868" s="1165"/>
      <c r="EK868" s="1031"/>
      <c r="EL868" s="1098">
        <f t="shared" si="1178"/>
        <v>0</v>
      </c>
      <c r="EM868" s="1098">
        <f t="shared" si="1179"/>
        <v>0</v>
      </c>
      <c r="EN868" s="1030"/>
      <c r="EO868" s="1030"/>
      <c r="EP868" s="1031"/>
      <c r="EQ868" s="1050"/>
      <c r="ER868" s="1038"/>
      <c r="ES868" s="1035"/>
      <c r="ET868" s="1051"/>
    </row>
    <row r="869" spans="2:150" ht="16.5" customHeight="1">
      <c r="B869" s="1024"/>
      <c r="C869" s="1025"/>
      <c r="D869" s="408">
        <v>866</v>
      </c>
      <c r="E869" s="1164"/>
      <c r="F869" s="1164"/>
      <c r="G869" s="1026"/>
      <c r="H869" s="411" t="str">
        <f>IFERROR(INDEX(绊状态确认!C:C,MATCH($G869,绊状态确认!$B:$B,)),"")</f>
        <v/>
      </c>
      <c r="I869" s="450" t="str">
        <f>IFERROR(INDEX(绊状态确认!D:D,MATCH($G869,绊状态确认!$B:$B,)),"")</f>
        <v/>
      </c>
      <c r="J869" s="450" t="str">
        <f>IFERROR(INDEX(绊状态确认!E:E,MATCH($G869,绊状态确认!$B:$B,)),"")</f>
        <v/>
      </c>
      <c r="K869" s="451" t="str">
        <f>IFERROR(INDEX(绊状态确认!F:F,MATCH($G869,绊状态确认!$B:$B,)),"")</f>
        <v/>
      </c>
      <c r="L869" s="1026"/>
      <c r="M869" s="1165"/>
      <c r="N869" s="1027"/>
      <c r="O869" s="1026"/>
      <c r="P869" s="1028"/>
      <c r="Q869" s="1029"/>
      <c r="R869" s="1166"/>
      <c r="S869" s="1030"/>
      <c r="T869" s="1031"/>
      <c r="U869" s="1032"/>
      <c r="V869" s="1033"/>
      <c r="W869" s="1034"/>
      <c r="X869" s="1166"/>
      <c r="Y869" s="1035"/>
      <c r="Z869" s="1036"/>
      <c r="AA869" s="1037"/>
      <c r="AB869" s="1038"/>
      <c r="AC869" s="1039"/>
      <c r="AD869" s="1040"/>
      <c r="AE869" s="1041"/>
      <c r="AF869" s="521"/>
      <c r="AG869" s="420"/>
      <c r="AH869" s="420"/>
      <c r="AI869" s="420"/>
      <c r="AJ869" s="420"/>
      <c r="AK869" s="518"/>
      <c r="AL869" s="1042"/>
      <c r="AM869" s="1035"/>
      <c r="AN869" s="1043"/>
      <c r="AO869" s="1167"/>
      <c r="AP869" s="1044"/>
      <c r="AQ869" s="1035"/>
      <c r="AR869" s="1035"/>
      <c r="AS869" s="1035"/>
      <c r="AT869" s="1165"/>
      <c r="AU869" s="1031"/>
      <c r="AV869" s="1045"/>
      <c r="AW869" s="1038"/>
      <c r="AX869" s="1035"/>
      <c r="AY869" s="483"/>
      <c r="AZ869" s="429"/>
      <c r="BA869" s="431"/>
      <c r="BB869" s="1035"/>
      <c r="BC869" s="1035"/>
      <c r="BD869" s="481"/>
      <c r="BE869" s="432"/>
      <c r="BF869" s="646"/>
      <c r="BG869" s="1047"/>
      <c r="BH869" s="1046"/>
      <c r="BI869" s="1048"/>
      <c r="BJ869" s="1030"/>
      <c r="BK869" s="1046"/>
      <c r="BL869" s="1048"/>
      <c r="BM869" s="1046"/>
      <c r="BN869" s="1167"/>
      <c r="BO869" s="1035"/>
      <c r="BP869" s="1043"/>
      <c r="BQ869" s="1167"/>
      <c r="BR869" s="1165"/>
      <c r="BS869" s="1031"/>
      <c r="BT869" s="1038"/>
      <c r="BU869" s="1035"/>
      <c r="BV869" s="1035"/>
      <c r="BW869" s="1049"/>
      <c r="BX869" s="1043"/>
      <c r="BY869" s="1046"/>
      <c r="BZ869" s="1167"/>
      <c r="CA869" s="1165"/>
      <c r="CB869" s="1031"/>
      <c r="CC869" s="1038"/>
      <c r="CD869" s="1035"/>
      <c r="CE869" s="1035"/>
      <c r="CF869" s="1049"/>
      <c r="CG869" s="1043"/>
      <c r="CH869" s="1046"/>
      <c r="CI869" s="1167"/>
      <c r="CJ869" s="1168"/>
      <c r="CK869" s="1169"/>
      <c r="CL869" s="1169"/>
      <c r="CM869" s="1166"/>
      <c r="CN869" s="1169"/>
      <c r="CO869" s="1169"/>
      <c r="CP869" s="452"/>
      <c r="CQ869" s="435"/>
      <c r="CR869" s="1117"/>
      <c r="CS869" s="452"/>
      <c r="CT869" s="482"/>
      <c r="CU869" s="476"/>
      <c r="CV869" s="431"/>
      <c r="CW869" s="1108"/>
      <c r="CX869" s="1108"/>
      <c r="CY869" s="483"/>
      <c r="CZ869" s="437"/>
      <c r="DA869" s="438"/>
      <c r="DB869" s="439"/>
      <c r="DC869" s="439"/>
      <c r="DD869" s="443"/>
      <c r="DE869" s="411"/>
      <c r="DF869" s="411"/>
      <c r="DG869" s="1117"/>
      <c r="DH869" s="1117"/>
      <c r="DI869" s="1117"/>
      <c r="DJ869" s="442"/>
      <c r="DK869" s="482"/>
      <c r="DL869" s="1038"/>
      <c r="DM869" s="1035"/>
      <c r="DN869" s="1035"/>
      <c r="DO869" s="1035"/>
      <c r="DP869" s="1046"/>
      <c r="DQ869" s="1167"/>
      <c r="DR869" s="1168"/>
      <c r="DS869" s="1165"/>
      <c r="DT869" s="1165"/>
      <c r="DU869" s="1165"/>
      <c r="DV869" s="1031"/>
      <c r="DW869" s="1098">
        <f t="shared" si="1176"/>
        <v>0</v>
      </c>
      <c r="DX869" s="1098">
        <f t="shared" si="1177"/>
        <v>0</v>
      </c>
      <c r="DY869" s="1030"/>
      <c r="DZ869" s="1030"/>
      <c r="EA869" s="1031"/>
      <c r="EB869" s="1050"/>
      <c r="EC869" s="1038"/>
      <c r="ED869" s="1035"/>
      <c r="EE869" s="1046"/>
      <c r="EF869" s="1169"/>
      <c r="EG869" s="1168"/>
      <c r="EH869" s="1165"/>
      <c r="EI869" s="1165"/>
      <c r="EJ869" s="1165"/>
      <c r="EK869" s="1031"/>
      <c r="EL869" s="1098">
        <f t="shared" si="1178"/>
        <v>0</v>
      </c>
      <c r="EM869" s="1098">
        <f t="shared" si="1179"/>
        <v>0</v>
      </c>
      <c r="EN869" s="1030"/>
      <c r="EO869" s="1030"/>
      <c r="EP869" s="1031"/>
      <c r="EQ869" s="1050"/>
      <c r="ER869" s="1038"/>
      <c r="ES869" s="1035"/>
      <c r="ET869" s="1051"/>
    </row>
    <row r="870" spans="2:150" ht="16.5" customHeight="1">
      <c r="B870" s="1024"/>
      <c r="C870" s="1025"/>
      <c r="D870" s="408">
        <v>867</v>
      </c>
      <c r="E870" s="1164"/>
      <c r="F870" s="1164"/>
      <c r="G870" s="1026"/>
      <c r="H870" s="411" t="str">
        <f>IFERROR(INDEX(绊状态确认!C:C,MATCH($G870,绊状态确认!$B:$B,)),"")</f>
        <v/>
      </c>
      <c r="I870" s="450" t="str">
        <f>IFERROR(INDEX(绊状态确认!D:D,MATCH($G870,绊状态确认!$B:$B,)),"")</f>
        <v/>
      </c>
      <c r="J870" s="450" t="str">
        <f>IFERROR(INDEX(绊状态确认!E:E,MATCH($G870,绊状态确认!$B:$B,)),"")</f>
        <v/>
      </c>
      <c r="K870" s="451" t="str">
        <f>IFERROR(INDEX(绊状态确认!F:F,MATCH($G870,绊状态确认!$B:$B,)),"")</f>
        <v/>
      </c>
      <c r="L870" s="1026"/>
      <c r="M870" s="1165"/>
      <c r="N870" s="1027"/>
      <c r="O870" s="1026"/>
      <c r="P870" s="1028"/>
      <c r="Q870" s="1029"/>
      <c r="R870" s="1166"/>
      <c r="S870" s="1030"/>
      <c r="T870" s="1031"/>
      <c r="U870" s="1032"/>
      <c r="V870" s="1033"/>
      <c r="W870" s="1034"/>
      <c r="X870" s="1166"/>
      <c r="Y870" s="1035"/>
      <c r="Z870" s="1036"/>
      <c r="AA870" s="1037"/>
      <c r="AB870" s="1038"/>
      <c r="AC870" s="1039"/>
      <c r="AD870" s="1040"/>
      <c r="AE870" s="1041"/>
      <c r="AF870" s="521"/>
      <c r="AG870" s="420"/>
      <c r="AH870" s="420"/>
      <c r="AI870" s="420"/>
      <c r="AJ870" s="420"/>
      <c r="AK870" s="518"/>
      <c r="AL870" s="1042"/>
      <c r="AM870" s="1035"/>
      <c r="AN870" s="1043"/>
      <c r="AO870" s="1167"/>
      <c r="AP870" s="1044"/>
      <c r="AQ870" s="1035"/>
      <c r="AR870" s="1035"/>
      <c r="AS870" s="1035"/>
      <c r="AT870" s="1165"/>
      <c r="AU870" s="1031"/>
      <c r="AV870" s="1045"/>
      <c r="AW870" s="1038"/>
      <c r="AX870" s="1035"/>
      <c r="AY870" s="483"/>
      <c r="AZ870" s="429"/>
      <c r="BA870" s="431"/>
      <c r="BB870" s="1035"/>
      <c r="BC870" s="1035"/>
      <c r="BD870" s="481"/>
      <c r="BE870" s="432"/>
      <c r="BF870" s="646"/>
      <c r="BG870" s="1047"/>
      <c r="BH870" s="1046"/>
      <c r="BI870" s="1048"/>
      <c r="BJ870" s="1030"/>
      <c r="BK870" s="1046"/>
      <c r="BL870" s="1048"/>
      <c r="BM870" s="1046"/>
      <c r="BN870" s="1167"/>
      <c r="BO870" s="1035"/>
      <c r="BP870" s="1043"/>
      <c r="BQ870" s="1167"/>
      <c r="BR870" s="1165"/>
      <c r="BS870" s="1031"/>
      <c r="BT870" s="1038"/>
      <c r="BU870" s="1035"/>
      <c r="BV870" s="1035"/>
      <c r="BW870" s="1049"/>
      <c r="BX870" s="1043"/>
      <c r="BY870" s="1046"/>
      <c r="BZ870" s="1167"/>
      <c r="CA870" s="1165"/>
      <c r="CB870" s="1031"/>
      <c r="CC870" s="1038"/>
      <c r="CD870" s="1035"/>
      <c r="CE870" s="1035"/>
      <c r="CF870" s="1049"/>
      <c r="CG870" s="1043"/>
      <c r="CH870" s="1046"/>
      <c r="CI870" s="1167"/>
      <c r="CJ870" s="1168"/>
      <c r="CK870" s="1169"/>
      <c r="CL870" s="1169"/>
      <c r="CM870" s="1166"/>
      <c r="CN870" s="1169"/>
      <c r="CO870" s="1169"/>
      <c r="CP870" s="452"/>
      <c r="CQ870" s="435"/>
      <c r="CR870" s="1117"/>
      <c r="CS870" s="452"/>
      <c r="CT870" s="482"/>
      <c r="CU870" s="476"/>
      <c r="CV870" s="431"/>
      <c r="CW870" s="1108"/>
      <c r="CX870" s="1108"/>
      <c r="CY870" s="483"/>
      <c r="CZ870" s="437"/>
      <c r="DA870" s="438"/>
      <c r="DB870" s="439"/>
      <c r="DC870" s="439"/>
      <c r="DD870" s="443"/>
      <c r="DE870" s="411"/>
      <c r="DF870" s="411"/>
      <c r="DG870" s="1117"/>
      <c r="DH870" s="1117"/>
      <c r="DI870" s="1117"/>
      <c r="DJ870" s="442"/>
      <c r="DK870" s="482"/>
      <c r="DL870" s="1038"/>
      <c r="DM870" s="1035"/>
      <c r="DN870" s="1035"/>
      <c r="DO870" s="1035"/>
      <c r="DP870" s="1046"/>
      <c r="DQ870" s="1167"/>
      <c r="DR870" s="1168"/>
      <c r="DS870" s="1165"/>
      <c r="DT870" s="1165"/>
      <c r="DU870" s="1165"/>
      <c r="DV870" s="1031"/>
      <c r="DW870" s="1098">
        <f t="shared" si="1176"/>
        <v>0</v>
      </c>
      <c r="DX870" s="1098">
        <f t="shared" si="1177"/>
        <v>0</v>
      </c>
      <c r="DY870" s="1030"/>
      <c r="DZ870" s="1030"/>
      <c r="EA870" s="1031"/>
      <c r="EB870" s="1050"/>
      <c r="EC870" s="1038"/>
      <c r="ED870" s="1035"/>
      <c r="EE870" s="1046"/>
      <c r="EF870" s="1169"/>
      <c r="EG870" s="1168"/>
      <c r="EH870" s="1165"/>
      <c r="EI870" s="1165"/>
      <c r="EJ870" s="1165"/>
      <c r="EK870" s="1031"/>
      <c r="EL870" s="1098">
        <f t="shared" si="1178"/>
        <v>0</v>
      </c>
      <c r="EM870" s="1098">
        <f t="shared" si="1179"/>
        <v>0</v>
      </c>
      <c r="EN870" s="1030"/>
      <c r="EO870" s="1030"/>
      <c r="EP870" s="1031"/>
      <c r="EQ870" s="1050"/>
      <c r="ER870" s="1038"/>
      <c r="ES870" s="1035"/>
      <c r="ET870" s="1051"/>
    </row>
    <row r="871" spans="2:150" ht="16.5" customHeight="1">
      <c r="B871" s="1024"/>
      <c r="C871" s="1025"/>
      <c r="D871" s="408">
        <v>868</v>
      </c>
      <c r="E871" s="1164"/>
      <c r="F871" s="1164"/>
      <c r="G871" s="1026"/>
      <c r="H871" s="411" t="str">
        <f>IFERROR(INDEX(绊状态确认!C:C,MATCH($G871,绊状态确认!$B:$B,)),"")</f>
        <v/>
      </c>
      <c r="I871" s="450" t="str">
        <f>IFERROR(INDEX(绊状态确认!D:D,MATCH($G871,绊状态确认!$B:$B,)),"")</f>
        <v/>
      </c>
      <c r="J871" s="450" t="str">
        <f>IFERROR(INDEX(绊状态确认!E:E,MATCH($G871,绊状态确认!$B:$B,)),"")</f>
        <v/>
      </c>
      <c r="K871" s="451" t="str">
        <f>IFERROR(INDEX(绊状态确认!F:F,MATCH($G871,绊状态确认!$B:$B,)),"")</f>
        <v/>
      </c>
      <c r="L871" s="1026"/>
      <c r="M871" s="1165"/>
      <c r="N871" s="1027"/>
      <c r="O871" s="1026"/>
      <c r="P871" s="1028"/>
      <c r="Q871" s="1029"/>
      <c r="R871" s="1166"/>
      <c r="S871" s="1030"/>
      <c r="T871" s="1031"/>
      <c r="U871" s="1032"/>
      <c r="V871" s="1033"/>
      <c r="W871" s="1034"/>
      <c r="X871" s="1166"/>
      <c r="Y871" s="1035"/>
      <c r="Z871" s="1036"/>
      <c r="AA871" s="1037"/>
      <c r="AB871" s="1038"/>
      <c r="AC871" s="1039"/>
      <c r="AD871" s="1040"/>
      <c r="AE871" s="1041"/>
      <c r="AF871" s="521"/>
      <c r="AG871" s="420"/>
      <c r="AH871" s="420"/>
      <c r="AI871" s="420"/>
      <c r="AJ871" s="420"/>
      <c r="AK871" s="518"/>
      <c r="AL871" s="1042"/>
      <c r="AM871" s="1035"/>
      <c r="AN871" s="1043"/>
      <c r="AO871" s="1167"/>
      <c r="AP871" s="1044"/>
      <c r="AQ871" s="1035"/>
      <c r="AR871" s="1035"/>
      <c r="AS871" s="1035"/>
      <c r="AT871" s="1165"/>
      <c r="AU871" s="1031"/>
      <c r="AV871" s="1045"/>
      <c r="AW871" s="1038"/>
      <c r="AX871" s="1035"/>
      <c r="AY871" s="483"/>
      <c r="AZ871" s="429"/>
      <c r="BA871" s="431"/>
      <c r="BB871" s="1035"/>
      <c r="BC871" s="1035"/>
      <c r="BD871" s="481"/>
      <c r="BE871" s="432"/>
      <c r="BF871" s="646"/>
      <c r="BG871" s="1047"/>
      <c r="BH871" s="1046"/>
      <c r="BI871" s="1048"/>
      <c r="BJ871" s="1030"/>
      <c r="BK871" s="1046"/>
      <c r="BL871" s="1048"/>
      <c r="BM871" s="1046"/>
      <c r="BN871" s="1167"/>
      <c r="BO871" s="1035"/>
      <c r="BP871" s="1043"/>
      <c r="BQ871" s="1167"/>
      <c r="BR871" s="1165"/>
      <c r="BS871" s="1031"/>
      <c r="BT871" s="1038"/>
      <c r="BU871" s="1035"/>
      <c r="BV871" s="1035"/>
      <c r="BW871" s="1049"/>
      <c r="BX871" s="1043"/>
      <c r="BY871" s="1046"/>
      <c r="BZ871" s="1167"/>
      <c r="CA871" s="1165"/>
      <c r="CB871" s="1031"/>
      <c r="CC871" s="1038"/>
      <c r="CD871" s="1035"/>
      <c r="CE871" s="1035"/>
      <c r="CF871" s="1049"/>
      <c r="CG871" s="1043"/>
      <c r="CH871" s="1046"/>
      <c r="CI871" s="1167"/>
      <c r="CJ871" s="1168"/>
      <c r="CK871" s="1169"/>
      <c r="CL871" s="1169"/>
      <c r="CM871" s="1166"/>
      <c r="CN871" s="1169"/>
      <c r="CO871" s="1169"/>
      <c r="CP871" s="452"/>
      <c r="CQ871" s="435"/>
      <c r="CR871" s="441"/>
      <c r="CS871" s="452"/>
      <c r="CT871" s="482"/>
      <c r="CU871" s="476"/>
      <c r="CV871" s="431"/>
      <c r="CW871" s="1108"/>
      <c r="CX871" s="1108"/>
      <c r="CY871" s="483"/>
      <c r="CZ871" s="437"/>
      <c r="DA871" s="438"/>
      <c r="DB871" s="439"/>
      <c r="DC871" s="439"/>
      <c r="DD871" s="443"/>
      <c r="DE871" s="411"/>
      <c r="DF871" s="411"/>
      <c r="DG871" s="1117"/>
      <c r="DH871" s="1117"/>
      <c r="DI871" s="1117"/>
      <c r="DJ871" s="442"/>
      <c r="DK871" s="482"/>
      <c r="DL871" s="1038"/>
      <c r="DM871" s="1035"/>
      <c r="DN871" s="1035"/>
      <c r="DO871" s="1035"/>
      <c r="DP871" s="1046"/>
      <c r="DQ871" s="1167"/>
      <c r="DR871" s="1168"/>
      <c r="DS871" s="1165"/>
      <c r="DT871" s="1165"/>
      <c r="DU871" s="1165"/>
      <c r="DV871" s="1031"/>
      <c r="DW871" s="1098">
        <f t="shared" si="1176"/>
        <v>0</v>
      </c>
      <c r="DX871" s="1098">
        <f t="shared" si="1177"/>
        <v>0</v>
      </c>
      <c r="DY871" s="1030"/>
      <c r="DZ871" s="1030"/>
      <c r="EA871" s="1031"/>
      <c r="EB871" s="1050"/>
      <c r="EC871" s="1038"/>
      <c r="ED871" s="1035"/>
      <c r="EE871" s="1046"/>
      <c r="EF871" s="1169"/>
      <c r="EG871" s="1168"/>
      <c r="EH871" s="1165"/>
      <c r="EI871" s="1165"/>
      <c r="EJ871" s="1165"/>
      <c r="EK871" s="1031"/>
      <c r="EL871" s="1098">
        <f t="shared" si="1178"/>
        <v>0</v>
      </c>
      <c r="EM871" s="1098">
        <f t="shared" si="1179"/>
        <v>0</v>
      </c>
      <c r="EN871" s="1030"/>
      <c r="EO871" s="1030"/>
      <c r="EP871" s="1031"/>
      <c r="EQ871" s="1050"/>
      <c r="ER871" s="1038"/>
      <c r="ES871" s="1035"/>
      <c r="ET871" s="1051"/>
    </row>
    <row r="872" spans="2:150" ht="16.5" customHeight="1">
      <c r="B872" s="1024"/>
      <c r="C872" s="1025"/>
      <c r="D872" s="408">
        <v>869</v>
      </c>
      <c r="E872" s="1164"/>
      <c r="F872" s="1164"/>
      <c r="G872" s="1026"/>
      <c r="H872" s="411" t="str">
        <f>IFERROR(INDEX(绊状态确认!C:C,MATCH($G872,绊状态确认!$B:$B,)),"")</f>
        <v/>
      </c>
      <c r="I872" s="450" t="str">
        <f>IFERROR(INDEX(绊状态确认!D:D,MATCH($G872,绊状态确认!$B:$B,)),"")</f>
        <v/>
      </c>
      <c r="J872" s="450" t="str">
        <f>IFERROR(INDEX(绊状态确认!E:E,MATCH($G872,绊状态确认!$B:$B,)),"")</f>
        <v/>
      </c>
      <c r="K872" s="451" t="str">
        <f>IFERROR(INDEX(绊状态确认!F:F,MATCH($G872,绊状态确认!$B:$B,)),"")</f>
        <v/>
      </c>
      <c r="L872" s="1026"/>
      <c r="M872" s="1165"/>
      <c r="N872" s="1027"/>
      <c r="O872" s="1026"/>
      <c r="P872" s="1028"/>
      <c r="Q872" s="1029"/>
      <c r="R872" s="1166"/>
      <c r="S872" s="1030"/>
      <c r="T872" s="1031"/>
      <c r="U872" s="1032"/>
      <c r="V872" s="1033"/>
      <c r="W872" s="1034"/>
      <c r="X872" s="1166"/>
      <c r="Y872" s="1035"/>
      <c r="Z872" s="1036"/>
      <c r="AA872" s="1037"/>
      <c r="AB872" s="1038"/>
      <c r="AC872" s="1039"/>
      <c r="AD872" s="1040"/>
      <c r="AE872" s="1041"/>
      <c r="AF872" s="521"/>
      <c r="AG872" s="420"/>
      <c r="AH872" s="420"/>
      <c r="AI872" s="420"/>
      <c r="AJ872" s="420"/>
      <c r="AK872" s="518"/>
      <c r="AL872" s="1042"/>
      <c r="AM872" s="1035"/>
      <c r="AN872" s="1043"/>
      <c r="AO872" s="1167"/>
      <c r="AP872" s="1044"/>
      <c r="AQ872" s="1035"/>
      <c r="AR872" s="1035"/>
      <c r="AS872" s="1035"/>
      <c r="AT872" s="1165"/>
      <c r="AU872" s="1031"/>
      <c r="AV872" s="1045"/>
      <c r="AW872" s="1038"/>
      <c r="AX872" s="1035"/>
      <c r="AY872" s="483"/>
      <c r="AZ872" s="429"/>
      <c r="BA872" s="431"/>
      <c r="BB872" s="1035"/>
      <c r="BC872" s="1035"/>
      <c r="BD872" s="481"/>
      <c r="BE872" s="432"/>
      <c r="BF872" s="646"/>
      <c r="BG872" s="1047"/>
      <c r="BH872" s="1046"/>
      <c r="BI872" s="1048"/>
      <c r="BJ872" s="1030"/>
      <c r="BK872" s="1046"/>
      <c r="BL872" s="1048"/>
      <c r="BM872" s="1046"/>
      <c r="BN872" s="1167"/>
      <c r="BO872" s="1035"/>
      <c r="BP872" s="1043"/>
      <c r="BQ872" s="1167"/>
      <c r="BR872" s="1165"/>
      <c r="BS872" s="1031"/>
      <c r="BT872" s="1038"/>
      <c r="BU872" s="1035"/>
      <c r="BV872" s="1035"/>
      <c r="BW872" s="1049"/>
      <c r="BX872" s="1043"/>
      <c r="BY872" s="1046"/>
      <c r="BZ872" s="1167"/>
      <c r="CA872" s="1165"/>
      <c r="CB872" s="1031"/>
      <c r="CC872" s="1038"/>
      <c r="CD872" s="1035"/>
      <c r="CE872" s="1035"/>
      <c r="CF872" s="1049"/>
      <c r="CG872" s="1043"/>
      <c r="CH872" s="1046"/>
      <c r="CI872" s="1167"/>
      <c r="CJ872" s="1168"/>
      <c r="CK872" s="1169"/>
      <c r="CL872" s="1169"/>
      <c r="CM872" s="1166"/>
      <c r="CN872" s="1169"/>
      <c r="CO872" s="1169"/>
      <c r="CP872" s="452"/>
      <c r="CQ872" s="435"/>
      <c r="CR872" s="1117"/>
      <c r="CS872" s="452"/>
      <c r="CT872" s="482"/>
      <c r="CU872" s="476"/>
      <c r="CV872" s="431"/>
      <c r="CW872" s="1108"/>
      <c r="CX872" s="1108"/>
      <c r="CY872" s="483"/>
      <c r="CZ872" s="437"/>
      <c r="DA872" s="438"/>
      <c r="DB872" s="439"/>
      <c r="DC872" s="439"/>
      <c r="DD872" s="443"/>
      <c r="DE872" s="411"/>
      <c r="DF872" s="411"/>
      <c r="DG872" s="1117"/>
      <c r="DH872" s="1117"/>
      <c r="DI872" s="1117"/>
      <c r="DJ872" s="442"/>
      <c r="DK872" s="482"/>
      <c r="DL872" s="1038"/>
      <c r="DM872" s="1035"/>
      <c r="DN872" s="1035"/>
      <c r="DO872" s="1035"/>
      <c r="DP872" s="1046"/>
      <c r="DQ872" s="1167"/>
      <c r="DR872" s="1168"/>
      <c r="DS872" s="1165"/>
      <c r="DT872" s="1165"/>
      <c r="DU872" s="1165"/>
      <c r="DV872" s="1031"/>
      <c r="DW872" s="1098">
        <f t="shared" si="1176"/>
        <v>0</v>
      </c>
      <c r="DX872" s="1098">
        <f t="shared" si="1177"/>
        <v>0</v>
      </c>
      <c r="DY872" s="1030"/>
      <c r="DZ872" s="1030"/>
      <c r="EA872" s="1031"/>
      <c r="EB872" s="1050"/>
      <c r="EC872" s="1038"/>
      <c r="ED872" s="1035"/>
      <c r="EE872" s="1046"/>
      <c r="EF872" s="1169"/>
      <c r="EG872" s="1168"/>
      <c r="EH872" s="1165"/>
      <c r="EI872" s="1165"/>
      <c r="EJ872" s="1165"/>
      <c r="EK872" s="1031"/>
      <c r="EL872" s="1098">
        <f t="shared" si="1178"/>
        <v>0</v>
      </c>
      <c r="EM872" s="1098">
        <f t="shared" si="1179"/>
        <v>0</v>
      </c>
      <c r="EN872" s="1030"/>
      <c r="EO872" s="1030"/>
      <c r="EP872" s="1031"/>
      <c r="EQ872" s="1050"/>
      <c r="ER872" s="1038"/>
      <c r="ES872" s="1035"/>
      <c r="ET872" s="1051"/>
    </row>
    <row r="873" spans="2:150" ht="16.5" customHeight="1">
      <c r="B873" s="1024"/>
      <c r="C873" s="1025"/>
      <c r="D873" s="408">
        <v>870</v>
      </c>
      <c r="E873" s="1164"/>
      <c r="F873" s="1164"/>
      <c r="G873" s="1026"/>
      <c r="H873" s="411" t="str">
        <f>IFERROR(INDEX(绊状态确认!C:C,MATCH($G873,绊状态确认!$B:$B,)),"")</f>
        <v/>
      </c>
      <c r="I873" s="450" t="str">
        <f>IFERROR(INDEX(绊状态确认!D:D,MATCH($G873,绊状态确认!$B:$B,)),"")</f>
        <v/>
      </c>
      <c r="J873" s="450" t="str">
        <f>IFERROR(INDEX(绊状态确认!E:E,MATCH($G873,绊状态确认!$B:$B,)),"")</f>
        <v/>
      </c>
      <c r="K873" s="451" t="str">
        <f>IFERROR(INDEX(绊状态确认!F:F,MATCH($G873,绊状态确认!$B:$B,)),"")</f>
        <v/>
      </c>
      <c r="L873" s="1026"/>
      <c r="M873" s="1165"/>
      <c r="N873" s="1027"/>
      <c r="O873" s="1026"/>
      <c r="P873" s="1028"/>
      <c r="Q873" s="1029"/>
      <c r="R873" s="1166"/>
      <c r="S873" s="1030"/>
      <c r="T873" s="1031"/>
      <c r="U873" s="1032"/>
      <c r="V873" s="1033"/>
      <c r="W873" s="1034"/>
      <c r="X873" s="1166"/>
      <c r="Y873" s="1035"/>
      <c r="Z873" s="1036"/>
      <c r="AA873" s="1037"/>
      <c r="AB873" s="1038"/>
      <c r="AC873" s="1039"/>
      <c r="AD873" s="1040"/>
      <c r="AE873" s="1041"/>
      <c r="AF873" s="521"/>
      <c r="AG873" s="420"/>
      <c r="AH873" s="420"/>
      <c r="AI873" s="420"/>
      <c r="AJ873" s="420"/>
      <c r="AK873" s="518"/>
      <c r="AL873" s="1042"/>
      <c r="AM873" s="1035"/>
      <c r="AN873" s="1043"/>
      <c r="AO873" s="1167"/>
      <c r="AP873" s="1044"/>
      <c r="AQ873" s="1035"/>
      <c r="AR873" s="1035"/>
      <c r="AS873" s="1035"/>
      <c r="AT873" s="1165"/>
      <c r="AU873" s="1031"/>
      <c r="AV873" s="1045"/>
      <c r="AW873" s="1038"/>
      <c r="AX873" s="1035"/>
      <c r="AY873" s="483"/>
      <c r="AZ873" s="429"/>
      <c r="BA873" s="431"/>
      <c r="BB873" s="1035"/>
      <c r="BC873" s="1035"/>
      <c r="BD873" s="481"/>
      <c r="BE873" s="432"/>
      <c r="BF873" s="646"/>
      <c r="BG873" s="1047"/>
      <c r="BH873" s="1046"/>
      <c r="BI873" s="1048"/>
      <c r="BJ873" s="1030"/>
      <c r="BK873" s="1046"/>
      <c r="BL873" s="1048"/>
      <c r="BM873" s="1046"/>
      <c r="BN873" s="1167"/>
      <c r="BO873" s="1035"/>
      <c r="BP873" s="1043"/>
      <c r="BQ873" s="1167"/>
      <c r="BR873" s="1165"/>
      <c r="BS873" s="1031"/>
      <c r="BT873" s="1038"/>
      <c r="BU873" s="1035"/>
      <c r="BV873" s="1035"/>
      <c r="BW873" s="1049"/>
      <c r="BX873" s="1043"/>
      <c r="BY873" s="1046"/>
      <c r="BZ873" s="1167"/>
      <c r="CA873" s="1165"/>
      <c r="CB873" s="1031"/>
      <c r="CC873" s="1038"/>
      <c r="CD873" s="1035"/>
      <c r="CE873" s="1035"/>
      <c r="CF873" s="1049"/>
      <c r="CG873" s="1043"/>
      <c r="CH873" s="1046"/>
      <c r="CI873" s="1167"/>
      <c r="CJ873" s="1168"/>
      <c r="CK873" s="1169"/>
      <c r="CL873" s="1169"/>
      <c r="CM873" s="1166"/>
      <c r="CN873" s="1169"/>
      <c r="CO873" s="1169"/>
      <c r="CP873" s="452"/>
      <c r="CQ873" s="435"/>
      <c r="CR873" s="1117"/>
      <c r="CS873" s="452"/>
      <c r="CT873" s="482"/>
      <c r="CU873" s="476"/>
      <c r="CV873" s="431"/>
      <c r="CW873" s="1108"/>
      <c r="CX873" s="1108"/>
      <c r="CY873" s="483"/>
      <c r="CZ873" s="437"/>
      <c r="DA873" s="438"/>
      <c r="DB873" s="439"/>
      <c r="DC873" s="439"/>
      <c r="DD873" s="443"/>
      <c r="DE873" s="411"/>
      <c r="DF873" s="411"/>
      <c r="DG873" s="1117"/>
      <c r="DH873" s="1117"/>
      <c r="DI873" s="1117"/>
      <c r="DJ873" s="442"/>
      <c r="DK873" s="482"/>
      <c r="DL873" s="1038"/>
      <c r="DM873" s="1035"/>
      <c r="DN873" s="1035"/>
      <c r="DO873" s="1035"/>
      <c r="DP873" s="1046"/>
      <c r="DQ873" s="1167"/>
      <c r="DR873" s="1168"/>
      <c r="DS873" s="1165"/>
      <c r="DT873" s="1165"/>
      <c r="DU873" s="1165"/>
      <c r="DV873" s="1031"/>
      <c r="DW873" s="1098">
        <f t="shared" si="1176"/>
        <v>0</v>
      </c>
      <c r="DX873" s="1098">
        <f t="shared" si="1177"/>
        <v>0</v>
      </c>
      <c r="DY873" s="1030"/>
      <c r="DZ873" s="1030"/>
      <c r="EA873" s="1031"/>
      <c r="EB873" s="1050"/>
      <c r="EC873" s="1038"/>
      <c r="ED873" s="1035"/>
      <c r="EE873" s="1046"/>
      <c r="EF873" s="1169"/>
      <c r="EG873" s="1168"/>
      <c r="EH873" s="1165"/>
      <c r="EI873" s="1165"/>
      <c r="EJ873" s="1165"/>
      <c r="EK873" s="1031"/>
      <c r="EL873" s="1098">
        <f t="shared" si="1178"/>
        <v>0</v>
      </c>
      <c r="EM873" s="1098">
        <f t="shared" si="1179"/>
        <v>0</v>
      </c>
      <c r="EN873" s="1030"/>
      <c r="EO873" s="1030"/>
      <c r="EP873" s="1031"/>
      <c r="EQ873" s="1050"/>
      <c r="ER873" s="1038"/>
      <c r="ES873" s="1035"/>
      <c r="ET873" s="1051"/>
    </row>
    <row r="874" spans="2:150" ht="16.5" customHeight="1">
      <c r="B874" s="1024"/>
      <c r="C874" s="1025"/>
      <c r="D874" s="408">
        <v>871</v>
      </c>
      <c r="E874" s="1164"/>
      <c r="F874" s="1164"/>
      <c r="G874" s="1026"/>
      <c r="H874" s="411" t="str">
        <f>IFERROR(INDEX(绊状态确认!C:C,MATCH($G874,绊状态确认!$B:$B,)),"")</f>
        <v/>
      </c>
      <c r="I874" s="450" t="str">
        <f>IFERROR(INDEX(绊状态确认!D:D,MATCH($G874,绊状态确认!$B:$B,)),"")</f>
        <v/>
      </c>
      <c r="J874" s="450" t="str">
        <f>IFERROR(INDEX(绊状态确认!E:E,MATCH($G874,绊状态确认!$B:$B,)),"")</f>
        <v/>
      </c>
      <c r="K874" s="451" t="str">
        <f>IFERROR(INDEX(绊状态确认!F:F,MATCH($G874,绊状态确认!$B:$B,)),"")</f>
        <v/>
      </c>
      <c r="L874" s="1026"/>
      <c r="M874" s="1165"/>
      <c r="N874" s="1027"/>
      <c r="O874" s="1026"/>
      <c r="P874" s="1028"/>
      <c r="Q874" s="1029"/>
      <c r="R874" s="1166"/>
      <c r="S874" s="1030"/>
      <c r="T874" s="1031"/>
      <c r="U874" s="1032"/>
      <c r="V874" s="1033"/>
      <c r="W874" s="1034"/>
      <c r="X874" s="1166"/>
      <c r="Y874" s="1035"/>
      <c r="Z874" s="1036"/>
      <c r="AA874" s="1037"/>
      <c r="AB874" s="1038"/>
      <c r="AC874" s="1039"/>
      <c r="AD874" s="1040"/>
      <c r="AE874" s="1041"/>
      <c r="AF874" s="521"/>
      <c r="AG874" s="420"/>
      <c r="AH874" s="420"/>
      <c r="AI874" s="420"/>
      <c r="AJ874" s="420"/>
      <c r="AK874" s="518"/>
      <c r="AL874" s="1042"/>
      <c r="AM874" s="1035"/>
      <c r="AN874" s="1043"/>
      <c r="AO874" s="1167"/>
      <c r="AP874" s="1044"/>
      <c r="AQ874" s="1035"/>
      <c r="AR874" s="1035"/>
      <c r="AS874" s="1035"/>
      <c r="AT874" s="1165"/>
      <c r="AU874" s="1031"/>
      <c r="AV874" s="1045"/>
      <c r="AW874" s="1038"/>
      <c r="AX874" s="1035"/>
      <c r="AY874" s="483"/>
      <c r="AZ874" s="429"/>
      <c r="BA874" s="431"/>
      <c r="BB874" s="1035"/>
      <c r="BC874" s="1035"/>
      <c r="BD874" s="481"/>
      <c r="BE874" s="432"/>
      <c r="BF874" s="646"/>
      <c r="BG874" s="1047"/>
      <c r="BH874" s="1046"/>
      <c r="BI874" s="1048"/>
      <c r="BJ874" s="1030"/>
      <c r="BK874" s="1046"/>
      <c r="BL874" s="1048"/>
      <c r="BM874" s="1046"/>
      <c r="BN874" s="1167"/>
      <c r="BO874" s="1035"/>
      <c r="BP874" s="1043"/>
      <c r="BQ874" s="1167"/>
      <c r="BR874" s="1165"/>
      <c r="BS874" s="1031"/>
      <c r="BT874" s="1038"/>
      <c r="BU874" s="1035"/>
      <c r="BV874" s="1035"/>
      <c r="BW874" s="1049"/>
      <c r="BX874" s="1043"/>
      <c r="BY874" s="1046"/>
      <c r="BZ874" s="1167"/>
      <c r="CA874" s="1165"/>
      <c r="CB874" s="1031"/>
      <c r="CC874" s="1038"/>
      <c r="CD874" s="1035"/>
      <c r="CE874" s="1035"/>
      <c r="CF874" s="1049"/>
      <c r="CG874" s="1043"/>
      <c r="CH874" s="1046"/>
      <c r="CI874" s="1167"/>
      <c r="CJ874" s="1168"/>
      <c r="CK874" s="1169"/>
      <c r="CL874" s="1169"/>
      <c r="CM874" s="1166"/>
      <c r="CN874" s="1169"/>
      <c r="CO874" s="1169"/>
      <c r="CP874" s="452"/>
      <c r="CQ874" s="435"/>
      <c r="CR874" s="441"/>
      <c r="CS874" s="452"/>
      <c r="CT874" s="482"/>
      <c r="CU874" s="476"/>
      <c r="CV874" s="431"/>
      <c r="CW874" s="1108"/>
      <c r="CX874" s="1108"/>
      <c r="CY874" s="483"/>
      <c r="CZ874" s="437"/>
      <c r="DA874" s="438"/>
      <c r="DB874" s="439"/>
      <c r="DC874" s="439"/>
      <c r="DD874" s="443"/>
      <c r="DE874" s="411"/>
      <c r="DF874" s="411"/>
      <c r="DG874" s="1117"/>
      <c r="DH874" s="1117"/>
      <c r="DI874" s="1117"/>
      <c r="DJ874" s="442"/>
      <c r="DK874" s="482"/>
      <c r="DL874" s="1038"/>
      <c r="DM874" s="1035"/>
      <c r="DN874" s="1035"/>
      <c r="DO874" s="1035"/>
      <c r="DP874" s="1046"/>
      <c r="DQ874" s="1167"/>
      <c r="DR874" s="1168"/>
      <c r="DS874" s="1165"/>
      <c r="DT874" s="1165"/>
      <c r="DU874" s="1165"/>
      <c r="DV874" s="1031"/>
      <c r="DW874" s="1098">
        <f t="shared" si="1176"/>
        <v>0</v>
      </c>
      <c r="DX874" s="1098">
        <f t="shared" si="1177"/>
        <v>0</v>
      </c>
      <c r="DY874" s="1030"/>
      <c r="DZ874" s="1030"/>
      <c r="EA874" s="1031"/>
      <c r="EB874" s="1050"/>
      <c r="EC874" s="1038"/>
      <c r="ED874" s="1035"/>
      <c r="EE874" s="1046"/>
      <c r="EF874" s="1169"/>
      <c r="EG874" s="1168"/>
      <c r="EH874" s="1165"/>
      <c r="EI874" s="1165"/>
      <c r="EJ874" s="1165"/>
      <c r="EK874" s="1031"/>
      <c r="EL874" s="1098">
        <f t="shared" si="1178"/>
        <v>0</v>
      </c>
      <c r="EM874" s="1098">
        <f t="shared" si="1179"/>
        <v>0</v>
      </c>
      <c r="EN874" s="1030"/>
      <c r="EO874" s="1030"/>
      <c r="EP874" s="1031"/>
      <c r="EQ874" s="1050"/>
      <c r="ER874" s="1038"/>
      <c r="ES874" s="1035"/>
      <c r="ET874" s="1051"/>
    </row>
    <row r="875" spans="2:150" ht="16.5" customHeight="1">
      <c r="B875" s="1024"/>
      <c r="C875" s="1025"/>
      <c r="D875" s="408">
        <v>872</v>
      </c>
      <c r="E875" s="1164"/>
      <c r="F875" s="1164"/>
      <c r="G875" s="1026"/>
      <c r="H875" s="411" t="str">
        <f>IFERROR(INDEX(绊状态确认!C:C,MATCH($G875,绊状态确认!$B:$B,)),"")</f>
        <v/>
      </c>
      <c r="I875" s="450" t="str">
        <f>IFERROR(INDEX(绊状态确认!D:D,MATCH($G875,绊状态确认!$B:$B,)),"")</f>
        <v/>
      </c>
      <c r="J875" s="450" t="str">
        <f>IFERROR(INDEX(绊状态确认!E:E,MATCH($G875,绊状态确认!$B:$B,)),"")</f>
        <v/>
      </c>
      <c r="K875" s="451" t="str">
        <f>IFERROR(INDEX(绊状态确认!F:F,MATCH($G875,绊状态确认!$B:$B,)),"")</f>
        <v/>
      </c>
      <c r="L875" s="1026"/>
      <c r="M875" s="1165"/>
      <c r="N875" s="1027"/>
      <c r="O875" s="1026"/>
      <c r="P875" s="1028"/>
      <c r="Q875" s="1029"/>
      <c r="R875" s="1166"/>
      <c r="S875" s="1030"/>
      <c r="T875" s="1031"/>
      <c r="U875" s="1032"/>
      <c r="V875" s="1033"/>
      <c r="W875" s="1034"/>
      <c r="X875" s="1166"/>
      <c r="Y875" s="1035"/>
      <c r="Z875" s="1036"/>
      <c r="AA875" s="1037"/>
      <c r="AB875" s="1038"/>
      <c r="AC875" s="1039"/>
      <c r="AD875" s="1040"/>
      <c r="AE875" s="1041"/>
      <c r="AF875" s="521"/>
      <c r="AG875" s="420"/>
      <c r="AH875" s="420"/>
      <c r="AI875" s="420"/>
      <c r="AJ875" s="420"/>
      <c r="AK875" s="518"/>
      <c r="AL875" s="1042"/>
      <c r="AM875" s="1035"/>
      <c r="AN875" s="1043"/>
      <c r="AO875" s="1167"/>
      <c r="AP875" s="1044"/>
      <c r="AQ875" s="1035"/>
      <c r="AR875" s="1035"/>
      <c r="AS875" s="1035"/>
      <c r="AT875" s="1165"/>
      <c r="AU875" s="1031"/>
      <c r="AV875" s="1045"/>
      <c r="AW875" s="1038"/>
      <c r="AX875" s="1035"/>
      <c r="AY875" s="483"/>
      <c r="AZ875" s="429"/>
      <c r="BA875" s="431"/>
      <c r="BB875" s="1035"/>
      <c r="BC875" s="1035"/>
      <c r="BD875" s="481"/>
      <c r="BE875" s="432"/>
      <c r="BF875" s="646"/>
      <c r="BG875" s="1047"/>
      <c r="BH875" s="1046"/>
      <c r="BI875" s="1048"/>
      <c r="BJ875" s="1030"/>
      <c r="BK875" s="1046"/>
      <c r="BL875" s="1048"/>
      <c r="BM875" s="1046"/>
      <c r="BN875" s="1167"/>
      <c r="BO875" s="1035"/>
      <c r="BP875" s="1043"/>
      <c r="BQ875" s="1167"/>
      <c r="BR875" s="1165"/>
      <c r="BS875" s="1031"/>
      <c r="BT875" s="1038"/>
      <c r="BU875" s="1035"/>
      <c r="BV875" s="1035"/>
      <c r="BW875" s="1049"/>
      <c r="BX875" s="1043"/>
      <c r="BY875" s="1046"/>
      <c r="BZ875" s="1167"/>
      <c r="CA875" s="1165"/>
      <c r="CB875" s="1031"/>
      <c r="CC875" s="1038"/>
      <c r="CD875" s="1035"/>
      <c r="CE875" s="1035"/>
      <c r="CF875" s="1049"/>
      <c r="CG875" s="1043"/>
      <c r="CH875" s="1046"/>
      <c r="CI875" s="1167"/>
      <c r="CJ875" s="1168"/>
      <c r="CK875" s="1169"/>
      <c r="CL875" s="1169"/>
      <c r="CM875" s="1166"/>
      <c r="CN875" s="1169"/>
      <c r="CO875" s="1169"/>
      <c r="CP875" s="452"/>
      <c r="CQ875" s="435"/>
      <c r="CR875" s="1117"/>
      <c r="CS875" s="452"/>
      <c r="CT875" s="482"/>
      <c r="CU875" s="476"/>
      <c r="CV875" s="431"/>
      <c r="CW875" s="1108"/>
      <c r="CX875" s="1108"/>
      <c r="CY875" s="483"/>
      <c r="CZ875" s="437"/>
      <c r="DA875" s="438"/>
      <c r="DB875" s="439"/>
      <c r="DC875" s="439"/>
      <c r="DD875" s="443"/>
      <c r="DE875" s="411"/>
      <c r="DF875" s="411"/>
      <c r="DG875" s="1117"/>
      <c r="DH875" s="1117"/>
      <c r="DI875" s="1117"/>
      <c r="DJ875" s="442"/>
      <c r="DK875" s="482"/>
      <c r="DL875" s="1038"/>
      <c r="DM875" s="1035"/>
      <c r="DN875" s="1035"/>
      <c r="DO875" s="1035"/>
      <c r="DP875" s="1046"/>
      <c r="DQ875" s="1167"/>
      <c r="DR875" s="1168"/>
      <c r="DS875" s="1165"/>
      <c r="DT875" s="1165"/>
      <c r="DU875" s="1165"/>
      <c r="DV875" s="1031"/>
      <c r="DW875" s="1098">
        <f t="shared" si="1176"/>
        <v>0</v>
      </c>
      <c r="DX875" s="1098">
        <f t="shared" si="1177"/>
        <v>0</v>
      </c>
      <c r="DY875" s="1030"/>
      <c r="DZ875" s="1030"/>
      <c r="EA875" s="1031"/>
      <c r="EB875" s="1050"/>
      <c r="EC875" s="1038"/>
      <c r="ED875" s="1035"/>
      <c r="EE875" s="1046"/>
      <c r="EF875" s="1169"/>
      <c r="EG875" s="1168"/>
      <c r="EH875" s="1165"/>
      <c r="EI875" s="1165"/>
      <c r="EJ875" s="1165"/>
      <c r="EK875" s="1031"/>
      <c r="EL875" s="1098">
        <f t="shared" si="1178"/>
        <v>0</v>
      </c>
      <c r="EM875" s="1098">
        <f t="shared" si="1179"/>
        <v>0</v>
      </c>
      <c r="EN875" s="1030"/>
      <c r="EO875" s="1030"/>
      <c r="EP875" s="1031"/>
      <c r="EQ875" s="1050"/>
      <c r="ER875" s="1038"/>
      <c r="ES875" s="1035"/>
      <c r="ET875" s="1051"/>
    </row>
    <row r="876" spans="2:150" ht="16.5" customHeight="1">
      <c r="B876" s="1024"/>
      <c r="C876" s="1025"/>
      <c r="D876" s="408">
        <v>873</v>
      </c>
      <c r="E876" s="1164"/>
      <c r="F876" s="1164"/>
      <c r="G876" s="1026"/>
      <c r="H876" s="411" t="str">
        <f>IFERROR(INDEX(绊状态确认!C:C,MATCH($G876,绊状态确认!$B:$B,)),"")</f>
        <v/>
      </c>
      <c r="I876" s="450" t="str">
        <f>IFERROR(INDEX(绊状态确认!D:D,MATCH($G876,绊状态确认!$B:$B,)),"")</f>
        <v/>
      </c>
      <c r="J876" s="450" t="str">
        <f>IFERROR(INDEX(绊状态确认!E:E,MATCH($G876,绊状态确认!$B:$B,)),"")</f>
        <v/>
      </c>
      <c r="K876" s="451" t="str">
        <f>IFERROR(INDEX(绊状态确认!F:F,MATCH($G876,绊状态确认!$B:$B,)),"")</f>
        <v/>
      </c>
      <c r="L876" s="1026"/>
      <c r="M876" s="1165"/>
      <c r="N876" s="1027"/>
      <c r="O876" s="1026"/>
      <c r="P876" s="1028"/>
      <c r="Q876" s="1029"/>
      <c r="R876" s="1166"/>
      <c r="S876" s="1030"/>
      <c r="T876" s="1031"/>
      <c r="U876" s="1032"/>
      <c r="V876" s="1033"/>
      <c r="W876" s="1034"/>
      <c r="X876" s="1166"/>
      <c r="Y876" s="1035"/>
      <c r="Z876" s="1036"/>
      <c r="AA876" s="1037"/>
      <c r="AB876" s="1038"/>
      <c r="AC876" s="1039"/>
      <c r="AD876" s="1040"/>
      <c r="AE876" s="1041"/>
      <c r="AF876" s="521"/>
      <c r="AG876" s="420"/>
      <c r="AH876" s="420"/>
      <c r="AI876" s="420"/>
      <c r="AJ876" s="420"/>
      <c r="AK876" s="518"/>
      <c r="AL876" s="1042"/>
      <c r="AM876" s="1035"/>
      <c r="AN876" s="1043"/>
      <c r="AO876" s="1167"/>
      <c r="AP876" s="1044"/>
      <c r="AQ876" s="1035"/>
      <c r="AR876" s="1035"/>
      <c r="AS876" s="1035"/>
      <c r="AT876" s="1165"/>
      <c r="AU876" s="1031"/>
      <c r="AV876" s="1045"/>
      <c r="AW876" s="1038"/>
      <c r="AX876" s="1035"/>
      <c r="AY876" s="483"/>
      <c r="AZ876" s="429"/>
      <c r="BA876" s="431"/>
      <c r="BB876" s="1035"/>
      <c r="BC876" s="1035"/>
      <c r="BD876" s="481"/>
      <c r="BE876" s="432"/>
      <c r="BF876" s="646"/>
      <c r="BG876" s="1047"/>
      <c r="BH876" s="1046"/>
      <c r="BI876" s="1048"/>
      <c r="BJ876" s="1030"/>
      <c r="BK876" s="1046"/>
      <c r="BL876" s="1048"/>
      <c r="BM876" s="1046"/>
      <c r="BN876" s="1167"/>
      <c r="BO876" s="1035"/>
      <c r="BP876" s="1043"/>
      <c r="BQ876" s="1167"/>
      <c r="BR876" s="1165"/>
      <c r="BS876" s="1031"/>
      <c r="BT876" s="1038"/>
      <c r="BU876" s="1035"/>
      <c r="BV876" s="1035"/>
      <c r="BW876" s="1049"/>
      <c r="BX876" s="1043"/>
      <c r="BY876" s="1046"/>
      <c r="BZ876" s="1167"/>
      <c r="CA876" s="1165"/>
      <c r="CB876" s="1031"/>
      <c r="CC876" s="1038"/>
      <c r="CD876" s="1035"/>
      <c r="CE876" s="1035"/>
      <c r="CF876" s="1049"/>
      <c r="CG876" s="1043"/>
      <c r="CH876" s="1046"/>
      <c r="CI876" s="1167"/>
      <c r="CJ876" s="1168"/>
      <c r="CK876" s="1169"/>
      <c r="CL876" s="1169"/>
      <c r="CM876" s="1166"/>
      <c r="CN876" s="1169"/>
      <c r="CO876" s="1169"/>
      <c r="CP876" s="452"/>
      <c r="CQ876" s="435"/>
      <c r="CR876" s="1117"/>
      <c r="CS876" s="452"/>
      <c r="CT876" s="482"/>
      <c r="CU876" s="476"/>
      <c r="CV876" s="431"/>
      <c r="CW876" s="1108"/>
      <c r="CX876" s="1108"/>
      <c r="CY876" s="483"/>
      <c r="CZ876" s="437"/>
      <c r="DA876" s="438"/>
      <c r="DB876" s="439"/>
      <c r="DC876" s="439"/>
      <c r="DD876" s="443"/>
      <c r="DE876" s="411"/>
      <c r="DF876" s="411"/>
      <c r="DG876" s="1117"/>
      <c r="DH876" s="1117"/>
      <c r="DI876" s="1117"/>
      <c r="DJ876" s="442"/>
      <c r="DK876" s="482"/>
      <c r="DL876" s="1038"/>
      <c r="DM876" s="1035"/>
      <c r="DN876" s="1035"/>
      <c r="DO876" s="1035"/>
      <c r="DP876" s="1046"/>
      <c r="DQ876" s="1167"/>
      <c r="DR876" s="1168"/>
      <c r="DS876" s="1165"/>
      <c r="DT876" s="1165"/>
      <c r="DU876" s="1165"/>
      <c r="DV876" s="1031"/>
      <c r="DW876" s="1098">
        <f t="shared" si="1176"/>
        <v>0</v>
      </c>
      <c r="DX876" s="1098">
        <f t="shared" si="1177"/>
        <v>0</v>
      </c>
      <c r="DY876" s="1030"/>
      <c r="DZ876" s="1030"/>
      <c r="EA876" s="1031"/>
      <c r="EB876" s="1050"/>
      <c r="EC876" s="1038"/>
      <c r="ED876" s="1035"/>
      <c r="EE876" s="1046"/>
      <c r="EF876" s="1169"/>
      <c r="EG876" s="1168"/>
      <c r="EH876" s="1165"/>
      <c r="EI876" s="1165"/>
      <c r="EJ876" s="1165"/>
      <c r="EK876" s="1031"/>
      <c r="EL876" s="1098">
        <f t="shared" si="1178"/>
        <v>0</v>
      </c>
      <c r="EM876" s="1098">
        <f t="shared" si="1179"/>
        <v>0</v>
      </c>
      <c r="EN876" s="1030"/>
      <c r="EO876" s="1030"/>
      <c r="EP876" s="1031"/>
      <c r="EQ876" s="1050"/>
      <c r="ER876" s="1038"/>
      <c r="ES876" s="1035"/>
      <c r="ET876" s="1051"/>
    </row>
    <row r="877" spans="2:150" ht="16.5" customHeight="1">
      <c r="B877" s="1024"/>
      <c r="C877" s="1025"/>
      <c r="D877" s="408">
        <v>874</v>
      </c>
      <c r="E877" s="1164"/>
      <c r="F877" s="1164"/>
      <c r="G877" s="1026"/>
      <c r="H877" s="411" t="str">
        <f>IFERROR(INDEX(绊状态确认!C:C,MATCH($G877,绊状态确认!$B:$B,)),"")</f>
        <v/>
      </c>
      <c r="I877" s="450" t="str">
        <f>IFERROR(INDEX(绊状态确认!D:D,MATCH($G877,绊状态确认!$B:$B,)),"")</f>
        <v/>
      </c>
      <c r="J877" s="450" t="str">
        <f>IFERROR(INDEX(绊状态确认!E:E,MATCH($G877,绊状态确认!$B:$B,)),"")</f>
        <v/>
      </c>
      <c r="K877" s="451" t="str">
        <f>IFERROR(INDEX(绊状态确认!F:F,MATCH($G877,绊状态确认!$B:$B,)),"")</f>
        <v/>
      </c>
      <c r="L877" s="1026"/>
      <c r="M877" s="1165"/>
      <c r="N877" s="1027"/>
      <c r="O877" s="1026"/>
      <c r="P877" s="1028"/>
      <c r="Q877" s="1029"/>
      <c r="R877" s="1166"/>
      <c r="S877" s="1030"/>
      <c r="T877" s="1031"/>
      <c r="U877" s="1032"/>
      <c r="V877" s="1033"/>
      <c r="W877" s="1034"/>
      <c r="X877" s="1166"/>
      <c r="Y877" s="1035"/>
      <c r="Z877" s="1036"/>
      <c r="AA877" s="1037"/>
      <c r="AB877" s="1038"/>
      <c r="AC877" s="1039"/>
      <c r="AD877" s="1040"/>
      <c r="AE877" s="1041"/>
      <c r="AF877" s="521"/>
      <c r="AG877" s="420"/>
      <c r="AH877" s="420"/>
      <c r="AI877" s="420"/>
      <c r="AJ877" s="420"/>
      <c r="AK877" s="518"/>
      <c r="AL877" s="1042"/>
      <c r="AM877" s="1035"/>
      <c r="AN877" s="1043"/>
      <c r="AO877" s="1167"/>
      <c r="AP877" s="1044"/>
      <c r="AQ877" s="1035"/>
      <c r="AR877" s="1035"/>
      <c r="AS877" s="1035"/>
      <c r="AT877" s="1165"/>
      <c r="AU877" s="1031"/>
      <c r="AV877" s="1045"/>
      <c r="AW877" s="1038"/>
      <c r="AX877" s="1035"/>
      <c r="AY877" s="483"/>
      <c r="AZ877" s="429"/>
      <c r="BA877" s="431"/>
      <c r="BB877" s="1035"/>
      <c r="BC877" s="1035"/>
      <c r="BD877" s="481"/>
      <c r="BE877" s="432"/>
      <c r="BF877" s="646"/>
      <c r="BG877" s="1047"/>
      <c r="BH877" s="1046"/>
      <c r="BI877" s="1048"/>
      <c r="BJ877" s="1030"/>
      <c r="BK877" s="1046"/>
      <c r="BL877" s="1048"/>
      <c r="BM877" s="1046"/>
      <c r="BN877" s="1167"/>
      <c r="BO877" s="1035"/>
      <c r="BP877" s="1043"/>
      <c r="BQ877" s="1167"/>
      <c r="BR877" s="1165"/>
      <c r="BS877" s="1031"/>
      <c r="BT877" s="1038"/>
      <c r="BU877" s="1035"/>
      <c r="BV877" s="1035"/>
      <c r="BW877" s="1049"/>
      <c r="BX877" s="1043"/>
      <c r="BY877" s="1046"/>
      <c r="BZ877" s="1167"/>
      <c r="CA877" s="1165"/>
      <c r="CB877" s="1031"/>
      <c r="CC877" s="1038"/>
      <c r="CD877" s="1035"/>
      <c r="CE877" s="1035"/>
      <c r="CF877" s="1049"/>
      <c r="CG877" s="1043"/>
      <c r="CH877" s="1046"/>
      <c r="CI877" s="1167"/>
      <c r="CJ877" s="1168"/>
      <c r="CK877" s="1169"/>
      <c r="CL877" s="1169"/>
      <c r="CM877" s="1166"/>
      <c r="CN877" s="1169"/>
      <c r="CO877" s="1169"/>
      <c r="CP877" s="452"/>
      <c r="CQ877" s="435"/>
      <c r="CR877" s="441"/>
      <c r="CS877" s="452"/>
      <c r="CT877" s="482"/>
      <c r="CU877" s="476"/>
      <c r="CV877" s="431"/>
      <c r="CW877" s="1108"/>
      <c r="CX877" s="1108"/>
      <c r="CY877" s="483"/>
      <c r="CZ877" s="437"/>
      <c r="DA877" s="438"/>
      <c r="DB877" s="439"/>
      <c r="DC877" s="439"/>
      <c r="DD877" s="443"/>
      <c r="DE877" s="411"/>
      <c r="DF877" s="411"/>
      <c r="DG877" s="1117"/>
      <c r="DH877" s="1117"/>
      <c r="DI877" s="1117"/>
      <c r="DJ877" s="442"/>
      <c r="DK877" s="482"/>
      <c r="DL877" s="1038"/>
      <c r="DM877" s="1035"/>
      <c r="DN877" s="1035"/>
      <c r="DO877" s="1035"/>
      <c r="DP877" s="1046"/>
      <c r="DQ877" s="1167"/>
      <c r="DR877" s="1168"/>
      <c r="DS877" s="1165"/>
      <c r="DT877" s="1165"/>
      <c r="DU877" s="1165"/>
      <c r="DV877" s="1031"/>
      <c r="DW877" s="1098">
        <f t="shared" si="1176"/>
        <v>0</v>
      </c>
      <c r="DX877" s="1098">
        <f t="shared" si="1177"/>
        <v>0</v>
      </c>
      <c r="DY877" s="1030"/>
      <c r="DZ877" s="1030"/>
      <c r="EA877" s="1031"/>
      <c r="EB877" s="1050"/>
      <c r="EC877" s="1038"/>
      <c r="ED877" s="1035"/>
      <c r="EE877" s="1046"/>
      <c r="EF877" s="1169"/>
      <c r="EG877" s="1168"/>
      <c r="EH877" s="1165"/>
      <c r="EI877" s="1165"/>
      <c r="EJ877" s="1165"/>
      <c r="EK877" s="1031"/>
      <c r="EL877" s="1098">
        <f t="shared" si="1178"/>
        <v>0</v>
      </c>
      <c r="EM877" s="1098">
        <f t="shared" si="1179"/>
        <v>0</v>
      </c>
      <c r="EN877" s="1030"/>
      <c r="EO877" s="1030"/>
      <c r="EP877" s="1031"/>
      <c r="EQ877" s="1050"/>
      <c r="ER877" s="1038"/>
      <c r="ES877" s="1035"/>
      <c r="ET877" s="1051"/>
    </row>
    <row r="878" spans="2:150" ht="16.5" customHeight="1">
      <c r="B878" s="1024"/>
      <c r="C878" s="1025"/>
      <c r="D878" s="408">
        <v>875</v>
      </c>
      <c r="E878" s="1164"/>
      <c r="F878" s="1164"/>
      <c r="G878" s="1026"/>
      <c r="H878" s="411" t="str">
        <f>IFERROR(INDEX(绊状态确认!C:C,MATCH($G878,绊状态确认!$B:$B,)),"")</f>
        <v/>
      </c>
      <c r="I878" s="450" t="str">
        <f>IFERROR(INDEX(绊状态确认!D:D,MATCH($G878,绊状态确认!$B:$B,)),"")</f>
        <v/>
      </c>
      <c r="J878" s="450" t="str">
        <f>IFERROR(INDEX(绊状态确认!E:E,MATCH($G878,绊状态确认!$B:$B,)),"")</f>
        <v/>
      </c>
      <c r="K878" s="451" t="str">
        <f>IFERROR(INDEX(绊状态确认!F:F,MATCH($G878,绊状态确认!$B:$B,)),"")</f>
        <v/>
      </c>
      <c r="L878" s="1026"/>
      <c r="M878" s="1165"/>
      <c r="N878" s="1027"/>
      <c r="O878" s="1026"/>
      <c r="P878" s="1028"/>
      <c r="Q878" s="1029"/>
      <c r="R878" s="1166"/>
      <c r="S878" s="1030"/>
      <c r="T878" s="1031"/>
      <c r="U878" s="1032"/>
      <c r="V878" s="1033"/>
      <c r="W878" s="1034"/>
      <c r="X878" s="1166"/>
      <c r="Y878" s="1035"/>
      <c r="Z878" s="1036"/>
      <c r="AA878" s="1037"/>
      <c r="AB878" s="1038"/>
      <c r="AC878" s="1039"/>
      <c r="AD878" s="1040"/>
      <c r="AE878" s="1041"/>
      <c r="AF878" s="521"/>
      <c r="AG878" s="420"/>
      <c r="AH878" s="420"/>
      <c r="AI878" s="420"/>
      <c r="AJ878" s="420"/>
      <c r="AK878" s="518"/>
      <c r="AL878" s="1042"/>
      <c r="AM878" s="1035"/>
      <c r="AN878" s="1043"/>
      <c r="AO878" s="1167"/>
      <c r="AP878" s="1044"/>
      <c r="AQ878" s="1035"/>
      <c r="AR878" s="1035"/>
      <c r="AS878" s="1035"/>
      <c r="AT878" s="1165"/>
      <c r="AU878" s="1031"/>
      <c r="AV878" s="1045"/>
      <c r="AW878" s="1038"/>
      <c r="AX878" s="1035"/>
      <c r="AY878" s="483"/>
      <c r="AZ878" s="429"/>
      <c r="BA878" s="431"/>
      <c r="BB878" s="1035"/>
      <c r="BC878" s="1035"/>
      <c r="BD878" s="481"/>
      <c r="BE878" s="432"/>
      <c r="BF878" s="646"/>
      <c r="BG878" s="1047"/>
      <c r="BH878" s="1046"/>
      <c r="BI878" s="1048"/>
      <c r="BJ878" s="1030"/>
      <c r="BK878" s="1046"/>
      <c r="BL878" s="1048"/>
      <c r="BM878" s="1046"/>
      <c r="BN878" s="1167"/>
      <c r="BO878" s="1035"/>
      <c r="BP878" s="1043"/>
      <c r="BQ878" s="1167"/>
      <c r="BR878" s="1165"/>
      <c r="BS878" s="1031"/>
      <c r="BT878" s="1038"/>
      <c r="BU878" s="1035"/>
      <c r="BV878" s="1035"/>
      <c r="BW878" s="1049"/>
      <c r="BX878" s="1043"/>
      <c r="BY878" s="1046"/>
      <c r="BZ878" s="1167"/>
      <c r="CA878" s="1165"/>
      <c r="CB878" s="1031"/>
      <c r="CC878" s="1038"/>
      <c r="CD878" s="1035"/>
      <c r="CE878" s="1035"/>
      <c r="CF878" s="1049"/>
      <c r="CG878" s="1043"/>
      <c r="CH878" s="1046"/>
      <c r="CI878" s="1167"/>
      <c r="CJ878" s="1168"/>
      <c r="CK878" s="1169"/>
      <c r="CL878" s="1169"/>
      <c r="CM878" s="1166"/>
      <c r="CN878" s="1169"/>
      <c r="CO878" s="1169"/>
      <c r="CP878" s="452"/>
      <c r="CQ878" s="435"/>
      <c r="CR878" s="1117"/>
      <c r="CS878" s="452"/>
      <c r="CT878" s="482"/>
      <c r="CU878" s="476"/>
      <c r="CV878" s="431"/>
      <c r="CW878" s="1108"/>
      <c r="CX878" s="1108"/>
      <c r="CY878" s="483"/>
      <c r="CZ878" s="437"/>
      <c r="DA878" s="438"/>
      <c r="DB878" s="439"/>
      <c r="DC878" s="439"/>
      <c r="DD878" s="443"/>
      <c r="DE878" s="411"/>
      <c r="DF878" s="411"/>
      <c r="DG878" s="1117"/>
      <c r="DH878" s="1117"/>
      <c r="DI878" s="1117"/>
      <c r="DJ878" s="442"/>
      <c r="DK878" s="482"/>
      <c r="DL878" s="1038"/>
      <c r="DM878" s="1035"/>
      <c r="DN878" s="1035"/>
      <c r="DO878" s="1035"/>
      <c r="DP878" s="1046"/>
      <c r="DQ878" s="1167"/>
      <c r="DR878" s="1168"/>
      <c r="DS878" s="1165"/>
      <c r="DT878" s="1165"/>
      <c r="DU878" s="1165"/>
      <c r="DV878" s="1031"/>
      <c r="DW878" s="1098">
        <f t="shared" si="1176"/>
        <v>0</v>
      </c>
      <c r="DX878" s="1098">
        <f t="shared" si="1177"/>
        <v>0</v>
      </c>
      <c r="DY878" s="1030"/>
      <c r="DZ878" s="1030"/>
      <c r="EA878" s="1031"/>
      <c r="EB878" s="1050"/>
      <c r="EC878" s="1038"/>
      <c r="ED878" s="1035"/>
      <c r="EE878" s="1046"/>
      <c r="EF878" s="1169"/>
      <c r="EG878" s="1168"/>
      <c r="EH878" s="1165"/>
      <c r="EI878" s="1165"/>
      <c r="EJ878" s="1165"/>
      <c r="EK878" s="1031"/>
      <c r="EL878" s="1098">
        <f t="shared" si="1178"/>
        <v>0</v>
      </c>
      <c r="EM878" s="1098">
        <f t="shared" si="1179"/>
        <v>0</v>
      </c>
      <c r="EN878" s="1030"/>
      <c r="EO878" s="1030"/>
      <c r="EP878" s="1031"/>
      <c r="EQ878" s="1050"/>
      <c r="ER878" s="1038"/>
      <c r="ES878" s="1035"/>
      <c r="ET878" s="1051"/>
    </row>
    <row r="879" spans="2:150" ht="16.5" customHeight="1">
      <c r="B879" s="1024"/>
      <c r="C879" s="1025"/>
      <c r="D879" s="408">
        <v>876</v>
      </c>
      <c r="E879" s="1164"/>
      <c r="F879" s="1164"/>
      <c r="G879" s="1026"/>
      <c r="H879" s="411" t="str">
        <f>IFERROR(INDEX(绊状态确认!C:C,MATCH($G879,绊状态确认!$B:$B,)),"")</f>
        <v/>
      </c>
      <c r="I879" s="450" t="str">
        <f>IFERROR(INDEX(绊状态确认!D:D,MATCH($G879,绊状态确认!$B:$B,)),"")</f>
        <v/>
      </c>
      <c r="J879" s="450" t="str">
        <f>IFERROR(INDEX(绊状态确认!E:E,MATCH($G879,绊状态确认!$B:$B,)),"")</f>
        <v/>
      </c>
      <c r="K879" s="451" t="str">
        <f>IFERROR(INDEX(绊状态确认!F:F,MATCH($G879,绊状态确认!$B:$B,)),"")</f>
        <v/>
      </c>
      <c r="L879" s="1026"/>
      <c r="M879" s="1165"/>
      <c r="N879" s="1027"/>
      <c r="O879" s="1026"/>
      <c r="P879" s="1028"/>
      <c r="Q879" s="1029"/>
      <c r="R879" s="1166"/>
      <c r="S879" s="1030"/>
      <c r="T879" s="1031"/>
      <c r="U879" s="1032"/>
      <c r="V879" s="1033"/>
      <c r="W879" s="1034"/>
      <c r="X879" s="1166"/>
      <c r="Y879" s="1035"/>
      <c r="Z879" s="1036"/>
      <c r="AA879" s="1037"/>
      <c r="AB879" s="1038"/>
      <c r="AC879" s="1039"/>
      <c r="AD879" s="1040"/>
      <c r="AE879" s="1041"/>
      <c r="AF879" s="521"/>
      <c r="AG879" s="420"/>
      <c r="AH879" s="420"/>
      <c r="AI879" s="420"/>
      <c r="AJ879" s="420"/>
      <c r="AK879" s="518"/>
      <c r="AL879" s="1042"/>
      <c r="AM879" s="1035"/>
      <c r="AN879" s="1043"/>
      <c r="AO879" s="1167"/>
      <c r="AP879" s="1044"/>
      <c r="AQ879" s="1035"/>
      <c r="AR879" s="1035"/>
      <c r="AS879" s="1035"/>
      <c r="AT879" s="1165"/>
      <c r="AU879" s="1031"/>
      <c r="AV879" s="1045"/>
      <c r="AW879" s="1038"/>
      <c r="AX879" s="1035"/>
      <c r="AY879" s="483"/>
      <c r="AZ879" s="429"/>
      <c r="BA879" s="431"/>
      <c r="BB879" s="1035"/>
      <c r="BC879" s="1035"/>
      <c r="BD879" s="481"/>
      <c r="BE879" s="432"/>
      <c r="BF879" s="646"/>
      <c r="BG879" s="1047"/>
      <c r="BH879" s="1046"/>
      <c r="BI879" s="1048"/>
      <c r="BJ879" s="1030"/>
      <c r="BK879" s="1046"/>
      <c r="BL879" s="1048"/>
      <c r="BM879" s="1046"/>
      <c r="BN879" s="1167"/>
      <c r="BO879" s="1035"/>
      <c r="BP879" s="1043"/>
      <c r="BQ879" s="1167"/>
      <c r="BR879" s="1165"/>
      <c r="BS879" s="1031"/>
      <c r="BT879" s="1038"/>
      <c r="BU879" s="1035"/>
      <c r="BV879" s="1035"/>
      <c r="BW879" s="1049"/>
      <c r="BX879" s="1043"/>
      <c r="BY879" s="1046"/>
      <c r="BZ879" s="1167"/>
      <c r="CA879" s="1165"/>
      <c r="CB879" s="1031"/>
      <c r="CC879" s="1038"/>
      <c r="CD879" s="1035"/>
      <c r="CE879" s="1035"/>
      <c r="CF879" s="1049"/>
      <c r="CG879" s="1043"/>
      <c r="CH879" s="1046"/>
      <c r="CI879" s="1167"/>
      <c r="CJ879" s="1168"/>
      <c r="CK879" s="1169"/>
      <c r="CL879" s="1169"/>
      <c r="CM879" s="1166"/>
      <c r="CN879" s="1169"/>
      <c r="CO879" s="1169"/>
      <c r="CP879" s="452"/>
      <c r="CQ879" s="435"/>
      <c r="CR879" s="1117"/>
      <c r="CS879" s="452"/>
      <c r="CT879" s="482"/>
      <c r="CU879" s="476"/>
      <c r="CV879" s="431"/>
      <c r="CW879" s="1108"/>
      <c r="CX879" s="1108"/>
      <c r="CY879" s="483"/>
      <c r="CZ879" s="437"/>
      <c r="DA879" s="438"/>
      <c r="DB879" s="439"/>
      <c r="DC879" s="439"/>
      <c r="DD879" s="443"/>
      <c r="DE879" s="411"/>
      <c r="DF879" s="411"/>
      <c r="DG879" s="1117"/>
      <c r="DH879" s="1117"/>
      <c r="DI879" s="1117"/>
      <c r="DJ879" s="442"/>
      <c r="DK879" s="482"/>
      <c r="DL879" s="1038"/>
      <c r="DM879" s="1035"/>
      <c r="DN879" s="1035"/>
      <c r="DO879" s="1035"/>
      <c r="DP879" s="1046"/>
      <c r="DQ879" s="1167"/>
      <c r="DR879" s="1168"/>
      <c r="DS879" s="1165"/>
      <c r="DT879" s="1165"/>
      <c r="DU879" s="1165"/>
      <c r="DV879" s="1031"/>
      <c r="DW879" s="1098">
        <f t="shared" si="1176"/>
        <v>0</v>
      </c>
      <c r="DX879" s="1098">
        <f t="shared" si="1177"/>
        <v>0</v>
      </c>
      <c r="DY879" s="1030"/>
      <c r="DZ879" s="1030"/>
      <c r="EA879" s="1031"/>
      <c r="EB879" s="1050"/>
      <c r="EC879" s="1038"/>
      <c r="ED879" s="1035"/>
      <c r="EE879" s="1046"/>
      <c r="EF879" s="1169"/>
      <c r="EG879" s="1168"/>
      <c r="EH879" s="1165"/>
      <c r="EI879" s="1165"/>
      <c r="EJ879" s="1165"/>
      <c r="EK879" s="1031"/>
      <c r="EL879" s="1098">
        <f t="shared" si="1178"/>
        <v>0</v>
      </c>
      <c r="EM879" s="1098">
        <f t="shared" si="1179"/>
        <v>0</v>
      </c>
      <c r="EN879" s="1030"/>
      <c r="EO879" s="1030"/>
      <c r="EP879" s="1031"/>
      <c r="EQ879" s="1050"/>
      <c r="ER879" s="1038"/>
      <c r="ES879" s="1035"/>
      <c r="ET879" s="1051"/>
    </row>
    <row r="880" spans="2:150" ht="16.5" customHeight="1">
      <c r="B880" s="1024"/>
      <c r="C880" s="1025"/>
      <c r="D880" s="408">
        <v>877</v>
      </c>
      <c r="E880" s="1164"/>
      <c r="F880" s="1164"/>
      <c r="G880" s="1026"/>
      <c r="H880" s="411" t="str">
        <f>IFERROR(INDEX(绊状态确认!C:C,MATCH($G880,绊状态确认!$B:$B,)),"")</f>
        <v/>
      </c>
      <c r="I880" s="450" t="str">
        <f>IFERROR(INDEX(绊状态确认!D:D,MATCH($G880,绊状态确认!$B:$B,)),"")</f>
        <v/>
      </c>
      <c r="J880" s="450" t="str">
        <f>IFERROR(INDEX(绊状态确认!E:E,MATCH($G880,绊状态确认!$B:$B,)),"")</f>
        <v/>
      </c>
      <c r="K880" s="451" t="str">
        <f>IFERROR(INDEX(绊状态确认!F:F,MATCH($G880,绊状态确认!$B:$B,)),"")</f>
        <v/>
      </c>
      <c r="L880" s="1026"/>
      <c r="M880" s="1165"/>
      <c r="N880" s="1027"/>
      <c r="O880" s="1026"/>
      <c r="P880" s="1028"/>
      <c r="Q880" s="1029"/>
      <c r="R880" s="1166"/>
      <c r="S880" s="1030"/>
      <c r="T880" s="1031"/>
      <c r="U880" s="1032"/>
      <c r="V880" s="1033"/>
      <c r="W880" s="1034"/>
      <c r="X880" s="1166"/>
      <c r="Y880" s="1035"/>
      <c r="Z880" s="1036"/>
      <c r="AA880" s="1037"/>
      <c r="AB880" s="1038"/>
      <c r="AC880" s="1039"/>
      <c r="AD880" s="1040"/>
      <c r="AE880" s="1041"/>
      <c r="AF880" s="521"/>
      <c r="AG880" s="420"/>
      <c r="AH880" s="420"/>
      <c r="AI880" s="420"/>
      <c r="AJ880" s="420"/>
      <c r="AK880" s="518"/>
      <c r="AL880" s="1042"/>
      <c r="AM880" s="1035"/>
      <c r="AN880" s="1043"/>
      <c r="AO880" s="1167"/>
      <c r="AP880" s="1044"/>
      <c r="AQ880" s="1035"/>
      <c r="AR880" s="1035"/>
      <c r="AS880" s="1035"/>
      <c r="AT880" s="1165"/>
      <c r="AU880" s="1031"/>
      <c r="AV880" s="1045"/>
      <c r="AW880" s="1038"/>
      <c r="AX880" s="1035"/>
      <c r="AY880" s="483"/>
      <c r="AZ880" s="429"/>
      <c r="BA880" s="431"/>
      <c r="BB880" s="1035"/>
      <c r="BC880" s="1035"/>
      <c r="BD880" s="481"/>
      <c r="BE880" s="432"/>
      <c r="BF880" s="646"/>
      <c r="BG880" s="1047"/>
      <c r="BH880" s="1046"/>
      <c r="BI880" s="1048"/>
      <c r="BJ880" s="1030"/>
      <c r="BK880" s="1046"/>
      <c r="BL880" s="1048"/>
      <c r="BM880" s="1046"/>
      <c r="BN880" s="1167"/>
      <c r="BO880" s="1035"/>
      <c r="BP880" s="1043"/>
      <c r="BQ880" s="1167"/>
      <c r="BR880" s="1165"/>
      <c r="BS880" s="1031"/>
      <c r="BT880" s="1038"/>
      <c r="BU880" s="1035"/>
      <c r="BV880" s="1035"/>
      <c r="BW880" s="1049"/>
      <c r="BX880" s="1043"/>
      <c r="BY880" s="1046"/>
      <c r="BZ880" s="1167"/>
      <c r="CA880" s="1165"/>
      <c r="CB880" s="1031"/>
      <c r="CC880" s="1038"/>
      <c r="CD880" s="1035"/>
      <c r="CE880" s="1035"/>
      <c r="CF880" s="1049"/>
      <c r="CG880" s="1043"/>
      <c r="CH880" s="1046"/>
      <c r="CI880" s="1167"/>
      <c r="CJ880" s="1168"/>
      <c r="CK880" s="1169"/>
      <c r="CL880" s="1169"/>
      <c r="CM880" s="1166"/>
      <c r="CN880" s="1169"/>
      <c r="CO880" s="1169"/>
      <c r="CP880" s="452"/>
      <c r="CQ880" s="435"/>
      <c r="CR880" s="1117"/>
      <c r="CS880" s="452"/>
      <c r="CT880" s="482"/>
      <c r="CU880" s="476"/>
      <c r="CV880" s="431"/>
      <c r="CW880" s="1108"/>
      <c r="CX880" s="1108"/>
      <c r="CY880" s="483"/>
      <c r="CZ880" s="437"/>
      <c r="DA880" s="438"/>
      <c r="DB880" s="439"/>
      <c r="DC880" s="439"/>
      <c r="DD880" s="443"/>
      <c r="DE880" s="411"/>
      <c r="DF880" s="411"/>
      <c r="DG880" s="1117"/>
      <c r="DH880" s="1117"/>
      <c r="DI880" s="1117"/>
      <c r="DJ880" s="442"/>
      <c r="DK880" s="482"/>
      <c r="DL880" s="1038"/>
      <c r="DM880" s="1035"/>
      <c r="DN880" s="1035"/>
      <c r="DO880" s="1035"/>
      <c r="DP880" s="1046"/>
      <c r="DQ880" s="1167"/>
      <c r="DR880" s="1168"/>
      <c r="DS880" s="1165"/>
      <c r="DT880" s="1165"/>
      <c r="DU880" s="1165"/>
      <c r="DV880" s="1031"/>
      <c r="DW880" s="1098">
        <f t="shared" si="1176"/>
        <v>0</v>
      </c>
      <c r="DX880" s="1098">
        <f t="shared" si="1177"/>
        <v>0</v>
      </c>
      <c r="DY880" s="1030"/>
      <c r="DZ880" s="1030"/>
      <c r="EA880" s="1031"/>
      <c r="EB880" s="1050"/>
      <c r="EC880" s="1038"/>
      <c r="ED880" s="1035"/>
      <c r="EE880" s="1046"/>
      <c r="EF880" s="1169"/>
      <c r="EG880" s="1168"/>
      <c r="EH880" s="1165"/>
      <c r="EI880" s="1165"/>
      <c r="EJ880" s="1165"/>
      <c r="EK880" s="1031"/>
      <c r="EL880" s="1098">
        <f t="shared" si="1178"/>
        <v>0</v>
      </c>
      <c r="EM880" s="1098">
        <f t="shared" si="1179"/>
        <v>0</v>
      </c>
      <c r="EN880" s="1030"/>
      <c r="EO880" s="1030"/>
      <c r="EP880" s="1031"/>
      <c r="EQ880" s="1050"/>
      <c r="ER880" s="1038"/>
      <c r="ES880" s="1035"/>
      <c r="ET880" s="1051"/>
    </row>
    <row r="881" spans="2:150" ht="16.5" customHeight="1">
      <c r="B881" s="1024"/>
      <c r="C881" s="1025"/>
      <c r="D881" s="408">
        <v>878</v>
      </c>
      <c r="E881" s="1164"/>
      <c r="F881" s="1164"/>
      <c r="G881" s="1026"/>
      <c r="H881" s="411" t="str">
        <f>IFERROR(INDEX(绊状态确认!C:C,MATCH($G881,绊状态确认!$B:$B,)),"")</f>
        <v/>
      </c>
      <c r="I881" s="450" t="str">
        <f>IFERROR(INDEX(绊状态确认!D:D,MATCH($G881,绊状态确认!$B:$B,)),"")</f>
        <v/>
      </c>
      <c r="J881" s="450" t="str">
        <f>IFERROR(INDEX(绊状态确认!E:E,MATCH($G881,绊状态确认!$B:$B,)),"")</f>
        <v/>
      </c>
      <c r="K881" s="451" t="str">
        <f>IFERROR(INDEX(绊状态确认!F:F,MATCH($G881,绊状态确认!$B:$B,)),"")</f>
        <v/>
      </c>
      <c r="L881" s="1026"/>
      <c r="M881" s="1165"/>
      <c r="N881" s="1027"/>
      <c r="O881" s="1026"/>
      <c r="P881" s="1028"/>
      <c r="Q881" s="1029"/>
      <c r="R881" s="1166"/>
      <c r="S881" s="1030"/>
      <c r="T881" s="1031"/>
      <c r="U881" s="1032"/>
      <c r="V881" s="1033"/>
      <c r="W881" s="1034"/>
      <c r="X881" s="1166"/>
      <c r="Y881" s="1035"/>
      <c r="Z881" s="1036"/>
      <c r="AA881" s="1037"/>
      <c r="AB881" s="1038"/>
      <c r="AC881" s="1039"/>
      <c r="AD881" s="1040"/>
      <c r="AE881" s="1041"/>
      <c r="AF881" s="521"/>
      <c r="AG881" s="420"/>
      <c r="AH881" s="420"/>
      <c r="AI881" s="420"/>
      <c r="AJ881" s="420"/>
      <c r="AK881" s="518"/>
      <c r="AL881" s="1042"/>
      <c r="AM881" s="1035"/>
      <c r="AN881" s="1043"/>
      <c r="AO881" s="1167"/>
      <c r="AP881" s="1044"/>
      <c r="AQ881" s="1035"/>
      <c r="AR881" s="1035"/>
      <c r="AS881" s="1035"/>
      <c r="AT881" s="1165"/>
      <c r="AU881" s="1031"/>
      <c r="AV881" s="1045"/>
      <c r="AW881" s="1038"/>
      <c r="AX881" s="1035"/>
      <c r="AY881" s="483"/>
      <c r="AZ881" s="429"/>
      <c r="BA881" s="431"/>
      <c r="BB881" s="1035"/>
      <c r="BC881" s="1035"/>
      <c r="BD881" s="481"/>
      <c r="BE881" s="432"/>
      <c r="BF881" s="646"/>
      <c r="BG881" s="1047"/>
      <c r="BH881" s="1046"/>
      <c r="BI881" s="1048"/>
      <c r="BJ881" s="1030"/>
      <c r="BK881" s="1046"/>
      <c r="BL881" s="1048"/>
      <c r="BM881" s="1046"/>
      <c r="BN881" s="1167"/>
      <c r="BO881" s="1035"/>
      <c r="BP881" s="1043"/>
      <c r="BQ881" s="1167"/>
      <c r="BR881" s="1165"/>
      <c r="BS881" s="1031"/>
      <c r="BT881" s="1038"/>
      <c r="BU881" s="1035"/>
      <c r="BV881" s="1035"/>
      <c r="BW881" s="1049"/>
      <c r="BX881" s="1043"/>
      <c r="BY881" s="1046"/>
      <c r="BZ881" s="1167"/>
      <c r="CA881" s="1165"/>
      <c r="CB881" s="1031"/>
      <c r="CC881" s="1038"/>
      <c r="CD881" s="1035"/>
      <c r="CE881" s="1035"/>
      <c r="CF881" s="1049"/>
      <c r="CG881" s="1043"/>
      <c r="CH881" s="1046"/>
      <c r="CI881" s="1167"/>
      <c r="CJ881" s="1168"/>
      <c r="CK881" s="1169"/>
      <c r="CL881" s="1169"/>
      <c r="CM881" s="1166"/>
      <c r="CN881" s="1169"/>
      <c r="CO881" s="1169"/>
      <c r="CP881" s="452"/>
      <c r="CQ881" s="435"/>
      <c r="CR881" s="1117"/>
      <c r="CS881" s="452"/>
      <c r="CT881" s="482"/>
      <c r="CU881" s="476"/>
      <c r="CV881" s="431"/>
      <c r="CW881" s="1108"/>
      <c r="CX881" s="1108"/>
      <c r="CY881" s="483"/>
      <c r="CZ881" s="437"/>
      <c r="DA881" s="438"/>
      <c r="DB881" s="439"/>
      <c r="DC881" s="439"/>
      <c r="DD881" s="443"/>
      <c r="DE881" s="411"/>
      <c r="DF881" s="411"/>
      <c r="DG881" s="1117"/>
      <c r="DH881" s="1117"/>
      <c r="DI881" s="1117"/>
      <c r="DJ881" s="442"/>
      <c r="DK881" s="482"/>
      <c r="DL881" s="1038"/>
      <c r="DM881" s="1035"/>
      <c r="DN881" s="1035"/>
      <c r="DO881" s="1035"/>
      <c r="DP881" s="1046"/>
      <c r="DQ881" s="1167"/>
      <c r="DR881" s="1168"/>
      <c r="DS881" s="1165"/>
      <c r="DT881" s="1165"/>
      <c r="DU881" s="1165"/>
      <c r="DV881" s="1031"/>
      <c r="DW881" s="1098">
        <f t="shared" si="1176"/>
        <v>0</v>
      </c>
      <c r="DX881" s="1098">
        <f t="shared" si="1177"/>
        <v>0</v>
      </c>
      <c r="DY881" s="1030"/>
      <c r="DZ881" s="1030"/>
      <c r="EA881" s="1031"/>
      <c r="EB881" s="1050"/>
      <c r="EC881" s="1038"/>
      <c r="ED881" s="1035"/>
      <c r="EE881" s="1046"/>
      <c r="EF881" s="1169"/>
      <c r="EG881" s="1168"/>
      <c r="EH881" s="1165"/>
      <c r="EI881" s="1165"/>
      <c r="EJ881" s="1165"/>
      <c r="EK881" s="1031"/>
      <c r="EL881" s="1098">
        <f t="shared" si="1178"/>
        <v>0</v>
      </c>
      <c r="EM881" s="1098">
        <f t="shared" si="1179"/>
        <v>0</v>
      </c>
      <c r="EN881" s="1030"/>
      <c r="EO881" s="1030"/>
      <c r="EP881" s="1031"/>
      <c r="EQ881" s="1050"/>
      <c r="ER881" s="1038"/>
      <c r="ES881" s="1035"/>
      <c r="ET881" s="1051"/>
    </row>
    <row r="882" spans="2:150" ht="16.5" customHeight="1">
      <c r="B882" s="1024"/>
      <c r="C882" s="1025"/>
      <c r="D882" s="408">
        <v>879</v>
      </c>
      <c r="E882" s="1164"/>
      <c r="F882" s="1164"/>
      <c r="G882" s="1026"/>
      <c r="H882" s="411" t="str">
        <f>IFERROR(INDEX(绊状态确认!C:C,MATCH($G882,绊状态确认!$B:$B,)),"")</f>
        <v/>
      </c>
      <c r="I882" s="450" t="str">
        <f>IFERROR(INDEX(绊状态确认!D:D,MATCH($G882,绊状态确认!$B:$B,)),"")</f>
        <v/>
      </c>
      <c r="J882" s="450" t="str">
        <f>IFERROR(INDEX(绊状态确认!E:E,MATCH($G882,绊状态确认!$B:$B,)),"")</f>
        <v/>
      </c>
      <c r="K882" s="451" t="str">
        <f>IFERROR(INDEX(绊状态确认!F:F,MATCH($G882,绊状态确认!$B:$B,)),"")</f>
        <v/>
      </c>
      <c r="L882" s="1026"/>
      <c r="M882" s="1165"/>
      <c r="N882" s="1027"/>
      <c r="O882" s="1026"/>
      <c r="P882" s="1028"/>
      <c r="Q882" s="1029"/>
      <c r="R882" s="1166"/>
      <c r="S882" s="1030"/>
      <c r="T882" s="1031"/>
      <c r="U882" s="1032"/>
      <c r="V882" s="1033"/>
      <c r="W882" s="1034"/>
      <c r="X882" s="1166"/>
      <c r="Y882" s="1035"/>
      <c r="Z882" s="1036"/>
      <c r="AA882" s="1037"/>
      <c r="AB882" s="1038"/>
      <c r="AC882" s="1039"/>
      <c r="AD882" s="1040"/>
      <c r="AE882" s="1041"/>
      <c r="AF882" s="521"/>
      <c r="AG882" s="420"/>
      <c r="AH882" s="420"/>
      <c r="AI882" s="420"/>
      <c r="AJ882" s="420"/>
      <c r="AK882" s="518"/>
      <c r="AL882" s="1042"/>
      <c r="AM882" s="1035"/>
      <c r="AN882" s="1043"/>
      <c r="AO882" s="1167"/>
      <c r="AP882" s="1044"/>
      <c r="AQ882" s="1035"/>
      <c r="AR882" s="1035"/>
      <c r="AS882" s="1035"/>
      <c r="AT882" s="1165"/>
      <c r="AU882" s="1031"/>
      <c r="AV882" s="1045"/>
      <c r="AW882" s="1038"/>
      <c r="AX882" s="1035"/>
      <c r="AY882" s="483"/>
      <c r="AZ882" s="429"/>
      <c r="BA882" s="431"/>
      <c r="BB882" s="1035"/>
      <c r="BC882" s="1035"/>
      <c r="BD882" s="481"/>
      <c r="BE882" s="432"/>
      <c r="BF882" s="646"/>
      <c r="BG882" s="1047"/>
      <c r="BH882" s="1046"/>
      <c r="BI882" s="1048"/>
      <c r="BJ882" s="1030"/>
      <c r="BK882" s="1046"/>
      <c r="BL882" s="1048"/>
      <c r="BM882" s="1046"/>
      <c r="BN882" s="1167"/>
      <c r="BO882" s="1035"/>
      <c r="BP882" s="1043"/>
      <c r="BQ882" s="1167"/>
      <c r="BR882" s="1165"/>
      <c r="BS882" s="1031"/>
      <c r="BT882" s="1038"/>
      <c r="BU882" s="1035"/>
      <c r="BV882" s="1035"/>
      <c r="BW882" s="1049"/>
      <c r="BX882" s="1043"/>
      <c r="BY882" s="1046"/>
      <c r="BZ882" s="1167"/>
      <c r="CA882" s="1165"/>
      <c r="CB882" s="1031"/>
      <c r="CC882" s="1038"/>
      <c r="CD882" s="1035"/>
      <c r="CE882" s="1035"/>
      <c r="CF882" s="1049"/>
      <c r="CG882" s="1043"/>
      <c r="CH882" s="1046"/>
      <c r="CI882" s="1167"/>
      <c r="CJ882" s="1168"/>
      <c r="CK882" s="1169"/>
      <c r="CL882" s="1169"/>
      <c r="CM882" s="1166"/>
      <c r="CN882" s="1169"/>
      <c r="CO882" s="1169"/>
      <c r="CP882" s="452"/>
      <c r="CQ882" s="435"/>
      <c r="CR882" s="441"/>
      <c r="CS882" s="452"/>
      <c r="CT882" s="482"/>
      <c r="CU882" s="476"/>
      <c r="CV882" s="431"/>
      <c r="CW882" s="1108"/>
      <c r="CX882" s="1108"/>
      <c r="CY882" s="483"/>
      <c r="CZ882" s="437"/>
      <c r="DA882" s="438"/>
      <c r="DB882" s="439"/>
      <c r="DC882" s="439"/>
      <c r="DD882" s="443"/>
      <c r="DE882" s="411"/>
      <c r="DF882" s="411"/>
      <c r="DG882" s="1117"/>
      <c r="DH882" s="1117"/>
      <c r="DI882" s="1117"/>
      <c r="DJ882" s="442"/>
      <c r="DK882" s="482"/>
      <c r="DL882" s="1038"/>
      <c r="DM882" s="1035"/>
      <c r="DN882" s="1035"/>
      <c r="DO882" s="1035"/>
      <c r="DP882" s="1046"/>
      <c r="DQ882" s="1167"/>
      <c r="DR882" s="1168"/>
      <c r="DS882" s="1165"/>
      <c r="DT882" s="1165"/>
      <c r="DU882" s="1165"/>
      <c r="DV882" s="1031"/>
      <c r="DW882" s="1098">
        <f t="shared" si="1176"/>
        <v>0</v>
      </c>
      <c r="DX882" s="1098">
        <f t="shared" si="1177"/>
        <v>0</v>
      </c>
      <c r="DY882" s="1030"/>
      <c r="DZ882" s="1030"/>
      <c r="EA882" s="1031"/>
      <c r="EB882" s="1050"/>
      <c r="EC882" s="1038"/>
      <c r="ED882" s="1035"/>
      <c r="EE882" s="1046"/>
      <c r="EF882" s="1169"/>
      <c r="EG882" s="1168"/>
      <c r="EH882" s="1165"/>
      <c r="EI882" s="1165"/>
      <c r="EJ882" s="1165"/>
      <c r="EK882" s="1031"/>
      <c r="EL882" s="1098">
        <f t="shared" si="1178"/>
        <v>0</v>
      </c>
      <c r="EM882" s="1098">
        <f t="shared" si="1179"/>
        <v>0</v>
      </c>
      <c r="EN882" s="1030"/>
      <c r="EO882" s="1030"/>
      <c r="EP882" s="1031"/>
      <c r="EQ882" s="1050"/>
      <c r="ER882" s="1038"/>
      <c r="ES882" s="1035"/>
      <c r="ET882" s="1051"/>
    </row>
    <row r="883" spans="2:150" ht="16.5" customHeight="1">
      <c r="B883" s="1024"/>
      <c r="C883" s="1025"/>
      <c r="D883" s="408">
        <v>880</v>
      </c>
      <c r="E883" s="1164"/>
      <c r="F883" s="1164"/>
      <c r="G883" s="1026"/>
      <c r="H883" s="411" t="str">
        <f>IFERROR(INDEX(绊状态确认!C:C,MATCH($G883,绊状态确认!$B:$B,)),"")</f>
        <v/>
      </c>
      <c r="I883" s="450" t="str">
        <f>IFERROR(INDEX(绊状态确认!D:D,MATCH($G883,绊状态确认!$B:$B,)),"")</f>
        <v/>
      </c>
      <c r="J883" s="450" t="str">
        <f>IFERROR(INDEX(绊状态确认!E:E,MATCH($G883,绊状态确认!$B:$B,)),"")</f>
        <v/>
      </c>
      <c r="K883" s="451" t="str">
        <f>IFERROR(INDEX(绊状态确认!F:F,MATCH($G883,绊状态确认!$B:$B,)),"")</f>
        <v/>
      </c>
      <c r="L883" s="1026"/>
      <c r="M883" s="1165"/>
      <c r="N883" s="1027"/>
      <c r="O883" s="1026"/>
      <c r="P883" s="1028"/>
      <c r="Q883" s="1029"/>
      <c r="R883" s="1166"/>
      <c r="S883" s="1030"/>
      <c r="T883" s="1031"/>
      <c r="U883" s="1032"/>
      <c r="V883" s="1033"/>
      <c r="W883" s="1034"/>
      <c r="X883" s="1166"/>
      <c r="Y883" s="1035"/>
      <c r="Z883" s="1036"/>
      <c r="AA883" s="1037"/>
      <c r="AB883" s="1038"/>
      <c r="AC883" s="1039"/>
      <c r="AD883" s="1040"/>
      <c r="AE883" s="1041"/>
      <c r="AF883" s="521"/>
      <c r="AG883" s="420"/>
      <c r="AH883" s="420"/>
      <c r="AI883" s="420"/>
      <c r="AJ883" s="420"/>
      <c r="AK883" s="518"/>
      <c r="AL883" s="1042"/>
      <c r="AM883" s="1035"/>
      <c r="AN883" s="1043"/>
      <c r="AO883" s="1167"/>
      <c r="AP883" s="1044"/>
      <c r="AQ883" s="1035"/>
      <c r="AR883" s="1035"/>
      <c r="AS883" s="1035"/>
      <c r="AT883" s="1165"/>
      <c r="AU883" s="1031"/>
      <c r="AV883" s="1045"/>
      <c r="AW883" s="1038"/>
      <c r="AX883" s="1035"/>
      <c r="AY883" s="483"/>
      <c r="AZ883" s="429"/>
      <c r="BA883" s="431"/>
      <c r="BB883" s="1035"/>
      <c r="BC883" s="1035"/>
      <c r="BD883" s="481"/>
      <c r="BE883" s="432"/>
      <c r="BF883" s="646"/>
      <c r="BG883" s="1047"/>
      <c r="BH883" s="1046"/>
      <c r="BI883" s="1048"/>
      <c r="BJ883" s="1030"/>
      <c r="BK883" s="1046"/>
      <c r="BL883" s="1048"/>
      <c r="BM883" s="1046"/>
      <c r="BN883" s="1167"/>
      <c r="BO883" s="1035"/>
      <c r="BP883" s="1043"/>
      <c r="BQ883" s="1167"/>
      <c r="BR883" s="1165"/>
      <c r="BS883" s="1031"/>
      <c r="BT883" s="1038"/>
      <c r="BU883" s="1035"/>
      <c r="BV883" s="1035"/>
      <c r="BW883" s="1049"/>
      <c r="BX883" s="1043"/>
      <c r="BY883" s="1046"/>
      <c r="BZ883" s="1167"/>
      <c r="CA883" s="1165"/>
      <c r="CB883" s="1031"/>
      <c r="CC883" s="1038"/>
      <c r="CD883" s="1035"/>
      <c r="CE883" s="1035"/>
      <c r="CF883" s="1049"/>
      <c r="CG883" s="1043"/>
      <c r="CH883" s="1046"/>
      <c r="CI883" s="1167"/>
      <c r="CJ883" s="1168"/>
      <c r="CK883" s="1169"/>
      <c r="CL883" s="1169"/>
      <c r="CM883" s="1166"/>
      <c r="CN883" s="1169"/>
      <c r="CO883" s="1169"/>
      <c r="CP883" s="452"/>
      <c r="CQ883" s="435"/>
      <c r="CR883" s="1117"/>
      <c r="CS883" s="452"/>
      <c r="CT883" s="482"/>
      <c r="CU883" s="476"/>
      <c r="CV883" s="431"/>
      <c r="CW883" s="1108"/>
      <c r="CX883" s="1108"/>
      <c r="CY883" s="483"/>
      <c r="CZ883" s="437"/>
      <c r="DA883" s="438"/>
      <c r="DB883" s="439"/>
      <c r="DC883" s="439"/>
      <c r="DD883" s="443"/>
      <c r="DE883" s="411"/>
      <c r="DF883" s="411"/>
      <c r="DG883" s="1117"/>
      <c r="DH883" s="1117"/>
      <c r="DI883" s="1117"/>
      <c r="DJ883" s="442"/>
      <c r="DK883" s="482"/>
      <c r="DL883" s="1038"/>
      <c r="DM883" s="1035"/>
      <c r="DN883" s="1035"/>
      <c r="DO883" s="1035"/>
      <c r="DP883" s="1046"/>
      <c r="DQ883" s="1167"/>
      <c r="DR883" s="1168"/>
      <c r="DS883" s="1165"/>
      <c r="DT883" s="1165"/>
      <c r="DU883" s="1165"/>
      <c r="DV883" s="1031"/>
      <c r="DW883" s="1098">
        <f t="shared" si="1176"/>
        <v>0</v>
      </c>
      <c r="DX883" s="1098">
        <f t="shared" si="1177"/>
        <v>0</v>
      </c>
      <c r="DY883" s="1030"/>
      <c r="DZ883" s="1030"/>
      <c r="EA883" s="1031"/>
      <c r="EB883" s="1050"/>
      <c r="EC883" s="1038"/>
      <c r="ED883" s="1035"/>
      <c r="EE883" s="1046"/>
      <c r="EF883" s="1169"/>
      <c r="EG883" s="1168"/>
      <c r="EH883" s="1165"/>
      <c r="EI883" s="1165"/>
      <c r="EJ883" s="1165"/>
      <c r="EK883" s="1031"/>
      <c r="EL883" s="1098">
        <f t="shared" si="1178"/>
        <v>0</v>
      </c>
      <c r="EM883" s="1098">
        <f t="shared" si="1179"/>
        <v>0</v>
      </c>
      <c r="EN883" s="1030"/>
      <c r="EO883" s="1030"/>
      <c r="EP883" s="1031"/>
      <c r="EQ883" s="1050"/>
      <c r="ER883" s="1038"/>
      <c r="ES883" s="1035"/>
      <c r="ET883" s="1051"/>
    </row>
    <row r="884" spans="2:150" ht="16.5" customHeight="1">
      <c r="B884" s="1024"/>
      <c r="C884" s="1025"/>
      <c r="D884" s="408">
        <v>881</v>
      </c>
      <c r="E884" s="1164"/>
      <c r="F884" s="1164"/>
      <c r="G884" s="1026"/>
      <c r="H884" s="411" t="str">
        <f>IFERROR(INDEX(绊状态确认!C:C,MATCH($G884,绊状态确认!$B:$B,)),"")</f>
        <v/>
      </c>
      <c r="I884" s="450" t="str">
        <f>IFERROR(INDEX(绊状态确认!D:D,MATCH($G884,绊状态确认!$B:$B,)),"")</f>
        <v/>
      </c>
      <c r="J884" s="450" t="str">
        <f>IFERROR(INDEX(绊状态确认!E:E,MATCH($G884,绊状态确认!$B:$B,)),"")</f>
        <v/>
      </c>
      <c r="K884" s="451" t="str">
        <f>IFERROR(INDEX(绊状态确认!F:F,MATCH($G884,绊状态确认!$B:$B,)),"")</f>
        <v/>
      </c>
      <c r="L884" s="1026"/>
      <c r="M884" s="1165"/>
      <c r="N884" s="1027"/>
      <c r="O884" s="1026"/>
      <c r="P884" s="1028"/>
      <c r="Q884" s="1029"/>
      <c r="R884" s="1166"/>
      <c r="S884" s="1030"/>
      <c r="T884" s="1031"/>
      <c r="U884" s="1032"/>
      <c r="V884" s="1033"/>
      <c r="W884" s="1034"/>
      <c r="X884" s="1166"/>
      <c r="Y884" s="1035"/>
      <c r="Z884" s="1036"/>
      <c r="AA884" s="1037"/>
      <c r="AB884" s="1038"/>
      <c r="AC884" s="1039"/>
      <c r="AD884" s="1040"/>
      <c r="AE884" s="1041"/>
      <c r="AF884" s="521"/>
      <c r="AG884" s="420"/>
      <c r="AH884" s="420"/>
      <c r="AI884" s="420"/>
      <c r="AJ884" s="420"/>
      <c r="AK884" s="518"/>
      <c r="AL884" s="1042"/>
      <c r="AM884" s="1035"/>
      <c r="AN884" s="1043"/>
      <c r="AO884" s="1167"/>
      <c r="AP884" s="1044"/>
      <c r="AQ884" s="1035"/>
      <c r="AR884" s="1035"/>
      <c r="AS884" s="1035"/>
      <c r="AT884" s="1165"/>
      <c r="AU884" s="1031"/>
      <c r="AV884" s="1045"/>
      <c r="AW884" s="1038"/>
      <c r="AX884" s="1035"/>
      <c r="AY884" s="483"/>
      <c r="AZ884" s="429"/>
      <c r="BA884" s="431"/>
      <c r="BB884" s="1035"/>
      <c r="BC884" s="1035"/>
      <c r="BD884" s="481"/>
      <c r="BE884" s="432"/>
      <c r="BF884" s="646"/>
      <c r="BG884" s="1047"/>
      <c r="BH884" s="1046"/>
      <c r="BI884" s="1048"/>
      <c r="BJ884" s="1030"/>
      <c r="BK884" s="1046"/>
      <c r="BL884" s="1048"/>
      <c r="BM884" s="1046"/>
      <c r="BN884" s="1167"/>
      <c r="BO884" s="1035"/>
      <c r="BP884" s="1043"/>
      <c r="BQ884" s="1167"/>
      <c r="BR884" s="1165"/>
      <c r="BS884" s="1031"/>
      <c r="BT884" s="1038"/>
      <c r="BU884" s="1035"/>
      <c r="BV884" s="1035"/>
      <c r="BW884" s="1049"/>
      <c r="BX884" s="1043"/>
      <c r="BY884" s="1046"/>
      <c r="BZ884" s="1167"/>
      <c r="CA884" s="1165"/>
      <c r="CB884" s="1031"/>
      <c r="CC884" s="1038"/>
      <c r="CD884" s="1035"/>
      <c r="CE884" s="1035"/>
      <c r="CF884" s="1049"/>
      <c r="CG884" s="1043"/>
      <c r="CH884" s="1046"/>
      <c r="CI884" s="1167"/>
      <c r="CJ884" s="1168"/>
      <c r="CK884" s="1169"/>
      <c r="CL884" s="1169"/>
      <c r="CM884" s="1166"/>
      <c r="CN884" s="1169"/>
      <c r="CO884" s="1169"/>
      <c r="CP884" s="452"/>
      <c r="CQ884" s="435"/>
      <c r="CR884" s="1117"/>
      <c r="CS884" s="452"/>
      <c r="CT884" s="482"/>
      <c r="CU884" s="476"/>
      <c r="CV884" s="431"/>
      <c r="CW884" s="1108"/>
      <c r="CX884" s="1108"/>
      <c r="CY884" s="483"/>
      <c r="CZ884" s="437"/>
      <c r="DA884" s="438"/>
      <c r="DB884" s="439"/>
      <c r="DC884" s="439"/>
      <c r="DD884" s="443"/>
      <c r="DE884" s="411"/>
      <c r="DF884" s="411"/>
      <c r="DG884" s="1117"/>
      <c r="DH884" s="1117"/>
      <c r="DI884" s="1117"/>
      <c r="DJ884" s="442"/>
      <c r="DK884" s="482"/>
      <c r="DL884" s="1038"/>
      <c r="DM884" s="1035"/>
      <c r="DN884" s="1035"/>
      <c r="DO884" s="1035"/>
      <c r="DP884" s="1046"/>
      <c r="DQ884" s="1167"/>
      <c r="DR884" s="1168"/>
      <c r="DS884" s="1165"/>
      <c r="DT884" s="1165"/>
      <c r="DU884" s="1165"/>
      <c r="DV884" s="1031"/>
      <c r="DW884" s="1098">
        <f t="shared" si="1176"/>
        <v>0</v>
      </c>
      <c r="DX884" s="1098">
        <f t="shared" si="1177"/>
        <v>0</v>
      </c>
      <c r="DY884" s="1030"/>
      <c r="DZ884" s="1030"/>
      <c r="EA884" s="1031"/>
      <c r="EB884" s="1050"/>
      <c r="EC884" s="1038"/>
      <c r="ED884" s="1035"/>
      <c r="EE884" s="1046"/>
      <c r="EF884" s="1169"/>
      <c r="EG884" s="1168"/>
      <c r="EH884" s="1165"/>
      <c r="EI884" s="1165"/>
      <c r="EJ884" s="1165"/>
      <c r="EK884" s="1031"/>
      <c r="EL884" s="1098">
        <f t="shared" si="1178"/>
        <v>0</v>
      </c>
      <c r="EM884" s="1098">
        <f t="shared" si="1179"/>
        <v>0</v>
      </c>
      <c r="EN884" s="1030"/>
      <c r="EO884" s="1030"/>
      <c r="EP884" s="1031"/>
      <c r="EQ884" s="1050"/>
      <c r="ER884" s="1038"/>
      <c r="ES884" s="1035"/>
      <c r="ET884" s="1051"/>
    </row>
    <row r="885" spans="2:150" ht="16.5" customHeight="1">
      <c r="B885" s="1024"/>
      <c r="C885" s="1025"/>
      <c r="D885" s="408">
        <v>882</v>
      </c>
      <c r="E885" s="1164"/>
      <c r="F885" s="1164"/>
      <c r="G885" s="1026"/>
      <c r="H885" s="411" t="str">
        <f>IFERROR(INDEX(绊状态确认!C:C,MATCH($G885,绊状态确认!$B:$B,)),"")</f>
        <v/>
      </c>
      <c r="I885" s="450" t="str">
        <f>IFERROR(INDEX(绊状态确认!D:D,MATCH($G885,绊状态确认!$B:$B,)),"")</f>
        <v/>
      </c>
      <c r="J885" s="450" t="str">
        <f>IFERROR(INDEX(绊状态确认!E:E,MATCH($G885,绊状态确认!$B:$B,)),"")</f>
        <v/>
      </c>
      <c r="K885" s="451" t="str">
        <f>IFERROR(INDEX(绊状态确认!F:F,MATCH($G885,绊状态确认!$B:$B,)),"")</f>
        <v/>
      </c>
      <c r="L885" s="1026"/>
      <c r="M885" s="1165"/>
      <c r="N885" s="1027"/>
      <c r="O885" s="1026"/>
      <c r="P885" s="1028"/>
      <c r="Q885" s="1029"/>
      <c r="R885" s="1166"/>
      <c r="S885" s="1030"/>
      <c r="T885" s="1031"/>
      <c r="U885" s="1032"/>
      <c r="V885" s="1033"/>
      <c r="W885" s="1034"/>
      <c r="X885" s="1166"/>
      <c r="Y885" s="1035"/>
      <c r="Z885" s="1036"/>
      <c r="AA885" s="1037"/>
      <c r="AB885" s="1038"/>
      <c r="AC885" s="1039"/>
      <c r="AD885" s="1040"/>
      <c r="AE885" s="1041"/>
      <c r="AF885" s="521"/>
      <c r="AG885" s="420"/>
      <c r="AH885" s="420"/>
      <c r="AI885" s="420"/>
      <c r="AJ885" s="420"/>
      <c r="AK885" s="518"/>
      <c r="AL885" s="1042"/>
      <c r="AM885" s="1035"/>
      <c r="AN885" s="1043"/>
      <c r="AO885" s="1167"/>
      <c r="AP885" s="1044"/>
      <c r="AQ885" s="1035"/>
      <c r="AR885" s="1035"/>
      <c r="AS885" s="1035"/>
      <c r="AT885" s="1165"/>
      <c r="AU885" s="1031"/>
      <c r="AV885" s="1045"/>
      <c r="AW885" s="1038"/>
      <c r="AX885" s="1035"/>
      <c r="AY885" s="483"/>
      <c r="AZ885" s="429"/>
      <c r="BA885" s="431"/>
      <c r="BB885" s="1035"/>
      <c r="BC885" s="1035"/>
      <c r="BD885" s="481"/>
      <c r="BE885" s="432"/>
      <c r="BF885" s="646"/>
      <c r="BG885" s="1047"/>
      <c r="BH885" s="1046"/>
      <c r="BI885" s="1048"/>
      <c r="BJ885" s="1030"/>
      <c r="BK885" s="1046"/>
      <c r="BL885" s="1048"/>
      <c r="BM885" s="1046"/>
      <c r="BN885" s="1167"/>
      <c r="BO885" s="1035"/>
      <c r="BP885" s="1043"/>
      <c r="BQ885" s="1167"/>
      <c r="BR885" s="1165"/>
      <c r="BS885" s="1031"/>
      <c r="BT885" s="1038"/>
      <c r="BU885" s="1035"/>
      <c r="BV885" s="1035"/>
      <c r="BW885" s="1049"/>
      <c r="BX885" s="1043"/>
      <c r="BY885" s="1046"/>
      <c r="BZ885" s="1167"/>
      <c r="CA885" s="1165"/>
      <c r="CB885" s="1031"/>
      <c r="CC885" s="1038"/>
      <c r="CD885" s="1035"/>
      <c r="CE885" s="1035"/>
      <c r="CF885" s="1049"/>
      <c r="CG885" s="1043"/>
      <c r="CH885" s="1046"/>
      <c r="CI885" s="1167"/>
      <c r="CJ885" s="1168"/>
      <c r="CK885" s="1169"/>
      <c r="CL885" s="1169"/>
      <c r="CM885" s="1166"/>
      <c r="CN885" s="1169"/>
      <c r="CO885" s="1169"/>
      <c r="CP885" s="452"/>
      <c r="CQ885" s="435"/>
      <c r="CR885" s="1117"/>
      <c r="CS885" s="452"/>
      <c r="CT885" s="482"/>
      <c r="CU885" s="476"/>
      <c r="CV885" s="431"/>
      <c r="CW885" s="1108"/>
      <c r="CX885" s="1108"/>
      <c r="CY885" s="483"/>
      <c r="CZ885" s="437"/>
      <c r="DA885" s="438"/>
      <c r="DB885" s="439"/>
      <c r="DC885" s="439"/>
      <c r="DD885" s="443"/>
      <c r="DE885" s="411"/>
      <c r="DF885" s="411"/>
      <c r="DG885" s="1117"/>
      <c r="DH885" s="1117"/>
      <c r="DI885" s="1117"/>
      <c r="DJ885" s="442"/>
      <c r="DK885" s="482"/>
      <c r="DL885" s="1038"/>
      <c r="DM885" s="1035"/>
      <c r="DN885" s="1035"/>
      <c r="DO885" s="1035"/>
      <c r="DP885" s="1046"/>
      <c r="DQ885" s="1167"/>
      <c r="DR885" s="1168"/>
      <c r="DS885" s="1165"/>
      <c r="DT885" s="1165"/>
      <c r="DU885" s="1165"/>
      <c r="DV885" s="1031"/>
      <c r="DW885" s="1098">
        <f t="shared" si="1176"/>
        <v>0</v>
      </c>
      <c r="DX885" s="1098">
        <f t="shared" si="1177"/>
        <v>0</v>
      </c>
      <c r="DY885" s="1030"/>
      <c r="DZ885" s="1030"/>
      <c r="EA885" s="1031"/>
      <c r="EB885" s="1050"/>
      <c r="EC885" s="1038"/>
      <c r="ED885" s="1035"/>
      <c r="EE885" s="1046"/>
      <c r="EF885" s="1169"/>
      <c r="EG885" s="1168"/>
      <c r="EH885" s="1165"/>
      <c r="EI885" s="1165"/>
      <c r="EJ885" s="1165"/>
      <c r="EK885" s="1031"/>
      <c r="EL885" s="1098">
        <f t="shared" si="1178"/>
        <v>0</v>
      </c>
      <c r="EM885" s="1098">
        <f t="shared" si="1179"/>
        <v>0</v>
      </c>
      <c r="EN885" s="1030"/>
      <c r="EO885" s="1030"/>
      <c r="EP885" s="1031"/>
      <c r="EQ885" s="1050"/>
      <c r="ER885" s="1038"/>
      <c r="ES885" s="1035"/>
      <c r="ET885" s="1051"/>
    </row>
    <row r="886" spans="2:150" ht="16.5" customHeight="1">
      <c r="B886" s="1024"/>
      <c r="C886" s="1025"/>
      <c r="D886" s="408">
        <v>883</v>
      </c>
      <c r="E886" s="1164"/>
      <c r="F886" s="1164"/>
      <c r="G886" s="1026"/>
      <c r="H886" s="411" t="str">
        <f>IFERROR(INDEX(绊状态确认!C:C,MATCH($G886,绊状态确认!$B:$B,)),"")</f>
        <v/>
      </c>
      <c r="I886" s="450" t="str">
        <f>IFERROR(INDEX(绊状态确认!D:D,MATCH($G886,绊状态确认!$B:$B,)),"")</f>
        <v/>
      </c>
      <c r="J886" s="450" t="str">
        <f>IFERROR(INDEX(绊状态确认!E:E,MATCH($G886,绊状态确认!$B:$B,)),"")</f>
        <v/>
      </c>
      <c r="K886" s="451" t="str">
        <f>IFERROR(INDEX(绊状态确认!F:F,MATCH($G886,绊状态确认!$B:$B,)),"")</f>
        <v/>
      </c>
      <c r="L886" s="1026"/>
      <c r="M886" s="1165"/>
      <c r="N886" s="1027"/>
      <c r="O886" s="1026"/>
      <c r="P886" s="1028"/>
      <c r="Q886" s="1029"/>
      <c r="R886" s="1166"/>
      <c r="S886" s="1030"/>
      <c r="T886" s="1031"/>
      <c r="U886" s="1032"/>
      <c r="V886" s="1033"/>
      <c r="W886" s="1034"/>
      <c r="X886" s="1166"/>
      <c r="Y886" s="1035"/>
      <c r="Z886" s="1036"/>
      <c r="AA886" s="1037"/>
      <c r="AB886" s="1038"/>
      <c r="AC886" s="1039"/>
      <c r="AD886" s="1040"/>
      <c r="AE886" s="1041"/>
      <c r="AF886" s="521"/>
      <c r="AG886" s="420"/>
      <c r="AH886" s="420"/>
      <c r="AI886" s="420"/>
      <c r="AJ886" s="420"/>
      <c r="AK886" s="518"/>
      <c r="AL886" s="1042"/>
      <c r="AM886" s="1035"/>
      <c r="AN886" s="1043"/>
      <c r="AO886" s="1167"/>
      <c r="AP886" s="1044"/>
      <c r="AQ886" s="1035"/>
      <c r="AR886" s="1035"/>
      <c r="AS886" s="1035"/>
      <c r="AT886" s="1165"/>
      <c r="AU886" s="1031"/>
      <c r="AV886" s="1045"/>
      <c r="AW886" s="1038"/>
      <c r="AX886" s="1035"/>
      <c r="AY886" s="483"/>
      <c r="AZ886" s="429"/>
      <c r="BA886" s="431"/>
      <c r="BB886" s="1035"/>
      <c r="BC886" s="1035"/>
      <c r="BD886" s="481"/>
      <c r="BE886" s="432"/>
      <c r="BF886" s="646"/>
      <c r="BG886" s="1047"/>
      <c r="BH886" s="1046"/>
      <c r="BI886" s="1048"/>
      <c r="BJ886" s="1030"/>
      <c r="BK886" s="1046"/>
      <c r="BL886" s="1048"/>
      <c r="BM886" s="1046"/>
      <c r="BN886" s="1167"/>
      <c r="BO886" s="1035"/>
      <c r="BP886" s="1043"/>
      <c r="BQ886" s="1167"/>
      <c r="BR886" s="1165"/>
      <c r="BS886" s="1031"/>
      <c r="BT886" s="1038"/>
      <c r="BU886" s="1035"/>
      <c r="BV886" s="1035"/>
      <c r="BW886" s="1049"/>
      <c r="BX886" s="1043"/>
      <c r="BY886" s="1046"/>
      <c r="BZ886" s="1167"/>
      <c r="CA886" s="1165"/>
      <c r="CB886" s="1031"/>
      <c r="CC886" s="1038"/>
      <c r="CD886" s="1035"/>
      <c r="CE886" s="1035"/>
      <c r="CF886" s="1049"/>
      <c r="CG886" s="1043"/>
      <c r="CH886" s="1046"/>
      <c r="CI886" s="1167"/>
      <c r="CJ886" s="1168"/>
      <c r="CK886" s="1169"/>
      <c r="CL886" s="1169"/>
      <c r="CM886" s="1166"/>
      <c r="CN886" s="1169"/>
      <c r="CO886" s="1169"/>
      <c r="CP886" s="452"/>
      <c r="CQ886" s="435"/>
      <c r="CR886" s="1117"/>
      <c r="CS886" s="452"/>
      <c r="CT886" s="482"/>
      <c r="CU886" s="476"/>
      <c r="CV886" s="431"/>
      <c r="CW886" s="1108"/>
      <c r="CX886" s="1108"/>
      <c r="CY886" s="483"/>
      <c r="CZ886" s="437"/>
      <c r="DA886" s="438"/>
      <c r="DB886" s="439"/>
      <c r="DC886" s="439"/>
      <c r="DD886" s="443"/>
      <c r="DE886" s="411"/>
      <c r="DF886" s="411"/>
      <c r="DG886" s="1117"/>
      <c r="DH886" s="1117"/>
      <c r="DI886" s="1117"/>
      <c r="DJ886" s="442"/>
      <c r="DK886" s="482"/>
      <c r="DL886" s="1038"/>
      <c r="DM886" s="1035"/>
      <c r="DN886" s="1035"/>
      <c r="DO886" s="1035"/>
      <c r="DP886" s="1046"/>
      <c r="DQ886" s="1167"/>
      <c r="DR886" s="1168"/>
      <c r="DS886" s="1165"/>
      <c r="DT886" s="1165"/>
      <c r="DU886" s="1165"/>
      <c r="DV886" s="1031"/>
      <c r="DW886" s="1098">
        <f t="shared" si="1176"/>
        <v>0</v>
      </c>
      <c r="DX886" s="1098">
        <f t="shared" si="1177"/>
        <v>0</v>
      </c>
      <c r="DY886" s="1030"/>
      <c r="DZ886" s="1030"/>
      <c r="EA886" s="1031"/>
      <c r="EB886" s="1050"/>
      <c r="EC886" s="1038"/>
      <c r="ED886" s="1035"/>
      <c r="EE886" s="1046"/>
      <c r="EF886" s="1169"/>
      <c r="EG886" s="1168"/>
      <c r="EH886" s="1165"/>
      <c r="EI886" s="1165"/>
      <c r="EJ886" s="1165"/>
      <c r="EK886" s="1031"/>
      <c r="EL886" s="1098">
        <f t="shared" si="1178"/>
        <v>0</v>
      </c>
      <c r="EM886" s="1098">
        <f t="shared" si="1179"/>
        <v>0</v>
      </c>
      <c r="EN886" s="1030"/>
      <c r="EO886" s="1030"/>
      <c r="EP886" s="1031"/>
      <c r="EQ886" s="1050"/>
      <c r="ER886" s="1038"/>
      <c r="ES886" s="1035"/>
      <c r="ET886" s="1051"/>
    </row>
    <row r="887" spans="2:150" ht="16.5" customHeight="1">
      <c r="B887" s="1024"/>
      <c r="C887" s="1025"/>
      <c r="D887" s="408">
        <v>884</v>
      </c>
      <c r="E887" s="1164"/>
      <c r="F887" s="1164"/>
      <c r="G887" s="1026"/>
      <c r="H887" s="411" t="str">
        <f>IFERROR(INDEX(绊状态确认!C:C,MATCH($G887,绊状态确认!$B:$B,)),"")</f>
        <v/>
      </c>
      <c r="I887" s="450" t="str">
        <f>IFERROR(INDEX(绊状态确认!D:D,MATCH($G887,绊状态确认!$B:$B,)),"")</f>
        <v/>
      </c>
      <c r="J887" s="450" t="str">
        <f>IFERROR(INDEX(绊状态确认!E:E,MATCH($G887,绊状态确认!$B:$B,)),"")</f>
        <v/>
      </c>
      <c r="K887" s="451" t="str">
        <f>IFERROR(INDEX(绊状态确认!F:F,MATCH($G887,绊状态确认!$B:$B,)),"")</f>
        <v/>
      </c>
      <c r="L887" s="1026"/>
      <c r="M887" s="1165"/>
      <c r="N887" s="1027"/>
      <c r="O887" s="1026"/>
      <c r="P887" s="1028"/>
      <c r="Q887" s="1029"/>
      <c r="R887" s="1166"/>
      <c r="S887" s="1030"/>
      <c r="T887" s="1031"/>
      <c r="U887" s="1032"/>
      <c r="V887" s="1033"/>
      <c r="W887" s="1034"/>
      <c r="X887" s="1166"/>
      <c r="Y887" s="1035"/>
      <c r="Z887" s="1036"/>
      <c r="AA887" s="1037"/>
      <c r="AB887" s="1038"/>
      <c r="AC887" s="1039"/>
      <c r="AD887" s="1040"/>
      <c r="AE887" s="1041"/>
      <c r="AF887" s="521"/>
      <c r="AG887" s="420"/>
      <c r="AH887" s="420"/>
      <c r="AI887" s="420"/>
      <c r="AJ887" s="420"/>
      <c r="AK887" s="518"/>
      <c r="AL887" s="1042"/>
      <c r="AM887" s="1035"/>
      <c r="AN887" s="1043"/>
      <c r="AO887" s="1167"/>
      <c r="AP887" s="1044"/>
      <c r="AQ887" s="1035"/>
      <c r="AR887" s="1035"/>
      <c r="AS887" s="1035"/>
      <c r="AT887" s="1165"/>
      <c r="AU887" s="1031"/>
      <c r="AV887" s="1045"/>
      <c r="AW887" s="1038"/>
      <c r="AX887" s="1035"/>
      <c r="AY887" s="483"/>
      <c r="AZ887" s="429"/>
      <c r="BA887" s="431"/>
      <c r="BB887" s="1035"/>
      <c r="BC887" s="1035"/>
      <c r="BD887" s="481"/>
      <c r="BE887" s="432"/>
      <c r="BF887" s="646"/>
      <c r="BG887" s="1047"/>
      <c r="BH887" s="1046"/>
      <c r="BI887" s="1048"/>
      <c r="BJ887" s="1030"/>
      <c r="BK887" s="1046"/>
      <c r="BL887" s="1048"/>
      <c r="BM887" s="1046"/>
      <c r="BN887" s="1167"/>
      <c r="BO887" s="1035"/>
      <c r="BP887" s="1043"/>
      <c r="BQ887" s="1167"/>
      <c r="BR887" s="1165"/>
      <c r="BS887" s="1031"/>
      <c r="BT887" s="1038"/>
      <c r="BU887" s="1035"/>
      <c r="BV887" s="1035"/>
      <c r="BW887" s="1049"/>
      <c r="BX887" s="1043"/>
      <c r="BY887" s="1046"/>
      <c r="BZ887" s="1167"/>
      <c r="CA887" s="1165"/>
      <c r="CB887" s="1031"/>
      <c r="CC887" s="1038"/>
      <c r="CD887" s="1035"/>
      <c r="CE887" s="1035"/>
      <c r="CF887" s="1049"/>
      <c r="CG887" s="1043"/>
      <c r="CH887" s="1046"/>
      <c r="CI887" s="1167"/>
      <c r="CJ887" s="1168"/>
      <c r="CK887" s="1169"/>
      <c r="CL887" s="1169"/>
      <c r="CM887" s="1166"/>
      <c r="CN887" s="1169"/>
      <c r="CO887" s="1169"/>
      <c r="CP887" s="452"/>
      <c r="CQ887" s="435"/>
      <c r="CR887" s="441"/>
      <c r="CS887" s="452"/>
      <c r="CT887" s="482"/>
      <c r="CU887" s="476"/>
      <c r="CV887" s="431"/>
      <c r="CW887" s="1108"/>
      <c r="CX887" s="1108"/>
      <c r="CY887" s="483"/>
      <c r="CZ887" s="437"/>
      <c r="DA887" s="438"/>
      <c r="DB887" s="439"/>
      <c r="DC887" s="439"/>
      <c r="DD887" s="443"/>
      <c r="DE887" s="411"/>
      <c r="DF887" s="411"/>
      <c r="DG887" s="1117"/>
      <c r="DH887" s="1117"/>
      <c r="DI887" s="1117"/>
      <c r="DJ887" s="442"/>
      <c r="DK887" s="482"/>
      <c r="DL887" s="1038"/>
      <c r="DM887" s="1035"/>
      <c r="DN887" s="1035"/>
      <c r="DO887" s="1035"/>
      <c r="DP887" s="1046"/>
      <c r="DQ887" s="1167"/>
      <c r="DR887" s="1168"/>
      <c r="DS887" s="1165"/>
      <c r="DT887" s="1165"/>
      <c r="DU887" s="1165"/>
      <c r="DV887" s="1031"/>
      <c r="DW887" s="1098">
        <f t="shared" si="1176"/>
        <v>0</v>
      </c>
      <c r="DX887" s="1098">
        <f t="shared" si="1177"/>
        <v>0</v>
      </c>
      <c r="DY887" s="1030"/>
      <c r="DZ887" s="1030"/>
      <c r="EA887" s="1031"/>
      <c r="EB887" s="1050"/>
      <c r="EC887" s="1038"/>
      <c r="ED887" s="1035"/>
      <c r="EE887" s="1046"/>
      <c r="EF887" s="1169"/>
      <c r="EG887" s="1168"/>
      <c r="EH887" s="1165"/>
      <c r="EI887" s="1165"/>
      <c r="EJ887" s="1165"/>
      <c r="EK887" s="1031"/>
      <c r="EL887" s="1098">
        <f t="shared" si="1178"/>
        <v>0</v>
      </c>
      <c r="EM887" s="1098">
        <f t="shared" si="1179"/>
        <v>0</v>
      </c>
      <c r="EN887" s="1030"/>
      <c r="EO887" s="1030"/>
      <c r="EP887" s="1031"/>
      <c r="EQ887" s="1050"/>
      <c r="ER887" s="1038"/>
      <c r="ES887" s="1035"/>
      <c r="ET887" s="1051"/>
    </row>
    <row r="888" spans="2:150" ht="16.5" customHeight="1">
      <c r="B888" s="1024"/>
      <c r="C888" s="1025"/>
      <c r="D888" s="408">
        <v>885</v>
      </c>
      <c r="E888" s="1164"/>
      <c r="F888" s="1164"/>
      <c r="G888" s="1026"/>
      <c r="H888" s="411" t="str">
        <f>IFERROR(INDEX(绊状态确认!C:C,MATCH($G888,绊状态确认!$B:$B,)),"")</f>
        <v/>
      </c>
      <c r="I888" s="450" t="str">
        <f>IFERROR(INDEX(绊状态确认!D:D,MATCH($G888,绊状态确认!$B:$B,)),"")</f>
        <v/>
      </c>
      <c r="J888" s="450" t="str">
        <f>IFERROR(INDEX(绊状态确认!E:E,MATCH($G888,绊状态确认!$B:$B,)),"")</f>
        <v/>
      </c>
      <c r="K888" s="451" t="str">
        <f>IFERROR(INDEX(绊状态确认!F:F,MATCH($G888,绊状态确认!$B:$B,)),"")</f>
        <v/>
      </c>
      <c r="L888" s="1026"/>
      <c r="M888" s="1165"/>
      <c r="N888" s="1027"/>
      <c r="O888" s="1026"/>
      <c r="P888" s="1028"/>
      <c r="Q888" s="1029"/>
      <c r="R888" s="1166"/>
      <c r="S888" s="1030"/>
      <c r="T888" s="1031"/>
      <c r="U888" s="1032"/>
      <c r="V888" s="1033"/>
      <c r="W888" s="1034"/>
      <c r="X888" s="1166"/>
      <c r="Y888" s="1035"/>
      <c r="Z888" s="1036"/>
      <c r="AA888" s="1037"/>
      <c r="AB888" s="1038"/>
      <c r="AC888" s="1039"/>
      <c r="AD888" s="1040"/>
      <c r="AE888" s="1041"/>
      <c r="AF888" s="521"/>
      <c r="AG888" s="420"/>
      <c r="AH888" s="420"/>
      <c r="AI888" s="420"/>
      <c r="AJ888" s="420"/>
      <c r="AK888" s="518"/>
      <c r="AL888" s="1042"/>
      <c r="AM888" s="1035"/>
      <c r="AN888" s="1043"/>
      <c r="AO888" s="1167"/>
      <c r="AP888" s="1044"/>
      <c r="AQ888" s="1035"/>
      <c r="AR888" s="1035"/>
      <c r="AS888" s="1035"/>
      <c r="AT888" s="1165"/>
      <c r="AU888" s="1031"/>
      <c r="AV888" s="1045"/>
      <c r="AW888" s="1038"/>
      <c r="AX888" s="1035"/>
      <c r="AY888" s="483"/>
      <c r="AZ888" s="429"/>
      <c r="BA888" s="431"/>
      <c r="BB888" s="1035"/>
      <c r="BC888" s="1035"/>
      <c r="BD888" s="481"/>
      <c r="BE888" s="432"/>
      <c r="BF888" s="646"/>
      <c r="BG888" s="1047"/>
      <c r="BH888" s="1046"/>
      <c r="BI888" s="1048"/>
      <c r="BJ888" s="1030"/>
      <c r="BK888" s="1046"/>
      <c r="BL888" s="1048"/>
      <c r="BM888" s="1046"/>
      <c r="BN888" s="1167"/>
      <c r="BO888" s="1035"/>
      <c r="BP888" s="1043"/>
      <c r="BQ888" s="1167"/>
      <c r="BR888" s="1165"/>
      <c r="BS888" s="1031"/>
      <c r="BT888" s="1038"/>
      <c r="BU888" s="1035"/>
      <c r="BV888" s="1035"/>
      <c r="BW888" s="1049"/>
      <c r="BX888" s="1043"/>
      <c r="BY888" s="1046"/>
      <c r="BZ888" s="1167"/>
      <c r="CA888" s="1165"/>
      <c r="CB888" s="1031"/>
      <c r="CC888" s="1038"/>
      <c r="CD888" s="1035"/>
      <c r="CE888" s="1035"/>
      <c r="CF888" s="1049"/>
      <c r="CG888" s="1043"/>
      <c r="CH888" s="1046"/>
      <c r="CI888" s="1167"/>
      <c r="CJ888" s="1168"/>
      <c r="CK888" s="1169"/>
      <c r="CL888" s="1169"/>
      <c r="CM888" s="1166"/>
      <c r="CN888" s="1169"/>
      <c r="CO888" s="1169"/>
      <c r="CP888" s="452"/>
      <c r="CQ888" s="435"/>
      <c r="CR888" s="1117"/>
      <c r="CS888" s="452"/>
      <c r="CT888" s="482"/>
      <c r="CU888" s="476"/>
      <c r="CV888" s="431"/>
      <c r="CW888" s="1108"/>
      <c r="CX888" s="1108"/>
      <c r="CY888" s="483"/>
      <c r="CZ888" s="437"/>
      <c r="DA888" s="438"/>
      <c r="DB888" s="439"/>
      <c r="DC888" s="439"/>
      <c r="DD888" s="443"/>
      <c r="DE888" s="411"/>
      <c r="DF888" s="411"/>
      <c r="DG888" s="1117"/>
      <c r="DH888" s="1117"/>
      <c r="DI888" s="1117"/>
      <c r="DJ888" s="442"/>
      <c r="DK888" s="482"/>
      <c r="DL888" s="1038"/>
      <c r="DM888" s="1035"/>
      <c r="DN888" s="1035"/>
      <c r="DO888" s="1035"/>
      <c r="DP888" s="1046"/>
      <c r="DQ888" s="1167"/>
      <c r="DR888" s="1168"/>
      <c r="DS888" s="1165"/>
      <c r="DT888" s="1165"/>
      <c r="DU888" s="1165"/>
      <c r="DV888" s="1031"/>
      <c r="DW888" s="1098">
        <f t="shared" si="1176"/>
        <v>0</v>
      </c>
      <c r="DX888" s="1098">
        <f t="shared" si="1177"/>
        <v>0</v>
      </c>
      <c r="DY888" s="1030"/>
      <c r="DZ888" s="1030"/>
      <c r="EA888" s="1031"/>
      <c r="EB888" s="1050"/>
      <c r="EC888" s="1038"/>
      <c r="ED888" s="1035"/>
      <c r="EE888" s="1046"/>
      <c r="EF888" s="1169"/>
      <c r="EG888" s="1168"/>
      <c r="EH888" s="1165"/>
      <c r="EI888" s="1165"/>
      <c r="EJ888" s="1165"/>
      <c r="EK888" s="1031"/>
      <c r="EL888" s="1098">
        <f t="shared" si="1178"/>
        <v>0</v>
      </c>
      <c r="EM888" s="1098">
        <f t="shared" si="1179"/>
        <v>0</v>
      </c>
      <c r="EN888" s="1030"/>
      <c r="EO888" s="1030"/>
      <c r="EP888" s="1031"/>
      <c r="EQ888" s="1050"/>
      <c r="ER888" s="1038"/>
      <c r="ES888" s="1035"/>
      <c r="ET888" s="1051"/>
    </row>
    <row r="889" spans="2:150" ht="16.5" customHeight="1">
      <c r="B889" s="1024"/>
      <c r="C889" s="1025"/>
      <c r="D889" s="408">
        <v>886</v>
      </c>
      <c r="E889" s="1164"/>
      <c r="F889" s="1164"/>
      <c r="G889" s="1026"/>
      <c r="H889" s="411" t="str">
        <f>IFERROR(INDEX(绊状态确认!C:C,MATCH($G889,绊状态确认!$B:$B,)),"")</f>
        <v/>
      </c>
      <c r="I889" s="450" t="str">
        <f>IFERROR(INDEX(绊状态确认!D:D,MATCH($G889,绊状态确认!$B:$B,)),"")</f>
        <v/>
      </c>
      <c r="J889" s="450" t="str">
        <f>IFERROR(INDEX(绊状态确认!E:E,MATCH($G889,绊状态确认!$B:$B,)),"")</f>
        <v/>
      </c>
      <c r="K889" s="451" t="str">
        <f>IFERROR(INDEX(绊状态确认!F:F,MATCH($G889,绊状态确认!$B:$B,)),"")</f>
        <v/>
      </c>
      <c r="L889" s="1026"/>
      <c r="M889" s="1165"/>
      <c r="N889" s="1027"/>
      <c r="O889" s="1026"/>
      <c r="P889" s="1028"/>
      <c r="Q889" s="1029"/>
      <c r="R889" s="1166"/>
      <c r="S889" s="1030"/>
      <c r="T889" s="1031"/>
      <c r="U889" s="1032"/>
      <c r="V889" s="1033"/>
      <c r="W889" s="1034"/>
      <c r="X889" s="1166"/>
      <c r="Y889" s="1035"/>
      <c r="Z889" s="1036"/>
      <c r="AA889" s="1037"/>
      <c r="AB889" s="1038"/>
      <c r="AC889" s="1039"/>
      <c r="AD889" s="1040"/>
      <c r="AE889" s="1041"/>
      <c r="AF889" s="521"/>
      <c r="AG889" s="420"/>
      <c r="AH889" s="420"/>
      <c r="AI889" s="420"/>
      <c r="AJ889" s="420"/>
      <c r="AK889" s="518"/>
      <c r="AL889" s="1042"/>
      <c r="AM889" s="1035"/>
      <c r="AN889" s="1043"/>
      <c r="AO889" s="1167"/>
      <c r="AP889" s="1044"/>
      <c r="AQ889" s="1035"/>
      <c r="AR889" s="1035"/>
      <c r="AS889" s="1035"/>
      <c r="AT889" s="1165"/>
      <c r="AU889" s="1031"/>
      <c r="AV889" s="1045"/>
      <c r="AW889" s="1038"/>
      <c r="AX889" s="1035"/>
      <c r="AY889" s="483"/>
      <c r="AZ889" s="429"/>
      <c r="BA889" s="431"/>
      <c r="BB889" s="1035"/>
      <c r="BC889" s="1035"/>
      <c r="BD889" s="481"/>
      <c r="BE889" s="432"/>
      <c r="BF889" s="646"/>
      <c r="BG889" s="1047"/>
      <c r="BH889" s="1046"/>
      <c r="BI889" s="1048"/>
      <c r="BJ889" s="1030"/>
      <c r="BK889" s="1046"/>
      <c r="BL889" s="1048"/>
      <c r="BM889" s="1046"/>
      <c r="BN889" s="1167"/>
      <c r="BO889" s="1035"/>
      <c r="BP889" s="1043"/>
      <c r="BQ889" s="1167"/>
      <c r="BR889" s="1165"/>
      <c r="BS889" s="1031"/>
      <c r="BT889" s="1038"/>
      <c r="BU889" s="1035"/>
      <c r="BV889" s="1035"/>
      <c r="BW889" s="1049"/>
      <c r="BX889" s="1043"/>
      <c r="BY889" s="1046"/>
      <c r="BZ889" s="1167"/>
      <c r="CA889" s="1165"/>
      <c r="CB889" s="1031"/>
      <c r="CC889" s="1038"/>
      <c r="CD889" s="1035"/>
      <c r="CE889" s="1035"/>
      <c r="CF889" s="1049"/>
      <c r="CG889" s="1043"/>
      <c r="CH889" s="1046"/>
      <c r="CI889" s="1167"/>
      <c r="CJ889" s="1168"/>
      <c r="CK889" s="1169"/>
      <c r="CL889" s="1169"/>
      <c r="CM889" s="1166"/>
      <c r="CN889" s="1169"/>
      <c r="CO889" s="1169"/>
      <c r="CP889" s="452"/>
      <c r="CQ889" s="435"/>
      <c r="CR889" s="1117"/>
      <c r="CS889" s="452"/>
      <c r="CT889" s="482"/>
      <c r="CU889" s="476"/>
      <c r="CV889" s="431"/>
      <c r="CW889" s="1108"/>
      <c r="CX889" s="1108"/>
      <c r="CY889" s="483"/>
      <c r="CZ889" s="437"/>
      <c r="DA889" s="438"/>
      <c r="DB889" s="439"/>
      <c r="DC889" s="439"/>
      <c r="DD889" s="443"/>
      <c r="DE889" s="411"/>
      <c r="DF889" s="411"/>
      <c r="DG889" s="1117"/>
      <c r="DH889" s="1117"/>
      <c r="DI889" s="1117"/>
      <c r="DJ889" s="442"/>
      <c r="DK889" s="482"/>
      <c r="DL889" s="1038"/>
      <c r="DM889" s="1035"/>
      <c r="DN889" s="1035"/>
      <c r="DO889" s="1035"/>
      <c r="DP889" s="1046"/>
      <c r="DQ889" s="1167"/>
      <c r="DR889" s="1168"/>
      <c r="DS889" s="1165"/>
      <c r="DT889" s="1165"/>
      <c r="DU889" s="1165"/>
      <c r="DV889" s="1031"/>
      <c r="DW889" s="1098">
        <f t="shared" si="1176"/>
        <v>0</v>
      </c>
      <c r="DX889" s="1098">
        <f t="shared" si="1177"/>
        <v>0</v>
      </c>
      <c r="DY889" s="1030"/>
      <c r="DZ889" s="1030"/>
      <c r="EA889" s="1031"/>
      <c r="EB889" s="1050"/>
      <c r="EC889" s="1038"/>
      <c r="ED889" s="1035"/>
      <c r="EE889" s="1046"/>
      <c r="EF889" s="1169"/>
      <c r="EG889" s="1168"/>
      <c r="EH889" s="1165"/>
      <c r="EI889" s="1165"/>
      <c r="EJ889" s="1165"/>
      <c r="EK889" s="1031"/>
      <c r="EL889" s="1098">
        <f t="shared" si="1178"/>
        <v>0</v>
      </c>
      <c r="EM889" s="1098">
        <f t="shared" si="1179"/>
        <v>0</v>
      </c>
      <c r="EN889" s="1030"/>
      <c r="EO889" s="1030"/>
      <c r="EP889" s="1031"/>
      <c r="EQ889" s="1050"/>
      <c r="ER889" s="1038"/>
      <c r="ES889" s="1035"/>
      <c r="ET889" s="1051"/>
    </row>
    <row r="890" spans="2:150" ht="16.5" customHeight="1">
      <c r="B890" s="1024"/>
      <c r="C890" s="1025"/>
      <c r="D890" s="408">
        <v>887</v>
      </c>
      <c r="E890" s="1164"/>
      <c r="F890" s="1164"/>
      <c r="G890" s="1026"/>
      <c r="H890" s="411" t="str">
        <f>IFERROR(INDEX(绊状态确认!C:C,MATCH($G890,绊状态确认!$B:$B,)),"")</f>
        <v/>
      </c>
      <c r="I890" s="450" t="str">
        <f>IFERROR(INDEX(绊状态确认!D:D,MATCH($G890,绊状态确认!$B:$B,)),"")</f>
        <v/>
      </c>
      <c r="J890" s="450" t="str">
        <f>IFERROR(INDEX(绊状态确认!E:E,MATCH($G890,绊状态确认!$B:$B,)),"")</f>
        <v/>
      </c>
      <c r="K890" s="451" t="str">
        <f>IFERROR(INDEX(绊状态确认!F:F,MATCH($G890,绊状态确认!$B:$B,)),"")</f>
        <v/>
      </c>
      <c r="L890" s="1026"/>
      <c r="M890" s="1165"/>
      <c r="N890" s="1027"/>
      <c r="O890" s="1026"/>
      <c r="P890" s="1028"/>
      <c r="Q890" s="1029"/>
      <c r="R890" s="1166"/>
      <c r="S890" s="1030"/>
      <c r="T890" s="1031"/>
      <c r="U890" s="1032"/>
      <c r="V890" s="1033"/>
      <c r="W890" s="1034"/>
      <c r="X890" s="1166"/>
      <c r="Y890" s="1035"/>
      <c r="Z890" s="1036"/>
      <c r="AA890" s="1037"/>
      <c r="AB890" s="1038"/>
      <c r="AC890" s="1039"/>
      <c r="AD890" s="1040"/>
      <c r="AE890" s="1041"/>
      <c r="AF890" s="521"/>
      <c r="AG890" s="420"/>
      <c r="AH890" s="420"/>
      <c r="AI890" s="420"/>
      <c r="AJ890" s="420"/>
      <c r="AK890" s="518"/>
      <c r="AL890" s="1042"/>
      <c r="AM890" s="1035"/>
      <c r="AN890" s="1043"/>
      <c r="AO890" s="1167"/>
      <c r="AP890" s="1044"/>
      <c r="AQ890" s="1035"/>
      <c r="AR890" s="1035"/>
      <c r="AS890" s="1035"/>
      <c r="AT890" s="1165"/>
      <c r="AU890" s="1031"/>
      <c r="AV890" s="1045"/>
      <c r="AW890" s="1038"/>
      <c r="AX890" s="1035"/>
      <c r="AY890" s="483"/>
      <c r="AZ890" s="429"/>
      <c r="BA890" s="431"/>
      <c r="BB890" s="1035"/>
      <c r="BC890" s="1035"/>
      <c r="BD890" s="481"/>
      <c r="BE890" s="432"/>
      <c r="BF890" s="646"/>
      <c r="BG890" s="1047"/>
      <c r="BH890" s="1046"/>
      <c r="BI890" s="1048"/>
      <c r="BJ890" s="1030"/>
      <c r="BK890" s="1046"/>
      <c r="BL890" s="1048"/>
      <c r="BM890" s="1046"/>
      <c r="BN890" s="1167"/>
      <c r="BO890" s="1035"/>
      <c r="BP890" s="1043"/>
      <c r="BQ890" s="1167"/>
      <c r="BR890" s="1165"/>
      <c r="BS890" s="1031"/>
      <c r="BT890" s="1038"/>
      <c r="BU890" s="1035"/>
      <c r="BV890" s="1035"/>
      <c r="BW890" s="1049"/>
      <c r="BX890" s="1043"/>
      <c r="BY890" s="1046"/>
      <c r="BZ890" s="1167"/>
      <c r="CA890" s="1165"/>
      <c r="CB890" s="1031"/>
      <c r="CC890" s="1038"/>
      <c r="CD890" s="1035"/>
      <c r="CE890" s="1035"/>
      <c r="CF890" s="1049"/>
      <c r="CG890" s="1043"/>
      <c r="CH890" s="1046"/>
      <c r="CI890" s="1167"/>
      <c r="CJ890" s="1168"/>
      <c r="CK890" s="1169"/>
      <c r="CL890" s="1169"/>
      <c r="CM890" s="1166"/>
      <c r="CN890" s="1169"/>
      <c r="CO890" s="1169"/>
      <c r="CP890" s="452"/>
      <c r="CQ890" s="435"/>
      <c r="CR890" s="1117"/>
      <c r="CS890" s="452"/>
      <c r="CT890" s="482"/>
      <c r="CU890" s="476"/>
      <c r="CV890" s="431"/>
      <c r="CW890" s="1108"/>
      <c r="CX890" s="1108"/>
      <c r="CY890" s="483"/>
      <c r="CZ890" s="437"/>
      <c r="DA890" s="438"/>
      <c r="DB890" s="439"/>
      <c r="DC890" s="439"/>
      <c r="DD890" s="443"/>
      <c r="DE890" s="411"/>
      <c r="DF890" s="411"/>
      <c r="DG890" s="1117"/>
      <c r="DH890" s="1117"/>
      <c r="DI890" s="1117"/>
      <c r="DJ890" s="442"/>
      <c r="DK890" s="482"/>
      <c r="DL890" s="1038"/>
      <c r="DM890" s="1035"/>
      <c r="DN890" s="1035"/>
      <c r="DO890" s="1035"/>
      <c r="DP890" s="1046"/>
      <c r="DQ890" s="1167"/>
      <c r="DR890" s="1168"/>
      <c r="DS890" s="1165"/>
      <c r="DT890" s="1165"/>
      <c r="DU890" s="1165"/>
      <c r="DV890" s="1031"/>
      <c r="DW890" s="1098">
        <f t="shared" si="1176"/>
        <v>0</v>
      </c>
      <c r="DX890" s="1098">
        <f t="shared" si="1177"/>
        <v>0</v>
      </c>
      <c r="DY890" s="1030"/>
      <c r="DZ890" s="1030"/>
      <c r="EA890" s="1031"/>
      <c r="EB890" s="1050"/>
      <c r="EC890" s="1038"/>
      <c r="ED890" s="1035"/>
      <c r="EE890" s="1046"/>
      <c r="EF890" s="1169"/>
      <c r="EG890" s="1168"/>
      <c r="EH890" s="1165"/>
      <c r="EI890" s="1165"/>
      <c r="EJ890" s="1165"/>
      <c r="EK890" s="1031"/>
      <c r="EL890" s="1098">
        <f t="shared" si="1178"/>
        <v>0</v>
      </c>
      <c r="EM890" s="1098">
        <f t="shared" si="1179"/>
        <v>0</v>
      </c>
      <c r="EN890" s="1030"/>
      <c r="EO890" s="1030"/>
      <c r="EP890" s="1031"/>
      <c r="EQ890" s="1050"/>
      <c r="ER890" s="1038"/>
      <c r="ES890" s="1035"/>
      <c r="ET890" s="1051"/>
    </row>
    <row r="891" spans="2:150" ht="16.5" customHeight="1">
      <c r="B891" s="1024"/>
      <c r="C891" s="1025"/>
      <c r="D891" s="408">
        <v>888</v>
      </c>
      <c r="E891" s="1164"/>
      <c r="F891" s="1164"/>
      <c r="G891" s="1026"/>
      <c r="H891" s="411" t="str">
        <f>IFERROR(INDEX(绊状态确认!C:C,MATCH($G891,绊状态确认!$B:$B,)),"")</f>
        <v/>
      </c>
      <c r="I891" s="450" t="str">
        <f>IFERROR(INDEX(绊状态确认!D:D,MATCH($G891,绊状态确认!$B:$B,)),"")</f>
        <v/>
      </c>
      <c r="J891" s="450" t="str">
        <f>IFERROR(INDEX(绊状态确认!E:E,MATCH($G891,绊状态确认!$B:$B,)),"")</f>
        <v/>
      </c>
      <c r="K891" s="451" t="str">
        <f>IFERROR(INDEX(绊状态确认!F:F,MATCH($G891,绊状态确认!$B:$B,)),"")</f>
        <v/>
      </c>
      <c r="L891" s="1026"/>
      <c r="M891" s="1165"/>
      <c r="N891" s="1027"/>
      <c r="O891" s="1026"/>
      <c r="P891" s="1028"/>
      <c r="Q891" s="1029"/>
      <c r="R891" s="1166"/>
      <c r="S891" s="1030"/>
      <c r="T891" s="1031"/>
      <c r="U891" s="1032"/>
      <c r="V891" s="1033"/>
      <c r="W891" s="1034"/>
      <c r="X891" s="1166"/>
      <c r="Y891" s="1035"/>
      <c r="Z891" s="1036"/>
      <c r="AA891" s="1037"/>
      <c r="AB891" s="1038"/>
      <c r="AC891" s="1039"/>
      <c r="AD891" s="1040"/>
      <c r="AE891" s="1041"/>
      <c r="AF891" s="521"/>
      <c r="AG891" s="420"/>
      <c r="AH891" s="420"/>
      <c r="AI891" s="420"/>
      <c r="AJ891" s="420"/>
      <c r="AK891" s="518"/>
      <c r="AL891" s="1042"/>
      <c r="AM891" s="1035"/>
      <c r="AN891" s="1043"/>
      <c r="AO891" s="1167"/>
      <c r="AP891" s="1044"/>
      <c r="AQ891" s="1035"/>
      <c r="AR891" s="1035"/>
      <c r="AS891" s="1035"/>
      <c r="AT891" s="1165"/>
      <c r="AU891" s="1031"/>
      <c r="AV891" s="1045"/>
      <c r="AW891" s="1038"/>
      <c r="AX891" s="1035"/>
      <c r="AY891" s="483"/>
      <c r="AZ891" s="429"/>
      <c r="BA891" s="431"/>
      <c r="BB891" s="1035"/>
      <c r="BC891" s="1035"/>
      <c r="BD891" s="481"/>
      <c r="BE891" s="432"/>
      <c r="BF891" s="646"/>
      <c r="BG891" s="1047"/>
      <c r="BH891" s="1046"/>
      <c r="BI891" s="1048"/>
      <c r="BJ891" s="1030"/>
      <c r="BK891" s="1046"/>
      <c r="BL891" s="1048"/>
      <c r="BM891" s="1046"/>
      <c r="BN891" s="1167"/>
      <c r="BO891" s="1035"/>
      <c r="BP891" s="1043"/>
      <c r="BQ891" s="1167"/>
      <c r="BR891" s="1165"/>
      <c r="BS891" s="1031"/>
      <c r="BT891" s="1038"/>
      <c r="BU891" s="1035"/>
      <c r="BV891" s="1035"/>
      <c r="BW891" s="1049"/>
      <c r="BX891" s="1043"/>
      <c r="BY891" s="1046"/>
      <c r="BZ891" s="1167"/>
      <c r="CA891" s="1165"/>
      <c r="CB891" s="1031"/>
      <c r="CC891" s="1038"/>
      <c r="CD891" s="1035"/>
      <c r="CE891" s="1035"/>
      <c r="CF891" s="1049"/>
      <c r="CG891" s="1043"/>
      <c r="CH891" s="1046"/>
      <c r="CI891" s="1167"/>
      <c r="CJ891" s="1168"/>
      <c r="CK891" s="1169"/>
      <c r="CL891" s="1169"/>
      <c r="CM891" s="1166"/>
      <c r="CN891" s="1169"/>
      <c r="CO891" s="1169"/>
      <c r="CP891" s="452"/>
      <c r="CQ891" s="435"/>
      <c r="CR891" s="1117"/>
      <c r="CS891" s="452"/>
      <c r="CT891" s="482"/>
      <c r="CU891" s="476"/>
      <c r="CV891" s="431"/>
      <c r="CW891" s="1108"/>
      <c r="CX891" s="1108"/>
      <c r="CY891" s="483"/>
      <c r="CZ891" s="437"/>
      <c r="DA891" s="438"/>
      <c r="DB891" s="439"/>
      <c r="DC891" s="439"/>
      <c r="DD891" s="443"/>
      <c r="DE891" s="411"/>
      <c r="DF891" s="411"/>
      <c r="DG891" s="1117"/>
      <c r="DH891" s="1117"/>
      <c r="DI891" s="1117"/>
      <c r="DJ891" s="442"/>
      <c r="DK891" s="482"/>
      <c r="DL891" s="1038"/>
      <c r="DM891" s="1035"/>
      <c r="DN891" s="1035"/>
      <c r="DO891" s="1035"/>
      <c r="DP891" s="1046"/>
      <c r="DQ891" s="1167"/>
      <c r="DR891" s="1168"/>
      <c r="DS891" s="1165"/>
      <c r="DT891" s="1165"/>
      <c r="DU891" s="1165"/>
      <c r="DV891" s="1031"/>
      <c r="DW891" s="1098">
        <f t="shared" si="1176"/>
        <v>0</v>
      </c>
      <c r="DX891" s="1098">
        <f t="shared" si="1177"/>
        <v>0</v>
      </c>
      <c r="DY891" s="1030"/>
      <c r="DZ891" s="1030"/>
      <c r="EA891" s="1031"/>
      <c r="EB891" s="1050"/>
      <c r="EC891" s="1038"/>
      <c r="ED891" s="1035"/>
      <c r="EE891" s="1046"/>
      <c r="EF891" s="1169"/>
      <c r="EG891" s="1168"/>
      <c r="EH891" s="1165"/>
      <c r="EI891" s="1165"/>
      <c r="EJ891" s="1165"/>
      <c r="EK891" s="1031"/>
      <c r="EL891" s="1098">
        <f t="shared" si="1178"/>
        <v>0</v>
      </c>
      <c r="EM891" s="1098">
        <f t="shared" si="1179"/>
        <v>0</v>
      </c>
      <c r="EN891" s="1030"/>
      <c r="EO891" s="1030"/>
      <c r="EP891" s="1031"/>
      <c r="EQ891" s="1050"/>
      <c r="ER891" s="1038"/>
      <c r="ES891" s="1035"/>
      <c r="ET891" s="1051"/>
    </row>
    <row r="892" spans="2:150" ht="16.5" customHeight="1">
      <c r="B892" s="1024"/>
      <c r="C892" s="1025"/>
      <c r="D892" s="408">
        <v>889</v>
      </c>
      <c r="E892" s="1164"/>
      <c r="F892" s="1164"/>
      <c r="G892" s="1026"/>
      <c r="H892" s="411" t="str">
        <f>IFERROR(INDEX(绊状态确认!C:C,MATCH($G892,绊状态确认!$B:$B,)),"")</f>
        <v/>
      </c>
      <c r="I892" s="450" t="str">
        <f>IFERROR(INDEX(绊状态确认!D:D,MATCH($G892,绊状态确认!$B:$B,)),"")</f>
        <v/>
      </c>
      <c r="J892" s="450" t="str">
        <f>IFERROR(INDEX(绊状态确认!E:E,MATCH($G892,绊状态确认!$B:$B,)),"")</f>
        <v/>
      </c>
      <c r="K892" s="451" t="str">
        <f>IFERROR(INDEX(绊状态确认!F:F,MATCH($G892,绊状态确认!$B:$B,)),"")</f>
        <v/>
      </c>
      <c r="L892" s="1026"/>
      <c r="M892" s="1165"/>
      <c r="N892" s="1027"/>
      <c r="O892" s="1026"/>
      <c r="P892" s="1028"/>
      <c r="Q892" s="1029"/>
      <c r="R892" s="1166"/>
      <c r="S892" s="1030"/>
      <c r="T892" s="1031"/>
      <c r="U892" s="1032"/>
      <c r="V892" s="1033"/>
      <c r="W892" s="1034"/>
      <c r="X892" s="1166"/>
      <c r="Y892" s="1035"/>
      <c r="Z892" s="1036"/>
      <c r="AA892" s="1037"/>
      <c r="AB892" s="1038"/>
      <c r="AC892" s="1039"/>
      <c r="AD892" s="1040"/>
      <c r="AE892" s="1041"/>
      <c r="AF892" s="521"/>
      <c r="AG892" s="420"/>
      <c r="AH892" s="420"/>
      <c r="AI892" s="420"/>
      <c r="AJ892" s="420"/>
      <c r="AK892" s="518"/>
      <c r="AL892" s="1042"/>
      <c r="AM892" s="1035"/>
      <c r="AN892" s="1043"/>
      <c r="AO892" s="1167"/>
      <c r="AP892" s="1044"/>
      <c r="AQ892" s="1035"/>
      <c r="AR892" s="1035"/>
      <c r="AS892" s="1035"/>
      <c r="AT892" s="1165"/>
      <c r="AU892" s="1031"/>
      <c r="AV892" s="1045"/>
      <c r="AW892" s="1038"/>
      <c r="AX892" s="1035"/>
      <c r="AY892" s="483"/>
      <c r="AZ892" s="429"/>
      <c r="BA892" s="431"/>
      <c r="BB892" s="1035"/>
      <c r="BC892" s="1035"/>
      <c r="BD892" s="481"/>
      <c r="BE892" s="432"/>
      <c r="BF892" s="646"/>
      <c r="BG892" s="1047"/>
      <c r="BH892" s="1046"/>
      <c r="BI892" s="1048"/>
      <c r="BJ892" s="1030"/>
      <c r="BK892" s="1046"/>
      <c r="BL892" s="1048"/>
      <c r="BM892" s="1046"/>
      <c r="BN892" s="1167"/>
      <c r="BO892" s="1035"/>
      <c r="BP892" s="1043"/>
      <c r="BQ892" s="1167"/>
      <c r="BR892" s="1165"/>
      <c r="BS892" s="1031"/>
      <c r="BT892" s="1038"/>
      <c r="BU892" s="1035"/>
      <c r="BV892" s="1035"/>
      <c r="BW892" s="1049"/>
      <c r="BX892" s="1043"/>
      <c r="BY892" s="1046"/>
      <c r="BZ892" s="1167"/>
      <c r="CA892" s="1165"/>
      <c r="CB892" s="1031"/>
      <c r="CC892" s="1038"/>
      <c r="CD892" s="1035"/>
      <c r="CE892" s="1035"/>
      <c r="CF892" s="1049"/>
      <c r="CG892" s="1043"/>
      <c r="CH892" s="1046"/>
      <c r="CI892" s="1167"/>
      <c r="CJ892" s="1168"/>
      <c r="CK892" s="1169"/>
      <c r="CL892" s="1169"/>
      <c r="CM892" s="1166"/>
      <c r="CN892" s="1169"/>
      <c r="CO892" s="1169"/>
      <c r="CP892" s="452"/>
      <c r="CQ892" s="435"/>
      <c r="CR892" s="1117"/>
      <c r="CS892" s="452"/>
      <c r="CT892" s="482"/>
      <c r="CU892" s="476"/>
      <c r="CV892" s="431"/>
      <c r="CW892" s="1108"/>
      <c r="CX892" s="1108"/>
      <c r="CY892" s="483"/>
      <c r="CZ892" s="437"/>
      <c r="DA892" s="438"/>
      <c r="DB892" s="439"/>
      <c r="DC892" s="439"/>
      <c r="DD892" s="443"/>
      <c r="DE892" s="411"/>
      <c r="DF892" s="411"/>
      <c r="DG892" s="1117"/>
      <c r="DH892" s="1117"/>
      <c r="DI892" s="1117"/>
      <c r="DJ892" s="442"/>
      <c r="DK892" s="482"/>
      <c r="DL892" s="1038"/>
      <c r="DM892" s="1035"/>
      <c r="DN892" s="1035"/>
      <c r="DO892" s="1035"/>
      <c r="DP892" s="1046"/>
      <c r="DQ892" s="1167"/>
      <c r="DR892" s="1168"/>
      <c r="DS892" s="1165"/>
      <c r="DT892" s="1165"/>
      <c r="DU892" s="1165"/>
      <c r="DV892" s="1031"/>
      <c r="DW892" s="1098">
        <f t="shared" si="1176"/>
        <v>0</v>
      </c>
      <c r="DX892" s="1098">
        <f t="shared" si="1177"/>
        <v>0</v>
      </c>
      <c r="DY892" s="1030"/>
      <c r="DZ892" s="1030"/>
      <c r="EA892" s="1031"/>
      <c r="EB892" s="1050"/>
      <c r="EC892" s="1038"/>
      <c r="ED892" s="1035"/>
      <c r="EE892" s="1046"/>
      <c r="EF892" s="1169"/>
      <c r="EG892" s="1168"/>
      <c r="EH892" s="1165"/>
      <c r="EI892" s="1165"/>
      <c r="EJ892" s="1165"/>
      <c r="EK892" s="1031"/>
      <c r="EL892" s="1098">
        <f t="shared" si="1178"/>
        <v>0</v>
      </c>
      <c r="EM892" s="1098">
        <f t="shared" si="1179"/>
        <v>0</v>
      </c>
      <c r="EN892" s="1030"/>
      <c r="EO892" s="1030"/>
      <c r="EP892" s="1031"/>
      <c r="EQ892" s="1050"/>
      <c r="ER892" s="1038"/>
      <c r="ES892" s="1035"/>
      <c r="ET892" s="1051"/>
    </row>
    <row r="893" spans="2:150" ht="16.5" customHeight="1">
      <c r="B893" s="1024"/>
      <c r="C893" s="1025"/>
      <c r="D893" s="408">
        <v>890</v>
      </c>
      <c r="E893" s="1164"/>
      <c r="F893" s="1164"/>
      <c r="G893" s="1026"/>
      <c r="H893" s="411" t="str">
        <f>IFERROR(INDEX(绊状态确认!C:C,MATCH($G893,绊状态确认!$B:$B,)),"")</f>
        <v/>
      </c>
      <c r="I893" s="450" t="str">
        <f>IFERROR(INDEX(绊状态确认!D:D,MATCH($G893,绊状态确认!$B:$B,)),"")</f>
        <v/>
      </c>
      <c r="J893" s="450" t="str">
        <f>IFERROR(INDEX(绊状态确认!E:E,MATCH($G893,绊状态确认!$B:$B,)),"")</f>
        <v/>
      </c>
      <c r="K893" s="451" t="str">
        <f>IFERROR(INDEX(绊状态确认!F:F,MATCH($G893,绊状态确认!$B:$B,)),"")</f>
        <v/>
      </c>
      <c r="L893" s="1026"/>
      <c r="M893" s="1165"/>
      <c r="N893" s="1027"/>
      <c r="O893" s="1026"/>
      <c r="P893" s="1028"/>
      <c r="Q893" s="1029"/>
      <c r="R893" s="1166"/>
      <c r="S893" s="1030"/>
      <c r="T893" s="1031"/>
      <c r="U893" s="1032"/>
      <c r="V893" s="1033"/>
      <c r="W893" s="1034"/>
      <c r="X893" s="1166"/>
      <c r="Y893" s="1035"/>
      <c r="Z893" s="1036"/>
      <c r="AA893" s="1037"/>
      <c r="AB893" s="1038"/>
      <c r="AC893" s="1039"/>
      <c r="AD893" s="1040"/>
      <c r="AE893" s="1041"/>
      <c r="AF893" s="521"/>
      <c r="AG893" s="420"/>
      <c r="AH893" s="420"/>
      <c r="AI893" s="420"/>
      <c r="AJ893" s="420"/>
      <c r="AK893" s="518"/>
      <c r="AL893" s="1042"/>
      <c r="AM893" s="1035"/>
      <c r="AN893" s="1043"/>
      <c r="AO893" s="1167"/>
      <c r="AP893" s="1044"/>
      <c r="AQ893" s="1035"/>
      <c r="AR893" s="1035"/>
      <c r="AS893" s="1035"/>
      <c r="AT893" s="1165"/>
      <c r="AU893" s="1031"/>
      <c r="AV893" s="1045"/>
      <c r="AW893" s="1038"/>
      <c r="AX893" s="1035"/>
      <c r="AY893" s="483"/>
      <c r="AZ893" s="429"/>
      <c r="BA893" s="431"/>
      <c r="BB893" s="1035"/>
      <c r="BC893" s="1035"/>
      <c r="BD893" s="481"/>
      <c r="BE893" s="432"/>
      <c r="BF893" s="646"/>
      <c r="BG893" s="1047"/>
      <c r="BH893" s="1046"/>
      <c r="BI893" s="1048"/>
      <c r="BJ893" s="1030"/>
      <c r="BK893" s="1046"/>
      <c r="BL893" s="1048"/>
      <c r="BM893" s="1046"/>
      <c r="BN893" s="1167"/>
      <c r="BO893" s="1035"/>
      <c r="BP893" s="1043"/>
      <c r="BQ893" s="1167"/>
      <c r="BR893" s="1165"/>
      <c r="BS893" s="1031"/>
      <c r="BT893" s="1038"/>
      <c r="BU893" s="1035"/>
      <c r="BV893" s="1035"/>
      <c r="BW893" s="1049"/>
      <c r="BX893" s="1043"/>
      <c r="BY893" s="1046"/>
      <c r="BZ893" s="1167"/>
      <c r="CA893" s="1165"/>
      <c r="CB893" s="1031"/>
      <c r="CC893" s="1038"/>
      <c r="CD893" s="1035"/>
      <c r="CE893" s="1035"/>
      <c r="CF893" s="1049"/>
      <c r="CG893" s="1043"/>
      <c r="CH893" s="1046"/>
      <c r="CI893" s="1167"/>
      <c r="CJ893" s="1168"/>
      <c r="CK893" s="1169"/>
      <c r="CL893" s="1169"/>
      <c r="CM893" s="1166"/>
      <c r="CN893" s="1169"/>
      <c r="CO893" s="1169"/>
      <c r="CP893" s="452"/>
      <c r="CQ893" s="435"/>
      <c r="CR893" s="1117"/>
      <c r="CS893" s="452"/>
      <c r="CT893" s="482"/>
      <c r="CU893" s="476"/>
      <c r="CV893" s="431"/>
      <c r="CW893" s="1108"/>
      <c r="CX893" s="1108"/>
      <c r="CY893" s="483"/>
      <c r="CZ893" s="437"/>
      <c r="DA893" s="438"/>
      <c r="DB893" s="439"/>
      <c r="DC893" s="439"/>
      <c r="DD893" s="443"/>
      <c r="DE893" s="411"/>
      <c r="DF893" s="411"/>
      <c r="DG893" s="1117"/>
      <c r="DH893" s="1117"/>
      <c r="DI893" s="1117"/>
      <c r="DJ893" s="442"/>
      <c r="DK893" s="482"/>
      <c r="DL893" s="1038"/>
      <c r="DM893" s="1035"/>
      <c r="DN893" s="1035"/>
      <c r="DO893" s="1035"/>
      <c r="DP893" s="1046"/>
      <c r="DQ893" s="1167"/>
      <c r="DR893" s="1168"/>
      <c r="DS893" s="1165"/>
      <c r="DT893" s="1165"/>
      <c r="DU893" s="1165"/>
      <c r="DV893" s="1031"/>
      <c r="DW893" s="1098">
        <f t="shared" si="1176"/>
        <v>0</v>
      </c>
      <c r="DX893" s="1098">
        <f t="shared" si="1177"/>
        <v>0</v>
      </c>
      <c r="DY893" s="1030"/>
      <c r="DZ893" s="1030"/>
      <c r="EA893" s="1031"/>
      <c r="EB893" s="1050"/>
      <c r="EC893" s="1038"/>
      <c r="ED893" s="1035"/>
      <c r="EE893" s="1046"/>
      <c r="EF893" s="1169"/>
      <c r="EG893" s="1168"/>
      <c r="EH893" s="1165"/>
      <c r="EI893" s="1165"/>
      <c r="EJ893" s="1165"/>
      <c r="EK893" s="1031"/>
      <c r="EL893" s="1098">
        <f t="shared" si="1178"/>
        <v>0</v>
      </c>
      <c r="EM893" s="1098">
        <f t="shared" si="1179"/>
        <v>0</v>
      </c>
      <c r="EN893" s="1030"/>
      <c r="EO893" s="1030"/>
      <c r="EP893" s="1031"/>
      <c r="EQ893" s="1050"/>
      <c r="ER893" s="1038"/>
      <c r="ES893" s="1035"/>
      <c r="ET893" s="1051"/>
    </row>
    <row r="894" spans="2:150" ht="16.5" customHeight="1">
      <c r="B894" s="1024"/>
      <c r="C894" s="1025"/>
      <c r="D894" s="408">
        <v>891</v>
      </c>
      <c r="E894" s="1164"/>
      <c r="F894" s="1164"/>
      <c r="G894" s="1026"/>
      <c r="H894" s="411" t="str">
        <f>IFERROR(INDEX(绊状态确认!C:C,MATCH($G894,绊状态确认!$B:$B,)),"")</f>
        <v/>
      </c>
      <c r="I894" s="450" t="str">
        <f>IFERROR(INDEX(绊状态确认!D:D,MATCH($G894,绊状态确认!$B:$B,)),"")</f>
        <v/>
      </c>
      <c r="J894" s="450" t="str">
        <f>IFERROR(INDEX(绊状态确认!E:E,MATCH($G894,绊状态确认!$B:$B,)),"")</f>
        <v/>
      </c>
      <c r="K894" s="451" t="str">
        <f>IFERROR(INDEX(绊状态确认!F:F,MATCH($G894,绊状态确认!$B:$B,)),"")</f>
        <v/>
      </c>
      <c r="L894" s="1026"/>
      <c r="M894" s="1165"/>
      <c r="N894" s="1027"/>
      <c r="O894" s="1026"/>
      <c r="P894" s="1028"/>
      <c r="Q894" s="1029"/>
      <c r="R894" s="1166"/>
      <c r="S894" s="1030"/>
      <c r="T894" s="1031"/>
      <c r="U894" s="1032"/>
      <c r="V894" s="1033"/>
      <c r="W894" s="1034"/>
      <c r="X894" s="1166"/>
      <c r="Y894" s="1035"/>
      <c r="Z894" s="1036"/>
      <c r="AA894" s="1037"/>
      <c r="AB894" s="1038"/>
      <c r="AC894" s="1039"/>
      <c r="AD894" s="1040"/>
      <c r="AE894" s="1041"/>
      <c r="AF894" s="521"/>
      <c r="AG894" s="420"/>
      <c r="AH894" s="420"/>
      <c r="AI894" s="420"/>
      <c r="AJ894" s="420"/>
      <c r="AK894" s="518"/>
      <c r="AL894" s="1042"/>
      <c r="AM894" s="1035"/>
      <c r="AN894" s="1043"/>
      <c r="AO894" s="1167"/>
      <c r="AP894" s="1044"/>
      <c r="AQ894" s="1035"/>
      <c r="AR894" s="1035"/>
      <c r="AS894" s="1035"/>
      <c r="AT894" s="1165"/>
      <c r="AU894" s="1031"/>
      <c r="AV894" s="1045"/>
      <c r="AW894" s="1038"/>
      <c r="AX894" s="1035"/>
      <c r="AY894" s="483"/>
      <c r="AZ894" s="429"/>
      <c r="BA894" s="431"/>
      <c r="BB894" s="1035"/>
      <c r="BC894" s="1035"/>
      <c r="BD894" s="481"/>
      <c r="BE894" s="432"/>
      <c r="BF894" s="646"/>
      <c r="BG894" s="1047"/>
      <c r="BH894" s="1046"/>
      <c r="BI894" s="1048"/>
      <c r="BJ894" s="1030"/>
      <c r="BK894" s="1046"/>
      <c r="BL894" s="1048"/>
      <c r="BM894" s="1046"/>
      <c r="BN894" s="1167"/>
      <c r="BO894" s="1035"/>
      <c r="BP894" s="1043"/>
      <c r="BQ894" s="1167"/>
      <c r="BR894" s="1165"/>
      <c r="BS894" s="1031"/>
      <c r="BT894" s="1038"/>
      <c r="BU894" s="1035"/>
      <c r="BV894" s="1035"/>
      <c r="BW894" s="1049"/>
      <c r="BX894" s="1043"/>
      <c r="BY894" s="1046"/>
      <c r="BZ894" s="1167"/>
      <c r="CA894" s="1165"/>
      <c r="CB894" s="1031"/>
      <c r="CC894" s="1038"/>
      <c r="CD894" s="1035"/>
      <c r="CE894" s="1035"/>
      <c r="CF894" s="1049"/>
      <c r="CG894" s="1043"/>
      <c r="CH894" s="1046"/>
      <c r="CI894" s="1167"/>
      <c r="CJ894" s="1168"/>
      <c r="CK894" s="1169"/>
      <c r="CL894" s="1169"/>
      <c r="CM894" s="1166"/>
      <c r="CN894" s="1169"/>
      <c r="CO894" s="1169"/>
      <c r="CP894" s="452"/>
      <c r="CQ894" s="435"/>
      <c r="CR894" s="441"/>
      <c r="CS894" s="452"/>
      <c r="CT894" s="482"/>
      <c r="CU894" s="476"/>
      <c r="CV894" s="431"/>
      <c r="CW894" s="1108"/>
      <c r="CX894" s="1108"/>
      <c r="CY894" s="483"/>
      <c r="CZ894" s="437"/>
      <c r="DA894" s="438"/>
      <c r="DB894" s="439"/>
      <c r="DC894" s="439"/>
      <c r="DD894" s="443"/>
      <c r="DE894" s="411"/>
      <c r="DF894" s="411"/>
      <c r="DG894" s="1117"/>
      <c r="DH894" s="1117"/>
      <c r="DI894" s="1117"/>
      <c r="DJ894" s="442"/>
      <c r="DK894" s="482"/>
      <c r="DL894" s="1038"/>
      <c r="DM894" s="1035"/>
      <c r="DN894" s="1035"/>
      <c r="DO894" s="1035"/>
      <c r="DP894" s="1046"/>
      <c r="DQ894" s="1167"/>
      <c r="DR894" s="1168"/>
      <c r="DS894" s="1165"/>
      <c r="DT894" s="1165"/>
      <c r="DU894" s="1165"/>
      <c r="DV894" s="1031"/>
      <c r="DW894" s="1098">
        <f t="shared" si="1176"/>
        <v>0</v>
      </c>
      <c r="DX894" s="1098">
        <f t="shared" si="1177"/>
        <v>0</v>
      </c>
      <c r="DY894" s="1030"/>
      <c r="DZ894" s="1030"/>
      <c r="EA894" s="1031"/>
      <c r="EB894" s="1050"/>
      <c r="EC894" s="1038"/>
      <c r="ED894" s="1035"/>
      <c r="EE894" s="1046"/>
      <c r="EF894" s="1169"/>
      <c r="EG894" s="1168"/>
      <c r="EH894" s="1165"/>
      <c r="EI894" s="1165"/>
      <c r="EJ894" s="1165"/>
      <c r="EK894" s="1031"/>
      <c r="EL894" s="1098">
        <f t="shared" si="1178"/>
        <v>0</v>
      </c>
      <c r="EM894" s="1098">
        <f t="shared" si="1179"/>
        <v>0</v>
      </c>
      <c r="EN894" s="1030"/>
      <c r="EO894" s="1030"/>
      <c r="EP894" s="1031"/>
      <c r="EQ894" s="1050"/>
      <c r="ER894" s="1038"/>
      <c r="ES894" s="1035"/>
      <c r="ET894" s="1051"/>
    </row>
    <row r="895" spans="2:150" ht="16.5" customHeight="1">
      <c r="B895" s="1024"/>
      <c r="C895" s="1025"/>
      <c r="D895" s="408">
        <v>892</v>
      </c>
      <c r="E895" s="1164"/>
      <c r="F895" s="1164"/>
      <c r="G895" s="1026"/>
      <c r="H895" s="411" t="str">
        <f>IFERROR(INDEX(绊状态确认!C:C,MATCH($G895,绊状态确认!$B:$B,)),"")</f>
        <v/>
      </c>
      <c r="I895" s="450" t="str">
        <f>IFERROR(INDEX(绊状态确认!D:D,MATCH($G895,绊状态确认!$B:$B,)),"")</f>
        <v/>
      </c>
      <c r="J895" s="450" t="str">
        <f>IFERROR(INDEX(绊状态确认!E:E,MATCH($G895,绊状态确认!$B:$B,)),"")</f>
        <v/>
      </c>
      <c r="K895" s="451" t="str">
        <f>IFERROR(INDEX(绊状态确认!F:F,MATCH($G895,绊状态确认!$B:$B,)),"")</f>
        <v/>
      </c>
      <c r="L895" s="1026"/>
      <c r="M895" s="1165"/>
      <c r="N895" s="1027"/>
      <c r="O895" s="1026"/>
      <c r="P895" s="1028"/>
      <c r="Q895" s="1029"/>
      <c r="R895" s="1166"/>
      <c r="S895" s="1030"/>
      <c r="T895" s="1031"/>
      <c r="U895" s="1032"/>
      <c r="V895" s="1033"/>
      <c r="W895" s="1034"/>
      <c r="X895" s="1166"/>
      <c r="Y895" s="1035"/>
      <c r="Z895" s="1036"/>
      <c r="AA895" s="1037"/>
      <c r="AB895" s="1038"/>
      <c r="AC895" s="1039"/>
      <c r="AD895" s="1040"/>
      <c r="AE895" s="1041"/>
      <c r="AF895" s="521"/>
      <c r="AG895" s="420"/>
      <c r="AH895" s="420"/>
      <c r="AI895" s="420"/>
      <c r="AJ895" s="420"/>
      <c r="AK895" s="518"/>
      <c r="AL895" s="1042"/>
      <c r="AM895" s="1035"/>
      <c r="AN895" s="1043"/>
      <c r="AO895" s="1167"/>
      <c r="AP895" s="1044"/>
      <c r="AQ895" s="1035"/>
      <c r="AR895" s="1035"/>
      <c r="AS895" s="1035"/>
      <c r="AT895" s="1165"/>
      <c r="AU895" s="1031"/>
      <c r="AV895" s="1045"/>
      <c r="AW895" s="1038"/>
      <c r="AX895" s="1035"/>
      <c r="AY895" s="483"/>
      <c r="AZ895" s="429"/>
      <c r="BA895" s="431"/>
      <c r="BB895" s="1035"/>
      <c r="BC895" s="1035"/>
      <c r="BD895" s="481"/>
      <c r="BE895" s="432"/>
      <c r="BF895" s="646"/>
      <c r="BG895" s="1047"/>
      <c r="BH895" s="1046"/>
      <c r="BI895" s="1048"/>
      <c r="BJ895" s="1030"/>
      <c r="BK895" s="1046"/>
      <c r="BL895" s="1048"/>
      <c r="BM895" s="1046"/>
      <c r="BN895" s="1167"/>
      <c r="BO895" s="1035"/>
      <c r="BP895" s="1043"/>
      <c r="BQ895" s="1167"/>
      <c r="BR895" s="1165"/>
      <c r="BS895" s="1031"/>
      <c r="BT895" s="1038"/>
      <c r="BU895" s="1035"/>
      <c r="BV895" s="1035"/>
      <c r="BW895" s="1049"/>
      <c r="BX895" s="1043"/>
      <c r="BY895" s="1046"/>
      <c r="BZ895" s="1167"/>
      <c r="CA895" s="1165"/>
      <c r="CB895" s="1031"/>
      <c r="CC895" s="1038"/>
      <c r="CD895" s="1035"/>
      <c r="CE895" s="1035"/>
      <c r="CF895" s="1049"/>
      <c r="CG895" s="1043"/>
      <c r="CH895" s="1046"/>
      <c r="CI895" s="1167"/>
      <c r="CJ895" s="1168"/>
      <c r="CK895" s="1169"/>
      <c r="CL895" s="1169"/>
      <c r="CM895" s="1166"/>
      <c r="CN895" s="1169"/>
      <c r="CO895" s="1169"/>
      <c r="CP895" s="452"/>
      <c r="CQ895" s="435"/>
      <c r="CR895" s="1117"/>
      <c r="CS895" s="452"/>
      <c r="CT895" s="482"/>
      <c r="CU895" s="476"/>
      <c r="CV895" s="431"/>
      <c r="CW895" s="1108"/>
      <c r="CX895" s="1108"/>
      <c r="CY895" s="483"/>
      <c r="CZ895" s="437"/>
      <c r="DA895" s="438"/>
      <c r="DB895" s="439"/>
      <c r="DC895" s="439"/>
      <c r="DD895" s="443"/>
      <c r="DE895" s="411"/>
      <c r="DF895" s="411"/>
      <c r="DG895" s="1117"/>
      <c r="DH895" s="1117"/>
      <c r="DI895" s="1117"/>
      <c r="DJ895" s="442"/>
      <c r="DK895" s="482"/>
      <c r="DL895" s="1038"/>
      <c r="DM895" s="1035"/>
      <c r="DN895" s="1035"/>
      <c r="DO895" s="1035"/>
      <c r="DP895" s="1046"/>
      <c r="DQ895" s="1167"/>
      <c r="DR895" s="1168"/>
      <c r="DS895" s="1165"/>
      <c r="DT895" s="1165"/>
      <c r="DU895" s="1165"/>
      <c r="DV895" s="1031"/>
      <c r="DW895" s="1098">
        <f t="shared" si="1176"/>
        <v>0</v>
      </c>
      <c r="DX895" s="1098">
        <f t="shared" si="1177"/>
        <v>0</v>
      </c>
      <c r="DY895" s="1030"/>
      <c r="DZ895" s="1030"/>
      <c r="EA895" s="1031"/>
      <c r="EB895" s="1050"/>
      <c r="EC895" s="1038"/>
      <c r="ED895" s="1035"/>
      <c r="EE895" s="1046"/>
      <c r="EF895" s="1169"/>
      <c r="EG895" s="1168"/>
      <c r="EH895" s="1165"/>
      <c r="EI895" s="1165"/>
      <c r="EJ895" s="1165"/>
      <c r="EK895" s="1031"/>
      <c r="EL895" s="1098">
        <f t="shared" si="1178"/>
        <v>0</v>
      </c>
      <c r="EM895" s="1098">
        <f t="shared" si="1179"/>
        <v>0</v>
      </c>
      <c r="EN895" s="1030"/>
      <c r="EO895" s="1030"/>
      <c r="EP895" s="1031"/>
      <c r="EQ895" s="1050"/>
      <c r="ER895" s="1038"/>
      <c r="ES895" s="1035"/>
      <c r="ET895" s="1051"/>
    </row>
    <row r="896" spans="2:150" ht="16.5" customHeight="1">
      <c r="B896" s="1024"/>
      <c r="C896" s="1025"/>
      <c r="D896" s="408">
        <v>893</v>
      </c>
      <c r="E896" s="1164"/>
      <c r="F896" s="1164"/>
      <c r="G896" s="1026"/>
      <c r="H896" s="411" t="str">
        <f>IFERROR(INDEX(绊状态确认!C:C,MATCH($G896,绊状态确认!$B:$B,)),"")</f>
        <v/>
      </c>
      <c r="I896" s="450" t="str">
        <f>IFERROR(INDEX(绊状态确认!D:D,MATCH($G896,绊状态确认!$B:$B,)),"")</f>
        <v/>
      </c>
      <c r="J896" s="450" t="str">
        <f>IFERROR(INDEX(绊状态确认!E:E,MATCH($G896,绊状态确认!$B:$B,)),"")</f>
        <v/>
      </c>
      <c r="K896" s="451" t="str">
        <f>IFERROR(INDEX(绊状态确认!F:F,MATCH($G896,绊状态确认!$B:$B,)),"")</f>
        <v/>
      </c>
      <c r="L896" s="1026"/>
      <c r="M896" s="1165"/>
      <c r="N896" s="1027"/>
      <c r="O896" s="1026"/>
      <c r="P896" s="1028"/>
      <c r="Q896" s="1029"/>
      <c r="R896" s="1166"/>
      <c r="S896" s="1030"/>
      <c r="T896" s="1031"/>
      <c r="U896" s="1032"/>
      <c r="V896" s="1033"/>
      <c r="W896" s="1034"/>
      <c r="X896" s="1166"/>
      <c r="Y896" s="1035"/>
      <c r="Z896" s="1036"/>
      <c r="AA896" s="1037"/>
      <c r="AB896" s="1038"/>
      <c r="AC896" s="1039"/>
      <c r="AD896" s="1040"/>
      <c r="AE896" s="1041"/>
      <c r="AF896" s="521"/>
      <c r="AG896" s="420"/>
      <c r="AH896" s="420"/>
      <c r="AI896" s="420"/>
      <c r="AJ896" s="420"/>
      <c r="AK896" s="518"/>
      <c r="AL896" s="1042"/>
      <c r="AM896" s="1035"/>
      <c r="AN896" s="1043"/>
      <c r="AO896" s="1167"/>
      <c r="AP896" s="1044"/>
      <c r="AQ896" s="1035"/>
      <c r="AR896" s="1035"/>
      <c r="AS896" s="1035"/>
      <c r="AT896" s="1165"/>
      <c r="AU896" s="1031"/>
      <c r="AV896" s="1045"/>
      <c r="AW896" s="1038"/>
      <c r="AX896" s="1035"/>
      <c r="AY896" s="483"/>
      <c r="AZ896" s="429"/>
      <c r="BA896" s="431"/>
      <c r="BB896" s="1035"/>
      <c r="BC896" s="1035"/>
      <c r="BD896" s="481"/>
      <c r="BE896" s="432"/>
      <c r="BF896" s="646"/>
      <c r="BG896" s="1047"/>
      <c r="BH896" s="1046"/>
      <c r="BI896" s="1048"/>
      <c r="BJ896" s="1030"/>
      <c r="BK896" s="1046"/>
      <c r="BL896" s="1048"/>
      <c r="BM896" s="1046"/>
      <c r="BN896" s="1167"/>
      <c r="BO896" s="1035"/>
      <c r="BP896" s="1043"/>
      <c r="BQ896" s="1167"/>
      <c r="BR896" s="1165"/>
      <c r="BS896" s="1031"/>
      <c r="BT896" s="1038"/>
      <c r="BU896" s="1035"/>
      <c r="BV896" s="1035"/>
      <c r="BW896" s="1049"/>
      <c r="BX896" s="1043"/>
      <c r="BY896" s="1046"/>
      <c r="BZ896" s="1167"/>
      <c r="CA896" s="1165"/>
      <c r="CB896" s="1031"/>
      <c r="CC896" s="1038"/>
      <c r="CD896" s="1035"/>
      <c r="CE896" s="1035"/>
      <c r="CF896" s="1049"/>
      <c r="CG896" s="1043"/>
      <c r="CH896" s="1046"/>
      <c r="CI896" s="1167"/>
      <c r="CJ896" s="1168"/>
      <c r="CK896" s="1169"/>
      <c r="CL896" s="1169"/>
      <c r="CM896" s="1166"/>
      <c r="CN896" s="1169"/>
      <c r="CO896" s="1169"/>
      <c r="CP896" s="452"/>
      <c r="CQ896" s="435"/>
      <c r="CR896" s="1117"/>
      <c r="CS896" s="452"/>
      <c r="CT896" s="482"/>
      <c r="CU896" s="476"/>
      <c r="CV896" s="431"/>
      <c r="CW896" s="1108"/>
      <c r="CX896" s="1108"/>
      <c r="CY896" s="483"/>
      <c r="CZ896" s="437"/>
      <c r="DA896" s="438"/>
      <c r="DB896" s="439"/>
      <c r="DC896" s="439"/>
      <c r="DD896" s="443"/>
      <c r="DE896" s="411"/>
      <c r="DF896" s="411"/>
      <c r="DG896" s="1117"/>
      <c r="DH896" s="1117"/>
      <c r="DI896" s="1117"/>
      <c r="DJ896" s="442"/>
      <c r="DK896" s="482"/>
      <c r="DL896" s="1038"/>
      <c r="DM896" s="1035"/>
      <c r="DN896" s="1035"/>
      <c r="DO896" s="1035"/>
      <c r="DP896" s="1046"/>
      <c r="DQ896" s="1167"/>
      <c r="DR896" s="1168"/>
      <c r="DS896" s="1165"/>
      <c r="DT896" s="1165"/>
      <c r="DU896" s="1165"/>
      <c r="DV896" s="1031"/>
      <c r="DW896" s="1098">
        <f t="shared" si="1176"/>
        <v>0</v>
      </c>
      <c r="DX896" s="1098">
        <f t="shared" si="1177"/>
        <v>0</v>
      </c>
      <c r="DY896" s="1030"/>
      <c r="DZ896" s="1030"/>
      <c r="EA896" s="1031"/>
      <c r="EB896" s="1050"/>
      <c r="EC896" s="1038"/>
      <c r="ED896" s="1035"/>
      <c r="EE896" s="1046"/>
      <c r="EF896" s="1169"/>
      <c r="EG896" s="1168"/>
      <c r="EH896" s="1165"/>
      <c r="EI896" s="1165"/>
      <c r="EJ896" s="1165"/>
      <c r="EK896" s="1031"/>
      <c r="EL896" s="1098">
        <f t="shared" si="1178"/>
        <v>0</v>
      </c>
      <c r="EM896" s="1098">
        <f t="shared" si="1179"/>
        <v>0</v>
      </c>
      <c r="EN896" s="1030"/>
      <c r="EO896" s="1030"/>
      <c r="EP896" s="1031"/>
      <c r="EQ896" s="1050"/>
      <c r="ER896" s="1038"/>
      <c r="ES896" s="1035"/>
      <c r="ET896" s="1051"/>
    </row>
    <row r="897" spans="2:150" ht="16.5" customHeight="1">
      <c r="B897" s="1024"/>
      <c r="C897" s="1025"/>
      <c r="D897" s="408">
        <v>894</v>
      </c>
      <c r="E897" s="1164"/>
      <c r="F897" s="1164"/>
      <c r="G897" s="1026"/>
      <c r="H897" s="411" t="str">
        <f>IFERROR(INDEX(绊状态确认!C:C,MATCH($G897,绊状态确认!$B:$B,)),"")</f>
        <v/>
      </c>
      <c r="I897" s="450" t="str">
        <f>IFERROR(INDEX(绊状态确认!D:D,MATCH($G897,绊状态确认!$B:$B,)),"")</f>
        <v/>
      </c>
      <c r="J897" s="450" t="str">
        <f>IFERROR(INDEX(绊状态确认!E:E,MATCH($G897,绊状态确认!$B:$B,)),"")</f>
        <v/>
      </c>
      <c r="K897" s="451" t="str">
        <f>IFERROR(INDEX(绊状态确认!F:F,MATCH($G897,绊状态确认!$B:$B,)),"")</f>
        <v/>
      </c>
      <c r="L897" s="1026"/>
      <c r="M897" s="1165"/>
      <c r="N897" s="1027"/>
      <c r="O897" s="1026"/>
      <c r="P897" s="1028"/>
      <c r="Q897" s="1029"/>
      <c r="R897" s="1166"/>
      <c r="S897" s="1030"/>
      <c r="T897" s="1031"/>
      <c r="U897" s="1032"/>
      <c r="V897" s="1033"/>
      <c r="W897" s="1034"/>
      <c r="X897" s="1166"/>
      <c r="Y897" s="1035"/>
      <c r="Z897" s="1036"/>
      <c r="AA897" s="1037"/>
      <c r="AB897" s="1038"/>
      <c r="AC897" s="1039"/>
      <c r="AD897" s="1040"/>
      <c r="AE897" s="1041"/>
      <c r="AF897" s="521"/>
      <c r="AG897" s="420"/>
      <c r="AH897" s="420"/>
      <c r="AI897" s="420"/>
      <c r="AJ897" s="420"/>
      <c r="AK897" s="518"/>
      <c r="AL897" s="1042"/>
      <c r="AM897" s="1035"/>
      <c r="AN897" s="1043"/>
      <c r="AO897" s="1167"/>
      <c r="AP897" s="1044"/>
      <c r="AQ897" s="1035"/>
      <c r="AR897" s="1035"/>
      <c r="AS897" s="1035"/>
      <c r="AT897" s="1165"/>
      <c r="AU897" s="1031"/>
      <c r="AV897" s="1045"/>
      <c r="AW897" s="1038"/>
      <c r="AX897" s="1035"/>
      <c r="AY897" s="483"/>
      <c r="AZ897" s="429"/>
      <c r="BA897" s="431"/>
      <c r="BB897" s="1035"/>
      <c r="BC897" s="1035"/>
      <c r="BD897" s="481"/>
      <c r="BE897" s="432"/>
      <c r="BF897" s="646"/>
      <c r="BG897" s="1047"/>
      <c r="BH897" s="1046"/>
      <c r="BI897" s="1048"/>
      <c r="BJ897" s="1030"/>
      <c r="BK897" s="1046"/>
      <c r="BL897" s="1048"/>
      <c r="BM897" s="1046"/>
      <c r="BN897" s="1167"/>
      <c r="BO897" s="1035"/>
      <c r="BP897" s="1043"/>
      <c r="BQ897" s="1167"/>
      <c r="BR897" s="1165"/>
      <c r="BS897" s="1031"/>
      <c r="BT897" s="1038"/>
      <c r="BU897" s="1035"/>
      <c r="BV897" s="1035"/>
      <c r="BW897" s="1049"/>
      <c r="BX897" s="1043"/>
      <c r="BY897" s="1046"/>
      <c r="BZ897" s="1167"/>
      <c r="CA897" s="1165"/>
      <c r="CB897" s="1031"/>
      <c r="CC897" s="1038"/>
      <c r="CD897" s="1035"/>
      <c r="CE897" s="1035"/>
      <c r="CF897" s="1049"/>
      <c r="CG897" s="1043"/>
      <c r="CH897" s="1046"/>
      <c r="CI897" s="1167"/>
      <c r="CJ897" s="1168"/>
      <c r="CK897" s="1169"/>
      <c r="CL897" s="1169"/>
      <c r="CM897" s="1166"/>
      <c r="CN897" s="1169"/>
      <c r="CO897" s="1169"/>
      <c r="CP897" s="452"/>
      <c r="CQ897" s="435"/>
      <c r="CR897" s="441"/>
      <c r="CS897" s="452"/>
      <c r="CT897" s="482"/>
      <c r="CU897" s="476"/>
      <c r="CV897" s="431"/>
      <c r="CW897" s="1108"/>
      <c r="CX897" s="1108"/>
      <c r="CY897" s="483"/>
      <c r="CZ897" s="437"/>
      <c r="DA897" s="438"/>
      <c r="DB897" s="439"/>
      <c r="DC897" s="439"/>
      <c r="DD897" s="443"/>
      <c r="DE897" s="411"/>
      <c r="DF897" s="411"/>
      <c r="DG897" s="1117"/>
      <c r="DH897" s="1117"/>
      <c r="DI897" s="1117"/>
      <c r="DJ897" s="442"/>
      <c r="DK897" s="482"/>
      <c r="DL897" s="1038"/>
      <c r="DM897" s="1035"/>
      <c r="DN897" s="1035"/>
      <c r="DO897" s="1035"/>
      <c r="DP897" s="1046"/>
      <c r="DQ897" s="1167"/>
      <c r="DR897" s="1168"/>
      <c r="DS897" s="1165"/>
      <c r="DT897" s="1165"/>
      <c r="DU897" s="1165"/>
      <c r="DV897" s="1031"/>
      <c r="DW897" s="1098">
        <f t="shared" si="1176"/>
        <v>0</v>
      </c>
      <c r="DX897" s="1098">
        <f t="shared" si="1177"/>
        <v>0</v>
      </c>
      <c r="DY897" s="1030"/>
      <c r="DZ897" s="1030"/>
      <c r="EA897" s="1031"/>
      <c r="EB897" s="1050"/>
      <c r="EC897" s="1038"/>
      <c r="ED897" s="1035"/>
      <c r="EE897" s="1046"/>
      <c r="EF897" s="1169"/>
      <c r="EG897" s="1168"/>
      <c r="EH897" s="1165"/>
      <c r="EI897" s="1165"/>
      <c r="EJ897" s="1165"/>
      <c r="EK897" s="1031"/>
      <c r="EL897" s="1098">
        <f t="shared" si="1178"/>
        <v>0</v>
      </c>
      <c r="EM897" s="1098">
        <f t="shared" si="1179"/>
        <v>0</v>
      </c>
      <c r="EN897" s="1030"/>
      <c r="EO897" s="1030"/>
      <c r="EP897" s="1031"/>
      <c r="EQ897" s="1050"/>
      <c r="ER897" s="1038"/>
      <c r="ES897" s="1035"/>
      <c r="ET897" s="1051"/>
    </row>
    <row r="898" spans="2:150" ht="16.5" customHeight="1">
      <c r="B898" s="1024"/>
      <c r="C898" s="1025"/>
      <c r="D898" s="408">
        <v>895</v>
      </c>
      <c r="E898" s="1164"/>
      <c r="F898" s="1164"/>
      <c r="G898" s="1026"/>
      <c r="H898" s="411" t="str">
        <f>IFERROR(INDEX(绊状态确认!C:C,MATCH($G898,绊状态确认!$B:$B,)),"")</f>
        <v/>
      </c>
      <c r="I898" s="450" t="str">
        <f>IFERROR(INDEX(绊状态确认!D:D,MATCH($G898,绊状态确认!$B:$B,)),"")</f>
        <v/>
      </c>
      <c r="J898" s="450" t="str">
        <f>IFERROR(INDEX(绊状态确认!E:E,MATCH($G898,绊状态确认!$B:$B,)),"")</f>
        <v/>
      </c>
      <c r="K898" s="451" t="str">
        <f>IFERROR(INDEX(绊状态确认!F:F,MATCH($G898,绊状态确认!$B:$B,)),"")</f>
        <v/>
      </c>
      <c r="L898" s="1026"/>
      <c r="M898" s="1165"/>
      <c r="N898" s="1027"/>
      <c r="O898" s="1026"/>
      <c r="P898" s="1028"/>
      <c r="Q898" s="1029"/>
      <c r="R898" s="1166"/>
      <c r="S898" s="1030"/>
      <c r="T898" s="1031"/>
      <c r="U898" s="1032"/>
      <c r="V898" s="1033"/>
      <c r="W898" s="1034"/>
      <c r="X898" s="1166"/>
      <c r="Y898" s="1035"/>
      <c r="Z898" s="1036"/>
      <c r="AA898" s="1037"/>
      <c r="AB898" s="1038"/>
      <c r="AC898" s="1039"/>
      <c r="AD898" s="1040"/>
      <c r="AE898" s="1041"/>
      <c r="AF898" s="521"/>
      <c r="AG898" s="420"/>
      <c r="AH898" s="420"/>
      <c r="AI898" s="420"/>
      <c r="AJ898" s="420"/>
      <c r="AK898" s="518"/>
      <c r="AL898" s="1042"/>
      <c r="AM898" s="1035"/>
      <c r="AN898" s="1043"/>
      <c r="AO898" s="1167"/>
      <c r="AP898" s="1044"/>
      <c r="AQ898" s="1035"/>
      <c r="AR898" s="1035"/>
      <c r="AS898" s="1035"/>
      <c r="AT898" s="1165"/>
      <c r="AU898" s="1031"/>
      <c r="AV898" s="1045"/>
      <c r="AW898" s="1038"/>
      <c r="AX898" s="1035"/>
      <c r="AY898" s="483"/>
      <c r="AZ898" s="429"/>
      <c r="BA898" s="431"/>
      <c r="BB898" s="1035"/>
      <c r="BC898" s="1035"/>
      <c r="BD898" s="481"/>
      <c r="BE898" s="432"/>
      <c r="BF898" s="646"/>
      <c r="BG898" s="1047"/>
      <c r="BH898" s="1046"/>
      <c r="BI898" s="1048"/>
      <c r="BJ898" s="1030"/>
      <c r="BK898" s="1046"/>
      <c r="BL898" s="1048"/>
      <c r="BM898" s="1046"/>
      <c r="BN898" s="1167"/>
      <c r="BO898" s="1035"/>
      <c r="BP898" s="1043"/>
      <c r="BQ898" s="1167"/>
      <c r="BR898" s="1165"/>
      <c r="BS898" s="1031"/>
      <c r="BT898" s="1038"/>
      <c r="BU898" s="1035"/>
      <c r="BV898" s="1035"/>
      <c r="BW898" s="1049"/>
      <c r="BX898" s="1043"/>
      <c r="BY898" s="1046"/>
      <c r="BZ898" s="1167"/>
      <c r="CA898" s="1165"/>
      <c r="CB898" s="1031"/>
      <c r="CC898" s="1038"/>
      <c r="CD898" s="1035"/>
      <c r="CE898" s="1035"/>
      <c r="CF898" s="1049"/>
      <c r="CG898" s="1043"/>
      <c r="CH898" s="1046"/>
      <c r="CI898" s="1167"/>
      <c r="CJ898" s="1168"/>
      <c r="CK898" s="1169"/>
      <c r="CL898" s="1169"/>
      <c r="CM898" s="1166"/>
      <c r="CN898" s="1169"/>
      <c r="CO898" s="1169"/>
      <c r="CP898" s="452"/>
      <c r="CQ898" s="435"/>
      <c r="CR898" s="1117"/>
      <c r="CS898" s="452"/>
      <c r="CT898" s="482"/>
      <c r="CU898" s="476"/>
      <c r="CV898" s="431"/>
      <c r="CW898" s="1108"/>
      <c r="CX898" s="1108"/>
      <c r="CY898" s="483"/>
      <c r="CZ898" s="437"/>
      <c r="DA898" s="438"/>
      <c r="DB898" s="439"/>
      <c r="DC898" s="439"/>
      <c r="DD898" s="443"/>
      <c r="DE898" s="411"/>
      <c r="DF898" s="411"/>
      <c r="DG898" s="1117"/>
      <c r="DH898" s="1117"/>
      <c r="DI898" s="1117"/>
      <c r="DJ898" s="442"/>
      <c r="DK898" s="482"/>
      <c r="DL898" s="1038"/>
      <c r="DM898" s="1035"/>
      <c r="DN898" s="1035"/>
      <c r="DO898" s="1035"/>
      <c r="DP898" s="1046"/>
      <c r="DQ898" s="1167"/>
      <c r="DR898" s="1168"/>
      <c r="DS898" s="1165"/>
      <c r="DT898" s="1165"/>
      <c r="DU898" s="1165"/>
      <c r="DV898" s="1031"/>
      <c r="DW898" s="1098">
        <f t="shared" si="1176"/>
        <v>0</v>
      </c>
      <c r="DX898" s="1098">
        <f t="shared" si="1177"/>
        <v>0</v>
      </c>
      <c r="DY898" s="1030"/>
      <c r="DZ898" s="1030"/>
      <c r="EA898" s="1031"/>
      <c r="EB898" s="1050"/>
      <c r="EC898" s="1038"/>
      <c r="ED898" s="1035"/>
      <c r="EE898" s="1046"/>
      <c r="EF898" s="1169"/>
      <c r="EG898" s="1168"/>
      <c r="EH898" s="1165"/>
      <c r="EI898" s="1165"/>
      <c r="EJ898" s="1165"/>
      <c r="EK898" s="1031"/>
      <c r="EL898" s="1098">
        <f t="shared" si="1178"/>
        <v>0</v>
      </c>
      <c r="EM898" s="1098">
        <f t="shared" si="1179"/>
        <v>0</v>
      </c>
      <c r="EN898" s="1030"/>
      <c r="EO898" s="1030"/>
      <c r="EP898" s="1031"/>
      <c r="EQ898" s="1050"/>
      <c r="ER898" s="1038"/>
      <c r="ES898" s="1035"/>
      <c r="ET898" s="1051"/>
    </row>
    <row r="899" spans="2:150" ht="16.5" customHeight="1">
      <c r="B899" s="1024"/>
      <c r="C899" s="1025"/>
      <c r="D899" s="408">
        <v>896</v>
      </c>
      <c r="E899" s="1164"/>
      <c r="F899" s="1164"/>
      <c r="G899" s="1026"/>
      <c r="H899" s="411" t="str">
        <f>IFERROR(INDEX(绊状态确认!C:C,MATCH($G899,绊状态确认!$B:$B,)),"")</f>
        <v/>
      </c>
      <c r="I899" s="450" t="str">
        <f>IFERROR(INDEX(绊状态确认!D:D,MATCH($G899,绊状态确认!$B:$B,)),"")</f>
        <v/>
      </c>
      <c r="J899" s="450" t="str">
        <f>IFERROR(INDEX(绊状态确认!E:E,MATCH($G899,绊状态确认!$B:$B,)),"")</f>
        <v/>
      </c>
      <c r="K899" s="451" t="str">
        <f>IFERROR(INDEX(绊状态确认!F:F,MATCH($G899,绊状态确认!$B:$B,)),"")</f>
        <v/>
      </c>
      <c r="L899" s="1026"/>
      <c r="M899" s="1165"/>
      <c r="N899" s="1027"/>
      <c r="O899" s="1026"/>
      <c r="P899" s="1028"/>
      <c r="Q899" s="1029"/>
      <c r="R899" s="1166"/>
      <c r="S899" s="1030"/>
      <c r="T899" s="1031"/>
      <c r="U899" s="1032"/>
      <c r="V899" s="1033"/>
      <c r="W899" s="1034"/>
      <c r="X899" s="1166"/>
      <c r="Y899" s="1035"/>
      <c r="Z899" s="1036"/>
      <c r="AA899" s="1037"/>
      <c r="AB899" s="1038"/>
      <c r="AC899" s="1039"/>
      <c r="AD899" s="1040"/>
      <c r="AE899" s="1041"/>
      <c r="AF899" s="521"/>
      <c r="AG899" s="420"/>
      <c r="AH899" s="420"/>
      <c r="AI899" s="420"/>
      <c r="AJ899" s="420"/>
      <c r="AK899" s="518"/>
      <c r="AL899" s="1042"/>
      <c r="AM899" s="1035"/>
      <c r="AN899" s="1043"/>
      <c r="AO899" s="1167"/>
      <c r="AP899" s="1044"/>
      <c r="AQ899" s="1035"/>
      <c r="AR899" s="1035"/>
      <c r="AS899" s="1035"/>
      <c r="AT899" s="1165"/>
      <c r="AU899" s="1031"/>
      <c r="AV899" s="1045"/>
      <c r="AW899" s="1038"/>
      <c r="AX899" s="1035"/>
      <c r="AY899" s="483"/>
      <c r="AZ899" s="429"/>
      <c r="BA899" s="431"/>
      <c r="BB899" s="1035"/>
      <c r="BC899" s="1035"/>
      <c r="BD899" s="481"/>
      <c r="BE899" s="432"/>
      <c r="BF899" s="646"/>
      <c r="BG899" s="1047"/>
      <c r="BH899" s="1046"/>
      <c r="BI899" s="1048"/>
      <c r="BJ899" s="1030"/>
      <c r="BK899" s="1046"/>
      <c r="BL899" s="1048"/>
      <c r="BM899" s="1046"/>
      <c r="BN899" s="1167"/>
      <c r="BO899" s="1035"/>
      <c r="BP899" s="1043"/>
      <c r="BQ899" s="1167"/>
      <c r="BR899" s="1165"/>
      <c r="BS899" s="1031"/>
      <c r="BT899" s="1038"/>
      <c r="BU899" s="1035"/>
      <c r="BV899" s="1035"/>
      <c r="BW899" s="1049"/>
      <c r="BX899" s="1043"/>
      <c r="BY899" s="1046"/>
      <c r="BZ899" s="1167"/>
      <c r="CA899" s="1165"/>
      <c r="CB899" s="1031"/>
      <c r="CC899" s="1038"/>
      <c r="CD899" s="1035"/>
      <c r="CE899" s="1035"/>
      <c r="CF899" s="1049"/>
      <c r="CG899" s="1043"/>
      <c r="CH899" s="1046"/>
      <c r="CI899" s="1167"/>
      <c r="CJ899" s="1168"/>
      <c r="CK899" s="1169"/>
      <c r="CL899" s="1169"/>
      <c r="CM899" s="1166"/>
      <c r="CN899" s="1169"/>
      <c r="CO899" s="1169"/>
      <c r="CP899" s="452"/>
      <c r="CQ899" s="435"/>
      <c r="CR899" s="1117"/>
      <c r="CS899" s="452"/>
      <c r="CT899" s="482"/>
      <c r="CU899" s="476"/>
      <c r="CV899" s="431"/>
      <c r="CW899" s="1108"/>
      <c r="CX899" s="1108"/>
      <c r="CY899" s="483"/>
      <c r="CZ899" s="437"/>
      <c r="DA899" s="438"/>
      <c r="DB899" s="439"/>
      <c r="DC899" s="439"/>
      <c r="DD899" s="443"/>
      <c r="DE899" s="411"/>
      <c r="DF899" s="411"/>
      <c r="DG899" s="1117"/>
      <c r="DH899" s="1117"/>
      <c r="DI899" s="1117"/>
      <c r="DJ899" s="442"/>
      <c r="DK899" s="482"/>
      <c r="DL899" s="1038"/>
      <c r="DM899" s="1035"/>
      <c r="DN899" s="1035"/>
      <c r="DO899" s="1035"/>
      <c r="DP899" s="1046"/>
      <c r="DQ899" s="1167"/>
      <c r="DR899" s="1168"/>
      <c r="DS899" s="1165"/>
      <c r="DT899" s="1165"/>
      <c r="DU899" s="1165"/>
      <c r="DV899" s="1031"/>
      <c r="DW899" s="1098">
        <f t="shared" si="1176"/>
        <v>0</v>
      </c>
      <c r="DX899" s="1098">
        <f t="shared" si="1177"/>
        <v>0</v>
      </c>
      <c r="DY899" s="1030"/>
      <c r="DZ899" s="1030"/>
      <c r="EA899" s="1031"/>
      <c r="EB899" s="1050"/>
      <c r="EC899" s="1038"/>
      <c r="ED899" s="1035"/>
      <c r="EE899" s="1046"/>
      <c r="EF899" s="1169"/>
      <c r="EG899" s="1168"/>
      <c r="EH899" s="1165"/>
      <c r="EI899" s="1165"/>
      <c r="EJ899" s="1165"/>
      <c r="EK899" s="1031"/>
      <c r="EL899" s="1098">
        <f t="shared" si="1178"/>
        <v>0</v>
      </c>
      <c r="EM899" s="1098">
        <f t="shared" si="1179"/>
        <v>0</v>
      </c>
      <c r="EN899" s="1030"/>
      <c r="EO899" s="1030"/>
      <c r="EP899" s="1031"/>
      <c r="EQ899" s="1050"/>
      <c r="ER899" s="1038"/>
      <c r="ES899" s="1035"/>
      <c r="ET899" s="1051"/>
    </row>
    <row r="900" spans="2:150" ht="16.5" customHeight="1">
      <c r="B900" s="1024"/>
      <c r="C900" s="1025"/>
      <c r="D900" s="408">
        <v>897</v>
      </c>
      <c r="E900" s="1164"/>
      <c r="F900" s="1164"/>
      <c r="G900" s="1026"/>
      <c r="H900" s="411" t="str">
        <f>IFERROR(INDEX(绊状态确认!C:C,MATCH($G900,绊状态确认!$B:$B,)),"")</f>
        <v/>
      </c>
      <c r="I900" s="450" t="str">
        <f>IFERROR(INDEX(绊状态确认!D:D,MATCH($G900,绊状态确认!$B:$B,)),"")</f>
        <v/>
      </c>
      <c r="J900" s="450" t="str">
        <f>IFERROR(INDEX(绊状态确认!E:E,MATCH($G900,绊状态确认!$B:$B,)),"")</f>
        <v/>
      </c>
      <c r="K900" s="451" t="str">
        <f>IFERROR(INDEX(绊状态确认!F:F,MATCH($G900,绊状态确认!$B:$B,)),"")</f>
        <v/>
      </c>
      <c r="L900" s="1026"/>
      <c r="M900" s="1165"/>
      <c r="N900" s="1027"/>
      <c r="O900" s="1026"/>
      <c r="P900" s="1028"/>
      <c r="Q900" s="1029"/>
      <c r="R900" s="1166"/>
      <c r="S900" s="1030"/>
      <c r="T900" s="1031"/>
      <c r="U900" s="1032"/>
      <c r="V900" s="1033"/>
      <c r="W900" s="1034"/>
      <c r="X900" s="1166"/>
      <c r="Y900" s="1035"/>
      <c r="Z900" s="1036"/>
      <c r="AA900" s="1037"/>
      <c r="AB900" s="1038"/>
      <c r="AC900" s="1039"/>
      <c r="AD900" s="1040"/>
      <c r="AE900" s="1041"/>
      <c r="AF900" s="521"/>
      <c r="AG900" s="420"/>
      <c r="AH900" s="420"/>
      <c r="AI900" s="420"/>
      <c r="AJ900" s="420"/>
      <c r="AK900" s="518"/>
      <c r="AL900" s="1042"/>
      <c r="AM900" s="1035"/>
      <c r="AN900" s="1043"/>
      <c r="AO900" s="1167"/>
      <c r="AP900" s="1044"/>
      <c r="AQ900" s="1035"/>
      <c r="AR900" s="1035"/>
      <c r="AS900" s="1035"/>
      <c r="AT900" s="1165"/>
      <c r="AU900" s="1031"/>
      <c r="AV900" s="1045"/>
      <c r="AW900" s="1038"/>
      <c r="AX900" s="1035"/>
      <c r="AY900" s="483"/>
      <c r="AZ900" s="429"/>
      <c r="BA900" s="431"/>
      <c r="BB900" s="1035"/>
      <c r="BC900" s="1035"/>
      <c r="BD900" s="481"/>
      <c r="BE900" s="432"/>
      <c r="BF900" s="646"/>
      <c r="BG900" s="1047"/>
      <c r="BH900" s="1046"/>
      <c r="BI900" s="1048"/>
      <c r="BJ900" s="1030"/>
      <c r="BK900" s="1046"/>
      <c r="BL900" s="1048"/>
      <c r="BM900" s="1046"/>
      <c r="BN900" s="1167"/>
      <c r="BO900" s="1035"/>
      <c r="BP900" s="1043"/>
      <c r="BQ900" s="1167"/>
      <c r="BR900" s="1165"/>
      <c r="BS900" s="1031"/>
      <c r="BT900" s="1038"/>
      <c r="BU900" s="1035"/>
      <c r="BV900" s="1035"/>
      <c r="BW900" s="1049"/>
      <c r="BX900" s="1043"/>
      <c r="BY900" s="1046"/>
      <c r="BZ900" s="1167"/>
      <c r="CA900" s="1165"/>
      <c r="CB900" s="1031"/>
      <c r="CC900" s="1038"/>
      <c r="CD900" s="1035"/>
      <c r="CE900" s="1035"/>
      <c r="CF900" s="1049"/>
      <c r="CG900" s="1043"/>
      <c r="CH900" s="1046"/>
      <c r="CI900" s="1167"/>
      <c r="CJ900" s="1168"/>
      <c r="CK900" s="1169"/>
      <c r="CL900" s="1169"/>
      <c r="CM900" s="1166"/>
      <c r="CN900" s="1169"/>
      <c r="CO900" s="1169"/>
      <c r="CP900" s="452"/>
      <c r="CQ900" s="435"/>
      <c r="CR900" s="1117"/>
      <c r="CS900" s="452"/>
      <c r="CT900" s="482"/>
      <c r="CU900" s="476"/>
      <c r="CV900" s="431"/>
      <c r="CW900" s="1108"/>
      <c r="CX900" s="1108"/>
      <c r="CY900" s="483"/>
      <c r="CZ900" s="437"/>
      <c r="DA900" s="438"/>
      <c r="DB900" s="439"/>
      <c r="DC900" s="439"/>
      <c r="DD900" s="443"/>
      <c r="DE900" s="411"/>
      <c r="DF900" s="411"/>
      <c r="DG900" s="1117"/>
      <c r="DH900" s="1117"/>
      <c r="DI900" s="1117"/>
      <c r="DJ900" s="442"/>
      <c r="DK900" s="482"/>
      <c r="DL900" s="1038"/>
      <c r="DM900" s="1035"/>
      <c r="DN900" s="1035"/>
      <c r="DO900" s="1035"/>
      <c r="DP900" s="1046"/>
      <c r="DQ900" s="1167"/>
      <c r="DR900" s="1168"/>
      <c r="DS900" s="1165"/>
      <c r="DT900" s="1165"/>
      <c r="DU900" s="1165"/>
      <c r="DV900" s="1031"/>
      <c r="DW900" s="1098">
        <f t="shared" ref="DW900:DW963" si="1180">DR900+IF(AND($CK900="技能+",$CL900="自身",DR900=0.11),$CP900*3)</f>
        <v>0</v>
      </c>
      <c r="DX900" s="1098">
        <f t="shared" ref="DX900:DX963" si="1181">DR900+IF(AND($CK900="技能+",$CL900="自身",DR900=0.11),$CQ900*3)</f>
        <v>0</v>
      </c>
      <c r="DY900" s="1030"/>
      <c r="DZ900" s="1030"/>
      <c r="EA900" s="1031"/>
      <c r="EB900" s="1050"/>
      <c r="EC900" s="1038"/>
      <c r="ED900" s="1035"/>
      <c r="EE900" s="1046"/>
      <c r="EF900" s="1169"/>
      <c r="EG900" s="1168"/>
      <c r="EH900" s="1165"/>
      <c r="EI900" s="1165"/>
      <c r="EJ900" s="1165"/>
      <c r="EK900" s="1031"/>
      <c r="EL900" s="1098">
        <f t="shared" ref="EL900:EL963" si="1182">EG900+IF(AND($CK900="技能+",$CL900="自身",EG900=0.11),$CP900*3)</f>
        <v>0</v>
      </c>
      <c r="EM900" s="1098">
        <f t="shared" ref="EM900:EM963" si="1183">EG900+IF(AND($CK900="技能+",$CL900="自身",EG900=0.11),$CQ900*3)</f>
        <v>0</v>
      </c>
      <c r="EN900" s="1030"/>
      <c r="EO900" s="1030"/>
      <c r="EP900" s="1031"/>
      <c r="EQ900" s="1050"/>
      <c r="ER900" s="1038"/>
      <c r="ES900" s="1035"/>
      <c r="ET900" s="1051"/>
    </row>
    <row r="901" spans="2:150" ht="16.5" customHeight="1">
      <c r="B901" s="1024"/>
      <c r="C901" s="1025"/>
      <c r="D901" s="408">
        <v>898</v>
      </c>
      <c r="E901" s="1164"/>
      <c r="F901" s="1164"/>
      <c r="G901" s="1026"/>
      <c r="H901" s="411" t="str">
        <f>IFERROR(INDEX(绊状态确认!C:C,MATCH($G901,绊状态确认!$B:$B,)),"")</f>
        <v/>
      </c>
      <c r="I901" s="450" t="str">
        <f>IFERROR(INDEX(绊状态确认!D:D,MATCH($G901,绊状态确认!$B:$B,)),"")</f>
        <v/>
      </c>
      <c r="J901" s="450" t="str">
        <f>IFERROR(INDEX(绊状态确认!E:E,MATCH($G901,绊状态确认!$B:$B,)),"")</f>
        <v/>
      </c>
      <c r="K901" s="451" t="str">
        <f>IFERROR(INDEX(绊状态确认!F:F,MATCH($G901,绊状态确认!$B:$B,)),"")</f>
        <v/>
      </c>
      <c r="L901" s="1026"/>
      <c r="M901" s="1165"/>
      <c r="N901" s="1027"/>
      <c r="O901" s="1026"/>
      <c r="P901" s="1028"/>
      <c r="Q901" s="1029"/>
      <c r="R901" s="1166"/>
      <c r="S901" s="1030"/>
      <c r="T901" s="1031"/>
      <c r="U901" s="1032"/>
      <c r="V901" s="1033"/>
      <c r="W901" s="1034"/>
      <c r="X901" s="1166"/>
      <c r="Y901" s="1035"/>
      <c r="Z901" s="1036"/>
      <c r="AA901" s="1037"/>
      <c r="AB901" s="1038"/>
      <c r="AC901" s="1039"/>
      <c r="AD901" s="1040"/>
      <c r="AE901" s="1041"/>
      <c r="AF901" s="521"/>
      <c r="AG901" s="420"/>
      <c r="AH901" s="420"/>
      <c r="AI901" s="420"/>
      <c r="AJ901" s="420"/>
      <c r="AK901" s="518"/>
      <c r="AL901" s="1042"/>
      <c r="AM901" s="1035"/>
      <c r="AN901" s="1043"/>
      <c r="AO901" s="1167"/>
      <c r="AP901" s="1044"/>
      <c r="AQ901" s="1035"/>
      <c r="AR901" s="1035"/>
      <c r="AS901" s="1035"/>
      <c r="AT901" s="1165"/>
      <c r="AU901" s="1031"/>
      <c r="AV901" s="1045"/>
      <c r="AW901" s="1038"/>
      <c r="AX901" s="1035"/>
      <c r="AY901" s="483"/>
      <c r="AZ901" s="429"/>
      <c r="BA901" s="431"/>
      <c r="BB901" s="1035"/>
      <c r="BC901" s="1035"/>
      <c r="BD901" s="481"/>
      <c r="BE901" s="432"/>
      <c r="BF901" s="646"/>
      <c r="BG901" s="1047"/>
      <c r="BH901" s="1046"/>
      <c r="BI901" s="1048"/>
      <c r="BJ901" s="1030"/>
      <c r="BK901" s="1046"/>
      <c r="BL901" s="1048"/>
      <c r="BM901" s="1046"/>
      <c r="BN901" s="1167"/>
      <c r="BO901" s="1035"/>
      <c r="BP901" s="1043"/>
      <c r="BQ901" s="1167"/>
      <c r="BR901" s="1165"/>
      <c r="BS901" s="1031"/>
      <c r="BT901" s="1038"/>
      <c r="BU901" s="1035"/>
      <c r="BV901" s="1035"/>
      <c r="BW901" s="1049"/>
      <c r="BX901" s="1043"/>
      <c r="BY901" s="1046"/>
      <c r="BZ901" s="1167"/>
      <c r="CA901" s="1165"/>
      <c r="CB901" s="1031"/>
      <c r="CC901" s="1038"/>
      <c r="CD901" s="1035"/>
      <c r="CE901" s="1035"/>
      <c r="CF901" s="1049"/>
      <c r="CG901" s="1043"/>
      <c r="CH901" s="1046"/>
      <c r="CI901" s="1167"/>
      <c r="CJ901" s="1168"/>
      <c r="CK901" s="1169"/>
      <c r="CL901" s="1169"/>
      <c r="CM901" s="1166"/>
      <c r="CN901" s="1169"/>
      <c r="CO901" s="1169"/>
      <c r="CP901" s="452"/>
      <c r="CQ901" s="435"/>
      <c r="CR901" s="1117"/>
      <c r="CS901" s="452"/>
      <c r="CT901" s="482"/>
      <c r="CU901" s="476"/>
      <c r="CV901" s="431"/>
      <c r="CW901" s="1108"/>
      <c r="CX901" s="1108"/>
      <c r="CY901" s="483"/>
      <c r="CZ901" s="437"/>
      <c r="DA901" s="438"/>
      <c r="DB901" s="439"/>
      <c r="DC901" s="439"/>
      <c r="DD901" s="443"/>
      <c r="DE901" s="411"/>
      <c r="DF901" s="411"/>
      <c r="DG901" s="1117"/>
      <c r="DH901" s="1117"/>
      <c r="DI901" s="1117"/>
      <c r="DJ901" s="442"/>
      <c r="DK901" s="482"/>
      <c r="DL901" s="1038"/>
      <c r="DM901" s="1035"/>
      <c r="DN901" s="1035"/>
      <c r="DO901" s="1035"/>
      <c r="DP901" s="1046"/>
      <c r="DQ901" s="1167"/>
      <c r="DR901" s="1168"/>
      <c r="DS901" s="1165"/>
      <c r="DT901" s="1165"/>
      <c r="DU901" s="1165"/>
      <c r="DV901" s="1031"/>
      <c r="DW901" s="1098">
        <f t="shared" si="1180"/>
        <v>0</v>
      </c>
      <c r="DX901" s="1098">
        <f t="shared" si="1181"/>
        <v>0</v>
      </c>
      <c r="DY901" s="1030"/>
      <c r="DZ901" s="1030"/>
      <c r="EA901" s="1031"/>
      <c r="EB901" s="1050"/>
      <c r="EC901" s="1038"/>
      <c r="ED901" s="1035"/>
      <c r="EE901" s="1046"/>
      <c r="EF901" s="1169"/>
      <c r="EG901" s="1168"/>
      <c r="EH901" s="1165"/>
      <c r="EI901" s="1165"/>
      <c r="EJ901" s="1165"/>
      <c r="EK901" s="1031"/>
      <c r="EL901" s="1098">
        <f t="shared" si="1182"/>
        <v>0</v>
      </c>
      <c r="EM901" s="1098">
        <f t="shared" si="1183"/>
        <v>0</v>
      </c>
      <c r="EN901" s="1030"/>
      <c r="EO901" s="1030"/>
      <c r="EP901" s="1031"/>
      <c r="EQ901" s="1050"/>
      <c r="ER901" s="1038"/>
      <c r="ES901" s="1035"/>
      <c r="ET901" s="1051"/>
    </row>
    <row r="902" spans="2:150" ht="16.5" customHeight="1">
      <c r="B902" s="1024"/>
      <c r="C902" s="1025"/>
      <c r="D902" s="408">
        <v>899</v>
      </c>
      <c r="E902" s="1164"/>
      <c r="F902" s="1164"/>
      <c r="G902" s="1026"/>
      <c r="H902" s="411" t="str">
        <f>IFERROR(INDEX(绊状态确认!C:C,MATCH($G902,绊状态确认!$B:$B,)),"")</f>
        <v/>
      </c>
      <c r="I902" s="450" t="str">
        <f>IFERROR(INDEX(绊状态确认!D:D,MATCH($G902,绊状态确认!$B:$B,)),"")</f>
        <v/>
      </c>
      <c r="J902" s="450" t="str">
        <f>IFERROR(INDEX(绊状态确认!E:E,MATCH($G902,绊状态确认!$B:$B,)),"")</f>
        <v/>
      </c>
      <c r="K902" s="451" t="str">
        <f>IFERROR(INDEX(绊状态确认!F:F,MATCH($G902,绊状态确认!$B:$B,)),"")</f>
        <v/>
      </c>
      <c r="L902" s="1026"/>
      <c r="M902" s="1165"/>
      <c r="N902" s="1027"/>
      <c r="O902" s="1026"/>
      <c r="P902" s="1028"/>
      <c r="Q902" s="1029"/>
      <c r="R902" s="1166"/>
      <c r="S902" s="1030"/>
      <c r="T902" s="1031"/>
      <c r="U902" s="1032"/>
      <c r="V902" s="1033"/>
      <c r="W902" s="1034"/>
      <c r="X902" s="1166"/>
      <c r="Y902" s="1035"/>
      <c r="Z902" s="1036"/>
      <c r="AA902" s="1037"/>
      <c r="AB902" s="1038"/>
      <c r="AC902" s="1039"/>
      <c r="AD902" s="1040"/>
      <c r="AE902" s="1041"/>
      <c r="AF902" s="521"/>
      <c r="AG902" s="420"/>
      <c r="AH902" s="420"/>
      <c r="AI902" s="420"/>
      <c r="AJ902" s="420"/>
      <c r="AK902" s="518"/>
      <c r="AL902" s="1042"/>
      <c r="AM902" s="1035"/>
      <c r="AN902" s="1043"/>
      <c r="AO902" s="1167"/>
      <c r="AP902" s="1044"/>
      <c r="AQ902" s="1035"/>
      <c r="AR902" s="1035"/>
      <c r="AS902" s="1035"/>
      <c r="AT902" s="1165"/>
      <c r="AU902" s="1031"/>
      <c r="AV902" s="1045"/>
      <c r="AW902" s="1038"/>
      <c r="AX902" s="1035"/>
      <c r="AY902" s="483"/>
      <c r="AZ902" s="429"/>
      <c r="BA902" s="431"/>
      <c r="BB902" s="1035"/>
      <c r="BC902" s="1035"/>
      <c r="BD902" s="481"/>
      <c r="BE902" s="432"/>
      <c r="BF902" s="646"/>
      <c r="BG902" s="1047"/>
      <c r="BH902" s="1046"/>
      <c r="BI902" s="1048"/>
      <c r="BJ902" s="1030"/>
      <c r="BK902" s="1046"/>
      <c r="BL902" s="1048"/>
      <c r="BM902" s="1046"/>
      <c r="BN902" s="1167"/>
      <c r="BO902" s="1035"/>
      <c r="BP902" s="1043"/>
      <c r="BQ902" s="1167"/>
      <c r="BR902" s="1165"/>
      <c r="BS902" s="1031"/>
      <c r="BT902" s="1038"/>
      <c r="BU902" s="1035"/>
      <c r="BV902" s="1035"/>
      <c r="BW902" s="1049"/>
      <c r="BX902" s="1043"/>
      <c r="BY902" s="1046"/>
      <c r="BZ902" s="1167"/>
      <c r="CA902" s="1165"/>
      <c r="CB902" s="1031"/>
      <c r="CC902" s="1038"/>
      <c r="CD902" s="1035"/>
      <c r="CE902" s="1035"/>
      <c r="CF902" s="1049"/>
      <c r="CG902" s="1043"/>
      <c r="CH902" s="1046"/>
      <c r="CI902" s="1167"/>
      <c r="CJ902" s="1168"/>
      <c r="CK902" s="1169"/>
      <c r="CL902" s="1169"/>
      <c r="CM902" s="1166"/>
      <c r="CN902" s="1169"/>
      <c r="CO902" s="1169"/>
      <c r="CP902" s="452"/>
      <c r="CQ902" s="435"/>
      <c r="CR902" s="441"/>
      <c r="CS902" s="452"/>
      <c r="CT902" s="482"/>
      <c r="CU902" s="476"/>
      <c r="CV902" s="431"/>
      <c r="CW902" s="1108"/>
      <c r="CX902" s="1108"/>
      <c r="CY902" s="483"/>
      <c r="CZ902" s="437"/>
      <c r="DA902" s="438"/>
      <c r="DB902" s="439"/>
      <c r="DC902" s="439"/>
      <c r="DD902" s="443"/>
      <c r="DE902" s="411"/>
      <c r="DF902" s="411"/>
      <c r="DG902" s="1117"/>
      <c r="DH902" s="1117"/>
      <c r="DI902" s="1117"/>
      <c r="DJ902" s="442"/>
      <c r="DK902" s="482"/>
      <c r="DL902" s="1038"/>
      <c r="DM902" s="1035"/>
      <c r="DN902" s="1035"/>
      <c r="DO902" s="1035"/>
      <c r="DP902" s="1046"/>
      <c r="DQ902" s="1167"/>
      <c r="DR902" s="1168"/>
      <c r="DS902" s="1165"/>
      <c r="DT902" s="1165"/>
      <c r="DU902" s="1165"/>
      <c r="DV902" s="1031"/>
      <c r="DW902" s="1098">
        <f t="shared" si="1180"/>
        <v>0</v>
      </c>
      <c r="DX902" s="1098">
        <f t="shared" si="1181"/>
        <v>0</v>
      </c>
      <c r="DY902" s="1030"/>
      <c r="DZ902" s="1030"/>
      <c r="EA902" s="1031"/>
      <c r="EB902" s="1050"/>
      <c r="EC902" s="1038"/>
      <c r="ED902" s="1035"/>
      <c r="EE902" s="1046"/>
      <c r="EF902" s="1169"/>
      <c r="EG902" s="1168"/>
      <c r="EH902" s="1165"/>
      <c r="EI902" s="1165"/>
      <c r="EJ902" s="1165"/>
      <c r="EK902" s="1031"/>
      <c r="EL902" s="1098">
        <f t="shared" si="1182"/>
        <v>0</v>
      </c>
      <c r="EM902" s="1098">
        <f t="shared" si="1183"/>
        <v>0</v>
      </c>
      <c r="EN902" s="1030"/>
      <c r="EO902" s="1030"/>
      <c r="EP902" s="1031"/>
      <c r="EQ902" s="1050"/>
      <c r="ER902" s="1038"/>
      <c r="ES902" s="1035"/>
      <c r="ET902" s="1051"/>
    </row>
    <row r="903" spans="2:150" ht="16.5" customHeight="1">
      <c r="B903" s="1024"/>
      <c r="C903" s="1025"/>
      <c r="D903" s="408">
        <v>900</v>
      </c>
      <c r="E903" s="1164"/>
      <c r="F903" s="1164"/>
      <c r="G903" s="1026"/>
      <c r="H903" s="411" t="str">
        <f>IFERROR(INDEX(绊状态确认!C:C,MATCH($G903,绊状态确认!$B:$B,)),"")</f>
        <v/>
      </c>
      <c r="I903" s="450" t="str">
        <f>IFERROR(INDEX(绊状态确认!D:D,MATCH($G903,绊状态确认!$B:$B,)),"")</f>
        <v/>
      </c>
      <c r="J903" s="450" t="str">
        <f>IFERROR(INDEX(绊状态确认!E:E,MATCH($G903,绊状态确认!$B:$B,)),"")</f>
        <v/>
      </c>
      <c r="K903" s="451" t="str">
        <f>IFERROR(INDEX(绊状态确认!F:F,MATCH($G903,绊状态确认!$B:$B,)),"")</f>
        <v/>
      </c>
      <c r="L903" s="1026"/>
      <c r="M903" s="1165"/>
      <c r="N903" s="1027"/>
      <c r="O903" s="1026"/>
      <c r="P903" s="1028"/>
      <c r="Q903" s="1029"/>
      <c r="R903" s="1166"/>
      <c r="S903" s="1030"/>
      <c r="T903" s="1031"/>
      <c r="U903" s="1032"/>
      <c r="V903" s="1033"/>
      <c r="W903" s="1034"/>
      <c r="X903" s="1166"/>
      <c r="Y903" s="1035"/>
      <c r="Z903" s="1036"/>
      <c r="AA903" s="1037"/>
      <c r="AB903" s="1038"/>
      <c r="AC903" s="1039"/>
      <c r="AD903" s="1040"/>
      <c r="AE903" s="1041"/>
      <c r="AF903" s="521"/>
      <c r="AG903" s="420"/>
      <c r="AH903" s="420"/>
      <c r="AI903" s="420"/>
      <c r="AJ903" s="420"/>
      <c r="AK903" s="518"/>
      <c r="AL903" s="1042"/>
      <c r="AM903" s="1035"/>
      <c r="AN903" s="1043"/>
      <c r="AO903" s="1167"/>
      <c r="AP903" s="1044"/>
      <c r="AQ903" s="1035"/>
      <c r="AR903" s="1035"/>
      <c r="AS903" s="1035"/>
      <c r="AT903" s="1165"/>
      <c r="AU903" s="1031"/>
      <c r="AV903" s="1045"/>
      <c r="AW903" s="1038"/>
      <c r="AX903" s="1035"/>
      <c r="AY903" s="483"/>
      <c r="AZ903" s="429"/>
      <c r="BA903" s="431"/>
      <c r="BB903" s="1035"/>
      <c r="BC903" s="1035"/>
      <c r="BD903" s="481"/>
      <c r="BE903" s="432"/>
      <c r="BF903" s="646"/>
      <c r="BG903" s="1047"/>
      <c r="BH903" s="1046"/>
      <c r="BI903" s="1048"/>
      <c r="BJ903" s="1030"/>
      <c r="BK903" s="1046"/>
      <c r="BL903" s="1048"/>
      <c r="BM903" s="1046"/>
      <c r="BN903" s="1167"/>
      <c r="BO903" s="1035"/>
      <c r="BP903" s="1043"/>
      <c r="BQ903" s="1167"/>
      <c r="BR903" s="1165"/>
      <c r="BS903" s="1031"/>
      <c r="BT903" s="1038"/>
      <c r="BU903" s="1035"/>
      <c r="BV903" s="1035"/>
      <c r="BW903" s="1049"/>
      <c r="BX903" s="1043"/>
      <c r="BY903" s="1046"/>
      <c r="BZ903" s="1167"/>
      <c r="CA903" s="1165"/>
      <c r="CB903" s="1031"/>
      <c r="CC903" s="1038"/>
      <c r="CD903" s="1035"/>
      <c r="CE903" s="1035"/>
      <c r="CF903" s="1049"/>
      <c r="CG903" s="1043"/>
      <c r="CH903" s="1046"/>
      <c r="CI903" s="1167"/>
      <c r="CJ903" s="1168"/>
      <c r="CK903" s="1169"/>
      <c r="CL903" s="1169"/>
      <c r="CM903" s="1166"/>
      <c r="CN903" s="1169"/>
      <c r="CO903" s="1169"/>
      <c r="CP903" s="452"/>
      <c r="CQ903" s="435"/>
      <c r="CR903" s="441"/>
      <c r="CS903" s="452"/>
      <c r="CT903" s="482"/>
      <c r="CU903" s="476"/>
      <c r="CV903" s="431"/>
      <c r="CW903" s="1108"/>
      <c r="CX903" s="1108"/>
      <c r="CY903" s="483"/>
      <c r="CZ903" s="437"/>
      <c r="DA903" s="438"/>
      <c r="DB903" s="439"/>
      <c r="DC903" s="439"/>
      <c r="DD903" s="443"/>
      <c r="DE903" s="411"/>
      <c r="DF903" s="411"/>
      <c r="DG903" s="1117"/>
      <c r="DH903" s="1117"/>
      <c r="DI903" s="1117"/>
      <c r="DJ903" s="442"/>
      <c r="DK903" s="482"/>
      <c r="DL903" s="1038"/>
      <c r="DM903" s="1035"/>
      <c r="DN903" s="1035"/>
      <c r="DO903" s="1035"/>
      <c r="DP903" s="1046"/>
      <c r="DQ903" s="1167"/>
      <c r="DR903" s="1168"/>
      <c r="DS903" s="1165"/>
      <c r="DT903" s="1165"/>
      <c r="DU903" s="1165"/>
      <c r="DV903" s="1031"/>
      <c r="DW903" s="1098">
        <f t="shared" si="1180"/>
        <v>0</v>
      </c>
      <c r="DX903" s="1098">
        <f t="shared" si="1181"/>
        <v>0</v>
      </c>
      <c r="DY903" s="1030"/>
      <c r="DZ903" s="1030"/>
      <c r="EA903" s="1031"/>
      <c r="EB903" s="1050"/>
      <c r="EC903" s="1038"/>
      <c r="ED903" s="1035"/>
      <c r="EE903" s="1046"/>
      <c r="EF903" s="1169"/>
      <c r="EG903" s="1168"/>
      <c r="EH903" s="1165"/>
      <c r="EI903" s="1165"/>
      <c r="EJ903" s="1165"/>
      <c r="EK903" s="1031"/>
      <c r="EL903" s="1098">
        <f t="shared" si="1182"/>
        <v>0</v>
      </c>
      <c r="EM903" s="1098">
        <f t="shared" si="1183"/>
        <v>0</v>
      </c>
      <c r="EN903" s="1030"/>
      <c r="EO903" s="1030"/>
      <c r="EP903" s="1031"/>
      <c r="EQ903" s="1050"/>
      <c r="ER903" s="1038"/>
      <c r="ES903" s="1035"/>
      <c r="ET903" s="1051"/>
    </row>
    <row r="904" spans="2:150" ht="16.5" customHeight="1">
      <c r="B904" s="1024"/>
      <c r="C904" s="1025"/>
      <c r="D904" s="408">
        <v>901</v>
      </c>
      <c r="E904" s="1164"/>
      <c r="F904" s="1164"/>
      <c r="G904" s="1026"/>
      <c r="H904" s="411" t="str">
        <f>IFERROR(INDEX(绊状态确认!C:C,MATCH($G904,绊状态确认!$B:$B,)),"")</f>
        <v/>
      </c>
      <c r="I904" s="450" t="str">
        <f>IFERROR(INDEX(绊状态确认!D:D,MATCH($G904,绊状态确认!$B:$B,)),"")</f>
        <v/>
      </c>
      <c r="J904" s="450" t="str">
        <f>IFERROR(INDEX(绊状态确认!E:E,MATCH($G904,绊状态确认!$B:$B,)),"")</f>
        <v/>
      </c>
      <c r="K904" s="451" t="str">
        <f>IFERROR(INDEX(绊状态确认!F:F,MATCH($G904,绊状态确认!$B:$B,)),"")</f>
        <v/>
      </c>
      <c r="L904" s="1026"/>
      <c r="M904" s="1165"/>
      <c r="N904" s="1027"/>
      <c r="O904" s="1026"/>
      <c r="P904" s="1028"/>
      <c r="Q904" s="1029"/>
      <c r="R904" s="1166"/>
      <c r="S904" s="1030"/>
      <c r="T904" s="1031"/>
      <c r="U904" s="1032"/>
      <c r="V904" s="1033"/>
      <c r="W904" s="1034"/>
      <c r="X904" s="1166"/>
      <c r="Y904" s="1035"/>
      <c r="Z904" s="1036"/>
      <c r="AA904" s="1037"/>
      <c r="AB904" s="1038"/>
      <c r="AC904" s="1039"/>
      <c r="AD904" s="1040"/>
      <c r="AE904" s="1041"/>
      <c r="AF904" s="521"/>
      <c r="AG904" s="420"/>
      <c r="AH904" s="420"/>
      <c r="AI904" s="420"/>
      <c r="AJ904" s="420"/>
      <c r="AK904" s="518"/>
      <c r="AL904" s="1042"/>
      <c r="AM904" s="1035"/>
      <c r="AN904" s="1043"/>
      <c r="AO904" s="1167"/>
      <c r="AP904" s="1044"/>
      <c r="AQ904" s="1035"/>
      <c r="AR904" s="1035"/>
      <c r="AS904" s="1035"/>
      <c r="AT904" s="1165"/>
      <c r="AU904" s="1031"/>
      <c r="AV904" s="1045"/>
      <c r="AW904" s="1038"/>
      <c r="AX904" s="1035"/>
      <c r="AY904" s="483"/>
      <c r="AZ904" s="429"/>
      <c r="BA904" s="431"/>
      <c r="BB904" s="1035"/>
      <c r="BC904" s="1035"/>
      <c r="BD904" s="481"/>
      <c r="BE904" s="432"/>
      <c r="BF904" s="646"/>
      <c r="BG904" s="1047"/>
      <c r="BH904" s="1046"/>
      <c r="BI904" s="1048"/>
      <c r="BJ904" s="1030"/>
      <c r="BK904" s="1046"/>
      <c r="BL904" s="1048"/>
      <c r="BM904" s="1046"/>
      <c r="BN904" s="1167"/>
      <c r="BO904" s="1035"/>
      <c r="BP904" s="1043"/>
      <c r="BQ904" s="1167"/>
      <c r="BR904" s="1165"/>
      <c r="BS904" s="1031"/>
      <c r="BT904" s="1038"/>
      <c r="BU904" s="1035"/>
      <c r="BV904" s="1035"/>
      <c r="BW904" s="1049"/>
      <c r="BX904" s="1043"/>
      <c r="BY904" s="1046"/>
      <c r="BZ904" s="1167"/>
      <c r="CA904" s="1165"/>
      <c r="CB904" s="1031"/>
      <c r="CC904" s="1038"/>
      <c r="CD904" s="1035"/>
      <c r="CE904" s="1035"/>
      <c r="CF904" s="1049"/>
      <c r="CG904" s="1043"/>
      <c r="CH904" s="1046"/>
      <c r="CI904" s="1167"/>
      <c r="CJ904" s="1168"/>
      <c r="CK904" s="1169"/>
      <c r="CL904" s="1169"/>
      <c r="CM904" s="1166"/>
      <c r="CN904" s="1169"/>
      <c r="CO904" s="1169"/>
      <c r="CP904" s="452"/>
      <c r="CQ904" s="435"/>
      <c r="CR904" s="1117"/>
      <c r="CS904" s="452"/>
      <c r="CT904" s="482"/>
      <c r="CU904" s="476"/>
      <c r="CV904" s="431"/>
      <c r="CW904" s="1108"/>
      <c r="CX904" s="1108"/>
      <c r="CY904" s="483"/>
      <c r="CZ904" s="437"/>
      <c r="DA904" s="438"/>
      <c r="DB904" s="439"/>
      <c r="DC904" s="439"/>
      <c r="DD904" s="443"/>
      <c r="DE904" s="411"/>
      <c r="DF904" s="411"/>
      <c r="DG904" s="1117"/>
      <c r="DH904" s="1117"/>
      <c r="DI904" s="1117"/>
      <c r="DJ904" s="442"/>
      <c r="DK904" s="482"/>
      <c r="DL904" s="1038"/>
      <c r="DM904" s="1035"/>
      <c r="DN904" s="1035"/>
      <c r="DO904" s="1035"/>
      <c r="DP904" s="1046"/>
      <c r="DQ904" s="1167"/>
      <c r="DR904" s="1168"/>
      <c r="DS904" s="1165"/>
      <c r="DT904" s="1165"/>
      <c r="DU904" s="1165"/>
      <c r="DV904" s="1031"/>
      <c r="DW904" s="1098">
        <f t="shared" si="1180"/>
        <v>0</v>
      </c>
      <c r="DX904" s="1098">
        <f t="shared" si="1181"/>
        <v>0</v>
      </c>
      <c r="DY904" s="1030"/>
      <c r="DZ904" s="1030"/>
      <c r="EA904" s="1031"/>
      <c r="EB904" s="1050"/>
      <c r="EC904" s="1038"/>
      <c r="ED904" s="1035"/>
      <c r="EE904" s="1046"/>
      <c r="EF904" s="1169"/>
      <c r="EG904" s="1168"/>
      <c r="EH904" s="1165"/>
      <c r="EI904" s="1165"/>
      <c r="EJ904" s="1165"/>
      <c r="EK904" s="1031"/>
      <c r="EL904" s="1098">
        <f t="shared" si="1182"/>
        <v>0</v>
      </c>
      <c r="EM904" s="1098">
        <f t="shared" si="1183"/>
        <v>0</v>
      </c>
      <c r="EN904" s="1030"/>
      <c r="EO904" s="1030"/>
      <c r="EP904" s="1031"/>
      <c r="EQ904" s="1050"/>
      <c r="ER904" s="1038"/>
      <c r="ES904" s="1035"/>
      <c r="ET904" s="1051"/>
    </row>
    <row r="905" spans="2:150" ht="16.5" customHeight="1">
      <c r="B905" s="1024"/>
      <c r="C905" s="1025"/>
      <c r="D905" s="408">
        <v>902</v>
      </c>
      <c r="E905" s="1164"/>
      <c r="F905" s="1164"/>
      <c r="G905" s="1026"/>
      <c r="H905" s="411" t="str">
        <f>IFERROR(INDEX(绊状态确认!C:C,MATCH($G905,绊状态确认!$B:$B,)),"")</f>
        <v/>
      </c>
      <c r="I905" s="450" t="str">
        <f>IFERROR(INDEX(绊状态确认!D:D,MATCH($G905,绊状态确认!$B:$B,)),"")</f>
        <v/>
      </c>
      <c r="J905" s="450" t="str">
        <f>IFERROR(INDEX(绊状态确认!E:E,MATCH($G905,绊状态确认!$B:$B,)),"")</f>
        <v/>
      </c>
      <c r="K905" s="451" t="str">
        <f>IFERROR(INDEX(绊状态确认!F:F,MATCH($G905,绊状态确认!$B:$B,)),"")</f>
        <v/>
      </c>
      <c r="L905" s="1026"/>
      <c r="M905" s="1165"/>
      <c r="N905" s="1027"/>
      <c r="O905" s="1026"/>
      <c r="P905" s="1028"/>
      <c r="Q905" s="1029"/>
      <c r="R905" s="1166"/>
      <c r="S905" s="1030"/>
      <c r="T905" s="1031"/>
      <c r="U905" s="1032"/>
      <c r="V905" s="1033"/>
      <c r="W905" s="1034"/>
      <c r="X905" s="1166"/>
      <c r="Y905" s="1035"/>
      <c r="Z905" s="1036"/>
      <c r="AA905" s="1037"/>
      <c r="AB905" s="1038"/>
      <c r="AC905" s="1039"/>
      <c r="AD905" s="1040"/>
      <c r="AE905" s="1041"/>
      <c r="AF905" s="521"/>
      <c r="AG905" s="420"/>
      <c r="AH905" s="420"/>
      <c r="AI905" s="420"/>
      <c r="AJ905" s="420"/>
      <c r="AK905" s="518"/>
      <c r="AL905" s="1042"/>
      <c r="AM905" s="1035"/>
      <c r="AN905" s="1043"/>
      <c r="AO905" s="1167"/>
      <c r="AP905" s="1044"/>
      <c r="AQ905" s="1035"/>
      <c r="AR905" s="1035"/>
      <c r="AS905" s="1035"/>
      <c r="AT905" s="1165"/>
      <c r="AU905" s="1031"/>
      <c r="AV905" s="1045"/>
      <c r="AW905" s="1038"/>
      <c r="AX905" s="1035"/>
      <c r="AY905" s="483"/>
      <c r="AZ905" s="429"/>
      <c r="BA905" s="431"/>
      <c r="BB905" s="1035"/>
      <c r="BC905" s="1035"/>
      <c r="BD905" s="481"/>
      <c r="BE905" s="432"/>
      <c r="BF905" s="646"/>
      <c r="BG905" s="1047"/>
      <c r="BH905" s="1046"/>
      <c r="BI905" s="1048"/>
      <c r="BJ905" s="1030"/>
      <c r="BK905" s="1046"/>
      <c r="BL905" s="1048"/>
      <c r="BM905" s="1046"/>
      <c r="BN905" s="1167"/>
      <c r="BO905" s="1035"/>
      <c r="BP905" s="1043"/>
      <c r="BQ905" s="1167"/>
      <c r="BR905" s="1165"/>
      <c r="BS905" s="1031"/>
      <c r="BT905" s="1038"/>
      <c r="BU905" s="1035"/>
      <c r="BV905" s="1035"/>
      <c r="BW905" s="1049"/>
      <c r="BX905" s="1043"/>
      <c r="BY905" s="1046"/>
      <c r="BZ905" s="1167"/>
      <c r="CA905" s="1165"/>
      <c r="CB905" s="1031"/>
      <c r="CC905" s="1038"/>
      <c r="CD905" s="1035"/>
      <c r="CE905" s="1035"/>
      <c r="CF905" s="1049"/>
      <c r="CG905" s="1043"/>
      <c r="CH905" s="1046"/>
      <c r="CI905" s="1167"/>
      <c r="CJ905" s="1168"/>
      <c r="CK905" s="1169"/>
      <c r="CL905" s="1169"/>
      <c r="CM905" s="1166"/>
      <c r="CN905" s="1169"/>
      <c r="CO905" s="1169"/>
      <c r="CP905" s="452"/>
      <c r="CQ905" s="435"/>
      <c r="CR905" s="441"/>
      <c r="CS905" s="452"/>
      <c r="CT905" s="482"/>
      <c r="CU905" s="476"/>
      <c r="CV905" s="431"/>
      <c r="CW905" s="1108"/>
      <c r="CX905" s="1108"/>
      <c r="CY905" s="483"/>
      <c r="CZ905" s="437"/>
      <c r="DA905" s="438"/>
      <c r="DB905" s="439"/>
      <c r="DC905" s="439"/>
      <c r="DD905" s="443"/>
      <c r="DE905" s="411"/>
      <c r="DF905" s="411"/>
      <c r="DG905" s="1117"/>
      <c r="DH905" s="1117"/>
      <c r="DI905" s="1117"/>
      <c r="DJ905" s="442"/>
      <c r="DK905" s="482"/>
      <c r="DL905" s="1038"/>
      <c r="DM905" s="1035"/>
      <c r="DN905" s="1035"/>
      <c r="DO905" s="1035"/>
      <c r="DP905" s="1046"/>
      <c r="DQ905" s="1167"/>
      <c r="DR905" s="1168"/>
      <c r="DS905" s="1165"/>
      <c r="DT905" s="1165"/>
      <c r="DU905" s="1165"/>
      <c r="DV905" s="1031"/>
      <c r="DW905" s="1098">
        <f t="shared" si="1180"/>
        <v>0</v>
      </c>
      <c r="DX905" s="1098">
        <f t="shared" si="1181"/>
        <v>0</v>
      </c>
      <c r="DY905" s="1030"/>
      <c r="DZ905" s="1030"/>
      <c r="EA905" s="1031"/>
      <c r="EB905" s="1050"/>
      <c r="EC905" s="1038"/>
      <c r="ED905" s="1035"/>
      <c r="EE905" s="1046"/>
      <c r="EF905" s="1169"/>
      <c r="EG905" s="1168"/>
      <c r="EH905" s="1165"/>
      <c r="EI905" s="1165"/>
      <c r="EJ905" s="1165"/>
      <c r="EK905" s="1031"/>
      <c r="EL905" s="1098">
        <f t="shared" si="1182"/>
        <v>0</v>
      </c>
      <c r="EM905" s="1098">
        <f t="shared" si="1183"/>
        <v>0</v>
      </c>
      <c r="EN905" s="1030"/>
      <c r="EO905" s="1030"/>
      <c r="EP905" s="1031"/>
      <c r="EQ905" s="1050"/>
      <c r="ER905" s="1038"/>
      <c r="ES905" s="1035"/>
      <c r="ET905" s="1051"/>
    </row>
    <row r="906" spans="2:150" ht="16.5" customHeight="1">
      <c r="B906" s="1024"/>
      <c r="C906" s="1025"/>
      <c r="D906" s="408">
        <v>903</v>
      </c>
      <c r="E906" s="1164"/>
      <c r="F906" s="1164"/>
      <c r="G906" s="1026"/>
      <c r="H906" s="411" t="str">
        <f>IFERROR(INDEX(绊状态确认!C:C,MATCH($G906,绊状态确认!$B:$B,)),"")</f>
        <v/>
      </c>
      <c r="I906" s="450" t="str">
        <f>IFERROR(INDEX(绊状态确认!D:D,MATCH($G906,绊状态确认!$B:$B,)),"")</f>
        <v/>
      </c>
      <c r="J906" s="450" t="str">
        <f>IFERROR(INDEX(绊状态确认!E:E,MATCH($G906,绊状态确认!$B:$B,)),"")</f>
        <v/>
      </c>
      <c r="K906" s="451" t="str">
        <f>IFERROR(INDEX(绊状态确认!F:F,MATCH($G906,绊状态确认!$B:$B,)),"")</f>
        <v/>
      </c>
      <c r="L906" s="1026"/>
      <c r="M906" s="1165"/>
      <c r="N906" s="1027"/>
      <c r="O906" s="1026"/>
      <c r="P906" s="1028"/>
      <c r="Q906" s="1029"/>
      <c r="R906" s="1166"/>
      <c r="S906" s="1030"/>
      <c r="T906" s="1031"/>
      <c r="U906" s="1032"/>
      <c r="V906" s="1033"/>
      <c r="W906" s="1034"/>
      <c r="X906" s="1166"/>
      <c r="Y906" s="1035"/>
      <c r="Z906" s="1036"/>
      <c r="AA906" s="1037"/>
      <c r="AB906" s="1038"/>
      <c r="AC906" s="1039"/>
      <c r="AD906" s="1040"/>
      <c r="AE906" s="1041"/>
      <c r="AF906" s="521"/>
      <c r="AG906" s="420"/>
      <c r="AH906" s="420"/>
      <c r="AI906" s="420"/>
      <c r="AJ906" s="420"/>
      <c r="AK906" s="518"/>
      <c r="AL906" s="1042"/>
      <c r="AM906" s="1035"/>
      <c r="AN906" s="1043"/>
      <c r="AO906" s="1167"/>
      <c r="AP906" s="1044"/>
      <c r="AQ906" s="1035"/>
      <c r="AR906" s="1035"/>
      <c r="AS906" s="1035"/>
      <c r="AT906" s="1165"/>
      <c r="AU906" s="1031"/>
      <c r="AV906" s="1045"/>
      <c r="AW906" s="1038"/>
      <c r="AX906" s="1035"/>
      <c r="AY906" s="483"/>
      <c r="AZ906" s="429"/>
      <c r="BA906" s="431"/>
      <c r="BB906" s="1035"/>
      <c r="BC906" s="1035"/>
      <c r="BD906" s="481"/>
      <c r="BE906" s="432"/>
      <c r="BF906" s="646"/>
      <c r="BG906" s="1047"/>
      <c r="BH906" s="1046"/>
      <c r="BI906" s="1048"/>
      <c r="BJ906" s="1030"/>
      <c r="BK906" s="1046"/>
      <c r="BL906" s="1048"/>
      <c r="BM906" s="1046"/>
      <c r="BN906" s="1167"/>
      <c r="BO906" s="1035"/>
      <c r="BP906" s="1043"/>
      <c r="BQ906" s="1167"/>
      <c r="BR906" s="1165"/>
      <c r="BS906" s="1031"/>
      <c r="BT906" s="1038"/>
      <c r="BU906" s="1035"/>
      <c r="BV906" s="1035"/>
      <c r="BW906" s="1049"/>
      <c r="BX906" s="1043"/>
      <c r="BY906" s="1046"/>
      <c r="BZ906" s="1167"/>
      <c r="CA906" s="1165"/>
      <c r="CB906" s="1031"/>
      <c r="CC906" s="1038"/>
      <c r="CD906" s="1035"/>
      <c r="CE906" s="1035"/>
      <c r="CF906" s="1049"/>
      <c r="CG906" s="1043"/>
      <c r="CH906" s="1046"/>
      <c r="CI906" s="1167"/>
      <c r="CJ906" s="1168"/>
      <c r="CK906" s="1169"/>
      <c r="CL906" s="1169"/>
      <c r="CM906" s="1166"/>
      <c r="CN906" s="1169"/>
      <c r="CO906" s="1169"/>
      <c r="CP906" s="452"/>
      <c r="CQ906" s="435"/>
      <c r="CR906" s="441"/>
      <c r="CS906" s="452"/>
      <c r="CT906" s="482"/>
      <c r="CU906" s="476"/>
      <c r="CV906" s="431"/>
      <c r="CW906" s="1108"/>
      <c r="CX906" s="1108"/>
      <c r="CY906" s="483"/>
      <c r="CZ906" s="437"/>
      <c r="DA906" s="438"/>
      <c r="DB906" s="439"/>
      <c r="DC906" s="439"/>
      <c r="DD906" s="443"/>
      <c r="DE906" s="411"/>
      <c r="DF906" s="411"/>
      <c r="DG906" s="1117"/>
      <c r="DH906" s="1117"/>
      <c r="DI906" s="1117"/>
      <c r="DJ906" s="442"/>
      <c r="DK906" s="482"/>
      <c r="DL906" s="1038"/>
      <c r="DM906" s="1035"/>
      <c r="DN906" s="1035"/>
      <c r="DO906" s="1035"/>
      <c r="DP906" s="1046"/>
      <c r="DQ906" s="1167"/>
      <c r="DR906" s="1168"/>
      <c r="DS906" s="1165"/>
      <c r="DT906" s="1165"/>
      <c r="DU906" s="1165"/>
      <c r="DV906" s="1031"/>
      <c r="DW906" s="1098">
        <f t="shared" si="1180"/>
        <v>0</v>
      </c>
      <c r="DX906" s="1098">
        <f t="shared" si="1181"/>
        <v>0</v>
      </c>
      <c r="DY906" s="1030"/>
      <c r="DZ906" s="1030"/>
      <c r="EA906" s="1031"/>
      <c r="EB906" s="1050"/>
      <c r="EC906" s="1038"/>
      <c r="ED906" s="1035"/>
      <c r="EE906" s="1046"/>
      <c r="EF906" s="1169"/>
      <c r="EG906" s="1168"/>
      <c r="EH906" s="1165"/>
      <c r="EI906" s="1165"/>
      <c r="EJ906" s="1165"/>
      <c r="EK906" s="1031"/>
      <c r="EL906" s="1098">
        <f t="shared" si="1182"/>
        <v>0</v>
      </c>
      <c r="EM906" s="1098">
        <f t="shared" si="1183"/>
        <v>0</v>
      </c>
      <c r="EN906" s="1030"/>
      <c r="EO906" s="1030"/>
      <c r="EP906" s="1031"/>
      <c r="EQ906" s="1050"/>
      <c r="ER906" s="1038"/>
      <c r="ES906" s="1035"/>
      <c r="ET906" s="1051"/>
    </row>
    <row r="907" spans="2:150" ht="16.5" customHeight="1">
      <c r="B907" s="1024"/>
      <c r="C907" s="1025"/>
      <c r="D907" s="408">
        <v>904</v>
      </c>
      <c r="E907" s="1164"/>
      <c r="F907" s="1164"/>
      <c r="G907" s="1026"/>
      <c r="H907" s="411" t="str">
        <f>IFERROR(INDEX(绊状态确认!C:C,MATCH($G907,绊状态确认!$B:$B,)),"")</f>
        <v/>
      </c>
      <c r="I907" s="450" t="str">
        <f>IFERROR(INDEX(绊状态确认!D:D,MATCH($G907,绊状态确认!$B:$B,)),"")</f>
        <v/>
      </c>
      <c r="J907" s="450" t="str">
        <f>IFERROR(INDEX(绊状态确认!E:E,MATCH($G907,绊状态确认!$B:$B,)),"")</f>
        <v/>
      </c>
      <c r="K907" s="451" t="str">
        <f>IFERROR(INDEX(绊状态确认!F:F,MATCH($G907,绊状态确认!$B:$B,)),"")</f>
        <v/>
      </c>
      <c r="L907" s="1026"/>
      <c r="M907" s="1165"/>
      <c r="N907" s="1027"/>
      <c r="O907" s="1026"/>
      <c r="P907" s="1028"/>
      <c r="Q907" s="1029"/>
      <c r="R907" s="1166"/>
      <c r="S907" s="1030"/>
      <c r="T907" s="1031"/>
      <c r="U907" s="1032"/>
      <c r="V907" s="1033"/>
      <c r="W907" s="1034"/>
      <c r="X907" s="1166"/>
      <c r="Y907" s="1035"/>
      <c r="Z907" s="1036"/>
      <c r="AA907" s="1037"/>
      <c r="AB907" s="1038"/>
      <c r="AC907" s="1039"/>
      <c r="AD907" s="1040"/>
      <c r="AE907" s="1041"/>
      <c r="AF907" s="521"/>
      <c r="AG907" s="420"/>
      <c r="AH907" s="420"/>
      <c r="AI907" s="420"/>
      <c r="AJ907" s="420"/>
      <c r="AK907" s="518"/>
      <c r="AL907" s="1042"/>
      <c r="AM907" s="1035"/>
      <c r="AN907" s="1043"/>
      <c r="AO907" s="1167"/>
      <c r="AP907" s="1044"/>
      <c r="AQ907" s="1035"/>
      <c r="AR907" s="1035"/>
      <c r="AS907" s="1035"/>
      <c r="AT907" s="1165"/>
      <c r="AU907" s="1031"/>
      <c r="AV907" s="1045"/>
      <c r="AW907" s="1038"/>
      <c r="AX907" s="1035"/>
      <c r="AY907" s="483"/>
      <c r="AZ907" s="429"/>
      <c r="BA907" s="431"/>
      <c r="BB907" s="1035"/>
      <c r="BC907" s="1035"/>
      <c r="BD907" s="481"/>
      <c r="BE907" s="432"/>
      <c r="BF907" s="646"/>
      <c r="BG907" s="1047"/>
      <c r="BH907" s="1046"/>
      <c r="BI907" s="1048"/>
      <c r="BJ907" s="1030"/>
      <c r="BK907" s="1046"/>
      <c r="BL907" s="1048"/>
      <c r="BM907" s="1046"/>
      <c r="BN907" s="1167"/>
      <c r="BO907" s="1035"/>
      <c r="BP907" s="1043"/>
      <c r="BQ907" s="1167"/>
      <c r="BR907" s="1165"/>
      <c r="BS907" s="1031"/>
      <c r="BT907" s="1038"/>
      <c r="BU907" s="1035"/>
      <c r="BV907" s="1035"/>
      <c r="BW907" s="1049"/>
      <c r="BX907" s="1043"/>
      <c r="BY907" s="1046"/>
      <c r="BZ907" s="1167"/>
      <c r="CA907" s="1165"/>
      <c r="CB907" s="1031"/>
      <c r="CC907" s="1038"/>
      <c r="CD907" s="1035"/>
      <c r="CE907" s="1035"/>
      <c r="CF907" s="1049"/>
      <c r="CG907" s="1043"/>
      <c r="CH907" s="1046"/>
      <c r="CI907" s="1167"/>
      <c r="CJ907" s="1168"/>
      <c r="CK907" s="1169"/>
      <c r="CL907" s="1169"/>
      <c r="CM907" s="1166"/>
      <c r="CN907" s="1169"/>
      <c r="CO907" s="1169"/>
      <c r="CP907" s="452"/>
      <c r="CQ907" s="435"/>
      <c r="CR907" s="441"/>
      <c r="CS907" s="452"/>
      <c r="CT907" s="482"/>
      <c r="CU907" s="476"/>
      <c r="CV907" s="431"/>
      <c r="CW907" s="1108"/>
      <c r="CX907" s="1108"/>
      <c r="CY907" s="483"/>
      <c r="CZ907" s="437"/>
      <c r="DA907" s="438"/>
      <c r="DB907" s="439"/>
      <c r="DC907" s="439"/>
      <c r="DD907" s="443"/>
      <c r="DE907" s="411"/>
      <c r="DF907" s="411"/>
      <c r="DG907" s="1117"/>
      <c r="DH907" s="1117"/>
      <c r="DI907" s="1117"/>
      <c r="DJ907" s="442"/>
      <c r="DK907" s="482"/>
      <c r="DL907" s="1038"/>
      <c r="DM907" s="1035"/>
      <c r="DN907" s="1035"/>
      <c r="DO907" s="1035"/>
      <c r="DP907" s="1046"/>
      <c r="DQ907" s="1167"/>
      <c r="DR907" s="1168"/>
      <c r="DS907" s="1165"/>
      <c r="DT907" s="1165"/>
      <c r="DU907" s="1165"/>
      <c r="DV907" s="1031"/>
      <c r="DW907" s="1098">
        <f t="shared" si="1180"/>
        <v>0</v>
      </c>
      <c r="DX907" s="1098">
        <f t="shared" si="1181"/>
        <v>0</v>
      </c>
      <c r="DY907" s="1030"/>
      <c r="DZ907" s="1030"/>
      <c r="EA907" s="1031"/>
      <c r="EB907" s="1050"/>
      <c r="EC907" s="1038"/>
      <c r="ED907" s="1035"/>
      <c r="EE907" s="1046"/>
      <c r="EF907" s="1169"/>
      <c r="EG907" s="1168"/>
      <c r="EH907" s="1165"/>
      <c r="EI907" s="1165"/>
      <c r="EJ907" s="1165"/>
      <c r="EK907" s="1031"/>
      <c r="EL907" s="1098">
        <f t="shared" si="1182"/>
        <v>0</v>
      </c>
      <c r="EM907" s="1098">
        <f t="shared" si="1183"/>
        <v>0</v>
      </c>
      <c r="EN907" s="1030"/>
      <c r="EO907" s="1030"/>
      <c r="EP907" s="1031"/>
      <c r="EQ907" s="1050"/>
      <c r="ER907" s="1038"/>
      <c r="ES907" s="1035"/>
      <c r="ET907" s="1051"/>
    </row>
    <row r="908" spans="2:150" ht="16.5" customHeight="1">
      <c r="B908" s="1024"/>
      <c r="C908" s="1025"/>
      <c r="D908" s="408">
        <v>905</v>
      </c>
      <c r="E908" s="1164"/>
      <c r="F908" s="1164"/>
      <c r="G908" s="1026"/>
      <c r="H908" s="411" t="str">
        <f>IFERROR(INDEX(绊状态确认!C:C,MATCH($G908,绊状态确认!$B:$B,)),"")</f>
        <v/>
      </c>
      <c r="I908" s="450" t="str">
        <f>IFERROR(INDEX(绊状态确认!D:D,MATCH($G908,绊状态确认!$B:$B,)),"")</f>
        <v/>
      </c>
      <c r="J908" s="450" t="str">
        <f>IFERROR(INDEX(绊状态确认!E:E,MATCH($G908,绊状态确认!$B:$B,)),"")</f>
        <v/>
      </c>
      <c r="K908" s="451" t="str">
        <f>IFERROR(INDEX(绊状态确认!F:F,MATCH($G908,绊状态确认!$B:$B,)),"")</f>
        <v/>
      </c>
      <c r="L908" s="1026"/>
      <c r="M908" s="1165"/>
      <c r="N908" s="1027"/>
      <c r="O908" s="1026"/>
      <c r="P908" s="1028"/>
      <c r="Q908" s="1029"/>
      <c r="R908" s="1166"/>
      <c r="S908" s="1030"/>
      <c r="T908" s="1031"/>
      <c r="U908" s="1032"/>
      <c r="V908" s="1033"/>
      <c r="W908" s="1034"/>
      <c r="X908" s="1166"/>
      <c r="Y908" s="1035"/>
      <c r="Z908" s="1036"/>
      <c r="AA908" s="1037"/>
      <c r="AB908" s="1038"/>
      <c r="AC908" s="1039"/>
      <c r="AD908" s="1040"/>
      <c r="AE908" s="1041"/>
      <c r="AF908" s="521"/>
      <c r="AG908" s="420"/>
      <c r="AH908" s="420"/>
      <c r="AI908" s="420"/>
      <c r="AJ908" s="420"/>
      <c r="AK908" s="518"/>
      <c r="AL908" s="1042"/>
      <c r="AM908" s="1035"/>
      <c r="AN908" s="1043"/>
      <c r="AO908" s="1167"/>
      <c r="AP908" s="1044"/>
      <c r="AQ908" s="1035"/>
      <c r="AR908" s="1035"/>
      <c r="AS908" s="1035"/>
      <c r="AT908" s="1165"/>
      <c r="AU908" s="1031"/>
      <c r="AV908" s="1045"/>
      <c r="AW908" s="1038"/>
      <c r="AX908" s="1035"/>
      <c r="AY908" s="483"/>
      <c r="AZ908" s="429"/>
      <c r="BA908" s="431"/>
      <c r="BB908" s="1035"/>
      <c r="BC908" s="1035"/>
      <c r="BD908" s="481"/>
      <c r="BE908" s="432"/>
      <c r="BF908" s="646"/>
      <c r="BG908" s="1047"/>
      <c r="BH908" s="1046"/>
      <c r="BI908" s="1048"/>
      <c r="BJ908" s="1030"/>
      <c r="BK908" s="1046"/>
      <c r="BL908" s="1048"/>
      <c r="BM908" s="1046"/>
      <c r="BN908" s="1167"/>
      <c r="BO908" s="1035"/>
      <c r="BP908" s="1043"/>
      <c r="BQ908" s="1167"/>
      <c r="BR908" s="1165"/>
      <c r="BS908" s="1031"/>
      <c r="BT908" s="1038"/>
      <c r="BU908" s="1035"/>
      <c r="BV908" s="1035"/>
      <c r="BW908" s="1049"/>
      <c r="BX908" s="1043"/>
      <c r="BY908" s="1046"/>
      <c r="BZ908" s="1167"/>
      <c r="CA908" s="1165"/>
      <c r="CB908" s="1031"/>
      <c r="CC908" s="1038"/>
      <c r="CD908" s="1035"/>
      <c r="CE908" s="1035"/>
      <c r="CF908" s="1049"/>
      <c r="CG908" s="1043"/>
      <c r="CH908" s="1046"/>
      <c r="CI908" s="1167"/>
      <c r="CJ908" s="1168"/>
      <c r="CK908" s="1169"/>
      <c r="CL908" s="1169"/>
      <c r="CM908" s="1166"/>
      <c r="CN908" s="1169"/>
      <c r="CO908" s="1169"/>
      <c r="CP908" s="452"/>
      <c r="CQ908" s="435"/>
      <c r="CR908" s="441"/>
      <c r="CS908" s="452"/>
      <c r="CT908" s="482"/>
      <c r="CU908" s="476"/>
      <c r="CV908" s="431"/>
      <c r="CW908" s="1108"/>
      <c r="CX908" s="1108"/>
      <c r="CY908" s="483"/>
      <c r="CZ908" s="437"/>
      <c r="DA908" s="438"/>
      <c r="DB908" s="439"/>
      <c r="DC908" s="439"/>
      <c r="DD908" s="443"/>
      <c r="DE908" s="411"/>
      <c r="DF908" s="411"/>
      <c r="DG908" s="1117"/>
      <c r="DH908" s="1117"/>
      <c r="DI908" s="1117"/>
      <c r="DJ908" s="442"/>
      <c r="DK908" s="482"/>
      <c r="DL908" s="1038"/>
      <c r="DM908" s="1035"/>
      <c r="DN908" s="1035"/>
      <c r="DO908" s="1035"/>
      <c r="DP908" s="1046"/>
      <c r="DQ908" s="1167"/>
      <c r="DR908" s="1168"/>
      <c r="DS908" s="1165"/>
      <c r="DT908" s="1165"/>
      <c r="DU908" s="1165"/>
      <c r="DV908" s="1031"/>
      <c r="DW908" s="1098">
        <f t="shared" si="1180"/>
        <v>0</v>
      </c>
      <c r="DX908" s="1098">
        <f t="shared" si="1181"/>
        <v>0</v>
      </c>
      <c r="DY908" s="1030"/>
      <c r="DZ908" s="1030"/>
      <c r="EA908" s="1031"/>
      <c r="EB908" s="1050"/>
      <c r="EC908" s="1038"/>
      <c r="ED908" s="1035"/>
      <c r="EE908" s="1046"/>
      <c r="EF908" s="1169"/>
      <c r="EG908" s="1168"/>
      <c r="EH908" s="1165"/>
      <c r="EI908" s="1165"/>
      <c r="EJ908" s="1165"/>
      <c r="EK908" s="1031"/>
      <c r="EL908" s="1098">
        <f t="shared" si="1182"/>
        <v>0</v>
      </c>
      <c r="EM908" s="1098">
        <f t="shared" si="1183"/>
        <v>0</v>
      </c>
      <c r="EN908" s="1030"/>
      <c r="EO908" s="1030"/>
      <c r="EP908" s="1031"/>
      <c r="EQ908" s="1050"/>
      <c r="ER908" s="1038"/>
      <c r="ES908" s="1035"/>
      <c r="ET908" s="1051"/>
    </row>
    <row r="909" spans="2:150" ht="16.5" customHeight="1">
      <c r="B909" s="1024"/>
      <c r="C909" s="1025"/>
      <c r="D909" s="408">
        <v>906</v>
      </c>
      <c r="E909" s="1164"/>
      <c r="F909" s="1164"/>
      <c r="G909" s="1026"/>
      <c r="H909" s="411" t="str">
        <f>IFERROR(INDEX(绊状态确认!C:C,MATCH($G909,绊状态确认!$B:$B,)),"")</f>
        <v/>
      </c>
      <c r="I909" s="450" t="str">
        <f>IFERROR(INDEX(绊状态确认!D:D,MATCH($G909,绊状态确认!$B:$B,)),"")</f>
        <v/>
      </c>
      <c r="J909" s="450" t="str">
        <f>IFERROR(INDEX(绊状态确认!E:E,MATCH($G909,绊状态确认!$B:$B,)),"")</f>
        <v/>
      </c>
      <c r="K909" s="451" t="str">
        <f>IFERROR(INDEX(绊状态确认!F:F,MATCH($G909,绊状态确认!$B:$B,)),"")</f>
        <v/>
      </c>
      <c r="L909" s="1026"/>
      <c r="M909" s="1165"/>
      <c r="N909" s="1027"/>
      <c r="O909" s="1026"/>
      <c r="P909" s="1028"/>
      <c r="Q909" s="1029"/>
      <c r="R909" s="1166"/>
      <c r="S909" s="1030"/>
      <c r="T909" s="1031"/>
      <c r="U909" s="1032"/>
      <c r="V909" s="1033"/>
      <c r="W909" s="1034"/>
      <c r="X909" s="1166"/>
      <c r="Y909" s="1035"/>
      <c r="Z909" s="1036"/>
      <c r="AA909" s="1037"/>
      <c r="AB909" s="1038"/>
      <c r="AC909" s="1039"/>
      <c r="AD909" s="1040"/>
      <c r="AE909" s="1041"/>
      <c r="AF909" s="521"/>
      <c r="AG909" s="420"/>
      <c r="AH909" s="420"/>
      <c r="AI909" s="420"/>
      <c r="AJ909" s="420"/>
      <c r="AK909" s="518"/>
      <c r="AL909" s="1042"/>
      <c r="AM909" s="1035"/>
      <c r="AN909" s="1043"/>
      <c r="AO909" s="1167"/>
      <c r="AP909" s="1044"/>
      <c r="AQ909" s="1035"/>
      <c r="AR909" s="1035"/>
      <c r="AS909" s="1035"/>
      <c r="AT909" s="1165"/>
      <c r="AU909" s="1031"/>
      <c r="AV909" s="1045"/>
      <c r="AW909" s="1038"/>
      <c r="AX909" s="1035"/>
      <c r="AY909" s="483"/>
      <c r="AZ909" s="429"/>
      <c r="BA909" s="431"/>
      <c r="BB909" s="1035"/>
      <c r="BC909" s="1035"/>
      <c r="BD909" s="481"/>
      <c r="BE909" s="432"/>
      <c r="BF909" s="646"/>
      <c r="BG909" s="1047"/>
      <c r="BH909" s="1046"/>
      <c r="BI909" s="1048"/>
      <c r="BJ909" s="1030"/>
      <c r="BK909" s="1046"/>
      <c r="BL909" s="1048"/>
      <c r="BM909" s="1046"/>
      <c r="BN909" s="1167"/>
      <c r="BO909" s="1035"/>
      <c r="BP909" s="1043"/>
      <c r="BQ909" s="1167"/>
      <c r="BR909" s="1165"/>
      <c r="BS909" s="1031"/>
      <c r="BT909" s="1038"/>
      <c r="BU909" s="1035"/>
      <c r="BV909" s="1035"/>
      <c r="BW909" s="1049"/>
      <c r="BX909" s="1043"/>
      <c r="BY909" s="1046"/>
      <c r="BZ909" s="1167"/>
      <c r="CA909" s="1165"/>
      <c r="CB909" s="1031"/>
      <c r="CC909" s="1038"/>
      <c r="CD909" s="1035"/>
      <c r="CE909" s="1035"/>
      <c r="CF909" s="1049"/>
      <c r="CG909" s="1043"/>
      <c r="CH909" s="1046"/>
      <c r="CI909" s="1167"/>
      <c r="CJ909" s="1168"/>
      <c r="CK909" s="1169"/>
      <c r="CL909" s="1169"/>
      <c r="CM909" s="1166"/>
      <c r="CN909" s="1169"/>
      <c r="CO909" s="1169"/>
      <c r="CP909" s="452"/>
      <c r="CQ909" s="435"/>
      <c r="CR909" s="441"/>
      <c r="CS909" s="452"/>
      <c r="CT909" s="482"/>
      <c r="CU909" s="476"/>
      <c r="CV909" s="431"/>
      <c r="CW909" s="1108"/>
      <c r="CX909" s="1108"/>
      <c r="CY909" s="483"/>
      <c r="CZ909" s="437"/>
      <c r="DA909" s="438"/>
      <c r="DB909" s="439"/>
      <c r="DC909" s="439"/>
      <c r="DD909" s="443"/>
      <c r="DE909" s="411"/>
      <c r="DF909" s="411"/>
      <c r="DG909" s="1117"/>
      <c r="DH909" s="1117"/>
      <c r="DI909" s="1117"/>
      <c r="DJ909" s="442"/>
      <c r="DK909" s="482"/>
      <c r="DL909" s="1038"/>
      <c r="DM909" s="1035"/>
      <c r="DN909" s="1035"/>
      <c r="DO909" s="1035"/>
      <c r="DP909" s="1046"/>
      <c r="DQ909" s="1167"/>
      <c r="DR909" s="1168"/>
      <c r="DS909" s="1165"/>
      <c r="DT909" s="1165"/>
      <c r="DU909" s="1165"/>
      <c r="DV909" s="1031"/>
      <c r="DW909" s="1098">
        <f t="shared" si="1180"/>
        <v>0</v>
      </c>
      <c r="DX909" s="1098">
        <f t="shared" si="1181"/>
        <v>0</v>
      </c>
      <c r="DY909" s="1030"/>
      <c r="DZ909" s="1030"/>
      <c r="EA909" s="1031"/>
      <c r="EB909" s="1050"/>
      <c r="EC909" s="1038"/>
      <c r="ED909" s="1035"/>
      <c r="EE909" s="1046"/>
      <c r="EF909" s="1169"/>
      <c r="EG909" s="1168"/>
      <c r="EH909" s="1165"/>
      <c r="EI909" s="1165"/>
      <c r="EJ909" s="1165"/>
      <c r="EK909" s="1031"/>
      <c r="EL909" s="1098">
        <f t="shared" si="1182"/>
        <v>0</v>
      </c>
      <c r="EM909" s="1098">
        <f t="shared" si="1183"/>
        <v>0</v>
      </c>
      <c r="EN909" s="1030"/>
      <c r="EO909" s="1030"/>
      <c r="EP909" s="1031"/>
      <c r="EQ909" s="1050"/>
      <c r="ER909" s="1038"/>
      <c r="ES909" s="1035"/>
      <c r="ET909" s="1051"/>
    </row>
    <row r="910" spans="2:150" ht="16.5" customHeight="1">
      <c r="B910" s="1024"/>
      <c r="C910" s="1025"/>
      <c r="D910" s="408">
        <v>907</v>
      </c>
      <c r="E910" s="1164"/>
      <c r="F910" s="1164"/>
      <c r="G910" s="1026"/>
      <c r="H910" s="411" t="str">
        <f>IFERROR(INDEX(绊状态确认!C:C,MATCH($G910,绊状态确认!$B:$B,)),"")</f>
        <v/>
      </c>
      <c r="I910" s="450" t="str">
        <f>IFERROR(INDEX(绊状态确认!D:D,MATCH($G910,绊状态确认!$B:$B,)),"")</f>
        <v/>
      </c>
      <c r="J910" s="450" t="str">
        <f>IFERROR(INDEX(绊状态确认!E:E,MATCH($G910,绊状态确认!$B:$B,)),"")</f>
        <v/>
      </c>
      <c r="K910" s="451" t="str">
        <f>IFERROR(INDEX(绊状态确认!F:F,MATCH($G910,绊状态确认!$B:$B,)),"")</f>
        <v/>
      </c>
      <c r="L910" s="1026"/>
      <c r="M910" s="1165"/>
      <c r="N910" s="1027"/>
      <c r="O910" s="1026"/>
      <c r="P910" s="1028"/>
      <c r="Q910" s="1029"/>
      <c r="R910" s="1166"/>
      <c r="S910" s="1030"/>
      <c r="T910" s="1031"/>
      <c r="U910" s="1032"/>
      <c r="V910" s="1033"/>
      <c r="W910" s="1034"/>
      <c r="X910" s="1166"/>
      <c r="Y910" s="1035"/>
      <c r="Z910" s="1036"/>
      <c r="AA910" s="1037"/>
      <c r="AB910" s="1038"/>
      <c r="AC910" s="1039"/>
      <c r="AD910" s="1040"/>
      <c r="AE910" s="1041"/>
      <c r="AF910" s="521"/>
      <c r="AG910" s="420"/>
      <c r="AH910" s="420"/>
      <c r="AI910" s="420"/>
      <c r="AJ910" s="420"/>
      <c r="AK910" s="518"/>
      <c r="AL910" s="1042"/>
      <c r="AM910" s="1035"/>
      <c r="AN910" s="1043"/>
      <c r="AO910" s="1167"/>
      <c r="AP910" s="1044"/>
      <c r="AQ910" s="1035"/>
      <c r="AR910" s="1035"/>
      <c r="AS910" s="1035"/>
      <c r="AT910" s="1165"/>
      <c r="AU910" s="1031"/>
      <c r="AV910" s="1045"/>
      <c r="AW910" s="1038"/>
      <c r="AX910" s="1035"/>
      <c r="AY910" s="483"/>
      <c r="AZ910" s="429"/>
      <c r="BA910" s="431"/>
      <c r="BB910" s="1035"/>
      <c r="BC910" s="1035"/>
      <c r="BD910" s="481"/>
      <c r="BE910" s="432"/>
      <c r="BF910" s="646"/>
      <c r="BG910" s="1047"/>
      <c r="BH910" s="1046"/>
      <c r="BI910" s="1048"/>
      <c r="BJ910" s="1030"/>
      <c r="BK910" s="1046"/>
      <c r="BL910" s="1048"/>
      <c r="BM910" s="1046"/>
      <c r="BN910" s="1167"/>
      <c r="BO910" s="1035"/>
      <c r="BP910" s="1043"/>
      <c r="BQ910" s="1167"/>
      <c r="BR910" s="1165"/>
      <c r="BS910" s="1031"/>
      <c r="BT910" s="1038"/>
      <c r="BU910" s="1035"/>
      <c r="BV910" s="1035"/>
      <c r="BW910" s="1049"/>
      <c r="BX910" s="1043"/>
      <c r="BY910" s="1046"/>
      <c r="BZ910" s="1167"/>
      <c r="CA910" s="1165"/>
      <c r="CB910" s="1031"/>
      <c r="CC910" s="1038"/>
      <c r="CD910" s="1035"/>
      <c r="CE910" s="1035"/>
      <c r="CF910" s="1049"/>
      <c r="CG910" s="1043"/>
      <c r="CH910" s="1046"/>
      <c r="CI910" s="1167"/>
      <c r="CJ910" s="1168"/>
      <c r="CK910" s="1169"/>
      <c r="CL910" s="1169"/>
      <c r="CM910" s="1166"/>
      <c r="CN910" s="1169"/>
      <c r="CO910" s="1169"/>
      <c r="CP910" s="452"/>
      <c r="CQ910" s="435"/>
      <c r="CR910" s="1117"/>
      <c r="CS910" s="452"/>
      <c r="CT910" s="482"/>
      <c r="CU910" s="476"/>
      <c r="CV910" s="431"/>
      <c r="CW910" s="1108"/>
      <c r="CX910" s="1108"/>
      <c r="CY910" s="483"/>
      <c r="CZ910" s="437"/>
      <c r="DA910" s="438"/>
      <c r="DB910" s="439"/>
      <c r="DC910" s="439"/>
      <c r="DD910" s="443"/>
      <c r="DE910" s="411"/>
      <c r="DF910" s="411"/>
      <c r="DG910" s="1117"/>
      <c r="DH910" s="1117"/>
      <c r="DI910" s="1117"/>
      <c r="DJ910" s="442"/>
      <c r="DK910" s="482"/>
      <c r="DL910" s="1038"/>
      <c r="DM910" s="1035"/>
      <c r="DN910" s="1035"/>
      <c r="DO910" s="1035"/>
      <c r="DP910" s="1046"/>
      <c r="DQ910" s="1167"/>
      <c r="DR910" s="1168"/>
      <c r="DS910" s="1165"/>
      <c r="DT910" s="1165"/>
      <c r="DU910" s="1165"/>
      <c r="DV910" s="1031"/>
      <c r="DW910" s="1098">
        <f t="shared" si="1180"/>
        <v>0</v>
      </c>
      <c r="DX910" s="1098">
        <f t="shared" si="1181"/>
        <v>0</v>
      </c>
      <c r="DY910" s="1030"/>
      <c r="DZ910" s="1030"/>
      <c r="EA910" s="1031"/>
      <c r="EB910" s="1050"/>
      <c r="EC910" s="1038"/>
      <c r="ED910" s="1035"/>
      <c r="EE910" s="1046"/>
      <c r="EF910" s="1169"/>
      <c r="EG910" s="1168"/>
      <c r="EH910" s="1165"/>
      <c r="EI910" s="1165"/>
      <c r="EJ910" s="1165"/>
      <c r="EK910" s="1031"/>
      <c r="EL910" s="1098">
        <f t="shared" si="1182"/>
        <v>0</v>
      </c>
      <c r="EM910" s="1098">
        <f t="shared" si="1183"/>
        <v>0</v>
      </c>
      <c r="EN910" s="1030"/>
      <c r="EO910" s="1030"/>
      <c r="EP910" s="1031"/>
      <c r="EQ910" s="1050"/>
      <c r="ER910" s="1038"/>
      <c r="ES910" s="1035"/>
      <c r="ET910" s="1051"/>
    </row>
    <row r="911" spans="2:150" ht="16.5" customHeight="1">
      <c r="B911" s="1024"/>
      <c r="C911" s="1025"/>
      <c r="D911" s="408">
        <v>908</v>
      </c>
      <c r="E911" s="1164"/>
      <c r="F911" s="1164"/>
      <c r="G911" s="1026"/>
      <c r="H911" s="411" t="str">
        <f>IFERROR(INDEX(绊状态确认!C:C,MATCH($G911,绊状态确认!$B:$B,)),"")</f>
        <v/>
      </c>
      <c r="I911" s="450" t="str">
        <f>IFERROR(INDEX(绊状态确认!D:D,MATCH($G911,绊状态确认!$B:$B,)),"")</f>
        <v/>
      </c>
      <c r="J911" s="450" t="str">
        <f>IFERROR(INDEX(绊状态确认!E:E,MATCH($G911,绊状态确认!$B:$B,)),"")</f>
        <v/>
      </c>
      <c r="K911" s="451" t="str">
        <f>IFERROR(INDEX(绊状态确认!F:F,MATCH($G911,绊状态确认!$B:$B,)),"")</f>
        <v/>
      </c>
      <c r="L911" s="1026"/>
      <c r="M911" s="1165"/>
      <c r="N911" s="1027"/>
      <c r="O911" s="1026"/>
      <c r="P911" s="1028"/>
      <c r="Q911" s="1029"/>
      <c r="R911" s="1166"/>
      <c r="S911" s="1030"/>
      <c r="T911" s="1031"/>
      <c r="U911" s="1032"/>
      <c r="V911" s="1033"/>
      <c r="W911" s="1034"/>
      <c r="X911" s="1166"/>
      <c r="Y911" s="1035"/>
      <c r="Z911" s="1036"/>
      <c r="AA911" s="1037"/>
      <c r="AB911" s="1038"/>
      <c r="AC911" s="1039"/>
      <c r="AD911" s="1040"/>
      <c r="AE911" s="1041"/>
      <c r="AF911" s="521"/>
      <c r="AG911" s="420"/>
      <c r="AH911" s="420"/>
      <c r="AI911" s="420"/>
      <c r="AJ911" s="420"/>
      <c r="AK911" s="518"/>
      <c r="AL911" s="1042"/>
      <c r="AM911" s="1035"/>
      <c r="AN911" s="1043"/>
      <c r="AO911" s="1167"/>
      <c r="AP911" s="1044"/>
      <c r="AQ911" s="1035"/>
      <c r="AR911" s="1035"/>
      <c r="AS911" s="1035"/>
      <c r="AT911" s="1165"/>
      <c r="AU911" s="1031"/>
      <c r="AV911" s="1045"/>
      <c r="AW911" s="1038"/>
      <c r="AX911" s="1035"/>
      <c r="AY911" s="483"/>
      <c r="AZ911" s="429"/>
      <c r="BA911" s="431"/>
      <c r="BB911" s="1035"/>
      <c r="BC911" s="1035"/>
      <c r="BD911" s="481"/>
      <c r="BE911" s="432"/>
      <c r="BF911" s="646"/>
      <c r="BG911" s="1047"/>
      <c r="BH911" s="1046"/>
      <c r="BI911" s="1048"/>
      <c r="BJ911" s="1030"/>
      <c r="BK911" s="1046"/>
      <c r="BL911" s="1048"/>
      <c r="BM911" s="1046"/>
      <c r="BN911" s="1167"/>
      <c r="BO911" s="1035"/>
      <c r="BP911" s="1043"/>
      <c r="BQ911" s="1167"/>
      <c r="BR911" s="1165"/>
      <c r="BS911" s="1031"/>
      <c r="BT911" s="1038"/>
      <c r="BU911" s="1035"/>
      <c r="BV911" s="1035"/>
      <c r="BW911" s="1049"/>
      <c r="BX911" s="1043"/>
      <c r="BY911" s="1046"/>
      <c r="BZ911" s="1167"/>
      <c r="CA911" s="1165"/>
      <c r="CB911" s="1031"/>
      <c r="CC911" s="1038"/>
      <c r="CD911" s="1035"/>
      <c r="CE911" s="1035"/>
      <c r="CF911" s="1049"/>
      <c r="CG911" s="1043"/>
      <c r="CH911" s="1046"/>
      <c r="CI911" s="1167"/>
      <c r="CJ911" s="1168"/>
      <c r="CK911" s="1169"/>
      <c r="CL911" s="1169"/>
      <c r="CM911" s="1166"/>
      <c r="CN911" s="1169"/>
      <c r="CO911" s="1169"/>
      <c r="CP911" s="452"/>
      <c r="CQ911" s="435"/>
      <c r="CR911" s="1117"/>
      <c r="CS911" s="452"/>
      <c r="CT911" s="482"/>
      <c r="CU911" s="476"/>
      <c r="CV911" s="431"/>
      <c r="CW911" s="1108"/>
      <c r="CX911" s="1108"/>
      <c r="CY911" s="483"/>
      <c r="CZ911" s="437"/>
      <c r="DA911" s="438"/>
      <c r="DB911" s="439"/>
      <c r="DC911" s="439"/>
      <c r="DD911" s="443"/>
      <c r="DE911" s="411"/>
      <c r="DF911" s="411"/>
      <c r="DG911" s="1117"/>
      <c r="DH911" s="1117"/>
      <c r="DI911" s="1117"/>
      <c r="DJ911" s="442"/>
      <c r="DK911" s="482"/>
      <c r="DL911" s="1038"/>
      <c r="DM911" s="1035"/>
      <c r="DN911" s="1035"/>
      <c r="DO911" s="1035"/>
      <c r="DP911" s="1046"/>
      <c r="DQ911" s="1167"/>
      <c r="DR911" s="1168"/>
      <c r="DS911" s="1165"/>
      <c r="DT911" s="1165"/>
      <c r="DU911" s="1165"/>
      <c r="DV911" s="1031"/>
      <c r="DW911" s="1098">
        <f t="shared" si="1180"/>
        <v>0</v>
      </c>
      <c r="DX911" s="1098">
        <f t="shared" si="1181"/>
        <v>0</v>
      </c>
      <c r="DY911" s="1030"/>
      <c r="DZ911" s="1030"/>
      <c r="EA911" s="1031"/>
      <c r="EB911" s="1050"/>
      <c r="EC911" s="1038"/>
      <c r="ED911" s="1035"/>
      <c r="EE911" s="1046"/>
      <c r="EF911" s="1169"/>
      <c r="EG911" s="1168"/>
      <c r="EH911" s="1165"/>
      <c r="EI911" s="1165"/>
      <c r="EJ911" s="1165"/>
      <c r="EK911" s="1031"/>
      <c r="EL911" s="1098">
        <f t="shared" si="1182"/>
        <v>0</v>
      </c>
      <c r="EM911" s="1098">
        <f t="shared" si="1183"/>
        <v>0</v>
      </c>
      <c r="EN911" s="1030"/>
      <c r="EO911" s="1030"/>
      <c r="EP911" s="1031"/>
      <c r="EQ911" s="1050"/>
      <c r="ER911" s="1038"/>
      <c r="ES911" s="1035"/>
      <c r="ET911" s="1051"/>
    </row>
    <row r="912" spans="2:150" ht="16.5" customHeight="1">
      <c r="B912" s="1024"/>
      <c r="C912" s="1025"/>
      <c r="D912" s="408">
        <v>909</v>
      </c>
      <c r="E912" s="1164"/>
      <c r="F912" s="1164"/>
      <c r="G912" s="1026"/>
      <c r="H912" s="411" t="str">
        <f>IFERROR(INDEX(绊状态确认!C:C,MATCH($G912,绊状态确认!$B:$B,)),"")</f>
        <v/>
      </c>
      <c r="I912" s="450" t="str">
        <f>IFERROR(INDEX(绊状态确认!D:D,MATCH($G912,绊状态确认!$B:$B,)),"")</f>
        <v/>
      </c>
      <c r="J912" s="450" t="str">
        <f>IFERROR(INDEX(绊状态确认!E:E,MATCH($G912,绊状态确认!$B:$B,)),"")</f>
        <v/>
      </c>
      <c r="K912" s="451" t="str">
        <f>IFERROR(INDEX(绊状态确认!F:F,MATCH($G912,绊状态确认!$B:$B,)),"")</f>
        <v/>
      </c>
      <c r="L912" s="1026"/>
      <c r="M912" s="1165"/>
      <c r="N912" s="1027"/>
      <c r="O912" s="1026"/>
      <c r="P912" s="1028"/>
      <c r="Q912" s="1029"/>
      <c r="R912" s="1166"/>
      <c r="S912" s="1030"/>
      <c r="T912" s="1031"/>
      <c r="U912" s="1032"/>
      <c r="V912" s="1033"/>
      <c r="W912" s="1034"/>
      <c r="X912" s="1166"/>
      <c r="Y912" s="1035"/>
      <c r="Z912" s="1036"/>
      <c r="AA912" s="1037"/>
      <c r="AB912" s="1038"/>
      <c r="AC912" s="1039"/>
      <c r="AD912" s="1040"/>
      <c r="AE912" s="1041"/>
      <c r="AF912" s="521"/>
      <c r="AG912" s="420"/>
      <c r="AH912" s="420"/>
      <c r="AI912" s="420"/>
      <c r="AJ912" s="420"/>
      <c r="AK912" s="518"/>
      <c r="AL912" s="1042"/>
      <c r="AM912" s="1035"/>
      <c r="AN912" s="1043"/>
      <c r="AO912" s="1167"/>
      <c r="AP912" s="1044"/>
      <c r="AQ912" s="1035"/>
      <c r="AR912" s="1035"/>
      <c r="AS912" s="1035"/>
      <c r="AT912" s="1165"/>
      <c r="AU912" s="1031"/>
      <c r="AV912" s="1045"/>
      <c r="AW912" s="1038"/>
      <c r="AX912" s="1035"/>
      <c r="AY912" s="483"/>
      <c r="AZ912" s="429"/>
      <c r="BA912" s="431"/>
      <c r="BB912" s="1035"/>
      <c r="BC912" s="1035"/>
      <c r="BD912" s="481"/>
      <c r="BE912" s="432"/>
      <c r="BF912" s="646"/>
      <c r="BG912" s="1047"/>
      <c r="BH912" s="1046"/>
      <c r="BI912" s="1048"/>
      <c r="BJ912" s="1030"/>
      <c r="BK912" s="1046"/>
      <c r="BL912" s="1048"/>
      <c r="BM912" s="1046"/>
      <c r="BN912" s="1167"/>
      <c r="BO912" s="1035"/>
      <c r="BP912" s="1043"/>
      <c r="BQ912" s="1167"/>
      <c r="BR912" s="1165"/>
      <c r="BS912" s="1031"/>
      <c r="BT912" s="1038"/>
      <c r="BU912" s="1035"/>
      <c r="BV912" s="1035"/>
      <c r="BW912" s="1049"/>
      <c r="BX912" s="1043"/>
      <c r="BY912" s="1046"/>
      <c r="BZ912" s="1167"/>
      <c r="CA912" s="1165"/>
      <c r="CB912" s="1031"/>
      <c r="CC912" s="1038"/>
      <c r="CD912" s="1035"/>
      <c r="CE912" s="1035"/>
      <c r="CF912" s="1049"/>
      <c r="CG912" s="1043"/>
      <c r="CH912" s="1046"/>
      <c r="CI912" s="1167"/>
      <c r="CJ912" s="1168"/>
      <c r="CK912" s="1169"/>
      <c r="CL912" s="1169"/>
      <c r="CM912" s="1166"/>
      <c r="CN912" s="1169"/>
      <c r="CO912" s="1169"/>
      <c r="CP912" s="452"/>
      <c r="CQ912" s="435"/>
      <c r="CR912" s="441"/>
      <c r="CS912" s="452"/>
      <c r="CT912" s="482"/>
      <c r="CU912" s="476"/>
      <c r="CV912" s="431"/>
      <c r="CW912" s="1108"/>
      <c r="CX912" s="1108"/>
      <c r="CY912" s="483"/>
      <c r="CZ912" s="437"/>
      <c r="DA912" s="438"/>
      <c r="DB912" s="439"/>
      <c r="DC912" s="439"/>
      <c r="DD912" s="443"/>
      <c r="DE912" s="411"/>
      <c r="DF912" s="411"/>
      <c r="DG912" s="1117"/>
      <c r="DH912" s="1117"/>
      <c r="DI912" s="1117"/>
      <c r="DJ912" s="442"/>
      <c r="DK912" s="482"/>
      <c r="DL912" s="1038"/>
      <c r="DM912" s="1035"/>
      <c r="DN912" s="1035"/>
      <c r="DO912" s="1035"/>
      <c r="DP912" s="1046"/>
      <c r="DQ912" s="1167"/>
      <c r="DR912" s="1168"/>
      <c r="DS912" s="1165"/>
      <c r="DT912" s="1165"/>
      <c r="DU912" s="1165"/>
      <c r="DV912" s="1031"/>
      <c r="DW912" s="1098">
        <f t="shared" si="1180"/>
        <v>0</v>
      </c>
      <c r="DX912" s="1098">
        <f t="shared" si="1181"/>
        <v>0</v>
      </c>
      <c r="DY912" s="1030"/>
      <c r="DZ912" s="1030"/>
      <c r="EA912" s="1031"/>
      <c r="EB912" s="1050"/>
      <c r="EC912" s="1038"/>
      <c r="ED912" s="1035"/>
      <c r="EE912" s="1046"/>
      <c r="EF912" s="1169"/>
      <c r="EG912" s="1168"/>
      <c r="EH912" s="1165"/>
      <c r="EI912" s="1165"/>
      <c r="EJ912" s="1165"/>
      <c r="EK912" s="1031"/>
      <c r="EL912" s="1098">
        <f t="shared" si="1182"/>
        <v>0</v>
      </c>
      <c r="EM912" s="1098">
        <f t="shared" si="1183"/>
        <v>0</v>
      </c>
      <c r="EN912" s="1030"/>
      <c r="EO912" s="1030"/>
      <c r="EP912" s="1031"/>
      <c r="EQ912" s="1050"/>
      <c r="ER912" s="1038"/>
      <c r="ES912" s="1035"/>
      <c r="ET912" s="1051"/>
    </row>
    <row r="913" spans="2:150" ht="16.5" customHeight="1">
      <c r="B913" s="1024"/>
      <c r="C913" s="1025"/>
      <c r="D913" s="408">
        <v>910</v>
      </c>
      <c r="E913" s="1164"/>
      <c r="F913" s="1164"/>
      <c r="G913" s="1026"/>
      <c r="H913" s="411" t="str">
        <f>IFERROR(INDEX(绊状态确认!C:C,MATCH($G913,绊状态确认!$B:$B,)),"")</f>
        <v/>
      </c>
      <c r="I913" s="450" t="str">
        <f>IFERROR(INDEX(绊状态确认!D:D,MATCH($G913,绊状态确认!$B:$B,)),"")</f>
        <v/>
      </c>
      <c r="J913" s="450" t="str">
        <f>IFERROR(INDEX(绊状态确认!E:E,MATCH($G913,绊状态确认!$B:$B,)),"")</f>
        <v/>
      </c>
      <c r="K913" s="451" t="str">
        <f>IFERROR(INDEX(绊状态确认!F:F,MATCH($G913,绊状态确认!$B:$B,)),"")</f>
        <v/>
      </c>
      <c r="L913" s="1026"/>
      <c r="M913" s="1165"/>
      <c r="N913" s="1027"/>
      <c r="O913" s="1026"/>
      <c r="P913" s="1028"/>
      <c r="Q913" s="1029"/>
      <c r="R913" s="1166"/>
      <c r="S913" s="1030"/>
      <c r="T913" s="1031"/>
      <c r="U913" s="1032"/>
      <c r="V913" s="1033"/>
      <c r="W913" s="1034"/>
      <c r="X913" s="1166"/>
      <c r="Y913" s="1035"/>
      <c r="Z913" s="1036"/>
      <c r="AA913" s="1037"/>
      <c r="AB913" s="1038"/>
      <c r="AC913" s="1039"/>
      <c r="AD913" s="1040"/>
      <c r="AE913" s="1041"/>
      <c r="AF913" s="521"/>
      <c r="AG913" s="420"/>
      <c r="AH913" s="420"/>
      <c r="AI913" s="420"/>
      <c r="AJ913" s="420"/>
      <c r="AK913" s="518"/>
      <c r="AL913" s="1042"/>
      <c r="AM913" s="1035"/>
      <c r="AN913" s="1043"/>
      <c r="AO913" s="1167"/>
      <c r="AP913" s="1044"/>
      <c r="AQ913" s="1035"/>
      <c r="AR913" s="1035"/>
      <c r="AS913" s="1035"/>
      <c r="AT913" s="1165"/>
      <c r="AU913" s="1031"/>
      <c r="AV913" s="1045"/>
      <c r="AW913" s="1038"/>
      <c r="AX913" s="1035"/>
      <c r="AY913" s="483"/>
      <c r="AZ913" s="429"/>
      <c r="BA913" s="431"/>
      <c r="BB913" s="1035"/>
      <c r="BC913" s="1035"/>
      <c r="BD913" s="481"/>
      <c r="BE913" s="432"/>
      <c r="BF913" s="646"/>
      <c r="BG913" s="1047"/>
      <c r="BH913" s="1046"/>
      <c r="BI913" s="1048"/>
      <c r="BJ913" s="1030"/>
      <c r="BK913" s="1046"/>
      <c r="BL913" s="1048"/>
      <c r="BM913" s="1046"/>
      <c r="BN913" s="1167"/>
      <c r="BO913" s="1035"/>
      <c r="BP913" s="1043"/>
      <c r="BQ913" s="1167"/>
      <c r="BR913" s="1165"/>
      <c r="BS913" s="1031"/>
      <c r="BT913" s="1038"/>
      <c r="BU913" s="1035"/>
      <c r="BV913" s="1035"/>
      <c r="BW913" s="1049"/>
      <c r="BX913" s="1043"/>
      <c r="BY913" s="1046"/>
      <c r="BZ913" s="1167"/>
      <c r="CA913" s="1165"/>
      <c r="CB913" s="1031"/>
      <c r="CC913" s="1038"/>
      <c r="CD913" s="1035"/>
      <c r="CE913" s="1035"/>
      <c r="CF913" s="1049"/>
      <c r="CG913" s="1043"/>
      <c r="CH913" s="1046"/>
      <c r="CI913" s="1167"/>
      <c r="CJ913" s="1168"/>
      <c r="CK913" s="1169"/>
      <c r="CL913" s="1169"/>
      <c r="CM913" s="1166"/>
      <c r="CN913" s="1169"/>
      <c r="CO913" s="1169"/>
      <c r="CP913" s="452"/>
      <c r="CQ913" s="435"/>
      <c r="CR913" s="1117"/>
      <c r="CS913" s="452"/>
      <c r="CT913" s="482"/>
      <c r="CU913" s="476"/>
      <c r="CV913" s="431"/>
      <c r="CW913" s="1108"/>
      <c r="CX913" s="1108"/>
      <c r="CY913" s="483"/>
      <c r="CZ913" s="437"/>
      <c r="DA913" s="438"/>
      <c r="DB913" s="439"/>
      <c r="DC913" s="439"/>
      <c r="DD913" s="443"/>
      <c r="DE913" s="411"/>
      <c r="DF913" s="411"/>
      <c r="DG913" s="1117"/>
      <c r="DH913" s="1117"/>
      <c r="DI913" s="1117"/>
      <c r="DJ913" s="442"/>
      <c r="DK913" s="482"/>
      <c r="DL913" s="1038"/>
      <c r="DM913" s="1035"/>
      <c r="DN913" s="1035"/>
      <c r="DO913" s="1035"/>
      <c r="DP913" s="1046"/>
      <c r="DQ913" s="1167"/>
      <c r="DR913" s="1168"/>
      <c r="DS913" s="1165"/>
      <c r="DT913" s="1165"/>
      <c r="DU913" s="1165"/>
      <c r="DV913" s="1031"/>
      <c r="DW913" s="1098">
        <f t="shared" si="1180"/>
        <v>0</v>
      </c>
      <c r="DX913" s="1098">
        <f t="shared" si="1181"/>
        <v>0</v>
      </c>
      <c r="DY913" s="1030"/>
      <c r="DZ913" s="1030"/>
      <c r="EA913" s="1031"/>
      <c r="EB913" s="1050"/>
      <c r="EC913" s="1038"/>
      <c r="ED913" s="1035"/>
      <c r="EE913" s="1046"/>
      <c r="EF913" s="1169"/>
      <c r="EG913" s="1168"/>
      <c r="EH913" s="1165"/>
      <c r="EI913" s="1165"/>
      <c r="EJ913" s="1165"/>
      <c r="EK913" s="1031"/>
      <c r="EL913" s="1098">
        <f t="shared" si="1182"/>
        <v>0</v>
      </c>
      <c r="EM913" s="1098">
        <f t="shared" si="1183"/>
        <v>0</v>
      </c>
      <c r="EN913" s="1030"/>
      <c r="EO913" s="1030"/>
      <c r="EP913" s="1031"/>
      <c r="EQ913" s="1050"/>
      <c r="ER913" s="1038"/>
      <c r="ES913" s="1035"/>
      <c r="ET913" s="1051"/>
    </row>
    <row r="914" spans="2:150" ht="16.5" customHeight="1">
      <c r="B914" s="1024"/>
      <c r="C914" s="1025"/>
      <c r="D914" s="408">
        <v>911</v>
      </c>
      <c r="E914" s="1164"/>
      <c r="F914" s="1164"/>
      <c r="G914" s="1026"/>
      <c r="H914" s="411" t="str">
        <f>IFERROR(INDEX(绊状态确认!C:C,MATCH($G914,绊状态确认!$B:$B,)),"")</f>
        <v/>
      </c>
      <c r="I914" s="450" t="str">
        <f>IFERROR(INDEX(绊状态确认!D:D,MATCH($G914,绊状态确认!$B:$B,)),"")</f>
        <v/>
      </c>
      <c r="J914" s="450" t="str">
        <f>IFERROR(INDEX(绊状态确认!E:E,MATCH($G914,绊状态确认!$B:$B,)),"")</f>
        <v/>
      </c>
      <c r="K914" s="451" t="str">
        <f>IFERROR(INDEX(绊状态确认!F:F,MATCH($G914,绊状态确认!$B:$B,)),"")</f>
        <v/>
      </c>
      <c r="L914" s="1026"/>
      <c r="M914" s="1165"/>
      <c r="N914" s="1027"/>
      <c r="O914" s="1026"/>
      <c r="P914" s="1028"/>
      <c r="Q914" s="1029"/>
      <c r="R914" s="1166"/>
      <c r="S914" s="1030"/>
      <c r="T914" s="1031"/>
      <c r="U914" s="1032"/>
      <c r="V914" s="1033"/>
      <c r="W914" s="1034"/>
      <c r="X914" s="1166"/>
      <c r="Y914" s="1035"/>
      <c r="Z914" s="1036"/>
      <c r="AA914" s="1037"/>
      <c r="AB914" s="1038"/>
      <c r="AC914" s="1039"/>
      <c r="AD914" s="1040"/>
      <c r="AE914" s="1041"/>
      <c r="AF914" s="521"/>
      <c r="AG914" s="420"/>
      <c r="AH914" s="420"/>
      <c r="AI914" s="420"/>
      <c r="AJ914" s="420"/>
      <c r="AK914" s="518"/>
      <c r="AL914" s="1042"/>
      <c r="AM914" s="1035"/>
      <c r="AN914" s="1043"/>
      <c r="AO914" s="1167"/>
      <c r="AP914" s="1044"/>
      <c r="AQ914" s="1035"/>
      <c r="AR914" s="1035"/>
      <c r="AS914" s="1035"/>
      <c r="AT914" s="1165"/>
      <c r="AU914" s="1031"/>
      <c r="AV914" s="1045"/>
      <c r="AW914" s="1038"/>
      <c r="AX914" s="1035"/>
      <c r="AY914" s="483"/>
      <c r="AZ914" s="429"/>
      <c r="BA914" s="431"/>
      <c r="BB914" s="1035"/>
      <c r="BC914" s="1035"/>
      <c r="BD914" s="481"/>
      <c r="BE914" s="432"/>
      <c r="BF914" s="646"/>
      <c r="BG914" s="1047"/>
      <c r="BH914" s="1046"/>
      <c r="BI914" s="1048"/>
      <c r="BJ914" s="1030"/>
      <c r="BK914" s="1046"/>
      <c r="BL914" s="1048"/>
      <c r="BM914" s="1046"/>
      <c r="BN914" s="1167"/>
      <c r="BO914" s="1035"/>
      <c r="BP914" s="1043"/>
      <c r="BQ914" s="1167"/>
      <c r="BR914" s="1165"/>
      <c r="BS914" s="1031"/>
      <c r="BT914" s="1038"/>
      <c r="BU914" s="1035"/>
      <c r="BV914" s="1035"/>
      <c r="BW914" s="1049"/>
      <c r="BX914" s="1043"/>
      <c r="BY914" s="1046"/>
      <c r="BZ914" s="1167"/>
      <c r="CA914" s="1165"/>
      <c r="CB914" s="1031"/>
      <c r="CC914" s="1038"/>
      <c r="CD914" s="1035"/>
      <c r="CE914" s="1035"/>
      <c r="CF914" s="1049"/>
      <c r="CG914" s="1043"/>
      <c r="CH914" s="1046"/>
      <c r="CI914" s="1167"/>
      <c r="CJ914" s="1168"/>
      <c r="CK914" s="1169"/>
      <c r="CL914" s="1169"/>
      <c r="CM914" s="1166"/>
      <c r="CN914" s="1169"/>
      <c r="CO914" s="1169"/>
      <c r="CP914" s="452"/>
      <c r="CQ914" s="435"/>
      <c r="CR914" s="441"/>
      <c r="CS914" s="452"/>
      <c r="CT914" s="482"/>
      <c r="CU914" s="476"/>
      <c r="CV914" s="431"/>
      <c r="CW914" s="1108"/>
      <c r="CX914" s="1108"/>
      <c r="CY914" s="483"/>
      <c r="CZ914" s="437"/>
      <c r="DA914" s="438"/>
      <c r="DB914" s="439"/>
      <c r="DC914" s="439"/>
      <c r="DD914" s="443"/>
      <c r="DE914" s="411"/>
      <c r="DF914" s="411"/>
      <c r="DG914" s="1117"/>
      <c r="DH914" s="1117"/>
      <c r="DI914" s="1117"/>
      <c r="DJ914" s="442"/>
      <c r="DK914" s="482"/>
      <c r="DL914" s="1038"/>
      <c r="DM914" s="1035"/>
      <c r="DN914" s="1035"/>
      <c r="DO914" s="1035"/>
      <c r="DP914" s="1046"/>
      <c r="DQ914" s="1167"/>
      <c r="DR914" s="1168"/>
      <c r="DS914" s="1165"/>
      <c r="DT914" s="1165"/>
      <c r="DU914" s="1165"/>
      <c r="DV914" s="1031"/>
      <c r="DW914" s="1098">
        <f t="shared" si="1180"/>
        <v>0</v>
      </c>
      <c r="DX914" s="1098">
        <f t="shared" si="1181"/>
        <v>0</v>
      </c>
      <c r="DY914" s="1030"/>
      <c r="DZ914" s="1030"/>
      <c r="EA914" s="1031"/>
      <c r="EB914" s="1050"/>
      <c r="EC914" s="1038"/>
      <c r="ED914" s="1035"/>
      <c r="EE914" s="1046"/>
      <c r="EF914" s="1169"/>
      <c r="EG914" s="1168"/>
      <c r="EH914" s="1165"/>
      <c r="EI914" s="1165"/>
      <c r="EJ914" s="1165"/>
      <c r="EK914" s="1031"/>
      <c r="EL914" s="1098">
        <f t="shared" si="1182"/>
        <v>0</v>
      </c>
      <c r="EM914" s="1098">
        <f t="shared" si="1183"/>
        <v>0</v>
      </c>
      <c r="EN914" s="1030"/>
      <c r="EO914" s="1030"/>
      <c r="EP914" s="1031"/>
      <c r="EQ914" s="1050"/>
      <c r="ER914" s="1038"/>
      <c r="ES914" s="1035"/>
      <c r="ET914" s="1051"/>
    </row>
    <row r="915" spans="2:150" ht="16.5" customHeight="1">
      <c r="B915" s="1024"/>
      <c r="C915" s="1025"/>
      <c r="D915" s="408">
        <v>912</v>
      </c>
      <c r="E915" s="1164"/>
      <c r="F915" s="1164"/>
      <c r="G915" s="1026"/>
      <c r="H915" s="411" t="str">
        <f>IFERROR(INDEX(绊状态确认!C:C,MATCH($G915,绊状态确认!$B:$B,)),"")</f>
        <v/>
      </c>
      <c r="I915" s="450" t="str">
        <f>IFERROR(INDEX(绊状态确认!D:D,MATCH($G915,绊状态确认!$B:$B,)),"")</f>
        <v/>
      </c>
      <c r="J915" s="450" t="str">
        <f>IFERROR(INDEX(绊状态确认!E:E,MATCH($G915,绊状态确认!$B:$B,)),"")</f>
        <v/>
      </c>
      <c r="K915" s="451" t="str">
        <f>IFERROR(INDEX(绊状态确认!F:F,MATCH($G915,绊状态确认!$B:$B,)),"")</f>
        <v/>
      </c>
      <c r="L915" s="1026"/>
      <c r="M915" s="1165"/>
      <c r="N915" s="1027"/>
      <c r="O915" s="1026"/>
      <c r="P915" s="1028"/>
      <c r="Q915" s="1029"/>
      <c r="R915" s="1166"/>
      <c r="S915" s="1030"/>
      <c r="T915" s="1031"/>
      <c r="U915" s="1032"/>
      <c r="V915" s="1033"/>
      <c r="W915" s="1034"/>
      <c r="X915" s="1166"/>
      <c r="Y915" s="1035"/>
      <c r="Z915" s="1036"/>
      <c r="AA915" s="1037"/>
      <c r="AB915" s="1038"/>
      <c r="AC915" s="1039"/>
      <c r="AD915" s="1040"/>
      <c r="AE915" s="1041"/>
      <c r="AF915" s="521"/>
      <c r="AG915" s="420"/>
      <c r="AH915" s="420"/>
      <c r="AI915" s="420"/>
      <c r="AJ915" s="420"/>
      <c r="AK915" s="518"/>
      <c r="AL915" s="1042"/>
      <c r="AM915" s="1035"/>
      <c r="AN915" s="1043"/>
      <c r="AO915" s="1167"/>
      <c r="AP915" s="1044"/>
      <c r="AQ915" s="1035"/>
      <c r="AR915" s="1035"/>
      <c r="AS915" s="1035"/>
      <c r="AT915" s="1165"/>
      <c r="AU915" s="1031"/>
      <c r="AV915" s="1045"/>
      <c r="AW915" s="1038"/>
      <c r="AX915" s="1035"/>
      <c r="AY915" s="483"/>
      <c r="AZ915" s="429"/>
      <c r="BA915" s="431"/>
      <c r="BB915" s="1035"/>
      <c r="BC915" s="1035"/>
      <c r="BD915" s="481"/>
      <c r="BE915" s="432"/>
      <c r="BF915" s="646"/>
      <c r="BG915" s="1047"/>
      <c r="BH915" s="1046"/>
      <c r="BI915" s="1048"/>
      <c r="BJ915" s="1030"/>
      <c r="BK915" s="1046"/>
      <c r="BL915" s="1048"/>
      <c r="BM915" s="1046"/>
      <c r="BN915" s="1167"/>
      <c r="BO915" s="1035"/>
      <c r="BP915" s="1043"/>
      <c r="BQ915" s="1167"/>
      <c r="BR915" s="1165"/>
      <c r="BS915" s="1031"/>
      <c r="BT915" s="1038"/>
      <c r="BU915" s="1035"/>
      <c r="BV915" s="1035"/>
      <c r="BW915" s="1049"/>
      <c r="BX915" s="1043"/>
      <c r="BY915" s="1046"/>
      <c r="BZ915" s="1167"/>
      <c r="CA915" s="1165"/>
      <c r="CB915" s="1031"/>
      <c r="CC915" s="1038"/>
      <c r="CD915" s="1035"/>
      <c r="CE915" s="1035"/>
      <c r="CF915" s="1049"/>
      <c r="CG915" s="1043"/>
      <c r="CH915" s="1046"/>
      <c r="CI915" s="1167"/>
      <c r="CJ915" s="1168"/>
      <c r="CK915" s="1169"/>
      <c r="CL915" s="1169"/>
      <c r="CM915" s="1166"/>
      <c r="CN915" s="1169"/>
      <c r="CO915" s="1169"/>
      <c r="CP915" s="452"/>
      <c r="CQ915" s="435"/>
      <c r="CR915" s="441"/>
      <c r="CS915" s="452"/>
      <c r="CT915" s="482"/>
      <c r="CU915" s="476"/>
      <c r="CV915" s="431"/>
      <c r="CW915" s="1108"/>
      <c r="CX915" s="1108"/>
      <c r="CY915" s="483"/>
      <c r="CZ915" s="437"/>
      <c r="DA915" s="438"/>
      <c r="DB915" s="439"/>
      <c r="DC915" s="439"/>
      <c r="DD915" s="443"/>
      <c r="DE915" s="411"/>
      <c r="DF915" s="411"/>
      <c r="DG915" s="1117"/>
      <c r="DH915" s="1117"/>
      <c r="DI915" s="1117"/>
      <c r="DJ915" s="442"/>
      <c r="DK915" s="482"/>
      <c r="DL915" s="1038"/>
      <c r="DM915" s="1035"/>
      <c r="DN915" s="1035"/>
      <c r="DO915" s="1035"/>
      <c r="DP915" s="1046"/>
      <c r="DQ915" s="1167"/>
      <c r="DR915" s="1168"/>
      <c r="DS915" s="1165"/>
      <c r="DT915" s="1165"/>
      <c r="DU915" s="1165"/>
      <c r="DV915" s="1031"/>
      <c r="DW915" s="1098">
        <f t="shared" si="1180"/>
        <v>0</v>
      </c>
      <c r="DX915" s="1098">
        <f t="shared" si="1181"/>
        <v>0</v>
      </c>
      <c r="DY915" s="1030"/>
      <c r="DZ915" s="1030"/>
      <c r="EA915" s="1031"/>
      <c r="EB915" s="1050"/>
      <c r="EC915" s="1038"/>
      <c r="ED915" s="1035"/>
      <c r="EE915" s="1046"/>
      <c r="EF915" s="1169"/>
      <c r="EG915" s="1168"/>
      <c r="EH915" s="1165"/>
      <c r="EI915" s="1165"/>
      <c r="EJ915" s="1165"/>
      <c r="EK915" s="1031"/>
      <c r="EL915" s="1098">
        <f t="shared" si="1182"/>
        <v>0</v>
      </c>
      <c r="EM915" s="1098">
        <f t="shared" si="1183"/>
        <v>0</v>
      </c>
      <c r="EN915" s="1030"/>
      <c r="EO915" s="1030"/>
      <c r="EP915" s="1031"/>
      <c r="EQ915" s="1050"/>
      <c r="ER915" s="1038"/>
      <c r="ES915" s="1035"/>
      <c r="ET915" s="1051"/>
    </row>
    <row r="916" spans="2:150" ht="16.5" customHeight="1">
      <c r="B916" s="1024"/>
      <c r="C916" s="1025"/>
      <c r="D916" s="408">
        <v>913</v>
      </c>
      <c r="E916" s="1164"/>
      <c r="F916" s="1164"/>
      <c r="G916" s="1026"/>
      <c r="H916" s="411" t="str">
        <f>IFERROR(INDEX(绊状态确认!C:C,MATCH($G916,绊状态确认!$B:$B,)),"")</f>
        <v/>
      </c>
      <c r="I916" s="450" t="str">
        <f>IFERROR(INDEX(绊状态确认!D:D,MATCH($G916,绊状态确认!$B:$B,)),"")</f>
        <v/>
      </c>
      <c r="J916" s="450" t="str">
        <f>IFERROR(INDEX(绊状态确认!E:E,MATCH($G916,绊状态确认!$B:$B,)),"")</f>
        <v/>
      </c>
      <c r="K916" s="451" t="str">
        <f>IFERROR(INDEX(绊状态确认!F:F,MATCH($G916,绊状态确认!$B:$B,)),"")</f>
        <v/>
      </c>
      <c r="L916" s="1026"/>
      <c r="M916" s="1165"/>
      <c r="N916" s="1027"/>
      <c r="O916" s="1026"/>
      <c r="P916" s="1028"/>
      <c r="Q916" s="1029"/>
      <c r="R916" s="1166"/>
      <c r="S916" s="1030"/>
      <c r="T916" s="1031"/>
      <c r="U916" s="1032"/>
      <c r="V916" s="1033"/>
      <c r="W916" s="1034"/>
      <c r="X916" s="1166"/>
      <c r="Y916" s="1035"/>
      <c r="Z916" s="1036"/>
      <c r="AA916" s="1037"/>
      <c r="AB916" s="1038"/>
      <c r="AC916" s="1039"/>
      <c r="AD916" s="1040"/>
      <c r="AE916" s="1041"/>
      <c r="AF916" s="521"/>
      <c r="AG916" s="420"/>
      <c r="AH916" s="420"/>
      <c r="AI916" s="420"/>
      <c r="AJ916" s="420"/>
      <c r="AK916" s="518"/>
      <c r="AL916" s="1042"/>
      <c r="AM916" s="1035"/>
      <c r="AN916" s="1043"/>
      <c r="AO916" s="1167"/>
      <c r="AP916" s="1044"/>
      <c r="AQ916" s="1035"/>
      <c r="AR916" s="1035"/>
      <c r="AS916" s="1035"/>
      <c r="AT916" s="1165"/>
      <c r="AU916" s="1031"/>
      <c r="AV916" s="1045"/>
      <c r="AW916" s="1038"/>
      <c r="AX916" s="1035"/>
      <c r="AY916" s="483"/>
      <c r="AZ916" s="429"/>
      <c r="BA916" s="431"/>
      <c r="BB916" s="1035"/>
      <c r="BC916" s="1035"/>
      <c r="BD916" s="481"/>
      <c r="BE916" s="432"/>
      <c r="BF916" s="646"/>
      <c r="BG916" s="1047"/>
      <c r="BH916" s="1046"/>
      <c r="BI916" s="1048"/>
      <c r="BJ916" s="1030"/>
      <c r="BK916" s="1046"/>
      <c r="BL916" s="1048"/>
      <c r="BM916" s="1046"/>
      <c r="BN916" s="1167"/>
      <c r="BO916" s="1035"/>
      <c r="BP916" s="1043"/>
      <c r="BQ916" s="1167"/>
      <c r="BR916" s="1165"/>
      <c r="BS916" s="1031"/>
      <c r="BT916" s="1038"/>
      <c r="BU916" s="1035"/>
      <c r="BV916" s="1035"/>
      <c r="BW916" s="1049"/>
      <c r="BX916" s="1043"/>
      <c r="BY916" s="1046"/>
      <c r="BZ916" s="1167"/>
      <c r="CA916" s="1165"/>
      <c r="CB916" s="1031"/>
      <c r="CC916" s="1038"/>
      <c r="CD916" s="1035"/>
      <c r="CE916" s="1035"/>
      <c r="CF916" s="1049"/>
      <c r="CG916" s="1043"/>
      <c r="CH916" s="1046"/>
      <c r="CI916" s="1167"/>
      <c r="CJ916" s="1168"/>
      <c r="CK916" s="1169"/>
      <c r="CL916" s="1169"/>
      <c r="CM916" s="1166"/>
      <c r="CN916" s="1169"/>
      <c r="CO916" s="1169"/>
      <c r="CP916" s="452"/>
      <c r="CQ916" s="435"/>
      <c r="CR916" s="1117"/>
      <c r="CS916" s="452"/>
      <c r="CT916" s="482"/>
      <c r="CU916" s="476"/>
      <c r="CV916" s="431"/>
      <c r="CW916" s="1108"/>
      <c r="CX916" s="1108"/>
      <c r="CY916" s="483"/>
      <c r="CZ916" s="437"/>
      <c r="DA916" s="438"/>
      <c r="DB916" s="439"/>
      <c r="DC916" s="439"/>
      <c r="DD916" s="443"/>
      <c r="DE916" s="411"/>
      <c r="DF916" s="411"/>
      <c r="DG916" s="1117"/>
      <c r="DH916" s="1117"/>
      <c r="DI916" s="1117"/>
      <c r="DJ916" s="442"/>
      <c r="DK916" s="482"/>
      <c r="DL916" s="1038"/>
      <c r="DM916" s="1035"/>
      <c r="DN916" s="1035"/>
      <c r="DO916" s="1035"/>
      <c r="DP916" s="1046"/>
      <c r="DQ916" s="1167"/>
      <c r="DR916" s="1168"/>
      <c r="DS916" s="1165"/>
      <c r="DT916" s="1165"/>
      <c r="DU916" s="1165"/>
      <c r="DV916" s="1031"/>
      <c r="DW916" s="1098">
        <f t="shared" si="1180"/>
        <v>0</v>
      </c>
      <c r="DX916" s="1098">
        <f t="shared" si="1181"/>
        <v>0</v>
      </c>
      <c r="DY916" s="1030"/>
      <c r="DZ916" s="1030"/>
      <c r="EA916" s="1031"/>
      <c r="EB916" s="1050"/>
      <c r="EC916" s="1038"/>
      <c r="ED916" s="1035"/>
      <c r="EE916" s="1046"/>
      <c r="EF916" s="1169"/>
      <c r="EG916" s="1168"/>
      <c r="EH916" s="1165"/>
      <c r="EI916" s="1165"/>
      <c r="EJ916" s="1165"/>
      <c r="EK916" s="1031"/>
      <c r="EL916" s="1098">
        <f t="shared" si="1182"/>
        <v>0</v>
      </c>
      <c r="EM916" s="1098">
        <f t="shared" si="1183"/>
        <v>0</v>
      </c>
      <c r="EN916" s="1030"/>
      <c r="EO916" s="1030"/>
      <c r="EP916" s="1031"/>
      <c r="EQ916" s="1050"/>
      <c r="ER916" s="1038"/>
      <c r="ES916" s="1035"/>
      <c r="ET916" s="1051"/>
    </row>
    <row r="917" spans="2:150" ht="16.5" customHeight="1">
      <c r="B917" s="1024"/>
      <c r="C917" s="1025"/>
      <c r="D917" s="408">
        <v>914</v>
      </c>
      <c r="E917" s="1164"/>
      <c r="F917" s="1164"/>
      <c r="G917" s="1026"/>
      <c r="H917" s="411" t="str">
        <f>IFERROR(INDEX(绊状态确认!C:C,MATCH($G917,绊状态确认!$B:$B,)),"")</f>
        <v/>
      </c>
      <c r="I917" s="450" t="str">
        <f>IFERROR(INDEX(绊状态确认!D:D,MATCH($G917,绊状态确认!$B:$B,)),"")</f>
        <v/>
      </c>
      <c r="J917" s="450" t="str">
        <f>IFERROR(INDEX(绊状态确认!E:E,MATCH($G917,绊状态确认!$B:$B,)),"")</f>
        <v/>
      </c>
      <c r="K917" s="451" t="str">
        <f>IFERROR(INDEX(绊状态确认!F:F,MATCH($G917,绊状态确认!$B:$B,)),"")</f>
        <v/>
      </c>
      <c r="L917" s="1026"/>
      <c r="M917" s="1165"/>
      <c r="N917" s="1027"/>
      <c r="O917" s="1026"/>
      <c r="P917" s="1028"/>
      <c r="Q917" s="1029"/>
      <c r="R917" s="1166"/>
      <c r="S917" s="1030"/>
      <c r="T917" s="1031"/>
      <c r="U917" s="1032"/>
      <c r="V917" s="1033"/>
      <c r="W917" s="1034"/>
      <c r="X917" s="1166"/>
      <c r="Y917" s="1035"/>
      <c r="Z917" s="1036"/>
      <c r="AA917" s="1037"/>
      <c r="AB917" s="1038"/>
      <c r="AC917" s="1039"/>
      <c r="AD917" s="1040"/>
      <c r="AE917" s="1041"/>
      <c r="AF917" s="521"/>
      <c r="AG917" s="420"/>
      <c r="AH917" s="420"/>
      <c r="AI917" s="420"/>
      <c r="AJ917" s="420"/>
      <c r="AK917" s="518"/>
      <c r="AL917" s="1042"/>
      <c r="AM917" s="1035"/>
      <c r="AN917" s="1043"/>
      <c r="AO917" s="1167"/>
      <c r="AP917" s="1044"/>
      <c r="AQ917" s="1035"/>
      <c r="AR917" s="1035"/>
      <c r="AS917" s="1035"/>
      <c r="AT917" s="1165"/>
      <c r="AU917" s="1031"/>
      <c r="AV917" s="1045"/>
      <c r="AW917" s="1038"/>
      <c r="AX917" s="1035"/>
      <c r="AY917" s="483"/>
      <c r="AZ917" s="429"/>
      <c r="BA917" s="431"/>
      <c r="BB917" s="1035"/>
      <c r="BC917" s="1035"/>
      <c r="BD917" s="481"/>
      <c r="BE917" s="432"/>
      <c r="BF917" s="646"/>
      <c r="BG917" s="1047"/>
      <c r="BH917" s="1046"/>
      <c r="BI917" s="1048"/>
      <c r="BJ917" s="1030"/>
      <c r="BK917" s="1046"/>
      <c r="BL917" s="1048"/>
      <c r="BM917" s="1046"/>
      <c r="BN917" s="1167"/>
      <c r="BO917" s="1035"/>
      <c r="BP917" s="1043"/>
      <c r="BQ917" s="1167"/>
      <c r="BR917" s="1165"/>
      <c r="BS917" s="1031"/>
      <c r="BT917" s="1038"/>
      <c r="BU917" s="1035"/>
      <c r="BV917" s="1035"/>
      <c r="BW917" s="1049"/>
      <c r="BX917" s="1043"/>
      <c r="BY917" s="1046"/>
      <c r="BZ917" s="1167"/>
      <c r="CA917" s="1165"/>
      <c r="CB917" s="1031"/>
      <c r="CC917" s="1038"/>
      <c r="CD917" s="1035"/>
      <c r="CE917" s="1035"/>
      <c r="CF917" s="1049"/>
      <c r="CG917" s="1043"/>
      <c r="CH917" s="1046"/>
      <c r="CI917" s="1167"/>
      <c r="CJ917" s="1168"/>
      <c r="CK917" s="1169"/>
      <c r="CL917" s="1169"/>
      <c r="CM917" s="1166"/>
      <c r="CN917" s="1169"/>
      <c r="CO917" s="1169"/>
      <c r="CP917" s="452"/>
      <c r="CQ917" s="435"/>
      <c r="CR917" s="441"/>
      <c r="CS917" s="452"/>
      <c r="CT917" s="482"/>
      <c r="CU917" s="476"/>
      <c r="CV917" s="431"/>
      <c r="CW917" s="1108"/>
      <c r="CX917" s="1108"/>
      <c r="CY917" s="483"/>
      <c r="CZ917" s="437"/>
      <c r="DA917" s="438"/>
      <c r="DB917" s="439"/>
      <c r="DC917" s="439"/>
      <c r="DD917" s="443"/>
      <c r="DE917" s="411"/>
      <c r="DF917" s="411"/>
      <c r="DG917" s="1117"/>
      <c r="DH917" s="1117"/>
      <c r="DI917" s="1117"/>
      <c r="DJ917" s="442"/>
      <c r="DK917" s="482"/>
      <c r="DL917" s="1038"/>
      <c r="DM917" s="1035"/>
      <c r="DN917" s="1035"/>
      <c r="DO917" s="1035"/>
      <c r="DP917" s="1046"/>
      <c r="DQ917" s="1167"/>
      <c r="DR917" s="1168"/>
      <c r="DS917" s="1165"/>
      <c r="DT917" s="1165"/>
      <c r="DU917" s="1165"/>
      <c r="DV917" s="1031"/>
      <c r="DW917" s="1098">
        <f t="shared" si="1180"/>
        <v>0</v>
      </c>
      <c r="DX917" s="1098">
        <f t="shared" si="1181"/>
        <v>0</v>
      </c>
      <c r="DY917" s="1030"/>
      <c r="DZ917" s="1030"/>
      <c r="EA917" s="1031"/>
      <c r="EB917" s="1050"/>
      <c r="EC917" s="1038"/>
      <c r="ED917" s="1035"/>
      <c r="EE917" s="1046"/>
      <c r="EF917" s="1169"/>
      <c r="EG917" s="1168"/>
      <c r="EH917" s="1165"/>
      <c r="EI917" s="1165"/>
      <c r="EJ917" s="1165"/>
      <c r="EK917" s="1031"/>
      <c r="EL917" s="1098">
        <f t="shared" si="1182"/>
        <v>0</v>
      </c>
      <c r="EM917" s="1098">
        <f t="shared" si="1183"/>
        <v>0</v>
      </c>
      <c r="EN917" s="1030"/>
      <c r="EO917" s="1030"/>
      <c r="EP917" s="1031"/>
      <c r="EQ917" s="1050"/>
      <c r="ER917" s="1038"/>
      <c r="ES917" s="1035"/>
      <c r="ET917" s="1051"/>
    </row>
    <row r="918" spans="2:150" ht="16.5" customHeight="1">
      <c r="B918" s="1024"/>
      <c r="C918" s="1025"/>
      <c r="D918" s="408">
        <v>915</v>
      </c>
      <c r="E918" s="1164"/>
      <c r="F918" s="1164"/>
      <c r="G918" s="1026"/>
      <c r="H918" s="411" t="str">
        <f>IFERROR(INDEX(绊状态确认!C:C,MATCH($G918,绊状态确认!$B:$B,)),"")</f>
        <v/>
      </c>
      <c r="I918" s="450" t="str">
        <f>IFERROR(INDEX(绊状态确认!D:D,MATCH($G918,绊状态确认!$B:$B,)),"")</f>
        <v/>
      </c>
      <c r="J918" s="450" t="str">
        <f>IFERROR(INDEX(绊状态确认!E:E,MATCH($G918,绊状态确认!$B:$B,)),"")</f>
        <v/>
      </c>
      <c r="K918" s="451" t="str">
        <f>IFERROR(INDEX(绊状态确认!F:F,MATCH($G918,绊状态确认!$B:$B,)),"")</f>
        <v/>
      </c>
      <c r="L918" s="1026"/>
      <c r="M918" s="1165"/>
      <c r="N918" s="1027"/>
      <c r="O918" s="1026"/>
      <c r="P918" s="1028"/>
      <c r="Q918" s="1029"/>
      <c r="R918" s="1166"/>
      <c r="S918" s="1030"/>
      <c r="T918" s="1031"/>
      <c r="U918" s="1032"/>
      <c r="V918" s="1033"/>
      <c r="W918" s="1034"/>
      <c r="X918" s="1166"/>
      <c r="Y918" s="1035"/>
      <c r="Z918" s="1036"/>
      <c r="AA918" s="1037"/>
      <c r="AB918" s="1038"/>
      <c r="AC918" s="1039"/>
      <c r="AD918" s="1040"/>
      <c r="AE918" s="1041"/>
      <c r="AF918" s="521"/>
      <c r="AG918" s="420"/>
      <c r="AH918" s="420"/>
      <c r="AI918" s="420"/>
      <c r="AJ918" s="420"/>
      <c r="AK918" s="518"/>
      <c r="AL918" s="1042"/>
      <c r="AM918" s="1035"/>
      <c r="AN918" s="1043"/>
      <c r="AO918" s="1167"/>
      <c r="AP918" s="1044"/>
      <c r="AQ918" s="1035"/>
      <c r="AR918" s="1035"/>
      <c r="AS918" s="1035"/>
      <c r="AT918" s="1165"/>
      <c r="AU918" s="1031"/>
      <c r="AV918" s="1045"/>
      <c r="AW918" s="1038"/>
      <c r="AX918" s="1035"/>
      <c r="AY918" s="483"/>
      <c r="AZ918" s="429"/>
      <c r="BA918" s="431"/>
      <c r="BB918" s="1035"/>
      <c r="BC918" s="1035"/>
      <c r="BD918" s="481"/>
      <c r="BE918" s="432"/>
      <c r="BF918" s="646"/>
      <c r="BG918" s="1047"/>
      <c r="BH918" s="1046"/>
      <c r="BI918" s="1048"/>
      <c r="BJ918" s="1030"/>
      <c r="BK918" s="1046"/>
      <c r="BL918" s="1048"/>
      <c r="BM918" s="1046"/>
      <c r="BN918" s="1167"/>
      <c r="BO918" s="1035"/>
      <c r="BP918" s="1043"/>
      <c r="BQ918" s="1167"/>
      <c r="BR918" s="1165"/>
      <c r="BS918" s="1031"/>
      <c r="BT918" s="1038"/>
      <c r="BU918" s="1035"/>
      <c r="BV918" s="1035"/>
      <c r="BW918" s="1049"/>
      <c r="BX918" s="1043"/>
      <c r="BY918" s="1046"/>
      <c r="BZ918" s="1167"/>
      <c r="CA918" s="1165"/>
      <c r="CB918" s="1031"/>
      <c r="CC918" s="1038"/>
      <c r="CD918" s="1035"/>
      <c r="CE918" s="1035"/>
      <c r="CF918" s="1049"/>
      <c r="CG918" s="1043"/>
      <c r="CH918" s="1046"/>
      <c r="CI918" s="1167"/>
      <c r="CJ918" s="1168"/>
      <c r="CK918" s="1169"/>
      <c r="CL918" s="1169"/>
      <c r="CM918" s="1166"/>
      <c r="CN918" s="1169"/>
      <c r="CO918" s="1169"/>
      <c r="CP918" s="452"/>
      <c r="CQ918" s="435"/>
      <c r="CR918" s="441"/>
      <c r="CS918" s="452"/>
      <c r="CT918" s="482"/>
      <c r="CU918" s="476"/>
      <c r="CV918" s="431"/>
      <c r="CW918" s="1108"/>
      <c r="CX918" s="1108"/>
      <c r="CY918" s="483"/>
      <c r="CZ918" s="437"/>
      <c r="DA918" s="438"/>
      <c r="DB918" s="439"/>
      <c r="DC918" s="439"/>
      <c r="DD918" s="443"/>
      <c r="DE918" s="411"/>
      <c r="DF918" s="411"/>
      <c r="DG918" s="1117"/>
      <c r="DH918" s="1117"/>
      <c r="DI918" s="1117"/>
      <c r="DJ918" s="442"/>
      <c r="DK918" s="482"/>
      <c r="DL918" s="1038"/>
      <c r="DM918" s="1035"/>
      <c r="DN918" s="1035"/>
      <c r="DO918" s="1035"/>
      <c r="DP918" s="1046"/>
      <c r="DQ918" s="1167"/>
      <c r="DR918" s="1168"/>
      <c r="DS918" s="1165"/>
      <c r="DT918" s="1165"/>
      <c r="DU918" s="1165"/>
      <c r="DV918" s="1031"/>
      <c r="DW918" s="1098">
        <f t="shared" si="1180"/>
        <v>0</v>
      </c>
      <c r="DX918" s="1098">
        <f t="shared" si="1181"/>
        <v>0</v>
      </c>
      <c r="DY918" s="1030"/>
      <c r="DZ918" s="1030"/>
      <c r="EA918" s="1031"/>
      <c r="EB918" s="1050"/>
      <c r="EC918" s="1038"/>
      <c r="ED918" s="1035"/>
      <c r="EE918" s="1046"/>
      <c r="EF918" s="1169"/>
      <c r="EG918" s="1168"/>
      <c r="EH918" s="1165"/>
      <c r="EI918" s="1165"/>
      <c r="EJ918" s="1165"/>
      <c r="EK918" s="1031"/>
      <c r="EL918" s="1098">
        <f t="shared" si="1182"/>
        <v>0</v>
      </c>
      <c r="EM918" s="1098">
        <f t="shared" si="1183"/>
        <v>0</v>
      </c>
      <c r="EN918" s="1030"/>
      <c r="EO918" s="1030"/>
      <c r="EP918" s="1031"/>
      <c r="EQ918" s="1050"/>
      <c r="ER918" s="1038"/>
      <c r="ES918" s="1035"/>
      <c r="ET918" s="1051"/>
    </row>
    <row r="919" spans="2:150" ht="16.5" customHeight="1">
      <c r="B919" s="1024"/>
      <c r="C919" s="1025"/>
      <c r="D919" s="408">
        <v>916</v>
      </c>
      <c r="E919" s="1164"/>
      <c r="F919" s="1164"/>
      <c r="G919" s="1026"/>
      <c r="H919" s="411" t="str">
        <f>IFERROR(INDEX(绊状态确认!C:C,MATCH($G919,绊状态确认!$B:$B,)),"")</f>
        <v/>
      </c>
      <c r="I919" s="450" t="str">
        <f>IFERROR(INDEX(绊状态确认!D:D,MATCH($G919,绊状态确认!$B:$B,)),"")</f>
        <v/>
      </c>
      <c r="J919" s="450" t="str">
        <f>IFERROR(INDEX(绊状态确认!E:E,MATCH($G919,绊状态确认!$B:$B,)),"")</f>
        <v/>
      </c>
      <c r="K919" s="451" t="str">
        <f>IFERROR(INDEX(绊状态确认!F:F,MATCH($G919,绊状态确认!$B:$B,)),"")</f>
        <v/>
      </c>
      <c r="L919" s="1026"/>
      <c r="M919" s="1165"/>
      <c r="N919" s="1027"/>
      <c r="O919" s="1026"/>
      <c r="P919" s="1028"/>
      <c r="Q919" s="1029"/>
      <c r="R919" s="1166"/>
      <c r="S919" s="1030"/>
      <c r="T919" s="1031"/>
      <c r="U919" s="1032"/>
      <c r="V919" s="1033"/>
      <c r="W919" s="1034"/>
      <c r="X919" s="1166"/>
      <c r="Y919" s="1035"/>
      <c r="Z919" s="1036"/>
      <c r="AA919" s="1037"/>
      <c r="AB919" s="1038"/>
      <c r="AC919" s="1039"/>
      <c r="AD919" s="1040"/>
      <c r="AE919" s="1041"/>
      <c r="AF919" s="521"/>
      <c r="AG919" s="420"/>
      <c r="AH919" s="420"/>
      <c r="AI919" s="420"/>
      <c r="AJ919" s="420"/>
      <c r="AK919" s="518"/>
      <c r="AL919" s="1042"/>
      <c r="AM919" s="1035"/>
      <c r="AN919" s="1043"/>
      <c r="AO919" s="1167"/>
      <c r="AP919" s="1044"/>
      <c r="AQ919" s="1035"/>
      <c r="AR919" s="1035"/>
      <c r="AS919" s="1035"/>
      <c r="AT919" s="1165"/>
      <c r="AU919" s="1031"/>
      <c r="AV919" s="1045"/>
      <c r="AW919" s="1038"/>
      <c r="AX919" s="1035"/>
      <c r="AY919" s="483"/>
      <c r="AZ919" s="429"/>
      <c r="BA919" s="431"/>
      <c r="BB919" s="1035"/>
      <c r="BC919" s="1035"/>
      <c r="BD919" s="481"/>
      <c r="BE919" s="432"/>
      <c r="BF919" s="646"/>
      <c r="BG919" s="1047"/>
      <c r="BH919" s="1046"/>
      <c r="BI919" s="1048"/>
      <c r="BJ919" s="1030"/>
      <c r="BK919" s="1046"/>
      <c r="BL919" s="1048"/>
      <c r="BM919" s="1046"/>
      <c r="BN919" s="1167"/>
      <c r="BO919" s="1035"/>
      <c r="BP919" s="1043"/>
      <c r="BQ919" s="1167"/>
      <c r="BR919" s="1165"/>
      <c r="BS919" s="1031"/>
      <c r="BT919" s="1038"/>
      <c r="BU919" s="1035"/>
      <c r="BV919" s="1035"/>
      <c r="BW919" s="1049"/>
      <c r="BX919" s="1043"/>
      <c r="BY919" s="1046"/>
      <c r="BZ919" s="1167"/>
      <c r="CA919" s="1165"/>
      <c r="CB919" s="1031"/>
      <c r="CC919" s="1038"/>
      <c r="CD919" s="1035"/>
      <c r="CE919" s="1035"/>
      <c r="CF919" s="1049"/>
      <c r="CG919" s="1043"/>
      <c r="CH919" s="1046"/>
      <c r="CI919" s="1167"/>
      <c r="CJ919" s="1168"/>
      <c r="CK919" s="1169"/>
      <c r="CL919" s="1169"/>
      <c r="CM919" s="1166"/>
      <c r="CN919" s="1169"/>
      <c r="CO919" s="1169"/>
      <c r="CP919" s="452"/>
      <c r="CQ919" s="435"/>
      <c r="CR919" s="1117"/>
      <c r="CS919" s="452"/>
      <c r="CT919" s="482"/>
      <c r="CU919" s="476"/>
      <c r="CV919" s="431"/>
      <c r="CW919" s="1108"/>
      <c r="CX919" s="1108"/>
      <c r="CY919" s="483"/>
      <c r="CZ919" s="437"/>
      <c r="DA919" s="438"/>
      <c r="DB919" s="439"/>
      <c r="DC919" s="439"/>
      <c r="DD919" s="443"/>
      <c r="DE919" s="411"/>
      <c r="DF919" s="411"/>
      <c r="DG919" s="1117"/>
      <c r="DH919" s="1117"/>
      <c r="DI919" s="1117"/>
      <c r="DJ919" s="442"/>
      <c r="DK919" s="482"/>
      <c r="DL919" s="1038"/>
      <c r="DM919" s="1035"/>
      <c r="DN919" s="1035"/>
      <c r="DO919" s="1035"/>
      <c r="DP919" s="1046"/>
      <c r="DQ919" s="1167"/>
      <c r="DR919" s="1168"/>
      <c r="DS919" s="1165"/>
      <c r="DT919" s="1165"/>
      <c r="DU919" s="1165"/>
      <c r="DV919" s="1031"/>
      <c r="DW919" s="1098">
        <f t="shared" si="1180"/>
        <v>0</v>
      </c>
      <c r="DX919" s="1098">
        <f t="shared" si="1181"/>
        <v>0</v>
      </c>
      <c r="DY919" s="1030"/>
      <c r="DZ919" s="1030"/>
      <c r="EA919" s="1031"/>
      <c r="EB919" s="1050"/>
      <c r="EC919" s="1038"/>
      <c r="ED919" s="1035"/>
      <c r="EE919" s="1046"/>
      <c r="EF919" s="1169"/>
      <c r="EG919" s="1168"/>
      <c r="EH919" s="1165"/>
      <c r="EI919" s="1165"/>
      <c r="EJ919" s="1165"/>
      <c r="EK919" s="1031"/>
      <c r="EL919" s="1098">
        <f t="shared" si="1182"/>
        <v>0</v>
      </c>
      <c r="EM919" s="1098">
        <f t="shared" si="1183"/>
        <v>0</v>
      </c>
      <c r="EN919" s="1030"/>
      <c r="EO919" s="1030"/>
      <c r="EP919" s="1031"/>
      <c r="EQ919" s="1050"/>
      <c r="ER919" s="1038"/>
      <c r="ES919" s="1035"/>
      <c r="ET919" s="1051"/>
    </row>
    <row r="920" spans="2:150" ht="16.5" customHeight="1">
      <c r="B920" s="1024"/>
      <c r="C920" s="1025"/>
      <c r="D920" s="408">
        <v>917</v>
      </c>
      <c r="E920" s="1164"/>
      <c r="F920" s="1164"/>
      <c r="G920" s="1026"/>
      <c r="H920" s="411" t="str">
        <f>IFERROR(INDEX(绊状态确认!C:C,MATCH($G920,绊状态确认!$B:$B,)),"")</f>
        <v/>
      </c>
      <c r="I920" s="450" t="str">
        <f>IFERROR(INDEX(绊状态确认!D:D,MATCH($G920,绊状态确认!$B:$B,)),"")</f>
        <v/>
      </c>
      <c r="J920" s="450" t="str">
        <f>IFERROR(INDEX(绊状态确认!E:E,MATCH($G920,绊状态确认!$B:$B,)),"")</f>
        <v/>
      </c>
      <c r="K920" s="451" t="str">
        <f>IFERROR(INDEX(绊状态确认!F:F,MATCH($G920,绊状态确认!$B:$B,)),"")</f>
        <v/>
      </c>
      <c r="L920" s="1026"/>
      <c r="M920" s="1165"/>
      <c r="N920" s="1027"/>
      <c r="O920" s="1026"/>
      <c r="P920" s="1028"/>
      <c r="Q920" s="1029"/>
      <c r="R920" s="1166"/>
      <c r="S920" s="1030"/>
      <c r="T920" s="1031"/>
      <c r="U920" s="1032"/>
      <c r="V920" s="1033"/>
      <c r="W920" s="1034"/>
      <c r="X920" s="1166"/>
      <c r="Y920" s="1035"/>
      <c r="Z920" s="1036"/>
      <c r="AA920" s="1037"/>
      <c r="AB920" s="1038"/>
      <c r="AC920" s="1039"/>
      <c r="AD920" s="1040"/>
      <c r="AE920" s="1041"/>
      <c r="AF920" s="521"/>
      <c r="AG920" s="420"/>
      <c r="AH920" s="420"/>
      <c r="AI920" s="420"/>
      <c r="AJ920" s="420"/>
      <c r="AK920" s="518"/>
      <c r="AL920" s="1042"/>
      <c r="AM920" s="1035"/>
      <c r="AN920" s="1043"/>
      <c r="AO920" s="1167"/>
      <c r="AP920" s="1044"/>
      <c r="AQ920" s="1035"/>
      <c r="AR920" s="1035"/>
      <c r="AS920" s="1035"/>
      <c r="AT920" s="1165"/>
      <c r="AU920" s="1031"/>
      <c r="AV920" s="1045"/>
      <c r="AW920" s="1038"/>
      <c r="AX920" s="1035"/>
      <c r="AY920" s="483"/>
      <c r="AZ920" s="429"/>
      <c r="BA920" s="431"/>
      <c r="BB920" s="1035"/>
      <c r="BC920" s="1035"/>
      <c r="BD920" s="481"/>
      <c r="BE920" s="432"/>
      <c r="BF920" s="646"/>
      <c r="BG920" s="1047"/>
      <c r="BH920" s="1046"/>
      <c r="BI920" s="1048"/>
      <c r="BJ920" s="1030"/>
      <c r="BK920" s="1046"/>
      <c r="BL920" s="1048"/>
      <c r="BM920" s="1046"/>
      <c r="BN920" s="1167"/>
      <c r="BO920" s="1035"/>
      <c r="BP920" s="1043"/>
      <c r="BQ920" s="1167"/>
      <c r="BR920" s="1165"/>
      <c r="BS920" s="1031"/>
      <c r="BT920" s="1038"/>
      <c r="BU920" s="1035"/>
      <c r="BV920" s="1035"/>
      <c r="BW920" s="1049"/>
      <c r="BX920" s="1043"/>
      <c r="BY920" s="1046"/>
      <c r="BZ920" s="1167"/>
      <c r="CA920" s="1165"/>
      <c r="CB920" s="1031"/>
      <c r="CC920" s="1038"/>
      <c r="CD920" s="1035"/>
      <c r="CE920" s="1035"/>
      <c r="CF920" s="1049"/>
      <c r="CG920" s="1043"/>
      <c r="CH920" s="1046"/>
      <c r="CI920" s="1167"/>
      <c r="CJ920" s="1168"/>
      <c r="CK920" s="1169"/>
      <c r="CL920" s="1169"/>
      <c r="CM920" s="1166"/>
      <c r="CN920" s="1169"/>
      <c r="CO920" s="1169"/>
      <c r="CP920" s="452"/>
      <c r="CQ920" s="435"/>
      <c r="CR920" s="441"/>
      <c r="CS920" s="452"/>
      <c r="CT920" s="482"/>
      <c r="CU920" s="476"/>
      <c r="CV920" s="431"/>
      <c r="CW920" s="1108"/>
      <c r="CX920" s="1108"/>
      <c r="CY920" s="483"/>
      <c r="CZ920" s="437"/>
      <c r="DA920" s="438"/>
      <c r="DB920" s="439"/>
      <c r="DC920" s="439"/>
      <c r="DD920" s="443"/>
      <c r="DE920" s="411"/>
      <c r="DF920" s="411"/>
      <c r="DG920" s="1117"/>
      <c r="DH920" s="1117"/>
      <c r="DI920" s="1117"/>
      <c r="DJ920" s="442"/>
      <c r="DK920" s="482"/>
      <c r="DL920" s="1038"/>
      <c r="DM920" s="1035"/>
      <c r="DN920" s="1035"/>
      <c r="DO920" s="1035"/>
      <c r="DP920" s="1046"/>
      <c r="DQ920" s="1167"/>
      <c r="DR920" s="1168"/>
      <c r="DS920" s="1165"/>
      <c r="DT920" s="1165"/>
      <c r="DU920" s="1165"/>
      <c r="DV920" s="1031"/>
      <c r="DW920" s="1098">
        <f t="shared" si="1180"/>
        <v>0</v>
      </c>
      <c r="DX920" s="1098">
        <f t="shared" si="1181"/>
        <v>0</v>
      </c>
      <c r="DY920" s="1030"/>
      <c r="DZ920" s="1030"/>
      <c r="EA920" s="1031"/>
      <c r="EB920" s="1050"/>
      <c r="EC920" s="1038"/>
      <c r="ED920" s="1035"/>
      <c r="EE920" s="1046"/>
      <c r="EF920" s="1169"/>
      <c r="EG920" s="1168"/>
      <c r="EH920" s="1165"/>
      <c r="EI920" s="1165"/>
      <c r="EJ920" s="1165"/>
      <c r="EK920" s="1031"/>
      <c r="EL920" s="1098">
        <f t="shared" si="1182"/>
        <v>0</v>
      </c>
      <c r="EM920" s="1098">
        <f t="shared" si="1183"/>
        <v>0</v>
      </c>
      <c r="EN920" s="1030"/>
      <c r="EO920" s="1030"/>
      <c r="EP920" s="1031"/>
      <c r="EQ920" s="1050"/>
      <c r="ER920" s="1038"/>
      <c r="ES920" s="1035"/>
      <c r="ET920" s="1051"/>
    </row>
    <row r="921" spans="2:150" ht="16.5" customHeight="1">
      <c r="B921" s="1024"/>
      <c r="C921" s="1025"/>
      <c r="D921" s="408">
        <v>918</v>
      </c>
      <c r="E921" s="1164"/>
      <c r="F921" s="1164"/>
      <c r="G921" s="1026"/>
      <c r="H921" s="411" t="str">
        <f>IFERROR(INDEX(绊状态确认!C:C,MATCH($G921,绊状态确认!$B:$B,)),"")</f>
        <v/>
      </c>
      <c r="I921" s="450" t="str">
        <f>IFERROR(INDEX(绊状态确认!D:D,MATCH($G921,绊状态确认!$B:$B,)),"")</f>
        <v/>
      </c>
      <c r="J921" s="450" t="str">
        <f>IFERROR(INDEX(绊状态确认!E:E,MATCH($G921,绊状态确认!$B:$B,)),"")</f>
        <v/>
      </c>
      <c r="K921" s="451" t="str">
        <f>IFERROR(INDEX(绊状态确认!F:F,MATCH($G921,绊状态确认!$B:$B,)),"")</f>
        <v/>
      </c>
      <c r="L921" s="1026"/>
      <c r="M921" s="1165"/>
      <c r="N921" s="1027"/>
      <c r="O921" s="1026"/>
      <c r="P921" s="1028"/>
      <c r="Q921" s="1029"/>
      <c r="R921" s="1166"/>
      <c r="S921" s="1030"/>
      <c r="T921" s="1031"/>
      <c r="U921" s="1032"/>
      <c r="V921" s="1033"/>
      <c r="W921" s="1034"/>
      <c r="X921" s="1166"/>
      <c r="Y921" s="1035"/>
      <c r="Z921" s="1036"/>
      <c r="AA921" s="1037"/>
      <c r="AB921" s="1038"/>
      <c r="AC921" s="1039"/>
      <c r="AD921" s="1040"/>
      <c r="AE921" s="1041"/>
      <c r="AF921" s="521"/>
      <c r="AG921" s="420"/>
      <c r="AH921" s="420"/>
      <c r="AI921" s="420"/>
      <c r="AJ921" s="420"/>
      <c r="AK921" s="518"/>
      <c r="AL921" s="1042"/>
      <c r="AM921" s="1035"/>
      <c r="AN921" s="1043"/>
      <c r="AO921" s="1167"/>
      <c r="AP921" s="1044"/>
      <c r="AQ921" s="1035"/>
      <c r="AR921" s="1035"/>
      <c r="AS921" s="1035"/>
      <c r="AT921" s="1165"/>
      <c r="AU921" s="1031"/>
      <c r="AV921" s="1045"/>
      <c r="AW921" s="1038"/>
      <c r="AX921" s="1035"/>
      <c r="AY921" s="483"/>
      <c r="AZ921" s="429"/>
      <c r="BA921" s="431"/>
      <c r="BB921" s="1035"/>
      <c r="BC921" s="1035"/>
      <c r="BD921" s="481"/>
      <c r="BE921" s="432"/>
      <c r="BF921" s="646"/>
      <c r="BG921" s="1047"/>
      <c r="BH921" s="1046"/>
      <c r="BI921" s="1048"/>
      <c r="BJ921" s="1030"/>
      <c r="BK921" s="1046"/>
      <c r="BL921" s="1048"/>
      <c r="BM921" s="1046"/>
      <c r="BN921" s="1167"/>
      <c r="BO921" s="1035"/>
      <c r="BP921" s="1043"/>
      <c r="BQ921" s="1167"/>
      <c r="BR921" s="1165"/>
      <c r="BS921" s="1031"/>
      <c r="BT921" s="1038"/>
      <c r="BU921" s="1035"/>
      <c r="BV921" s="1035"/>
      <c r="BW921" s="1049"/>
      <c r="BX921" s="1043"/>
      <c r="BY921" s="1046"/>
      <c r="BZ921" s="1167"/>
      <c r="CA921" s="1165"/>
      <c r="CB921" s="1031"/>
      <c r="CC921" s="1038"/>
      <c r="CD921" s="1035"/>
      <c r="CE921" s="1035"/>
      <c r="CF921" s="1049"/>
      <c r="CG921" s="1043"/>
      <c r="CH921" s="1046"/>
      <c r="CI921" s="1167"/>
      <c r="CJ921" s="1168"/>
      <c r="CK921" s="1169"/>
      <c r="CL921" s="1169"/>
      <c r="CM921" s="1166"/>
      <c r="CN921" s="1169"/>
      <c r="CO921" s="1169"/>
      <c r="CP921" s="452"/>
      <c r="CQ921" s="435"/>
      <c r="CR921" s="441"/>
      <c r="CS921" s="452"/>
      <c r="CT921" s="482"/>
      <c r="CU921" s="476"/>
      <c r="CV921" s="431"/>
      <c r="CW921" s="1108"/>
      <c r="CX921" s="1108"/>
      <c r="CY921" s="483"/>
      <c r="CZ921" s="437"/>
      <c r="DA921" s="438"/>
      <c r="DB921" s="439"/>
      <c r="DC921" s="439"/>
      <c r="DD921" s="443"/>
      <c r="DE921" s="411"/>
      <c r="DF921" s="411"/>
      <c r="DG921" s="1117"/>
      <c r="DH921" s="1117"/>
      <c r="DI921" s="1117"/>
      <c r="DJ921" s="442"/>
      <c r="DK921" s="482"/>
      <c r="DL921" s="1038"/>
      <c r="DM921" s="1035"/>
      <c r="DN921" s="1035"/>
      <c r="DO921" s="1035"/>
      <c r="DP921" s="1046"/>
      <c r="DQ921" s="1167"/>
      <c r="DR921" s="1168"/>
      <c r="DS921" s="1165"/>
      <c r="DT921" s="1165"/>
      <c r="DU921" s="1165"/>
      <c r="DV921" s="1031"/>
      <c r="DW921" s="1098">
        <f t="shared" si="1180"/>
        <v>0</v>
      </c>
      <c r="DX921" s="1098">
        <f t="shared" si="1181"/>
        <v>0</v>
      </c>
      <c r="DY921" s="1030"/>
      <c r="DZ921" s="1030"/>
      <c r="EA921" s="1031"/>
      <c r="EB921" s="1050"/>
      <c r="EC921" s="1038"/>
      <c r="ED921" s="1035"/>
      <c r="EE921" s="1046"/>
      <c r="EF921" s="1169"/>
      <c r="EG921" s="1168"/>
      <c r="EH921" s="1165"/>
      <c r="EI921" s="1165"/>
      <c r="EJ921" s="1165"/>
      <c r="EK921" s="1031"/>
      <c r="EL921" s="1098">
        <f t="shared" si="1182"/>
        <v>0</v>
      </c>
      <c r="EM921" s="1098">
        <f t="shared" si="1183"/>
        <v>0</v>
      </c>
      <c r="EN921" s="1030"/>
      <c r="EO921" s="1030"/>
      <c r="EP921" s="1031"/>
      <c r="EQ921" s="1050"/>
      <c r="ER921" s="1038"/>
      <c r="ES921" s="1035"/>
      <c r="ET921" s="1051"/>
    </row>
    <row r="922" spans="2:150" ht="16.5" customHeight="1">
      <c r="B922" s="1024"/>
      <c r="C922" s="1025"/>
      <c r="D922" s="408">
        <v>919</v>
      </c>
      <c r="E922" s="1164"/>
      <c r="F922" s="1164"/>
      <c r="G922" s="1026"/>
      <c r="H922" s="411" t="str">
        <f>IFERROR(INDEX(绊状态确认!C:C,MATCH($G922,绊状态确认!$B:$B,)),"")</f>
        <v/>
      </c>
      <c r="I922" s="450" t="str">
        <f>IFERROR(INDEX(绊状态确认!D:D,MATCH($G922,绊状态确认!$B:$B,)),"")</f>
        <v/>
      </c>
      <c r="J922" s="450" t="str">
        <f>IFERROR(INDEX(绊状态确认!E:E,MATCH($G922,绊状态确认!$B:$B,)),"")</f>
        <v/>
      </c>
      <c r="K922" s="451" t="str">
        <f>IFERROR(INDEX(绊状态确认!F:F,MATCH($G922,绊状态确认!$B:$B,)),"")</f>
        <v/>
      </c>
      <c r="L922" s="1026"/>
      <c r="M922" s="1165"/>
      <c r="N922" s="1027"/>
      <c r="O922" s="1026"/>
      <c r="P922" s="1028"/>
      <c r="Q922" s="1029"/>
      <c r="R922" s="1166"/>
      <c r="S922" s="1030"/>
      <c r="T922" s="1031"/>
      <c r="U922" s="1032"/>
      <c r="V922" s="1033"/>
      <c r="W922" s="1034"/>
      <c r="X922" s="1166"/>
      <c r="Y922" s="1035"/>
      <c r="Z922" s="1036"/>
      <c r="AA922" s="1037"/>
      <c r="AB922" s="1038"/>
      <c r="AC922" s="1039"/>
      <c r="AD922" s="1040"/>
      <c r="AE922" s="1041"/>
      <c r="AF922" s="521"/>
      <c r="AG922" s="420"/>
      <c r="AH922" s="420"/>
      <c r="AI922" s="420"/>
      <c r="AJ922" s="420"/>
      <c r="AK922" s="518"/>
      <c r="AL922" s="1042"/>
      <c r="AM922" s="1035"/>
      <c r="AN922" s="1043"/>
      <c r="AO922" s="1167"/>
      <c r="AP922" s="1044"/>
      <c r="AQ922" s="1035"/>
      <c r="AR922" s="1035"/>
      <c r="AS922" s="1035"/>
      <c r="AT922" s="1165"/>
      <c r="AU922" s="1031"/>
      <c r="AV922" s="1045"/>
      <c r="AW922" s="1038"/>
      <c r="AX922" s="1035"/>
      <c r="AY922" s="483"/>
      <c r="AZ922" s="429"/>
      <c r="BA922" s="431"/>
      <c r="BB922" s="1035"/>
      <c r="BC922" s="1035"/>
      <c r="BD922" s="481"/>
      <c r="BE922" s="432"/>
      <c r="BF922" s="646"/>
      <c r="BG922" s="1047"/>
      <c r="BH922" s="1046"/>
      <c r="BI922" s="1048"/>
      <c r="BJ922" s="1030"/>
      <c r="BK922" s="1046"/>
      <c r="BL922" s="1048"/>
      <c r="BM922" s="1046"/>
      <c r="BN922" s="1167"/>
      <c r="BO922" s="1035"/>
      <c r="BP922" s="1043"/>
      <c r="BQ922" s="1167"/>
      <c r="BR922" s="1165"/>
      <c r="BS922" s="1031"/>
      <c r="BT922" s="1038"/>
      <c r="BU922" s="1035"/>
      <c r="BV922" s="1035"/>
      <c r="BW922" s="1049"/>
      <c r="BX922" s="1043"/>
      <c r="BY922" s="1046"/>
      <c r="BZ922" s="1167"/>
      <c r="CA922" s="1165"/>
      <c r="CB922" s="1031"/>
      <c r="CC922" s="1038"/>
      <c r="CD922" s="1035"/>
      <c r="CE922" s="1035"/>
      <c r="CF922" s="1049"/>
      <c r="CG922" s="1043"/>
      <c r="CH922" s="1046"/>
      <c r="CI922" s="1167"/>
      <c r="CJ922" s="1168"/>
      <c r="CK922" s="1169"/>
      <c r="CL922" s="1169"/>
      <c r="CM922" s="1166"/>
      <c r="CN922" s="1169"/>
      <c r="CO922" s="1169"/>
      <c r="CP922" s="452"/>
      <c r="CQ922" s="435"/>
      <c r="CR922" s="1117"/>
      <c r="CS922" s="452"/>
      <c r="CT922" s="482"/>
      <c r="CU922" s="476"/>
      <c r="CV922" s="431"/>
      <c r="CW922" s="1108"/>
      <c r="CX922" s="1108"/>
      <c r="CY922" s="483"/>
      <c r="CZ922" s="437"/>
      <c r="DA922" s="438"/>
      <c r="DB922" s="439"/>
      <c r="DC922" s="439"/>
      <c r="DD922" s="443"/>
      <c r="DE922" s="411"/>
      <c r="DF922" s="411"/>
      <c r="DG922" s="1117"/>
      <c r="DH922" s="1117"/>
      <c r="DI922" s="1117"/>
      <c r="DJ922" s="442"/>
      <c r="DK922" s="482"/>
      <c r="DL922" s="1038"/>
      <c r="DM922" s="1035"/>
      <c r="DN922" s="1035"/>
      <c r="DO922" s="1035"/>
      <c r="DP922" s="1046"/>
      <c r="DQ922" s="1167"/>
      <c r="DR922" s="1168"/>
      <c r="DS922" s="1165"/>
      <c r="DT922" s="1165"/>
      <c r="DU922" s="1165"/>
      <c r="DV922" s="1031"/>
      <c r="DW922" s="1098">
        <f t="shared" si="1180"/>
        <v>0</v>
      </c>
      <c r="DX922" s="1098">
        <f t="shared" si="1181"/>
        <v>0</v>
      </c>
      <c r="DY922" s="1030"/>
      <c r="DZ922" s="1030"/>
      <c r="EA922" s="1031"/>
      <c r="EB922" s="1050"/>
      <c r="EC922" s="1038"/>
      <c r="ED922" s="1035"/>
      <c r="EE922" s="1046"/>
      <c r="EF922" s="1169"/>
      <c r="EG922" s="1168"/>
      <c r="EH922" s="1165"/>
      <c r="EI922" s="1165"/>
      <c r="EJ922" s="1165"/>
      <c r="EK922" s="1031"/>
      <c r="EL922" s="1098">
        <f t="shared" si="1182"/>
        <v>0</v>
      </c>
      <c r="EM922" s="1098">
        <f t="shared" si="1183"/>
        <v>0</v>
      </c>
      <c r="EN922" s="1030"/>
      <c r="EO922" s="1030"/>
      <c r="EP922" s="1031"/>
      <c r="EQ922" s="1050"/>
      <c r="ER922" s="1038"/>
      <c r="ES922" s="1035"/>
      <c r="ET922" s="1051"/>
    </row>
    <row r="923" spans="2:150" ht="16.5" customHeight="1">
      <c r="B923" s="1024"/>
      <c r="C923" s="1025"/>
      <c r="D923" s="408">
        <v>920</v>
      </c>
      <c r="E923" s="1164"/>
      <c r="F923" s="1164"/>
      <c r="G923" s="1026"/>
      <c r="H923" s="411" t="str">
        <f>IFERROR(INDEX(绊状态确认!C:C,MATCH($G923,绊状态确认!$B:$B,)),"")</f>
        <v/>
      </c>
      <c r="I923" s="450" t="str">
        <f>IFERROR(INDEX(绊状态确认!D:D,MATCH($G923,绊状态确认!$B:$B,)),"")</f>
        <v/>
      </c>
      <c r="J923" s="450" t="str">
        <f>IFERROR(INDEX(绊状态确认!E:E,MATCH($G923,绊状态确认!$B:$B,)),"")</f>
        <v/>
      </c>
      <c r="K923" s="451" t="str">
        <f>IFERROR(INDEX(绊状态确认!F:F,MATCH($G923,绊状态确认!$B:$B,)),"")</f>
        <v/>
      </c>
      <c r="L923" s="1026"/>
      <c r="M923" s="1165"/>
      <c r="N923" s="1027"/>
      <c r="O923" s="1026"/>
      <c r="P923" s="1028"/>
      <c r="Q923" s="1029"/>
      <c r="R923" s="1166"/>
      <c r="S923" s="1030"/>
      <c r="T923" s="1031"/>
      <c r="U923" s="1032"/>
      <c r="V923" s="1033"/>
      <c r="W923" s="1034"/>
      <c r="X923" s="1166"/>
      <c r="Y923" s="1035"/>
      <c r="Z923" s="1036"/>
      <c r="AA923" s="1037"/>
      <c r="AB923" s="1038"/>
      <c r="AC923" s="1039"/>
      <c r="AD923" s="1040"/>
      <c r="AE923" s="1041"/>
      <c r="AF923" s="521"/>
      <c r="AG923" s="420"/>
      <c r="AH923" s="420"/>
      <c r="AI923" s="420"/>
      <c r="AJ923" s="420"/>
      <c r="AK923" s="518"/>
      <c r="AL923" s="1042"/>
      <c r="AM923" s="1035"/>
      <c r="AN923" s="1043"/>
      <c r="AO923" s="1167"/>
      <c r="AP923" s="1044"/>
      <c r="AQ923" s="1035"/>
      <c r="AR923" s="1035"/>
      <c r="AS923" s="1035"/>
      <c r="AT923" s="1165"/>
      <c r="AU923" s="1031"/>
      <c r="AV923" s="1045"/>
      <c r="AW923" s="1038"/>
      <c r="AX923" s="1035"/>
      <c r="AY923" s="483"/>
      <c r="AZ923" s="429"/>
      <c r="BA923" s="431"/>
      <c r="BB923" s="1035"/>
      <c r="BC923" s="1035"/>
      <c r="BD923" s="481"/>
      <c r="BE923" s="432"/>
      <c r="BF923" s="646"/>
      <c r="BG923" s="1047"/>
      <c r="BH923" s="1046"/>
      <c r="BI923" s="1048"/>
      <c r="BJ923" s="1030"/>
      <c r="BK923" s="1046"/>
      <c r="BL923" s="1048"/>
      <c r="BM923" s="1046"/>
      <c r="BN923" s="1167"/>
      <c r="BO923" s="1035"/>
      <c r="BP923" s="1043"/>
      <c r="BQ923" s="1167"/>
      <c r="BR923" s="1165"/>
      <c r="BS923" s="1031"/>
      <c r="BT923" s="1038"/>
      <c r="BU923" s="1035"/>
      <c r="BV923" s="1035"/>
      <c r="BW923" s="1049"/>
      <c r="BX923" s="1043"/>
      <c r="BY923" s="1046"/>
      <c r="BZ923" s="1167"/>
      <c r="CA923" s="1165"/>
      <c r="CB923" s="1031"/>
      <c r="CC923" s="1038"/>
      <c r="CD923" s="1035"/>
      <c r="CE923" s="1035"/>
      <c r="CF923" s="1049"/>
      <c r="CG923" s="1043"/>
      <c r="CH923" s="1046"/>
      <c r="CI923" s="1167"/>
      <c r="CJ923" s="1168"/>
      <c r="CK923" s="1169"/>
      <c r="CL923" s="1169"/>
      <c r="CM923" s="1166"/>
      <c r="CN923" s="1169"/>
      <c r="CO923" s="1169"/>
      <c r="CP923" s="452"/>
      <c r="CQ923" s="435"/>
      <c r="CR923" s="441"/>
      <c r="CS923" s="452"/>
      <c r="CT923" s="482"/>
      <c r="CU923" s="476"/>
      <c r="CV923" s="431"/>
      <c r="CW923" s="1108"/>
      <c r="CX923" s="1108"/>
      <c r="CY923" s="483"/>
      <c r="CZ923" s="437"/>
      <c r="DA923" s="438"/>
      <c r="DB923" s="439"/>
      <c r="DC923" s="439"/>
      <c r="DD923" s="443"/>
      <c r="DE923" s="411"/>
      <c r="DF923" s="411"/>
      <c r="DG923" s="1117"/>
      <c r="DH923" s="1117"/>
      <c r="DI923" s="1117"/>
      <c r="DJ923" s="442"/>
      <c r="DK923" s="482"/>
      <c r="DL923" s="1038"/>
      <c r="DM923" s="1035"/>
      <c r="DN923" s="1035"/>
      <c r="DO923" s="1035"/>
      <c r="DP923" s="1046"/>
      <c r="DQ923" s="1167"/>
      <c r="DR923" s="1168"/>
      <c r="DS923" s="1165"/>
      <c r="DT923" s="1165"/>
      <c r="DU923" s="1165"/>
      <c r="DV923" s="1031"/>
      <c r="DW923" s="1098">
        <f t="shared" si="1180"/>
        <v>0</v>
      </c>
      <c r="DX923" s="1098">
        <f t="shared" si="1181"/>
        <v>0</v>
      </c>
      <c r="DY923" s="1030"/>
      <c r="DZ923" s="1030"/>
      <c r="EA923" s="1031"/>
      <c r="EB923" s="1050"/>
      <c r="EC923" s="1038"/>
      <c r="ED923" s="1035"/>
      <c r="EE923" s="1046"/>
      <c r="EF923" s="1169"/>
      <c r="EG923" s="1168"/>
      <c r="EH923" s="1165"/>
      <c r="EI923" s="1165"/>
      <c r="EJ923" s="1165"/>
      <c r="EK923" s="1031"/>
      <c r="EL923" s="1098">
        <f t="shared" si="1182"/>
        <v>0</v>
      </c>
      <c r="EM923" s="1098">
        <f t="shared" si="1183"/>
        <v>0</v>
      </c>
      <c r="EN923" s="1030"/>
      <c r="EO923" s="1030"/>
      <c r="EP923" s="1031"/>
      <c r="EQ923" s="1050"/>
      <c r="ER923" s="1038"/>
      <c r="ES923" s="1035"/>
      <c r="ET923" s="1051"/>
    </row>
    <row r="924" spans="2:150" ht="16.5" customHeight="1">
      <c r="B924" s="1024"/>
      <c r="C924" s="1025"/>
      <c r="D924" s="408">
        <v>921</v>
      </c>
      <c r="E924" s="1164"/>
      <c r="F924" s="1164"/>
      <c r="G924" s="1026"/>
      <c r="H924" s="411" t="str">
        <f>IFERROR(INDEX(绊状态确认!C:C,MATCH($G924,绊状态确认!$B:$B,)),"")</f>
        <v/>
      </c>
      <c r="I924" s="450" t="str">
        <f>IFERROR(INDEX(绊状态确认!D:D,MATCH($G924,绊状态确认!$B:$B,)),"")</f>
        <v/>
      </c>
      <c r="J924" s="450" t="str">
        <f>IFERROR(INDEX(绊状态确认!E:E,MATCH($G924,绊状态确认!$B:$B,)),"")</f>
        <v/>
      </c>
      <c r="K924" s="451" t="str">
        <f>IFERROR(INDEX(绊状态确认!F:F,MATCH($G924,绊状态确认!$B:$B,)),"")</f>
        <v/>
      </c>
      <c r="L924" s="1026"/>
      <c r="M924" s="1165"/>
      <c r="N924" s="1027"/>
      <c r="O924" s="1026"/>
      <c r="P924" s="1028"/>
      <c r="Q924" s="1029"/>
      <c r="R924" s="1166"/>
      <c r="S924" s="1030"/>
      <c r="T924" s="1031"/>
      <c r="U924" s="1032"/>
      <c r="V924" s="1033"/>
      <c r="W924" s="1034"/>
      <c r="X924" s="1166"/>
      <c r="Y924" s="1035"/>
      <c r="Z924" s="1036"/>
      <c r="AA924" s="1037"/>
      <c r="AB924" s="1038"/>
      <c r="AC924" s="1039"/>
      <c r="AD924" s="1040"/>
      <c r="AE924" s="1041"/>
      <c r="AF924" s="521"/>
      <c r="AG924" s="420"/>
      <c r="AH924" s="420"/>
      <c r="AI924" s="420"/>
      <c r="AJ924" s="420"/>
      <c r="AK924" s="518"/>
      <c r="AL924" s="1042"/>
      <c r="AM924" s="1035"/>
      <c r="AN924" s="1043"/>
      <c r="AO924" s="1167"/>
      <c r="AP924" s="1044"/>
      <c r="AQ924" s="1035"/>
      <c r="AR924" s="1035"/>
      <c r="AS924" s="1035"/>
      <c r="AT924" s="1165"/>
      <c r="AU924" s="1031"/>
      <c r="AV924" s="1045"/>
      <c r="AW924" s="1038"/>
      <c r="AX924" s="1035"/>
      <c r="AY924" s="483"/>
      <c r="AZ924" s="429"/>
      <c r="BA924" s="431"/>
      <c r="BB924" s="1035"/>
      <c r="BC924" s="1035"/>
      <c r="BD924" s="481"/>
      <c r="BE924" s="432"/>
      <c r="BF924" s="646"/>
      <c r="BG924" s="1047"/>
      <c r="BH924" s="1046"/>
      <c r="BI924" s="1048"/>
      <c r="BJ924" s="1030"/>
      <c r="BK924" s="1046"/>
      <c r="BL924" s="1048"/>
      <c r="BM924" s="1046"/>
      <c r="BN924" s="1167"/>
      <c r="BO924" s="1035"/>
      <c r="BP924" s="1043"/>
      <c r="BQ924" s="1167"/>
      <c r="BR924" s="1165"/>
      <c r="BS924" s="1031"/>
      <c r="BT924" s="1038"/>
      <c r="BU924" s="1035"/>
      <c r="BV924" s="1035"/>
      <c r="BW924" s="1049"/>
      <c r="BX924" s="1043"/>
      <c r="BY924" s="1046"/>
      <c r="BZ924" s="1167"/>
      <c r="CA924" s="1165"/>
      <c r="CB924" s="1031"/>
      <c r="CC924" s="1038"/>
      <c r="CD924" s="1035"/>
      <c r="CE924" s="1035"/>
      <c r="CF924" s="1049"/>
      <c r="CG924" s="1043"/>
      <c r="CH924" s="1046"/>
      <c r="CI924" s="1167"/>
      <c r="CJ924" s="1168"/>
      <c r="CK924" s="1169"/>
      <c r="CL924" s="1169"/>
      <c r="CM924" s="1166"/>
      <c r="CN924" s="1169"/>
      <c r="CO924" s="1169"/>
      <c r="CP924" s="452"/>
      <c r="CQ924" s="435"/>
      <c r="CR924" s="441"/>
      <c r="CS924" s="452"/>
      <c r="CT924" s="482"/>
      <c r="CU924" s="476"/>
      <c r="CV924" s="431"/>
      <c r="CW924" s="1108"/>
      <c r="CX924" s="1108"/>
      <c r="CY924" s="483"/>
      <c r="CZ924" s="437"/>
      <c r="DA924" s="438"/>
      <c r="DB924" s="439"/>
      <c r="DC924" s="439"/>
      <c r="DD924" s="443"/>
      <c r="DE924" s="411"/>
      <c r="DF924" s="411"/>
      <c r="DG924" s="1117"/>
      <c r="DH924" s="1117"/>
      <c r="DI924" s="1117"/>
      <c r="DJ924" s="442"/>
      <c r="DK924" s="482"/>
      <c r="DL924" s="1038"/>
      <c r="DM924" s="1035"/>
      <c r="DN924" s="1035"/>
      <c r="DO924" s="1035"/>
      <c r="DP924" s="1046"/>
      <c r="DQ924" s="1167"/>
      <c r="DR924" s="1168"/>
      <c r="DS924" s="1165"/>
      <c r="DT924" s="1165"/>
      <c r="DU924" s="1165"/>
      <c r="DV924" s="1031"/>
      <c r="DW924" s="1098">
        <f t="shared" si="1180"/>
        <v>0</v>
      </c>
      <c r="DX924" s="1098">
        <f t="shared" si="1181"/>
        <v>0</v>
      </c>
      <c r="DY924" s="1030"/>
      <c r="DZ924" s="1030"/>
      <c r="EA924" s="1031"/>
      <c r="EB924" s="1050"/>
      <c r="EC924" s="1038"/>
      <c r="ED924" s="1035"/>
      <c r="EE924" s="1046"/>
      <c r="EF924" s="1169"/>
      <c r="EG924" s="1168"/>
      <c r="EH924" s="1165"/>
      <c r="EI924" s="1165"/>
      <c r="EJ924" s="1165"/>
      <c r="EK924" s="1031"/>
      <c r="EL924" s="1098">
        <f t="shared" si="1182"/>
        <v>0</v>
      </c>
      <c r="EM924" s="1098">
        <f t="shared" si="1183"/>
        <v>0</v>
      </c>
      <c r="EN924" s="1030"/>
      <c r="EO924" s="1030"/>
      <c r="EP924" s="1031"/>
      <c r="EQ924" s="1050"/>
      <c r="ER924" s="1038"/>
      <c r="ES924" s="1035"/>
      <c r="ET924" s="1051"/>
    </row>
    <row r="925" spans="2:150" ht="16.5" customHeight="1">
      <c r="B925" s="1024"/>
      <c r="C925" s="1025"/>
      <c r="D925" s="408">
        <v>922</v>
      </c>
      <c r="E925" s="1164"/>
      <c r="F925" s="1164"/>
      <c r="G925" s="1026"/>
      <c r="H925" s="411" t="str">
        <f>IFERROR(INDEX(绊状态确认!C:C,MATCH($G925,绊状态确认!$B:$B,)),"")</f>
        <v/>
      </c>
      <c r="I925" s="450" t="str">
        <f>IFERROR(INDEX(绊状态确认!D:D,MATCH($G925,绊状态确认!$B:$B,)),"")</f>
        <v/>
      </c>
      <c r="J925" s="450" t="str">
        <f>IFERROR(INDEX(绊状态确认!E:E,MATCH($G925,绊状态确认!$B:$B,)),"")</f>
        <v/>
      </c>
      <c r="K925" s="451" t="str">
        <f>IFERROR(INDEX(绊状态确认!F:F,MATCH($G925,绊状态确认!$B:$B,)),"")</f>
        <v/>
      </c>
      <c r="L925" s="1026"/>
      <c r="M925" s="1165"/>
      <c r="N925" s="1027"/>
      <c r="O925" s="1026"/>
      <c r="P925" s="1028"/>
      <c r="Q925" s="1029"/>
      <c r="R925" s="1166"/>
      <c r="S925" s="1030"/>
      <c r="T925" s="1031"/>
      <c r="U925" s="1032"/>
      <c r="V925" s="1033"/>
      <c r="W925" s="1034"/>
      <c r="X925" s="1166"/>
      <c r="Y925" s="1035"/>
      <c r="Z925" s="1036"/>
      <c r="AA925" s="1037"/>
      <c r="AB925" s="1038"/>
      <c r="AC925" s="1039"/>
      <c r="AD925" s="1040"/>
      <c r="AE925" s="1041"/>
      <c r="AF925" s="521"/>
      <c r="AG925" s="420"/>
      <c r="AH925" s="420"/>
      <c r="AI925" s="420"/>
      <c r="AJ925" s="420"/>
      <c r="AK925" s="518"/>
      <c r="AL925" s="1042"/>
      <c r="AM925" s="1035"/>
      <c r="AN925" s="1043"/>
      <c r="AO925" s="1167"/>
      <c r="AP925" s="1044"/>
      <c r="AQ925" s="1035"/>
      <c r="AR925" s="1035"/>
      <c r="AS925" s="1035"/>
      <c r="AT925" s="1165"/>
      <c r="AU925" s="1031"/>
      <c r="AV925" s="1045"/>
      <c r="AW925" s="1038"/>
      <c r="AX925" s="1035"/>
      <c r="AY925" s="483"/>
      <c r="AZ925" s="429"/>
      <c r="BA925" s="431"/>
      <c r="BB925" s="1035"/>
      <c r="BC925" s="1035"/>
      <c r="BD925" s="481"/>
      <c r="BE925" s="432"/>
      <c r="BF925" s="646"/>
      <c r="BG925" s="1047"/>
      <c r="BH925" s="1046"/>
      <c r="BI925" s="1048"/>
      <c r="BJ925" s="1030"/>
      <c r="BK925" s="1046"/>
      <c r="BL925" s="1048"/>
      <c r="BM925" s="1046"/>
      <c r="BN925" s="1167"/>
      <c r="BO925" s="1035"/>
      <c r="BP925" s="1043"/>
      <c r="BQ925" s="1167"/>
      <c r="BR925" s="1165"/>
      <c r="BS925" s="1031"/>
      <c r="BT925" s="1038"/>
      <c r="BU925" s="1035"/>
      <c r="BV925" s="1035"/>
      <c r="BW925" s="1049"/>
      <c r="BX925" s="1043"/>
      <c r="BY925" s="1046"/>
      <c r="BZ925" s="1167"/>
      <c r="CA925" s="1165"/>
      <c r="CB925" s="1031"/>
      <c r="CC925" s="1038"/>
      <c r="CD925" s="1035"/>
      <c r="CE925" s="1035"/>
      <c r="CF925" s="1049"/>
      <c r="CG925" s="1043"/>
      <c r="CH925" s="1046"/>
      <c r="CI925" s="1167"/>
      <c r="CJ925" s="1168"/>
      <c r="CK925" s="1169"/>
      <c r="CL925" s="1169"/>
      <c r="CM925" s="1166"/>
      <c r="CN925" s="1169"/>
      <c r="CO925" s="1169"/>
      <c r="CP925" s="452"/>
      <c r="CQ925" s="435"/>
      <c r="CR925" s="441"/>
      <c r="CS925" s="452"/>
      <c r="CT925" s="482"/>
      <c r="CU925" s="476"/>
      <c r="CV925" s="431"/>
      <c r="CW925" s="1108"/>
      <c r="CX925" s="1108"/>
      <c r="CY925" s="483"/>
      <c r="CZ925" s="437"/>
      <c r="DA925" s="438"/>
      <c r="DB925" s="439"/>
      <c r="DC925" s="439"/>
      <c r="DD925" s="443"/>
      <c r="DE925" s="411"/>
      <c r="DF925" s="411"/>
      <c r="DG925" s="1117"/>
      <c r="DH925" s="1117"/>
      <c r="DI925" s="1117"/>
      <c r="DJ925" s="442"/>
      <c r="DK925" s="482"/>
      <c r="DL925" s="1038"/>
      <c r="DM925" s="1035"/>
      <c r="DN925" s="1035"/>
      <c r="DO925" s="1035"/>
      <c r="DP925" s="1046"/>
      <c r="DQ925" s="1167"/>
      <c r="DR925" s="1168"/>
      <c r="DS925" s="1165"/>
      <c r="DT925" s="1165"/>
      <c r="DU925" s="1165"/>
      <c r="DV925" s="1031"/>
      <c r="DW925" s="1098">
        <f t="shared" si="1180"/>
        <v>0</v>
      </c>
      <c r="DX925" s="1098">
        <f t="shared" si="1181"/>
        <v>0</v>
      </c>
      <c r="DY925" s="1030"/>
      <c r="DZ925" s="1030"/>
      <c r="EA925" s="1031"/>
      <c r="EB925" s="1050"/>
      <c r="EC925" s="1038"/>
      <c r="ED925" s="1035"/>
      <c r="EE925" s="1046"/>
      <c r="EF925" s="1169"/>
      <c r="EG925" s="1168"/>
      <c r="EH925" s="1165"/>
      <c r="EI925" s="1165"/>
      <c r="EJ925" s="1165"/>
      <c r="EK925" s="1031"/>
      <c r="EL925" s="1098">
        <f t="shared" si="1182"/>
        <v>0</v>
      </c>
      <c r="EM925" s="1098">
        <f t="shared" si="1183"/>
        <v>0</v>
      </c>
      <c r="EN925" s="1030"/>
      <c r="EO925" s="1030"/>
      <c r="EP925" s="1031"/>
      <c r="EQ925" s="1050"/>
      <c r="ER925" s="1038"/>
      <c r="ES925" s="1035"/>
      <c r="ET925" s="1051"/>
    </row>
    <row r="926" spans="2:150" ht="16.5" customHeight="1">
      <c r="B926" s="1024"/>
      <c r="C926" s="1025"/>
      <c r="D926" s="408">
        <v>923</v>
      </c>
      <c r="E926" s="1164"/>
      <c r="F926" s="1164"/>
      <c r="G926" s="1026"/>
      <c r="H926" s="411" t="str">
        <f>IFERROR(INDEX(绊状态确认!C:C,MATCH($G926,绊状态确认!$B:$B,)),"")</f>
        <v/>
      </c>
      <c r="I926" s="450" t="str">
        <f>IFERROR(INDEX(绊状态确认!D:D,MATCH($G926,绊状态确认!$B:$B,)),"")</f>
        <v/>
      </c>
      <c r="J926" s="450" t="str">
        <f>IFERROR(INDEX(绊状态确认!E:E,MATCH($G926,绊状态确认!$B:$B,)),"")</f>
        <v/>
      </c>
      <c r="K926" s="451" t="str">
        <f>IFERROR(INDEX(绊状态确认!F:F,MATCH($G926,绊状态确认!$B:$B,)),"")</f>
        <v/>
      </c>
      <c r="L926" s="1026"/>
      <c r="M926" s="1165"/>
      <c r="N926" s="1027"/>
      <c r="O926" s="1026"/>
      <c r="P926" s="1028"/>
      <c r="Q926" s="1029"/>
      <c r="R926" s="1166"/>
      <c r="S926" s="1030"/>
      <c r="T926" s="1031"/>
      <c r="U926" s="1032"/>
      <c r="V926" s="1033"/>
      <c r="W926" s="1034"/>
      <c r="X926" s="1166"/>
      <c r="Y926" s="1035"/>
      <c r="Z926" s="1036"/>
      <c r="AA926" s="1037"/>
      <c r="AB926" s="1038"/>
      <c r="AC926" s="1039"/>
      <c r="AD926" s="1040"/>
      <c r="AE926" s="1041"/>
      <c r="AF926" s="521"/>
      <c r="AG926" s="420"/>
      <c r="AH926" s="420"/>
      <c r="AI926" s="420"/>
      <c r="AJ926" s="420"/>
      <c r="AK926" s="518"/>
      <c r="AL926" s="1042"/>
      <c r="AM926" s="1035"/>
      <c r="AN926" s="1043"/>
      <c r="AO926" s="1167"/>
      <c r="AP926" s="1044"/>
      <c r="AQ926" s="1035"/>
      <c r="AR926" s="1035"/>
      <c r="AS926" s="1035"/>
      <c r="AT926" s="1165"/>
      <c r="AU926" s="1031"/>
      <c r="AV926" s="1045"/>
      <c r="AW926" s="1038"/>
      <c r="AX926" s="1035"/>
      <c r="AY926" s="483"/>
      <c r="AZ926" s="429"/>
      <c r="BA926" s="431"/>
      <c r="BB926" s="1035"/>
      <c r="BC926" s="1035"/>
      <c r="BD926" s="481"/>
      <c r="BE926" s="432"/>
      <c r="BF926" s="646"/>
      <c r="BG926" s="1047"/>
      <c r="BH926" s="1046"/>
      <c r="BI926" s="1048"/>
      <c r="BJ926" s="1030"/>
      <c r="BK926" s="1046"/>
      <c r="BL926" s="1048"/>
      <c r="BM926" s="1046"/>
      <c r="BN926" s="1167"/>
      <c r="BO926" s="1035"/>
      <c r="BP926" s="1043"/>
      <c r="BQ926" s="1167"/>
      <c r="BR926" s="1165"/>
      <c r="BS926" s="1031"/>
      <c r="BT926" s="1038"/>
      <c r="BU926" s="1035"/>
      <c r="BV926" s="1035"/>
      <c r="BW926" s="1049"/>
      <c r="BX926" s="1043"/>
      <c r="BY926" s="1046"/>
      <c r="BZ926" s="1167"/>
      <c r="CA926" s="1165"/>
      <c r="CB926" s="1031"/>
      <c r="CC926" s="1038"/>
      <c r="CD926" s="1035"/>
      <c r="CE926" s="1035"/>
      <c r="CF926" s="1049"/>
      <c r="CG926" s="1043"/>
      <c r="CH926" s="1046"/>
      <c r="CI926" s="1167"/>
      <c r="CJ926" s="1168"/>
      <c r="CK926" s="1169"/>
      <c r="CL926" s="1169"/>
      <c r="CM926" s="1166"/>
      <c r="CN926" s="1169"/>
      <c r="CO926" s="1169"/>
      <c r="CP926" s="452"/>
      <c r="CQ926" s="435"/>
      <c r="CR926" s="441"/>
      <c r="CS926" s="452"/>
      <c r="CT926" s="482"/>
      <c r="CU926" s="476"/>
      <c r="CV926" s="431"/>
      <c r="CW926" s="1108"/>
      <c r="CX926" s="1108"/>
      <c r="CY926" s="483"/>
      <c r="CZ926" s="437"/>
      <c r="DA926" s="438"/>
      <c r="DB926" s="439"/>
      <c r="DC926" s="439"/>
      <c r="DD926" s="443"/>
      <c r="DE926" s="411"/>
      <c r="DF926" s="411"/>
      <c r="DG926" s="1117"/>
      <c r="DH926" s="1117"/>
      <c r="DI926" s="1117"/>
      <c r="DJ926" s="442"/>
      <c r="DK926" s="482"/>
      <c r="DL926" s="1038"/>
      <c r="DM926" s="1035"/>
      <c r="DN926" s="1035"/>
      <c r="DO926" s="1035"/>
      <c r="DP926" s="1046"/>
      <c r="DQ926" s="1167"/>
      <c r="DR926" s="1168"/>
      <c r="DS926" s="1165"/>
      <c r="DT926" s="1165"/>
      <c r="DU926" s="1165"/>
      <c r="DV926" s="1031"/>
      <c r="DW926" s="1098">
        <f t="shared" si="1180"/>
        <v>0</v>
      </c>
      <c r="DX926" s="1098">
        <f t="shared" si="1181"/>
        <v>0</v>
      </c>
      <c r="DY926" s="1030"/>
      <c r="DZ926" s="1030"/>
      <c r="EA926" s="1031"/>
      <c r="EB926" s="1050"/>
      <c r="EC926" s="1038"/>
      <c r="ED926" s="1035"/>
      <c r="EE926" s="1046"/>
      <c r="EF926" s="1169"/>
      <c r="EG926" s="1168"/>
      <c r="EH926" s="1165"/>
      <c r="EI926" s="1165"/>
      <c r="EJ926" s="1165"/>
      <c r="EK926" s="1031"/>
      <c r="EL926" s="1098">
        <f t="shared" si="1182"/>
        <v>0</v>
      </c>
      <c r="EM926" s="1098">
        <f t="shared" si="1183"/>
        <v>0</v>
      </c>
      <c r="EN926" s="1030"/>
      <c r="EO926" s="1030"/>
      <c r="EP926" s="1031"/>
      <c r="EQ926" s="1050"/>
      <c r="ER926" s="1038"/>
      <c r="ES926" s="1035"/>
      <c r="ET926" s="1051"/>
    </row>
    <row r="927" spans="2:150" ht="16.5" customHeight="1">
      <c r="B927" s="1024"/>
      <c r="C927" s="1025"/>
      <c r="D927" s="408">
        <v>924</v>
      </c>
      <c r="E927" s="1164"/>
      <c r="F927" s="1164"/>
      <c r="G927" s="1026"/>
      <c r="H927" s="411" t="str">
        <f>IFERROR(INDEX(绊状态确认!C:C,MATCH($G927,绊状态确认!$B:$B,)),"")</f>
        <v/>
      </c>
      <c r="I927" s="450" t="str">
        <f>IFERROR(INDEX(绊状态确认!D:D,MATCH($G927,绊状态确认!$B:$B,)),"")</f>
        <v/>
      </c>
      <c r="J927" s="450" t="str">
        <f>IFERROR(INDEX(绊状态确认!E:E,MATCH($G927,绊状态确认!$B:$B,)),"")</f>
        <v/>
      </c>
      <c r="K927" s="451" t="str">
        <f>IFERROR(INDEX(绊状态确认!F:F,MATCH($G927,绊状态确认!$B:$B,)),"")</f>
        <v/>
      </c>
      <c r="L927" s="1026"/>
      <c r="M927" s="1165"/>
      <c r="N927" s="1027"/>
      <c r="O927" s="1026"/>
      <c r="P927" s="1028"/>
      <c r="Q927" s="1029"/>
      <c r="R927" s="1166"/>
      <c r="S927" s="1030"/>
      <c r="T927" s="1031"/>
      <c r="U927" s="1032"/>
      <c r="V927" s="1033"/>
      <c r="W927" s="1034"/>
      <c r="X927" s="1166"/>
      <c r="Y927" s="1035"/>
      <c r="Z927" s="1036"/>
      <c r="AA927" s="1037"/>
      <c r="AB927" s="1038"/>
      <c r="AC927" s="1039"/>
      <c r="AD927" s="1040"/>
      <c r="AE927" s="1041"/>
      <c r="AF927" s="521"/>
      <c r="AG927" s="420"/>
      <c r="AH927" s="420"/>
      <c r="AI927" s="420"/>
      <c r="AJ927" s="420"/>
      <c r="AK927" s="518"/>
      <c r="AL927" s="1042"/>
      <c r="AM927" s="1035"/>
      <c r="AN927" s="1043"/>
      <c r="AO927" s="1167"/>
      <c r="AP927" s="1044"/>
      <c r="AQ927" s="1035"/>
      <c r="AR927" s="1035"/>
      <c r="AS927" s="1035"/>
      <c r="AT927" s="1165"/>
      <c r="AU927" s="1031"/>
      <c r="AV927" s="1045"/>
      <c r="AW927" s="1038"/>
      <c r="AX927" s="1035"/>
      <c r="AY927" s="483"/>
      <c r="AZ927" s="429"/>
      <c r="BA927" s="431"/>
      <c r="BB927" s="1035"/>
      <c r="BC927" s="1035"/>
      <c r="BD927" s="481"/>
      <c r="BE927" s="432"/>
      <c r="BF927" s="646"/>
      <c r="BG927" s="1047"/>
      <c r="BH927" s="1046"/>
      <c r="BI927" s="1048"/>
      <c r="BJ927" s="1030"/>
      <c r="BK927" s="1046"/>
      <c r="BL927" s="1048"/>
      <c r="BM927" s="1046"/>
      <c r="BN927" s="1167"/>
      <c r="BO927" s="1035"/>
      <c r="BP927" s="1043"/>
      <c r="BQ927" s="1167"/>
      <c r="BR927" s="1165"/>
      <c r="BS927" s="1031"/>
      <c r="BT927" s="1038"/>
      <c r="BU927" s="1035"/>
      <c r="BV927" s="1035"/>
      <c r="BW927" s="1049"/>
      <c r="BX927" s="1043"/>
      <c r="BY927" s="1046"/>
      <c r="BZ927" s="1167"/>
      <c r="CA927" s="1165"/>
      <c r="CB927" s="1031"/>
      <c r="CC927" s="1038"/>
      <c r="CD927" s="1035"/>
      <c r="CE927" s="1035"/>
      <c r="CF927" s="1049"/>
      <c r="CG927" s="1043"/>
      <c r="CH927" s="1046"/>
      <c r="CI927" s="1167"/>
      <c r="CJ927" s="1168"/>
      <c r="CK927" s="1169"/>
      <c r="CL927" s="1169"/>
      <c r="CM927" s="1166"/>
      <c r="CN927" s="1169"/>
      <c r="CO927" s="1169"/>
      <c r="CP927" s="452"/>
      <c r="CQ927" s="435"/>
      <c r="CR927" s="441"/>
      <c r="CS927" s="452"/>
      <c r="CT927" s="482"/>
      <c r="CU927" s="476"/>
      <c r="CV927" s="431"/>
      <c r="CW927" s="1108"/>
      <c r="CX927" s="1108"/>
      <c r="CY927" s="483"/>
      <c r="CZ927" s="437"/>
      <c r="DA927" s="438"/>
      <c r="DB927" s="439"/>
      <c r="DC927" s="439"/>
      <c r="DD927" s="443"/>
      <c r="DE927" s="411"/>
      <c r="DF927" s="411"/>
      <c r="DG927" s="1117"/>
      <c r="DH927" s="1117"/>
      <c r="DI927" s="1117"/>
      <c r="DJ927" s="442"/>
      <c r="DK927" s="482"/>
      <c r="DL927" s="1038"/>
      <c r="DM927" s="1035"/>
      <c r="DN927" s="1035"/>
      <c r="DO927" s="1035"/>
      <c r="DP927" s="1046"/>
      <c r="DQ927" s="1167"/>
      <c r="DR927" s="1168"/>
      <c r="DS927" s="1165"/>
      <c r="DT927" s="1165"/>
      <c r="DU927" s="1165"/>
      <c r="DV927" s="1031"/>
      <c r="DW927" s="1098">
        <f t="shared" si="1180"/>
        <v>0</v>
      </c>
      <c r="DX927" s="1098">
        <f t="shared" si="1181"/>
        <v>0</v>
      </c>
      <c r="DY927" s="1030"/>
      <c r="DZ927" s="1030"/>
      <c r="EA927" s="1031"/>
      <c r="EB927" s="1050"/>
      <c r="EC927" s="1038"/>
      <c r="ED927" s="1035"/>
      <c r="EE927" s="1046"/>
      <c r="EF927" s="1169"/>
      <c r="EG927" s="1168"/>
      <c r="EH927" s="1165"/>
      <c r="EI927" s="1165"/>
      <c r="EJ927" s="1165"/>
      <c r="EK927" s="1031"/>
      <c r="EL927" s="1098">
        <f t="shared" si="1182"/>
        <v>0</v>
      </c>
      <c r="EM927" s="1098">
        <f t="shared" si="1183"/>
        <v>0</v>
      </c>
      <c r="EN927" s="1030"/>
      <c r="EO927" s="1030"/>
      <c r="EP927" s="1031"/>
      <c r="EQ927" s="1050"/>
      <c r="ER927" s="1038"/>
      <c r="ES927" s="1035"/>
      <c r="ET927" s="1051"/>
    </row>
    <row r="928" spans="2:150" ht="16.5" customHeight="1">
      <c r="B928" s="1024"/>
      <c r="C928" s="1025"/>
      <c r="D928" s="408">
        <v>925</v>
      </c>
      <c r="E928" s="1164"/>
      <c r="F928" s="1164"/>
      <c r="G928" s="1026"/>
      <c r="H928" s="411" t="str">
        <f>IFERROR(INDEX(绊状态确认!C:C,MATCH($G928,绊状态确认!$B:$B,)),"")</f>
        <v/>
      </c>
      <c r="I928" s="450" t="str">
        <f>IFERROR(INDEX(绊状态确认!D:D,MATCH($G928,绊状态确认!$B:$B,)),"")</f>
        <v/>
      </c>
      <c r="J928" s="450" t="str">
        <f>IFERROR(INDEX(绊状态确认!E:E,MATCH($G928,绊状态确认!$B:$B,)),"")</f>
        <v/>
      </c>
      <c r="K928" s="451" t="str">
        <f>IFERROR(INDEX(绊状态确认!F:F,MATCH($G928,绊状态确认!$B:$B,)),"")</f>
        <v/>
      </c>
      <c r="L928" s="1026"/>
      <c r="M928" s="1165"/>
      <c r="N928" s="1027"/>
      <c r="O928" s="1026"/>
      <c r="P928" s="1028"/>
      <c r="Q928" s="1029"/>
      <c r="R928" s="1166"/>
      <c r="S928" s="1030"/>
      <c r="T928" s="1031"/>
      <c r="U928" s="1032"/>
      <c r="V928" s="1033"/>
      <c r="W928" s="1034"/>
      <c r="X928" s="1166"/>
      <c r="Y928" s="1035"/>
      <c r="Z928" s="1036"/>
      <c r="AA928" s="1037"/>
      <c r="AB928" s="1038"/>
      <c r="AC928" s="1039"/>
      <c r="AD928" s="1040"/>
      <c r="AE928" s="1041"/>
      <c r="AF928" s="521"/>
      <c r="AG928" s="420"/>
      <c r="AH928" s="420"/>
      <c r="AI928" s="420"/>
      <c r="AJ928" s="420"/>
      <c r="AK928" s="518"/>
      <c r="AL928" s="1042"/>
      <c r="AM928" s="1035"/>
      <c r="AN928" s="1043"/>
      <c r="AO928" s="1167"/>
      <c r="AP928" s="1044"/>
      <c r="AQ928" s="1035"/>
      <c r="AR928" s="1035"/>
      <c r="AS928" s="1035"/>
      <c r="AT928" s="1165"/>
      <c r="AU928" s="1031"/>
      <c r="AV928" s="1045"/>
      <c r="AW928" s="1038"/>
      <c r="AX928" s="1035"/>
      <c r="AY928" s="483"/>
      <c r="AZ928" s="429"/>
      <c r="BA928" s="431"/>
      <c r="BB928" s="1035"/>
      <c r="BC928" s="1035"/>
      <c r="BD928" s="481"/>
      <c r="BE928" s="432"/>
      <c r="BF928" s="646"/>
      <c r="BG928" s="1047"/>
      <c r="BH928" s="1046"/>
      <c r="BI928" s="1048"/>
      <c r="BJ928" s="1030"/>
      <c r="BK928" s="1046"/>
      <c r="BL928" s="1048"/>
      <c r="BM928" s="1046"/>
      <c r="BN928" s="1167"/>
      <c r="BO928" s="1035"/>
      <c r="BP928" s="1043"/>
      <c r="BQ928" s="1167"/>
      <c r="BR928" s="1165"/>
      <c r="BS928" s="1031"/>
      <c r="BT928" s="1038"/>
      <c r="BU928" s="1035"/>
      <c r="BV928" s="1035"/>
      <c r="BW928" s="1049"/>
      <c r="BX928" s="1043"/>
      <c r="BY928" s="1046"/>
      <c r="BZ928" s="1167"/>
      <c r="CA928" s="1165"/>
      <c r="CB928" s="1031"/>
      <c r="CC928" s="1038"/>
      <c r="CD928" s="1035"/>
      <c r="CE928" s="1035"/>
      <c r="CF928" s="1049"/>
      <c r="CG928" s="1043"/>
      <c r="CH928" s="1046"/>
      <c r="CI928" s="1167"/>
      <c r="CJ928" s="1168"/>
      <c r="CK928" s="1169"/>
      <c r="CL928" s="1169"/>
      <c r="CM928" s="1166"/>
      <c r="CN928" s="1169"/>
      <c r="CO928" s="1169"/>
      <c r="CP928" s="452"/>
      <c r="CQ928" s="435"/>
      <c r="CR928" s="1117"/>
      <c r="CS928" s="452"/>
      <c r="CT928" s="482"/>
      <c r="CU928" s="476"/>
      <c r="CV928" s="431"/>
      <c r="CW928" s="1108"/>
      <c r="CX928" s="1108"/>
      <c r="CY928" s="483"/>
      <c r="CZ928" s="437"/>
      <c r="DA928" s="438"/>
      <c r="DB928" s="439"/>
      <c r="DC928" s="439"/>
      <c r="DD928" s="443"/>
      <c r="DE928" s="411"/>
      <c r="DF928" s="411"/>
      <c r="DG928" s="1117"/>
      <c r="DH928" s="1117"/>
      <c r="DI928" s="1117"/>
      <c r="DJ928" s="442"/>
      <c r="DK928" s="482"/>
      <c r="DL928" s="1038"/>
      <c r="DM928" s="1035"/>
      <c r="DN928" s="1035"/>
      <c r="DO928" s="1035"/>
      <c r="DP928" s="1046"/>
      <c r="DQ928" s="1167"/>
      <c r="DR928" s="1168"/>
      <c r="DS928" s="1165"/>
      <c r="DT928" s="1165"/>
      <c r="DU928" s="1165"/>
      <c r="DV928" s="1031"/>
      <c r="DW928" s="1098">
        <f t="shared" si="1180"/>
        <v>0</v>
      </c>
      <c r="DX928" s="1098">
        <f t="shared" si="1181"/>
        <v>0</v>
      </c>
      <c r="DY928" s="1030"/>
      <c r="DZ928" s="1030"/>
      <c r="EA928" s="1031"/>
      <c r="EB928" s="1050"/>
      <c r="EC928" s="1038"/>
      <c r="ED928" s="1035"/>
      <c r="EE928" s="1046"/>
      <c r="EF928" s="1169"/>
      <c r="EG928" s="1168"/>
      <c r="EH928" s="1165"/>
      <c r="EI928" s="1165"/>
      <c r="EJ928" s="1165"/>
      <c r="EK928" s="1031"/>
      <c r="EL928" s="1098">
        <f t="shared" si="1182"/>
        <v>0</v>
      </c>
      <c r="EM928" s="1098">
        <f t="shared" si="1183"/>
        <v>0</v>
      </c>
      <c r="EN928" s="1030"/>
      <c r="EO928" s="1030"/>
      <c r="EP928" s="1031"/>
      <c r="EQ928" s="1050"/>
      <c r="ER928" s="1038"/>
      <c r="ES928" s="1035"/>
      <c r="ET928" s="1051"/>
    </row>
    <row r="929" spans="2:150" ht="16.5" customHeight="1">
      <c r="B929" s="1024"/>
      <c r="C929" s="1025"/>
      <c r="D929" s="408">
        <v>926</v>
      </c>
      <c r="E929" s="1164"/>
      <c r="F929" s="1164"/>
      <c r="G929" s="1026"/>
      <c r="H929" s="411" t="str">
        <f>IFERROR(INDEX(绊状态确认!C:C,MATCH($G929,绊状态确认!$B:$B,)),"")</f>
        <v/>
      </c>
      <c r="I929" s="450" t="str">
        <f>IFERROR(INDEX(绊状态确认!D:D,MATCH($G929,绊状态确认!$B:$B,)),"")</f>
        <v/>
      </c>
      <c r="J929" s="450" t="str">
        <f>IFERROR(INDEX(绊状态确认!E:E,MATCH($G929,绊状态确认!$B:$B,)),"")</f>
        <v/>
      </c>
      <c r="K929" s="451" t="str">
        <f>IFERROR(INDEX(绊状态确认!F:F,MATCH($G929,绊状态确认!$B:$B,)),"")</f>
        <v/>
      </c>
      <c r="L929" s="1026"/>
      <c r="M929" s="1165"/>
      <c r="N929" s="1027"/>
      <c r="O929" s="1026"/>
      <c r="P929" s="1028"/>
      <c r="Q929" s="1029"/>
      <c r="R929" s="1166"/>
      <c r="S929" s="1030"/>
      <c r="T929" s="1031"/>
      <c r="U929" s="1032"/>
      <c r="V929" s="1033"/>
      <c r="W929" s="1034"/>
      <c r="X929" s="1166"/>
      <c r="Y929" s="1035"/>
      <c r="Z929" s="1036"/>
      <c r="AA929" s="1037"/>
      <c r="AB929" s="1038"/>
      <c r="AC929" s="1039"/>
      <c r="AD929" s="1040"/>
      <c r="AE929" s="1041"/>
      <c r="AF929" s="521"/>
      <c r="AG929" s="420"/>
      <c r="AH929" s="420"/>
      <c r="AI929" s="420"/>
      <c r="AJ929" s="420"/>
      <c r="AK929" s="518"/>
      <c r="AL929" s="1042"/>
      <c r="AM929" s="1035"/>
      <c r="AN929" s="1043"/>
      <c r="AO929" s="1167"/>
      <c r="AP929" s="1044"/>
      <c r="AQ929" s="1035"/>
      <c r="AR929" s="1035"/>
      <c r="AS929" s="1035"/>
      <c r="AT929" s="1165"/>
      <c r="AU929" s="1031"/>
      <c r="AV929" s="1045"/>
      <c r="AW929" s="1038"/>
      <c r="AX929" s="1035"/>
      <c r="AY929" s="483"/>
      <c r="AZ929" s="429"/>
      <c r="BA929" s="431"/>
      <c r="BB929" s="1035"/>
      <c r="BC929" s="1035"/>
      <c r="BD929" s="481"/>
      <c r="BE929" s="432"/>
      <c r="BF929" s="646"/>
      <c r="BG929" s="1047"/>
      <c r="BH929" s="1046"/>
      <c r="BI929" s="1048"/>
      <c r="BJ929" s="1030"/>
      <c r="BK929" s="1046"/>
      <c r="BL929" s="1048"/>
      <c r="BM929" s="1046"/>
      <c r="BN929" s="1167"/>
      <c r="BO929" s="1035"/>
      <c r="BP929" s="1043"/>
      <c r="BQ929" s="1167"/>
      <c r="BR929" s="1165"/>
      <c r="BS929" s="1031"/>
      <c r="BT929" s="1038"/>
      <c r="BU929" s="1035"/>
      <c r="BV929" s="1035"/>
      <c r="BW929" s="1049"/>
      <c r="BX929" s="1043"/>
      <c r="BY929" s="1046"/>
      <c r="BZ929" s="1167"/>
      <c r="CA929" s="1165"/>
      <c r="CB929" s="1031"/>
      <c r="CC929" s="1038"/>
      <c r="CD929" s="1035"/>
      <c r="CE929" s="1035"/>
      <c r="CF929" s="1049"/>
      <c r="CG929" s="1043"/>
      <c r="CH929" s="1046"/>
      <c r="CI929" s="1167"/>
      <c r="CJ929" s="1168"/>
      <c r="CK929" s="1169"/>
      <c r="CL929" s="1169"/>
      <c r="CM929" s="1166"/>
      <c r="CN929" s="1169"/>
      <c r="CO929" s="1169"/>
      <c r="CP929" s="452"/>
      <c r="CQ929" s="435"/>
      <c r="CR929" s="441"/>
      <c r="CS929" s="452"/>
      <c r="CT929" s="482"/>
      <c r="CU929" s="476"/>
      <c r="CV929" s="431"/>
      <c r="CW929" s="1108"/>
      <c r="CX929" s="1108"/>
      <c r="CY929" s="483"/>
      <c r="CZ929" s="437"/>
      <c r="DA929" s="438"/>
      <c r="DB929" s="439"/>
      <c r="DC929" s="439"/>
      <c r="DD929" s="443"/>
      <c r="DE929" s="411"/>
      <c r="DF929" s="411"/>
      <c r="DG929" s="1117"/>
      <c r="DH929" s="1117"/>
      <c r="DI929" s="1117"/>
      <c r="DJ929" s="442"/>
      <c r="DK929" s="482"/>
      <c r="DL929" s="1038"/>
      <c r="DM929" s="1035"/>
      <c r="DN929" s="1035"/>
      <c r="DO929" s="1035"/>
      <c r="DP929" s="1046"/>
      <c r="DQ929" s="1167"/>
      <c r="DR929" s="1168"/>
      <c r="DS929" s="1165"/>
      <c r="DT929" s="1165"/>
      <c r="DU929" s="1165"/>
      <c r="DV929" s="1031"/>
      <c r="DW929" s="1098">
        <f t="shared" si="1180"/>
        <v>0</v>
      </c>
      <c r="DX929" s="1098">
        <f t="shared" si="1181"/>
        <v>0</v>
      </c>
      <c r="DY929" s="1030"/>
      <c r="DZ929" s="1030"/>
      <c r="EA929" s="1031"/>
      <c r="EB929" s="1050"/>
      <c r="EC929" s="1038"/>
      <c r="ED929" s="1035"/>
      <c r="EE929" s="1046"/>
      <c r="EF929" s="1169"/>
      <c r="EG929" s="1168"/>
      <c r="EH929" s="1165"/>
      <c r="EI929" s="1165"/>
      <c r="EJ929" s="1165"/>
      <c r="EK929" s="1031"/>
      <c r="EL929" s="1098">
        <f t="shared" si="1182"/>
        <v>0</v>
      </c>
      <c r="EM929" s="1098">
        <f t="shared" si="1183"/>
        <v>0</v>
      </c>
      <c r="EN929" s="1030"/>
      <c r="EO929" s="1030"/>
      <c r="EP929" s="1031"/>
      <c r="EQ929" s="1050"/>
      <c r="ER929" s="1038"/>
      <c r="ES929" s="1035"/>
      <c r="ET929" s="1051"/>
    </row>
    <row r="930" spans="2:150" ht="16.5" customHeight="1">
      <c r="B930" s="1024"/>
      <c r="C930" s="1025"/>
      <c r="D930" s="408">
        <v>927</v>
      </c>
      <c r="E930" s="1164"/>
      <c r="F930" s="1164"/>
      <c r="G930" s="1026"/>
      <c r="H930" s="411" t="str">
        <f>IFERROR(INDEX(绊状态确认!C:C,MATCH($G930,绊状态确认!$B:$B,)),"")</f>
        <v/>
      </c>
      <c r="I930" s="450" t="str">
        <f>IFERROR(INDEX(绊状态确认!D:D,MATCH($G930,绊状态确认!$B:$B,)),"")</f>
        <v/>
      </c>
      <c r="J930" s="450" t="str">
        <f>IFERROR(INDEX(绊状态确认!E:E,MATCH($G930,绊状态确认!$B:$B,)),"")</f>
        <v/>
      </c>
      <c r="K930" s="451" t="str">
        <f>IFERROR(INDEX(绊状态确认!F:F,MATCH($G930,绊状态确认!$B:$B,)),"")</f>
        <v/>
      </c>
      <c r="L930" s="1026"/>
      <c r="M930" s="1165"/>
      <c r="N930" s="1027"/>
      <c r="O930" s="1026"/>
      <c r="P930" s="1028"/>
      <c r="Q930" s="1029"/>
      <c r="R930" s="1166"/>
      <c r="S930" s="1030"/>
      <c r="T930" s="1031"/>
      <c r="U930" s="1032"/>
      <c r="V930" s="1033"/>
      <c r="W930" s="1034"/>
      <c r="X930" s="1166"/>
      <c r="Y930" s="1035"/>
      <c r="Z930" s="1036"/>
      <c r="AA930" s="1037"/>
      <c r="AB930" s="1038"/>
      <c r="AC930" s="1039"/>
      <c r="AD930" s="1040"/>
      <c r="AE930" s="1041"/>
      <c r="AF930" s="521"/>
      <c r="AG930" s="420"/>
      <c r="AH930" s="420"/>
      <c r="AI930" s="420"/>
      <c r="AJ930" s="420"/>
      <c r="AK930" s="518"/>
      <c r="AL930" s="1042"/>
      <c r="AM930" s="1035"/>
      <c r="AN930" s="1043"/>
      <c r="AO930" s="1167"/>
      <c r="AP930" s="1044"/>
      <c r="AQ930" s="1035"/>
      <c r="AR930" s="1035"/>
      <c r="AS930" s="1035"/>
      <c r="AT930" s="1165"/>
      <c r="AU930" s="1031"/>
      <c r="AV930" s="1045"/>
      <c r="AW930" s="1038"/>
      <c r="AX930" s="1035"/>
      <c r="AY930" s="483"/>
      <c r="AZ930" s="429"/>
      <c r="BA930" s="431"/>
      <c r="BB930" s="1035"/>
      <c r="BC930" s="1035"/>
      <c r="BD930" s="481"/>
      <c r="BE930" s="432"/>
      <c r="BF930" s="646"/>
      <c r="BG930" s="1047"/>
      <c r="BH930" s="1046"/>
      <c r="BI930" s="1048"/>
      <c r="BJ930" s="1030"/>
      <c r="BK930" s="1046"/>
      <c r="BL930" s="1048"/>
      <c r="BM930" s="1046"/>
      <c r="BN930" s="1167"/>
      <c r="BO930" s="1035"/>
      <c r="BP930" s="1043"/>
      <c r="BQ930" s="1167"/>
      <c r="BR930" s="1165"/>
      <c r="BS930" s="1031"/>
      <c r="BT930" s="1038"/>
      <c r="BU930" s="1035"/>
      <c r="BV930" s="1035"/>
      <c r="BW930" s="1049"/>
      <c r="BX930" s="1043"/>
      <c r="BY930" s="1046"/>
      <c r="BZ930" s="1167"/>
      <c r="CA930" s="1165"/>
      <c r="CB930" s="1031"/>
      <c r="CC930" s="1038"/>
      <c r="CD930" s="1035"/>
      <c r="CE930" s="1035"/>
      <c r="CF930" s="1049"/>
      <c r="CG930" s="1043"/>
      <c r="CH930" s="1046"/>
      <c r="CI930" s="1167"/>
      <c r="CJ930" s="1168"/>
      <c r="CK930" s="1169"/>
      <c r="CL930" s="1169"/>
      <c r="CM930" s="1166"/>
      <c r="CN930" s="1169"/>
      <c r="CO930" s="1169"/>
      <c r="CP930" s="452"/>
      <c r="CQ930" s="435"/>
      <c r="CR930" s="441"/>
      <c r="CS930" s="452"/>
      <c r="CT930" s="482"/>
      <c r="CU930" s="476"/>
      <c r="CV930" s="431"/>
      <c r="CW930" s="1108"/>
      <c r="CX930" s="1108"/>
      <c r="CY930" s="483"/>
      <c r="CZ930" s="437"/>
      <c r="DA930" s="438"/>
      <c r="DB930" s="439"/>
      <c r="DC930" s="439"/>
      <c r="DD930" s="443"/>
      <c r="DE930" s="411"/>
      <c r="DF930" s="411"/>
      <c r="DG930" s="1117"/>
      <c r="DH930" s="1117"/>
      <c r="DI930" s="1117"/>
      <c r="DJ930" s="442"/>
      <c r="DK930" s="482"/>
      <c r="DL930" s="1038"/>
      <c r="DM930" s="1035"/>
      <c r="DN930" s="1035"/>
      <c r="DO930" s="1035"/>
      <c r="DP930" s="1046"/>
      <c r="DQ930" s="1167"/>
      <c r="DR930" s="1168"/>
      <c r="DS930" s="1165"/>
      <c r="DT930" s="1165"/>
      <c r="DU930" s="1165"/>
      <c r="DV930" s="1031"/>
      <c r="DW930" s="1098">
        <f t="shared" si="1180"/>
        <v>0</v>
      </c>
      <c r="DX930" s="1098">
        <f t="shared" si="1181"/>
        <v>0</v>
      </c>
      <c r="DY930" s="1030"/>
      <c r="DZ930" s="1030"/>
      <c r="EA930" s="1031"/>
      <c r="EB930" s="1050"/>
      <c r="EC930" s="1038"/>
      <c r="ED930" s="1035"/>
      <c r="EE930" s="1046"/>
      <c r="EF930" s="1169"/>
      <c r="EG930" s="1168"/>
      <c r="EH930" s="1165"/>
      <c r="EI930" s="1165"/>
      <c r="EJ930" s="1165"/>
      <c r="EK930" s="1031"/>
      <c r="EL930" s="1098">
        <f t="shared" si="1182"/>
        <v>0</v>
      </c>
      <c r="EM930" s="1098">
        <f t="shared" si="1183"/>
        <v>0</v>
      </c>
      <c r="EN930" s="1030"/>
      <c r="EO930" s="1030"/>
      <c r="EP930" s="1031"/>
      <c r="EQ930" s="1050"/>
      <c r="ER930" s="1038"/>
      <c r="ES930" s="1035"/>
      <c r="ET930" s="1051"/>
    </row>
    <row r="931" spans="2:150" ht="16.5" customHeight="1">
      <c r="B931" s="1024"/>
      <c r="C931" s="1025"/>
      <c r="D931" s="408">
        <v>928</v>
      </c>
      <c r="E931" s="1164"/>
      <c r="F931" s="1164"/>
      <c r="G931" s="1026"/>
      <c r="H931" s="411" t="str">
        <f>IFERROR(INDEX(绊状态确认!C:C,MATCH($G931,绊状态确认!$B:$B,)),"")</f>
        <v/>
      </c>
      <c r="I931" s="450" t="str">
        <f>IFERROR(INDEX(绊状态确认!D:D,MATCH($G931,绊状态确认!$B:$B,)),"")</f>
        <v/>
      </c>
      <c r="J931" s="450" t="str">
        <f>IFERROR(INDEX(绊状态确认!E:E,MATCH($G931,绊状态确认!$B:$B,)),"")</f>
        <v/>
      </c>
      <c r="K931" s="451" t="str">
        <f>IFERROR(INDEX(绊状态确认!F:F,MATCH($G931,绊状态确认!$B:$B,)),"")</f>
        <v/>
      </c>
      <c r="L931" s="1026"/>
      <c r="M931" s="1165"/>
      <c r="N931" s="1027"/>
      <c r="O931" s="1026"/>
      <c r="P931" s="1028"/>
      <c r="Q931" s="1029"/>
      <c r="R931" s="1166"/>
      <c r="S931" s="1030"/>
      <c r="T931" s="1031"/>
      <c r="U931" s="1032"/>
      <c r="V931" s="1033"/>
      <c r="W931" s="1034"/>
      <c r="X931" s="1166"/>
      <c r="Y931" s="1035"/>
      <c r="Z931" s="1036"/>
      <c r="AA931" s="1037"/>
      <c r="AB931" s="1038"/>
      <c r="AC931" s="1039"/>
      <c r="AD931" s="1040"/>
      <c r="AE931" s="1041"/>
      <c r="AF931" s="521"/>
      <c r="AG931" s="420"/>
      <c r="AH931" s="420"/>
      <c r="AI931" s="420"/>
      <c r="AJ931" s="420"/>
      <c r="AK931" s="518"/>
      <c r="AL931" s="1042"/>
      <c r="AM931" s="1035"/>
      <c r="AN931" s="1043"/>
      <c r="AO931" s="1167"/>
      <c r="AP931" s="1044"/>
      <c r="AQ931" s="1035"/>
      <c r="AR931" s="1035"/>
      <c r="AS931" s="1035"/>
      <c r="AT931" s="1165"/>
      <c r="AU931" s="1031"/>
      <c r="AV931" s="1045"/>
      <c r="AW931" s="1038"/>
      <c r="AX931" s="1035"/>
      <c r="AY931" s="483"/>
      <c r="AZ931" s="429"/>
      <c r="BA931" s="431"/>
      <c r="BB931" s="1035"/>
      <c r="BC931" s="1035"/>
      <c r="BD931" s="481"/>
      <c r="BE931" s="432"/>
      <c r="BF931" s="646"/>
      <c r="BG931" s="1047"/>
      <c r="BH931" s="1046"/>
      <c r="BI931" s="1048"/>
      <c r="BJ931" s="1030"/>
      <c r="BK931" s="1046"/>
      <c r="BL931" s="1048"/>
      <c r="BM931" s="1046"/>
      <c r="BN931" s="1167"/>
      <c r="BO931" s="1035"/>
      <c r="BP931" s="1043"/>
      <c r="BQ931" s="1167"/>
      <c r="BR931" s="1165"/>
      <c r="BS931" s="1031"/>
      <c r="BT931" s="1038"/>
      <c r="BU931" s="1035"/>
      <c r="BV931" s="1035"/>
      <c r="BW931" s="1049"/>
      <c r="BX931" s="1043"/>
      <c r="BY931" s="1046"/>
      <c r="BZ931" s="1167"/>
      <c r="CA931" s="1165"/>
      <c r="CB931" s="1031"/>
      <c r="CC931" s="1038"/>
      <c r="CD931" s="1035"/>
      <c r="CE931" s="1035"/>
      <c r="CF931" s="1049"/>
      <c r="CG931" s="1043"/>
      <c r="CH931" s="1046"/>
      <c r="CI931" s="1167"/>
      <c r="CJ931" s="1168"/>
      <c r="CK931" s="1169"/>
      <c r="CL931" s="1169"/>
      <c r="CM931" s="1166"/>
      <c r="CN931" s="1169"/>
      <c r="CO931" s="1169"/>
      <c r="CP931" s="452"/>
      <c r="CQ931" s="435"/>
      <c r="CR931" s="441"/>
      <c r="CS931" s="452"/>
      <c r="CT931" s="482"/>
      <c r="CU931" s="476"/>
      <c r="CV931" s="431"/>
      <c r="CW931" s="1108"/>
      <c r="CX931" s="1108"/>
      <c r="CY931" s="483"/>
      <c r="CZ931" s="437"/>
      <c r="DA931" s="438"/>
      <c r="DB931" s="439"/>
      <c r="DC931" s="439"/>
      <c r="DD931" s="443"/>
      <c r="DE931" s="411"/>
      <c r="DF931" s="411"/>
      <c r="DG931" s="1117"/>
      <c r="DH931" s="1117"/>
      <c r="DI931" s="1117"/>
      <c r="DJ931" s="442"/>
      <c r="DK931" s="482"/>
      <c r="DL931" s="1038"/>
      <c r="DM931" s="1035"/>
      <c r="DN931" s="1035"/>
      <c r="DO931" s="1035"/>
      <c r="DP931" s="1046"/>
      <c r="DQ931" s="1167"/>
      <c r="DR931" s="1168"/>
      <c r="DS931" s="1165"/>
      <c r="DT931" s="1165"/>
      <c r="DU931" s="1165"/>
      <c r="DV931" s="1031"/>
      <c r="DW931" s="1098">
        <f t="shared" si="1180"/>
        <v>0</v>
      </c>
      <c r="DX931" s="1098">
        <f t="shared" si="1181"/>
        <v>0</v>
      </c>
      <c r="DY931" s="1030"/>
      <c r="DZ931" s="1030"/>
      <c r="EA931" s="1031"/>
      <c r="EB931" s="1050"/>
      <c r="EC931" s="1038"/>
      <c r="ED931" s="1035"/>
      <c r="EE931" s="1046"/>
      <c r="EF931" s="1169"/>
      <c r="EG931" s="1168"/>
      <c r="EH931" s="1165"/>
      <c r="EI931" s="1165"/>
      <c r="EJ931" s="1165"/>
      <c r="EK931" s="1031"/>
      <c r="EL931" s="1098">
        <f t="shared" si="1182"/>
        <v>0</v>
      </c>
      <c r="EM931" s="1098">
        <f t="shared" si="1183"/>
        <v>0</v>
      </c>
      <c r="EN931" s="1030"/>
      <c r="EO931" s="1030"/>
      <c r="EP931" s="1031"/>
      <c r="EQ931" s="1050"/>
      <c r="ER931" s="1038"/>
      <c r="ES931" s="1035"/>
      <c r="ET931" s="1051"/>
    </row>
    <row r="932" spans="2:150" ht="16.5" customHeight="1">
      <c r="B932" s="1024"/>
      <c r="C932" s="1025"/>
      <c r="D932" s="408">
        <v>929</v>
      </c>
      <c r="E932" s="1164"/>
      <c r="F932" s="1164"/>
      <c r="G932" s="1026"/>
      <c r="H932" s="411" t="str">
        <f>IFERROR(INDEX(绊状态确认!C:C,MATCH($G932,绊状态确认!$B:$B,)),"")</f>
        <v/>
      </c>
      <c r="I932" s="450" t="str">
        <f>IFERROR(INDEX(绊状态确认!D:D,MATCH($G932,绊状态确认!$B:$B,)),"")</f>
        <v/>
      </c>
      <c r="J932" s="450" t="str">
        <f>IFERROR(INDEX(绊状态确认!E:E,MATCH($G932,绊状态确认!$B:$B,)),"")</f>
        <v/>
      </c>
      <c r="K932" s="451" t="str">
        <f>IFERROR(INDEX(绊状态确认!F:F,MATCH($G932,绊状态确认!$B:$B,)),"")</f>
        <v/>
      </c>
      <c r="L932" s="1026"/>
      <c r="M932" s="1165"/>
      <c r="N932" s="1027"/>
      <c r="O932" s="1026"/>
      <c r="P932" s="1028"/>
      <c r="Q932" s="1029"/>
      <c r="R932" s="1166"/>
      <c r="S932" s="1030"/>
      <c r="T932" s="1031"/>
      <c r="U932" s="1032"/>
      <c r="V932" s="1033"/>
      <c r="W932" s="1034"/>
      <c r="X932" s="1166"/>
      <c r="Y932" s="1035"/>
      <c r="Z932" s="1036"/>
      <c r="AA932" s="1037"/>
      <c r="AB932" s="1038"/>
      <c r="AC932" s="1039"/>
      <c r="AD932" s="1040"/>
      <c r="AE932" s="1041"/>
      <c r="AF932" s="521"/>
      <c r="AG932" s="420"/>
      <c r="AH932" s="420"/>
      <c r="AI932" s="420"/>
      <c r="AJ932" s="420"/>
      <c r="AK932" s="518"/>
      <c r="AL932" s="1042"/>
      <c r="AM932" s="1035"/>
      <c r="AN932" s="1043"/>
      <c r="AO932" s="1167"/>
      <c r="AP932" s="1044"/>
      <c r="AQ932" s="1035"/>
      <c r="AR932" s="1035"/>
      <c r="AS932" s="1035"/>
      <c r="AT932" s="1165"/>
      <c r="AU932" s="1031"/>
      <c r="AV932" s="1045"/>
      <c r="AW932" s="1038"/>
      <c r="AX932" s="1035"/>
      <c r="AY932" s="483"/>
      <c r="AZ932" s="429"/>
      <c r="BA932" s="431"/>
      <c r="BB932" s="1035"/>
      <c r="BC932" s="1035"/>
      <c r="BD932" s="481"/>
      <c r="BE932" s="432"/>
      <c r="BF932" s="646"/>
      <c r="BG932" s="1047"/>
      <c r="BH932" s="1046"/>
      <c r="BI932" s="1048"/>
      <c r="BJ932" s="1030"/>
      <c r="BK932" s="1046"/>
      <c r="BL932" s="1048"/>
      <c r="BM932" s="1046"/>
      <c r="BN932" s="1167"/>
      <c r="BO932" s="1035"/>
      <c r="BP932" s="1043"/>
      <c r="BQ932" s="1167"/>
      <c r="BR932" s="1165"/>
      <c r="BS932" s="1031"/>
      <c r="BT932" s="1038"/>
      <c r="BU932" s="1035"/>
      <c r="BV932" s="1035"/>
      <c r="BW932" s="1049"/>
      <c r="BX932" s="1043"/>
      <c r="BY932" s="1046"/>
      <c r="BZ932" s="1167"/>
      <c r="CA932" s="1165"/>
      <c r="CB932" s="1031"/>
      <c r="CC932" s="1038"/>
      <c r="CD932" s="1035"/>
      <c r="CE932" s="1035"/>
      <c r="CF932" s="1049"/>
      <c r="CG932" s="1043"/>
      <c r="CH932" s="1046"/>
      <c r="CI932" s="1167"/>
      <c r="CJ932" s="1168"/>
      <c r="CK932" s="1169"/>
      <c r="CL932" s="1169"/>
      <c r="CM932" s="1166"/>
      <c r="CN932" s="1169"/>
      <c r="CO932" s="1169"/>
      <c r="CP932" s="452"/>
      <c r="CQ932" s="435"/>
      <c r="CR932" s="1117"/>
      <c r="CS932" s="452"/>
      <c r="CT932" s="482"/>
      <c r="CU932" s="476"/>
      <c r="CV932" s="431"/>
      <c r="CW932" s="1108"/>
      <c r="CX932" s="1108"/>
      <c r="CY932" s="483"/>
      <c r="CZ932" s="437"/>
      <c r="DA932" s="438"/>
      <c r="DB932" s="439"/>
      <c r="DC932" s="439"/>
      <c r="DD932" s="443"/>
      <c r="DE932" s="411"/>
      <c r="DF932" s="411"/>
      <c r="DG932" s="1117"/>
      <c r="DH932" s="1117"/>
      <c r="DI932" s="1117"/>
      <c r="DJ932" s="442"/>
      <c r="DK932" s="482"/>
      <c r="DL932" s="1038"/>
      <c r="DM932" s="1035"/>
      <c r="DN932" s="1035"/>
      <c r="DO932" s="1035"/>
      <c r="DP932" s="1046"/>
      <c r="DQ932" s="1167"/>
      <c r="DR932" s="1168"/>
      <c r="DS932" s="1165"/>
      <c r="DT932" s="1165"/>
      <c r="DU932" s="1165"/>
      <c r="DV932" s="1031"/>
      <c r="DW932" s="1098">
        <f t="shared" si="1180"/>
        <v>0</v>
      </c>
      <c r="DX932" s="1098">
        <f t="shared" si="1181"/>
        <v>0</v>
      </c>
      <c r="DY932" s="1030"/>
      <c r="DZ932" s="1030"/>
      <c r="EA932" s="1031"/>
      <c r="EB932" s="1050"/>
      <c r="EC932" s="1038"/>
      <c r="ED932" s="1035"/>
      <c r="EE932" s="1046"/>
      <c r="EF932" s="1169"/>
      <c r="EG932" s="1168"/>
      <c r="EH932" s="1165"/>
      <c r="EI932" s="1165"/>
      <c r="EJ932" s="1165"/>
      <c r="EK932" s="1031"/>
      <c r="EL932" s="1098">
        <f t="shared" si="1182"/>
        <v>0</v>
      </c>
      <c r="EM932" s="1098">
        <f t="shared" si="1183"/>
        <v>0</v>
      </c>
      <c r="EN932" s="1030"/>
      <c r="EO932" s="1030"/>
      <c r="EP932" s="1031"/>
      <c r="EQ932" s="1050"/>
      <c r="ER932" s="1038"/>
      <c r="ES932" s="1035"/>
      <c r="ET932" s="1051"/>
    </row>
    <row r="933" spans="2:150" ht="16.5" customHeight="1">
      <c r="B933" s="1024"/>
      <c r="C933" s="1025"/>
      <c r="D933" s="408">
        <v>930</v>
      </c>
      <c r="E933" s="1164"/>
      <c r="F933" s="1164"/>
      <c r="G933" s="1026"/>
      <c r="H933" s="411" t="str">
        <f>IFERROR(INDEX(绊状态确认!C:C,MATCH($G933,绊状态确认!$B:$B,)),"")</f>
        <v/>
      </c>
      <c r="I933" s="450" t="str">
        <f>IFERROR(INDEX(绊状态确认!D:D,MATCH($G933,绊状态确认!$B:$B,)),"")</f>
        <v/>
      </c>
      <c r="J933" s="450" t="str">
        <f>IFERROR(INDEX(绊状态确认!E:E,MATCH($G933,绊状态确认!$B:$B,)),"")</f>
        <v/>
      </c>
      <c r="K933" s="451" t="str">
        <f>IFERROR(INDEX(绊状态确认!F:F,MATCH($G933,绊状态确认!$B:$B,)),"")</f>
        <v/>
      </c>
      <c r="L933" s="1026"/>
      <c r="M933" s="1165"/>
      <c r="N933" s="1027"/>
      <c r="O933" s="1026"/>
      <c r="P933" s="1028"/>
      <c r="Q933" s="1029"/>
      <c r="R933" s="1166"/>
      <c r="S933" s="1030"/>
      <c r="T933" s="1031"/>
      <c r="U933" s="1032"/>
      <c r="V933" s="1033"/>
      <c r="W933" s="1034"/>
      <c r="X933" s="1166"/>
      <c r="Y933" s="1035"/>
      <c r="Z933" s="1036"/>
      <c r="AA933" s="1037"/>
      <c r="AB933" s="1038"/>
      <c r="AC933" s="1039"/>
      <c r="AD933" s="1040"/>
      <c r="AE933" s="1041"/>
      <c r="AF933" s="521"/>
      <c r="AG933" s="420"/>
      <c r="AH933" s="420"/>
      <c r="AI933" s="420"/>
      <c r="AJ933" s="420"/>
      <c r="AK933" s="518"/>
      <c r="AL933" s="1042"/>
      <c r="AM933" s="1035"/>
      <c r="AN933" s="1043"/>
      <c r="AO933" s="1167"/>
      <c r="AP933" s="1044"/>
      <c r="AQ933" s="1035"/>
      <c r="AR933" s="1035"/>
      <c r="AS933" s="1035"/>
      <c r="AT933" s="1165"/>
      <c r="AU933" s="1031"/>
      <c r="AV933" s="1045"/>
      <c r="AW933" s="1038"/>
      <c r="AX933" s="1035"/>
      <c r="AY933" s="483"/>
      <c r="AZ933" s="429"/>
      <c r="BA933" s="431"/>
      <c r="BB933" s="1035"/>
      <c r="BC933" s="1035"/>
      <c r="BD933" s="481"/>
      <c r="BE933" s="432"/>
      <c r="BF933" s="646"/>
      <c r="BG933" s="1047"/>
      <c r="BH933" s="1046"/>
      <c r="BI933" s="1048"/>
      <c r="BJ933" s="1030"/>
      <c r="BK933" s="1046"/>
      <c r="BL933" s="1048"/>
      <c r="BM933" s="1046"/>
      <c r="BN933" s="1167"/>
      <c r="BO933" s="1035"/>
      <c r="BP933" s="1043"/>
      <c r="BQ933" s="1167"/>
      <c r="BR933" s="1165"/>
      <c r="BS933" s="1031"/>
      <c r="BT933" s="1038"/>
      <c r="BU933" s="1035"/>
      <c r="BV933" s="1035"/>
      <c r="BW933" s="1049"/>
      <c r="BX933" s="1043"/>
      <c r="BY933" s="1046"/>
      <c r="BZ933" s="1167"/>
      <c r="CA933" s="1165"/>
      <c r="CB933" s="1031"/>
      <c r="CC933" s="1038"/>
      <c r="CD933" s="1035"/>
      <c r="CE933" s="1035"/>
      <c r="CF933" s="1049"/>
      <c r="CG933" s="1043"/>
      <c r="CH933" s="1046"/>
      <c r="CI933" s="1167"/>
      <c r="CJ933" s="1168"/>
      <c r="CK933" s="1169"/>
      <c r="CL933" s="1169"/>
      <c r="CM933" s="1166"/>
      <c r="CN933" s="1169"/>
      <c r="CO933" s="1169"/>
      <c r="CP933" s="452"/>
      <c r="CQ933" s="435"/>
      <c r="CR933" s="1117"/>
      <c r="CS933" s="452"/>
      <c r="CT933" s="482"/>
      <c r="CU933" s="476"/>
      <c r="CV933" s="431"/>
      <c r="CW933" s="1108"/>
      <c r="CX933" s="1108"/>
      <c r="CY933" s="483"/>
      <c r="CZ933" s="437"/>
      <c r="DA933" s="438"/>
      <c r="DB933" s="439"/>
      <c r="DC933" s="439"/>
      <c r="DD933" s="443"/>
      <c r="DE933" s="411"/>
      <c r="DF933" s="411"/>
      <c r="DG933" s="1117"/>
      <c r="DH933" s="1117"/>
      <c r="DI933" s="1117"/>
      <c r="DJ933" s="442"/>
      <c r="DK933" s="482"/>
      <c r="DL933" s="1038"/>
      <c r="DM933" s="1035"/>
      <c r="DN933" s="1035"/>
      <c r="DO933" s="1035"/>
      <c r="DP933" s="1046"/>
      <c r="DQ933" s="1167"/>
      <c r="DR933" s="1168"/>
      <c r="DS933" s="1165"/>
      <c r="DT933" s="1165"/>
      <c r="DU933" s="1165"/>
      <c r="DV933" s="1031"/>
      <c r="DW933" s="1098">
        <f t="shared" si="1180"/>
        <v>0</v>
      </c>
      <c r="DX933" s="1098">
        <f t="shared" si="1181"/>
        <v>0</v>
      </c>
      <c r="DY933" s="1030"/>
      <c r="DZ933" s="1030"/>
      <c r="EA933" s="1031"/>
      <c r="EB933" s="1050"/>
      <c r="EC933" s="1038"/>
      <c r="ED933" s="1035"/>
      <c r="EE933" s="1046"/>
      <c r="EF933" s="1169"/>
      <c r="EG933" s="1168"/>
      <c r="EH933" s="1165"/>
      <c r="EI933" s="1165"/>
      <c r="EJ933" s="1165"/>
      <c r="EK933" s="1031"/>
      <c r="EL933" s="1098">
        <f t="shared" si="1182"/>
        <v>0</v>
      </c>
      <c r="EM933" s="1098">
        <f t="shared" si="1183"/>
        <v>0</v>
      </c>
      <c r="EN933" s="1030"/>
      <c r="EO933" s="1030"/>
      <c r="EP933" s="1031"/>
      <c r="EQ933" s="1050"/>
      <c r="ER933" s="1038"/>
      <c r="ES933" s="1035"/>
      <c r="ET933" s="1051"/>
    </row>
    <row r="934" spans="2:150" ht="16.5" customHeight="1">
      <c r="B934" s="1024"/>
      <c r="C934" s="1025"/>
      <c r="D934" s="408">
        <v>931</v>
      </c>
      <c r="E934" s="1164"/>
      <c r="F934" s="1164"/>
      <c r="G934" s="1026"/>
      <c r="H934" s="411" t="str">
        <f>IFERROR(INDEX(绊状态确认!C:C,MATCH($G934,绊状态确认!$B:$B,)),"")</f>
        <v/>
      </c>
      <c r="I934" s="450" t="str">
        <f>IFERROR(INDEX(绊状态确认!D:D,MATCH($G934,绊状态确认!$B:$B,)),"")</f>
        <v/>
      </c>
      <c r="J934" s="450" t="str">
        <f>IFERROR(INDEX(绊状态确认!E:E,MATCH($G934,绊状态确认!$B:$B,)),"")</f>
        <v/>
      </c>
      <c r="K934" s="451" t="str">
        <f>IFERROR(INDEX(绊状态确认!F:F,MATCH($G934,绊状态确认!$B:$B,)),"")</f>
        <v/>
      </c>
      <c r="L934" s="1026"/>
      <c r="M934" s="1165"/>
      <c r="N934" s="1027"/>
      <c r="O934" s="1026"/>
      <c r="P934" s="1028"/>
      <c r="Q934" s="1029"/>
      <c r="R934" s="1166"/>
      <c r="S934" s="1030"/>
      <c r="T934" s="1031"/>
      <c r="U934" s="1032"/>
      <c r="V934" s="1033"/>
      <c r="W934" s="1034"/>
      <c r="X934" s="1166"/>
      <c r="Y934" s="1035"/>
      <c r="Z934" s="1036"/>
      <c r="AA934" s="1037"/>
      <c r="AB934" s="1038"/>
      <c r="AC934" s="1039"/>
      <c r="AD934" s="1040"/>
      <c r="AE934" s="1041"/>
      <c r="AF934" s="521"/>
      <c r="AG934" s="420"/>
      <c r="AH934" s="420"/>
      <c r="AI934" s="420"/>
      <c r="AJ934" s="420"/>
      <c r="AK934" s="518"/>
      <c r="AL934" s="1042"/>
      <c r="AM934" s="1035"/>
      <c r="AN934" s="1043"/>
      <c r="AO934" s="1167"/>
      <c r="AP934" s="1044"/>
      <c r="AQ934" s="1035"/>
      <c r="AR934" s="1035"/>
      <c r="AS934" s="1035"/>
      <c r="AT934" s="1165"/>
      <c r="AU934" s="1031"/>
      <c r="AV934" s="1045"/>
      <c r="AW934" s="1038"/>
      <c r="AX934" s="1035"/>
      <c r="AY934" s="483"/>
      <c r="AZ934" s="429"/>
      <c r="BA934" s="431"/>
      <c r="BB934" s="1035"/>
      <c r="BC934" s="1035"/>
      <c r="BD934" s="481"/>
      <c r="BE934" s="432"/>
      <c r="BF934" s="646"/>
      <c r="BG934" s="1047"/>
      <c r="BH934" s="1046"/>
      <c r="BI934" s="1048"/>
      <c r="BJ934" s="1030"/>
      <c r="BK934" s="1046"/>
      <c r="BL934" s="1048"/>
      <c r="BM934" s="1046"/>
      <c r="BN934" s="1167"/>
      <c r="BO934" s="1035"/>
      <c r="BP934" s="1043"/>
      <c r="BQ934" s="1167"/>
      <c r="BR934" s="1165"/>
      <c r="BS934" s="1031"/>
      <c r="BT934" s="1038"/>
      <c r="BU934" s="1035"/>
      <c r="BV934" s="1035"/>
      <c r="BW934" s="1049"/>
      <c r="BX934" s="1043"/>
      <c r="BY934" s="1046"/>
      <c r="BZ934" s="1167"/>
      <c r="CA934" s="1165"/>
      <c r="CB934" s="1031"/>
      <c r="CC934" s="1038"/>
      <c r="CD934" s="1035"/>
      <c r="CE934" s="1035"/>
      <c r="CF934" s="1049"/>
      <c r="CG934" s="1043"/>
      <c r="CH934" s="1046"/>
      <c r="CI934" s="1167"/>
      <c r="CJ934" s="1168"/>
      <c r="CK934" s="1169"/>
      <c r="CL934" s="1169"/>
      <c r="CM934" s="1166"/>
      <c r="CN934" s="1169"/>
      <c r="CO934" s="1169"/>
      <c r="CP934" s="452"/>
      <c r="CQ934" s="435"/>
      <c r="CR934" s="441"/>
      <c r="CS934" s="452"/>
      <c r="CT934" s="482"/>
      <c r="CU934" s="476"/>
      <c r="CV934" s="431"/>
      <c r="CW934" s="1108"/>
      <c r="CX934" s="1108"/>
      <c r="CY934" s="483"/>
      <c r="CZ934" s="437"/>
      <c r="DA934" s="438"/>
      <c r="DB934" s="439"/>
      <c r="DC934" s="439"/>
      <c r="DD934" s="443"/>
      <c r="DE934" s="411"/>
      <c r="DF934" s="411"/>
      <c r="DG934" s="1117"/>
      <c r="DH934" s="1117"/>
      <c r="DI934" s="1117"/>
      <c r="DJ934" s="442"/>
      <c r="DK934" s="482"/>
      <c r="DL934" s="1038"/>
      <c r="DM934" s="1035"/>
      <c r="DN934" s="1035"/>
      <c r="DO934" s="1035"/>
      <c r="DP934" s="1046"/>
      <c r="DQ934" s="1167"/>
      <c r="DR934" s="1168"/>
      <c r="DS934" s="1165"/>
      <c r="DT934" s="1165"/>
      <c r="DU934" s="1165"/>
      <c r="DV934" s="1031"/>
      <c r="DW934" s="1098">
        <f t="shared" si="1180"/>
        <v>0</v>
      </c>
      <c r="DX934" s="1098">
        <f t="shared" si="1181"/>
        <v>0</v>
      </c>
      <c r="DY934" s="1030"/>
      <c r="DZ934" s="1030"/>
      <c r="EA934" s="1031"/>
      <c r="EB934" s="1050"/>
      <c r="EC934" s="1038"/>
      <c r="ED934" s="1035"/>
      <c r="EE934" s="1046"/>
      <c r="EF934" s="1169"/>
      <c r="EG934" s="1168"/>
      <c r="EH934" s="1165"/>
      <c r="EI934" s="1165"/>
      <c r="EJ934" s="1165"/>
      <c r="EK934" s="1031"/>
      <c r="EL934" s="1098">
        <f t="shared" si="1182"/>
        <v>0</v>
      </c>
      <c r="EM934" s="1098">
        <f t="shared" si="1183"/>
        <v>0</v>
      </c>
      <c r="EN934" s="1030"/>
      <c r="EO934" s="1030"/>
      <c r="EP934" s="1031"/>
      <c r="EQ934" s="1050"/>
      <c r="ER934" s="1038"/>
      <c r="ES934" s="1035"/>
      <c r="ET934" s="1051"/>
    </row>
    <row r="935" spans="2:150" ht="16.5" customHeight="1">
      <c r="B935" s="1024"/>
      <c r="C935" s="1025"/>
      <c r="D935" s="408">
        <v>932</v>
      </c>
      <c r="E935" s="1164"/>
      <c r="F935" s="1164"/>
      <c r="G935" s="1026"/>
      <c r="H935" s="411" t="str">
        <f>IFERROR(INDEX(绊状态确认!C:C,MATCH($G935,绊状态确认!$B:$B,)),"")</f>
        <v/>
      </c>
      <c r="I935" s="450" t="str">
        <f>IFERROR(INDEX(绊状态确认!D:D,MATCH($G935,绊状态确认!$B:$B,)),"")</f>
        <v/>
      </c>
      <c r="J935" s="450" t="str">
        <f>IFERROR(INDEX(绊状态确认!E:E,MATCH($G935,绊状态确认!$B:$B,)),"")</f>
        <v/>
      </c>
      <c r="K935" s="451" t="str">
        <f>IFERROR(INDEX(绊状态确认!F:F,MATCH($G935,绊状态确认!$B:$B,)),"")</f>
        <v/>
      </c>
      <c r="L935" s="1026"/>
      <c r="M935" s="1165"/>
      <c r="N935" s="1027"/>
      <c r="O935" s="1026"/>
      <c r="P935" s="1028"/>
      <c r="Q935" s="1029"/>
      <c r="R935" s="1166"/>
      <c r="S935" s="1030"/>
      <c r="T935" s="1031"/>
      <c r="U935" s="1032"/>
      <c r="V935" s="1033"/>
      <c r="W935" s="1034"/>
      <c r="X935" s="1166"/>
      <c r="Y935" s="1035"/>
      <c r="Z935" s="1036"/>
      <c r="AA935" s="1037"/>
      <c r="AB935" s="1038"/>
      <c r="AC935" s="1039"/>
      <c r="AD935" s="1040"/>
      <c r="AE935" s="1041"/>
      <c r="AF935" s="521"/>
      <c r="AG935" s="420"/>
      <c r="AH935" s="420"/>
      <c r="AI935" s="420"/>
      <c r="AJ935" s="420"/>
      <c r="AK935" s="518"/>
      <c r="AL935" s="1042"/>
      <c r="AM935" s="1035"/>
      <c r="AN935" s="1043"/>
      <c r="AO935" s="1167"/>
      <c r="AP935" s="1044"/>
      <c r="AQ935" s="1035"/>
      <c r="AR935" s="1035"/>
      <c r="AS935" s="1035"/>
      <c r="AT935" s="1165"/>
      <c r="AU935" s="1031"/>
      <c r="AV935" s="1045"/>
      <c r="AW935" s="1038"/>
      <c r="AX935" s="1035"/>
      <c r="AY935" s="483"/>
      <c r="AZ935" s="429"/>
      <c r="BA935" s="431"/>
      <c r="BB935" s="1035"/>
      <c r="BC935" s="1035"/>
      <c r="BD935" s="481"/>
      <c r="BE935" s="432"/>
      <c r="BF935" s="646"/>
      <c r="BG935" s="1047"/>
      <c r="BH935" s="1046"/>
      <c r="BI935" s="1048"/>
      <c r="BJ935" s="1030"/>
      <c r="BK935" s="1046"/>
      <c r="BL935" s="1048"/>
      <c r="BM935" s="1046"/>
      <c r="BN935" s="1167"/>
      <c r="BO935" s="1035"/>
      <c r="BP935" s="1043"/>
      <c r="BQ935" s="1167"/>
      <c r="BR935" s="1165"/>
      <c r="BS935" s="1031"/>
      <c r="BT935" s="1038"/>
      <c r="BU935" s="1035"/>
      <c r="BV935" s="1035"/>
      <c r="BW935" s="1049"/>
      <c r="BX935" s="1043"/>
      <c r="BY935" s="1046"/>
      <c r="BZ935" s="1167"/>
      <c r="CA935" s="1165"/>
      <c r="CB935" s="1031"/>
      <c r="CC935" s="1038"/>
      <c r="CD935" s="1035"/>
      <c r="CE935" s="1035"/>
      <c r="CF935" s="1049"/>
      <c r="CG935" s="1043"/>
      <c r="CH935" s="1046"/>
      <c r="CI935" s="1167"/>
      <c r="CJ935" s="1168"/>
      <c r="CK935" s="1169"/>
      <c r="CL935" s="1169"/>
      <c r="CM935" s="1166"/>
      <c r="CN935" s="1169"/>
      <c r="CO935" s="1169"/>
      <c r="CP935" s="452"/>
      <c r="CQ935" s="435"/>
      <c r="CR935" s="441"/>
      <c r="CS935" s="452"/>
      <c r="CT935" s="482"/>
      <c r="CU935" s="476"/>
      <c r="CV935" s="431"/>
      <c r="CW935" s="1108"/>
      <c r="CX935" s="1108"/>
      <c r="CY935" s="483"/>
      <c r="CZ935" s="437"/>
      <c r="DA935" s="438"/>
      <c r="DB935" s="439"/>
      <c r="DC935" s="439"/>
      <c r="DD935" s="443"/>
      <c r="DE935" s="411"/>
      <c r="DF935" s="411"/>
      <c r="DG935" s="1117"/>
      <c r="DH935" s="1117"/>
      <c r="DI935" s="1117"/>
      <c r="DJ935" s="442"/>
      <c r="DK935" s="482"/>
      <c r="DL935" s="1038"/>
      <c r="DM935" s="1035"/>
      <c r="DN935" s="1035"/>
      <c r="DO935" s="1035"/>
      <c r="DP935" s="1046"/>
      <c r="DQ935" s="1167"/>
      <c r="DR935" s="1168"/>
      <c r="DS935" s="1165"/>
      <c r="DT935" s="1165"/>
      <c r="DU935" s="1165"/>
      <c r="DV935" s="1031"/>
      <c r="DW935" s="1098">
        <f t="shared" si="1180"/>
        <v>0</v>
      </c>
      <c r="DX935" s="1098">
        <f t="shared" si="1181"/>
        <v>0</v>
      </c>
      <c r="DY935" s="1030"/>
      <c r="DZ935" s="1030"/>
      <c r="EA935" s="1031"/>
      <c r="EB935" s="1050"/>
      <c r="EC935" s="1038"/>
      <c r="ED935" s="1035"/>
      <c r="EE935" s="1046"/>
      <c r="EF935" s="1169"/>
      <c r="EG935" s="1168"/>
      <c r="EH935" s="1165"/>
      <c r="EI935" s="1165"/>
      <c r="EJ935" s="1165"/>
      <c r="EK935" s="1031"/>
      <c r="EL935" s="1098">
        <f t="shared" si="1182"/>
        <v>0</v>
      </c>
      <c r="EM935" s="1098">
        <f t="shared" si="1183"/>
        <v>0</v>
      </c>
      <c r="EN935" s="1030"/>
      <c r="EO935" s="1030"/>
      <c r="EP935" s="1031"/>
      <c r="EQ935" s="1050"/>
      <c r="ER935" s="1038"/>
      <c r="ES935" s="1035"/>
      <c r="ET935" s="1051"/>
    </row>
    <row r="936" spans="2:150" ht="16.5" customHeight="1">
      <c r="B936" s="1024"/>
      <c r="C936" s="1025"/>
      <c r="D936" s="408">
        <v>933</v>
      </c>
      <c r="E936" s="1164"/>
      <c r="F936" s="1164"/>
      <c r="G936" s="1026"/>
      <c r="H936" s="411" t="str">
        <f>IFERROR(INDEX(绊状态确认!C:C,MATCH($G936,绊状态确认!$B:$B,)),"")</f>
        <v/>
      </c>
      <c r="I936" s="450" t="str">
        <f>IFERROR(INDEX(绊状态确认!D:D,MATCH($G936,绊状态确认!$B:$B,)),"")</f>
        <v/>
      </c>
      <c r="J936" s="450" t="str">
        <f>IFERROR(INDEX(绊状态确认!E:E,MATCH($G936,绊状态确认!$B:$B,)),"")</f>
        <v/>
      </c>
      <c r="K936" s="451" t="str">
        <f>IFERROR(INDEX(绊状态确认!F:F,MATCH($G936,绊状态确认!$B:$B,)),"")</f>
        <v/>
      </c>
      <c r="L936" s="1026"/>
      <c r="M936" s="1165"/>
      <c r="N936" s="1027"/>
      <c r="O936" s="1026"/>
      <c r="P936" s="1028"/>
      <c r="Q936" s="1029"/>
      <c r="R936" s="1166"/>
      <c r="S936" s="1030"/>
      <c r="T936" s="1031"/>
      <c r="U936" s="1032"/>
      <c r="V936" s="1033"/>
      <c r="W936" s="1034"/>
      <c r="X936" s="1166"/>
      <c r="Y936" s="1035"/>
      <c r="Z936" s="1036"/>
      <c r="AA936" s="1037"/>
      <c r="AB936" s="1038"/>
      <c r="AC936" s="1039"/>
      <c r="AD936" s="1040"/>
      <c r="AE936" s="1041"/>
      <c r="AF936" s="521"/>
      <c r="AG936" s="420"/>
      <c r="AH936" s="420"/>
      <c r="AI936" s="420"/>
      <c r="AJ936" s="420"/>
      <c r="AK936" s="518"/>
      <c r="AL936" s="1042"/>
      <c r="AM936" s="1035"/>
      <c r="AN936" s="1043"/>
      <c r="AO936" s="1167"/>
      <c r="AP936" s="1044"/>
      <c r="AQ936" s="1035"/>
      <c r="AR936" s="1035"/>
      <c r="AS936" s="1035"/>
      <c r="AT936" s="1165"/>
      <c r="AU936" s="1031"/>
      <c r="AV936" s="1045"/>
      <c r="AW936" s="1038"/>
      <c r="AX936" s="1035"/>
      <c r="AY936" s="483"/>
      <c r="AZ936" s="429"/>
      <c r="BA936" s="431"/>
      <c r="BB936" s="1035"/>
      <c r="BC936" s="1035"/>
      <c r="BD936" s="481"/>
      <c r="BE936" s="432"/>
      <c r="BF936" s="646"/>
      <c r="BG936" s="1047"/>
      <c r="BH936" s="1046"/>
      <c r="BI936" s="1048"/>
      <c r="BJ936" s="1030"/>
      <c r="BK936" s="1046"/>
      <c r="BL936" s="1048"/>
      <c r="BM936" s="1046"/>
      <c r="BN936" s="1167"/>
      <c r="BO936" s="1035"/>
      <c r="BP936" s="1043"/>
      <c r="BQ936" s="1167"/>
      <c r="BR936" s="1165"/>
      <c r="BS936" s="1031"/>
      <c r="BT936" s="1038"/>
      <c r="BU936" s="1035"/>
      <c r="BV936" s="1035"/>
      <c r="BW936" s="1049"/>
      <c r="BX936" s="1043"/>
      <c r="BY936" s="1046"/>
      <c r="BZ936" s="1167"/>
      <c r="CA936" s="1165"/>
      <c r="CB936" s="1031"/>
      <c r="CC936" s="1038"/>
      <c r="CD936" s="1035"/>
      <c r="CE936" s="1035"/>
      <c r="CF936" s="1049"/>
      <c r="CG936" s="1043"/>
      <c r="CH936" s="1046"/>
      <c r="CI936" s="1167"/>
      <c r="CJ936" s="1168"/>
      <c r="CK936" s="1169"/>
      <c r="CL936" s="1169"/>
      <c r="CM936" s="1166"/>
      <c r="CN936" s="1169"/>
      <c r="CO936" s="1169"/>
      <c r="CP936" s="452"/>
      <c r="CQ936" s="435"/>
      <c r="CR936" s="1117"/>
      <c r="CS936" s="452"/>
      <c r="CT936" s="482"/>
      <c r="CU936" s="476"/>
      <c r="CV936" s="431"/>
      <c r="CW936" s="1108"/>
      <c r="CX936" s="1108"/>
      <c r="CY936" s="483"/>
      <c r="CZ936" s="437"/>
      <c r="DA936" s="438"/>
      <c r="DB936" s="439"/>
      <c r="DC936" s="439"/>
      <c r="DD936" s="443"/>
      <c r="DE936" s="411"/>
      <c r="DF936" s="411"/>
      <c r="DG936" s="1117"/>
      <c r="DH936" s="1117"/>
      <c r="DI936" s="1117"/>
      <c r="DJ936" s="442"/>
      <c r="DK936" s="482"/>
      <c r="DL936" s="1038"/>
      <c r="DM936" s="1035"/>
      <c r="DN936" s="1035"/>
      <c r="DO936" s="1035"/>
      <c r="DP936" s="1046"/>
      <c r="DQ936" s="1167"/>
      <c r="DR936" s="1168"/>
      <c r="DS936" s="1165"/>
      <c r="DT936" s="1165"/>
      <c r="DU936" s="1165"/>
      <c r="DV936" s="1031"/>
      <c r="DW936" s="1098">
        <f t="shared" si="1180"/>
        <v>0</v>
      </c>
      <c r="DX936" s="1098">
        <f t="shared" si="1181"/>
        <v>0</v>
      </c>
      <c r="DY936" s="1030"/>
      <c r="DZ936" s="1030"/>
      <c r="EA936" s="1031"/>
      <c r="EB936" s="1050"/>
      <c r="EC936" s="1038"/>
      <c r="ED936" s="1035"/>
      <c r="EE936" s="1046"/>
      <c r="EF936" s="1169"/>
      <c r="EG936" s="1168"/>
      <c r="EH936" s="1165"/>
      <c r="EI936" s="1165"/>
      <c r="EJ936" s="1165"/>
      <c r="EK936" s="1031"/>
      <c r="EL936" s="1098">
        <f t="shared" si="1182"/>
        <v>0</v>
      </c>
      <c r="EM936" s="1098">
        <f t="shared" si="1183"/>
        <v>0</v>
      </c>
      <c r="EN936" s="1030"/>
      <c r="EO936" s="1030"/>
      <c r="EP936" s="1031"/>
      <c r="EQ936" s="1050"/>
      <c r="ER936" s="1038"/>
      <c r="ES936" s="1035"/>
      <c r="ET936" s="1051"/>
    </row>
    <row r="937" spans="2:150" ht="16.5" customHeight="1">
      <c r="B937" s="1024"/>
      <c r="C937" s="1025"/>
      <c r="D937" s="408">
        <v>934</v>
      </c>
      <c r="E937" s="1164"/>
      <c r="F937" s="1164"/>
      <c r="G937" s="1026"/>
      <c r="H937" s="411" t="str">
        <f>IFERROR(INDEX(绊状态确认!C:C,MATCH($G937,绊状态确认!$B:$B,)),"")</f>
        <v/>
      </c>
      <c r="I937" s="450" t="str">
        <f>IFERROR(INDEX(绊状态确认!D:D,MATCH($G937,绊状态确认!$B:$B,)),"")</f>
        <v/>
      </c>
      <c r="J937" s="450" t="str">
        <f>IFERROR(INDEX(绊状态确认!E:E,MATCH($G937,绊状态确认!$B:$B,)),"")</f>
        <v/>
      </c>
      <c r="K937" s="451" t="str">
        <f>IFERROR(INDEX(绊状态确认!F:F,MATCH($G937,绊状态确认!$B:$B,)),"")</f>
        <v/>
      </c>
      <c r="L937" s="1026"/>
      <c r="M937" s="1165"/>
      <c r="N937" s="1027"/>
      <c r="O937" s="1026"/>
      <c r="P937" s="1028"/>
      <c r="Q937" s="1029"/>
      <c r="R937" s="1166"/>
      <c r="S937" s="1030"/>
      <c r="T937" s="1031"/>
      <c r="U937" s="1032"/>
      <c r="V937" s="1033"/>
      <c r="W937" s="1034"/>
      <c r="X937" s="1166"/>
      <c r="Y937" s="1035"/>
      <c r="Z937" s="1036"/>
      <c r="AA937" s="1037"/>
      <c r="AB937" s="1038"/>
      <c r="AC937" s="1039"/>
      <c r="AD937" s="1040"/>
      <c r="AE937" s="1041"/>
      <c r="AF937" s="521"/>
      <c r="AG937" s="420"/>
      <c r="AH937" s="420"/>
      <c r="AI937" s="420"/>
      <c r="AJ937" s="420"/>
      <c r="AK937" s="518"/>
      <c r="AL937" s="1042"/>
      <c r="AM937" s="1035"/>
      <c r="AN937" s="1043"/>
      <c r="AO937" s="1167"/>
      <c r="AP937" s="1044"/>
      <c r="AQ937" s="1035"/>
      <c r="AR937" s="1035"/>
      <c r="AS937" s="1035"/>
      <c r="AT937" s="1165"/>
      <c r="AU937" s="1031"/>
      <c r="AV937" s="1045"/>
      <c r="AW937" s="1038"/>
      <c r="AX937" s="1035"/>
      <c r="AY937" s="483"/>
      <c r="AZ937" s="429"/>
      <c r="BA937" s="431"/>
      <c r="BB937" s="1035"/>
      <c r="BC937" s="1035"/>
      <c r="BD937" s="481"/>
      <c r="BE937" s="432"/>
      <c r="BF937" s="646"/>
      <c r="BG937" s="1047"/>
      <c r="BH937" s="1046"/>
      <c r="BI937" s="1048"/>
      <c r="BJ937" s="1030"/>
      <c r="BK937" s="1046"/>
      <c r="BL937" s="1048"/>
      <c r="BM937" s="1046"/>
      <c r="BN937" s="1167"/>
      <c r="BO937" s="1035"/>
      <c r="BP937" s="1043"/>
      <c r="BQ937" s="1167"/>
      <c r="BR937" s="1165"/>
      <c r="BS937" s="1031"/>
      <c r="BT937" s="1038"/>
      <c r="BU937" s="1035"/>
      <c r="BV937" s="1035"/>
      <c r="BW937" s="1049"/>
      <c r="BX937" s="1043"/>
      <c r="BY937" s="1046"/>
      <c r="BZ937" s="1167"/>
      <c r="CA937" s="1165"/>
      <c r="CB937" s="1031"/>
      <c r="CC937" s="1038"/>
      <c r="CD937" s="1035"/>
      <c r="CE937" s="1035"/>
      <c r="CF937" s="1049"/>
      <c r="CG937" s="1043"/>
      <c r="CH937" s="1046"/>
      <c r="CI937" s="1167"/>
      <c r="CJ937" s="1168"/>
      <c r="CK937" s="1169"/>
      <c r="CL937" s="1169"/>
      <c r="CM937" s="1166"/>
      <c r="CN937" s="1169"/>
      <c r="CO937" s="1169"/>
      <c r="CP937" s="452"/>
      <c r="CQ937" s="435"/>
      <c r="CR937" s="1117"/>
      <c r="CS937" s="452"/>
      <c r="CT937" s="482"/>
      <c r="CU937" s="476"/>
      <c r="CV937" s="431"/>
      <c r="CW937" s="1108"/>
      <c r="CX937" s="1108"/>
      <c r="CY937" s="483"/>
      <c r="CZ937" s="437"/>
      <c r="DA937" s="438"/>
      <c r="DB937" s="439"/>
      <c r="DC937" s="439"/>
      <c r="DD937" s="443"/>
      <c r="DE937" s="411"/>
      <c r="DF937" s="411"/>
      <c r="DG937" s="1117"/>
      <c r="DH937" s="1117"/>
      <c r="DI937" s="1117"/>
      <c r="DJ937" s="442"/>
      <c r="DK937" s="482"/>
      <c r="DL937" s="1038"/>
      <c r="DM937" s="1035"/>
      <c r="DN937" s="1035"/>
      <c r="DO937" s="1035"/>
      <c r="DP937" s="1046"/>
      <c r="DQ937" s="1167"/>
      <c r="DR937" s="1168"/>
      <c r="DS937" s="1165"/>
      <c r="DT937" s="1165"/>
      <c r="DU937" s="1165"/>
      <c r="DV937" s="1031"/>
      <c r="DW937" s="1098">
        <f t="shared" si="1180"/>
        <v>0</v>
      </c>
      <c r="DX937" s="1098">
        <f t="shared" si="1181"/>
        <v>0</v>
      </c>
      <c r="DY937" s="1030"/>
      <c r="DZ937" s="1030"/>
      <c r="EA937" s="1031"/>
      <c r="EB937" s="1050"/>
      <c r="EC937" s="1038"/>
      <c r="ED937" s="1035"/>
      <c r="EE937" s="1046"/>
      <c r="EF937" s="1169"/>
      <c r="EG937" s="1168"/>
      <c r="EH937" s="1165"/>
      <c r="EI937" s="1165"/>
      <c r="EJ937" s="1165"/>
      <c r="EK937" s="1031"/>
      <c r="EL937" s="1098">
        <f t="shared" si="1182"/>
        <v>0</v>
      </c>
      <c r="EM937" s="1098">
        <f t="shared" si="1183"/>
        <v>0</v>
      </c>
      <c r="EN937" s="1030"/>
      <c r="EO937" s="1030"/>
      <c r="EP937" s="1031"/>
      <c r="EQ937" s="1050"/>
      <c r="ER937" s="1038"/>
      <c r="ES937" s="1035"/>
      <c r="ET937" s="1051"/>
    </row>
    <row r="938" spans="2:150" ht="16.5" customHeight="1">
      <c r="B938" s="1024"/>
      <c r="C938" s="1025"/>
      <c r="D938" s="408">
        <v>935</v>
      </c>
      <c r="E938" s="1164"/>
      <c r="F938" s="1164"/>
      <c r="G938" s="1026"/>
      <c r="H938" s="411" t="str">
        <f>IFERROR(INDEX(绊状态确认!C:C,MATCH($G938,绊状态确认!$B:$B,)),"")</f>
        <v/>
      </c>
      <c r="I938" s="450" t="str">
        <f>IFERROR(INDEX(绊状态确认!D:D,MATCH($G938,绊状态确认!$B:$B,)),"")</f>
        <v/>
      </c>
      <c r="J938" s="450" t="str">
        <f>IFERROR(INDEX(绊状态确认!E:E,MATCH($G938,绊状态确认!$B:$B,)),"")</f>
        <v/>
      </c>
      <c r="K938" s="451" t="str">
        <f>IFERROR(INDEX(绊状态确认!F:F,MATCH($G938,绊状态确认!$B:$B,)),"")</f>
        <v/>
      </c>
      <c r="L938" s="1026"/>
      <c r="M938" s="1165"/>
      <c r="N938" s="1027"/>
      <c r="O938" s="1026"/>
      <c r="P938" s="1028"/>
      <c r="Q938" s="1029"/>
      <c r="R938" s="1166"/>
      <c r="S938" s="1030"/>
      <c r="T938" s="1031"/>
      <c r="U938" s="1032"/>
      <c r="V938" s="1033"/>
      <c r="W938" s="1034"/>
      <c r="X938" s="1166"/>
      <c r="Y938" s="1035"/>
      <c r="Z938" s="1036"/>
      <c r="AA938" s="1037"/>
      <c r="AB938" s="1038"/>
      <c r="AC938" s="1039"/>
      <c r="AD938" s="1040"/>
      <c r="AE938" s="1041"/>
      <c r="AF938" s="521"/>
      <c r="AG938" s="420"/>
      <c r="AH938" s="420"/>
      <c r="AI938" s="420"/>
      <c r="AJ938" s="420"/>
      <c r="AK938" s="518"/>
      <c r="AL938" s="1042"/>
      <c r="AM938" s="1035"/>
      <c r="AN938" s="1043"/>
      <c r="AO938" s="1167"/>
      <c r="AP938" s="1044"/>
      <c r="AQ938" s="1035"/>
      <c r="AR938" s="1035"/>
      <c r="AS938" s="1035"/>
      <c r="AT938" s="1165"/>
      <c r="AU938" s="1031"/>
      <c r="AV938" s="1045"/>
      <c r="AW938" s="1038"/>
      <c r="AX938" s="1035"/>
      <c r="AY938" s="483"/>
      <c r="AZ938" s="429"/>
      <c r="BA938" s="431"/>
      <c r="BB938" s="1035"/>
      <c r="BC938" s="1035"/>
      <c r="BD938" s="481"/>
      <c r="BE938" s="432"/>
      <c r="BF938" s="646"/>
      <c r="BG938" s="1047"/>
      <c r="BH938" s="1046"/>
      <c r="BI938" s="1048"/>
      <c r="BJ938" s="1030"/>
      <c r="BK938" s="1046"/>
      <c r="BL938" s="1048"/>
      <c r="BM938" s="1046"/>
      <c r="BN938" s="1167"/>
      <c r="BO938" s="1035"/>
      <c r="BP938" s="1043"/>
      <c r="BQ938" s="1167"/>
      <c r="BR938" s="1165"/>
      <c r="BS938" s="1031"/>
      <c r="BT938" s="1038"/>
      <c r="BU938" s="1035"/>
      <c r="BV938" s="1035"/>
      <c r="BW938" s="1049"/>
      <c r="BX938" s="1043"/>
      <c r="BY938" s="1046"/>
      <c r="BZ938" s="1167"/>
      <c r="CA938" s="1165"/>
      <c r="CB938" s="1031"/>
      <c r="CC938" s="1038"/>
      <c r="CD938" s="1035"/>
      <c r="CE938" s="1035"/>
      <c r="CF938" s="1049"/>
      <c r="CG938" s="1043"/>
      <c r="CH938" s="1046"/>
      <c r="CI938" s="1167"/>
      <c r="CJ938" s="1168"/>
      <c r="CK938" s="1169"/>
      <c r="CL938" s="1169"/>
      <c r="CM938" s="1166"/>
      <c r="CN938" s="1169"/>
      <c r="CO938" s="1169"/>
      <c r="CP938" s="452"/>
      <c r="CQ938" s="435"/>
      <c r="CR938" s="441"/>
      <c r="CS938" s="452"/>
      <c r="CT938" s="482"/>
      <c r="CU938" s="476"/>
      <c r="CV938" s="431"/>
      <c r="CW938" s="1108"/>
      <c r="CX938" s="1108"/>
      <c r="CY938" s="483"/>
      <c r="CZ938" s="437"/>
      <c r="DA938" s="438"/>
      <c r="DB938" s="439"/>
      <c r="DC938" s="439"/>
      <c r="DD938" s="443"/>
      <c r="DE938" s="411"/>
      <c r="DF938" s="411"/>
      <c r="DG938" s="1117"/>
      <c r="DH938" s="1117"/>
      <c r="DI938" s="1117"/>
      <c r="DJ938" s="442"/>
      <c r="DK938" s="482"/>
      <c r="DL938" s="1038"/>
      <c r="DM938" s="1035"/>
      <c r="DN938" s="1035"/>
      <c r="DO938" s="1035"/>
      <c r="DP938" s="1046"/>
      <c r="DQ938" s="1167"/>
      <c r="DR938" s="1168"/>
      <c r="DS938" s="1165"/>
      <c r="DT938" s="1165"/>
      <c r="DU938" s="1165"/>
      <c r="DV938" s="1031"/>
      <c r="DW938" s="1098">
        <f t="shared" si="1180"/>
        <v>0</v>
      </c>
      <c r="DX938" s="1098">
        <f t="shared" si="1181"/>
        <v>0</v>
      </c>
      <c r="DY938" s="1030"/>
      <c r="DZ938" s="1030"/>
      <c r="EA938" s="1031"/>
      <c r="EB938" s="1050"/>
      <c r="EC938" s="1038"/>
      <c r="ED938" s="1035"/>
      <c r="EE938" s="1046"/>
      <c r="EF938" s="1169"/>
      <c r="EG938" s="1168"/>
      <c r="EH938" s="1165"/>
      <c r="EI938" s="1165"/>
      <c r="EJ938" s="1165"/>
      <c r="EK938" s="1031"/>
      <c r="EL938" s="1098">
        <f t="shared" si="1182"/>
        <v>0</v>
      </c>
      <c r="EM938" s="1098">
        <f t="shared" si="1183"/>
        <v>0</v>
      </c>
      <c r="EN938" s="1030"/>
      <c r="EO938" s="1030"/>
      <c r="EP938" s="1031"/>
      <c r="EQ938" s="1050"/>
      <c r="ER938" s="1038"/>
      <c r="ES938" s="1035"/>
      <c r="ET938" s="1051"/>
    </row>
    <row r="939" spans="2:150" ht="16.5" customHeight="1">
      <c r="B939" s="1024"/>
      <c r="C939" s="1025"/>
      <c r="D939" s="408">
        <v>936</v>
      </c>
      <c r="E939" s="1164"/>
      <c r="F939" s="1164"/>
      <c r="G939" s="1026"/>
      <c r="H939" s="411" t="str">
        <f>IFERROR(INDEX(绊状态确认!C:C,MATCH($G939,绊状态确认!$B:$B,)),"")</f>
        <v/>
      </c>
      <c r="I939" s="450" t="str">
        <f>IFERROR(INDEX(绊状态确认!D:D,MATCH($G939,绊状态确认!$B:$B,)),"")</f>
        <v/>
      </c>
      <c r="J939" s="450" t="str">
        <f>IFERROR(INDEX(绊状态确认!E:E,MATCH($G939,绊状态确认!$B:$B,)),"")</f>
        <v/>
      </c>
      <c r="K939" s="451" t="str">
        <f>IFERROR(INDEX(绊状态确认!F:F,MATCH($G939,绊状态确认!$B:$B,)),"")</f>
        <v/>
      </c>
      <c r="L939" s="1026"/>
      <c r="M939" s="1165"/>
      <c r="N939" s="1027"/>
      <c r="O939" s="1026"/>
      <c r="P939" s="1028"/>
      <c r="Q939" s="1029"/>
      <c r="R939" s="1166"/>
      <c r="S939" s="1030"/>
      <c r="T939" s="1031"/>
      <c r="U939" s="1032"/>
      <c r="V939" s="1033"/>
      <c r="W939" s="1034"/>
      <c r="X939" s="1166"/>
      <c r="Y939" s="1035"/>
      <c r="Z939" s="1036"/>
      <c r="AA939" s="1037"/>
      <c r="AB939" s="1038"/>
      <c r="AC939" s="1039"/>
      <c r="AD939" s="1040"/>
      <c r="AE939" s="1041"/>
      <c r="AF939" s="521"/>
      <c r="AG939" s="420"/>
      <c r="AH939" s="420"/>
      <c r="AI939" s="420"/>
      <c r="AJ939" s="420"/>
      <c r="AK939" s="518"/>
      <c r="AL939" s="1042"/>
      <c r="AM939" s="1035"/>
      <c r="AN939" s="1043"/>
      <c r="AO939" s="1167"/>
      <c r="AP939" s="1044"/>
      <c r="AQ939" s="1035"/>
      <c r="AR939" s="1035"/>
      <c r="AS939" s="1035"/>
      <c r="AT939" s="1165"/>
      <c r="AU939" s="1031"/>
      <c r="AV939" s="1045"/>
      <c r="AW939" s="1038"/>
      <c r="AX939" s="1035"/>
      <c r="AY939" s="483"/>
      <c r="AZ939" s="429"/>
      <c r="BA939" s="431"/>
      <c r="BB939" s="1035"/>
      <c r="BC939" s="1035"/>
      <c r="BD939" s="481"/>
      <c r="BE939" s="432"/>
      <c r="BF939" s="646"/>
      <c r="BG939" s="1047"/>
      <c r="BH939" s="1046"/>
      <c r="BI939" s="1048"/>
      <c r="BJ939" s="1030"/>
      <c r="BK939" s="1046"/>
      <c r="BL939" s="1048"/>
      <c r="BM939" s="1046"/>
      <c r="BN939" s="1167"/>
      <c r="BO939" s="1035"/>
      <c r="BP939" s="1043"/>
      <c r="BQ939" s="1167"/>
      <c r="BR939" s="1165"/>
      <c r="BS939" s="1031"/>
      <c r="BT939" s="1038"/>
      <c r="BU939" s="1035"/>
      <c r="BV939" s="1035"/>
      <c r="BW939" s="1049"/>
      <c r="BX939" s="1043"/>
      <c r="BY939" s="1046"/>
      <c r="BZ939" s="1167"/>
      <c r="CA939" s="1165"/>
      <c r="CB939" s="1031"/>
      <c r="CC939" s="1038"/>
      <c r="CD939" s="1035"/>
      <c r="CE939" s="1035"/>
      <c r="CF939" s="1049"/>
      <c r="CG939" s="1043"/>
      <c r="CH939" s="1046"/>
      <c r="CI939" s="1167"/>
      <c r="CJ939" s="1168"/>
      <c r="CK939" s="1169"/>
      <c r="CL939" s="1169"/>
      <c r="CM939" s="1166"/>
      <c r="CN939" s="1169"/>
      <c r="CO939" s="1169"/>
      <c r="CP939" s="452"/>
      <c r="CQ939" s="435"/>
      <c r="CR939" s="441"/>
      <c r="CS939" s="452"/>
      <c r="CT939" s="482"/>
      <c r="CU939" s="476"/>
      <c r="CV939" s="431"/>
      <c r="CW939" s="1108"/>
      <c r="CX939" s="1108"/>
      <c r="CY939" s="483"/>
      <c r="CZ939" s="437"/>
      <c r="DA939" s="438"/>
      <c r="DB939" s="439"/>
      <c r="DC939" s="439"/>
      <c r="DD939" s="443"/>
      <c r="DE939" s="411"/>
      <c r="DF939" s="411"/>
      <c r="DG939" s="1117"/>
      <c r="DH939" s="1117"/>
      <c r="DI939" s="1117"/>
      <c r="DJ939" s="442"/>
      <c r="DK939" s="482"/>
      <c r="DL939" s="1038"/>
      <c r="DM939" s="1035"/>
      <c r="DN939" s="1035"/>
      <c r="DO939" s="1035"/>
      <c r="DP939" s="1046"/>
      <c r="DQ939" s="1167"/>
      <c r="DR939" s="1168"/>
      <c r="DS939" s="1165"/>
      <c r="DT939" s="1165"/>
      <c r="DU939" s="1165"/>
      <c r="DV939" s="1031"/>
      <c r="DW939" s="1098">
        <f t="shared" si="1180"/>
        <v>0</v>
      </c>
      <c r="DX939" s="1098">
        <f t="shared" si="1181"/>
        <v>0</v>
      </c>
      <c r="DY939" s="1030"/>
      <c r="DZ939" s="1030"/>
      <c r="EA939" s="1031"/>
      <c r="EB939" s="1050"/>
      <c r="EC939" s="1038"/>
      <c r="ED939" s="1035"/>
      <c r="EE939" s="1046"/>
      <c r="EF939" s="1169"/>
      <c r="EG939" s="1168"/>
      <c r="EH939" s="1165"/>
      <c r="EI939" s="1165"/>
      <c r="EJ939" s="1165"/>
      <c r="EK939" s="1031"/>
      <c r="EL939" s="1098">
        <f t="shared" si="1182"/>
        <v>0</v>
      </c>
      <c r="EM939" s="1098">
        <f t="shared" si="1183"/>
        <v>0</v>
      </c>
      <c r="EN939" s="1030"/>
      <c r="EO939" s="1030"/>
      <c r="EP939" s="1031"/>
      <c r="EQ939" s="1050"/>
      <c r="ER939" s="1038"/>
      <c r="ES939" s="1035"/>
      <c r="ET939" s="1051"/>
    </row>
    <row r="940" spans="2:150" ht="16.5" customHeight="1">
      <c r="B940" s="1024"/>
      <c r="C940" s="1025"/>
      <c r="D940" s="408">
        <v>937</v>
      </c>
      <c r="E940" s="1164"/>
      <c r="F940" s="1164"/>
      <c r="G940" s="1026"/>
      <c r="H940" s="411" t="str">
        <f>IFERROR(INDEX(绊状态确认!C:C,MATCH($G940,绊状态确认!$B:$B,)),"")</f>
        <v/>
      </c>
      <c r="I940" s="450" t="str">
        <f>IFERROR(INDEX(绊状态确认!D:D,MATCH($G940,绊状态确认!$B:$B,)),"")</f>
        <v/>
      </c>
      <c r="J940" s="450" t="str">
        <f>IFERROR(INDEX(绊状态确认!E:E,MATCH($G940,绊状态确认!$B:$B,)),"")</f>
        <v/>
      </c>
      <c r="K940" s="451" t="str">
        <f>IFERROR(INDEX(绊状态确认!F:F,MATCH($G940,绊状态确认!$B:$B,)),"")</f>
        <v/>
      </c>
      <c r="L940" s="1026"/>
      <c r="M940" s="1165"/>
      <c r="N940" s="1027"/>
      <c r="O940" s="1026"/>
      <c r="P940" s="1028"/>
      <c r="Q940" s="1029"/>
      <c r="R940" s="1166"/>
      <c r="S940" s="1030"/>
      <c r="T940" s="1031"/>
      <c r="U940" s="1032"/>
      <c r="V940" s="1033"/>
      <c r="W940" s="1034"/>
      <c r="X940" s="1166"/>
      <c r="Y940" s="1035"/>
      <c r="Z940" s="1036"/>
      <c r="AA940" s="1037"/>
      <c r="AB940" s="1038"/>
      <c r="AC940" s="1039"/>
      <c r="AD940" s="1040"/>
      <c r="AE940" s="1041"/>
      <c r="AF940" s="521"/>
      <c r="AG940" s="420"/>
      <c r="AH940" s="420"/>
      <c r="AI940" s="420"/>
      <c r="AJ940" s="420"/>
      <c r="AK940" s="518"/>
      <c r="AL940" s="1042"/>
      <c r="AM940" s="1035"/>
      <c r="AN940" s="1043"/>
      <c r="AO940" s="1167"/>
      <c r="AP940" s="1044"/>
      <c r="AQ940" s="1035"/>
      <c r="AR940" s="1035"/>
      <c r="AS940" s="1035"/>
      <c r="AT940" s="1165"/>
      <c r="AU940" s="1031"/>
      <c r="AV940" s="1045"/>
      <c r="AW940" s="1038"/>
      <c r="AX940" s="1035"/>
      <c r="AY940" s="483"/>
      <c r="AZ940" s="429"/>
      <c r="BA940" s="431"/>
      <c r="BB940" s="1035"/>
      <c r="BC940" s="1035"/>
      <c r="BD940" s="481"/>
      <c r="BE940" s="432"/>
      <c r="BF940" s="646"/>
      <c r="BG940" s="1047"/>
      <c r="BH940" s="1046"/>
      <c r="BI940" s="1048"/>
      <c r="BJ940" s="1030"/>
      <c r="BK940" s="1046"/>
      <c r="BL940" s="1048"/>
      <c r="BM940" s="1046"/>
      <c r="BN940" s="1167"/>
      <c r="BO940" s="1035"/>
      <c r="BP940" s="1043"/>
      <c r="BQ940" s="1167"/>
      <c r="BR940" s="1165"/>
      <c r="BS940" s="1031"/>
      <c r="BT940" s="1038"/>
      <c r="BU940" s="1035"/>
      <c r="BV940" s="1035"/>
      <c r="BW940" s="1049"/>
      <c r="BX940" s="1043"/>
      <c r="BY940" s="1046"/>
      <c r="BZ940" s="1167"/>
      <c r="CA940" s="1165"/>
      <c r="CB940" s="1031"/>
      <c r="CC940" s="1038"/>
      <c r="CD940" s="1035"/>
      <c r="CE940" s="1035"/>
      <c r="CF940" s="1049"/>
      <c r="CG940" s="1043"/>
      <c r="CH940" s="1046"/>
      <c r="CI940" s="1167"/>
      <c r="CJ940" s="1168"/>
      <c r="CK940" s="1169"/>
      <c r="CL940" s="1169"/>
      <c r="CM940" s="1166"/>
      <c r="CN940" s="1169"/>
      <c r="CO940" s="1169"/>
      <c r="CP940" s="452"/>
      <c r="CQ940" s="435"/>
      <c r="CR940" s="1117"/>
      <c r="CS940" s="452"/>
      <c r="CT940" s="482"/>
      <c r="CU940" s="476"/>
      <c r="CV940" s="431"/>
      <c r="CW940" s="1108"/>
      <c r="CX940" s="1108"/>
      <c r="CY940" s="483"/>
      <c r="CZ940" s="437"/>
      <c r="DA940" s="438"/>
      <c r="DB940" s="439"/>
      <c r="DC940" s="439"/>
      <c r="DD940" s="443"/>
      <c r="DE940" s="411"/>
      <c r="DF940" s="411"/>
      <c r="DG940" s="1117"/>
      <c r="DH940" s="1117"/>
      <c r="DI940" s="1117"/>
      <c r="DJ940" s="442"/>
      <c r="DK940" s="482"/>
      <c r="DL940" s="1038"/>
      <c r="DM940" s="1035"/>
      <c r="DN940" s="1035"/>
      <c r="DO940" s="1035"/>
      <c r="DP940" s="1046"/>
      <c r="DQ940" s="1167"/>
      <c r="DR940" s="1168"/>
      <c r="DS940" s="1165"/>
      <c r="DT940" s="1165"/>
      <c r="DU940" s="1165"/>
      <c r="DV940" s="1031"/>
      <c r="DW940" s="1098">
        <f t="shared" si="1180"/>
        <v>0</v>
      </c>
      <c r="DX940" s="1098">
        <f t="shared" si="1181"/>
        <v>0</v>
      </c>
      <c r="DY940" s="1030"/>
      <c r="DZ940" s="1030"/>
      <c r="EA940" s="1031"/>
      <c r="EB940" s="1050"/>
      <c r="EC940" s="1038"/>
      <c r="ED940" s="1035"/>
      <c r="EE940" s="1046"/>
      <c r="EF940" s="1169"/>
      <c r="EG940" s="1168"/>
      <c r="EH940" s="1165"/>
      <c r="EI940" s="1165"/>
      <c r="EJ940" s="1165"/>
      <c r="EK940" s="1031"/>
      <c r="EL940" s="1098">
        <f t="shared" si="1182"/>
        <v>0</v>
      </c>
      <c r="EM940" s="1098">
        <f t="shared" si="1183"/>
        <v>0</v>
      </c>
      <c r="EN940" s="1030"/>
      <c r="EO940" s="1030"/>
      <c r="EP940" s="1031"/>
      <c r="EQ940" s="1050"/>
      <c r="ER940" s="1038"/>
      <c r="ES940" s="1035"/>
      <c r="ET940" s="1051"/>
    </row>
    <row r="941" spans="2:150" ht="16.5" customHeight="1">
      <c r="B941" s="1024"/>
      <c r="C941" s="1025"/>
      <c r="D941" s="408">
        <v>938</v>
      </c>
      <c r="E941" s="1164"/>
      <c r="F941" s="1164"/>
      <c r="G941" s="1026"/>
      <c r="H941" s="411" t="str">
        <f>IFERROR(INDEX(绊状态确认!C:C,MATCH($G941,绊状态确认!$B:$B,)),"")</f>
        <v/>
      </c>
      <c r="I941" s="450" t="str">
        <f>IFERROR(INDEX(绊状态确认!D:D,MATCH($G941,绊状态确认!$B:$B,)),"")</f>
        <v/>
      </c>
      <c r="J941" s="450" t="str">
        <f>IFERROR(INDEX(绊状态确认!E:E,MATCH($G941,绊状态确认!$B:$B,)),"")</f>
        <v/>
      </c>
      <c r="K941" s="451" t="str">
        <f>IFERROR(INDEX(绊状态确认!F:F,MATCH($G941,绊状态确认!$B:$B,)),"")</f>
        <v/>
      </c>
      <c r="L941" s="1026"/>
      <c r="M941" s="1165"/>
      <c r="N941" s="1027"/>
      <c r="O941" s="1026"/>
      <c r="P941" s="1028"/>
      <c r="Q941" s="1029"/>
      <c r="R941" s="1166"/>
      <c r="S941" s="1030"/>
      <c r="T941" s="1031"/>
      <c r="U941" s="1032"/>
      <c r="V941" s="1033"/>
      <c r="W941" s="1034"/>
      <c r="X941" s="1166"/>
      <c r="Y941" s="1035"/>
      <c r="Z941" s="1036"/>
      <c r="AA941" s="1037"/>
      <c r="AB941" s="1038"/>
      <c r="AC941" s="1039"/>
      <c r="AD941" s="1040"/>
      <c r="AE941" s="1041"/>
      <c r="AF941" s="521"/>
      <c r="AG941" s="420"/>
      <c r="AH941" s="420"/>
      <c r="AI941" s="420"/>
      <c r="AJ941" s="420"/>
      <c r="AK941" s="518"/>
      <c r="AL941" s="1042"/>
      <c r="AM941" s="1035"/>
      <c r="AN941" s="1043"/>
      <c r="AO941" s="1167"/>
      <c r="AP941" s="1044"/>
      <c r="AQ941" s="1035"/>
      <c r="AR941" s="1035"/>
      <c r="AS941" s="1035"/>
      <c r="AT941" s="1165"/>
      <c r="AU941" s="1031"/>
      <c r="AV941" s="1045"/>
      <c r="AW941" s="1038"/>
      <c r="AX941" s="1035"/>
      <c r="AY941" s="483"/>
      <c r="AZ941" s="429"/>
      <c r="BA941" s="431"/>
      <c r="BB941" s="1035"/>
      <c r="BC941" s="1035"/>
      <c r="BD941" s="481"/>
      <c r="BE941" s="432"/>
      <c r="BF941" s="646"/>
      <c r="BG941" s="1047"/>
      <c r="BH941" s="1046"/>
      <c r="BI941" s="1048"/>
      <c r="BJ941" s="1030"/>
      <c r="BK941" s="1046"/>
      <c r="BL941" s="1048"/>
      <c r="BM941" s="1046"/>
      <c r="BN941" s="1167"/>
      <c r="BO941" s="1035"/>
      <c r="BP941" s="1043"/>
      <c r="BQ941" s="1167"/>
      <c r="BR941" s="1165"/>
      <c r="BS941" s="1031"/>
      <c r="BT941" s="1038"/>
      <c r="BU941" s="1035"/>
      <c r="BV941" s="1035"/>
      <c r="BW941" s="1049"/>
      <c r="BX941" s="1043"/>
      <c r="BY941" s="1046"/>
      <c r="BZ941" s="1167"/>
      <c r="CA941" s="1165"/>
      <c r="CB941" s="1031"/>
      <c r="CC941" s="1038"/>
      <c r="CD941" s="1035"/>
      <c r="CE941" s="1035"/>
      <c r="CF941" s="1049"/>
      <c r="CG941" s="1043"/>
      <c r="CH941" s="1046"/>
      <c r="CI941" s="1167"/>
      <c r="CJ941" s="1168"/>
      <c r="CK941" s="1169"/>
      <c r="CL941" s="1169"/>
      <c r="CM941" s="1166"/>
      <c r="CN941" s="1169"/>
      <c r="CO941" s="1169"/>
      <c r="CP941" s="452"/>
      <c r="CQ941" s="435"/>
      <c r="CR941" s="1117"/>
      <c r="CS941" s="452"/>
      <c r="CT941" s="482"/>
      <c r="CU941" s="476"/>
      <c r="CV941" s="431"/>
      <c r="CW941" s="1108"/>
      <c r="CX941" s="1108"/>
      <c r="CY941" s="483"/>
      <c r="CZ941" s="437"/>
      <c r="DA941" s="438"/>
      <c r="DB941" s="439"/>
      <c r="DC941" s="439"/>
      <c r="DD941" s="443"/>
      <c r="DE941" s="411"/>
      <c r="DF941" s="411"/>
      <c r="DG941" s="1117"/>
      <c r="DH941" s="1117"/>
      <c r="DI941" s="1117"/>
      <c r="DJ941" s="442"/>
      <c r="DK941" s="482"/>
      <c r="DL941" s="1038"/>
      <c r="DM941" s="1035"/>
      <c r="DN941" s="1035"/>
      <c r="DO941" s="1035"/>
      <c r="DP941" s="1046"/>
      <c r="DQ941" s="1167"/>
      <c r="DR941" s="1168"/>
      <c r="DS941" s="1165"/>
      <c r="DT941" s="1165"/>
      <c r="DU941" s="1165"/>
      <c r="DV941" s="1031"/>
      <c r="DW941" s="1098">
        <f t="shared" si="1180"/>
        <v>0</v>
      </c>
      <c r="DX941" s="1098">
        <f t="shared" si="1181"/>
        <v>0</v>
      </c>
      <c r="DY941" s="1030"/>
      <c r="DZ941" s="1030"/>
      <c r="EA941" s="1031"/>
      <c r="EB941" s="1050"/>
      <c r="EC941" s="1038"/>
      <c r="ED941" s="1035"/>
      <c r="EE941" s="1046"/>
      <c r="EF941" s="1169"/>
      <c r="EG941" s="1168"/>
      <c r="EH941" s="1165"/>
      <c r="EI941" s="1165"/>
      <c r="EJ941" s="1165"/>
      <c r="EK941" s="1031"/>
      <c r="EL941" s="1098">
        <f t="shared" si="1182"/>
        <v>0</v>
      </c>
      <c r="EM941" s="1098">
        <f t="shared" si="1183"/>
        <v>0</v>
      </c>
      <c r="EN941" s="1030"/>
      <c r="EO941" s="1030"/>
      <c r="EP941" s="1031"/>
      <c r="EQ941" s="1050"/>
      <c r="ER941" s="1038"/>
      <c r="ES941" s="1035"/>
      <c r="ET941" s="1051"/>
    </row>
    <row r="942" spans="2:150" ht="16.5" customHeight="1">
      <c r="B942" s="1024"/>
      <c r="C942" s="1025"/>
      <c r="D942" s="408">
        <v>939</v>
      </c>
      <c r="E942" s="1164"/>
      <c r="F942" s="1164"/>
      <c r="G942" s="1026"/>
      <c r="H942" s="411" t="str">
        <f>IFERROR(INDEX(绊状态确认!C:C,MATCH($G942,绊状态确认!$B:$B,)),"")</f>
        <v/>
      </c>
      <c r="I942" s="450" t="str">
        <f>IFERROR(INDEX(绊状态确认!D:D,MATCH($G942,绊状态确认!$B:$B,)),"")</f>
        <v/>
      </c>
      <c r="J942" s="450" t="str">
        <f>IFERROR(INDEX(绊状态确认!E:E,MATCH($G942,绊状态确认!$B:$B,)),"")</f>
        <v/>
      </c>
      <c r="K942" s="451" t="str">
        <f>IFERROR(INDEX(绊状态确认!F:F,MATCH($G942,绊状态确认!$B:$B,)),"")</f>
        <v/>
      </c>
      <c r="L942" s="1026"/>
      <c r="M942" s="1165"/>
      <c r="N942" s="1027"/>
      <c r="O942" s="1026"/>
      <c r="P942" s="1028"/>
      <c r="Q942" s="1029"/>
      <c r="R942" s="1166"/>
      <c r="S942" s="1030"/>
      <c r="T942" s="1031"/>
      <c r="U942" s="1032"/>
      <c r="V942" s="1033"/>
      <c r="W942" s="1034"/>
      <c r="X942" s="1166"/>
      <c r="Y942" s="1035"/>
      <c r="Z942" s="1036"/>
      <c r="AA942" s="1037"/>
      <c r="AB942" s="1038"/>
      <c r="AC942" s="1039"/>
      <c r="AD942" s="1040"/>
      <c r="AE942" s="1041"/>
      <c r="AF942" s="521"/>
      <c r="AG942" s="420"/>
      <c r="AH942" s="420"/>
      <c r="AI942" s="420"/>
      <c r="AJ942" s="420"/>
      <c r="AK942" s="518"/>
      <c r="AL942" s="1042"/>
      <c r="AM942" s="1035"/>
      <c r="AN942" s="1043"/>
      <c r="AO942" s="1167"/>
      <c r="AP942" s="1044"/>
      <c r="AQ942" s="1035"/>
      <c r="AR942" s="1035"/>
      <c r="AS942" s="1035"/>
      <c r="AT942" s="1165"/>
      <c r="AU942" s="1031"/>
      <c r="AV942" s="1045"/>
      <c r="AW942" s="1038"/>
      <c r="AX942" s="1035"/>
      <c r="AY942" s="483"/>
      <c r="AZ942" s="429"/>
      <c r="BA942" s="431"/>
      <c r="BB942" s="1035"/>
      <c r="BC942" s="1035"/>
      <c r="BD942" s="481"/>
      <c r="BE942" s="432"/>
      <c r="BF942" s="646"/>
      <c r="BG942" s="1047"/>
      <c r="BH942" s="1046"/>
      <c r="BI942" s="1048"/>
      <c r="BJ942" s="1030"/>
      <c r="BK942" s="1046"/>
      <c r="BL942" s="1048"/>
      <c r="BM942" s="1046"/>
      <c r="BN942" s="1167"/>
      <c r="BO942" s="1035"/>
      <c r="BP942" s="1043"/>
      <c r="BQ942" s="1167"/>
      <c r="BR942" s="1165"/>
      <c r="BS942" s="1031"/>
      <c r="BT942" s="1038"/>
      <c r="BU942" s="1035"/>
      <c r="BV942" s="1035"/>
      <c r="BW942" s="1049"/>
      <c r="BX942" s="1043"/>
      <c r="BY942" s="1046"/>
      <c r="BZ942" s="1167"/>
      <c r="CA942" s="1165"/>
      <c r="CB942" s="1031"/>
      <c r="CC942" s="1038"/>
      <c r="CD942" s="1035"/>
      <c r="CE942" s="1035"/>
      <c r="CF942" s="1049"/>
      <c r="CG942" s="1043"/>
      <c r="CH942" s="1046"/>
      <c r="CI942" s="1167"/>
      <c r="CJ942" s="1168"/>
      <c r="CK942" s="1169"/>
      <c r="CL942" s="1169"/>
      <c r="CM942" s="1166"/>
      <c r="CN942" s="1169"/>
      <c r="CO942" s="1169"/>
      <c r="CP942" s="452"/>
      <c r="CQ942" s="435"/>
      <c r="CR942" s="441"/>
      <c r="CS942" s="452"/>
      <c r="CT942" s="482"/>
      <c r="CU942" s="476"/>
      <c r="CV942" s="431"/>
      <c r="CW942" s="1108"/>
      <c r="CX942" s="1108"/>
      <c r="CY942" s="483"/>
      <c r="CZ942" s="437"/>
      <c r="DA942" s="438"/>
      <c r="DB942" s="439"/>
      <c r="DC942" s="439"/>
      <c r="DD942" s="443"/>
      <c r="DE942" s="411"/>
      <c r="DF942" s="411"/>
      <c r="DG942" s="1117"/>
      <c r="DH942" s="1117"/>
      <c r="DI942" s="1117"/>
      <c r="DJ942" s="442"/>
      <c r="DK942" s="482"/>
      <c r="DL942" s="1038"/>
      <c r="DM942" s="1035"/>
      <c r="DN942" s="1035"/>
      <c r="DO942" s="1035"/>
      <c r="DP942" s="1046"/>
      <c r="DQ942" s="1167"/>
      <c r="DR942" s="1168"/>
      <c r="DS942" s="1165"/>
      <c r="DT942" s="1165"/>
      <c r="DU942" s="1165"/>
      <c r="DV942" s="1031"/>
      <c r="DW942" s="1098">
        <f t="shared" si="1180"/>
        <v>0</v>
      </c>
      <c r="DX942" s="1098">
        <f t="shared" si="1181"/>
        <v>0</v>
      </c>
      <c r="DY942" s="1030"/>
      <c r="DZ942" s="1030"/>
      <c r="EA942" s="1031"/>
      <c r="EB942" s="1050"/>
      <c r="EC942" s="1038"/>
      <c r="ED942" s="1035"/>
      <c r="EE942" s="1046"/>
      <c r="EF942" s="1169"/>
      <c r="EG942" s="1168"/>
      <c r="EH942" s="1165"/>
      <c r="EI942" s="1165"/>
      <c r="EJ942" s="1165"/>
      <c r="EK942" s="1031"/>
      <c r="EL942" s="1098">
        <f t="shared" si="1182"/>
        <v>0</v>
      </c>
      <c r="EM942" s="1098">
        <f t="shared" si="1183"/>
        <v>0</v>
      </c>
      <c r="EN942" s="1030"/>
      <c r="EO942" s="1030"/>
      <c r="EP942" s="1031"/>
      <c r="EQ942" s="1050"/>
      <c r="ER942" s="1038"/>
      <c r="ES942" s="1035"/>
      <c r="ET942" s="1051"/>
    </row>
    <row r="943" spans="2:150" ht="16.5" customHeight="1">
      <c r="B943" s="1024"/>
      <c r="C943" s="1025"/>
      <c r="D943" s="408">
        <v>940</v>
      </c>
      <c r="E943" s="1164"/>
      <c r="F943" s="1164"/>
      <c r="G943" s="1026"/>
      <c r="H943" s="411" t="str">
        <f>IFERROR(INDEX(绊状态确认!C:C,MATCH($G943,绊状态确认!$B:$B,)),"")</f>
        <v/>
      </c>
      <c r="I943" s="450" t="str">
        <f>IFERROR(INDEX(绊状态确认!D:D,MATCH($G943,绊状态确认!$B:$B,)),"")</f>
        <v/>
      </c>
      <c r="J943" s="450" t="str">
        <f>IFERROR(INDEX(绊状态确认!E:E,MATCH($G943,绊状态确认!$B:$B,)),"")</f>
        <v/>
      </c>
      <c r="K943" s="451" t="str">
        <f>IFERROR(INDEX(绊状态确认!F:F,MATCH($G943,绊状态确认!$B:$B,)),"")</f>
        <v/>
      </c>
      <c r="L943" s="1026"/>
      <c r="M943" s="1165"/>
      <c r="N943" s="1027"/>
      <c r="O943" s="1026"/>
      <c r="P943" s="1028"/>
      <c r="Q943" s="1029"/>
      <c r="R943" s="1166"/>
      <c r="S943" s="1030"/>
      <c r="T943" s="1031"/>
      <c r="U943" s="1032"/>
      <c r="V943" s="1033"/>
      <c r="W943" s="1034"/>
      <c r="X943" s="1166"/>
      <c r="Y943" s="1035"/>
      <c r="Z943" s="1036"/>
      <c r="AA943" s="1037"/>
      <c r="AB943" s="1038"/>
      <c r="AC943" s="1039"/>
      <c r="AD943" s="1040"/>
      <c r="AE943" s="1041"/>
      <c r="AF943" s="521"/>
      <c r="AG943" s="420"/>
      <c r="AH943" s="420"/>
      <c r="AI943" s="420"/>
      <c r="AJ943" s="420"/>
      <c r="AK943" s="518"/>
      <c r="AL943" s="1042"/>
      <c r="AM943" s="1035"/>
      <c r="AN943" s="1043"/>
      <c r="AO943" s="1167"/>
      <c r="AP943" s="1044"/>
      <c r="AQ943" s="1035"/>
      <c r="AR943" s="1035"/>
      <c r="AS943" s="1035"/>
      <c r="AT943" s="1165"/>
      <c r="AU943" s="1031"/>
      <c r="AV943" s="1045"/>
      <c r="AW943" s="1038"/>
      <c r="AX943" s="1035"/>
      <c r="AY943" s="483"/>
      <c r="AZ943" s="429"/>
      <c r="BA943" s="431"/>
      <c r="BB943" s="1035"/>
      <c r="BC943" s="1035"/>
      <c r="BD943" s="481"/>
      <c r="BE943" s="432"/>
      <c r="BF943" s="646"/>
      <c r="BG943" s="1047"/>
      <c r="BH943" s="1046"/>
      <c r="BI943" s="1048"/>
      <c r="BJ943" s="1030"/>
      <c r="BK943" s="1046"/>
      <c r="BL943" s="1048"/>
      <c r="BM943" s="1046"/>
      <c r="BN943" s="1167"/>
      <c r="BO943" s="1035"/>
      <c r="BP943" s="1043"/>
      <c r="BQ943" s="1167"/>
      <c r="BR943" s="1165"/>
      <c r="BS943" s="1031"/>
      <c r="BT943" s="1038"/>
      <c r="BU943" s="1035"/>
      <c r="BV943" s="1035"/>
      <c r="BW943" s="1049"/>
      <c r="BX943" s="1043"/>
      <c r="BY943" s="1046"/>
      <c r="BZ943" s="1167"/>
      <c r="CA943" s="1165"/>
      <c r="CB943" s="1031"/>
      <c r="CC943" s="1038"/>
      <c r="CD943" s="1035"/>
      <c r="CE943" s="1035"/>
      <c r="CF943" s="1049"/>
      <c r="CG943" s="1043"/>
      <c r="CH943" s="1046"/>
      <c r="CI943" s="1167"/>
      <c r="CJ943" s="1168"/>
      <c r="CK943" s="1169"/>
      <c r="CL943" s="1169"/>
      <c r="CM943" s="1166"/>
      <c r="CN943" s="1169"/>
      <c r="CO943" s="1169"/>
      <c r="CP943" s="452"/>
      <c r="CQ943" s="435"/>
      <c r="CR943" s="441"/>
      <c r="CS943" s="452"/>
      <c r="CT943" s="482"/>
      <c r="CU943" s="476"/>
      <c r="CV943" s="431"/>
      <c r="CW943" s="1108"/>
      <c r="CX943" s="1108"/>
      <c r="CY943" s="483"/>
      <c r="CZ943" s="437"/>
      <c r="DA943" s="438"/>
      <c r="DB943" s="439"/>
      <c r="DC943" s="439"/>
      <c r="DD943" s="443"/>
      <c r="DE943" s="411"/>
      <c r="DF943" s="411"/>
      <c r="DG943" s="1117"/>
      <c r="DH943" s="1117"/>
      <c r="DI943" s="1117"/>
      <c r="DJ943" s="442"/>
      <c r="DK943" s="482"/>
      <c r="DL943" s="1038"/>
      <c r="DM943" s="1035"/>
      <c r="DN943" s="1035"/>
      <c r="DO943" s="1035"/>
      <c r="DP943" s="1046"/>
      <c r="DQ943" s="1167"/>
      <c r="DR943" s="1168"/>
      <c r="DS943" s="1165"/>
      <c r="DT943" s="1165"/>
      <c r="DU943" s="1165"/>
      <c r="DV943" s="1031"/>
      <c r="DW943" s="1098">
        <f t="shared" si="1180"/>
        <v>0</v>
      </c>
      <c r="DX943" s="1098">
        <f t="shared" si="1181"/>
        <v>0</v>
      </c>
      <c r="DY943" s="1030"/>
      <c r="DZ943" s="1030"/>
      <c r="EA943" s="1031"/>
      <c r="EB943" s="1050"/>
      <c r="EC943" s="1038"/>
      <c r="ED943" s="1035"/>
      <c r="EE943" s="1046"/>
      <c r="EF943" s="1169"/>
      <c r="EG943" s="1168"/>
      <c r="EH943" s="1165"/>
      <c r="EI943" s="1165"/>
      <c r="EJ943" s="1165"/>
      <c r="EK943" s="1031"/>
      <c r="EL943" s="1098">
        <f t="shared" si="1182"/>
        <v>0</v>
      </c>
      <c r="EM943" s="1098">
        <f t="shared" si="1183"/>
        <v>0</v>
      </c>
      <c r="EN943" s="1030"/>
      <c r="EO943" s="1030"/>
      <c r="EP943" s="1031"/>
      <c r="EQ943" s="1050"/>
      <c r="ER943" s="1038"/>
      <c r="ES943" s="1035"/>
      <c r="ET943" s="1051"/>
    </row>
    <row r="944" spans="2:150" ht="16.5" customHeight="1">
      <c r="B944" s="1024"/>
      <c r="C944" s="1025"/>
      <c r="D944" s="408">
        <v>941</v>
      </c>
      <c r="E944" s="1164"/>
      <c r="F944" s="1164"/>
      <c r="G944" s="1026"/>
      <c r="H944" s="411" t="str">
        <f>IFERROR(INDEX(绊状态确认!C:C,MATCH($G944,绊状态确认!$B:$B,)),"")</f>
        <v/>
      </c>
      <c r="I944" s="450" t="str">
        <f>IFERROR(INDEX(绊状态确认!D:D,MATCH($G944,绊状态确认!$B:$B,)),"")</f>
        <v/>
      </c>
      <c r="J944" s="450" t="str">
        <f>IFERROR(INDEX(绊状态确认!E:E,MATCH($G944,绊状态确认!$B:$B,)),"")</f>
        <v/>
      </c>
      <c r="K944" s="451" t="str">
        <f>IFERROR(INDEX(绊状态确认!F:F,MATCH($G944,绊状态确认!$B:$B,)),"")</f>
        <v/>
      </c>
      <c r="L944" s="1026"/>
      <c r="M944" s="1165"/>
      <c r="N944" s="1027"/>
      <c r="O944" s="1026"/>
      <c r="P944" s="1028"/>
      <c r="Q944" s="1029"/>
      <c r="R944" s="1166"/>
      <c r="S944" s="1030"/>
      <c r="T944" s="1031"/>
      <c r="U944" s="1032"/>
      <c r="V944" s="1033"/>
      <c r="W944" s="1034"/>
      <c r="X944" s="1166"/>
      <c r="Y944" s="1035"/>
      <c r="Z944" s="1036"/>
      <c r="AA944" s="1037"/>
      <c r="AB944" s="1038"/>
      <c r="AC944" s="1039"/>
      <c r="AD944" s="1040"/>
      <c r="AE944" s="1041"/>
      <c r="AF944" s="521"/>
      <c r="AG944" s="420"/>
      <c r="AH944" s="420"/>
      <c r="AI944" s="420"/>
      <c r="AJ944" s="420"/>
      <c r="AK944" s="518"/>
      <c r="AL944" s="1042"/>
      <c r="AM944" s="1035"/>
      <c r="AN944" s="1043"/>
      <c r="AO944" s="1167"/>
      <c r="AP944" s="1044"/>
      <c r="AQ944" s="1035"/>
      <c r="AR944" s="1035"/>
      <c r="AS944" s="1035"/>
      <c r="AT944" s="1165"/>
      <c r="AU944" s="1031"/>
      <c r="AV944" s="1045"/>
      <c r="AW944" s="1038"/>
      <c r="AX944" s="1035"/>
      <c r="AY944" s="483"/>
      <c r="AZ944" s="429"/>
      <c r="BA944" s="431"/>
      <c r="BB944" s="1035"/>
      <c r="BC944" s="1035"/>
      <c r="BD944" s="481"/>
      <c r="BE944" s="432"/>
      <c r="BF944" s="646"/>
      <c r="BG944" s="1047"/>
      <c r="BH944" s="1046"/>
      <c r="BI944" s="1048"/>
      <c r="BJ944" s="1030"/>
      <c r="BK944" s="1046"/>
      <c r="BL944" s="1048"/>
      <c r="BM944" s="1046"/>
      <c r="BN944" s="1167"/>
      <c r="BO944" s="1035"/>
      <c r="BP944" s="1043"/>
      <c r="BQ944" s="1167"/>
      <c r="BR944" s="1165"/>
      <c r="BS944" s="1031"/>
      <c r="BT944" s="1038"/>
      <c r="BU944" s="1035"/>
      <c r="BV944" s="1035"/>
      <c r="BW944" s="1049"/>
      <c r="BX944" s="1043"/>
      <c r="BY944" s="1046"/>
      <c r="BZ944" s="1167"/>
      <c r="CA944" s="1165"/>
      <c r="CB944" s="1031"/>
      <c r="CC944" s="1038"/>
      <c r="CD944" s="1035"/>
      <c r="CE944" s="1035"/>
      <c r="CF944" s="1049"/>
      <c r="CG944" s="1043"/>
      <c r="CH944" s="1046"/>
      <c r="CI944" s="1167"/>
      <c r="CJ944" s="1168"/>
      <c r="CK944" s="1169"/>
      <c r="CL944" s="1169"/>
      <c r="CM944" s="1166"/>
      <c r="CN944" s="1169"/>
      <c r="CO944" s="1169"/>
      <c r="CP944" s="452"/>
      <c r="CQ944" s="435"/>
      <c r="CR944" s="441"/>
      <c r="CS944" s="452"/>
      <c r="CT944" s="482"/>
      <c r="CU944" s="476"/>
      <c r="CV944" s="431"/>
      <c r="CW944" s="1108"/>
      <c r="CX944" s="1108"/>
      <c r="CY944" s="483"/>
      <c r="CZ944" s="437"/>
      <c r="DA944" s="438"/>
      <c r="DB944" s="439"/>
      <c r="DC944" s="439"/>
      <c r="DD944" s="443"/>
      <c r="DE944" s="411"/>
      <c r="DF944" s="411"/>
      <c r="DG944" s="1117"/>
      <c r="DH944" s="1117"/>
      <c r="DI944" s="1117"/>
      <c r="DJ944" s="442"/>
      <c r="DK944" s="482"/>
      <c r="DL944" s="1038"/>
      <c r="DM944" s="1035"/>
      <c r="DN944" s="1035"/>
      <c r="DO944" s="1035"/>
      <c r="DP944" s="1046"/>
      <c r="DQ944" s="1167"/>
      <c r="DR944" s="1168"/>
      <c r="DS944" s="1165"/>
      <c r="DT944" s="1165"/>
      <c r="DU944" s="1165"/>
      <c r="DV944" s="1031"/>
      <c r="DW944" s="1098">
        <f t="shared" si="1180"/>
        <v>0</v>
      </c>
      <c r="DX944" s="1098">
        <f t="shared" si="1181"/>
        <v>0</v>
      </c>
      <c r="DY944" s="1030"/>
      <c r="DZ944" s="1030"/>
      <c r="EA944" s="1031"/>
      <c r="EB944" s="1050"/>
      <c r="EC944" s="1038"/>
      <c r="ED944" s="1035"/>
      <c r="EE944" s="1046"/>
      <c r="EF944" s="1169"/>
      <c r="EG944" s="1168"/>
      <c r="EH944" s="1165"/>
      <c r="EI944" s="1165"/>
      <c r="EJ944" s="1165"/>
      <c r="EK944" s="1031"/>
      <c r="EL944" s="1098">
        <f t="shared" si="1182"/>
        <v>0</v>
      </c>
      <c r="EM944" s="1098">
        <f t="shared" si="1183"/>
        <v>0</v>
      </c>
      <c r="EN944" s="1030"/>
      <c r="EO944" s="1030"/>
      <c r="EP944" s="1031"/>
      <c r="EQ944" s="1050"/>
      <c r="ER944" s="1038"/>
      <c r="ES944" s="1035"/>
      <c r="ET944" s="1051"/>
    </row>
    <row r="945" spans="2:150" ht="16.5" customHeight="1">
      <c r="B945" s="1024"/>
      <c r="C945" s="1025"/>
      <c r="D945" s="408">
        <v>942</v>
      </c>
      <c r="E945" s="1164"/>
      <c r="F945" s="1164"/>
      <c r="G945" s="1026"/>
      <c r="H945" s="411" t="str">
        <f>IFERROR(INDEX(绊状态确认!C:C,MATCH($G945,绊状态确认!$B:$B,)),"")</f>
        <v/>
      </c>
      <c r="I945" s="450" t="str">
        <f>IFERROR(INDEX(绊状态确认!D:D,MATCH($G945,绊状态确认!$B:$B,)),"")</f>
        <v/>
      </c>
      <c r="J945" s="450" t="str">
        <f>IFERROR(INDEX(绊状态确认!E:E,MATCH($G945,绊状态确认!$B:$B,)),"")</f>
        <v/>
      </c>
      <c r="K945" s="451" t="str">
        <f>IFERROR(INDEX(绊状态确认!F:F,MATCH($G945,绊状态确认!$B:$B,)),"")</f>
        <v/>
      </c>
      <c r="L945" s="1026"/>
      <c r="M945" s="1165"/>
      <c r="N945" s="1027"/>
      <c r="O945" s="1026"/>
      <c r="P945" s="1028"/>
      <c r="Q945" s="1029"/>
      <c r="R945" s="1166"/>
      <c r="S945" s="1030"/>
      <c r="T945" s="1031"/>
      <c r="U945" s="1032"/>
      <c r="V945" s="1033"/>
      <c r="W945" s="1034"/>
      <c r="X945" s="1166"/>
      <c r="Y945" s="1035"/>
      <c r="Z945" s="1036"/>
      <c r="AA945" s="1037"/>
      <c r="AB945" s="1038"/>
      <c r="AC945" s="1039"/>
      <c r="AD945" s="1040"/>
      <c r="AE945" s="1041"/>
      <c r="AF945" s="521"/>
      <c r="AG945" s="420"/>
      <c r="AH945" s="420"/>
      <c r="AI945" s="420"/>
      <c r="AJ945" s="420"/>
      <c r="AK945" s="518"/>
      <c r="AL945" s="1042"/>
      <c r="AM945" s="1035"/>
      <c r="AN945" s="1043"/>
      <c r="AO945" s="1167"/>
      <c r="AP945" s="1044"/>
      <c r="AQ945" s="1035"/>
      <c r="AR945" s="1035"/>
      <c r="AS945" s="1035"/>
      <c r="AT945" s="1165"/>
      <c r="AU945" s="1031"/>
      <c r="AV945" s="1045"/>
      <c r="AW945" s="1038"/>
      <c r="AX945" s="1035"/>
      <c r="AY945" s="483"/>
      <c r="AZ945" s="429"/>
      <c r="BA945" s="431"/>
      <c r="BB945" s="1035"/>
      <c r="BC945" s="1035"/>
      <c r="BD945" s="481"/>
      <c r="BE945" s="432"/>
      <c r="BF945" s="646"/>
      <c r="BG945" s="1047"/>
      <c r="BH945" s="1046"/>
      <c r="BI945" s="1048"/>
      <c r="BJ945" s="1030"/>
      <c r="BK945" s="1046"/>
      <c r="BL945" s="1048"/>
      <c r="BM945" s="1046"/>
      <c r="BN945" s="1167"/>
      <c r="BO945" s="1035"/>
      <c r="BP945" s="1043"/>
      <c r="BQ945" s="1167"/>
      <c r="BR945" s="1165"/>
      <c r="BS945" s="1031"/>
      <c r="BT945" s="1038"/>
      <c r="BU945" s="1035"/>
      <c r="BV945" s="1035"/>
      <c r="BW945" s="1049"/>
      <c r="BX945" s="1043"/>
      <c r="BY945" s="1046"/>
      <c r="BZ945" s="1167"/>
      <c r="CA945" s="1165"/>
      <c r="CB945" s="1031"/>
      <c r="CC945" s="1038"/>
      <c r="CD945" s="1035"/>
      <c r="CE945" s="1035"/>
      <c r="CF945" s="1049"/>
      <c r="CG945" s="1043"/>
      <c r="CH945" s="1046"/>
      <c r="CI945" s="1167"/>
      <c r="CJ945" s="1168"/>
      <c r="CK945" s="1169"/>
      <c r="CL945" s="1169"/>
      <c r="CM945" s="1166"/>
      <c r="CN945" s="1169"/>
      <c r="CO945" s="1169"/>
      <c r="CP945" s="452"/>
      <c r="CQ945" s="435"/>
      <c r="CR945" s="1117"/>
      <c r="CS945" s="452"/>
      <c r="CT945" s="482"/>
      <c r="CU945" s="476"/>
      <c r="CV945" s="431"/>
      <c r="CW945" s="1108"/>
      <c r="CX945" s="1108"/>
      <c r="CY945" s="483"/>
      <c r="CZ945" s="437"/>
      <c r="DA945" s="438"/>
      <c r="DB945" s="439"/>
      <c r="DC945" s="439"/>
      <c r="DD945" s="443"/>
      <c r="DE945" s="411"/>
      <c r="DF945" s="411"/>
      <c r="DG945" s="1117"/>
      <c r="DH945" s="1117"/>
      <c r="DI945" s="1117"/>
      <c r="DJ945" s="442"/>
      <c r="DK945" s="482"/>
      <c r="DL945" s="1038"/>
      <c r="DM945" s="1035"/>
      <c r="DN945" s="1035"/>
      <c r="DO945" s="1035"/>
      <c r="DP945" s="1046"/>
      <c r="DQ945" s="1167"/>
      <c r="DR945" s="1168"/>
      <c r="DS945" s="1165"/>
      <c r="DT945" s="1165"/>
      <c r="DU945" s="1165"/>
      <c r="DV945" s="1031"/>
      <c r="DW945" s="1098">
        <f t="shared" si="1180"/>
        <v>0</v>
      </c>
      <c r="DX945" s="1098">
        <f t="shared" si="1181"/>
        <v>0</v>
      </c>
      <c r="DY945" s="1030"/>
      <c r="DZ945" s="1030"/>
      <c r="EA945" s="1031"/>
      <c r="EB945" s="1050"/>
      <c r="EC945" s="1038"/>
      <c r="ED945" s="1035"/>
      <c r="EE945" s="1046"/>
      <c r="EF945" s="1169"/>
      <c r="EG945" s="1168"/>
      <c r="EH945" s="1165"/>
      <c r="EI945" s="1165"/>
      <c r="EJ945" s="1165"/>
      <c r="EK945" s="1031"/>
      <c r="EL945" s="1098">
        <f t="shared" si="1182"/>
        <v>0</v>
      </c>
      <c r="EM945" s="1098">
        <f t="shared" si="1183"/>
        <v>0</v>
      </c>
      <c r="EN945" s="1030"/>
      <c r="EO945" s="1030"/>
      <c r="EP945" s="1031"/>
      <c r="EQ945" s="1050"/>
      <c r="ER945" s="1038"/>
      <c r="ES945" s="1035"/>
      <c r="ET945" s="1051"/>
    </row>
    <row r="946" spans="2:150" ht="16.5" customHeight="1">
      <c r="B946" s="1024"/>
      <c r="C946" s="1025"/>
      <c r="D946" s="408">
        <v>943</v>
      </c>
      <c r="E946" s="1164"/>
      <c r="F946" s="1164"/>
      <c r="G946" s="1026"/>
      <c r="H946" s="411" t="str">
        <f>IFERROR(INDEX(绊状态确认!C:C,MATCH($G946,绊状态确认!$B:$B,)),"")</f>
        <v/>
      </c>
      <c r="I946" s="450" t="str">
        <f>IFERROR(INDEX(绊状态确认!D:D,MATCH($G946,绊状态确认!$B:$B,)),"")</f>
        <v/>
      </c>
      <c r="J946" s="450" t="str">
        <f>IFERROR(INDEX(绊状态确认!E:E,MATCH($G946,绊状态确认!$B:$B,)),"")</f>
        <v/>
      </c>
      <c r="K946" s="451" t="str">
        <f>IFERROR(INDEX(绊状态确认!F:F,MATCH($G946,绊状态确认!$B:$B,)),"")</f>
        <v/>
      </c>
      <c r="L946" s="1026"/>
      <c r="M946" s="1165"/>
      <c r="N946" s="1027"/>
      <c r="O946" s="1026"/>
      <c r="P946" s="1028"/>
      <c r="Q946" s="1029"/>
      <c r="R946" s="1166"/>
      <c r="S946" s="1030"/>
      <c r="T946" s="1031"/>
      <c r="U946" s="1032"/>
      <c r="V946" s="1033"/>
      <c r="W946" s="1034"/>
      <c r="X946" s="1166"/>
      <c r="Y946" s="1035"/>
      <c r="Z946" s="1036"/>
      <c r="AA946" s="1037"/>
      <c r="AB946" s="1038"/>
      <c r="AC946" s="1039"/>
      <c r="AD946" s="1040"/>
      <c r="AE946" s="1041"/>
      <c r="AF946" s="521"/>
      <c r="AG946" s="420"/>
      <c r="AH946" s="420"/>
      <c r="AI946" s="420"/>
      <c r="AJ946" s="420"/>
      <c r="AK946" s="518"/>
      <c r="AL946" s="1042"/>
      <c r="AM946" s="1035"/>
      <c r="AN946" s="1043"/>
      <c r="AO946" s="1167"/>
      <c r="AP946" s="1044"/>
      <c r="AQ946" s="1035"/>
      <c r="AR946" s="1035"/>
      <c r="AS946" s="1035"/>
      <c r="AT946" s="1165"/>
      <c r="AU946" s="1031"/>
      <c r="AV946" s="1045"/>
      <c r="AW946" s="1038"/>
      <c r="AX946" s="1035"/>
      <c r="AY946" s="483"/>
      <c r="AZ946" s="429"/>
      <c r="BA946" s="431"/>
      <c r="BB946" s="1035"/>
      <c r="BC946" s="1035"/>
      <c r="BD946" s="481"/>
      <c r="BE946" s="432"/>
      <c r="BF946" s="646"/>
      <c r="BG946" s="1047"/>
      <c r="BH946" s="1046"/>
      <c r="BI946" s="1048"/>
      <c r="BJ946" s="1030"/>
      <c r="BK946" s="1046"/>
      <c r="BL946" s="1048"/>
      <c r="BM946" s="1046"/>
      <c r="BN946" s="1167"/>
      <c r="BO946" s="1035"/>
      <c r="BP946" s="1043"/>
      <c r="BQ946" s="1167"/>
      <c r="BR946" s="1165"/>
      <c r="BS946" s="1031"/>
      <c r="BT946" s="1038"/>
      <c r="BU946" s="1035"/>
      <c r="BV946" s="1035"/>
      <c r="BW946" s="1049"/>
      <c r="BX946" s="1043"/>
      <c r="BY946" s="1046"/>
      <c r="BZ946" s="1167"/>
      <c r="CA946" s="1165"/>
      <c r="CB946" s="1031"/>
      <c r="CC946" s="1038"/>
      <c r="CD946" s="1035"/>
      <c r="CE946" s="1035"/>
      <c r="CF946" s="1049"/>
      <c r="CG946" s="1043"/>
      <c r="CH946" s="1046"/>
      <c r="CI946" s="1167"/>
      <c r="CJ946" s="1168"/>
      <c r="CK946" s="1169"/>
      <c r="CL946" s="1169"/>
      <c r="CM946" s="1166"/>
      <c r="CN946" s="1169"/>
      <c r="CO946" s="1169"/>
      <c r="CP946" s="452"/>
      <c r="CQ946" s="435"/>
      <c r="CR946" s="441"/>
      <c r="CS946" s="452"/>
      <c r="CT946" s="482"/>
      <c r="CU946" s="476"/>
      <c r="CV946" s="431"/>
      <c r="CW946" s="1108"/>
      <c r="CX946" s="1108"/>
      <c r="CY946" s="483"/>
      <c r="CZ946" s="437"/>
      <c r="DA946" s="438"/>
      <c r="DB946" s="439"/>
      <c r="DC946" s="439"/>
      <c r="DD946" s="443"/>
      <c r="DE946" s="411"/>
      <c r="DF946" s="411"/>
      <c r="DG946" s="1117"/>
      <c r="DH946" s="1117"/>
      <c r="DI946" s="1117"/>
      <c r="DJ946" s="442"/>
      <c r="DK946" s="482"/>
      <c r="DL946" s="1038"/>
      <c r="DM946" s="1035"/>
      <c r="DN946" s="1035"/>
      <c r="DO946" s="1035"/>
      <c r="DP946" s="1046"/>
      <c r="DQ946" s="1167"/>
      <c r="DR946" s="1168"/>
      <c r="DS946" s="1165"/>
      <c r="DT946" s="1165"/>
      <c r="DU946" s="1165"/>
      <c r="DV946" s="1031"/>
      <c r="DW946" s="1098">
        <f t="shared" si="1180"/>
        <v>0</v>
      </c>
      <c r="DX946" s="1098">
        <f t="shared" si="1181"/>
        <v>0</v>
      </c>
      <c r="DY946" s="1030"/>
      <c r="DZ946" s="1030"/>
      <c r="EA946" s="1031"/>
      <c r="EB946" s="1050"/>
      <c r="EC946" s="1038"/>
      <c r="ED946" s="1035"/>
      <c r="EE946" s="1046"/>
      <c r="EF946" s="1169"/>
      <c r="EG946" s="1168"/>
      <c r="EH946" s="1165"/>
      <c r="EI946" s="1165"/>
      <c r="EJ946" s="1165"/>
      <c r="EK946" s="1031"/>
      <c r="EL946" s="1098">
        <f t="shared" si="1182"/>
        <v>0</v>
      </c>
      <c r="EM946" s="1098">
        <f t="shared" si="1183"/>
        <v>0</v>
      </c>
      <c r="EN946" s="1030"/>
      <c r="EO946" s="1030"/>
      <c r="EP946" s="1031"/>
      <c r="EQ946" s="1050"/>
      <c r="ER946" s="1038"/>
      <c r="ES946" s="1035"/>
      <c r="ET946" s="1051"/>
    </row>
    <row r="947" spans="2:150" ht="16.5" customHeight="1">
      <c r="B947" s="1024"/>
      <c r="C947" s="1025"/>
      <c r="D947" s="408">
        <v>944</v>
      </c>
      <c r="E947" s="1164"/>
      <c r="F947" s="1164"/>
      <c r="G947" s="1026"/>
      <c r="H947" s="411" t="str">
        <f>IFERROR(INDEX(绊状态确认!C:C,MATCH($G947,绊状态确认!$B:$B,)),"")</f>
        <v/>
      </c>
      <c r="I947" s="450" t="str">
        <f>IFERROR(INDEX(绊状态确认!D:D,MATCH($G947,绊状态确认!$B:$B,)),"")</f>
        <v/>
      </c>
      <c r="J947" s="450" t="str">
        <f>IFERROR(INDEX(绊状态确认!E:E,MATCH($G947,绊状态确认!$B:$B,)),"")</f>
        <v/>
      </c>
      <c r="K947" s="451" t="str">
        <f>IFERROR(INDEX(绊状态确认!F:F,MATCH($G947,绊状态确认!$B:$B,)),"")</f>
        <v/>
      </c>
      <c r="L947" s="1026"/>
      <c r="M947" s="1165"/>
      <c r="N947" s="1027"/>
      <c r="O947" s="1026"/>
      <c r="P947" s="1028"/>
      <c r="Q947" s="1029"/>
      <c r="R947" s="1166"/>
      <c r="S947" s="1030"/>
      <c r="T947" s="1031"/>
      <c r="U947" s="1032"/>
      <c r="V947" s="1033"/>
      <c r="W947" s="1034"/>
      <c r="X947" s="1166"/>
      <c r="Y947" s="1035"/>
      <c r="Z947" s="1036"/>
      <c r="AA947" s="1037"/>
      <c r="AB947" s="1038"/>
      <c r="AC947" s="1039"/>
      <c r="AD947" s="1040"/>
      <c r="AE947" s="1041"/>
      <c r="AF947" s="521"/>
      <c r="AG947" s="420"/>
      <c r="AH947" s="420"/>
      <c r="AI947" s="420"/>
      <c r="AJ947" s="420"/>
      <c r="AK947" s="518"/>
      <c r="AL947" s="1042"/>
      <c r="AM947" s="1035"/>
      <c r="AN947" s="1043"/>
      <c r="AO947" s="1167"/>
      <c r="AP947" s="1044"/>
      <c r="AQ947" s="1035"/>
      <c r="AR947" s="1035"/>
      <c r="AS947" s="1035"/>
      <c r="AT947" s="1165"/>
      <c r="AU947" s="1031"/>
      <c r="AV947" s="1045"/>
      <c r="AW947" s="1038"/>
      <c r="AX947" s="1035"/>
      <c r="AY947" s="483"/>
      <c r="AZ947" s="429"/>
      <c r="BA947" s="431"/>
      <c r="BB947" s="1035"/>
      <c r="BC947" s="1035"/>
      <c r="BD947" s="481"/>
      <c r="BE947" s="432"/>
      <c r="BF947" s="646"/>
      <c r="BG947" s="1047"/>
      <c r="BH947" s="1046"/>
      <c r="BI947" s="1048"/>
      <c r="BJ947" s="1030"/>
      <c r="BK947" s="1046"/>
      <c r="BL947" s="1048"/>
      <c r="BM947" s="1046"/>
      <c r="BN947" s="1167"/>
      <c r="BO947" s="1035"/>
      <c r="BP947" s="1043"/>
      <c r="BQ947" s="1167"/>
      <c r="BR947" s="1165"/>
      <c r="BS947" s="1031"/>
      <c r="BT947" s="1038"/>
      <c r="BU947" s="1035"/>
      <c r="BV947" s="1035"/>
      <c r="BW947" s="1049"/>
      <c r="BX947" s="1043"/>
      <c r="BY947" s="1046"/>
      <c r="BZ947" s="1167"/>
      <c r="CA947" s="1165"/>
      <c r="CB947" s="1031"/>
      <c r="CC947" s="1038"/>
      <c r="CD947" s="1035"/>
      <c r="CE947" s="1035"/>
      <c r="CF947" s="1049"/>
      <c r="CG947" s="1043"/>
      <c r="CH947" s="1046"/>
      <c r="CI947" s="1167"/>
      <c r="CJ947" s="1168"/>
      <c r="CK947" s="1169"/>
      <c r="CL947" s="1169"/>
      <c r="CM947" s="1166"/>
      <c r="CN947" s="1169"/>
      <c r="CO947" s="1169"/>
      <c r="CP947" s="452"/>
      <c r="CQ947" s="435"/>
      <c r="CR947" s="441"/>
      <c r="CS947" s="452"/>
      <c r="CT947" s="482"/>
      <c r="CU947" s="476"/>
      <c r="CV947" s="431"/>
      <c r="CW947" s="1108"/>
      <c r="CX947" s="1108"/>
      <c r="CY947" s="483"/>
      <c r="CZ947" s="437"/>
      <c r="DA947" s="438"/>
      <c r="DB947" s="439"/>
      <c r="DC947" s="439"/>
      <c r="DD947" s="443"/>
      <c r="DE947" s="411"/>
      <c r="DF947" s="411"/>
      <c r="DG947" s="1117"/>
      <c r="DH947" s="1117"/>
      <c r="DI947" s="1117"/>
      <c r="DJ947" s="442"/>
      <c r="DK947" s="482"/>
      <c r="DL947" s="1038"/>
      <c r="DM947" s="1035"/>
      <c r="DN947" s="1035"/>
      <c r="DO947" s="1035"/>
      <c r="DP947" s="1046"/>
      <c r="DQ947" s="1167"/>
      <c r="DR947" s="1168"/>
      <c r="DS947" s="1165"/>
      <c r="DT947" s="1165"/>
      <c r="DU947" s="1165"/>
      <c r="DV947" s="1031"/>
      <c r="DW947" s="1098">
        <f t="shared" si="1180"/>
        <v>0</v>
      </c>
      <c r="DX947" s="1098">
        <f t="shared" si="1181"/>
        <v>0</v>
      </c>
      <c r="DY947" s="1030"/>
      <c r="DZ947" s="1030"/>
      <c r="EA947" s="1031"/>
      <c r="EB947" s="1050"/>
      <c r="EC947" s="1038"/>
      <c r="ED947" s="1035"/>
      <c r="EE947" s="1046"/>
      <c r="EF947" s="1169"/>
      <c r="EG947" s="1168"/>
      <c r="EH947" s="1165"/>
      <c r="EI947" s="1165"/>
      <c r="EJ947" s="1165"/>
      <c r="EK947" s="1031"/>
      <c r="EL947" s="1098">
        <f t="shared" si="1182"/>
        <v>0</v>
      </c>
      <c r="EM947" s="1098">
        <f t="shared" si="1183"/>
        <v>0</v>
      </c>
      <c r="EN947" s="1030"/>
      <c r="EO947" s="1030"/>
      <c r="EP947" s="1031"/>
      <c r="EQ947" s="1050"/>
      <c r="ER947" s="1038"/>
      <c r="ES947" s="1035"/>
      <c r="ET947" s="1051"/>
    </row>
    <row r="948" spans="2:150" ht="16.5" customHeight="1">
      <c r="B948" s="1024"/>
      <c r="C948" s="1025"/>
      <c r="D948" s="408">
        <v>945</v>
      </c>
      <c r="E948" s="1164"/>
      <c r="F948" s="1164"/>
      <c r="G948" s="1026"/>
      <c r="H948" s="411" t="str">
        <f>IFERROR(INDEX(绊状态确认!C:C,MATCH($G948,绊状态确认!$B:$B,)),"")</f>
        <v/>
      </c>
      <c r="I948" s="450" t="str">
        <f>IFERROR(INDEX(绊状态确认!D:D,MATCH($G948,绊状态确认!$B:$B,)),"")</f>
        <v/>
      </c>
      <c r="J948" s="450" t="str">
        <f>IFERROR(INDEX(绊状态确认!E:E,MATCH($G948,绊状态确认!$B:$B,)),"")</f>
        <v/>
      </c>
      <c r="K948" s="451" t="str">
        <f>IFERROR(INDEX(绊状态确认!F:F,MATCH($G948,绊状态确认!$B:$B,)),"")</f>
        <v/>
      </c>
      <c r="L948" s="1026"/>
      <c r="M948" s="1165"/>
      <c r="N948" s="1027"/>
      <c r="O948" s="1026"/>
      <c r="P948" s="1028"/>
      <c r="Q948" s="1029"/>
      <c r="R948" s="1166"/>
      <c r="S948" s="1030"/>
      <c r="T948" s="1031"/>
      <c r="U948" s="1032"/>
      <c r="V948" s="1033"/>
      <c r="W948" s="1034"/>
      <c r="X948" s="1166"/>
      <c r="Y948" s="1035"/>
      <c r="Z948" s="1036"/>
      <c r="AA948" s="1037"/>
      <c r="AB948" s="1038"/>
      <c r="AC948" s="1039"/>
      <c r="AD948" s="1040"/>
      <c r="AE948" s="1041"/>
      <c r="AF948" s="521"/>
      <c r="AG948" s="420"/>
      <c r="AH948" s="420"/>
      <c r="AI948" s="420"/>
      <c r="AJ948" s="420"/>
      <c r="AK948" s="518"/>
      <c r="AL948" s="1042"/>
      <c r="AM948" s="1035"/>
      <c r="AN948" s="1043"/>
      <c r="AO948" s="1167"/>
      <c r="AP948" s="1044"/>
      <c r="AQ948" s="1035"/>
      <c r="AR948" s="1035"/>
      <c r="AS948" s="1035"/>
      <c r="AT948" s="1165"/>
      <c r="AU948" s="1031"/>
      <c r="AV948" s="1045"/>
      <c r="AW948" s="1038"/>
      <c r="AX948" s="1035"/>
      <c r="AY948" s="483"/>
      <c r="AZ948" s="429"/>
      <c r="BA948" s="431"/>
      <c r="BB948" s="1035"/>
      <c r="BC948" s="1035"/>
      <c r="BD948" s="481"/>
      <c r="BE948" s="432"/>
      <c r="BF948" s="646"/>
      <c r="BG948" s="1047"/>
      <c r="BH948" s="1046"/>
      <c r="BI948" s="1048"/>
      <c r="BJ948" s="1030"/>
      <c r="BK948" s="1046"/>
      <c r="BL948" s="1048"/>
      <c r="BM948" s="1046"/>
      <c r="BN948" s="1167"/>
      <c r="BO948" s="1035"/>
      <c r="BP948" s="1043"/>
      <c r="BQ948" s="1167"/>
      <c r="BR948" s="1165"/>
      <c r="BS948" s="1031"/>
      <c r="BT948" s="1038"/>
      <c r="BU948" s="1035"/>
      <c r="BV948" s="1035"/>
      <c r="BW948" s="1049"/>
      <c r="BX948" s="1043"/>
      <c r="BY948" s="1046"/>
      <c r="BZ948" s="1167"/>
      <c r="CA948" s="1165"/>
      <c r="CB948" s="1031"/>
      <c r="CC948" s="1038"/>
      <c r="CD948" s="1035"/>
      <c r="CE948" s="1035"/>
      <c r="CF948" s="1049"/>
      <c r="CG948" s="1043"/>
      <c r="CH948" s="1046"/>
      <c r="CI948" s="1167"/>
      <c r="CJ948" s="1168"/>
      <c r="CK948" s="1169"/>
      <c r="CL948" s="1169"/>
      <c r="CM948" s="1166"/>
      <c r="CN948" s="1169"/>
      <c r="CO948" s="1169"/>
      <c r="CP948" s="452"/>
      <c r="CQ948" s="435"/>
      <c r="CR948" s="1117"/>
      <c r="CS948" s="452"/>
      <c r="CT948" s="482"/>
      <c r="CU948" s="476"/>
      <c r="CV948" s="431"/>
      <c r="CW948" s="1108"/>
      <c r="CX948" s="1108"/>
      <c r="CY948" s="483"/>
      <c r="CZ948" s="437"/>
      <c r="DA948" s="438"/>
      <c r="DB948" s="439"/>
      <c r="DC948" s="439"/>
      <c r="DD948" s="443"/>
      <c r="DE948" s="411"/>
      <c r="DF948" s="411"/>
      <c r="DG948" s="1117"/>
      <c r="DH948" s="1117"/>
      <c r="DI948" s="1117"/>
      <c r="DJ948" s="442"/>
      <c r="DK948" s="482"/>
      <c r="DL948" s="1038"/>
      <c r="DM948" s="1035"/>
      <c r="DN948" s="1035"/>
      <c r="DO948" s="1035"/>
      <c r="DP948" s="1046"/>
      <c r="DQ948" s="1167"/>
      <c r="DR948" s="1168"/>
      <c r="DS948" s="1165"/>
      <c r="DT948" s="1165"/>
      <c r="DU948" s="1165"/>
      <c r="DV948" s="1031"/>
      <c r="DW948" s="1098">
        <f t="shared" si="1180"/>
        <v>0</v>
      </c>
      <c r="DX948" s="1098">
        <f t="shared" si="1181"/>
        <v>0</v>
      </c>
      <c r="DY948" s="1030"/>
      <c r="DZ948" s="1030"/>
      <c r="EA948" s="1031"/>
      <c r="EB948" s="1050"/>
      <c r="EC948" s="1038"/>
      <c r="ED948" s="1035"/>
      <c r="EE948" s="1046"/>
      <c r="EF948" s="1169"/>
      <c r="EG948" s="1168"/>
      <c r="EH948" s="1165"/>
      <c r="EI948" s="1165"/>
      <c r="EJ948" s="1165"/>
      <c r="EK948" s="1031"/>
      <c r="EL948" s="1098">
        <f t="shared" si="1182"/>
        <v>0</v>
      </c>
      <c r="EM948" s="1098">
        <f t="shared" si="1183"/>
        <v>0</v>
      </c>
      <c r="EN948" s="1030"/>
      <c r="EO948" s="1030"/>
      <c r="EP948" s="1031"/>
      <c r="EQ948" s="1050"/>
      <c r="ER948" s="1038"/>
      <c r="ES948" s="1035"/>
      <c r="ET948" s="1051"/>
    </row>
    <row r="949" spans="2:150" ht="16.5" customHeight="1">
      <c r="B949" s="1024"/>
      <c r="C949" s="1025"/>
      <c r="D949" s="408">
        <v>946</v>
      </c>
      <c r="E949" s="1164"/>
      <c r="F949" s="1164"/>
      <c r="G949" s="1026"/>
      <c r="H949" s="411" t="str">
        <f>IFERROR(INDEX(绊状态确认!C:C,MATCH($G949,绊状态确认!$B:$B,)),"")</f>
        <v/>
      </c>
      <c r="I949" s="450" t="str">
        <f>IFERROR(INDEX(绊状态确认!D:D,MATCH($G949,绊状态确认!$B:$B,)),"")</f>
        <v/>
      </c>
      <c r="J949" s="450" t="str">
        <f>IFERROR(INDEX(绊状态确认!E:E,MATCH($G949,绊状态确认!$B:$B,)),"")</f>
        <v/>
      </c>
      <c r="K949" s="451" t="str">
        <f>IFERROR(INDEX(绊状态确认!F:F,MATCH($G949,绊状态确认!$B:$B,)),"")</f>
        <v/>
      </c>
      <c r="L949" s="1026"/>
      <c r="M949" s="1165"/>
      <c r="N949" s="1027"/>
      <c r="O949" s="1026"/>
      <c r="P949" s="1028"/>
      <c r="Q949" s="1029"/>
      <c r="R949" s="1166"/>
      <c r="S949" s="1030"/>
      <c r="T949" s="1031"/>
      <c r="U949" s="1032"/>
      <c r="V949" s="1033"/>
      <c r="W949" s="1034"/>
      <c r="X949" s="1166"/>
      <c r="Y949" s="1035"/>
      <c r="Z949" s="1036"/>
      <c r="AA949" s="1037"/>
      <c r="AB949" s="1038"/>
      <c r="AC949" s="1039"/>
      <c r="AD949" s="1040"/>
      <c r="AE949" s="1041"/>
      <c r="AF949" s="521"/>
      <c r="AG949" s="420"/>
      <c r="AH949" s="420"/>
      <c r="AI949" s="420"/>
      <c r="AJ949" s="420"/>
      <c r="AK949" s="518"/>
      <c r="AL949" s="1042"/>
      <c r="AM949" s="1035"/>
      <c r="AN949" s="1043"/>
      <c r="AO949" s="1167"/>
      <c r="AP949" s="1044"/>
      <c r="AQ949" s="1035"/>
      <c r="AR949" s="1035"/>
      <c r="AS949" s="1035"/>
      <c r="AT949" s="1165"/>
      <c r="AU949" s="1031"/>
      <c r="AV949" s="1045"/>
      <c r="AW949" s="1038"/>
      <c r="AX949" s="1035"/>
      <c r="AY949" s="483"/>
      <c r="AZ949" s="429"/>
      <c r="BA949" s="431"/>
      <c r="BB949" s="1035"/>
      <c r="BC949" s="1035"/>
      <c r="BD949" s="481"/>
      <c r="BE949" s="432"/>
      <c r="BF949" s="646"/>
      <c r="BG949" s="1047"/>
      <c r="BH949" s="1046"/>
      <c r="BI949" s="1048"/>
      <c r="BJ949" s="1030"/>
      <c r="BK949" s="1046"/>
      <c r="BL949" s="1048"/>
      <c r="BM949" s="1046"/>
      <c r="BN949" s="1167"/>
      <c r="BO949" s="1035"/>
      <c r="BP949" s="1043"/>
      <c r="BQ949" s="1167"/>
      <c r="BR949" s="1165"/>
      <c r="BS949" s="1031"/>
      <c r="BT949" s="1038"/>
      <c r="BU949" s="1035"/>
      <c r="BV949" s="1035"/>
      <c r="BW949" s="1049"/>
      <c r="BX949" s="1043"/>
      <c r="BY949" s="1046"/>
      <c r="BZ949" s="1167"/>
      <c r="CA949" s="1165"/>
      <c r="CB949" s="1031"/>
      <c r="CC949" s="1038"/>
      <c r="CD949" s="1035"/>
      <c r="CE949" s="1035"/>
      <c r="CF949" s="1049"/>
      <c r="CG949" s="1043"/>
      <c r="CH949" s="1046"/>
      <c r="CI949" s="1167"/>
      <c r="CJ949" s="1168"/>
      <c r="CK949" s="1169"/>
      <c r="CL949" s="1169"/>
      <c r="CM949" s="1166"/>
      <c r="CN949" s="1169"/>
      <c r="CO949" s="1169"/>
      <c r="CP949" s="452"/>
      <c r="CQ949" s="435"/>
      <c r="CR949" s="441"/>
      <c r="CS949" s="452"/>
      <c r="CT949" s="482"/>
      <c r="CU949" s="476"/>
      <c r="CV949" s="431"/>
      <c r="CW949" s="1108"/>
      <c r="CX949" s="1108"/>
      <c r="CY949" s="483"/>
      <c r="CZ949" s="437"/>
      <c r="DA949" s="438"/>
      <c r="DB949" s="439"/>
      <c r="DC949" s="439"/>
      <c r="DD949" s="443"/>
      <c r="DE949" s="411"/>
      <c r="DF949" s="411"/>
      <c r="DG949" s="1117"/>
      <c r="DH949" s="1117"/>
      <c r="DI949" s="1117"/>
      <c r="DJ949" s="442"/>
      <c r="DK949" s="482"/>
      <c r="DL949" s="1038"/>
      <c r="DM949" s="1035"/>
      <c r="DN949" s="1035"/>
      <c r="DO949" s="1035"/>
      <c r="DP949" s="1046"/>
      <c r="DQ949" s="1167"/>
      <c r="DR949" s="1168"/>
      <c r="DS949" s="1165"/>
      <c r="DT949" s="1165"/>
      <c r="DU949" s="1165"/>
      <c r="DV949" s="1031"/>
      <c r="DW949" s="1098">
        <f t="shared" si="1180"/>
        <v>0</v>
      </c>
      <c r="DX949" s="1098">
        <f t="shared" si="1181"/>
        <v>0</v>
      </c>
      <c r="DY949" s="1030"/>
      <c r="DZ949" s="1030"/>
      <c r="EA949" s="1031"/>
      <c r="EB949" s="1050"/>
      <c r="EC949" s="1038"/>
      <c r="ED949" s="1035"/>
      <c r="EE949" s="1046"/>
      <c r="EF949" s="1169"/>
      <c r="EG949" s="1168"/>
      <c r="EH949" s="1165"/>
      <c r="EI949" s="1165"/>
      <c r="EJ949" s="1165"/>
      <c r="EK949" s="1031"/>
      <c r="EL949" s="1098">
        <f t="shared" si="1182"/>
        <v>0</v>
      </c>
      <c r="EM949" s="1098">
        <f t="shared" si="1183"/>
        <v>0</v>
      </c>
      <c r="EN949" s="1030"/>
      <c r="EO949" s="1030"/>
      <c r="EP949" s="1031"/>
      <c r="EQ949" s="1050"/>
      <c r="ER949" s="1038"/>
      <c r="ES949" s="1035"/>
      <c r="ET949" s="1051"/>
    </row>
    <row r="950" spans="2:150" ht="16.5" customHeight="1">
      <c r="B950" s="1024"/>
      <c r="C950" s="1025"/>
      <c r="D950" s="408">
        <v>947</v>
      </c>
      <c r="E950" s="1164"/>
      <c r="F950" s="1164"/>
      <c r="G950" s="1026"/>
      <c r="H950" s="411" t="str">
        <f>IFERROR(INDEX(绊状态确认!C:C,MATCH($G950,绊状态确认!$B:$B,)),"")</f>
        <v/>
      </c>
      <c r="I950" s="450" t="str">
        <f>IFERROR(INDEX(绊状态确认!D:D,MATCH($G950,绊状态确认!$B:$B,)),"")</f>
        <v/>
      </c>
      <c r="J950" s="450" t="str">
        <f>IFERROR(INDEX(绊状态确认!E:E,MATCH($G950,绊状态确认!$B:$B,)),"")</f>
        <v/>
      </c>
      <c r="K950" s="451" t="str">
        <f>IFERROR(INDEX(绊状态确认!F:F,MATCH($G950,绊状态确认!$B:$B,)),"")</f>
        <v/>
      </c>
      <c r="L950" s="1026"/>
      <c r="M950" s="1165"/>
      <c r="N950" s="1027"/>
      <c r="O950" s="1026"/>
      <c r="P950" s="1028"/>
      <c r="Q950" s="1029"/>
      <c r="R950" s="1166"/>
      <c r="S950" s="1030"/>
      <c r="T950" s="1031"/>
      <c r="U950" s="1032"/>
      <c r="V950" s="1033"/>
      <c r="W950" s="1034"/>
      <c r="X950" s="1166"/>
      <c r="Y950" s="1035"/>
      <c r="Z950" s="1036"/>
      <c r="AA950" s="1037"/>
      <c r="AB950" s="1038"/>
      <c r="AC950" s="1039"/>
      <c r="AD950" s="1040"/>
      <c r="AE950" s="1041"/>
      <c r="AF950" s="521"/>
      <c r="AG950" s="420"/>
      <c r="AH950" s="420"/>
      <c r="AI950" s="420"/>
      <c r="AJ950" s="420"/>
      <c r="AK950" s="518"/>
      <c r="AL950" s="1042"/>
      <c r="AM950" s="1035"/>
      <c r="AN950" s="1043"/>
      <c r="AO950" s="1167"/>
      <c r="AP950" s="1044"/>
      <c r="AQ950" s="1035"/>
      <c r="AR950" s="1035"/>
      <c r="AS950" s="1035"/>
      <c r="AT950" s="1165"/>
      <c r="AU950" s="1031"/>
      <c r="AV950" s="1045"/>
      <c r="AW950" s="1038"/>
      <c r="AX950" s="1035"/>
      <c r="AY950" s="483"/>
      <c r="AZ950" s="429"/>
      <c r="BA950" s="431"/>
      <c r="BB950" s="1035"/>
      <c r="BC950" s="1035"/>
      <c r="BD950" s="481"/>
      <c r="BE950" s="432"/>
      <c r="BF950" s="646"/>
      <c r="BG950" s="1047"/>
      <c r="BH950" s="1046"/>
      <c r="BI950" s="1048"/>
      <c r="BJ950" s="1030"/>
      <c r="BK950" s="1046"/>
      <c r="BL950" s="1048"/>
      <c r="BM950" s="1046"/>
      <c r="BN950" s="1167"/>
      <c r="BO950" s="1035"/>
      <c r="BP950" s="1043"/>
      <c r="BQ950" s="1167"/>
      <c r="BR950" s="1165"/>
      <c r="BS950" s="1031"/>
      <c r="BT950" s="1038"/>
      <c r="BU950" s="1035"/>
      <c r="BV950" s="1035"/>
      <c r="BW950" s="1049"/>
      <c r="BX950" s="1043"/>
      <c r="BY950" s="1046"/>
      <c r="BZ950" s="1167"/>
      <c r="CA950" s="1165"/>
      <c r="CB950" s="1031"/>
      <c r="CC950" s="1038"/>
      <c r="CD950" s="1035"/>
      <c r="CE950" s="1035"/>
      <c r="CF950" s="1049"/>
      <c r="CG950" s="1043"/>
      <c r="CH950" s="1046"/>
      <c r="CI950" s="1167"/>
      <c r="CJ950" s="1168"/>
      <c r="CK950" s="1169"/>
      <c r="CL950" s="1169"/>
      <c r="CM950" s="1166"/>
      <c r="CN950" s="1169"/>
      <c r="CO950" s="1169"/>
      <c r="CP950" s="452"/>
      <c r="CQ950" s="435"/>
      <c r="CR950" s="441"/>
      <c r="CS950" s="452"/>
      <c r="CT950" s="482"/>
      <c r="CU950" s="476"/>
      <c r="CV950" s="431"/>
      <c r="CW950" s="1108"/>
      <c r="CX950" s="1108"/>
      <c r="CY950" s="483"/>
      <c r="CZ950" s="437"/>
      <c r="DA950" s="438"/>
      <c r="DB950" s="439"/>
      <c r="DC950" s="439"/>
      <c r="DD950" s="443"/>
      <c r="DE950" s="411"/>
      <c r="DF950" s="411"/>
      <c r="DG950" s="1117"/>
      <c r="DH950" s="1117"/>
      <c r="DI950" s="1117"/>
      <c r="DJ950" s="442"/>
      <c r="DK950" s="482"/>
      <c r="DL950" s="1038"/>
      <c r="DM950" s="1035"/>
      <c r="DN950" s="1035"/>
      <c r="DO950" s="1035"/>
      <c r="DP950" s="1046"/>
      <c r="DQ950" s="1167"/>
      <c r="DR950" s="1168"/>
      <c r="DS950" s="1165"/>
      <c r="DT950" s="1165"/>
      <c r="DU950" s="1165"/>
      <c r="DV950" s="1031"/>
      <c r="DW950" s="1098">
        <f t="shared" si="1180"/>
        <v>0</v>
      </c>
      <c r="DX950" s="1098">
        <f t="shared" si="1181"/>
        <v>0</v>
      </c>
      <c r="DY950" s="1030"/>
      <c r="DZ950" s="1030"/>
      <c r="EA950" s="1031"/>
      <c r="EB950" s="1050"/>
      <c r="EC950" s="1038"/>
      <c r="ED950" s="1035"/>
      <c r="EE950" s="1046"/>
      <c r="EF950" s="1169"/>
      <c r="EG950" s="1168"/>
      <c r="EH950" s="1165"/>
      <c r="EI950" s="1165"/>
      <c r="EJ950" s="1165"/>
      <c r="EK950" s="1031"/>
      <c r="EL950" s="1098">
        <f t="shared" si="1182"/>
        <v>0</v>
      </c>
      <c r="EM950" s="1098">
        <f t="shared" si="1183"/>
        <v>0</v>
      </c>
      <c r="EN950" s="1030"/>
      <c r="EO950" s="1030"/>
      <c r="EP950" s="1031"/>
      <c r="EQ950" s="1050"/>
      <c r="ER950" s="1038"/>
      <c r="ES950" s="1035"/>
      <c r="ET950" s="1051"/>
    </row>
    <row r="951" spans="2:150" ht="16.5" customHeight="1">
      <c r="B951" s="1024"/>
      <c r="C951" s="1025"/>
      <c r="D951" s="408">
        <v>948</v>
      </c>
      <c r="E951" s="1164"/>
      <c r="F951" s="1164"/>
      <c r="G951" s="1026"/>
      <c r="H951" s="411" t="str">
        <f>IFERROR(INDEX(绊状态确认!C:C,MATCH($G951,绊状态确认!$B:$B,)),"")</f>
        <v/>
      </c>
      <c r="I951" s="450" t="str">
        <f>IFERROR(INDEX(绊状态确认!D:D,MATCH($G951,绊状态确认!$B:$B,)),"")</f>
        <v/>
      </c>
      <c r="J951" s="450" t="str">
        <f>IFERROR(INDEX(绊状态确认!E:E,MATCH($G951,绊状态确认!$B:$B,)),"")</f>
        <v/>
      </c>
      <c r="K951" s="451" t="str">
        <f>IFERROR(INDEX(绊状态确认!F:F,MATCH($G951,绊状态确认!$B:$B,)),"")</f>
        <v/>
      </c>
      <c r="L951" s="1026"/>
      <c r="M951" s="1165"/>
      <c r="N951" s="1027"/>
      <c r="O951" s="1026"/>
      <c r="P951" s="1028"/>
      <c r="Q951" s="1029"/>
      <c r="R951" s="1166"/>
      <c r="S951" s="1030"/>
      <c r="T951" s="1031"/>
      <c r="U951" s="1032"/>
      <c r="V951" s="1033"/>
      <c r="W951" s="1034"/>
      <c r="X951" s="1166"/>
      <c r="Y951" s="1035"/>
      <c r="Z951" s="1036"/>
      <c r="AA951" s="1037"/>
      <c r="AB951" s="1038"/>
      <c r="AC951" s="1039"/>
      <c r="AD951" s="1040"/>
      <c r="AE951" s="1041"/>
      <c r="AF951" s="521"/>
      <c r="AG951" s="420"/>
      <c r="AH951" s="420"/>
      <c r="AI951" s="420"/>
      <c r="AJ951" s="420"/>
      <c r="AK951" s="518"/>
      <c r="AL951" s="1042"/>
      <c r="AM951" s="1035"/>
      <c r="AN951" s="1043"/>
      <c r="AO951" s="1167"/>
      <c r="AP951" s="1044"/>
      <c r="AQ951" s="1035"/>
      <c r="AR951" s="1035"/>
      <c r="AS951" s="1035"/>
      <c r="AT951" s="1165"/>
      <c r="AU951" s="1031"/>
      <c r="AV951" s="1045"/>
      <c r="AW951" s="1038"/>
      <c r="AX951" s="1035"/>
      <c r="AY951" s="483"/>
      <c r="AZ951" s="429"/>
      <c r="BA951" s="431"/>
      <c r="BB951" s="1035"/>
      <c r="BC951" s="1035"/>
      <c r="BD951" s="481"/>
      <c r="BE951" s="432"/>
      <c r="BF951" s="646"/>
      <c r="BG951" s="1047"/>
      <c r="BH951" s="1046"/>
      <c r="BI951" s="1048"/>
      <c r="BJ951" s="1030"/>
      <c r="BK951" s="1046"/>
      <c r="BL951" s="1048"/>
      <c r="BM951" s="1046"/>
      <c r="BN951" s="1167"/>
      <c r="BO951" s="1035"/>
      <c r="BP951" s="1043"/>
      <c r="BQ951" s="1167"/>
      <c r="BR951" s="1165"/>
      <c r="BS951" s="1031"/>
      <c r="BT951" s="1038"/>
      <c r="BU951" s="1035"/>
      <c r="BV951" s="1035"/>
      <c r="BW951" s="1049"/>
      <c r="BX951" s="1043"/>
      <c r="BY951" s="1046"/>
      <c r="BZ951" s="1167"/>
      <c r="CA951" s="1165"/>
      <c r="CB951" s="1031"/>
      <c r="CC951" s="1038"/>
      <c r="CD951" s="1035"/>
      <c r="CE951" s="1035"/>
      <c r="CF951" s="1049"/>
      <c r="CG951" s="1043"/>
      <c r="CH951" s="1046"/>
      <c r="CI951" s="1167"/>
      <c r="CJ951" s="1168"/>
      <c r="CK951" s="1169"/>
      <c r="CL951" s="1169"/>
      <c r="CM951" s="1166"/>
      <c r="CN951" s="1169"/>
      <c r="CO951" s="1169"/>
      <c r="CP951" s="452"/>
      <c r="CQ951" s="435"/>
      <c r="CR951" s="441"/>
      <c r="CS951" s="452"/>
      <c r="CT951" s="482"/>
      <c r="CU951" s="476"/>
      <c r="CV951" s="431"/>
      <c r="CW951" s="1108"/>
      <c r="CX951" s="1108"/>
      <c r="CY951" s="483"/>
      <c r="CZ951" s="437"/>
      <c r="DA951" s="438"/>
      <c r="DB951" s="439"/>
      <c r="DC951" s="439"/>
      <c r="DD951" s="443"/>
      <c r="DE951" s="411"/>
      <c r="DF951" s="411"/>
      <c r="DG951" s="1117"/>
      <c r="DH951" s="1117"/>
      <c r="DI951" s="1117"/>
      <c r="DJ951" s="442"/>
      <c r="DK951" s="482"/>
      <c r="DL951" s="1038"/>
      <c r="DM951" s="1035"/>
      <c r="DN951" s="1035"/>
      <c r="DO951" s="1035"/>
      <c r="DP951" s="1046"/>
      <c r="DQ951" s="1167"/>
      <c r="DR951" s="1168"/>
      <c r="DS951" s="1165"/>
      <c r="DT951" s="1165"/>
      <c r="DU951" s="1165"/>
      <c r="DV951" s="1031"/>
      <c r="DW951" s="1098">
        <f t="shared" si="1180"/>
        <v>0</v>
      </c>
      <c r="DX951" s="1098">
        <f t="shared" si="1181"/>
        <v>0</v>
      </c>
      <c r="DY951" s="1030"/>
      <c r="DZ951" s="1030"/>
      <c r="EA951" s="1031"/>
      <c r="EB951" s="1050"/>
      <c r="EC951" s="1038"/>
      <c r="ED951" s="1035"/>
      <c r="EE951" s="1046"/>
      <c r="EF951" s="1169"/>
      <c r="EG951" s="1168"/>
      <c r="EH951" s="1165"/>
      <c r="EI951" s="1165"/>
      <c r="EJ951" s="1165"/>
      <c r="EK951" s="1031"/>
      <c r="EL951" s="1098">
        <f t="shared" si="1182"/>
        <v>0</v>
      </c>
      <c r="EM951" s="1098">
        <f t="shared" si="1183"/>
        <v>0</v>
      </c>
      <c r="EN951" s="1030"/>
      <c r="EO951" s="1030"/>
      <c r="EP951" s="1031"/>
      <c r="EQ951" s="1050"/>
      <c r="ER951" s="1038"/>
      <c r="ES951" s="1035"/>
      <c r="ET951" s="1051"/>
    </row>
    <row r="952" spans="2:150" ht="16.5" customHeight="1">
      <c r="B952" s="1024"/>
      <c r="C952" s="1025"/>
      <c r="D952" s="408">
        <v>949</v>
      </c>
      <c r="E952" s="1164"/>
      <c r="F952" s="1164"/>
      <c r="G952" s="1026"/>
      <c r="H952" s="411" t="str">
        <f>IFERROR(INDEX(绊状态确认!C:C,MATCH($G952,绊状态确认!$B:$B,)),"")</f>
        <v/>
      </c>
      <c r="I952" s="450" t="str">
        <f>IFERROR(INDEX(绊状态确认!D:D,MATCH($G952,绊状态确认!$B:$B,)),"")</f>
        <v/>
      </c>
      <c r="J952" s="450" t="str">
        <f>IFERROR(INDEX(绊状态确认!E:E,MATCH($G952,绊状态确认!$B:$B,)),"")</f>
        <v/>
      </c>
      <c r="K952" s="451" t="str">
        <f>IFERROR(INDEX(绊状态确认!F:F,MATCH($G952,绊状态确认!$B:$B,)),"")</f>
        <v/>
      </c>
      <c r="L952" s="1026"/>
      <c r="M952" s="1165"/>
      <c r="N952" s="1027"/>
      <c r="O952" s="1026"/>
      <c r="P952" s="1028"/>
      <c r="Q952" s="1029"/>
      <c r="R952" s="1166"/>
      <c r="S952" s="1030"/>
      <c r="T952" s="1031"/>
      <c r="U952" s="1032"/>
      <c r="V952" s="1033"/>
      <c r="W952" s="1034"/>
      <c r="X952" s="1166"/>
      <c r="Y952" s="1035"/>
      <c r="Z952" s="1036"/>
      <c r="AA952" s="1037"/>
      <c r="AB952" s="1038"/>
      <c r="AC952" s="1039"/>
      <c r="AD952" s="1040"/>
      <c r="AE952" s="1041"/>
      <c r="AF952" s="521"/>
      <c r="AG952" s="420"/>
      <c r="AH952" s="420"/>
      <c r="AI952" s="420"/>
      <c r="AJ952" s="420"/>
      <c r="AK952" s="518"/>
      <c r="AL952" s="1042"/>
      <c r="AM952" s="1035"/>
      <c r="AN952" s="1043"/>
      <c r="AO952" s="1167"/>
      <c r="AP952" s="1044"/>
      <c r="AQ952" s="1035"/>
      <c r="AR952" s="1035"/>
      <c r="AS952" s="1035"/>
      <c r="AT952" s="1165"/>
      <c r="AU952" s="1031"/>
      <c r="AV952" s="1045"/>
      <c r="AW952" s="1038"/>
      <c r="AX952" s="1035"/>
      <c r="AY952" s="483"/>
      <c r="AZ952" s="429"/>
      <c r="BA952" s="431"/>
      <c r="BB952" s="1035"/>
      <c r="BC952" s="1035"/>
      <c r="BD952" s="481"/>
      <c r="BE952" s="432"/>
      <c r="BF952" s="646"/>
      <c r="BG952" s="1047"/>
      <c r="BH952" s="1046"/>
      <c r="BI952" s="1048"/>
      <c r="BJ952" s="1030"/>
      <c r="BK952" s="1046"/>
      <c r="BL952" s="1048"/>
      <c r="BM952" s="1046"/>
      <c r="BN952" s="1167"/>
      <c r="BO952" s="1035"/>
      <c r="BP952" s="1043"/>
      <c r="BQ952" s="1167"/>
      <c r="BR952" s="1165"/>
      <c r="BS952" s="1031"/>
      <c r="BT952" s="1038"/>
      <c r="BU952" s="1035"/>
      <c r="BV952" s="1035"/>
      <c r="BW952" s="1049"/>
      <c r="BX952" s="1043"/>
      <c r="BY952" s="1046"/>
      <c r="BZ952" s="1167"/>
      <c r="CA952" s="1165"/>
      <c r="CB952" s="1031"/>
      <c r="CC952" s="1038"/>
      <c r="CD952" s="1035"/>
      <c r="CE952" s="1035"/>
      <c r="CF952" s="1049"/>
      <c r="CG952" s="1043"/>
      <c r="CH952" s="1046"/>
      <c r="CI952" s="1167"/>
      <c r="CJ952" s="1168"/>
      <c r="CK952" s="1169"/>
      <c r="CL952" s="1169"/>
      <c r="CM952" s="1166"/>
      <c r="CN952" s="1169"/>
      <c r="CO952" s="1169"/>
      <c r="CP952" s="452"/>
      <c r="CQ952" s="435"/>
      <c r="CR952" s="1117"/>
      <c r="CS952" s="452"/>
      <c r="CT952" s="482"/>
      <c r="CU952" s="476"/>
      <c r="CV952" s="431"/>
      <c r="CW952" s="1108"/>
      <c r="CX952" s="1108"/>
      <c r="CY952" s="483"/>
      <c r="CZ952" s="437"/>
      <c r="DA952" s="438"/>
      <c r="DB952" s="439"/>
      <c r="DC952" s="439"/>
      <c r="DD952" s="443"/>
      <c r="DE952" s="411"/>
      <c r="DF952" s="411"/>
      <c r="DG952" s="1117"/>
      <c r="DH952" s="1117"/>
      <c r="DI952" s="1117"/>
      <c r="DJ952" s="442"/>
      <c r="DK952" s="482"/>
      <c r="DL952" s="1038"/>
      <c r="DM952" s="1035"/>
      <c r="DN952" s="1035"/>
      <c r="DO952" s="1035"/>
      <c r="DP952" s="1046"/>
      <c r="DQ952" s="1167"/>
      <c r="DR952" s="1168"/>
      <c r="DS952" s="1165"/>
      <c r="DT952" s="1165"/>
      <c r="DU952" s="1165"/>
      <c r="DV952" s="1031"/>
      <c r="DW952" s="1098">
        <f t="shared" si="1180"/>
        <v>0</v>
      </c>
      <c r="DX952" s="1098">
        <f t="shared" si="1181"/>
        <v>0</v>
      </c>
      <c r="DY952" s="1030"/>
      <c r="DZ952" s="1030"/>
      <c r="EA952" s="1031"/>
      <c r="EB952" s="1050"/>
      <c r="EC952" s="1038"/>
      <c r="ED952" s="1035"/>
      <c r="EE952" s="1046"/>
      <c r="EF952" s="1169"/>
      <c r="EG952" s="1168"/>
      <c r="EH952" s="1165"/>
      <c r="EI952" s="1165"/>
      <c r="EJ952" s="1165"/>
      <c r="EK952" s="1031"/>
      <c r="EL952" s="1098">
        <f t="shared" si="1182"/>
        <v>0</v>
      </c>
      <c r="EM952" s="1098">
        <f t="shared" si="1183"/>
        <v>0</v>
      </c>
      <c r="EN952" s="1030"/>
      <c r="EO952" s="1030"/>
      <c r="EP952" s="1031"/>
      <c r="EQ952" s="1050"/>
      <c r="ER952" s="1038"/>
      <c r="ES952" s="1035"/>
      <c r="ET952" s="1051"/>
    </row>
    <row r="953" spans="2:150" ht="16.5" customHeight="1">
      <c r="B953" s="1024"/>
      <c r="C953" s="1025"/>
      <c r="D953" s="408">
        <v>950</v>
      </c>
      <c r="E953" s="1164"/>
      <c r="F953" s="1164"/>
      <c r="G953" s="1026"/>
      <c r="H953" s="411" t="str">
        <f>IFERROR(INDEX(绊状态确认!C:C,MATCH($G953,绊状态确认!$B:$B,)),"")</f>
        <v/>
      </c>
      <c r="I953" s="450" t="str">
        <f>IFERROR(INDEX(绊状态确认!D:D,MATCH($G953,绊状态确认!$B:$B,)),"")</f>
        <v/>
      </c>
      <c r="J953" s="450" t="str">
        <f>IFERROR(INDEX(绊状态确认!E:E,MATCH($G953,绊状态确认!$B:$B,)),"")</f>
        <v/>
      </c>
      <c r="K953" s="451" t="str">
        <f>IFERROR(INDEX(绊状态确认!F:F,MATCH($G953,绊状态确认!$B:$B,)),"")</f>
        <v/>
      </c>
      <c r="L953" s="1026"/>
      <c r="M953" s="1165"/>
      <c r="N953" s="1027"/>
      <c r="O953" s="1026"/>
      <c r="P953" s="1028"/>
      <c r="Q953" s="1029"/>
      <c r="R953" s="1166"/>
      <c r="S953" s="1030"/>
      <c r="T953" s="1031"/>
      <c r="U953" s="1032"/>
      <c r="V953" s="1033"/>
      <c r="W953" s="1034"/>
      <c r="X953" s="1166"/>
      <c r="Y953" s="1035"/>
      <c r="Z953" s="1036"/>
      <c r="AA953" s="1037"/>
      <c r="AB953" s="1038"/>
      <c r="AC953" s="1039"/>
      <c r="AD953" s="1040"/>
      <c r="AE953" s="1041"/>
      <c r="AF953" s="521"/>
      <c r="AG953" s="420"/>
      <c r="AH953" s="420"/>
      <c r="AI953" s="420"/>
      <c r="AJ953" s="420"/>
      <c r="AK953" s="518"/>
      <c r="AL953" s="1042"/>
      <c r="AM953" s="1035"/>
      <c r="AN953" s="1043"/>
      <c r="AO953" s="1167"/>
      <c r="AP953" s="1044"/>
      <c r="AQ953" s="1035"/>
      <c r="AR953" s="1035"/>
      <c r="AS953" s="1035"/>
      <c r="AT953" s="1165"/>
      <c r="AU953" s="1031"/>
      <c r="AV953" s="1045"/>
      <c r="AW953" s="1038"/>
      <c r="AX953" s="1035"/>
      <c r="AY953" s="483"/>
      <c r="AZ953" s="429"/>
      <c r="BA953" s="431"/>
      <c r="BB953" s="1035"/>
      <c r="BC953" s="1035"/>
      <c r="BD953" s="481"/>
      <c r="BE953" s="432"/>
      <c r="BF953" s="646"/>
      <c r="BG953" s="1047"/>
      <c r="BH953" s="1046"/>
      <c r="BI953" s="1048"/>
      <c r="BJ953" s="1030"/>
      <c r="BK953" s="1046"/>
      <c r="BL953" s="1048"/>
      <c r="BM953" s="1046"/>
      <c r="BN953" s="1167"/>
      <c r="BO953" s="1035"/>
      <c r="BP953" s="1043"/>
      <c r="BQ953" s="1167"/>
      <c r="BR953" s="1165"/>
      <c r="BS953" s="1031"/>
      <c r="BT953" s="1038"/>
      <c r="BU953" s="1035"/>
      <c r="BV953" s="1035"/>
      <c r="BW953" s="1049"/>
      <c r="BX953" s="1043"/>
      <c r="BY953" s="1046"/>
      <c r="BZ953" s="1167"/>
      <c r="CA953" s="1165"/>
      <c r="CB953" s="1031"/>
      <c r="CC953" s="1038"/>
      <c r="CD953" s="1035"/>
      <c r="CE953" s="1035"/>
      <c r="CF953" s="1049"/>
      <c r="CG953" s="1043"/>
      <c r="CH953" s="1046"/>
      <c r="CI953" s="1167"/>
      <c r="CJ953" s="1168"/>
      <c r="CK953" s="1169"/>
      <c r="CL953" s="1169"/>
      <c r="CM953" s="1166"/>
      <c r="CN953" s="1169"/>
      <c r="CO953" s="1169"/>
      <c r="CP953" s="452"/>
      <c r="CQ953" s="435"/>
      <c r="CR953" s="1117"/>
      <c r="CS953" s="452"/>
      <c r="CT953" s="482"/>
      <c r="CU953" s="476"/>
      <c r="CV953" s="431"/>
      <c r="CW953" s="1108"/>
      <c r="CX953" s="1108"/>
      <c r="CY953" s="483"/>
      <c r="CZ953" s="437"/>
      <c r="DA953" s="438"/>
      <c r="DB953" s="439"/>
      <c r="DC953" s="439"/>
      <c r="DD953" s="443"/>
      <c r="DE953" s="411"/>
      <c r="DF953" s="411"/>
      <c r="DG953" s="1117"/>
      <c r="DH953" s="1117"/>
      <c r="DI953" s="1117"/>
      <c r="DJ953" s="442"/>
      <c r="DK953" s="482"/>
      <c r="DL953" s="1038"/>
      <c r="DM953" s="1035"/>
      <c r="DN953" s="1035"/>
      <c r="DO953" s="1035"/>
      <c r="DP953" s="1046"/>
      <c r="DQ953" s="1167"/>
      <c r="DR953" s="1168"/>
      <c r="DS953" s="1165"/>
      <c r="DT953" s="1165"/>
      <c r="DU953" s="1165"/>
      <c r="DV953" s="1031"/>
      <c r="DW953" s="1098">
        <f t="shared" si="1180"/>
        <v>0</v>
      </c>
      <c r="DX953" s="1098">
        <f t="shared" si="1181"/>
        <v>0</v>
      </c>
      <c r="DY953" s="1030"/>
      <c r="DZ953" s="1030"/>
      <c r="EA953" s="1031"/>
      <c r="EB953" s="1050"/>
      <c r="EC953" s="1038"/>
      <c r="ED953" s="1035"/>
      <c r="EE953" s="1046"/>
      <c r="EF953" s="1169"/>
      <c r="EG953" s="1168"/>
      <c r="EH953" s="1165"/>
      <c r="EI953" s="1165"/>
      <c r="EJ953" s="1165"/>
      <c r="EK953" s="1031"/>
      <c r="EL953" s="1098">
        <f t="shared" si="1182"/>
        <v>0</v>
      </c>
      <c r="EM953" s="1098">
        <f t="shared" si="1183"/>
        <v>0</v>
      </c>
      <c r="EN953" s="1030"/>
      <c r="EO953" s="1030"/>
      <c r="EP953" s="1031"/>
      <c r="EQ953" s="1050"/>
      <c r="ER953" s="1038"/>
      <c r="ES953" s="1035"/>
      <c r="ET953" s="1051"/>
    </row>
    <row r="954" spans="2:150" ht="16.5" customHeight="1">
      <c r="B954" s="1024"/>
      <c r="C954" s="1025"/>
      <c r="D954" s="408">
        <v>951</v>
      </c>
      <c r="E954" s="1164"/>
      <c r="F954" s="1164"/>
      <c r="G954" s="1026"/>
      <c r="H954" s="411" t="str">
        <f>IFERROR(INDEX(绊状态确认!C:C,MATCH($G954,绊状态确认!$B:$B,)),"")</f>
        <v/>
      </c>
      <c r="I954" s="450" t="str">
        <f>IFERROR(INDEX(绊状态确认!D:D,MATCH($G954,绊状态确认!$B:$B,)),"")</f>
        <v/>
      </c>
      <c r="J954" s="450" t="str">
        <f>IFERROR(INDEX(绊状态确认!E:E,MATCH($G954,绊状态确认!$B:$B,)),"")</f>
        <v/>
      </c>
      <c r="K954" s="451" t="str">
        <f>IFERROR(INDEX(绊状态确认!F:F,MATCH($G954,绊状态确认!$B:$B,)),"")</f>
        <v/>
      </c>
      <c r="L954" s="1026"/>
      <c r="M954" s="1165"/>
      <c r="N954" s="1027"/>
      <c r="O954" s="1026"/>
      <c r="P954" s="1028"/>
      <c r="Q954" s="1029"/>
      <c r="R954" s="1166"/>
      <c r="S954" s="1030"/>
      <c r="T954" s="1031"/>
      <c r="U954" s="1032"/>
      <c r="V954" s="1033"/>
      <c r="W954" s="1034"/>
      <c r="X954" s="1166"/>
      <c r="Y954" s="1035"/>
      <c r="Z954" s="1036"/>
      <c r="AA954" s="1037"/>
      <c r="AB954" s="1038"/>
      <c r="AC954" s="1039"/>
      <c r="AD954" s="1040"/>
      <c r="AE954" s="1041"/>
      <c r="AF954" s="521"/>
      <c r="AG954" s="420"/>
      <c r="AH954" s="420"/>
      <c r="AI954" s="420"/>
      <c r="AJ954" s="420"/>
      <c r="AK954" s="518"/>
      <c r="AL954" s="1042"/>
      <c r="AM954" s="1035"/>
      <c r="AN954" s="1043"/>
      <c r="AO954" s="1167"/>
      <c r="AP954" s="1044"/>
      <c r="AQ954" s="1035"/>
      <c r="AR954" s="1035"/>
      <c r="AS954" s="1035"/>
      <c r="AT954" s="1165"/>
      <c r="AU954" s="1031"/>
      <c r="AV954" s="1045"/>
      <c r="AW954" s="1038"/>
      <c r="AX954" s="1035"/>
      <c r="AY954" s="483"/>
      <c r="AZ954" s="429"/>
      <c r="BA954" s="431"/>
      <c r="BB954" s="1035"/>
      <c r="BC954" s="1035"/>
      <c r="BD954" s="481"/>
      <c r="BE954" s="432"/>
      <c r="BF954" s="646"/>
      <c r="BG954" s="1047"/>
      <c r="BH954" s="1046"/>
      <c r="BI954" s="1048"/>
      <c r="BJ954" s="1030"/>
      <c r="BK954" s="1046"/>
      <c r="BL954" s="1048"/>
      <c r="BM954" s="1046"/>
      <c r="BN954" s="1167"/>
      <c r="BO954" s="1035"/>
      <c r="BP954" s="1043"/>
      <c r="BQ954" s="1167"/>
      <c r="BR954" s="1165"/>
      <c r="BS954" s="1031"/>
      <c r="BT954" s="1038"/>
      <c r="BU954" s="1035"/>
      <c r="BV954" s="1035"/>
      <c r="BW954" s="1049"/>
      <c r="BX954" s="1043"/>
      <c r="BY954" s="1046"/>
      <c r="BZ954" s="1167"/>
      <c r="CA954" s="1165"/>
      <c r="CB954" s="1031"/>
      <c r="CC954" s="1038"/>
      <c r="CD954" s="1035"/>
      <c r="CE954" s="1035"/>
      <c r="CF954" s="1049"/>
      <c r="CG954" s="1043"/>
      <c r="CH954" s="1046"/>
      <c r="CI954" s="1167"/>
      <c r="CJ954" s="1168"/>
      <c r="CK954" s="1169"/>
      <c r="CL954" s="1169"/>
      <c r="CM954" s="1166"/>
      <c r="CN954" s="1169"/>
      <c r="CO954" s="1169"/>
      <c r="CP954" s="452"/>
      <c r="CQ954" s="435"/>
      <c r="CR954" s="441"/>
      <c r="CS954" s="452"/>
      <c r="CT954" s="482"/>
      <c r="CU954" s="476"/>
      <c r="CV954" s="431"/>
      <c r="CW954" s="1108"/>
      <c r="CX954" s="1108"/>
      <c r="CY954" s="483"/>
      <c r="CZ954" s="437"/>
      <c r="DA954" s="438"/>
      <c r="DB954" s="439"/>
      <c r="DC954" s="439"/>
      <c r="DD954" s="443"/>
      <c r="DE954" s="411"/>
      <c r="DF954" s="411"/>
      <c r="DG954" s="1117"/>
      <c r="DH954" s="1117"/>
      <c r="DI954" s="1117"/>
      <c r="DJ954" s="442"/>
      <c r="DK954" s="482"/>
      <c r="DL954" s="1038"/>
      <c r="DM954" s="1035"/>
      <c r="DN954" s="1035"/>
      <c r="DO954" s="1035"/>
      <c r="DP954" s="1046"/>
      <c r="DQ954" s="1167"/>
      <c r="DR954" s="1168"/>
      <c r="DS954" s="1165"/>
      <c r="DT954" s="1165"/>
      <c r="DU954" s="1165"/>
      <c r="DV954" s="1031"/>
      <c r="DW954" s="1098">
        <f t="shared" si="1180"/>
        <v>0</v>
      </c>
      <c r="DX954" s="1098">
        <f t="shared" si="1181"/>
        <v>0</v>
      </c>
      <c r="DY954" s="1030"/>
      <c r="DZ954" s="1030"/>
      <c r="EA954" s="1031"/>
      <c r="EB954" s="1050"/>
      <c r="EC954" s="1038"/>
      <c r="ED954" s="1035"/>
      <c r="EE954" s="1046"/>
      <c r="EF954" s="1169"/>
      <c r="EG954" s="1168"/>
      <c r="EH954" s="1165"/>
      <c r="EI954" s="1165"/>
      <c r="EJ954" s="1165"/>
      <c r="EK954" s="1031"/>
      <c r="EL954" s="1098">
        <f t="shared" si="1182"/>
        <v>0</v>
      </c>
      <c r="EM954" s="1098">
        <f t="shared" si="1183"/>
        <v>0</v>
      </c>
      <c r="EN954" s="1030"/>
      <c r="EO954" s="1030"/>
      <c r="EP954" s="1031"/>
      <c r="EQ954" s="1050"/>
      <c r="ER954" s="1038"/>
      <c r="ES954" s="1035"/>
      <c r="ET954" s="1051"/>
    </row>
    <row r="955" spans="2:150" ht="16.5" customHeight="1">
      <c r="B955" s="1024"/>
      <c r="C955" s="1025"/>
      <c r="D955" s="408">
        <v>952</v>
      </c>
      <c r="E955" s="1164"/>
      <c r="F955" s="1164"/>
      <c r="G955" s="1026"/>
      <c r="H955" s="411" t="str">
        <f>IFERROR(INDEX(绊状态确认!C:C,MATCH($G955,绊状态确认!$B:$B,)),"")</f>
        <v/>
      </c>
      <c r="I955" s="450" t="str">
        <f>IFERROR(INDEX(绊状态确认!D:D,MATCH($G955,绊状态确认!$B:$B,)),"")</f>
        <v/>
      </c>
      <c r="J955" s="450" t="str">
        <f>IFERROR(INDEX(绊状态确认!E:E,MATCH($G955,绊状态确认!$B:$B,)),"")</f>
        <v/>
      </c>
      <c r="K955" s="451" t="str">
        <f>IFERROR(INDEX(绊状态确认!F:F,MATCH($G955,绊状态确认!$B:$B,)),"")</f>
        <v/>
      </c>
      <c r="L955" s="1026"/>
      <c r="M955" s="1165"/>
      <c r="N955" s="1027"/>
      <c r="O955" s="1026"/>
      <c r="P955" s="1028"/>
      <c r="Q955" s="1029"/>
      <c r="R955" s="1166"/>
      <c r="S955" s="1030"/>
      <c r="T955" s="1031"/>
      <c r="U955" s="1032"/>
      <c r="V955" s="1033"/>
      <c r="W955" s="1034"/>
      <c r="X955" s="1166"/>
      <c r="Y955" s="1035"/>
      <c r="Z955" s="1036"/>
      <c r="AA955" s="1037"/>
      <c r="AB955" s="1038"/>
      <c r="AC955" s="1039"/>
      <c r="AD955" s="1040"/>
      <c r="AE955" s="1041"/>
      <c r="AF955" s="521"/>
      <c r="AG955" s="420"/>
      <c r="AH955" s="420"/>
      <c r="AI955" s="420"/>
      <c r="AJ955" s="420"/>
      <c r="AK955" s="518"/>
      <c r="AL955" s="1042"/>
      <c r="AM955" s="1035"/>
      <c r="AN955" s="1043"/>
      <c r="AO955" s="1167"/>
      <c r="AP955" s="1044"/>
      <c r="AQ955" s="1035"/>
      <c r="AR955" s="1035"/>
      <c r="AS955" s="1035"/>
      <c r="AT955" s="1165"/>
      <c r="AU955" s="1031"/>
      <c r="AV955" s="1045"/>
      <c r="AW955" s="1038"/>
      <c r="AX955" s="1035"/>
      <c r="AY955" s="483"/>
      <c r="AZ955" s="429"/>
      <c r="BA955" s="431"/>
      <c r="BB955" s="1035"/>
      <c r="BC955" s="1035"/>
      <c r="BD955" s="481"/>
      <c r="BE955" s="432"/>
      <c r="BF955" s="646"/>
      <c r="BG955" s="1047"/>
      <c r="BH955" s="1046"/>
      <c r="BI955" s="1048"/>
      <c r="BJ955" s="1030"/>
      <c r="BK955" s="1046"/>
      <c r="BL955" s="1048"/>
      <c r="BM955" s="1046"/>
      <c r="BN955" s="1167"/>
      <c r="BO955" s="1035"/>
      <c r="BP955" s="1043"/>
      <c r="BQ955" s="1167"/>
      <c r="BR955" s="1165"/>
      <c r="BS955" s="1031"/>
      <c r="BT955" s="1038"/>
      <c r="BU955" s="1035"/>
      <c r="BV955" s="1035"/>
      <c r="BW955" s="1049"/>
      <c r="BX955" s="1043"/>
      <c r="BY955" s="1046"/>
      <c r="BZ955" s="1167"/>
      <c r="CA955" s="1165"/>
      <c r="CB955" s="1031"/>
      <c r="CC955" s="1038"/>
      <c r="CD955" s="1035"/>
      <c r="CE955" s="1035"/>
      <c r="CF955" s="1049"/>
      <c r="CG955" s="1043"/>
      <c r="CH955" s="1046"/>
      <c r="CI955" s="1167"/>
      <c r="CJ955" s="1168"/>
      <c r="CK955" s="1169"/>
      <c r="CL955" s="1169"/>
      <c r="CM955" s="1166"/>
      <c r="CN955" s="1169"/>
      <c r="CO955" s="1169"/>
      <c r="CP955" s="452"/>
      <c r="CQ955" s="435"/>
      <c r="CR955" s="441"/>
      <c r="CS955" s="452"/>
      <c r="CT955" s="482"/>
      <c r="CU955" s="476"/>
      <c r="CV955" s="431"/>
      <c r="CW955" s="1108"/>
      <c r="CX955" s="1108"/>
      <c r="CY955" s="483"/>
      <c r="CZ955" s="437"/>
      <c r="DA955" s="438"/>
      <c r="DB955" s="439"/>
      <c r="DC955" s="439"/>
      <c r="DD955" s="443"/>
      <c r="DE955" s="411"/>
      <c r="DF955" s="411"/>
      <c r="DG955" s="1117"/>
      <c r="DH955" s="1117"/>
      <c r="DI955" s="1117"/>
      <c r="DJ955" s="442"/>
      <c r="DK955" s="482"/>
      <c r="DL955" s="1038"/>
      <c r="DM955" s="1035"/>
      <c r="DN955" s="1035"/>
      <c r="DO955" s="1035"/>
      <c r="DP955" s="1046"/>
      <c r="DQ955" s="1167"/>
      <c r="DR955" s="1168"/>
      <c r="DS955" s="1165"/>
      <c r="DT955" s="1165"/>
      <c r="DU955" s="1165"/>
      <c r="DV955" s="1031"/>
      <c r="DW955" s="1098">
        <f t="shared" si="1180"/>
        <v>0</v>
      </c>
      <c r="DX955" s="1098">
        <f t="shared" si="1181"/>
        <v>0</v>
      </c>
      <c r="DY955" s="1030"/>
      <c r="DZ955" s="1030"/>
      <c r="EA955" s="1031"/>
      <c r="EB955" s="1050"/>
      <c r="EC955" s="1038"/>
      <c r="ED955" s="1035"/>
      <c r="EE955" s="1046"/>
      <c r="EF955" s="1169"/>
      <c r="EG955" s="1168"/>
      <c r="EH955" s="1165"/>
      <c r="EI955" s="1165"/>
      <c r="EJ955" s="1165"/>
      <c r="EK955" s="1031"/>
      <c r="EL955" s="1098">
        <f t="shared" si="1182"/>
        <v>0</v>
      </c>
      <c r="EM955" s="1098">
        <f t="shared" si="1183"/>
        <v>0</v>
      </c>
      <c r="EN955" s="1030"/>
      <c r="EO955" s="1030"/>
      <c r="EP955" s="1031"/>
      <c r="EQ955" s="1050"/>
      <c r="ER955" s="1038"/>
      <c r="ES955" s="1035"/>
      <c r="ET955" s="1051"/>
    </row>
    <row r="956" spans="2:150" ht="16.5" customHeight="1">
      <c r="B956" s="1024"/>
      <c r="C956" s="1025"/>
      <c r="D956" s="408">
        <v>953</v>
      </c>
      <c r="E956" s="1164"/>
      <c r="F956" s="1164"/>
      <c r="G956" s="1026"/>
      <c r="H956" s="411" t="str">
        <f>IFERROR(INDEX(绊状态确认!C:C,MATCH($G956,绊状态确认!$B:$B,)),"")</f>
        <v/>
      </c>
      <c r="I956" s="450" t="str">
        <f>IFERROR(INDEX(绊状态确认!D:D,MATCH($G956,绊状态确认!$B:$B,)),"")</f>
        <v/>
      </c>
      <c r="J956" s="450" t="str">
        <f>IFERROR(INDEX(绊状态确认!E:E,MATCH($G956,绊状态确认!$B:$B,)),"")</f>
        <v/>
      </c>
      <c r="K956" s="451" t="str">
        <f>IFERROR(INDEX(绊状态确认!F:F,MATCH($G956,绊状态确认!$B:$B,)),"")</f>
        <v/>
      </c>
      <c r="L956" s="1026"/>
      <c r="M956" s="1165"/>
      <c r="N956" s="1027"/>
      <c r="O956" s="1026"/>
      <c r="P956" s="1028"/>
      <c r="Q956" s="1029"/>
      <c r="R956" s="1166"/>
      <c r="S956" s="1030"/>
      <c r="T956" s="1031"/>
      <c r="U956" s="1032"/>
      <c r="V956" s="1033"/>
      <c r="W956" s="1034"/>
      <c r="X956" s="1166"/>
      <c r="Y956" s="1035"/>
      <c r="Z956" s="1036"/>
      <c r="AA956" s="1037"/>
      <c r="AB956" s="1038"/>
      <c r="AC956" s="1039"/>
      <c r="AD956" s="1040"/>
      <c r="AE956" s="1041"/>
      <c r="AF956" s="521"/>
      <c r="AG956" s="420"/>
      <c r="AH956" s="420"/>
      <c r="AI956" s="420"/>
      <c r="AJ956" s="420"/>
      <c r="AK956" s="518"/>
      <c r="AL956" s="1042"/>
      <c r="AM956" s="1035"/>
      <c r="AN956" s="1043"/>
      <c r="AO956" s="1167"/>
      <c r="AP956" s="1044"/>
      <c r="AQ956" s="1035"/>
      <c r="AR956" s="1035"/>
      <c r="AS956" s="1035"/>
      <c r="AT956" s="1165"/>
      <c r="AU956" s="1031"/>
      <c r="AV956" s="1045"/>
      <c r="AW956" s="1038"/>
      <c r="AX956" s="1035"/>
      <c r="AY956" s="483"/>
      <c r="AZ956" s="429"/>
      <c r="BA956" s="431"/>
      <c r="BB956" s="1035"/>
      <c r="BC956" s="1035"/>
      <c r="BD956" s="481"/>
      <c r="BE956" s="432"/>
      <c r="BF956" s="646"/>
      <c r="BG956" s="1047"/>
      <c r="BH956" s="1046"/>
      <c r="BI956" s="1048"/>
      <c r="BJ956" s="1030"/>
      <c r="BK956" s="1046"/>
      <c r="BL956" s="1048"/>
      <c r="BM956" s="1046"/>
      <c r="BN956" s="1167"/>
      <c r="BO956" s="1035"/>
      <c r="BP956" s="1043"/>
      <c r="BQ956" s="1167"/>
      <c r="BR956" s="1165"/>
      <c r="BS956" s="1031"/>
      <c r="BT956" s="1038"/>
      <c r="BU956" s="1035"/>
      <c r="BV956" s="1035"/>
      <c r="BW956" s="1049"/>
      <c r="BX956" s="1043"/>
      <c r="BY956" s="1046"/>
      <c r="BZ956" s="1167"/>
      <c r="CA956" s="1165"/>
      <c r="CB956" s="1031"/>
      <c r="CC956" s="1038"/>
      <c r="CD956" s="1035"/>
      <c r="CE956" s="1035"/>
      <c r="CF956" s="1049"/>
      <c r="CG956" s="1043"/>
      <c r="CH956" s="1046"/>
      <c r="CI956" s="1167"/>
      <c r="CJ956" s="1168"/>
      <c r="CK956" s="1169"/>
      <c r="CL956" s="1169"/>
      <c r="CM956" s="1166"/>
      <c r="CN956" s="1169"/>
      <c r="CO956" s="1169"/>
      <c r="CP956" s="452"/>
      <c r="CQ956" s="435"/>
      <c r="CR956" s="441"/>
      <c r="CS956" s="452"/>
      <c r="CT956" s="482"/>
      <c r="CU956" s="476"/>
      <c r="CV956" s="431"/>
      <c r="CW956" s="1108"/>
      <c r="CX956" s="1108"/>
      <c r="CY956" s="483"/>
      <c r="CZ956" s="437"/>
      <c r="DA956" s="438"/>
      <c r="DB956" s="439"/>
      <c r="DC956" s="439"/>
      <c r="DD956" s="443"/>
      <c r="DE956" s="411"/>
      <c r="DF956" s="411"/>
      <c r="DG956" s="1117"/>
      <c r="DH956" s="1117"/>
      <c r="DI956" s="1117"/>
      <c r="DJ956" s="442"/>
      <c r="DK956" s="482"/>
      <c r="DL956" s="1038"/>
      <c r="DM956" s="1035"/>
      <c r="DN956" s="1035"/>
      <c r="DO956" s="1035"/>
      <c r="DP956" s="1046"/>
      <c r="DQ956" s="1167"/>
      <c r="DR956" s="1168"/>
      <c r="DS956" s="1165"/>
      <c r="DT956" s="1165"/>
      <c r="DU956" s="1165"/>
      <c r="DV956" s="1031"/>
      <c r="DW956" s="1098">
        <f t="shared" si="1180"/>
        <v>0</v>
      </c>
      <c r="DX956" s="1098">
        <f t="shared" si="1181"/>
        <v>0</v>
      </c>
      <c r="DY956" s="1030"/>
      <c r="DZ956" s="1030"/>
      <c r="EA956" s="1031"/>
      <c r="EB956" s="1050"/>
      <c r="EC956" s="1038"/>
      <c r="ED956" s="1035"/>
      <c r="EE956" s="1046"/>
      <c r="EF956" s="1169"/>
      <c r="EG956" s="1168"/>
      <c r="EH956" s="1165"/>
      <c r="EI956" s="1165"/>
      <c r="EJ956" s="1165"/>
      <c r="EK956" s="1031"/>
      <c r="EL956" s="1098">
        <f t="shared" si="1182"/>
        <v>0</v>
      </c>
      <c r="EM956" s="1098">
        <f t="shared" si="1183"/>
        <v>0</v>
      </c>
      <c r="EN956" s="1030"/>
      <c r="EO956" s="1030"/>
      <c r="EP956" s="1031"/>
      <c r="EQ956" s="1050"/>
      <c r="ER956" s="1038"/>
      <c r="ES956" s="1035"/>
      <c r="ET956" s="1051"/>
    </row>
    <row r="957" spans="2:150" ht="16.5" customHeight="1">
      <c r="B957" s="1024"/>
      <c r="C957" s="1025"/>
      <c r="D957" s="408">
        <v>954</v>
      </c>
      <c r="E957" s="1164"/>
      <c r="F957" s="1164"/>
      <c r="G957" s="1026"/>
      <c r="H957" s="411" t="str">
        <f>IFERROR(INDEX(绊状态确认!C:C,MATCH($G957,绊状态确认!$B:$B,)),"")</f>
        <v/>
      </c>
      <c r="I957" s="450" t="str">
        <f>IFERROR(INDEX(绊状态确认!D:D,MATCH($G957,绊状态确认!$B:$B,)),"")</f>
        <v/>
      </c>
      <c r="J957" s="450" t="str">
        <f>IFERROR(INDEX(绊状态确认!E:E,MATCH($G957,绊状态确认!$B:$B,)),"")</f>
        <v/>
      </c>
      <c r="K957" s="451" t="str">
        <f>IFERROR(INDEX(绊状态确认!F:F,MATCH($G957,绊状态确认!$B:$B,)),"")</f>
        <v/>
      </c>
      <c r="L957" s="1026"/>
      <c r="M957" s="1165"/>
      <c r="N957" s="1027"/>
      <c r="O957" s="1026"/>
      <c r="P957" s="1028"/>
      <c r="Q957" s="1029"/>
      <c r="R957" s="1166"/>
      <c r="S957" s="1030"/>
      <c r="T957" s="1031"/>
      <c r="U957" s="1032"/>
      <c r="V957" s="1033"/>
      <c r="W957" s="1034"/>
      <c r="X957" s="1166"/>
      <c r="Y957" s="1035"/>
      <c r="Z957" s="1036"/>
      <c r="AA957" s="1037"/>
      <c r="AB957" s="1038"/>
      <c r="AC957" s="1039"/>
      <c r="AD957" s="1040"/>
      <c r="AE957" s="1041"/>
      <c r="AF957" s="521"/>
      <c r="AG957" s="420"/>
      <c r="AH957" s="420"/>
      <c r="AI957" s="420"/>
      <c r="AJ957" s="420"/>
      <c r="AK957" s="518"/>
      <c r="AL957" s="1042"/>
      <c r="AM957" s="1035"/>
      <c r="AN957" s="1043"/>
      <c r="AO957" s="1167"/>
      <c r="AP957" s="1044"/>
      <c r="AQ957" s="1035"/>
      <c r="AR957" s="1035"/>
      <c r="AS957" s="1035"/>
      <c r="AT957" s="1165"/>
      <c r="AU957" s="1031"/>
      <c r="AV957" s="1045"/>
      <c r="AW957" s="1038"/>
      <c r="AX957" s="1035"/>
      <c r="AY957" s="483"/>
      <c r="AZ957" s="429"/>
      <c r="BA957" s="431"/>
      <c r="BB957" s="1035"/>
      <c r="BC957" s="1035"/>
      <c r="BD957" s="481"/>
      <c r="BE957" s="432"/>
      <c r="BF957" s="646"/>
      <c r="BG957" s="1047"/>
      <c r="BH957" s="1046"/>
      <c r="BI957" s="1048"/>
      <c r="BJ957" s="1030"/>
      <c r="BK957" s="1046"/>
      <c r="BL957" s="1048"/>
      <c r="BM957" s="1046"/>
      <c r="BN957" s="1167"/>
      <c r="BO957" s="1035"/>
      <c r="BP957" s="1043"/>
      <c r="BQ957" s="1167"/>
      <c r="BR957" s="1165"/>
      <c r="BS957" s="1031"/>
      <c r="BT957" s="1038"/>
      <c r="BU957" s="1035"/>
      <c r="BV957" s="1035"/>
      <c r="BW957" s="1049"/>
      <c r="BX957" s="1043"/>
      <c r="BY957" s="1046"/>
      <c r="BZ957" s="1167"/>
      <c r="CA957" s="1165"/>
      <c r="CB957" s="1031"/>
      <c r="CC957" s="1038"/>
      <c r="CD957" s="1035"/>
      <c r="CE957" s="1035"/>
      <c r="CF957" s="1049"/>
      <c r="CG957" s="1043"/>
      <c r="CH957" s="1046"/>
      <c r="CI957" s="1167"/>
      <c r="CJ957" s="1168"/>
      <c r="CK957" s="1169"/>
      <c r="CL957" s="1169"/>
      <c r="CM957" s="1166"/>
      <c r="CN957" s="1169"/>
      <c r="CO957" s="1169"/>
      <c r="CP957" s="452"/>
      <c r="CQ957" s="435"/>
      <c r="CR957" s="1117"/>
      <c r="CS957" s="452"/>
      <c r="CT957" s="482"/>
      <c r="CU957" s="476"/>
      <c r="CV957" s="431"/>
      <c r="CW957" s="1108"/>
      <c r="CX957" s="1108"/>
      <c r="CY957" s="483"/>
      <c r="CZ957" s="437"/>
      <c r="DA957" s="438"/>
      <c r="DB957" s="439"/>
      <c r="DC957" s="439"/>
      <c r="DD957" s="443"/>
      <c r="DE957" s="411"/>
      <c r="DF957" s="411"/>
      <c r="DG957" s="1117"/>
      <c r="DH957" s="1117"/>
      <c r="DI957" s="1117"/>
      <c r="DJ957" s="442"/>
      <c r="DK957" s="482"/>
      <c r="DL957" s="1038"/>
      <c r="DM957" s="1035"/>
      <c r="DN957" s="1035"/>
      <c r="DO957" s="1035"/>
      <c r="DP957" s="1046"/>
      <c r="DQ957" s="1167"/>
      <c r="DR957" s="1168"/>
      <c r="DS957" s="1165"/>
      <c r="DT957" s="1165"/>
      <c r="DU957" s="1165"/>
      <c r="DV957" s="1031"/>
      <c r="DW957" s="1098">
        <f t="shared" si="1180"/>
        <v>0</v>
      </c>
      <c r="DX957" s="1098">
        <f t="shared" si="1181"/>
        <v>0</v>
      </c>
      <c r="DY957" s="1030"/>
      <c r="DZ957" s="1030"/>
      <c r="EA957" s="1031"/>
      <c r="EB957" s="1050"/>
      <c r="EC957" s="1038"/>
      <c r="ED957" s="1035"/>
      <c r="EE957" s="1046"/>
      <c r="EF957" s="1169"/>
      <c r="EG957" s="1168"/>
      <c r="EH957" s="1165"/>
      <c r="EI957" s="1165"/>
      <c r="EJ957" s="1165"/>
      <c r="EK957" s="1031"/>
      <c r="EL957" s="1098">
        <f t="shared" si="1182"/>
        <v>0</v>
      </c>
      <c r="EM957" s="1098">
        <f t="shared" si="1183"/>
        <v>0</v>
      </c>
      <c r="EN957" s="1030"/>
      <c r="EO957" s="1030"/>
      <c r="EP957" s="1031"/>
      <c r="EQ957" s="1050"/>
      <c r="ER957" s="1038"/>
      <c r="ES957" s="1035"/>
      <c r="ET957" s="1051"/>
    </row>
    <row r="958" spans="2:150" ht="16.5" customHeight="1">
      <c r="B958" s="1024"/>
      <c r="C958" s="1025"/>
      <c r="D958" s="408">
        <v>955</v>
      </c>
      <c r="E958" s="1164"/>
      <c r="F958" s="1164"/>
      <c r="G958" s="1026"/>
      <c r="H958" s="411" t="str">
        <f>IFERROR(INDEX(绊状态确认!C:C,MATCH($G958,绊状态确认!$B:$B,)),"")</f>
        <v/>
      </c>
      <c r="I958" s="450" t="str">
        <f>IFERROR(INDEX(绊状态确认!D:D,MATCH($G958,绊状态确认!$B:$B,)),"")</f>
        <v/>
      </c>
      <c r="J958" s="450" t="str">
        <f>IFERROR(INDEX(绊状态确认!E:E,MATCH($G958,绊状态确认!$B:$B,)),"")</f>
        <v/>
      </c>
      <c r="K958" s="451" t="str">
        <f>IFERROR(INDEX(绊状态确认!F:F,MATCH($G958,绊状态确认!$B:$B,)),"")</f>
        <v/>
      </c>
      <c r="L958" s="1026"/>
      <c r="M958" s="1165"/>
      <c r="N958" s="1027"/>
      <c r="O958" s="1026"/>
      <c r="P958" s="1028"/>
      <c r="Q958" s="1029"/>
      <c r="R958" s="1166"/>
      <c r="S958" s="1030"/>
      <c r="T958" s="1031"/>
      <c r="U958" s="1032"/>
      <c r="V958" s="1033"/>
      <c r="W958" s="1034"/>
      <c r="X958" s="1166"/>
      <c r="Y958" s="1035"/>
      <c r="Z958" s="1036"/>
      <c r="AA958" s="1037"/>
      <c r="AB958" s="1038"/>
      <c r="AC958" s="1039"/>
      <c r="AD958" s="1040"/>
      <c r="AE958" s="1041"/>
      <c r="AF958" s="521"/>
      <c r="AG958" s="420"/>
      <c r="AH958" s="420"/>
      <c r="AI958" s="420"/>
      <c r="AJ958" s="420"/>
      <c r="AK958" s="518"/>
      <c r="AL958" s="1042"/>
      <c r="AM958" s="1035"/>
      <c r="AN958" s="1043"/>
      <c r="AO958" s="1167"/>
      <c r="AP958" s="1044"/>
      <c r="AQ958" s="1035"/>
      <c r="AR958" s="1035"/>
      <c r="AS958" s="1035"/>
      <c r="AT958" s="1165"/>
      <c r="AU958" s="1031"/>
      <c r="AV958" s="1045"/>
      <c r="AW958" s="1038"/>
      <c r="AX958" s="1035"/>
      <c r="AY958" s="483"/>
      <c r="AZ958" s="429"/>
      <c r="BA958" s="431"/>
      <c r="BB958" s="1035"/>
      <c r="BC958" s="1035"/>
      <c r="BD958" s="481"/>
      <c r="BE958" s="432"/>
      <c r="BF958" s="646"/>
      <c r="BG958" s="1047"/>
      <c r="BH958" s="1046"/>
      <c r="BI958" s="1048"/>
      <c r="BJ958" s="1030"/>
      <c r="BK958" s="1046"/>
      <c r="BL958" s="1048"/>
      <c r="BM958" s="1046"/>
      <c r="BN958" s="1167"/>
      <c r="BO958" s="1035"/>
      <c r="BP958" s="1043"/>
      <c r="BQ958" s="1167"/>
      <c r="BR958" s="1165"/>
      <c r="BS958" s="1031"/>
      <c r="BT958" s="1038"/>
      <c r="BU958" s="1035"/>
      <c r="BV958" s="1035"/>
      <c r="BW958" s="1049"/>
      <c r="BX958" s="1043"/>
      <c r="BY958" s="1046"/>
      <c r="BZ958" s="1167"/>
      <c r="CA958" s="1165"/>
      <c r="CB958" s="1031"/>
      <c r="CC958" s="1038"/>
      <c r="CD958" s="1035"/>
      <c r="CE958" s="1035"/>
      <c r="CF958" s="1049"/>
      <c r="CG958" s="1043"/>
      <c r="CH958" s="1046"/>
      <c r="CI958" s="1167"/>
      <c r="CJ958" s="1168"/>
      <c r="CK958" s="1169"/>
      <c r="CL958" s="1169"/>
      <c r="CM958" s="1166"/>
      <c r="CN958" s="1169"/>
      <c r="CO958" s="1169"/>
      <c r="CP958" s="452"/>
      <c r="CQ958" s="435"/>
      <c r="CR958" s="441"/>
      <c r="CS958" s="452"/>
      <c r="CT958" s="482"/>
      <c r="CU958" s="476"/>
      <c r="CV958" s="431"/>
      <c r="CW958" s="1108"/>
      <c r="CX958" s="1108"/>
      <c r="CY958" s="483"/>
      <c r="CZ958" s="437"/>
      <c r="DA958" s="438"/>
      <c r="DB958" s="439"/>
      <c r="DC958" s="439"/>
      <c r="DD958" s="443"/>
      <c r="DE958" s="411"/>
      <c r="DF958" s="411"/>
      <c r="DG958" s="1117"/>
      <c r="DH958" s="1117"/>
      <c r="DI958" s="1117"/>
      <c r="DJ958" s="442"/>
      <c r="DK958" s="482"/>
      <c r="DL958" s="1038"/>
      <c r="DM958" s="1035"/>
      <c r="DN958" s="1035"/>
      <c r="DO958" s="1035"/>
      <c r="DP958" s="1046"/>
      <c r="DQ958" s="1167"/>
      <c r="DR958" s="1168"/>
      <c r="DS958" s="1165"/>
      <c r="DT958" s="1165"/>
      <c r="DU958" s="1165"/>
      <c r="DV958" s="1031"/>
      <c r="DW958" s="1098">
        <f t="shared" si="1180"/>
        <v>0</v>
      </c>
      <c r="DX958" s="1098">
        <f t="shared" si="1181"/>
        <v>0</v>
      </c>
      <c r="DY958" s="1030"/>
      <c r="DZ958" s="1030"/>
      <c r="EA958" s="1031"/>
      <c r="EB958" s="1050"/>
      <c r="EC958" s="1038"/>
      <c r="ED958" s="1035"/>
      <c r="EE958" s="1046"/>
      <c r="EF958" s="1169"/>
      <c r="EG958" s="1168"/>
      <c r="EH958" s="1165"/>
      <c r="EI958" s="1165"/>
      <c r="EJ958" s="1165"/>
      <c r="EK958" s="1031"/>
      <c r="EL958" s="1098">
        <f t="shared" si="1182"/>
        <v>0</v>
      </c>
      <c r="EM958" s="1098">
        <f t="shared" si="1183"/>
        <v>0</v>
      </c>
      <c r="EN958" s="1030"/>
      <c r="EO958" s="1030"/>
      <c r="EP958" s="1031"/>
      <c r="EQ958" s="1050"/>
      <c r="ER958" s="1038"/>
      <c r="ES958" s="1035"/>
      <c r="ET958" s="1051"/>
    </row>
    <row r="959" spans="2:150" ht="16.5" customHeight="1">
      <c r="B959" s="1024"/>
      <c r="C959" s="1025"/>
      <c r="D959" s="408">
        <v>956</v>
      </c>
      <c r="E959" s="1164"/>
      <c r="F959" s="1164"/>
      <c r="G959" s="1026"/>
      <c r="H959" s="411" t="str">
        <f>IFERROR(INDEX(绊状态确认!C:C,MATCH($G959,绊状态确认!$B:$B,)),"")</f>
        <v/>
      </c>
      <c r="I959" s="450" t="str">
        <f>IFERROR(INDEX(绊状态确认!D:D,MATCH($G959,绊状态确认!$B:$B,)),"")</f>
        <v/>
      </c>
      <c r="J959" s="450" t="str">
        <f>IFERROR(INDEX(绊状态确认!E:E,MATCH($G959,绊状态确认!$B:$B,)),"")</f>
        <v/>
      </c>
      <c r="K959" s="451" t="str">
        <f>IFERROR(INDEX(绊状态确认!F:F,MATCH($G959,绊状态确认!$B:$B,)),"")</f>
        <v/>
      </c>
      <c r="L959" s="1026"/>
      <c r="M959" s="1165"/>
      <c r="N959" s="1027"/>
      <c r="O959" s="1026"/>
      <c r="P959" s="1028"/>
      <c r="Q959" s="1029"/>
      <c r="R959" s="1166"/>
      <c r="S959" s="1030"/>
      <c r="T959" s="1031"/>
      <c r="U959" s="1032"/>
      <c r="V959" s="1033"/>
      <c r="W959" s="1034"/>
      <c r="X959" s="1166"/>
      <c r="Y959" s="1035"/>
      <c r="Z959" s="1036"/>
      <c r="AA959" s="1037"/>
      <c r="AB959" s="1038"/>
      <c r="AC959" s="1039"/>
      <c r="AD959" s="1040"/>
      <c r="AE959" s="1041"/>
      <c r="AF959" s="521"/>
      <c r="AG959" s="420"/>
      <c r="AH959" s="420"/>
      <c r="AI959" s="420"/>
      <c r="AJ959" s="420"/>
      <c r="AK959" s="518"/>
      <c r="AL959" s="1042"/>
      <c r="AM959" s="1035"/>
      <c r="AN959" s="1043"/>
      <c r="AO959" s="1167"/>
      <c r="AP959" s="1044"/>
      <c r="AQ959" s="1035"/>
      <c r="AR959" s="1035"/>
      <c r="AS959" s="1035"/>
      <c r="AT959" s="1165"/>
      <c r="AU959" s="1031"/>
      <c r="AV959" s="1045"/>
      <c r="AW959" s="1038"/>
      <c r="AX959" s="1035"/>
      <c r="AY959" s="483"/>
      <c r="AZ959" s="429"/>
      <c r="BA959" s="431"/>
      <c r="BB959" s="1035"/>
      <c r="BC959" s="1035"/>
      <c r="BD959" s="481"/>
      <c r="BE959" s="432"/>
      <c r="BF959" s="646"/>
      <c r="BG959" s="1047"/>
      <c r="BH959" s="1046"/>
      <c r="BI959" s="1048"/>
      <c r="BJ959" s="1030"/>
      <c r="BK959" s="1046"/>
      <c r="BL959" s="1048"/>
      <c r="BM959" s="1046"/>
      <c r="BN959" s="1167"/>
      <c r="BO959" s="1035"/>
      <c r="BP959" s="1043"/>
      <c r="BQ959" s="1167"/>
      <c r="BR959" s="1165"/>
      <c r="BS959" s="1031"/>
      <c r="BT959" s="1038"/>
      <c r="BU959" s="1035"/>
      <c r="BV959" s="1035"/>
      <c r="BW959" s="1049"/>
      <c r="BX959" s="1043"/>
      <c r="BY959" s="1046"/>
      <c r="BZ959" s="1167"/>
      <c r="CA959" s="1165"/>
      <c r="CB959" s="1031"/>
      <c r="CC959" s="1038"/>
      <c r="CD959" s="1035"/>
      <c r="CE959" s="1035"/>
      <c r="CF959" s="1049"/>
      <c r="CG959" s="1043"/>
      <c r="CH959" s="1046"/>
      <c r="CI959" s="1167"/>
      <c r="CJ959" s="1168"/>
      <c r="CK959" s="1169"/>
      <c r="CL959" s="1169"/>
      <c r="CM959" s="1166"/>
      <c r="CN959" s="1169"/>
      <c r="CO959" s="1169"/>
      <c r="CP959" s="452"/>
      <c r="CQ959" s="435"/>
      <c r="CR959" s="441"/>
      <c r="CS959" s="452"/>
      <c r="CT959" s="482"/>
      <c r="CU959" s="476"/>
      <c r="CV959" s="431"/>
      <c r="CW959" s="1108"/>
      <c r="CX959" s="1108"/>
      <c r="CY959" s="483"/>
      <c r="CZ959" s="437"/>
      <c r="DA959" s="438"/>
      <c r="DB959" s="439"/>
      <c r="DC959" s="439"/>
      <c r="DD959" s="443"/>
      <c r="DE959" s="411"/>
      <c r="DF959" s="411"/>
      <c r="DG959" s="1117"/>
      <c r="DH959" s="1117"/>
      <c r="DI959" s="1117"/>
      <c r="DJ959" s="442"/>
      <c r="DK959" s="482"/>
      <c r="DL959" s="1038"/>
      <c r="DM959" s="1035"/>
      <c r="DN959" s="1035"/>
      <c r="DO959" s="1035"/>
      <c r="DP959" s="1046"/>
      <c r="DQ959" s="1167"/>
      <c r="DR959" s="1168"/>
      <c r="DS959" s="1165"/>
      <c r="DT959" s="1165"/>
      <c r="DU959" s="1165"/>
      <c r="DV959" s="1031"/>
      <c r="DW959" s="1098">
        <f t="shared" si="1180"/>
        <v>0</v>
      </c>
      <c r="DX959" s="1098">
        <f t="shared" si="1181"/>
        <v>0</v>
      </c>
      <c r="DY959" s="1030"/>
      <c r="DZ959" s="1030"/>
      <c r="EA959" s="1031"/>
      <c r="EB959" s="1050"/>
      <c r="EC959" s="1038"/>
      <c r="ED959" s="1035"/>
      <c r="EE959" s="1046"/>
      <c r="EF959" s="1169"/>
      <c r="EG959" s="1168"/>
      <c r="EH959" s="1165"/>
      <c r="EI959" s="1165"/>
      <c r="EJ959" s="1165"/>
      <c r="EK959" s="1031"/>
      <c r="EL959" s="1098">
        <f t="shared" si="1182"/>
        <v>0</v>
      </c>
      <c r="EM959" s="1098">
        <f t="shared" si="1183"/>
        <v>0</v>
      </c>
      <c r="EN959" s="1030"/>
      <c r="EO959" s="1030"/>
      <c r="EP959" s="1031"/>
      <c r="EQ959" s="1050"/>
      <c r="ER959" s="1038"/>
      <c r="ES959" s="1035"/>
      <c r="ET959" s="1051"/>
    </row>
    <row r="960" spans="2:150" ht="16.5" customHeight="1">
      <c r="B960" s="1024"/>
      <c r="C960" s="1025"/>
      <c r="D960" s="408">
        <v>957</v>
      </c>
      <c r="E960" s="1164"/>
      <c r="F960" s="1164"/>
      <c r="G960" s="1026"/>
      <c r="H960" s="411" t="str">
        <f>IFERROR(INDEX(绊状态确认!C:C,MATCH($G960,绊状态确认!$B:$B,)),"")</f>
        <v/>
      </c>
      <c r="I960" s="450" t="str">
        <f>IFERROR(INDEX(绊状态确认!D:D,MATCH($G960,绊状态确认!$B:$B,)),"")</f>
        <v/>
      </c>
      <c r="J960" s="450" t="str">
        <f>IFERROR(INDEX(绊状态确认!E:E,MATCH($G960,绊状态确认!$B:$B,)),"")</f>
        <v/>
      </c>
      <c r="K960" s="451" t="str">
        <f>IFERROR(INDEX(绊状态确认!F:F,MATCH($G960,绊状态确认!$B:$B,)),"")</f>
        <v/>
      </c>
      <c r="L960" s="1026"/>
      <c r="M960" s="1165"/>
      <c r="N960" s="1027"/>
      <c r="O960" s="1026"/>
      <c r="P960" s="1028"/>
      <c r="Q960" s="1029"/>
      <c r="R960" s="1166"/>
      <c r="S960" s="1030"/>
      <c r="T960" s="1031"/>
      <c r="U960" s="1032"/>
      <c r="V960" s="1033"/>
      <c r="W960" s="1034"/>
      <c r="X960" s="1166"/>
      <c r="Y960" s="1035"/>
      <c r="Z960" s="1036"/>
      <c r="AA960" s="1037"/>
      <c r="AB960" s="1038"/>
      <c r="AC960" s="1039"/>
      <c r="AD960" s="1040"/>
      <c r="AE960" s="1041"/>
      <c r="AF960" s="521"/>
      <c r="AG960" s="420"/>
      <c r="AH960" s="420"/>
      <c r="AI960" s="420"/>
      <c r="AJ960" s="420"/>
      <c r="AK960" s="518"/>
      <c r="AL960" s="1042"/>
      <c r="AM960" s="1035"/>
      <c r="AN960" s="1043"/>
      <c r="AO960" s="1167"/>
      <c r="AP960" s="1044"/>
      <c r="AQ960" s="1035"/>
      <c r="AR960" s="1035"/>
      <c r="AS960" s="1035"/>
      <c r="AT960" s="1165"/>
      <c r="AU960" s="1031"/>
      <c r="AV960" s="1045"/>
      <c r="AW960" s="1038"/>
      <c r="AX960" s="1035"/>
      <c r="AY960" s="483"/>
      <c r="AZ960" s="429"/>
      <c r="BA960" s="431"/>
      <c r="BB960" s="1035"/>
      <c r="BC960" s="1035"/>
      <c r="BD960" s="481"/>
      <c r="BE960" s="432"/>
      <c r="BF960" s="646"/>
      <c r="BG960" s="1047"/>
      <c r="BH960" s="1046"/>
      <c r="BI960" s="1048"/>
      <c r="BJ960" s="1030"/>
      <c r="BK960" s="1046"/>
      <c r="BL960" s="1048"/>
      <c r="BM960" s="1046"/>
      <c r="BN960" s="1167"/>
      <c r="BO960" s="1035"/>
      <c r="BP960" s="1043"/>
      <c r="BQ960" s="1167"/>
      <c r="BR960" s="1165"/>
      <c r="BS960" s="1031"/>
      <c r="BT960" s="1038"/>
      <c r="BU960" s="1035"/>
      <c r="BV960" s="1035"/>
      <c r="BW960" s="1049"/>
      <c r="BX960" s="1043"/>
      <c r="BY960" s="1046"/>
      <c r="BZ960" s="1167"/>
      <c r="CA960" s="1165"/>
      <c r="CB960" s="1031"/>
      <c r="CC960" s="1038"/>
      <c r="CD960" s="1035"/>
      <c r="CE960" s="1035"/>
      <c r="CF960" s="1049"/>
      <c r="CG960" s="1043"/>
      <c r="CH960" s="1046"/>
      <c r="CI960" s="1167"/>
      <c r="CJ960" s="1168"/>
      <c r="CK960" s="1169"/>
      <c r="CL960" s="1169"/>
      <c r="CM960" s="1166"/>
      <c r="CN960" s="1169"/>
      <c r="CO960" s="1169"/>
      <c r="CP960" s="452"/>
      <c r="CQ960" s="435"/>
      <c r="CR960" s="1117"/>
      <c r="CS960" s="452"/>
      <c r="CT960" s="482"/>
      <c r="CU960" s="476"/>
      <c r="CV960" s="431"/>
      <c r="CW960" s="1108"/>
      <c r="CX960" s="1108"/>
      <c r="CY960" s="483"/>
      <c r="CZ960" s="437"/>
      <c r="DA960" s="438"/>
      <c r="DB960" s="439"/>
      <c r="DC960" s="439"/>
      <c r="DD960" s="443"/>
      <c r="DE960" s="411"/>
      <c r="DF960" s="411"/>
      <c r="DG960" s="1117"/>
      <c r="DH960" s="1117"/>
      <c r="DI960" s="1117"/>
      <c r="DJ960" s="442"/>
      <c r="DK960" s="482"/>
      <c r="DL960" s="1038"/>
      <c r="DM960" s="1035"/>
      <c r="DN960" s="1035"/>
      <c r="DO960" s="1035"/>
      <c r="DP960" s="1046"/>
      <c r="DQ960" s="1167"/>
      <c r="DR960" s="1168"/>
      <c r="DS960" s="1165"/>
      <c r="DT960" s="1165"/>
      <c r="DU960" s="1165"/>
      <c r="DV960" s="1031"/>
      <c r="DW960" s="1098">
        <f t="shared" si="1180"/>
        <v>0</v>
      </c>
      <c r="DX960" s="1098">
        <f t="shared" si="1181"/>
        <v>0</v>
      </c>
      <c r="DY960" s="1030"/>
      <c r="DZ960" s="1030"/>
      <c r="EA960" s="1031"/>
      <c r="EB960" s="1050"/>
      <c r="EC960" s="1038"/>
      <c r="ED960" s="1035"/>
      <c r="EE960" s="1046"/>
      <c r="EF960" s="1169"/>
      <c r="EG960" s="1168"/>
      <c r="EH960" s="1165"/>
      <c r="EI960" s="1165"/>
      <c r="EJ960" s="1165"/>
      <c r="EK960" s="1031"/>
      <c r="EL960" s="1098">
        <f t="shared" si="1182"/>
        <v>0</v>
      </c>
      <c r="EM960" s="1098">
        <f t="shared" si="1183"/>
        <v>0</v>
      </c>
      <c r="EN960" s="1030"/>
      <c r="EO960" s="1030"/>
      <c r="EP960" s="1031"/>
      <c r="EQ960" s="1050"/>
      <c r="ER960" s="1038"/>
      <c r="ES960" s="1035"/>
      <c r="ET960" s="1051"/>
    </row>
    <row r="961" spans="2:150" ht="16.5" customHeight="1">
      <c r="B961" s="1024"/>
      <c r="C961" s="1025"/>
      <c r="D961" s="408">
        <v>958</v>
      </c>
      <c r="E961" s="1164"/>
      <c r="F961" s="1164"/>
      <c r="G961" s="1026"/>
      <c r="H961" s="411" t="str">
        <f>IFERROR(INDEX(绊状态确认!C:C,MATCH($G961,绊状态确认!$B:$B,)),"")</f>
        <v/>
      </c>
      <c r="I961" s="450" t="str">
        <f>IFERROR(INDEX(绊状态确认!D:D,MATCH($G961,绊状态确认!$B:$B,)),"")</f>
        <v/>
      </c>
      <c r="J961" s="450" t="str">
        <f>IFERROR(INDEX(绊状态确认!E:E,MATCH($G961,绊状态确认!$B:$B,)),"")</f>
        <v/>
      </c>
      <c r="K961" s="451" t="str">
        <f>IFERROR(INDEX(绊状态确认!F:F,MATCH($G961,绊状态确认!$B:$B,)),"")</f>
        <v/>
      </c>
      <c r="L961" s="1026"/>
      <c r="M961" s="1165"/>
      <c r="N961" s="1027"/>
      <c r="O961" s="1026"/>
      <c r="P961" s="1028"/>
      <c r="Q961" s="1029"/>
      <c r="R961" s="1166"/>
      <c r="S961" s="1030"/>
      <c r="T961" s="1031"/>
      <c r="U961" s="1032"/>
      <c r="V961" s="1033"/>
      <c r="W961" s="1034"/>
      <c r="X961" s="1166"/>
      <c r="Y961" s="1035"/>
      <c r="Z961" s="1036"/>
      <c r="AA961" s="1037"/>
      <c r="AB961" s="1038"/>
      <c r="AC961" s="1039"/>
      <c r="AD961" s="1040"/>
      <c r="AE961" s="1041"/>
      <c r="AF961" s="521"/>
      <c r="AG961" s="420"/>
      <c r="AH961" s="420"/>
      <c r="AI961" s="420"/>
      <c r="AJ961" s="420"/>
      <c r="AK961" s="518"/>
      <c r="AL961" s="1042"/>
      <c r="AM961" s="1035"/>
      <c r="AN961" s="1043"/>
      <c r="AO961" s="1167"/>
      <c r="AP961" s="1044"/>
      <c r="AQ961" s="1035"/>
      <c r="AR961" s="1035"/>
      <c r="AS961" s="1035"/>
      <c r="AT961" s="1165"/>
      <c r="AU961" s="1031"/>
      <c r="AV961" s="1045"/>
      <c r="AW961" s="1038"/>
      <c r="AX961" s="1035"/>
      <c r="AY961" s="483"/>
      <c r="AZ961" s="429"/>
      <c r="BA961" s="431"/>
      <c r="BB961" s="1035"/>
      <c r="BC961" s="1035"/>
      <c r="BD961" s="481"/>
      <c r="BE961" s="432"/>
      <c r="BF961" s="646"/>
      <c r="BG961" s="1047"/>
      <c r="BH961" s="1046"/>
      <c r="BI961" s="1048"/>
      <c r="BJ961" s="1030"/>
      <c r="BK961" s="1046"/>
      <c r="BL961" s="1048"/>
      <c r="BM961" s="1046"/>
      <c r="BN961" s="1167"/>
      <c r="BO961" s="1035"/>
      <c r="BP961" s="1043"/>
      <c r="BQ961" s="1167"/>
      <c r="BR961" s="1165"/>
      <c r="BS961" s="1031"/>
      <c r="BT961" s="1038"/>
      <c r="BU961" s="1035"/>
      <c r="BV961" s="1035"/>
      <c r="BW961" s="1049"/>
      <c r="BX961" s="1043"/>
      <c r="BY961" s="1046"/>
      <c r="BZ961" s="1167"/>
      <c r="CA961" s="1165"/>
      <c r="CB961" s="1031"/>
      <c r="CC961" s="1038"/>
      <c r="CD961" s="1035"/>
      <c r="CE961" s="1035"/>
      <c r="CF961" s="1049"/>
      <c r="CG961" s="1043"/>
      <c r="CH961" s="1046"/>
      <c r="CI961" s="1167"/>
      <c r="CJ961" s="1168"/>
      <c r="CK961" s="1169"/>
      <c r="CL961" s="1169"/>
      <c r="CM961" s="1166"/>
      <c r="CN961" s="1169"/>
      <c r="CO961" s="1169"/>
      <c r="CP961" s="452"/>
      <c r="CQ961" s="435"/>
      <c r="CR961" s="441"/>
      <c r="CS961" s="452"/>
      <c r="CT961" s="482"/>
      <c r="CU961" s="476"/>
      <c r="CV961" s="431"/>
      <c r="CW961" s="1108"/>
      <c r="CX961" s="1108"/>
      <c r="CY961" s="483"/>
      <c r="CZ961" s="437"/>
      <c r="DA961" s="438"/>
      <c r="DB961" s="439"/>
      <c r="DC961" s="439"/>
      <c r="DD961" s="443"/>
      <c r="DE961" s="411"/>
      <c r="DF961" s="411"/>
      <c r="DG961" s="1117"/>
      <c r="DH961" s="1117"/>
      <c r="DI961" s="1117"/>
      <c r="DJ961" s="442"/>
      <c r="DK961" s="482"/>
      <c r="DL961" s="1038"/>
      <c r="DM961" s="1035"/>
      <c r="DN961" s="1035"/>
      <c r="DO961" s="1035"/>
      <c r="DP961" s="1046"/>
      <c r="DQ961" s="1167"/>
      <c r="DR961" s="1168"/>
      <c r="DS961" s="1165"/>
      <c r="DT961" s="1165"/>
      <c r="DU961" s="1165"/>
      <c r="DV961" s="1031"/>
      <c r="DW961" s="1098">
        <f t="shared" si="1180"/>
        <v>0</v>
      </c>
      <c r="DX961" s="1098">
        <f t="shared" si="1181"/>
        <v>0</v>
      </c>
      <c r="DY961" s="1030"/>
      <c r="DZ961" s="1030"/>
      <c r="EA961" s="1031"/>
      <c r="EB961" s="1050"/>
      <c r="EC961" s="1038"/>
      <c r="ED961" s="1035"/>
      <c r="EE961" s="1046"/>
      <c r="EF961" s="1169"/>
      <c r="EG961" s="1168"/>
      <c r="EH961" s="1165"/>
      <c r="EI961" s="1165"/>
      <c r="EJ961" s="1165"/>
      <c r="EK961" s="1031"/>
      <c r="EL961" s="1098">
        <f t="shared" si="1182"/>
        <v>0</v>
      </c>
      <c r="EM961" s="1098">
        <f t="shared" si="1183"/>
        <v>0</v>
      </c>
      <c r="EN961" s="1030"/>
      <c r="EO961" s="1030"/>
      <c r="EP961" s="1031"/>
      <c r="EQ961" s="1050"/>
      <c r="ER961" s="1038"/>
      <c r="ES961" s="1035"/>
      <c r="ET961" s="1051"/>
    </row>
    <row r="962" spans="2:150" ht="16.5" customHeight="1">
      <c r="B962" s="1024"/>
      <c r="C962" s="1025"/>
      <c r="D962" s="408">
        <v>959</v>
      </c>
      <c r="E962" s="1164"/>
      <c r="F962" s="1164"/>
      <c r="G962" s="1026"/>
      <c r="H962" s="411" t="str">
        <f>IFERROR(INDEX(绊状态确认!C:C,MATCH($G962,绊状态确认!$B:$B,)),"")</f>
        <v/>
      </c>
      <c r="I962" s="450" t="str">
        <f>IFERROR(INDEX(绊状态确认!D:D,MATCH($G962,绊状态确认!$B:$B,)),"")</f>
        <v/>
      </c>
      <c r="J962" s="450" t="str">
        <f>IFERROR(INDEX(绊状态确认!E:E,MATCH($G962,绊状态确认!$B:$B,)),"")</f>
        <v/>
      </c>
      <c r="K962" s="451" t="str">
        <f>IFERROR(INDEX(绊状态确认!F:F,MATCH($G962,绊状态确认!$B:$B,)),"")</f>
        <v/>
      </c>
      <c r="L962" s="1026"/>
      <c r="M962" s="1165"/>
      <c r="N962" s="1027"/>
      <c r="O962" s="1026"/>
      <c r="P962" s="1028"/>
      <c r="Q962" s="1029"/>
      <c r="R962" s="1166"/>
      <c r="S962" s="1030"/>
      <c r="T962" s="1031"/>
      <c r="U962" s="1032"/>
      <c r="V962" s="1033"/>
      <c r="W962" s="1034"/>
      <c r="X962" s="1166"/>
      <c r="Y962" s="1035"/>
      <c r="Z962" s="1036"/>
      <c r="AA962" s="1037"/>
      <c r="AB962" s="1038"/>
      <c r="AC962" s="1039"/>
      <c r="AD962" s="1040"/>
      <c r="AE962" s="1041"/>
      <c r="AF962" s="521"/>
      <c r="AG962" s="420"/>
      <c r="AH962" s="420"/>
      <c r="AI962" s="420"/>
      <c r="AJ962" s="420"/>
      <c r="AK962" s="518"/>
      <c r="AL962" s="1042"/>
      <c r="AM962" s="1035"/>
      <c r="AN962" s="1043"/>
      <c r="AO962" s="1167"/>
      <c r="AP962" s="1044"/>
      <c r="AQ962" s="1035"/>
      <c r="AR962" s="1035"/>
      <c r="AS962" s="1035"/>
      <c r="AT962" s="1165"/>
      <c r="AU962" s="1031"/>
      <c r="AV962" s="1045"/>
      <c r="AW962" s="1038"/>
      <c r="AX962" s="1035"/>
      <c r="AY962" s="483"/>
      <c r="AZ962" s="429"/>
      <c r="BA962" s="431"/>
      <c r="BB962" s="1035"/>
      <c r="BC962" s="1035"/>
      <c r="BD962" s="481"/>
      <c r="BE962" s="432"/>
      <c r="BF962" s="646"/>
      <c r="BG962" s="1047"/>
      <c r="BH962" s="1046"/>
      <c r="BI962" s="1048"/>
      <c r="BJ962" s="1030"/>
      <c r="BK962" s="1046"/>
      <c r="BL962" s="1048"/>
      <c r="BM962" s="1046"/>
      <c r="BN962" s="1167"/>
      <c r="BO962" s="1035"/>
      <c r="BP962" s="1043"/>
      <c r="BQ962" s="1167"/>
      <c r="BR962" s="1165"/>
      <c r="BS962" s="1031"/>
      <c r="BT962" s="1038"/>
      <c r="BU962" s="1035"/>
      <c r="BV962" s="1035"/>
      <c r="BW962" s="1049"/>
      <c r="BX962" s="1043"/>
      <c r="BY962" s="1046"/>
      <c r="BZ962" s="1167"/>
      <c r="CA962" s="1165"/>
      <c r="CB962" s="1031"/>
      <c r="CC962" s="1038"/>
      <c r="CD962" s="1035"/>
      <c r="CE962" s="1035"/>
      <c r="CF962" s="1049"/>
      <c r="CG962" s="1043"/>
      <c r="CH962" s="1046"/>
      <c r="CI962" s="1167"/>
      <c r="CJ962" s="1168"/>
      <c r="CK962" s="1169"/>
      <c r="CL962" s="1169"/>
      <c r="CM962" s="1166"/>
      <c r="CN962" s="1169"/>
      <c r="CO962" s="1169"/>
      <c r="CP962" s="452"/>
      <c r="CQ962" s="435"/>
      <c r="CR962" s="441"/>
      <c r="CS962" s="452"/>
      <c r="CT962" s="482"/>
      <c r="CU962" s="476"/>
      <c r="CV962" s="431"/>
      <c r="CW962" s="1108"/>
      <c r="CX962" s="1108"/>
      <c r="CY962" s="483"/>
      <c r="CZ962" s="437"/>
      <c r="DA962" s="438"/>
      <c r="DB962" s="439"/>
      <c r="DC962" s="439"/>
      <c r="DD962" s="443"/>
      <c r="DE962" s="411"/>
      <c r="DF962" s="411"/>
      <c r="DG962" s="1117"/>
      <c r="DH962" s="1117"/>
      <c r="DI962" s="1117"/>
      <c r="DJ962" s="442"/>
      <c r="DK962" s="482"/>
      <c r="DL962" s="1038"/>
      <c r="DM962" s="1035"/>
      <c r="DN962" s="1035"/>
      <c r="DO962" s="1035"/>
      <c r="DP962" s="1046"/>
      <c r="DQ962" s="1167"/>
      <c r="DR962" s="1168"/>
      <c r="DS962" s="1165"/>
      <c r="DT962" s="1165"/>
      <c r="DU962" s="1165"/>
      <c r="DV962" s="1031"/>
      <c r="DW962" s="1098">
        <f t="shared" si="1180"/>
        <v>0</v>
      </c>
      <c r="DX962" s="1098">
        <f t="shared" si="1181"/>
        <v>0</v>
      </c>
      <c r="DY962" s="1030"/>
      <c r="DZ962" s="1030"/>
      <c r="EA962" s="1031"/>
      <c r="EB962" s="1050"/>
      <c r="EC962" s="1038"/>
      <c r="ED962" s="1035"/>
      <c r="EE962" s="1046"/>
      <c r="EF962" s="1169"/>
      <c r="EG962" s="1168"/>
      <c r="EH962" s="1165"/>
      <c r="EI962" s="1165"/>
      <c r="EJ962" s="1165"/>
      <c r="EK962" s="1031"/>
      <c r="EL962" s="1098">
        <f t="shared" si="1182"/>
        <v>0</v>
      </c>
      <c r="EM962" s="1098">
        <f t="shared" si="1183"/>
        <v>0</v>
      </c>
      <c r="EN962" s="1030"/>
      <c r="EO962" s="1030"/>
      <c r="EP962" s="1031"/>
      <c r="EQ962" s="1050"/>
      <c r="ER962" s="1038"/>
      <c r="ES962" s="1035"/>
      <c r="ET962" s="1051"/>
    </row>
    <row r="963" spans="2:150" ht="16.5" customHeight="1">
      <c r="B963" s="1024"/>
      <c r="C963" s="1025"/>
      <c r="D963" s="408">
        <v>960</v>
      </c>
      <c r="E963" s="1164"/>
      <c r="F963" s="1164"/>
      <c r="G963" s="1026"/>
      <c r="H963" s="411" t="str">
        <f>IFERROR(INDEX(绊状态确认!C:C,MATCH($G963,绊状态确认!$B:$B,)),"")</f>
        <v/>
      </c>
      <c r="I963" s="450" t="str">
        <f>IFERROR(INDEX(绊状态确认!D:D,MATCH($G963,绊状态确认!$B:$B,)),"")</f>
        <v/>
      </c>
      <c r="J963" s="450" t="str">
        <f>IFERROR(INDEX(绊状态确认!E:E,MATCH($G963,绊状态确认!$B:$B,)),"")</f>
        <v/>
      </c>
      <c r="K963" s="451" t="str">
        <f>IFERROR(INDEX(绊状态确认!F:F,MATCH($G963,绊状态确认!$B:$B,)),"")</f>
        <v/>
      </c>
      <c r="L963" s="1026"/>
      <c r="M963" s="1165"/>
      <c r="N963" s="1027"/>
      <c r="O963" s="1026"/>
      <c r="P963" s="1028"/>
      <c r="Q963" s="1029"/>
      <c r="R963" s="1166"/>
      <c r="S963" s="1030"/>
      <c r="T963" s="1031"/>
      <c r="U963" s="1032"/>
      <c r="V963" s="1033"/>
      <c r="W963" s="1034"/>
      <c r="X963" s="1166"/>
      <c r="Y963" s="1035"/>
      <c r="Z963" s="1036"/>
      <c r="AA963" s="1037"/>
      <c r="AB963" s="1038"/>
      <c r="AC963" s="1039"/>
      <c r="AD963" s="1040"/>
      <c r="AE963" s="1041"/>
      <c r="AF963" s="521"/>
      <c r="AG963" s="420"/>
      <c r="AH963" s="420"/>
      <c r="AI963" s="420"/>
      <c r="AJ963" s="420"/>
      <c r="AK963" s="518"/>
      <c r="AL963" s="1042"/>
      <c r="AM963" s="1035"/>
      <c r="AN963" s="1043"/>
      <c r="AO963" s="1167"/>
      <c r="AP963" s="1044"/>
      <c r="AQ963" s="1035"/>
      <c r="AR963" s="1035"/>
      <c r="AS963" s="1035"/>
      <c r="AT963" s="1165"/>
      <c r="AU963" s="1031"/>
      <c r="AV963" s="1045"/>
      <c r="AW963" s="1038"/>
      <c r="AX963" s="1035"/>
      <c r="AY963" s="483"/>
      <c r="AZ963" s="429"/>
      <c r="BA963" s="431"/>
      <c r="BB963" s="1035"/>
      <c r="BC963" s="1035"/>
      <c r="BD963" s="481"/>
      <c r="BE963" s="432"/>
      <c r="BF963" s="646"/>
      <c r="BG963" s="1047"/>
      <c r="BH963" s="1046"/>
      <c r="BI963" s="1048"/>
      <c r="BJ963" s="1030"/>
      <c r="BK963" s="1046"/>
      <c r="BL963" s="1048"/>
      <c r="BM963" s="1046"/>
      <c r="BN963" s="1167"/>
      <c r="BO963" s="1035"/>
      <c r="BP963" s="1043"/>
      <c r="BQ963" s="1167"/>
      <c r="BR963" s="1165"/>
      <c r="BS963" s="1031"/>
      <c r="BT963" s="1038"/>
      <c r="BU963" s="1035"/>
      <c r="BV963" s="1035"/>
      <c r="BW963" s="1049"/>
      <c r="BX963" s="1043"/>
      <c r="BY963" s="1046"/>
      <c r="BZ963" s="1167"/>
      <c r="CA963" s="1165"/>
      <c r="CB963" s="1031"/>
      <c r="CC963" s="1038"/>
      <c r="CD963" s="1035"/>
      <c r="CE963" s="1035"/>
      <c r="CF963" s="1049"/>
      <c r="CG963" s="1043"/>
      <c r="CH963" s="1046"/>
      <c r="CI963" s="1167"/>
      <c r="CJ963" s="1168"/>
      <c r="CK963" s="1169"/>
      <c r="CL963" s="1169"/>
      <c r="CM963" s="1166"/>
      <c r="CN963" s="1169"/>
      <c r="CO963" s="1169"/>
      <c r="CP963" s="452"/>
      <c r="CQ963" s="435"/>
      <c r="CR963" s="441"/>
      <c r="CS963" s="452"/>
      <c r="CT963" s="482"/>
      <c r="CU963" s="476"/>
      <c r="CV963" s="431"/>
      <c r="CW963" s="1108"/>
      <c r="CX963" s="1108"/>
      <c r="CY963" s="483"/>
      <c r="CZ963" s="437"/>
      <c r="DA963" s="438"/>
      <c r="DB963" s="439"/>
      <c r="DC963" s="439"/>
      <c r="DD963" s="443"/>
      <c r="DE963" s="411"/>
      <c r="DF963" s="411"/>
      <c r="DG963" s="1117"/>
      <c r="DH963" s="1117"/>
      <c r="DI963" s="1117"/>
      <c r="DJ963" s="442"/>
      <c r="DK963" s="482"/>
      <c r="DL963" s="1038"/>
      <c r="DM963" s="1035"/>
      <c r="DN963" s="1035"/>
      <c r="DO963" s="1035"/>
      <c r="DP963" s="1046"/>
      <c r="DQ963" s="1167"/>
      <c r="DR963" s="1168"/>
      <c r="DS963" s="1165"/>
      <c r="DT963" s="1165"/>
      <c r="DU963" s="1165"/>
      <c r="DV963" s="1031"/>
      <c r="DW963" s="1098">
        <f t="shared" si="1180"/>
        <v>0</v>
      </c>
      <c r="DX963" s="1098">
        <f t="shared" si="1181"/>
        <v>0</v>
      </c>
      <c r="DY963" s="1030"/>
      <c r="DZ963" s="1030"/>
      <c r="EA963" s="1031"/>
      <c r="EB963" s="1050"/>
      <c r="EC963" s="1038"/>
      <c r="ED963" s="1035"/>
      <c r="EE963" s="1046"/>
      <c r="EF963" s="1169"/>
      <c r="EG963" s="1168"/>
      <c r="EH963" s="1165"/>
      <c r="EI963" s="1165"/>
      <c r="EJ963" s="1165"/>
      <c r="EK963" s="1031"/>
      <c r="EL963" s="1098">
        <f t="shared" si="1182"/>
        <v>0</v>
      </c>
      <c r="EM963" s="1098">
        <f t="shared" si="1183"/>
        <v>0</v>
      </c>
      <c r="EN963" s="1030"/>
      <c r="EO963" s="1030"/>
      <c r="EP963" s="1031"/>
      <c r="EQ963" s="1050"/>
      <c r="ER963" s="1038"/>
      <c r="ES963" s="1035"/>
      <c r="ET963" s="1051"/>
    </row>
    <row r="964" spans="2:150" ht="16.5" customHeight="1">
      <c r="B964" s="1024"/>
      <c r="C964" s="1025"/>
      <c r="D964" s="408">
        <v>961</v>
      </c>
      <c r="E964" s="1164"/>
      <c r="F964" s="1164"/>
      <c r="G964" s="1026"/>
      <c r="H964" s="411" t="str">
        <f>IFERROR(INDEX(绊状态确认!C:C,MATCH($G964,绊状态确认!$B:$B,)),"")</f>
        <v/>
      </c>
      <c r="I964" s="450" t="str">
        <f>IFERROR(INDEX(绊状态确认!D:D,MATCH($G964,绊状态确认!$B:$B,)),"")</f>
        <v/>
      </c>
      <c r="J964" s="450" t="str">
        <f>IFERROR(INDEX(绊状态确认!E:E,MATCH($G964,绊状态确认!$B:$B,)),"")</f>
        <v/>
      </c>
      <c r="K964" s="451" t="str">
        <f>IFERROR(INDEX(绊状态确认!F:F,MATCH($G964,绊状态确认!$B:$B,)),"")</f>
        <v/>
      </c>
      <c r="L964" s="1026"/>
      <c r="M964" s="1165"/>
      <c r="N964" s="1027"/>
      <c r="O964" s="1026"/>
      <c r="P964" s="1028"/>
      <c r="Q964" s="1029"/>
      <c r="R964" s="1166"/>
      <c r="S964" s="1030"/>
      <c r="T964" s="1031"/>
      <c r="U964" s="1032"/>
      <c r="V964" s="1033"/>
      <c r="W964" s="1034"/>
      <c r="X964" s="1166"/>
      <c r="Y964" s="1035"/>
      <c r="Z964" s="1036"/>
      <c r="AA964" s="1037"/>
      <c r="AB964" s="1038"/>
      <c r="AC964" s="1039"/>
      <c r="AD964" s="1040"/>
      <c r="AE964" s="1041"/>
      <c r="AF964" s="521"/>
      <c r="AG964" s="420"/>
      <c r="AH964" s="420"/>
      <c r="AI964" s="420"/>
      <c r="AJ964" s="420"/>
      <c r="AK964" s="518"/>
      <c r="AL964" s="1042"/>
      <c r="AM964" s="1035"/>
      <c r="AN964" s="1043"/>
      <c r="AO964" s="1167"/>
      <c r="AP964" s="1044"/>
      <c r="AQ964" s="1035"/>
      <c r="AR964" s="1035"/>
      <c r="AS964" s="1035"/>
      <c r="AT964" s="1165"/>
      <c r="AU964" s="1031"/>
      <c r="AV964" s="1045"/>
      <c r="AW964" s="1038"/>
      <c r="AX964" s="1035"/>
      <c r="AY964" s="483"/>
      <c r="AZ964" s="429"/>
      <c r="BA964" s="431"/>
      <c r="BB964" s="1035"/>
      <c r="BC964" s="1035"/>
      <c r="BD964" s="481"/>
      <c r="BE964" s="432"/>
      <c r="BF964" s="646"/>
      <c r="BG964" s="1047"/>
      <c r="BH964" s="1046"/>
      <c r="BI964" s="1048"/>
      <c r="BJ964" s="1030"/>
      <c r="BK964" s="1046"/>
      <c r="BL964" s="1048"/>
      <c r="BM964" s="1046"/>
      <c r="BN964" s="1167"/>
      <c r="BO964" s="1035"/>
      <c r="BP964" s="1043"/>
      <c r="BQ964" s="1167"/>
      <c r="BR964" s="1165"/>
      <c r="BS964" s="1031"/>
      <c r="BT964" s="1038"/>
      <c r="BU964" s="1035"/>
      <c r="BV964" s="1035"/>
      <c r="BW964" s="1049"/>
      <c r="BX964" s="1043"/>
      <c r="BY964" s="1046"/>
      <c r="BZ964" s="1167"/>
      <c r="CA964" s="1165"/>
      <c r="CB964" s="1031"/>
      <c r="CC964" s="1038"/>
      <c r="CD964" s="1035"/>
      <c r="CE964" s="1035"/>
      <c r="CF964" s="1049"/>
      <c r="CG964" s="1043"/>
      <c r="CH964" s="1046"/>
      <c r="CI964" s="1167"/>
      <c r="CJ964" s="1168"/>
      <c r="CK964" s="1169"/>
      <c r="CL964" s="1169"/>
      <c r="CM964" s="1166"/>
      <c r="CN964" s="1169"/>
      <c r="CO964" s="1169"/>
      <c r="CP964" s="452"/>
      <c r="CQ964" s="435"/>
      <c r="CR964" s="1117"/>
      <c r="CS964" s="452"/>
      <c r="CT964" s="482"/>
      <c r="CU964" s="476"/>
      <c r="CV964" s="431"/>
      <c r="CW964" s="1108"/>
      <c r="CX964" s="1108"/>
      <c r="CY964" s="483"/>
      <c r="CZ964" s="437"/>
      <c r="DA964" s="438"/>
      <c r="DB964" s="439"/>
      <c r="DC964" s="439"/>
      <c r="DD964" s="443"/>
      <c r="DE964" s="411"/>
      <c r="DF964" s="411"/>
      <c r="DG964" s="1117"/>
      <c r="DH964" s="1117"/>
      <c r="DI964" s="1117"/>
      <c r="DJ964" s="442"/>
      <c r="DK964" s="482"/>
      <c r="DL964" s="1038"/>
      <c r="DM964" s="1035"/>
      <c r="DN964" s="1035"/>
      <c r="DO964" s="1035"/>
      <c r="DP964" s="1046"/>
      <c r="DQ964" s="1167"/>
      <c r="DR964" s="1168"/>
      <c r="DS964" s="1165"/>
      <c r="DT964" s="1165"/>
      <c r="DU964" s="1165"/>
      <c r="DV964" s="1031"/>
      <c r="DW964" s="1098">
        <f t="shared" ref="DW964:DW999" si="1184">DR964+IF(AND($CK964="技能+",$CL964="自身",DR964=0.11),$CP964*3)</f>
        <v>0</v>
      </c>
      <c r="DX964" s="1098">
        <f t="shared" ref="DX964:DX999" si="1185">DR964+IF(AND($CK964="技能+",$CL964="自身",DR964=0.11),$CQ964*3)</f>
        <v>0</v>
      </c>
      <c r="DY964" s="1030"/>
      <c r="DZ964" s="1030"/>
      <c r="EA964" s="1031"/>
      <c r="EB964" s="1050"/>
      <c r="EC964" s="1038"/>
      <c r="ED964" s="1035"/>
      <c r="EE964" s="1046"/>
      <c r="EF964" s="1169"/>
      <c r="EG964" s="1168"/>
      <c r="EH964" s="1165"/>
      <c r="EI964" s="1165"/>
      <c r="EJ964" s="1165"/>
      <c r="EK964" s="1031"/>
      <c r="EL964" s="1098">
        <f t="shared" ref="EL964:EL999" si="1186">EG964+IF(AND($CK964="技能+",$CL964="自身",EG964=0.11),$CP964*3)</f>
        <v>0</v>
      </c>
      <c r="EM964" s="1098">
        <f t="shared" ref="EM964:EM999" si="1187">EG964+IF(AND($CK964="技能+",$CL964="自身",EG964=0.11),$CQ964*3)</f>
        <v>0</v>
      </c>
      <c r="EN964" s="1030"/>
      <c r="EO964" s="1030"/>
      <c r="EP964" s="1031"/>
      <c r="EQ964" s="1050"/>
      <c r="ER964" s="1038"/>
      <c r="ES964" s="1035"/>
      <c r="ET964" s="1051"/>
    </row>
    <row r="965" spans="2:150" ht="16.5" customHeight="1">
      <c r="B965" s="1024"/>
      <c r="C965" s="1025"/>
      <c r="D965" s="408">
        <v>962</v>
      </c>
      <c r="E965" s="1164"/>
      <c r="F965" s="1164"/>
      <c r="G965" s="1026"/>
      <c r="H965" s="411" t="str">
        <f>IFERROR(INDEX(绊状态确认!C:C,MATCH($G965,绊状态确认!$B:$B,)),"")</f>
        <v/>
      </c>
      <c r="I965" s="450" t="str">
        <f>IFERROR(INDEX(绊状态确认!D:D,MATCH($G965,绊状态确认!$B:$B,)),"")</f>
        <v/>
      </c>
      <c r="J965" s="450" t="str">
        <f>IFERROR(INDEX(绊状态确认!E:E,MATCH($G965,绊状态确认!$B:$B,)),"")</f>
        <v/>
      </c>
      <c r="K965" s="451" t="str">
        <f>IFERROR(INDEX(绊状态确认!F:F,MATCH($G965,绊状态确认!$B:$B,)),"")</f>
        <v/>
      </c>
      <c r="L965" s="1026"/>
      <c r="M965" s="1165"/>
      <c r="N965" s="1027"/>
      <c r="O965" s="1026"/>
      <c r="P965" s="1028"/>
      <c r="Q965" s="1029"/>
      <c r="R965" s="1166"/>
      <c r="S965" s="1030"/>
      <c r="T965" s="1031"/>
      <c r="U965" s="1032"/>
      <c r="V965" s="1033"/>
      <c r="W965" s="1034"/>
      <c r="X965" s="1166"/>
      <c r="Y965" s="1035"/>
      <c r="Z965" s="1036"/>
      <c r="AA965" s="1037"/>
      <c r="AB965" s="1038"/>
      <c r="AC965" s="1039"/>
      <c r="AD965" s="1040"/>
      <c r="AE965" s="1041"/>
      <c r="AF965" s="521"/>
      <c r="AG965" s="420"/>
      <c r="AH965" s="420"/>
      <c r="AI965" s="420"/>
      <c r="AJ965" s="420"/>
      <c r="AK965" s="518"/>
      <c r="AL965" s="1042"/>
      <c r="AM965" s="1035"/>
      <c r="AN965" s="1043"/>
      <c r="AO965" s="1167"/>
      <c r="AP965" s="1044"/>
      <c r="AQ965" s="1035"/>
      <c r="AR965" s="1035"/>
      <c r="AS965" s="1035"/>
      <c r="AT965" s="1165"/>
      <c r="AU965" s="1031"/>
      <c r="AV965" s="1045"/>
      <c r="AW965" s="1038"/>
      <c r="AX965" s="1035"/>
      <c r="AY965" s="483"/>
      <c r="AZ965" s="429"/>
      <c r="BA965" s="431"/>
      <c r="BB965" s="1035"/>
      <c r="BC965" s="1035"/>
      <c r="BD965" s="481"/>
      <c r="BE965" s="432"/>
      <c r="BF965" s="646"/>
      <c r="BG965" s="1047"/>
      <c r="BH965" s="1046"/>
      <c r="BI965" s="1048"/>
      <c r="BJ965" s="1030"/>
      <c r="BK965" s="1046"/>
      <c r="BL965" s="1048"/>
      <c r="BM965" s="1046"/>
      <c r="BN965" s="1167"/>
      <c r="BO965" s="1035"/>
      <c r="BP965" s="1043"/>
      <c r="BQ965" s="1167"/>
      <c r="BR965" s="1165"/>
      <c r="BS965" s="1031"/>
      <c r="BT965" s="1038"/>
      <c r="BU965" s="1035"/>
      <c r="BV965" s="1035"/>
      <c r="BW965" s="1049"/>
      <c r="BX965" s="1043"/>
      <c r="BY965" s="1046"/>
      <c r="BZ965" s="1167"/>
      <c r="CA965" s="1165"/>
      <c r="CB965" s="1031"/>
      <c r="CC965" s="1038"/>
      <c r="CD965" s="1035"/>
      <c r="CE965" s="1035"/>
      <c r="CF965" s="1049"/>
      <c r="CG965" s="1043"/>
      <c r="CH965" s="1046"/>
      <c r="CI965" s="1167"/>
      <c r="CJ965" s="1168"/>
      <c r="CK965" s="1169"/>
      <c r="CL965" s="1169"/>
      <c r="CM965" s="1166"/>
      <c r="CN965" s="1169"/>
      <c r="CO965" s="1169"/>
      <c r="CP965" s="452"/>
      <c r="CQ965" s="435"/>
      <c r="CR965" s="441"/>
      <c r="CS965" s="452"/>
      <c r="CT965" s="482"/>
      <c r="CU965" s="476"/>
      <c r="CV965" s="431"/>
      <c r="CW965" s="1108"/>
      <c r="CX965" s="1108"/>
      <c r="CY965" s="483"/>
      <c r="CZ965" s="437"/>
      <c r="DA965" s="438"/>
      <c r="DB965" s="439"/>
      <c r="DC965" s="439"/>
      <c r="DD965" s="443"/>
      <c r="DE965" s="411"/>
      <c r="DF965" s="411"/>
      <c r="DG965" s="1117"/>
      <c r="DH965" s="1117"/>
      <c r="DI965" s="1117"/>
      <c r="DJ965" s="442"/>
      <c r="DK965" s="482"/>
      <c r="DL965" s="1038"/>
      <c r="DM965" s="1035"/>
      <c r="DN965" s="1035"/>
      <c r="DO965" s="1035"/>
      <c r="DP965" s="1046"/>
      <c r="DQ965" s="1167"/>
      <c r="DR965" s="1168"/>
      <c r="DS965" s="1165"/>
      <c r="DT965" s="1165"/>
      <c r="DU965" s="1165"/>
      <c r="DV965" s="1031"/>
      <c r="DW965" s="1098">
        <f t="shared" si="1184"/>
        <v>0</v>
      </c>
      <c r="DX965" s="1098">
        <f t="shared" si="1185"/>
        <v>0</v>
      </c>
      <c r="DY965" s="1030"/>
      <c r="DZ965" s="1030"/>
      <c r="EA965" s="1031"/>
      <c r="EB965" s="1050"/>
      <c r="EC965" s="1038"/>
      <c r="ED965" s="1035"/>
      <c r="EE965" s="1046"/>
      <c r="EF965" s="1169"/>
      <c r="EG965" s="1168"/>
      <c r="EH965" s="1165"/>
      <c r="EI965" s="1165"/>
      <c r="EJ965" s="1165"/>
      <c r="EK965" s="1031"/>
      <c r="EL965" s="1098">
        <f t="shared" si="1186"/>
        <v>0</v>
      </c>
      <c r="EM965" s="1098">
        <f t="shared" si="1187"/>
        <v>0</v>
      </c>
      <c r="EN965" s="1030"/>
      <c r="EO965" s="1030"/>
      <c r="EP965" s="1031"/>
      <c r="EQ965" s="1050"/>
      <c r="ER965" s="1038"/>
      <c r="ES965" s="1035"/>
      <c r="ET965" s="1051"/>
    </row>
    <row r="966" spans="2:150" ht="16.5" customHeight="1">
      <c r="B966" s="1024"/>
      <c r="C966" s="1025"/>
      <c r="D966" s="408">
        <v>963</v>
      </c>
      <c r="E966" s="1164"/>
      <c r="F966" s="1164"/>
      <c r="G966" s="1026"/>
      <c r="H966" s="411" t="str">
        <f>IFERROR(INDEX(绊状态确认!C:C,MATCH($G966,绊状态确认!$B:$B,)),"")</f>
        <v/>
      </c>
      <c r="I966" s="450" t="str">
        <f>IFERROR(INDEX(绊状态确认!D:D,MATCH($G966,绊状态确认!$B:$B,)),"")</f>
        <v/>
      </c>
      <c r="J966" s="450" t="str">
        <f>IFERROR(INDEX(绊状态确认!E:E,MATCH($G966,绊状态确认!$B:$B,)),"")</f>
        <v/>
      </c>
      <c r="K966" s="451" t="str">
        <f>IFERROR(INDEX(绊状态确认!F:F,MATCH($G966,绊状态确认!$B:$B,)),"")</f>
        <v/>
      </c>
      <c r="L966" s="1026"/>
      <c r="M966" s="1165"/>
      <c r="N966" s="1027"/>
      <c r="O966" s="1026"/>
      <c r="P966" s="1028"/>
      <c r="Q966" s="1029"/>
      <c r="R966" s="1166"/>
      <c r="S966" s="1030"/>
      <c r="T966" s="1031"/>
      <c r="U966" s="1032"/>
      <c r="V966" s="1033"/>
      <c r="W966" s="1034"/>
      <c r="X966" s="1166"/>
      <c r="Y966" s="1035"/>
      <c r="Z966" s="1036"/>
      <c r="AA966" s="1037"/>
      <c r="AB966" s="1038"/>
      <c r="AC966" s="1039"/>
      <c r="AD966" s="1040"/>
      <c r="AE966" s="1041"/>
      <c r="AF966" s="521"/>
      <c r="AG966" s="420"/>
      <c r="AH966" s="420"/>
      <c r="AI966" s="420"/>
      <c r="AJ966" s="420"/>
      <c r="AK966" s="518"/>
      <c r="AL966" s="1042"/>
      <c r="AM966" s="1035"/>
      <c r="AN966" s="1043"/>
      <c r="AO966" s="1167"/>
      <c r="AP966" s="1044"/>
      <c r="AQ966" s="1035"/>
      <c r="AR966" s="1035"/>
      <c r="AS966" s="1035"/>
      <c r="AT966" s="1165"/>
      <c r="AU966" s="1031"/>
      <c r="AV966" s="1045"/>
      <c r="AW966" s="1038"/>
      <c r="AX966" s="1035"/>
      <c r="AY966" s="483"/>
      <c r="AZ966" s="429"/>
      <c r="BA966" s="431"/>
      <c r="BB966" s="1035"/>
      <c r="BC966" s="1035"/>
      <c r="BD966" s="481"/>
      <c r="BE966" s="432"/>
      <c r="BF966" s="646"/>
      <c r="BG966" s="1047"/>
      <c r="BH966" s="1046"/>
      <c r="BI966" s="1048"/>
      <c r="BJ966" s="1030"/>
      <c r="BK966" s="1046"/>
      <c r="BL966" s="1048"/>
      <c r="BM966" s="1046"/>
      <c r="BN966" s="1167"/>
      <c r="BO966" s="1035"/>
      <c r="BP966" s="1043"/>
      <c r="BQ966" s="1167"/>
      <c r="BR966" s="1165"/>
      <c r="BS966" s="1031"/>
      <c r="BT966" s="1038"/>
      <c r="BU966" s="1035"/>
      <c r="BV966" s="1035"/>
      <c r="BW966" s="1049"/>
      <c r="BX966" s="1043"/>
      <c r="BY966" s="1046"/>
      <c r="BZ966" s="1167"/>
      <c r="CA966" s="1165"/>
      <c r="CB966" s="1031"/>
      <c r="CC966" s="1038"/>
      <c r="CD966" s="1035"/>
      <c r="CE966" s="1035"/>
      <c r="CF966" s="1049"/>
      <c r="CG966" s="1043"/>
      <c r="CH966" s="1046"/>
      <c r="CI966" s="1167"/>
      <c r="CJ966" s="1168"/>
      <c r="CK966" s="1169"/>
      <c r="CL966" s="1169"/>
      <c r="CM966" s="1166"/>
      <c r="CN966" s="1169"/>
      <c r="CO966" s="1169"/>
      <c r="CP966" s="452"/>
      <c r="CQ966" s="435"/>
      <c r="CR966" s="441"/>
      <c r="CS966" s="452"/>
      <c r="CT966" s="482"/>
      <c r="CU966" s="476"/>
      <c r="CV966" s="431"/>
      <c r="CW966" s="1108"/>
      <c r="CX966" s="1108"/>
      <c r="CY966" s="483"/>
      <c r="CZ966" s="437"/>
      <c r="DA966" s="438"/>
      <c r="DB966" s="439"/>
      <c r="DC966" s="439"/>
      <c r="DD966" s="443"/>
      <c r="DE966" s="411"/>
      <c r="DF966" s="411"/>
      <c r="DG966" s="1117"/>
      <c r="DH966" s="1117"/>
      <c r="DI966" s="1117"/>
      <c r="DJ966" s="442"/>
      <c r="DK966" s="482"/>
      <c r="DL966" s="1038"/>
      <c r="DM966" s="1035"/>
      <c r="DN966" s="1035"/>
      <c r="DO966" s="1035"/>
      <c r="DP966" s="1046"/>
      <c r="DQ966" s="1167"/>
      <c r="DR966" s="1168"/>
      <c r="DS966" s="1165"/>
      <c r="DT966" s="1165"/>
      <c r="DU966" s="1165"/>
      <c r="DV966" s="1031"/>
      <c r="DW966" s="1098">
        <f t="shared" si="1184"/>
        <v>0</v>
      </c>
      <c r="DX966" s="1098">
        <f t="shared" si="1185"/>
        <v>0</v>
      </c>
      <c r="DY966" s="1030"/>
      <c r="DZ966" s="1030"/>
      <c r="EA966" s="1031"/>
      <c r="EB966" s="1050"/>
      <c r="EC966" s="1038"/>
      <c r="ED966" s="1035"/>
      <c r="EE966" s="1046"/>
      <c r="EF966" s="1169"/>
      <c r="EG966" s="1168"/>
      <c r="EH966" s="1165"/>
      <c r="EI966" s="1165"/>
      <c r="EJ966" s="1165"/>
      <c r="EK966" s="1031"/>
      <c r="EL966" s="1098">
        <f t="shared" si="1186"/>
        <v>0</v>
      </c>
      <c r="EM966" s="1098">
        <f t="shared" si="1187"/>
        <v>0</v>
      </c>
      <c r="EN966" s="1030"/>
      <c r="EO966" s="1030"/>
      <c r="EP966" s="1031"/>
      <c r="EQ966" s="1050"/>
      <c r="ER966" s="1038"/>
      <c r="ES966" s="1035"/>
      <c r="ET966" s="1051"/>
    </row>
    <row r="967" spans="2:150" ht="16.5" customHeight="1">
      <c r="B967" s="1024"/>
      <c r="C967" s="1025"/>
      <c r="D967" s="408">
        <v>964</v>
      </c>
      <c r="E967" s="1164"/>
      <c r="F967" s="1164"/>
      <c r="G967" s="1026"/>
      <c r="H967" s="411" t="str">
        <f>IFERROR(INDEX(绊状态确认!C:C,MATCH($G967,绊状态确认!$B:$B,)),"")</f>
        <v/>
      </c>
      <c r="I967" s="450" t="str">
        <f>IFERROR(INDEX(绊状态确认!D:D,MATCH($G967,绊状态确认!$B:$B,)),"")</f>
        <v/>
      </c>
      <c r="J967" s="450" t="str">
        <f>IFERROR(INDEX(绊状态确认!E:E,MATCH($G967,绊状态确认!$B:$B,)),"")</f>
        <v/>
      </c>
      <c r="K967" s="451" t="str">
        <f>IFERROR(INDEX(绊状态确认!F:F,MATCH($G967,绊状态确认!$B:$B,)),"")</f>
        <v/>
      </c>
      <c r="L967" s="1026"/>
      <c r="M967" s="1165"/>
      <c r="N967" s="1027"/>
      <c r="O967" s="1026"/>
      <c r="P967" s="1028"/>
      <c r="Q967" s="1029"/>
      <c r="R967" s="1166"/>
      <c r="S967" s="1030"/>
      <c r="T967" s="1031"/>
      <c r="U967" s="1032"/>
      <c r="V967" s="1033"/>
      <c r="W967" s="1034"/>
      <c r="X967" s="1166"/>
      <c r="Y967" s="1035"/>
      <c r="Z967" s="1036"/>
      <c r="AA967" s="1037"/>
      <c r="AB967" s="1038"/>
      <c r="AC967" s="1039"/>
      <c r="AD967" s="1040"/>
      <c r="AE967" s="1041"/>
      <c r="AF967" s="521"/>
      <c r="AG967" s="420"/>
      <c r="AH967" s="420"/>
      <c r="AI967" s="420"/>
      <c r="AJ967" s="420"/>
      <c r="AK967" s="518"/>
      <c r="AL967" s="1042"/>
      <c r="AM967" s="1035"/>
      <c r="AN967" s="1043"/>
      <c r="AO967" s="1167"/>
      <c r="AP967" s="1044"/>
      <c r="AQ967" s="1035"/>
      <c r="AR967" s="1035"/>
      <c r="AS967" s="1035"/>
      <c r="AT967" s="1165"/>
      <c r="AU967" s="1031"/>
      <c r="AV967" s="1045"/>
      <c r="AW967" s="1038"/>
      <c r="AX967" s="1035"/>
      <c r="AY967" s="483"/>
      <c r="AZ967" s="429"/>
      <c r="BA967" s="431"/>
      <c r="BB967" s="1035"/>
      <c r="BC967" s="1035"/>
      <c r="BD967" s="481"/>
      <c r="BE967" s="432"/>
      <c r="BF967" s="646"/>
      <c r="BG967" s="1047"/>
      <c r="BH967" s="1046"/>
      <c r="BI967" s="1048"/>
      <c r="BJ967" s="1030"/>
      <c r="BK967" s="1046"/>
      <c r="BL967" s="1048"/>
      <c r="BM967" s="1046"/>
      <c r="BN967" s="1167"/>
      <c r="BO967" s="1035"/>
      <c r="BP967" s="1043"/>
      <c r="BQ967" s="1167"/>
      <c r="BR967" s="1165"/>
      <c r="BS967" s="1031"/>
      <c r="BT967" s="1038"/>
      <c r="BU967" s="1035"/>
      <c r="BV967" s="1035"/>
      <c r="BW967" s="1049"/>
      <c r="BX967" s="1043"/>
      <c r="BY967" s="1046"/>
      <c r="BZ967" s="1167"/>
      <c r="CA967" s="1165"/>
      <c r="CB967" s="1031"/>
      <c r="CC967" s="1038"/>
      <c r="CD967" s="1035"/>
      <c r="CE967" s="1035"/>
      <c r="CF967" s="1049"/>
      <c r="CG967" s="1043"/>
      <c r="CH967" s="1046"/>
      <c r="CI967" s="1167"/>
      <c r="CJ967" s="1168"/>
      <c r="CK967" s="1169"/>
      <c r="CL967" s="1169"/>
      <c r="CM967" s="1166"/>
      <c r="CN967" s="1169"/>
      <c r="CO967" s="1169"/>
      <c r="CP967" s="452"/>
      <c r="CQ967" s="435"/>
      <c r="CR967" s="441"/>
      <c r="CS967" s="452"/>
      <c r="CT967" s="482"/>
      <c r="CU967" s="476"/>
      <c r="CV967" s="431"/>
      <c r="CW967" s="1108"/>
      <c r="CX967" s="1108"/>
      <c r="CY967" s="483"/>
      <c r="CZ967" s="437"/>
      <c r="DA967" s="438"/>
      <c r="DB967" s="439"/>
      <c r="DC967" s="439"/>
      <c r="DD967" s="443"/>
      <c r="DE967" s="411"/>
      <c r="DF967" s="411"/>
      <c r="DG967" s="1117"/>
      <c r="DH967" s="1117"/>
      <c r="DI967" s="1117"/>
      <c r="DJ967" s="442"/>
      <c r="DK967" s="482"/>
      <c r="DL967" s="1038"/>
      <c r="DM967" s="1035"/>
      <c r="DN967" s="1035"/>
      <c r="DO967" s="1035"/>
      <c r="DP967" s="1046"/>
      <c r="DQ967" s="1167"/>
      <c r="DR967" s="1168"/>
      <c r="DS967" s="1165"/>
      <c r="DT967" s="1165"/>
      <c r="DU967" s="1165"/>
      <c r="DV967" s="1031"/>
      <c r="DW967" s="1098">
        <f t="shared" si="1184"/>
        <v>0</v>
      </c>
      <c r="DX967" s="1098">
        <f t="shared" si="1185"/>
        <v>0</v>
      </c>
      <c r="DY967" s="1030"/>
      <c r="DZ967" s="1030"/>
      <c r="EA967" s="1031"/>
      <c r="EB967" s="1050"/>
      <c r="EC967" s="1038"/>
      <c r="ED967" s="1035"/>
      <c r="EE967" s="1046"/>
      <c r="EF967" s="1169"/>
      <c r="EG967" s="1168"/>
      <c r="EH967" s="1165"/>
      <c r="EI967" s="1165"/>
      <c r="EJ967" s="1165"/>
      <c r="EK967" s="1031"/>
      <c r="EL967" s="1098">
        <f t="shared" si="1186"/>
        <v>0</v>
      </c>
      <c r="EM967" s="1098">
        <f t="shared" si="1187"/>
        <v>0</v>
      </c>
      <c r="EN967" s="1030"/>
      <c r="EO967" s="1030"/>
      <c r="EP967" s="1031"/>
      <c r="EQ967" s="1050"/>
      <c r="ER967" s="1038"/>
      <c r="ES967" s="1035"/>
      <c r="ET967" s="1051"/>
    </row>
    <row r="968" spans="2:150" ht="16.5" customHeight="1">
      <c r="B968" s="1024"/>
      <c r="C968" s="1025"/>
      <c r="D968" s="408">
        <v>965</v>
      </c>
      <c r="E968" s="1164"/>
      <c r="F968" s="1164"/>
      <c r="G968" s="1026"/>
      <c r="H968" s="411" t="str">
        <f>IFERROR(INDEX(绊状态确认!C:C,MATCH($G968,绊状态确认!$B:$B,)),"")</f>
        <v/>
      </c>
      <c r="I968" s="450" t="str">
        <f>IFERROR(INDEX(绊状态确认!D:D,MATCH($G968,绊状态确认!$B:$B,)),"")</f>
        <v/>
      </c>
      <c r="J968" s="450" t="str">
        <f>IFERROR(INDEX(绊状态确认!E:E,MATCH($G968,绊状态确认!$B:$B,)),"")</f>
        <v/>
      </c>
      <c r="K968" s="451" t="str">
        <f>IFERROR(INDEX(绊状态确认!F:F,MATCH($G968,绊状态确认!$B:$B,)),"")</f>
        <v/>
      </c>
      <c r="L968" s="1026"/>
      <c r="M968" s="1165"/>
      <c r="N968" s="1027"/>
      <c r="O968" s="1026"/>
      <c r="P968" s="1028"/>
      <c r="Q968" s="1029"/>
      <c r="R968" s="1166"/>
      <c r="S968" s="1030"/>
      <c r="T968" s="1031"/>
      <c r="U968" s="1032"/>
      <c r="V968" s="1033"/>
      <c r="W968" s="1034"/>
      <c r="X968" s="1166"/>
      <c r="Y968" s="1035"/>
      <c r="Z968" s="1036"/>
      <c r="AA968" s="1037"/>
      <c r="AB968" s="1038"/>
      <c r="AC968" s="1039"/>
      <c r="AD968" s="1040"/>
      <c r="AE968" s="1041"/>
      <c r="AF968" s="521"/>
      <c r="AG968" s="420"/>
      <c r="AH968" s="420"/>
      <c r="AI968" s="420"/>
      <c r="AJ968" s="420"/>
      <c r="AK968" s="518"/>
      <c r="AL968" s="1042"/>
      <c r="AM968" s="1035"/>
      <c r="AN968" s="1043"/>
      <c r="AO968" s="1167"/>
      <c r="AP968" s="1044"/>
      <c r="AQ968" s="1035"/>
      <c r="AR968" s="1035"/>
      <c r="AS968" s="1035"/>
      <c r="AT968" s="1165"/>
      <c r="AU968" s="1031"/>
      <c r="AV968" s="1045"/>
      <c r="AW968" s="1038"/>
      <c r="AX968" s="1035"/>
      <c r="AY968" s="483"/>
      <c r="AZ968" s="429"/>
      <c r="BA968" s="431"/>
      <c r="BB968" s="1035"/>
      <c r="BC968" s="1035"/>
      <c r="BD968" s="481"/>
      <c r="BE968" s="432"/>
      <c r="BF968" s="646"/>
      <c r="BG968" s="1047"/>
      <c r="BH968" s="1046"/>
      <c r="BI968" s="1048"/>
      <c r="BJ968" s="1030"/>
      <c r="BK968" s="1046"/>
      <c r="BL968" s="1048"/>
      <c r="BM968" s="1046"/>
      <c r="BN968" s="1167"/>
      <c r="BO968" s="1035"/>
      <c r="BP968" s="1043"/>
      <c r="BQ968" s="1167"/>
      <c r="BR968" s="1165"/>
      <c r="BS968" s="1031"/>
      <c r="BT968" s="1038"/>
      <c r="BU968" s="1035"/>
      <c r="BV968" s="1035"/>
      <c r="BW968" s="1049"/>
      <c r="BX968" s="1043"/>
      <c r="BY968" s="1046"/>
      <c r="BZ968" s="1167"/>
      <c r="CA968" s="1165"/>
      <c r="CB968" s="1031"/>
      <c r="CC968" s="1038"/>
      <c r="CD968" s="1035"/>
      <c r="CE968" s="1035"/>
      <c r="CF968" s="1049"/>
      <c r="CG968" s="1043"/>
      <c r="CH968" s="1046"/>
      <c r="CI968" s="1167"/>
      <c r="CJ968" s="1168"/>
      <c r="CK968" s="1169"/>
      <c r="CL968" s="1169"/>
      <c r="CM968" s="1166"/>
      <c r="CN968" s="1169"/>
      <c r="CO968" s="1169"/>
      <c r="CP968" s="452"/>
      <c r="CQ968" s="435"/>
      <c r="CR968" s="1117"/>
      <c r="CS968" s="452"/>
      <c r="CT968" s="482"/>
      <c r="CU968" s="476"/>
      <c r="CV968" s="431"/>
      <c r="CW968" s="1108"/>
      <c r="CX968" s="1108"/>
      <c r="CY968" s="483"/>
      <c r="CZ968" s="437"/>
      <c r="DA968" s="438"/>
      <c r="DB968" s="439"/>
      <c r="DC968" s="439"/>
      <c r="DD968" s="443"/>
      <c r="DE968" s="411"/>
      <c r="DF968" s="411"/>
      <c r="DG968" s="1117"/>
      <c r="DH968" s="1117"/>
      <c r="DI968" s="1117"/>
      <c r="DJ968" s="442"/>
      <c r="DK968" s="482"/>
      <c r="DL968" s="1038"/>
      <c r="DM968" s="1035"/>
      <c r="DN968" s="1035"/>
      <c r="DO968" s="1035"/>
      <c r="DP968" s="1046"/>
      <c r="DQ968" s="1167"/>
      <c r="DR968" s="1168"/>
      <c r="DS968" s="1165"/>
      <c r="DT968" s="1165"/>
      <c r="DU968" s="1165"/>
      <c r="DV968" s="1031"/>
      <c r="DW968" s="1098">
        <f t="shared" si="1184"/>
        <v>0</v>
      </c>
      <c r="DX968" s="1098">
        <f t="shared" si="1185"/>
        <v>0</v>
      </c>
      <c r="DY968" s="1030"/>
      <c r="DZ968" s="1030"/>
      <c r="EA968" s="1031"/>
      <c r="EB968" s="1050"/>
      <c r="EC968" s="1038"/>
      <c r="ED968" s="1035"/>
      <c r="EE968" s="1046"/>
      <c r="EF968" s="1169"/>
      <c r="EG968" s="1168"/>
      <c r="EH968" s="1165"/>
      <c r="EI968" s="1165"/>
      <c r="EJ968" s="1165"/>
      <c r="EK968" s="1031"/>
      <c r="EL968" s="1098">
        <f t="shared" si="1186"/>
        <v>0</v>
      </c>
      <c r="EM968" s="1098">
        <f t="shared" si="1187"/>
        <v>0</v>
      </c>
      <c r="EN968" s="1030"/>
      <c r="EO968" s="1030"/>
      <c r="EP968" s="1031"/>
      <c r="EQ968" s="1050"/>
      <c r="ER968" s="1038"/>
      <c r="ES968" s="1035"/>
      <c r="ET968" s="1051"/>
    </row>
    <row r="969" spans="2:150" ht="16.5" customHeight="1">
      <c r="B969" s="1024"/>
      <c r="C969" s="1025"/>
      <c r="D969" s="408">
        <v>966</v>
      </c>
      <c r="E969" s="1164"/>
      <c r="F969" s="1164"/>
      <c r="G969" s="1026"/>
      <c r="H969" s="411" t="str">
        <f>IFERROR(INDEX(绊状态确认!C:C,MATCH($G969,绊状态确认!$B:$B,)),"")</f>
        <v/>
      </c>
      <c r="I969" s="450" t="str">
        <f>IFERROR(INDEX(绊状态确认!D:D,MATCH($G969,绊状态确认!$B:$B,)),"")</f>
        <v/>
      </c>
      <c r="J969" s="450" t="str">
        <f>IFERROR(INDEX(绊状态确认!E:E,MATCH($G969,绊状态确认!$B:$B,)),"")</f>
        <v/>
      </c>
      <c r="K969" s="451" t="str">
        <f>IFERROR(INDEX(绊状态确认!F:F,MATCH($G969,绊状态确认!$B:$B,)),"")</f>
        <v/>
      </c>
      <c r="L969" s="1026"/>
      <c r="M969" s="1165"/>
      <c r="N969" s="1027"/>
      <c r="O969" s="1026"/>
      <c r="P969" s="1028"/>
      <c r="Q969" s="1029"/>
      <c r="R969" s="1166"/>
      <c r="S969" s="1030"/>
      <c r="T969" s="1031"/>
      <c r="U969" s="1032"/>
      <c r="V969" s="1033"/>
      <c r="W969" s="1034"/>
      <c r="X969" s="1166"/>
      <c r="Y969" s="1035"/>
      <c r="Z969" s="1036"/>
      <c r="AA969" s="1037"/>
      <c r="AB969" s="1038"/>
      <c r="AC969" s="1039"/>
      <c r="AD969" s="1040"/>
      <c r="AE969" s="1041"/>
      <c r="AF969" s="521"/>
      <c r="AG969" s="420"/>
      <c r="AH969" s="420"/>
      <c r="AI969" s="420"/>
      <c r="AJ969" s="420"/>
      <c r="AK969" s="518"/>
      <c r="AL969" s="1042"/>
      <c r="AM969" s="1035"/>
      <c r="AN969" s="1043"/>
      <c r="AO969" s="1167"/>
      <c r="AP969" s="1044"/>
      <c r="AQ969" s="1035"/>
      <c r="AR969" s="1035"/>
      <c r="AS969" s="1035"/>
      <c r="AT969" s="1165"/>
      <c r="AU969" s="1031"/>
      <c r="AV969" s="1045"/>
      <c r="AW969" s="1038"/>
      <c r="AX969" s="1035"/>
      <c r="AY969" s="483"/>
      <c r="AZ969" s="429"/>
      <c r="BA969" s="431"/>
      <c r="BB969" s="1035"/>
      <c r="BC969" s="1035"/>
      <c r="BD969" s="481"/>
      <c r="BE969" s="432"/>
      <c r="BF969" s="646"/>
      <c r="BG969" s="1047"/>
      <c r="BH969" s="1046"/>
      <c r="BI969" s="1048"/>
      <c r="BJ969" s="1030"/>
      <c r="BK969" s="1046"/>
      <c r="BL969" s="1048"/>
      <c r="BM969" s="1046"/>
      <c r="BN969" s="1167"/>
      <c r="BO969" s="1035"/>
      <c r="BP969" s="1043"/>
      <c r="BQ969" s="1167"/>
      <c r="BR969" s="1165"/>
      <c r="BS969" s="1031"/>
      <c r="BT969" s="1038"/>
      <c r="BU969" s="1035"/>
      <c r="BV969" s="1035"/>
      <c r="BW969" s="1049"/>
      <c r="BX969" s="1043"/>
      <c r="BY969" s="1046"/>
      <c r="BZ969" s="1167"/>
      <c r="CA969" s="1165"/>
      <c r="CB969" s="1031"/>
      <c r="CC969" s="1038"/>
      <c r="CD969" s="1035"/>
      <c r="CE969" s="1035"/>
      <c r="CF969" s="1049"/>
      <c r="CG969" s="1043"/>
      <c r="CH969" s="1046"/>
      <c r="CI969" s="1167"/>
      <c r="CJ969" s="1168"/>
      <c r="CK969" s="1169"/>
      <c r="CL969" s="1169"/>
      <c r="CM969" s="1166"/>
      <c r="CN969" s="1169"/>
      <c r="CO969" s="1169"/>
      <c r="CP969" s="452"/>
      <c r="CQ969" s="435"/>
      <c r="CR969" s="1117"/>
      <c r="CS969" s="452"/>
      <c r="CT969" s="482"/>
      <c r="CU969" s="476"/>
      <c r="CV969" s="431"/>
      <c r="CW969" s="1108"/>
      <c r="CX969" s="1108"/>
      <c r="CY969" s="483"/>
      <c r="CZ969" s="437"/>
      <c r="DA969" s="438"/>
      <c r="DB969" s="439"/>
      <c r="DC969" s="439"/>
      <c r="DD969" s="443"/>
      <c r="DE969" s="411"/>
      <c r="DF969" s="411"/>
      <c r="DG969" s="1117"/>
      <c r="DH969" s="1117"/>
      <c r="DI969" s="1117"/>
      <c r="DJ969" s="442"/>
      <c r="DK969" s="482"/>
      <c r="DL969" s="1038"/>
      <c r="DM969" s="1035"/>
      <c r="DN969" s="1035"/>
      <c r="DO969" s="1035"/>
      <c r="DP969" s="1046"/>
      <c r="DQ969" s="1167"/>
      <c r="DR969" s="1168"/>
      <c r="DS969" s="1165"/>
      <c r="DT969" s="1165"/>
      <c r="DU969" s="1165"/>
      <c r="DV969" s="1031"/>
      <c r="DW969" s="1098">
        <f t="shared" si="1184"/>
        <v>0</v>
      </c>
      <c r="DX969" s="1098">
        <f t="shared" si="1185"/>
        <v>0</v>
      </c>
      <c r="DY969" s="1030"/>
      <c r="DZ969" s="1030"/>
      <c r="EA969" s="1031"/>
      <c r="EB969" s="1050"/>
      <c r="EC969" s="1038"/>
      <c r="ED969" s="1035"/>
      <c r="EE969" s="1046"/>
      <c r="EF969" s="1169"/>
      <c r="EG969" s="1168"/>
      <c r="EH969" s="1165"/>
      <c r="EI969" s="1165"/>
      <c r="EJ969" s="1165"/>
      <c r="EK969" s="1031"/>
      <c r="EL969" s="1098">
        <f t="shared" si="1186"/>
        <v>0</v>
      </c>
      <c r="EM969" s="1098">
        <f t="shared" si="1187"/>
        <v>0</v>
      </c>
      <c r="EN969" s="1030"/>
      <c r="EO969" s="1030"/>
      <c r="EP969" s="1031"/>
      <c r="EQ969" s="1050"/>
      <c r="ER969" s="1038"/>
      <c r="ES969" s="1035"/>
      <c r="ET969" s="1051"/>
    </row>
    <row r="970" spans="2:150" ht="16.5" customHeight="1">
      <c r="B970" s="1024"/>
      <c r="C970" s="1025"/>
      <c r="D970" s="408">
        <v>967</v>
      </c>
      <c r="E970" s="1164"/>
      <c r="F970" s="1164"/>
      <c r="G970" s="1026"/>
      <c r="H970" s="411" t="str">
        <f>IFERROR(INDEX(绊状态确认!C:C,MATCH($G970,绊状态确认!$B:$B,)),"")</f>
        <v/>
      </c>
      <c r="I970" s="450" t="str">
        <f>IFERROR(INDEX(绊状态确认!D:D,MATCH($G970,绊状态确认!$B:$B,)),"")</f>
        <v/>
      </c>
      <c r="J970" s="450" t="str">
        <f>IFERROR(INDEX(绊状态确认!E:E,MATCH($G970,绊状态确认!$B:$B,)),"")</f>
        <v/>
      </c>
      <c r="K970" s="451" t="str">
        <f>IFERROR(INDEX(绊状态确认!F:F,MATCH($G970,绊状态确认!$B:$B,)),"")</f>
        <v/>
      </c>
      <c r="L970" s="1026"/>
      <c r="M970" s="1165"/>
      <c r="N970" s="1027"/>
      <c r="O970" s="1026"/>
      <c r="P970" s="1028"/>
      <c r="Q970" s="1029"/>
      <c r="R970" s="1166"/>
      <c r="S970" s="1030"/>
      <c r="T970" s="1031"/>
      <c r="U970" s="1032"/>
      <c r="V970" s="1033"/>
      <c r="W970" s="1034"/>
      <c r="X970" s="1166"/>
      <c r="Y970" s="1035"/>
      <c r="Z970" s="1036"/>
      <c r="AA970" s="1037"/>
      <c r="AB970" s="1038"/>
      <c r="AC970" s="1039"/>
      <c r="AD970" s="1040"/>
      <c r="AE970" s="1041"/>
      <c r="AF970" s="521"/>
      <c r="AG970" s="420"/>
      <c r="AH970" s="420"/>
      <c r="AI970" s="420"/>
      <c r="AJ970" s="420"/>
      <c r="AK970" s="518"/>
      <c r="AL970" s="1042"/>
      <c r="AM970" s="1035"/>
      <c r="AN970" s="1043"/>
      <c r="AO970" s="1167"/>
      <c r="AP970" s="1044"/>
      <c r="AQ970" s="1035"/>
      <c r="AR970" s="1035"/>
      <c r="AS970" s="1035"/>
      <c r="AT970" s="1165"/>
      <c r="AU970" s="1031"/>
      <c r="AV970" s="1045"/>
      <c r="AW970" s="1038"/>
      <c r="AX970" s="1035"/>
      <c r="AY970" s="483"/>
      <c r="AZ970" s="429"/>
      <c r="BA970" s="431"/>
      <c r="BB970" s="1035"/>
      <c r="BC970" s="1035"/>
      <c r="BD970" s="481"/>
      <c r="BE970" s="432"/>
      <c r="BF970" s="646"/>
      <c r="BG970" s="1047"/>
      <c r="BH970" s="1046"/>
      <c r="BI970" s="1048"/>
      <c r="BJ970" s="1030"/>
      <c r="BK970" s="1046"/>
      <c r="BL970" s="1048"/>
      <c r="BM970" s="1046"/>
      <c r="BN970" s="1167"/>
      <c r="BO970" s="1035"/>
      <c r="BP970" s="1043"/>
      <c r="BQ970" s="1167"/>
      <c r="BR970" s="1165"/>
      <c r="BS970" s="1031"/>
      <c r="BT970" s="1038"/>
      <c r="BU970" s="1035"/>
      <c r="BV970" s="1035"/>
      <c r="BW970" s="1049"/>
      <c r="BX970" s="1043"/>
      <c r="BY970" s="1046"/>
      <c r="BZ970" s="1167"/>
      <c r="CA970" s="1165"/>
      <c r="CB970" s="1031"/>
      <c r="CC970" s="1038"/>
      <c r="CD970" s="1035"/>
      <c r="CE970" s="1035"/>
      <c r="CF970" s="1049"/>
      <c r="CG970" s="1043"/>
      <c r="CH970" s="1046"/>
      <c r="CI970" s="1167"/>
      <c r="CJ970" s="1168"/>
      <c r="CK970" s="1169"/>
      <c r="CL970" s="1169"/>
      <c r="CM970" s="1166"/>
      <c r="CN970" s="1169"/>
      <c r="CO970" s="1169"/>
      <c r="CP970" s="452"/>
      <c r="CQ970" s="435"/>
      <c r="CR970" s="441"/>
      <c r="CS970" s="452"/>
      <c r="CT970" s="482"/>
      <c r="CU970" s="476"/>
      <c r="CV970" s="431"/>
      <c r="CW970" s="1108"/>
      <c r="CX970" s="1108"/>
      <c r="CY970" s="483"/>
      <c r="CZ970" s="437"/>
      <c r="DA970" s="438"/>
      <c r="DB970" s="439"/>
      <c r="DC970" s="439"/>
      <c r="DD970" s="443"/>
      <c r="DE970" s="411"/>
      <c r="DF970" s="411"/>
      <c r="DG970" s="1117"/>
      <c r="DH970" s="1117"/>
      <c r="DI970" s="1117"/>
      <c r="DJ970" s="442"/>
      <c r="DK970" s="482"/>
      <c r="DL970" s="1038"/>
      <c r="DM970" s="1035"/>
      <c r="DN970" s="1035"/>
      <c r="DO970" s="1035"/>
      <c r="DP970" s="1046"/>
      <c r="DQ970" s="1167"/>
      <c r="DR970" s="1168"/>
      <c r="DS970" s="1165"/>
      <c r="DT970" s="1165"/>
      <c r="DU970" s="1165"/>
      <c r="DV970" s="1031"/>
      <c r="DW970" s="1098">
        <f t="shared" si="1184"/>
        <v>0</v>
      </c>
      <c r="DX970" s="1098">
        <f t="shared" si="1185"/>
        <v>0</v>
      </c>
      <c r="DY970" s="1030"/>
      <c r="DZ970" s="1030"/>
      <c r="EA970" s="1031"/>
      <c r="EB970" s="1050"/>
      <c r="EC970" s="1038"/>
      <c r="ED970" s="1035"/>
      <c r="EE970" s="1046"/>
      <c r="EF970" s="1169"/>
      <c r="EG970" s="1168"/>
      <c r="EH970" s="1165"/>
      <c r="EI970" s="1165"/>
      <c r="EJ970" s="1165"/>
      <c r="EK970" s="1031"/>
      <c r="EL970" s="1098">
        <f t="shared" si="1186"/>
        <v>0</v>
      </c>
      <c r="EM970" s="1098">
        <f t="shared" si="1187"/>
        <v>0</v>
      </c>
      <c r="EN970" s="1030"/>
      <c r="EO970" s="1030"/>
      <c r="EP970" s="1031"/>
      <c r="EQ970" s="1050"/>
      <c r="ER970" s="1038"/>
      <c r="ES970" s="1035"/>
      <c r="ET970" s="1051"/>
    </row>
    <row r="971" spans="2:150" ht="16.5" customHeight="1">
      <c r="B971" s="1024"/>
      <c r="C971" s="1025"/>
      <c r="D971" s="408">
        <v>968</v>
      </c>
      <c r="E971" s="1164"/>
      <c r="F971" s="1164"/>
      <c r="G971" s="1026"/>
      <c r="H971" s="411" t="str">
        <f>IFERROR(INDEX(绊状态确认!C:C,MATCH($G971,绊状态确认!$B:$B,)),"")</f>
        <v/>
      </c>
      <c r="I971" s="450" t="str">
        <f>IFERROR(INDEX(绊状态确认!D:D,MATCH($G971,绊状态确认!$B:$B,)),"")</f>
        <v/>
      </c>
      <c r="J971" s="450" t="str">
        <f>IFERROR(INDEX(绊状态确认!E:E,MATCH($G971,绊状态确认!$B:$B,)),"")</f>
        <v/>
      </c>
      <c r="K971" s="451" t="str">
        <f>IFERROR(INDEX(绊状态确认!F:F,MATCH($G971,绊状态确认!$B:$B,)),"")</f>
        <v/>
      </c>
      <c r="L971" s="1026"/>
      <c r="M971" s="1165"/>
      <c r="N971" s="1027"/>
      <c r="O971" s="1026"/>
      <c r="P971" s="1028"/>
      <c r="Q971" s="1029"/>
      <c r="R971" s="1166"/>
      <c r="S971" s="1030"/>
      <c r="T971" s="1031"/>
      <c r="U971" s="1032"/>
      <c r="V971" s="1033"/>
      <c r="W971" s="1034"/>
      <c r="X971" s="1166"/>
      <c r="Y971" s="1035"/>
      <c r="Z971" s="1036"/>
      <c r="AA971" s="1037"/>
      <c r="AB971" s="1038"/>
      <c r="AC971" s="1039"/>
      <c r="AD971" s="1040"/>
      <c r="AE971" s="1041"/>
      <c r="AF971" s="521"/>
      <c r="AG971" s="420"/>
      <c r="AH971" s="420"/>
      <c r="AI971" s="420"/>
      <c r="AJ971" s="420"/>
      <c r="AK971" s="518"/>
      <c r="AL971" s="1042"/>
      <c r="AM971" s="1035"/>
      <c r="AN971" s="1043"/>
      <c r="AO971" s="1167"/>
      <c r="AP971" s="1044"/>
      <c r="AQ971" s="1035"/>
      <c r="AR971" s="1035"/>
      <c r="AS971" s="1035"/>
      <c r="AT971" s="1165"/>
      <c r="AU971" s="1031"/>
      <c r="AV971" s="1045"/>
      <c r="AW971" s="1038"/>
      <c r="AX971" s="1035"/>
      <c r="AY971" s="483"/>
      <c r="AZ971" s="429"/>
      <c r="BA971" s="431"/>
      <c r="BB971" s="1035"/>
      <c r="BC971" s="1035"/>
      <c r="BD971" s="481"/>
      <c r="BE971" s="432"/>
      <c r="BF971" s="646"/>
      <c r="BG971" s="1047"/>
      <c r="BH971" s="1046"/>
      <c r="BI971" s="1048"/>
      <c r="BJ971" s="1030"/>
      <c r="BK971" s="1046"/>
      <c r="BL971" s="1048"/>
      <c r="BM971" s="1046"/>
      <c r="BN971" s="1167"/>
      <c r="BO971" s="1035"/>
      <c r="BP971" s="1043"/>
      <c r="BQ971" s="1167"/>
      <c r="BR971" s="1165"/>
      <c r="BS971" s="1031"/>
      <c r="BT971" s="1038"/>
      <c r="BU971" s="1035"/>
      <c r="BV971" s="1035"/>
      <c r="BW971" s="1049"/>
      <c r="BX971" s="1043"/>
      <c r="BY971" s="1046"/>
      <c r="BZ971" s="1167"/>
      <c r="CA971" s="1165"/>
      <c r="CB971" s="1031"/>
      <c r="CC971" s="1038"/>
      <c r="CD971" s="1035"/>
      <c r="CE971" s="1035"/>
      <c r="CF971" s="1049"/>
      <c r="CG971" s="1043"/>
      <c r="CH971" s="1046"/>
      <c r="CI971" s="1167"/>
      <c r="CJ971" s="1168"/>
      <c r="CK971" s="1169"/>
      <c r="CL971" s="1169"/>
      <c r="CM971" s="1166"/>
      <c r="CN971" s="1169"/>
      <c r="CO971" s="1169"/>
      <c r="CP971" s="452"/>
      <c r="CQ971" s="435"/>
      <c r="CR971" s="441"/>
      <c r="CS971" s="452"/>
      <c r="CT971" s="482"/>
      <c r="CU971" s="476"/>
      <c r="CV971" s="431"/>
      <c r="CW971" s="1108"/>
      <c r="CX971" s="1108"/>
      <c r="CY971" s="483"/>
      <c r="CZ971" s="437"/>
      <c r="DA971" s="438"/>
      <c r="DB971" s="439"/>
      <c r="DC971" s="439"/>
      <c r="DD971" s="443"/>
      <c r="DE971" s="411"/>
      <c r="DF971" s="411"/>
      <c r="DG971" s="1117"/>
      <c r="DH971" s="1117"/>
      <c r="DI971" s="1117"/>
      <c r="DJ971" s="442"/>
      <c r="DK971" s="482"/>
      <c r="DL971" s="1038"/>
      <c r="DM971" s="1035"/>
      <c r="DN971" s="1035"/>
      <c r="DO971" s="1035"/>
      <c r="DP971" s="1046"/>
      <c r="DQ971" s="1167"/>
      <c r="DR971" s="1168"/>
      <c r="DS971" s="1165"/>
      <c r="DT971" s="1165"/>
      <c r="DU971" s="1165"/>
      <c r="DV971" s="1031"/>
      <c r="DW971" s="1098">
        <f t="shared" si="1184"/>
        <v>0</v>
      </c>
      <c r="DX971" s="1098">
        <f t="shared" si="1185"/>
        <v>0</v>
      </c>
      <c r="DY971" s="1030"/>
      <c r="DZ971" s="1030"/>
      <c r="EA971" s="1031"/>
      <c r="EB971" s="1050"/>
      <c r="EC971" s="1038"/>
      <c r="ED971" s="1035"/>
      <c r="EE971" s="1046"/>
      <c r="EF971" s="1169"/>
      <c r="EG971" s="1168"/>
      <c r="EH971" s="1165"/>
      <c r="EI971" s="1165"/>
      <c r="EJ971" s="1165"/>
      <c r="EK971" s="1031"/>
      <c r="EL971" s="1098">
        <f t="shared" si="1186"/>
        <v>0</v>
      </c>
      <c r="EM971" s="1098">
        <f t="shared" si="1187"/>
        <v>0</v>
      </c>
      <c r="EN971" s="1030"/>
      <c r="EO971" s="1030"/>
      <c r="EP971" s="1031"/>
      <c r="EQ971" s="1050"/>
      <c r="ER971" s="1038"/>
      <c r="ES971" s="1035"/>
      <c r="ET971" s="1051"/>
    </row>
    <row r="972" spans="2:150" ht="16.5" customHeight="1">
      <c r="B972" s="1024"/>
      <c r="C972" s="1025"/>
      <c r="D972" s="408">
        <v>969</v>
      </c>
      <c r="E972" s="1164"/>
      <c r="F972" s="1164"/>
      <c r="G972" s="1026"/>
      <c r="H972" s="411" t="str">
        <f>IFERROR(INDEX(绊状态确认!C:C,MATCH($G972,绊状态确认!$B:$B,)),"")</f>
        <v/>
      </c>
      <c r="I972" s="450" t="str">
        <f>IFERROR(INDEX(绊状态确认!D:D,MATCH($G972,绊状态确认!$B:$B,)),"")</f>
        <v/>
      </c>
      <c r="J972" s="450" t="str">
        <f>IFERROR(INDEX(绊状态确认!E:E,MATCH($G972,绊状态确认!$B:$B,)),"")</f>
        <v/>
      </c>
      <c r="K972" s="451" t="str">
        <f>IFERROR(INDEX(绊状态确认!F:F,MATCH($G972,绊状态确认!$B:$B,)),"")</f>
        <v/>
      </c>
      <c r="L972" s="1026"/>
      <c r="M972" s="1165"/>
      <c r="N972" s="1027"/>
      <c r="O972" s="1026"/>
      <c r="P972" s="1028"/>
      <c r="Q972" s="1029"/>
      <c r="R972" s="1166"/>
      <c r="S972" s="1030"/>
      <c r="T972" s="1031"/>
      <c r="U972" s="1032"/>
      <c r="V972" s="1033"/>
      <c r="W972" s="1034"/>
      <c r="X972" s="1166"/>
      <c r="Y972" s="1035"/>
      <c r="Z972" s="1036"/>
      <c r="AA972" s="1037"/>
      <c r="AB972" s="1038"/>
      <c r="AC972" s="1039"/>
      <c r="AD972" s="1040"/>
      <c r="AE972" s="1041"/>
      <c r="AF972" s="521"/>
      <c r="AG972" s="420"/>
      <c r="AH972" s="420"/>
      <c r="AI972" s="420"/>
      <c r="AJ972" s="420"/>
      <c r="AK972" s="518"/>
      <c r="AL972" s="1042"/>
      <c r="AM972" s="1035"/>
      <c r="AN972" s="1043"/>
      <c r="AO972" s="1167"/>
      <c r="AP972" s="1044"/>
      <c r="AQ972" s="1035"/>
      <c r="AR972" s="1035"/>
      <c r="AS972" s="1035"/>
      <c r="AT972" s="1165"/>
      <c r="AU972" s="1031"/>
      <c r="AV972" s="1045"/>
      <c r="AW972" s="1038"/>
      <c r="AX972" s="1035"/>
      <c r="AY972" s="483"/>
      <c r="AZ972" s="429"/>
      <c r="BA972" s="431"/>
      <c r="BB972" s="1035"/>
      <c r="BC972" s="1035"/>
      <c r="BD972" s="481"/>
      <c r="BE972" s="432"/>
      <c r="BF972" s="646"/>
      <c r="BG972" s="1047"/>
      <c r="BH972" s="1046"/>
      <c r="BI972" s="1048"/>
      <c r="BJ972" s="1030"/>
      <c r="BK972" s="1046"/>
      <c r="BL972" s="1048"/>
      <c r="BM972" s="1046"/>
      <c r="BN972" s="1167"/>
      <c r="BO972" s="1035"/>
      <c r="BP972" s="1043"/>
      <c r="BQ972" s="1167"/>
      <c r="BR972" s="1165"/>
      <c r="BS972" s="1031"/>
      <c r="BT972" s="1038"/>
      <c r="BU972" s="1035"/>
      <c r="BV972" s="1035"/>
      <c r="BW972" s="1049"/>
      <c r="BX972" s="1043"/>
      <c r="BY972" s="1046"/>
      <c r="BZ972" s="1167"/>
      <c r="CA972" s="1165"/>
      <c r="CB972" s="1031"/>
      <c r="CC972" s="1038"/>
      <c r="CD972" s="1035"/>
      <c r="CE972" s="1035"/>
      <c r="CF972" s="1049"/>
      <c r="CG972" s="1043"/>
      <c r="CH972" s="1046"/>
      <c r="CI972" s="1167"/>
      <c r="CJ972" s="1168"/>
      <c r="CK972" s="1169"/>
      <c r="CL972" s="1169"/>
      <c r="CM972" s="1166"/>
      <c r="CN972" s="1169"/>
      <c r="CO972" s="1169"/>
      <c r="CP972" s="452"/>
      <c r="CQ972" s="435"/>
      <c r="CR972" s="1117"/>
      <c r="CS972" s="452"/>
      <c r="CT972" s="482"/>
      <c r="CU972" s="476"/>
      <c r="CV972" s="431"/>
      <c r="CW972" s="1108"/>
      <c r="CX972" s="1108"/>
      <c r="CY972" s="483"/>
      <c r="CZ972" s="437"/>
      <c r="DA972" s="438"/>
      <c r="DB972" s="439"/>
      <c r="DC972" s="439"/>
      <c r="DD972" s="443"/>
      <c r="DE972" s="411"/>
      <c r="DF972" s="411"/>
      <c r="DG972" s="1117"/>
      <c r="DH972" s="1117"/>
      <c r="DI972" s="1117"/>
      <c r="DJ972" s="442"/>
      <c r="DK972" s="482"/>
      <c r="DL972" s="1038"/>
      <c r="DM972" s="1035"/>
      <c r="DN972" s="1035"/>
      <c r="DO972" s="1035"/>
      <c r="DP972" s="1046"/>
      <c r="DQ972" s="1167"/>
      <c r="DR972" s="1168"/>
      <c r="DS972" s="1165"/>
      <c r="DT972" s="1165"/>
      <c r="DU972" s="1165"/>
      <c r="DV972" s="1031"/>
      <c r="DW972" s="1098">
        <f t="shared" si="1184"/>
        <v>0</v>
      </c>
      <c r="DX972" s="1098">
        <f t="shared" si="1185"/>
        <v>0</v>
      </c>
      <c r="DY972" s="1030"/>
      <c r="DZ972" s="1030"/>
      <c r="EA972" s="1031"/>
      <c r="EB972" s="1050"/>
      <c r="EC972" s="1038"/>
      <c r="ED972" s="1035"/>
      <c r="EE972" s="1046"/>
      <c r="EF972" s="1169"/>
      <c r="EG972" s="1168"/>
      <c r="EH972" s="1165"/>
      <c r="EI972" s="1165"/>
      <c r="EJ972" s="1165"/>
      <c r="EK972" s="1031"/>
      <c r="EL972" s="1098">
        <f t="shared" si="1186"/>
        <v>0</v>
      </c>
      <c r="EM972" s="1098">
        <f t="shared" si="1187"/>
        <v>0</v>
      </c>
      <c r="EN972" s="1030"/>
      <c r="EO972" s="1030"/>
      <c r="EP972" s="1031"/>
      <c r="EQ972" s="1050"/>
      <c r="ER972" s="1038"/>
      <c r="ES972" s="1035"/>
      <c r="ET972" s="1051"/>
    </row>
    <row r="973" spans="2:150" ht="16.5" customHeight="1">
      <c r="B973" s="1024"/>
      <c r="C973" s="1025"/>
      <c r="D973" s="408">
        <v>970</v>
      </c>
      <c r="E973" s="1164"/>
      <c r="F973" s="1164"/>
      <c r="G973" s="1026"/>
      <c r="H973" s="411" t="str">
        <f>IFERROR(INDEX(绊状态确认!C:C,MATCH($G973,绊状态确认!$B:$B,)),"")</f>
        <v/>
      </c>
      <c r="I973" s="450" t="str">
        <f>IFERROR(INDEX(绊状态确认!D:D,MATCH($G973,绊状态确认!$B:$B,)),"")</f>
        <v/>
      </c>
      <c r="J973" s="450" t="str">
        <f>IFERROR(INDEX(绊状态确认!E:E,MATCH($G973,绊状态确认!$B:$B,)),"")</f>
        <v/>
      </c>
      <c r="K973" s="451" t="str">
        <f>IFERROR(INDEX(绊状态确认!F:F,MATCH($G973,绊状态确认!$B:$B,)),"")</f>
        <v/>
      </c>
      <c r="L973" s="1026"/>
      <c r="M973" s="1165"/>
      <c r="N973" s="1027"/>
      <c r="O973" s="1026"/>
      <c r="P973" s="1028"/>
      <c r="Q973" s="1029"/>
      <c r="R973" s="1166"/>
      <c r="S973" s="1030"/>
      <c r="T973" s="1031"/>
      <c r="U973" s="1032"/>
      <c r="V973" s="1033"/>
      <c r="W973" s="1034"/>
      <c r="X973" s="1166"/>
      <c r="Y973" s="1035"/>
      <c r="Z973" s="1036"/>
      <c r="AA973" s="1037"/>
      <c r="AB973" s="1038"/>
      <c r="AC973" s="1039"/>
      <c r="AD973" s="1040"/>
      <c r="AE973" s="1041"/>
      <c r="AF973" s="521"/>
      <c r="AG973" s="420"/>
      <c r="AH973" s="420"/>
      <c r="AI973" s="420"/>
      <c r="AJ973" s="420"/>
      <c r="AK973" s="518"/>
      <c r="AL973" s="1042"/>
      <c r="AM973" s="1035"/>
      <c r="AN973" s="1043"/>
      <c r="AO973" s="1167"/>
      <c r="AP973" s="1044"/>
      <c r="AQ973" s="1035"/>
      <c r="AR973" s="1035"/>
      <c r="AS973" s="1035"/>
      <c r="AT973" s="1165"/>
      <c r="AU973" s="1031"/>
      <c r="AV973" s="1045"/>
      <c r="AW973" s="1038"/>
      <c r="AX973" s="1035"/>
      <c r="AY973" s="483"/>
      <c r="AZ973" s="429"/>
      <c r="BA973" s="431"/>
      <c r="BB973" s="1035"/>
      <c r="BC973" s="1035"/>
      <c r="BD973" s="481"/>
      <c r="BE973" s="432"/>
      <c r="BF973" s="646"/>
      <c r="BG973" s="1047"/>
      <c r="BH973" s="1046"/>
      <c r="BI973" s="1048"/>
      <c r="BJ973" s="1030"/>
      <c r="BK973" s="1046"/>
      <c r="BL973" s="1048"/>
      <c r="BM973" s="1046"/>
      <c r="BN973" s="1167"/>
      <c r="BO973" s="1035"/>
      <c r="BP973" s="1043"/>
      <c r="BQ973" s="1167"/>
      <c r="BR973" s="1165"/>
      <c r="BS973" s="1031"/>
      <c r="BT973" s="1038"/>
      <c r="BU973" s="1035"/>
      <c r="BV973" s="1035"/>
      <c r="BW973" s="1049"/>
      <c r="BX973" s="1043"/>
      <c r="BY973" s="1046"/>
      <c r="BZ973" s="1167"/>
      <c r="CA973" s="1165"/>
      <c r="CB973" s="1031"/>
      <c r="CC973" s="1038"/>
      <c r="CD973" s="1035"/>
      <c r="CE973" s="1035"/>
      <c r="CF973" s="1049"/>
      <c r="CG973" s="1043"/>
      <c r="CH973" s="1046"/>
      <c r="CI973" s="1167"/>
      <c r="CJ973" s="1168"/>
      <c r="CK973" s="1169"/>
      <c r="CL973" s="1169"/>
      <c r="CM973" s="1166"/>
      <c r="CN973" s="1169"/>
      <c r="CO973" s="1169"/>
      <c r="CP973" s="452"/>
      <c r="CQ973" s="435"/>
      <c r="CR973" s="1117"/>
      <c r="CS973" s="452"/>
      <c r="CT973" s="482"/>
      <c r="CU973" s="476"/>
      <c r="CV973" s="431"/>
      <c r="CW973" s="1108"/>
      <c r="CX973" s="1108"/>
      <c r="CY973" s="483"/>
      <c r="CZ973" s="437"/>
      <c r="DA973" s="438"/>
      <c r="DB973" s="439"/>
      <c r="DC973" s="439"/>
      <c r="DD973" s="443"/>
      <c r="DE973" s="411"/>
      <c r="DF973" s="411"/>
      <c r="DG973" s="1117"/>
      <c r="DH973" s="1117"/>
      <c r="DI973" s="1117"/>
      <c r="DJ973" s="442"/>
      <c r="DK973" s="482"/>
      <c r="DL973" s="1038"/>
      <c r="DM973" s="1035"/>
      <c r="DN973" s="1035"/>
      <c r="DO973" s="1035"/>
      <c r="DP973" s="1046"/>
      <c r="DQ973" s="1167"/>
      <c r="DR973" s="1168"/>
      <c r="DS973" s="1165"/>
      <c r="DT973" s="1165"/>
      <c r="DU973" s="1165"/>
      <c r="DV973" s="1031"/>
      <c r="DW973" s="1098">
        <f t="shared" si="1184"/>
        <v>0</v>
      </c>
      <c r="DX973" s="1098">
        <f t="shared" si="1185"/>
        <v>0</v>
      </c>
      <c r="DY973" s="1030"/>
      <c r="DZ973" s="1030"/>
      <c r="EA973" s="1031"/>
      <c r="EB973" s="1050"/>
      <c r="EC973" s="1038"/>
      <c r="ED973" s="1035"/>
      <c r="EE973" s="1046"/>
      <c r="EF973" s="1169"/>
      <c r="EG973" s="1168"/>
      <c r="EH973" s="1165"/>
      <c r="EI973" s="1165"/>
      <c r="EJ973" s="1165"/>
      <c r="EK973" s="1031"/>
      <c r="EL973" s="1098">
        <f t="shared" si="1186"/>
        <v>0</v>
      </c>
      <c r="EM973" s="1098">
        <f t="shared" si="1187"/>
        <v>0</v>
      </c>
      <c r="EN973" s="1030"/>
      <c r="EO973" s="1030"/>
      <c r="EP973" s="1031"/>
      <c r="EQ973" s="1050"/>
      <c r="ER973" s="1038"/>
      <c r="ES973" s="1035"/>
      <c r="ET973" s="1051"/>
    </row>
    <row r="974" spans="2:150" ht="16.5" customHeight="1">
      <c r="B974" s="1024"/>
      <c r="C974" s="1025"/>
      <c r="D974" s="408">
        <v>971</v>
      </c>
      <c r="E974" s="1164"/>
      <c r="F974" s="1164"/>
      <c r="G974" s="1026"/>
      <c r="H974" s="411" t="str">
        <f>IFERROR(INDEX(绊状态确认!C:C,MATCH($G974,绊状态确认!$B:$B,)),"")</f>
        <v/>
      </c>
      <c r="I974" s="450" t="str">
        <f>IFERROR(INDEX(绊状态确认!D:D,MATCH($G974,绊状态确认!$B:$B,)),"")</f>
        <v/>
      </c>
      <c r="J974" s="450" t="str">
        <f>IFERROR(INDEX(绊状态确认!E:E,MATCH($G974,绊状态确认!$B:$B,)),"")</f>
        <v/>
      </c>
      <c r="K974" s="451" t="str">
        <f>IFERROR(INDEX(绊状态确认!F:F,MATCH($G974,绊状态确认!$B:$B,)),"")</f>
        <v/>
      </c>
      <c r="L974" s="1026"/>
      <c r="M974" s="1165"/>
      <c r="N974" s="1027"/>
      <c r="O974" s="1026"/>
      <c r="P974" s="1028"/>
      <c r="Q974" s="1029"/>
      <c r="R974" s="1166"/>
      <c r="S974" s="1030"/>
      <c r="T974" s="1031"/>
      <c r="U974" s="1032"/>
      <c r="V974" s="1033"/>
      <c r="W974" s="1034"/>
      <c r="X974" s="1166"/>
      <c r="Y974" s="1035"/>
      <c r="Z974" s="1036"/>
      <c r="AA974" s="1037"/>
      <c r="AB974" s="1038"/>
      <c r="AC974" s="1039"/>
      <c r="AD974" s="1040"/>
      <c r="AE974" s="1041"/>
      <c r="AF974" s="521"/>
      <c r="AG974" s="420"/>
      <c r="AH974" s="420"/>
      <c r="AI974" s="420"/>
      <c r="AJ974" s="420"/>
      <c r="AK974" s="518"/>
      <c r="AL974" s="1042"/>
      <c r="AM974" s="1035"/>
      <c r="AN974" s="1043"/>
      <c r="AO974" s="1167"/>
      <c r="AP974" s="1044"/>
      <c r="AQ974" s="1035"/>
      <c r="AR974" s="1035"/>
      <c r="AS974" s="1035"/>
      <c r="AT974" s="1165"/>
      <c r="AU974" s="1031"/>
      <c r="AV974" s="1045"/>
      <c r="AW974" s="1038"/>
      <c r="AX974" s="1035"/>
      <c r="AY974" s="483"/>
      <c r="AZ974" s="429"/>
      <c r="BA974" s="431"/>
      <c r="BB974" s="1035"/>
      <c r="BC974" s="1035"/>
      <c r="BD974" s="481"/>
      <c r="BE974" s="432"/>
      <c r="BF974" s="646"/>
      <c r="BG974" s="1047"/>
      <c r="BH974" s="1046"/>
      <c r="BI974" s="1048"/>
      <c r="BJ974" s="1030"/>
      <c r="BK974" s="1046"/>
      <c r="BL974" s="1048"/>
      <c r="BM974" s="1046"/>
      <c r="BN974" s="1167"/>
      <c r="BO974" s="1035"/>
      <c r="BP974" s="1043"/>
      <c r="BQ974" s="1167"/>
      <c r="BR974" s="1165"/>
      <c r="BS974" s="1031"/>
      <c r="BT974" s="1038"/>
      <c r="BU974" s="1035"/>
      <c r="BV974" s="1035"/>
      <c r="BW974" s="1049"/>
      <c r="BX974" s="1043"/>
      <c r="BY974" s="1046"/>
      <c r="BZ974" s="1167"/>
      <c r="CA974" s="1165"/>
      <c r="CB974" s="1031"/>
      <c r="CC974" s="1038"/>
      <c r="CD974" s="1035"/>
      <c r="CE974" s="1035"/>
      <c r="CF974" s="1049"/>
      <c r="CG974" s="1043"/>
      <c r="CH974" s="1046"/>
      <c r="CI974" s="1167"/>
      <c r="CJ974" s="1168"/>
      <c r="CK974" s="1169"/>
      <c r="CL974" s="1169"/>
      <c r="CM974" s="1166"/>
      <c r="CN974" s="1169"/>
      <c r="CO974" s="1169"/>
      <c r="CP974" s="452"/>
      <c r="CQ974" s="435"/>
      <c r="CR974" s="441"/>
      <c r="CS974" s="452"/>
      <c r="CT974" s="482"/>
      <c r="CU974" s="476"/>
      <c r="CV974" s="431"/>
      <c r="CW974" s="1108"/>
      <c r="CX974" s="1108"/>
      <c r="CY974" s="483"/>
      <c r="CZ974" s="437"/>
      <c r="DA974" s="438"/>
      <c r="DB974" s="439"/>
      <c r="DC974" s="439"/>
      <c r="DD974" s="443"/>
      <c r="DE974" s="411"/>
      <c r="DF974" s="411"/>
      <c r="DG974" s="1117"/>
      <c r="DH974" s="1117"/>
      <c r="DI974" s="1117"/>
      <c r="DJ974" s="442"/>
      <c r="DK974" s="482"/>
      <c r="DL974" s="1038"/>
      <c r="DM974" s="1035"/>
      <c r="DN974" s="1035"/>
      <c r="DO974" s="1035"/>
      <c r="DP974" s="1046"/>
      <c r="DQ974" s="1167"/>
      <c r="DR974" s="1168"/>
      <c r="DS974" s="1165"/>
      <c r="DT974" s="1165"/>
      <c r="DU974" s="1165"/>
      <c r="DV974" s="1031"/>
      <c r="DW974" s="1098">
        <f t="shared" si="1184"/>
        <v>0</v>
      </c>
      <c r="DX974" s="1098">
        <f t="shared" si="1185"/>
        <v>0</v>
      </c>
      <c r="DY974" s="1030"/>
      <c r="DZ974" s="1030"/>
      <c r="EA974" s="1031"/>
      <c r="EB974" s="1050"/>
      <c r="EC974" s="1038"/>
      <c r="ED974" s="1035"/>
      <c r="EE974" s="1046"/>
      <c r="EF974" s="1169"/>
      <c r="EG974" s="1168"/>
      <c r="EH974" s="1165"/>
      <c r="EI974" s="1165"/>
      <c r="EJ974" s="1165"/>
      <c r="EK974" s="1031"/>
      <c r="EL974" s="1098">
        <f t="shared" si="1186"/>
        <v>0</v>
      </c>
      <c r="EM974" s="1098">
        <f t="shared" si="1187"/>
        <v>0</v>
      </c>
      <c r="EN974" s="1030"/>
      <c r="EO974" s="1030"/>
      <c r="EP974" s="1031"/>
      <c r="EQ974" s="1050"/>
      <c r="ER974" s="1038"/>
      <c r="ES974" s="1035"/>
      <c r="ET974" s="1051"/>
    </row>
    <row r="975" spans="2:150" ht="16.5" customHeight="1">
      <c r="B975" s="1024"/>
      <c r="C975" s="1025"/>
      <c r="D975" s="408">
        <v>972</v>
      </c>
      <c r="E975" s="1164"/>
      <c r="F975" s="1164"/>
      <c r="G975" s="1026"/>
      <c r="H975" s="411" t="str">
        <f>IFERROR(INDEX(绊状态确认!C:C,MATCH($G975,绊状态确认!$B:$B,)),"")</f>
        <v/>
      </c>
      <c r="I975" s="450" t="str">
        <f>IFERROR(INDEX(绊状态确认!D:D,MATCH($G975,绊状态确认!$B:$B,)),"")</f>
        <v/>
      </c>
      <c r="J975" s="450" t="str">
        <f>IFERROR(INDEX(绊状态确认!E:E,MATCH($G975,绊状态确认!$B:$B,)),"")</f>
        <v/>
      </c>
      <c r="K975" s="451" t="str">
        <f>IFERROR(INDEX(绊状态确认!F:F,MATCH($G975,绊状态确认!$B:$B,)),"")</f>
        <v/>
      </c>
      <c r="L975" s="1026"/>
      <c r="M975" s="1165"/>
      <c r="N975" s="1027"/>
      <c r="O975" s="1026"/>
      <c r="P975" s="1028"/>
      <c r="Q975" s="1029"/>
      <c r="R975" s="1166"/>
      <c r="S975" s="1030"/>
      <c r="T975" s="1031"/>
      <c r="U975" s="1032"/>
      <c r="V975" s="1033"/>
      <c r="W975" s="1034"/>
      <c r="X975" s="1166"/>
      <c r="Y975" s="1035"/>
      <c r="Z975" s="1036"/>
      <c r="AA975" s="1037"/>
      <c r="AB975" s="1038"/>
      <c r="AC975" s="1039"/>
      <c r="AD975" s="1040"/>
      <c r="AE975" s="1041"/>
      <c r="AF975" s="521"/>
      <c r="AG975" s="420"/>
      <c r="AH975" s="420"/>
      <c r="AI975" s="420"/>
      <c r="AJ975" s="420"/>
      <c r="AK975" s="518"/>
      <c r="AL975" s="1042"/>
      <c r="AM975" s="1035"/>
      <c r="AN975" s="1043"/>
      <c r="AO975" s="1167"/>
      <c r="AP975" s="1044"/>
      <c r="AQ975" s="1035"/>
      <c r="AR975" s="1035"/>
      <c r="AS975" s="1035"/>
      <c r="AT975" s="1165"/>
      <c r="AU975" s="1031"/>
      <c r="AV975" s="1045"/>
      <c r="AW975" s="1038"/>
      <c r="AX975" s="1035"/>
      <c r="AY975" s="483"/>
      <c r="AZ975" s="429"/>
      <c r="BA975" s="431"/>
      <c r="BB975" s="1035"/>
      <c r="BC975" s="1035"/>
      <c r="BD975" s="481"/>
      <c r="BE975" s="432"/>
      <c r="BF975" s="646"/>
      <c r="BG975" s="1047"/>
      <c r="BH975" s="1046"/>
      <c r="BI975" s="1048"/>
      <c r="BJ975" s="1030"/>
      <c r="BK975" s="1046"/>
      <c r="BL975" s="1048"/>
      <c r="BM975" s="1046"/>
      <c r="BN975" s="1167"/>
      <c r="BO975" s="1035"/>
      <c r="BP975" s="1043"/>
      <c r="BQ975" s="1167"/>
      <c r="BR975" s="1165"/>
      <c r="BS975" s="1031"/>
      <c r="BT975" s="1038"/>
      <c r="BU975" s="1035"/>
      <c r="BV975" s="1035"/>
      <c r="BW975" s="1049"/>
      <c r="BX975" s="1043"/>
      <c r="BY975" s="1046"/>
      <c r="BZ975" s="1167"/>
      <c r="CA975" s="1165"/>
      <c r="CB975" s="1031"/>
      <c r="CC975" s="1038"/>
      <c r="CD975" s="1035"/>
      <c r="CE975" s="1035"/>
      <c r="CF975" s="1049"/>
      <c r="CG975" s="1043"/>
      <c r="CH975" s="1046"/>
      <c r="CI975" s="1167"/>
      <c r="CJ975" s="1168"/>
      <c r="CK975" s="1169"/>
      <c r="CL975" s="1169"/>
      <c r="CM975" s="1166"/>
      <c r="CN975" s="1169"/>
      <c r="CO975" s="1169"/>
      <c r="CP975" s="452"/>
      <c r="CQ975" s="435"/>
      <c r="CR975" s="441"/>
      <c r="CS975" s="452"/>
      <c r="CT975" s="482"/>
      <c r="CU975" s="476"/>
      <c r="CV975" s="431"/>
      <c r="CW975" s="1108"/>
      <c r="CX975" s="1108"/>
      <c r="CY975" s="483"/>
      <c r="CZ975" s="437"/>
      <c r="DA975" s="438"/>
      <c r="DB975" s="439"/>
      <c r="DC975" s="439"/>
      <c r="DD975" s="443"/>
      <c r="DE975" s="411"/>
      <c r="DF975" s="411"/>
      <c r="DG975" s="1117"/>
      <c r="DH975" s="1117"/>
      <c r="DI975" s="1117"/>
      <c r="DJ975" s="442"/>
      <c r="DK975" s="482"/>
      <c r="DL975" s="1038"/>
      <c r="DM975" s="1035"/>
      <c r="DN975" s="1035"/>
      <c r="DO975" s="1035"/>
      <c r="DP975" s="1046"/>
      <c r="DQ975" s="1167"/>
      <c r="DR975" s="1168"/>
      <c r="DS975" s="1165"/>
      <c r="DT975" s="1165"/>
      <c r="DU975" s="1165"/>
      <c r="DV975" s="1031"/>
      <c r="DW975" s="1098">
        <f t="shared" si="1184"/>
        <v>0</v>
      </c>
      <c r="DX975" s="1098">
        <f t="shared" si="1185"/>
        <v>0</v>
      </c>
      <c r="DY975" s="1030"/>
      <c r="DZ975" s="1030"/>
      <c r="EA975" s="1031"/>
      <c r="EB975" s="1050"/>
      <c r="EC975" s="1038"/>
      <c r="ED975" s="1035"/>
      <c r="EE975" s="1046"/>
      <c r="EF975" s="1169"/>
      <c r="EG975" s="1168"/>
      <c r="EH975" s="1165"/>
      <c r="EI975" s="1165"/>
      <c r="EJ975" s="1165"/>
      <c r="EK975" s="1031"/>
      <c r="EL975" s="1098">
        <f t="shared" si="1186"/>
        <v>0</v>
      </c>
      <c r="EM975" s="1098">
        <f t="shared" si="1187"/>
        <v>0</v>
      </c>
      <c r="EN975" s="1030"/>
      <c r="EO975" s="1030"/>
      <c r="EP975" s="1031"/>
      <c r="EQ975" s="1050"/>
      <c r="ER975" s="1038"/>
      <c r="ES975" s="1035"/>
      <c r="ET975" s="1051"/>
    </row>
    <row r="976" spans="2:150" ht="16.5" customHeight="1">
      <c r="B976" s="1024"/>
      <c r="C976" s="1025"/>
      <c r="D976" s="408">
        <v>973</v>
      </c>
      <c r="E976" s="1164"/>
      <c r="F976" s="1164"/>
      <c r="G976" s="1026"/>
      <c r="H976" s="411" t="str">
        <f>IFERROR(INDEX(绊状态确认!C:C,MATCH($G976,绊状态确认!$B:$B,)),"")</f>
        <v/>
      </c>
      <c r="I976" s="450" t="str">
        <f>IFERROR(INDEX(绊状态确认!D:D,MATCH($G976,绊状态确认!$B:$B,)),"")</f>
        <v/>
      </c>
      <c r="J976" s="450" t="str">
        <f>IFERROR(INDEX(绊状态确认!E:E,MATCH($G976,绊状态确认!$B:$B,)),"")</f>
        <v/>
      </c>
      <c r="K976" s="451" t="str">
        <f>IFERROR(INDEX(绊状态确认!F:F,MATCH($G976,绊状态确认!$B:$B,)),"")</f>
        <v/>
      </c>
      <c r="L976" s="1026"/>
      <c r="M976" s="1165"/>
      <c r="N976" s="1027"/>
      <c r="O976" s="1026"/>
      <c r="P976" s="1028"/>
      <c r="Q976" s="1029"/>
      <c r="R976" s="1166"/>
      <c r="S976" s="1030"/>
      <c r="T976" s="1031"/>
      <c r="U976" s="1032"/>
      <c r="V976" s="1033"/>
      <c r="W976" s="1034"/>
      <c r="X976" s="1166"/>
      <c r="Y976" s="1035"/>
      <c r="Z976" s="1036"/>
      <c r="AA976" s="1037"/>
      <c r="AB976" s="1038"/>
      <c r="AC976" s="1039"/>
      <c r="AD976" s="1040"/>
      <c r="AE976" s="1041"/>
      <c r="AF976" s="521"/>
      <c r="AG976" s="420"/>
      <c r="AH976" s="420"/>
      <c r="AI976" s="420"/>
      <c r="AJ976" s="420"/>
      <c r="AK976" s="518"/>
      <c r="AL976" s="1042"/>
      <c r="AM976" s="1035"/>
      <c r="AN976" s="1043"/>
      <c r="AO976" s="1167"/>
      <c r="AP976" s="1044"/>
      <c r="AQ976" s="1035"/>
      <c r="AR976" s="1035"/>
      <c r="AS976" s="1035"/>
      <c r="AT976" s="1165"/>
      <c r="AU976" s="1031"/>
      <c r="AV976" s="1045"/>
      <c r="AW976" s="1038"/>
      <c r="AX976" s="1035"/>
      <c r="AY976" s="483"/>
      <c r="AZ976" s="429"/>
      <c r="BA976" s="431"/>
      <c r="BB976" s="1035"/>
      <c r="BC976" s="1035"/>
      <c r="BD976" s="481"/>
      <c r="BE976" s="432"/>
      <c r="BF976" s="646"/>
      <c r="BG976" s="1047"/>
      <c r="BH976" s="1046"/>
      <c r="BI976" s="1048"/>
      <c r="BJ976" s="1030"/>
      <c r="BK976" s="1046"/>
      <c r="BL976" s="1048"/>
      <c r="BM976" s="1046"/>
      <c r="BN976" s="1167"/>
      <c r="BO976" s="1035"/>
      <c r="BP976" s="1043"/>
      <c r="BQ976" s="1167"/>
      <c r="BR976" s="1165"/>
      <c r="BS976" s="1031"/>
      <c r="BT976" s="1038"/>
      <c r="BU976" s="1035"/>
      <c r="BV976" s="1035"/>
      <c r="BW976" s="1049"/>
      <c r="BX976" s="1043"/>
      <c r="BY976" s="1046"/>
      <c r="BZ976" s="1167"/>
      <c r="CA976" s="1165"/>
      <c r="CB976" s="1031"/>
      <c r="CC976" s="1038"/>
      <c r="CD976" s="1035"/>
      <c r="CE976" s="1035"/>
      <c r="CF976" s="1049"/>
      <c r="CG976" s="1043"/>
      <c r="CH976" s="1046"/>
      <c r="CI976" s="1167"/>
      <c r="CJ976" s="1168"/>
      <c r="CK976" s="1169"/>
      <c r="CL976" s="1169"/>
      <c r="CM976" s="1166"/>
      <c r="CN976" s="1169"/>
      <c r="CO976" s="1169"/>
      <c r="CP976" s="452"/>
      <c r="CQ976" s="435"/>
      <c r="CR976" s="1117"/>
      <c r="CS976" s="452"/>
      <c r="CT976" s="482"/>
      <c r="CU976" s="476"/>
      <c r="CV976" s="431"/>
      <c r="CW976" s="1108"/>
      <c r="CX976" s="1108"/>
      <c r="CY976" s="483"/>
      <c r="CZ976" s="437"/>
      <c r="DA976" s="438"/>
      <c r="DB976" s="439"/>
      <c r="DC976" s="439"/>
      <c r="DD976" s="443"/>
      <c r="DE976" s="411"/>
      <c r="DF976" s="411"/>
      <c r="DG976" s="1117"/>
      <c r="DH976" s="1117"/>
      <c r="DI976" s="1117"/>
      <c r="DJ976" s="442"/>
      <c r="DK976" s="482"/>
      <c r="DL976" s="1038"/>
      <c r="DM976" s="1035"/>
      <c r="DN976" s="1035"/>
      <c r="DO976" s="1035"/>
      <c r="DP976" s="1046"/>
      <c r="DQ976" s="1167"/>
      <c r="DR976" s="1168"/>
      <c r="DS976" s="1165"/>
      <c r="DT976" s="1165"/>
      <c r="DU976" s="1165"/>
      <c r="DV976" s="1031"/>
      <c r="DW976" s="1098">
        <f t="shared" si="1184"/>
        <v>0</v>
      </c>
      <c r="DX976" s="1098">
        <f t="shared" si="1185"/>
        <v>0</v>
      </c>
      <c r="DY976" s="1030"/>
      <c r="DZ976" s="1030"/>
      <c r="EA976" s="1031"/>
      <c r="EB976" s="1050"/>
      <c r="EC976" s="1038"/>
      <c r="ED976" s="1035"/>
      <c r="EE976" s="1046"/>
      <c r="EF976" s="1169"/>
      <c r="EG976" s="1168"/>
      <c r="EH976" s="1165"/>
      <c r="EI976" s="1165"/>
      <c r="EJ976" s="1165"/>
      <c r="EK976" s="1031"/>
      <c r="EL976" s="1098">
        <f t="shared" si="1186"/>
        <v>0</v>
      </c>
      <c r="EM976" s="1098">
        <f t="shared" si="1187"/>
        <v>0</v>
      </c>
      <c r="EN976" s="1030"/>
      <c r="EO976" s="1030"/>
      <c r="EP976" s="1031"/>
      <c r="EQ976" s="1050"/>
      <c r="ER976" s="1038"/>
      <c r="ES976" s="1035"/>
      <c r="ET976" s="1051"/>
    </row>
    <row r="977" spans="2:150" ht="16.5" customHeight="1">
      <c r="B977" s="1024"/>
      <c r="C977" s="1025"/>
      <c r="D977" s="408">
        <v>974</v>
      </c>
      <c r="E977" s="1164"/>
      <c r="F977" s="1164"/>
      <c r="G977" s="1026"/>
      <c r="H977" s="411" t="str">
        <f>IFERROR(INDEX(绊状态确认!C:C,MATCH($G977,绊状态确认!$B:$B,)),"")</f>
        <v/>
      </c>
      <c r="I977" s="450" t="str">
        <f>IFERROR(INDEX(绊状态确认!D:D,MATCH($G977,绊状态确认!$B:$B,)),"")</f>
        <v/>
      </c>
      <c r="J977" s="450" t="str">
        <f>IFERROR(INDEX(绊状态确认!E:E,MATCH($G977,绊状态确认!$B:$B,)),"")</f>
        <v/>
      </c>
      <c r="K977" s="451" t="str">
        <f>IFERROR(INDEX(绊状态确认!F:F,MATCH($G977,绊状态确认!$B:$B,)),"")</f>
        <v/>
      </c>
      <c r="L977" s="1026"/>
      <c r="M977" s="1165"/>
      <c r="N977" s="1027"/>
      <c r="O977" s="1026"/>
      <c r="P977" s="1028"/>
      <c r="Q977" s="1029"/>
      <c r="R977" s="1166"/>
      <c r="S977" s="1030"/>
      <c r="T977" s="1031"/>
      <c r="U977" s="1032"/>
      <c r="V977" s="1033"/>
      <c r="W977" s="1034"/>
      <c r="X977" s="1166"/>
      <c r="Y977" s="1035"/>
      <c r="Z977" s="1036"/>
      <c r="AA977" s="1037"/>
      <c r="AB977" s="1038"/>
      <c r="AC977" s="1039"/>
      <c r="AD977" s="1040"/>
      <c r="AE977" s="1041"/>
      <c r="AF977" s="521"/>
      <c r="AG977" s="420"/>
      <c r="AH977" s="420"/>
      <c r="AI977" s="420"/>
      <c r="AJ977" s="420"/>
      <c r="AK977" s="518"/>
      <c r="AL977" s="1042"/>
      <c r="AM977" s="1035"/>
      <c r="AN977" s="1043"/>
      <c r="AO977" s="1167"/>
      <c r="AP977" s="1044"/>
      <c r="AQ977" s="1035"/>
      <c r="AR977" s="1035"/>
      <c r="AS977" s="1035"/>
      <c r="AT977" s="1165"/>
      <c r="AU977" s="1031"/>
      <c r="AV977" s="1045"/>
      <c r="AW977" s="1038"/>
      <c r="AX977" s="1035"/>
      <c r="AY977" s="483"/>
      <c r="AZ977" s="429"/>
      <c r="BA977" s="431"/>
      <c r="BB977" s="1035"/>
      <c r="BC977" s="1035"/>
      <c r="BD977" s="481"/>
      <c r="BE977" s="432"/>
      <c r="BF977" s="646"/>
      <c r="BG977" s="1047"/>
      <c r="BH977" s="1046"/>
      <c r="BI977" s="1048"/>
      <c r="BJ977" s="1030"/>
      <c r="BK977" s="1046"/>
      <c r="BL977" s="1048"/>
      <c r="BM977" s="1046"/>
      <c r="BN977" s="1167"/>
      <c r="BO977" s="1035"/>
      <c r="BP977" s="1043"/>
      <c r="BQ977" s="1167"/>
      <c r="BR977" s="1165"/>
      <c r="BS977" s="1031"/>
      <c r="BT977" s="1038"/>
      <c r="BU977" s="1035"/>
      <c r="BV977" s="1035"/>
      <c r="BW977" s="1049"/>
      <c r="BX977" s="1043"/>
      <c r="BY977" s="1046"/>
      <c r="BZ977" s="1167"/>
      <c r="CA977" s="1165"/>
      <c r="CB977" s="1031"/>
      <c r="CC977" s="1038"/>
      <c r="CD977" s="1035"/>
      <c r="CE977" s="1035"/>
      <c r="CF977" s="1049"/>
      <c r="CG977" s="1043"/>
      <c r="CH977" s="1046"/>
      <c r="CI977" s="1167"/>
      <c r="CJ977" s="1168"/>
      <c r="CK977" s="1169"/>
      <c r="CL977" s="1169"/>
      <c r="CM977" s="1166"/>
      <c r="CN977" s="1169"/>
      <c r="CO977" s="1169"/>
      <c r="CP977" s="452"/>
      <c r="CQ977" s="435"/>
      <c r="CR977" s="1117"/>
      <c r="CS977" s="452"/>
      <c r="CT977" s="482"/>
      <c r="CU977" s="476"/>
      <c r="CV977" s="431"/>
      <c r="CW977" s="1108"/>
      <c r="CX977" s="1108"/>
      <c r="CY977" s="483"/>
      <c r="CZ977" s="437"/>
      <c r="DA977" s="438"/>
      <c r="DB977" s="439"/>
      <c r="DC977" s="439"/>
      <c r="DD977" s="443"/>
      <c r="DE977" s="411"/>
      <c r="DF977" s="411"/>
      <c r="DG977" s="1117"/>
      <c r="DH977" s="1117"/>
      <c r="DI977" s="1117"/>
      <c r="DJ977" s="442"/>
      <c r="DK977" s="482"/>
      <c r="DL977" s="1038"/>
      <c r="DM977" s="1035"/>
      <c r="DN977" s="1035"/>
      <c r="DO977" s="1035"/>
      <c r="DP977" s="1046"/>
      <c r="DQ977" s="1167"/>
      <c r="DR977" s="1168"/>
      <c r="DS977" s="1165"/>
      <c r="DT977" s="1165"/>
      <c r="DU977" s="1165"/>
      <c r="DV977" s="1031"/>
      <c r="DW977" s="1098">
        <f t="shared" si="1184"/>
        <v>0</v>
      </c>
      <c r="DX977" s="1098">
        <f t="shared" si="1185"/>
        <v>0</v>
      </c>
      <c r="DY977" s="1030"/>
      <c r="DZ977" s="1030"/>
      <c r="EA977" s="1031"/>
      <c r="EB977" s="1050"/>
      <c r="EC977" s="1038"/>
      <c r="ED977" s="1035"/>
      <c r="EE977" s="1046"/>
      <c r="EF977" s="1169"/>
      <c r="EG977" s="1168"/>
      <c r="EH977" s="1165"/>
      <c r="EI977" s="1165"/>
      <c r="EJ977" s="1165"/>
      <c r="EK977" s="1031"/>
      <c r="EL977" s="1098">
        <f t="shared" si="1186"/>
        <v>0</v>
      </c>
      <c r="EM977" s="1098">
        <f t="shared" si="1187"/>
        <v>0</v>
      </c>
      <c r="EN977" s="1030"/>
      <c r="EO977" s="1030"/>
      <c r="EP977" s="1031"/>
      <c r="EQ977" s="1050"/>
      <c r="ER977" s="1038"/>
      <c r="ES977" s="1035"/>
      <c r="ET977" s="1051"/>
    </row>
    <row r="978" spans="2:150" ht="16.5" customHeight="1">
      <c r="B978" s="1024"/>
      <c r="C978" s="1025"/>
      <c r="D978" s="408">
        <v>975</v>
      </c>
      <c r="E978" s="1164"/>
      <c r="F978" s="1164"/>
      <c r="G978" s="1026"/>
      <c r="H978" s="411" t="str">
        <f>IFERROR(INDEX(绊状态确认!C:C,MATCH($G978,绊状态确认!$B:$B,)),"")</f>
        <v/>
      </c>
      <c r="I978" s="450" t="str">
        <f>IFERROR(INDEX(绊状态确认!D:D,MATCH($G978,绊状态确认!$B:$B,)),"")</f>
        <v/>
      </c>
      <c r="J978" s="450" t="str">
        <f>IFERROR(INDEX(绊状态确认!E:E,MATCH($G978,绊状态确认!$B:$B,)),"")</f>
        <v/>
      </c>
      <c r="K978" s="451" t="str">
        <f>IFERROR(INDEX(绊状态确认!F:F,MATCH($G978,绊状态确认!$B:$B,)),"")</f>
        <v/>
      </c>
      <c r="L978" s="1026"/>
      <c r="M978" s="1165"/>
      <c r="N978" s="1027"/>
      <c r="O978" s="1026"/>
      <c r="P978" s="1028"/>
      <c r="Q978" s="1029"/>
      <c r="R978" s="1166"/>
      <c r="S978" s="1030"/>
      <c r="T978" s="1031"/>
      <c r="U978" s="1032"/>
      <c r="V978" s="1033"/>
      <c r="W978" s="1034"/>
      <c r="X978" s="1166"/>
      <c r="Y978" s="1035"/>
      <c r="Z978" s="1036"/>
      <c r="AA978" s="1037"/>
      <c r="AB978" s="1038"/>
      <c r="AC978" s="1039"/>
      <c r="AD978" s="1040"/>
      <c r="AE978" s="1041"/>
      <c r="AF978" s="521"/>
      <c r="AG978" s="420"/>
      <c r="AH978" s="420"/>
      <c r="AI978" s="420"/>
      <c r="AJ978" s="420"/>
      <c r="AK978" s="518"/>
      <c r="AL978" s="1042"/>
      <c r="AM978" s="1035"/>
      <c r="AN978" s="1043"/>
      <c r="AO978" s="1167"/>
      <c r="AP978" s="1044"/>
      <c r="AQ978" s="1035"/>
      <c r="AR978" s="1035"/>
      <c r="AS978" s="1035"/>
      <c r="AT978" s="1165"/>
      <c r="AU978" s="1031"/>
      <c r="AV978" s="1045"/>
      <c r="AW978" s="1038"/>
      <c r="AX978" s="1035"/>
      <c r="AY978" s="483"/>
      <c r="AZ978" s="429"/>
      <c r="BA978" s="431"/>
      <c r="BB978" s="1035"/>
      <c r="BC978" s="1035"/>
      <c r="BD978" s="481"/>
      <c r="BE978" s="432"/>
      <c r="BF978" s="646"/>
      <c r="BG978" s="1047"/>
      <c r="BH978" s="1046"/>
      <c r="BI978" s="1048"/>
      <c r="BJ978" s="1030"/>
      <c r="BK978" s="1046"/>
      <c r="BL978" s="1048"/>
      <c r="BM978" s="1046"/>
      <c r="BN978" s="1167"/>
      <c r="BO978" s="1035"/>
      <c r="BP978" s="1043"/>
      <c r="BQ978" s="1167"/>
      <c r="BR978" s="1165"/>
      <c r="BS978" s="1031"/>
      <c r="BT978" s="1038"/>
      <c r="BU978" s="1035"/>
      <c r="BV978" s="1035"/>
      <c r="BW978" s="1049"/>
      <c r="BX978" s="1043"/>
      <c r="BY978" s="1046"/>
      <c r="BZ978" s="1167"/>
      <c r="CA978" s="1165"/>
      <c r="CB978" s="1031"/>
      <c r="CC978" s="1038"/>
      <c r="CD978" s="1035"/>
      <c r="CE978" s="1035"/>
      <c r="CF978" s="1049"/>
      <c r="CG978" s="1043"/>
      <c r="CH978" s="1046"/>
      <c r="CI978" s="1167"/>
      <c r="CJ978" s="1168"/>
      <c r="CK978" s="1169"/>
      <c r="CL978" s="1169"/>
      <c r="CM978" s="1166"/>
      <c r="CN978" s="1169"/>
      <c r="CO978" s="1169"/>
      <c r="CP978" s="452"/>
      <c r="CQ978" s="435"/>
      <c r="CR978" s="441"/>
      <c r="CS978" s="452"/>
      <c r="CT978" s="482"/>
      <c r="CU978" s="476"/>
      <c r="CV978" s="431"/>
      <c r="CW978" s="1108"/>
      <c r="CX978" s="1108"/>
      <c r="CY978" s="483"/>
      <c r="CZ978" s="437"/>
      <c r="DA978" s="438"/>
      <c r="DB978" s="439"/>
      <c r="DC978" s="439"/>
      <c r="DD978" s="443"/>
      <c r="DE978" s="411"/>
      <c r="DF978" s="411"/>
      <c r="DG978" s="1117"/>
      <c r="DH978" s="1117"/>
      <c r="DI978" s="1117"/>
      <c r="DJ978" s="442"/>
      <c r="DK978" s="482"/>
      <c r="DL978" s="1038"/>
      <c r="DM978" s="1035"/>
      <c r="DN978" s="1035"/>
      <c r="DO978" s="1035"/>
      <c r="DP978" s="1046"/>
      <c r="DQ978" s="1167"/>
      <c r="DR978" s="1168"/>
      <c r="DS978" s="1165"/>
      <c r="DT978" s="1165"/>
      <c r="DU978" s="1165"/>
      <c r="DV978" s="1031"/>
      <c r="DW978" s="1098">
        <f t="shared" si="1184"/>
        <v>0</v>
      </c>
      <c r="DX978" s="1098">
        <f t="shared" si="1185"/>
        <v>0</v>
      </c>
      <c r="DY978" s="1030"/>
      <c r="DZ978" s="1030"/>
      <c r="EA978" s="1031"/>
      <c r="EB978" s="1050"/>
      <c r="EC978" s="1038"/>
      <c r="ED978" s="1035"/>
      <c r="EE978" s="1046"/>
      <c r="EF978" s="1169"/>
      <c r="EG978" s="1168"/>
      <c r="EH978" s="1165"/>
      <c r="EI978" s="1165"/>
      <c r="EJ978" s="1165"/>
      <c r="EK978" s="1031"/>
      <c r="EL978" s="1098">
        <f t="shared" si="1186"/>
        <v>0</v>
      </c>
      <c r="EM978" s="1098">
        <f t="shared" si="1187"/>
        <v>0</v>
      </c>
      <c r="EN978" s="1030"/>
      <c r="EO978" s="1030"/>
      <c r="EP978" s="1031"/>
      <c r="EQ978" s="1050"/>
      <c r="ER978" s="1038"/>
      <c r="ES978" s="1035"/>
      <c r="ET978" s="1051"/>
    </row>
    <row r="979" spans="2:150" ht="16.5" customHeight="1">
      <c r="B979" s="1024"/>
      <c r="C979" s="1025"/>
      <c r="D979" s="408">
        <v>976</v>
      </c>
      <c r="E979" s="1164"/>
      <c r="F979" s="1164"/>
      <c r="G979" s="1026"/>
      <c r="H979" s="411" t="str">
        <f>IFERROR(INDEX(绊状态确认!C:C,MATCH($G979,绊状态确认!$B:$B,)),"")</f>
        <v/>
      </c>
      <c r="I979" s="450" t="str">
        <f>IFERROR(INDEX(绊状态确认!D:D,MATCH($G979,绊状态确认!$B:$B,)),"")</f>
        <v/>
      </c>
      <c r="J979" s="450" t="str">
        <f>IFERROR(INDEX(绊状态确认!E:E,MATCH($G979,绊状态确认!$B:$B,)),"")</f>
        <v/>
      </c>
      <c r="K979" s="451" t="str">
        <f>IFERROR(INDEX(绊状态确认!F:F,MATCH($G979,绊状态确认!$B:$B,)),"")</f>
        <v/>
      </c>
      <c r="L979" s="1026"/>
      <c r="M979" s="1165"/>
      <c r="N979" s="1027"/>
      <c r="O979" s="1026"/>
      <c r="P979" s="1028"/>
      <c r="Q979" s="1029"/>
      <c r="R979" s="1166"/>
      <c r="S979" s="1030"/>
      <c r="T979" s="1031"/>
      <c r="U979" s="1032"/>
      <c r="V979" s="1033"/>
      <c r="W979" s="1034"/>
      <c r="X979" s="1166"/>
      <c r="Y979" s="1035"/>
      <c r="Z979" s="1036"/>
      <c r="AA979" s="1037"/>
      <c r="AB979" s="1038"/>
      <c r="AC979" s="1039"/>
      <c r="AD979" s="1040"/>
      <c r="AE979" s="1041"/>
      <c r="AF979" s="521"/>
      <c r="AG979" s="420"/>
      <c r="AH979" s="420"/>
      <c r="AI979" s="420"/>
      <c r="AJ979" s="420"/>
      <c r="AK979" s="518"/>
      <c r="AL979" s="1042"/>
      <c r="AM979" s="1035"/>
      <c r="AN979" s="1043"/>
      <c r="AO979" s="1167"/>
      <c r="AP979" s="1044"/>
      <c r="AQ979" s="1035"/>
      <c r="AR979" s="1035"/>
      <c r="AS979" s="1035"/>
      <c r="AT979" s="1165"/>
      <c r="AU979" s="1031"/>
      <c r="AV979" s="1045"/>
      <c r="AW979" s="1038"/>
      <c r="AX979" s="1035"/>
      <c r="AY979" s="483"/>
      <c r="AZ979" s="429"/>
      <c r="BA979" s="431"/>
      <c r="BB979" s="1035"/>
      <c r="BC979" s="1035"/>
      <c r="BD979" s="481"/>
      <c r="BE979" s="432"/>
      <c r="BF979" s="646"/>
      <c r="BG979" s="1047"/>
      <c r="BH979" s="1046"/>
      <c r="BI979" s="1048"/>
      <c r="BJ979" s="1030"/>
      <c r="BK979" s="1046"/>
      <c r="BL979" s="1048"/>
      <c r="BM979" s="1046"/>
      <c r="BN979" s="1167"/>
      <c r="BO979" s="1035"/>
      <c r="BP979" s="1043"/>
      <c r="BQ979" s="1167"/>
      <c r="BR979" s="1165"/>
      <c r="BS979" s="1031"/>
      <c r="BT979" s="1038"/>
      <c r="BU979" s="1035"/>
      <c r="BV979" s="1035"/>
      <c r="BW979" s="1049"/>
      <c r="BX979" s="1043"/>
      <c r="BY979" s="1046"/>
      <c r="BZ979" s="1167"/>
      <c r="CA979" s="1165"/>
      <c r="CB979" s="1031"/>
      <c r="CC979" s="1038"/>
      <c r="CD979" s="1035"/>
      <c r="CE979" s="1035"/>
      <c r="CF979" s="1049"/>
      <c r="CG979" s="1043"/>
      <c r="CH979" s="1046"/>
      <c r="CI979" s="1167"/>
      <c r="CJ979" s="1168"/>
      <c r="CK979" s="1169"/>
      <c r="CL979" s="1169"/>
      <c r="CM979" s="1166"/>
      <c r="CN979" s="1169"/>
      <c r="CO979" s="1169"/>
      <c r="CP979" s="452"/>
      <c r="CQ979" s="435"/>
      <c r="CR979" s="441"/>
      <c r="CS979" s="452"/>
      <c r="CT979" s="482"/>
      <c r="CU979" s="476"/>
      <c r="CV979" s="431"/>
      <c r="CW979" s="1108"/>
      <c r="CX979" s="1108"/>
      <c r="CY979" s="483"/>
      <c r="CZ979" s="437"/>
      <c r="DA979" s="438"/>
      <c r="DB979" s="439"/>
      <c r="DC979" s="439"/>
      <c r="DD979" s="443"/>
      <c r="DE979" s="411"/>
      <c r="DF979" s="411"/>
      <c r="DG979" s="1117"/>
      <c r="DH979" s="1117"/>
      <c r="DI979" s="1117"/>
      <c r="DJ979" s="442"/>
      <c r="DK979" s="482"/>
      <c r="DL979" s="1038"/>
      <c r="DM979" s="1035"/>
      <c r="DN979" s="1035"/>
      <c r="DO979" s="1035"/>
      <c r="DP979" s="1046"/>
      <c r="DQ979" s="1167"/>
      <c r="DR979" s="1168"/>
      <c r="DS979" s="1165"/>
      <c r="DT979" s="1165"/>
      <c r="DU979" s="1165"/>
      <c r="DV979" s="1031"/>
      <c r="DW979" s="1098">
        <f t="shared" si="1184"/>
        <v>0</v>
      </c>
      <c r="DX979" s="1098">
        <f t="shared" si="1185"/>
        <v>0</v>
      </c>
      <c r="DY979" s="1030"/>
      <c r="DZ979" s="1030"/>
      <c r="EA979" s="1031"/>
      <c r="EB979" s="1050"/>
      <c r="EC979" s="1038"/>
      <c r="ED979" s="1035"/>
      <c r="EE979" s="1046"/>
      <c r="EF979" s="1169"/>
      <c r="EG979" s="1168"/>
      <c r="EH979" s="1165"/>
      <c r="EI979" s="1165"/>
      <c r="EJ979" s="1165"/>
      <c r="EK979" s="1031"/>
      <c r="EL979" s="1098">
        <f t="shared" si="1186"/>
        <v>0</v>
      </c>
      <c r="EM979" s="1098">
        <f t="shared" si="1187"/>
        <v>0</v>
      </c>
      <c r="EN979" s="1030"/>
      <c r="EO979" s="1030"/>
      <c r="EP979" s="1031"/>
      <c r="EQ979" s="1050"/>
      <c r="ER979" s="1038"/>
      <c r="ES979" s="1035"/>
      <c r="ET979" s="1051"/>
    </row>
    <row r="980" spans="2:150" ht="16.5" customHeight="1">
      <c r="B980" s="1024"/>
      <c r="C980" s="1025"/>
      <c r="D980" s="408">
        <v>977</v>
      </c>
      <c r="E980" s="1164"/>
      <c r="F980" s="1164"/>
      <c r="G980" s="1026"/>
      <c r="H980" s="411" t="str">
        <f>IFERROR(INDEX(绊状态确认!C:C,MATCH($G980,绊状态确认!$B:$B,)),"")</f>
        <v/>
      </c>
      <c r="I980" s="450" t="str">
        <f>IFERROR(INDEX(绊状态确认!D:D,MATCH($G980,绊状态确认!$B:$B,)),"")</f>
        <v/>
      </c>
      <c r="J980" s="450" t="str">
        <f>IFERROR(INDEX(绊状态确认!E:E,MATCH($G980,绊状态确认!$B:$B,)),"")</f>
        <v/>
      </c>
      <c r="K980" s="451" t="str">
        <f>IFERROR(INDEX(绊状态确认!F:F,MATCH($G980,绊状态确认!$B:$B,)),"")</f>
        <v/>
      </c>
      <c r="L980" s="1026"/>
      <c r="M980" s="1165"/>
      <c r="N980" s="1027"/>
      <c r="O980" s="1026"/>
      <c r="P980" s="1028"/>
      <c r="Q980" s="1029"/>
      <c r="R980" s="1166"/>
      <c r="S980" s="1030"/>
      <c r="T980" s="1031"/>
      <c r="U980" s="1032"/>
      <c r="V980" s="1033"/>
      <c r="W980" s="1034"/>
      <c r="X980" s="1166"/>
      <c r="Y980" s="1035"/>
      <c r="Z980" s="1036"/>
      <c r="AA980" s="1037"/>
      <c r="AB980" s="1038"/>
      <c r="AC980" s="1039"/>
      <c r="AD980" s="1040"/>
      <c r="AE980" s="1041"/>
      <c r="AF980" s="521"/>
      <c r="AG980" s="420"/>
      <c r="AH980" s="420"/>
      <c r="AI980" s="420"/>
      <c r="AJ980" s="420"/>
      <c r="AK980" s="518"/>
      <c r="AL980" s="1042"/>
      <c r="AM980" s="1035"/>
      <c r="AN980" s="1043"/>
      <c r="AO980" s="1167"/>
      <c r="AP980" s="1044"/>
      <c r="AQ980" s="1035"/>
      <c r="AR980" s="1035"/>
      <c r="AS980" s="1035"/>
      <c r="AT980" s="1165"/>
      <c r="AU980" s="1031"/>
      <c r="AV980" s="1045"/>
      <c r="AW980" s="1038"/>
      <c r="AX980" s="1035"/>
      <c r="AY980" s="483"/>
      <c r="AZ980" s="429"/>
      <c r="BA980" s="431"/>
      <c r="BB980" s="1035"/>
      <c r="BC980" s="1035"/>
      <c r="BD980" s="481"/>
      <c r="BE980" s="432"/>
      <c r="BF980" s="646"/>
      <c r="BG980" s="1047"/>
      <c r="BH980" s="1046"/>
      <c r="BI980" s="1048"/>
      <c r="BJ980" s="1030"/>
      <c r="BK980" s="1046"/>
      <c r="BL980" s="1048"/>
      <c r="BM980" s="1046"/>
      <c r="BN980" s="1167"/>
      <c r="BO980" s="1035"/>
      <c r="BP980" s="1043"/>
      <c r="BQ980" s="1167"/>
      <c r="BR980" s="1165"/>
      <c r="BS980" s="1031"/>
      <c r="BT980" s="1038"/>
      <c r="BU980" s="1035"/>
      <c r="BV980" s="1035"/>
      <c r="BW980" s="1049"/>
      <c r="BX980" s="1043"/>
      <c r="BY980" s="1046"/>
      <c r="BZ980" s="1167"/>
      <c r="CA980" s="1165"/>
      <c r="CB980" s="1031"/>
      <c r="CC980" s="1038"/>
      <c r="CD980" s="1035"/>
      <c r="CE980" s="1035"/>
      <c r="CF980" s="1049"/>
      <c r="CG980" s="1043"/>
      <c r="CH980" s="1046"/>
      <c r="CI980" s="1167"/>
      <c r="CJ980" s="1168"/>
      <c r="CK980" s="1169"/>
      <c r="CL980" s="1169"/>
      <c r="CM980" s="1166"/>
      <c r="CN980" s="1169"/>
      <c r="CO980" s="1169"/>
      <c r="CP980" s="452"/>
      <c r="CQ980" s="435"/>
      <c r="CR980" s="1117"/>
      <c r="CS980" s="452"/>
      <c r="CT980" s="482"/>
      <c r="CU980" s="476"/>
      <c r="CV980" s="431"/>
      <c r="CW980" s="1108"/>
      <c r="CX980" s="1108"/>
      <c r="CY980" s="483"/>
      <c r="CZ980" s="437"/>
      <c r="DA980" s="438"/>
      <c r="DB980" s="439"/>
      <c r="DC980" s="439"/>
      <c r="DD980" s="443"/>
      <c r="DE980" s="411"/>
      <c r="DF980" s="411"/>
      <c r="DG980" s="1117"/>
      <c r="DH980" s="1117"/>
      <c r="DI980" s="1117"/>
      <c r="DJ980" s="442"/>
      <c r="DK980" s="482"/>
      <c r="DL980" s="1038"/>
      <c r="DM980" s="1035"/>
      <c r="DN980" s="1035"/>
      <c r="DO980" s="1035"/>
      <c r="DP980" s="1046"/>
      <c r="DQ980" s="1167"/>
      <c r="DR980" s="1168"/>
      <c r="DS980" s="1165"/>
      <c r="DT980" s="1165"/>
      <c r="DU980" s="1165"/>
      <c r="DV980" s="1031"/>
      <c r="DW980" s="1098">
        <f t="shared" si="1184"/>
        <v>0</v>
      </c>
      <c r="DX980" s="1098">
        <f t="shared" si="1185"/>
        <v>0</v>
      </c>
      <c r="DY980" s="1030"/>
      <c r="DZ980" s="1030"/>
      <c r="EA980" s="1031"/>
      <c r="EB980" s="1050"/>
      <c r="EC980" s="1038"/>
      <c r="ED980" s="1035"/>
      <c r="EE980" s="1046"/>
      <c r="EF980" s="1169"/>
      <c r="EG980" s="1168"/>
      <c r="EH980" s="1165"/>
      <c r="EI980" s="1165"/>
      <c r="EJ980" s="1165"/>
      <c r="EK980" s="1031"/>
      <c r="EL980" s="1098">
        <f t="shared" si="1186"/>
        <v>0</v>
      </c>
      <c r="EM980" s="1098">
        <f t="shared" si="1187"/>
        <v>0</v>
      </c>
      <c r="EN980" s="1030"/>
      <c r="EO980" s="1030"/>
      <c r="EP980" s="1031"/>
      <c r="EQ980" s="1050"/>
      <c r="ER980" s="1038"/>
      <c r="ES980" s="1035"/>
      <c r="ET980" s="1051"/>
    </row>
    <row r="981" spans="2:150" ht="16.5" customHeight="1">
      <c r="B981" s="1024"/>
      <c r="C981" s="1025"/>
      <c r="D981" s="408">
        <v>978</v>
      </c>
      <c r="E981" s="1164"/>
      <c r="F981" s="1164"/>
      <c r="G981" s="1026"/>
      <c r="H981" s="411" t="str">
        <f>IFERROR(INDEX(绊状态确认!C:C,MATCH($G981,绊状态确认!$B:$B,)),"")</f>
        <v/>
      </c>
      <c r="I981" s="450" t="str">
        <f>IFERROR(INDEX(绊状态确认!D:D,MATCH($G981,绊状态确认!$B:$B,)),"")</f>
        <v/>
      </c>
      <c r="J981" s="450" t="str">
        <f>IFERROR(INDEX(绊状态确认!E:E,MATCH($G981,绊状态确认!$B:$B,)),"")</f>
        <v/>
      </c>
      <c r="K981" s="451" t="str">
        <f>IFERROR(INDEX(绊状态确认!F:F,MATCH($G981,绊状态确认!$B:$B,)),"")</f>
        <v/>
      </c>
      <c r="L981" s="1026"/>
      <c r="M981" s="1165"/>
      <c r="N981" s="1027"/>
      <c r="O981" s="1026"/>
      <c r="P981" s="1028"/>
      <c r="Q981" s="1029"/>
      <c r="R981" s="1166"/>
      <c r="S981" s="1030"/>
      <c r="T981" s="1031"/>
      <c r="U981" s="1032"/>
      <c r="V981" s="1033"/>
      <c r="W981" s="1034"/>
      <c r="X981" s="1166"/>
      <c r="Y981" s="1035"/>
      <c r="Z981" s="1036"/>
      <c r="AA981" s="1037"/>
      <c r="AB981" s="1038"/>
      <c r="AC981" s="1039"/>
      <c r="AD981" s="1040"/>
      <c r="AE981" s="1041"/>
      <c r="AF981" s="521"/>
      <c r="AG981" s="420"/>
      <c r="AH981" s="420"/>
      <c r="AI981" s="420"/>
      <c r="AJ981" s="420"/>
      <c r="AK981" s="518"/>
      <c r="AL981" s="1042"/>
      <c r="AM981" s="1035"/>
      <c r="AN981" s="1043"/>
      <c r="AO981" s="1167"/>
      <c r="AP981" s="1044"/>
      <c r="AQ981" s="1035"/>
      <c r="AR981" s="1035"/>
      <c r="AS981" s="1035"/>
      <c r="AT981" s="1165"/>
      <c r="AU981" s="1031"/>
      <c r="AV981" s="1045"/>
      <c r="AW981" s="1038"/>
      <c r="AX981" s="1035"/>
      <c r="AY981" s="483"/>
      <c r="AZ981" s="429"/>
      <c r="BA981" s="431"/>
      <c r="BB981" s="1035"/>
      <c r="BC981" s="1035"/>
      <c r="BD981" s="481"/>
      <c r="BE981" s="432"/>
      <c r="BF981" s="646"/>
      <c r="BG981" s="1047"/>
      <c r="BH981" s="1046"/>
      <c r="BI981" s="1048"/>
      <c r="BJ981" s="1030"/>
      <c r="BK981" s="1046"/>
      <c r="BL981" s="1048"/>
      <c r="BM981" s="1046"/>
      <c r="BN981" s="1167"/>
      <c r="BO981" s="1035"/>
      <c r="BP981" s="1043"/>
      <c r="BQ981" s="1167"/>
      <c r="BR981" s="1165"/>
      <c r="BS981" s="1031"/>
      <c r="BT981" s="1038"/>
      <c r="BU981" s="1035"/>
      <c r="BV981" s="1035"/>
      <c r="BW981" s="1049"/>
      <c r="BX981" s="1043"/>
      <c r="BY981" s="1046"/>
      <c r="BZ981" s="1167"/>
      <c r="CA981" s="1165"/>
      <c r="CB981" s="1031"/>
      <c r="CC981" s="1038"/>
      <c r="CD981" s="1035"/>
      <c r="CE981" s="1035"/>
      <c r="CF981" s="1049"/>
      <c r="CG981" s="1043"/>
      <c r="CH981" s="1046"/>
      <c r="CI981" s="1167"/>
      <c r="CJ981" s="1168"/>
      <c r="CK981" s="1169"/>
      <c r="CL981" s="1169"/>
      <c r="CM981" s="1166"/>
      <c r="CN981" s="1169"/>
      <c r="CO981" s="1169"/>
      <c r="CP981" s="452"/>
      <c r="CQ981" s="435"/>
      <c r="CR981" s="1117"/>
      <c r="CS981" s="452"/>
      <c r="CT981" s="482"/>
      <c r="CU981" s="476"/>
      <c r="CV981" s="431"/>
      <c r="CW981" s="1108"/>
      <c r="CX981" s="1108"/>
      <c r="CY981" s="483"/>
      <c r="CZ981" s="437"/>
      <c r="DA981" s="438"/>
      <c r="DB981" s="439"/>
      <c r="DC981" s="439"/>
      <c r="DD981" s="443"/>
      <c r="DE981" s="411"/>
      <c r="DF981" s="411"/>
      <c r="DG981" s="1117"/>
      <c r="DH981" s="1117"/>
      <c r="DI981" s="1117"/>
      <c r="DJ981" s="442"/>
      <c r="DK981" s="482"/>
      <c r="DL981" s="1038"/>
      <c r="DM981" s="1035"/>
      <c r="DN981" s="1035"/>
      <c r="DO981" s="1035"/>
      <c r="DP981" s="1046"/>
      <c r="DQ981" s="1167"/>
      <c r="DR981" s="1168"/>
      <c r="DS981" s="1165"/>
      <c r="DT981" s="1165"/>
      <c r="DU981" s="1165"/>
      <c r="DV981" s="1031"/>
      <c r="DW981" s="1098">
        <f t="shared" si="1184"/>
        <v>0</v>
      </c>
      <c r="DX981" s="1098">
        <f t="shared" si="1185"/>
        <v>0</v>
      </c>
      <c r="DY981" s="1030"/>
      <c r="DZ981" s="1030"/>
      <c r="EA981" s="1031"/>
      <c r="EB981" s="1050"/>
      <c r="EC981" s="1038"/>
      <c r="ED981" s="1035"/>
      <c r="EE981" s="1046"/>
      <c r="EF981" s="1169"/>
      <c r="EG981" s="1168"/>
      <c r="EH981" s="1165"/>
      <c r="EI981" s="1165"/>
      <c r="EJ981" s="1165"/>
      <c r="EK981" s="1031"/>
      <c r="EL981" s="1098">
        <f t="shared" si="1186"/>
        <v>0</v>
      </c>
      <c r="EM981" s="1098">
        <f t="shared" si="1187"/>
        <v>0</v>
      </c>
      <c r="EN981" s="1030"/>
      <c r="EO981" s="1030"/>
      <c r="EP981" s="1031"/>
      <c r="EQ981" s="1050"/>
      <c r="ER981" s="1038"/>
      <c r="ES981" s="1035"/>
      <c r="ET981" s="1051"/>
    </row>
    <row r="982" spans="2:150" ht="16.5" customHeight="1">
      <c r="B982" s="1024"/>
      <c r="C982" s="1025"/>
      <c r="D982" s="408">
        <v>979</v>
      </c>
      <c r="E982" s="1164"/>
      <c r="F982" s="1164"/>
      <c r="G982" s="1026"/>
      <c r="H982" s="411" t="str">
        <f>IFERROR(INDEX(绊状态确认!C:C,MATCH($G982,绊状态确认!$B:$B,)),"")</f>
        <v/>
      </c>
      <c r="I982" s="450" t="str">
        <f>IFERROR(INDEX(绊状态确认!D:D,MATCH($G982,绊状态确认!$B:$B,)),"")</f>
        <v/>
      </c>
      <c r="J982" s="450" t="str">
        <f>IFERROR(INDEX(绊状态确认!E:E,MATCH($G982,绊状态确认!$B:$B,)),"")</f>
        <v/>
      </c>
      <c r="K982" s="451" t="str">
        <f>IFERROR(INDEX(绊状态确认!F:F,MATCH($G982,绊状态确认!$B:$B,)),"")</f>
        <v/>
      </c>
      <c r="L982" s="1026"/>
      <c r="M982" s="1165"/>
      <c r="N982" s="1027"/>
      <c r="O982" s="1026"/>
      <c r="P982" s="1028"/>
      <c r="Q982" s="1029"/>
      <c r="R982" s="1166"/>
      <c r="S982" s="1030"/>
      <c r="T982" s="1031"/>
      <c r="U982" s="1032"/>
      <c r="V982" s="1033"/>
      <c r="W982" s="1034"/>
      <c r="X982" s="1166"/>
      <c r="Y982" s="1035"/>
      <c r="Z982" s="1036"/>
      <c r="AA982" s="1037"/>
      <c r="AB982" s="1038"/>
      <c r="AC982" s="1039"/>
      <c r="AD982" s="1040"/>
      <c r="AE982" s="1041"/>
      <c r="AF982" s="521"/>
      <c r="AG982" s="420"/>
      <c r="AH982" s="420"/>
      <c r="AI982" s="420"/>
      <c r="AJ982" s="420"/>
      <c r="AK982" s="518"/>
      <c r="AL982" s="1042"/>
      <c r="AM982" s="1035"/>
      <c r="AN982" s="1043"/>
      <c r="AO982" s="1167"/>
      <c r="AP982" s="1044"/>
      <c r="AQ982" s="1035"/>
      <c r="AR982" s="1035"/>
      <c r="AS982" s="1035"/>
      <c r="AT982" s="1165"/>
      <c r="AU982" s="1031"/>
      <c r="AV982" s="1045"/>
      <c r="AW982" s="1038"/>
      <c r="AX982" s="1035"/>
      <c r="AY982" s="483"/>
      <c r="AZ982" s="429"/>
      <c r="BA982" s="431"/>
      <c r="BB982" s="1035"/>
      <c r="BC982" s="1035"/>
      <c r="BD982" s="481"/>
      <c r="BE982" s="432"/>
      <c r="BF982" s="646"/>
      <c r="BG982" s="1047"/>
      <c r="BH982" s="1046"/>
      <c r="BI982" s="1048"/>
      <c r="BJ982" s="1030"/>
      <c r="BK982" s="1046"/>
      <c r="BL982" s="1048"/>
      <c r="BM982" s="1046"/>
      <c r="BN982" s="1167"/>
      <c r="BO982" s="1035"/>
      <c r="BP982" s="1043"/>
      <c r="BQ982" s="1167"/>
      <c r="BR982" s="1165"/>
      <c r="BS982" s="1031"/>
      <c r="BT982" s="1038"/>
      <c r="BU982" s="1035"/>
      <c r="BV982" s="1035"/>
      <c r="BW982" s="1049"/>
      <c r="BX982" s="1043"/>
      <c r="BY982" s="1046"/>
      <c r="BZ982" s="1167"/>
      <c r="CA982" s="1165"/>
      <c r="CB982" s="1031"/>
      <c r="CC982" s="1038"/>
      <c r="CD982" s="1035"/>
      <c r="CE982" s="1035"/>
      <c r="CF982" s="1049"/>
      <c r="CG982" s="1043"/>
      <c r="CH982" s="1046"/>
      <c r="CI982" s="1167"/>
      <c r="CJ982" s="1168"/>
      <c r="CK982" s="1169"/>
      <c r="CL982" s="1169"/>
      <c r="CM982" s="1166"/>
      <c r="CN982" s="1169"/>
      <c r="CO982" s="1169"/>
      <c r="CP982" s="452"/>
      <c r="CQ982" s="435"/>
      <c r="CR982" s="441"/>
      <c r="CS982" s="452"/>
      <c r="CT982" s="482"/>
      <c r="CU982" s="476"/>
      <c r="CV982" s="431"/>
      <c r="CW982" s="1108"/>
      <c r="CX982" s="1108"/>
      <c r="CY982" s="483"/>
      <c r="CZ982" s="437"/>
      <c r="DA982" s="438"/>
      <c r="DB982" s="439"/>
      <c r="DC982" s="439"/>
      <c r="DD982" s="443"/>
      <c r="DE982" s="411"/>
      <c r="DF982" s="411"/>
      <c r="DG982" s="1117"/>
      <c r="DH982" s="1117"/>
      <c r="DI982" s="1117"/>
      <c r="DJ982" s="442"/>
      <c r="DK982" s="482"/>
      <c r="DL982" s="1038"/>
      <c r="DM982" s="1035"/>
      <c r="DN982" s="1035"/>
      <c r="DO982" s="1035"/>
      <c r="DP982" s="1046"/>
      <c r="DQ982" s="1167"/>
      <c r="DR982" s="1168"/>
      <c r="DS982" s="1165"/>
      <c r="DT982" s="1165"/>
      <c r="DU982" s="1165"/>
      <c r="DV982" s="1031"/>
      <c r="DW982" s="1098">
        <f t="shared" si="1184"/>
        <v>0</v>
      </c>
      <c r="DX982" s="1098">
        <f t="shared" si="1185"/>
        <v>0</v>
      </c>
      <c r="DY982" s="1030"/>
      <c r="DZ982" s="1030"/>
      <c r="EA982" s="1031"/>
      <c r="EB982" s="1050"/>
      <c r="EC982" s="1038"/>
      <c r="ED982" s="1035"/>
      <c r="EE982" s="1046"/>
      <c r="EF982" s="1169"/>
      <c r="EG982" s="1168"/>
      <c r="EH982" s="1165"/>
      <c r="EI982" s="1165"/>
      <c r="EJ982" s="1165"/>
      <c r="EK982" s="1031"/>
      <c r="EL982" s="1098">
        <f t="shared" si="1186"/>
        <v>0</v>
      </c>
      <c r="EM982" s="1098">
        <f t="shared" si="1187"/>
        <v>0</v>
      </c>
      <c r="EN982" s="1030"/>
      <c r="EO982" s="1030"/>
      <c r="EP982" s="1031"/>
      <c r="EQ982" s="1050"/>
      <c r="ER982" s="1038"/>
      <c r="ES982" s="1035"/>
      <c r="ET982" s="1051"/>
    </row>
    <row r="983" spans="2:150" ht="16.5" customHeight="1">
      <c r="B983" s="1024"/>
      <c r="C983" s="1025"/>
      <c r="D983" s="408">
        <v>980</v>
      </c>
      <c r="E983" s="1164"/>
      <c r="F983" s="1164"/>
      <c r="G983" s="1026"/>
      <c r="H983" s="411" t="str">
        <f>IFERROR(INDEX(绊状态确认!C:C,MATCH($G983,绊状态确认!$B:$B,)),"")</f>
        <v/>
      </c>
      <c r="I983" s="450" t="str">
        <f>IFERROR(INDEX(绊状态确认!D:D,MATCH($G983,绊状态确认!$B:$B,)),"")</f>
        <v/>
      </c>
      <c r="J983" s="450" t="str">
        <f>IFERROR(INDEX(绊状态确认!E:E,MATCH($G983,绊状态确认!$B:$B,)),"")</f>
        <v/>
      </c>
      <c r="K983" s="451" t="str">
        <f>IFERROR(INDEX(绊状态确认!F:F,MATCH($G983,绊状态确认!$B:$B,)),"")</f>
        <v/>
      </c>
      <c r="L983" s="1026"/>
      <c r="M983" s="1165"/>
      <c r="N983" s="1027"/>
      <c r="O983" s="1026"/>
      <c r="P983" s="1028"/>
      <c r="Q983" s="1029"/>
      <c r="R983" s="1166"/>
      <c r="S983" s="1030"/>
      <c r="T983" s="1031"/>
      <c r="U983" s="1032"/>
      <c r="V983" s="1033"/>
      <c r="W983" s="1034"/>
      <c r="X983" s="1166"/>
      <c r="Y983" s="1035"/>
      <c r="Z983" s="1036"/>
      <c r="AA983" s="1037"/>
      <c r="AB983" s="1038"/>
      <c r="AC983" s="1039"/>
      <c r="AD983" s="1040"/>
      <c r="AE983" s="1041"/>
      <c r="AF983" s="521"/>
      <c r="AG983" s="420"/>
      <c r="AH983" s="420"/>
      <c r="AI983" s="420"/>
      <c r="AJ983" s="420"/>
      <c r="AK983" s="518"/>
      <c r="AL983" s="1042"/>
      <c r="AM983" s="1035"/>
      <c r="AN983" s="1043"/>
      <c r="AO983" s="1167"/>
      <c r="AP983" s="1044"/>
      <c r="AQ983" s="1035"/>
      <c r="AR983" s="1035"/>
      <c r="AS983" s="1035"/>
      <c r="AT983" s="1165"/>
      <c r="AU983" s="1031"/>
      <c r="AV983" s="1045"/>
      <c r="AW983" s="1038"/>
      <c r="AX983" s="1035"/>
      <c r="AY983" s="483"/>
      <c r="AZ983" s="429"/>
      <c r="BA983" s="431"/>
      <c r="BB983" s="1035"/>
      <c r="BC983" s="1035"/>
      <c r="BD983" s="481"/>
      <c r="BE983" s="432"/>
      <c r="BF983" s="646"/>
      <c r="BG983" s="1047"/>
      <c r="BH983" s="1046"/>
      <c r="BI983" s="1048"/>
      <c r="BJ983" s="1030"/>
      <c r="BK983" s="1046"/>
      <c r="BL983" s="1048"/>
      <c r="BM983" s="1046"/>
      <c r="BN983" s="1167"/>
      <c r="BO983" s="1035"/>
      <c r="BP983" s="1043"/>
      <c r="BQ983" s="1167"/>
      <c r="BR983" s="1165"/>
      <c r="BS983" s="1031"/>
      <c r="BT983" s="1038"/>
      <c r="BU983" s="1035"/>
      <c r="BV983" s="1035"/>
      <c r="BW983" s="1049"/>
      <c r="BX983" s="1043"/>
      <c r="BY983" s="1046"/>
      <c r="BZ983" s="1167"/>
      <c r="CA983" s="1165"/>
      <c r="CB983" s="1031"/>
      <c r="CC983" s="1038"/>
      <c r="CD983" s="1035"/>
      <c r="CE983" s="1035"/>
      <c r="CF983" s="1049"/>
      <c r="CG983" s="1043"/>
      <c r="CH983" s="1046"/>
      <c r="CI983" s="1167"/>
      <c r="CJ983" s="1168"/>
      <c r="CK983" s="1169"/>
      <c r="CL983" s="1169"/>
      <c r="CM983" s="1166"/>
      <c r="CN983" s="1169"/>
      <c r="CO983" s="1169"/>
      <c r="CP983" s="452"/>
      <c r="CQ983" s="435"/>
      <c r="CR983" s="441"/>
      <c r="CS983" s="452"/>
      <c r="CT983" s="482"/>
      <c r="CU983" s="476"/>
      <c r="CV983" s="431"/>
      <c r="CW983" s="1108"/>
      <c r="CX983" s="1108"/>
      <c r="CY983" s="483"/>
      <c r="CZ983" s="437"/>
      <c r="DA983" s="438"/>
      <c r="DB983" s="439"/>
      <c r="DC983" s="439"/>
      <c r="DD983" s="443"/>
      <c r="DE983" s="411"/>
      <c r="DF983" s="411"/>
      <c r="DG983" s="1117"/>
      <c r="DH983" s="1117"/>
      <c r="DI983" s="1117"/>
      <c r="DJ983" s="442"/>
      <c r="DK983" s="482"/>
      <c r="DL983" s="1038"/>
      <c r="DM983" s="1035"/>
      <c r="DN983" s="1035"/>
      <c r="DO983" s="1035"/>
      <c r="DP983" s="1046"/>
      <c r="DQ983" s="1167"/>
      <c r="DR983" s="1168"/>
      <c r="DS983" s="1165"/>
      <c r="DT983" s="1165"/>
      <c r="DU983" s="1165"/>
      <c r="DV983" s="1031"/>
      <c r="DW983" s="1098">
        <f t="shared" si="1184"/>
        <v>0</v>
      </c>
      <c r="DX983" s="1098">
        <f t="shared" si="1185"/>
        <v>0</v>
      </c>
      <c r="DY983" s="1030"/>
      <c r="DZ983" s="1030"/>
      <c r="EA983" s="1031"/>
      <c r="EB983" s="1050"/>
      <c r="EC983" s="1038"/>
      <c r="ED983" s="1035"/>
      <c r="EE983" s="1046"/>
      <c r="EF983" s="1169"/>
      <c r="EG983" s="1168"/>
      <c r="EH983" s="1165"/>
      <c r="EI983" s="1165"/>
      <c r="EJ983" s="1165"/>
      <c r="EK983" s="1031"/>
      <c r="EL983" s="1098">
        <f t="shared" si="1186"/>
        <v>0</v>
      </c>
      <c r="EM983" s="1098">
        <f t="shared" si="1187"/>
        <v>0</v>
      </c>
      <c r="EN983" s="1030"/>
      <c r="EO983" s="1030"/>
      <c r="EP983" s="1031"/>
      <c r="EQ983" s="1050"/>
      <c r="ER983" s="1038"/>
      <c r="ES983" s="1035"/>
      <c r="ET983" s="1051"/>
    </row>
    <row r="984" spans="2:150" ht="16.5" customHeight="1">
      <c r="B984" s="1024"/>
      <c r="C984" s="1025"/>
      <c r="D984" s="408">
        <v>981</v>
      </c>
      <c r="E984" s="1164"/>
      <c r="F984" s="1164"/>
      <c r="G984" s="1026"/>
      <c r="H984" s="411" t="str">
        <f>IFERROR(INDEX(绊状态确认!C:C,MATCH($G984,绊状态确认!$B:$B,)),"")</f>
        <v/>
      </c>
      <c r="I984" s="450" t="str">
        <f>IFERROR(INDEX(绊状态确认!D:D,MATCH($G984,绊状态确认!$B:$B,)),"")</f>
        <v/>
      </c>
      <c r="J984" s="450" t="str">
        <f>IFERROR(INDEX(绊状态确认!E:E,MATCH($G984,绊状态确认!$B:$B,)),"")</f>
        <v/>
      </c>
      <c r="K984" s="451" t="str">
        <f>IFERROR(INDEX(绊状态确认!F:F,MATCH($G984,绊状态确认!$B:$B,)),"")</f>
        <v/>
      </c>
      <c r="L984" s="1026"/>
      <c r="M984" s="1165"/>
      <c r="N984" s="1027"/>
      <c r="O984" s="1026"/>
      <c r="P984" s="1028"/>
      <c r="Q984" s="1029"/>
      <c r="R984" s="1166"/>
      <c r="S984" s="1030"/>
      <c r="T984" s="1031"/>
      <c r="U984" s="1032"/>
      <c r="V984" s="1033"/>
      <c r="W984" s="1034"/>
      <c r="X984" s="1166"/>
      <c r="Y984" s="1035"/>
      <c r="Z984" s="1036"/>
      <c r="AA984" s="1037"/>
      <c r="AB984" s="1038"/>
      <c r="AC984" s="1039"/>
      <c r="AD984" s="1040"/>
      <c r="AE984" s="1041"/>
      <c r="AF984" s="521"/>
      <c r="AG984" s="420"/>
      <c r="AH984" s="420"/>
      <c r="AI984" s="420"/>
      <c r="AJ984" s="420"/>
      <c r="AK984" s="518"/>
      <c r="AL984" s="1042"/>
      <c r="AM984" s="1035"/>
      <c r="AN984" s="1043"/>
      <c r="AO984" s="1167"/>
      <c r="AP984" s="1044"/>
      <c r="AQ984" s="1035"/>
      <c r="AR984" s="1035"/>
      <c r="AS984" s="1035"/>
      <c r="AT984" s="1165"/>
      <c r="AU984" s="1031"/>
      <c r="AV984" s="1045"/>
      <c r="AW984" s="1038"/>
      <c r="AX984" s="1035"/>
      <c r="AY984" s="483"/>
      <c r="AZ984" s="429"/>
      <c r="BA984" s="431"/>
      <c r="BB984" s="1035"/>
      <c r="BC984" s="1035"/>
      <c r="BD984" s="481"/>
      <c r="BE984" s="432"/>
      <c r="BF984" s="646"/>
      <c r="BG984" s="1047"/>
      <c r="BH984" s="1046"/>
      <c r="BI984" s="1048"/>
      <c r="BJ984" s="1030"/>
      <c r="BK984" s="1046"/>
      <c r="BL984" s="1048"/>
      <c r="BM984" s="1046"/>
      <c r="BN984" s="1167"/>
      <c r="BO984" s="1035"/>
      <c r="BP984" s="1043"/>
      <c r="BQ984" s="1167"/>
      <c r="BR984" s="1165"/>
      <c r="BS984" s="1031"/>
      <c r="BT984" s="1038"/>
      <c r="BU984" s="1035"/>
      <c r="BV984" s="1035"/>
      <c r="BW984" s="1049"/>
      <c r="BX984" s="1043"/>
      <c r="BY984" s="1046"/>
      <c r="BZ984" s="1167"/>
      <c r="CA984" s="1165"/>
      <c r="CB984" s="1031"/>
      <c r="CC984" s="1038"/>
      <c r="CD984" s="1035"/>
      <c r="CE984" s="1035"/>
      <c r="CF984" s="1049"/>
      <c r="CG984" s="1043"/>
      <c r="CH984" s="1046"/>
      <c r="CI984" s="1167"/>
      <c r="CJ984" s="1168"/>
      <c r="CK984" s="1169"/>
      <c r="CL984" s="1169"/>
      <c r="CM984" s="1166"/>
      <c r="CN984" s="1169"/>
      <c r="CO984" s="1169"/>
      <c r="CP984" s="452"/>
      <c r="CQ984" s="435"/>
      <c r="CR984" s="1117"/>
      <c r="CS984" s="452"/>
      <c r="CT984" s="482"/>
      <c r="CU984" s="476"/>
      <c r="CV984" s="431"/>
      <c r="CW984" s="1108"/>
      <c r="CX984" s="1108"/>
      <c r="CY984" s="483"/>
      <c r="CZ984" s="437"/>
      <c r="DA984" s="438"/>
      <c r="DB984" s="439"/>
      <c r="DC984" s="439"/>
      <c r="DD984" s="443"/>
      <c r="DE984" s="411"/>
      <c r="DF984" s="411"/>
      <c r="DG984" s="1117"/>
      <c r="DH984" s="1117"/>
      <c r="DI984" s="1117"/>
      <c r="DJ984" s="442"/>
      <c r="DK984" s="482"/>
      <c r="DL984" s="1038"/>
      <c r="DM984" s="1035"/>
      <c r="DN984" s="1035"/>
      <c r="DO984" s="1035"/>
      <c r="DP984" s="1046"/>
      <c r="DQ984" s="1167"/>
      <c r="DR984" s="1168"/>
      <c r="DS984" s="1165"/>
      <c r="DT984" s="1165"/>
      <c r="DU984" s="1165"/>
      <c r="DV984" s="1031"/>
      <c r="DW984" s="1098">
        <f t="shared" si="1184"/>
        <v>0</v>
      </c>
      <c r="DX984" s="1098">
        <f t="shared" si="1185"/>
        <v>0</v>
      </c>
      <c r="DY984" s="1030"/>
      <c r="DZ984" s="1030"/>
      <c r="EA984" s="1031"/>
      <c r="EB984" s="1050"/>
      <c r="EC984" s="1038"/>
      <c r="ED984" s="1035"/>
      <c r="EE984" s="1046"/>
      <c r="EF984" s="1169"/>
      <c r="EG984" s="1168"/>
      <c r="EH984" s="1165"/>
      <c r="EI984" s="1165"/>
      <c r="EJ984" s="1165"/>
      <c r="EK984" s="1031"/>
      <c r="EL984" s="1098">
        <f t="shared" si="1186"/>
        <v>0</v>
      </c>
      <c r="EM984" s="1098">
        <f t="shared" si="1187"/>
        <v>0</v>
      </c>
      <c r="EN984" s="1030"/>
      <c r="EO984" s="1030"/>
      <c r="EP984" s="1031"/>
      <c r="EQ984" s="1050"/>
      <c r="ER984" s="1038"/>
      <c r="ES984" s="1035"/>
      <c r="ET984" s="1051"/>
    </row>
    <row r="985" spans="2:150" ht="16.5" customHeight="1">
      <c r="B985" s="1024"/>
      <c r="C985" s="1025"/>
      <c r="D985" s="408">
        <v>982</v>
      </c>
      <c r="E985" s="1164"/>
      <c r="F985" s="1164"/>
      <c r="G985" s="1026"/>
      <c r="H985" s="411" t="str">
        <f>IFERROR(INDEX(绊状态确认!C:C,MATCH($G985,绊状态确认!$B:$B,)),"")</f>
        <v/>
      </c>
      <c r="I985" s="450" t="str">
        <f>IFERROR(INDEX(绊状态确认!D:D,MATCH($G985,绊状态确认!$B:$B,)),"")</f>
        <v/>
      </c>
      <c r="J985" s="450" t="str">
        <f>IFERROR(INDEX(绊状态确认!E:E,MATCH($G985,绊状态确认!$B:$B,)),"")</f>
        <v/>
      </c>
      <c r="K985" s="451" t="str">
        <f>IFERROR(INDEX(绊状态确认!F:F,MATCH($G985,绊状态确认!$B:$B,)),"")</f>
        <v/>
      </c>
      <c r="L985" s="1026"/>
      <c r="M985" s="1165"/>
      <c r="N985" s="1027"/>
      <c r="O985" s="1026"/>
      <c r="P985" s="1028"/>
      <c r="Q985" s="1029"/>
      <c r="R985" s="1166"/>
      <c r="S985" s="1030"/>
      <c r="T985" s="1031"/>
      <c r="U985" s="1032"/>
      <c r="V985" s="1033"/>
      <c r="W985" s="1034"/>
      <c r="X985" s="1166"/>
      <c r="Y985" s="1035"/>
      <c r="Z985" s="1036"/>
      <c r="AA985" s="1037"/>
      <c r="AB985" s="1038"/>
      <c r="AC985" s="1039"/>
      <c r="AD985" s="1040"/>
      <c r="AE985" s="1041"/>
      <c r="AF985" s="521"/>
      <c r="AG985" s="420"/>
      <c r="AH985" s="420"/>
      <c r="AI985" s="420"/>
      <c r="AJ985" s="420"/>
      <c r="AK985" s="518"/>
      <c r="AL985" s="1042"/>
      <c r="AM985" s="1035"/>
      <c r="AN985" s="1043"/>
      <c r="AO985" s="1167"/>
      <c r="AP985" s="1044"/>
      <c r="AQ985" s="1035"/>
      <c r="AR985" s="1035"/>
      <c r="AS985" s="1035"/>
      <c r="AT985" s="1165"/>
      <c r="AU985" s="1031"/>
      <c r="AV985" s="1045"/>
      <c r="AW985" s="1038"/>
      <c r="AX985" s="1035"/>
      <c r="AY985" s="483"/>
      <c r="AZ985" s="429"/>
      <c r="BA985" s="431"/>
      <c r="BB985" s="1035"/>
      <c r="BC985" s="1035"/>
      <c r="BD985" s="481"/>
      <c r="BE985" s="432"/>
      <c r="BF985" s="646"/>
      <c r="BG985" s="1047"/>
      <c r="BH985" s="1046"/>
      <c r="BI985" s="1048"/>
      <c r="BJ985" s="1030"/>
      <c r="BK985" s="1046"/>
      <c r="BL985" s="1048"/>
      <c r="BM985" s="1046"/>
      <c r="BN985" s="1167"/>
      <c r="BO985" s="1035"/>
      <c r="BP985" s="1043"/>
      <c r="BQ985" s="1167"/>
      <c r="BR985" s="1165"/>
      <c r="BS985" s="1031"/>
      <c r="BT985" s="1038"/>
      <c r="BU985" s="1035"/>
      <c r="BV985" s="1035"/>
      <c r="BW985" s="1049"/>
      <c r="BX985" s="1043"/>
      <c r="BY985" s="1046"/>
      <c r="BZ985" s="1167"/>
      <c r="CA985" s="1165"/>
      <c r="CB985" s="1031"/>
      <c r="CC985" s="1038"/>
      <c r="CD985" s="1035"/>
      <c r="CE985" s="1035"/>
      <c r="CF985" s="1049"/>
      <c r="CG985" s="1043"/>
      <c r="CH985" s="1046"/>
      <c r="CI985" s="1167"/>
      <c r="CJ985" s="1168"/>
      <c r="CK985" s="1169"/>
      <c r="CL985" s="1169"/>
      <c r="CM985" s="1166"/>
      <c r="CN985" s="1169"/>
      <c r="CO985" s="1169"/>
      <c r="CP985" s="452"/>
      <c r="CQ985" s="435"/>
      <c r="CR985" s="1117"/>
      <c r="CS985" s="452"/>
      <c r="CT985" s="482"/>
      <c r="CU985" s="476"/>
      <c r="CV985" s="431"/>
      <c r="CW985" s="1108"/>
      <c r="CX985" s="1108"/>
      <c r="CY985" s="483"/>
      <c r="CZ985" s="437"/>
      <c r="DA985" s="438"/>
      <c r="DB985" s="439"/>
      <c r="DC985" s="439"/>
      <c r="DD985" s="443"/>
      <c r="DE985" s="411"/>
      <c r="DF985" s="411"/>
      <c r="DG985" s="1117"/>
      <c r="DH985" s="1117"/>
      <c r="DI985" s="1117"/>
      <c r="DJ985" s="442"/>
      <c r="DK985" s="482"/>
      <c r="DL985" s="1038"/>
      <c r="DM985" s="1035"/>
      <c r="DN985" s="1035"/>
      <c r="DO985" s="1035"/>
      <c r="DP985" s="1046"/>
      <c r="DQ985" s="1167"/>
      <c r="DR985" s="1168"/>
      <c r="DS985" s="1165"/>
      <c r="DT985" s="1165"/>
      <c r="DU985" s="1165"/>
      <c r="DV985" s="1031"/>
      <c r="DW985" s="1098">
        <f t="shared" si="1184"/>
        <v>0</v>
      </c>
      <c r="DX985" s="1098">
        <f t="shared" si="1185"/>
        <v>0</v>
      </c>
      <c r="DY985" s="1030"/>
      <c r="DZ985" s="1030"/>
      <c r="EA985" s="1031"/>
      <c r="EB985" s="1050"/>
      <c r="EC985" s="1038"/>
      <c r="ED985" s="1035"/>
      <c r="EE985" s="1046"/>
      <c r="EF985" s="1169"/>
      <c r="EG985" s="1168"/>
      <c r="EH985" s="1165"/>
      <c r="EI985" s="1165"/>
      <c r="EJ985" s="1165"/>
      <c r="EK985" s="1031"/>
      <c r="EL985" s="1098">
        <f t="shared" si="1186"/>
        <v>0</v>
      </c>
      <c r="EM985" s="1098">
        <f t="shared" si="1187"/>
        <v>0</v>
      </c>
      <c r="EN985" s="1030"/>
      <c r="EO985" s="1030"/>
      <c r="EP985" s="1031"/>
      <c r="EQ985" s="1050"/>
      <c r="ER985" s="1038"/>
      <c r="ES985" s="1035"/>
      <c r="ET985" s="1051"/>
    </row>
    <row r="986" spans="2:150" ht="16.5" customHeight="1">
      <c r="B986" s="1024"/>
      <c r="C986" s="1025"/>
      <c r="D986" s="408">
        <v>983</v>
      </c>
      <c r="E986" s="1164"/>
      <c r="F986" s="1164"/>
      <c r="G986" s="1026"/>
      <c r="H986" s="411" t="str">
        <f>IFERROR(INDEX(绊状态确认!C:C,MATCH($G986,绊状态确认!$B:$B,)),"")</f>
        <v/>
      </c>
      <c r="I986" s="450" t="str">
        <f>IFERROR(INDEX(绊状态确认!D:D,MATCH($G986,绊状态确认!$B:$B,)),"")</f>
        <v/>
      </c>
      <c r="J986" s="450" t="str">
        <f>IFERROR(INDEX(绊状态确认!E:E,MATCH($G986,绊状态确认!$B:$B,)),"")</f>
        <v/>
      </c>
      <c r="K986" s="451" t="str">
        <f>IFERROR(INDEX(绊状态确认!F:F,MATCH($G986,绊状态确认!$B:$B,)),"")</f>
        <v/>
      </c>
      <c r="L986" s="1026"/>
      <c r="M986" s="1165"/>
      <c r="N986" s="1027"/>
      <c r="O986" s="1026"/>
      <c r="P986" s="1028"/>
      <c r="Q986" s="1029"/>
      <c r="R986" s="1166"/>
      <c r="S986" s="1030"/>
      <c r="T986" s="1031"/>
      <c r="U986" s="1032"/>
      <c r="V986" s="1033"/>
      <c r="W986" s="1034"/>
      <c r="X986" s="1166"/>
      <c r="Y986" s="1035"/>
      <c r="Z986" s="1036"/>
      <c r="AA986" s="1037"/>
      <c r="AB986" s="1038"/>
      <c r="AC986" s="1039"/>
      <c r="AD986" s="1040"/>
      <c r="AE986" s="1041"/>
      <c r="AF986" s="521"/>
      <c r="AG986" s="420"/>
      <c r="AH986" s="420"/>
      <c r="AI986" s="420"/>
      <c r="AJ986" s="420"/>
      <c r="AK986" s="518"/>
      <c r="AL986" s="1042"/>
      <c r="AM986" s="1035"/>
      <c r="AN986" s="1043"/>
      <c r="AO986" s="1167"/>
      <c r="AP986" s="1044"/>
      <c r="AQ986" s="1035"/>
      <c r="AR986" s="1035"/>
      <c r="AS986" s="1035"/>
      <c r="AT986" s="1165"/>
      <c r="AU986" s="1031"/>
      <c r="AV986" s="1045"/>
      <c r="AW986" s="1038"/>
      <c r="AX986" s="1035"/>
      <c r="AY986" s="483"/>
      <c r="AZ986" s="429"/>
      <c r="BA986" s="431"/>
      <c r="BB986" s="1035"/>
      <c r="BC986" s="1035"/>
      <c r="BD986" s="481"/>
      <c r="BE986" s="432"/>
      <c r="BF986" s="646"/>
      <c r="BG986" s="1047"/>
      <c r="BH986" s="1046"/>
      <c r="BI986" s="1048"/>
      <c r="BJ986" s="1030"/>
      <c r="BK986" s="1046"/>
      <c r="BL986" s="1048"/>
      <c r="BM986" s="1046"/>
      <c r="BN986" s="1167"/>
      <c r="BO986" s="1035"/>
      <c r="BP986" s="1043"/>
      <c r="BQ986" s="1167"/>
      <c r="BR986" s="1165"/>
      <c r="BS986" s="1031"/>
      <c r="BT986" s="1038"/>
      <c r="BU986" s="1035"/>
      <c r="BV986" s="1035"/>
      <c r="BW986" s="1049"/>
      <c r="BX986" s="1043"/>
      <c r="BY986" s="1046"/>
      <c r="BZ986" s="1167"/>
      <c r="CA986" s="1165"/>
      <c r="CB986" s="1031"/>
      <c r="CC986" s="1038"/>
      <c r="CD986" s="1035"/>
      <c r="CE986" s="1035"/>
      <c r="CF986" s="1049"/>
      <c r="CG986" s="1043"/>
      <c r="CH986" s="1046"/>
      <c r="CI986" s="1167"/>
      <c r="CJ986" s="1168"/>
      <c r="CK986" s="1169"/>
      <c r="CL986" s="1169"/>
      <c r="CM986" s="1166"/>
      <c r="CN986" s="1169"/>
      <c r="CO986" s="1169"/>
      <c r="CP986" s="452"/>
      <c r="CQ986" s="435"/>
      <c r="CR986" s="441"/>
      <c r="CS986" s="452"/>
      <c r="CT986" s="482"/>
      <c r="CU986" s="476"/>
      <c r="CV986" s="431"/>
      <c r="CW986" s="1108"/>
      <c r="CX986" s="1108"/>
      <c r="CY986" s="483"/>
      <c r="CZ986" s="437"/>
      <c r="DA986" s="438"/>
      <c r="DB986" s="439"/>
      <c r="DC986" s="439"/>
      <c r="DD986" s="443"/>
      <c r="DE986" s="411"/>
      <c r="DF986" s="411"/>
      <c r="DG986" s="1117"/>
      <c r="DH986" s="1117"/>
      <c r="DI986" s="1117"/>
      <c r="DJ986" s="442"/>
      <c r="DK986" s="482"/>
      <c r="DL986" s="1038"/>
      <c r="DM986" s="1035"/>
      <c r="DN986" s="1035"/>
      <c r="DO986" s="1035"/>
      <c r="DP986" s="1046"/>
      <c r="DQ986" s="1167"/>
      <c r="DR986" s="1168"/>
      <c r="DS986" s="1165"/>
      <c r="DT986" s="1165"/>
      <c r="DU986" s="1165"/>
      <c r="DV986" s="1031"/>
      <c r="DW986" s="1098">
        <f t="shared" si="1184"/>
        <v>0</v>
      </c>
      <c r="DX986" s="1098">
        <f t="shared" si="1185"/>
        <v>0</v>
      </c>
      <c r="DY986" s="1030"/>
      <c r="DZ986" s="1030"/>
      <c r="EA986" s="1031"/>
      <c r="EB986" s="1050"/>
      <c r="EC986" s="1038"/>
      <c r="ED986" s="1035"/>
      <c r="EE986" s="1046"/>
      <c r="EF986" s="1169"/>
      <c r="EG986" s="1168"/>
      <c r="EH986" s="1165"/>
      <c r="EI986" s="1165"/>
      <c r="EJ986" s="1165"/>
      <c r="EK986" s="1031"/>
      <c r="EL986" s="1098">
        <f t="shared" si="1186"/>
        <v>0</v>
      </c>
      <c r="EM986" s="1098">
        <f t="shared" si="1187"/>
        <v>0</v>
      </c>
      <c r="EN986" s="1030"/>
      <c r="EO986" s="1030"/>
      <c r="EP986" s="1031"/>
      <c r="EQ986" s="1050"/>
      <c r="ER986" s="1038"/>
      <c r="ES986" s="1035"/>
      <c r="ET986" s="1051"/>
    </row>
    <row r="987" spans="2:150" ht="16.5" customHeight="1">
      <c r="B987" s="1024"/>
      <c r="C987" s="1025"/>
      <c r="D987" s="408">
        <v>984</v>
      </c>
      <c r="E987" s="1164"/>
      <c r="F987" s="1164"/>
      <c r="G987" s="1026"/>
      <c r="H987" s="411" t="str">
        <f>IFERROR(INDEX(绊状态确认!C:C,MATCH($G987,绊状态确认!$B:$B,)),"")</f>
        <v/>
      </c>
      <c r="I987" s="450" t="str">
        <f>IFERROR(INDEX(绊状态确认!D:D,MATCH($G987,绊状态确认!$B:$B,)),"")</f>
        <v/>
      </c>
      <c r="J987" s="450" t="str">
        <f>IFERROR(INDEX(绊状态确认!E:E,MATCH($G987,绊状态确认!$B:$B,)),"")</f>
        <v/>
      </c>
      <c r="K987" s="451" t="str">
        <f>IFERROR(INDEX(绊状态确认!F:F,MATCH($G987,绊状态确认!$B:$B,)),"")</f>
        <v/>
      </c>
      <c r="L987" s="1026"/>
      <c r="M987" s="1165"/>
      <c r="N987" s="1027"/>
      <c r="O987" s="1026"/>
      <c r="P987" s="1028"/>
      <c r="Q987" s="1029"/>
      <c r="R987" s="1166"/>
      <c r="S987" s="1030"/>
      <c r="T987" s="1031"/>
      <c r="U987" s="1032"/>
      <c r="V987" s="1033"/>
      <c r="W987" s="1034"/>
      <c r="X987" s="1166"/>
      <c r="Y987" s="1035"/>
      <c r="Z987" s="1036"/>
      <c r="AA987" s="1037"/>
      <c r="AB987" s="1038"/>
      <c r="AC987" s="1039"/>
      <c r="AD987" s="1040"/>
      <c r="AE987" s="1041"/>
      <c r="AF987" s="521"/>
      <c r="AG987" s="420"/>
      <c r="AH987" s="420"/>
      <c r="AI987" s="420"/>
      <c r="AJ987" s="420"/>
      <c r="AK987" s="518"/>
      <c r="AL987" s="1042"/>
      <c r="AM987" s="1035"/>
      <c r="AN987" s="1043"/>
      <c r="AO987" s="1167"/>
      <c r="AP987" s="1044"/>
      <c r="AQ987" s="1035"/>
      <c r="AR987" s="1035"/>
      <c r="AS987" s="1035"/>
      <c r="AT987" s="1165"/>
      <c r="AU987" s="1031"/>
      <c r="AV987" s="1045"/>
      <c r="AW987" s="1038"/>
      <c r="AX987" s="1035"/>
      <c r="AY987" s="483"/>
      <c r="AZ987" s="429"/>
      <c r="BA987" s="431"/>
      <c r="BB987" s="1035"/>
      <c r="BC987" s="1035"/>
      <c r="BD987" s="481"/>
      <c r="BE987" s="432"/>
      <c r="BF987" s="646"/>
      <c r="BG987" s="1047"/>
      <c r="BH987" s="1046"/>
      <c r="BI987" s="1048"/>
      <c r="BJ987" s="1030"/>
      <c r="BK987" s="1046"/>
      <c r="BL987" s="1048"/>
      <c r="BM987" s="1046"/>
      <c r="BN987" s="1167"/>
      <c r="BO987" s="1035"/>
      <c r="BP987" s="1043"/>
      <c r="BQ987" s="1167"/>
      <c r="BR987" s="1165"/>
      <c r="BS987" s="1031"/>
      <c r="BT987" s="1038"/>
      <c r="BU987" s="1035"/>
      <c r="BV987" s="1035"/>
      <c r="BW987" s="1049"/>
      <c r="BX987" s="1043"/>
      <c r="BY987" s="1046"/>
      <c r="BZ987" s="1167"/>
      <c r="CA987" s="1165"/>
      <c r="CB987" s="1031"/>
      <c r="CC987" s="1038"/>
      <c r="CD987" s="1035"/>
      <c r="CE987" s="1035"/>
      <c r="CF987" s="1049"/>
      <c r="CG987" s="1043"/>
      <c r="CH987" s="1046"/>
      <c r="CI987" s="1167"/>
      <c r="CJ987" s="1168"/>
      <c r="CK987" s="1169"/>
      <c r="CL987" s="1169"/>
      <c r="CM987" s="1166"/>
      <c r="CN987" s="1169"/>
      <c r="CO987" s="1169"/>
      <c r="CP987" s="452"/>
      <c r="CQ987" s="435"/>
      <c r="CR987" s="441"/>
      <c r="CS987" s="452"/>
      <c r="CT987" s="482"/>
      <c r="CU987" s="476"/>
      <c r="CV987" s="431"/>
      <c r="CW987" s="1108"/>
      <c r="CX987" s="1108"/>
      <c r="CY987" s="483"/>
      <c r="CZ987" s="437"/>
      <c r="DA987" s="438"/>
      <c r="DB987" s="439"/>
      <c r="DC987" s="439"/>
      <c r="DD987" s="443"/>
      <c r="DE987" s="411"/>
      <c r="DF987" s="411"/>
      <c r="DG987" s="1117"/>
      <c r="DH987" s="1117"/>
      <c r="DI987" s="1117"/>
      <c r="DJ987" s="442"/>
      <c r="DK987" s="482"/>
      <c r="DL987" s="1038"/>
      <c r="DM987" s="1035"/>
      <c r="DN987" s="1035"/>
      <c r="DO987" s="1035"/>
      <c r="DP987" s="1046"/>
      <c r="DQ987" s="1167"/>
      <c r="DR987" s="1168"/>
      <c r="DS987" s="1165"/>
      <c r="DT987" s="1165"/>
      <c r="DU987" s="1165"/>
      <c r="DV987" s="1031"/>
      <c r="DW987" s="1098">
        <f t="shared" si="1184"/>
        <v>0</v>
      </c>
      <c r="DX987" s="1098">
        <f t="shared" si="1185"/>
        <v>0</v>
      </c>
      <c r="DY987" s="1030"/>
      <c r="DZ987" s="1030"/>
      <c r="EA987" s="1031"/>
      <c r="EB987" s="1050"/>
      <c r="EC987" s="1038"/>
      <c r="ED987" s="1035"/>
      <c r="EE987" s="1046"/>
      <c r="EF987" s="1169"/>
      <c r="EG987" s="1168"/>
      <c r="EH987" s="1165"/>
      <c r="EI987" s="1165"/>
      <c r="EJ987" s="1165"/>
      <c r="EK987" s="1031"/>
      <c r="EL987" s="1098">
        <f t="shared" si="1186"/>
        <v>0</v>
      </c>
      <c r="EM987" s="1098">
        <f t="shared" si="1187"/>
        <v>0</v>
      </c>
      <c r="EN987" s="1030"/>
      <c r="EO987" s="1030"/>
      <c r="EP987" s="1031"/>
      <c r="EQ987" s="1050"/>
      <c r="ER987" s="1038"/>
      <c r="ES987" s="1035"/>
      <c r="ET987" s="1051"/>
    </row>
    <row r="988" spans="2:150" ht="16.5" customHeight="1">
      <c r="B988" s="1024"/>
      <c r="C988" s="1025"/>
      <c r="D988" s="408">
        <v>985</v>
      </c>
      <c r="E988" s="1164"/>
      <c r="F988" s="1164"/>
      <c r="G988" s="1026"/>
      <c r="H988" s="411" t="str">
        <f>IFERROR(INDEX(绊状态确认!C:C,MATCH($G988,绊状态确认!$B:$B,)),"")</f>
        <v/>
      </c>
      <c r="I988" s="450" t="str">
        <f>IFERROR(INDEX(绊状态确认!D:D,MATCH($G988,绊状态确认!$B:$B,)),"")</f>
        <v/>
      </c>
      <c r="J988" s="450" t="str">
        <f>IFERROR(INDEX(绊状态确认!E:E,MATCH($G988,绊状态确认!$B:$B,)),"")</f>
        <v/>
      </c>
      <c r="K988" s="451" t="str">
        <f>IFERROR(INDEX(绊状态确认!F:F,MATCH($G988,绊状态确认!$B:$B,)),"")</f>
        <v/>
      </c>
      <c r="L988" s="1026"/>
      <c r="M988" s="1165"/>
      <c r="N988" s="1027"/>
      <c r="O988" s="1026"/>
      <c r="P988" s="1028"/>
      <c r="Q988" s="1029"/>
      <c r="R988" s="1166"/>
      <c r="S988" s="1030"/>
      <c r="T988" s="1031"/>
      <c r="U988" s="1032"/>
      <c r="V988" s="1033"/>
      <c r="W988" s="1034"/>
      <c r="X988" s="1166"/>
      <c r="Y988" s="1035"/>
      <c r="Z988" s="1036"/>
      <c r="AA988" s="1037"/>
      <c r="AB988" s="1038"/>
      <c r="AC988" s="1039"/>
      <c r="AD988" s="1040"/>
      <c r="AE988" s="1041"/>
      <c r="AF988" s="521"/>
      <c r="AG988" s="420"/>
      <c r="AH988" s="420"/>
      <c r="AI988" s="420"/>
      <c r="AJ988" s="420"/>
      <c r="AK988" s="518"/>
      <c r="AL988" s="1042"/>
      <c r="AM988" s="1035"/>
      <c r="AN988" s="1043"/>
      <c r="AO988" s="1167"/>
      <c r="AP988" s="1044"/>
      <c r="AQ988" s="1035"/>
      <c r="AR988" s="1035"/>
      <c r="AS988" s="1035"/>
      <c r="AT988" s="1165"/>
      <c r="AU988" s="1031"/>
      <c r="AV988" s="1045"/>
      <c r="AW988" s="1038"/>
      <c r="AX988" s="1035"/>
      <c r="AY988" s="483"/>
      <c r="AZ988" s="429"/>
      <c r="BA988" s="431"/>
      <c r="BB988" s="1035"/>
      <c r="BC988" s="1035"/>
      <c r="BD988" s="481"/>
      <c r="BE988" s="432"/>
      <c r="BF988" s="646"/>
      <c r="BG988" s="1047"/>
      <c r="BH988" s="1046"/>
      <c r="BI988" s="1048"/>
      <c r="BJ988" s="1030"/>
      <c r="BK988" s="1046"/>
      <c r="BL988" s="1048"/>
      <c r="BM988" s="1046"/>
      <c r="BN988" s="1167"/>
      <c r="BO988" s="1035"/>
      <c r="BP988" s="1043"/>
      <c r="BQ988" s="1167"/>
      <c r="BR988" s="1165"/>
      <c r="BS988" s="1031"/>
      <c r="BT988" s="1038"/>
      <c r="BU988" s="1035"/>
      <c r="BV988" s="1035"/>
      <c r="BW988" s="1049"/>
      <c r="BX988" s="1043"/>
      <c r="BY988" s="1046"/>
      <c r="BZ988" s="1167"/>
      <c r="CA988" s="1165"/>
      <c r="CB988" s="1031"/>
      <c r="CC988" s="1038"/>
      <c r="CD988" s="1035"/>
      <c r="CE988" s="1035"/>
      <c r="CF988" s="1049"/>
      <c r="CG988" s="1043"/>
      <c r="CH988" s="1046"/>
      <c r="CI988" s="1167"/>
      <c r="CJ988" s="1168"/>
      <c r="CK988" s="1169"/>
      <c r="CL988" s="1169"/>
      <c r="CM988" s="1166"/>
      <c r="CN988" s="1169"/>
      <c r="CO988" s="1169"/>
      <c r="CP988" s="452"/>
      <c r="CQ988" s="435"/>
      <c r="CR988" s="1117"/>
      <c r="CS988" s="452"/>
      <c r="CT988" s="482"/>
      <c r="CU988" s="476"/>
      <c r="CV988" s="431"/>
      <c r="CW988" s="1108"/>
      <c r="CX988" s="1108"/>
      <c r="CY988" s="483"/>
      <c r="CZ988" s="437"/>
      <c r="DA988" s="438"/>
      <c r="DB988" s="439"/>
      <c r="DC988" s="439"/>
      <c r="DD988" s="443"/>
      <c r="DE988" s="411"/>
      <c r="DF988" s="411"/>
      <c r="DG988" s="1117"/>
      <c r="DH988" s="1117"/>
      <c r="DI988" s="1117"/>
      <c r="DJ988" s="442"/>
      <c r="DK988" s="482"/>
      <c r="DL988" s="1038"/>
      <c r="DM988" s="1035"/>
      <c r="DN988" s="1035"/>
      <c r="DO988" s="1035"/>
      <c r="DP988" s="1046"/>
      <c r="DQ988" s="1167"/>
      <c r="DR988" s="1168"/>
      <c r="DS988" s="1165"/>
      <c r="DT988" s="1165"/>
      <c r="DU988" s="1165"/>
      <c r="DV988" s="1031"/>
      <c r="DW988" s="1098">
        <f t="shared" si="1184"/>
        <v>0</v>
      </c>
      <c r="DX988" s="1098">
        <f t="shared" si="1185"/>
        <v>0</v>
      </c>
      <c r="DY988" s="1030"/>
      <c r="DZ988" s="1030"/>
      <c r="EA988" s="1031"/>
      <c r="EB988" s="1050"/>
      <c r="EC988" s="1038"/>
      <c r="ED988" s="1035"/>
      <c r="EE988" s="1046"/>
      <c r="EF988" s="1169"/>
      <c r="EG988" s="1168"/>
      <c r="EH988" s="1165"/>
      <c r="EI988" s="1165"/>
      <c r="EJ988" s="1165"/>
      <c r="EK988" s="1031"/>
      <c r="EL988" s="1098">
        <f t="shared" si="1186"/>
        <v>0</v>
      </c>
      <c r="EM988" s="1098">
        <f t="shared" si="1187"/>
        <v>0</v>
      </c>
      <c r="EN988" s="1030"/>
      <c r="EO988" s="1030"/>
      <c r="EP988" s="1031"/>
      <c r="EQ988" s="1050"/>
      <c r="ER988" s="1038"/>
      <c r="ES988" s="1035"/>
      <c r="ET988" s="1051"/>
    </row>
    <row r="989" spans="2:150" ht="16.5" customHeight="1">
      <c r="B989" s="1024"/>
      <c r="C989" s="1025"/>
      <c r="D989" s="408">
        <v>986</v>
      </c>
      <c r="E989" s="1164"/>
      <c r="F989" s="1164"/>
      <c r="G989" s="1026"/>
      <c r="H989" s="411" t="str">
        <f>IFERROR(INDEX(绊状态确认!C:C,MATCH($G989,绊状态确认!$B:$B,)),"")</f>
        <v/>
      </c>
      <c r="I989" s="450" t="str">
        <f>IFERROR(INDEX(绊状态确认!D:D,MATCH($G989,绊状态确认!$B:$B,)),"")</f>
        <v/>
      </c>
      <c r="J989" s="450" t="str">
        <f>IFERROR(INDEX(绊状态确认!E:E,MATCH($G989,绊状态确认!$B:$B,)),"")</f>
        <v/>
      </c>
      <c r="K989" s="451" t="str">
        <f>IFERROR(INDEX(绊状态确认!F:F,MATCH($G989,绊状态确认!$B:$B,)),"")</f>
        <v/>
      </c>
      <c r="L989" s="1026"/>
      <c r="M989" s="1165"/>
      <c r="N989" s="1027"/>
      <c r="O989" s="1026"/>
      <c r="P989" s="1028"/>
      <c r="Q989" s="1029"/>
      <c r="R989" s="1166"/>
      <c r="S989" s="1030"/>
      <c r="T989" s="1031"/>
      <c r="U989" s="1032"/>
      <c r="V989" s="1033"/>
      <c r="W989" s="1034"/>
      <c r="X989" s="1166"/>
      <c r="Y989" s="1035"/>
      <c r="Z989" s="1036"/>
      <c r="AA989" s="1037"/>
      <c r="AB989" s="1038"/>
      <c r="AC989" s="1039"/>
      <c r="AD989" s="1040"/>
      <c r="AE989" s="1041"/>
      <c r="AF989" s="521"/>
      <c r="AG989" s="420"/>
      <c r="AH989" s="420"/>
      <c r="AI989" s="420"/>
      <c r="AJ989" s="420"/>
      <c r="AK989" s="518"/>
      <c r="AL989" s="1042"/>
      <c r="AM989" s="1035"/>
      <c r="AN989" s="1043"/>
      <c r="AO989" s="1167"/>
      <c r="AP989" s="1044"/>
      <c r="AQ989" s="1035"/>
      <c r="AR989" s="1035"/>
      <c r="AS989" s="1035"/>
      <c r="AT989" s="1165"/>
      <c r="AU989" s="1031"/>
      <c r="AV989" s="1045"/>
      <c r="AW989" s="1038"/>
      <c r="AX989" s="1035"/>
      <c r="AY989" s="483"/>
      <c r="AZ989" s="429"/>
      <c r="BA989" s="431"/>
      <c r="BB989" s="1035"/>
      <c r="BC989" s="1035"/>
      <c r="BD989" s="481"/>
      <c r="BE989" s="432"/>
      <c r="BF989" s="646"/>
      <c r="BG989" s="1047"/>
      <c r="BH989" s="1046"/>
      <c r="BI989" s="1048"/>
      <c r="BJ989" s="1030"/>
      <c r="BK989" s="1046"/>
      <c r="BL989" s="1048"/>
      <c r="BM989" s="1046"/>
      <c r="BN989" s="1167"/>
      <c r="BO989" s="1035"/>
      <c r="BP989" s="1043"/>
      <c r="BQ989" s="1167"/>
      <c r="BR989" s="1165"/>
      <c r="BS989" s="1031"/>
      <c r="BT989" s="1038"/>
      <c r="BU989" s="1035"/>
      <c r="BV989" s="1035"/>
      <c r="BW989" s="1049"/>
      <c r="BX989" s="1043"/>
      <c r="BY989" s="1046"/>
      <c r="BZ989" s="1167"/>
      <c r="CA989" s="1165"/>
      <c r="CB989" s="1031"/>
      <c r="CC989" s="1038"/>
      <c r="CD989" s="1035"/>
      <c r="CE989" s="1035"/>
      <c r="CF989" s="1049"/>
      <c r="CG989" s="1043"/>
      <c r="CH989" s="1046"/>
      <c r="CI989" s="1167"/>
      <c r="CJ989" s="1168"/>
      <c r="CK989" s="1169"/>
      <c r="CL989" s="1169"/>
      <c r="CM989" s="1166"/>
      <c r="CN989" s="1169"/>
      <c r="CO989" s="1169"/>
      <c r="CP989" s="452"/>
      <c r="CQ989" s="435"/>
      <c r="CR989" s="441"/>
      <c r="CS989" s="452"/>
      <c r="CT989" s="482"/>
      <c r="CU989" s="476"/>
      <c r="CV989" s="431"/>
      <c r="CW989" s="1108"/>
      <c r="CX989" s="1108"/>
      <c r="CY989" s="483"/>
      <c r="CZ989" s="437"/>
      <c r="DA989" s="438"/>
      <c r="DB989" s="439"/>
      <c r="DC989" s="439"/>
      <c r="DD989" s="443"/>
      <c r="DE989" s="411"/>
      <c r="DF989" s="411"/>
      <c r="DG989" s="1117"/>
      <c r="DH989" s="1117"/>
      <c r="DI989" s="1117"/>
      <c r="DJ989" s="442"/>
      <c r="DK989" s="482"/>
      <c r="DL989" s="1038"/>
      <c r="DM989" s="1035"/>
      <c r="DN989" s="1035"/>
      <c r="DO989" s="1035"/>
      <c r="DP989" s="1046"/>
      <c r="DQ989" s="1167"/>
      <c r="DR989" s="1168"/>
      <c r="DS989" s="1165"/>
      <c r="DT989" s="1165"/>
      <c r="DU989" s="1165"/>
      <c r="DV989" s="1031"/>
      <c r="DW989" s="1098">
        <f t="shared" si="1184"/>
        <v>0</v>
      </c>
      <c r="DX989" s="1098">
        <f t="shared" si="1185"/>
        <v>0</v>
      </c>
      <c r="DY989" s="1030"/>
      <c r="DZ989" s="1030"/>
      <c r="EA989" s="1031"/>
      <c r="EB989" s="1050"/>
      <c r="EC989" s="1038"/>
      <c r="ED989" s="1035"/>
      <c r="EE989" s="1046"/>
      <c r="EF989" s="1169"/>
      <c r="EG989" s="1168"/>
      <c r="EH989" s="1165"/>
      <c r="EI989" s="1165"/>
      <c r="EJ989" s="1165"/>
      <c r="EK989" s="1031"/>
      <c r="EL989" s="1098">
        <f t="shared" si="1186"/>
        <v>0</v>
      </c>
      <c r="EM989" s="1098">
        <f t="shared" si="1187"/>
        <v>0</v>
      </c>
      <c r="EN989" s="1030"/>
      <c r="EO989" s="1030"/>
      <c r="EP989" s="1031"/>
      <c r="EQ989" s="1050"/>
      <c r="ER989" s="1038"/>
      <c r="ES989" s="1035"/>
      <c r="ET989" s="1051"/>
    </row>
    <row r="990" spans="2:150" ht="16.5" customHeight="1">
      <c r="B990" s="1024"/>
      <c r="C990" s="1025"/>
      <c r="D990" s="408">
        <v>987</v>
      </c>
      <c r="E990" s="1164"/>
      <c r="F990" s="1164"/>
      <c r="G990" s="1026"/>
      <c r="H990" s="411" t="str">
        <f>IFERROR(INDEX(绊状态确认!C:C,MATCH($G990,绊状态确认!$B:$B,)),"")</f>
        <v/>
      </c>
      <c r="I990" s="450" t="str">
        <f>IFERROR(INDEX(绊状态确认!D:D,MATCH($G990,绊状态确认!$B:$B,)),"")</f>
        <v/>
      </c>
      <c r="J990" s="450" t="str">
        <f>IFERROR(INDEX(绊状态确认!E:E,MATCH($G990,绊状态确认!$B:$B,)),"")</f>
        <v/>
      </c>
      <c r="K990" s="451" t="str">
        <f>IFERROR(INDEX(绊状态确认!F:F,MATCH($G990,绊状态确认!$B:$B,)),"")</f>
        <v/>
      </c>
      <c r="L990" s="1026"/>
      <c r="M990" s="1165"/>
      <c r="N990" s="1027"/>
      <c r="O990" s="1026"/>
      <c r="P990" s="1028"/>
      <c r="Q990" s="1029"/>
      <c r="R990" s="1166"/>
      <c r="S990" s="1030"/>
      <c r="T990" s="1031"/>
      <c r="U990" s="1032"/>
      <c r="V990" s="1033"/>
      <c r="W990" s="1034"/>
      <c r="X990" s="1166"/>
      <c r="Y990" s="1035"/>
      <c r="Z990" s="1036"/>
      <c r="AA990" s="1037"/>
      <c r="AB990" s="1038"/>
      <c r="AC990" s="1039"/>
      <c r="AD990" s="1040"/>
      <c r="AE990" s="1041"/>
      <c r="AF990" s="521"/>
      <c r="AG990" s="420"/>
      <c r="AH990" s="420"/>
      <c r="AI990" s="420"/>
      <c r="AJ990" s="420"/>
      <c r="AK990" s="518"/>
      <c r="AL990" s="1042"/>
      <c r="AM990" s="1035"/>
      <c r="AN990" s="1043"/>
      <c r="AO990" s="1167"/>
      <c r="AP990" s="1044"/>
      <c r="AQ990" s="1035"/>
      <c r="AR990" s="1035"/>
      <c r="AS990" s="1035"/>
      <c r="AT990" s="1165"/>
      <c r="AU990" s="1031"/>
      <c r="AV990" s="1045"/>
      <c r="AW990" s="1038"/>
      <c r="AX990" s="1035"/>
      <c r="AY990" s="483"/>
      <c r="AZ990" s="429"/>
      <c r="BA990" s="431"/>
      <c r="BB990" s="1035"/>
      <c r="BC990" s="1035"/>
      <c r="BD990" s="481"/>
      <c r="BE990" s="432"/>
      <c r="BF990" s="646"/>
      <c r="BG990" s="1047"/>
      <c r="BH990" s="1046"/>
      <c r="BI990" s="1048"/>
      <c r="BJ990" s="1030"/>
      <c r="BK990" s="1046"/>
      <c r="BL990" s="1048"/>
      <c r="BM990" s="1046"/>
      <c r="BN990" s="1167"/>
      <c r="BO990" s="1035"/>
      <c r="BP990" s="1043"/>
      <c r="BQ990" s="1167"/>
      <c r="BR990" s="1165"/>
      <c r="BS990" s="1031"/>
      <c r="BT990" s="1038"/>
      <c r="BU990" s="1035"/>
      <c r="BV990" s="1035"/>
      <c r="BW990" s="1049"/>
      <c r="BX990" s="1043"/>
      <c r="BY990" s="1046"/>
      <c r="BZ990" s="1167"/>
      <c r="CA990" s="1165"/>
      <c r="CB990" s="1031"/>
      <c r="CC990" s="1038"/>
      <c r="CD990" s="1035"/>
      <c r="CE990" s="1035"/>
      <c r="CF990" s="1049"/>
      <c r="CG990" s="1043"/>
      <c r="CH990" s="1046"/>
      <c r="CI990" s="1167"/>
      <c r="CJ990" s="1168"/>
      <c r="CK990" s="1169"/>
      <c r="CL990" s="1169"/>
      <c r="CM990" s="1166"/>
      <c r="CN990" s="1169"/>
      <c r="CO990" s="1169"/>
      <c r="CP990" s="452"/>
      <c r="CQ990" s="435"/>
      <c r="CR990" s="441"/>
      <c r="CS990" s="452"/>
      <c r="CT990" s="482"/>
      <c r="CU990" s="476"/>
      <c r="CV990" s="431"/>
      <c r="CW990" s="1108"/>
      <c r="CX990" s="1108"/>
      <c r="CY990" s="483"/>
      <c r="CZ990" s="437"/>
      <c r="DA990" s="438"/>
      <c r="DB990" s="439"/>
      <c r="DC990" s="439"/>
      <c r="DD990" s="443"/>
      <c r="DE990" s="411"/>
      <c r="DF990" s="411"/>
      <c r="DG990" s="1117"/>
      <c r="DH990" s="1117"/>
      <c r="DI990" s="1117"/>
      <c r="DJ990" s="442"/>
      <c r="DK990" s="482"/>
      <c r="DL990" s="1038"/>
      <c r="DM990" s="1035"/>
      <c r="DN990" s="1035"/>
      <c r="DO990" s="1035"/>
      <c r="DP990" s="1046"/>
      <c r="DQ990" s="1167"/>
      <c r="DR990" s="1168"/>
      <c r="DS990" s="1165"/>
      <c r="DT990" s="1165"/>
      <c r="DU990" s="1165"/>
      <c r="DV990" s="1031"/>
      <c r="DW990" s="1098">
        <f t="shared" si="1184"/>
        <v>0</v>
      </c>
      <c r="DX990" s="1098">
        <f t="shared" si="1185"/>
        <v>0</v>
      </c>
      <c r="DY990" s="1030"/>
      <c r="DZ990" s="1030"/>
      <c r="EA990" s="1031"/>
      <c r="EB990" s="1050"/>
      <c r="EC990" s="1038"/>
      <c r="ED990" s="1035"/>
      <c r="EE990" s="1046"/>
      <c r="EF990" s="1169"/>
      <c r="EG990" s="1168"/>
      <c r="EH990" s="1165"/>
      <c r="EI990" s="1165"/>
      <c r="EJ990" s="1165"/>
      <c r="EK990" s="1031"/>
      <c r="EL990" s="1098">
        <f t="shared" si="1186"/>
        <v>0</v>
      </c>
      <c r="EM990" s="1098">
        <f t="shared" si="1187"/>
        <v>0</v>
      </c>
      <c r="EN990" s="1030"/>
      <c r="EO990" s="1030"/>
      <c r="EP990" s="1031"/>
      <c r="EQ990" s="1050"/>
      <c r="ER990" s="1038"/>
      <c r="ES990" s="1035"/>
      <c r="ET990" s="1051"/>
    </row>
    <row r="991" spans="2:150" ht="16.5" customHeight="1">
      <c r="B991" s="1024"/>
      <c r="C991" s="1025"/>
      <c r="D991" s="408">
        <v>988</v>
      </c>
      <c r="E991" s="1164"/>
      <c r="F991" s="1164"/>
      <c r="G991" s="1026"/>
      <c r="H991" s="411" t="str">
        <f>IFERROR(INDEX(绊状态确认!C:C,MATCH($G991,绊状态确认!$B:$B,)),"")</f>
        <v/>
      </c>
      <c r="I991" s="450" t="str">
        <f>IFERROR(INDEX(绊状态确认!D:D,MATCH($G991,绊状态确认!$B:$B,)),"")</f>
        <v/>
      </c>
      <c r="J991" s="450" t="str">
        <f>IFERROR(INDEX(绊状态确认!E:E,MATCH($G991,绊状态确认!$B:$B,)),"")</f>
        <v/>
      </c>
      <c r="K991" s="451" t="str">
        <f>IFERROR(INDEX(绊状态确认!F:F,MATCH($G991,绊状态确认!$B:$B,)),"")</f>
        <v/>
      </c>
      <c r="L991" s="1026"/>
      <c r="M991" s="1165"/>
      <c r="N991" s="1027"/>
      <c r="O991" s="1026"/>
      <c r="P991" s="1028"/>
      <c r="Q991" s="1029"/>
      <c r="R991" s="1166"/>
      <c r="S991" s="1030"/>
      <c r="T991" s="1031"/>
      <c r="U991" s="1032"/>
      <c r="V991" s="1033"/>
      <c r="W991" s="1034"/>
      <c r="X991" s="1166"/>
      <c r="Y991" s="1035"/>
      <c r="Z991" s="1036"/>
      <c r="AA991" s="1037"/>
      <c r="AB991" s="1038"/>
      <c r="AC991" s="1039"/>
      <c r="AD991" s="1040"/>
      <c r="AE991" s="1041"/>
      <c r="AF991" s="521"/>
      <c r="AG991" s="420"/>
      <c r="AH991" s="420"/>
      <c r="AI991" s="420"/>
      <c r="AJ991" s="420"/>
      <c r="AK991" s="518"/>
      <c r="AL991" s="1042"/>
      <c r="AM991" s="1035"/>
      <c r="AN991" s="1043"/>
      <c r="AO991" s="1167"/>
      <c r="AP991" s="1044"/>
      <c r="AQ991" s="1035"/>
      <c r="AR991" s="1035"/>
      <c r="AS991" s="1035"/>
      <c r="AT991" s="1165"/>
      <c r="AU991" s="1031"/>
      <c r="AV991" s="1045"/>
      <c r="AW991" s="1038"/>
      <c r="AX991" s="1035"/>
      <c r="AY991" s="483"/>
      <c r="AZ991" s="429"/>
      <c r="BA991" s="431"/>
      <c r="BB991" s="1035"/>
      <c r="BC991" s="1035"/>
      <c r="BD991" s="481"/>
      <c r="BE991" s="432"/>
      <c r="BF991" s="646"/>
      <c r="BG991" s="1047"/>
      <c r="BH991" s="1046"/>
      <c r="BI991" s="1048"/>
      <c r="BJ991" s="1030"/>
      <c r="BK991" s="1046"/>
      <c r="BL991" s="1048"/>
      <c r="BM991" s="1046"/>
      <c r="BN991" s="1167"/>
      <c r="BO991" s="1035"/>
      <c r="BP991" s="1043"/>
      <c r="BQ991" s="1167"/>
      <c r="BR991" s="1165"/>
      <c r="BS991" s="1031"/>
      <c r="BT991" s="1038"/>
      <c r="BU991" s="1035"/>
      <c r="BV991" s="1035"/>
      <c r="BW991" s="1049"/>
      <c r="BX991" s="1043"/>
      <c r="BY991" s="1046"/>
      <c r="BZ991" s="1167"/>
      <c r="CA991" s="1165"/>
      <c r="CB991" s="1031"/>
      <c r="CC991" s="1038"/>
      <c r="CD991" s="1035"/>
      <c r="CE991" s="1035"/>
      <c r="CF991" s="1049"/>
      <c r="CG991" s="1043"/>
      <c r="CH991" s="1046"/>
      <c r="CI991" s="1167"/>
      <c r="CJ991" s="1168"/>
      <c r="CK991" s="1169"/>
      <c r="CL991" s="1169"/>
      <c r="CM991" s="1166"/>
      <c r="CN991" s="1169"/>
      <c r="CO991" s="1169"/>
      <c r="CP991" s="452"/>
      <c r="CQ991" s="435"/>
      <c r="CR991" s="441"/>
      <c r="CS991" s="452"/>
      <c r="CT991" s="482"/>
      <c r="CU991" s="476"/>
      <c r="CV991" s="431"/>
      <c r="CW991" s="1108"/>
      <c r="CX991" s="1108"/>
      <c r="CY991" s="483"/>
      <c r="CZ991" s="437"/>
      <c r="DA991" s="438"/>
      <c r="DB991" s="439"/>
      <c r="DC991" s="439"/>
      <c r="DD991" s="443"/>
      <c r="DE991" s="411"/>
      <c r="DF991" s="411"/>
      <c r="DG991" s="1117"/>
      <c r="DH991" s="1117"/>
      <c r="DI991" s="1117"/>
      <c r="DJ991" s="442"/>
      <c r="DK991" s="482"/>
      <c r="DL991" s="1038"/>
      <c r="DM991" s="1035"/>
      <c r="DN991" s="1035"/>
      <c r="DO991" s="1035"/>
      <c r="DP991" s="1046"/>
      <c r="DQ991" s="1167"/>
      <c r="DR991" s="1168"/>
      <c r="DS991" s="1165"/>
      <c r="DT991" s="1165"/>
      <c r="DU991" s="1165"/>
      <c r="DV991" s="1031"/>
      <c r="DW991" s="1098">
        <f t="shared" si="1184"/>
        <v>0</v>
      </c>
      <c r="DX991" s="1098">
        <f t="shared" si="1185"/>
        <v>0</v>
      </c>
      <c r="DY991" s="1030"/>
      <c r="DZ991" s="1030"/>
      <c r="EA991" s="1031"/>
      <c r="EB991" s="1050"/>
      <c r="EC991" s="1038"/>
      <c r="ED991" s="1035"/>
      <c r="EE991" s="1046"/>
      <c r="EF991" s="1169"/>
      <c r="EG991" s="1168"/>
      <c r="EH991" s="1165"/>
      <c r="EI991" s="1165"/>
      <c r="EJ991" s="1165"/>
      <c r="EK991" s="1031"/>
      <c r="EL991" s="1098">
        <f t="shared" si="1186"/>
        <v>0</v>
      </c>
      <c r="EM991" s="1098">
        <f t="shared" si="1187"/>
        <v>0</v>
      </c>
      <c r="EN991" s="1030"/>
      <c r="EO991" s="1030"/>
      <c r="EP991" s="1031"/>
      <c r="EQ991" s="1050"/>
      <c r="ER991" s="1038"/>
      <c r="ES991" s="1035"/>
      <c r="ET991" s="1051"/>
    </row>
    <row r="992" spans="2:150" ht="16.5" customHeight="1">
      <c r="B992" s="1024"/>
      <c r="C992" s="1025"/>
      <c r="D992" s="408">
        <v>989</v>
      </c>
      <c r="E992" s="1164"/>
      <c r="F992" s="1164"/>
      <c r="G992" s="1026"/>
      <c r="H992" s="411" t="str">
        <f>IFERROR(INDEX(绊状态确认!C:C,MATCH($G992,绊状态确认!$B:$B,)),"")</f>
        <v/>
      </c>
      <c r="I992" s="450" t="str">
        <f>IFERROR(INDEX(绊状态确认!D:D,MATCH($G992,绊状态确认!$B:$B,)),"")</f>
        <v/>
      </c>
      <c r="J992" s="450" t="str">
        <f>IFERROR(INDEX(绊状态确认!E:E,MATCH($G992,绊状态确认!$B:$B,)),"")</f>
        <v/>
      </c>
      <c r="K992" s="451" t="str">
        <f>IFERROR(INDEX(绊状态确认!F:F,MATCH($G992,绊状态确认!$B:$B,)),"")</f>
        <v/>
      </c>
      <c r="L992" s="1026"/>
      <c r="M992" s="1165"/>
      <c r="N992" s="1027"/>
      <c r="O992" s="1026"/>
      <c r="P992" s="1028"/>
      <c r="Q992" s="1029"/>
      <c r="R992" s="1166"/>
      <c r="S992" s="1030"/>
      <c r="T992" s="1031"/>
      <c r="U992" s="1032"/>
      <c r="V992" s="1033"/>
      <c r="W992" s="1034"/>
      <c r="X992" s="1166"/>
      <c r="Y992" s="1035"/>
      <c r="Z992" s="1036"/>
      <c r="AA992" s="1037"/>
      <c r="AB992" s="1038"/>
      <c r="AC992" s="1039"/>
      <c r="AD992" s="1040"/>
      <c r="AE992" s="1041"/>
      <c r="AF992" s="521"/>
      <c r="AG992" s="420"/>
      <c r="AH992" s="420"/>
      <c r="AI992" s="420"/>
      <c r="AJ992" s="420"/>
      <c r="AK992" s="518"/>
      <c r="AL992" s="1042"/>
      <c r="AM992" s="1035"/>
      <c r="AN992" s="1043"/>
      <c r="AO992" s="1167"/>
      <c r="AP992" s="1044"/>
      <c r="AQ992" s="1035"/>
      <c r="AR992" s="1035"/>
      <c r="AS992" s="1035"/>
      <c r="AT992" s="1165"/>
      <c r="AU992" s="1031"/>
      <c r="AV992" s="1045"/>
      <c r="AW992" s="1038"/>
      <c r="AX992" s="1035"/>
      <c r="AY992" s="483"/>
      <c r="AZ992" s="429"/>
      <c r="BA992" s="431"/>
      <c r="BB992" s="1035"/>
      <c r="BC992" s="1035"/>
      <c r="BD992" s="481"/>
      <c r="BE992" s="432"/>
      <c r="BF992" s="646"/>
      <c r="BG992" s="1047"/>
      <c r="BH992" s="1046"/>
      <c r="BI992" s="1048"/>
      <c r="BJ992" s="1030"/>
      <c r="BK992" s="1046"/>
      <c r="BL992" s="1048"/>
      <c r="BM992" s="1046"/>
      <c r="BN992" s="1167"/>
      <c r="BO992" s="1035"/>
      <c r="BP992" s="1043"/>
      <c r="BQ992" s="1167"/>
      <c r="BR992" s="1165"/>
      <c r="BS992" s="1031"/>
      <c r="BT992" s="1038"/>
      <c r="BU992" s="1035"/>
      <c r="BV992" s="1035"/>
      <c r="BW992" s="1049"/>
      <c r="BX992" s="1043"/>
      <c r="BY992" s="1046"/>
      <c r="BZ992" s="1167"/>
      <c r="CA992" s="1165"/>
      <c r="CB992" s="1031"/>
      <c r="CC992" s="1038"/>
      <c r="CD992" s="1035"/>
      <c r="CE992" s="1035"/>
      <c r="CF992" s="1049"/>
      <c r="CG992" s="1043"/>
      <c r="CH992" s="1046"/>
      <c r="CI992" s="1167"/>
      <c r="CJ992" s="1168"/>
      <c r="CK992" s="1169"/>
      <c r="CL992" s="1169"/>
      <c r="CM992" s="1166"/>
      <c r="CN992" s="1169"/>
      <c r="CO992" s="1169"/>
      <c r="CP992" s="452"/>
      <c r="CQ992" s="435"/>
      <c r="CR992" s="441"/>
      <c r="CS992" s="452"/>
      <c r="CT992" s="482"/>
      <c r="CU992" s="476"/>
      <c r="CV992" s="431"/>
      <c r="CW992" s="1108"/>
      <c r="CX992" s="1108"/>
      <c r="CY992" s="483"/>
      <c r="CZ992" s="437"/>
      <c r="DA992" s="438"/>
      <c r="DB992" s="439"/>
      <c r="DC992" s="439"/>
      <c r="DD992" s="443"/>
      <c r="DE992" s="411"/>
      <c r="DF992" s="411"/>
      <c r="DG992" s="1117"/>
      <c r="DH992" s="1117"/>
      <c r="DI992" s="1117"/>
      <c r="DJ992" s="442"/>
      <c r="DK992" s="482"/>
      <c r="DL992" s="1038"/>
      <c r="DM992" s="1035"/>
      <c r="DN992" s="1035"/>
      <c r="DO992" s="1035"/>
      <c r="DP992" s="1046"/>
      <c r="DQ992" s="1167"/>
      <c r="DR992" s="1168"/>
      <c r="DS992" s="1165"/>
      <c r="DT992" s="1165"/>
      <c r="DU992" s="1165"/>
      <c r="DV992" s="1031"/>
      <c r="DW992" s="1098">
        <f t="shared" si="1184"/>
        <v>0</v>
      </c>
      <c r="DX992" s="1098">
        <f t="shared" si="1185"/>
        <v>0</v>
      </c>
      <c r="DY992" s="1030"/>
      <c r="DZ992" s="1030"/>
      <c r="EA992" s="1031"/>
      <c r="EB992" s="1050"/>
      <c r="EC992" s="1038"/>
      <c r="ED992" s="1035"/>
      <c r="EE992" s="1046"/>
      <c r="EF992" s="1169"/>
      <c r="EG992" s="1168"/>
      <c r="EH992" s="1165"/>
      <c r="EI992" s="1165"/>
      <c r="EJ992" s="1165"/>
      <c r="EK992" s="1031"/>
      <c r="EL992" s="1098">
        <f t="shared" si="1186"/>
        <v>0</v>
      </c>
      <c r="EM992" s="1098">
        <f t="shared" si="1187"/>
        <v>0</v>
      </c>
      <c r="EN992" s="1030"/>
      <c r="EO992" s="1030"/>
      <c r="EP992" s="1031"/>
      <c r="EQ992" s="1050"/>
      <c r="ER992" s="1038"/>
      <c r="ES992" s="1035"/>
      <c r="ET992" s="1051"/>
    </row>
    <row r="993" spans="2:150" ht="16.5" customHeight="1">
      <c r="B993" s="1024"/>
      <c r="C993" s="1025"/>
      <c r="D993" s="408">
        <v>990</v>
      </c>
      <c r="E993" s="1164"/>
      <c r="F993" s="1164"/>
      <c r="G993" s="1026"/>
      <c r="H993" s="411" t="str">
        <f>IFERROR(INDEX(绊状态确认!C:C,MATCH($G993,绊状态确认!$B:$B,)),"")</f>
        <v/>
      </c>
      <c r="I993" s="450" t="str">
        <f>IFERROR(INDEX(绊状态确认!D:D,MATCH($G993,绊状态确认!$B:$B,)),"")</f>
        <v/>
      </c>
      <c r="J993" s="450" t="str">
        <f>IFERROR(INDEX(绊状态确认!E:E,MATCH($G993,绊状态确认!$B:$B,)),"")</f>
        <v/>
      </c>
      <c r="K993" s="451" t="str">
        <f>IFERROR(INDEX(绊状态确认!F:F,MATCH($G993,绊状态确认!$B:$B,)),"")</f>
        <v/>
      </c>
      <c r="L993" s="1026"/>
      <c r="M993" s="1165"/>
      <c r="N993" s="1027"/>
      <c r="O993" s="1026"/>
      <c r="P993" s="1028"/>
      <c r="Q993" s="1029"/>
      <c r="R993" s="1166"/>
      <c r="S993" s="1030"/>
      <c r="T993" s="1031"/>
      <c r="U993" s="1032"/>
      <c r="V993" s="1033"/>
      <c r="W993" s="1034"/>
      <c r="X993" s="1166"/>
      <c r="Y993" s="1035"/>
      <c r="Z993" s="1036"/>
      <c r="AA993" s="1037"/>
      <c r="AB993" s="1038"/>
      <c r="AC993" s="1039"/>
      <c r="AD993" s="1040"/>
      <c r="AE993" s="1041"/>
      <c r="AF993" s="521"/>
      <c r="AG993" s="420"/>
      <c r="AH993" s="420"/>
      <c r="AI993" s="420"/>
      <c r="AJ993" s="420"/>
      <c r="AK993" s="518"/>
      <c r="AL993" s="1042"/>
      <c r="AM993" s="1035"/>
      <c r="AN993" s="1043"/>
      <c r="AO993" s="1167"/>
      <c r="AP993" s="1044"/>
      <c r="AQ993" s="1035"/>
      <c r="AR993" s="1035"/>
      <c r="AS993" s="1035"/>
      <c r="AT993" s="1165"/>
      <c r="AU993" s="1031"/>
      <c r="AV993" s="1045"/>
      <c r="AW993" s="1038"/>
      <c r="AX993" s="1035"/>
      <c r="AY993" s="483"/>
      <c r="AZ993" s="429"/>
      <c r="BA993" s="431"/>
      <c r="BB993" s="1035"/>
      <c r="BC993" s="1035"/>
      <c r="BD993" s="481"/>
      <c r="BE993" s="432"/>
      <c r="BF993" s="646"/>
      <c r="BG993" s="1047"/>
      <c r="BH993" s="1046"/>
      <c r="BI993" s="1048"/>
      <c r="BJ993" s="1030"/>
      <c r="BK993" s="1046"/>
      <c r="BL993" s="1048"/>
      <c r="BM993" s="1046"/>
      <c r="BN993" s="1167"/>
      <c r="BO993" s="1035"/>
      <c r="BP993" s="1043"/>
      <c r="BQ993" s="1167"/>
      <c r="BR993" s="1165"/>
      <c r="BS993" s="1031"/>
      <c r="BT993" s="1038"/>
      <c r="BU993" s="1035"/>
      <c r="BV993" s="1035"/>
      <c r="BW993" s="1049"/>
      <c r="BX993" s="1043"/>
      <c r="BY993" s="1046"/>
      <c r="BZ993" s="1167"/>
      <c r="CA993" s="1165"/>
      <c r="CB993" s="1031"/>
      <c r="CC993" s="1038"/>
      <c r="CD993" s="1035"/>
      <c r="CE993" s="1035"/>
      <c r="CF993" s="1049"/>
      <c r="CG993" s="1043"/>
      <c r="CH993" s="1046"/>
      <c r="CI993" s="1167"/>
      <c r="CJ993" s="1168"/>
      <c r="CK993" s="1169"/>
      <c r="CL993" s="1169"/>
      <c r="CM993" s="1166"/>
      <c r="CN993" s="1169"/>
      <c r="CO993" s="1169"/>
      <c r="CP993" s="452"/>
      <c r="CQ993" s="435"/>
      <c r="CR993" s="1117"/>
      <c r="CS993" s="452"/>
      <c r="CT993" s="482"/>
      <c r="CU993" s="476"/>
      <c r="CV993" s="431"/>
      <c r="CW993" s="1108"/>
      <c r="CX993" s="1108"/>
      <c r="CY993" s="483"/>
      <c r="CZ993" s="437"/>
      <c r="DA993" s="438"/>
      <c r="DB993" s="439"/>
      <c r="DC993" s="439"/>
      <c r="DD993" s="443"/>
      <c r="DE993" s="411"/>
      <c r="DF993" s="411"/>
      <c r="DG993" s="1117"/>
      <c r="DH993" s="1117"/>
      <c r="DI993" s="1117"/>
      <c r="DJ993" s="442"/>
      <c r="DK993" s="482"/>
      <c r="DL993" s="1038"/>
      <c r="DM993" s="1035"/>
      <c r="DN993" s="1035"/>
      <c r="DO993" s="1035"/>
      <c r="DP993" s="1046"/>
      <c r="DQ993" s="1167"/>
      <c r="DR993" s="1168"/>
      <c r="DS993" s="1165"/>
      <c r="DT993" s="1165"/>
      <c r="DU993" s="1165"/>
      <c r="DV993" s="1031"/>
      <c r="DW993" s="1098">
        <f t="shared" si="1184"/>
        <v>0</v>
      </c>
      <c r="DX993" s="1098">
        <f t="shared" si="1185"/>
        <v>0</v>
      </c>
      <c r="DY993" s="1030"/>
      <c r="DZ993" s="1030"/>
      <c r="EA993" s="1031"/>
      <c r="EB993" s="1050"/>
      <c r="EC993" s="1038"/>
      <c r="ED993" s="1035"/>
      <c r="EE993" s="1046"/>
      <c r="EF993" s="1169"/>
      <c r="EG993" s="1168"/>
      <c r="EH993" s="1165"/>
      <c r="EI993" s="1165"/>
      <c r="EJ993" s="1165"/>
      <c r="EK993" s="1031"/>
      <c r="EL993" s="1098">
        <f t="shared" si="1186"/>
        <v>0</v>
      </c>
      <c r="EM993" s="1098">
        <f t="shared" si="1187"/>
        <v>0</v>
      </c>
      <c r="EN993" s="1030"/>
      <c r="EO993" s="1030"/>
      <c r="EP993" s="1031"/>
      <c r="EQ993" s="1050"/>
      <c r="ER993" s="1038"/>
      <c r="ES993" s="1035"/>
      <c r="ET993" s="1051"/>
    </row>
    <row r="994" spans="2:150" ht="16.5" customHeight="1">
      <c r="B994" s="1024"/>
      <c r="C994" s="1025"/>
      <c r="D994" s="408">
        <v>991</v>
      </c>
      <c r="E994" s="1164"/>
      <c r="F994" s="1164"/>
      <c r="G994" s="1026"/>
      <c r="H994" s="411" t="str">
        <f>IFERROR(INDEX(绊状态确认!C:C,MATCH($G994,绊状态确认!$B:$B,)),"")</f>
        <v/>
      </c>
      <c r="I994" s="450" t="str">
        <f>IFERROR(INDEX(绊状态确认!D:D,MATCH($G994,绊状态确认!$B:$B,)),"")</f>
        <v/>
      </c>
      <c r="J994" s="450" t="str">
        <f>IFERROR(INDEX(绊状态确认!E:E,MATCH($G994,绊状态确认!$B:$B,)),"")</f>
        <v/>
      </c>
      <c r="K994" s="451" t="str">
        <f>IFERROR(INDEX(绊状态确认!F:F,MATCH($G994,绊状态确认!$B:$B,)),"")</f>
        <v/>
      </c>
      <c r="L994" s="1026"/>
      <c r="M994" s="1165"/>
      <c r="N994" s="1027"/>
      <c r="O994" s="1026"/>
      <c r="P994" s="1028"/>
      <c r="Q994" s="1029"/>
      <c r="R994" s="1166"/>
      <c r="S994" s="1030"/>
      <c r="T994" s="1031"/>
      <c r="U994" s="1032"/>
      <c r="V994" s="1033"/>
      <c r="W994" s="1034"/>
      <c r="X994" s="1166"/>
      <c r="Y994" s="1035"/>
      <c r="Z994" s="1036"/>
      <c r="AA994" s="1037"/>
      <c r="AB994" s="1038"/>
      <c r="AC994" s="1039"/>
      <c r="AD994" s="1040"/>
      <c r="AE994" s="1041"/>
      <c r="AF994" s="521"/>
      <c r="AG994" s="420"/>
      <c r="AH994" s="420"/>
      <c r="AI994" s="420"/>
      <c r="AJ994" s="420"/>
      <c r="AK994" s="518"/>
      <c r="AL994" s="1042"/>
      <c r="AM994" s="1035"/>
      <c r="AN994" s="1043"/>
      <c r="AO994" s="1167"/>
      <c r="AP994" s="1044"/>
      <c r="AQ994" s="1035"/>
      <c r="AR994" s="1035"/>
      <c r="AS994" s="1035"/>
      <c r="AT994" s="1165"/>
      <c r="AU994" s="1031"/>
      <c r="AV994" s="1045"/>
      <c r="AW994" s="1038"/>
      <c r="AX994" s="1035"/>
      <c r="AY994" s="483"/>
      <c r="AZ994" s="429"/>
      <c r="BA994" s="431"/>
      <c r="BB994" s="1035"/>
      <c r="BC994" s="1035"/>
      <c r="BD994" s="481"/>
      <c r="BE994" s="432"/>
      <c r="BF994" s="646"/>
      <c r="BG994" s="1047"/>
      <c r="BH994" s="1046"/>
      <c r="BI994" s="1048"/>
      <c r="BJ994" s="1030"/>
      <c r="BK994" s="1046"/>
      <c r="BL994" s="1048"/>
      <c r="BM994" s="1046"/>
      <c r="BN994" s="1167"/>
      <c r="BO994" s="1035"/>
      <c r="BP994" s="1043"/>
      <c r="BQ994" s="1167"/>
      <c r="BR994" s="1165"/>
      <c r="BS994" s="1031"/>
      <c r="BT994" s="1038"/>
      <c r="BU994" s="1035"/>
      <c r="BV994" s="1035"/>
      <c r="BW994" s="1049"/>
      <c r="BX994" s="1043"/>
      <c r="BY994" s="1046"/>
      <c r="BZ994" s="1167"/>
      <c r="CA994" s="1165"/>
      <c r="CB994" s="1031"/>
      <c r="CC994" s="1038"/>
      <c r="CD994" s="1035"/>
      <c r="CE994" s="1035"/>
      <c r="CF994" s="1049"/>
      <c r="CG994" s="1043"/>
      <c r="CH994" s="1046"/>
      <c r="CI994" s="1167"/>
      <c r="CJ994" s="1168"/>
      <c r="CK994" s="1169"/>
      <c r="CL994" s="1169"/>
      <c r="CM994" s="1166"/>
      <c r="CN994" s="1169"/>
      <c r="CO994" s="1169"/>
      <c r="CP994" s="452"/>
      <c r="CQ994" s="435"/>
      <c r="CR994" s="441"/>
      <c r="CS994" s="452"/>
      <c r="CT994" s="482"/>
      <c r="CU994" s="476"/>
      <c r="CV994" s="431"/>
      <c r="CW994" s="1108"/>
      <c r="CX994" s="1108"/>
      <c r="CY994" s="483"/>
      <c r="CZ994" s="437"/>
      <c r="DA994" s="438"/>
      <c r="DB994" s="439"/>
      <c r="DC994" s="439"/>
      <c r="DD994" s="443"/>
      <c r="DE994" s="411"/>
      <c r="DF994" s="411"/>
      <c r="DG994" s="1117"/>
      <c r="DH994" s="1117"/>
      <c r="DI994" s="1117"/>
      <c r="DJ994" s="442"/>
      <c r="DK994" s="482"/>
      <c r="DL994" s="1038"/>
      <c r="DM994" s="1035"/>
      <c r="DN994" s="1035"/>
      <c r="DO994" s="1035"/>
      <c r="DP994" s="1046"/>
      <c r="DQ994" s="1167"/>
      <c r="DR994" s="1168"/>
      <c r="DS994" s="1165"/>
      <c r="DT994" s="1165"/>
      <c r="DU994" s="1165"/>
      <c r="DV994" s="1031"/>
      <c r="DW994" s="1098">
        <f t="shared" si="1184"/>
        <v>0</v>
      </c>
      <c r="DX994" s="1098">
        <f t="shared" si="1185"/>
        <v>0</v>
      </c>
      <c r="DY994" s="1030"/>
      <c r="DZ994" s="1030"/>
      <c r="EA994" s="1031"/>
      <c r="EB994" s="1050"/>
      <c r="EC994" s="1038"/>
      <c r="ED994" s="1035"/>
      <c r="EE994" s="1046"/>
      <c r="EF994" s="1169"/>
      <c r="EG994" s="1168"/>
      <c r="EH994" s="1165"/>
      <c r="EI994" s="1165"/>
      <c r="EJ994" s="1165"/>
      <c r="EK994" s="1031"/>
      <c r="EL994" s="1098">
        <f t="shared" si="1186"/>
        <v>0</v>
      </c>
      <c r="EM994" s="1098">
        <f t="shared" si="1187"/>
        <v>0</v>
      </c>
      <c r="EN994" s="1030"/>
      <c r="EO994" s="1030"/>
      <c r="EP994" s="1031"/>
      <c r="EQ994" s="1050"/>
      <c r="ER994" s="1038"/>
      <c r="ES994" s="1035"/>
      <c r="ET994" s="1051"/>
    </row>
    <row r="995" spans="2:150" ht="16.5" customHeight="1">
      <c r="B995" s="1024"/>
      <c r="C995" s="1025"/>
      <c r="D995" s="408">
        <v>992</v>
      </c>
      <c r="E995" s="1164"/>
      <c r="F995" s="1164"/>
      <c r="G995" s="1026"/>
      <c r="H995" s="411" t="str">
        <f>IFERROR(INDEX(绊状态确认!C:C,MATCH($G995,绊状态确认!$B:$B,)),"")</f>
        <v/>
      </c>
      <c r="I995" s="450" t="str">
        <f>IFERROR(INDEX(绊状态确认!D:D,MATCH($G995,绊状态确认!$B:$B,)),"")</f>
        <v/>
      </c>
      <c r="J995" s="450" t="str">
        <f>IFERROR(INDEX(绊状态确认!E:E,MATCH($G995,绊状态确认!$B:$B,)),"")</f>
        <v/>
      </c>
      <c r="K995" s="451" t="str">
        <f>IFERROR(INDEX(绊状态确认!F:F,MATCH($G995,绊状态确认!$B:$B,)),"")</f>
        <v/>
      </c>
      <c r="L995" s="1026"/>
      <c r="M995" s="1165"/>
      <c r="N995" s="1027"/>
      <c r="O995" s="1026"/>
      <c r="P995" s="1028"/>
      <c r="Q995" s="1029"/>
      <c r="R995" s="1166"/>
      <c r="S995" s="1030"/>
      <c r="T995" s="1031"/>
      <c r="U995" s="1032"/>
      <c r="V995" s="1033"/>
      <c r="W995" s="1034"/>
      <c r="X995" s="1166"/>
      <c r="Y995" s="1035"/>
      <c r="Z995" s="1036"/>
      <c r="AA995" s="1037"/>
      <c r="AB995" s="1038"/>
      <c r="AC995" s="1039"/>
      <c r="AD995" s="1040"/>
      <c r="AE995" s="1041"/>
      <c r="AF995" s="521"/>
      <c r="AG995" s="420"/>
      <c r="AH995" s="420"/>
      <c r="AI995" s="420"/>
      <c r="AJ995" s="420"/>
      <c r="AK995" s="518"/>
      <c r="AL995" s="1042"/>
      <c r="AM995" s="1035"/>
      <c r="AN995" s="1043"/>
      <c r="AO995" s="1167"/>
      <c r="AP995" s="1044"/>
      <c r="AQ995" s="1035"/>
      <c r="AR995" s="1035"/>
      <c r="AS995" s="1035"/>
      <c r="AT995" s="1165"/>
      <c r="AU995" s="1031"/>
      <c r="AV995" s="1045"/>
      <c r="AW995" s="1038"/>
      <c r="AX995" s="1035"/>
      <c r="AY995" s="483"/>
      <c r="AZ995" s="429"/>
      <c r="BA995" s="431"/>
      <c r="BB995" s="1035"/>
      <c r="BC995" s="1035"/>
      <c r="BD995" s="481"/>
      <c r="BE995" s="432"/>
      <c r="BF995" s="646"/>
      <c r="BG995" s="1047"/>
      <c r="BH995" s="1046"/>
      <c r="BI995" s="1048"/>
      <c r="BJ995" s="1030"/>
      <c r="BK995" s="1046"/>
      <c r="BL995" s="1048"/>
      <c r="BM995" s="1046"/>
      <c r="BN995" s="1167"/>
      <c r="BO995" s="1035"/>
      <c r="BP995" s="1043"/>
      <c r="BQ995" s="1167"/>
      <c r="BR995" s="1165"/>
      <c r="BS995" s="1031"/>
      <c r="BT995" s="1038"/>
      <c r="BU995" s="1035"/>
      <c r="BV995" s="1035"/>
      <c r="BW995" s="1049"/>
      <c r="BX995" s="1043"/>
      <c r="BY995" s="1046"/>
      <c r="BZ995" s="1167"/>
      <c r="CA995" s="1165"/>
      <c r="CB995" s="1031"/>
      <c r="CC995" s="1038"/>
      <c r="CD995" s="1035"/>
      <c r="CE995" s="1035"/>
      <c r="CF995" s="1049"/>
      <c r="CG995" s="1043"/>
      <c r="CH995" s="1046"/>
      <c r="CI995" s="1167"/>
      <c r="CJ995" s="1168"/>
      <c r="CK995" s="1169"/>
      <c r="CL995" s="1169"/>
      <c r="CM995" s="1166"/>
      <c r="CN995" s="1169"/>
      <c r="CO995" s="1169"/>
      <c r="CP995" s="452"/>
      <c r="CQ995" s="435"/>
      <c r="CR995" s="441"/>
      <c r="CS995" s="452"/>
      <c r="CT995" s="482"/>
      <c r="CU995" s="476"/>
      <c r="CV995" s="431"/>
      <c r="CW995" s="1108"/>
      <c r="CX995" s="1108"/>
      <c r="CY995" s="483"/>
      <c r="CZ995" s="437"/>
      <c r="DA995" s="438"/>
      <c r="DB995" s="439"/>
      <c r="DC995" s="439"/>
      <c r="DD995" s="443"/>
      <c r="DE995" s="411"/>
      <c r="DF995" s="411"/>
      <c r="DG995" s="1117"/>
      <c r="DH995" s="1117"/>
      <c r="DI995" s="1117"/>
      <c r="DJ995" s="442"/>
      <c r="DK995" s="482"/>
      <c r="DL995" s="1038"/>
      <c r="DM995" s="1035"/>
      <c r="DN995" s="1035"/>
      <c r="DO995" s="1035"/>
      <c r="DP995" s="1046"/>
      <c r="DQ995" s="1167"/>
      <c r="DR995" s="1168"/>
      <c r="DS995" s="1165"/>
      <c r="DT995" s="1165"/>
      <c r="DU995" s="1165"/>
      <c r="DV995" s="1031"/>
      <c r="DW995" s="1098">
        <f t="shared" si="1184"/>
        <v>0</v>
      </c>
      <c r="DX995" s="1098">
        <f t="shared" si="1185"/>
        <v>0</v>
      </c>
      <c r="DY995" s="1030"/>
      <c r="DZ995" s="1030"/>
      <c r="EA995" s="1031"/>
      <c r="EB995" s="1050"/>
      <c r="EC995" s="1038"/>
      <c r="ED995" s="1035"/>
      <c r="EE995" s="1046"/>
      <c r="EF995" s="1169"/>
      <c r="EG995" s="1168"/>
      <c r="EH995" s="1165"/>
      <c r="EI995" s="1165"/>
      <c r="EJ995" s="1165"/>
      <c r="EK995" s="1031"/>
      <c r="EL995" s="1098">
        <f t="shared" si="1186"/>
        <v>0</v>
      </c>
      <c r="EM995" s="1098">
        <f t="shared" si="1187"/>
        <v>0</v>
      </c>
      <c r="EN995" s="1030"/>
      <c r="EO995" s="1030"/>
      <c r="EP995" s="1031"/>
      <c r="EQ995" s="1050"/>
      <c r="ER995" s="1038"/>
      <c r="ES995" s="1035"/>
      <c r="ET995" s="1051"/>
    </row>
    <row r="996" spans="2:150" ht="16.5" customHeight="1">
      <c r="B996" s="1024"/>
      <c r="C996" s="1025"/>
      <c r="D996" s="408">
        <v>993</v>
      </c>
      <c r="E996" s="1164"/>
      <c r="F996" s="1164"/>
      <c r="G996" s="1026"/>
      <c r="H996" s="411" t="str">
        <f>IFERROR(INDEX(绊状态确认!C:C,MATCH($G996,绊状态确认!$B:$B,)),"")</f>
        <v/>
      </c>
      <c r="I996" s="450" t="str">
        <f>IFERROR(INDEX(绊状态确认!D:D,MATCH($G996,绊状态确认!$B:$B,)),"")</f>
        <v/>
      </c>
      <c r="J996" s="450" t="str">
        <f>IFERROR(INDEX(绊状态确认!E:E,MATCH($G996,绊状态确认!$B:$B,)),"")</f>
        <v/>
      </c>
      <c r="K996" s="451" t="str">
        <f>IFERROR(INDEX(绊状态确认!F:F,MATCH($G996,绊状态确认!$B:$B,)),"")</f>
        <v/>
      </c>
      <c r="L996" s="1026"/>
      <c r="M996" s="1165"/>
      <c r="N996" s="1027"/>
      <c r="O996" s="1026"/>
      <c r="P996" s="1028"/>
      <c r="Q996" s="1029"/>
      <c r="R996" s="1166"/>
      <c r="S996" s="1030"/>
      <c r="T996" s="1031"/>
      <c r="U996" s="1032"/>
      <c r="V996" s="1033"/>
      <c r="W996" s="1034"/>
      <c r="X996" s="1166"/>
      <c r="Y996" s="1035"/>
      <c r="Z996" s="1036"/>
      <c r="AA996" s="1037"/>
      <c r="AB996" s="1038"/>
      <c r="AC996" s="1039"/>
      <c r="AD996" s="1040"/>
      <c r="AE996" s="1041"/>
      <c r="AF996" s="521"/>
      <c r="AG996" s="420"/>
      <c r="AH996" s="420"/>
      <c r="AI996" s="420"/>
      <c r="AJ996" s="420"/>
      <c r="AK996" s="518"/>
      <c r="AL996" s="1042"/>
      <c r="AM996" s="1035"/>
      <c r="AN996" s="1043"/>
      <c r="AO996" s="1167"/>
      <c r="AP996" s="1044"/>
      <c r="AQ996" s="1035"/>
      <c r="AR996" s="1035"/>
      <c r="AS996" s="1035"/>
      <c r="AT996" s="1165"/>
      <c r="AU996" s="1031"/>
      <c r="AV996" s="1045"/>
      <c r="AW996" s="1038"/>
      <c r="AX996" s="1035"/>
      <c r="AY996" s="483"/>
      <c r="AZ996" s="429"/>
      <c r="BA996" s="431"/>
      <c r="BB996" s="1035"/>
      <c r="BC996" s="1035"/>
      <c r="BD996" s="481"/>
      <c r="BE996" s="432"/>
      <c r="BF996" s="646"/>
      <c r="BG996" s="1047"/>
      <c r="BH996" s="1046"/>
      <c r="BI996" s="1048"/>
      <c r="BJ996" s="1030"/>
      <c r="BK996" s="1046"/>
      <c r="BL996" s="1048"/>
      <c r="BM996" s="1046"/>
      <c r="BN996" s="1167"/>
      <c r="BO996" s="1035"/>
      <c r="BP996" s="1043"/>
      <c r="BQ996" s="1167"/>
      <c r="BR996" s="1165"/>
      <c r="BS996" s="1031"/>
      <c r="BT996" s="1038"/>
      <c r="BU996" s="1035"/>
      <c r="BV996" s="1035"/>
      <c r="BW996" s="1049"/>
      <c r="BX996" s="1043"/>
      <c r="BY996" s="1046"/>
      <c r="BZ996" s="1167"/>
      <c r="CA996" s="1165"/>
      <c r="CB996" s="1031"/>
      <c r="CC996" s="1038"/>
      <c r="CD996" s="1035"/>
      <c r="CE996" s="1035"/>
      <c r="CF996" s="1049"/>
      <c r="CG996" s="1043"/>
      <c r="CH996" s="1046"/>
      <c r="CI996" s="1167"/>
      <c r="CJ996" s="1168"/>
      <c r="CK996" s="1169"/>
      <c r="CL996" s="1169"/>
      <c r="CM996" s="1166"/>
      <c r="CN996" s="1169"/>
      <c r="CO996" s="1169"/>
      <c r="CP996" s="452"/>
      <c r="CQ996" s="435"/>
      <c r="CR996" s="1117"/>
      <c r="CS996" s="452"/>
      <c r="CT996" s="482"/>
      <c r="CU996" s="476"/>
      <c r="CV996" s="431"/>
      <c r="CW996" s="1108"/>
      <c r="CX996" s="1108"/>
      <c r="CY996" s="483"/>
      <c r="CZ996" s="437"/>
      <c r="DA996" s="438"/>
      <c r="DB996" s="439"/>
      <c r="DC996" s="439"/>
      <c r="DD996" s="443"/>
      <c r="DE996" s="411"/>
      <c r="DF996" s="411"/>
      <c r="DG996" s="1117"/>
      <c r="DH996" s="1117"/>
      <c r="DI996" s="1117"/>
      <c r="DJ996" s="442"/>
      <c r="DK996" s="482"/>
      <c r="DL996" s="1038"/>
      <c r="DM996" s="1035"/>
      <c r="DN996" s="1035"/>
      <c r="DO996" s="1035"/>
      <c r="DP996" s="1046"/>
      <c r="DQ996" s="1167"/>
      <c r="DR996" s="1168"/>
      <c r="DS996" s="1165"/>
      <c r="DT996" s="1165"/>
      <c r="DU996" s="1165"/>
      <c r="DV996" s="1031"/>
      <c r="DW996" s="1098">
        <f t="shared" si="1184"/>
        <v>0</v>
      </c>
      <c r="DX996" s="1098">
        <f t="shared" si="1185"/>
        <v>0</v>
      </c>
      <c r="DY996" s="1030"/>
      <c r="DZ996" s="1030"/>
      <c r="EA996" s="1031"/>
      <c r="EB996" s="1050"/>
      <c r="EC996" s="1038"/>
      <c r="ED996" s="1035"/>
      <c r="EE996" s="1046"/>
      <c r="EF996" s="1169"/>
      <c r="EG996" s="1168"/>
      <c r="EH996" s="1165"/>
      <c r="EI996" s="1165"/>
      <c r="EJ996" s="1165"/>
      <c r="EK996" s="1031"/>
      <c r="EL996" s="1098">
        <f t="shared" si="1186"/>
        <v>0</v>
      </c>
      <c r="EM996" s="1098">
        <f t="shared" si="1187"/>
        <v>0</v>
      </c>
      <c r="EN996" s="1030"/>
      <c r="EO996" s="1030"/>
      <c r="EP996" s="1031"/>
      <c r="EQ996" s="1050"/>
      <c r="ER996" s="1038"/>
      <c r="ES996" s="1035"/>
      <c r="ET996" s="1051"/>
    </row>
    <row r="997" spans="2:150" ht="16.5" customHeight="1">
      <c r="B997" s="1024"/>
      <c r="C997" s="1025"/>
      <c r="D997" s="408">
        <v>994</v>
      </c>
      <c r="E997" s="1164"/>
      <c r="F997" s="1164"/>
      <c r="G997" s="1026"/>
      <c r="H997" s="411" t="str">
        <f>IFERROR(INDEX(绊状态确认!C:C,MATCH($G997,绊状态确认!$B:$B,)),"")</f>
        <v/>
      </c>
      <c r="I997" s="450" t="str">
        <f>IFERROR(INDEX(绊状态确认!D:D,MATCH($G997,绊状态确认!$B:$B,)),"")</f>
        <v/>
      </c>
      <c r="J997" s="450" t="str">
        <f>IFERROR(INDEX(绊状态确认!E:E,MATCH($G997,绊状态确认!$B:$B,)),"")</f>
        <v/>
      </c>
      <c r="K997" s="451" t="str">
        <f>IFERROR(INDEX(绊状态确认!F:F,MATCH($G997,绊状态确认!$B:$B,)),"")</f>
        <v/>
      </c>
      <c r="L997" s="1026"/>
      <c r="M997" s="1165"/>
      <c r="N997" s="1027"/>
      <c r="O997" s="1026"/>
      <c r="P997" s="1028"/>
      <c r="Q997" s="1029"/>
      <c r="R997" s="1166"/>
      <c r="S997" s="1030"/>
      <c r="T997" s="1031"/>
      <c r="U997" s="1032"/>
      <c r="V997" s="1033"/>
      <c r="W997" s="1034"/>
      <c r="X997" s="1166"/>
      <c r="Y997" s="1035"/>
      <c r="Z997" s="1036"/>
      <c r="AA997" s="1037"/>
      <c r="AB997" s="1038"/>
      <c r="AC997" s="1039"/>
      <c r="AD997" s="1040"/>
      <c r="AE997" s="1041"/>
      <c r="AF997" s="521"/>
      <c r="AG997" s="420"/>
      <c r="AH997" s="420"/>
      <c r="AI997" s="420"/>
      <c r="AJ997" s="420"/>
      <c r="AK997" s="518"/>
      <c r="AL997" s="1042"/>
      <c r="AM997" s="1035"/>
      <c r="AN997" s="1043"/>
      <c r="AO997" s="1167"/>
      <c r="AP997" s="1044"/>
      <c r="AQ997" s="1035"/>
      <c r="AR997" s="1035"/>
      <c r="AS997" s="1035"/>
      <c r="AT997" s="1165"/>
      <c r="AU997" s="1031"/>
      <c r="AV997" s="1045"/>
      <c r="AW997" s="1038"/>
      <c r="AX997" s="1035"/>
      <c r="AY997" s="483"/>
      <c r="AZ997" s="429"/>
      <c r="BA997" s="431"/>
      <c r="BB997" s="1035"/>
      <c r="BC997" s="1035"/>
      <c r="BD997" s="481"/>
      <c r="BE997" s="432"/>
      <c r="BF997" s="646"/>
      <c r="BG997" s="1047"/>
      <c r="BH997" s="1046"/>
      <c r="BI997" s="1048"/>
      <c r="BJ997" s="1030"/>
      <c r="BK997" s="1046"/>
      <c r="BL997" s="1048"/>
      <c r="BM997" s="1046"/>
      <c r="BN997" s="1167"/>
      <c r="BO997" s="1035"/>
      <c r="BP997" s="1043"/>
      <c r="BQ997" s="1167"/>
      <c r="BR997" s="1165"/>
      <c r="BS997" s="1031"/>
      <c r="BT997" s="1038"/>
      <c r="BU997" s="1035"/>
      <c r="BV997" s="1035"/>
      <c r="BW997" s="1049"/>
      <c r="BX997" s="1043"/>
      <c r="BY997" s="1046"/>
      <c r="BZ997" s="1167"/>
      <c r="CA997" s="1165"/>
      <c r="CB997" s="1031"/>
      <c r="CC997" s="1038"/>
      <c r="CD997" s="1035"/>
      <c r="CE997" s="1035"/>
      <c r="CF997" s="1049"/>
      <c r="CG997" s="1043"/>
      <c r="CH997" s="1046"/>
      <c r="CI997" s="1167"/>
      <c r="CJ997" s="1168"/>
      <c r="CK997" s="1169"/>
      <c r="CL997" s="1169"/>
      <c r="CM997" s="1166"/>
      <c r="CN997" s="1169"/>
      <c r="CO997" s="1169"/>
      <c r="CP997" s="452"/>
      <c r="CQ997" s="435"/>
      <c r="CR997" s="1117"/>
      <c r="CS997" s="452"/>
      <c r="CT997" s="482"/>
      <c r="CU997" s="476"/>
      <c r="CV997" s="431"/>
      <c r="CW997" s="1108"/>
      <c r="CX997" s="1108"/>
      <c r="CY997" s="483"/>
      <c r="CZ997" s="437"/>
      <c r="DA997" s="438"/>
      <c r="DB997" s="439"/>
      <c r="DC997" s="439"/>
      <c r="DD997" s="443"/>
      <c r="DE997" s="411"/>
      <c r="DF997" s="411"/>
      <c r="DG997" s="1117"/>
      <c r="DH997" s="1117"/>
      <c r="DI997" s="1117"/>
      <c r="DJ997" s="442"/>
      <c r="DK997" s="482"/>
      <c r="DL997" s="1038"/>
      <c r="DM997" s="1035"/>
      <c r="DN997" s="1035"/>
      <c r="DO997" s="1035"/>
      <c r="DP997" s="1046"/>
      <c r="DQ997" s="1167"/>
      <c r="DR997" s="1168"/>
      <c r="DS997" s="1165"/>
      <c r="DT997" s="1165"/>
      <c r="DU997" s="1165"/>
      <c r="DV997" s="1031"/>
      <c r="DW997" s="1098">
        <f t="shared" si="1184"/>
        <v>0</v>
      </c>
      <c r="DX997" s="1098">
        <f t="shared" si="1185"/>
        <v>0</v>
      </c>
      <c r="DY997" s="1030"/>
      <c r="DZ997" s="1030"/>
      <c r="EA997" s="1031"/>
      <c r="EB997" s="1050"/>
      <c r="EC997" s="1038"/>
      <c r="ED997" s="1035"/>
      <c r="EE997" s="1046"/>
      <c r="EF997" s="1169"/>
      <c r="EG997" s="1168"/>
      <c r="EH997" s="1165"/>
      <c r="EI997" s="1165"/>
      <c r="EJ997" s="1165"/>
      <c r="EK997" s="1031"/>
      <c r="EL997" s="1098">
        <f t="shared" si="1186"/>
        <v>0</v>
      </c>
      <c r="EM997" s="1098">
        <f t="shared" si="1187"/>
        <v>0</v>
      </c>
      <c r="EN997" s="1030"/>
      <c r="EO997" s="1030"/>
      <c r="EP997" s="1031"/>
      <c r="EQ997" s="1050"/>
      <c r="ER997" s="1038"/>
      <c r="ES997" s="1035"/>
      <c r="ET997" s="1051"/>
    </row>
    <row r="998" spans="2:150" ht="16.5" customHeight="1">
      <c r="B998" s="1024"/>
      <c r="C998" s="1025"/>
      <c r="D998" s="408">
        <v>995</v>
      </c>
      <c r="E998" s="1164"/>
      <c r="F998" s="1164"/>
      <c r="G998" s="1026"/>
      <c r="H998" s="411" t="str">
        <f>IFERROR(INDEX(绊状态确认!C:C,MATCH($G998,绊状态确认!$B:$B,)),"")</f>
        <v/>
      </c>
      <c r="I998" s="450" t="str">
        <f>IFERROR(INDEX(绊状态确认!D:D,MATCH($G998,绊状态确认!$B:$B,)),"")</f>
        <v/>
      </c>
      <c r="J998" s="450" t="str">
        <f>IFERROR(INDEX(绊状态确认!E:E,MATCH($G998,绊状态确认!$B:$B,)),"")</f>
        <v/>
      </c>
      <c r="K998" s="451" t="str">
        <f>IFERROR(INDEX(绊状态确认!F:F,MATCH($G998,绊状态确认!$B:$B,)),"")</f>
        <v/>
      </c>
      <c r="L998" s="1026"/>
      <c r="M998" s="1165"/>
      <c r="N998" s="1027"/>
      <c r="O998" s="1026"/>
      <c r="P998" s="1028"/>
      <c r="Q998" s="1029"/>
      <c r="R998" s="1166"/>
      <c r="S998" s="1030"/>
      <c r="T998" s="1031"/>
      <c r="U998" s="1032"/>
      <c r="V998" s="1033"/>
      <c r="W998" s="1034"/>
      <c r="X998" s="1166"/>
      <c r="Y998" s="1035"/>
      <c r="Z998" s="1036"/>
      <c r="AA998" s="1037"/>
      <c r="AB998" s="1038"/>
      <c r="AC998" s="1039"/>
      <c r="AD998" s="1040"/>
      <c r="AE998" s="1041"/>
      <c r="AF998" s="521"/>
      <c r="AG998" s="420"/>
      <c r="AH998" s="420"/>
      <c r="AI998" s="420"/>
      <c r="AJ998" s="420"/>
      <c r="AK998" s="518"/>
      <c r="AL998" s="1042"/>
      <c r="AM998" s="1035"/>
      <c r="AN998" s="1043"/>
      <c r="AO998" s="1167"/>
      <c r="AP998" s="1044"/>
      <c r="AQ998" s="1035"/>
      <c r="AR998" s="1035"/>
      <c r="AS998" s="1035"/>
      <c r="AT998" s="1165"/>
      <c r="AU998" s="1031"/>
      <c r="AV998" s="1045"/>
      <c r="AW998" s="1038"/>
      <c r="AX998" s="1035"/>
      <c r="AY998" s="483"/>
      <c r="AZ998" s="429"/>
      <c r="BA998" s="431"/>
      <c r="BB998" s="1035"/>
      <c r="BC998" s="1035"/>
      <c r="BD998" s="481"/>
      <c r="BE998" s="432"/>
      <c r="BF998" s="646"/>
      <c r="BG998" s="1047"/>
      <c r="BH998" s="1046"/>
      <c r="BI998" s="1048"/>
      <c r="BJ998" s="1030"/>
      <c r="BK998" s="1046"/>
      <c r="BL998" s="1048"/>
      <c r="BM998" s="1046"/>
      <c r="BN998" s="1167"/>
      <c r="BO998" s="1035"/>
      <c r="BP998" s="1043"/>
      <c r="BQ998" s="1167"/>
      <c r="BR998" s="1165"/>
      <c r="BS998" s="1031"/>
      <c r="BT998" s="1038"/>
      <c r="BU998" s="1035"/>
      <c r="BV998" s="1035"/>
      <c r="BW998" s="1049"/>
      <c r="BX998" s="1043"/>
      <c r="BY998" s="1046"/>
      <c r="BZ998" s="1167"/>
      <c r="CA998" s="1165"/>
      <c r="CB998" s="1031"/>
      <c r="CC998" s="1038"/>
      <c r="CD998" s="1035"/>
      <c r="CE998" s="1035"/>
      <c r="CF998" s="1049"/>
      <c r="CG998" s="1043"/>
      <c r="CH998" s="1046"/>
      <c r="CI998" s="1167"/>
      <c r="CJ998" s="1168"/>
      <c r="CK998" s="1169"/>
      <c r="CL998" s="1169"/>
      <c r="CM998" s="1166"/>
      <c r="CN998" s="1169"/>
      <c r="CO998" s="1169"/>
      <c r="CP998" s="452"/>
      <c r="CQ998" s="435"/>
      <c r="CR998" s="441"/>
      <c r="CS998" s="452"/>
      <c r="CT998" s="482"/>
      <c r="CU998" s="476"/>
      <c r="CV998" s="431"/>
      <c r="CW998" s="1108"/>
      <c r="CX998" s="1108"/>
      <c r="CY998" s="483"/>
      <c r="CZ998" s="437"/>
      <c r="DA998" s="438"/>
      <c r="DB998" s="439"/>
      <c r="DC998" s="439"/>
      <c r="DD998" s="443"/>
      <c r="DE998" s="411"/>
      <c r="DF998" s="411"/>
      <c r="DG998" s="1117"/>
      <c r="DH998" s="1117"/>
      <c r="DI998" s="1117"/>
      <c r="DJ998" s="442"/>
      <c r="DK998" s="482"/>
      <c r="DL998" s="1038"/>
      <c r="DM998" s="1035"/>
      <c r="DN998" s="1035"/>
      <c r="DO998" s="1035"/>
      <c r="DP998" s="1046"/>
      <c r="DQ998" s="1167"/>
      <c r="DR998" s="1168"/>
      <c r="DS998" s="1165"/>
      <c r="DT998" s="1165"/>
      <c r="DU998" s="1165"/>
      <c r="DV998" s="1031"/>
      <c r="DW998" s="1098">
        <f t="shared" si="1184"/>
        <v>0</v>
      </c>
      <c r="DX998" s="1098">
        <f t="shared" si="1185"/>
        <v>0</v>
      </c>
      <c r="DY998" s="1030"/>
      <c r="DZ998" s="1030"/>
      <c r="EA998" s="1031"/>
      <c r="EB998" s="1050"/>
      <c r="EC998" s="1038"/>
      <c r="ED998" s="1035"/>
      <c r="EE998" s="1046"/>
      <c r="EF998" s="1169"/>
      <c r="EG998" s="1168"/>
      <c r="EH998" s="1165"/>
      <c r="EI998" s="1165"/>
      <c r="EJ998" s="1165"/>
      <c r="EK998" s="1031"/>
      <c r="EL998" s="1098">
        <f t="shared" si="1186"/>
        <v>0</v>
      </c>
      <c r="EM998" s="1098">
        <f t="shared" si="1187"/>
        <v>0</v>
      </c>
      <c r="EN998" s="1030"/>
      <c r="EO998" s="1030"/>
      <c r="EP998" s="1031"/>
      <c r="EQ998" s="1050"/>
      <c r="ER998" s="1038"/>
      <c r="ES998" s="1035"/>
      <c r="ET998" s="1051"/>
    </row>
    <row r="999" spans="2:150" ht="16.5" customHeight="1">
      <c r="B999" s="1024"/>
      <c r="C999" s="1025"/>
      <c r="D999" s="408">
        <v>996</v>
      </c>
      <c r="E999" s="1164"/>
      <c r="F999" s="1164"/>
      <c r="G999" s="1026"/>
      <c r="H999" s="411" t="str">
        <f>IFERROR(INDEX(绊状态确认!C:C,MATCH($G999,绊状态确认!$B:$B,)),"")</f>
        <v/>
      </c>
      <c r="I999" s="1124" t="str">
        <f>IFERROR(INDEX(绊状态确认!D:D,MATCH($G999,绊状态确认!$B:$B,)),"")</f>
        <v/>
      </c>
      <c r="J999" s="1124" t="str">
        <f>IFERROR(INDEX(绊状态确认!E:E,MATCH($G999,绊状态确认!$B:$B,)),"")</f>
        <v/>
      </c>
      <c r="K999" s="451" t="str">
        <f>IFERROR(INDEX(绊状态确认!F:F,MATCH($G999,绊状态确认!$B:$B,)),"")</f>
        <v/>
      </c>
      <c r="L999" s="1026"/>
      <c r="M999" s="1165"/>
      <c r="N999" s="1027"/>
      <c r="O999" s="1026"/>
      <c r="P999" s="1028"/>
      <c r="Q999" s="1029"/>
      <c r="R999" s="1166"/>
      <c r="S999" s="1030"/>
      <c r="T999" s="1031"/>
      <c r="U999" s="1032"/>
      <c r="V999" s="1033"/>
      <c r="W999" s="1034"/>
      <c r="X999" s="1166"/>
      <c r="Y999" s="1035"/>
      <c r="Z999" s="1036"/>
      <c r="AA999" s="1037"/>
      <c r="AB999" s="1038"/>
      <c r="AC999" s="1039"/>
      <c r="AD999" s="1040"/>
      <c r="AE999" s="1041"/>
      <c r="AF999" s="521"/>
      <c r="AG999" s="420"/>
      <c r="AH999" s="420"/>
      <c r="AI999" s="420"/>
      <c r="AJ999" s="420"/>
      <c r="AK999" s="518"/>
      <c r="AL999" s="1042"/>
      <c r="AM999" s="1035"/>
      <c r="AN999" s="1043"/>
      <c r="AO999" s="1167"/>
      <c r="AP999" s="1044"/>
      <c r="AQ999" s="1035"/>
      <c r="AR999" s="1035"/>
      <c r="AS999" s="1035"/>
      <c r="AT999" s="1165"/>
      <c r="AU999" s="1031"/>
      <c r="AV999" s="1045"/>
      <c r="AW999" s="1038"/>
      <c r="AX999" s="1035"/>
      <c r="AY999" s="483"/>
      <c r="AZ999" s="429"/>
      <c r="BA999" s="431"/>
      <c r="BB999" s="1035"/>
      <c r="BC999" s="1035"/>
      <c r="BD999" s="481"/>
      <c r="BE999" s="432"/>
      <c r="BF999" s="646"/>
      <c r="BG999" s="1047"/>
      <c r="BH999" s="1046"/>
      <c r="BI999" s="1048"/>
      <c r="BJ999" s="1030"/>
      <c r="BK999" s="1046"/>
      <c r="BL999" s="1048"/>
      <c r="BM999" s="1046"/>
      <c r="BN999" s="1167"/>
      <c r="BO999" s="1035"/>
      <c r="BP999" s="1043"/>
      <c r="BQ999" s="1167"/>
      <c r="BR999" s="1165"/>
      <c r="BS999" s="1031"/>
      <c r="BT999" s="1038"/>
      <c r="BU999" s="1035"/>
      <c r="BV999" s="1035"/>
      <c r="BW999" s="1049"/>
      <c r="BX999" s="1043"/>
      <c r="BY999" s="1046"/>
      <c r="BZ999" s="1167"/>
      <c r="CA999" s="1165"/>
      <c r="CB999" s="1031"/>
      <c r="CC999" s="1038"/>
      <c r="CD999" s="1035"/>
      <c r="CE999" s="1035"/>
      <c r="CF999" s="1049"/>
      <c r="CG999" s="1043"/>
      <c r="CH999" s="1046"/>
      <c r="CI999" s="1167"/>
      <c r="CJ999" s="1168"/>
      <c r="CK999" s="1169"/>
      <c r="CL999" s="1169"/>
      <c r="CM999" s="1166"/>
      <c r="CN999" s="1169"/>
      <c r="CO999" s="1169"/>
      <c r="CP999" s="452"/>
      <c r="CQ999" s="435"/>
      <c r="CR999" s="441"/>
      <c r="CS999" s="452"/>
      <c r="CT999" s="482"/>
      <c r="CU999" s="476"/>
      <c r="CV999" s="431"/>
      <c r="CW999" s="1108"/>
      <c r="CX999" s="1108"/>
      <c r="CY999" s="483"/>
      <c r="CZ999" s="437"/>
      <c r="DA999" s="438"/>
      <c r="DB999" s="439"/>
      <c r="DC999" s="439"/>
      <c r="DD999" s="443"/>
      <c r="DE999" s="411"/>
      <c r="DF999" s="411"/>
      <c r="DG999" s="1117"/>
      <c r="DH999" s="1117"/>
      <c r="DI999" s="1117"/>
      <c r="DJ999" s="442"/>
      <c r="DK999" s="482"/>
      <c r="DL999" s="1038"/>
      <c r="DM999" s="1035"/>
      <c r="DN999" s="1035"/>
      <c r="DO999" s="1035"/>
      <c r="DP999" s="1046"/>
      <c r="DQ999" s="1167"/>
      <c r="DR999" s="1168"/>
      <c r="DS999" s="1165"/>
      <c r="DT999" s="1165"/>
      <c r="DU999" s="1165"/>
      <c r="DV999" s="1031"/>
      <c r="DW999" s="1098">
        <f t="shared" si="1184"/>
        <v>0</v>
      </c>
      <c r="DX999" s="1098">
        <f t="shared" si="1185"/>
        <v>0</v>
      </c>
      <c r="DY999" s="1030"/>
      <c r="DZ999" s="1030"/>
      <c r="EA999" s="1031"/>
      <c r="EB999" s="1050"/>
      <c r="EC999" s="1038"/>
      <c r="ED999" s="1035"/>
      <c r="EE999" s="1046"/>
      <c r="EF999" s="1169"/>
      <c r="EG999" s="1168"/>
      <c r="EH999" s="1165"/>
      <c r="EI999" s="1165"/>
      <c r="EJ999" s="1165"/>
      <c r="EK999" s="1031"/>
      <c r="EL999" s="1098">
        <f t="shared" si="1186"/>
        <v>0</v>
      </c>
      <c r="EM999" s="1098">
        <f t="shared" si="1187"/>
        <v>0</v>
      </c>
      <c r="EN999" s="1030"/>
      <c r="EO999" s="1030"/>
      <c r="EP999" s="1031"/>
      <c r="EQ999" s="1050"/>
      <c r="ER999" s="1038"/>
      <c r="ES999" s="1035"/>
      <c r="ET999" s="1051"/>
    </row>
    <row r="1000" spans="2:150" ht="16.5" customHeight="1" thickBot="1">
      <c r="B1000" s="484"/>
      <c r="C1000" s="485"/>
      <c r="D1000" s="485"/>
      <c r="E1000" s="486"/>
      <c r="F1000" s="486"/>
      <c r="G1000" s="487"/>
      <c r="H1000" s="488"/>
      <c r="I1000" s="489"/>
      <c r="J1000" s="489"/>
      <c r="K1000" s="490"/>
      <c r="L1000" s="487"/>
      <c r="M1000" s="489"/>
      <c r="N1000" s="491"/>
      <c r="O1000" s="487"/>
      <c r="P1000" s="492"/>
      <c r="Q1000" s="493"/>
      <c r="R1000" s="494"/>
      <c r="S1000" s="495"/>
      <c r="T1000" s="496"/>
      <c r="U1000" s="497"/>
      <c r="V1000" s="498"/>
      <c r="W1000" s="499"/>
      <c r="X1000" s="494"/>
      <c r="Y1000" s="500"/>
      <c r="Z1000" s="501"/>
      <c r="AA1000" s="502"/>
      <c r="AB1000" s="503"/>
      <c r="AC1000" s="504"/>
      <c r="AD1000" s="505"/>
      <c r="AE1000" s="517"/>
      <c r="AF1000" s="522"/>
      <c r="AG1000" s="500"/>
      <c r="AH1000" s="500"/>
      <c r="AI1000" s="500"/>
      <c r="AJ1000" s="500"/>
      <c r="AK1000" s="519"/>
      <c r="AL1000" s="506"/>
      <c r="AM1000" s="500"/>
      <c r="AN1000" s="507"/>
      <c r="AO1000" s="508"/>
      <c r="AP1000" s="557"/>
      <c r="AQ1000" s="500"/>
      <c r="AR1000" s="500"/>
      <c r="AS1000" s="500"/>
      <c r="AT1000" s="489"/>
      <c r="AU1000" s="496"/>
      <c r="AV1000" s="509"/>
      <c r="AW1000" s="503"/>
      <c r="AX1000" s="500"/>
      <c r="AY1000" s="510"/>
      <c r="AZ1000" s="506"/>
      <c r="BA1000" s="500"/>
      <c r="BB1000" s="500"/>
      <c r="BC1000" s="500"/>
      <c r="BD1000" s="504"/>
      <c r="BE1000" s="509"/>
      <c r="BF1000" s="647"/>
      <c r="BG1000" s="648"/>
      <c r="BH1000" s="510"/>
      <c r="BI1000" s="511"/>
      <c r="BJ1000" s="495"/>
      <c r="BK1000" s="510"/>
      <c r="BL1000" s="511"/>
      <c r="BM1000" s="510"/>
      <c r="BN1000" s="508"/>
      <c r="BO1000" s="500"/>
      <c r="BP1000" s="507"/>
      <c r="BQ1000" s="508"/>
      <c r="BR1000" s="489"/>
      <c r="BS1000" s="496"/>
      <c r="BT1000" s="503"/>
      <c r="BU1000" s="500"/>
      <c r="BV1000" s="500"/>
      <c r="BW1000" s="512"/>
      <c r="BX1000" s="507"/>
      <c r="BY1000" s="510"/>
      <c r="BZ1000" s="508"/>
      <c r="CA1000" s="489"/>
      <c r="CB1000" s="496"/>
      <c r="CC1000" s="503"/>
      <c r="CD1000" s="500"/>
      <c r="CE1000" s="500"/>
      <c r="CF1000" s="512"/>
      <c r="CG1000" s="507"/>
      <c r="CH1000" s="510"/>
      <c r="CI1000" s="508"/>
      <c r="CJ1000" s="513"/>
      <c r="CK1000" s="488"/>
      <c r="CL1000" s="488"/>
      <c r="CM1000" s="494"/>
      <c r="CN1000" s="488"/>
      <c r="CO1000" s="488"/>
      <c r="CP1000" s="495"/>
      <c r="CQ1000" s="495"/>
      <c r="CR1000" s="495"/>
      <c r="CS1000" s="495"/>
      <c r="CT1000" s="509"/>
      <c r="CU1000" s="503"/>
      <c r="CV1000" s="500"/>
      <c r="CW1000" s="500"/>
      <c r="CX1000" s="500"/>
      <c r="CY1000" s="510"/>
      <c r="CZ1000" s="508"/>
      <c r="DA1000" s="513"/>
      <c r="DB1000" s="488"/>
      <c r="DC1000" s="488"/>
      <c r="DD1000" s="494"/>
      <c r="DE1000" s="488"/>
      <c r="DF1000" s="488"/>
      <c r="DG1000" s="495"/>
      <c r="DH1000" s="495"/>
      <c r="DI1000" s="495"/>
      <c r="DJ1000" s="495"/>
      <c r="DK1000" s="509"/>
      <c r="DL1000" s="503"/>
      <c r="DM1000" s="500"/>
      <c r="DN1000" s="500"/>
      <c r="DO1000" s="500"/>
      <c r="DP1000" s="510"/>
      <c r="DQ1000" s="508"/>
      <c r="DR1000" s="513"/>
      <c r="DS1000" s="489"/>
      <c r="DT1000" s="489"/>
      <c r="DU1000" s="489"/>
      <c r="DV1000" s="496"/>
      <c r="DW1000" s="496"/>
      <c r="DX1000" s="496"/>
      <c r="DY1000" s="495"/>
      <c r="DZ1000" s="495"/>
      <c r="EA1000" s="496"/>
      <c r="EB1000" s="514"/>
      <c r="EC1000" s="503"/>
      <c r="ED1000" s="500"/>
      <c r="EE1000" s="510"/>
      <c r="EF1000" s="488"/>
      <c r="EG1000" s="513"/>
      <c r="EH1000" s="489"/>
      <c r="EI1000" s="489"/>
      <c r="EJ1000" s="489"/>
      <c r="EK1000" s="496"/>
      <c r="EL1000" s="496"/>
      <c r="EM1000" s="496"/>
      <c r="EN1000" s="495"/>
      <c r="EO1000" s="495"/>
      <c r="EP1000" s="496"/>
      <c r="EQ1000" s="514"/>
      <c r="ER1000" s="503"/>
      <c r="ES1000" s="500"/>
      <c r="ET1000" s="515"/>
    </row>
    <row r="1001" spans="2:150" ht="16.5" customHeight="1" thickTop="1"/>
  </sheetData>
  <autoFilter ref="B3:ET999" xr:uid="{27727914-3C03-42C6-B614-A6EB05468449}">
    <sortState ref="B4:ET999">
      <sortCondition ref="D3:D999"/>
    </sortState>
  </autoFilter>
  <sortState ref="B4:ET1028">
    <sortCondition ref="D1"/>
  </sortState>
  <mergeCells count="170">
    <mergeCell ref="EW79:EX79"/>
    <mergeCell ref="EW80:EX80"/>
    <mergeCell ref="FA48:FB48"/>
    <mergeCell ref="EZ34:EZ36"/>
    <mergeCell ref="FA37:FB37"/>
    <mergeCell ref="FA40:FB40"/>
    <mergeCell ref="FA39:FB39"/>
    <mergeCell ref="EV53:EV56"/>
    <mergeCell ref="FA70:FB70"/>
    <mergeCell ref="EW67:EX67"/>
    <mergeCell ref="FA64:FB64"/>
    <mergeCell ref="EW40:EX40"/>
    <mergeCell ref="FA38:FB38"/>
    <mergeCell ref="EV49:EV52"/>
    <mergeCell ref="EW37:EX37"/>
    <mergeCell ref="EW39:EX39"/>
    <mergeCell ref="FA46:FB46"/>
    <mergeCell ref="FA47:FB47"/>
    <mergeCell ref="EZ49:EZ52"/>
    <mergeCell ref="EW78:EX78"/>
    <mergeCell ref="EV57:EV60"/>
    <mergeCell ref="EW73:EX73"/>
    <mergeCell ref="EW75:EX75"/>
    <mergeCell ref="FA71:FB71"/>
    <mergeCell ref="AZ2:BH2"/>
    <mergeCell ref="FA65:FB65"/>
    <mergeCell ref="FA66:FB66"/>
    <mergeCell ref="FA67:FB67"/>
    <mergeCell ref="FA68:FB68"/>
    <mergeCell ref="FA69:FB69"/>
    <mergeCell ref="EZ53:EZ56"/>
    <mergeCell ref="FA57:FB57"/>
    <mergeCell ref="FA58:FB58"/>
    <mergeCell ref="FA59:FB59"/>
    <mergeCell ref="FA60:FB60"/>
    <mergeCell ref="FA61:FB61"/>
    <mergeCell ref="FA62:FB62"/>
    <mergeCell ref="FA63:FB63"/>
    <mergeCell ref="FA41:FB41"/>
    <mergeCell ref="FA42:FB42"/>
    <mergeCell ref="EZ16:EZ18"/>
    <mergeCell ref="FA19:FB19"/>
    <mergeCell ref="FA20:FB20"/>
    <mergeCell ref="FA21:FB21"/>
    <mergeCell ref="FA23:FB23"/>
    <mergeCell ref="FA43:FB43"/>
    <mergeCell ref="FA33:FB33"/>
    <mergeCell ref="EZ11:EZ13"/>
    <mergeCell ref="FL4:FN4"/>
    <mergeCell ref="FM18:FN18"/>
    <mergeCell ref="FM19:FN19"/>
    <mergeCell ref="FM20:FN20"/>
    <mergeCell ref="FM21:FN21"/>
    <mergeCell ref="FM14:FN14"/>
    <mergeCell ref="FM15:FN15"/>
    <mergeCell ref="FL5:FL8"/>
    <mergeCell ref="FM17:FN17"/>
    <mergeCell ref="FM9:FN9"/>
    <mergeCell ref="FM11:FN11"/>
    <mergeCell ref="FM10:FN10"/>
    <mergeCell ref="FM12:FN12"/>
    <mergeCell ref="FM13:FN13"/>
    <mergeCell ref="FM16:FN16"/>
    <mergeCell ref="FM22:FN22"/>
    <mergeCell ref="FM23:FN23"/>
    <mergeCell ref="FM25:FN25"/>
    <mergeCell ref="FM24:FN24"/>
    <mergeCell ref="FA26:FB26"/>
    <mergeCell ref="FA27:FB27"/>
    <mergeCell ref="FI28:FJ28"/>
    <mergeCell ref="FI27:FJ27"/>
    <mergeCell ref="FA24:FB24"/>
    <mergeCell ref="FA32:FB32"/>
    <mergeCell ref="EW28:EX28"/>
    <mergeCell ref="FI24:FJ24"/>
    <mergeCell ref="EW32:EX32"/>
    <mergeCell ref="FM31:FN31"/>
    <mergeCell ref="FM26:FN26"/>
    <mergeCell ref="FM27:FN27"/>
    <mergeCell ref="FM30:FN30"/>
    <mergeCell ref="FA30:FB30"/>
    <mergeCell ref="FI26:FJ26"/>
    <mergeCell ref="FI25:FJ25"/>
    <mergeCell ref="FI29:FJ29"/>
    <mergeCell ref="FM28:FN28"/>
    <mergeCell ref="FA28:FB28"/>
    <mergeCell ref="FA31:FB31"/>
    <mergeCell ref="FM29:FN29"/>
    <mergeCell ref="FA25:FB25"/>
    <mergeCell ref="FA29:FB29"/>
    <mergeCell ref="FH4:FJ4"/>
    <mergeCell ref="FA22:FB22"/>
    <mergeCell ref="FE6:FF6"/>
    <mergeCell ref="FE15:FF15"/>
    <mergeCell ref="FE7:FF7"/>
    <mergeCell ref="FE8:FF8"/>
    <mergeCell ref="FE9:FF9"/>
    <mergeCell ref="FE10:FF10"/>
    <mergeCell ref="FE11:FF11"/>
    <mergeCell ref="EZ4:FB4"/>
    <mergeCell ref="EZ5:EZ7"/>
    <mergeCell ref="EZ8:EZ10"/>
    <mergeCell ref="FE5:FF5"/>
    <mergeCell ref="FA14:FB14"/>
    <mergeCell ref="FA15:FB15"/>
    <mergeCell ref="FD4:FF4"/>
    <mergeCell ref="DQ2:EE2"/>
    <mergeCell ref="EW19:EX19"/>
    <mergeCell ref="EF2:ET2"/>
    <mergeCell ref="EV4:EX4"/>
    <mergeCell ref="EV5:EV7"/>
    <mergeCell ref="EV8:EV10"/>
    <mergeCell ref="EV11:EV13"/>
    <mergeCell ref="EV16:EV18"/>
    <mergeCell ref="EW33:EX33"/>
    <mergeCell ref="EW31:EX31"/>
    <mergeCell ref="EW29:EX29"/>
    <mergeCell ref="EW30:EX30"/>
    <mergeCell ref="EW24:EX24"/>
    <mergeCell ref="EW20:EX20"/>
    <mergeCell ref="EW21:EX21"/>
    <mergeCell ref="EW27:EX27"/>
    <mergeCell ref="EW70:EX70"/>
    <mergeCell ref="EW72:EX72"/>
    <mergeCell ref="EW71:EX71"/>
    <mergeCell ref="BZ2:CH2"/>
    <mergeCell ref="EW14:EX14"/>
    <mergeCell ref="CZ2:DP2"/>
    <mergeCell ref="EW22:EX22"/>
    <mergeCell ref="EW15:EX15"/>
    <mergeCell ref="B2:P2"/>
    <mergeCell ref="Q2:V2"/>
    <mergeCell ref="W2:AA2"/>
    <mergeCell ref="AL2:AN2"/>
    <mergeCell ref="BI2:BK2"/>
    <mergeCell ref="AO2:AY2"/>
    <mergeCell ref="AB2:AC2"/>
    <mergeCell ref="AD2:AE2"/>
    <mergeCell ref="BN2:BP2"/>
    <mergeCell ref="AF2:AK2"/>
    <mergeCell ref="BL2:BM2"/>
    <mergeCell ref="BQ2:BY2"/>
    <mergeCell ref="CI2:CY2"/>
    <mergeCell ref="EW23:EX23"/>
    <mergeCell ref="EW25:EX25"/>
    <mergeCell ref="EW26:EX26"/>
    <mergeCell ref="EW81:EX81"/>
    <mergeCell ref="FA44:FB44"/>
    <mergeCell ref="FA45:FB45"/>
    <mergeCell ref="EV34:EV36"/>
    <mergeCell ref="EW42:EX42"/>
    <mergeCell ref="EW43:EX43"/>
    <mergeCell ref="EW45:EX45"/>
    <mergeCell ref="EW46:EX46"/>
    <mergeCell ref="EW48:EX48"/>
    <mergeCell ref="EW38:EX38"/>
    <mergeCell ref="EW41:EX41"/>
    <mergeCell ref="EW44:EX44"/>
    <mergeCell ref="EW47:EX47"/>
    <mergeCell ref="EW76:EX76"/>
    <mergeCell ref="EW65:EX65"/>
    <mergeCell ref="EW66:EX66"/>
    <mergeCell ref="EW61:EX61"/>
    <mergeCell ref="EW62:EX62"/>
    <mergeCell ref="EW74:EX74"/>
    <mergeCell ref="EW77:EX77"/>
    <mergeCell ref="EW64:EX64"/>
    <mergeCell ref="EW63:EX63"/>
    <mergeCell ref="EW68:EX68"/>
    <mergeCell ref="EW69:EX69"/>
  </mergeCells>
  <phoneticPr fontId="1" type="noConversion"/>
  <conditionalFormatting sqref="B1:C313 B314:B321 B322:C1048576">
    <cfRule type="expression" dxfId="30" priority="15">
      <formula>$C1="紫"</formula>
    </cfRule>
    <cfRule type="expression" dxfId="29" priority="16">
      <formula>$C1="黄"</formula>
    </cfRule>
    <cfRule type="expression" dxfId="28" priority="17">
      <formula>$C1="红"</formula>
    </cfRule>
    <cfRule type="expression" dxfId="27" priority="18">
      <formula>$C1="蓝"</formula>
    </cfRule>
    <cfRule type="expression" dxfId="26" priority="19">
      <formula>$C1="绿"</formula>
    </cfRule>
    <cfRule type="expression" dxfId="25" priority="20">
      <formula>$C1="粉"</formula>
    </cfRule>
  </conditionalFormatting>
  <conditionalFormatting sqref="C314:C315">
    <cfRule type="expression" dxfId="24" priority="7">
      <formula>$C314="紫"</formula>
    </cfRule>
    <cfRule type="expression" dxfId="23" priority="8">
      <formula>$C314="黄"</formula>
    </cfRule>
    <cfRule type="expression" dxfId="22" priority="9">
      <formula>$C314="红"</formula>
    </cfRule>
    <cfRule type="expression" dxfId="21" priority="10">
      <formula>$C314="蓝"</formula>
    </cfRule>
    <cfRule type="expression" dxfId="20" priority="11">
      <formula>$C314="绿"</formula>
    </cfRule>
    <cfRule type="expression" dxfId="19" priority="12">
      <formula>$C314="粉"</formula>
    </cfRule>
  </conditionalFormatting>
  <conditionalFormatting sqref="C316:C321">
    <cfRule type="expression" dxfId="18" priority="1">
      <formula>$C316="紫"</formula>
    </cfRule>
    <cfRule type="expression" dxfId="17" priority="2">
      <formula>$C316="黄"</formula>
    </cfRule>
    <cfRule type="expression" dxfId="16" priority="3">
      <formula>$C316="红"</formula>
    </cfRule>
    <cfRule type="expression" dxfId="15" priority="4">
      <formula>$C316="蓝"</formula>
    </cfRule>
    <cfRule type="expression" dxfId="14" priority="5">
      <formula>$C316="绿"</formula>
    </cfRule>
    <cfRule type="expression" dxfId="13" priority="6">
      <formula>$C316="粉"</formula>
    </cfRule>
  </conditionalFormatting>
  <dataValidations count="7">
    <dataValidation type="list" allowBlank="1" showInputMessage="1" showErrorMessage="1" sqref="L2" xr:uid="{00000000-0002-0000-0000-000000000000}">
      <formula1>"卡池卡,活动卡,fes卡"</formula1>
    </dataValidation>
    <dataValidation type="list" allowBlank="1" showInputMessage="1" showErrorMessage="1" sqref="FF18" xr:uid="{00000000-0002-0000-0000-000001000000}">
      <formula1>"Printemps,liliwhite,BiBi,CYaRon!,AZALEA,Guilty Kiss,A·ZU·NA,Q4ARTZ,Diver Diva"</formula1>
      <formula2>0</formula2>
    </dataValidation>
    <dataValidation type="list" allowBlank="1" showInputMessage="1" showErrorMessage="1" sqref="FF16:FF17" xr:uid="{00000000-0002-0000-0000-000002000000}">
      <formula1>"1年级,2年级,3年级"</formula1>
      <formula2>0</formula2>
    </dataValidation>
    <dataValidation type="list" allowBlank="1" showInputMessage="1" showErrorMessage="1" sqref="L4:L2000" xr:uid="{00000000-0002-0000-0000-000005000000}">
      <formula1>"卡池卡,活动卡,fes卡"</formula1>
      <formula2>0</formula2>
    </dataValidation>
    <dataValidation type="list" allowBlank="1" showInputMessage="1" showErrorMessage="1" sqref="P4:P2000" xr:uid="{00000000-0002-0000-0000-000006000000}">
      <formula1>"-1,0,1,2,3,4,5"</formula1>
      <formula2>0</formula2>
    </dataValidation>
    <dataValidation type="list" allowBlank="1" showInputMessage="1" showErrorMessage="1" sqref="C4:C2000" xr:uid="{00000000-0002-0000-0000-000007000000}">
      <formula1>"红,紫,蓝,绿,黄,粉"</formula1>
      <formula2>0</formula2>
    </dataValidation>
    <dataValidation type="list" allowBlank="1" showInputMessage="1" showErrorMessage="1" sqref="FF12:FF14" xr:uid="{00000000-0002-0000-0000-000003000000}">
      <formula1>"缪,水,虹"</formula1>
      <formula2>0</formula2>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B1:BO1001"/>
  <sheetViews>
    <sheetView zoomScale="70" zoomScaleNormal="70" workbookViewId="0">
      <pane xSplit="2" ySplit="3" topLeftCell="U579" activePane="bottomRight" state="frozen"/>
      <selection pane="topRight" activeCell="C1" sqref="C1"/>
      <selection pane="bottomLeft" activeCell="A4" sqref="A4"/>
      <selection pane="bottomRight" activeCell="AX621" sqref="AX621:BC621"/>
    </sheetView>
  </sheetViews>
  <sheetFormatPr defaultColWidth="9" defaultRowHeight="16.5"/>
  <cols>
    <col min="1" max="1" width="0.375" style="3" customWidth="1"/>
    <col min="2" max="2" width="8" style="1" customWidth="1"/>
    <col min="3" max="4" width="5.5" style="1" customWidth="1"/>
    <col min="5" max="5" width="8" style="1" customWidth="1"/>
    <col min="6" max="6" width="5.5" style="1" customWidth="1"/>
    <col min="7" max="9" width="7.125" style="2" customWidth="1"/>
    <col min="10" max="18" width="7.125" style="2" hidden="1" customWidth="1"/>
    <col min="19" max="39" width="7.125" style="2" customWidth="1"/>
    <col min="40" max="49" width="7.125" style="165" customWidth="1"/>
    <col min="50" max="63" width="6" style="165" customWidth="1"/>
    <col min="64" max="64" width="8.25" style="657" customWidth="1"/>
    <col min="65" max="16384" width="9" style="3"/>
  </cols>
  <sheetData>
    <row r="1" spans="2:67" ht="2.25" customHeight="1" thickBot="1"/>
    <row r="2" spans="2:67" ht="17.25" thickTop="1">
      <c r="B2" s="1399" t="s">
        <v>208</v>
      </c>
      <c r="C2" s="1400"/>
      <c r="D2" s="1400"/>
      <c r="E2" s="1400"/>
      <c r="F2" s="1401"/>
      <c r="G2" s="1418" t="s">
        <v>330</v>
      </c>
      <c r="H2" s="1400"/>
      <c r="I2" s="1400"/>
      <c r="J2" s="1400"/>
      <c r="K2" s="1400"/>
      <c r="L2" s="1400"/>
      <c r="M2" s="1400"/>
      <c r="N2" s="1400"/>
      <c r="O2" s="1400"/>
      <c r="P2" s="1400"/>
      <c r="Q2" s="1400"/>
      <c r="R2" s="1400"/>
      <c r="S2" s="1400"/>
      <c r="T2" s="1400"/>
      <c r="U2" s="1400"/>
      <c r="V2" s="1400"/>
      <c r="W2" s="1400"/>
      <c r="X2" s="1400"/>
      <c r="Y2" s="1400"/>
      <c r="Z2" s="1400"/>
      <c r="AA2" s="1400"/>
      <c r="AB2" s="1400"/>
      <c r="AC2" s="1400"/>
      <c r="AD2" s="1400"/>
      <c r="AE2" s="1400"/>
      <c r="AF2" s="1400"/>
      <c r="AG2" s="1400"/>
      <c r="AH2" s="1400"/>
      <c r="AI2" s="1400"/>
      <c r="AJ2" s="1400"/>
      <c r="AK2" s="1400"/>
      <c r="AL2" s="1400"/>
      <c r="AM2" s="1419"/>
      <c r="AN2" s="1402" t="s">
        <v>710</v>
      </c>
      <c r="AO2" s="1403"/>
      <c r="AP2" s="1403"/>
      <c r="AQ2" s="1404"/>
      <c r="AR2" s="1405"/>
      <c r="AS2" s="1415" t="s">
        <v>712</v>
      </c>
      <c r="AT2" s="1416"/>
      <c r="AU2" s="1416"/>
      <c r="AV2" s="1416"/>
      <c r="AW2" s="1417"/>
      <c r="AX2" s="1402" t="s">
        <v>831</v>
      </c>
      <c r="AY2" s="1404"/>
      <c r="AZ2" s="1404"/>
      <c r="BA2" s="1404"/>
      <c r="BB2" s="1404"/>
      <c r="BC2" s="1404"/>
      <c r="BD2" s="1405"/>
      <c r="BE2" s="1406" t="s">
        <v>832</v>
      </c>
      <c r="BF2" s="1407"/>
      <c r="BG2" s="1407"/>
      <c r="BH2" s="1407"/>
      <c r="BI2" s="1407"/>
      <c r="BJ2" s="1407"/>
      <c r="BK2" s="1408"/>
      <c r="BL2" s="656"/>
    </row>
    <row r="3" spans="2:67" ht="17.25" thickBot="1">
      <c r="B3" s="570" t="s">
        <v>204</v>
      </c>
      <c r="C3" s="571" t="s">
        <v>308</v>
      </c>
      <c r="D3" s="572" t="s">
        <v>313</v>
      </c>
      <c r="E3" s="573" t="s">
        <v>915</v>
      </c>
      <c r="F3" s="574" t="s">
        <v>203</v>
      </c>
      <c r="G3" s="1414" t="s">
        <v>315</v>
      </c>
      <c r="H3" s="1410"/>
      <c r="I3" s="1413"/>
      <c r="J3" s="175" t="s">
        <v>316</v>
      </c>
      <c r="K3" s="176"/>
      <c r="L3" s="177"/>
      <c r="M3" s="175" t="s">
        <v>328</v>
      </c>
      <c r="N3" s="176"/>
      <c r="O3" s="177"/>
      <c r="P3" s="176" t="s">
        <v>329</v>
      </c>
      <c r="Q3" s="176"/>
      <c r="R3" s="178"/>
      <c r="S3" s="1412" t="s">
        <v>314</v>
      </c>
      <c r="T3" s="1410"/>
      <c r="U3" s="1413"/>
      <c r="V3" s="1409" t="s">
        <v>322</v>
      </c>
      <c r="W3" s="1410"/>
      <c r="X3" s="1413"/>
      <c r="Y3" s="1409" t="s">
        <v>323</v>
      </c>
      <c r="Z3" s="1410"/>
      <c r="AA3" s="1413"/>
      <c r="AB3" s="1409" t="s">
        <v>324</v>
      </c>
      <c r="AC3" s="1410"/>
      <c r="AD3" s="1413"/>
      <c r="AE3" s="1409" t="s">
        <v>325</v>
      </c>
      <c r="AF3" s="1410"/>
      <c r="AG3" s="1413"/>
      <c r="AH3" s="1409" t="s">
        <v>326</v>
      </c>
      <c r="AI3" s="1410"/>
      <c r="AJ3" s="1413"/>
      <c r="AK3" s="1409" t="s">
        <v>327</v>
      </c>
      <c r="AL3" s="1410"/>
      <c r="AM3" s="1411"/>
      <c r="AN3" s="575" t="s">
        <v>317</v>
      </c>
      <c r="AO3" s="576" t="s">
        <v>318</v>
      </c>
      <c r="AP3" s="576" t="s">
        <v>319</v>
      </c>
      <c r="AQ3" s="577" t="s">
        <v>320</v>
      </c>
      <c r="AR3" s="578" t="s">
        <v>321</v>
      </c>
      <c r="AS3" s="575" t="s">
        <v>713</v>
      </c>
      <c r="AT3" s="577" t="s">
        <v>714</v>
      </c>
      <c r="AU3" s="577" t="s">
        <v>715</v>
      </c>
      <c r="AV3" s="577" t="s">
        <v>716</v>
      </c>
      <c r="AW3" s="578" t="s">
        <v>717</v>
      </c>
      <c r="AX3" s="575" t="s">
        <v>317</v>
      </c>
      <c r="AY3" s="577" t="s">
        <v>318</v>
      </c>
      <c r="AZ3" s="577" t="s">
        <v>319</v>
      </c>
      <c r="BA3" s="577" t="s">
        <v>320</v>
      </c>
      <c r="BB3" s="577" t="s">
        <v>321</v>
      </c>
      <c r="BC3" s="577" t="s">
        <v>2116</v>
      </c>
      <c r="BD3" s="578" t="s">
        <v>2117</v>
      </c>
      <c r="BE3" s="575" t="s">
        <v>317</v>
      </c>
      <c r="BF3" s="577" t="s">
        <v>318</v>
      </c>
      <c r="BG3" s="577" t="s">
        <v>319</v>
      </c>
      <c r="BH3" s="577" t="s">
        <v>320</v>
      </c>
      <c r="BI3" s="577" t="s">
        <v>321</v>
      </c>
      <c r="BJ3" s="577" t="s">
        <v>2116</v>
      </c>
      <c r="BK3" s="579" t="s">
        <v>2117</v>
      </c>
      <c r="BL3" s="656"/>
    </row>
    <row r="4" spans="2:67">
      <c r="B4" s="580" t="s">
        <v>468</v>
      </c>
      <c r="C4" s="889" t="s">
        <v>467</v>
      </c>
      <c r="D4" s="889" t="s">
        <v>13</v>
      </c>
      <c r="E4" s="237" t="s">
        <v>65</v>
      </c>
      <c r="F4" s="581">
        <v>1</v>
      </c>
      <c r="G4" s="582">
        <v>3104</v>
      </c>
      <c r="H4" s="167">
        <v>2587</v>
      </c>
      <c r="I4" s="583">
        <v>4657</v>
      </c>
      <c r="J4" s="166">
        <f t="shared" ref="J4:L6" si="0">INT(G4/50+0.05)</f>
        <v>62</v>
      </c>
      <c r="K4" s="167">
        <f t="shared" si="0"/>
        <v>51</v>
      </c>
      <c r="L4" s="168">
        <f t="shared" si="0"/>
        <v>93</v>
      </c>
      <c r="M4" s="166">
        <f t="shared" ref="M4:O6" si="1">INT(IF($C4="UR",IF($E4="party卡",G4*0.0270833333333333,G4*0.025),0)+IF($C4="SR",G4*0.03,0)+IF($C4="R",G4*0.0375,0)+0.05)</f>
        <v>116</v>
      </c>
      <c r="N4" s="167">
        <f t="shared" si="1"/>
        <v>97</v>
      </c>
      <c r="O4" s="168">
        <f t="shared" si="1"/>
        <v>174</v>
      </c>
      <c r="P4" s="169">
        <f t="shared" ref="P4:R6" si="2">INT(IF($C4="UR",IF($E4="party卡",G4*0.04375,G4*0.0375),0)+IF($C4="SR",G4*0.04,0)+IF($C4="R",G4*0.05,0)+0.05)</f>
        <v>155</v>
      </c>
      <c r="Q4" s="169">
        <f t="shared" si="2"/>
        <v>129</v>
      </c>
      <c r="R4" s="169">
        <f t="shared" si="2"/>
        <v>232</v>
      </c>
      <c r="S4" s="584">
        <f t="shared" ref="S4:U6" si="3">ROUND(IF($C4="UR",G4*0.25,G4*0.3),0)</f>
        <v>931</v>
      </c>
      <c r="T4" s="594">
        <f t="shared" si="3"/>
        <v>776</v>
      </c>
      <c r="U4" s="595">
        <f t="shared" si="3"/>
        <v>1397</v>
      </c>
      <c r="V4" s="166">
        <f t="shared" ref="V4:X6" si="4">(IF($C4="UR",IF($E4="party卡",18,12))+IF($C4="SR",10)+IF($C4="R",8))*M4+J4+S4</f>
        <v>1921</v>
      </c>
      <c r="W4" s="167">
        <f t="shared" si="4"/>
        <v>1603</v>
      </c>
      <c r="X4" s="168">
        <f t="shared" si="4"/>
        <v>2882</v>
      </c>
      <c r="Y4" s="166">
        <f>V4+(IF(C4="UR",IF(E4="party卡",IF(D4="gd",1,2),IF(D4="vo",2)+IF(D4="sp",1)+IF(D4="gd",3)+IF(D4="sk",1)))+IF(C4="SR",2)+IF(C4="R",IF(D4="vo",1)+IF(D4="sp",2)+IF(D4="gd",1)+IF(D4="sk",2)))*P4</f>
        <v>2076</v>
      </c>
      <c r="Z4" s="167">
        <f>W4+(IF(C4="UR",IF(E4="party卡",IF(D4="sp",1,2),IF(D4="vo",1)+IF(D4="sp",3)+IF(D4="gd",2)+IF(D4="sk",2)))+IF(C4="SR",2)+IF(C4="R",IF(D4="vo",2)+IF(D4="sp",1)+IF(D4="gd",1)+IF(D4="sk",1)))*Q4</f>
        <v>1861</v>
      </c>
      <c r="AA4" s="168">
        <f>X4+(IF(C4="UR",IF(E4="party卡",IF(OR(D4="vo",D4="sk"),1,2),IF(D4="vo",3)+IF(D4="sp",2)+IF(D4="gd",1)+IF(D4="sk",3)))+IF(C4="SR",2)+IF(C4="R",IF(D4="vo",1)+IF(D4="sp",1)+IF(D4="gd",2)+IF(D4="sk",1)))*R4</f>
        <v>3114</v>
      </c>
      <c r="AB4" s="166">
        <f>V4+(IF(C4="UR",IF(E4="party卡",IF(OR(D4="sp",D4="sk"),3,2),IF(D4="vo",5)+IF(D4="sp",4)+IF(D4="gd",4)+IF(D4="sk",4)))+IF(C4="SR",4)+IF(C4="R",IF(D4="vo",3)+IF(D4="sp",3)+IF(D4="gd",2)+IF(D4="sk",3)))*P4</f>
        <v>2386</v>
      </c>
      <c r="AC4" s="167">
        <f>W4+(IF(C4="UR",IF(E4="party卡",IF(D4="vo",3,2),IF(D4="vo",4)+IF(D4="sp",4)+IF(D4="gd",5)+IF(D4="sk",5)))+IF(C4="SR",4)+IF(C4="R",IF(D4="vo",3)+IF(D4="sp",2)+IF(D4="gd",3)+IF(D4="sk",3)))*Q4</f>
        <v>1990</v>
      </c>
      <c r="AD4" s="168">
        <f>X4+(IF(C4="UR",IF(E4="party卡",IF(D4="gd",3,2),IF(D4="vo",4)+IF(D4="sp",5)+IF(D4="gd",4)+IF(D4="sk",4)))+IF(C4="SR",4)+IF(C4="R",IF(D4="vo",2)+IF(D4="sp",3)+IF(D4="gd",3)+IF(D4="sk",2)))*R4</f>
        <v>3346</v>
      </c>
      <c r="AE4" s="166">
        <f>V4+(IF(C4="UR",IF(E4="party卡",3,IF(D4="vo",7)+IF(D4="sp",8)+IF(D4="gd",6)+IF(D4="sk",8)))+IF(C4="SR",IF(D4="vo",5)+IF(D4="sp",6)+IF(D4="gd",6)+IF(D4="sk",6))+IF(C4="R",IF(D4="vo",5)+IF(D4="sp",4)+IF(D4="gd",4)+IF(D4="sk",4)))*P4</f>
        <v>2696</v>
      </c>
      <c r="AF4" s="167">
        <f>W4+(IF(C4="UR",IF(E4="party卡",3,IF(D4="vo",8)+IF(D4="sp",6)+IF(D4="gd",7)+IF(D4="sk",7)))+IF(C4="SR",IF(D4="vo",6)+IF(D4="sp",6)+IF(D4="gd",5)+IF(D4="sk",5))+IF(C4="R",IF(D4="vo",4)+IF(D4="sp",4)+IF(D4="gd",5)+IF(D4="sk",5)))*Q4</f>
        <v>2119</v>
      </c>
      <c r="AG4" s="168">
        <f>X4+(IF(C4="UR",IF(E4="party卡",3,IF(D4="vo",6)+IF(D4="sp",7)+IF(D4="gd",8)+IF(D4="sk",6)))+IF(C4="SR",IF(D4="vo",6)+IF(D4="sp",5)+IF(D4="gd",6)+IF(D4="sk",6))+IF(C4="R",IF(D4="vo",4)+IF(D4="sp",5)+IF(D4="gd",4)+IF(D4="sk",4)))*R4</f>
        <v>3810</v>
      </c>
      <c r="AH4" s="166">
        <f>V4+(IF(C4="UR",IF(E4="party卡",4,IF(D4="vo",9)+IF(D4="sp",10)+IF(D4="gd",10)+IF(D4="sk",10)))+IF(C4="SR",IF(D4="vo",7)+IF(D4="sp",7)+IF(D4="gd",9)+IF(D4="sk",7))+IF(C4="R",IF(D4="vo",7)+IF(D4="sp",6)+IF(D4="gd",6)+IF(D4="sk",6)))*P4</f>
        <v>3006</v>
      </c>
      <c r="AI4" s="167">
        <f>W4+(IF(C4="UR",IF(E4="party卡",4,IF(D4="vo",10)+IF(D4="sp",10)+IF(D4="gd",9)+IF(D4="sk",9)))+IF(C4="SR",IF(D4="vo",7)+IF(D4="sp",9)+IF(D4="gd",7)+IF(D4="sk",7))+IF(C4="R",IF(D4="vo",6)+IF(D4="sp",6)+IF(D4="gd",7)+IF(D4="sk",7)))*Q4</f>
        <v>2377</v>
      </c>
      <c r="AJ4" s="168">
        <f>X4+(IF(C4="UR",IF(E4="party卡",4,IF(D4="vo",10)+IF(D4="sp",9)+IF(D4="gd",10)+IF(D4="sk",10)))+IF(C4="SR",IF(D4="vo",9)+IF(D4="sp",7)+IF(D4="gd",7)+IF(D4="sk",9))+IF(C4="R",IF(D4="vo",6)+IF(D4="sp",7)+IF(D4="gd",6)+IF(D4="sk",6)))*R4</f>
        <v>4274</v>
      </c>
      <c r="AK4" s="169">
        <f t="shared" ref="AK4:AM6" si="5">G4+J4</f>
        <v>3166</v>
      </c>
      <c r="AL4" s="167">
        <f t="shared" si="5"/>
        <v>2638</v>
      </c>
      <c r="AM4" s="585">
        <f t="shared" si="5"/>
        <v>4750</v>
      </c>
      <c r="AN4" s="586">
        <v>200</v>
      </c>
      <c r="AO4" s="686">
        <v>250</v>
      </c>
      <c r="AP4" s="686">
        <v>300</v>
      </c>
      <c r="AQ4" s="587">
        <v>350</v>
      </c>
      <c r="AR4" s="687">
        <v>400</v>
      </c>
      <c r="AS4" s="586"/>
      <c r="AT4" s="587"/>
      <c r="AU4" s="587"/>
      <c r="AV4" s="588"/>
      <c r="AW4" s="589"/>
      <c r="AX4" s="591">
        <v>0.01</v>
      </c>
      <c r="AY4" s="590">
        <v>1.2999999999999999E-2</v>
      </c>
      <c r="AZ4" s="590">
        <v>1.6E-2</v>
      </c>
      <c r="BA4" s="590">
        <v>1.9E-2</v>
      </c>
      <c r="BB4" s="590">
        <v>2.1999999999999999E-2</v>
      </c>
      <c r="BC4" s="590"/>
      <c r="BD4" s="631"/>
      <c r="BE4" s="632"/>
      <c r="BF4" s="633"/>
      <c r="BG4" s="633"/>
      <c r="BH4" s="633"/>
      <c r="BI4" s="633"/>
      <c r="BJ4" s="633"/>
      <c r="BK4" s="634"/>
      <c r="BL4" s="658">
        <f>ROUND(($G4+$H4+$I4)/50,0)*50</f>
        <v>10350</v>
      </c>
      <c r="BM4" s="3">
        <f t="shared" ref="BM4:BO6" si="6">ROUND(100*G4/($G4+$H4+$I4),0)</f>
        <v>30</v>
      </c>
      <c r="BN4" s="3">
        <f t="shared" si="6"/>
        <v>25</v>
      </c>
      <c r="BO4" s="3">
        <f t="shared" si="6"/>
        <v>45</v>
      </c>
    </row>
    <row r="5" spans="2:67">
      <c r="B5" s="207" t="s">
        <v>469</v>
      </c>
      <c r="C5" s="889" t="s">
        <v>467</v>
      </c>
      <c r="D5" s="889" t="s">
        <v>14</v>
      </c>
      <c r="E5" s="237" t="s">
        <v>65</v>
      </c>
      <c r="F5" s="592">
        <v>2</v>
      </c>
      <c r="G5" s="593">
        <v>3554</v>
      </c>
      <c r="H5" s="594">
        <v>4147</v>
      </c>
      <c r="I5" s="595">
        <v>4147</v>
      </c>
      <c r="J5" s="166">
        <f t="shared" si="0"/>
        <v>71</v>
      </c>
      <c r="K5" s="167">
        <f t="shared" si="0"/>
        <v>82</v>
      </c>
      <c r="L5" s="168">
        <f t="shared" si="0"/>
        <v>82</v>
      </c>
      <c r="M5" s="166">
        <f t="shared" si="1"/>
        <v>133</v>
      </c>
      <c r="N5" s="167">
        <f t="shared" si="1"/>
        <v>155</v>
      </c>
      <c r="O5" s="168">
        <f t="shared" si="1"/>
        <v>155</v>
      </c>
      <c r="P5" s="169">
        <f t="shared" si="2"/>
        <v>177</v>
      </c>
      <c r="Q5" s="169">
        <f t="shared" si="2"/>
        <v>207</v>
      </c>
      <c r="R5" s="169">
        <f t="shared" si="2"/>
        <v>207</v>
      </c>
      <c r="S5" s="584">
        <f t="shared" si="3"/>
        <v>1066</v>
      </c>
      <c r="T5" s="594">
        <f t="shared" si="3"/>
        <v>1244</v>
      </c>
      <c r="U5" s="595">
        <f t="shared" si="3"/>
        <v>1244</v>
      </c>
      <c r="V5" s="166">
        <f t="shared" si="4"/>
        <v>2201</v>
      </c>
      <c r="W5" s="167">
        <f t="shared" si="4"/>
        <v>2566</v>
      </c>
      <c r="X5" s="168">
        <f t="shared" si="4"/>
        <v>2566</v>
      </c>
      <c r="Y5" s="166">
        <f>V5+(IF(C5="UR",IF(E5="party卡",IF(D5="gd",1,2),IF(D5="vo",2)+IF(D5="sp",1)+IF(D5="gd",3)+IF(D5="sk",1)))+IF(C5="SR",2)+IF(C5="R",IF(D5="vo",1)+IF(D5="sp",2)+IF(D5="gd",1)+IF(D5="sk",2)))*P5</f>
        <v>2555</v>
      </c>
      <c r="Z5" s="167">
        <f>W5+(IF(C5="UR",IF(E5="party卡",IF(D5="sp",1,2),IF(D5="vo",1)+IF(D5="sp",3)+IF(D5="gd",2)+IF(D5="sk",2)))+IF(C5="SR",2)+IF(C5="R",IF(D5="vo",2)+IF(D5="sp",1)+IF(D5="gd",1)+IF(D5="sk",1)))*Q5</f>
        <v>2773</v>
      </c>
      <c r="AA5" s="168">
        <f>X5+(IF(C5="UR",IF(E5="party卡",IF(OR(D5="vo",D5="sk"),1,2),IF(D5="vo",3)+IF(D5="sp",2)+IF(D5="gd",1)+IF(D5="sk",3)))+IF(C5="SR",2)+IF(C5="R",IF(D5="vo",1)+IF(D5="sp",1)+IF(D5="gd",2)+IF(D5="sk",1)))*R5</f>
        <v>2773</v>
      </c>
      <c r="AB5" s="166">
        <f>V5+(IF(C5="UR",IF(E5="party卡",IF(OR(D5="sp",D5="sk"),3,2),IF(D5="vo",5)+IF(D5="sp",4)+IF(D5="gd",4)+IF(D5="sk",4)))+IF(C5="SR",4)+IF(C5="R",IF(D5="vo",3)+IF(D5="sp",3)+IF(D5="gd",2)+IF(D5="sk",3)))*P5</f>
        <v>2732</v>
      </c>
      <c r="AC5" s="167">
        <f>W5+(IF(C5="UR",IF(E5="party卡",IF(D5="vo",3,2),IF(D5="vo",4)+IF(D5="sp",4)+IF(D5="gd",5)+IF(D5="sk",5)))+IF(C5="SR",4)+IF(C5="R",IF(D5="vo",3)+IF(D5="sp",2)+IF(D5="gd",3)+IF(D5="sk",3)))*Q5</f>
        <v>2980</v>
      </c>
      <c r="AD5" s="168">
        <f>X5+(IF(C5="UR",IF(E5="party卡",IF(D5="gd",3,2),IF(D5="vo",4)+IF(D5="sp",5)+IF(D5="gd",4)+IF(D5="sk",4)))+IF(C5="SR",4)+IF(C5="R",IF(D5="vo",2)+IF(D5="sp",3)+IF(D5="gd",3)+IF(D5="sk",2)))*R5</f>
        <v>3187</v>
      </c>
      <c r="AE5" s="166">
        <f>V5+(IF(C5="UR",IF(E5="party卡",3,IF(D5="vo",7)+IF(D5="sp",8)+IF(D5="gd",6)+IF(D5="sk",8)))+IF(C5="SR",IF(D5="vo",5)+IF(D5="sp",6)+IF(D5="gd",6)+IF(D5="sk",6))+IF(C5="R",IF(D5="vo",5)+IF(D5="sp",4)+IF(D5="gd",4)+IF(D5="sk",4)))*P5</f>
        <v>2909</v>
      </c>
      <c r="AF5" s="167">
        <f>W5+(IF(C5="UR",IF(E5="party卡",3,IF(D5="vo",8)+IF(D5="sp",6)+IF(D5="gd",7)+IF(D5="sk",7)))+IF(C5="SR",IF(D5="vo",6)+IF(D5="sp",6)+IF(D5="gd",5)+IF(D5="sk",5))+IF(C5="R",IF(D5="vo",4)+IF(D5="sp",4)+IF(D5="gd",5)+IF(D5="sk",5)))*Q5</f>
        <v>3394</v>
      </c>
      <c r="AG5" s="168">
        <f>X5+(IF(C5="UR",IF(E5="party卡",3,IF(D5="vo",6)+IF(D5="sp",7)+IF(D5="gd",8)+IF(D5="sk",6)))+IF(C5="SR",IF(D5="vo",6)+IF(D5="sp",5)+IF(D5="gd",6)+IF(D5="sk",6))+IF(C5="R",IF(D5="vo",4)+IF(D5="sp",5)+IF(D5="gd",4)+IF(D5="sk",4)))*R5</f>
        <v>3601</v>
      </c>
      <c r="AH5" s="166">
        <f>V5+(IF(C5="UR",IF(E5="party卡",4,IF(D5="vo",9)+IF(D5="sp",10)+IF(D5="gd",10)+IF(D5="sk",10)))+IF(C5="SR",IF(D5="vo",7)+IF(D5="sp",7)+IF(D5="gd",9)+IF(D5="sk",7))+IF(C5="R",IF(D5="vo",7)+IF(D5="sp",6)+IF(D5="gd",6)+IF(D5="sk",6)))*P5</f>
        <v>3263</v>
      </c>
      <c r="AI5" s="167">
        <f>W5+(IF(C5="UR",IF(E5="party卡",4,IF(D5="vo",10)+IF(D5="sp",10)+IF(D5="gd",9)+IF(D5="sk",9)))+IF(C5="SR",IF(D5="vo",7)+IF(D5="sp",9)+IF(D5="gd",7)+IF(D5="sk",7))+IF(C5="R",IF(D5="vo",6)+IF(D5="sp",6)+IF(D5="gd",7)+IF(D5="sk",7)))*Q5</f>
        <v>3808</v>
      </c>
      <c r="AJ5" s="168">
        <f>X5+(IF(C5="UR",IF(E5="party卡",4,IF(D5="vo",10)+IF(D5="sp",9)+IF(D5="gd",10)+IF(D5="sk",10)))+IF(C5="SR",IF(D5="vo",9)+IF(D5="sp",7)+IF(D5="gd",7)+IF(D5="sk",9))+IF(C5="R",IF(D5="vo",6)+IF(D5="sp",7)+IF(D5="gd",6)+IF(D5="sk",6)))*R5</f>
        <v>4015</v>
      </c>
      <c r="AK5" s="169">
        <f t="shared" si="5"/>
        <v>3625</v>
      </c>
      <c r="AL5" s="167">
        <f t="shared" si="5"/>
        <v>4229</v>
      </c>
      <c r="AM5" s="585">
        <f t="shared" si="5"/>
        <v>4229</v>
      </c>
      <c r="AN5" s="596">
        <v>0.03</v>
      </c>
      <c r="AO5" s="597">
        <v>3.3000000000000002E-2</v>
      </c>
      <c r="AP5" s="597">
        <v>3.5999999999999997E-2</v>
      </c>
      <c r="AQ5" s="598">
        <v>3.9E-2</v>
      </c>
      <c r="AR5" s="599">
        <v>4.2000000000000003E-2</v>
      </c>
      <c r="AS5" s="586"/>
      <c r="AT5" s="587"/>
      <c r="AU5" s="587"/>
      <c r="AV5" s="588"/>
      <c r="AW5" s="589"/>
      <c r="AX5" s="596">
        <v>1.4999999999999999E-2</v>
      </c>
      <c r="AY5" s="598">
        <v>1.7999999999999999E-2</v>
      </c>
      <c r="AZ5" s="598">
        <v>2.1000000000000001E-2</v>
      </c>
      <c r="BA5" s="598">
        <v>2.4E-2</v>
      </c>
      <c r="BB5" s="598">
        <v>2.7E-2</v>
      </c>
      <c r="BC5" s="590"/>
      <c r="BD5" s="631"/>
      <c r="BE5" s="596"/>
      <c r="BF5" s="598"/>
      <c r="BG5" s="598"/>
      <c r="BH5" s="598"/>
      <c r="BI5" s="598"/>
      <c r="BJ5" s="598"/>
      <c r="BK5" s="605"/>
      <c r="BL5" s="658">
        <f>ROUND(($G5+$H5+$I5)/50,0)*50</f>
        <v>11850</v>
      </c>
      <c r="BM5" s="3">
        <f t="shared" si="6"/>
        <v>30</v>
      </c>
      <c r="BN5" s="3">
        <f t="shared" si="6"/>
        <v>35</v>
      </c>
      <c r="BO5" s="3">
        <f t="shared" si="6"/>
        <v>35</v>
      </c>
    </row>
    <row r="6" spans="2:67">
      <c r="B6" s="207" t="s">
        <v>428</v>
      </c>
      <c r="C6" s="889" t="s">
        <v>310</v>
      </c>
      <c r="D6" s="889" t="s">
        <v>356</v>
      </c>
      <c r="E6" s="237" t="s">
        <v>65</v>
      </c>
      <c r="F6" s="592">
        <v>3</v>
      </c>
      <c r="G6" s="593">
        <v>6400</v>
      </c>
      <c r="H6" s="594">
        <v>4800</v>
      </c>
      <c r="I6" s="595">
        <v>4800</v>
      </c>
      <c r="J6" s="166">
        <f t="shared" si="0"/>
        <v>128</v>
      </c>
      <c r="K6" s="167">
        <f t="shared" si="0"/>
        <v>96</v>
      </c>
      <c r="L6" s="168">
        <f t="shared" si="0"/>
        <v>96</v>
      </c>
      <c r="M6" s="166">
        <f t="shared" si="1"/>
        <v>192</v>
      </c>
      <c r="N6" s="167">
        <f t="shared" si="1"/>
        <v>144</v>
      </c>
      <c r="O6" s="168">
        <f t="shared" si="1"/>
        <v>144</v>
      </c>
      <c r="P6" s="169">
        <f t="shared" si="2"/>
        <v>256</v>
      </c>
      <c r="Q6" s="169">
        <f t="shared" si="2"/>
        <v>192</v>
      </c>
      <c r="R6" s="169">
        <f t="shared" si="2"/>
        <v>192</v>
      </c>
      <c r="S6" s="584">
        <f t="shared" si="3"/>
        <v>1920</v>
      </c>
      <c r="T6" s="594">
        <f t="shared" si="3"/>
        <v>1440</v>
      </c>
      <c r="U6" s="595">
        <f t="shared" si="3"/>
        <v>1440</v>
      </c>
      <c r="V6" s="166">
        <f t="shared" si="4"/>
        <v>3968</v>
      </c>
      <c r="W6" s="167">
        <f t="shared" si="4"/>
        <v>2976</v>
      </c>
      <c r="X6" s="168">
        <f t="shared" si="4"/>
        <v>2976</v>
      </c>
      <c r="Y6" s="166">
        <f>V6+(IF(C6="UR",IF(E6="party卡",IF(D6="gd",1,2),IF(D6="vo",2)+IF(D6="sp",1)+IF(D6="gd",3)+IF(D6="sk",1)))+IF(C6="SR",2)+IF(C6="R",IF(D6="vo",1)+IF(D6="sp",2)+IF(D6="gd",1)+IF(D6="sk",2)))*P6</f>
        <v>4480</v>
      </c>
      <c r="Z6" s="167">
        <f>W6+(IF(C6="UR",IF(E6="party卡",IF(D6="sp",1,2),IF(D6="vo",1)+IF(D6="sp",3)+IF(D6="gd",2)+IF(D6="sk",2)))+IF(C6="SR",2)+IF(C6="R",IF(D6="vo",2)+IF(D6="sp",1)+IF(D6="gd",1)+IF(D6="sk",1)))*Q6</f>
        <v>3360</v>
      </c>
      <c r="AA6" s="168">
        <f>X6+(IF(C6="UR",IF(E6="party卡",IF(OR(D6="vo",D6="sk"),1,2),IF(D6="vo",3)+IF(D6="sp",2)+IF(D6="gd",1)+IF(D6="sk",3)))+IF(C6="SR",2)+IF(C6="R",IF(D6="vo",1)+IF(D6="sp",1)+IF(D6="gd",2)+IF(D6="sk",1)))*R6</f>
        <v>3360</v>
      </c>
      <c r="AB6" s="166">
        <f>V6+(IF(C6="UR",IF(E6="party卡",IF(OR(D6="sp",D6="sk"),3,2),IF(D6="vo",5)+IF(D6="sp",4)+IF(D6="gd",4)+IF(D6="sk",4)))+IF(C6="SR",4)+IF(C6="R",IF(D6="vo",3)+IF(D6="sp",3)+IF(D6="gd",2)+IF(D6="sk",3)))*P6</f>
        <v>4992</v>
      </c>
      <c r="AC6" s="167">
        <f>W6+(IF(C6="UR",IF(E6="party卡",IF(D6="vo",3,2),IF(D6="vo",4)+IF(D6="sp",4)+IF(D6="gd",5)+IF(D6="sk",5)))+IF(C6="SR",4)+IF(C6="R",IF(D6="vo",3)+IF(D6="sp",2)+IF(D6="gd",3)+IF(D6="sk",3)))*Q6</f>
        <v>3744</v>
      </c>
      <c r="AD6" s="168">
        <f>X6+(IF(C6="UR",IF(E6="party卡",IF(D6="gd",3,2),IF(D6="vo",4)+IF(D6="sp",5)+IF(D6="gd",4)+IF(D6="sk",4)))+IF(C6="SR",4)+IF(C6="R",IF(D6="vo",2)+IF(D6="sp",3)+IF(D6="gd",3)+IF(D6="sk",2)))*R6</f>
        <v>3744</v>
      </c>
      <c r="AE6" s="166">
        <f>V6+(IF(C6="UR",IF(E6="party卡",3,IF(D6="vo",7)+IF(D6="sp",8)+IF(D6="gd",6)+IF(D6="sk",8)))+IF(C6="SR",IF(D6="vo",5)+IF(D6="sp",6)+IF(D6="gd",6)+IF(D6="sk",6))+IF(C6="R",IF(D6="vo",5)+IF(D6="sp",4)+IF(D6="gd",4)+IF(D6="sk",4)))*P6</f>
        <v>5504</v>
      </c>
      <c r="AF6" s="167">
        <f>W6+(IF(C6="UR",IF(E6="party卡",3,IF(D6="vo",8)+IF(D6="sp",6)+IF(D6="gd",7)+IF(D6="sk",7)))+IF(C6="SR",IF(D6="vo",6)+IF(D6="sp",6)+IF(D6="gd",5)+IF(D6="sk",5))+IF(C6="R",IF(D6="vo",4)+IF(D6="sp",4)+IF(D6="gd",5)+IF(D6="sk",5)))*Q6</f>
        <v>3936</v>
      </c>
      <c r="AG6" s="168">
        <f>X6+(IF(C6="UR",IF(E6="party卡",3,IF(D6="vo",6)+IF(D6="sp",7)+IF(D6="gd",8)+IF(D6="sk",6)))+IF(C6="SR",IF(D6="vo",6)+IF(D6="sp",5)+IF(D6="gd",6)+IF(D6="sk",6))+IF(C6="R",IF(D6="vo",4)+IF(D6="sp",5)+IF(D6="gd",4)+IF(D6="sk",4)))*R6</f>
        <v>4128</v>
      </c>
      <c r="AH6" s="166">
        <f>V6+(IF(C6="UR",IF(E6="party卡",4,IF(D6="vo",9)+IF(D6="sp",10)+IF(D6="gd",10)+IF(D6="sk",10)))+IF(C6="SR",IF(D6="vo",7)+IF(D6="sp",7)+IF(D6="gd",9)+IF(D6="sk",7))+IF(C6="R",IF(D6="vo",7)+IF(D6="sp",6)+IF(D6="gd",6)+IF(D6="sk",6)))*P6</f>
        <v>5760</v>
      </c>
      <c r="AI6" s="167">
        <f>W6+(IF(C6="UR",IF(E6="party卡",4,IF(D6="vo",10)+IF(D6="sp",10)+IF(D6="gd",9)+IF(D6="sk",9)))+IF(C6="SR",IF(D6="vo",7)+IF(D6="sp",9)+IF(D6="gd",7)+IF(D6="sk",7))+IF(C6="R",IF(D6="vo",6)+IF(D6="sp",6)+IF(D6="gd",7)+IF(D6="sk",7)))*Q6</f>
        <v>4320</v>
      </c>
      <c r="AJ6" s="168">
        <f>X6+(IF(C6="UR",IF(E6="party卡",4,IF(D6="vo",10)+IF(D6="sp",9)+IF(D6="gd",10)+IF(D6="sk",10)))+IF(C6="SR",IF(D6="vo",9)+IF(D6="sp",7)+IF(D6="gd",7)+IF(D6="sk",9))+IF(C6="R",IF(D6="vo",6)+IF(D6="sp",7)+IF(D6="gd",6)+IF(D6="sk",6)))*R6</f>
        <v>4704</v>
      </c>
      <c r="AK6" s="169">
        <f t="shared" si="5"/>
        <v>6528</v>
      </c>
      <c r="AL6" s="167">
        <f t="shared" si="5"/>
        <v>4896</v>
      </c>
      <c r="AM6" s="585">
        <f t="shared" si="5"/>
        <v>4896</v>
      </c>
      <c r="AN6" s="596">
        <v>0.2</v>
      </c>
      <c r="AO6" s="597">
        <v>0.20499999999999999</v>
      </c>
      <c r="AP6" s="597">
        <v>0.21</v>
      </c>
      <c r="AQ6" s="598">
        <v>0.215</v>
      </c>
      <c r="AR6" s="599">
        <v>0.22</v>
      </c>
      <c r="AS6" s="586"/>
      <c r="AT6" s="587"/>
      <c r="AU6" s="587"/>
      <c r="AV6" s="588"/>
      <c r="AW6" s="589"/>
      <c r="AX6" s="596">
        <v>0.02</v>
      </c>
      <c r="AY6" s="598">
        <v>2.3E-2</v>
      </c>
      <c r="AZ6" s="598">
        <v>2.5999999999999999E-2</v>
      </c>
      <c r="BA6" s="598">
        <v>2.9000000000000001E-2</v>
      </c>
      <c r="BB6" s="598">
        <v>3.2000000000000001E-2</v>
      </c>
      <c r="BC6" s="590"/>
      <c r="BD6" s="631"/>
      <c r="BE6" s="596"/>
      <c r="BF6" s="598"/>
      <c r="BG6" s="598"/>
      <c r="BH6" s="598"/>
      <c r="BI6" s="598"/>
      <c r="BJ6" s="598"/>
      <c r="BK6" s="605"/>
      <c r="BL6" s="658">
        <f>ROUND(($G6+$H6+$I6)/50,0)*50</f>
        <v>16000</v>
      </c>
      <c r="BM6" s="3">
        <f t="shared" si="6"/>
        <v>40</v>
      </c>
      <c r="BN6" s="3">
        <f t="shared" si="6"/>
        <v>30</v>
      </c>
      <c r="BO6" s="3">
        <f t="shared" si="6"/>
        <v>30</v>
      </c>
    </row>
    <row r="7" spans="2:67">
      <c r="B7" s="1269" t="s">
        <v>2082</v>
      </c>
      <c r="C7" s="1264" t="s">
        <v>309</v>
      </c>
      <c r="D7" s="1264" t="s">
        <v>23</v>
      </c>
      <c r="E7" s="1266" t="s">
        <v>65</v>
      </c>
      <c r="F7" s="592">
        <v>4</v>
      </c>
      <c r="G7" s="593">
        <v>7800</v>
      </c>
      <c r="H7" s="594">
        <v>11700</v>
      </c>
      <c r="I7" s="595">
        <v>6500</v>
      </c>
      <c r="J7" s="166">
        <f t="shared" ref="J7:J70" si="7">INT(G7/50+0.05)</f>
        <v>156</v>
      </c>
      <c r="K7" s="167">
        <f t="shared" ref="K7:K70" si="8">INT(H7/50+0.05)</f>
        <v>234</v>
      </c>
      <c r="L7" s="168">
        <f t="shared" ref="L7:L70" si="9">INT(I7/50+0.05)</f>
        <v>130</v>
      </c>
      <c r="M7" s="166">
        <f t="shared" ref="M7:M70" si="10">INT(IF($C7="UR",IF($E7="party卡",G7*0.0270833333333333,G7*0.025),0)+IF($C7="SR",G7*0.03,0)+IF($C7="R",G7*0.0375,0)+0.05)</f>
        <v>195</v>
      </c>
      <c r="N7" s="167">
        <f t="shared" ref="N7:N70" si="11">INT(IF($C7="UR",IF($E7="party卡",H7*0.0270833333333333,H7*0.025),0)+IF($C7="SR",H7*0.03,0)+IF($C7="R",H7*0.0375,0)+0.05)</f>
        <v>292</v>
      </c>
      <c r="O7" s="168">
        <f t="shared" ref="O7:O70" si="12">INT(IF($C7="UR",IF($E7="party卡",I7*0.0270833333333333,I7*0.025),0)+IF($C7="SR",I7*0.03,0)+IF($C7="R",I7*0.0375,0)+0.05)</f>
        <v>162</v>
      </c>
      <c r="P7" s="169">
        <f t="shared" ref="P7:P70" si="13">INT(IF($C7="UR",IF($E7="party卡",G7*0.04375,G7*0.0375),0)+IF($C7="SR",G7*0.04,0)+IF($C7="R",G7*0.05,0)+0.05)</f>
        <v>292</v>
      </c>
      <c r="Q7" s="169">
        <f t="shared" ref="Q7:Q70" si="14">INT(IF($C7="UR",IF($E7="party卡",H7*0.04375,H7*0.0375),0)+IF($C7="SR",H7*0.04,0)+IF($C7="R",H7*0.05,0)+0.05)</f>
        <v>438</v>
      </c>
      <c r="R7" s="169">
        <f t="shared" ref="R7:R70" si="15">INT(IF($C7="UR",IF($E7="party卡",I7*0.04375,I7*0.0375),0)+IF($C7="SR",I7*0.04,0)+IF($C7="R",I7*0.05,0)+0.05)</f>
        <v>243</v>
      </c>
      <c r="S7" s="584">
        <f t="shared" ref="S7:S38" si="16">ROUND(IF($C7="UR",G7*0.25,G7*0.3),0)</f>
        <v>1950</v>
      </c>
      <c r="T7" s="594">
        <f t="shared" ref="T7:T38" si="17">ROUND(IF($C7="UR",H7*0.25,H7*0.3),0)</f>
        <v>2925</v>
      </c>
      <c r="U7" s="595">
        <f t="shared" ref="U7:U38" si="18">ROUND(IF($C7="UR",I7*0.25,I7*0.3),0)</f>
        <v>1625</v>
      </c>
      <c r="V7" s="166">
        <f t="shared" ref="V7:V38" si="19">(IF($C7="UR",IF($E7="party卡",18,12))+IF($C7="SR",10)+IF($C7="R",8))*M7+J7+S7</f>
        <v>4446</v>
      </c>
      <c r="W7" s="167">
        <f t="shared" ref="W7:W38" si="20">(IF($C7="UR",IF($E7="party卡",18,12))+IF($C7="SR",10)+IF($C7="R",8))*N7+K7+T7</f>
        <v>6663</v>
      </c>
      <c r="X7" s="168">
        <f t="shared" ref="X7:X38" si="21">(IF($C7="UR",IF($E7="party卡",18,12))+IF($C7="SR",10)+IF($C7="R",8))*O7+L7+U7</f>
        <v>3699</v>
      </c>
      <c r="Y7" s="166">
        <f t="shared" ref="Y7:Y38" si="22">V7+(IF(C7="UR",IF(E7="party卡",IF(D7="gd",1,2),IF(D7="vo",2)+IF(D7="sp",1)+IF(D7="gd",3)+IF(D7="sk",1)))+IF(C7="SR",2)+IF(C7="R",IF(D7="vo",1)+IF(D7="sp",2)+IF(D7="gd",1)+IF(D7="sk",2)))*P7</f>
        <v>5322</v>
      </c>
      <c r="Z7" s="167">
        <f t="shared" ref="Z7:Z38" si="23">W7+(IF(C7="UR",IF(E7="party卡",IF(D7="sp",1,2),IF(D7="vo",1)+IF(D7="sp",3)+IF(D7="gd",2)+IF(D7="sk",2)))+IF(C7="SR",2)+IF(C7="R",IF(D7="vo",2)+IF(D7="sp",1)+IF(D7="gd",1)+IF(D7="sk",1)))*Q7</f>
        <v>7539</v>
      </c>
      <c r="AA7" s="168">
        <f t="shared" ref="AA7:AA38" si="24">X7+(IF(C7="UR",IF(E7="party卡",IF(OR(D7="vo",D7="sk"),1,2),IF(D7="vo",3)+IF(D7="sp",2)+IF(D7="gd",1)+IF(D7="sk",3)))+IF(C7="SR",2)+IF(C7="R",IF(D7="vo",1)+IF(D7="sp",1)+IF(D7="gd",2)+IF(D7="sk",1)))*R7</f>
        <v>3942</v>
      </c>
      <c r="AB7" s="166">
        <f t="shared" ref="AB7:AB38" si="25">V7+(IF(C7="UR",IF(E7="party卡",IF(OR(D7="sp",D7="sk"),3,2),IF(D7="vo",5)+IF(D7="sp",4)+IF(D7="gd",4)+IF(D7="sk",4)))+IF(C7="SR",4)+IF(C7="R",IF(D7="vo",3)+IF(D7="sp",3)+IF(D7="gd",2)+IF(D7="sk",3)))*P7</f>
        <v>5614</v>
      </c>
      <c r="AC7" s="167">
        <f t="shared" ref="AC7:AC38" si="26">W7+(IF(C7="UR",IF(E7="party卡",IF(D7="vo",3,2),IF(D7="vo",4)+IF(D7="sp",4)+IF(D7="gd",5)+IF(D7="sk",5)))+IF(C7="SR",4)+IF(C7="R",IF(D7="vo",3)+IF(D7="sp",2)+IF(D7="gd",3)+IF(D7="sk",3)))*Q7</f>
        <v>8853</v>
      </c>
      <c r="AD7" s="168">
        <f t="shared" ref="AD7:AD38" si="27">X7+(IF(C7="UR",IF(E7="party卡",IF(D7="gd",3,2),IF(D7="vo",4)+IF(D7="sp",5)+IF(D7="gd",4)+IF(D7="sk",4)))+IF(C7="SR",4)+IF(C7="R",IF(D7="vo",2)+IF(D7="sp",3)+IF(D7="gd",3)+IF(D7="sk",2)))*R7</f>
        <v>4671</v>
      </c>
      <c r="AE7" s="166">
        <f t="shared" ref="AE7:AE38" si="28">V7+(IF(C7="UR",IF(E7="party卡",3,IF(D7="vo",7)+IF(D7="sp",8)+IF(D7="gd",6)+IF(D7="sk",8)))+IF(C7="SR",IF(D7="vo",5)+IF(D7="sp",6)+IF(D7="gd",6)+IF(D7="sk",6))+IF(C7="R",IF(D7="vo",5)+IF(D7="sp",4)+IF(D7="gd",4)+IF(D7="sk",4)))*P7</f>
        <v>6198</v>
      </c>
      <c r="AF7" s="167">
        <f t="shared" ref="AF7:AF38" si="29">W7+(IF(C7="UR",IF(E7="party卡",3,IF(D7="vo",8)+IF(D7="sp",6)+IF(D7="gd",7)+IF(D7="sk",7)))+IF(C7="SR",IF(D7="vo",6)+IF(D7="sp",6)+IF(D7="gd",5)+IF(D7="sk",5))+IF(C7="R",IF(D7="vo",4)+IF(D7="sp",4)+IF(D7="gd",5)+IF(D7="sk",5)))*Q7</f>
        <v>9729</v>
      </c>
      <c r="AG7" s="168">
        <f t="shared" ref="AG7:AG38" si="30">X7+(IF(C7="UR",IF(E7="party卡",3,IF(D7="vo",6)+IF(D7="sp",7)+IF(D7="gd",8)+IF(D7="sk",6)))+IF(C7="SR",IF(D7="vo",6)+IF(D7="sp",5)+IF(D7="gd",6)+IF(D7="sk",6))+IF(C7="R",IF(D7="vo",4)+IF(D7="sp",5)+IF(D7="gd",4)+IF(D7="sk",4)))*R7</f>
        <v>5643</v>
      </c>
      <c r="AH7" s="166">
        <f t="shared" ref="AH7:AH70" si="31">V7+(IF(C7="UR",IF(E7="party卡",4,IF(D7="vo",9)+IF(D7="sp",10)+IF(D7="gd",10)+IF(D7="sk",10)))+IF(C7="SR",IF(D7="vo",7)+IF(D7="sp",7)+IF(D7="gd",9)+IF(D7="sk",7))+IF(C7="R",IF(D7="vo",7)+IF(D7="sp",6)+IF(D7="gd",6)+IF(D7="sk",6)))*P7</f>
        <v>7366</v>
      </c>
      <c r="AI7" s="167">
        <f t="shared" ref="AI7:AI38" si="32">W7+(IF(C7="UR",IF(E7="party卡",4,IF(D7="vo",10)+IF(D7="sp",10)+IF(D7="gd",9)+IF(D7="sk",9)))+IF(C7="SR",IF(D7="vo",7)+IF(D7="sp",9)+IF(D7="gd",7)+IF(D7="sk",7))+IF(C7="R",IF(D7="vo",6)+IF(D7="sp",6)+IF(D7="gd",7)+IF(D7="sk",7)))*Q7</f>
        <v>10605</v>
      </c>
      <c r="AJ7" s="168">
        <f t="shared" ref="AJ7:AJ38" si="33">X7+(IF(C7="UR",IF(E7="party卡",4,IF(D7="vo",10)+IF(D7="sp",9)+IF(D7="gd",10)+IF(D7="sk",10)))+IF(C7="SR",IF(D7="vo",9)+IF(D7="sp",7)+IF(D7="gd",7)+IF(D7="sk",9))+IF(C7="R",IF(D7="vo",6)+IF(D7="sp",7)+IF(D7="gd",6)+IF(D7="sk",6)))*R7</f>
        <v>6129</v>
      </c>
      <c r="AK7" s="169">
        <f t="shared" ref="AK7:AK38" si="34">G7+J7</f>
        <v>7956</v>
      </c>
      <c r="AL7" s="167">
        <f t="shared" ref="AL7:AL38" si="35">H7+K7</f>
        <v>11934</v>
      </c>
      <c r="AM7" s="585">
        <f t="shared" ref="AM7:AM38" si="36">I7+L7</f>
        <v>6630</v>
      </c>
      <c r="AN7" s="596">
        <v>0.1</v>
      </c>
      <c r="AO7" s="597">
        <v>0.11</v>
      </c>
      <c r="AP7" s="597">
        <v>0.12</v>
      </c>
      <c r="AQ7" s="598">
        <v>0.13</v>
      </c>
      <c r="AR7" s="599">
        <v>0.14000000000000001</v>
      </c>
      <c r="AS7" s="586"/>
      <c r="AT7" s="587"/>
      <c r="AU7" s="587"/>
      <c r="AV7" s="588"/>
      <c r="AW7" s="589"/>
      <c r="AX7" s="596">
        <v>0.04</v>
      </c>
      <c r="AY7" s="598">
        <v>4.2999999999999997E-2</v>
      </c>
      <c r="AZ7" s="598">
        <v>4.5999999999999999E-2</v>
      </c>
      <c r="BA7" s="598">
        <v>4.9000000000000002E-2</v>
      </c>
      <c r="BB7" s="598">
        <v>5.1999999999999998E-2</v>
      </c>
      <c r="BC7" s="590"/>
      <c r="BD7" s="631"/>
      <c r="BE7" s="596"/>
      <c r="BF7" s="598"/>
      <c r="BG7" s="598"/>
      <c r="BH7" s="598"/>
      <c r="BI7" s="598"/>
      <c r="BJ7" s="598"/>
      <c r="BK7" s="605"/>
      <c r="BL7" s="658">
        <f t="shared" ref="BL7:BL70" si="37">ROUND(($G7+$H7+$I7)/50,0)*50</f>
        <v>26000</v>
      </c>
      <c r="BM7" s="3">
        <f t="shared" ref="BM7:BM70" si="38">ROUND(100*G7/($G7+$H7+$I7),0)</f>
        <v>30</v>
      </c>
      <c r="BN7" s="3">
        <f t="shared" ref="BN7:BN70" si="39">ROUND(100*H7/($G7+$H7+$I7),0)</f>
        <v>45</v>
      </c>
      <c r="BO7" s="3">
        <f t="shared" ref="BO7:BO70" si="40">ROUND(100*I7/($G7+$H7+$I7),0)</f>
        <v>25</v>
      </c>
    </row>
    <row r="8" spans="2:67">
      <c r="B8" s="207" t="s">
        <v>470</v>
      </c>
      <c r="C8" s="889" t="s">
        <v>467</v>
      </c>
      <c r="D8" s="889" t="s">
        <v>14</v>
      </c>
      <c r="E8" s="237" t="s">
        <v>65</v>
      </c>
      <c r="F8" s="592">
        <v>5</v>
      </c>
      <c r="G8" s="593">
        <v>3414</v>
      </c>
      <c r="H8" s="594">
        <v>3414</v>
      </c>
      <c r="I8" s="595">
        <v>3517</v>
      </c>
      <c r="J8" s="166">
        <f t="shared" si="7"/>
        <v>68</v>
      </c>
      <c r="K8" s="167">
        <f t="shared" si="8"/>
        <v>68</v>
      </c>
      <c r="L8" s="168">
        <f t="shared" si="9"/>
        <v>70</v>
      </c>
      <c r="M8" s="166">
        <f t="shared" si="10"/>
        <v>128</v>
      </c>
      <c r="N8" s="167">
        <f t="shared" si="11"/>
        <v>128</v>
      </c>
      <c r="O8" s="168">
        <f t="shared" si="12"/>
        <v>131</v>
      </c>
      <c r="P8" s="169">
        <f t="shared" si="13"/>
        <v>170</v>
      </c>
      <c r="Q8" s="169">
        <f t="shared" si="14"/>
        <v>170</v>
      </c>
      <c r="R8" s="169">
        <f t="shared" si="15"/>
        <v>175</v>
      </c>
      <c r="S8" s="584">
        <f t="shared" si="16"/>
        <v>1024</v>
      </c>
      <c r="T8" s="594">
        <f t="shared" si="17"/>
        <v>1024</v>
      </c>
      <c r="U8" s="595">
        <f t="shared" si="18"/>
        <v>1055</v>
      </c>
      <c r="V8" s="166">
        <f t="shared" si="19"/>
        <v>2116</v>
      </c>
      <c r="W8" s="167">
        <f t="shared" si="20"/>
        <v>2116</v>
      </c>
      <c r="X8" s="168">
        <f t="shared" si="21"/>
        <v>2173</v>
      </c>
      <c r="Y8" s="166">
        <f t="shared" si="22"/>
        <v>2456</v>
      </c>
      <c r="Z8" s="167">
        <f t="shared" si="23"/>
        <v>2286</v>
      </c>
      <c r="AA8" s="168">
        <f t="shared" si="24"/>
        <v>2348</v>
      </c>
      <c r="AB8" s="166">
        <f t="shared" si="25"/>
        <v>2626</v>
      </c>
      <c r="AC8" s="167">
        <f t="shared" si="26"/>
        <v>2456</v>
      </c>
      <c r="AD8" s="168">
        <f t="shared" si="27"/>
        <v>2698</v>
      </c>
      <c r="AE8" s="166">
        <f t="shared" si="28"/>
        <v>2796</v>
      </c>
      <c r="AF8" s="167">
        <f t="shared" si="29"/>
        <v>2796</v>
      </c>
      <c r="AG8" s="168">
        <f t="shared" si="30"/>
        <v>3048</v>
      </c>
      <c r="AH8" s="166">
        <f t="shared" si="31"/>
        <v>3136</v>
      </c>
      <c r="AI8" s="167">
        <f t="shared" si="32"/>
        <v>3136</v>
      </c>
      <c r="AJ8" s="168">
        <f t="shared" si="33"/>
        <v>3398</v>
      </c>
      <c r="AK8" s="169">
        <f t="shared" si="34"/>
        <v>3482</v>
      </c>
      <c r="AL8" s="167">
        <f t="shared" si="35"/>
        <v>3482</v>
      </c>
      <c r="AM8" s="585">
        <f t="shared" si="36"/>
        <v>3587</v>
      </c>
      <c r="AN8" s="586">
        <v>110</v>
      </c>
      <c r="AO8" s="686">
        <v>120</v>
      </c>
      <c r="AP8" s="686">
        <v>130</v>
      </c>
      <c r="AQ8" s="587">
        <v>140</v>
      </c>
      <c r="AR8" s="687">
        <v>150</v>
      </c>
      <c r="AS8" s="586"/>
      <c r="AT8" s="587"/>
      <c r="AU8" s="587"/>
      <c r="AV8" s="588"/>
      <c r="AW8" s="589"/>
      <c r="AX8" s="596">
        <v>0.02</v>
      </c>
      <c r="AY8" s="598">
        <v>2.5000000000000001E-2</v>
      </c>
      <c r="AZ8" s="598">
        <v>0.03</v>
      </c>
      <c r="BA8" s="598">
        <v>3.5000000000000003E-2</v>
      </c>
      <c r="BB8" s="598">
        <v>0.04</v>
      </c>
      <c r="BC8" s="590"/>
      <c r="BD8" s="631"/>
      <c r="BE8" s="596"/>
      <c r="BF8" s="598"/>
      <c r="BG8" s="598"/>
      <c r="BH8" s="598"/>
      <c r="BI8" s="598"/>
      <c r="BJ8" s="598"/>
      <c r="BK8" s="605"/>
      <c r="BL8" s="658">
        <f t="shared" si="37"/>
        <v>10350</v>
      </c>
      <c r="BM8" s="3">
        <f t="shared" si="38"/>
        <v>33</v>
      </c>
      <c r="BN8" s="3">
        <f t="shared" si="39"/>
        <v>33</v>
      </c>
      <c r="BO8" s="3">
        <f t="shared" si="40"/>
        <v>34</v>
      </c>
    </row>
    <row r="9" spans="2:67">
      <c r="B9" s="207" t="s">
        <v>471</v>
      </c>
      <c r="C9" s="889" t="s">
        <v>467</v>
      </c>
      <c r="D9" s="889" t="s">
        <v>70</v>
      </c>
      <c r="E9" s="237" t="s">
        <v>65</v>
      </c>
      <c r="F9" s="592">
        <v>6</v>
      </c>
      <c r="G9" s="593">
        <v>3554</v>
      </c>
      <c r="H9" s="594">
        <v>2961</v>
      </c>
      <c r="I9" s="595">
        <v>5331</v>
      </c>
      <c r="J9" s="166">
        <f t="shared" si="7"/>
        <v>71</v>
      </c>
      <c r="K9" s="167">
        <f t="shared" si="8"/>
        <v>59</v>
      </c>
      <c r="L9" s="168">
        <f t="shared" si="9"/>
        <v>106</v>
      </c>
      <c r="M9" s="166">
        <f t="shared" si="10"/>
        <v>133</v>
      </c>
      <c r="N9" s="167">
        <f t="shared" si="11"/>
        <v>111</v>
      </c>
      <c r="O9" s="168">
        <f t="shared" si="12"/>
        <v>199</v>
      </c>
      <c r="P9" s="169">
        <f t="shared" si="13"/>
        <v>177</v>
      </c>
      <c r="Q9" s="169">
        <f t="shared" si="14"/>
        <v>148</v>
      </c>
      <c r="R9" s="169">
        <f t="shared" si="15"/>
        <v>266</v>
      </c>
      <c r="S9" s="584">
        <f t="shared" si="16"/>
        <v>1066</v>
      </c>
      <c r="T9" s="594">
        <f t="shared" si="17"/>
        <v>888</v>
      </c>
      <c r="U9" s="595">
        <f t="shared" si="18"/>
        <v>1599</v>
      </c>
      <c r="V9" s="166">
        <f t="shared" si="19"/>
        <v>2201</v>
      </c>
      <c r="W9" s="167">
        <f t="shared" si="20"/>
        <v>1835</v>
      </c>
      <c r="X9" s="168">
        <f t="shared" si="21"/>
        <v>3297</v>
      </c>
      <c r="Y9" s="166">
        <f t="shared" si="22"/>
        <v>2555</v>
      </c>
      <c r="Z9" s="167">
        <f t="shared" si="23"/>
        <v>1983</v>
      </c>
      <c r="AA9" s="168">
        <f t="shared" si="24"/>
        <v>3563</v>
      </c>
      <c r="AB9" s="166">
        <f t="shared" si="25"/>
        <v>2732</v>
      </c>
      <c r="AC9" s="167">
        <f t="shared" si="26"/>
        <v>2279</v>
      </c>
      <c r="AD9" s="168">
        <f t="shared" si="27"/>
        <v>3829</v>
      </c>
      <c r="AE9" s="166">
        <f t="shared" si="28"/>
        <v>2909</v>
      </c>
      <c r="AF9" s="167">
        <f t="shared" si="29"/>
        <v>2575</v>
      </c>
      <c r="AG9" s="168">
        <f t="shared" si="30"/>
        <v>4361</v>
      </c>
      <c r="AH9" s="166">
        <f t="shared" si="31"/>
        <v>3263</v>
      </c>
      <c r="AI9" s="167">
        <f t="shared" si="32"/>
        <v>2871</v>
      </c>
      <c r="AJ9" s="168">
        <f t="shared" si="33"/>
        <v>4893</v>
      </c>
      <c r="AK9" s="169">
        <f t="shared" si="34"/>
        <v>3625</v>
      </c>
      <c r="AL9" s="167">
        <f t="shared" si="35"/>
        <v>3020</v>
      </c>
      <c r="AM9" s="585">
        <f t="shared" si="36"/>
        <v>5437</v>
      </c>
      <c r="AN9" s="596">
        <v>0.03</v>
      </c>
      <c r="AO9" s="597">
        <v>3.3000000000000002E-2</v>
      </c>
      <c r="AP9" s="597">
        <v>3.5999999999999997E-2</v>
      </c>
      <c r="AQ9" s="598">
        <v>3.9E-2</v>
      </c>
      <c r="AR9" s="599">
        <v>4.2000000000000003E-2</v>
      </c>
      <c r="AS9" s="586"/>
      <c r="AT9" s="587"/>
      <c r="AU9" s="587"/>
      <c r="AV9" s="588"/>
      <c r="AW9" s="589"/>
      <c r="AX9" s="596">
        <v>1.4999999999999999E-2</v>
      </c>
      <c r="AY9" s="598">
        <v>1.7999999999999999E-2</v>
      </c>
      <c r="AZ9" s="598">
        <v>2.1000000000000001E-2</v>
      </c>
      <c r="BA9" s="598">
        <v>2.4E-2</v>
      </c>
      <c r="BB9" s="598">
        <v>2.7E-2</v>
      </c>
      <c r="BC9" s="590"/>
      <c r="BD9" s="631"/>
      <c r="BE9" s="596"/>
      <c r="BF9" s="598"/>
      <c r="BG9" s="598"/>
      <c r="BH9" s="598"/>
      <c r="BI9" s="598"/>
      <c r="BJ9" s="598"/>
      <c r="BK9" s="605"/>
      <c r="BL9" s="658">
        <f t="shared" si="37"/>
        <v>11850</v>
      </c>
      <c r="BM9" s="3">
        <f t="shared" si="38"/>
        <v>30</v>
      </c>
      <c r="BN9" s="3">
        <f t="shared" si="39"/>
        <v>25</v>
      </c>
      <c r="BO9" s="3">
        <f t="shared" si="40"/>
        <v>45</v>
      </c>
    </row>
    <row r="10" spans="2:67">
      <c r="B10" s="207" t="s">
        <v>429</v>
      </c>
      <c r="C10" s="889" t="s">
        <v>357</v>
      </c>
      <c r="D10" s="889" t="s">
        <v>358</v>
      </c>
      <c r="E10" s="237" t="s">
        <v>65</v>
      </c>
      <c r="F10" s="592">
        <v>7</v>
      </c>
      <c r="G10" s="593">
        <v>6400</v>
      </c>
      <c r="H10" s="594">
        <v>4800</v>
      </c>
      <c r="I10" s="595">
        <v>4800</v>
      </c>
      <c r="J10" s="166">
        <f t="shared" si="7"/>
        <v>128</v>
      </c>
      <c r="K10" s="167">
        <f t="shared" si="8"/>
        <v>96</v>
      </c>
      <c r="L10" s="168">
        <f t="shared" si="9"/>
        <v>96</v>
      </c>
      <c r="M10" s="166">
        <f t="shared" si="10"/>
        <v>192</v>
      </c>
      <c r="N10" s="167">
        <f t="shared" si="11"/>
        <v>144</v>
      </c>
      <c r="O10" s="168">
        <f t="shared" si="12"/>
        <v>144</v>
      </c>
      <c r="P10" s="169">
        <f t="shared" si="13"/>
        <v>256</v>
      </c>
      <c r="Q10" s="169">
        <f t="shared" si="14"/>
        <v>192</v>
      </c>
      <c r="R10" s="169">
        <f t="shared" si="15"/>
        <v>192</v>
      </c>
      <c r="S10" s="584">
        <f t="shared" si="16"/>
        <v>1920</v>
      </c>
      <c r="T10" s="594">
        <f t="shared" si="17"/>
        <v>1440</v>
      </c>
      <c r="U10" s="595">
        <f t="shared" si="18"/>
        <v>1440</v>
      </c>
      <c r="V10" s="166">
        <f t="shared" si="19"/>
        <v>3968</v>
      </c>
      <c r="W10" s="167">
        <f t="shared" si="20"/>
        <v>2976</v>
      </c>
      <c r="X10" s="168">
        <f t="shared" si="21"/>
        <v>2976</v>
      </c>
      <c r="Y10" s="166">
        <f t="shared" si="22"/>
        <v>4480</v>
      </c>
      <c r="Z10" s="167">
        <f t="shared" si="23"/>
        <v>3360</v>
      </c>
      <c r="AA10" s="168">
        <f t="shared" si="24"/>
        <v>3360</v>
      </c>
      <c r="AB10" s="166">
        <f t="shared" si="25"/>
        <v>4992</v>
      </c>
      <c r="AC10" s="167">
        <f t="shared" si="26"/>
        <v>3744</v>
      </c>
      <c r="AD10" s="168">
        <f t="shared" si="27"/>
        <v>3744</v>
      </c>
      <c r="AE10" s="166">
        <f t="shared" si="28"/>
        <v>5248</v>
      </c>
      <c r="AF10" s="167">
        <f t="shared" si="29"/>
        <v>4128</v>
      </c>
      <c r="AG10" s="168">
        <f t="shared" si="30"/>
        <v>4128</v>
      </c>
      <c r="AH10" s="166">
        <f t="shared" si="31"/>
        <v>5760</v>
      </c>
      <c r="AI10" s="167">
        <f t="shared" si="32"/>
        <v>4320</v>
      </c>
      <c r="AJ10" s="168">
        <f t="shared" si="33"/>
        <v>4704</v>
      </c>
      <c r="AK10" s="169">
        <f t="shared" si="34"/>
        <v>6528</v>
      </c>
      <c r="AL10" s="167">
        <f t="shared" si="35"/>
        <v>4896</v>
      </c>
      <c r="AM10" s="585">
        <f t="shared" si="36"/>
        <v>4896</v>
      </c>
      <c r="AN10" s="596">
        <v>0.25</v>
      </c>
      <c r="AO10" s="597">
        <v>0.28000000000000003</v>
      </c>
      <c r="AP10" s="597">
        <v>0.31</v>
      </c>
      <c r="AQ10" s="598">
        <v>0.34</v>
      </c>
      <c r="AR10" s="599">
        <v>0.37</v>
      </c>
      <c r="AS10" s="586"/>
      <c r="AT10" s="587"/>
      <c r="AU10" s="587"/>
      <c r="AV10" s="588"/>
      <c r="AW10" s="589"/>
      <c r="AX10" s="596">
        <v>0.02</v>
      </c>
      <c r="AY10" s="598">
        <v>2.3E-2</v>
      </c>
      <c r="AZ10" s="598">
        <v>2.5999999999999999E-2</v>
      </c>
      <c r="BA10" s="598">
        <v>2.9000000000000001E-2</v>
      </c>
      <c r="BB10" s="598">
        <v>3.2000000000000001E-2</v>
      </c>
      <c r="BC10" s="590"/>
      <c r="BD10" s="631"/>
      <c r="BE10" s="596"/>
      <c r="BF10" s="598"/>
      <c r="BG10" s="598"/>
      <c r="BH10" s="598"/>
      <c r="BI10" s="598"/>
      <c r="BJ10" s="598"/>
      <c r="BK10" s="605"/>
      <c r="BL10" s="658">
        <f t="shared" si="37"/>
        <v>16000</v>
      </c>
      <c r="BM10" s="3">
        <f t="shared" si="38"/>
        <v>40</v>
      </c>
      <c r="BN10" s="3">
        <f t="shared" si="39"/>
        <v>30</v>
      </c>
      <c r="BO10" s="3">
        <f t="shared" si="40"/>
        <v>30</v>
      </c>
    </row>
    <row r="11" spans="2:67">
      <c r="B11" s="1269" t="s">
        <v>2083</v>
      </c>
      <c r="C11" s="1264" t="s">
        <v>309</v>
      </c>
      <c r="D11" s="1264" t="s">
        <v>23</v>
      </c>
      <c r="E11" s="1266" t="s">
        <v>65</v>
      </c>
      <c r="F11" s="592">
        <v>8</v>
      </c>
      <c r="G11" s="593">
        <v>9100</v>
      </c>
      <c r="H11" s="594">
        <v>5200</v>
      </c>
      <c r="I11" s="595">
        <v>11700</v>
      </c>
      <c r="J11" s="166">
        <f t="shared" si="7"/>
        <v>182</v>
      </c>
      <c r="K11" s="167">
        <f t="shared" si="8"/>
        <v>104</v>
      </c>
      <c r="L11" s="168">
        <f t="shared" si="9"/>
        <v>234</v>
      </c>
      <c r="M11" s="166">
        <f t="shared" si="10"/>
        <v>227</v>
      </c>
      <c r="N11" s="167">
        <f t="shared" si="11"/>
        <v>130</v>
      </c>
      <c r="O11" s="168">
        <f t="shared" si="12"/>
        <v>292</v>
      </c>
      <c r="P11" s="169">
        <f t="shared" si="13"/>
        <v>341</v>
      </c>
      <c r="Q11" s="169">
        <f t="shared" si="14"/>
        <v>195</v>
      </c>
      <c r="R11" s="169">
        <f t="shared" si="15"/>
        <v>438</v>
      </c>
      <c r="S11" s="584">
        <f t="shared" si="16"/>
        <v>2275</v>
      </c>
      <c r="T11" s="594">
        <f t="shared" si="17"/>
        <v>1300</v>
      </c>
      <c r="U11" s="595">
        <f t="shared" si="18"/>
        <v>2925</v>
      </c>
      <c r="V11" s="166">
        <f t="shared" si="19"/>
        <v>5181</v>
      </c>
      <c r="W11" s="167">
        <f t="shared" si="20"/>
        <v>2964</v>
      </c>
      <c r="X11" s="168">
        <f t="shared" si="21"/>
        <v>6663</v>
      </c>
      <c r="Y11" s="166">
        <f t="shared" si="22"/>
        <v>6204</v>
      </c>
      <c r="Z11" s="167">
        <f t="shared" si="23"/>
        <v>3354</v>
      </c>
      <c r="AA11" s="168">
        <f t="shared" si="24"/>
        <v>7101</v>
      </c>
      <c r="AB11" s="166">
        <f t="shared" si="25"/>
        <v>6545</v>
      </c>
      <c r="AC11" s="167">
        <f t="shared" si="26"/>
        <v>3939</v>
      </c>
      <c r="AD11" s="168">
        <f t="shared" si="27"/>
        <v>8415</v>
      </c>
      <c r="AE11" s="166">
        <f t="shared" si="28"/>
        <v>7227</v>
      </c>
      <c r="AF11" s="167">
        <f t="shared" si="29"/>
        <v>4329</v>
      </c>
      <c r="AG11" s="168">
        <f t="shared" si="30"/>
        <v>10167</v>
      </c>
      <c r="AH11" s="166">
        <f t="shared" si="31"/>
        <v>8591</v>
      </c>
      <c r="AI11" s="167">
        <f t="shared" si="32"/>
        <v>4719</v>
      </c>
      <c r="AJ11" s="168">
        <f t="shared" si="33"/>
        <v>11043</v>
      </c>
      <c r="AK11" s="169">
        <f t="shared" si="34"/>
        <v>9282</v>
      </c>
      <c r="AL11" s="167">
        <f t="shared" si="35"/>
        <v>5304</v>
      </c>
      <c r="AM11" s="585">
        <f t="shared" si="36"/>
        <v>11934</v>
      </c>
      <c r="AN11" s="596">
        <v>0.2</v>
      </c>
      <c r="AO11" s="597">
        <v>0.23</v>
      </c>
      <c r="AP11" s="597">
        <v>0.26</v>
      </c>
      <c r="AQ11" s="598">
        <v>0.28999999999999998</v>
      </c>
      <c r="AR11" s="599">
        <v>0.32</v>
      </c>
      <c r="AS11" s="586"/>
      <c r="AT11" s="587"/>
      <c r="AU11" s="587"/>
      <c r="AV11" s="588"/>
      <c r="AW11" s="589"/>
      <c r="AX11" s="596">
        <v>0.05</v>
      </c>
      <c r="AY11" s="598">
        <v>5.5E-2</v>
      </c>
      <c r="AZ11" s="598">
        <v>0.06</v>
      </c>
      <c r="BA11" s="598">
        <v>6.5000000000000002E-2</v>
      </c>
      <c r="BB11" s="598">
        <v>7.0000000000000007E-2</v>
      </c>
      <c r="BC11" s="590"/>
      <c r="BD11" s="631"/>
      <c r="BE11" s="596"/>
      <c r="BF11" s="598"/>
      <c r="BG11" s="598"/>
      <c r="BH11" s="598"/>
      <c r="BI11" s="598"/>
      <c r="BJ11" s="598"/>
      <c r="BK11" s="605"/>
      <c r="BL11" s="658">
        <f t="shared" si="37"/>
        <v>26000</v>
      </c>
      <c r="BM11" s="3">
        <f t="shared" si="38"/>
        <v>35</v>
      </c>
      <c r="BN11" s="3">
        <f t="shared" si="39"/>
        <v>20</v>
      </c>
      <c r="BO11" s="3">
        <f t="shared" si="40"/>
        <v>45</v>
      </c>
    </row>
    <row r="12" spans="2:67">
      <c r="B12" s="207" t="s">
        <v>472</v>
      </c>
      <c r="C12" s="889" t="s">
        <v>467</v>
      </c>
      <c r="D12" s="889" t="s">
        <v>14</v>
      </c>
      <c r="E12" s="237" t="s">
        <v>65</v>
      </c>
      <c r="F12" s="592">
        <v>9</v>
      </c>
      <c r="G12" s="593">
        <v>3104</v>
      </c>
      <c r="H12" s="594">
        <v>4140</v>
      </c>
      <c r="I12" s="595">
        <v>3104</v>
      </c>
      <c r="J12" s="166">
        <f t="shared" si="7"/>
        <v>62</v>
      </c>
      <c r="K12" s="167">
        <f t="shared" si="8"/>
        <v>82</v>
      </c>
      <c r="L12" s="168">
        <f t="shared" si="9"/>
        <v>62</v>
      </c>
      <c r="M12" s="166">
        <f t="shared" si="10"/>
        <v>116</v>
      </c>
      <c r="N12" s="167">
        <f t="shared" si="11"/>
        <v>155</v>
      </c>
      <c r="O12" s="168">
        <f t="shared" si="12"/>
        <v>116</v>
      </c>
      <c r="P12" s="169">
        <f t="shared" si="13"/>
        <v>155</v>
      </c>
      <c r="Q12" s="169">
        <f t="shared" si="14"/>
        <v>207</v>
      </c>
      <c r="R12" s="169">
        <f t="shared" si="15"/>
        <v>155</v>
      </c>
      <c r="S12" s="584">
        <f t="shared" si="16"/>
        <v>931</v>
      </c>
      <c r="T12" s="594">
        <f t="shared" si="17"/>
        <v>1242</v>
      </c>
      <c r="U12" s="595">
        <f t="shared" si="18"/>
        <v>931</v>
      </c>
      <c r="V12" s="166">
        <f t="shared" si="19"/>
        <v>1921</v>
      </c>
      <c r="W12" s="167">
        <f t="shared" si="20"/>
        <v>2564</v>
      </c>
      <c r="X12" s="168">
        <f t="shared" si="21"/>
        <v>1921</v>
      </c>
      <c r="Y12" s="166">
        <f t="shared" si="22"/>
        <v>2231</v>
      </c>
      <c r="Z12" s="167">
        <f t="shared" si="23"/>
        <v>2771</v>
      </c>
      <c r="AA12" s="168">
        <f t="shared" si="24"/>
        <v>2076</v>
      </c>
      <c r="AB12" s="166">
        <f t="shared" si="25"/>
        <v>2386</v>
      </c>
      <c r="AC12" s="167">
        <f t="shared" si="26"/>
        <v>2978</v>
      </c>
      <c r="AD12" s="168">
        <f t="shared" si="27"/>
        <v>2386</v>
      </c>
      <c r="AE12" s="166">
        <f t="shared" si="28"/>
        <v>2541</v>
      </c>
      <c r="AF12" s="167">
        <f t="shared" si="29"/>
        <v>3392</v>
      </c>
      <c r="AG12" s="168">
        <f t="shared" si="30"/>
        <v>2696</v>
      </c>
      <c r="AH12" s="166">
        <f t="shared" si="31"/>
        <v>2851</v>
      </c>
      <c r="AI12" s="167">
        <f t="shared" si="32"/>
        <v>3806</v>
      </c>
      <c r="AJ12" s="168">
        <f t="shared" si="33"/>
        <v>3006</v>
      </c>
      <c r="AK12" s="169">
        <f t="shared" si="34"/>
        <v>3166</v>
      </c>
      <c r="AL12" s="167">
        <f t="shared" si="35"/>
        <v>4222</v>
      </c>
      <c r="AM12" s="585">
        <f t="shared" si="36"/>
        <v>3166</v>
      </c>
      <c r="AN12" s="586">
        <v>100</v>
      </c>
      <c r="AO12" s="686">
        <v>150</v>
      </c>
      <c r="AP12" s="686">
        <v>200</v>
      </c>
      <c r="AQ12" s="587">
        <v>250</v>
      </c>
      <c r="AR12" s="687">
        <v>300</v>
      </c>
      <c r="AS12" s="586"/>
      <c r="AT12" s="587"/>
      <c r="AU12" s="587"/>
      <c r="AV12" s="588"/>
      <c r="AW12" s="589"/>
      <c r="AX12" s="596">
        <v>0.01</v>
      </c>
      <c r="AY12" s="598">
        <v>1.2999999999999999E-2</v>
      </c>
      <c r="AZ12" s="598">
        <v>1.6E-2</v>
      </c>
      <c r="BA12" s="598">
        <v>1.9E-2</v>
      </c>
      <c r="BB12" s="598">
        <v>2.1999999999999999E-2</v>
      </c>
      <c r="BC12" s="590"/>
      <c r="BD12" s="631"/>
      <c r="BE12" s="596"/>
      <c r="BF12" s="598"/>
      <c r="BG12" s="598"/>
      <c r="BH12" s="598"/>
      <c r="BI12" s="598"/>
      <c r="BJ12" s="598"/>
      <c r="BK12" s="605"/>
      <c r="BL12" s="658">
        <f t="shared" si="37"/>
        <v>10350</v>
      </c>
      <c r="BM12" s="3">
        <f t="shared" si="38"/>
        <v>30</v>
      </c>
      <c r="BN12" s="3">
        <f t="shared" si="39"/>
        <v>40</v>
      </c>
      <c r="BO12" s="3">
        <f t="shared" si="40"/>
        <v>30</v>
      </c>
    </row>
    <row r="13" spans="2:67">
      <c r="B13" s="207" t="s">
        <v>473</v>
      </c>
      <c r="C13" s="889" t="s">
        <v>467</v>
      </c>
      <c r="D13" s="889" t="s">
        <v>70</v>
      </c>
      <c r="E13" s="237" t="s">
        <v>65</v>
      </c>
      <c r="F13" s="592">
        <v>10</v>
      </c>
      <c r="G13" s="593">
        <v>4740</v>
      </c>
      <c r="H13" s="594">
        <v>3554</v>
      </c>
      <c r="I13" s="595">
        <v>3554</v>
      </c>
      <c r="J13" s="166">
        <f t="shared" si="7"/>
        <v>94</v>
      </c>
      <c r="K13" s="167">
        <f t="shared" si="8"/>
        <v>71</v>
      </c>
      <c r="L13" s="168">
        <f t="shared" si="9"/>
        <v>71</v>
      </c>
      <c r="M13" s="166">
        <f t="shared" si="10"/>
        <v>177</v>
      </c>
      <c r="N13" s="167">
        <f t="shared" si="11"/>
        <v>133</v>
      </c>
      <c r="O13" s="168">
        <f t="shared" si="12"/>
        <v>133</v>
      </c>
      <c r="P13" s="169">
        <f t="shared" si="13"/>
        <v>237</v>
      </c>
      <c r="Q13" s="169">
        <f t="shared" si="14"/>
        <v>177</v>
      </c>
      <c r="R13" s="169">
        <f t="shared" si="15"/>
        <v>177</v>
      </c>
      <c r="S13" s="584">
        <f t="shared" si="16"/>
        <v>1422</v>
      </c>
      <c r="T13" s="594">
        <f t="shared" si="17"/>
        <v>1066</v>
      </c>
      <c r="U13" s="595">
        <f t="shared" si="18"/>
        <v>1066</v>
      </c>
      <c r="V13" s="166">
        <f t="shared" si="19"/>
        <v>2932</v>
      </c>
      <c r="W13" s="167">
        <f t="shared" si="20"/>
        <v>2201</v>
      </c>
      <c r="X13" s="168">
        <f t="shared" si="21"/>
        <v>2201</v>
      </c>
      <c r="Y13" s="166">
        <f t="shared" si="22"/>
        <v>3406</v>
      </c>
      <c r="Z13" s="167">
        <f t="shared" si="23"/>
        <v>2378</v>
      </c>
      <c r="AA13" s="168">
        <f t="shared" si="24"/>
        <v>2378</v>
      </c>
      <c r="AB13" s="166">
        <f t="shared" si="25"/>
        <v>3643</v>
      </c>
      <c r="AC13" s="167">
        <f t="shared" si="26"/>
        <v>2732</v>
      </c>
      <c r="AD13" s="168">
        <f t="shared" si="27"/>
        <v>2555</v>
      </c>
      <c r="AE13" s="166">
        <f t="shared" si="28"/>
        <v>3880</v>
      </c>
      <c r="AF13" s="167">
        <f t="shared" si="29"/>
        <v>3086</v>
      </c>
      <c r="AG13" s="168">
        <f t="shared" si="30"/>
        <v>2909</v>
      </c>
      <c r="AH13" s="166">
        <f t="shared" si="31"/>
        <v>4354</v>
      </c>
      <c r="AI13" s="167">
        <f t="shared" si="32"/>
        <v>3440</v>
      </c>
      <c r="AJ13" s="168">
        <f t="shared" si="33"/>
        <v>3263</v>
      </c>
      <c r="AK13" s="169">
        <f t="shared" si="34"/>
        <v>4834</v>
      </c>
      <c r="AL13" s="167">
        <f t="shared" si="35"/>
        <v>3625</v>
      </c>
      <c r="AM13" s="585">
        <f t="shared" si="36"/>
        <v>3625</v>
      </c>
      <c r="AN13" s="596">
        <v>0.03</v>
      </c>
      <c r="AO13" s="597">
        <v>3.3000000000000002E-2</v>
      </c>
      <c r="AP13" s="597">
        <v>3.5999999999999997E-2</v>
      </c>
      <c r="AQ13" s="598">
        <v>3.9E-2</v>
      </c>
      <c r="AR13" s="599">
        <v>4.2000000000000003E-2</v>
      </c>
      <c r="AS13" s="586"/>
      <c r="AT13" s="587"/>
      <c r="AU13" s="587"/>
      <c r="AV13" s="588"/>
      <c r="AW13" s="589"/>
      <c r="AX13" s="596">
        <v>1.4999999999999999E-2</v>
      </c>
      <c r="AY13" s="598">
        <v>1.7999999999999999E-2</v>
      </c>
      <c r="AZ13" s="598">
        <v>2.1000000000000001E-2</v>
      </c>
      <c r="BA13" s="598">
        <v>2.4E-2</v>
      </c>
      <c r="BB13" s="598">
        <v>2.7E-2</v>
      </c>
      <c r="BC13" s="590"/>
      <c r="BD13" s="631"/>
      <c r="BE13" s="596"/>
      <c r="BF13" s="598"/>
      <c r="BG13" s="598"/>
      <c r="BH13" s="598"/>
      <c r="BI13" s="598"/>
      <c r="BJ13" s="598"/>
      <c r="BK13" s="605"/>
      <c r="BL13" s="658">
        <f t="shared" si="37"/>
        <v>11850</v>
      </c>
      <c r="BM13" s="3">
        <f t="shared" si="38"/>
        <v>40</v>
      </c>
      <c r="BN13" s="3">
        <f t="shared" si="39"/>
        <v>30</v>
      </c>
      <c r="BO13" s="3">
        <f t="shared" si="40"/>
        <v>30</v>
      </c>
    </row>
    <row r="14" spans="2:67">
      <c r="B14" s="207" t="s">
        <v>430</v>
      </c>
      <c r="C14" s="889" t="s">
        <v>357</v>
      </c>
      <c r="D14" s="889" t="s">
        <v>359</v>
      </c>
      <c r="E14" s="237" t="s">
        <v>65</v>
      </c>
      <c r="F14" s="592">
        <v>11</v>
      </c>
      <c r="G14" s="593">
        <v>5280</v>
      </c>
      <c r="H14" s="594">
        <v>5280</v>
      </c>
      <c r="I14" s="595">
        <v>5440</v>
      </c>
      <c r="J14" s="166">
        <f t="shared" si="7"/>
        <v>105</v>
      </c>
      <c r="K14" s="167">
        <f t="shared" si="8"/>
        <v>105</v>
      </c>
      <c r="L14" s="168">
        <f t="shared" si="9"/>
        <v>108</v>
      </c>
      <c r="M14" s="166">
        <f t="shared" si="10"/>
        <v>158</v>
      </c>
      <c r="N14" s="167">
        <f t="shared" si="11"/>
        <v>158</v>
      </c>
      <c r="O14" s="168">
        <f t="shared" si="12"/>
        <v>163</v>
      </c>
      <c r="P14" s="169">
        <f t="shared" si="13"/>
        <v>211</v>
      </c>
      <c r="Q14" s="169">
        <f t="shared" si="14"/>
        <v>211</v>
      </c>
      <c r="R14" s="169">
        <f t="shared" si="15"/>
        <v>217</v>
      </c>
      <c r="S14" s="584">
        <f t="shared" si="16"/>
        <v>1584</v>
      </c>
      <c r="T14" s="594">
        <f t="shared" si="17"/>
        <v>1584</v>
      </c>
      <c r="U14" s="595">
        <f t="shared" si="18"/>
        <v>1632</v>
      </c>
      <c r="V14" s="166">
        <f t="shared" si="19"/>
        <v>3269</v>
      </c>
      <c r="W14" s="167">
        <f t="shared" si="20"/>
        <v>3269</v>
      </c>
      <c r="X14" s="168">
        <f t="shared" si="21"/>
        <v>3370</v>
      </c>
      <c r="Y14" s="166">
        <f t="shared" si="22"/>
        <v>3691</v>
      </c>
      <c r="Z14" s="167">
        <f t="shared" si="23"/>
        <v>3691</v>
      </c>
      <c r="AA14" s="168">
        <f t="shared" si="24"/>
        <v>3804</v>
      </c>
      <c r="AB14" s="166">
        <f t="shared" si="25"/>
        <v>4113</v>
      </c>
      <c r="AC14" s="167">
        <f t="shared" si="26"/>
        <v>4113</v>
      </c>
      <c r="AD14" s="168">
        <f t="shared" si="27"/>
        <v>4238</v>
      </c>
      <c r="AE14" s="166">
        <f t="shared" si="28"/>
        <v>4535</v>
      </c>
      <c r="AF14" s="167">
        <f t="shared" si="29"/>
        <v>4324</v>
      </c>
      <c r="AG14" s="168">
        <f t="shared" si="30"/>
        <v>4672</v>
      </c>
      <c r="AH14" s="166">
        <f t="shared" si="31"/>
        <v>5168</v>
      </c>
      <c r="AI14" s="167">
        <f t="shared" si="32"/>
        <v>4746</v>
      </c>
      <c r="AJ14" s="168">
        <f t="shared" si="33"/>
        <v>4889</v>
      </c>
      <c r="AK14" s="169">
        <f t="shared" si="34"/>
        <v>5385</v>
      </c>
      <c r="AL14" s="167">
        <f t="shared" si="35"/>
        <v>5385</v>
      </c>
      <c r="AM14" s="585">
        <f t="shared" si="36"/>
        <v>5548</v>
      </c>
      <c r="AN14" s="596">
        <v>0.15</v>
      </c>
      <c r="AO14" s="597">
        <v>0.18</v>
      </c>
      <c r="AP14" s="597">
        <v>0.21</v>
      </c>
      <c r="AQ14" s="598">
        <v>0.24</v>
      </c>
      <c r="AR14" s="599">
        <v>0.27</v>
      </c>
      <c r="AS14" s="586"/>
      <c r="AT14" s="587"/>
      <c r="AU14" s="587"/>
      <c r="AV14" s="588"/>
      <c r="AW14" s="589"/>
      <c r="AX14" s="596">
        <v>0.02</v>
      </c>
      <c r="AY14" s="598">
        <v>2.3E-2</v>
      </c>
      <c r="AZ14" s="598">
        <v>2.5999999999999999E-2</v>
      </c>
      <c r="BA14" s="598">
        <v>2.9000000000000001E-2</v>
      </c>
      <c r="BB14" s="598">
        <v>3.2000000000000001E-2</v>
      </c>
      <c r="BC14" s="590"/>
      <c r="BD14" s="631"/>
      <c r="BE14" s="596"/>
      <c r="BF14" s="598"/>
      <c r="BG14" s="598"/>
      <c r="BH14" s="598"/>
      <c r="BI14" s="598"/>
      <c r="BJ14" s="598"/>
      <c r="BK14" s="605"/>
      <c r="BL14" s="658">
        <f t="shared" si="37"/>
        <v>16000</v>
      </c>
      <c r="BM14" s="3">
        <f t="shared" si="38"/>
        <v>33</v>
      </c>
      <c r="BN14" s="3">
        <f t="shared" si="39"/>
        <v>33</v>
      </c>
      <c r="BO14" s="3">
        <f t="shared" si="40"/>
        <v>34</v>
      </c>
    </row>
    <row r="15" spans="2:67">
      <c r="B15" s="1269" t="s">
        <v>2084</v>
      </c>
      <c r="C15" s="1264" t="s">
        <v>309</v>
      </c>
      <c r="D15" s="1264" t="s">
        <v>13</v>
      </c>
      <c r="E15" s="1266" t="s">
        <v>65</v>
      </c>
      <c r="F15" s="1270">
        <v>12</v>
      </c>
      <c r="G15" s="593">
        <v>7800</v>
      </c>
      <c r="H15" s="594">
        <v>7800</v>
      </c>
      <c r="I15" s="595">
        <v>10400</v>
      </c>
      <c r="J15" s="166">
        <f t="shared" si="7"/>
        <v>156</v>
      </c>
      <c r="K15" s="167">
        <f t="shared" si="8"/>
        <v>156</v>
      </c>
      <c r="L15" s="168">
        <f t="shared" si="9"/>
        <v>208</v>
      </c>
      <c r="M15" s="166">
        <f t="shared" si="10"/>
        <v>195</v>
      </c>
      <c r="N15" s="167">
        <f t="shared" si="11"/>
        <v>195</v>
      </c>
      <c r="O15" s="168">
        <f t="shared" si="12"/>
        <v>260</v>
      </c>
      <c r="P15" s="169">
        <f t="shared" si="13"/>
        <v>292</v>
      </c>
      <c r="Q15" s="169">
        <f t="shared" si="14"/>
        <v>292</v>
      </c>
      <c r="R15" s="169">
        <f t="shared" si="15"/>
        <v>390</v>
      </c>
      <c r="S15" s="584">
        <f t="shared" si="16"/>
        <v>1950</v>
      </c>
      <c r="T15" s="594">
        <f t="shared" si="17"/>
        <v>1950</v>
      </c>
      <c r="U15" s="595">
        <f t="shared" si="18"/>
        <v>2600</v>
      </c>
      <c r="V15" s="166">
        <f t="shared" si="19"/>
        <v>4446</v>
      </c>
      <c r="W15" s="167">
        <f t="shared" si="20"/>
        <v>4446</v>
      </c>
      <c r="X15" s="168">
        <f t="shared" si="21"/>
        <v>5928</v>
      </c>
      <c r="Y15" s="166">
        <f t="shared" si="22"/>
        <v>5030</v>
      </c>
      <c r="Z15" s="167">
        <f t="shared" si="23"/>
        <v>4738</v>
      </c>
      <c r="AA15" s="168">
        <f t="shared" si="24"/>
        <v>7098</v>
      </c>
      <c r="AB15" s="166">
        <f t="shared" si="25"/>
        <v>5906</v>
      </c>
      <c r="AC15" s="167">
        <f t="shared" si="26"/>
        <v>5614</v>
      </c>
      <c r="AD15" s="168">
        <f t="shared" si="27"/>
        <v>7488</v>
      </c>
      <c r="AE15" s="166">
        <f t="shared" si="28"/>
        <v>6490</v>
      </c>
      <c r="AF15" s="167">
        <f t="shared" si="29"/>
        <v>6782</v>
      </c>
      <c r="AG15" s="168">
        <f t="shared" si="30"/>
        <v>8268</v>
      </c>
      <c r="AH15" s="166">
        <f t="shared" si="31"/>
        <v>7074</v>
      </c>
      <c r="AI15" s="167">
        <f t="shared" si="32"/>
        <v>7366</v>
      </c>
      <c r="AJ15" s="168">
        <f t="shared" si="33"/>
        <v>9828</v>
      </c>
      <c r="AK15" s="169">
        <f t="shared" si="34"/>
        <v>7956</v>
      </c>
      <c r="AL15" s="167">
        <f t="shared" si="35"/>
        <v>7956</v>
      </c>
      <c r="AM15" s="585">
        <f t="shared" si="36"/>
        <v>10608</v>
      </c>
      <c r="AN15" s="596">
        <v>0.05</v>
      </c>
      <c r="AO15" s="597">
        <v>5.2999999999999999E-2</v>
      </c>
      <c r="AP15" s="597">
        <v>5.6000000000000001E-2</v>
      </c>
      <c r="AQ15" s="598">
        <v>5.8999999999999997E-2</v>
      </c>
      <c r="AR15" s="599">
        <v>6.2E-2</v>
      </c>
      <c r="AS15" s="586"/>
      <c r="AT15" s="587"/>
      <c r="AU15" s="587"/>
      <c r="AV15" s="588"/>
      <c r="AW15" s="589"/>
      <c r="AX15" s="596">
        <v>0.03</v>
      </c>
      <c r="AY15" s="598">
        <v>3.3000000000000002E-2</v>
      </c>
      <c r="AZ15" s="598">
        <v>3.5999999999999997E-2</v>
      </c>
      <c r="BA15" s="598">
        <v>3.9E-2</v>
      </c>
      <c r="BB15" s="598">
        <v>4.2000000000000003E-2</v>
      </c>
      <c r="BC15" s="590"/>
      <c r="BD15" s="631"/>
      <c r="BE15" s="596"/>
      <c r="BF15" s="598"/>
      <c r="BG15" s="598"/>
      <c r="BH15" s="598"/>
      <c r="BI15" s="598"/>
      <c r="BJ15" s="598"/>
      <c r="BK15" s="605"/>
      <c r="BL15" s="658">
        <f t="shared" si="37"/>
        <v>26000</v>
      </c>
      <c r="BM15" s="3">
        <f t="shared" si="38"/>
        <v>30</v>
      </c>
      <c r="BN15" s="3">
        <f t="shared" si="39"/>
        <v>30</v>
      </c>
      <c r="BO15" s="3">
        <f t="shared" si="40"/>
        <v>40</v>
      </c>
    </row>
    <row r="16" spans="2:67">
      <c r="B16" s="207" t="s">
        <v>474</v>
      </c>
      <c r="C16" s="889" t="s">
        <v>467</v>
      </c>
      <c r="D16" s="889" t="s">
        <v>70</v>
      </c>
      <c r="E16" s="237" t="s">
        <v>65</v>
      </c>
      <c r="F16" s="592">
        <v>13</v>
      </c>
      <c r="G16" s="593">
        <v>3414</v>
      </c>
      <c r="H16" s="594">
        <v>3414</v>
      </c>
      <c r="I16" s="595">
        <v>3517</v>
      </c>
      <c r="J16" s="166">
        <f t="shared" si="7"/>
        <v>68</v>
      </c>
      <c r="K16" s="167">
        <f t="shared" si="8"/>
        <v>68</v>
      </c>
      <c r="L16" s="168">
        <f t="shared" si="9"/>
        <v>70</v>
      </c>
      <c r="M16" s="166">
        <f t="shared" si="10"/>
        <v>128</v>
      </c>
      <c r="N16" s="167">
        <f t="shared" si="11"/>
        <v>128</v>
      </c>
      <c r="O16" s="168">
        <f t="shared" si="12"/>
        <v>131</v>
      </c>
      <c r="P16" s="169">
        <f t="shared" si="13"/>
        <v>170</v>
      </c>
      <c r="Q16" s="169">
        <f t="shared" si="14"/>
        <v>170</v>
      </c>
      <c r="R16" s="169">
        <f t="shared" si="15"/>
        <v>175</v>
      </c>
      <c r="S16" s="584">
        <f t="shared" si="16"/>
        <v>1024</v>
      </c>
      <c r="T16" s="594">
        <f t="shared" si="17"/>
        <v>1024</v>
      </c>
      <c r="U16" s="595">
        <f t="shared" si="18"/>
        <v>1055</v>
      </c>
      <c r="V16" s="166">
        <f t="shared" si="19"/>
        <v>2116</v>
      </c>
      <c r="W16" s="167">
        <f t="shared" si="20"/>
        <v>2116</v>
      </c>
      <c r="X16" s="168">
        <f t="shared" si="21"/>
        <v>2173</v>
      </c>
      <c r="Y16" s="166">
        <f t="shared" si="22"/>
        <v>2456</v>
      </c>
      <c r="Z16" s="167">
        <f t="shared" si="23"/>
        <v>2286</v>
      </c>
      <c r="AA16" s="168">
        <f t="shared" si="24"/>
        <v>2348</v>
      </c>
      <c r="AB16" s="166">
        <f t="shared" si="25"/>
        <v>2626</v>
      </c>
      <c r="AC16" s="167">
        <f t="shared" si="26"/>
        <v>2626</v>
      </c>
      <c r="AD16" s="168">
        <f t="shared" si="27"/>
        <v>2523</v>
      </c>
      <c r="AE16" s="166">
        <f t="shared" si="28"/>
        <v>2796</v>
      </c>
      <c r="AF16" s="167">
        <f t="shared" si="29"/>
        <v>2966</v>
      </c>
      <c r="AG16" s="168">
        <f t="shared" si="30"/>
        <v>2873</v>
      </c>
      <c r="AH16" s="166">
        <f t="shared" si="31"/>
        <v>3136</v>
      </c>
      <c r="AI16" s="167">
        <f t="shared" si="32"/>
        <v>3306</v>
      </c>
      <c r="AJ16" s="168">
        <f t="shared" si="33"/>
        <v>3223</v>
      </c>
      <c r="AK16" s="169">
        <f t="shared" si="34"/>
        <v>3482</v>
      </c>
      <c r="AL16" s="167">
        <f t="shared" si="35"/>
        <v>3482</v>
      </c>
      <c r="AM16" s="585">
        <f t="shared" si="36"/>
        <v>3587</v>
      </c>
      <c r="AN16" s="596">
        <v>2.1999999999999999E-2</v>
      </c>
      <c r="AO16" s="597">
        <v>2.4E-2</v>
      </c>
      <c r="AP16" s="597">
        <v>2.5999999999999999E-2</v>
      </c>
      <c r="AQ16" s="598">
        <v>2.8000000000000001E-2</v>
      </c>
      <c r="AR16" s="599">
        <v>0.03</v>
      </c>
      <c r="AS16" s="586"/>
      <c r="AT16" s="587"/>
      <c r="AU16" s="587"/>
      <c r="AV16" s="588"/>
      <c r="AW16" s="589"/>
      <c r="AX16" s="596">
        <v>0.01</v>
      </c>
      <c r="AY16" s="598">
        <v>1.2999999999999999E-2</v>
      </c>
      <c r="AZ16" s="598">
        <v>1.6E-2</v>
      </c>
      <c r="BA16" s="598">
        <v>1.9E-2</v>
      </c>
      <c r="BB16" s="598">
        <v>2.1999999999999999E-2</v>
      </c>
      <c r="BC16" s="590"/>
      <c r="BD16" s="631"/>
      <c r="BE16" s="596"/>
      <c r="BF16" s="598"/>
      <c r="BG16" s="598"/>
      <c r="BH16" s="598"/>
      <c r="BI16" s="598"/>
      <c r="BJ16" s="598"/>
      <c r="BK16" s="605"/>
      <c r="BL16" s="658">
        <f t="shared" si="37"/>
        <v>10350</v>
      </c>
      <c r="BM16" s="3">
        <f t="shared" si="38"/>
        <v>33</v>
      </c>
      <c r="BN16" s="3">
        <f t="shared" si="39"/>
        <v>33</v>
      </c>
      <c r="BO16" s="3">
        <f t="shared" si="40"/>
        <v>34</v>
      </c>
    </row>
    <row r="17" spans="2:67">
      <c r="B17" s="207" t="s">
        <v>475</v>
      </c>
      <c r="C17" s="889" t="s">
        <v>467</v>
      </c>
      <c r="D17" s="889" t="s">
        <v>13</v>
      </c>
      <c r="E17" s="237" t="s">
        <v>65</v>
      </c>
      <c r="F17" s="592">
        <v>14</v>
      </c>
      <c r="G17" s="593">
        <v>3554</v>
      </c>
      <c r="H17" s="594">
        <v>4147</v>
      </c>
      <c r="I17" s="595">
        <v>4147</v>
      </c>
      <c r="J17" s="166">
        <f t="shared" si="7"/>
        <v>71</v>
      </c>
      <c r="K17" s="167">
        <f t="shared" si="8"/>
        <v>82</v>
      </c>
      <c r="L17" s="168">
        <f t="shared" si="9"/>
        <v>82</v>
      </c>
      <c r="M17" s="166">
        <f t="shared" si="10"/>
        <v>133</v>
      </c>
      <c r="N17" s="167">
        <f t="shared" si="11"/>
        <v>155</v>
      </c>
      <c r="O17" s="168">
        <f t="shared" si="12"/>
        <v>155</v>
      </c>
      <c r="P17" s="169">
        <f t="shared" si="13"/>
        <v>177</v>
      </c>
      <c r="Q17" s="169">
        <f t="shared" si="14"/>
        <v>207</v>
      </c>
      <c r="R17" s="169">
        <f t="shared" si="15"/>
        <v>207</v>
      </c>
      <c r="S17" s="584">
        <f t="shared" si="16"/>
        <v>1066</v>
      </c>
      <c r="T17" s="594">
        <f t="shared" si="17"/>
        <v>1244</v>
      </c>
      <c r="U17" s="595">
        <f t="shared" si="18"/>
        <v>1244</v>
      </c>
      <c r="V17" s="166">
        <f t="shared" si="19"/>
        <v>2201</v>
      </c>
      <c r="W17" s="167">
        <f t="shared" si="20"/>
        <v>2566</v>
      </c>
      <c r="X17" s="168">
        <f t="shared" si="21"/>
        <v>2566</v>
      </c>
      <c r="Y17" s="166">
        <f t="shared" si="22"/>
        <v>2378</v>
      </c>
      <c r="Z17" s="167">
        <f t="shared" si="23"/>
        <v>2980</v>
      </c>
      <c r="AA17" s="168">
        <f t="shared" si="24"/>
        <v>2773</v>
      </c>
      <c r="AB17" s="166">
        <f t="shared" si="25"/>
        <v>2732</v>
      </c>
      <c r="AC17" s="167">
        <f t="shared" si="26"/>
        <v>3187</v>
      </c>
      <c r="AD17" s="168">
        <f t="shared" si="27"/>
        <v>2980</v>
      </c>
      <c r="AE17" s="166">
        <f t="shared" si="28"/>
        <v>3086</v>
      </c>
      <c r="AF17" s="167">
        <f t="shared" si="29"/>
        <v>3394</v>
      </c>
      <c r="AG17" s="168">
        <f t="shared" si="30"/>
        <v>3394</v>
      </c>
      <c r="AH17" s="166">
        <f t="shared" si="31"/>
        <v>3440</v>
      </c>
      <c r="AI17" s="167">
        <f t="shared" si="32"/>
        <v>3808</v>
      </c>
      <c r="AJ17" s="168">
        <f t="shared" si="33"/>
        <v>3808</v>
      </c>
      <c r="AK17" s="169">
        <f t="shared" si="34"/>
        <v>3625</v>
      </c>
      <c r="AL17" s="167">
        <f t="shared" si="35"/>
        <v>4229</v>
      </c>
      <c r="AM17" s="585">
        <f t="shared" si="36"/>
        <v>4229</v>
      </c>
      <c r="AN17" s="586">
        <v>110</v>
      </c>
      <c r="AO17" s="686">
        <v>120</v>
      </c>
      <c r="AP17" s="686">
        <v>130</v>
      </c>
      <c r="AQ17" s="587">
        <v>140</v>
      </c>
      <c r="AR17" s="687">
        <v>150</v>
      </c>
      <c r="AS17" s="586"/>
      <c r="AT17" s="587"/>
      <c r="AU17" s="587"/>
      <c r="AV17" s="588"/>
      <c r="AW17" s="589"/>
      <c r="AX17" s="596">
        <v>0.02</v>
      </c>
      <c r="AY17" s="598">
        <v>2.3E-2</v>
      </c>
      <c r="AZ17" s="598">
        <v>2.5999999999999999E-2</v>
      </c>
      <c r="BA17" s="598">
        <v>2.9000000000000001E-2</v>
      </c>
      <c r="BB17" s="598">
        <v>3.2000000000000001E-2</v>
      </c>
      <c r="BC17" s="590"/>
      <c r="BD17" s="631"/>
      <c r="BE17" s="596"/>
      <c r="BF17" s="598"/>
      <c r="BG17" s="598"/>
      <c r="BH17" s="598"/>
      <c r="BI17" s="598"/>
      <c r="BJ17" s="598"/>
      <c r="BK17" s="605"/>
      <c r="BL17" s="658">
        <f t="shared" si="37"/>
        <v>11850</v>
      </c>
      <c r="BM17" s="3">
        <f t="shared" si="38"/>
        <v>30</v>
      </c>
      <c r="BN17" s="3">
        <f t="shared" si="39"/>
        <v>35</v>
      </c>
      <c r="BO17" s="3">
        <f t="shared" si="40"/>
        <v>35</v>
      </c>
    </row>
    <row r="18" spans="2:67">
      <c r="B18" s="207" t="s">
        <v>431</v>
      </c>
      <c r="C18" s="889" t="s">
        <v>357</v>
      </c>
      <c r="D18" s="889" t="s">
        <v>359</v>
      </c>
      <c r="E18" s="237" t="s">
        <v>65</v>
      </c>
      <c r="F18" s="592">
        <v>15</v>
      </c>
      <c r="G18" s="593">
        <v>4800</v>
      </c>
      <c r="H18" s="594">
        <v>6400</v>
      </c>
      <c r="I18" s="595">
        <v>4800</v>
      </c>
      <c r="J18" s="166">
        <f t="shared" si="7"/>
        <v>96</v>
      </c>
      <c r="K18" s="167">
        <f t="shared" si="8"/>
        <v>128</v>
      </c>
      <c r="L18" s="168">
        <f t="shared" si="9"/>
        <v>96</v>
      </c>
      <c r="M18" s="166">
        <f t="shared" si="10"/>
        <v>144</v>
      </c>
      <c r="N18" s="167">
        <f t="shared" si="11"/>
        <v>192</v>
      </c>
      <c r="O18" s="168">
        <f t="shared" si="12"/>
        <v>144</v>
      </c>
      <c r="P18" s="169">
        <f t="shared" si="13"/>
        <v>192</v>
      </c>
      <c r="Q18" s="169">
        <f t="shared" si="14"/>
        <v>256</v>
      </c>
      <c r="R18" s="169">
        <f t="shared" si="15"/>
        <v>192</v>
      </c>
      <c r="S18" s="584">
        <f t="shared" si="16"/>
        <v>1440</v>
      </c>
      <c r="T18" s="594">
        <f t="shared" si="17"/>
        <v>1920</v>
      </c>
      <c r="U18" s="595">
        <f t="shared" si="18"/>
        <v>1440</v>
      </c>
      <c r="V18" s="166">
        <f t="shared" si="19"/>
        <v>2976</v>
      </c>
      <c r="W18" s="167">
        <f t="shared" si="20"/>
        <v>3968</v>
      </c>
      <c r="X18" s="168">
        <f t="shared" si="21"/>
        <v>2976</v>
      </c>
      <c r="Y18" s="166">
        <f t="shared" si="22"/>
        <v>3360</v>
      </c>
      <c r="Z18" s="167">
        <f t="shared" si="23"/>
        <v>4480</v>
      </c>
      <c r="AA18" s="168">
        <f t="shared" si="24"/>
        <v>3360</v>
      </c>
      <c r="AB18" s="166">
        <f t="shared" si="25"/>
        <v>3744</v>
      </c>
      <c r="AC18" s="167">
        <f t="shared" si="26"/>
        <v>4992</v>
      </c>
      <c r="AD18" s="168">
        <f t="shared" si="27"/>
        <v>3744</v>
      </c>
      <c r="AE18" s="166">
        <f t="shared" si="28"/>
        <v>4128</v>
      </c>
      <c r="AF18" s="167">
        <f t="shared" si="29"/>
        <v>5248</v>
      </c>
      <c r="AG18" s="168">
        <f t="shared" si="30"/>
        <v>4128</v>
      </c>
      <c r="AH18" s="166">
        <f t="shared" si="31"/>
        <v>4704</v>
      </c>
      <c r="AI18" s="167">
        <f t="shared" si="32"/>
        <v>5760</v>
      </c>
      <c r="AJ18" s="168">
        <f t="shared" si="33"/>
        <v>4320</v>
      </c>
      <c r="AK18" s="169">
        <f t="shared" si="34"/>
        <v>4896</v>
      </c>
      <c r="AL18" s="167">
        <f t="shared" si="35"/>
        <v>6528</v>
      </c>
      <c r="AM18" s="585">
        <f t="shared" si="36"/>
        <v>4896</v>
      </c>
      <c r="AN18" s="596">
        <v>0.2</v>
      </c>
      <c r="AO18" s="597">
        <v>0.23</v>
      </c>
      <c r="AP18" s="597">
        <v>0.26</v>
      </c>
      <c r="AQ18" s="598">
        <v>0.28999999999999998</v>
      </c>
      <c r="AR18" s="599">
        <v>0.32</v>
      </c>
      <c r="AS18" s="586"/>
      <c r="AT18" s="587"/>
      <c r="AU18" s="587"/>
      <c r="AV18" s="588"/>
      <c r="AW18" s="589"/>
      <c r="AX18" s="596">
        <v>0.05</v>
      </c>
      <c r="AY18" s="598">
        <v>5.5E-2</v>
      </c>
      <c r="AZ18" s="598">
        <v>0.06</v>
      </c>
      <c r="BA18" s="598">
        <v>6.5000000000000002E-2</v>
      </c>
      <c r="BB18" s="598">
        <v>7.0000000000000007E-2</v>
      </c>
      <c r="BC18" s="590"/>
      <c r="BD18" s="631"/>
      <c r="BE18" s="596"/>
      <c r="BF18" s="598"/>
      <c r="BG18" s="598"/>
      <c r="BH18" s="598"/>
      <c r="BI18" s="598"/>
      <c r="BJ18" s="598"/>
      <c r="BK18" s="605"/>
      <c r="BL18" s="658">
        <f t="shared" si="37"/>
        <v>16000</v>
      </c>
      <c r="BM18" s="3">
        <f t="shared" si="38"/>
        <v>30</v>
      </c>
      <c r="BN18" s="3">
        <f t="shared" si="39"/>
        <v>40</v>
      </c>
      <c r="BO18" s="3">
        <f t="shared" si="40"/>
        <v>30</v>
      </c>
    </row>
    <row r="19" spans="2:67">
      <c r="B19" s="207" t="s">
        <v>2085</v>
      </c>
      <c r="C19" s="889" t="s">
        <v>309</v>
      </c>
      <c r="D19" s="889" t="s">
        <v>14</v>
      </c>
      <c r="E19" s="237" t="s">
        <v>65</v>
      </c>
      <c r="F19" s="592">
        <v>16</v>
      </c>
      <c r="G19" s="593">
        <v>11700</v>
      </c>
      <c r="H19" s="594">
        <v>5200</v>
      </c>
      <c r="I19" s="595">
        <v>9100</v>
      </c>
      <c r="J19" s="166">
        <f t="shared" si="7"/>
        <v>234</v>
      </c>
      <c r="K19" s="167">
        <f t="shared" si="8"/>
        <v>104</v>
      </c>
      <c r="L19" s="168">
        <f t="shared" si="9"/>
        <v>182</v>
      </c>
      <c r="M19" s="166">
        <f t="shared" si="10"/>
        <v>292</v>
      </c>
      <c r="N19" s="167">
        <f t="shared" si="11"/>
        <v>130</v>
      </c>
      <c r="O19" s="168">
        <f t="shared" si="12"/>
        <v>227</v>
      </c>
      <c r="P19" s="169">
        <f t="shared" si="13"/>
        <v>438</v>
      </c>
      <c r="Q19" s="169">
        <f t="shared" si="14"/>
        <v>195</v>
      </c>
      <c r="R19" s="169">
        <f t="shared" si="15"/>
        <v>341</v>
      </c>
      <c r="S19" s="584">
        <f t="shared" si="16"/>
        <v>2925</v>
      </c>
      <c r="T19" s="594">
        <f t="shared" si="17"/>
        <v>1300</v>
      </c>
      <c r="U19" s="595">
        <f t="shared" si="18"/>
        <v>2275</v>
      </c>
      <c r="V19" s="166">
        <f t="shared" si="19"/>
        <v>6663</v>
      </c>
      <c r="W19" s="167">
        <f t="shared" si="20"/>
        <v>2964</v>
      </c>
      <c r="X19" s="168">
        <f t="shared" si="21"/>
        <v>5181</v>
      </c>
      <c r="Y19" s="166">
        <f t="shared" si="22"/>
        <v>7101</v>
      </c>
      <c r="Z19" s="167">
        <f t="shared" si="23"/>
        <v>3549</v>
      </c>
      <c r="AA19" s="168">
        <f t="shared" si="24"/>
        <v>5863</v>
      </c>
      <c r="AB19" s="166">
        <f t="shared" si="25"/>
        <v>8415</v>
      </c>
      <c r="AC19" s="167">
        <f t="shared" si="26"/>
        <v>3744</v>
      </c>
      <c r="AD19" s="168">
        <f t="shared" si="27"/>
        <v>6886</v>
      </c>
      <c r="AE19" s="166">
        <f t="shared" si="28"/>
        <v>10167</v>
      </c>
      <c r="AF19" s="167">
        <f t="shared" si="29"/>
        <v>4134</v>
      </c>
      <c r="AG19" s="168">
        <f t="shared" si="30"/>
        <v>7568</v>
      </c>
      <c r="AH19" s="166">
        <f t="shared" si="31"/>
        <v>11043</v>
      </c>
      <c r="AI19" s="167">
        <f t="shared" si="32"/>
        <v>4914</v>
      </c>
      <c r="AJ19" s="168">
        <f t="shared" si="33"/>
        <v>8250</v>
      </c>
      <c r="AK19" s="169">
        <f t="shared" si="34"/>
        <v>11934</v>
      </c>
      <c r="AL19" s="167">
        <f t="shared" si="35"/>
        <v>5304</v>
      </c>
      <c r="AM19" s="585">
        <f t="shared" si="36"/>
        <v>9282</v>
      </c>
      <c r="AN19" s="596">
        <v>0.05</v>
      </c>
      <c r="AO19" s="597">
        <v>5.2999999999999999E-2</v>
      </c>
      <c r="AP19" s="597">
        <v>5.6000000000000001E-2</v>
      </c>
      <c r="AQ19" s="598">
        <v>5.8999999999999997E-2</v>
      </c>
      <c r="AR19" s="599">
        <v>6.2E-2</v>
      </c>
      <c r="AS19" s="586"/>
      <c r="AT19" s="587"/>
      <c r="AU19" s="587"/>
      <c r="AV19" s="588"/>
      <c r="AW19" s="589"/>
      <c r="AX19" s="596">
        <v>0.04</v>
      </c>
      <c r="AY19" s="598">
        <v>4.2999999999999997E-2</v>
      </c>
      <c r="AZ19" s="598">
        <v>4.5999999999999999E-2</v>
      </c>
      <c r="BA19" s="598">
        <v>4.9000000000000002E-2</v>
      </c>
      <c r="BB19" s="598">
        <v>5.1999999999999998E-2</v>
      </c>
      <c r="BC19" s="590"/>
      <c r="BD19" s="631"/>
      <c r="BE19" s="596"/>
      <c r="BF19" s="598"/>
      <c r="BG19" s="598"/>
      <c r="BH19" s="598"/>
      <c r="BI19" s="598"/>
      <c r="BJ19" s="598"/>
      <c r="BK19" s="605"/>
      <c r="BL19" s="658">
        <f t="shared" si="37"/>
        <v>26000</v>
      </c>
      <c r="BM19" s="3">
        <f t="shared" si="38"/>
        <v>45</v>
      </c>
      <c r="BN19" s="3">
        <f t="shared" si="39"/>
        <v>20</v>
      </c>
      <c r="BO19" s="3">
        <f t="shared" si="40"/>
        <v>35</v>
      </c>
    </row>
    <row r="20" spans="2:67">
      <c r="B20" s="207" t="s">
        <v>476</v>
      </c>
      <c r="C20" s="889" t="s">
        <v>467</v>
      </c>
      <c r="D20" s="889" t="s">
        <v>23</v>
      </c>
      <c r="E20" s="237" t="s">
        <v>65</v>
      </c>
      <c r="F20" s="592">
        <v>17</v>
      </c>
      <c r="G20" s="593">
        <v>4140</v>
      </c>
      <c r="H20" s="594">
        <v>3104</v>
      </c>
      <c r="I20" s="595">
        <v>3104</v>
      </c>
      <c r="J20" s="166">
        <f t="shared" si="7"/>
        <v>82</v>
      </c>
      <c r="K20" s="167">
        <f t="shared" si="8"/>
        <v>62</v>
      </c>
      <c r="L20" s="168">
        <f t="shared" si="9"/>
        <v>62</v>
      </c>
      <c r="M20" s="166">
        <f t="shared" si="10"/>
        <v>155</v>
      </c>
      <c r="N20" s="167">
        <f t="shared" si="11"/>
        <v>116</v>
      </c>
      <c r="O20" s="168">
        <f t="shared" si="12"/>
        <v>116</v>
      </c>
      <c r="P20" s="169">
        <f t="shared" si="13"/>
        <v>207</v>
      </c>
      <c r="Q20" s="169">
        <f t="shared" si="14"/>
        <v>155</v>
      </c>
      <c r="R20" s="169">
        <f t="shared" si="15"/>
        <v>155</v>
      </c>
      <c r="S20" s="584">
        <f t="shared" si="16"/>
        <v>1242</v>
      </c>
      <c r="T20" s="594">
        <f t="shared" si="17"/>
        <v>931</v>
      </c>
      <c r="U20" s="595">
        <f t="shared" si="18"/>
        <v>931</v>
      </c>
      <c r="V20" s="166">
        <f t="shared" si="19"/>
        <v>2564</v>
      </c>
      <c r="W20" s="167">
        <f t="shared" si="20"/>
        <v>1921</v>
      </c>
      <c r="X20" s="168">
        <f t="shared" si="21"/>
        <v>1921</v>
      </c>
      <c r="Y20" s="166">
        <f t="shared" si="22"/>
        <v>2771</v>
      </c>
      <c r="Z20" s="167">
        <f t="shared" si="23"/>
        <v>2076</v>
      </c>
      <c r="AA20" s="168">
        <f t="shared" si="24"/>
        <v>2231</v>
      </c>
      <c r="AB20" s="166">
        <f t="shared" si="25"/>
        <v>2978</v>
      </c>
      <c r="AC20" s="167">
        <f t="shared" si="26"/>
        <v>2386</v>
      </c>
      <c r="AD20" s="168">
        <f t="shared" si="27"/>
        <v>2386</v>
      </c>
      <c r="AE20" s="166">
        <f t="shared" si="28"/>
        <v>3392</v>
      </c>
      <c r="AF20" s="167">
        <f t="shared" si="29"/>
        <v>2696</v>
      </c>
      <c r="AG20" s="168">
        <f t="shared" si="30"/>
        <v>2541</v>
      </c>
      <c r="AH20" s="166">
        <f t="shared" si="31"/>
        <v>3806</v>
      </c>
      <c r="AI20" s="167">
        <f t="shared" si="32"/>
        <v>3006</v>
      </c>
      <c r="AJ20" s="168">
        <f t="shared" si="33"/>
        <v>2851</v>
      </c>
      <c r="AK20" s="169">
        <f t="shared" si="34"/>
        <v>4222</v>
      </c>
      <c r="AL20" s="167">
        <f t="shared" si="35"/>
        <v>3166</v>
      </c>
      <c r="AM20" s="585">
        <f t="shared" si="36"/>
        <v>3166</v>
      </c>
      <c r="AN20" s="586">
        <v>40</v>
      </c>
      <c r="AO20" s="686">
        <v>50</v>
      </c>
      <c r="AP20" s="686">
        <v>60</v>
      </c>
      <c r="AQ20" s="587">
        <v>70</v>
      </c>
      <c r="AR20" s="687">
        <v>80</v>
      </c>
      <c r="AS20" s="586"/>
      <c r="AT20" s="587"/>
      <c r="AU20" s="587"/>
      <c r="AV20" s="588"/>
      <c r="AW20" s="589"/>
      <c r="AX20" s="596">
        <v>0.01</v>
      </c>
      <c r="AY20" s="598">
        <v>1.2999999999999999E-2</v>
      </c>
      <c r="AZ20" s="598">
        <v>1.6E-2</v>
      </c>
      <c r="BA20" s="598">
        <v>1.9E-2</v>
      </c>
      <c r="BB20" s="598">
        <v>2.1999999999999999E-2</v>
      </c>
      <c r="BC20" s="590"/>
      <c r="BD20" s="631"/>
      <c r="BE20" s="596"/>
      <c r="BF20" s="598"/>
      <c r="BG20" s="598"/>
      <c r="BH20" s="598"/>
      <c r="BI20" s="598"/>
      <c r="BJ20" s="598"/>
      <c r="BK20" s="605"/>
      <c r="BL20" s="658">
        <f t="shared" si="37"/>
        <v>10350</v>
      </c>
      <c r="BM20" s="3">
        <f t="shared" si="38"/>
        <v>40</v>
      </c>
      <c r="BN20" s="3">
        <f t="shared" si="39"/>
        <v>30</v>
      </c>
      <c r="BO20" s="3">
        <f t="shared" si="40"/>
        <v>30</v>
      </c>
    </row>
    <row r="21" spans="2:67">
      <c r="B21" s="207" t="s">
        <v>477</v>
      </c>
      <c r="C21" s="889" t="s">
        <v>467</v>
      </c>
      <c r="D21" s="889" t="s">
        <v>13</v>
      </c>
      <c r="E21" s="237" t="s">
        <v>65</v>
      </c>
      <c r="F21" s="592">
        <v>18</v>
      </c>
      <c r="G21" s="593">
        <v>3554</v>
      </c>
      <c r="H21" s="594">
        <v>4147</v>
      </c>
      <c r="I21" s="595">
        <v>4147</v>
      </c>
      <c r="J21" s="166">
        <f t="shared" si="7"/>
        <v>71</v>
      </c>
      <c r="K21" s="167">
        <f t="shared" si="8"/>
        <v>82</v>
      </c>
      <c r="L21" s="168">
        <f t="shared" si="9"/>
        <v>82</v>
      </c>
      <c r="M21" s="166">
        <f t="shared" si="10"/>
        <v>133</v>
      </c>
      <c r="N21" s="167">
        <f t="shared" si="11"/>
        <v>155</v>
      </c>
      <c r="O21" s="168">
        <f t="shared" si="12"/>
        <v>155</v>
      </c>
      <c r="P21" s="169">
        <f t="shared" si="13"/>
        <v>177</v>
      </c>
      <c r="Q21" s="169">
        <f t="shared" si="14"/>
        <v>207</v>
      </c>
      <c r="R21" s="169">
        <f t="shared" si="15"/>
        <v>207</v>
      </c>
      <c r="S21" s="584">
        <f t="shared" si="16"/>
        <v>1066</v>
      </c>
      <c r="T21" s="594">
        <f t="shared" si="17"/>
        <v>1244</v>
      </c>
      <c r="U21" s="595">
        <f t="shared" si="18"/>
        <v>1244</v>
      </c>
      <c r="V21" s="166">
        <f t="shared" si="19"/>
        <v>2201</v>
      </c>
      <c r="W21" s="167">
        <f t="shared" si="20"/>
        <v>2566</v>
      </c>
      <c r="X21" s="168">
        <f t="shared" si="21"/>
        <v>2566</v>
      </c>
      <c r="Y21" s="166">
        <f t="shared" si="22"/>
        <v>2378</v>
      </c>
      <c r="Z21" s="167">
        <f t="shared" si="23"/>
        <v>2980</v>
      </c>
      <c r="AA21" s="168">
        <f t="shared" si="24"/>
        <v>2773</v>
      </c>
      <c r="AB21" s="166">
        <f t="shared" si="25"/>
        <v>2732</v>
      </c>
      <c r="AC21" s="167">
        <f t="shared" si="26"/>
        <v>3187</v>
      </c>
      <c r="AD21" s="168">
        <f t="shared" si="27"/>
        <v>2980</v>
      </c>
      <c r="AE21" s="166">
        <f t="shared" si="28"/>
        <v>3086</v>
      </c>
      <c r="AF21" s="167">
        <f t="shared" si="29"/>
        <v>3394</v>
      </c>
      <c r="AG21" s="168">
        <f t="shared" si="30"/>
        <v>3394</v>
      </c>
      <c r="AH21" s="166">
        <f t="shared" si="31"/>
        <v>3440</v>
      </c>
      <c r="AI21" s="167">
        <f t="shared" si="32"/>
        <v>3808</v>
      </c>
      <c r="AJ21" s="168">
        <f t="shared" si="33"/>
        <v>3808</v>
      </c>
      <c r="AK21" s="169">
        <f t="shared" si="34"/>
        <v>3625</v>
      </c>
      <c r="AL21" s="167">
        <f t="shared" si="35"/>
        <v>4229</v>
      </c>
      <c r="AM21" s="585">
        <f t="shared" si="36"/>
        <v>4229</v>
      </c>
      <c r="AN21" s="586">
        <v>200</v>
      </c>
      <c r="AO21" s="686">
        <v>250</v>
      </c>
      <c r="AP21" s="686">
        <v>300</v>
      </c>
      <c r="AQ21" s="587">
        <v>350</v>
      </c>
      <c r="AR21" s="687">
        <v>400</v>
      </c>
      <c r="AS21" s="586"/>
      <c r="AT21" s="587"/>
      <c r="AU21" s="587"/>
      <c r="AV21" s="588"/>
      <c r="AW21" s="589"/>
      <c r="AX21" s="596">
        <v>0.02</v>
      </c>
      <c r="AY21" s="598">
        <v>2.3E-2</v>
      </c>
      <c r="AZ21" s="598">
        <v>2.5999999999999999E-2</v>
      </c>
      <c r="BA21" s="598">
        <v>2.9000000000000001E-2</v>
      </c>
      <c r="BB21" s="598">
        <v>3.2000000000000001E-2</v>
      </c>
      <c r="BC21" s="590"/>
      <c r="BD21" s="631"/>
      <c r="BE21" s="596"/>
      <c r="BF21" s="598"/>
      <c r="BG21" s="598"/>
      <c r="BH21" s="598"/>
      <c r="BI21" s="598"/>
      <c r="BJ21" s="598"/>
      <c r="BK21" s="605"/>
      <c r="BL21" s="658">
        <f t="shared" si="37"/>
        <v>11850</v>
      </c>
      <c r="BM21" s="3">
        <f t="shared" si="38"/>
        <v>30</v>
      </c>
      <c r="BN21" s="3">
        <f t="shared" si="39"/>
        <v>35</v>
      </c>
      <c r="BO21" s="3">
        <f t="shared" si="40"/>
        <v>35</v>
      </c>
    </row>
    <row r="22" spans="2:67">
      <c r="B22" s="207" t="s">
        <v>432</v>
      </c>
      <c r="C22" s="889" t="s">
        <v>357</v>
      </c>
      <c r="D22" s="889" t="s">
        <v>356</v>
      </c>
      <c r="E22" s="237" t="s">
        <v>65</v>
      </c>
      <c r="F22" s="592">
        <v>19</v>
      </c>
      <c r="G22" s="593">
        <v>4800</v>
      </c>
      <c r="H22" s="594">
        <v>3200</v>
      </c>
      <c r="I22" s="595">
        <v>8000</v>
      </c>
      <c r="J22" s="166">
        <f t="shared" si="7"/>
        <v>96</v>
      </c>
      <c r="K22" s="167">
        <f t="shared" si="8"/>
        <v>64</v>
      </c>
      <c r="L22" s="168">
        <f t="shared" si="9"/>
        <v>160</v>
      </c>
      <c r="M22" s="166">
        <f t="shared" si="10"/>
        <v>144</v>
      </c>
      <c r="N22" s="167">
        <f t="shared" si="11"/>
        <v>96</v>
      </c>
      <c r="O22" s="168">
        <f t="shared" si="12"/>
        <v>240</v>
      </c>
      <c r="P22" s="169">
        <f t="shared" si="13"/>
        <v>192</v>
      </c>
      <c r="Q22" s="169">
        <f t="shared" si="14"/>
        <v>128</v>
      </c>
      <c r="R22" s="169">
        <f t="shared" si="15"/>
        <v>320</v>
      </c>
      <c r="S22" s="584">
        <f t="shared" si="16"/>
        <v>1440</v>
      </c>
      <c r="T22" s="594">
        <f t="shared" si="17"/>
        <v>960</v>
      </c>
      <c r="U22" s="595">
        <f t="shared" si="18"/>
        <v>2400</v>
      </c>
      <c r="V22" s="166">
        <f t="shared" si="19"/>
        <v>2976</v>
      </c>
      <c r="W22" s="167">
        <f t="shared" si="20"/>
        <v>1984</v>
      </c>
      <c r="X22" s="168">
        <f t="shared" si="21"/>
        <v>4960</v>
      </c>
      <c r="Y22" s="166">
        <f t="shared" si="22"/>
        <v>3360</v>
      </c>
      <c r="Z22" s="167">
        <f t="shared" si="23"/>
        <v>2240</v>
      </c>
      <c r="AA22" s="168">
        <f t="shared" si="24"/>
        <v>5600</v>
      </c>
      <c r="AB22" s="166">
        <f t="shared" si="25"/>
        <v>3744</v>
      </c>
      <c r="AC22" s="167">
        <f t="shared" si="26"/>
        <v>2496</v>
      </c>
      <c r="AD22" s="168">
        <f t="shared" si="27"/>
        <v>6240</v>
      </c>
      <c r="AE22" s="166">
        <f t="shared" si="28"/>
        <v>4128</v>
      </c>
      <c r="AF22" s="167">
        <f t="shared" si="29"/>
        <v>2624</v>
      </c>
      <c r="AG22" s="168">
        <f t="shared" si="30"/>
        <v>6880</v>
      </c>
      <c r="AH22" s="166">
        <f t="shared" si="31"/>
        <v>4320</v>
      </c>
      <c r="AI22" s="167">
        <f t="shared" si="32"/>
        <v>2880</v>
      </c>
      <c r="AJ22" s="168">
        <f t="shared" si="33"/>
        <v>7840</v>
      </c>
      <c r="AK22" s="169">
        <f t="shared" si="34"/>
        <v>4896</v>
      </c>
      <c r="AL22" s="167">
        <f t="shared" si="35"/>
        <v>3264</v>
      </c>
      <c r="AM22" s="585">
        <f t="shared" si="36"/>
        <v>8160</v>
      </c>
      <c r="AN22" s="596">
        <v>3.2000000000000001E-2</v>
      </c>
      <c r="AO22" s="597">
        <v>3.4000000000000002E-2</v>
      </c>
      <c r="AP22" s="597">
        <v>3.5999999999999997E-2</v>
      </c>
      <c r="AQ22" s="598">
        <v>3.7999999999999999E-2</v>
      </c>
      <c r="AR22" s="599">
        <v>0.04</v>
      </c>
      <c r="AS22" s="586"/>
      <c r="AT22" s="587"/>
      <c r="AU22" s="587"/>
      <c r="AV22" s="588"/>
      <c r="AW22" s="589"/>
      <c r="AX22" s="596">
        <v>0.05</v>
      </c>
      <c r="AY22" s="598">
        <v>5.5E-2</v>
      </c>
      <c r="AZ22" s="598">
        <v>0.06</v>
      </c>
      <c r="BA22" s="598">
        <v>6.5000000000000002E-2</v>
      </c>
      <c r="BB22" s="598">
        <v>7.0000000000000007E-2</v>
      </c>
      <c r="BC22" s="590"/>
      <c r="BD22" s="631"/>
      <c r="BE22" s="596"/>
      <c r="BF22" s="598"/>
      <c r="BG22" s="598"/>
      <c r="BH22" s="598"/>
      <c r="BI22" s="598"/>
      <c r="BJ22" s="598"/>
      <c r="BK22" s="605"/>
      <c r="BL22" s="658">
        <f t="shared" si="37"/>
        <v>16000</v>
      </c>
      <c r="BM22" s="3">
        <f t="shared" si="38"/>
        <v>30</v>
      </c>
      <c r="BN22" s="3">
        <f t="shared" si="39"/>
        <v>20</v>
      </c>
      <c r="BO22" s="3">
        <f t="shared" si="40"/>
        <v>50</v>
      </c>
    </row>
    <row r="23" spans="2:67">
      <c r="B23" s="1269" t="s">
        <v>2086</v>
      </c>
      <c r="C23" s="1264" t="s">
        <v>309</v>
      </c>
      <c r="D23" s="1264" t="s">
        <v>14</v>
      </c>
      <c r="E23" s="1266" t="s">
        <v>65</v>
      </c>
      <c r="F23" s="592">
        <v>20</v>
      </c>
      <c r="G23" s="593">
        <v>8580</v>
      </c>
      <c r="H23" s="594">
        <v>8580</v>
      </c>
      <c r="I23" s="595">
        <v>8840</v>
      </c>
      <c r="J23" s="166">
        <f t="shared" si="7"/>
        <v>171</v>
      </c>
      <c r="K23" s="167">
        <f t="shared" si="8"/>
        <v>171</v>
      </c>
      <c r="L23" s="168">
        <f t="shared" si="9"/>
        <v>176</v>
      </c>
      <c r="M23" s="166">
        <f t="shared" si="10"/>
        <v>214</v>
      </c>
      <c r="N23" s="167">
        <f t="shared" si="11"/>
        <v>214</v>
      </c>
      <c r="O23" s="168">
        <f t="shared" si="12"/>
        <v>221</v>
      </c>
      <c r="P23" s="169">
        <f t="shared" si="13"/>
        <v>321</v>
      </c>
      <c r="Q23" s="169">
        <f t="shared" si="14"/>
        <v>321</v>
      </c>
      <c r="R23" s="169">
        <f t="shared" si="15"/>
        <v>331</v>
      </c>
      <c r="S23" s="584">
        <f t="shared" si="16"/>
        <v>2145</v>
      </c>
      <c r="T23" s="594">
        <f t="shared" si="17"/>
        <v>2145</v>
      </c>
      <c r="U23" s="595">
        <f t="shared" si="18"/>
        <v>2210</v>
      </c>
      <c r="V23" s="166">
        <f t="shared" si="19"/>
        <v>4884</v>
      </c>
      <c r="W23" s="167">
        <f t="shared" si="20"/>
        <v>4884</v>
      </c>
      <c r="X23" s="168">
        <f t="shared" si="21"/>
        <v>5038</v>
      </c>
      <c r="Y23" s="166">
        <f t="shared" si="22"/>
        <v>5205</v>
      </c>
      <c r="Z23" s="167">
        <f t="shared" si="23"/>
        <v>5847</v>
      </c>
      <c r="AA23" s="168">
        <f t="shared" si="24"/>
        <v>5700</v>
      </c>
      <c r="AB23" s="166">
        <f t="shared" si="25"/>
        <v>6168</v>
      </c>
      <c r="AC23" s="167">
        <f t="shared" si="26"/>
        <v>6168</v>
      </c>
      <c r="AD23" s="168">
        <f t="shared" si="27"/>
        <v>6693</v>
      </c>
      <c r="AE23" s="166">
        <f t="shared" si="28"/>
        <v>7452</v>
      </c>
      <c r="AF23" s="167">
        <f t="shared" si="29"/>
        <v>6810</v>
      </c>
      <c r="AG23" s="168">
        <f t="shared" si="30"/>
        <v>7355</v>
      </c>
      <c r="AH23" s="166">
        <f t="shared" si="31"/>
        <v>8094</v>
      </c>
      <c r="AI23" s="167">
        <f t="shared" si="32"/>
        <v>8094</v>
      </c>
      <c r="AJ23" s="168">
        <f t="shared" si="33"/>
        <v>8017</v>
      </c>
      <c r="AK23" s="169">
        <f t="shared" si="34"/>
        <v>8751</v>
      </c>
      <c r="AL23" s="167">
        <f t="shared" si="35"/>
        <v>8751</v>
      </c>
      <c r="AM23" s="585">
        <f t="shared" si="36"/>
        <v>9016</v>
      </c>
      <c r="AN23" s="596">
        <v>3.2000000000000001E-2</v>
      </c>
      <c r="AO23" s="597">
        <v>3.4000000000000002E-2</v>
      </c>
      <c r="AP23" s="597">
        <v>3.5999999999999997E-2</v>
      </c>
      <c r="AQ23" s="598">
        <v>3.7999999999999999E-2</v>
      </c>
      <c r="AR23" s="599">
        <v>0.04</v>
      </c>
      <c r="AS23" s="586"/>
      <c r="AT23" s="587"/>
      <c r="AU23" s="587"/>
      <c r="AV23" s="588"/>
      <c r="AW23" s="589"/>
      <c r="AX23" s="596">
        <v>0.05</v>
      </c>
      <c r="AY23" s="598">
        <v>5.5E-2</v>
      </c>
      <c r="AZ23" s="598">
        <v>0.06</v>
      </c>
      <c r="BA23" s="598">
        <v>6.5000000000000002E-2</v>
      </c>
      <c r="BB23" s="598">
        <v>7.0000000000000007E-2</v>
      </c>
      <c r="BC23" s="590"/>
      <c r="BD23" s="631"/>
      <c r="BE23" s="596"/>
      <c r="BF23" s="598"/>
      <c r="BG23" s="598"/>
      <c r="BH23" s="598"/>
      <c r="BI23" s="598"/>
      <c r="BJ23" s="598"/>
      <c r="BK23" s="605"/>
      <c r="BL23" s="658">
        <f t="shared" si="37"/>
        <v>26000</v>
      </c>
      <c r="BM23" s="3">
        <f t="shared" si="38"/>
        <v>33</v>
      </c>
      <c r="BN23" s="3">
        <f t="shared" si="39"/>
        <v>33</v>
      </c>
      <c r="BO23" s="3">
        <f t="shared" si="40"/>
        <v>34</v>
      </c>
    </row>
    <row r="24" spans="2:67">
      <c r="B24" s="207" t="s">
        <v>478</v>
      </c>
      <c r="C24" s="889" t="s">
        <v>467</v>
      </c>
      <c r="D24" s="889" t="s">
        <v>13</v>
      </c>
      <c r="E24" s="237" t="s">
        <v>65</v>
      </c>
      <c r="F24" s="592">
        <v>21</v>
      </c>
      <c r="G24" s="593">
        <v>3104</v>
      </c>
      <c r="H24" s="594">
        <v>3621</v>
      </c>
      <c r="I24" s="595">
        <v>3621</v>
      </c>
      <c r="J24" s="166">
        <f t="shared" si="7"/>
        <v>62</v>
      </c>
      <c r="K24" s="167">
        <f t="shared" si="8"/>
        <v>72</v>
      </c>
      <c r="L24" s="168">
        <f t="shared" si="9"/>
        <v>72</v>
      </c>
      <c r="M24" s="166">
        <f t="shared" si="10"/>
        <v>116</v>
      </c>
      <c r="N24" s="167">
        <f t="shared" si="11"/>
        <v>135</v>
      </c>
      <c r="O24" s="168">
        <f t="shared" si="12"/>
        <v>135</v>
      </c>
      <c r="P24" s="169">
        <f t="shared" si="13"/>
        <v>155</v>
      </c>
      <c r="Q24" s="169">
        <f t="shared" si="14"/>
        <v>181</v>
      </c>
      <c r="R24" s="169">
        <f t="shared" si="15"/>
        <v>181</v>
      </c>
      <c r="S24" s="584">
        <f t="shared" si="16"/>
        <v>931</v>
      </c>
      <c r="T24" s="594">
        <f t="shared" si="17"/>
        <v>1086</v>
      </c>
      <c r="U24" s="595">
        <f t="shared" si="18"/>
        <v>1086</v>
      </c>
      <c r="V24" s="166">
        <f t="shared" si="19"/>
        <v>1921</v>
      </c>
      <c r="W24" s="167">
        <f t="shared" si="20"/>
        <v>2238</v>
      </c>
      <c r="X24" s="168">
        <f t="shared" si="21"/>
        <v>2238</v>
      </c>
      <c r="Y24" s="166">
        <f t="shared" si="22"/>
        <v>2076</v>
      </c>
      <c r="Z24" s="167">
        <f t="shared" si="23"/>
        <v>2600</v>
      </c>
      <c r="AA24" s="168">
        <f t="shared" si="24"/>
        <v>2419</v>
      </c>
      <c r="AB24" s="166">
        <f t="shared" si="25"/>
        <v>2386</v>
      </c>
      <c r="AC24" s="167">
        <f t="shared" si="26"/>
        <v>2781</v>
      </c>
      <c r="AD24" s="168">
        <f t="shared" si="27"/>
        <v>2600</v>
      </c>
      <c r="AE24" s="166">
        <f t="shared" si="28"/>
        <v>2696</v>
      </c>
      <c r="AF24" s="167">
        <f t="shared" si="29"/>
        <v>2962</v>
      </c>
      <c r="AG24" s="168">
        <f t="shared" si="30"/>
        <v>2962</v>
      </c>
      <c r="AH24" s="166">
        <f t="shared" si="31"/>
        <v>3006</v>
      </c>
      <c r="AI24" s="167">
        <f t="shared" si="32"/>
        <v>3324</v>
      </c>
      <c r="AJ24" s="168">
        <f t="shared" si="33"/>
        <v>3324</v>
      </c>
      <c r="AK24" s="169">
        <f t="shared" si="34"/>
        <v>3166</v>
      </c>
      <c r="AL24" s="167">
        <f t="shared" si="35"/>
        <v>3693</v>
      </c>
      <c r="AM24" s="585">
        <f t="shared" si="36"/>
        <v>3693</v>
      </c>
      <c r="AN24" s="586">
        <v>100</v>
      </c>
      <c r="AO24" s="686">
        <v>150</v>
      </c>
      <c r="AP24" s="686">
        <v>200</v>
      </c>
      <c r="AQ24" s="587">
        <v>250</v>
      </c>
      <c r="AR24" s="687">
        <v>300</v>
      </c>
      <c r="AS24" s="586"/>
      <c r="AT24" s="587"/>
      <c r="AU24" s="587"/>
      <c r="AV24" s="588"/>
      <c r="AW24" s="589"/>
      <c r="AX24" s="596">
        <v>0.02</v>
      </c>
      <c r="AY24" s="598">
        <v>2.5000000000000001E-2</v>
      </c>
      <c r="AZ24" s="598">
        <v>0.03</v>
      </c>
      <c r="BA24" s="598">
        <v>3.5000000000000003E-2</v>
      </c>
      <c r="BB24" s="598">
        <v>0.04</v>
      </c>
      <c r="BC24" s="590"/>
      <c r="BD24" s="631"/>
      <c r="BE24" s="596"/>
      <c r="BF24" s="598"/>
      <c r="BG24" s="598"/>
      <c r="BH24" s="598"/>
      <c r="BI24" s="598"/>
      <c r="BJ24" s="598"/>
      <c r="BK24" s="605"/>
      <c r="BL24" s="658">
        <f t="shared" si="37"/>
        <v>10350</v>
      </c>
      <c r="BM24" s="3">
        <f t="shared" si="38"/>
        <v>30</v>
      </c>
      <c r="BN24" s="3">
        <f t="shared" si="39"/>
        <v>35</v>
      </c>
      <c r="BO24" s="3">
        <f t="shared" si="40"/>
        <v>35</v>
      </c>
    </row>
    <row r="25" spans="2:67">
      <c r="B25" s="207" t="s">
        <v>479</v>
      </c>
      <c r="C25" s="889" t="s">
        <v>467</v>
      </c>
      <c r="D25" s="889" t="s">
        <v>23</v>
      </c>
      <c r="E25" s="237" t="s">
        <v>65</v>
      </c>
      <c r="F25" s="592">
        <v>22</v>
      </c>
      <c r="G25" s="593">
        <v>3554</v>
      </c>
      <c r="H25" s="594">
        <v>4740</v>
      </c>
      <c r="I25" s="595">
        <v>3554</v>
      </c>
      <c r="J25" s="166">
        <f t="shared" si="7"/>
        <v>71</v>
      </c>
      <c r="K25" s="167">
        <f t="shared" si="8"/>
        <v>94</v>
      </c>
      <c r="L25" s="168">
        <f t="shared" si="9"/>
        <v>71</v>
      </c>
      <c r="M25" s="166">
        <f t="shared" si="10"/>
        <v>133</v>
      </c>
      <c r="N25" s="167">
        <f t="shared" si="11"/>
        <v>177</v>
      </c>
      <c r="O25" s="168">
        <f t="shared" si="12"/>
        <v>133</v>
      </c>
      <c r="P25" s="169">
        <f t="shared" si="13"/>
        <v>177</v>
      </c>
      <c r="Q25" s="169">
        <f t="shared" si="14"/>
        <v>237</v>
      </c>
      <c r="R25" s="169">
        <f t="shared" si="15"/>
        <v>177</v>
      </c>
      <c r="S25" s="584">
        <f t="shared" si="16"/>
        <v>1066</v>
      </c>
      <c r="T25" s="594">
        <f t="shared" si="17"/>
        <v>1422</v>
      </c>
      <c r="U25" s="595">
        <f t="shared" si="18"/>
        <v>1066</v>
      </c>
      <c r="V25" s="166">
        <f t="shared" si="19"/>
        <v>2201</v>
      </c>
      <c r="W25" s="167">
        <f t="shared" si="20"/>
        <v>2932</v>
      </c>
      <c r="X25" s="168">
        <f t="shared" si="21"/>
        <v>2201</v>
      </c>
      <c r="Y25" s="166">
        <f t="shared" si="22"/>
        <v>2378</v>
      </c>
      <c r="Z25" s="167">
        <f t="shared" si="23"/>
        <v>3169</v>
      </c>
      <c r="AA25" s="168">
        <f t="shared" si="24"/>
        <v>2555</v>
      </c>
      <c r="AB25" s="166">
        <f t="shared" si="25"/>
        <v>2555</v>
      </c>
      <c r="AC25" s="167">
        <f t="shared" si="26"/>
        <v>3643</v>
      </c>
      <c r="AD25" s="168">
        <f t="shared" si="27"/>
        <v>2732</v>
      </c>
      <c r="AE25" s="166">
        <f t="shared" si="28"/>
        <v>2909</v>
      </c>
      <c r="AF25" s="167">
        <f t="shared" si="29"/>
        <v>4117</v>
      </c>
      <c r="AG25" s="168">
        <f t="shared" si="30"/>
        <v>2909</v>
      </c>
      <c r="AH25" s="166">
        <f t="shared" si="31"/>
        <v>3263</v>
      </c>
      <c r="AI25" s="167">
        <f t="shared" si="32"/>
        <v>4591</v>
      </c>
      <c r="AJ25" s="168">
        <f t="shared" si="33"/>
        <v>3263</v>
      </c>
      <c r="AK25" s="169">
        <f t="shared" si="34"/>
        <v>3625</v>
      </c>
      <c r="AL25" s="167">
        <f t="shared" si="35"/>
        <v>4834</v>
      </c>
      <c r="AM25" s="585">
        <f t="shared" si="36"/>
        <v>3625</v>
      </c>
      <c r="AN25" s="586">
        <v>200</v>
      </c>
      <c r="AO25" s="686">
        <v>250</v>
      </c>
      <c r="AP25" s="686">
        <v>300</v>
      </c>
      <c r="AQ25" s="587">
        <v>350</v>
      </c>
      <c r="AR25" s="687">
        <v>400</v>
      </c>
      <c r="AS25" s="586"/>
      <c r="AT25" s="587"/>
      <c r="AU25" s="587"/>
      <c r="AV25" s="588"/>
      <c r="AW25" s="589"/>
      <c r="AX25" s="596">
        <v>1.4999999999999999E-2</v>
      </c>
      <c r="AY25" s="598">
        <v>1.7999999999999999E-2</v>
      </c>
      <c r="AZ25" s="598">
        <v>2.1000000000000001E-2</v>
      </c>
      <c r="BA25" s="598">
        <v>2.4E-2</v>
      </c>
      <c r="BB25" s="598">
        <v>2.7E-2</v>
      </c>
      <c r="BC25" s="590"/>
      <c r="BD25" s="631"/>
      <c r="BE25" s="596"/>
      <c r="BF25" s="598"/>
      <c r="BG25" s="598"/>
      <c r="BH25" s="598"/>
      <c r="BI25" s="598"/>
      <c r="BJ25" s="598"/>
      <c r="BK25" s="605"/>
      <c r="BL25" s="658">
        <f t="shared" si="37"/>
        <v>11850</v>
      </c>
      <c r="BM25" s="3">
        <f t="shared" si="38"/>
        <v>30</v>
      </c>
      <c r="BN25" s="3">
        <f t="shared" si="39"/>
        <v>40</v>
      </c>
      <c r="BO25" s="3">
        <f t="shared" si="40"/>
        <v>30</v>
      </c>
    </row>
    <row r="26" spans="2:67">
      <c r="B26" s="207" t="s">
        <v>433</v>
      </c>
      <c r="C26" s="889" t="s">
        <v>357</v>
      </c>
      <c r="D26" s="889" t="s">
        <v>360</v>
      </c>
      <c r="E26" s="237" t="s">
        <v>65</v>
      </c>
      <c r="F26" s="592">
        <v>23</v>
      </c>
      <c r="G26" s="593">
        <v>4800</v>
      </c>
      <c r="H26" s="594">
        <v>4000</v>
      </c>
      <c r="I26" s="595">
        <v>7200</v>
      </c>
      <c r="J26" s="166">
        <f t="shared" si="7"/>
        <v>96</v>
      </c>
      <c r="K26" s="167">
        <f t="shared" si="8"/>
        <v>80</v>
      </c>
      <c r="L26" s="168">
        <f t="shared" si="9"/>
        <v>144</v>
      </c>
      <c r="M26" s="166">
        <f t="shared" si="10"/>
        <v>144</v>
      </c>
      <c r="N26" s="167">
        <f t="shared" si="11"/>
        <v>120</v>
      </c>
      <c r="O26" s="168">
        <f t="shared" si="12"/>
        <v>216</v>
      </c>
      <c r="P26" s="169">
        <f t="shared" si="13"/>
        <v>192</v>
      </c>
      <c r="Q26" s="169">
        <f t="shared" si="14"/>
        <v>160</v>
      </c>
      <c r="R26" s="169">
        <f t="shared" si="15"/>
        <v>288</v>
      </c>
      <c r="S26" s="584">
        <f t="shared" si="16"/>
        <v>1440</v>
      </c>
      <c r="T26" s="594">
        <f t="shared" si="17"/>
        <v>1200</v>
      </c>
      <c r="U26" s="595">
        <f t="shared" si="18"/>
        <v>2160</v>
      </c>
      <c r="V26" s="166">
        <f t="shared" si="19"/>
        <v>2976</v>
      </c>
      <c r="W26" s="167">
        <f t="shared" si="20"/>
        <v>2480</v>
      </c>
      <c r="X26" s="168">
        <f t="shared" si="21"/>
        <v>4464</v>
      </c>
      <c r="Y26" s="166">
        <f t="shared" si="22"/>
        <v>3360</v>
      </c>
      <c r="Z26" s="167">
        <f t="shared" si="23"/>
        <v>2800</v>
      </c>
      <c r="AA26" s="168">
        <f t="shared" si="24"/>
        <v>5040</v>
      </c>
      <c r="AB26" s="166">
        <f t="shared" si="25"/>
        <v>3744</v>
      </c>
      <c r="AC26" s="167">
        <f t="shared" si="26"/>
        <v>3120</v>
      </c>
      <c r="AD26" s="168">
        <f t="shared" si="27"/>
        <v>5616</v>
      </c>
      <c r="AE26" s="166">
        <f t="shared" si="28"/>
        <v>4128</v>
      </c>
      <c r="AF26" s="167">
        <f t="shared" si="29"/>
        <v>3440</v>
      </c>
      <c r="AG26" s="168">
        <f t="shared" si="30"/>
        <v>5904</v>
      </c>
      <c r="AH26" s="166">
        <f t="shared" si="31"/>
        <v>4320</v>
      </c>
      <c r="AI26" s="167">
        <f t="shared" si="32"/>
        <v>3920</v>
      </c>
      <c r="AJ26" s="168">
        <f t="shared" si="33"/>
        <v>6480</v>
      </c>
      <c r="AK26" s="169">
        <f t="shared" si="34"/>
        <v>4896</v>
      </c>
      <c r="AL26" s="167">
        <f t="shared" si="35"/>
        <v>4080</v>
      </c>
      <c r="AM26" s="585">
        <f t="shared" si="36"/>
        <v>7344</v>
      </c>
      <c r="AN26" s="596">
        <v>0.05</v>
      </c>
      <c r="AO26" s="597">
        <v>5.5E-2</v>
      </c>
      <c r="AP26" s="597">
        <v>0.06</v>
      </c>
      <c r="AQ26" s="598">
        <v>6.5000000000000002E-2</v>
      </c>
      <c r="AR26" s="599">
        <v>7.0000000000000007E-2</v>
      </c>
      <c r="AS26" s="586"/>
      <c r="AT26" s="587"/>
      <c r="AU26" s="587"/>
      <c r="AV26" s="588"/>
      <c r="AW26" s="589"/>
      <c r="AX26" s="596">
        <v>0.03</v>
      </c>
      <c r="AY26" s="598">
        <v>3.3000000000000002E-2</v>
      </c>
      <c r="AZ26" s="598">
        <v>3.5999999999999997E-2</v>
      </c>
      <c r="BA26" s="598">
        <v>3.9E-2</v>
      </c>
      <c r="BB26" s="598">
        <v>4.2000000000000003E-2</v>
      </c>
      <c r="BC26" s="590"/>
      <c r="BD26" s="631"/>
      <c r="BE26" s="596"/>
      <c r="BF26" s="598"/>
      <c r="BG26" s="598"/>
      <c r="BH26" s="598"/>
      <c r="BI26" s="598"/>
      <c r="BJ26" s="598"/>
      <c r="BK26" s="605"/>
      <c r="BL26" s="658">
        <f t="shared" si="37"/>
        <v>16000</v>
      </c>
      <c r="BM26" s="3">
        <f t="shared" si="38"/>
        <v>30</v>
      </c>
      <c r="BN26" s="3">
        <f t="shared" si="39"/>
        <v>25</v>
      </c>
      <c r="BO26" s="3">
        <f t="shared" si="40"/>
        <v>45</v>
      </c>
    </row>
    <row r="27" spans="2:67">
      <c r="B27" s="207" t="s">
        <v>2087</v>
      </c>
      <c r="C27" s="889" t="s">
        <v>309</v>
      </c>
      <c r="D27" s="889" t="s">
        <v>70</v>
      </c>
      <c r="E27" s="237" t="s">
        <v>65</v>
      </c>
      <c r="F27" s="592">
        <v>24</v>
      </c>
      <c r="G27" s="593">
        <v>12480</v>
      </c>
      <c r="H27" s="594">
        <v>4420</v>
      </c>
      <c r="I27" s="595">
        <v>9100</v>
      </c>
      <c r="J27" s="166">
        <f t="shared" si="7"/>
        <v>249</v>
      </c>
      <c r="K27" s="167">
        <f t="shared" si="8"/>
        <v>88</v>
      </c>
      <c r="L27" s="168">
        <f t="shared" si="9"/>
        <v>182</v>
      </c>
      <c r="M27" s="166">
        <f t="shared" si="10"/>
        <v>312</v>
      </c>
      <c r="N27" s="167">
        <f t="shared" si="11"/>
        <v>110</v>
      </c>
      <c r="O27" s="168">
        <f t="shared" si="12"/>
        <v>227</v>
      </c>
      <c r="P27" s="169">
        <f t="shared" si="13"/>
        <v>468</v>
      </c>
      <c r="Q27" s="169">
        <f t="shared" si="14"/>
        <v>165</v>
      </c>
      <c r="R27" s="169">
        <f t="shared" si="15"/>
        <v>341</v>
      </c>
      <c r="S27" s="584">
        <f t="shared" si="16"/>
        <v>3120</v>
      </c>
      <c r="T27" s="594">
        <f t="shared" si="17"/>
        <v>1105</v>
      </c>
      <c r="U27" s="595">
        <f t="shared" si="18"/>
        <v>2275</v>
      </c>
      <c r="V27" s="166">
        <f t="shared" si="19"/>
        <v>7113</v>
      </c>
      <c r="W27" s="167">
        <f t="shared" si="20"/>
        <v>2513</v>
      </c>
      <c r="X27" s="168">
        <f t="shared" si="21"/>
        <v>5181</v>
      </c>
      <c r="Y27" s="166">
        <f t="shared" si="22"/>
        <v>7581</v>
      </c>
      <c r="Z27" s="167">
        <f t="shared" si="23"/>
        <v>2843</v>
      </c>
      <c r="AA27" s="168">
        <f t="shared" si="24"/>
        <v>6204</v>
      </c>
      <c r="AB27" s="166">
        <f t="shared" si="25"/>
        <v>8985</v>
      </c>
      <c r="AC27" s="167">
        <f t="shared" si="26"/>
        <v>3338</v>
      </c>
      <c r="AD27" s="168">
        <f t="shared" si="27"/>
        <v>6545</v>
      </c>
      <c r="AE27" s="166">
        <f t="shared" si="28"/>
        <v>10857</v>
      </c>
      <c r="AF27" s="167">
        <f t="shared" si="29"/>
        <v>3668</v>
      </c>
      <c r="AG27" s="168">
        <f t="shared" si="30"/>
        <v>7227</v>
      </c>
      <c r="AH27" s="166">
        <f t="shared" si="31"/>
        <v>11793</v>
      </c>
      <c r="AI27" s="167">
        <f t="shared" si="32"/>
        <v>3998</v>
      </c>
      <c r="AJ27" s="168">
        <f t="shared" si="33"/>
        <v>8591</v>
      </c>
      <c r="AK27" s="169">
        <f t="shared" si="34"/>
        <v>12729</v>
      </c>
      <c r="AL27" s="167">
        <f t="shared" si="35"/>
        <v>4508</v>
      </c>
      <c r="AM27" s="585">
        <f t="shared" si="36"/>
        <v>9282</v>
      </c>
      <c r="AN27" s="596">
        <v>0.05</v>
      </c>
      <c r="AO27" s="597">
        <v>5.2999999999999999E-2</v>
      </c>
      <c r="AP27" s="597">
        <v>5.6000000000000001E-2</v>
      </c>
      <c r="AQ27" s="598">
        <v>5.8999999999999997E-2</v>
      </c>
      <c r="AR27" s="599">
        <v>6.2E-2</v>
      </c>
      <c r="AS27" s="586"/>
      <c r="AT27" s="587"/>
      <c r="AU27" s="587"/>
      <c r="AV27" s="588"/>
      <c r="AW27" s="589"/>
      <c r="AX27" s="596">
        <v>0.04</v>
      </c>
      <c r="AY27" s="598">
        <v>4.2999999999999997E-2</v>
      </c>
      <c r="AZ27" s="598">
        <v>4.5999999999999999E-2</v>
      </c>
      <c r="BA27" s="598">
        <v>4.9000000000000002E-2</v>
      </c>
      <c r="BB27" s="598">
        <v>5.1999999999999998E-2</v>
      </c>
      <c r="BC27" s="590"/>
      <c r="BD27" s="631"/>
      <c r="BE27" s="596"/>
      <c r="BF27" s="598"/>
      <c r="BG27" s="598"/>
      <c r="BH27" s="598"/>
      <c r="BI27" s="598"/>
      <c r="BJ27" s="598"/>
      <c r="BK27" s="605"/>
      <c r="BL27" s="658">
        <f t="shared" si="37"/>
        <v>26000</v>
      </c>
      <c r="BM27" s="3">
        <f t="shared" si="38"/>
        <v>48</v>
      </c>
      <c r="BN27" s="3">
        <f t="shared" si="39"/>
        <v>17</v>
      </c>
      <c r="BO27" s="3">
        <f t="shared" si="40"/>
        <v>35</v>
      </c>
    </row>
    <row r="28" spans="2:67">
      <c r="B28" s="207" t="s">
        <v>480</v>
      </c>
      <c r="C28" s="889" t="s">
        <v>467</v>
      </c>
      <c r="D28" s="889" t="s">
        <v>23</v>
      </c>
      <c r="E28" s="237" t="s">
        <v>65</v>
      </c>
      <c r="F28" s="592">
        <v>25</v>
      </c>
      <c r="G28" s="593">
        <v>3104</v>
      </c>
      <c r="H28" s="594">
        <v>3104</v>
      </c>
      <c r="I28" s="595">
        <v>4140</v>
      </c>
      <c r="J28" s="166">
        <f t="shared" si="7"/>
        <v>62</v>
      </c>
      <c r="K28" s="167">
        <f t="shared" si="8"/>
        <v>62</v>
      </c>
      <c r="L28" s="168">
        <f t="shared" si="9"/>
        <v>82</v>
      </c>
      <c r="M28" s="166">
        <f t="shared" si="10"/>
        <v>116</v>
      </c>
      <c r="N28" s="167">
        <f t="shared" si="11"/>
        <v>116</v>
      </c>
      <c r="O28" s="168">
        <f t="shared" si="12"/>
        <v>155</v>
      </c>
      <c r="P28" s="169">
        <f t="shared" si="13"/>
        <v>155</v>
      </c>
      <c r="Q28" s="169">
        <f t="shared" si="14"/>
        <v>155</v>
      </c>
      <c r="R28" s="169">
        <f t="shared" si="15"/>
        <v>207</v>
      </c>
      <c r="S28" s="584">
        <f t="shared" si="16"/>
        <v>931</v>
      </c>
      <c r="T28" s="594">
        <f t="shared" si="17"/>
        <v>931</v>
      </c>
      <c r="U28" s="595">
        <f t="shared" si="18"/>
        <v>1242</v>
      </c>
      <c r="V28" s="166">
        <f t="shared" si="19"/>
        <v>1921</v>
      </c>
      <c r="W28" s="167">
        <f t="shared" si="20"/>
        <v>1921</v>
      </c>
      <c r="X28" s="168">
        <f t="shared" si="21"/>
        <v>2564</v>
      </c>
      <c r="Y28" s="166">
        <f t="shared" si="22"/>
        <v>2076</v>
      </c>
      <c r="Z28" s="167">
        <f t="shared" si="23"/>
        <v>2076</v>
      </c>
      <c r="AA28" s="168">
        <f t="shared" si="24"/>
        <v>2978</v>
      </c>
      <c r="AB28" s="166">
        <f t="shared" si="25"/>
        <v>2231</v>
      </c>
      <c r="AC28" s="167">
        <f t="shared" si="26"/>
        <v>2386</v>
      </c>
      <c r="AD28" s="168">
        <f t="shared" si="27"/>
        <v>3185</v>
      </c>
      <c r="AE28" s="166">
        <f t="shared" si="28"/>
        <v>2541</v>
      </c>
      <c r="AF28" s="167">
        <f t="shared" si="29"/>
        <v>2696</v>
      </c>
      <c r="AG28" s="168">
        <f t="shared" si="30"/>
        <v>3392</v>
      </c>
      <c r="AH28" s="166">
        <f t="shared" si="31"/>
        <v>2851</v>
      </c>
      <c r="AI28" s="167">
        <f t="shared" si="32"/>
        <v>3006</v>
      </c>
      <c r="AJ28" s="168">
        <f t="shared" si="33"/>
        <v>3806</v>
      </c>
      <c r="AK28" s="169">
        <f t="shared" si="34"/>
        <v>3166</v>
      </c>
      <c r="AL28" s="167">
        <f t="shared" si="35"/>
        <v>3166</v>
      </c>
      <c r="AM28" s="585">
        <f t="shared" si="36"/>
        <v>4222</v>
      </c>
      <c r="AN28" s="586">
        <v>150</v>
      </c>
      <c r="AO28" s="686">
        <v>200</v>
      </c>
      <c r="AP28" s="686">
        <v>250</v>
      </c>
      <c r="AQ28" s="587">
        <v>300</v>
      </c>
      <c r="AR28" s="687">
        <v>350</v>
      </c>
      <c r="AS28" s="586"/>
      <c r="AT28" s="587"/>
      <c r="AU28" s="587"/>
      <c r="AV28" s="588"/>
      <c r="AW28" s="589"/>
      <c r="AX28" s="596">
        <v>0.02</v>
      </c>
      <c r="AY28" s="598">
        <v>2.5000000000000001E-2</v>
      </c>
      <c r="AZ28" s="598">
        <v>0.03</v>
      </c>
      <c r="BA28" s="598">
        <v>3.5000000000000003E-2</v>
      </c>
      <c r="BB28" s="598">
        <v>0.04</v>
      </c>
      <c r="BC28" s="590"/>
      <c r="BD28" s="631"/>
      <c r="BE28" s="596"/>
      <c r="BF28" s="598"/>
      <c r="BG28" s="598"/>
      <c r="BH28" s="598"/>
      <c r="BI28" s="598"/>
      <c r="BJ28" s="598"/>
      <c r="BK28" s="605"/>
      <c r="BL28" s="658">
        <f t="shared" si="37"/>
        <v>10350</v>
      </c>
      <c r="BM28" s="3">
        <f t="shared" si="38"/>
        <v>30</v>
      </c>
      <c r="BN28" s="3">
        <f t="shared" si="39"/>
        <v>30</v>
      </c>
      <c r="BO28" s="3">
        <f t="shared" si="40"/>
        <v>40</v>
      </c>
    </row>
    <row r="29" spans="2:67">
      <c r="B29" s="207" t="s">
        <v>481</v>
      </c>
      <c r="C29" s="889" t="s">
        <v>467</v>
      </c>
      <c r="D29" s="889" t="s">
        <v>14</v>
      </c>
      <c r="E29" s="237" t="s">
        <v>65</v>
      </c>
      <c r="F29" s="592">
        <v>26</v>
      </c>
      <c r="G29" s="593">
        <v>4740</v>
      </c>
      <c r="H29" s="594">
        <v>3554</v>
      </c>
      <c r="I29" s="595">
        <v>3554</v>
      </c>
      <c r="J29" s="166">
        <f t="shared" si="7"/>
        <v>94</v>
      </c>
      <c r="K29" s="167">
        <f t="shared" si="8"/>
        <v>71</v>
      </c>
      <c r="L29" s="168">
        <f t="shared" si="9"/>
        <v>71</v>
      </c>
      <c r="M29" s="166">
        <f t="shared" si="10"/>
        <v>177</v>
      </c>
      <c r="N29" s="167">
        <f t="shared" si="11"/>
        <v>133</v>
      </c>
      <c r="O29" s="168">
        <f t="shared" si="12"/>
        <v>133</v>
      </c>
      <c r="P29" s="169">
        <f t="shared" si="13"/>
        <v>237</v>
      </c>
      <c r="Q29" s="169">
        <f t="shared" si="14"/>
        <v>177</v>
      </c>
      <c r="R29" s="169">
        <f t="shared" si="15"/>
        <v>177</v>
      </c>
      <c r="S29" s="584">
        <f t="shared" si="16"/>
        <v>1422</v>
      </c>
      <c r="T29" s="594">
        <f t="shared" si="17"/>
        <v>1066</v>
      </c>
      <c r="U29" s="595">
        <f t="shared" si="18"/>
        <v>1066</v>
      </c>
      <c r="V29" s="166">
        <f t="shared" si="19"/>
        <v>2932</v>
      </c>
      <c r="W29" s="167">
        <f t="shared" si="20"/>
        <v>2201</v>
      </c>
      <c r="X29" s="168">
        <f t="shared" si="21"/>
        <v>2201</v>
      </c>
      <c r="Y29" s="166">
        <f t="shared" si="22"/>
        <v>3406</v>
      </c>
      <c r="Z29" s="167">
        <f t="shared" si="23"/>
        <v>2378</v>
      </c>
      <c r="AA29" s="168">
        <f t="shared" si="24"/>
        <v>2378</v>
      </c>
      <c r="AB29" s="166">
        <f t="shared" si="25"/>
        <v>3643</v>
      </c>
      <c r="AC29" s="167">
        <f t="shared" si="26"/>
        <v>2555</v>
      </c>
      <c r="AD29" s="168">
        <f t="shared" si="27"/>
        <v>2732</v>
      </c>
      <c r="AE29" s="166">
        <f t="shared" si="28"/>
        <v>3880</v>
      </c>
      <c r="AF29" s="167">
        <f t="shared" si="29"/>
        <v>2909</v>
      </c>
      <c r="AG29" s="168">
        <f t="shared" si="30"/>
        <v>3086</v>
      </c>
      <c r="AH29" s="166">
        <f t="shared" si="31"/>
        <v>4354</v>
      </c>
      <c r="AI29" s="167">
        <f t="shared" si="32"/>
        <v>3263</v>
      </c>
      <c r="AJ29" s="168">
        <f t="shared" si="33"/>
        <v>3440</v>
      </c>
      <c r="AK29" s="169">
        <f t="shared" si="34"/>
        <v>4834</v>
      </c>
      <c r="AL29" s="167">
        <f t="shared" si="35"/>
        <v>3625</v>
      </c>
      <c r="AM29" s="585">
        <f t="shared" si="36"/>
        <v>3625</v>
      </c>
      <c r="AN29" s="586">
        <v>200</v>
      </c>
      <c r="AO29" s="686">
        <v>250</v>
      </c>
      <c r="AP29" s="686">
        <v>300</v>
      </c>
      <c r="AQ29" s="587">
        <v>350</v>
      </c>
      <c r="AR29" s="687">
        <v>400</v>
      </c>
      <c r="AS29" s="586"/>
      <c r="AT29" s="587"/>
      <c r="AU29" s="587"/>
      <c r="AV29" s="588"/>
      <c r="AW29" s="589"/>
      <c r="AX29" s="596">
        <v>1.4999999999999999E-2</v>
      </c>
      <c r="AY29" s="598">
        <v>1.7999999999999999E-2</v>
      </c>
      <c r="AZ29" s="598">
        <v>2.1000000000000001E-2</v>
      </c>
      <c r="BA29" s="598">
        <v>2.4E-2</v>
      </c>
      <c r="BB29" s="598">
        <v>2.7E-2</v>
      </c>
      <c r="BC29" s="590"/>
      <c r="BD29" s="631"/>
      <c r="BE29" s="596"/>
      <c r="BF29" s="598"/>
      <c r="BG29" s="598"/>
      <c r="BH29" s="598"/>
      <c r="BI29" s="598"/>
      <c r="BJ29" s="598"/>
      <c r="BK29" s="605"/>
      <c r="BL29" s="658">
        <f t="shared" si="37"/>
        <v>11850</v>
      </c>
      <c r="BM29" s="3">
        <f t="shared" si="38"/>
        <v>40</v>
      </c>
      <c r="BN29" s="3">
        <f t="shared" si="39"/>
        <v>30</v>
      </c>
      <c r="BO29" s="3">
        <f t="shared" si="40"/>
        <v>30</v>
      </c>
    </row>
    <row r="30" spans="2:67">
      <c r="B30" s="207" t="s">
        <v>434</v>
      </c>
      <c r="C30" s="889" t="s">
        <v>357</v>
      </c>
      <c r="D30" s="889" t="s">
        <v>358</v>
      </c>
      <c r="E30" s="237" t="s">
        <v>65</v>
      </c>
      <c r="F30" s="592">
        <v>27</v>
      </c>
      <c r="G30" s="593">
        <v>5600</v>
      </c>
      <c r="H30" s="594">
        <v>3200</v>
      </c>
      <c r="I30" s="595">
        <v>7200</v>
      </c>
      <c r="J30" s="166">
        <f t="shared" si="7"/>
        <v>112</v>
      </c>
      <c r="K30" s="167">
        <f t="shared" si="8"/>
        <v>64</v>
      </c>
      <c r="L30" s="168">
        <f t="shared" si="9"/>
        <v>144</v>
      </c>
      <c r="M30" s="166">
        <f t="shared" si="10"/>
        <v>168</v>
      </c>
      <c r="N30" s="167">
        <f t="shared" si="11"/>
        <v>96</v>
      </c>
      <c r="O30" s="168">
        <f t="shared" si="12"/>
        <v>216</v>
      </c>
      <c r="P30" s="169">
        <f t="shared" si="13"/>
        <v>224</v>
      </c>
      <c r="Q30" s="169">
        <f t="shared" si="14"/>
        <v>128</v>
      </c>
      <c r="R30" s="169">
        <f t="shared" si="15"/>
        <v>288</v>
      </c>
      <c r="S30" s="584">
        <f t="shared" si="16"/>
        <v>1680</v>
      </c>
      <c r="T30" s="594">
        <f t="shared" si="17"/>
        <v>960</v>
      </c>
      <c r="U30" s="595">
        <f t="shared" si="18"/>
        <v>2160</v>
      </c>
      <c r="V30" s="166">
        <f t="shared" si="19"/>
        <v>3472</v>
      </c>
      <c r="W30" s="167">
        <f t="shared" si="20"/>
        <v>1984</v>
      </c>
      <c r="X30" s="168">
        <f t="shared" si="21"/>
        <v>4464</v>
      </c>
      <c r="Y30" s="166">
        <f t="shared" si="22"/>
        <v>3920</v>
      </c>
      <c r="Z30" s="167">
        <f t="shared" si="23"/>
        <v>2240</v>
      </c>
      <c r="AA30" s="168">
        <f t="shared" si="24"/>
        <v>5040</v>
      </c>
      <c r="AB30" s="166">
        <f t="shared" si="25"/>
        <v>4368</v>
      </c>
      <c r="AC30" s="167">
        <f t="shared" si="26"/>
        <v>2496</v>
      </c>
      <c r="AD30" s="168">
        <f t="shared" si="27"/>
        <v>5616</v>
      </c>
      <c r="AE30" s="166">
        <f t="shared" si="28"/>
        <v>4592</v>
      </c>
      <c r="AF30" s="167">
        <f t="shared" si="29"/>
        <v>2752</v>
      </c>
      <c r="AG30" s="168">
        <f t="shared" si="30"/>
        <v>6192</v>
      </c>
      <c r="AH30" s="166">
        <f t="shared" si="31"/>
        <v>5040</v>
      </c>
      <c r="AI30" s="167">
        <f t="shared" si="32"/>
        <v>2880</v>
      </c>
      <c r="AJ30" s="168">
        <f t="shared" si="33"/>
        <v>7056</v>
      </c>
      <c r="AK30" s="169">
        <f t="shared" si="34"/>
        <v>5712</v>
      </c>
      <c r="AL30" s="167">
        <f t="shared" si="35"/>
        <v>3264</v>
      </c>
      <c r="AM30" s="585">
        <f t="shared" si="36"/>
        <v>7344</v>
      </c>
      <c r="AN30" s="596">
        <v>0.03</v>
      </c>
      <c r="AO30" s="597">
        <v>3.3000000000000002E-2</v>
      </c>
      <c r="AP30" s="597">
        <v>3.5999999999999997E-2</v>
      </c>
      <c r="AQ30" s="598">
        <v>3.9E-2</v>
      </c>
      <c r="AR30" s="599">
        <v>4.2000000000000003E-2</v>
      </c>
      <c r="AS30" s="586"/>
      <c r="AT30" s="587"/>
      <c r="AU30" s="587"/>
      <c r="AV30" s="588"/>
      <c r="AW30" s="589"/>
      <c r="AX30" s="596">
        <v>0.02</v>
      </c>
      <c r="AY30" s="598">
        <v>2.3E-2</v>
      </c>
      <c r="AZ30" s="598">
        <v>2.5999999999999999E-2</v>
      </c>
      <c r="BA30" s="598">
        <v>2.9000000000000001E-2</v>
      </c>
      <c r="BB30" s="598">
        <v>3.2000000000000001E-2</v>
      </c>
      <c r="BC30" s="590"/>
      <c r="BD30" s="631"/>
      <c r="BE30" s="596"/>
      <c r="BF30" s="598"/>
      <c r="BG30" s="598"/>
      <c r="BH30" s="598"/>
      <c r="BI30" s="598"/>
      <c r="BJ30" s="598"/>
      <c r="BK30" s="605"/>
      <c r="BL30" s="658">
        <f t="shared" si="37"/>
        <v>16000</v>
      </c>
      <c r="BM30" s="3">
        <f t="shared" si="38"/>
        <v>35</v>
      </c>
      <c r="BN30" s="3">
        <f t="shared" si="39"/>
        <v>20</v>
      </c>
      <c r="BO30" s="3">
        <f t="shared" si="40"/>
        <v>45</v>
      </c>
    </row>
    <row r="31" spans="2:67">
      <c r="B31" s="1269" t="s">
        <v>2088</v>
      </c>
      <c r="C31" s="1264" t="s">
        <v>309</v>
      </c>
      <c r="D31" s="1264" t="s">
        <v>70</v>
      </c>
      <c r="E31" s="1266" t="s">
        <v>65</v>
      </c>
      <c r="F31" s="1270">
        <v>28</v>
      </c>
      <c r="G31" s="593">
        <v>7800</v>
      </c>
      <c r="H31" s="594">
        <v>11700</v>
      </c>
      <c r="I31" s="595">
        <v>6500</v>
      </c>
      <c r="J31" s="166">
        <f t="shared" si="7"/>
        <v>156</v>
      </c>
      <c r="K31" s="167">
        <f t="shared" si="8"/>
        <v>234</v>
      </c>
      <c r="L31" s="168">
        <f t="shared" si="9"/>
        <v>130</v>
      </c>
      <c r="M31" s="166">
        <f t="shared" si="10"/>
        <v>195</v>
      </c>
      <c r="N31" s="167">
        <f t="shared" si="11"/>
        <v>292</v>
      </c>
      <c r="O31" s="168">
        <f t="shared" si="12"/>
        <v>162</v>
      </c>
      <c r="P31" s="169">
        <f t="shared" si="13"/>
        <v>292</v>
      </c>
      <c r="Q31" s="169">
        <f t="shared" si="14"/>
        <v>438</v>
      </c>
      <c r="R31" s="169">
        <f t="shared" si="15"/>
        <v>243</v>
      </c>
      <c r="S31" s="584">
        <f t="shared" si="16"/>
        <v>1950</v>
      </c>
      <c r="T31" s="594">
        <f t="shared" si="17"/>
        <v>2925</v>
      </c>
      <c r="U31" s="595">
        <f t="shared" si="18"/>
        <v>1625</v>
      </c>
      <c r="V31" s="166">
        <f t="shared" si="19"/>
        <v>4446</v>
      </c>
      <c r="W31" s="167">
        <f t="shared" si="20"/>
        <v>6663</v>
      </c>
      <c r="X31" s="168">
        <f t="shared" si="21"/>
        <v>3699</v>
      </c>
      <c r="Y31" s="166">
        <f t="shared" si="22"/>
        <v>4738</v>
      </c>
      <c r="Z31" s="167">
        <f t="shared" si="23"/>
        <v>7539</v>
      </c>
      <c r="AA31" s="168">
        <f t="shared" si="24"/>
        <v>4428</v>
      </c>
      <c r="AB31" s="166">
        <f t="shared" si="25"/>
        <v>5614</v>
      </c>
      <c r="AC31" s="167">
        <f t="shared" si="26"/>
        <v>8853</v>
      </c>
      <c r="AD31" s="168">
        <f t="shared" si="27"/>
        <v>4671</v>
      </c>
      <c r="AE31" s="166">
        <f t="shared" si="28"/>
        <v>6782</v>
      </c>
      <c r="AF31" s="167">
        <f t="shared" si="29"/>
        <v>9729</v>
      </c>
      <c r="AG31" s="168">
        <f t="shared" si="30"/>
        <v>5157</v>
      </c>
      <c r="AH31" s="166">
        <f t="shared" si="31"/>
        <v>7366</v>
      </c>
      <c r="AI31" s="167">
        <f t="shared" si="32"/>
        <v>10605</v>
      </c>
      <c r="AJ31" s="168">
        <f t="shared" si="33"/>
        <v>6129</v>
      </c>
      <c r="AK31" s="169">
        <f t="shared" si="34"/>
        <v>7956</v>
      </c>
      <c r="AL31" s="167">
        <f t="shared" si="35"/>
        <v>11934</v>
      </c>
      <c r="AM31" s="585">
        <f t="shared" si="36"/>
        <v>6630</v>
      </c>
      <c r="AN31" s="596">
        <v>3.2000000000000001E-2</v>
      </c>
      <c r="AO31" s="597">
        <v>3.4000000000000002E-2</v>
      </c>
      <c r="AP31" s="597">
        <v>3.5999999999999997E-2</v>
      </c>
      <c r="AQ31" s="598">
        <v>3.7999999999999999E-2</v>
      </c>
      <c r="AR31" s="599">
        <v>0.04</v>
      </c>
      <c r="AS31" s="586"/>
      <c r="AT31" s="587"/>
      <c r="AU31" s="587"/>
      <c r="AV31" s="588"/>
      <c r="AW31" s="589"/>
      <c r="AX31" s="596">
        <v>0.03</v>
      </c>
      <c r="AY31" s="598">
        <v>3.3000000000000002E-2</v>
      </c>
      <c r="AZ31" s="598">
        <v>3.5999999999999997E-2</v>
      </c>
      <c r="BA31" s="598">
        <v>3.9E-2</v>
      </c>
      <c r="BB31" s="598">
        <v>4.2000000000000003E-2</v>
      </c>
      <c r="BC31" s="590"/>
      <c r="BD31" s="631"/>
      <c r="BE31" s="596"/>
      <c r="BF31" s="598"/>
      <c r="BG31" s="598"/>
      <c r="BH31" s="598"/>
      <c r="BI31" s="598"/>
      <c r="BJ31" s="598"/>
      <c r="BK31" s="605"/>
      <c r="BL31" s="658">
        <f t="shared" si="37"/>
        <v>26000</v>
      </c>
      <c r="BM31" s="3">
        <f t="shared" si="38"/>
        <v>30</v>
      </c>
      <c r="BN31" s="3">
        <f t="shared" si="39"/>
        <v>45</v>
      </c>
      <c r="BO31" s="3">
        <f t="shared" si="40"/>
        <v>25</v>
      </c>
    </row>
    <row r="32" spans="2:67">
      <c r="B32" s="207" t="s">
        <v>482</v>
      </c>
      <c r="C32" s="889" t="s">
        <v>467</v>
      </c>
      <c r="D32" s="889" t="s">
        <v>14</v>
      </c>
      <c r="E32" s="237" t="s">
        <v>65</v>
      </c>
      <c r="F32" s="592">
        <v>29</v>
      </c>
      <c r="G32" s="593">
        <v>3104</v>
      </c>
      <c r="H32" s="594">
        <v>4140</v>
      </c>
      <c r="I32" s="595">
        <v>3104</v>
      </c>
      <c r="J32" s="166">
        <f t="shared" si="7"/>
        <v>62</v>
      </c>
      <c r="K32" s="167">
        <f t="shared" si="8"/>
        <v>82</v>
      </c>
      <c r="L32" s="168">
        <f t="shared" si="9"/>
        <v>62</v>
      </c>
      <c r="M32" s="166">
        <f t="shared" si="10"/>
        <v>116</v>
      </c>
      <c r="N32" s="167">
        <f t="shared" si="11"/>
        <v>155</v>
      </c>
      <c r="O32" s="168">
        <f t="shared" si="12"/>
        <v>116</v>
      </c>
      <c r="P32" s="169">
        <f t="shared" si="13"/>
        <v>155</v>
      </c>
      <c r="Q32" s="169">
        <f t="shared" si="14"/>
        <v>207</v>
      </c>
      <c r="R32" s="169">
        <f t="shared" si="15"/>
        <v>155</v>
      </c>
      <c r="S32" s="584">
        <f t="shared" si="16"/>
        <v>931</v>
      </c>
      <c r="T32" s="594">
        <f t="shared" si="17"/>
        <v>1242</v>
      </c>
      <c r="U32" s="595">
        <f t="shared" si="18"/>
        <v>931</v>
      </c>
      <c r="V32" s="166">
        <f t="shared" si="19"/>
        <v>1921</v>
      </c>
      <c r="W32" s="167">
        <f t="shared" si="20"/>
        <v>2564</v>
      </c>
      <c r="X32" s="168">
        <f t="shared" si="21"/>
        <v>1921</v>
      </c>
      <c r="Y32" s="166">
        <f t="shared" si="22"/>
        <v>2231</v>
      </c>
      <c r="Z32" s="167">
        <f t="shared" si="23"/>
        <v>2771</v>
      </c>
      <c r="AA32" s="168">
        <f t="shared" si="24"/>
        <v>2076</v>
      </c>
      <c r="AB32" s="166">
        <f t="shared" si="25"/>
        <v>2386</v>
      </c>
      <c r="AC32" s="167">
        <f t="shared" si="26"/>
        <v>2978</v>
      </c>
      <c r="AD32" s="168">
        <f t="shared" si="27"/>
        <v>2386</v>
      </c>
      <c r="AE32" s="166">
        <f t="shared" si="28"/>
        <v>2541</v>
      </c>
      <c r="AF32" s="167">
        <f t="shared" si="29"/>
        <v>3392</v>
      </c>
      <c r="AG32" s="168">
        <f t="shared" si="30"/>
        <v>2696</v>
      </c>
      <c r="AH32" s="166">
        <f t="shared" si="31"/>
        <v>2851</v>
      </c>
      <c r="AI32" s="167">
        <f t="shared" si="32"/>
        <v>3806</v>
      </c>
      <c r="AJ32" s="168">
        <f t="shared" si="33"/>
        <v>3006</v>
      </c>
      <c r="AK32" s="169">
        <f t="shared" si="34"/>
        <v>3166</v>
      </c>
      <c r="AL32" s="167">
        <f t="shared" si="35"/>
        <v>4222</v>
      </c>
      <c r="AM32" s="585">
        <f t="shared" si="36"/>
        <v>3166</v>
      </c>
      <c r="AN32" s="596">
        <v>0.03</v>
      </c>
      <c r="AO32" s="597">
        <v>0.04</v>
      </c>
      <c r="AP32" s="597">
        <v>0.05</v>
      </c>
      <c r="AQ32" s="598">
        <v>0.06</v>
      </c>
      <c r="AR32" s="599">
        <v>7.0000000000000007E-2</v>
      </c>
      <c r="AS32" s="586"/>
      <c r="AT32" s="587"/>
      <c r="AU32" s="587"/>
      <c r="AV32" s="588"/>
      <c r="AW32" s="589"/>
      <c r="AX32" s="596">
        <v>0.02</v>
      </c>
      <c r="AY32" s="598">
        <v>2.5000000000000001E-2</v>
      </c>
      <c r="AZ32" s="598">
        <v>0.03</v>
      </c>
      <c r="BA32" s="598">
        <v>3.5000000000000003E-2</v>
      </c>
      <c r="BB32" s="598">
        <v>0.04</v>
      </c>
      <c r="BC32" s="590"/>
      <c r="BD32" s="631"/>
      <c r="BE32" s="596"/>
      <c r="BF32" s="598"/>
      <c r="BG32" s="598"/>
      <c r="BH32" s="598"/>
      <c r="BI32" s="598"/>
      <c r="BJ32" s="598"/>
      <c r="BK32" s="605"/>
      <c r="BL32" s="658">
        <f t="shared" si="37"/>
        <v>10350</v>
      </c>
      <c r="BM32" s="3">
        <f t="shared" si="38"/>
        <v>30</v>
      </c>
      <c r="BN32" s="3">
        <f t="shared" si="39"/>
        <v>40</v>
      </c>
      <c r="BO32" s="3">
        <f t="shared" si="40"/>
        <v>30</v>
      </c>
    </row>
    <row r="33" spans="2:67">
      <c r="B33" s="207" t="s">
        <v>483</v>
      </c>
      <c r="C33" s="889" t="s">
        <v>467</v>
      </c>
      <c r="D33" s="889" t="s">
        <v>70</v>
      </c>
      <c r="E33" s="237" t="s">
        <v>65</v>
      </c>
      <c r="F33" s="592">
        <v>30</v>
      </c>
      <c r="G33" s="593">
        <v>4740</v>
      </c>
      <c r="H33" s="594">
        <v>3554</v>
      </c>
      <c r="I33" s="595">
        <v>3554</v>
      </c>
      <c r="J33" s="166">
        <f t="shared" si="7"/>
        <v>94</v>
      </c>
      <c r="K33" s="167">
        <f t="shared" si="8"/>
        <v>71</v>
      </c>
      <c r="L33" s="168">
        <f t="shared" si="9"/>
        <v>71</v>
      </c>
      <c r="M33" s="166">
        <f t="shared" si="10"/>
        <v>177</v>
      </c>
      <c r="N33" s="167">
        <f t="shared" si="11"/>
        <v>133</v>
      </c>
      <c r="O33" s="168">
        <f t="shared" si="12"/>
        <v>133</v>
      </c>
      <c r="P33" s="169">
        <f t="shared" si="13"/>
        <v>237</v>
      </c>
      <c r="Q33" s="169">
        <f t="shared" si="14"/>
        <v>177</v>
      </c>
      <c r="R33" s="169">
        <f t="shared" si="15"/>
        <v>177</v>
      </c>
      <c r="S33" s="584">
        <f t="shared" si="16"/>
        <v>1422</v>
      </c>
      <c r="T33" s="594">
        <f t="shared" si="17"/>
        <v>1066</v>
      </c>
      <c r="U33" s="595">
        <f t="shared" si="18"/>
        <v>1066</v>
      </c>
      <c r="V33" s="166">
        <f t="shared" si="19"/>
        <v>2932</v>
      </c>
      <c r="W33" s="167">
        <f t="shared" si="20"/>
        <v>2201</v>
      </c>
      <c r="X33" s="168">
        <f t="shared" si="21"/>
        <v>2201</v>
      </c>
      <c r="Y33" s="166">
        <f t="shared" si="22"/>
        <v>3406</v>
      </c>
      <c r="Z33" s="167">
        <f t="shared" si="23"/>
        <v>2378</v>
      </c>
      <c r="AA33" s="168">
        <f t="shared" si="24"/>
        <v>2378</v>
      </c>
      <c r="AB33" s="166">
        <f t="shared" si="25"/>
        <v>3643</v>
      </c>
      <c r="AC33" s="167">
        <f t="shared" si="26"/>
        <v>2732</v>
      </c>
      <c r="AD33" s="168">
        <f t="shared" si="27"/>
        <v>2555</v>
      </c>
      <c r="AE33" s="166">
        <f t="shared" si="28"/>
        <v>3880</v>
      </c>
      <c r="AF33" s="167">
        <f t="shared" si="29"/>
        <v>3086</v>
      </c>
      <c r="AG33" s="168">
        <f t="shared" si="30"/>
        <v>2909</v>
      </c>
      <c r="AH33" s="166">
        <f t="shared" si="31"/>
        <v>4354</v>
      </c>
      <c r="AI33" s="167">
        <f t="shared" si="32"/>
        <v>3440</v>
      </c>
      <c r="AJ33" s="168">
        <f t="shared" si="33"/>
        <v>3263</v>
      </c>
      <c r="AK33" s="169">
        <f t="shared" si="34"/>
        <v>4834</v>
      </c>
      <c r="AL33" s="167">
        <f t="shared" si="35"/>
        <v>3625</v>
      </c>
      <c r="AM33" s="585">
        <f t="shared" si="36"/>
        <v>3625</v>
      </c>
      <c r="AN33" s="596">
        <v>1.2E-2</v>
      </c>
      <c r="AO33" s="597">
        <v>1.4E-2</v>
      </c>
      <c r="AP33" s="597">
        <v>1.6E-2</v>
      </c>
      <c r="AQ33" s="598">
        <v>1.7999999999999999E-2</v>
      </c>
      <c r="AR33" s="599">
        <v>0.02</v>
      </c>
      <c r="AS33" s="586"/>
      <c r="AT33" s="587"/>
      <c r="AU33" s="587"/>
      <c r="AV33" s="588"/>
      <c r="AW33" s="589"/>
      <c r="AX33" s="596">
        <v>1.4999999999999999E-2</v>
      </c>
      <c r="AY33" s="598">
        <v>1.7999999999999999E-2</v>
      </c>
      <c r="AZ33" s="598">
        <v>2.1000000000000001E-2</v>
      </c>
      <c r="BA33" s="598">
        <v>2.4E-2</v>
      </c>
      <c r="BB33" s="598">
        <v>2.7E-2</v>
      </c>
      <c r="BC33" s="590"/>
      <c r="BD33" s="631"/>
      <c r="BE33" s="596"/>
      <c r="BF33" s="598"/>
      <c r="BG33" s="598"/>
      <c r="BH33" s="598"/>
      <c r="BI33" s="598"/>
      <c r="BJ33" s="598"/>
      <c r="BK33" s="605"/>
      <c r="BL33" s="658">
        <f t="shared" si="37"/>
        <v>11850</v>
      </c>
      <c r="BM33" s="3">
        <f t="shared" si="38"/>
        <v>40</v>
      </c>
      <c r="BN33" s="3">
        <f t="shared" si="39"/>
        <v>30</v>
      </c>
      <c r="BO33" s="3">
        <f t="shared" si="40"/>
        <v>30</v>
      </c>
    </row>
    <row r="34" spans="2:67">
      <c r="B34" s="207" t="s">
        <v>435</v>
      </c>
      <c r="C34" s="889" t="s">
        <v>357</v>
      </c>
      <c r="D34" s="889" t="s">
        <v>358</v>
      </c>
      <c r="E34" s="237" t="s">
        <v>65</v>
      </c>
      <c r="F34" s="592">
        <v>31</v>
      </c>
      <c r="G34" s="593">
        <v>5280</v>
      </c>
      <c r="H34" s="594">
        <v>5280</v>
      </c>
      <c r="I34" s="595">
        <v>5440</v>
      </c>
      <c r="J34" s="166">
        <f t="shared" si="7"/>
        <v>105</v>
      </c>
      <c r="K34" s="167">
        <f t="shared" si="8"/>
        <v>105</v>
      </c>
      <c r="L34" s="168">
        <f t="shared" si="9"/>
        <v>108</v>
      </c>
      <c r="M34" s="166">
        <f t="shared" si="10"/>
        <v>158</v>
      </c>
      <c r="N34" s="167">
        <f t="shared" si="11"/>
        <v>158</v>
      </c>
      <c r="O34" s="168">
        <f t="shared" si="12"/>
        <v>163</v>
      </c>
      <c r="P34" s="169">
        <f t="shared" si="13"/>
        <v>211</v>
      </c>
      <c r="Q34" s="169">
        <f t="shared" si="14"/>
        <v>211</v>
      </c>
      <c r="R34" s="169">
        <f t="shared" si="15"/>
        <v>217</v>
      </c>
      <c r="S34" s="584">
        <f t="shared" si="16"/>
        <v>1584</v>
      </c>
      <c r="T34" s="594">
        <f t="shared" si="17"/>
        <v>1584</v>
      </c>
      <c r="U34" s="595">
        <f t="shared" si="18"/>
        <v>1632</v>
      </c>
      <c r="V34" s="166">
        <f t="shared" si="19"/>
        <v>3269</v>
      </c>
      <c r="W34" s="167">
        <f t="shared" si="20"/>
        <v>3269</v>
      </c>
      <c r="X34" s="168">
        <f t="shared" si="21"/>
        <v>3370</v>
      </c>
      <c r="Y34" s="166">
        <f t="shared" si="22"/>
        <v>3691</v>
      </c>
      <c r="Z34" s="167">
        <f t="shared" si="23"/>
        <v>3691</v>
      </c>
      <c r="AA34" s="168">
        <f t="shared" si="24"/>
        <v>3804</v>
      </c>
      <c r="AB34" s="166">
        <f t="shared" si="25"/>
        <v>4113</v>
      </c>
      <c r="AC34" s="167">
        <f t="shared" si="26"/>
        <v>4113</v>
      </c>
      <c r="AD34" s="168">
        <f t="shared" si="27"/>
        <v>4238</v>
      </c>
      <c r="AE34" s="166">
        <f t="shared" si="28"/>
        <v>4324</v>
      </c>
      <c r="AF34" s="167">
        <f t="shared" si="29"/>
        <v>4535</v>
      </c>
      <c r="AG34" s="168">
        <f t="shared" si="30"/>
        <v>4672</v>
      </c>
      <c r="AH34" s="166">
        <f t="shared" si="31"/>
        <v>4746</v>
      </c>
      <c r="AI34" s="167">
        <f t="shared" si="32"/>
        <v>4746</v>
      </c>
      <c r="AJ34" s="168">
        <f t="shared" si="33"/>
        <v>5323</v>
      </c>
      <c r="AK34" s="169">
        <f t="shared" si="34"/>
        <v>5385</v>
      </c>
      <c r="AL34" s="167">
        <f t="shared" si="35"/>
        <v>5385</v>
      </c>
      <c r="AM34" s="585">
        <f t="shared" si="36"/>
        <v>5548</v>
      </c>
      <c r="AN34" s="596">
        <v>0.25</v>
      </c>
      <c r="AO34" s="597">
        <v>0.28000000000000003</v>
      </c>
      <c r="AP34" s="597">
        <v>0.31</v>
      </c>
      <c r="AQ34" s="598">
        <v>0.34</v>
      </c>
      <c r="AR34" s="599">
        <v>0.37</v>
      </c>
      <c r="AS34" s="586"/>
      <c r="AT34" s="587"/>
      <c r="AU34" s="587"/>
      <c r="AV34" s="588"/>
      <c r="AW34" s="589"/>
      <c r="AX34" s="596">
        <v>0.05</v>
      </c>
      <c r="AY34" s="598">
        <v>5.5E-2</v>
      </c>
      <c r="AZ34" s="598">
        <v>0.06</v>
      </c>
      <c r="BA34" s="598">
        <v>6.5000000000000002E-2</v>
      </c>
      <c r="BB34" s="598">
        <v>7.0000000000000007E-2</v>
      </c>
      <c r="BC34" s="590"/>
      <c r="BD34" s="631"/>
      <c r="BE34" s="596"/>
      <c r="BF34" s="598"/>
      <c r="BG34" s="598"/>
      <c r="BH34" s="598"/>
      <c r="BI34" s="598"/>
      <c r="BJ34" s="598"/>
      <c r="BK34" s="605"/>
      <c r="BL34" s="658">
        <f t="shared" si="37"/>
        <v>16000</v>
      </c>
      <c r="BM34" s="3">
        <f t="shared" si="38"/>
        <v>33</v>
      </c>
      <c r="BN34" s="3">
        <f t="shared" si="39"/>
        <v>33</v>
      </c>
      <c r="BO34" s="3">
        <f t="shared" si="40"/>
        <v>34</v>
      </c>
    </row>
    <row r="35" spans="2:67">
      <c r="B35" s="1269" t="s">
        <v>2089</v>
      </c>
      <c r="C35" s="1264" t="s">
        <v>309</v>
      </c>
      <c r="D35" s="1264" t="s">
        <v>23</v>
      </c>
      <c r="E35" s="1266" t="s">
        <v>65</v>
      </c>
      <c r="F35" s="592">
        <v>32</v>
      </c>
      <c r="G35" s="593">
        <v>7800</v>
      </c>
      <c r="H35" s="594">
        <v>7800</v>
      </c>
      <c r="I35" s="595">
        <v>10400</v>
      </c>
      <c r="J35" s="166">
        <f t="shared" si="7"/>
        <v>156</v>
      </c>
      <c r="K35" s="167">
        <f t="shared" si="8"/>
        <v>156</v>
      </c>
      <c r="L35" s="168">
        <f t="shared" si="9"/>
        <v>208</v>
      </c>
      <c r="M35" s="166">
        <f t="shared" si="10"/>
        <v>195</v>
      </c>
      <c r="N35" s="167">
        <f t="shared" si="11"/>
        <v>195</v>
      </c>
      <c r="O35" s="168">
        <f t="shared" si="12"/>
        <v>260</v>
      </c>
      <c r="P35" s="169">
        <f t="shared" si="13"/>
        <v>292</v>
      </c>
      <c r="Q35" s="169">
        <f t="shared" si="14"/>
        <v>292</v>
      </c>
      <c r="R35" s="169">
        <f t="shared" si="15"/>
        <v>390</v>
      </c>
      <c r="S35" s="584">
        <f t="shared" si="16"/>
        <v>1950</v>
      </c>
      <c r="T35" s="594">
        <f t="shared" si="17"/>
        <v>1950</v>
      </c>
      <c r="U35" s="595">
        <f t="shared" si="18"/>
        <v>2600</v>
      </c>
      <c r="V35" s="166">
        <f t="shared" si="19"/>
        <v>4446</v>
      </c>
      <c r="W35" s="167">
        <f t="shared" si="20"/>
        <v>4446</v>
      </c>
      <c r="X35" s="168">
        <f t="shared" si="21"/>
        <v>5928</v>
      </c>
      <c r="Y35" s="166">
        <f t="shared" si="22"/>
        <v>5322</v>
      </c>
      <c r="Z35" s="167">
        <f t="shared" si="23"/>
        <v>5030</v>
      </c>
      <c r="AA35" s="168">
        <f t="shared" si="24"/>
        <v>6318</v>
      </c>
      <c r="AB35" s="166">
        <f t="shared" si="25"/>
        <v>5614</v>
      </c>
      <c r="AC35" s="167">
        <f t="shared" si="26"/>
        <v>5906</v>
      </c>
      <c r="AD35" s="168">
        <f t="shared" si="27"/>
        <v>7488</v>
      </c>
      <c r="AE35" s="166">
        <f t="shared" si="28"/>
        <v>6198</v>
      </c>
      <c r="AF35" s="167">
        <f t="shared" si="29"/>
        <v>6490</v>
      </c>
      <c r="AG35" s="168">
        <f t="shared" si="30"/>
        <v>9048</v>
      </c>
      <c r="AH35" s="166">
        <f t="shared" si="31"/>
        <v>7366</v>
      </c>
      <c r="AI35" s="167">
        <f t="shared" si="32"/>
        <v>7074</v>
      </c>
      <c r="AJ35" s="168">
        <f t="shared" si="33"/>
        <v>9828</v>
      </c>
      <c r="AK35" s="169">
        <f t="shared" si="34"/>
        <v>7956</v>
      </c>
      <c r="AL35" s="167">
        <f t="shared" si="35"/>
        <v>7956</v>
      </c>
      <c r="AM35" s="585">
        <f t="shared" si="36"/>
        <v>10608</v>
      </c>
      <c r="AN35" s="596">
        <v>0.2</v>
      </c>
      <c r="AO35" s="597">
        <v>0.23</v>
      </c>
      <c r="AP35" s="597">
        <v>0.26</v>
      </c>
      <c r="AQ35" s="598">
        <v>0.28999999999999998</v>
      </c>
      <c r="AR35" s="599">
        <v>0.32</v>
      </c>
      <c r="AS35" s="586"/>
      <c r="AT35" s="587"/>
      <c r="AU35" s="587"/>
      <c r="AV35" s="588"/>
      <c r="AW35" s="589"/>
      <c r="AX35" s="596">
        <v>0.03</v>
      </c>
      <c r="AY35" s="598">
        <v>3.3000000000000002E-2</v>
      </c>
      <c r="AZ35" s="598">
        <v>3.5999999999999997E-2</v>
      </c>
      <c r="BA35" s="598">
        <v>3.9E-2</v>
      </c>
      <c r="BB35" s="598">
        <v>4.2000000000000003E-2</v>
      </c>
      <c r="BC35" s="590"/>
      <c r="BD35" s="631"/>
      <c r="BE35" s="596"/>
      <c r="BF35" s="598"/>
      <c r="BG35" s="598"/>
      <c r="BH35" s="598"/>
      <c r="BI35" s="598"/>
      <c r="BJ35" s="598"/>
      <c r="BK35" s="605"/>
      <c r="BL35" s="658">
        <f t="shared" si="37"/>
        <v>26000</v>
      </c>
      <c r="BM35" s="3">
        <f t="shared" si="38"/>
        <v>30</v>
      </c>
      <c r="BN35" s="3">
        <f t="shared" si="39"/>
        <v>30</v>
      </c>
      <c r="BO35" s="3">
        <f t="shared" si="40"/>
        <v>40</v>
      </c>
    </row>
    <row r="36" spans="2:67">
      <c r="B36" s="207" t="s">
        <v>484</v>
      </c>
      <c r="C36" s="889" t="s">
        <v>467</v>
      </c>
      <c r="D36" s="889" t="s">
        <v>70</v>
      </c>
      <c r="E36" s="237" t="s">
        <v>65</v>
      </c>
      <c r="F36" s="592">
        <v>33</v>
      </c>
      <c r="G36" s="593">
        <v>4140</v>
      </c>
      <c r="H36" s="594">
        <v>3621</v>
      </c>
      <c r="I36" s="595">
        <v>2587</v>
      </c>
      <c r="J36" s="166">
        <f t="shared" si="7"/>
        <v>82</v>
      </c>
      <c r="K36" s="167">
        <f t="shared" si="8"/>
        <v>72</v>
      </c>
      <c r="L36" s="168">
        <f t="shared" si="9"/>
        <v>51</v>
      </c>
      <c r="M36" s="166">
        <f t="shared" si="10"/>
        <v>155</v>
      </c>
      <c r="N36" s="167">
        <f t="shared" si="11"/>
        <v>135</v>
      </c>
      <c r="O36" s="168">
        <f t="shared" si="12"/>
        <v>97</v>
      </c>
      <c r="P36" s="169">
        <f t="shared" si="13"/>
        <v>207</v>
      </c>
      <c r="Q36" s="169">
        <f t="shared" si="14"/>
        <v>181</v>
      </c>
      <c r="R36" s="169">
        <f t="shared" si="15"/>
        <v>129</v>
      </c>
      <c r="S36" s="584">
        <f t="shared" si="16"/>
        <v>1242</v>
      </c>
      <c r="T36" s="594">
        <f t="shared" si="17"/>
        <v>1086</v>
      </c>
      <c r="U36" s="595">
        <f t="shared" si="18"/>
        <v>776</v>
      </c>
      <c r="V36" s="166">
        <f t="shared" si="19"/>
        <v>2564</v>
      </c>
      <c r="W36" s="167">
        <f t="shared" si="20"/>
        <v>2238</v>
      </c>
      <c r="X36" s="168">
        <f t="shared" si="21"/>
        <v>1603</v>
      </c>
      <c r="Y36" s="166">
        <f t="shared" si="22"/>
        <v>2978</v>
      </c>
      <c r="Z36" s="167">
        <f t="shared" si="23"/>
        <v>2419</v>
      </c>
      <c r="AA36" s="168">
        <f t="shared" si="24"/>
        <v>1732</v>
      </c>
      <c r="AB36" s="166">
        <f t="shared" si="25"/>
        <v>3185</v>
      </c>
      <c r="AC36" s="167">
        <f t="shared" si="26"/>
        <v>2781</v>
      </c>
      <c r="AD36" s="168">
        <f t="shared" si="27"/>
        <v>1861</v>
      </c>
      <c r="AE36" s="166">
        <f t="shared" si="28"/>
        <v>3392</v>
      </c>
      <c r="AF36" s="167">
        <f t="shared" si="29"/>
        <v>3143</v>
      </c>
      <c r="AG36" s="168">
        <f t="shared" si="30"/>
        <v>2119</v>
      </c>
      <c r="AH36" s="166">
        <f t="shared" si="31"/>
        <v>3806</v>
      </c>
      <c r="AI36" s="167">
        <f t="shared" si="32"/>
        <v>3505</v>
      </c>
      <c r="AJ36" s="168">
        <f t="shared" si="33"/>
        <v>2377</v>
      </c>
      <c r="AK36" s="169">
        <f t="shared" si="34"/>
        <v>4222</v>
      </c>
      <c r="AL36" s="167">
        <f t="shared" si="35"/>
        <v>3693</v>
      </c>
      <c r="AM36" s="585">
        <f t="shared" si="36"/>
        <v>2638</v>
      </c>
      <c r="AN36" s="586">
        <v>80</v>
      </c>
      <c r="AO36" s="686">
        <v>90</v>
      </c>
      <c r="AP36" s="686">
        <v>100</v>
      </c>
      <c r="AQ36" s="587">
        <v>110</v>
      </c>
      <c r="AR36" s="687">
        <v>120</v>
      </c>
      <c r="AS36" s="586"/>
      <c r="AT36" s="587"/>
      <c r="AU36" s="587"/>
      <c r="AV36" s="588"/>
      <c r="AW36" s="589"/>
      <c r="AX36" s="596">
        <v>0.01</v>
      </c>
      <c r="AY36" s="598">
        <v>1.2999999999999999E-2</v>
      </c>
      <c r="AZ36" s="598">
        <v>1.6E-2</v>
      </c>
      <c r="BA36" s="598">
        <v>1.9E-2</v>
      </c>
      <c r="BB36" s="598">
        <v>2.1999999999999999E-2</v>
      </c>
      <c r="BC36" s="590"/>
      <c r="BD36" s="631"/>
      <c r="BE36" s="596"/>
      <c r="BF36" s="598"/>
      <c r="BG36" s="598"/>
      <c r="BH36" s="598"/>
      <c r="BI36" s="598"/>
      <c r="BJ36" s="598"/>
      <c r="BK36" s="605"/>
      <c r="BL36" s="658">
        <f t="shared" si="37"/>
        <v>10350</v>
      </c>
      <c r="BM36" s="3">
        <f t="shared" si="38"/>
        <v>40</v>
      </c>
      <c r="BN36" s="3">
        <f t="shared" si="39"/>
        <v>35</v>
      </c>
      <c r="BO36" s="3">
        <f t="shared" si="40"/>
        <v>25</v>
      </c>
    </row>
    <row r="37" spans="2:67">
      <c r="B37" s="207" t="s">
        <v>485</v>
      </c>
      <c r="C37" s="889" t="s">
        <v>467</v>
      </c>
      <c r="D37" s="889" t="s">
        <v>14</v>
      </c>
      <c r="E37" s="237" t="s">
        <v>65</v>
      </c>
      <c r="F37" s="592">
        <v>34</v>
      </c>
      <c r="G37" s="593">
        <v>3554</v>
      </c>
      <c r="H37" s="594">
        <v>2961</v>
      </c>
      <c r="I37" s="595">
        <v>5331</v>
      </c>
      <c r="J37" s="166">
        <f t="shared" si="7"/>
        <v>71</v>
      </c>
      <c r="K37" s="167">
        <f t="shared" si="8"/>
        <v>59</v>
      </c>
      <c r="L37" s="168">
        <f t="shared" si="9"/>
        <v>106</v>
      </c>
      <c r="M37" s="166">
        <f t="shared" si="10"/>
        <v>133</v>
      </c>
      <c r="N37" s="167">
        <f t="shared" si="11"/>
        <v>111</v>
      </c>
      <c r="O37" s="168">
        <f t="shared" si="12"/>
        <v>199</v>
      </c>
      <c r="P37" s="169">
        <f t="shared" si="13"/>
        <v>177</v>
      </c>
      <c r="Q37" s="169">
        <f t="shared" si="14"/>
        <v>148</v>
      </c>
      <c r="R37" s="169">
        <f t="shared" si="15"/>
        <v>266</v>
      </c>
      <c r="S37" s="584">
        <f t="shared" si="16"/>
        <v>1066</v>
      </c>
      <c r="T37" s="594">
        <f t="shared" si="17"/>
        <v>888</v>
      </c>
      <c r="U37" s="595">
        <f t="shared" si="18"/>
        <v>1599</v>
      </c>
      <c r="V37" s="166">
        <f t="shared" si="19"/>
        <v>2201</v>
      </c>
      <c r="W37" s="167">
        <f t="shared" si="20"/>
        <v>1835</v>
      </c>
      <c r="X37" s="168">
        <f t="shared" si="21"/>
        <v>3297</v>
      </c>
      <c r="Y37" s="166">
        <f t="shared" si="22"/>
        <v>2555</v>
      </c>
      <c r="Z37" s="167">
        <f t="shared" si="23"/>
        <v>1983</v>
      </c>
      <c r="AA37" s="168">
        <f t="shared" si="24"/>
        <v>3563</v>
      </c>
      <c r="AB37" s="166">
        <f t="shared" si="25"/>
        <v>2732</v>
      </c>
      <c r="AC37" s="167">
        <f t="shared" si="26"/>
        <v>2131</v>
      </c>
      <c r="AD37" s="168">
        <f t="shared" si="27"/>
        <v>4095</v>
      </c>
      <c r="AE37" s="166">
        <f t="shared" si="28"/>
        <v>2909</v>
      </c>
      <c r="AF37" s="167">
        <f t="shared" si="29"/>
        <v>2427</v>
      </c>
      <c r="AG37" s="168">
        <f t="shared" si="30"/>
        <v>4627</v>
      </c>
      <c r="AH37" s="166">
        <f t="shared" si="31"/>
        <v>3263</v>
      </c>
      <c r="AI37" s="167">
        <f t="shared" si="32"/>
        <v>2723</v>
      </c>
      <c r="AJ37" s="168">
        <f t="shared" si="33"/>
        <v>5159</v>
      </c>
      <c r="AK37" s="169">
        <f t="shared" si="34"/>
        <v>3625</v>
      </c>
      <c r="AL37" s="167">
        <f t="shared" si="35"/>
        <v>3020</v>
      </c>
      <c r="AM37" s="585">
        <f t="shared" si="36"/>
        <v>5437</v>
      </c>
      <c r="AN37" s="586">
        <v>160</v>
      </c>
      <c r="AO37" s="686">
        <v>170</v>
      </c>
      <c r="AP37" s="686">
        <v>180</v>
      </c>
      <c r="AQ37" s="587">
        <v>190</v>
      </c>
      <c r="AR37" s="687">
        <v>200</v>
      </c>
      <c r="AS37" s="586"/>
      <c r="AT37" s="587"/>
      <c r="AU37" s="587"/>
      <c r="AV37" s="588"/>
      <c r="AW37" s="589"/>
      <c r="AX37" s="596">
        <v>0.02</v>
      </c>
      <c r="AY37" s="598">
        <v>2.3E-2</v>
      </c>
      <c r="AZ37" s="598">
        <v>2.5999999999999999E-2</v>
      </c>
      <c r="BA37" s="598">
        <v>2.9000000000000001E-2</v>
      </c>
      <c r="BB37" s="598">
        <v>3.2000000000000001E-2</v>
      </c>
      <c r="BC37" s="590"/>
      <c r="BD37" s="631"/>
      <c r="BE37" s="596"/>
      <c r="BF37" s="598"/>
      <c r="BG37" s="598"/>
      <c r="BH37" s="598"/>
      <c r="BI37" s="598"/>
      <c r="BJ37" s="598"/>
      <c r="BK37" s="605"/>
      <c r="BL37" s="658">
        <f t="shared" si="37"/>
        <v>11850</v>
      </c>
      <c r="BM37" s="3">
        <f t="shared" si="38"/>
        <v>30</v>
      </c>
      <c r="BN37" s="3">
        <f t="shared" si="39"/>
        <v>25</v>
      </c>
      <c r="BO37" s="3">
        <f t="shared" si="40"/>
        <v>45</v>
      </c>
    </row>
    <row r="38" spans="2:67">
      <c r="B38" s="207" t="s">
        <v>436</v>
      </c>
      <c r="C38" s="889" t="s">
        <v>357</v>
      </c>
      <c r="D38" s="889" t="s">
        <v>359</v>
      </c>
      <c r="E38" s="237" t="s">
        <v>65</v>
      </c>
      <c r="F38" s="592">
        <v>35</v>
      </c>
      <c r="G38" s="593">
        <v>4800</v>
      </c>
      <c r="H38" s="594">
        <v>6400</v>
      </c>
      <c r="I38" s="595">
        <v>4800</v>
      </c>
      <c r="J38" s="166">
        <f t="shared" si="7"/>
        <v>96</v>
      </c>
      <c r="K38" s="167">
        <f t="shared" si="8"/>
        <v>128</v>
      </c>
      <c r="L38" s="168">
        <f t="shared" si="9"/>
        <v>96</v>
      </c>
      <c r="M38" s="166">
        <f t="shared" si="10"/>
        <v>144</v>
      </c>
      <c r="N38" s="167">
        <f t="shared" si="11"/>
        <v>192</v>
      </c>
      <c r="O38" s="168">
        <f t="shared" si="12"/>
        <v>144</v>
      </c>
      <c r="P38" s="169">
        <f t="shared" si="13"/>
        <v>192</v>
      </c>
      <c r="Q38" s="169">
        <f t="shared" si="14"/>
        <v>256</v>
      </c>
      <c r="R38" s="169">
        <f t="shared" si="15"/>
        <v>192</v>
      </c>
      <c r="S38" s="584">
        <f t="shared" si="16"/>
        <v>1440</v>
      </c>
      <c r="T38" s="594">
        <f t="shared" si="17"/>
        <v>1920</v>
      </c>
      <c r="U38" s="595">
        <f t="shared" si="18"/>
        <v>1440</v>
      </c>
      <c r="V38" s="166">
        <f t="shared" si="19"/>
        <v>2976</v>
      </c>
      <c r="W38" s="167">
        <f t="shared" si="20"/>
        <v>3968</v>
      </c>
      <c r="X38" s="168">
        <f t="shared" si="21"/>
        <v>2976</v>
      </c>
      <c r="Y38" s="166">
        <f t="shared" si="22"/>
        <v>3360</v>
      </c>
      <c r="Z38" s="167">
        <f t="shared" si="23"/>
        <v>4480</v>
      </c>
      <c r="AA38" s="168">
        <f t="shared" si="24"/>
        <v>3360</v>
      </c>
      <c r="AB38" s="166">
        <f t="shared" si="25"/>
        <v>3744</v>
      </c>
      <c r="AC38" s="167">
        <f t="shared" si="26"/>
        <v>4992</v>
      </c>
      <c r="AD38" s="168">
        <f t="shared" si="27"/>
        <v>3744</v>
      </c>
      <c r="AE38" s="166">
        <f t="shared" si="28"/>
        <v>4128</v>
      </c>
      <c r="AF38" s="167">
        <f t="shared" si="29"/>
        <v>5248</v>
      </c>
      <c r="AG38" s="168">
        <f t="shared" si="30"/>
        <v>4128</v>
      </c>
      <c r="AH38" s="166">
        <f t="shared" si="31"/>
        <v>4704</v>
      </c>
      <c r="AI38" s="167">
        <f t="shared" si="32"/>
        <v>5760</v>
      </c>
      <c r="AJ38" s="168">
        <f t="shared" si="33"/>
        <v>4320</v>
      </c>
      <c r="AK38" s="169">
        <f t="shared" si="34"/>
        <v>4896</v>
      </c>
      <c r="AL38" s="167">
        <f t="shared" si="35"/>
        <v>6528</v>
      </c>
      <c r="AM38" s="585">
        <f t="shared" si="36"/>
        <v>4896</v>
      </c>
      <c r="AN38" s="596">
        <v>7.0000000000000007E-2</v>
      </c>
      <c r="AO38" s="597">
        <v>0.08</v>
      </c>
      <c r="AP38" s="597">
        <v>0.09</v>
      </c>
      <c r="AQ38" s="598">
        <v>0.1</v>
      </c>
      <c r="AR38" s="599">
        <v>0.11</v>
      </c>
      <c r="AS38" s="586"/>
      <c r="AT38" s="587"/>
      <c r="AU38" s="587"/>
      <c r="AV38" s="588"/>
      <c r="AW38" s="589"/>
      <c r="AX38" s="596">
        <v>0.02</v>
      </c>
      <c r="AY38" s="598">
        <v>2.3E-2</v>
      </c>
      <c r="AZ38" s="598">
        <v>2.5999999999999999E-2</v>
      </c>
      <c r="BA38" s="598">
        <v>2.9000000000000001E-2</v>
      </c>
      <c r="BB38" s="598">
        <v>3.2000000000000001E-2</v>
      </c>
      <c r="BC38" s="590"/>
      <c r="BD38" s="631"/>
      <c r="BE38" s="596"/>
      <c r="BF38" s="598"/>
      <c r="BG38" s="598"/>
      <c r="BH38" s="598"/>
      <c r="BI38" s="598"/>
      <c r="BJ38" s="598"/>
      <c r="BK38" s="605"/>
      <c r="BL38" s="658">
        <f t="shared" si="37"/>
        <v>16000</v>
      </c>
      <c r="BM38" s="3">
        <f t="shared" si="38"/>
        <v>30</v>
      </c>
      <c r="BN38" s="3">
        <f t="shared" si="39"/>
        <v>40</v>
      </c>
      <c r="BO38" s="3">
        <f t="shared" si="40"/>
        <v>30</v>
      </c>
    </row>
    <row r="39" spans="2:67">
      <c r="B39" s="1269" t="s">
        <v>2090</v>
      </c>
      <c r="C39" s="1264" t="s">
        <v>309</v>
      </c>
      <c r="D39" s="1264" t="s">
        <v>13</v>
      </c>
      <c r="E39" s="1266" t="s">
        <v>65</v>
      </c>
      <c r="F39" s="592">
        <v>36</v>
      </c>
      <c r="G39" s="593">
        <v>7800</v>
      </c>
      <c r="H39" s="594">
        <v>9880</v>
      </c>
      <c r="I39" s="595">
        <v>8320</v>
      </c>
      <c r="J39" s="166">
        <f t="shared" si="7"/>
        <v>156</v>
      </c>
      <c r="K39" s="167">
        <f t="shared" si="8"/>
        <v>197</v>
      </c>
      <c r="L39" s="168">
        <f t="shared" si="9"/>
        <v>166</v>
      </c>
      <c r="M39" s="166">
        <f t="shared" si="10"/>
        <v>195</v>
      </c>
      <c r="N39" s="167">
        <f t="shared" si="11"/>
        <v>247</v>
      </c>
      <c r="O39" s="168">
        <f t="shared" si="12"/>
        <v>208</v>
      </c>
      <c r="P39" s="169">
        <f t="shared" si="13"/>
        <v>292</v>
      </c>
      <c r="Q39" s="169">
        <f t="shared" si="14"/>
        <v>370</v>
      </c>
      <c r="R39" s="169">
        <f t="shared" si="15"/>
        <v>312</v>
      </c>
      <c r="S39" s="584">
        <f t="shared" ref="S39:S70" si="41">ROUND(IF($C39="UR",G39*0.25,G39*0.3),0)</f>
        <v>1950</v>
      </c>
      <c r="T39" s="594">
        <f t="shared" ref="T39:T70" si="42">ROUND(IF($C39="UR",H39*0.25,H39*0.3),0)</f>
        <v>2470</v>
      </c>
      <c r="U39" s="595">
        <f t="shared" ref="U39:U70" si="43">ROUND(IF($C39="UR",I39*0.25,I39*0.3),0)</f>
        <v>2080</v>
      </c>
      <c r="V39" s="166">
        <f t="shared" ref="V39:V70" si="44">(IF($C39="UR",IF($E39="party卡",18,12))+IF($C39="SR",10)+IF($C39="R",8))*M39+J39+S39</f>
        <v>4446</v>
      </c>
      <c r="W39" s="167">
        <f t="shared" ref="W39:W70" si="45">(IF($C39="UR",IF($E39="party卡",18,12))+IF($C39="SR",10)+IF($C39="R",8))*N39+K39+T39</f>
        <v>5631</v>
      </c>
      <c r="X39" s="168">
        <f t="shared" ref="X39:X70" si="46">(IF($C39="UR",IF($E39="party卡",18,12))+IF($C39="SR",10)+IF($C39="R",8))*O39+L39+U39</f>
        <v>4742</v>
      </c>
      <c r="Y39" s="166">
        <f t="shared" ref="Y39:Y70" si="47">V39+(IF(C39="UR",IF(E39="party卡",IF(D39="gd",1,2),IF(D39="vo",2)+IF(D39="sp",1)+IF(D39="gd",3)+IF(D39="sk",1)))+IF(C39="SR",2)+IF(C39="R",IF(D39="vo",1)+IF(D39="sp",2)+IF(D39="gd",1)+IF(D39="sk",2)))*P39</f>
        <v>5030</v>
      </c>
      <c r="Z39" s="167">
        <f t="shared" ref="Z39:Z70" si="48">W39+(IF(C39="UR",IF(E39="party卡",IF(D39="sp",1,2),IF(D39="vo",1)+IF(D39="sp",3)+IF(D39="gd",2)+IF(D39="sk",2)))+IF(C39="SR",2)+IF(C39="R",IF(D39="vo",2)+IF(D39="sp",1)+IF(D39="gd",1)+IF(D39="sk",1)))*Q39</f>
        <v>6001</v>
      </c>
      <c r="AA39" s="168">
        <f t="shared" ref="AA39:AA70" si="49">X39+(IF(C39="UR",IF(E39="party卡",IF(OR(D39="vo",D39="sk"),1,2),IF(D39="vo",3)+IF(D39="sp",2)+IF(D39="gd",1)+IF(D39="sk",3)))+IF(C39="SR",2)+IF(C39="R",IF(D39="vo",1)+IF(D39="sp",1)+IF(D39="gd",2)+IF(D39="sk",1)))*R39</f>
        <v>5678</v>
      </c>
      <c r="AB39" s="166">
        <f t="shared" ref="AB39:AB70" si="50">V39+(IF(C39="UR",IF(E39="party卡",IF(OR(D39="sp",D39="sk"),3,2),IF(D39="vo",5)+IF(D39="sp",4)+IF(D39="gd",4)+IF(D39="sk",4)))+IF(C39="SR",4)+IF(C39="R",IF(D39="vo",3)+IF(D39="sp",3)+IF(D39="gd",2)+IF(D39="sk",3)))*P39</f>
        <v>5906</v>
      </c>
      <c r="AC39" s="167">
        <f t="shared" ref="AC39:AC70" si="51">W39+(IF(C39="UR",IF(E39="party卡",IF(D39="vo",3,2),IF(D39="vo",4)+IF(D39="sp",4)+IF(D39="gd",5)+IF(D39="sk",5)))+IF(C39="SR",4)+IF(C39="R",IF(D39="vo",3)+IF(D39="sp",2)+IF(D39="gd",3)+IF(D39="sk",3)))*Q39</f>
        <v>7111</v>
      </c>
      <c r="AD39" s="168">
        <f t="shared" ref="AD39:AD70" si="52">X39+(IF(C39="UR",IF(E39="party卡",IF(D39="gd",3,2),IF(D39="vo",4)+IF(D39="sp",5)+IF(D39="gd",4)+IF(D39="sk",4)))+IF(C39="SR",4)+IF(C39="R",IF(D39="vo",2)+IF(D39="sp",3)+IF(D39="gd",3)+IF(D39="sk",2)))*R39</f>
        <v>5990</v>
      </c>
      <c r="AE39" s="166">
        <f t="shared" ref="AE39:AE70" si="53">V39+(IF(C39="UR",IF(E39="party卡",3,IF(D39="vo",7)+IF(D39="sp",8)+IF(D39="gd",6)+IF(D39="sk",8)))+IF(C39="SR",IF(D39="vo",5)+IF(D39="sp",6)+IF(D39="gd",6)+IF(D39="sk",6))+IF(C39="R",IF(D39="vo",5)+IF(D39="sp",4)+IF(D39="gd",4)+IF(D39="sk",4)))*P39</f>
        <v>6490</v>
      </c>
      <c r="AF39" s="167">
        <f t="shared" ref="AF39:AF70" si="54">W39+(IF(C39="UR",IF(E39="party卡",3,IF(D39="vo",8)+IF(D39="sp",6)+IF(D39="gd",7)+IF(D39="sk",7)))+IF(C39="SR",IF(D39="vo",6)+IF(D39="sp",6)+IF(D39="gd",5)+IF(D39="sk",5))+IF(C39="R",IF(D39="vo",4)+IF(D39="sp",4)+IF(D39="gd",5)+IF(D39="sk",5)))*Q39</f>
        <v>8591</v>
      </c>
      <c r="AG39" s="168">
        <f t="shared" ref="AG39:AG70" si="55">X39+(IF(C39="UR",IF(E39="party卡",3,IF(D39="vo",6)+IF(D39="sp",7)+IF(D39="gd",8)+IF(D39="sk",6)))+IF(C39="SR",IF(D39="vo",6)+IF(D39="sp",5)+IF(D39="gd",6)+IF(D39="sk",6))+IF(C39="R",IF(D39="vo",4)+IF(D39="sp",5)+IF(D39="gd",4)+IF(D39="sk",4)))*R39</f>
        <v>6614</v>
      </c>
      <c r="AH39" s="166">
        <f t="shared" si="31"/>
        <v>7074</v>
      </c>
      <c r="AI39" s="167">
        <f t="shared" ref="AI39:AI70" si="56">W39+(IF(C39="UR",IF(E39="party卡",4,IF(D39="vo",10)+IF(D39="sp",10)+IF(D39="gd",9)+IF(D39="sk",9)))+IF(C39="SR",IF(D39="vo",7)+IF(D39="sp",9)+IF(D39="gd",7)+IF(D39="sk",7))+IF(C39="R",IF(D39="vo",6)+IF(D39="sp",6)+IF(D39="gd",7)+IF(D39="sk",7)))*Q39</f>
        <v>9331</v>
      </c>
      <c r="AJ39" s="168">
        <f t="shared" ref="AJ39:AJ70" si="57">X39+(IF(C39="UR",IF(E39="party卡",4,IF(D39="vo",10)+IF(D39="sp",9)+IF(D39="gd",10)+IF(D39="sk",10)))+IF(C39="SR",IF(D39="vo",9)+IF(D39="sp",7)+IF(D39="gd",7)+IF(D39="sk",9))+IF(C39="R",IF(D39="vo",6)+IF(D39="sp",7)+IF(D39="gd",6)+IF(D39="sk",6)))*R39</f>
        <v>7862</v>
      </c>
      <c r="AK39" s="169">
        <f t="shared" ref="AK39:AK70" si="58">G39+J39</f>
        <v>7956</v>
      </c>
      <c r="AL39" s="167">
        <f t="shared" ref="AL39:AL70" si="59">H39+K39</f>
        <v>10077</v>
      </c>
      <c r="AM39" s="585">
        <f t="shared" ref="AM39:AM70" si="60">I39+L39</f>
        <v>8486</v>
      </c>
      <c r="AN39" s="596">
        <v>0.25</v>
      </c>
      <c r="AO39" s="597">
        <v>0.28000000000000003</v>
      </c>
      <c r="AP39" s="597">
        <v>0.31</v>
      </c>
      <c r="AQ39" s="598">
        <v>0.34</v>
      </c>
      <c r="AR39" s="599">
        <v>0.37</v>
      </c>
      <c r="AS39" s="586"/>
      <c r="AT39" s="587"/>
      <c r="AU39" s="587"/>
      <c r="AV39" s="588"/>
      <c r="AW39" s="589"/>
      <c r="AX39" s="596">
        <v>0.05</v>
      </c>
      <c r="AY39" s="598">
        <v>5.5E-2</v>
      </c>
      <c r="AZ39" s="598">
        <v>0.06</v>
      </c>
      <c r="BA39" s="598">
        <v>6.5000000000000002E-2</v>
      </c>
      <c r="BB39" s="598">
        <v>7.0000000000000007E-2</v>
      </c>
      <c r="BC39" s="590"/>
      <c r="BD39" s="631"/>
      <c r="BE39" s="596"/>
      <c r="BF39" s="598"/>
      <c r="BG39" s="598"/>
      <c r="BH39" s="598"/>
      <c r="BI39" s="598"/>
      <c r="BJ39" s="598"/>
      <c r="BK39" s="605"/>
      <c r="BL39" s="658">
        <f t="shared" si="37"/>
        <v>26000</v>
      </c>
      <c r="BM39" s="3">
        <f t="shared" si="38"/>
        <v>30</v>
      </c>
      <c r="BN39" s="3">
        <f t="shared" si="39"/>
        <v>38</v>
      </c>
      <c r="BO39" s="3">
        <f t="shared" si="40"/>
        <v>32</v>
      </c>
    </row>
    <row r="40" spans="2:67">
      <c r="B40" s="207" t="s">
        <v>486</v>
      </c>
      <c r="C40" s="889" t="s">
        <v>467</v>
      </c>
      <c r="D40" s="889" t="s">
        <v>14</v>
      </c>
      <c r="E40" s="237" t="s">
        <v>65</v>
      </c>
      <c r="F40" s="592">
        <v>37</v>
      </c>
      <c r="G40" s="593">
        <v>3104</v>
      </c>
      <c r="H40" s="594">
        <v>3621</v>
      </c>
      <c r="I40" s="595">
        <v>3621</v>
      </c>
      <c r="J40" s="166">
        <f t="shared" si="7"/>
        <v>62</v>
      </c>
      <c r="K40" s="167">
        <f t="shared" si="8"/>
        <v>72</v>
      </c>
      <c r="L40" s="168">
        <f t="shared" si="9"/>
        <v>72</v>
      </c>
      <c r="M40" s="166">
        <f t="shared" si="10"/>
        <v>116</v>
      </c>
      <c r="N40" s="167">
        <f t="shared" si="11"/>
        <v>135</v>
      </c>
      <c r="O40" s="168">
        <f t="shared" si="12"/>
        <v>135</v>
      </c>
      <c r="P40" s="169">
        <f t="shared" si="13"/>
        <v>155</v>
      </c>
      <c r="Q40" s="169">
        <f t="shared" si="14"/>
        <v>181</v>
      </c>
      <c r="R40" s="169">
        <f t="shared" si="15"/>
        <v>181</v>
      </c>
      <c r="S40" s="584">
        <f t="shared" si="41"/>
        <v>931</v>
      </c>
      <c r="T40" s="594">
        <f t="shared" si="42"/>
        <v>1086</v>
      </c>
      <c r="U40" s="595">
        <f t="shared" si="43"/>
        <v>1086</v>
      </c>
      <c r="V40" s="166">
        <f t="shared" si="44"/>
        <v>1921</v>
      </c>
      <c r="W40" s="167">
        <f t="shared" si="45"/>
        <v>2238</v>
      </c>
      <c r="X40" s="168">
        <f t="shared" si="46"/>
        <v>2238</v>
      </c>
      <c r="Y40" s="166">
        <f t="shared" si="47"/>
        <v>2231</v>
      </c>
      <c r="Z40" s="167">
        <f t="shared" si="48"/>
        <v>2419</v>
      </c>
      <c r="AA40" s="168">
        <f t="shared" si="49"/>
        <v>2419</v>
      </c>
      <c r="AB40" s="166">
        <f t="shared" si="50"/>
        <v>2386</v>
      </c>
      <c r="AC40" s="167">
        <f t="shared" si="51"/>
        <v>2600</v>
      </c>
      <c r="AD40" s="168">
        <f t="shared" si="52"/>
        <v>2781</v>
      </c>
      <c r="AE40" s="166">
        <f t="shared" si="53"/>
        <v>2541</v>
      </c>
      <c r="AF40" s="167">
        <f t="shared" si="54"/>
        <v>2962</v>
      </c>
      <c r="AG40" s="168">
        <f t="shared" si="55"/>
        <v>3143</v>
      </c>
      <c r="AH40" s="166">
        <f t="shared" si="31"/>
        <v>2851</v>
      </c>
      <c r="AI40" s="167">
        <f t="shared" si="56"/>
        <v>3324</v>
      </c>
      <c r="AJ40" s="168">
        <f t="shared" si="57"/>
        <v>3505</v>
      </c>
      <c r="AK40" s="169">
        <f t="shared" si="58"/>
        <v>3166</v>
      </c>
      <c r="AL40" s="167">
        <f t="shared" si="59"/>
        <v>3693</v>
      </c>
      <c r="AM40" s="585">
        <f t="shared" si="60"/>
        <v>3693</v>
      </c>
      <c r="AN40" s="586">
        <v>100</v>
      </c>
      <c r="AO40" s="686">
        <v>150</v>
      </c>
      <c r="AP40" s="686">
        <v>200</v>
      </c>
      <c r="AQ40" s="587">
        <v>250</v>
      </c>
      <c r="AR40" s="687">
        <v>300</v>
      </c>
      <c r="AS40" s="586"/>
      <c r="AT40" s="587"/>
      <c r="AU40" s="587"/>
      <c r="AV40" s="588"/>
      <c r="AW40" s="589"/>
      <c r="AX40" s="596">
        <v>0.01</v>
      </c>
      <c r="AY40" s="598">
        <v>1.2999999999999999E-2</v>
      </c>
      <c r="AZ40" s="598">
        <v>1.6E-2</v>
      </c>
      <c r="BA40" s="598">
        <v>1.9E-2</v>
      </c>
      <c r="BB40" s="598">
        <v>2.1999999999999999E-2</v>
      </c>
      <c r="BC40" s="590"/>
      <c r="BD40" s="631"/>
      <c r="BE40" s="596"/>
      <c r="BF40" s="598"/>
      <c r="BG40" s="598"/>
      <c r="BH40" s="598"/>
      <c r="BI40" s="598"/>
      <c r="BJ40" s="598"/>
      <c r="BK40" s="605"/>
      <c r="BL40" s="658">
        <f t="shared" si="37"/>
        <v>10350</v>
      </c>
      <c r="BM40" s="3">
        <f t="shared" si="38"/>
        <v>30</v>
      </c>
      <c r="BN40" s="3">
        <f t="shared" si="39"/>
        <v>35</v>
      </c>
      <c r="BO40" s="3">
        <f t="shared" si="40"/>
        <v>35</v>
      </c>
    </row>
    <row r="41" spans="2:67">
      <c r="B41" s="207" t="s">
        <v>487</v>
      </c>
      <c r="C41" s="889" t="s">
        <v>467</v>
      </c>
      <c r="D41" s="889" t="s">
        <v>23</v>
      </c>
      <c r="E41" s="237" t="s">
        <v>65</v>
      </c>
      <c r="F41" s="592">
        <v>38</v>
      </c>
      <c r="G41" s="593">
        <v>3910</v>
      </c>
      <c r="H41" s="594">
        <v>3910</v>
      </c>
      <c r="I41" s="595">
        <v>4027</v>
      </c>
      <c r="J41" s="166">
        <f t="shared" si="7"/>
        <v>78</v>
      </c>
      <c r="K41" s="167">
        <f t="shared" si="8"/>
        <v>78</v>
      </c>
      <c r="L41" s="168">
        <f t="shared" si="9"/>
        <v>80</v>
      </c>
      <c r="M41" s="166">
        <f t="shared" si="10"/>
        <v>146</v>
      </c>
      <c r="N41" s="167">
        <f t="shared" si="11"/>
        <v>146</v>
      </c>
      <c r="O41" s="168">
        <f t="shared" si="12"/>
        <v>151</v>
      </c>
      <c r="P41" s="169">
        <f t="shared" si="13"/>
        <v>195</v>
      </c>
      <c r="Q41" s="169">
        <f t="shared" si="14"/>
        <v>195</v>
      </c>
      <c r="R41" s="169">
        <f t="shared" si="15"/>
        <v>201</v>
      </c>
      <c r="S41" s="584">
        <f t="shared" si="41"/>
        <v>1173</v>
      </c>
      <c r="T41" s="594">
        <f t="shared" si="42"/>
        <v>1173</v>
      </c>
      <c r="U41" s="595">
        <f t="shared" si="43"/>
        <v>1208</v>
      </c>
      <c r="V41" s="166">
        <f t="shared" si="44"/>
        <v>2419</v>
      </c>
      <c r="W41" s="167">
        <f t="shared" si="45"/>
        <v>2419</v>
      </c>
      <c r="X41" s="168">
        <f t="shared" si="46"/>
        <v>2496</v>
      </c>
      <c r="Y41" s="166">
        <f t="shared" si="47"/>
        <v>2614</v>
      </c>
      <c r="Z41" s="167">
        <f t="shared" si="48"/>
        <v>2614</v>
      </c>
      <c r="AA41" s="168">
        <f t="shared" si="49"/>
        <v>2898</v>
      </c>
      <c r="AB41" s="166">
        <f t="shared" si="50"/>
        <v>2809</v>
      </c>
      <c r="AC41" s="167">
        <f t="shared" si="51"/>
        <v>3004</v>
      </c>
      <c r="AD41" s="168">
        <f t="shared" si="52"/>
        <v>3099</v>
      </c>
      <c r="AE41" s="166">
        <f t="shared" si="53"/>
        <v>3199</v>
      </c>
      <c r="AF41" s="167">
        <f t="shared" si="54"/>
        <v>3394</v>
      </c>
      <c r="AG41" s="168">
        <f t="shared" si="55"/>
        <v>3300</v>
      </c>
      <c r="AH41" s="166">
        <f t="shared" si="31"/>
        <v>3589</v>
      </c>
      <c r="AI41" s="167">
        <f t="shared" si="56"/>
        <v>3784</v>
      </c>
      <c r="AJ41" s="168">
        <f t="shared" si="57"/>
        <v>3702</v>
      </c>
      <c r="AK41" s="169">
        <f t="shared" si="58"/>
        <v>3988</v>
      </c>
      <c r="AL41" s="167">
        <f t="shared" si="59"/>
        <v>3988</v>
      </c>
      <c r="AM41" s="585">
        <f t="shared" si="60"/>
        <v>4107</v>
      </c>
      <c r="AN41" s="586">
        <v>250</v>
      </c>
      <c r="AO41" s="686">
        <v>300</v>
      </c>
      <c r="AP41" s="686">
        <v>350</v>
      </c>
      <c r="AQ41" s="587">
        <v>400</v>
      </c>
      <c r="AR41" s="687">
        <v>450</v>
      </c>
      <c r="AS41" s="586"/>
      <c r="AT41" s="587"/>
      <c r="AU41" s="587"/>
      <c r="AV41" s="588"/>
      <c r="AW41" s="589"/>
      <c r="AX41" s="596">
        <v>0.02</v>
      </c>
      <c r="AY41" s="598">
        <v>2.3E-2</v>
      </c>
      <c r="AZ41" s="598">
        <v>2.5999999999999999E-2</v>
      </c>
      <c r="BA41" s="598">
        <v>2.9000000000000001E-2</v>
      </c>
      <c r="BB41" s="598">
        <v>3.2000000000000001E-2</v>
      </c>
      <c r="BC41" s="590"/>
      <c r="BD41" s="631"/>
      <c r="BE41" s="596"/>
      <c r="BF41" s="598"/>
      <c r="BG41" s="598"/>
      <c r="BH41" s="598"/>
      <c r="BI41" s="598"/>
      <c r="BJ41" s="598"/>
      <c r="BK41" s="605"/>
      <c r="BL41" s="658">
        <f t="shared" si="37"/>
        <v>11850</v>
      </c>
      <c r="BM41" s="3">
        <f t="shared" si="38"/>
        <v>33</v>
      </c>
      <c r="BN41" s="3">
        <f t="shared" si="39"/>
        <v>33</v>
      </c>
      <c r="BO41" s="3">
        <f t="shared" si="40"/>
        <v>34</v>
      </c>
    </row>
    <row r="42" spans="2:67">
      <c r="B42" s="207" t="s">
        <v>388</v>
      </c>
      <c r="C42" s="889" t="s">
        <v>310</v>
      </c>
      <c r="D42" s="889" t="s">
        <v>358</v>
      </c>
      <c r="E42" s="237" t="s">
        <v>65</v>
      </c>
      <c r="F42" s="592">
        <v>39</v>
      </c>
      <c r="G42" s="593">
        <v>6400</v>
      </c>
      <c r="H42" s="594">
        <v>4800</v>
      </c>
      <c r="I42" s="595">
        <v>4800</v>
      </c>
      <c r="J42" s="166">
        <f t="shared" si="7"/>
        <v>128</v>
      </c>
      <c r="K42" s="167">
        <f t="shared" si="8"/>
        <v>96</v>
      </c>
      <c r="L42" s="168">
        <f t="shared" si="9"/>
        <v>96</v>
      </c>
      <c r="M42" s="166">
        <f t="shared" si="10"/>
        <v>192</v>
      </c>
      <c r="N42" s="167">
        <f t="shared" si="11"/>
        <v>144</v>
      </c>
      <c r="O42" s="168">
        <f t="shared" si="12"/>
        <v>144</v>
      </c>
      <c r="P42" s="169">
        <f t="shared" si="13"/>
        <v>256</v>
      </c>
      <c r="Q42" s="169">
        <f t="shared" si="14"/>
        <v>192</v>
      </c>
      <c r="R42" s="169">
        <f t="shared" si="15"/>
        <v>192</v>
      </c>
      <c r="S42" s="584">
        <f t="shared" si="41"/>
        <v>1920</v>
      </c>
      <c r="T42" s="594">
        <f t="shared" si="42"/>
        <v>1440</v>
      </c>
      <c r="U42" s="595">
        <f t="shared" si="43"/>
        <v>1440</v>
      </c>
      <c r="V42" s="166">
        <f t="shared" si="44"/>
        <v>3968</v>
      </c>
      <c r="W42" s="167">
        <f t="shared" si="45"/>
        <v>2976</v>
      </c>
      <c r="X42" s="168">
        <f t="shared" si="46"/>
        <v>2976</v>
      </c>
      <c r="Y42" s="166">
        <f t="shared" si="47"/>
        <v>4480</v>
      </c>
      <c r="Z42" s="167">
        <f t="shared" si="48"/>
        <v>3360</v>
      </c>
      <c r="AA42" s="168">
        <f t="shared" si="49"/>
        <v>3360</v>
      </c>
      <c r="AB42" s="166">
        <f t="shared" si="50"/>
        <v>4992</v>
      </c>
      <c r="AC42" s="167">
        <f t="shared" si="51"/>
        <v>3744</v>
      </c>
      <c r="AD42" s="168">
        <f t="shared" si="52"/>
        <v>3744</v>
      </c>
      <c r="AE42" s="166">
        <f t="shared" si="53"/>
        <v>5248</v>
      </c>
      <c r="AF42" s="167">
        <f t="shared" si="54"/>
        <v>4128</v>
      </c>
      <c r="AG42" s="168">
        <f t="shared" si="55"/>
        <v>4128</v>
      </c>
      <c r="AH42" s="166">
        <f t="shared" si="31"/>
        <v>5760</v>
      </c>
      <c r="AI42" s="167">
        <f t="shared" si="56"/>
        <v>4320</v>
      </c>
      <c r="AJ42" s="168">
        <f t="shared" si="57"/>
        <v>4704</v>
      </c>
      <c r="AK42" s="169">
        <f t="shared" si="58"/>
        <v>6528</v>
      </c>
      <c r="AL42" s="167">
        <f t="shared" si="59"/>
        <v>4896</v>
      </c>
      <c r="AM42" s="585">
        <f t="shared" si="60"/>
        <v>4896</v>
      </c>
      <c r="AN42" s="596">
        <v>0.05</v>
      </c>
      <c r="AO42" s="597">
        <v>5.2999999999999999E-2</v>
      </c>
      <c r="AP42" s="597">
        <v>5.6000000000000001E-2</v>
      </c>
      <c r="AQ42" s="598">
        <v>5.8999999999999997E-2</v>
      </c>
      <c r="AR42" s="599">
        <v>6.2E-2</v>
      </c>
      <c r="AS42" s="586"/>
      <c r="AT42" s="587"/>
      <c r="AU42" s="587"/>
      <c r="AV42" s="588"/>
      <c r="AW42" s="589"/>
      <c r="AX42" s="596">
        <v>0.03</v>
      </c>
      <c r="AY42" s="598">
        <v>3.3000000000000002E-2</v>
      </c>
      <c r="AZ42" s="598">
        <v>3.5999999999999997E-2</v>
      </c>
      <c r="BA42" s="598">
        <v>3.9E-2</v>
      </c>
      <c r="BB42" s="598">
        <v>4.2000000000000003E-2</v>
      </c>
      <c r="BC42" s="590"/>
      <c r="BD42" s="631"/>
      <c r="BE42" s="596"/>
      <c r="BF42" s="598"/>
      <c r="BG42" s="598"/>
      <c r="BH42" s="598"/>
      <c r="BI42" s="598"/>
      <c r="BJ42" s="598"/>
      <c r="BK42" s="605"/>
      <c r="BL42" s="658">
        <f t="shared" si="37"/>
        <v>16000</v>
      </c>
      <c r="BM42" s="3">
        <f t="shared" si="38"/>
        <v>40</v>
      </c>
      <c r="BN42" s="3">
        <f t="shared" si="39"/>
        <v>30</v>
      </c>
      <c r="BO42" s="3">
        <f t="shared" si="40"/>
        <v>30</v>
      </c>
    </row>
    <row r="43" spans="2:67">
      <c r="B43" s="1269" t="s">
        <v>2091</v>
      </c>
      <c r="C43" s="1264" t="s">
        <v>309</v>
      </c>
      <c r="D43" s="1264" t="s">
        <v>70</v>
      </c>
      <c r="E43" s="1266" t="s">
        <v>65</v>
      </c>
      <c r="F43" s="1270">
        <v>40</v>
      </c>
      <c r="G43" s="593">
        <v>5200</v>
      </c>
      <c r="H43" s="594">
        <v>12480</v>
      </c>
      <c r="I43" s="595">
        <v>8320</v>
      </c>
      <c r="J43" s="166">
        <f t="shared" si="7"/>
        <v>104</v>
      </c>
      <c r="K43" s="167">
        <f t="shared" si="8"/>
        <v>249</v>
      </c>
      <c r="L43" s="168">
        <f t="shared" si="9"/>
        <v>166</v>
      </c>
      <c r="M43" s="166">
        <f t="shared" si="10"/>
        <v>130</v>
      </c>
      <c r="N43" s="167">
        <f t="shared" si="11"/>
        <v>312</v>
      </c>
      <c r="O43" s="168">
        <f t="shared" si="12"/>
        <v>208</v>
      </c>
      <c r="P43" s="169">
        <f t="shared" si="13"/>
        <v>195</v>
      </c>
      <c r="Q43" s="169">
        <f t="shared" si="14"/>
        <v>468</v>
      </c>
      <c r="R43" s="169">
        <f t="shared" si="15"/>
        <v>312</v>
      </c>
      <c r="S43" s="584">
        <f t="shared" si="41"/>
        <v>1300</v>
      </c>
      <c r="T43" s="594">
        <f t="shared" si="42"/>
        <v>3120</v>
      </c>
      <c r="U43" s="595">
        <f t="shared" si="43"/>
        <v>2080</v>
      </c>
      <c r="V43" s="166">
        <f t="shared" si="44"/>
        <v>2964</v>
      </c>
      <c r="W43" s="167">
        <f t="shared" si="45"/>
        <v>7113</v>
      </c>
      <c r="X43" s="168">
        <f t="shared" si="46"/>
        <v>4742</v>
      </c>
      <c r="Y43" s="166">
        <f t="shared" si="47"/>
        <v>3159</v>
      </c>
      <c r="Z43" s="167">
        <f t="shared" si="48"/>
        <v>8049</v>
      </c>
      <c r="AA43" s="168">
        <f t="shared" si="49"/>
        <v>5678</v>
      </c>
      <c r="AB43" s="166">
        <f t="shared" si="50"/>
        <v>3744</v>
      </c>
      <c r="AC43" s="167">
        <f t="shared" si="51"/>
        <v>9453</v>
      </c>
      <c r="AD43" s="168">
        <f t="shared" si="52"/>
        <v>5990</v>
      </c>
      <c r="AE43" s="166">
        <f t="shared" si="53"/>
        <v>4524</v>
      </c>
      <c r="AF43" s="167">
        <f t="shared" si="54"/>
        <v>10389</v>
      </c>
      <c r="AG43" s="168">
        <f t="shared" si="55"/>
        <v>6614</v>
      </c>
      <c r="AH43" s="166">
        <f t="shared" si="31"/>
        <v>4914</v>
      </c>
      <c r="AI43" s="167">
        <f t="shared" si="56"/>
        <v>11325</v>
      </c>
      <c r="AJ43" s="168">
        <f t="shared" si="57"/>
        <v>7862</v>
      </c>
      <c r="AK43" s="169">
        <f t="shared" si="58"/>
        <v>5304</v>
      </c>
      <c r="AL43" s="167">
        <f t="shared" si="59"/>
        <v>12729</v>
      </c>
      <c r="AM43" s="585">
        <f t="shared" si="60"/>
        <v>8486</v>
      </c>
      <c r="AN43" s="596">
        <v>4.2000000000000003E-2</v>
      </c>
      <c r="AO43" s="597">
        <v>4.3999999999999997E-2</v>
      </c>
      <c r="AP43" s="597">
        <v>4.5999999999999999E-2</v>
      </c>
      <c r="AQ43" s="598">
        <v>4.8000000000000001E-2</v>
      </c>
      <c r="AR43" s="599">
        <v>0.05</v>
      </c>
      <c r="AS43" s="586"/>
      <c r="AT43" s="587"/>
      <c r="AU43" s="587"/>
      <c r="AV43" s="588"/>
      <c r="AW43" s="589"/>
      <c r="AX43" s="596">
        <v>0.04</v>
      </c>
      <c r="AY43" s="598">
        <v>4.2999999999999997E-2</v>
      </c>
      <c r="AZ43" s="598">
        <v>4.5999999999999999E-2</v>
      </c>
      <c r="BA43" s="598">
        <v>4.9000000000000002E-2</v>
      </c>
      <c r="BB43" s="598">
        <v>5.1999999999999998E-2</v>
      </c>
      <c r="BC43" s="590"/>
      <c r="BD43" s="631"/>
      <c r="BE43" s="596"/>
      <c r="BF43" s="598"/>
      <c r="BG43" s="598"/>
      <c r="BH43" s="598"/>
      <c r="BI43" s="598"/>
      <c r="BJ43" s="598"/>
      <c r="BK43" s="605"/>
      <c r="BL43" s="658">
        <f t="shared" si="37"/>
        <v>26000</v>
      </c>
      <c r="BM43" s="3">
        <f t="shared" si="38"/>
        <v>20</v>
      </c>
      <c r="BN43" s="3">
        <f t="shared" si="39"/>
        <v>48</v>
      </c>
      <c r="BO43" s="3">
        <f t="shared" si="40"/>
        <v>32</v>
      </c>
    </row>
    <row r="44" spans="2:67">
      <c r="B44" s="207" t="s">
        <v>488</v>
      </c>
      <c r="C44" s="889" t="s">
        <v>467</v>
      </c>
      <c r="D44" s="889" t="s">
        <v>70</v>
      </c>
      <c r="E44" s="237" t="s">
        <v>65</v>
      </c>
      <c r="F44" s="592">
        <v>41</v>
      </c>
      <c r="G44" s="593">
        <v>3104</v>
      </c>
      <c r="H44" s="594">
        <v>3621</v>
      </c>
      <c r="I44" s="595">
        <v>3621</v>
      </c>
      <c r="J44" s="166">
        <f t="shared" si="7"/>
        <v>62</v>
      </c>
      <c r="K44" s="167">
        <f t="shared" si="8"/>
        <v>72</v>
      </c>
      <c r="L44" s="168">
        <f t="shared" si="9"/>
        <v>72</v>
      </c>
      <c r="M44" s="166">
        <f t="shared" si="10"/>
        <v>116</v>
      </c>
      <c r="N44" s="167">
        <f t="shared" si="11"/>
        <v>135</v>
      </c>
      <c r="O44" s="168">
        <f t="shared" si="12"/>
        <v>135</v>
      </c>
      <c r="P44" s="169">
        <f t="shared" si="13"/>
        <v>155</v>
      </c>
      <c r="Q44" s="169">
        <f t="shared" si="14"/>
        <v>181</v>
      </c>
      <c r="R44" s="169">
        <f t="shared" si="15"/>
        <v>181</v>
      </c>
      <c r="S44" s="584">
        <f t="shared" si="41"/>
        <v>931</v>
      </c>
      <c r="T44" s="594">
        <f t="shared" si="42"/>
        <v>1086</v>
      </c>
      <c r="U44" s="595">
        <f t="shared" si="43"/>
        <v>1086</v>
      </c>
      <c r="V44" s="166">
        <f t="shared" si="44"/>
        <v>1921</v>
      </c>
      <c r="W44" s="167">
        <f t="shared" si="45"/>
        <v>2238</v>
      </c>
      <c r="X44" s="168">
        <f t="shared" si="46"/>
        <v>2238</v>
      </c>
      <c r="Y44" s="166">
        <f t="shared" si="47"/>
        <v>2231</v>
      </c>
      <c r="Z44" s="167">
        <f t="shared" si="48"/>
        <v>2419</v>
      </c>
      <c r="AA44" s="168">
        <f t="shared" si="49"/>
        <v>2419</v>
      </c>
      <c r="AB44" s="166">
        <f t="shared" si="50"/>
        <v>2386</v>
      </c>
      <c r="AC44" s="167">
        <f t="shared" si="51"/>
        <v>2781</v>
      </c>
      <c r="AD44" s="168">
        <f t="shared" si="52"/>
        <v>2600</v>
      </c>
      <c r="AE44" s="166">
        <f t="shared" si="53"/>
        <v>2541</v>
      </c>
      <c r="AF44" s="167">
        <f t="shared" si="54"/>
        <v>3143</v>
      </c>
      <c r="AG44" s="168">
        <f t="shared" si="55"/>
        <v>2962</v>
      </c>
      <c r="AH44" s="166">
        <f t="shared" si="31"/>
        <v>2851</v>
      </c>
      <c r="AI44" s="167">
        <f t="shared" si="56"/>
        <v>3505</v>
      </c>
      <c r="AJ44" s="168">
        <f t="shared" si="57"/>
        <v>3324</v>
      </c>
      <c r="AK44" s="169">
        <f t="shared" si="58"/>
        <v>3166</v>
      </c>
      <c r="AL44" s="167">
        <f t="shared" si="59"/>
        <v>3693</v>
      </c>
      <c r="AM44" s="585">
        <f t="shared" si="60"/>
        <v>3693</v>
      </c>
      <c r="AN44" s="596">
        <v>2.1999999999999999E-2</v>
      </c>
      <c r="AO44" s="597">
        <v>2.4E-2</v>
      </c>
      <c r="AP44" s="597">
        <v>2.5999999999999999E-2</v>
      </c>
      <c r="AQ44" s="598">
        <v>2.8000000000000001E-2</v>
      </c>
      <c r="AR44" s="599">
        <v>0.03</v>
      </c>
      <c r="AS44" s="586"/>
      <c r="AT44" s="587"/>
      <c r="AU44" s="587"/>
      <c r="AV44" s="588"/>
      <c r="AW44" s="589"/>
      <c r="AX44" s="596">
        <v>0.01</v>
      </c>
      <c r="AY44" s="598">
        <v>1.2999999999999999E-2</v>
      </c>
      <c r="AZ44" s="598">
        <v>1.6E-2</v>
      </c>
      <c r="BA44" s="598">
        <v>1.9E-2</v>
      </c>
      <c r="BB44" s="598">
        <v>2.1999999999999999E-2</v>
      </c>
      <c r="BC44" s="590"/>
      <c r="BD44" s="631"/>
      <c r="BE44" s="596"/>
      <c r="BF44" s="598"/>
      <c r="BG44" s="598"/>
      <c r="BH44" s="598"/>
      <c r="BI44" s="598"/>
      <c r="BJ44" s="598"/>
      <c r="BK44" s="605"/>
      <c r="BL44" s="658">
        <f t="shared" si="37"/>
        <v>10350</v>
      </c>
      <c r="BM44" s="3">
        <f t="shared" si="38"/>
        <v>30</v>
      </c>
      <c r="BN44" s="3">
        <f t="shared" si="39"/>
        <v>35</v>
      </c>
      <c r="BO44" s="3">
        <f t="shared" si="40"/>
        <v>35</v>
      </c>
    </row>
    <row r="45" spans="2:67">
      <c r="B45" s="207" t="s">
        <v>489</v>
      </c>
      <c r="C45" s="889" t="s">
        <v>467</v>
      </c>
      <c r="D45" s="889" t="s">
        <v>13</v>
      </c>
      <c r="E45" s="237" t="s">
        <v>65</v>
      </c>
      <c r="F45" s="592">
        <v>42</v>
      </c>
      <c r="G45" s="593">
        <v>4740</v>
      </c>
      <c r="H45" s="594">
        <v>3554</v>
      </c>
      <c r="I45" s="595">
        <v>3554</v>
      </c>
      <c r="J45" s="166">
        <f t="shared" si="7"/>
        <v>94</v>
      </c>
      <c r="K45" s="167">
        <f t="shared" si="8"/>
        <v>71</v>
      </c>
      <c r="L45" s="168">
        <f t="shared" si="9"/>
        <v>71</v>
      </c>
      <c r="M45" s="166">
        <f t="shared" si="10"/>
        <v>177</v>
      </c>
      <c r="N45" s="167">
        <f t="shared" si="11"/>
        <v>133</v>
      </c>
      <c r="O45" s="168">
        <f t="shared" si="12"/>
        <v>133</v>
      </c>
      <c r="P45" s="169">
        <f t="shared" si="13"/>
        <v>237</v>
      </c>
      <c r="Q45" s="169">
        <f t="shared" si="14"/>
        <v>177</v>
      </c>
      <c r="R45" s="169">
        <f t="shared" si="15"/>
        <v>177</v>
      </c>
      <c r="S45" s="584">
        <f t="shared" si="41"/>
        <v>1422</v>
      </c>
      <c r="T45" s="594">
        <f t="shared" si="42"/>
        <v>1066</v>
      </c>
      <c r="U45" s="595">
        <f t="shared" si="43"/>
        <v>1066</v>
      </c>
      <c r="V45" s="166">
        <f t="shared" si="44"/>
        <v>2932</v>
      </c>
      <c r="W45" s="167">
        <f t="shared" si="45"/>
        <v>2201</v>
      </c>
      <c r="X45" s="168">
        <f t="shared" si="46"/>
        <v>2201</v>
      </c>
      <c r="Y45" s="166">
        <f t="shared" si="47"/>
        <v>3169</v>
      </c>
      <c r="Z45" s="167">
        <f t="shared" si="48"/>
        <v>2555</v>
      </c>
      <c r="AA45" s="168">
        <f t="shared" si="49"/>
        <v>2378</v>
      </c>
      <c r="AB45" s="166">
        <f t="shared" si="50"/>
        <v>3643</v>
      </c>
      <c r="AC45" s="167">
        <f t="shared" si="51"/>
        <v>2732</v>
      </c>
      <c r="AD45" s="168">
        <f t="shared" si="52"/>
        <v>2555</v>
      </c>
      <c r="AE45" s="166">
        <f t="shared" si="53"/>
        <v>4117</v>
      </c>
      <c r="AF45" s="167">
        <f t="shared" si="54"/>
        <v>2909</v>
      </c>
      <c r="AG45" s="168">
        <f t="shared" si="55"/>
        <v>2909</v>
      </c>
      <c r="AH45" s="166">
        <f t="shared" si="31"/>
        <v>4591</v>
      </c>
      <c r="AI45" s="167">
        <f t="shared" si="56"/>
        <v>3263</v>
      </c>
      <c r="AJ45" s="168">
        <f t="shared" si="57"/>
        <v>3263</v>
      </c>
      <c r="AK45" s="169">
        <f t="shared" si="58"/>
        <v>4834</v>
      </c>
      <c r="AL45" s="167">
        <f t="shared" si="59"/>
        <v>3625</v>
      </c>
      <c r="AM45" s="585">
        <f t="shared" si="60"/>
        <v>3625</v>
      </c>
      <c r="AN45" s="586">
        <v>60</v>
      </c>
      <c r="AO45" s="686">
        <v>70</v>
      </c>
      <c r="AP45" s="686">
        <v>80</v>
      </c>
      <c r="AQ45" s="587">
        <v>90</v>
      </c>
      <c r="AR45" s="687">
        <v>100</v>
      </c>
      <c r="AS45" s="586"/>
      <c r="AT45" s="587"/>
      <c r="AU45" s="587"/>
      <c r="AV45" s="588"/>
      <c r="AW45" s="589"/>
      <c r="AX45" s="596">
        <v>1.4999999999999999E-2</v>
      </c>
      <c r="AY45" s="598">
        <v>1.7999999999999999E-2</v>
      </c>
      <c r="AZ45" s="598">
        <v>2.1000000000000001E-2</v>
      </c>
      <c r="BA45" s="598">
        <v>2.4E-2</v>
      </c>
      <c r="BB45" s="598">
        <v>2.7E-2</v>
      </c>
      <c r="BC45" s="590"/>
      <c r="BD45" s="631"/>
      <c r="BE45" s="596"/>
      <c r="BF45" s="598"/>
      <c r="BG45" s="598"/>
      <c r="BH45" s="598"/>
      <c r="BI45" s="598"/>
      <c r="BJ45" s="598"/>
      <c r="BK45" s="605"/>
      <c r="BL45" s="658">
        <f t="shared" si="37"/>
        <v>11850</v>
      </c>
      <c r="BM45" s="3">
        <f t="shared" si="38"/>
        <v>40</v>
      </c>
      <c r="BN45" s="3">
        <f t="shared" si="39"/>
        <v>30</v>
      </c>
      <c r="BO45" s="3">
        <f t="shared" si="40"/>
        <v>30</v>
      </c>
    </row>
    <row r="46" spans="2:67">
      <c r="B46" s="207" t="s">
        <v>389</v>
      </c>
      <c r="C46" s="889" t="s">
        <v>357</v>
      </c>
      <c r="D46" s="889" t="s">
        <v>360</v>
      </c>
      <c r="E46" s="237" t="s">
        <v>65</v>
      </c>
      <c r="F46" s="592">
        <v>43</v>
      </c>
      <c r="G46" s="593">
        <v>2720</v>
      </c>
      <c r="H46" s="594">
        <v>7680</v>
      </c>
      <c r="I46" s="595">
        <v>5600</v>
      </c>
      <c r="J46" s="166">
        <f t="shared" si="7"/>
        <v>54</v>
      </c>
      <c r="K46" s="167">
        <f t="shared" si="8"/>
        <v>153</v>
      </c>
      <c r="L46" s="168">
        <f t="shared" si="9"/>
        <v>112</v>
      </c>
      <c r="M46" s="166">
        <f t="shared" si="10"/>
        <v>81</v>
      </c>
      <c r="N46" s="167">
        <f t="shared" si="11"/>
        <v>230</v>
      </c>
      <c r="O46" s="168">
        <f t="shared" si="12"/>
        <v>168</v>
      </c>
      <c r="P46" s="169">
        <f t="shared" si="13"/>
        <v>108</v>
      </c>
      <c r="Q46" s="169">
        <f t="shared" si="14"/>
        <v>307</v>
      </c>
      <c r="R46" s="169">
        <f t="shared" si="15"/>
        <v>224</v>
      </c>
      <c r="S46" s="584">
        <f t="shared" si="41"/>
        <v>816</v>
      </c>
      <c r="T46" s="594">
        <f t="shared" si="42"/>
        <v>2304</v>
      </c>
      <c r="U46" s="595">
        <f t="shared" si="43"/>
        <v>1680</v>
      </c>
      <c r="V46" s="166">
        <f t="shared" si="44"/>
        <v>1680</v>
      </c>
      <c r="W46" s="167">
        <f t="shared" si="45"/>
        <v>4757</v>
      </c>
      <c r="X46" s="168">
        <f t="shared" si="46"/>
        <v>3472</v>
      </c>
      <c r="Y46" s="166">
        <f t="shared" si="47"/>
        <v>1896</v>
      </c>
      <c r="Z46" s="167">
        <f t="shared" si="48"/>
        <v>5371</v>
      </c>
      <c r="AA46" s="168">
        <f t="shared" si="49"/>
        <v>3920</v>
      </c>
      <c r="AB46" s="166">
        <f t="shared" si="50"/>
        <v>2112</v>
      </c>
      <c r="AC46" s="167">
        <f t="shared" si="51"/>
        <v>5985</v>
      </c>
      <c r="AD46" s="168">
        <f t="shared" si="52"/>
        <v>4368</v>
      </c>
      <c r="AE46" s="166">
        <f t="shared" si="53"/>
        <v>2328</v>
      </c>
      <c r="AF46" s="167">
        <f t="shared" si="54"/>
        <v>6599</v>
      </c>
      <c r="AG46" s="168">
        <f t="shared" si="55"/>
        <v>4592</v>
      </c>
      <c r="AH46" s="166">
        <f t="shared" si="31"/>
        <v>2436</v>
      </c>
      <c r="AI46" s="167">
        <f t="shared" si="56"/>
        <v>7520</v>
      </c>
      <c r="AJ46" s="168">
        <f t="shared" si="57"/>
        <v>5040</v>
      </c>
      <c r="AK46" s="169">
        <f t="shared" si="58"/>
        <v>2774</v>
      </c>
      <c r="AL46" s="167">
        <f t="shared" si="59"/>
        <v>7833</v>
      </c>
      <c r="AM46" s="585">
        <f t="shared" si="60"/>
        <v>5712</v>
      </c>
      <c r="AN46" s="596">
        <v>0.05</v>
      </c>
      <c r="AO46" s="597">
        <v>5.5E-2</v>
      </c>
      <c r="AP46" s="597">
        <v>0.06</v>
      </c>
      <c r="AQ46" s="598">
        <v>6.5000000000000002E-2</v>
      </c>
      <c r="AR46" s="599">
        <v>7.0000000000000007E-2</v>
      </c>
      <c r="AS46" s="586"/>
      <c r="AT46" s="587"/>
      <c r="AU46" s="587"/>
      <c r="AV46" s="588"/>
      <c r="AW46" s="589"/>
      <c r="AX46" s="596">
        <v>0.05</v>
      </c>
      <c r="AY46" s="598">
        <v>5.5E-2</v>
      </c>
      <c r="AZ46" s="598">
        <v>0.06</v>
      </c>
      <c r="BA46" s="598">
        <v>6.5000000000000002E-2</v>
      </c>
      <c r="BB46" s="598">
        <v>7.0000000000000007E-2</v>
      </c>
      <c r="BC46" s="590"/>
      <c r="BD46" s="631"/>
      <c r="BE46" s="596"/>
      <c r="BF46" s="598"/>
      <c r="BG46" s="598"/>
      <c r="BH46" s="598"/>
      <c r="BI46" s="598"/>
      <c r="BJ46" s="598"/>
      <c r="BK46" s="605"/>
      <c r="BL46" s="658">
        <f t="shared" si="37"/>
        <v>16000</v>
      </c>
      <c r="BM46" s="3">
        <f t="shared" si="38"/>
        <v>17</v>
      </c>
      <c r="BN46" s="3">
        <f t="shared" si="39"/>
        <v>48</v>
      </c>
      <c r="BO46" s="3">
        <f t="shared" si="40"/>
        <v>35</v>
      </c>
    </row>
    <row r="47" spans="2:67">
      <c r="B47" s="1269" t="s">
        <v>2092</v>
      </c>
      <c r="C47" s="1264" t="s">
        <v>309</v>
      </c>
      <c r="D47" s="1264" t="s">
        <v>23</v>
      </c>
      <c r="E47" s="1266" t="s">
        <v>65</v>
      </c>
      <c r="F47" s="1270">
        <v>44</v>
      </c>
      <c r="G47" s="593">
        <v>7800</v>
      </c>
      <c r="H47" s="594">
        <v>7800</v>
      </c>
      <c r="I47" s="595">
        <v>10400</v>
      </c>
      <c r="J47" s="166">
        <f t="shared" si="7"/>
        <v>156</v>
      </c>
      <c r="K47" s="167">
        <f t="shared" si="8"/>
        <v>156</v>
      </c>
      <c r="L47" s="168">
        <f t="shared" si="9"/>
        <v>208</v>
      </c>
      <c r="M47" s="166">
        <f t="shared" si="10"/>
        <v>195</v>
      </c>
      <c r="N47" s="167">
        <f t="shared" si="11"/>
        <v>195</v>
      </c>
      <c r="O47" s="168">
        <f t="shared" si="12"/>
        <v>260</v>
      </c>
      <c r="P47" s="169">
        <f t="shared" si="13"/>
        <v>292</v>
      </c>
      <c r="Q47" s="169">
        <f t="shared" si="14"/>
        <v>292</v>
      </c>
      <c r="R47" s="169">
        <f t="shared" si="15"/>
        <v>390</v>
      </c>
      <c r="S47" s="584">
        <f t="shared" si="41"/>
        <v>1950</v>
      </c>
      <c r="T47" s="594">
        <f t="shared" si="42"/>
        <v>1950</v>
      </c>
      <c r="U47" s="595">
        <f t="shared" si="43"/>
        <v>2600</v>
      </c>
      <c r="V47" s="166">
        <f t="shared" si="44"/>
        <v>4446</v>
      </c>
      <c r="W47" s="167">
        <f t="shared" si="45"/>
        <v>4446</v>
      </c>
      <c r="X47" s="168">
        <f t="shared" si="46"/>
        <v>5928</v>
      </c>
      <c r="Y47" s="166">
        <f t="shared" si="47"/>
        <v>5322</v>
      </c>
      <c r="Z47" s="167">
        <f t="shared" si="48"/>
        <v>5030</v>
      </c>
      <c r="AA47" s="168">
        <f t="shared" si="49"/>
        <v>6318</v>
      </c>
      <c r="AB47" s="166">
        <f t="shared" si="50"/>
        <v>5614</v>
      </c>
      <c r="AC47" s="167">
        <f t="shared" si="51"/>
        <v>5906</v>
      </c>
      <c r="AD47" s="168">
        <f t="shared" si="52"/>
        <v>7488</v>
      </c>
      <c r="AE47" s="166">
        <f t="shared" si="53"/>
        <v>6198</v>
      </c>
      <c r="AF47" s="167">
        <f t="shared" si="54"/>
        <v>6490</v>
      </c>
      <c r="AG47" s="168">
        <f t="shared" si="55"/>
        <v>9048</v>
      </c>
      <c r="AH47" s="166">
        <f t="shared" si="31"/>
        <v>7366</v>
      </c>
      <c r="AI47" s="167">
        <f t="shared" si="56"/>
        <v>7074</v>
      </c>
      <c r="AJ47" s="168">
        <f t="shared" si="57"/>
        <v>9828</v>
      </c>
      <c r="AK47" s="169">
        <f t="shared" si="58"/>
        <v>7956</v>
      </c>
      <c r="AL47" s="167">
        <f t="shared" si="59"/>
        <v>7956</v>
      </c>
      <c r="AM47" s="585">
        <f t="shared" si="60"/>
        <v>10608</v>
      </c>
      <c r="AN47" s="596">
        <v>0.1</v>
      </c>
      <c r="AO47" s="597">
        <v>0.11</v>
      </c>
      <c r="AP47" s="597">
        <v>0.12</v>
      </c>
      <c r="AQ47" s="598">
        <v>0.13</v>
      </c>
      <c r="AR47" s="599">
        <v>0.14000000000000001</v>
      </c>
      <c r="AS47" s="586"/>
      <c r="AT47" s="587"/>
      <c r="AU47" s="587"/>
      <c r="AV47" s="588"/>
      <c r="AW47" s="589"/>
      <c r="AX47" s="596">
        <v>0.03</v>
      </c>
      <c r="AY47" s="598">
        <v>3.3000000000000002E-2</v>
      </c>
      <c r="AZ47" s="598">
        <v>3.5999999999999997E-2</v>
      </c>
      <c r="BA47" s="598">
        <v>3.9E-2</v>
      </c>
      <c r="BB47" s="598">
        <v>4.2000000000000003E-2</v>
      </c>
      <c r="BC47" s="590"/>
      <c r="BD47" s="631"/>
      <c r="BE47" s="596"/>
      <c r="BF47" s="598"/>
      <c r="BG47" s="598"/>
      <c r="BH47" s="598"/>
      <c r="BI47" s="598"/>
      <c r="BJ47" s="598"/>
      <c r="BK47" s="605"/>
      <c r="BL47" s="658">
        <f t="shared" si="37"/>
        <v>26000</v>
      </c>
      <c r="BM47" s="3">
        <f t="shared" si="38"/>
        <v>30</v>
      </c>
      <c r="BN47" s="3">
        <f t="shared" si="39"/>
        <v>30</v>
      </c>
      <c r="BO47" s="3">
        <f t="shared" si="40"/>
        <v>40</v>
      </c>
    </row>
    <row r="48" spans="2:67">
      <c r="B48" s="207" t="s">
        <v>490</v>
      </c>
      <c r="C48" s="889" t="s">
        <v>467</v>
      </c>
      <c r="D48" s="889" t="s">
        <v>70</v>
      </c>
      <c r="E48" s="237" t="s">
        <v>65</v>
      </c>
      <c r="F48" s="592">
        <v>45</v>
      </c>
      <c r="G48" s="593">
        <v>3414</v>
      </c>
      <c r="H48" s="594">
        <v>3414</v>
      </c>
      <c r="I48" s="595">
        <v>3517</v>
      </c>
      <c r="J48" s="166">
        <f t="shared" si="7"/>
        <v>68</v>
      </c>
      <c r="K48" s="167">
        <f t="shared" si="8"/>
        <v>68</v>
      </c>
      <c r="L48" s="168">
        <f t="shared" si="9"/>
        <v>70</v>
      </c>
      <c r="M48" s="166">
        <f t="shared" si="10"/>
        <v>128</v>
      </c>
      <c r="N48" s="167">
        <f t="shared" si="11"/>
        <v>128</v>
      </c>
      <c r="O48" s="168">
        <f t="shared" si="12"/>
        <v>131</v>
      </c>
      <c r="P48" s="169">
        <f t="shared" si="13"/>
        <v>170</v>
      </c>
      <c r="Q48" s="169">
        <f t="shared" si="14"/>
        <v>170</v>
      </c>
      <c r="R48" s="169">
        <f t="shared" si="15"/>
        <v>175</v>
      </c>
      <c r="S48" s="584">
        <f t="shared" si="41"/>
        <v>1024</v>
      </c>
      <c r="T48" s="594">
        <f t="shared" si="42"/>
        <v>1024</v>
      </c>
      <c r="U48" s="595">
        <f t="shared" si="43"/>
        <v>1055</v>
      </c>
      <c r="V48" s="166">
        <f t="shared" si="44"/>
        <v>2116</v>
      </c>
      <c r="W48" s="167">
        <f t="shared" si="45"/>
        <v>2116</v>
      </c>
      <c r="X48" s="168">
        <f t="shared" si="46"/>
        <v>2173</v>
      </c>
      <c r="Y48" s="166">
        <f t="shared" si="47"/>
        <v>2456</v>
      </c>
      <c r="Z48" s="167">
        <f t="shared" si="48"/>
        <v>2286</v>
      </c>
      <c r="AA48" s="168">
        <f t="shared" si="49"/>
        <v>2348</v>
      </c>
      <c r="AB48" s="166">
        <f t="shared" si="50"/>
        <v>2626</v>
      </c>
      <c r="AC48" s="167">
        <f t="shared" si="51"/>
        <v>2626</v>
      </c>
      <c r="AD48" s="168">
        <f t="shared" si="52"/>
        <v>2523</v>
      </c>
      <c r="AE48" s="166">
        <f t="shared" si="53"/>
        <v>2796</v>
      </c>
      <c r="AF48" s="167">
        <f t="shared" si="54"/>
        <v>2966</v>
      </c>
      <c r="AG48" s="168">
        <f t="shared" si="55"/>
        <v>2873</v>
      </c>
      <c r="AH48" s="166">
        <f t="shared" si="31"/>
        <v>3136</v>
      </c>
      <c r="AI48" s="167">
        <f t="shared" si="56"/>
        <v>3306</v>
      </c>
      <c r="AJ48" s="168">
        <f t="shared" si="57"/>
        <v>3223</v>
      </c>
      <c r="AK48" s="169">
        <f t="shared" si="58"/>
        <v>3482</v>
      </c>
      <c r="AL48" s="167">
        <f t="shared" si="59"/>
        <v>3482</v>
      </c>
      <c r="AM48" s="585">
        <f t="shared" si="60"/>
        <v>3587</v>
      </c>
      <c r="AN48" s="596">
        <v>0.03</v>
      </c>
      <c r="AO48" s="597">
        <v>3.5000000000000003E-2</v>
      </c>
      <c r="AP48" s="597">
        <v>0.04</v>
      </c>
      <c r="AQ48" s="598">
        <v>4.4999999999999998E-2</v>
      </c>
      <c r="AR48" s="599">
        <v>0.05</v>
      </c>
      <c r="AS48" s="586"/>
      <c r="AT48" s="587"/>
      <c r="AU48" s="587"/>
      <c r="AV48" s="588"/>
      <c r="AW48" s="589"/>
      <c r="AX48" s="596">
        <v>0.01</v>
      </c>
      <c r="AY48" s="598">
        <v>1.2999999999999999E-2</v>
      </c>
      <c r="AZ48" s="598">
        <v>1.6E-2</v>
      </c>
      <c r="BA48" s="598">
        <v>1.9E-2</v>
      </c>
      <c r="BB48" s="598">
        <v>2.1999999999999999E-2</v>
      </c>
      <c r="BC48" s="590"/>
      <c r="BD48" s="631"/>
      <c r="BE48" s="596"/>
      <c r="BF48" s="598"/>
      <c r="BG48" s="598"/>
      <c r="BH48" s="598"/>
      <c r="BI48" s="598"/>
      <c r="BJ48" s="598"/>
      <c r="BK48" s="605"/>
      <c r="BL48" s="658">
        <f t="shared" si="37"/>
        <v>10350</v>
      </c>
      <c r="BM48" s="3">
        <f t="shared" si="38"/>
        <v>33</v>
      </c>
      <c r="BN48" s="3">
        <f t="shared" si="39"/>
        <v>33</v>
      </c>
      <c r="BO48" s="3">
        <f t="shared" si="40"/>
        <v>34</v>
      </c>
    </row>
    <row r="49" spans="2:67">
      <c r="B49" s="207" t="s">
        <v>491</v>
      </c>
      <c r="C49" s="889" t="s">
        <v>467</v>
      </c>
      <c r="D49" s="889" t="s">
        <v>23</v>
      </c>
      <c r="E49" s="237" t="s">
        <v>65</v>
      </c>
      <c r="F49" s="592">
        <v>46</v>
      </c>
      <c r="G49" s="593">
        <v>3554</v>
      </c>
      <c r="H49" s="594">
        <v>4740</v>
      </c>
      <c r="I49" s="595">
        <v>3554</v>
      </c>
      <c r="J49" s="166">
        <f t="shared" si="7"/>
        <v>71</v>
      </c>
      <c r="K49" s="167">
        <f t="shared" si="8"/>
        <v>94</v>
      </c>
      <c r="L49" s="168">
        <f t="shared" si="9"/>
        <v>71</v>
      </c>
      <c r="M49" s="166">
        <f t="shared" si="10"/>
        <v>133</v>
      </c>
      <c r="N49" s="167">
        <f t="shared" si="11"/>
        <v>177</v>
      </c>
      <c r="O49" s="168">
        <f t="shared" si="12"/>
        <v>133</v>
      </c>
      <c r="P49" s="169">
        <f t="shared" si="13"/>
        <v>177</v>
      </c>
      <c r="Q49" s="169">
        <f t="shared" si="14"/>
        <v>237</v>
      </c>
      <c r="R49" s="169">
        <f t="shared" si="15"/>
        <v>177</v>
      </c>
      <c r="S49" s="584">
        <f t="shared" si="41"/>
        <v>1066</v>
      </c>
      <c r="T49" s="594">
        <f t="shared" si="42"/>
        <v>1422</v>
      </c>
      <c r="U49" s="595">
        <f t="shared" si="43"/>
        <v>1066</v>
      </c>
      <c r="V49" s="166">
        <f t="shared" si="44"/>
        <v>2201</v>
      </c>
      <c r="W49" s="167">
        <f t="shared" si="45"/>
        <v>2932</v>
      </c>
      <c r="X49" s="168">
        <f t="shared" si="46"/>
        <v>2201</v>
      </c>
      <c r="Y49" s="166">
        <f t="shared" si="47"/>
        <v>2378</v>
      </c>
      <c r="Z49" s="167">
        <f t="shared" si="48"/>
        <v>3169</v>
      </c>
      <c r="AA49" s="168">
        <f t="shared" si="49"/>
        <v>2555</v>
      </c>
      <c r="AB49" s="166">
        <f t="shared" si="50"/>
        <v>2555</v>
      </c>
      <c r="AC49" s="167">
        <f t="shared" si="51"/>
        <v>3643</v>
      </c>
      <c r="AD49" s="168">
        <f t="shared" si="52"/>
        <v>2732</v>
      </c>
      <c r="AE49" s="166">
        <f t="shared" si="53"/>
        <v>2909</v>
      </c>
      <c r="AF49" s="167">
        <f t="shared" si="54"/>
        <v>4117</v>
      </c>
      <c r="AG49" s="168">
        <f t="shared" si="55"/>
        <v>2909</v>
      </c>
      <c r="AH49" s="166">
        <f t="shared" si="31"/>
        <v>3263</v>
      </c>
      <c r="AI49" s="167">
        <f t="shared" si="56"/>
        <v>4591</v>
      </c>
      <c r="AJ49" s="168">
        <f t="shared" si="57"/>
        <v>3263</v>
      </c>
      <c r="AK49" s="169">
        <f t="shared" si="58"/>
        <v>3625</v>
      </c>
      <c r="AL49" s="167">
        <f t="shared" si="59"/>
        <v>4834</v>
      </c>
      <c r="AM49" s="585">
        <f t="shared" si="60"/>
        <v>3625</v>
      </c>
      <c r="AN49" s="596">
        <v>0.04</v>
      </c>
      <c r="AO49" s="597">
        <v>0.05</v>
      </c>
      <c r="AP49" s="597">
        <v>0.06</v>
      </c>
      <c r="AQ49" s="598">
        <v>7.0000000000000007E-2</v>
      </c>
      <c r="AR49" s="599">
        <v>0.08</v>
      </c>
      <c r="AS49" s="586"/>
      <c r="AT49" s="587"/>
      <c r="AU49" s="587"/>
      <c r="AV49" s="588"/>
      <c r="AW49" s="589"/>
      <c r="AX49" s="596">
        <v>1.4999999999999999E-2</v>
      </c>
      <c r="AY49" s="598">
        <v>1.7999999999999999E-2</v>
      </c>
      <c r="AZ49" s="598">
        <v>2.1000000000000001E-2</v>
      </c>
      <c r="BA49" s="598">
        <v>2.4E-2</v>
      </c>
      <c r="BB49" s="598">
        <v>2.7E-2</v>
      </c>
      <c r="BC49" s="590"/>
      <c r="BD49" s="631"/>
      <c r="BE49" s="596"/>
      <c r="BF49" s="598"/>
      <c r="BG49" s="598"/>
      <c r="BH49" s="598"/>
      <c r="BI49" s="598"/>
      <c r="BJ49" s="598"/>
      <c r="BK49" s="605"/>
      <c r="BL49" s="658">
        <f t="shared" si="37"/>
        <v>11850</v>
      </c>
      <c r="BM49" s="3">
        <f t="shared" si="38"/>
        <v>30</v>
      </c>
      <c r="BN49" s="3">
        <f t="shared" si="39"/>
        <v>40</v>
      </c>
      <c r="BO49" s="3">
        <f t="shared" si="40"/>
        <v>30</v>
      </c>
    </row>
    <row r="50" spans="2:67">
      <c r="B50" s="207" t="s">
        <v>390</v>
      </c>
      <c r="C50" s="889" t="s">
        <v>357</v>
      </c>
      <c r="D50" s="889" t="s">
        <v>360</v>
      </c>
      <c r="E50" s="237" t="s">
        <v>65</v>
      </c>
      <c r="F50" s="592">
        <v>47</v>
      </c>
      <c r="G50" s="593">
        <v>4800</v>
      </c>
      <c r="H50" s="594">
        <v>5600</v>
      </c>
      <c r="I50" s="595">
        <v>5600</v>
      </c>
      <c r="J50" s="166">
        <f t="shared" si="7"/>
        <v>96</v>
      </c>
      <c r="K50" s="167">
        <f t="shared" si="8"/>
        <v>112</v>
      </c>
      <c r="L50" s="168">
        <f t="shared" si="9"/>
        <v>112</v>
      </c>
      <c r="M50" s="166">
        <f t="shared" si="10"/>
        <v>144</v>
      </c>
      <c r="N50" s="167">
        <f t="shared" si="11"/>
        <v>168</v>
      </c>
      <c r="O50" s="168">
        <f t="shared" si="12"/>
        <v>168</v>
      </c>
      <c r="P50" s="169">
        <f t="shared" si="13"/>
        <v>192</v>
      </c>
      <c r="Q50" s="169">
        <f t="shared" si="14"/>
        <v>224</v>
      </c>
      <c r="R50" s="169">
        <f t="shared" si="15"/>
        <v>224</v>
      </c>
      <c r="S50" s="584">
        <f t="shared" si="41"/>
        <v>1440</v>
      </c>
      <c r="T50" s="594">
        <f t="shared" si="42"/>
        <v>1680</v>
      </c>
      <c r="U50" s="595">
        <f t="shared" si="43"/>
        <v>1680</v>
      </c>
      <c r="V50" s="166">
        <f t="shared" si="44"/>
        <v>2976</v>
      </c>
      <c r="W50" s="167">
        <f t="shared" si="45"/>
        <v>3472</v>
      </c>
      <c r="X50" s="168">
        <f t="shared" si="46"/>
        <v>3472</v>
      </c>
      <c r="Y50" s="166">
        <f t="shared" si="47"/>
        <v>3360</v>
      </c>
      <c r="Z50" s="167">
        <f t="shared" si="48"/>
        <v>3920</v>
      </c>
      <c r="AA50" s="168">
        <f t="shared" si="49"/>
        <v>3920</v>
      </c>
      <c r="AB50" s="166">
        <f t="shared" si="50"/>
        <v>3744</v>
      </c>
      <c r="AC50" s="167">
        <f t="shared" si="51"/>
        <v>4368</v>
      </c>
      <c r="AD50" s="168">
        <f t="shared" si="52"/>
        <v>4368</v>
      </c>
      <c r="AE50" s="166">
        <f t="shared" si="53"/>
        <v>4128</v>
      </c>
      <c r="AF50" s="167">
        <f t="shared" si="54"/>
        <v>4816</v>
      </c>
      <c r="AG50" s="168">
        <f t="shared" si="55"/>
        <v>4592</v>
      </c>
      <c r="AH50" s="166">
        <f t="shared" si="31"/>
        <v>4320</v>
      </c>
      <c r="AI50" s="167">
        <f t="shared" si="56"/>
        <v>5488</v>
      </c>
      <c r="AJ50" s="168">
        <f t="shared" si="57"/>
        <v>5040</v>
      </c>
      <c r="AK50" s="169">
        <f t="shared" si="58"/>
        <v>4896</v>
      </c>
      <c r="AL50" s="167">
        <f t="shared" si="59"/>
        <v>5712</v>
      </c>
      <c r="AM50" s="585">
        <f t="shared" si="60"/>
        <v>5712</v>
      </c>
      <c r="AN50" s="596">
        <v>0.03</v>
      </c>
      <c r="AO50" s="597">
        <v>3.3000000000000002E-2</v>
      </c>
      <c r="AP50" s="597">
        <v>3.5999999999999997E-2</v>
      </c>
      <c r="AQ50" s="598">
        <v>3.9E-2</v>
      </c>
      <c r="AR50" s="599">
        <v>4.2000000000000003E-2</v>
      </c>
      <c r="AS50" s="586"/>
      <c r="AT50" s="587"/>
      <c r="AU50" s="587"/>
      <c r="AV50" s="588"/>
      <c r="AW50" s="589"/>
      <c r="AX50" s="596">
        <v>0.03</v>
      </c>
      <c r="AY50" s="598">
        <v>3.5000000000000003E-2</v>
      </c>
      <c r="AZ50" s="598">
        <v>0.04</v>
      </c>
      <c r="BA50" s="598">
        <v>4.4999999999999998E-2</v>
      </c>
      <c r="BB50" s="598">
        <v>0.05</v>
      </c>
      <c r="BC50" s="590"/>
      <c r="BD50" s="631"/>
      <c r="BE50" s="596"/>
      <c r="BF50" s="598"/>
      <c r="BG50" s="598"/>
      <c r="BH50" s="598"/>
      <c r="BI50" s="598"/>
      <c r="BJ50" s="598"/>
      <c r="BK50" s="605"/>
      <c r="BL50" s="658">
        <f t="shared" si="37"/>
        <v>16000</v>
      </c>
      <c r="BM50" s="3">
        <f t="shared" si="38"/>
        <v>30</v>
      </c>
      <c r="BN50" s="3">
        <f t="shared" si="39"/>
        <v>35</v>
      </c>
      <c r="BO50" s="3">
        <f t="shared" si="40"/>
        <v>35</v>
      </c>
    </row>
    <row r="51" spans="2:67">
      <c r="B51" s="1269" t="s">
        <v>2093</v>
      </c>
      <c r="C51" s="1264" t="s">
        <v>309</v>
      </c>
      <c r="D51" s="1264" t="s">
        <v>13</v>
      </c>
      <c r="E51" s="1266" t="s">
        <v>65</v>
      </c>
      <c r="F51" s="592">
        <v>48</v>
      </c>
      <c r="G51" s="593">
        <v>11700</v>
      </c>
      <c r="H51" s="594">
        <v>5200</v>
      </c>
      <c r="I51" s="595">
        <v>9100</v>
      </c>
      <c r="J51" s="166">
        <f t="shared" si="7"/>
        <v>234</v>
      </c>
      <c r="K51" s="167">
        <f t="shared" si="8"/>
        <v>104</v>
      </c>
      <c r="L51" s="168">
        <f t="shared" si="9"/>
        <v>182</v>
      </c>
      <c r="M51" s="166">
        <f t="shared" si="10"/>
        <v>292</v>
      </c>
      <c r="N51" s="167">
        <f t="shared" si="11"/>
        <v>130</v>
      </c>
      <c r="O51" s="168">
        <f t="shared" si="12"/>
        <v>227</v>
      </c>
      <c r="P51" s="169">
        <f t="shared" si="13"/>
        <v>438</v>
      </c>
      <c r="Q51" s="169">
        <f t="shared" si="14"/>
        <v>195</v>
      </c>
      <c r="R51" s="169">
        <f t="shared" si="15"/>
        <v>341</v>
      </c>
      <c r="S51" s="584">
        <f t="shared" si="41"/>
        <v>2925</v>
      </c>
      <c r="T51" s="594">
        <f t="shared" si="42"/>
        <v>1300</v>
      </c>
      <c r="U51" s="595">
        <f t="shared" si="43"/>
        <v>2275</v>
      </c>
      <c r="V51" s="166">
        <f t="shared" si="44"/>
        <v>6663</v>
      </c>
      <c r="W51" s="167">
        <f t="shared" si="45"/>
        <v>2964</v>
      </c>
      <c r="X51" s="168">
        <f t="shared" si="46"/>
        <v>5181</v>
      </c>
      <c r="Y51" s="166">
        <f t="shared" si="47"/>
        <v>7539</v>
      </c>
      <c r="Z51" s="167">
        <f t="shared" si="48"/>
        <v>3159</v>
      </c>
      <c r="AA51" s="168">
        <f t="shared" si="49"/>
        <v>6204</v>
      </c>
      <c r="AB51" s="166">
        <f t="shared" si="50"/>
        <v>8853</v>
      </c>
      <c r="AC51" s="167">
        <f t="shared" si="51"/>
        <v>3744</v>
      </c>
      <c r="AD51" s="168">
        <f t="shared" si="52"/>
        <v>6545</v>
      </c>
      <c r="AE51" s="166">
        <f t="shared" si="53"/>
        <v>9729</v>
      </c>
      <c r="AF51" s="167">
        <f t="shared" si="54"/>
        <v>4524</v>
      </c>
      <c r="AG51" s="168">
        <f t="shared" si="55"/>
        <v>7227</v>
      </c>
      <c r="AH51" s="166">
        <f t="shared" si="31"/>
        <v>10605</v>
      </c>
      <c r="AI51" s="167">
        <f t="shared" si="56"/>
        <v>4914</v>
      </c>
      <c r="AJ51" s="168">
        <f t="shared" si="57"/>
        <v>8591</v>
      </c>
      <c r="AK51" s="169">
        <f t="shared" si="58"/>
        <v>11934</v>
      </c>
      <c r="AL51" s="167">
        <f t="shared" si="59"/>
        <v>5304</v>
      </c>
      <c r="AM51" s="585">
        <f t="shared" si="60"/>
        <v>9282</v>
      </c>
      <c r="AN51" s="596">
        <v>7.0000000000000007E-2</v>
      </c>
      <c r="AO51" s="597">
        <v>7.4999999999999997E-2</v>
      </c>
      <c r="AP51" s="597">
        <v>0.08</v>
      </c>
      <c r="AQ51" s="598">
        <v>8.5000000000000006E-2</v>
      </c>
      <c r="AR51" s="599">
        <v>0.09</v>
      </c>
      <c r="AS51" s="586"/>
      <c r="AT51" s="587"/>
      <c r="AU51" s="587"/>
      <c r="AV51" s="588"/>
      <c r="AW51" s="589"/>
      <c r="AX51" s="596">
        <v>0.03</v>
      </c>
      <c r="AY51" s="598">
        <v>3.3000000000000002E-2</v>
      </c>
      <c r="AZ51" s="598">
        <v>3.5999999999999997E-2</v>
      </c>
      <c r="BA51" s="598">
        <v>3.9E-2</v>
      </c>
      <c r="BB51" s="598">
        <v>4.2000000000000003E-2</v>
      </c>
      <c r="BC51" s="590"/>
      <c r="BD51" s="631"/>
      <c r="BE51" s="596"/>
      <c r="BF51" s="598"/>
      <c r="BG51" s="598"/>
      <c r="BH51" s="598"/>
      <c r="BI51" s="598"/>
      <c r="BJ51" s="598"/>
      <c r="BK51" s="605"/>
      <c r="BL51" s="658">
        <f t="shared" si="37"/>
        <v>26000</v>
      </c>
      <c r="BM51" s="3">
        <f t="shared" si="38"/>
        <v>45</v>
      </c>
      <c r="BN51" s="3">
        <f t="shared" si="39"/>
        <v>20</v>
      </c>
      <c r="BO51" s="3">
        <f t="shared" si="40"/>
        <v>35</v>
      </c>
    </row>
    <row r="52" spans="2:67">
      <c r="B52" s="207" t="s">
        <v>492</v>
      </c>
      <c r="C52" s="889" t="s">
        <v>467</v>
      </c>
      <c r="D52" s="889" t="s">
        <v>13</v>
      </c>
      <c r="E52" s="237" t="s">
        <v>65</v>
      </c>
      <c r="F52" s="592">
        <v>49</v>
      </c>
      <c r="G52" s="593">
        <v>3104</v>
      </c>
      <c r="H52" s="594">
        <v>2587</v>
      </c>
      <c r="I52" s="595">
        <v>4657</v>
      </c>
      <c r="J52" s="166">
        <f t="shared" si="7"/>
        <v>62</v>
      </c>
      <c r="K52" s="167">
        <f t="shared" si="8"/>
        <v>51</v>
      </c>
      <c r="L52" s="168">
        <f t="shared" si="9"/>
        <v>93</v>
      </c>
      <c r="M52" s="166">
        <f t="shared" si="10"/>
        <v>116</v>
      </c>
      <c r="N52" s="167">
        <f t="shared" si="11"/>
        <v>97</v>
      </c>
      <c r="O52" s="168">
        <f t="shared" si="12"/>
        <v>174</v>
      </c>
      <c r="P52" s="169">
        <f t="shared" si="13"/>
        <v>155</v>
      </c>
      <c r="Q52" s="169">
        <f t="shared" si="14"/>
        <v>129</v>
      </c>
      <c r="R52" s="169">
        <f t="shared" si="15"/>
        <v>232</v>
      </c>
      <c r="S52" s="584">
        <f t="shared" si="41"/>
        <v>931</v>
      </c>
      <c r="T52" s="594">
        <f t="shared" si="42"/>
        <v>776</v>
      </c>
      <c r="U52" s="595">
        <f t="shared" si="43"/>
        <v>1397</v>
      </c>
      <c r="V52" s="166">
        <f t="shared" si="44"/>
        <v>1921</v>
      </c>
      <c r="W52" s="167">
        <f t="shared" si="45"/>
        <v>1603</v>
      </c>
      <c r="X52" s="168">
        <f t="shared" si="46"/>
        <v>2882</v>
      </c>
      <c r="Y52" s="166">
        <f t="shared" si="47"/>
        <v>2076</v>
      </c>
      <c r="Z52" s="167">
        <f t="shared" si="48"/>
        <v>1861</v>
      </c>
      <c r="AA52" s="168">
        <f t="shared" si="49"/>
        <v>3114</v>
      </c>
      <c r="AB52" s="166">
        <f t="shared" si="50"/>
        <v>2386</v>
      </c>
      <c r="AC52" s="167">
        <f t="shared" si="51"/>
        <v>1990</v>
      </c>
      <c r="AD52" s="168">
        <f t="shared" si="52"/>
        <v>3346</v>
      </c>
      <c r="AE52" s="166">
        <f t="shared" si="53"/>
        <v>2696</v>
      </c>
      <c r="AF52" s="167">
        <f t="shared" si="54"/>
        <v>2119</v>
      </c>
      <c r="AG52" s="168">
        <f t="shared" si="55"/>
        <v>3810</v>
      </c>
      <c r="AH52" s="166">
        <f t="shared" si="31"/>
        <v>3006</v>
      </c>
      <c r="AI52" s="167">
        <f t="shared" si="56"/>
        <v>2377</v>
      </c>
      <c r="AJ52" s="168">
        <f t="shared" si="57"/>
        <v>4274</v>
      </c>
      <c r="AK52" s="169">
        <f t="shared" si="58"/>
        <v>3166</v>
      </c>
      <c r="AL52" s="167">
        <f t="shared" si="59"/>
        <v>2638</v>
      </c>
      <c r="AM52" s="585">
        <f t="shared" si="60"/>
        <v>4750</v>
      </c>
      <c r="AN52" s="586">
        <v>200</v>
      </c>
      <c r="AO52" s="686">
        <v>250</v>
      </c>
      <c r="AP52" s="686">
        <v>300</v>
      </c>
      <c r="AQ52" s="587">
        <v>350</v>
      </c>
      <c r="AR52" s="687">
        <v>400</v>
      </c>
      <c r="AS52" s="586"/>
      <c r="AT52" s="587"/>
      <c r="AU52" s="587"/>
      <c r="AV52" s="588"/>
      <c r="AW52" s="589"/>
      <c r="AX52" s="596">
        <v>1.4999999999999999E-2</v>
      </c>
      <c r="AY52" s="598">
        <v>1.7999999999999999E-2</v>
      </c>
      <c r="AZ52" s="598">
        <v>2.1000000000000001E-2</v>
      </c>
      <c r="BA52" s="598">
        <v>2.4E-2</v>
      </c>
      <c r="BB52" s="598">
        <v>2.7E-2</v>
      </c>
      <c r="BC52" s="590"/>
      <c r="BD52" s="631"/>
      <c r="BE52" s="596"/>
      <c r="BF52" s="598"/>
      <c r="BG52" s="598"/>
      <c r="BH52" s="598"/>
      <c r="BI52" s="598"/>
      <c r="BJ52" s="598"/>
      <c r="BK52" s="605"/>
      <c r="BL52" s="658">
        <f t="shared" si="37"/>
        <v>10350</v>
      </c>
      <c r="BM52" s="3">
        <f t="shared" si="38"/>
        <v>30</v>
      </c>
      <c r="BN52" s="3">
        <f t="shared" si="39"/>
        <v>25</v>
      </c>
      <c r="BO52" s="3">
        <f t="shared" si="40"/>
        <v>45</v>
      </c>
    </row>
    <row r="53" spans="2:67">
      <c r="B53" s="207" t="s">
        <v>493</v>
      </c>
      <c r="C53" s="889" t="s">
        <v>467</v>
      </c>
      <c r="D53" s="889" t="s">
        <v>14</v>
      </c>
      <c r="E53" s="237" t="s">
        <v>65</v>
      </c>
      <c r="F53" s="592">
        <v>50</v>
      </c>
      <c r="G53" s="593">
        <v>3554</v>
      </c>
      <c r="H53" s="594">
        <v>4147</v>
      </c>
      <c r="I53" s="595">
        <v>4147</v>
      </c>
      <c r="J53" s="166">
        <f t="shared" si="7"/>
        <v>71</v>
      </c>
      <c r="K53" s="167">
        <f t="shared" si="8"/>
        <v>82</v>
      </c>
      <c r="L53" s="168">
        <f t="shared" si="9"/>
        <v>82</v>
      </c>
      <c r="M53" s="166">
        <f t="shared" si="10"/>
        <v>133</v>
      </c>
      <c r="N53" s="167">
        <f t="shared" si="11"/>
        <v>155</v>
      </c>
      <c r="O53" s="168">
        <f t="shared" si="12"/>
        <v>155</v>
      </c>
      <c r="P53" s="169">
        <f t="shared" si="13"/>
        <v>177</v>
      </c>
      <c r="Q53" s="169">
        <f t="shared" si="14"/>
        <v>207</v>
      </c>
      <c r="R53" s="169">
        <f t="shared" si="15"/>
        <v>207</v>
      </c>
      <c r="S53" s="584">
        <f t="shared" si="41"/>
        <v>1066</v>
      </c>
      <c r="T53" s="594">
        <f t="shared" si="42"/>
        <v>1244</v>
      </c>
      <c r="U53" s="595">
        <f t="shared" si="43"/>
        <v>1244</v>
      </c>
      <c r="V53" s="166">
        <f t="shared" si="44"/>
        <v>2201</v>
      </c>
      <c r="W53" s="167">
        <f t="shared" si="45"/>
        <v>2566</v>
      </c>
      <c r="X53" s="168">
        <f t="shared" si="46"/>
        <v>2566</v>
      </c>
      <c r="Y53" s="166">
        <f t="shared" si="47"/>
        <v>2555</v>
      </c>
      <c r="Z53" s="167">
        <f t="shared" si="48"/>
        <v>2773</v>
      </c>
      <c r="AA53" s="168">
        <f t="shared" si="49"/>
        <v>2773</v>
      </c>
      <c r="AB53" s="166">
        <f t="shared" si="50"/>
        <v>2732</v>
      </c>
      <c r="AC53" s="167">
        <f t="shared" si="51"/>
        <v>2980</v>
      </c>
      <c r="AD53" s="168">
        <f t="shared" si="52"/>
        <v>3187</v>
      </c>
      <c r="AE53" s="166">
        <f t="shared" si="53"/>
        <v>2909</v>
      </c>
      <c r="AF53" s="167">
        <f t="shared" si="54"/>
        <v>3394</v>
      </c>
      <c r="AG53" s="168">
        <f t="shared" si="55"/>
        <v>3601</v>
      </c>
      <c r="AH53" s="166">
        <f t="shared" si="31"/>
        <v>3263</v>
      </c>
      <c r="AI53" s="167">
        <f t="shared" si="56"/>
        <v>3808</v>
      </c>
      <c r="AJ53" s="168">
        <f t="shared" si="57"/>
        <v>4015</v>
      </c>
      <c r="AK53" s="169">
        <f t="shared" si="58"/>
        <v>3625</v>
      </c>
      <c r="AL53" s="167">
        <f t="shared" si="59"/>
        <v>4229</v>
      </c>
      <c r="AM53" s="585">
        <f t="shared" si="60"/>
        <v>4229</v>
      </c>
      <c r="AN53" s="596">
        <v>0.03</v>
      </c>
      <c r="AO53" s="597">
        <v>3.3000000000000002E-2</v>
      </c>
      <c r="AP53" s="597">
        <v>3.5999999999999997E-2</v>
      </c>
      <c r="AQ53" s="598">
        <v>3.9E-2</v>
      </c>
      <c r="AR53" s="599">
        <v>4.2000000000000003E-2</v>
      </c>
      <c r="AS53" s="586"/>
      <c r="AT53" s="587"/>
      <c r="AU53" s="587"/>
      <c r="AV53" s="588"/>
      <c r="AW53" s="589"/>
      <c r="AX53" s="596">
        <v>0.02</v>
      </c>
      <c r="AY53" s="598">
        <v>2.3E-2</v>
      </c>
      <c r="AZ53" s="598">
        <v>2.5999999999999999E-2</v>
      </c>
      <c r="BA53" s="598">
        <v>2.9000000000000001E-2</v>
      </c>
      <c r="BB53" s="598">
        <v>3.2000000000000001E-2</v>
      </c>
      <c r="BC53" s="590"/>
      <c r="BD53" s="631"/>
      <c r="BE53" s="596"/>
      <c r="BF53" s="598"/>
      <c r="BG53" s="598"/>
      <c r="BH53" s="598"/>
      <c r="BI53" s="598"/>
      <c r="BJ53" s="598"/>
      <c r="BK53" s="605"/>
      <c r="BL53" s="658">
        <f t="shared" si="37"/>
        <v>11850</v>
      </c>
      <c r="BM53" s="3">
        <f t="shared" si="38"/>
        <v>30</v>
      </c>
      <c r="BN53" s="3">
        <f t="shared" si="39"/>
        <v>35</v>
      </c>
      <c r="BO53" s="3">
        <f t="shared" si="40"/>
        <v>35</v>
      </c>
    </row>
    <row r="54" spans="2:67">
      <c r="B54" s="207" t="s">
        <v>391</v>
      </c>
      <c r="C54" s="889" t="s">
        <v>357</v>
      </c>
      <c r="D54" s="889" t="s">
        <v>359</v>
      </c>
      <c r="E54" s="237" t="s">
        <v>65</v>
      </c>
      <c r="F54" s="592">
        <v>51</v>
      </c>
      <c r="G54" s="593">
        <v>4800</v>
      </c>
      <c r="H54" s="594">
        <v>6400</v>
      </c>
      <c r="I54" s="595">
        <v>4800</v>
      </c>
      <c r="J54" s="166">
        <f t="shared" si="7"/>
        <v>96</v>
      </c>
      <c r="K54" s="167">
        <f t="shared" si="8"/>
        <v>128</v>
      </c>
      <c r="L54" s="168">
        <f t="shared" si="9"/>
        <v>96</v>
      </c>
      <c r="M54" s="166">
        <f t="shared" si="10"/>
        <v>144</v>
      </c>
      <c r="N54" s="167">
        <f t="shared" si="11"/>
        <v>192</v>
      </c>
      <c r="O54" s="168">
        <f t="shared" si="12"/>
        <v>144</v>
      </c>
      <c r="P54" s="169">
        <f t="shared" si="13"/>
        <v>192</v>
      </c>
      <c r="Q54" s="169">
        <f t="shared" si="14"/>
        <v>256</v>
      </c>
      <c r="R54" s="169">
        <f t="shared" si="15"/>
        <v>192</v>
      </c>
      <c r="S54" s="584">
        <f t="shared" si="41"/>
        <v>1440</v>
      </c>
      <c r="T54" s="594">
        <f t="shared" si="42"/>
        <v>1920</v>
      </c>
      <c r="U54" s="595">
        <f t="shared" si="43"/>
        <v>1440</v>
      </c>
      <c r="V54" s="166">
        <f t="shared" si="44"/>
        <v>2976</v>
      </c>
      <c r="W54" s="167">
        <f t="shared" si="45"/>
        <v>3968</v>
      </c>
      <c r="X54" s="168">
        <f t="shared" si="46"/>
        <v>2976</v>
      </c>
      <c r="Y54" s="166">
        <f t="shared" si="47"/>
        <v>3360</v>
      </c>
      <c r="Z54" s="167">
        <f t="shared" si="48"/>
        <v>4480</v>
      </c>
      <c r="AA54" s="168">
        <f t="shared" si="49"/>
        <v>3360</v>
      </c>
      <c r="AB54" s="166">
        <f t="shared" si="50"/>
        <v>3744</v>
      </c>
      <c r="AC54" s="167">
        <f t="shared" si="51"/>
        <v>4992</v>
      </c>
      <c r="AD54" s="168">
        <f t="shared" si="52"/>
        <v>3744</v>
      </c>
      <c r="AE54" s="166">
        <f t="shared" si="53"/>
        <v>4128</v>
      </c>
      <c r="AF54" s="167">
        <f t="shared" si="54"/>
        <v>5248</v>
      </c>
      <c r="AG54" s="168">
        <f t="shared" si="55"/>
        <v>4128</v>
      </c>
      <c r="AH54" s="166">
        <f t="shared" si="31"/>
        <v>4704</v>
      </c>
      <c r="AI54" s="167">
        <f t="shared" si="56"/>
        <v>5760</v>
      </c>
      <c r="AJ54" s="168">
        <f t="shared" si="57"/>
        <v>4320</v>
      </c>
      <c r="AK54" s="169">
        <f t="shared" si="58"/>
        <v>4896</v>
      </c>
      <c r="AL54" s="167">
        <f t="shared" si="59"/>
        <v>6528</v>
      </c>
      <c r="AM54" s="585">
        <f t="shared" si="60"/>
        <v>4896</v>
      </c>
      <c r="AN54" s="596">
        <v>0.2</v>
      </c>
      <c r="AO54" s="597">
        <v>0.23</v>
      </c>
      <c r="AP54" s="597">
        <v>0.26</v>
      </c>
      <c r="AQ54" s="598">
        <v>0.28999999999999998</v>
      </c>
      <c r="AR54" s="599">
        <v>0.32</v>
      </c>
      <c r="AS54" s="586"/>
      <c r="AT54" s="587"/>
      <c r="AU54" s="587"/>
      <c r="AV54" s="588"/>
      <c r="AW54" s="589"/>
      <c r="AX54" s="596">
        <v>0.05</v>
      </c>
      <c r="AY54" s="598">
        <v>5.5E-2</v>
      </c>
      <c r="AZ54" s="598">
        <v>0.06</v>
      </c>
      <c r="BA54" s="598">
        <v>6.5000000000000002E-2</v>
      </c>
      <c r="BB54" s="598">
        <v>7.0000000000000007E-2</v>
      </c>
      <c r="BC54" s="590"/>
      <c r="BD54" s="631"/>
      <c r="BE54" s="596"/>
      <c r="BF54" s="598"/>
      <c r="BG54" s="598"/>
      <c r="BH54" s="598"/>
      <c r="BI54" s="598"/>
      <c r="BJ54" s="598"/>
      <c r="BK54" s="605"/>
      <c r="BL54" s="658">
        <f t="shared" si="37"/>
        <v>16000</v>
      </c>
      <c r="BM54" s="3">
        <f t="shared" si="38"/>
        <v>30</v>
      </c>
      <c r="BN54" s="3">
        <f t="shared" si="39"/>
        <v>40</v>
      </c>
      <c r="BO54" s="3">
        <f t="shared" si="40"/>
        <v>30</v>
      </c>
    </row>
    <row r="55" spans="2:67">
      <c r="B55" s="1269" t="s">
        <v>2094</v>
      </c>
      <c r="C55" s="1264" t="s">
        <v>309</v>
      </c>
      <c r="D55" s="1264" t="s">
        <v>70</v>
      </c>
      <c r="E55" s="1266" t="s">
        <v>65</v>
      </c>
      <c r="F55" s="592">
        <v>52</v>
      </c>
      <c r="G55" s="593">
        <v>11700</v>
      </c>
      <c r="H55" s="594">
        <v>5200</v>
      </c>
      <c r="I55" s="595">
        <v>9100</v>
      </c>
      <c r="J55" s="166">
        <f t="shared" si="7"/>
        <v>234</v>
      </c>
      <c r="K55" s="167">
        <f t="shared" si="8"/>
        <v>104</v>
      </c>
      <c r="L55" s="168">
        <f t="shared" si="9"/>
        <v>182</v>
      </c>
      <c r="M55" s="166">
        <f t="shared" si="10"/>
        <v>292</v>
      </c>
      <c r="N55" s="167">
        <f t="shared" si="11"/>
        <v>130</v>
      </c>
      <c r="O55" s="168">
        <f t="shared" si="12"/>
        <v>227</v>
      </c>
      <c r="P55" s="169">
        <f t="shared" si="13"/>
        <v>438</v>
      </c>
      <c r="Q55" s="169">
        <f t="shared" si="14"/>
        <v>195</v>
      </c>
      <c r="R55" s="169">
        <f t="shared" si="15"/>
        <v>341</v>
      </c>
      <c r="S55" s="584">
        <f t="shared" si="41"/>
        <v>2925</v>
      </c>
      <c r="T55" s="594">
        <f t="shared" si="42"/>
        <v>1300</v>
      </c>
      <c r="U55" s="595">
        <f t="shared" si="43"/>
        <v>2275</v>
      </c>
      <c r="V55" s="166">
        <f t="shared" si="44"/>
        <v>6663</v>
      </c>
      <c r="W55" s="167">
        <f t="shared" si="45"/>
        <v>2964</v>
      </c>
      <c r="X55" s="168">
        <f t="shared" si="46"/>
        <v>5181</v>
      </c>
      <c r="Y55" s="166">
        <f t="shared" si="47"/>
        <v>7101</v>
      </c>
      <c r="Z55" s="167">
        <f t="shared" si="48"/>
        <v>3354</v>
      </c>
      <c r="AA55" s="168">
        <f t="shared" si="49"/>
        <v>6204</v>
      </c>
      <c r="AB55" s="166">
        <f t="shared" si="50"/>
        <v>8415</v>
      </c>
      <c r="AC55" s="167">
        <f t="shared" si="51"/>
        <v>3939</v>
      </c>
      <c r="AD55" s="168">
        <f t="shared" si="52"/>
        <v>6545</v>
      </c>
      <c r="AE55" s="166">
        <f t="shared" si="53"/>
        <v>10167</v>
      </c>
      <c r="AF55" s="167">
        <f t="shared" si="54"/>
        <v>4329</v>
      </c>
      <c r="AG55" s="168">
        <f t="shared" si="55"/>
        <v>7227</v>
      </c>
      <c r="AH55" s="166">
        <f t="shared" si="31"/>
        <v>11043</v>
      </c>
      <c r="AI55" s="167">
        <f t="shared" si="56"/>
        <v>4719</v>
      </c>
      <c r="AJ55" s="168">
        <f t="shared" si="57"/>
        <v>8591</v>
      </c>
      <c r="AK55" s="169">
        <f t="shared" si="58"/>
        <v>11934</v>
      </c>
      <c r="AL55" s="167">
        <f t="shared" si="59"/>
        <v>5304</v>
      </c>
      <c r="AM55" s="585">
        <f t="shared" si="60"/>
        <v>9282</v>
      </c>
      <c r="AN55" s="596">
        <v>0.3</v>
      </c>
      <c r="AO55" s="597">
        <v>0.30499999999999999</v>
      </c>
      <c r="AP55" s="597">
        <v>0.31</v>
      </c>
      <c r="AQ55" s="598">
        <v>0.315</v>
      </c>
      <c r="AR55" s="599">
        <v>0.32</v>
      </c>
      <c r="AS55" s="586"/>
      <c r="AT55" s="587"/>
      <c r="AU55" s="587"/>
      <c r="AV55" s="588"/>
      <c r="AW55" s="589"/>
      <c r="AX55" s="596">
        <v>0.04</v>
      </c>
      <c r="AY55" s="598">
        <v>4.2999999999999997E-2</v>
      </c>
      <c r="AZ55" s="598">
        <v>4.5999999999999999E-2</v>
      </c>
      <c r="BA55" s="598">
        <v>4.9000000000000002E-2</v>
      </c>
      <c r="BB55" s="598">
        <v>5.1999999999999998E-2</v>
      </c>
      <c r="BC55" s="590"/>
      <c r="BD55" s="631"/>
      <c r="BE55" s="596"/>
      <c r="BF55" s="598"/>
      <c r="BG55" s="598"/>
      <c r="BH55" s="598"/>
      <c r="BI55" s="598"/>
      <c r="BJ55" s="598"/>
      <c r="BK55" s="605"/>
      <c r="BL55" s="658">
        <f t="shared" si="37"/>
        <v>26000</v>
      </c>
      <c r="BM55" s="3">
        <f t="shared" si="38"/>
        <v>45</v>
      </c>
      <c r="BN55" s="3">
        <f t="shared" si="39"/>
        <v>20</v>
      </c>
      <c r="BO55" s="3">
        <f t="shared" si="40"/>
        <v>35</v>
      </c>
    </row>
    <row r="56" spans="2:67">
      <c r="B56" s="207" t="s">
        <v>494</v>
      </c>
      <c r="C56" s="889" t="s">
        <v>467</v>
      </c>
      <c r="D56" s="889" t="s">
        <v>13</v>
      </c>
      <c r="E56" s="237" t="s">
        <v>65</v>
      </c>
      <c r="F56" s="592">
        <v>53</v>
      </c>
      <c r="G56" s="593">
        <v>4140</v>
      </c>
      <c r="H56" s="594">
        <v>3104</v>
      </c>
      <c r="I56" s="595">
        <v>3104</v>
      </c>
      <c r="J56" s="166">
        <f t="shared" si="7"/>
        <v>82</v>
      </c>
      <c r="K56" s="167">
        <f t="shared" si="8"/>
        <v>62</v>
      </c>
      <c r="L56" s="168">
        <f t="shared" si="9"/>
        <v>62</v>
      </c>
      <c r="M56" s="166">
        <f t="shared" si="10"/>
        <v>155</v>
      </c>
      <c r="N56" s="167">
        <f t="shared" si="11"/>
        <v>116</v>
      </c>
      <c r="O56" s="168">
        <f t="shared" si="12"/>
        <v>116</v>
      </c>
      <c r="P56" s="169">
        <f t="shared" si="13"/>
        <v>207</v>
      </c>
      <c r="Q56" s="169">
        <f t="shared" si="14"/>
        <v>155</v>
      </c>
      <c r="R56" s="169">
        <f t="shared" si="15"/>
        <v>155</v>
      </c>
      <c r="S56" s="584">
        <f t="shared" si="41"/>
        <v>1242</v>
      </c>
      <c r="T56" s="594">
        <f t="shared" si="42"/>
        <v>931</v>
      </c>
      <c r="U56" s="595">
        <f t="shared" si="43"/>
        <v>931</v>
      </c>
      <c r="V56" s="166">
        <f t="shared" si="44"/>
        <v>2564</v>
      </c>
      <c r="W56" s="167">
        <f t="shared" si="45"/>
        <v>1921</v>
      </c>
      <c r="X56" s="168">
        <f t="shared" si="46"/>
        <v>1921</v>
      </c>
      <c r="Y56" s="166">
        <f t="shared" si="47"/>
        <v>2771</v>
      </c>
      <c r="Z56" s="167">
        <f t="shared" si="48"/>
        <v>2231</v>
      </c>
      <c r="AA56" s="168">
        <f t="shared" si="49"/>
        <v>2076</v>
      </c>
      <c r="AB56" s="166">
        <f t="shared" si="50"/>
        <v>3185</v>
      </c>
      <c r="AC56" s="167">
        <f t="shared" si="51"/>
        <v>2386</v>
      </c>
      <c r="AD56" s="168">
        <f t="shared" si="52"/>
        <v>2231</v>
      </c>
      <c r="AE56" s="166">
        <f t="shared" si="53"/>
        <v>3599</v>
      </c>
      <c r="AF56" s="167">
        <f t="shared" si="54"/>
        <v>2541</v>
      </c>
      <c r="AG56" s="168">
        <f t="shared" si="55"/>
        <v>2541</v>
      </c>
      <c r="AH56" s="166">
        <f t="shared" si="31"/>
        <v>4013</v>
      </c>
      <c r="AI56" s="167">
        <f t="shared" si="56"/>
        <v>2851</v>
      </c>
      <c r="AJ56" s="168">
        <f t="shared" si="57"/>
        <v>2851</v>
      </c>
      <c r="AK56" s="169">
        <f t="shared" si="58"/>
        <v>4222</v>
      </c>
      <c r="AL56" s="167">
        <f t="shared" si="59"/>
        <v>3166</v>
      </c>
      <c r="AM56" s="585">
        <f t="shared" si="60"/>
        <v>3166</v>
      </c>
      <c r="AN56" s="586">
        <v>80</v>
      </c>
      <c r="AO56" s="686">
        <v>90</v>
      </c>
      <c r="AP56" s="686">
        <v>100</v>
      </c>
      <c r="AQ56" s="587">
        <v>110</v>
      </c>
      <c r="AR56" s="687">
        <v>120</v>
      </c>
      <c r="AS56" s="586"/>
      <c r="AT56" s="587"/>
      <c r="AU56" s="587"/>
      <c r="AV56" s="588"/>
      <c r="AW56" s="589"/>
      <c r="AX56" s="596">
        <v>0.01</v>
      </c>
      <c r="AY56" s="598">
        <v>1.2999999999999999E-2</v>
      </c>
      <c r="AZ56" s="598">
        <v>1.6E-2</v>
      </c>
      <c r="BA56" s="598">
        <v>1.9E-2</v>
      </c>
      <c r="BB56" s="598">
        <v>2.1999999999999999E-2</v>
      </c>
      <c r="BC56" s="590"/>
      <c r="BD56" s="631"/>
      <c r="BE56" s="596"/>
      <c r="BF56" s="598"/>
      <c r="BG56" s="598"/>
      <c r="BH56" s="598"/>
      <c r="BI56" s="598"/>
      <c r="BJ56" s="598"/>
      <c r="BK56" s="605"/>
      <c r="BL56" s="658">
        <f t="shared" si="37"/>
        <v>10350</v>
      </c>
      <c r="BM56" s="3">
        <f t="shared" si="38"/>
        <v>40</v>
      </c>
      <c r="BN56" s="3">
        <f t="shared" si="39"/>
        <v>30</v>
      </c>
      <c r="BO56" s="3">
        <f t="shared" si="40"/>
        <v>30</v>
      </c>
    </row>
    <row r="57" spans="2:67">
      <c r="B57" s="207" t="s">
        <v>495</v>
      </c>
      <c r="C57" s="889" t="s">
        <v>467</v>
      </c>
      <c r="D57" s="889" t="s">
        <v>70</v>
      </c>
      <c r="E57" s="237" t="s">
        <v>65</v>
      </c>
      <c r="F57" s="592">
        <v>54</v>
      </c>
      <c r="G57" s="593">
        <v>3554</v>
      </c>
      <c r="H57" s="594">
        <v>4740</v>
      </c>
      <c r="I57" s="595">
        <v>3554</v>
      </c>
      <c r="J57" s="166">
        <f t="shared" si="7"/>
        <v>71</v>
      </c>
      <c r="K57" s="167">
        <f t="shared" si="8"/>
        <v>94</v>
      </c>
      <c r="L57" s="168">
        <f t="shared" si="9"/>
        <v>71</v>
      </c>
      <c r="M57" s="166">
        <f t="shared" si="10"/>
        <v>133</v>
      </c>
      <c r="N57" s="167">
        <f t="shared" si="11"/>
        <v>177</v>
      </c>
      <c r="O57" s="168">
        <f t="shared" si="12"/>
        <v>133</v>
      </c>
      <c r="P57" s="169">
        <f t="shared" si="13"/>
        <v>177</v>
      </c>
      <c r="Q57" s="169">
        <f t="shared" si="14"/>
        <v>237</v>
      </c>
      <c r="R57" s="169">
        <f t="shared" si="15"/>
        <v>177</v>
      </c>
      <c r="S57" s="584">
        <f t="shared" si="41"/>
        <v>1066</v>
      </c>
      <c r="T57" s="594">
        <f t="shared" si="42"/>
        <v>1422</v>
      </c>
      <c r="U57" s="595">
        <f t="shared" si="43"/>
        <v>1066</v>
      </c>
      <c r="V57" s="166">
        <f t="shared" si="44"/>
        <v>2201</v>
      </c>
      <c r="W57" s="167">
        <f t="shared" si="45"/>
        <v>2932</v>
      </c>
      <c r="X57" s="168">
        <f t="shared" si="46"/>
        <v>2201</v>
      </c>
      <c r="Y57" s="166">
        <f t="shared" si="47"/>
        <v>2555</v>
      </c>
      <c r="Z57" s="167">
        <f t="shared" si="48"/>
        <v>3169</v>
      </c>
      <c r="AA57" s="168">
        <f t="shared" si="49"/>
        <v>2378</v>
      </c>
      <c r="AB57" s="166">
        <f t="shared" si="50"/>
        <v>2732</v>
      </c>
      <c r="AC57" s="167">
        <f t="shared" si="51"/>
        <v>3643</v>
      </c>
      <c r="AD57" s="168">
        <f t="shared" si="52"/>
        <v>2555</v>
      </c>
      <c r="AE57" s="166">
        <f t="shared" si="53"/>
        <v>2909</v>
      </c>
      <c r="AF57" s="167">
        <f t="shared" si="54"/>
        <v>4117</v>
      </c>
      <c r="AG57" s="168">
        <f t="shared" si="55"/>
        <v>2909</v>
      </c>
      <c r="AH57" s="166">
        <f t="shared" si="31"/>
        <v>3263</v>
      </c>
      <c r="AI57" s="167">
        <f t="shared" si="56"/>
        <v>4591</v>
      </c>
      <c r="AJ57" s="168">
        <f t="shared" si="57"/>
        <v>3263</v>
      </c>
      <c r="AK57" s="169">
        <f t="shared" si="58"/>
        <v>3625</v>
      </c>
      <c r="AL57" s="167">
        <f t="shared" si="59"/>
        <v>4834</v>
      </c>
      <c r="AM57" s="585">
        <f t="shared" si="60"/>
        <v>3625</v>
      </c>
      <c r="AN57" s="596">
        <v>1.2E-2</v>
      </c>
      <c r="AO57" s="597">
        <v>1.4E-2</v>
      </c>
      <c r="AP57" s="597">
        <v>1.6E-2</v>
      </c>
      <c r="AQ57" s="598">
        <v>1.7999999999999999E-2</v>
      </c>
      <c r="AR57" s="599">
        <v>0.02</v>
      </c>
      <c r="AS57" s="586"/>
      <c r="AT57" s="587"/>
      <c r="AU57" s="587"/>
      <c r="AV57" s="588"/>
      <c r="AW57" s="589"/>
      <c r="AX57" s="596">
        <v>1.4999999999999999E-2</v>
      </c>
      <c r="AY57" s="598">
        <v>1.7999999999999999E-2</v>
      </c>
      <c r="AZ57" s="598">
        <v>2.1000000000000001E-2</v>
      </c>
      <c r="BA57" s="598">
        <v>2.4E-2</v>
      </c>
      <c r="BB57" s="598">
        <v>2.7E-2</v>
      </c>
      <c r="BC57" s="590"/>
      <c r="BD57" s="631"/>
      <c r="BE57" s="596"/>
      <c r="BF57" s="598"/>
      <c r="BG57" s="598"/>
      <c r="BH57" s="598"/>
      <c r="BI57" s="598"/>
      <c r="BJ57" s="598"/>
      <c r="BK57" s="605"/>
      <c r="BL57" s="658">
        <f t="shared" si="37"/>
        <v>11850</v>
      </c>
      <c r="BM57" s="3">
        <f t="shared" si="38"/>
        <v>30</v>
      </c>
      <c r="BN57" s="3">
        <f t="shared" si="39"/>
        <v>40</v>
      </c>
      <c r="BO57" s="3">
        <f t="shared" si="40"/>
        <v>30</v>
      </c>
    </row>
    <row r="58" spans="2:67">
      <c r="B58" s="207" t="s">
        <v>392</v>
      </c>
      <c r="C58" s="889" t="s">
        <v>357</v>
      </c>
      <c r="D58" s="889" t="s">
        <v>360</v>
      </c>
      <c r="E58" s="237" t="s">
        <v>65</v>
      </c>
      <c r="F58" s="592">
        <v>55</v>
      </c>
      <c r="G58" s="593">
        <v>4800</v>
      </c>
      <c r="H58" s="594">
        <v>4000</v>
      </c>
      <c r="I58" s="595">
        <v>7200</v>
      </c>
      <c r="J58" s="166">
        <f t="shared" si="7"/>
        <v>96</v>
      </c>
      <c r="K58" s="167">
        <f t="shared" si="8"/>
        <v>80</v>
      </c>
      <c r="L58" s="168">
        <f t="shared" si="9"/>
        <v>144</v>
      </c>
      <c r="M58" s="166">
        <f t="shared" si="10"/>
        <v>144</v>
      </c>
      <c r="N58" s="167">
        <f t="shared" si="11"/>
        <v>120</v>
      </c>
      <c r="O58" s="168">
        <f t="shared" si="12"/>
        <v>216</v>
      </c>
      <c r="P58" s="169">
        <f t="shared" si="13"/>
        <v>192</v>
      </c>
      <c r="Q58" s="169">
        <f t="shared" si="14"/>
        <v>160</v>
      </c>
      <c r="R58" s="169">
        <f t="shared" si="15"/>
        <v>288</v>
      </c>
      <c r="S58" s="584">
        <f t="shared" si="41"/>
        <v>1440</v>
      </c>
      <c r="T58" s="594">
        <f t="shared" si="42"/>
        <v>1200</v>
      </c>
      <c r="U58" s="595">
        <f t="shared" si="43"/>
        <v>2160</v>
      </c>
      <c r="V58" s="166">
        <f t="shared" si="44"/>
        <v>2976</v>
      </c>
      <c r="W58" s="167">
        <f t="shared" si="45"/>
        <v>2480</v>
      </c>
      <c r="X58" s="168">
        <f t="shared" si="46"/>
        <v>4464</v>
      </c>
      <c r="Y58" s="166">
        <f t="shared" si="47"/>
        <v>3360</v>
      </c>
      <c r="Z58" s="167">
        <f t="shared" si="48"/>
        <v>2800</v>
      </c>
      <c r="AA58" s="168">
        <f t="shared" si="49"/>
        <v>5040</v>
      </c>
      <c r="AB58" s="166">
        <f t="shared" si="50"/>
        <v>3744</v>
      </c>
      <c r="AC58" s="167">
        <f t="shared" si="51"/>
        <v>3120</v>
      </c>
      <c r="AD58" s="168">
        <f t="shared" si="52"/>
        <v>5616</v>
      </c>
      <c r="AE58" s="166">
        <f t="shared" si="53"/>
        <v>4128</v>
      </c>
      <c r="AF58" s="167">
        <f t="shared" si="54"/>
        <v>3440</v>
      </c>
      <c r="AG58" s="168">
        <f t="shared" si="55"/>
        <v>5904</v>
      </c>
      <c r="AH58" s="166">
        <f t="shared" si="31"/>
        <v>4320</v>
      </c>
      <c r="AI58" s="167">
        <f t="shared" si="56"/>
        <v>3920</v>
      </c>
      <c r="AJ58" s="168">
        <f t="shared" si="57"/>
        <v>6480</v>
      </c>
      <c r="AK58" s="169">
        <f t="shared" si="58"/>
        <v>4896</v>
      </c>
      <c r="AL58" s="167">
        <f t="shared" si="59"/>
        <v>4080</v>
      </c>
      <c r="AM58" s="585">
        <f t="shared" si="60"/>
        <v>7344</v>
      </c>
      <c r="AN58" s="596">
        <v>0.2</v>
      </c>
      <c r="AO58" s="597">
        <v>0.20499999999999999</v>
      </c>
      <c r="AP58" s="597">
        <v>0.21</v>
      </c>
      <c r="AQ58" s="598">
        <v>0.215</v>
      </c>
      <c r="AR58" s="599">
        <v>0.22</v>
      </c>
      <c r="AS58" s="586"/>
      <c r="AT58" s="587"/>
      <c r="AU58" s="587"/>
      <c r="AV58" s="588"/>
      <c r="AW58" s="589"/>
      <c r="AX58" s="596">
        <v>2.5000000000000001E-2</v>
      </c>
      <c r="AY58" s="598">
        <v>2.8000000000000001E-2</v>
      </c>
      <c r="AZ58" s="598">
        <v>3.1E-2</v>
      </c>
      <c r="BA58" s="598">
        <v>3.4000000000000002E-2</v>
      </c>
      <c r="BB58" s="598">
        <v>3.6999999999999998E-2</v>
      </c>
      <c r="BC58" s="590"/>
      <c r="BD58" s="631"/>
      <c r="BE58" s="596"/>
      <c r="BF58" s="598"/>
      <c r="BG58" s="598"/>
      <c r="BH58" s="598"/>
      <c r="BI58" s="598"/>
      <c r="BJ58" s="598"/>
      <c r="BK58" s="605"/>
      <c r="BL58" s="658">
        <f t="shared" si="37"/>
        <v>16000</v>
      </c>
      <c r="BM58" s="3">
        <f t="shared" si="38"/>
        <v>30</v>
      </c>
      <c r="BN58" s="3">
        <f t="shared" si="39"/>
        <v>25</v>
      </c>
      <c r="BO58" s="3">
        <f t="shared" si="40"/>
        <v>45</v>
      </c>
    </row>
    <row r="59" spans="2:67">
      <c r="B59" s="1269" t="s">
        <v>2095</v>
      </c>
      <c r="C59" s="1264" t="s">
        <v>309</v>
      </c>
      <c r="D59" s="1264" t="s">
        <v>23</v>
      </c>
      <c r="E59" s="1266" t="s">
        <v>65</v>
      </c>
      <c r="F59" s="1270">
        <v>56</v>
      </c>
      <c r="G59" s="593">
        <v>9100</v>
      </c>
      <c r="H59" s="594">
        <v>5200</v>
      </c>
      <c r="I59" s="595">
        <v>11700</v>
      </c>
      <c r="J59" s="166">
        <f t="shared" si="7"/>
        <v>182</v>
      </c>
      <c r="K59" s="167">
        <f t="shared" si="8"/>
        <v>104</v>
      </c>
      <c r="L59" s="168">
        <f t="shared" si="9"/>
        <v>234</v>
      </c>
      <c r="M59" s="166">
        <f t="shared" si="10"/>
        <v>227</v>
      </c>
      <c r="N59" s="167">
        <f t="shared" si="11"/>
        <v>130</v>
      </c>
      <c r="O59" s="168">
        <f t="shared" si="12"/>
        <v>292</v>
      </c>
      <c r="P59" s="169">
        <f t="shared" si="13"/>
        <v>341</v>
      </c>
      <c r="Q59" s="169">
        <f t="shared" si="14"/>
        <v>195</v>
      </c>
      <c r="R59" s="169">
        <f t="shared" si="15"/>
        <v>438</v>
      </c>
      <c r="S59" s="584">
        <f t="shared" si="41"/>
        <v>2275</v>
      </c>
      <c r="T59" s="594">
        <f t="shared" si="42"/>
        <v>1300</v>
      </c>
      <c r="U59" s="595">
        <f t="shared" si="43"/>
        <v>2925</v>
      </c>
      <c r="V59" s="166">
        <f t="shared" si="44"/>
        <v>5181</v>
      </c>
      <c r="W59" s="167">
        <f t="shared" si="45"/>
        <v>2964</v>
      </c>
      <c r="X59" s="168">
        <f t="shared" si="46"/>
        <v>6663</v>
      </c>
      <c r="Y59" s="166">
        <f t="shared" si="47"/>
        <v>6204</v>
      </c>
      <c r="Z59" s="167">
        <f t="shared" si="48"/>
        <v>3354</v>
      </c>
      <c r="AA59" s="168">
        <f t="shared" si="49"/>
        <v>7101</v>
      </c>
      <c r="AB59" s="166">
        <f t="shared" si="50"/>
        <v>6545</v>
      </c>
      <c r="AC59" s="167">
        <f t="shared" si="51"/>
        <v>3939</v>
      </c>
      <c r="AD59" s="168">
        <f t="shared" si="52"/>
        <v>8415</v>
      </c>
      <c r="AE59" s="166">
        <f t="shared" si="53"/>
        <v>7227</v>
      </c>
      <c r="AF59" s="167">
        <f t="shared" si="54"/>
        <v>4329</v>
      </c>
      <c r="AG59" s="168">
        <f t="shared" si="55"/>
        <v>10167</v>
      </c>
      <c r="AH59" s="166">
        <f t="shared" si="31"/>
        <v>8591</v>
      </c>
      <c r="AI59" s="167">
        <f t="shared" si="56"/>
        <v>4719</v>
      </c>
      <c r="AJ59" s="168">
        <f t="shared" si="57"/>
        <v>11043</v>
      </c>
      <c r="AK59" s="169">
        <f t="shared" si="58"/>
        <v>9282</v>
      </c>
      <c r="AL59" s="167">
        <f t="shared" si="59"/>
        <v>5304</v>
      </c>
      <c r="AM59" s="585">
        <f t="shared" si="60"/>
        <v>11934</v>
      </c>
      <c r="AN59" s="596">
        <v>0.2</v>
      </c>
      <c r="AO59" s="597">
        <v>0.23</v>
      </c>
      <c r="AP59" s="597">
        <v>0.26</v>
      </c>
      <c r="AQ59" s="598">
        <v>0.28999999999999998</v>
      </c>
      <c r="AR59" s="599">
        <v>0.32</v>
      </c>
      <c r="AS59" s="586"/>
      <c r="AT59" s="587"/>
      <c r="AU59" s="587"/>
      <c r="AV59" s="588"/>
      <c r="AW59" s="589"/>
      <c r="AX59" s="596">
        <v>0.05</v>
      </c>
      <c r="AY59" s="598">
        <v>5.5E-2</v>
      </c>
      <c r="AZ59" s="598">
        <v>0.06</v>
      </c>
      <c r="BA59" s="598">
        <v>6.5000000000000002E-2</v>
      </c>
      <c r="BB59" s="598">
        <v>7.0000000000000007E-2</v>
      </c>
      <c r="BC59" s="590"/>
      <c r="BD59" s="631"/>
      <c r="BE59" s="596"/>
      <c r="BF59" s="598"/>
      <c r="BG59" s="598"/>
      <c r="BH59" s="598"/>
      <c r="BI59" s="598"/>
      <c r="BJ59" s="598"/>
      <c r="BK59" s="605"/>
      <c r="BL59" s="658">
        <f t="shared" si="37"/>
        <v>26000</v>
      </c>
      <c r="BM59" s="3">
        <f t="shared" si="38"/>
        <v>35</v>
      </c>
      <c r="BN59" s="3">
        <f t="shared" si="39"/>
        <v>20</v>
      </c>
      <c r="BO59" s="3">
        <f t="shared" si="40"/>
        <v>45</v>
      </c>
    </row>
    <row r="60" spans="2:67">
      <c r="B60" s="207" t="s">
        <v>496</v>
      </c>
      <c r="C60" s="889" t="s">
        <v>467</v>
      </c>
      <c r="D60" s="889" t="s">
        <v>13</v>
      </c>
      <c r="E60" s="237" t="s">
        <v>65</v>
      </c>
      <c r="F60" s="592">
        <v>57</v>
      </c>
      <c r="G60" s="593">
        <v>4140</v>
      </c>
      <c r="H60" s="594">
        <v>3104</v>
      </c>
      <c r="I60" s="595">
        <v>3104</v>
      </c>
      <c r="J60" s="166">
        <f t="shared" si="7"/>
        <v>82</v>
      </c>
      <c r="K60" s="167">
        <f t="shared" si="8"/>
        <v>62</v>
      </c>
      <c r="L60" s="168">
        <f t="shared" si="9"/>
        <v>62</v>
      </c>
      <c r="M60" s="166">
        <f t="shared" si="10"/>
        <v>155</v>
      </c>
      <c r="N60" s="167">
        <f t="shared" si="11"/>
        <v>116</v>
      </c>
      <c r="O60" s="168">
        <f t="shared" si="12"/>
        <v>116</v>
      </c>
      <c r="P60" s="169">
        <f t="shared" si="13"/>
        <v>207</v>
      </c>
      <c r="Q60" s="169">
        <f t="shared" si="14"/>
        <v>155</v>
      </c>
      <c r="R60" s="169">
        <f t="shared" si="15"/>
        <v>155</v>
      </c>
      <c r="S60" s="584">
        <f t="shared" si="41"/>
        <v>1242</v>
      </c>
      <c r="T60" s="594">
        <f t="shared" si="42"/>
        <v>931</v>
      </c>
      <c r="U60" s="595">
        <f t="shared" si="43"/>
        <v>931</v>
      </c>
      <c r="V60" s="166">
        <f t="shared" si="44"/>
        <v>2564</v>
      </c>
      <c r="W60" s="167">
        <f t="shared" si="45"/>
        <v>1921</v>
      </c>
      <c r="X60" s="168">
        <f t="shared" si="46"/>
        <v>1921</v>
      </c>
      <c r="Y60" s="166">
        <f t="shared" si="47"/>
        <v>2771</v>
      </c>
      <c r="Z60" s="167">
        <f t="shared" si="48"/>
        <v>2231</v>
      </c>
      <c r="AA60" s="168">
        <f t="shared" si="49"/>
        <v>2076</v>
      </c>
      <c r="AB60" s="166">
        <f t="shared" si="50"/>
        <v>3185</v>
      </c>
      <c r="AC60" s="167">
        <f t="shared" si="51"/>
        <v>2386</v>
      </c>
      <c r="AD60" s="168">
        <f t="shared" si="52"/>
        <v>2231</v>
      </c>
      <c r="AE60" s="166">
        <f t="shared" si="53"/>
        <v>3599</v>
      </c>
      <c r="AF60" s="167">
        <f t="shared" si="54"/>
        <v>2541</v>
      </c>
      <c r="AG60" s="168">
        <f t="shared" si="55"/>
        <v>2541</v>
      </c>
      <c r="AH60" s="166">
        <f t="shared" si="31"/>
        <v>4013</v>
      </c>
      <c r="AI60" s="167">
        <f t="shared" si="56"/>
        <v>2851</v>
      </c>
      <c r="AJ60" s="168">
        <f t="shared" si="57"/>
        <v>2851</v>
      </c>
      <c r="AK60" s="169">
        <f t="shared" si="58"/>
        <v>4222</v>
      </c>
      <c r="AL60" s="167">
        <f t="shared" si="59"/>
        <v>3166</v>
      </c>
      <c r="AM60" s="585">
        <f t="shared" si="60"/>
        <v>3166</v>
      </c>
      <c r="AN60" s="586">
        <v>80</v>
      </c>
      <c r="AO60" s="686">
        <v>90</v>
      </c>
      <c r="AP60" s="686">
        <v>100</v>
      </c>
      <c r="AQ60" s="587">
        <v>110</v>
      </c>
      <c r="AR60" s="687">
        <v>120</v>
      </c>
      <c r="AS60" s="586"/>
      <c r="AT60" s="587"/>
      <c r="AU60" s="587"/>
      <c r="AV60" s="588"/>
      <c r="AW60" s="589"/>
      <c r="AX60" s="596">
        <v>1.4999999999999999E-2</v>
      </c>
      <c r="AY60" s="598">
        <v>1.7999999999999999E-2</v>
      </c>
      <c r="AZ60" s="598">
        <v>2.1000000000000001E-2</v>
      </c>
      <c r="BA60" s="598">
        <v>2.4E-2</v>
      </c>
      <c r="BB60" s="598">
        <v>2.7E-2</v>
      </c>
      <c r="BC60" s="590"/>
      <c r="BD60" s="631"/>
      <c r="BE60" s="596"/>
      <c r="BF60" s="598"/>
      <c r="BG60" s="598"/>
      <c r="BH60" s="598"/>
      <c r="BI60" s="598"/>
      <c r="BJ60" s="598"/>
      <c r="BK60" s="605"/>
      <c r="BL60" s="658">
        <f t="shared" si="37"/>
        <v>10350</v>
      </c>
      <c r="BM60" s="3">
        <f t="shared" si="38"/>
        <v>40</v>
      </c>
      <c r="BN60" s="3">
        <f t="shared" si="39"/>
        <v>30</v>
      </c>
      <c r="BO60" s="3">
        <f t="shared" si="40"/>
        <v>30</v>
      </c>
    </row>
    <row r="61" spans="2:67">
      <c r="B61" s="207" t="s">
        <v>497</v>
      </c>
      <c r="C61" s="889" t="s">
        <v>467</v>
      </c>
      <c r="D61" s="889" t="s">
        <v>23</v>
      </c>
      <c r="E61" s="237" t="s">
        <v>65</v>
      </c>
      <c r="F61" s="592">
        <v>58</v>
      </c>
      <c r="G61" s="593">
        <v>3910</v>
      </c>
      <c r="H61" s="594">
        <v>3910</v>
      </c>
      <c r="I61" s="595">
        <v>4027</v>
      </c>
      <c r="J61" s="166">
        <f t="shared" si="7"/>
        <v>78</v>
      </c>
      <c r="K61" s="167">
        <f t="shared" si="8"/>
        <v>78</v>
      </c>
      <c r="L61" s="168">
        <f t="shared" si="9"/>
        <v>80</v>
      </c>
      <c r="M61" s="166">
        <f t="shared" si="10"/>
        <v>146</v>
      </c>
      <c r="N61" s="167">
        <f t="shared" si="11"/>
        <v>146</v>
      </c>
      <c r="O61" s="168">
        <f t="shared" si="12"/>
        <v>151</v>
      </c>
      <c r="P61" s="169">
        <f t="shared" si="13"/>
        <v>195</v>
      </c>
      <c r="Q61" s="169">
        <f t="shared" si="14"/>
        <v>195</v>
      </c>
      <c r="R61" s="169">
        <f t="shared" si="15"/>
        <v>201</v>
      </c>
      <c r="S61" s="584">
        <f t="shared" si="41"/>
        <v>1173</v>
      </c>
      <c r="T61" s="594">
        <f t="shared" si="42"/>
        <v>1173</v>
      </c>
      <c r="U61" s="595">
        <f t="shared" si="43"/>
        <v>1208</v>
      </c>
      <c r="V61" s="166">
        <f t="shared" si="44"/>
        <v>2419</v>
      </c>
      <c r="W61" s="167">
        <f t="shared" si="45"/>
        <v>2419</v>
      </c>
      <c r="X61" s="168">
        <f t="shared" si="46"/>
        <v>2496</v>
      </c>
      <c r="Y61" s="166">
        <f t="shared" si="47"/>
        <v>2614</v>
      </c>
      <c r="Z61" s="167">
        <f t="shared" si="48"/>
        <v>2614</v>
      </c>
      <c r="AA61" s="168">
        <f t="shared" si="49"/>
        <v>2898</v>
      </c>
      <c r="AB61" s="166">
        <f t="shared" si="50"/>
        <v>2809</v>
      </c>
      <c r="AC61" s="167">
        <f t="shared" si="51"/>
        <v>3004</v>
      </c>
      <c r="AD61" s="168">
        <f t="shared" si="52"/>
        <v>3099</v>
      </c>
      <c r="AE61" s="166">
        <f t="shared" si="53"/>
        <v>3199</v>
      </c>
      <c r="AF61" s="167">
        <f t="shared" si="54"/>
        <v>3394</v>
      </c>
      <c r="AG61" s="168">
        <f t="shared" si="55"/>
        <v>3300</v>
      </c>
      <c r="AH61" s="166">
        <f t="shared" si="31"/>
        <v>3589</v>
      </c>
      <c r="AI61" s="167">
        <f t="shared" si="56"/>
        <v>3784</v>
      </c>
      <c r="AJ61" s="168">
        <f t="shared" si="57"/>
        <v>3702</v>
      </c>
      <c r="AK61" s="169">
        <f t="shared" si="58"/>
        <v>3988</v>
      </c>
      <c r="AL61" s="167">
        <f t="shared" si="59"/>
        <v>3988</v>
      </c>
      <c r="AM61" s="585">
        <f t="shared" si="60"/>
        <v>4107</v>
      </c>
      <c r="AN61" s="586">
        <v>250</v>
      </c>
      <c r="AO61" s="686">
        <v>300</v>
      </c>
      <c r="AP61" s="686">
        <v>350</v>
      </c>
      <c r="AQ61" s="587">
        <v>400</v>
      </c>
      <c r="AR61" s="687">
        <v>450</v>
      </c>
      <c r="AS61" s="586"/>
      <c r="AT61" s="587"/>
      <c r="AU61" s="587"/>
      <c r="AV61" s="588"/>
      <c r="AW61" s="589"/>
      <c r="AX61" s="596">
        <v>0.02</v>
      </c>
      <c r="AY61" s="598">
        <v>2.3E-2</v>
      </c>
      <c r="AZ61" s="598">
        <v>2.5999999999999999E-2</v>
      </c>
      <c r="BA61" s="598">
        <v>2.9000000000000001E-2</v>
      </c>
      <c r="BB61" s="598">
        <v>3.2000000000000001E-2</v>
      </c>
      <c r="BC61" s="590"/>
      <c r="BD61" s="631"/>
      <c r="BE61" s="596"/>
      <c r="BF61" s="598"/>
      <c r="BG61" s="598"/>
      <c r="BH61" s="598"/>
      <c r="BI61" s="598"/>
      <c r="BJ61" s="598"/>
      <c r="BK61" s="605"/>
      <c r="BL61" s="658">
        <f t="shared" si="37"/>
        <v>11850</v>
      </c>
      <c r="BM61" s="3">
        <f t="shared" si="38"/>
        <v>33</v>
      </c>
      <c r="BN61" s="3">
        <f t="shared" si="39"/>
        <v>33</v>
      </c>
      <c r="BO61" s="3">
        <f t="shared" si="40"/>
        <v>34</v>
      </c>
    </row>
    <row r="62" spans="2:67">
      <c r="B62" s="207" t="s">
        <v>393</v>
      </c>
      <c r="C62" s="889" t="s">
        <v>357</v>
      </c>
      <c r="D62" s="889" t="s">
        <v>356</v>
      </c>
      <c r="E62" s="237" t="s">
        <v>65</v>
      </c>
      <c r="F62" s="592">
        <v>59</v>
      </c>
      <c r="G62" s="593">
        <v>4800</v>
      </c>
      <c r="H62" s="594">
        <v>4000</v>
      </c>
      <c r="I62" s="595">
        <v>7200</v>
      </c>
      <c r="J62" s="166">
        <f t="shared" si="7"/>
        <v>96</v>
      </c>
      <c r="K62" s="167">
        <f t="shared" si="8"/>
        <v>80</v>
      </c>
      <c r="L62" s="168">
        <f t="shared" si="9"/>
        <v>144</v>
      </c>
      <c r="M62" s="166">
        <f t="shared" si="10"/>
        <v>144</v>
      </c>
      <c r="N62" s="167">
        <f t="shared" si="11"/>
        <v>120</v>
      </c>
      <c r="O62" s="168">
        <f t="shared" si="12"/>
        <v>216</v>
      </c>
      <c r="P62" s="169">
        <f t="shared" si="13"/>
        <v>192</v>
      </c>
      <c r="Q62" s="169">
        <f t="shared" si="14"/>
        <v>160</v>
      </c>
      <c r="R62" s="169">
        <f t="shared" si="15"/>
        <v>288</v>
      </c>
      <c r="S62" s="584">
        <f t="shared" si="41"/>
        <v>1440</v>
      </c>
      <c r="T62" s="594">
        <f t="shared" si="42"/>
        <v>1200</v>
      </c>
      <c r="U62" s="595">
        <f t="shared" si="43"/>
        <v>2160</v>
      </c>
      <c r="V62" s="166">
        <f t="shared" si="44"/>
        <v>2976</v>
      </c>
      <c r="W62" s="167">
        <f t="shared" si="45"/>
        <v>2480</v>
      </c>
      <c r="X62" s="168">
        <f t="shared" si="46"/>
        <v>4464</v>
      </c>
      <c r="Y62" s="166">
        <f t="shared" si="47"/>
        <v>3360</v>
      </c>
      <c r="Z62" s="167">
        <f t="shared" si="48"/>
        <v>2800</v>
      </c>
      <c r="AA62" s="168">
        <f t="shared" si="49"/>
        <v>5040</v>
      </c>
      <c r="AB62" s="166">
        <f t="shared" si="50"/>
        <v>3744</v>
      </c>
      <c r="AC62" s="167">
        <f t="shared" si="51"/>
        <v>3120</v>
      </c>
      <c r="AD62" s="168">
        <f t="shared" si="52"/>
        <v>5616</v>
      </c>
      <c r="AE62" s="166">
        <f t="shared" si="53"/>
        <v>4128</v>
      </c>
      <c r="AF62" s="167">
        <f t="shared" si="54"/>
        <v>3280</v>
      </c>
      <c r="AG62" s="168">
        <f t="shared" si="55"/>
        <v>6192</v>
      </c>
      <c r="AH62" s="166">
        <f t="shared" si="31"/>
        <v>4320</v>
      </c>
      <c r="AI62" s="167">
        <f t="shared" si="56"/>
        <v>3600</v>
      </c>
      <c r="AJ62" s="168">
        <f t="shared" si="57"/>
        <v>7056</v>
      </c>
      <c r="AK62" s="169">
        <f t="shared" si="58"/>
        <v>4896</v>
      </c>
      <c r="AL62" s="167">
        <f t="shared" si="59"/>
        <v>4080</v>
      </c>
      <c r="AM62" s="585">
        <f t="shared" si="60"/>
        <v>7344</v>
      </c>
      <c r="AN62" s="596">
        <v>0.05</v>
      </c>
      <c r="AO62" s="597">
        <v>5.5E-2</v>
      </c>
      <c r="AP62" s="597">
        <v>0.06</v>
      </c>
      <c r="AQ62" s="598">
        <v>6.5000000000000002E-2</v>
      </c>
      <c r="AR62" s="599">
        <v>7.0000000000000007E-2</v>
      </c>
      <c r="AS62" s="586"/>
      <c r="AT62" s="587"/>
      <c r="AU62" s="587"/>
      <c r="AV62" s="588"/>
      <c r="AW62" s="589"/>
      <c r="AX62" s="596">
        <v>0.03</v>
      </c>
      <c r="AY62" s="598">
        <v>3.5000000000000003E-2</v>
      </c>
      <c r="AZ62" s="598">
        <v>0.04</v>
      </c>
      <c r="BA62" s="598">
        <v>4.4999999999999998E-2</v>
      </c>
      <c r="BB62" s="598">
        <v>0.05</v>
      </c>
      <c r="BC62" s="590"/>
      <c r="BD62" s="631"/>
      <c r="BE62" s="596"/>
      <c r="BF62" s="598"/>
      <c r="BG62" s="598"/>
      <c r="BH62" s="598"/>
      <c r="BI62" s="598"/>
      <c r="BJ62" s="598"/>
      <c r="BK62" s="605"/>
      <c r="BL62" s="658">
        <f t="shared" si="37"/>
        <v>16000</v>
      </c>
      <c r="BM62" s="3">
        <f t="shared" si="38"/>
        <v>30</v>
      </c>
      <c r="BN62" s="3">
        <f t="shared" si="39"/>
        <v>25</v>
      </c>
      <c r="BO62" s="3">
        <f t="shared" si="40"/>
        <v>45</v>
      </c>
    </row>
    <row r="63" spans="2:67">
      <c r="B63" s="1269" t="s">
        <v>2096</v>
      </c>
      <c r="C63" s="1264" t="s">
        <v>309</v>
      </c>
      <c r="D63" s="1264" t="s">
        <v>14</v>
      </c>
      <c r="E63" s="1266" t="s">
        <v>65</v>
      </c>
      <c r="F63" s="1270">
        <v>60</v>
      </c>
      <c r="G63" s="593">
        <v>9100</v>
      </c>
      <c r="H63" s="594">
        <v>5200</v>
      </c>
      <c r="I63" s="595">
        <v>11700</v>
      </c>
      <c r="J63" s="166">
        <f t="shared" si="7"/>
        <v>182</v>
      </c>
      <c r="K63" s="167">
        <f t="shared" si="8"/>
        <v>104</v>
      </c>
      <c r="L63" s="168">
        <f t="shared" si="9"/>
        <v>234</v>
      </c>
      <c r="M63" s="166">
        <f t="shared" si="10"/>
        <v>227</v>
      </c>
      <c r="N63" s="167">
        <f t="shared" si="11"/>
        <v>130</v>
      </c>
      <c r="O63" s="168">
        <f t="shared" si="12"/>
        <v>292</v>
      </c>
      <c r="P63" s="169">
        <f t="shared" si="13"/>
        <v>341</v>
      </c>
      <c r="Q63" s="169">
        <f t="shared" si="14"/>
        <v>195</v>
      </c>
      <c r="R63" s="169">
        <f t="shared" si="15"/>
        <v>438</v>
      </c>
      <c r="S63" s="584">
        <f t="shared" si="41"/>
        <v>2275</v>
      </c>
      <c r="T63" s="594">
        <f t="shared" si="42"/>
        <v>1300</v>
      </c>
      <c r="U63" s="595">
        <f t="shared" si="43"/>
        <v>2925</v>
      </c>
      <c r="V63" s="166">
        <f t="shared" si="44"/>
        <v>5181</v>
      </c>
      <c r="W63" s="167">
        <f t="shared" si="45"/>
        <v>2964</v>
      </c>
      <c r="X63" s="168">
        <f t="shared" si="46"/>
        <v>6663</v>
      </c>
      <c r="Y63" s="166">
        <f t="shared" si="47"/>
        <v>5522</v>
      </c>
      <c r="Z63" s="167">
        <f t="shared" si="48"/>
        <v>3549</v>
      </c>
      <c r="AA63" s="168">
        <f t="shared" si="49"/>
        <v>7539</v>
      </c>
      <c r="AB63" s="166">
        <f t="shared" si="50"/>
        <v>6545</v>
      </c>
      <c r="AC63" s="167">
        <f t="shared" si="51"/>
        <v>3744</v>
      </c>
      <c r="AD63" s="168">
        <f t="shared" si="52"/>
        <v>8853</v>
      </c>
      <c r="AE63" s="166">
        <f t="shared" si="53"/>
        <v>7909</v>
      </c>
      <c r="AF63" s="167">
        <f t="shared" si="54"/>
        <v>4134</v>
      </c>
      <c r="AG63" s="168">
        <f t="shared" si="55"/>
        <v>9729</v>
      </c>
      <c r="AH63" s="166">
        <f t="shared" si="31"/>
        <v>8591</v>
      </c>
      <c r="AI63" s="167">
        <f t="shared" si="56"/>
        <v>4914</v>
      </c>
      <c r="AJ63" s="168">
        <f t="shared" si="57"/>
        <v>10605</v>
      </c>
      <c r="AK63" s="169">
        <f t="shared" si="58"/>
        <v>9282</v>
      </c>
      <c r="AL63" s="167">
        <f t="shared" si="59"/>
        <v>5304</v>
      </c>
      <c r="AM63" s="585">
        <f t="shared" si="60"/>
        <v>11934</v>
      </c>
      <c r="AN63" s="596">
        <v>7.0000000000000007E-2</v>
      </c>
      <c r="AO63" s="597">
        <v>7.4999999999999997E-2</v>
      </c>
      <c r="AP63" s="597">
        <v>0.08</v>
      </c>
      <c r="AQ63" s="598">
        <v>8.5000000000000006E-2</v>
      </c>
      <c r="AR63" s="599">
        <v>0.09</v>
      </c>
      <c r="AS63" s="586"/>
      <c r="AT63" s="587"/>
      <c r="AU63" s="587"/>
      <c r="AV63" s="588"/>
      <c r="AW63" s="589"/>
      <c r="AX63" s="596">
        <v>0.05</v>
      </c>
      <c r="AY63" s="598">
        <v>5.5E-2</v>
      </c>
      <c r="AZ63" s="598">
        <v>0.06</v>
      </c>
      <c r="BA63" s="598">
        <v>6.5000000000000002E-2</v>
      </c>
      <c r="BB63" s="598">
        <v>7.0000000000000007E-2</v>
      </c>
      <c r="BC63" s="590"/>
      <c r="BD63" s="631"/>
      <c r="BE63" s="596"/>
      <c r="BF63" s="598"/>
      <c r="BG63" s="598"/>
      <c r="BH63" s="598"/>
      <c r="BI63" s="598"/>
      <c r="BJ63" s="598"/>
      <c r="BK63" s="605"/>
      <c r="BL63" s="658">
        <f t="shared" si="37"/>
        <v>26000</v>
      </c>
      <c r="BM63" s="3">
        <f t="shared" si="38"/>
        <v>35</v>
      </c>
      <c r="BN63" s="3">
        <f t="shared" si="39"/>
        <v>20</v>
      </c>
      <c r="BO63" s="3">
        <f t="shared" si="40"/>
        <v>45</v>
      </c>
    </row>
    <row r="64" spans="2:67">
      <c r="B64" s="207" t="s">
        <v>498</v>
      </c>
      <c r="C64" s="889" t="s">
        <v>467</v>
      </c>
      <c r="D64" s="889" t="s">
        <v>23</v>
      </c>
      <c r="E64" s="237" t="s">
        <v>65</v>
      </c>
      <c r="F64" s="592">
        <v>61</v>
      </c>
      <c r="G64" s="593">
        <v>3104</v>
      </c>
      <c r="H64" s="594">
        <v>2070</v>
      </c>
      <c r="I64" s="595">
        <v>5174</v>
      </c>
      <c r="J64" s="166">
        <f t="shared" si="7"/>
        <v>62</v>
      </c>
      <c r="K64" s="167">
        <f t="shared" si="8"/>
        <v>41</v>
      </c>
      <c r="L64" s="168">
        <f t="shared" si="9"/>
        <v>103</v>
      </c>
      <c r="M64" s="166">
        <f t="shared" si="10"/>
        <v>116</v>
      </c>
      <c r="N64" s="167">
        <f t="shared" si="11"/>
        <v>77</v>
      </c>
      <c r="O64" s="168">
        <f t="shared" si="12"/>
        <v>194</v>
      </c>
      <c r="P64" s="169">
        <f t="shared" si="13"/>
        <v>155</v>
      </c>
      <c r="Q64" s="169">
        <f t="shared" si="14"/>
        <v>103</v>
      </c>
      <c r="R64" s="169">
        <f t="shared" si="15"/>
        <v>258</v>
      </c>
      <c r="S64" s="584">
        <f t="shared" si="41"/>
        <v>931</v>
      </c>
      <c r="T64" s="594">
        <f t="shared" si="42"/>
        <v>621</v>
      </c>
      <c r="U64" s="595">
        <f t="shared" si="43"/>
        <v>1552</v>
      </c>
      <c r="V64" s="166">
        <f t="shared" si="44"/>
        <v>1921</v>
      </c>
      <c r="W64" s="167">
        <f t="shared" si="45"/>
        <v>1278</v>
      </c>
      <c r="X64" s="168">
        <f t="shared" si="46"/>
        <v>3207</v>
      </c>
      <c r="Y64" s="166">
        <f t="shared" si="47"/>
        <v>2076</v>
      </c>
      <c r="Z64" s="167">
        <f t="shared" si="48"/>
        <v>1381</v>
      </c>
      <c r="AA64" s="168">
        <f t="shared" si="49"/>
        <v>3723</v>
      </c>
      <c r="AB64" s="166">
        <f t="shared" si="50"/>
        <v>2231</v>
      </c>
      <c r="AC64" s="167">
        <f t="shared" si="51"/>
        <v>1587</v>
      </c>
      <c r="AD64" s="168">
        <f t="shared" si="52"/>
        <v>3981</v>
      </c>
      <c r="AE64" s="166">
        <f t="shared" si="53"/>
        <v>2541</v>
      </c>
      <c r="AF64" s="167">
        <f t="shared" si="54"/>
        <v>1793</v>
      </c>
      <c r="AG64" s="168">
        <f t="shared" si="55"/>
        <v>4239</v>
      </c>
      <c r="AH64" s="166">
        <f t="shared" si="31"/>
        <v>2851</v>
      </c>
      <c r="AI64" s="167">
        <f t="shared" si="56"/>
        <v>1999</v>
      </c>
      <c r="AJ64" s="168">
        <f t="shared" si="57"/>
        <v>4755</v>
      </c>
      <c r="AK64" s="169">
        <f t="shared" si="58"/>
        <v>3166</v>
      </c>
      <c r="AL64" s="167">
        <f t="shared" si="59"/>
        <v>2111</v>
      </c>
      <c r="AM64" s="585">
        <f t="shared" si="60"/>
        <v>5277</v>
      </c>
      <c r="AN64" s="586">
        <v>200</v>
      </c>
      <c r="AO64" s="686">
        <v>250</v>
      </c>
      <c r="AP64" s="686">
        <v>300</v>
      </c>
      <c r="AQ64" s="587">
        <v>350</v>
      </c>
      <c r="AR64" s="687">
        <v>400</v>
      </c>
      <c r="AS64" s="586"/>
      <c r="AT64" s="587"/>
      <c r="AU64" s="587"/>
      <c r="AV64" s="588"/>
      <c r="AW64" s="589"/>
      <c r="AX64" s="596">
        <v>0.01</v>
      </c>
      <c r="AY64" s="598">
        <v>1.2999999999999999E-2</v>
      </c>
      <c r="AZ64" s="598">
        <v>1.6E-2</v>
      </c>
      <c r="BA64" s="598">
        <v>1.9E-2</v>
      </c>
      <c r="BB64" s="598">
        <v>2.1999999999999999E-2</v>
      </c>
      <c r="BC64" s="590"/>
      <c r="BD64" s="631"/>
      <c r="BE64" s="596"/>
      <c r="BF64" s="598"/>
      <c r="BG64" s="598"/>
      <c r="BH64" s="598"/>
      <c r="BI64" s="598"/>
      <c r="BJ64" s="598"/>
      <c r="BK64" s="605"/>
      <c r="BL64" s="658">
        <f t="shared" si="37"/>
        <v>10350</v>
      </c>
      <c r="BM64" s="3">
        <f t="shared" si="38"/>
        <v>30</v>
      </c>
      <c r="BN64" s="3">
        <f t="shared" si="39"/>
        <v>20</v>
      </c>
      <c r="BO64" s="3">
        <f t="shared" si="40"/>
        <v>50</v>
      </c>
    </row>
    <row r="65" spans="2:67">
      <c r="B65" s="207" t="s">
        <v>499</v>
      </c>
      <c r="C65" s="889" t="s">
        <v>467</v>
      </c>
      <c r="D65" s="889" t="s">
        <v>13</v>
      </c>
      <c r="E65" s="237" t="s">
        <v>65</v>
      </c>
      <c r="F65" s="592">
        <v>62</v>
      </c>
      <c r="G65" s="593">
        <v>3554</v>
      </c>
      <c r="H65" s="594">
        <v>4147</v>
      </c>
      <c r="I65" s="595">
        <v>4147</v>
      </c>
      <c r="J65" s="166">
        <f t="shared" si="7"/>
        <v>71</v>
      </c>
      <c r="K65" s="167">
        <f t="shared" si="8"/>
        <v>82</v>
      </c>
      <c r="L65" s="168">
        <f t="shared" si="9"/>
        <v>82</v>
      </c>
      <c r="M65" s="166">
        <f t="shared" si="10"/>
        <v>133</v>
      </c>
      <c r="N65" s="167">
        <f t="shared" si="11"/>
        <v>155</v>
      </c>
      <c r="O65" s="168">
        <f t="shared" si="12"/>
        <v>155</v>
      </c>
      <c r="P65" s="169">
        <f t="shared" si="13"/>
        <v>177</v>
      </c>
      <c r="Q65" s="169">
        <f t="shared" si="14"/>
        <v>207</v>
      </c>
      <c r="R65" s="169">
        <f t="shared" si="15"/>
        <v>207</v>
      </c>
      <c r="S65" s="584">
        <f t="shared" si="41"/>
        <v>1066</v>
      </c>
      <c r="T65" s="594">
        <f t="shared" si="42"/>
        <v>1244</v>
      </c>
      <c r="U65" s="595">
        <f t="shared" si="43"/>
        <v>1244</v>
      </c>
      <c r="V65" s="166">
        <f t="shared" si="44"/>
        <v>2201</v>
      </c>
      <c r="W65" s="167">
        <f t="shared" si="45"/>
        <v>2566</v>
      </c>
      <c r="X65" s="168">
        <f t="shared" si="46"/>
        <v>2566</v>
      </c>
      <c r="Y65" s="166">
        <f t="shared" si="47"/>
        <v>2378</v>
      </c>
      <c r="Z65" s="167">
        <f t="shared" si="48"/>
        <v>2980</v>
      </c>
      <c r="AA65" s="168">
        <f t="shared" si="49"/>
        <v>2773</v>
      </c>
      <c r="AB65" s="166">
        <f t="shared" si="50"/>
        <v>2732</v>
      </c>
      <c r="AC65" s="167">
        <f t="shared" si="51"/>
        <v>3187</v>
      </c>
      <c r="AD65" s="168">
        <f t="shared" si="52"/>
        <v>2980</v>
      </c>
      <c r="AE65" s="166">
        <f t="shared" si="53"/>
        <v>3086</v>
      </c>
      <c r="AF65" s="167">
        <f t="shared" si="54"/>
        <v>3394</v>
      </c>
      <c r="AG65" s="168">
        <f t="shared" si="55"/>
        <v>3394</v>
      </c>
      <c r="AH65" s="166">
        <f t="shared" si="31"/>
        <v>3440</v>
      </c>
      <c r="AI65" s="167">
        <f t="shared" si="56"/>
        <v>3808</v>
      </c>
      <c r="AJ65" s="168">
        <f t="shared" si="57"/>
        <v>3808</v>
      </c>
      <c r="AK65" s="169">
        <f t="shared" si="58"/>
        <v>3625</v>
      </c>
      <c r="AL65" s="167">
        <f t="shared" si="59"/>
        <v>4229</v>
      </c>
      <c r="AM65" s="585">
        <f t="shared" si="60"/>
        <v>4229</v>
      </c>
      <c r="AN65" s="586">
        <v>80</v>
      </c>
      <c r="AO65" s="686">
        <v>90</v>
      </c>
      <c r="AP65" s="686">
        <v>100</v>
      </c>
      <c r="AQ65" s="587">
        <v>110</v>
      </c>
      <c r="AR65" s="687">
        <v>120</v>
      </c>
      <c r="AS65" s="586"/>
      <c r="AT65" s="587"/>
      <c r="AU65" s="587"/>
      <c r="AV65" s="588"/>
      <c r="AW65" s="589"/>
      <c r="AX65" s="596">
        <v>1.4999999999999999E-2</v>
      </c>
      <c r="AY65" s="598">
        <v>1.7999999999999999E-2</v>
      </c>
      <c r="AZ65" s="598">
        <v>2.1000000000000001E-2</v>
      </c>
      <c r="BA65" s="598">
        <v>2.4E-2</v>
      </c>
      <c r="BB65" s="598">
        <v>2.7E-2</v>
      </c>
      <c r="BC65" s="590"/>
      <c r="BD65" s="631"/>
      <c r="BE65" s="596"/>
      <c r="BF65" s="598"/>
      <c r="BG65" s="598"/>
      <c r="BH65" s="598"/>
      <c r="BI65" s="598"/>
      <c r="BJ65" s="598"/>
      <c r="BK65" s="605"/>
      <c r="BL65" s="658">
        <f t="shared" si="37"/>
        <v>11850</v>
      </c>
      <c r="BM65" s="3">
        <f t="shared" si="38"/>
        <v>30</v>
      </c>
      <c r="BN65" s="3">
        <f t="shared" si="39"/>
        <v>35</v>
      </c>
      <c r="BO65" s="3">
        <f t="shared" si="40"/>
        <v>35</v>
      </c>
    </row>
    <row r="66" spans="2:67">
      <c r="B66" s="207" t="s">
        <v>394</v>
      </c>
      <c r="C66" s="889" t="s">
        <v>357</v>
      </c>
      <c r="D66" s="889" t="s">
        <v>356</v>
      </c>
      <c r="E66" s="237" t="s">
        <v>65</v>
      </c>
      <c r="F66" s="592">
        <v>63</v>
      </c>
      <c r="G66" s="593">
        <v>5280</v>
      </c>
      <c r="H66" s="594">
        <v>5280</v>
      </c>
      <c r="I66" s="595">
        <v>5440</v>
      </c>
      <c r="J66" s="166">
        <f t="shared" si="7"/>
        <v>105</v>
      </c>
      <c r="K66" s="167">
        <f t="shared" si="8"/>
        <v>105</v>
      </c>
      <c r="L66" s="168">
        <f t="shared" si="9"/>
        <v>108</v>
      </c>
      <c r="M66" s="166">
        <f t="shared" si="10"/>
        <v>158</v>
      </c>
      <c r="N66" s="167">
        <f t="shared" si="11"/>
        <v>158</v>
      </c>
      <c r="O66" s="168">
        <f t="shared" si="12"/>
        <v>163</v>
      </c>
      <c r="P66" s="169">
        <f t="shared" si="13"/>
        <v>211</v>
      </c>
      <c r="Q66" s="169">
        <f t="shared" si="14"/>
        <v>211</v>
      </c>
      <c r="R66" s="169">
        <f t="shared" si="15"/>
        <v>217</v>
      </c>
      <c r="S66" s="584">
        <f t="shared" si="41"/>
        <v>1584</v>
      </c>
      <c r="T66" s="594">
        <f t="shared" si="42"/>
        <v>1584</v>
      </c>
      <c r="U66" s="595">
        <f t="shared" si="43"/>
        <v>1632</v>
      </c>
      <c r="V66" s="166">
        <f t="shared" si="44"/>
        <v>3269</v>
      </c>
      <c r="W66" s="167">
        <f t="shared" si="45"/>
        <v>3269</v>
      </c>
      <c r="X66" s="168">
        <f t="shared" si="46"/>
        <v>3370</v>
      </c>
      <c r="Y66" s="166">
        <f t="shared" si="47"/>
        <v>3691</v>
      </c>
      <c r="Z66" s="167">
        <f t="shared" si="48"/>
        <v>3691</v>
      </c>
      <c r="AA66" s="168">
        <f t="shared" si="49"/>
        <v>3804</v>
      </c>
      <c r="AB66" s="166">
        <f t="shared" si="50"/>
        <v>4113</v>
      </c>
      <c r="AC66" s="167">
        <f t="shared" si="51"/>
        <v>4113</v>
      </c>
      <c r="AD66" s="168">
        <f t="shared" si="52"/>
        <v>4238</v>
      </c>
      <c r="AE66" s="166">
        <f t="shared" si="53"/>
        <v>4535</v>
      </c>
      <c r="AF66" s="167">
        <f t="shared" si="54"/>
        <v>4324</v>
      </c>
      <c r="AG66" s="168">
        <f t="shared" si="55"/>
        <v>4672</v>
      </c>
      <c r="AH66" s="166">
        <f t="shared" si="31"/>
        <v>4746</v>
      </c>
      <c r="AI66" s="167">
        <f t="shared" si="56"/>
        <v>4746</v>
      </c>
      <c r="AJ66" s="168">
        <f t="shared" si="57"/>
        <v>5323</v>
      </c>
      <c r="AK66" s="169">
        <f t="shared" si="58"/>
        <v>5385</v>
      </c>
      <c r="AL66" s="167">
        <f t="shared" si="59"/>
        <v>5385</v>
      </c>
      <c r="AM66" s="585">
        <f t="shared" si="60"/>
        <v>5548</v>
      </c>
      <c r="AN66" s="596">
        <v>0.05</v>
      </c>
      <c r="AO66" s="597">
        <v>5.5E-2</v>
      </c>
      <c r="AP66" s="597">
        <v>0.06</v>
      </c>
      <c r="AQ66" s="598">
        <v>6.5000000000000002E-2</v>
      </c>
      <c r="AR66" s="599">
        <v>7.0000000000000007E-2</v>
      </c>
      <c r="AS66" s="586"/>
      <c r="AT66" s="587"/>
      <c r="AU66" s="587"/>
      <c r="AV66" s="588"/>
      <c r="AW66" s="589"/>
      <c r="AX66" s="596">
        <v>0.05</v>
      </c>
      <c r="AY66" s="598">
        <v>5.5E-2</v>
      </c>
      <c r="AZ66" s="598">
        <v>0.06</v>
      </c>
      <c r="BA66" s="598">
        <v>6.5000000000000002E-2</v>
      </c>
      <c r="BB66" s="598">
        <v>7.0000000000000007E-2</v>
      </c>
      <c r="BC66" s="590"/>
      <c r="BD66" s="631"/>
      <c r="BE66" s="596"/>
      <c r="BF66" s="598"/>
      <c r="BG66" s="598"/>
      <c r="BH66" s="598"/>
      <c r="BI66" s="598"/>
      <c r="BJ66" s="598"/>
      <c r="BK66" s="605"/>
      <c r="BL66" s="658">
        <f t="shared" si="37"/>
        <v>16000</v>
      </c>
      <c r="BM66" s="3">
        <f t="shared" si="38"/>
        <v>33</v>
      </c>
      <c r="BN66" s="3">
        <f t="shared" si="39"/>
        <v>33</v>
      </c>
      <c r="BO66" s="3">
        <f t="shared" si="40"/>
        <v>34</v>
      </c>
    </row>
    <row r="67" spans="2:67">
      <c r="B67" s="1269" t="s">
        <v>2097</v>
      </c>
      <c r="C67" s="1264" t="s">
        <v>309</v>
      </c>
      <c r="D67" s="1264" t="s">
        <v>14</v>
      </c>
      <c r="E67" s="1266" t="s">
        <v>65</v>
      </c>
      <c r="F67" s="1270">
        <v>64</v>
      </c>
      <c r="G67" s="593">
        <v>7800</v>
      </c>
      <c r="H67" s="594">
        <v>5200</v>
      </c>
      <c r="I67" s="595">
        <v>13000</v>
      </c>
      <c r="J67" s="166">
        <f t="shared" si="7"/>
        <v>156</v>
      </c>
      <c r="K67" s="167">
        <f t="shared" si="8"/>
        <v>104</v>
      </c>
      <c r="L67" s="168">
        <f t="shared" si="9"/>
        <v>260</v>
      </c>
      <c r="M67" s="166">
        <f t="shared" si="10"/>
        <v>195</v>
      </c>
      <c r="N67" s="167">
        <f t="shared" si="11"/>
        <v>130</v>
      </c>
      <c r="O67" s="168">
        <f t="shared" si="12"/>
        <v>325</v>
      </c>
      <c r="P67" s="169">
        <f t="shared" si="13"/>
        <v>292</v>
      </c>
      <c r="Q67" s="169">
        <f t="shared" si="14"/>
        <v>195</v>
      </c>
      <c r="R67" s="169">
        <f t="shared" si="15"/>
        <v>487</v>
      </c>
      <c r="S67" s="584">
        <f t="shared" si="41"/>
        <v>1950</v>
      </c>
      <c r="T67" s="594">
        <f t="shared" si="42"/>
        <v>1300</v>
      </c>
      <c r="U67" s="595">
        <f t="shared" si="43"/>
        <v>3250</v>
      </c>
      <c r="V67" s="166">
        <f t="shared" si="44"/>
        <v>4446</v>
      </c>
      <c r="W67" s="167">
        <f t="shared" si="45"/>
        <v>2964</v>
      </c>
      <c r="X67" s="168">
        <f t="shared" si="46"/>
        <v>7410</v>
      </c>
      <c r="Y67" s="166">
        <f t="shared" si="47"/>
        <v>4738</v>
      </c>
      <c r="Z67" s="167">
        <f t="shared" si="48"/>
        <v>3549</v>
      </c>
      <c r="AA67" s="168">
        <f t="shared" si="49"/>
        <v>8384</v>
      </c>
      <c r="AB67" s="166">
        <f t="shared" si="50"/>
        <v>5614</v>
      </c>
      <c r="AC67" s="167">
        <f t="shared" si="51"/>
        <v>3744</v>
      </c>
      <c r="AD67" s="168">
        <f t="shared" si="52"/>
        <v>9845</v>
      </c>
      <c r="AE67" s="166">
        <f t="shared" si="53"/>
        <v>6782</v>
      </c>
      <c r="AF67" s="167">
        <f t="shared" si="54"/>
        <v>4134</v>
      </c>
      <c r="AG67" s="168">
        <f t="shared" si="55"/>
        <v>10819</v>
      </c>
      <c r="AH67" s="166">
        <f t="shared" si="31"/>
        <v>7366</v>
      </c>
      <c r="AI67" s="167">
        <f t="shared" si="56"/>
        <v>4914</v>
      </c>
      <c r="AJ67" s="168">
        <f t="shared" si="57"/>
        <v>11793</v>
      </c>
      <c r="AK67" s="169">
        <f t="shared" si="58"/>
        <v>7956</v>
      </c>
      <c r="AL67" s="167">
        <f t="shared" si="59"/>
        <v>5304</v>
      </c>
      <c r="AM67" s="585">
        <f t="shared" si="60"/>
        <v>13260</v>
      </c>
      <c r="AN67" s="596">
        <v>0.3</v>
      </c>
      <c r="AO67" s="597">
        <v>0.30499999999999999</v>
      </c>
      <c r="AP67" s="597">
        <v>0.31</v>
      </c>
      <c r="AQ67" s="598">
        <v>0.315</v>
      </c>
      <c r="AR67" s="599">
        <v>0.32</v>
      </c>
      <c r="AS67" s="586"/>
      <c r="AT67" s="587"/>
      <c r="AU67" s="587"/>
      <c r="AV67" s="588"/>
      <c r="AW67" s="589"/>
      <c r="AX67" s="596">
        <v>0.03</v>
      </c>
      <c r="AY67" s="598">
        <v>3.3000000000000002E-2</v>
      </c>
      <c r="AZ67" s="598">
        <v>3.5999999999999997E-2</v>
      </c>
      <c r="BA67" s="598">
        <v>3.9E-2</v>
      </c>
      <c r="BB67" s="598">
        <v>4.2000000000000003E-2</v>
      </c>
      <c r="BC67" s="590"/>
      <c r="BD67" s="631"/>
      <c r="BE67" s="596"/>
      <c r="BF67" s="598"/>
      <c r="BG67" s="598"/>
      <c r="BH67" s="598"/>
      <c r="BI67" s="598"/>
      <c r="BJ67" s="598"/>
      <c r="BK67" s="605"/>
      <c r="BL67" s="658">
        <f t="shared" si="37"/>
        <v>26000</v>
      </c>
      <c r="BM67" s="3">
        <f t="shared" si="38"/>
        <v>30</v>
      </c>
      <c r="BN67" s="3">
        <f t="shared" si="39"/>
        <v>20</v>
      </c>
      <c r="BO67" s="3">
        <f t="shared" si="40"/>
        <v>50</v>
      </c>
    </row>
    <row r="68" spans="2:67">
      <c r="B68" s="207" t="s">
        <v>500</v>
      </c>
      <c r="C68" s="889" t="s">
        <v>467</v>
      </c>
      <c r="D68" s="889" t="s">
        <v>14</v>
      </c>
      <c r="E68" s="237" t="s">
        <v>65</v>
      </c>
      <c r="F68" s="592">
        <v>65</v>
      </c>
      <c r="G68" s="593">
        <v>3104</v>
      </c>
      <c r="H68" s="594">
        <v>2587</v>
      </c>
      <c r="I68" s="595">
        <v>4657</v>
      </c>
      <c r="J68" s="166">
        <f t="shared" si="7"/>
        <v>62</v>
      </c>
      <c r="K68" s="167">
        <f t="shared" si="8"/>
        <v>51</v>
      </c>
      <c r="L68" s="168">
        <f t="shared" si="9"/>
        <v>93</v>
      </c>
      <c r="M68" s="166">
        <f t="shared" si="10"/>
        <v>116</v>
      </c>
      <c r="N68" s="167">
        <f t="shared" si="11"/>
        <v>97</v>
      </c>
      <c r="O68" s="168">
        <f t="shared" si="12"/>
        <v>174</v>
      </c>
      <c r="P68" s="169">
        <f t="shared" si="13"/>
        <v>155</v>
      </c>
      <c r="Q68" s="169">
        <f t="shared" si="14"/>
        <v>129</v>
      </c>
      <c r="R68" s="169">
        <f t="shared" si="15"/>
        <v>232</v>
      </c>
      <c r="S68" s="584">
        <f t="shared" si="41"/>
        <v>931</v>
      </c>
      <c r="T68" s="594">
        <f t="shared" si="42"/>
        <v>776</v>
      </c>
      <c r="U68" s="595">
        <f t="shared" si="43"/>
        <v>1397</v>
      </c>
      <c r="V68" s="166">
        <f t="shared" si="44"/>
        <v>1921</v>
      </c>
      <c r="W68" s="167">
        <f t="shared" si="45"/>
        <v>1603</v>
      </c>
      <c r="X68" s="168">
        <f t="shared" si="46"/>
        <v>2882</v>
      </c>
      <c r="Y68" s="166">
        <f t="shared" si="47"/>
        <v>2231</v>
      </c>
      <c r="Z68" s="167">
        <f t="shared" si="48"/>
        <v>1732</v>
      </c>
      <c r="AA68" s="168">
        <f t="shared" si="49"/>
        <v>3114</v>
      </c>
      <c r="AB68" s="166">
        <f t="shared" si="50"/>
        <v>2386</v>
      </c>
      <c r="AC68" s="167">
        <f t="shared" si="51"/>
        <v>1861</v>
      </c>
      <c r="AD68" s="168">
        <f t="shared" si="52"/>
        <v>3578</v>
      </c>
      <c r="AE68" s="166">
        <f t="shared" si="53"/>
        <v>2541</v>
      </c>
      <c r="AF68" s="167">
        <f t="shared" si="54"/>
        <v>2119</v>
      </c>
      <c r="AG68" s="168">
        <f t="shared" si="55"/>
        <v>4042</v>
      </c>
      <c r="AH68" s="166">
        <f t="shared" si="31"/>
        <v>2851</v>
      </c>
      <c r="AI68" s="167">
        <f t="shared" si="56"/>
        <v>2377</v>
      </c>
      <c r="AJ68" s="168">
        <f t="shared" si="57"/>
        <v>4506</v>
      </c>
      <c r="AK68" s="169">
        <f t="shared" si="58"/>
        <v>3166</v>
      </c>
      <c r="AL68" s="167">
        <f t="shared" si="59"/>
        <v>2638</v>
      </c>
      <c r="AM68" s="585">
        <f t="shared" si="60"/>
        <v>4750</v>
      </c>
      <c r="AN68" s="586">
        <v>100</v>
      </c>
      <c r="AO68" s="686">
        <v>150</v>
      </c>
      <c r="AP68" s="686">
        <v>200</v>
      </c>
      <c r="AQ68" s="587">
        <v>250</v>
      </c>
      <c r="AR68" s="687">
        <v>300</v>
      </c>
      <c r="AS68" s="586"/>
      <c r="AT68" s="587"/>
      <c r="AU68" s="587"/>
      <c r="AV68" s="588"/>
      <c r="AW68" s="589"/>
      <c r="AX68" s="596">
        <v>1.4999999999999999E-2</v>
      </c>
      <c r="AY68" s="598">
        <v>1.7999999999999999E-2</v>
      </c>
      <c r="AZ68" s="598">
        <v>2.1000000000000001E-2</v>
      </c>
      <c r="BA68" s="598">
        <v>2.4E-2</v>
      </c>
      <c r="BB68" s="598">
        <v>2.7E-2</v>
      </c>
      <c r="BC68" s="590"/>
      <c r="BD68" s="631"/>
      <c r="BE68" s="596"/>
      <c r="BF68" s="598"/>
      <c r="BG68" s="598"/>
      <c r="BH68" s="598"/>
      <c r="BI68" s="598"/>
      <c r="BJ68" s="598"/>
      <c r="BK68" s="605"/>
      <c r="BL68" s="658">
        <f t="shared" si="37"/>
        <v>10350</v>
      </c>
      <c r="BM68" s="3">
        <f t="shared" si="38"/>
        <v>30</v>
      </c>
      <c r="BN68" s="3">
        <f t="shared" si="39"/>
        <v>25</v>
      </c>
      <c r="BO68" s="3">
        <f t="shared" si="40"/>
        <v>45</v>
      </c>
    </row>
    <row r="69" spans="2:67">
      <c r="B69" s="207" t="s">
        <v>501</v>
      </c>
      <c r="C69" s="889" t="s">
        <v>467</v>
      </c>
      <c r="D69" s="889" t="s">
        <v>23</v>
      </c>
      <c r="E69" s="237" t="s">
        <v>65</v>
      </c>
      <c r="F69" s="592">
        <v>66</v>
      </c>
      <c r="G69" s="593">
        <v>3554</v>
      </c>
      <c r="H69" s="594">
        <v>4740</v>
      </c>
      <c r="I69" s="595">
        <v>3554</v>
      </c>
      <c r="J69" s="166">
        <f t="shared" si="7"/>
        <v>71</v>
      </c>
      <c r="K69" s="167">
        <f t="shared" si="8"/>
        <v>94</v>
      </c>
      <c r="L69" s="168">
        <f t="shared" si="9"/>
        <v>71</v>
      </c>
      <c r="M69" s="166">
        <f t="shared" si="10"/>
        <v>133</v>
      </c>
      <c r="N69" s="167">
        <f t="shared" si="11"/>
        <v>177</v>
      </c>
      <c r="O69" s="168">
        <f t="shared" si="12"/>
        <v>133</v>
      </c>
      <c r="P69" s="169">
        <f t="shared" si="13"/>
        <v>177</v>
      </c>
      <c r="Q69" s="169">
        <f t="shared" si="14"/>
        <v>237</v>
      </c>
      <c r="R69" s="169">
        <f t="shared" si="15"/>
        <v>177</v>
      </c>
      <c r="S69" s="584">
        <f t="shared" si="41"/>
        <v>1066</v>
      </c>
      <c r="T69" s="594">
        <f t="shared" si="42"/>
        <v>1422</v>
      </c>
      <c r="U69" s="595">
        <f t="shared" si="43"/>
        <v>1066</v>
      </c>
      <c r="V69" s="166">
        <f t="shared" si="44"/>
        <v>2201</v>
      </c>
      <c r="W69" s="167">
        <f t="shared" si="45"/>
        <v>2932</v>
      </c>
      <c r="X69" s="168">
        <f t="shared" si="46"/>
        <v>2201</v>
      </c>
      <c r="Y69" s="166">
        <f t="shared" si="47"/>
        <v>2378</v>
      </c>
      <c r="Z69" s="167">
        <f t="shared" si="48"/>
        <v>3169</v>
      </c>
      <c r="AA69" s="168">
        <f t="shared" si="49"/>
        <v>2555</v>
      </c>
      <c r="AB69" s="166">
        <f t="shared" si="50"/>
        <v>2555</v>
      </c>
      <c r="AC69" s="167">
        <f t="shared" si="51"/>
        <v>3643</v>
      </c>
      <c r="AD69" s="168">
        <f t="shared" si="52"/>
        <v>2732</v>
      </c>
      <c r="AE69" s="166">
        <f t="shared" si="53"/>
        <v>2909</v>
      </c>
      <c r="AF69" s="167">
        <f t="shared" si="54"/>
        <v>4117</v>
      </c>
      <c r="AG69" s="168">
        <f t="shared" si="55"/>
        <v>2909</v>
      </c>
      <c r="AH69" s="166">
        <f t="shared" si="31"/>
        <v>3263</v>
      </c>
      <c r="AI69" s="167">
        <f t="shared" si="56"/>
        <v>4591</v>
      </c>
      <c r="AJ69" s="168">
        <f t="shared" si="57"/>
        <v>3263</v>
      </c>
      <c r="AK69" s="169">
        <f t="shared" si="58"/>
        <v>3625</v>
      </c>
      <c r="AL69" s="167">
        <f t="shared" si="59"/>
        <v>4834</v>
      </c>
      <c r="AM69" s="585">
        <f t="shared" si="60"/>
        <v>3625</v>
      </c>
      <c r="AN69" s="586">
        <v>200</v>
      </c>
      <c r="AO69" s="686">
        <v>250</v>
      </c>
      <c r="AP69" s="686">
        <v>300</v>
      </c>
      <c r="AQ69" s="587">
        <v>350</v>
      </c>
      <c r="AR69" s="687">
        <v>400</v>
      </c>
      <c r="AS69" s="586"/>
      <c r="AT69" s="587"/>
      <c r="AU69" s="587"/>
      <c r="AV69" s="588"/>
      <c r="AW69" s="589"/>
      <c r="AX69" s="596">
        <v>1.4999999999999999E-2</v>
      </c>
      <c r="AY69" s="598">
        <v>1.7999999999999999E-2</v>
      </c>
      <c r="AZ69" s="598">
        <v>2.1000000000000001E-2</v>
      </c>
      <c r="BA69" s="598">
        <v>2.4E-2</v>
      </c>
      <c r="BB69" s="598">
        <v>2.7E-2</v>
      </c>
      <c r="BC69" s="590"/>
      <c r="BD69" s="631"/>
      <c r="BE69" s="596"/>
      <c r="BF69" s="598"/>
      <c r="BG69" s="598"/>
      <c r="BH69" s="598"/>
      <c r="BI69" s="598"/>
      <c r="BJ69" s="598"/>
      <c r="BK69" s="605"/>
      <c r="BL69" s="658">
        <f t="shared" si="37"/>
        <v>11850</v>
      </c>
      <c r="BM69" s="3">
        <f t="shared" si="38"/>
        <v>30</v>
      </c>
      <c r="BN69" s="3">
        <f t="shared" si="39"/>
        <v>40</v>
      </c>
      <c r="BO69" s="3">
        <f t="shared" si="40"/>
        <v>30</v>
      </c>
    </row>
    <row r="70" spans="2:67">
      <c r="B70" s="207" t="s">
        <v>395</v>
      </c>
      <c r="C70" s="882" t="s">
        <v>357</v>
      </c>
      <c r="D70" s="882" t="s">
        <v>356</v>
      </c>
      <c r="E70" s="237" t="s">
        <v>65</v>
      </c>
      <c r="F70" s="592">
        <v>67</v>
      </c>
      <c r="G70" s="593">
        <v>7680</v>
      </c>
      <c r="H70" s="594">
        <v>2720</v>
      </c>
      <c r="I70" s="595">
        <v>5600</v>
      </c>
      <c r="J70" s="166">
        <f t="shared" si="7"/>
        <v>153</v>
      </c>
      <c r="K70" s="167">
        <f t="shared" si="8"/>
        <v>54</v>
      </c>
      <c r="L70" s="168">
        <f t="shared" si="9"/>
        <v>112</v>
      </c>
      <c r="M70" s="166">
        <f t="shared" si="10"/>
        <v>230</v>
      </c>
      <c r="N70" s="167">
        <f t="shared" si="11"/>
        <v>81</v>
      </c>
      <c r="O70" s="168">
        <f t="shared" si="12"/>
        <v>168</v>
      </c>
      <c r="P70" s="169">
        <f t="shared" si="13"/>
        <v>307</v>
      </c>
      <c r="Q70" s="169">
        <f t="shared" si="14"/>
        <v>108</v>
      </c>
      <c r="R70" s="169">
        <f t="shared" si="15"/>
        <v>224</v>
      </c>
      <c r="S70" s="584">
        <f t="shared" si="41"/>
        <v>2304</v>
      </c>
      <c r="T70" s="594">
        <f t="shared" si="42"/>
        <v>816</v>
      </c>
      <c r="U70" s="595">
        <f t="shared" si="43"/>
        <v>1680</v>
      </c>
      <c r="V70" s="166">
        <f t="shared" si="44"/>
        <v>4757</v>
      </c>
      <c r="W70" s="167">
        <f t="shared" si="45"/>
        <v>1680</v>
      </c>
      <c r="X70" s="168">
        <f t="shared" si="46"/>
        <v>3472</v>
      </c>
      <c r="Y70" s="166">
        <f t="shared" si="47"/>
        <v>5371</v>
      </c>
      <c r="Z70" s="167">
        <f t="shared" si="48"/>
        <v>1896</v>
      </c>
      <c r="AA70" s="168">
        <f t="shared" si="49"/>
        <v>3920</v>
      </c>
      <c r="AB70" s="166">
        <f t="shared" si="50"/>
        <v>5985</v>
      </c>
      <c r="AC70" s="167">
        <f t="shared" si="51"/>
        <v>2112</v>
      </c>
      <c r="AD70" s="168">
        <f t="shared" si="52"/>
        <v>4368</v>
      </c>
      <c r="AE70" s="166">
        <f t="shared" si="53"/>
        <v>6599</v>
      </c>
      <c r="AF70" s="167">
        <f t="shared" si="54"/>
        <v>2220</v>
      </c>
      <c r="AG70" s="168">
        <f t="shared" si="55"/>
        <v>4816</v>
      </c>
      <c r="AH70" s="166">
        <f t="shared" si="31"/>
        <v>6906</v>
      </c>
      <c r="AI70" s="167">
        <f t="shared" si="56"/>
        <v>2436</v>
      </c>
      <c r="AJ70" s="168">
        <f t="shared" si="57"/>
        <v>5488</v>
      </c>
      <c r="AK70" s="169">
        <f t="shared" si="58"/>
        <v>7833</v>
      </c>
      <c r="AL70" s="167">
        <f t="shared" si="59"/>
        <v>2774</v>
      </c>
      <c r="AM70" s="585">
        <f t="shared" si="60"/>
        <v>5712</v>
      </c>
      <c r="AN70" s="596">
        <v>3.2000000000000001E-2</v>
      </c>
      <c r="AO70" s="597">
        <v>3.4000000000000002E-2</v>
      </c>
      <c r="AP70" s="597">
        <v>3.5999999999999997E-2</v>
      </c>
      <c r="AQ70" s="598">
        <v>3.7999999999999999E-2</v>
      </c>
      <c r="AR70" s="599">
        <v>0.04</v>
      </c>
      <c r="AS70" s="586"/>
      <c r="AT70" s="587"/>
      <c r="AU70" s="587"/>
      <c r="AV70" s="588"/>
      <c r="AW70" s="589"/>
      <c r="AX70" s="596">
        <v>0.03</v>
      </c>
      <c r="AY70" s="598">
        <v>3.5000000000000003E-2</v>
      </c>
      <c r="AZ70" s="598">
        <v>0.04</v>
      </c>
      <c r="BA70" s="598">
        <v>4.4999999999999998E-2</v>
      </c>
      <c r="BB70" s="598">
        <v>0.05</v>
      </c>
      <c r="BC70" s="590"/>
      <c r="BD70" s="631"/>
      <c r="BE70" s="596"/>
      <c r="BF70" s="598"/>
      <c r="BG70" s="598"/>
      <c r="BH70" s="598"/>
      <c r="BI70" s="598"/>
      <c r="BJ70" s="598"/>
      <c r="BK70" s="605"/>
      <c r="BL70" s="658">
        <f t="shared" si="37"/>
        <v>16000</v>
      </c>
      <c r="BM70" s="3">
        <f t="shared" si="38"/>
        <v>48</v>
      </c>
      <c r="BN70" s="3">
        <f t="shared" si="39"/>
        <v>17</v>
      </c>
      <c r="BO70" s="3">
        <f t="shared" si="40"/>
        <v>35</v>
      </c>
    </row>
    <row r="71" spans="2:67">
      <c r="B71" s="1269" t="s">
        <v>2098</v>
      </c>
      <c r="C71" s="1264" t="s">
        <v>309</v>
      </c>
      <c r="D71" s="1264" t="s">
        <v>13</v>
      </c>
      <c r="E71" s="1266" t="s">
        <v>65</v>
      </c>
      <c r="F71" s="1270">
        <v>68</v>
      </c>
      <c r="G71" s="593">
        <v>8580</v>
      </c>
      <c r="H71" s="594">
        <v>8580</v>
      </c>
      <c r="I71" s="595">
        <v>8840</v>
      </c>
      <c r="J71" s="166">
        <f t="shared" ref="J71:J134" si="61">INT(G71/50+0.05)</f>
        <v>171</v>
      </c>
      <c r="K71" s="167">
        <f t="shared" ref="K71:K134" si="62">INT(H71/50+0.05)</f>
        <v>171</v>
      </c>
      <c r="L71" s="168">
        <f t="shared" ref="L71:L134" si="63">INT(I71/50+0.05)</f>
        <v>176</v>
      </c>
      <c r="M71" s="166">
        <f t="shared" ref="M71:M134" si="64">INT(IF($C71="UR",IF($E71="party卡",G71*0.0270833333333333,G71*0.025),0)+IF($C71="SR",G71*0.03,0)+IF($C71="R",G71*0.0375,0)+0.05)</f>
        <v>214</v>
      </c>
      <c r="N71" s="167">
        <f t="shared" ref="N71:N134" si="65">INT(IF($C71="UR",IF($E71="party卡",H71*0.0270833333333333,H71*0.025),0)+IF($C71="SR",H71*0.03,0)+IF($C71="R",H71*0.0375,0)+0.05)</f>
        <v>214</v>
      </c>
      <c r="O71" s="168">
        <f t="shared" ref="O71:O134" si="66">INT(IF($C71="UR",IF($E71="party卡",I71*0.0270833333333333,I71*0.025),0)+IF($C71="SR",I71*0.03,0)+IF($C71="R",I71*0.0375,0)+0.05)</f>
        <v>221</v>
      </c>
      <c r="P71" s="169">
        <f t="shared" ref="P71:P134" si="67">INT(IF($C71="UR",IF($E71="party卡",G71*0.04375,G71*0.0375),0)+IF($C71="SR",G71*0.04,0)+IF($C71="R",G71*0.05,0)+0.05)</f>
        <v>321</v>
      </c>
      <c r="Q71" s="169">
        <f t="shared" ref="Q71:Q134" si="68">INT(IF($C71="UR",IF($E71="party卡",H71*0.04375,H71*0.0375),0)+IF($C71="SR",H71*0.04,0)+IF($C71="R",H71*0.05,0)+0.05)</f>
        <v>321</v>
      </c>
      <c r="R71" s="169">
        <f t="shared" ref="R71:R134" si="69">INT(IF($C71="UR",IF($E71="party卡",I71*0.04375,I71*0.0375),0)+IF($C71="SR",I71*0.04,0)+IF($C71="R",I71*0.05,0)+0.05)</f>
        <v>331</v>
      </c>
      <c r="S71" s="584">
        <f t="shared" ref="S71:S102" si="70">ROUND(IF($C71="UR",G71*0.25,G71*0.3),0)</f>
        <v>2145</v>
      </c>
      <c r="T71" s="594">
        <f t="shared" ref="T71:T102" si="71">ROUND(IF($C71="UR",H71*0.25,H71*0.3),0)</f>
        <v>2145</v>
      </c>
      <c r="U71" s="595">
        <f t="shared" ref="U71:U102" si="72">ROUND(IF($C71="UR",I71*0.25,I71*0.3),0)</f>
        <v>2210</v>
      </c>
      <c r="V71" s="166">
        <f t="shared" ref="V71:V102" si="73">(IF($C71="UR",IF($E71="party卡",18,12))+IF($C71="SR",10)+IF($C71="R",8))*M71+J71+S71</f>
        <v>4884</v>
      </c>
      <c r="W71" s="167">
        <f t="shared" ref="W71:W102" si="74">(IF($C71="UR",IF($E71="party卡",18,12))+IF($C71="SR",10)+IF($C71="R",8))*N71+K71+T71</f>
        <v>4884</v>
      </c>
      <c r="X71" s="168">
        <f t="shared" ref="X71:X102" si="75">(IF($C71="UR",IF($E71="party卡",18,12))+IF($C71="SR",10)+IF($C71="R",8))*O71+L71+U71</f>
        <v>5038</v>
      </c>
      <c r="Y71" s="166">
        <f t="shared" ref="Y71:Y102" si="76">V71+(IF(C71="UR",IF(E71="party卡",IF(D71="gd",1,2),IF(D71="vo",2)+IF(D71="sp",1)+IF(D71="gd",3)+IF(D71="sk",1)))+IF(C71="SR",2)+IF(C71="R",IF(D71="vo",1)+IF(D71="sp",2)+IF(D71="gd",1)+IF(D71="sk",2)))*P71</f>
        <v>5526</v>
      </c>
      <c r="Z71" s="167">
        <f t="shared" ref="Z71:Z102" si="77">W71+(IF(C71="UR",IF(E71="party卡",IF(D71="sp",1,2),IF(D71="vo",1)+IF(D71="sp",3)+IF(D71="gd",2)+IF(D71="sk",2)))+IF(C71="SR",2)+IF(C71="R",IF(D71="vo",2)+IF(D71="sp",1)+IF(D71="gd",1)+IF(D71="sk",1)))*Q71</f>
        <v>5205</v>
      </c>
      <c r="AA71" s="168">
        <f t="shared" ref="AA71:AA102" si="78">X71+(IF(C71="UR",IF(E71="party卡",IF(OR(D71="vo",D71="sk"),1,2),IF(D71="vo",3)+IF(D71="sp",2)+IF(D71="gd",1)+IF(D71="sk",3)))+IF(C71="SR",2)+IF(C71="R",IF(D71="vo",1)+IF(D71="sp",1)+IF(D71="gd",2)+IF(D71="sk",1)))*R71</f>
        <v>6031</v>
      </c>
      <c r="AB71" s="166">
        <f t="shared" ref="AB71:AB102" si="79">V71+(IF(C71="UR",IF(E71="party卡",IF(OR(D71="sp",D71="sk"),3,2),IF(D71="vo",5)+IF(D71="sp",4)+IF(D71="gd",4)+IF(D71="sk",4)))+IF(C71="SR",4)+IF(C71="R",IF(D71="vo",3)+IF(D71="sp",3)+IF(D71="gd",2)+IF(D71="sk",3)))*P71</f>
        <v>6489</v>
      </c>
      <c r="AC71" s="167">
        <f t="shared" ref="AC71:AC102" si="80">W71+(IF(C71="UR",IF(E71="party卡",IF(D71="vo",3,2),IF(D71="vo",4)+IF(D71="sp",4)+IF(D71="gd",5)+IF(D71="sk",5)))+IF(C71="SR",4)+IF(C71="R",IF(D71="vo",3)+IF(D71="sp",2)+IF(D71="gd",3)+IF(D71="sk",3)))*Q71</f>
        <v>6168</v>
      </c>
      <c r="AD71" s="168">
        <f t="shared" ref="AD71:AD102" si="81">X71+(IF(C71="UR",IF(E71="party卡",IF(D71="gd",3,2),IF(D71="vo",4)+IF(D71="sp",5)+IF(D71="gd",4)+IF(D71="sk",4)))+IF(C71="SR",4)+IF(C71="R",IF(D71="vo",2)+IF(D71="sp",3)+IF(D71="gd",3)+IF(D71="sk",2)))*R71</f>
        <v>6362</v>
      </c>
      <c r="AE71" s="166">
        <f t="shared" ref="AE71:AE102" si="82">V71+(IF(C71="UR",IF(E71="party卡",3,IF(D71="vo",7)+IF(D71="sp",8)+IF(D71="gd",6)+IF(D71="sk",8)))+IF(C71="SR",IF(D71="vo",5)+IF(D71="sp",6)+IF(D71="gd",6)+IF(D71="sk",6))+IF(C71="R",IF(D71="vo",5)+IF(D71="sp",4)+IF(D71="gd",4)+IF(D71="sk",4)))*P71</f>
        <v>7131</v>
      </c>
      <c r="AF71" s="167">
        <f t="shared" ref="AF71:AF102" si="83">W71+(IF(C71="UR",IF(E71="party卡",3,IF(D71="vo",8)+IF(D71="sp",6)+IF(D71="gd",7)+IF(D71="sk",7)))+IF(C71="SR",IF(D71="vo",6)+IF(D71="sp",6)+IF(D71="gd",5)+IF(D71="sk",5))+IF(C71="R",IF(D71="vo",4)+IF(D71="sp",4)+IF(D71="gd",5)+IF(D71="sk",5)))*Q71</f>
        <v>7452</v>
      </c>
      <c r="AG71" s="168">
        <f t="shared" ref="AG71:AG102" si="84">X71+(IF(C71="UR",IF(E71="party卡",3,IF(D71="vo",6)+IF(D71="sp",7)+IF(D71="gd",8)+IF(D71="sk",6)))+IF(C71="SR",IF(D71="vo",6)+IF(D71="sp",5)+IF(D71="gd",6)+IF(D71="sk",6))+IF(C71="R",IF(D71="vo",4)+IF(D71="sp",5)+IF(D71="gd",4)+IF(D71="sk",4)))*R71</f>
        <v>7024</v>
      </c>
      <c r="AH71" s="166">
        <f t="shared" ref="AH71:AH134" si="85">V71+(IF(C71="UR",IF(E71="party卡",4,IF(D71="vo",9)+IF(D71="sp",10)+IF(D71="gd",10)+IF(D71="sk",10)))+IF(C71="SR",IF(D71="vo",7)+IF(D71="sp",7)+IF(D71="gd",9)+IF(D71="sk",7))+IF(C71="R",IF(D71="vo",7)+IF(D71="sp",6)+IF(D71="gd",6)+IF(D71="sk",6)))*P71</f>
        <v>7773</v>
      </c>
      <c r="AI71" s="167">
        <f t="shared" ref="AI71:AI102" si="86">W71+(IF(C71="UR",IF(E71="party卡",4,IF(D71="vo",10)+IF(D71="sp",10)+IF(D71="gd",9)+IF(D71="sk",9)))+IF(C71="SR",IF(D71="vo",7)+IF(D71="sp",9)+IF(D71="gd",7)+IF(D71="sk",7))+IF(C71="R",IF(D71="vo",6)+IF(D71="sp",6)+IF(D71="gd",7)+IF(D71="sk",7)))*Q71</f>
        <v>8094</v>
      </c>
      <c r="AJ71" s="168">
        <f t="shared" ref="AJ71:AJ102" si="87">X71+(IF(C71="UR",IF(E71="party卡",4,IF(D71="vo",10)+IF(D71="sp",9)+IF(D71="gd",10)+IF(D71="sk",10)))+IF(C71="SR",IF(D71="vo",9)+IF(D71="sp",7)+IF(D71="gd",7)+IF(D71="sk",9))+IF(C71="R",IF(D71="vo",6)+IF(D71="sp",7)+IF(D71="gd",6)+IF(D71="sk",6)))*R71</f>
        <v>8348</v>
      </c>
      <c r="AK71" s="169">
        <f t="shared" ref="AK71:AK102" si="88">G71+J71</f>
        <v>8751</v>
      </c>
      <c r="AL71" s="167">
        <f t="shared" ref="AL71:AL102" si="89">H71+K71</f>
        <v>8751</v>
      </c>
      <c r="AM71" s="585">
        <f t="shared" ref="AM71:AM102" si="90">I71+L71</f>
        <v>9016</v>
      </c>
      <c r="AN71" s="596">
        <v>0.25</v>
      </c>
      <c r="AO71" s="597">
        <v>0.28000000000000003</v>
      </c>
      <c r="AP71" s="597">
        <v>0.31</v>
      </c>
      <c r="AQ71" s="598">
        <v>0.34</v>
      </c>
      <c r="AR71" s="599">
        <v>0.37</v>
      </c>
      <c r="AS71" s="586"/>
      <c r="AT71" s="587"/>
      <c r="AU71" s="587"/>
      <c r="AV71" s="588"/>
      <c r="AW71" s="589"/>
      <c r="AX71" s="596">
        <v>0.04</v>
      </c>
      <c r="AY71" s="598">
        <v>4.2999999999999997E-2</v>
      </c>
      <c r="AZ71" s="598">
        <v>4.5999999999999999E-2</v>
      </c>
      <c r="BA71" s="598">
        <v>4.9000000000000002E-2</v>
      </c>
      <c r="BB71" s="598">
        <v>5.1999999999999998E-2</v>
      </c>
      <c r="BC71" s="590"/>
      <c r="BD71" s="631"/>
      <c r="BE71" s="596"/>
      <c r="BF71" s="598"/>
      <c r="BG71" s="598"/>
      <c r="BH71" s="598"/>
      <c r="BI71" s="598"/>
      <c r="BJ71" s="598"/>
      <c r="BK71" s="605"/>
      <c r="BL71" s="658">
        <f t="shared" ref="BL71:BL134" si="91">ROUND(($G71+$H71+$I71)/50,0)*50</f>
        <v>26000</v>
      </c>
      <c r="BM71" s="3">
        <f t="shared" ref="BM71:BM134" si="92">ROUND(100*G71/($G71+$H71+$I71),0)</f>
        <v>33</v>
      </c>
      <c r="BN71" s="3">
        <f t="shared" ref="BN71:BN134" si="93">ROUND(100*H71/($G71+$H71+$I71),0)</f>
        <v>33</v>
      </c>
      <c r="BO71" s="3">
        <f t="shared" ref="BO71:BO134" si="94">ROUND(100*I71/($G71+$H71+$I71),0)</f>
        <v>34</v>
      </c>
    </row>
    <row r="72" spans="2:67">
      <c r="B72" s="207" t="s">
        <v>502</v>
      </c>
      <c r="C72" s="889" t="s">
        <v>467</v>
      </c>
      <c r="D72" s="889" t="s">
        <v>23</v>
      </c>
      <c r="E72" s="237" t="s">
        <v>65</v>
      </c>
      <c r="F72" s="592">
        <v>69</v>
      </c>
      <c r="G72" s="593">
        <v>3104</v>
      </c>
      <c r="H72" s="594">
        <v>3621</v>
      </c>
      <c r="I72" s="595">
        <v>3621</v>
      </c>
      <c r="J72" s="166">
        <f t="shared" si="61"/>
        <v>62</v>
      </c>
      <c r="K72" s="167">
        <f t="shared" si="62"/>
        <v>72</v>
      </c>
      <c r="L72" s="168">
        <f t="shared" si="63"/>
        <v>72</v>
      </c>
      <c r="M72" s="166">
        <f t="shared" si="64"/>
        <v>116</v>
      </c>
      <c r="N72" s="167">
        <f t="shared" si="65"/>
        <v>135</v>
      </c>
      <c r="O72" s="168">
        <f t="shared" si="66"/>
        <v>135</v>
      </c>
      <c r="P72" s="169">
        <f t="shared" si="67"/>
        <v>155</v>
      </c>
      <c r="Q72" s="169">
        <f t="shared" si="68"/>
        <v>181</v>
      </c>
      <c r="R72" s="169">
        <f t="shared" si="69"/>
        <v>181</v>
      </c>
      <c r="S72" s="584">
        <f t="shared" si="70"/>
        <v>931</v>
      </c>
      <c r="T72" s="594">
        <f t="shared" si="71"/>
        <v>1086</v>
      </c>
      <c r="U72" s="595">
        <f t="shared" si="72"/>
        <v>1086</v>
      </c>
      <c r="V72" s="166">
        <f t="shared" si="73"/>
        <v>1921</v>
      </c>
      <c r="W72" s="167">
        <f t="shared" si="74"/>
        <v>2238</v>
      </c>
      <c r="X72" s="168">
        <f t="shared" si="75"/>
        <v>2238</v>
      </c>
      <c r="Y72" s="166">
        <f t="shared" si="76"/>
        <v>2076</v>
      </c>
      <c r="Z72" s="167">
        <f t="shared" si="77"/>
        <v>2419</v>
      </c>
      <c r="AA72" s="168">
        <f t="shared" si="78"/>
        <v>2600</v>
      </c>
      <c r="AB72" s="166">
        <f t="shared" si="79"/>
        <v>2231</v>
      </c>
      <c r="AC72" s="167">
        <f t="shared" si="80"/>
        <v>2781</v>
      </c>
      <c r="AD72" s="168">
        <f t="shared" si="81"/>
        <v>2781</v>
      </c>
      <c r="AE72" s="166">
        <f t="shared" si="82"/>
        <v>2541</v>
      </c>
      <c r="AF72" s="167">
        <f t="shared" si="83"/>
        <v>3143</v>
      </c>
      <c r="AG72" s="168">
        <f t="shared" si="84"/>
        <v>2962</v>
      </c>
      <c r="AH72" s="166">
        <f t="shared" si="85"/>
        <v>2851</v>
      </c>
      <c r="AI72" s="167">
        <f t="shared" si="86"/>
        <v>3505</v>
      </c>
      <c r="AJ72" s="168">
        <f t="shared" si="87"/>
        <v>3324</v>
      </c>
      <c r="AK72" s="169">
        <f t="shared" si="88"/>
        <v>3166</v>
      </c>
      <c r="AL72" s="167">
        <f t="shared" si="89"/>
        <v>3693</v>
      </c>
      <c r="AM72" s="585">
        <f t="shared" si="90"/>
        <v>3693</v>
      </c>
      <c r="AN72" s="586">
        <v>150</v>
      </c>
      <c r="AO72" s="686">
        <v>200</v>
      </c>
      <c r="AP72" s="686">
        <v>250</v>
      </c>
      <c r="AQ72" s="587">
        <v>300</v>
      </c>
      <c r="AR72" s="687">
        <v>350</v>
      </c>
      <c r="AS72" s="586"/>
      <c r="AT72" s="587"/>
      <c r="AU72" s="587"/>
      <c r="AV72" s="588"/>
      <c r="AW72" s="589"/>
      <c r="AX72" s="596">
        <v>0.01</v>
      </c>
      <c r="AY72" s="598">
        <v>1.2999999999999999E-2</v>
      </c>
      <c r="AZ72" s="598">
        <v>1.6E-2</v>
      </c>
      <c r="BA72" s="598">
        <v>1.9E-2</v>
      </c>
      <c r="BB72" s="598">
        <v>2.1999999999999999E-2</v>
      </c>
      <c r="BC72" s="590"/>
      <c r="BD72" s="631"/>
      <c r="BE72" s="596"/>
      <c r="BF72" s="598"/>
      <c r="BG72" s="598"/>
      <c r="BH72" s="598"/>
      <c r="BI72" s="598"/>
      <c r="BJ72" s="598"/>
      <c r="BK72" s="605"/>
      <c r="BL72" s="658">
        <f t="shared" si="91"/>
        <v>10350</v>
      </c>
      <c r="BM72" s="3">
        <f t="shared" si="92"/>
        <v>30</v>
      </c>
      <c r="BN72" s="3">
        <f t="shared" si="93"/>
        <v>35</v>
      </c>
      <c r="BO72" s="3">
        <f t="shared" si="94"/>
        <v>35</v>
      </c>
    </row>
    <row r="73" spans="2:67">
      <c r="B73" s="207" t="s">
        <v>503</v>
      </c>
      <c r="C73" s="889" t="s">
        <v>467</v>
      </c>
      <c r="D73" s="889" t="s">
        <v>14</v>
      </c>
      <c r="E73" s="237" t="s">
        <v>65</v>
      </c>
      <c r="F73" s="592">
        <v>70</v>
      </c>
      <c r="G73" s="593">
        <v>4740</v>
      </c>
      <c r="H73" s="594">
        <v>3554</v>
      </c>
      <c r="I73" s="595">
        <v>3554</v>
      </c>
      <c r="J73" s="166">
        <f t="shared" si="61"/>
        <v>94</v>
      </c>
      <c r="K73" s="167">
        <f t="shared" si="62"/>
        <v>71</v>
      </c>
      <c r="L73" s="168">
        <f t="shared" si="63"/>
        <v>71</v>
      </c>
      <c r="M73" s="166">
        <f t="shared" si="64"/>
        <v>177</v>
      </c>
      <c r="N73" s="167">
        <f t="shared" si="65"/>
        <v>133</v>
      </c>
      <c r="O73" s="168">
        <f t="shared" si="66"/>
        <v>133</v>
      </c>
      <c r="P73" s="169">
        <f t="shared" si="67"/>
        <v>237</v>
      </c>
      <c r="Q73" s="169">
        <f t="shared" si="68"/>
        <v>177</v>
      </c>
      <c r="R73" s="169">
        <f t="shared" si="69"/>
        <v>177</v>
      </c>
      <c r="S73" s="584">
        <f t="shared" si="70"/>
        <v>1422</v>
      </c>
      <c r="T73" s="594">
        <f t="shared" si="71"/>
        <v>1066</v>
      </c>
      <c r="U73" s="595">
        <f t="shared" si="72"/>
        <v>1066</v>
      </c>
      <c r="V73" s="166">
        <f t="shared" si="73"/>
        <v>2932</v>
      </c>
      <c r="W73" s="167">
        <f t="shared" si="74"/>
        <v>2201</v>
      </c>
      <c r="X73" s="168">
        <f t="shared" si="75"/>
        <v>2201</v>
      </c>
      <c r="Y73" s="166">
        <f t="shared" si="76"/>
        <v>3406</v>
      </c>
      <c r="Z73" s="167">
        <f t="shared" si="77"/>
        <v>2378</v>
      </c>
      <c r="AA73" s="168">
        <f t="shared" si="78"/>
        <v>2378</v>
      </c>
      <c r="AB73" s="166">
        <f t="shared" si="79"/>
        <v>3643</v>
      </c>
      <c r="AC73" s="167">
        <f t="shared" si="80"/>
        <v>2555</v>
      </c>
      <c r="AD73" s="168">
        <f t="shared" si="81"/>
        <v>2732</v>
      </c>
      <c r="AE73" s="166">
        <f t="shared" si="82"/>
        <v>3880</v>
      </c>
      <c r="AF73" s="167">
        <f t="shared" si="83"/>
        <v>2909</v>
      </c>
      <c r="AG73" s="168">
        <f t="shared" si="84"/>
        <v>3086</v>
      </c>
      <c r="AH73" s="166">
        <f t="shared" si="85"/>
        <v>4354</v>
      </c>
      <c r="AI73" s="167">
        <f t="shared" si="86"/>
        <v>3263</v>
      </c>
      <c r="AJ73" s="168">
        <f t="shared" si="87"/>
        <v>3440</v>
      </c>
      <c r="AK73" s="169">
        <f t="shared" si="88"/>
        <v>4834</v>
      </c>
      <c r="AL73" s="167">
        <f t="shared" si="89"/>
        <v>3625</v>
      </c>
      <c r="AM73" s="585">
        <f t="shared" si="90"/>
        <v>3625</v>
      </c>
      <c r="AN73" s="586">
        <v>110</v>
      </c>
      <c r="AO73" s="686">
        <v>120</v>
      </c>
      <c r="AP73" s="686">
        <v>130</v>
      </c>
      <c r="AQ73" s="587">
        <v>140</v>
      </c>
      <c r="AR73" s="687">
        <v>150</v>
      </c>
      <c r="AS73" s="586"/>
      <c r="AT73" s="587"/>
      <c r="AU73" s="587"/>
      <c r="AV73" s="588"/>
      <c r="AW73" s="589"/>
      <c r="AX73" s="596">
        <v>1.4999999999999999E-2</v>
      </c>
      <c r="AY73" s="598">
        <v>1.7999999999999999E-2</v>
      </c>
      <c r="AZ73" s="598">
        <v>2.1000000000000001E-2</v>
      </c>
      <c r="BA73" s="598">
        <v>2.4E-2</v>
      </c>
      <c r="BB73" s="598">
        <v>2.7E-2</v>
      </c>
      <c r="BC73" s="590"/>
      <c r="BD73" s="631"/>
      <c r="BE73" s="596"/>
      <c r="BF73" s="598"/>
      <c r="BG73" s="598"/>
      <c r="BH73" s="598"/>
      <c r="BI73" s="598"/>
      <c r="BJ73" s="598"/>
      <c r="BK73" s="605"/>
      <c r="BL73" s="658">
        <f t="shared" si="91"/>
        <v>11850</v>
      </c>
      <c r="BM73" s="3">
        <f t="shared" si="92"/>
        <v>40</v>
      </c>
      <c r="BN73" s="3">
        <f t="shared" si="93"/>
        <v>30</v>
      </c>
      <c r="BO73" s="3">
        <f t="shared" si="94"/>
        <v>30</v>
      </c>
    </row>
    <row r="74" spans="2:67">
      <c r="B74" s="207" t="s">
        <v>396</v>
      </c>
      <c r="C74" s="889" t="s">
        <v>357</v>
      </c>
      <c r="D74" s="889" t="s">
        <v>358</v>
      </c>
      <c r="E74" s="237" t="s">
        <v>65</v>
      </c>
      <c r="F74" s="592">
        <v>71</v>
      </c>
      <c r="G74" s="593">
        <v>4800</v>
      </c>
      <c r="H74" s="594">
        <v>4800</v>
      </c>
      <c r="I74" s="595">
        <v>6400</v>
      </c>
      <c r="J74" s="166">
        <f t="shared" si="61"/>
        <v>96</v>
      </c>
      <c r="K74" s="167">
        <f t="shared" si="62"/>
        <v>96</v>
      </c>
      <c r="L74" s="168">
        <f t="shared" si="63"/>
        <v>128</v>
      </c>
      <c r="M74" s="166">
        <f t="shared" si="64"/>
        <v>144</v>
      </c>
      <c r="N74" s="167">
        <f t="shared" si="65"/>
        <v>144</v>
      </c>
      <c r="O74" s="168">
        <f t="shared" si="66"/>
        <v>192</v>
      </c>
      <c r="P74" s="169">
        <f t="shared" si="67"/>
        <v>192</v>
      </c>
      <c r="Q74" s="169">
        <f t="shared" si="68"/>
        <v>192</v>
      </c>
      <c r="R74" s="169">
        <f t="shared" si="69"/>
        <v>256</v>
      </c>
      <c r="S74" s="584">
        <f t="shared" si="70"/>
        <v>1440</v>
      </c>
      <c r="T74" s="594">
        <f t="shared" si="71"/>
        <v>1440</v>
      </c>
      <c r="U74" s="595">
        <f t="shared" si="72"/>
        <v>1920</v>
      </c>
      <c r="V74" s="166">
        <f t="shared" si="73"/>
        <v>2976</v>
      </c>
      <c r="W74" s="167">
        <f t="shared" si="74"/>
        <v>2976</v>
      </c>
      <c r="X74" s="168">
        <f t="shared" si="75"/>
        <v>3968</v>
      </c>
      <c r="Y74" s="166">
        <f t="shared" si="76"/>
        <v>3360</v>
      </c>
      <c r="Z74" s="167">
        <f t="shared" si="77"/>
        <v>3360</v>
      </c>
      <c r="AA74" s="168">
        <f t="shared" si="78"/>
        <v>4480</v>
      </c>
      <c r="AB74" s="166">
        <f t="shared" si="79"/>
        <v>3744</v>
      </c>
      <c r="AC74" s="167">
        <f t="shared" si="80"/>
        <v>3744</v>
      </c>
      <c r="AD74" s="168">
        <f t="shared" si="81"/>
        <v>4992</v>
      </c>
      <c r="AE74" s="166">
        <f t="shared" si="82"/>
        <v>3936</v>
      </c>
      <c r="AF74" s="167">
        <f t="shared" si="83"/>
        <v>4128</v>
      </c>
      <c r="AG74" s="168">
        <f t="shared" si="84"/>
        <v>5504</v>
      </c>
      <c r="AH74" s="166">
        <f t="shared" si="85"/>
        <v>4320</v>
      </c>
      <c r="AI74" s="167">
        <f t="shared" si="86"/>
        <v>4320</v>
      </c>
      <c r="AJ74" s="168">
        <f t="shared" si="87"/>
        <v>6272</v>
      </c>
      <c r="AK74" s="169">
        <f t="shared" si="88"/>
        <v>4896</v>
      </c>
      <c r="AL74" s="167">
        <f t="shared" si="89"/>
        <v>4896</v>
      </c>
      <c r="AM74" s="585">
        <f t="shared" si="90"/>
        <v>6528</v>
      </c>
      <c r="AN74" s="596">
        <v>0.25</v>
      </c>
      <c r="AO74" s="597">
        <v>0.28000000000000003</v>
      </c>
      <c r="AP74" s="597">
        <v>0.31</v>
      </c>
      <c r="AQ74" s="598">
        <v>0.34</v>
      </c>
      <c r="AR74" s="599">
        <v>0.37</v>
      </c>
      <c r="AS74" s="586"/>
      <c r="AT74" s="587"/>
      <c r="AU74" s="587"/>
      <c r="AV74" s="588"/>
      <c r="AW74" s="589"/>
      <c r="AX74" s="596">
        <v>2.5000000000000001E-2</v>
      </c>
      <c r="AY74" s="598">
        <v>2.8000000000000001E-2</v>
      </c>
      <c r="AZ74" s="598">
        <v>3.1E-2</v>
      </c>
      <c r="BA74" s="598">
        <v>3.4000000000000002E-2</v>
      </c>
      <c r="BB74" s="598">
        <v>3.6999999999999998E-2</v>
      </c>
      <c r="BC74" s="590"/>
      <c r="BD74" s="631"/>
      <c r="BE74" s="596"/>
      <c r="BF74" s="598"/>
      <c r="BG74" s="598"/>
      <c r="BH74" s="598"/>
      <c r="BI74" s="598"/>
      <c r="BJ74" s="598"/>
      <c r="BK74" s="605"/>
      <c r="BL74" s="658">
        <f t="shared" si="91"/>
        <v>16000</v>
      </c>
      <c r="BM74" s="3">
        <f t="shared" si="92"/>
        <v>30</v>
      </c>
      <c r="BN74" s="3">
        <f t="shared" si="93"/>
        <v>30</v>
      </c>
      <c r="BO74" s="3">
        <f t="shared" si="94"/>
        <v>40</v>
      </c>
    </row>
    <row r="75" spans="2:67">
      <c r="B75" s="1269" t="s">
        <v>2099</v>
      </c>
      <c r="C75" s="1264" t="s">
        <v>309</v>
      </c>
      <c r="D75" s="1264" t="s">
        <v>70</v>
      </c>
      <c r="E75" s="1266" t="s">
        <v>65</v>
      </c>
      <c r="F75" s="592">
        <v>72</v>
      </c>
      <c r="G75" s="593">
        <v>7800</v>
      </c>
      <c r="H75" s="594">
        <v>11700</v>
      </c>
      <c r="I75" s="595">
        <v>6500</v>
      </c>
      <c r="J75" s="166">
        <f t="shared" si="61"/>
        <v>156</v>
      </c>
      <c r="K75" s="167">
        <f t="shared" si="62"/>
        <v>234</v>
      </c>
      <c r="L75" s="168">
        <f t="shared" si="63"/>
        <v>130</v>
      </c>
      <c r="M75" s="166">
        <f t="shared" si="64"/>
        <v>195</v>
      </c>
      <c r="N75" s="167">
        <f t="shared" si="65"/>
        <v>292</v>
      </c>
      <c r="O75" s="168">
        <f t="shared" si="66"/>
        <v>162</v>
      </c>
      <c r="P75" s="169">
        <f t="shared" si="67"/>
        <v>292</v>
      </c>
      <c r="Q75" s="169">
        <f t="shared" si="68"/>
        <v>438</v>
      </c>
      <c r="R75" s="169">
        <f t="shared" si="69"/>
        <v>243</v>
      </c>
      <c r="S75" s="584">
        <f t="shared" si="70"/>
        <v>1950</v>
      </c>
      <c r="T75" s="594">
        <f t="shared" si="71"/>
        <v>2925</v>
      </c>
      <c r="U75" s="595">
        <f t="shared" si="72"/>
        <v>1625</v>
      </c>
      <c r="V75" s="166">
        <f t="shared" si="73"/>
        <v>4446</v>
      </c>
      <c r="W75" s="167">
        <f t="shared" si="74"/>
        <v>6663</v>
      </c>
      <c r="X75" s="168">
        <f t="shared" si="75"/>
        <v>3699</v>
      </c>
      <c r="Y75" s="166">
        <f t="shared" si="76"/>
        <v>4738</v>
      </c>
      <c r="Z75" s="167">
        <f t="shared" si="77"/>
        <v>7539</v>
      </c>
      <c r="AA75" s="168">
        <f t="shared" si="78"/>
        <v>4428</v>
      </c>
      <c r="AB75" s="166">
        <f t="shared" si="79"/>
        <v>5614</v>
      </c>
      <c r="AC75" s="167">
        <f t="shared" si="80"/>
        <v>8853</v>
      </c>
      <c r="AD75" s="168">
        <f t="shared" si="81"/>
        <v>4671</v>
      </c>
      <c r="AE75" s="166">
        <f t="shared" si="82"/>
        <v>6782</v>
      </c>
      <c r="AF75" s="167">
        <f t="shared" si="83"/>
        <v>9729</v>
      </c>
      <c r="AG75" s="168">
        <f t="shared" si="84"/>
        <v>5157</v>
      </c>
      <c r="AH75" s="166">
        <f t="shared" si="85"/>
        <v>7366</v>
      </c>
      <c r="AI75" s="167">
        <f t="shared" si="86"/>
        <v>10605</v>
      </c>
      <c r="AJ75" s="168">
        <f t="shared" si="87"/>
        <v>6129</v>
      </c>
      <c r="AK75" s="169">
        <f t="shared" si="88"/>
        <v>7956</v>
      </c>
      <c r="AL75" s="167">
        <f t="shared" si="89"/>
        <v>11934</v>
      </c>
      <c r="AM75" s="585">
        <f t="shared" si="90"/>
        <v>6630</v>
      </c>
      <c r="AN75" s="596">
        <v>0.2</v>
      </c>
      <c r="AO75" s="597">
        <v>0.23</v>
      </c>
      <c r="AP75" s="597">
        <v>0.26</v>
      </c>
      <c r="AQ75" s="598">
        <v>0.28999999999999998</v>
      </c>
      <c r="AR75" s="599">
        <v>0.32</v>
      </c>
      <c r="AS75" s="586"/>
      <c r="AT75" s="587"/>
      <c r="AU75" s="587"/>
      <c r="AV75" s="588"/>
      <c r="AW75" s="589"/>
      <c r="AX75" s="596">
        <v>0.05</v>
      </c>
      <c r="AY75" s="598">
        <v>5.5E-2</v>
      </c>
      <c r="AZ75" s="598">
        <v>0.06</v>
      </c>
      <c r="BA75" s="598">
        <v>6.5000000000000002E-2</v>
      </c>
      <c r="BB75" s="598">
        <v>7.0000000000000007E-2</v>
      </c>
      <c r="BC75" s="590"/>
      <c r="BD75" s="631"/>
      <c r="BE75" s="596"/>
      <c r="BF75" s="598"/>
      <c r="BG75" s="598"/>
      <c r="BH75" s="598"/>
      <c r="BI75" s="598"/>
      <c r="BJ75" s="598"/>
      <c r="BK75" s="605"/>
      <c r="BL75" s="658">
        <f t="shared" si="91"/>
        <v>26000</v>
      </c>
      <c r="BM75" s="3">
        <f t="shared" si="92"/>
        <v>30</v>
      </c>
      <c r="BN75" s="3">
        <f t="shared" si="93"/>
        <v>45</v>
      </c>
      <c r="BO75" s="3">
        <f t="shared" si="94"/>
        <v>25</v>
      </c>
    </row>
    <row r="76" spans="2:67">
      <c r="B76" s="207" t="s">
        <v>504</v>
      </c>
      <c r="C76" s="889" t="s">
        <v>467</v>
      </c>
      <c r="D76" s="889" t="s">
        <v>14</v>
      </c>
      <c r="E76" s="237" t="s">
        <v>65</v>
      </c>
      <c r="F76" s="592">
        <v>73</v>
      </c>
      <c r="G76" s="593">
        <v>4140</v>
      </c>
      <c r="H76" s="594">
        <v>3104</v>
      </c>
      <c r="I76" s="595">
        <v>3104</v>
      </c>
      <c r="J76" s="166">
        <f t="shared" si="61"/>
        <v>82</v>
      </c>
      <c r="K76" s="167">
        <f t="shared" si="62"/>
        <v>62</v>
      </c>
      <c r="L76" s="168">
        <f t="shared" si="63"/>
        <v>62</v>
      </c>
      <c r="M76" s="166">
        <f t="shared" si="64"/>
        <v>155</v>
      </c>
      <c r="N76" s="167">
        <f t="shared" si="65"/>
        <v>116</v>
      </c>
      <c r="O76" s="168">
        <f t="shared" si="66"/>
        <v>116</v>
      </c>
      <c r="P76" s="169">
        <f t="shared" si="67"/>
        <v>207</v>
      </c>
      <c r="Q76" s="169">
        <f t="shared" si="68"/>
        <v>155</v>
      </c>
      <c r="R76" s="169">
        <f t="shared" si="69"/>
        <v>155</v>
      </c>
      <c r="S76" s="584">
        <f t="shared" si="70"/>
        <v>1242</v>
      </c>
      <c r="T76" s="594">
        <f t="shared" si="71"/>
        <v>931</v>
      </c>
      <c r="U76" s="595">
        <f t="shared" si="72"/>
        <v>931</v>
      </c>
      <c r="V76" s="166">
        <f t="shared" si="73"/>
        <v>2564</v>
      </c>
      <c r="W76" s="167">
        <f t="shared" si="74"/>
        <v>1921</v>
      </c>
      <c r="X76" s="168">
        <f t="shared" si="75"/>
        <v>1921</v>
      </c>
      <c r="Y76" s="166">
        <f t="shared" si="76"/>
        <v>2978</v>
      </c>
      <c r="Z76" s="167">
        <f t="shared" si="77"/>
        <v>2076</v>
      </c>
      <c r="AA76" s="168">
        <f t="shared" si="78"/>
        <v>2076</v>
      </c>
      <c r="AB76" s="166">
        <f t="shared" si="79"/>
        <v>3185</v>
      </c>
      <c r="AC76" s="167">
        <f t="shared" si="80"/>
        <v>2231</v>
      </c>
      <c r="AD76" s="168">
        <f t="shared" si="81"/>
        <v>2386</v>
      </c>
      <c r="AE76" s="166">
        <f t="shared" si="82"/>
        <v>3392</v>
      </c>
      <c r="AF76" s="167">
        <f t="shared" si="83"/>
        <v>2541</v>
      </c>
      <c r="AG76" s="168">
        <f t="shared" si="84"/>
        <v>2696</v>
      </c>
      <c r="AH76" s="166">
        <f t="shared" si="85"/>
        <v>3806</v>
      </c>
      <c r="AI76" s="167">
        <f t="shared" si="86"/>
        <v>2851</v>
      </c>
      <c r="AJ76" s="168">
        <f t="shared" si="87"/>
        <v>3006</v>
      </c>
      <c r="AK76" s="169">
        <f t="shared" si="88"/>
        <v>4222</v>
      </c>
      <c r="AL76" s="167">
        <f t="shared" si="89"/>
        <v>3166</v>
      </c>
      <c r="AM76" s="585">
        <f t="shared" si="90"/>
        <v>3166</v>
      </c>
      <c r="AN76" s="586">
        <v>110</v>
      </c>
      <c r="AO76" s="686">
        <v>120</v>
      </c>
      <c r="AP76" s="686">
        <v>130</v>
      </c>
      <c r="AQ76" s="587">
        <v>140</v>
      </c>
      <c r="AR76" s="687">
        <v>150</v>
      </c>
      <c r="AS76" s="586"/>
      <c r="AT76" s="587"/>
      <c r="AU76" s="587"/>
      <c r="AV76" s="588"/>
      <c r="AW76" s="589"/>
      <c r="AX76" s="596">
        <v>0.01</v>
      </c>
      <c r="AY76" s="598">
        <v>1.4999999999999999E-2</v>
      </c>
      <c r="AZ76" s="598">
        <v>0.02</v>
      </c>
      <c r="BA76" s="598">
        <v>2.5000000000000001E-2</v>
      </c>
      <c r="BB76" s="598">
        <v>0.03</v>
      </c>
      <c r="BC76" s="590"/>
      <c r="BD76" s="631"/>
      <c r="BE76" s="596"/>
      <c r="BF76" s="598"/>
      <c r="BG76" s="598"/>
      <c r="BH76" s="598"/>
      <c r="BI76" s="598"/>
      <c r="BJ76" s="598"/>
      <c r="BK76" s="605"/>
      <c r="BL76" s="658">
        <f t="shared" si="91"/>
        <v>10350</v>
      </c>
      <c r="BM76" s="3">
        <f t="shared" si="92"/>
        <v>40</v>
      </c>
      <c r="BN76" s="3">
        <f t="shared" si="93"/>
        <v>30</v>
      </c>
      <c r="BO76" s="3">
        <f t="shared" si="94"/>
        <v>30</v>
      </c>
    </row>
    <row r="77" spans="2:67">
      <c r="B77" s="207" t="s">
        <v>505</v>
      </c>
      <c r="C77" s="889" t="s">
        <v>467</v>
      </c>
      <c r="D77" s="889" t="s">
        <v>70</v>
      </c>
      <c r="E77" s="237" t="s">
        <v>65</v>
      </c>
      <c r="F77" s="592">
        <v>74</v>
      </c>
      <c r="G77" s="593">
        <v>3910</v>
      </c>
      <c r="H77" s="594">
        <v>3910</v>
      </c>
      <c r="I77" s="595">
        <v>4027</v>
      </c>
      <c r="J77" s="166">
        <f t="shared" si="61"/>
        <v>78</v>
      </c>
      <c r="K77" s="167">
        <f t="shared" si="62"/>
        <v>78</v>
      </c>
      <c r="L77" s="168">
        <f t="shared" si="63"/>
        <v>80</v>
      </c>
      <c r="M77" s="166">
        <f t="shared" si="64"/>
        <v>146</v>
      </c>
      <c r="N77" s="167">
        <f t="shared" si="65"/>
        <v>146</v>
      </c>
      <c r="O77" s="168">
        <f t="shared" si="66"/>
        <v>151</v>
      </c>
      <c r="P77" s="169">
        <f t="shared" si="67"/>
        <v>195</v>
      </c>
      <c r="Q77" s="169">
        <f t="shared" si="68"/>
        <v>195</v>
      </c>
      <c r="R77" s="169">
        <f t="shared" si="69"/>
        <v>201</v>
      </c>
      <c r="S77" s="584">
        <f t="shared" si="70"/>
        <v>1173</v>
      </c>
      <c r="T77" s="594">
        <f t="shared" si="71"/>
        <v>1173</v>
      </c>
      <c r="U77" s="595">
        <f t="shared" si="72"/>
        <v>1208</v>
      </c>
      <c r="V77" s="166">
        <f t="shared" si="73"/>
        <v>2419</v>
      </c>
      <c r="W77" s="167">
        <f t="shared" si="74"/>
        <v>2419</v>
      </c>
      <c r="X77" s="168">
        <f t="shared" si="75"/>
        <v>2496</v>
      </c>
      <c r="Y77" s="166">
        <f t="shared" si="76"/>
        <v>2809</v>
      </c>
      <c r="Z77" s="167">
        <f t="shared" si="77"/>
        <v>2614</v>
      </c>
      <c r="AA77" s="168">
        <f t="shared" si="78"/>
        <v>2697</v>
      </c>
      <c r="AB77" s="166">
        <f t="shared" si="79"/>
        <v>3004</v>
      </c>
      <c r="AC77" s="167">
        <f t="shared" si="80"/>
        <v>3004</v>
      </c>
      <c r="AD77" s="168">
        <f t="shared" si="81"/>
        <v>2898</v>
      </c>
      <c r="AE77" s="166">
        <f t="shared" si="82"/>
        <v>3199</v>
      </c>
      <c r="AF77" s="167">
        <f t="shared" si="83"/>
        <v>3394</v>
      </c>
      <c r="AG77" s="168">
        <f t="shared" si="84"/>
        <v>3300</v>
      </c>
      <c r="AH77" s="166">
        <f t="shared" si="85"/>
        <v>3589</v>
      </c>
      <c r="AI77" s="167">
        <f t="shared" si="86"/>
        <v>3784</v>
      </c>
      <c r="AJ77" s="168">
        <f t="shared" si="87"/>
        <v>3702</v>
      </c>
      <c r="AK77" s="169">
        <f t="shared" si="88"/>
        <v>3988</v>
      </c>
      <c r="AL77" s="167">
        <f t="shared" si="89"/>
        <v>3988</v>
      </c>
      <c r="AM77" s="585">
        <f t="shared" si="90"/>
        <v>4107</v>
      </c>
      <c r="AN77" s="596">
        <v>1.2E-2</v>
      </c>
      <c r="AO77" s="597">
        <v>1.4E-2</v>
      </c>
      <c r="AP77" s="597">
        <v>1.6E-2</v>
      </c>
      <c r="AQ77" s="598">
        <v>1.7999999999999999E-2</v>
      </c>
      <c r="AR77" s="599">
        <v>0.02</v>
      </c>
      <c r="AS77" s="586"/>
      <c r="AT77" s="587"/>
      <c r="AU77" s="587"/>
      <c r="AV77" s="588"/>
      <c r="AW77" s="589"/>
      <c r="AX77" s="596">
        <v>1.4999999999999999E-2</v>
      </c>
      <c r="AY77" s="598">
        <v>1.7999999999999999E-2</v>
      </c>
      <c r="AZ77" s="598">
        <v>2.1000000000000001E-2</v>
      </c>
      <c r="BA77" s="598">
        <v>2.4E-2</v>
      </c>
      <c r="BB77" s="598">
        <v>2.7E-2</v>
      </c>
      <c r="BC77" s="590"/>
      <c r="BD77" s="631"/>
      <c r="BE77" s="596"/>
      <c r="BF77" s="598"/>
      <c r="BG77" s="598"/>
      <c r="BH77" s="598"/>
      <c r="BI77" s="598"/>
      <c r="BJ77" s="598"/>
      <c r="BK77" s="605"/>
      <c r="BL77" s="658">
        <f t="shared" si="91"/>
        <v>11850</v>
      </c>
      <c r="BM77" s="3">
        <f t="shared" si="92"/>
        <v>33</v>
      </c>
      <c r="BN77" s="3">
        <f t="shared" si="93"/>
        <v>33</v>
      </c>
      <c r="BO77" s="3">
        <f t="shared" si="94"/>
        <v>34</v>
      </c>
    </row>
    <row r="78" spans="2:67">
      <c r="B78" s="207" t="s">
        <v>423</v>
      </c>
      <c r="C78" s="889" t="s">
        <v>310</v>
      </c>
      <c r="D78" s="889" t="s">
        <v>23</v>
      </c>
      <c r="E78" s="237" t="s">
        <v>65</v>
      </c>
      <c r="F78" s="592">
        <v>75</v>
      </c>
      <c r="G78" s="593">
        <v>3200</v>
      </c>
      <c r="H78" s="594">
        <v>7680</v>
      </c>
      <c r="I78" s="595">
        <v>5120</v>
      </c>
      <c r="J78" s="166">
        <f t="shared" si="61"/>
        <v>64</v>
      </c>
      <c r="K78" s="167">
        <f t="shared" si="62"/>
        <v>153</v>
      </c>
      <c r="L78" s="168">
        <f t="shared" si="63"/>
        <v>102</v>
      </c>
      <c r="M78" s="166">
        <f t="shared" si="64"/>
        <v>96</v>
      </c>
      <c r="N78" s="167">
        <f t="shared" si="65"/>
        <v>230</v>
      </c>
      <c r="O78" s="168">
        <f t="shared" si="66"/>
        <v>153</v>
      </c>
      <c r="P78" s="169">
        <f t="shared" si="67"/>
        <v>128</v>
      </c>
      <c r="Q78" s="169">
        <f t="shared" si="68"/>
        <v>307</v>
      </c>
      <c r="R78" s="169">
        <f t="shared" si="69"/>
        <v>204</v>
      </c>
      <c r="S78" s="584">
        <f t="shared" si="70"/>
        <v>960</v>
      </c>
      <c r="T78" s="594">
        <f t="shared" si="71"/>
        <v>2304</v>
      </c>
      <c r="U78" s="595">
        <f t="shared" si="72"/>
        <v>1536</v>
      </c>
      <c r="V78" s="166">
        <f t="shared" si="73"/>
        <v>1984</v>
      </c>
      <c r="W78" s="167">
        <f t="shared" si="74"/>
        <v>4757</v>
      </c>
      <c r="X78" s="168">
        <f t="shared" si="75"/>
        <v>3168</v>
      </c>
      <c r="Y78" s="166">
        <f t="shared" si="76"/>
        <v>2240</v>
      </c>
      <c r="Z78" s="167">
        <f t="shared" si="77"/>
        <v>5371</v>
      </c>
      <c r="AA78" s="168">
        <f t="shared" si="78"/>
        <v>3576</v>
      </c>
      <c r="AB78" s="166">
        <f t="shared" si="79"/>
        <v>2496</v>
      </c>
      <c r="AC78" s="167">
        <f t="shared" si="80"/>
        <v>5985</v>
      </c>
      <c r="AD78" s="168">
        <f t="shared" si="81"/>
        <v>3984</v>
      </c>
      <c r="AE78" s="166">
        <f t="shared" si="82"/>
        <v>2752</v>
      </c>
      <c r="AF78" s="167">
        <f t="shared" si="83"/>
        <v>6292</v>
      </c>
      <c r="AG78" s="168">
        <f t="shared" si="84"/>
        <v>4392</v>
      </c>
      <c r="AH78" s="166">
        <f t="shared" si="85"/>
        <v>3136</v>
      </c>
      <c r="AI78" s="167">
        <f t="shared" si="86"/>
        <v>6906</v>
      </c>
      <c r="AJ78" s="168">
        <f t="shared" si="87"/>
        <v>4596</v>
      </c>
      <c r="AK78" s="169">
        <f t="shared" si="88"/>
        <v>3264</v>
      </c>
      <c r="AL78" s="167">
        <f t="shared" si="89"/>
        <v>7833</v>
      </c>
      <c r="AM78" s="585">
        <f t="shared" si="90"/>
        <v>5222</v>
      </c>
      <c r="AN78" s="596">
        <v>0.2</v>
      </c>
      <c r="AO78" s="597">
        <v>0.23</v>
      </c>
      <c r="AP78" s="597">
        <v>0.26</v>
      </c>
      <c r="AQ78" s="598">
        <v>0.28999999999999998</v>
      </c>
      <c r="AR78" s="599">
        <v>0.32</v>
      </c>
      <c r="AS78" s="586"/>
      <c r="AT78" s="587"/>
      <c r="AU78" s="587"/>
      <c r="AV78" s="588"/>
      <c r="AW78" s="589"/>
      <c r="AX78" s="596">
        <v>0.03</v>
      </c>
      <c r="AY78" s="598">
        <v>3.5000000000000003E-2</v>
      </c>
      <c r="AZ78" s="598">
        <v>0.04</v>
      </c>
      <c r="BA78" s="598">
        <v>4.4999999999999998E-2</v>
      </c>
      <c r="BB78" s="598">
        <v>0.05</v>
      </c>
      <c r="BC78" s="590"/>
      <c r="BD78" s="631"/>
      <c r="BE78" s="596"/>
      <c r="BF78" s="598"/>
      <c r="BG78" s="598"/>
      <c r="BH78" s="598"/>
      <c r="BI78" s="598"/>
      <c r="BJ78" s="598"/>
      <c r="BK78" s="605"/>
      <c r="BL78" s="658">
        <f t="shared" si="91"/>
        <v>16000</v>
      </c>
      <c r="BM78" s="3">
        <f t="shared" si="92"/>
        <v>20</v>
      </c>
      <c r="BN78" s="3">
        <f t="shared" si="93"/>
        <v>48</v>
      </c>
      <c r="BO78" s="3">
        <f t="shared" si="94"/>
        <v>32</v>
      </c>
    </row>
    <row r="79" spans="2:67">
      <c r="B79" s="207" t="s">
        <v>506</v>
      </c>
      <c r="C79" s="889" t="s">
        <v>467</v>
      </c>
      <c r="D79" s="889" t="s">
        <v>13</v>
      </c>
      <c r="E79" s="237" t="s">
        <v>65</v>
      </c>
      <c r="F79" s="592">
        <v>76</v>
      </c>
      <c r="G79" s="593">
        <v>3104</v>
      </c>
      <c r="H79" s="594">
        <v>3621</v>
      </c>
      <c r="I79" s="595">
        <v>3621</v>
      </c>
      <c r="J79" s="166">
        <f t="shared" si="61"/>
        <v>62</v>
      </c>
      <c r="K79" s="167">
        <f t="shared" si="62"/>
        <v>72</v>
      </c>
      <c r="L79" s="168">
        <f t="shared" si="63"/>
        <v>72</v>
      </c>
      <c r="M79" s="166">
        <f t="shared" si="64"/>
        <v>116</v>
      </c>
      <c r="N79" s="167">
        <f t="shared" si="65"/>
        <v>135</v>
      </c>
      <c r="O79" s="168">
        <f t="shared" si="66"/>
        <v>135</v>
      </c>
      <c r="P79" s="169">
        <f t="shared" si="67"/>
        <v>155</v>
      </c>
      <c r="Q79" s="169">
        <f t="shared" si="68"/>
        <v>181</v>
      </c>
      <c r="R79" s="169">
        <f t="shared" si="69"/>
        <v>181</v>
      </c>
      <c r="S79" s="584">
        <f t="shared" si="70"/>
        <v>931</v>
      </c>
      <c r="T79" s="594">
        <f t="shared" si="71"/>
        <v>1086</v>
      </c>
      <c r="U79" s="595">
        <f t="shared" si="72"/>
        <v>1086</v>
      </c>
      <c r="V79" s="166">
        <f t="shared" si="73"/>
        <v>1921</v>
      </c>
      <c r="W79" s="167">
        <f t="shared" si="74"/>
        <v>2238</v>
      </c>
      <c r="X79" s="168">
        <f t="shared" si="75"/>
        <v>2238</v>
      </c>
      <c r="Y79" s="166">
        <f t="shared" si="76"/>
        <v>2076</v>
      </c>
      <c r="Z79" s="167">
        <f t="shared" si="77"/>
        <v>2600</v>
      </c>
      <c r="AA79" s="168">
        <f t="shared" si="78"/>
        <v>2419</v>
      </c>
      <c r="AB79" s="166">
        <f t="shared" si="79"/>
        <v>2386</v>
      </c>
      <c r="AC79" s="167">
        <f t="shared" si="80"/>
        <v>2781</v>
      </c>
      <c r="AD79" s="168">
        <f t="shared" si="81"/>
        <v>2600</v>
      </c>
      <c r="AE79" s="166">
        <f t="shared" si="82"/>
        <v>2696</v>
      </c>
      <c r="AF79" s="167">
        <f t="shared" si="83"/>
        <v>2962</v>
      </c>
      <c r="AG79" s="168">
        <f t="shared" si="84"/>
        <v>2962</v>
      </c>
      <c r="AH79" s="166">
        <f t="shared" si="85"/>
        <v>3006</v>
      </c>
      <c r="AI79" s="167">
        <f t="shared" si="86"/>
        <v>3324</v>
      </c>
      <c r="AJ79" s="168">
        <f t="shared" si="87"/>
        <v>3324</v>
      </c>
      <c r="AK79" s="169">
        <f t="shared" si="88"/>
        <v>3166</v>
      </c>
      <c r="AL79" s="167">
        <f t="shared" si="89"/>
        <v>3693</v>
      </c>
      <c r="AM79" s="585">
        <f t="shared" si="90"/>
        <v>3693</v>
      </c>
      <c r="AN79" s="586">
        <v>80</v>
      </c>
      <c r="AO79" s="686">
        <v>90</v>
      </c>
      <c r="AP79" s="686">
        <v>100</v>
      </c>
      <c r="AQ79" s="587">
        <v>110</v>
      </c>
      <c r="AR79" s="687">
        <v>120</v>
      </c>
      <c r="AS79" s="586"/>
      <c r="AT79" s="587"/>
      <c r="AU79" s="587"/>
      <c r="AV79" s="588"/>
      <c r="AW79" s="589"/>
      <c r="AX79" s="596">
        <v>1.4999999999999999E-2</v>
      </c>
      <c r="AY79" s="598">
        <v>1.7999999999999999E-2</v>
      </c>
      <c r="AZ79" s="598">
        <v>2.1000000000000001E-2</v>
      </c>
      <c r="BA79" s="598">
        <v>2.4E-2</v>
      </c>
      <c r="BB79" s="598">
        <v>2.7E-2</v>
      </c>
      <c r="BC79" s="590"/>
      <c r="BD79" s="631"/>
      <c r="BE79" s="596"/>
      <c r="BF79" s="598"/>
      <c r="BG79" s="598"/>
      <c r="BH79" s="598"/>
      <c r="BI79" s="598"/>
      <c r="BJ79" s="598"/>
      <c r="BK79" s="605"/>
      <c r="BL79" s="658">
        <f t="shared" si="91"/>
        <v>10350</v>
      </c>
      <c r="BM79" s="3">
        <f t="shared" si="92"/>
        <v>30</v>
      </c>
      <c r="BN79" s="3">
        <f t="shared" si="93"/>
        <v>35</v>
      </c>
      <c r="BO79" s="3">
        <f t="shared" si="94"/>
        <v>35</v>
      </c>
    </row>
    <row r="80" spans="2:67">
      <c r="B80" s="207" t="s">
        <v>507</v>
      </c>
      <c r="C80" s="889" t="s">
        <v>467</v>
      </c>
      <c r="D80" s="889" t="s">
        <v>23</v>
      </c>
      <c r="E80" s="237" t="s">
        <v>65</v>
      </c>
      <c r="F80" s="592">
        <v>77</v>
      </c>
      <c r="G80" s="593">
        <v>3554</v>
      </c>
      <c r="H80" s="594">
        <v>4740</v>
      </c>
      <c r="I80" s="595">
        <v>3554</v>
      </c>
      <c r="J80" s="166">
        <f t="shared" si="61"/>
        <v>71</v>
      </c>
      <c r="K80" s="167">
        <f t="shared" si="62"/>
        <v>94</v>
      </c>
      <c r="L80" s="168">
        <f t="shared" si="63"/>
        <v>71</v>
      </c>
      <c r="M80" s="166">
        <f t="shared" si="64"/>
        <v>133</v>
      </c>
      <c r="N80" s="167">
        <f t="shared" si="65"/>
        <v>177</v>
      </c>
      <c r="O80" s="168">
        <f t="shared" si="66"/>
        <v>133</v>
      </c>
      <c r="P80" s="169">
        <f t="shared" si="67"/>
        <v>177</v>
      </c>
      <c r="Q80" s="169">
        <f t="shared" si="68"/>
        <v>237</v>
      </c>
      <c r="R80" s="169">
        <f t="shared" si="69"/>
        <v>177</v>
      </c>
      <c r="S80" s="584">
        <f t="shared" si="70"/>
        <v>1066</v>
      </c>
      <c r="T80" s="594">
        <f t="shared" si="71"/>
        <v>1422</v>
      </c>
      <c r="U80" s="595">
        <f t="shared" si="72"/>
        <v>1066</v>
      </c>
      <c r="V80" s="166">
        <f t="shared" si="73"/>
        <v>2201</v>
      </c>
      <c r="W80" s="167">
        <f t="shared" si="74"/>
        <v>2932</v>
      </c>
      <c r="X80" s="168">
        <f t="shared" si="75"/>
        <v>2201</v>
      </c>
      <c r="Y80" s="166">
        <f t="shared" si="76"/>
        <v>2378</v>
      </c>
      <c r="Z80" s="167">
        <f t="shared" si="77"/>
        <v>3169</v>
      </c>
      <c r="AA80" s="168">
        <f t="shared" si="78"/>
        <v>2555</v>
      </c>
      <c r="AB80" s="166">
        <f t="shared" si="79"/>
        <v>2555</v>
      </c>
      <c r="AC80" s="167">
        <f t="shared" si="80"/>
        <v>3643</v>
      </c>
      <c r="AD80" s="168">
        <f t="shared" si="81"/>
        <v>2732</v>
      </c>
      <c r="AE80" s="166">
        <f t="shared" si="82"/>
        <v>2909</v>
      </c>
      <c r="AF80" s="167">
        <f t="shared" si="83"/>
        <v>4117</v>
      </c>
      <c r="AG80" s="168">
        <f t="shared" si="84"/>
        <v>2909</v>
      </c>
      <c r="AH80" s="166">
        <f t="shared" si="85"/>
        <v>3263</v>
      </c>
      <c r="AI80" s="167">
        <f t="shared" si="86"/>
        <v>4591</v>
      </c>
      <c r="AJ80" s="168">
        <f t="shared" si="87"/>
        <v>3263</v>
      </c>
      <c r="AK80" s="169">
        <f t="shared" si="88"/>
        <v>3625</v>
      </c>
      <c r="AL80" s="167">
        <f t="shared" si="89"/>
        <v>4834</v>
      </c>
      <c r="AM80" s="585">
        <f t="shared" si="90"/>
        <v>3625</v>
      </c>
      <c r="AN80" s="586">
        <v>250</v>
      </c>
      <c r="AO80" s="686">
        <v>300</v>
      </c>
      <c r="AP80" s="686">
        <v>350</v>
      </c>
      <c r="AQ80" s="587">
        <v>400</v>
      </c>
      <c r="AR80" s="687">
        <v>450</v>
      </c>
      <c r="AS80" s="586"/>
      <c r="AT80" s="587"/>
      <c r="AU80" s="587"/>
      <c r="AV80" s="588"/>
      <c r="AW80" s="589"/>
      <c r="AX80" s="596">
        <v>1.4999999999999999E-2</v>
      </c>
      <c r="AY80" s="598">
        <v>1.7999999999999999E-2</v>
      </c>
      <c r="AZ80" s="598">
        <v>2.1000000000000001E-2</v>
      </c>
      <c r="BA80" s="598">
        <v>2.4E-2</v>
      </c>
      <c r="BB80" s="598">
        <v>2.7E-2</v>
      </c>
      <c r="BC80" s="590"/>
      <c r="BD80" s="631"/>
      <c r="BE80" s="596"/>
      <c r="BF80" s="598"/>
      <c r="BG80" s="598"/>
      <c r="BH80" s="598"/>
      <c r="BI80" s="598"/>
      <c r="BJ80" s="598"/>
      <c r="BK80" s="605"/>
      <c r="BL80" s="658">
        <f t="shared" si="91"/>
        <v>11850</v>
      </c>
      <c r="BM80" s="3">
        <f t="shared" si="92"/>
        <v>30</v>
      </c>
      <c r="BN80" s="3">
        <f t="shared" si="93"/>
        <v>40</v>
      </c>
      <c r="BO80" s="3">
        <f t="shared" si="94"/>
        <v>30</v>
      </c>
    </row>
    <row r="81" spans="2:67">
      <c r="B81" s="207" t="s">
        <v>424</v>
      </c>
      <c r="C81" s="889" t="s">
        <v>357</v>
      </c>
      <c r="D81" s="889" t="s">
        <v>70</v>
      </c>
      <c r="E81" s="237" t="s">
        <v>65</v>
      </c>
      <c r="F81" s="592">
        <v>78</v>
      </c>
      <c r="G81" s="593">
        <v>5280</v>
      </c>
      <c r="H81" s="594">
        <v>5600</v>
      </c>
      <c r="I81" s="595">
        <v>5120</v>
      </c>
      <c r="J81" s="166">
        <f t="shared" si="61"/>
        <v>105</v>
      </c>
      <c r="K81" s="167">
        <f t="shared" si="62"/>
        <v>112</v>
      </c>
      <c r="L81" s="168">
        <f t="shared" si="63"/>
        <v>102</v>
      </c>
      <c r="M81" s="166">
        <f t="shared" si="64"/>
        <v>158</v>
      </c>
      <c r="N81" s="167">
        <f t="shared" si="65"/>
        <v>168</v>
      </c>
      <c r="O81" s="168">
        <f t="shared" si="66"/>
        <v>153</v>
      </c>
      <c r="P81" s="169">
        <f t="shared" si="67"/>
        <v>211</v>
      </c>
      <c r="Q81" s="169">
        <f t="shared" si="68"/>
        <v>224</v>
      </c>
      <c r="R81" s="169">
        <f t="shared" si="69"/>
        <v>204</v>
      </c>
      <c r="S81" s="584">
        <f t="shared" si="70"/>
        <v>1584</v>
      </c>
      <c r="T81" s="594">
        <f t="shared" si="71"/>
        <v>1680</v>
      </c>
      <c r="U81" s="595">
        <f t="shared" si="72"/>
        <v>1536</v>
      </c>
      <c r="V81" s="166">
        <f t="shared" si="73"/>
        <v>3269</v>
      </c>
      <c r="W81" s="167">
        <f t="shared" si="74"/>
        <v>3472</v>
      </c>
      <c r="X81" s="168">
        <f t="shared" si="75"/>
        <v>3168</v>
      </c>
      <c r="Y81" s="166">
        <f t="shared" si="76"/>
        <v>3691</v>
      </c>
      <c r="Z81" s="167">
        <f t="shared" si="77"/>
        <v>3920</v>
      </c>
      <c r="AA81" s="168">
        <f t="shared" si="78"/>
        <v>3576</v>
      </c>
      <c r="AB81" s="166">
        <f t="shared" si="79"/>
        <v>4113</v>
      </c>
      <c r="AC81" s="167">
        <f t="shared" si="80"/>
        <v>4368</v>
      </c>
      <c r="AD81" s="168">
        <f t="shared" si="81"/>
        <v>3984</v>
      </c>
      <c r="AE81" s="166">
        <f t="shared" si="82"/>
        <v>4535</v>
      </c>
      <c r="AF81" s="167">
        <f t="shared" si="83"/>
        <v>4592</v>
      </c>
      <c r="AG81" s="168">
        <f t="shared" si="84"/>
        <v>4392</v>
      </c>
      <c r="AH81" s="166">
        <f t="shared" si="85"/>
        <v>4746</v>
      </c>
      <c r="AI81" s="167">
        <f t="shared" si="86"/>
        <v>5040</v>
      </c>
      <c r="AJ81" s="168">
        <f t="shared" si="87"/>
        <v>5004</v>
      </c>
      <c r="AK81" s="169">
        <f t="shared" si="88"/>
        <v>5385</v>
      </c>
      <c r="AL81" s="167">
        <f t="shared" si="89"/>
        <v>5712</v>
      </c>
      <c r="AM81" s="585">
        <f t="shared" si="90"/>
        <v>5222</v>
      </c>
      <c r="AN81" s="596">
        <v>0.25</v>
      </c>
      <c r="AO81" s="597">
        <v>0.28000000000000003</v>
      </c>
      <c r="AP81" s="597">
        <v>0.31</v>
      </c>
      <c r="AQ81" s="598">
        <v>0.34</v>
      </c>
      <c r="AR81" s="599">
        <v>0.37</v>
      </c>
      <c r="AS81" s="586"/>
      <c r="AT81" s="587"/>
      <c r="AU81" s="587"/>
      <c r="AV81" s="588"/>
      <c r="AW81" s="589"/>
      <c r="AX81" s="596">
        <v>0.05</v>
      </c>
      <c r="AY81" s="598">
        <v>5.5E-2</v>
      </c>
      <c r="AZ81" s="598">
        <v>0.06</v>
      </c>
      <c r="BA81" s="598">
        <v>6.5000000000000002E-2</v>
      </c>
      <c r="BB81" s="598">
        <v>7.0000000000000007E-2</v>
      </c>
      <c r="BC81" s="590"/>
      <c r="BD81" s="631"/>
      <c r="BE81" s="596"/>
      <c r="BF81" s="598"/>
      <c r="BG81" s="598"/>
      <c r="BH81" s="598"/>
      <c r="BI81" s="598"/>
      <c r="BJ81" s="598"/>
      <c r="BK81" s="605"/>
      <c r="BL81" s="658">
        <f t="shared" si="91"/>
        <v>16000</v>
      </c>
      <c r="BM81" s="3">
        <f t="shared" si="92"/>
        <v>33</v>
      </c>
      <c r="BN81" s="3">
        <f t="shared" si="93"/>
        <v>35</v>
      </c>
      <c r="BO81" s="3">
        <f t="shared" si="94"/>
        <v>32</v>
      </c>
    </row>
    <row r="82" spans="2:67">
      <c r="B82" s="207" t="s">
        <v>508</v>
      </c>
      <c r="C82" s="889" t="s">
        <v>467</v>
      </c>
      <c r="D82" s="889" t="s">
        <v>70</v>
      </c>
      <c r="E82" s="237" t="s">
        <v>65</v>
      </c>
      <c r="F82" s="592">
        <v>79</v>
      </c>
      <c r="G82" s="593">
        <v>3414</v>
      </c>
      <c r="H82" s="594">
        <v>3414</v>
      </c>
      <c r="I82" s="595">
        <v>3517</v>
      </c>
      <c r="J82" s="166">
        <f t="shared" si="61"/>
        <v>68</v>
      </c>
      <c r="K82" s="167">
        <f t="shared" si="62"/>
        <v>68</v>
      </c>
      <c r="L82" s="168">
        <f t="shared" si="63"/>
        <v>70</v>
      </c>
      <c r="M82" s="166">
        <f t="shared" si="64"/>
        <v>128</v>
      </c>
      <c r="N82" s="167">
        <f t="shared" si="65"/>
        <v>128</v>
      </c>
      <c r="O82" s="168">
        <f t="shared" si="66"/>
        <v>131</v>
      </c>
      <c r="P82" s="169">
        <f t="shared" si="67"/>
        <v>170</v>
      </c>
      <c r="Q82" s="169">
        <f t="shared" si="68"/>
        <v>170</v>
      </c>
      <c r="R82" s="169">
        <f t="shared" si="69"/>
        <v>175</v>
      </c>
      <c r="S82" s="584">
        <f t="shared" si="70"/>
        <v>1024</v>
      </c>
      <c r="T82" s="594">
        <f t="shared" si="71"/>
        <v>1024</v>
      </c>
      <c r="U82" s="595">
        <f t="shared" si="72"/>
        <v>1055</v>
      </c>
      <c r="V82" s="166">
        <f t="shared" si="73"/>
        <v>2116</v>
      </c>
      <c r="W82" s="167">
        <f t="shared" si="74"/>
        <v>2116</v>
      </c>
      <c r="X82" s="168">
        <f t="shared" si="75"/>
        <v>2173</v>
      </c>
      <c r="Y82" s="166">
        <f t="shared" si="76"/>
        <v>2456</v>
      </c>
      <c r="Z82" s="167">
        <f t="shared" si="77"/>
        <v>2286</v>
      </c>
      <c r="AA82" s="168">
        <f t="shared" si="78"/>
        <v>2348</v>
      </c>
      <c r="AB82" s="166">
        <f t="shared" si="79"/>
        <v>2626</v>
      </c>
      <c r="AC82" s="167">
        <f t="shared" si="80"/>
        <v>2626</v>
      </c>
      <c r="AD82" s="168">
        <f t="shared" si="81"/>
        <v>2523</v>
      </c>
      <c r="AE82" s="166">
        <f t="shared" si="82"/>
        <v>2796</v>
      </c>
      <c r="AF82" s="167">
        <f t="shared" si="83"/>
        <v>2966</v>
      </c>
      <c r="AG82" s="168">
        <f t="shared" si="84"/>
        <v>2873</v>
      </c>
      <c r="AH82" s="166">
        <f t="shared" si="85"/>
        <v>3136</v>
      </c>
      <c r="AI82" s="167">
        <f t="shared" si="86"/>
        <v>3306</v>
      </c>
      <c r="AJ82" s="168">
        <f t="shared" si="87"/>
        <v>3223</v>
      </c>
      <c r="AK82" s="169">
        <f t="shared" si="88"/>
        <v>3482</v>
      </c>
      <c r="AL82" s="167">
        <f t="shared" si="89"/>
        <v>3482</v>
      </c>
      <c r="AM82" s="585">
        <f t="shared" si="90"/>
        <v>3587</v>
      </c>
      <c r="AN82" s="596">
        <v>2.1999999999999999E-2</v>
      </c>
      <c r="AO82" s="597">
        <v>2.4E-2</v>
      </c>
      <c r="AP82" s="597">
        <v>2.5999999999999999E-2</v>
      </c>
      <c r="AQ82" s="598">
        <v>2.8000000000000001E-2</v>
      </c>
      <c r="AR82" s="599">
        <v>0.03</v>
      </c>
      <c r="AS82" s="586"/>
      <c r="AT82" s="587"/>
      <c r="AU82" s="587"/>
      <c r="AV82" s="588"/>
      <c r="AW82" s="589"/>
      <c r="AX82" s="596">
        <v>0.01</v>
      </c>
      <c r="AY82" s="598">
        <v>1.4999999999999999E-2</v>
      </c>
      <c r="AZ82" s="598">
        <v>0.02</v>
      </c>
      <c r="BA82" s="598">
        <v>2.5000000000000001E-2</v>
      </c>
      <c r="BB82" s="598">
        <v>0.03</v>
      </c>
      <c r="BC82" s="590"/>
      <c r="BD82" s="631"/>
      <c r="BE82" s="596"/>
      <c r="BF82" s="598"/>
      <c r="BG82" s="598"/>
      <c r="BH82" s="598"/>
      <c r="BI82" s="598"/>
      <c r="BJ82" s="598"/>
      <c r="BK82" s="605"/>
      <c r="BL82" s="658">
        <f t="shared" si="91"/>
        <v>10350</v>
      </c>
      <c r="BM82" s="3">
        <f t="shared" si="92"/>
        <v>33</v>
      </c>
      <c r="BN82" s="3">
        <f t="shared" si="93"/>
        <v>33</v>
      </c>
      <c r="BO82" s="3">
        <f t="shared" si="94"/>
        <v>34</v>
      </c>
    </row>
    <row r="83" spans="2:67">
      <c r="B83" s="207" t="s">
        <v>509</v>
      </c>
      <c r="C83" s="889" t="s">
        <v>467</v>
      </c>
      <c r="D83" s="889" t="s">
        <v>13</v>
      </c>
      <c r="E83" s="237" t="s">
        <v>65</v>
      </c>
      <c r="F83" s="592">
        <v>80</v>
      </c>
      <c r="G83" s="593">
        <v>4740</v>
      </c>
      <c r="H83" s="594">
        <v>3554</v>
      </c>
      <c r="I83" s="595">
        <v>3554</v>
      </c>
      <c r="J83" s="166">
        <f t="shared" si="61"/>
        <v>94</v>
      </c>
      <c r="K83" s="167">
        <f t="shared" si="62"/>
        <v>71</v>
      </c>
      <c r="L83" s="168">
        <f t="shared" si="63"/>
        <v>71</v>
      </c>
      <c r="M83" s="166">
        <f t="shared" si="64"/>
        <v>177</v>
      </c>
      <c r="N83" s="167">
        <f t="shared" si="65"/>
        <v>133</v>
      </c>
      <c r="O83" s="168">
        <f t="shared" si="66"/>
        <v>133</v>
      </c>
      <c r="P83" s="169">
        <f t="shared" si="67"/>
        <v>237</v>
      </c>
      <c r="Q83" s="169">
        <f t="shared" si="68"/>
        <v>177</v>
      </c>
      <c r="R83" s="169">
        <f t="shared" si="69"/>
        <v>177</v>
      </c>
      <c r="S83" s="584">
        <f t="shared" si="70"/>
        <v>1422</v>
      </c>
      <c r="T83" s="594">
        <f t="shared" si="71"/>
        <v>1066</v>
      </c>
      <c r="U83" s="595">
        <f t="shared" si="72"/>
        <v>1066</v>
      </c>
      <c r="V83" s="166">
        <f t="shared" si="73"/>
        <v>2932</v>
      </c>
      <c r="W83" s="167">
        <f t="shared" si="74"/>
        <v>2201</v>
      </c>
      <c r="X83" s="168">
        <f t="shared" si="75"/>
        <v>2201</v>
      </c>
      <c r="Y83" s="166">
        <f t="shared" si="76"/>
        <v>3169</v>
      </c>
      <c r="Z83" s="167">
        <f t="shared" si="77"/>
        <v>2555</v>
      </c>
      <c r="AA83" s="168">
        <f t="shared" si="78"/>
        <v>2378</v>
      </c>
      <c r="AB83" s="166">
        <f t="shared" si="79"/>
        <v>3643</v>
      </c>
      <c r="AC83" s="167">
        <f t="shared" si="80"/>
        <v>2732</v>
      </c>
      <c r="AD83" s="168">
        <f t="shared" si="81"/>
        <v>2555</v>
      </c>
      <c r="AE83" s="166">
        <f t="shared" si="82"/>
        <v>4117</v>
      </c>
      <c r="AF83" s="167">
        <f t="shared" si="83"/>
        <v>2909</v>
      </c>
      <c r="AG83" s="168">
        <f t="shared" si="84"/>
        <v>2909</v>
      </c>
      <c r="AH83" s="166">
        <f t="shared" si="85"/>
        <v>4591</v>
      </c>
      <c r="AI83" s="167">
        <f t="shared" si="86"/>
        <v>3263</v>
      </c>
      <c r="AJ83" s="168">
        <f t="shared" si="87"/>
        <v>3263</v>
      </c>
      <c r="AK83" s="169">
        <f t="shared" si="88"/>
        <v>4834</v>
      </c>
      <c r="AL83" s="167">
        <f t="shared" si="89"/>
        <v>3625</v>
      </c>
      <c r="AM83" s="585">
        <f t="shared" si="90"/>
        <v>3625</v>
      </c>
      <c r="AN83" s="586">
        <v>110</v>
      </c>
      <c r="AO83" s="686">
        <v>120</v>
      </c>
      <c r="AP83" s="686">
        <v>130</v>
      </c>
      <c r="AQ83" s="587">
        <v>140</v>
      </c>
      <c r="AR83" s="687">
        <v>150</v>
      </c>
      <c r="AS83" s="586"/>
      <c r="AT83" s="587"/>
      <c r="AU83" s="587"/>
      <c r="AV83" s="588"/>
      <c r="AW83" s="589"/>
      <c r="AX83" s="596">
        <v>1.4999999999999999E-2</v>
      </c>
      <c r="AY83" s="598">
        <v>1.7999999999999999E-2</v>
      </c>
      <c r="AZ83" s="598">
        <v>2.1000000000000001E-2</v>
      </c>
      <c r="BA83" s="598">
        <v>2.4E-2</v>
      </c>
      <c r="BB83" s="598">
        <v>2.7E-2</v>
      </c>
      <c r="BC83" s="590"/>
      <c r="BD83" s="631"/>
      <c r="BE83" s="596"/>
      <c r="BF83" s="598"/>
      <c r="BG83" s="598"/>
      <c r="BH83" s="598"/>
      <c r="BI83" s="598"/>
      <c r="BJ83" s="598"/>
      <c r="BK83" s="605"/>
      <c r="BL83" s="658">
        <f t="shared" si="91"/>
        <v>11850</v>
      </c>
      <c r="BM83" s="3">
        <f t="shared" si="92"/>
        <v>40</v>
      </c>
      <c r="BN83" s="3">
        <f t="shared" si="93"/>
        <v>30</v>
      </c>
      <c r="BO83" s="3">
        <f t="shared" si="94"/>
        <v>30</v>
      </c>
    </row>
    <row r="84" spans="2:67">
      <c r="B84" s="207" t="s">
        <v>425</v>
      </c>
      <c r="C84" s="889" t="s">
        <v>357</v>
      </c>
      <c r="D84" s="889" t="s">
        <v>14</v>
      </c>
      <c r="E84" s="237" t="s">
        <v>65</v>
      </c>
      <c r="F84" s="592">
        <v>81</v>
      </c>
      <c r="G84" s="593">
        <v>4800</v>
      </c>
      <c r="H84" s="594">
        <v>4000</v>
      </c>
      <c r="I84" s="595">
        <v>7200</v>
      </c>
      <c r="J84" s="166">
        <f t="shared" si="61"/>
        <v>96</v>
      </c>
      <c r="K84" s="167">
        <f t="shared" si="62"/>
        <v>80</v>
      </c>
      <c r="L84" s="168">
        <f t="shared" si="63"/>
        <v>144</v>
      </c>
      <c r="M84" s="166">
        <f t="shared" si="64"/>
        <v>144</v>
      </c>
      <c r="N84" s="167">
        <f t="shared" si="65"/>
        <v>120</v>
      </c>
      <c r="O84" s="168">
        <f t="shared" si="66"/>
        <v>216</v>
      </c>
      <c r="P84" s="169">
        <f t="shared" si="67"/>
        <v>192</v>
      </c>
      <c r="Q84" s="169">
        <f t="shared" si="68"/>
        <v>160</v>
      </c>
      <c r="R84" s="169">
        <f t="shared" si="69"/>
        <v>288</v>
      </c>
      <c r="S84" s="584">
        <f t="shared" si="70"/>
        <v>1440</v>
      </c>
      <c r="T84" s="594">
        <f t="shared" si="71"/>
        <v>1200</v>
      </c>
      <c r="U84" s="595">
        <f t="shared" si="72"/>
        <v>2160</v>
      </c>
      <c r="V84" s="166">
        <f t="shared" si="73"/>
        <v>2976</v>
      </c>
      <c r="W84" s="167">
        <f t="shared" si="74"/>
        <v>2480</v>
      </c>
      <c r="X84" s="168">
        <f t="shared" si="75"/>
        <v>4464</v>
      </c>
      <c r="Y84" s="166">
        <f t="shared" si="76"/>
        <v>3360</v>
      </c>
      <c r="Z84" s="167">
        <f t="shared" si="77"/>
        <v>2800</v>
      </c>
      <c r="AA84" s="168">
        <f t="shared" si="78"/>
        <v>5040</v>
      </c>
      <c r="AB84" s="166">
        <f t="shared" si="79"/>
        <v>3744</v>
      </c>
      <c r="AC84" s="167">
        <f t="shared" si="80"/>
        <v>3120</v>
      </c>
      <c r="AD84" s="168">
        <f t="shared" si="81"/>
        <v>5616</v>
      </c>
      <c r="AE84" s="166">
        <f t="shared" si="82"/>
        <v>4128</v>
      </c>
      <c r="AF84" s="167">
        <f t="shared" si="83"/>
        <v>3440</v>
      </c>
      <c r="AG84" s="168">
        <f t="shared" si="84"/>
        <v>5904</v>
      </c>
      <c r="AH84" s="166">
        <f t="shared" si="85"/>
        <v>4320</v>
      </c>
      <c r="AI84" s="167">
        <f t="shared" si="86"/>
        <v>3920</v>
      </c>
      <c r="AJ84" s="168">
        <f t="shared" si="87"/>
        <v>6480</v>
      </c>
      <c r="AK84" s="169">
        <f t="shared" si="88"/>
        <v>4896</v>
      </c>
      <c r="AL84" s="167">
        <f t="shared" si="89"/>
        <v>4080</v>
      </c>
      <c r="AM84" s="585">
        <f t="shared" si="90"/>
        <v>7344</v>
      </c>
      <c r="AN84" s="596">
        <v>0.05</v>
      </c>
      <c r="AO84" s="597">
        <v>5.5E-2</v>
      </c>
      <c r="AP84" s="597">
        <v>0.06</v>
      </c>
      <c r="AQ84" s="598">
        <v>6.5000000000000002E-2</v>
      </c>
      <c r="AR84" s="599">
        <v>7.0000000000000007E-2</v>
      </c>
      <c r="AS84" s="586"/>
      <c r="AT84" s="587"/>
      <c r="AU84" s="587"/>
      <c r="AV84" s="588"/>
      <c r="AW84" s="589"/>
      <c r="AX84" s="596">
        <v>0.02</v>
      </c>
      <c r="AY84" s="598">
        <v>2.3E-2</v>
      </c>
      <c r="AZ84" s="598">
        <v>2.5999999999999999E-2</v>
      </c>
      <c r="BA84" s="598">
        <v>2.9000000000000001E-2</v>
      </c>
      <c r="BB84" s="598">
        <v>3.2000000000000001E-2</v>
      </c>
      <c r="BC84" s="590"/>
      <c r="BD84" s="631"/>
      <c r="BE84" s="596"/>
      <c r="BF84" s="598"/>
      <c r="BG84" s="598"/>
      <c r="BH84" s="598"/>
      <c r="BI84" s="598"/>
      <c r="BJ84" s="598"/>
      <c r="BK84" s="605"/>
      <c r="BL84" s="658">
        <f t="shared" si="91"/>
        <v>16000</v>
      </c>
      <c r="BM84" s="3">
        <f t="shared" si="92"/>
        <v>30</v>
      </c>
      <c r="BN84" s="3">
        <f t="shared" si="93"/>
        <v>25</v>
      </c>
      <c r="BO84" s="3">
        <f t="shared" si="94"/>
        <v>45</v>
      </c>
    </row>
    <row r="85" spans="2:67">
      <c r="B85" s="207" t="s">
        <v>510</v>
      </c>
      <c r="C85" s="889" t="s">
        <v>467</v>
      </c>
      <c r="D85" s="889" t="s">
        <v>13</v>
      </c>
      <c r="E85" s="237" t="s">
        <v>65</v>
      </c>
      <c r="F85" s="592">
        <v>82</v>
      </c>
      <c r="G85" s="593">
        <v>3104</v>
      </c>
      <c r="H85" s="594">
        <v>2587</v>
      </c>
      <c r="I85" s="595">
        <v>4657</v>
      </c>
      <c r="J85" s="166">
        <f t="shared" si="61"/>
        <v>62</v>
      </c>
      <c r="K85" s="167">
        <f t="shared" si="62"/>
        <v>51</v>
      </c>
      <c r="L85" s="168">
        <f t="shared" si="63"/>
        <v>93</v>
      </c>
      <c r="M85" s="166">
        <f t="shared" si="64"/>
        <v>116</v>
      </c>
      <c r="N85" s="167">
        <f t="shared" si="65"/>
        <v>97</v>
      </c>
      <c r="O85" s="168">
        <f t="shared" si="66"/>
        <v>174</v>
      </c>
      <c r="P85" s="169">
        <f t="shared" si="67"/>
        <v>155</v>
      </c>
      <c r="Q85" s="169">
        <f t="shared" si="68"/>
        <v>129</v>
      </c>
      <c r="R85" s="169">
        <f t="shared" si="69"/>
        <v>232</v>
      </c>
      <c r="S85" s="584">
        <f t="shared" si="70"/>
        <v>931</v>
      </c>
      <c r="T85" s="594">
        <f t="shared" si="71"/>
        <v>776</v>
      </c>
      <c r="U85" s="595">
        <f t="shared" si="72"/>
        <v>1397</v>
      </c>
      <c r="V85" s="166">
        <f t="shared" si="73"/>
        <v>1921</v>
      </c>
      <c r="W85" s="167">
        <f t="shared" si="74"/>
        <v>1603</v>
      </c>
      <c r="X85" s="168">
        <f t="shared" si="75"/>
        <v>2882</v>
      </c>
      <c r="Y85" s="166">
        <f t="shared" si="76"/>
        <v>2076</v>
      </c>
      <c r="Z85" s="167">
        <f t="shared" si="77"/>
        <v>1861</v>
      </c>
      <c r="AA85" s="168">
        <f t="shared" si="78"/>
        <v>3114</v>
      </c>
      <c r="AB85" s="166">
        <f t="shared" si="79"/>
        <v>2386</v>
      </c>
      <c r="AC85" s="167">
        <f t="shared" si="80"/>
        <v>1990</v>
      </c>
      <c r="AD85" s="168">
        <f t="shared" si="81"/>
        <v>3346</v>
      </c>
      <c r="AE85" s="166">
        <f t="shared" si="82"/>
        <v>2696</v>
      </c>
      <c r="AF85" s="167">
        <f t="shared" si="83"/>
        <v>2119</v>
      </c>
      <c r="AG85" s="168">
        <f t="shared" si="84"/>
        <v>3810</v>
      </c>
      <c r="AH85" s="166">
        <f t="shared" si="85"/>
        <v>3006</v>
      </c>
      <c r="AI85" s="167">
        <f t="shared" si="86"/>
        <v>2377</v>
      </c>
      <c r="AJ85" s="168">
        <f t="shared" si="87"/>
        <v>4274</v>
      </c>
      <c r="AK85" s="169">
        <f t="shared" si="88"/>
        <v>3166</v>
      </c>
      <c r="AL85" s="167">
        <f t="shared" si="89"/>
        <v>2638</v>
      </c>
      <c r="AM85" s="585">
        <f t="shared" si="90"/>
        <v>4750</v>
      </c>
      <c r="AN85" s="586">
        <v>200</v>
      </c>
      <c r="AO85" s="686">
        <v>250</v>
      </c>
      <c r="AP85" s="686">
        <v>300</v>
      </c>
      <c r="AQ85" s="587">
        <v>350</v>
      </c>
      <c r="AR85" s="687">
        <v>400</v>
      </c>
      <c r="AS85" s="586"/>
      <c r="AT85" s="587"/>
      <c r="AU85" s="587"/>
      <c r="AV85" s="588"/>
      <c r="AW85" s="589"/>
      <c r="AX85" s="596">
        <v>0.01</v>
      </c>
      <c r="AY85" s="598">
        <v>1.2999999999999999E-2</v>
      </c>
      <c r="AZ85" s="598">
        <v>1.6E-2</v>
      </c>
      <c r="BA85" s="598">
        <v>1.9E-2</v>
      </c>
      <c r="BB85" s="598">
        <v>2.1999999999999999E-2</v>
      </c>
      <c r="BC85" s="590"/>
      <c r="BD85" s="631"/>
      <c r="BE85" s="596"/>
      <c r="BF85" s="598"/>
      <c r="BG85" s="598"/>
      <c r="BH85" s="598"/>
      <c r="BI85" s="598"/>
      <c r="BJ85" s="598"/>
      <c r="BK85" s="605"/>
      <c r="BL85" s="658">
        <f t="shared" si="91"/>
        <v>10350</v>
      </c>
      <c r="BM85" s="3">
        <f t="shared" si="92"/>
        <v>30</v>
      </c>
      <c r="BN85" s="3">
        <f t="shared" si="93"/>
        <v>25</v>
      </c>
      <c r="BO85" s="3">
        <f t="shared" si="94"/>
        <v>45</v>
      </c>
    </row>
    <row r="86" spans="2:67">
      <c r="B86" s="207" t="s">
        <v>511</v>
      </c>
      <c r="C86" s="889" t="s">
        <v>467</v>
      </c>
      <c r="D86" s="889" t="s">
        <v>14</v>
      </c>
      <c r="E86" s="237" t="s">
        <v>65</v>
      </c>
      <c r="F86" s="592">
        <v>83</v>
      </c>
      <c r="G86" s="593">
        <v>3554</v>
      </c>
      <c r="H86" s="594">
        <v>4740</v>
      </c>
      <c r="I86" s="595">
        <v>3554</v>
      </c>
      <c r="J86" s="166">
        <f t="shared" si="61"/>
        <v>71</v>
      </c>
      <c r="K86" s="167">
        <f t="shared" si="62"/>
        <v>94</v>
      </c>
      <c r="L86" s="168">
        <f t="shared" si="63"/>
        <v>71</v>
      </c>
      <c r="M86" s="166">
        <f t="shared" si="64"/>
        <v>133</v>
      </c>
      <c r="N86" s="167">
        <f t="shared" si="65"/>
        <v>177</v>
      </c>
      <c r="O86" s="168">
        <f t="shared" si="66"/>
        <v>133</v>
      </c>
      <c r="P86" s="169">
        <f t="shared" si="67"/>
        <v>177</v>
      </c>
      <c r="Q86" s="169">
        <f t="shared" si="68"/>
        <v>237</v>
      </c>
      <c r="R86" s="169">
        <f t="shared" si="69"/>
        <v>177</v>
      </c>
      <c r="S86" s="584">
        <f t="shared" si="70"/>
        <v>1066</v>
      </c>
      <c r="T86" s="594">
        <f t="shared" si="71"/>
        <v>1422</v>
      </c>
      <c r="U86" s="595">
        <f t="shared" si="72"/>
        <v>1066</v>
      </c>
      <c r="V86" s="166">
        <f t="shared" si="73"/>
        <v>2201</v>
      </c>
      <c r="W86" s="167">
        <f t="shared" si="74"/>
        <v>2932</v>
      </c>
      <c r="X86" s="168">
        <f t="shared" si="75"/>
        <v>2201</v>
      </c>
      <c r="Y86" s="166">
        <f t="shared" si="76"/>
        <v>2555</v>
      </c>
      <c r="Z86" s="167">
        <f t="shared" si="77"/>
        <v>3169</v>
      </c>
      <c r="AA86" s="168">
        <f t="shared" si="78"/>
        <v>2378</v>
      </c>
      <c r="AB86" s="166">
        <f t="shared" si="79"/>
        <v>2732</v>
      </c>
      <c r="AC86" s="167">
        <f t="shared" si="80"/>
        <v>3406</v>
      </c>
      <c r="AD86" s="168">
        <f t="shared" si="81"/>
        <v>2732</v>
      </c>
      <c r="AE86" s="166">
        <f t="shared" si="82"/>
        <v>2909</v>
      </c>
      <c r="AF86" s="167">
        <f t="shared" si="83"/>
        <v>3880</v>
      </c>
      <c r="AG86" s="168">
        <f t="shared" si="84"/>
        <v>3086</v>
      </c>
      <c r="AH86" s="166">
        <f t="shared" si="85"/>
        <v>3263</v>
      </c>
      <c r="AI86" s="167">
        <f t="shared" si="86"/>
        <v>4354</v>
      </c>
      <c r="AJ86" s="168">
        <f t="shared" si="87"/>
        <v>3440</v>
      </c>
      <c r="AK86" s="169">
        <f t="shared" si="88"/>
        <v>3625</v>
      </c>
      <c r="AL86" s="167">
        <f t="shared" si="89"/>
        <v>4834</v>
      </c>
      <c r="AM86" s="585">
        <f t="shared" si="90"/>
        <v>3625</v>
      </c>
      <c r="AN86" s="586">
        <v>160</v>
      </c>
      <c r="AO86" s="686">
        <v>170</v>
      </c>
      <c r="AP86" s="686">
        <v>180</v>
      </c>
      <c r="AQ86" s="587">
        <v>190</v>
      </c>
      <c r="AR86" s="687">
        <v>200</v>
      </c>
      <c r="AS86" s="586"/>
      <c r="AT86" s="587"/>
      <c r="AU86" s="587"/>
      <c r="AV86" s="588"/>
      <c r="AW86" s="589"/>
      <c r="AX86" s="596">
        <v>1.4999999999999999E-2</v>
      </c>
      <c r="AY86" s="598">
        <v>1.7999999999999999E-2</v>
      </c>
      <c r="AZ86" s="598">
        <v>2.1000000000000001E-2</v>
      </c>
      <c r="BA86" s="598">
        <v>2.4E-2</v>
      </c>
      <c r="BB86" s="598">
        <v>2.7E-2</v>
      </c>
      <c r="BC86" s="590"/>
      <c r="BD86" s="631"/>
      <c r="BE86" s="596"/>
      <c r="BF86" s="598"/>
      <c r="BG86" s="598"/>
      <c r="BH86" s="598"/>
      <c r="BI86" s="598"/>
      <c r="BJ86" s="598"/>
      <c r="BK86" s="605"/>
      <c r="BL86" s="658">
        <f t="shared" si="91"/>
        <v>11850</v>
      </c>
      <c r="BM86" s="3">
        <f t="shared" si="92"/>
        <v>30</v>
      </c>
      <c r="BN86" s="3">
        <f t="shared" si="93"/>
        <v>40</v>
      </c>
      <c r="BO86" s="3">
        <f t="shared" si="94"/>
        <v>30</v>
      </c>
    </row>
    <row r="87" spans="2:67">
      <c r="B87" s="207" t="s">
        <v>426</v>
      </c>
      <c r="C87" s="889" t="s">
        <v>357</v>
      </c>
      <c r="D87" s="889" t="s">
        <v>70</v>
      </c>
      <c r="E87" s="237" t="s">
        <v>65</v>
      </c>
      <c r="F87" s="592">
        <v>84</v>
      </c>
      <c r="G87" s="593">
        <v>6400</v>
      </c>
      <c r="H87" s="594">
        <v>4800</v>
      </c>
      <c r="I87" s="595">
        <v>4800</v>
      </c>
      <c r="J87" s="166">
        <f t="shared" si="61"/>
        <v>128</v>
      </c>
      <c r="K87" s="167">
        <f t="shared" si="62"/>
        <v>96</v>
      </c>
      <c r="L87" s="168">
        <f t="shared" si="63"/>
        <v>96</v>
      </c>
      <c r="M87" s="166">
        <f t="shared" si="64"/>
        <v>192</v>
      </c>
      <c r="N87" s="167">
        <f t="shared" si="65"/>
        <v>144</v>
      </c>
      <c r="O87" s="168">
        <f t="shared" si="66"/>
        <v>144</v>
      </c>
      <c r="P87" s="169">
        <f t="shared" si="67"/>
        <v>256</v>
      </c>
      <c r="Q87" s="169">
        <f t="shared" si="68"/>
        <v>192</v>
      </c>
      <c r="R87" s="169">
        <f t="shared" si="69"/>
        <v>192</v>
      </c>
      <c r="S87" s="584">
        <f t="shared" si="70"/>
        <v>1920</v>
      </c>
      <c r="T87" s="594">
        <f t="shared" si="71"/>
        <v>1440</v>
      </c>
      <c r="U87" s="595">
        <f t="shared" si="72"/>
        <v>1440</v>
      </c>
      <c r="V87" s="166">
        <f t="shared" si="73"/>
        <v>3968</v>
      </c>
      <c r="W87" s="167">
        <f t="shared" si="74"/>
        <v>2976</v>
      </c>
      <c r="X87" s="168">
        <f t="shared" si="75"/>
        <v>2976</v>
      </c>
      <c r="Y87" s="166">
        <f t="shared" si="76"/>
        <v>4480</v>
      </c>
      <c r="Z87" s="167">
        <f t="shared" si="77"/>
        <v>3360</v>
      </c>
      <c r="AA87" s="168">
        <f t="shared" si="78"/>
        <v>3360</v>
      </c>
      <c r="AB87" s="166">
        <f t="shared" si="79"/>
        <v>4992</v>
      </c>
      <c r="AC87" s="167">
        <f t="shared" si="80"/>
        <v>3744</v>
      </c>
      <c r="AD87" s="168">
        <f t="shared" si="81"/>
        <v>3744</v>
      </c>
      <c r="AE87" s="166">
        <f t="shared" si="82"/>
        <v>5504</v>
      </c>
      <c r="AF87" s="167">
        <f t="shared" si="83"/>
        <v>3936</v>
      </c>
      <c r="AG87" s="168">
        <f t="shared" si="84"/>
        <v>4128</v>
      </c>
      <c r="AH87" s="166">
        <f t="shared" si="85"/>
        <v>5760</v>
      </c>
      <c r="AI87" s="167">
        <f t="shared" si="86"/>
        <v>4320</v>
      </c>
      <c r="AJ87" s="168">
        <f t="shared" si="87"/>
        <v>4704</v>
      </c>
      <c r="AK87" s="169">
        <f t="shared" si="88"/>
        <v>6528</v>
      </c>
      <c r="AL87" s="167">
        <f t="shared" si="89"/>
        <v>4896</v>
      </c>
      <c r="AM87" s="585">
        <f t="shared" si="90"/>
        <v>4896</v>
      </c>
      <c r="AN87" s="596">
        <v>3.2000000000000001E-2</v>
      </c>
      <c r="AO87" s="597">
        <v>3.4000000000000002E-2</v>
      </c>
      <c r="AP87" s="597">
        <v>3.5999999999999997E-2</v>
      </c>
      <c r="AQ87" s="598">
        <v>3.7999999999999999E-2</v>
      </c>
      <c r="AR87" s="599">
        <v>0.04</v>
      </c>
      <c r="AS87" s="586"/>
      <c r="AT87" s="587"/>
      <c r="AU87" s="587"/>
      <c r="AV87" s="588"/>
      <c r="AW87" s="589"/>
      <c r="AX87" s="596">
        <v>0.03</v>
      </c>
      <c r="AY87" s="598">
        <v>3.5000000000000003E-2</v>
      </c>
      <c r="AZ87" s="598">
        <v>0.04</v>
      </c>
      <c r="BA87" s="598">
        <v>4.4999999999999998E-2</v>
      </c>
      <c r="BB87" s="598">
        <v>0.05</v>
      </c>
      <c r="BC87" s="590"/>
      <c r="BD87" s="631"/>
      <c r="BE87" s="596"/>
      <c r="BF87" s="598"/>
      <c r="BG87" s="598"/>
      <c r="BH87" s="598"/>
      <c r="BI87" s="598"/>
      <c r="BJ87" s="598"/>
      <c r="BK87" s="605"/>
      <c r="BL87" s="658">
        <f t="shared" si="91"/>
        <v>16000</v>
      </c>
      <c r="BM87" s="3">
        <f t="shared" si="92"/>
        <v>40</v>
      </c>
      <c r="BN87" s="3">
        <f t="shared" si="93"/>
        <v>30</v>
      </c>
      <c r="BO87" s="3">
        <f t="shared" si="94"/>
        <v>30</v>
      </c>
    </row>
    <row r="88" spans="2:67">
      <c r="B88" s="207" t="s">
        <v>512</v>
      </c>
      <c r="C88" s="889" t="s">
        <v>467</v>
      </c>
      <c r="D88" s="889" t="s">
        <v>13</v>
      </c>
      <c r="E88" s="237" t="s">
        <v>65</v>
      </c>
      <c r="F88" s="592">
        <v>85</v>
      </c>
      <c r="G88" s="593">
        <v>3414</v>
      </c>
      <c r="H88" s="594">
        <v>3414</v>
      </c>
      <c r="I88" s="595">
        <v>3517</v>
      </c>
      <c r="J88" s="166">
        <f t="shared" si="61"/>
        <v>68</v>
      </c>
      <c r="K88" s="167">
        <f t="shared" si="62"/>
        <v>68</v>
      </c>
      <c r="L88" s="168">
        <f t="shared" si="63"/>
        <v>70</v>
      </c>
      <c r="M88" s="166">
        <f t="shared" si="64"/>
        <v>128</v>
      </c>
      <c r="N88" s="167">
        <f t="shared" si="65"/>
        <v>128</v>
      </c>
      <c r="O88" s="168">
        <f t="shared" si="66"/>
        <v>131</v>
      </c>
      <c r="P88" s="169">
        <f t="shared" si="67"/>
        <v>170</v>
      </c>
      <c r="Q88" s="169">
        <f t="shared" si="68"/>
        <v>170</v>
      </c>
      <c r="R88" s="169">
        <f t="shared" si="69"/>
        <v>175</v>
      </c>
      <c r="S88" s="584">
        <f t="shared" si="70"/>
        <v>1024</v>
      </c>
      <c r="T88" s="594">
        <f t="shared" si="71"/>
        <v>1024</v>
      </c>
      <c r="U88" s="595">
        <f t="shared" si="72"/>
        <v>1055</v>
      </c>
      <c r="V88" s="166">
        <f t="shared" si="73"/>
        <v>2116</v>
      </c>
      <c r="W88" s="167">
        <f t="shared" si="74"/>
        <v>2116</v>
      </c>
      <c r="X88" s="168">
        <f t="shared" si="75"/>
        <v>2173</v>
      </c>
      <c r="Y88" s="166">
        <f t="shared" si="76"/>
        <v>2286</v>
      </c>
      <c r="Z88" s="167">
        <f t="shared" si="77"/>
        <v>2456</v>
      </c>
      <c r="AA88" s="168">
        <f t="shared" si="78"/>
        <v>2348</v>
      </c>
      <c r="AB88" s="166">
        <f t="shared" si="79"/>
        <v>2626</v>
      </c>
      <c r="AC88" s="167">
        <f t="shared" si="80"/>
        <v>2626</v>
      </c>
      <c r="AD88" s="168">
        <f t="shared" si="81"/>
        <v>2523</v>
      </c>
      <c r="AE88" s="166">
        <f t="shared" si="82"/>
        <v>2966</v>
      </c>
      <c r="AF88" s="167">
        <f t="shared" si="83"/>
        <v>2796</v>
      </c>
      <c r="AG88" s="168">
        <f t="shared" si="84"/>
        <v>2873</v>
      </c>
      <c r="AH88" s="166">
        <f t="shared" si="85"/>
        <v>3306</v>
      </c>
      <c r="AI88" s="167">
        <f t="shared" si="86"/>
        <v>3136</v>
      </c>
      <c r="AJ88" s="168">
        <f t="shared" si="87"/>
        <v>3223</v>
      </c>
      <c r="AK88" s="169">
        <f t="shared" si="88"/>
        <v>3482</v>
      </c>
      <c r="AL88" s="167">
        <f t="shared" si="89"/>
        <v>3482</v>
      </c>
      <c r="AM88" s="585">
        <f t="shared" si="90"/>
        <v>3587</v>
      </c>
      <c r="AN88" s="586">
        <v>200</v>
      </c>
      <c r="AO88" s="686">
        <v>250</v>
      </c>
      <c r="AP88" s="686">
        <v>300</v>
      </c>
      <c r="AQ88" s="587">
        <v>350</v>
      </c>
      <c r="AR88" s="687">
        <v>400</v>
      </c>
      <c r="AS88" s="586"/>
      <c r="AT88" s="587"/>
      <c r="AU88" s="587"/>
      <c r="AV88" s="588"/>
      <c r="AW88" s="589"/>
      <c r="AX88" s="596">
        <v>0.01</v>
      </c>
      <c r="AY88" s="598">
        <v>1.4999999999999999E-2</v>
      </c>
      <c r="AZ88" s="598">
        <v>0.02</v>
      </c>
      <c r="BA88" s="598">
        <v>2.5000000000000001E-2</v>
      </c>
      <c r="BB88" s="598">
        <v>0.03</v>
      </c>
      <c r="BC88" s="590"/>
      <c r="BD88" s="631"/>
      <c r="BE88" s="596"/>
      <c r="BF88" s="598"/>
      <c r="BG88" s="598"/>
      <c r="BH88" s="598"/>
      <c r="BI88" s="598"/>
      <c r="BJ88" s="598"/>
      <c r="BK88" s="605"/>
      <c r="BL88" s="658">
        <f t="shared" si="91"/>
        <v>10350</v>
      </c>
      <c r="BM88" s="3">
        <f t="shared" si="92"/>
        <v>33</v>
      </c>
      <c r="BN88" s="3">
        <f t="shared" si="93"/>
        <v>33</v>
      </c>
      <c r="BO88" s="3">
        <f t="shared" si="94"/>
        <v>34</v>
      </c>
    </row>
    <row r="89" spans="2:67">
      <c r="B89" s="207" t="s">
        <v>513</v>
      </c>
      <c r="C89" s="889" t="s">
        <v>467</v>
      </c>
      <c r="D89" s="889" t="s">
        <v>70</v>
      </c>
      <c r="E89" s="237" t="s">
        <v>65</v>
      </c>
      <c r="F89" s="592">
        <v>86</v>
      </c>
      <c r="G89" s="593">
        <v>4740</v>
      </c>
      <c r="H89" s="594">
        <v>3554</v>
      </c>
      <c r="I89" s="595">
        <v>3554</v>
      </c>
      <c r="J89" s="166">
        <f t="shared" si="61"/>
        <v>94</v>
      </c>
      <c r="K89" s="167">
        <f t="shared" si="62"/>
        <v>71</v>
      </c>
      <c r="L89" s="168">
        <f t="shared" si="63"/>
        <v>71</v>
      </c>
      <c r="M89" s="166">
        <f t="shared" si="64"/>
        <v>177</v>
      </c>
      <c r="N89" s="167">
        <f t="shared" si="65"/>
        <v>133</v>
      </c>
      <c r="O89" s="168">
        <f t="shared" si="66"/>
        <v>133</v>
      </c>
      <c r="P89" s="169">
        <f t="shared" si="67"/>
        <v>237</v>
      </c>
      <c r="Q89" s="169">
        <f t="shared" si="68"/>
        <v>177</v>
      </c>
      <c r="R89" s="169">
        <f t="shared" si="69"/>
        <v>177</v>
      </c>
      <c r="S89" s="584">
        <f t="shared" si="70"/>
        <v>1422</v>
      </c>
      <c r="T89" s="594">
        <f t="shared" si="71"/>
        <v>1066</v>
      </c>
      <c r="U89" s="595">
        <f t="shared" si="72"/>
        <v>1066</v>
      </c>
      <c r="V89" s="166">
        <f t="shared" si="73"/>
        <v>2932</v>
      </c>
      <c r="W89" s="167">
        <f t="shared" si="74"/>
        <v>2201</v>
      </c>
      <c r="X89" s="168">
        <f t="shared" si="75"/>
        <v>2201</v>
      </c>
      <c r="Y89" s="166">
        <f t="shared" si="76"/>
        <v>3406</v>
      </c>
      <c r="Z89" s="167">
        <f t="shared" si="77"/>
        <v>2378</v>
      </c>
      <c r="AA89" s="168">
        <f t="shared" si="78"/>
        <v>2378</v>
      </c>
      <c r="AB89" s="166">
        <f t="shared" si="79"/>
        <v>3643</v>
      </c>
      <c r="AC89" s="167">
        <f t="shared" si="80"/>
        <v>2732</v>
      </c>
      <c r="AD89" s="168">
        <f t="shared" si="81"/>
        <v>2555</v>
      </c>
      <c r="AE89" s="166">
        <f t="shared" si="82"/>
        <v>3880</v>
      </c>
      <c r="AF89" s="167">
        <f t="shared" si="83"/>
        <v>3086</v>
      </c>
      <c r="AG89" s="168">
        <f t="shared" si="84"/>
        <v>2909</v>
      </c>
      <c r="AH89" s="166">
        <f t="shared" si="85"/>
        <v>4354</v>
      </c>
      <c r="AI89" s="167">
        <f t="shared" si="86"/>
        <v>3440</v>
      </c>
      <c r="AJ89" s="168">
        <f t="shared" si="87"/>
        <v>3263</v>
      </c>
      <c r="AK89" s="169">
        <f t="shared" si="88"/>
        <v>4834</v>
      </c>
      <c r="AL89" s="167">
        <f t="shared" si="89"/>
        <v>3625</v>
      </c>
      <c r="AM89" s="585">
        <f t="shared" si="90"/>
        <v>3625</v>
      </c>
      <c r="AN89" s="596">
        <v>0.03</v>
      </c>
      <c r="AO89" s="597">
        <v>3.3000000000000002E-2</v>
      </c>
      <c r="AP89" s="597">
        <v>3.5999999999999997E-2</v>
      </c>
      <c r="AQ89" s="598">
        <v>3.9E-2</v>
      </c>
      <c r="AR89" s="599">
        <v>4.2000000000000003E-2</v>
      </c>
      <c r="AS89" s="586"/>
      <c r="AT89" s="587"/>
      <c r="AU89" s="587"/>
      <c r="AV89" s="588"/>
      <c r="AW89" s="589"/>
      <c r="AX89" s="596">
        <v>1.4999999999999999E-2</v>
      </c>
      <c r="AY89" s="598">
        <v>1.7999999999999999E-2</v>
      </c>
      <c r="AZ89" s="598">
        <v>2.1000000000000001E-2</v>
      </c>
      <c r="BA89" s="598">
        <v>2.4E-2</v>
      </c>
      <c r="BB89" s="598">
        <v>2.7E-2</v>
      </c>
      <c r="BC89" s="590"/>
      <c r="BD89" s="631"/>
      <c r="BE89" s="596"/>
      <c r="BF89" s="598"/>
      <c r="BG89" s="598"/>
      <c r="BH89" s="598"/>
      <c r="BI89" s="598"/>
      <c r="BJ89" s="598"/>
      <c r="BK89" s="605"/>
      <c r="BL89" s="658">
        <f t="shared" si="91"/>
        <v>11850</v>
      </c>
      <c r="BM89" s="3">
        <f t="shared" si="92"/>
        <v>40</v>
      </c>
      <c r="BN89" s="3">
        <f t="shared" si="93"/>
        <v>30</v>
      </c>
      <c r="BO89" s="3">
        <f t="shared" si="94"/>
        <v>30</v>
      </c>
    </row>
    <row r="90" spans="2:67">
      <c r="B90" s="207" t="s">
        <v>427</v>
      </c>
      <c r="C90" s="889" t="s">
        <v>357</v>
      </c>
      <c r="D90" s="889" t="s">
        <v>23</v>
      </c>
      <c r="E90" s="237" t="s">
        <v>65</v>
      </c>
      <c r="F90" s="592">
        <v>87</v>
      </c>
      <c r="G90" s="593">
        <v>4800</v>
      </c>
      <c r="H90" s="594">
        <v>4800</v>
      </c>
      <c r="I90" s="595">
        <v>6400</v>
      </c>
      <c r="J90" s="166">
        <f t="shared" si="61"/>
        <v>96</v>
      </c>
      <c r="K90" s="167">
        <f t="shared" si="62"/>
        <v>96</v>
      </c>
      <c r="L90" s="168">
        <f t="shared" si="63"/>
        <v>128</v>
      </c>
      <c r="M90" s="166">
        <f t="shared" si="64"/>
        <v>144</v>
      </c>
      <c r="N90" s="167">
        <f t="shared" si="65"/>
        <v>144</v>
      </c>
      <c r="O90" s="168">
        <f t="shared" si="66"/>
        <v>192</v>
      </c>
      <c r="P90" s="169">
        <f t="shared" si="67"/>
        <v>192</v>
      </c>
      <c r="Q90" s="169">
        <f t="shared" si="68"/>
        <v>192</v>
      </c>
      <c r="R90" s="169">
        <f t="shared" si="69"/>
        <v>256</v>
      </c>
      <c r="S90" s="584">
        <f t="shared" si="70"/>
        <v>1440</v>
      </c>
      <c r="T90" s="594">
        <f t="shared" si="71"/>
        <v>1440</v>
      </c>
      <c r="U90" s="595">
        <f t="shared" si="72"/>
        <v>1920</v>
      </c>
      <c r="V90" s="166">
        <f t="shared" si="73"/>
        <v>2976</v>
      </c>
      <c r="W90" s="167">
        <f t="shared" si="74"/>
        <v>2976</v>
      </c>
      <c r="X90" s="168">
        <f t="shared" si="75"/>
        <v>3968</v>
      </c>
      <c r="Y90" s="166">
        <f t="shared" si="76"/>
        <v>3360</v>
      </c>
      <c r="Z90" s="167">
        <f t="shared" si="77"/>
        <v>3360</v>
      </c>
      <c r="AA90" s="168">
        <f t="shared" si="78"/>
        <v>4480</v>
      </c>
      <c r="AB90" s="166">
        <f t="shared" si="79"/>
        <v>3744</v>
      </c>
      <c r="AC90" s="167">
        <f t="shared" si="80"/>
        <v>3744</v>
      </c>
      <c r="AD90" s="168">
        <f t="shared" si="81"/>
        <v>4992</v>
      </c>
      <c r="AE90" s="166">
        <f t="shared" si="82"/>
        <v>4128</v>
      </c>
      <c r="AF90" s="167">
        <f t="shared" si="83"/>
        <v>3936</v>
      </c>
      <c r="AG90" s="168">
        <f t="shared" si="84"/>
        <v>5504</v>
      </c>
      <c r="AH90" s="166">
        <f t="shared" si="85"/>
        <v>4704</v>
      </c>
      <c r="AI90" s="167">
        <f t="shared" si="86"/>
        <v>4320</v>
      </c>
      <c r="AJ90" s="168">
        <f t="shared" si="87"/>
        <v>5760</v>
      </c>
      <c r="AK90" s="169">
        <f t="shared" si="88"/>
        <v>4896</v>
      </c>
      <c r="AL90" s="167">
        <f t="shared" si="89"/>
        <v>4896</v>
      </c>
      <c r="AM90" s="585">
        <f t="shared" si="90"/>
        <v>6528</v>
      </c>
      <c r="AN90" s="596">
        <v>7.0000000000000007E-2</v>
      </c>
      <c r="AO90" s="597">
        <v>0.08</v>
      </c>
      <c r="AP90" s="597">
        <v>0.09</v>
      </c>
      <c r="AQ90" s="598">
        <v>0.1</v>
      </c>
      <c r="AR90" s="599">
        <v>0.11</v>
      </c>
      <c r="AS90" s="586"/>
      <c r="AT90" s="587"/>
      <c r="AU90" s="587"/>
      <c r="AV90" s="588"/>
      <c r="AW90" s="589"/>
      <c r="AX90" s="596">
        <v>0.05</v>
      </c>
      <c r="AY90" s="598">
        <v>5.5E-2</v>
      </c>
      <c r="AZ90" s="598">
        <v>0.06</v>
      </c>
      <c r="BA90" s="598">
        <v>6.5000000000000002E-2</v>
      </c>
      <c r="BB90" s="598">
        <v>7.0000000000000007E-2</v>
      </c>
      <c r="BC90" s="590"/>
      <c r="BD90" s="631"/>
      <c r="BE90" s="596"/>
      <c r="BF90" s="598"/>
      <c r="BG90" s="598"/>
      <c r="BH90" s="598"/>
      <c r="BI90" s="598"/>
      <c r="BJ90" s="598"/>
      <c r="BK90" s="605"/>
      <c r="BL90" s="658">
        <f t="shared" si="91"/>
        <v>16000</v>
      </c>
      <c r="BM90" s="3">
        <f t="shared" si="92"/>
        <v>30</v>
      </c>
      <c r="BN90" s="3">
        <f t="shared" si="93"/>
        <v>30</v>
      </c>
      <c r="BO90" s="3">
        <f t="shared" si="94"/>
        <v>40</v>
      </c>
    </row>
    <row r="91" spans="2:67">
      <c r="B91" s="207" t="s">
        <v>514</v>
      </c>
      <c r="C91" s="889" t="s">
        <v>467</v>
      </c>
      <c r="D91" s="889" t="s">
        <v>70</v>
      </c>
      <c r="E91" s="237" t="s">
        <v>65</v>
      </c>
      <c r="F91" s="592">
        <v>88</v>
      </c>
      <c r="G91" s="593">
        <v>3104</v>
      </c>
      <c r="H91" s="594">
        <v>4140</v>
      </c>
      <c r="I91" s="595">
        <v>3104</v>
      </c>
      <c r="J91" s="166">
        <f t="shared" si="61"/>
        <v>62</v>
      </c>
      <c r="K91" s="167">
        <f t="shared" si="62"/>
        <v>82</v>
      </c>
      <c r="L91" s="168">
        <f t="shared" si="63"/>
        <v>62</v>
      </c>
      <c r="M91" s="166">
        <f t="shared" si="64"/>
        <v>116</v>
      </c>
      <c r="N91" s="167">
        <f t="shared" si="65"/>
        <v>155</v>
      </c>
      <c r="O91" s="168">
        <f t="shared" si="66"/>
        <v>116</v>
      </c>
      <c r="P91" s="169">
        <f t="shared" si="67"/>
        <v>155</v>
      </c>
      <c r="Q91" s="169">
        <f t="shared" si="68"/>
        <v>207</v>
      </c>
      <c r="R91" s="169">
        <f t="shared" si="69"/>
        <v>155</v>
      </c>
      <c r="S91" s="584">
        <f t="shared" si="70"/>
        <v>931</v>
      </c>
      <c r="T91" s="594">
        <f t="shared" si="71"/>
        <v>1242</v>
      </c>
      <c r="U91" s="595">
        <f t="shared" si="72"/>
        <v>931</v>
      </c>
      <c r="V91" s="166">
        <f t="shared" si="73"/>
        <v>1921</v>
      </c>
      <c r="W91" s="167">
        <f t="shared" si="74"/>
        <v>2564</v>
      </c>
      <c r="X91" s="168">
        <f t="shared" si="75"/>
        <v>1921</v>
      </c>
      <c r="Y91" s="166">
        <f t="shared" si="76"/>
        <v>2231</v>
      </c>
      <c r="Z91" s="167">
        <f t="shared" si="77"/>
        <v>2771</v>
      </c>
      <c r="AA91" s="168">
        <f t="shared" si="78"/>
        <v>2076</v>
      </c>
      <c r="AB91" s="166">
        <f t="shared" si="79"/>
        <v>2386</v>
      </c>
      <c r="AC91" s="167">
        <f t="shared" si="80"/>
        <v>3185</v>
      </c>
      <c r="AD91" s="168">
        <f t="shared" si="81"/>
        <v>2231</v>
      </c>
      <c r="AE91" s="166">
        <f t="shared" si="82"/>
        <v>2541</v>
      </c>
      <c r="AF91" s="167">
        <f t="shared" si="83"/>
        <v>3599</v>
      </c>
      <c r="AG91" s="168">
        <f t="shared" si="84"/>
        <v>2541</v>
      </c>
      <c r="AH91" s="166">
        <f t="shared" si="85"/>
        <v>2851</v>
      </c>
      <c r="AI91" s="167">
        <f t="shared" si="86"/>
        <v>4013</v>
      </c>
      <c r="AJ91" s="168">
        <f t="shared" si="87"/>
        <v>2851</v>
      </c>
      <c r="AK91" s="169">
        <f t="shared" si="88"/>
        <v>3166</v>
      </c>
      <c r="AL91" s="167">
        <f t="shared" si="89"/>
        <v>4222</v>
      </c>
      <c r="AM91" s="585">
        <f t="shared" si="90"/>
        <v>3166</v>
      </c>
      <c r="AN91" s="596">
        <v>0.03</v>
      </c>
      <c r="AO91" s="597">
        <v>0.04</v>
      </c>
      <c r="AP91" s="597">
        <v>0.05</v>
      </c>
      <c r="AQ91" s="598">
        <v>0.06</v>
      </c>
      <c r="AR91" s="599">
        <v>7.0000000000000007E-2</v>
      </c>
      <c r="AS91" s="586"/>
      <c r="AT91" s="587"/>
      <c r="AU91" s="587"/>
      <c r="AV91" s="588"/>
      <c r="AW91" s="589"/>
      <c r="AX91" s="596">
        <v>1.4999999999999999E-2</v>
      </c>
      <c r="AY91" s="598">
        <v>1.7999999999999999E-2</v>
      </c>
      <c r="AZ91" s="598">
        <v>2.1000000000000001E-2</v>
      </c>
      <c r="BA91" s="598">
        <v>2.4E-2</v>
      </c>
      <c r="BB91" s="598">
        <v>2.7E-2</v>
      </c>
      <c r="BC91" s="590"/>
      <c r="BD91" s="631"/>
      <c r="BE91" s="596"/>
      <c r="BF91" s="598"/>
      <c r="BG91" s="598"/>
      <c r="BH91" s="598"/>
      <c r="BI91" s="598"/>
      <c r="BJ91" s="598"/>
      <c r="BK91" s="605"/>
      <c r="BL91" s="658">
        <f t="shared" si="91"/>
        <v>10350</v>
      </c>
      <c r="BM91" s="3">
        <f t="shared" si="92"/>
        <v>30</v>
      </c>
      <c r="BN91" s="3">
        <f t="shared" si="93"/>
        <v>40</v>
      </c>
      <c r="BO91" s="3">
        <f t="shared" si="94"/>
        <v>30</v>
      </c>
    </row>
    <row r="92" spans="2:67">
      <c r="B92" s="207" t="s">
        <v>515</v>
      </c>
      <c r="C92" s="889" t="s">
        <v>467</v>
      </c>
      <c r="D92" s="889" t="s">
        <v>23</v>
      </c>
      <c r="E92" s="237" t="s">
        <v>65</v>
      </c>
      <c r="F92" s="592">
        <v>89</v>
      </c>
      <c r="G92" s="593">
        <v>3554</v>
      </c>
      <c r="H92" s="594">
        <v>4147</v>
      </c>
      <c r="I92" s="595">
        <v>4147</v>
      </c>
      <c r="J92" s="166">
        <f t="shared" si="61"/>
        <v>71</v>
      </c>
      <c r="K92" s="167">
        <f t="shared" si="62"/>
        <v>82</v>
      </c>
      <c r="L92" s="168">
        <f t="shared" si="63"/>
        <v>82</v>
      </c>
      <c r="M92" s="166">
        <f t="shared" si="64"/>
        <v>133</v>
      </c>
      <c r="N92" s="167">
        <f t="shared" si="65"/>
        <v>155</v>
      </c>
      <c r="O92" s="168">
        <f t="shared" si="66"/>
        <v>155</v>
      </c>
      <c r="P92" s="169">
        <f t="shared" si="67"/>
        <v>177</v>
      </c>
      <c r="Q92" s="169">
        <f t="shared" si="68"/>
        <v>207</v>
      </c>
      <c r="R92" s="169">
        <f t="shared" si="69"/>
        <v>207</v>
      </c>
      <c r="S92" s="584">
        <f t="shared" si="70"/>
        <v>1066</v>
      </c>
      <c r="T92" s="594">
        <f t="shared" si="71"/>
        <v>1244</v>
      </c>
      <c r="U92" s="595">
        <f t="shared" si="72"/>
        <v>1244</v>
      </c>
      <c r="V92" s="166">
        <f t="shared" si="73"/>
        <v>2201</v>
      </c>
      <c r="W92" s="167">
        <f t="shared" si="74"/>
        <v>2566</v>
      </c>
      <c r="X92" s="168">
        <f t="shared" si="75"/>
        <v>2566</v>
      </c>
      <c r="Y92" s="166">
        <f t="shared" si="76"/>
        <v>2378</v>
      </c>
      <c r="Z92" s="167">
        <f t="shared" si="77"/>
        <v>2773</v>
      </c>
      <c r="AA92" s="168">
        <f t="shared" si="78"/>
        <v>2980</v>
      </c>
      <c r="AB92" s="166">
        <f t="shared" si="79"/>
        <v>2555</v>
      </c>
      <c r="AC92" s="167">
        <f t="shared" si="80"/>
        <v>3187</v>
      </c>
      <c r="AD92" s="168">
        <f t="shared" si="81"/>
        <v>3187</v>
      </c>
      <c r="AE92" s="166">
        <f t="shared" si="82"/>
        <v>2909</v>
      </c>
      <c r="AF92" s="167">
        <f t="shared" si="83"/>
        <v>3601</v>
      </c>
      <c r="AG92" s="168">
        <f t="shared" si="84"/>
        <v>3394</v>
      </c>
      <c r="AH92" s="166">
        <f t="shared" si="85"/>
        <v>3263</v>
      </c>
      <c r="AI92" s="167">
        <f t="shared" si="86"/>
        <v>4015</v>
      </c>
      <c r="AJ92" s="168">
        <f t="shared" si="87"/>
        <v>3808</v>
      </c>
      <c r="AK92" s="169">
        <f t="shared" si="88"/>
        <v>3625</v>
      </c>
      <c r="AL92" s="167">
        <f t="shared" si="89"/>
        <v>4229</v>
      </c>
      <c r="AM92" s="585">
        <f t="shared" si="90"/>
        <v>4229</v>
      </c>
      <c r="AN92" s="586">
        <v>200</v>
      </c>
      <c r="AO92" s="686">
        <v>250</v>
      </c>
      <c r="AP92" s="686">
        <v>300</v>
      </c>
      <c r="AQ92" s="587">
        <v>350</v>
      </c>
      <c r="AR92" s="687">
        <v>400</v>
      </c>
      <c r="AS92" s="586"/>
      <c r="AT92" s="587"/>
      <c r="AU92" s="587"/>
      <c r="AV92" s="588"/>
      <c r="AW92" s="589"/>
      <c r="AX92" s="596">
        <v>1.4999999999999999E-2</v>
      </c>
      <c r="AY92" s="598">
        <v>1.7999999999999999E-2</v>
      </c>
      <c r="AZ92" s="598">
        <v>2.1000000000000001E-2</v>
      </c>
      <c r="BA92" s="598">
        <v>2.4E-2</v>
      </c>
      <c r="BB92" s="598">
        <v>2.7E-2</v>
      </c>
      <c r="BC92" s="590"/>
      <c r="BD92" s="631"/>
      <c r="BE92" s="596"/>
      <c r="BF92" s="598"/>
      <c r="BG92" s="598"/>
      <c r="BH92" s="598"/>
      <c r="BI92" s="598"/>
      <c r="BJ92" s="598"/>
      <c r="BK92" s="605"/>
      <c r="BL92" s="658">
        <f t="shared" si="91"/>
        <v>11850</v>
      </c>
      <c r="BM92" s="3">
        <f t="shared" si="92"/>
        <v>30</v>
      </c>
      <c r="BN92" s="3">
        <f t="shared" si="93"/>
        <v>35</v>
      </c>
      <c r="BO92" s="3">
        <f t="shared" si="94"/>
        <v>35</v>
      </c>
    </row>
    <row r="93" spans="2:67">
      <c r="B93" s="207" t="s">
        <v>437</v>
      </c>
      <c r="C93" s="889" t="s">
        <v>357</v>
      </c>
      <c r="D93" s="889" t="s">
        <v>14</v>
      </c>
      <c r="E93" s="237" t="s">
        <v>65</v>
      </c>
      <c r="F93" s="592">
        <v>90</v>
      </c>
      <c r="G93" s="593">
        <v>5280</v>
      </c>
      <c r="H93" s="594">
        <v>5280</v>
      </c>
      <c r="I93" s="595">
        <v>5440</v>
      </c>
      <c r="J93" s="166">
        <f t="shared" si="61"/>
        <v>105</v>
      </c>
      <c r="K93" s="167">
        <f t="shared" si="62"/>
        <v>105</v>
      </c>
      <c r="L93" s="168">
        <f t="shared" si="63"/>
        <v>108</v>
      </c>
      <c r="M93" s="166">
        <f t="shared" si="64"/>
        <v>158</v>
      </c>
      <c r="N93" s="167">
        <f t="shared" si="65"/>
        <v>158</v>
      </c>
      <c r="O93" s="168">
        <f t="shared" si="66"/>
        <v>163</v>
      </c>
      <c r="P93" s="169">
        <f t="shared" si="67"/>
        <v>211</v>
      </c>
      <c r="Q93" s="169">
        <f t="shared" si="68"/>
        <v>211</v>
      </c>
      <c r="R93" s="169">
        <f t="shared" si="69"/>
        <v>217</v>
      </c>
      <c r="S93" s="584">
        <f t="shared" si="70"/>
        <v>1584</v>
      </c>
      <c r="T93" s="594">
        <f t="shared" si="71"/>
        <v>1584</v>
      </c>
      <c r="U93" s="595">
        <f t="shared" si="72"/>
        <v>1632</v>
      </c>
      <c r="V93" s="166">
        <f t="shared" si="73"/>
        <v>3269</v>
      </c>
      <c r="W93" s="167">
        <f t="shared" si="74"/>
        <v>3269</v>
      </c>
      <c r="X93" s="168">
        <f t="shared" si="75"/>
        <v>3370</v>
      </c>
      <c r="Y93" s="166">
        <f t="shared" si="76"/>
        <v>3691</v>
      </c>
      <c r="Z93" s="167">
        <f t="shared" si="77"/>
        <v>3691</v>
      </c>
      <c r="AA93" s="168">
        <f t="shared" si="78"/>
        <v>3804</v>
      </c>
      <c r="AB93" s="166">
        <f t="shared" si="79"/>
        <v>4113</v>
      </c>
      <c r="AC93" s="167">
        <f t="shared" si="80"/>
        <v>4113</v>
      </c>
      <c r="AD93" s="168">
        <f t="shared" si="81"/>
        <v>4238</v>
      </c>
      <c r="AE93" s="166">
        <f t="shared" si="82"/>
        <v>4535</v>
      </c>
      <c r="AF93" s="167">
        <f t="shared" si="83"/>
        <v>4535</v>
      </c>
      <c r="AG93" s="168">
        <f t="shared" si="84"/>
        <v>4455</v>
      </c>
      <c r="AH93" s="166">
        <f t="shared" si="85"/>
        <v>4746</v>
      </c>
      <c r="AI93" s="167">
        <f t="shared" si="86"/>
        <v>5168</v>
      </c>
      <c r="AJ93" s="168">
        <f t="shared" si="87"/>
        <v>4889</v>
      </c>
      <c r="AK93" s="169">
        <f t="shared" si="88"/>
        <v>5385</v>
      </c>
      <c r="AL93" s="167">
        <f t="shared" si="89"/>
        <v>5385</v>
      </c>
      <c r="AM93" s="585">
        <f t="shared" si="90"/>
        <v>5548</v>
      </c>
      <c r="AN93" s="596">
        <v>0.05</v>
      </c>
      <c r="AO93" s="597">
        <v>5.5E-2</v>
      </c>
      <c r="AP93" s="597">
        <v>0.06</v>
      </c>
      <c r="AQ93" s="598">
        <v>6.5000000000000002E-2</v>
      </c>
      <c r="AR93" s="599">
        <v>7.0000000000000007E-2</v>
      </c>
      <c r="AS93" s="586"/>
      <c r="AT93" s="587"/>
      <c r="AU93" s="587"/>
      <c r="AV93" s="588"/>
      <c r="AW93" s="589"/>
      <c r="AX93" s="596">
        <v>0.02</v>
      </c>
      <c r="AY93" s="598">
        <v>2.3E-2</v>
      </c>
      <c r="AZ93" s="598">
        <v>2.5999999999999999E-2</v>
      </c>
      <c r="BA93" s="598">
        <v>2.9000000000000001E-2</v>
      </c>
      <c r="BB93" s="598">
        <v>3.2000000000000001E-2</v>
      </c>
      <c r="BC93" s="590"/>
      <c r="BD93" s="631"/>
      <c r="BE93" s="596"/>
      <c r="BF93" s="598"/>
      <c r="BG93" s="598"/>
      <c r="BH93" s="598"/>
      <c r="BI93" s="598"/>
      <c r="BJ93" s="598"/>
      <c r="BK93" s="605"/>
      <c r="BL93" s="658">
        <f t="shared" si="91"/>
        <v>16000</v>
      </c>
      <c r="BM93" s="3">
        <f t="shared" si="92"/>
        <v>33</v>
      </c>
      <c r="BN93" s="3">
        <f t="shared" si="93"/>
        <v>33</v>
      </c>
      <c r="BO93" s="3">
        <f t="shared" si="94"/>
        <v>34</v>
      </c>
    </row>
    <row r="94" spans="2:67">
      <c r="B94" s="207" t="s">
        <v>517</v>
      </c>
      <c r="C94" s="882" t="s">
        <v>467</v>
      </c>
      <c r="D94" s="882" t="s">
        <v>14</v>
      </c>
      <c r="E94" s="237" t="s">
        <v>65</v>
      </c>
      <c r="F94" s="592">
        <v>91</v>
      </c>
      <c r="G94" s="593">
        <v>4140</v>
      </c>
      <c r="H94" s="594">
        <v>3104</v>
      </c>
      <c r="I94" s="595">
        <v>3104</v>
      </c>
      <c r="J94" s="166">
        <f t="shared" si="61"/>
        <v>82</v>
      </c>
      <c r="K94" s="167">
        <f t="shared" si="62"/>
        <v>62</v>
      </c>
      <c r="L94" s="168">
        <f t="shared" si="63"/>
        <v>62</v>
      </c>
      <c r="M94" s="166">
        <f t="shared" si="64"/>
        <v>155</v>
      </c>
      <c r="N94" s="167">
        <f t="shared" si="65"/>
        <v>116</v>
      </c>
      <c r="O94" s="168">
        <f t="shared" si="66"/>
        <v>116</v>
      </c>
      <c r="P94" s="169">
        <f t="shared" si="67"/>
        <v>207</v>
      </c>
      <c r="Q94" s="169">
        <f t="shared" si="68"/>
        <v>155</v>
      </c>
      <c r="R94" s="169">
        <f t="shared" si="69"/>
        <v>155</v>
      </c>
      <c r="S94" s="584">
        <f t="shared" si="70"/>
        <v>1242</v>
      </c>
      <c r="T94" s="594">
        <f t="shared" si="71"/>
        <v>931</v>
      </c>
      <c r="U94" s="595">
        <f t="shared" si="72"/>
        <v>931</v>
      </c>
      <c r="V94" s="166">
        <f t="shared" si="73"/>
        <v>2564</v>
      </c>
      <c r="W94" s="167">
        <f t="shared" si="74"/>
        <v>1921</v>
      </c>
      <c r="X94" s="168">
        <f t="shared" si="75"/>
        <v>1921</v>
      </c>
      <c r="Y94" s="166">
        <f t="shared" si="76"/>
        <v>2978</v>
      </c>
      <c r="Z94" s="167">
        <f t="shared" si="77"/>
        <v>2076</v>
      </c>
      <c r="AA94" s="168">
        <f t="shared" si="78"/>
        <v>2076</v>
      </c>
      <c r="AB94" s="166">
        <f t="shared" si="79"/>
        <v>3185</v>
      </c>
      <c r="AC94" s="167">
        <f t="shared" si="80"/>
        <v>2231</v>
      </c>
      <c r="AD94" s="168">
        <f t="shared" si="81"/>
        <v>2386</v>
      </c>
      <c r="AE94" s="166">
        <f t="shared" si="82"/>
        <v>3392</v>
      </c>
      <c r="AF94" s="167">
        <f t="shared" si="83"/>
        <v>2541</v>
      </c>
      <c r="AG94" s="168">
        <f t="shared" si="84"/>
        <v>2696</v>
      </c>
      <c r="AH94" s="166">
        <f t="shared" si="85"/>
        <v>3806</v>
      </c>
      <c r="AI94" s="167">
        <f t="shared" si="86"/>
        <v>2851</v>
      </c>
      <c r="AJ94" s="168">
        <f t="shared" si="87"/>
        <v>3006</v>
      </c>
      <c r="AK94" s="169">
        <f t="shared" si="88"/>
        <v>4222</v>
      </c>
      <c r="AL94" s="167">
        <f t="shared" si="89"/>
        <v>3166</v>
      </c>
      <c r="AM94" s="585">
        <f t="shared" si="90"/>
        <v>3166</v>
      </c>
      <c r="AN94" s="586">
        <v>200</v>
      </c>
      <c r="AO94" s="686">
        <v>250</v>
      </c>
      <c r="AP94" s="686">
        <v>300</v>
      </c>
      <c r="AQ94" s="587">
        <v>350</v>
      </c>
      <c r="AR94" s="687">
        <v>400</v>
      </c>
      <c r="AS94" s="586"/>
      <c r="AT94" s="587"/>
      <c r="AU94" s="587"/>
      <c r="AV94" s="588"/>
      <c r="AW94" s="589"/>
      <c r="AX94" s="596">
        <v>0.01</v>
      </c>
      <c r="AY94" s="598">
        <v>1.4999999999999999E-2</v>
      </c>
      <c r="AZ94" s="598">
        <v>0.02</v>
      </c>
      <c r="BA94" s="598">
        <v>2.5000000000000001E-2</v>
      </c>
      <c r="BB94" s="598">
        <v>0.03</v>
      </c>
      <c r="BC94" s="590"/>
      <c r="BD94" s="631"/>
      <c r="BE94" s="596"/>
      <c r="BF94" s="598"/>
      <c r="BG94" s="598"/>
      <c r="BH94" s="598"/>
      <c r="BI94" s="598"/>
      <c r="BJ94" s="598"/>
      <c r="BK94" s="605"/>
      <c r="BL94" s="658">
        <f t="shared" si="91"/>
        <v>10350</v>
      </c>
      <c r="BM94" s="3">
        <f t="shared" si="92"/>
        <v>40</v>
      </c>
      <c r="BN94" s="3">
        <f t="shared" si="93"/>
        <v>30</v>
      </c>
      <c r="BO94" s="3">
        <f t="shared" si="94"/>
        <v>30</v>
      </c>
    </row>
    <row r="95" spans="2:67">
      <c r="B95" s="207" t="s">
        <v>518</v>
      </c>
      <c r="C95" s="889" t="s">
        <v>467</v>
      </c>
      <c r="D95" s="889" t="s">
        <v>13</v>
      </c>
      <c r="E95" s="237" t="s">
        <v>65</v>
      </c>
      <c r="F95" s="592">
        <v>92</v>
      </c>
      <c r="G95" s="593">
        <v>3554</v>
      </c>
      <c r="H95" s="594">
        <v>4147</v>
      </c>
      <c r="I95" s="595">
        <v>4147</v>
      </c>
      <c r="J95" s="166">
        <f t="shared" si="61"/>
        <v>71</v>
      </c>
      <c r="K95" s="167">
        <f t="shared" si="62"/>
        <v>82</v>
      </c>
      <c r="L95" s="168">
        <f t="shared" si="63"/>
        <v>82</v>
      </c>
      <c r="M95" s="166">
        <f t="shared" si="64"/>
        <v>133</v>
      </c>
      <c r="N95" s="167">
        <f t="shared" si="65"/>
        <v>155</v>
      </c>
      <c r="O95" s="168">
        <f t="shared" si="66"/>
        <v>155</v>
      </c>
      <c r="P95" s="169">
        <f t="shared" si="67"/>
        <v>177</v>
      </c>
      <c r="Q95" s="169">
        <f t="shared" si="68"/>
        <v>207</v>
      </c>
      <c r="R95" s="169">
        <f t="shared" si="69"/>
        <v>207</v>
      </c>
      <c r="S95" s="584">
        <f t="shared" si="70"/>
        <v>1066</v>
      </c>
      <c r="T95" s="594">
        <f t="shared" si="71"/>
        <v>1244</v>
      </c>
      <c r="U95" s="595">
        <f t="shared" si="72"/>
        <v>1244</v>
      </c>
      <c r="V95" s="166">
        <f t="shared" si="73"/>
        <v>2201</v>
      </c>
      <c r="W95" s="167">
        <f t="shared" si="74"/>
        <v>2566</v>
      </c>
      <c r="X95" s="168">
        <f t="shared" si="75"/>
        <v>2566</v>
      </c>
      <c r="Y95" s="166">
        <f t="shared" si="76"/>
        <v>2378</v>
      </c>
      <c r="Z95" s="167">
        <f t="shared" si="77"/>
        <v>2980</v>
      </c>
      <c r="AA95" s="168">
        <f t="shared" si="78"/>
        <v>2773</v>
      </c>
      <c r="AB95" s="166">
        <f t="shared" si="79"/>
        <v>2732</v>
      </c>
      <c r="AC95" s="167">
        <f t="shared" si="80"/>
        <v>3187</v>
      </c>
      <c r="AD95" s="168">
        <f t="shared" si="81"/>
        <v>2980</v>
      </c>
      <c r="AE95" s="166">
        <f t="shared" si="82"/>
        <v>3086</v>
      </c>
      <c r="AF95" s="167">
        <f t="shared" si="83"/>
        <v>3394</v>
      </c>
      <c r="AG95" s="168">
        <f t="shared" si="84"/>
        <v>3394</v>
      </c>
      <c r="AH95" s="166">
        <f t="shared" si="85"/>
        <v>3440</v>
      </c>
      <c r="AI95" s="167">
        <f t="shared" si="86"/>
        <v>3808</v>
      </c>
      <c r="AJ95" s="168">
        <f t="shared" si="87"/>
        <v>3808</v>
      </c>
      <c r="AK95" s="169">
        <f t="shared" si="88"/>
        <v>3625</v>
      </c>
      <c r="AL95" s="167">
        <f t="shared" si="89"/>
        <v>4229</v>
      </c>
      <c r="AM95" s="585">
        <f t="shared" si="90"/>
        <v>4229</v>
      </c>
      <c r="AN95" s="586">
        <v>60</v>
      </c>
      <c r="AO95" s="686">
        <v>70</v>
      </c>
      <c r="AP95" s="686">
        <v>80</v>
      </c>
      <c r="AQ95" s="587">
        <v>90</v>
      </c>
      <c r="AR95" s="687">
        <v>100</v>
      </c>
      <c r="AS95" s="586"/>
      <c r="AT95" s="587"/>
      <c r="AU95" s="587"/>
      <c r="AV95" s="588"/>
      <c r="AW95" s="589"/>
      <c r="AX95" s="596">
        <v>1.4999999999999999E-2</v>
      </c>
      <c r="AY95" s="598">
        <v>1.7999999999999999E-2</v>
      </c>
      <c r="AZ95" s="598">
        <v>2.1000000000000001E-2</v>
      </c>
      <c r="BA95" s="598">
        <v>2.4E-2</v>
      </c>
      <c r="BB95" s="598">
        <v>2.7E-2</v>
      </c>
      <c r="BC95" s="590"/>
      <c r="BD95" s="631"/>
      <c r="BE95" s="596"/>
      <c r="BF95" s="598"/>
      <c r="BG95" s="598"/>
      <c r="BH95" s="598"/>
      <c r="BI95" s="598"/>
      <c r="BJ95" s="598"/>
      <c r="BK95" s="605"/>
      <c r="BL95" s="658">
        <f t="shared" si="91"/>
        <v>11850</v>
      </c>
      <c r="BM95" s="3">
        <f t="shared" si="92"/>
        <v>30</v>
      </c>
      <c r="BN95" s="3">
        <f t="shared" si="93"/>
        <v>35</v>
      </c>
      <c r="BO95" s="3">
        <f t="shared" si="94"/>
        <v>35</v>
      </c>
    </row>
    <row r="96" spans="2:67">
      <c r="B96" s="207" t="s">
        <v>438</v>
      </c>
      <c r="C96" s="890" t="s">
        <v>357</v>
      </c>
      <c r="D96" s="890" t="s">
        <v>23</v>
      </c>
      <c r="E96" s="238" t="s">
        <v>65</v>
      </c>
      <c r="F96" s="592">
        <v>93</v>
      </c>
      <c r="G96" s="593">
        <v>4800</v>
      </c>
      <c r="H96" s="594">
        <v>6400</v>
      </c>
      <c r="I96" s="595">
        <v>4800</v>
      </c>
      <c r="J96" s="166">
        <f t="shared" si="61"/>
        <v>96</v>
      </c>
      <c r="K96" s="167">
        <f t="shared" si="62"/>
        <v>128</v>
      </c>
      <c r="L96" s="168">
        <f t="shared" si="63"/>
        <v>96</v>
      </c>
      <c r="M96" s="166">
        <f t="shared" si="64"/>
        <v>144</v>
      </c>
      <c r="N96" s="167">
        <f t="shared" si="65"/>
        <v>192</v>
      </c>
      <c r="O96" s="168">
        <f t="shared" si="66"/>
        <v>144</v>
      </c>
      <c r="P96" s="169">
        <f t="shared" si="67"/>
        <v>192</v>
      </c>
      <c r="Q96" s="169">
        <f t="shared" si="68"/>
        <v>256</v>
      </c>
      <c r="R96" s="169">
        <f t="shared" si="69"/>
        <v>192</v>
      </c>
      <c r="S96" s="584">
        <f t="shared" si="70"/>
        <v>1440</v>
      </c>
      <c r="T96" s="594">
        <f t="shared" si="71"/>
        <v>1920</v>
      </c>
      <c r="U96" s="595">
        <f t="shared" si="72"/>
        <v>1440</v>
      </c>
      <c r="V96" s="166">
        <f t="shared" si="73"/>
        <v>2976</v>
      </c>
      <c r="W96" s="167">
        <f t="shared" si="74"/>
        <v>3968</v>
      </c>
      <c r="X96" s="168">
        <f t="shared" si="75"/>
        <v>2976</v>
      </c>
      <c r="Y96" s="166">
        <f t="shared" si="76"/>
        <v>3360</v>
      </c>
      <c r="Z96" s="167">
        <f t="shared" si="77"/>
        <v>4480</v>
      </c>
      <c r="AA96" s="168">
        <f t="shared" si="78"/>
        <v>3360</v>
      </c>
      <c r="AB96" s="166">
        <f t="shared" si="79"/>
        <v>3744</v>
      </c>
      <c r="AC96" s="167">
        <f t="shared" si="80"/>
        <v>4992</v>
      </c>
      <c r="AD96" s="168">
        <f t="shared" si="81"/>
        <v>3744</v>
      </c>
      <c r="AE96" s="166">
        <f t="shared" si="82"/>
        <v>4128</v>
      </c>
      <c r="AF96" s="167">
        <f t="shared" si="83"/>
        <v>5248</v>
      </c>
      <c r="AG96" s="168">
        <f t="shared" si="84"/>
        <v>4128</v>
      </c>
      <c r="AH96" s="166">
        <f t="shared" si="85"/>
        <v>4704</v>
      </c>
      <c r="AI96" s="167">
        <f t="shared" si="86"/>
        <v>5760</v>
      </c>
      <c r="AJ96" s="168">
        <f t="shared" si="87"/>
        <v>4320</v>
      </c>
      <c r="AK96" s="169">
        <f t="shared" si="88"/>
        <v>4896</v>
      </c>
      <c r="AL96" s="167">
        <f t="shared" si="89"/>
        <v>6528</v>
      </c>
      <c r="AM96" s="585">
        <f t="shared" si="90"/>
        <v>4896</v>
      </c>
      <c r="AN96" s="596">
        <v>2.1999999999999999E-2</v>
      </c>
      <c r="AO96" s="597">
        <v>2.4E-2</v>
      </c>
      <c r="AP96" s="597">
        <v>2.5999999999999999E-2</v>
      </c>
      <c r="AQ96" s="598">
        <v>2.8000000000000001E-2</v>
      </c>
      <c r="AR96" s="599">
        <v>0.03</v>
      </c>
      <c r="AS96" s="586"/>
      <c r="AT96" s="587"/>
      <c r="AU96" s="587"/>
      <c r="AV96" s="588"/>
      <c r="AW96" s="589"/>
      <c r="AX96" s="596">
        <v>0.03</v>
      </c>
      <c r="AY96" s="598">
        <v>3.5000000000000003E-2</v>
      </c>
      <c r="AZ96" s="598">
        <v>0.04</v>
      </c>
      <c r="BA96" s="598">
        <v>4.4999999999999998E-2</v>
      </c>
      <c r="BB96" s="598">
        <v>0.05</v>
      </c>
      <c r="BC96" s="590"/>
      <c r="BD96" s="631"/>
      <c r="BE96" s="596"/>
      <c r="BF96" s="598"/>
      <c r="BG96" s="598"/>
      <c r="BH96" s="598"/>
      <c r="BI96" s="598"/>
      <c r="BJ96" s="598"/>
      <c r="BK96" s="605"/>
      <c r="BL96" s="658">
        <f t="shared" si="91"/>
        <v>16000</v>
      </c>
      <c r="BM96" s="3">
        <f t="shared" si="92"/>
        <v>30</v>
      </c>
      <c r="BN96" s="3">
        <f t="shared" si="93"/>
        <v>40</v>
      </c>
      <c r="BO96" s="3">
        <f t="shared" si="94"/>
        <v>30</v>
      </c>
    </row>
    <row r="97" spans="2:67">
      <c r="B97" s="207" t="s">
        <v>516</v>
      </c>
      <c r="C97" s="883" t="s">
        <v>467</v>
      </c>
      <c r="D97" s="883" t="s">
        <v>23</v>
      </c>
      <c r="E97" s="238" t="s">
        <v>65</v>
      </c>
      <c r="F97" s="592">
        <v>94</v>
      </c>
      <c r="G97" s="593">
        <v>3104</v>
      </c>
      <c r="H97" s="594">
        <v>4140</v>
      </c>
      <c r="I97" s="595">
        <v>3104</v>
      </c>
      <c r="J97" s="166">
        <f t="shared" si="61"/>
        <v>62</v>
      </c>
      <c r="K97" s="167">
        <f t="shared" si="62"/>
        <v>82</v>
      </c>
      <c r="L97" s="168">
        <f t="shared" si="63"/>
        <v>62</v>
      </c>
      <c r="M97" s="166">
        <f t="shared" si="64"/>
        <v>116</v>
      </c>
      <c r="N97" s="167">
        <f t="shared" si="65"/>
        <v>155</v>
      </c>
      <c r="O97" s="168">
        <f t="shared" si="66"/>
        <v>116</v>
      </c>
      <c r="P97" s="169">
        <f t="shared" si="67"/>
        <v>155</v>
      </c>
      <c r="Q97" s="169">
        <f t="shared" si="68"/>
        <v>207</v>
      </c>
      <c r="R97" s="169">
        <f t="shared" si="69"/>
        <v>155</v>
      </c>
      <c r="S97" s="584">
        <f t="shared" si="70"/>
        <v>931</v>
      </c>
      <c r="T97" s="594">
        <f t="shared" si="71"/>
        <v>1242</v>
      </c>
      <c r="U97" s="595">
        <f t="shared" si="72"/>
        <v>931</v>
      </c>
      <c r="V97" s="166">
        <f t="shared" si="73"/>
        <v>1921</v>
      </c>
      <c r="W97" s="167">
        <f t="shared" si="74"/>
        <v>2564</v>
      </c>
      <c r="X97" s="168">
        <f t="shared" si="75"/>
        <v>1921</v>
      </c>
      <c r="Y97" s="166">
        <f t="shared" si="76"/>
        <v>2076</v>
      </c>
      <c r="Z97" s="167">
        <f t="shared" si="77"/>
        <v>2771</v>
      </c>
      <c r="AA97" s="168">
        <f t="shared" si="78"/>
        <v>2231</v>
      </c>
      <c r="AB97" s="166">
        <f t="shared" si="79"/>
        <v>2231</v>
      </c>
      <c r="AC97" s="167">
        <f t="shared" si="80"/>
        <v>3185</v>
      </c>
      <c r="AD97" s="168">
        <f t="shared" si="81"/>
        <v>2386</v>
      </c>
      <c r="AE97" s="166">
        <f t="shared" si="82"/>
        <v>2541</v>
      </c>
      <c r="AF97" s="167">
        <f t="shared" si="83"/>
        <v>3599</v>
      </c>
      <c r="AG97" s="168">
        <f t="shared" si="84"/>
        <v>2541</v>
      </c>
      <c r="AH97" s="166">
        <f t="shared" si="85"/>
        <v>2851</v>
      </c>
      <c r="AI97" s="167">
        <f t="shared" si="86"/>
        <v>4013</v>
      </c>
      <c r="AJ97" s="168">
        <f t="shared" si="87"/>
        <v>2851</v>
      </c>
      <c r="AK97" s="169">
        <f t="shared" si="88"/>
        <v>3166</v>
      </c>
      <c r="AL97" s="167">
        <f t="shared" si="89"/>
        <v>4222</v>
      </c>
      <c r="AM97" s="585">
        <f t="shared" si="90"/>
        <v>3166</v>
      </c>
      <c r="AN97" s="586">
        <v>200</v>
      </c>
      <c r="AO97" s="686">
        <v>250</v>
      </c>
      <c r="AP97" s="686">
        <v>300</v>
      </c>
      <c r="AQ97" s="587">
        <v>350</v>
      </c>
      <c r="AR97" s="687">
        <v>400</v>
      </c>
      <c r="AS97" s="586"/>
      <c r="AT97" s="587"/>
      <c r="AU97" s="587"/>
      <c r="AV97" s="588"/>
      <c r="AW97" s="589"/>
      <c r="AX97" s="596">
        <v>0.02</v>
      </c>
      <c r="AY97" s="598">
        <v>2.5000000000000001E-2</v>
      </c>
      <c r="AZ97" s="598">
        <v>0.03</v>
      </c>
      <c r="BA97" s="598">
        <v>3.5000000000000003E-2</v>
      </c>
      <c r="BB97" s="598">
        <v>0.04</v>
      </c>
      <c r="BC97" s="590"/>
      <c r="BD97" s="631"/>
      <c r="BE97" s="596"/>
      <c r="BF97" s="598"/>
      <c r="BG97" s="598"/>
      <c r="BH97" s="598"/>
      <c r="BI97" s="598"/>
      <c r="BJ97" s="598"/>
      <c r="BK97" s="605"/>
      <c r="BL97" s="658">
        <f t="shared" si="91"/>
        <v>10350</v>
      </c>
      <c r="BM97" s="3">
        <f t="shared" si="92"/>
        <v>30</v>
      </c>
      <c r="BN97" s="3">
        <f t="shared" si="93"/>
        <v>40</v>
      </c>
      <c r="BO97" s="3">
        <f t="shared" si="94"/>
        <v>30</v>
      </c>
    </row>
    <row r="98" spans="2:67">
      <c r="B98" s="207" t="s">
        <v>519</v>
      </c>
      <c r="C98" s="890" t="s">
        <v>467</v>
      </c>
      <c r="D98" s="890" t="s">
        <v>70</v>
      </c>
      <c r="E98" s="238" t="s">
        <v>65</v>
      </c>
      <c r="F98" s="592">
        <v>95</v>
      </c>
      <c r="G98" s="593">
        <v>3554</v>
      </c>
      <c r="H98" s="594">
        <v>2961</v>
      </c>
      <c r="I98" s="595">
        <v>5331</v>
      </c>
      <c r="J98" s="166">
        <f t="shared" si="61"/>
        <v>71</v>
      </c>
      <c r="K98" s="167">
        <f t="shared" si="62"/>
        <v>59</v>
      </c>
      <c r="L98" s="168">
        <f t="shared" si="63"/>
        <v>106</v>
      </c>
      <c r="M98" s="166">
        <f t="shared" si="64"/>
        <v>133</v>
      </c>
      <c r="N98" s="167">
        <f t="shared" si="65"/>
        <v>111</v>
      </c>
      <c r="O98" s="168">
        <f t="shared" si="66"/>
        <v>199</v>
      </c>
      <c r="P98" s="169">
        <f t="shared" si="67"/>
        <v>177</v>
      </c>
      <c r="Q98" s="169">
        <f t="shared" si="68"/>
        <v>148</v>
      </c>
      <c r="R98" s="169">
        <f t="shared" si="69"/>
        <v>266</v>
      </c>
      <c r="S98" s="584">
        <f t="shared" si="70"/>
        <v>1066</v>
      </c>
      <c r="T98" s="594">
        <f t="shared" si="71"/>
        <v>888</v>
      </c>
      <c r="U98" s="595">
        <f t="shared" si="72"/>
        <v>1599</v>
      </c>
      <c r="V98" s="166">
        <f t="shared" si="73"/>
        <v>2201</v>
      </c>
      <c r="W98" s="167">
        <f t="shared" si="74"/>
        <v>1835</v>
      </c>
      <c r="X98" s="168">
        <f t="shared" si="75"/>
        <v>3297</v>
      </c>
      <c r="Y98" s="166">
        <f t="shared" si="76"/>
        <v>2555</v>
      </c>
      <c r="Z98" s="167">
        <f t="shared" si="77"/>
        <v>1983</v>
      </c>
      <c r="AA98" s="168">
        <f t="shared" si="78"/>
        <v>3563</v>
      </c>
      <c r="AB98" s="166">
        <f t="shared" si="79"/>
        <v>2732</v>
      </c>
      <c r="AC98" s="167">
        <f t="shared" si="80"/>
        <v>2279</v>
      </c>
      <c r="AD98" s="168">
        <f t="shared" si="81"/>
        <v>3829</v>
      </c>
      <c r="AE98" s="166">
        <f t="shared" si="82"/>
        <v>2909</v>
      </c>
      <c r="AF98" s="167">
        <f t="shared" si="83"/>
        <v>2575</v>
      </c>
      <c r="AG98" s="168">
        <f t="shared" si="84"/>
        <v>4361</v>
      </c>
      <c r="AH98" s="166">
        <f t="shared" si="85"/>
        <v>3263</v>
      </c>
      <c r="AI98" s="167">
        <f t="shared" si="86"/>
        <v>2871</v>
      </c>
      <c r="AJ98" s="168">
        <f t="shared" si="87"/>
        <v>4893</v>
      </c>
      <c r="AK98" s="169">
        <f t="shared" si="88"/>
        <v>3625</v>
      </c>
      <c r="AL98" s="167">
        <f t="shared" si="89"/>
        <v>3020</v>
      </c>
      <c r="AM98" s="585">
        <f t="shared" si="90"/>
        <v>5437</v>
      </c>
      <c r="AN98" s="596">
        <v>0.03</v>
      </c>
      <c r="AO98" s="597">
        <v>3.3000000000000002E-2</v>
      </c>
      <c r="AP98" s="597">
        <v>3.5999999999999997E-2</v>
      </c>
      <c r="AQ98" s="598">
        <v>3.9E-2</v>
      </c>
      <c r="AR98" s="599">
        <v>4.2000000000000003E-2</v>
      </c>
      <c r="AS98" s="586"/>
      <c r="AT98" s="587"/>
      <c r="AU98" s="587"/>
      <c r="AV98" s="588"/>
      <c r="AW98" s="589"/>
      <c r="AX98" s="596">
        <v>1.4999999999999999E-2</v>
      </c>
      <c r="AY98" s="598">
        <v>1.7999999999999999E-2</v>
      </c>
      <c r="AZ98" s="598">
        <v>2.1000000000000001E-2</v>
      </c>
      <c r="BA98" s="598">
        <v>2.4E-2</v>
      </c>
      <c r="BB98" s="598">
        <v>2.7E-2</v>
      </c>
      <c r="BC98" s="590"/>
      <c r="BD98" s="631"/>
      <c r="BE98" s="596"/>
      <c r="BF98" s="598"/>
      <c r="BG98" s="598"/>
      <c r="BH98" s="598"/>
      <c r="BI98" s="598"/>
      <c r="BJ98" s="598"/>
      <c r="BK98" s="605"/>
      <c r="BL98" s="658">
        <f t="shared" si="91"/>
        <v>11850</v>
      </c>
      <c r="BM98" s="3">
        <f t="shared" si="92"/>
        <v>30</v>
      </c>
      <c r="BN98" s="3">
        <f t="shared" si="93"/>
        <v>25</v>
      </c>
      <c r="BO98" s="3">
        <f t="shared" si="94"/>
        <v>45</v>
      </c>
    </row>
    <row r="99" spans="2:67">
      <c r="B99" s="207" t="s">
        <v>439</v>
      </c>
      <c r="C99" s="890" t="s">
        <v>357</v>
      </c>
      <c r="D99" s="890" t="s">
        <v>13</v>
      </c>
      <c r="E99" s="238" t="s">
        <v>65</v>
      </c>
      <c r="F99" s="592">
        <v>96</v>
      </c>
      <c r="G99" s="593">
        <v>4800</v>
      </c>
      <c r="H99" s="594">
        <v>6080</v>
      </c>
      <c r="I99" s="595">
        <v>5120</v>
      </c>
      <c r="J99" s="166">
        <f t="shared" si="61"/>
        <v>96</v>
      </c>
      <c r="K99" s="167">
        <f t="shared" si="62"/>
        <v>121</v>
      </c>
      <c r="L99" s="168">
        <f t="shared" si="63"/>
        <v>102</v>
      </c>
      <c r="M99" s="166">
        <f t="shared" si="64"/>
        <v>144</v>
      </c>
      <c r="N99" s="167">
        <f t="shared" si="65"/>
        <v>182</v>
      </c>
      <c r="O99" s="168">
        <f t="shared" si="66"/>
        <v>153</v>
      </c>
      <c r="P99" s="169">
        <f t="shared" si="67"/>
        <v>192</v>
      </c>
      <c r="Q99" s="169">
        <f t="shared" si="68"/>
        <v>243</v>
      </c>
      <c r="R99" s="169">
        <f t="shared" si="69"/>
        <v>204</v>
      </c>
      <c r="S99" s="584">
        <f t="shared" si="70"/>
        <v>1440</v>
      </c>
      <c r="T99" s="594">
        <f t="shared" si="71"/>
        <v>1824</v>
      </c>
      <c r="U99" s="595">
        <f t="shared" si="72"/>
        <v>1536</v>
      </c>
      <c r="V99" s="166">
        <f t="shared" si="73"/>
        <v>2976</v>
      </c>
      <c r="W99" s="167">
        <f t="shared" si="74"/>
        <v>3765</v>
      </c>
      <c r="X99" s="168">
        <f t="shared" si="75"/>
        <v>3168</v>
      </c>
      <c r="Y99" s="166">
        <f t="shared" si="76"/>
        <v>3360</v>
      </c>
      <c r="Z99" s="167">
        <f t="shared" si="77"/>
        <v>4251</v>
      </c>
      <c r="AA99" s="168">
        <f t="shared" si="78"/>
        <v>3576</v>
      </c>
      <c r="AB99" s="166">
        <f t="shared" si="79"/>
        <v>3744</v>
      </c>
      <c r="AC99" s="167">
        <f t="shared" si="80"/>
        <v>4737</v>
      </c>
      <c r="AD99" s="168">
        <f t="shared" si="81"/>
        <v>3984</v>
      </c>
      <c r="AE99" s="166">
        <f t="shared" si="82"/>
        <v>3936</v>
      </c>
      <c r="AF99" s="167">
        <f t="shared" si="83"/>
        <v>5223</v>
      </c>
      <c r="AG99" s="168">
        <f t="shared" si="84"/>
        <v>4392</v>
      </c>
      <c r="AH99" s="166">
        <f t="shared" si="85"/>
        <v>4320</v>
      </c>
      <c r="AI99" s="167">
        <f t="shared" si="86"/>
        <v>5466</v>
      </c>
      <c r="AJ99" s="168">
        <f t="shared" si="87"/>
        <v>5004</v>
      </c>
      <c r="AK99" s="169">
        <f t="shared" si="88"/>
        <v>4896</v>
      </c>
      <c r="AL99" s="167">
        <f t="shared" si="89"/>
        <v>6201</v>
      </c>
      <c r="AM99" s="585">
        <f t="shared" si="90"/>
        <v>5222</v>
      </c>
      <c r="AN99" s="596">
        <v>0.05</v>
      </c>
      <c r="AO99" s="597">
        <v>5.5E-2</v>
      </c>
      <c r="AP99" s="597">
        <v>0.06</v>
      </c>
      <c r="AQ99" s="598">
        <v>6.5000000000000002E-2</v>
      </c>
      <c r="AR99" s="599">
        <v>7.0000000000000007E-2</v>
      </c>
      <c r="AS99" s="586"/>
      <c r="AT99" s="587"/>
      <c r="AU99" s="587"/>
      <c r="AV99" s="588"/>
      <c r="AW99" s="589"/>
      <c r="AX99" s="596">
        <v>0.02</v>
      </c>
      <c r="AY99" s="598">
        <v>2.3E-2</v>
      </c>
      <c r="AZ99" s="598">
        <v>2.5999999999999999E-2</v>
      </c>
      <c r="BA99" s="598">
        <v>2.9000000000000001E-2</v>
      </c>
      <c r="BB99" s="598">
        <v>3.2000000000000001E-2</v>
      </c>
      <c r="BC99" s="590"/>
      <c r="BD99" s="631"/>
      <c r="BE99" s="596"/>
      <c r="BF99" s="598"/>
      <c r="BG99" s="598"/>
      <c r="BH99" s="598"/>
      <c r="BI99" s="598"/>
      <c r="BJ99" s="598"/>
      <c r="BK99" s="605"/>
      <c r="BL99" s="658">
        <f t="shared" si="91"/>
        <v>16000</v>
      </c>
      <c r="BM99" s="3">
        <f t="shared" si="92"/>
        <v>30</v>
      </c>
      <c r="BN99" s="3">
        <f t="shared" si="93"/>
        <v>38</v>
      </c>
      <c r="BO99" s="3">
        <f t="shared" si="94"/>
        <v>32</v>
      </c>
    </row>
    <row r="100" spans="2:67">
      <c r="B100" s="207" t="s">
        <v>520</v>
      </c>
      <c r="C100" s="875" t="s">
        <v>467</v>
      </c>
      <c r="D100" s="875" t="s">
        <v>23</v>
      </c>
      <c r="E100" s="238" t="s">
        <v>65</v>
      </c>
      <c r="F100" s="592">
        <v>97</v>
      </c>
      <c r="G100" s="593">
        <v>3104</v>
      </c>
      <c r="H100" s="594">
        <v>3621</v>
      </c>
      <c r="I100" s="595">
        <v>3621</v>
      </c>
      <c r="J100" s="166">
        <f t="shared" si="61"/>
        <v>62</v>
      </c>
      <c r="K100" s="167">
        <f t="shared" si="62"/>
        <v>72</v>
      </c>
      <c r="L100" s="168">
        <f t="shared" si="63"/>
        <v>72</v>
      </c>
      <c r="M100" s="166">
        <f t="shared" si="64"/>
        <v>116</v>
      </c>
      <c r="N100" s="167">
        <f t="shared" si="65"/>
        <v>135</v>
      </c>
      <c r="O100" s="168">
        <f t="shared" si="66"/>
        <v>135</v>
      </c>
      <c r="P100" s="169">
        <f t="shared" si="67"/>
        <v>155</v>
      </c>
      <c r="Q100" s="169">
        <f t="shared" si="68"/>
        <v>181</v>
      </c>
      <c r="R100" s="169">
        <f t="shared" si="69"/>
        <v>181</v>
      </c>
      <c r="S100" s="584">
        <f t="shared" si="70"/>
        <v>931</v>
      </c>
      <c r="T100" s="594">
        <f t="shared" si="71"/>
        <v>1086</v>
      </c>
      <c r="U100" s="595">
        <f t="shared" si="72"/>
        <v>1086</v>
      </c>
      <c r="V100" s="166">
        <f t="shared" si="73"/>
        <v>1921</v>
      </c>
      <c r="W100" s="167">
        <f t="shared" si="74"/>
        <v>2238</v>
      </c>
      <c r="X100" s="168">
        <f t="shared" si="75"/>
        <v>2238</v>
      </c>
      <c r="Y100" s="166">
        <f t="shared" si="76"/>
        <v>2076</v>
      </c>
      <c r="Z100" s="167">
        <f t="shared" si="77"/>
        <v>2419</v>
      </c>
      <c r="AA100" s="168">
        <f t="shared" si="78"/>
        <v>2600</v>
      </c>
      <c r="AB100" s="166">
        <f t="shared" si="79"/>
        <v>2231</v>
      </c>
      <c r="AC100" s="167">
        <f t="shared" si="80"/>
        <v>2781</v>
      </c>
      <c r="AD100" s="168">
        <f t="shared" si="81"/>
        <v>2781</v>
      </c>
      <c r="AE100" s="166">
        <f t="shared" si="82"/>
        <v>2541</v>
      </c>
      <c r="AF100" s="167">
        <f t="shared" si="83"/>
        <v>3143</v>
      </c>
      <c r="AG100" s="168">
        <f t="shared" si="84"/>
        <v>2962</v>
      </c>
      <c r="AH100" s="166">
        <f t="shared" si="85"/>
        <v>2851</v>
      </c>
      <c r="AI100" s="167">
        <f t="shared" si="86"/>
        <v>3505</v>
      </c>
      <c r="AJ100" s="168">
        <f t="shared" si="87"/>
        <v>3324</v>
      </c>
      <c r="AK100" s="169">
        <f t="shared" si="88"/>
        <v>3166</v>
      </c>
      <c r="AL100" s="167">
        <f t="shared" si="89"/>
        <v>3693</v>
      </c>
      <c r="AM100" s="585">
        <f t="shared" si="90"/>
        <v>3693</v>
      </c>
      <c r="AN100" s="586">
        <v>150</v>
      </c>
      <c r="AO100" s="686">
        <v>200</v>
      </c>
      <c r="AP100" s="686">
        <v>250</v>
      </c>
      <c r="AQ100" s="587">
        <v>300</v>
      </c>
      <c r="AR100" s="687">
        <v>350</v>
      </c>
      <c r="AS100" s="586"/>
      <c r="AT100" s="587"/>
      <c r="AU100" s="587"/>
      <c r="AV100" s="588"/>
      <c r="AW100" s="589"/>
      <c r="AX100" s="596">
        <v>0.01</v>
      </c>
      <c r="AY100" s="598">
        <v>1.2999999999999999E-2</v>
      </c>
      <c r="AZ100" s="598">
        <v>1.6E-2</v>
      </c>
      <c r="BA100" s="598">
        <v>1.9E-2</v>
      </c>
      <c r="BB100" s="598">
        <v>2.1999999999999999E-2</v>
      </c>
      <c r="BC100" s="590"/>
      <c r="BD100" s="631"/>
      <c r="BE100" s="596"/>
      <c r="BF100" s="598"/>
      <c r="BG100" s="598"/>
      <c r="BH100" s="598"/>
      <c r="BI100" s="598"/>
      <c r="BJ100" s="598"/>
      <c r="BK100" s="605"/>
      <c r="BL100" s="658">
        <f t="shared" si="91"/>
        <v>10350</v>
      </c>
      <c r="BM100" s="3">
        <f t="shared" si="92"/>
        <v>30</v>
      </c>
      <c r="BN100" s="3">
        <f t="shared" si="93"/>
        <v>35</v>
      </c>
      <c r="BO100" s="3">
        <f t="shared" si="94"/>
        <v>35</v>
      </c>
    </row>
    <row r="101" spans="2:67">
      <c r="B101" s="207" t="s">
        <v>521</v>
      </c>
      <c r="C101" s="890" t="s">
        <v>467</v>
      </c>
      <c r="D101" s="890" t="s">
        <v>14</v>
      </c>
      <c r="E101" s="238" t="s">
        <v>65</v>
      </c>
      <c r="F101" s="592">
        <v>98</v>
      </c>
      <c r="G101" s="593">
        <v>3554</v>
      </c>
      <c r="H101" s="594">
        <v>2961</v>
      </c>
      <c r="I101" s="595">
        <v>5331</v>
      </c>
      <c r="J101" s="166">
        <f t="shared" si="61"/>
        <v>71</v>
      </c>
      <c r="K101" s="167">
        <f t="shared" si="62"/>
        <v>59</v>
      </c>
      <c r="L101" s="168">
        <f t="shared" si="63"/>
        <v>106</v>
      </c>
      <c r="M101" s="166">
        <f t="shared" si="64"/>
        <v>133</v>
      </c>
      <c r="N101" s="167">
        <f t="shared" si="65"/>
        <v>111</v>
      </c>
      <c r="O101" s="168">
        <f t="shared" si="66"/>
        <v>199</v>
      </c>
      <c r="P101" s="169">
        <f t="shared" si="67"/>
        <v>177</v>
      </c>
      <c r="Q101" s="169">
        <f t="shared" si="68"/>
        <v>148</v>
      </c>
      <c r="R101" s="169">
        <f t="shared" si="69"/>
        <v>266</v>
      </c>
      <c r="S101" s="584">
        <f t="shared" si="70"/>
        <v>1066</v>
      </c>
      <c r="T101" s="594">
        <f t="shared" si="71"/>
        <v>888</v>
      </c>
      <c r="U101" s="595">
        <f t="shared" si="72"/>
        <v>1599</v>
      </c>
      <c r="V101" s="166">
        <f t="shared" si="73"/>
        <v>2201</v>
      </c>
      <c r="W101" s="167">
        <f t="shared" si="74"/>
        <v>1835</v>
      </c>
      <c r="X101" s="168">
        <f t="shared" si="75"/>
        <v>3297</v>
      </c>
      <c r="Y101" s="166">
        <f t="shared" si="76"/>
        <v>2555</v>
      </c>
      <c r="Z101" s="167">
        <f t="shared" si="77"/>
        <v>1983</v>
      </c>
      <c r="AA101" s="168">
        <f t="shared" si="78"/>
        <v>3563</v>
      </c>
      <c r="AB101" s="166">
        <f t="shared" si="79"/>
        <v>2732</v>
      </c>
      <c r="AC101" s="167">
        <f t="shared" si="80"/>
        <v>2131</v>
      </c>
      <c r="AD101" s="168">
        <f t="shared" si="81"/>
        <v>4095</v>
      </c>
      <c r="AE101" s="166">
        <f t="shared" si="82"/>
        <v>2909</v>
      </c>
      <c r="AF101" s="167">
        <f t="shared" si="83"/>
        <v>2427</v>
      </c>
      <c r="AG101" s="168">
        <f t="shared" si="84"/>
        <v>4627</v>
      </c>
      <c r="AH101" s="166">
        <f t="shared" si="85"/>
        <v>3263</v>
      </c>
      <c r="AI101" s="167">
        <f t="shared" si="86"/>
        <v>2723</v>
      </c>
      <c r="AJ101" s="168">
        <f t="shared" si="87"/>
        <v>5159</v>
      </c>
      <c r="AK101" s="169">
        <f t="shared" si="88"/>
        <v>3625</v>
      </c>
      <c r="AL101" s="167">
        <f t="shared" si="89"/>
        <v>3020</v>
      </c>
      <c r="AM101" s="585">
        <f t="shared" si="90"/>
        <v>5437</v>
      </c>
      <c r="AN101" s="596">
        <v>0.02</v>
      </c>
      <c r="AO101" s="597">
        <v>2.3E-2</v>
      </c>
      <c r="AP101" s="597">
        <v>2.5999999999999999E-2</v>
      </c>
      <c r="AQ101" s="598">
        <v>2.9000000000000001E-2</v>
      </c>
      <c r="AR101" s="599">
        <v>3.2000000000000001E-2</v>
      </c>
      <c r="AS101" s="586"/>
      <c r="AT101" s="587"/>
      <c r="AU101" s="587"/>
      <c r="AV101" s="588"/>
      <c r="AW101" s="589"/>
      <c r="AX101" s="596">
        <v>1.4999999999999999E-2</v>
      </c>
      <c r="AY101" s="598">
        <v>1.7999999999999999E-2</v>
      </c>
      <c r="AZ101" s="598">
        <v>2.1000000000000001E-2</v>
      </c>
      <c r="BA101" s="598">
        <v>2.4E-2</v>
      </c>
      <c r="BB101" s="598">
        <v>2.7E-2</v>
      </c>
      <c r="BC101" s="590"/>
      <c r="BD101" s="631"/>
      <c r="BE101" s="596"/>
      <c r="BF101" s="598"/>
      <c r="BG101" s="598"/>
      <c r="BH101" s="598"/>
      <c r="BI101" s="598"/>
      <c r="BJ101" s="598"/>
      <c r="BK101" s="605"/>
      <c r="BL101" s="658">
        <f t="shared" si="91"/>
        <v>11850</v>
      </c>
      <c r="BM101" s="3">
        <f t="shared" si="92"/>
        <v>30</v>
      </c>
      <c r="BN101" s="3">
        <f t="shared" si="93"/>
        <v>25</v>
      </c>
      <c r="BO101" s="3">
        <f t="shared" si="94"/>
        <v>45</v>
      </c>
    </row>
    <row r="102" spans="2:67">
      <c r="B102" s="207" t="s">
        <v>440</v>
      </c>
      <c r="C102" s="890" t="s">
        <v>357</v>
      </c>
      <c r="D102" s="890" t="s">
        <v>13</v>
      </c>
      <c r="E102" s="238" t="s">
        <v>65</v>
      </c>
      <c r="F102" s="592">
        <v>99</v>
      </c>
      <c r="G102" s="593">
        <v>6400</v>
      </c>
      <c r="H102" s="594">
        <v>4800</v>
      </c>
      <c r="I102" s="595">
        <v>4800</v>
      </c>
      <c r="J102" s="166">
        <f t="shared" si="61"/>
        <v>128</v>
      </c>
      <c r="K102" s="167">
        <f t="shared" si="62"/>
        <v>96</v>
      </c>
      <c r="L102" s="168">
        <f t="shared" si="63"/>
        <v>96</v>
      </c>
      <c r="M102" s="166">
        <f t="shared" si="64"/>
        <v>192</v>
      </c>
      <c r="N102" s="167">
        <f t="shared" si="65"/>
        <v>144</v>
      </c>
      <c r="O102" s="168">
        <f t="shared" si="66"/>
        <v>144</v>
      </c>
      <c r="P102" s="169">
        <f t="shared" si="67"/>
        <v>256</v>
      </c>
      <c r="Q102" s="169">
        <f t="shared" si="68"/>
        <v>192</v>
      </c>
      <c r="R102" s="169">
        <f t="shared" si="69"/>
        <v>192</v>
      </c>
      <c r="S102" s="584">
        <f t="shared" si="70"/>
        <v>1920</v>
      </c>
      <c r="T102" s="594">
        <f t="shared" si="71"/>
        <v>1440</v>
      </c>
      <c r="U102" s="595">
        <f t="shared" si="72"/>
        <v>1440</v>
      </c>
      <c r="V102" s="166">
        <f t="shared" si="73"/>
        <v>3968</v>
      </c>
      <c r="W102" s="167">
        <f t="shared" si="74"/>
        <v>2976</v>
      </c>
      <c r="X102" s="168">
        <f t="shared" si="75"/>
        <v>2976</v>
      </c>
      <c r="Y102" s="166">
        <f t="shared" si="76"/>
        <v>4480</v>
      </c>
      <c r="Z102" s="167">
        <f t="shared" si="77"/>
        <v>3360</v>
      </c>
      <c r="AA102" s="168">
        <f t="shared" si="78"/>
        <v>3360</v>
      </c>
      <c r="AB102" s="166">
        <f t="shared" si="79"/>
        <v>4992</v>
      </c>
      <c r="AC102" s="167">
        <f t="shared" si="80"/>
        <v>3744</v>
      </c>
      <c r="AD102" s="168">
        <f t="shared" si="81"/>
        <v>3744</v>
      </c>
      <c r="AE102" s="166">
        <f t="shared" si="82"/>
        <v>5248</v>
      </c>
      <c r="AF102" s="167">
        <f t="shared" si="83"/>
        <v>4128</v>
      </c>
      <c r="AG102" s="168">
        <f t="shared" si="84"/>
        <v>4128</v>
      </c>
      <c r="AH102" s="166">
        <f t="shared" si="85"/>
        <v>5760</v>
      </c>
      <c r="AI102" s="167">
        <f t="shared" si="86"/>
        <v>4320</v>
      </c>
      <c r="AJ102" s="168">
        <f t="shared" si="87"/>
        <v>4704</v>
      </c>
      <c r="AK102" s="169">
        <f t="shared" si="88"/>
        <v>6528</v>
      </c>
      <c r="AL102" s="167">
        <f t="shared" si="89"/>
        <v>4896</v>
      </c>
      <c r="AM102" s="585">
        <f t="shared" si="90"/>
        <v>4896</v>
      </c>
      <c r="AN102" s="596">
        <v>0.25</v>
      </c>
      <c r="AO102" s="597">
        <v>0.28000000000000003</v>
      </c>
      <c r="AP102" s="597">
        <v>0.31</v>
      </c>
      <c r="AQ102" s="598">
        <v>0.34</v>
      </c>
      <c r="AR102" s="599">
        <v>0.37</v>
      </c>
      <c r="AS102" s="586"/>
      <c r="AT102" s="587"/>
      <c r="AU102" s="587"/>
      <c r="AV102" s="588"/>
      <c r="AW102" s="589"/>
      <c r="AX102" s="596">
        <v>0.05</v>
      </c>
      <c r="AY102" s="598">
        <v>5.5E-2</v>
      </c>
      <c r="AZ102" s="598">
        <v>0.06</v>
      </c>
      <c r="BA102" s="598">
        <v>6.5000000000000002E-2</v>
      </c>
      <c r="BB102" s="598">
        <v>7.0000000000000007E-2</v>
      </c>
      <c r="BC102" s="590"/>
      <c r="BD102" s="631"/>
      <c r="BE102" s="596"/>
      <c r="BF102" s="598"/>
      <c r="BG102" s="598"/>
      <c r="BH102" s="598"/>
      <c r="BI102" s="598"/>
      <c r="BJ102" s="598"/>
      <c r="BK102" s="605"/>
      <c r="BL102" s="658">
        <f t="shared" si="91"/>
        <v>16000</v>
      </c>
      <c r="BM102" s="3">
        <f t="shared" si="92"/>
        <v>40</v>
      </c>
      <c r="BN102" s="3">
        <f t="shared" si="93"/>
        <v>30</v>
      </c>
      <c r="BO102" s="3">
        <f t="shared" si="94"/>
        <v>30</v>
      </c>
    </row>
    <row r="103" spans="2:67">
      <c r="B103" s="1269" t="s">
        <v>68</v>
      </c>
      <c r="C103" s="1265" t="s">
        <v>309</v>
      </c>
      <c r="D103" s="1265" t="s">
        <v>70</v>
      </c>
      <c r="E103" s="1267" t="s">
        <v>65</v>
      </c>
      <c r="F103" s="592">
        <v>100</v>
      </c>
      <c r="G103" s="593">
        <v>11129</v>
      </c>
      <c r="H103" s="594">
        <v>7420</v>
      </c>
      <c r="I103" s="595">
        <v>7949</v>
      </c>
      <c r="J103" s="166">
        <f t="shared" si="61"/>
        <v>222</v>
      </c>
      <c r="K103" s="167">
        <f t="shared" si="62"/>
        <v>148</v>
      </c>
      <c r="L103" s="168">
        <f t="shared" si="63"/>
        <v>159</v>
      </c>
      <c r="M103" s="166">
        <f t="shared" si="64"/>
        <v>278</v>
      </c>
      <c r="N103" s="167">
        <f t="shared" si="65"/>
        <v>185</v>
      </c>
      <c r="O103" s="168">
        <f t="shared" si="66"/>
        <v>198</v>
      </c>
      <c r="P103" s="169">
        <f t="shared" si="67"/>
        <v>417</v>
      </c>
      <c r="Q103" s="169">
        <f t="shared" si="68"/>
        <v>278</v>
      </c>
      <c r="R103" s="169">
        <f t="shared" si="69"/>
        <v>298</v>
      </c>
      <c r="S103" s="584">
        <f t="shared" ref="S103:S134" si="95">ROUND(IF($C103="UR",G103*0.25,G103*0.3),0)</f>
        <v>2782</v>
      </c>
      <c r="T103" s="594">
        <f t="shared" ref="T103:T134" si="96">ROUND(IF($C103="UR",H103*0.25,H103*0.3),0)</f>
        <v>1855</v>
      </c>
      <c r="U103" s="595">
        <f t="shared" ref="U103:U134" si="97">ROUND(IF($C103="UR",I103*0.25,I103*0.3),0)</f>
        <v>1987</v>
      </c>
      <c r="V103" s="166">
        <f t="shared" ref="V103:V134" si="98">(IF($C103="UR",IF($E103="party卡",18,12))+IF($C103="SR",10)+IF($C103="R",8))*M103+J103+S103</f>
        <v>6340</v>
      </c>
      <c r="W103" s="167">
        <f t="shared" ref="W103:W134" si="99">(IF($C103="UR",IF($E103="party卡",18,12))+IF($C103="SR",10)+IF($C103="R",8))*N103+K103+T103</f>
        <v>4223</v>
      </c>
      <c r="X103" s="168">
        <f t="shared" ref="X103:X134" si="100">(IF($C103="UR",IF($E103="party卡",18,12))+IF($C103="SR",10)+IF($C103="R",8))*O103+L103+U103</f>
        <v>4522</v>
      </c>
      <c r="Y103" s="166">
        <f t="shared" ref="Y103:Y134" si="101">V103+(IF(C103="UR",IF(E103="party卡",IF(D103="gd",1,2),IF(D103="vo",2)+IF(D103="sp",1)+IF(D103="gd",3)+IF(D103="sk",1)))+IF(C103="SR",2)+IF(C103="R",IF(D103="vo",1)+IF(D103="sp",2)+IF(D103="gd",1)+IF(D103="sk",2)))*P103</f>
        <v>6757</v>
      </c>
      <c r="Z103" s="167">
        <f t="shared" ref="Z103:Z134" si="102">W103+(IF(C103="UR",IF(E103="party卡",IF(D103="sp",1,2),IF(D103="vo",1)+IF(D103="sp",3)+IF(D103="gd",2)+IF(D103="sk",2)))+IF(C103="SR",2)+IF(C103="R",IF(D103="vo",2)+IF(D103="sp",1)+IF(D103="gd",1)+IF(D103="sk",1)))*Q103</f>
        <v>4779</v>
      </c>
      <c r="AA103" s="168">
        <f t="shared" ref="AA103:AA134" si="103">X103+(IF(C103="UR",IF(E103="party卡",IF(OR(D103="vo",D103="sk"),1,2),IF(D103="vo",3)+IF(D103="sp",2)+IF(D103="gd",1)+IF(D103="sk",3)))+IF(C103="SR",2)+IF(C103="R",IF(D103="vo",1)+IF(D103="sp",1)+IF(D103="gd",2)+IF(D103="sk",1)))*R103</f>
        <v>5416</v>
      </c>
      <c r="AB103" s="166">
        <f t="shared" ref="AB103:AB134" si="104">V103+(IF(C103="UR",IF(E103="party卡",IF(OR(D103="sp",D103="sk"),3,2),IF(D103="vo",5)+IF(D103="sp",4)+IF(D103="gd",4)+IF(D103="sk",4)))+IF(C103="SR",4)+IF(C103="R",IF(D103="vo",3)+IF(D103="sp",3)+IF(D103="gd",2)+IF(D103="sk",3)))*P103</f>
        <v>8008</v>
      </c>
      <c r="AC103" s="167">
        <f t="shared" ref="AC103:AC134" si="105">W103+(IF(C103="UR",IF(E103="party卡",IF(D103="vo",3,2),IF(D103="vo",4)+IF(D103="sp",4)+IF(D103="gd",5)+IF(D103="sk",5)))+IF(C103="SR",4)+IF(C103="R",IF(D103="vo",3)+IF(D103="sp",2)+IF(D103="gd",3)+IF(D103="sk",3)))*Q103</f>
        <v>5613</v>
      </c>
      <c r="AD103" s="168">
        <f t="shared" ref="AD103:AD134" si="106">X103+(IF(C103="UR",IF(E103="party卡",IF(D103="gd",3,2),IF(D103="vo",4)+IF(D103="sp",5)+IF(D103="gd",4)+IF(D103="sk",4)))+IF(C103="SR",4)+IF(C103="R",IF(D103="vo",2)+IF(D103="sp",3)+IF(D103="gd",3)+IF(D103="sk",2)))*R103</f>
        <v>5714</v>
      </c>
      <c r="AE103" s="166">
        <f t="shared" ref="AE103:AE134" si="107">V103+(IF(C103="UR",IF(E103="party卡",3,IF(D103="vo",7)+IF(D103="sp",8)+IF(D103="gd",6)+IF(D103="sk",8)))+IF(C103="SR",IF(D103="vo",5)+IF(D103="sp",6)+IF(D103="gd",6)+IF(D103="sk",6))+IF(C103="R",IF(D103="vo",5)+IF(D103="sp",4)+IF(D103="gd",4)+IF(D103="sk",4)))*P103</f>
        <v>9676</v>
      </c>
      <c r="AF103" s="167">
        <f t="shared" ref="AF103:AF134" si="108">W103+(IF(C103="UR",IF(E103="party卡",3,IF(D103="vo",8)+IF(D103="sp",6)+IF(D103="gd",7)+IF(D103="sk",7)))+IF(C103="SR",IF(D103="vo",6)+IF(D103="sp",6)+IF(D103="gd",5)+IF(D103="sk",5))+IF(C103="R",IF(D103="vo",4)+IF(D103="sp",4)+IF(D103="gd",5)+IF(D103="sk",5)))*Q103</f>
        <v>6169</v>
      </c>
      <c r="AG103" s="168">
        <f t="shared" ref="AG103:AG134" si="109">X103+(IF(C103="UR",IF(E103="party卡",3,IF(D103="vo",6)+IF(D103="sp",7)+IF(D103="gd",8)+IF(D103="sk",6)))+IF(C103="SR",IF(D103="vo",6)+IF(D103="sp",5)+IF(D103="gd",6)+IF(D103="sk",6))+IF(C103="R",IF(D103="vo",4)+IF(D103="sp",5)+IF(D103="gd",4)+IF(D103="sk",4)))*R103</f>
        <v>6310</v>
      </c>
      <c r="AH103" s="166">
        <f t="shared" si="85"/>
        <v>10510</v>
      </c>
      <c r="AI103" s="167">
        <f t="shared" ref="AI103:AI134" si="110">W103+(IF(C103="UR",IF(E103="party卡",4,IF(D103="vo",10)+IF(D103="sp",10)+IF(D103="gd",9)+IF(D103="sk",9)))+IF(C103="SR",IF(D103="vo",7)+IF(D103="sp",9)+IF(D103="gd",7)+IF(D103="sk",7))+IF(C103="R",IF(D103="vo",6)+IF(D103="sp",6)+IF(D103="gd",7)+IF(D103="sk",7)))*Q103</f>
        <v>6725</v>
      </c>
      <c r="AJ103" s="168">
        <f t="shared" ref="AJ103:AJ134" si="111">X103+(IF(C103="UR",IF(E103="party卡",4,IF(D103="vo",10)+IF(D103="sp",9)+IF(D103="gd",10)+IF(D103="sk",10)))+IF(C103="SR",IF(D103="vo",9)+IF(D103="sp",7)+IF(D103="gd",7)+IF(D103="sk",9))+IF(C103="R",IF(D103="vo",6)+IF(D103="sp",7)+IF(D103="gd",6)+IF(D103="sk",6)))*R103</f>
        <v>7502</v>
      </c>
      <c r="AK103" s="169">
        <f t="shared" ref="AK103:AK134" si="112">G103+J103</f>
        <v>11351</v>
      </c>
      <c r="AL103" s="167">
        <f t="shared" ref="AL103:AL134" si="113">H103+K103</f>
        <v>7568</v>
      </c>
      <c r="AM103" s="585">
        <f t="shared" ref="AM103:AM134" si="114">I103+L103</f>
        <v>8108</v>
      </c>
      <c r="AN103" s="596">
        <v>4.2000000000000003E-2</v>
      </c>
      <c r="AO103" s="597">
        <v>4.3999999999999997E-2</v>
      </c>
      <c r="AP103" s="597">
        <v>4.5999999999999999E-2</v>
      </c>
      <c r="AQ103" s="598">
        <v>4.8000000000000001E-2</v>
      </c>
      <c r="AR103" s="599">
        <v>0.05</v>
      </c>
      <c r="AS103" s="586"/>
      <c r="AT103" s="587"/>
      <c r="AU103" s="587"/>
      <c r="AV103" s="588"/>
      <c r="AW103" s="589"/>
      <c r="AX103" s="596">
        <v>0.04</v>
      </c>
      <c r="AY103" s="598">
        <v>4.2999999999999997E-2</v>
      </c>
      <c r="AZ103" s="598">
        <v>4.5999999999999999E-2</v>
      </c>
      <c r="BA103" s="598">
        <v>4.9000000000000002E-2</v>
      </c>
      <c r="BB103" s="598">
        <v>5.1999999999999998E-2</v>
      </c>
      <c r="BC103" s="590"/>
      <c r="BD103" s="631"/>
      <c r="BE103" s="596"/>
      <c r="BF103" s="598"/>
      <c r="BG103" s="598"/>
      <c r="BH103" s="598"/>
      <c r="BI103" s="598"/>
      <c r="BJ103" s="598"/>
      <c r="BK103" s="605"/>
      <c r="BL103" s="658">
        <f t="shared" si="91"/>
        <v>26500</v>
      </c>
      <c r="BM103" s="3">
        <f t="shared" si="92"/>
        <v>42</v>
      </c>
      <c r="BN103" s="3">
        <f t="shared" si="93"/>
        <v>28</v>
      </c>
      <c r="BO103" s="3">
        <f t="shared" si="94"/>
        <v>30</v>
      </c>
    </row>
    <row r="104" spans="2:67">
      <c r="B104" s="207" t="s">
        <v>397</v>
      </c>
      <c r="C104" s="890" t="s">
        <v>357</v>
      </c>
      <c r="D104" s="890" t="s">
        <v>358</v>
      </c>
      <c r="E104" s="238" t="s">
        <v>65</v>
      </c>
      <c r="F104" s="592">
        <v>101</v>
      </c>
      <c r="G104" s="593">
        <v>6844</v>
      </c>
      <c r="H104" s="594">
        <v>4890</v>
      </c>
      <c r="I104" s="595">
        <v>4563</v>
      </c>
      <c r="J104" s="166">
        <f t="shared" si="61"/>
        <v>136</v>
      </c>
      <c r="K104" s="167">
        <f t="shared" si="62"/>
        <v>97</v>
      </c>
      <c r="L104" s="168">
        <f t="shared" si="63"/>
        <v>91</v>
      </c>
      <c r="M104" s="166">
        <f t="shared" si="64"/>
        <v>205</v>
      </c>
      <c r="N104" s="167">
        <f t="shared" si="65"/>
        <v>146</v>
      </c>
      <c r="O104" s="168">
        <f t="shared" si="66"/>
        <v>136</v>
      </c>
      <c r="P104" s="169">
        <f t="shared" si="67"/>
        <v>273</v>
      </c>
      <c r="Q104" s="169">
        <f t="shared" si="68"/>
        <v>195</v>
      </c>
      <c r="R104" s="169">
        <f t="shared" si="69"/>
        <v>182</v>
      </c>
      <c r="S104" s="584">
        <f t="shared" si="95"/>
        <v>2053</v>
      </c>
      <c r="T104" s="594">
        <f t="shared" si="96"/>
        <v>1467</v>
      </c>
      <c r="U104" s="595">
        <f t="shared" si="97"/>
        <v>1369</v>
      </c>
      <c r="V104" s="166">
        <f t="shared" si="98"/>
        <v>4239</v>
      </c>
      <c r="W104" s="167">
        <f t="shared" si="99"/>
        <v>3024</v>
      </c>
      <c r="X104" s="168">
        <f t="shared" si="100"/>
        <v>2820</v>
      </c>
      <c r="Y104" s="166">
        <f t="shared" si="101"/>
        <v>4785</v>
      </c>
      <c r="Z104" s="167">
        <f t="shared" si="102"/>
        <v>3414</v>
      </c>
      <c r="AA104" s="168">
        <f t="shared" si="103"/>
        <v>3184</v>
      </c>
      <c r="AB104" s="166">
        <f t="shared" si="104"/>
        <v>5331</v>
      </c>
      <c r="AC104" s="167">
        <f t="shared" si="105"/>
        <v>3804</v>
      </c>
      <c r="AD104" s="168">
        <f t="shared" si="106"/>
        <v>3548</v>
      </c>
      <c r="AE104" s="166">
        <f t="shared" si="107"/>
        <v>5604</v>
      </c>
      <c r="AF104" s="167">
        <f t="shared" si="108"/>
        <v>4194</v>
      </c>
      <c r="AG104" s="168">
        <f t="shared" si="109"/>
        <v>3912</v>
      </c>
      <c r="AH104" s="166">
        <f t="shared" si="85"/>
        <v>6150</v>
      </c>
      <c r="AI104" s="167">
        <f t="shared" si="110"/>
        <v>4389</v>
      </c>
      <c r="AJ104" s="168">
        <f t="shared" si="111"/>
        <v>4458</v>
      </c>
      <c r="AK104" s="169">
        <f t="shared" si="112"/>
        <v>6980</v>
      </c>
      <c r="AL104" s="167">
        <f t="shared" si="113"/>
        <v>4987</v>
      </c>
      <c r="AM104" s="585">
        <f t="shared" si="114"/>
        <v>4654</v>
      </c>
      <c r="AN104" s="596">
        <v>0.05</v>
      </c>
      <c r="AO104" s="597">
        <v>5.5E-2</v>
      </c>
      <c r="AP104" s="597">
        <v>0.06</v>
      </c>
      <c r="AQ104" s="598">
        <v>6.5000000000000002E-2</v>
      </c>
      <c r="AR104" s="599">
        <v>7.0000000000000007E-2</v>
      </c>
      <c r="AS104" s="586"/>
      <c r="AT104" s="587"/>
      <c r="AU104" s="587"/>
      <c r="AV104" s="588"/>
      <c r="AW104" s="589"/>
      <c r="AX104" s="596">
        <v>0.05</v>
      </c>
      <c r="AY104" s="598">
        <v>5.5E-2</v>
      </c>
      <c r="AZ104" s="598">
        <v>0.06</v>
      </c>
      <c r="BA104" s="598">
        <v>6.5000000000000002E-2</v>
      </c>
      <c r="BB104" s="598">
        <v>7.0000000000000007E-2</v>
      </c>
      <c r="BC104" s="590"/>
      <c r="BD104" s="631"/>
      <c r="BE104" s="596"/>
      <c r="BF104" s="598"/>
      <c r="BG104" s="598"/>
      <c r="BH104" s="598"/>
      <c r="BI104" s="598"/>
      <c r="BJ104" s="598"/>
      <c r="BK104" s="605"/>
      <c r="BL104" s="658">
        <f t="shared" si="91"/>
        <v>16300</v>
      </c>
      <c r="BM104" s="3">
        <f t="shared" si="92"/>
        <v>42</v>
      </c>
      <c r="BN104" s="3">
        <f t="shared" si="93"/>
        <v>30</v>
      </c>
      <c r="BO104" s="3">
        <f t="shared" si="94"/>
        <v>28</v>
      </c>
    </row>
    <row r="105" spans="2:67">
      <c r="B105" s="1269" t="s">
        <v>106</v>
      </c>
      <c r="C105" s="1265" t="s">
        <v>309</v>
      </c>
      <c r="D105" s="1265" t="s">
        <v>14</v>
      </c>
      <c r="E105" s="1267" t="s">
        <v>125</v>
      </c>
      <c r="F105" s="1270">
        <v>102</v>
      </c>
      <c r="G105" s="593">
        <v>7093</v>
      </c>
      <c r="H105" s="594">
        <v>7093</v>
      </c>
      <c r="I105" s="595">
        <v>7309</v>
      </c>
      <c r="J105" s="166">
        <f t="shared" si="61"/>
        <v>141</v>
      </c>
      <c r="K105" s="167">
        <f t="shared" si="62"/>
        <v>141</v>
      </c>
      <c r="L105" s="168">
        <f t="shared" si="63"/>
        <v>146</v>
      </c>
      <c r="M105" s="166">
        <f t="shared" si="64"/>
        <v>177</v>
      </c>
      <c r="N105" s="167">
        <f t="shared" si="65"/>
        <v>177</v>
      </c>
      <c r="O105" s="168">
        <f t="shared" si="66"/>
        <v>182</v>
      </c>
      <c r="P105" s="169">
        <f t="shared" si="67"/>
        <v>266</v>
      </c>
      <c r="Q105" s="169">
        <f t="shared" si="68"/>
        <v>266</v>
      </c>
      <c r="R105" s="169">
        <f t="shared" si="69"/>
        <v>274</v>
      </c>
      <c r="S105" s="584">
        <f t="shared" si="95"/>
        <v>1773</v>
      </c>
      <c r="T105" s="594">
        <f t="shared" si="96"/>
        <v>1773</v>
      </c>
      <c r="U105" s="595">
        <f t="shared" si="97"/>
        <v>1827</v>
      </c>
      <c r="V105" s="166">
        <f t="shared" si="98"/>
        <v>4038</v>
      </c>
      <c r="W105" s="167">
        <f t="shared" si="99"/>
        <v>4038</v>
      </c>
      <c r="X105" s="168">
        <f t="shared" si="100"/>
        <v>4157</v>
      </c>
      <c r="Y105" s="166">
        <f t="shared" si="101"/>
        <v>4304</v>
      </c>
      <c r="Z105" s="167">
        <f t="shared" si="102"/>
        <v>4836</v>
      </c>
      <c r="AA105" s="168">
        <f t="shared" si="103"/>
        <v>4705</v>
      </c>
      <c r="AB105" s="166">
        <f t="shared" si="104"/>
        <v>5102</v>
      </c>
      <c r="AC105" s="167">
        <f t="shared" si="105"/>
        <v>5102</v>
      </c>
      <c r="AD105" s="168">
        <f t="shared" si="106"/>
        <v>5527</v>
      </c>
      <c r="AE105" s="166">
        <f t="shared" si="107"/>
        <v>6166</v>
      </c>
      <c r="AF105" s="167">
        <f t="shared" si="108"/>
        <v>5634</v>
      </c>
      <c r="AG105" s="168">
        <f t="shared" si="109"/>
        <v>6075</v>
      </c>
      <c r="AH105" s="166">
        <f t="shared" si="85"/>
        <v>6698</v>
      </c>
      <c r="AI105" s="167">
        <f t="shared" si="110"/>
        <v>6698</v>
      </c>
      <c r="AJ105" s="168">
        <f t="shared" si="111"/>
        <v>6623</v>
      </c>
      <c r="AK105" s="169">
        <f t="shared" si="112"/>
        <v>7234</v>
      </c>
      <c r="AL105" s="167">
        <f t="shared" si="113"/>
        <v>7234</v>
      </c>
      <c r="AM105" s="585">
        <f t="shared" si="114"/>
        <v>7455</v>
      </c>
      <c r="AN105" s="596">
        <v>0.3</v>
      </c>
      <c r="AO105" s="597">
        <v>0.30499999999999999</v>
      </c>
      <c r="AP105" s="597">
        <v>0.31</v>
      </c>
      <c r="AQ105" s="598">
        <v>0.315</v>
      </c>
      <c r="AR105" s="599">
        <v>0.32</v>
      </c>
      <c r="AS105" s="586"/>
      <c r="AT105" s="587"/>
      <c r="AU105" s="587"/>
      <c r="AV105" s="588"/>
      <c r="AW105" s="589"/>
      <c r="AX105" s="596">
        <v>0.03</v>
      </c>
      <c r="AY105" s="598">
        <v>3.3000000000000002E-2</v>
      </c>
      <c r="AZ105" s="598">
        <v>3.5999999999999997E-2</v>
      </c>
      <c r="BA105" s="598">
        <v>3.9E-2</v>
      </c>
      <c r="BB105" s="598">
        <v>4.2000000000000003E-2</v>
      </c>
      <c r="BC105" s="590"/>
      <c r="BD105" s="631"/>
      <c r="BE105" s="596"/>
      <c r="BF105" s="598"/>
      <c r="BG105" s="598"/>
      <c r="BH105" s="598"/>
      <c r="BI105" s="598"/>
      <c r="BJ105" s="598"/>
      <c r="BK105" s="605"/>
      <c r="BL105" s="658">
        <f t="shared" si="91"/>
        <v>21500</v>
      </c>
      <c r="BM105" s="3">
        <f t="shared" si="92"/>
        <v>33</v>
      </c>
      <c r="BN105" s="3">
        <f t="shared" si="93"/>
        <v>33</v>
      </c>
      <c r="BO105" s="3">
        <f t="shared" si="94"/>
        <v>34</v>
      </c>
    </row>
    <row r="106" spans="2:67">
      <c r="B106" s="207" t="s">
        <v>398</v>
      </c>
      <c r="C106" s="890" t="s">
        <v>357</v>
      </c>
      <c r="D106" s="890" t="s">
        <v>359</v>
      </c>
      <c r="E106" s="238" t="s">
        <v>125</v>
      </c>
      <c r="F106" s="592">
        <v>103</v>
      </c>
      <c r="G106" s="593">
        <v>3990</v>
      </c>
      <c r="H106" s="594">
        <v>5320</v>
      </c>
      <c r="I106" s="595">
        <v>3990</v>
      </c>
      <c r="J106" s="166">
        <f t="shared" si="61"/>
        <v>79</v>
      </c>
      <c r="K106" s="167">
        <f t="shared" si="62"/>
        <v>106</v>
      </c>
      <c r="L106" s="168">
        <f t="shared" si="63"/>
        <v>79</v>
      </c>
      <c r="M106" s="166">
        <f t="shared" si="64"/>
        <v>119</v>
      </c>
      <c r="N106" s="167">
        <f t="shared" si="65"/>
        <v>159</v>
      </c>
      <c r="O106" s="168">
        <f t="shared" si="66"/>
        <v>119</v>
      </c>
      <c r="P106" s="169">
        <f t="shared" si="67"/>
        <v>159</v>
      </c>
      <c r="Q106" s="169">
        <f t="shared" si="68"/>
        <v>212</v>
      </c>
      <c r="R106" s="169">
        <f t="shared" si="69"/>
        <v>159</v>
      </c>
      <c r="S106" s="584">
        <f t="shared" si="95"/>
        <v>1197</v>
      </c>
      <c r="T106" s="594">
        <f t="shared" si="96"/>
        <v>1596</v>
      </c>
      <c r="U106" s="595">
        <f t="shared" si="97"/>
        <v>1197</v>
      </c>
      <c r="V106" s="166">
        <f t="shared" si="98"/>
        <v>2466</v>
      </c>
      <c r="W106" s="167">
        <f t="shared" si="99"/>
        <v>3292</v>
      </c>
      <c r="X106" s="168">
        <f t="shared" si="100"/>
        <v>2466</v>
      </c>
      <c r="Y106" s="166">
        <f t="shared" si="101"/>
        <v>2784</v>
      </c>
      <c r="Z106" s="167">
        <f t="shared" si="102"/>
        <v>3716</v>
      </c>
      <c r="AA106" s="168">
        <f t="shared" si="103"/>
        <v>2784</v>
      </c>
      <c r="AB106" s="166">
        <f t="shared" si="104"/>
        <v>3102</v>
      </c>
      <c r="AC106" s="167">
        <f t="shared" si="105"/>
        <v>4140</v>
      </c>
      <c r="AD106" s="168">
        <f t="shared" si="106"/>
        <v>3102</v>
      </c>
      <c r="AE106" s="166">
        <f t="shared" si="107"/>
        <v>3420</v>
      </c>
      <c r="AF106" s="167">
        <f t="shared" si="108"/>
        <v>4352</v>
      </c>
      <c r="AG106" s="168">
        <f t="shared" si="109"/>
        <v>3420</v>
      </c>
      <c r="AH106" s="166">
        <f t="shared" si="85"/>
        <v>3897</v>
      </c>
      <c r="AI106" s="167">
        <f t="shared" si="110"/>
        <v>4776</v>
      </c>
      <c r="AJ106" s="168">
        <f t="shared" si="111"/>
        <v>3579</v>
      </c>
      <c r="AK106" s="169">
        <f t="shared" si="112"/>
        <v>4069</v>
      </c>
      <c r="AL106" s="167">
        <f t="shared" si="113"/>
        <v>5426</v>
      </c>
      <c r="AM106" s="585">
        <f t="shared" si="114"/>
        <v>4069</v>
      </c>
      <c r="AN106" s="596">
        <v>0.2</v>
      </c>
      <c r="AO106" s="597">
        <v>0.23</v>
      </c>
      <c r="AP106" s="597">
        <v>0.26</v>
      </c>
      <c r="AQ106" s="598">
        <v>0.28999999999999998</v>
      </c>
      <c r="AR106" s="599">
        <v>0.32</v>
      </c>
      <c r="AS106" s="586"/>
      <c r="AT106" s="587"/>
      <c r="AU106" s="587"/>
      <c r="AV106" s="588"/>
      <c r="AW106" s="589"/>
      <c r="AX106" s="596">
        <v>0.05</v>
      </c>
      <c r="AY106" s="598">
        <v>5.5E-2</v>
      </c>
      <c r="AZ106" s="598">
        <v>0.06</v>
      </c>
      <c r="BA106" s="598">
        <v>6.5000000000000002E-2</v>
      </c>
      <c r="BB106" s="598">
        <v>7.0000000000000007E-2</v>
      </c>
      <c r="BC106" s="590"/>
      <c r="BD106" s="631"/>
      <c r="BE106" s="596"/>
      <c r="BF106" s="598"/>
      <c r="BG106" s="598"/>
      <c r="BH106" s="598"/>
      <c r="BI106" s="598"/>
      <c r="BJ106" s="598"/>
      <c r="BK106" s="605"/>
      <c r="BL106" s="658">
        <f t="shared" si="91"/>
        <v>13300</v>
      </c>
      <c r="BM106" s="3">
        <f t="shared" si="92"/>
        <v>30</v>
      </c>
      <c r="BN106" s="3">
        <f t="shared" si="93"/>
        <v>40</v>
      </c>
      <c r="BO106" s="3">
        <f t="shared" si="94"/>
        <v>30</v>
      </c>
    </row>
    <row r="107" spans="2:67">
      <c r="B107" s="207" t="s">
        <v>441</v>
      </c>
      <c r="C107" s="890" t="s">
        <v>357</v>
      </c>
      <c r="D107" s="890" t="s">
        <v>14</v>
      </c>
      <c r="E107" s="238" t="s">
        <v>125</v>
      </c>
      <c r="F107" s="592">
        <v>104</v>
      </c>
      <c r="G107" s="593">
        <v>3057</v>
      </c>
      <c r="H107" s="594">
        <v>4920</v>
      </c>
      <c r="I107" s="595">
        <v>5320</v>
      </c>
      <c r="J107" s="166">
        <f t="shared" si="61"/>
        <v>61</v>
      </c>
      <c r="K107" s="167">
        <f t="shared" si="62"/>
        <v>98</v>
      </c>
      <c r="L107" s="168">
        <f t="shared" si="63"/>
        <v>106</v>
      </c>
      <c r="M107" s="166">
        <f t="shared" si="64"/>
        <v>91</v>
      </c>
      <c r="N107" s="167">
        <f t="shared" si="65"/>
        <v>147</v>
      </c>
      <c r="O107" s="168">
        <f t="shared" si="66"/>
        <v>159</v>
      </c>
      <c r="P107" s="169">
        <f t="shared" si="67"/>
        <v>122</v>
      </c>
      <c r="Q107" s="169">
        <f t="shared" si="68"/>
        <v>196</v>
      </c>
      <c r="R107" s="169">
        <f t="shared" si="69"/>
        <v>212</v>
      </c>
      <c r="S107" s="584">
        <f t="shared" si="95"/>
        <v>917</v>
      </c>
      <c r="T107" s="594">
        <f t="shared" si="96"/>
        <v>1476</v>
      </c>
      <c r="U107" s="595">
        <f t="shared" si="97"/>
        <v>1596</v>
      </c>
      <c r="V107" s="166">
        <f t="shared" si="98"/>
        <v>1888</v>
      </c>
      <c r="W107" s="167">
        <f t="shared" si="99"/>
        <v>3044</v>
      </c>
      <c r="X107" s="168">
        <f t="shared" si="100"/>
        <v>3292</v>
      </c>
      <c r="Y107" s="166">
        <f t="shared" si="101"/>
        <v>2132</v>
      </c>
      <c r="Z107" s="167">
        <f t="shared" si="102"/>
        <v>3436</v>
      </c>
      <c r="AA107" s="168">
        <f t="shared" si="103"/>
        <v>3716</v>
      </c>
      <c r="AB107" s="166">
        <f t="shared" si="104"/>
        <v>2376</v>
      </c>
      <c r="AC107" s="167">
        <f t="shared" si="105"/>
        <v>3828</v>
      </c>
      <c r="AD107" s="168">
        <f t="shared" si="106"/>
        <v>4140</v>
      </c>
      <c r="AE107" s="166">
        <f t="shared" si="107"/>
        <v>2620</v>
      </c>
      <c r="AF107" s="167">
        <f t="shared" si="108"/>
        <v>4220</v>
      </c>
      <c r="AG107" s="168">
        <f t="shared" si="109"/>
        <v>4352</v>
      </c>
      <c r="AH107" s="166">
        <f t="shared" si="85"/>
        <v>2742</v>
      </c>
      <c r="AI107" s="167">
        <f t="shared" si="110"/>
        <v>4808</v>
      </c>
      <c r="AJ107" s="168">
        <f t="shared" si="111"/>
        <v>4776</v>
      </c>
      <c r="AK107" s="169">
        <f t="shared" si="112"/>
        <v>3118</v>
      </c>
      <c r="AL107" s="167">
        <f t="shared" si="113"/>
        <v>5018</v>
      </c>
      <c r="AM107" s="585">
        <f t="shared" si="114"/>
        <v>5426</v>
      </c>
      <c r="AN107" s="596">
        <v>0.15</v>
      </c>
      <c r="AO107" s="597">
        <v>0.18</v>
      </c>
      <c r="AP107" s="597">
        <v>0.21</v>
      </c>
      <c r="AQ107" s="598">
        <v>0.24</v>
      </c>
      <c r="AR107" s="599">
        <v>0.27</v>
      </c>
      <c r="AS107" s="586"/>
      <c r="AT107" s="587"/>
      <c r="AU107" s="587"/>
      <c r="AV107" s="588"/>
      <c r="AW107" s="589"/>
      <c r="AX107" s="596">
        <v>2.5000000000000001E-2</v>
      </c>
      <c r="AY107" s="598">
        <v>2.8000000000000001E-2</v>
      </c>
      <c r="AZ107" s="598">
        <v>3.1E-2</v>
      </c>
      <c r="BA107" s="598">
        <v>3.4000000000000002E-2</v>
      </c>
      <c r="BB107" s="598">
        <v>3.6999999999999998E-2</v>
      </c>
      <c r="BC107" s="590"/>
      <c r="BD107" s="631"/>
      <c r="BE107" s="596"/>
      <c r="BF107" s="598"/>
      <c r="BG107" s="598"/>
      <c r="BH107" s="598"/>
      <c r="BI107" s="598"/>
      <c r="BJ107" s="598"/>
      <c r="BK107" s="605"/>
      <c r="BL107" s="658">
        <f t="shared" si="91"/>
        <v>13300</v>
      </c>
      <c r="BM107" s="3">
        <f t="shared" si="92"/>
        <v>23</v>
      </c>
      <c r="BN107" s="3">
        <f t="shared" si="93"/>
        <v>37</v>
      </c>
      <c r="BO107" s="3">
        <f t="shared" si="94"/>
        <v>40</v>
      </c>
    </row>
    <row r="108" spans="2:67">
      <c r="B108" s="1269" t="s">
        <v>110</v>
      </c>
      <c r="C108" s="1265" t="s">
        <v>309</v>
      </c>
      <c r="D108" s="1265" t="s">
        <v>23</v>
      </c>
      <c r="E108" s="1267" t="s">
        <v>65</v>
      </c>
      <c r="F108" s="1270">
        <v>105</v>
      </c>
      <c r="G108" s="593">
        <v>7949</v>
      </c>
      <c r="H108" s="594">
        <v>10600</v>
      </c>
      <c r="I108" s="595">
        <v>7949</v>
      </c>
      <c r="J108" s="166">
        <f t="shared" si="61"/>
        <v>159</v>
      </c>
      <c r="K108" s="167">
        <f t="shared" si="62"/>
        <v>212</v>
      </c>
      <c r="L108" s="168">
        <f t="shared" si="63"/>
        <v>159</v>
      </c>
      <c r="M108" s="166">
        <f t="shared" si="64"/>
        <v>198</v>
      </c>
      <c r="N108" s="167">
        <f t="shared" si="65"/>
        <v>265</v>
      </c>
      <c r="O108" s="168">
        <f t="shared" si="66"/>
        <v>198</v>
      </c>
      <c r="P108" s="169">
        <f t="shared" si="67"/>
        <v>298</v>
      </c>
      <c r="Q108" s="169">
        <f t="shared" si="68"/>
        <v>397</v>
      </c>
      <c r="R108" s="169">
        <f t="shared" si="69"/>
        <v>298</v>
      </c>
      <c r="S108" s="584">
        <f t="shared" si="95"/>
        <v>1987</v>
      </c>
      <c r="T108" s="594">
        <f t="shared" si="96"/>
        <v>2650</v>
      </c>
      <c r="U108" s="595">
        <f t="shared" si="97"/>
        <v>1987</v>
      </c>
      <c r="V108" s="166">
        <f t="shared" si="98"/>
        <v>4522</v>
      </c>
      <c r="W108" s="167">
        <f t="shared" si="99"/>
        <v>6042</v>
      </c>
      <c r="X108" s="168">
        <f t="shared" si="100"/>
        <v>4522</v>
      </c>
      <c r="Y108" s="166">
        <f t="shared" si="101"/>
        <v>5416</v>
      </c>
      <c r="Z108" s="167">
        <f t="shared" si="102"/>
        <v>6836</v>
      </c>
      <c r="AA108" s="168">
        <f t="shared" si="103"/>
        <v>4820</v>
      </c>
      <c r="AB108" s="166">
        <f t="shared" si="104"/>
        <v>5714</v>
      </c>
      <c r="AC108" s="167">
        <f t="shared" si="105"/>
        <v>8027</v>
      </c>
      <c r="AD108" s="168">
        <f t="shared" si="106"/>
        <v>5714</v>
      </c>
      <c r="AE108" s="166">
        <f t="shared" si="107"/>
        <v>6310</v>
      </c>
      <c r="AF108" s="167">
        <f t="shared" si="108"/>
        <v>8821</v>
      </c>
      <c r="AG108" s="168">
        <f t="shared" si="109"/>
        <v>6906</v>
      </c>
      <c r="AH108" s="166">
        <f t="shared" si="85"/>
        <v>7502</v>
      </c>
      <c r="AI108" s="167">
        <f t="shared" si="110"/>
        <v>9615</v>
      </c>
      <c r="AJ108" s="168">
        <f t="shared" si="111"/>
        <v>7502</v>
      </c>
      <c r="AK108" s="169">
        <f t="shared" si="112"/>
        <v>8108</v>
      </c>
      <c r="AL108" s="167">
        <f t="shared" si="113"/>
        <v>10812</v>
      </c>
      <c r="AM108" s="585">
        <f t="shared" si="114"/>
        <v>8108</v>
      </c>
      <c r="AN108" s="596">
        <v>0.2</v>
      </c>
      <c r="AO108" s="597">
        <v>0.23</v>
      </c>
      <c r="AP108" s="597">
        <v>0.26</v>
      </c>
      <c r="AQ108" s="598">
        <v>0.28999999999999998</v>
      </c>
      <c r="AR108" s="599">
        <v>0.32</v>
      </c>
      <c r="AS108" s="586"/>
      <c r="AT108" s="587"/>
      <c r="AU108" s="587"/>
      <c r="AV108" s="588"/>
      <c r="AW108" s="589"/>
      <c r="AX108" s="596">
        <v>0.04</v>
      </c>
      <c r="AY108" s="598">
        <v>4.2999999999999997E-2</v>
      </c>
      <c r="AZ108" s="598">
        <v>4.5999999999999999E-2</v>
      </c>
      <c r="BA108" s="598">
        <v>4.9000000000000002E-2</v>
      </c>
      <c r="BB108" s="598">
        <v>5.1999999999999998E-2</v>
      </c>
      <c r="BC108" s="590"/>
      <c r="BD108" s="631"/>
      <c r="BE108" s="596"/>
      <c r="BF108" s="598"/>
      <c r="BG108" s="598"/>
      <c r="BH108" s="598"/>
      <c r="BI108" s="598"/>
      <c r="BJ108" s="598"/>
      <c r="BK108" s="605"/>
      <c r="BL108" s="658">
        <f t="shared" si="91"/>
        <v>26500</v>
      </c>
      <c r="BM108" s="3">
        <f t="shared" si="92"/>
        <v>30</v>
      </c>
      <c r="BN108" s="3">
        <f t="shared" si="93"/>
        <v>40</v>
      </c>
      <c r="BO108" s="3">
        <f t="shared" si="94"/>
        <v>30</v>
      </c>
    </row>
    <row r="109" spans="2:67">
      <c r="B109" s="207" t="s">
        <v>361</v>
      </c>
      <c r="C109" s="890" t="s">
        <v>357</v>
      </c>
      <c r="D109" s="890" t="s">
        <v>356</v>
      </c>
      <c r="E109" s="238" t="s">
        <v>65</v>
      </c>
      <c r="F109" s="592">
        <v>106</v>
      </c>
      <c r="G109" s="593">
        <v>4890</v>
      </c>
      <c r="H109" s="594">
        <v>4890</v>
      </c>
      <c r="I109" s="595">
        <v>6520</v>
      </c>
      <c r="J109" s="166">
        <f t="shared" si="61"/>
        <v>97</v>
      </c>
      <c r="K109" s="167">
        <f t="shared" si="62"/>
        <v>97</v>
      </c>
      <c r="L109" s="168">
        <f t="shared" si="63"/>
        <v>130</v>
      </c>
      <c r="M109" s="166">
        <f t="shared" si="64"/>
        <v>146</v>
      </c>
      <c r="N109" s="167">
        <f t="shared" si="65"/>
        <v>146</v>
      </c>
      <c r="O109" s="168">
        <f t="shared" si="66"/>
        <v>195</v>
      </c>
      <c r="P109" s="169">
        <f t="shared" si="67"/>
        <v>195</v>
      </c>
      <c r="Q109" s="169">
        <f t="shared" si="68"/>
        <v>195</v>
      </c>
      <c r="R109" s="169">
        <f t="shared" si="69"/>
        <v>260</v>
      </c>
      <c r="S109" s="584">
        <f t="shared" si="95"/>
        <v>1467</v>
      </c>
      <c r="T109" s="594">
        <f t="shared" si="96"/>
        <v>1467</v>
      </c>
      <c r="U109" s="595">
        <f t="shared" si="97"/>
        <v>1956</v>
      </c>
      <c r="V109" s="166">
        <f t="shared" si="98"/>
        <v>3024</v>
      </c>
      <c r="W109" s="167">
        <f t="shared" si="99"/>
        <v>3024</v>
      </c>
      <c r="X109" s="168">
        <f t="shared" si="100"/>
        <v>4036</v>
      </c>
      <c r="Y109" s="166">
        <f t="shared" si="101"/>
        <v>3414</v>
      </c>
      <c r="Z109" s="167">
        <f t="shared" si="102"/>
        <v>3414</v>
      </c>
      <c r="AA109" s="168">
        <f t="shared" si="103"/>
        <v>4556</v>
      </c>
      <c r="AB109" s="166">
        <f t="shared" si="104"/>
        <v>3804</v>
      </c>
      <c r="AC109" s="167">
        <f t="shared" si="105"/>
        <v>3804</v>
      </c>
      <c r="AD109" s="168">
        <f t="shared" si="106"/>
        <v>5076</v>
      </c>
      <c r="AE109" s="166">
        <f t="shared" si="107"/>
        <v>4194</v>
      </c>
      <c r="AF109" s="167">
        <f t="shared" si="108"/>
        <v>3999</v>
      </c>
      <c r="AG109" s="168">
        <f t="shared" si="109"/>
        <v>5596</v>
      </c>
      <c r="AH109" s="166">
        <f t="shared" si="85"/>
        <v>4389</v>
      </c>
      <c r="AI109" s="167">
        <f t="shared" si="110"/>
        <v>4389</v>
      </c>
      <c r="AJ109" s="168">
        <f t="shared" si="111"/>
        <v>6376</v>
      </c>
      <c r="AK109" s="169">
        <f t="shared" si="112"/>
        <v>4987</v>
      </c>
      <c r="AL109" s="167">
        <f t="shared" si="113"/>
        <v>4987</v>
      </c>
      <c r="AM109" s="585">
        <f t="shared" si="114"/>
        <v>6650</v>
      </c>
      <c r="AN109" s="596">
        <v>2.1999999999999999E-2</v>
      </c>
      <c r="AO109" s="597">
        <v>2.4E-2</v>
      </c>
      <c r="AP109" s="597">
        <v>2.5999999999999999E-2</v>
      </c>
      <c r="AQ109" s="598">
        <v>2.8000000000000001E-2</v>
      </c>
      <c r="AR109" s="599">
        <v>0.03</v>
      </c>
      <c r="AS109" s="586"/>
      <c r="AT109" s="587"/>
      <c r="AU109" s="587"/>
      <c r="AV109" s="588"/>
      <c r="AW109" s="589"/>
      <c r="AX109" s="596">
        <v>0.05</v>
      </c>
      <c r="AY109" s="598">
        <v>5.5E-2</v>
      </c>
      <c r="AZ109" s="598">
        <v>0.06</v>
      </c>
      <c r="BA109" s="598">
        <v>6.5000000000000002E-2</v>
      </c>
      <c r="BB109" s="598">
        <v>7.0000000000000007E-2</v>
      </c>
      <c r="BC109" s="590"/>
      <c r="BD109" s="631"/>
      <c r="BE109" s="596"/>
      <c r="BF109" s="598"/>
      <c r="BG109" s="598"/>
      <c r="BH109" s="598"/>
      <c r="BI109" s="598"/>
      <c r="BJ109" s="598"/>
      <c r="BK109" s="605"/>
      <c r="BL109" s="658">
        <f t="shared" si="91"/>
        <v>16300</v>
      </c>
      <c r="BM109" s="3">
        <f t="shared" si="92"/>
        <v>30</v>
      </c>
      <c r="BN109" s="3">
        <f t="shared" si="93"/>
        <v>30</v>
      </c>
      <c r="BO109" s="3">
        <f t="shared" si="94"/>
        <v>40</v>
      </c>
    </row>
    <row r="110" spans="2:67">
      <c r="B110" s="1269" t="s">
        <v>103</v>
      </c>
      <c r="C110" s="1265" t="s">
        <v>309</v>
      </c>
      <c r="D110" s="1265" t="s">
        <v>14</v>
      </c>
      <c r="E110" s="238" t="s">
        <v>65</v>
      </c>
      <c r="F110" s="592">
        <v>107</v>
      </c>
      <c r="G110" s="593">
        <v>7949</v>
      </c>
      <c r="H110" s="594">
        <v>9273</v>
      </c>
      <c r="I110" s="595">
        <v>9273</v>
      </c>
      <c r="J110" s="166">
        <f t="shared" si="61"/>
        <v>159</v>
      </c>
      <c r="K110" s="167">
        <f t="shared" si="62"/>
        <v>185</v>
      </c>
      <c r="L110" s="168">
        <f t="shared" si="63"/>
        <v>185</v>
      </c>
      <c r="M110" s="166">
        <f t="shared" si="64"/>
        <v>198</v>
      </c>
      <c r="N110" s="167">
        <f t="shared" si="65"/>
        <v>231</v>
      </c>
      <c r="O110" s="168">
        <f t="shared" si="66"/>
        <v>231</v>
      </c>
      <c r="P110" s="169">
        <f t="shared" si="67"/>
        <v>298</v>
      </c>
      <c r="Q110" s="169">
        <f t="shared" si="68"/>
        <v>347</v>
      </c>
      <c r="R110" s="169">
        <f t="shared" si="69"/>
        <v>347</v>
      </c>
      <c r="S110" s="584">
        <f t="shared" si="95"/>
        <v>1987</v>
      </c>
      <c r="T110" s="594">
        <f t="shared" si="96"/>
        <v>2318</v>
      </c>
      <c r="U110" s="595">
        <f t="shared" si="97"/>
        <v>2318</v>
      </c>
      <c r="V110" s="166">
        <f t="shared" si="98"/>
        <v>4522</v>
      </c>
      <c r="W110" s="167">
        <f t="shared" si="99"/>
        <v>5275</v>
      </c>
      <c r="X110" s="168">
        <f t="shared" si="100"/>
        <v>5275</v>
      </c>
      <c r="Y110" s="166">
        <f t="shared" si="101"/>
        <v>4820</v>
      </c>
      <c r="Z110" s="167">
        <f t="shared" si="102"/>
        <v>6316</v>
      </c>
      <c r="AA110" s="168">
        <f t="shared" si="103"/>
        <v>5969</v>
      </c>
      <c r="AB110" s="166">
        <f t="shared" si="104"/>
        <v>5714</v>
      </c>
      <c r="AC110" s="167">
        <f t="shared" si="105"/>
        <v>6663</v>
      </c>
      <c r="AD110" s="168">
        <f t="shared" si="106"/>
        <v>7010</v>
      </c>
      <c r="AE110" s="166">
        <f t="shared" si="107"/>
        <v>6906</v>
      </c>
      <c r="AF110" s="167">
        <f t="shared" si="108"/>
        <v>7357</v>
      </c>
      <c r="AG110" s="168">
        <f t="shared" si="109"/>
        <v>7704</v>
      </c>
      <c r="AH110" s="166">
        <f t="shared" si="85"/>
        <v>7502</v>
      </c>
      <c r="AI110" s="167">
        <f t="shared" si="110"/>
        <v>8745</v>
      </c>
      <c r="AJ110" s="168">
        <f t="shared" si="111"/>
        <v>8398</v>
      </c>
      <c r="AK110" s="169">
        <f t="shared" si="112"/>
        <v>8108</v>
      </c>
      <c r="AL110" s="167">
        <f t="shared" si="113"/>
        <v>9458</v>
      </c>
      <c r="AM110" s="585">
        <f t="shared" si="114"/>
        <v>9458</v>
      </c>
      <c r="AN110" s="596">
        <v>0.2</v>
      </c>
      <c r="AO110" s="597">
        <v>0.22</v>
      </c>
      <c r="AP110" s="597">
        <v>0.24</v>
      </c>
      <c r="AQ110" s="598">
        <v>0.26</v>
      </c>
      <c r="AR110" s="599">
        <v>0.28000000000000003</v>
      </c>
      <c r="AS110" s="586"/>
      <c r="AT110" s="587"/>
      <c r="AU110" s="587"/>
      <c r="AV110" s="588"/>
      <c r="AW110" s="589"/>
      <c r="AX110" s="596">
        <v>0.05</v>
      </c>
      <c r="AY110" s="598">
        <v>5.5E-2</v>
      </c>
      <c r="AZ110" s="598">
        <v>0.06</v>
      </c>
      <c r="BA110" s="598">
        <v>6.5000000000000002E-2</v>
      </c>
      <c r="BB110" s="598">
        <v>7.0000000000000007E-2</v>
      </c>
      <c r="BC110" s="590"/>
      <c r="BD110" s="631"/>
      <c r="BE110" s="596"/>
      <c r="BF110" s="598"/>
      <c r="BG110" s="598"/>
      <c r="BH110" s="598"/>
      <c r="BI110" s="598"/>
      <c r="BJ110" s="598"/>
      <c r="BK110" s="605"/>
      <c r="BL110" s="658">
        <f t="shared" si="91"/>
        <v>26500</v>
      </c>
      <c r="BM110" s="3">
        <f t="shared" si="92"/>
        <v>30</v>
      </c>
      <c r="BN110" s="3">
        <f t="shared" si="93"/>
        <v>35</v>
      </c>
      <c r="BO110" s="3">
        <f t="shared" si="94"/>
        <v>35</v>
      </c>
    </row>
    <row r="111" spans="2:67">
      <c r="B111" s="207" t="s">
        <v>362</v>
      </c>
      <c r="C111" s="890" t="s">
        <v>357</v>
      </c>
      <c r="D111" s="890" t="s">
        <v>356</v>
      </c>
      <c r="E111" s="238" t="s">
        <v>65</v>
      </c>
      <c r="F111" s="592">
        <v>108</v>
      </c>
      <c r="G111" s="593">
        <v>4890</v>
      </c>
      <c r="H111" s="594">
        <v>5704</v>
      </c>
      <c r="I111" s="595">
        <v>5704</v>
      </c>
      <c r="J111" s="166">
        <f t="shared" si="61"/>
        <v>97</v>
      </c>
      <c r="K111" s="167">
        <f t="shared" si="62"/>
        <v>114</v>
      </c>
      <c r="L111" s="168">
        <f t="shared" si="63"/>
        <v>114</v>
      </c>
      <c r="M111" s="166">
        <f t="shared" si="64"/>
        <v>146</v>
      </c>
      <c r="N111" s="167">
        <f t="shared" si="65"/>
        <v>171</v>
      </c>
      <c r="O111" s="168">
        <f t="shared" si="66"/>
        <v>171</v>
      </c>
      <c r="P111" s="169">
        <f t="shared" si="67"/>
        <v>195</v>
      </c>
      <c r="Q111" s="169">
        <f t="shared" si="68"/>
        <v>228</v>
      </c>
      <c r="R111" s="169">
        <f t="shared" si="69"/>
        <v>228</v>
      </c>
      <c r="S111" s="584">
        <f t="shared" si="95"/>
        <v>1467</v>
      </c>
      <c r="T111" s="594">
        <f t="shared" si="96"/>
        <v>1711</v>
      </c>
      <c r="U111" s="595">
        <f t="shared" si="97"/>
        <v>1711</v>
      </c>
      <c r="V111" s="166">
        <f t="shared" si="98"/>
        <v>3024</v>
      </c>
      <c r="W111" s="167">
        <f t="shared" si="99"/>
        <v>3535</v>
      </c>
      <c r="X111" s="168">
        <f t="shared" si="100"/>
        <v>3535</v>
      </c>
      <c r="Y111" s="166">
        <f t="shared" si="101"/>
        <v>3414</v>
      </c>
      <c r="Z111" s="167">
        <f t="shared" si="102"/>
        <v>3991</v>
      </c>
      <c r="AA111" s="168">
        <f t="shared" si="103"/>
        <v>3991</v>
      </c>
      <c r="AB111" s="166">
        <f t="shared" si="104"/>
        <v>3804</v>
      </c>
      <c r="AC111" s="167">
        <f t="shared" si="105"/>
        <v>4447</v>
      </c>
      <c r="AD111" s="168">
        <f t="shared" si="106"/>
        <v>4447</v>
      </c>
      <c r="AE111" s="166">
        <f t="shared" si="107"/>
        <v>4194</v>
      </c>
      <c r="AF111" s="167">
        <f t="shared" si="108"/>
        <v>4675</v>
      </c>
      <c r="AG111" s="168">
        <f t="shared" si="109"/>
        <v>4903</v>
      </c>
      <c r="AH111" s="166">
        <f t="shared" si="85"/>
        <v>4389</v>
      </c>
      <c r="AI111" s="167">
        <f t="shared" si="110"/>
        <v>5131</v>
      </c>
      <c r="AJ111" s="168">
        <f t="shared" si="111"/>
        <v>5587</v>
      </c>
      <c r="AK111" s="169">
        <f t="shared" si="112"/>
        <v>4987</v>
      </c>
      <c r="AL111" s="167">
        <f t="shared" si="113"/>
        <v>5818</v>
      </c>
      <c r="AM111" s="585">
        <f t="shared" si="114"/>
        <v>5818</v>
      </c>
      <c r="AN111" s="596">
        <v>0.03</v>
      </c>
      <c r="AO111" s="597">
        <v>3.3000000000000002E-2</v>
      </c>
      <c r="AP111" s="597">
        <v>3.5999999999999997E-2</v>
      </c>
      <c r="AQ111" s="598">
        <v>3.9E-2</v>
      </c>
      <c r="AR111" s="599">
        <v>4.2000000000000003E-2</v>
      </c>
      <c r="AS111" s="586"/>
      <c r="AT111" s="587"/>
      <c r="AU111" s="587"/>
      <c r="AV111" s="588"/>
      <c r="AW111" s="589"/>
      <c r="AX111" s="596">
        <v>0.03</v>
      </c>
      <c r="AY111" s="598">
        <v>3.5000000000000003E-2</v>
      </c>
      <c r="AZ111" s="598">
        <v>0.04</v>
      </c>
      <c r="BA111" s="598">
        <v>4.4999999999999998E-2</v>
      </c>
      <c r="BB111" s="598">
        <v>0.05</v>
      </c>
      <c r="BC111" s="590"/>
      <c r="BD111" s="631"/>
      <c r="BE111" s="596"/>
      <c r="BF111" s="598"/>
      <c r="BG111" s="598"/>
      <c r="BH111" s="598"/>
      <c r="BI111" s="598"/>
      <c r="BJ111" s="598"/>
      <c r="BK111" s="605"/>
      <c r="BL111" s="658">
        <f t="shared" si="91"/>
        <v>16300</v>
      </c>
      <c r="BM111" s="3">
        <f t="shared" si="92"/>
        <v>30</v>
      </c>
      <c r="BN111" s="3">
        <f t="shared" si="93"/>
        <v>35</v>
      </c>
      <c r="BO111" s="3">
        <f t="shared" si="94"/>
        <v>35</v>
      </c>
    </row>
    <row r="112" spans="2:67">
      <c r="B112" s="1269" t="s">
        <v>86</v>
      </c>
      <c r="C112" s="1265" t="s">
        <v>309</v>
      </c>
      <c r="D112" s="1265" t="s">
        <v>13</v>
      </c>
      <c r="E112" s="238" t="s">
        <v>125</v>
      </c>
      <c r="F112" s="1270">
        <v>109</v>
      </c>
      <c r="G112" s="593">
        <v>7093</v>
      </c>
      <c r="H112" s="594">
        <v>7093</v>
      </c>
      <c r="I112" s="595">
        <v>7309</v>
      </c>
      <c r="J112" s="166">
        <f t="shared" si="61"/>
        <v>141</v>
      </c>
      <c r="K112" s="167">
        <f t="shared" si="62"/>
        <v>141</v>
      </c>
      <c r="L112" s="168">
        <f t="shared" si="63"/>
        <v>146</v>
      </c>
      <c r="M112" s="166">
        <f t="shared" si="64"/>
        <v>177</v>
      </c>
      <c r="N112" s="167">
        <f t="shared" si="65"/>
        <v>177</v>
      </c>
      <c r="O112" s="168">
        <f t="shared" si="66"/>
        <v>182</v>
      </c>
      <c r="P112" s="169">
        <f t="shared" si="67"/>
        <v>266</v>
      </c>
      <c r="Q112" s="169">
        <f t="shared" si="68"/>
        <v>266</v>
      </c>
      <c r="R112" s="169">
        <f t="shared" si="69"/>
        <v>274</v>
      </c>
      <c r="S112" s="584">
        <f t="shared" si="95"/>
        <v>1773</v>
      </c>
      <c r="T112" s="594">
        <f t="shared" si="96"/>
        <v>1773</v>
      </c>
      <c r="U112" s="595">
        <f t="shared" si="97"/>
        <v>1827</v>
      </c>
      <c r="V112" s="166">
        <f t="shared" si="98"/>
        <v>4038</v>
      </c>
      <c r="W112" s="167">
        <f t="shared" si="99"/>
        <v>4038</v>
      </c>
      <c r="X112" s="168">
        <f t="shared" si="100"/>
        <v>4157</v>
      </c>
      <c r="Y112" s="166">
        <f t="shared" si="101"/>
        <v>4570</v>
      </c>
      <c r="Z112" s="167">
        <f t="shared" si="102"/>
        <v>4304</v>
      </c>
      <c r="AA112" s="168">
        <f t="shared" si="103"/>
        <v>4979</v>
      </c>
      <c r="AB112" s="166">
        <f t="shared" si="104"/>
        <v>5368</v>
      </c>
      <c r="AC112" s="167">
        <f t="shared" si="105"/>
        <v>5102</v>
      </c>
      <c r="AD112" s="168">
        <f t="shared" si="106"/>
        <v>5253</v>
      </c>
      <c r="AE112" s="166">
        <f t="shared" si="107"/>
        <v>5900</v>
      </c>
      <c r="AF112" s="167">
        <f t="shared" si="108"/>
        <v>6166</v>
      </c>
      <c r="AG112" s="168">
        <f t="shared" si="109"/>
        <v>5801</v>
      </c>
      <c r="AH112" s="166">
        <f t="shared" si="85"/>
        <v>6432</v>
      </c>
      <c r="AI112" s="167">
        <f t="shared" si="110"/>
        <v>6698</v>
      </c>
      <c r="AJ112" s="168">
        <f t="shared" si="111"/>
        <v>6897</v>
      </c>
      <c r="AK112" s="169">
        <f t="shared" si="112"/>
        <v>7234</v>
      </c>
      <c r="AL112" s="167">
        <f t="shared" si="113"/>
        <v>7234</v>
      </c>
      <c r="AM112" s="585">
        <f t="shared" si="114"/>
        <v>7455</v>
      </c>
      <c r="AN112" s="596">
        <v>0.05</v>
      </c>
      <c r="AO112" s="597">
        <v>5.2999999999999999E-2</v>
      </c>
      <c r="AP112" s="597">
        <v>5.6000000000000001E-2</v>
      </c>
      <c r="AQ112" s="598">
        <v>5.8999999999999997E-2</v>
      </c>
      <c r="AR112" s="599">
        <v>6.2E-2</v>
      </c>
      <c r="AS112" s="586"/>
      <c r="AT112" s="587"/>
      <c r="AU112" s="587"/>
      <c r="AV112" s="588"/>
      <c r="AW112" s="589"/>
      <c r="AX112" s="596">
        <v>0.03</v>
      </c>
      <c r="AY112" s="598">
        <v>3.3000000000000002E-2</v>
      </c>
      <c r="AZ112" s="598">
        <v>3.5999999999999997E-2</v>
      </c>
      <c r="BA112" s="598">
        <v>3.9E-2</v>
      </c>
      <c r="BB112" s="598">
        <v>4.2000000000000003E-2</v>
      </c>
      <c r="BC112" s="590"/>
      <c r="BD112" s="631"/>
      <c r="BE112" s="596"/>
      <c r="BF112" s="598"/>
      <c r="BG112" s="598"/>
      <c r="BH112" s="598"/>
      <c r="BI112" s="598"/>
      <c r="BJ112" s="598"/>
      <c r="BK112" s="605"/>
      <c r="BL112" s="658">
        <f t="shared" si="91"/>
        <v>21500</v>
      </c>
      <c r="BM112" s="3">
        <f t="shared" si="92"/>
        <v>33</v>
      </c>
      <c r="BN112" s="3">
        <f t="shared" si="93"/>
        <v>33</v>
      </c>
      <c r="BO112" s="3">
        <f t="shared" si="94"/>
        <v>34</v>
      </c>
    </row>
    <row r="113" spans="2:67">
      <c r="B113" s="207" t="s">
        <v>363</v>
      </c>
      <c r="C113" s="890" t="s">
        <v>357</v>
      </c>
      <c r="D113" s="890" t="s">
        <v>358</v>
      </c>
      <c r="E113" s="238" t="s">
        <v>125</v>
      </c>
      <c r="F113" s="592">
        <v>110</v>
      </c>
      <c r="G113" s="593">
        <v>4387</v>
      </c>
      <c r="H113" s="594">
        <v>4387</v>
      </c>
      <c r="I113" s="595">
        <v>4520</v>
      </c>
      <c r="J113" s="166">
        <f t="shared" si="61"/>
        <v>87</v>
      </c>
      <c r="K113" s="167">
        <f t="shared" si="62"/>
        <v>87</v>
      </c>
      <c r="L113" s="168">
        <f t="shared" si="63"/>
        <v>90</v>
      </c>
      <c r="M113" s="166">
        <f t="shared" si="64"/>
        <v>131</v>
      </c>
      <c r="N113" s="167">
        <f t="shared" si="65"/>
        <v>131</v>
      </c>
      <c r="O113" s="168">
        <f t="shared" si="66"/>
        <v>135</v>
      </c>
      <c r="P113" s="169">
        <f t="shared" si="67"/>
        <v>175</v>
      </c>
      <c r="Q113" s="169">
        <f t="shared" si="68"/>
        <v>175</v>
      </c>
      <c r="R113" s="169">
        <f t="shared" si="69"/>
        <v>180</v>
      </c>
      <c r="S113" s="584">
        <f t="shared" si="95"/>
        <v>1316</v>
      </c>
      <c r="T113" s="594">
        <f t="shared" si="96"/>
        <v>1316</v>
      </c>
      <c r="U113" s="595">
        <f t="shared" si="97"/>
        <v>1356</v>
      </c>
      <c r="V113" s="166">
        <f t="shared" si="98"/>
        <v>2713</v>
      </c>
      <c r="W113" s="167">
        <f t="shared" si="99"/>
        <v>2713</v>
      </c>
      <c r="X113" s="168">
        <f t="shared" si="100"/>
        <v>2796</v>
      </c>
      <c r="Y113" s="166">
        <f t="shared" si="101"/>
        <v>3063</v>
      </c>
      <c r="Z113" s="167">
        <f t="shared" si="102"/>
        <v>3063</v>
      </c>
      <c r="AA113" s="168">
        <f t="shared" si="103"/>
        <v>3156</v>
      </c>
      <c r="AB113" s="166">
        <f t="shared" si="104"/>
        <v>3413</v>
      </c>
      <c r="AC113" s="167">
        <f t="shared" si="105"/>
        <v>3413</v>
      </c>
      <c r="AD113" s="168">
        <f t="shared" si="106"/>
        <v>3516</v>
      </c>
      <c r="AE113" s="166">
        <f t="shared" si="107"/>
        <v>3588</v>
      </c>
      <c r="AF113" s="167">
        <f t="shared" si="108"/>
        <v>3763</v>
      </c>
      <c r="AG113" s="168">
        <f t="shared" si="109"/>
        <v>3876</v>
      </c>
      <c r="AH113" s="166">
        <f t="shared" si="85"/>
        <v>3938</v>
      </c>
      <c r="AI113" s="167">
        <f t="shared" si="110"/>
        <v>3938</v>
      </c>
      <c r="AJ113" s="168">
        <f t="shared" si="111"/>
        <v>4416</v>
      </c>
      <c r="AK113" s="169">
        <f t="shared" si="112"/>
        <v>4474</v>
      </c>
      <c r="AL113" s="167">
        <f t="shared" si="113"/>
        <v>4474</v>
      </c>
      <c r="AM113" s="585">
        <f t="shared" si="114"/>
        <v>4610</v>
      </c>
      <c r="AN113" s="596">
        <v>0.05</v>
      </c>
      <c r="AO113" s="597">
        <v>5.2999999999999999E-2</v>
      </c>
      <c r="AP113" s="597">
        <v>5.6000000000000001E-2</v>
      </c>
      <c r="AQ113" s="598">
        <v>5.8999999999999997E-2</v>
      </c>
      <c r="AR113" s="599">
        <v>6.2E-2</v>
      </c>
      <c r="AS113" s="586"/>
      <c r="AT113" s="587"/>
      <c r="AU113" s="587"/>
      <c r="AV113" s="588"/>
      <c r="AW113" s="589"/>
      <c r="AX113" s="596">
        <v>2.5000000000000001E-2</v>
      </c>
      <c r="AY113" s="598">
        <v>2.8000000000000001E-2</v>
      </c>
      <c r="AZ113" s="598">
        <v>3.1E-2</v>
      </c>
      <c r="BA113" s="598">
        <v>3.4000000000000002E-2</v>
      </c>
      <c r="BB113" s="598">
        <v>3.6999999999999998E-2</v>
      </c>
      <c r="BC113" s="590"/>
      <c r="BD113" s="631"/>
      <c r="BE113" s="596"/>
      <c r="BF113" s="598"/>
      <c r="BG113" s="598"/>
      <c r="BH113" s="598"/>
      <c r="BI113" s="598"/>
      <c r="BJ113" s="598"/>
      <c r="BK113" s="605"/>
      <c r="BL113" s="658">
        <f t="shared" si="91"/>
        <v>13300</v>
      </c>
      <c r="BM113" s="3">
        <f t="shared" si="92"/>
        <v>33</v>
      </c>
      <c r="BN113" s="3">
        <f t="shared" si="93"/>
        <v>33</v>
      </c>
      <c r="BO113" s="3">
        <f t="shared" si="94"/>
        <v>34</v>
      </c>
    </row>
    <row r="114" spans="2:67">
      <c r="B114" s="207" t="s">
        <v>442</v>
      </c>
      <c r="C114" s="890" t="s">
        <v>357</v>
      </c>
      <c r="D114" s="890" t="s">
        <v>13</v>
      </c>
      <c r="E114" s="238" t="s">
        <v>125</v>
      </c>
      <c r="F114" s="592">
        <v>111</v>
      </c>
      <c r="G114" s="593">
        <v>4387</v>
      </c>
      <c r="H114" s="594">
        <v>4654</v>
      </c>
      <c r="I114" s="595">
        <v>4254</v>
      </c>
      <c r="J114" s="166">
        <f t="shared" si="61"/>
        <v>87</v>
      </c>
      <c r="K114" s="167">
        <f t="shared" si="62"/>
        <v>93</v>
      </c>
      <c r="L114" s="168">
        <f t="shared" si="63"/>
        <v>85</v>
      </c>
      <c r="M114" s="166">
        <f t="shared" si="64"/>
        <v>131</v>
      </c>
      <c r="N114" s="167">
        <f t="shared" si="65"/>
        <v>139</v>
      </c>
      <c r="O114" s="168">
        <f t="shared" si="66"/>
        <v>127</v>
      </c>
      <c r="P114" s="169">
        <f t="shared" si="67"/>
        <v>175</v>
      </c>
      <c r="Q114" s="169">
        <f t="shared" si="68"/>
        <v>186</v>
      </c>
      <c r="R114" s="169">
        <f t="shared" si="69"/>
        <v>170</v>
      </c>
      <c r="S114" s="584">
        <f t="shared" si="95"/>
        <v>1316</v>
      </c>
      <c r="T114" s="594">
        <f t="shared" si="96"/>
        <v>1396</v>
      </c>
      <c r="U114" s="595">
        <f t="shared" si="97"/>
        <v>1276</v>
      </c>
      <c r="V114" s="166">
        <f t="shared" si="98"/>
        <v>2713</v>
      </c>
      <c r="W114" s="167">
        <f t="shared" si="99"/>
        <v>2879</v>
      </c>
      <c r="X114" s="168">
        <f t="shared" si="100"/>
        <v>2631</v>
      </c>
      <c r="Y114" s="166">
        <f t="shared" si="101"/>
        <v>3063</v>
      </c>
      <c r="Z114" s="167">
        <f t="shared" si="102"/>
        <v>3251</v>
      </c>
      <c r="AA114" s="168">
        <f t="shared" si="103"/>
        <v>2971</v>
      </c>
      <c r="AB114" s="166">
        <f t="shared" si="104"/>
        <v>3413</v>
      </c>
      <c r="AC114" s="167">
        <f t="shared" si="105"/>
        <v>3623</v>
      </c>
      <c r="AD114" s="168">
        <f t="shared" si="106"/>
        <v>3311</v>
      </c>
      <c r="AE114" s="166">
        <f t="shared" si="107"/>
        <v>3588</v>
      </c>
      <c r="AF114" s="167">
        <f t="shared" si="108"/>
        <v>3995</v>
      </c>
      <c r="AG114" s="168">
        <f t="shared" si="109"/>
        <v>3651</v>
      </c>
      <c r="AH114" s="166">
        <f t="shared" si="85"/>
        <v>3938</v>
      </c>
      <c r="AI114" s="167">
        <f t="shared" si="110"/>
        <v>4181</v>
      </c>
      <c r="AJ114" s="168">
        <f t="shared" si="111"/>
        <v>4161</v>
      </c>
      <c r="AK114" s="169">
        <f t="shared" si="112"/>
        <v>4474</v>
      </c>
      <c r="AL114" s="167">
        <f t="shared" si="113"/>
        <v>4747</v>
      </c>
      <c r="AM114" s="585">
        <f t="shared" si="114"/>
        <v>4339</v>
      </c>
      <c r="AN114" s="596">
        <v>0.03</v>
      </c>
      <c r="AO114" s="597">
        <v>3.3000000000000002E-2</v>
      </c>
      <c r="AP114" s="597">
        <v>3.5999999999999997E-2</v>
      </c>
      <c r="AQ114" s="598">
        <v>3.9E-2</v>
      </c>
      <c r="AR114" s="599">
        <v>4.2000000000000003E-2</v>
      </c>
      <c r="AS114" s="586"/>
      <c r="AT114" s="587"/>
      <c r="AU114" s="587"/>
      <c r="AV114" s="588"/>
      <c r="AW114" s="589"/>
      <c r="AX114" s="596">
        <v>0.02</v>
      </c>
      <c r="AY114" s="598">
        <v>2.3E-2</v>
      </c>
      <c r="AZ114" s="598">
        <v>2.5999999999999999E-2</v>
      </c>
      <c r="BA114" s="598">
        <v>2.9000000000000001E-2</v>
      </c>
      <c r="BB114" s="598">
        <v>3.2000000000000001E-2</v>
      </c>
      <c r="BC114" s="590"/>
      <c r="BD114" s="631"/>
      <c r="BE114" s="596"/>
      <c r="BF114" s="598"/>
      <c r="BG114" s="598"/>
      <c r="BH114" s="598"/>
      <c r="BI114" s="598"/>
      <c r="BJ114" s="598"/>
      <c r="BK114" s="605"/>
      <c r="BL114" s="658">
        <f t="shared" si="91"/>
        <v>13300</v>
      </c>
      <c r="BM114" s="3">
        <f t="shared" si="92"/>
        <v>33</v>
      </c>
      <c r="BN114" s="3">
        <f t="shared" si="93"/>
        <v>35</v>
      </c>
      <c r="BO114" s="3">
        <f t="shared" si="94"/>
        <v>32</v>
      </c>
    </row>
    <row r="115" spans="2:67">
      <c r="B115" s="1269" t="s">
        <v>72</v>
      </c>
      <c r="C115" s="1265" t="s">
        <v>309</v>
      </c>
      <c r="D115" s="1265" t="s">
        <v>13</v>
      </c>
      <c r="E115" s="238" t="s">
        <v>65</v>
      </c>
      <c r="F115" s="1270">
        <v>112</v>
      </c>
      <c r="G115" s="593">
        <v>10600</v>
      </c>
      <c r="H115" s="594">
        <v>7949</v>
      </c>
      <c r="I115" s="595">
        <v>7949</v>
      </c>
      <c r="J115" s="166">
        <f t="shared" si="61"/>
        <v>212</v>
      </c>
      <c r="K115" s="167">
        <f t="shared" si="62"/>
        <v>159</v>
      </c>
      <c r="L115" s="168">
        <f t="shared" si="63"/>
        <v>159</v>
      </c>
      <c r="M115" s="166">
        <f t="shared" si="64"/>
        <v>265</v>
      </c>
      <c r="N115" s="167">
        <f t="shared" si="65"/>
        <v>198</v>
      </c>
      <c r="O115" s="168">
        <f t="shared" si="66"/>
        <v>198</v>
      </c>
      <c r="P115" s="169">
        <f t="shared" si="67"/>
        <v>397</v>
      </c>
      <c r="Q115" s="169">
        <f t="shared" si="68"/>
        <v>298</v>
      </c>
      <c r="R115" s="169">
        <f t="shared" si="69"/>
        <v>298</v>
      </c>
      <c r="S115" s="584">
        <f t="shared" si="95"/>
        <v>2650</v>
      </c>
      <c r="T115" s="594">
        <f t="shared" si="96"/>
        <v>1987</v>
      </c>
      <c r="U115" s="595">
        <f t="shared" si="97"/>
        <v>1987</v>
      </c>
      <c r="V115" s="166">
        <f t="shared" si="98"/>
        <v>6042</v>
      </c>
      <c r="W115" s="167">
        <f t="shared" si="99"/>
        <v>4522</v>
      </c>
      <c r="X115" s="168">
        <f t="shared" si="100"/>
        <v>4522</v>
      </c>
      <c r="Y115" s="166">
        <f t="shared" si="101"/>
        <v>6836</v>
      </c>
      <c r="Z115" s="167">
        <f t="shared" si="102"/>
        <v>4820</v>
      </c>
      <c r="AA115" s="168">
        <f t="shared" si="103"/>
        <v>5416</v>
      </c>
      <c r="AB115" s="166">
        <f t="shared" si="104"/>
        <v>8027</v>
      </c>
      <c r="AC115" s="167">
        <f t="shared" si="105"/>
        <v>5714</v>
      </c>
      <c r="AD115" s="168">
        <f t="shared" si="106"/>
        <v>5714</v>
      </c>
      <c r="AE115" s="166">
        <f t="shared" si="107"/>
        <v>8821</v>
      </c>
      <c r="AF115" s="167">
        <f t="shared" si="108"/>
        <v>6906</v>
      </c>
      <c r="AG115" s="168">
        <f t="shared" si="109"/>
        <v>6310</v>
      </c>
      <c r="AH115" s="166">
        <f t="shared" si="85"/>
        <v>9615</v>
      </c>
      <c r="AI115" s="167">
        <f t="shared" si="110"/>
        <v>7502</v>
      </c>
      <c r="AJ115" s="168">
        <f t="shared" si="111"/>
        <v>7502</v>
      </c>
      <c r="AK115" s="169">
        <f t="shared" si="112"/>
        <v>10812</v>
      </c>
      <c r="AL115" s="167">
        <f t="shared" si="113"/>
        <v>8108</v>
      </c>
      <c r="AM115" s="585">
        <f t="shared" si="114"/>
        <v>8108</v>
      </c>
      <c r="AN115" s="596">
        <v>0.05</v>
      </c>
      <c r="AO115" s="597">
        <v>5.2999999999999999E-2</v>
      </c>
      <c r="AP115" s="597">
        <v>5.6000000000000001E-2</v>
      </c>
      <c r="AQ115" s="598">
        <v>5.8999999999999997E-2</v>
      </c>
      <c r="AR115" s="599">
        <v>6.2E-2</v>
      </c>
      <c r="AS115" s="586"/>
      <c r="AT115" s="587"/>
      <c r="AU115" s="587"/>
      <c r="AV115" s="588"/>
      <c r="AW115" s="589"/>
      <c r="AX115" s="596">
        <v>0.05</v>
      </c>
      <c r="AY115" s="598">
        <v>5.5E-2</v>
      </c>
      <c r="AZ115" s="598">
        <v>0.06</v>
      </c>
      <c r="BA115" s="598">
        <v>6.5000000000000002E-2</v>
      </c>
      <c r="BB115" s="598">
        <v>7.0000000000000007E-2</v>
      </c>
      <c r="BC115" s="590"/>
      <c r="BD115" s="631"/>
      <c r="BE115" s="596"/>
      <c r="BF115" s="598"/>
      <c r="BG115" s="598"/>
      <c r="BH115" s="598"/>
      <c r="BI115" s="598"/>
      <c r="BJ115" s="598"/>
      <c r="BK115" s="605"/>
      <c r="BL115" s="658">
        <f t="shared" si="91"/>
        <v>26500</v>
      </c>
      <c r="BM115" s="3">
        <f t="shared" si="92"/>
        <v>40</v>
      </c>
      <c r="BN115" s="3">
        <f t="shared" si="93"/>
        <v>30</v>
      </c>
      <c r="BO115" s="3">
        <f t="shared" si="94"/>
        <v>30</v>
      </c>
    </row>
    <row r="116" spans="2:67">
      <c r="B116" s="207" t="s">
        <v>399</v>
      </c>
      <c r="C116" s="890" t="s">
        <v>357</v>
      </c>
      <c r="D116" s="890" t="s">
        <v>359</v>
      </c>
      <c r="E116" s="238" t="s">
        <v>65</v>
      </c>
      <c r="F116" s="592">
        <v>113</v>
      </c>
      <c r="G116" s="593">
        <v>4890</v>
      </c>
      <c r="H116" s="594">
        <v>6520</v>
      </c>
      <c r="I116" s="595">
        <v>4890</v>
      </c>
      <c r="J116" s="166">
        <f t="shared" si="61"/>
        <v>97</v>
      </c>
      <c r="K116" s="167">
        <f t="shared" si="62"/>
        <v>130</v>
      </c>
      <c r="L116" s="168">
        <f t="shared" si="63"/>
        <v>97</v>
      </c>
      <c r="M116" s="166">
        <f t="shared" si="64"/>
        <v>146</v>
      </c>
      <c r="N116" s="167">
        <f t="shared" si="65"/>
        <v>195</v>
      </c>
      <c r="O116" s="168">
        <f t="shared" si="66"/>
        <v>146</v>
      </c>
      <c r="P116" s="169">
        <f t="shared" si="67"/>
        <v>195</v>
      </c>
      <c r="Q116" s="169">
        <f t="shared" si="68"/>
        <v>260</v>
      </c>
      <c r="R116" s="169">
        <f t="shared" si="69"/>
        <v>195</v>
      </c>
      <c r="S116" s="584">
        <f t="shared" si="95"/>
        <v>1467</v>
      </c>
      <c r="T116" s="594">
        <f t="shared" si="96"/>
        <v>1956</v>
      </c>
      <c r="U116" s="595">
        <f t="shared" si="97"/>
        <v>1467</v>
      </c>
      <c r="V116" s="166">
        <f t="shared" si="98"/>
        <v>3024</v>
      </c>
      <c r="W116" s="167">
        <f t="shared" si="99"/>
        <v>4036</v>
      </c>
      <c r="X116" s="168">
        <f t="shared" si="100"/>
        <v>3024</v>
      </c>
      <c r="Y116" s="166">
        <f t="shared" si="101"/>
        <v>3414</v>
      </c>
      <c r="Z116" s="167">
        <f t="shared" si="102"/>
        <v>4556</v>
      </c>
      <c r="AA116" s="168">
        <f t="shared" si="103"/>
        <v>3414</v>
      </c>
      <c r="AB116" s="166">
        <f t="shared" si="104"/>
        <v>3804</v>
      </c>
      <c r="AC116" s="167">
        <f t="shared" si="105"/>
        <v>5076</v>
      </c>
      <c r="AD116" s="168">
        <f t="shared" si="106"/>
        <v>3804</v>
      </c>
      <c r="AE116" s="166">
        <f t="shared" si="107"/>
        <v>4194</v>
      </c>
      <c r="AF116" s="167">
        <f t="shared" si="108"/>
        <v>5336</v>
      </c>
      <c r="AG116" s="168">
        <f t="shared" si="109"/>
        <v>4194</v>
      </c>
      <c r="AH116" s="166">
        <f t="shared" si="85"/>
        <v>4779</v>
      </c>
      <c r="AI116" s="167">
        <f t="shared" si="110"/>
        <v>5856</v>
      </c>
      <c r="AJ116" s="168">
        <f t="shared" si="111"/>
        <v>4389</v>
      </c>
      <c r="AK116" s="169">
        <f t="shared" si="112"/>
        <v>4987</v>
      </c>
      <c r="AL116" s="167">
        <f t="shared" si="113"/>
        <v>6650</v>
      </c>
      <c r="AM116" s="585">
        <f t="shared" si="114"/>
        <v>4987</v>
      </c>
      <c r="AN116" s="596">
        <v>7.0000000000000007E-2</v>
      </c>
      <c r="AO116" s="597">
        <v>0.08</v>
      </c>
      <c r="AP116" s="597">
        <v>0.09</v>
      </c>
      <c r="AQ116" s="598">
        <v>0.1</v>
      </c>
      <c r="AR116" s="599">
        <v>0.11</v>
      </c>
      <c r="AS116" s="586"/>
      <c r="AT116" s="587"/>
      <c r="AU116" s="587"/>
      <c r="AV116" s="588"/>
      <c r="AW116" s="589"/>
      <c r="AX116" s="596">
        <v>0.02</v>
      </c>
      <c r="AY116" s="598">
        <v>2.3E-2</v>
      </c>
      <c r="AZ116" s="598">
        <v>2.5999999999999999E-2</v>
      </c>
      <c r="BA116" s="598">
        <v>2.9000000000000001E-2</v>
      </c>
      <c r="BB116" s="598">
        <v>3.2000000000000001E-2</v>
      </c>
      <c r="BC116" s="590"/>
      <c r="BD116" s="631"/>
      <c r="BE116" s="596"/>
      <c r="BF116" s="598"/>
      <c r="BG116" s="598"/>
      <c r="BH116" s="598"/>
      <c r="BI116" s="598"/>
      <c r="BJ116" s="598"/>
      <c r="BK116" s="605"/>
      <c r="BL116" s="658">
        <f t="shared" si="91"/>
        <v>16300</v>
      </c>
      <c r="BM116" s="3">
        <f t="shared" si="92"/>
        <v>30</v>
      </c>
      <c r="BN116" s="3">
        <f t="shared" si="93"/>
        <v>40</v>
      </c>
      <c r="BO116" s="3">
        <f t="shared" si="94"/>
        <v>30</v>
      </c>
    </row>
    <row r="117" spans="2:67">
      <c r="B117" s="207" t="s">
        <v>443</v>
      </c>
      <c r="C117" s="890" t="s">
        <v>357</v>
      </c>
      <c r="D117" s="890" t="s">
        <v>13</v>
      </c>
      <c r="E117" s="238" t="s">
        <v>65</v>
      </c>
      <c r="F117" s="592">
        <v>114</v>
      </c>
      <c r="G117" s="593">
        <v>6520</v>
      </c>
      <c r="H117" s="594">
        <v>4890</v>
      </c>
      <c r="I117" s="595">
        <v>4890</v>
      </c>
      <c r="J117" s="166">
        <f t="shared" si="61"/>
        <v>130</v>
      </c>
      <c r="K117" s="167">
        <f t="shared" si="62"/>
        <v>97</v>
      </c>
      <c r="L117" s="168">
        <f t="shared" si="63"/>
        <v>97</v>
      </c>
      <c r="M117" s="166">
        <f t="shared" si="64"/>
        <v>195</v>
      </c>
      <c r="N117" s="167">
        <f t="shared" si="65"/>
        <v>146</v>
      </c>
      <c r="O117" s="168">
        <f t="shared" si="66"/>
        <v>146</v>
      </c>
      <c r="P117" s="169">
        <f t="shared" si="67"/>
        <v>260</v>
      </c>
      <c r="Q117" s="169">
        <f t="shared" si="68"/>
        <v>195</v>
      </c>
      <c r="R117" s="169">
        <f t="shared" si="69"/>
        <v>195</v>
      </c>
      <c r="S117" s="584">
        <f t="shared" si="95"/>
        <v>1956</v>
      </c>
      <c r="T117" s="594">
        <f t="shared" si="96"/>
        <v>1467</v>
      </c>
      <c r="U117" s="595">
        <f t="shared" si="97"/>
        <v>1467</v>
      </c>
      <c r="V117" s="166">
        <f t="shared" si="98"/>
        <v>4036</v>
      </c>
      <c r="W117" s="167">
        <f t="shared" si="99"/>
        <v>3024</v>
      </c>
      <c r="X117" s="168">
        <f t="shared" si="100"/>
        <v>3024</v>
      </c>
      <c r="Y117" s="166">
        <f t="shared" si="101"/>
        <v>4556</v>
      </c>
      <c r="Z117" s="167">
        <f t="shared" si="102"/>
        <v>3414</v>
      </c>
      <c r="AA117" s="168">
        <f t="shared" si="103"/>
        <v>3414</v>
      </c>
      <c r="AB117" s="166">
        <f t="shared" si="104"/>
        <v>5076</v>
      </c>
      <c r="AC117" s="167">
        <f t="shared" si="105"/>
        <v>3804</v>
      </c>
      <c r="AD117" s="168">
        <f t="shared" si="106"/>
        <v>3804</v>
      </c>
      <c r="AE117" s="166">
        <f t="shared" si="107"/>
        <v>5336</v>
      </c>
      <c r="AF117" s="167">
        <f t="shared" si="108"/>
        <v>4194</v>
      </c>
      <c r="AG117" s="168">
        <f t="shared" si="109"/>
        <v>4194</v>
      </c>
      <c r="AH117" s="166">
        <f t="shared" si="85"/>
        <v>5856</v>
      </c>
      <c r="AI117" s="167">
        <f t="shared" si="110"/>
        <v>4389</v>
      </c>
      <c r="AJ117" s="168">
        <f t="shared" si="111"/>
        <v>4779</v>
      </c>
      <c r="AK117" s="169">
        <f t="shared" si="112"/>
        <v>6650</v>
      </c>
      <c r="AL117" s="167">
        <f t="shared" si="113"/>
        <v>4987</v>
      </c>
      <c r="AM117" s="585">
        <f t="shared" si="114"/>
        <v>4987</v>
      </c>
      <c r="AN117" s="596">
        <v>0.25</v>
      </c>
      <c r="AO117" s="597">
        <v>0.28000000000000003</v>
      </c>
      <c r="AP117" s="597">
        <v>0.31</v>
      </c>
      <c r="AQ117" s="598">
        <v>0.34</v>
      </c>
      <c r="AR117" s="599">
        <v>0.37</v>
      </c>
      <c r="AS117" s="586"/>
      <c r="AT117" s="587"/>
      <c r="AU117" s="587"/>
      <c r="AV117" s="588"/>
      <c r="AW117" s="589"/>
      <c r="AX117" s="596">
        <v>0.05</v>
      </c>
      <c r="AY117" s="598">
        <v>5.5E-2</v>
      </c>
      <c r="AZ117" s="598">
        <v>0.06</v>
      </c>
      <c r="BA117" s="598">
        <v>6.5000000000000002E-2</v>
      </c>
      <c r="BB117" s="598">
        <v>7.0000000000000007E-2</v>
      </c>
      <c r="BC117" s="590"/>
      <c r="BD117" s="631"/>
      <c r="BE117" s="596"/>
      <c r="BF117" s="598"/>
      <c r="BG117" s="598"/>
      <c r="BH117" s="598"/>
      <c r="BI117" s="598"/>
      <c r="BJ117" s="598"/>
      <c r="BK117" s="605"/>
      <c r="BL117" s="658">
        <f t="shared" si="91"/>
        <v>16300</v>
      </c>
      <c r="BM117" s="3">
        <f t="shared" si="92"/>
        <v>40</v>
      </c>
      <c r="BN117" s="3">
        <f t="shared" si="93"/>
        <v>30</v>
      </c>
      <c r="BO117" s="3">
        <f t="shared" si="94"/>
        <v>30</v>
      </c>
    </row>
    <row r="118" spans="2:67">
      <c r="B118" s="1269" t="s">
        <v>98</v>
      </c>
      <c r="C118" s="1265" t="s">
        <v>309</v>
      </c>
      <c r="D118" s="1265" t="s">
        <v>14</v>
      </c>
      <c r="E118" s="1267" t="s">
        <v>65</v>
      </c>
      <c r="F118" s="1270">
        <v>115</v>
      </c>
      <c r="G118" s="593">
        <v>7684</v>
      </c>
      <c r="H118" s="594">
        <v>8213</v>
      </c>
      <c r="I118" s="595">
        <v>10600</v>
      </c>
      <c r="J118" s="166">
        <f t="shared" si="61"/>
        <v>153</v>
      </c>
      <c r="K118" s="167">
        <f t="shared" si="62"/>
        <v>164</v>
      </c>
      <c r="L118" s="168">
        <f t="shared" si="63"/>
        <v>212</v>
      </c>
      <c r="M118" s="166">
        <f t="shared" si="64"/>
        <v>192</v>
      </c>
      <c r="N118" s="167">
        <f t="shared" si="65"/>
        <v>205</v>
      </c>
      <c r="O118" s="168">
        <f t="shared" si="66"/>
        <v>265</v>
      </c>
      <c r="P118" s="169">
        <f t="shared" si="67"/>
        <v>288</v>
      </c>
      <c r="Q118" s="169">
        <f t="shared" si="68"/>
        <v>308</v>
      </c>
      <c r="R118" s="169">
        <f t="shared" si="69"/>
        <v>397</v>
      </c>
      <c r="S118" s="584">
        <f t="shared" si="95"/>
        <v>1921</v>
      </c>
      <c r="T118" s="594">
        <f t="shared" si="96"/>
        <v>2053</v>
      </c>
      <c r="U118" s="595">
        <f t="shared" si="97"/>
        <v>2650</v>
      </c>
      <c r="V118" s="166">
        <f t="shared" si="98"/>
        <v>4378</v>
      </c>
      <c r="W118" s="167">
        <f t="shared" si="99"/>
        <v>4677</v>
      </c>
      <c r="X118" s="168">
        <f t="shared" si="100"/>
        <v>6042</v>
      </c>
      <c r="Y118" s="166">
        <f t="shared" si="101"/>
        <v>4666</v>
      </c>
      <c r="Z118" s="167">
        <f t="shared" si="102"/>
        <v>5601</v>
      </c>
      <c r="AA118" s="168">
        <f t="shared" si="103"/>
        <v>6836</v>
      </c>
      <c r="AB118" s="166">
        <f t="shared" si="104"/>
        <v>5530</v>
      </c>
      <c r="AC118" s="167">
        <f t="shared" si="105"/>
        <v>5909</v>
      </c>
      <c r="AD118" s="168">
        <f t="shared" si="106"/>
        <v>8027</v>
      </c>
      <c r="AE118" s="166">
        <f t="shared" si="107"/>
        <v>6682</v>
      </c>
      <c r="AF118" s="167">
        <f t="shared" si="108"/>
        <v>6525</v>
      </c>
      <c r="AG118" s="168">
        <f t="shared" si="109"/>
        <v>8821</v>
      </c>
      <c r="AH118" s="166">
        <f t="shared" si="85"/>
        <v>7258</v>
      </c>
      <c r="AI118" s="167">
        <f t="shared" si="110"/>
        <v>7757</v>
      </c>
      <c r="AJ118" s="168">
        <f t="shared" si="111"/>
        <v>9615</v>
      </c>
      <c r="AK118" s="169">
        <f t="shared" si="112"/>
        <v>7837</v>
      </c>
      <c r="AL118" s="167">
        <f t="shared" si="113"/>
        <v>8377</v>
      </c>
      <c r="AM118" s="585">
        <f t="shared" si="114"/>
        <v>10812</v>
      </c>
      <c r="AN118" s="596">
        <v>0.3</v>
      </c>
      <c r="AO118" s="597">
        <v>0.30499999999999999</v>
      </c>
      <c r="AP118" s="597">
        <v>0.31</v>
      </c>
      <c r="AQ118" s="598">
        <v>0.315</v>
      </c>
      <c r="AR118" s="599">
        <v>0.32</v>
      </c>
      <c r="AS118" s="586"/>
      <c r="AT118" s="587"/>
      <c r="AU118" s="587"/>
      <c r="AV118" s="588"/>
      <c r="AW118" s="589"/>
      <c r="AX118" s="596">
        <v>0.03</v>
      </c>
      <c r="AY118" s="598">
        <v>3.3000000000000002E-2</v>
      </c>
      <c r="AZ118" s="598">
        <v>3.5999999999999997E-2</v>
      </c>
      <c r="BA118" s="598">
        <v>3.9E-2</v>
      </c>
      <c r="BB118" s="598">
        <v>4.2000000000000003E-2</v>
      </c>
      <c r="BC118" s="590"/>
      <c r="BD118" s="631"/>
      <c r="BE118" s="596"/>
      <c r="BF118" s="598"/>
      <c r="BG118" s="598"/>
      <c r="BH118" s="598"/>
      <c r="BI118" s="598"/>
      <c r="BJ118" s="598"/>
      <c r="BK118" s="605"/>
      <c r="BL118" s="658">
        <f t="shared" si="91"/>
        <v>26500</v>
      </c>
      <c r="BM118" s="3">
        <f t="shared" si="92"/>
        <v>29</v>
      </c>
      <c r="BN118" s="3">
        <f t="shared" si="93"/>
        <v>31</v>
      </c>
      <c r="BO118" s="3">
        <f t="shared" si="94"/>
        <v>40</v>
      </c>
    </row>
    <row r="119" spans="2:67">
      <c r="B119" s="207" t="s">
        <v>364</v>
      </c>
      <c r="C119" s="890" t="s">
        <v>357</v>
      </c>
      <c r="D119" s="890" t="s">
        <v>356</v>
      </c>
      <c r="E119" s="238" t="s">
        <v>65</v>
      </c>
      <c r="F119" s="592">
        <v>116</v>
      </c>
      <c r="G119" s="593">
        <v>5377</v>
      </c>
      <c r="H119" s="594">
        <v>5377</v>
      </c>
      <c r="I119" s="595">
        <v>5540</v>
      </c>
      <c r="J119" s="166">
        <f t="shared" si="61"/>
        <v>107</v>
      </c>
      <c r="K119" s="167">
        <f t="shared" si="62"/>
        <v>107</v>
      </c>
      <c r="L119" s="168">
        <f t="shared" si="63"/>
        <v>110</v>
      </c>
      <c r="M119" s="166">
        <f t="shared" si="64"/>
        <v>161</v>
      </c>
      <c r="N119" s="167">
        <f t="shared" si="65"/>
        <v>161</v>
      </c>
      <c r="O119" s="168">
        <f t="shared" si="66"/>
        <v>166</v>
      </c>
      <c r="P119" s="169">
        <f t="shared" si="67"/>
        <v>215</v>
      </c>
      <c r="Q119" s="169">
        <f t="shared" si="68"/>
        <v>215</v>
      </c>
      <c r="R119" s="169">
        <f t="shared" si="69"/>
        <v>221</v>
      </c>
      <c r="S119" s="584">
        <f t="shared" si="95"/>
        <v>1613</v>
      </c>
      <c r="T119" s="594">
        <f t="shared" si="96"/>
        <v>1613</v>
      </c>
      <c r="U119" s="595">
        <f t="shared" si="97"/>
        <v>1662</v>
      </c>
      <c r="V119" s="166">
        <f t="shared" si="98"/>
        <v>3330</v>
      </c>
      <c r="W119" s="167">
        <f t="shared" si="99"/>
        <v>3330</v>
      </c>
      <c r="X119" s="168">
        <f t="shared" si="100"/>
        <v>3432</v>
      </c>
      <c r="Y119" s="166">
        <f t="shared" si="101"/>
        <v>3760</v>
      </c>
      <c r="Z119" s="167">
        <f t="shared" si="102"/>
        <v>3760</v>
      </c>
      <c r="AA119" s="168">
        <f t="shared" si="103"/>
        <v>3874</v>
      </c>
      <c r="AB119" s="166">
        <f t="shared" si="104"/>
        <v>4190</v>
      </c>
      <c r="AC119" s="167">
        <f t="shared" si="105"/>
        <v>4190</v>
      </c>
      <c r="AD119" s="168">
        <f t="shared" si="106"/>
        <v>4316</v>
      </c>
      <c r="AE119" s="166">
        <f t="shared" si="107"/>
        <v>4620</v>
      </c>
      <c r="AF119" s="167">
        <f t="shared" si="108"/>
        <v>4405</v>
      </c>
      <c r="AG119" s="168">
        <f t="shared" si="109"/>
        <v>4758</v>
      </c>
      <c r="AH119" s="166">
        <f t="shared" si="85"/>
        <v>4835</v>
      </c>
      <c r="AI119" s="167">
        <f t="shared" si="110"/>
        <v>4835</v>
      </c>
      <c r="AJ119" s="168">
        <f t="shared" si="111"/>
        <v>5421</v>
      </c>
      <c r="AK119" s="169">
        <f t="shared" si="112"/>
        <v>5484</v>
      </c>
      <c r="AL119" s="167">
        <f t="shared" si="113"/>
        <v>5484</v>
      </c>
      <c r="AM119" s="585">
        <f t="shared" si="114"/>
        <v>5650</v>
      </c>
      <c r="AN119" s="596">
        <v>0.05</v>
      </c>
      <c r="AO119" s="597">
        <v>5.5E-2</v>
      </c>
      <c r="AP119" s="597">
        <v>0.06</v>
      </c>
      <c r="AQ119" s="598">
        <v>6.5000000000000002E-2</v>
      </c>
      <c r="AR119" s="599">
        <v>7.0000000000000007E-2</v>
      </c>
      <c r="AS119" s="586"/>
      <c r="AT119" s="587"/>
      <c r="AU119" s="587"/>
      <c r="AV119" s="588"/>
      <c r="AW119" s="589"/>
      <c r="AX119" s="596">
        <v>0.03</v>
      </c>
      <c r="AY119" s="598">
        <v>3.5000000000000003E-2</v>
      </c>
      <c r="AZ119" s="598">
        <v>0.04</v>
      </c>
      <c r="BA119" s="598">
        <v>4.4999999999999998E-2</v>
      </c>
      <c r="BB119" s="598">
        <v>0.05</v>
      </c>
      <c r="BC119" s="590"/>
      <c r="BD119" s="631"/>
      <c r="BE119" s="596"/>
      <c r="BF119" s="598"/>
      <c r="BG119" s="598"/>
      <c r="BH119" s="598"/>
      <c r="BI119" s="598"/>
      <c r="BJ119" s="598"/>
      <c r="BK119" s="605"/>
      <c r="BL119" s="658">
        <f t="shared" si="91"/>
        <v>16300</v>
      </c>
      <c r="BM119" s="3">
        <f t="shared" si="92"/>
        <v>33</v>
      </c>
      <c r="BN119" s="3">
        <f t="shared" si="93"/>
        <v>33</v>
      </c>
      <c r="BO119" s="3">
        <f t="shared" si="94"/>
        <v>34</v>
      </c>
    </row>
    <row r="120" spans="2:67">
      <c r="B120" s="1269" t="s">
        <v>114</v>
      </c>
      <c r="C120" s="1265" t="s">
        <v>309</v>
      </c>
      <c r="D120" s="1265" t="s">
        <v>70</v>
      </c>
      <c r="E120" s="1267" t="s">
        <v>125</v>
      </c>
      <c r="F120" s="1270">
        <v>117</v>
      </c>
      <c r="G120" s="593">
        <v>6449</v>
      </c>
      <c r="H120" s="594">
        <v>7524</v>
      </c>
      <c r="I120" s="595">
        <v>7524</v>
      </c>
      <c r="J120" s="166">
        <f t="shared" si="61"/>
        <v>129</v>
      </c>
      <c r="K120" s="167">
        <f t="shared" si="62"/>
        <v>150</v>
      </c>
      <c r="L120" s="168">
        <f t="shared" si="63"/>
        <v>150</v>
      </c>
      <c r="M120" s="166">
        <f t="shared" si="64"/>
        <v>161</v>
      </c>
      <c r="N120" s="167">
        <f t="shared" si="65"/>
        <v>188</v>
      </c>
      <c r="O120" s="168">
        <f t="shared" si="66"/>
        <v>188</v>
      </c>
      <c r="P120" s="169">
        <f t="shared" si="67"/>
        <v>241</v>
      </c>
      <c r="Q120" s="169">
        <f t="shared" si="68"/>
        <v>282</v>
      </c>
      <c r="R120" s="169">
        <f t="shared" si="69"/>
        <v>282</v>
      </c>
      <c r="S120" s="584">
        <f t="shared" si="95"/>
        <v>1612</v>
      </c>
      <c r="T120" s="594">
        <f t="shared" si="96"/>
        <v>1881</v>
      </c>
      <c r="U120" s="595">
        <f t="shared" si="97"/>
        <v>1881</v>
      </c>
      <c r="V120" s="166">
        <f t="shared" si="98"/>
        <v>3673</v>
      </c>
      <c r="W120" s="167">
        <f t="shared" si="99"/>
        <v>4287</v>
      </c>
      <c r="X120" s="168">
        <f t="shared" si="100"/>
        <v>4287</v>
      </c>
      <c r="Y120" s="166">
        <f t="shared" si="101"/>
        <v>3914</v>
      </c>
      <c r="Z120" s="167">
        <f t="shared" si="102"/>
        <v>4851</v>
      </c>
      <c r="AA120" s="168">
        <f t="shared" si="103"/>
        <v>5133</v>
      </c>
      <c r="AB120" s="166">
        <f t="shared" si="104"/>
        <v>4637</v>
      </c>
      <c r="AC120" s="167">
        <f t="shared" si="105"/>
        <v>5697</v>
      </c>
      <c r="AD120" s="168">
        <f t="shared" si="106"/>
        <v>5415</v>
      </c>
      <c r="AE120" s="166">
        <f t="shared" si="107"/>
        <v>5601</v>
      </c>
      <c r="AF120" s="167">
        <f t="shared" si="108"/>
        <v>6261</v>
      </c>
      <c r="AG120" s="168">
        <f t="shared" si="109"/>
        <v>5979</v>
      </c>
      <c r="AH120" s="166">
        <f t="shared" si="85"/>
        <v>6083</v>
      </c>
      <c r="AI120" s="167">
        <f t="shared" si="110"/>
        <v>6825</v>
      </c>
      <c r="AJ120" s="168">
        <f t="shared" si="111"/>
        <v>7107</v>
      </c>
      <c r="AK120" s="169">
        <f t="shared" si="112"/>
        <v>6578</v>
      </c>
      <c r="AL120" s="167">
        <f t="shared" si="113"/>
        <v>7674</v>
      </c>
      <c r="AM120" s="585">
        <f t="shared" si="114"/>
        <v>7674</v>
      </c>
      <c r="AN120" s="596">
        <v>7.0000000000000007E-2</v>
      </c>
      <c r="AO120" s="597">
        <v>7.4999999999999997E-2</v>
      </c>
      <c r="AP120" s="597">
        <v>0.08</v>
      </c>
      <c r="AQ120" s="598">
        <v>8.5000000000000006E-2</v>
      </c>
      <c r="AR120" s="599">
        <v>0.09</v>
      </c>
      <c r="AS120" s="586"/>
      <c r="AT120" s="587"/>
      <c r="AU120" s="587"/>
      <c r="AV120" s="588"/>
      <c r="AW120" s="589"/>
      <c r="AX120" s="596">
        <v>0.04</v>
      </c>
      <c r="AY120" s="598">
        <v>4.2999999999999997E-2</v>
      </c>
      <c r="AZ120" s="598">
        <v>4.5999999999999999E-2</v>
      </c>
      <c r="BA120" s="598">
        <v>4.9000000000000002E-2</v>
      </c>
      <c r="BB120" s="598">
        <v>5.1999999999999998E-2</v>
      </c>
      <c r="BC120" s="590"/>
      <c r="BD120" s="631"/>
      <c r="BE120" s="596"/>
      <c r="BF120" s="598"/>
      <c r="BG120" s="598"/>
      <c r="BH120" s="598"/>
      <c r="BI120" s="598"/>
      <c r="BJ120" s="598"/>
      <c r="BK120" s="605"/>
      <c r="BL120" s="658">
        <f t="shared" si="91"/>
        <v>21500</v>
      </c>
      <c r="BM120" s="3">
        <f t="shared" si="92"/>
        <v>30</v>
      </c>
      <c r="BN120" s="3">
        <f t="shared" si="93"/>
        <v>35</v>
      </c>
      <c r="BO120" s="3">
        <f t="shared" si="94"/>
        <v>35</v>
      </c>
    </row>
    <row r="121" spans="2:67">
      <c r="B121" s="207" t="s">
        <v>400</v>
      </c>
      <c r="C121" s="883" t="s">
        <v>357</v>
      </c>
      <c r="D121" s="883" t="s">
        <v>359</v>
      </c>
      <c r="E121" s="238" t="s">
        <v>125</v>
      </c>
      <c r="F121" s="592">
        <v>118</v>
      </c>
      <c r="G121" s="593">
        <v>4387</v>
      </c>
      <c r="H121" s="594">
        <v>4387</v>
      </c>
      <c r="I121" s="595">
        <v>4520</v>
      </c>
      <c r="J121" s="166">
        <f t="shared" si="61"/>
        <v>87</v>
      </c>
      <c r="K121" s="167">
        <f t="shared" si="62"/>
        <v>87</v>
      </c>
      <c r="L121" s="168">
        <f t="shared" si="63"/>
        <v>90</v>
      </c>
      <c r="M121" s="166">
        <f t="shared" si="64"/>
        <v>131</v>
      </c>
      <c r="N121" s="167">
        <f t="shared" si="65"/>
        <v>131</v>
      </c>
      <c r="O121" s="168">
        <f t="shared" si="66"/>
        <v>135</v>
      </c>
      <c r="P121" s="169">
        <f t="shared" si="67"/>
        <v>175</v>
      </c>
      <c r="Q121" s="169">
        <f t="shared" si="68"/>
        <v>175</v>
      </c>
      <c r="R121" s="169">
        <f t="shared" si="69"/>
        <v>180</v>
      </c>
      <c r="S121" s="584">
        <f t="shared" si="95"/>
        <v>1316</v>
      </c>
      <c r="T121" s="594">
        <f t="shared" si="96"/>
        <v>1316</v>
      </c>
      <c r="U121" s="595">
        <f t="shared" si="97"/>
        <v>1356</v>
      </c>
      <c r="V121" s="166">
        <f t="shared" si="98"/>
        <v>2713</v>
      </c>
      <c r="W121" s="167">
        <f t="shared" si="99"/>
        <v>2713</v>
      </c>
      <c r="X121" s="168">
        <f t="shared" si="100"/>
        <v>2796</v>
      </c>
      <c r="Y121" s="166">
        <f t="shared" si="101"/>
        <v>3063</v>
      </c>
      <c r="Z121" s="167">
        <f t="shared" si="102"/>
        <v>3063</v>
      </c>
      <c r="AA121" s="168">
        <f t="shared" si="103"/>
        <v>3156</v>
      </c>
      <c r="AB121" s="166">
        <f t="shared" si="104"/>
        <v>3413</v>
      </c>
      <c r="AC121" s="167">
        <f t="shared" si="105"/>
        <v>3413</v>
      </c>
      <c r="AD121" s="168">
        <f t="shared" si="106"/>
        <v>3516</v>
      </c>
      <c r="AE121" s="166">
        <f t="shared" si="107"/>
        <v>3763</v>
      </c>
      <c r="AF121" s="167">
        <f t="shared" si="108"/>
        <v>3588</v>
      </c>
      <c r="AG121" s="168">
        <f t="shared" si="109"/>
        <v>3876</v>
      </c>
      <c r="AH121" s="166">
        <f t="shared" si="85"/>
        <v>4288</v>
      </c>
      <c r="AI121" s="167">
        <f t="shared" si="110"/>
        <v>3938</v>
      </c>
      <c r="AJ121" s="168">
        <f t="shared" si="111"/>
        <v>4056</v>
      </c>
      <c r="AK121" s="169">
        <f t="shared" si="112"/>
        <v>4474</v>
      </c>
      <c r="AL121" s="167">
        <f t="shared" si="113"/>
        <v>4474</v>
      </c>
      <c r="AM121" s="585">
        <f t="shared" si="114"/>
        <v>4610</v>
      </c>
      <c r="AN121" s="596">
        <v>0.15</v>
      </c>
      <c r="AO121" s="597">
        <v>0.18</v>
      </c>
      <c r="AP121" s="597">
        <v>0.21</v>
      </c>
      <c r="AQ121" s="598">
        <v>0.24</v>
      </c>
      <c r="AR121" s="599">
        <v>0.27</v>
      </c>
      <c r="AS121" s="586"/>
      <c r="AT121" s="587"/>
      <c r="AU121" s="587"/>
      <c r="AV121" s="588"/>
      <c r="AW121" s="589"/>
      <c r="AX121" s="596">
        <v>0.02</v>
      </c>
      <c r="AY121" s="598">
        <v>2.3E-2</v>
      </c>
      <c r="AZ121" s="598">
        <v>2.5999999999999999E-2</v>
      </c>
      <c r="BA121" s="598">
        <v>2.9000000000000001E-2</v>
      </c>
      <c r="BB121" s="598">
        <v>3.2000000000000001E-2</v>
      </c>
      <c r="BC121" s="590"/>
      <c r="BD121" s="631"/>
      <c r="BE121" s="596"/>
      <c r="BF121" s="598"/>
      <c r="BG121" s="598"/>
      <c r="BH121" s="598"/>
      <c r="BI121" s="598"/>
      <c r="BJ121" s="598"/>
      <c r="BK121" s="605"/>
      <c r="BL121" s="658">
        <f t="shared" si="91"/>
        <v>13300</v>
      </c>
      <c r="BM121" s="3">
        <f t="shared" si="92"/>
        <v>33</v>
      </c>
      <c r="BN121" s="3">
        <f t="shared" si="93"/>
        <v>33</v>
      </c>
      <c r="BO121" s="3">
        <f t="shared" si="94"/>
        <v>34</v>
      </c>
    </row>
    <row r="122" spans="2:67">
      <c r="B122" s="207" t="s">
        <v>444</v>
      </c>
      <c r="C122" s="890" t="s">
        <v>357</v>
      </c>
      <c r="D122" s="890" t="s">
        <v>14</v>
      </c>
      <c r="E122" s="238" t="s">
        <v>125</v>
      </c>
      <c r="F122" s="592">
        <v>119</v>
      </c>
      <c r="G122" s="593">
        <v>4387</v>
      </c>
      <c r="H122" s="594">
        <v>4387</v>
      </c>
      <c r="I122" s="595">
        <v>4520</v>
      </c>
      <c r="J122" s="166">
        <f t="shared" si="61"/>
        <v>87</v>
      </c>
      <c r="K122" s="167">
        <f t="shared" si="62"/>
        <v>87</v>
      </c>
      <c r="L122" s="168">
        <f t="shared" si="63"/>
        <v>90</v>
      </c>
      <c r="M122" s="166">
        <f t="shared" si="64"/>
        <v>131</v>
      </c>
      <c r="N122" s="167">
        <f t="shared" si="65"/>
        <v>131</v>
      </c>
      <c r="O122" s="168">
        <f t="shared" si="66"/>
        <v>135</v>
      </c>
      <c r="P122" s="169">
        <f t="shared" si="67"/>
        <v>175</v>
      </c>
      <c r="Q122" s="169">
        <f t="shared" si="68"/>
        <v>175</v>
      </c>
      <c r="R122" s="169">
        <f t="shared" si="69"/>
        <v>180</v>
      </c>
      <c r="S122" s="584">
        <f t="shared" si="95"/>
        <v>1316</v>
      </c>
      <c r="T122" s="594">
        <f t="shared" si="96"/>
        <v>1316</v>
      </c>
      <c r="U122" s="595">
        <f t="shared" si="97"/>
        <v>1356</v>
      </c>
      <c r="V122" s="166">
        <f t="shared" si="98"/>
        <v>2713</v>
      </c>
      <c r="W122" s="167">
        <f t="shared" si="99"/>
        <v>2713</v>
      </c>
      <c r="X122" s="168">
        <f t="shared" si="100"/>
        <v>2796</v>
      </c>
      <c r="Y122" s="166">
        <f t="shared" si="101"/>
        <v>3063</v>
      </c>
      <c r="Z122" s="167">
        <f t="shared" si="102"/>
        <v>3063</v>
      </c>
      <c r="AA122" s="168">
        <f t="shared" si="103"/>
        <v>3156</v>
      </c>
      <c r="AB122" s="166">
        <f t="shared" si="104"/>
        <v>3413</v>
      </c>
      <c r="AC122" s="167">
        <f t="shared" si="105"/>
        <v>3413</v>
      </c>
      <c r="AD122" s="168">
        <f t="shared" si="106"/>
        <v>3516</v>
      </c>
      <c r="AE122" s="166">
        <f t="shared" si="107"/>
        <v>3763</v>
      </c>
      <c r="AF122" s="167">
        <f t="shared" si="108"/>
        <v>3763</v>
      </c>
      <c r="AG122" s="168">
        <f t="shared" si="109"/>
        <v>3696</v>
      </c>
      <c r="AH122" s="166">
        <f t="shared" si="85"/>
        <v>3938</v>
      </c>
      <c r="AI122" s="167">
        <f t="shared" si="110"/>
        <v>4288</v>
      </c>
      <c r="AJ122" s="168">
        <f t="shared" si="111"/>
        <v>4056</v>
      </c>
      <c r="AK122" s="169">
        <f t="shared" si="112"/>
        <v>4474</v>
      </c>
      <c r="AL122" s="167">
        <f t="shared" si="113"/>
        <v>4474</v>
      </c>
      <c r="AM122" s="585">
        <f t="shared" si="114"/>
        <v>4610</v>
      </c>
      <c r="AN122" s="596">
        <v>0.05</v>
      </c>
      <c r="AO122" s="597">
        <v>5.5E-2</v>
      </c>
      <c r="AP122" s="597">
        <v>0.06</v>
      </c>
      <c r="AQ122" s="598">
        <v>6.5000000000000002E-2</v>
      </c>
      <c r="AR122" s="599">
        <v>7.0000000000000007E-2</v>
      </c>
      <c r="AS122" s="586"/>
      <c r="AT122" s="587"/>
      <c r="AU122" s="587"/>
      <c r="AV122" s="588"/>
      <c r="AW122" s="589"/>
      <c r="AX122" s="596">
        <v>0.03</v>
      </c>
      <c r="AY122" s="598">
        <v>3.3000000000000002E-2</v>
      </c>
      <c r="AZ122" s="598">
        <v>3.5999999999999997E-2</v>
      </c>
      <c r="BA122" s="598">
        <v>3.9E-2</v>
      </c>
      <c r="BB122" s="598">
        <v>4.2000000000000003E-2</v>
      </c>
      <c r="BC122" s="590"/>
      <c r="BD122" s="631"/>
      <c r="BE122" s="596"/>
      <c r="BF122" s="598"/>
      <c r="BG122" s="598"/>
      <c r="BH122" s="598"/>
      <c r="BI122" s="598"/>
      <c r="BJ122" s="598"/>
      <c r="BK122" s="605"/>
      <c r="BL122" s="658">
        <f t="shared" si="91"/>
        <v>13300</v>
      </c>
      <c r="BM122" s="3">
        <f t="shared" si="92"/>
        <v>33</v>
      </c>
      <c r="BN122" s="3">
        <f t="shared" si="93"/>
        <v>33</v>
      </c>
      <c r="BO122" s="3">
        <f t="shared" si="94"/>
        <v>34</v>
      </c>
    </row>
    <row r="123" spans="2:67">
      <c r="B123" s="1269" t="s">
        <v>119</v>
      </c>
      <c r="C123" s="1265" t="s">
        <v>309</v>
      </c>
      <c r="D123" s="1265" t="s">
        <v>70</v>
      </c>
      <c r="E123" s="1267" t="s">
        <v>65</v>
      </c>
      <c r="F123" s="1270">
        <v>120</v>
      </c>
      <c r="G123" s="593">
        <v>7949</v>
      </c>
      <c r="H123" s="594">
        <v>10600</v>
      </c>
      <c r="I123" s="595">
        <v>7949</v>
      </c>
      <c r="J123" s="166">
        <f t="shared" si="61"/>
        <v>159</v>
      </c>
      <c r="K123" s="167">
        <f t="shared" si="62"/>
        <v>212</v>
      </c>
      <c r="L123" s="168">
        <f t="shared" si="63"/>
        <v>159</v>
      </c>
      <c r="M123" s="166">
        <f t="shared" si="64"/>
        <v>198</v>
      </c>
      <c r="N123" s="167">
        <f t="shared" si="65"/>
        <v>265</v>
      </c>
      <c r="O123" s="168">
        <f t="shared" si="66"/>
        <v>198</v>
      </c>
      <c r="P123" s="169">
        <f t="shared" si="67"/>
        <v>298</v>
      </c>
      <c r="Q123" s="169">
        <f t="shared" si="68"/>
        <v>397</v>
      </c>
      <c r="R123" s="169">
        <f t="shared" si="69"/>
        <v>298</v>
      </c>
      <c r="S123" s="584">
        <f t="shared" si="95"/>
        <v>1987</v>
      </c>
      <c r="T123" s="594">
        <f t="shared" si="96"/>
        <v>2650</v>
      </c>
      <c r="U123" s="595">
        <f t="shared" si="97"/>
        <v>1987</v>
      </c>
      <c r="V123" s="166">
        <f t="shared" si="98"/>
        <v>4522</v>
      </c>
      <c r="W123" s="167">
        <f t="shared" si="99"/>
        <v>6042</v>
      </c>
      <c r="X123" s="168">
        <f t="shared" si="100"/>
        <v>4522</v>
      </c>
      <c r="Y123" s="166">
        <f t="shared" si="101"/>
        <v>4820</v>
      </c>
      <c r="Z123" s="167">
        <f t="shared" si="102"/>
        <v>6836</v>
      </c>
      <c r="AA123" s="168">
        <f t="shared" si="103"/>
        <v>5416</v>
      </c>
      <c r="AB123" s="166">
        <f t="shared" si="104"/>
        <v>5714</v>
      </c>
      <c r="AC123" s="167">
        <f t="shared" si="105"/>
        <v>8027</v>
      </c>
      <c r="AD123" s="168">
        <f t="shared" si="106"/>
        <v>5714</v>
      </c>
      <c r="AE123" s="166">
        <f t="shared" si="107"/>
        <v>6906</v>
      </c>
      <c r="AF123" s="167">
        <f t="shared" si="108"/>
        <v>8821</v>
      </c>
      <c r="AG123" s="168">
        <f t="shared" si="109"/>
        <v>6310</v>
      </c>
      <c r="AH123" s="166">
        <f t="shared" si="85"/>
        <v>7502</v>
      </c>
      <c r="AI123" s="167">
        <f t="shared" si="110"/>
        <v>9615</v>
      </c>
      <c r="AJ123" s="168">
        <f t="shared" si="111"/>
        <v>7502</v>
      </c>
      <c r="AK123" s="169">
        <f t="shared" si="112"/>
        <v>8108</v>
      </c>
      <c r="AL123" s="167">
        <f t="shared" si="113"/>
        <v>10812</v>
      </c>
      <c r="AM123" s="585">
        <f t="shared" si="114"/>
        <v>8108</v>
      </c>
      <c r="AN123" s="596">
        <v>0.2</v>
      </c>
      <c r="AO123" s="597">
        <v>0.23</v>
      </c>
      <c r="AP123" s="597">
        <v>0.26</v>
      </c>
      <c r="AQ123" s="598">
        <v>0.28999999999999998</v>
      </c>
      <c r="AR123" s="599">
        <v>0.32</v>
      </c>
      <c r="AS123" s="586"/>
      <c r="AT123" s="587"/>
      <c r="AU123" s="587"/>
      <c r="AV123" s="588"/>
      <c r="AW123" s="589"/>
      <c r="AX123" s="596">
        <v>0.04</v>
      </c>
      <c r="AY123" s="598">
        <v>4.2999999999999997E-2</v>
      </c>
      <c r="AZ123" s="598">
        <v>4.5999999999999999E-2</v>
      </c>
      <c r="BA123" s="598">
        <v>4.9000000000000002E-2</v>
      </c>
      <c r="BB123" s="598">
        <v>5.1999999999999998E-2</v>
      </c>
      <c r="BC123" s="590"/>
      <c r="BD123" s="631"/>
      <c r="BE123" s="596"/>
      <c r="BF123" s="598"/>
      <c r="BG123" s="598"/>
      <c r="BH123" s="598"/>
      <c r="BI123" s="598"/>
      <c r="BJ123" s="598"/>
      <c r="BK123" s="605"/>
      <c r="BL123" s="658">
        <f t="shared" si="91"/>
        <v>26500</v>
      </c>
      <c r="BM123" s="3">
        <f t="shared" si="92"/>
        <v>30</v>
      </c>
      <c r="BN123" s="3">
        <f t="shared" si="93"/>
        <v>40</v>
      </c>
      <c r="BO123" s="3">
        <f t="shared" si="94"/>
        <v>30</v>
      </c>
    </row>
    <row r="124" spans="2:67">
      <c r="B124" s="207" t="s">
        <v>365</v>
      </c>
      <c r="C124" s="890" t="s">
        <v>357</v>
      </c>
      <c r="D124" s="890" t="s">
        <v>360</v>
      </c>
      <c r="E124" s="238" t="s">
        <v>65</v>
      </c>
      <c r="F124" s="592">
        <v>121</v>
      </c>
      <c r="G124" s="593">
        <v>6520</v>
      </c>
      <c r="H124" s="594">
        <v>4890</v>
      </c>
      <c r="I124" s="595">
        <v>4890</v>
      </c>
      <c r="J124" s="166">
        <f t="shared" si="61"/>
        <v>130</v>
      </c>
      <c r="K124" s="167">
        <f t="shared" si="62"/>
        <v>97</v>
      </c>
      <c r="L124" s="168">
        <f t="shared" si="63"/>
        <v>97</v>
      </c>
      <c r="M124" s="166">
        <f t="shared" si="64"/>
        <v>195</v>
      </c>
      <c r="N124" s="167">
        <f t="shared" si="65"/>
        <v>146</v>
      </c>
      <c r="O124" s="168">
        <f t="shared" si="66"/>
        <v>146</v>
      </c>
      <c r="P124" s="169">
        <f t="shared" si="67"/>
        <v>260</v>
      </c>
      <c r="Q124" s="169">
        <f t="shared" si="68"/>
        <v>195</v>
      </c>
      <c r="R124" s="169">
        <f t="shared" si="69"/>
        <v>195</v>
      </c>
      <c r="S124" s="584">
        <f t="shared" si="95"/>
        <v>1956</v>
      </c>
      <c r="T124" s="594">
        <f t="shared" si="96"/>
        <v>1467</v>
      </c>
      <c r="U124" s="595">
        <f t="shared" si="97"/>
        <v>1467</v>
      </c>
      <c r="V124" s="166">
        <f t="shared" si="98"/>
        <v>4036</v>
      </c>
      <c r="W124" s="167">
        <f t="shared" si="99"/>
        <v>3024</v>
      </c>
      <c r="X124" s="168">
        <f t="shared" si="100"/>
        <v>3024</v>
      </c>
      <c r="Y124" s="166">
        <f t="shared" si="101"/>
        <v>4556</v>
      </c>
      <c r="Z124" s="167">
        <f t="shared" si="102"/>
        <v>3414</v>
      </c>
      <c r="AA124" s="168">
        <f t="shared" si="103"/>
        <v>3414</v>
      </c>
      <c r="AB124" s="166">
        <f t="shared" si="104"/>
        <v>5076</v>
      </c>
      <c r="AC124" s="167">
        <f t="shared" si="105"/>
        <v>3804</v>
      </c>
      <c r="AD124" s="168">
        <f t="shared" si="106"/>
        <v>3804</v>
      </c>
      <c r="AE124" s="166">
        <f t="shared" si="107"/>
        <v>5596</v>
      </c>
      <c r="AF124" s="167">
        <f t="shared" si="108"/>
        <v>4194</v>
      </c>
      <c r="AG124" s="168">
        <f t="shared" si="109"/>
        <v>3999</v>
      </c>
      <c r="AH124" s="166">
        <f t="shared" si="85"/>
        <v>5856</v>
      </c>
      <c r="AI124" s="167">
        <f t="shared" si="110"/>
        <v>4779</v>
      </c>
      <c r="AJ124" s="168">
        <f t="shared" si="111"/>
        <v>4389</v>
      </c>
      <c r="AK124" s="169">
        <f t="shared" si="112"/>
        <v>6650</v>
      </c>
      <c r="AL124" s="167">
        <f t="shared" si="113"/>
        <v>4987</v>
      </c>
      <c r="AM124" s="585">
        <f t="shared" si="114"/>
        <v>4987</v>
      </c>
      <c r="AN124" s="596">
        <v>0.05</v>
      </c>
      <c r="AO124" s="597">
        <v>5.5E-2</v>
      </c>
      <c r="AP124" s="597">
        <v>0.06</v>
      </c>
      <c r="AQ124" s="598">
        <v>6.5000000000000002E-2</v>
      </c>
      <c r="AR124" s="599">
        <v>7.0000000000000007E-2</v>
      </c>
      <c r="AS124" s="586"/>
      <c r="AT124" s="587"/>
      <c r="AU124" s="587"/>
      <c r="AV124" s="588"/>
      <c r="AW124" s="589"/>
      <c r="AX124" s="596">
        <v>0.03</v>
      </c>
      <c r="AY124" s="598">
        <v>3.5000000000000003E-2</v>
      </c>
      <c r="AZ124" s="598">
        <v>0.04</v>
      </c>
      <c r="BA124" s="598">
        <v>4.4999999999999998E-2</v>
      </c>
      <c r="BB124" s="598">
        <v>0.05</v>
      </c>
      <c r="BC124" s="590"/>
      <c r="BD124" s="631"/>
      <c r="BE124" s="596"/>
      <c r="BF124" s="598"/>
      <c r="BG124" s="598"/>
      <c r="BH124" s="598"/>
      <c r="BI124" s="598"/>
      <c r="BJ124" s="598"/>
      <c r="BK124" s="605"/>
      <c r="BL124" s="658">
        <f t="shared" si="91"/>
        <v>16300</v>
      </c>
      <c r="BM124" s="3">
        <f t="shared" si="92"/>
        <v>40</v>
      </c>
      <c r="BN124" s="3">
        <f t="shared" si="93"/>
        <v>30</v>
      </c>
      <c r="BO124" s="3">
        <f t="shared" si="94"/>
        <v>30</v>
      </c>
    </row>
    <row r="125" spans="2:67">
      <c r="B125" s="1269" t="s">
        <v>76</v>
      </c>
      <c r="C125" s="1265" t="s">
        <v>309</v>
      </c>
      <c r="D125" s="1265" t="s">
        <v>13</v>
      </c>
      <c r="E125" s="1267" t="s">
        <v>65</v>
      </c>
      <c r="F125" s="592">
        <v>122</v>
      </c>
      <c r="G125" s="593">
        <v>10600</v>
      </c>
      <c r="H125" s="594">
        <v>7949</v>
      </c>
      <c r="I125" s="595">
        <v>7949</v>
      </c>
      <c r="J125" s="166">
        <f t="shared" si="61"/>
        <v>212</v>
      </c>
      <c r="K125" s="167">
        <f t="shared" si="62"/>
        <v>159</v>
      </c>
      <c r="L125" s="168">
        <f t="shared" si="63"/>
        <v>159</v>
      </c>
      <c r="M125" s="166">
        <f t="shared" si="64"/>
        <v>265</v>
      </c>
      <c r="N125" s="167">
        <f t="shared" si="65"/>
        <v>198</v>
      </c>
      <c r="O125" s="168">
        <f t="shared" si="66"/>
        <v>198</v>
      </c>
      <c r="P125" s="169">
        <f t="shared" si="67"/>
        <v>397</v>
      </c>
      <c r="Q125" s="169">
        <f t="shared" si="68"/>
        <v>298</v>
      </c>
      <c r="R125" s="169">
        <f t="shared" si="69"/>
        <v>298</v>
      </c>
      <c r="S125" s="584">
        <f t="shared" si="95"/>
        <v>2650</v>
      </c>
      <c r="T125" s="594">
        <f t="shared" si="96"/>
        <v>1987</v>
      </c>
      <c r="U125" s="595">
        <f t="shared" si="97"/>
        <v>1987</v>
      </c>
      <c r="V125" s="166">
        <f t="shared" si="98"/>
        <v>6042</v>
      </c>
      <c r="W125" s="167">
        <f t="shared" si="99"/>
        <v>4522</v>
      </c>
      <c r="X125" s="168">
        <f t="shared" si="100"/>
        <v>4522</v>
      </c>
      <c r="Y125" s="166">
        <f t="shared" si="101"/>
        <v>6836</v>
      </c>
      <c r="Z125" s="167">
        <f t="shared" si="102"/>
        <v>4820</v>
      </c>
      <c r="AA125" s="168">
        <f t="shared" si="103"/>
        <v>5416</v>
      </c>
      <c r="AB125" s="166">
        <f t="shared" si="104"/>
        <v>8027</v>
      </c>
      <c r="AC125" s="167">
        <f t="shared" si="105"/>
        <v>5714</v>
      </c>
      <c r="AD125" s="168">
        <f t="shared" si="106"/>
        <v>5714</v>
      </c>
      <c r="AE125" s="166">
        <f t="shared" si="107"/>
        <v>8821</v>
      </c>
      <c r="AF125" s="167">
        <f t="shared" si="108"/>
        <v>6906</v>
      </c>
      <c r="AG125" s="168">
        <f t="shared" si="109"/>
        <v>6310</v>
      </c>
      <c r="AH125" s="166">
        <f t="shared" si="85"/>
        <v>9615</v>
      </c>
      <c r="AI125" s="167">
        <f t="shared" si="110"/>
        <v>7502</v>
      </c>
      <c r="AJ125" s="168">
        <f t="shared" si="111"/>
        <v>7502</v>
      </c>
      <c r="AK125" s="169">
        <f t="shared" si="112"/>
        <v>10812</v>
      </c>
      <c r="AL125" s="167">
        <f t="shared" si="113"/>
        <v>8108</v>
      </c>
      <c r="AM125" s="585">
        <f t="shared" si="114"/>
        <v>8108</v>
      </c>
      <c r="AN125" s="596">
        <v>0.05</v>
      </c>
      <c r="AO125" s="597">
        <v>5.2999999999999999E-2</v>
      </c>
      <c r="AP125" s="597">
        <v>5.6000000000000001E-2</v>
      </c>
      <c r="AQ125" s="598">
        <v>5.8999999999999997E-2</v>
      </c>
      <c r="AR125" s="599">
        <v>6.2E-2</v>
      </c>
      <c r="AS125" s="586"/>
      <c r="AT125" s="587"/>
      <c r="AU125" s="587"/>
      <c r="AV125" s="588"/>
      <c r="AW125" s="589"/>
      <c r="AX125" s="596">
        <v>0.03</v>
      </c>
      <c r="AY125" s="598">
        <v>3.3000000000000002E-2</v>
      </c>
      <c r="AZ125" s="598">
        <v>3.5999999999999997E-2</v>
      </c>
      <c r="BA125" s="598">
        <v>3.9E-2</v>
      </c>
      <c r="BB125" s="598">
        <v>4.2000000000000003E-2</v>
      </c>
      <c r="BC125" s="590"/>
      <c r="BD125" s="631"/>
      <c r="BE125" s="596"/>
      <c r="BF125" s="598"/>
      <c r="BG125" s="598"/>
      <c r="BH125" s="598"/>
      <c r="BI125" s="598"/>
      <c r="BJ125" s="598"/>
      <c r="BK125" s="605"/>
      <c r="BL125" s="658">
        <f t="shared" si="91"/>
        <v>26500</v>
      </c>
      <c r="BM125" s="3">
        <f t="shared" si="92"/>
        <v>40</v>
      </c>
      <c r="BN125" s="3">
        <f t="shared" si="93"/>
        <v>30</v>
      </c>
      <c r="BO125" s="3">
        <f t="shared" si="94"/>
        <v>30</v>
      </c>
    </row>
    <row r="126" spans="2:67">
      <c r="B126" s="207" t="s">
        <v>401</v>
      </c>
      <c r="C126" s="890" t="s">
        <v>357</v>
      </c>
      <c r="D126" s="890" t="s">
        <v>359</v>
      </c>
      <c r="E126" s="238" t="s">
        <v>65</v>
      </c>
      <c r="F126" s="592">
        <v>123</v>
      </c>
      <c r="G126" s="593">
        <v>4890</v>
      </c>
      <c r="H126" s="594">
        <v>6520</v>
      </c>
      <c r="I126" s="595">
        <v>4890</v>
      </c>
      <c r="J126" s="166">
        <f t="shared" si="61"/>
        <v>97</v>
      </c>
      <c r="K126" s="167">
        <f t="shared" si="62"/>
        <v>130</v>
      </c>
      <c r="L126" s="168">
        <f t="shared" si="63"/>
        <v>97</v>
      </c>
      <c r="M126" s="166">
        <f t="shared" si="64"/>
        <v>146</v>
      </c>
      <c r="N126" s="167">
        <f t="shared" si="65"/>
        <v>195</v>
      </c>
      <c r="O126" s="168">
        <f t="shared" si="66"/>
        <v>146</v>
      </c>
      <c r="P126" s="169">
        <f t="shared" si="67"/>
        <v>195</v>
      </c>
      <c r="Q126" s="169">
        <f t="shared" si="68"/>
        <v>260</v>
      </c>
      <c r="R126" s="169">
        <f t="shared" si="69"/>
        <v>195</v>
      </c>
      <c r="S126" s="584">
        <f t="shared" si="95"/>
        <v>1467</v>
      </c>
      <c r="T126" s="594">
        <f t="shared" si="96"/>
        <v>1956</v>
      </c>
      <c r="U126" s="595">
        <f t="shared" si="97"/>
        <v>1467</v>
      </c>
      <c r="V126" s="166">
        <f t="shared" si="98"/>
        <v>3024</v>
      </c>
      <c r="W126" s="167">
        <f t="shared" si="99"/>
        <v>4036</v>
      </c>
      <c r="X126" s="168">
        <f t="shared" si="100"/>
        <v>3024</v>
      </c>
      <c r="Y126" s="166">
        <f t="shared" si="101"/>
        <v>3414</v>
      </c>
      <c r="Z126" s="167">
        <f t="shared" si="102"/>
        <v>4556</v>
      </c>
      <c r="AA126" s="168">
        <f t="shared" si="103"/>
        <v>3414</v>
      </c>
      <c r="AB126" s="166">
        <f t="shared" si="104"/>
        <v>3804</v>
      </c>
      <c r="AC126" s="167">
        <f t="shared" si="105"/>
        <v>5076</v>
      </c>
      <c r="AD126" s="168">
        <f t="shared" si="106"/>
        <v>3804</v>
      </c>
      <c r="AE126" s="166">
        <f t="shared" si="107"/>
        <v>4194</v>
      </c>
      <c r="AF126" s="167">
        <f t="shared" si="108"/>
        <v>5336</v>
      </c>
      <c r="AG126" s="168">
        <f t="shared" si="109"/>
        <v>4194</v>
      </c>
      <c r="AH126" s="166">
        <f t="shared" si="85"/>
        <v>4779</v>
      </c>
      <c r="AI126" s="167">
        <f t="shared" si="110"/>
        <v>5856</v>
      </c>
      <c r="AJ126" s="168">
        <f t="shared" si="111"/>
        <v>4389</v>
      </c>
      <c r="AK126" s="169">
        <f t="shared" si="112"/>
        <v>4987</v>
      </c>
      <c r="AL126" s="167">
        <f t="shared" si="113"/>
        <v>6650</v>
      </c>
      <c r="AM126" s="585">
        <f t="shared" si="114"/>
        <v>4987</v>
      </c>
      <c r="AN126" s="596">
        <v>7.0000000000000007E-2</v>
      </c>
      <c r="AO126" s="597">
        <v>0.08</v>
      </c>
      <c r="AP126" s="597">
        <v>0.09</v>
      </c>
      <c r="AQ126" s="598">
        <v>0.1</v>
      </c>
      <c r="AR126" s="599">
        <v>0.11</v>
      </c>
      <c r="AS126" s="586"/>
      <c r="AT126" s="587"/>
      <c r="AU126" s="587"/>
      <c r="AV126" s="588"/>
      <c r="AW126" s="589"/>
      <c r="AX126" s="596">
        <v>0.03</v>
      </c>
      <c r="AY126" s="598">
        <v>3.5000000000000003E-2</v>
      </c>
      <c r="AZ126" s="598">
        <v>0.04</v>
      </c>
      <c r="BA126" s="598">
        <v>4.4999999999999998E-2</v>
      </c>
      <c r="BB126" s="598">
        <v>0.05</v>
      </c>
      <c r="BC126" s="590"/>
      <c r="BD126" s="631"/>
      <c r="BE126" s="596"/>
      <c r="BF126" s="598"/>
      <c r="BG126" s="598"/>
      <c r="BH126" s="598"/>
      <c r="BI126" s="598"/>
      <c r="BJ126" s="598"/>
      <c r="BK126" s="605"/>
      <c r="BL126" s="658">
        <f t="shared" si="91"/>
        <v>16300</v>
      </c>
      <c r="BM126" s="3">
        <f t="shared" si="92"/>
        <v>30</v>
      </c>
      <c r="BN126" s="3">
        <f t="shared" si="93"/>
        <v>40</v>
      </c>
      <c r="BO126" s="3">
        <f t="shared" si="94"/>
        <v>30</v>
      </c>
    </row>
    <row r="127" spans="2:67">
      <c r="B127" s="1269" t="s">
        <v>91</v>
      </c>
      <c r="C127" s="1265" t="s">
        <v>309</v>
      </c>
      <c r="D127" s="1265" t="s">
        <v>13</v>
      </c>
      <c r="E127" s="1267" t="s">
        <v>125</v>
      </c>
      <c r="F127" s="1270">
        <v>124</v>
      </c>
      <c r="G127" s="593">
        <v>7093</v>
      </c>
      <c r="H127" s="594">
        <v>7093</v>
      </c>
      <c r="I127" s="595">
        <v>7309</v>
      </c>
      <c r="J127" s="166">
        <f t="shared" si="61"/>
        <v>141</v>
      </c>
      <c r="K127" s="167">
        <f t="shared" si="62"/>
        <v>141</v>
      </c>
      <c r="L127" s="168">
        <f t="shared" si="63"/>
        <v>146</v>
      </c>
      <c r="M127" s="166">
        <f t="shared" si="64"/>
        <v>177</v>
      </c>
      <c r="N127" s="167">
        <f t="shared" si="65"/>
        <v>177</v>
      </c>
      <c r="O127" s="168">
        <f t="shared" si="66"/>
        <v>182</v>
      </c>
      <c r="P127" s="169">
        <f t="shared" si="67"/>
        <v>266</v>
      </c>
      <c r="Q127" s="169">
        <f t="shared" si="68"/>
        <v>266</v>
      </c>
      <c r="R127" s="169">
        <f t="shared" si="69"/>
        <v>274</v>
      </c>
      <c r="S127" s="584">
        <f t="shared" si="95"/>
        <v>1773</v>
      </c>
      <c r="T127" s="594">
        <f t="shared" si="96"/>
        <v>1773</v>
      </c>
      <c r="U127" s="595">
        <f t="shared" si="97"/>
        <v>1827</v>
      </c>
      <c r="V127" s="166">
        <f t="shared" si="98"/>
        <v>4038</v>
      </c>
      <c r="W127" s="167">
        <f t="shared" si="99"/>
        <v>4038</v>
      </c>
      <c r="X127" s="168">
        <f t="shared" si="100"/>
        <v>4157</v>
      </c>
      <c r="Y127" s="166">
        <f t="shared" si="101"/>
        <v>4570</v>
      </c>
      <c r="Z127" s="167">
        <f t="shared" si="102"/>
        <v>4304</v>
      </c>
      <c r="AA127" s="168">
        <f t="shared" si="103"/>
        <v>4979</v>
      </c>
      <c r="AB127" s="166">
        <f t="shared" si="104"/>
        <v>5368</v>
      </c>
      <c r="AC127" s="167">
        <f t="shared" si="105"/>
        <v>5102</v>
      </c>
      <c r="AD127" s="168">
        <f t="shared" si="106"/>
        <v>5253</v>
      </c>
      <c r="AE127" s="166">
        <f t="shared" si="107"/>
        <v>5900</v>
      </c>
      <c r="AF127" s="167">
        <f t="shared" si="108"/>
        <v>6166</v>
      </c>
      <c r="AG127" s="168">
        <f t="shared" si="109"/>
        <v>5801</v>
      </c>
      <c r="AH127" s="166">
        <f t="shared" si="85"/>
        <v>6432</v>
      </c>
      <c r="AI127" s="167">
        <f t="shared" si="110"/>
        <v>6698</v>
      </c>
      <c r="AJ127" s="168">
        <f t="shared" si="111"/>
        <v>6897</v>
      </c>
      <c r="AK127" s="169">
        <f t="shared" si="112"/>
        <v>7234</v>
      </c>
      <c r="AL127" s="167">
        <f t="shared" si="113"/>
        <v>7234</v>
      </c>
      <c r="AM127" s="585">
        <f t="shared" si="114"/>
        <v>7455</v>
      </c>
      <c r="AN127" s="596">
        <v>0.25</v>
      </c>
      <c r="AO127" s="597">
        <v>0.28000000000000003</v>
      </c>
      <c r="AP127" s="597">
        <v>0.31</v>
      </c>
      <c r="AQ127" s="598">
        <v>0.34</v>
      </c>
      <c r="AR127" s="599">
        <v>0.37</v>
      </c>
      <c r="AS127" s="586"/>
      <c r="AT127" s="587"/>
      <c r="AU127" s="587"/>
      <c r="AV127" s="588"/>
      <c r="AW127" s="589"/>
      <c r="AX127" s="596">
        <v>0.04</v>
      </c>
      <c r="AY127" s="598">
        <v>4.2999999999999997E-2</v>
      </c>
      <c r="AZ127" s="598">
        <v>4.5999999999999999E-2</v>
      </c>
      <c r="BA127" s="598">
        <v>4.9000000000000002E-2</v>
      </c>
      <c r="BB127" s="598">
        <v>5.1999999999999998E-2</v>
      </c>
      <c r="BC127" s="590"/>
      <c r="BD127" s="631"/>
      <c r="BE127" s="596"/>
      <c r="BF127" s="598"/>
      <c r="BG127" s="598"/>
      <c r="BH127" s="598"/>
      <c r="BI127" s="598"/>
      <c r="BJ127" s="598"/>
      <c r="BK127" s="605"/>
      <c r="BL127" s="658">
        <f t="shared" si="91"/>
        <v>21500</v>
      </c>
      <c r="BM127" s="3">
        <f t="shared" si="92"/>
        <v>33</v>
      </c>
      <c r="BN127" s="3">
        <f t="shared" si="93"/>
        <v>33</v>
      </c>
      <c r="BO127" s="3">
        <f t="shared" si="94"/>
        <v>34</v>
      </c>
    </row>
    <row r="128" spans="2:67">
      <c r="B128" s="207" t="s">
        <v>366</v>
      </c>
      <c r="C128" s="876" t="s">
        <v>357</v>
      </c>
      <c r="D128" s="876" t="s">
        <v>360</v>
      </c>
      <c r="E128" s="238" t="s">
        <v>125</v>
      </c>
      <c r="F128" s="592">
        <v>125</v>
      </c>
      <c r="G128" s="593">
        <v>4654</v>
      </c>
      <c r="H128" s="594">
        <v>4387</v>
      </c>
      <c r="I128" s="595">
        <v>4254</v>
      </c>
      <c r="J128" s="166">
        <f t="shared" si="61"/>
        <v>93</v>
      </c>
      <c r="K128" s="167">
        <f t="shared" si="62"/>
        <v>87</v>
      </c>
      <c r="L128" s="168">
        <f t="shared" si="63"/>
        <v>85</v>
      </c>
      <c r="M128" s="166">
        <f t="shared" si="64"/>
        <v>139</v>
      </c>
      <c r="N128" s="167">
        <f t="shared" si="65"/>
        <v>131</v>
      </c>
      <c r="O128" s="168">
        <f t="shared" si="66"/>
        <v>127</v>
      </c>
      <c r="P128" s="169">
        <f t="shared" si="67"/>
        <v>186</v>
      </c>
      <c r="Q128" s="169">
        <f t="shared" si="68"/>
        <v>175</v>
      </c>
      <c r="R128" s="169">
        <f t="shared" si="69"/>
        <v>170</v>
      </c>
      <c r="S128" s="584">
        <f t="shared" si="95"/>
        <v>1396</v>
      </c>
      <c r="T128" s="594">
        <f t="shared" si="96"/>
        <v>1316</v>
      </c>
      <c r="U128" s="595">
        <f t="shared" si="97"/>
        <v>1276</v>
      </c>
      <c r="V128" s="166">
        <f t="shared" si="98"/>
        <v>2879</v>
      </c>
      <c r="W128" s="167">
        <f t="shared" si="99"/>
        <v>2713</v>
      </c>
      <c r="X128" s="168">
        <f t="shared" si="100"/>
        <v>2631</v>
      </c>
      <c r="Y128" s="166">
        <f t="shared" si="101"/>
        <v>3251</v>
      </c>
      <c r="Z128" s="167">
        <f t="shared" si="102"/>
        <v>3063</v>
      </c>
      <c r="AA128" s="168">
        <f t="shared" si="103"/>
        <v>2971</v>
      </c>
      <c r="AB128" s="166">
        <f t="shared" si="104"/>
        <v>3623</v>
      </c>
      <c r="AC128" s="167">
        <f t="shared" si="105"/>
        <v>3413</v>
      </c>
      <c r="AD128" s="168">
        <f t="shared" si="106"/>
        <v>3311</v>
      </c>
      <c r="AE128" s="166">
        <f t="shared" si="107"/>
        <v>3995</v>
      </c>
      <c r="AF128" s="167">
        <f t="shared" si="108"/>
        <v>3763</v>
      </c>
      <c r="AG128" s="168">
        <f t="shared" si="109"/>
        <v>3481</v>
      </c>
      <c r="AH128" s="166">
        <f t="shared" si="85"/>
        <v>4181</v>
      </c>
      <c r="AI128" s="167">
        <f t="shared" si="110"/>
        <v>4288</v>
      </c>
      <c r="AJ128" s="168">
        <f t="shared" si="111"/>
        <v>3821</v>
      </c>
      <c r="AK128" s="169">
        <f t="shared" si="112"/>
        <v>4747</v>
      </c>
      <c r="AL128" s="167">
        <f t="shared" si="113"/>
        <v>4474</v>
      </c>
      <c r="AM128" s="585">
        <f t="shared" si="114"/>
        <v>4339</v>
      </c>
      <c r="AN128" s="596">
        <v>0.03</v>
      </c>
      <c r="AO128" s="597">
        <v>3.3000000000000002E-2</v>
      </c>
      <c r="AP128" s="597">
        <v>3.5999999999999997E-2</v>
      </c>
      <c r="AQ128" s="598">
        <v>3.9E-2</v>
      </c>
      <c r="AR128" s="599">
        <v>4.2000000000000003E-2</v>
      </c>
      <c r="AS128" s="586"/>
      <c r="AT128" s="587"/>
      <c r="AU128" s="587"/>
      <c r="AV128" s="588"/>
      <c r="AW128" s="589"/>
      <c r="AX128" s="596">
        <v>0.03</v>
      </c>
      <c r="AY128" s="598">
        <v>3.5000000000000003E-2</v>
      </c>
      <c r="AZ128" s="598">
        <v>0.04</v>
      </c>
      <c r="BA128" s="598">
        <v>4.4999999999999998E-2</v>
      </c>
      <c r="BB128" s="598">
        <v>0.05</v>
      </c>
      <c r="BC128" s="590"/>
      <c r="BD128" s="631"/>
      <c r="BE128" s="596"/>
      <c r="BF128" s="598"/>
      <c r="BG128" s="598"/>
      <c r="BH128" s="598"/>
      <c r="BI128" s="598"/>
      <c r="BJ128" s="598"/>
      <c r="BK128" s="605"/>
      <c r="BL128" s="658">
        <f t="shared" si="91"/>
        <v>13300</v>
      </c>
      <c r="BM128" s="3">
        <f t="shared" si="92"/>
        <v>35</v>
      </c>
      <c r="BN128" s="3">
        <f t="shared" si="93"/>
        <v>33</v>
      </c>
      <c r="BO128" s="3">
        <f t="shared" si="94"/>
        <v>32</v>
      </c>
    </row>
    <row r="129" spans="2:67">
      <c r="B129" s="207" t="s">
        <v>445</v>
      </c>
      <c r="C129" s="883" t="s">
        <v>357</v>
      </c>
      <c r="D129" s="883" t="s">
        <v>13</v>
      </c>
      <c r="E129" s="238" t="s">
        <v>125</v>
      </c>
      <c r="F129" s="592">
        <v>126</v>
      </c>
      <c r="G129" s="593">
        <v>4387</v>
      </c>
      <c r="H129" s="594">
        <v>4387</v>
      </c>
      <c r="I129" s="595">
        <v>4520</v>
      </c>
      <c r="J129" s="166">
        <f t="shared" si="61"/>
        <v>87</v>
      </c>
      <c r="K129" s="167">
        <f t="shared" si="62"/>
        <v>87</v>
      </c>
      <c r="L129" s="168">
        <f t="shared" si="63"/>
        <v>90</v>
      </c>
      <c r="M129" s="166">
        <f t="shared" si="64"/>
        <v>131</v>
      </c>
      <c r="N129" s="167">
        <f t="shared" si="65"/>
        <v>131</v>
      </c>
      <c r="O129" s="168">
        <f t="shared" si="66"/>
        <v>135</v>
      </c>
      <c r="P129" s="169">
        <f t="shared" si="67"/>
        <v>175</v>
      </c>
      <c r="Q129" s="169">
        <f t="shared" si="68"/>
        <v>175</v>
      </c>
      <c r="R129" s="169">
        <f t="shared" si="69"/>
        <v>180</v>
      </c>
      <c r="S129" s="584">
        <f t="shared" si="95"/>
        <v>1316</v>
      </c>
      <c r="T129" s="594">
        <f t="shared" si="96"/>
        <v>1316</v>
      </c>
      <c r="U129" s="595">
        <f t="shared" si="97"/>
        <v>1356</v>
      </c>
      <c r="V129" s="166">
        <f t="shared" si="98"/>
        <v>2713</v>
      </c>
      <c r="W129" s="167">
        <f t="shared" si="99"/>
        <v>2713</v>
      </c>
      <c r="X129" s="168">
        <f t="shared" si="100"/>
        <v>2796</v>
      </c>
      <c r="Y129" s="166">
        <f t="shared" si="101"/>
        <v>3063</v>
      </c>
      <c r="Z129" s="167">
        <f t="shared" si="102"/>
        <v>3063</v>
      </c>
      <c r="AA129" s="168">
        <f t="shared" si="103"/>
        <v>3156</v>
      </c>
      <c r="AB129" s="166">
        <f t="shared" si="104"/>
        <v>3413</v>
      </c>
      <c r="AC129" s="167">
        <f t="shared" si="105"/>
        <v>3413</v>
      </c>
      <c r="AD129" s="168">
        <f t="shared" si="106"/>
        <v>3516</v>
      </c>
      <c r="AE129" s="166">
        <f t="shared" si="107"/>
        <v>3588</v>
      </c>
      <c r="AF129" s="167">
        <f t="shared" si="108"/>
        <v>3763</v>
      </c>
      <c r="AG129" s="168">
        <f t="shared" si="109"/>
        <v>3876</v>
      </c>
      <c r="AH129" s="166">
        <f t="shared" si="85"/>
        <v>3938</v>
      </c>
      <c r="AI129" s="167">
        <f t="shared" si="110"/>
        <v>3938</v>
      </c>
      <c r="AJ129" s="168">
        <f t="shared" si="111"/>
        <v>4416</v>
      </c>
      <c r="AK129" s="169">
        <f t="shared" si="112"/>
        <v>4474</v>
      </c>
      <c r="AL129" s="167">
        <f t="shared" si="113"/>
        <v>4474</v>
      </c>
      <c r="AM129" s="585">
        <f t="shared" si="114"/>
        <v>4610</v>
      </c>
      <c r="AN129" s="596">
        <v>0.25</v>
      </c>
      <c r="AO129" s="597">
        <v>0.28000000000000003</v>
      </c>
      <c r="AP129" s="597">
        <v>0.31</v>
      </c>
      <c r="AQ129" s="598">
        <v>0.34</v>
      </c>
      <c r="AR129" s="599">
        <v>0.37</v>
      </c>
      <c r="AS129" s="586"/>
      <c r="AT129" s="587"/>
      <c r="AU129" s="587"/>
      <c r="AV129" s="588"/>
      <c r="AW129" s="589"/>
      <c r="AX129" s="596">
        <v>0.05</v>
      </c>
      <c r="AY129" s="598">
        <v>5.5E-2</v>
      </c>
      <c r="AZ129" s="598">
        <v>0.06</v>
      </c>
      <c r="BA129" s="598">
        <v>6.5000000000000002E-2</v>
      </c>
      <c r="BB129" s="598">
        <v>7.0000000000000007E-2</v>
      </c>
      <c r="BC129" s="590"/>
      <c r="BD129" s="631"/>
      <c r="BE129" s="596"/>
      <c r="BF129" s="598"/>
      <c r="BG129" s="598"/>
      <c r="BH129" s="598"/>
      <c r="BI129" s="598"/>
      <c r="BJ129" s="598"/>
      <c r="BK129" s="605"/>
      <c r="BL129" s="658">
        <f t="shared" si="91"/>
        <v>13300</v>
      </c>
      <c r="BM129" s="3">
        <f t="shared" si="92"/>
        <v>33</v>
      </c>
      <c r="BN129" s="3">
        <f t="shared" si="93"/>
        <v>33</v>
      </c>
      <c r="BO129" s="3">
        <f t="shared" si="94"/>
        <v>34</v>
      </c>
    </row>
    <row r="130" spans="2:67">
      <c r="B130" s="1269" t="s">
        <v>1965</v>
      </c>
      <c r="C130" s="1265" t="s">
        <v>309</v>
      </c>
      <c r="D130" s="1265" t="s">
        <v>23</v>
      </c>
      <c r="E130" s="1267" t="s">
        <v>126</v>
      </c>
      <c r="F130" s="1270">
        <v>127</v>
      </c>
      <c r="G130" s="593">
        <v>5800</v>
      </c>
      <c r="H130" s="594">
        <v>14500</v>
      </c>
      <c r="I130" s="595">
        <v>8700</v>
      </c>
      <c r="J130" s="166">
        <f t="shared" si="61"/>
        <v>116</v>
      </c>
      <c r="K130" s="167">
        <f t="shared" si="62"/>
        <v>290</v>
      </c>
      <c r="L130" s="168">
        <f t="shared" si="63"/>
        <v>174</v>
      </c>
      <c r="M130" s="166">
        <f t="shared" si="64"/>
        <v>145</v>
      </c>
      <c r="N130" s="167">
        <f t="shared" si="65"/>
        <v>362</v>
      </c>
      <c r="O130" s="168">
        <f t="shared" si="66"/>
        <v>217</v>
      </c>
      <c r="P130" s="169">
        <f t="shared" si="67"/>
        <v>217</v>
      </c>
      <c r="Q130" s="169">
        <f t="shared" si="68"/>
        <v>543</v>
      </c>
      <c r="R130" s="169">
        <f t="shared" si="69"/>
        <v>326</v>
      </c>
      <c r="S130" s="584">
        <f t="shared" si="95"/>
        <v>1450</v>
      </c>
      <c r="T130" s="594">
        <f t="shared" si="96"/>
        <v>3625</v>
      </c>
      <c r="U130" s="595">
        <f t="shared" si="97"/>
        <v>2175</v>
      </c>
      <c r="V130" s="166">
        <f t="shared" si="98"/>
        <v>3306</v>
      </c>
      <c r="W130" s="167">
        <f t="shared" si="99"/>
        <v>8259</v>
      </c>
      <c r="X130" s="168">
        <f t="shared" si="100"/>
        <v>4953</v>
      </c>
      <c r="Y130" s="166">
        <f t="shared" si="101"/>
        <v>3957</v>
      </c>
      <c r="Z130" s="167">
        <f t="shared" si="102"/>
        <v>9345</v>
      </c>
      <c r="AA130" s="168">
        <f t="shared" si="103"/>
        <v>5279</v>
      </c>
      <c r="AB130" s="166">
        <f t="shared" si="104"/>
        <v>4174</v>
      </c>
      <c r="AC130" s="167">
        <f t="shared" si="105"/>
        <v>10974</v>
      </c>
      <c r="AD130" s="168">
        <f t="shared" si="106"/>
        <v>6257</v>
      </c>
      <c r="AE130" s="166">
        <f t="shared" si="107"/>
        <v>4608</v>
      </c>
      <c r="AF130" s="167">
        <f t="shared" si="108"/>
        <v>12060</v>
      </c>
      <c r="AG130" s="168">
        <f t="shared" si="109"/>
        <v>7561</v>
      </c>
      <c r="AH130" s="166">
        <f t="shared" si="85"/>
        <v>5476</v>
      </c>
      <c r="AI130" s="167">
        <f t="shared" si="110"/>
        <v>13146</v>
      </c>
      <c r="AJ130" s="168">
        <f t="shared" si="111"/>
        <v>8213</v>
      </c>
      <c r="AK130" s="169">
        <f t="shared" si="112"/>
        <v>5916</v>
      </c>
      <c r="AL130" s="167">
        <f t="shared" si="113"/>
        <v>14790</v>
      </c>
      <c r="AM130" s="585">
        <f t="shared" si="114"/>
        <v>8874</v>
      </c>
      <c r="AN130" s="596">
        <v>0.11</v>
      </c>
      <c r="AO130" s="597">
        <v>0.12</v>
      </c>
      <c r="AP130" s="597">
        <v>0.13</v>
      </c>
      <c r="AQ130" s="598">
        <v>0.14000000000000001</v>
      </c>
      <c r="AR130" s="599">
        <v>0.15</v>
      </c>
      <c r="AS130" s="586"/>
      <c r="AT130" s="587"/>
      <c r="AU130" s="587"/>
      <c r="AV130" s="588"/>
      <c r="AW130" s="589"/>
      <c r="AX130" s="596">
        <v>0.05</v>
      </c>
      <c r="AY130" s="598">
        <v>5.5E-2</v>
      </c>
      <c r="AZ130" s="598">
        <v>0.06</v>
      </c>
      <c r="BA130" s="598">
        <v>6.5000000000000002E-2</v>
      </c>
      <c r="BB130" s="598">
        <v>7.0000000000000007E-2</v>
      </c>
      <c r="BC130" s="590"/>
      <c r="BD130" s="631"/>
      <c r="BE130" s="596"/>
      <c r="BF130" s="598"/>
      <c r="BG130" s="598"/>
      <c r="BH130" s="598"/>
      <c r="BI130" s="598"/>
      <c r="BJ130" s="598"/>
      <c r="BK130" s="605"/>
      <c r="BL130" s="658">
        <f t="shared" si="91"/>
        <v>29000</v>
      </c>
      <c r="BM130" s="3">
        <f t="shared" si="92"/>
        <v>20</v>
      </c>
      <c r="BN130" s="3">
        <f t="shared" si="93"/>
        <v>50</v>
      </c>
      <c r="BO130" s="3">
        <f t="shared" si="94"/>
        <v>30</v>
      </c>
    </row>
    <row r="131" spans="2:67">
      <c r="B131" s="1269" t="s">
        <v>1966</v>
      </c>
      <c r="C131" s="1265" t="s">
        <v>309</v>
      </c>
      <c r="D131" s="1265" t="s">
        <v>13</v>
      </c>
      <c r="E131" s="1267" t="s">
        <v>126</v>
      </c>
      <c r="F131" s="592">
        <v>128</v>
      </c>
      <c r="G131" s="593">
        <v>12180</v>
      </c>
      <c r="H131" s="594">
        <v>8120</v>
      </c>
      <c r="I131" s="595">
        <v>8700</v>
      </c>
      <c r="J131" s="166">
        <f t="shared" si="61"/>
        <v>243</v>
      </c>
      <c r="K131" s="167">
        <f t="shared" si="62"/>
        <v>162</v>
      </c>
      <c r="L131" s="168">
        <f t="shared" si="63"/>
        <v>174</v>
      </c>
      <c r="M131" s="166">
        <f t="shared" si="64"/>
        <v>304</v>
      </c>
      <c r="N131" s="167">
        <f t="shared" si="65"/>
        <v>203</v>
      </c>
      <c r="O131" s="168">
        <f t="shared" si="66"/>
        <v>217</v>
      </c>
      <c r="P131" s="169">
        <f t="shared" si="67"/>
        <v>456</v>
      </c>
      <c r="Q131" s="169">
        <f t="shared" si="68"/>
        <v>304</v>
      </c>
      <c r="R131" s="169">
        <f t="shared" si="69"/>
        <v>326</v>
      </c>
      <c r="S131" s="584">
        <f t="shared" si="95"/>
        <v>3045</v>
      </c>
      <c r="T131" s="594">
        <f t="shared" si="96"/>
        <v>2030</v>
      </c>
      <c r="U131" s="595">
        <f t="shared" si="97"/>
        <v>2175</v>
      </c>
      <c r="V131" s="166">
        <f t="shared" si="98"/>
        <v>6936</v>
      </c>
      <c r="W131" s="167">
        <f t="shared" si="99"/>
        <v>4628</v>
      </c>
      <c r="X131" s="168">
        <f t="shared" si="100"/>
        <v>4953</v>
      </c>
      <c r="Y131" s="166">
        <f t="shared" si="101"/>
        <v>7848</v>
      </c>
      <c r="Z131" s="167">
        <f t="shared" si="102"/>
        <v>4932</v>
      </c>
      <c r="AA131" s="168">
        <f t="shared" si="103"/>
        <v>5931</v>
      </c>
      <c r="AB131" s="166">
        <f t="shared" si="104"/>
        <v>9216</v>
      </c>
      <c r="AC131" s="167">
        <f t="shared" si="105"/>
        <v>5844</v>
      </c>
      <c r="AD131" s="168">
        <f t="shared" si="106"/>
        <v>6257</v>
      </c>
      <c r="AE131" s="166">
        <f t="shared" si="107"/>
        <v>10128</v>
      </c>
      <c r="AF131" s="167">
        <f t="shared" si="108"/>
        <v>7060</v>
      </c>
      <c r="AG131" s="168">
        <f t="shared" si="109"/>
        <v>6909</v>
      </c>
      <c r="AH131" s="166">
        <f t="shared" si="85"/>
        <v>11040</v>
      </c>
      <c r="AI131" s="167">
        <f t="shared" si="110"/>
        <v>7668</v>
      </c>
      <c r="AJ131" s="168">
        <f t="shared" si="111"/>
        <v>8213</v>
      </c>
      <c r="AK131" s="169">
        <f t="shared" si="112"/>
        <v>12423</v>
      </c>
      <c r="AL131" s="167">
        <f t="shared" si="113"/>
        <v>8282</v>
      </c>
      <c r="AM131" s="585">
        <f t="shared" si="114"/>
        <v>8874</v>
      </c>
      <c r="AN131" s="596">
        <v>0.06</v>
      </c>
      <c r="AO131" s="597">
        <v>6.3E-2</v>
      </c>
      <c r="AP131" s="597">
        <v>6.6000000000000003E-2</v>
      </c>
      <c r="AQ131" s="598">
        <v>6.9000000000000006E-2</v>
      </c>
      <c r="AR131" s="599">
        <v>7.1999999999999995E-2</v>
      </c>
      <c r="AS131" s="586"/>
      <c r="AT131" s="587"/>
      <c r="AU131" s="587"/>
      <c r="AV131" s="588"/>
      <c r="AW131" s="589"/>
      <c r="AX131" s="596">
        <v>0.03</v>
      </c>
      <c r="AY131" s="598">
        <v>3.3000000000000002E-2</v>
      </c>
      <c r="AZ131" s="598">
        <v>3.5999999999999997E-2</v>
      </c>
      <c r="BA131" s="598">
        <v>3.9E-2</v>
      </c>
      <c r="BB131" s="598">
        <v>4.2000000000000003E-2</v>
      </c>
      <c r="BC131" s="590"/>
      <c r="BD131" s="631"/>
      <c r="BE131" s="596"/>
      <c r="BF131" s="598"/>
      <c r="BG131" s="598"/>
      <c r="BH131" s="598"/>
      <c r="BI131" s="598"/>
      <c r="BJ131" s="598"/>
      <c r="BK131" s="605"/>
      <c r="BL131" s="658">
        <f t="shared" si="91"/>
        <v>29000</v>
      </c>
      <c r="BM131" s="3">
        <f t="shared" si="92"/>
        <v>42</v>
      </c>
      <c r="BN131" s="3">
        <f t="shared" si="93"/>
        <v>28</v>
      </c>
      <c r="BO131" s="3">
        <f t="shared" si="94"/>
        <v>30</v>
      </c>
    </row>
    <row r="132" spans="2:67">
      <c r="B132" s="1269" t="s">
        <v>1967</v>
      </c>
      <c r="C132" s="1265" t="s">
        <v>309</v>
      </c>
      <c r="D132" s="1265" t="s">
        <v>14</v>
      </c>
      <c r="E132" s="1267" t="s">
        <v>126</v>
      </c>
      <c r="F132" s="592">
        <v>129</v>
      </c>
      <c r="G132" s="593">
        <v>13049</v>
      </c>
      <c r="H132" s="594">
        <v>5800</v>
      </c>
      <c r="I132" s="595">
        <v>10149</v>
      </c>
      <c r="J132" s="166">
        <f t="shared" si="61"/>
        <v>261</v>
      </c>
      <c r="K132" s="167">
        <f t="shared" si="62"/>
        <v>116</v>
      </c>
      <c r="L132" s="168">
        <f t="shared" si="63"/>
        <v>203</v>
      </c>
      <c r="M132" s="166">
        <f t="shared" si="64"/>
        <v>326</v>
      </c>
      <c r="N132" s="167">
        <f t="shared" si="65"/>
        <v>145</v>
      </c>
      <c r="O132" s="168">
        <f t="shared" si="66"/>
        <v>253</v>
      </c>
      <c r="P132" s="169">
        <f t="shared" si="67"/>
        <v>489</v>
      </c>
      <c r="Q132" s="169">
        <f t="shared" si="68"/>
        <v>217</v>
      </c>
      <c r="R132" s="169">
        <f t="shared" si="69"/>
        <v>380</v>
      </c>
      <c r="S132" s="584">
        <f t="shared" si="95"/>
        <v>3262</v>
      </c>
      <c r="T132" s="594">
        <f t="shared" si="96"/>
        <v>1450</v>
      </c>
      <c r="U132" s="595">
        <f t="shared" si="97"/>
        <v>2537</v>
      </c>
      <c r="V132" s="166">
        <f t="shared" si="98"/>
        <v>7435</v>
      </c>
      <c r="W132" s="167">
        <f t="shared" si="99"/>
        <v>3306</v>
      </c>
      <c r="X132" s="168">
        <f t="shared" si="100"/>
        <v>5776</v>
      </c>
      <c r="Y132" s="166">
        <f t="shared" si="101"/>
        <v>7924</v>
      </c>
      <c r="Z132" s="167">
        <f t="shared" si="102"/>
        <v>3957</v>
      </c>
      <c r="AA132" s="168">
        <f t="shared" si="103"/>
        <v>6536</v>
      </c>
      <c r="AB132" s="166">
        <f t="shared" si="104"/>
        <v>9391</v>
      </c>
      <c r="AC132" s="167">
        <f t="shared" si="105"/>
        <v>4174</v>
      </c>
      <c r="AD132" s="168">
        <f t="shared" si="106"/>
        <v>7676</v>
      </c>
      <c r="AE132" s="166">
        <f t="shared" si="107"/>
        <v>11347</v>
      </c>
      <c r="AF132" s="167">
        <f t="shared" si="108"/>
        <v>4608</v>
      </c>
      <c r="AG132" s="168">
        <f t="shared" si="109"/>
        <v>8436</v>
      </c>
      <c r="AH132" s="166">
        <f t="shared" si="85"/>
        <v>12325</v>
      </c>
      <c r="AI132" s="167">
        <f t="shared" si="110"/>
        <v>5476</v>
      </c>
      <c r="AJ132" s="168">
        <f t="shared" si="111"/>
        <v>9196</v>
      </c>
      <c r="AK132" s="169">
        <f t="shared" si="112"/>
        <v>13310</v>
      </c>
      <c r="AL132" s="167">
        <f t="shared" si="113"/>
        <v>5916</v>
      </c>
      <c r="AM132" s="585">
        <f t="shared" si="114"/>
        <v>10352</v>
      </c>
      <c r="AN132" s="596">
        <v>0.3</v>
      </c>
      <c r="AO132" s="597">
        <v>0.30499999999999999</v>
      </c>
      <c r="AP132" s="597">
        <v>0.31</v>
      </c>
      <c r="AQ132" s="598">
        <v>0.315</v>
      </c>
      <c r="AR132" s="599">
        <v>0.32</v>
      </c>
      <c r="AS132" s="586"/>
      <c r="AT132" s="587"/>
      <c r="AU132" s="587"/>
      <c r="AV132" s="588"/>
      <c r="AW132" s="589"/>
      <c r="AX132" s="596">
        <v>0.05</v>
      </c>
      <c r="AY132" s="598">
        <v>5.5E-2</v>
      </c>
      <c r="AZ132" s="598">
        <v>0.06</v>
      </c>
      <c r="BA132" s="598">
        <v>6.5000000000000002E-2</v>
      </c>
      <c r="BB132" s="598">
        <v>7.0000000000000007E-2</v>
      </c>
      <c r="BC132" s="590"/>
      <c r="BD132" s="631"/>
      <c r="BE132" s="596"/>
      <c r="BF132" s="598"/>
      <c r="BG132" s="598"/>
      <c r="BH132" s="598"/>
      <c r="BI132" s="598"/>
      <c r="BJ132" s="598"/>
      <c r="BK132" s="605"/>
      <c r="BL132" s="658">
        <f t="shared" si="91"/>
        <v>29000</v>
      </c>
      <c r="BM132" s="3">
        <f t="shared" si="92"/>
        <v>45</v>
      </c>
      <c r="BN132" s="3">
        <f t="shared" si="93"/>
        <v>20</v>
      </c>
      <c r="BO132" s="3">
        <f t="shared" si="94"/>
        <v>35</v>
      </c>
    </row>
    <row r="133" spans="2:67">
      <c r="B133" s="207" t="s">
        <v>367</v>
      </c>
      <c r="C133" s="890" t="s">
        <v>357</v>
      </c>
      <c r="D133" s="890" t="s">
        <v>358</v>
      </c>
      <c r="E133" s="238" t="s">
        <v>65</v>
      </c>
      <c r="F133" s="592">
        <v>130</v>
      </c>
      <c r="G133" s="593">
        <v>8474</v>
      </c>
      <c r="H133" s="594">
        <v>3096</v>
      </c>
      <c r="I133" s="595">
        <v>4726</v>
      </c>
      <c r="J133" s="166">
        <f t="shared" si="61"/>
        <v>169</v>
      </c>
      <c r="K133" s="167">
        <f t="shared" si="62"/>
        <v>61</v>
      </c>
      <c r="L133" s="168">
        <f t="shared" si="63"/>
        <v>94</v>
      </c>
      <c r="M133" s="166">
        <f t="shared" si="64"/>
        <v>254</v>
      </c>
      <c r="N133" s="167">
        <f t="shared" si="65"/>
        <v>92</v>
      </c>
      <c r="O133" s="168">
        <f t="shared" si="66"/>
        <v>141</v>
      </c>
      <c r="P133" s="169">
        <f t="shared" si="67"/>
        <v>339</v>
      </c>
      <c r="Q133" s="169">
        <f t="shared" si="68"/>
        <v>123</v>
      </c>
      <c r="R133" s="169">
        <f t="shared" si="69"/>
        <v>189</v>
      </c>
      <c r="S133" s="584">
        <f t="shared" si="95"/>
        <v>2542</v>
      </c>
      <c r="T133" s="594">
        <f t="shared" si="96"/>
        <v>929</v>
      </c>
      <c r="U133" s="595">
        <f t="shared" si="97"/>
        <v>1418</v>
      </c>
      <c r="V133" s="166">
        <f t="shared" si="98"/>
        <v>5251</v>
      </c>
      <c r="W133" s="167">
        <f t="shared" si="99"/>
        <v>1910</v>
      </c>
      <c r="X133" s="168">
        <f t="shared" si="100"/>
        <v>2922</v>
      </c>
      <c r="Y133" s="166">
        <f t="shared" si="101"/>
        <v>5929</v>
      </c>
      <c r="Z133" s="167">
        <f t="shared" si="102"/>
        <v>2156</v>
      </c>
      <c r="AA133" s="168">
        <f t="shared" si="103"/>
        <v>3300</v>
      </c>
      <c r="AB133" s="166">
        <f t="shared" si="104"/>
        <v>6607</v>
      </c>
      <c r="AC133" s="167">
        <f t="shared" si="105"/>
        <v>2402</v>
      </c>
      <c r="AD133" s="168">
        <f t="shared" si="106"/>
        <v>3678</v>
      </c>
      <c r="AE133" s="166">
        <f t="shared" si="107"/>
        <v>6946</v>
      </c>
      <c r="AF133" s="167">
        <f t="shared" si="108"/>
        <v>2648</v>
      </c>
      <c r="AG133" s="168">
        <f t="shared" si="109"/>
        <v>4056</v>
      </c>
      <c r="AH133" s="166">
        <f t="shared" si="85"/>
        <v>7624</v>
      </c>
      <c r="AI133" s="167">
        <f t="shared" si="110"/>
        <v>2771</v>
      </c>
      <c r="AJ133" s="168">
        <f t="shared" si="111"/>
        <v>4623</v>
      </c>
      <c r="AK133" s="169">
        <f t="shared" si="112"/>
        <v>8643</v>
      </c>
      <c r="AL133" s="167">
        <f t="shared" si="113"/>
        <v>3157</v>
      </c>
      <c r="AM133" s="585">
        <f t="shared" si="114"/>
        <v>4820</v>
      </c>
      <c r="AN133" s="596">
        <v>0.25</v>
      </c>
      <c r="AO133" s="597">
        <v>0.28000000000000003</v>
      </c>
      <c r="AP133" s="597">
        <v>0.31</v>
      </c>
      <c r="AQ133" s="598">
        <v>0.34</v>
      </c>
      <c r="AR133" s="599">
        <v>0.37</v>
      </c>
      <c r="AS133" s="586"/>
      <c r="AT133" s="587"/>
      <c r="AU133" s="587"/>
      <c r="AV133" s="588"/>
      <c r="AW133" s="589"/>
      <c r="AX133" s="596">
        <v>0.05</v>
      </c>
      <c r="AY133" s="598">
        <v>5.5E-2</v>
      </c>
      <c r="AZ133" s="598">
        <v>0.06</v>
      </c>
      <c r="BA133" s="598">
        <v>6.5000000000000002E-2</v>
      </c>
      <c r="BB133" s="598">
        <v>7.0000000000000007E-2</v>
      </c>
      <c r="BC133" s="590"/>
      <c r="BD133" s="631"/>
      <c r="BE133" s="596"/>
      <c r="BF133" s="598"/>
      <c r="BG133" s="598"/>
      <c r="BH133" s="598"/>
      <c r="BI133" s="598"/>
      <c r="BJ133" s="598"/>
      <c r="BK133" s="605"/>
      <c r="BL133" s="658">
        <f t="shared" si="91"/>
        <v>16300</v>
      </c>
      <c r="BM133" s="3">
        <f t="shared" si="92"/>
        <v>52</v>
      </c>
      <c r="BN133" s="3">
        <f t="shared" si="93"/>
        <v>19</v>
      </c>
      <c r="BO133" s="3">
        <f t="shared" si="94"/>
        <v>29</v>
      </c>
    </row>
    <row r="134" spans="2:67">
      <c r="B134" s="207" t="s">
        <v>402</v>
      </c>
      <c r="C134" s="883" t="s">
        <v>357</v>
      </c>
      <c r="D134" s="883" t="s">
        <v>360</v>
      </c>
      <c r="E134" s="238" t="s">
        <v>65</v>
      </c>
      <c r="F134" s="592">
        <v>131</v>
      </c>
      <c r="G134" s="593">
        <v>4890</v>
      </c>
      <c r="H134" s="594">
        <v>5704</v>
      </c>
      <c r="I134" s="595">
        <v>5704</v>
      </c>
      <c r="J134" s="166">
        <f t="shared" si="61"/>
        <v>97</v>
      </c>
      <c r="K134" s="167">
        <f t="shared" si="62"/>
        <v>114</v>
      </c>
      <c r="L134" s="168">
        <f t="shared" si="63"/>
        <v>114</v>
      </c>
      <c r="M134" s="166">
        <f t="shared" si="64"/>
        <v>146</v>
      </c>
      <c r="N134" s="167">
        <f t="shared" si="65"/>
        <v>171</v>
      </c>
      <c r="O134" s="168">
        <f t="shared" si="66"/>
        <v>171</v>
      </c>
      <c r="P134" s="169">
        <f t="shared" si="67"/>
        <v>195</v>
      </c>
      <c r="Q134" s="169">
        <f t="shared" si="68"/>
        <v>228</v>
      </c>
      <c r="R134" s="169">
        <f t="shared" si="69"/>
        <v>228</v>
      </c>
      <c r="S134" s="584">
        <f t="shared" si="95"/>
        <v>1467</v>
      </c>
      <c r="T134" s="594">
        <f t="shared" si="96"/>
        <v>1711</v>
      </c>
      <c r="U134" s="595">
        <f t="shared" si="97"/>
        <v>1711</v>
      </c>
      <c r="V134" s="166">
        <f t="shared" si="98"/>
        <v>3024</v>
      </c>
      <c r="W134" s="167">
        <f t="shared" si="99"/>
        <v>3535</v>
      </c>
      <c r="X134" s="168">
        <f t="shared" si="100"/>
        <v>3535</v>
      </c>
      <c r="Y134" s="166">
        <f t="shared" si="101"/>
        <v>3414</v>
      </c>
      <c r="Z134" s="167">
        <f t="shared" si="102"/>
        <v>3991</v>
      </c>
      <c r="AA134" s="168">
        <f t="shared" si="103"/>
        <v>3991</v>
      </c>
      <c r="AB134" s="166">
        <f t="shared" si="104"/>
        <v>3804</v>
      </c>
      <c r="AC134" s="167">
        <f t="shared" si="105"/>
        <v>4447</v>
      </c>
      <c r="AD134" s="168">
        <f t="shared" si="106"/>
        <v>4447</v>
      </c>
      <c r="AE134" s="166">
        <f t="shared" si="107"/>
        <v>4194</v>
      </c>
      <c r="AF134" s="167">
        <f t="shared" si="108"/>
        <v>4903</v>
      </c>
      <c r="AG134" s="168">
        <f t="shared" si="109"/>
        <v>4675</v>
      </c>
      <c r="AH134" s="166">
        <f t="shared" si="85"/>
        <v>4389</v>
      </c>
      <c r="AI134" s="167">
        <f t="shared" si="110"/>
        <v>5587</v>
      </c>
      <c r="AJ134" s="168">
        <f t="shared" si="111"/>
        <v>5131</v>
      </c>
      <c r="AK134" s="169">
        <f t="shared" si="112"/>
        <v>4987</v>
      </c>
      <c r="AL134" s="167">
        <f t="shared" si="113"/>
        <v>5818</v>
      </c>
      <c r="AM134" s="585">
        <f t="shared" si="114"/>
        <v>5818</v>
      </c>
      <c r="AN134" s="596">
        <v>0.05</v>
      </c>
      <c r="AO134" s="597">
        <v>5.5E-2</v>
      </c>
      <c r="AP134" s="597">
        <v>0.06</v>
      </c>
      <c r="AQ134" s="598">
        <v>6.5000000000000002E-2</v>
      </c>
      <c r="AR134" s="599">
        <v>7.0000000000000007E-2</v>
      </c>
      <c r="AS134" s="586"/>
      <c r="AT134" s="587"/>
      <c r="AU134" s="587"/>
      <c r="AV134" s="588"/>
      <c r="AW134" s="589"/>
      <c r="AX134" s="596">
        <v>0.05</v>
      </c>
      <c r="AY134" s="598">
        <v>5.5E-2</v>
      </c>
      <c r="AZ134" s="598">
        <v>0.06</v>
      </c>
      <c r="BA134" s="598">
        <v>6.5000000000000002E-2</v>
      </c>
      <c r="BB134" s="598">
        <v>7.0000000000000007E-2</v>
      </c>
      <c r="BC134" s="590"/>
      <c r="BD134" s="631"/>
      <c r="BE134" s="596"/>
      <c r="BF134" s="598"/>
      <c r="BG134" s="598"/>
      <c r="BH134" s="598"/>
      <c r="BI134" s="598"/>
      <c r="BJ134" s="598"/>
      <c r="BK134" s="605"/>
      <c r="BL134" s="658">
        <f t="shared" si="91"/>
        <v>16300</v>
      </c>
      <c r="BM134" s="3">
        <f t="shared" si="92"/>
        <v>30</v>
      </c>
      <c r="BN134" s="3">
        <f t="shared" si="93"/>
        <v>35</v>
      </c>
      <c r="BO134" s="3">
        <f t="shared" si="94"/>
        <v>35</v>
      </c>
    </row>
    <row r="135" spans="2:67">
      <c r="B135" s="1269" t="s">
        <v>79</v>
      </c>
      <c r="C135" s="1265" t="s">
        <v>309</v>
      </c>
      <c r="D135" s="1265" t="s">
        <v>13</v>
      </c>
      <c r="E135" s="238" t="s">
        <v>65</v>
      </c>
      <c r="F135" s="1270">
        <v>132</v>
      </c>
      <c r="G135" s="593">
        <v>11129</v>
      </c>
      <c r="H135" s="594">
        <v>7949</v>
      </c>
      <c r="I135" s="595">
        <v>7420</v>
      </c>
      <c r="J135" s="166">
        <f t="shared" ref="J135:J198" si="115">INT(G135/50+0.05)</f>
        <v>222</v>
      </c>
      <c r="K135" s="167">
        <f t="shared" ref="K135:K198" si="116">INT(H135/50+0.05)</f>
        <v>159</v>
      </c>
      <c r="L135" s="168">
        <f t="shared" ref="L135:L198" si="117">INT(I135/50+0.05)</f>
        <v>148</v>
      </c>
      <c r="M135" s="166">
        <f t="shared" ref="M135:M198" si="118">INT(IF($C135="UR",IF($E135="party卡",G135*0.0270833333333333,G135*0.025),0)+IF($C135="SR",G135*0.03,0)+IF($C135="R",G135*0.0375,0)+0.05)</f>
        <v>278</v>
      </c>
      <c r="N135" s="167">
        <f t="shared" ref="N135:N198" si="119">INT(IF($C135="UR",IF($E135="party卡",H135*0.0270833333333333,H135*0.025),0)+IF($C135="SR",H135*0.03,0)+IF($C135="R",H135*0.0375,0)+0.05)</f>
        <v>198</v>
      </c>
      <c r="O135" s="168">
        <f t="shared" ref="O135:O198" si="120">INT(IF($C135="UR",IF($E135="party卡",I135*0.0270833333333333,I135*0.025),0)+IF($C135="SR",I135*0.03,0)+IF($C135="R",I135*0.0375,0)+0.05)</f>
        <v>185</v>
      </c>
      <c r="P135" s="169">
        <f t="shared" ref="P135:P198" si="121">INT(IF($C135="UR",IF($E135="party卡",G135*0.04375,G135*0.0375),0)+IF($C135="SR",G135*0.04,0)+IF($C135="R",G135*0.05,0)+0.05)</f>
        <v>417</v>
      </c>
      <c r="Q135" s="169">
        <f t="shared" ref="Q135:Q198" si="122">INT(IF($C135="UR",IF($E135="party卡",H135*0.04375,H135*0.0375),0)+IF($C135="SR",H135*0.04,0)+IF($C135="R",H135*0.05,0)+0.05)</f>
        <v>298</v>
      </c>
      <c r="R135" s="169">
        <f t="shared" ref="R135:R198" si="123">INT(IF($C135="UR",IF($E135="party卡",I135*0.04375,I135*0.0375),0)+IF($C135="SR",I135*0.04,0)+IF($C135="R",I135*0.05,0)+0.05)</f>
        <v>278</v>
      </c>
      <c r="S135" s="584">
        <f t="shared" ref="S135:S166" si="124">ROUND(IF($C135="UR",G135*0.25,G135*0.3),0)</f>
        <v>2782</v>
      </c>
      <c r="T135" s="594">
        <f t="shared" ref="T135:T166" si="125">ROUND(IF($C135="UR",H135*0.25,H135*0.3),0)</f>
        <v>1987</v>
      </c>
      <c r="U135" s="595">
        <f t="shared" ref="U135:U166" si="126">ROUND(IF($C135="UR",I135*0.25,I135*0.3),0)</f>
        <v>1855</v>
      </c>
      <c r="V135" s="166">
        <f t="shared" ref="V135:V166" si="127">(IF($C135="UR",IF($E135="party卡",18,12))+IF($C135="SR",10)+IF($C135="R",8))*M135+J135+S135</f>
        <v>6340</v>
      </c>
      <c r="W135" s="167">
        <f t="shared" ref="W135:W166" si="128">(IF($C135="UR",IF($E135="party卡",18,12))+IF($C135="SR",10)+IF($C135="R",8))*N135+K135+T135</f>
        <v>4522</v>
      </c>
      <c r="X135" s="168">
        <f t="shared" ref="X135:X166" si="129">(IF($C135="UR",IF($E135="party卡",18,12))+IF($C135="SR",10)+IF($C135="R",8))*O135+L135+U135</f>
        <v>4223</v>
      </c>
      <c r="Y135" s="166">
        <f t="shared" ref="Y135:Y166" si="130">V135+(IF(C135="UR",IF(E135="party卡",IF(D135="gd",1,2),IF(D135="vo",2)+IF(D135="sp",1)+IF(D135="gd",3)+IF(D135="sk",1)))+IF(C135="SR",2)+IF(C135="R",IF(D135="vo",1)+IF(D135="sp",2)+IF(D135="gd",1)+IF(D135="sk",2)))*P135</f>
        <v>7174</v>
      </c>
      <c r="Z135" s="167">
        <f t="shared" ref="Z135:Z166" si="131">W135+(IF(C135="UR",IF(E135="party卡",IF(D135="sp",1,2),IF(D135="vo",1)+IF(D135="sp",3)+IF(D135="gd",2)+IF(D135="sk",2)))+IF(C135="SR",2)+IF(C135="R",IF(D135="vo",2)+IF(D135="sp",1)+IF(D135="gd",1)+IF(D135="sk",1)))*Q135</f>
        <v>4820</v>
      </c>
      <c r="AA135" s="168">
        <f t="shared" ref="AA135:AA166" si="132">X135+(IF(C135="UR",IF(E135="party卡",IF(OR(D135="vo",D135="sk"),1,2),IF(D135="vo",3)+IF(D135="sp",2)+IF(D135="gd",1)+IF(D135="sk",3)))+IF(C135="SR",2)+IF(C135="R",IF(D135="vo",1)+IF(D135="sp",1)+IF(D135="gd",2)+IF(D135="sk",1)))*R135</f>
        <v>5057</v>
      </c>
      <c r="AB135" s="166">
        <f t="shared" ref="AB135:AB166" si="133">V135+(IF(C135="UR",IF(E135="party卡",IF(OR(D135="sp",D135="sk"),3,2),IF(D135="vo",5)+IF(D135="sp",4)+IF(D135="gd",4)+IF(D135="sk",4)))+IF(C135="SR",4)+IF(C135="R",IF(D135="vo",3)+IF(D135="sp",3)+IF(D135="gd",2)+IF(D135="sk",3)))*P135</f>
        <v>8425</v>
      </c>
      <c r="AC135" s="167">
        <f t="shared" ref="AC135:AC166" si="134">W135+(IF(C135="UR",IF(E135="party卡",IF(D135="vo",3,2),IF(D135="vo",4)+IF(D135="sp",4)+IF(D135="gd",5)+IF(D135="sk",5)))+IF(C135="SR",4)+IF(C135="R",IF(D135="vo",3)+IF(D135="sp",2)+IF(D135="gd",3)+IF(D135="sk",3)))*Q135</f>
        <v>5714</v>
      </c>
      <c r="AD135" s="168">
        <f t="shared" ref="AD135:AD166" si="135">X135+(IF(C135="UR",IF(E135="party卡",IF(D135="gd",3,2),IF(D135="vo",4)+IF(D135="sp",5)+IF(D135="gd",4)+IF(D135="sk",4)))+IF(C135="SR",4)+IF(C135="R",IF(D135="vo",2)+IF(D135="sp",3)+IF(D135="gd",3)+IF(D135="sk",2)))*R135</f>
        <v>5335</v>
      </c>
      <c r="AE135" s="166">
        <f t="shared" ref="AE135:AE166" si="136">V135+(IF(C135="UR",IF(E135="party卡",3,IF(D135="vo",7)+IF(D135="sp",8)+IF(D135="gd",6)+IF(D135="sk",8)))+IF(C135="SR",IF(D135="vo",5)+IF(D135="sp",6)+IF(D135="gd",6)+IF(D135="sk",6))+IF(C135="R",IF(D135="vo",5)+IF(D135="sp",4)+IF(D135="gd",4)+IF(D135="sk",4)))*P135</f>
        <v>9259</v>
      </c>
      <c r="AF135" s="167">
        <f t="shared" ref="AF135:AF166" si="137">W135+(IF(C135="UR",IF(E135="party卡",3,IF(D135="vo",8)+IF(D135="sp",6)+IF(D135="gd",7)+IF(D135="sk",7)))+IF(C135="SR",IF(D135="vo",6)+IF(D135="sp",6)+IF(D135="gd",5)+IF(D135="sk",5))+IF(C135="R",IF(D135="vo",4)+IF(D135="sp",4)+IF(D135="gd",5)+IF(D135="sk",5)))*Q135</f>
        <v>6906</v>
      </c>
      <c r="AG135" s="168">
        <f t="shared" ref="AG135:AG166" si="138">X135+(IF(C135="UR",IF(E135="party卡",3,IF(D135="vo",6)+IF(D135="sp",7)+IF(D135="gd",8)+IF(D135="sk",6)))+IF(C135="SR",IF(D135="vo",6)+IF(D135="sp",5)+IF(D135="gd",6)+IF(D135="sk",6))+IF(C135="R",IF(D135="vo",4)+IF(D135="sp",5)+IF(D135="gd",4)+IF(D135="sk",4)))*R135</f>
        <v>5891</v>
      </c>
      <c r="AH135" s="166">
        <f t="shared" ref="AH135:AH198" si="139">V135+(IF(C135="UR",IF(E135="party卡",4,IF(D135="vo",9)+IF(D135="sp",10)+IF(D135="gd",10)+IF(D135="sk",10)))+IF(C135="SR",IF(D135="vo",7)+IF(D135="sp",7)+IF(D135="gd",9)+IF(D135="sk",7))+IF(C135="R",IF(D135="vo",7)+IF(D135="sp",6)+IF(D135="gd",6)+IF(D135="sk",6)))*P135</f>
        <v>10093</v>
      </c>
      <c r="AI135" s="167">
        <f t="shared" ref="AI135:AI166" si="140">W135+(IF(C135="UR",IF(E135="party卡",4,IF(D135="vo",10)+IF(D135="sp",10)+IF(D135="gd",9)+IF(D135="sk",9)))+IF(C135="SR",IF(D135="vo",7)+IF(D135="sp",9)+IF(D135="gd",7)+IF(D135="sk",7))+IF(C135="R",IF(D135="vo",6)+IF(D135="sp",6)+IF(D135="gd",7)+IF(D135="sk",7)))*Q135</f>
        <v>7502</v>
      </c>
      <c r="AJ135" s="168">
        <f t="shared" ref="AJ135:AJ166" si="141">X135+(IF(C135="UR",IF(E135="party卡",4,IF(D135="vo",10)+IF(D135="sp",9)+IF(D135="gd",10)+IF(D135="sk",10)))+IF(C135="SR",IF(D135="vo",9)+IF(D135="sp",7)+IF(D135="gd",7)+IF(D135="sk",9))+IF(C135="R",IF(D135="vo",6)+IF(D135="sp",7)+IF(D135="gd",6)+IF(D135="sk",6)))*R135</f>
        <v>7003</v>
      </c>
      <c r="AK135" s="169">
        <f t="shared" ref="AK135:AK166" si="142">G135+J135</f>
        <v>11351</v>
      </c>
      <c r="AL135" s="167">
        <f t="shared" ref="AL135:AL166" si="143">H135+K135</f>
        <v>8108</v>
      </c>
      <c r="AM135" s="585">
        <f t="shared" ref="AM135:AM166" si="144">I135+L135</f>
        <v>7568</v>
      </c>
      <c r="AN135" s="596">
        <v>0.04</v>
      </c>
      <c r="AO135" s="597">
        <v>4.2999999999999997E-2</v>
      </c>
      <c r="AP135" s="597">
        <v>4.5999999999999999E-2</v>
      </c>
      <c r="AQ135" s="598">
        <v>4.9000000000000002E-2</v>
      </c>
      <c r="AR135" s="599">
        <v>5.1999999999999998E-2</v>
      </c>
      <c r="AS135" s="586"/>
      <c r="AT135" s="587"/>
      <c r="AU135" s="587"/>
      <c r="AV135" s="588"/>
      <c r="AW135" s="589"/>
      <c r="AX135" s="596">
        <v>0.03</v>
      </c>
      <c r="AY135" s="598">
        <v>3.3000000000000002E-2</v>
      </c>
      <c r="AZ135" s="598">
        <v>3.5999999999999997E-2</v>
      </c>
      <c r="BA135" s="598">
        <v>3.9E-2</v>
      </c>
      <c r="BB135" s="598">
        <v>4.2000000000000003E-2</v>
      </c>
      <c r="BC135" s="590"/>
      <c r="BD135" s="631"/>
      <c r="BE135" s="596"/>
      <c r="BF135" s="598"/>
      <c r="BG135" s="598"/>
      <c r="BH135" s="598"/>
      <c r="BI135" s="598"/>
      <c r="BJ135" s="598"/>
      <c r="BK135" s="605"/>
      <c r="BL135" s="658">
        <f t="shared" ref="BL135:BL198" si="145">ROUND(($G135+$H135+$I135)/50,0)*50</f>
        <v>26500</v>
      </c>
      <c r="BM135" s="3">
        <f t="shared" ref="BM135:BM198" si="146">ROUND(100*G135/($G135+$H135+$I135),0)</f>
        <v>42</v>
      </c>
      <c r="BN135" s="3">
        <f t="shared" ref="BN135:BN198" si="147">ROUND(100*H135/($G135+$H135+$I135),0)</f>
        <v>30</v>
      </c>
      <c r="BO135" s="3">
        <f t="shared" ref="BO135:BO198" si="148">ROUND(100*I135/($G135+$H135+$I135),0)</f>
        <v>28</v>
      </c>
    </row>
    <row r="136" spans="2:67">
      <c r="B136" s="207" t="s">
        <v>368</v>
      </c>
      <c r="C136" s="890" t="s">
        <v>357</v>
      </c>
      <c r="D136" s="890" t="s">
        <v>356</v>
      </c>
      <c r="E136" s="238" t="s">
        <v>65</v>
      </c>
      <c r="F136" s="592">
        <v>133</v>
      </c>
      <c r="G136" s="593">
        <v>3747</v>
      </c>
      <c r="H136" s="594">
        <v>6030</v>
      </c>
      <c r="I136" s="595">
        <v>6520</v>
      </c>
      <c r="J136" s="166">
        <f t="shared" si="115"/>
        <v>74</v>
      </c>
      <c r="K136" s="167">
        <f t="shared" si="116"/>
        <v>120</v>
      </c>
      <c r="L136" s="168">
        <f t="shared" si="117"/>
        <v>130</v>
      </c>
      <c r="M136" s="166">
        <f t="shared" si="118"/>
        <v>112</v>
      </c>
      <c r="N136" s="167">
        <f t="shared" si="119"/>
        <v>180</v>
      </c>
      <c r="O136" s="168">
        <f t="shared" si="120"/>
        <v>195</v>
      </c>
      <c r="P136" s="169">
        <f t="shared" si="121"/>
        <v>149</v>
      </c>
      <c r="Q136" s="169">
        <f t="shared" si="122"/>
        <v>241</v>
      </c>
      <c r="R136" s="169">
        <f t="shared" si="123"/>
        <v>260</v>
      </c>
      <c r="S136" s="584">
        <f t="shared" si="124"/>
        <v>1124</v>
      </c>
      <c r="T136" s="594">
        <f t="shared" si="125"/>
        <v>1809</v>
      </c>
      <c r="U136" s="595">
        <f t="shared" si="126"/>
        <v>1956</v>
      </c>
      <c r="V136" s="166">
        <f t="shared" si="127"/>
        <v>2318</v>
      </c>
      <c r="W136" s="167">
        <f t="shared" si="128"/>
        <v>3729</v>
      </c>
      <c r="X136" s="168">
        <f t="shared" si="129"/>
        <v>4036</v>
      </c>
      <c r="Y136" s="166">
        <f t="shared" si="130"/>
        <v>2616</v>
      </c>
      <c r="Z136" s="167">
        <f t="shared" si="131"/>
        <v>4211</v>
      </c>
      <c r="AA136" s="168">
        <f t="shared" si="132"/>
        <v>4556</v>
      </c>
      <c r="AB136" s="166">
        <f t="shared" si="133"/>
        <v>2914</v>
      </c>
      <c r="AC136" s="167">
        <f t="shared" si="134"/>
        <v>4693</v>
      </c>
      <c r="AD136" s="168">
        <f t="shared" si="135"/>
        <v>5076</v>
      </c>
      <c r="AE136" s="166">
        <f t="shared" si="136"/>
        <v>3212</v>
      </c>
      <c r="AF136" s="167">
        <f t="shared" si="137"/>
        <v>4934</v>
      </c>
      <c r="AG136" s="168">
        <f t="shared" si="138"/>
        <v>5596</v>
      </c>
      <c r="AH136" s="166">
        <f t="shared" si="139"/>
        <v>3361</v>
      </c>
      <c r="AI136" s="167">
        <f t="shared" si="140"/>
        <v>5416</v>
      </c>
      <c r="AJ136" s="168">
        <f t="shared" si="141"/>
        <v>6376</v>
      </c>
      <c r="AK136" s="169">
        <f t="shared" si="142"/>
        <v>3821</v>
      </c>
      <c r="AL136" s="167">
        <f t="shared" si="143"/>
        <v>6150</v>
      </c>
      <c r="AM136" s="585">
        <f t="shared" si="144"/>
        <v>6650</v>
      </c>
      <c r="AN136" s="596">
        <v>0.05</v>
      </c>
      <c r="AO136" s="597">
        <v>5.5E-2</v>
      </c>
      <c r="AP136" s="597">
        <v>0.06</v>
      </c>
      <c r="AQ136" s="598">
        <v>6.5000000000000002E-2</v>
      </c>
      <c r="AR136" s="599">
        <v>7.0000000000000007E-2</v>
      </c>
      <c r="AS136" s="586"/>
      <c r="AT136" s="587"/>
      <c r="AU136" s="587"/>
      <c r="AV136" s="588"/>
      <c r="AW136" s="589"/>
      <c r="AX136" s="596">
        <v>0.03</v>
      </c>
      <c r="AY136" s="598">
        <v>3.3000000000000002E-2</v>
      </c>
      <c r="AZ136" s="598">
        <v>3.5999999999999997E-2</v>
      </c>
      <c r="BA136" s="598">
        <v>3.9E-2</v>
      </c>
      <c r="BB136" s="598">
        <v>4.2000000000000003E-2</v>
      </c>
      <c r="BC136" s="590"/>
      <c r="BD136" s="631"/>
      <c r="BE136" s="596"/>
      <c r="BF136" s="598"/>
      <c r="BG136" s="598"/>
      <c r="BH136" s="598"/>
      <c r="BI136" s="598"/>
      <c r="BJ136" s="598"/>
      <c r="BK136" s="605"/>
      <c r="BL136" s="658">
        <f t="shared" si="145"/>
        <v>16300</v>
      </c>
      <c r="BM136" s="3">
        <f t="shared" si="146"/>
        <v>23</v>
      </c>
      <c r="BN136" s="3">
        <f t="shared" si="147"/>
        <v>37</v>
      </c>
      <c r="BO136" s="3">
        <f t="shared" si="148"/>
        <v>40</v>
      </c>
    </row>
    <row r="137" spans="2:67">
      <c r="B137" s="1269" t="s">
        <v>104</v>
      </c>
      <c r="C137" s="1265" t="s">
        <v>309</v>
      </c>
      <c r="D137" s="1265" t="s">
        <v>14</v>
      </c>
      <c r="E137" s="1267" t="s">
        <v>125</v>
      </c>
      <c r="F137" s="592">
        <v>134</v>
      </c>
      <c r="G137" s="593">
        <v>6449</v>
      </c>
      <c r="H137" s="594">
        <v>7524</v>
      </c>
      <c r="I137" s="595">
        <v>7524</v>
      </c>
      <c r="J137" s="166">
        <f t="shared" si="115"/>
        <v>129</v>
      </c>
      <c r="K137" s="167">
        <f t="shared" si="116"/>
        <v>150</v>
      </c>
      <c r="L137" s="168">
        <f t="shared" si="117"/>
        <v>150</v>
      </c>
      <c r="M137" s="166">
        <f t="shared" si="118"/>
        <v>161</v>
      </c>
      <c r="N137" s="167">
        <f t="shared" si="119"/>
        <v>188</v>
      </c>
      <c r="O137" s="168">
        <f t="shared" si="120"/>
        <v>188</v>
      </c>
      <c r="P137" s="169">
        <f t="shared" si="121"/>
        <v>241</v>
      </c>
      <c r="Q137" s="169">
        <f t="shared" si="122"/>
        <v>282</v>
      </c>
      <c r="R137" s="169">
        <f t="shared" si="123"/>
        <v>282</v>
      </c>
      <c r="S137" s="584">
        <f t="shared" si="124"/>
        <v>1612</v>
      </c>
      <c r="T137" s="594">
        <f t="shared" si="125"/>
        <v>1881</v>
      </c>
      <c r="U137" s="595">
        <f t="shared" si="126"/>
        <v>1881</v>
      </c>
      <c r="V137" s="166">
        <f t="shared" si="127"/>
        <v>3673</v>
      </c>
      <c r="W137" s="167">
        <f t="shared" si="128"/>
        <v>4287</v>
      </c>
      <c r="X137" s="168">
        <f t="shared" si="129"/>
        <v>4287</v>
      </c>
      <c r="Y137" s="166">
        <f t="shared" si="130"/>
        <v>3914</v>
      </c>
      <c r="Z137" s="167">
        <f t="shared" si="131"/>
        <v>5133</v>
      </c>
      <c r="AA137" s="168">
        <f t="shared" si="132"/>
        <v>4851</v>
      </c>
      <c r="AB137" s="166">
        <f t="shared" si="133"/>
        <v>4637</v>
      </c>
      <c r="AC137" s="167">
        <f t="shared" si="134"/>
        <v>5415</v>
      </c>
      <c r="AD137" s="168">
        <f t="shared" si="135"/>
        <v>5697</v>
      </c>
      <c r="AE137" s="166">
        <f t="shared" si="136"/>
        <v>5601</v>
      </c>
      <c r="AF137" s="167">
        <f t="shared" si="137"/>
        <v>5979</v>
      </c>
      <c r="AG137" s="168">
        <f t="shared" si="138"/>
        <v>6261</v>
      </c>
      <c r="AH137" s="166">
        <f t="shared" si="139"/>
        <v>6083</v>
      </c>
      <c r="AI137" s="167">
        <f t="shared" si="140"/>
        <v>7107</v>
      </c>
      <c r="AJ137" s="168">
        <f t="shared" si="141"/>
        <v>6825</v>
      </c>
      <c r="AK137" s="169">
        <f t="shared" si="142"/>
        <v>6578</v>
      </c>
      <c r="AL137" s="167">
        <f t="shared" si="143"/>
        <v>7674</v>
      </c>
      <c r="AM137" s="585">
        <f t="shared" si="144"/>
        <v>7674</v>
      </c>
      <c r="AN137" s="596">
        <v>3.7999999999999999E-2</v>
      </c>
      <c r="AO137" s="597">
        <v>4.1000000000000002E-2</v>
      </c>
      <c r="AP137" s="597">
        <v>4.3999999999999997E-2</v>
      </c>
      <c r="AQ137" s="598">
        <v>4.7E-2</v>
      </c>
      <c r="AR137" s="599">
        <v>0.05</v>
      </c>
      <c r="AS137" s="586"/>
      <c r="AT137" s="587"/>
      <c r="AU137" s="587"/>
      <c r="AV137" s="588"/>
      <c r="AW137" s="589"/>
      <c r="AX137" s="596">
        <v>0.04</v>
      </c>
      <c r="AY137" s="598">
        <v>4.2999999999999997E-2</v>
      </c>
      <c r="AZ137" s="598">
        <v>4.5999999999999999E-2</v>
      </c>
      <c r="BA137" s="598">
        <v>4.9000000000000002E-2</v>
      </c>
      <c r="BB137" s="598">
        <v>5.1999999999999998E-2</v>
      </c>
      <c r="BC137" s="590"/>
      <c r="BD137" s="631"/>
      <c r="BE137" s="596"/>
      <c r="BF137" s="598"/>
      <c r="BG137" s="598"/>
      <c r="BH137" s="598"/>
      <c r="BI137" s="598"/>
      <c r="BJ137" s="598"/>
      <c r="BK137" s="605"/>
      <c r="BL137" s="658">
        <f t="shared" si="145"/>
        <v>21500</v>
      </c>
      <c r="BM137" s="3">
        <f t="shared" si="146"/>
        <v>30</v>
      </c>
      <c r="BN137" s="3">
        <f t="shared" si="147"/>
        <v>35</v>
      </c>
      <c r="BO137" s="3">
        <f t="shared" si="148"/>
        <v>35</v>
      </c>
    </row>
    <row r="138" spans="2:67">
      <c r="B138" s="207" t="s">
        <v>403</v>
      </c>
      <c r="C138" s="875" t="s">
        <v>357</v>
      </c>
      <c r="D138" s="875" t="s">
        <v>359</v>
      </c>
      <c r="E138" s="238" t="s">
        <v>125</v>
      </c>
      <c r="F138" s="592">
        <v>135</v>
      </c>
      <c r="G138" s="593">
        <v>4387</v>
      </c>
      <c r="H138" s="594">
        <v>4387</v>
      </c>
      <c r="I138" s="595">
        <v>4520</v>
      </c>
      <c r="J138" s="166">
        <f t="shared" si="115"/>
        <v>87</v>
      </c>
      <c r="K138" s="167">
        <f t="shared" si="116"/>
        <v>87</v>
      </c>
      <c r="L138" s="168">
        <f t="shared" si="117"/>
        <v>90</v>
      </c>
      <c r="M138" s="166">
        <f t="shared" si="118"/>
        <v>131</v>
      </c>
      <c r="N138" s="167">
        <f t="shared" si="119"/>
        <v>131</v>
      </c>
      <c r="O138" s="168">
        <f t="shared" si="120"/>
        <v>135</v>
      </c>
      <c r="P138" s="169">
        <f t="shared" si="121"/>
        <v>175</v>
      </c>
      <c r="Q138" s="169">
        <f t="shared" si="122"/>
        <v>175</v>
      </c>
      <c r="R138" s="169">
        <f t="shared" si="123"/>
        <v>180</v>
      </c>
      <c r="S138" s="584">
        <f t="shared" si="124"/>
        <v>1316</v>
      </c>
      <c r="T138" s="594">
        <f t="shared" si="125"/>
        <v>1316</v>
      </c>
      <c r="U138" s="595">
        <f t="shared" si="126"/>
        <v>1356</v>
      </c>
      <c r="V138" s="166">
        <f t="shared" si="127"/>
        <v>2713</v>
      </c>
      <c r="W138" s="167">
        <f t="shared" si="128"/>
        <v>2713</v>
      </c>
      <c r="X138" s="168">
        <f t="shared" si="129"/>
        <v>2796</v>
      </c>
      <c r="Y138" s="166">
        <f t="shared" si="130"/>
        <v>3063</v>
      </c>
      <c r="Z138" s="167">
        <f t="shared" si="131"/>
        <v>3063</v>
      </c>
      <c r="AA138" s="168">
        <f t="shared" si="132"/>
        <v>3156</v>
      </c>
      <c r="AB138" s="166">
        <f t="shared" si="133"/>
        <v>3413</v>
      </c>
      <c r="AC138" s="167">
        <f t="shared" si="134"/>
        <v>3413</v>
      </c>
      <c r="AD138" s="168">
        <f t="shared" si="135"/>
        <v>3516</v>
      </c>
      <c r="AE138" s="166">
        <f t="shared" si="136"/>
        <v>3763</v>
      </c>
      <c r="AF138" s="167">
        <f t="shared" si="137"/>
        <v>3588</v>
      </c>
      <c r="AG138" s="168">
        <f t="shared" si="138"/>
        <v>3876</v>
      </c>
      <c r="AH138" s="166">
        <f t="shared" si="139"/>
        <v>4288</v>
      </c>
      <c r="AI138" s="167">
        <f t="shared" si="140"/>
        <v>3938</v>
      </c>
      <c r="AJ138" s="168">
        <f t="shared" si="141"/>
        <v>4056</v>
      </c>
      <c r="AK138" s="169">
        <f t="shared" si="142"/>
        <v>4474</v>
      </c>
      <c r="AL138" s="167">
        <f t="shared" si="143"/>
        <v>4474</v>
      </c>
      <c r="AM138" s="585">
        <f t="shared" si="144"/>
        <v>4610</v>
      </c>
      <c r="AN138" s="596">
        <v>0.2</v>
      </c>
      <c r="AO138" s="597">
        <v>0.23</v>
      </c>
      <c r="AP138" s="597">
        <v>0.26</v>
      </c>
      <c r="AQ138" s="598">
        <v>0.28999999999999998</v>
      </c>
      <c r="AR138" s="599">
        <v>0.32</v>
      </c>
      <c r="AS138" s="586"/>
      <c r="AT138" s="587"/>
      <c r="AU138" s="587"/>
      <c r="AV138" s="588"/>
      <c r="AW138" s="589"/>
      <c r="AX138" s="596">
        <v>0.03</v>
      </c>
      <c r="AY138" s="598">
        <v>3.5000000000000003E-2</v>
      </c>
      <c r="AZ138" s="598">
        <v>0.04</v>
      </c>
      <c r="BA138" s="598">
        <v>4.4999999999999998E-2</v>
      </c>
      <c r="BB138" s="598">
        <v>0.05</v>
      </c>
      <c r="BC138" s="590"/>
      <c r="BD138" s="631"/>
      <c r="BE138" s="596"/>
      <c r="BF138" s="598"/>
      <c r="BG138" s="598"/>
      <c r="BH138" s="598"/>
      <c r="BI138" s="598"/>
      <c r="BJ138" s="598"/>
      <c r="BK138" s="605"/>
      <c r="BL138" s="658">
        <f t="shared" si="145"/>
        <v>13300</v>
      </c>
      <c r="BM138" s="3">
        <f t="shared" si="146"/>
        <v>33</v>
      </c>
      <c r="BN138" s="3">
        <f t="shared" si="147"/>
        <v>33</v>
      </c>
      <c r="BO138" s="3">
        <f t="shared" si="148"/>
        <v>34</v>
      </c>
    </row>
    <row r="139" spans="2:67">
      <c r="B139" s="207" t="s">
        <v>446</v>
      </c>
      <c r="C139" s="890" t="s">
        <v>357</v>
      </c>
      <c r="D139" s="890" t="s">
        <v>70</v>
      </c>
      <c r="E139" s="238" t="s">
        <v>125</v>
      </c>
      <c r="F139" s="592">
        <v>136</v>
      </c>
      <c r="G139" s="593">
        <v>4654</v>
      </c>
      <c r="H139" s="594">
        <v>4387</v>
      </c>
      <c r="I139" s="595">
        <v>4254</v>
      </c>
      <c r="J139" s="166">
        <f t="shared" si="115"/>
        <v>93</v>
      </c>
      <c r="K139" s="167">
        <f t="shared" si="116"/>
        <v>87</v>
      </c>
      <c r="L139" s="168">
        <f t="shared" si="117"/>
        <v>85</v>
      </c>
      <c r="M139" s="166">
        <f t="shared" si="118"/>
        <v>139</v>
      </c>
      <c r="N139" s="167">
        <f t="shared" si="119"/>
        <v>131</v>
      </c>
      <c r="O139" s="168">
        <f t="shared" si="120"/>
        <v>127</v>
      </c>
      <c r="P139" s="169">
        <f t="shared" si="121"/>
        <v>186</v>
      </c>
      <c r="Q139" s="169">
        <f t="shared" si="122"/>
        <v>175</v>
      </c>
      <c r="R139" s="169">
        <f t="shared" si="123"/>
        <v>170</v>
      </c>
      <c r="S139" s="584">
        <f t="shared" si="124"/>
        <v>1396</v>
      </c>
      <c r="T139" s="594">
        <f t="shared" si="125"/>
        <v>1316</v>
      </c>
      <c r="U139" s="595">
        <f t="shared" si="126"/>
        <v>1276</v>
      </c>
      <c r="V139" s="166">
        <f t="shared" si="127"/>
        <v>2879</v>
      </c>
      <c r="W139" s="167">
        <f t="shared" si="128"/>
        <v>2713</v>
      </c>
      <c r="X139" s="168">
        <f t="shared" si="129"/>
        <v>2631</v>
      </c>
      <c r="Y139" s="166">
        <f t="shared" si="130"/>
        <v>3251</v>
      </c>
      <c r="Z139" s="167">
        <f t="shared" si="131"/>
        <v>3063</v>
      </c>
      <c r="AA139" s="168">
        <f t="shared" si="132"/>
        <v>2971</v>
      </c>
      <c r="AB139" s="166">
        <f t="shared" si="133"/>
        <v>3623</v>
      </c>
      <c r="AC139" s="167">
        <f t="shared" si="134"/>
        <v>3413</v>
      </c>
      <c r="AD139" s="168">
        <f t="shared" si="135"/>
        <v>3311</v>
      </c>
      <c r="AE139" s="166">
        <f t="shared" si="136"/>
        <v>3995</v>
      </c>
      <c r="AF139" s="167">
        <f t="shared" si="137"/>
        <v>3588</v>
      </c>
      <c r="AG139" s="168">
        <f t="shared" si="138"/>
        <v>3651</v>
      </c>
      <c r="AH139" s="166">
        <f t="shared" si="139"/>
        <v>4181</v>
      </c>
      <c r="AI139" s="167">
        <f t="shared" si="140"/>
        <v>3938</v>
      </c>
      <c r="AJ139" s="168">
        <f t="shared" si="141"/>
        <v>4161</v>
      </c>
      <c r="AK139" s="169">
        <f t="shared" si="142"/>
        <v>4747</v>
      </c>
      <c r="AL139" s="167">
        <f t="shared" si="143"/>
        <v>4474</v>
      </c>
      <c r="AM139" s="585">
        <f t="shared" si="144"/>
        <v>4339</v>
      </c>
      <c r="AN139" s="596">
        <v>3.2000000000000001E-2</v>
      </c>
      <c r="AO139" s="597">
        <v>3.4000000000000002E-2</v>
      </c>
      <c r="AP139" s="597">
        <v>3.5999999999999997E-2</v>
      </c>
      <c r="AQ139" s="598">
        <v>3.7999999999999999E-2</v>
      </c>
      <c r="AR139" s="599">
        <v>0.04</v>
      </c>
      <c r="AS139" s="586"/>
      <c r="AT139" s="587"/>
      <c r="AU139" s="587"/>
      <c r="AV139" s="588"/>
      <c r="AW139" s="589"/>
      <c r="AX139" s="596">
        <v>2.5000000000000001E-2</v>
      </c>
      <c r="AY139" s="598">
        <v>2.8000000000000001E-2</v>
      </c>
      <c r="AZ139" s="598">
        <v>3.1E-2</v>
      </c>
      <c r="BA139" s="598">
        <v>3.4000000000000002E-2</v>
      </c>
      <c r="BB139" s="598">
        <v>3.6999999999999998E-2</v>
      </c>
      <c r="BC139" s="590"/>
      <c r="BD139" s="631"/>
      <c r="BE139" s="596"/>
      <c r="BF139" s="598"/>
      <c r="BG139" s="598"/>
      <c r="BH139" s="598"/>
      <c r="BI139" s="598"/>
      <c r="BJ139" s="598"/>
      <c r="BK139" s="605"/>
      <c r="BL139" s="658">
        <f t="shared" si="145"/>
        <v>13300</v>
      </c>
      <c r="BM139" s="3">
        <f t="shared" si="146"/>
        <v>35</v>
      </c>
      <c r="BN139" s="3">
        <f t="shared" si="147"/>
        <v>33</v>
      </c>
      <c r="BO139" s="3">
        <f t="shared" si="148"/>
        <v>32</v>
      </c>
    </row>
    <row r="140" spans="2:67">
      <c r="B140" s="1269" t="s">
        <v>74</v>
      </c>
      <c r="C140" s="1265" t="s">
        <v>309</v>
      </c>
      <c r="D140" s="1265" t="s">
        <v>13</v>
      </c>
      <c r="E140" s="1267" t="s">
        <v>65</v>
      </c>
      <c r="F140" s="1270">
        <v>137</v>
      </c>
      <c r="G140" s="593">
        <v>11393</v>
      </c>
      <c r="H140" s="594">
        <v>5300</v>
      </c>
      <c r="I140" s="595">
        <v>9804</v>
      </c>
      <c r="J140" s="166">
        <f t="shared" si="115"/>
        <v>227</v>
      </c>
      <c r="K140" s="167">
        <f t="shared" si="116"/>
        <v>106</v>
      </c>
      <c r="L140" s="168">
        <f t="shared" si="117"/>
        <v>196</v>
      </c>
      <c r="M140" s="166">
        <f t="shared" si="118"/>
        <v>284</v>
      </c>
      <c r="N140" s="167">
        <f t="shared" si="119"/>
        <v>132</v>
      </c>
      <c r="O140" s="168">
        <f t="shared" si="120"/>
        <v>245</v>
      </c>
      <c r="P140" s="169">
        <f t="shared" si="121"/>
        <v>427</v>
      </c>
      <c r="Q140" s="169">
        <f t="shared" si="122"/>
        <v>198</v>
      </c>
      <c r="R140" s="169">
        <f t="shared" si="123"/>
        <v>367</v>
      </c>
      <c r="S140" s="584">
        <f t="shared" si="124"/>
        <v>2848</v>
      </c>
      <c r="T140" s="594">
        <f t="shared" si="125"/>
        <v>1325</v>
      </c>
      <c r="U140" s="595">
        <f t="shared" si="126"/>
        <v>2451</v>
      </c>
      <c r="V140" s="166">
        <f t="shared" si="127"/>
        <v>6483</v>
      </c>
      <c r="W140" s="167">
        <f t="shared" si="128"/>
        <v>3015</v>
      </c>
      <c r="X140" s="168">
        <f t="shared" si="129"/>
        <v>5587</v>
      </c>
      <c r="Y140" s="166">
        <f t="shared" si="130"/>
        <v>7337</v>
      </c>
      <c r="Z140" s="167">
        <f t="shared" si="131"/>
        <v>3213</v>
      </c>
      <c r="AA140" s="168">
        <f t="shared" si="132"/>
        <v>6688</v>
      </c>
      <c r="AB140" s="166">
        <f t="shared" si="133"/>
        <v>8618</v>
      </c>
      <c r="AC140" s="167">
        <f t="shared" si="134"/>
        <v>3807</v>
      </c>
      <c r="AD140" s="168">
        <f t="shared" si="135"/>
        <v>7055</v>
      </c>
      <c r="AE140" s="166">
        <f t="shared" si="136"/>
        <v>9472</v>
      </c>
      <c r="AF140" s="167">
        <f t="shared" si="137"/>
        <v>4599</v>
      </c>
      <c r="AG140" s="168">
        <f t="shared" si="138"/>
        <v>7789</v>
      </c>
      <c r="AH140" s="166">
        <f t="shared" si="139"/>
        <v>10326</v>
      </c>
      <c r="AI140" s="167">
        <f t="shared" si="140"/>
        <v>4995</v>
      </c>
      <c r="AJ140" s="168">
        <f t="shared" si="141"/>
        <v>9257</v>
      </c>
      <c r="AK140" s="169">
        <f t="shared" si="142"/>
        <v>11620</v>
      </c>
      <c r="AL140" s="167">
        <f t="shared" si="143"/>
        <v>5406</v>
      </c>
      <c r="AM140" s="585">
        <f t="shared" si="144"/>
        <v>10000</v>
      </c>
      <c r="AN140" s="596">
        <v>0.05</v>
      </c>
      <c r="AO140" s="597">
        <v>5.2999999999999999E-2</v>
      </c>
      <c r="AP140" s="597">
        <v>5.6000000000000001E-2</v>
      </c>
      <c r="AQ140" s="598">
        <v>5.8999999999999997E-2</v>
      </c>
      <c r="AR140" s="599">
        <v>6.2E-2</v>
      </c>
      <c r="AS140" s="586"/>
      <c r="AT140" s="587"/>
      <c r="AU140" s="587"/>
      <c r="AV140" s="588"/>
      <c r="AW140" s="589"/>
      <c r="AX140" s="596">
        <v>0.04</v>
      </c>
      <c r="AY140" s="598">
        <v>4.2999999999999997E-2</v>
      </c>
      <c r="AZ140" s="598">
        <v>4.5999999999999999E-2</v>
      </c>
      <c r="BA140" s="598">
        <v>4.9000000000000002E-2</v>
      </c>
      <c r="BB140" s="598">
        <v>5.1999999999999998E-2</v>
      </c>
      <c r="BC140" s="590"/>
      <c r="BD140" s="631"/>
      <c r="BE140" s="596"/>
      <c r="BF140" s="598"/>
      <c r="BG140" s="598"/>
      <c r="BH140" s="598"/>
      <c r="BI140" s="598"/>
      <c r="BJ140" s="598"/>
      <c r="BK140" s="605"/>
      <c r="BL140" s="658">
        <f t="shared" si="145"/>
        <v>26500</v>
      </c>
      <c r="BM140" s="3">
        <f t="shared" si="146"/>
        <v>43</v>
      </c>
      <c r="BN140" s="3">
        <f t="shared" si="147"/>
        <v>20</v>
      </c>
      <c r="BO140" s="3">
        <f t="shared" si="148"/>
        <v>37</v>
      </c>
    </row>
    <row r="141" spans="2:67">
      <c r="B141" s="207" t="s">
        <v>404</v>
      </c>
      <c r="C141" s="890" t="s">
        <v>357</v>
      </c>
      <c r="D141" s="890" t="s">
        <v>356</v>
      </c>
      <c r="E141" s="238" t="s">
        <v>65</v>
      </c>
      <c r="F141" s="592">
        <v>138</v>
      </c>
      <c r="G141" s="593">
        <v>6844</v>
      </c>
      <c r="H141" s="594">
        <v>4563</v>
      </c>
      <c r="I141" s="595">
        <v>4890</v>
      </c>
      <c r="J141" s="166">
        <f t="shared" si="115"/>
        <v>136</v>
      </c>
      <c r="K141" s="167">
        <f t="shared" si="116"/>
        <v>91</v>
      </c>
      <c r="L141" s="168">
        <f t="shared" si="117"/>
        <v>97</v>
      </c>
      <c r="M141" s="166">
        <f t="shared" si="118"/>
        <v>205</v>
      </c>
      <c r="N141" s="167">
        <f t="shared" si="119"/>
        <v>136</v>
      </c>
      <c r="O141" s="168">
        <f t="shared" si="120"/>
        <v>146</v>
      </c>
      <c r="P141" s="169">
        <f t="shared" si="121"/>
        <v>273</v>
      </c>
      <c r="Q141" s="169">
        <f t="shared" si="122"/>
        <v>182</v>
      </c>
      <c r="R141" s="169">
        <f t="shared" si="123"/>
        <v>195</v>
      </c>
      <c r="S141" s="584">
        <f t="shared" si="124"/>
        <v>2053</v>
      </c>
      <c r="T141" s="594">
        <f t="shared" si="125"/>
        <v>1369</v>
      </c>
      <c r="U141" s="595">
        <f t="shared" si="126"/>
        <v>1467</v>
      </c>
      <c r="V141" s="166">
        <f t="shared" si="127"/>
        <v>4239</v>
      </c>
      <c r="W141" s="167">
        <f t="shared" si="128"/>
        <v>2820</v>
      </c>
      <c r="X141" s="168">
        <f t="shared" si="129"/>
        <v>3024</v>
      </c>
      <c r="Y141" s="166">
        <f t="shared" si="130"/>
        <v>4785</v>
      </c>
      <c r="Z141" s="167">
        <f t="shared" si="131"/>
        <v>3184</v>
      </c>
      <c r="AA141" s="168">
        <f t="shared" si="132"/>
        <v>3414</v>
      </c>
      <c r="AB141" s="166">
        <f t="shared" si="133"/>
        <v>5331</v>
      </c>
      <c r="AC141" s="167">
        <f t="shared" si="134"/>
        <v>3548</v>
      </c>
      <c r="AD141" s="168">
        <f t="shared" si="135"/>
        <v>3804</v>
      </c>
      <c r="AE141" s="166">
        <f t="shared" si="136"/>
        <v>5877</v>
      </c>
      <c r="AF141" s="167">
        <f t="shared" si="137"/>
        <v>3730</v>
      </c>
      <c r="AG141" s="168">
        <f t="shared" si="138"/>
        <v>4194</v>
      </c>
      <c r="AH141" s="166">
        <f t="shared" si="139"/>
        <v>6150</v>
      </c>
      <c r="AI141" s="167">
        <f t="shared" si="140"/>
        <v>4094</v>
      </c>
      <c r="AJ141" s="168">
        <f t="shared" si="141"/>
        <v>4779</v>
      </c>
      <c r="AK141" s="169">
        <f t="shared" si="142"/>
        <v>6980</v>
      </c>
      <c r="AL141" s="167">
        <f t="shared" si="143"/>
        <v>4654</v>
      </c>
      <c r="AM141" s="585">
        <f t="shared" si="144"/>
        <v>4987</v>
      </c>
      <c r="AN141" s="596">
        <v>0.15</v>
      </c>
      <c r="AO141" s="597">
        <v>0.18</v>
      </c>
      <c r="AP141" s="597">
        <v>0.21</v>
      </c>
      <c r="AQ141" s="598">
        <v>0.24</v>
      </c>
      <c r="AR141" s="599">
        <v>0.27</v>
      </c>
      <c r="AS141" s="586"/>
      <c r="AT141" s="587"/>
      <c r="AU141" s="587"/>
      <c r="AV141" s="588"/>
      <c r="AW141" s="589"/>
      <c r="AX141" s="596">
        <v>0.03</v>
      </c>
      <c r="AY141" s="598">
        <v>3.3000000000000002E-2</v>
      </c>
      <c r="AZ141" s="598">
        <v>3.5999999999999997E-2</v>
      </c>
      <c r="BA141" s="598">
        <v>3.9E-2</v>
      </c>
      <c r="BB141" s="598">
        <v>4.2000000000000003E-2</v>
      </c>
      <c r="BC141" s="590"/>
      <c r="BD141" s="631"/>
      <c r="BE141" s="596"/>
      <c r="BF141" s="598"/>
      <c r="BG141" s="598"/>
      <c r="BH141" s="598"/>
      <c r="BI141" s="598"/>
      <c r="BJ141" s="598"/>
      <c r="BK141" s="605"/>
      <c r="BL141" s="658">
        <f t="shared" si="145"/>
        <v>16300</v>
      </c>
      <c r="BM141" s="3">
        <f t="shared" si="146"/>
        <v>42</v>
      </c>
      <c r="BN141" s="3">
        <f t="shared" si="147"/>
        <v>28</v>
      </c>
      <c r="BO141" s="3">
        <f t="shared" si="148"/>
        <v>30</v>
      </c>
    </row>
    <row r="142" spans="2:67">
      <c r="B142" s="1269" t="s">
        <v>101</v>
      </c>
      <c r="C142" s="1265" t="s">
        <v>309</v>
      </c>
      <c r="D142" s="1265" t="s">
        <v>70</v>
      </c>
      <c r="E142" s="238" t="s">
        <v>65</v>
      </c>
      <c r="F142" s="1270">
        <v>139</v>
      </c>
      <c r="G142" s="593">
        <v>8480</v>
      </c>
      <c r="H142" s="594">
        <v>7420</v>
      </c>
      <c r="I142" s="595">
        <v>10600</v>
      </c>
      <c r="J142" s="166">
        <f t="shared" si="115"/>
        <v>169</v>
      </c>
      <c r="K142" s="167">
        <f t="shared" si="116"/>
        <v>148</v>
      </c>
      <c r="L142" s="168">
        <f t="shared" si="117"/>
        <v>212</v>
      </c>
      <c r="M142" s="166">
        <f t="shared" si="118"/>
        <v>212</v>
      </c>
      <c r="N142" s="167">
        <f t="shared" si="119"/>
        <v>185</v>
      </c>
      <c r="O142" s="168">
        <f t="shared" si="120"/>
        <v>265</v>
      </c>
      <c r="P142" s="169">
        <f t="shared" si="121"/>
        <v>318</v>
      </c>
      <c r="Q142" s="169">
        <f t="shared" si="122"/>
        <v>278</v>
      </c>
      <c r="R142" s="169">
        <f t="shared" si="123"/>
        <v>397</v>
      </c>
      <c r="S142" s="584">
        <f t="shared" si="124"/>
        <v>2120</v>
      </c>
      <c r="T142" s="594">
        <f t="shared" si="125"/>
        <v>1855</v>
      </c>
      <c r="U142" s="595">
        <f t="shared" si="126"/>
        <v>2650</v>
      </c>
      <c r="V142" s="166">
        <f t="shared" si="127"/>
        <v>4833</v>
      </c>
      <c r="W142" s="167">
        <f t="shared" si="128"/>
        <v>4223</v>
      </c>
      <c r="X142" s="168">
        <f t="shared" si="129"/>
        <v>6042</v>
      </c>
      <c r="Y142" s="166">
        <f t="shared" si="130"/>
        <v>5151</v>
      </c>
      <c r="Z142" s="167">
        <f t="shared" si="131"/>
        <v>4779</v>
      </c>
      <c r="AA142" s="168">
        <f t="shared" si="132"/>
        <v>7233</v>
      </c>
      <c r="AB142" s="166">
        <f t="shared" si="133"/>
        <v>6105</v>
      </c>
      <c r="AC142" s="167">
        <f t="shared" si="134"/>
        <v>5613</v>
      </c>
      <c r="AD142" s="168">
        <f t="shared" si="135"/>
        <v>7630</v>
      </c>
      <c r="AE142" s="166">
        <f t="shared" si="136"/>
        <v>7377</v>
      </c>
      <c r="AF142" s="167">
        <f t="shared" si="137"/>
        <v>6169</v>
      </c>
      <c r="AG142" s="168">
        <f t="shared" si="138"/>
        <v>8424</v>
      </c>
      <c r="AH142" s="166">
        <f t="shared" si="139"/>
        <v>8013</v>
      </c>
      <c r="AI142" s="167">
        <f t="shared" si="140"/>
        <v>6725</v>
      </c>
      <c r="AJ142" s="168">
        <f t="shared" si="141"/>
        <v>10012</v>
      </c>
      <c r="AK142" s="169">
        <f t="shared" si="142"/>
        <v>8649</v>
      </c>
      <c r="AL142" s="167">
        <f t="shared" si="143"/>
        <v>7568</v>
      </c>
      <c r="AM142" s="585">
        <f t="shared" si="144"/>
        <v>10812</v>
      </c>
      <c r="AN142" s="596">
        <v>7.0000000000000007E-2</v>
      </c>
      <c r="AO142" s="597">
        <v>7.4999999999999997E-2</v>
      </c>
      <c r="AP142" s="597">
        <v>0.08</v>
      </c>
      <c r="AQ142" s="598">
        <v>8.5000000000000006E-2</v>
      </c>
      <c r="AR142" s="599">
        <v>0.09</v>
      </c>
      <c r="AS142" s="586"/>
      <c r="AT142" s="587"/>
      <c r="AU142" s="587"/>
      <c r="AV142" s="588"/>
      <c r="AW142" s="589"/>
      <c r="AX142" s="596">
        <v>0.04</v>
      </c>
      <c r="AY142" s="598">
        <v>4.2999999999999997E-2</v>
      </c>
      <c r="AZ142" s="598">
        <v>4.5999999999999999E-2</v>
      </c>
      <c r="BA142" s="598">
        <v>4.9000000000000002E-2</v>
      </c>
      <c r="BB142" s="598">
        <v>5.1999999999999998E-2</v>
      </c>
      <c r="BC142" s="590"/>
      <c r="BD142" s="631"/>
      <c r="BE142" s="596"/>
      <c r="BF142" s="598"/>
      <c r="BG142" s="598"/>
      <c r="BH142" s="598"/>
      <c r="BI142" s="598"/>
      <c r="BJ142" s="598"/>
      <c r="BK142" s="605"/>
      <c r="BL142" s="658">
        <f t="shared" si="145"/>
        <v>26500</v>
      </c>
      <c r="BM142" s="3">
        <f t="shared" si="146"/>
        <v>32</v>
      </c>
      <c r="BN142" s="3">
        <f t="shared" si="147"/>
        <v>28</v>
      </c>
      <c r="BO142" s="3">
        <f t="shared" si="148"/>
        <v>40</v>
      </c>
    </row>
    <row r="143" spans="2:67">
      <c r="B143" s="207" t="s">
        <v>405</v>
      </c>
      <c r="C143" s="890" t="s">
        <v>357</v>
      </c>
      <c r="D143" s="890" t="s">
        <v>358</v>
      </c>
      <c r="E143" s="238" t="s">
        <v>65</v>
      </c>
      <c r="F143" s="592">
        <v>140</v>
      </c>
      <c r="G143" s="593">
        <v>7660</v>
      </c>
      <c r="H143" s="594">
        <v>3260</v>
      </c>
      <c r="I143" s="595">
        <v>5377</v>
      </c>
      <c r="J143" s="166">
        <f t="shared" si="115"/>
        <v>153</v>
      </c>
      <c r="K143" s="167">
        <f t="shared" si="116"/>
        <v>65</v>
      </c>
      <c r="L143" s="168">
        <f t="shared" si="117"/>
        <v>107</v>
      </c>
      <c r="M143" s="166">
        <f t="shared" si="118"/>
        <v>229</v>
      </c>
      <c r="N143" s="167">
        <f t="shared" si="119"/>
        <v>97</v>
      </c>
      <c r="O143" s="168">
        <f t="shared" si="120"/>
        <v>161</v>
      </c>
      <c r="P143" s="169">
        <f t="shared" si="121"/>
        <v>306</v>
      </c>
      <c r="Q143" s="169">
        <f t="shared" si="122"/>
        <v>130</v>
      </c>
      <c r="R143" s="169">
        <f t="shared" si="123"/>
        <v>215</v>
      </c>
      <c r="S143" s="584">
        <f t="shared" si="124"/>
        <v>2298</v>
      </c>
      <c r="T143" s="594">
        <f t="shared" si="125"/>
        <v>978</v>
      </c>
      <c r="U143" s="595">
        <f t="shared" si="126"/>
        <v>1613</v>
      </c>
      <c r="V143" s="166">
        <f t="shared" si="127"/>
        <v>4741</v>
      </c>
      <c r="W143" s="167">
        <f t="shared" si="128"/>
        <v>2013</v>
      </c>
      <c r="X143" s="168">
        <f t="shared" si="129"/>
        <v>3330</v>
      </c>
      <c r="Y143" s="166">
        <f t="shared" si="130"/>
        <v>5353</v>
      </c>
      <c r="Z143" s="167">
        <f t="shared" si="131"/>
        <v>2273</v>
      </c>
      <c r="AA143" s="168">
        <f t="shared" si="132"/>
        <v>3760</v>
      </c>
      <c r="AB143" s="166">
        <f t="shared" si="133"/>
        <v>5965</v>
      </c>
      <c r="AC143" s="167">
        <f t="shared" si="134"/>
        <v>2533</v>
      </c>
      <c r="AD143" s="168">
        <f t="shared" si="135"/>
        <v>4190</v>
      </c>
      <c r="AE143" s="166">
        <f t="shared" si="136"/>
        <v>6271</v>
      </c>
      <c r="AF143" s="167">
        <f t="shared" si="137"/>
        <v>2793</v>
      </c>
      <c r="AG143" s="168">
        <f t="shared" si="138"/>
        <v>4620</v>
      </c>
      <c r="AH143" s="166">
        <f t="shared" si="139"/>
        <v>6883</v>
      </c>
      <c r="AI143" s="167">
        <f t="shared" si="140"/>
        <v>2923</v>
      </c>
      <c r="AJ143" s="168">
        <f t="shared" si="141"/>
        <v>5265</v>
      </c>
      <c r="AK143" s="169">
        <f t="shared" si="142"/>
        <v>7813</v>
      </c>
      <c r="AL143" s="167">
        <f t="shared" si="143"/>
        <v>3325</v>
      </c>
      <c r="AM143" s="585">
        <f t="shared" si="144"/>
        <v>5484</v>
      </c>
      <c r="AN143" s="596">
        <v>0.04</v>
      </c>
      <c r="AO143" s="597">
        <v>4.2999999999999997E-2</v>
      </c>
      <c r="AP143" s="597">
        <v>4.5999999999999999E-2</v>
      </c>
      <c r="AQ143" s="598">
        <v>4.9000000000000002E-2</v>
      </c>
      <c r="AR143" s="599">
        <v>5.1999999999999998E-2</v>
      </c>
      <c r="AS143" s="586"/>
      <c r="AT143" s="587"/>
      <c r="AU143" s="587"/>
      <c r="AV143" s="588"/>
      <c r="AW143" s="589"/>
      <c r="AX143" s="596">
        <v>0.02</v>
      </c>
      <c r="AY143" s="598">
        <v>2.3E-2</v>
      </c>
      <c r="AZ143" s="598">
        <v>2.5999999999999999E-2</v>
      </c>
      <c r="BA143" s="598">
        <v>2.9000000000000001E-2</v>
      </c>
      <c r="BB143" s="598">
        <v>3.2000000000000001E-2</v>
      </c>
      <c r="BC143" s="590"/>
      <c r="BD143" s="631"/>
      <c r="BE143" s="596"/>
      <c r="BF143" s="598"/>
      <c r="BG143" s="598"/>
      <c r="BH143" s="598"/>
      <c r="BI143" s="598"/>
      <c r="BJ143" s="598"/>
      <c r="BK143" s="605"/>
      <c r="BL143" s="658">
        <f t="shared" si="145"/>
        <v>16300</v>
      </c>
      <c r="BM143" s="3">
        <f t="shared" si="146"/>
        <v>47</v>
      </c>
      <c r="BN143" s="3">
        <f t="shared" si="147"/>
        <v>20</v>
      </c>
      <c r="BO143" s="3">
        <f t="shared" si="148"/>
        <v>33</v>
      </c>
    </row>
    <row r="144" spans="2:67">
      <c r="B144" s="1269" t="s">
        <v>116</v>
      </c>
      <c r="C144" s="1265" t="s">
        <v>309</v>
      </c>
      <c r="D144" s="1265" t="s">
        <v>23</v>
      </c>
      <c r="E144" s="238" t="s">
        <v>125</v>
      </c>
      <c r="F144" s="592">
        <v>141</v>
      </c>
      <c r="G144" s="593">
        <v>6449</v>
      </c>
      <c r="H144" s="594">
        <v>8600</v>
      </c>
      <c r="I144" s="595">
        <v>6449</v>
      </c>
      <c r="J144" s="166">
        <f t="shared" si="115"/>
        <v>129</v>
      </c>
      <c r="K144" s="167">
        <f t="shared" si="116"/>
        <v>172</v>
      </c>
      <c r="L144" s="168">
        <f t="shared" si="117"/>
        <v>129</v>
      </c>
      <c r="M144" s="166">
        <f t="shared" si="118"/>
        <v>161</v>
      </c>
      <c r="N144" s="167">
        <f t="shared" si="119"/>
        <v>215</v>
      </c>
      <c r="O144" s="168">
        <f t="shared" si="120"/>
        <v>161</v>
      </c>
      <c r="P144" s="169">
        <f t="shared" si="121"/>
        <v>241</v>
      </c>
      <c r="Q144" s="169">
        <f t="shared" si="122"/>
        <v>322</v>
      </c>
      <c r="R144" s="169">
        <f t="shared" si="123"/>
        <v>241</v>
      </c>
      <c r="S144" s="584">
        <f t="shared" si="124"/>
        <v>1612</v>
      </c>
      <c r="T144" s="594">
        <f t="shared" si="125"/>
        <v>2150</v>
      </c>
      <c r="U144" s="595">
        <f t="shared" si="126"/>
        <v>1612</v>
      </c>
      <c r="V144" s="166">
        <f t="shared" si="127"/>
        <v>3673</v>
      </c>
      <c r="W144" s="167">
        <f t="shared" si="128"/>
        <v>4902</v>
      </c>
      <c r="X144" s="168">
        <f t="shared" si="129"/>
        <v>3673</v>
      </c>
      <c r="Y144" s="166">
        <f t="shared" si="130"/>
        <v>4396</v>
      </c>
      <c r="Z144" s="167">
        <f t="shared" si="131"/>
        <v>5546</v>
      </c>
      <c r="AA144" s="168">
        <f t="shared" si="132"/>
        <v>3914</v>
      </c>
      <c r="AB144" s="166">
        <f t="shared" si="133"/>
        <v>4637</v>
      </c>
      <c r="AC144" s="167">
        <f t="shared" si="134"/>
        <v>6512</v>
      </c>
      <c r="AD144" s="168">
        <f t="shared" si="135"/>
        <v>4637</v>
      </c>
      <c r="AE144" s="166">
        <f t="shared" si="136"/>
        <v>5119</v>
      </c>
      <c r="AF144" s="167">
        <f t="shared" si="137"/>
        <v>7156</v>
      </c>
      <c r="AG144" s="168">
        <f t="shared" si="138"/>
        <v>5601</v>
      </c>
      <c r="AH144" s="166">
        <f t="shared" si="139"/>
        <v>6083</v>
      </c>
      <c r="AI144" s="167">
        <f t="shared" si="140"/>
        <v>7800</v>
      </c>
      <c r="AJ144" s="168">
        <f t="shared" si="141"/>
        <v>6083</v>
      </c>
      <c r="AK144" s="169">
        <f t="shared" si="142"/>
        <v>6578</v>
      </c>
      <c r="AL144" s="167">
        <f t="shared" si="143"/>
        <v>8772</v>
      </c>
      <c r="AM144" s="585">
        <f t="shared" si="144"/>
        <v>6578</v>
      </c>
      <c r="AN144" s="596">
        <v>0.2</v>
      </c>
      <c r="AO144" s="597">
        <v>0.22</v>
      </c>
      <c r="AP144" s="597">
        <v>0.24</v>
      </c>
      <c r="AQ144" s="598">
        <v>0.26</v>
      </c>
      <c r="AR144" s="599">
        <v>0.28000000000000003</v>
      </c>
      <c r="AS144" s="586"/>
      <c r="AT144" s="587"/>
      <c r="AU144" s="587"/>
      <c r="AV144" s="588"/>
      <c r="AW144" s="589"/>
      <c r="AX144" s="596">
        <v>0.05</v>
      </c>
      <c r="AY144" s="598">
        <v>5.5E-2</v>
      </c>
      <c r="AZ144" s="598">
        <v>0.06</v>
      </c>
      <c r="BA144" s="598">
        <v>6.5000000000000002E-2</v>
      </c>
      <c r="BB144" s="598">
        <v>7.0000000000000007E-2</v>
      </c>
      <c r="BC144" s="590"/>
      <c r="BD144" s="631"/>
      <c r="BE144" s="596"/>
      <c r="BF144" s="598"/>
      <c r="BG144" s="598"/>
      <c r="BH144" s="598"/>
      <c r="BI144" s="598"/>
      <c r="BJ144" s="598"/>
      <c r="BK144" s="605"/>
      <c r="BL144" s="658">
        <f t="shared" si="145"/>
        <v>21500</v>
      </c>
      <c r="BM144" s="3">
        <f t="shared" si="146"/>
        <v>30</v>
      </c>
      <c r="BN144" s="3">
        <f t="shared" si="147"/>
        <v>40</v>
      </c>
      <c r="BO144" s="3">
        <f t="shared" si="148"/>
        <v>30</v>
      </c>
    </row>
    <row r="145" spans="2:67">
      <c r="B145" s="207" t="s">
        <v>369</v>
      </c>
      <c r="C145" s="883" t="s">
        <v>357</v>
      </c>
      <c r="D145" s="883" t="s">
        <v>358</v>
      </c>
      <c r="E145" s="238" t="s">
        <v>125</v>
      </c>
      <c r="F145" s="592">
        <v>142</v>
      </c>
      <c r="G145" s="593">
        <v>4654</v>
      </c>
      <c r="H145" s="594">
        <v>4387</v>
      </c>
      <c r="I145" s="595">
        <v>4254</v>
      </c>
      <c r="J145" s="166">
        <f t="shared" si="115"/>
        <v>93</v>
      </c>
      <c r="K145" s="167">
        <f t="shared" si="116"/>
        <v>87</v>
      </c>
      <c r="L145" s="168">
        <f t="shared" si="117"/>
        <v>85</v>
      </c>
      <c r="M145" s="166">
        <f t="shared" si="118"/>
        <v>139</v>
      </c>
      <c r="N145" s="167">
        <f t="shared" si="119"/>
        <v>131</v>
      </c>
      <c r="O145" s="168">
        <f t="shared" si="120"/>
        <v>127</v>
      </c>
      <c r="P145" s="169">
        <f t="shared" si="121"/>
        <v>186</v>
      </c>
      <c r="Q145" s="169">
        <f t="shared" si="122"/>
        <v>175</v>
      </c>
      <c r="R145" s="169">
        <f t="shared" si="123"/>
        <v>170</v>
      </c>
      <c r="S145" s="584">
        <f t="shared" si="124"/>
        <v>1396</v>
      </c>
      <c r="T145" s="594">
        <f t="shared" si="125"/>
        <v>1316</v>
      </c>
      <c r="U145" s="595">
        <f t="shared" si="126"/>
        <v>1276</v>
      </c>
      <c r="V145" s="166">
        <f t="shared" si="127"/>
        <v>2879</v>
      </c>
      <c r="W145" s="167">
        <f t="shared" si="128"/>
        <v>2713</v>
      </c>
      <c r="X145" s="168">
        <f t="shared" si="129"/>
        <v>2631</v>
      </c>
      <c r="Y145" s="166">
        <f t="shared" si="130"/>
        <v>3251</v>
      </c>
      <c r="Z145" s="167">
        <f t="shared" si="131"/>
        <v>3063</v>
      </c>
      <c r="AA145" s="168">
        <f t="shared" si="132"/>
        <v>2971</v>
      </c>
      <c r="AB145" s="166">
        <f t="shared" si="133"/>
        <v>3623</v>
      </c>
      <c r="AC145" s="167">
        <f t="shared" si="134"/>
        <v>3413</v>
      </c>
      <c r="AD145" s="168">
        <f t="shared" si="135"/>
        <v>3311</v>
      </c>
      <c r="AE145" s="166">
        <f t="shared" si="136"/>
        <v>3809</v>
      </c>
      <c r="AF145" s="167">
        <f t="shared" si="137"/>
        <v>3763</v>
      </c>
      <c r="AG145" s="168">
        <f t="shared" si="138"/>
        <v>3651</v>
      </c>
      <c r="AH145" s="166">
        <f t="shared" si="139"/>
        <v>4181</v>
      </c>
      <c r="AI145" s="167">
        <f t="shared" si="140"/>
        <v>3938</v>
      </c>
      <c r="AJ145" s="168">
        <f t="shared" si="141"/>
        <v>4161</v>
      </c>
      <c r="AK145" s="169">
        <f t="shared" si="142"/>
        <v>4747</v>
      </c>
      <c r="AL145" s="167">
        <f t="shared" si="143"/>
        <v>4474</v>
      </c>
      <c r="AM145" s="585">
        <f t="shared" si="144"/>
        <v>4339</v>
      </c>
      <c r="AN145" s="596">
        <v>0.25</v>
      </c>
      <c r="AO145" s="597">
        <v>0.28000000000000003</v>
      </c>
      <c r="AP145" s="597">
        <v>0.31</v>
      </c>
      <c r="AQ145" s="598">
        <v>0.34</v>
      </c>
      <c r="AR145" s="599">
        <v>0.37</v>
      </c>
      <c r="AS145" s="586"/>
      <c r="AT145" s="587"/>
      <c r="AU145" s="587"/>
      <c r="AV145" s="588"/>
      <c r="AW145" s="589"/>
      <c r="AX145" s="596">
        <v>0.02</v>
      </c>
      <c r="AY145" s="598">
        <v>2.3E-2</v>
      </c>
      <c r="AZ145" s="598">
        <v>2.5999999999999999E-2</v>
      </c>
      <c r="BA145" s="598">
        <v>2.9000000000000001E-2</v>
      </c>
      <c r="BB145" s="598">
        <v>3.2000000000000001E-2</v>
      </c>
      <c r="BC145" s="590"/>
      <c r="BD145" s="631"/>
      <c r="BE145" s="596"/>
      <c r="BF145" s="598"/>
      <c r="BG145" s="598"/>
      <c r="BH145" s="598"/>
      <c r="BI145" s="598"/>
      <c r="BJ145" s="598"/>
      <c r="BK145" s="605"/>
      <c r="BL145" s="658">
        <f t="shared" si="145"/>
        <v>13300</v>
      </c>
      <c r="BM145" s="3">
        <f t="shared" si="146"/>
        <v>35</v>
      </c>
      <c r="BN145" s="3">
        <f t="shared" si="147"/>
        <v>33</v>
      </c>
      <c r="BO145" s="3">
        <f t="shared" si="148"/>
        <v>32</v>
      </c>
    </row>
    <row r="146" spans="2:67">
      <c r="B146" s="207" t="s">
        <v>447</v>
      </c>
      <c r="C146" s="890" t="s">
        <v>357</v>
      </c>
      <c r="D146" s="890" t="s">
        <v>14</v>
      </c>
      <c r="E146" s="238" t="s">
        <v>125</v>
      </c>
      <c r="F146" s="592">
        <v>143</v>
      </c>
      <c r="G146" s="593">
        <v>5984</v>
      </c>
      <c r="H146" s="594">
        <v>2660</v>
      </c>
      <c r="I146" s="595">
        <v>4654</v>
      </c>
      <c r="J146" s="166">
        <f t="shared" si="115"/>
        <v>119</v>
      </c>
      <c r="K146" s="167">
        <f t="shared" si="116"/>
        <v>53</v>
      </c>
      <c r="L146" s="168">
        <f t="shared" si="117"/>
        <v>93</v>
      </c>
      <c r="M146" s="166">
        <f t="shared" si="118"/>
        <v>179</v>
      </c>
      <c r="N146" s="167">
        <f t="shared" si="119"/>
        <v>79</v>
      </c>
      <c r="O146" s="168">
        <f t="shared" si="120"/>
        <v>139</v>
      </c>
      <c r="P146" s="169">
        <f t="shared" si="121"/>
        <v>239</v>
      </c>
      <c r="Q146" s="169">
        <f t="shared" si="122"/>
        <v>106</v>
      </c>
      <c r="R146" s="169">
        <f t="shared" si="123"/>
        <v>186</v>
      </c>
      <c r="S146" s="584">
        <f t="shared" si="124"/>
        <v>1795</v>
      </c>
      <c r="T146" s="594">
        <f t="shared" si="125"/>
        <v>798</v>
      </c>
      <c r="U146" s="595">
        <f t="shared" si="126"/>
        <v>1396</v>
      </c>
      <c r="V146" s="166">
        <f t="shared" si="127"/>
        <v>3704</v>
      </c>
      <c r="W146" s="167">
        <f t="shared" si="128"/>
        <v>1641</v>
      </c>
      <c r="X146" s="168">
        <f t="shared" si="129"/>
        <v>2879</v>
      </c>
      <c r="Y146" s="166">
        <f t="shared" si="130"/>
        <v>4182</v>
      </c>
      <c r="Z146" s="167">
        <f t="shared" si="131"/>
        <v>1853</v>
      </c>
      <c r="AA146" s="168">
        <f t="shared" si="132"/>
        <v>3251</v>
      </c>
      <c r="AB146" s="166">
        <f t="shared" si="133"/>
        <v>4660</v>
      </c>
      <c r="AC146" s="167">
        <f t="shared" si="134"/>
        <v>2065</v>
      </c>
      <c r="AD146" s="168">
        <f t="shared" si="135"/>
        <v>3623</v>
      </c>
      <c r="AE146" s="166">
        <f t="shared" si="136"/>
        <v>5138</v>
      </c>
      <c r="AF146" s="167">
        <f t="shared" si="137"/>
        <v>2277</v>
      </c>
      <c r="AG146" s="168">
        <f t="shared" si="138"/>
        <v>3809</v>
      </c>
      <c r="AH146" s="166">
        <f t="shared" si="139"/>
        <v>5377</v>
      </c>
      <c r="AI146" s="167">
        <f t="shared" si="140"/>
        <v>2595</v>
      </c>
      <c r="AJ146" s="168">
        <f t="shared" si="141"/>
        <v>4181</v>
      </c>
      <c r="AK146" s="169">
        <f t="shared" si="142"/>
        <v>6103</v>
      </c>
      <c r="AL146" s="167">
        <f t="shared" si="143"/>
        <v>2713</v>
      </c>
      <c r="AM146" s="585">
        <f t="shared" si="144"/>
        <v>4747</v>
      </c>
      <c r="AN146" s="596">
        <v>0.2</v>
      </c>
      <c r="AO146" s="597">
        <v>0.20499999999999999</v>
      </c>
      <c r="AP146" s="597">
        <v>0.21</v>
      </c>
      <c r="AQ146" s="598">
        <v>0.215</v>
      </c>
      <c r="AR146" s="599">
        <v>0.22</v>
      </c>
      <c r="AS146" s="586"/>
      <c r="AT146" s="587"/>
      <c r="AU146" s="587"/>
      <c r="AV146" s="588"/>
      <c r="AW146" s="589"/>
      <c r="AX146" s="596">
        <v>0.05</v>
      </c>
      <c r="AY146" s="598">
        <v>5.5E-2</v>
      </c>
      <c r="AZ146" s="598">
        <v>0.06</v>
      </c>
      <c r="BA146" s="598">
        <v>6.5000000000000002E-2</v>
      </c>
      <c r="BB146" s="598">
        <v>7.0000000000000007E-2</v>
      </c>
      <c r="BC146" s="590"/>
      <c r="BD146" s="631"/>
      <c r="BE146" s="596"/>
      <c r="BF146" s="598"/>
      <c r="BG146" s="598"/>
      <c r="BH146" s="598"/>
      <c r="BI146" s="598"/>
      <c r="BJ146" s="598"/>
      <c r="BK146" s="605"/>
      <c r="BL146" s="658">
        <f t="shared" si="145"/>
        <v>13300</v>
      </c>
      <c r="BM146" s="3">
        <f t="shared" si="146"/>
        <v>45</v>
      </c>
      <c r="BN146" s="3">
        <f t="shared" si="147"/>
        <v>20</v>
      </c>
      <c r="BO146" s="3">
        <f t="shared" si="148"/>
        <v>35</v>
      </c>
    </row>
    <row r="147" spans="2:67">
      <c r="B147" s="207" t="s">
        <v>1968</v>
      </c>
      <c r="C147" s="890" t="s">
        <v>309</v>
      </c>
      <c r="D147" s="890" t="s">
        <v>14</v>
      </c>
      <c r="E147" s="238" t="s">
        <v>126</v>
      </c>
      <c r="F147" s="592">
        <v>144</v>
      </c>
      <c r="G147" s="593">
        <v>10913</v>
      </c>
      <c r="H147" s="594">
        <v>6784</v>
      </c>
      <c r="I147" s="595">
        <v>11800</v>
      </c>
      <c r="J147" s="166">
        <f t="shared" si="115"/>
        <v>218</v>
      </c>
      <c r="K147" s="167">
        <f t="shared" si="116"/>
        <v>135</v>
      </c>
      <c r="L147" s="168">
        <f t="shared" si="117"/>
        <v>236</v>
      </c>
      <c r="M147" s="166">
        <f t="shared" si="118"/>
        <v>272</v>
      </c>
      <c r="N147" s="167">
        <f t="shared" si="119"/>
        <v>169</v>
      </c>
      <c r="O147" s="168">
        <f t="shared" si="120"/>
        <v>295</v>
      </c>
      <c r="P147" s="169">
        <f t="shared" si="121"/>
        <v>409</v>
      </c>
      <c r="Q147" s="169">
        <f t="shared" si="122"/>
        <v>254</v>
      </c>
      <c r="R147" s="169">
        <f t="shared" si="123"/>
        <v>442</v>
      </c>
      <c r="S147" s="584">
        <f t="shared" si="124"/>
        <v>2728</v>
      </c>
      <c r="T147" s="594">
        <f t="shared" si="125"/>
        <v>1696</v>
      </c>
      <c r="U147" s="595">
        <f t="shared" si="126"/>
        <v>2950</v>
      </c>
      <c r="V147" s="166">
        <f t="shared" si="127"/>
        <v>6210</v>
      </c>
      <c r="W147" s="167">
        <f t="shared" si="128"/>
        <v>3859</v>
      </c>
      <c r="X147" s="168">
        <f t="shared" si="129"/>
        <v>6726</v>
      </c>
      <c r="Y147" s="166">
        <f t="shared" si="130"/>
        <v>6619</v>
      </c>
      <c r="Z147" s="167">
        <f t="shared" si="131"/>
        <v>4621</v>
      </c>
      <c r="AA147" s="168">
        <f t="shared" si="132"/>
        <v>7610</v>
      </c>
      <c r="AB147" s="166">
        <f t="shared" si="133"/>
        <v>7846</v>
      </c>
      <c r="AC147" s="167">
        <f t="shared" si="134"/>
        <v>4875</v>
      </c>
      <c r="AD147" s="168">
        <f t="shared" si="135"/>
        <v>8936</v>
      </c>
      <c r="AE147" s="166">
        <f t="shared" si="136"/>
        <v>9482</v>
      </c>
      <c r="AF147" s="167">
        <f t="shared" si="137"/>
        <v>5383</v>
      </c>
      <c r="AG147" s="168">
        <f t="shared" si="138"/>
        <v>9820</v>
      </c>
      <c r="AH147" s="166">
        <f t="shared" si="139"/>
        <v>10300</v>
      </c>
      <c r="AI147" s="167">
        <f t="shared" si="140"/>
        <v>6399</v>
      </c>
      <c r="AJ147" s="168">
        <f t="shared" si="141"/>
        <v>10704</v>
      </c>
      <c r="AK147" s="169">
        <f t="shared" si="142"/>
        <v>11131</v>
      </c>
      <c r="AL147" s="167">
        <f t="shared" si="143"/>
        <v>6919</v>
      </c>
      <c r="AM147" s="585">
        <f t="shared" si="144"/>
        <v>12036</v>
      </c>
      <c r="AN147" s="596">
        <v>0.16</v>
      </c>
      <c r="AO147" s="597">
        <v>0.17</v>
      </c>
      <c r="AP147" s="597">
        <v>0.18</v>
      </c>
      <c r="AQ147" s="598">
        <v>0.19</v>
      </c>
      <c r="AR147" s="599">
        <v>0.2</v>
      </c>
      <c r="AS147" s="586"/>
      <c r="AT147" s="587"/>
      <c r="AU147" s="587"/>
      <c r="AV147" s="588"/>
      <c r="AW147" s="589"/>
      <c r="AX147" s="596">
        <v>0.04</v>
      </c>
      <c r="AY147" s="598">
        <v>4.2999999999999997E-2</v>
      </c>
      <c r="AZ147" s="598">
        <v>4.5999999999999999E-2</v>
      </c>
      <c r="BA147" s="598">
        <v>4.9000000000000002E-2</v>
      </c>
      <c r="BB147" s="598">
        <v>5.1999999999999998E-2</v>
      </c>
      <c r="BC147" s="590"/>
      <c r="BD147" s="631"/>
      <c r="BE147" s="596"/>
      <c r="BF147" s="598"/>
      <c r="BG147" s="598"/>
      <c r="BH147" s="598"/>
      <c r="BI147" s="598"/>
      <c r="BJ147" s="598"/>
      <c r="BK147" s="605"/>
      <c r="BL147" s="658">
        <f t="shared" si="145"/>
        <v>29500</v>
      </c>
      <c r="BM147" s="3">
        <f t="shared" si="146"/>
        <v>37</v>
      </c>
      <c r="BN147" s="3">
        <f t="shared" si="147"/>
        <v>23</v>
      </c>
      <c r="BO147" s="3">
        <f t="shared" si="148"/>
        <v>40</v>
      </c>
    </row>
    <row r="148" spans="2:67">
      <c r="B148" s="1269" t="s">
        <v>1969</v>
      </c>
      <c r="C148" s="1265" t="s">
        <v>309</v>
      </c>
      <c r="D148" s="1265" t="s">
        <v>70</v>
      </c>
      <c r="E148" s="238" t="s">
        <v>126</v>
      </c>
      <c r="F148" s="1270">
        <v>145</v>
      </c>
      <c r="G148" s="593">
        <v>10324</v>
      </c>
      <c r="H148" s="594">
        <v>9733</v>
      </c>
      <c r="I148" s="595">
        <v>9440</v>
      </c>
      <c r="J148" s="166">
        <f t="shared" si="115"/>
        <v>206</v>
      </c>
      <c r="K148" s="167">
        <f t="shared" si="116"/>
        <v>194</v>
      </c>
      <c r="L148" s="168">
        <f t="shared" si="117"/>
        <v>188</v>
      </c>
      <c r="M148" s="166">
        <f t="shared" si="118"/>
        <v>258</v>
      </c>
      <c r="N148" s="167">
        <f t="shared" si="119"/>
        <v>243</v>
      </c>
      <c r="O148" s="168">
        <f t="shared" si="120"/>
        <v>236</v>
      </c>
      <c r="P148" s="169">
        <f t="shared" si="121"/>
        <v>387</v>
      </c>
      <c r="Q148" s="169">
        <f t="shared" si="122"/>
        <v>365</v>
      </c>
      <c r="R148" s="169">
        <f t="shared" si="123"/>
        <v>354</v>
      </c>
      <c r="S148" s="584">
        <f t="shared" si="124"/>
        <v>2581</v>
      </c>
      <c r="T148" s="594">
        <f t="shared" si="125"/>
        <v>2433</v>
      </c>
      <c r="U148" s="595">
        <f t="shared" si="126"/>
        <v>2360</v>
      </c>
      <c r="V148" s="166">
        <f t="shared" si="127"/>
        <v>5883</v>
      </c>
      <c r="W148" s="167">
        <f t="shared" si="128"/>
        <v>5543</v>
      </c>
      <c r="X148" s="168">
        <f t="shared" si="129"/>
        <v>5380</v>
      </c>
      <c r="Y148" s="166">
        <f t="shared" si="130"/>
        <v>6270</v>
      </c>
      <c r="Z148" s="167">
        <f t="shared" si="131"/>
        <v>6273</v>
      </c>
      <c r="AA148" s="168">
        <f t="shared" si="132"/>
        <v>6442</v>
      </c>
      <c r="AB148" s="166">
        <f t="shared" si="133"/>
        <v>7431</v>
      </c>
      <c r="AC148" s="167">
        <f t="shared" si="134"/>
        <v>7368</v>
      </c>
      <c r="AD148" s="168">
        <f t="shared" si="135"/>
        <v>6796</v>
      </c>
      <c r="AE148" s="166">
        <f t="shared" si="136"/>
        <v>8979</v>
      </c>
      <c r="AF148" s="167">
        <f t="shared" si="137"/>
        <v>8098</v>
      </c>
      <c r="AG148" s="168">
        <f t="shared" si="138"/>
        <v>7504</v>
      </c>
      <c r="AH148" s="166">
        <f t="shared" si="139"/>
        <v>9753</v>
      </c>
      <c r="AI148" s="167">
        <f t="shared" si="140"/>
        <v>8828</v>
      </c>
      <c r="AJ148" s="168">
        <f t="shared" si="141"/>
        <v>8920</v>
      </c>
      <c r="AK148" s="169">
        <f t="shared" si="142"/>
        <v>10530</v>
      </c>
      <c r="AL148" s="167">
        <f t="shared" si="143"/>
        <v>9927</v>
      </c>
      <c r="AM148" s="585">
        <f t="shared" si="144"/>
        <v>9628</v>
      </c>
      <c r="AN148" s="596">
        <v>0.22</v>
      </c>
      <c r="AO148" s="597">
        <v>0.24</v>
      </c>
      <c r="AP148" s="597">
        <v>0.26</v>
      </c>
      <c r="AQ148" s="598">
        <v>0.28000000000000003</v>
      </c>
      <c r="AR148" s="599">
        <v>0.3</v>
      </c>
      <c r="AS148" s="586"/>
      <c r="AT148" s="587"/>
      <c r="AU148" s="587"/>
      <c r="AV148" s="588"/>
      <c r="AW148" s="589"/>
      <c r="AX148" s="596">
        <v>0.05</v>
      </c>
      <c r="AY148" s="598">
        <v>5.5E-2</v>
      </c>
      <c r="AZ148" s="598">
        <v>0.06</v>
      </c>
      <c r="BA148" s="598">
        <v>6.5000000000000002E-2</v>
      </c>
      <c r="BB148" s="598">
        <v>7.0000000000000007E-2</v>
      </c>
      <c r="BC148" s="590"/>
      <c r="BD148" s="631"/>
      <c r="BE148" s="596"/>
      <c r="BF148" s="598"/>
      <c r="BG148" s="598"/>
      <c r="BH148" s="598"/>
      <c r="BI148" s="598"/>
      <c r="BJ148" s="598"/>
      <c r="BK148" s="605"/>
      <c r="BL148" s="658">
        <f t="shared" si="145"/>
        <v>29500</v>
      </c>
      <c r="BM148" s="3">
        <f t="shared" si="146"/>
        <v>35</v>
      </c>
      <c r="BN148" s="3">
        <f t="shared" si="147"/>
        <v>33</v>
      </c>
      <c r="BO148" s="3">
        <f t="shared" si="148"/>
        <v>32</v>
      </c>
    </row>
    <row r="149" spans="2:67">
      <c r="B149" s="207" t="s">
        <v>1970</v>
      </c>
      <c r="C149" s="1265" t="s">
        <v>309</v>
      </c>
      <c r="D149" s="1265" t="s">
        <v>13</v>
      </c>
      <c r="E149" s="1267" t="s">
        <v>126</v>
      </c>
      <c r="F149" s="592">
        <v>146</v>
      </c>
      <c r="G149" s="593">
        <v>13629</v>
      </c>
      <c r="H149" s="594">
        <v>5800</v>
      </c>
      <c r="I149" s="595">
        <v>9569</v>
      </c>
      <c r="J149" s="166">
        <f t="shared" si="115"/>
        <v>272</v>
      </c>
      <c r="K149" s="167">
        <f t="shared" si="116"/>
        <v>116</v>
      </c>
      <c r="L149" s="168">
        <f t="shared" si="117"/>
        <v>191</v>
      </c>
      <c r="M149" s="166">
        <f t="shared" si="118"/>
        <v>340</v>
      </c>
      <c r="N149" s="167">
        <f t="shared" si="119"/>
        <v>145</v>
      </c>
      <c r="O149" s="168">
        <f t="shared" si="120"/>
        <v>239</v>
      </c>
      <c r="P149" s="169">
        <f t="shared" si="121"/>
        <v>511</v>
      </c>
      <c r="Q149" s="169">
        <f t="shared" si="122"/>
        <v>217</v>
      </c>
      <c r="R149" s="169">
        <f t="shared" si="123"/>
        <v>358</v>
      </c>
      <c r="S149" s="584">
        <f t="shared" si="124"/>
        <v>3407</v>
      </c>
      <c r="T149" s="594">
        <f t="shared" si="125"/>
        <v>1450</v>
      </c>
      <c r="U149" s="595">
        <f t="shared" si="126"/>
        <v>2392</v>
      </c>
      <c r="V149" s="166">
        <f t="shared" si="127"/>
        <v>7759</v>
      </c>
      <c r="W149" s="167">
        <f t="shared" si="128"/>
        <v>3306</v>
      </c>
      <c r="X149" s="168">
        <f t="shared" si="129"/>
        <v>5451</v>
      </c>
      <c r="Y149" s="166">
        <f t="shared" si="130"/>
        <v>8781</v>
      </c>
      <c r="Z149" s="167">
        <f t="shared" si="131"/>
        <v>3523</v>
      </c>
      <c r="AA149" s="168">
        <f t="shared" si="132"/>
        <v>6525</v>
      </c>
      <c r="AB149" s="166">
        <f t="shared" si="133"/>
        <v>10314</v>
      </c>
      <c r="AC149" s="167">
        <f t="shared" si="134"/>
        <v>4174</v>
      </c>
      <c r="AD149" s="168">
        <f t="shared" si="135"/>
        <v>6883</v>
      </c>
      <c r="AE149" s="166">
        <f t="shared" si="136"/>
        <v>11336</v>
      </c>
      <c r="AF149" s="167">
        <f t="shared" si="137"/>
        <v>5042</v>
      </c>
      <c r="AG149" s="168">
        <f t="shared" si="138"/>
        <v>7599</v>
      </c>
      <c r="AH149" s="166">
        <f t="shared" si="139"/>
        <v>12358</v>
      </c>
      <c r="AI149" s="167">
        <f t="shared" si="140"/>
        <v>5476</v>
      </c>
      <c r="AJ149" s="168">
        <f t="shared" si="141"/>
        <v>9031</v>
      </c>
      <c r="AK149" s="169">
        <f t="shared" si="142"/>
        <v>13901</v>
      </c>
      <c r="AL149" s="167">
        <f t="shared" si="143"/>
        <v>5916</v>
      </c>
      <c r="AM149" s="585">
        <f t="shared" si="144"/>
        <v>9760</v>
      </c>
      <c r="AN149" s="596">
        <v>0.3</v>
      </c>
      <c r="AO149" s="597">
        <v>0.33</v>
      </c>
      <c r="AP149" s="597">
        <v>0.36</v>
      </c>
      <c r="AQ149" s="598">
        <v>0.39</v>
      </c>
      <c r="AR149" s="599">
        <v>0.42</v>
      </c>
      <c r="AS149" s="586"/>
      <c r="AT149" s="587"/>
      <c r="AU149" s="587"/>
      <c r="AV149" s="588"/>
      <c r="AW149" s="589"/>
      <c r="AX149" s="596">
        <v>0.05</v>
      </c>
      <c r="AY149" s="598">
        <v>5.5E-2</v>
      </c>
      <c r="AZ149" s="598">
        <v>0.06</v>
      </c>
      <c r="BA149" s="598">
        <v>6.5000000000000002E-2</v>
      </c>
      <c r="BB149" s="598">
        <v>7.0000000000000007E-2</v>
      </c>
      <c r="BC149" s="590"/>
      <c r="BD149" s="631"/>
      <c r="BE149" s="596"/>
      <c r="BF149" s="598"/>
      <c r="BG149" s="598"/>
      <c r="BH149" s="598"/>
      <c r="BI149" s="598"/>
      <c r="BJ149" s="598"/>
      <c r="BK149" s="605"/>
      <c r="BL149" s="658">
        <f t="shared" si="145"/>
        <v>29000</v>
      </c>
      <c r="BM149" s="3">
        <f t="shared" si="146"/>
        <v>47</v>
      </c>
      <c r="BN149" s="3">
        <f t="shared" si="147"/>
        <v>20</v>
      </c>
      <c r="BO149" s="3">
        <f t="shared" si="148"/>
        <v>33</v>
      </c>
    </row>
    <row r="150" spans="2:67">
      <c r="B150" s="207" t="s">
        <v>370</v>
      </c>
      <c r="C150" s="890" t="s">
        <v>357</v>
      </c>
      <c r="D150" s="890" t="s">
        <v>358</v>
      </c>
      <c r="E150" s="238" t="s">
        <v>65</v>
      </c>
      <c r="F150" s="592">
        <v>147</v>
      </c>
      <c r="G150" s="593">
        <v>5477</v>
      </c>
      <c r="H150" s="594">
        <v>5477</v>
      </c>
      <c r="I150" s="595">
        <v>5643</v>
      </c>
      <c r="J150" s="166">
        <f t="shared" si="115"/>
        <v>109</v>
      </c>
      <c r="K150" s="167">
        <f t="shared" si="116"/>
        <v>109</v>
      </c>
      <c r="L150" s="168">
        <f t="shared" si="117"/>
        <v>112</v>
      </c>
      <c r="M150" s="166">
        <f t="shared" si="118"/>
        <v>164</v>
      </c>
      <c r="N150" s="167">
        <f t="shared" si="119"/>
        <v>164</v>
      </c>
      <c r="O150" s="168">
        <f t="shared" si="120"/>
        <v>169</v>
      </c>
      <c r="P150" s="169">
        <f t="shared" si="121"/>
        <v>219</v>
      </c>
      <c r="Q150" s="169">
        <f t="shared" si="122"/>
        <v>219</v>
      </c>
      <c r="R150" s="169">
        <f t="shared" si="123"/>
        <v>225</v>
      </c>
      <c r="S150" s="584">
        <f t="shared" si="124"/>
        <v>1643</v>
      </c>
      <c r="T150" s="594">
        <f t="shared" si="125"/>
        <v>1643</v>
      </c>
      <c r="U150" s="595">
        <f t="shared" si="126"/>
        <v>1693</v>
      </c>
      <c r="V150" s="166">
        <f t="shared" si="127"/>
        <v>3392</v>
      </c>
      <c r="W150" s="167">
        <f t="shared" si="128"/>
        <v>3392</v>
      </c>
      <c r="X150" s="168">
        <f t="shared" si="129"/>
        <v>3495</v>
      </c>
      <c r="Y150" s="166">
        <f t="shared" si="130"/>
        <v>3830</v>
      </c>
      <c r="Z150" s="167">
        <f t="shared" si="131"/>
        <v>3830</v>
      </c>
      <c r="AA150" s="168">
        <f t="shared" si="132"/>
        <v>3945</v>
      </c>
      <c r="AB150" s="166">
        <f t="shared" si="133"/>
        <v>4268</v>
      </c>
      <c r="AC150" s="167">
        <f t="shared" si="134"/>
        <v>4268</v>
      </c>
      <c r="AD150" s="168">
        <f t="shared" si="135"/>
        <v>4395</v>
      </c>
      <c r="AE150" s="166">
        <f t="shared" si="136"/>
        <v>4487</v>
      </c>
      <c r="AF150" s="167">
        <f t="shared" si="137"/>
        <v>4706</v>
      </c>
      <c r="AG150" s="168">
        <f t="shared" si="138"/>
        <v>4845</v>
      </c>
      <c r="AH150" s="166">
        <f t="shared" si="139"/>
        <v>4925</v>
      </c>
      <c r="AI150" s="167">
        <f t="shared" si="140"/>
        <v>4925</v>
      </c>
      <c r="AJ150" s="168">
        <f t="shared" si="141"/>
        <v>5520</v>
      </c>
      <c r="AK150" s="169">
        <f t="shared" si="142"/>
        <v>5586</v>
      </c>
      <c r="AL150" s="167">
        <f t="shared" si="143"/>
        <v>5586</v>
      </c>
      <c r="AM150" s="585">
        <f t="shared" si="144"/>
        <v>5755</v>
      </c>
      <c r="AN150" s="596">
        <v>0.04</v>
      </c>
      <c r="AO150" s="597">
        <v>4.2999999999999997E-2</v>
      </c>
      <c r="AP150" s="597">
        <v>4.5999999999999999E-2</v>
      </c>
      <c r="AQ150" s="598">
        <v>4.9000000000000002E-2</v>
      </c>
      <c r="AR150" s="599">
        <v>5.1999999999999998E-2</v>
      </c>
      <c r="AS150" s="586"/>
      <c r="AT150" s="587"/>
      <c r="AU150" s="587"/>
      <c r="AV150" s="588"/>
      <c r="AW150" s="589"/>
      <c r="AX150" s="596">
        <v>0.02</v>
      </c>
      <c r="AY150" s="598">
        <v>2.3E-2</v>
      </c>
      <c r="AZ150" s="598">
        <v>2.5999999999999999E-2</v>
      </c>
      <c r="BA150" s="598">
        <v>2.9000000000000001E-2</v>
      </c>
      <c r="BB150" s="598">
        <v>3.2000000000000001E-2</v>
      </c>
      <c r="BC150" s="590"/>
      <c r="BD150" s="631"/>
      <c r="BE150" s="596"/>
      <c r="BF150" s="598"/>
      <c r="BG150" s="598"/>
      <c r="BH150" s="598"/>
      <c r="BI150" s="598"/>
      <c r="BJ150" s="598"/>
      <c r="BK150" s="605"/>
      <c r="BL150" s="658">
        <f t="shared" si="145"/>
        <v>16600</v>
      </c>
      <c r="BM150" s="3">
        <f t="shared" si="146"/>
        <v>33</v>
      </c>
      <c r="BN150" s="3">
        <f t="shared" si="147"/>
        <v>33</v>
      </c>
      <c r="BO150" s="3">
        <f t="shared" si="148"/>
        <v>34</v>
      </c>
    </row>
    <row r="151" spans="2:67">
      <c r="B151" s="207" t="s">
        <v>406</v>
      </c>
      <c r="C151" s="890" t="s">
        <v>357</v>
      </c>
      <c r="D151" s="890" t="s">
        <v>360</v>
      </c>
      <c r="E151" s="238" t="s">
        <v>65</v>
      </c>
      <c r="F151" s="592">
        <v>148</v>
      </c>
      <c r="G151" s="593">
        <v>4647</v>
      </c>
      <c r="H151" s="594">
        <v>4480</v>
      </c>
      <c r="I151" s="595">
        <v>7470</v>
      </c>
      <c r="J151" s="166">
        <f t="shared" si="115"/>
        <v>92</v>
      </c>
      <c r="K151" s="167">
        <f t="shared" si="116"/>
        <v>89</v>
      </c>
      <c r="L151" s="168">
        <f t="shared" si="117"/>
        <v>149</v>
      </c>
      <c r="M151" s="166">
        <f t="shared" si="118"/>
        <v>139</v>
      </c>
      <c r="N151" s="167">
        <f t="shared" si="119"/>
        <v>134</v>
      </c>
      <c r="O151" s="168">
        <f t="shared" si="120"/>
        <v>224</v>
      </c>
      <c r="P151" s="169">
        <f t="shared" si="121"/>
        <v>185</v>
      </c>
      <c r="Q151" s="169">
        <f t="shared" si="122"/>
        <v>179</v>
      </c>
      <c r="R151" s="169">
        <f t="shared" si="123"/>
        <v>298</v>
      </c>
      <c r="S151" s="584">
        <f t="shared" si="124"/>
        <v>1394</v>
      </c>
      <c r="T151" s="594">
        <f t="shared" si="125"/>
        <v>1344</v>
      </c>
      <c r="U151" s="595">
        <f t="shared" si="126"/>
        <v>2241</v>
      </c>
      <c r="V151" s="166">
        <f t="shared" si="127"/>
        <v>2876</v>
      </c>
      <c r="W151" s="167">
        <f t="shared" si="128"/>
        <v>2773</v>
      </c>
      <c r="X151" s="168">
        <f t="shared" si="129"/>
        <v>4630</v>
      </c>
      <c r="Y151" s="166">
        <f t="shared" si="130"/>
        <v>3246</v>
      </c>
      <c r="Z151" s="167">
        <f t="shared" si="131"/>
        <v>3131</v>
      </c>
      <c r="AA151" s="168">
        <f t="shared" si="132"/>
        <v>5226</v>
      </c>
      <c r="AB151" s="166">
        <f t="shared" si="133"/>
        <v>3616</v>
      </c>
      <c r="AC151" s="167">
        <f t="shared" si="134"/>
        <v>3489</v>
      </c>
      <c r="AD151" s="168">
        <f t="shared" si="135"/>
        <v>5822</v>
      </c>
      <c r="AE151" s="166">
        <f t="shared" si="136"/>
        <v>3986</v>
      </c>
      <c r="AF151" s="167">
        <f t="shared" si="137"/>
        <v>3847</v>
      </c>
      <c r="AG151" s="168">
        <f t="shared" si="138"/>
        <v>6120</v>
      </c>
      <c r="AH151" s="166">
        <f t="shared" si="139"/>
        <v>4171</v>
      </c>
      <c r="AI151" s="167">
        <f t="shared" si="140"/>
        <v>4384</v>
      </c>
      <c r="AJ151" s="168">
        <f t="shared" si="141"/>
        <v>6716</v>
      </c>
      <c r="AK151" s="169">
        <f t="shared" si="142"/>
        <v>4739</v>
      </c>
      <c r="AL151" s="167">
        <f t="shared" si="143"/>
        <v>4569</v>
      </c>
      <c r="AM151" s="585">
        <f t="shared" si="144"/>
        <v>7619</v>
      </c>
      <c r="AN151" s="596">
        <v>0.05</v>
      </c>
      <c r="AO151" s="597">
        <v>5.5E-2</v>
      </c>
      <c r="AP151" s="597">
        <v>0.06</v>
      </c>
      <c r="AQ151" s="598">
        <v>6.5000000000000002E-2</v>
      </c>
      <c r="AR151" s="599">
        <v>7.0000000000000007E-2</v>
      </c>
      <c r="AS151" s="586"/>
      <c r="AT151" s="587"/>
      <c r="AU151" s="587"/>
      <c r="AV151" s="588"/>
      <c r="AW151" s="589"/>
      <c r="AX151" s="596">
        <v>0.03</v>
      </c>
      <c r="AY151" s="598">
        <v>3.5000000000000003E-2</v>
      </c>
      <c r="AZ151" s="598">
        <v>0.04</v>
      </c>
      <c r="BA151" s="598">
        <v>4.4999999999999998E-2</v>
      </c>
      <c r="BB151" s="598">
        <v>0.05</v>
      </c>
      <c r="BC151" s="590"/>
      <c r="BD151" s="631"/>
      <c r="BE151" s="596"/>
      <c r="BF151" s="598"/>
      <c r="BG151" s="598"/>
      <c r="BH151" s="598"/>
      <c r="BI151" s="598"/>
      <c r="BJ151" s="598"/>
      <c r="BK151" s="605"/>
      <c r="BL151" s="658">
        <f t="shared" si="145"/>
        <v>16600</v>
      </c>
      <c r="BM151" s="3">
        <f t="shared" si="146"/>
        <v>28</v>
      </c>
      <c r="BN151" s="3">
        <f t="shared" si="147"/>
        <v>27</v>
      </c>
      <c r="BO151" s="3">
        <f t="shared" si="148"/>
        <v>45</v>
      </c>
    </row>
    <row r="152" spans="2:67">
      <c r="B152" s="1269" t="s">
        <v>83</v>
      </c>
      <c r="C152" s="1265" t="s">
        <v>309</v>
      </c>
      <c r="D152" s="1265" t="s">
        <v>14</v>
      </c>
      <c r="E152" s="1267" t="s">
        <v>65</v>
      </c>
      <c r="F152" s="1270">
        <v>149</v>
      </c>
      <c r="G152" s="593">
        <v>9449</v>
      </c>
      <c r="H152" s="594">
        <v>8640</v>
      </c>
      <c r="I152" s="595">
        <v>8909</v>
      </c>
      <c r="J152" s="166">
        <f t="shared" si="115"/>
        <v>189</v>
      </c>
      <c r="K152" s="167">
        <f t="shared" si="116"/>
        <v>172</v>
      </c>
      <c r="L152" s="168">
        <f t="shared" si="117"/>
        <v>178</v>
      </c>
      <c r="M152" s="166">
        <f t="shared" si="118"/>
        <v>236</v>
      </c>
      <c r="N152" s="167">
        <f t="shared" si="119"/>
        <v>216</v>
      </c>
      <c r="O152" s="168">
        <f t="shared" si="120"/>
        <v>222</v>
      </c>
      <c r="P152" s="169">
        <f t="shared" si="121"/>
        <v>354</v>
      </c>
      <c r="Q152" s="169">
        <f t="shared" si="122"/>
        <v>324</v>
      </c>
      <c r="R152" s="169">
        <f t="shared" si="123"/>
        <v>334</v>
      </c>
      <c r="S152" s="584">
        <f t="shared" si="124"/>
        <v>2362</v>
      </c>
      <c r="T152" s="594">
        <f t="shared" si="125"/>
        <v>2160</v>
      </c>
      <c r="U152" s="595">
        <f t="shared" si="126"/>
        <v>2227</v>
      </c>
      <c r="V152" s="166">
        <f t="shared" si="127"/>
        <v>5383</v>
      </c>
      <c r="W152" s="167">
        <f t="shared" si="128"/>
        <v>4924</v>
      </c>
      <c r="X152" s="168">
        <f t="shared" si="129"/>
        <v>5069</v>
      </c>
      <c r="Y152" s="166">
        <f t="shared" si="130"/>
        <v>5737</v>
      </c>
      <c r="Z152" s="167">
        <f t="shared" si="131"/>
        <v>5896</v>
      </c>
      <c r="AA152" s="168">
        <f t="shared" si="132"/>
        <v>5737</v>
      </c>
      <c r="AB152" s="166">
        <f t="shared" si="133"/>
        <v>6799</v>
      </c>
      <c r="AC152" s="167">
        <f t="shared" si="134"/>
        <v>6220</v>
      </c>
      <c r="AD152" s="168">
        <f t="shared" si="135"/>
        <v>6739</v>
      </c>
      <c r="AE152" s="166">
        <f t="shared" si="136"/>
        <v>8215</v>
      </c>
      <c r="AF152" s="167">
        <f t="shared" si="137"/>
        <v>6868</v>
      </c>
      <c r="AG152" s="168">
        <f t="shared" si="138"/>
        <v>7407</v>
      </c>
      <c r="AH152" s="166">
        <f t="shared" si="139"/>
        <v>8923</v>
      </c>
      <c r="AI152" s="167">
        <f t="shared" si="140"/>
        <v>8164</v>
      </c>
      <c r="AJ152" s="168">
        <f t="shared" si="141"/>
        <v>8075</v>
      </c>
      <c r="AK152" s="169">
        <f t="shared" si="142"/>
        <v>9638</v>
      </c>
      <c r="AL152" s="167">
        <f t="shared" si="143"/>
        <v>8812</v>
      </c>
      <c r="AM152" s="585">
        <f t="shared" si="144"/>
        <v>9087</v>
      </c>
      <c r="AN152" s="596">
        <v>7.0000000000000007E-2</v>
      </c>
      <c r="AO152" s="597">
        <v>7.4999999999999997E-2</v>
      </c>
      <c r="AP152" s="597">
        <v>0.08</v>
      </c>
      <c r="AQ152" s="598">
        <v>8.5000000000000006E-2</v>
      </c>
      <c r="AR152" s="599">
        <v>0.09</v>
      </c>
      <c r="AS152" s="586"/>
      <c r="AT152" s="587"/>
      <c r="AU152" s="587"/>
      <c r="AV152" s="588"/>
      <c r="AW152" s="589"/>
      <c r="AX152" s="596">
        <v>0.05</v>
      </c>
      <c r="AY152" s="598">
        <v>5.5E-2</v>
      </c>
      <c r="AZ152" s="598">
        <v>0.06</v>
      </c>
      <c r="BA152" s="598">
        <v>6.5000000000000002E-2</v>
      </c>
      <c r="BB152" s="598">
        <v>7.0000000000000007E-2</v>
      </c>
      <c r="BC152" s="590"/>
      <c r="BD152" s="631"/>
      <c r="BE152" s="596"/>
      <c r="BF152" s="598"/>
      <c r="BG152" s="598"/>
      <c r="BH152" s="598"/>
      <c r="BI152" s="598"/>
      <c r="BJ152" s="598"/>
      <c r="BK152" s="605"/>
      <c r="BL152" s="658">
        <f t="shared" si="145"/>
        <v>27000</v>
      </c>
      <c r="BM152" s="3">
        <f t="shared" si="146"/>
        <v>35</v>
      </c>
      <c r="BN152" s="3">
        <f t="shared" si="147"/>
        <v>32</v>
      </c>
      <c r="BO152" s="3">
        <f t="shared" si="148"/>
        <v>33</v>
      </c>
    </row>
    <row r="153" spans="2:67">
      <c r="B153" s="207" t="s">
        <v>448</v>
      </c>
      <c r="C153" s="890" t="s">
        <v>357</v>
      </c>
      <c r="D153" s="890" t="s">
        <v>13</v>
      </c>
      <c r="E153" s="238" t="s">
        <v>65</v>
      </c>
      <c r="F153" s="592">
        <v>150</v>
      </c>
      <c r="G153" s="593">
        <v>4890</v>
      </c>
      <c r="H153" s="594">
        <v>5704</v>
      </c>
      <c r="I153" s="595">
        <v>5704</v>
      </c>
      <c r="J153" s="166">
        <f t="shared" si="115"/>
        <v>97</v>
      </c>
      <c r="K153" s="167">
        <f t="shared" si="116"/>
        <v>114</v>
      </c>
      <c r="L153" s="168">
        <f t="shared" si="117"/>
        <v>114</v>
      </c>
      <c r="M153" s="166">
        <f t="shared" si="118"/>
        <v>146</v>
      </c>
      <c r="N153" s="167">
        <f t="shared" si="119"/>
        <v>171</v>
      </c>
      <c r="O153" s="168">
        <f t="shared" si="120"/>
        <v>171</v>
      </c>
      <c r="P153" s="169">
        <f t="shared" si="121"/>
        <v>195</v>
      </c>
      <c r="Q153" s="169">
        <f t="shared" si="122"/>
        <v>228</v>
      </c>
      <c r="R153" s="169">
        <f t="shared" si="123"/>
        <v>228</v>
      </c>
      <c r="S153" s="584">
        <f t="shared" si="124"/>
        <v>1467</v>
      </c>
      <c r="T153" s="594">
        <f t="shared" si="125"/>
        <v>1711</v>
      </c>
      <c r="U153" s="595">
        <f t="shared" si="126"/>
        <v>1711</v>
      </c>
      <c r="V153" s="166">
        <f t="shared" si="127"/>
        <v>3024</v>
      </c>
      <c r="W153" s="167">
        <f t="shared" si="128"/>
        <v>3535</v>
      </c>
      <c r="X153" s="168">
        <f t="shared" si="129"/>
        <v>3535</v>
      </c>
      <c r="Y153" s="166">
        <f t="shared" si="130"/>
        <v>3414</v>
      </c>
      <c r="Z153" s="167">
        <f t="shared" si="131"/>
        <v>3991</v>
      </c>
      <c r="AA153" s="168">
        <f t="shared" si="132"/>
        <v>3991</v>
      </c>
      <c r="AB153" s="166">
        <f t="shared" si="133"/>
        <v>3804</v>
      </c>
      <c r="AC153" s="167">
        <f t="shared" si="134"/>
        <v>4447</v>
      </c>
      <c r="AD153" s="168">
        <f t="shared" si="135"/>
        <v>4447</v>
      </c>
      <c r="AE153" s="166">
        <f t="shared" si="136"/>
        <v>3999</v>
      </c>
      <c r="AF153" s="167">
        <f t="shared" si="137"/>
        <v>4903</v>
      </c>
      <c r="AG153" s="168">
        <f t="shared" si="138"/>
        <v>4903</v>
      </c>
      <c r="AH153" s="166">
        <f t="shared" si="139"/>
        <v>4389</v>
      </c>
      <c r="AI153" s="167">
        <f t="shared" si="140"/>
        <v>5131</v>
      </c>
      <c r="AJ153" s="168">
        <f t="shared" si="141"/>
        <v>5587</v>
      </c>
      <c r="AK153" s="169">
        <f t="shared" si="142"/>
        <v>4987</v>
      </c>
      <c r="AL153" s="167">
        <f t="shared" si="143"/>
        <v>5818</v>
      </c>
      <c r="AM153" s="585">
        <f t="shared" si="144"/>
        <v>5818</v>
      </c>
      <c r="AN153" s="596">
        <v>0.25</v>
      </c>
      <c r="AO153" s="597">
        <v>0.28000000000000003</v>
      </c>
      <c r="AP153" s="597">
        <v>0.31</v>
      </c>
      <c r="AQ153" s="598">
        <v>0.34</v>
      </c>
      <c r="AR153" s="599">
        <v>0.37</v>
      </c>
      <c r="AS153" s="586"/>
      <c r="AT153" s="587"/>
      <c r="AU153" s="587"/>
      <c r="AV153" s="588"/>
      <c r="AW153" s="589"/>
      <c r="AX153" s="596">
        <v>0.02</v>
      </c>
      <c r="AY153" s="598">
        <v>2.3E-2</v>
      </c>
      <c r="AZ153" s="598">
        <v>2.5999999999999999E-2</v>
      </c>
      <c r="BA153" s="598">
        <v>2.9000000000000001E-2</v>
      </c>
      <c r="BB153" s="598">
        <v>3.2000000000000001E-2</v>
      </c>
      <c r="BC153" s="590"/>
      <c r="BD153" s="631"/>
      <c r="BE153" s="596"/>
      <c r="BF153" s="598"/>
      <c r="BG153" s="598"/>
      <c r="BH153" s="598"/>
      <c r="BI153" s="598"/>
      <c r="BJ153" s="598"/>
      <c r="BK153" s="605"/>
      <c r="BL153" s="658">
        <f t="shared" si="145"/>
        <v>16300</v>
      </c>
      <c r="BM153" s="3">
        <f t="shared" si="146"/>
        <v>30</v>
      </c>
      <c r="BN153" s="3">
        <f t="shared" si="147"/>
        <v>35</v>
      </c>
      <c r="BO153" s="3">
        <f t="shared" si="148"/>
        <v>35</v>
      </c>
    </row>
    <row r="154" spans="2:67">
      <c r="B154" s="1269" t="s">
        <v>120</v>
      </c>
      <c r="C154" s="1265" t="s">
        <v>309</v>
      </c>
      <c r="D154" s="1265" t="s">
        <v>23</v>
      </c>
      <c r="E154" s="1267" t="s">
        <v>125</v>
      </c>
      <c r="F154" s="592">
        <v>151</v>
      </c>
      <c r="G154" s="593">
        <v>6160</v>
      </c>
      <c r="H154" s="594">
        <v>10340</v>
      </c>
      <c r="I154" s="595">
        <v>5500</v>
      </c>
      <c r="J154" s="166">
        <f t="shared" si="115"/>
        <v>123</v>
      </c>
      <c r="K154" s="167">
        <f t="shared" si="116"/>
        <v>206</v>
      </c>
      <c r="L154" s="168">
        <f t="shared" si="117"/>
        <v>110</v>
      </c>
      <c r="M154" s="166">
        <f t="shared" si="118"/>
        <v>154</v>
      </c>
      <c r="N154" s="167">
        <f t="shared" si="119"/>
        <v>258</v>
      </c>
      <c r="O154" s="168">
        <f t="shared" si="120"/>
        <v>137</v>
      </c>
      <c r="P154" s="169">
        <f t="shared" si="121"/>
        <v>231</v>
      </c>
      <c r="Q154" s="169">
        <f t="shared" si="122"/>
        <v>387</v>
      </c>
      <c r="R154" s="169">
        <f t="shared" si="123"/>
        <v>206</v>
      </c>
      <c r="S154" s="584">
        <f t="shared" si="124"/>
        <v>1540</v>
      </c>
      <c r="T154" s="594">
        <f t="shared" si="125"/>
        <v>2585</v>
      </c>
      <c r="U154" s="595">
        <f t="shared" si="126"/>
        <v>1375</v>
      </c>
      <c r="V154" s="166">
        <f t="shared" si="127"/>
        <v>3511</v>
      </c>
      <c r="W154" s="167">
        <f t="shared" si="128"/>
        <v>5887</v>
      </c>
      <c r="X154" s="168">
        <f t="shared" si="129"/>
        <v>3129</v>
      </c>
      <c r="Y154" s="166">
        <f t="shared" si="130"/>
        <v>4204</v>
      </c>
      <c r="Z154" s="167">
        <f t="shared" si="131"/>
        <v>6661</v>
      </c>
      <c r="AA154" s="168">
        <f t="shared" si="132"/>
        <v>3335</v>
      </c>
      <c r="AB154" s="166">
        <f t="shared" si="133"/>
        <v>4435</v>
      </c>
      <c r="AC154" s="167">
        <f t="shared" si="134"/>
        <v>7822</v>
      </c>
      <c r="AD154" s="168">
        <f t="shared" si="135"/>
        <v>3953</v>
      </c>
      <c r="AE154" s="166">
        <f t="shared" si="136"/>
        <v>4897</v>
      </c>
      <c r="AF154" s="167">
        <f t="shared" si="137"/>
        <v>8596</v>
      </c>
      <c r="AG154" s="168">
        <f t="shared" si="138"/>
        <v>4777</v>
      </c>
      <c r="AH154" s="166">
        <f t="shared" si="139"/>
        <v>5821</v>
      </c>
      <c r="AI154" s="167">
        <f t="shared" si="140"/>
        <v>9370</v>
      </c>
      <c r="AJ154" s="168">
        <f t="shared" si="141"/>
        <v>5189</v>
      </c>
      <c r="AK154" s="169">
        <f t="shared" si="142"/>
        <v>6283</v>
      </c>
      <c r="AL154" s="167">
        <f t="shared" si="143"/>
        <v>10546</v>
      </c>
      <c r="AM154" s="585">
        <f t="shared" si="144"/>
        <v>5610</v>
      </c>
      <c r="AN154" s="596">
        <v>0.2</v>
      </c>
      <c r="AO154" s="597">
        <v>0.23</v>
      </c>
      <c r="AP154" s="597">
        <v>0.26</v>
      </c>
      <c r="AQ154" s="598">
        <v>0.28999999999999998</v>
      </c>
      <c r="AR154" s="599">
        <v>0.32</v>
      </c>
      <c r="AS154" s="586"/>
      <c r="AT154" s="587"/>
      <c r="AU154" s="587"/>
      <c r="AV154" s="588"/>
      <c r="AW154" s="589"/>
      <c r="AX154" s="596">
        <v>0.05</v>
      </c>
      <c r="AY154" s="598">
        <v>5.5E-2</v>
      </c>
      <c r="AZ154" s="598">
        <v>0.06</v>
      </c>
      <c r="BA154" s="598">
        <v>6.5000000000000002E-2</v>
      </c>
      <c r="BB154" s="598">
        <v>7.0000000000000007E-2</v>
      </c>
      <c r="BC154" s="590"/>
      <c r="BD154" s="631"/>
      <c r="BE154" s="596"/>
      <c r="BF154" s="598"/>
      <c r="BG154" s="598"/>
      <c r="BH154" s="598"/>
      <c r="BI154" s="598"/>
      <c r="BJ154" s="598"/>
      <c r="BK154" s="605"/>
      <c r="BL154" s="658">
        <f t="shared" si="145"/>
        <v>22000</v>
      </c>
      <c r="BM154" s="3">
        <f t="shared" si="146"/>
        <v>28</v>
      </c>
      <c r="BN154" s="3">
        <f t="shared" si="147"/>
        <v>47</v>
      </c>
      <c r="BO154" s="3">
        <f t="shared" si="148"/>
        <v>25</v>
      </c>
    </row>
    <row r="155" spans="2:67">
      <c r="B155" s="207" t="s">
        <v>82</v>
      </c>
      <c r="C155" s="890" t="s">
        <v>309</v>
      </c>
      <c r="D155" s="890" t="s">
        <v>70</v>
      </c>
      <c r="E155" s="238" t="s">
        <v>65</v>
      </c>
      <c r="F155" s="592">
        <v>152</v>
      </c>
      <c r="G155" s="593">
        <v>11129</v>
      </c>
      <c r="H155" s="594">
        <v>7420</v>
      </c>
      <c r="I155" s="595">
        <v>7949</v>
      </c>
      <c r="J155" s="166">
        <f t="shared" si="115"/>
        <v>222</v>
      </c>
      <c r="K155" s="167">
        <f t="shared" si="116"/>
        <v>148</v>
      </c>
      <c r="L155" s="168">
        <f t="shared" si="117"/>
        <v>159</v>
      </c>
      <c r="M155" s="166">
        <f t="shared" si="118"/>
        <v>278</v>
      </c>
      <c r="N155" s="167">
        <f t="shared" si="119"/>
        <v>185</v>
      </c>
      <c r="O155" s="168">
        <f t="shared" si="120"/>
        <v>198</v>
      </c>
      <c r="P155" s="169">
        <f t="shared" si="121"/>
        <v>417</v>
      </c>
      <c r="Q155" s="169">
        <f t="shared" si="122"/>
        <v>278</v>
      </c>
      <c r="R155" s="169">
        <f t="shared" si="123"/>
        <v>298</v>
      </c>
      <c r="S155" s="584">
        <f t="shared" si="124"/>
        <v>2782</v>
      </c>
      <c r="T155" s="594">
        <f t="shared" si="125"/>
        <v>1855</v>
      </c>
      <c r="U155" s="595">
        <f t="shared" si="126"/>
        <v>1987</v>
      </c>
      <c r="V155" s="166">
        <f t="shared" si="127"/>
        <v>6340</v>
      </c>
      <c r="W155" s="167">
        <f t="shared" si="128"/>
        <v>4223</v>
      </c>
      <c r="X155" s="168">
        <f t="shared" si="129"/>
        <v>4522</v>
      </c>
      <c r="Y155" s="166">
        <f t="shared" si="130"/>
        <v>6757</v>
      </c>
      <c r="Z155" s="167">
        <f t="shared" si="131"/>
        <v>4779</v>
      </c>
      <c r="AA155" s="168">
        <f t="shared" si="132"/>
        <v>5416</v>
      </c>
      <c r="AB155" s="166">
        <f t="shared" si="133"/>
        <v>8008</v>
      </c>
      <c r="AC155" s="167">
        <f t="shared" si="134"/>
        <v>5613</v>
      </c>
      <c r="AD155" s="168">
        <f t="shared" si="135"/>
        <v>5714</v>
      </c>
      <c r="AE155" s="166">
        <f t="shared" si="136"/>
        <v>9676</v>
      </c>
      <c r="AF155" s="167">
        <f t="shared" si="137"/>
        <v>6169</v>
      </c>
      <c r="AG155" s="168">
        <f t="shared" si="138"/>
        <v>6310</v>
      </c>
      <c r="AH155" s="166">
        <f t="shared" si="139"/>
        <v>10510</v>
      </c>
      <c r="AI155" s="167">
        <f t="shared" si="140"/>
        <v>6725</v>
      </c>
      <c r="AJ155" s="168">
        <f t="shared" si="141"/>
        <v>7502</v>
      </c>
      <c r="AK155" s="169">
        <f t="shared" si="142"/>
        <v>11351</v>
      </c>
      <c r="AL155" s="167">
        <f t="shared" si="143"/>
        <v>7568</v>
      </c>
      <c r="AM155" s="585">
        <f t="shared" si="144"/>
        <v>8108</v>
      </c>
      <c r="AN155" s="596">
        <v>0.08</v>
      </c>
      <c r="AO155" s="597">
        <v>8.5000000000000006E-2</v>
      </c>
      <c r="AP155" s="597">
        <v>0.09</v>
      </c>
      <c r="AQ155" s="598">
        <v>9.5000000000000001E-2</v>
      </c>
      <c r="AR155" s="599">
        <v>0.1</v>
      </c>
      <c r="AS155" s="586"/>
      <c r="AT155" s="587"/>
      <c r="AU155" s="587"/>
      <c r="AV155" s="588"/>
      <c r="AW155" s="589"/>
      <c r="AX155" s="596">
        <v>0.05</v>
      </c>
      <c r="AY155" s="598">
        <v>5.5E-2</v>
      </c>
      <c r="AZ155" s="598">
        <v>0.06</v>
      </c>
      <c r="BA155" s="598">
        <v>6.5000000000000002E-2</v>
      </c>
      <c r="BB155" s="598">
        <v>7.0000000000000007E-2</v>
      </c>
      <c r="BC155" s="590"/>
      <c r="BD155" s="631"/>
      <c r="BE155" s="596"/>
      <c r="BF155" s="598"/>
      <c r="BG155" s="598"/>
      <c r="BH155" s="598"/>
      <c r="BI155" s="598"/>
      <c r="BJ155" s="598"/>
      <c r="BK155" s="605"/>
      <c r="BL155" s="658">
        <f t="shared" si="145"/>
        <v>26500</v>
      </c>
      <c r="BM155" s="3">
        <f t="shared" si="146"/>
        <v>42</v>
      </c>
      <c r="BN155" s="3">
        <f t="shared" si="147"/>
        <v>28</v>
      </c>
      <c r="BO155" s="3">
        <f t="shared" si="148"/>
        <v>30</v>
      </c>
    </row>
    <row r="156" spans="2:67">
      <c r="B156" s="207" t="s">
        <v>371</v>
      </c>
      <c r="C156" s="890" t="s">
        <v>357</v>
      </c>
      <c r="D156" s="890" t="s">
        <v>359</v>
      </c>
      <c r="E156" s="238" t="s">
        <v>125</v>
      </c>
      <c r="F156" s="592">
        <v>153</v>
      </c>
      <c r="G156" s="593">
        <v>4487</v>
      </c>
      <c r="H156" s="594">
        <v>4487</v>
      </c>
      <c r="I156" s="595">
        <v>4623</v>
      </c>
      <c r="J156" s="166">
        <f t="shared" si="115"/>
        <v>89</v>
      </c>
      <c r="K156" s="167">
        <f t="shared" si="116"/>
        <v>89</v>
      </c>
      <c r="L156" s="168">
        <f t="shared" si="117"/>
        <v>92</v>
      </c>
      <c r="M156" s="166">
        <f t="shared" si="118"/>
        <v>134</v>
      </c>
      <c r="N156" s="167">
        <f t="shared" si="119"/>
        <v>134</v>
      </c>
      <c r="O156" s="168">
        <f t="shared" si="120"/>
        <v>138</v>
      </c>
      <c r="P156" s="169">
        <f t="shared" si="121"/>
        <v>179</v>
      </c>
      <c r="Q156" s="169">
        <f t="shared" si="122"/>
        <v>179</v>
      </c>
      <c r="R156" s="169">
        <f t="shared" si="123"/>
        <v>184</v>
      </c>
      <c r="S156" s="584">
        <f t="shared" si="124"/>
        <v>1346</v>
      </c>
      <c r="T156" s="594">
        <f t="shared" si="125"/>
        <v>1346</v>
      </c>
      <c r="U156" s="595">
        <f t="shared" si="126"/>
        <v>1387</v>
      </c>
      <c r="V156" s="166">
        <f t="shared" si="127"/>
        <v>2775</v>
      </c>
      <c r="W156" s="167">
        <f t="shared" si="128"/>
        <v>2775</v>
      </c>
      <c r="X156" s="168">
        <f t="shared" si="129"/>
        <v>2859</v>
      </c>
      <c r="Y156" s="166">
        <f t="shared" si="130"/>
        <v>3133</v>
      </c>
      <c r="Z156" s="167">
        <f t="shared" si="131"/>
        <v>3133</v>
      </c>
      <c r="AA156" s="168">
        <f t="shared" si="132"/>
        <v>3227</v>
      </c>
      <c r="AB156" s="166">
        <f t="shared" si="133"/>
        <v>3491</v>
      </c>
      <c r="AC156" s="167">
        <f t="shared" si="134"/>
        <v>3491</v>
      </c>
      <c r="AD156" s="168">
        <f t="shared" si="135"/>
        <v>3595</v>
      </c>
      <c r="AE156" s="166">
        <f t="shared" si="136"/>
        <v>3849</v>
      </c>
      <c r="AF156" s="167">
        <f t="shared" si="137"/>
        <v>3670</v>
      </c>
      <c r="AG156" s="168">
        <f t="shared" si="138"/>
        <v>3963</v>
      </c>
      <c r="AH156" s="166">
        <f t="shared" si="139"/>
        <v>4386</v>
      </c>
      <c r="AI156" s="167">
        <f t="shared" si="140"/>
        <v>4028</v>
      </c>
      <c r="AJ156" s="168">
        <f t="shared" si="141"/>
        <v>4147</v>
      </c>
      <c r="AK156" s="169">
        <f t="shared" si="142"/>
        <v>4576</v>
      </c>
      <c r="AL156" s="167">
        <f t="shared" si="143"/>
        <v>4576</v>
      </c>
      <c r="AM156" s="585">
        <f t="shared" si="144"/>
        <v>4715</v>
      </c>
      <c r="AN156" s="596">
        <v>0.15</v>
      </c>
      <c r="AO156" s="597">
        <v>0.18</v>
      </c>
      <c r="AP156" s="597">
        <v>0.21</v>
      </c>
      <c r="AQ156" s="598">
        <v>0.24</v>
      </c>
      <c r="AR156" s="599">
        <v>0.27</v>
      </c>
      <c r="AS156" s="586"/>
      <c r="AT156" s="587"/>
      <c r="AU156" s="587"/>
      <c r="AV156" s="588"/>
      <c r="AW156" s="589"/>
      <c r="AX156" s="596">
        <v>0.02</v>
      </c>
      <c r="AY156" s="598">
        <v>2.3E-2</v>
      </c>
      <c r="AZ156" s="598">
        <v>2.5999999999999999E-2</v>
      </c>
      <c r="BA156" s="598">
        <v>2.9000000000000001E-2</v>
      </c>
      <c r="BB156" s="598">
        <v>3.2000000000000001E-2</v>
      </c>
      <c r="BC156" s="590"/>
      <c r="BD156" s="631"/>
      <c r="BE156" s="596"/>
      <c r="BF156" s="598"/>
      <c r="BG156" s="598"/>
      <c r="BH156" s="598"/>
      <c r="BI156" s="598"/>
      <c r="BJ156" s="598"/>
      <c r="BK156" s="605"/>
      <c r="BL156" s="658">
        <f t="shared" si="145"/>
        <v>13600</v>
      </c>
      <c r="BM156" s="3">
        <f t="shared" si="146"/>
        <v>33</v>
      </c>
      <c r="BN156" s="3">
        <f t="shared" si="147"/>
        <v>33</v>
      </c>
      <c r="BO156" s="3">
        <f t="shared" si="148"/>
        <v>34</v>
      </c>
    </row>
    <row r="157" spans="2:67">
      <c r="B157" s="207" t="s">
        <v>407</v>
      </c>
      <c r="C157" s="883" t="s">
        <v>357</v>
      </c>
      <c r="D157" s="883" t="s">
        <v>360</v>
      </c>
      <c r="E157" s="238" t="s">
        <v>125</v>
      </c>
      <c r="F157" s="592">
        <v>154</v>
      </c>
      <c r="G157" s="593">
        <v>5440</v>
      </c>
      <c r="H157" s="594">
        <v>4080</v>
      </c>
      <c r="I157" s="595">
        <v>4080</v>
      </c>
      <c r="J157" s="166">
        <f t="shared" si="115"/>
        <v>108</v>
      </c>
      <c r="K157" s="167">
        <f t="shared" si="116"/>
        <v>81</v>
      </c>
      <c r="L157" s="168">
        <f t="shared" si="117"/>
        <v>81</v>
      </c>
      <c r="M157" s="166">
        <f t="shared" si="118"/>
        <v>163</v>
      </c>
      <c r="N157" s="167">
        <f t="shared" si="119"/>
        <v>122</v>
      </c>
      <c r="O157" s="168">
        <f t="shared" si="120"/>
        <v>122</v>
      </c>
      <c r="P157" s="169">
        <f t="shared" si="121"/>
        <v>217</v>
      </c>
      <c r="Q157" s="169">
        <f t="shared" si="122"/>
        <v>163</v>
      </c>
      <c r="R157" s="169">
        <f t="shared" si="123"/>
        <v>163</v>
      </c>
      <c r="S157" s="584">
        <f t="shared" si="124"/>
        <v>1632</v>
      </c>
      <c r="T157" s="594">
        <f t="shared" si="125"/>
        <v>1224</v>
      </c>
      <c r="U157" s="595">
        <f t="shared" si="126"/>
        <v>1224</v>
      </c>
      <c r="V157" s="166">
        <f t="shared" si="127"/>
        <v>3370</v>
      </c>
      <c r="W157" s="167">
        <f t="shared" si="128"/>
        <v>2525</v>
      </c>
      <c r="X157" s="168">
        <f t="shared" si="129"/>
        <v>2525</v>
      </c>
      <c r="Y157" s="166">
        <f t="shared" si="130"/>
        <v>3804</v>
      </c>
      <c r="Z157" s="167">
        <f t="shared" si="131"/>
        <v>2851</v>
      </c>
      <c r="AA157" s="168">
        <f t="shared" si="132"/>
        <v>2851</v>
      </c>
      <c r="AB157" s="166">
        <f t="shared" si="133"/>
        <v>4238</v>
      </c>
      <c r="AC157" s="167">
        <f t="shared" si="134"/>
        <v>3177</v>
      </c>
      <c r="AD157" s="168">
        <f t="shared" si="135"/>
        <v>3177</v>
      </c>
      <c r="AE157" s="166">
        <f t="shared" si="136"/>
        <v>4672</v>
      </c>
      <c r="AF157" s="167">
        <f t="shared" si="137"/>
        <v>3503</v>
      </c>
      <c r="AG157" s="168">
        <f t="shared" si="138"/>
        <v>3340</v>
      </c>
      <c r="AH157" s="166">
        <f t="shared" si="139"/>
        <v>4889</v>
      </c>
      <c r="AI157" s="167">
        <f t="shared" si="140"/>
        <v>3992</v>
      </c>
      <c r="AJ157" s="168">
        <f t="shared" si="141"/>
        <v>3666</v>
      </c>
      <c r="AK157" s="169">
        <f t="shared" si="142"/>
        <v>5548</v>
      </c>
      <c r="AL157" s="167">
        <f t="shared" si="143"/>
        <v>4161</v>
      </c>
      <c r="AM157" s="585">
        <f t="shared" si="144"/>
        <v>4161</v>
      </c>
      <c r="AN157" s="596">
        <v>0.03</v>
      </c>
      <c r="AO157" s="597">
        <v>3.3000000000000002E-2</v>
      </c>
      <c r="AP157" s="597">
        <v>3.5999999999999997E-2</v>
      </c>
      <c r="AQ157" s="598">
        <v>3.9E-2</v>
      </c>
      <c r="AR157" s="599">
        <v>4.2000000000000003E-2</v>
      </c>
      <c r="AS157" s="586"/>
      <c r="AT157" s="587"/>
      <c r="AU157" s="587"/>
      <c r="AV157" s="588"/>
      <c r="AW157" s="589"/>
      <c r="AX157" s="596">
        <v>0.02</v>
      </c>
      <c r="AY157" s="598">
        <v>2.3E-2</v>
      </c>
      <c r="AZ157" s="598">
        <v>2.5999999999999999E-2</v>
      </c>
      <c r="BA157" s="598">
        <v>2.9000000000000001E-2</v>
      </c>
      <c r="BB157" s="598">
        <v>3.2000000000000001E-2</v>
      </c>
      <c r="BC157" s="590"/>
      <c r="BD157" s="631"/>
      <c r="BE157" s="596"/>
      <c r="BF157" s="598"/>
      <c r="BG157" s="598"/>
      <c r="BH157" s="598"/>
      <c r="BI157" s="598"/>
      <c r="BJ157" s="598"/>
      <c r="BK157" s="605"/>
      <c r="BL157" s="658">
        <f t="shared" si="145"/>
        <v>13600</v>
      </c>
      <c r="BM157" s="3">
        <f t="shared" si="146"/>
        <v>40</v>
      </c>
      <c r="BN157" s="3">
        <f t="shared" si="147"/>
        <v>30</v>
      </c>
      <c r="BO157" s="3">
        <f t="shared" si="148"/>
        <v>30</v>
      </c>
    </row>
    <row r="158" spans="2:67">
      <c r="B158" s="207" t="s">
        <v>75</v>
      </c>
      <c r="C158" s="1265" t="s">
        <v>309</v>
      </c>
      <c r="D158" s="1265" t="s">
        <v>13</v>
      </c>
      <c r="E158" s="1267" t="s">
        <v>65</v>
      </c>
      <c r="F158" s="592">
        <v>155</v>
      </c>
      <c r="G158" s="593">
        <v>12149</v>
      </c>
      <c r="H158" s="594">
        <v>5400</v>
      </c>
      <c r="I158" s="595">
        <v>9449</v>
      </c>
      <c r="J158" s="166">
        <f t="shared" si="115"/>
        <v>243</v>
      </c>
      <c r="K158" s="167">
        <f t="shared" si="116"/>
        <v>108</v>
      </c>
      <c r="L158" s="168">
        <f t="shared" si="117"/>
        <v>189</v>
      </c>
      <c r="M158" s="166">
        <f t="shared" si="118"/>
        <v>303</v>
      </c>
      <c r="N158" s="167">
        <f t="shared" si="119"/>
        <v>135</v>
      </c>
      <c r="O158" s="168">
        <f t="shared" si="120"/>
        <v>236</v>
      </c>
      <c r="P158" s="169">
        <f t="shared" si="121"/>
        <v>455</v>
      </c>
      <c r="Q158" s="169">
        <f t="shared" si="122"/>
        <v>202</v>
      </c>
      <c r="R158" s="169">
        <f t="shared" si="123"/>
        <v>354</v>
      </c>
      <c r="S158" s="584">
        <f t="shared" si="124"/>
        <v>3037</v>
      </c>
      <c r="T158" s="594">
        <f t="shared" si="125"/>
        <v>1350</v>
      </c>
      <c r="U158" s="595">
        <f t="shared" si="126"/>
        <v>2362</v>
      </c>
      <c r="V158" s="166">
        <f t="shared" si="127"/>
        <v>6916</v>
      </c>
      <c r="W158" s="167">
        <f t="shared" si="128"/>
        <v>3078</v>
      </c>
      <c r="X158" s="168">
        <f t="shared" si="129"/>
        <v>5383</v>
      </c>
      <c r="Y158" s="166">
        <f t="shared" si="130"/>
        <v>7826</v>
      </c>
      <c r="Z158" s="167">
        <f t="shared" si="131"/>
        <v>3280</v>
      </c>
      <c r="AA158" s="168">
        <f t="shared" si="132"/>
        <v>6445</v>
      </c>
      <c r="AB158" s="166">
        <f t="shared" si="133"/>
        <v>9191</v>
      </c>
      <c r="AC158" s="167">
        <f t="shared" si="134"/>
        <v>3886</v>
      </c>
      <c r="AD158" s="168">
        <f t="shared" si="135"/>
        <v>6799</v>
      </c>
      <c r="AE158" s="166">
        <f t="shared" si="136"/>
        <v>10101</v>
      </c>
      <c r="AF158" s="167">
        <f t="shared" si="137"/>
        <v>4694</v>
      </c>
      <c r="AG158" s="168">
        <f t="shared" si="138"/>
        <v>7507</v>
      </c>
      <c r="AH158" s="166">
        <f t="shared" si="139"/>
        <v>11011</v>
      </c>
      <c r="AI158" s="167">
        <f t="shared" si="140"/>
        <v>5098</v>
      </c>
      <c r="AJ158" s="168">
        <f t="shared" si="141"/>
        <v>8923</v>
      </c>
      <c r="AK158" s="169">
        <f t="shared" si="142"/>
        <v>12392</v>
      </c>
      <c r="AL158" s="167">
        <f t="shared" si="143"/>
        <v>5508</v>
      </c>
      <c r="AM158" s="585">
        <f t="shared" si="144"/>
        <v>9638</v>
      </c>
      <c r="AN158" s="596">
        <v>0.06</v>
      </c>
      <c r="AO158" s="597">
        <v>6.3E-2</v>
      </c>
      <c r="AP158" s="597">
        <v>6.6000000000000003E-2</v>
      </c>
      <c r="AQ158" s="598">
        <v>6.9000000000000006E-2</v>
      </c>
      <c r="AR158" s="599">
        <v>7.1999999999999995E-2</v>
      </c>
      <c r="AS158" s="586"/>
      <c r="AT158" s="587"/>
      <c r="AU158" s="587"/>
      <c r="AV158" s="588"/>
      <c r="AW158" s="589"/>
      <c r="AX158" s="596">
        <v>0.03</v>
      </c>
      <c r="AY158" s="598">
        <v>3.3000000000000002E-2</v>
      </c>
      <c r="AZ158" s="598">
        <v>3.5999999999999997E-2</v>
      </c>
      <c r="BA158" s="598">
        <v>3.9E-2</v>
      </c>
      <c r="BB158" s="598">
        <v>4.2000000000000003E-2</v>
      </c>
      <c r="BC158" s="590"/>
      <c r="BD158" s="631"/>
      <c r="BE158" s="596"/>
      <c r="BF158" s="598"/>
      <c r="BG158" s="598"/>
      <c r="BH158" s="598"/>
      <c r="BI158" s="598"/>
      <c r="BJ158" s="598"/>
      <c r="BK158" s="605"/>
      <c r="BL158" s="658">
        <f t="shared" si="145"/>
        <v>27000</v>
      </c>
      <c r="BM158" s="3">
        <f t="shared" si="146"/>
        <v>45</v>
      </c>
      <c r="BN158" s="3">
        <f t="shared" si="147"/>
        <v>20</v>
      </c>
      <c r="BO158" s="3">
        <f t="shared" si="148"/>
        <v>35</v>
      </c>
    </row>
    <row r="159" spans="2:67">
      <c r="B159" s="207" t="s">
        <v>408</v>
      </c>
      <c r="C159" s="890" t="s">
        <v>357</v>
      </c>
      <c r="D159" s="890" t="s">
        <v>356</v>
      </c>
      <c r="E159" s="238" t="s">
        <v>65</v>
      </c>
      <c r="F159" s="592">
        <v>156</v>
      </c>
      <c r="G159" s="593">
        <v>5310</v>
      </c>
      <c r="H159" s="594">
        <v>4647</v>
      </c>
      <c r="I159" s="595">
        <v>6640</v>
      </c>
      <c r="J159" s="166">
        <f t="shared" si="115"/>
        <v>106</v>
      </c>
      <c r="K159" s="167">
        <f t="shared" si="116"/>
        <v>92</v>
      </c>
      <c r="L159" s="168">
        <f t="shared" si="117"/>
        <v>132</v>
      </c>
      <c r="M159" s="166">
        <f t="shared" si="118"/>
        <v>159</v>
      </c>
      <c r="N159" s="167">
        <f t="shared" si="119"/>
        <v>139</v>
      </c>
      <c r="O159" s="168">
        <f t="shared" si="120"/>
        <v>199</v>
      </c>
      <c r="P159" s="169">
        <f t="shared" si="121"/>
        <v>212</v>
      </c>
      <c r="Q159" s="169">
        <f t="shared" si="122"/>
        <v>185</v>
      </c>
      <c r="R159" s="169">
        <f t="shared" si="123"/>
        <v>265</v>
      </c>
      <c r="S159" s="584">
        <f t="shared" si="124"/>
        <v>1593</v>
      </c>
      <c r="T159" s="594">
        <f t="shared" si="125"/>
        <v>1394</v>
      </c>
      <c r="U159" s="595">
        <f t="shared" si="126"/>
        <v>1992</v>
      </c>
      <c r="V159" s="166">
        <f t="shared" si="127"/>
        <v>3289</v>
      </c>
      <c r="W159" s="167">
        <f t="shared" si="128"/>
        <v>2876</v>
      </c>
      <c r="X159" s="168">
        <f t="shared" si="129"/>
        <v>4114</v>
      </c>
      <c r="Y159" s="166">
        <f t="shared" si="130"/>
        <v>3713</v>
      </c>
      <c r="Z159" s="167">
        <f t="shared" si="131"/>
        <v>3246</v>
      </c>
      <c r="AA159" s="168">
        <f t="shared" si="132"/>
        <v>4644</v>
      </c>
      <c r="AB159" s="166">
        <f t="shared" si="133"/>
        <v>4137</v>
      </c>
      <c r="AC159" s="167">
        <f t="shared" si="134"/>
        <v>3616</v>
      </c>
      <c r="AD159" s="168">
        <f t="shared" si="135"/>
        <v>5174</v>
      </c>
      <c r="AE159" s="166">
        <f t="shared" si="136"/>
        <v>4561</v>
      </c>
      <c r="AF159" s="167">
        <f t="shared" si="137"/>
        <v>3801</v>
      </c>
      <c r="AG159" s="168">
        <f t="shared" si="138"/>
        <v>5704</v>
      </c>
      <c r="AH159" s="166">
        <f t="shared" si="139"/>
        <v>4773</v>
      </c>
      <c r="AI159" s="167">
        <f t="shared" si="140"/>
        <v>4171</v>
      </c>
      <c r="AJ159" s="168">
        <f t="shared" si="141"/>
        <v>6499</v>
      </c>
      <c r="AK159" s="169">
        <f t="shared" si="142"/>
        <v>5416</v>
      </c>
      <c r="AL159" s="167">
        <f t="shared" si="143"/>
        <v>4739</v>
      </c>
      <c r="AM159" s="585">
        <f t="shared" si="144"/>
        <v>6772</v>
      </c>
      <c r="AN159" s="596">
        <v>0.05</v>
      </c>
      <c r="AO159" s="597">
        <v>5.5E-2</v>
      </c>
      <c r="AP159" s="597">
        <v>0.06</v>
      </c>
      <c r="AQ159" s="598">
        <v>6.5000000000000002E-2</v>
      </c>
      <c r="AR159" s="599">
        <v>7.0000000000000007E-2</v>
      </c>
      <c r="AS159" s="586"/>
      <c r="AT159" s="587"/>
      <c r="AU159" s="587"/>
      <c r="AV159" s="588"/>
      <c r="AW159" s="589"/>
      <c r="AX159" s="596">
        <v>0.03</v>
      </c>
      <c r="AY159" s="598">
        <v>3.5000000000000003E-2</v>
      </c>
      <c r="AZ159" s="598">
        <v>0.04</v>
      </c>
      <c r="BA159" s="598">
        <v>4.4999999999999998E-2</v>
      </c>
      <c r="BB159" s="598">
        <v>0.05</v>
      </c>
      <c r="BC159" s="590"/>
      <c r="BD159" s="631"/>
      <c r="BE159" s="596"/>
      <c r="BF159" s="598"/>
      <c r="BG159" s="598"/>
      <c r="BH159" s="598"/>
      <c r="BI159" s="598"/>
      <c r="BJ159" s="598"/>
      <c r="BK159" s="605"/>
      <c r="BL159" s="658">
        <f t="shared" si="145"/>
        <v>16600</v>
      </c>
      <c r="BM159" s="3">
        <f t="shared" si="146"/>
        <v>32</v>
      </c>
      <c r="BN159" s="3">
        <f t="shared" si="147"/>
        <v>28</v>
      </c>
      <c r="BO159" s="3">
        <f t="shared" si="148"/>
        <v>40</v>
      </c>
    </row>
    <row r="160" spans="2:67">
      <c r="B160" s="1269" t="s">
        <v>94</v>
      </c>
      <c r="C160" s="1265" t="s">
        <v>309</v>
      </c>
      <c r="D160" s="1265" t="s">
        <v>14</v>
      </c>
      <c r="E160" s="1267" t="s">
        <v>65</v>
      </c>
      <c r="F160" s="1270">
        <v>157</v>
      </c>
      <c r="G160" s="593">
        <v>8909</v>
      </c>
      <c r="H160" s="594">
        <v>9449</v>
      </c>
      <c r="I160" s="595">
        <v>8640</v>
      </c>
      <c r="J160" s="166">
        <f t="shared" si="115"/>
        <v>178</v>
      </c>
      <c r="K160" s="167">
        <f t="shared" si="116"/>
        <v>189</v>
      </c>
      <c r="L160" s="168">
        <f t="shared" si="117"/>
        <v>172</v>
      </c>
      <c r="M160" s="166">
        <f t="shared" si="118"/>
        <v>222</v>
      </c>
      <c r="N160" s="167">
        <f t="shared" si="119"/>
        <v>236</v>
      </c>
      <c r="O160" s="168">
        <f t="shared" si="120"/>
        <v>216</v>
      </c>
      <c r="P160" s="169">
        <f t="shared" si="121"/>
        <v>334</v>
      </c>
      <c r="Q160" s="169">
        <f t="shared" si="122"/>
        <v>354</v>
      </c>
      <c r="R160" s="169">
        <f t="shared" si="123"/>
        <v>324</v>
      </c>
      <c r="S160" s="584">
        <f t="shared" si="124"/>
        <v>2227</v>
      </c>
      <c r="T160" s="594">
        <f t="shared" si="125"/>
        <v>2362</v>
      </c>
      <c r="U160" s="595">
        <f t="shared" si="126"/>
        <v>2160</v>
      </c>
      <c r="V160" s="166">
        <f t="shared" si="127"/>
        <v>5069</v>
      </c>
      <c r="W160" s="167">
        <f t="shared" si="128"/>
        <v>5383</v>
      </c>
      <c r="X160" s="168">
        <f t="shared" si="129"/>
        <v>4924</v>
      </c>
      <c r="Y160" s="166">
        <f t="shared" si="130"/>
        <v>5403</v>
      </c>
      <c r="Z160" s="167">
        <f t="shared" si="131"/>
        <v>6445</v>
      </c>
      <c r="AA160" s="168">
        <f t="shared" si="132"/>
        <v>5572</v>
      </c>
      <c r="AB160" s="166">
        <f t="shared" si="133"/>
        <v>6405</v>
      </c>
      <c r="AC160" s="167">
        <f t="shared" si="134"/>
        <v>6799</v>
      </c>
      <c r="AD160" s="168">
        <f t="shared" si="135"/>
        <v>6544</v>
      </c>
      <c r="AE160" s="166">
        <f t="shared" si="136"/>
        <v>7741</v>
      </c>
      <c r="AF160" s="167">
        <f t="shared" si="137"/>
        <v>7507</v>
      </c>
      <c r="AG160" s="168">
        <f t="shared" si="138"/>
        <v>7192</v>
      </c>
      <c r="AH160" s="166">
        <f t="shared" si="139"/>
        <v>8409</v>
      </c>
      <c r="AI160" s="167">
        <f t="shared" si="140"/>
        <v>8923</v>
      </c>
      <c r="AJ160" s="168">
        <f t="shared" si="141"/>
        <v>7840</v>
      </c>
      <c r="AK160" s="169">
        <f t="shared" si="142"/>
        <v>9087</v>
      </c>
      <c r="AL160" s="167">
        <f t="shared" si="143"/>
        <v>9638</v>
      </c>
      <c r="AM160" s="585">
        <f t="shared" si="144"/>
        <v>8812</v>
      </c>
      <c r="AN160" s="596">
        <v>0.05</v>
      </c>
      <c r="AO160" s="597">
        <v>5.2999999999999999E-2</v>
      </c>
      <c r="AP160" s="597">
        <v>5.6000000000000001E-2</v>
      </c>
      <c r="AQ160" s="598">
        <v>5.8999999999999997E-2</v>
      </c>
      <c r="AR160" s="599">
        <v>6.2E-2</v>
      </c>
      <c r="AS160" s="586"/>
      <c r="AT160" s="587"/>
      <c r="AU160" s="587"/>
      <c r="AV160" s="588"/>
      <c r="AW160" s="589"/>
      <c r="AX160" s="596">
        <v>0.03</v>
      </c>
      <c r="AY160" s="598">
        <v>3.3000000000000002E-2</v>
      </c>
      <c r="AZ160" s="598">
        <v>3.5999999999999997E-2</v>
      </c>
      <c r="BA160" s="598">
        <v>3.9E-2</v>
      </c>
      <c r="BB160" s="598">
        <v>4.2000000000000003E-2</v>
      </c>
      <c r="BC160" s="590"/>
      <c r="BD160" s="631"/>
      <c r="BE160" s="596"/>
      <c r="BF160" s="598"/>
      <c r="BG160" s="598"/>
      <c r="BH160" s="598"/>
      <c r="BI160" s="598"/>
      <c r="BJ160" s="598"/>
      <c r="BK160" s="605"/>
      <c r="BL160" s="658">
        <f t="shared" si="145"/>
        <v>27000</v>
      </c>
      <c r="BM160" s="3">
        <f t="shared" si="146"/>
        <v>33</v>
      </c>
      <c r="BN160" s="3">
        <f t="shared" si="147"/>
        <v>35</v>
      </c>
      <c r="BO160" s="3">
        <f t="shared" si="148"/>
        <v>32</v>
      </c>
    </row>
    <row r="161" spans="2:67">
      <c r="B161" s="207" t="s">
        <v>449</v>
      </c>
      <c r="C161" s="890" t="s">
        <v>357</v>
      </c>
      <c r="D161" s="890" t="s">
        <v>14</v>
      </c>
      <c r="E161" s="238" t="s">
        <v>65</v>
      </c>
      <c r="F161" s="592">
        <v>158</v>
      </c>
      <c r="G161" s="593">
        <v>7334</v>
      </c>
      <c r="H161" s="594">
        <v>3260</v>
      </c>
      <c r="I161" s="595">
        <v>5704</v>
      </c>
      <c r="J161" s="166">
        <f t="shared" si="115"/>
        <v>146</v>
      </c>
      <c r="K161" s="167">
        <f t="shared" si="116"/>
        <v>65</v>
      </c>
      <c r="L161" s="168">
        <f t="shared" si="117"/>
        <v>114</v>
      </c>
      <c r="M161" s="166">
        <f t="shared" si="118"/>
        <v>220</v>
      </c>
      <c r="N161" s="167">
        <f t="shared" si="119"/>
        <v>97</v>
      </c>
      <c r="O161" s="168">
        <f t="shared" si="120"/>
        <v>171</v>
      </c>
      <c r="P161" s="169">
        <f t="shared" si="121"/>
        <v>293</v>
      </c>
      <c r="Q161" s="169">
        <f t="shared" si="122"/>
        <v>130</v>
      </c>
      <c r="R161" s="169">
        <f t="shared" si="123"/>
        <v>228</v>
      </c>
      <c r="S161" s="584">
        <f t="shared" si="124"/>
        <v>2200</v>
      </c>
      <c r="T161" s="594">
        <f t="shared" si="125"/>
        <v>978</v>
      </c>
      <c r="U161" s="595">
        <f t="shared" si="126"/>
        <v>1711</v>
      </c>
      <c r="V161" s="166">
        <f t="shared" si="127"/>
        <v>4546</v>
      </c>
      <c r="W161" s="167">
        <f t="shared" si="128"/>
        <v>2013</v>
      </c>
      <c r="X161" s="168">
        <f t="shared" si="129"/>
        <v>3535</v>
      </c>
      <c r="Y161" s="166">
        <f t="shared" si="130"/>
        <v>5132</v>
      </c>
      <c r="Z161" s="167">
        <f t="shared" si="131"/>
        <v>2273</v>
      </c>
      <c r="AA161" s="168">
        <f t="shared" si="132"/>
        <v>3991</v>
      </c>
      <c r="AB161" s="166">
        <f t="shared" si="133"/>
        <v>5718</v>
      </c>
      <c r="AC161" s="167">
        <f t="shared" si="134"/>
        <v>2533</v>
      </c>
      <c r="AD161" s="168">
        <f t="shared" si="135"/>
        <v>4447</v>
      </c>
      <c r="AE161" s="166">
        <f t="shared" si="136"/>
        <v>6304</v>
      </c>
      <c r="AF161" s="167">
        <f t="shared" si="137"/>
        <v>2793</v>
      </c>
      <c r="AG161" s="168">
        <f t="shared" si="138"/>
        <v>4675</v>
      </c>
      <c r="AH161" s="166">
        <f t="shared" si="139"/>
        <v>6597</v>
      </c>
      <c r="AI161" s="167">
        <f t="shared" si="140"/>
        <v>3183</v>
      </c>
      <c r="AJ161" s="168">
        <f t="shared" si="141"/>
        <v>5131</v>
      </c>
      <c r="AK161" s="169">
        <f t="shared" si="142"/>
        <v>7480</v>
      </c>
      <c r="AL161" s="167">
        <f t="shared" si="143"/>
        <v>3325</v>
      </c>
      <c r="AM161" s="585">
        <f t="shared" si="144"/>
        <v>5818</v>
      </c>
      <c r="AN161" s="596">
        <v>0.2</v>
      </c>
      <c r="AO161" s="597">
        <v>0.20499999999999999</v>
      </c>
      <c r="AP161" s="597">
        <v>0.21</v>
      </c>
      <c r="AQ161" s="598">
        <v>0.215</v>
      </c>
      <c r="AR161" s="599">
        <v>0.22</v>
      </c>
      <c r="AS161" s="586"/>
      <c r="AT161" s="587"/>
      <c r="AU161" s="587"/>
      <c r="AV161" s="588"/>
      <c r="AW161" s="589"/>
      <c r="AX161" s="596">
        <v>0.02</v>
      </c>
      <c r="AY161" s="598">
        <v>2.3E-2</v>
      </c>
      <c r="AZ161" s="598">
        <v>2.5999999999999999E-2</v>
      </c>
      <c r="BA161" s="598">
        <v>2.9000000000000001E-2</v>
      </c>
      <c r="BB161" s="598">
        <v>3.2000000000000001E-2</v>
      </c>
      <c r="BC161" s="590"/>
      <c r="BD161" s="631"/>
      <c r="BE161" s="596"/>
      <c r="BF161" s="598"/>
      <c r="BG161" s="598"/>
      <c r="BH161" s="598"/>
      <c r="BI161" s="598"/>
      <c r="BJ161" s="598"/>
      <c r="BK161" s="605"/>
      <c r="BL161" s="658">
        <f t="shared" si="145"/>
        <v>16300</v>
      </c>
      <c r="BM161" s="3">
        <f t="shared" si="146"/>
        <v>45</v>
      </c>
      <c r="BN161" s="3">
        <f t="shared" si="147"/>
        <v>20</v>
      </c>
      <c r="BO161" s="3">
        <f t="shared" si="148"/>
        <v>35</v>
      </c>
    </row>
    <row r="162" spans="2:67">
      <c r="B162" s="1269" t="s">
        <v>112</v>
      </c>
      <c r="C162" s="1265" t="s">
        <v>309</v>
      </c>
      <c r="D162" s="1265" t="s">
        <v>70</v>
      </c>
      <c r="E162" s="1267" t="s">
        <v>125</v>
      </c>
      <c r="F162" s="592">
        <v>159</v>
      </c>
      <c r="G162" s="593">
        <v>7040</v>
      </c>
      <c r="H162" s="594">
        <v>6160</v>
      </c>
      <c r="I162" s="595">
        <v>8800</v>
      </c>
      <c r="J162" s="166">
        <f t="shared" si="115"/>
        <v>140</v>
      </c>
      <c r="K162" s="167">
        <f t="shared" si="116"/>
        <v>123</v>
      </c>
      <c r="L162" s="168">
        <f t="shared" si="117"/>
        <v>176</v>
      </c>
      <c r="M162" s="166">
        <f t="shared" si="118"/>
        <v>176</v>
      </c>
      <c r="N162" s="167">
        <f t="shared" si="119"/>
        <v>154</v>
      </c>
      <c r="O162" s="168">
        <f t="shared" si="120"/>
        <v>220</v>
      </c>
      <c r="P162" s="169">
        <f t="shared" si="121"/>
        <v>264</v>
      </c>
      <c r="Q162" s="169">
        <f t="shared" si="122"/>
        <v>231</v>
      </c>
      <c r="R162" s="169">
        <f t="shared" si="123"/>
        <v>330</v>
      </c>
      <c r="S162" s="584">
        <f t="shared" si="124"/>
        <v>1760</v>
      </c>
      <c r="T162" s="594">
        <f t="shared" si="125"/>
        <v>1540</v>
      </c>
      <c r="U162" s="595">
        <f t="shared" si="126"/>
        <v>2200</v>
      </c>
      <c r="V162" s="166">
        <f t="shared" si="127"/>
        <v>4012</v>
      </c>
      <c r="W162" s="167">
        <f t="shared" si="128"/>
        <v>3511</v>
      </c>
      <c r="X162" s="168">
        <f t="shared" si="129"/>
        <v>5016</v>
      </c>
      <c r="Y162" s="166">
        <f t="shared" si="130"/>
        <v>4276</v>
      </c>
      <c r="Z162" s="167">
        <f t="shared" si="131"/>
        <v>3973</v>
      </c>
      <c r="AA162" s="168">
        <f t="shared" si="132"/>
        <v>6006</v>
      </c>
      <c r="AB162" s="166">
        <f t="shared" si="133"/>
        <v>5068</v>
      </c>
      <c r="AC162" s="167">
        <f t="shared" si="134"/>
        <v>4666</v>
      </c>
      <c r="AD162" s="168">
        <f t="shared" si="135"/>
        <v>6336</v>
      </c>
      <c r="AE162" s="166">
        <f t="shared" si="136"/>
        <v>6124</v>
      </c>
      <c r="AF162" s="167">
        <f t="shared" si="137"/>
        <v>5128</v>
      </c>
      <c r="AG162" s="168">
        <f t="shared" si="138"/>
        <v>6996</v>
      </c>
      <c r="AH162" s="166">
        <f t="shared" si="139"/>
        <v>6652</v>
      </c>
      <c r="AI162" s="167">
        <f t="shared" si="140"/>
        <v>5590</v>
      </c>
      <c r="AJ162" s="168">
        <f t="shared" si="141"/>
        <v>8316</v>
      </c>
      <c r="AK162" s="169">
        <f t="shared" si="142"/>
        <v>7180</v>
      </c>
      <c r="AL162" s="167">
        <f t="shared" si="143"/>
        <v>6283</v>
      </c>
      <c r="AM162" s="585">
        <f t="shared" si="144"/>
        <v>8976</v>
      </c>
      <c r="AN162" s="596">
        <v>3.7999999999999999E-2</v>
      </c>
      <c r="AO162" s="597">
        <v>4.1000000000000002E-2</v>
      </c>
      <c r="AP162" s="597">
        <v>4.3999999999999997E-2</v>
      </c>
      <c r="AQ162" s="598">
        <v>4.7E-2</v>
      </c>
      <c r="AR162" s="599">
        <v>0.05</v>
      </c>
      <c r="AS162" s="586"/>
      <c r="AT162" s="587"/>
      <c r="AU162" s="587"/>
      <c r="AV162" s="588"/>
      <c r="AW162" s="589"/>
      <c r="AX162" s="596">
        <v>0.05</v>
      </c>
      <c r="AY162" s="598">
        <v>5.5E-2</v>
      </c>
      <c r="AZ162" s="598">
        <v>0.06</v>
      </c>
      <c r="BA162" s="598">
        <v>6.5000000000000002E-2</v>
      </c>
      <c r="BB162" s="598">
        <v>7.0000000000000007E-2</v>
      </c>
      <c r="BC162" s="590"/>
      <c r="BD162" s="631"/>
      <c r="BE162" s="596"/>
      <c r="BF162" s="598"/>
      <c r="BG162" s="598"/>
      <c r="BH162" s="598"/>
      <c r="BI162" s="598"/>
      <c r="BJ162" s="598"/>
      <c r="BK162" s="605"/>
      <c r="BL162" s="658">
        <f t="shared" si="145"/>
        <v>22000</v>
      </c>
      <c r="BM162" s="3">
        <f t="shared" si="146"/>
        <v>32</v>
      </c>
      <c r="BN162" s="3">
        <f t="shared" si="147"/>
        <v>28</v>
      </c>
      <c r="BO162" s="3">
        <f t="shared" si="148"/>
        <v>40</v>
      </c>
    </row>
    <row r="163" spans="2:67">
      <c r="B163" s="1269" t="s">
        <v>121</v>
      </c>
      <c r="C163" s="1265" t="s">
        <v>309</v>
      </c>
      <c r="D163" s="1265" t="s">
        <v>23</v>
      </c>
      <c r="E163" s="1267" t="s">
        <v>65</v>
      </c>
      <c r="F163" s="1270">
        <v>160</v>
      </c>
      <c r="G163" s="593">
        <v>5829</v>
      </c>
      <c r="H163" s="594">
        <v>12720</v>
      </c>
      <c r="I163" s="595">
        <v>7949</v>
      </c>
      <c r="J163" s="166">
        <f t="shared" si="115"/>
        <v>116</v>
      </c>
      <c r="K163" s="167">
        <f t="shared" si="116"/>
        <v>254</v>
      </c>
      <c r="L163" s="168">
        <f t="shared" si="117"/>
        <v>159</v>
      </c>
      <c r="M163" s="166">
        <f t="shared" si="118"/>
        <v>145</v>
      </c>
      <c r="N163" s="167">
        <f t="shared" si="119"/>
        <v>318</v>
      </c>
      <c r="O163" s="168">
        <f t="shared" si="120"/>
        <v>198</v>
      </c>
      <c r="P163" s="169">
        <f t="shared" si="121"/>
        <v>218</v>
      </c>
      <c r="Q163" s="169">
        <f t="shared" si="122"/>
        <v>477</v>
      </c>
      <c r="R163" s="169">
        <f t="shared" si="123"/>
        <v>298</v>
      </c>
      <c r="S163" s="584">
        <f t="shared" si="124"/>
        <v>1457</v>
      </c>
      <c r="T163" s="594">
        <f t="shared" si="125"/>
        <v>3180</v>
      </c>
      <c r="U163" s="595">
        <f t="shared" si="126"/>
        <v>1987</v>
      </c>
      <c r="V163" s="166">
        <f t="shared" si="127"/>
        <v>3313</v>
      </c>
      <c r="W163" s="167">
        <f t="shared" si="128"/>
        <v>7250</v>
      </c>
      <c r="X163" s="168">
        <f t="shared" si="129"/>
        <v>4522</v>
      </c>
      <c r="Y163" s="166">
        <f t="shared" si="130"/>
        <v>3967</v>
      </c>
      <c r="Z163" s="167">
        <f t="shared" si="131"/>
        <v>8204</v>
      </c>
      <c r="AA163" s="168">
        <f t="shared" si="132"/>
        <v>4820</v>
      </c>
      <c r="AB163" s="166">
        <f t="shared" si="133"/>
        <v>4185</v>
      </c>
      <c r="AC163" s="167">
        <f t="shared" si="134"/>
        <v>9635</v>
      </c>
      <c r="AD163" s="168">
        <f t="shared" si="135"/>
        <v>5714</v>
      </c>
      <c r="AE163" s="166">
        <f t="shared" si="136"/>
        <v>4621</v>
      </c>
      <c r="AF163" s="167">
        <f t="shared" si="137"/>
        <v>10589</v>
      </c>
      <c r="AG163" s="168">
        <f t="shared" si="138"/>
        <v>6906</v>
      </c>
      <c r="AH163" s="166">
        <f t="shared" si="139"/>
        <v>5493</v>
      </c>
      <c r="AI163" s="167">
        <f t="shared" si="140"/>
        <v>11543</v>
      </c>
      <c r="AJ163" s="168">
        <f t="shared" si="141"/>
        <v>7502</v>
      </c>
      <c r="AK163" s="169">
        <f t="shared" si="142"/>
        <v>5945</v>
      </c>
      <c r="AL163" s="167">
        <f t="shared" si="143"/>
        <v>12974</v>
      </c>
      <c r="AM163" s="585">
        <f t="shared" si="144"/>
        <v>8108</v>
      </c>
      <c r="AN163" s="596">
        <v>0.2</v>
      </c>
      <c r="AO163" s="597">
        <v>0.23</v>
      </c>
      <c r="AP163" s="597">
        <v>0.26</v>
      </c>
      <c r="AQ163" s="598">
        <v>0.28999999999999998</v>
      </c>
      <c r="AR163" s="599">
        <v>0.32</v>
      </c>
      <c r="AS163" s="586"/>
      <c r="AT163" s="587"/>
      <c r="AU163" s="587"/>
      <c r="AV163" s="588"/>
      <c r="AW163" s="589"/>
      <c r="AX163" s="596">
        <v>0.05</v>
      </c>
      <c r="AY163" s="598">
        <v>5.5E-2</v>
      </c>
      <c r="AZ163" s="598">
        <v>0.06</v>
      </c>
      <c r="BA163" s="598">
        <v>6.5000000000000002E-2</v>
      </c>
      <c r="BB163" s="598">
        <v>7.0000000000000007E-2</v>
      </c>
      <c r="BC163" s="590"/>
      <c r="BD163" s="631"/>
      <c r="BE163" s="596"/>
      <c r="BF163" s="598"/>
      <c r="BG163" s="598"/>
      <c r="BH163" s="598"/>
      <c r="BI163" s="598"/>
      <c r="BJ163" s="598"/>
      <c r="BK163" s="605"/>
      <c r="BL163" s="658">
        <f t="shared" si="145"/>
        <v>26500</v>
      </c>
      <c r="BM163" s="3">
        <f t="shared" si="146"/>
        <v>22</v>
      </c>
      <c r="BN163" s="3">
        <f t="shared" si="147"/>
        <v>48</v>
      </c>
      <c r="BO163" s="3">
        <f t="shared" si="148"/>
        <v>30</v>
      </c>
    </row>
    <row r="164" spans="2:67">
      <c r="B164" s="207" t="s">
        <v>409</v>
      </c>
      <c r="C164" s="890" t="s">
        <v>357</v>
      </c>
      <c r="D164" s="890" t="s">
        <v>358</v>
      </c>
      <c r="E164" s="238" t="s">
        <v>125</v>
      </c>
      <c r="F164" s="592">
        <v>161</v>
      </c>
      <c r="G164" s="593">
        <v>3807</v>
      </c>
      <c r="H164" s="594">
        <v>4350</v>
      </c>
      <c r="I164" s="595">
        <v>5440</v>
      </c>
      <c r="J164" s="166">
        <f t="shared" si="115"/>
        <v>76</v>
      </c>
      <c r="K164" s="167">
        <f t="shared" si="116"/>
        <v>87</v>
      </c>
      <c r="L164" s="168">
        <f t="shared" si="117"/>
        <v>108</v>
      </c>
      <c r="M164" s="166">
        <f t="shared" si="118"/>
        <v>114</v>
      </c>
      <c r="N164" s="167">
        <f t="shared" si="119"/>
        <v>130</v>
      </c>
      <c r="O164" s="168">
        <f t="shared" si="120"/>
        <v>163</v>
      </c>
      <c r="P164" s="169">
        <f t="shared" si="121"/>
        <v>152</v>
      </c>
      <c r="Q164" s="169">
        <f t="shared" si="122"/>
        <v>174</v>
      </c>
      <c r="R164" s="169">
        <f t="shared" si="123"/>
        <v>217</v>
      </c>
      <c r="S164" s="584">
        <f t="shared" si="124"/>
        <v>1142</v>
      </c>
      <c r="T164" s="594">
        <f t="shared" si="125"/>
        <v>1305</v>
      </c>
      <c r="U164" s="595">
        <f t="shared" si="126"/>
        <v>1632</v>
      </c>
      <c r="V164" s="166">
        <f t="shared" si="127"/>
        <v>2358</v>
      </c>
      <c r="W164" s="167">
        <f t="shared" si="128"/>
        <v>2692</v>
      </c>
      <c r="X164" s="168">
        <f t="shared" si="129"/>
        <v>3370</v>
      </c>
      <c r="Y164" s="166">
        <f t="shared" si="130"/>
        <v>2662</v>
      </c>
      <c r="Z164" s="167">
        <f t="shared" si="131"/>
        <v>3040</v>
      </c>
      <c r="AA164" s="168">
        <f t="shared" si="132"/>
        <v>3804</v>
      </c>
      <c r="AB164" s="166">
        <f t="shared" si="133"/>
        <v>2966</v>
      </c>
      <c r="AC164" s="167">
        <f t="shared" si="134"/>
        <v>3388</v>
      </c>
      <c r="AD164" s="168">
        <f t="shared" si="135"/>
        <v>4238</v>
      </c>
      <c r="AE164" s="166">
        <f t="shared" si="136"/>
        <v>3118</v>
      </c>
      <c r="AF164" s="167">
        <f t="shared" si="137"/>
        <v>3736</v>
      </c>
      <c r="AG164" s="168">
        <f t="shared" si="138"/>
        <v>4672</v>
      </c>
      <c r="AH164" s="166">
        <f t="shared" si="139"/>
        <v>3422</v>
      </c>
      <c r="AI164" s="167">
        <f t="shared" si="140"/>
        <v>3910</v>
      </c>
      <c r="AJ164" s="168">
        <f t="shared" si="141"/>
        <v>5323</v>
      </c>
      <c r="AK164" s="169">
        <f t="shared" si="142"/>
        <v>3883</v>
      </c>
      <c r="AL164" s="167">
        <f t="shared" si="143"/>
        <v>4437</v>
      </c>
      <c r="AM164" s="585">
        <f t="shared" si="144"/>
        <v>5548</v>
      </c>
      <c r="AN164" s="596">
        <v>0.08</v>
      </c>
      <c r="AO164" s="597">
        <v>8.5000000000000006E-2</v>
      </c>
      <c r="AP164" s="597">
        <v>0.09</v>
      </c>
      <c r="AQ164" s="598">
        <v>9.5000000000000001E-2</v>
      </c>
      <c r="AR164" s="599">
        <v>0.1</v>
      </c>
      <c r="AS164" s="586"/>
      <c r="AT164" s="587"/>
      <c r="AU164" s="587"/>
      <c r="AV164" s="588"/>
      <c r="AW164" s="589"/>
      <c r="AX164" s="596">
        <v>0.02</v>
      </c>
      <c r="AY164" s="598">
        <v>2.3E-2</v>
      </c>
      <c r="AZ164" s="598">
        <v>2.5999999999999999E-2</v>
      </c>
      <c r="BA164" s="598">
        <v>2.9000000000000001E-2</v>
      </c>
      <c r="BB164" s="598">
        <v>3.2000000000000001E-2</v>
      </c>
      <c r="BC164" s="590"/>
      <c r="BD164" s="631"/>
      <c r="BE164" s="596"/>
      <c r="BF164" s="598"/>
      <c r="BG164" s="598"/>
      <c r="BH164" s="598"/>
      <c r="BI164" s="598"/>
      <c r="BJ164" s="598"/>
      <c r="BK164" s="605"/>
      <c r="BL164" s="658">
        <f t="shared" si="145"/>
        <v>13600</v>
      </c>
      <c r="BM164" s="3">
        <f t="shared" si="146"/>
        <v>28</v>
      </c>
      <c r="BN164" s="3">
        <f t="shared" si="147"/>
        <v>32</v>
      </c>
      <c r="BO164" s="3">
        <f t="shared" si="148"/>
        <v>40</v>
      </c>
    </row>
    <row r="165" spans="2:67">
      <c r="B165" s="207" t="s">
        <v>372</v>
      </c>
      <c r="C165" s="883" t="s">
        <v>357</v>
      </c>
      <c r="D165" s="883" t="s">
        <v>359</v>
      </c>
      <c r="E165" s="238" t="s">
        <v>125</v>
      </c>
      <c r="F165" s="592">
        <v>162</v>
      </c>
      <c r="G165" s="593">
        <v>4487</v>
      </c>
      <c r="H165" s="594">
        <v>4760</v>
      </c>
      <c r="I165" s="595">
        <v>4350</v>
      </c>
      <c r="J165" s="166">
        <f t="shared" si="115"/>
        <v>89</v>
      </c>
      <c r="K165" s="167">
        <f t="shared" si="116"/>
        <v>95</v>
      </c>
      <c r="L165" s="168">
        <f t="shared" si="117"/>
        <v>87</v>
      </c>
      <c r="M165" s="166">
        <f t="shared" si="118"/>
        <v>134</v>
      </c>
      <c r="N165" s="167">
        <f t="shared" si="119"/>
        <v>142</v>
      </c>
      <c r="O165" s="168">
        <f t="shared" si="120"/>
        <v>130</v>
      </c>
      <c r="P165" s="169">
        <f t="shared" si="121"/>
        <v>179</v>
      </c>
      <c r="Q165" s="169">
        <f t="shared" si="122"/>
        <v>190</v>
      </c>
      <c r="R165" s="169">
        <f t="shared" si="123"/>
        <v>174</v>
      </c>
      <c r="S165" s="584">
        <f t="shared" si="124"/>
        <v>1346</v>
      </c>
      <c r="T165" s="594">
        <f t="shared" si="125"/>
        <v>1428</v>
      </c>
      <c r="U165" s="595">
        <f t="shared" si="126"/>
        <v>1305</v>
      </c>
      <c r="V165" s="166">
        <f t="shared" si="127"/>
        <v>2775</v>
      </c>
      <c r="W165" s="167">
        <f t="shared" si="128"/>
        <v>2943</v>
      </c>
      <c r="X165" s="168">
        <f t="shared" si="129"/>
        <v>2692</v>
      </c>
      <c r="Y165" s="166">
        <f t="shared" si="130"/>
        <v>3133</v>
      </c>
      <c r="Z165" s="167">
        <f t="shared" si="131"/>
        <v>3323</v>
      </c>
      <c r="AA165" s="168">
        <f t="shared" si="132"/>
        <v>3040</v>
      </c>
      <c r="AB165" s="166">
        <f t="shared" si="133"/>
        <v>3491</v>
      </c>
      <c r="AC165" s="167">
        <f t="shared" si="134"/>
        <v>3703</v>
      </c>
      <c r="AD165" s="168">
        <f t="shared" si="135"/>
        <v>3388</v>
      </c>
      <c r="AE165" s="166">
        <f t="shared" si="136"/>
        <v>3849</v>
      </c>
      <c r="AF165" s="167">
        <f t="shared" si="137"/>
        <v>3893</v>
      </c>
      <c r="AG165" s="168">
        <f t="shared" si="138"/>
        <v>3736</v>
      </c>
      <c r="AH165" s="166">
        <f t="shared" si="139"/>
        <v>4386</v>
      </c>
      <c r="AI165" s="167">
        <f t="shared" si="140"/>
        <v>4273</v>
      </c>
      <c r="AJ165" s="168">
        <f t="shared" si="141"/>
        <v>3910</v>
      </c>
      <c r="AK165" s="169">
        <f t="shared" si="142"/>
        <v>4576</v>
      </c>
      <c r="AL165" s="167">
        <f t="shared" si="143"/>
        <v>4855</v>
      </c>
      <c r="AM165" s="585">
        <f t="shared" si="144"/>
        <v>4437</v>
      </c>
      <c r="AN165" s="596">
        <v>0.2</v>
      </c>
      <c r="AO165" s="597">
        <v>0.23</v>
      </c>
      <c r="AP165" s="597">
        <v>0.26</v>
      </c>
      <c r="AQ165" s="598">
        <v>0.28999999999999998</v>
      </c>
      <c r="AR165" s="599">
        <v>0.32</v>
      </c>
      <c r="AS165" s="586"/>
      <c r="AT165" s="587"/>
      <c r="AU165" s="587"/>
      <c r="AV165" s="588"/>
      <c r="AW165" s="589"/>
      <c r="AX165" s="596">
        <v>0.02</v>
      </c>
      <c r="AY165" s="598">
        <v>2.3E-2</v>
      </c>
      <c r="AZ165" s="598">
        <v>2.5999999999999999E-2</v>
      </c>
      <c r="BA165" s="598">
        <v>2.9000000000000001E-2</v>
      </c>
      <c r="BB165" s="598">
        <v>3.2000000000000001E-2</v>
      </c>
      <c r="BC165" s="590"/>
      <c r="BD165" s="631"/>
      <c r="BE165" s="596"/>
      <c r="BF165" s="598"/>
      <c r="BG165" s="598"/>
      <c r="BH165" s="598"/>
      <c r="BI165" s="598"/>
      <c r="BJ165" s="598"/>
      <c r="BK165" s="605"/>
      <c r="BL165" s="658">
        <f t="shared" si="145"/>
        <v>13600</v>
      </c>
      <c r="BM165" s="3">
        <f t="shared" si="146"/>
        <v>33</v>
      </c>
      <c r="BN165" s="3">
        <f t="shared" si="147"/>
        <v>35</v>
      </c>
      <c r="BO165" s="3">
        <f t="shared" si="148"/>
        <v>32</v>
      </c>
    </row>
    <row r="166" spans="2:67">
      <c r="B166" s="1269" t="s">
        <v>1971</v>
      </c>
      <c r="C166" s="1265" t="s">
        <v>309</v>
      </c>
      <c r="D166" s="1265" t="s">
        <v>14</v>
      </c>
      <c r="E166" s="238" t="s">
        <v>126</v>
      </c>
      <c r="F166" s="1270">
        <v>163</v>
      </c>
      <c r="G166" s="593">
        <v>9280</v>
      </c>
      <c r="H166" s="594">
        <v>5800</v>
      </c>
      <c r="I166" s="595">
        <v>13920</v>
      </c>
      <c r="J166" s="166">
        <f t="shared" si="115"/>
        <v>185</v>
      </c>
      <c r="K166" s="167">
        <f t="shared" si="116"/>
        <v>116</v>
      </c>
      <c r="L166" s="168">
        <f t="shared" si="117"/>
        <v>278</v>
      </c>
      <c r="M166" s="166">
        <f t="shared" si="118"/>
        <v>232</v>
      </c>
      <c r="N166" s="167">
        <f t="shared" si="119"/>
        <v>145</v>
      </c>
      <c r="O166" s="168">
        <f t="shared" si="120"/>
        <v>348</v>
      </c>
      <c r="P166" s="169">
        <f t="shared" si="121"/>
        <v>348</v>
      </c>
      <c r="Q166" s="169">
        <f t="shared" si="122"/>
        <v>217</v>
      </c>
      <c r="R166" s="169">
        <f t="shared" si="123"/>
        <v>522</v>
      </c>
      <c r="S166" s="584">
        <f t="shared" si="124"/>
        <v>2320</v>
      </c>
      <c r="T166" s="594">
        <f t="shared" si="125"/>
        <v>1450</v>
      </c>
      <c r="U166" s="595">
        <f t="shared" si="126"/>
        <v>3480</v>
      </c>
      <c r="V166" s="166">
        <f t="shared" si="127"/>
        <v>5289</v>
      </c>
      <c r="W166" s="167">
        <f t="shared" si="128"/>
        <v>3306</v>
      </c>
      <c r="X166" s="168">
        <f t="shared" si="129"/>
        <v>7934</v>
      </c>
      <c r="Y166" s="166">
        <f t="shared" si="130"/>
        <v>5637</v>
      </c>
      <c r="Z166" s="167">
        <f t="shared" si="131"/>
        <v>3957</v>
      </c>
      <c r="AA166" s="168">
        <f t="shared" si="132"/>
        <v>8978</v>
      </c>
      <c r="AB166" s="166">
        <f t="shared" si="133"/>
        <v>6681</v>
      </c>
      <c r="AC166" s="167">
        <f t="shared" si="134"/>
        <v>4174</v>
      </c>
      <c r="AD166" s="168">
        <f t="shared" si="135"/>
        <v>10544</v>
      </c>
      <c r="AE166" s="166">
        <f t="shared" si="136"/>
        <v>8073</v>
      </c>
      <c r="AF166" s="167">
        <f t="shared" si="137"/>
        <v>4608</v>
      </c>
      <c r="AG166" s="168">
        <f t="shared" si="138"/>
        <v>11588</v>
      </c>
      <c r="AH166" s="166">
        <f t="shared" si="139"/>
        <v>8769</v>
      </c>
      <c r="AI166" s="167">
        <f t="shared" si="140"/>
        <v>5476</v>
      </c>
      <c r="AJ166" s="168">
        <f t="shared" si="141"/>
        <v>12632</v>
      </c>
      <c r="AK166" s="169">
        <f t="shared" si="142"/>
        <v>9465</v>
      </c>
      <c r="AL166" s="167">
        <f t="shared" si="143"/>
        <v>5916</v>
      </c>
      <c r="AM166" s="585">
        <f t="shared" si="144"/>
        <v>14198</v>
      </c>
      <c r="AN166" s="596">
        <v>7.0000000000000007E-2</v>
      </c>
      <c r="AO166" s="597">
        <v>7.4999999999999997E-2</v>
      </c>
      <c r="AP166" s="597">
        <v>0.08</v>
      </c>
      <c r="AQ166" s="598">
        <v>8.5000000000000006E-2</v>
      </c>
      <c r="AR166" s="599">
        <v>0.09</v>
      </c>
      <c r="AS166" s="586"/>
      <c r="AT166" s="587"/>
      <c r="AU166" s="587"/>
      <c r="AV166" s="588"/>
      <c r="AW166" s="589"/>
      <c r="AX166" s="596">
        <v>0.03</v>
      </c>
      <c r="AY166" s="598">
        <v>3.3000000000000002E-2</v>
      </c>
      <c r="AZ166" s="598">
        <v>3.5999999999999997E-2</v>
      </c>
      <c r="BA166" s="598">
        <v>3.9E-2</v>
      </c>
      <c r="BB166" s="598">
        <v>4.2000000000000003E-2</v>
      </c>
      <c r="BC166" s="590"/>
      <c r="BD166" s="631"/>
      <c r="BE166" s="596"/>
      <c r="BF166" s="598"/>
      <c r="BG166" s="598"/>
      <c r="BH166" s="598"/>
      <c r="BI166" s="598"/>
      <c r="BJ166" s="598"/>
      <c r="BK166" s="605"/>
      <c r="BL166" s="658">
        <f t="shared" si="145"/>
        <v>29000</v>
      </c>
      <c r="BM166" s="3">
        <f t="shared" si="146"/>
        <v>32</v>
      </c>
      <c r="BN166" s="3">
        <f t="shared" si="147"/>
        <v>20</v>
      </c>
      <c r="BO166" s="3">
        <f t="shared" si="148"/>
        <v>48</v>
      </c>
    </row>
    <row r="167" spans="2:67">
      <c r="B167" s="1269" t="s">
        <v>1972</v>
      </c>
      <c r="C167" s="1265" t="s">
        <v>309</v>
      </c>
      <c r="D167" s="1265" t="s">
        <v>23</v>
      </c>
      <c r="E167" s="238" t="s">
        <v>126</v>
      </c>
      <c r="F167" s="1270">
        <v>164</v>
      </c>
      <c r="G167" s="593">
        <v>8260</v>
      </c>
      <c r="H167" s="594">
        <v>13864</v>
      </c>
      <c r="I167" s="595">
        <v>7373</v>
      </c>
      <c r="J167" s="166">
        <f t="shared" si="115"/>
        <v>165</v>
      </c>
      <c r="K167" s="167">
        <f t="shared" si="116"/>
        <v>277</v>
      </c>
      <c r="L167" s="168">
        <f t="shared" si="117"/>
        <v>147</v>
      </c>
      <c r="M167" s="166">
        <f t="shared" si="118"/>
        <v>206</v>
      </c>
      <c r="N167" s="167">
        <f t="shared" si="119"/>
        <v>346</v>
      </c>
      <c r="O167" s="168">
        <f t="shared" si="120"/>
        <v>184</v>
      </c>
      <c r="P167" s="169">
        <f t="shared" si="121"/>
        <v>309</v>
      </c>
      <c r="Q167" s="169">
        <f t="shared" si="122"/>
        <v>519</v>
      </c>
      <c r="R167" s="169">
        <f t="shared" si="123"/>
        <v>276</v>
      </c>
      <c r="S167" s="584">
        <f t="shared" ref="S167:S195" si="149">ROUND(IF($C167="UR",G167*0.25,G167*0.3),0)</f>
        <v>2065</v>
      </c>
      <c r="T167" s="594">
        <f t="shared" ref="T167:T195" si="150">ROUND(IF($C167="UR",H167*0.25,H167*0.3),0)</f>
        <v>3466</v>
      </c>
      <c r="U167" s="595">
        <f t="shared" ref="U167:U195" si="151">ROUND(IF($C167="UR",I167*0.25,I167*0.3),0)</f>
        <v>1843</v>
      </c>
      <c r="V167" s="166">
        <f t="shared" ref="V167:V195" si="152">(IF($C167="UR",IF($E167="party卡",18,12))+IF($C167="SR",10)+IF($C167="R",8))*M167+J167+S167</f>
        <v>4702</v>
      </c>
      <c r="W167" s="167">
        <f t="shared" ref="W167:W195" si="153">(IF($C167="UR",IF($E167="party卡",18,12))+IF($C167="SR",10)+IF($C167="R",8))*N167+K167+T167</f>
        <v>7895</v>
      </c>
      <c r="X167" s="168">
        <f t="shared" ref="X167:X195" si="154">(IF($C167="UR",IF($E167="party卡",18,12))+IF($C167="SR",10)+IF($C167="R",8))*O167+L167+U167</f>
        <v>4198</v>
      </c>
      <c r="Y167" s="166">
        <f t="shared" ref="Y167:Y195" si="155">V167+(IF(C167="UR",IF(E167="party卡",IF(D167="gd",1,2),IF(D167="vo",2)+IF(D167="sp",1)+IF(D167="gd",3)+IF(D167="sk",1)))+IF(C167="SR",2)+IF(C167="R",IF(D167="vo",1)+IF(D167="sp",2)+IF(D167="gd",1)+IF(D167="sk",2)))*P167</f>
        <v>5629</v>
      </c>
      <c r="Z167" s="167">
        <f t="shared" ref="Z167:Z195" si="156">W167+(IF(C167="UR",IF(E167="party卡",IF(D167="sp",1,2),IF(D167="vo",1)+IF(D167="sp",3)+IF(D167="gd",2)+IF(D167="sk",2)))+IF(C167="SR",2)+IF(C167="R",IF(D167="vo",2)+IF(D167="sp",1)+IF(D167="gd",1)+IF(D167="sk",1)))*Q167</f>
        <v>8933</v>
      </c>
      <c r="AA167" s="168">
        <f t="shared" ref="AA167:AA195" si="157">X167+(IF(C167="UR",IF(E167="party卡",IF(OR(D167="vo",D167="sk"),1,2),IF(D167="vo",3)+IF(D167="sp",2)+IF(D167="gd",1)+IF(D167="sk",3)))+IF(C167="SR",2)+IF(C167="R",IF(D167="vo",1)+IF(D167="sp",1)+IF(D167="gd",2)+IF(D167="sk",1)))*R167</f>
        <v>4474</v>
      </c>
      <c r="AB167" s="166">
        <f t="shared" ref="AB167:AB195" si="158">V167+(IF(C167="UR",IF(E167="party卡",IF(OR(D167="sp",D167="sk"),3,2),IF(D167="vo",5)+IF(D167="sp",4)+IF(D167="gd",4)+IF(D167="sk",4)))+IF(C167="SR",4)+IF(C167="R",IF(D167="vo",3)+IF(D167="sp",3)+IF(D167="gd",2)+IF(D167="sk",3)))*P167</f>
        <v>5938</v>
      </c>
      <c r="AC167" s="167">
        <f t="shared" ref="AC167:AC195" si="159">W167+(IF(C167="UR",IF(E167="party卡",IF(D167="vo",3,2),IF(D167="vo",4)+IF(D167="sp",4)+IF(D167="gd",5)+IF(D167="sk",5)))+IF(C167="SR",4)+IF(C167="R",IF(D167="vo",3)+IF(D167="sp",2)+IF(D167="gd",3)+IF(D167="sk",3)))*Q167</f>
        <v>10490</v>
      </c>
      <c r="AD167" s="168">
        <f t="shared" ref="AD167:AD195" si="160">X167+(IF(C167="UR",IF(E167="party卡",IF(D167="gd",3,2),IF(D167="vo",4)+IF(D167="sp",5)+IF(D167="gd",4)+IF(D167="sk",4)))+IF(C167="SR",4)+IF(C167="R",IF(D167="vo",2)+IF(D167="sp",3)+IF(D167="gd",3)+IF(D167="sk",2)))*R167</f>
        <v>5302</v>
      </c>
      <c r="AE167" s="166">
        <f t="shared" ref="AE167:AE195" si="161">V167+(IF(C167="UR",IF(E167="party卡",3,IF(D167="vo",7)+IF(D167="sp",8)+IF(D167="gd",6)+IF(D167="sk",8)))+IF(C167="SR",IF(D167="vo",5)+IF(D167="sp",6)+IF(D167="gd",6)+IF(D167="sk",6))+IF(C167="R",IF(D167="vo",5)+IF(D167="sp",4)+IF(D167="gd",4)+IF(D167="sk",4)))*P167</f>
        <v>6556</v>
      </c>
      <c r="AF167" s="167">
        <f t="shared" ref="AF167:AF195" si="162">W167+(IF(C167="UR",IF(E167="party卡",3,IF(D167="vo",8)+IF(D167="sp",6)+IF(D167="gd",7)+IF(D167="sk",7)))+IF(C167="SR",IF(D167="vo",6)+IF(D167="sp",6)+IF(D167="gd",5)+IF(D167="sk",5))+IF(C167="R",IF(D167="vo",4)+IF(D167="sp",4)+IF(D167="gd",5)+IF(D167="sk",5)))*Q167</f>
        <v>11528</v>
      </c>
      <c r="AG167" s="168">
        <f t="shared" ref="AG167:AG195" si="163">X167+(IF(C167="UR",IF(E167="party卡",3,IF(D167="vo",6)+IF(D167="sp",7)+IF(D167="gd",8)+IF(D167="sk",6)))+IF(C167="SR",IF(D167="vo",6)+IF(D167="sp",5)+IF(D167="gd",6)+IF(D167="sk",6))+IF(C167="R",IF(D167="vo",4)+IF(D167="sp",5)+IF(D167="gd",4)+IF(D167="sk",4)))*R167</f>
        <v>6406</v>
      </c>
      <c r="AH167" s="166">
        <f t="shared" si="139"/>
        <v>7792</v>
      </c>
      <c r="AI167" s="167">
        <f t="shared" ref="AI167:AI195" si="164">W167+(IF(C167="UR",IF(E167="party卡",4,IF(D167="vo",10)+IF(D167="sp",10)+IF(D167="gd",9)+IF(D167="sk",9)))+IF(C167="SR",IF(D167="vo",7)+IF(D167="sp",9)+IF(D167="gd",7)+IF(D167="sk",7))+IF(C167="R",IF(D167="vo",6)+IF(D167="sp",6)+IF(D167="gd",7)+IF(D167="sk",7)))*Q167</f>
        <v>12566</v>
      </c>
      <c r="AJ167" s="168">
        <f t="shared" ref="AJ167:AJ195" si="165">X167+(IF(C167="UR",IF(E167="party卡",4,IF(D167="vo",10)+IF(D167="sp",9)+IF(D167="gd",10)+IF(D167="sk",10)))+IF(C167="SR",IF(D167="vo",9)+IF(D167="sp",7)+IF(D167="gd",7)+IF(D167="sk",9))+IF(C167="R",IF(D167="vo",6)+IF(D167="sp",7)+IF(D167="gd",6)+IF(D167="sk",6)))*R167</f>
        <v>6958</v>
      </c>
      <c r="AK167" s="169">
        <f t="shared" ref="AK167:AK195" si="166">G167+J167</f>
        <v>8425</v>
      </c>
      <c r="AL167" s="167">
        <f t="shared" ref="AL167:AL195" si="167">H167+K167</f>
        <v>14141</v>
      </c>
      <c r="AM167" s="585">
        <f t="shared" ref="AM167:AM195" si="168">I167+L167</f>
        <v>7520</v>
      </c>
      <c r="AN167" s="596">
        <v>0.28000000000000003</v>
      </c>
      <c r="AO167" s="597">
        <v>0.31</v>
      </c>
      <c r="AP167" s="597">
        <v>0.34</v>
      </c>
      <c r="AQ167" s="598">
        <v>0.37</v>
      </c>
      <c r="AR167" s="599">
        <v>0.4</v>
      </c>
      <c r="AS167" s="586"/>
      <c r="AT167" s="587"/>
      <c r="AU167" s="587"/>
      <c r="AV167" s="588"/>
      <c r="AW167" s="589"/>
      <c r="AX167" s="596">
        <v>0.04</v>
      </c>
      <c r="AY167" s="598">
        <v>4.2999999999999997E-2</v>
      </c>
      <c r="AZ167" s="598">
        <v>4.5999999999999999E-2</v>
      </c>
      <c r="BA167" s="598">
        <v>4.9000000000000002E-2</v>
      </c>
      <c r="BB167" s="598">
        <v>5.1999999999999998E-2</v>
      </c>
      <c r="BC167" s="590"/>
      <c r="BD167" s="631"/>
      <c r="BE167" s="596"/>
      <c r="BF167" s="598"/>
      <c r="BG167" s="598"/>
      <c r="BH167" s="598"/>
      <c r="BI167" s="598"/>
      <c r="BJ167" s="598"/>
      <c r="BK167" s="605"/>
      <c r="BL167" s="658">
        <f t="shared" si="145"/>
        <v>29500</v>
      </c>
      <c r="BM167" s="3">
        <f t="shared" si="146"/>
        <v>28</v>
      </c>
      <c r="BN167" s="3">
        <f t="shared" si="147"/>
        <v>47</v>
      </c>
      <c r="BO167" s="3">
        <f t="shared" si="148"/>
        <v>25</v>
      </c>
    </row>
    <row r="168" spans="2:67">
      <c r="B168" s="207" t="s">
        <v>450</v>
      </c>
      <c r="C168" s="890" t="s">
        <v>357</v>
      </c>
      <c r="D168" s="890" t="s">
        <v>14</v>
      </c>
      <c r="E168" s="238" t="s">
        <v>65</v>
      </c>
      <c r="F168" s="592">
        <v>165</v>
      </c>
      <c r="G168" s="593">
        <v>6970</v>
      </c>
      <c r="H168" s="594">
        <v>4647</v>
      </c>
      <c r="I168" s="595">
        <v>4980</v>
      </c>
      <c r="J168" s="166">
        <f t="shared" si="115"/>
        <v>139</v>
      </c>
      <c r="K168" s="167">
        <f t="shared" si="116"/>
        <v>92</v>
      </c>
      <c r="L168" s="168">
        <f t="shared" si="117"/>
        <v>99</v>
      </c>
      <c r="M168" s="166">
        <f t="shared" si="118"/>
        <v>209</v>
      </c>
      <c r="N168" s="167">
        <f t="shared" si="119"/>
        <v>139</v>
      </c>
      <c r="O168" s="168">
        <f t="shared" si="120"/>
        <v>149</v>
      </c>
      <c r="P168" s="169">
        <f t="shared" si="121"/>
        <v>278</v>
      </c>
      <c r="Q168" s="169">
        <f t="shared" si="122"/>
        <v>185</v>
      </c>
      <c r="R168" s="169">
        <f t="shared" si="123"/>
        <v>199</v>
      </c>
      <c r="S168" s="584">
        <f t="shared" si="149"/>
        <v>2091</v>
      </c>
      <c r="T168" s="594">
        <f t="shared" si="150"/>
        <v>1394</v>
      </c>
      <c r="U168" s="595">
        <f t="shared" si="151"/>
        <v>1494</v>
      </c>
      <c r="V168" s="166">
        <f t="shared" si="152"/>
        <v>4320</v>
      </c>
      <c r="W168" s="167">
        <f t="shared" si="153"/>
        <v>2876</v>
      </c>
      <c r="X168" s="168">
        <f t="shared" si="154"/>
        <v>3083</v>
      </c>
      <c r="Y168" s="166">
        <f t="shared" si="155"/>
        <v>4876</v>
      </c>
      <c r="Z168" s="167">
        <f t="shared" si="156"/>
        <v>3246</v>
      </c>
      <c r="AA168" s="168">
        <f t="shared" si="157"/>
        <v>3481</v>
      </c>
      <c r="AB168" s="166">
        <f t="shared" si="158"/>
        <v>5432</v>
      </c>
      <c r="AC168" s="167">
        <f t="shared" si="159"/>
        <v>3616</v>
      </c>
      <c r="AD168" s="168">
        <f t="shared" si="160"/>
        <v>3879</v>
      </c>
      <c r="AE168" s="166">
        <f t="shared" si="161"/>
        <v>5988</v>
      </c>
      <c r="AF168" s="167">
        <f t="shared" si="162"/>
        <v>3986</v>
      </c>
      <c r="AG168" s="168">
        <f t="shared" si="163"/>
        <v>4078</v>
      </c>
      <c r="AH168" s="166">
        <f t="shared" si="139"/>
        <v>6266</v>
      </c>
      <c r="AI168" s="167">
        <f t="shared" si="164"/>
        <v>4541</v>
      </c>
      <c r="AJ168" s="168">
        <f t="shared" si="165"/>
        <v>4476</v>
      </c>
      <c r="AK168" s="169">
        <f t="shared" si="166"/>
        <v>7109</v>
      </c>
      <c r="AL168" s="167">
        <f t="shared" si="167"/>
        <v>4739</v>
      </c>
      <c r="AM168" s="585">
        <f t="shared" si="168"/>
        <v>5079</v>
      </c>
      <c r="AN168" s="596">
        <v>0.05</v>
      </c>
      <c r="AO168" s="597">
        <v>5.5E-2</v>
      </c>
      <c r="AP168" s="597">
        <v>0.06</v>
      </c>
      <c r="AQ168" s="598">
        <v>6.5000000000000002E-2</v>
      </c>
      <c r="AR168" s="599">
        <v>7.0000000000000007E-2</v>
      </c>
      <c r="AS168" s="586"/>
      <c r="AT168" s="587"/>
      <c r="AU168" s="587"/>
      <c r="AV168" s="588"/>
      <c r="AW168" s="589"/>
      <c r="AX168" s="596">
        <v>0.02</v>
      </c>
      <c r="AY168" s="598">
        <v>2.3E-2</v>
      </c>
      <c r="AZ168" s="598">
        <v>2.5999999999999999E-2</v>
      </c>
      <c r="BA168" s="598">
        <v>2.9000000000000001E-2</v>
      </c>
      <c r="BB168" s="598">
        <v>3.2000000000000001E-2</v>
      </c>
      <c r="BC168" s="590"/>
      <c r="BD168" s="631"/>
      <c r="BE168" s="596"/>
      <c r="BF168" s="598"/>
      <c r="BG168" s="598"/>
      <c r="BH168" s="598"/>
      <c r="BI168" s="598"/>
      <c r="BJ168" s="598"/>
      <c r="BK168" s="605"/>
      <c r="BL168" s="658">
        <f t="shared" si="145"/>
        <v>16600</v>
      </c>
      <c r="BM168" s="3">
        <f t="shared" si="146"/>
        <v>42</v>
      </c>
      <c r="BN168" s="3">
        <f t="shared" si="147"/>
        <v>28</v>
      </c>
      <c r="BO168" s="3">
        <f t="shared" si="148"/>
        <v>30</v>
      </c>
    </row>
    <row r="169" spans="2:67">
      <c r="B169" s="207" t="s">
        <v>451</v>
      </c>
      <c r="C169" s="890" t="s">
        <v>357</v>
      </c>
      <c r="D169" s="890" t="s">
        <v>70</v>
      </c>
      <c r="E169" s="238" t="s">
        <v>65</v>
      </c>
      <c r="F169" s="592">
        <v>166</v>
      </c>
      <c r="G169" s="593">
        <v>4980</v>
      </c>
      <c r="H169" s="594">
        <v>6307</v>
      </c>
      <c r="I169" s="595">
        <v>5310</v>
      </c>
      <c r="J169" s="166">
        <f t="shared" si="115"/>
        <v>99</v>
      </c>
      <c r="K169" s="167">
        <f t="shared" si="116"/>
        <v>126</v>
      </c>
      <c r="L169" s="168">
        <f t="shared" si="117"/>
        <v>106</v>
      </c>
      <c r="M169" s="166">
        <f t="shared" si="118"/>
        <v>149</v>
      </c>
      <c r="N169" s="167">
        <f t="shared" si="119"/>
        <v>189</v>
      </c>
      <c r="O169" s="168">
        <f t="shared" si="120"/>
        <v>159</v>
      </c>
      <c r="P169" s="169">
        <f t="shared" si="121"/>
        <v>199</v>
      </c>
      <c r="Q169" s="169">
        <f t="shared" si="122"/>
        <v>252</v>
      </c>
      <c r="R169" s="169">
        <f t="shared" si="123"/>
        <v>212</v>
      </c>
      <c r="S169" s="584">
        <f t="shared" si="149"/>
        <v>1494</v>
      </c>
      <c r="T169" s="594">
        <f t="shared" si="150"/>
        <v>1892</v>
      </c>
      <c r="U169" s="595">
        <f t="shared" si="151"/>
        <v>1593</v>
      </c>
      <c r="V169" s="166">
        <f t="shared" si="152"/>
        <v>3083</v>
      </c>
      <c r="W169" s="167">
        <f t="shared" si="153"/>
        <v>3908</v>
      </c>
      <c r="X169" s="168">
        <f t="shared" si="154"/>
        <v>3289</v>
      </c>
      <c r="Y169" s="166">
        <f t="shared" si="155"/>
        <v>3481</v>
      </c>
      <c r="Z169" s="167">
        <f t="shared" si="156"/>
        <v>4412</v>
      </c>
      <c r="AA169" s="168">
        <f t="shared" si="157"/>
        <v>3713</v>
      </c>
      <c r="AB169" s="166">
        <f t="shared" si="158"/>
        <v>3879</v>
      </c>
      <c r="AC169" s="167">
        <f t="shared" si="159"/>
        <v>4916</v>
      </c>
      <c r="AD169" s="168">
        <f t="shared" si="160"/>
        <v>4137</v>
      </c>
      <c r="AE169" s="166">
        <f t="shared" si="161"/>
        <v>4277</v>
      </c>
      <c r="AF169" s="167">
        <f t="shared" si="162"/>
        <v>5168</v>
      </c>
      <c r="AG169" s="168">
        <f t="shared" si="163"/>
        <v>4561</v>
      </c>
      <c r="AH169" s="166">
        <f t="shared" si="139"/>
        <v>4476</v>
      </c>
      <c r="AI169" s="167">
        <f t="shared" si="164"/>
        <v>5672</v>
      </c>
      <c r="AJ169" s="168">
        <f t="shared" si="165"/>
        <v>5197</v>
      </c>
      <c r="AK169" s="169">
        <f t="shared" si="166"/>
        <v>5079</v>
      </c>
      <c r="AL169" s="167">
        <f t="shared" si="167"/>
        <v>6433</v>
      </c>
      <c r="AM169" s="585">
        <f t="shared" si="168"/>
        <v>5416</v>
      </c>
      <c r="AN169" s="596">
        <v>0.02</v>
      </c>
      <c r="AO169" s="597">
        <v>2.3E-2</v>
      </c>
      <c r="AP169" s="597">
        <v>2.5999999999999999E-2</v>
      </c>
      <c r="AQ169" s="598">
        <v>2.9000000000000001E-2</v>
      </c>
      <c r="AR169" s="599">
        <v>3.2000000000000001E-2</v>
      </c>
      <c r="AS169" s="586"/>
      <c r="AT169" s="587"/>
      <c r="AU169" s="587"/>
      <c r="AV169" s="588"/>
      <c r="AW169" s="589"/>
      <c r="AX169" s="596">
        <v>0.02</v>
      </c>
      <c r="AY169" s="598">
        <v>2.3199999999999998E-2</v>
      </c>
      <c r="AZ169" s="598">
        <v>2.5999999999999999E-2</v>
      </c>
      <c r="BA169" s="598">
        <v>2.9000000000000001E-2</v>
      </c>
      <c r="BB169" s="598">
        <v>3.2000000000000001E-2</v>
      </c>
      <c r="BC169" s="590"/>
      <c r="BD169" s="631"/>
      <c r="BE169" s="596"/>
      <c r="BF169" s="598"/>
      <c r="BG169" s="598"/>
      <c r="BH169" s="598"/>
      <c r="BI169" s="598"/>
      <c r="BJ169" s="598"/>
      <c r="BK169" s="605"/>
      <c r="BL169" s="658">
        <f t="shared" si="145"/>
        <v>16600</v>
      </c>
      <c r="BM169" s="3">
        <f t="shared" si="146"/>
        <v>30</v>
      </c>
      <c r="BN169" s="3">
        <f t="shared" si="147"/>
        <v>38</v>
      </c>
      <c r="BO169" s="3">
        <f t="shared" si="148"/>
        <v>32</v>
      </c>
    </row>
    <row r="170" spans="2:67">
      <c r="B170" s="1269" t="s">
        <v>102</v>
      </c>
      <c r="C170" s="1265" t="s">
        <v>309</v>
      </c>
      <c r="D170" s="1265" t="s">
        <v>70</v>
      </c>
      <c r="E170" s="1267" t="s">
        <v>65</v>
      </c>
      <c r="F170" s="1270">
        <v>167</v>
      </c>
      <c r="G170" s="593">
        <v>8480</v>
      </c>
      <c r="H170" s="594">
        <v>5564</v>
      </c>
      <c r="I170" s="595">
        <v>12453</v>
      </c>
      <c r="J170" s="166">
        <f t="shared" si="115"/>
        <v>169</v>
      </c>
      <c r="K170" s="167">
        <f t="shared" si="116"/>
        <v>111</v>
      </c>
      <c r="L170" s="168">
        <f t="shared" si="117"/>
        <v>249</v>
      </c>
      <c r="M170" s="166">
        <f t="shared" si="118"/>
        <v>212</v>
      </c>
      <c r="N170" s="167">
        <f t="shared" si="119"/>
        <v>139</v>
      </c>
      <c r="O170" s="168">
        <f t="shared" si="120"/>
        <v>311</v>
      </c>
      <c r="P170" s="169">
        <f t="shared" si="121"/>
        <v>318</v>
      </c>
      <c r="Q170" s="169">
        <f t="shared" si="122"/>
        <v>208</v>
      </c>
      <c r="R170" s="169">
        <f t="shared" si="123"/>
        <v>467</v>
      </c>
      <c r="S170" s="584">
        <f t="shared" si="149"/>
        <v>2120</v>
      </c>
      <c r="T170" s="594">
        <f t="shared" si="150"/>
        <v>1391</v>
      </c>
      <c r="U170" s="595">
        <f t="shared" si="151"/>
        <v>3113</v>
      </c>
      <c r="V170" s="166">
        <f t="shared" si="152"/>
        <v>4833</v>
      </c>
      <c r="W170" s="167">
        <f t="shared" si="153"/>
        <v>3170</v>
      </c>
      <c r="X170" s="168">
        <f t="shared" si="154"/>
        <v>7094</v>
      </c>
      <c r="Y170" s="166">
        <f t="shared" si="155"/>
        <v>5151</v>
      </c>
      <c r="Z170" s="167">
        <f t="shared" si="156"/>
        <v>3586</v>
      </c>
      <c r="AA170" s="168">
        <f t="shared" si="157"/>
        <v>8495</v>
      </c>
      <c r="AB170" s="166">
        <f t="shared" si="158"/>
        <v>6105</v>
      </c>
      <c r="AC170" s="167">
        <f t="shared" si="159"/>
        <v>4210</v>
      </c>
      <c r="AD170" s="168">
        <f t="shared" si="160"/>
        <v>8962</v>
      </c>
      <c r="AE170" s="166">
        <f t="shared" si="161"/>
        <v>7377</v>
      </c>
      <c r="AF170" s="167">
        <f t="shared" si="162"/>
        <v>4626</v>
      </c>
      <c r="AG170" s="168">
        <f t="shared" si="163"/>
        <v>9896</v>
      </c>
      <c r="AH170" s="166">
        <f t="shared" si="139"/>
        <v>8013</v>
      </c>
      <c r="AI170" s="167">
        <f t="shared" si="164"/>
        <v>5042</v>
      </c>
      <c r="AJ170" s="168">
        <f t="shared" si="165"/>
        <v>11764</v>
      </c>
      <c r="AK170" s="169">
        <f t="shared" si="166"/>
        <v>8649</v>
      </c>
      <c r="AL170" s="167">
        <f t="shared" si="167"/>
        <v>5675</v>
      </c>
      <c r="AM170" s="585">
        <f t="shared" si="168"/>
        <v>12702</v>
      </c>
      <c r="AN170" s="596">
        <v>0.05</v>
      </c>
      <c r="AO170" s="597">
        <v>5.2999999999999999E-2</v>
      </c>
      <c r="AP170" s="597">
        <v>5.6000000000000001E-2</v>
      </c>
      <c r="AQ170" s="598">
        <v>5.8999999999999997E-2</v>
      </c>
      <c r="AR170" s="599">
        <v>6.2E-2</v>
      </c>
      <c r="AS170" s="586"/>
      <c r="AT170" s="587"/>
      <c r="AU170" s="587"/>
      <c r="AV170" s="588"/>
      <c r="AW170" s="589"/>
      <c r="AX170" s="596">
        <v>0.04</v>
      </c>
      <c r="AY170" s="598">
        <v>4.2999999999999997E-2</v>
      </c>
      <c r="AZ170" s="598">
        <v>4.5999999999999999E-2</v>
      </c>
      <c r="BA170" s="598">
        <v>4.9000000000000002E-2</v>
      </c>
      <c r="BB170" s="598">
        <v>5.1999999999999998E-2</v>
      </c>
      <c r="BC170" s="590"/>
      <c r="BD170" s="631"/>
      <c r="BE170" s="596"/>
      <c r="BF170" s="598"/>
      <c r="BG170" s="598"/>
      <c r="BH170" s="598"/>
      <c r="BI170" s="598"/>
      <c r="BJ170" s="598"/>
      <c r="BK170" s="605"/>
      <c r="BL170" s="658">
        <f t="shared" si="145"/>
        <v>26500</v>
      </c>
      <c r="BM170" s="3">
        <f t="shared" si="146"/>
        <v>32</v>
      </c>
      <c r="BN170" s="3">
        <f t="shared" si="147"/>
        <v>21</v>
      </c>
      <c r="BO170" s="3">
        <f t="shared" si="148"/>
        <v>47</v>
      </c>
    </row>
    <row r="171" spans="2:67">
      <c r="B171" s="207" t="s">
        <v>373</v>
      </c>
      <c r="C171" s="890" t="s">
        <v>357</v>
      </c>
      <c r="D171" s="890" t="s">
        <v>360</v>
      </c>
      <c r="E171" s="238" t="s">
        <v>65</v>
      </c>
      <c r="F171" s="592">
        <v>168</v>
      </c>
      <c r="G171" s="593">
        <v>4980</v>
      </c>
      <c r="H171" s="594">
        <v>6640</v>
      </c>
      <c r="I171" s="595">
        <v>4980</v>
      </c>
      <c r="J171" s="166">
        <f t="shared" si="115"/>
        <v>99</v>
      </c>
      <c r="K171" s="167">
        <f t="shared" si="116"/>
        <v>132</v>
      </c>
      <c r="L171" s="168">
        <f t="shared" si="117"/>
        <v>99</v>
      </c>
      <c r="M171" s="166">
        <f t="shared" si="118"/>
        <v>149</v>
      </c>
      <c r="N171" s="167">
        <f t="shared" si="119"/>
        <v>199</v>
      </c>
      <c r="O171" s="168">
        <f t="shared" si="120"/>
        <v>149</v>
      </c>
      <c r="P171" s="169">
        <f t="shared" si="121"/>
        <v>199</v>
      </c>
      <c r="Q171" s="169">
        <f t="shared" si="122"/>
        <v>265</v>
      </c>
      <c r="R171" s="169">
        <f t="shared" si="123"/>
        <v>199</v>
      </c>
      <c r="S171" s="584">
        <f t="shared" si="149"/>
        <v>1494</v>
      </c>
      <c r="T171" s="594">
        <f t="shared" si="150"/>
        <v>1992</v>
      </c>
      <c r="U171" s="595">
        <f t="shared" si="151"/>
        <v>1494</v>
      </c>
      <c r="V171" s="166">
        <f t="shared" si="152"/>
        <v>3083</v>
      </c>
      <c r="W171" s="167">
        <f t="shared" si="153"/>
        <v>4114</v>
      </c>
      <c r="X171" s="168">
        <f t="shared" si="154"/>
        <v>3083</v>
      </c>
      <c r="Y171" s="166">
        <f t="shared" si="155"/>
        <v>3481</v>
      </c>
      <c r="Z171" s="167">
        <f t="shared" si="156"/>
        <v>4644</v>
      </c>
      <c r="AA171" s="168">
        <f t="shared" si="157"/>
        <v>3481</v>
      </c>
      <c r="AB171" s="166">
        <f t="shared" si="158"/>
        <v>3879</v>
      </c>
      <c r="AC171" s="167">
        <f t="shared" si="159"/>
        <v>5174</v>
      </c>
      <c r="AD171" s="168">
        <f t="shared" si="160"/>
        <v>3879</v>
      </c>
      <c r="AE171" s="166">
        <f t="shared" si="161"/>
        <v>4277</v>
      </c>
      <c r="AF171" s="167">
        <f t="shared" si="162"/>
        <v>5704</v>
      </c>
      <c r="AG171" s="168">
        <f t="shared" si="163"/>
        <v>4078</v>
      </c>
      <c r="AH171" s="166">
        <f t="shared" si="139"/>
        <v>4476</v>
      </c>
      <c r="AI171" s="167">
        <f t="shared" si="164"/>
        <v>6499</v>
      </c>
      <c r="AJ171" s="168">
        <f t="shared" si="165"/>
        <v>4476</v>
      </c>
      <c r="AK171" s="169">
        <f t="shared" si="166"/>
        <v>5079</v>
      </c>
      <c r="AL171" s="167">
        <f t="shared" si="167"/>
        <v>6772</v>
      </c>
      <c r="AM171" s="585">
        <f t="shared" si="168"/>
        <v>5079</v>
      </c>
      <c r="AN171" s="596">
        <v>0.2</v>
      </c>
      <c r="AO171" s="597">
        <v>0.20499999999999999</v>
      </c>
      <c r="AP171" s="597">
        <v>0.21</v>
      </c>
      <c r="AQ171" s="598">
        <v>0.215</v>
      </c>
      <c r="AR171" s="599">
        <v>0.22</v>
      </c>
      <c r="AS171" s="586"/>
      <c r="AT171" s="587"/>
      <c r="AU171" s="587"/>
      <c r="AV171" s="588"/>
      <c r="AW171" s="589"/>
      <c r="AX171" s="596">
        <v>0.02</v>
      </c>
      <c r="AY171" s="598">
        <v>2.3E-2</v>
      </c>
      <c r="AZ171" s="598">
        <v>2.5999999999999999E-2</v>
      </c>
      <c r="BA171" s="598">
        <v>2.9000000000000001E-2</v>
      </c>
      <c r="BB171" s="598">
        <v>3.2000000000000001E-2</v>
      </c>
      <c r="BC171" s="590"/>
      <c r="BD171" s="631"/>
      <c r="BE171" s="596"/>
      <c r="BF171" s="598"/>
      <c r="BG171" s="598"/>
      <c r="BH171" s="598"/>
      <c r="BI171" s="598"/>
      <c r="BJ171" s="598"/>
      <c r="BK171" s="605"/>
      <c r="BL171" s="658">
        <f t="shared" si="145"/>
        <v>16600</v>
      </c>
      <c r="BM171" s="3">
        <f t="shared" si="146"/>
        <v>30</v>
      </c>
      <c r="BN171" s="3">
        <f t="shared" si="147"/>
        <v>40</v>
      </c>
      <c r="BO171" s="3">
        <f t="shared" si="148"/>
        <v>30</v>
      </c>
    </row>
    <row r="172" spans="2:67">
      <c r="B172" s="1269" t="s">
        <v>87</v>
      </c>
      <c r="C172" s="1265" t="s">
        <v>309</v>
      </c>
      <c r="D172" s="1265" t="s">
        <v>13</v>
      </c>
      <c r="E172" s="1267" t="s">
        <v>125</v>
      </c>
      <c r="F172" s="1270">
        <v>169</v>
      </c>
      <c r="G172" s="593">
        <v>8360</v>
      </c>
      <c r="H172" s="594">
        <v>6600</v>
      </c>
      <c r="I172" s="595">
        <v>7040</v>
      </c>
      <c r="J172" s="166">
        <f t="shared" si="115"/>
        <v>167</v>
      </c>
      <c r="K172" s="167">
        <f t="shared" si="116"/>
        <v>132</v>
      </c>
      <c r="L172" s="168">
        <f t="shared" si="117"/>
        <v>140</v>
      </c>
      <c r="M172" s="166">
        <f t="shared" si="118"/>
        <v>209</v>
      </c>
      <c r="N172" s="167">
        <f t="shared" si="119"/>
        <v>165</v>
      </c>
      <c r="O172" s="168">
        <f t="shared" si="120"/>
        <v>176</v>
      </c>
      <c r="P172" s="169">
        <f t="shared" si="121"/>
        <v>313</v>
      </c>
      <c r="Q172" s="169">
        <f t="shared" si="122"/>
        <v>247</v>
      </c>
      <c r="R172" s="169">
        <f t="shared" si="123"/>
        <v>264</v>
      </c>
      <c r="S172" s="584">
        <f t="shared" si="149"/>
        <v>2090</v>
      </c>
      <c r="T172" s="594">
        <f t="shared" si="150"/>
        <v>1650</v>
      </c>
      <c r="U172" s="595">
        <f t="shared" si="151"/>
        <v>1760</v>
      </c>
      <c r="V172" s="166">
        <f t="shared" si="152"/>
        <v>4765</v>
      </c>
      <c r="W172" s="167">
        <f t="shared" si="153"/>
        <v>3762</v>
      </c>
      <c r="X172" s="168">
        <f t="shared" si="154"/>
        <v>4012</v>
      </c>
      <c r="Y172" s="166">
        <f t="shared" si="155"/>
        <v>5391</v>
      </c>
      <c r="Z172" s="167">
        <f t="shared" si="156"/>
        <v>4009</v>
      </c>
      <c r="AA172" s="168">
        <f t="shared" si="157"/>
        <v>4804</v>
      </c>
      <c r="AB172" s="166">
        <f t="shared" si="158"/>
        <v>6330</v>
      </c>
      <c r="AC172" s="167">
        <f t="shared" si="159"/>
        <v>4750</v>
      </c>
      <c r="AD172" s="168">
        <f t="shared" si="160"/>
        <v>5068</v>
      </c>
      <c r="AE172" s="166">
        <f t="shared" si="161"/>
        <v>6956</v>
      </c>
      <c r="AF172" s="167">
        <f t="shared" si="162"/>
        <v>5738</v>
      </c>
      <c r="AG172" s="168">
        <f t="shared" si="163"/>
        <v>5596</v>
      </c>
      <c r="AH172" s="166">
        <f t="shared" si="139"/>
        <v>7582</v>
      </c>
      <c r="AI172" s="167">
        <f t="shared" si="164"/>
        <v>6232</v>
      </c>
      <c r="AJ172" s="168">
        <f t="shared" si="165"/>
        <v>6652</v>
      </c>
      <c r="AK172" s="169">
        <f t="shared" si="166"/>
        <v>8527</v>
      </c>
      <c r="AL172" s="167">
        <f t="shared" si="167"/>
        <v>6732</v>
      </c>
      <c r="AM172" s="585">
        <f t="shared" si="168"/>
        <v>7180</v>
      </c>
      <c r="AN172" s="596">
        <v>0.04</v>
      </c>
      <c r="AO172" s="597">
        <v>4.2999999999999997E-2</v>
      </c>
      <c r="AP172" s="597">
        <v>4.5999999999999999E-2</v>
      </c>
      <c r="AQ172" s="598">
        <v>4.9000000000000002E-2</v>
      </c>
      <c r="AR172" s="599">
        <v>5.1999999999999998E-2</v>
      </c>
      <c r="AS172" s="586"/>
      <c r="AT172" s="587"/>
      <c r="AU172" s="587"/>
      <c r="AV172" s="588"/>
      <c r="AW172" s="589"/>
      <c r="AX172" s="596">
        <v>0.03</v>
      </c>
      <c r="AY172" s="598">
        <v>3.3000000000000002E-2</v>
      </c>
      <c r="AZ172" s="598">
        <v>3.5999999999999997E-2</v>
      </c>
      <c r="BA172" s="598">
        <v>3.9E-2</v>
      </c>
      <c r="BB172" s="598">
        <v>4.2000000000000003E-2</v>
      </c>
      <c r="BC172" s="590"/>
      <c r="BD172" s="631"/>
      <c r="BE172" s="596"/>
      <c r="BF172" s="598"/>
      <c r="BG172" s="598"/>
      <c r="BH172" s="598"/>
      <c r="BI172" s="598"/>
      <c r="BJ172" s="598"/>
      <c r="BK172" s="605"/>
      <c r="BL172" s="658">
        <f t="shared" si="145"/>
        <v>22000</v>
      </c>
      <c r="BM172" s="3">
        <f t="shared" si="146"/>
        <v>38</v>
      </c>
      <c r="BN172" s="3">
        <f t="shared" si="147"/>
        <v>30</v>
      </c>
      <c r="BO172" s="3">
        <f t="shared" si="148"/>
        <v>32</v>
      </c>
    </row>
    <row r="173" spans="2:67">
      <c r="B173" s="1269" t="s">
        <v>90</v>
      </c>
      <c r="C173" s="1265" t="s">
        <v>309</v>
      </c>
      <c r="D173" s="1265" t="s">
        <v>14</v>
      </c>
      <c r="E173" s="238" t="s">
        <v>65</v>
      </c>
      <c r="F173" s="592">
        <v>170</v>
      </c>
      <c r="G173" s="593">
        <v>10260</v>
      </c>
      <c r="H173" s="594">
        <v>8640</v>
      </c>
      <c r="I173" s="595">
        <v>8100</v>
      </c>
      <c r="J173" s="166">
        <f t="shared" si="115"/>
        <v>205</v>
      </c>
      <c r="K173" s="167">
        <f t="shared" si="116"/>
        <v>172</v>
      </c>
      <c r="L173" s="168">
        <f t="shared" si="117"/>
        <v>162</v>
      </c>
      <c r="M173" s="166">
        <f t="shared" si="118"/>
        <v>256</v>
      </c>
      <c r="N173" s="167">
        <f t="shared" si="119"/>
        <v>216</v>
      </c>
      <c r="O173" s="168">
        <f t="shared" si="120"/>
        <v>202</v>
      </c>
      <c r="P173" s="169">
        <f t="shared" si="121"/>
        <v>384</v>
      </c>
      <c r="Q173" s="169">
        <f t="shared" si="122"/>
        <v>324</v>
      </c>
      <c r="R173" s="169">
        <f t="shared" si="123"/>
        <v>303</v>
      </c>
      <c r="S173" s="584">
        <f t="shared" si="149"/>
        <v>2565</v>
      </c>
      <c r="T173" s="594">
        <f t="shared" si="150"/>
        <v>2160</v>
      </c>
      <c r="U173" s="595">
        <f t="shared" si="151"/>
        <v>2025</v>
      </c>
      <c r="V173" s="166">
        <f t="shared" si="152"/>
        <v>5842</v>
      </c>
      <c r="W173" s="167">
        <f t="shared" si="153"/>
        <v>4924</v>
      </c>
      <c r="X173" s="168">
        <f t="shared" si="154"/>
        <v>4611</v>
      </c>
      <c r="Y173" s="166">
        <f t="shared" si="155"/>
        <v>6226</v>
      </c>
      <c r="Z173" s="167">
        <f t="shared" si="156"/>
        <v>5896</v>
      </c>
      <c r="AA173" s="168">
        <f t="shared" si="157"/>
        <v>5217</v>
      </c>
      <c r="AB173" s="166">
        <f t="shared" si="158"/>
        <v>7378</v>
      </c>
      <c r="AC173" s="167">
        <f t="shared" si="159"/>
        <v>6220</v>
      </c>
      <c r="AD173" s="168">
        <f t="shared" si="160"/>
        <v>6126</v>
      </c>
      <c r="AE173" s="166">
        <f t="shared" si="161"/>
        <v>8914</v>
      </c>
      <c r="AF173" s="167">
        <f t="shared" si="162"/>
        <v>6868</v>
      </c>
      <c r="AG173" s="168">
        <f t="shared" si="163"/>
        <v>6732</v>
      </c>
      <c r="AH173" s="166">
        <f t="shared" si="139"/>
        <v>9682</v>
      </c>
      <c r="AI173" s="167">
        <f t="shared" si="164"/>
        <v>8164</v>
      </c>
      <c r="AJ173" s="168">
        <f t="shared" si="165"/>
        <v>7338</v>
      </c>
      <c r="AK173" s="169">
        <f t="shared" si="166"/>
        <v>10465</v>
      </c>
      <c r="AL173" s="167">
        <f t="shared" si="167"/>
        <v>8812</v>
      </c>
      <c r="AM173" s="585">
        <f t="shared" si="168"/>
        <v>8262</v>
      </c>
      <c r="AN173" s="596">
        <v>0.3</v>
      </c>
      <c r="AO173" s="597">
        <v>0.30499999999999999</v>
      </c>
      <c r="AP173" s="597">
        <v>0.31</v>
      </c>
      <c r="AQ173" s="598">
        <v>0.315</v>
      </c>
      <c r="AR173" s="599">
        <v>0.32</v>
      </c>
      <c r="AS173" s="586"/>
      <c r="AT173" s="587"/>
      <c r="AU173" s="587"/>
      <c r="AV173" s="588"/>
      <c r="AW173" s="589"/>
      <c r="AX173" s="596">
        <v>0.04</v>
      </c>
      <c r="AY173" s="598">
        <v>4.2999999999999997E-2</v>
      </c>
      <c r="AZ173" s="598">
        <v>4.5999999999999999E-2</v>
      </c>
      <c r="BA173" s="598">
        <v>4.9000000000000002E-2</v>
      </c>
      <c r="BB173" s="598">
        <v>5.1999999999999998E-2</v>
      </c>
      <c r="BC173" s="590"/>
      <c r="BD173" s="631"/>
      <c r="BE173" s="596"/>
      <c r="BF173" s="598"/>
      <c r="BG173" s="598"/>
      <c r="BH173" s="598"/>
      <c r="BI173" s="598"/>
      <c r="BJ173" s="598"/>
      <c r="BK173" s="605"/>
      <c r="BL173" s="658">
        <f t="shared" si="145"/>
        <v>27000</v>
      </c>
      <c r="BM173" s="3">
        <f t="shared" si="146"/>
        <v>38</v>
      </c>
      <c r="BN173" s="3">
        <f t="shared" si="147"/>
        <v>32</v>
      </c>
      <c r="BO173" s="3">
        <f t="shared" si="148"/>
        <v>30</v>
      </c>
    </row>
    <row r="174" spans="2:67">
      <c r="B174" s="207" t="s">
        <v>410</v>
      </c>
      <c r="C174" s="890" t="s">
        <v>357</v>
      </c>
      <c r="D174" s="890" t="s">
        <v>358</v>
      </c>
      <c r="E174" s="238" t="s">
        <v>125</v>
      </c>
      <c r="F174" s="592">
        <v>171</v>
      </c>
      <c r="G174" s="593">
        <v>4080</v>
      </c>
      <c r="H174" s="594">
        <v>4760</v>
      </c>
      <c r="I174" s="595">
        <v>4760</v>
      </c>
      <c r="J174" s="166">
        <f t="shared" si="115"/>
        <v>81</v>
      </c>
      <c r="K174" s="167">
        <f t="shared" si="116"/>
        <v>95</v>
      </c>
      <c r="L174" s="168">
        <f t="shared" si="117"/>
        <v>95</v>
      </c>
      <c r="M174" s="166">
        <f t="shared" si="118"/>
        <v>122</v>
      </c>
      <c r="N174" s="167">
        <f t="shared" si="119"/>
        <v>142</v>
      </c>
      <c r="O174" s="168">
        <f t="shared" si="120"/>
        <v>142</v>
      </c>
      <c r="P174" s="169">
        <f t="shared" si="121"/>
        <v>163</v>
      </c>
      <c r="Q174" s="169">
        <f t="shared" si="122"/>
        <v>190</v>
      </c>
      <c r="R174" s="169">
        <f t="shared" si="123"/>
        <v>190</v>
      </c>
      <c r="S174" s="584">
        <f t="shared" si="149"/>
        <v>1224</v>
      </c>
      <c r="T174" s="594">
        <f t="shared" si="150"/>
        <v>1428</v>
      </c>
      <c r="U174" s="595">
        <f t="shared" si="151"/>
        <v>1428</v>
      </c>
      <c r="V174" s="166">
        <f t="shared" si="152"/>
        <v>2525</v>
      </c>
      <c r="W174" s="167">
        <f t="shared" si="153"/>
        <v>2943</v>
      </c>
      <c r="X174" s="168">
        <f t="shared" si="154"/>
        <v>2943</v>
      </c>
      <c r="Y174" s="166">
        <f t="shared" si="155"/>
        <v>2851</v>
      </c>
      <c r="Z174" s="167">
        <f t="shared" si="156"/>
        <v>3323</v>
      </c>
      <c r="AA174" s="168">
        <f t="shared" si="157"/>
        <v>3323</v>
      </c>
      <c r="AB174" s="166">
        <f t="shared" si="158"/>
        <v>3177</v>
      </c>
      <c r="AC174" s="167">
        <f t="shared" si="159"/>
        <v>3703</v>
      </c>
      <c r="AD174" s="168">
        <f t="shared" si="160"/>
        <v>3703</v>
      </c>
      <c r="AE174" s="166">
        <f t="shared" si="161"/>
        <v>3340</v>
      </c>
      <c r="AF174" s="167">
        <f t="shared" si="162"/>
        <v>4083</v>
      </c>
      <c r="AG174" s="168">
        <f t="shared" si="163"/>
        <v>4083</v>
      </c>
      <c r="AH174" s="166">
        <f t="shared" si="139"/>
        <v>3666</v>
      </c>
      <c r="AI174" s="167">
        <f t="shared" si="164"/>
        <v>4273</v>
      </c>
      <c r="AJ174" s="168">
        <f t="shared" si="165"/>
        <v>4653</v>
      </c>
      <c r="AK174" s="169">
        <f t="shared" si="166"/>
        <v>4161</v>
      </c>
      <c r="AL174" s="167">
        <f t="shared" si="167"/>
        <v>4855</v>
      </c>
      <c r="AM174" s="585">
        <f t="shared" si="168"/>
        <v>4855</v>
      </c>
      <c r="AN174" s="596">
        <v>0.18</v>
      </c>
      <c r="AO174" s="597">
        <v>0.185</v>
      </c>
      <c r="AP174" s="597">
        <v>0.19</v>
      </c>
      <c r="AQ174" s="598">
        <v>0.19500000000000001</v>
      </c>
      <c r="AR174" s="599">
        <v>0.2</v>
      </c>
      <c r="AS174" s="586"/>
      <c r="AT174" s="587"/>
      <c r="AU174" s="587"/>
      <c r="AV174" s="588"/>
      <c r="AW174" s="589"/>
      <c r="AX174" s="596">
        <v>0.02</v>
      </c>
      <c r="AY174" s="598">
        <v>2.3E-2</v>
      </c>
      <c r="AZ174" s="598">
        <v>2.5999999999999999E-2</v>
      </c>
      <c r="BA174" s="598">
        <v>2.9000000000000001E-2</v>
      </c>
      <c r="BB174" s="598">
        <v>3.2000000000000001E-2</v>
      </c>
      <c r="BC174" s="590"/>
      <c r="BD174" s="631"/>
      <c r="BE174" s="596"/>
      <c r="BF174" s="598"/>
      <c r="BG174" s="598"/>
      <c r="BH174" s="598"/>
      <c r="BI174" s="598"/>
      <c r="BJ174" s="598"/>
      <c r="BK174" s="605"/>
      <c r="BL174" s="658">
        <f t="shared" si="145"/>
        <v>13600</v>
      </c>
      <c r="BM174" s="3">
        <f t="shared" si="146"/>
        <v>30</v>
      </c>
      <c r="BN174" s="3">
        <f t="shared" si="147"/>
        <v>35</v>
      </c>
      <c r="BO174" s="3">
        <f t="shared" si="148"/>
        <v>35</v>
      </c>
    </row>
    <row r="175" spans="2:67">
      <c r="B175" s="207" t="s">
        <v>452</v>
      </c>
      <c r="C175" s="890" t="s">
        <v>357</v>
      </c>
      <c r="D175" s="890" t="s">
        <v>23</v>
      </c>
      <c r="E175" s="238" t="s">
        <v>125</v>
      </c>
      <c r="F175" s="592">
        <v>172</v>
      </c>
      <c r="G175" s="593">
        <v>4350</v>
      </c>
      <c r="H175" s="594">
        <v>5167</v>
      </c>
      <c r="I175" s="595">
        <v>4080</v>
      </c>
      <c r="J175" s="166">
        <f t="shared" si="115"/>
        <v>87</v>
      </c>
      <c r="K175" s="167">
        <f t="shared" si="116"/>
        <v>103</v>
      </c>
      <c r="L175" s="168">
        <f t="shared" si="117"/>
        <v>81</v>
      </c>
      <c r="M175" s="166">
        <f t="shared" si="118"/>
        <v>130</v>
      </c>
      <c r="N175" s="167">
        <f t="shared" si="119"/>
        <v>155</v>
      </c>
      <c r="O175" s="168">
        <f t="shared" si="120"/>
        <v>122</v>
      </c>
      <c r="P175" s="169">
        <f t="shared" si="121"/>
        <v>174</v>
      </c>
      <c r="Q175" s="169">
        <f t="shared" si="122"/>
        <v>206</v>
      </c>
      <c r="R175" s="169">
        <f t="shared" si="123"/>
        <v>163</v>
      </c>
      <c r="S175" s="584">
        <f t="shared" si="149"/>
        <v>1305</v>
      </c>
      <c r="T175" s="594">
        <f t="shared" si="150"/>
        <v>1550</v>
      </c>
      <c r="U175" s="595">
        <f t="shared" si="151"/>
        <v>1224</v>
      </c>
      <c r="V175" s="166">
        <f t="shared" si="152"/>
        <v>2692</v>
      </c>
      <c r="W175" s="167">
        <f t="shared" si="153"/>
        <v>3203</v>
      </c>
      <c r="X175" s="168">
        <f t="shared" si="154"/>
        <v>2525</v>
      </c>
      <c r="Y175" s="166">
        <f t="shared" si="155"/>
        <v>3040</v>
      </c>
      <c r="Z175" s="167">
        <f t="shared" si="156"/>
        <v>3615</v>
      </c>
      <c r="AA175" s="168">
        <f t="shared" si="157"/>
        <v>2851</v>
      </c>
      <c r="AB175" s="166">
        <f t="shared" si="158"/>
        <v>3388</v>
      </c>
      <c r="AC175" s="167">
        <f t="shared" si="159"/>
        <v>4027</v>
      </c>
      <c r="AD175" s="168">
        <f t="shared" si="160"/>
        <v>3177</v>
      </c>
      <c r="AE175" s="166">
        <f t="shared" si="161"/>
        <v>3736</v>
      </c>
      <c r="AF175" s="167">
        <f t="shared" si="162"/>
        <v>4233</v>
      </c>
      <c r="AG175" s="168">
        <f t="shared" si="163"/>
        <v>3503</v>
      </c>
      <c r="AH175" s="166">
        <f t="shared" si="139"/>
        <v>4258</v>
      </c>
      <c r="AI175" s="167">
        <f t="shared" si="164"/>
        <v>4645</v>
      </c>
      <c r="AJ175" s="168">
        <f t="shared" si="165"/>
        <v>3666</v>
      </c>
      <c r="AK175" s="169">
        <f t="shared" si="166"/>
        <v>4437</v>
      </c>
      <c r="AL175" s="167">
        <f t="shared" si="167"/>
        <v>5270</v>
      </c>
      <c r="AM175" s="585">
        <f t="shared" si="168"/>
        <v>4161</v>
      </c>
      <c r="AN175" s="596">
        <v>0.06</v>
      </c>
      <c r="AO175" s="597">
        <v>7.0000000000000007E-2</v>
      </c>
      <c r="AP175" s="597">
        <v>0.08</v>
      </c>
      <c r="AQ175" s="598">
        <v>0.09</v>
      </c>
      <c r="AR175" s="599">
        <v>0.1</v>
      </c>
      <c r="AS175" s="586"/>
      <c r="AT175" s="587"/>
      <c r="AU175" s="587"/>
      <c r="AV175" s="588"/>
      <c r="AW175" s="589"/>
      <c r="AX175" s="596">
        <v>0.02</v>
      </c>
      <c r="AY175" s="598">
        <v>2.3E-2</v>
      </c>
      <c r="AZ175" s="598">
        <v>2.5999999999999999E-2</v>
      </c>
      <c r="BA175" s="598">
        <v>2.9000000000000001E-2</v>
      </c>
      <c r="BB175" s="598">
        <v>3.2000000000000001E-2</v>
      </c>
      <c r="BC175" s="590"/>
      <c r="BD175" s="631"/>
      <c r="BE175" s="596"/>
      <c r="BF175" s="598"/>
      <c r="BG175" s="598"/>
      <c r="BH175" s="598"/>
      <c r="BI175" s="598"/>
      <c r="BJ175" s="598"/>
      <c r="BK175" s="605"/>
      <c r="BL175" s="658">
        <f t="shared" si="145"/>
        <v>13600</v>
      </c>
      <c r="BM175" s="3">
        <f t="shared" si="146"/>
        <v>32</v>
      </c>
      <c r="BN175" s="3">
        <f t="shared" si="147"/>
        <v>38</v>
      </c>
      <c r="BO175" s="3">
        <f t="shared" si="148"/>
        <v>30</v>
      </c>
    </row>
    <row r="176" spans="2:67">
      <c r="B176" s="1269" t="s">
        <v>99</v>
      </c>
      <c r="C176" s="1265" t="s">
        <v>309</v>
      </c>
      <c r="D176" s="1265" t="s">
        <v>14</v>
      </c>
      <c r="E176" s="238" t="s">
        <v>65</v>
      </c>
      <c r="F176" s="1270">
        <v>173</v>
      </c>
      <c r="G176" s="593">
        <v>9273</v>
      </c>
      <c r="H176" s="594">
        <v>8480</v>
      </c>
      <c r="I176" s="595">
        <v>8744</v>
      </c>
      <c r="J176" s="166">
        <f t="shared" si="115"/>
        <v>185</v>
      </c>
      <c r="K176" s="167">
        <f t="shared" si="116"/>
        <v>169</v>
      </c>
      <c r="L176" s="168">
        <f t="shared" si="117"/>
        <v>174</v>
      </c>
      <c r="M176" s="166">
        <f t="shared" si="118"/>
        <v>231</v>
      </c>
      <c r="N176" s="167">
        <f t="shared" si="119"/>
        <v>212</v>
      </c>
      <c r="O176" s="168">
        <f t="shared" si="120"/>
        <v>218</v>
      </c>
      <c r="P176" s="169">
        <f t="shared" si="121"/>
        <v>347</v>
      </c>
      <c r="Q176" s="169">
        <f t="shared" si="122"/>
        <v>318</v>
      </c>
      <c r="R176" s="169">
        <f t="shared" si="123"/>
        <v>327</v>
      </c>
      <c r="S176" s="584">
        <f t="shared" si="149"/>
        <v>2318</v>
      </c>
      <c r="T176" s="594">
        <f t="shared" si="150"/>
        <v>2120</v>
      </c>
      <c r="U176" s="595">
        <f t="shared" si="151"/>
        <v>2186</v>
      </c>
      <c r="V176" s="166">
        <f t="shared" si="152"/>
        <v>5275</v>
      </c>
      <c r="W176" s="167">
        <f t="shared" si="153"/>
        <v>4833</v>
      </c>
      <c r="X176" s="168">
        <f t="shared" si="154"/>
        <v>4976</v>
      </c>
      <c r="Y176" s="166">
        <f t="shared" si="155"/>
        <v>5622</v>
      </c>
      <c r="Z176" s="167">
        <f t="shared" si="156"/>
        <v>5787</v>
      </c>
      <c r="AA176" s="168">
        <f t="shared" si="157"/>
        <v>5630</v>
      </c>
      <c r="AB176" s="166">
        <f t="shared" si="158"/>
        <v>6663</v>
      </c>
      <c r="AC176" s="167">
        <f t="shared" si="159"/>
        <v>6105</v>
      </c>
      <c r="AD176" s="168">
        <f t="shared" si="160"/>
        <v>6611</v>
      </c>
      <c r="AE176" s="166">
        <f t="shared" si="161"/>
        <v>8051</v>
      </c>
      <c r="AF176" s="167">
        <f t="shared" si="162"/>
        <v>6741</v>
      </c>
      <c r="AG176" s="168">
        <f t="shared" si="163"/>
        <v>7265</v>
      </c>
      <c r="AH176" s="166">
        <f t="shared" si="139"/>
        <v>8745</v>
      </c>
      <c r="AI176" s="167">
        <f t="shared" si="164"/>
        <v>8013</v>
      </c>
      <c r="AJ176" s="168">
        <f t="shared" si="165"/>
        <v>7919</v>
      </c>
      <c r="AK176" s="169">
        <f t="shared" si="166"/>
        <v>9458</v>
      </c>
      <c r="AL176" s="167">
        <f t="shared" si="167"/>
        <v>8649</v>
      </c>
      <c r="AM176" s="585">
        <f t="shared" si="168"/>
        <v>8918</v>
      </c>
      <c r="AN176" s="596">
        <v>0.2</v>
      </c>
      <c r="AO176" s="597">
        <v>0.23</v>
      </c>
      <c r="AP176" s="597">
        <v>0.26</v>
      </c>
      <c r="AQ176" s="598">
        <v>0.28999999999999998</v>
      </c>
      <c r="AR176" s="599">
        <v>0.32</v>
      </c>
      <c r="AS176" s="586"/>
      <c r="AT176" s="587"/>
      <c r="AU176" s="587"/>
      <c r="AV176" s="588"/>
      <c r="AW176" s="589"/>
      <c r="AX176" s="596">
        <v>0.04</v>
      </c>
      <c r="AY176" s="598">
        <v>4.2999999999999997E-2</v>
      </c>
      <c r="AZ176" s="598">
        <v>4.5999999999999999E-2</v>
      </c>
      <c r="BA176" s="598">
        <v>4.9000000000000002E-2</v>
      </c>
      <c r="BB176" s="598">
        <v>5.1999999999999998E-2</v>
      </c>
      <c r="BC176" s="590"/>
      <c r="BD176" s="631"/>
      <c r="BE176" s="596"/>
      <c r="BF176" s="598"/>
      <c r="BG176" s="598"/>
      <c r="BH176" s="598"/>
      <c r="BI176" s="598"/>
      <c r="BJ176" s="598"/>
      <c r="BK176" s="605"/>
      <c r="BL176" s="658">
        <f t="shared" si="145"/>
        <v>26500</v>
      </c>
      <c r="BM176" s="3">
        <f t="shared" si="146"/>
        <v>35</v>
      </c>
      <c r="BN176" s="3">
        <f t="shared" si="147"/>
        <v>32</v>
      </c>
      <c r="BO176" s="3">
        <f t="shared" si="148"/>
        <v>33</v>
      </c>
    </row>
    <row r="177" spans="2:67">
      <c r="B177" s="207" t="s">
        <v>374</v>
      </c>
      <c r="C177" s="890" t="s">
        <v>357</v>
      </c>
      <c r="D177" s="890" t="s">
        <v>356</v>
      </c>
      <c r="E177" s="238" t="s">
        <v>65</v>
      </c>
      <c r="F177" s="592">
        <v>174</v>
      </c>
      <c r="G177" s="593">
        <v>4980</v>
      </c>
      <c r="H177" s="594">
        <v>5810</v>
      </c>
      <c r="I177" s="595">
        <v>5810</v>
      </c>
      <c r="J177" s="166">
        <f t="shared" si="115"/>
        <v>99</v>
      </c>
      <c r="K177" s="167">
        <f t="shared" si="116"/>
        <v>116</v>
      </c>
      <c r="L177" s="168">
        <f t="shared" si="117"/>
        <v>116</v>
      </c>
      <c r="M177" s="166">
        <f t="shared" si="118"/>
        <v>149</v>
      </c>
      <c r="N177" s="167">
        <f t="shared" si="119"/>
        <v>174</v>
      </c>
      <c r="O177" s="168">
        <f t="shared" si="120"/>
        <v>174</v>
      </c>
      <c r="P177" s="169">
        <f t="shared" si="121"/>
        <v>199</v>
      </c>
      <c r="Q177" s="169">
        <f t="shared" si="122"/>
        <v>232</v>
      </c>
      <c r="R177" s="169">
        <f t="shared" si="123"/>
        <v>232</v>
      </c>
      <c r="S177" s="584">
        <f t="shared" si="149"/>
        <v>1494</v>
      </c>
      <c r="T177" s="594">
        <f t="shared" si="150"/>
        <v>1743</v>
      </c>
      <c r="U177" s="595">
        <f t="shared" si="151"/>
        <v>1743</v>
      </c>
      <c r="V177" s="166">
        <f t="shared" si="152"/>
        <v>3083</v>
      </c>
      <c r="W177" s="167">
        <f t="shared" si="153"/>
        <v>3599</v>
      </c>
      <c r="X177" s="168">
        <f t="shared" si="154"/>
        <v>3599</v>
      </c>
      <c r="Y177" s="166">
        <f t="shared" si="155"/>
        <v>3481</v>
      </c>
      <c r="Z177" s="167">
        <f t="shared" si="156"/>
        <v>4063</v>
      </c>
      <c r="AA177" s="168">
        <f t="shared" si="157"/>
        <v>4063</v>
      </c>
      <c r="AB177" s="166">
        <f t="shared" si="158"/>
        <v>3879</v>
      </c>
      <c r="AC177" s="167">
        <f t="shared" si="159"/>
        <v>4527</v>
      </c>
      <c r="AD177" s="168">
        <f t="shared" si="160"/>
        <v>4527</v>
      </c>
      <c r="AE177" s="166">
        <f t="shared" si="161"/>
        <v>4277</v>
      </c>
      <c r="AF177" s="167">
        <f t="shared" si="162"/>
        <v>4759</v>
      </c>
      <c r="AG177" s="168">
        <f t="shared" si="163"/>
        <v>4991</v>
      </c>
      <c r="AH177" s="166">
        <f t="shared" si="139"/>
        <v>4476</v>
      </c>
      <c r="AI177" s="167">
        <f t="shared" si="164"/>
        <v>5223</v>
      </c>
      <c r="AJ177" s="168">
        <f t="shared" si="165"/>
        <v>5687</v>
      </c>
      <c r="AK177" s="169">
        <f t="shared" si="166"/>
        <v>5079</v>
      </c>
      <c r="AL177" s="167">
        <f t="shared" si="167"/>
        <v>5926</v>
      </c>
      <c r="AM177" s="585">
        <f t="shared" si="168"/>
        <v>5926</v>
      </c>
      <c r="AN177" s="596">
        <v>0.05</v>
      </c>
      <c r="AO177" s="597">
        <v>5.5E-2</v>
      </c>
      <c r="AP177" s="597">
        <v>0.06</v>
      </c>
      <c r="AQ177" s="598">
        <v>6.5000000000000002E-2</v>
      </c>
      <c r="AR177" s="599">
        <v>7.0000000000000007E-2</v>
      </c>
      <c r="AS177" s="586"/>
      <c r="AT177" s="587"/>
      <c r="AU177" s="587"/>
      <c r="AV177" s="588"/>
      <c r="AW177" s="589"/>
      <c r="AX177" s="596">
        <v>0.02</v>
      </c>
      <c r="AY177" s="598">
        <v>2.3E-2</v>
      </c>
      <c r="AZ177" s="598">
        <v>2.5999999999999999E-2</v>
      </c>
      <c r="BA177" s="598">
        <v>2.9000000000000001E-2</v>
      </c>
      <c r="BB177" s="598">
        <v>3.2000000000000001E-2</v>
      </c>
      <c r="BC177" s="590"/>
      <c r="BD177" s="631"/>
      <c r="BE177" s="596"/>
      <c r="BF177" s="598"/>
      <c r="BG177" s="598"/>
      <c r="BH177" s="598"/>
      <c r="BI177" s="598"/>
      <c r="BJ177" s="598"/>
      <c r="BK177" s="605"/>
      <c r="BL177" s="658">
        <f t="shared" si="145"/>
        <v>16600</v>
      </c>
      <c r="BM177" s="3">
        <f t="shared" si="146"/>
        <v>30</v>
      </c>
      <c r="BN177" s="3">
        <f t="shared" si="147"/>
        <v>35</v>
      </c>
      <c r="BO177" s="3">
        <f t="shared" si="148"/>
        <v>35</v>
      </c>
    </row>
    <row r="178" spans="2:67">
      <c r="B178" s="1269" t="s">
        <v>80</v>
      </c>
      <c r="C178" s="1265" t="s">
        <v>309</v>
      </c>
      <c r="D178" s="1265" t="s">
        <v>13</v>
      </c>
      <c r="E178" s="1267" t="s">
        <v>65</v>
      </c>
      <c r="F178" s="1270">
        <v>175</v>
      </c>
      <c r="G178" s="593">
        <v>10260</v>
      </c>
      <c r="H178" s="594">
        <v>8640</v>
      </c>
      <c r="I178" s="595">
        <v>8100</v>
      </c>
      <c r="J178" s="166">
        <f t="shared" si="115"/>
        <v>205</v>
      </c>
      <c r="K178" s="167">
        <f t="shared" si="116"/>
        <v>172</v>
      </c>
      <c r="L178" s="168">
        <f t="shared" si="117"/>
        <v>162</v>
      </c>
      <c r="M178" s="166">
        <f t="shared" si="118"/>
        <v>256</v>
      </c>
      <c r="N178" s="167">
        <f t="shared" si="119"/>
        <v>216</v>
      </c>
      <c r="O178" s="168">
        <f t="shared" si="120"/>
        <v>202</v>
      </c>
      <c r="P178" s="169">
        <f t="shared" si="121"/>
        <v>384</v>
      </c>
      <c r="Q178" s="169">
        <f t="shared" si="122"/>
        <v>324</v>
      </c>
      <c r="R178" s="169">
        <f t="shared" si="123"/>
        <v>303</v>
      </c>
      <c r="S178" s="584">
        <f t="shared" si="149"/>
        <v>2565</v>
      </c>
      <c r="T178" s="594">
        <f t="shared" si="150"/>
        <v>2160</v>
      </c>
      <c r="U178" s="595">
        <f t="shared" si="151"/>
        <v>2025</v>
      </c>
      <c r="V178" s="166">
        <f t="shared" si="152"/>
        <v>5842</v>
      </c>
      <c r="W178" s="167">
        <f t="shared" si="153"/>
        <v>4924</v>
      </c>
      <c r="X178" s="168">
        <f t="shared" si="154"/>
        <v>4611</v>
      </c>
      <c r="Y178" s="166">
        <f t="shared" si="155"/>
        <v>6610</v>
      </c>
      <c r="Z178" s="167">
        <f t="shared" si="156"/>
        <v>5248</v>
      </c>
      <c r="AA178" s="168">
        <f t="shared" si="157"/>
        <v>5520</v>
      </c>
      <c r="AB178" s="166">
        <f t="shared" si="158"/>
        <v>7762</v>
      </c>
      <c r="AC178" s="167">
        <f t="shared" si="159"/>
        <v>6220</v>
      </c>
      <c r="AD178" s="168">
        <f t="shared" si="160"/>
        <v>5823</v>
      </c>
      <c r="AE178" s="166">
        <f t="shared" si="161"/>
        <v>8530</v>
      </c>
      <c r="AF178" s="167">
        <f t="shared" si="162"/>
        <v>7516</v>
      </c>
      <c r="AG178" s="168">
        <f t="shared" si="163"/>
        <v>6429</v>
      </c>
      <c r="AH178" s="166">
        <f t="shared" si="139"/>
        <v>9298</v>
      </c>
      <c r="AI178" s="167">
        <f t="shared" si="164"/>
        <v>8164</v>
      </c>
      <c r="AJ178" s="168">
        <f t="shared" si="165"/>
        <v>7641</v>
      </c>
      <c r="AK178" s="169">
        <f t="shared" si="166"/>
        <v>10465</v>
      </c>
      <c r="AL178" s="167">
        <f t="shared" si="167"/>
        <v>8812</v>
      </c>
      <c r="AM178" s="585">
        <f t="shared" si="168"/>
        <v>8262</v>
      </c>
      <c r="AN178" s="596">
        <v>0.25</v>
      </c>
      <c r="AO178" s="597">
        <v>0.28000000000000003</v>
      </c>
      <c r="AP178" s="597">
        <v>0.31</v>
      </c>
      <c r="AQ178" s="598">
        <v>0.34</v>
      </c>
      <c r="AR178" s="599">
        <v>0.37</v>
      </c>
      <c r="AS178" s="586"/>
      <c r="AT178" s="587"/>
      <c r="AU178" s="587"/>
      <c r="AV178" s="588"/>
      <c r="AW178" s="589"/>
      <c r="AX178" s="596">
        <v>0.04</v>
      </c>
      <c r="AY178" s="598">
        <v>4.2999999999999997E-2</v>
      </c>
      <c r="AZ178" s="598">
        <v>4.5999999999999999E-2</v>
      </c>
      <c r="BA178" s="598">
        <v>4.9000000000000002E-2</v>
      </c>
      <c r="BB178" s="598">
        <v>5.1999999999999998E-2</v>
      </c>
      <c r="BC178" s="590"/>
      <c r="BD178" s="631"/>
      <c r="BE178" s="596"/>
      <c r="BF178" s="598"/>
      <c r="BG178" s="598"/>
      <c r="BH178" s="598"/>
      <c r="BI178" s="598"/>
      <c r="BJ178" s="598"/>
      <c r="BK178" s="605"/>
      <c r="BL178" s="658">
        <f t="shared" si="145"/>
        <v>27000</v>
      </c>
      <c r="BM178" s="3">
        <f t="shared" si="146"/>
        <v>38</v>
      </c>
      <c r="BN178" s="3">
        <f t="shared" si="147"/>
        <v>32</v>
      </c>
      <c r="BO178" s="3">
        <f t="shared" si="148"/>
        <v>30</v>
      </c>
    </row>
    <row r="179" spans="2:67">
      <c r="B179" s="207" t="s">
        <v>453</v>
      </c>
      <c r="C179" s="883" t="s">
        <v>357</v>
      </c>
      <c r="D179" s="883" t="s">
        <v>70</v>
      </c>
      <c r="E179" s="238" t="s">
        <v>65</v>
      </c>
      <c r="F179" s="592">
        <v>176</v>
      </c>
      <c r="G179" s="593">
        <v>4980</v>
      </c>
      <c r="H179" s="594">
        <v>4980</v>
      </c>
      <c r="I179" s="595">
        <v>6640</v>
      </c>
      <c r="J179" s="166">
        <f t="shared" si="115"/>
        <v>99</v>
      </c>
      <c r="K179" s="167">
        <f t="shared" si="116"/>
        <v>99</v>
      </c>
      <c r="L179" s="168">
        <f t="shared" si="117"/>
        <v>132</v>
      </c>
      <c r="M179" s="166">
        <f t="shared" si="118"/>
        <v>149</v>
      </c>
      <c r="N179" s="167">
        <f t="shared" si="119"/>
        <v>149</v>
      </c>
      <c r="O179" s="168">
        <f t="shared" si="120"/>
        <v>199</v>
      </c>
      <c r="P179" s="169">
        <f t="shared" si="121"/>
        <v>199</v>
      </c>
      <c r="Q179" s="169">
        <f t="shared" si="122"/>
        <v>199</v>
      </c>
      <c r="R179" s="169">
        <f t="shared" si="123"/>
        <v>265</v>
      </c>
      <c r="S179" s="584">
        <f t="shared" si="149"/>
        <v>1494</v>
      </c>
      <c r="T179" s="594">
        <f t="shared" si="150"/>
        <v>1494</v>
      </c>
      <c r="U179" s="595">
        <f t="shared" si="151"/>
        <v>1992</v>
      </c>
      <c r="V179" s="166">
        <f t="shared" si="152"/>
        <v>3083</v>
      </c>
      <c r="W179" s="167">
        <f t="shared" si="153"/>
        <v>3083</v>
      </c>
      <c r="X179" s="168">
        <f t="shared" si="154"/>
        <v>4114</v>
      </c>
      <c r="Y179" s="166">
        <f t="shared" si="155"/>
        <v>3481</v>
      </c>
      <c r="Z179" s="167">
        <f t="shared" si="156"/>
        <v>3481</v>
      </c>
      <c r="AA179" s="168">
        <f t="shared" si="157"/>
        <v>4644</v>
      </c>
      <c r="AB179" s="166">
        <f t="shared" si="158"/>
        <v>3879</v>
      </c>
      <c r="AC179" s="167">
        <f t="shared" si="159"/>
        <v>3879</v>
      </c>
      <c r="AD179" s="168">
        <f t="shared" si="160"/>
        <v>5174</v>
      </c>
      <c r="AE179" s="166">
        <f t="shared" si="161"/>
        <v>4277</v>
      </c>
      <c r="AF179" s="167">
        <f t="shared" si="162"/>
        <v>4078</v>
      </c>
      <c r="AG179" s="168">
        <f t="shared" si="163"/>
        <v>5704</v>
      </c>
      <c r="AH179" s="166">
        <f t="shared" si="139"/>
        <v>4476</v>
      </c>
      <c r="AI179" s="167">
        <f t="shared" si="164"/>
        <v>4476</v>
      </c>
      <c r="AJ179" s="168">
        <f t="shared" si="165"/>
        <v>6499</v>
      </c>
      <c r="AK179" s="169">
        <f t="shared" si="166"/>
        <v>5079</v>
      </c>
      <c r="AL179" s="167">
        <f t="shared" si="167"/>
        <v>5079</v>
      </c>
      <c r="AM179" s="585">
        <f t="shared" si="168"/>
        <v>6772</v>
      </c>
      <c r="AN179" s="596">
        <v>0.2</v>
      </c>
      <c r="AO179" s="597">
        <v>0.20499999999999999</v>
      </c>
      <c r="AP179" s="597">
        <v>0.21</v>
      </c>
      <c r="AQ179" s="598">
        <v>0.215</v>
      </c>
      <c r="AR179" s="599">
        <v>0.22</v>
      </c>
      <c r="AS179" s="586"/>
      <c r="AT179" s="587"/>
      <c r="AU179" s="587"/>
      <c r="AV179" s="588"/>
      <c r="AW179" s="589"/>
      <c r="AX179" s="596">
        <v>0.02</v>
      </c>
      <c r="AY179" s="598">
        <v>2.3E-2</v>
      </c>
      <c r="AZ179" s="598">
        <v>2.5999999999999999E-2</v>
      </c>
      <c r="BA179" s="598">
        <v>2.9000000000000001E-2</v>
      </c>
      <c r="BB179" s="598">
        <v>3.2000000000000001E-2</v>
      </c>
      <c r="BC179" s="590"/>
      <c r="BD179" s="631"/>
      <c r="BE179" s="596"/>
      <c r="BF179" s="598"/>
      <c r="BG179" s="598"/>
      <c r="BH179" s="598"/>
      <c r="BI179" s="598"/>
      <c r="BJ179" s="598"/>
      <c r="BK179" s="605"/>
      <c r="BL179" s="658">
        <f t="shared" si="145"/>
        <v>16600</v>
      </c>
      <c r="BM179" s="3">
        <f t="shared" si="146"/>
        <v>30</v>
      </c>
      <c r="BN179" s="3">
        <f t="shared" si="147"/>
        <v>30</v>
      </c>
      <c r="BO179" s="3">
        <f t="shared" si="148"/>
        <v>40</v>
      </c>
    </row>
    <row r="180" spans="2:67">
      <c r="B180" s="1269" t="s">
        <v>100</v>
      </c>
      <c r="C180" s="1265" t="s">
        <v>309</v>
      </c>
      <c r="D180" s="1265" t="s">
        <v>23</v>
      </c>
      <c r="E180" s="1267" t="s">
        <v>65</v>
      </c>
      <c r="F180" s="1270">
        <v>177</v>
      </c>
      <c r="G180" s="593">
        <v>8744</v>
      </c>
      <c r="H180" s="594">
        <v>9273</v>
      </c>
      <c r="I180" s="595">
        <v>8480</v>
      </c>
      <c r="J180" s="166">
        <f t="shared" si="115"/>
        <v>174</v>
      </c>
      <c r="K180" s="167">
        <f t="shared" si="116"/>
        <v>185</v>
      </c>
      <c r="L180" s="168">
        <f t="shared" si="117"/>
        <v>169</v>
      </c>
      <c r="M180" s="166">
        <f t="shared" si="118"/>
        <v>218</v>
      </c>
      <c r="N180" s="167">
        <f t="shared" si="119"/>
        <v>231</v>
      </c>
      <c r="O180" s="168">
        <f t="shared" si="120"/>
        <v>212</v>
      </c>
      <c r="P180" s="169">
        <f t="shared" si="121"/>
        <v>327</v>
      </c>
      <c r="Q180" s="169">
        <f t="shared" si="122"/>
        <v>347</v>
      </c>
      <c r="R180" s="169">
        <f t="shared" si="123"/>
        <v>318</v>
      </c>
      <c r="S180" s="584">
        <f t="shared" si="149"/>
        <v>2186</v>
      </c>
      <c r="T180" s="594">
        <f t="shared" si="150"/>
        <v>2318</v>
      </c>
      <c r="U180" s="595">
        <f t="shared" si="151"/>
        <v>2120</v>
      </c>
      <c r="V180" s="166">
        <f t="shared" si="152"/>
        <v>4976</v>
      </c>
      <c r="W180" s="167">
        <f t="shared" si="153"/>
        <v>5275</v>
      </c>
      <c r="X180" s="168">
        <f t="shared" si="154"/>
        <v>4833</v>
      </c>
      <c r="Y180" s="166">
        <f t="shared" si="155"/>
        <v>5957</v>
      </c>
      <c r="Z180" s="167">
        <f t="shared" si="156"/>
        <v>5969</v>
      </c>
      <c r="AA180" s="168">
        <f t="shared" si="157"/>
        <v>5151</v>
      </c>
      <c r="AB180" s="166">
        <f t="shared" si="158"/>
        <v>6284</v>
      </c>
      <c r="AC180" s="167">
        <f t="shared" si="159"/>
        <v>7010</v>
      </c>
      <c r="AD180" s="168">
        <f t="shared" si="160"/>
        <v>6105</v>
      </c>
      <c r="AE180" s="166">
        <f t="shared" si="161"/>
        <v>6938</v>
      </c>
      <c r="AF180" s="167">
        <f t="shared" si="162"/>
        <v>7704</v>
      </c>
      <c r="AG180" s="168">
        <f t="shared" si="163"/>
        <v>7377</v>
      </c>
      <c r="AH180" s="166">
        <f t="shared" si="139"/>
        <v>8246</v>
      </c>
      <c r="AI180" s="167">
        <f t="shared" si="164"/>
        <v>8398</v>
      </c>
      <c r="AJ180" s="168">
        <f t="shared" si="165"/>
        <v>8013</v>
      </c>
      <c r="AK180" s="169">
        <f t="shared" si="166"/>
        <v>8918</v>
      </c>
      <c r="AL180" s="167">
        <f t="shared" si="167"/>
        <v>9458</v>
      </c>
      <c r="AM180" s="585">
        <f t="shared" si="168"/>
        <v>8649</v>
      </c>
      <c r="AN180" s="596">
        <v>0.2</v>
      </c>
      <c r="AO180" s="597">
        <v>0.23</v>
      </c>
      <c r="AP180" s="597">
        <v>0.26</v>
      </c>
      <c r="AQ180" s="598">
        <v>0.28999999999999998</v>
      </c>
      <c r="AR180" s="599">
        <v>0.32</v>
      </c>
      <c r="AS180" s="586"/>
      <c r="AT180" s="587"/>
      <c r="AU180" s="587"/>
      <c r="AV180" s="588"/>
      <c r="AW180" s="589"/>
      <c r="AX180" s="596">
        <v>0.03</v>
      </c>
      <c r="AY180" s="598">
        <v>3.5000000000000003E-2</v>
      </c>
      <c r="AZ180" s="598">
        <v>0.04</v>
      </c>
      <c r="BA180" s="598">
        <v>4.4999999999999998E-2</v>
      </c>
      <c r="BB180" s="598">
        <v>0.05</v>
      </c>
      <c r="BC180" s="590"/>
      <c r="BD180" s="631"/>
      <c r="BE180" s="596"/>
      <c r="BF180" s="598"/>
      <c r="BG180" s="598"/>
      <c r="BH180" s="598"/>
      <c r="BI180" s="598"/>
      <c r="BJ180" s="598"/>
      <c r="BK180" s="605"/>
      <c r="BL180" s="658">
        <f t="shared" si="145"/>
        <v>26500</v>
      </c>
      <c r="BM180" s="3">
        <f t="shared" si="146"/>
        <v>33</v>
      </c>
      <c r="BN180" s="3">
        <f t="shared" si="147"/>
        <v>35</v>
      </c>
      <c r="BO180" s="3">
        <f t="shared" si="148"/>
        <v>32</v>
      </c>
    </row>
    <row r="181" spans="2:67">
      <c r="B181" s="1269" t="s">
        <v>117</v>
      </c>
      <c r="C181" s="1265" t="s">
        <v>309</v>
      </c>
      <c r="D181" s="1265" t="s">
        <v>70</v>
      </c>
      <c r="E181" s="1267" t="s">
        <v>125</v>
      </c>
      <c r="F181" s="1270">
        <v>178</v>
      </c>
      <c r="G181" s="593">
        <v>7700</v>
      </c>
      <c r="H181" s="594">
        <v>7260</v>
      </c>
      <c r="I181" s="595">
        <v>7040</v>
      </c>
      <c r="J181" s="166">
        <f t="shared" si="115"/>
        <v>154</v>
      </c>
      <c r="K181" s="167">
        <f t="shared" si="116"/>
        <v>145</v>
      </c>
      <c r="L181" s="168">
        <f t="shared" si="117"/>
        <v>140</v>
      </c>
      <c r="M181" s="166">
        <f t="shared" si="118"/>
        <v>192</v>
      </c>
      <c r="N181" s="167">
        <f t="shared" si="119"/>
        <v>181</v>
      </c>
      <c r="O181" s="168">
        <f t="shared" si="120"/>
        <v>176</v>
      </c>
      <c r="P181" s="169">
        <f t="shared" si="121"/>
        <v>288</v>
      </c>
      <c r="Q181" s="169">
        <f t="shared" si="122"/>
        <v>272</v>
      </c>
      <c r="R181" s="169">
        <f t="shared" si="123"/>
        <v>264</v>
      </c>
      <c r="S181" s="584">
        <f t="shared" si="149"/>
        <v>1925</v>
      </c>
      <c r="T181" s="594">
        <f t="shared" si="150"/>
        <v>1815</v>
      </c>
      <c r="U181" s="595">
        <f t="shared" si="151"/>
        <v>1760</v>
      </c>
      <c r="V181" s="166">
        <f t="shared" si="152"/>
        <v>4383</v>
      </c>
      <c r="W181" s="167">
        <f t="shared" si="153"/>
        <v>4132</v>
      </c>
      <c r="X181" s="168">
        <f t="shared" si="154"/>
        <v>4012</v>
      </c>
      <c r="Y181" s="166">
        <f t="shared" si="155"/>
        <v>4671</v>
      </c>
      <c r="Z181" s="167">
        <f t="shared" si="156"/>
        <v>4676</v>
      </c>
      <c r="AA181" s="168">
        <f t="shared" si="157"/>
        <v>4804</v>
      </c>
      <c r="AB181" s="166">
        <f t="shared" si="158"/>
        <v>5535</v>
      </c>
      <c r="AC181" s="167">
        <f t="shared" si="159"/>
        <v>5492</v>
      </c>
      <c r="AD181" s="168">
        <f t="shared" si="160"/>
        <v>5068</v>
      </c>
      <c r="AE181" s="166">
        <f t="shared" si="161"/>
        <v>6687</v>
      </c>
      <c r="AF181" s="167">
        <f t="shared" si="162"/>
        <v>6036</v>
      </c>
      <c r="AG181" s="168">
        <f t="shared" si="163"/>
        <v>5596</v>
      </c>
      <c r="AH181" s="166">
        <f t="shared" si="139"/>
        <v>7263</v>
      </c>
      <c r="AI181" s="167">
        <f t="shared" si="164"/>
        <v>6580</v>
      </c>
      <c r="AJ181" s="168">
        <f t="shared" si="165"/>
        <v>6652</v>
      </c>
      <c r="AK181" s="169">
        <f t="shared" si="166"/>
        <v>7854</v>
      </c>
      <c r="AL181" s="167">
        <f t="shared" si="167"/>
        <v>7405</v>
      </c>
      <c r="AM181" s="585">
        <f t="shared" si="168"/>
        <v>7180</v>
      </c>
      <c r="AN181" s="596">
        <v>0.28000000000000003</v>
      </c>
      <c r="AO181" s="597">
        <v>0.28499999999999998</v>
      </c>
      <c r="AP181" s="597">
        <v>0.28999999999999998</v>
      </c>
      <c r="AQ181" s="598">
        <v>0.29499999999999998</v>
      </c>
      <c r="AR181" s="599">
        <v>0.3</v>
      </c>
      <c r="AS181" s="586"/>
      <c r="AT181" s="587"/>
      <c r="AU181" s="587"/>
      <c r="AV181" s="588"/>
      <c r="AW181" s="589"/>
      <c r="AX181" s="596">
        <v>0.04</v>
      </c>
      <c r="AY181" s="598">
        <v>4.2999999999999997E-2</v>
      </c>
      <c r="AZ181" s="598">
        <v>4.5999999999999999E-2</v>
      </c>
      <c r="BA181" s="598">
        <v>4.9000000000000002E-2</v>
      </c>
      <c r="BB181" s="598">
        <v>5.1999999999999998E-2</v>
      </c>
      <c r="BC181" s="590"/>
      <c r="BD181" s="631"/>
      <c r="BE181" s="596"/>
      <c r="BF181" s="598"/>
      <c r="BG181" s="598"/>
      <c r="BH181" s="598"/>
      <c r="BI181" s="598"/>
      <c r="BJ181" s="598"/>
      <c r="BK181" s="605"/>
      <c r="BL181" s="658">
        <f t="shared" si="145"/>
        <v>22000</v>
      </c>
      <c r="BM181" s="3">
        <f t="shared" si="146"/>
        <v>35</v>
      </c>
      <c r="BN181" s="3">
        <f t="shared" si="147"/>
        <v>33</v>
      </c>
      <c r="BO181" s="3">
        <f t="shared" si="148"/>
        <v>32</v>
      </c>
    </row>
    <row r="182" spans="2:67">
      <c r="B182" s="207" t="s">
        <v>375</v>
      </c>
      <c r="C182" s="890" t="s">
        <v>357</v>
      </c>
      <c r="D182" s="890" t="s">
        <v>360</v>
      </c>
      <c r="E182" s="238" t="s">
        <v>125</v>
      </c>
      <c r="F182" s="592">
        <v>179</v>
      </c>
      <c r="G182" s="593">
        <v>5710</v>
      </c>
      <c r="H182" s="594">
        <v>3807</v>
      </c>
      <c r="I182" s="595">
        <v>4080</v>
      </c>
      <c r="J182" s="166">
        <f t="shared" si="115"/>
        <v>114</v>
      </c>
      <c r="K182" s="167">
        <f t="shared" si="116"/>
        <v>76</v>
      </c>
      <c r="L182" s="168">
        <f t="shared" si="117"/>
        <v>81</v>
      </c>
      <c r="M182" s="166">
        <f t="shared" si="118"/>
        <v>171</v>
      </c>
      <c r="N182" s="167">
        <f t="shared" si="119"/>
        <v>114</v>
      </c>
      <c r="O182" s="168">
        <f t="shared" si="120"/>
        <v>122</v>
      </c>
      <c r="P182" s="169">
        <f t="shared" si="121"/>
        <v>228</v>
      </c>
      <c r="Q182" s="169">
        <f t="shared" si="122"/>
        <v>152</v>
      </c>
      <c r="R182" s="169">
        <f t="shared" si="123"/>
        <v>163</v>
      </c>
      <c r="S182" s="584">
        <f t="shared" si="149"/>
        <v>1713</v>
      </c>
      <c r="T182" s="594">
        <f t="shared" si="150"/>
        <v>1142</v>
      </c>
      <c r="U182" s="595">
        <f t="shared" si="151"/>
        <v>1224</v>
      </c>
      <c r="V182" s="166">
        <f t="shared" si="152"/>
        <v>3537</v>
      </c>
      <c r="W182" s="167">
        <f t="shared" si="153"/>
        <v>2358</v>
      </c>
      <c r="X182" s="168">
        <f t="shared" si="154"/>
        <v>2525</v>
      </c>
      <c r="Y182" s="166">
        <f t="shared" si="155"/>
        <v>3993</v>
      </c>
      <c r="Z182" s="167">
        <f t="shared" si="156"/>
        <v>2662</v>
      </c>
      <c r="AA182" s="168">
        <f t="shared" si="157"/>
        <v>2851</v>
      </c>
      <c r="AB182" s="166">
        <f t="shared" si="158"/>
        <v>4449</v>
      </c>
      <c r="AC182" s="167">
        <f t="shared" si="159"/>
        <v>2966</v>
      </c>
      <c r="AD182" s="168">
        <f t="shared" si="160"/>
        <v>3177</v>
      </c>
      <c r="AE182" s="166">
        <f t="shared" si="161"/>
        <v>4905</v>
      </c>
      <c r="AF182" s="167">
        <f t="shared" si="162"/>
        <v>3270</v>
      </c>
      <c r="AG182" s="168">
        <f t="shared" si="163"/>
        <v>3340</v>
      </c>
      <c r="AH182" s="166">
        <f t="shared" si="139"/>
        <v>5133</v>
      </c>
      <c r="AI182" s="167">
        <f t="shared" si="164"/>
        <v>3726</v>
      </c>
      <c r="AJ182" s="168">
        <f t="shared" si="165"/>
        <v>3666</v>
      </c>
      <c r="AK182" s="169">
        <f t="shared" si="166"/>
        <v>5824</v>
      </c>
      <c r="AL182" s="167">
        <f t="shared" si="167"/>
        <v>3883</v>
      </c>
      <c r="AM182" s="585">
        <f t="shared" si="168"/>
        <v>4161</v>
      </c>
      <c r="AN182" s="596">
        <v>0.04</v>
      </c>
      <c r="AO182" s="597">
        <v>4.4999999999999998E-2</v>
      </c>
      <c r="AP182" s="597">
        <v>0.05</v>
      </c>
      <c r="AQ182" s="598">
        <v>5.5E-2</v>
      </c>
      <c r="AR182" s="599">
        <v>0.06</v>
      </c>
      <c r="AS182" s="586"/>
      <c r="AT182" s="587"/>
      <c r="AU182" s="587"/>
      <c r="AV182" s="588"/>
      <c r="AW182" s="589"/>
      <c r="AX182" s="596">
        <v>0.02</v>
      </c>
      <c r="AY182" s="598">
        <v>2.3E-2</v>
      </c>
      <c r="AZ182" s="598">
        <v>2.5999999999999999E-2</v>
      </c>
      <c r="BA182" s="598">
        <v>2.9000000000000001E-2</v>
      </c>
      <c r="BB182" s="598">
        <v>3.2000000000000001E-2</v>
      </c>
      <c r="BC182" s="590"/>
      <c r="BD182" s="631"/>
      <c r="BE182" s="596"/>
      <c r="BF182" s="598"/>
      <c r="BG182" s="598"/>
      <c r="BH182" s="598"/>
      <c r="BI182" s="598"/>
      <c r="BJ182" s="598"/>
      <c r="BK182" s="605"/>
      <c r="BL182" s="658">
        <f t="shared" si="145"/>
        <v>13600</v>
      </c>
      <c r="BM182" s="3">
        <f t="shared" si="146"/>
        <v>42</v>
      </c>
      <c r="BN182" s="3">
        <f t="shared" si="147"/>
        <v>28</v>
      </c>
      <c r="BO182" s="3">
        <f t="shared" si="148"/>
        <v>30</v>
      </c>
    </row>
    <row r="183" spans="2:67">
      <c r="B183" s="207" t="s">
        <v>411</v>
      </c>
      <c r="C183" s="890" t="s">
        <v>357</v>
      </c>
      <c r="D183" s="890" t="s">
        <v>359</v>
      </c>
      <c r="E183" s="238" t="s">
        <v>125</v>
      </c>
      <c r="F183" s="592">
        <v>180</v>
      </c>
      <c r="G183" s="593">
        <v>4487</v>
      </c>
      <c r="H183" s="594">
        <v>4487</v>
      </c>
      <c r="I183" s="595">
        <v>4623</v>
      </c>
      <c r="J183" s="166">
        <f t="shared" si="115"/>
        <v>89</v>
      </c>
      <c r="K183" s="167">
        <f t="shared" si="116"/>
        <v>89</v>
      </c>
      <c r="L183" s="168">
        <f t="shared" si="117"/>
        <v>92</v>
      </c>
      <c r="M183" s="166">
        <f t="shared" si="118"/>
        <v>134</v>
      </c>
      <c r="N183" s="167">
        <f t="shared" si="119"/>
        <v>134</v>
      </c>
      <c r="O183" s="168">
        <f t="shared" si="120"/>
        <v>138</v>
      </c>
      <c r="P183" s="169">
        <f t="shared" si="121"/>
        <v>179</v>
      </c>
      <c r="Q183" s="169">
        <f t="shared" si="122"/>
        <v>179</v>
      </c>
      <c r="R183" s="169">
        <f t="shared" si="123"/>
        <v>184</v>
      </c>
      <c r="S183" s="584">
        <f t="shared" si="149"/>
        <v>1346</v>
      </c>
      <c r="T183" s="594">
        <f t="shared" si="150"/>
        <v>1346</v>
      </c>
      <c r="U183" s="595">
        <f t="shared" si="151"/>
        <v>1387</v>
      </c>
      <c r="V183" s="166">
        <f t="shared" si="152"/>
        <v>2775</v>
      </c>
      <c r="W183" s="167">
        <f t="shared" si="153"/>
        <v>2775</v>
      </c>
      <c r="X183" s="168">
        <f t="shared" si="154"/>
        <v>2859</v>
      </c>
      <c r="Y183" s="166">
        <f t="shared" si="155"/>
        <v>3133</v>
      </c>
      <c r="Z183" s="167">
        <f t="shared" si="156"/>
        <v>3133</v>
      </c>
      <c r="AA183" s="168">
        <f t="shared" si="157"/>
        <v>3227</v>
      </c>
      <c r="AB183" s="166">
        <f t="shared" si="158"/>
        <v>3491</v>
      </c>
      <c r="AC183" s="167">
        <f t="shared" si="159"/>
        <v>3491</v>
      </c>
      <c r="AD183" s="168">
        <f t="shared" si="160"/>
        <v>3595</v>
      </c>
      <c r="AE183" s="166">
        <f t="shared" si="161"/>
        <v>3849</v>
      </c>
      <c r="AF183" s="167">
        <f t="shared" si="162"/>
        <v>3670</v>
      </c>
      <c r="AG183" s="168">
        <f t="shared" si="163"/>
        <v>3963</v>
      </c>
      <c r="AH183" s="166">
        <f t="shared" si="139"/>
        <v>4386</v>
      </c>
      <c r="AI183" s="167">
        <f t="shared" si="164"/>
        <v>4028</v>
      </c>
      <c r="AJ183" s="168">
        <f t="shared" si="165"/>
        <v>4147</v>
      </c>
      <c r="AK183" s="169">
        <f t="shared" si="166"/>
        <v>4576</v>
      </c>
      <c r="AL183" s="167">
        <f t="shared" si="167"/>
        <v>4576</v>
      </c>
      <c r="AM183" s="585">
        <f t="shared" si="168"/>
        <v>4715</v>
      </c>
      <c r="AN183" s="596">
        <v>0.06</v>
      </c>
      <c r="AO183" s="597">
        <v>7.0000000000000007E-2</v>
      </c>
      <c r="AP183" s="597">
        <v>0.08</v>
      </c>
      <c r="AQ183" s="598">
        <v>0.09</v>
      </c>
      <c r="AR183" s="599">
        <v>0.1</v>
      </c>
      <c r="AS183" s="586"/>
      <c r="AT183" s="587"/>
      <c r="AU183" s="587"/>
      <c r="AV183" s="588"/>
      <c r="AW183" s="589"/>
      <c r="AX183" s="596">
        <v>0.02</v>
      </c>
      <c r="AY183" s="598">
        <v>2.3E-2</v>
      </c>
      <c r="AZ183" s="598">
        <v>2.5999999999999999E-2</v>
      </c>
      <c r="BA183" s="598">
        <v>2.9000000000000001E-2</v>
      </c>
      <c r="BB183" s="598">
        <v>3.2000000000000001E-2</v>
      </c>
      <c r="BC183" s="590"/>
      <c r="BD183" s="631"/>
      <c r="BE183" s="596"/>
      <c r="BF183" s="598"/>
      <c r="BG183" s="598"/>
      <c r="BH183" s="598"/>
      <c r="BI183" s="598"/>
      <c r="BJ183" s="598"/>
      <c r="BK183" s="605"/>
      <c r="BL183" s="658">
        <f t="shared" si="145"/>
        <v>13600</v>
      </c>
      <c r="BM183" s="3">
        <f t="shared" si="146"/>
        <v>33</v>
      </c>
      <c r="BN183" s="3">
        <f t="shared" si="147"/>
        <v>33</v>
      </c>
      <c r="BO183" s="3">
        <f t="shared" si="148"/>
        <v>34</v>
      </c>
    </row>
    <row r="184" spans="2:67">
      <c r="B184" s="1269" t="s">
        <v>1973</v>
      </c>
      <c r="C184" s="1265" t="s">
        <v>309</v>
      </c>
      <c r="D184" s="1265" t="s">
        <v>70</v>
      </c>
      <c r="E184" s="1267" t="s">
        <v>126</v>
      </c>
      <c r="F184" s="1270">
        <v>181</v>
      </c>
      <c r="G184" s="593">
        <v>9440</v>
      </c>
      <c r="H184" s="594">
        <v>9440</v>
      </c>
      <c r="I184" s="595">
        <v>10620</v>
      </c>
      <c r="J184" s="166">
        <f t="shared" si="115"/>
        <v>188</v>
      </c>
      <c r="K184" s="167">
        <f t="shared" si="116"/>
        <v>188</v>
      </c>
      <c r="L184" s="168">
        <f t="shared" si="117"/>
        <v>212</v>
      </c>
      <c r="M184" s="166">
        <f t="shared" si="118"/>
        <v>236</v>
      </c>
      <c r="N184" s="167">
        <f t="shared" si="119"/>
        <v>236</v>
      </c>
      <c r="O184" s="168">
        <f t="shared" si="120"/>
        <v>265</v>
      </c>
      <c r="P184" s="169">
        <f t="shared" si="121"/>
        <v>354</v>
      </c>
      <c r="Q184" s="169">
        <f t="shared" si="122"/>
        <v>354</v>
      </c>
      <c r="R184" s="169">
        <f t="shared" si="123"/>
        <v>398</v>
      </c>
      <c r="S184" s="584">
        <f t="shared" si="149"/>
        <v>2360</v>
      </c>
      <c r="T184" s="594">
        <f t="shared" si="150"/>
        <v>2360</v>
      </c>
      <c r="U184" s="595">
        <f t="shared" si="151"/>
        <v>2655</v>
      </c>
      <c r="V184" s="166">
        <f t="shared" si="152"/>
        <v>5380</v>
      </c>
      <c r="W184" s="167">
        <f t="shared" si="153"/>
        <v>5380</v>
      </c>
      <c r="X184" s="168">
        <f t="shared" si="154"/>
        <v>6047</v>
      </c>
      <c r="Y184" s="166">
        <f t="shared" si="155"/>
        <v>5734</v>
      </c>
      <c r="Z184" s="167">
        <f t="shared" si="156"/>
        <v>6088</v>
      </c>
      <c r="AA184" s="168">
        <f t="shared" si="157"/>
        <v>7241</v>
      </c>
      <c r="AB184" s="166">
        <f t="shared" si="158"/>
        <v>6796</v>
      </c>
      <c r="AC184" s="167">
        <f t="shared" si="159"/>
        <v>7150</v>
      </c>
      <c r="AD184" s="168">
        <f t="shared" si="160"/>
        <v>7639</v>
      </c>
      <c r="AE184" s="166">
        <f t="shared" si="161"/>
        <v>8212</v>
      </c>
      <c r="AF184" s="167">
        <f t="shared" si="162"/>
        <v>7858</v>
      </c>
      <c r="AG184" s="168">
        <f t="shared" si="163"/>
        <v>8435</v>
      </c>
      <c r="AH184" s="166">
        <f t="shared" si="139"/>
        <v>8920</v>
      </c>
      <c r="AI184" s="167">
        <f t="shared" si="164"/>
        <v>8566</v>
      </c>
      <c r="AJ184" s="168">
        <f t="shared" si="165"/>
        <v>10027</v>
      </c>
      <c r="AK184" s="169">
        <f t="shared" si="166"/>
        <v>9628</v>
      </c>
      <c r="AL184" s="167">
        <f t="shared" si="167"/>
        <v>9628</v>
      </c>
      <c r="AM184" s="585">
        <f t="shared" si="168"/>
        <v>10832</v>
      </c>
      <c r="AN184" s="596">
        <v>0.28000000000000003</v>
      </c>
      <c r="AO184" s="597">
        <v>0.31</v>
      </c>
      <c r="AP184" s="597">
        <v>0.34</v>
      </c>
      <c r="AQ184" s="598">
        <v>0.37</v>
      </c>
      <c r="AR184" s="599">
        <v>0.4</v>
      </c>
      <c r="AS184" s="586"/>
      <c r="AT184" s="587"/>
      <c r="AU184" s="587"/>
      <c r="AV184" s="588"/>
      <c r="AW184" s="589"/>
      <c r="AX184" s="596">
        <v>0.05</v>
      </c>
      <c r="AY184" s="598">
        <v>5.5E-2</v>
      </c>
      <c r="AZ184" s="598">
        <v>0.06</v>
      </c>
      <c r="BA184" s="598">
        <v>6.5000000000000002E-2</v>
      </c>
      <c r="BB184" s="598">
        <v>7.0000000000000007E-2</v>
      </c>
      <c r="BC184" s="590"/>
      <c r="BD184" s="631"/>
      <c r="BE184" s="596"/>
      <c r="BF184" s="598"/>
      <c r="BG184" s="598"/>
      <c r="BH184" s="598"/>
      <c r="BI184" s="598"/>
      <c r="BJ184" s="598"/>
      <c r="BK184" s="605"/>
      <c r="BL184" s="658">
        <f t="shared" si="145"/>
        <v>29500</v>
      </c>
      <c r="BM184" s="3">
        <f t="shared" si="146"/>
        <v>32</v>
      </c>
      <c r="BN184" s="3">
        <f t="shared" si="147"/>
        <v>32</v>
      </c>
      <c r="BO184" s="3">
        <f t="shared" si="148"/>
        <v>36</v>
      </c>
    </row>
    <row r="185" spans="2:67">
      <c r="B185" s="1269" t="s">
        <v>1974</v>
      </c>
      <c r="C185" s="1265" t="s">
        <v>309</v>
      </c>
      <c r="D185" s="1265" t="s">
        <v>13</v>
      </c>
      <c r="E185" s="238" t="s">
        <v>126</v>
      </c>
      <c r="F185" s="592">
        <v>182</v>
      </c>
      <c r="G185" s="593">
        <v>12469</v>
      </c>
      <c r="H185" s="594">
        <v>5220</v>
      </c>
      <c r="I185" s="595">
        <v>11309</v>
      </c>
      <c r="J185" s="166">
        <f t="shared" si="115"/>
        <v>249</v>
      </c>
      <c r="K185" s="167">
        <f t="shared" si="116"/>
        <v>104</v>
      </c>
      <c r="L185" s="168">
        <f t="shared" si="117"/>
        <v>226</v>
      </c>
      <c r="M185" s="166">
        <f t="shared" si="118"/>
        <v>311</v>
      </c>
      <c r="N185" s="167">
        <f t="shared" si="119"/>
        <v>130</v>
      </c>
      <c r="O185" s="168">
        <f t="shared" si="120"/>
        <v>282</v>
      </c>
      <c r="P185" s="169">
        <f t="shared" si="121"/>
        <v>467</v>
      </c>
      <c r="Q185" s="169">
        <f t="shared" si="122"/>
        <v>195</v>
      </c>
      <c r="R185" s="169">
        <f t="shared" si="123"/>
        <v>424</v>
      </c>
      <c r="S185" s="584">
        <f t="shared" si="149"/>
        <v>3117</v>
      </c>
      <c r="T185" s="594">
        <f t="shared" si="150"/>
        <v>1305</v>
      </c>
      <c r="U185" s="595">
        <f t="shared" si="151"/>
        <v>2827</v>
      </c>
      <c r="V185" s="166">
        <f t="shared" si="152"/>
        <v>7098</v>
      </c>
      <c r="W185" s="167">
        <f t="shared" si="153"/>
        <v>2969</v>
      </c>
      <c r="X185" s="168">
        <f t="shared" si="154"/>
        <v>6437</v>
      </c>
      <c r="Y185" s="166">
        <f t="shared" si="155"/>
        <v>8032</v>
      </c>
      <c r="Z185" s="167">
        <f t="shared" si="156"/>
        <v>3164</v>
      </c>
      <c r="AA185" s="168">
        <f t="shared" si="157"/>
        <v>7709</v>
      </c>
      <c r="AB185" s="166">
        <f t="shared" si="158"/>
        <v>9433</v>
      </c>
      <c r="AC185" s="167">
        <f t="shared" si="159"/>
        <v>3749</v>
      </c>
      <c r="AD185" s="168">
        <f t="shared" si="160"/>
        <v>8133</v>
      </c>
      <c r="AE185" s="166">
        <f t="shared" si="161"/>
        <v>10367</v>
      </c>
      <c r="AF185" s="167">
        <f t="shared" si="162"/>
        <v>4529</v>
      </c>
      <c r="AG185" s="168">
        <f t="shared" si="163"/>
        <v>8981</v>
      </c>
      <c r="AH185" s="166">
        <f t="shared" si="139"/>
        <v>11301</v>
      </c>
      <c r="AI185" s="167">
        <f t="shared" si="164"/>
        <v>4919</v>
      </c>
      <c r="AJ185" s="168">
        <f t="shared" si="165"/>
        <v>10677</v>
      </c>
      <c r="AK185" s="169">
        <f t="shared" si="166"/>
        <v>12718</v>
      </c>
      <c r="AL185" s="167">
        <f t="shared" si="167"/>
        <v>5324</v>
      </c>
      <c r="AM185" s="585">
        <f t="shared" si="168"/>
        <v>11535</v>
      </c>
      <c r="AN185" s="596">
        <v>0.06</v>
      </c>
      <c r="AO185" s="597">
        <v>6.3E-2</v>
      </c>
      <c r="AP185" s="597">
        <v>6.6000000000000003E-2</v>
      </c>
      <c r="AQ185" s="598">
        <v>6.9000000000000006E-2</v>
      </c>
      <c r="AR185" s="599">
        <v>7.1999999999999995E-2</v>
      </c>
      <c r="AS185" s="586"/>
      <c r="AT185" s="587"/>
      <c r="AU185" s="587"/>
      <c r="AV185" s="588"/>
      <c r="AW185" s="589"/>
      <c r="AX185" s="596">
        <v>0.03</v>
      </c>
      <c r="AY185" s="598">
        <v>3.3000000000000002E-2</v>
      </c>
      <c r="AZ185" s="598">
        <v>3.5999999999999997E-2</v>
      </c>
      <c r="BA185" s="598">
        <v>3.9E-2</v>
      </c>
      <c r="BB185" s="598">
        <v>4.2000000000000003E-2</v>
      </c>
      <c r="BC185" s="590"/>
      <c r="BD185" s="631"/>
      <c r="BE185" s="596"/>
      <c r="BF185" s="598"/>
      <c r="BG185" s="598"/>
      <c r="BH185" s="598"/>
      <c r="BI185" s="598"/>
      <c r="BJ185" s="598"/>
      <c r="BK185" s="605"/>
      <c r="BL185" s="658">
        <f t="shared" si="145"/>
        <v>29000</v>
      </c>
      <c r="BM185" s="3">
        <f t="shared" si="146"/>
        <v>43</v>
      </c>
      <c r="BN185" s="3">
        <f t="shared" si="147"/>
        <v>18</v>
      </c>
      <c r="BO185" s="3">
        <f t="shared" si="148"/>
        <v>39</v>
      </c>
    </row>
    <row r="186" spans="2:67">
      <c r="B186" s="207" t="s">
        <v>454</v>
      </c>
      <c r="C186" s="890" t="s">
        <v>357</v>
      </c>
      <c r="D186" s="890" t="s">
        <v>14</v>
      </c>
      <c r="E186" s="238" t="s">
        <v>65</v>
      </c>
      <c r="F186" s="592">
        <v>183</v>
      </c>
      <c r="G186" s="593">
        <v>4980</v>
      </c>
      <c r="H186" s="594">
        <v>4980</v>
      </c>
      <c r="I186" s="595">
        <v>6640</v>
      </c>
      <c r="J186" s="166">
        <f t="shared" si="115"/>
        <v>99</v>
      </c>
      <c r="K186" s="167">
        <f t="shared" si="116"/>
        <v>99</v>
      </c>
      <c r="L186" s="168">
        <f t="shared" si="117"/>
        <v>132</v>
      </c>
      <c r="M186" s="166">
        <f t="shared" si="118"/>
        <v>149</v>
      </c>
      <c r="N186" s="167">
        <f t="shared" si="119"/>
        <v>149</v>
      </c>
      <c r="O186" s="168">
        <f t="shared" si="120"/>
        <v>199</v>
      </c>
      <c r="P186" s="169">
        <f t="shared" si="121"/>
        <v>199</v>
      </c>
      <c r="Q186" s="169">
        <f t="shared" si="122"/>
        <v>199</v>
      </c>
      <c r="R186" s="169">
        <f t="shared" si="123"/>
        <v>265</v>
      </c>
      <c r="S186" s="584">
        <f t="shared" si="149"/>
        <v>1494</v>
      </c>
      <c r="T186" s="594">
        <f t="shared" si="150"/>
        <v>1494</v>
      </c>
      <c r="U186" s="595">
        <f t="shared" si="151"/>
        <v>1992</v>
      </c>
      <c r="V186" s="166">
        <f t="shared" si="152"/>
        <v>3083</v>
      </c>
      <c r="W186" s="167">
        <f t="shared" si="153"/>
        <v>3083</v>
      </c>
      <c r="X186" s="168">
        <f t="shared" si="154"/>
        <v>4114</v>
      </c>
      <c r="Y186" s="166">
        <f t="shared" si="155"/>
        <v>3481</v>
      </c>
      <c r="Z186" s="167">
        <f t="shared" si="156"/>
        <v>3481</v>
      </c>
      <c r="AA186" s="168">
        <f t="shared" si="157"/>
        <v>4644</v>
      </c>
      <c r="AB186" s="166">
        <f t="shared" si="158"/>
        <v>3879</v>
      </c>
      <c r="AC186" s="167">
        <f t="shared" si="159"/>
        <v>3879</v>
      </c>
      <c r="AD186" s="168">
        <f t="shared" si="160"/>
        <v>5174</v>
      </c>
      <c r="AE186" s="166">
        <f t="shared" si="161"/>
        <v>4277</v>
      </c>
      <c r="AF186" s="167">
        <f t="shared" si="162"/>
        <v>4277</v>
      </c>
      <c r="AG186" s="168">
        <f t="shared" si="163"/>
        <v>5439</v>
      </c>
      <c r="AH186" s="166">
        <f t="shared" si="139"/>
        <v>4476</v>
      </c>
      <c r="AI186" s="167">
        <f t="shared" si="164"/>
        <v>4874</v>
      </c>
      <c r="AJ186" s="168">
        <f t="shared" si="165"/>
        <v>5969</v>
      </c>
      <c r="AK186" s="169">
        <f t="shared" si="166"/>
        <v>5079</v>
      </c>
      <c r="AL186" s="167">
        <f t="shared" si="167"/>
        <v>5079</v>
      </c>
      <c r="AM186" s="585">
        <f t="shared" si="168"/>
        <v>6772</v>
      </c>
      <c r="AN186" s="596">
        <v>3.2000000000000001E-2</v>
      </c>
      <c r="AO186" s="597">
        <v>3.4000000000000002E-2</v>
      </c>
      <c r="AP186" s="597">
        <v>3.5999999999999997E-2</v>
      </c>
      <c r="AQ186" s="598">
        <v>3.7999999999999999E-2</v>
      </c>
      <c r="AR186" s="599">
        <v>0.04</v>
      </c>
      <c r="AS186" s="586"/>
      <c r="AT186" s="587"/>
      <c r="AU186" s="587"/>
      <c r="AV186" s="588"/>
      <c r="AW186" s="589"/>
      <c r="AX186" s="596">
        <v>0.02</v>
      </c>
      <c r="AY186" s="598">
        <v>2.3E-2</v>
      </c>
      <c r="AZ186" s="598">
        <v>2.5999999999999999E-2</v>
      </c>
      <c r="BA186" s="598">
        <v>2.9000000000000001E-2</v>
      </c>
      <c r="BB186" s="598">
        <v>3.2000000000000001E-2</v>
      </c>
      <c r="BC186" s="590"/>
      <c r="BD186" s="631"/>
      <c r="BE186" s="596"/>
      <c r="BF186" s="598"/>
      <c r="BG186" s="598"/>
      <c r="BH186" s="598"/>
      <c r="BI186" s="598"/>
      <c r="BJ186" s="598"/>
      <c r="BK186" s="605"/>
      <c r="BL186" s="658">
        <f t="shared" si="145"/>
        <v>16600</v>
      </c>
      <c r="BM186" s="3">
        <f t="shared" si="146"/>
        <v>30</v>
      </c>
      <c r="BN186" s="3">
        <f t="shared" si="147"/>
        <v>30</v>
      </c>
      <c r="BO186" s="3">
        <f t="shared" si="148"/>
        <v>40</v>
      </c>
    </row>
    <row r="187" spans="2:67">
      <c r="B187" s="207" t="s">
        <v>376</v>
      </c>
      <c r="C187" s="890" t="s">
        <v>357</v>
      </c>
      <c r="D187" s="890" t="s">
        <v>358</v>
      </c>
      <c r="E187" s="238" t="s">
        <v>65</v>
      </c>
      <c r="F187" s="592">
        <v>184</v>
      </c>
      <c r="G187" s="593">
        <v>5310</v>
      </c>
      <c r="H187" s="594">
        <v>6307</v>
      </c>
      <c r="I187" s="595">
        <v>4980</v>
      </c>
      <c r="J187" s="166">
        <f t="shared" si="115"/>
        <v>106</v>
      </c>
      <c r="K187" s="167">
        <f t="shared" si="116"/>
        <v>126</v>
      </c>
      <c r="L187" s="168">
        <f t="shared" si="117"/>
        <v>99</v>
      </c>
      <c r="M187" s="166">
        <f t="shared" si="118"/>
        <v>159</v>
      </c>
      <c r="N187" s="167">
        <f t="shared" si="119"/>
        <v>189</v>
      </c>
      <c r="O187" s="168">
        <f t="shared" si="120"/>
        <v>149</v>
      </c>
      <c r="P187" s="169">
        <f t="shared" si="121"/>
        <v>212</v>
      </c>
      <c r="Q187" s="169">
        <f t="shared" si="122"/>
        <v>252</v>
      </c>
      <c r="R187" s="169">
        <f t="shared" si="123"/>
        <v>199</v>
      </c>
      <c r="S187" s="584">
        <f t="shared" si="149"/>
        <v>1593</v>
      </c>
      <c r="T187" s="594">
        <f t="shared" si="150"/>
        <v>1892</v>
      </c>
      <c r="U187" s="595">
        <f t="shared" si="151"/>
        <v>1494</v>
      </c>
      <c r="V187" s="166">
        <f t="shared" si="152"/>
        <v>3289</v>
      </c>
      <c r="W187" s="167">
        <f t="shared" si="153"/>
        <v>3908</v>
      </c>
      <c r="X187" s="168">
        <f t="shared" si="154"/>
        <v>3083</v>
      </c>
      <c r="Y187" s="166">
        <f t="shared" si="155"/>
        <v>3713</v>
      </c>
      <c r="Z187" s="167">
        <f t="shared" si="156"/>
        <v>4412</v>
      </c>
      <c r="AA187" s="168">
        <f t="shared" si="157"/>
        <v>3481</v>
      </c>
      <c r="AB187" s="166">
        <f t="shared" si="158"/>
        <v>4137</v>
      </c>
      <c r="AC187" s="167">
        <f t="shared" si="159"/>
        <v>4916</v>
      </c>
      <c r="AD187" s="168">
        <f t="shared" si="160"/>
        <v>3879</v>
      </c>
      <c r="AE187" s="166">
        <f t="shared" si="161"/>
        <v>4349</v>
      </c>
      <c r="AF187" s="167">
        <f t="shared" si="162"/>
        <v>5420</v>
      </c>
      <c r="AG187" s="168">
        <f t="shared" si="163"/>
        <v>4277</v>
      </c>
      <c r="AH187" s="166">
        <f t="shared" si="139"/>
        <v>4773</v>
      </c>
      <c r="AI187" s="167">
        <f t="shared" si="164"/>
        <v>5672</v>
      </c>
      <c r="AJ187" s="168">
        <f t="shared" si="165"/>
        <v>4874</v>
      </c>
      <c r="AK187" s="169">
        <f t="shared" si="166"/>
        <v>5416</v>
      </c>
      <c r="AL187" s="167">
        <f t="shared" si="167"/>
        <v>6433</v>
      </c>
      <c r="AM187" s="585">
        <f t="shared" si="168"/>
        <v>5079</v>
      </c>
      <c r="AN187" s="596">
        <v>0.04</v>
      </c>
      <c r="AO187" s="597">
        <v>4.2999999999999997E-2</v>
      </c>
      <c r="AP187" s="597">
        <v>4.5999999999999999E-2</v>
      </c>
      <c r="AQ187" s="598">
        <v>4.9000000000000002E-2</v>
      </c>
      <c r="AR187" s="599">
        <v>5.1999999999999998E-2</v>
      </c>
      <c r="AS187" s="586"/>
      <c r="AT187" s="587"/>
      <c r="AU187" s="587"/>
      <c r="AV187" s="588"/>
      <c r="AW187" s="589"/>
      <c r="AX187" s="596">
        <v>0.02</v>
      </c>
      <c r="AY187" s="598">
        <v>2.3E-2</v>
      </c>
      <c r="AZ187" s="598">
        <v>2.5999999999999999E-2</v>
      </c>
      <c r="BA187" s="598">
        <v>2.9000000000000001E-2</v>
      </c>
      <c r="BB187" s="598">
        <v>3.2000000000000001E-2</v>
      </c>
      <c r="BC187" s="590"/>
      <c r="BD187" s="631"/>
      <c r="BE187" s="596"/>
      <c r="BF187" s="598"/>
      <c r="BG187" s="598"/>
      <c r="BH187" s="598"/>
      <c r="BI187" s="598"/>
      <c r="BJ187" s="598"/>
      <c r="BK187" s="605"/>
      <c r="BL187" s="658">
        <f t="shared" si="145"/>
        <v>16600</v>
      </c>
      <c r="BM187" s="3">
        <f t="shared" si="146"/>
        <v>32</v>
      </c>
      <c r="BN187" s="3">
        <f t="shared" si="147"/>
        <v>38</v>
      </c>
      <c r="BO187" s="3">
        <f t="shared" si="148"/>
        <v>30</v>
      </c>
    </row>
    <row r="188" spans="2:67">
      <c r="B188" s="1269" t="s">
        <v>105</v>
      </c>
      <c r="C188" s="1265" t="s">
        <v>309</v>
      </c>
      <c r="D188" s="1265" t="s">
        <v>23</v>
      </c>
      <c r="E188" s="1267" t="s">
        <v>65</v>
      </c>
      <c r="F188" s="592">
        <v>185</v>
      </c>
      <c r="G188" s="593">
        <v>8640</v>
      </c>
      <c r="H188" s="594">
        <v>10260</v>
      </c>
      <c r="I188" s="595">
        <v>8100</v>
      </c>
      <c r="J188" s="166">
        <f t="shared" si="115"/>
        <v>172</v>
      </c>
      <c r="K188" s="167">
        <f t="shared" si="116"/>
        <v>205</v>
      </c>
      <c r="L188" s="168">
        <f t="shared" si="117"/>
        <v>162</v>
      </c>
      <c r="M188" s="166">
        <f t="shared" si="118"/>
        <v>216</v>
      </c>
      <c r="N188" s="167">
        <f t="shared" si="119"/>
        <v>256</v>
      </c>
      <c r="O188" s="168">
        <f t="shared" si="120"/>
        <v>202</v>
      </c>
      <c r="P188" s="169">
        <f t="shared" si="121"/>
        <v>324</v>
      </c>
      <c r="Q188" s="169">
        <f t="shared" si="122"/>
        <v>384</v>
      </c>
      <c r="R188" s="169">
        <f t="shared" si="123"/>
        <v>303</v>
      </c>
      <c r="S188" s="584">
        <f t="shared" si="149"/>
        <v>2160</v>
      </c>
      <c r="T188" s="594">
        <f t="shared" si="150"/>
        <v>2565</v>
      </c>
      <c r="U188" s="595">
        <f t="shared" si="151"/>
        <v>2025</v>
      </c>
      <c r="V188" s="166">
        <f t="shared" si="152"/>
        <v>4924</v>
      </c>
      <c r="W188" s="167">
        <f t="shared" si="153"/>
        <v>5842</v>
      </c>
      <c r="X188" s="168">
        <f t="shared" si="154"/>
        <v>4611</v>
      </c>
      <c r="Y188" s="166">
        <f t="shared" si="155"/>
        <v>5896</v>
      </c>
      <c r="Z188" s="167">
        <f t="shared" si="156"/>
        <v>6610</v>
      </c>
      <c r="AA188" s="168">
        <f t="shared" si="157"/>
        <v>4914</v>
      </c>
      <c r="AB188" s="166">
        <f t="shared" si="158"/>
        <v>6220</v>
      </c>
      <c r="AC188" s="167">
        <f t="shared" si="159"/>
        <v>7762</v>
      </c>
      <c r="AD188" s="168">
        <f t="shared" si="160"/>
        <v>5823</v>
      </c>
      <c r="AE188" s="166">
        <f t="shared" si="161"/>
        <v>6868</v>
      </c>
      <c r="AF188" s="167">
        <f t="shared" si="162"/>
        <v>8530</v>
      </c>
      <c r="AG188" s="168">
        <f t="shared" si="163"/>
        <v>7035</v>
      </c>
      <c r="AH188" s="166">
        <f t="shared" si="139"/>
        <v>8164</v>
      </c>
      <c r="AI188" s="167">
        <f t="shared" si="164"/>
        <v>9298</v>
      </c>
      <c r="AJ188" s="168">
        <f t="shared" si="165"/>
        <v>7641</v>
      </c>
      <c r="AK188" s="169">
        <f t="shared" si="166"/>
        <v>8812</v>
      </c>
      <c r="AL188" s="167">
        <f t="shared" si="167"/>
        <v>10465</v>
      </c>
      <c r="AM188" s="585">
        <f t="shared" si="168"/>
        <v>8262</v>
      </c>
      <c r="AN188" s="596">
        <v>0.2</v>
      </c>
      <c r="AO188" s="597">
        <v>0.23</v>
      </c>
      <c r="AP188" s="597">
        <v>0.26</v>
      </c>
      <c r="AQ188" s="598">
        <v>0.28999999999999998</v>
      </c>
      <c r="AR188" s="599">
        <v>0.32</v>
      </c>
      <c r="AS188" s="586"/>
      <c r="AT188" s="587"/>
      <c r="AU188" s="587"/>
      <c r="AV188" s="588"/>
      <c r="AW188" s="589"/>
      <c r="AX188" s="596">
        <v>0.04</v>
      </c>
      <c r="AY188" s="598">
        <v>4.2999999999999997E-2</v>
      </c>
      <c r="AZ188" s="598">
        <v>4.5999999999999999E-2</v>
      </c>
      <c r="BA188" s="598">
        <v>4.9000000000000002E-2</v>
      </c>
      <c r="BB188" s="598">
        <v>5.1999999999999998E-2</v>
      </c>
      <c r="BC188" s="590"/>
      <c r="BD188" s="631"/>
      <c r="BE188" s="596"/>
      <c r="BF188" s="598"/>
      <c r="BG188" s="598"/>
      <c r="BH188" s="598"/>
      <c r="BI188" s="598"/>
      <c r="BJ188" s="598"/>
      <c r="BK188" s="605"/>
      <c r="BL188" s="658">
        <f t="shared" si="145"/>
        <v>27000</v>
      </c>
      <c r="BM188" s="3">
        <f t="shared" si="146"/>
        <v>32</v>
      </c>
      <c r="BN188" s="3">
        <f t="shared" si="147"/>
        <v>38</v>
      </c>
      <c r="BO188" s="3">
        <f t="shared" si="148"/>
        <v>30</v>
      </c>
    </row>
    <row r="189" spans="2:67">
      <c r="B189" s="207" t="s">
        <v>377</v>
      </c>
      <c r="C189" s="890" t="s">
        <v>357</v>
      </c>
      <c r="D189" s="890" t="s">
        <v>356</v>
      </c>
      <c r="E189" s="238" t="s">
        <v>65</v>
      </c>
      <c r="F189" s="592">
        <v>186</v>
      </c>
      <c r="G189" s="593">
        <v>5810</v>
      </c>
      <c r="H189" s="594">
        <v>5477</v>
      </c>
      <c r="I189" s="595">
        <v>5310</v>
      </c>
      <c r="J189" s="166">
        <f t="shared" si="115"/>
        <v>116</v>
      </c>
      <c r="K189" s="167">
        <f t="shared" si="116"/>
        <v>109</v>
      </c>
      <c r="L189" s="168">
        <f t="shared" si="117"/>
        <v>106</v>
      </c>
      <c r="M189" s="166">
        <f t="shared" si="118"/>
        <v>174</v>
      </c>
      <c r="N189" s="167">
        <f t="shared" si="119"/>
        <v>164</v>
      </c>
      <c r="O189" s="168">
        <f t="shared" si="120"/>
        <v>159</v>
      </c>
      <c r="P189" s="169">
        <f t="shared" si="121"/>
        <v>232</v>
      </c>
      <c r="Q189" s="169">
        <f t="shared" si="122"/>
        <v>219</v>
      </c>
      <c r="R189" s="169">
        <f t="shared" si="123"/>
        <v>212</v>
      </c>
      <c r="S189" s="584">
        <f t="shared" si="149"/>
        <v>1743</v>
      </c>
      <c r="T189" s="594">
        <f t="shared" si="150"/>
        <v>1643</v>
      </c>
      <c r="U189" s="595">
        <f t="shared" si="151"/>
        <v>1593</v>
      </c>
      <c r="V189" s="166">
        <f t="shared" si="152"/>
        <v>3599</v>
      </c>
      <c r="W189" s="167">
        <f t="shared" si="153"/>
        <v>3392</v>
      </c>
      <c r="X189" s="168">
        <f t="shared" si="154"/>
        <v>3289</v>
      </c>
      <c r="Y189" s="166">
        <f t="shared" si="155"/>
        <v>4063</v>
      </c>
      <c r="Z189" s="167">
        <f t="shared" si="156"/>
        <v>3830</v>
      </c>
      <c r="AA189" s="168">
        <f t="shared" si="157"/>
        <v>3713</v>
      </c>
      <c r="AB189" s="166">
        <f t="shared" si="158"/>
        <v>4527</v>
      </c>
      <c r="AC189" s="167">
        <f t="shared" si="159"/>
        <v>4268</v>
      </c>
      <c r="AD189" s="168">
        <f t="shared" si="160"/>
        <v>4137</v>
      </c>
      <c r="AE189" s="166">
        <f t="shared" si="161"/>
        <v>4991</v>
      </c>
      <c r="AF189" s="167">
        <f t="shared" si="162"/>
        <v>4487</v>
      </c>
      <c r="AG189" s="168">
        <f t="shared" si="163"/>
        <v>4561</v>
      </c>
      <c r="AH189" s="166">
        <f t="shared" si="139"/>
        <v>5223</v>
      </c>
      <c r="AI189" s="167">
        <f t="shared" si="164"/>
        <v>4925</v>
      </c>
      <c r="AJ189" s="168">
        <f t="shared" si="165"/>
        <v>5197</v>
      </c>
      <c r="AK189" s="169">
        <f t="shared" si="166"/>
        <v>5926</v>
      </c>
      <c r="AL189" s="167">
        <f t="shared" si="167"/>
        <v>5586</v>
      </c>
      <c r="AM189" s="585">
        <f t="shared" si="168"/>
        <v>5416</v>
      </c>
      <c r="AN189" s="596">
        <v>0.05</v>
      </c>
      <c r="AO189" s="597">
        <v>5.5E-2</v>
      </c>
      <c r="AP189" s="597">
        <v>0.06</v>
      </c>
      <c r="AQ189" s="598">
        <v>6.5000000000000002E-2</v>
      </c>
      <c r="AR189" s="599">
        <v>7.0000000000000007E-2</v>
      </c>
      <c r="AS189" s="586"/>
      <c r="AT189" s="587"/>
      <c r="AU189" s="587"/>
      <c r="AV189" s="588"/>
      <c r="AW189" s="589"/>
      <c r="AX189" s="596">
        <v>0.03</v>
      </c>
      <c r="AY189" s="598">
        <v>3.5000000000000003E-2</v>
      </c>
      <c r="AZ189" s="598">
        <v>0.04</v>
      </c>
      <c r="BA189" s="598">
        <v>4.4999999999999998E-2</v>
      </c>
      <c r="BB189" s="598">
        <v>0.05</v>
      </c>
      <c r="BC189" s="590"/>
      <c r="BD189" s="631"/>
      <c r="BE189" s="596"/>
      <c r="BF189" s="598"/>
      <c r="BG189" s="598"/>
      <c r="BH189" s="598"/>
      <c r="BI189" s="598"/>
      <c r="BJ189" s="598"/>
      <c r="BK189" s="605"/>
      <c r="BL189" s="658">
        <f t="shared" si="145"/>
        <v>16600</v>
      </c>
      <c r="BM189" s="3">
        <f t="shared" si="146"/>
        <v>35</v>
      </c>
      <c r="BN189" s="3">
        <f t="shared" si="147"/>
        <v>33</v>
      </c>
      <c r="BO189" s="3">
        <f t="shared" si="148"/>
        <v>32</v>
      </c>
    </row>
    <row r="190" spans="2:67">
      <c r="B190" s="1269" t="s">
        <v>97</v>
      </c>
      <c r="C190" s="1265" t="s">
        <v>309</v>
      </c>
      <c r="D190" s="1265" t="s">
        <v>14</v>
      </c>
      <c r="E190" s="238" t="s">
        <v>125</v>
      </c>
      <c r="F190" s="1270">
        <v>187</v>
      </c>
      <c r="G190" s="593">
        <v>7040</v>
      </c>
      <c r="H190" s="594">
        <v>6160</v>
      </c>
      <c r="I190" s="595">
        <v>8800</v>
      </c>
      <c r="J190" s="166">
        <f t="shared" si="115"/>
        <v>140</v>
      </c>
      <c r="K190" s="167">
        <f t="shared" si="116"/>
        <v>123</v>
      </c>
      <c r="L190" s="168">
        <f t="shared" si="117"/>
        <v>176</v>
      </c>
      <c r="M190" s="166">
        <f t="shared" si="118"/>
        <v>176</v>
      </c>
      <c r="N190" s="167">
        <f t="shared" si="119"/>
        <v>154</v>
      </c>
      <c r="O190" s="168">
        <f t="shared" si="120"/>
        <v>220</v>
      </c>
      <c r="P190" s="169">
        <f t="shared" si="121"/>
        <v>264</v>
      </c>
      <c r="Q190" s="169">
        <f t="shared" si="122"/>
        <v>231</v>
      </c>
      <c r="R190" s="169">
        <f t="shared" si="123"/>
        <v>330</v>
      </c>
      <c r="S190" s="584">
        <f t="shared" si="149"/>
        <v>1760</v>
      </c>
      <c r="T190" s="594">
        <f t="shared" si="150"/>
        <v>1540</v>
      </c>
      <c r="U190" s="595">
        <f t="shared" si="151"/>
        <v>2200</v>
      </c>
      <c r="V190" s="166">
        <f t="shared" si="152"/>
        <v>4012</v>
      </c>
      <c r="W190" s="167">
        <f t="shared" si="153"/>
        <v>3511</v>
      </c>
      <c r="X190" s="168">
        <f t="shared" si="154"/>
        <v>5016</v>
      </c>
      <c r="Y190" s="166">
        <f t="shared" si="155"/>
        <v>4276</v>
      </c>
      <c r="Z190" s="167">
        <f t="shared" si="156"/>
        <v>4204</v>
      </c>
      <c r="AA190" s="168">
        <f t="shared" si="157"/>
        <v>5676</v>
      </c>
      <c r="AB190" s="166">
        <f t="shared" si="158"/>
        <v>5068</v>
      </c>
      <c r="AC190" s="167">
        <f t="shared" si="159"/>
        <v>4435</v>
      </c>
      <c r="AD190" s="168">
        <f t="shared" si="160"/>
        <v>6666</v>
      </c>
      <c r="AE190" s="166">
        <f t="shared" si="161"/>
        <v>6124</v>
      </c>
      <c r="AF190" s="167">
        <f t="shared" si="162"/>
        <v>4897</v>
      </c>
      <c r="AG190" s="168">
        <f t="shared" si="163"/>
        <v>7326</v>
      </c>
      <c r="AH190" s="166">
        <f t="shared" si="139"/>
        <v>6652</v>
      </c>
      <c r="AI190" s="167">
        <f t="shared" si="164"/>
        <v>5821</v>
      </c>
      <c r="AJ190" s="168">
        <f t="shared" si="165"/>
        <v>7986</v>
      </c>
      <c r="AK190" s="169">
        <f t="shared" si="166"/>
        <v>7180</v>
      </c>
      <c r="AL190" s="167">
        <f t="shared" si="167"/>
        <v>6283</v>
      </c>
      <c r="AM190" s="585">
        <f t="shared" si="168"/>
        <v>8976</v>
      </c>
      <c r="AN190" s="596">
        <v>0.06</v>
      </c>
      <c r="AO190" s="597">
        <v>6.5000000000000002E-2</v>
      </c>
      <c r="AP190" s="597">
        <v>7.0000000000000007E-2</v>
      </c>
      <c r="AQ190" s="598">
        <v>7.4999999999999997E-2</v>
      </c>
      <c r="AR190" s="599">
        <v>0.08</v>
      </c>
      <c r="AS190" s="586"/>
      <c r="AT190" s="587"/>
      <c r="AU190" s="587"/>
      <c r="AV190" s="588"/>
      <c r="AW190" s="589"/>
      <c r="AX190" s="596">
        <v>0.05</v>
      </c>
      <c r="AY190" s="598">
        <v>5.5E-2</v>
      </c>
      <c r="AZ190" s="598">
        <v>0.06</v>
      </c>
      <c r="BA190" s="598">
        <v>6.5000000000000002E-2</v>
      </c>
      <c r="BB190" s="598">
        <v>7.0000000000000007E-2</v>
      </c>
      <c r="BC190" s="590"/>
      <c r="BD190" s="631"/>
      <c r="BE190" s="596"/>
      <c r="BF190" s="598"/>
      <c r="BG190" s="598"/>
      <c r="BH190" s="598"/>
      <c r="BI190" s="598"/>
      <c r="BJ190" s="598"/>
      <c r="BK190" s="605"/>
      <c r="BL190" s="658">
        <f t="shared" si="145"/>
        <v>22000</v>
      </c>
      <c r="BM190" s="3">
        <f t="shared" si="146"/>
        <v>32</v>
      </c>
      <c r="BN190" s="3">
        <f t="shared" si="147"/>
        <v>28</v>
      </c>
      <c r="BO190" s="3">
        <f t="shared" si="148"/>
        <v>40</v>
      </c>
    </row>
    <row r="191" spans="2:67">
      <c r="B191" s="1269" t="s">
        <v>108</v>
      </c>
      <c r="C191" s="1265" t="s">
        <v>309</v>
      </c>
      <c r="D191" s="1265" t="s">
        <v>70</v>
      </c>
      <c r="E191" s="1267" t="s">
        <v>65</v>
      </c>
      <c r="F191" s="1270">
        <v>188</v>
      </c>
      <c r="G191" s="593">
        <v>9449</v>
      </c>
      <c r="H191" s="594">
        <v>8640</v>
      </c>
      <c r="I191" s="595">
        <v>8909</v>
      </c>
      <c r="J191" s="166">
        <f t="shared" si="115"/>
        <v>189</v>
      </c>
      <c r="K191" s="167">
        <f t="shared" si="116"/>
        <v>172</v>
      </c>
      <c r="L191" s="168">
        <f t="shared" si="117"/>
        <v>178</v>
      </c>
      <c r="M191" s="166">
        <f t="shared" si="118"/>
        <v>236</v>
      </c>
      <c r="N191" s="167">
        <f t="shared" si="119"/>
        <v>216</v>
      </c>
      <c r="O191" s="168">
        <f t="shared" si="120"/>
        <v>222</v>
      </c>
      <c r="P191" s="169">
        <f t="shared" si="121"/>
        <v>354</v>
      </c>
      <c r="Q191" s="169">
        <f t="shared" si="122"/>
        <v>324</v>
      </c>
      <c r="R191" s="169">
        <f t="shared" si="123"/>
        <v>334</v>
      </c>
      <c r="S191" s="584">
        <f t="shared" si="149"/>
        <v>2362</v>
      </c>
      <c r="T191" s="594">
        <f t="shared" si="150"/>
        <v>2160</v>
      </c>
      <c r="U191" s="595">
        <f t="shared" si="151"/>
        <v>2227</v>
      </c>
      <c r="V191" s="166">
        <f t="shared" si="152"/>
        <v>5383</v>
      </c>
      <c r="W191" s="167">
        <f t="shared" si="153"/>
        <v>4924</v>
      </c>
      <c r="X191" s="168">
        <f t="shared" si="154"/>
        <v>5069</v>
      </c>
      <c r="Y191" s="166">
        <f t="shared" si="155"/>
        <v>5737</v>
      </c>
      <c r="Z191" s="167">
        <f t="shared" si="156"/>
        <v>5572</v>
      </c>
      <c r="AA191" s="168">
        <f t="shared" si="157"/>
        <v>6071</v>
      </c>
      <c r="AB191" s="166">
        <f t="shared" si="158"/>
        <v>6799</v>
      </c>
      <c r="AC191" s="167">
        <f t="shared" si="159"/>
        <v>6544</v>
      </c>
      <c r="AD191" s="168">
        <f t="shared" si="160"/>
        <v>6405</v>
      </c>
      <c r="AE191" s="166">
        <f t="shared" si="161"/>
        <v>8215</v>
      </c>
      <c r="AF191" s="167">
        <f t="shared" si="162"/>
        <v>7192</v>
      </c>
      <c r="AG191" s="168">
        <f t="shared" si="163"/>
        <v>7073</v>
      </c>
      <c r="AH191" s="166">
        <f t="shared" si="139"/>
        <v>8923</v>
      </c>
      <c r="AI191" s="167">
        <f t="shared" si="164"/>
        <v>7840</v>
      </c>
      <c r="AJ191" s="168">
        <f t="shared" si="165"/>
        <v>8409</v>
      </c>
      <c r="AK191" s="169">
        <f t="shared" si="166"/>
        <v>9638</v>
      </c>
      <c r="AL191" s="167">
        <f t="shared" si="167"/>
        <v>8812</v>
      </c>
      <c r="AM191" s="585">
        <f t="shared" si="168"/>
        <v>9087</v>
      </c>
      <c r="AN191" s="596">
        <v>4.2000000000000003E-2</v>
      </c>
      <c r="AO191" s="597">
        <v>4.3999999999999997E-2</v>
      </c>
      <c r="AP191" s="597">
        <v>4.5999999999999999E-2</v>
      </c>
      <c r="AQ191" s="598">
        <v>4.8000000000000001E-2</v>
      </c>
      <c r="AR191" s="599">
        <v>0.05</v>
      </c>
      <c r="AS191" s="586"/>
      <c r="AT191" s="587"/>
      <c r="AU191" s="587"/>
      <c r="AV191" s="588"/>
      <c r="AW191" s="589"/>
      <c r="AX191" s="596">
        <v>0.04</v>
      </c>
      <c r="AY191" s="598">
        <v>4.2999999999999997E-2</v>
      </c>
      <c r="AZ191" s="598">
        <v>4.5999999999999999E-2</v>
      </c>
      <c r="BA191" s="598">
        <v>4.9000000000000002E-2</v>
      </c>
      <c r="BB191" s="598">
        <v>5.1999999999999998E-2</v>
      </c>
      <c r="BC191" s="590"/>
      <c r="BD191" s="631"/>
      <c r="BE191" s="596"/>
      <c r="BF191" s="598"/>
      <c r="BG191" s="598"/>
      <c r="BH191" s="598"/>
      <c r="BI191" s="598"/>
      <c r="BJ191" s="598"/>
      <c r="BK191" s="605"/>
      <c r="BL191" s="658">
        <f t="shared" si="145"/>
        <v>27000</v>
      </c>
      <c r="BM191" s="3">
        <f t="shared" si="146"/>
        <v>35</v>
      </c>
      <c r="BN191" s="3">
        <f t="shared" si="147"/>
        <v>32</v>
      </c>
      <c r="BO191" s="3">
        <f t="shared" si="148"/>
        <v>33</v>
      </c>
    </row>
    <row r="192" spans="2:67">
      <c r="B192" s="207" t="s">
        <v>412</v>
      </c>
      <c r="C192" s="883" t="s">
        <v>357</v>
      </c>
      <c r="D192" s="883" t="s">
        <v>359</v>
      </c>
      <c r="E192" s="238" t="s">
        <v>125</v>
      </c>
      <c r="F192" s="592">
        <v>189</v>
      </c>
      <c r="G192" s="593">
        <v>3807</v>
      </c>
      <c r="H192" s="594">
        <v>4350</v>
      </c>
      <c r="I192" s="595">
        <v>5440</v>
      </c>
      <c r="J192" s="166">
        <f t="shared" si="115"/>
        <v>76</v>
      </c>
      <c r="K192" s="167">
        <f t="shared" si="116"/>
        <v>87</v>
      </c>
      <c r="L192" s="168">
        <f t="shared" si="117"/>
        <v>108</v>
      </c>
      <c r="M192" s="166">
        <f t="shared" si="118"/>
        <v>114</v>
      </c>
      <c r="N192" s="167">
        <f t="shared" si="119"/>
        <v>130</v>
      </c>
      <c r="O192" s="168">
        <f t="shared" si="120"/>
        <v>163</v>
      </c>
      <c r="P192" s="169">
        <f t="shared" si="121"/>
        <v>152</v>
      </c>
      <c r="Q192" s="169">
        <f t="shared" si="122"/>
        <v>174</v>
      </c>
      <c r="R192" s="169">
        <f t="shared" si="123"/>
        <v>217</v>
      </c>
      <c r="S192" s="584">
        <f t="shared" si="149"/>
        <v>1142</v>
      </c>
      <c r="T192" s="594">
        <f t="shared" si="150"/>
        <v>1305</v>
      </c>
      <c r="U192" s="595">
        <f t="shared" si="151"/>
        <v>1632</v>
      </c>
      <c r="V192" s="166">
        <f t="shared" si="152"/>
        <v>2358</v>
      </c>
      <c r="W192" s="167">
        <f t="shared" si="153"/>
        <v>2692</v>
      </c>
      <c r="X192" s="168">
        <f t="shared" si="154"/>
        <v>3370</v>
      </c>
      <c r="Y192" s="166">
        <f t="shared" si="155"/>
        <v>2662</v>
      </c>
      <c r="Z192" s="167">
        <f t="shared" si="156"/>
        <v>3040</v>
      </c>
      <c r="AA192" s="168">
        <f t="shared" si="157"/>
        <v>3804</v>
      </c>
      <c r="AB192" s="166">
        <f t="shared" si="158"/>
        <v>2966</v>
      </c>
      <c r="AC192" s="167">
        <f t="shared" si="159"/>
        <v>3388</v>
      </c>
      <c r="AD192" s="168">
        <f t="shared" si="160"/>
        <v>4238</v>
      </c>
      <c r="AE192" s="166">
        <f t="shared" si="161"/>
        <v>3270</v>
      </c>
      <c r="AF192" s="167">
        <f t="shared" si="162"/>
        <v>3562</v>
      </c>
      <c r="AG192" s="168">
        <f t="shared" si="163"/>
        <v>4672</v>
      </c>
      <c r="AH192" s="166">
        <f t="shared" si="139"/>
        <v>3726</v>
      </c>
      <c r="AI192" s="167">
        <f t="shared" si="164"/>
        <v>3910</v>
      </c>
      <c r="AJ192" s="168">
        <f t="shared" si="165"/>
        <v>4889</v>
      </c>
      <c r="AK192" s="169">
        <f t="shared" si="166"/>
        <v>3883</v>
      </c>
      <c r="AL192" s="167">
        <f t="shared" si="167"/>
        <v>4437</v>
      </c>
      <c r="AM192" s="585">
        <f t="shared" si="168"/>
        <v>5548</v>
      </c>
      <c r="AN192" s="596">
        <v>0.12</v>
      </c>
      <c r="AO192" s="597">
        <v>0.15</v>
      </c>
      <c r="AP192" s="597">
        <v>0.18</v>
      </c>
      <c r="AQ192" s="598">
        <v>0.21</v>
      </c>
      <c r="AR192" s="599">
        <v>0.24</v>
      </c>
      <c r="AS192" s="586"/>
      <c r="AT192" s="587"/>
      <c r="AU192" s="587"/>
      <c r="AV192" s="588"/>
      <c r="AW192" s="589"/>
      <c r="AX192" s="596">
        <v>0.02</v>
      </c>
      <c r="AY192" s="598">
        <v>2.3E-2</v>
      </c>
      <c r="AZ192" s="598">
        <v>2.5999999999999999E-2</v>
      </c>
      <c r="BA192" s="598">
        <v>2.9000000000000001E-2</v>
      </c>
      <c r="BB192" s="598">
        <v>3.2000000000000001E-2</v>
      </c>
      <c r="BC192" s="590"/>
      <c r="BD192" s="631"/>
      <c r="BE192" s="596"/>
      <c r="BF192" s="598"/>
      <c r="BG192" s="598"/>
      <c r="BH192" s="598"/>
      <c r="BI192" s="598"/>
      <c r="BJ192" s="598"/>
      <c r="BK192" s="605"/>
      <c r="BL192" s="658">
        <f t="shared" si="145"/>
        <v>13600</v>
      </c>
      <c r="BM192" s="3">
        <f t="shared" si="146"/>
        <v>28</v>
      </c>
      <c r="BN192" s="3">
        <f t="shared" si="147"/>
        <v>32</v>
      </c>
      <c r="BO192" s="3">
        <f t="shared" si="148"/>
        <v>40</v>
      </c>
    </row>
    <row r="193" spans="2:67">
      <c r="B193" s="207" t="s">
        <v>455</v>
      </c>
      <c r="C193" s="883" t="s">
        <v>357</v>
      </c>
      <c r="D193" s="883" t="s">
        <v>13</v>
      </c>
      <c r="E193" s="238" t="s">
        <v>125</v>
      </c>
      <c r="F193" s="592">
        <v>190</v>
      </c>
      <c r="G193" s="593">
        <v>5710</v>
      </c>
      <c r="H193" s="594">
        <v>3807</v>
      </c>
      <c r="I193" s="595">
        <v>4080</v>
      </c>
      <c r="J193" s="166">
        <f t="shared" si="115"/>
        <v>114</v>
      </c>
      <c r="K193" s="167">
        <f t="shared" si="116"/>
        <v>76</v>
      </c>
      <c r="L193" s="168">
        <f t="shared" si="117"/>
        <v>81</v>
      </c>
      <c r="M193" s="166">
        <f t="shared" si="118"/>
        <v>171</v>
      </c>
      <c r="N193" s="167">
        <f t="shared" si="119"/>
        <v>114</v>
      </c>
      <c r="O193" s="168">
        <f t="shared" si="120"/>
        <v>122</v>
      </c>
      <c r="P193" s="169">
        <f t="shared" si="121"/>
        <v>228</v>
      </c>
      <c r="Q193" s="169">
        <f t="shared" si="122"/>
        <v>152</v>
      </c>
      <c r="R193" s="169">
        <f t="shared" si="123"/>
        <v>163</v>
      </c>
      <c r="S193" s="584">
        <f t="shared" si="149"/>
        <v>1713</v>
      </c>
      <c r="T193" s="594">
        <f t="shared" si="150"/>
        <v>1142</v>
      </c>
      <c r="U193" s="595">
        <f t="shared" si="151"/>
        <v>1224</v>
      </c>
      <c r="V193" s="166">
        <f t="shared" si="152"/>
        <v>3537</v>
      </c>
      <c r="W193" s="167">
        <f t="shared" si="153"/>
        <v>2358</v>
      </c>
      <c r="X193" s="168">
        <f t="shared" si="154"/>
        <v>2525</v>
      </c>
      <c r="Y193" s="166">
        <f t="shared" si="155"/>
        <v>3993</v>
      </c>
      <c r="Z193" s="167">
        <f t="shared" si="156"/>
        <v>2662</v>
      </c>
      <c r="AA193" s="168">
        <f t="shared" si="157"/>
        <v>2851</v>
      </c>
      <c r="AB193" s="166">
        <f t="shared" si="158"/>
        <v>4449</v>
      </c>
      <c r="AC193" s="167">
        <f t="shared" si="159"/>
        <v>2966</v>
      </c>
      <c r="AD193" s="168">
        <f t="shared" si="160"/>
        <v>3177</v>
      </c>
      <c r="AE193" s="166">
        <f t="shared" si="161"/>
        <v>4677</v>
      </c>
      <c r="AF193" s="167">
        <f t="shared" si="162"/>
        <v>3270</v>
      </c>
      <c r="AG193" s="168">
        <f t="shared" si="163"/>
        <v>3503</v>
      </c>
      <c r="AH193" s="166">
        <f t="shared" si="139"/>
        <v>5133</v>
      </c>
      <c r="AI193" s="167">
        <f t="shared" si="164"/>
        <v>3422</v>
      </c>
      <c r="AJ193" s="168">
        <f t="shared" si="165"/>
        <v>3992</v>
      </c>
      <c r="AK193" s="169">
        <f t="shared" si="166"/>
        <v>5824</v>
      </c>
      <c r="AL193" s="167">
        <f t="shared" si="167"/>
        <v>3883</v>
      </c>
      <c r="AM193" s="585">
        <f t="shared" si="168"/>
        <v>4161</v>
      </c>
      <c r="AN193" s="596">
        <v>2.7E-2</v>
      </c>
      <c r="AO193" s="597">
        <v>0.03</v>
      </c>
      <c r="AP193" s="597">
        <v>3.3000000000000002E-2</v>
      </c>
      <c r="AQ193" s="598">
        <v>3.5999999999999997E-2</v>
      </c>
      <c r="AR193" s="599">
        <v>3.9E-2</v>
      </c>
      <c r="AS193" s="586"/>
      <c r="AT193" s="587"/>
      <c r="AU193" s="587"/>
      <c r="AV193" s="588"/>
      <c r="AW193" s="589"/>
      <c r="AX193" s="596">
        <v>0.05</v>
      </c>
      <c r="AY193" s="598">
        <v>5.5E-2</v>
      </c>
      <c r="AZ193" s="598">
        <v>0.06</v>
      </c>
      <c r="BA193" s="598">
        <v>6.5000000000000002E-2</v>
      </c>
      <c r="BB193" s="598">
        <v>7.0000000000000007E-2</v>
      </c>
      <c r="BC193" s="590"/>
      <c r="BD193" s="631"/>
      <c r="BE193" s="596"/>
      <c r="BF193" s="598"/>
      <c r="BG193" s="598"/>
      <c r="BH193" s="598"/>
      <c r="BI193" s="598"/>
      <c r="BJ193" s="598"/>
      <c r="BK193" s="605"/>
      <c r="BL193" s="658">
        <f t="shared" si="145"/>
        <v>13600</v>
      </c>
      <c r="BM193" s="3">
        <f t="shared" si="146"/>
        <v>42</v>
      </c>
      <c r="BN193" s="3">
        <f t="shared" si="147"/>
        <v>28</v>
      </c>
      <c r="BO193" s="3">
        <f t="shared" si="148"/>
        <v>30</v>
      </c>
    </row>
    <row r="194" spans="2:67">
      <c r="B194" s="1269" t="s">
        <v>81</v>
      </c>
      <c r="C194" s="1265" t="s">
        <v>309</v>
      </c>
      <c r="D194" s="1265" t="s">
        <v>13</v>
      </c>
      <c r="E194" s="1267" t="s">
        <v>65</v>
      </c>
      <c r="F194" s="1270">
        <v>191</v>
      </c>
      <c r="G194" s="593">
        <v>10260</v>
      </c>
      <c r="H194" s="594">
        <v>8100</v>
      </c>
      <c r="I194" s="595">
        <v>8640</v>
      </c>
      <c r="J194" s="166">
        <f t="shared" si="115"/>
        <v>205</v>
      </c>
      <c r="K194" s="167">
        <f t="shared" si="116"/>
        <v>162</v>
      </c>
      <c r="L194" s="168">
        <f t="shared" si="117"/>
        <v>172</v>
      </c>
      <c r="M194" s="166">
        <f t="shared" si="118"/>
        <v>256</v>
      </c>
      <c r="N194" s="167">
        <f t="shared" si="119"/>
        <v>202</v>
      </c>
      <c r="O194" s="168">
        <f t="shared" si="120"/>
        <v>216</v>
      </c>
      <c r="P194" s="169">
        <f t="shared" si="121"/>
        <v>384</v>
      </c>
      <c r="Q194" s="169">
        <f t="shared" si="122"/>
        <v>303</v>
      </c>
      <c r="R194" s="169">
        <f t="shared" si="123"/>
        <v>324</v>
      </c>
      <c r="S194" s="584">
        <f t="shared" si="149"/>
        <v>2565</v>
      </c>
      <c r="T194" s="594">
        <f t="shared" si="150"/>
        <v>2025</v>
      </c>
      <c r="U194" s="595">
        <f t="shared" si="151"/>
        <v>2160</v>
      </c>
      <c r="V194" s="166">
        <f t="shared" si="152"/>
        <v>5842</v>
      </c>
      <c r="W194" s="167">
        <f t="shared" si="153"/>
        <v>4611</v>
      </c>
      <c r="X194" s="168">
        <f t="shared" si="154"/>
        <v>4924</v>
      </c>
      <c r="Y194" s="166">
        <f t="shared" si="155"/>
        <v>6610</v>
      </c>
      <c r="Z194" s="167">
        <f t="shared" si="156"/>
        <v>4914</v>
      </c>
      <c r="AA194" s="168">
        <f t="shared" si="157"/>
        <v>5896</v>
      </c>
      <c r="AB194" s="166">
        <f t="shared" si="158"/>
        <v>7762</v>
      </c>
      <c r="AC194" s="167">
        <f t="shared" si="159"/>
        <v>5823</v>
      </c>
      <c r="AD194" s="168">
        <f t="shared" si="160"/>
        <v>6220</v>
      </c>
      <c r="AE194" s="166">
        <f t="shared" si="161"/>
        <v>8530</v>
      </c>
      <c r="AF194" s="167">
        <f t="shared" si="162"/>
        <v>7035</v>
      </c>
      <c r="AG194" s="168">
        <f t="shared" si="163"/>
        <v>6868</v>
      </c>
      <c r="AH194" s="166">
        <f t="shared" si="139"/>
        <v>9298</v>
      </c>
      <c r="AI194" s="167">
        <f t="shared" si="164"/>
        <v>7641</v>
      </c>
      <c r="AJ194" s="168">
        <f t="shared" si="165"/>
        <v>8164</v>
      </c>
      <c r="AK194" s="169">
        <f t="shared" si="166"/>
        <v>10465</v>
      </c>
      <c r="AL194" s="167">
        <f t="shared" si="167"/>
        <v>8262</v>
      </c>
      <c r="AM194" s="585">
        <f t="shared" si="168"/>
        <v>8812</v>
      </c>
      <c r="AN194" s="596">
        <v>0.25</v>
      </c>
      <c r="AO194" s="597">
        <v>0.28000000000000003</v>
      </c>
      <c r="AP194" s="597">
        <v>0.31</v>
      </c>
      <c r="AQ194" s="598">
        <v>0.34</v>
      </c>
      <c r="AR194" s="599">
        <v>0.37</v>
      </c>
      <c r="AS194" s="586"/>
      <c r="AT194" s="587"/>
      <c r="AU194" s="587"/>
      <c r="AV194" s="588"/>
      <c r="AW194" s="589"/>
      <c r="AX194" s="596">
        <v>0.03</v>
      </c>
      <c r="AY194" s="598">
        <v>3.3000000000000002E-2</v>
      </c>
      <c r="AZ194" s="598">
        <v>3.5999999999999997E-2</v>
      </c>
      <c r="BA194" s="598">
        <v>3.9E-2</v>
      </c>
      <c r="BB194" s="598">
        <v>4.2000000000000003E-2</v>
      </c>
      <c r="BC194" s="590"/>
      <c r="BD194" s="631"/>
      <c r="BE194" s="596"/>
      <c r="BF194" s="598"/>
      <c r="BG194" s="598"/>
      <c r="BH194" s="598"/>
      <c r="BI194" s="598"/>
      <c r="BJ194" s="598"/>
      <c r="BK194" s="605"/>
      <c r="BL194" s="658">
        <f t="shared" si="145"/>
        <v>27000</v>
      </c>
      <c r="BM194" s="3">
        <f t="shared" si="146"/>
        <v>38</v>
      </c>
      <c r="BN194" s="3">
        <f t="shared" si="147"/>
        <v>30</v>
      </c>
      <c r="BO194" s="3">
        <f t="shared" si="148"/>
        <v>32</v>
      </c>
    </row>
    <row r="195" spans="2:67">
      <c r="B195" s="207" t="s">
        <v>413</v>
      </c>
      <c r="C195" s="890" t="s">
        <v>357</v>
      </c>
      <c r="D195" s="890" t="s">
        <v>360</v>
      </c>
      <c r="E195" s="238" t="s">
        <v>65</v>
      </c>
      <c r="F195" s="592">
        <v>192</v>
      </c>
      <c r="G195" s="593">
        <v>4980</v>
      </c>
      <c r="H195" s="594">
        <v>6307</v>
      </c>
      <c r="I195" s="595">
        <v>5310</v>
      </c>
      <c r="J195" s="166">
        <f t="shared" si="115"/>
        <v>99</v>
      </c>
      <c r="K195" s="167">
        <f t="shared" si="116"/>
        <v>126</v>
      </c>
      <c r="L195" s="168">
        <f t="shared" si="117"/>
        <v>106</v>
      </c>
      <c r="M195" s="166">
        <f t="shared" si="118"/>
        <v>149</v>
      </c>
      <c r="N195" s="167">
        <f t="shared" si="119"/>
        <v>189</v>
      </c>
      <c r="O195" s="168">
        <f t="shared" si="120"/>
        <v>159</v>
      </c>
      <c r="P195" s="169">
        <f t="shared" si="121"/>
        <v>199</v>
      </c>
      <c r="Q195" s="169">
        <f t="shared" si="122"/>
        <v>252</v>
      </c>
      <c r="R195" s="169">
        <f t="shared" si="123"/>
        <v>212</v>
      </c>
      <c r="S195" s="584">
        <f t="shared" si="149"/>
        <v>1494</v>
      </c>
      <c r="T195" s="594">
        <f t="shared" si="150"/>
        <v>1892</v>
      </c>
      <c r="U195" s="595">
        <f t="shared" si="151"/>
        <v>1593</v>
      </c>
      <c r="V195" s="166">
        <f t="shared" si="152"/>
        <v>3083</v>
      </c>
      <c r="W195" s="167">
        <f t="shared" si="153"/>
        <v>3908</v>
      </c>
      <c r="X195" s="168">
        <f t="shared" si="154"/>
        <v>3289</v>
      </c>
      <c r="Y195" s="166">
        <f t="shared" si="155"/>
        <v>3481</v>
      </c>
      <c r="Z195" s="167">
        <f t="shared" si="156"/>
        <v>4412</v>
      </c>
      <c r="AA195" s="168">
        <f t="shared" si="157"/>
        <v>3713</v>
      </c>
      <c r="AB195" s="166">
        <f t="shared" si="158"/>
        <v>3879</v>
      </c>
      <c r="AC195" s="167">
        <f t="shared" si="159"/>
        <v>4916</v>
      </c>
      <c r="AD195" s="168">
        <f t="shared" si="160"/>
        <v>4137</v>
      </c>
      <c r="AE195" s="166">
        <f t="shared" si="161"/>
        <v>4277</v>
      </c>
      <c r="AF195" s="167">
        <f t="shared" si="162"/>
        <v>5420</v>
      </c>
      <c r="AG195" s="168">
        <f t="shared" si="163"/>
        <v>4349</v>
      </c>
      <c r="AH195" s="166">
        <f t="shared" si="139"/>
        <v>4476</v>
      </c>
      <c r="AI195" s="167">
        <f t="shared" si="164"/>
        <v>6176</v>
      </c>
      <c r="AJ195" s="168">
        <f t="shared" si="165"/>
        <v>4773</v>
      </c>
      <c r="AK195" s="169">
        <f t="shared" si="166"/>
        <v>5079</v>
      </c>
      <c r="AL195" s="167">
        <f t="shared" si="167"/>
        <v>6433</v>
      </c>
      <c r="AM195" s="585">
        <f t="shared" si="168"/>
        <v>5416</v>
      </c>
      <c r="AN195" s="596">
        <v>0.03</v>
      </c>
      <c r="AO195" s="597">
        <v>3.3000000000000002E-2</v>
      </c>
      <c r="AP195" s="597">
        <v>3.5999999999999997E-2</v>
      </c>
      <c r="AQ195" s="598">
        <v>3.9E-2</v>
      </c>
      <c r="AR195" s="599">
        <v>4.2000000000000003E-2</v>
      </c>
      <c r="AS195" s="586"/>
      <c r="AT195" s="587"/>
      <c r="AU195" s="587"/>
      <c r="AV195" s="588"/>
      <c r="AW195" s="589"/>
      <c r="AX195" s="596">
        <v>0.03</v>
      </c>
      <c r="AY195" s="598">
        <v>3.5000000000000003E-2</v>
      </c>
      <c r="AZ195" s="598">
        <v>0.04</v>
      </c>
      <c r="BA195" s="598">
        <v>4.4999999999999998E-2</v>
      </c>
      <c r="BB195" s="598">
        <v>0.05</v>
      </c>
      <c r="BC195" s="590"/>
      <c r="BD195" s="631"/>
      <c r="BE195" s="596"/>
      <c r="BF195" s="598"/>
      <c r="BG195" s="598"/>
      <c r="BH195" s="598"/>
      <c r="BI195" s="598"/>
      <c r="BJ195" s="598"/>
      <c r="BK195" s="605"/>
      <c r="BL195" s="658">
        <f t="shared" si="145"/>
        <v>16600</v>
      </c>
      <c r="BM195" s="3">
        <f t="shared" si="146"/>
        <v>30</v>
      </c>
      <c r="BN195" s="3">
        <f t="shared" si="147"/>
        <v>38</v>
      </c>
      <c r="BO195" s="3">
        <f t="shared" si="148"/>
        <v>32</v>
      </c>
    </row>
    <row r="196" spans="2:67">
      <c r="B196" s="207" t="s">
        <v>71</v>
      </c>
      <c r="C196" s="890" t="s">
        <v>309</v>
      </c>
      <c r="D196" s="890" t="s">
        <v>13</v>
      </c>
      <c r="E196" s="238" t="s">
        <v>65</v>
      </c>
      <c r="F196" s="592">
        <v>193</v>
      </c>
      <c r="G196" s="600">
        <v>10800</v>
      </c>
      <c r="H196" s="601">
        <v>6749</v>
      </c>
      <c r="I196" s="602">
        <v>9449</v>
      </c>
      <c r="J196" s="166">
        <f t="shared" si="115"/>
        <v>216</v>
      </c>
      <c r="K196" s="167">
        <f t="shared" si="116"/>
        <v>135</v>
      </c>
      <c r="L196" s="168">
        <f t="shared" si="117"/>
        <v>189</v>
      </c>
      <c r="M196" s="166">
        <f t="shared" si="118"/>
        <v>270</v>
      </c>
      <c r="N196" s="167">
        <f t="shared" si="119"/>
        <v>168</v>
      </c>
      <c r="O196" s="168">
        <f t="shared" si="120"/>
        <v>236</v>
      </c>
      <c r="P196" s="169">
        <f t="shared" si="121"/>
        <v>405</v>
      </c>
      <c r="Q196" s="169">
        <f t="shared" si="122"/>
        <v>253</v>
      </c>
      <c r="R196" s="169">
        <f t="shared" si="123"/>
        <v>354</v>
      </c>
      <c r="S196" s="584">
        <v>2902</v>
      </c>
      <c r="T196" s="594">
        <v>1552</v>
      </c>
      <c r="U196" s="595">
        <v>2295</v>
      </c>
      <c r="V196" s="166">
        <v>6374</v>
      </c>
      <c r="W196" s="167">
        <v>3753</v>
      </c>
      <c r="X196" s="168">
        <v>5335</v>
      </c>
      <c r="Y196" s="166">
        <v>7184</v>
      </c>
      <c r="Z196" s="167">
        <v>4013</v>
      </c>
      <c r="AA196" s="168">
        <v>6409</v>
      </c>
      <c r="AB196" s="166">
        <v>8399</v>
      </c>
      <c r="AC196" s="167">
        <v>4793</v>
      </c>
      <c r="AD196" s="168">
        <v>6767</v>
      </c>
      <c r="AE196" s="166">
        <v>9209</v>
      </c>
      <c r="AF196" s="167">
        <v>5833</v>
      </c>
      <c r="AG196" s="168">
        <v>7483</v>
      </c>
      <c r="AH196" s="166">
        <f t="shared" si="139"/>
        <v>10019</v>
      </c>
      <c r="AI196" s="167">
        <v>6353</v>
      </c>
      <c r="AJ196" s="168">
        <v>8915</v>
      </c>
      <c r="AK196" s="169">
        <v>11234</v>
      </c>
      <c r="AL196" s="167">
        <v>6884</v>
      </c>
      <c r="AM196" s="585">
        <v>9638</v>
      </c>
      <c r="AN196" s="596">
        <v>7.0000000000000007E-2</v>
      </c>
      <c r="AO196" s="597">
        <v>7.4999999999999997E-2</v>
      </c>
      <c r="AP196" s="597">
        <v>0.08</v>
      </c>
      <c r="AQ196" s="598">
        <v>8.5000000000000006E-2</v>
      </c>
      <c r="AR196" s="599">
        <v>0.09</v>
      </c>
      <c r="AS196" s="586"/>
      <c r="AT196" s="587"/>
      <c r="AU196" s="587"/>
      <c r="AV196" s="588"/>
      <c r="AW196" s="589"/>
      <c r="AX196" s="596">
        <v>0.03</v>
      </c>
      <c r="AY196" s="598">
        <v>3.3000000000000002E-2</v>
      </c>
      <c r="AZ196" s="598">
        <v>3.5999999999999997E-2</v>
      </c>
      <c r="BA196" s="598">
        <v>3.9E-2</v>
      </c>
      <c r="BB196" s="598">
        <v>4.2000000000000003E-2</v>
      </c>
      <c r="BC196" s="590"/>
      <c r="BD196" s="631"/>
      <c r="BE196" s="596"/>
      <c r="BF196" s="598"/>
      <c r="BG196" s="598"/>
      <c r="BH196" s="598"/>
      <c r="BI196" s="598"/>
      <c r="BJ196" s="598"/>
      <c r="BK196" s="605"/>
      <c r="BL196" s="658">
        <f t="shared" si="145"/>
        <v>27000</v>
      </c>
      <c r="BM196" s="3">
        <f t="shared" si="146"/>
        <v>40</v>
      </c>
      <c r="BN196" s="3">
        <f t="shared" si="147"/>
        <v>25</v>
      </c>
      <c r="BO196" s="3">
        <f t="shared" si="148"/>
        <v>35</v>
      </c>
    </row>
    <row r="197" spans="2:67">
      <c r="B197" s="207" t="s">
        <v>414</v>
      </c>
      <c r="C197" s="890" t="s">
        <v>357</v>
      </c>
      <c r="D197" s="890" t="s">
        <v>356</v>
      </c>
      <c r="E197" s="238" t="s">
        <v>65</v>
      </c>
      <c r="F197" s="592">
        <v>194</v>
      </c>
      <c r="G197" s="593">
        <v>6970</v>
      </c>
      <c r="H197" s="594">
        <v>4647</v>
      </c>
      <c r="I197" s="595">
        <v>4980</v>
      </c>
      <c r="J197" s="166">
        <f t="shared" si="115"/>
        <v>139</v>
      </c>
      <c r="K197" s="167">
        <f t="shared" si="116"/>
        <v>92</v>
      </c>
      <c r="L197" s="168">
        <f t="shared" si="117"/>
        <v>99</v>
      </c>
      <c r="M197" s="166">
        <f t="shared" si="118"/>
        <v>209</v>
      </c>
      <c r="N197" s="167">
        <f t="shared" si="119"/>
        <v>139</v>
      </c>
      <c r="O197" s="168">
        <f t="shared" si="120"/>
        <v>149</v>
      </c>
      <c r="P197" s="169">
        <f t="shared" si="121"/>
        <v>278</v>
      </c>
      <c r="Q197" s="169">
        <f t="shared" si="122"/>
        <v>185</v>
      </c>
      <c r="R197" s="169">
        <f t="shared" si="123"/>
        <v>199</v>
      </c>
      <c r="S197" s="584">
        <f t="shared" ref="S197:S228" si="169">ROUND(IF($C197="UR",G197*0.25,G197*0.3),0)</f>
        <v>2091</v>
      </c>
      <c r="T197" s="594">
        <f t="shared" ref="T197:T228" si="170">ROUND(IF($C197="UR",H197*0.25,H197*0.3),0)</f>
        <v>1394</v>
      </c>
      <c r="U197" s="595">
        <f t="shared" ref="U197:U228" si="171">ROUND(IF($C197="UR",I197*0.25,I197*0.3),0)</f>
        <v>1494</v>
      </c>
      <c r="V197" s="166">
        <f t="shared" ref="V197:V228" si="172">(IF($C197="UR",IF($E197="party卡",18,12))+IF($C197="SR",10)+IF($C197="R",8))*M197+J197+S197</f>
        <v>4320</v>
      </c>
      <c r="W197" s="167">
        <f t="shared" ref="W197:W228" si="173">(IF($C197="UR",IF($E197="party卡",18,12))+IF($C197="SR",10)+IF($C197="R",8))*N197+K197+T197</f>
        <v>2876</v>
      </c>
      <c r="X197" s="168">
        <f t="shared" ref="X197:X228" si="174">(IF($C197="UR",IF($E197="party卡",18,12))+IF($C197="SR",10)+IF($C197="R",8))*O197+L197+U197</f>
        <v>3083</v>
      </c>
      <c r="Y197" s="166">
        <f t="shared" ref="Y197:Y228" si="175">V197+(IF(C197="UR",IF(E197="party卡",IF(D197="gd",1,2),IF(D197="vo",2)+IF(D197="sp",1)+IF(D197="gd",3)+IF(D197="sk",1)))+IF(C197="SR",2)+IF(C197="R",IF(D197="vo",1)+IF(D197="sp",2)+IF(D197="gd",1)+IF(D197="sk",2)))*P197</f>
        <v>4876</v>
      </c>
      <c r="Z197" s="167">
        <f t="shared" ref="Z197:Z228" si="176">W197+(IF(C197="UR",IF(E197="party卡",IF(D197="sp",1,2),IF(D197="vo",1)+IF(D197="sp",3)+IF(D197="gd",2)+IF(D197="sk",2)))+IF(C197="SR",2)+IF(C197="R",IF(D197="vo",2)+IF(D197="sp",1)+IF(D197="gd",1)+IF(D197="sk",1)))*Q197</f>
        <v>3246</v>
      </c>
      <c r="AA197" s="168">
        <f t="shared" ref="AA197:AA228" si="177">X197+(IF(C197="UR",IF(E197="party卡",IF(OR(D197="vo",D197="sk"),1,2),IF(D197="vo",3)+IF(D197="sp",2)+IF(D197="gd",1)+IF(D197="sk",3)))+IF(C197="SR",2)+IF(C197="R",IF(D197="vo",1)+IF(D197="sp",1)+IF(D197="gd",2)+IF(D197="sk",1)))*R197</f>
        <v>3481</v>
      </c>
      <c r="AB197" s="166">
        <f t="shared" ref="AB197:AB228" si="178">V197+(IF(C197="UR",IF(E197="party卡",IF(OR(D197="sp",D197="sk"),3,2),IF(D197="vo",5)+IF(D197="sp",4)+IF(D197="gd",4)+IF(D197="sk",4)))+IF(C197="SR",4)+IF(C197="R",IF(D197="vo",3)+IF(D197="sp",3)+IF(D197="gd",2)+IF(D197="sk",3)))*P197</f>
        <v>5432</v>
      </c>
      <c r="AC197" s="167">
        <f t="shared" ref="AC197:AC228" si="179">W197+(IF(C197="UR",IF(E197="party卡",IF(D197="vo",3,2),IF(D197="vo",4)+IF(D197="sp",4)+IF(D197="gd",5)+IF(D197="sk",5)))+IF(C197="SR",4)+IF(C197="R",IF(D197="vo",3)+IF(D197="sp",2)+IF(D197="gd",3)+IF(D197="sk",3)))*Q197</f>
        <v>3616</v>
      </c>
      <c r="AD197" s="168">
        <f t="shared" ref="AD197:AD228" si="180">X197+(IF(C197="UR",IF(E197="party卡",IF(D197="gd",3,2),IF(D197="vo",4)+IF(D197="sp",5)+IF(D197="gd",4)+IF(D197="sk",4)))+IF(C197="SR",4)+IF(C197="R",IF(D197="vo",2)+IF(D197="sp",3)+IF(D197="gd",3)+IF(D197="sk",2)))*R197</f>
        <v>3879</v>
      </c>
      <c r="AE197" s="166">
        <f t="shared" ref="AE197:AE228" si="181">V197+(IF(C197="UR",IF(E197="party卡",3,IF(D197="vo",7)+IF(D197="sp",8)+IF(D197="gd",6)+IF(D197="sk",8)))+IF(C197="SR",IF(D197="vo",5)+IF(D197="sp",6)+IF(D197="gd",6)+IF(D197="sk",6))+IF(C197="R",IF(D197="vo",5)+IF(D197="sp",4)+IF(D197="gd",4)+IF(D197="sk",4)))*P197</f>
        <v>5988</v>
      </c>
      <c r="AF197" s="167">
        <f t="shared" ref="AF197:AF228" si="182">W197+(IF(C197="UR",IF(E197="party卡",3,IF(D197="vo",8)+IF(D197="sp",6)+IF(D197="gd",7)+IF(D197="sk",7)))+IF(C197="SR",IF(D197="vo",6)+IF(D197="sp",6)+IF(D197="gd",5)+IF(D197="sk",5))+IF(C197="R",IF(D197="vo",4)+IF(D197="sp",4)+IF(D197="gd",5)+IF(D197="sk",5)))*Q197</f>
        <v>3801</v>
      </c>
      <c r="AG197" s="168">
        <f t="shared" ref="AG197:AG228" si="183">X197+(IF(C197="UR",IF(E197="party卡",3,IF(D197="vo",6)+IF(D197="sp",7)+IF(D197="gd",8)+IF(D197="sk",6)))+IF(C197="SR",IF(D197="vo",6)+IF(D197="sp",5)+IF(D197="gd",6)+IF(D197="sk",6))+IF(C197="R",IF(D197="vo",4)+IF(D197="sp",5)+IF(D197="gd",4)+IF(D197="sk",4)))*R197</f>
        <v>4277</v>
      </c>
      <c r="AH197" s="166">
        <f t="shared" si="139"/>
        <v>6266</v>
      </c>
      <c r="AI197" s="167">
        <f t="shared" ref="AI197:AI228" si="184">W197+(IF(C197="UR",IF(E197="party卡",4,IF(D197="vo",10)+IF(D197="sp",10)+IF(D197="gd",9)+IF(D197="sk",9)))+IF(C197="SR",IF(D197="vo",7)+IF(D197="sp",9)+IF(D197="gd",7)+IF(D197="sk",7))+IF(C197="R",IF(D197="vo",6)+IF(D197="sp",6)+IF(D197="gd",7)+IF(D197="sk",7)))*Q197</f>
        <v>4171</v>
      </c>
      <c r="AJ197" s="168">
        <f t="shared" ref="AJ197:AJ228" si="185">X197+(IF(C197="UR",IF(E197="party卡",4,IF(D197="vo",10)+IF(D197="sp",9)+IF(D197="gd",10)+IF(D197="sk",10)))+IF(C197="SR",IF(D197="vo",9)+IF(D197="sp",7)+IF(D197="gd",7)+IF(D197="sk",9))+IF(C197="R",IF(D197="vo",6)+IF(D197="sp",7)+IF(D197="gd",6)+IF(D197="sk",6)))*R197</f>
        <v>4874</v>
      </c>
      <c r="AK197" s="169">
        <f t="shared" ref="AK197:AK228" si="186">G197+J197</f>
        <v>7109</v>
      </c>
      <c r="AL197" s="167">
        <f t="shared" ref="AL197:AL228" si="187">H197+K197</f>
        <v>4739</v>
      </c>
      <c r="AM197" s="585">
        <f t="shared" ref="AM197:AM228" si="188">I197+L197</f>
        <v>5079</v>
      </c>
      <c r="AN197" s="596">
        <v>3.2000000000000001E-2</v>
      </c>
      <c r="AO197" s="597">
        <v>3.4000000000000002E-2</v>
      </c>
      <c r="AP197" s="597">
        <v>3.5999999999999997E-2</v>
      </c>
      <c r="AQ197" s="598">
        <v>3.7999999999999999E-2</v>
      </c>
      <c r="AR197" s="599">
        <v>0.04</v>
      </c>
      <c r="AS197" s="586"/>
      <c r="AT197" s="587"/>
      <c r="AU197" s="587"/>
      <c r="AV197" s="588"/>
      <c r="AW197" s="589"/>
      <c r="AX197" s="596">
        <v>0.03</v>
      </c>
      <c r="AY197" s="598">
        <v>3.5000000000000003E-2</v>
      </c>
      <c r="AZ197" s="598">
        <v>0.04</v>
      </c>
      <c r="BA197" s="598">
        <v>4.4999999999999998E-2</v>
      </c>
      <c r="BB197" s="598">
        <v>0.05</v>
      </c>
      <c r="BC197" s="590"/>
      <c r="BD197" s="631"/>
      <c r="BE197" s="596"/>
      <c r="BF197" s="598"/>
      <c r="BG197" s="598"/>
      <c r="BH197" s="598"/>
      <c r="BI197" s="598"/>
      <c r="BJ197" s="598"/>
      <c r="BK197" s="605"/>
      <c r="BL197" s="658">
        <f t="shared" si="145"/>
        <v>16600</v>
      </c>
      <c r="BM197" s="3">
        <f t="shared" si="146"/>
        <v>42</v>
      </c>
      <c r="BN197" s="3">
        <f t="shared" si="147"/>
        <v>28</v>
      </c>
      <c r="BO197" s="3">
        <f t="shared" si="148"/>
        <v>30</v>
      </c>
    </row>
    <row r="198" spans="2:67">
      <c r="B198" s="1269" t="s">
        <v>109</v>
      </c>
      <c r="C198" s="1265" t="s">
        <v>309</v>
      </c>
      <c r="D198" s="1265" t="s">
        <v>23</v>
      </c>
      <c r="E198" s="1267" t="s">
        <v>65</v>
      </c>
      <c r="F198" s="592">
        <v>195</v>
      </c>
      <c r="G198" s="593">
        <v>8100</v>
      </c>
      <c r="H198" s="594">
        <v>12149</v>
      </c>
      <c r="I198" s="595">
        <v>6749</v>
      </c>
      <c r="J198" s="166">
        <f t="shared" si="115"/>
        <v>162</v>
      </c>
      <c r="K198" s="167">
        <f t="shared" si="116"/>
        <v>243</v>
      </c>
      <c r="L198" s="168">
        <f t="shared" si="117"/>
        <v>135</v>
      </c>
      <c r="M198" s="166">
        <f t="shared" si="118"/>
        <v>202</v>
      </c>
      <c r="N198" s="167">
        <f t="shared" si="119"/>
        <v>303</v>
      </c>
      <c r="O198" s="168">
        <f t="shared" si="120"/>
        <v>168</v>
      </c>
      <c r="P198" s="169">
        <f t="shared" si="121"/>
        <v>303</v>
      </c>
      <c r="Q198" s="169">
        <f t="shared" si="122"/>
        <v>455</v>
      </c>
      <c r="R198" s="169">
        <f t="shared" si="123"/>
        <v>253</v>
      </c>
      <c r="S198" s="584">
        <f t="shared" si="169"/>
        <v>2025</v>
      </c>
      <c r="T198" s="594">
        <f t="shared" si="170"/>
        <v>3037</v>
      </c>
      <c r="U198" s="595">
        <f t="shared" si="171"/>
        <v>1687</v>
      </c>
      <c r="V198" s="166">
        <f t="shared" si="172"/>
        <v>4611</v>
      </c>
      <c r="W198" s="167">
        <f t="shared" si="173"/>
        <v>6916</v>
      </c>
      <c r="X198" s="168">
        <f t="shared" si="174"/>
        <v>3838</v>
      </c>
      <c r="Y198" s="166">
        <f t="shared" si="175"/>
        <v>5520</v>
      </c>
      <c r="Z198" s="167">
        <f t="shared" si="176"/>
        <v>7826</v>
      </c>
      <c r="AA198" s="168">
        <f t="shared" si="177"/>
        <v>4091</v>
      </c>
      <c r="AB198" s="166">
        <f t="shared" si="178"/>
        <v>5823</v>
      </c>
      <c r="AC198" s="167">
        <f t="shared" si="179"/>
        <v>9191</v>
      </c>
      <c r="AD198" s="168">
        <f t="shared" si="180"/>
        <v>4850</v>
      </c>
      <c r="AE198" s="166">
        <f t="shared" si="181"/>
        <v>6429</v>
      </c>
      <c r="AF198" s="167">
        <f t="shared" si="182"/>
        <v>10101</v>
      </c>
      <c r="AG198" s="168">
        <f t="shared" si="183"/>
        <v>5862</v>
      </c>
      <c r="AH198" s="166">
        <f t="shared" si="139"/>
        <v>7641</v>
      </c>
      <c r="AI198" s="167">
        <f t="shared" si="184"/>
        <v>11011</v>
      </c>
      <c r="AJ198" s="168">
        <f t="shared" si="185"/>
        <v>6368</v>
      </c>
      <c r="AK198" s="169">
        <f t="shared" si="186"/>
        <v>8262</v>
      </c>
      <c r="AL198" s="167">
        <f t="shared" si="187"/>
        <v>12392</v>
      </c>
      <c r="AM198" s="585">
        <f t="shared" si="188"/>
        <v>6884</v>
      </c>
      <c r="AN198" s="596">
        <v>0.33</v>
      </c>
      <c r="AO198" s="597">
        <v>0.36</v>
      </c>
      <c r="AP198" s="597">
        <v>0.39</v>
      </c>
      <c r="AQ198" s="598">
        <v>0.42</v>
      </c>
      <c r="AR198" s="599">
        <v>0.45</v>
      </c>
      <c r="AS198" s="586"/>
      <c r="AT198" s="587"/>
      <c r="AU198" s="587"/>
      <c r="AV198" s="588"/>
      <c r="AW198" s="589"/>
      <c r="AX198" s="596">
        <v>0.03</v>
      </c>
      <c r="AY198" s="598">
        <v>3.3000000000000002E-2</v>
      </c>
      <c r="AZ198" s="598">
        <v>3.5999999999999997E-2</v>
      </c>
      <c r="BA198" s="598">
        <v>3.9E-2</v>
      </c>
      <c r="BB198" s="598">
        <v>4.2000000000000003E-2</v>
      </c>
      <c r="BC198" s="590"/>
      <c r="BD198" s="631"/>
      <c r="BE198" s="596"/>
      <c r="BF198" s="598"/>
      <c r="BG198" s="598"/>
      <c r="BH198" s="598"/>
      <c r="BI198" s="598"/>
      <c r="BJ198" s="598"/>
      <c r="BK198" s="605"/>
      <c r="BL198" s="658">
        <f t="shared" si="145"/>
        <v>27000</v>
      </c>
      <c r="BM198" s="3">
        <f t="shared" si="146"/>
        <v>30</v>
      </c>
      <c r="BN198" s="3">
        <f t="shared" si="147"/>
        <v>45</v>
      </c>
      <c r="BO198" s="3">
        <f t="shared" si="148"/>
        <v>25</v>
      </c>
    </row>
    <row r="199" spans="2:67">
      <c r="B199" s="207" t="s">
        <v>78</v>
      </c>
      <c r="C199" s="883" t="s">
        <v>309</v>
      </c>
      <c r="D199" s="883" t="s">
        <v>13</v>
      </c>
      <c r="E199" s="238" t="s">
        <v>125</v>
      </c>
      <c r="F199" s="592">
        <v>196</v>
      </c>
      <c r="G199" s="593">
        <v>9460</v>
      </c>
      <c r="H199" s="594">
        <v>4400</v>
      </c>
      <c r="I199" s="595">
        <v>8140</v>
      </c>
      <c r="J199" s="166">
        <f t="shared" ref="J199:J262" si="189">INT(G199/50+0.05)</f>
        <v>189</v>
      </c>
      <c r="K199" s="167">
        <f t="shared" ref="K199:K262" si="190">INT(H199/50+0.05)</f>
        <v>88</v>
      </c>
      <c r="L199" s="168">
        <f t="shared" ref="L199:L262" si="191">INT(I199/50+0.05)</f>
        <v>162</v>
      </c>
      <c r="M199" s="166">
        <f t="shared" ref="M199:M262" si="192">INT(IF($C199="UR",IF($E199="party卡",G199*0.0270833333333333,G199*0.025),0)+IF($C199="SR",G199*0.03,0)+IF($C199="R",G199*0.0375,0)+0.05)</f>
        <v>236</v>
      </c>
      <c r="N199" s="167">
        <f t="shared" ref="N199:N262" si="193">INT(IF($C199="UR",IF($E199="party卡",H199*0.0270833333333333,H199*0.025),0)+IF($C199="SR",H199*0.03,0)+IF($C199="R",H199*0.0375,0)+0.05)</f>
        <v>110</v>
      </c>
      <c r="O199" s="168">
        <f t="shared" ref="O199:O262" si="194">INT(IF($C199="UR",IF($E199="party卡",I199*0.0270833333333333,I199*0.025),0)+IF($C199="SR",I199*0.03,0)+IF($C199="R",I199*0.0375,0)+0.05)</f>
        <v>203</v>
      </c>
      <c r="P199" s="169">
        <f t="shared" ref="P199:P262" si="195">INT(IF($C199="UR",IF($E199="party卡",G199*0.04375,G199*0.0375),0)+IF($C199="SR",G199*0.04,0)+IF($C199="R",G199*0.05,0)+0.05)</f>
        <v>354</v>
      </c>
      <c r="Q199" s="169">
        <f t="shared" ref="Q199:Q262" si="196">INT(IF($C199="UR",IF($E199="party卡",H199*0.04375,H199*0.0375),0)+IF($C199="SR",H199*0.04,0)+IF($C199="R",H199*0.05,0)+0.05)</f>
        <v>165</v>
      </c>
      <c r="R199" s="169">
        <f t="shared" ref="R199:R262" si="197">INT(IF($C199="UR",IF($E199="party卡",I199*0.04375,I199*0.0375),0)+IF($C199="SR",I199*0.04,0)+IF($C199="R",I199*0.05,0)+0.05)</f>
        <v>305</v>
      </c>
      <c r="S199" s="584">
        <f t="shared" si="169"/>
        <v>2365</v>
      </c>
      <c r="T199" s="594">
        <f t="shared" si="170"/>
        <v>1100</v>
      </c>
      <c r="U199" s="595">
        <f t="shared" si="171"/>
        <v>2035</v>
      </c>
      <c r="V199" s="166">
        <f t="shared" si="172"/>
        <v>5386</v>
      </c>
      <c r="W199" s="167">
        <f t="shared" si="173"/>
        <v>2508</v>
      </c>
      <c r="X199" s="168">
        <f t="shared" si="174"/>
        <v>4633</v>
      </c>
      <c r="Y199" s="166">
        <f t="shared" si="175"/>
        <v>6094</v>
      </c>
      <c r="Z199" s="167">
        <f t="shared" si="176"/>
        <v>2673</v>
      </c>
      <c r="AA199" s="168">
        <f t="shared" si="177"/>
        <v>5548</v>
      </c>
      <c r="AB199" s="166">
        <f t="shared" si="178"/>
        <v>7156</v>
      </c>
      <c r="AC199" s="167">
        <f t="shared" si="179"/>
        <v>3168</v>
      </c>
      <c r="AD199" s="168">
        <f t="shared" si="180"/>
        <v>5853</v>
      </c>
      <c r="AE199" s="166">
        <f t="shared" si="181"/>
        <v>7864</v>
      </c>
      <c r="AF199" s="167">
        <f t="shared" si="182"/>
        <v>3828</v>
      </c>
      <c r="AG199" s="168">
        <f t="shared" si="183"/>
        <v>6463</v>
      </c>
      <c r="AH199" s="166">
        <f t="shared" ref="AH199:AH262" si="198">V199+(IF(C199="UR",IF(E199="party卡",4,IF(D199="vo",9)+IF(D199="sp",10)+IF(D199="gd",10)+IF(D199="sk",10)))+IF(C199="SR",IF(D199="vo",7)+IF(D199="sp",7)+IF(D199="gd",9)+IF(D199="sk",7))+IF(C199="R",IF(D199="vo",7)+IF(D199="sp",6)+IF(D199="gd",6)+IF(D199="sk",6)))*P199</f>
        <v>8572</v>
      </c>
      <c r="AI199" s="167">
        <f t="shared" si="184"/>
        <v>4158</v>
      </c>
      <c r="AJ199" s="168">
        <f t="shared" si="185"/>
        <v>7683</v>
      </c>
      <c r="AK199" s="169">
        <f t="shared" si="186"/>
        <v>9649</v>
      </c>
      <c r="AL199" s="167">
        <f t="shared" si="187"/>
        <v>4488</v>
      </c>
      <c r="AM199" s="585">
        <f t="shared" si="188"/>
        <v>8302</v>
      </c>
      <c r="AN199" s="596">
        <v>4.7E-2</v>
      </c>
      <c r="AO199" s="597">
        <v>0.05</v>
      </c>
      <c r="AP199" s="597">
        <v>5.2999999999999999E-2</v>
      </c>
      <c r="AQ199" s="598">
        <v>5.6000000000000001E-2</v>
      </c>
      <c r="AR199" s="599">
        <v>5.8999999999999997E-2</v>
      </c>
      <c r="AS199" s="586"/>
      <c r="AT199" s="587"/>
      <c r="AU199" s="587"/>
      <c r="AV199" s="588"/>
      <c r="AW199" s="589"/>
      <c r="AX199" s="596">
        <v>0.02</v>
      </c>
      <c r="AY199" s="598">
        <v>2.3E-2</v>
      </c>
      <c r="AZ199" s="598">
        <v>2.5999999999999999E-2</v>
      </c>
      <c r="BA199" s="598">
        <v>2.9000000000000001E-2</v>
      </c>
      <c r="BB199" s="598">
        <v>3.2000000000000001E-2</v>
      </c>
      <c r="BC199" s="590"/>
      <c r="BD199" s="631"/>
      <c r="BE199" s="596"/>
      <c r="BF199" s="598"/>
      <c r="BG199" s="598"/>
      <c r="BH199" s="598"/>
      <c r="BI199" s="598"/>
      <c r="BJ199" s="598"/>
      <c r="BK199" s="605"/>
      <c r="BL199" s="658">
        <f t="shared" ref="BL199:BL262" si="199">ROUND(($G199+$H199+$I199)/50,0)*50</f>
        <v>22000</v>
      </c>
      <c r="BM199" s="3">
        <f t="shared" ref="BM199:BM262" si="200">ROUND(100*G199/($G199+$H199+$I199),0)</f>
        <v>43</v>
      </c>
      <c r="BN199" s="3">
        <f t="shared" ref="BN199:BN262" si="201">ROUND(100*H199/($G199+$H199+$I199),0)</f>
        <v>20</v>
      </c>
      <c r="BO199" s="3">
        <f t="shared" ref="BO199:BO262" si="202">ROUND(100*I199/($G199+$H199+$I199),0)</f>
        <v>37</v>
      </c>
    </row>
    <row r="200" spans="2:67">
      <c r="B200" s="207" t="s">
        <v>378</v>
      </c>
      <c r="C200" s="697" t="s">
        <v>357</v>
      </c>
      <c r="D200" s="697" t="s">
        <v>360</v>
      </c>
      <c r="E200" s="238" t="s">
        <v>125</v>
      </c>
      <c r="F200" s="592">
        <v>197</v>
      </c>
      <c r="G200" s="593">
        <v>4350</v>
      </c>
      <c r="H200" s="594">
        <v>3807</v>
      </c>
      <c r="I200" s="595">
        <v>5440</v>
      </c>
      <c r="J200" s="166">
        <f t="shared" si="189"/>
        <v>87</v>
      </c>
      <c r="K200" s="167">
        <f t="shared" si="190"/>
        <v>76</v>
      </c>
      <c r="L200" s="168">
        <f t="shared" si="191"/>
        <v>108</v>
      </c>
      <c r="M200" s="166">
        <f t="shared" si="192"/>
        <v>130</v>
      </c>
      <c r="N200" s="167">
        <f t="shared" si="193"/>
        <v>114</v>
      </c>
      <c r="O200" s="168">
        <f t="shared" si="194"/>
        <v>163</v>
      </c>
      <c r="P200" s="169">
        <f t="shared" si="195"/>
        <v>174</v>
      </c>
      <c r="Q200" s="169">
        <f t="shared" si="196"/>
        <v>152</v>
      </c>
      <c r="R200" s="169">
        <f t="shared" si="197"/>
        <v>217</v>
      </c>
      <c r="S200" s="584">
        <f t="shared" si="169"/>
        <v>1305</v>
      </c>
      <c r="T200" s="594">
        <f t="shared" si="170"/>
        <v>1142</v>
      </c>
      <c r="U200" s="595">
        <f t="shared" si="171"/>
        <v>1632</v>
      </c>
      <c r="V200" s="166">
        <f t="shared" si="172"/>
        <v>2692</v>
      </c>
      <c r="W200" s="167">
        <f t="shared" si="173"/>
        <v>2358</v>
      </c>
      <c r="X200" s="168">
        <f t="shared" si="174"/>
        <v>3370</v>
      </c>
      <c r="Y200" s="166">
        <f t="shared" si="175"/>
        <v>3040</v>
      </c>
      <c r="Z200" s="167">
        <f t="shared" si="176"/>
        <v>2662</v>
      </c>
      <c r="AA200" s="168">
        <f t="shared" si="177"/>
        <v>3804</v>
      </c>
      <c r="AB200" s="166">
        <f t="shared" si="178"/>
        <v>3388</v>
      </c>
      <c r="AC200" s="167">
        <f t="shared" si="179"/>
        <v>2966</v>
      </c>
      <c r="AD200" s="168">
        <f t="shared" si="180"/>
        <v>4238</v>
      </c>
      <c r="AE200" s="166">
        <f t="shared" si="181"/>
        <v>3736</v>
      </c>
      <c r="AF200" s="167">
        <f t="shared" si="182"/>
        <v>3270</v>
      </c>
      <c r="AG200" s="168">
        <f t="shared" si="183"/>
        <v>4455</v>
      </c>
      <c r="AH200" s="166">
        <f t="shared" si="198"/>
        <v>3910</v>
      </c>
      <c r="AI200" s="167">
        <f t="shared" si="184"/>
        <v>3726</v>
      </c>
      <c r="AJ200" s="168">
        <f t="shared" si="185"/>
        <v>4889</v>
      </c>
      <c r="AK200" s="169">
        <f t="shared" si="186"/>
        <v>4437</v>
      </c>
      <c r="AL200" s="167">
        <f t="shared" si="187"/>
        <v>3883</v>
      </c>
      <c r="AM200" s="585">
        <f t="shared" si="188"/>
        <v>5548</v>
      </c>
      <c r="AN200" s="596">
        <v>0.04</v>
      </c>
      <c r="AO200" s="597">
        <v>4.4999999999999998E-2</v>
      </c>
      <c r="AP200" s="597">
        <v>0.05</v>
      </c>
      <c r="AQ200" s="598">
        <v>5.5E-2</v>
      </c>
      <c r="AR200" s="599">
        <v>0.06</v>
      </c>
      <c r="AS200" s="586"/>
      <c r="AT200" s="587"/>
      <c r="AU200" s="587"/>
      <c r="AV200" s="588"/>
      <c r="AW200" s="589"/>
      <c r="AX200" s="596">
        <v>0.02</v>
      </c>
      <c r="AY200" s="598">
        <v>2.3E-2</v>
      </c>
      <c r="AZ200" s="598">
        <v>2.5999999999999999E-2</v>
      </c>
      <c r="BA200" s="598">
        <v>2.9000000000000001E-2</v>
      </c>
      <c r="BB200" s="598">
        <v>3.2000000000000001E-2</v>
      </c>
      <c r="BC200" s="590"/>
      <c r="BD200" s="631"/>
      <c r="BE200" s="596"/>
      <c r="BF200" s="598"/>
      <c r="BG200" s="598"/>
      <c r="BH200" s="598"/>
      <c r="BI200" s="598"/>
      <c r="BJ200" s="598"/>
      <c r="BK200" s="605"/>
      <c r="BL200" s="658">
        <f t="shared" si="199"/>
        <v>13600</v>
      </c>
      <c r="BM200" s="3">
        <f t="shared" si="200"/>
        <v>32</v>
      </c>
      <c r="BN200" s="3">
        <f t="shared" si="201"/>
        <v>28</v>
      </c>
      <c r="BO200" s="3">
        <f t="shared" si="202"/>
        <v>40</v>
      </c>
    </row>
    <row r="201" spans="2:67">
      <c r="B201" s="207" t="s">
        <v>456</v>
      </c>
      <c r="C201" s="883" t="s">
        <v>357</v>
      </c>
      <c r="D201" s="883" t="s">
        <v>23</v>
      </c>
      <c r="E201" s="238" t="s">
        <v>125</v>
      </c>
      <c r="F201" s="592">
        <v>198</v>
      </c>
      <c r="G201" s="593">
        <v>4080</v>
      </c>
      <c r="H201" s="594">
        <v>5440</v>
      </c>
      <c r="I201" s="595">
        <v>4080</v>
      </c>
      <c r="J201" s="166">
        <f t="shared" si="189"/>
        <v>81</v>
      </c>
      <c r="K201" s="167">
        <f t="shared" si="190"/>
        <v>108</v>
      </c>
      <c r="L201" s="168">
        <f t="shared" si="191"/>
        <v>81</v>
      </c>
      <c r="M201" s="166">
        <f t="shared" si="192"/>
        <v>122</v>
      </c>
      <c r="N201" s="167">
        <f t="shared" si="193"/>
        <v>163</v>
      </c>
      <c r="O201" s="168">
        <f t="shared" si="194"/>
        <v>122</v>
      </c>
      <c r="P201" s="169">
        <f t="shared" si="195"/>
        <v>163</v>
      </c>
      <c r="Q201" s="169">
        <f t="shared" si="196"/>
        <v>217</v>
      </c>
      <c r="R201" s="169">
        <f t="shared" si="197"/>
        <v>163</v>
      </c>
      <c r="S201" s="584">
        <f t="shared" si="169"/>
        <v>1224</v>
      </c>
      <c r="T201" s="594">
        <f t="shared" si="170"/>
        <v>1632</v>
      </c>
      <c r="U201" s="595">
        <f t="shared" si="171"/>
        <v>1224</v>
      </c>
      <c r="V201" s="166">
        <f t="shared" si="172"/>
        <v>2525</v>
      </c>
      <c r="W201" s="167">
        <f t="shared" si="173"/>
        <v>3370</v>
      </c>
      <c r="X201" s="168">
        <f t="shared" si="174"/>
        <v>2525</v>
      </c>
      <c r="Y201" s="166">
        <f t="shared" si="175"/>
        <v>2851</v>
      </c>
      <c r="Z201" s="167">
        <f t="shared" si="176"/>
        <v>3804</v>
      </c>
      <c r="AA201" s="168">
        <f t="shared" si="177"/>
        <v>2851</v>
      </c>
      <c r="AB201" s="166">
        <f t="shared" si="178"/>
        <v>3177</v>
      </c>
      <c r="AC201" s="167">
        <f t="shared" si="179"/>
        <v>4238</v>
      </c>
      <c r="AD201" s="168">
        <f t="shared" si="180"/>
        <v>3177</v>
      </c>
      <c r="AE201" s="166">
        <f t="shared" si="181"/>
        <v>3503</v>
      </c>
      <c r="AF201" s="167">
        <f t="shared" si="182"/>
        <v>4455</v>
      </c>
      <c r="AG201" s="168">
        <f t="shared" si="183"/>
        <v>3503</v>
      </c>
      <c r="AH201" s="166">
        <f t="shared" si="198"/>
        <v>3992</v>
      </c>
      <c r="AI201" s="167">
        <f t="shared" si="184"/>
        <v>4889</v>
      </c>
      <c r="AJ201" s="168">
        <f t="shared" si="185"/>
        <v>3666</v>
      </c>
      <c r="AK201" s="169">
        <f t="shared" si="186"/>
        <v>4161</v>
      </c>
      <c r="AL201" s="167">
        <f t="shared" si="187"/>
        <v>5548</v>
      </c>
      <c r="AM201" s="585">
        <f t="shared" si="188"/>
        <v>4161</v>
      </c>
      <c r="AN201" s="596">
        <v>0.17</v>
      </c>
      <c r="AO201" s="597">
        <v>0.2</v>
      </c>
      <c r="AP201" s="597">
        <v>0.23</v>
      </c>
      <c r="AQ201" s="598">
        <v>0.26</v>
      </c>
      <c r="AR201" s="599">
        <v>0.28999999999999998</v>
      </c>
      <c r="AS201" s="586"/>
      <c r="AT201" s="587"/>
      <c r="AU201" s="587"/>
      <c r="AV201" s="588"/>
      <c r="AW201" s="589"/>
      <c r="AX201" s="596">
        <v>0.05</v>
      </c>
      <c r="AY201" s="598">
        <v>5.5E-2</v>
      </c>
      <c r="AZ201" s="598">
        <v>0.06</v>
      </c>
      <c r="BA201" s="598">
        <v>6.5000000000000002E-2</v>
      </c>
      <c r="BB201" s="598">
        <v>7.0000000000000007E-2</v>
      </c>
      <c r="BC201" s="590"/>
      <c r="BD201" s="631"/>
      <c r="BE201" s="596"/>
      <c r="BF201" s="598"/>
      <c r="BG201" s="598"/>
      <c r="BH201" s="598"/>
      <c r="BI201" s="598"/>
      <c r="BJ201" s="598"/>
      <c r="BK201" s="605"/>
      <c r="BL201" s="658">
        <f t="shared" si="199"/>
        <v>13600</v>
      </c>
      <c r="BM201" s="3">
        <f t="shared" si="200"/>
        <v>30</v>
      </c>
      <c r="BN201" s="3">
        <f t="shared" si="201"/>
        <v>40</v>
      </c>
      <c r="BO201" s="3">
        <f t="shared" si="202"/>
        <v>30</v>
      </c>
    </row>
    <row r="202" spans="2:67">
      <c r="B202" s="207" t="s">
        <v>1975</v>
      </c>
      <c r="C202" s="890" t="s">
        <v>309</v>
      </c>
      <c r="D202" s="890" t="s">
        <v>70</v>
      </c>
      <c r="E202" s="238" t="s">
        <v>126</v>
      </c>
      <c r="F202" s="592">
        <v>199</v>
      </c>
      <c r="G202" s="593">
        <v>11100</v>
      </c>
      <c r="H202" s="594">
        <v>6900</v>
      </c>
      <c r="I202" s="595">
        <v>12000</v>
      </c>
      <c r="J202" s="166">
        <f t="shared" si="189"/>
        <v>222</v>
      </c>
      <c r="K202" s="167">
        <f t="shared" si="190"/>
        <v>138</v>
      </c>
      <c r="L202" s="168">
        <f t="shared" si="191"/>
        <v>240</v>
      </c>
      <c r="M202" s="166">
        <f t="shared" si="192"/>
        <v>277</v>
      </c>
      <c r="N202" s="167">
        <f t="shared" si="193"/>
        <v>172</v>
      </c>
      <c r="O202" s="168">
        <f t="shared" si="194"/>
        <v>300</v>
      </c>
      <c r="P202" s="169">
        <f t="shared" si="195"/>
        <v>416</v>
      </c>
      <c r="Q202" s="169">
        <f t="shared" si="196"/>
        <v>258</v>
      </c>
      <c r="R202" s="169">
        <f t="shared" si="197"/>
        <v>450</v>
      </c>
      <c r="S202" s="584">
        <f t="shared" si="169"/>
        <v>2775</v>
      </c>
      <c r="T202" s="594">
        <f t="shared" si="170"/>
        <v>1725</v>
      </c>
      <c r="U202" s="595">
        <f t="shared" si="171"/>
        <v>3000</v>
      </c>
      <c r="V202" s="166">
        <f t="shared" si="172"/>
        <v>6321</v>
      </c>
      <c r="W202" s="167">
        <f t="shared" si="173"/>
        <v>3927</v>
      </c>
      <c r="X202" s="168">
        <f t="shared" si="174"/>
        <v>6840</v>
      </c>
      <c r="Y202" s="166">
        <f t="shared" si="175"/>
        <v>6737</v>
      </c>
      <c r="Z202" s="167">
        <f t="shared" si="176"/>
        <v>4443</v>
      </c>
      <c r="AA202" s="168">
        <f t="shared" si="177"/>
        <v>8190</v>
      </c>
      <c r="AB202" s="166">
        <f t="shared" si="178"/>
        <v>7985</v>
      </c>
      <c r="AC202" s="167">
        <f t="shared" si="179"/>
        <v>5217</v>
      </c>
      <c r="AD202" s="168">
        <f t="shared" si="180"/>
        <v>8640</v>
      </c>
      <c r="AE202" s="166">
        <f t="shared" si="181"/>
        <v>9649</v>
      </c>
      <c r="AF202" s="167">
        <f t="shared" si="182"/>
        <v>5733</v>
      </c>
      <c r="AG202" s="168">
        <f t="shared" si="183"/>
        <v>9540</v>
      </c>
      <c r="AH202" s="166">
        <f t="shared" si="198"/>
        <v>10481</v>
      </c>
      <c r="AI202" s="167">
        <f t="shared" si="184"/>
        <v>6249</v>
      </c>
      <c r="AJ202" s="168">
        <f t="shared" si="185"/>
        <v>11340</v>
      </c>
      <c r="AK202" s="169">
        <f t="shared" si="186"/>
        <v>11322</v>
      </c>
      <c r="AL202" s="167">
        <f t="shared" si="187"/>
        <v>7038</v>
      </c>
      <c r="AM202" s="585">
        <f t="shared" si="188"/>
        <v>12240</v>
      </c>
      <c r="AN202" s="596">
        <v>7.0000000000000007E-2</v>
      </c>
      <c r="AO202" s="597">
        <v>7.4999999999999997E-2</v>
      </c>
      <c r="AP202" s="597">
        <v>0.08</v>
      </c>
      <c r="AQ202" s="598">
        <v>8.5000000000000006E-2</v>
      </c>
      <c r="AR202" s="599">
        <v>0.09</v>
      </c>
      <c r="AS202" s="586"/>
      <c r="AT202" s="587"/>
      <c r="AU202" s="587"/>
      <c r="AV202" s="588"/>
      <c r="AW202" s="589"/>
      <c r="AX202" s="596">
        <v>0.04</v>
      </c>
      <c r="AY202" s="598">
        <v>4.2999999999999997E-2</v>
      </c>
      <c r="AZ202" s="598">
        <v>4.5999999999999999E-2</v>
      </c>
      <c r="BA202" s="598">
        <v>4.9000000000000002E-2</v>
      </c>
      <c r="BB202" s="598">
        <v>5.1999999999999998E-2</v>
      </c>
      <c r="BC202" s="590"/>
      <c r="BD202" s="631"/>
      <c r="BE202" s="596"/>
      <c r="BF202" s="598"/>
      <c r="BG202" s="598"/>
      <c r="BH202" s="598"/>
      <c r="BI202" s="598"/>
      <c r="BJ202" s="598"/>
      <c r="BK202" s="605"/>
      <c r="BL202" s="658">
        <f t="shared" si="199"/>
        <v>30000</v>
      </c>
      <c r="BM202" s="3">
        <f t="shared" si="200"/>
        <v>37</v>
      </c>
      <c r="BN202" s="3">
        <f t="shared" si="201"/>
        <v>23</v>
      </c>
      <c r="BO202" s="3">
        <f t="shared" si="202"/>
        <v>40</v>
      </c>
    </row>
    <row r="203" spans="2:67">
      <c r="B203" s="1269" t="s">
        <v>1976</v>
      </c>
      <c r="C203" s="1265" t="s">
        <v>309</v>
      </c>
      <c r="D203" s="1265" t="s">
        <v>23</v>
      </c>
      <c r="E203" s="238" t="s">
        <v>126</v>
      </c>
      <c r="F203" s="1270">
        <v>200</v>
      </c>
      <c r="G203" s="593">
        <v>9144</v>
      </c>
      <c r="H203" s="594">
        <v>11209</v>
      </c>
      <c r="I203" s="595">
        <v>9144</v>
      </c>
      <c r="J203" s="166">
        <f t="shared" si="189"/>
        <v>182</v>
      </c>
      <c r="K203" s="167">
        <f t="shared" si="190"/>
        <v>224</v>
      </c>
      <c r="L203" s="168">
        <f t="shared" si="191"/>
        <v>182</v>
      </c>
      <c r="M203" s="166">
        <f t="shared" si="192"/>
        <v>228</v>
      </c>
      <c r="N203" s="167">
        <f t="shared" si="193"/>
        <v>280</v>
      </c>
      <c r="O203" s="168">
        <f t="shared" si="194"/>
        <v>228</v>
      </c>
      <c r="P203" s="169">
        <f t="shared" si="195"/>
        <v>342</v>
      </c>
      <c r="Q203" s="169">
        <f t="shared" si="196"/>
        <v>420</v>
      </c>
      <c r="R203" s="169">
        <f t="shared" si="197"/>
        <v>342</v>
      </c>
      <c r="S203" s="584">
        <f t="shared" si="169"/>
        <v>2286</v>
      </c>
      <c r="T203" s="594">
        <f t="shared" si="170"/>
        <v>2802</v>
      </c>
      <c r="U203" s="595">
        <f t="shared" si="171"/>
        <v>2286</v>
      </c>
      <c r="V203" s="166">
        <f t="shared" si="172"/>
        <v>5204</v>
      </c>
      <c r="W203" s="167">
        <f t="shared" si="173"/>
        <v>6386</v>
      </c>
      <c r="X203" s="168">
        <f t="shared" si="174"/>
        <v>5204</v>
      </c>
      <c r="Y203" s="166">
        <f t="shared" si="175"/>
        <v>6230</v>
      </c>
      <c r="Z203" s="167">
        <f t="shared" si="176"/>
        <v>7226</v>
      </c>
      <c r="AA203" s="168">
        <f t="shared" si="177"/>
        <v>5546</v>
      </c>
      <c r="AB203" s="166">
        <f t="shared" si="178"/>
        <v>6572</v>
      </c>
      <c r="AC203" s="167">
        <f t="shared" si="179"/>
        <v>8486</v>
      </c>
      <c r="AD203" s="168">
        <f t="shared" si="180"/>
        <v>6572</v>
      </c>
      <c r="AE203" s="166">
        <f t="shared" si="181"/>
        <v>7256</v>
      </c>
      <c r="AF203" s="167">
        <f t="shared" si="182"/>
        <v>9326</v>
      </c>
      <c r="AG203" s="168">
        <f t="shared" si="183"/>
        <v>7940</v>
      </c>
      <c r="AH203" s="166">
        <f t="shared" si="198"/>
        <v>8624</v>
      </c>
      <c r="AI203" s="167">
        <f t="shared" si="184"/>
        <v>10166</v>
      </c>
      <c r="AJ203" s="168">
        <f t="shared" si="185"/>
        <v>8624</v>
      </c>
      <c r="AK203" s="169">
        <f t="shared" si="186"/>
        <v>9326</v>
      </c>
      <c r="AL203" s="167">
        <f t="shared" si="187"/>
        <v>11433</v>
      </c>
      <c r="AM203" s="585">
        <f t="shared" si="188"/>
        <v>9326</v>
      </c>
      <c r="AN203" s="596">
        <v>0.28000000000000003</v>
      </c>
      <c r="AO203" s="597">
        <v>0.31</v>
      </c>
      <c r="AP203" s="597">
        <v>0.34</v>
      </c>
      <c r="AQ203" s="598">
        <v>0.37</v>
      </c>
      <c r="AR203" s="599">
        <v>0.4</v>
      </c>
      <c r="AS203" s="586"/>
      <c r="AT203" s="587"/>
      <c r="AU203" s="587"/>
      <c r="AV203" s="588"/>
      <c r="AW203" s="589"/>
      <c r="AX203" s="596">
        <v>0.03</v>
      </c>
      <c r="AY203" s="598">
        <v>3.3000000000000002E-2</v>
      </c>
      <c r="AZ203" s="598">
        <v>3.5999999999999997E-2</v>
      </c>
      <c r="BA203" s="598">
        <v>3.9E-2</v>
      </c>
      <c r="BB203" s="598">
        <v>4.2000000000000003E-2</v>
      </c>
      <c r="BC203" s="590"/>
      <c r="BD203" s="631"/>
      <c r="BE203" s="596"/>
      <c r="BF203" s="598"/>
      <c r="BG203" s="598"/>
      <c r="BH203" s="598"/>
      <c r="BI203" s="598"/>
      <c r="BJ203" s="598"/>
      <c r="BK203" s="605"/>
      <c r="BL203" s="658">
        <f t="shared" si="199"/>
        <v>29500</v>
      </c>
      <c r="BM203" s="3">
        <f t="shared" si="200"/>
        <v>31</v>
      </c>
      <c r="BN203" s="3">
        <f t="shared" si="201"/>
        <v>38</v>
      </c>
      <c r="BO203" s="3">
        <f t="shared" si="202"/>
        <v>31</v>
      </c>
    </row>
    <row r="204" spans="2:67">
      <c r="B204" s="207" t="s">
        <v>457</v>
      </c>
      <c r="C204" s="890" t="s">
        <v>357</v>
      </c>
      <c r="D204" s="890" t="s">
        <v>23</v>
      </c>
      <c r="E204" s="238" t="s">
        <v>65</v>
      </c>
      <c r="F204" s="592">
        <v>201</v>
      </c>
      <c r="G204" s="593">
        <v>3817</v>
      </c>
      <c r="H204" s="594">
        <v>6140</v>
      </c>
      <c r="I204" s="595">
        <v>6640</v>
      </c>
      <c r="J204" s="166">
        <f t="shared" si="189"/>
        <v>76</v>
      </c>
      <c r="K204" s="167">
        <f t="shared" si="190"/>
        <v>122</v>
      </c>
      <c r="L204" s="168">
        <f t="shared" si="191"/>
        <v>132</v>
      </c>
      <c r="M204" s="166">
        <f t="shared" si="192"/>
        <v>114</v>
      </c>
      <c r="N204" s="167">
        <f t="shared" si="193"/>
        <v>184</v>
      </c>
      <c r="O204" s="168">
        <f t="shared" si="194"/>
        <v>199</v>
      </c>
      <c r="P204" s="169">
        <f t="shared" si="195"/>
        <v>152</v>
      </c>
      <c r="Q204" s="169">
        <f t="shared" si="196"/>
        <v>245</v>
      </c>
      <c r="R204" s="169">
        <f t="shared" si="197"/>
        <v>265</v>
      </c>
      <c r="S204" s="584">
        <f t="shared" si="169"/>
        <v>1145</v>
      </c>
      <c r="T204" s="594">
        <f t="shared" si="170"/>
        <v>1842</v>
      </c>
      <c r="U204" s="595">
        <f t="shared" si="171"/>
        <v>1992</v>
      </c>
      <c r="V204" s="166">
        <f t="shared" si="172"/>
        <v>2361</v>
      </c>
      <c r="W204" s="167">
        <f t="shared" si="173"/>
        <v>3804</v>
      </c>
      <c r="X204" s="168">
        <f t="shared" si="174"/>
        <v>4114</v>
      </c>
      <c r="Y204" s="166">
        <f t="shared" si="175"/>
        <v>2665</v>
      </c>
      <c r="Z204" s="167">
        <f t="shared" si="176"/>
        <v>4294</v>
      </c>
      <c r="AA204" s="168">
        <f t="shared" si="177"/>
        <v>4644</v>
      </c>
      <c r="AB204" s="166">
        <f t="shared" si="178"/>
        <v>2969</v>
      </c>
      <c r="AC204" s="167">
        <f t="shared" si="179"/>
        <v>4784</v>
      </c>
      <c r="AD204" s="168">
        <f t="shared" si="180"/>
        <v>5174</v>
      </c>
      <c r="AE204" s="166">
        <f t="shared" si="181"/>
        <v>3273</v>
      </c>
      <c r="AF204" s="167">
        <f t="shared" si="182"/>
        <v>5029</v>
      </c>
      <c r="AG204" s="168">
        <f t="shared" si="183"/>
        <v>5704</v>
      </c>
      <c r="AH204" s="166">
        <f t="shared" si="198"/>
        <v>3729</v>
      </c>
      <c r="AI204" s="167">
        <f t="shared" si="184"/>
        <v>5519</v>
      </c>
      <c r="AJ204" s="168">
        <f t="shared" si="185"/>
        <v>5969</v>
      </c>
      <c r="AK204" s="169">
        <f t="shared" si="186"/>
        <v>3893</v>
      </c>
      <c r="AL204" s="167">
        <f t="shared" si="187"/>
        <v>6262</v>
      </c>
      <c r="AM204" s="585">
        <f t="shared" si="188"/>
        <v>6772</v>
      </c>
      <c r="AN204" s="596">
        <v>0.2</v>
      </c>
      <c r="AO204" s="597">
        <v>0.23</v>
      </c>
      <c r="AP204" s="597">
        <v>0.26</v>
      </c>
      <c r="AQ204" s="598">
        <v>0.28999999999999998</v>
      </c>
      <c r="AR204" s="599">
        <v>0.32</v>
      </c>
      <c r="AS204" s="586"/>
      <c r="AT204" s="587"/>
      <c r="AU204" s="587"/>
      <c r="AV204" s="588"/>
      <c r="AW204" s="589"/>
      <c r="AX204" s="596">
        <v>0.03</v>
      </c>
      <c r="AY204" s="598">
        <v>3.5000000000000003E-2</v>
      </c>
      <c r="AZ204" s="598">
        <v>0.04</v>
      </c>
      <c r="BA204" s="598">
        <v>4.4999999999999998E-2</v>
      </c>
      <c r="BB204" s="598">
        <v>0.05</v>
      </c>
      <c r="BC204" s="590"/>
      <c r="BD204" s="631"/>
      <c r="BE204" s="596"/>
      <c r="BF204" s="598"/>
      <c r="BG204" s="598"/>
      <c r="BH204" s="598"/>
      <c r="BI204" s="598"/>
      <c r="BJ204" s="598"/>
      <c r="BK204" s="605"/>
      <c r="BL204" s="658">
        <f t="shared" si="199"/>
        <v>16600</v>
      </c>
      <c r="BM204" s="3">
        <f t="shared" si="200"/>
        <v>23</v>
      </c>
      <c r="BN204" s="3">
        <f t="shared" si="201"/>
        <v>37</v>
      </c>
      <c r="BO204" s="3">
        <f t="shared" si="202"/>
        <v>40</v>
      </c>
    </row>
    <row r="205" spans="2:67">
      <c r="B205" s="207" t="s">
        <v>458</v>
      </c>
      <c r="C205" s="883" t="s">
        <v>357</v>
      </c>
      <c r="D205" s="883" t="s">
        <v>70</v>
      </c>
      <c r="E205" s="238" t="s">
        <v>65</v>
      </c>
      <c r="F205" s="592">
        <v>202</v>
      </c>
      <c r="G205" s="593">
        <v>5810</v>
      </c>
      <c r="H205" s="594">
        <v>3320</v>
      </c>
      <c r="I205" s="595">
        <v>7470</v>
      </c>
      <c r="J205" s="166">
        <f t="shared" si="189"/>
        <v>116</v>
      </c>
      <c r="K205" s="167">
        <f t="shared" si="190"/>
        <v>66</v>
      </c>
      <c r="L205" s="168">
        <f t="shared" si="191"/>
        <v>149</v>
      </c>
      <c r="M205" s="166">
        <f t="shared" si="192"/>
        <v>174</v>
      </c>
      <c r="N205" s="167">
        <f t="shared" si="193"/>
        <v>99</v>
      </c>
      <c r="O205" s="168">
        <f t="shared" si="194"/>
        <v>224</v>
      </c>
      <c r="P205" s="169">
        <f t="shared" si="195"/>
        <v>232</v>
      </c>
      <c r="Q205" s="169">
        <f t="shared" si="196"/>
        <v>132</v>
      </c>
      <c r="R205" s="169">
        <f t="shared" si="197"/>
        <v>298</v>
      </c>
      <c r="S205" s="584">
        <f t="shared" si="169"/>
        <v>1743</v>
      </c>
      <c r="T205" s="594">
        <f t="shared" si="170"/>
        <v>996</v>
      </c>
      <c r="U205" s="595">
        <f t="shared" si="171"/>
        <v>2241</v>
      </c>
      <c r="V205" s="166">
        <f t="shared" si="172"/>
        <v>3599</v>
      </c>
      <c r="W205" s="167">
        <f t="shared" si="173"/>
        <v>2052</v>
      </c>
      <c r="X205" s="168">
        <f t="shared" si="174"/>
        <v>4630</v>
      </c>
      <c r="Y205" s="166">
        <f t="shared" si="175"/>
        <v>4063</v>
      </c>
      <c r="Z205" s="167">
        <f t="shared" si="176"/>
        <v>2316</v>
      </c>
      <c r="AA205" s="168">
        <f t="shared" si="177"/>
        <v>5226</v>
      </c>
      <c r="AB205" s="166">
        <f t="shared" si="178"/>
        <v>4527</v>
      </c>
      <c r="AC205" s="167">
        <f t="shared" si="179"/>
        <v>2580</v>
      </c>
      <c r="AD205" s="168">
        <f t="shared" si="180"/>
        <v>5822</v>
      </c>
      <c r="AE205" s="166">
        <f t="shared" si="181"/>
        <v>4991</v>
      </c>
      <c r="AF205" s="167">
        <f t="shared" si="182"/>
        <v>2712</v>
      </c>
      <c r="AG205" s="168">
        <f t="shared" si="183"/>
        <v>6418</v>
      </c>
      <c r="AH205" s="166">
        <f t="shared" si="198"/>
        <v>5223</v>
      </c>
      <c r="AI205" s="167">
        <f t="shared" si="184"/>
        <v>2976</v>
      </c>
      <c r="AJ205" s="168">
        <f t="shared" si="185"/>
        <v>7312</v>
      </c>
      <c r="AK205" s="169">
        <f t="shared" si="186"/>
        <v>5926</v>
      </c>
      <c r="AL205" s="167">
        <f t="shared" si="187"/>
        <v>3386</v>
      </c>
      <c r="AM205" s="585">
        <f t="shared" si="188"/>
        <v>7619</v>
      </c>
      <c r="AN205" s="596">
        <v>0.05</v>
      </c>
      <c r="AO205" s="597">
        <v>5.5E-2</v>
      </c>
      <c r="AP205" s="597">
        <v>0.06</v>
      </c>
      <c r="AQ205" s="598">
        <v>6.5000000000000002E-2</v>
      </c>
      <c r="AR205" s="599">
        <v>7.0000000000000007E-2</v>
      </c>
      <c r="AS205" s="586"/>
      <c r="AT205" s="587"/>
      <c r="AU205" s="587"/>
      <c r="AV205" s="588"/>
      <c r="AW205" s="589"/>
      <c r="AX205" s="596">
        <v>0.03</v>
      </c>
      <c r="AY205" s="598">
        <v>3.5000000000000003E-2</v>
      </c>
      <c r="AZ205" s="598">
        <v>0.04</v>
      </c>
      <c r="BA205" s="598">
        <v>4.4999999999999998E-2</v>
      </c>
      <c r="BB205" s="598">
        <v>0.05</v>
      </c>
      <c r="BC205" s="590"/>
      <c r="BD205" s="631"/>
      <c r="BE205" s="596"/>
      <c r="BF205" s="598"/>
      <c r="BG205" s="598"/>
      <c r="BH205" s="598"/>
      <c r="BI205" s="598"/>
      <c r="BJ205" s="598"/>
      <c r="BK205" s="605"/>
      <c r="BL205" s="658">
        <f t="shared" si="199"/>
        <v>16600</v>
      </c>
      <c r="BM205" s="3">
        <f t="shared" si="200"/>
        <v>35</v>
      </c>
      <c r="BN205" s="3">
        <f t="shared" si="201"/>
        <v>20</v>
      </c>
      <c r="BO205" s="3">
        <f t="shared" si="202"/>
        <v>45</v>
      </c>
    </row>
    <row r="206" spans="2:67">
      <c r="B206" s="207" t="s">
        <v>522</v>
      </c>
      <c r="C206" s="890" t="s">
        <v>467</v>
      </c>
      <c r="D206" s="890" t="s">
        <v>13</v>
      </c>
      <c r="E206" s="238" t="s">
        <v>65</v>
      </c>
      <c r="F206" s="592">
        <v>203</v>
      </c>
      <c r="G206" s="593">
        <v>5804</v>
      </c>
      <c r="H206" s="594">
        <v>1303</v>
      </c>
      <c r="I206" s="595">
        <v>4740</v>
      </c>
      <c r="J206" s="166">
        <f t="shared" si="189"/>
        <v>116</v>
      </c>
      <c r="K206" s="167">
        <f t="shared" si="190"/>
        <v>26</v>
      </c>
      <c r="L206" s="168">
        <f t="shared" si="191"/>
        <v>94</v>
      </c>
      <c r="M206" s="166">
        <f t="shared" si="192"/>
        <v>217</v>
      </c>
      <c r="N206" s="167">
        <f t="shared" si="193"/>
        <v>48</v>
      </c>
      <c r="O206" s="168">
        <f t="shared" si="194"/>
        <v>177</v>
      </c>
      <c r="P206" s="169">
        <f t="shared" si="195"/>
        <v>290</v>
      </c>
      <c r="Q206" s="169">
        <f t="shared" si="196"/>
        <v>65</v>
      </c>
      <c r="R206" s="169">
        <f t="shared" si="197"/>
        <v>237</v>
      </c>
      <c r="S206" s="584">
        <f t="shared" si="169"/>
        <v>1741</v>
      </c>
      <c r="T206" s="594">
        <f t="shared" si="170"/>
        <v>391</v>
      </c>
      <c r="U206" s="595">
        <f t="shared" si="171"/>
        <v>1422</v>
      </c>
      <c r="V206" s="166">
        <f t="shared" si="172"/>
        <v>3593</v>
      </c>
      <c r="W206" s="167">
        <f t="shared" si="173"/>
        <v>801</v>
      </c>
      <c r="X206" s="168">
        <f t="shared" si="174"/>
        <v>2932</v>
      </c>
      <c r="Y206" s="166">
        <f t="shared" si="175"/>
        <v>3883</v>
      </c>
      <c r="Z206" s="167">
        <f t="shared" si="176"/>
        <v>931</v>
      </c>
      <c r="AA206" s="168">
        <f t="shared" si="177"/>
        <v>3169</v>
      </c>
      <c r="AB206" s="166">
        <f t="shared" si="178"/>
        <v>4463</v>
      </c>
      <c r="AC206" s="167">
        <f t="shared" si="179"/>
        <v>996</v>
      </c>
      <c r="AD206" s="168">
        <f t="shared" si="180"/>
        <v>3406</v>
      </c>
      <c r="AE206" s="166">
        <f t="shared" si="181"/>
        <v>5043</v>
      </c>
      <c r="AF206" s="167">
        <f t="shared" si="182"/>
        <v>1061</v>
      </c>
      <c r="AG206" s="168">
        <f t="shared" si="183"/>
        <v>3880</v>
      </c>
      <c r="AH206" s="166">
        <f t="shared" si="198"/>
        <v>5623</v>
      </c>
      <c r="AI206" s="167">
        <f t="shared" si="184"/>
        <v>1191</v>
      </c>
      <c r="AJ206" s="168">
        <f t="shared" si="185"/>
        <v>4354</v>
      </c>
      <c r="AK206" s="169">
        <f t="shared" si="186"/>
        <v>5920</v>
      </c>
      <c r="AL206" s="167">
        <f t="shared" si="187"/>
        <v>1329</v>
      </c>
      <c r="AM206" s="585">
        <f t="shared" si="188"/>
        <v>4834</v>
      </c>
      <c r="AN206" s="596">
        <v>1.4E-2</v>
      </c>
      <c r="AO206" s="597">
        <v>1.7000000000000001E-2</v>
      </c>
      <c r="AP206" s="597">
        <v>0.02</v>
      </c>
      <c r="AQ206" s="598">
        <v>2.3E-2</v>
      </c>
      <c r="AR206" s="599">
        <v>2.5999999999999999E-2</v>
      </c>
      <c r="AS206" s="586"/>
      <c r="AT206" s="587"/>
      <c r="AU206" s="587"/>
      <c r="AV206" s="588"/>
      <c r="AW206" s="589"/>
      <c r="AX206" s="596">
        <v>0.02</v>
      </c>
      <c r="AY206" s="598">
        <v>2.5000000000000001E-2</v>
      </c>
      <c r="AZ206" s="598">
        <v>0.03</v>
      </c>
      <c r="BA206" s="598">
        <v>3.5000000000000003E-2</v>
      </c>
      <c r="BB206" s="598">
        <v>0.04</v>
      </c>
      <c r="BC206" s="590"/>
      <c r="BD206" s="631"/>
      <c r="BE206" s="596"/>
      <c r="BF206" s="598"/>
      <c r="BG206" s="598"/>
      <c r="BH206" s="598"/>
      <c r="BI206" s="598"/>
      <c r="BJ206" s="598"/>
      <c r="BK206" s="605"/>
      <c r="BL206" s="658">
        <f t="shared" si="199"/>
        <v>11850</v>
      </c>
      <c r="BM206" s="3">
        <f t="shared" si="200"/>
        <v>49</v>
      </c>
      <c r="BN206" s="3">
        <f t="shared" si="201"/>
        <v>11</v>
      </c>
      <c r="BO206" s="3">
        <f t="shared" si="202"/>
        <v>40</v>
      </c>
    </row>
    <row r="207" spans="2:67">
      <c r="B207" s="207" t="s">
        <v>523</v>
      </c>
      <c r="C207" s="890" t="s">
        <v>467</v>
      </c>
      <c r="D207" s="890" t="s">
        <v>14</v>
      </c>
      <c r="E207" s="238" t="s">
        <v>65</v>
      </c>
      <c r="F207" s="592">
        <v>204</v>
      </c>
      <c r="G207" s="593">
        <v>4620</v>
      </c>
      <c r="H207" s="594">
        <v>1540</v>
      </c>
      <c r="I207" s="595">
        <v>5687</v>
      </c>
      <c r="J207" s="166">
        <f t="shared" si="189"/>
        <v>92</v>
      </c>
      <c r="K207" s="167">
        <f t="shared" si="190"/>
        <v>30</v>
      </c>
      <c r="L207" s="168">
        <f t="shared" si="191"/>
        <v>113</v>
      </c>
      <c r="M207" s="166">
        <f t="shared" si="192"/>
        <v>173</v>
      </c>
      <c r="N207" s="167">
        <f t="shared" si="193"/>
        <v>57</v>
      </c>
      <c r="O207" s="168">
        <f t="shared" si="194"/>
        <v>213</v>
      </c>
      <c r="P207" s="169">
        <f t="shared" si="195"/>
        <v>231</v>
      </c>
      <c r="Q207" s="169">
        <f t="shared" si="196"/>
        <v>77</v>
      </c>
      <c r="R207" s="169">
        <f t="shared" si="197"/>
        <v>284</v>
      </c>
      <c r="S207" s="584">
        <f t="shared" si="169"/>
        <v>1386</v>
      </c>
      <c r="T207" s="594">
        <f t="shared" si="170"/>
        <v>462</v>
      </c>
      <c r="U207" s="595">
        <f t="shared" si="171"/>
        <v>1706</v>
      </c>
      <c r="V207" s="166">
        <f t="shared" si="172"/>
        <v>2862</v>
      </c>
      <c r="W207" s="167">
        <f t="shared" si="173"/>
        <v>948</v>
      </c>
      <c r="X207" s="168">
        <f t="shared" si="174"/>
        <v>3523</v>
      </c>
      <c r="Y207" s="166">
        <f t="shared" si="175"/>
        <v>3324</v>
      </c>
      <c r="Z207" s="167">
        <f t="shared" si="176"/>
        <v>1025</v>
      </c>
      <c r="AA207" s="168">
        <f t="shared" si="177"/>
        <v>3807</v>
      </c>
      <c r="AB207" s="166">
        <f t="shared" si="178"/>
        <v>3555</v>
      </c>
      <c r="AC207" s="167">
        <f t="shared" si="179"/>
        <v>1102</v>
      </c>
      <c r="AD207" s="168">
        <f t="shared" si="180"/>
        <v>4375</v>
      </c>
      <c r="AE207" s="166">
        <f t="shared" si="181"/>
        <v>3786</v>
      </c>
      <c r="AF207" s="167">
        <f t="shared" si="182"/>
        <v>1256</v>
      </c>
      <c r="AG207" s="168">
        <f t="shared" si="183"/>
        <v>4943</v>
      </c>
      <c r="AH207" s="166">
        <f t="shared" si="198"/>
        <v>4248</v>
      </c>
      <c r="AI207" s="167">
        <f t="shared" si="184"/>
        <v>1410</v>
      </c>
      <c r="AJ207" s="168">
        <f t="shared" si="185"/>
        <v>5511</v>
      </c>
      <c r="AK207" s="169">
        <f t="shared" si="186"/>
        <v>4712</v>
      </c>
      <c r="AL207" s="167">
        <f t="shared" si="187"/>
        <v>1570</v>
      </c>
      <c r="AM207" s="585">
        <f t="shared" si="188"/>
        <v>5800</v>
      </c>
      <c r="AN207" s="596">
        <v>0.03</v>
      </c>
      <c r="AO207" s="597">
        <v>3.3000000000000002E-2</v>
      </c>
      <c r="AP207" s="597">
        <v>3.5999999999999997E-2</v>
      </c>
      <c r="AQ207" s="598">
        <v>3.9E-2</v>
      </c>
      <c r="AR207" s="599">
        <v>4.2000000000000003E-2</v>
      </c>
      <c r="AS207" s="586"/>
      <c r="AT207" s="587"/>
      <c r="AU207" s="587"/>
      <c r="AV207" s="588"/>
      <c r="AW207" s="589"/>
      <c r="AX207" s="596">
        <v>0.02</v>
      </c>
      <c r="AY207" s="598">
        <v>2.5000000000000001E-2</v>
      </c>
      <c r="AZ207" s="598">
        <v>0.03</v>
      </c>
      <c r="BA207" s="598">
        <v>3.5000000000000003E-2</v>
      </c>
      <c r="BB207" s="598">
        <v>0.04</v>
      </c>
      <c r="BC207" s="590"/>
      <c r="BD207" s="631"/>
      <c r="BE207" s="596"/>
      <c r="BF207" s="598"/>
      <c r="BG207" s="598"/>
      <c r="BH207" s="598"/>
      <c r="BI207" s="598"/>
      <c r="BJ207" s="598"/>
      <c r="BK207" s="605"/>
      <c r="BL207" s="658">
        <f t="shared" si="199"/>
        <v>11850</v>
      </c>
      <c r="BM207" s="3">
        <f t="shared" si="200"/>
        <v>39</v>
      </c>
      <c r="BN207" s="3">
        <f t="shared" si="201"/>
        <v>13</v>
      </c>
      <c r="BO207" s="3">
        <f t="shared" si="202"/>
        <v>48</v>
      </c>
    </row>
    <row r="208" spans="2:67">
      <c r="B208" s="207" t="s">
        <v>524</v>
      </c>
      <c r="C208" s="890" t="s">
        <v>467</v>
      </c>
      <c r="D208" s="890" t="s">
        <v>23</v>
      </c>
      <c r="E208" s="238" t="s">
        <v>65</v>
      </c>
      <c r="F208" s="592">
        <v>205</v>
      </c>
      <c r="G208" s="593">
        <v>1540</v>
      </c>
      <c r="H208" s="594">
        <v>6160</v>
      </c>
      <c r="I208" s="595">
        <v>4147</v>
      </c>
      <c r="J208" s="166">
        <f t="shared" si="189"/>
        <v>30</v>
      </c>
      <c r="K208" s="167">
        <f t="shared" si="190"/>
        <v>123</v>
      </c>
      <c r="L208" s="168">
        <f t="shared" si="191"/>
        <v>82</v>
      </c>
      <c r="M208" s="166">
        <f t="shared" si="192"/>
        <v>57</v>
      </c>
      <c r="N208" s="167">
        <f t="shared" si="193"/>
        <v>231</v>
      </c>
      <c r="O208" s="168">
        <f t="shared" si="194"/>
        <v>155</v>
      </c>
      <c r="P208" s="169">
        <f t="shared" si="195"/>
        <v>77</v>
      </c>
      <c r="Q208" s="169">
        <f t="shared" si="196"/>
        <v>308</v>
      </c>
      <c r="R208" s="169">
        <f t="shared" si="197"/>
        <v>207</v>
      </c>
      <c r="S208" s="584">
        <f t="shared" si="169"/>
        <v>462</v>
      </c>
      <c r="T208" s="594">
        <f t="shared" si="170"/>
        <v>1848</v>
      </c>
      <c r="U208" s="595">
        <f t="shared" si="171"/>
        <v>1244</v>
      </c>
      <c r="V208" s="166">
        <f t="shared" si="172"/>
        <v>948</v>
      </c>
      <c r="W208" s="167">
        <f t="shared" si="173"/>
        <v>3819</v>
      </c>
      <c r="X208" s="168">
        <f t="shared" si="174"/>
        <v>2566</v>
      </c>
      <c r="Y208" s="166">
        <f t="shared" si="175"/>
        <v>1025</v>
      </c>
      <c r="Z208" s="167">
        <f t="shared" si="176"/>
        <v>4127</v>
      </c>
      <c r="AA208" s="168">
        <f t="shared" si="177"/>
        <v>2980</v>
      </c>
      <c r="AB208" s="166">
        <f t="shared" si="178"/>
        <v>1102</v>
      </c>
      <c r="AC208" s="167">
        <f t="shared" si="179"/>
        <v>4743</v>
      </c>
      <c r="AD208" s="168">
        <f t="shared" si="180"/>
        <v>3187</v>
      </c>
      <c r="AE208" s="166">
        <f t="shared" si="181"/>
        <v>1256</v>
      </c>
      <c r="AF208" s="167">
        <f t="shared" si="182"/>
        <v>5359</v>
      </c>
      <c r="AG208" s="168">
        <f t="shared" si="183"/>
        <v>3394</v>
      </c>
      <c r="AH208" s="166">
        <f t="shared" si="198"/>
        <v>1410</v>
      </c>
      <c r="AI208" s="167">
        <f t="shared" si="184"/>
        <v>5975</v>
      </c>
      <c r="AJ208" s="168">
        <f t="shared" si="185"/>
        <v>3808</v>
      </c>
      <c r="AK208" s="169">
        <f t="shared" si="186"/>
        <v>1570</v>
      </c>
      <c r="AL208" s="167">
        <f t="shared" si="187"/>
        <v>6283</v>
      </c>
      <c r="AM208" s="585">
        <f t="shared" si="188"/>
        <v>4229</v>
      </c>
      <c r="AN208" s="586">
        <v>150</v>
      </c>
      <c r="AO208" s="686">
        <v>200</v>
      </c>
      <c r="AP208" s="686">
        <v>250</v>
      </c>
      <c r="AQ208" s="587">
        <v>300</v>
      </c>
      <c r="AR208" s="687">
        <v>350</v>
      </c>
      <c r="AS208" s="586"/>
      <c r="AT208" s="587"/>
      <c r="AU208" s="587"/>
      <c r="AV208" s="588"/>
      <c r="AW208" s="589"/>
      <c r="AX208" s="596">
        <v>0.02</v>
      </c>
      <c r="AY208" s="598">
        <v>2.5000000000000001E-2</v>
      </c>
      <c r="AZ208" s="598">
        <v>0.03</v>
      </c>
      <c r="BA208" s="598">
        <v>3.5000000000000003E-2</v>
      </c>
      <c r="BB208" s="598">
        <v>0.04</v>
      </c>
      <c r="BC208" s="590"/>
      <c r="BD208" s="631"/>
      <c r="BE208" s="596"/>
      <c r="BF208" s="598"/>
      <c r="BG208" s="598"/>
      <c r="BH208" s="598"/>
      <c r="BI208" s="598"/>
      <c r="BJ208" s="598"/>
      <c r="BK208" s="605"/>
      <c r="BL208" s="658">
        <f t="shared" si="199"/>
        <v>11850</v>
      </c>
      <c r="BM208" s="3">
        <f t="shared" si="200"/>
        <v>13</v>
      </c>
      <c r="BN208" s="3">
        <f t="shared" si="201"/>
        <v>52</v>
      </c>
      <c r="BO208" s="3">
        <f t="shared" si="202"/>
        <v>35</v>
      </c>
    </row>
    <row r="209" spans="2:67">
      <c r="B209" s="207" t="s">
        <v>525</v>
      </c>
      <c r="C209" s="890" t="s">
        <v>467</v>
      </c>
      <c r="D209" s="890" t="s">
        <v>70</v>
      </c>
      <c r="E209" s="238" t="s">
        <v>65</v>
      </c>
      <c r="F209" s="592">
        <v>206</v>
      </c>
      <c r="G209" s="593">
        <v>5213</v>
      </c>
      <c r="H209" s="594">
        <v>4264</v>
      </c>
      <c r="I209" s="595">
        <v>2370</v>
      </c>
      <c r="J209" s="166">
        <f t="shared" si="189"/>
        <v>104</v>
      </c>
      <c r="K209" s="167">
        <f t="shared" si="190"/>
        <v>85</v>
      </c>
      <c r="L209" s="168">
        <f t="shared" si="191"/>
        <v>47</v>
      </c>
      <c r="M209" s="166">
        <f t="shared" si="192"/>
        <v>195</v>
      </c>
      <c r="N209" s="167">
        <f t="shared" si="193"/>
        <v>159</v>
      </c>
      <c r="O209" s="168">
        <f t="shared" si="194"/>
        <v>88</v>
      </c>
      <c r="P209" s="169">
        <f t="shared" si="195"/>
        <v>260</v>
      </c>
      <c r="Q209" s="169">
        <f t="shared" si="196"/>
        <v>213</v>
      </c>
      <c r="R209" s="169">
        <f t="shared" si="197"/>
        <v>118</v>
      </c>
      <c r="S209" s="584">
        <f t="shared" si="169"/>
        <v>1564</v>
      </c>
      <c r="T209" s="594">
        <f t="shared" si="170"/>
        <v>1279</v>
      </c>
      <c r="U209" s="595">
        <f t="shared" si="171"/>
        <v>711</v>
      </c>
      <c r="V209" s="166">
        <f t="shared" si="172"/>
        <v>3228</v>
      </c>
      <c r="W209" s="167">
        <f t="shared" si="173"/>
        <v>2636</v>
      </c>
      <c r="X209" s="168">
        <f t="shared" si="174"/>
        <v>1462</v>
      </c>
      <c r="Y209" s="166">
        <f t="shared" si="175"/>
        <v>3748</v>
      </c>
      <c r="Z209" s="167">
        <f t="shared" si="176"/>
        <v>2849</v>
      </c>
      <c r="AA209" s="168">
        <f t="shared" si="177"/>
        <v>1580</v>
      </c>
      <c r="AB209" s="166">
        <f t="shared" si="178"/>
        <v>4008</v>
      </c>
      <c r="AC209" s="167">
        <f t="shared" si="179"/>
        <v>3275</v>
      </c>
      <c r="AD209" s="168">
        <f t="shared" si="180"/>
        <v>1698</v>
      </c>
      <c r="AE209" s="166">
        <f t="shared" si="181"/>
        <v>4268</v>
      </c>
      <c r="AF209" s="167">
        <f t="shared" si="182"/>
        <v>3701</v>
      </c>
      <c r="AG209" s="168">
        <f t="shared" si="183"/>
        <v>1934</v>
      </c>
      <c r="AH209" s="166">
        <f t="shared" si="198"/>
        <v>4788</v>
      </c>
      <c r="AI209" s="167">
        <f t="shared" si="184"/>
        <v>4127</v>
      </c>
      <c r="AJ209" s="168">
        <f t="shared" si="185"/>
        <v>2170</v>
      </c>
      <c r="AK209" s="169">
        <f t="shared" si="186"/>
        <v>5317</v>
      </c>
      <c r="AL209" s="167">
        <f t="shared" si="187"/>
        <v>4349</v>
      </c>
      <c r="AM209" s="585">
        <f t="shared" si="188"/>
        <v>2417</v>
      </c>
      <c r="AN209" s="596">
        <v>1.4E-2</v>
      </c>
      <c r="AO209" s="597">
        <v>1.7000000000000001E-2</v>
      </c>
      <c r="AP209" s="597">
        <v>0.02</v>
      </c>
      <c r="AQ209" s="598">
        <v>2.3E-2</v>
      </c>
      <c r="AR209" s="599">
        <v>2.5999999999999999E-2</v>
      </c>
      <c r="AS209" s="586"/>
      <c r="AT209" s="587"/>
      <c r="AU209" s="587"/>
      <c r="AV209" s="588"/>
      <c r="AW209" s="589"/>
      <c r="AX209" s="596">
        <v>0.02</v>
      </c>
      <c r="AY209" s="598">
        <v>2.5000000000000001E-2</v>
      </c>
      <c r="AZ209" s="598">
        <v>0.03</v>
      </c>
      <c r="BA209" s="598">
        <v>3.5000000000000003E-2</v>
      </c>
      <c r="BB209" s="598">
        <v>0.04</v>
      </c>
      <c r="BC209" s="590"/>
      <c r="BD209" s="631"/>
      <c r="BE209" s="596"/>
      <c r="BF209" s="598"/>
      <c r="BG209" s="598"/>
      <c r="BH209" s="598"/>
      <c r="BI209" s="598"/>
      <c r="BJ209" s="598"/>
      <c r="BK209" s="605"/>
      <c r="BL209" s="658">
        <f t="shared" si="199"/>
        <v>11850</v>
      </c>
      <c r="BM209" s="3">
        <f t="shared" si="200"/>
        <v>44</v>
      </c>
      <c r="BN209" s="3">
        <f t="shared" si="201"/>
        <v>36</v>
      </c>
      <c r="BO209" s="3">
        <f t="shared" si="202"/>
        <v>20</v>
      </c>
    </row>
    <row r="210" spans="2:67">
      <c r="B210" s="207" t="s">
        <v>526</v>
      </c>
      <c r="C210" s="890" t="s">
        <v>467</v>
      </c>
      <c r="D210" s="890" t="s">
        <v>23</v>
      </c>
      <c r="E210" s="238" t="s">
        <v>65</v>
      </c>
      <c r="F210" s="592">
        <v>207</v>
      </c>
      <c r="G210" s="593">
        <v>3197</v>
      </c>
      <c r="H210" s="594">
        <v>5924</v>
      </c>
      <c r="I210" s="595">
        <v>2724</v>
      </c>
      <c r="J210" s="166">
        <f t="shared" si="189"/>
        <v>63</v>
      </c>
      <c r="K210" s="167">
        <f t="shared" si="190"/>
        <v>118</v>
      </c>
      <c r="L210" s="168">
        <f t="shared" si="191"/>
        <v>54</v>
      </c>
      <c r="M210" s="166">
        <f t="shared" si="192"/>
        <v>119</v>
      </c>
      <c r="N210" s="167">
        <f t="shared" si="193"/>
        <v>222</v>
      </c>
      <c r="O210" s="168">
        <f t="shared" si="194"/>
        <v>102</v>
      </c>
      <c r="P210" s="169">
        <f t="shared" si="195"/>
        <v>159</v>
      </c>
      <c r="Q210" s="169">
        <f t="shared" si="196"/>
        <v>296</v>
      </c>
      <c r="R210" s="169">
        <f t="shared" si="197"/>
        <v>136</v>
      </c>
      <c r="S210" s="584">
        <f t="shared" si="169"/>
        <v>959</v>
      </c>
      <c r="T210" s="594">
        <f t="shared" si="170"/>
        <v>1777</v>
      </c>
      <c r="U210" s="595">
        <f t="shared" si="171"/>
        <v>817</v>
      </c>
      <c r="V210" s="166">
        <f t="shared" si="172"/>
        <v>1974</v>
      </c>
      <c r="W210" s="167">
        <f t="shared" si="173"/>
        <v>3671</v>
      </c>
      <c r="X210" s="168">
        <f t="shared" si="174"/>
        <v>1687</v>
      </c>
      <c r="Y210" s="166">
        <f t="shared" si="175"/>
        <v>2133</v>
      </c>
      <c r="Z210" s="167">
        <f t="shared" si="176"/>
        <v>3967</v>
      </c>
      <c r="AA210" s="168">
        <f t="shared" si="177"/>
        <v>1959</v>
      </c>
      <c r="AB210" s="166">
        <f t="shared" si="178"/>
        <v>2292</v>
      </c>
      <c r="AC210" s="167">
        <f t="shared" si="179"/>
        <v>4559</v>
      </c>
      <c r="AD210" s="168">
        <f t="shared" si="180"/>
        <v>2095</v>
      </c>
      <c r="AE210" s="166">
        <f t="shared" si="181"/>
        <v>2610</v>
      </c>
      <c r="AF210" s="167">
        <f t="shared" si="182"/>
        <v>5151</v>
      </c>
      <c r="AG210" s="168">
        <f t="shared" si="183"/>
        <v>2231</v>
      </c>
      <c r="AH210" s="166">
        <f t="shared" si="198"/>
        <v>2928</v>
      </c>
      <c r="AI210" s="167">
        <f t="shared" si="184"/>
        <v>5743</v>
      </c>
      <c r="AJ210" s="168">
        <f t="shared" si="185"/>
        <v>2503</v>
      </c>
      <c r="AK210" s="169">
        <f t="shared" si="186"/>
        <v>3260</v>
      </c>
      <c r="AL210" s="167">
        <f t="shared" si="187"/>
        <v>6042</v>
      </c>
      <c r="AM210" s="585">
        <f t="shared" si="188"/>
        <v>2778</v>
      </c>
      <c r="AN210" s="586">
        <v>150</v>
      </c>
      <c r="AO210" s="686">
        <v>200</v>
      </c>
      <c r="AP210" s="686">
        <v>250</v>
      </c>
      <c r="AQ210" s="587">
        <v>300</v>
      </c>
      <c r="AR210" s="687">
        <v>350</v>
      </c>
      <c r="AS210" s="586"/>
      <c r="AT210" s="587"/>
      <c r="AU210" s="587"/>
      <c r="AV210" s="588"/>
      <c r="AW210" s="589"/>
      <c r="AX210" s="596">
        <v>0.02</v>
      </c>
      <c r="AY210" s="598">
        <v>2.5000000000000001E-2</v>
      </c>
      <c r="AZ210" s="598">
        <v>0.03</v>
      </c>
      <c r="BA210" s="598">
        <v>3.5000000000000003E-2</v>
      </c>
      <c r="BB210" s="598">
        <v>0.04</v>
      </c>
      <c r="BC210" s="590"/>
      <c r="BD210" s="631"/>
      <c r="BE210" s="596"/>
      <c r="BF210" s="598"/>
      <c r="BG210" s="598"/>
      <c r="BH210" s="598"/>
      <c r="BI210" s="598"/>
      <c r="BJ210" s="598"/>
      <c r="BK210" s="605"/>
      <c r="BL210" s="658">
        <f t="shared" si="199"/>
        <v>11850</v>
      </c>
      <c r="BM210" s="3">
        <f t="shared" si="200"/>
        <v>27</v>
      </c>
      <c r="BN210" s="3">
        <f t="shared" si="201"/>
        <v>50</v>
      </c>
      <c r="BO210" s="3">
        <f t="shared" si="202"/>
        <v>23</v>
      </c>
    </row>
    <row r="211" spans="2:67">
      <c r="B211" s="207" t="s">
        <v>527</v>
      </c>
      <c r="C211" s="890" t="s">
        <v>467</v>
      </c>
      <c r="D211" s="890" t="s">
        <v>14</v>
      </c>
      <c r="E211" s="238" t="s">
        <v>65</v>
      </c>
      <c r="F211" s="592">
        <v>208</v>
      </c>
      <c r="G211" s="593">
        <v>4501</v>
      </c>
      <c r="H211" s="594">
        <v>2606</v>
      </c>
      <c r="I211" s="595">
        <v>4740</v>
      </c>
      <c r="J211" s="166">
        <f t="shared" si="189"/>
        <v>90</v>
      </c>
      <c r="K211" s="167">
        <f t="shared" si="190"/>
        <v>52</v>
      </c>
      <c r="L211" s="168">
        <f t="shared" si="191"/>
        <v>94</v>
      </c>
      <c r="M211" s="166">
        <f t="shared" si="192"/>
        <v>168</v>
      </c>
      <c r="N211" s="167">
        <f t="shared" si="193"/>
        <v>97</v>
      </c>
      <c r="O211" s="168">
        <f t="shared" si="194"/>
        <v>177</v>
      </c>
      <c r="P211" s="169">
        <f t="shared" si="195"/>
        <v>225</v>
      </c>
      <c r="Q211" s="169">
        <f t="shared" si="196"/>
        <v>130</v>
      </c>
      <c r="R211" s="169">
        <f t="shared" si="197"/>
        <v>237</v>
      </c>
      <c r="S211" s="584">
        <f t="shared" si="169"/>
        <v>1350</v>
      </c>
      <c r="T211" s="594">
        <f t="shared" si="170"/>
        <v>782</v>
      </c>
      <c r="U211" s="595">
        <f t="shared" si="171"/>
        <v>1422</v>
      </c>
      <c r="V211" s="166">
        <f t="shared" si="172"/>
        <v>2784</v>
      </c>
      <c r="W211" s="167">
        <f t="shared" si="173"/>
        <v>1610</v>
      </c>
      <c r="X211" s="168">
        <f t="shared" si="174"/>
        <v>2932</v>
      </c>
      <c r="Y211" s="166">
        <f t="shared" si="175"/>
        <v>3234</v>
      </c>
      <c r="Z211" s="167">
        <f t="shared" si="176"/>
        <v>1740</v>
      </c>
      <c r="AA211" s="168">
        <f t="shared" si="177"/>
        <v>3169</v>
      </c>
      <c r="AB211" s="166">
        <f t="shared" si="178"/>
        <v>3459</v>
      </c>
      <c r="AC211" s="167">
        <f t="shared" si="179"/>
        <v>1870</v>
      </c>
      <c r="AD211" s="168">
        <f t="shared" si="180"/>
        <v>3643</v>
      </c>
      <c r="AE211" s="166">
        <f t="shared" si="181"/>
        <v>3684</v>
      </c>
      <c r="AF211" s="167">
        <f t="shared" si="182"/>
        <v>2130</v>
      </c>
      <c r="AG211" s="168">
        <f t="shared" si="183"/>
        <v>4117</v>
      </c>
      <c r="AH211" s="166">
        <f t="shared" si="198"/>
        <v>4134</v>
      </c>
      <c r="AI211" s="167">
        <f t="shared" si="184"/>
        <v>2390</v>
      </c>
      <c r="AJ211" s="168">
        <f t="shared" si="185"/>
        <v>4591</v>
      </c>
      <c r="AK211" s="169">
        <f t="shared" si="186"/>
        <v>4591</v>
      </c>
      <c r="AL211" s="167">
        <f t="shared" si="187"/>
        <v>2658</v>
      </c>
      <c r="AM211" s="585">
        <f t="shared" si="188"/>
        <v>4834</v>
      </c>
      <c r="AN211" s="596">
        <v>0.03</v>
      </c>
      <c r="AO211" s="597">
        <v>3.3000000000000002E-2</v>
      </c>
      <c r="AP211" s="597">
        <v>3.5999999999999997E-2</v>
      </c>
      <c r="AQ211" s="598">
        <v>3.9E-2</v>
      </c>
      <c r="AR211" s="599">
        <v>4.2000000000000003E-2</v>
      </c>
      <c r="AS211" s="586"/>
      <c r="AT211" s="587"/>
      <c r="AU211" s="587"/>
      <c r="AV211" s="588"/>
      <c r="AW211" s="589"/>
      <c r="AX211" s="596">
        <v>0.02</v>
      </c>
      <c r="AY211" s="598">
        <v>2.5000000000000001E-2</v>
      </c>
      <c r="AZ211" s="598">
        <v>0.03</v>
      </c>
      <c r="BA211" s="598">
        <v>3.5000000000000003E-2</v>
      </c>
      <c r="BB211" s="598">
        <v>0.04</v>
      </c>
      <c r="BC211" s="590"/>
      <c r="BD211" s="631"/>
      <c r="BE211" s="596"/>
      <c r="BF211" s="598"/>
      <c r="BG211" s="598"/>
      <c r="BH211" s="598"/>
      <c r="BI211" s="598"/>
      <c r="BJ211" s="598"/>
      <c r="BK211" s="605"/>
      <c r="BL211" s="658">
        <f t="shared" si="199"/>
        <v>11850</v>
      </c>
      <c r="BM211" s="3">
        <f t="shared" si="200"/>
        <v>38</v>
      </c>
      <c r="BN211" s="3">
        <f t="shared" si="201"/>
        <v>22</v>
      </c>
      <c r="BO211" s="3">
        <f t="shared" si="202"/>
        <v>40</v>
      </c>
    </row>
    <row r="212" spans="2:67">
      <c r="B212" s="207" t="s">
        <v>528</v>
      </c>
      <c r="C212" s="890" t="s">
        <v>467</v>
      </c>
      <c r="D212" s="890" t="s">
        <v>23</v>
      </c>
      <c r="E212" s="238" t="s">
        <v>65</v>
      </c>
      <c r="F212" s="592">
        <v>209</v>
      </c>
      <c r="G212" s="593">
        <v>4383</v>
      </c>
      <c r="H212" s="594">
        <v>5804</v>
      </c>
      <c r="I212" s="595">
        <v>1657</v>
      </c>
      <c r="J212" s="166">
        <f t="shared" si="189"/>
        <v>87</v>
      </c>
      <c r="K212" s="167">
        <f t="shared" si="190"/>
        <v>116</v>
      </c>
      <c r="L212" s="168">
        <f t="shared" si="191"/>
        <v>33</v>
      </c>
      <c r="M212" s="166">
        <f t="shared" si="192"/>
        <v>164</v>
      </c>
      <c r="N212" s="167">
        <f t="shared" si="193"/>
        <v>217</v>
      </c>
      <c r="O212" s="168">
        <f t="shared" si="194"/>
        <v>62</v>
      </c>
      <c r="P212" s="169">
        <f t="shared" si="195"/>
        <v>219</v>
      </c>
      <c r="Q212" s="169">
        <f t="shared" si="196"/>
        <v>290</v>
      </c>
      <c r="R212" s="169">
        <f t="shared" si="197"/>
        <v>82</v>
      </c>
      <c r="S212" s="584">
        <f t="shared" si="169"/>
        <v>1315</v>
      </c>
      <c r="T212" s="594">
        <f t="shared" si="170"/>
        <v>1741</v>
      </c>
      <c r="U212" s="595">
        <f t="shared" si="171"/>
        <v>497</v>
      </c>
      <c r="V212" s="166">
        <f t="shared" si="172"/>
        <v>2714</v>
      </c>
      <c r="W212" s="167">
        <f t="shared" si="173"/>
        <v>3593</v>
      </c>
      <c r="X212" s="168">
        <f t="shared" si="174"/>
        <v>1026</v>
      </c>
      <c r="Y212" s="166">
        <f t="shared" si="175"/>
        <v>2933</v>
      </c>
      <c r="Z212" s="167">
        <f t="shared" si="176"/>
        <v>3883</v>
      </c>
      <c r="AA212" s="168">
        <f t="shared" si="177"/>
        <v>1190</v>
      </c>
      <c r="AB212" s="166">
        <f t="shared" si="178"/>
        <v>3152</v>
      </c>
      <c r="AC212" s="167">
        <f t="shared" si="179"/>
        <v>4463</v>
      </c>
      <c r="AD212" s="168">
        <f t="shared" si="180"/>
        <v>1272</v>
      </c>
      <c r="AE212" s="166">
        <f t="shared" si="181"/>
        <v>3590</v>
      </c>
      <c r="AF212" s="167">
        <f t="shared" si="182"/>
        <v>5043</v>
      </c>
      <c r="AG212" s="168">
        <f t="shared" si="183"/>
        <v>1354</v>
      </c>
      <c r="AH212" s="166">
        <f t="shared" si="198"/>
        <v>4028</v>
      </c>
      <c r="AI212" s="167">
        <f t="shared" si="184"/>
        <v>5623</v>
      </c>
      <c r="AJ212" s="168">
        <f t="shared" si="185"/>
        <v>1518</v>
      </c>
      <c r="AK212" s="169">
        <f t="shared" si="186"/>
        <v>4470</v>
      </c>
      <c r="AL212" s="167">
        <f t="shared" si="187"/>
        <v>5920</v>
      </c>
      <c r="AM212" s="585">
        <f t="shared" si="188"/>
        <v>1690</v>
      </c>
      <c r="AN212" s="586">
        <v>150</v>
      </c>
      <c r="AO212" s="686">
        <v>200</v>
      </c>
      <c r="AP212" s="686">
        <v>250</v>
      </c>
      <c r="AQ212" s="587">
        <v>300</v>
      </c>
      <c r="AR212" s="687">
        <v>350</v>
      </c>
      <c r="AS212" s="586"/>
      <c r="AT212" s="587"/>
      <c r="AU212" s="587"/>
      <c r="AV212" s="588"/>
      <c r="AW212" s="589"/>
      <c r="AX212" s="596">
        <v>0.02</v>
      </c>
      <c r="AY212" s="598">
        <v>2.5000000000000001E-2</v>
      </c>
      <c r="AZ212" s="598">
        <v>0.03</v>
      </c>
      <c r="BA212" s="598">
        <v>3.5000000000000003E-2</v>
      </c>
      <c r="BB212" s="598">
        <v>0.04</v>
      </c>
      <c r="BC212" s="590"/>
      <c r="BD212" s="631"/>
      <c r="BE212" s="596"/>
      <c r="BF212" s="598"/>
      <c r="BG212" s="598"/>
      <c r="BH212" s="598"/>
      <c r="BI212" s="598"/>
      <c r="BJ212" s="598"/>
      <c r="BK212" s="605"/>
      <c r="BL212" s="658">
        <f t="shared" si="199"/>
        <v>11850</v>
      </c>
      <c r="BM212" s="3">
        <f t="shared" si="200"/>
        <v>37</v>
      </c>
      <c r="BN212" s="3">
        <f t="shared" si="201"/>
        <v>49</v>
      </c>
      <c r="BO212" s="3">
        <f t="shared" si="202"/>
        <v>14</v>
      </c>
    </row>
    <row r="213" spans="2:67">
      <c r="B213" s="207" t="s">
        <v>529</v>
      </c>
      <c r="C213" s="890" t="s">
        <v>467</v>
      </c>
      <c r="D213" s="890" t="s">
        <v>13</v>
      </c>
      <c r="E213" s="238" t="s">
        <v>65</v>
      </c>
      <c r="F213" s="592">
        <v>210</v>
      </c>
      <c r="G213" s="593">
        <v>6043</v>
      </c>
      <c r="H213" s="594">
        <v>2843</v>
      </c>
      <c r="I213" s="595">
        <v>2961</v>
      </c>
      <c r="J213" s="166">
        <f t="shared" si="189"/>
        <v>120</v>
      </c>
      <c r="K213" s="167">
        <f t="shared" si="190"/>
        <v>56</v>
      </c>
      <c r="L213" s="168">
        <f t="shared" si="191"/>
        <v>59</v>
      </c>
      <c r="M213" s="166">
        <f t="shared" si="192"/>
        <v>226</v>
      </c>
      <c r="N213" s="167">
        <f t="shared" si="193"/>
        <v>106</v>
      </c>
      <c r="O213" s="168">
        <f t="shared" si="194"/>
        <v>111</v>
      </c>
      <c r="P213" s="169">
        <f t="shared" si="195"/>
        <v>302</v>
      </c>
      <c r="Q213" s="169">
        <f t="shared" si="196"/>
        <v>142</v>
      </c>
      <c r="R213" s="169">
        <f t="shared" si="197"/>
        <v>148</v>
      </c>
      <c r="S213" s="584">
        <f t="shared" si="169"/>
        <v>1813</v>
      </c>
      <c r="T213" s="594">
        <f t="shared" si="170"/>
        <v>853</v>
      </c>
      <c r="U213" s="595">
        <f t="shared" si="171"/>
        <v>888</v>
      </c>
      <c r="V213" s="166">
        <f t="shared" si="172"/>
        <v>3741</v>
      </c>
      <c r="W213" s="167">
        <f t="shared" si="173"/>
        <v>1757</v>
      </c>
      <c r="X213" s="168">
        <f t="shared" si="174"/>
        <v>1835</v>
      </c>
      <c r="Y213" s="166">
        <f t="shared" si="175"/>
        <v>4043</v>
      </c>
      <c r="Z213" s="167">
        <f t="shared" si="176"/>
        <v>2041</v>
      </c>
      <c r="AA213" s="168">
        <f t="shared" si="177"/>
        <v>1983</v>
      </c>
      <c r="AB213" s="166">
        <f t="shared" si="178"/>
        <v>4647</v>
      </c>
      <c r="AC213" s="167">
        <f t="shared" si="179"/>
        <v>2183</v>
      </c>
      <c r="AD213" s="168">
        <f t="shared" si="180"/>
        <v>2131</v>
      </c>
      <c r="AE213" s="166">
        <f t="shared" si="181"/>
        <v>5251</v>
      </c>
      <c r="AF213" s="167">
        <f t="shared" si="182"/>
        <v>2325</v>
      </c>
      <c r="AG213" s="168">
        <f t="shared" si="183"/>
        <v>2427</v>
      </c>
      <c r="AH213" s="166">
        <f t="shared" si="198"/>
        <v>5855</v>
      </c>
      <c r="AI213" s="167">
        <f t="shared" si="184"/>
        <v>2609</v>
      </c>
      <c r="AJ213" s="168">
        <f t="shared" si="185"/>
        <v>2723</v>
      </c>
      <c r="AK213" s="169">
        <f t="shared" si="186"/>
        <v>6163</v>
      </c>
      <c r="AL213" s="167">
        <f t="shared" si="187"/>
        <v>2899</v>
      </c>
      <c r="AM213" s="585">
        <f t="shared" si="188"/>
        <v>3020</v>
      </c>
      <c r="AN213" s="596">
        <v>1.4E-2</v>
      </c>
      <c r="AO213" s="597">
        <v>1.7000000000000001E-2</v>
      </c>
      <c r="AP213" s="597">
        <v>0.02</v>
      </c>
      <c r="AQ213" s="598">
        <v>2.3E-2</v>
      </c>
      <c r="AR213" s="599">
        <v>2.5999999999999999E-2</v>
      </c>
      <c r="AS213" s="586"/>
      <c r="AT213" s="587"/>
      <c r="AU213" s="587"/>
      <c r="AV213" s="588"/>
      <c r="AW213" s="589"/>
      <c r="AX213" s="596">
        <v>0.02</v>
      </c>
      <c r="AY213" s="598">
        <v>2.5000000000000001E-2</v>
      </c>
      <c r="AZ213" s="598">
        <v>0.03</v>
      </c>
      <c r="BA213" s="598">
        <v>3.5000000000000003E-2</v>
      </c>
      <c r="BB213" s="598">
        <v>0.04</v>
      </c>
      <c r="BC213" s="590"/>
      <c r="BD213" s="631"/>
      <c r="BE213" s="596"/>
      <c r="BF213" s="598"/>
      <c r="BG213" s="598"/>
      <c r="BH213" s="598"/>
      <c r="BI213" s="598"/>
      <c r="BJ213" s="598"/>
      <c r="BK213" s="605"/>
      <c r="BL213" s="658">
        <f t="shared" si="199"/>
        <v>11850</v>
      </c>
      <c r="BM213" s="3">
        <f t="shared" si="200"/>
        <v>51</v>
      </c>
      <c r="BN213" s="3">
        <f t="shared" si="201"/>
        <v>24</v>
      </c>
      <c r="BO213" s="3">
        <f t="shared" si="202"/>
        <v>25</v>
      </c>
    </row>
    <row r="214" spans="2:67">
      <c r="B214" s="207" t="s">
        <v>530</v>
      </c>
      <c r="C214" s="890" t="s">
        <v>467</v>
      </c>
      <c r="D214" s="890" t="s">
        <v>70</v>
      </c>
      <c r="E214" s="238" t="s">
        <v>65</v>
      </c>
      <c r="F214" s="592">
        <v>211</v>
      </c>
      <c r="G214" s="593">
        <v>4383</v>
      </c>
      <c r="H214" s="594">
        <v>2131</v>
      </c>
      <c r="I214" s="595">
        <v>5331</v>
      </c>
      <c r="J214" s="166">
        <f t="shared" si="189"/>
        <v>87</v>
      </c>
      <c r="K214" s="167">
        <f t="shared" si="190"/>
        <v>42</v>
      </c>
      <c r="L214" s="168">
        <f t="shared" si="191"/>
        <v>106</v>
      </c>
      <c r="M214" s="166">
        <f t="shared" si="192"/>
        <v>164</v>
      </c>
      <c r="N214" s="167">
        <f t="shared" si="193"/>
        <v>79</v>
      </c>
      <c r="O214" s="168">
        <f t="shared" si="194"/>
        <v>199</v>
      </c>
      <c r="P214" s="169">
        <f t="shared" si="195"/>
        <v>219</v>
      </c>
      <c r="Q214" s="169">
        <f t="shared" si="196"/>
        <v>106</v>
      </c>
      <c r="R214" s="169">
        <f t="shared" si="197"/>
        <v>266</v>
      </c>
      <c r="S214" s="584">
        <f t="shared" si="169"/>
        <v>1315</v>
      </c>
      <c r="T214" s="594">
        <f t="shared" si="170"/>
        <v>639</v>
      </c>
      <c r="U214" s="595">
        <f t="shared" si="171"/>
        <v>1599</v>
      </c>
      <c r="V214" s="166">
        <f t="shared" si="172"/>
        <v>2714</v>
      </c>
      <c r="W214" s="167">
        <f t="shared" si="173"/>
        <v>1313</v>
      </c>
      <c r="X214" s="168">
        <f t="shared" si="174"/>
        <v>3297</v>
      </c>
      <c r="Y214" s="166">
        <f t="shared" si="175"/>
        <v>3152</v>
      </c>
      <c r="Z214" s="167">
        <f t="shared" si="176"/>
        <v>1419</v>
      </c>
      <c r="AA214" s="168">
        <f t="shared" si="177"/>
        <v>3563</v>
      </c>
      <c r="AB214" s="166">
        <f t="shared" si="178"/>
        <v>3371</v>
      </c>
      <c r="AC214" s="167">
        <f t="shared" si="179"/>
        <v>1631</v>
      </c>
      <c r="AD214" s="168">
        <f t="shared" si="180"/>
        <v>3829</v>
      </c>
      <c r="AE214" s="166">
        <f t="shared" si="181"/>
        <v>3590</v>
      </c>
      <c r="AF214" s="167">
        <f t="shared" si="182"/>
        <v>1843</v>
      </c>
      <c r="AG214" s="168">
        <f t="shared" si="183"/>
        <v>4361</v>
      </c>
      <c r="AH214" s="166">
        <f t="shared" si="198"/>
        <v>4028</v>
      </c>
      <c r="AI214" s="167">
        <f t="shared" si="184"/>
        <v>2055</v>
      </c>
      <c r="AJ214" s="168">
        <f t="shared" si="185"/>
        <v>4893</v>
      </c>
      <c r="AK214" s="169">
        <f t="shared" si="186"/>
        <v>4470</v>
      </c>
      <c r="AL214" s="167">
        <f t="shared" si="187"/>
        <v>2173</v>
      </c>
      <c r="AM214" s="585">
        <f t="shared" si="188"/>
        <v>5437</v>
      </c>
      <c r="AN214" s="596">
        <v>0.03</v>
      </c>
      <c r="AO214" s="597">
        <v>3.3000000000000002E-2</v>
      </c>
      <c r="AP214" s="597">
        <v>3.5999999999999997E-2</v>
      </c>
      <c r="AQ214" s="598">
        <v>3.9E-2</v>
      </c>
      <c r="AR214" s="599">
        <v>4.2000000000000003E-2</v>
      </c>
      <c r="AS214" s="586"/>
      <c r="AT214" s="587"/>
      <c r="AU214" s="587"/>
      <c r="AV214" s="588"/>
      <c r="AW214" s="589"/>
      <c r="AX214" s="596">
        <v>0.02</v>
      </c>
      <c r="AY214" s="598">
        <v>2.5000000000000001E-2</v>
      </c>
      <c r="AZ214" s="598">
        <v>0.03</v>
      </c>
      <c r="BA214" s="598">
        <v>3.5000000000000003E-2</v>
      </c>
      <c r="BB214" s="598">
        <v>0.04</v>
      </c>
      <c r="BC214" s="590"/>
      <c r="BD214" s="631"/>
      <c r="BE214" s="596"/>
      <c r="BF214" s="598"/>
      <c r="BG214" s="598"/>
      <c r="BH214" s="598"/>
      <c r="BI214" s="598"/>
      <c r="BJ214" s="598"/>
      <c r="BK214" s="605"/>
      <c r="BL214" s="658">
        <f t="shared" si="199"/>
        <v>11850</v>
      </c>
      <c r="BM214" s="3">
        <f t="shared" si="200"/>
        <v>37</v>
      </c>
      <c r="BN214" s="3">
        <f t="shared" si="201"/>
        <v>18</v>
      </c>
      <c r="BO214" s="3">
        <f t="shared" si="202"/>
        <v>45</v>
      </c>
    </row>
    <row r="215" spans="2:67">
      <c r="B215" s="1269" t="s">
        <v>77</v>
      </c>
      <c r="C215" s="1265" t="s">
        <v>309</v>
      </c>
      <c r="D215" s="1265" t="s">
        <v>13</v>
      </c>
      <c r="E215" s="1267" t="s">
        <v>65</v>
      </c>
      <c r="F215" s="1270">
        <v>212</v>
      </c>
      <c r="G215" s="593">
        <v>11000</v>
      </c>
      <c r="H215" s="594">
        <v>7700</v>
      </c>
      <c r="I215" s="595">
        <v>8800</v>
      </c>
      <c r="J215" s="166">
        <f t="shared" si="189"/>
        <v>220</v>
      </c>
      <c r="K215" s="167">
        <f t="shared" si="190"/>
        <v>154</v>
      </c>
      <c r="L215" s="168">
        <f t="shared" si="191"/>
        <v>176</v>
      </c>
      <c r="M215" s="166">
        <f t="shared" si="192"/>
        <v>275</v>
      </c>
      <c r="N215" s="167">
        <f t="shared" si="193"/>
        <v>192</v>
      </c>
      <c r="O215" s="168">
        <f t="shared" si="194"/>
        <v>220</v>
      </c>
      <c r="P215" s="169">
        <f t="shared" si="195"/>
        <v>412</v>
      </c>
      <c r="Q215" s="169">
        <f t="shared" si="196"/>
        <v>288</v>
      </c>
      <c r="R215" s="169">
        <f t="shared" si="197"/>
        <v>330</v>
      </c>
      <c r="S215" s="584">
        <f t="shared" si="169"/>
        <v>2750</v>
      </c>
      <c r="T215" s="594">
        <f t="shared" si="170"/>
        <v>1925</v>
      </c>
      <c r="U215" s="595">
        <f t="shared" si="171"/>
        <v>2200</v>
      </c>
      <c r="V215" s="166">
        <f t="shared" si="172"/>
        <v>6270</v>
      </c>
      <c r="W215" s="167">
        <f t="shared" si="173"/>
        <v>4383</v>
      </c>
      <c r="X215" s="168">
        <f t="shared" si="174"/>
        <v>5016</v>
      </c>
      <c r="Y215" s="166">
        <f t="shared" si="175"/>
        <v>7094</v>
      </c>
      <c r="Z215" s="167">
        <f t="shared" si="176"/>
        <v>4671</v>
      </c>
      <c r="AA215" s="168">
        <f t="shared" si="177"/>
        <v>6006</v>
      </c>
      <c r="AB215" s="166">
        <f t="shared" si="178"/>
        <v>8330</v>
      </c>
      <c r="AC215" s="167">
        <f t="shared" si="179"/>
        <v>5535</v>
      </c>
      <c r="AD215" s="168">
        <f t="shared" si="180"/>
        <v>6336</v>
      </c>
      <c r="AE215" s="166">
        <f t="shared" si="181"/>
        <v>9154</v>
      </c>
      <c r="AF215" s="167">
        <f t="shared" si="182"/>
        <v>6687</v>
      </c>
      <c r="AG215" s="168">
        <f t="shared" si="183"/>
        <v>6996</v>
      </c>
      <c r="AH215" s="166">
        <f t="shared" si="198"/>
        <v>9978</v>
      </c>
      <c r="AI215" s="167">
        <f t="shared" si="184"/>
        <v>7263</v>
      </c>
      <c r="AJ215" s="168">
        <f t="shared" si="185"/>
        <v>8316</v>
      </c>
      <c r="AK215" s="169">
        <f t="shared" si="186"/>
        <v>11220</v>
      </c>
      <c r="AL215" s="167">
        <f t="shared" si="187"/>
        <v>7854</v>
      </c>
      <c r="AM215" s="585">
        <f t="shared" si="188"/>
        <v>8976</v>
      </c>
      <c r="AN215" s="596">
        <v>0.25</v>
      </c>
      <c r="AO215" s="597">
        <v>0.28000000000000003</v>
      </c>
      <c r="AP215" s="597">
        <v>0.31</v>
      </c>
      <c r="AQ215" s="598">
        <v>0.34</v>
      </c>
      <c r="AR215" s="599">
        <v>0.37</v>
      </c>
      <c r="AS215" s="586"/>
      <c r="AT215" s="587"/>
      <c r="AU215" s="587"/>
      <c r="AV215" s="588"/>
      <c r="AW215" s="589"/>
      <c r="AX215" s="596">
        <v>0.04</v>
      </c>
      <c r="AY215" s="598">
        <v>4.2999999999999997E-2</v>
      </c>
      <c r="AZ215" s="598">
        <v>4.5999999999999999E-2</v>
      </c>
      <c r="BA215" s="598">
        <v>4.9000000000000002E-2</v>
      </c>
      <c r="BB215" s="598">
        <v>5.1999999999999998E-2</v>
      </c>
      <c r="BC215" s="590"/>
      <c r="BD215" s="631"/>
      <c r="BE215" s="596"/>
      <c r="BF215" s="598"/>
      <c r="BG215" s="598"/>
      <c r="BH215" s="598"/>
      <c r="BI215" s="598"/>
      <c r="BJ215" s="598"/>
      <c r="BK215" s="605"/>
      <c r="BL215" s="658">
        <f t="shared" si="199"/>
        <v>27500</v>
      </c>
      <c r="BM215" s="3">
        <f t="shared" si="200"/>
        <v>40</v>
      </c>
      <c r="BN215" s="3">
        <f t="shared" si="201"/>
        <v>28</v>
      </c>
      <c r="BO215" s="3">
        <f t="shared" si="202"/>
        <v>32</v>
      </c>
    </row>
    <row r="216" spans="2:67">
      <c r="B216" s="207" t="s">
        <v>459</v>
      </c>
      <c r="C216" s="875" t="s">
        <v>357</v>
      </c>
      <c r="D216" s="875" t="s">
        <v>70</v>
      </c>
      <c r="E216" s="238" t="s">
        <v>65</v>
      </c>
      <c r="F216" s="592">
        <v>213</v>
      </c>
      <c r="G216" s="593">
        <v>5407</v>
      </c>
      <c r="H216" s="594">
        <v>4730</v>
      </c>
      <c r="I216" s="595">
        <v>6760</v>
      </c>
      <c r="J216" s="166">
        <f t="shared" si="189"/>
        <v>108</v>
      </c>
      <c r="K216" s="167">
        <f t="shared" si="190"/>
        <v>94</v>
      </c>
      <c r="L216" s="168">
        <f t="shared" si="191"/>
        <v>135</v>
      </c>
      <c r="M216" s="166">
        <f t="shared" si="192"/>
        <v>162</v>
      </c>
      <c r="N216" s="167">
        <f t="shared" si="193"/>
        <v>141</v>
      </c>
      <c r="O216" s="168">
        <f t="shared" si="194"/>
        <v>202</v>
      </c>
      <c r="P216" s="169">
        <f t="shared" si="195"/>
        <v>216</v>
      </c>
      <c r="Q216" s="169">
        <f t="shared" si="196"/>
        <v>189</v>
      </c>
      <c r="R216" s="169">
        <f t="shared" si="197"/>
        <v>270</v>
      </c>
      <c r="S216" s="584">
        <f t="shared" si="169"/>
        <v>1622</v>
      </c>
      <c r="T216" s="594">
        <f t="shared" si="170"/>
        <v>1419</v>
      </c>
      <c r="U216" s="595">
        <f t="shared" si="171"/>
        <v>2028</v>
      </c>
      <c r="V216" s="166">
        <f t="shared" si="172"/>
        <v>3350</v>
      </c>
      <c r="W216" s="167">
        <f t="shared" si="173"/>
        <v>2923</v>
      </c>
      <c r="X216" s="168">
        <f t="shared" si="174"/>
        <v>4183</v>
      </c>
      <c r="Y216" s="166">
        <f t="shared" si="175"/>
        <v>3782</v>
      </c>
      <c r="Z216" s="167">
        <f t="shared" si="176"/>
        <v>3301</v>
      </c>
      <c r="AA216" s="168">
        <f t="shared" si="177"/>
        <v>4723</v>
      </c>
      <c r="AB216" s="166">
        <f t="shared" si="178"/>
        <v>4214</v>
      </c>
      <c r="AC216" s="167">
        <f t="shared" si="179"/>
        <v>3679</v>
      </c>
      <c r="AD216" s="168">
        <f t="shared" si="180"/>
        <v>5263</v>
      </c>
      <c r="AE216" s="166">
        <f t="shared" si="181"/>
        <v>4646</v>
      </c>
      <c r="AF216" s="167">
        <f t="shared" si="182"/>
        <v>3868</v>
      </c>
      <c r="AG216" s="168">
        <f t="shared" si="183"/>
        <v>5803</v>
      </c>
      <c r="AH216" s="166">
        <f t="shared" si="198"/>
        <v>4862</v>
      </c>
      <c r="AI216" s="167">
        <f t="shared" si="184"/>
        <v>4246</v>
      </c>
      <c r="AJ216" s="168">
        <f t="shared" si="185"/>
        <v>6613</v>
      </c>
      <c r="AK216" s="169">
        <f t="shared" si="186"/>
        <v>5515</v>
      </c>
      <c r="AL216" s="167">
        <f t="shared" si="187"/>
        <v>4824</v>
      </c>
      <c r="AM216" s="585">
        <f t="shared" si="188"/>
        <v>6895</v>
      </c>
      <c r="AN216" s="596">
        <v>0.05</v>
      </c>
      <c r="AO216" s="597">
        <v>5.5E-2</v>
      </c>
      <c r="AP216" s="597">
        <v>0.06</v>
      </c>
      <c r="AQ216" s="598">
        <v>6.5000000000000002E-2</v>
      </c>
      <c r="AR216" s="599">
        <v>7.0000000000000007E-2</v>
      </c>
      <c r="AS216" s="586"/>
      <c r="AT216" s="587"/>
      <c r="AU216" s="587"/>
      <c r="AV216" s="588"/>
      <c r="AW216" s="589"/>
      <c r="AX216" s="596">
        <v>0.03</v>
      </c>
      <c r="AY216" s="598">
        <v>3.5000000000000003E-2</v>
      </c>
      <c r="AZ216" s="598">
        <v>0.04</v>
      </c>
      <c r="BA216" s="598">
        <v>4.4999999999999998E-2</v>
      </c>
      <c r="BB216" s="598">
        <v>0.05</v>
      </c>
      <c r="BC216" s="590"/>
      <c r="BD216" s="631"/>
      <c r="BE216" s="596"/>
      <c r="BF216" s="598"/>
      <c r="BG216" s="598"/>
      <c r="BH216" s="598"/>
      <c r="BI216" s="598"/>
      <c r="BJ216" s="598"/>
      <c r="BK216" s="605"/>
      <c r="BL216" s="658">
        <f t="shared" si="199"/>
        <v>16900</v>
      </c>
      <c r="BM216" s="3">
        <f t="shared" si="200"/>
        <v>32</v>
      </c>
      <c r="BN216" s="3">
        <f t="shared" si="201"/>
        <v>28</v>
      </c>
      <c r="BO216" s="3">
        <f t="shared" si="202"/>
        <v>40</v>
      </c>
    </row>
    <row r="217" spans="2:67">
      <c r="B217" s="1269" t="s">
        <v>122</v>
      </c>
      <c r="C217" s="1265" t="s">
        <v>309</v>
      </c>
      <c r="D217" s="1265" t="s">
        <v>23</v>
      </c>
      <c r="E217" s="1267" t="s">
        <v>125</v>
      </c>
      <c r="F217" s="1270">
        <v>214</v>
      </c>
      <c r="G217" s="593">
        <v>4949</v>
      </c>
      <c r="H217" s="594">
        <v>10124</v>
      </c>
      <c r="I217" s="595">
        <v>7424</v>
      </c>
      <c r="J217" s="166">
        <f t="shared" si="189"/>
        <v>99</v>
      </c>
      <c r="K217" s="167">
        <f t="shared" si="190"/>
        <v>202</v>
      </c>
      <c r="L217" s="168">
        <f t="shared" si="191"/>
        <v>148</v>
      </c>
      <c r="M217" s="166">
        <f t="shared" si="192"/>
        <v>123</v>
      </c>
      <c r="N217" s="167">
        <f t="shared" si="193"/>
        <v>253</v>
      </c>
      <c r="O217" s="168">
        <f t="shared" si="194"/>
        <v>185</v>
      </c>
      <c r="P217" s="169">
        <f t="shared" si="195"/>
        <v>185</v>
      </c>
      <c r="Q217" s="169">
        <f t="shared" si="196"/>
        <v>379</v>
      </c>
      <c r="R217" s="169">
        <f t="shared" si="197"/>
        <v>278</v>
      </c>
      <c r="S217" s="584">
        <f t="shared" si="169"/>
        <v>1237</v>
      </c>
      <c r="T217" s="594">
        <f t="shared" si="170"/>
        <v>2531</v>
      </c>
      <c r="U217" s="595">
        <f t="shared" si="171"/>
        <v>1856</v>
      </c>
      <c r="V217" s="166">
        <f t="shared" si="172"/>
        <v>2812</v>
      </c>
      <c r="W217" s="167">
        <f t="shared" si="173"/>
        <v>5769</v>
      </c>
      <c r="X217" s="168">
        <f t="shared" si="174"/>
        <v>4224</v>
      </c>
      <c r="Y217" s="166">
        <f t="shared" si="175"/>
        <v>3367</v>
      </c>
      <c r="Z217" s="167">
        <f t="shared" si="176"/>
        <v>6527</v>
      </c>
      <c r="AA217" s="168">
        <f t="shared" si="177"/>
        <v>4502</v>
      </c>
      <c r="AB217" s="166">
        <f t="shared" si="178"/>
        <v>3552</v>
      </c>
      <c r="AC217" s="167">
        <f t="shared" si="179"/>
        <v>7664</v>
      </c>
      <c r="AD217" s="168">
        <f t="shared" si="180"/>
        <v>5336</v>
      </c>
      <c r="AE217" s="166">
        <f t="shared" si="181"/>
        <v>3922</v>
      </c>
      <c r="AF217" s="167">
        <f t="shared" si="182"/>
        <v>8422</v>
      </c>
      <c r="AG217" s="168">
        <f t="shared" si="183"/>
        <v>6448</v>
      </c>
      <c r="AH217" s="166">
        <f t="shared" si="198"/>
        <v>4662</v>
      </c>
      <c r="AI217" s="167">
        <f t="shared" si="184"/>
        <v>9180</v>
      </c>
      <c r="AJ217" s="168">
        <f t="shared" si="185"/>
        <v>7004</v>
      </c>
      <c r="AK217" s="169">
        <f t="shared" si="186"/>
        <v>5048</v>
      </c>
      <c r="AL217" s="167">
        <f t="shared" si="187"/>
        <v>10326</v>
      </c>
      <c r="AM217" s="585">
        <f t="shared" si="188"/>
        <v>7572</v>
      </c>
      <c r="AN217" s="596">
        <v>0.18</v>
      </c>
      <c r="AO217" s="597">
        <v>0.21</v>
      </c>
      <c r="AP217" s="597">
        <v>0.23</v>
      </c>
      <c r="AQ217" s="598">
        <v>0.26</v>
      </c>
      <c r="AR217" s="599">
        <v>0.28999999999999998</v>
      </c>
      <c r="AS217" s="586"/>
      <c r="AT217" s="587"/>
      <c r="AU217" s="587"/>
      <c r="AV217" s="588"/>
      <c r="AW217" s="589"/>
      <c r="AX217" s="596">
        <v>0.04</v>
      </c>
      <c r="AY217" s="598">
        <v>4.2999999999999997E-2</v>
      </c>
      <c r="AZ217" s="598">
        <v>4.5999999999999999E-2</v>
      </c>
      <c r="BA217" s="598">
        <v>4.9000000000000002E-2</v>
      </c>
      <c r="BB217" s="598">
        <v>5.1999999999999998E-2</v>
      </c>
      <c r="BC217" s="590"/>
      <c r="BD217" s="631"/>
      <c r="BE217" s="596"/>
      <c r="BF217" s="598"/>
      <c r="BG217" s="598"/>
      <c r="BH217" s="598"/>
      <c r="BI217" s="598"/>
      <c r="BJ217" s="598"/>
      <c r="BK217" s="605"/>
      <c r="BL217" s="658">
        <f t="shared" si="199"/>
        <v>22500</v>
      </c>
      <c r="BM217" s="3">
        <f t="shared" si="200"/>
        <v>22</v>
      </c>
      <c r="BN217" s="3">
        <f t="shared" si="201"/>
        <v>45</v>
      </c>
      <c r="BO217" s="3">
        <f t="shared" si="202"/>
        <v>33</v>
      </c>
    </row>
    <row r="218" spans="2:67">
      <c r="B218" s="1269" t="s">
        <v>85</v>
      </c>
      <c r="C218" s="1265" t="s">
        <v>309</v>
      </c>
      <c r="D218" s="1265" t="s">
        <v>70</v>
      </c>
      <c r="E218" s="1267" t="s">
        <v>65</v>
      </c>
      <c r="F218" s="1270">
        <v>215</v>
      </c>
      <c r="G218" s="593">
        <v>8640</v>
      </c>
      <c r="H218" s="594">
        <v>7560</v>
      </c>
      <c r="I218" s="595">
        <v>10800</v>
      </c>
      <c r="J218" s="166">
        <f t="shared" si="189"/>
        <v>172</v>
      </c>
      <c r="K218" s="167">
        <f t="shared" si="190"/>
        <v>151</v>
      </c>
      <c r="L218" s="168">
        <f t="shared" si="191"/>
        <v>216</v>
      </c>
      <c r="M218" s="166">
        <f t="shared" si="192"/>
        <v>216</v>
      </c>
      <c r="N218" s="167">
        <f t="shared" si="193"/>
        <v>189</v>
      </c>
      <c r="O218" s="168">
        <f t="shared" si="194"/>
        <v>270</v>
      </c>
      <c r="P218" s="169">
        <f t="shared" si="195"/>
        <v>324</v>
      </c>
      <c r="Q218" s="169">
        <f t="shared" si="196"/>
        <v>283</v>
      </c>
      <c r="R218" s="169">
        <f t="shared" si="197"/>
        <v>405</v>
      </c>
      <c r="S218" s="584">
        <f t="shared" si="169"/>
        <v>2160</v>
      </c>
      <c r="T218" s="594">
        <f t="shared" si="170"/>
        <v>1890</v>
      </c>
      <c r="U218" s="595">
        <f t="shared" si="171"/>
        <v>2700</v>
      </c>
      <c r="V218" s="166">
        <f t="shared" si="172"/>
        <v>4924</v>
      </c>
      <c r="W218" s="167">
        <f t="shared" si="173"/>
        <v>4309</v>
      </c>
      <c r="X218" s="168">
        <f t="shared" si="174"/>
        <v>6156</v>
      </c>
      <c r="Y218" s="166">
        <f t="shared" si="175"/>
        <v>5248</v>
      </c>
      <c r="Z218" s="167">
        <f t="shared" si="176"/>
        <v>4875</v>
      </c>
      <c r="AA218" s="168">
        <f t="shared" si="177"/>
        <v>7371</v>
      </c>
      <c r="AB218" s="166">
        <f t="shared" si="178"/>
        <v>6220</v>
      </c>
      <c r="AC218" s="167">
        <f t="shared" si="179"/>
        <v>5724</v>
      </c>
      <c r="AD218" s="168">
        <f t="shared" si="180"/>
        <v>7776</v>
      </c>
      <c r="AE218" s="166">
        <f t="shared" si="181"/>
        <v>7516</v>
      </c>
      <c r="AF218" s="167">
        <f t="shared" si="182"/>
        <v>6290</v>
      </c>
      <c r="AG218" s="168">
        <f t="shared" si="183"/>
        <v>8586</v>
      </c>
      <c r="AH218" s="166">
        <f t="shared" si="198"/>
        <v>8164</v>
      </c>
      <c r="AI218" s="167">
        <f t="shared" si="184"/>
        <v>6856</v>
      </c>
      <c r="AJ218" s="168">
        <f t="shared" si="185"/>
        <v>10206</v>
      </c>
      <c r="AK218" s="169">
        <f t="shared" si="186"/>
        <v>8812</v>
      </c>
      <c r="AL218" s="167">
        <f t="shared" si="187"/>
        <v>7711</v>
      </c>
      <c r="AM218" s="585">
        <f t="shared" si="188"/>
        <v>11016</v>
      </c>
      <c r="AN218" s="596">
        <v>0.08</v>
      </c>
      <c r="AO218" s="597">
        <v>8.5000000000000006E-2</v>
      </c>
      <c r="AP218" s="597">
        <v>0.09</v>
      </c>
      <c r="AQ218" s="598">
        <v>9.5000000000000001E-2</v>
      </c>
      <c r="AR218" s="599">
        <v>0.1</v>
      </c>
      <c r="AS218" s="586"/>
      <c r="AT218" s="587"/>
      <c r="AU218" s="587"/>
      <c r="AV218" s="588"/>
      <c r="AW218" s="589"/>
      <c r="AX218" s="596">
        <v>0.05</v>
      </c>
      <c r="AY218" s="598">
        <v>5.5E-2</v>
      </c>
      <c r="AZ218" s="598">
        <v>0.06</v>
      </c>
      <c r="BA218" s="598">
        <v>6.5000000000000002E-2</v>
      </c>
      <c r="BB218" s="598">
        <v>7.0000000000000007E-2</v>
      </c>
      <c r="BC218" s="590"/>
      <c r="BD218" s="631"/>
      <c r="BE218" s="596"/>
      <c r="BF218" s="598"/>
      <c r="BG218" s="598"/>
      <c r="BH218" s="598"/>
      <c r="BI218" s="598"/>
      <c r="BJ218" s="598"/>
      <c r="BK218" s="605"/>
      <c r="BL218" s="658">
        <f t="shared" si="199"/>
        <v>27000</v>
      </c>
      <c r="BM218" s="3">
        <f t="shared" si="200"/>
        <v>32</v>
      </c>
      <c r="BN218" s="3">
        <f t="shared" si="201"/>
        <v>28</v>
      </c>
      <c r="BO218" s="3">
        <f t="shared" si="202"/>
        <v>40</v>
      </c>
    </row>
    <row r="219" spans="2:67">
      <c r="B219" s="207" t="s">
        <v>415</v>
      </c>
      <c r="C219" s="883" t="s">
        <v>357</v>
      </c>
      <c r="D219" s="883" t="s">
        <v>360</v>
      </c>
      <c r="E219" s="238" t="s">
        <v>125</v>
      </c>
      <c r="F219" s="592">
        <v>216</v>
      </c>
      <c r="G219" s="593">
        <v>3196</v>
      </c>
      <c r="H219" s="594">
        <v>4864</v>
      </c>
      <c r="I219" s="595">
        <v>5837</v>
      </c>
      <c r="J219" s="166">
        <f t="shared" si="189"/>
        <v>63</v>
      </c>
      <c r="K219" s="167">
        <f t="shared" si="190"/>
        <v>97</v>
      </c>
      <c r="L219" s="168">
        <f t="shared" si="191"/>
        <v>116</v>
      </c>
      <c r="M219" s="166">
        <f t="shared" si="192"/>
        <v>95</v>
      </c>
      <c r="N219" s="167">
        <f t="shared" si="193"/>
        <v>145</v>
      </c>
      <c r="O219" s="168">
        <f t="shared" si="194"/>
        <v>175</v>
      </c>
      <c r="P219" s="169">
        <f t="shared" si="195"/>
        <v>127</v>
      </c>
      <c r="Q219" s="169">
        <f t="shared" si="196"/>
        <v>194</v>
      </c>
      <c r="R219" s="169">
        <f t="shared" si="197"/>
        <v>233</v>
      </c>
      <c r="S219" s="584">
        <f t="shared" si="169"/>
        <v>959</v>
      </c>
      <c r="T219" s="594">
        <f t="shared" si="170"/>
        <v>1459</v>
      </c>
      <c r="U219" s="595">
        <f t="shared" si="171"/>
        <v>1751</v>
      </c>
      <c r="V219" s="166">
        <f t="shared" si="172"/>
        <v>1972</v>
      </c>
      <c r="W219" s="167">
        <f t="shared" si="173"/>
        <v>3006</v>
      </c>
      <c r="X219" s="168">
        <f t="shared" si="174"/>
        <v>3617</v>
      </c>
      <c r="Y219" s="166">
        <f t="shared" si="175"/>
        <v>2226</v>
      </c>
      <c r="Z219" s="167">
        <f t="shared" si="176"/>
        <v>3394</v>
      </c>
      <c r="AA219" s="168">
        <f t="shared" si="177"/>
        <v>4083</v>
      </c>
      <c r="AB219" s="166">
        <f t="shared" si="178"/>
        <v>2480</v>
      </c>
      <c r="AC219" s="167">
        <f t="shared" si="179"/>
        <v>3782</v>
      </c>
      <c r="AD219" s="168">
        <f t="shared" si="180"/>
        <v>4549</v>
      </c>
      <c r="AE219" s="166">
        <f t="shared" si="181"/>
        <v>2734</v>
      </c>
      <c r="AF219" s="167">
        <f t="shared" si="182"/>
        <v>4170</v>
      </c>
      <c r="AG219" s="168">
        <f t="shared" si="183"/>
        <v>4782</v>
      </c>
      <c r="AH219" s="166">
        <f t="shared" si="198"/>
        <v>2861</v>
      </c>
      <c r="AI219" s="167">
        <f t="shared" si="184"/>
        <v>4752</v>
      </c>
      <c r="AJ219" s="168">
        <f t="shared" si="185"/>
        <v>5248</v>
      </c>
      <c r="AK219" s="169">
        <f t="shared" si="186"/>
        <v>3259</v>
      </c>
      <c r="AL219" s="167">
        <f t="shared" si="187"/>
        <v>4961</v>
      </c>
      <c r="AM219" s="585">
        <f t="shared" si="188"/>
        <v>5953</v>
      </c>
      <c r="AN219" s="596">
        <v>0.03</v>
      </c>
      <c r="AO219" s="597">
        <v>3.3000000000000002E-2</v>
      </c>
      <c r="AP219" s="597">
        <v>3.5999999999999997E-2</v>
      </c>
      <c r="AQ219" s="598">
        <v>3.9E-2</v>
      </c>
      <c r="AR219" s="599">
        <v>4.2000000000000003E-2</v>
      </c>
      <c r="AS219" s="586"/>
      <c r="AT219" s="587"/>
      <c r="AU219" s="587"/>
      <c r="AV219" s="588"/>
      <c r="AW219" s="589"/>
      <c r="AX219" s="596">
        <v>0.02</v>
      </c>
      <c r="AY219" s="598">
        <v>2.3E-2</v>
      </c>
      <c r="AZ219" s="598">
        <v>2.5999999999999999E-2</v>
      </c>
      <c r="BA219" s="598">
        <v>2.9000000000000001E-2</v>
      </c>
      <c r="BB219" s="598">
        <v>3.2000000000000001E-2</v>
      </c>
      <c r="BC219" s="590"/>
      <c r="BD219" s="631"/>
      <c r="BE219" s="596"/>
      <c r="BF219" s="598"/>
      <c r="BG219" s="598"/>
      <c r="BH219" s="598"/>
      <c r="BI219" s="598"/>
      <c r="BJ219" s="598"/>
      <c r="BK219" s="605"/>
      <c r="BL219" s="658">
        <f t="shared" si="199"/>
        <v>13900</v>
      </c>
      <c r="BM219" s="3">
        <f t="shared" si="200"/>
        <v>23</v>
      </c>
      <c r="BN219" s="3">
        <f t="shared" si="201"/>
        <v>35</v>
      </c>
      <c r="BO219" s="3">
        <f t="shared" si="202"/>
        <v>42</v>
      </c>
    </row>
    <row r="220" spans="2:67">
      <c r="B220" s="207" t="s">
        <v>379</v>
      </c>
      <c r="C220" s="890" t="s">
        <v>357</v>
      </c>
      <c r="D220" s="890" t="s">
        <v>358</v>
      </c>
      <c r="E220" s="238" t="s">
        <v>125</v>
      </c>
      <c r="F220" s="592">
        <v>217</v>
      </c>
      <c r="G220" s="593">
        <v>5976</v>
      </c>
      <c r="H220" s="594">
        <v>3057</v>
      </c>
      <c r="I220" s="595">
        <v>4864</v>
      </c>
      <c r="J220" s="166">
        <f t="shared" si="189"/>
        <v>119</v>
      </c>
      <c r="K220" s="167">
        <f t="shared" si="190"/>
        <v>61</v>
      </c>
      <c r="L220" s="168">
        <f t="shared" si="191"/>
        <v>97</v>
      </c>
      <c r="M220" s="166">
        <f t="shared" si="192"/>
        <v>179</v>
      </c>
      <c r="N220" s="167">
        <f t="shared" si="193"/>
        <v>91</v>
      </c>
      <c r="O220" s="168">
        <f t="shared" si="194"/>
        <v>145</v>
      </c>
      <c r="P220" s="169">
        <f t="shared" si="195"/>
        <v>239</v>
      </c>
      <c r="Q220" s="169">
        <f t="shared" si="196"/>
        <v>122</v>
      </c>
      <c r="R220" s="169">
        <f t="shared" si="197"/>
        <v>194</v>
      </c>
      <c r="S220" s="584">
        <f t="shared" si="169"/>
        <v>1793</v>
      </c>
      <c r="T220" s="594">
        <f t="shared" si="170"/>
        <v>917</v>
      </c>
      <c r="U220" s="595">
        <f t="shared" si="171"/>
        <v>1459</v>
      </c>
      <c r="V220" s="166">
        <f t="shared" si="172"/>
        <v>3702</v>
      </c>
      <c r="W220" s="167">
        <f t="shared" si="173"/>
        <v>1888</v>
      </c>
      <c r="X220" s="168">
        <f t="shared" si="174"/>
        <v>3006</v>
      </c>
      <c r="Y220" s="166">
        <f t="shared" si="175"/>
        <v>4180</v>
      </c>
      <c r="Z220" s="167">
        <f t="shared" si="176"/>
        <v>2132</v>
      </c>
      <c r="AA220" s="168">
        <f t="shared" si="177"/>
        <v>3394</v>
      </c>
      <c r="AB220" s="166">
        <f t="shared" si="178"/>
        <v>4658</v>
      </c>
      <c r="AC220" s="167">
        <f t="shared" si="179"/>
        <v>2376</v>
      </c>
      <c r="AD220" s="168">
        <f t="shared" si="180"/>
        <v>3782</v>
      </c>
      <c r="AE220" s="166">
        <f t="shared" si="181"/>
        <v>4897</v>
      </c>
      <c r="AF220" s="167">
        <f t="shared" si="182"/>
        <v>2620</v>
      </c>
      <c r="AG220" s="168">
        <f t="shared" si="183"/>
        <v>4170</v>
      </c>
      <c r="AH220" s="166">
        <f t="shared" si="198"/>
        <v>5375</v>
      </c>
      <c r="AI220" s="167">
        <f t="shared" si="184"/>
        <v>2742</v>
      </c>
      <c r="AJ220" s="168">
        <f t="shared" si="185"/>
        <v>4752</v>
      </c>
      <c r="AK220" s="169">
        <f t="shared" si="186"/>
        <v>6095</v>
      </c>
      <c r="AL220" s="167">
        <f t="shared" si="187"/>
        <v>3118</v>
      </c>
      <c r="AM220" s="585">
        <f t="shared" si="188"/>
        <v>4961</v>
      </c>
      <c r="AN220" s="596">
        <v>0.05</v>
      </c>
      <c r="AO220" s="597">
        <v>5.5E-2</v>
      </c>
      <c r="AP220" s="597">
        <v>0.06</v>
      </c>
      <c r="AQ220" s="598">
        <v>6.5000000000000002E-2</v>
      </c>
      <c r="AR220" s="599">
        <v>7.0000000000000007E-2</v>
      </c>
      <c r="AS220" s="586"/>
      <c r="AT220" s="587"/>
      <c r="AU220" s="587"/>
      <c r="AV220" s="588"/>
      <c r="AW220" s="589"/>
      <c r="AX220" s="596">
        <v>0.05</v>
      </c>
      <c r="AY220" s="598">
        <v>5.5E-2</v>
      </c>
      <c r="AZ220" s="598">
        <v>0.06</v>
      </c>
      <c r="BA220" s="598">
        <v>6.5000000000000002E-2</v>
      </c>
      <c r="BB220" s="598">
        <v>7.0000000000000007E-2</v>
      </c>
      <c r="BC220" s="590"/>
      <c r="BD220" s="631"/>
      <c r="BE220" s="596"/>
      <c r="BF220" s="598"/>
      <c r="BG220" s="598"/>
      <c r="BH220" s="598"/>
      <c r="BI220" s="598"/>
      <c r="BJ220" s="598"/>
      <c r="BK220" s="605"/>
      <c r="BL220" s="658">
        <f t="shared" si="199"/>
        <v>13900</v>
      </c>
      <c r="BM220" s="3">
        <f t="shared" si="200"/>
        <v>43</v>
      </c>
      <c r="BN220" s="3">
        <f t="shared" si="201"/>
        <v>22</v>
      </c>
      <c r="BO220" s="3">
        <f t="shared" si="202"/>
        <v>35</v>
      </c>
    </row>
    <row r="221" spans="2:67">
      <c r="B221" s="1269" t="s">
        <v>84</v>
      </c>
      <c r="C221" s="1265" t="s">
        <v>309</v>
      </c>
      <c r="D221" s="1265" t="s">
        <v>14</v>
      </c>
      <c r="E221" s="1267" t="s">
        <v>65</v>
      </c>
      <c r="F221" s="1270">
        <v>218</v>
      </c>
      <c r="G221" s="593">
        <v>9449</v>
      </c>
      <c r="H221" s="594">
        <v>7289</v>
      </c>
      <c r="I221" s="595">
        <v>10260</v>
      </c>
      <c r="J221" s="166">
        <f t="shared" si="189"/>
        <v>189</v>
      </c>
      <c r="K221" s="167">
        <f t="shared" si="190"/>
        <v>145</v>
      </c>
      <c r="L221" s="168">
        <f t="shared" si="191"/>
        <v>205</v>
      </c>
      <c r="M221" s="166">
        <f t="shared" si="192"/>
        <v>236</v>
      </c>
      <c r="N221" s="167">
        <f t="shared" si="193"/>
        <v>182</v>
      </c>
      <c r="O221" s="168">
        <f t="shared" si="194"/>
        <v>256</v>
      </c>
      <c r="P221" s="169">
        <f t="shared" si="195"/>
        <v>354</v>
      </c>
      <c r="Q221" s="169">
        <f t="shared" si="196"/>
        <v>273</v>
      </c>
      <c r="R221" s="169">
        <f t="shared" si="197"/>
        <v>384</v>
      </c>
      <c r="S221" s="584">
        <f t="shared" si="169"/>
        <v>2362</v>
      </c>
      <c r="T221" s="594">
        <f t="shared" si="170"/>
        <v>1822</v>
      </c>
      <c r="U221" s="595">
        <f t="shared" si="171"/>
        <v>2565</v>
      </c>
      <c r="V221" s="166">
        <f t="shared" si="172"/>
        <v>5383</v>
      </c>
      <c r="W221" s="167">
        <f t="shared" si="173"/>
        <v>4151</v>
      </c>
      <c r="X221" s="168">
        <f t="shared" si="174"/>
        <v>5842</v>
      </c>
      <c r="Y221" s="166">
        <f t="shared" si="175"/>
        <v>5737</v>
      </c>
      <c r="Z221" s="167">
        <f t="shared" si="176"/>
        <v>4970</v>
      </c>
      <c r="AA221" s="168">
        <f t="shared" si="177"/>
        <v>6610</v>
      </c>
      <c r="AB221" s="166">
        <f t="shared" si="178"/>
        <v>6799</v>
      </c>
      <c r="AC221" s="167">
        <f t="shared" si="179"/>
        <v>5243</v>
      </c>
      <c r="AD221" s="168">
        <f t="shared" si="180"/>
        <v>7762</v>
      </c>
      <c r="AE221" s="166">
        <f t="shared" si="181"/>
        <v>8215</v>
      </c>
      <c r="AF221" s="167">
        <f t="shared" si="182"/>
        <v>5789</v>
      </c>
      <c r="AG221" s="168">
        <f t="shared" si="183"/>
        <v>8530</v>
      </c>
      <c r="AH221" s="166">
        <f t="shared" si="198"/>
        <v>8923</v>
      </c>
      <c r="AI221" s="167">
        <f t="shared" si="184"/>
        <v>6881</v>
      </c>
      <c r="AJ221" s="168">
        <f t="shared" si="185"/>
        <v>9298</v>
      </c>
      <c r="AK221" s="169">
        <f t="shared" si="186"/>
        <v>9638</v>
      </c>
      <c r="AL221" s="167">
        <f t="shared" si="187"/>
        <v>7434</v>
      </c>
      <c r="AM221" s="585">
        <f t="shared" si="188"/>
        <v>10465</v>
      </c>
      <c r="AN221" s="596">
        <v>7.0000000000000007E-2</v>
      </c>
      <c r="AO221" s="597">
        <v>7.4999999999999997E-2</v>
      </c>
      <c r="AP221" s="597">
        <v>0.08</v>
      </c>
      <c r="AQ221" s="598">
        <v>8.5000000000000006E-2</v>
      </c>
      <c r="AR221" s="599">
        <v>0.09</v>
      </c>
      <c r="AS221" s="586"/>
      <c r="AT221" s="587"/>
      <c r="AU221" s="587"/>
      <c r="AV221" s="588"/>
      <c r="AW221" s="589"/>
      <c r="AX221" s="596">
        <v>0.05</v>
      </c>
      <c r="AY221" s="598">
        <v>5.5E-2</v>
      </c>
      <c r="AZ221" s="598">
        <v>0.06</v>
      </c>
      <c r="BA221" s="598">
        <v>6.5000000000000002E-2</v>
      </c>
      <c r="BB221" s="598">
        <v>7.0000000000000007E-2</v>
      </c>
      <c r="BC221" s="590"/>
      <c r="BD221" s="631"/>
      <c r="BE221" s="596"/>
      <c r="BF221" s="598"/>
      <c r="BG221" s="598"/>
      <c r="BH221" s="598"/>
      <c r="BI221" s="598"/>
      <c r="BJ221" s="598"/>
      <c r="BK221" s="605"/>
      <c r="BL221" s="658">
        <f t="shared" si="199"/>
        <v>27000</v>
      </c>
      <c r="BM221" s="3">
        <f t="shared" si="200"/>
        <v>35</v>
      </c>
      <c r="BN221" s="3">
        <f t="shared" si="201"/>
        <v>27</v>
      </c>
      <c r="BO221" s="3">
        <f t="shared" si="202"/>
        <v>38</v>
      </c>
    </row>
    <row r="222" spans="2:67">
      <c r="B222" s="207" t="s">
        <v>380</v>
      </c>
      <c r="C222" s="890" t="s">
        <v>357</v>
      </c>
      <c r="D222" s="890" t="s">
        <v>360</v>
      </c>
      <c r="E222" s="238" t="s">
        <v>65</v>
      </c>
      <c r="F222" s="592">
        <v>219</v>
      </c>
      <c r="G222" s="593">
        <v>6420</v>
      </c>
      <c r="H222" s="594">
        <v>3886</v>
      </c>
      <c r="I222" s="595">
        <v>6590</v>
      </c>
      <c r="J222" s="166">
        <f t="shared" si="189"/>
        <v>128</v>
      </c>
      <c r="K222" s="167">
        <f t="shared" si="190"/>
        <v>77</v>
      </c>
      <c r="L222" s="168">
        <f t="shared" si="191"/>
        <v>131</v>
      </c>
      <c r="M222" s="166">
        <f t="shared" si="192"/>
        <v>192</v>
      </c>
      <c r="N222" s="167">
        <f t="shared" si="193"/>
        <v>116</v>
      </c>
      <c r="O222" s="168">
        <f t="shared" si="194"/>
        <v>197</v>
      </c>
      <c r="P222" s="169">
        <f t="shared" si="195"/>
        <v>256</v>
      </c>
      <c r="Q222" s="169">
        <f t="shared" si="196"/>
        <v>155</v>
      </c>
      <c r="R222" s="169">
        <f t="shared" si="197"/>
        <v>263</v>
      </c>
      <c r="S222" s="584">
        <f t="shared" si="169"/>
        <v>1926</v>
      </c>
      <c r="T222" s="594">
        <f t="shared" si="170"/>
        <v>1166</v>
      </c>
      <c r="U222" s="595">
        <f t="shared" si="171"/>
        <v>1977</v>
      </c>
      <c r="V222" s="166">
        <f t="shared" si="172"/>
        <v>3974</v>
      </c>
      <c r="W222" s="167">
        <f t="shared" si="173"/>
        <v>2403</v>
      </c>
      <c r="X222" s="168">
        <f t="shared" si="174"/>
        <v>4078</v>
      </c>
      <c r="Y222" s="166">
        <f t="shared" si="175"/>
        <v>4486</v>
      </c>
      <c r="Z222" s="167">
        <f t="shared" si="176"/>
        <v>2713</v>
      </c>
      <c r="AA222" s="168">
        <f t="shared" si="177"/>
        <v>4604</v>
      </c>
      <c r="AB222" s="166">
        <f t="shared" si="178"/>
        <v>4998</v>
      </c>
      <c r="AC222" s="167">
        <f t="shared" si="179"/>
        <v>3023</v>
      </c>
      <c r="AD222" s="168">
        <f t="shared" si="180"/>
        <v>5130</v>
      </c>
      <c r="AE222" s="166">
        <f t="shared" si="181"/>
        <v>5510</v>
      </c>
      <c r="AF222" s="167">
        <f t="shared" si="182"/>
        <v>3333</v>
      </c>
      <c r="AG222" s="168">
        <f t="shared" si="183"/>
        <v>5393</v>
      </c>
      <c r="AH222" s="166">
        <f t="shared" si="198"/>
        <v>5766</v>
      </c>
      <c r="AI222" s="167">
        <f t="shared" si="184"/>
        <v>3798</v>
      </c>
      <c r="AJ222" s="168">
        <f t="shared" si="185"/>
        <v>5919</v>
      </c>
      <c r="AK222" s="169">
        <f t="shared" si="186"/>
        <v>6548</v>
      </c>
      <c r="AL222" s="167">
        <f t="shared" si="187"/>
        <v>3963</v>
      </c>
      <c r="AM222" s="585">
        <f t="shared" si="188"/>
        <v>6721</v>
      </c>
      <c r="AN222" s="596">
        <v>0.2</v>
      </c>
      <c r="AO222" s="597">
        <v>0.20499999999999999</v>
      </c>
      <c r="AP222" s="597">
        <v>0.21</v>
      </c>
      <c r="AQ222" s="598">
        <v>0.215</v>
      </c>
      <c r="AR222" s="599">
        <v>0.22</v>
      </c>
      <c r="AS222" s="586"/>
      <c r="AT222" s="587"/>
      <c r="AU222" s="587"/>
      <c r="AV222" s="588"/>
      <c r="AW222" s="589"/>
      <c r="AX222" s="596">
        <v>0.02</v>
      </c>
      <c r="AY222" s="598">
        <v>2.3E-2</v>
      </c>
      <c r="AZ222" s="598">
        <v>2.5999999999999999E-2</v>
      </c>
      <c r="BA222" s="598">
        <v>2.9000000000000001E-2</v>
      </c>
      <c r="BB222" s="598">
        <v>3.2000000000000001E-2</v>
      </c>
      <c r="BC222" s="590"/>
      <c r="BD222" s="631"/>
      <c r="BE222" s="596"/>
      <c r="BF222" s="598"/>
      <c r="BG222" s="598"/>
      <c r="BH222" s="598"/>
      <c r="BI222" s="598"/>
      <c r="BJ222" s="598"/>
      <c r="BK222" s="605"/>
      <c r="BL222" s="658">
        <f t="shared" si="199"/>
        <v>16900</v>
      </c>
      <c r="BM222" s="3">
        <f t="shared" si="200"/>
        <v>38</v>
      </c>
      <c r="BN222" s="3">
        <f t="shared" si="201"/>
        <v>23</v>
      </c>
      <c r="BO222" s="3">
        <f t="shared" si="202"/>
        <v>39</v>
      </c>
    </row>
    <row r="223" spans="2:67">
      <c r="B223" s="1269" t="s">
        <v>73</v>
      </c>
      <c r="C223" s="1265" t="s">
        <v>309</v>
      </c>
      <c r="D223" s="1265" t="s">
        <v>13</v>
      </c>
      <c r="E223" s="1267" t="s">
        <v>65</v>
      </c>
      <c r="F223" s="1270">
        <v>220</v>
      </c>
      <c r="G223" s="593">
        <v>11549</v>
      </c>
      <c r="H223" s="594">
        <v>6049</v>
      </c>
      <c r="I223" s="595">
        <v>9900</v>
      </c>
      <c r="J223" s="166">
        <f t="shared" si="189"/>
        <v>231</v>
      </c>
      <c r="K223" s="167">
        <f t="shared" si="190"/>
        <v>121</v>
      </c>
      <c r="L223" s="168">
        <f t="shared" si="191"/>
        <v>198</v>
      </c>
      <c r="M223" s="166">
        <f t="shared" si="192"/>
        <v>288</v>
      </c>
      <c r="N223" s="167">
        <f t="shared" si="193"/>
        <v>151</v>
      </c>
      <c r="O223" s="168">
        <f t="shared" si="194"/>
        <v>247</v>
      </c>
      <c r="P223" s="169">
        <f t="shared" si="195"/>
        <v>433</v>
      </c>
      <c r="Q223" s="169">
        <f t="shared" si="196"/>
        <v>226</v>
      </c>
      <c r="R223" s="169">
        <f t="shared" si="197"/>
        <v>371</v>
      </c>
      <c r="S223" s="584">
        <f t="shared" si="169"/>
        <v>2887</v>
      </c>
      <c r="T223" s="594">
        <f t="shared" si="170"/>
        <v>1512</v>
      </c>
      <c r="U223" s="595">
        <f t="shared" si="171"/>
        <v>2475</v>
      </c>
      <c r="V223" s="166">
        <f t="shared" si="172"/>
        <v>6574</v>
      </c>
      <c r="W223" s="167">
        <f t="shared" si="173"/>
        <v>3445</v>
      </c>
      <c r="X223" s="168">
        <f t="shared" si="174"/>
        <v>5637</v>
      </c>
      <c r="Y223" s="166">
        <f t="shared" si="175"/>
        <v>7440</v>
      </c>
      <c r="Z223" s="167">
        <f t="shared" si="176"/>
        <v>3671</v>
      </c>
      <c r="AA223" s="168">
        <f t="shared" si="177"/>
        <v>6750</v>
      </c>
      <c r="AB223" s="166">
        <f t="shared" si="178"/>
        <v>8739</v>
      </c>
      <c r="AC223" s="167">
        <f t="shared" si="179"/>
        <v>4349</v>
      </c>
      <c r="AD223" s="168">
        <f t="shared" si="180"/>
        <v>7121</v>
      </c>
      <c r="AE223" s="166">
        <f t="shared" si="181"/>
        <v>9605</v>
      </c>
      <c r="AF223" s="167">
        <f t="shared" si="182"/>
        <v>5253</v>
      </c>
      <c r="AG223" s="168">
        <f t="shared" si="183"/>
        <v>7863</v>
      </c>
      <c r="AH223" s="166">
        <f t="shared" si="198"/>
        <v>10471</v>
      </c>
      <c r="AI223" s="167">
        <f t="shared" si="184"/>
        <v>5705</v>
      </c>
      <c r="AJ223" s="168">
        <f t="shared" si="185"/>
        <v>9347</v>
      </c>
      <c r="AK223" s="169">
        <f t="shared" si="186"/>
        <v>11780</v>
      </c>
      <c r="AL223" s="167">
        <f t="shared" si="187"/>
        <v>6170</v>
      </c>
      <c r="AM223" s="585">
        <f t="shared" si="188"/>
        <v>10098</v>
      </c>
      <c r="AN223" s="596">
        <v>0.05</v>
      </c>
      <c r="AO223" s="597">
        <v>5.2999999999999999E-2</v>
      </c>
      <c r="AP223" s="597">
        <v>5.6000000000000001E-2</v>
      </c>
      <c r="AQ223" s="598">
        <v>5.8999999999999997E-2</v>
      </c>
      <c r="AR223" s="599">
        <v>6.2E-2</v>
      </c>
      <c r="AS223" s="586"/>
      <c r="AT223" s="587"/>
      <c r="AU223" s="587"/>
      <c r="AV223" s="588"/>
      <c r="AW223" s="589"/>
      <c r="AX223" s="596">
        <v>0.03</v>
      </c>
      <c r="AY223" s="598">
        <v>3.3000000000000002E-2</v>
      </c>
      <c r="AZ223" s="598">
        <v>3.5999999999999997E-2</v>
      </c>
      <c r="BA223" s="598">
        <v>3.9E-2</v>
      </c>
      <c r="BB223" s="598">
        <v>4.2000000000000003E-2</v>
      </c>
      <c r="BC223" s="590"/>
      <c r="BD223" s="631"/>
      <c r="BE223" s="596"/>
      <c r="BF223" s="598"/>
      <c r="BG223" s="598"/>
      <c r="BH223" s="598"/>
      <c r="BI223" s="598"/>
      <c r="BJ223" s="598"/>
      <c r="BK223" s="605"/>
      <c r="BL223" s="658">
        <f t="shared" si="199"/>
        <v>27500</v>
      </c>
      <c r="BM223" s="3">
        <f t="shared" si="200"/>
        <v>42</v>
      </c>
      <c r="BN223" s="3">
        <f t="shared" si="201"/>
        <v>22</v>
      </c>
      <c r="BO223" s="3">
        <f t="shared" si="202"/>
        <v>36</v>
      </c>
    </row>
    <row r="224" spans="2:67">
      <c r="B224" s="207" t="s">
        <v>460</v>
      </c>
      <c r="C224" s="890" t="s">
        <v>357</v>
      </c>
      <c r="D224" s="890" t="s">
        <v>70</v>
      </c>
      <c r="E224" s="238" t="s">
        <v>65</v>
      </c>
      <c r="F224" s="592">
        <v>221</v>
      </c>
      <c r="G224" s="593">
        <v>6590</v>
      </c>
      <c r="H224" s="594">
        <v>4561</v>
      </c>
      <c r="I224" s="595">
        <v>5744</v>
      </c>
      <c r="J224" s="166">
        <f t="shared" si="189"/>
        <v>131</v>
      </c>
      <c r="K224" s="167">
        <f t="shared" si="190"/>
        <v>91</v>
      </c>
      <c r="L224" s="168">
        <f t="shared" si="191"/>
        <v>114</v>
      </c>
      <c r="M224" s="166">
        <f t="shared" si="192"/>
        <v>197</v>
      </c>
      <c r="N224" s="167">
        <f t="shared" si="193"/>
        <v>136</v>
      </c>
      <c r="O224" s="168">
        <f t="shared" si="194"/>
        <v>172</v>
      </c>
      <c r="P224" s="169">
        <f t="shared" si="195"/>
        <v>263</v>
      </c>
      <c r="Q224" s="169">
        <f t="shared" si="196"/>
        <v>182</v>
      </c>
      <c r="R224" s="169">
        <f t="shared" si="197"/>
        <v>229</v>
      </c>
      <c r="S224" s="584">
        <f t="shared" si="169"/>
        <v>1977</v>
      </c>
      <c r="T224" s="594">
        <f t="shared" si="170"/>
        <v>1368</v>
      </c>
      <c r="U224" s="595">
        <f t="shared" si="171"/>
        <v>1723</v>
      </c>
      <c r="V224" s="166">
        <f t="shared" si="172"/>
        <v>4078</v>
      </c>
      <c r="W224" s="167">
        <f t="shared" si="173"/>
        <v>2819</v>
      </c>
      <c r="X224" s="168">
        <f t="shared" si="174"/>
        <v>3557</v>
      </c>
      <c r="Y224" s="166">
        <f t="shared" si="175"/>
        <v>4604</v>
      </c>
      <c r="Z224" s="167">
        <f t="shared" si="176"/>
        <v>3183</v>
      </c>
      <c r="AA224" s="168">
        <f t="shared" si="177"/>
        <v>4015</v>
      </c>
      <c r="AB224" s="166">
        <f t="shared" si="178"/>
        <v>5130</v>
      </c>
      <c r="AC224" s="167">
        <f t="shared" si="179"/>
        <v>3547</v>
      </c>
      <c r="AD224" s="168">
        <f t="shared" si="180"/>
        <v>4473</v>
      </c>
      <c r="AE224" s="166">
        <f t="shared" si="181"/>
        <v>5656</v>
      </c>
      <c r="AF224" s="167">
        <f t="shared" si="182"/>
        <v>3729</v>
      </c>
      <c r="AG224" s="168">
        <f t="shared" si="183"/>
        <v>4931</v>
      </c>
      <c r="AH224" s="166">
        <f t="shared" si="198"/>
        <v>5919</v>
      </c>
      <c r="AI224" s="167">
        <f t="shared" si="184"/>
        <v>4093</v>
      </c>
      <c r="AJ224" s="168">
        <f t="shared" si="185"/>
        <v>5618</v>
      </c>
      <c r="AK224" s="169">
        <f t="shared" si="186"/>
        <v>6721</v>
      </c>
      <c r="AL224" s="167">
        <f t="shared" si="187"/>
        <v>4652</v>
      </c>
      <c r="AM224" s="585">
        <f t="shared" si="188"/>
        <v>5858</v>
      </c>
      <c r="AN224" s="596">
        <v>0.15</v>
      </c>
      <c r="AO224" s="597">
        <v>0.18</v>
      </c>
      <c r="AP224" s="597">
        <v>0.21</v>
      </c>
      <c r="AQ224" s="598">
        <v>0.24</v>
      </c>
      <c r="AR224" s="599">
        <v>0.27</v>
      </c>
      <c r="AS224" s="586"/>
      <c r="AT224" s="587"/>
      <c r="AU224" s="587"/>
      <c r="AV224" s="588"/>
      <c r="AW224" s="589"/>
      <c r="AX224" s="596">
        <v>0.02</v>
      </c>
      <c r="AY224" s="598">
        <v>2.3E-2</v>
      </c>
      <c r="AZ224" s="598">
        <v>2.5999999999999999E-2</v>
      </c>
      <c r="BA224" s="598">
        <v>2.9000000000000001E-2</v>
      </c>
      <c r="BB224" s="598">
        <v>3.2000000000000001E-2</v>
      </c>
      <c r="BC224" s="590"/>
      <c r="BD224" s="631"/>
      <c r="BE224" s="596"/>
      <c r="BF224" s="598"/>
      <c r="BG224" s="598"/>
      <c r="BH224" s="598"/>
      <c r="BI224" s="598"/>
      <c r="BJ224" s="598"/>
      <c r="BK224" s="605"/>
      <c r="BL224" s="658">
        <f t="shared" si="199"/>
        <v>16900</v>
      </c>
      <c r="BM224" s="3">
        <f t="shared" si="200"/>
        <v>39</v>
      </c>
      <c r="BN224" s="3">
        <f t="shared" si="201"/>
        <v>27</v>
      </c>
      <c r="BO224" s="3">
        <f t="shared" si="202"/>
        <v>34</v>
      </c>
    </row>
    <row r="225" spans="2:67">
      <c r="B225" s="1269" t="s">
        <v>118</v>
      </c>
      <c r="C225" s="1265" t="s">
        <v>309</v>
      </c>
      <c r="D225" s="1265" t="s">
        <v>23</v>
      </c>
      <c r="E225" s="1267" t="s">
        <v>65</v>
      </c>
      <c r="F225" s="1270">
        <v>222</v>
      </c>
      <c r="G225" s="593">
        <v>5940</v>
      </c>
      <c r="H225" s="594">
        <v>12149</v>
      </c>
      <c r="I225" s="595">
        <v>8909</v>
      </c>
      <c r="J225" s="166">
        <f t="shared" si="189"/>
        <v>118</v>
      </c>
      <c r="K225" s="167">
        <f t="shared" si="190"/>
        <v>243</v>
      </c>
      <c r="L225" s="168">
        <f t="shared" si="191"/>
        <v>178</v>
      </c>
      <c r="M225" s="166">
        <f t="shared" si="192"/>
        <v>148</v>
      </c>
      <c r="N225" s="167">
        <f t="shared" si="193"/>
        <v>303</v>
      </c>
      <c r="O225" s="168">
        <f t="shared" si="194"/>
        <v>222</v>
      </c>
      <c r="P225" s="169">
        <f t="shared" si="195"/>
        <v>222</v>
      </c>
      <c r="Q225" s="169">
        <f t="shared" si="196"/>
        <v>455</v>
      </c>
      <c r="R225" s="169">
        <f t="shared" si="197"/>
        <v>334</v>
      </c>
      <c r="S225" s="584">
        <f t="shared" si="169"/>
        <v>1485</v>
      </c>
      <c r="T225" s="594">
        <f t="shared" si="170"/>
        <v>3037</v>
      </c>
      <c r="U225" s="595">
        <f t="shared" si="171"/>
        <v>2227</v>
      </c>
      <c r="V225" s="166">
        <f t="shared" si="172"/>
        <v>3379</v>
      </c>
      <c r="W225" s="167">
        <f t="shared" si="173"/>
        <v>6916</v>
      </c>
      <c r="X225" s="168">
        <f t="shared" si="174"/>
        <v>5069</v>
      </c>
      <c r="Y225" s="166">
        <f t="shared" si="175"/>
        <v>4045</v>
      </c>
      <c r="Z225" s="167">
        <f t="shared" si="176"/>
        <v>7826</v>
      </c>
      <c r="AA225" s="168">
        <f t="shared" si="177"/>
        <v>5403</v>
      </c>
      <c r="AB225" s="166">
        <f t="shared" si="178"/>
        <v>4267</v>
      </c>
      <c r="AC225" s="167">
        <f t="shared" si="179"/>
        <v>9191</v>
      </c>
      <c r="AD225" s="168">
        <f t="shared" si="180"/>
        <v>6405</v>
      </c>
      <c r="AE225" s="166">
        <f t="shared" si="181"/>
        <v>4711</v>
      </c>
      <c r="AF225" s="167">
        <f t="shared" si="182"/>
        <v>10101</v>
      </c>
      <c r="AG225" s="168">
        <f t="shared" si="183"/>
        <v>7741</v>
      </c>
      <c r="AH225" s="166">
        <f t="shared" si="198"/>
        <v>5599</v>
      </c>
      <c r="AI225" s="167">
        <f t="shared" si="184"/>
        <v>11011</v>
      </c>
      <c r="AJ225" s="168">
        <f t="shared" si="185"/>
        <v>8409</v>
      </c>
      <c r="AK225" s="169">
        <f t="shared" si="186"/>
        <v>6058</v>
      </c>
      <c r="AL225" s="167">
        <f t="shared" si="187"/>
        <v>12392</v>
      </c>
      <c r="AM225" s="585">
        <f t="shared" si="188"/>
        <v>9087</v>
      </c>
      <c r="AN225" s="596">
        <v>0.2</v>
      </c>
      <c r="AO225" s="597">
        <v>0.23</v>
      </c>
      <c r="AP225" s="597">
        <v>0.26</v>
      </c>
      <c r="AQ225" s="598">
        <v>0.28999999999999998</v>
      </c>
      <c r="AR225" s="599">
        <v>0.32</v>
      </c>
      <c r="AS225" s="586"/>
      <c r="AT225" s="587"/>
      <c r="AU225" s="587"/>
      <c r="AV225" s="588"/>
      <c r="AW225" s="589"/>
      <c r="AX225" s="596">
        <v>0.03</v>
      </c>
      <c r="AY225" s="598">
        <v>3.3000000000000002E-2</v>
      </c>
      <c r="AZ225" s="598">
        <v>3.5999999999999997E-2</v>
      </c>
      <c r="BA225" s="598">
        <v>3.9E-2</v>
      </c>
      <c r="BB225" s="598">
        <v>4.2000000000000003E-2</v>
      </c>
      <c r="BC225" s="590"/>
      <c r="BD225" s="631"/>
      <c r="BE225" s="596"/>
      <c r="BF225" s="598"/>
      <c r="BG225" s="598"/>
      <c r="BH225" s="598"/>
      <c r="BI225" s="598"/>
      <c r="BJ225" s="598"/>
      <c r="BK225" s="605"/>
      <c r="BL225" s="658">
        <f t="shared" si="199"/>
        <v>27000</v>
      </c>
      <c r="BM225" s="3">
        <f t="shared" si="200"/>
        <v>22</v>
      </c>
      <c r="BN225" s="3">
        <f t="shared" si="201"/>
        <v>45</v>
      </c>
      <c r="BO225" s="3">
        <f t="shared" si="202"/>
        <v>33</v>
      </c>
    </row>
    <row r="226" spans="2:67">
      <c r="B226" s="1269" t="s">
        <v>115</v>
      </c>
      <c r="C226" s="1265" t="s">
        <v>309</v>
      </c>
      <c r="D226" s="1265" t="s">
        <v>70</v>
      </c>
      <c r="E226" s="238" t="s">
        <v>125</v>
      </c>
      <c r="F226" s="1270">
        <v>223</v>
      </c>
      <c r="G226" s="593">
        <v>7424</v>
      </c>
      <c r="H226" s="594">
        <v>5624</v>
      </c>
      <c r="I226" s="595">
        <v>9449</v>
      </c>
      <c r="J226" s="166">
        <f t="shared" si="189"/>
        <v>148</v>
      </c>
      <c r="K226" s="167">
        <f t="shared" si="190"/>
        <v>112</v>
      </c>
      <c r="L226" s="168">
        <f t="shared" si="191"/>
        <v>189</v>
      </c>
      <c r="M226" s="166">
        <f t="shared" si="192"/>
        <v>185</v>
      </c>
      <c r="N226" s="167">
        <f t="shared" si="193"/>
        <v>140</v>
      </c>
      <c r="O226" s="168">
        <f t="shared" si="194"/>
        <v>236</v>
      </c>
      <c r="P226" s="169">
        <f t="shared" si="195"/>
        <v>278</v>
      </c>
      <c r="Q226" s="169">
        <f t="shared" si="196"/>
        <v>210</v>
      </c>
      <c r="R226" s="169">
        <f t="shared" si="197"/>
        <v>354</v>
      </c>
      <c r="S226" s="584">
        <f t="shared" si="169"/>
        <v>1856</v>
      </c>
      <c r="T226" s="594">
        <f t="shared" si="170"/>
        <v>1406</v>
      </c>
      <c r="U226" s="595">
        <f t="shared" si="171"/>
        <v>2362</v>
      </c>
      <c r="V226" s="166">
        <f t="shared" si="172"/>
        <v>4224</v>
      </c>
      <c r="W226" s="167">
        <f t="shared" si="173"/>
        <v>3198</v>
      </c>
      <c r="X226" s="168">
        <f t="shared" si="174"/>
        <v>5383</v>
      </c>
      <c r="Y226" s="166">
        <f t="shared" si="175"/>
        <v>4502</v>
      </c>
      <c r="Z226" s="167">
        <f t="shared" si="176"/>
        <v>3618</v>
      </c>
      <c r="AA226" s="168">
        <f t="shared" si="177"/>
        <v>6445</v>
      </c>
      <c r="AB226" s="166">
        <f t="shared" si="178"/>
        <v>5336</v>
      </c>
      <c r="AC226" s="167">
        <f t="shared" si="179"/>
        <v>4248</v>
      </c>
      <c r="AD226" s="168">
        <f t="shared" si="180"/>
        <v>6799</v>
      </c>
      <c r="AE226" s="166">
        <f t="shared" si="181"/>
        <v>6448</v>
      </c>
      <c r="AF226" s="167">
        <f t="shared" si="182"/>
        <v>4668</v>
      </c>
      <c r="AG226" s="168">
        <f t="shared" si="183"/>
        <v>7507</v>
      </c>
      <c r="AH226" s="166">
        <f t="shared" si="198"/>
        <v>7004</v>
      </c>
      <c r="AI226" s="167">
        <f t="shared" si="184"/>
        <v>5088</v>
      </c>
      <c r="AJ226" s="168">
        <f t="shared" si="185"/>
        <v>8923</v>
      </c>
      <c r="AK226" s="169">
        <f t="shared" si="186"/>
        <v>7572</v>
      </c>
      <c r="AL226" s="167">
        <f t="shared" si="187"/>
        <v>5736</v>
      </c>
      <c r="AM226" s="585">
        <f t="shared" si="188"/>
        <v>9638</v>
      </c>
      <c r="AN226" s="596">
        <v>0.17</v>
      </c>
      <c r="AO226" s="597">
        <v>0.2</v>
      </c>
      <c r="AP226" s="597">
        <v>0.23</v>
      </c>
      <c r="AQ226" s="598">
        <v>0.26</v>
      </c>
      <c r="AR226" s="599">
        <v>0.28999999999999998</v>
      </c>
      <c r="AS226" s="586"/>
      <c r="AT226" s="587"/>
      <c r="AU226" s="587"/>
      <c r="AV226" s="588"/>
      <c r="AW226" s="589"/>
      <c r="AX226" s="596">
        <v>0.03</v>
      </c>
      <c r="AY226" s="598">
        <v>3.3000000000000002E-2</v>
      </c>
      <c r="AZ226" s="598">
        <v>3.5999999999999997E-2</v>
      </c>
      <c r="BA226" s="598">
        <v>3.9E-2</v>
      </c>
      <c r="BB226" s="598">
        <v>4.2000000000000003E-2</v>
      </c>
      <c r="BC226" s="590"/>
      <c r="BD226" s="631"/>
      <c r="BE226" s="596"/>
      <c r="BF226" s="598"/>
      <c r="BG226" s="598"/>
      <c r="BH226" s="598"/>
      <c r="BI226" s="598"/>
      <c r="BJ226" s="598"/>
      <c r="BK226" s="605"/>
      <c r="BL226" s="658">
        <f t="shared" si="199"/>
        <v>22500</v>
      </c>
      <c r="BM226" s="3">
        <f t="shared" si="200"/>
        <v>33</v>
      </c>
      <c r="BN226" s="3">
        <f t="shared" si="201"/>
        <v>25</v>
      </c>
      <c r="BO226" s="3">
        <f t="shared" si="202"/>
        <v>42</v>
      </c>
    </row>
    <row r="227" spans="2:67">
      <c r="B227" s="207" t="s">
        <v>381</v>
      </c>
      <c r="C227" s="890" t="s">
        <v>357</v>
      </c>
      <c r="D227" s="890" t="s">
        <v>359</v>
      </c>
      <c r="E227" s="238" t="s">
        <v>125</v>
      </c>
      <c r="F227" s="592">
        <v>224</v>
      </c>
      <c r="G227" s="593">
        <v>4170</v>
      </c>
      <c r="H227" s="594">
        <v>6531</v>
      </c>
      <c r="I227" s="595">
        <v>3196</v>
      </c>
      <c r="J227" s="166">
        <f t="shared" si="189"/>
        <v>83</v>
      </c>
      <c r="K227" s="167">
        <f t="shared" si="190"/>
        <v>130</v>
      </c>
      <c r="L227" s="168">
        <f t="shared" si="191"/>
        <v>63</v>
      </c>
      <c r="M227" s="166">
        <f t="shared" si="192"/>
        <v>125</v>
      </c>
      <c r="N227" s="167">
        <f t="shared" si="193"/>
        <v>195</v>
      </c>
      <c r="O227" s="168">
        <f t="shared" si="194"/>
        <v>95</v>
      </c>
      <c r="P227" s="169">
        <f t="shared" si="195"/>
        <v>166</v>
      </c>
      <c r="Q227" s="169">
        <f t="shared" si="196"/>
        <v>261</v>
      </c>
      <c r="R227" s="169">
        <f t="shared" si="197"/>
        <v>127</v>
      </c>
      <c r="S227" s="584">
        <f t="shared" si="169"/>
        <v>1251</v>
      </c>
      <c r="T227" s="594">
        <f t="shared" si="170"/>
        <v>1959</v>
      </c>
      <c r="U227" s="595">
        <f t="shared" si="171"/>
        <v>959</v>
      </c>
      <c r="V227" s="166">
        <f t="shared" si="172"/>
        <v>2584</v>
      </c>
      <c r="W227" s="167">
        <f t="shared" si="173"/>
        <v>4039</v>
      </c>
      <c r="X227" s="168">
        <f t="shared" si="174"/>
        <v>1972</v>
      </c>
      <c r="Y227" s="166">
        <f t="shared" si="175"/>
        <v>2916</v>
      </c>
      <c r="Z227" s="167">
        <f t="shared" si="176"/>
        <v>4561</v>
      </c>
      <c r="AA227" s="168">
        <f t="shared" si="177"/>
        <v>2226</v>
      </c>
      <c r="AB227" s="166">
        <f t="shared" si="178"/>
        <v>3248</v>
      </c>
      <c r="AC227" s="167">
        <f t="shared" si="179"/>
        <v>5083</v>
      </c>
      <c r="AD227" s="168">
        <f t="shared" si="180"/>
        <v>2480</v>
      </c>
      <c r="AE227" s="166">
        <f t="shared" si="181"/>
        <v>3580</v>
      </c>
      <c r="AF227" s="167">
        <f t="shared" si="182"/>
        <v>5344</v>
      </c>
      <c r="AG227" s="168">
        <f t="shared" si="183"/>
        <v>2734</v>
      </c>
      <c r="AH227" s="166">
        <f t="shared" si="198"/>
        <v>4078</v>
      </c>
      <c r="AI227" s="167">
        <f t="shared" si="184"/>
        <v>5866</v>
      </c>
      <c r="AJ227" s="168">
        <f t="shared" si="185"/>
        <v>2861</v>
      </c>
      <c r="AK227" s="169">
        <f t="shared" si="186"/>
        <v>4253</v>
      </c>
      <c r="AL227" s="167">
        <f t="shared" si="187"/>
        <v>6661</v>
      </c>
      <c r="AM227" s="585">
        <f t="shared" si="188"/>
        <v>3259</v>
      </c>
      <c r="AN227" s="596">
        <v>0.17</v>
      </c>
      <c r="AO227" s="597">
        <v>0.2</v>
      </c>
      <c r="AP227" s="597">
        <v>0.23</v>
      </c>
      <c r="AQ227" s="598">
        <v>0.26</v>
      </c>
      <c r="AR227" s="599">
        <v>0.28999999999999998</v>
      </c>
      <c r="AS227" s="586"/>
      <c r="AT227" s="587"/>
      <c r="AU227" s="587"/>
      <c r="AV227" s="588"/>
      <c r="AW227" s="589"/>
      <c r="AX227" s="596">
        <v>0.02</v>
      </c>
      <c r="AY227" s="598">
        <v>2.3E-2</v>
      </c>
      <c r="AZ227" s="598">
        <v>2.5999999999999999E-2</v>
      </c>
      <c r="BA227" s="598">
        <v>2.9000000000000001E-2</v>
      </c>
      <c r="BB227" s="598">
        <v>3.2000000000000001E-2</v>
      </c>
      <c r="BC227" s="590"/>
      <c r="BD227" s="631"/>
      <c r="BE227" s="596"/>
      <c r="BF227" s="598"/>
      <c r="BG227" s="598"/>
      <c r="BH227" s="598"/>
      <c r="BI227" s="598"/>
      <c r="BJ227" s="598"/>
      <c r="BK227" s="605"/>
      <c r="BL227" s="658">
        <f t="shared" si="199"/>
        <v>13900</v>
      </c>
      <c r="BM227" s="3">
        <f t="shared" si="200"/>
        <v>30</v>
      </c>
      <c r="BN227" s="3">
        <f t="shared" si="201"/>
        <v>47</v>
      </c>
      <c r="BO227" s="3">
        <f t="shared" si="202"/>
        <v>23</v>
      </c>
    </row>
    <row r="228" spans="2:67">
      <c r="B228" s="207" t="s">
        <v>416</v>
      </c>
      <c r="C228" s="890" t="s">
        <v>357</v>
      </c>
      <c r="D228" s="890" t="s">
        <v>358</v>
      </c>
      <c r="E228" s="238" t="s">
        <v>125</v>
      </c>
      <c r="F228" s="592">
        <v>225</v>
      </c>
      <c r="G228" s="593">
        <v>6670</v>
      </c>
      <c r="H228" s="594">
        <v>2780</v>
      </c>
      <c r="I228" s="595">
        <v>4447</v>
      </c>
      <c r="J228" s="166">
        <f t="shared" si="189"/>
        <v>133</v>
      </c>
      <c r="K228" s="167">
        <f t="shared" si="190"/>
        <v>55</v>
      </c>
      <c r="L228" s="168">
        <f t="shared" si="191"/>
        <v>88</v>
      </c>
      <c r="M228" s="166">
        <f t="shared" si="192"/>
        <v>200</v>
      </c>
      <c r="N228" s="167">
        <f t="shared" si="193"/>
        <v>83</v>
      </c>
      <c r="O228" s="168">
        <f t="shared" si="194"/>
        <v>133</v>
      </c>
      <c r="P228" s="169">
        <f t="shared" si="195"/>
        <v>266</v>
      </c>
      <c r="Q228" s="169">
        <f t="shared" si="196"/>
        <v>111</v>
      </c>
      <c r="R228" s="169">
        <f t="shared" si="197"/>
        <v>177</v>
      </c>
      <c r="S228" s="584">
        <f t="shared" si="169"/>
        <v>2001</v>
      </c>
      <c r="T228" s="594">
        <f t="shared" si="170"/>
        <v>834</v>
      </c>
      <c r="U228" s="595">
        <f t="shared" si="171"/>
        <v>1334</v>
      </c>
      <c r="V228" s="166">
        <f t="shared" si="172"/>
        <v>4134</v>
      </c>
      <c r="W228" s="167">
        <f t="shared" si="173"/>
        <v>1719</v>
      </c>
      <c r="X228" s="168">
        <f t="shared" si="174"/>
        <v>2752</v>
      </c>
      <c r="Y228" s="166">
        <f t="shared" si="175"/>
        <v>4666</v>
      </c>
      <c r="Z228" s="167">
        <f t="shared" si="176"/>
        <v>1941</v>
      </c>
      <c r="AA228" s="168">
        <f t="shared" si="177"/>
        <v>3106</v>
      </c>
      <c r="AB228" s="166">
        <f t="shared" si="178"/>
        <v>5198</v>
      </c>
      <c r="AC228" s="167">
        <f t="shared" si="179"/>
        <v>2163</v>
      </c>
      <c r="AD228" s="168">
        <f t="shared" si="180"/>
        <v>3460</v>
      </c>
      <c r="AE228" s="166">
        <f t="shared" si="181"/>
        <v>5464</v>
      </c>
      <c r="AF228" s="167">
        <f t="shared" si="182"/>
        <v>2385</v>
      </c>
      <c r="AG228" s="168">
        <f t="shared" si="183"/>
        <v>3814</v>
      </c>
      <c r="AH228" s="166">
        <f t="shared" si="198"/>
        <v>5996</v>
      </c>
      <c r="AI228" s="167">
        <f t="shared" si="184"/>
        <v>2496</v>
      </c>
      <c r="AJ228" s="168">
        <f t="shared" si="185"/>
        <v>4345</v>
      </c>
      <c r="AK228" s="169">
        <f t="shared" si="186"/>
        <v>6803</v>
      </c>
      <c r="AL228" s="167">
        <f t="shared" si="187"/>
        <v>2835</v>
      </c>
      <c r="AM228" s="585">
        <f t="shared" si="188"/>
        <v>4535</v>
      </c>
      <c r="AN228" s="596">
        <v>0.02</v>
      </c>
      <c r="AO228" s="597">
        <v>2.3E-2</v>
      </c>
      <c r="AP228" s="597">
        <v>2.5999999999999999E-2</v>
      </c>
      <c r="AQ228" s="598">
        <v>2.9000000000000001E-2</v>
      </c>
      <c r="AR228" s="599">
        <v>3.2000000000000001E-2</v>
      </c>
      <c r="AS228" s="586"/>
      <c r="AT228" s="587"/>
      <c r="AU228" s="587"/>
      <c r="AV228" s="588"/>
      <c r="AW228" s="589"/>
      <c r="AX228" s="596">
        <v>0.02</v>
      </c>
      <c r="AY228" s="598">
        <v>2.3E-2</v>
      </c>
      <c r="AZ228" s="598">
        <v>2.5999999999999999E-2</v>
      </c>
      <c r="BA228" s="598">
        <v>2.9000000000000001E-2</v>
      </c>
      <c r="BB228" s="598">
        <v>3.2000000000000001E-2</v>
      </c>
      <c r="BC228" s="590"/>
      <c r="BD228" s="631"/>
      <c r="BE228" s="596"/>
      <c r="BF228" s="598"/>
      <c r="BG228" s="598"/>
      <c r="BH228" s="598"/>
      <c r="BI228" s="598"/>
      <c r="BJ228" s="598"/>
      <c r="BK228" s="605"/>
      <c r="BL228" s="658">
        <f t="shared" si="199"/>
        <v>13900</v>
      </c>
      <c r="BM228" s="3">
        <f t="shared" si="200"/>
        <v>48</v>
      </c>
      <c r="BN228" s="3">
        <f t="shared" si="201"/>
        <v>20</v>
      </c>
      <c r="BO228" s="3">
        <f t="shared" si="202"/>
        <v>32</v>
      </c>
    </row>
    <row r="229" spans="2:67">
      <c r="B229" s="1269" t="s">
        <v>1977</v>
      </c>
      <c r="C229" s="1265" t="s">
        <v>309</v>
      </c>
      <c r="D229" s="1265" t="s">
        <v>14</v>
      </c>
      <c r="E229" s="1267" t="s">
        <v>126</v>
      </c>
      <c r="F229" s="592">
        <v>226</v>
      </c>
      <c r="G229" s="593">
        <v>10800</v>
      </c>
      <c r="H229" s="594">
        <v>6600</v>
      </c>
      <c r="I229" s="595">
        <v>12600</v>
      </c>
      <c r="J229" s="166">
        <f t="shared" si="189"/>
        <v>216</v>
      </c>
      <c r="K229" s="167">
        <f t="shared" si="190"/>
        <v>132</v>
      </c>
      <c r="L229" s="168">
        <f t="shared" si="191"/>
        <v>252</v>
      </c>
      <c r="M229" s="166">
        <f t="shared" si="192"/>
        <v>270</v>
      </c>
      <c r="N229" s="167">
        <f t="shared" si="193"/>
        <v>165</v>
      </c>
      <c r="O229" s="168">
        <f t="shared" si="194"/>
        <v>315</v>
      </c>
      <c r="P229" s="169">
        <f t="shared" si="195"/>
        <v>405</v>
      </c>
      <c r="Q229" s="169">
        <f t="shared" si="196"/>
        <v>247</v>
      </c>
      <c r="R229" s="169">
        <f t="shared" si="197"/>
        <v>472</v>
      </c>
      <c r="S229" s="584">
        <f t="shared" ref="S229:S260" si="203">ROUND(IF($C229="UR",G229*0.25,G229*0.3),0)</f>
        <v>2700</v>
      </c>
      <c r="T229" s="594">
        <f t="shared" ref="T229:T260" si="204">ROUND(IF($C229="UR",H229*0.25,H229*0.3),0)</f>
        <v>1650</v>
      </c>
      <c r="U229" s="595">
        <f t="shared" ref="U229:U260" si="205">ROUND(IF($C229="UR",I229*0.25,I229*0.3),0)</f>
        <v>3150</v>
      </c>
      <c r="V229" s="166">
        <f t="shared" ref="V229:V260" si="206">(IF($C229="UR",IF($E229="party卡",18,12))+IF($C229="SR",10)+IF($C229="R",8))*M229+J229+S229</f>
        <v>6156</v>
      </c>
      <c r="W229" s="167">
        <f t="shared" ref="W229:W260" si="207">(IF($C229="UR",IF($E229="party卡",18,12))+IF($C229="SR",10)+IF($C229="R",8))*N229+K229+T229</f>
        <v>3762</v>
      </c>
      <c r="X229" s="168">
        <f t="shared" ref="X229:X260" si="208">(IF($C229="UR",IF($E229="party卡",18,12))+IF($C229="SR",10)+IF($C229="R",8))*O229+L229+U229</f>
        <v>7182</v>
      </c>
      <c r="Y229" s="166">
        <f t="shared" ref="Y229:Y260" si="209">V229+(IF(C229="UR",IF(E229="party卡",IF(D229="gd",1,2),IF(D229="vo",2)+IF(D229="sp",1)+IF(D229="gd",3)+IF(D229="sk",1)))+IF(C229="SR",2)+IF(C229="R",IF(D229="vo",1)+IF(D229="sp",2)+IF(D229="gd",1)+IF(D229="sk",2)))*P229</f>
        <v>6561</v>
      </c>
      <c r="Z229" s="167">
        <f t="shared" ref="Z229:Z260" si="210">W229+(IF(C229="UR",IF(E229="party卡",IF(D229="sp",1,2),IF(D229="vo",1)+IF(D229="sp",3)+IF(D229="gd",2)+IF(D229="sk",2)))+IF(C229="SR",2)+IF(C229="R",IF(D229="vo",2)+IF(D229="sp",1)+IF(D229="gd",1)+IF(D229="sk",1)))*Q229</f>
        <v>4503</v>
      </c>
      <c r="AA229" s="168">
        <f t="shared" ref="AA229:AA260" si="211">X229+(IF(C229="UR",IF(E229="party卡",IF(OR(D229="vo",D229="sk"),1,2),IF(D229="vo",3)+IF(D229="sp",2)+IF(D229="gd",1)+IF(D229="sk",3)))+IF(C229="SR",2)+IF(C229="R",IF(D229="vo",1)+IF(D229="sp",1)+IF(D229="gd",2)+IF(D229="sk",1)))*R229</f>
        <v>8126</v>
      </c>
      <c r="AB229" s="166">
        <f t="shared" ref="AB229:AB260" si="212">V229+(IF(C229="UR",IF(E229="party卡",IF(OR(D229="sp",D229="sk"),3,2),IF(D229="vo",5)+IF(D229="sp",4)+IF(D229="gd",4)+IF(D229="sk",4)))+IF(C229="SR",4)+IF(C229="R",IF(D229="vo",3)+IF(D229="sp",3)+IF(D229="gd",2)+IF(D229="sk",3)))*P229</f>
        <v>7776</v>
      </c>
      <c r="AC229" s="167">
        <f t="shared" ref="AC229:AC260" si="213">W229+(IF(C229="UR",IF(E229="party卡",IF(D229="vo",3,2),IF(D229="vo",4)+IF(D229="sp",4)+IF(D229="gd",5)+IF(D229="sk",5)))+IF(C229="SR",4)+IF(C229="R",IF(D229="vo",3)+IF(D229="sp",2)+IF(D229="gd",3)+IF(D229="sk",3)))*Q229</f>
        <v>4750</v>
      </c>
      <c r="AD229" s="168">
        <f t="shared" ref="AD229:AD260" si="214">X229+(IF(C229="UR",IF(E229="party卡",IF(D229="gd",3,2),IF(D229="vo",4)+IF(D229="sp",5)+IF(D229="gd",4)+IF(D229="sk",4)))+IF(C229="SR",4)+IF(C229="R",IF(D229="vo",2)+IF(D229="sp",3)+IF(D229="gd",3)+IF(D229="sk",2)))*R229</f>
        <v>9542</v>
      </c>
      <c r="AE229" s="166">
        <f t="shared" ref="AE229:AE260" si="215">V229+(IF(C229="UR",IF(E229="party卡",3,IF(D229="vo",7)+IF(D229="sp",8)+IF(D229="gd",6)+IF(D229="sk",8)))+IF(C229="SR",IF(D229="vo",5)+IF(D229="sp",6)+IF(D229="gd",6)+IF(D229="sk",6))+IF(C229="R",IF(D229="vo",5)+IF(D229="sp",4)+IF(D229="gd",4)+IF(D229="sk",4)))*P229</f>
        <v>9396</v>
      </c>
      <c r="AF229" s="167">
        <f t="shared" ref="AF229:AF260" si="216">W229+(IF(C229="UR",IF(E229="party卡",3,IF(D229="vo",8)+IF(D229="sp",6)+IF(D229="gd",7)+IF(D229="sk",7)))+IF(C229="SR",IF(D229="vo",6)+IF(D229="sp",6)+IF(D229="gd",5)+IF(D229="sk",5))+IF(C229="R",IF(D229="vo",4)+IF(D229="sp",4)+IF(D229="gd",5)+IF(D229="sk",5)))*Q229</f>
        <v>5244</v>
      </c>
      <c r="AG229" s="168">
        <f t="shared" ref="AG229:AG260" si="217">X229+(IF(C229="UR",IF(E229="party卡",3,IF(D229="vo",6)+IF(D229="sp",7)+IF(D229="gd",8)+IF(D229="sk",6)))+IF(C229="SR",IF(D229="vo",6)+IF(D229="sp",5)+IF(D229="gd",6)+IF(D229="sk",6))+IF(C229="R",IF(D229="vo",4)+IF(D229="sp",5)+IF(D229="gd",4)+IF(D229="sk",4)))*R229</f>
        <v>10486</v>
      </c>
      <c r="AH229" s="166">
        <f t="shared" si="198"/>
        <v>10206</v>
      </c>
      <c r="AI229" s="167">
        <f t="shared" ref="AI229:AI260" si="218">W229+(IF(C229="UR",IF(E229="party卡",4,IF(D229="vo",10)+IF(D229="sp",10)+IF(D229="gd",9)+IF(D229="sk",9)))+IF(C229="SR",IF(D229="vo",7)+IF(D229="sp",9)+IF(D229="gd",7)+IF(D229="sk",7))+IF(C229="R",IF(D229="vo",6)+IF(D229="sp",6)+IF(D229="gd",7)+IF(D229="sk",7)))*Q229</f>
        <v>6232</v>
      </c>
      <c r="AJ229" s="168">
        <f t="shared" ref="AJ229:AJ260" si="219">X229+(IF(C229="UR",IF(E229="party卡",4,IF(D229="vo",10)+IF(D229="sp",9)+IF(D229="gd",10)+IF(D229="sk",10)))+IF(C229="SR",IF(D229="vo",9)+IF(D229="sp",7)+IF(D229="gd",7)+IF(D229="sk",9))+IF(C229="R",IF(D229="vo",6)+IF(D229="sp",7)+IF(D229="gd",6)+IF(D229="sk",6)))*R229</f>
        <v>11430</v>
      </c>
      <c r="AK229" s="169">
        <f t="shared" ref="AK229:AK260" si="220">G229+J229</f>
        <v>11016</v>
      </c>
      <c r="AL229" s="167">
        <f t="shared" ref="AL229:AL260" si="221">H229+K229</f>
        <v>6732</v>
      </c>
      <c r="AM229" s="585">
        <f t="shared" ref="AM229:AM260" si="222">I229+L229</f>
        <v>12852</v>
      </c>
      <c r="AN229" s="596">
        <v>0.38</v>
      </c>
      <c r="AO229" s="597">
        <v>0.38500000000000001</v>
      </c>
      <c r="AP229" s="597">
        <v>0.39</v>
      </c>
      <c r="AQ229" s="598">
        <v>0.39500000000000002</v>
      </c>
      <c r="AR229" s="599">
        <v>0.4</v>
      </c>
      <c r="AS229" s="586"/>
      <c r="AT229" s="587"/>
      <c r="AU229" s="587"/>
      <c r="AV229" s="588"/>
      <c r="AW229" s="589"/>
      <c r="AX229" s="596">
        <v>0.04</v>
      </c>
      <c r="AY229" s="598">
        <v>4.2999999999999997E-2</v>
      </c>
      <c r="AZ229" s="598">
        <v>4.5999999999999999E-2</v>
      </c>
      <c r="BA229" s="598">
        <v>4.9000000000000002E-2</v>
      </c>
      <c r="BB229" s="598">
        <v>5.1999999999999998E-2</v>
      </c>
      <c r="BC229" s="590"/>
      <c r="BD229" s="631"/>
      <c r="BE229" s="596"/>
      <c r="BF229" s="598"/>
      <c r="BG229" s="598"/>
      <c r="BH229" s="598"/>
      <c r="BI229" s="598"/>
      <c r="BJ229" s="598"/>
      <c r="BK229" s="605"/>
      <c r="BL229" s="658">
        <f t="shared" si="199"/>
        <v>30000</v>
      </c>
      <c r="BM229" s="3">
        <f t="shared" si="200"/>
        <v>36</v>
      </c>
      <c r="BN229" s="3">
        <f t="shared" si="201"/>
        <v>22</v>
      </c>
      <c r="BO229" s="3">
        <f t="shared" si="202"/>
        <v>42</v>
      </c>
    </row>
    <row r="230" spans="2:67">
      <c r="B230" s="1269" t="s">
        <v>1978</v>
      </c>
      <c r="C230" s="1265" t="s">
        <v>309</v>
      </c>
      <c r="D230" s="1265" t="s">
        <v>23</v>
      </c>
      <c r="E230" s="1267" t="s">
        <v>126</v>
      </c>
      <c r="F230" s="1270">
        <v>227</v>
      </c>
      <c r="G230" s="593">
        <v>7500</v>
      </c>
      <c r="H230" s="594">
        <v>14400</v>
      </c>
      <c r="I230" s="595">
        <v>8100</v>
      </c>
      <c r="J230" s="166">
        <f t="shared" si="189"/>
        <v>150</v>
      </c>
      <c r="K230" s="167">
        <f t="shared" si="190"/>
        <v>288</v>
      </c>
      <c r="L230" s="168">
        <f t="shared" si="191"/>
        <v>162</v>
      </c>
      <c r="M230" s="166">
        <f t="shared" si="192"/>
        <v>187</v>
      </c>
      <c r="N230" s="167">
        <f t="shared" si="193"/>
        <v>360</v>
      </c>
      <c r="O230" s="168">
        <f t="shared" si="194"/>
        <v>202</v>
      </c>
      <c r="P230" s="169">
        <f t="shared" si="195"/>
        <v>281</v>
      </c>
      <c r="Q230" s="169">
        <f t="shared" si="196"/>
        <v>540</v>
      </c>
      <c r="R230" s="169">
        <f t="shared" si="197"/>
        <v>303</v>
      </c>
      <c r="S230" s="584">
        <f t="shared" si="203"/>
        <v>1875</v>
      </c>
      <c r="T230" s="594">
        <f t="shared" si="204"/>
        <v>3600</v>
      </c>
      <c r="U230" s="595">
        <f t="shared" si="205"/>
        <v>2025</v>
      </c>
      <c r="V230" s="166">
        <f t="shared" si="206"/>
        <v>4269</v>
      </c>
      <c r="W230" s="167">
        <f t="shared" si="207"/>
        <v>8208</v>
      </c>
      <c r="X230" s="168">
        <f t="shared" si="208"/>
        <v>4611</v>
      </c>
      <c r="Y230" s="166">
        <f t="shared" si="209"/>
        <v>5112</v>
      </c>
      <c r="Z230" s="167">
        <f t="shared" si="210"/>
        <v>9288</v>
      </c>
      <c r="AA230" s="168">
        <f t="shared" si="211"/>
        <v>4914</v>
      </c>
      <c r="AB230" s="166">
        <f t="shared" si="212"/>
        <v>5393</v>
      </c>
      <c r="AC230" s="167">
        <f t="shared" si="213"/>
        <v>10908</v>
      </c>
      <c r="AD230" s="168">
        <f t="shared" si="214"/>
        <v>5823</v>
      </c>
      <c r="AE230" s="166">
        <f t="shared" si="215"/>
        <v>5955</v>
      </c>
      <c r="AF230" s="167">
        <f t="shared" si="216"/>
        <v>11988</v>
      </c>
      <c r="AG230" s="168">
        <f t="shared" si="217"/>
        <v>7035</v>
      </c>
      <c r="AH230" s="166">
        <f t="shared" si="198"/>
        <v>7079</v>
      </c>
      <c r="AI230" s="167">
        <f t="shared" si="218"/>
        <v>13068</v>
      </c>
      <c r="AJ230" s="168">
        <f t="shared" si="219"/>
        <v>7641</v>
      </c>
      <c r="AK230" s="169">
        <f t="shared" si="220"/>
        <v>7650</v>
      </c>
      <c r="AL230" s="167">
        <f t="shared" si="221"/>
        <v>14688</v>
      </c>
      <c r="AM230" s="585">
        <f t="shared" si="222"/>
        <v>8262</v>
      </c>
      <c r="AN230" s="596">
        <v>0.28000000000000003</v>
      </c>
      <c r="AO230" s="597">
        <v>0.31</v>
      </c>
      <c r="AP230" s="597">
        <v>0.34</v>
      </c>
      <c r="AQ230" s="598">
        <v>0.37</v>
      </c>
      <c r="AR230" s="599">
        <v>0.4</v>
      </c>
      <c r="AS230" s="586"/>
      <c r="AT230" s="587"/>
      <c r="AU230" s="587"/>
      <c r="AV230" s="588"/>
      <c r="AW230" s="589"/>
      <c r="AX230" s="596">
        <v>0.04</v>
      </c>
      <c r="AY230" s="598">
        <v>4.2999999999999997E-2</v>
      </c>
      <c r="AZ230" s="598">
        <v>4.5999999999999999E-2</v>
      </c>
      <c r="BA230" s="598">
        <v>4.9000000000000002E-2</v>
      </c>
      <c r="BB230" s="598">
        <v>5.1999999999999998E-2</v>
      </c>
      <c r="BC230" s="590"/>
      <c r="BD230" s="631"/>
      <c r="BE230" s="596"/>
      <c r="BF230" s="598"/>
      <c r="BG230" s="598"/>
      <c r="BH230" s="598"/>
      <c r="BI230" s="598"/>
      <c r="BJ230" s="598"/>
      <c r="BK230" s="605"/>
      <c r="BL230" s="658">
        <f t="shared" si="199"/>
        <v>30000</v>
      </c>
      <c r="BM230" s="3">
        <f t="shared" si="200"/>
        <v>25</v>
      </c>
      <c r="BN230" s="3">
        <f t="shared" si="201"/>
        <v>48</v>
      </c>
      <c r="BO230" s="3">
        <f t="shared" si="202"/>
        <v>27</v>
      </c>
    </row>
    <row r="231" spans="2:67">
      <c r="B231" s="207" t="s">
        <v>461</v>
      </c>
      <c r="C231" s="883" t="s">
        <v>357</v>
      </c>
      <c r="D231" s="883" t="s">
        <v>14</v>
      </c>
      <c r="E231" s="238" t="s">
        <v>65</v>
      </c>
      <c r="F231" s="592">
        <v>228</v>
      </c>
      <c r="G231" s="593">
        <v>5914</v>
      </c>
      <c r="H231" s="594">
        <v>4561</v>
      </c>
      <c r="I231" s="595">
        <v>6420</v>
      </c>
      <c r="J231" s="166">
        <f t="shared" si="189"/>
        <v>118</v>
      </c>
      <c r="K231" s="167">
        <f t="shared" si="190"/>
        <v>91</v>
      </c>
      <c r="L231" s="168">
        <f t="shared" si="191"/>
        <v>128</v>
      </c>
      <c r="M231" s="166">
        <f t="shared" si="192"/>
        <v>177</v>
      </c>
      <c r="N231" s="167">
        <f t="shared" si="193"/>
        <v>136</v>
      </c>
      <c r="O231" s="168">
        <f t="shared" si="194"/>
        <v>192</v>
      </c>
      <c r="P231" s="169">
        <f t="shared" si="195"/>
        <v>236</v>
      </c>
      <c r="Q231" s="169">
        <f t="shared" si="196"/>
        <v>182</v>
      </c>
      <c r="R231" s="169">
        <f t="shared" si="197"/>
        <v>256</v>
      </c>
      <c r="S231" s="584">
        <f t="shared" si="203"/>
        <v>1774</v>
      </c>
      <c r="T231" s="594">
        <f t="shared" si="204"/>
        <v>1368</v>
      </c>
      <c r="U231" s="595">
        <f t="shared" si="205"/>
        <v>1926</v>
      </c>
      <c r="V231" s="166">
        <f t="shared" si="206"/>
        <v>3662</v>
      </c>
      <c r="W231" s="167">
        <f t="shared" si="207"/>
        <v>2819</v>
      </c>
      <c r="X231" s="168">
        <f t="shared" si="208"/>
        <v>3974</v>
      </c>
      <c r="Y231" s="166">
        <f t="shared" si="209"/>
        <v>4134</v>
      </c>
      <c r="Z231" s="167">
        <f t="shared" si="210"/>
        <v>3183</v>
      </c>
      <c r="AA231" s="168">
        <f t="shared" si="211"/>
        <v>4486</v>
      </c>
      <c r="AB231" s="166">
        <f t="shared" si="212"/>
        <v>4606</v>
      </c>
      <c r="AC231" s="167">
        <f t="shared" si="213"/>
        <v>3547</v>
      </c>
      <c r="AD231" s="168">
        <f t="shared" si="214"/>
        <v>4998</v>
      </c>
      <c r="AE231" s="166">
        <f t="shared" si="215"/>
        <v>5078</v>
      </c>
      <c r="AF231" s="167">
        <f t="shared" si="216"/>
        <v>3911</v>
      </c>
      <c r="AG231" s="168">
        <f t="shared" si="217"/>
        <v>5254</v>
      </c>
      <c r="AH231" s="166">
        <f t="shared" si="198"/>
        <v>5314</v>
      </c>
      <c r="AI231" s="167">
        <f t="shared" si="218"/>
        <v>4457</v>
      </c>
      <c r="AJ231" s="168">
        <f t="shared" si="219"/>
        <v>5766</v>
      </c>
      <c r="AK231" s="169">
        <f t="shared" si="220"/>
        <v>6032</v>
      </c>
      <c r="AL231" s="167">
        <f t="shared" si="221"/>
        <v>4652</v>
      </c>
      <c r="AM231" s="585">
        <f t="shared" si="222"/>
        <v>6548</v>
      </c>
      <c r="AN231" s="596">
        <v>0.05</v>
      </c>
      <c r="AO231" s="597">
        <v>5.5E-2</v>
      </c>
      <c r="AP231" s="597">
        <v>0.06</v>
      </c>
      <c r="AQ231" s="598">
        <v>6.5000000000000002E-2</v>
      </c>
      <c r="AR231" s="599">
        <v>7.0000000000000007E-2</v>
      </c>
      <c r="AS231" s="586"/>
      <c r="AT231" s="587"/>
      <c r="AU231" s="587"/>
      <c r="AV231" s="588"/>
      <c r="AW231" s="589"/>
      <c r="AX231" s="596">
        <v>0.02</v>
      </c>
      <c r="AY231" s="598">
        <v>2.3E-2</v>
      </c>
      <c r="AZ231" s="598">
        <v>2.5999999999999999E-2</v>
      </c>
      <c r="BA231" s="598">
        <v>2.9000000000000001E-2</v>
      </c>
      <c r="BB231" s="598">
        <v>3.2000000000000001E-2</v>
      </c>
      <c r="BC231" s="590"/>
      <c r="BD231" s="631"/>
      <c r="BE231" s="596"/>
      <c r="BF231" s="598"/>
      <c r="BG231" s="598"/>
      <c r="BH231" s="598"/>
      <c r="BI231" s="598"/>
      <c r="BJ231" s="598"/>
      <c r="BK231" s="605"/>
      <c r="BL231" s="658">
        <f t="shared" si="199"/>
        <v>16900</v>
      </c>
      <c r="BM231" s="3">
        <f t="shared" si="200"/>
        <v>35</v>
      </c>
      <c r="BN231" s="3">
        <f t="shared" si="201"/>
        <v>27</v>
      </c>
      <c r="BO231" s="3">
        <f t="shared" si="202"/>
        <v>38</v>
      </c>
    </row>
    <row r="232" spans="2:67">
      <c r="B232" s="207" t="s">
        <v>417</v>
      </c>
      <c r="C232" s="890" t="s">
        <v>357</v>
      </c>
      <c r="D232" s="890" t="s">
        <v>358</v>
      </c>
      <c r="E232" s="238" t="s">
        <v>65</v>
      </c>
      <c r="F232" s="592">
        <v>229</v>
      </c>
      <c r="G232" s="593">
        <v>7266</v>
      </c>
      <c r="H232" s="594">
        <v>4393</v>
      </c>
      <c r="I232" s="595">
        <v>5237</v>
      </c>
      <c r="J232" s="166">
        <f t="shared" si="189"/>
        <v>145</v>
      </c>
      <c r="K232" s="167">
        <f t="shared" si="190"/>
        <v>87</v>
      </c>
      <c r="L232" s="168">
        <f t="shared" si="191"/>
        <v>104</v>
      </c>
      <c r="M232" s="166">
        <f t="shared" si="192"/>
        <v>218</v>
      </c>
      <c r="N232" s="167">
        <f t="shared" si="193"/>
        <v>131</v>
      </c>
      <c r="O232" s="168">
        <f t="shared" si="194"/>
        <v>157</v>
      </c>
      <c r="P232" s="169">
        <f t="shared" si="195"/>
        <v>290</v>
      </c>
      <c r="Q232" s="169">
        <f t="shared" si="196"/>
        <v>175</v>
      </c>
      <c r="R232" s="169">
        <f t="shared" si="197"/>
        <v>209</v>
      </c>
      <c r="S232" s="584">
        <f t="shared" si="203"/>
        <v>2180</v>
      </c>
      <c r="T232" s="594">
        <f t="shared" si="204"/>
        <v>1318</v>
      </c>
      <c r="U232" s="595">
        <f t="shared" si="205"/>
        <v>1571</v>
      </c>
      <c r="V232" s="166">
        <f t="shared" si="206"/>
        <v>4505</v>
      </c>
      <c r="W232" s="167">
        <f t="shared" si="207"/>
        <v>2715</v>
      </c>
      <c r="X232" s="168">
        <f t="shared" si="208"/>
        <v>3245</v>
      </c>
      <c r="Y232" s="166">
        <f t="shared" si="209"/>
        <v>5085</v>
      </c>
      <c r="Z232" s="167">
        <f t="shared" si="210"/>
        <v>3065</v>
      </c>
      <c r="AA232" s="168">
        <f t="shared" si="211"/>
        <v>3663</v>
      </c>
      <c r="AB232" s="166">
        <f t="shared" si="212"/>
        <v>5665</v>
      </c>
      <c r="AC232" s="167">
        <f t="shared" si="213"/>
        <v>3415</v>
      </c>
      <c r="AD232" s="168">
        <f t="shared" si="214"/>
        <v>4081</v>
      </c>
      <c r="AE232" s="166">
        <f t="shared" si="215"/>
        <v>5955</v>
      </c>
      <c r="AF232" s="167">
        <f t="shared" si="216"/>
        <v>3765</v>
      </c>
      <c r="AG232" s="168">
        <f t="shared" si="217"/>
        <v>4499</v>
      </c>
      <c r="AH232" s="166">
        <f t="shared" si="198"/>
        <v>6535</v>
      </c>
      <c r="AI232" s="167">
        <f t="shared" si="218"/>
        <v>3940</v>
      </c>
      <c r="AJ232" s="168">
        <f t="shared" si="219"/>
        <v>5126</v>
      </c>
      <c r="AK232" s="169">
        <f t="shared" si="220"/>
        <v>7411</v>
      </c>
      <c r="AL232" s="167">
        <f t="shared" si="221"/>
        <v>4480</v>
      </c>
      <c r="AM232" s="585">
        <f t="shared" si="222"/>
        <v>5341</v>
      </c>
      <c r="AN232" s="596">
        <v>0.25</v>
      </c>
      <c r="AO232" s="597">
        <v>0.28000000000000003</v>
      </c>
      <c r="AP232" s="597">
        <v>0.31</v>
      </c>
      <c r="AQ232" s="598">
        <v>0.34</v>
      </c>
      <c r="AR232" s="599">
        <v>0.37</v>
      </c>
      <c r="AS232" s="586"/>
      <c r="AT232" s="587"/>
      <c r="AU232" s="587"/>
      <c r="AV232" s="588"/>
      <c r="AW232" s="589"/>
      <c r="AX232" s="596">
        <v>0.02</v>
      </c>
      <c r="AY232" s="598">
        <v>2.3E-2</v>
      </c>
      <c r="AZ232" s="598">
        <v>2.5999999999999999E-2</v>
      </c>
      <c r="BA232" s="598">
        <v>2.9000000000000001E-2</v>
      </c>
      <c r="BB232" s="598">
        <v>3.2000000000000001E-2</v>
      </c>
      <c r="BC232" s="590"/>
      <c r="BD232" s="631"/>
      <c r="BE232" s="596"/>
      <c r="BF232" s="598"/>
      <c r="BG232" s="598"/>
      <c r="BH232" s="598"/>
      <c r="BI232" s="598"/>
      <c r="BJ232" s="598"/>
      <c r="BK232" s="605"/>
      <c r="BL232" s="658">
        <f t="shared" si="199"/>
        <v>16900</v>
      </c>
      <c r="BM232" s="3">
        <f t="shared" si="200"/>
        <v>43</v>
      </c>
      <c r="BN232" s="3">
        <f t="shared" si="201"/>
        <v>26</v>
      </c>
      <c r="BO232" s="3">
        <f t="shared" si="202"/>
        <v>31</v>
      </c>
    </row>
    <row r="233" spans="2:67">
      <c r="B233" s="1269" t="s">
        <v>1757</v>
      </c>
      <c r="C233" s="1265" t="s">
        <v>309</v>
      </c>
      <c r="D233" s="1265" t="s">
        <v>70</v>
      </c>
      <c r="E233" s="1267" t="s">
        <v>65</v>
      </c>
      <c r="F233" s="592">
        <v>230</v>
      </c>
      <c r="G233" s="593">
        <v>10724</v>
      </c>
      <c r="H233" s="594">
        <v>5773</v>
      </c>
      <c r="I233" s="595">
        <v>11000</v>
      </c>
      <c r="J233" s="166">
        <f t="shared" si="189"/>
        <v>214</v>
      </c>
      <c r="K233" s="167">
        <f t="shared" si="190"/>
        <v>115</v>
      </c>
      <c r="L233" s="168">
        <f t="shared" si="191"/>
        <v>220</v>
      </c>
      <c r="M233" s="166">
        <f t="shared" si="192"/>
        <v>268</v>
      </c>
      <c r="N233" s="167">
        <f t="shared" si="193"/>
        <v>144</v>
      </c>
      <c r="O233" s="168">
        <f t="shared" si="194"/>
        <v>275</v>
      </c>
      <c r="P233" s="169">
        <f t="shared" si="195"/>
        <v>402</v>
      </c>
      <c r="Q233" s="169">
        <f t="shared" si="196"/>
        <v>216</v>
      </c>
      <c r="R233" s="169">
        <f t="shared" si="197"/>
        <v>412</v>
      </c>
      <c r="S233" s="584">
        <f t="shared" si="203"/>
        <v>2681</v>
      </c>
      <c r="T233" s="594">
        <f t="shared" si="204"/>
        <v>1443</v>
      </c>
      <c r="U233" s="595">
        <f t="shared" si="205"/>
        <v>2750</v>
      </c>
      <c r="V233" s="166">
        <f t="shared" si="206"/>
        <v>6111</v>
      </c>
      <c r="W233" s="167">
        <f t="shared" si="207"/>
        <v>3286</v>
      </c>
      <c r="X233" s="168">
        <f t="shared" si="208"/>
        <v>6270</v>
      </c>
      <c r="Y233" s="166">
        <f t="shared" si="209"/>
        <v>6513</v>
      </c>
      <c r="Z233" s="167">
        <f t="shared" si="210"/>
        <v>3718</v>
      </c>
      <c r="AA233" s="168">
        <f t="shared" si="211"/>
        <v>7506</v>
      </c>
      <c r="AB233" s="166">
        <f t="shared" si="212"/>
        <v>7719</v>
      </c>
      <c r="AC233" s="167">
        <f t="shared" si="213"/>
        <v>4366</v>
      </c>
      <c r="AD233" s="168">
        <f t="shared" si="214"/>
        <v>7918</v>
      </c>
      <c r="AE233" s="166">
        <f t="shared" si="215"/>
        <v>9327</v>
      </c>
      <c r="AF233" s="167">
        <f t="shared" si="216"/>
        <v>4798</v>
      </c>
      <c r="AG233" s="168">
        <f t="shared" si="217"/>
        <v>8742</v>
      </c>
      <c r="AH233" s="166">
        <f t="shared" si="198"/>
        <v>10131</v>
      </c>
      <c r="AI233" s="167">
        <f t="shared" si="218"/>
        <v>5230</v>
      </c>
      <c r="AJ233" s="168">
        <f t="shared" si="219"/>
        <v>10390</v>
      </c>
      <c r="AK233" s="169">
        <f t="shared" si="220"/>
        <v>10938</v>
      </c>
      <c r="AL233" s="167">
        <f t="shared" si="221"/>
        <v>5888</v>
      </c>
      <c r="AM233" s="585">
        <f t="shared" si="222"/>
        <v>11220</v>
      </c>
      <c r="AN233" s="596">
        <v>0.06</v>
      </c>
      <c r="AO233" s="597">
        <v>6.5000000000000002E-2</v>
      </c>
      <c r="AP233" s="597">
        <v>7.0000000000000007E-2</v>
      </c>
      <c r="AQ233" s="598">
        <v>7.4999999999999997E-2</v>
      </c>
      <c r="AR233" s="599">
        <v>0.08</v>
      </c>
      <c r="AS233" s="586"/>
      <c r="AT233" s="587"/>
      <c r="AU233" s="587"/>
      <c r="AV233" s="588"/>
      <c r="AW233" s="589"/>
      <c r="AX233" s="596">
        <v>0.04</v>
      </c>
      <c r="AY233" s="598">
        <v>4.2999999999999997E-2</v>
      </c>
      <c r="AZ233" s="598">
        <v>4.5999999999999999E-2</v>
      </c>
      <c r="BA233" s="598">
        <v>4.9000000000000002E-2</v>
      </c>
      <c r="BB233" s="598">
        <v>5.1999999999999998E-2</v>
      </c>
      <c r="BC233" s="590"/>
      <c r="BD233" s="631"/>
      <c r="BE233" s="596"/>
      <c r="BF233" s="598"/>
      <c r="BG233" s="598"/>
      <c r="BH233" s="598"/>
      <c r="BI233" s="598"/>
      <c r="BJ233" s="598"/>
      <c r="BK233" s="605"/>
      <c r="BL233" s="658">
        <f t="shared" si="199"/>
        <v>27500</v>
      </c>
      <c r="BM233" s="3">
        <f t="shared" si="200"/>
        <v>39</v>
      </c>
      <c r="BN233" s="3">
        <f t="shared" si="201"/>
        <v>21</v>
      </c>
      <c r="BO233" s="3">
        <f t="shared" si="202"/>
        <v>40</v>
      </c>
    </row>
    <row r="234" spans="2:67">
      <c r="B234" s="207" t="s">
        <v>382</v>
      </c>
      <c r="C234" s="890" t="s">
        <v>357</v>
      </c>
      <c r="D234" s="890" t="s">
        <v>359</v>
      </c>
      <c r="E234" s="238" t="s">
        <v>65</v>
      </c>
      <c r="F234" s="592">
        <v>231</v>
      </c>
      <c r="G234" s="593">
        <v>4561</v>
      </c>
      <c r="H234" s="594">
        <v>6760</v>
      </c>
      <c r="I234" s="595">
        <v>5576</v>
      </c>
      <c r="J234" s="166">
        <f t="shared" si="189"/>
        <v>91</v>
      </c>
      <c r="K234" s="167">
        <f t="shared" si="190"/>
        <v>135</v>
      </c>
      <c r="L234" s="168">
        <f t="shared" si="191"/>
        <v>111</v>
      </c>
      <c r="M234" s="166">
        <f t="shared" si="192"/>
        <v>136</v>
      </c>
      <c r="N234" s="167">
        <f t="shared" si="193"/>
        <v>202</v>
      </c>
      <c r="O234" s="168">
        <f t="shared" si="194"/>
        <v>167</v>
      </c>
      <c r="P234" s="169">
        <f t="shared" si="195"/>
        <v>182</v>
      </c>
      <c r="Q234" s="169">
        <f t="shared" si="196"/>
        <v>270</v>
      </c>
      <c r="R234" s="169">
        <f t="shared" si="197"/>
        <v>223</v>
      </c>
      <c r="S234" s="584">
        <f t="shared" si="203"/>
        <v>1368</v>
      </c>
      <c r="T234" s="594">
        <f t="shared" si="204"/>
        <v>2028</v>
      </c>
      <c r="U234" s="595">
        <f t="shared" si="205"/>
        <v>1673</v>
      </c>
      <c r="V234" s="166">
        <f t="shared" si="206"/>
        <v>2819</v>
      </c>
      <c r="W234" s="167">
        <f t="shared" si="207"/>
        <v>4183</v>
      </c>
      <c r="X234" s="168">
        <f t="shared" si="208"/>
        <v>3454</v>
      </c>
      <c r="Y234" s="166">
        <f t="shared" si="209"/>
        <v>3183</v>
      </c>
      <c r="Z234" s="167">
        <f t="shared" si="210"/>
        <v>4723</v>
      </c>
      <c r="AA234" s="168">
        <f t="shared" si="211"/>
        <v>3900</v>
      </c>
      <c r="AB234" s="166">
        <f t="shared" si="212"/>
        <v>3547</v>
      </c>
      <c r="AC234" s="167">
        <f t="shared" si="213"/>
        <v>5263</v>
      </c>
      <c r="AD234" s="168">
        <f t="shared" si="214"/>
        <v>4346</v>
      </c>
      <c r="AE234" s="166">
        <f t="shared" si="215"/>
        <v>3911</v>
      </c>
      <c r="AF234" s="167">
        <f t="shared" si="216"/>
        <v>5533</v>
      </c>
      <c r="AG234" s="168">
        <f t="shared" si="217"/>
        <v>4792</v>
      </c>
      <c r="AH234" s="166">
        <f t="shared" si="198"/>
        <v>4457</v>
      </c>
      <c r="AI234" s="167">
        <f t="shared" si="218"/>
        <v>6073</v>
      </c>
      <c r="AJ234" s="168">
        <f t="shared" si="219"/>
        <v>5015</v>
      </c>
      <c r="AK234" s="169">
        <f t="shared" si="220"/>
        <v>4652</v>
      </c>
      <c r="AL234" s="167">
        <f t="shared" si="221"/>
        <v>6895</v>
      </c>
      <c r="AM234" s="585">
        <f t="shared" si="222"/>
        <v>5687</v>
      </c>
      <c r="AN234" s="596">
        <v>7.0000000000000007E-2</v>
      </c>
      <c r="AO234" s="597">
        <v>0.08</v>
      </c>
      <c r="AP234" s="597">
        <v>0.09</v>
      </c>
      <c r="AQ234" s="598">
        <v>0.1</v>
      </c>
      <c r="AR234" s="599">
        <v>0.11</v>
      </c>
      <c r="AS234" s="586"/>
      <c r="AT234" s="587"/>
      <c r="AU234" s="587"/>
      <c r="AV234" s="588"/>
      <c r="AW234" s="589"/>
      <c r="AX234" s="596">
        <v>0.02</v>
      </c>
      <c r="AY234" s="598">
        <v>2.3E-2</v>
      </c>
      <c r="AZ234" s="598">
        <v>2.5999999999999999E-2</v>
      </c>
      <c r="BA234" s="598">
        <v>2.9000000000000001E-2</v>
      </c>
      <c r="BB234" s="598">
        <v>3.2000000000000001E-2</v>
      </c>
      <c r="BC234" s="590"/>
      <c r="BD234" s="631"/>
      <c r="BE234" s="596"/>
      <c r="BF234" s="598"/>
      <c r="BG234" s="598"/>
      <c r="BH234" s="598"/>
      <c r="BI234" s="598"/>
      <c r="BJ234" s="598"/>
      <c r="BK234" s="605"/>
      <c r="BL234" s="658">
        <f t="shared" si="199"/>
        <v>16900</v>
      </c>
      <c r="BM234" s="3">
        <f t="shared" si="200"/>
        <v>27</v>
      </c>
      <c r="BN234" s="3">
        <f t="shared" si="201"/>
        <v>40</v>
      </c>
      <c r="BO234" s="3">
        <f t="shared" si="202"/>
        <v>33</v>
      </c>
    </row>
    <row r="235" spans="2:67">
      <c r="B235" s="1269" t="s">
        <v>111</v>
      </c>
      <c r="C235" s="1265" t="s">
        <v>309</v>
      </c>
      <c r="D235" s="1265" t="s">
        <v>23</v>
      </c>
      <c r="E235" s="1267" t="s">
        <v>65</v>
      </c>
      <c r="F235" s="1270">
        <v>232</v>
      </c>
      <c r="G235" s="593">
        <v>7560</v>
      </c>
      <c r="H235" s="594">
        <v>11340</v>
      </c>
      <c r="I235" s="595">
        <v>8100</v>
      </c>
      <c r="J235" s="166">
        <f t="shared" si="189"/>
        <v>151</v>
      </c>
      <c r="K235" s="167">
        <f t="shared" si="190"/>
        <v>226</v>
      </c>
      <c r="L235" s="168">
        <f t="shared" si="191"/>
        <v>162</v>
      </c>
      <c r="M235" s="166">
        <f t="shared" si="192"/>
        <v>189</v>
      </c>
      <c r="N235" s="167">
        <f t="shared" si="193"/>
        <v>283</v>
      </c>
      <c r="O235" s="168">
        <f t="shared" si="194"/>
        <v>202</v>
      </c>
      <c r="P235" s="169">
        <f t="shared" si="195"/>
        <v>283</v>
      </c>
      <c r="Q235" s="169">
        <f t="shared" si="196"/>
        <v>425</v>
      </c>
      <c r="R235" s="169">
        <f t="shared" si="197"/>
        <v>303</v>
      </c>
      <c r="S235" s="584">
        <f t="shared" si="203"/>
        <v>1890</v>
      </c>
      <c r="T235" s="594">
        <f t="shared" si="204"/>
        <v>2835</v>
      </c>
      <c r="U235" s="595">
        <f t="shared" si="205"/>
        <v>2025</v>
      </c>
      <c r="V235" s="166">
        <f t="shared" si="206"/>
        <v>4309</v>
      </c>
      <c r="W235" s="167">
        <f t="shared" si="207"/>
        <v>6457</v>
      </c>
      <c r="X235" s="168">
        <f t="shared" si="208"/>
        <v>4611</v>
      </c>
      <c r="Y235" s="166">
        <f t="shared" si="209"/>
        <v>5158</v>
      </c>
      <c r="Z235" s="167">
        <f t="shared" si="210"/>
        <v>7307</v>
      </c>
      <c r="AA235" s="168">
        <f t="shared" si="211"/>
        <v>4914</v>
      </c>
      <c r="AB235" s="166">
        <f t="shared" si="212"/>
        <v>5441</v>
      </c>
      <c r="AC235" s="167">
        <f t="shared" si="213"/>
        <v>8582</v>
      </c>
      <c r="AD235" s="168">
        <f t="shared" si="214"/>
        <v>5823</v>
      </c>
      <c r="AE235" s="166">
        <f t="shared" si="215"/>
        <v>6007</v>
      </c>
      <c r="AF235" s="167">
        <f t="shared" si="216"/>
        <v>9432</v>
      </c>
      <c r="AG235" s="168">
        <f t="shared" si="217"/>
        <v>7035</v>
      </c>
      <c r="AH235" s="166">
        <f t="shared" si="198"/>
        <v>7139</v>
      </c>
      <c r="AI235" s="167">
        <f t="shared" si="218"/>
        <v>10282</v>
      </c>
      <c r="AJ235" s="168">
        <f t="shared" si="219"/>
        <v>7641</v>
      </c>
      <c r="AK235" s="169">
        <f t="shared" si="220"/>
        <v>7711</v>
      </c>
      <c r="AL235" s="167">
        <f t="shared" si="221"/>
        <v>11566</v>
      </c>
      <c r="AM235" s="585">
        <f t="shared" si="222"/>
        <v>8262</v>
      </c>
      <c r="AN235" s="596">
        <v>0.1</v>
      </c>
      <c r="AO235" s="597">
        <v>0.11</v>
      </c>
      <c r="AP235" s="597">
        <v>0.12</v>
      </c>
      <c r="AQ235" s="598">
        <v>0.13</v>
      </c>
      <c r="AR235" s="599">
        <v>0.14000000000000001</v>
      </c>
      <c r="AS235" s="586"/>
      <c r="AT235" s="587"/>
      <c r="AU235" s="587"/>
      <c r="AV235" s="588"/>
      <c r="AW235" s="589"/>
      <c r="AX235" s="596">
        <v>0.05</v>
      </c>
      <c r="AY235" s="598">
        <v>5.5E-2</v>
      </c>
      <c r="AZ235" s="598">
        <v>0.06</v>
      </c>
      <c r="BA235" s="598">
        <v>6.5000000000000002E-2</v>
      </c>
      <c r="BB235" s="598">
        <v>7.0000000000000007E-2</v>
      </c>
      <c r="BC235" s="590"/>
      <c r="BD235" s="631"/>
      <c r="BE235" s="596"/>
      <c r="BF235" s="598"/>
      <c r="BG235" s="598"/>
      <c r="BH235" s="598"/>
      <c r="BI235" s="598"/>
      <c r="BJ235" s="598"/>
      <c r="BK235" s="605"/>
      <c r="BL235" s="658">
        <f t="shared" si="199"/>
        <v>27000</v>
      </c>
      <c r="BM235" s="3">
        <f t="shared" si="200"/>
        <v>28</v>
      </c>
      <c r="BN235" s="3">
        <f t="shared" si="201"/>
        <v>42</v>
      </c>
      <c r="BO235" s="3">
        <f t="shared" si="202"/>
        <v>30</v>
      </c>
    </row>
    <row r="236" spans="2:67">
      <c r="B236" s="1269" t="s">
        <v>95</v>
      </c>
      <c r="C236" s="1265" t="s">
        <v>309</v>
      </c>
      <c r="D236" s="1265" t="s">
        <v>14</v>
      </c>
      <c r="E236" s="1267" t="s">
        <v>125</v>
      </c>
      <c r="F236" s="592">
        <v>233</v>
      </c>
      <c r="G236" s="593">
        <v>8549</v>
      </c>
      <c r="H236" s="594">
        <v>6073</v>
      </c>
      <c r="I236" s="595">
        <v>7873</v>
      </c>
      <c r="J236" s="166">
        <f t="shared" si="189"/>
        <v>171</v>
      </c>
      <c r="K236" s="167">
        <f t="shared" si="190"/>
        <v>121</v>
      </c>
      <c r="L236" s="168">
        <f t="shared" si="191"/>
        <v>157</v>
      </c>
      <c r="M236" s="166">
        <f t="shared" si="192"/>
        <v>213</v>
      </c>
      <c r="N236" s="167">
        <f t="shared" si="193"/>
        <v>151</v>
      </c>
      <c r="O236" s="168">
        <f t="shared" si="194"/>
        <v>196</v>
      </c>
      <c r="P236" s="169">
        <f t="shared" si="195"/>
        <v>320</v>
      </c>
      <c r="Q236" s="169">
        <f t="shared" si="196"/>
        <v>227</v>
      </c>
      <c r="R236" s="169">
        <f t="shared" si="197"/>
        <v>295</v>
      </c>
      <c r="S236" s="584">
        <f t="shared" si="203"/>
        <v>2137</v>
      </c>
      <c r="T236" s="594">
        <f t="shared" si="204"/>
        <v>1518</v>
      </c>
      <c r="U236" s="595">
        <f t="shared" si="205"/>
        <v>1968</v>
      </c>
      <c r="V236" s="166">
        <f t="shared" si="206"/>
        <v>4864</v>
      </c>
      <c r="W236" s="167">
        <f t="shared" si="207"/>
        <v>3451</v>
      </c>
      <c r="X236" s="168">
        <f t="shared" si="208"/>
        <v>4477</v>
      </c>
      <c r="Y236" s="166">
        <f t="shared" si="209"/>
        <v>5184</v>
      </c>
      <c r="Z236" s="167">
        <f t="shared" si="210"/>
        <v>4132</v>
      </c>
      <c r="AA236" s="168">
        <f t="shared" si="211"/>
        <v>5067</v>
      </c>
      <c r="AB236" s="166">
        <f t="shared" si="212"/>
        <v>6144</v>
      </c>
      <c r="AC236" s="167">
        <f t="shared" si="213"/>
        <v>4359</v>
      </c>
      <c r="AD236" s="168">
        <f t="shared" si="214"/>
        <v>5952</v>
      </c>
      <c r="AE236" s="166">
        <f t="shared" si="215"/>
        <v>7424</v>
      </c>
      <c r="AF236" s="167">
        <f t="shared" si="216"/>
        <v>4813</v>
      </c>
      <c r="AG236" s="168">
        <f t="shared" si="217"/>
        <v>6542</v>
      </c>
      <c r="AH236" s="166">
        <f t="shared" si="198"/>
        <v>8064</v>
      </c>
      <c r="AI236" s="167">
        <f t="shared" si="218"/>
        <v>5721</v>
      </c>
      <c r="AJ236" s="168">
        <f t="shared" si="219"/>
        <v>7132</v>
      </c>
      <c r="AK236" s="169">
        <f t="shared" si="220"/>
        <v>8720</v>
      </c>
      <c r="AL236" s="167">
        <f t="shared" si="221"/>
        <v>6194</v>
      </c>
      <c r="AM236" s="585">
        <f t="shared" si="222"/>
        <v>8030</v>
      </c>
      <c r="AN236" s="596">
        <v>0.05</v>
      </c>
      <c r="AO236" s="597">
        <v>5.5E-2</v>
      </c>
      <c r="AP236" s="597">
        <v>0.06</v>
      </c>
      <c r="AQ236" s="598">
        <v>6.5000000000000002E-2</v>
      </c>
      <c r="AR236" s="599">
        <v>7.0000000000000007E-2</v>
      </c>
      <c r="AS236" s="586"/>
      <c r="AT236" s="587"/>
      <c r="AU236" s="587"/>
      <c r="AV236" s="588"/>
      <c r="AW236" s="589"/>
      <c r="AX236" s="596">
        <v>0.03</v>
      </c>
      <c r="AY236" s="598">
        <v>3.3000000000000002E-2</v>
      </c>
      <c r="AZ236" s="598">
        <v>3.5999999999999997E-2</v>
      </c>
      <c r="BA236" s="598">
        <v>3.9E-2</v>
      </c>
      <c r="BB236" s="598">
        <v>4.2000000000000003E-2</v>
      </c>
      <c r="BC236" s="590"/>
      <c r="BD236" s="631"/>
      <c r="BE236" s="596"/>
      <c r="BF236" s="598"/>
      <c r="BG236" s="598"/>
      <c r="BH236" s="598"/>
      <c r="BI236" s="598"/>
      <c r="BJ236" s="598"/>
      <c r="BK236" s="605"/>
      <c r="BL236" s="658">
        <f t="shared" si="199"/>
        <v>22500</v>
      </c>
      <c r="BM236" s="3">
        <f t="shared" si="200"/>
        <v>38</v>
      </c>
      <c r="BN236" s="3">
        <f t="shared" si="201"/>
        <v>27</v>
      </c>
      <c r="BO236" s="3">
        <f t="shared" si="202"/>
        <v>35</v>
      </c>
    </row>
    <row r="237" spans="2:67">
      <c r="B237" s="207" t="s">
        <v>462</v>
      </c>
      <c r="C237" s="890" t="s">
        <v>357</v>
      </c>
      <c r="D237" s="890" t="s">
        <v>13</v>
      </c>
      <c r="E237" s="238" t="s">
        <v>125</v>
      </c>
      <c r="F237" s="592">
        <v>234</v>
      </c>
      <c r="G237" s="593">
        <v>6531</v>
      </c>
      <c r="H237" s="594">
        <v>3057</v>
      </c>
      <c r="I237" s="595">
        <v>4307</v>
      </c>
      <c r="J237" s="166">
        <f t="shared" si="189"/>
        <v>130</v>
      </c>
      <c r="K237" s="167">
        <f t="shared" si="190"/>
        <v>61</v>
      </c>
      <c r="L237" s="168">
        <f t="shared" si="191"/>
        <v>86</v>
      </c>
      <c r="M237" s="166">
        <f t="shared" si="192"/>
        <v>195</v>
      </c>
      <c r="N237" s="167">
        <f t="shared" si="193"/>
        <v>91</v>
      </c>
      <c r="O237" s="168">
        <f t="shared" si="194"/>
        <v>129</v>
      </c>
      <c r="P237" s="169">
        <f t="shared" si="195"/>
        <v>261</v>
      </c>
      <c r="Q237" s="169">
        <f t="shared" si="196"/>
        <v>122</v>
      </c>
      <c r="R237" s="169">
        <f t="shared" si="197"/>
        <v>172</v>
      </c>
      <c r="S237" s="584">
        <f t="shared" si="203"/>
        <v>1959</v>
      </c>
      <c r="T237" s="594">
        <f t="shared" si="204"/>
        <v>917</v>
      </c>
      <c r="U237" s="595">
        <f t="shared" si="205"/>
        <v>1292</v>
      </c>
      <c r="V237" s="166">
        <f t="shared" si="206"/>
        <v>4039</v>
      </c>
      <c r="W237" s="167">
        <f t="shared" si="207"/>
        <v>1888</v>
      </c>
      <c r="X237" s="168">
        <f t="shared" si="208"/>
        <v>2668</v>
      </c>
      <c r="Y237" s="166">
        <f t="shared" si="209"/>
        <v>4561</v>
      </c>
      <c r="Z237" s="167">
        <f t="shared" si="210"/>
        <v>2132</v>
      </c>
      <c r="AA237" s="168">
        <f t="shared" si="211"/>
        <v>3012</v>
      </c>
      <c r="AB237" s="166">
        <f t="shared" si="212"/>
        <v>5083</v>
      </c>
      <c r="AC237" s="167">
        <f t="shared" si="213"/>
        <v>2376</v>
      </c>
      <c r="AD237" s="168">
        <f t="shared" si="214"/>
        <v>3356</v>
      </c>
      <c r="AE237" s="166">
        <f t="shared" si="215"/>
        <v>5344</v>
      </c>
      <c r="AF237" s="167">
        <f t="shared" si="216"/>
        <v>2620</v>
      </c>
      <c r="AG237" s="168">
        <f t="shared" si="217"/>
        <v>3700</v>
      </c>
      <c r="AH237" s="166">
        <f t="shared" si="198"/>
        <v>5866</v>
      </c>
      <c r="AI237" s="167">
        <f t="shared" si="218"/>
        <v>2742</v>
      </c>
      <c r="AJ237" s="168">
        <f t="shared" si="219"/>
        <v>4216</v>
      </c>
      <c r="AK237" s="169">
        <f t="shared" si="220"/>
        <v>6661</v>
      </c>
      <c r="AL237" s="167">
        <f t="shared" si="221"/>
        <v>3118</v>
      </c>
      <c r="AM237" s="585">
        <f t="shared" si="222"/>
        <v>4393</v>
      </c>
      <c r="AN237" s="596">
        <v>0.25</v>
      </c>
      <c r="AO237" s="597">
        <v>0.28000000000000003</v>
      </c>
      <c r="AP237" s="597">
        <v>0.31</v>
      </c>
      <c r="AQ237" s="598">
        <v>0.34</v>
      </c>
      <c r="AR237" s="599">
        <v>0.37</v>
      </c>
      <c r="AS237" s="586"/>
      <c r="AT237" s="587"/>
      <c r="AU237" s="587"/>
      <c r="AV237" s="588"/>
      <c r="AW237" s="589"/>
      <c r="AX237" s="596">
        <v>0.02</v>
      </c>
      <c r="AY237" s="598">
        <v>2.3E-2</v>
      </c>
      <c r="AZ237" s="598">
        <v>2.5999999999999999E-2</v>
      </c>
      <c r="BA237" s="598">
        <v>2.9000000000000001E-2</v>
      </c>
      <c r="BB237" s="598">
        <v>3.2000000000000001E-2</v>
      </c>
      <c r="BC237" s="590"/>
      <c r="BD237" s="631"/>
      <c r="BE237" s="596"/>
      <c r="BF237" s="598"/>
      <c r="BG237" s="598"/>
      <c r="BH237" s="598"/>
      <c r="BI237" s="598"/>
      <c r="BJ237" s="598"/>
      <c r="BK237" s="605"/>
      <c r="BL237" s="658">
        <f t="shared" si="199"/>
        <v>13900</v>
      </c>
      <c r="BM237" s="3">
        <f t="shared" si="200"/>
        <v>47</v>
      </c>
      <c r="BN237" s="3">
        <f t="shared" si="201"/>
        <v>22</v>
      </c>
      <c r="BO237" s="3">
        <f t="shared" si="202"/>
        <v>31</v>
      </c>
    </row>
    <row r="238" spans="2:67">
      <c r="B238" s="207" t="s">
        <v>418</v>
      </c>
      <c r="C238" s="883" t="s">
        <v>357</v>
      </c>
      <c r="D238" s="883" t="s">
        <v>356</v>
      </c>
      <c r="E238" s="238" t="s">
        <v>125</v>
      </c>
      <c r="F238" s="592">
        <v>235</v>
      </c>
      <c r="G238" s="593">
        <v>4864</v>
      </c>
      <c r="H238" s="594">
        <v>4030</v>
      </c>
      <c r="I238" s="595">
        <v>5003</v>
      </c>
      <c r="J238" s="166">
        <f t="shared" si="189"/>
        <v>97</v>
      </c>
      <c r="K238" s="167">
        <f t="shared" si="190"/>
        <v>80</v>
      </c>
      <c r="L238" s="168">
        <f t="shared" si="191"/>
        <v>100</v>
      </c>
      <c r="M238" s="166">
        <f t="shared" si="192"/>
        <v>145</v>
      </c>
      <c r="N238" s="167">
        <f t="shared" si="193"/>
        <v>120</v>
      </c>
      <c r="O238" s="168">
        <f t="shared" si="194"/>
        <v>150</v>
      </c>
      <c r="P238" s="169">
        <f t="shared" si="195"/>
        <v>194</v>
      </c>
      <c r="Q238" s="169">
        <f t="shared" si="196"/>
        <v>161</v>
      </c>
      <c r="R238" s="169">
        <f t="shared" si="197"/>
        <v>200</v>
      </c>
      <c r="S238" s="584">
        <f t="shared" si="203"/>
        <v>1459</v>
      </c>
      <c r="T238" s="594">
        <f t="shared" si="204"/>
        <v>1209</v>
      </c>
      <c r="U238" s="595">
        <f t="shared" si="205"/>
        <v>1501</v>
      </c>
      <c r="V238" s="166">
        <f t="shared" si="206"/>
        <v>3006</v>
      </c>
      <c r="W238" s="167">
        <f t="shared" si="207"/>
        <v>2489</v>
      </c>
      <c r="X238" s="168">
        <f t="shared" si="208"/>
        <v>3101</v>
      </c>
      <c r="Y238" s="166">
        <f t="shared" si="209"/>
        <v>3394</v>
      </c>
      <c r="Z238" s="167">
        <f t="shared" si="210"/>
        <v>2811</v>
      </c>
      <c r="AA238" s="168">
        <f t="shared" si="211"/>
        <v>3501</v>
      </c>
      <c r="AB238" s="166">
        <f t="shared" si="212"/>
        <v>3782</v>
      </c>
      <c r="AC238" s="167">
        <f t="shared" si="213"/>
        <v>3133</v>
      </c>
      <c r="AD238" s="168">
        <f t="shared" si="214"/>
        <v>3901</v>
      </c>
      <c r="AE238" s="166">
        <f t="shared" si="215"/>
        <v>4170</v>
      </c>
      <c r="AF238" s="167">
        <f t="shared" si="216"/>
        <v>3294</v>
      </c>
      <c r="AG238" s="168">
        <f t="shared" si="217"/>
        <v>4301</v>
      </c>
      <c r="AH238" s="166">
        <f t="shared" si="198"/>
        <v>4364</v>
      </c>
      <c r="AI238" s="167">
        <f t="shared" si="218"/>
        <v>3616</v>
      </c>
      <c r="AJ238" s="168">
        <f t="shared" si="219"/>
        <v>4901</v>
      </c>
      <c r="AK238" s="169">
        <f t="shared" si="220"/>
        <v>4961</v>
      </c>
      <c r="AL238" s="167">
        <f t="shared" si="221"/>
        <v>4110</v>
      </c>
      <c r="AM238" s="585">
        <f t="shared" si="222"/>
        <v>5103</v>
      </c>
      <c r="AN238" s="596">
        <v>0.01</v>
      </c>
      <c r="AO238" s="597">
        <v>1.2999999999999999E-2</v>
      </c>
      <c r="AP238" s="597">
        <v>1.6E-2</v>
      </c>
      <c r="AQ238" s="598">
        <v>1.9E-2</v>
      </c>
      <c r="AR238" s="599">
        <v>2.1999999999999999E-2</v>
      </c>
      <c r="AS238" s="586"/>
      <c r="AT238" s="587"/>
      <c r="AU238" s="587"/>
      <c r="AV238" s="588"/>
      <c r="AW238" s="589"/>
      <c r="AX238" s="596">
        <v>0.02</v>
      </c>
      <c r="AY238" s="598">
        <v>2.3E-2</v>
      </c>
      <c r="AZ238" s="598">
        <v>2.5999999999999999E-2</v>
      </c>
      <c r="BA238" s="598">
        <v>2.9000000000000001E-2</v>
      </c>
      <c r="BB238" s="598">
        <v>3.2000000000000001E-2</v>
      </c>
      <c r="BC238" s="590"/>
      <c r="BD238" s="631"/>
      <c r="BE238" s="596"/>
      <c r="BF238" s="598"/>
      <c r="BG238" s="598"/>
      <c r="BH238" s="598"/>
      <c r="BI238" s="598"/>
      <c r="BJ238" s="598"/>
      <c r="BK238" s="605"/>
      <c r="BL238" s="658">
        <f t="shared" si="199"/>
        <v>13900</v>
      </c>
      <c r="BM238" s="3">
        <f t="shared" si="200"/>
        <v>35</v>
      </c>
      <c r="BN238" s="3">
        <f t="shared" si="201"/>
        <v>29</v>
      </c>
      <c r="BO238" s="3">
        <f t="shared" si="202"/>
        <v>36</v>
      </c>
    </row>
    <row r="239" spans="2:67">
      <c r="B239" s="1269" t="s">
        <v>89</v>
      </c>
      <c r="C239" s="1265" t="s">
        <v>309</v>
      </c>
      <c r="D239" s="1265" t="s">
        <v>14</v>
      </c>
      <c r="E239" s="1267" t="s">
        <v>65</v>
      </c>
      <c r="F239" s="1270">
        <v>236</v>
      </c>
      <c r="G239" s="593">
        <v>9349</v>
      </c>
      <c r="H239" s="594">
        <v>7149</v>
      </c>
      <c r="I239" s="595">
        <v>11000</v>
      </c>
      <c r="J239" s="166">
        <f t="shared" si="189"/>
        <v>187</v>
      </c>
      <c r="K239" s="167">
        <f t="shared" si="190"/>
        <v>143</v>
      </c>
      <c r="L239" s="168">
        <f t="shared" si="191"/>
        <v>220</v>
      </c>
      <c r="M239" s="166">
        <f t="shared" si="192"/>
        <v>233</v>
      </c>
      <c r="N239" s="167">
        <f t="shared" si="193"/>
        <v>178</v>
      </c>
      <c r="O239" s="168">
        <f t="shared" si="194"/>
        <v>275</v>
      </c>
      <c r="P239" s="169">
        <f t="shared" si="195"/>
        <v>350</v>
      </c>
      <c r="Q239" s="169">
        <f t="shared" si="196"/>
        <v>268</v>
      </c>
      <c r="R239" s="169">
        <f t="shared" si="197"/>
        <v>412</v>
      </c>
      <c r="S239" s="584">
        <f t="shared" si="203"/>
        <v>2337</v>
      </c>
      <c r="T239" s="594">
        <f t="shared" si="204"/>
        <v>1787</v>
      </c>
      <c r="U239" s="595">
        <f t="shared" si="205"/>
        <v>2750</v>
      </c>
      <c r="V239" s="166">
        <f t="shared" si="206"/>
        <v>5320</v>
      </c>
      <c r="W239" s="167">
        <f t="shared" si="207"/>
        <v>4066</v>
      </c>
      <c r="X239" s="168">
        <f t="shared" si="208"/>
        <v>6270</v>
      </c>
      <c r="Y239" s="166">
        <f t="shared" si="209"/>
        <v>5670</v>
      </c>
      <c r="Z239" s="167">
        <f t="shared" si="210"/>
        <v>4870</v>
      </c>
      <c r="AA239" s="168">
        <f t="shared" si="211"/>
        <v>7094</v>
      </c>
      <c r="AB239" s="166">
        <f t="shared" si="212"/>
        <v>6720</v>
      </c>
      <c r="AC239" s="167">
        <f t="shared" si="213"/>
        <v>5138</v>
      </c>
      <c r="AD239" s="168">
        <f t="shared" si="214"/>
        <v>8330</v>
      </c>
      <c r="AE239" s="166">
        <f t="shared" si="215"/>
        <v>8120</v>
      </c>
      <c r="AF239" s="167">
        <f t="shared" si="216"/>
        <v>5674</v>
      </c>
      <c r="AG239" s="168">
        <f t="shared" si="217"/>
        <v>9154</v>
      </c>
      <c r="AH239" s="166">
        <f t="shared" si="198"/>
        <v>8820</v>
      </c>
      <c r="AI239" s="167">
        <f t="shared" si="218"/>
        <v>6746</v>
      </c>
      <c r="AJ239" s="168">
        <f t="shared" si="219"/>
        <v>9978</v>
      </c>
      <c r="AK239" s="169">
        <f t="shared" si="220"/>
        <v>9536</v>
      </c>
      <c r="AL239" s="167">
        <f t="shared" si="221"/>
        <v>7292</v>
      </c>
      <c r="AM239" s="585">
        <f t="shared" si="222"/>
        <v>11220</v>
      </c>
      <c r="AN239" s="596">
        <v>0.3</v>
      </c>
      <c r="AO239" s="597">
        <v>0.30499999999999999</v>
      </c>
      <c r="AP239" s="597">
        <v>0.31</v>
      </c>
      <c r="AQ239" s="598">
        <v>0.315</v>
      </c>
      <c r="AR239" s="599">
        <v>0.32</v>
      </c>
      <c r="AS239" s="586"/>
      <c r="AT239" s="587"/>
      <c r="AU239" s="587"/>
      <c r="AV239" s="588"/>
      <c r="AW239" s="589"/>
      <c r="AX239" s="596">
        <v>0.04</v>
      </c>
      <c r="AY239" s="598">
        <v>4.2999999999999997E-2</v>
      </c>
      <c r="AZ239" s="598">
        <v>4.5999999999999999E-2</v>
      </c>
      <c r="BA239" s="598">
        <v>4.9000000000000002E-2</v>
      </c>
      <c r="BB239" s="598">
        <v>5.1999999999999998E-2</v>
      </c>
      <c r="BC239" s="590"/>
      <c r="BD239" s="631"/>
      <c r="BE239" s="596"/>
      <c r="BF239" s="598"/>
      <c r="BG239" s="598"/>
      <c r="BH239" s="598"/>
      <c r="BI239" s="598"/>
      <c r="BJ239" s="598"/>
      <c r="BK239" s="605"/>
      <c r="BL239" s="658">
        <f t="shared" si="199"/>
        <v>27500</v>
      </c>
      <c r="BM239" s="3">
        <f t="shared" si="200"/>
        <v>34</v>
      </c>
      <c r="BN239" s="3">
        <f t="shared" si="201"/>
        <v>26</v>
      </c>
      <c r="BO239" s="3">
        <f t="shared" si="202"/>
        <v>40</v>
      </c>
    </row>
    <row r="240" spans="2:67">
      <c r="B240" s="207" t="s">
        <v>383</v>
      </c>
      <c r="C240" s="890" t="s">
        <v>357</v>
      </c>
      <c r="D240" s="890" t="s">
        <v>359</v>
      </c>
      <c r="E240" s="238" t="s">
        <v>65</v>
      </c>
      <c r="F240" s="592">
        <v>237</v>
      </c>
      <c r="G240" s="593">
        <v>4224</v>
      </c>
      <c r="H240" s="594">
        <v>6760</v>
      </c>
      <c r="I240" s="595">
        <v>5914</v>
      </c>
      <c r="J240" s="166">
        <f t="shared" si="189"/>
        <v>84</v>
      </c>
      <c r="K240" s="167">
        <f t="shared" si="190"/>
        <v>135</v>
      </c>
      <c r="L240" s="168">
        <f t="shared" si="191"/>
        <v>118</v>
      </c>
      <c r="M240" s="166">
        <f t="shared" si="192"/>
        <v>126</v>
      </c>
      <c r="N240" s="167">
        <f t="shared" si="193"/>
        <v>202</v>
      </c>
      <c r="O240" s="168">
        <f t="shared" si="194"/>
        <v>177</v>
      </c>
      <c r="P240" s="169">
        <f t="shared" si="195"/>
        <v>169</v>
      </c>
      <c r="Q240" s="169">
        <f t="shared" si="196"/>
        <v>270</v>
      </c>
      <c r="R240" s="169">
        <f t="shared" si="197"/>
        <v>236</v>
      </c>
      <c r="S240" s="584">
        <f t="shared" si="203"/>
        <v>1267</v>
      </c>
      <c r="T240" s="594">
        <f t="shared" si="204"/>
        <v>2028</v>
      </c>
      <c r="U240" s="595">
        <f t="shared" si="205"/>
        <v>1774</v>
      </c>
      <c r="V240" s="166">
        <f t="shared" si="206"/>
        <v>2611</v>
      </c>
      <c r="W240" s="167">
        <f t="shared" si="207"/>
        <v>4183</v>
      </c>
      <c r="X240" s="168">
        <f t="shared" si="208"/>
        <v>3662</v>
      </c>
      <c r="Y240" s="166">
        <f t="shared" si="209"/>
        <v>2949</v>
      </c>
      <c r="Z240" s="167">
        <f t="shared" si="210"/>
        <v>4723</v>
      </c>
      <c r="AA240" s="168">
        <f t="shared" si="211"/>
        <v>4134</v>
      </c>
      <c r="AB240" s="166">
        <f t="shared" si="212"/>
        <v>3287</v>
      </c>
      <c r="AC240" s="167">
        <f t="shared" si="213"/>
        <v>5263</v>
      </c>
      <c r="AD240" s="168">
        <f t="shared" si="214"/>
        <v>4606</v>
      </c>
      <c r="AE240" s="166">
        <f t="shared" si="215"/>
        <v>3625</v>
      </c>
      <c r="AF240" s="167">
        <f t="shared" si="216"/>
        <v>5533</v>
      </c>
      <c r="AG240" s="168">
        <f t="shared" si="217"/>
        <v>5078</v>
      </c>
      <c r="AH240" s="166">
        <f t="shared" si="198"/>
        <v>4132</v>
      </c>
      <c r="AI240" s="167">
        <f t="shared" si="218"/>
        <v>6073</v>
      </c>
      <c r="AJ240" s="168">
        <f t="shared" si="219"/>
        <v>5314</v>
      </c>
      <c r="AK240" s="169">
        <f t="shared" si="220"/>
        <v>4308</v>
      </c>
      <c r="AL240" s="167">
        <f t="shared" si="221"/>
        <v>6895</v>
      </c>
      <c r="AM240" s="585">
        <f t="shared" si="222"/>
        <v>6032</v>
      </c>
      <c r="AN240" s="596">
        <v>0.15</v>
      </c>
      <c r="AO240" s="597">
        <v>0.18</v>
      </c>
      <c r="AP240" s="597">
        <v>0.21</v>
      </c>
      <c r="AQ240" s="598">
        <v>0.24</v>
      </c>
      <c r="AR240" s="599">
        <v>0.27</v>
      </c>
      <c r="AS240" s="586"/>
      <c r="AT240" s="587"/>
      <c r="AU240" s="587"/>
      <c r="AV240" s="588"/>
      <c r="AW240" s="589"/>
      <c r="AX240" s="596">
        <v>0.03</v>
      </c>
      <c r="AY240" s="598">
        <v>3.5000000000000003E-2</v>
      </c>
      <c r="AZ240" s="598">
        <v>0.04</v>
      </c>
      <c r="BA240" s="598">
        <v>4.4999999999999998E-2</v>
      </c>
      <c r="BB240" s="598">
        <v>0.05</v>
      </c>
      <c r="BC240" s="590"/>
      <c r="BD240" s="631"/>
      <c r="BE240" s="596"/>
      <c r="BF240" s="598"/>
      <c r="BG240" s="598"/>
      <c r="BH240" s="598"/>
      <c r="BI240" s="598"/>
      <c r="BJ240" s="598"/>
      <c r="BK240" s="605"/>
      <c r="BL240" s="658">
        <f t="shared" si="199"/>
        <v>16900</v>
      </c>
      <c r="BM240" s="3">
        <f t="shared" si="200"/>
        <v>25</v>
      </c>
      <c r="BN240" s="3">
        <f t="shared" si="201"/>
        <v>40</v>
      </c>
      <c r="BO240" s="3">
        <f t="shared" si="202"/>
        <v>35</v>
      </c>
    </row>
    <row r="241" spans="2:67">
      <c r="B241" s="1269" t="s">
        <v>93</v>
      </c>
      <c r="C241" s="1265" t="s">
        <v>309</v>
      </c>
      <c r="D241" s="1265" t="s">
        <v>70</v>
      </c>
      <c r="E241" s="238" t="s">
        <v>65</v>
      </c>
      <c r="F241" s="592">
        <v>238</v>
      </c>
      <c r="G241" s="593">
        <v>10260</v>
      </c>
      <c r="H241" s="594">
        <v>6209</v>
      </c>
      <c r="I241" s="595">
        <v>10529</v>
      </c>
      <c r="J241" s="166">
        <f t="shared" si="189"/>
        <v>205</v>
      </c>
      <c r="K241" s="167">
        <f t="shared" si="190"/>
        <v>124</v>
      </c>
      <c r="L241" s="168">
        <f t="shared" si="191"/>
        <v>210</v>
      </c>
      <c r="M241" s="166">
        <f t="shared" si="192"/>
        <v>256</v>
      </c>
      <c r="N241" s="167">
        <f t="shared" si="193"/>
        <v>155</v>
      </c>
      <c r="O241" s="168">
        <f t="shared" si="194"/>
        <v>263</v>
      </c>
      <c r="P241" s="169">
        <f t="shared" si="195"/>
        <v>384</v>
      </c>
      <c r="Q241" s="169">
        <f t="shared" si="196"/>
        <v>232</v>
      </c>
      <c r="R241" s="169">
        <f t="shared" si="197"/>
        <v>394</v>
      </c>
      <c r="S241" s="584">
        <f t="shared" si="203"/>
        <v>2565</v>
      </c>
      <c r="T241" s="594">
        <f t="shared" si="204"/>
        <v>1552</v>
      </c>
      <c r="U241" s="595">
        <f t="shared" si="205"/>
        <v>2632</v>
      </c>
      <c r="V241" s="166">
        <f t="shared" si="206"/>
        <v>5842</v>
      </c>
      <c r="W241" s="167">
        <f t="shared" si="207"/>
        <v>3536</v>
      </c>
      <c r="X241" s="168">
        <f t="shared" si="208"/>
        <v>5998</v>
      </c>
      <c r="Y241" s="166">
        <f t="shared" si="209"/>
        <v>6226</v>
      </c>
      <c r="Z241" s="167">
        <f t="shared" si="210"/>
        <v>4000</v>
      </c>
      <c r="AA241" s="168">
        <f t="shared" si="211"/>
        <v>7180</v>
      </c>
      <c r="AB241" s="166">
        <f t="shared" si="212"/>
        <v>7378</v>
      </c>
      <c r="AC241" s="167">
        <f t="shared" si="213"/>
        <v>4696</v>
      </c>
      <c r="AD241" s="168">
        <f t="shared" si="214"/>
        <v>7574</v>
      </c>
      <c r="AE241" s="166">
        <f t="shared" si="215"/>
        <v>8914</v>
      </c>
      <c r="AF241" s="167">
        <f t="shared" si="216"/>
        <v>5160</v>
      </c>
      <c r="AG241" s="168">
        <f t="shared" si="217"/>
        <v>8362</v>
      </c>
      <c r="AH241" s="166">
        <f t="shared" si="198"/>
        <v>9682</v>
      </c>
      <c r="AI241" s="167">
        <f t="shared" si="218"/>
        <v>5624</v>
      </c>
      <c r="AJ241" s="168">
        <f t="shared" si="219"/>
        <v>9938</v>
      </c>
      <c r="AK241" s="169">
        <f t="shared" si="220"/>
        <v>10465</v>
      </c>
      <c r="AL241" s="167">
        <f t="shared" si="221"/>
        <v>6333</v>
      </c>
      <c r="AM241" s="585">
        <f t="shared" si="222"/>
        <v>10739</v>
      </c>
      <c r="AN241" s="596">
        <v>7.0000000000000007E-2</v>
      </c>
      <c r="AO241" s="597">
        <v>7.4999999999999997E-2</v>
      </c>
      <c r="AP241" s="597">
        <v>0.08</v>
      </c>
      <c r="AQ241" s="598">
        <v>8.5000000000000006E-2</v>
      </c>
      <c r="AR241" s="599">
        <v>0.09</v>
      </c>
      <c r="AS241" s="586"/>
      <c r="AT241" s="587"/>
      <c r="AU241" s="587"/>
      <c r="AV241" s="588"/>
      <c r="AW241" s="589"/>
      <c r="AX241" s="596">
        <v>0.04</v>
      </c>
      <c r="AY241" s="598">
        <v>4.2999999999999997E-2</v>
      </c>
      <c r="AZ241" s="598">
        <v>4.5999999999999999E-2</v>
      </c>
      <c r="BA241" s="598">
        <v>4.9000000000000002E-2</v>
      </c>
      <c r="BB241" s="598">
        <v>5.1999999999999998E-2</v>
      </c>
      <c r="BC241" s="590"/>
      <c r="BD241" s="631"/>
      <c r="BE241" s="596"/>
      <c r="BF241" s="598"/>
      <c r="BG241" s="598"/>
      <c r="BH241" s="598"/>
      <c r="BI241" s="598"/>
      <c r="BJ241" s="598"/>
      <c r="BK241" s="605"/>
      <c r="BL241" s="658">
        <f t="shared" si="199"/>
        <v>27000</v>
      </c>
      <c r="BM241" s="3">
        <f t="shared" si="200"/>
        <v>38</v>
      </c>
      <c r="BN241" s="3">
        <f t="shared" si="201"/>
        <v>23</v>
      </c>
      <c r="BO241" s="3">
        <f t="shared" si="202"/>
        <v>39</v>
      </c>
    </row>
    <row r="242" spans="2:67">
      <c r="B242" s="207" t="s">
        <v>384</v>
      </c>
      <c r="C242" s="890" t="s">
        <v>357</v>
      </c>
      <c r="D242" s="890" t="s">
        <v>360</v>
      </c>
      <c r="E242" s="238" t="s">
        <v>65</v>
      </c>
      <c r="F242" s="592">
        <v>239</v>
      </c>
      <c r="G242" s="593">
        <v>6083</v>
      </c>
      <c r="H242" s="594">
        <v>3717</v>
      </c>
      <c r="I242" s="595">
        <v>7097</v>
      </c>
      <c r="J242" s="166">
        <f t="shared" si="189"/>
        <v>121</v>
      </c>
      <c r="K242" s="167">
        <f t="shared" si="190"/>
        <v>74</v>
      </c>
      <c r="L242" s="168">
        <f t="shared" si="191"/>
        <v>141</v>
      </c>
      <c r="M242" s="166">
        <f t="shared" si="192"/>
        <v>182</v>
      </c>
      <c r="N242" s="167">
        <f t="shared" si="193"/>
        <v>111</v>
      </c>
      <c r="O242" s="168">
        <f t="shared" si="194"/>
        <v>212</v>
      </c>
      <c r="P242" s="169">
        <f t="shared" si="195"/>
        <v>243</v>
      </c>
      <c r="Q242" s="169">
        <f t="shared" si="196"/>
        <v>148</v>
      </c>
      <c r="R242" s="169">
        <f t="shared" si="197"/>
        <v>283</v>
      </c>
      <c r="S242" s="584">
        <f t="shared" si="203"/>
        <v>1825</v>
      </c>
      <c r="T242" s="594">
        <f t="shared" si="204"/>
        <v>1115</v>
      </c>
      <c r="U242" s="595">
        <f t="shared" si="205"/>
        <v>2129</v>
      </c>
      <c r="V242" s="166">
        <f t="shared" si="206"/>
        <v>3766</v>
      </c>
      <c r="W242" s="167">
        <f t="shared" si="207"/>
        <v>2299</v>
      </c>
      <c r="X242" s="168">
        <f t="shared" si="208"/>
        <v>4390</v>
      </c>
      <c r="Y242" s="166">
        <f t="shared" si="209"/>
        <v>4252</v>
      </c>
      <c r="Z242" s="167">
        <f t="shared" si="210"/>
        <v>2595</v>
      </c>
      <c r="AA242" s="168">
        <f t="shared" si="211"/>
        <v>4956</v>
      </c>
      <c r="AB242" s="166">
        <f t="shared" si="212"/>
        <v>4738</v>
      </c>
      <c r="AC242" s="167">
        <f t="shared" si="213"/>
        <v>2891</v>
      </c>
      <c r="AD242" s="168">
        <f t="shared" si="214"/>
        <v>5522</v>
      </c>
      <c r="AE242" s="166">
        <f t="shared" si="215"/>
        <v>5224</v>
      </c>
      <c r="AF242" s="167">
        <f t="shared" si="216"/>
        <v>3187</v>
      </c>
      <c r="AG242" s="168">
        <f t="shared" si="217"/>
        <v>5805</v>
      </c>
      <c r="AH242" s="166">
        <f t="shared" si="198"/>
        <v>5467</v>
      </c>
      <c r="AI242" s="167">
        <f t="shared" si="218"/>
        <v>3631</v>
      </c>
      <c r="AJ242" s="168">
        <f t="shared" si="219"/>
        <v>6371</v>
      </c>
      <c r="AK242" s="169">
        <f t="shared" si="220"/>
        <v>6204</v>
      </c>
      <c r="AL242" s="167">
        <f t="shared" si="221"/>
        <v>3791</v>
      </c>
      <c r="AM242" s="585">
        <f t="shared" si="222"/>
        <v>7238</v>
      </c>
      <c r="AN242" s="596">
        <v>0.03</v>
      </c>
      <c r="AO242" s="597">
        <v>3.3000000000000002E-2</v>
      </c>
      <c r="AP242" s="597">
        <v>3.5999999999999997E-2</v>
      </c>
      <c r="AQ242" s="598">
        <v>3.9E-2</v>
      </c>
      <c r="AR242" s="599">
        <v>4.2000000000000003E-2</v>
      </c>
      <c r="AS242" s="586"/>
      <c r="AT242" s="587"/>
      <c r="AU242" s="587"/>
      <c r="AV242" s="588"/>
      <c r="AW242" s="589"/>
      <c r="AX242" s="596">
        <v>0.03</v>
      </c>
      <c r="AY242" s="598">
        <v>3.3000000000000002E-2</v>
      </c>
      <c r="AZ242" s="598">
        <v>3.5999999999999997E-2</v>
      </c>
      <c r="BA242" s="598">
        <v>3.9E-2</v>
      </c>
      <c r="BB242" s="598">
        <v>4.2000000000000003E-2</v>
      </c>
      <c r="BC242" s="590"/>
      <c r="BD242" s="631"/>
      <c r="BE242" s="596"/>
      <c r="BF242" s="598"/>
      <c r="BG242" s="598"/>
      <c r="BH242" s="598"/>
      <c r="BI242" s="598"/>
      <c r="BJ242" s="598"/>
      <c r="BK242" s="605"/>
      <c r="BL242" s="658">
        <f t="shared" si="199"/>
        <v>16900</v>
      </c>
      <c r="BM242" s="3">
        <f t="shared" si="200"/>
        <v>36</v>
      </c>
      <c r="BN242" s="3">
        <f t="shared" si="201"/>
        <v>22</v>
      </c>
      <c r="BO242" s="3">
        <f t="shared" si="202"/>
        <v>42</v>
      </c>
    </row>
    <row r="243" spans="2:67">
      <c r="B243" s="1269" t="s">
        <v>107</v>
      </c>
      <c r="C243" s="1265" t="s">
        <v>309</v>
      </c>
      <c r="D243" s="1265" t="s">
        <v>23</v>
      </c>
      <c r="E243" s="238" t="s">
        <v>65</v>
      </c>
      <c r="F243" s="1270">
        <v>240</v>
      </c>
      <c r="G243" s="593">
        <v>8249</v>
      </c>
      <c r="H243" s="594">
        <v>11273</v>
      </c>
      <c r="I243" s="595">
        <v>7973</v>
      </c>
      <c r="J243" s="166">
        <f t="shared" si="189"/>
        <v>165</v>
      </c>
      <c r="K243" s="167">
        <f t="shared" si="190"/>
        <v>225</v>
      </c>
      <c r="L243" s="168">
        <f t="shared" si="191"/>
        <v>159</v>
      </c>
      <c r="M243" s="166">
        <f t="shared" si="192"/>
        <v>206</v>
      </c>
      <c r="N243" s="167">
        <f t="shared" si="193"/>
        <v>281</v>
      </c>
      <c r="O243" s="168">
        <f t="shared" si="194"/>
        <v>199</v>
      </c>
      <c r="P243" s="169">
        <f t="shared" si="195"/>
        <v>309</v>
      </c>
      <c r="Q243" s="169">
        <f t="shared" si="196"/>
        <v>422</v>
      </c>
      <c r="R243" s="169">
        <f t="shared" si="197"/>
        <v>299</v>
      </c>
      <c r="S243" s="584">
        <f t="shared" si="203"/>
        <v>2062</v>
      </c>
      <c r="T243" s="594">
        <f t="shared" si="204"/>
        <v>2818</v>
      </c>
      <c r="U243" s="595">
        <f t="shared" si="205"/>
        <v>1993</v>
      </c>
      <c r="V243" s="166">
        <f t="shared" si="206"/>
        <v>4699</v>
      </c>
      <c r="W243" s="167">
        <f t="shared" si="207"/>
        <v>6415</v>
      </c>
      <c r="X243" s="168">
        <f t="shared" si="208"/>
        <v>4540</v>
      </c>
      <c r="Y243" s="166">
        <f t="shared" si="209"/>
        <v>5626</v>
      </c>
      <c r="Z243" s="167">
        <f t="shared" si="210"/>
        <v>7259</v>
      </c>
      <c r="AA243" s="168">
        <f t="shared" si="211"/>
        <v>4839</v>
      </c>
      <c r="AB243" s="166">
        <f t="shared" si="212"/>
        <v>5935</v>
      </c>
      <c r="AC243" s="167">
        <f t="shared" si="213"/>
        <v>8525</v>
      </c>
      <c r="AD243" s="168">
        <f t="shared" si="214"/>
        <v>5736</v>
      </c>
      <c r="AE243" s="166">
        <f t="shared" si="215"/>
        <v>6553</v>
      </c>
      <c r="AF243" s="167">
        <f t="shared" si="216"/>
        <v>9369</v>
      </c>
      <c r="AG243" s="168">
        <f t="shared" si="217"/>
        <v>6932</v>
      </c>
      <c r="AH243" s="166">
        <f t="shared" si="198"/>
        <v>7789</v>
      </c>
      <c r="AI243" s="167">
        <f t="shared" si="218"/>
        <v>10213</v>
      </c>
      <c r="AJ243" s="168">
        <f t="shared" si="219"/>
        <v>7530</v>
      </c>
      <c r="AK243" s="169">
        <f t="shared" si="220"/>
        <v>8414</v>
      </c>
      <c r="AL243" s="167">
        <f t="shared" si="221"/>
        <v>11498</v>
      </c>
      <c r="AM243" s="585">
        <f t="shared" si="222"/>
        <v>8132</v>
      </c>
      <c r="AN243" s="596">
        <v>0.2</v>
      </c>
      <c r="AO243" s="597">
        <v>0.23</v>
      </c>
      <c r="AP243" s="597">
        <v>0.26</v>
      </c>
      <c r="AQ243" s="598">
        <v>0.28999999999999998</v>
      </c>
      <c r="AR243" s="599">
        <v>0.32</v>
      </c>
      <c r="AS243" s="586"/>
      <c r="AT243" s="587"/>
      <c r="AU243" s="587"/>
      <c r="AV243" s="588"/>
      <c r="AW243" s="589"/>
      <c r="AX243" s="596">
        <v>0.03</v>
      </c>
      <c r="AY243" s="598">
        <v>3.3000000000000002E-2</v>
      </c>
      <c r="AZ243" s="598">
        <v>3.5999999999999997E-2</v>
      </c>
      <c r="BA243" s="598">
        <v>3.9E-2</v>
      </c>
      <c r="BB243" s="598">
        <v>4.2000000000000003E-2</v>
      </c>
      <c r="BC243" s="590"/>
      <c r="BD243" s="631"/>
      <c r="BE243" s="596"/>
      <c r="BF243" s="598"/>
      <c r="BG243" s="598"/>
      <c r="BH243" s="598"/>
      <c r="BI243" s="598"/>
      <c r="BJ243" s="598"/>
      <c r="BK243" s="605"/>
      <c r="BL243" s="658">
        <f t="shared" si="199"/>
        <v>27500</v>
      </c>
      <c r="BM243" s="3">
        <f t="shared" si="200"/>
        <v>30</v>
      </c>
      <c r="BN243" s="3">
        <f t="shared" si="201"/>
        <v>41</v>
      </c>
      <c r="BO243" s="3">
        <f t="shared" si="202"/>
        <v>29</v>
      </c>
    </row>
    <row r="244" spans="2:67">
      <c r="B244" s="207" t="s">
        <v>88</v>
      </c>
      <c r="C244" s="890" t="s">
        <v>309</v>
      </c>
      <c r="D244" s="890" t="s">
        <v>13</v>
      </c>
      <c r="E244" s="238" t="s">
        <v>125</v>
      </c>
      <c r="F244" s="592">
        <v>241</v>
      </c>
      <c r="G244" s="593">
        <v>8324</v>
      </c>
      <c r="H244" s="594">
        <v>6749</v>
      </c>
      <c r="I244" s="595">
        <v>7424</v>
      </c>
      <c r="J244" s="166">
        <f t="shared" si="189"/>
        <v>166</v>
      </c>
      <c r="K244" s="167">
        <f t="shared" si="190"/>
        <v>135</v>
      </c>
      <c r="L244" s="168">
        <f t="shared" si="191"/>
        <v>148</v>
      </c>
      <c r="M244" s="166">
        <f t="shared" si="192"/>
        <v>208</v>
      </c>
      <c r="N244" s="167">
        <f t="shared" si="193"/>
        <v>168</v>
      </c>
      <c r="O244" s="168">
        <f t="shared" si="194"/>
        <v>185</v>
      </c>
      <c r="P244" s="169">
        <f t="shared" si="195"/>
        <v>312</v>
      </c>
      <c r="Q244" s="169">
        <f t="shared" si="196"/>
        <v>253</v>
      </c>
      <c r="R244" s="169">
        <f t="shared" si="197"/>
        <v>278</v>
      </c>
      <c r="S244" s="584">
        <f t="shared" si="203"/>
        <v>2081</v>
      </c>
      <c r="T244" s="594">
        <f t="shared" si="204"/>
        <v>1687</v>
      </c>
      <c r="U244" s="595">
        <f t="shared" si="205"/>
        <v>1856</v>
      </c>
      <c r="V244" s="166">
        <f t="shared" si="206"/>
        <v>4743</v>
      </c>
      <c r="W244" s="167">
        <f t="shared" si="207"/>
        <v>3838</v>
      </c>
      <c r="X244" s="168">
        <f t="shared" si="208"/>
        <v>4224</v>
      </c>
      <c r="Y244" s="166">
        <f t="shared" si="209"/>
        <v>5367</v>
      </c>
      <c r="Z244" s="167">
        <f t="shared" si="210"/>
        <v>4091</v>
      </c>
      <c r="AA244" s="168">
        <f t="shared" si="211"/>
        <v>5058</v>
      </c>
      <c r="AB244" s="166">
        <f t="shared" si="212"/>
        <v>6303</v>
      </c>
      <c r="AC244" s="167">
        <f t="shared" si="213"/>
        <v>4850</v>
      </c>
      <c r="AD244" s="168">
        <f t="shared" si="214"/>
        <v>5336</v>
      </c>
      <c r="AE244" s="166">
        <f t="shared" si="215"/>
        <v>6927</v>
      </c>
      <c r="AF244" s="167">
        <f t="shared" si="216"/>
        <v>5862</v>
      </c>
      <c r="AG244" s="168">
        <f t="shared" si="217"/>
        <v>5892</v>
      </c>
      <c r="AH244" s="166">
        <f t="shared" si="198"/>
        <v>7551</v>
      </c>
      <c r="AI244" s="167">
        <f t="shared" si="218"/>
        <v>6368</v>
      </c>
      <c r="AJ244" s="168">
        <f t="shared" si="219"/>
        <v>7004</v>
      </c>
      <c r="AK244" s="169">
        <f t="shared" si="220"/>
        <v>8490</v>
      </c>
      <c r="AL244" s="167">
        <f t="shared" si="221"/>
        <v>6884</v>
      </c>
      <c r="AM244" s="585">
        <f t="shared" si="222"/>
        <v>7572</v>
      </c>
      <c r="AN244" s="596">
        <v>0.23</v>
      </c>
      <c r="AO244" s="597">
        <v>0.26</v>
      </c>
      <c r="AP244" s="597">
        <v>0.28999999999999998</v>
      </c>
      <c r="AQ244" s="598">
        <v>0.32</v>
      </c>
      <c r="AR244" s="599">
        <v>0.35</v>
      </c>
      <c r="AS244" s="586"/>
      <c r="AT244" s="587"/>
      <c r="AU244" s="587"/>
      <c r="AV244" s="588"/>
      <c r="AW244" s="589"/>
      <c r="AX244" s="596">
        <v>0.03</v>
      </c>
      <c r="AY244" s="598">
        <v>3.3000000000000002E-2</v>
      </c>
      <c r="AZ244" s="598">
        <v>3.5999999999999997E-2</v>
      </c>
      <c r="BA244" s="598">
        <v>3.9E-2</v>
      </c>
      <c r="BB244" s="598">
        <v>4.2000000000000003E-2</v>
      </c>
      <c r="BC244" s="590"/>
      <c r="BD244" s="631"/>
      <c r="BE244" s="596"/>
      <c r="BF244" s="598"/>
      <c r="BG244" s="598"/>
      <c r="BH244" s="598"/>
      <c r="BI244" s="598"/>
      <c r="BJ244" s="598"/>
      <c r="BK244" s="605"/>
      <c r="BL244" s="658">
        <f t="shared" si="199"/>
        <v>22500</v>
      </c>
      <c r="BM244" s="3">
        <f t="shared" si="200"/>
        <v>37</v>
      </c>
      <c r="BN244" s="3">
        <f t="shared" si="201"/>
        <v>30</v>
      </c>
      <c r="BO244" s="3">
        <f t="shared" si="202"/>
        <v>33</v>
      </c>
    </row>
    <row r="245" spans="2:67">
      <c r="B245" s="207" t="s">
        <v>419</v>
      </c>
      <c r="C245" s="890" t="s">
        <v>357</v>
      </c>
      <c r="D245" s="890" t="s">
        <v>359</v>
      </c>
      <c r="E245" s="238" t="s">
        <v>125</v>
      </c>
      <c r="F245" s="592">
        <v>242</v>
      </c>
      <c r="G245" s="593">
        <v>4724</v>
      </c>
      <c r="H245" s="594">
        <v>5697</v>
      </c>
      <c r="I245" s="595">
        <v>3474</v>
      </c>
      <c r="J245" s="166">
        <f t="shared" si="189"/>
        <v>94</v>
      </c>
      <c r="K245" s="167">
        <f t="shared" si="190"/>
        <v>113</v>
      </c>
      <c r="L245" s="168">
        <f t="shared" si="191"/>
        <v>69</v>
      </c>
      <c r="M245" s="166">
        <f t="shared" si="192"/>
        <v>141</v>
      </c>
      <c r="N245" s="167">
        <f t="shared" si="193"/>
        <v>170</v>
      </c>
      <c r="O245" s="168">
        <f t="shared" si="194"/>
        <v>104</v>
      </c>
      <c r="P245" s="169">
        <f t="shared" si="195"/>
        <v>189</v>
      </c>
      <c r="Q245" s="169">
        <f t="shared" si="196"/>
        <v>227</v>
      </c>
      <c r="R245" s="169">
        <f t="shared" si="197"/>
        <v>139</v>
      </c>
      <c r="S245" s="584">
        <f t="shared" si="203"/>
        <v>1417</v>
      </c>
      <c r="T245" s="594">
        <f t="shared" si="204"/>
        <v>1709</v>
      </c>
      <c r="U245" s="595">
        <f t="shared" si="205"/>
        <v>1042</v>
      </c>
      <c r="V245" s="166">
        <f t="shared" si="206"/>
        <v>2921</v>
      </c>
      <c r="W245" s="167">
        <f t="shared" si="207"/>
        <v>3522</v>
      </c>
      <c r="X245" s="168">
        <f t="shared" si="208"/>
        <v>2151</v>
      </c>
      <c r="Y245" s="166">
        <f t="shared" si="209"/>
        <v>3299</v>
      </c>
      <c r="Z245" s="167">
        <f t="shared" si="210"/>
        <v>3976</v>
      </c>
      <c r="AA245" s="168">
        <f t="shared" si="211"/>
        <v>2429</v>
      </c>
      <c r="AB245" s="166">
        <f t="shared" si="212"/>
        <v>3677</v>
      </c>
      <c r="AC245" s="167">
        <f t="shared" si="213"/>
        <v>4430</v>
      </c>
      <c r="AD245" s="168">
        <f t="shared" si="214"/>
        <v>2707</v>
      </c>
      <c r="AE245" s="166">
        <f t="shared" si="215"/>
        <v>4055</v>
      </c>
      <c r="AF245" s="167">
        <f t="shared" si="216"/>
        <v>4657</v>
      </c>
      <c r="AG245" s="168">
        <f t="shared" si="217"/>
        <v>2985</v>
      </c>
      <c r="AH245" s="166">
        <f t="shared" si="198"/>
        <v>4622</v>
      </c>
      <c r="AI245" s="167">
        <f t="shared" si="218"/>
        <v>5111</v>
      </c>
      <c r="AJ245" s="168">
        <f t="shared" si="219"/>
        <v>3124</v>
      </c>
      <c r="AK245" s="169">
        <f t="shared" si="220"/>
        <v>4818</v>
      </c>
      <c r="AL245" s="167">
        <f t="shared" si="221"/>
        <v>5810</v>
      </c>
      <c r="AM245" s="585">
        <f t="shared" si="222"/>
        <v>3543</v>
      </c>
      <c r="AN245" s="596">
        <v>0.06</v>
      </c>
      <c r="AO245" s="597">
        <v>7.0000000000000007E-2</v>
      </c>
      <c r="AP245" s="597">
        <v>0.08</v>
      </c>
      <c r="AQ245" s="598">
        <v>0.09</v>
      </c>
      <c r="AR245" s="599">
        <v>0.1</v>
      </c>
      <c r="AS245" s="586"/>
      <c r="AT245" s="587"/>
      <c r="AU245" s="587"/>
      <c r="AV245" s="588"/>
      <c r="AW245" s="589"/>
      <c r="AX245" s="596">
        <v>0.05</v>
      </c>
      <c r="AY245" s="598">
        <v>5.5E-2</v>
      </c>
      <c r="AZ245" s="598">
        <v>0.06</v>
      </c>
      <c r="BA245" s="598">
        <v>6.5000000000000002E-2</v>
      </c>
      <c r="BB245" s="598">
        <v>7.0000000000000007E-2</v>
      </c>
      <c r="BC245" s="590"/>
      <c r="BD245" s="631"/>
      <c r="BE245" s="596"/>
      <c r="BF245" s="598"/>
      <c r="BG245" s="598"/>
      <c r="BH245" s="598"/>
      <c r="BI245" s="598"/>
      <c r="BJ245" s="598"/>
      <c r="BK245" s="605"/>
      <c r="BL245" s="658">
        <f t="shared" si="199"/>
        <v>13900</v>
      </c>
      <c r="BM245" s="3">
        <f t="shared" si="200"/>
        <v>34</v>
      </c>
      <c r="BN245" s="3">
        <f t="shared" si="201"/>
        <v>41</v>
      </c>
      <c r="BO245" s="3">
        <f t="shared" si="202"/>
        <v>25</v>
      </c>
    </row>
    <row r="246" spans="2:67">
      <c r="B246" s="207" t="s">
        <v>463</v>
      </c>
      <c r="C246" s="890" t="s">
        <v>357</v>
      </c>
      <c r="D246" s="890" t="s">
        <v>70</v>
      </c>
      <c r="E246" s="238" t="s">
        <v>125</v>
      </c>
      <c r="F246" s="592">
        <v>243</v>
      </c>
      <c r="G246" s="593">
        <v>4447</v>
      </c>
      <c r="H246" s="594">
        <v>4447</v>
      </c>
      <c r="I246" s="595">
        <v>5003</v>
      </c>
      <c r="J246" s="166">
        <f t="shared" si="189"/>
        <v>88</v>
      </c>
      <c r="K246" s="167">
        <f t="shared" si="190"/>
        <v>88</v>
      </c>
      <c r="L246" s="168">
        <f t="shared" si="191"/>
        <v>100</v>
      </c>
      <c r="M246" s="166">
        <f t="shared" si="192"/>
        <v>133</v>
      </c>
      <c r="N246" s="167">
        <f t="shared" si="193"/>
        <v>133</v>
      </c>
      <c r="O246" s="168">
        <f t="shared" si="194"/>
        <v>150</v>
      </c>
      <c r="P246" s="169">
        <f t="shared" si="195"/>
        <v>177</v>
      </c>
      <c r="Q246" s="169">
        <f t="shared" si="196"/>
        <v>177</v>
      </c>
      <c r="R246" s="169">
        <f t="shared" si="197"/>
        <v>200</v>
      </c>
      <c r="S246" s="584">
        <f t="shared" si="203"/>
        <v>1334</v>
      </c>
      <c r="T246" s="594">
        <f t="shared" si="204"/>
        <v>1334</v>
      </c>
      <c r="U246" s="595">
        <f t="shared" si="205"/>
        <v>1501</v>
      </c>
      <c r="V246" s="166">
        <f t="shared" si="206"/>
        <v>2752</v>
      </c>
      <c r="W246" s="167">
        <f t="shared" si="207"/>
        <v>2752</v>
      </c>
      <c r="X246" s="168">
        <f t="shared" si="208"/>
        <v>3101</v>
      </c>
      <c r="Y246" s="166">
        <f t="shared" si="209"/>
        <v>3106</v>
      </c>
      <c r="Z246" s="167">
        <f t="shared" si="210"/>
        <v>3106</v>
      </c>
      <c r="AA246" s="168">
        <f t="shared" si="211"/>
        <v>3501</v>
      </c>
      <c r="AB246" s="166">
        <f t="shared" si="212"/>
        <v>3460</v>
      </c>
      <c r="AC246" s="167">
        <f t="shared" si="213"/>
        <v>3460</v>
      </c>
      <c r="AD246" s="168">
        <f t="shared" si="214"/>
        <v>3901</v>
      </c>
      <c r="AE246" s="166">
        <f t="shared" si="215"/>
        <v>3814</v>
      </c>
      <c r="AF246" s="167">
        <f t="shared" si="216"/>
        <v>3637</v>
      </c>
      <c r="AG246" s="168">
        <f t="shared" si="217"/>
        <v>4301</v>
      </c>
      <c r="AH246" s="166">
        <f t="shared" si="198"/>
        <v>3991</v>
      </c>
      <c r="AI246" s="167">
        <f t="shared" si="218"/>
        <v>3991</v>
      </c>
      <c r="AJ246" s="168">
        <f t="shared" si="219"/>
        <v>4901</v>
      </c>
      <c r="AK246" s="169">
        <f t="shared" si="220"/>
        <v>4535</v>
      </c>
      <c r="AL246" s="167">
        <f t="shared" si="221"/>
        <v>4535</v>
      </c>
      <c r="AM246" s="585">
        <f t="shared" si="222"/>
        <v>5103</v>
      </c>
      <c r="AN246" s="596">
        <v>3.2000000000000001E-2</v>
      </c>
      <c r="AO246" s="597">
        <v>3.4000000000000002E-2</v>
      </c>
      <c r="AP246" s="597">
        <v>3.5999999999999997E-2</v>
      </c>
      <c r="AQ246" s="598">
        <v>3.7999999999999999E-2</v>
      </c>
      <c r="AR246" s="599">
        <v>0.04</v>
      </c>
      <c r="AS246" s="586"/>
      <c r="AT246" s="587"/>
      <c r="AU246" s="587"/>
      <c r="AV246" s="588"/>
      <c r="AW246" s="589"/>
      <c r="AX246" s="596">
        <v>0.03</v>
      </c>
      <c r="AY246" s="598">
        <v>3.5000000000000003E-2</v>
      </c>
      <c r="AZ246" s="598">
        <v>0.04</v>
      </c>
      <c r="BA246" s="598">
        <v>4.4999999999999998E-2</v>
      </c>
      <c r="BB246" s="598">
        <v>0.05</v>
      </c>
      <c r="BC246" s="590"/>
      <c r="BD246" s="631"/>
      <c r="BE246" s="596"/>
      <c r="BF246" s="598"/>
      <c r="BG246" s="598"/>
      <c r="BH246" s="598"/>
      <c r="BI246" s="598"/>
      <c r="BJ246" s="598"/>
      <c r="BK246" s="605"/>
      <c r="BL246" s="658">
        <f t="shared" si="199"/>
        <v>13900</v>
      </c>
      <c r="BM246" s="3">
        <f t="shared" si="200"/>
        <v>32</v>
      </c>
      <c r="BN246" s="3">
        <f t="shared" si="201"/>
        <v>32</v>
      </c>
      <c r="BO246" s="3">
        <f t="shared" si="202"/>
        <v>36</v>
      </c>
    </row>
    <row r="247" spans="2:67">
      <c r="B247" s="1269" t="s">
        <v>1979</v>
      </c>
      <c r="C247" s="1265" t="s">
        <v>309</v>
      </c>
      <c r="D247" s="1265" t="s">
        <v>13</v>
      </c>
      <c r="E247" s="1267" t="s">
        <v>126</v>
      </c>
      <c r="F247" s="1270">
        <v>244</v>
      </c>
      <c r="G247" s="593">
        <v>12980</v>
      </c>
      <c r="H247" s="594">
        <v>6193</v>
      </c>
      <c r="I247" s="595">
        <v>10324</v>
      </c>
      <c r="J247" s="166">
        <f t="shared" si="189"/>
        <v>259</v>
      </c>
      <c r="K247" s="167">
        <f t="shared" si="190"/>
        <v>123</v>
      </c>
      <c r="L247" s="168">
        <f t="shared" si="191"/>
        <v>206</v>
      </c>
      <c r="M247" s="166">
        <f t="shared" si="192"/>
        <v>324</v>
      </c>
      <c r="N247" s="167">
        <f t="shared" si="193"/>
        <v>154</v>
      </c>
      <c r="O247" s="168">
        <f t="shared" si="194"/>
        <v>258</v>
      </c>
      <c r="P247" s="169">
        <f t="shared" si="195"/>
        <v>486</v>
      </c>
      <c r="Q247" s="169">
        <f t="shared" si="196"/>
        <v>232</v>
      </c>
      <c r="R247" s="169">
        <f t="shared" si="197"/>
        <v>387</v>
      </c>
      <c r="S247" s="584">
        <f t="shared" si="203"/>
        <v>3245</v>
      </c>
      <c r="T247" s="594">
        <f t="shared" si="204"/>
        <v>1548</v>
      </c>
      <c r="U247" s="595">
        <f t="shared" si="205"/>
        <v>2581</v>
      </c>
      <c r="V247" s="166">
        <f t="shared" si="206"/>
        <v>7392</v>
      </c>
      <c r="W247" s="167">
        <f t="shared" si="207"/>
        <v>3519</v>
      </c>
      <c r="X247" s="168">
        <f t="shared" si="208"/>
        <v>5883</v>
      </c>
      <c r="Y247" s="166">
        <f t="shared" si="209"/>
        <v>8364</v>
      </c>
      <c r="Z247" s="167">
        <f t="shared" si="210"/>
        <v>3751</v>
      </c>
      <c r="AA247" s="168">
        <f t="shared" si="211"/>
        <v>7044</v>
      </c>
      <c r="AB247" s="166">
        <f t="shared" si="212"/>
        <v>9822</v>
      </c>
      <c r="AC247" s="167">
        <f t="shared" si="213"/>
        <v>4447</v>
      </c>
      <c r="AD247" s="168">
        <f t="shared" si="214"/>
        <v>7431</v>
      </c>
      <c r="AE247" s="166">
        <f t="shared" si="215"/>
        <v>10794</v>
      </c>
      <c r="AF247" s="167">
        <f t="shared" si="216"/>
        <v>5375</v>
      </c>
      <c r="AG247" s="168">
        <f t="shared" si="217"/>
        <v>8205</v>
      </c>
      <c r="AH247" s="166">
        <f t="shared" si="198"/>
        <v>11766</v>
      </c>
      <c r="AI247" s="167">
        <f t="shared" si="218"/>
        <v>5839</v>
      </c>
      <c r="AJ247" s="168">
        <f t="shared" si="219"/>
        <v>9753</v>
      </c>
      <c r="AK247" s="169">
        <f t="shared" si="220"/>
        <v>13239</v>
      </c>
      <c r="AL247" s="167">
        <f t="shared" si="221"/>
        <v>6316</v>
      </c>
      <c r="AM247" s="585">
        <f t="shared" si="222"/>
        <v>10530</v>
      </c>
      <c r="AN247" s="596">
        <v>0.06</v>
      </c>
      <c r="AO247" s="597">
        <v>6.3E-2</v>
      </c>
      <c r="AP247" s="597">
        <v>6.6000000000000003E-2</v>
      </c>
      <c r="AQ247" s="598">
        <v>6.9000000000000006E-2</v>
      </c>
      <c r="AR247" s="599">
        <v>7.1999999999999995E-2</v>
      </c>
      <c r="AS247" s="586"/>
      <c r="AT247" s="587"/>
      <c r="AU247" s="587"/>
      <c r="AV247" s="588"/>
      <c r="AW247" s="589"/>
      <c r="AX247" s="596">
        <v>0.04</v>
      </c>
      <c r="AY247" s="598">
        <v>4.2999999999999997E-2</v>
      </c>
      <c r="AZ247" s="598">
        <v>4.5999999999999999E-2</v>
      </c>
      <c r="BA247" s="598">
        <v>4.9000000000000002E-2</v>
      </c>
      <c r="BB247" s="598">
        <v>5.1999999999999998E-2</v>
      </c>
      <c r="BC247" s="590"/>
      <c r="BD247" s="631"/>
      <c r="BE247" s="596"/>
      <c r="BF247" s="598"/>
      <c r="BG247" s="598"/>
      <c r="BH247" s="598"/>
      <c r="BI247" s="598"/>
      <c r="BJ247" s="598"/>
      <c r="BK247" s="605"/>
      <c r="BL247" s="658">
        <f t="shared" si="199"/>
        <v>29500</v>
      </c>
      <c r="BM247" s="3">
        <f t="shared" si="200"/>
        <v>44</v>
      </c>
      <c r="BN247" s="3">
        <f t="shared" si="201"/>
        <v>21</v>
      </c>
      <c r="BO247" s="3">
        <f t="shared" si="202"/>
        <v>35</v>
      </c>
    </row>
    <row r="248" spans="2:67">
      <c r="B248" s="1269" t="s">
        <v>1980</v>
      </c>
      <c r="C248" s="1265" t="s">
        <v>309</v>
      </c>
      <c r="D248" s="1265" t="s">
        <v>14</v>
      </c>
      <c r="E248" s="1267" t="s">
        <v>126</v>
      </c>
      <c r="F248" s="1270">
        <v>245</v>
      </c>
      <c r="G248" s="593">
        <v>10200</v>
      </c>
      <c r="H248" s="594">
        <v>6300</v>
      </c>
      <c r="I248" s="595">
        <v>13500</v>
      </c>
      <c r="J248" s="166">
        <f t="shared" si="189"/>
        <v>204</v>
      </c>
      <c r="K248" s="167">
        <f t="shared" si="190"/>
        <v>126</v>
      </c>
      <c r="L248" s="168">
        <f t="shared" si="191"/>
        <v>270</v>
      </c>
      <c r="M248" s="166">
        <f t="shared" si="192"/>
        <v>255</v>
      </c>
      <c r="N248" s="167">
        <f t="shared" si="193"/>
        <v>157</v>
      </c>
      <c r="O248" s="168">
        <f t="shared" si="194"/>
        <v>337</v>
      </c>
      <c r="P248" s="169">
        <f t="shared" si="195"/>
        <v>382</v>
      </c>
      <c r="Q248" s="169">
        <f t="shared" si="196"/>
        <v>236</v>
      </c>
      <c r="R248" s="169">
        <f t="shared" si="197"/>
        <v>506</v>
      </c>
      <c r="S248" s="584">
        <f t="shared" si="203"/>
        <v>2550</v>
      </c>
      <c r="T248" s="594">
        <f t="shared" si="204"/>
        <v>1575</v>
      </c>
      <c r="U248" s="595">
        <f t="shared" si="205"/>
        <v>3375</v>
      </c>
      <c r="V248" s="166">
        <f t="shared" si="206"/>
        <v>5814</v>
      </c>
      <c r="W248" s="167">
        <f t="shared" si="207"/>
        <v>3585</v>
      </c>
      <c r="X248" s="168">
        <f t="shared" si="208"/>
        <v>7689</v>
      </c>
      <c r="Y248" s="166">
        <f t="shared" si="209"/>
        <v>6196</v>
      </c>
      <c r="Z248" s="167">
        <f t="shared" si="210"/>
        <v>4293</v>
      </c>
      <c r="AA248" s="168">
        <f t="shared" si="211"/>
        <v>8701</v>
      </c>
      <c r="AB248" s="166">
        <f t="shared" si="212"/>
        <v>7342</v>
      </c>
      <c r="AC248" s="167">
        <f t="shared" si="213"/>
        <v>4529</v>
      </c>
      <c r="AD248" s="168">
        <f t="shared" si="214"/>
        <v>10219</v>
      </c>
      <c r="AE248" s="166">
        <f t="shared" si="215"/>
        <v>8870</v>
      </c>
      <c r="AF248" s="167">
        <f t="shared" si="216"/>
        <v>5001</v>
      </c>
      <c r="AG248" s="168">
        <f t="shared" si="217"/>
        <v>11231</v>
      </c>
      <c r="AH248" s="166">
        <f t="shared" si="198"/>
        <v>9634</v>
      </c>
      <c r="AI248" s="167">
        <f t="shared" si="218"/>
        <v>5945</v>
      </c>
      <c r="AJ248" s="168">
        <f t="shared" si="219"/>
        <v>12243</v>
      </c>
      <c r="AK248" s="169">
        <f t="shared" si="220"/>
        <v>10404</v>
      </c>
      <c r="AL248" s="167">
        <f t="shared" si="221"/>
        <v>6426</v>
      </c>
      <c r="AM248" s="585">
        <f t="shared" si="222"/>
        <v>13770</v>
      </c>
      <c r="AN248" s="596">
        <v>7.0000000000000007E-2</v>
      </c>
      <c r="AO248" s="597">
        <v>7.4999999999999997E-2</v>
      </c>
      <c r="AP248" s="597">
        <v>0.08</v>
      </c>
      <c r="AQ248" s="598">
        <v>8.5000000000000006E-2</v>
      </c>
      <c r="AR248" s="599">
        <v>0.09</v>
      </c>
      <c r="AS248" s="586"/>
      <c r="AT248" s="587"/>
      <c r="AU248" s="587"/>
      <c r="AV248" s="588"/>
      <c r="AW248" s="589"/>
      <c r="AX248" s="596">
        <v>0.04</v>
      </c>
      <c r="AY248" s="598">
        <v>4.2999999999999997E-2</v>
      </c>
      <c r="AZ248" s="598">
        <v>4.5999999999999999E-2</v>
      </c>
      <c r="BA248" s="598">
        <v>4.9000000000000002E-2</v>
      </c>
      <c r="BB248" s="598">
        <v>5.1999999999999998E-2</v>
      </c>
      <c r="BC248" s="590"/>
      <c r="BD248" s="631"/>
      <c r="BE248" s="596"/>
      <c r="BF248" s="598"/>
      <c r="BG248" s="598"/>
      <c r="BH248" s="598"/>
      <c r="BI248" s="598"/>
      <c r="BJ248" s="598"/>
      <c r="BK248" s="605"/>
      <c r="BL248" s="658">
        <f t="shared" si="199"/>
        <v>30000</v>
      </c>
      <c r="BM248" s="3">
        <f t="shared" si="200"/>
        <v>34</v>
      </c>
      <c r="BN248" s="3">
        <f t="shared" si="201"/>
        <v>21</v>
      </c>
      <c r="BO248" s="3">
        <f t="shared" si="202"/>
        <v>45</v>
      </c>
    </row>
    <row r="249" spans="2:67">
      <c r="B249" s="207" t="s">
        <v>464</v>
      </c>
      <c r="C249" s="883" t="s">
        <v>357</v>
      </c>
      <c r="D249" s="883" t="s">
        <v>14</v>
      </c>
      <c r="E249" s="238" t="s">
        <v>65</v>
      </c>
      <c r="F249" s="592">
        <v>246</v>
      </c>
      <c r="G249" s="593">
        <v>5070</v>
      </c>
      <c r="H249" s="594">
        <v>3717</v>
      </c>
      <c r="I249" s="595">
        <v>8110</v>
      </c>
      <c r="J249" s="166">
        <f t="shared" si="189"/>
        <v>101</v>
      </c>
      <c r="K249" s="167">
        <f t="shared" si="190"/>
        <v>74</v>
      </c>
      <c r="L249" s="168">
        <f t="shared" si="191"/>
        <v>162</v>
      </c>
      <c r="M249" s="166">
        <f t="shared" si="192"/>
        <v>152</v>
      </c>
      <c r="N249" s="167">
        <f t="shared" si="193"/>
        <v>111</v>
      </c>
      <c r="O249" s="168">
        <f t="shared" si="194"/>
        <v>243</v>
      </c>
      <c r="P249" s="169">
        <f t="shared" si="195"/>
        <v>202</v>
      </c>
      <c r="Q249" s="169">
        <f t="shared" si="196"/>
        <v>148</v>
      </c>
      <c r="R249" s="169">
        <f t="shared" si="197"/>
        <v>324</v>
      </c>
      <c r="S249" s="584">
        <f t="shared" si="203"/>
        <v>1521</v>
      </c>
      <c r="T249" s="594">
        <f t="shared" si="204"/>
        <v>1115</v>
      </c>
      <c r="U249" s="595">
        <f t="shared" si="205"/>
        <v>2433</v>
      </c>
      <c r="V249" s="166">
        <f t="shared" si="206"/>
        <v>3142</v>
      </c>
      <c r="W249" s="167">
        <f t="shared" si="207"/>
        <v>2299</v>
      </c>
      <c r="X249" s="168">
        <f t="shared" si="208"/>
        <v>5025</v>
      </c>
      <c r="Y249" s="166">
        <f t="shared" si="209"/>
        <v>3546</v>
      </c>
      <c r="Z249" s="167">
        <f t="shared" si="210"/>
        <v>2595</v>
      </c>
      <c r="AA249" s="168">
        <f t="shared" si="211"/>
        <v>5673</v>
      </c>
      <c r="AB249" s="166">
        <f t="shared" si="212"/>
        <v>3950</v>
      </c>
      <c r="AC249" s="167">
        <f t="shared" si="213"/>
        <v>2891</v>
      </c>
      <c r="AD249" s="168">
        <f t="shared" si="214"/>
        <v>6321</v>
      </c>
      <c r="AE249" s="166">
        <f t="shared" si="215"/>
        <v>4354</v>
      </c>
      <c r="AF249" s="167">
        <f t="shared" si="216"/>
        <v>3187</v>
      </c>
      <c r="AG249" s="168">
        <f t="shared" si="217"/>
        <v>6645</v>
      </c>
      <c r="AH249" s="166">
        <f t="shared" si="198"/>
        <v>4556</v>
      </c>
      <c r="AI249" s="167">
        <f t="shared" si="218"/>
        <v>3631</v>
      </c>
      <c r="AJ249" s="168">
        <f t="shared" si="219"/>
        <v>7293</v>
      </c>
      <c r="AK249" s="169">
        <f t="shared" si="220"/>
        <v>5171</v>
      </c>
      <c r="AL249" s="167">
        <f t="shared" si="221"/>
        <v>3791</v>
      </c>
      <c r="AM249" s="585">
        <f t="shared" si="222"/>
        <v>8272</v>
      </c>
      <c r="AN249" s="596">
        <v>0.05</v>
      </c>
      <c r="AO249" s="597">
        <v>5.5E-2</v>
      </c>
      <c r="AP249" s="597">
        <v>0.06</v>
      </c>
      <c r="AQ249" s="598">
        <v>6.5000000000000002E-2</v>
      </c>
      <c r="AR249" s="599">
        <v>7.0000000000000007E-2</v>
      </c>
      <c r="AS249" s="586"/>
      <c r="AT249" s="587"/>
      <c r="AU249" s="587"/>
      <c r="AV249" s="588"/>
      <c r="AW249" s="589"/>
      <c r="AX249" s="596">
        <v>0.05</v>
      </c>
      <c r="AY249" s="598">
        <v>5.5E-2</v>
      </c>
      <c r="AZ249" s="598">
        <v>0.06</v>
      </c>
      <c r="BA249" s="598">
        <v>6.5000000000000002E-2</v>
      </c>
      <c r="BB249" s="598">
        <v>7.0000000000000007E-2</v>
      </c>
      <c r="BC249" s="590"/>
      <c r="BD249" s="631"/>
      <c r="BE249" s="596"/>
      <c r="BF249" s="598"/>
      <c r="BG249" s="598"/>
      <c r="BH249" s="598"/>
      <c r="BI249" s="598"/>
      <c r="BJ249" s="598"/>
      <c r="BK249" s="605"/>
      <c r="BL249" s="658">
        <f t="shared" si="199"/>
        <v>16900</v>
      </c>
      <c r="BM249" s="3">
        <f t="shared" si="200"/>
        <v>30</v>
      </c>
      <c r="BN249" s="3">
        <f t="shared" si="201"/>
        <v>22</v>
      </c>
      <c r="BO249" s="3">
        <f t="shared" si="202"/>
        <v>48</v>
      </c>
    </row>
    <row r="250" spans="2:67">
      <c r="B250" s="207" t="s">
        <v>420</v>
      </c>
      <c r="C250" s="890" t="s">
        <v>357</v>
      </c>
      <c r="D250" s="890" t="s">
        <v>359</v>
      </c>
      <c r="E250" s="238" t="s">
        <v>65</v>
      </c>
      <c r="F250" s="592">
        <v>247</v>
      </c>
      <c r="G250" s="593">
        <v>4393</v>
      </c>
      <c r="H250" s="594">
        <v>6590</v>
      </c>
      <c r="I250" s="595">
        <v>5914</v>
      </c>
      <c r="J250" s="166">
        <f t="shared" si="189"/>
        <v>87</v>
      </c>
      <c r="K250" s="167">
        <f t="shared" si="190"/>
        <v>131</v>
      </c>
      <c r="L250" s="168">
        <f t="shared" si="191"/>
        <v>118</v>
      </c>
      <c r="M250" s="166">
        <f t="shared" si="192"/>
        <v>131</v>
      </c>
      <c r="N250" s="167">
        <f t="shared" si="193"/>
        <v>197</v>
      </c>
      <c r="O250" s="168">
        <f t="shared" si="194"/>
        <v>177</v>
      </c>
      <c r="P250" s="169">
        <f t="shared" si="195"/>
        <v>175</v>
      </c>
      <c r="Q250" s="169">
        <f t="shared" si="196"/>
        <v>263</v>
      </c>
      <c r="R250" s="169">
        <f t="shared" si="197"/>
        <v>236</v>
      </c>
      <c r="S250" s="584">
        <f t="shared" si="203"/>
        <v>1318</v>
      </c>
      <c r="T250" s="594">
        <f t="shared" si="204"/>
        <v>1977</v>
      </c>
      <c r="U250" s="595">
        <f t="shared" si="205"/>
        <v>1774</v>
      </c>
      <c r="V250" s="166">
        <f t="shared" si="206"/>
        <v>2715</v>
      </c>
      <c r="W250" s="167">
        <f t="shared" si="207"/>
        <v>4078</v>
      </c>
      <c r="X250" s="168">
        <f t="shared" si="208"/>
        <v>3662</v>
      </c>
      <c r="Y250" s="166">
        <f t="shared" si="209"/>
        <v>3065</v>
      </c>
      <c r="Z250" s="167">
        <f t="shared" si="210"/>
        <v>4604</v>
      </c>
      <c r="AA250" s="168">
        <f t="shared" si="211"/>
        <v>4134</v>
      </c>
      <c r="AB250" s="166">
        <f t="shared" si="212"/>
        <v>3415</v>
      </c>
      <c r="AC250" s="167">
        <f t="shared" si="213"/>
        <v>5130</v>
      </c>
      <c r="AD250" s="168">
        <f t="shared" si="214"/>
        <v>4606</v>
      </c>
      <c r="AE250" s="166">
        <f t="shared" si="215"/>
        <v>3765</v>
      </c>
      <c r="AF250" s="167">
        <f t="shared" si="216"/>
        <v>5393</v>
      </c>
      <c r="AG250" s="168">
        <f t="shared" si="217"/>
        <v>5078</v>
      </c>
      <c r="AH250" s="166">
        <f t="shared" si="198"/>
        <v>4290</v>
      </c>
      <c r="AI250" s="167">
        <f t="shared" si="218"/>
        <v>5919</v>
      </c>
      <c r="AJ250" s="168">
        <f t="shared" si="219"/>
        <v>5314</v>
      </c>
      <c r="AK250" s="169">
        <f t="shared" si="220"/>
        <v>4480</v>
      </c>
      <c r="AL250" s="167">
        <f t="shared" si="221"/>
        <v>6721</v>
      </c>
      <c r="AM250" s="585">
        <f t="shared" si="222"/>
        <v>6032</v>
      </c>
      <c r="AN250" s="596">
        <v>0.15</v>
      </c>
      <c r="AO250" s="597">
        <v>0.18</v>
      </c>
      <c r="AP250" s="597">
        <v>0.21</v>
      </c>
      <c r="AQ250" s="598">
        <v>0.24</v>
      </c>
      <c r="AR250" s="599">
        <v>0.27</v>
      </c>
      <c r="AS250" s="586"/>
      <c r="AT250" s="587"/>
      <c r="AU250" s="587"/>
      <c r="AV250" s="588"/>
      <c r="AW250" s="589"/>
      <c r="AX250" s="596">
        <v>0.05</v>
      </c>
      <c r="AY250" s="598">
        <v>5.5E-2</v>
      </c>
      <c r="AZ250" s="598">
        <v>0.06</v>
      </c>
      <c r="BA250" s="598">
        <v>6.5000000000000002E-2</v>
      </c>
      <c r="BB250" s="598">
        <v>7.0000000000000007E-2</v>
      </c>
      <c r="BC250" s="590"/>
      <c r="BD250" s="631"/>
      <c r="BE250" s="596"/>
      <c r="BF250" s="598"/>
      <c r="BG250" s="598"/>
      <c r="BH250" s="598"/>
      <c r="BI250" s="598"/>
      <c r="BJ250" s="598"/>
      <c r="BK250" s="605"/>
      <c r="BL250" s="658">
        <f t="shared" si="199"/>
        <v>16900</v>
      </c>
      <c r="BM250" s="3">
        <f t="shared" si="200"/>
        <v>26</v>
      </c>
      <c r="BN250" s="3">
        <f t="shared" si="201"/>
        <v>39</v>
      </c>
      <c r="BO250" s="3">
        <f t="shared" si="202"/>
        <v>35</v>
      </c>
    </row>
    <row r="251" spans="2:67">
      <c r="B251" s="1269" t="s">
        <v>96</v>
      </c>
      <c r="C251" s="1265" t="s">
        <v>309</v>
      </c>
      <c r="D251" s="1265" t="s">
        <v>14</v>
      </c>
      <c r="E251" s="1267" t="s">
        <v>65</v>
      </c>
      <c r="F251" s="592">
        <v>248</v>
      </c>
      <c r="G251" s="593">
        <v>9073</v>
      </c>
      <c r="H251" s="594">
        <v>8249</v>
      </c>
      <c r="I251" s="595">
        <v>10173</v>
      </c>
      <c r="J251" s="166">
        <f t="shared" si="189"/>
        <v>181</v>
      </c>
      <c r="K251" s="167">
        <f t="shared" si="190"/>
        <v>165</v>
      </c>
      <c r="L251" s="168">
        <f t="shared" si="191"/>
        <v>203</v>
      </c>
      <c r="M251" s="166">
        <f t="shared" si="192"/>
        <v>226</v>
      </c>
      <c r="N251" s="167">
        <f t="shared" si="193"/>
        <v>206</v>
      </c>
      <c r="O251" s="168">
        <f t="shared" si="194"/>
        <v>254</v>
      </c>
      <c r="P251" s="169">
        <f t="shared" si="195"/>
        <v>340</v>
      </c>
      <c r="Q251" s="169">
        <f t="shared" si="196"/>
        <v>309</v>
      </c>
      <c r="R251" s="169">
        <f t="shared" si="197"/>
        <v>381</v>
      </c>
      <c r="S251" s="584">
        <f t="shared" si="203"/>
        <v>2268</v>
      </c>
      <c r="T251" s="594">
        <f t="shared" si="204"/>
        <v>2062</v>
      </c>
      <c r="U251" s="595">
        <f t="shared" si="205"/>
        <v>2543</v>
      </c>
      <c r="V251" s="166">
        <f t="shared" si="206"/>
        <v>5161</v>
      </c>
      <c r="W251" s="167">
        <f t="shared" si="207"/>
        <v>4699</v>
      </c>
      <c r="X251" s="168">
        <f t="shared" si="208"/>
        <v>5794</v>
      </c>
      <c r="Y251" s="166">
        <f t="shared" si="209"/>
        <v>5501</v>
      </c>
      <c r="Z251" s="167">
        <f t="shared" si="210"/>
        <v>5626</v>
      </c>
      <c r="AA251" s="168">
        <f t="shared" si="211"/>
        <v>6556</v>
      </c>
      <c r="AB251" s="166">
        <f t="shared" si="212"/>
        <v>6521</v>
      </c>
      <c r="AC251" s="167">
        <f t="shared" si="213"/>
        <v>5935</v>
      </c>
      <c r="AD251" s="168">
        <f t="shared" si="214"/>
        <v>7699</v>
      </c>
      <c r="AE251" s="166">
        <f t="shared" si="215"/>
        <v>7881</v>
      </c>
      <c r="AF251" s="167">
        <f t="shared" si="216"/>
        <v>6553</v>
      </c>
      <c r="AG251" s="168">
        <f t="shared" si="217"/>
        <v>8461</v>
      </c>
      <c r="AH251" s="166">
        <f t="shared" si="198"/>
        <v>8561</v>
      </c>
      <c r="AI251" s="167">
        <f t="shared" si="218"/>
        <v>7789</v>
      </c>
      <c r="AJ251" s="168">
        <f t="shared" si="219"/>
        <v>9223</v>
      </c>
      <c r="AK251" s="169">
        <f t="shared" si="220"/>
        <v>9254</v>
      </c>
      <c r="AL251" s="167">
        <f t="shared" si="221"/>
        <v>8414</v>
      </c>
      <c r="AM251" s="585">
        <f t="shared" si="222"/>
        <v>10376</v>
      </c>
      <c r="AN251" s="596">
        <v>0.3</v>
      </c>
      <c r="AO251" s="597">
        <v>0.30499999999999999</v>
      </c>
      <c r="AP251" s="597">
        <v>0.31</v>
      </c>
      <c r="AQ251" s="598">
        <v>0.315</v>
      </c>
      <c r="AR251" s="599">
        <v>0.32</v>
      </c>
      <c r="AS251" s="586"/>
      <c r="AT251" s="587"/>
      <c r="AU251" s="587"/>
      <c r="AV251" s="588"/>
      <c r="AW251" s="589"/>
      <c r="AX251" s="596">
        <v>0.04</v>
      </c>
      <c r="AY251" s="598">
        <v>4.2999999999999997E-2</v>
      </c>
      <c r="AZ251" s="598">
        <v>4.5999999999999999E-2</v>
      </c>
      <c r="BA251" s="598">
        <v>4.9000000000000002E-2</v>
      </c>
      <c r="BB251" s="598">
        <v>5.1999999999999998E-2</v>
      </c>
      <c r="BC251" s="590"/>
      <c r="BD251" s="631"/>
      <c r="BE251" s="596"/>
      <c r="BF251" s="598"/>
      <c r="BG251" s="598"/>
      <c r="BH251" s="598"/>
      <c r="BI251" s="598"/>
      <c r="BJ251" s="598"/>
      <c r="BK251" s="605"/>
      <c r="BL251" s="658">
        <f t="shared" si="199"/>
        <v>27500</v>
      </c>
      <c r="BM251" s="3">
        <f t="shared" si="200"/>
        <v>33</v>
      </c>
      <c r="BN251" s="3">
        <f t="shared" si="201"/>
        <v>30</v>
      </c>
      <c r="BO251" s="3">
        <f t="shared" si="202"/>
        <v>37</v>
      </c>
    </row>
    <row r="252" spans="2:67">
      <c r="B252" s="207" t="s">
        <v>385</v>
      </c>
      <c r="C252" s="883" t="s">
        <v>357</v>
      </c>
      <c r="D252" s="883" t="s">
        <v>358</v>
      </c>
      <c r="E252" s="238" t="s">
        <v>65</v>
      </c>
      <c r="F252" s="592">
        <v>249</v>
      </c>
      <c r="G252" s="593">
        <v>7773</v>
      </c>
      <c r="H252" s="594">
        <v>3886</v>
      </c>
      <c r="I252" s="595">
        <v>5237</v>
      </c>
      <c r="J252" s="166">
        <f t="shared" si="189"/>
        <v>155</v>
      </c>
      <c r="K252" s="167">
        <f t="shared" si="190"/>
        <v>77</v>
      </c>
      <c r="L252" s="168">
        <f t="shared" si="191"/>
        <v>104</v>
      </c>
      <c r="M252" s="166">
        <f t="shared" si="192"/>
        <v>233</v>
      </c>
      <c r="N252" s="167">
        <f t="shared" si="193"/>
        <v>116</v>
      </c>
      <c r="O252" s="168">
        <f t="shared" si="194"/>
        <v>157</v>
      </c>
      <c r="P252" s="169">
        <f t="shared" si="195"/>
        <v>310</v>
      </c>
      <c r="Q252" s="169">
        <f t="shared" si="196"/>
        <v>155</v>
      </c>
      <c r="R252" s="169">
        <f t="shared" si="197"/>
        <v>209</v>
      </c>
      <c r="S252" s="584">
        <f t="shared" si="203"/>
        <v>2332</v>
      </c>
      <c r="T252" s="594">
        <f t="shared" si="204"/>
        <v>1166</v>
      </c>
      <c r="U252" s="595">
        <f t="shared" si="205"/>
        <v>1571</v>
      </c>
      <c r="V252" s="166">
        <f t="shared" si="206"/>
        <v>4817</v>
      </c>
      <c r="W252" s="167">
        <f t="shared" si="207"/>
        <v>2403</v>
      </c>
      <c r="X252" s="168">
        <f t="shared" si="208"/>
        <v>3245</v>
      </c>
      <c r="Y252" s="166">
        <f t="shared" si="209"/>
        <v>5437</v>
      </c>
      <c r="Z252" s="167">
        <f t="shared" si="210"/>
        <v>2713</v>
      </c>
      <c r="AA252" s="168">
        <f t="shared" si="211"/>
        <v>3663</v>
      </c>
      <c r="AB252" s="166">
        <f t="shared" si="212"/>
        <v>6057</v>
      </c>
      <c r="AC252" s="167">
        <f t="shared" si="213"/>
        <v>3023</v>
      </c>
      <c r="AD252" s="168">
        <f t="shared" si="214"/>
        <v>4081</v>
      </c>
      <c r="AE252" s="166">
        <f t="shared" si="215"/>
        <v>6367</v>
      </c>
      <c r="AF252" s="167">
        <f t="shared" si="216"/>
        <v>3333</v>
      </c>
      <c r="AG252" s="168">
        <f t="shared" si="217"/>
        <v>4499</v>
      </c>
      <c r="AH252" s="166">
        <f t="shared" si="198"/>
        <v>6987</v>
      </c>
      <c r="AI252" s="167">
        <f t="shared" si="218"/>
        <v>3488</v>
      </c>
      <c r="AJ252" s="168">
        <f t="shared" si="219"/>
        <v>5126</v>
      </c>
      <c r="AK252" s="169">
        <f t="shared" si="220"/>
        <v>7928</v>
      </c>
      <c r="AL252" s="167">
        <f t="shared" si="221"/>
        <v>3963</v>
      </c>
      <c r="AM252" s="585">
        <f t="shared" si="222"/>
        <v>5341</v>
      </c>
      <c r="AN252" s="596">
        <v>0.25</v>
      </c>
      <c r="AO252" s="597">
        <v>0.28000000000000003</v>
      </c>
      <c r="AP252" s="597">
        <v>0.31</v>
      </c>
      <c r="AQ252" s="598">
        <v>0.34</v>
      </c>
      <c r="AR252" s="599">
        <v>0.37</v>
      </c>
      <c r="AS252" s="586"/>
      <c r="AT252" s="587"/>
      <c r="AU252" s="587"/>
      <c r="AV252" s="588"/>
      <c r="AW252" s="589"/>
      <c r="AX252" s="596">
        <v>0.05</v>
      </c>
      <c r="AY252" s="598">
        <v>5.5E-2</v>
      </c>
      <c r="AZ252" s="598">
        <v>0.06</v>
      </c>
      <c r="BA252" s="598">
        <v>6.5000000000000002E-2</v>
      </c>
      <c r="BB252" s="598">
        <v>7.0000000000000007E-2</v>
      </c>
      <c r="BC252" s="590"/>
      <c r="BD252" s="631"/>
      <c r="BE252" s="596"/>
      <c r="BF252" s="598"/>
      <c r="BG252" s="598"/>
      <c r="BH252" s="598"/>
      <c r="BI252" s="598"/>
      <c r="BJ252" s="598"/>
      <c r="BK252" s="605"/>
      <c r="BL252" s="658">
        <f t="shared" si="199"/>
        <v>16900</v>
      </c>
      <c r="BM252" s="3">
        <f t="shared" si="200"/>
        <v>46</v>
      </c>
      <c r="BN252" s="3">
        <f t="shared" si="201"/>
        <v>23</v>
      </c>
      <c r="BO252" s="3">
        <f t="shared" si="202"/>
        <v>31</v>
      </c>
    </row>
    <row r="253" spans="2:67">
      <c r="B253" s="1269" t="s">
        <v>92</v>
      </c>
      <c r="C253" s="1265" t="s">
        <v>309</v>
      </c>
      <c r="D253" s="1265" t="s">
        <v>70</v>
      </c>
      <c r="E253" s="1267" t="s">
        <v>65</v>
      </c>
      <c r="F253" s="592">
        <v>250</v>
      </c>
      <c r="G253" s="593">
        <v>10173</v>
      </c>
      <c r="H253" s="594">
        <v>6324</v>
      </c>
      <c r="I253" s="595">
        <v>11000</v>
      </c>
      <c r="J253" s="166">
        <f t="shared" si="189"/>
        <v>203</v>
      </c>
      <c r="K253" s="167">
        <f t="shared" si="190"/>
        <v>126</v>
      </c>
      <c r="L253" s="168">
        <f t="shared" si="191"/>
        <v>220</v>
      </c>
      <c r="M253" s="166">
        <f t="shared" si="192"/>
        <v>254</v>
      </c>
      <c r="N253" s="167">
        <f t="shared" si="193"/>
        <v>158</v>
      </c>
      <c r="O253" s="168">
        <f t="shared" si="194"/>
        <v>275</v>
      </c>
      <c r="P253" s="169">
        <f t="shared" si="195"/>
        <v>381</v>
      </c>
      <c r="Q253" s="169">
        <f t="shared" si="196"/>
        <v>237</v>
      </c>
      <c r="R253" s="169">
        <f t="shared" si="197"/>
        <v>412</v>
      </c>
      <c r="S253" s="584">
        <f t="shared" si="203"/>
        <v>2543</v>
      </c>
      <c r="T253" s="594">
        <f t="shared" si="204"/>
        <v>1581</v>
      </c>
      <c r="U253" s="595">
        <f t="shared" si="205"/>
        <v>2750</v>
      </c>
      <c r="V253" s="166">
        <f t="shared" si="206"/>
        <v>5794</v>
      </c>
      <c r="W253" s="167">
        <f t="shared" si="207"/>
        <v>3603</v>
      </c>
      <c r="X253" s="168">
        <f t="shared" si="208"/>
        <v>6270</v>
      </c>
      <c r="Y253" s="166">
        <f t="shared" si="209"/>
        <v>6175</v>
      </c>
      <c r="Z253" s="167">
        <f t="shared" si="210"/>
        <v>4077</v>
      </c>
      <c r="AA253" s="168">
        <f t="shared" si="211"/>
        <v>7506</v>
      </c>
      <c r="AB253" s="166">
        <f t="shared" si="212"/>
        <v>7318</v>
      </c>
      <c r="AC253" s="167">
        <f t="shared" si="213"/>
        <v>4788</v>
      </c>
      <c r="AD253" s="168">
        <f t="shared" si="214"/>
        <v>7918</v>
      </c>
      <c r="AE253" s="166">
        <f t="shared" si="215"/>
        <v>8842</v>
      </c>
      <c r="AF253" s="167">
        <f t="shared" si="216"/>
        <v>5262</v>
      </c>
      <c r="AG253" s="168">
        <f t="shared" si="217"/>
        <v>8742</v>
      </c>
      <c r="AH253" s="166">
        <f t="shared" si="198"/>
        <v>9604</v>
      </c>
      <c r="AI253" s="167">
        <f t="shared" si="218"/>
        <v>5736</v>
      </c>
      <c r="AJ253" s="168">
        <f t="shared" si="219"/>
        <v>10390</v>
      </c>
      <c r="AK253" s="169">
        <f t="shared" si="220"/>
        <v>10376</v>
      </c>
      <c r="AL253" s="167">
        <f t="shared" si="221"/>
        <v>6450</v>
      </c>
      <c r="AM253" s="585">
        <f t="shared" si="222"/>
        <v>11220</v>
      </c>
      <c r="AN253" s="596">
        <v>7.0000000000000007E-2</v>
      </c>
      <c r="AO253" s="597">
        <v>7.4999999999999997E-2</v>
      </c>
      <c r="AP253" s="597">
        <v>0.08</v>
      </c>
      <c r="AQ253" s="598">
        <v>8.5000000000000006E-2</v>
      </c>
      <c r="AR253" s="599">
        <v>0.09</v>
      </c>
      <c r="AS253" s="586"/>
      <c r="AT253" s="587"/>
      <c r="AU253" s="587"/>
      <c r="AV253" s="588"/>
      <c r="AW253" s="589"/>
      <c r="AX253" s="596">
        <v>0.05</v>
      </c>
      <c r="AY253" s="598">
        <v>5.5E-2</v>
      </c>
      <c r="AZ253" s="598">
        <v>0.06</v>
      </c>
      <c r="BA253" s="598">
        <v>6.5000000000000002E-2</v>
      </c>
      <c r="BB253" s="598">
        <v>7.0000000000000007E-2</v>
      </c>
      <c r="BC253" s="590"/>
      <c r="BD253" s="631"/>
      <c r="BE253" s="596"/>
      <c r="BF253" s="598"/>
      <c r="BG253" s="598"/>
      <c r="BH253" s="598"/>
      <c r="BI253" s="598"/>
      <c r="BJ253" s="598"/>
      <c r="BK253" s="605"/>
      <c r="BL253" s="658">
        <f t="shared" si="199"/>
        <v>27500</v>
      </c>
      <c r="BM253" s="3">
        <f t="shared" si="200"/>
        <v>37</v>
      </c>
      <c r="BN253" s="3">
        <f t="shared" si="201"/>
        <v>23</v>
      </c>
      <c r="BO253" s="3">
        <f t="shared" si="202"/>
        <v>40</v>
      </c>
    </row>
    <row r="254" spans="2:67">
      <c r="B254" s="1269" t="s">
        <v>113</v>
      </c>
      <c r="C254" s="1265" t="s">
        <v>309</v>
      </c>
      <c r="D254" s="1265" t="s">
        <v>70</v>
      </c>
      <c r="E254" s="1267" t="s">
        <v>125</v>
      </c>
      <c r="F254" s="1270">
        <v>251</v>
      </c>
      <c r="G254" s="593">
        <v>7200</v>
      </c>
      <c r="H254" s="594">
        <v>6749</v>
      </c>
      <c r="I254" s="595">
        <v>8549</v>
      </c>
      <c r="J254" s="166">
        <f t="shared" si="189"/>
        <v>144</v>
      </c>
      <c r="K254" s="167">
        <f t="shared" si="190"/>
        <v>135</v>
      </c>
      <c r="L254" s="168">
        <f t="shared" si="191"/>
        <v>171</v>
      </c>
      <c r="M254" s="166">
        <f t="shared" si="192"/>
        <v>180</v>
      </c>
      <c r="N254" s="167">
        <f t="shared" si="193"/>
        <v>168</v>
      </c>
      <c r="O254" s="168">
        <f t="shared" si="194"/>
        <v>213</v>
      </c>
      <c r="P254" s="169">
        <f t="shared" si="195"/>
        <v>270</v>
      </c>
      <c r="Q254" s="169">
        <f t="shared" si="196"/>
        <v>253</v>
      </c>
      <c r="R254" s="169">
        <f t="shared" si="197"/>
        <v>320</v>
      </c>
      <c r="S254" s="584">
        <f t="shared" si="203"/>
        <v>1800</v>
      </c>
      <c r="T254" s="594">
        <f t="shared" si="204"/>
        <v>1687</v>
      </c>
      <c r="U254" s="595">
        <f t="shared" si="205"/>
        <v>2137</v>
      </c>
      <c r="V254" s="166">
        <f t="shared" si="206"/>
        <v>4104</v>
      </c>
      <c r="W254" s="167">
        <f t="shared" si="207"/>
        <v>3838</v>
      </c>
      <c r="X254" s="168">
        <f t="shared" si="208"/>
        <v>4864</v>
      </c>
      <c r="Y254" s="166">
        <f t="shared" si="209"/>
        <v>4374</v>
      </c>
      <c r="Z254" s="167">
        <f t="shared" si="210"/>
        <v>4344</v>
      </c>
      <c r="AA254" s="168">
        <f t="shared" si="211"/>
        <v>5824</v>
      </c>
      <c r="AB254" s="166">
        <f t="shared" si="212"/>
        <v>5184</v>
      </c>
      <c r="AC254" s="167">
        <f t="shared" si="213"/>
        <v>5103</v>
      </c>
      <c r="AD254" s="168">
        <f t="shared" si="214"/>
        <v>6144</v>
      </c>
      <c r="AE254" s="166">
        <f t="shared" si="215"/>
        <v>6264</v>
      </c>
      <c r="AF254" s="167">
        <f t="shared" si="216"/>
        <v>5609</v>
      </c>
      <c r="AG254" s="168">
        <f t="shared" si="217"/>
        <v>6784</v>
      </c>
      <c r="AH254" s="166">
        <f t="shared" si="198"/>
        <v>6804</v>
      </c>
      <c r="AI254" s="167">
        <f t="shared" si="218"/>
        <v>6115</v>
      </c>
      <c r="AJ254" s="168">
        <f t="shared" si="219"/>
        <v>8064</v>
      </c>
      <c r="AK254" s="169">
        <f t="shared" si="220"/>
        <v>7344</v>
      </c>
      <c r="AL254" s="167">
        <f t="shared" si="221"/>
        <v>6884</v>
      </c>
      <c r="AM254" s="585">
        <f t="shared" si="222"/>
        <v>8720</v>
      </c>
      <c r="AN254" s="596">
        <v>3.6999999999999998E-2</v>
      </c>
      <c r="AO254" s="597">
        <v>3.9E-2</v>
      </c>
      <c r="AP254" s="597">
        <v>4.1000000000000002E-2</v>
      </c>
      <c r="AQ254" s="598">
        <v>4.2999999999999997E-2</v>
      </c>
      <c r="AR254" s="599">
        <v>4.4999999999999998E-2</v>
      </c>
      <c r="AS254" s="586"/>
      <c r="AT254" s="587"/>
      <c r="AU254" s="587"/>
      <c r="AV254" s="588"/>
      <c r="AW254" s="589"/>
      <c r="AX254" s="596">
        <v>0.02</v>
      </c>
      <c r="AY254" s="598">
        <v>2.3E-2</v>
      </c>
      <c r="AZ254" s="598">
        <v>2.5999999999999999E-2</v>
      </c>
      <c r="BA254" s="598">
        <v>2.9000000000000001E-2</v>
      </c>
      <c r="BB254" s="598">
        <v>3.2000000000000001E-2</v>
      </c>
      <c r="BC254" s="590"/>
      <c r="BD254" s="631"/>
      <c r="BE254" s="596"/>
      <c r="BF254" s="598"/>
      <c r="BG254" s="598"/>
      <c r="BH254" s="598"/>
      <c r="BI254" s="598"/>
      <c r="BJ254" s="598"/>
      <c r="BK254" s="605"/>
      <c r="BL254" s="658">
        <f t="shared" si="199"/>
        <v>22500</v>
      </c>
      <c r="BM254" s="3">
        <f t="shared" si="200"/>
        <v>32</v>
      </c>
      <c r="BN254" s="3">
        <f t="shared" si="201"/>
        <v>30</v>
      </c>
      <c r="BO254" s="3">
        <f t="shared" si="202"/>
        <v>38</v>
      </c>
    </row>
    <row r="255" spans="2:67">
      <c r="B255" s="207" t="s">
        <v>465</v>
      </c>
      <c r="C255" s="890" t="s">
        <v>357</v>
      </c>
      <c r="D255" s="890" t="s">
        <v>23</v>
      </c>
      <c r="E255" s="238" t="s">
        <v>125</v>
      </c>
      <c r="F255" s="592">
        <v>252</v>
      </c>
      <c r="G255" s="593">
        <v>2780</v>
      </c>
      <c r="H255" s="594">
        <v>6810</v>
      </c>
      <c r="I255" s="595">
        <v>4307</v>
      </c>
      <c r="J255" s="166">
        <f t="shared" si="189"/>
        <v>55</v>
      </c>
      <c r="K255" s="167">
        <f t="shared" si="190"/>
        <v>136</v>
      </c>
      <c r="L255" s="168">
        <f t="shared" si="191"/>
        <v>86</v>
      </c>
      <c r="M255" s="166">
        <f t="shared" si="192"/>
        <v>83</v>
      </c>
      <c r="N255" s="167">
        <f t="shared" si="193"/>
        <v>204</v>
      </c>
      <c r="O255" s="168">
        <f t="shared" si="194"/>
        <v>129</v>
      </c>
      <c r="P255" s="169">
        <f t="shared" si="195"/>
        <v>111</v>
      </c>
      <c r="Q255" s="169">
        <f t="shared" si="196"/>
        <v>272</v>
      </c>
      <c r="R255" s="169">
        <f t="shared" si="197"/>
        <v>172</v>
      </c>
      <c r="S255" s="584">
        <f t="shared" si="203"/>
        <v>834</v>
      </c>
      <c r="T255" s="594">
        <f t="shared" si="204"/>
        <v>2043</v>
      </c>
      <c r="U255" s="595">
        <f t="shared" si="205"/>
        <v>1292</v>
      </c>
      <c r="V255" s="166">
        <f t="shared" si="206"/>
        <v>1719</v>
      </c>
      <c r="W255" s="167">
        <f t="shared" si="207"/>
        <v>4219</v>
      </c>
      <c r="X255" s="168">
        <f t="shared" si="208"/>
        <v>2668</v>
      </c>
      <c r="Y255" s="166">
        <f t="shared" si="209"/>
        <v>1941</v>
      </c>
      <c r="Z255" s="167">
        <f t="shared" si="210"/>
        <v>4763</v>
      </c>
      <c r="AA255" s="168">
        <f t="shared" si="211"/>
        <v>3012</v>
      </c>
      <c r="AB255" s="166">
        <f t="shared" si="212"/>
        <v>2163</v>
      </c>
      <c r="AC255" s="167">
        <f t="shared" si="213"/>
        <v>5307</v>
      </c>
      <c r="AD255" s="168">
        <f t="shared" si="214"/>
        <v>3356</v>
      </c>
      <c r="AE255" s="166">
        <f t="shared" si="215"/>
        <v>2385</v>
      </c>
      <c r="AF255" s="167">
        <f t="shared" si="216"/>
        <v>5579</v>
      </c>
      <c r="AG255" s="168">
        <f t="shared" si="217"/>
        <v>3700</v>
      </c>
      <c r="AH255" s="166">
        <f t="shared" si="198"/>
        <v>2718</v>
      </c>
      <c r="AI255" s="167">
        <f t="shared" si="218"/>
        <v>6123</v>
      </c>
      <c r="AJ255" s="168">
        <f t="shared" si="219"/>
        <v>3872</v>
      </c>
      <c r="AK255" s="169">
        <f t="shared" si="220"/>
        <v>2835</v>
      </c>
      <c r="AL255" s="167">
        <f t="shared" si="221"/>
        <v>6946</v>
      </c>
      <c r="AM255" s="585">
        <f t="shared" si="222"/>
        <v>4393</v>
      </c>
      <c r="AN255" s="596">
        <v>0.17</v>
      </c>
      <c r="AO255" s="597">
        <v>0.2</v>
      </c>
      <c r="AP255" s="597">
        <v>0.23</v>
      </c>
      <c r="AQ255" s="598">
        <v>0.26</v>
      </c>
      <c r="AR255" s="599">
        <v>0.28999999999999998</v>
      </c>
      <c r="AS255" s="586"/>
      <c r="AT255" s="587"/>
      <c r="AU255" s="587"/>
      <c r="AV255" s="588"/>
      <c r="AW255" s="589"/>
      <c r="AX255" s="596">
        <v>0.03</v>
      </c>
      <c r="AY255" s="598">
        <v>3.3000000000000002E-2</v>
      </c>
      <c r="AZ255" s="598">
        <v>3.5999999999999997E-2</v>
      </c>
      <c r="BA255" s="598">
        <v>3.9E-2</v>
      </c>
      <c r="BB255" s="598">
        <v>4.2000000000000003E-2</v>
      </c>
      <c r="BC255" s="590"/>
      <c r="BD255" s="631"/>
      <c r="BE255" s="596"/>
      <c r="BF255" s="598"/>
      <c r="BG255" s="598"/>
      <c r="BH255" s="598"/>
      <c r="BI255" s="598"/>
      <c r="BJ255" s="598"/>
      <c r="BK255" s="605"/>
      <c r="BL255" s="658">
        <f t="shared" si="199"/>
        <v>13900</v>
      </c>
      <c r="BM255" s="3">
        <f t="shared" si="200"/>
        <v>20</v>
      </c>
      <c r="BN255" s="3">
        <f t="shared" si="201"/>
        <v>49</v>
      </c>
      <c r="BO255" s="3">
        <f t="shared" si="202"/>
        <v>31</v>
      </c>
    </row>
    <row r="256" spans="2:67">
      <c r="B256" s="207" t="s">
        <v>421</v>
      </c>
      <c r="C256" s="883" t="s">
        <v>357</v>
      </c>
      <c r="D256" s="883" t="s">
        <v>356</v>
      </c>
      <c r="E256" s="238" t="s">
        <v>125</v>
      </c>
      <c r="F256" s="592">
        <v>253</v>
      </c>
      <c r="G256" s="593">
        <v>4724</v>
      </c>
      <c r="H256" s="594">
        <v>5141</v>
      </c>
      <c r="I256" s="595">
        <v>4030</v>
      </c>
      <c r="J256" s="166">
        <f t="shared" si="189"/>
        <v>94</v>
      </c>
      <c r="K256" s="167">
        <f t="shared" si="190"/>
        <v>102</v>
      </c>
      <c r="L256" s="168">
        <f t="shared" si="191"/>
        <v>80</v>
      </c>
      <c r="M256" s="166">
        <f t="shared" si="192"/>
        <v>141</v>
      </c>
      <c r="N256" s="167">
        <f t="shared" si="193"/>
        <v>154</v>
      </c>
      <c r="O256" s="168">
        <f t="shared" si="194"/>
        <v>120</v>
      </c>
      <c r="P256" s="169">
        <f t="shared" si="195"/>
        <v>189</v>
      </c>
      <c r="Q256" s="169">
        <f t="shared" si="196"/>
        <v>205</v>
      </c>
      <c r="R256" s="169">
        <f t="shared" si="197"/>
        <v>161</v>
      </c>
      <c r="S256" s="584">
        <f t="shared" si="203"/>
        <v>1417</v>
      </c>
      <c r="T256" s="594">
        <f t="shared" si="204"/>
        <v>1542</v>
      </c>
      <c r="U256" s="595">
        <f t="shared" si="205"/>
        <v>1209</v>
      </c>
      <c r="V256" s="166">
        <f t="shared" si="206"/>
        <v>2921</v>
      </c>
      <c r="W256" s="167">
        <f t="shared" si="207"/>
        <v>3184</v>
      </c>
      <c r="X256" s="168">
        <f t="shared" si="208"/>
        <v>2489</v>
      </c>
      <c r="Y256" s="166">
        <f t="shared" si="209"/>
        <v>3299</v>
      </c>
      <c r="Z256" s="167">
        <f t="shared" si="210"/>
        <v>3594</v>
      </c>
      <c r="AA256" s="168">
        <f t="shared" si="211"/>
        <v>2811</v>
      </c>
      <c r="AB256" s="166">
        <f t="shared" si="212"/>
        <v>3677</v>
      </c>
      <c r="AC256" s="167">
        <f t="shared" si="213"/>
        <v>4004</v>
      </c>
      <c r="AD256" s="168">
        <f t="shared" si="214"/>
        <v>3133</v>
      </c>
      <c r="AE256" s="166">
        <f t="shared" si="215"/>
        <v>4055</v>
      </c>
      <c r="AF256" s="167">
        <f t="shared" si="216"/>
        <v>4209</v>
      </c>
      <c r="AG256" s="168">
        <f t="shared" si="217"/>
        <v>3455</v>
      </c>
      <c r="AH256" s="166">
        <f t="shared" si="198"/>
        <v>4244</v>
      </c>
      <c r="AI256" s="167">
        <f t="shared" si="218"/>
        <v>4619</v>
      </c>
      <c r="AJ256" s="168">
        <f t="shared" si="219"/>
        <v>3938</v>
      </c>
      <c r="AK256" s="169">
        <f t="shared" si="220"/>
        <v>4818</v>
      </c>
      <c r="AL256" s="167">
        <f t="shared" si="221"/>
        <v>5243</v>
      </c>
      <c r="AM256" s="585">
        <f t="shared" si="222"/>
        <v>4110</v>
      </c>
      <c r="AN256" s="596">
        <v>0.05</v>
      </c>
      <c r="AO256" s="597">
        <v>5.5E-2</v>
      </c>
      <c r="AP256" s="597">
        <v>0.06</v>
      </c>
      <c r="AQ256" s="598">
        <v>6.5000000000000002E-2</v>
      </c>
      <c r="AR256" s="599">
        <v>7.0000000000000007E-2</v>
      </c>
      <c r="AS256" s="586"/>
      <c r="AT256" s="587"/>
      <c r="AU256" s="587"/>
      <c r="AV256" s="588"/>
      <c r="AW256" s="589"/>
      <c r="AX256" s="596">
        <v>0.02</v>
      </c>
      <c r="AY256" s="598">
        <v>2.3E-2</v>
      </c>
      <c r="AZ256" s="598">
        <v>2.5999999999999999E-2</v>
      </c>
      <c r="BA256" s="598">
        <v>2.9000000000000001E-2</v>
      </c>
      <c r="BB256" s="598">
        <v>3.2000000000000001E-2</v>
      </c>
      <c r="BC256" s="590"/>
      <c r="BD256" s="631"/>
      <c r="BE256" s="596"/>
      <c r="BF256" s="598"/>
      <c r="BG256" s="598"/>
      <c r="BH256" s="598"/>
      <c r="BI256" s="598"/>
      <c r="BJ256" s="598"/>
      <c r="BK256" s="605"/>
      <c r="BL256" s="658">
        <f t="shared" si="199"/>
        <v>13900</v>
      </c>
      <c r="BM256" s="3">
        <f t="shared" si="200"/>
        <v>34</v>
      </c>
      <c r="BN256" s="3">
        <f t="shared" si="201"/>
        <v>37</v>
      </c>
      <c r="BO256" s="3">
        <f t="shared" si="202"/>
        <v>29</v>
      </c>
    </row>
    <row r="257" spans="2:67">
      <c r="B257" s="1269" t="s">
        <v>220</v>
      </c>
      <c r="C257" s="1265" t="s">
        <v>309</v>
      </c>
      <c r="D257" s="1265" t="s">
        <v>23</v>
      </c>
      <c r="E257" s="1267" t="s">
        <v>65</v>
      </c>
      <c r="F257" s="1270">
        <v>254</v>
      </c>
      <c r="G257" s="593">
        <v>7973</v>
      </c>
      <c r="H257" s="594">
        <v>11824</v>
      </c>
      <c r="I257" s="595">
        <v>7700</v>
      </c>
      <c r="J257" s="166">
        <f t="shared" si="189"/>
        <v>159</v>
      </c>
      <c r="K257" s="167">
        <f t="shared" si="190"/>
        <v>236</v>
      </c>
      <c r="L257" s="168">
        <f t="shared" si="191"/>
        <v>154</v>
      </c>
      <c r="M257" s="166">
        <f t="shared" si="192"/>
        <v>199</v>
      </c>
      <c r="N257" s="167">
        <f t="shared" si="193"/>
        <v>295</v>
      </c>
      <c r="O257" s="168">
        <f t="shared" si="194"/>
        <v>192</v>
      </c>
      <c r="P257" s="169">
        <f t="shared" si="195"/>
        <v>299</v>
      </c>
      <c r="Q257" s="169">
        <f t="shared" si="196"/>
        <v>443</v>
      </c>
      <c r="R257" s="169">
        <f t="shared" si="197"/>
        <v>288</v>
      </c>
      <c r="S257" s="584">
        <f t="shared" si="203"/>
        <v>1993</v>
      </c>
      <c r="T257" s="594">
        <f t="shared" si="204"/>
        <v>2956</v>
      </c>
      <c r="U257" s="595">
        <f t="shared" si="205"/>
        <v>1925</v>
      </c>
      <c r="V257" s="166">
        <f t="shared" si="206"/>
        <v>4540</v>
      </c>
      <c r="W257" s="167">
        <f t="shared" si="207"/>
        <v>6732</v>
      </c>
      <c r="X257" s="168">
        <f t="shared" si="208"/>
        <v>4383</v>
      </c>
      <c r="Y257" s="166">
        <f t="shared" si="209"/>
        <v>5437</v>
      </c>
      <c r="Z257" s="167">
        <f t="shared" si="210"/>
        <v>7618</v>
      </c>
      <c r="AA257" s="168">
        <f t="shared" si="211"/>
        <v>4671</v>
      </c>
      <c r="AB257" s="166">
        <f t="shared" si="212"/>
        <v>5736</v>
      </c>
      <c r="AC257" s="167">
        <f t="shared" si="213"/>
        <v>8947</v>
      </c>
      <c r="AD257" s="168">
        <f t="shared" si="214"/>
        <v>5535</v>
      </c>
      <c r="AE257" s="166">
        <f t="shared" si="215"/>
        <v>6334</v>
      </c>
      <c r="AF257" s="167">
        <f t="shared" si="216"/>
        <v>9833</v>
      </c>
      <c r="AG257" s="168">
        <f t="shared" si="217"/>
        <v>6687</v>
      </c>
      <c r="AH257" s="166">
        <f t="shared" si="198"/>
        <v>7530</v>
      </c>
      <c r="AI257" s="167">
        <f t="shared" si="218"/>
        <v>10719</v>
      </c>
      <c r="AJ257" s="168">
        <f t="shared" si="219"/>
        <v>7263</v>
      </c>
      <c r="AK257" s="169">
        <f t="shared" si="220"/>
        <v>8132</v>
      </c>
      <c r="AL257" s="167">
        <f t="shared" si="221"/>
        <v>12060</v>
      </c>
      <c r="AM257" s="585">
        <f t="shared" si="222"/>
        <v>7854</v>
      </c>
      <c r="AN257" s="596">
        <v>0.2</v>
      </c>
      <c r="AO257" s="597">
        <v>0.23</v>
      </c>
      <c r="AP257" s="597">
        <v>0.26</v>
      </c>
      <c r="AQ257" s="598">
        <v>0.28999999999999998</v>
      </c>
      <c r="AR257" s="599">
        <v>0.32</v>
      </c>
      <c r="AS257" s="586"/>
      <c r="AT257" s="587"/>
      <c r="AU257" s="587"/>
      <c r="AV257" s="588"/>
      <c r="AW257" s="589"/>
      <c r="AX257" s="596">
        <v>0.05</v>
      </c>
      <c r="AY257" s="598">
        <v>5.5E-2</v>
      </c>
      <c r="AZ257" s="598">
        <v>0.06</v>
      </c>
      <c r="BA257" s="598">
        <v>6.5000000000000002E-2</v>
      </c>
      <c r="BB257" s="598">
        <v>7.0000000000000007E-2</v>
      </c>
      <c r="BC257" s="590"/>
      <c r="BD257" s="631"/>
      <c r="BE257" s="596"/>
      <c r="BF257" s="598"/>
      <c r="BG257" s="598"/>
      <c r="BH257" s="598"/>
      <c r="BI257" s="598"/>
      <c r="BJ257" s="598"/>
      <c r="BK257" s="605"/>
      <c r="BL257" s="658">
        <f t="shared" si="199"/>
        <v>27500</v>
      </c>
      <c r="BM257" s="3">
        <f t="shared" si="200"/>
        <v>29</v>
      </c>
      <c r="BN257" s="3">
        <f t="shared" si="201"/>
        <v>43</v>
      </c>
      <c r="BO257" s="3">
        <f t="shared" si="202"/>
        <v>28</v>
      </c>
    </row>
    <row r="258" spans="2:67">
      <c r="B258" s="207" t="s">
        <v>386</v>
      </c>
      <c r="C258" s="883" t="s">
        <v>357</v>
      </c>
      <c r="D258" s="883" t="s">
        <v>356</v>
      </c>
      <c r="E258" s="238" t="s">
        <v>65</v>
      </c>
      <c r="F258" s="592">
        <v>255</v>
      </c>
      <c r="G258" s="593">
        <v>5744</v>
      </c>
      <c r="H258" s="594">
        <v>4054</v>
      </c>
      <c r="I258" s="595">
        <v>7097</v>
      </c>
      <c r="J258" s="166">
        <f t="shared" si="189"/>
        <v>114</v>
      </c>
      <c r="K258" s="167">
        <f t="shared" si="190"/>
        <v>81</v>
      </c>
      <c r="L258" s="168">
        <f t="shared" si="191"/>
        <v>141</v>
      </c>
      <c r="M258" s="166">
        <f t="shared" si="192"/>
        <v>172</v>
      </c>
      <c r="N258" s="167">
        <f t="shared" si="193"/>
        <v>121</v>
      </c>
      <c r="O258" s="168">
        <f t="shared" si="194"/>
        <v>212</v>
      </c>
      <c r="P258" s="169">
        <f t="shared" si="195"/>
        <v>229</v>
      </c>
      <c r="Q258" s="169">
        <f t="shared" si="196"/>
        <v>162</v>
      </c>
      <c r="R258" s="169">
        <f t="shared" si="197"/>
        <v>283</v>
      </c>
      <c r="S258" s="584">
        <f t="shared" si="203"/>
        <v>1723</v>
      </c>
      <c r="T258" s="594">
        <f t="shared" si="204"/>
        <v>1216</v>
      </c>
      <c r="U258" s="595">
        <f t="shared" si="205"/>
        <v>2129</v>
      </c>
      <c r="V258" s="166">
        <f t="shared" si="206"/>
        <v>3557</v>
      </c>
      <c r="W258" s="167">
        <f t="shared" si="207"/>
        <v>2507</v>
      </c>
      <c r="X258" s="168">
        <f t="shared" si="208"/>
        <v>4390</v>
      </c>
      <c r="Y258" s="166">
        <f t="shared" si="209"/>
        <v>4015</v>
      </c>
      <c r="Z258" s="167">
        <f t="shared" si="210"/>
        <v>2831</v>
      </c>
      <c r="AA258" s="168">
        <f t="shared" si="211"/>
        <v>4956</v>
      </c>
      <c r="AB258" s="166">
        <f t="shared" si="212"/>
        <v>4473</v>
      </c>
      <c r="AC258" s="167">
        <f t="shared" si="213"/>
        <v>3155</v>
      </c>
      <c r="AD258" s="168">
        <f t="shared" si="214"/>
        <v>5522</v>
      </c>
      <c r="AE258" s="166">
        <f t="shared" si="215"/>
        <v>4931</v>
      </c>
      <c r="AF258" s="167">
        <f t="shared" si="216"/>
        <v>3317</v>
      </c>
      <c r="AG258" s="168">
        <f t="shared" si="217"/>
        <v>6088</v>
      </c>
      <c r="AH258" s="166">
        <f t="shared" si="198"/>
        <v>5160</v>
      </c>
      <c r="AI258" s="167">
        <f t="shared" si="218"/>
        <v>3641</v>
      </c>
      <c r="AJ258" s="168">
        <f t="shared" si="219"/>
        <v>6937</v>
      </c>
      <c r="AK258" s="169">
        <f t="shared" si="220"/>
        <v>5858</v>
      </c>
      <c r="AL258" s="167">
        <f t="shared" si="221"/>
        <v>4135</v>
      </c>
      <c r="AM258" s="585">
        <f t="shared" si="222"/>
        <v>7238</v>
      </c>
      <c r="AN258" s="596">
        <v>0.15</v>
      </c>
      <c r="AO258" s="597">
        <v>0.18</v>
      </c>
      <c r="AP258" s="597">
        <v>0.21</v>
      </c>
      <c r="AQ258" s="598">
        <v>0.24</v>
      </c>
      <c r="AR258" s="599">
        <v>0.27</v>
      </c>
      <c r="AS258" s="586"/>
      <c r="AT258" s="587"/>
      <c r="AU258" s="587"/>
      <c r="AV258" s="588"/>
      <c r="AW258" s="589"/>
      <c r="AX258" s="596">
        <v>0.02</v>
      </c>
      <c r="AY258" s="598">
        <v>2.3E-2</v>
      </c>
      <c r="AZ258" s="598">
        <v>2.5999999999999999E-2</v>
      </c>
      <c r="BA258" s="598">
        <v>2.9000000000000001E-2</v>
      </c>
      <c r="BB258" s="598">
        <v>3.2000000000000001E-2</v>
      </c>
      <c r="BC258" s="590"/>
      <c r="BD258" s="631"/>
      <c r="BE258" s="596"/>
      <c r="BF258" s="598"/>
      <c r="BG258" s="598"/>
      <c r="BH258" s="598"/>
      <c r="BI258" s="598"/>
      <c r="BJ258" s="598"/>
      <c r="BK258" s="605"/>
      <c r="BL258" s="658">
        <f t="shared" si="199"/>
        <v>16900</v>
      </c>
      <c r="BM258" s="3">
        <f t="shared" si="200"/>
        <v>34</v>
      </c>
      <c r="BN258" s="3">
        <f t="shared" si="201"/>
        <v>24</v>
      </c>
      <c r="BO258" s="3">
        <f t="shared" si="202"/>
        <v>42</v>
      </c>
    </row>
    <row r="259" spans="2:67">
      <c r="B259" s="1269" t="s">
        <v>286</v>
      </c>
      <c r="C259" s="1265" t="s">
        <v>309</v>
      </c>
      <c r="D259" s="1265" t="s">
        <v>23</v>
      </c>
      <c r="E259" s="1267" t="s">
        <v>65</v>
      </c>
      <c r="F259" s="592">
        <v>256</v>
      </c>
      <c r="G259" s="593">
        <v>8800</v>
      </c>
      <c r="H259" s="594">
        <v>11824</v>
      </c>
      <c r="I259" s="595">
        <v>6873</v>
      </c>
      <c r="J259" s="166">
        <f t="shared" si="189"/>
        <v>176</v>
      </c>
      <c r="K259" s="167">
        <f t="shared" si="190"/>
        <v>236</v>
      </c>
      <c r="L259" s="168">
        <f t="shared" si="191"/>
        <v>137</v>
      </c>
      <c r="M259" s="166">
        <f t="shared" si="192"/>
        <v>220</v>
      </c>
      <c r="N259" s="167">
        <f t="shared" si="193"/>
        <v>295</v>
      </c>
      <c r="O259" s="168">
        <f t="shared" si="194"/>
        <v>171</v>
      </c>
      <c r="P259" s="169">
        <f t="shared" si="195"/>
        <v>330</v>
      </c>
      <c r="Q259" s="169">
        <f t="shared" si="196"/>
        <v>443</v>
      </c>
      <c r="R259" s="169">
        <f t="shared" si="197"/>
        <v>257</v>
      </c>
      <c r="S259" s="584">
        <f t="shared" si="203"/>
        <v>2200</v>
      </c>
      <c r="T259" s="594">
        <f t="shared" si="204"/>
        <v>2956</v>
      </c>
      <c r="U259" s="595">
        <f t="shared" si="205"/>
        <v>1718</v>
      </c>
      <c r="V259" s="166">
        <f t="shared" si="206"/>
        <v>5016</v>
      </c>
      <c r="W259" s="167">
        <f t="shared" si="207"/>
        <v>6732</v>
      </c>
      <c r="X259" s="168">
        <f t="shared" si="208"/>
        <v>3907</v>
      </c>
      <c r="Y259" s="166">
        <f t="shared" si="209"/>
        <v>6006</v>
      </c>
      <c r="Z259" s="167">
        <f t="shared" si="210"/>
        <v>7618</v>
      </c>
      <c r="AA259" s="168">
        <f t="shared" si="211"/>
        <v>4164</v>
      </c>
      <c r="AB259" s="166">
        <f t="shared" si="212"/>
        <v>6336</v>
      </c>
      <c r="AC259" s="167">
        <f t="shared" si="213"/>
        <v>8947</v>
      </c>
      <c r="AD259" s="168">
        <f t="shared" si="214"/>
        <v>4935</v>
      </c>
      <c r="AE259" s="166">
        <f t="shared" si="215"/>
        <v>6996</v>
      </c>
      <c r="AF259" s="167">
        <f t="shared" si="216"/>
        <v>9833</v>
      </c>
      <c r="AG259" s="168">
        <f t="shared" si="217"/>
        <v>5963</v>
      </c>
      <c r="AH259" s="166">
        <f t="shared" si="198"/>
        <v>8316</v>
      </c>
      <c r="AI259" s="167">
        <f t="shared" si="218"/>
        <v>10719</v>
      </c>
      <c r="AJ259" s="168">
        <f t="shared" si="219"/>
        <v>6477</v>
      </c>
      <c r="AK259" s="169">
        <f t="shared" si="220"/>
        <v>8976</v>
      </c>
      <c r="AL259" s="167">
        <f t="shared" si="221"/>
        <v>12060</v>
      </c>
      <c r="AM259" s="585">
        <f t="shared" si="222"/>
        <v>7010</v>
      </c>
      <c r="AN259" s="596">
        <v>0.2</v>
      </c>
      <c r="AO259" s="597">
        <v>0.23</v>
      </c>
      <c r="AP259" s="597">
        <v>0.26</v>
      </c>
      <c r="AQ259" s="598">
        <v>0.28999999999999998</v>
      </c>
      <c r="AR259" s="599">
        <v>0.32</v>
      </c>
      <c r="AS259" s="586"/>
      <c r="AT259" s="587"/>
      <c r="AU259" s="587"/>
      <c r="AV259" s="588"/>
      <c r="AW259" s="589"/>
      <c r="AX259" s="596">
        <v>0.04</v>
      </c>
      <c r="AY259" s="598">
        <v>4.2999999999999997E-2</v>
      </c>
      <c r="AZ259" s="598">
        <v>4.5999999999999999E-2</v>
      </c>
      <c r="BA259" s="598">
        <v>4.9000000000000002E-2</v>
      </c>
      <c r="BB259" s="598">
        <v>5.1999999999999998E-2</v>
      </c>
      <c r="BC259" s="590"/>
      <c r="BD259" s="631"/>
      <c r="BE259" s="596"/>
      <c r="BF259" s="598"/>
      <c r="BG259" s="598"/>
      <c r="BH259" s="598"/>
      <c r="BI259" s="598"/>
      <c r="BJ259" s="598"/>
      <c r="BK259" s="605"/>
      <c r="BL259" s="658">
        <f t="shared" si="199"/>
        <v>27500</v>
      </c>
      <c r="BM259" s="3">
        <f t="shared" si="200"/>
        <v>32</v>
      </c>
      <c r="BN259" s="3">
        <f t="shared" si="201"/>
        <v>43</v>
      </c>
      <c r="BO259" s="3">
        <f t="shared" si="202"/>
        <v>25</v>
      </c>
    </row>
    <row r="260" spans="2:67">
      <c r="B260" s="207" t="s">
        <v>422</v>
      </c>
      <c r="C260" s="890" t="s">
        <v>357</v>
      </c>
      <c r="D260" s="890" t="s">
        <v>358</v>
      </c>
      <c r="E260" s="238" t="s">
        <v>65</v>
      </c>
      <c r="F260" s="592">
        <v>257</v>
      </c>
      <c r="G260" s="593">
        <v>6760</v>
      </c>
      <c r="H260" s="594">
        <v>4224</v>
      </c>
      <c r="I260" s="595">
        <v>5914</v>
      </c>
      <c r="J260" s="166">
        <f t="shared" si="189"/>
        <v>135</v>
      </c>
      <c r="K260" s="167">
        <f t="shared" si="190"/>
        <v>84</v>
      </c>
      <c r="L260" s="168">
        <f t="shared" si="191"/>
        <v>118</v>
      </c>
      <c r="M260" s="166">
        <f t="shared" si="192"/>
        <v>202</v>
      </c>
      <c r="N260" s="167">
        <f t="shared" si="193"/>
        <v>126</v>
      </c>
      <c r="O260" s="168">
        <f t="shared" si="194"/>
        <v>177</v>
      </c>
      <c r="P260" s="169">
        <f t="shared" si="195"/>
        <v>270</v>
      </c>
      <c r="Q260" s="169">
        <f t="shared" si="196"/>
        <v>169</v>
      </c>
      <c r="R260" s="169">
        <f t="shared" si="197"/>
        <v>236</v>
      </c>
      <c r="S260" s="584">
        <f t="shared" si="203"/>
        <v>2028</v>
      </c>
      <c r="T260" s="594">
        <f t="shared" si="204"/>
        <v>1267</v>
      </c>
      <c r="U260" s="595">
        <f t="shared" si="205"/>
        <v>1774</v>
      </c>
      <c r="V260" s="166">
        <f t="shared" si="206"/>
        <v>4183</v>
      </c>
      <c r="W260" s="167">
        <f t="shared" si="207"/>
        <v>2611</v>
      </c>
      <c r="X260" s="168">
        <f t="shared" si="208"/>
        <v>3662</v>
      </c>
      <c r="Y260" s="166">
        <f t="shared" si="209"/>
        <v>4723</v>
      </c>
      <c r="Z260" s="167">
        <f t="shared" si="210"/>
        <v>2949</v>
      </c>
      <c r="AA260" s="168">
        <f t="shared" si="211"/>
        <v>4134</v>
      </c>
      <c r="AB260" s="166">
        <f t="shared" si="212"/>
        <v>5263</v>
      </c>
      <c r="AC260" s="167">
        <f t="shared" si="213"/>
        <v>3287</v>
      </c>
      <c r="AD260" s="168">
        <f t="shared" si="214"/>
        <v>4606</v>
      </c>
      <c r="AE260" s="166">
        <f t="shared" si="215"/>
        <v>5533</v>
      </c>
      <c r="AF260" s="167">
        <f t="shared" si="216"/>
        <v>3625</v>
      </c>
      <c r="AG260" s="168">
        <f t="shared" si="217"/>
        <v>5078</v>
      </c>
      <c r="AH260" s="166">
        <f t="shared" si="198"/>
        <v>6073</v>
      </c>
      <c r="AI260" s="167">
        <f t="shared" si="218"/>
        <v>3794</v>
      </c>
      <c r="AJ260" s="168">
        <f t="shared" si="219"/>
        <v>5786</v>
      </c>
      <c r="AK260" s="169">
        <f t="shared" si="220"/>
        <v>6895</v>
      </c>
      <c r="AL260" s="167">
        <f t="shared" si="221"/>
        <v>4308</v>
      </c>
      <c r="AM260" s="585">
        <f t="shared" si="222"/>
        <v>6032</v>
      </c>
      <c r="AN260" s="596">
        <v>0.04</v>
      </c>
      <c r="AO260" s="597">
        <v>4.2999999999999997E-2</v>
      </c>
      <c r="AP260" s="597">
        <v>4.5999999999999999E-2</v>
      </c>
      <c r="AQ260" s="598">
        <v>4.9000000000000002E-2</v>
      </c>
      <c r="AR260" s="599">
        <v>5.1999999999999998E-2</v>
      </c>
      <c r="AS260" s="586"/>
      <c r="AT260" s="587"/>
      <c r="AU260" s="587"/>
      <c r="AV260" s="588"/>
      <c r="AW260" s="589"/>
      <c r="AX260" s="596">
        <v>0.02</v>
      </c>
      <c r="AY260" s="598">
        <v>2.3E-2</v>
      </c>
      <c r="AZ260" s="598">
        <v>2.5999999999999999E-2</v>
      </c>
      <c r="BA260" s="598">
        <v>2.9000000000000001E-2</v>
      </c>
      <c r="BB260" s="598">
        <v>3.2000000000000001E-2</v>
      </c>
      <c r="BC260" s="590"/>
      <c r="BD260" s="631"/>
      <c r="BE260" s="596"/>
      <c r="BF260" s="598"/>
      <c r="BG260" s="598"/>
      <c r="BH260" s="598"/>
      <c r="BI260" s="598"/>
      <c r="BJ260" s="598"/>
      <c r="BK260" s="605"/>
      <c r="BL260" s="658">
        <f t="shared" si="199"/>
        <v>16900</v>
      </c>
      <c r="BM260" s="3">
        <f t="shared" si="200"/>
        <v>40</v>
      </c>
      <c r="BN260" s="3">
        <f t="shared" si="201"/>
        <v>25</v>
      </c>
      <c r="BO260" s="3">
        <f t="shared" si="202"/>
        <v>35</v>
      </c>
    </row>
    <row r="261" spans="2:67">
      <c r="B261" s="1269" t="s">
        <v>289</v>
      </c>
      <c r="C261" s="1265" t="s">
        <v>309</v>
      </c>
      <c r="D261" s="1265" t="s">
        <v>70</v>
      </c>
      <c r="E261" s="1267" t="s">
        <v>65</v>
      </c>
      <c r="F261" s="592">
        <v>258</v>
      </c>
      <c r="G261" s="593">
        <v>8800</v>
      </c>
      <c r="H261" s="594">
        <v>7149</v>
      </c>
      <c r="I261" s="595">
        <v>11549</v>
      </c>
      <c r="J261" s="166">
        <f t="shared" si="189"/>
        <v>176</v>
      </c>
      <c r="K261" s="167">
        <f t="shared" si="190"/>
        <v>143</v>
      </c>
      <c r="L261" s="168">
        <f t="shared" si="191"/>
        <v>231</v>
      </c>
      <c r="M261" s="166">
        <f t="shared" si="192"/>
        <v>220</v>
      </c>
      <c r="N261" s="167">
        <f t="shared" si="193"/>
        <v>178</v>
      </c>
      <c r="O261" s="168">
        <f t="shared" si="194"/>
        <v>288</v>
      </c>
      <c r="P261" s="169">
        <f t="shared" si="195"/>
        <v>330</v>
      </c>
      <c r="Q261" s="169">
        <f t="shared" si="196"/>
        <v>268</v>
      </c>
      <c r="R261" s="169">
        <f t="shared" si="197"/>
        <v>433</v>
      </c>
      <c r="S261" s="584">
        <f t="shared" ref="S261:S279" si="223">ROUND(IF($C261="UR",G261*0.25,G261*0.3),0)</f>
        <v>2200</v>
      </c>
      <c r="T261" s="594">
        <f t="shared" ref="T261:T279" si="224">ROUND(IF($C261="UR",H261*0.25,H261*0.3),0)</f>
        <v>1787</v>
      </c>
      <c r="U261" s="595">
        <f t="shared" ref="U261:U279" si="225">ROUND(IF($C261="UR",I261*0.25,I261*0.3),0)</f>
        <v>2887</v>
      </c>
      <c r="V261" s="166">
        <f t="shared" ref="V261:V279" si="226">(IF($C261="UR",IF($E261="party卡",18,12))+IF($C261="SR",10)+IF($C261="R",8))*M261+J261+S261</f>
        <v>5016</v>
      </c>
      <c r="W261" s="167">
        <f t="shared" ref="W261:W279" si="227">(IF($C261="UR",IF($E261="party卡",18,12))+IF($C261="SR",10)+IF($C261="R",8))*N261+K261+T261</f>
        <v>4066</v>
      </c>
      <c r="X261" s="168">
        <f t="shared" ref="X261:X279" si="228">(IF($C261="UR",IF($E261="party卡",18,12))+IF($C261="SR",10)+IF($C261="R",8))*O261+L261+U261</f>
        <v>6574</v>
      </c>
      <c r="Y261" s="166">
        <f t="shared" ref="Y261:Y279" si="229">V261+(IF(C261="UR",IF(E261="party卡",IF(D261="gd",1,2),IF(D261="vo",2)+IF(D261="sp",1)+IF(D261="gd",3)+IF(D261="sk",1)))+IF(C261="SR",2)+IF(C261="R",IF(D261="vo",1)+IF(D261="sp",2)+IF(D261="gd",1)+IF(D261="sk",2)))*P261</f>
        <v>5346</v>
      </c>
      <c r="Z261" s="167">
        <f t="shared" ref="Z261:Z279" si="230">W261+(IF(C261="UR",IF(E261="party卡",IF(D261="sp",1,2),IF(D261="vo",1)+IF(D261="sp",3)+IF(D261="gd",2)+IF(D261="sk",2)))+IF(C261="SR",2)+IF(C261="R",IF(D261="vo",2)+IF(D261="sp",1)+IF(D261="gd",1)+IF(D261="sk",1)))*Q261</f>
        <v>4602</v>
      </c>
      <c r="AA261" s="168">
        <f t="shared" ref="AA261:AA279" si="231">X261+(IF(C261="UR",IF(E261="party卡",IF(OR(D261="vo",D261="sk"),1,2),IF(D261="vo",3)+IF(D261="sp",2)+IF(D261="gd",1)+IF(D261="sk",3)))+IF(C261="SR",2)+IF(C261="R",IF(D261="vo",1)+IF(D261="sp",1)+IF(D261="gd",2)+IF(D261="sk",1)))*R261</f>
        <v>7873</v>
      </c>
      <c r="AB261" s="166">
        <f t="shared" ref="AB261:AB279" si="232">V261+(IF(C261="UR",IF(E261="party卡",IF(OR(D261="sp",D261="sk"),3,2),IF(D261="vo",5)+IF(D261="sp",4)+IF(D261="gd",4)+IF(D261="sk",4)))+IF(C261="SR",4)+IF(C261="R",IF(D261="vo",3)+IF(D261="sp",3)+IF(D261="gd",2)+IF(D261="sk",3)))*P261</f>
        <v>6336</v>
      </c>
      <c r="AC261" s="167">
        <f t="shared" ref="AC261:AC279" si="233">W261+(IF(C261="UR",IF(E261="party卡",IF(D261="vo",3,2),IF(D261="vo",4)+IF(D261="sp",4)+IF(D261="gd",5)+IF(D261="sk",5)))+IF(C261="SR",4)+IF(C261="R",IF(D261="vo",3)+IF(D261="sp",2)+IF(D261="gd",3)+IF(D261="sk",3)))*Q261</f>
        <v>5406</v>
      </c>
      <c r="AD261" s="168">
        <f t="shared" ref="AD261:AD279" si="234">X261+(IF(C261="UR",IF(E261="party卡",IF(D261="gd",3,2),IF(D261="vo",4)+IF(D261="sp",5)+IF(D261="gd",4)+IF(D261="sk",4)))+IF(C261="SR",4)+IF(C261="R",IF(D261="vo",2)+IF(D261="sp",3)+IF(D261="gd",3)+IF(D261="sk",2)))*R261</f>
        <v>8306</v>
      </c>
      <c r="AE261" s="166">
        <f t="shared" ref="AE261:AE279" si="235">V261+(IF(C261="UR",IF(E261="party卡",3,IF(D261="vo",7)+IF(D261="sp",8)+IF(D261="gd",6)+IF(D261="sk",8)))+IF(C261="SR",IF(D261="vo",5)+IF(D261="sp",6)+IF(D261="gd",6)+IF(D261="sk",6))+IF(C261="R",IF(D261="vo",5)+IF(D261="sp",4)+IF(D261="gd",4)+IF(D261="sk",4)))*P261</f>
        <v>7656</v>
      </c>
      <c r="AF261" s="167">
        <f t="shared" ref="AF261:AF279" si="236">W261+(IF(C261="UR",IF(E261="party卡",3,IF(D261="vo",8)+IF(D261="sp",6)+IF(D261="gd",7)+IF(D261="sk",7)))+IF(C261="SR",IF(D261="vo",6)+IF(D261="sp",6)+IF(D261="gd",5)+IF(D261="sk",5))+IF(C261="R",IF(D261="vo",4)+IF(D261="sp",4)+IF(D261="gd",5)+IF(D261="sk",5)))*Q261</f>
        <v>5942</v>
      </c>
      <c r="AG261" s="168">
        <f t="shared" ref="AG261:AG279" si="237">X261+(IF(C261="UR",IF(E261="party卡",3,IF(D261="vo",6)+IF(D261="sp",7)+IF(D261="gd",8)+IF(D261="sk",6)))+IF(C261="SR",IF(D261="vo",6)+IF(D261="sp",5)+IF(D261="gd",6)+IF(D261="sk",6))+IF(C261="R",IF(D261="vo",4)+IF(D261="sp",5)+IF(D261="gd",4)+IF(D261="sk",4)))*R261</f>
        <v>9172</v>
      </c>
      <c r="AH261" s="166">
        <f t="shared" si="198"/>
        <v>8316</v>
      </c>
      <c r="AI261" s="167">
        <f t="shared" ref="AI261:AI279" si="238">W261+(IF(C261="UR",IF(E261="party卡",4,IF(D261="vo",10)+IF(D261="sp",10)+IF(D261="gd",9)+IF(D261="sk",9)))+IF(C261="SR",IF(D261="vo",7)+IF(D261="sp",9)+IF(D261="gd",7)+IF(D261="sk",7))+IF(C261="R",IF(D261="vo",6)+IF(D261="sp",6)+IF(D261="gd",7)+IF(D261="sk",7)))*Q261</f>
        <v>6478</v>
      </c>
      <c r="AJ261" s="168">
        <f t="shared" ref="AJ261:AJ279" si="239">X261+(IF(C261="UR",IF(E261="party卡",4,IF(D261="vo",10)+IF(D261="sp",9)+IF(D261="gd",10)+IF(D261="sk",10)))+IF(C261="SR",IF(D261="vo",9)+IF(D261="sp",7)+IF(D261="gd",7)+IF(D261="sk",9))+IF(C261="R",IF(D261="vo",6)+IF(D261="sp",7)+IF(D261="gd",6)+IF(D261="sk",6)))*R261</f>
        <v>10904</v>
      </c>
      <c r="AK261" s="169">
        <f t="shared" ref="AK261:AK279" si="240">G261+J261</f>
        <v>8976</v>
      </c>
      <c r="AL261" s="167">
        <f t="shared" ref="AL261:AL279" si="241">H261+K261</f>
        <v>7292</v>
      </c>
      <c r="AM261" s="585">
        <f t="shared" ref="AM261:AM279" si="242">I261+L261</f>
        <v>11780</v>
      </c>
      <c r="AN261" s="596">
        <v>0.06</v>
      </c>
      <c r="AO261" s="597">
        <v>6.5000000000000002E-2</v>
      </c>
      <c r="AP261" s="597">
        <v>7.0000000000000007E-2</v>
      </c>
      <c r="AQ261" s="598">
        <v>7.4999999999999997E-2</v>
      </c>
      <c r="AR261" s="599">
        <v>0.08</v>
      </c>
      <c r="AS261" s="586"/>
      <c r="AT261" s="587"/>
      <c r="AU261" s="587"/>
      <c r="AV261" s="588"/>
      <c r="AW261" s="589"/>
      <c r="AX261" s="596">
        <v>0.05</v>
      </c>
      <c r="AY261" s="598">
        <v>5.5E-2</v>
      </c>
      <c r="AZ261" s="598">
        <v>0.06</v>
      </c>
      <c r="BA261" s="598">
        <v>6.5000000000000002E-2</v>
      </c>
      <c r="BB261" s="598">
        <v>7.0000000000000007E-2</v>
      </c>
      <c r="BC261" s="590"/>
      <c r="BD261" s="631"/>
      <c r="BE261" s="596"/>
      <c r="BF261" s="598"/>
      <c r="BG261" s="598"/>
      <c r="BH261" s="598"/>
      <c r="BI261" s="598"/>
      <c r="BJ261" s="598"/>
      <c r="BK261" s="605"/>
      <c r="BL261" s="658">
        <f t="shared" si="199"/>
        <v>27500</v>
      </c>
      <c r="BM261" s="3">
        <f t="shared" si="200"/>
        <v>32</v>
      </c>
      <c r="BN261" s="3">
        <f t="shared" si="201"/>
        <v>26</v>
      </c>
      <c r="BO261" s="3">
        <f t="shared" si="202"/>
        <v>42</v>
      </c>
    </row>
    <row r="262" spans="2:67">
      <c r="B262" s="1269" t="s">
        <v>293</v>
      </c>
      <c r="C262" s="1265" t="s">
        <v>309</v>
      </c>
      <c r="D262" s="1265" t="s">
        <v>13</v>
      </c>
      <c r="E262" s="1267" t="s">
        <v>125</v>
      </c>
      <c r="F262" s="1270">
        <v>259</v>
      </c>
      <c r="G262" s="593">
        <v>7873</v>
      </c>
      <c r="H262" s="594">
        <v>7200</v>
      </c>
      <c r="I262" s="595">
        <v>7424</v>
      </c>
      <c r="J262" s="166">
        <f t="shared" si="189"/>
        <v>157</v>
      </c>
      <c r="K262" s="167">
        <f t="shared" si="190"/>
        <v>144</v>
      </c>
      <c r="L262" s="168">
        <f t="shared" si="191"/>
        <v>148</v>
      </c>
      <c r="M262" s="166">
        <f t="shared" si="192"/>
        <v>196</v>
      </c>
      <c r="N262" s="167">
        <f t="shared" si="193"/>
        <v>180</v>
      </c>
      <c r="O262" s="168">
        <f t="shared" si="194"/>
        <v>185</v>
      </c>
      <c r="P262" s="169">
        <f t="shared" si="195"/>
        <v>295</v>
      </c>
      <c r="Q262" s="169">
        <f t="shared" si="196"/>
        <v>270</v>
      </c>
      <c r="R262" s="169">
        <f t="shared" si="197"/>
        <v>278</v>
      </c>
      <c r="S262" s="584">
        <f t="shared" si="223"/>
        <v>1968</v>
      </c>
      <c r="T262" s="594">
        <f t="shared" si="224"/>
        <v>1800</v>
      </c>
      <c r="U262" s="595">
        <f t="shared" si="225"/>
        <v>1856</v>
      </c>
      <c r="V262" s="166">
        <f t="shared" si="226"/>
        <v>4477</v>
      </c>
      <c r="W262" s="167">
        <f t="shared" si="227"/>
        <v>4104</v>
      </c>
      <c r="X262" s="168">
        <f t="shared" si="228"/>
        <v>4224</v>
      </c>
      <c r="Y262" s="166">
        <f t="shared" si="229"/>
        <v>5067</v>
      </c>
      <c r="Z262" s="167">
        <f t="shared" si="230"/>
        <v>4374</v>
      </c>
      <c r="AA262" s="168">
        <f t="shared" si="231"/>
        <v>5058</v>
      </c>
      <c r="AB262" s="166">
        <f t="shared" si="232"/>
        <v>5952</v>
      </c>
      <c r="AC262" s="167">
        <f t="shared" si="233"/>
        <v>5184</v>
      </c>
      <c r="AD262" s="168">
        <f t="shared" si="234"/>
        <v>5336</v>
      </c>
      <c r="AE262" s="166">
        <f t="shared" si="235"/>
        <v>6542</v>
      </c>
      <c r="AF262" s="167">
        <f t="shared" si="236"/>
        <v>6264</v>
      </c>
      <c r="AG262" s="168">
        <f t="shared" si="237"/>
        <v>5892</v>
      </c>
      <c r="AH262" s="166">
        <f t="shared" si="198"/>
        <v>7132</v>
      </c>
      <c r="AI262" s="167">
        <f t="shared" si="238"/>
        <v>6804</v>
      </c>
      <c r="AJ262" s="168">
        <f t="shared" si="239"/>
        <v>7004</v>
      </c>
      <c r="AK262" s="169">
        <f t="shared" si="240"/>
        <v>8030</v>
      </c>
      <c r="AL262" s="167">
        <f t="shared" si="241"/>
        <v>7344</v>
      </c>
      <c r="AM262" s="585">
        <f t="shared" si="242"/>
        <v>7572</v>
      </c>
      <c r="AN262" s="596">
        <v>0.23</v>
      </c>
      <c r="AO262" s="597">
        <v>0.26</v>
      </c>
      <c r="AP262" s="597">
        <v>0.28999999999999998</v>
      </c>
      <c r="AQ262" s="598">
        <v>0.32</v>
      </c>
      <c r="AR262" s="599">
        <v>0.35</v>
      </c>
      <c r="AS262" s="586"/>
      <c r="AT262" s="587"/>
      <c r="AU262" s="587"/>
      <c r="AV262" s="588"/>
      <c r="AW262" s="589"/>
      <c r="AX262" s="596">
        <v>0.04</v>
      </c>
      <c r="AY262" s="598">
        <v>4.4999999999999998E-2</v>
      </c>
      <c r="AZ262" s="598">
        <v>0.05</v>
      </c>
      <c r="BA262" s="598">
        <v>5.5E-2</v>
      </c>
      <c r="BB262" s="598">
        <v>0.06</v>
      </c>
      <c r="BC262" s="590"/>
      <c r="BD262" s="631"/>
      <c r="BE262" s="596"/>
      <c r="BF262" s="598"/>
      <c r="BG262" s="598"/>
      <c r="BH262" s="598"/>
      <c r="BI262" s="598"/>
      <c r="BJ262" s="598"/>
      <c r="BK262" s="605"/>
      <c r="BL262" s="658">
        <f t="shared" si="199"/>
        <v>22500</v>
      </c>
      <c r="BM262" s="3">
        <f t="shared" si="200"/>
        <v>35</v>
      </c>
      <c r="BN262" s="3">
        <f t="shared" si="201"/>
        <v>32</v>
      </c>
      <c r="BO262" s="3">
        <f t="shared" si="202"/>
        <v>33</v>
      </c>
    </row>
    <row r="263" spans="2:67">
      <c r="B263" s="207" t="s">
        <v>466</v>
      </c>
      <c r="C263" s="890" t="s">
        <v>357</v>
      </c>
      <c r="D263" s="890" t="s">
        <v>23</v>
      </c>
      <c r="E263" s="238" t="s">
        <v>125</v>
      </c>
      <c r="F263" s="592">
        <v>260</v>
      </c>
      <c r="G263" s="593">
        <v>3334</v>
      </c>
      <c r="H263" s="594">
        <v>6254</v>
      </c>
      <c r="I263" s="595">
        <v>4307</v>
      </c>
      <c r="J263" s="166">
        <f t="shared" ref="J263:J326" si="243">INT(G263/50+0.05)</f>
        <v>66</v>
      </c>
      <c r="K263" s="167">
        <f t="shared" ref="K263:K326" si="244">INT(H263/50+0.05)</f>
        <v>125</v>
      </c>
      <c r="L263" s="168">
        <f t="shared" ref="L263:L326" si="245">INT(I263/50+0.05)</f>
        <v>86</v>
      </c>
      <c r="M263" s="166">
        <f t="shared" ref="M263:M326" si="246">INT(IF($C263="UR",IF($E263="party卡",G263*0.0270833333333333,G263*0.025),0)+IF($C263="SR",G263*0.03,0)+IF($C263="R",G263*0.0375,0)+0.05)</f>
        <v>100</v>
      </c>
      <c r="N263" s="167">
        <f t="shared" ref="N263:N326" si="247">INT(IF($C263="UR",IF($E263="party卡",H263*0.0270833333333333,H263*0.025),0)+IF($C263="SR",H263*0.03,0)+IF($C263="R",H263*0.0375,0)+0.05)</f>
        <v>187</v>
      </c>
      <c r="O263" s="168">
        <f t="shared" ref="O263:O326" si="248">INT(IF($C263="UR",IF($E263="party卡",I263*0.0270833333333333,I263*0.025),0)+IF($C263="SR",I263*0.03,0)+IF($C263="R",I263*0.0375,0)+0.05)</f>
        <v>129</v>
      </c>
      <c r="P263" s="169">
        <f t="shared" ref="P263:P326" si="249">INT(IF($C263="UR",IF($E263="party卡",G263*0.04375,G263*0.0375),0)+IF($C263="SR",G263*0.04,0)+IF($C263="R",G263*0.05,0)+0.05)</f>
        <v>133</v>
      </c>
      <c r="Q263" s="169">
        <f t="shared" ref="Q263:Q326" si="250">INT(IF($C263="UR",IF($E263="party卡",H263*0.04375,H263*0.0375),0)+IF($C263="SR",H263*0.04,0)+IF($C263="R",H263*0.05,0)+0.05)</f>
        <v>250</v>
      </c>
      <c r="R263" s="169">
        <f t="shared" ref="R263:R326" si="251">INT(IF($C263="UR",IF($E263="party卡",I263*0.04375,I263*0.0375),0)+IF($C263="SR",I263*0.04,0)+IF($C263="R",I263*0.05,0)+0.05)</f>
        <v>172</v>
      </c>
      <c r="S263" s="584">
        <f t="shared" si="223"/>
        <v>1000</v>
      </c>
      <c r="T263" s="594">
        <f t="shared" si="224"/>
        <v>1876</v>
      </c>
      <c r="U263" s="595">
        <f t="shared" si="225"/>
        <v>1292</v>
      </c>
      <c r="V263" s="166">
        <f t="shared" si="226"/>
        <v>2066</v>
      </c>
      <c r="W263" s="167">
        <f t="shared" si="227"/>
        <v>3871</v>
      </c>
      <c r="X263" s="168">
        <f t="shared" si="228"/>
        <v>2668</v>
      </c>
      <c r="Y263" s="166">
        <f t="shared" si="229"/>
        <v>2332</v>
      </c>
      <c r="Z263" s="167">
        <f t="shared" si="230"/>
        <v>4371</v>
      </c>
      <c r="AA263" s="168">
        <f t="shared" si="231"/>
        <v>3012</v>
      </c>
      <c r="AB263" s="166">
        <f t="shared" si="232"/>
        <v>2598</v>
      </c>
      <c r="AC263" s="167">
        <f t="shared" si="233"/>
        <v>4871</v>
      </c>
      <c r="AD263" s="168">
        <f t="shared" si="234"/>
        <v>3356</v>
      </c>
      <c r="AE263" s="166">
        <f t="shared" si="235"/>
        <v>2864</v>
      </c>
      <c r="AF263" s="167">
        <f t="shared" si="236"/>
        <v>5121</v>
      </c>
      <c r="AG263" s="168">
        <f t="shared" si="237"/>
        <v>3700</v>
      </c>
      <c r="AH263" s="166">
        <f t="shared" ref="AH263:AH279" si="252">V263+(IF(C263="UR",IF(E263="party卡",4,IF(D263="vo",9)+IF(D263="sp",10)+IF(D263="gd",10)+IF(D263="sk",10)))+IF(C263="SR",IF(D263="vo",7)+IF(D263="sp",7)+IF(D263="gd",9)+IF(D263="sk",7))+IF(C263="R",IF(D263="vo",7)+IF(D263="sp",6)+IF(D263="gd",6)+IF(D263="sk",6)))*P263</f>
        <v>3263</v>
      </c>
      <c r="AI263" s="167">
        <f t="shared" si="238"/>
        <v>5621</v>
      </c>
      <c r="AJ263" s="168">
        <f t="shared" si="239"/>
        <v>3872</v>
      </c>
      <c r="AK263" s="169">
        <f t="shared" si="240"/>
        <v>3400</v>
      </c>
      <c r="AL263" s="167">
        <f t="shared" si="241"/>
        <v>6379</v>
      </c>
      <c r="AM263" s="585">
        <f t="shared" si="242"/>
        <v>4393</v>
      </c>
      <c r="AN263" s="596">
        <v>0.15</v>
      </c>
      <c r="AO263" s="597">
        <v>0.18</v>
      </c>
      <c r="AP263" s="597">
        <v>0.21</v>
      </c>
      <c r="AQ263" s="598">
        <v>0.24</v>
      </c>
      <c r="AR263" s="599">
        <v>0.27</v>
      </c>
      <c r="AS263" s="586"/>
      <c r="AT263" s="587"/>
      <c r="AU263" s="587"/>
      <c r="AV263" s="588"/>
      <c r="AW263" s="589"/>
      <c r="AX263" s="596">
        <v>0.02</v>
      </c>
      <c r="AY263" s="598">
        <v>2.3E-2</v>
      </c>
      <c r="AZ263" s="598">
        <v>2.5999999999999999E-2</v>
      </c>
      <c r="BA263" s="598">
        <v>2.9000000000000001E-2</v>
      </c>
      <c r="BB263" s="598">
        <v>3.2000000000000001E-2</v>
      </c>
      <c r="BC263" s="590"/>
      <c r="BD263" s="631"/>
      <c r="BE263" s="596"/>
      <c r="BF263" s="598"/>
      <c r="BG263" s="598"/>
      <c r="BH263" s="598"/>
      <c r="BI263" s="598"/>
      <c r="BJ263" s="598"/>
      <c r="BK263" s="605"/>
      <c r="BL263" s="658">
        <f t="shared" ref="BL263:BL326" si="253">ROUND(($G263+$H263+$I263)/50,0)*50</f>
        <v>13900</v>
      </c>
      <c r="BM263" s="3">
        <f t="shared" ref="BM263:BM326" si="254">ROUND(100*G263/($G263+$H263+$I263),0)</f>
        <v>24</v>
      </c>
      <c r="BN263" s="3">
        <f t="shared" ref="BN263:BN326" si="255">ROUND(100*H263/($G263+$H263+$I263),0)</f>
        <v>45</v>
      </c>
      <c r="BO263" s="3">
        <f t="shared" ref="BO263:BO326" si="256">ROUND(100*I263/($G263+$H263+$I263),0)</f>
        <v>31</v>
      </c>
    </row>
    <row r="264" spans="2:67">
      <c r="B264" s="207" t="s">
        <v>387</v>
      </c>
      <c r="C264" s="875" t="s">
        <v>357</v>
      </c>
      <c r="D264" s="875" t="s">
        <v>356</v>
      </c>
      <c r="E264" s="238" t="s">
        <v>125</v>
      </c>
      <c r="F264" s="592">
        <v>261</v>
      </c>
      <c r="G264" s="593">
        <v>4307</v>
      </c>
      <c r="H264" s="594">
        <v>4030</v>
      </c>
      <c r="I264" s="595">
        <v>5560</v>
      </c>
      <c r="J264" s="166">
        <f t="shared" si="243"/>
        <v>86</v>
      </c>
      <c r="K264" s="167">
        <f t="shared" si="244"/>
        <v>80</v>
      </c>
      <c r="L264" s="168">
        <f t="shared" si="245"/>
        <v>111</v>
      </c>
      <c r="M264" s="166">
        <f t="shared" si="246"/>
        <v>129</v>
      </c>
      <c r="N264" s="167">
        <f t="shared" si="247"/>
        <v>120</v>
      </c>
      <c r="O264" s="168">
        <f t="shared" si="248"/>
        <v>166</v>
      </c>
      <c r="P264" s="169">
        <f t="shared" si="249"/>
        <v>172</v>
      </c>
      <c r="Q264" s="169">
        <f t="shared" si="250"/>
        <v>161</v>
      </c>
      <c r="R264" s="169">
        <f t="shared" si="251"/>
        <v>222</v>
      </c>
      <c r="S264" s="584">
        <f t="shared" si="223"/>
        <v>1292</v>
      </c>
      <c r="T264" s="594">
        <f t="shared" si="224"/>
        <v>1209</v>
      </c>
      <c r="U264" s="595">
        <f t="shared" si="225"/>
        <v>1668</v>
      </c>
      <c r="V264" s="166">
        <f t="shared" si="226"/>
        <v>2668</v>
      </c>
      <c r="W264" s="167">
        <f t="shared" si="227"/>
        <v>2489</v>
      </c>
      <c r="X264" s="168">
        <f t="shared" si="228"/>
        <v>3439</v>
      </c>
      <c r="Y264" s="166">
        <f t="shared" si="229"/>
        <v>3012</v>
      </c>
      <c r="Z264" s="167">
        <f t="shared" si="230"/>
        <v>2811</v>
      </c>
      <c r="AA264" s="168">
        <f t="shared" si="231"/>
        <v>3883</v>
      </c>
      <c r="AB264" s="166">
        <f t="shared" si="232"/>
        <v>3356</v>
      </c>
      <c r="AC264" s="167">
        <f t="shared" si="233"/>
        <v>3133</v>
      </c>
      <c r="AD264" s="168">
        <f t="shared" si="234"/>
        <v>4327</v>
      </c>
      <c r="AE264" s="166">
        <f t="shared" si="235"/>
        <v>3700</v>
      </c>
      <c r="AF264" s="167">
        <f t="shared" si="236"/>
        <v>3294</v>
      </c>
      <c r="AG264" s="168">
        <f t="shared" si="237"/>
        <v>4771</v>
      </c>
      <c r="AH264" s="166">
        <f t="shared" si="252"/>
        <v>3872</v>
      </c>
      <c r="AI264" s="167">
        <f t="shared" si="238"/>
        <v>3616</v>
      </c>
      <c r="AJ264" s="168">
        <f t="shared" si="239"/>
        <v>5437</v>
      </c>
      <c r="AK264" s="169">
        <f t="shared" si="240"/>
        <v>4393</v>
      </c>
      <c r="AL264" s="167">
        <f t="shared" si="241"/>
        <v>4110</v>
      </c>
      <c r="AM264" s="585">
        <f t="shared" si="242"/>
        <v>5671</v>
      </c>
      <c r="AN264" s="596">
        <v>0.08</v>
      </c>
      <c r="AO264" s="597">
        <v>8.5000000000000006E-2</v>
      </c>
      <c r="AP264" s="597">
        <v>0.09</v>
      </c>
      <c r="AQ264" s="598">
        <v>9.5000000000000001E-2</v>
      </c>
      <c r="AR264" s="599">
        <v>0.1</v>
      </c>
      <c r="AS264" s="586"/>
      <c r="AT264" s="587"/>
      <c r="AU264" s="587"/>
      <c r="AV264" s="588"/>
      <c r="AW264" s="589"/>
      <c r="AX264" s="596">
        <v>0.02</v>
      </c>
      <c r="AY264" s="598">
        <v>2.3E-2</v>
      </c>
      <c r="AZ264" s="598">
        <v>2.5999999999999999E-2</v>
      </c>
      <c r="BA264" s="598">
        <v>2.9000000000000001E-2</v>
      </c>
      <c r="BB264" s="598">
        <v>3.2000000000000001E-2</v>
      </c>
      <c r="BC264" s="590"/>
      <c r="BD264" s="631"/>
      <c r="BE264" s="596"/>
      <c r="BF264" s="598"/>
      <c r="BG264" s="598"/>
      <c r="BH264" s="598"/>
      <c r="BI264" s="598"/>
      <c r="BJ264" s="598"/>
      <c r="BK264" s="605"/>
      <c r="BL264" s="658">
        <f t="shared" si="253"/>
        <v>13900</v>
      </c>
      <c r="BM264" s="3">
        <f t="shared" si="254"/>
        <v>31</v>
      </c>
      <c r="BN264" s="3">
        <f t="shared" si="255"/>
        <v>29</v>
      </c>
      <c r="BO264" s="3">
        <f t="shared" si="256"/>
        <v>40</v>
      </c>
    </row>
    <row r="265" spans="2:67">
      <c r="B265" s="1269" t="s">
        <v>1981</v>
      </c>
      <c r="C265" s="1265" t="s">
        <v>532</v>
      </c>
      <c r="D265" s="1265" t="s">
        <v>535</v>
      </c>
      <c r="E265" s="1267" t="s">
        <v>126</v>
      </c>
      <c r="F265" s="592">
        <v>262</v>
      </c>
      <c r="G265" s="593">
        <v>13500</v>
      </c>
      <c r="H265" s="594">
        <v>6000</v>
      </c>
      <c r="I265" s="595">
        <v>10500</v>
      </c>
      <c r="J265" s="166">
        <f t="shared" si="243"/>
        <v>270</v>
      </c>
      <c r="K265" s="167">
        <f t="shared" si="244"/>
        <v>120</v>
      </c>
      <c r="L265" s="168">
        <f t="shared" si="245"/>
        <v>210</v>
      </c>
      <c r="M265" s="166">
        <f t="shared" si="246"/>
        <v>337</v>
      </c>
      <c r="N265" s="167">
        <f t="shared" si="247"/>
        <v>150</v>
      </c>
      <c r="O265" s="168">
        <f t="shared" si="248"/>
        <v>262</v>
      </c>
      <c r="P265" s="169">
        <f t="shared" si="249"/>
        <v>506</v>
      </c>
      <c r="Q265" s="169">
        <f t="shared" si="250"/>
        <v>225</v>
      </c>
      <c r="R265" s="169">
        <f t="shared" si="251"/>
        <v>393</v>
      </c>
      <c r="S265" s="584">
        <f t="shared" si="223"/>
        <v>3375</v>
      </c>
      <c r="T265" s="594">
        <f t="shared" si="224"/>
        <v>1500</v>
      </c>
      <c r="U265" s="595">
        <f t="shared" si="225"/>
        <v>2625</v>
      </c>
      <c r="V265" s="166">
        <f t="shared" si="226"/>
        <v>7689</v>
      </c>
      <c r="W265" s="167">
        <f t="shared" si="227"/>
        <v>3420</v>
      </c>
      <c r="X265" s="168">
        <f t="shared" si="228"/>
        <v>5979</v>
      </c>
      <c r="Y265" s="166">
        <f t="shared" si="229"/>
        <v>8701</v>
      </c>
      <c r="Z265" s="167">
        <f t="shared" si="230"/>
        <v>3645</v>
      </c>
      <c r="AA265" s="168">
        <f t="shared" si="231"/>
        <v>7158</v>
      </c>
      <c r="AB265" s="166">
        <f t="shared" si="232"/>
        <v>10219</v>
      </c>
      <c r="AC265" s="167">
        <f t="shared" si="233"/>
        <v>4320</v>
      </c>
      <c r="AD265" s="168">
        <f t="shared" si="234"/>
        <v>7551</v>
      </c>
      <c r="AE265" s="166">
        <f t="shared" si="235"/>
        <v>11231</v>
      </c>
      <c r="AF265" s="167">
        <f t="shared" si="236"/>
        <v>5220</v>
      </c>
      <c r="AG265" s="168">
        <f t="shared" si="237"/>
        <v>8337</v>
      </c>
      <c r="AH265" s="166">
        <f t="shared" si="252"/>
        <v>12243</v>
      </c>
      <c r="AI265" s="167">
        <f t="shared" si="238"/>
        <v>5670</v>
      </c>
      <c r="AJ265" s="168">
        <f t="shared" si="239"/>
        <v>9909</v>
      </c>
      <c r="AK265" s="169">
        <f t="shared" si="240"/>
        <v>13770</v>
      </c>
      <c r="AL265" s="167">
        <f t="shared" si="241"/>
        <v>6120</v>
      </c>
      <c r="AM265" s="585">
        <f t="shared" si="242"/>
        <v>10710</v>
      </c>
      <c r="AN265" s="596">
        <v>0.08</v>
      </c>
      <c r="AO265" s="597">
        <v>8.5000000000000006E-2</v>
      </c>
      <c r="AP265" s="597">
        <v>0.09</v>
      </c>
      <c r="AQ265" s="598">
        <v>9.5000000000000001E-2</v>
      </c>
      <c r="AR265" s="599">
        <v>0.1</v>
      </c>
      <c r="AS265" s="586"/>
      <c r="AT265" s="587"/>
      <c r="AU265" s="587"/>
      <c r="AV265" s="588"/>
      <c r="AW265" s="589"/>
      <c r="AX265" s="596">
        <v>0.05</v>
      </c>
      <c r="AY265" s="598">
        <v>5.5E-2</v>
      </c>
      <c r="AZ265" s="598">
        <v>0.06</v>
      </c>
      <c r="BA265" s="598">
        <v>6.5000000000000002E-2</v>
      </c>
      <c r="BB265" s="598">
        <v>7.0000000000000007E-2</v>
      </c>
      <c r="BC265" s="590"/>
      <c r="BD265" s="631"/>
      <c r="BE265" s="596"/>
      <c r="BF265" s="598"/>
      <c r="BG265" s="598"/>
      <c r="BH265" s="598"/>
      <c r="BI265" s="598"/>
      <c r="BJ265" s="598"/>
      <c r="BK265" s="605"/>
      <c r="BL265" s="658">
        <f t="shared" si="253"/>
        <v>30000</v>
      </c>
      <c r="BM265" s="3">
        <f t="shared" si="254"/>
        <v>45</v>
      </c>
      <c r="BN265" s="3">
        <f t="shared" si="255"/>
        <v>20</v>
      </c>
      <c r="BO265" s="3">
        <f t="shared" si="256"/>
        <v>35</v>
      </c>
    </row>
    <row r="266" spans="2:67">
      <c r="B266" s="1269" t="s">
        <v>1982</v>
      </c>
      <c r="C266" s="1265" t="s">
        <v>532</v>
      </c>
      <c r="D266" s="1265" t="s">
        <v>531</v>
      </c>
      <c r="E266" s="1267" t="s">
        <v>126</v>
      </c>
      <c r="F266" s="1270">
        <v>263</v>
      </c>
      <c r="G266" s="593">
        <v>10673</v>
      </c>
      <c r="H266" s="594">
        <v>8233</v>
      </c>
      <c r="I266" s="595">
        <v>11589</v>
      </c>
      <c r="J266" s="166">
        <f t="shared" si="243"/>
        <v>213</v>
      </c>
      <c r="K266" s="167">
        <f t="shared" si="244"/>
        <v>164</v>
      </c>
      <c r="L266" s="168">
        <f t="shared" si="245"/>
        <v>231</v>
      </c>
      <c r="M266" s="166">
        <f t="shared" si="246"/>
        <v>266</v>
      </c>
      <c r="N266" s="167">
        <f t="shared" si="247"/>
        <v>205</v>
      </c>
      <c r="O266" s="168">
        <f t="shared" si="248"/>
        <v>289</v>
      </c>
      <c r="P266" s="169">
        <f t="shared" si="249"/>
        <v>400</v>
      </c>
      <c r="Q266" s="169">
        <f t="shared" si="250"/>
        <v>308</v>
      </c>
      <c r="R266" s="169">
        <f t="shared" si="251"/>
        <v>434</v>
      </c>
      <c r="S266" s="584">
        <f t="shared" si="223"/>
        <v>2668</v>
      </c>
      <c r="T266" s="594">
        <f t="shared" si="224"/>
        <v>2058</v>
      </c>
      <c r="U266" s="595">
        <f t="shared" si="225"/>
        <v>2897</v>
      </c>
      <c r="V266" s="166">
        <f t="shared" si="226"/>
        <v>6073</v>
      </c>
      <c r="W266" s="167">
        <f t="shared" si="227"/>
        <v>4682</v>
      </c>
      <c r="X266" s="168">
        <f t="shared" si="228"/>
        <v>6596</v>
      </c>
      <c r="Y266" s="166">
        <f t="shared" si="229"/>
        <v>6473</v>
      </c>
      <c r="Z266" s="167">
        <f t="shared" si="230"/>
        <v>5606</v>
      </c>
      <c r="AA266" s="168">
        <f t="shared" si="231"/>
        <v>7464</v>
      </c>
      <c r="AB266" s="166">
        <f t="shared" si="232"/>
        <v>7673</v>
      </c>
      <c r="AC266" s="167">
        <f t="shared" si="233"/>
        <v>5914</v>
      </c>
      <c r="AD266" s="168">
        <f t="shared" si="234"/>
        <v>8766</v>
      </c>
      <c r="AE266" s="166">
        <f t="shared" si="235"/>
        <v>9273</v>
      </c>
      <c r="AF266" s="167">
        <f t="shared" si="236"/>
        <v>6530</v>
      </c>
      <c r="AG266" s="168">
        <f t="shared" si="237"/>
        <v>9634</v>
      </c>
      <c r="AH266" s="166">
        <f t="shared" si="252"/>
        <v>10073</v>
      </c>
      <c r="AI266" s="167">
        <f t="shared" si="238"/>
        <v>7762</v>
      </c>
      <c r="AJ266" s="168">
        <f t="shared" si="239"/>
        <v>10502</v>
      </c>
      <c r="AK266" s="169">
        <f t="shared" si="240"/>
        <v>10886</v>
      </c>
      <c r="AL266" s="167">
        <f t="shared" si="241"/>
        <v>8397</v>
      </c>
      <c r="AM266" s="585">
        <f t="shared" si="242"/>
        <v>11820</v>
      </c>
      <c r="AN266" s="596">
        <v>0.38</v>
      </c>
      <c r="AO266" s="597">
        <v>0.38500000000000001</v>
      </c>
      <c r="AP266" s="597">
        <v>0.39</v>
      </c>
      <c r="AQ266" s="598">
        <v>0.39500000000000002</v>
      </c>
      <c r="AR266" s="599">
        <v>0.4</v>
      </c>
      <c r="AS266" s="586"/>
      <c r="AT266" s="587"/>
      <c r="AU266" s="587"/>
      <c r="AV266" s="588"/>
      <c r="AW266" s="589"/>
      <c r="AX266" s="596">
        <v>0.04</v>
      </c>
      <c r="AY266" s="598">
        <v>4.2999999999999997E-2</v>
      </c>
      <c r="AZ266" s="598">
        <v>4.5999999999999999E-2</v>
      </c>
      <c r="BA266" s="598">
        <v>4.9000000000000002E-2</v>
      </c>
      <c r="BB266" s="598">
        <v>5.1999999999999998E-2</v>
      </c>
      <c r="BC266" s="590"/>
      <c r="BD266" s="631"/>
      <c r="BE266" s="596"/>
      <c r="BF266" s="598"/>
      <c r="BG266" s="598"/>
      <c r="BH266" s="598"/>
      <c r="BI266" s="598"/>
      <c r="BJ266" s="598"/>
      <c r="BK266" s="605"/>
      <c r="BL266" s="658">
        <f t="shared" si="253"/>
        <v>30500</v>
      </c>
      <c r="BM266" s="3">
        <f t="shared" si="254"/>
        <v>35</v>
      </c>
      <c r="BN266" s="3">
        <f t="shared" si="255"/>
        <v>27</v>
      </c>
      <c r="BO266" s="3">
        <f t="shared" si="256"/>
        <v>38</v>
      </c>
    </row>
    <row r="267" spans="2:67">
      <c r="B267" s="207" t="s">
        <v>576</v>
      </c>
      <c r="C267" s="890" t="s">
        <v>573</v>
      </c>
      <c r="D267" s="890" t="s">
        <v>574</v>
      </c>
      <c r="E267" s="238" t="s">
        <v>65</v>
      </c>
      <c r="F267" s="592">
        <v>264</v>
      </c>
      <c r="G267" s="593">
        <v>6420</v>
      </c>
      <c r="H267" s="594">
        <v>5407</v>
      </c>
      <c r="I267" s="595">
        <v>5070</v>
      </c>
      <c r="J267" s="166">
        <f t="shared" si="243"/>
        <v>128</v>
      </c>
      <c r="K267" s="167">
        <f t="shared" si="244"/>
        <v>108</v>
      </c>
      <c r="L267" s="168">
        <f t="shared" si="245"/>
        <v>101</v>
      </c>
      <c r="M267" s="166">
        <f t="shared" si="246"/>
        <v>192</v>
      </c>
      <c r="N267" s="167">
        <f t="shared" si="247"/>
        <v>162</v>
      </c>
      <c r="O267" s="168">
        <f t="shared" si="248"/>
        <v>152</v>
      </c>
      <c r="P267" s="169">
        <f t="shared" si="249"/>
        <v>256</v>
      </c>
      <c r="Q267" s="169">
        <f t="shared" si="250"/>
        <v>216</v>
      </c>
      <c r="R267" s="169">
        <f t="shared" si="251"/>
        <v>202</v>
      </c>
      <c r="S267" s="584">
        <f t="shared" si="223"/>
        <v>1926</v>
      </c>
      <c r="T267" s="594">
        <f t="shared" si="224"/>
        <v>1622</v>
      </c>
      <c r="U267" s="595">
        <f t="shared" si="225"/>
        <v>1521</v>
      </c>
      <c r="V267" s="166">
        <f t="shared" si="226"/>
        <v>3974</v>
      </c>
      <c r="W267" s="167">
        <f t="shared" si="227"/>
        <v>3350</v>
      </c>
      <c r="X267" s="168">
        <f t="shared" si="228"/>
        <v>3142</v>
      </c>
      <c r="Y267" s="166">
        <f t="shared" si="229"/>
        <v>4486</v>
      </c>
      <c r="Z267" s="167">
        <f t="shared" si="230"/>
        <v>3782</v>
      </c>
      <c r="AA267" s="168">
        <f t="shared" si="231"/>
        <v>3546</v>
      </c>
      <c r="AB267" s="166">
        <f t="shared" si="232"/>
        <v>4998</v>
      </c>
      <c r="AC267" s="167">
        <f t="shared" si="233"/>
        <v>4214</v>
      </c>
      <c r="AD267" s="168">
        <f t="shared" si="234"/>
        <v>3950</v>
      </c>
      <c r="AE267" s="166">
        <f t="shared" si="235"/>
        <v>5510</v>
      </c>
      <c r="AF267" s="167">
        <f t="shared" si="236"/>
        <v>4430</v>
      </c>
      <c r="AG267" s="168">
        <f t="shared" si="237"/>
        <v>4354</v>
      </c>
      <c r="AH267" s="166">
        <f t="shared" si="252"/>
        <v>5766</v>
      </c>
      <c r="AI267" s="167">
        <f t="shared" si="238"/>
        <v>4862</v>
      </c>
      <c r="AJ267" s="168">
        <f t="shared" si="239"/>
        <v>4960</v>
      </c>
      <c r="AK267" s="169">
        <f t="shared" si="240"/>
        <v>6548</v>
      </c>
      <c r="AL267" s="167">
        <f t="shared" si="241"/>
        <v>5515</v>
      </c>
      <c r="AM267" s="585">
        <f t="shared" si="242"/>
        <v>5171</v>
      </c>
      <c r="AN267" s="596">
        <v>3.2000000000000001E-2</v>
      </c>
      <c r="AO267" s="597">
        <v>3.4000000000000002E-2</v>
      </c>
      <c r="AP267" s="597">
        <v>3.5999999999999997E-2</v>
      </c>
      <c r="AQ267" s="598">
        <v>3.7999999999999999E-2</v>
      </c>
      <c r="AR267" s="599">
        <v>0.04</v>
      </c>
      <c r="AS267" s="586"/>
      <c r="AT267" s="587"/>
      <c r="AU267" s="587"/>
      <c r="AV267" s="588"/>
      <c r="AW267" s="589"/>
      <c r="AX267" s="596">
        <v>0.03</v>
      </c>
      <c r="AY267" s="598">
        <v>3.5000000000000003E-2</v>
      </c>
      <c r="AZ267" s="598">
        <v>0.04</v>
      </c>
      <c r="BA267" s="598">
        <v>4.4999999999999998E-2</v>
      </c>
      <c r="BB267" s="598">
        <v>0.05</v>
      </c>
      <c r="BC267" s="590"/>
      <c r="BD267" s="631"/>
      <c r="BE267" s="596"/>
      <c r="BF267" s="598"/>
      <c r="BG267" s="598"/>
      <c r="BH267" s="598"/>
      <c r="BI267" s="598"/>
      <c r="BJ267" s="598"/>
      <c r="BK267" s="605"/>
      <c r="BL267" s="658">
        <f t="shared" si="253"/>
        <v>16900</v>
      </c>
      <c r="BM267" s="3">
        <f t="shared" si="254"/>
        <v>38</v>
      </c>
      <c r="BN267" s="3">
        <f t="shared" si="255"/>
        <v>32</v>
      </c>
      <c r="BO267" s="3">
        <f t="shared" si="256"/>
        <v>30</v>
      </c>
    </row>
    <row r="268" spans="2:67">
      <c r="B268" s="207" t="s">
        <v>577</v>
      </c>
      <c r="C268" s="883" t="s">
        <v>573</v>
      </c>
      <c r="D268" s="883" t="s">
        <v>575</v>
      </c>
      <c r="E268" s="238" t="s">
        <v>65</v>
      </c>
      <c r="F268" s="592">
        <v>265</v>
      </c>
      <c r="G268" s="593">
        <v>5914</v>
      </c>
      <c r="H268" s="594">
        <v>3886</v>
      </c>
      <c r="I268" s="595">
        <v>7097</v>
      </c>
      <c r="J268" s="166">
        <f t="shared" si="243"/>
        <v>118</v>
      </c>
      <c r="K268" s="167">
        <f t="shared" si="244"/>
        <v>77</v>
      </c>
      <c r="L268" s="168">
        <f t="shared" si="245"/>
        <v>141</v>
      </c>
      <c r="M268" s="166">
        <f t="shared" si="246"/>
        <v>177</v>
      </c>
      <c r="N268" s="167">
        <f t="shared" si="247"/>
        <v>116</v>
      </c>
      <c r="O268" s="168">
        <f t="shared" si="248"/>
        <v>212</v>
      </c>
      <c r="P268" s="169">
        <f t="shared" si="249"/>
        <v>236</v>
      </c>
      <c r="Q268" s="169">
        <f t="shared" si="250"/>
        <v>155</v>
      </c>
      <c r="R268" s="169">
        <f t="shared" si="251"/>
        <v>283</v>
      </c>
      <c r="S268" s="584">
        <f t="shared" si="223"/>
        <v>1774</v>
      </c>
      <c r="T268" s="594">
        <f t="shared" si="224"/>
        <v>1166</v>
      </c>
      <c r="U268" s="595">
        <f t="shared" si="225"/>
        <v>2129</v>
      </c>
      <c r="V268" s="166">
        <f t="shared" si="226"/>
        <v>3662</v>
      </c>
      <c r="W268" s="167">
        <f t="shared" si="227"/>
        <v>2403</v>
      </c>
      <c r="X268" s="168">
        <f t="shared" si="228"/>
        <v>4390</v>
      </c>
      <c r="Y268" s="166">
        <f t="shared" si="229"/>
        <v>4134</v>
      </c>
      <c r="Z268" s="167">
        <f t="shared" si="230"/>
        <v>2713</v>
      </c>
      <c r="AA268" s="168">
        <f t="shared" si="231"/>
        <v>4956</v>
      </c>
      <c r="AB268" s="166">
        <f t="shared" si="232"/>
        <v>4606</v>
      </c>
      <c r="AC268" s="167">
        <f t="shared" si="233"/>
        <v>3023</v>
      </c>
      <c r="AD268" s="168">
        <f t="shared" si="234"/>
        <v>5522</v>
      </c>
      <c r="AE268" s="166">
        <f t="shared" si="235"/>
        <v>5078</v>
      </c>
      <c r="AF268" s="167">
        <f t="shared" si="236"/>
        <v>3333</v>
      </c>
      <c r="AG268" s="168">
        <f t="shared" si="237"/>
        <v>5805</v>
      </c>
      <c r="AH268" s="166">
        <f t="shared" si="252"/>
        <v>5314</v>
      </c>
      <c r="AI268" s="167">
        <f t="shared" si="238"/>
        <v>3798</v>
      </c>
      <c r="AJ268" s="168">
        <f t="shared" si="239"/>
        <v>6371</v>
      </c>
      <c r="AK268" s="169">
        <f t="shared" si="240"/>
        <v>6032</v>
      </c>
      <c r="AL268" s="167">
        <f t="shared" si="241"/>
        <v>3963</v>
      </c>
      <c r="AM268" s="585">
        <f t="shared" si="242"/>
        <v>7238</v>
      </c>
      <c r="AN268" s="596">
        <v>0.2</v>
      </c>
      <c r="AO268" s="597">
        <v>0.20499999999999999</v>
      </c>
      <c r="AP268" s="597">
        <v>0.21</v>
      </c>
      <c r="AQ268" s="598">
        <v>0.215</v>
      </c>
      <c r="AR268" s="599">
        <v>0.22</v>
      </c>
      <c r="AS268" s="586"/>
      <c r="AT268" s="587"/>
      <c r="AU268" s="587"/>
      <c r="AV268" s="588"/>
      <c r="AW268" s="589"/>
      <c r="AX268" s="596">
        <v>0.03</v>
      </c>
      <c r="AY268" s="598">
        <v>3.3000000000000002E-2</v>
      </c>
      <c r="AZ268" s="598">
        <v>3.5999999999999997E-2</v>
      </c>
      <c r="BA268" s="598">
        <v>3.9E-2</v>
      </c>
      <c r="BB268" s="598">
        <v>4.2000000000000003E-2</v>
      </c>
      <c r="BC268" s="590"/>
      <c r="BD268" s="631"/>
      <c r="BE268" s="596"/>
      <c r="BF268" s="598"/>
      <c r="BG268" s="598"/>
      <c r="BH268" s="598"/>
      <c r="BI268" s="598"/>
      <c r="BJ268" s="598"/>
      <c r="BK268" s="605"/>
      <c r="BL268" s="658">
        <f t="shared" si="253"/>
        <v>16900</v>
      </c>
      <c r="BM268" s="3">
        <f t="shared" si="254"/>
        <v>35</v>
      </c>
      <c r="BN268" s="3">
        <f t="shared" si="255"/>
        <v>23</v>
      </c>
      <c r="BO268" s="3">
        <f t="shared" si="256"/>
        <v>42</v>
      </c>
    </row>
    <row r="269" spans="2:67">
      <c r="B269" s="1269" t="s">
        <v>647</v>
      </c>
      <c r="C269" s="1265" t="s">
        <v>645</v>
      </c>
      <c r="D269" s="1265" t="s">
        <v>653</v>
      </c>
      <c r="E269" s="1267" t="s">
        <v>65</v>
      </c>
      <c r="F269" s="1270">
        <v>266</v>
      </c>
      <c r="G269" s="593">
        <v>9240</v>
      </c>
      <c r="H269" s="594">
        <v>7840</v>
      </c>
      <c r="I269" s="595">
        <v>10920</v>
      </c>
      <c r="J269" s="166">
        <f t="shared" si="243"/>
        <v>184</v>
      </c>
      <c r="K269" s="167">
        <f t="shared" si="244"/>
        <v>156</v>
      </c>
      <c r="L269" s="168">
        <f t="shared" si="245"/>
        <v>218</v>
      </c>
      <c r="M269" s="166">
        <f t="shared" si="246"/>
        <v>231</v>
      </c>
      <c r="N269" s="167">
        <f t="shared" si="247"/>
        <v>196</v>
      </c>
      <c r="O269" s="168">
        <f t="shared" si="248"/>
        <v>273</v>
      </c>
      <c r="P269" s="169">
        <f t="shared" si="249"/>
        <v>346</v>
      </c>
      <c r="Q269" s="169">
        <f t="shared" si="250"/>
        <v>294</v>
      </c>
      <c r="R269" s="169">
        <f t="shared" si="251"/>
        <v>409</v>
      </c>
      <c r="S269" s="584">
        <f t="shared" si="223"/>
        <v>2310</v>
      </c>
      <c r="T269" s="594">
        <f t="shared" si="224"/>
        <v>1960</v>
      </c>
      <c r="U269" s="595">
        <f t="shared" si="225"/>
        <v>2730</v>
      </c>
      <c r="V269" s="166">
        <f t="shared" si="226"/>
        <v>5266</v>
      </c>
      <c r="W269" s="167">
        <f t="shared" si="227"/>
        <v>4468</v>
      </c>
      <c r="X269" s="168">
        <f t="shared" si="228"/>
        <v>6224</v>
      </c>
      <c r="Y269" s="166">
        <f t="shared" si="229"/>
        <v>5612</v>
      </c>
      <c r="Z269" s="167">
        <f t="shared" si="230"/>
        <v>5350</v>
      </c>
      <c r="AA269" s="168">
        <f t="shared" si="231"/>
        <v>7042</v>
      </c>
      <c r="AB269" s="166">
        <f t="shared" si="232"/>
        <v>6650</v>
      </c>
      <c r="AC269" s="167">
        <f t="shared" si="233"/>
        <v>5644</v>
      </c>
      <c r="AD269" s="168">
        <f t="shared" si="234"/>
        <v>8269</v>
      </c>
      <c r="AE269" s="166">
        <f t="shared" si="235"/>
        <v>8034</v>
      </c>
      <c r="AF269" s="167">
        <f t="shared" si="236"/>
        <v>6232</v>
      </c>
      <c r="AG269" s="168">
        <f t="shared" si="237"/>
        <v>9087</v>
      </c>
      <c r="AH269" s="166">
        <f t="shared" si="252"/>
        <v>8726</v>
      </c>
      <c r="AI269" s="167">
        <f t="shared" si="238"/>
        <v>7408</v>
      </c>
      <c r="AJ269" s="168">
        <f t="shared" si="239"/>
        <v>9905</v>
      </c>
      <c r="AK269" s="169">
        <f t="shared" si="240"/>
        <v>9424</v>
      </c>
      <c r="AL269" s="167">
        <f t="shared" si="241"/>
        <v>7996</v>
      </c>
      <c r="AM269" s="585">
        <f t="shared" si="242"/>
        <v>11138</v>
      </c>
      <c r="AN269" s="596">
        <v>7.0000000000000007E-2</v>
      </c>
      <c r="AO269" s="597">
        <v>7.4999999999999997E-2</v>
      </c>
      <c r="AP269" s="597">
        <v>0.08</v>
      </c>
      <c r="AQ269" s="598">
        <v>8.5000000000000006E-2</v>
      </c>
      <c r="AR269" s="599">
        <v>0.09</v>
      </c>
      <c r="AS269" s="586"/>
      <c r="AT269" s="587"/>
      <c r="AU269" s="587"/>
      <c r="AV269" s="588"/>
      <c r="AW269" s="589"/>
      <c r="AX269" s="596">
        <v>0.04</v>
      </c>
      <c r="AY269" s="598">
        <v>4.2999999999999997E-2</v>
      </c>
      <c r="AZ269" s="598">
        <v>4.5999999999999999E-2</v>
      </c>
      <c r="BA269" s="598">
        <v>4.9000000000000002E-2</v>
      </c>
      <c r="BB269" s="598">
        <v>5.1999999999999998E-2</v>
      </c>
      <c r="BC269" s="590"/>
      <c r="BD269" s="631"/>
      <c r="BE269" s="596"/>
      <c r="BF269" s="598"/>
      <c r="BG269" s="598"/>
      <c r="BH269" s="598"/>
      <c r="BI269" s="598"/>
      <c r="BJ269" s="598"/>
      <c r="BK269" s="605"/>
      <c r="BL269" s="658">
        <f t="shared" si="253"/>
        <v>28000</v>
      </c>
      <c r="BM269" s="3">
        <f t="shared" si="254"/>
        <v>33</v>
      </c>
      <c r="BN269" s="3">
        <f t="shared" si="255"/>
        <v>28</v>
      </c>
      <c r="BO269" s="3">
        <f t="shared" si="256"/>
        <v>39</v>
      </c>
    </row>
    <row r="270" spans="2:67">
      <c r="B270" s="207" t="s">
        <v>648</v>
      </c>
      <c r="C270" s="890" t="s">
        <v>646</v>
      </c>
      <c r="D270" s="890" t="s">
        <v>654</v>
      </c>
      <c r="E270" s="238" t="s">
        <v>65</v>
      </c>
      <c r="F270" s="592">
        <v>267</v>
      </c>
      <c r="G270" s="593">
        <v>5847</v>
      </c>
      <c r="H270" s="594">
        <v>4300</v>
      </c>
      <c r="I270" s="595">
        <v>7050</v>
      </c>
      <c r="J270" s="166">
        <f t="shared" si="243"/>
        <v>116</v>
      </c>
      <c r="K270" s="167">
        <f t="shared" si="244"/>
        <v>86</v>
      </c>
      <c r="L270" s="168">
        <f t="shared" si="245"/>
        <v>141</v>
      </c>
      <c r="M270" s="166">
        <f t="shared" si="246"/>
        <v>175</v>
      </c>
      <c r="N270" s="167">
        <f t="shared" si="247"/>
        <v>129</v>
      </c>
      <c r="O270" s="168">
        <f t="shared" si="248"/>
        <v>211</v>
      </c>
      <c r="P270" s="169">
        <f t="shared" si="249"/>
        <v>233</v>
      </c>
      <c r="Q270" s="169">
        <f t="shared" si="250"/>
        <v>172</v>
      </c>
      <c r="R270" s="169">
        <f t="shared" si="251"/>
        <v>282</v>
      </c>
      <c r="S270" s="584">
        <f t="shared" si="223"/>
        <v>1754</v>
      </c>
      <c r="T270" s="594">
        <f t="shared" si="224"/>
        <v>1290</v>
      </c>
      <c r="U270" s="595">
        <f t="shared" si="225"/>
        <v>2115</v>
      </c>
      <c r="V270" s="166">
        <f t="shared" si="226"/>
        <v>3620</v>
      </c>
      <c r="W270" s="167">
        <f t="shared" si="227"/>
        <v>2666</v>
      </c>
      <c r="X270" s="168">
        <f t="shared" si="228"/>
        <v>4366</v>
      </c>
      <c r="Y270" s="166">
        <f t="shared" si="229"/>
        <v>4086</v>
      </c>
      <c r="Z270" s="167">
        <f t="shared" si="230"/>
        <v>3010</v>
      </c>
      <c r="AA270" s="168">
        <f t="shared" si="231"/>
        <v>4930</v>
      </c>
      <c r="AB270" s="166">
        <f t="shared" si="232"/>
        <v>4552</v>
      </c>
      <c r="AC270" s="167">
        <f t="shared" si="233"/>
        <v>3354</v>
      </c>
      <c r="AD270" s="168">
        <f t="shared" si="234"/>
        <v>5494</v>
      </c>
      <c r="AE270" s="166">
        <f t="shared" si="235"/>
        <v>5018</v>
      </c>
      <c r="AF270" s="167">
        <f t="shared" si="236"/>
        <v>3526</v>
      </c>
      <c r="AG270" s="168">
        <f t="shared" si="237"/>
        <v>6058</v>
      </c>
      <c r="AH270" s="166">
        <f t="shared" si="252"/>
        <v>5251</v>
      </c>
      <c r="AI270" s="167">
        <f t="shared" si="238"/>
        <v>3870</v>
      </c>
      <c r="AJ270" s="168">
        <f t="shared" si="239"/>
        <v>6904</v>
      </c>
      <c r="AK270" s="169">
        <f t="shared" si="240"/>
        <v>5963</v>
      </c>
      <c r="AL270" s="167">
        <f t="shared" si="241"/>
        <v>4386</v>
      </c>
      <c r="AM270" s="585">
        <f t="shared" si="242"/>
        <v>7191</v>
      </c>
      <c r="AN270" s="596">
        <v>0.13</v>
      </c>
      <c r="AO270" s="597">
        <v>0.13500000000000001</v>
      </c>
      <c r="AP270" s="597">
        <v>0.14000000000000001</v>
      </c>
      <c r="AQ270" s="598">
        <v>0.14499999999999999</v>
      </c>
      <c r="AR270" s="599">
        <v>0.15</v>
      </c>
      <c r="AS270" s="586"/>
      <c r="AT270" s="587"/>
      <c r="AU270" s="587"/>
      <c r="AV270" s="588"/>
      <c r="AW270" s="589"/>
      <c r="AX270" s="596">
        <v>0.05</v>
      </c>
      <c r="AY270" s="598">
        <v>5.5E-2</v>
      </c>
      <c r="AZ270" s="598">
        <v>0.06</v>
      </c>
      <c r="BA270" s="598">
        <v>6.5000000000000002E-2</v>
      </c>
      <c r="BB270" s="598">
        <v>7.0000000000000007E-2</v>
      </c>
      <c r="BC270" s="590"/>
      <c r="BD270" s="631"/>
      <c r="BE270" s="596"/>
      <c r="BF270" s="598"/>
      <c r="BG270" s="598"/>
      <c r="BH270" s="598"/>
      <c r="BI270" s="598"/>
      <c r="BJ270" s="598"/>
      <c r="BK270" s="605"/>
      <c r="BL270" s="658">
        <f t="shared" si="253"/>
        <v>17200</v>
      </c>
      <c r="BM270" s="3">
        <f t="shared" si="254"/>
        <v>34</v>
      </c>
      <c r="BN270" s="3">
        <f t="shared" si="255"/>
        <v>25</v>
      </c>
      <c r="BO270" s="3">
        <f t="shared" si="256"/>
        <v>41</v>
      </c>
    </row>
    <row r="271" spans="2:67">
      <c r="B271" s="1269" t="s">
        <v>649</v>
      </c>
      <c r="C271" s="1265" t="s">
        <v>645</v>
      </c>
      <c r="D271" s="1265" t="s">
        <v>655</v>
      </c>
      <c r="E271" s="1267" t="s">
        <v>125</v>
      </c>
      <c r="F271" s="1270">
        <v>268</v>
      </c>
      <c r="G271" s="593">
        <v>5980</v>
      </c>
      <c r="H271" s="594">
        <v>10349</v>
      </c>
      <c r="I271" s="595">
        <v>6669</v>
      </c>
      <c r="J271" s="166">
        <f t="shared" si="243"/>
        <v>119</v>
      </c>
      <c r="K271" s="167">
        <f t="shared" si="244"/>
        <v>207</v>
      </c>
      <c r="L271" s="168">
        <f t="shared" si="245"/>
        <v>133</v>
      </c>
      <c r="M271" s="166">
        <f t="shared" si="246"/>
        <v>149</v>
      </c>
      <c r="N271" s="167">
        <f t="shared" si="247"/>
        <v>258</v>
      </c>
      <c r="O271" s="168">
        <f t="shared" si="248"/>
        <v>166</v>
      </c>
      <c r="P271" s="169">
        <f t="shared" si="249"/>
        <v>224</v>
      </c>
      <c r="Q271" s="169">
        <f t="shared" si="250"/>
        <v>388</v>
      </c>
      <c r="R271" s="169">
        <f t="shared" si="251"/>
        <v>250</v>
      </c>
      <c r="S271" s="584">
        <f t="shared" si="223"/>
        <v>1495</v>
      </c>
      <c r="T271" s="594">
        <f t="shared" si="224"/>
        <v>2587</v>
      </c>
      <c r="U271" s="595">
        <f t="shared" si="225"/>
        <v>1667</v>
      </c>
      <c r="V271" s="166">
        <f t="shared" si="226"/>
        <v>3402</v>
      </c>
      <c r="W271" s="167">
        <f t="shared" si="227"/>
        <v>5890</v>
      </c>
      <c r="X271" s="168">
        <f t="shared" si="228"/>
        <v>3792</v>
      </c>
      <c r="Y271" s="166">
        <f t="shared" si="229"/>
        <v>4074</v>
      </c>
      <c r="Z271" s="167">
        <f t="shared" si="230"/>
        <v>6666</v>
      </c>
      <c r="AA271" s="168">
        <f t="shared" si="231"/>
        <v>4042</v>
      </c>
      <c r="AB271" s="166">
        <f t="shared" si="232"/>
        <v>4298</v>
      </c>
      <c r="AC271" s="167">
        <f t="shared" si="233"/>
        <v>7830</v>
      </c>
      <c r="AD271" s="168">
        <f t="shared" si="234"/>
        <v>4792</v>
      </c>
      <c r="AE271" s="166">
        <f t="shared" si="235"/>
        <v>4746</v>
      </c>
      <c r="AF271" s="167">
        <f t="shared" si="236"/>
        <v>8606</v>
      </c>
      <c r="AG271" s="168">
        <f t="shared" si="237"/>
        <v>5792</v>
      </c>
      <c r="AH271" s="166">
        <f t="shared" si="252"/>
        <v>5642</v>
      </c>
      <c r="AI271" s="167">
        <f t="shared" si="238"/>
        <v>9382</v>
      </c>
      <c r="AJ271" s="168">
        <f t="shared" si="239"/>
        <v>6292</v>
      </c>
      <c r="AK271" s="169">
        <f t="shared" si="240"/>
        <v>6099</v>
      </c>
      <c r="AL271" s="167">
        <f t="shared" si="241"/>
        <v>10556</v>
      </c>
      <c r="AM271" s="585">
        <f t="shared" si="242"/>
        <v>6802</v>
      </c>
      <c r="AN271" s="596">
        <v>0.14000000000000001</v>
      </c>
      <c r="AO271" s="597">
        <v>0.17</v>
      </c>
      <c r="AP271" s="597">
        <v>0.2</v>
      </c>
      <c r="AQ271" s="598">
        <v>0.23</v>
      </c>
      <c r="AR271" s="599">
        <v>0.26</v>
      </c>
      <c r="AS271" s="586"/>
      <c r="AT271" s="587"/>
      <c r="AU271" s="587"/>
      <c r="AV271" s="588"/>
      <c r="AW271" s="589"/>
      <c r="AX271" s="596">
        <v>0.04</v>
      </c>
      <c r="AY271" s="598">
        <v>4.2999999999999997E-2</v>
      </c>
      <c r="AZ271" s="598">
        <v>4.5999999999999999E-2</v>
      </c>
      <c r="BA271" s="598">
        <v>4.9000000000000002E-2</v>
      </c>
      <c r="BB271" s="598">
        <v>5.1999999999999998E-2</v>
      </c>
      <c r="BC271" s="590"/>
      <c r="BD271" s="631"/>
      <c r="BE271" s="596"/>
      <c r="BF271" s="598"/>
      <c r="BG271" s="598"/>
      <c r="BH271" s="598"/>
      <c r="BI271" s="598"/>
      <c r="BJ271" s="598"/>
      <c r="BK271" s="605"/>
      <c r="BL271" s="658">
        <f t="shared" si="253"/>
        <v>23000</v>
      </c>
      <c r="BM271" s="3">
        <f t="shared" si="254"/>
        <v>26</v>
      </c>
      <c r="BN271" s="3">
        <f t="shared" si="255"/>
        <v>45</v>
      </c>
      <c r="BO271" s="3">
        <f t="shared" si="256"/>
        <v>29</v>
      </c>
    </row>
    <row r="272" spans="2:67">
      <c r="B272" s="1269" t="s">
        <v>650</v>
      </c>
      <c r="C272" s="1265" t="s">
        <v>645</v>
      </c>
      <c r="D272" s="1265" t="s">
        <v>654</v>
      </c>
      <c r="E272" s="1267" t="s">
        <v>65</v>
      </c>
      <c r="F272" s="1270">
        <v>269</v>
      </c>
      <c r="G272" s="593">
        <v>9349</v>
      </c>
      <c r="H272" s="594">
        <v>7149</v>
      </c>
      <c r="I272" s="595">
        <v>11000</v>
      </c>
      <c r="J272" s="166">
        <f t="shared" si="243"/>
        <v>187</v>
      </c>
      <c r="K272" s="167">
        <f t="shared" si="244"/>
        <v>143</v>
      </c>
      <c r="L272" s="168">
        <f t="shared" si="245"/>
        <v>220</v>
      </c>
      <c r="M272" s="166">
        <f t="shared" si="246"/>
        <v>233</v>
      </c>
      <c r="N272" s="167">
        <f t="shared" si="247"/>
        <v>178</v>
      </c>
      <c r="O272" s="168">
        <f t="shared" si="248"/>
        <v>275</v>
      </c>
      <c r="P272" s="169">
        <f t="shared" si="249"/>
        <v>350</v>
      </c>
      <c r="Q272" s="169">
        <f t="shared" si="250"/>
        <v>268</v>
      </c>
      <c r="R272" s="169">
        <f t="shared" si="251"/>
        <v>412</v>
      </c>
      <c r="S272" s="584">
        <f t="shared" si="223"/>
        <v>2337</v>
      </c>
      <c r="T272" s="594">
        <f t="shared" si="224"/>
        <v>1787</v>
      </c>
      <c r="U272" s="595">
        <f t="shared" si="225"/>
        <v>2750</v>
      </c>
      <c r="V272" s="166">
        <f t="shared" si="226"/>
        <v>5320</v>
      </c>
      <c r="W272" s="167">
        <f t="shared" si="227"/>
        <v>4066</v>
      </c>
      <c r="X272" s="168">
        <f t="shared" si="228"/>
        <v>6270</v>
      </c>
      <c r="Y272" s="166">
        <f t="shared" si="229"/>
        <v>5670</v>
      </c>
      <c r="Z272" s="167">
        <f t="shared" si="230"/>
        <v>4602</v>
      </c>
      <c r="AA272" s="168">
        <f t="shared" si="231"/>
        <v>7506</v>
      </c>
      <c r="AB272" s="166">
        <f t="shared" si="232"/>
        <v>6720</v>
      </c>
      <c r="AC272" s="167">
        <f t="shared" si="233"/>
        <v>5406</v>
      </c>
      <c r="AD272" s="168">
        <f t="shared" si="234"/>
        <v>7918</v>
      </c>
      <c r="AE272" s="166">
        <f t="shared" si="235"/>
        <v>8120</v>
      </c>
      <c r="AF272" s="167">
        <f t="shared" si="236"/>
        <v>5942</v>
      </c>
      <c r="AG272" s="168">
        <f t="shared" si="237"/>
        <v>8742</v>
      </c>
      <c r="AH272" s="166">
        <f t="shared" si="252"/>
        <v>8820</v>
      </c>
      <c r="AI272" s="167">
        <f t="shared" si="238"/>
        <v>6478</v>
      </c>
      <c r="AJ272" s="168">
        <f t="shared" si="239"/>
        <v>10390</v>
      </c>
      <c r="AK272" s="169">
        <f t="shared" si="240"/>
        <v>9536</v>
      </c>
      <c r="AL272" s="167">
        <f t="shared" si="241"/>
        <v>7292</v>
      </c>
      <c r="AM272" s="585">
        <f t="shared" si="242"/>
        <v>11220</v>
      </c>
      <c r="AN272" s="596">
        <v>0.05</v>
      </c>
      <c r="AO272" s="597">
        <v>5.2999999999999999E-2</v>
      </c>
      <c r="AP272" s="597">
        <v>5.6000000000000001E-2</v>
      </c>
      <c r="AQ272" s="598">
        <v>5.8999999999999997E-2</v>
      </c>
      <c r="AR272" s="599">
        <v>6.2E-2</v>
      </c>
      <c r="AS272" s="586"/>
      <c r="AT272" s="587"/>
      <c r="AU272" s="587"/>
      <c r="AV272" s="588"/>
      <c r="AW272" s="589"/>
      <c r="AX272" s="596">
        <v>0.05</v>
      </c>
      <c r="AY272" s="598">
        <v>5.5E-2</v>
      </c>
      <c r="AZ272" s="598">
        <v>0.06</v>
      </c>
      <c r="BA272" s="598">
        <v>6.5000000000000002E-2</v>
      </c>
      <c r="BB272" s="598">
        <v>7.0000000000000007E-2</v>
      </c>
      <c r="BC272" s="590"/>
      <c r="BD272" s="631"/>
      <c r="BE272" s="596"/>
      <c r="BF272" s="598"/>
      <c r="BG272" s="598"/>
      <c r="BH272" s="598"/>
      <c r="BI272" s="598"/>
      <c r="BJ272" s="598"/>
      <c r="BK272" s="605"/>
      <c r="BL272" s="658">
        <f t="shared" si="253"/>
        <v>27500</v>
      </c>
      <c r="BM272" s="3">
        <f t="shared" si="254"/>
        <v>34</v>
      </c>
      <c r="BN272" s="3">
        <f t="shared" si="255"/>
        <v>26</v>
      </c>
      <c r="BO272" s="3">
        <f t="shared" si="256"/>
        <v>40</v>
      </c>
    </row>
    <row r="273" spans="2:67">
      <c r="B273" s="207" t="s">
        <v>651</v>
      </c>
      <c r="C273" s="890" t="s">
        <v>646</v>
      </c>
      <c r="D273" s="890" t="s">
        <v>655</v>
      </c>
      <c r="E273" s="238" t="s">
        <v>125</v>
      </c>
      <c r="F273" s="592">
        <v>270</v>
      </c>
      <c r="G273" s="593">
        <v>4260</v>
      </c>
      <c r="H273" s="594">
        <v>5680</v>
      </c>
      <c r="I273" s="595">
        <v>4260</v>
      </c>
      <c r="J273" s="166">
        <f t="shared" si="243"/>
        <v>85</v>
      </c>
      <c r="K273" s="167">
        <f t="shared" si="244"/>
        <v>113</v>
      </c>
      <c r="L273" s="168">
        <f t="shared" si="245"/>
        <v>85</v>
      </c>
      <c r="M273" s="166">
        <f t="shared" si="246"/>
        <v>127</v>
      </c>
      <c r="N273" s="167">
        <f t="shared" si="247"/>
        <v>170</v>
      </c>
      <c r="O273" s="168">
        <f t="shared" si="248"/>
        <v>127</v>
      </c>
      <c r="P273" s="169">
        <f t="shared" si="249"/>
        <v>170</v>
      </c>
      <c r="Q273" s="169">
        <f t="shared" si="250"/>
        <v>227</v>
      </c>
      <c r="R273" s="169">
        <f t="shared" si="251"/>
        <v>170</v>
      </c>
      <c r="S273" s="584">
        <f t="shared" si="223"/>
        <v>1278</v>
      </c>
      <c r="T273" s="594">
        <f t="shared" si="224"/>
        <v>1704</v>
      </c>
      <c r="U273" s="595">
        <f t="shared" si="225"/>
        <v>1278</v>
      </c>
      <c r="V273" s="166">
        <f t="shared" si="226"/>
        <v>2633</v>
      </c>
      <c r="W273" s="167">
        <f t="shared" si="227"/>
        <v>3517</v>
      </c>
      <c r="X273" s="168">
        <f t="shared" si="228"/>
        <v>2633</v>
      </c>
      <c r="Y273" s="166">
        <f t="shared" si="229"/>
        <v>2973</v>
      </c>
      <c r="Z273" s="167">
        <f t="shared" si="230"/>
        <v>3971</v>
      </c>
      <c r="AA273" s="168">
        <f t="shared" si="231"/>
        <v>2973</v>
      </c>
      <c r="AB273" s="166">
        <f t="shared" si="232"/>
        <v>3313</v>
      </c>
      <c r="AC273" s="167">
        <f t="shared" si="233"/>
        <v>4425</v>
      </c>
      <c r="AD273" s="168">
        <f t="shared" si="234"/>
        <v>3313</v>
      </c>
      <c r="AE273" s="166">
        <f t="shared" si="235"/>
        <v>3653</v>
      </c>
      <c r="AF273" s="167">
        <f t="shared" si="236"/>
        <v>4652</v>
      </c>
      <c r="AG273" s="168">
        <f t="shared" si="237"/>
        <v>3653</v>
      </c>
      <c r="AH273" s="166">
        <f t="shared" si="252"/>
        <v>4163</v>
      </c>
      <c r="AI273" s="167">
        <f t="shared" si="238"/>
        <v>5106</v>
      </c>
      <c r="AJ273" s="168">
        <f t="shared" si="239"/>
        <v>3823</v>
      </c>
      <c r="AK273" s="169">
        <f t="shared" si="240"/>
        <v>4345</v>
      </c>
      <c r="AL273" s="167">
        <f t="shared" si="241"/>
        <v>5793</v>
      </c>
      <c r="AM273" s="585">
        <f t="shared" si="242"/>
        <v>4345</v>
      </c>
      <c r="AN273" s="596">
        <v>0.06</v>
      </c>
      <c r="AO273" s="597">
        <v>7.0000000000000007E-2</v>
      </c>
      <c r="AP273" s="597">
        <v>0.08</v>
      </c>
      <c r="AQ273" s="598">
        <v>0.09</v>
      </c>
      <c r="AR273" s="599">
        <v>0.1</v>
      </c>
      <c r="AS273" s="586"/>
      <c r="AT273" s="587"/>
      <c r="AU273" s="587"/>
      <c r="AV273" s="588"/>
      <c r="AW273" s="589"/>
      <c r="AX273" s="596">
        <v>0.03</v>
      </c>
      <c r="AY273" s="598">
        <v>3.5000000000000003E-2</v>
      </c>
      <c r="AZ273" s="598">
        <v>0.04</v>
      </c>
      <c r="BA273" s="598">
        <v>4.4999999999999998E-2</v>
      </c>
      <c r="BB273" s="598">
        <v>0.05</v>
      </c>
      <c r="BC273" s="590"/>
      <c r="BD273" s="631"/>
      <c r="BE273" s="596"/>
      <c r="BF273" s="598"/>
      <c r="BG273" s="598"/>
      <c r="BH273" s="598"/>
      <c r="BI273" s="598"/>
      <c r="BJ273" s="598"/>
      <c r="BK273" s="605"/>
      <c r="BL273" s="658">
        <f t="shared" si="253"/>
        <v>14200</v>
      </c>
      <c r="BM273" s="3">
        <f t="shared" si="254"/>
        <v>30</v>
      </c>
      <c r="BN273" s="3">
        <f t="shared" si="255"/>
        <v>40</v>
      </c>
      <c r="BO273" s="3">
        <f t="shared" si="256"/>
        <v>30</v>
      </c>
    </row>
    <row r="274" spans="2:67">
      <c r="B274" s="207" t="s">
        <v>652</v>
      </c>
      <c r="C274" s="890" t="s">
        <v>646</v>
      </c>
      <c r="D274" s="890" t="s">
        <v>656</v>
      </c>
      <c r="E274" s="238" t="s">
        <v>125</v>
      </c>
      <c r="F274" s="592">
        <v>271</v>
      </c>
      <c r="G274" s="593">
        <v>5963</v>
      </c>
      <c r="H274" s="594">
        <v>4543</v>
      </c>
      <c r="I274" s="595">
        <v>3690</v>
      </c>
      <c r="J274" s="166">
        <f t="shared" si="243"/>
        <v>119</v>
      </c>
      <c r="K274" s="167">
        <f t="shared" si="244"/>
        <v>90</v>
      </c>
      <c r="L274" s="168">
        <f t="shared" si="245"/>
        <v>73</v>
      </c>
      <c r="M274" s="166">
        <f t="shared" si="246"/>
        <v>178</v>
      </c>
      <c r="N274" s="167">
        <f t="shared" si="247"/>
        <v>136</v>
      </c>
      <c r="O274" s="168">
        <f t="shared" si="248"/>
        <v>110</v>
      </c>
      <c r="P274" s="169">
        <f t="shared" si="249"/>
        <v>238</v>
      </c>
      <c r="Q274" s="169">
        <f t="shared" si="250"/>
        <v>181</v>
      </c>
      <c r="R274" s="169">
        <f t="shared" si="251"/>
        <v>147</v>
      </c>
      <c r="S274" s="584">
        <f t="shared" si="223"/>
        <v>1789</v>
      </c>
      <c r="T274" s="594">
        <f t="shared" si="224"/>
        <v>1363</v>
      </c>
      <c r="U274" s="595">
        <f t="shared" si="225"/>
        <v>1107</v>
      </c>
      <c r="V274" s="166">
        <f t="shared" si="226"/>
        <v>3688</v>
      </c>
      <c r="W274" s="167">
        <f t="shared" si="227"/>
        <v>2813</v>
      </c>
      <c r="X274" s="168">
        <f t="shared" si="228"/>
        <v>2280</v>
      </c>
      <c r="Y274" s="166">
        <f t="shared" si="229"/>
        <v>4164</v>
      </c>
      <c r="Z274" s="167">
        <f t="shared" si="230"/>
        <v>3175</v>
      </c>
      <c r="AA274" s="168">
        <f t="shared" si="231"/>
        <v>2574</v>
      </c>
      <c r="AB274" s="166">
        <f t="shared" si="232"/>
        <v>4640</v>
      </c>
      <c r="AC274" s="167">
        <f t="shared" si="233"/>
        <v>3537</v>
      </c>
      <c r="AD274" s="168">
        <f t="shared" si="234"/>
        <v>2868</v>
      </c>
      <c r="AE274" s="166">
        <f t="shared" si="235"/>
        <v>4878</v>
      </c>
      <c r="AF274" s="167">
        <f t="shared" si="236"/>
        <v>3899</v>
      </c>
      <c r="AG274" s="168">
        <f t="shared" si="237"/>
        <v>3162</v>
      </c>
      <c r="AH274" s="166">
        <f t="shared" si="252"/>
        <v>5354</v>
      </c>
      <c r="AI274" s="167">
        <f t="shared" si="238"/>
        <v>4080</v>
      </c>
      <c r="AJ274" s="168">
        <f t="shared" si="239"/>
        <v>3603</v>
      </c>
      <c r="AK274" s="169">
        <f t="shared" si="240"/>
        <v>6082</v>
      </c>
      <c r="AL274" s="167">
        <f t="shared" si="241"/>
        <v>4633</v>
      </c>
      <c r="AM274" s="585">
        <f t="shared" si="242"/>
        <v>3763</v>
      </c>
      <c r="AN274" s="596">
        <v>0.04</v>
      </c>
      <c r="AO274" s="597">
        <v>4.4999999999999998E-2</v>
      </c>
      <c r="AP274" s="597">
        <v>0.05</v>
      </c>
      <c r="AQ274" s="598">
        <v>5.5E-2</v>
      </c>
      <c r="AR274" s="599">
        <v>0.06</v>
      </c>
      <c r="AS274" s="586"/>
      <c r="AT274" s="587"/>
      <c r="AU274" s="587"/>
      <c r="AV274" s="588"/>
      <c r="AW274" s="589"/>
      <c r="AX274" s="596">
        <v>0.03</v>
      </c>
      <c r="AY274" s="598">
        <v>3.3000000000000002E-2</v>
      </c>
      <c r="AZ274" s="598">
        <v>3.5999999999999997E-2</v>
      </c>
      <c r="BA274" s="598">
        <v>3.9E-2</v>
      </c>
      <c r="BB274" s="598">
        <v>4.2000000000000003E-2</v>
      </c>
      <c r="BC274" s="590"/>
      <c r="BD274" s="631"/>
      <c r="BE274" s="596"/>
      <c r="BF274" s="598"/>
      <c r="BG274" s="598"/>
      <c r="BH274" s="598"/>
      <c r="BI274" s="598"/>
      <c r="BJ274" s="598"/>
      <c r="BK274" s="605"/>
      <c r="BL274" s="658">
        <f t="shared" si="253"/>
        <v>14200</v>
      </c>
      <c r="BM274" s="3">
        <f t="shared" si="254"/>
        <v>42</v>
      </c>
      <c r="BN274" s="3">
        <f t="shared" si="255"/>
        <v>32</v>
      </c>
      <c r="BO274" s="3">
        <f t="shared" si="256"/>
        <v>26</v>
      </c>
    </row>
    <row r="275" spans="2:67">
      <c r="B275" s="1269" t="s">
        <v>721</v>
      </c>
      <c r="C275" s="1265" t="s">
        <v>719</v>
      </c>
      <c r="D275" s="1265" t="s">
        <v>720</v>
      </c>
      <c r="E275" s="1267" t="s">
        <v>65</v>
      </c>
      <c r="F275" s="592">
        <v>272</v>
      </c>
      <c r="G275" s="593">
        <v>8680</v>
      </c>
      <c r="H275" s="594">
        <v>7280</v>
      </c>
      <c r="I275" s="595">
        <v>12040</v>
      </c>
      <c r="J275" s="166">
        <f t="shared" si="243"/>
        <v>173</v>
      </c>
      <c r="K275" s="167">
        <f t="shared" si="244"/>
        <v>145</v>
      </c>
      <c r="L275" s="168">
        <f t="shared" si="245"/>
        <v>240</v>
      </c>
      <c r="M275" s="166">
        <f t="shared" si="246"/>
        <v>217</v>
      </c>
      <c r="N275" s="167">
        <f t="shared" si="247"/>
        <v>182</v>
      </c>
      <c r="O275" s="168">
        <f t="shared" si="248"/>
        <v>301</v>
      </c>
      <c r="P275" s="169">
        <f t="shared" si="249"/>
        <v>325</v>
      </c>
      <c r="Q275" s="169">
        <f t="shared" si="250"/>
        <v>273</v>
      </c>
      <c r="R275" s="169">
        <f t="shared" si="251"/>
        <v>451</v>
      </c>
      <c r="S275" s="584">
        <f t="shared" si="223"/>
        <v>2170</v>
      </c>
      <c r="T275" s="594">
        <f t="shared" si="224"/>
        <v>1820</v>
      </c>
      <c r="U275" s="595">
        <f t="shared" si="225"/>
        <v>3010</v>
      </c>
      <c r="V275" s="166">
        <f t="shared" si="226"/>
        <v>4947</v>
      </c>
      <c r="W275" s="167">
        <f t="shared" si="227"/>
        <v>4149</v>
      </c>
      <c r="X275" s="168">
        <f t="shared" si="228"/>
        <v>6862</v>
      </c>
      <c r="Y275" s="166">
        <f t="shared" si="229"/>
        <v>5272</v>
      </c>
      <c r="Z275" s="167">
        <f t="shared" si="230"/>
        <v>4968</v>
      </c>
      <c r="AA275" s="168">
        <f t="shared" si="231"/>
        <v>7764</v>
      </c>
      <c r="AB275" s="166">
        <f t="shared" si="232"/>
        <v>6247</v>
      </c>
      <c r="AC275" s="167">
        <f t="shared" si="233"/>
        <v>5241</v>
      </c>
      <c r="AD275" s="168">
        <f t="shared" si="234"/>
        <v>9117</v>
      </c>
      <c r="AE275" s="166">
        <f t="shared" si="235"/>
        <v>7547</v>
      </c>
      <c r="AF275" s="167">
        <f t="shared" si="236"/>
        <v>5787</v>
      </c>
      <c r="AG275" s="168">
        <f t="shared" si="237"/>
        <v>10019</v>
      </c>
      <c r="AH275" s="166">
        <f t="shared" si="252"/>
        <v>8197</v>
      </c>
      <c r="AI275" s="167">
        <f t="shared" si="238"/>
        <v>6879</v>
      </c>
      <c r="AJ275" s="168">
        <f t="shared" si="239"/>
        <v>10921</v>
      </c>
      <c r="AK275" s="169">
        <f t="shared" si="240"/>
        <v>8853</v>
      </c>
      <c r="AL275" s="167">
        <f t="shared" si="241"/>
        <v>7425</v>
      </c>
      <c r="AM275" s="585">
        <f t="shared" si="242"/>
        <v>12280</v>
      </c>
      <c r="AN275" s="596">
        <v>0.03</v>
      </c>
      <c r="AO275" s="597">
        <v>3.5000000000000003E-2</v>
      </c>
      <c r="AP275" s="597">
        <v>0.04</v>
      </c>
      <c r="AQ275" s="598">
        <v>4.4999999999999998E-2</v>
      </c>
      <c r="AR275" s="599">
        <v>0.05</v>
      </c>
      <c r="AS275" s="596">
        <v>0.17</v>
      </c>
      <c r="AT275" s="598">
        <v>0.17499999999999999</v>
      </c>
      <c r="AU275" s="598">
        <v>0.18</v>
      </c>
      <c r="AV275" s="598">
        <v>0.185</v>
      </c>
      <c r="AW275" s="599">
        <v>0.19</v>
      </c>
      <c r="AX275" s="596">
        <v>7.0000000000000007E-2</v>
      </c>
      <c r="AY275" s="598">
        <v>7.4999999999999997E-2</v>
      </c>
      <c r="AZ275" s="598">
        <v>0.08</v>
      </c>
      <c r="BA275" s="598">
        <v>8.5000000000000006E-2</v>
      </c>
      <c r="BB275" s="598">
        <v>0.09</v>
      </c>
      <c r="BC275" s="590"/>
      <c r="BD275" s="631"/>
      <c r="BE275" s="596"/>
      <c r="BF275" s="598"/>
      <c r="BG275" s="598"/>
      <c r="BH275" s="598"/>
      <c r="BI275" s="598"/>
      <c r="BJ275" s="598"/>
      <c r="BK275" s="605"/>
      <c r="BL275" s="658">
        <f t="shared" si="253"/>
        <v>28000</v>
      </c>
      <c r="BM275" s="3">
        <f t="shared" si="254"/>
        <v>31</v>
      </c>
      <c r="BN275" s="3">
        <f t="shared" si="255"/>
        <v>26</v>
      </c>
      <c r="BO275" s="3">
        <f t="shared" si="256"/>
        <v>43</v>
      </c>
    </row>
    <row r="276" spans="2:67">
      <c r="B276" s="207" t="s">
        <v>722</v>
      </c>
      <c r="C276" s="883" t="s">
        <v>723</v>
      </c>
      <c r="D276" s="883" t="s">
        <v>724</v>
      </c>
      <c r="E276" s="238" t="s">
        <v>65</v>
      </c>
      <c r="F276" s="592">
        <v>273</v>
      </c>
      <c r="G276" s="593">
        <v>6363</v>
      </c>
      <c r="H276" s="594">
        <v>4300</v>
      </c>
      <c r="I276" s="595">
        <v>6534</v>
      </c>
      <c r="J276" s="166">
        <f t="shared" si="243"/>
        <v>127</v>
      </c>
      <c r="K276" s="167">
        <f t="shared" si="244"/>
        <v>86</v>
      </c>
      <c r="L276" s="168">
        <f t="shared" si="245"/>
        <v>130</v>
      </c>
      <c r="M276" s="166">
        <f t="shared" si="246"/>
        <v>190</v>
      </c>
      <c r="N276" s="167">
        <f t="shared" si="247"/>
        <v>129</v>
      </c>
      <c r="O276" s="168">
        <f t="shared" si="248"/>
        <v>196</v>
      </c>
      <c r="P276" s="169">
        <f t="shared" si="249"/>
        <v>254</v>
      </c>
      <c r="Q276" s="169">
        <f t="shared" si="250"/>
        <v>172</v>
      </c>
      <c r="R276" s="169">
        <f t="shared" si="251"/>
        <v>261</v>
      </c>
      <c r="S276" s="584">
        <f t="shared" si="223"/>
        <v>1909</v>
      </c>
      <c r="T276" s="594">
        <f t="shared" si="224"/>
        <v>1290</v>
      </c>
      <c r="U276" s="595">
        <f t="shared" si="225"/>
        <v>1960</v>
      </c>
      <c r="V276" s="166">
        <f t="shared" si="226"/>
        <v>3936</v>
      </c>
      <c r="W276" s="167">
        <f t="shared" si="227"/>
        <v>2666</v>
      </c>
      <c r="X276" s="168">
        <f t="shared" si="228"/>
        <v>4050</v>
      </c>
      <c r="Y276" s="166">
        <f t="shared" si="229"/>
        <v>4444</v>
      </c>
      <c r="Z276" s="167">
        <f t="shared" si="230"/>
        <v>3010</v>
      </c>
      <c r="AA276" s="168">
        <f t="shared" si="231"/>
        <v>4572</v>
      </c>
      <c r="AB276" s="166">
        <f t="shared" si="232"/>
        <v>4952</v>
      </c>
      <c r="AC276" s="167">
        <f t="shared" si="233"/>
        <v>3354</v>
      </c>
      <c r="AD276" s="168">
        <f t="shared" si="234"/>
        <v>5094</v>
      </c>
      <c r="AE276" s="166">
        <f t="shared" si="235"/>
        <v>5460</v>
      </c>
      <c r="AF276" s="167">
        <f t="shared" si="236"/>
        <v>3526</v>
      </c>
      <c r="AG276" s="168">
        <f t="shared" si="237"/>
        <v>5616</v>
      </c>
      <c r="AH276" s="166">
        <f t="shared" si="252"/>
        <v>5714</v>
      </c>
      <c r="AI276" s="167">
        <f t="shared" si="238"/>
        <v>3870</v>
      </c>
      <c r="AJ276" s="168">
        <f t="shared" si="239"/>
        <v>6399</v>
      </c>
      <c r="AK276" s="169">
        <f t="shared" si="240"/>
        <v>6490</v>
      </c>
      <c r="AL276" s="167">
        <f t="shared" si="241"/>
        <v>4386</v>
      </c>
      <c r="AM276" s="585">
        <f t="shared" si="242"/>
        <v>6664</v>
      </c>
      <c r="AN276" s="596">
        <v>0.05</v>
      </c>
      <c r="AO276" s="597">
        <v>5.5E-2</v>
      </c>
      <c r="AP276" s="597">
        <v>0.06</v>
      </c>
      <c r="AQ276" s="598">
        <v>6.5000000000000002E-2</v>
      </c>
      <c r="AR276" s="599">
        <v>7.0000000000000007E-2</v>
      </c>
      <c r="AS276" s="586"/>
      <c r="AT276" s="587"/>
      <c r="AU276" s="587"/>
      <c r="AV276" s="588"/>
      <c r="AW276" s="589"/>
      <c r="AX276" s="596">
        <v>0.03</v>
      </c>
      <c r="AY276" s="598">
        <v>3.5000000000000003E-2</v>
      </c>
      <c r="AZ276" s="598">
        <v>0.04</v>
      </c>
      <c r="BA276" s="598">
        <v>4.4999999999999998E-2</v>
      </c>
      <c r="BB276" s="598">
        <v>0.05</v>
      </c>
      <c r="BC276" s="590"/>
      <c r="BD276" s="631"/>
      <c r="BE276" s="596"/>
      <c r="BF276" s="598"/>
      <c r="BG276" s="598"/>
      <c r="BH276" s="598"/>
      <c r="BI276" s="598"/>
      <c r="BJ276" s="598"/>
      <c r="BK276" s="605"/>
      <c r="BL276" s="658">
        <f t="shared" si="253"/>
        <v>17200</v>
      </c>
      <c r="BM276" s="3">
        <f t="shared" si="254"/>
        <v>37</v>
      </c>
      <c r="BN276" s="3">
        <f t="shared" si="255"/>
        <v>25</v>
      </c>
      <c r="BO276" s="3">
        <f t="shared" si="256"/>
        <v>38</v>
      </c>
    </row>
    <row r="277" spans="2:67">
      <c r="B277" s="207" t="s">
        <v>743</v>
      </c>
      <c r="C277" s="890" t="s">
        <v>741</v>
      </c>
      <c r="D277" s="890" t="s">
        <v>747</v>
      </c>
      <c r="E277" s="238" t="s">
        <v>65</v>
      </c>
      <c r="F277" s="592">
        <v>274</v>
      </c>
      <c r="G277" s="593">
        <v>11549</v>
      </c>
      <c r="H277" s="594">
        <v>6049</v>
      </c>
      <c r="I277" s="595">
        <v>9900</v>
      </c>
      <c r="J277" s="166">
        <f t="shared" si="243"/>
        <v>231</v>
      </c>
      <c r="K277" s="167">
        <f t="shared" si="244"/>
        <v>121</v>
      </c>
      <c r="L277" s="168">
        <f t="shared" si="245"/>
        <v>198</v>
      </c>
      <c r="M277" s="166">
        <f t="shared" si="246"/>
        <v>288</v>
      </c>
      <c r="N277" s="167">
        <f t="shared" si="247"/>
        <v>151</v>
      </c>
      <c r="O277" s="168">
        <f t="shared" si="248"/>
        <v>247</v>
      </c>
      <c r="P277" s="169">
        <f t="shared" si="249"/>
        <v>433</v>
      </c>
      <c r="Q277" s="169">
        <f t="shared" si="250"/>
        <v>226</v>
      </c>
      <c r="R277" s="169">
        <f t="shared" si="251"/>
        <v>371</v>
      </c>
      <c r="S277" s="584">
        <f t="shared" si="223"/>
        <v>2887</v>
      </c>
      <c r="T277" s="594">
        <f t="shared" si="224"/>
        <v>1512</v>
      </c>
      <c r="U277" s="595">
        <f t="shared" si="225"/>
        <v>2475</v>
      </c>
      <c r="V277" s="166">
        <f t="shared" si="226"/>
        <v>6574</v>
      </c>
      <c r="W277" s="167">
        <f t="shared" si="227"/>
        <v>3445</v>
      </c>
      <c r="X277" s="168">
        <f t="shared" si="228"/>
        <v>5637</v>
      </c>
      <c r="Y277" s="166">
        <f t="shared" si="229"/>
        <v>7440</v>
      </c>
      <c r="Z277" s="167">
        <f t="shared" si="230"/>
        <v>3671</v>
      </c>
      <c r="AA277" s="168">
        <f t="shared" si="231"/>
        <v>6750</v>
      </c>
      <c r="AB277" s="166">
        <f t="shared" si="232"/>
        <v>8739</v>
      </c>
      <c r="AC277" s="167">
        <f t="shared" si="233"/>
        <v>4349</v>
      </c>
      <c r="AD277" s="168">
        <f t="shared" si="234"/>
        <v>7121</v>
      </c>
      <c r="AE277" s="166">
        <f t="shared" si="235"/>
        <v>9605</v>
      </c>
      <c r="AF277" s="167">
        <f t="shared" si="236"/>
        <v>5253</v>
      </c>
      <c r="AG277" s="168">
        <f t="shared" si="237"/>
        <v>7863</v>
      </c>
      <c r="AH277" s="166">
        <f t="shared" si="252"/>
        <v>10471</v>
      </c>
      <c r="AI277" s="167">
        <f t="shared" si="238"/>
        <v>5705</v>
      </c>
      <c r="AJ277" s="168">
        <f t="shared" si="239"/>
        <v>9347</v>
      </c>
      <c r="AK277" s="169">
        <f t="shared" si="240"/>
        <v>11780</v>
      </c>
      <c r="AL277" s="167">
        <f t="shared" si="241"/>
        <v>6170</v>
      </c>
      <c r="AM277" s="585">
        <f t="shared" si="242"/>
        <v>10098</v>
      </c>
      <c r="AN277" s="596">
        <v>0.25</v>
      </c>
      <c r="AO277" s="597">
        <v>0.28000000000000003</v>
      </c>
      <c r="AP277" s="597">
        <v>0.31</v>
      </c>
      <c r="AQ277" s="598">
        <v>0.34</v>
      </c>
      <c r="AR277" s="599">
        <v>0.37</v>
      </c>
      <c r="AS277" s="586"/>
      <c r="AT277" s="587"/>
      <c r="AU277" s="587"/>
      <c r="AV277" s="588"/>
      <c r="AW277" s="589"/>
      <c r="AX277" s="596">
        <v>0.04</v>
      </c>
      <c r="AY277" s="598">
        <v>4.2999999999999997E-2</v>
      </c>
      <c r="AZ277" s="598">
        <v>4.5999999999999999E-2</v>
      </c>
      <c r="BA277" s="598">
        <v>4.9000000000000002E-2</v>
      </c>
      <c r="BB277" s="598">
        <v>5.1999999999999998E-2</v>
      </c>
      <c r="BC277" s="590"/>
      <c r="BD277" s="631"/>
      <c r="BE277" s="596"/>
      <c r="BF277" s="598"/>
      <c r="BG277" s="598"/>
      <c r="BH277" s="598"/>
      <c r="BI277" s="598"/>
      <c r="BJ277" s="598"/>
      <c r="BK277" s="605"/>
      <c r="BL277" s="658">
        <f t="shared" si="253"/>
        <v>27500</v>
      </c>
      <c r="BM277" s="3">
        <f t="shared" si="254"/>
        <v>42</v>
      </c>
      <c r="BN277" s="3">
        <f t="shared" si="255"/>
        <v>22</v>
      </c>
      <c r="BO277" s="3">
        <f t="shared" si="256"/>
        <v>36</v>
      </c>
    </row>
    <row r="278" spans="2:67">
      <c r="B278" s="207" t="s">
        <v>745</v>
      </c>
      <c r="C278" s="890" t="s">
        <v>742</v>
      </c>
      <c r="D278" s="890" t="s">
        <v>751</v>
      </c>
      <c r="E278" s="238" t="s">
        <v>65</v>
      </c>
      <c r="F278" s="592">
        <v>275</v>
      </c>
      <c r="G278" s="593">
        <v>4643</v>
      </c>
      <c r="H278" s="594">
        <v>6880</v>
      </c>
      <c r="I278" s="595">
        <v>5674</v>
      </c>
      <c r="J278" s="166">
        <f t="shared" si="243"/>
        <v>92</v>
      </c>
      <c r="K278" s="167">
        <f t="shared" si="244"/>
        <v>137</v>
      </c>
      <c r="L278" s="168">
        <f t="shared" si="245"/>
        <v>113</v>
      </c>
      <c r="M278" s="166">
        <f t="shared" si="246"/>
        <v>139</v>
      </c>
      <c r="N278" s="167">
        <f t="shared" si="247"/>
        <v>206</v>
      </c>
      <c r="O278" s="168">
        <f t="shared" si="248"/>
        <v>170</v>
      </c>
      <c r="P278" s="169">
        <f t="shared" si="249"/>
        <v>185</v>
      </c>
      <c r="Q278" s="169">
        <f t="shared" si="250"/>
        <v>275</v>
      </c>
      <c r="R278" s="169">
        <f t="shared" si="251"/>
        <v>227</v>
      </c>
      <c r="S278" s="584">
        <f t="shared" si="223"/>
        <v>1393</v>
      </c>
      <c r="T278" s="594">
        <f t="shared" si="224"/>
        <v>2064</v>
      </c>
      <c r="U278" s="595">
        <f t="shared" si="225"/>
        <v>1702</v>
      </c>
      <c r="V278" s="166">
        <f t="shared" si="226"/>
        <v>2875</v>
      </c>
      <c r="W278" s="167">
        <f t="shared" si="227"/>
        <v>4261</v>
      </c>
      <c r="X278" s="168">
        <f t="shared" si="228"/>
        <v>3515</v>
      </c>
      <c r="Y278" s="166">
        <f t="shared" si="229"/>
        <v>3245</v>
      </c>
      <c r="Z278" s="167">
        <f t="shared" si="230"/>
        <v>4811</v>
      </c>
      <c r="AA278" s="168">
        <f t="shared" si="231"/>
        <v>3969</v>
      </c>
      <c r="AB278" s="166">
        <f t="shared" si="232"/>
        <v>3615</v>
      </c>
      <c r="AC278" s="167">
        <f t="shared" si="233"/>
        <v>5361</v>
      </c>
      <c r="AD278" s="168">
        <f t="shared" si="234"/>
        <v>4423</v>
      </c>
      <c r="AE278" s="166">
        <f t="shared" si="235"/>
        <v>3985</v>
      </c>
      <c r="AF278" s="167">
        <f t="shared" si="236"/>
        <v>5636</v>
      </c>
      <c r="AG278" s="168">
        <f t="shared" si="237"/>
        <v>4877</v>
      </c>
      <c r="AH278" s="166">
        <f t="shared" si="252"/>
        <v>4540</v>
      </c>
      <c r="AI278" s="167">
        <f t="shared" si="238"/>
        <v>6186</v>
      </c>
      <c r="AJ278" s="168">
        <f t="shared" si="239"/>
        <v>5104</v>
      </c>
      <c r="AK278" s="169">
        <f t="shared" si="240"/>
        <v>4735</v>
      </c>
      <c r="AL278" s="167">
        <f t="shared" si="241"/>
        <v>7017</v>
      </c>
      <c r="AM278" s="585">
        <f t="shared" si="242"/>
        <v>5787</v>
      </c>
      <c r="AN278" s="596">
        <v>0.2</v>
      </c>
      <c r="AO278" s="597">
        <v>0.23</v>
      </c>
      <c r="AP278" s="597">
        <v>0.26</v>
      </c>
      <c r="AQ278" s="598">
        <v>0.28999999999999998</v>
      </c>
      <c r="AR278" s="599">
        <v>0.32</v>
      </c>
      <c r="AS278" s="586"/>
      <c r="AT278" s="587"/>
      <c r="AU278" s="587"/>
      <c r="AV278" s="588"/>
      <c r="AW278" s="589"/>
      <c r="AX278" s="596">
        <v>0.05</v>
      </c>
      <c r="AY278" s="598">
        <v>5.5E-2</v>
      </c>
      <c r="AZ278" s="598">
        <v>0.06</v>
      </c>
      <c r="BA278" s="598">
        <v>6.5000000000000002E-2</v>
      </c>
      <c r="BB278" s="598">
        <v>7.0000000000000007E-2</v>
      </c>
      <c r="BC278" s="590"/>
      <c r="BD278" s="631"/>
      <c r="BE278" s="596"/>
      <c r="BF278" s="598"/>
      <c r="BG278" s="598"/>
      <c r="BH278" s="598"/>
      <c r="BI278" s="598"/>
      <c r="BJ278" s="598"/>
      <c r="BK278" s="605"/>
      <c r="BL278" s="658">
        <f t="shared" si="253"/>
        <v>17200</v>
      </c>
      <c r="BM278" s="3">
        <f t="shared" si="254"/>
        <v>27</v>
      </c>
      <c r="BN278" s="3">
        <f t="shared" si="255"/>
        <v>40</v>
      </c>
      <c r="BO278" s="3">
        <f t="shared" si="256"/>
        <v>33</v>
      </c>
    </row>
    <row r="279" spans="2:67">
      <c r="B279" s="1269" t="s">
        <v>744</v>
      </c>
      <c r="C279" s="1265" t="s">
        <v>741</v>
      </c>
      <c r="D279" s="1265" t="s">
        <v>751</v>
      </c>
      <c r="E279" s="238" t="s">
        <v>65</v>
      </c>
      <c r="F279" s="592">
        <v>276</v>
      </c>
      <c r="G279" s="593">
        <v>6160</v>
      </c>
      <c r="H279" s="594">
        <v>12600</v>
      </c>
      <c r="I279" s="595">
        <v>9240</v>
      </c>
      <c r="J279" s="166">
        <f t="shared" si="243"/>
        <v>123</v>
      </c>
      <c r="K279" s="167">
        <f t="shared" si="244"/>
        <v>252</v>
      </c>
      <c r="L279" s="168">
        <f t="shared" si="245"/>
        <v>184</v>
      </c>
      <c r="M279" s="166">
        <f t="shared" si="246"/>
        <v>154</v>
      </c>
      <c r="N279" s="167">
        <f t="shared" si="247"/>
        <v>315</v>
      </c>
      <c r="O279" s="168">
        <f t="shared" si="248"/>
        <v>231</v>
      </c>
      <c r="P279" s="169">
        <f t="shared" si="249"/>
        <v>231</v>
      </c>
      <c r="Q279" s="169">
        <f t="shared" si="250"/>
        <v>472</v>
      </c>
      <c r="R279" s="169">
        <f t="shared" si="251"/>
        <v>346</v>
      </c>
      <c r="S279" s="584">
        <f t="shared" si="223"/>
        <v>1540</v>
      </c>
      <c r="T279" s="594">
        <f t="shared" si="224"/>
        <v>3150</v>
      </c>
      <c r="U279" s="595">
        <f t="shared" si="225"/>
        <v>2310</v>
      </c>
      <c r="V279" s="166">
        <f t="shared" si="226"/>
        <v>3511</v>
      </c>
      <c r="W279" s="167">
        <f t="shared" si="227"/>
        <v>7182</v>
      </c>
      <c r="X279" s="168">
        <f t="shared" si="228"/>
        <v>5266</v>
      </c>
      <c r="Y279" s="166">
        <f t="shared" si="229"/>
        <v>4204</v>
      </c>
      <c r="Z279" s="167">
        <f t="shared" si="230"/>
        <v>8126</v>
      </c>
      <c r="AA279" s="168">
        <f t="shared" si="231"/>
        <v>5612</v>
      </c>
      <c r="AB279" s="166">
        <f t="shared" si="232"/>
        <v>4435</v>
      </c>
      <c r="AC279" s="167">
        <f t="shared" si="233"/>
        <v>9542</v>
      </c>
      <c r="AD279" s="168">
        <f t="shared" si="234"/>
        <v>6650</v>
      </c>
      <c r="AE279" s="166">
        <f t="shared" si="235"/>
        <v>4897</v>
      </c>
      <c r="AF279" s="167">
        <f t="shared" si="236"/>
        <v>10486</v>
      </c>
      <c r="AG279" s="168">
        <f t="shared" si="237"/>
        <v>8034</v>
      </c>
      <c r="AH279" s="166">
        <f t="shared" si="252"/>
        <v>5821</v>
      </c>
      <c r="AI279" s="167">
        <f t="shared" si="238"/>
        <v>11430</v>
      </c>
      <c r="AJ279" s="168">
        <f t="shared" si="239"/>
        <v>8726</v>
      </c>
      <c r="AK279" s="169">
        <f t="shared" si="240"/>
        <v>6283</v>
      </c>
      <c r="AL279" s="167">
        <f t="shared" si="241"/>
        <v>12852</v>
      </c>
      <c r="AM279" s="585">
        <f t="shared" si="242"/>
        <v>9424</v>
      </c>
      <c r="AN279" s="596">
        <v>0.2</v>
      </c>
      <c r="AO279" s="597">
        <v>0.23</v>
      </c>
      <c r="AP279" s="597">
        <v>0.26</v>
      </c>
      <c r="AQ279" s="598">
        <v>0.28999999999999998</v>
      </c>
      <c r="AR279" s="599">
        <v>0.32</v>
      </c>
      <c r="AS279" s="586"/>
      <c r="AT279" s="587"/>
      <c r="AU279" s="587"/>
      <c r="AV279" s="588"/>
      <c r="AW279" s="589"/>
      <c r="AX279" s="596">
        <v>0.05</v>
      </c>
      <c r="AY279" s="598">
        <v>5.5E-2</v>
      </c>
      <c r="AZ279" s="598">
        <v>0.06</v>
      </c>
      <c r="BA279" s="598">
        <v>6.5000000000000002E-2</v>
      </c>
      <c r="BB279" s="598">
        <v>7.0000000000000007E-2</v>
      </c>
      <c r="BC279" s="590"/>
      <c r="BD279" s="631"/>
      <c r="BE279" s="596"/>
      <c r="BF279" s="598"/>
      <c r="BG279" s="598"/>
      <c r="BH279" s="598"/>
      <c r="BI279" s="598"/>
      <c r="BJ279" s="598"/>
      <c r="BK279" s="605"/>
      <c r="BL279" s="658">
        <f t="shared" si="253"/>
        <v>28000</v>
      </c>
      <c r="BM279" s="3">
        <f t="shared" si="254"/>
        <v>22</v>
      </c>
      <c r="BN279" s="3">
        <f t="shared" si="255"/>
        <v>45</v>
      </c>
      <c r="BO279" s="3">
        <f t="shared" si="256"/>
        <v>33</v>
      </c>
    </row>
    <row r="280" spans="2:67">
      <c r="B280" s="1269" t="s">
        <v>757</v>
      </c>
      <c r="C280" s="1265" t="s">
        <v>741</v>
      </c>
      <c r="D280" s="1265" t="s">
        <v>758</v>
      </c>
      <c r="E280" s="1267" t="s">
        <v>125</v>
      </c>
      <c r="F280" s="592">
        <v>277</v>
      </c>
      <c r="G280" s="593">
        <v>8049</v>
      </c>
      <c r="H280" s="594">
        <v>5749</v>
      </c>
      <c r="I280" s="595">
        <v>9200</v>
      </c>
      <c r="J280" s="166">
        <f t="shared" si="243"/>
        <v>161</v>
      </c>
      <c r="K280" s="167">
        <f t="shared" si="244"/>
        <v>115</v>
      </c>
      <c r="L280" s="168">
        <f t="shared" si="245"/>
        <v>184</v>
      </c>
      <c r="M280" s="166">
        <f t="shared" si="246"/>
        <v>201</v>
      </c>
      <c r="N280" s="167">
        <f t="shared" si="247"/>
        <v>143</v>
      </c>
      <c r="O280" s="168">
        <f t="shared" si="248"/>
        <v>230</v>
      </c>
      <c r="P280" s="169">
        <f t="shared" si="249"/>
        <v>301</v>
      </c>
      <c r="Q280" s="169">
        <f t="shared" si="250"/>
        <v>215</v>
      </c>
      <c r="R280" s="169">
        <f t="shared" si="251"/>
        <v>345</v>
      </c>
      <c r="S280" s="584">
        <v>2012</v>
      </c>
      <c r="T280" s="594">
        <v>1495</v>
      </c>
      <c r="U280" s="595">
        <v>2242</v>
      </c>
      <c r="V280" s="166">
        <v>4585</v>
      </c>
      <c r="W280" s="167">
        <v>3330</v>
      </c>
      <c r="X280" s="168">
        <v>5181</v>
      </c>
      <c r="Y280" s="166">
        <v>4886</v>
      </c>
      <c r="Z280" s="167">
        <v>3760</v>
      </c>
      <c r="AA280" s="168">
        <v>6216</v>
      </c>
      <c r="AB280" s="166">
        <v>5789</v>
      </c>
      <c r="AC280" s="167">
        <v>4405</v>
      </c>
      <c r="AD280" s="168">
        <v>6561</v>
      </c>
      <c r="AE280" s="166">
        <v>6993</v>
      </c>
      <c r="AF280" s="167">
        <v>4835</v>
      </c>
      <c r="AG280" s="168">
        <v>7251</v>
      </c>
      <c r="AH280" s="166">
        <v>7595</v>
      </c>
      <c r="AI280" s="167">
        <v>5265</v>
      </c>
      <c r="AJ280" s="168">
        <v>8631</v>
      </c>
      <c r="AK280" s="169">
        <v>8210</v>
      </c>
      <c r="AL280" s="167">
        <v>5926</v>
      </c>
      <c r="AM280" s="585">
        <v>9321</v>
      </c>
      <c r="AN280" s="596">
        <v>0.28000000000000003</v>
      </c>
      <c r="AO280" s="597">
        <v>0.28499999999999998</v>
      </c>
      <c r="AP280" s="597">
        <v>0.28999999999999998</v>
      </c>
      <c r="AQ280" s="598">
        <v>0.29499999999999998</v>
      </c>
      <c r="AR280" s="599">
        <v>0.3</v>
      </c>
      <c r="AS280" s="586"/>
      <c r="AT280" s="587"/>
      <c r="AU280" s="587"/>
      <c r="AV280" s="588"/>
      <c r="AW280" s="589"/>
      <c r="AX280" s="596">
        <v>7.0000000000000007E-2</v>
      </c>
      <c r="AY280" s="598">
        <v>7.4999999999999997E-2</v>
      </c>
      <c r="AZ280" s="598">
        <v>0.08</v>
      </c>
      <c r="BA280" s="598">
        <v>8.5000000000000006E-2</v>
      </c>
      <c r="BB280" s="598">
        <v>0.09</v>
      </c>
      <c r="BC280" s="590"/>
      <c r="BD280" s="631"/>
      <c r="BE280" s="596"/>
      <c r="BF280" s="598"/>
      <c r="BG280" s="598"/>
      <c r="BH280" s="598"/>
      <c r="BI280" s="598"/>
      <c r="BJ280" s="598"/>
      <c r="BK280" s="605"/>
      <c r="BL280" s="658">
        <f t="shared" si="253"/>
        <v>23000</v>
      </c>
      <c r="BM280" s="3">
        <f t="shared" si="254"/>
        <v>35</v>
      </c>
      <c r="BN280" s="3">
        <f t="shared" si="255"/>
        <v>25</v>
      </c>
      <c r="BO280" s="3">
        <f t="shared" si="256"/>
        <v>40</v>
      </c>
    </row>
    <row r="281" spans="2:67">
      <c r="B281" s="207" t="s">
        <v>759</v>
      </c>
      <c r="C281" s="890" t="s">
        <v>742</v>
      </c>
      <c r="D281" s="890" t="s">
        <v>760</v>
      </c>
      <c r="E281" s="238" t="s">
        <v>125</v>
      </c>
      <c r="F281" s="592">
        <v>278</v>
      </c>
      <c r="G281" s="593">
        <v>5110</v>
      </c>
      <c r="H281" s="594">
        <v>3264</v>
      </c>
      <c r="I281" s="595">
        <v>5820</v>
      </c>
      <c r="J281" s="166">
        <f t="shared" si="243"/>
        <v>102</v>
      </c>
      <c r="K281" s="167">
        <f t="shared" si="244"/>
        <v>65</v>
      </c>
      <c r="L281" s="168">
        <f t="shared" si="245"/>
        <v>116</v>
      </c>
      <c r="M281" s="166">
        <f t="shared" si="246"/>
        <v>153</v>
      </c>
      <c r="N281" s="167">
        <f t="shared" si="247"/>
        <v>97</v>
      </c>
      <c r="O281" s="168">
        <f t="shared" si="248"/>
        <v>174</v>
      </c>
      <c r="P281" s="169">
        <f t="shared" si="249"/>
        <v>204</v>
      </c>
      <c r="Q281" s="169">
        <f t="shared" si="250"/>
        <v>130</v>
      </c>
      <c r="R281" s="169">
        <f t="shared" si="251"/>
        <v>232</v>
      </c>
      <c r="S281" s="584">
        <f t="shared" ref="S281:S344" si="257">ROUND(IF($C281="UR",G281*0.25,G281*0.3),0)</f>
        <v>1533</v>
      </c>
      <c r="T281" s="594">
        <f t="shared" ref="T281:T344" si="258">ROUND(IF($C281="UR",H281*0.25,H281*0.3),0)</f>
        <v>979</v>
      </c>
      <c r="U281" s="595">
        <f t="shared" ref="U281:U344" si="259">ROUND(IF($C281="UR",I281*0.25,I281*0.3),0)</f>
        <v>1746</v>
      </c>
      <c r="V281" s="166">
        <f t="shared" ref="V281:V344" si="260">(IF($C281="UR",IF($E281="party卡",18,12))+IF($C281="SR",10)+IF($C281="R",8))*M281+J281+S281</f>
        <v>3165</v>
      </c>
      <c r="W281" s="167">
        <f t="shared" ref="W281:W344" si="261">(IF($C281="UR",IF($E281="party卡",18,12))+IF($C281="SR",10)+IF($C281="R",8))*N281+K281+T281</f>
        <v>2014</v>
      </c>
      <c r="X281" s="168">
        <f t="shared" ref="X281:X344" si="262">(IF($C281="UR",IF($E281="party卡",18,12))+IF($C281="SR",10)+IF($C281="R",8))*O281+L281+U281</f>
        <v>3602</v>
      </c>
      <c r="Y281" s="166">
        <f t="shared" ref="Y281:Y344" si="263">V281+(IF(C281="UR",IF(E281="party卡",IF(D281="gd",1,2),IF(D281="vo",2)+IF(D281="sp",1)+IF(D281="gd",3)+IF(D281="sk",1)))+IF(C281="SR",2)+IF(C281="R",IF(D281="vo",1)+IF(D281="sp",2)+IF(D281="gd",1)+IF(D281="sk",2)))*P281</f>
        <v>3573</v>
      </c>
      <c r="Z281" s="167">
        <f t="shared" ref="Z281:Z344" si="264">W281+(IF(C281="UR",IF(E281="party卡",IF(D281="sp",1,2),IF(D281="vo",1)+IF(D281="sp",3)+IF(D281="gd",2)+IF(D281="sk",2)))+IF(C281="SR",2)+IF(C281="R",IF(D281="vo",2)+IF(D281="sp",1)+IF(D281="gd",1)+IF(D281="sk",1)))*Q281</f>
        <v>2274</v>
      </c>
      <c r="AA281" s="168">
        <f t="shared" ref="AA281:AA344" si="265">X281+(IF(C281="UR",IF(E281="party卡",IF(OR(D281="vo",D281="sk"),1,2),IF(D281="vo",3)+IF(D281="sp",2)+IF(D281="gd",1)+IF(D281="sk",3)))+IF(C281="SR",2)+IF(C281="R",IF(D281="vo",1)+IF(D281="sp",1)+IF(D281="gd",2)+IF(D281="sk",1)))*R281</f>
        <v>4066</v>
      </c>
      <c r="AB281" s="166">
        <f t="shared" ref="AB281:AB344" si="266">V281+(IF(C281="UR",IF(E281="party卡",IF(OR(D281="sp",D281="sk"),3,2),IF(D281="vo",5)+IF(D281="sp",4)+IF(D281="gd",4)+IF(D281="sk",4)))+IF(C281="SR",4)+IF(C281="R",IF(D281="vo",3)+IF(D281="sp",3)+IF(D281="gd",2)+IF(D281="sk",3)))*P281</f>
        <v>3981</v>
      </c>
      <c r="AC281" s="167">
        <f t="shared" ref="AC281:AC344" si="267">W281+(IF(C281="UR",IF(E281="party卡",IF(D281="vo",3,2),IF(D281="vo",4)+IF(D281="sp",4)+IF(D281="gd",5)+IF(D281="sk",5)))+IF(C281="SR",4)+IF(C281="R",IF(D281="vo",3)+IF(D281="sp",2)+IF(D281="gd",3)+IF(D281="sk",3)))*Q281</f>
        <v>2534</v>
      </c>
      <c r="AD281" s="168">
        <f t="shared" ref="AD281:AD344" si="268">X281+(IF(C281="UR",IF(E281="party卡",IF(D281="gd",3,2),IF(D281="vo",4)+IF(D281="sp",5)+IF(D281="gd",4)+IF(D281="sk",4)))+IF(C281="SR",4)+IF(C281="R",IF(D281="vo",2)+IF(D281="sp",3)+IF(D281="gd",3)+IF(D281="sk",2)))*R281</f>
        <v>4530</v>
      </c>
      <c r="AE281" s="166">
        <f t="shared" ref="AE281:AE344" si="269">V281+(IF(C281="UR",IF(E281="party卡",3,IF(D281="vo",7)+IF(D281="sp",8)+IF(D281="gd",6)+IF(D281="sk",8)))+IF(C281="SR",IF(D281="vo",5)+IF(D281="sp",6)+IF(D281="gd",6)+IF(D281="sk",6))+IF(C281="R",IF(D281="vo",5)+IF(D281="sp",4)+IF(D281="gd",4)+IF(D281="sk",4)))*P281</f>
        <v>4389</v>
      </c>
      <c r="AF281" s="167">
        <f t="shared" ref="AF281:AF344" si="270">W281+(IF(C281="UR",IF(E281="party卡",3,IF(D281="vo",8)+IF(D281="sp",6)+IF(D281="gd",7)+IF(D281="sk",7)))+IF(C281="SR",IF(D281="vo",6)+IF(D281="sp",6)+IF(D281="gd",5)+IF(D281="sk",5))+IF(C281="R",IF(D281="vo",4)+IF(D281="sp",4)+IF(D281="gd",5)+IF(D281="sk",5)))*Q281</f>
        <v>2794</v>
      </c>
      <c r="AG281" s="168">
        <f t="shared" ref="AG281:AG344" si="271">X281+(IF(C281="UR",IF(E281="party卡",3,IF(D281="vo",6)+IF(D281="sp",7)+IF(D281="gd",8)+IF(D281="sk",6)))+IF(C281="SR",IF(D281="vo",6)+IF(D281="sp",5)+IF(D281="gd",6)+IF(D281="sk",6))+IF(C281="R",IF(D281="vo",4)+IF(D281="sp",5)+IF(D281="gd",4)+IF(D281="sk",4)))*R281</f>
        <v>4762</v>
      </c>
      <c r="AH281" s="166">
        <f t="shared" ref="AH281:AH344" si="272">V281+(IF(C281="UR",IF(E281="party卡",4,IF(D281="vo",9)+IF(D281="sp",10)+IF(D281="gd",10)+IF(D281="sk",10)))+IF(C281="SR",IF(D281="vo",7)+IF(D281="sp",7)+IF(D281="gd",9)+IF(D281="sk",7))+IF(C281="R",IF(D281="vo",7)+IF(D281="sp",6)+IF(D281="gd",6)+IF(D281="sk",6)))*P281</f>
        <v>4593</v>
      </c>
      <c r="AI281" s="167">
        <f t="shared" ref="AI281:AI344" si="273">W281+(IF(C281="UR",IF(E281="party卡",4,IF(D281="vo",10)+IF(D281="sp",10)+IF(D281="gd",9)+IF(D281="sk",9)))+IF(C281="SR",IF(D281="vo",7)+IF(D281="sp",9)+IF(D281="gd",7)+IF(D281="sk",7))+IF(C281="R",IF(D281="vo",6)+IF(D281="sp",6)+IF(D281="gd",7)+IF(D281="sk",7)))*Q281</f>
        <v>3184</v>
      </c>
      <c r="AJ281" s="168">
        <f t="shared" ref="AJ281:AJ344" si="274">X281+(IF(C281="UR",IF(E281="party卡",4,IF(D281="vo",10)+IF(D281="sp",9)+IF(D281="gd",10)+IF(D281="sk",10)))+IF(C281="SR",IF(D281="vo",9)+IF(D281="sp",7)+IF(D281="gd",7)+IF(D281="sk",9))+IF(C281="R",IF(D281="vo",6)+IF(D281="sp",7)+IF(D281="gd",6)+IF(D281="sk",6)))*R281</f>
        <v>5226</v>
      </c>
      <c r="AK281" s="169">
        <f t="shared" ref="AK281:AK344" si="275">G281+J281</f>
        <v>5212</v>
      </c>
      <c r="AL281" s="167">
        <f t="shared" ref="AL281:AL344" si="276">H281+K281</f>
        <v>3329</v>
      </c>
      <c r="AM281" s="585">
        <f t="shared" ref="AM281:AM344" si="277">I281+L281</f>
        <v>5936</v>
      </c>
      <c r="AN281" s="596">
        <v>0.2</v>
      </c>
      <c r="AO281" s="597">
        <v>0.20499999999999999</v>
      </c>
      <c r="AP281" s="597">
        <v>0.21</v>
      </c>
      <c r="AQ281" s="598">
        <v>0.215</v>
      </c>
      <c r="AR281" s="599">
        <v>0.22</v>
      </c>
      <c r="AS281" s="586"/>
      <c r="AT281" s="587"/>
      <c r="AU281" s="587"/>
      <c r="AV281" s="588"/>
      <c r="AW281" s="589"/>
      <c r="AX281" s="596">
        <v>0.02</v>
      </c>
      <c r="AY281" s="598">
        <v>2.3E-2</v>
      </c>
      <c r="AZ281" s="598">
        <v>2.5999999999999999E-2</v>
      </c>
      <c r="BA281" s="598">
        <v>2.9000000000000001E-2</v>
      </c>
      <c r="BB281" s="598">
        <v>3.2000000000000001E-2</v>
      </c>
      <c r="BC281" s="590"/>
      <c r="BD281" s="631"/>
      <c r="BE281" s="596"/>
      <c r="BF281" s="598"/>
      <c r="BG281" s="598"/>
      <c r="BH281" s="598"/>
      <c r="BI281" s="598"/>
      <c r="BJ281" s="598"/>
      <c r="BK281" s="605"/>
      <c r="BL281" s="658">
        <f t="shared" si="253"/>
        <v>14200</v>
      </c>
      <c r="BM281" s="3">
        <f t="shared" si="254"/>
        <v>36</v>
      </c>
      <c r="BN281" s="3">
        <f t="shared" si="255"/>
        <v>23</v>
      </c>
      <c r="BO281" s="3">
        <f t="shared" si="256"/>
        <v>41</v>
      </c>
    </row>
    <row r="282" spans="2:67">
      <c r="B282" s="207" t="s">
        <v>763</v>
      </c>
      <c r="C282" s="890" t="s">
        <v>742</v>
      </c>
      <c r="D282" s="890" t="s">
        <v>751</v>
      </c>
      <c r="E282" s="238" t="s">
        <v>125</v>
      </c>
      <c r="F282" s="592">
        <v>279</v>
      </c>
      <c r="G282" s="593">
        <v>3690</v>
      </c>
      <c r="H282" s="594">
        <v>6530</v>
      </c>
      <c r="I282" s="595">
        <v>3974</v>
      </c>
      <c r="J282" s="166">
        <f t="shared" si="243"/>
        <v>73</v>
      </c>
      <c r="K282" s="167">
        <f t="shared" si="244"/>
        <v>130</v>
      </c>
      <c r="L282" s="168">
        <f t="shared" si="245"/>
        <v>79</v>
      </c>
      <c r="M282" s="166">
        <f t="shared" si="246"/>
        <v>110</v>
      </c>
      <c r="N282" s="167">
        <f t="shared" si="247"/>
        <v>195</v>
      </c>
      <c r="O282" s="168">
        <f t="shared" si="248"/>
        <v>119</v>
      </c>
      <c r="P282" s="169">
        <f t="shared" si="249"/>
        <v>147</v>
      </c>
      <c r="Q282" s="169">
        <f t="shared" si="250"/>
        <v>261</v>
      </c>
      <c r="R282" s="169">
        <f t="shared" si="251"/>
        <v>159</v>
      </c>
      <c r="S282" s="584">
        <f t="shared" si="257"/>
        <v>1107</v>
      </c>
      <c r="T282" s="594">
        <f t="shared" si="258"/>
        <v>1959</v>
      </c>
      <c r="U282" s="595">
        <f t="shared" si="259"/>
        <v>1192</v>
      </c>
      <c r="V282" s="166">
        <f t="shared" si="260"/>
        <v>2280</v>
      </c>
      <c r="W282" s="167">
        <f t="shared" si="261"/>
        <v>4039</v>
      </c>
      <c r="X282" s="168">
        <f t="shared" si="262"/>
        <v>2461</v>
      </c>
      <c r="Y282" s="166">
        <f t="shared" si="263"/>
        <v>2574</v>
      </c>
      <c r="Z282" s="167">
        <f t="shared" si="264"/>
        <v>4561</v>
      </c>
      <c r="AA282" s="168">
        <f t="shared" si="265"/>
        <v>2779</v>
      </c>
      <c r="AB282" s="166">
        <f t="shared" si="266"/>
        <v>2868</v>
      </c>
      <c r="AC282" s="167">
        <f t="shared" si="267"/>
        <v>5083</v>
      </c>
      <c r="AD282" s="168">
        <f t="shared" si="268"/>
        <v>3097</v>
      </c>
      <c r="AE282" s="166">
        <f t="shared" si="269"/>
        <v>3162</v>
      </c>
      <c r="AF282" s="167">
        <f t="shared" si="270"/>
        <v>5344</v>
      </c>
      <c r="AG282" s="168">
        <f t="shared" si="271"/>
        <v>3415</v>
      </c>
      <c r="AH282" s="166">
        <f t="shared" si="272"/>
        <v>3603</v>
      </c>
      <c r="AI282" s="167">
        <f t="shared" si="273"/>
        <v>5866</v>
      </c>
      <c r="AJ282" s="168">
        <f t="shared" si="274"/>
        <v>3574</v>
      </c>
      <c r="AK282" s="169">
        <f t="shared" si="275"/>
        <v>3763</v>
      </c>
      <c r="AL282" s="167">
        <f t="shared" si="276"/>
        <v>6660</v>
      </c>
      <c r="AM282" s="585">
        <f t="shared" si="277"/>
        <v>4053</v>
      </c>
      <c r="AN282" s="596">
        <v>0.06</v>
      </c>
      <c r="AO282" s="597">
        <v>7.0000000000000007E-2</v>
      </c>
      <c r="AP282" s="597">
        <v>0.08</v>
      </c>
      <c r="AQ282" s="598">
        <v>0.09</v>
      </c>
      <c r="AR282" s="599">
        <v>0.1</v>
      </c>
      <c r="AS282" s="586"/>
      <c r="AT282" s="587"/>
      <c r="AU282" s="587"/>
      <c r="AV282" s="588"/>
      <c r="AW282" s="589"/>
      <c r="AX282" s="596">
        <v>0.02</v>
      </c>
      <c r="AY282" s="598">
        <v>2.3E-2</v>
      </c>
      <c r="AZ282" s="598">
        <v>2.5999999999999999E-2</v>
      </c>
      <c r="BA282" s="598">
        <v>2.9000000000000001E-2</v>
      </c>
      <c r="BB282" s="598">
        <v>3.2000000000000001E-2</v>
      </c>
      <c r="BC282" s="590"/>
      <c r="BD282" s="631"/>
      <c r="BE282" s="596"/>
      <c r="BF282" s="598"/>
      <c r="BG282" s="598"/>
      <c r="BH282" s="598"/>
      <c r="BI282" s="598"/>
      <c r="BJ282" s="598"/>
      <c r="BK282" s="605"/>
      <c r="BL282" s="658">
        <f t="shared" si="253"/>
        <v>14200</v>
      </c>
      <c r="BM282" s="3">
        <f t="shared" si="254"/>
        <v>26</v>
      </c>
      <c r="BN282" s="3">
        <f t="shared" si="255"/>
        <v>46</v>
      </c>
      <c r="BO282" s="3">
        <f t="shared" si="256"/>
        <v>28</v>
      </c>
    </row>
    <row r="283" spans="2:67">
      <c r="B283" s="1269" t="s">
        <v>1983</v>
      </c>
      <c r="C283" s="1265" t="s">
        <v>309</v>
      </c>
      <c r="D283" s="1265" t="s">
        <v>769</v>
      </c>
      <c r="E283" s="1267" t="s">
        <v>126</v>
      </c>
      <c r="F283" s="1270">
        <v>280</v>
      </c>
      <c r="G283" s="593">
        <v>6600</v>
      </c>
      <c r="H283" s="594">
        <v>14400</v>
      </c>
      <c r="I283" s="595">
        <v>9000</v>
      </c>
      <c r="J283" s="166">
        <f t="shared" si="243"/>
        <v>132</v>
      </c>
      <c r="K283" s="167">
        <f t="shared" si="244"/>
        <v>288</v>
      </c>
      <c r="L283" s="168">
        <f t="shared" si="245"/>
        <v>180</v>
      </c>
      <c r="M283" s="166">
        <f t="shared" si="246"/>
        <v>165</v>
      </c>
      <c r="N283" s="167">
        <f t="shared" si="247"/>
        <v>360</v>
      </c>
      <c r="O283" s="168">
        <f t="shared" si="248"/>
        <v>225</v>
      </c>
      <c r="P283" s="169">
        <f t="shared" si="249"/>
        <v>247</v>
      </c>
      <c r="Q283" s="169">
        <f t="shared" si="250"/>
        <v>540</v>
      </c>
      <c r="R283" s="169">
        <f t="shared" si="251"/>
        <v>337</v>
      </c>
      <c r="S283" s="584">
        <f t="shared" si="257"/>
        <v>1650</v>
      </c>
      <c r="T283" s="594">
        <f t="shared" si="258"/>
        <v>3600</v>
      </c>
      <c r="U283" s="595">
        <f t="shared" si="259"/>
        <v>2250</v>
      </c>
      <c r="V283" s="166">
        <f t="shared" si="260"/>
        <v>3762</v>
      </c>
      <c r="W283" s="167">
        <f t="shared" si="261"/>
        <v>8208</v>
      </c>
      <c r="X283" s="168">
        <f t="shared" si="262"/>
        <v>5130</v>
      </c>
      <c r="Y283" s="166">
        <f t="shared" si="263"/>
        <v>4503</v>
      </c>
      <c r="Z283" s="167">
        <f t="shared" si="264"/>
        <v>9288</v>
      </c>
      <c r="AA283" s="168">
        <f t="shared" si="265"/>
        <v>5467</v>
      </c>
      <c r="AB283" s="166">
        <f t="shared" si="266"/>
        <v>4750</v>
      </c>
      <c r="AC283" s="167">
        <f t="shared" si="267"/>
        <v>10908</v>
      </c>
      <c r="AD283" s="168">
        <f t="shared" si="268"/>
        <v>6478</v>
      </c>
      <c r="AE283" s="166">
        <f t="shared" si="269"/>
        <v>5244</v>
      </c>
      <c r="AF283" s="167">
        <f t="shared" si="270"/>
        <v>11988</v>
      </c>
      <c r="AG283" s="168">
        <f t="shared" si="271"/>
        <v>7826</v>
      </c>
      <c r="AH283" s="166">
        <f t="shared" si="272"/>
        <v>6232</v>
      </c>
      <c r="AI283" s="167">
        <f t="shared" si="273"/>
        <v>13068</v>
      </c>
      <c r="AJ283" s="168">
        <f t="shared" si="274"/>
        <v>8500</v>
      </c>
      <c r="AK283" s="169">
        <f t="shared" si="275"/>
        <v>6732</v>
      </c>
      <c r="AL283" s="167">
        <f t="shared" si="276"/>
        <v>14688</v>
      </c>
      <c r="AM283" s="585">
        <f t="shared" si="277"/>
        <v>9180</v>
      </c>
      <c r="AN283" s="596">
        <v>0.28000000000000003</v>
      </c>
      <c r="AO283" s="597">
        <v>0.31</v>
      </c>
      <c r="AP283" s="597">
        <v>0.34</v>
      </c>
      <c r="AQ283" s="598">
        <v>0.37</v>
      </c>
      <c r="AR283" s="599">
        <v>0.4</v>
      </c>
      <c r="AS283" s="586"/>
      <c r="AT283" s="587"/>
      <c r="AU283" s="587"/>
      <c r="AV283" s="588"/>
      <c r="AW283" s="589"/>
      <c r="AX283" s="596">
        <v>0.04</v>
      </c>
      <c r="AY283" s="598">
        <v>4.2999999999999997E-2</v>
      </c>
      <c r="AZ283" s="598">
        <v>4.5999999999999999E-2</v>
      </c>
      <c r="BA283" s="598">
        <v>4.9000000000000002E-2</v>
      </c>
      <c r="BB283" s="598">
        <v>5.1999999999999998E-2</v>
      </c>
      <c r="BC283" s="590"/>
      <c r="BD283" s="631"/>
      <c r="BE283" s="596"/>
      <c r="BF283" s="598"/>
      <c r="BG283" s="598"/>
      <c r="BH283" s="598"/>
      <c r="BI283" s="598"/>
      <c r="BJ283" s="598"/>
      <c r="BK283" s="605"/>
      <c r="BL283" s="658">
        <f t="shared" si="253"/>
        <v>30000</v>
      </c>
      <c r="BM283" s="3">
        <f t="shared" si="254"/>
        <v>22</v>
      </c>
      <c r="BN283" s="3">
        <f t="shared" si="255"/>
        <v>48</v>
      </c>
      <c r="BO283" s="3">
        <f t="shared" si="256"/>
        <v>30</v>
      </c>
    </row>
    <row r="284" spans="2:67">
      <c r="B284" s="207" t="s">
        <v>1984</v>
      </c>
      <c r="C284" s="890" t="s">
        <v>309</v>
      </c>
      <c r="D284" s="890" t="s">
        <v>770</v>
      </c>
      <c r="E284" s="238" t="s">
        <v>126</v>
      </c>
      <c r="F284" s="592">
        <v>281</v>
      </c>
      <c r="G284" s="593">
        <v>11589</v>
      </c>
      <c r="H284" s="594">
        <v>6709</v>
      </c>
      <c r="I284" s="595">
        <v>12200</v>
      </c>
      <c r="J284" s="166">
        <f t="shared" si="243"/>
        <v>231</v>
      </c>
      <c r="K284" s="167">
        <f t="shared" si="244"/>
        <v>134</v>
      </c>
      <c r="L284" s="168">
        <f t="shared" si="245"/>
        <v>244</v>
      </c>
      <c r="M284" s="166">
        <f t="shared" si="246"/>
        <v>289</v>
      </c>
      <c r="N284" s="167">
        <f t="shared" si="247"/>
        <v>167</v>
      </c>
      <c r="O284" s="168">
        <f t="shared" si="248"/>
        <v>305</v>
      </c>
      <c r="P284" s="169">
        <f t="shared" si="249"/>
        <v>434</v>
      </c>
      <c r="Q284" s="169">
        <f t="shared" si="250"/>
        <v>251</v>
      </c>
      <c r="R284" s="169">
        <f t="shared" si="251"/>
        <v>457</v>
      </c>
      <c r="S284" s="584">
        <f t="shared" si="257"/>
        <v>2897</v>
      </c>
      <c r="T284" s="594">
        <f t="shared" si="258"/>
        <v>1677</v>
      </c>
      <c r="U284" s="595">
        <f t="shared" si="259"/>
        <v>3050</v>
      </c>
      <c r="V284" s="166">
        <f t="shared" si="260"/>
        <v>6596</v>
      </c>
      <c r="W284" s="167">
        <f t="shared" si="261"/>
        <v>3815</v>
      </c>
      <c r="X284" s="168">
        <f t="shared" si="262"/>
        <v>6954</v>
      </c>
      <c r="Y284" s="166">
        <f t="shared" si="263"/>
        <v>7030</v>
      </c>
      <c r="Z284" s="167">
        <f t="shared" si="264"/>
        <v>4317</v>
      </c>
      <c r="AA284" s="168">
        <f t="shared" si="265"/>
        <v>8325</v>
      </c>
      <c r="AB284" s="166">
        <f t="shared" si="266"/>
        <v>8332</v>
      </c>
      <c r="AC284" s="167">
        <f t="shared" si="267"/>
        <v>5070</v>
      </c>
      <c r="AD284" s="168">
        <f t="shared" si="268"/>
        <v>8782</v>
      </c>
      <c r="AE284" s="166">
        <f t="shared" si="269"/>
        <v>10068</v>
      </c>
      <c r="AF284" s="167">
        <f t="shared" si="270"/>
        <v>5572</v>
      </c>
      <c r="AG284" s="168">
        <f t="shared" si="271"/>
        <v>9696</v>
      </c>
      <c r="AH284" s="166">
        <f t="shared" si="272"/>
        <v>10936</v>
      </c>
      <c r="AI284" s="167">
        <f t="shared" si="273"/>
        <v>6074</v>
      </c>
      <c r="AJ284" s="168">
        <f t="shared" si="274"/>
        <v>11524</v>
      </c>
      <c r="AK284" s="169">
        <f t="shared" si="275"/>
        <v>11820</v>
      </c>
      <c r="AL284" s="167">
        <f t="shared" si="276"/>
        <v>6843</v>
      </c>
      <c r="AM284" s="585">
        <f t="shared" si="277"/>
        <v>12444</v>
      </c>
      <c r="AN284" s="596">
        <v>0.16</v>
      </c>
      <c r="AO284" s="597">
        <v>0.16500000000000001</v>
      </c>
      <c r="AP284" s="597">
        <v>0.17</v>
      </c>
      <c r="AQ284" s="598">
        <v>0.17499999999999999</v>
      </c>
      <c r="AR284" s="599">
        <v>0.18</v>
      </c>
      <c r="AS284" s="586"/>
      <c r="AT284" s="587"/>
      <c r="AU284" s="587"/>
      <c r="AV284" s="588"/>
      <c r="AW284" s="589"/>
      <c r="AX284" s="596">
        <v>0.04</v>
      </c>
      <c r="AY284" s="598">
        <v>4.2999999999999997E-2</v>
      </c>
      <c r="AZ284" s="598">
        <v>4.5999999999999999E-2</v>
      </c>
      <c r="BA284" s="598">
        <v>4.9000000000000002E-2</v>
      </c>
      <c r="BB284" s="598">
        <v>5.1999999999999998E-2</v>
      </c>
      <c r="BC284" s="590"/>
      <c r="BD284" s="631"/>
      <c r="BE284" s="596"/>
      <c r="BF284" s="598"/>
      <c r="BG284" s="598"/>
      <c r="BH284" s="598"/>
      <c r="BI284" s="598"/>
      <c r="BJ284" s="598"/>
      <c r="BK284" s="605"/>
      <c r="BL284" s="658">
        <f t="shared" si="253"/>
        <v>30500</v>
      </c>
      <c r="BM284" s="3">
        <f t="shared" si="254"/>
        <v>38</v>
      </c>
      <c r="BN284" s="3">
        <f t="shared" si="255"/>
        <v>22</v>
      </c>
      <c r="BO284" s="3">
        <f t="shared" si="256"/>
        <v>40</v>
      </c>
    </row>
    <row r="285" spans="2:67">
      <c r="B285" s="207" t="s">
        <v>774</v>
      </c>
      <c r="C285" s="890" t="s">
        <v>775</v>
      </c>
      <c r="D285" s="890" t="s">
        <v>776</v>
      </c>
      <c r="E285" s="238" t="s">
        <v>65</v>
      </c>
      <c r="F285" s="592">
        <v>282</v>
      </c>
      <c r="G285" s="593">
        <v>6190</v>
      </c>
      <c r="H285" s="594">
        <v>5160</v>
      </c>
      <c r="I285" s="595">
        <v>5847</v>
      </c>
      <c r="J285" s="166">
        <f t="shared" si="243"/>
        <v>123</v>
      </c>
      <c r="K285" s="167">
        <f t="shared" si="244"/>
        <v>103</v>
      </c>
      <c r="L285" s="168">
        <f t="shared" si="245"/>
        <v>116</v>
      </c>
      <c r="M285" s="166">
        <f t="shared" si="246"/>
        <v>185</v>
      </c>
      <c r="N285" s="167">
        <f t="shared" si="247"/>
        <v>154</v>
      </c>
      <c r="O285" s="168">
        <f t="shared" si="248"/>
        <v>175</v>
      </c>
      <c r="P285" s="169">
        <f t="shared" si="249"/>
        <v>247</v>
      </c>
      <c r="Q285" s="169">
        <f t="shared" si="250"/>
        <v>206</v>
      </c>
      <c r="R285" s="169">
        <f t="shared" si="251"/>
        <v>233</v>
      </c>
      <c r="S285" s="584">
        <f t="shared" si="257"/>
        <v>1857</v>
      </c>
      <c r="T285" s="594">
        <f t="shared" si="258"/>
        <v>1548</v>
      </c>
      <c r="U285" s="595">
        <f t="shared" si="259"/>
        <v>1754</v>
      </c>
      <c r="V285" s="166">
        <f t="shared" si="260"/>
        <v>3830</v>
      </c>
      <c r="W285" s="167">
        <f t="shared" si="261"/>
        <v>3191</v>
      </c>
      <c r="X285" s="168">
        <f t="shared" si="262"/>
        <v>3620</v>
      </c>
      <c r="Y285" s="166">
        <f t="shared" si="263"/>
        <v>4324</v>
      </c>
      <c r="Z285" s="167">
        <f t="shared" si="264"/>
        <v>3603</v>
      </c>
      <c r="AA285" s="168">
        <f t="shared" si="265"/>
        <v>4086</v>
      </c>
      <c r="AB285" s="166">
        <f t="shared" si="266"/>
        <v>4818</v>
      </c>
      <c r="AC285" s="167">
        <f t="shared" si="267"/>
        <v>4015</v>
      </c>
      <c r="AD285" s="168">
        <f t="shared" si="268"/>
        <v>4552</v>
      </c>
      <c r="AE285" s="166">
        <f t="shared" si="269"/>
        <v>5065</v>
      </c>
      <c r="AF285" s="167">
        <f t="shared" si="270"/>
        <v>4427</v>
      </c>
      <c r="AG285" s="168">
        <f t="shared" si="271"/>
        <v>5018</v>
      </c>
      <c r="AH285" s="166">
        <f t="shared" si="272"/>
        <v>5559</v>
      </c>
      <c r="AI285" s="167">
        <f t="shared" si="273"/>
        <v>4633</v>
      </c>
      <c r="AJ285" s="168">
        <f t="shared" si="274"/>
        <v>5717</v>
      </c>
      <c r="AK285" s="169">
        <f t="shared" si="275"/>
        <v>6313</v>
      </c>
      <c r="AL285" s="167">
        <f t="shared" si="276"/>
        <v>5263</v>
      </c>
      <c r="AM285" s="585">
        <f t="shared" si="277"/>
        <v>5963</v>
      </c>
      <c r="AN285" s="596">
        <v>0.04</v>
      </c>
      <c r="AO285" s="597">
        <v>4.2999999999999997E-2</v>
      </c>
      <c r="AP285" s="597">
        <v>4.5999999999999999E-2</v>
      </c>
      <c r="AQ285" s="598">
        <v>4.9000000000000002E-2</v>
      </c>
      <c r="AR285" s="599">
        <v>5.1999999999999998E-2</v>
      </c>
      <c r="AS285" s="586"/>
      <c r="AT285" s="587"/>
      <c r="AU285" s="587"/>
      <c r="AV285" s="588"/>
      <c r="AW285" s="589"/>
      <c r="AX285" s="596">
        <v>0.03</v>
      </c>
      <c r="AY285" s="598">
        <v>3.3000000000000002E-2</v>
      </c>
      <c r="AZ285" s="598">
        <v>3.5999999999999997E-2</v>
      </c>
      <c r="BA285" s="598">
        <v>3.9E-2</v>
      </c>
      <c r="BB285" s="598">
        <v>4.2000000000000003E-2</v>
      </c>
      <c r="BC285" s="590"/>
      <c r="BD285" s="631"/>
      <c r="BE285" s="596"/>
      <c r="BF285" s="598"/>
      <c r="BG285" s="598"/>
      <c r="BH285" s="598"/>
      <c r="BI285" s="598"/>
      <c r="BJ285" s="598"/>
      <c r="BK285" s="605"/>
      <c r="BL285" s="658">
        <f t="shared" si="253"/>
        <v>17200</v>
      </c>
      <c r="BM285" s="3">
        <f t="shared" si="254"/>
        <v>36</v>
      </c>
      <c r="BN285" s="3">
        <f t="shared" si="255"/>
        <v>30</v>
      </c>
      <c r="BO285" s="3">
        <f t="shared" si="256"/>
        <v>34</v>
      </c>
    </row>
    <row r="286" spans="2:67">
      <c r="B286" s="207" t="s">
        <v>777</v>
      </c>
      <c r="C286" s="890" t="s">
        <v>775</v>
      </c>
      <c r="D286" s="890" t="s">
        <v>778</v>
      </c>
      <c r="E286" s="238" t="s">
        <v>65</v>
      </c>
      <c r="F286" s="592">
        <v>283</v>
      </c>
      <c r="G286" s="593">
        <v>5847</v>
      </c>
      <c r="H286" s="594">
        <v>4300</v>
      </c>
      <c r="I286" s="595">
        <v>7050</v>
      </c>
      <c r="J286" s="166">
        <f t="shared" si="243"/>
        <v>116</v>
      </c>
      <c r="K286" s="167">
        <f t="shared" si="244"/>
        <v>86</v>
      </c>
      <c r="L286" s="168">
        <f t="shared" si="245"/>
        <v>141</v>
      </c>
      <c r="M286" s="166">
        <f t="shared" si="246"/>
        <v>175</v>
      </c>
      <c r="N286" s="167">
        <f t="shared" si="247"/>
        <v>129</v>
      </c>
      <c r="O286" s="168">
        <f t="shared" si="248"/>
        <v>211</v>
      </c>
      <c r="P286" s="169">
        <f t="shared" si="249"/>
        <v>233</v>
      </c>
      <c r="Q286" s="169">
        <f t="shared" si="250"/>
        <v>172</v>
      </c>
      <c r="R286" s="169">
        <f t="shared" si="251"/>
        <v>282</v>
      </c>
      <c r="S286" s="584">
        <f t="shared" si="257"/>
        <v>1754</v>
      </c>
      <c r="T286" s="594">
        <f t="shared" si="258"/>
        <v>1290</v>
      </c>
      <c r="U286" s="595">
        <f t="shared" si="259"/>
        <v>2115</v>
      </c>
      <c r="V286" s="166">
        <f t="shared" si="260"/>
        <v>3620</v>
      </c>
      <c r="W286" s="167">
        <f t="shared" si="261"/>
        <v>2666</v>
      </c>
      <c r="X286" s="168">
        <f t="shared" si="262"/>
        <v>4366</v>
      </c>
      <c r="Y286" s="166">
        <f t="shared" si="263"/>
        <v>4086</v>
      </c>
      <c r="Z286" s="167">
        <f t="shared" si="264"/>
        <v>3010</v>
      </c>
      <c r="AA286" s="168">
        <f t="shared" si="265"/>
        <v>4930</v>
      </c>
      <c r="AB286" s="166">
        <f t="shared" si="266"/>
        <v>4552</v>
      </c>
      <c r="AC286" s="167">
        <f t="shared" si="267"/>
        <v>3354</v>
      </c>
      <c r="AD286" s="168">
        <f t="shared" si="268"/>
        <v>5494</v>
      </c>
      <c r="AE286" s="166">
        <f t="shared" si="269"/>
        <v>5018</v>
      </c>
      <c r="AF286" s="167">
        <f t="shared" si="270"/>
        <v>3698</v>
      </c>
      <c r="AG286" s="168">
        <f t="shared" si="271"/>
        <v>5776</v>
      </c>
      <c r="AH286" s="166">
        <f t="shared" si="272"/>
        <v>5251</v>
      </c>
      <c r="AI286" s="167">
        <f t="shared" si="273"/>
        <v>4214</v>
      </c>
      <c r="AJ286" s="168">
        <f t="shared" si="274"/>
        <v>6340</v>
      </c>
      <c r="AK286" s="169">
        <f t="shared" si="275"/>
        <v>5963</v>
      </c>
      <c r="AL286" s="167">
        <f t="shared" si="276"/>
        <v>4386</v>
      </c>
      <c r="AM286" s="585">
        <f t="shared" si="277"/>
        <v>7191</v>
      </c>
      <c r="AN286" s="596">
        <v>3.6999999999999998E-2</v>
      </c>
      <c r="AO286" s="597">
        <v>3.9E-2</v>
      </c>
      <c r="AP286" s="597">
        <v>4.1000000000000002E-2</v>
      </c>
      <c r="AQ286" s="598">
        <v>4.2999999999999997E-2</v>
      </c>
      <c r="AR286" s="599">
        <v>4.4999999999999998E-2</v>
      </c>
      <c r="AS286" s="586"/>
      <c r="AT286" s="587"/>
      <c r="AU286" s="587"/>
      <c r="AV286" s="588"/>
      <c r="AW286" s="589"/>
      <c r="AX286" s="596">
        <v>0.02</v>
      </c>
      <c r="AY286" s="598">
        <v>2.3E-2</v>
      </c>
      <c r="AZ286" s="598">
        <v>2.5999999999999999E-2</v>
      </c>
      <c r="BA286" s="598">
        <v>2.9000000000000001E-2</v>
      </c>
      <c r="BB286" s="598">
        <v>3.2000000000000001E-2</v>
      </c>
      <c r="BC286" s="590"/>
      <c r="BD286" s="631"/>
      <c r="BE286" s="596"/>
      <c r="BF286" s="598"/>
      <c r="BG286" s="598"/>
      <c r="BH286" s="598"/>
      <c r="BI286" s="598"/>
      <c r="BJ286" s="598"/>
      <c r="BK286" s="605"/>
      <c r="BL286" s="658">
        <f t="shared" si="253"/>
        <v>17200</v>
      </c>
      <c r="BM286" s="3">
        <f t="shared" si="254"/>
        <v>34</v>
      </c>
      <c r="BN286" s="3">
        <f t="shared" si="255"/>
        <v>25</v>
      </c>
      <c r="BO286" s="3">
        <f t="shared" si="256"/>
        <v>41</v>
      </c>
    </row>
    <row r="287" spans="2:67">
      <c r="B287" s="207" t="s">
        <v>805</v>
      </c>
      <c r="C287" s="890" t="s">
        <v>803</v>
      </c>
      <c r="D287" s="890" t="s">
        <v>807</v>
      </c>
      <c r="E287" s="238" t="s">
        <v>65</v>
      </c>
      <c r="F287" s="592">
        <v>284</v>
      </c>
      <c r="G287" s="593">
        <v>4553</v>
      </c>
      <c r="H287" s="594">
        <v>2173</v>
      </c>
      <c r="I287" s="595">
        <v>3621</v>
      </c>
      <c r="J287" s="166">
        <f t="shared" si="243"/>
        <v>91</v>
      </c>
      <c r="K287" s="167">
        <f t="shared" si="244"/>
        <v>43</v>
      </c>
      <c r="L287" s="168">
        <f t="shared" si="245"/>
        <v>72</v>
      </c>
      <c r="M287" s="166">
        <f t="shared" si="246"/>
        <v>170</v>
      </c>
      <c r="N287" s="167">
        <f t="shared" si="247"/>
        <v>81</v>
      </c>
      <c r="O287" s="168">
        <f t="shared" si="248"/>
        <v>135</v>
      </c>
      <c r="P287" s="169">
        <f t="shared" si="249"/>
        <v>227</v>
      </c>
      <c r="Q287" s="169">
        <f t="shared" si="250"/>
        <v>108</v>
      </c>
      <c r="R287" s="169">
        <f t="shared" si="251"/>
        <v>181</v>
      </c>
      <c r="S287" s="584">
        <f t="shared" si="257"/>
        <v>1366</v>
      </c>
      <c r="T287" s="594">
        <f t="shared" si="258"/>
        <v>652</v>
      </c>
      <c r="U287" s="595">
        <f t="shared" si="259"/>
        <v>1086</v>
      </c>
      <c r="V287" s="166">
        <f t="shared" si="260"/>
        <v>2817</v>
      </c>
      <c r="W287" s="167">
        <f t="shared" si="261"/>
        <v>1343</v>
      </c>
      <c r="X287" s="168">
        <f t="shared" si="262"/>
        <v>2238</v>
      </c>
      <c r="Y287" s="166">
        <f t="shared" si="263"/>
        <v>3044</v>
      </c>
      <c r="Z287" s="167">
        <f t="shared" si="264"/>
        <v>1559</v>
      </c>
      <c r="AA287" s="168">
        <f t="shared" si="265"/>
        <v>2419</v>
      </c>
      <c r="AB287" s="166">
        <f t="shared" si="266"/>
        <v>3498</v>
      </c>
      <c r="AC287" s="167">
        <f t="shared" si="267"/>
        <v>1667</v>
      </c>
      <c r="AD287" s="168">
        <f t="shared" si="268"/>
        <v>2600</v>
      </c>
      <c r="AE287" s="166">
        <f t="shared" si="269"/>
        <v>3952</v>
      </c>
      <c r="AF287" s="167">
        <f t="shared" si="270"/>
        <v>1775</v>
      </c>
      <c r="AG287" s="168">
        <f t="shared" si="271"/>
        <v>2962</v>
      </c>
      <c r="AH287" s="166">
        <f t="shared" si="272"/>
        <v>4406</v>
      </c>
      <c r="AI287" s="167">
        <f t="shared" si="273"/>
        <v>1991</v>
      </c>
      <c r="AJ287" s="168">
        <f t="shared" si="274"/>
        <v>3324</v>
      </c>
      <c r="AK287" s="169">
        <f t="shared" si="275"/>
        <v>4644</v>
      </c>
      <c r="AL287" s="167">
        <f t="shared" si="276"/>
        <v>2216</v>
      </c>
      <c r="AM287" s="585">
        <f t="shared" si="277"/>
        <v>3693</v>
      </c>
      <c r="AN287" s="603">
        <v>110</v>
      </c>
      <c r="AO287" s="604">
        <v>120</v>
      </c>
      <c r="AP287" s="604">
        <v>130</v>
      </c>
      <c r="AQ287" s="588">
        <v>140</v>
      </c>
      <c r="AR287" s="589">
        <v>150</v>
      </c>
      <c r="AS287" s="586"/>
      <c r="AT287" s="587"/>
      <c r="AU287" s="587"/>
      <c r="AV287" s="588"/>
      <c r="AW287" s="589"/>
      <c r="AX287" s="596">
        <v>0.02</v>
      </c>
      <c r="AY287" s="598">
        <v>2.5000000000000001E-2</v>
      </c>
      <c r="AZ287" s="598">
        <v>0.03</v>
      </c>
      <c r="BA287" s="598">
        <v>3.5000000000000003E-2</v>
      </c>
      <c r="BB287" s="598">
        <v>0.04</v>
      </c>
      <c r="BC287" s="590"/>
      <c r="BD287" s="631"/>
      <c r="BE287" s="596"/>
      <c r="BF287" s="598"/>
      <c r="BG287" s="598"/>
      <c r="BH287" s="598"/>
      <c r="BI287" s="598"/>
      <c r="BJ287" s="598"/>
      <c r="BK287" s="605"/>
      <c r="BL287" s="658">
        <f t="shared" si="253"/>
        <v>10350</v>
      </c>
      <c r="BM287" s="3">
        <f t="shared" si="254"/>
        <v>44</v>
      </c>
      <c r="BN287" s="3">
        <f t="shared" si="255"/>
        <v>21</v>
      </c>
      <c r="BO287" s="3">
        <f t="shared" si="256"/>
        <v>35</v>
      </c>
    </row>
    <row r="288" spans="2:67">
      <c r="B288" s="207" t="s">
        <v>806</v>
      </c>
      <c r="C288" s="875" t="s">
        <v>803</v>
      </c>
      <c r="D288" s="875" t="s">
        <v>809</v>
      </c>
      <c r="E288" s="238" t="s">
        <v>65</v>
      </c>
      <c r="F288" s="592">
        <v>285</v>
      </c>
      <c r="G288" s="593">
        <v>3554</v>
      </c>
      <c r="H288" s="594">
        <v>4147</v>
      </c>
      <c r="I288" s="595">
        <v>4147</v>
      </c>
      <c r="J288" s="166">
        <f t="shared" si="243"/>
        <v>71</v>
      </c>
      <c r="K288" s="167">
        <f t="shared" si="244"/>
        <v>82</v>
      </c>
      <c r="L288" s="168">
        <f t="shared" si="245"/>
        <v>82</v>
      </c>
      <c r="M288" s="166">
        <f t="shared" si="246"/>
        <v>133</v>
      </c>
      <c r="N288" s="167">
        <f t="shared" si="247"/>
        <v>155</v>
      </c>
      <c r="O288" s="168">
        <f t="shared" si="248"/>
        <v>155</v>
      </c>
      <c r="P288" s="169">
        <f t="shared" si="249"/>
        <v>177</v>
      </c>
      <c r="Q288" s="169">
        <f t="shared" si="250"/>
        <v>207</v>
      </c>
      <c r="R288" s="169">
        <f t="shared" si="251"/>
        <v>207</v>
      </c>
      <c r="S288" s="584">
        <f t="shared" si="257"/>
        <v>1066</v>
      </c>
      <c r="T288" s="594">
        <f t="shared" si="258"/>
        <v>1244</v>
      </c>
      <c r="U288" s="595">
        <f t="shared" si="259"/>
        <v>1244</v>
      </c>
      <c r="V288" s="166">
        <f t="shared" si="260"/>
        <v>2201</v>
      </c>
      <c r="W288" s="167">
        <f t="shared" si="261"/>
        <v>2566</v>
      </c>
      <c r="X288" s="168">
        <f t="shared" si="262"/>
        <v>2566</v>
      </c>
      <c r="Y288" s="166">
        <f t="shared" si="263"/>
        <v>2555</v>
      </c>
      <c r="Z288" s="167">
        <f t="shared" si="264"/>
        <v>2773</v>
      </c>
      <c r="AA288" s="168">
        <f t="shared" si="265"/>
        <v>2773</v>
      </c>
      <c r="AB288" s="166">
        <f t="shared" si="266"/>
        <v>2732</v>
      </c>
      <c r="AC288" s="167">
        <f t="shared" si="267"/>
        <v>3187</v>
      </c>
      <c r="AD288" s="168">
        <f t="shared" si="268"/>
        <v>2980</v>
      </c>
      <c r="AE288" s="166">
        <f t="shared" si="269"/>
        <v>2909</v>
      </c>
      <c r="AF288" s="167">
        <f t="shared" si="270"/>
        <v>3601</v>
      </c>
      <c r="AG288" s="168">
        <f t="shared" si="271"/>
        <v>3394</v>
      </c>
      <c r="AH288" s="166">
        <f t="shared" si="272"/>
        <v>3263</v>
      </c>
      <c r="AI288" s="167">
        <f t="shared" si="273"/>
        <v>4015</v>
      </c>
      <c r="AJ288" s="168">
        <f t="shared" si="274"/>
        <v>3808</v>
      </c>
      <c r="AK288" s="169">
        <f t="shared" si="275"/>
        <v>3625</v>
      </c>
      <c r="AL288" s="167">
        <f t="shared" si="276"/>
        <v>4229</v>
      </c>
      <c r="AM288" s="585">
        <f t="shared" si="277"/>
        <v>4229</v>
      </c>
      <c r="AN288" s="596">
        <v>0.03</v>
      </c>
      <c r="AO288" s="597">
        <v>3.5000000000000003E-2</v>
      </c>
      <c r="AP288" s="597">
        <v>0.04</v>
      </c>
      <c r="AQ288" s="598">
        <v>4.4999999999999998E-2</v>
      </c>
      <c r="AR288" s="599">
        <v>0.05</v>
      </c>
      <c r="AS288" s="586"/>
      <c r="AT288" s="587"/>
      <c r="AU288" s="587"/>
      <c r="AV288" s="588"/>
      <c r="AW288" s="589"/>
      <c r="AX288" s="596">
        <v>0.01</v>
      </c>
      <c r="AY288" s="598">
        <v>1.2999999999999999E-2</v>
      </c>
      <c r="AZ288" s="598">
        <v>1.6E-2</v>
      </c>
      <c r="BA288" s="598">
        <v>1.9E-2</v>
      </c>
      <c r="BB288" s="598">
        <v>2.1999999999999999E-2</v>
      </c>
      <c r="BC288" s="590"/>
      <c r="BD288" s="631"/>
      <c r="BE288" s="596"/>
      <c r="BF288" s="598"/>
      <c r="BG288" s="598"/>
      <c r="BH288" s="598"/>
      <c r="BI288" s="598"/>
      <c r="BJ288" s="598"/>
      <c r="BK288" s="605"/>
      <c r="BL288" s="658">
        <f t="shared" si="253"/>
        <v>11850</v>
      </c>
      <c r="BM288" s="3">
        <f t="shared" si="254"/>
        <v>30</v>
      </c>
      <c r="BN288" s="3">
        <f t="shared" si="255"/>
        <v>35</v>
      </c>
      <c r="BO288" s="3">
        <f t="shared" si="256"/>
        <v>35</v>
      </c>
    </row>
    <row r="289" spans="2:67">
      <c r="B289" s="207" t="s">
        <v>924</v>
      </c>
      <c r="C289" s="890" t="s">
        <v>804</v>
      </c>
      <c r="D289" s="890" t="s">
        <v>808</v>
      </c>
      <c r="E289" s="238" t="s">
        <v>65</v>
      </c>
      <c r="F289" s="592">
        <v>286</v>
      </c>
      <c r="G289" s="593">
        <v>5503</v>
      </c>
      <c r="H289" s="594">
        <v>4814</v>
      </c>
      <c r="I289" s="595">
        <v>6880</v>
      </c>
      <c r="J289" s="166">
        <f t="shared" si="243"/>
        <v>110</v>
      </c>
      <c r="K289" s="167">
        <f t="shared" si="244"/>
        <v>96</v>
      </c>
      <c r="L289" s="168">
        <f t="shared" si="245"/>
        <v>137</v>
      </c>
      <c r="M289" s="166">
        <f t="shared" si="246"/>
        <v>165</v>
      </c>
      <c r="N289" s="167">
        <f t="shared" si="247"/>
        <v>144</v>
      </c>
      <c r="O289" s="168">
        <f t="shared" si="248"/>
        <v>206</v>
      </c>
      <c r="P289" s="169">
        <f t="shared" si="249"/>
        <v>220</v>
      </c>
      <c r="Q289" s="169">
        <f t="shared" si="250"/>
        <v>192</v>
      </c>
      <c r="R289" s="169">
        <f t="shared" si="251"/>
        <v>275</v>
      </c>
      <c r="S289" s="584">
        <f t="shared" si="257"/>
        <v>1651</v>
      </c>
      <c r="T289" s="594">
        <f t="shared" si="258"/>
        <v>1444</v>
      </c>
      <c r="U289" s="595">
        <f t="shared" si="259"/>
        <v>2064</v>
      </c>
      <c r="V289" s="166">
        <f t="shared" si="260"/>
        <v>3411</v>
      </c>
      <c r="W289" s="167">
        <f t="shared" si="261"/>
        <v>2980</v>
      </c>
      <c r="X289" s="168">
        <f t="shared" si="262"/>
        <v>4261</v>
      </c>
      <c r="Y289" s="166">
        <f t="shared" si="263"/>
        <v>3851</v>
      </c>
      <c r="Z289" s="167">
        <f t="shared" si="264"/>
        <v>3364</v>
      </c>
      <c r="AA289" s="168">
        <f t="shared" si="265"/>
        <v>4811</v>
      </c>
      <c r="AB289" s="166">
        <f t="shared" si="266"/>
        <v>4291</v>
      </c>
      <c r="AC289" s="167">
        <f t="shared" si="267"/>
        <v>3748</v>
      </c>
      <c r="AD289" s="168">
        <f t="shared" si="268"/>
        <v>5361</v>
      </c>
      <c r="AE289" s="166">
        <f t="shared" si="269"/>
        <v>4731</v>
      </c>
      <c r="AF289" s="167">
        <f t="shared" si="270"/>
        <v>4132</v>
      </c>
      <c r="AG289" s="168">
        <f t="shared" si="271"/>
        <v>5636</v>
      </c>
      <c r="AH289" s="166">
        <f t="shared" si="272"/>
        <v>4951</v>
      </c>
      <c r="AI289" s="167">
        <f t="shared" si="273"/>
        <v>4708</v>
      </c>
      <c r="AJ289" s="168">
        <f t="shared" si="274"/>
        <v>6186</v>
      </c>
      <c r="AK289" s="169">
        <f t="shared" si="275"/>
        <v>5613</v>
      </c>
      <c r="AL289" s="167">
        <f t="shared" si="276"/>
        <v>4910</v>
      </c>
      <c r="AM289" s="585">
        <f t="shared" si="277"/>
        <v>7017</v>
      </c>
      <c r="AN289" s="596">
        <v>0.2</v>
      </c>
      <c r="AO289" s="597">
        <v>0.20499999999999999</v>
      </c>
      <c r="AP289" s="597">
        <v>0.21</v>
      </c>
      <c r="AQ289" s="598">
        <v>0.215</v>
      </c>
      <c r="AR289" s="599">
        <v>0.22</v>
      </c>
      <c r="AS289" s="586"/>
      <c r="AT289" s="587"/>
      <c r="AU289" s="587"/>
      <c r="AV289" s="588"/>
      <c r="AW289" s="589"/>
      <c r="AX289" s="596">
        <v>0.02</v>
      </c>
      <c r="AY289" s="598">
        <v>2.3E-2</v>
      </c>
      <c r="AZ289" s="598">
        <v>2.5999999999999999E-2</v>
      </c>
      <c r="BA289" s="598">
        <v>2.9000000000000001E-2</v>
      </c>
      <c r="BB289" s="598">
        <v>3.2000000000000001E-2</v>
      </c>
      <c r="BC289" s="590"/>
      <c r="BD289" s="631"/>
      <c r="BE289" s="596"/>
      <c r="BF289" s="598"/>
      <c r="BG289" s="598"/>
      <c r="BH289" s="598"/>
      <c r="BI289" s="598"/>
      <c r="BJ289" s="598"/>
      <c r="BK289" s="605"/>
      <c r="BL289" s="658">
        <f t="shared" si="253"/>
        <v>17200</v>
      </c>
      <c r="BM289" s="3">
        <f t="shared" si="254"/>
        <v>32</v>
      </c>
      <c r="BN289" s="3">
        <f t="shared" si="255"/>
        <v>28</v>
      </c>
      <c r="BO289" s="3">
        <f t="shared" si="256"/>
        <v>40</v>
      </c>
    </row>
    <row r="290" spans="2:67">
      <c r="B290" s="1269" t="s">
        <v>788</v>
      </c>
      <c r="C290" s="1265" t="s">
        <v>786</v>
      </c>
      <c r="D290" s="1265" t="s">
        <v>787</v>
      </c>
      <c r="E290" s="1267" t="s">
        <v>65</v>
      </c>
      <c r="F290" s="592">
        <v>287</v>
      </c>
      <c r="G290" s="593">
        <v>9240</v>
      </c>
      <c r="H290" s="594">
        <v>7000</v>
      </c>
      <c r="I290" s="595">
        <v>11760</v>
      </c>
      <c r="J290" s="166">
        <f t="shared" si="243"/>
        <v>184</v>
      </c>
      <c r="K290" s="167">
        <f t="shared" si="244"/>
        <v>140</v>
      </c>
      <c r="L290" s="168">
        <f t="shared" si="245"/>
        <v>235</v>
      </c>
      <c r="M290" s="166">
        <f t="shared" si="246"/>
        <v>231</v>
      </c>
      <c r="N290" s="167">
        <f t="shared" si="247"/>
        <v>175</v>
      </c>
      <c r="O290" s="168">
        <f t="shared" si="248"/>
        <v>294</v>
      </c>
      <c r="P290" s="169">
        <f t="shared" si="249"/>
        <v>346</v>
      </c>
      <c r="Q290" s="169">
        <f t="shared" si="250"/>
        <v>262</v>
      </c>
      <c r="R290" s="169">
        <f t="shared" si="251"/>
        <v>441</v>
      </c>
      <c r="S290" s="584">
        <f t="shared" si="257"/>
        <v>2310</v>
      </c>
      <c r="T290" s="594">
        <f t="shared" si="258"/>
        <v>1750</v>
      </c>
      <c r="U290" s="595">
        <f t="shared" si="259"/>
        <v>2940</v>
      </c>
      <c r="V290" s="166">
        <f t="shared" si="260"/>
        <v>5266</v>
      </c>
      <c r="W290" s="167">
        <f t="shared" si="261"/>
        <v>3990</v>
      </c>
      <c r="X290" s="168">
        <f t="shared" si="262"/>
        <v>6703</v>
      </c>
      <c r="Y290" s="166">
        <f t="shared" si="263"/>
        <v>5612</v>
      </c>
      <c r="Z290" s="167">
        <f t="shared" si="264"/>
        <v>4514</v>
      </c>
      <c r="AA290" s="168">
        <f t="shared" si="265"/>
        <v>8026</v>
      </c>
      <c r="AB290" s="166">
        <f t="shared" si="266"/>
        <v>6650</v>
      </c>
      <c r="AC290" s="167">
        <f t="shared" si="267"/>
        <v>5300</v>
      </c>
      <c r="AD290" s="168">
        <f t="shared" si="268"/>
        <v>8467</v>
      </c>
      <c r="AE290" s="166">
        <f t="shared" si="269"/>
        <v>8034</v>
      </c>
      <c r="AF290" s="167">
        <f t="shared" si="270"/>
        <v>5824</v>
      </c>
      <c r="AG290" s="168">
        <f t="shared" si="271"/>
        <v>9349</v>
      </c>
      <c r="AH290" s="166">
        <f t="shared" si="272"/>
        <v>8726</v>
      </c>
      <c r="AI290" s="167">
        <f t="shared" si="273"/>
        <v>6348</v>
      </c>
      <c r="AJ290" s="168">
        <f t="shared" si="274"/>
        <v>11113</v>
      </c>
      <c r="AK290" s="169">
        <f t="shared" si="275"/>
        <v>9424</v>
      </c>
      <c r="AL290" s="167">
        <f t="shared" si="276"/>
        <v>7140</v>
      </c>
      <c r="AM290" s="585">
        <f t="shared" si="277"/>
        <v>11995</v>
      </c>
      <c r="AN290" s="596">
        <v>7.0000000000000007E-2</v>
      </c>
      <c r="AO290" s="597">
        <v>7.2999999999999995E-2</v>
      </c>
      <c r="AP290" s="597">
        <v>7.5999999999999998E-2</v>
      </c>
      <c r="AQ290" s="598">
        <v>7.9000000000000001E-2</v>
      </c>
      <c r="AR290" s="599">
        <v>8.2000000000000003E-2</v>
      </c>
      <c r="AS290" s="586"/>
      <c r="AT290" s="587"/>
      <c r="AU290" s="587"/>
      <c r="AV290" s="588"/>
      <c r="AW290" s="589"/>
      <c r="AX290" s="596">
        <v>0.04</v>
      </c>
      <c r="AY290" s="598">
        <v>4.2999999999999997E-2</v>
      </c>
      <c r="AZ290" s="598">
        <v>4.5999999999999999E-2</v>
      </c>
      <c r="BA290" s="598">
        <v>4.9000000000000002E-2</v>
      </c>
      <c r="BB290" s="598">
        <v>5.1999999999999998E-2</v>
      </c>
      <c r="BC290" s="590"/>
      <c r="BD290" s="631"/>
      <c r="BE290" s="596"/>
      <c r="BF290" s="598"/>
      <c r="BG290" s="598"/>
      <c r="BH290" s="598"/>
      <c r="BI290" s="598"/>
      <c r="BJ290" s="598"/>
      <c r="BK290" s="605"/>
      <c r="BL290" s="658">
        <f t="shared" si="253"/>
        <v>28000</v>
      </c>
      <c r="BM290" s="3">
        <f t="shared" si="254"/>
        <v>33</v>
      </c>
      <c r="BN290" s="3">
        <f t="shared" si="255"/>
        <v>25</v>
      </c>
      <c r="BO290" s="3">
        <f t="shared" si="256"/>
        <v>42</v>
      </c>
    </row>
    <row r="291" spans="2:67">
      <c r="B291" s="207" t="s">
        <v>816</v>
      </c>
      <c r="C291" s="890" t="s">
        <v>804</v>
      </c>
      <c r="D291" s="890" t="s">
        <v>817</v>
      </c>
      <c r="E291" s="238" t="s">
        <v>65</v>
      </c>
      <c r="F291" s="592">
        <v>288</v>
      </c>
      <c r="G291" s="593">
        <v>4814</v>
      </c>
      <c r="H291" s="594">
        <v>6707</v>
      </c>
      <c r="I291" s="595">
        <v>5674</v>
      </c>
      <c r="J291" s="166">
        <f t="shared" si="243"/>
        <v>96</v>
      </c>
      <c r="K291" s="167">
        <f t="shared" si="244"/>
        <v>134</v>
      </c>
      <c r="L291" s="168">
        <f t="shared" si="245"/>
        <v>113</v>
      </c>
      <c r="M291" s="166">
        <f t="shared" si="246"/>
        <v>144</v>
      </c>
      <c r="N291" s="167">
        <f t="shared" si="247"/>
        <v>201</v>
      </c>
      <c r="O291" s="168">
        <f t="shared" si="248"/>
        <v>170</v>
      </c>
      <c r="P291" s="169">
        <f t="shared" si="249"/>
        <v>192</v>
      </c>
      <c r="Q291" s="169">
        <f t="shared" si="250"/>
        <v>268</v>
      </c>
      <c r="R291" s="169">
        <f t="shared" si="251"/>
        <v>227</v>
      </c>
      <c r="S291" s="584">
        <f t="shared" si="257"/>
        <v>1444</v>
      </c>
      <c r="T291" s="594">
        <f t="shared" si="258"/>
        <v>2012</v>
      </c>
      <c r="U291" s="595">
        <f t="shared" si="259"/>
        <v>1702</v>
      </c>
      <c r="V291" s="166">
        <f t="shared" si="260"/>
        <v>2980</v>
      </c>
      <c r="W291" s="167">
        <f t="shared" si="261"/>
        <v>4156</v>
      </c>
      <c r="X291" s="168">
        <f t="shared" si="262"/>
        <v>3515</v>
      </c>
      <c r="Y291" s="166">
        <f t="shared" si="263"/>
        <v>3364</v>
      </c>
      <c r="Z291" s="167">
        <f t="shared" si="264"/>
        <v>4692</v>
      </c>
      <c r="AA291" s="168">
        <f t="shared" si="265"/>
        <v>3969</v>
      </c>
      <c r="AB291" s="166">
        <f t="shared" si="266"/>
        <v>3748</v>
      </c>
      <c r="AC291" s="167">
        <f t="shared" si="267"/>
        <v>5228</v>
      </c>
      <c r="AD291" s="168">
        <f t="shared" si="268"/>
        <v>4423</v>
      </c>
      <c r="AE291" s="166">
        <f t="shared" si="269"/>
        <v>4132</v>
      </c>
      <c r="AF291" s="167">
        <f t="shared" si="270"/>
        <v>5496</v>
      </c>
      <c r="AG291" s="168">
        <f t="shared" si="271"/>
        <v>4877</v>
      </c>
      <c r="AH291" s="166">
        <f t="shared" si="272"/>
        <v>4708</v>
      </c>
      <c r="AI291" s="167">
        <f t="shared" si="273"/>
        <v>6032</v>
      </c>
      <c r="AJ291" s="168">
        <f t="shared" si="274"/>
        <v>5104</v>
      </c>
      <c r="AK291" s="169">
        <f t="shared" si="275"/>
        <v>4910</v>
      </c>
      <c r="AL291" s="167">
        <f t="shared" si="276"/>
        <v>6841</v>
      </c>
      <c r="AM291" s="585">
        <f t="shared" si="277"/>
        <v>5787</v>
      </c>
      <c r="AN291" s="596">
        <v>0.15</v>
      </c>
      <c r="AO291" s="597">
        <v>0.18</v>
      </c>
      <c r="AP291" s="597">
        <v>0.21</v>
      </c>
      <c r="AQ291" s="598">
        <v>0.24</v>
      </c>
      <c r="AR291" s="599">
        <v>0.27</v>
      </c>
      <c r="AS291" s="586"/>
      <c r="AT291" s="587"/>
      <c r="AU291" s="587"/>
      <c r="AV291" s="588"/>
      <c r="AW291" s="589"/>
      <c r="AX291" s="596">
        <v>0.02</v>
      </c>
      <c r="AY291" s="598">
        <v>2.3E-2</v>
      </c>
      <c r="AZ291" s="598">
        <v>2.5999999999999999E-2</v>
      </c>
      <c r="BA291" s="598">
        <v>2.9000000000000001E-2</v>
      </c>
      <c r="BB291" s="598">
        <v>3.2000000000000001E-2</v>
      </c>
      <c r="BC291" s="590"/>
      <c r="BD291" s="631"/>
      <c r="BE291" s="596"/>
      <c r="BF291" s="598"/>
      <c r="BG291" s="598"/>
      <c r="BH291" s="598"/>
      <c r="BI291" s="598"/>
      <c r="BJ291" s="598"/>
      <c r="BK291" s="605"/>
      <c r="BL291" s="658">
        <f t="shared" si="253"/>
        <v>17200</v>
      </c>
      <c r="BM291" s="3">
        <f t="shared" si="254"/>
        <v>28</v>
      </c>
      <c r="BN291" s="3">
        <f t="shared" si="255"/>
        <v>39</v>
      </c>
      <c r="BO291" s="3">
        <f t="shared" si="256"/>
        <v>33</v>
      </c>
    </row>
    <row r="292" spans="2:67">
      <c r="B292" s="1269" t="s">
        <v>794</v>
      </c>
      <c r="C292" s="1265" t="s">
        <v>786</v>
      </c>
      <c r="D292" s="1265" t="s">
        <v>795</v>
      </c>
      <c r="E292" s="1267" t="s">
        <v>65</v>
      </c>
      <c r="F292" s="1270">
        <v>289</v>
      </c>
      <c r="G292" s="593">
        <v>11760</v>
      </c>
      <c r="H292" s="594">
        <v>6160</v>
      </c>
      <c r="I292" s="595">
        <v>10080</v>
      </c>
      <c r="J292" s="166">
        <f t="shared" si="243"/>
        <v>235</v>
      </c>
      <c r="K292" s="167">
        <f t="shared" si="244"/>
        <v>123</v>
      </c>
      <c r="L292" s="168">
        <f t="shared" si="245"/>
        <v>201</v>
      </c>
      <c r="M292" s="166">
        <f t="shared" si="246"/>
        <v>294</v>
      </c>
      <c r="N292" s="167">
        <f t="shared" si="247"/>
        <v>154</v>
      </c>
      <c r="O292" s="168">
        <f t="shared" si="248"/>
        <v>252</v>
      </c>
      <c r="P292" s="169">
        <f t="shared" si="249"/>
        <v>441</v>
      </c>
      <c r="Q292" s="169">
        <f t="shared" si="250"/>
        <v>231</v>
      </c>
      <c r="R292" s="169">
        <f t="shared" si="251"/>
        <v>378</v>
      </c>
      <c r="S292" s="584">
        <f t="shared" si="257"/>
        <v>2940</v>
      </c>
      <c r="T292" s="594">
        <f t="shared" si="258"/>
        <v>1540</v>
      </c>
      <c r="U292" s="595">
        <f t="shared" si="259"/>
        <v>2520</v>
      </c>
      <c r="V292" s="166">
        <f t="shared" si="260"/>
        <v>6703</v>
      </c>
      <c r="W292" s="167">
        <f t="shared" si="261"/>
        <v>3511</v>
      </c>
      <c r="X292" s="168">
        <f t="shared" si="262"/>
        <v>5745</v>
      </c>
      <c r="Y292" s="166">
        <f t="shared" si="263"/>
        <v>7585</v>
      </c>
      <c r="Z292" s="167">
        <f t="shared" si="264"/>
        <v>3742</v>
      </c>
      <c r="AA292" s="168">
        <f t="shared" si="265"/>
        <v>6879</v>
      </c>
      <c r="AB292" s="166">
        <f t="shared" si="266"/>
        <v>8908</v>
      </c>
      <c r="AC292" s="167">
        <f t="shared" si="267"/>
        <v>4435</v>
      </c>
      <c r="AD292" s="168">
        <f t="shared" si="268"/>
        <v>7257</v>
      </c>
      <c r="AE292" s="166">
        <f t="shared" si="269"/>
        <v>9790</v>
      </c>
      <c r="AF292" s="167">
        <f t="shared" si="270"/>
        <v>5359</v>
      </c>
      <c r="AG292" s="168">
        <f t="shared" si="271"/>
        <v>8013</v>
      </c>
      <c r="AH292" s="166">
        <f t="shared" si="272"/>
        <v>10672</v>
      </c>
      <c r="AI292" s="167">
        <f t="shared" si="273"/>
        <v>5821</v>
      </c>
      <c r="AJ292" s="168">
        <f t="shared" si="274"/>
        <v>9525</v>
      </c>
      <c r="AK292" s="169">
        <f t="shared" si="275"/>
        <v>11995</v>
      </c>
      <c r="AL292" s="167">
        <f t="shared" si="276"/>
        <v>6283</v>
      </c>
      <c r="AM292" s="585">
        <f t="shared" si="277"/>
        <v>10281</v>
      </c>
      <c r="AN292" s="596">
        <v>0.06</v>
      </c>
      <c r="AO292" s="597">
        <v>6.3E-2</v>
      </c>
      <c r="AP292" s="597">
        <v>6.6000000000000003E-2</v>
      </c>
      <c r="AQ292" s="598">
        <v>6.9000000000000006E-2</v>
      </c>
      <c r="AR292" s="599">
        <v>7.1999999999999995E-2</v>
      </c>
      <c r="AS292" s="586"/>
      <c r="AT292" s="587"/>
      <c r="AU292" s="587"/>
      <c r="AV292" s="588"/>
      <c r="AW292" s="589"/>
      <c r="AX292" s="596">
        <v>0.04</v>
      </c>
      <c r="AY292" s="598">
        <v>4.2999999999999997E-2</v>
      </c>
      <c r="AZ292" s="598">
        <v>4.5999999999999999E-2</v>
      </c>
      <c r="BA292" s="598">
        <v>4.9000000000000002E-2</v>
      </c>
      <c r="BB292" s="598">
        <v>5.1999999999999998E-2</v>
      </c>
      <c r="BC292" s="590"/>
      <c r="BD292" s="631"/>
      <c r="BE292" s="596"/>
      <c r="BF292" s="598"/>
      <c r="BG292" s="598"/>
      <c r="BH292" s="598"/>
      <c r="BI292" s="598"/>
      <c r="BJ292" s="598"/>
      <c r="BK292" s="605"/>
      <c r="BL292" s="658">
        <f t="shared" si="253"/>
        <v>28000</v>
      </c>
      <c r="BM292" s="3">
        <f t="shared" si="254"/>
        <v>42</v>
      </c>
      <c r="BN292" s="3">
        <f t="shared" si="255"/>
        <v>22</v>
      </c>
      <c r="BO292" s="3">
        <f t="shared" si="256"/>
        <v>36</v>
      </c>
    </row>
    <row r="293" spans="2:67">
      <c r="B293" s="1269" t="s">
        <v>797</v>
      </c>
      <c r="C293" s="1265" t="s">
        <v>786</v>
      </c>
      <c r="D293" s="1265" t="s">
        <v>798</v>
      </c>
      <c r="E293" s="1267" t="s">
        <v>125</v>
      </c>
      <c r="F293" s="1270">
        <v>290</v>
      </c>
      <c r="G293" s="593">
        <v>7873</v>
      </c>
      <c r="H293" s="594">
        <v>6300</v>
      </c>
      <c r="I293" s="595">
        <v>8324</v>
      </c>
      <c r="J293" s="166">
        <f t="shared" si="243"/>
        <v>157</v>
      </c>
      <c r="K293" s="167">
        <f t="shared" si="244"/>
        <v>126</v>
      </c>
      <c r="L293" s="168">
        <f t="shared" si="245"/>
        <v>166</v>
      </c>
      <c r="M293" s="166">
        <f t="shared" si="246"/>
        <v>196</v>
      </c>
      <c r="N293" s="167">
        <f t="shared" si="247"/>
        <v>157</v>
      </c>
      <c r="O293" s="168">
        <f t="shared" si="248"/>
        <v>208</v>
      </c>
      <c r="P293" s="169">
        <f t="shared" si="249"/>
        <v>295</v>
      </c>
      <c r="Q293" s="169">
        <f t="shared" si="250"/>
        <v>236</v>
      </c>
      <c r="R293" s="169">
        <f t="shared" si="251"/>
        <v>312</v>
      </c>
      <c r="S293" s="584">
        <f t="shared" si="257"/>
        <v>1968</v>
      </c>
      <c r="T293" s="594">
        <f t="shared" si="258"/>
        <v>1575</v>
      </c>
      <c r="U293" s="595">
        <f t="shared" si="259"/>
        <v>2081</v>
      </c>
      <c r="V293" s="166">
        <f t="shared" si="260"/>
        <v>4477</v>
      </c>
      <c r="W293" s="167">
        <f t="shared" si="261"/>
        <v>3585</v>
      </c>
      <c r="X293" s="168">
        <f t="shared" si="262"/>
        <v>4743</v>
      </c>
      <c r="Y293" s="166">
        <f t="shared" si="263"/>
        <v>4772</v>
      </c>
      <c r="Z293" s="167">
        <f t="shared" si="264"/>
        <v>4293</v>
      </c>
      <c r="AA293" s="168">
        <f t="shared" si="265"/>
        <v>5367</v>
      </c>
      <c r="AB293" s="166">
        <f t="shared" si="266"/>
        <v>5657</v>
      </c>
      <c r="AC293" s="167">
        <f t="shared" si="267"/>
        <v>4529</v>
      </c>
      <c r="AD293" s="168">
        <f t="shared" si="268"/>
        <v>6303</v>
      </c>
      <c r="AE293" s="166">
        <f t="shared" si="269"/>
        <v>6837</v>
      </c>
      <c r="AF293" s="167">
        <f t="shared" si="270"/>
        <v>5001</v>
      </c>
      <c r="AG293" s="168">
        <f t="shared" si="271"/>
        <v>6927</v>
      </c>
      <c r="AH293" s="166">
        <f t="shared" si="272"/>
        <v>7427</v>
      </c>
      <c r="AI293" s="167">
        <f t="shared" si="273"/>
        <v>5945</v>
      </c>
      <c r="AJ293" s="168">
        <f t="shared" si="274"/>
        <v>7551</v>
      </c>
      <c r="AK293" s="169">
        <f t="shared" si="275"/>
        <v>8030</v>
      </c>
      <c r="AL293" s="167">
        <f t="shared" si="276"/>
        <v>6426</v>
      </c>
      <c r="AM293" s="585">
        <f t="shared" si="277"/>
        <v>8490</v>
      </c>
      <c r="AN293" s="596">
        <v>0.05</v>
      </c>
      <c r="AO293" s="597">
        <v>5.2999999999999999E-2</v>
      </c>
      <c r="AP293" s="597">
        <v>5.6000000000000001E-2</v>
      </c>
      <c r="AQ293" s="598">
        <v>5.8999999999999997E-2</v>
      </c>
      <c r="AR293" s="599">
        <v>6.2E-2</v>
      </c>
      <c r="AS293" s="586"/>
      <c r="AT293" s="587"/>
      <c r="AU293" s="587"/>
      <c r="AV293" s="588"/>
      <c r="AW293" s="589"/>
      <c r="AX293" s="596">
        <v>0.04</v>
      </c>
      <c r="AY293" s="598">
        <v>4.2999999999999997E-2</v>
      </c>
      <c r="AZ293" s="598">
        <v>4.5999999999999999E-2</v>
      </c>
      <c r="BA293" s="598">
        <v>4.9000000000000002E-2</v>
      </c>
      <c r="BB293" s="598">
        <v>5.1999999999999998E-2</v>
      </c>
      <c r="BC293" s="590"/>
      <c r="BD293" s="631"/>
      <c r="BE293" s="596"/>
      <c r="BF293" s="598"/>
      <c r="BG293" s="598"/>
      <c r="BH293" s="598"/>
      <c r="BI293" s="598"/>
      <c r="BJ293" s="598"/>
      <c r="BK293" s="605"/>
      <c r="BL293" s="658">
        <f t="shared" si="253"/>
        <v>22500</v>
      </c>
      <c r="BM293" s="3">
        <f t="shared" si="254"/>
        <v>35</v>
      </c>
      <c r="BN293" s="3">
        <f t="shared" si="255"/>
        <v>28</v>
      </c>
      <c r="BO293" s="3">
        <f t="shared" si="256"/>
        <v>37</v>
      </c>
    </row>
    <row r="294" spans="2:67">
      <c r="B294" s="207" t="s">
        <v>820</v>
      </c>
      <c r="C294" s="875" t="s">
        <v>804</v>
      </c>
      <c r="D294" s="875" t="s">
        <v>808</v>
      </c>
      <c r="E294" s="238" t="s">
        <v>125</v>
      </c>
      <c r="F294" s="592">
        <v>291</v>
      </c>
      <c r="G294" s="593">
        <v>4400</v>
      </c>
      <c r="H294" s="594">
        <v>4827</v>
      </c>
      <c r="I294" s="595">
        <v>4970</v>
      </c>
      <c r="J294" s="166">
        <f t="shared" si="243"/>
        <v>88</v>
      </c>
      <c r="K294" s="167">
        <f t="shared" si="244"/>
        <v>96</v>
      </c>
      <c r="L294" s="168">
        <f t="shared" si="245"/>
        <v>99</v>
      </c>
      <c r="M294" s="166">
        <f t="shared" si="246"/>
        <v>132</v>
      </c>
      <c r="N294" s="167">
        <f t="shared" si="247"/>
        <v>144</v>
      </c>
      <c r="O294" s="168">
        <f t="shared" si="248"/>
        <v>149</v>
      </c>
      <c r="P294" s="169">
        <f t="shared" si="249"/>
        <v>176</v>
      </c>
      <c r="Q294" s="169">
        <f t="shared" si="250"/>
        <v>193</v>
      </c>
      <c r="R294" s="169">
        <f t="shared" si="251"/>
        <v>198</v>
      </c>
      <c r="S294" s="584">
        <f t="shared" si="257"/>
        <v>1320</v>
      </c>
      <c r="T294" s="594">
        <f t="shared" si="258"/>
        <v>1448</v>
      </c>
      <c r="U294" s="595">
        <f t="shared" si="259"/>
        <v>1491</v>
      </c>
      <c r="V294" s="166">
        <f t="shared" si="260"/>
        <v>2728</v>
      </c>
      <c r="W294" s="167">
        <f t="shared" si="261"/>
        <v>2984</v>
      </c>
      <c r="X294" s="168">
        <f t="shared" si="262"/>
        <v>3080</v>
      </c>
      <c r="Y294" s="166">
        <f t="shared" si="263"/>
        <v>3080</v>
      </c>
      <c r="Z294" s="167">
        <f t="shared" si="264"/>
        <v>3370</v>
      </c>
      <c r="AA294" s="168">
        <f t="shared" si="265"/>
        <v>3476</v>
      </c>
      <c r="AB294" s="166">
        <f t="shared" si="266"/>
        <v>3432</v>
      </c>
      <c r="AC294" s="167">
        <f t="shared" si="267"/>
        <v>3756</v>
      </c>
      <c r="AD294" s="168">
        <f t="shared" si="268"/>
        <v>3872</v>
      </c>
      <c r="AE294" s="166">
        <f t="shared" si="269"/>
        <v>3784</v>
      </c>
      <c r="AF294" s="167">
        <f t="shared" si="270"/>
        <v>4142</v>
      </c>
      <c r="AG294" s="168">
        <f t="shared" si="271"/>
        <v>4070</v>
      </c>
      <c r="AH294" s="166">
        <f t="shared" si="272"/>
        <v>3960</v>
      </c>
      <c r="AI294" s="167">
        <f t="shared" si="273"/>
        <v>4721</v>
      </c>
      <c r="AJ294" s="168">
        <f t="shared" si="274"/>
        <v>4466</v>
      </c>
      <c r="AK294" s="169">
        <f t="shared" si="275"/>
        <v>4488</v>
      </c>
      <c r="AL294" s="167">
        <f t="shared" si="276"/>
        <v>4923</v>
      </c>
      <c r="AM294" s="585">
        <f t="shared" si="277"/>
        <v>5069</v>
      </c>
      <c r="AN294" s="596">
        <v>0.03</v>
      </c>
      <c r="AO294" s="597">
        <v>3.3000000000000002E-2</v>
      </c>
      <c r="AP294" s="597">
        <v>3.5999999999999997E-2</v>
      </c>
      <c r="AQ294" s="598">
        <v>3.9E-2</v>
      </c>
      <c r="AR294" s="599">
        <v>4.2000000000000003E-2</v>
      </c>
      <c r="AS294" s="586"/>
      <c r="AT294" s="587"/>
      <c r="AU294" s="587"/>
      <c r="AV294" s="588"/>
      <c r="AW294" s="589"/>
      <c r="AX294" s="596">
        <v>0.05</v>
      </c>
      <c r="AY294" s="598">
        <v>5.5E-2</v>
      </c>
      <c r="AZ294" s="598">
        <v>0.06</v>
      </c>
      <c r="BA294" s="598">
        <v>6.5000000000000002E-2</v>
      </c>
      <c r="BB294" s="598">
        <v>7.0000000000000007E-2</v>
      </c>
      <c r="BC294" s="590"/>
      <c r="BD294" s="631"/>
      <c r="BE294" s="596"/>
      <c r="BF294" s="598"/>
      <c r="BG294" s="598"/>
      <c r="BH294" s="598"/>
      <c r="BI294" s="598"/>
      <c r="BJ294" s="598"/>
      <c r="BK294" s="605"/>
      <c r="BL294" s="658">
        <f t="shared" si="253"/>
        <v>14200</v>
      </c>
      <c r="BM294" s="3">
        <f t="shared" si="254"/>
        <v>31</v>
      </c>
      <c r="BN294" s="3">
        <f t="shared" si="255"/>
        <v>34</v>
      </c>
      <c r="BO294" s="3">
        <f t="shared" si="256"/>
        <v>35</v>
      </c>
    </row>
    <row r="295" spans="2:67">
      <c r="B295" s="207" t="s">
        <v>821</v>
      </c>
      <c r="C295" s="883" t="s">
        <v>804</v>
      </c>
      <c r="D295" s="883" t="s">
        <v>809</v>
      </c>
      <c r="E295" s="238" t="s">
        <v>125</v>
      </c>
      <c r="F295" s="592">
        <v>292</v>
      </c>
      <c r="G295" s="593">
        <v>4970</v>
      </c>
      <c r="H295" s="594">
        <v>3974</v>
      </c>
      <c r="I295" s="595">
        <v>5253</v>
      </c>
      <c r="J295" s="166">
        <f t="shared" si="243"/>
        <v>99</v>
      </c>
      <c r="K295" s="167">
        <f t="shared" si="244"/>
        <v>79</v>
      </c>
      <c r="L295" s="168">
        <f t="shared" si="245"/>
        <v>105</v>
      </c>
      <c r="M295" s="166">
        <f t="shared" si="246"/>
        <v>149</v>
      </c>
      <c r="N295" s="167">
        <f t="shared" si="247"/>
        <v>119</v>
      </c>
      <c r="O295" s="168">
        <f t="shared" si="248"/>
        <v>157</v>
      </c>
      <c r="P295" s="169">
        <f t="shared" si="249"/>
        <v>198</v>
      </c>
      <c r="Q295" s="169">
        <f t="shared" si="250"/>
        <v>159</v>
      </c>
      <c r="R295" s="169">
        <f t="shared" si="251"/>
        <v>210</v>
      </c>
      <c r="S295" s="584">
        <f t="shared" si="257"/>
        <v>1491</v>
      </c>
      <c r="T295" s="594">
        <f t="shared" si="258"/>
        <v>1192</v>
      </c>
      <c r="U295" s="595">
        <f t="shared" si="259"/>
        <v>1576</v>
      </c>
      <c r="V295" s="166">
        <f t="shared" si="260"/>
        <v>3080</v>
      </c>
      <c r="W295" s="167">
        <f t="shared" si="261"/>
        <v>2461</v>
      </c>
      <c r="X295" s="168">
        <f t="shared" si="262"/>
        <v>3251</v>
      </c>
      <c r="Y295" s="166">
        <f t="shared" si="263"/>
        <v>3476</v>
      </c>
      <c r="Z295" s="167">
        <f t="shared" si="264"/>
        <v>2779</v>
      </c>
      <c r="AA295" s="168">
        <f t="shared" si="265"/>
        <v>3671</v>
      </c>
      <c r="AB295" s="166">
        <f t="shared" si="266"/>
        <v>3872</v>
      </c>
      <c r="AC295" s="167">
        <f t="shared" si="267"/>
        <v>3097</v>
      </c>
      <c r="AD295" s="168">
        <f t="shared" si="268"/>
        <v>4091</v>
      </c>
      <c r="AE295" s="166">
        <f t="shared" si="269"/>
        <v>4268</v>
      </c>
      <c r="AF295" s="167">
        <f t="shared" si="270"/>
        <v>3256</v>
      </c>
      <c r="AG295" s="168">
        <f t="shared" si="271"/>
        <v>4511</v>
      </c>
      <c r="AH295" s="166">
        <f t="shared" si="272"/>
        <v>4466</v>
      </c>
      <c r="AI295" s="167">
        <f t="shared" si="273"/>
        <v>3574</v>
      </c>
      <c r="AJ295" s="168">
        <f t="shared" si="274"/>
        <v>5141</v>
      </c>
      <c r="AK295" s="169">
        <f t="shared" si="275"/>
        <v>5069</v>
      </c>
      <c r="AL295" s="167">
        <f t="shared" si="276"/>
        <v>4053</v>
      </c>
      <c r="AM295" s="585">
        <f t="shared" si="277"/>
        <v>5358</v>
      </c>
      <c r="AN295" s="596">
        <v>0.03</v>
      </c>
      <c r="AO295" s="597">
        <v>3.3000000000000002E-2</v>
      </c>
      <c r="AP295" s="597">
        <v>3.5999999999999997E-2</v>
      </c>
      <c r="AQ295" s="598">
        <v>3.9E-2</v>
      </c>
      <c r="AR295" s="599">
        <v>4.2000000000000003E-2</v>
      </c>
      <c r="AS295" s="586"/>
      <c r="AT295" s="587"/>
      <c r="AU295" s="587"/>
      <c r="AV295" s="588"/>
      <c r="AW295" s="589"/>
      <c r="AX295" s="596">
        <v>0.03</v>
      </c>
      <c r="AY295" s="598">
        <v>3.5000000000000003E-2</v>
      </c>
      <c r="AZ295" s="598">
        <v>0.04</v>
      </c>
      <c r="BA295" s="598">
        <v>4.4999999999999998E-2</v>
      </c>
      <c r="BB295" s="598">
        <v>0.05</v>
      </c>
      <c r="BC295" s="590"/>
      <c r="BD295" s="631"/>
      <c r="BE295" s="596"/>
      <c r="BF295" s="598"/>
      <c r="BG295" s="598"/>
      <c r="BH295" s="598"/>
      <c r="BI295" s="598"/>
      <c r="BJ295" s="598"/>
      <c r="BK295" s="605"/>
      <c r="BL295" s="658">
        <f t="shared" si="253"/>
        <v>14200</v>
      </c>
      <c r="BM295" s="3">
        <f t="shared" si="254"/>
        <v>35</v>
      </c>
      <c r="BN295" s="3">
        <f t="shared" si="255"/>
        <v>28</v>
      </c>
      <c r="BO295" s="3">
        <f t="shared" si="256"/>
        <v>37</v>
      </c>
    </row>
    <row r="296" spans="2:67">
      <c r="B296" s="1269" t="s">
        <v>842</v>
      </c>
      <c r="C296" s="1265" t="s">
        <v>309</v>
      </c>
      <c r="D296" s="1265" t="s">
        <v>839</v>
      </c>
      <c r="E296" s="238" t="s">
        <v>65</v>
      </c>
      <c r="F296" s="592">
        <v>293</v>
      </c>
      <c r="G296" s="593">
        <v>9624</v>
      </c>
      <c r="H296" s="594">
        <v>6324</v>
      </c>
      <c r="I296" s="595">
        <v>11549</v>
      </c>
      <c r="J296" s="166">
        <f t="shared" si="243"/>
        <v>192</v>
      </c>
      <c r="K296" s="167">
        <f t="shared" si="244"/>
        <v>126</v>
      </c>
      <c r="L296" s="168">
        <f t="shared" si="245"/>
        <v>231</v>
      </c>
      <c r="M296" s="166">
        <f t="shared" si="246"/>
        <v>240</v>
      </c>
      <c r="N296" s="167">
        <f t="shared" si="247"/>
        <v>158</v>
      </c>
      <c r="O296" s="168">
        <f t="shared" si="248"/>
        <v>288</v>
      </c>
      <c r="P296" s="169">
        <f t="shared" si="249"/>
        <v>360</v>
      </c>
      <c r="Q296" s="169">
        <f t="shared" si="250"/>
        <v>237</v>
      </c>
      <c r="R296" s="169">
        <f t="shared" si="251"/>
        <v>433</v>
      </c>
      <c r="S296" s="584">
        <f t="shared" si="257"/>
        <v>2406</v>
      </c>
      <c r="T296" s="594">
        <f t="shared" si="258"/>
        <v>1581</v>
      </c>
      <c r="U296" s="595">
        <f t="shared" si="259"/>
        <v>2887</v>
      </c>
      <c r="V296" s="166">
        <f t="shared" si="260"/>
        <v>5478</v>
      </c>
      <c r="W296" s="167">
        <f t="shared" si="261"/>
        <v>3603</v>
      </c>
      <c r="X296" s="168">
        <f t="shared" si="262"/>
        <v>6574</v>
      </c>
      <c r="Y296" s="166">
        <f t="shared" si="263"/>
        <v>5838</v>
      </c>
      <c r="Z296" s="167">
        <f t="shared" si="264"/>
        <v>4314</v>
      </c>
      <c r="AA296" s="168">
        <f t="shared" si="265"/>
        <v>7440</v>
      </c>
      <c r="AB296" s="166">
        <f t="shared" si="266"/>
        <v>6918</v>
      </c>
      <c r="AC296" s="167">
        <f t="shared" si="267"/>
        <v>4551</v>
      </c>
      <c r="AD296" s="168">
        <f t="shared" si="268"/>
        <v>8739</v>
      </c>
      <c r="AE296" s="166">
        <f t="shared" si="269"/>
        <v>8358</v>
      </c>
      <c r="AF296" s="167">
        <f t="shared" si="270"/>
        <v>5025</v>
      </c>
      <c r="AG296" s="168">
        <f t="shared" si="271"/>
        <v>9605</v>
      </c>
      <c r="AH296" s="166">
        <f t="shared" si="272"/>
        <v>9078</v>
      </c>
      <c r="AI296" s="167">
        <f t="shared" si="273"/>
        <v>5973</v>
      </c>
      <c r="AJ296" s="168">
        <f t="shared" si="274"/>
        <v>10471</v>
      </c>
      <c r="AK296" s="169">
        <f t="shared" si="275"/>
        <v>9816</v>
      </c>
      <c r="AL296" s="167">
        <f t="shared" si="276"/>
        <v>6450</v>
      </c>
      <c r="AM296" s="585">
        <f t="shared" si="277"/>
        <v>11780</v>
      </c>
      <c r="AN296" s="596">
        <v>5.1999999999999998E-2</v>
      </c>
      <c r="AO296" s="597">
        <v>5.5E-2</v>
      </c>
      <c r="AP296" s="597">
        <v>5.8000000000000003E-2</v>
      </c>
      <c r="AQ296" s="598">
        <v>6.0999999999999999E-2</v>
      </c>
      <c r="AR296" s="599">
        <v>6.4000000000000001E-2</v>
      </c>
      <c r="AS296" s="586"/>
      <c r="AT296" s="587"/>
      <c r="AU296" s="587"/>
      <c r="AV296" s="588"/>
      <c r="AW296" s="589"/>
      <c r="AX296" s="596">
        <v>0.04</v>
      </c>
      <c r="AY296" s="598">
        <v>4.2999999999999997E-2</v>
      </c>
      <c r="AZ296" s="598">
        <v>4.5999999999999999E-2</v>
      </c>
      <c r="BA296" s="598">
        <v>4.9000000000000002E-2</v>
      </c>
      <c r="BB296" s="598">
        <v>5.1999999999999998E-2</v>
      </c>
      <c r="BC296" s="598"/>
      <c r="BD296" s="599"/>
      <c r="BE296" s="596">
        <v>1.4E-2</v>
      </c>
      <c r="BF296" s="598">
        <v>1.7000000000000001E-2</v>
      </c>
      <c r="BG296" s="598">
        <v>0.02</v>
      </c>
      <c r="BH296" s="598">
        <v>2.3E-2</v>
      </c>
      <c r="BI296" s="598">
        <v>2.5999999999999999E-2</v>
      </c>
      <c r="BJ296" s="598"/>
      <c r="BK296" s="605"/>
      <c r="BL296" s="658">
        <f t="shared" si="253"/>
        <v>27500</v>
      </c>
      <c r="BM296" s="3">
        <f t="shared" si="254"/>
        <v>35</v>
      </c>
      <c r="BN296" s="3">
        <f t="shared" si="255"/>
        <v>23</v>
      </c>
      <c r="BO296" s="3">
        <f t="shared" si="256"/>
        <v>42</v>
      </c>
    </row>
    <row r="297" spans="2:67">
      <c r="B297" s="207" t="s">
        <v>841</v>
      </c>
      <c r="C297" s="890" t="s">
        <v>310</v>
      </c>
      <c r="D297" s="890" t="s">
        <v>840</v>
      </c>
      <c r="E297" s="238" t="s">
        <v>65</v>
      </c>
      <c r="F297" s="592">
        <v>294</v>
      </c>
      <c r="G297" s="593">
        <v>6880</v>
      </c>
      <c r="H297" s="594">
        <v>4814</v>
      </c>
      <c r="I297" s="595">
        <v>5503</v>
      </c>
      <c r="J297" s="166">
        <f t="shared" si="243"/>
        <v>137</v>
      </c>
      <c r="K297" s="167">
        <f t="shared" si="244"/>
        <v>96</v>
      </c>
      <c r="L297" s="168">
        <f t="shared" si="245"/>
        <v>110</v>
      </c>
      <c r="M297" s="166">
        <f t="shared" si="246"/>
        <v>206</v>
      </c>
      <c r="N297" s="167">
        <f t="shared" si="247"/>
        <v>144</v>
      </c>
      <c r="O297" s="168">
        <f t="shared" si="248"/>
        <v>165</v>
      </c>
      <c r="P297" s="169">
        <f t="shared" si="249"/>
        <v>275</v>
      </c>
      <c r="Q297" s="169">
        <f t="shared" si="250"/>
        <v>192</v>
      </c>
      <c r="R297" s="169">
        <f t="shared" si="251"/>
        <v>220</v>
      </c>
      <c r="S297" s="584">
        <f t="shared" si="257"/>
        <v>2064</v>
      </c>
      <c r="T297" s="594">
        <f t="shared" si="258"/>
        <v>1444</v>
      </c>
      <c r="U297" s="595">
        <f t="shared" si="259"/>
        <v>1651</v>
      </c>
      <c r="V297" s="166">
        <f t="shared" si="260"/>
        <v>4261</v>
      </c>
      <c r="W297" s="167">
        <f t="shared" si="261"/>
        <v>2980</v>
      </c>
      <c r="X297" s="168">
        <f t="shared" si="262"/>
        <v>3411</v>
      </c>
      <c r="Y297" s="166">
        <f t="shared" si="263"/>
        <v>4811</v>
      </c>
      <c r="Z297" s="167">
        <f t="shared" si="264"/>
        <v>3364</v>
      </c>
      <c r="AA297" s="168">
        <f t="shared" si="265"/>
        <v>3851</v>
      </c>
      <c r="AB297" s="166">
        <f t="shared" si="266"/>
        <v>5361</v>
      </c>
      <c r="AC297" s="167">
        <f t="shared" si="267"/>
        <v>3748</v>
      </c>
      <c r="AD297" s="168">
        <f t="shared" si="268"/>
        <v>4291</v>
      </c>
      <c r="AE297" s="166">
        <f t="shared" si="269"/>
        <v>5636</v>
      </c>
      <c r="AF297" s="167">
        <f t="shared" si="270"/>
        <v>4132</v>
      </c>
      <c r="AG297" s="168">
        <f t="shared" si="271"/>
        <v>4731</v>
      </c>
      <c r="AH297" s="166">
        <f t="shared" si="272"/>
        <v>6186</v>
      </c>
      <c r="AI297" s="167">
        <f t="shared" si="273"/>
        <v>4324</v>
      </c>
      <c r="AJ297" s="168">
        <f t="shared" si="274"/>
        <v>5391</v>
      </c>
      <c r="AK297" s="169">
        <f t="shared" si="275"/>
        <v>7017</v>
      </c>
      <c r="AL297" s="167">
        <f t="shared" si="276"/>
        <v>4910</v>
      </c>
      <c r="AM297" s="585">
        <f t="shared" si="277"/>
        <v>5613</v>
      </c>
      <c r="AN297" s="596">
        <v>0.25</v>
      </c>
      <c r="AO297" s="597">
        <v>0.28000000000000003</v>
      </c>
      <c r="AP297" s="597">
        <v>0.31</v>
      </c>
      <c r="AQ297" s="598">
        <v>0.34</v>
      </c>
      <c r="AR297" s="599">
        <v>0.37</v>
      </c>
      <c r="AS297" s="586"/>
      <c r="AT297" s="587"/>
      <c r="AU297" s="587"/>
      <c r="AV297" s="588"/>
      <c r="AW297" s="589"/>
      <c r="AX297" s="596">
        <v>0.03</v>
      </c>
      <c r="AY297" s="598">
        <v>3.5000000000000003E-2</v>
      </c>
      <c r="AZ297" s="598">
        <v>0.04</v>
      </c>
      <c r="BA297" s="598">
        <v>4.4999999999999998E-2</v>
      </c>
      <c r="BB297" s="598">
        <v>0.05</v>
      </c>
      <c r="BC297" s="598"/>
      <c r="BD297" s="599"/>
      <c r="BE297" s="596"/>
      <c r="BF297" s="598"/>
      <c r="BG297" s="598"/>
      <c r="BH297" s="598"/>
      <c r="BI297" s="598"/>
      <c r="BJ297" s="598"/>
      <c r="BK297" s="605"/>
      <c r="BL297" s="658">
        <f t="shared" si="253"/>
        <v>17200</v>
      </c>
      <c r="BM297" s="3">
        <f t="shared" si="254"/>
        <v>40</v>
      </c>
      <c r="BN297" s="3">
        <f t="shared" si="255"/>
        <v>28</v>
      </c>
      <c r="BO297" s="3">
        <f t="shared" si="256"/>
        <v>32</v>
      </c>
    </row>
    <row r="298" spans="2:67">
      <c r="B298" s="1269" t="s">
        <v>888</v>
      </c>
      <c r="C298" s="1265" t="s">
        <v>309</v>
      </c>
      <c r="D298" s="1265" t="s">
        <v>885</v>
      </c>
      <c r="E298" s="238" t="s">
        <v>65</v>
      </c>
      <c r="F298" s="592">
        <v>295</v>
      </c>
      <c r="G298" s="593">
        <v>11760</v>
      </c>
      <c r="H298" s="594">
        <v>6440</v>
      </c>
      <c r="I298" s="595">
        <v>9800</v>
      </c>
      <c r="J298" s="166">
        <f t="shared" si="243"/>
        <v>235</v>
      </c>
      <c r="K298" s="167">
        <f t="shared" si="244"/>
        <v>128</v>
      </c>
      <c r="L298" s="168">
        <f t="shared" si="245"/>
        <v>196</v>
      </c>
      <c r="M298" s="166">
        <f t="shared" si="246"/>
        <v>294</v>
      </c>
      <c r="N298" s="167">
        <f t="shared" si="247"/>
        <v>161</v>
      </c>
      <c r="O298" s="168">
        <f t="shared" si="248"/>
        <v>245</v>
      </c>
      <c r="P298" s="169">
        <f t="shared" si="249"/>
        <v>441</v>
      </c>
      <c r="Q298" s="169">
        <f t="shared" si="250"/>
        <v>241</v>
      </c>
      <c r="R298" s="169">
        <f t="shared" si="251"/>
        <v>367</v>
      </c>
      <c r="S298" s="584">
        <f t="shared" si="257"/>
        <v>2940</v>
      </c>
      <c r="T298" s="594">
        <f t="shared" si="258"/>
        <v>1610</v>
      </c>
      <c r="U298" s="595">
        <f t="shared" si="259"/>
        <v>2450</v>
      </c>
      <c r="V298" s="166">
        <f t="shared" si="260"/>
        <v>6703</v>
      </c>
      <c r="W298" s="167">
        <f t="shared" si="261"/>
        <v>3670</v>
      </c>
      <c r="X298" s="168">
        <f t="shared" si="262"/>
        <v>5586</v>
      </c>
      <c r="Y298" s="166">
        <f t="shared" si="263"/>
        <v>7585</v>
      </c>
      <c r="Z298" s="167">
        <f t="shared" si="264"/>
        <v>3911</v>
      </c>
      <c r="AA298" s="168">
        <f t="shared" si="265"/>
        <v>6687</v>
      </c>
      <c r="AB298" s="166">
        <f t="shared" si="266"/>
        <v>8908</v>
      </c>
      <c r="AC298" s="167">
        <f t="shared" si="267"/>
        <v>4634</v>
      </c>
      <c r="AD298" s="168">
        <f t="shared" si="268"/>
        <v>7054</v>
      </c>
      <c r="AE298" s="166">
        <f t="shared" si="269"/>
        <v>9790</v>
      </c>
      <c r="AF298" s="167">
        <f t="shared" si="270"/>
        <v>5598</v>
      </c>
      <c r="AG298" s="168">
        <f t="shared" si="271"/>
        <v>7788</v>
      </c>
      <c r="AH298" s="166">
        <f t="shared" si="272"/>
        <v>10672</v>
      </c>
      <c r="AI298" s="167">
        <f t="shared" si="273"/>
        <v>6080</v>
      </c>
      <c r="AJ298" s="168">
        <f t="shared" si="274"/>
        <v>9256</v>
      </c>
      <c r="AK298" s="169">
        <f t="shared" si="275"/>
        <v>11995</v>
      </c>
      <c r="AL298" s="167">
        <f t="shared" si="276"/>
        <v>6568</v>
      </c>
      <c r="AM298" s="585">
        <f t="shared" si="277"/>
        <v>9996</v>
      </c>
      <c r="AN298" s="596">
        <v>0.05</v>
      </c>
      <c r="AO298" s="597">
        <v>5.2999999999999999E-2</v>
      </c>
      <c r="AP298" s="597">
        <v>5.6000000000000001E-2</v>
      </c>
      <c r="AQ298" s="598">
        <v>5.8999999999999997E-2</v>
      </c>
      <c r="AR298" s="599">
        <v>6.2E-2</v>
      </c>
      <c r="AS298" s="586"/>
      <c r="AT298" s="587"/>
      <c r="AU298" s="587"/>
      <c r="AV298" s="588"/>
      <c r="AW298" s="589"/>
      <c r="AX298" s="596">
        <v>0.04</v>
      </c>
      <c r="AY298" s="598">
        <v>4.2999999999999997E-2</v>
      </c>
      <c r="AZ298" s="598">
        <v>4.5999999999999999E-2</v>
      </c>
      <c r="BA298" s="598">
        <v>4.9000000000000002E-2</v>
      </c>
      <c r="BB298" s="598">
        <v>5.1999999999999998E-2</v>
      </c>
      <c r="BC298" s="598"/>
      <c r="BD298" s="599"/>
      <c r="BE298" s="596"/>
      <c r="BF298" s="598"/>
      <c r="BG298" s="598"/>
      <c r="BH298" s="598"/>
      <c r="BI298" s="598"/>
      <c r="BJ298" s="598"/>
      <c r="BK298" s="605"/>
      <c r="BL298" s="658">
        <f t="shared" si="253"/>
        <v>28000</v>
      </c>
      <c r="BM298" s="3">
        <f t="shared" si="254"/>
        <v>42</v>
      </c>
      <c r="BN298" s="3">
        <f t="shared" si="255"/>
        <v>23</v>
      </c>
      <c r="BO298" s="3">
        <f t="shared" si="256"/>
        <v>35</v>
      </c>
    </row>
    <row r="299" spans="2:67">
      <c r="B299" s="207" t="s">
        <v>889</v>
      </c>
      <c r="C299" s="890" t="s">
        <v>310</v>
      </c>
      <c r="D299" s="890" t="s">
        <v>886</v>
      </c>
      <c r="E299" s="238" t="s">
        <v>65</v>
      </c>
      <c r="F299" s="592">
        <v>296</v>
      </c>
      <c r="G299" s="593">
        <v>6707</v>
      </c>
      <c r="H299" s="594">
        <v>2750</v>
      </c>
      <c r="I299" s="595">
        <v>7740</v>
      </c>
      <c r="J299" s="166">
        <f t="shared" si="243"/>
        <v>134</v>
      </c>
      <c r="K299" s="167">
        <f t="shared" si="244"/>
        <v>55</v>
      </c>
      <c r="L299" s="168">
        <f t="shared" si="245"/>
        <v>154</v>
      </c>
      <c r="M299" s="166">
        <f t="shared" si="246"/>
        <v>201</v>
      </c>
      <c r="N299" s="167">
        <f t="shared" si="247"/>
        <v>82</v>
      </c>
      <c r="O299" s="168">
        <f t="shared" si="248"/>
        <v>232</v>
      </c>
      <c r="P299" s="169">
        <f t="shared" si="249"/>
        <v>268</v>
      </c>
      <c r="Q299" s="169">
        <f t="shared" si="250"/>
        <v>110</v>
      </c>
      <c r="R299" s="169">
        <f t="shared" si="251"/>
        <v>309</v>
      </c>
      <c r="S299" s="584">
        <f t="shared" si="257"/>
        <v>2012</v>
      </c>
      <c r="T299" s="594">
        <f t="shared" si="258"/>
        <v>825</v>
      </c>
      <c r="U299" s="595">
        <f t="shared" si="259"/>
        <v>2322</v>
      </c>
      <c r="V299" s="166">
        <f t="shared" si="260"/>
        <v>4156</v>
      </c>
      <c r="W299" s="167">
        <f t="shared" si="261"/>
        <v>1700</v>
      </c>
      <c r="X299" s="168">
        <f t="shared" si="262"/>
        <v>4796</v>
      </c>
      <c r="Y299" s="166">
        <f t="shared" si="263"/>
        <v>4692</v>
      </c>
      <c r="Z299" s="167">
        <f t="shared" si="264"/>
        <v>1920</v>
      </c>
      <c r="AA299" s="168">
        <f t="shared" si="265"/>
        <v>5414</v>
      </c>
      <c r="AB299" s="166">
        <f t="shared" si="266"/>
        <v>5228</v>
      </c>
      <c r="AC299" s="167">
        <f t="shared" si="267"/>
        <v>2140</v>
      </c>
      <c r="AD299" s="168">
        <f t="shared" si="268"/>
        <v>6032</v>
      </c>
      <c r="AE299" s="166">
        <f t="shared" si="269"/>
        <v>5764</v>
      </c>
      <c r="AF299" s="167">
        <f t="shared" si="270"/>
        <v>2360</v>
      </c>
      <c r="AG299" s="168">
        <f t="shared" si="271"/>
        <v>6341</v>
      </c>
      <c r="AH299" s="166">
        <f t="shared" si="272"/>
        <v>6032</v>
      </c>
      <c r="AI299" s="167">
        <f t="shared" si="273"/>
        <v>2690</v>
      </c>
      <c r="AJ299" s="168">
        <f t="shared" si="274"/>
        <v>6959</v>
      </c>
      <c r="AK299" s="169">
        <f t="shared" si="275"/>
        <v>6841</v>
      </c>
      <c r="AL299" s="167">
        <f t="shared" si="276"/>
        <v>2805</v>
      </c>
      <c r="AM299" s="585">
        <f t="shared" si="277"/>
        <v>7894</v>
      </c>
      <c r="AN299" s="596">
        <v>0.2</v>
      </c>
      <c r="AO299" s="597">
        <v>0.20499999999999999</v>
      </c>
      <c r="AP299" s="597">
        <v>0.21</v>
      </c>
      <c r="AQ299" s="598">
        <v>0.215</v>
      </c>
      <c r="AR299" s="599">
        <v>0.22</v>
      </c>
      <c r="AS299" s="586"/>
      <c r="AT299" s="587"/>
      <c r="AU299" s="587"/>
      <c r="AV299" s="588"/>
      <c r="AW299" s="589"/>
      <c r="AX299" s="596">
        <v>0.02</v>
      </c>
      <c r="AY299" s="598">
        <v>2.3E-2</v>
      </c>
      <c r="AZ299" s="598">
        <v>2.5999999999999999E-2</v>
      </c>
      <c r="BA299" s="598">
        <v>2.9000000000000001E-2</v>
      </c>
      <c r="BB299" s="598">
        <v>3.2000000000000001E-2</v>
      </c>
      <c r="BC299" s="598"/>
      <c r="BD299" s="599"/>
      <c r="BE299" s="596"/>
      <c r="BF299" s="598"/>
      <c r="BG299" s="598"/>
      <c r="BH299" s="598"/>
      <c r="BI299" s="598"/>
      <c r="BJ299" s="598"/>
      <c r="BK299" s="605"/>
      <c r="BL299" s="658">
        <f t="shared" si="253"/>
        <v>17200</v>
      </c>
      <c r="BM299" s="3">
        <f t="shared" si="254"/>
        <v>39</v>
      </c>
      <c r="BN299" s="3">
        <f t="shared" si="255"/>
        <v>16</v>
      </c>
      <c r="BO299" s="3">
        <f t="shared" si="256"/>
        <v>45</v>
      </c>
    </row>
    <row r="300" spans="2:67">
      <c r="B300" s="1269" t="s">
        <v>890</v>
      </c>
      <c r="C300" s="1265" t="s">
        <v>309</v>
      </c>
      <c r="D300" s="1265" t="s">
        <v>887</v>
      </c>
      <c r="E300" s="1267" t="s">
        <v>65</v>
      </c>
      <c r="F300" s="1270">
        <v>297</v>
      </c>
      <c r="G300" s="593">
        <v>7840</v>
      </c>
      <c r="H300" s="594">
        <v>12600</v>
      </c>
      <c r="I300" s="595">
        <v>7560</v>
      </c>
      <c r="J300" s="166">
        <f t="shared" si="243"/>
        <v>156</v>
      </c>
      <c r="K300" s="167">
        <f t="shared" si="244"/>
        <v>252</v>
      </c>
      <c r="L300" s="168">
        <f t="shared" si="245"/>
        <v>151</v>
      </c>
      <c r="M300" s="166">
        <f t="shared" si="246"/>
        <v>196</v>
      </c>
      <c r="N300" s="167">
        <f t="shared" si="247"/>
        <v>315</v>
      </c>
      <c r="O300" s="168">
        <f t="shared" si="248"/>
        <v>189</v>
      </c>
      <c r="P300" s="169">
        <f t="shared" si="249"/>
        <v>294</v>
      </c>
      <c r="Q300" s="169">
        <f t="shared" si="250"/>
        <v>472</v>
      </c>
      <c r="R300" s="169">
        <f t="shared" si="251"/>
        <v>283</v>
      </c>
      <c r="S300" s="584">
        <f t="shared" si="257"/>
        <v>1960</v>
      </c>
      <c r="T300" s="594">
        <f t="shared" si="258"/>
        <v>3150</v>
      </c>
      <c r="U300" s="595">
        <f t="shared" si="259"/>
        <v>1890</v>
      </c>
      <c r="V300" s="166">
        <f t="shared" si="260"/>
        <v>4468</v>
      </c>
      <c r="W300" s="167">
        <f t="shared" si="261"/>
        <v>7182</v>
      </c>
      <c r="X300" s="168">
        <f t="shared" si="262"/>
        <v>4309</v>
      </c>
      <c r="Y300" s="166">
        <f t="shared" si="263"/>
        <v>5350</v>
      </c>
      <c r="Z300" s="167">
        <f t="shared" si="264"/>
        <v>8126</v>
      </c>
      <c r="AA300" s="168">
        <f t="shared" si="265"/>
        <v>4592</v>
      </c>
      <c r="AB300" s="166">
        <f t="shared" si="266"/>
        <v>5644</v>
      </c>
      <c r="AC300" s="167">
        <f t="shared" si="267"/>
        <v>9542</v>
      </c>
      <c r="AD300" s="168">
        <f t="shared" si="268"/>
        <v>5441</v>
      </c>
      <c r="AE300" s="166">
        <f t="shared" si="269"/>
        <v>6232</v>
      </c>
      <c r="AF300" s="167">
        <f t="shared" si="270"/>
        <v>10486</v>
      </c>
      <c r="AG300" s="168">
        <f t="shared" si="271"/>
        <v>6573</v>
      </c>
      <c r="AH300" s="166">
        <f t="shared" si="272"/>
        <v>7408</v>
      </c>
      <c r="AI300" s="167">
        <f t="shared" si="273"/>
        <v>11430</v>
      </c>
      <c r="AJ300" s="168">
        <f t="shared" si="274"/>
        <v>7139</v>
      </c>
      <c r="AK300" s="169">
        <f t="shared" si="275"/>
        <v>7996</v>
      </c>
      <c r="AL300" s="167">
        <f t="shared" si="276"/>
        <v>12852</v>
      </c>
      <c r="AM300" s="585">
        <f t="shared" si="277"/>
        <v>7711</v>
      </c>
      <c r="AN300" s="596">
        <v>0.15</v>
      </c>
      <c r="AO300" s="597">
        <v>0.18</v>
      </c>
      <c r="AP300" s="597">
        <v>0.21</v>
      </c>
      <c r="AQ300" s="598">
        <v>0.24</v>
      </c>
      <c r="AR300" s="599">
        <v>0.27</v>
      </c>
      <c r="AS300" s="586"/>
      <c r="AT300" s="587"/>
      <c r="AU300" s="587"/>
      <c r="AV300" s="588"/>
      <c r="AW300" s="589"/>
      <c r="AX300" s="596">
        <v>0.04</v>
      </c>
      <c r="AY300" s="598">
        <v>4.2999999999999997E-2</v>
      </c>
      <c r="AZ300" s="598">
        <v>4.5999999999999999E-2</v>
      </c>
      <c r="BA300" s="598">
        <v>4.9000000000000002E-2</v>
      </c>
      <c r="BB300" s="598">
        <v>5.1999999999999998E-2</v>
      </c>
      <c r="BC300" s="598"/>
      <c r="BD300" s="599"/>
      <c r="BE300" s="596"/>
      <c r="BF300" s="598"/>
      <c r="BG300" s="598"/>
      <c r="BH300" s="598"/>
      <c r="BI300" s="598"/>
      <c r="BJ300" s="598"/>
      <c r="BK300" s="605"/>
      <c r="BL300" s="658">
        <f t="shared" si="253"/>
        <v>28000</v>
      </c>
      <c r="BM300" s="3">
        <f t="shared" si="254"/>
        <v>28</v>
      </c>
      <c r="BN300" s="3">
        <f t="shared" si="255"/>
        <v>45</v>
      </c>
      <c r="BO300" s="3">
        <f t="shared" si="256"/>
        <v>27</v>
      </c>
    </row>
    <row r="301" spans="2:67">
      <c r="B301" s="1269" t="s">
        <v>891</v>
      </c>
      <c r="C301" s="1265" t="s">
        <v>309</v>
      </c>
      <c r="D301" s="1265" t="s">
        <v>886</v>
      </c>
      <c r="E301" s="1267" t="s">
        <v>125</v>
      </c>
      <c r="F301" s="1270">
        <v>298</v>
      </c>
      <c r="G301" s="593">
        <v>7873</v>
      </c>
      <c r="H301" s="594">
        <v>6073</v>
      </c>
      <c r="I301" s="595">
        <v>8549</v>
      </c>
      <c r="J301" s="166">
        <f t="shared" si="243"/>
        <v>157</v>
      </c>
      <c r="K301" s="167">
        <f t="shared" si="244"/>
        <v>121</v>
      </c>
      <c r="L301" s="168">
        <f t="shared" si="245"/>
        <v>171</v>
      </c>
      <c r="M301" s="166">
        <f t="shared" si="246"/>
        <v>196</v>
      </c>
      <c r="N301" s="167">
        <f t="shared" si="247"/>
        <v>151</v>
      </c>
      <c r="O301" s="168">
        <f t="shared" si="248"/>
        <v>213</v>
      </c>
      <c r="P301" s="169">
        <f t="shared" si="249"/>
        <v>295</v>
      </c>
      <c r="Q301" s="169">
        <f t="shared" si="250"/>
        <v>227</v>
      </c>
      <c r="R301" s="169">
        <f t="shared" si="251"/>
        <v>320</v>
      </c>
      <c r="S301" s="584">
        <f t="shared" si="257"/>
        <v>1968</v>
      </c>
      <c r="T301" s="594">
        <f t="shared" si="258"/>
        <v>1518</v>
      </c>
      <c r="U301" s="595">
        <f t="shared" si="259"/>
        <v>2137</v>
      </c>
      <c r="V301" s="166">
        <f t="shared" si="260"/>
        <v>4477</v>
      </c>
      <c r="W301" s="167">
        <f t="shared" si="261"/>
        <v>3451</v>
      </c>
      <c r="X301" s="168">
        <f t="shared" si="262"/>
        <v>4864</v>
      </c>
      <c r="Y301" s="166">
        <f t="shared" si="263"/>
        <v>4772</v>
      </c>
      <c r="Z301" s="167">
        <f t="shared" si="264"/>
        <v>4132</v>
      </c>
      <c r="AA301" s="168">
        <f t="shared" si="265"/>
        <v>5504</v>
      </c>
      <c r="AB301" s="166">
        <f t="shared" si="266"/>
        <v>5657</v>
      </c>
      <c r="AC301" s="167">
        <f t="shared" si="267"/>
        <v>4359</v>
      </c>
      <c r="AD301" s="168">
        <f t="shared" si="268"/>
        <v>6464</v>
      </c>
      <c r="AE301" s="166">
        <f t="shared" si="269"/>
        <v>6837</v>
      </c>
      <c r="AF301" s="167">
        <f t="shared" si="270"/>
        <v>4813</v>
      </c>
      <c r="AG301" s="168">
        <f t="shared" si="271"/>
        <v>7104</v>
      </c>
      <c r="AH301" s="166">
        <f t="shared" si="272"/>
        <v>7427</v>
      </c>
      <c r="AI301" s="167">
        <f t="shared" si="273"/>
        <v>5721</v>
      </c>
      <c r="AJ301" s="168">
        <f t="shared" si="274"/>
        <v>7744</v>
      </c>
      <c r="AK301" s="169">
        <f t="shared" si="275"/>
        <v>8030</v>
      </c>
      <c r="AL301" s="167">
        <f t="shared" si="276"/>
        <v>6194</v>
      </c>
      <c r="AM301" s="585">
        <f t="shared" si="277"/>
        <v>8720</v>
      </c>
      <c r="AN301" s="596">
        <v>0.3</v>
      </c>
      <c r="AO301" s="597">
        <v>0.30499999999999999</v>
      </c>
      <c r="AP301" s="597">
        <v>0.31</v>
      </c>
      <c r="AQ301" s="598">
        <v>0.315</v>
      </c>
      <c r="AR301" s="599">
        <v>0.32</v>
      </c>
      <c r="AS301" s="586"/>
      <c r="AT301" s="587"/>
      <c r="AU301" s="587"/>
      <c r="AV301" s="588"/>
      <c r="AW301" s="589"/>
      <c r="AX301" s="596">
        <v>7.0000000000000007E-2</v>
      </c>
      <c r="AY301" s="598">
        <v>7.4999999999999997E-2</v>
      </c>
      <c r="AZ301" s="598">
        <v>0.08</v>
      </c>
      <c r="BA301" s="598">
        <v>8.5000000000000006E-2</v>
      </c>
      <c r="BB301" s="598">
        <v>0.09</v>
      </c>
      <c r="BC301" s="598"/>
      <c r="BD301" s="599"/>
      <c r="BE301" s="596"/>
      <c r="BF301" s="598"/>
      <c r="BG301" s="598"/>
      <c r="BH301" s="598"/>
      <c r="BI301" s="598"/>
      <c r="BJ301" s="598"/>
      <c r="BK301" s="605"/>
      <c r="BL301" s="658">
        <f t="shared" si="253"/>
        <v>22500</v>
      </c>
      <c r="BM301" s="3">
        <f t="shared" si="254"/>
        <v>35</v>
      </c>
      <c r="BN301" s="3">
        <f t="shared" si="255"/>
        <v>27</v>
      </c>
      <c r="BO301" s="3">
        <f t="shared" si="256"/>
        <v>38</v>
      </c>
    </row>
    <row r="302" spans="2:67">
      <c r="B302" s="207" t="s">
        <v>892</v>
      </c>
      <c r="C302" s="883" t="s">
        <v>310</v>
      </c>
      <c r="D302" s="883" t="s">
        <v>885</v>
      </c>
      <c r="E302" s="238" t="s">
        <v>125</v>
      </c>
      <c r="F302" s="592">
        <v>299</v>
      </c>
      <c r="G302" s="593">
        <v>5680</v>
      </c>
      <c r="H302" s="594">
        <v>3974</v>
      </c>
      <c r="I302" s="595">
        <v>4543</v>
      </c>
      <c r="J302" s="166">
        <f t="shared" si="243"/>
        <v>113</v>
      </c>
      <c r="K302" s="167">
        <f t="shared" si="244"/>
        <v>79</v>
      </c>
      <c r="L302" s="168">
        <f t="shared" si="245"/>
        <v>90</v>
      </c>
      <c r="M302" s="166">
        <f t="shared" si="246"/>
        <v>170</v>
      </c>
      <c r="N302" s="167">
        <f t="shared" si="247"/>
        <v>119</v>
      </c>
      <c r="O302" s="168">
        <f t="shared" si="248"/>
        <v>136</v>
      </c>
      <c r="P302" s="169">
        <f t="shared" si="249"/>
        <v>227</v>
      </c>
      <c r="Q302" s="169">
        <f t="shared" si="250"/>
        <v>159</v>
      </c>
      <c r="R302" s="169">
        <f t="shared" si="251"/>
        <v>181</v>
      </c>
      <c r="S302" s="584">
        <f t="shared" si="257"/>
        <v>1704</v>
      </c>
      <c r="T302" s="594">
        <f t="shared" si="258"/>
        <v>1192</v>
      </c>
      <c r="U302" s="595">
        <f t="shared" si="259"/>
        <v>1363</v>
      </c>
      <c r="V302" s="166">
        <f t="shared" si="260"/>
        <v>3517</v>
      </c>
      <c r="W302" s="167">
        <f t="shared" si="261"/>
        <v>2461</v>
      </c>
      <c r="X302" s="168">
        <f t="shared" si="262"/>
        <v>2813</v>
      </c>
      <c r="Y302" s="166">
        <f t="shared" si="263"/>
        <v>3971</v>
      </c>
      <c r="Z302" s="167">
        <f t="shared" si="264"/>
        <v>2779</v>
      </c>
      <c r="AA302" s="168">
        <f t="shared" si="265"/>
        <v>3175</v>
      </c>
      <c r="AB302" s="166">
        <f t="shared" si="266"/>
        <v>4425</v>
      </c>
      <c r="AC302" s="167">
        <f t="shared" si="267"/>
        <v>3097</v>
      </c>
      <c r="AD302" s="168">
        <f t="shared" si="268"/>
        <v>3537</v>
      </c>
      <c r="AE302" s="166">
        <f t="shared" si="269"/>
        <v>4652</v>
      </c>
      <c r="AF302" s="167">
        <f t="shared" si="270"/>
        <v>3415</v>
      </c>
      <c r="AG302" s="168">
        <f t="shared" si="271"/>
        <v>3899</v>
      </c>
      <c r="AH302" s="166">
        <f t="shared" si="272"/>
        <v>5106</v>
      </c>
      <c r="AI302" s="167">
        <f t="shared" si="273"/>
        <v>3574</v>
      </c>
      <c r="AJ302" s="168">
        <f t="shared" si="274"/>
        <v>4442</v>
      </c>
      <c r="AK302" s="169">
        <f t="shared" si="275"/>
        <v>5793</v>
      </c>
      <c r="AL302" s="167">
        <f t="shared" si="276"/>
        <v>4053</v>
      </c>
      <c r="AM302" s="585">
        <f t="shared" si="277"/>
        <v>4633</v>
      </c>
      <c r="AN302" s="596">
        <v>0.02</v>
      </c>
      <c r="AO302" s="597">
        <v>2.3E-2</v>
      </c>
      <c r="AP302" s="597">
        <v>2.5999999999999999E-2</v>
      </c>
      <c r="AQ302" s="598">
        <v>2.9000000000000001E-2</v>
      </c>
      <c r="AR302" s="599">
        <v>3.2000000000000001E-2</v>
      </c>
      <c r="AS302" s="586"/>
      <c r="AT302" s="587"/>
      <c r="AU302" s="587"/>
      <c r="AV302" s="588"/>
      <c r="AW302" s="589"/>
      <c r="AX302" s="596">
        <v>0.05</v>
      </c>
      <c r="AY302" s="598">
        <v>5.5E-2</v>
      </c>
      <c r="AZ302" s="598">
        <v>0.06</v>
      </c>
      <c r="BA302" s="598">
        <v>6.5000000000000002E-2</v>
      </c>
      <c r="BB302" s="598">
        <v>7.0000000000000007E-2</v>
      </c>
      <c r="BC302" s="598"/>
      <c r="BD302" s="599"/>
      <c r="BE302" s="596"/>
      <c r="BF302" s="598"/>
      <c r="BG302" s="598"/>
      <c r="BH302" s="598"/>
      <c r="BI302" s="598"/>
      <c r="BJ302" s="598"/>
      <c r="BK302" s="605"/>
      <c r="BL302" s="658">
        <f t="shared" si="253"/>
        <v>14200</v>
      </c>
      <c r="BM302" s="3">
        <f t="shared" si="254"/>
        <v>40</v>
      </c>
      <c r="BN302" s="3">
        <f t="shared" si="255"/>
        <v>28</v>
      </c>
      <c r="BO302" s="3">
        <f t="shared" si="256"/>
        <v>32</v>
      </c>
    </row>
    <row r="303" spans="2:67">
      <c r="B303" s="207" t="s">
        <v>894</v>
      </c>
      <c r="C303" s="890" t="s">
        <v>310</v>
      </c>
      <c r="D303" s="890" t="s">
        <v>887</v>
      </c>
      <c r="E303" s="238" t="s">
        <v>125</v>
      </c>
      <c r="F303" s="592">
        <v>300</v>
      </c>
      <c r="G303" s="593">
        <v>4400</v>
      </c>
      <c r="H303" s="594">
        <v>5680</v>
      </c>
      <c r="I303" s="595">
        <v>4117</v>
      </c>
      <c r="J303" s="166">
        <f t="shared" si="243"/>
        <v>88</v>
      </c>
      <c r="K303" s="167">
        <f t="shared" si="244"/>
        <v>113</v>
      </c>
      <c r="L303" s="168">
        <f t="shared" si="245"/>
        <v>82</v>
      </c>
      <c r="M303" s="166">
        <f t="shared" si="246"/>
        <v>132</v>
      </c>
      <c r="N303" s="167">
        <f t="shared" si="247"/>
        <v>170</v>
      </c>
      <c r="O303" s="168">
        <f t="shared" si="248"/>
        <v>123</v>
      </c>
      <c r="P303" s="169">
        <f t="shared" si="249"/>
        <v>176</v>
      </c>
      <c r="Q303" s="169">
        <f t="shared" si="250"/>
        <v>227</v>
      </c>
      <c r="R303" s="169">
        <f t="shared" si="251"/>
        <v>164</v>
      </c>
      <c r="S303" s="584">
        <f t="shared" si="257"/>
        <v>1320</v>
      </c>
      <c r="T303" s="594">
        <f t="shared" si="258"/>
        <v>1704</v>
      </c>
      <c r="U303" s="595">
        <f t="shared" si="259"/>
        <v>1235</v>
      </c>
      <c r="V303" s="166">
        <f t="shared" si="260"/>
        <v>2728</v>
      </c>
      <c r="W303" s="167">
        <f t="shared" si="261"/>
        <v>3517</v>
      </c>
      <c r="X303" s="168">
        <f t="shared" si="262"/>
        <v>2547</v>
      </c>
      <c r="Y303" s="166">
        <f t="shared" si="263"/>
        <v>3080</v>
      </c>
      <c r="Z303" s="167">
        <f t="shared" si="264"/>
        <v>3971</v>
      </c>
      <c r="AA303" s="168">
        <f t="shared" si="265"/>
        <v>2875</v>
      </c>
      <c r="AB303" s="166">
        <f t="shared" si="266"/>
        <v>3432</v>
      </c>
      <c r="AC303" s="167">
        <f t="shared" si="267"/>
        <v>4425</v>
      </c>
      <c r="AD303" s="168">
        <f t="shared" si="268"/>
        <v>3203</v>
      </c>
      <c r="AE303" s="166">
        <f t="shared" si="269"/>
        <v>3784</v>
      </c>
      <c r="AF303" s="167">
        <f t="shared" si="270"/>
        <v>4652</v>
      </c>
      <c r="AG303" s="168">
        <f t="shared" si="271"/>
        <v>3531</v>
      </c>
      <c r="AH303" s="166">
        <f t="shared" si="272"/>
        <v>4312</v>
      </c>
      <c r="AI303" s="167">
        <f t="shared" si="273"/>
        <v>5106</v>
      </c>
      <c r="AJ303" s="168">
        <f t="shared" si="274"/>
        <v>3695</v>
      </c>
      <c r="AK303" s="169">
        <f t="shared" si="275"/>
        <v>4488</v>
      </c>
      <c r="AL303" s="167">
        <f t="shared" si="276"/>
        <v>5793</v>
      </c>
      <c r="AM303" s="585">
        <f t="shared" si="277"/>
        <v>4199</v>
      </c>
      <c r="AN303" s="596">
        <v>0.17</v>
      </c>
      <c r="AO303" s="597">
        <v>0.2</v>
      </c>
      <c r="AP303" s="597">
        <v>0.23</v>
      </c>
      <c r="AQ303" s="598">
        <v>0.26</v>
      </c>
      <c r="AR303" s="599">
        <v>0.28999999999999998</v>
      </c>
      <c r="AS303" s="586"/>
      <c r="AT303" s="587"/>
      <c r="AU303" s="587"/>
      <c r="AV303" s="588"/>
      <c r="AW303" s="589"/>
      <c r="AX303" s="596">
        <v>0.03</v>
      </c>
      <c r="AY303" s="598">
        <v>3.5000000000000003E-2</v>
      </c>
      <c r="AZ303" s="598">
        <v>0.04</v>
      </c>
      <c r="BA303" s="598">
        <v>4.4999999999999998E-2</v>
      </c>
      <c r="BB303" s="598">
        <v>0.05</v>
      </c>
      <c r="BC303" s="598"/>
      <c r="BD303" s="599"/>
      <c r="BE303" s="596"/>
      <c r="BF303" s="598"/>
      <c r="BG303" s="598"/>
      <c r="BH303" s="598"/>
      <c r="BI303" s="598"/>
      <c r="BJ303" s="598"/>
      <c r="BK303" s="605"/>
      <c r="BL303" s="658">
        <f t="shared" si="253"/>
        <v>14200</v>
      </c>
      <c r="BM303" s="3">
        <f t="shared" si="254"/>
        <v>31</v>
      </c>
      <c r="BN303" s="3">
        <f t="shared" si="255"/>
        <v>40</v>
      </c>
      <c r="BO303" s="3">
        <f t="shared" si="256"/>
        <v>29</v>
      </c>
    </row>
    <row r="304" spans="2:67">
      <c r="B304" s="1269" t="s">
        <v>1985</v>
      </c>
      <c r="C304" s="1265" t="s">
        <v>873</v>
      </c>
      <c r="D304" s="1265" t="s">
        <v>13</v>
      </c>
      <c r="E304" s="1267" t="s">
        <v>939</v>
      </c>
      <c r="F304" s="592">
        <v>301</v>
      </c>
      <c r="G304" s="593">
        <v>12200</v>
      </c>
      <c r="H304" s="594">
        <v>7013</v>
      </c>
      <c r="I304" s="595">
        <v>11284</v>
      </c>
      <c r="J304" s="166">
        <f t="shared" si="243"/>
        <v>244</v>
      </c>
      <c r="K304" s="167">
        <f t="shared" si="244"/>
        <v>140</v>
      </c>
      <c r="L304" s="168">
        <f t="shared" si="245"/>
        <v>225</v>
      </c>
      <c r="M304" s="166">
        <f t="shared" si="246"/>
        <v>305</v>
      </c>
      <c r="N304" s="167">
        <f t="shared" si="247"/>
        <v>175</v>
      </c>
      <c r="O304" s="168">
        <f t="shared" si="248"/>
        <v>282</v>
      </c>
      <c r="P304" s="169">
        <f t="shared" si="249"/>
        <v>457</v>
      </c>
      <c r="Q304" s="169">
        <f t="shared" si="250"/>
        <v>263</v>
      </c>
      <c r="R304" s="169">
        <f t="shared" si="251"/>
        <v>423</v>
      </c>
      <c r="S304" s="584">
        <f t="shared" si="257"/>
        <v>3050</v>
      </c>
      <c r="T304" s="594">
        <f t="shared" si="258"/>
        <v>1753</v>
      </c>
      <c r="U304" s="595">
        <f t="shared" si="259"/>
        <v>2821</v>
      </c>
      <c r="V304" s="166">
        <f t="shared" si="260"/>
        <v>6954</v>
      </c>
      <c r="W304" s="167">
        <f t="shared" si="261"/>
        <v>3993</v>
      </c>
      <c r="X304" s="168">
        <f t="shared" si="262"/>
        <v>6430</v>
      </c>
      <c r="Y304" s="166">
        <f t="shared" si="263"/>
        <v>7868</v>
      </c>
      <c r="Z304" s="167">
        <f t="shared" si="264"/>
        <v>4256</v>
      </c>
      <c r="AA304" s="168">
        <f t="shared" si="265"/>
        <v>7699</v>
      </c>
      <c r="AB304" s="166">
        <f t="shared" si="266"/>
        <v>9239</v>
      </c>
      <c r="AC304" s="167">
        <f t="shared" si="267"/>
        <v>5045</v>
      </c>
      <c r="AD304" s="168">
        <f t="shared" si="268"/>
        <v>8122</v>
      </c>
      <c r="AE304" s="166">
        <f t="shared" si="269"/>
        <v>10153</v>
      </c>
      <c r="AF304" s="167">
        <f t="shared" si="270"/>
        <v>6097</v>
      </c>
      <c r="AG304" s="168">
        <f t="shared" si="271"/>
        <v>8968</v>
      </c>
      <c r="AH304" s="166">
        <f t="shared" si="272"/>
        <v>11067</v>
      </c>
      <c r="AI304" s="167">
        <f t="shared" si="273"/>
        <v>6623</v>
      </c>
      <c r="AJ304" s="168">
        <f t="shared" si="274"/>
        <v>10660</v>
      </c>
      <c r="AK304" s="169">
        <f t="shared" si="275"/>
        <v>12444</v>
      </c>
      <c r="AL304" s="167">
        <f t="shared" si="276"/>
        <v>7153</v>
      </c>
      <c r="AM304" s="585">
        <f t="shared" si="277"/>
        <v>11509</v>
      </c>
      <c r="AN304" s="596">
        <v>7.0000000000000007E-2</v>
      </c>
      <c r="AO304" s="597">
        <v>7.4999999999999997E-2</v>
      </c>
      <c r="AP304" s="597">
        <v>0.08</v>
      </c>
      <c r="AQ304" s="598">
        <v>8.5000000000000006E-2</v>
      </c>
      <c r="AR304" s="599">
        <v>0.09</v>
      </c>
      <c r="AS304" s="586"/>
      <c r="AT304" s="587"/>
      <c r="AU304" s="587"/>
      <c r="AV304" s="588"/>
      <c r="AW304" s="589"/>
      <c r="AX304" s="596">
        <v>0.05</v>
      </c>
      <c r="AY304" s="598">
        <v>5.5E-2</v>
      </c>
      <c r="AZ304" s="598">
        <v>0.06</v>
      </c>
      <c r="BA304" s="598">
        <v>6.5000000000000002E-2</v>
      </c>
      <c r="BB304" s="598">
        <v>7.0000000000000007E-2</v>
      </c>
      <c r="BC304" s="598"/>
      <c r="BD304" s="599"/>
      <c r="BE304" s="596"/>
      <c r="BF304" s="598"/>
      <c r="BG304" s="598"/>
      <c r="BH304" s="598"/>
      <c r="BI304" s="598"/>
      <c r="BJ304" s="598"/>
      <c r="BK304" s="605"/>
      <c r="BL304" s="658">
        <f t="shared" si="253"/>
        <v>30500</v>
      </c>
      <c r="BM304" s="3">
        <f t="shared" si="254"/>
        <v>40</v>
      </c>
      <c r="BN304" s="3">
        <f t="shared" si="255"/>
        <v>23</v>
      </c>
      <c r="BO304" s="3">
        <f t="shared" si="256"/>
        <v>37</v>
      </c>
    </row>
    <row r="305" spans="2:67">
      <c r="B305" s="1269" t="s">
        <v>1986</v>
      </c>
      <c r="C305" s="1265" t="s">
        <v>873</v>
      </c>
      <c r="D305" s="1265" t="s">
        <v>23</v>
      </c>
      <c r="E305" s="238" t="s">
        <v>939</v>
      </c>
      <c r="F305" s="592">
        <v>302</v>
      </c>
      <c r="G305" s="593">
        <v>8844</v>
      </c>
      <c r="H305" s="594">
        <v>12504</v>
      </c>
      <c r="I305" s="595">
        <v>9149</v>
      </c>
      <c r="J305" s="166">
        <f t="shared" si="243"/>
        <v>176</v>
      </c>
      <c r="K305" s="167">
        <f t="shared" si="244"/>
        <v>250</v>
      </c>
      <c r="L305" s="168">
        <f t="shared" si="245"/>
        <v>183</v>
      </c>
      <c r="M305" s="166">
        <f t="shared" si="246"/>
        <v>221</v>
      </c>
      <c r="N305" s="167">
        <f t="shared" si="247"/>
        <v>312</v>
      </c>
      <c r="O305" s="168">
        <f t="shared" si="248"/>
        <v>228</v>
      </c>
      <c r="P305" s="169">
        <f t="shared" si="249"/>
        <v>331</v>
      </c>
      <c r="Q305" s="169">
        <f t="shared" si="250"/>
        <v>468</v>
      </c>
      <c r="R305" s="169">
        <f t="shared" si="251"/>
        <v>343</v>
      </c>
      <c r="S305" s="584">
        <f t="shared" si="257"/>
        <v>2211</v>
      </c>
      <c r="T305" s="594">
        <f t="shared" si="258"/>
        <v>3126</v>
      </c>
      <c r="U305" s="595">
        <f t="shared" si="259"/>
        <v>2287</v>
      </c>
      <c r="V305" s="166">
        <f t="shared" si="260"/>
        <v>5039</v>
      </c>
      <c r="W305" s="167">
        <f t="shared" si="261"/>
        <v>7120</v>
      </c>
      <c r="X305" s="168">
        <f t="shared" si="262"/>
        <v>5206</v>
      </c>
      <c r="Y305" s="166">
        <f t="shared" si="263"/>
        <v>6032</v>
      </c>
      <c r="Z305" s="167">
        <f t="shared" si="264"/>
        <v>8056</v>
      </c>
      <c r="AA305" s="168">
        <f t="shared" si="265"/>
        <v>5549</v>
      </c>
      <c r="AB305" s="166">
        <f t="shared" si="266"/>
        <v>6363</v>
      </c>
      <c r="AC305" s="167">
        <f t="shared" si="267"/>
        <v>9460</v>
      </c>
      <c r="AD305" s="168">
        <f t="shared" si="268"/>
        <v>6578</v>
      </c>
      <c r="AE305" s="166">
        <f t="shared" si="269"/>
        <v>7025</v>
      </c>
      <c r="AF305" s="167">
        <f t="shared" si="270"/>
        <v>10396</v>
      </c>
      <c r="AG305" s="168">
        <f t="shared" si="271"/>
        <v>7950</v>
      </c>
      <c r="AH305" s="166">
        <f t="shared" si="272"/>
        <v>8349</v>
      </c>
      <c r="AI305" s="167">
        <f t="shared" si="273"/>
        <v>11332</v>
      </c>
      <c r="AJ305" s="168">
        <f t="shared" si="274"/>
        <v>8636</v>
      </c>
      <c r="AK305" s="169">
        <f t="shared" si="275"/>
        <v>9020</v>
      </c>
      <c r="AL305" s="167">
        <f t="shared" si="276"/>
        <v>12754</v>
      </c>
      <c r="AM305" s="585">
        <f t="shared" si="277"/>
        <v>9332</v>
      </c>
      <c r="AN305" s="596">
        <v>0.28000000000000003</v>
      </c>
      <c r="AO305" s="597">
        <v>0.31</v>
      </c>
      <c r="AP305" s="597">
        <v>0.34</v>
      </c>
      <c r="AQ305" s="598">
        <v>0.37</v>
      </c>
      <c r="AR305" s="599">
        <v>0.4</v>
      </c>
      <c r="AS305" s="586"/>
      <c r="AT305" s="587"/>
      <c r="AU305" s="587"/>
      <c r="AV305" s="588"/>
      <c r="AW305" s="589"/>
      <c r="AX305" s="596">
        <v>0.04</v>
      </c>
      <c r="AY305" s="598">
        <v>4.2999999999999997E-2</v>
      </c>
      <c r="AZ305" s="598">
        <v>4.5999999999999999E-2</v>
      </c>
      <c r="BA305" s="598">
        <v>4.9000000000000002E-2</v>
      </c>
      <c r="BB305" s="598">
        <v>5.1999999999999998E-2</v>
      </c>
      <c r="BC305" s="598"/>
      <c r="BD305" s="599"/>
      <c r="BE305" s="596"/>
      <c r="BF305" s="598"/>
      <c r="BG305" s="598"/>
      <c r="BH305" s="598"/>
      <c r="BI305" s="598"/>
      <c r="BJ305" s="598"/>
      <c r="BK305" s="605"/>
      <c r="BL305" s="658">
        <f t="shared" si="253"/>
        <v>30500</v>
      </c>
      <c r="BM305" s="3">
        <f t="shared" si="254"/>
        <v>29</v>
      </c>
      <c r="BN305" s="3">
        <f t="shared" si="255"/>
        <v>41</v>
      </c>
      <c r="BO305" s="3">
        <f t="shared" si="256"/>
        <v>30</v>
      </c>
    </row>
    <row r="306" spans="2:67">
      <c r="B306" s="207" t="s">
        <v>937</v>
      </c>
      <c r="C306" s="890" t="s">
        <v>874</v>
      </c>
      <c r="D306" s="890" t="s">
        <v>70</v>
      </c>
      <c r="E306" s="238" t="s">
        <v>65</v>
      </c>
      <c r="F306" s="592">
        <v>303</v>
      </c>
      <c r="G306" s="593">
        <v>7050</v>
      </c>
      <c r="H306" s="594">
        <v>4987</v>
      </c>
      <c r="I306" s="595">
        <v>5160</v>
      </c>
      <c r="J306" s="166">
        <f t="shared" si="243"/>
        <v>141</v>
      </c>
      <c r="K306" s="167">
        <f t="shared" si="244"/>
        <v>99</v>
      </c>
      <c r="L306" s="168">
        <f t="shared" si="245"/>
        <v>103</v>
      </c>
      <c r="M306" s="166">
        <f t="shared" si="246"/>
        <v>211</v>
      </c>
      <c r="N306" s="167">
        <f t="shared" si="247"/>
        <v>149</v>
      </c>
      <c r="O306" s="168">
        <f t="shared" si="248"/>
        <v>154</v>
      </c>
      <c r="P306" s="169">
        <f t="shared" si="249"/>
        <v>282</v>
      </c>
      <c r="Q306" s="169">
        <f t="shared" si="250"/>
        <v>199</v>
      </c>
      <c r="R306" s="169">
        <f t="shared" si="251"/>
        <v>206</v>
      </c>
      <c r="S306" s="584">
        <f t="shared" si="257"/>
        <v>2115</v>
      </c>
      <c r="T306" s="594">
        <f t="shared" si="258"/>
        <v>1496</v>
      </c>
      <c r="U306" s="595">
        <f t="shared" si="259"/>
        <v>1548</v>
      </c>
      <c r="V306" s="166">
        <f t="shared" si="260"/>
        <v>4366</v>
      </c>
      <c r="W306" s="167">
        <f t="shared" si="261"/>
        <v>3085</v>
      </c>
      <c r="X306" s="168">
        <f t="shared" si="262"/>
        <v>3191</v>
      </c>
      <c r="Y306" s="166">
        <f t="shared" si="263"/>
        <v>4930</v>
      </c>
      <c r="Z306" s="167">
        <f t="shared" si="264"/>
        <v>3483</v>
      </c>
      <c r="AA306" s="168">
        <f t="shared" si="265"/>
        <v>3603</v>
      </c>
      <c r="AB306" s="166">
        <f t="shared" si="266"/>
        <v>5494</v>
      </c>
      <c r="AC306" s="167">
        <f t="shared" si="267"/>
        <v>3881</v>
      </c>
      <c r="AD306" s="168">
        <f t="shared" si="268"/>
        <v>4015</v>
      </c>
      <c r="AE306" s="166">
        <f t="shared" si="269"/>
        <v>6058</v>
      </c>
      <c r="AF306" s="167">
        <f t="shared" si="270"/>
        <v>4080</v>
      </c>
      <c r="AG306" s="168">
        <f t="shared" si="271"/>
        <v>4427</v>
      </c>
      <c r="AH306" s="166">
        <f t="shared" si="272"/>
        <v>6340</v>
      </c>
      <c r="AI306" s="167">
        <f t="shared" si="273"/>
        <v>4478</v>
      </c>
      <c r="AJ306" s="168">
        <f t="shared" si="274"/>
        <v>5045</v>
      </c>
      <c r="AK306" s="169">
        <f t="shared" si="275"/>
        <v>7191</v>
      </c>
      <c r="AL306" s="167">
        <f t="shared" si="276"/>
        <v>5086</v>
      </c>
      <c r="AM306" s="585">
        <f t="shared" si="277"/>
        <v>5263</v>
      </c>
      <c r="AN306" s="596">
        <v>0.05</v>
      </c>
      <c r="AO306" s="597">
        <v>5.5E-2</v>
      </c>
      <c r="AP306" s="597">
        <v>0.06</v>
      </c>
      <c r="AQ306" s="598">
        <v>6.5000000000000002E-2</v>
      </c>
      <c r="AR306" s="599">
        <v>7.0000000000000007E-2</v>
      </c>
      <c r="AS306" s="586"/>
      <c r="AT306" s="587"/>
      <c r="AU306" s="587"/>
      <c r="AV306" s="588"/>
      <c r="AW306" s="589"/>
      <c r="AX306" s="596">
        <v>0.03</v>
      </c>
      <c r="AY306" s="598">
        <v>3.5000000000000003E-2</v>
      </c>
      <c r="AZ306" s="598">
        <v>0.04</v>
      </c>
      <c r="BA306" s="598">
        <v>4.4999999999999998E-2</v>
      </c>
      <c r="BB306" s="598">
        <v>0.05</v>
      </c>
      <c r="BC306" s="598"/>
      <c r="BD306" s="599"/>
      <c r="BE306" s="596"/>
      <c r="BF306" s="598"/>
      <c r="BG306" s="598"/>
      <c r="BH306" s="598"/>
      <c r="BI306" s="598"/>
      <c r="BJ306" s="598"/>
      <c r="BK306" s="605"/>
      <c r="BL306" s="658">
        <f t="shared" si="253"/>
        <v>17200</v>
      </c>
      <c r="BM306" s="3">
        <f t="shared" si="254"/>
        <v>41</v>
      </c>
      <c r="BN306" s="3">
        <f t="shared" si="255"/>
        <v>29</v>
      </c>
      <c r="BO306" s="3">
        <f t="shared" si="256"/>
        <v>30</v>
      </c>
    </row>
    <row r="307" spans="2:67">
      <c r="B307" s="207" t="s">
        <v>938</v>
      </c>
      <c r="C307" s="890" t="s">
        <v>874</v>
      </c>
      <c r="D307" s="890" t="s">
        <v>23</v>
      </c>
      <c r="E307" s="238" t="s">
        <v>65</v>
      </c>
      <c r="F307" s="592">
        <v>304</v>
      </c>
      <c r="G307" s="593">
        <v>5160</v>
      </c>
      <c r="H307" s="594">
        <v>6880</v>
      </c>
      <c r="I307" s="595">
        <v>5160</v>
      </c>
      <c r="J307" s="166">
        <f t="shared" si="243"/>
        <v>103</v>
      </c>
      <c r="K307" s="167">
        <f t="shared" si="244"/>
        <v>137</v>
      </c>
      <c r="L307" s="168">
        <f t="shared" si="245"/>
        <v>103</v>
      </c>
      <c r="M307" s="166">
        <f t="shared" si="246"/>
        <v>154</v>
      </c>
      <c r="N307" s="167">
        <f t="shared" si="247"/>
        <v>206</v>
      </c>
      <c r="O307" s="168">
        <f t="shared" si="248"/>
        <v>154</v>
      </c>
      <c r="P307" s="169">
        <f t="shared" si="249"/>
        <v>206</v>
      </c>
      <c r="Q307" s="169">
        <f t="shared" si="250"/>
        <v>275</v>
      </c>
      <c r="R307" s="169">
        <f t="shared" si="251"/>
        <v>206</v>
      </c>
      <c r="S307" s="584">
        <f t="shared" si="257"/>
        <v>1548</v>
      </c>
      <c r="T307" s="594">
        <f t="shared" si="258"/>
        <v>2064</v>
      </c>
      <c r="U307" s="595">
        <f t="shared" si="259"/>
        <v>1548</v>
      </c>
      <c r="V307" s="166">
        <f t="shared" si="260"/>
        <v>3191</v>
      </c>
      <c r="W307" s="167">
        <f t="shared" si="261"/>
        <v>4261</v>
      </c>
      <c r="X307" s="168">
        <f t="shared" si="262"/>
        <v>3191</v>
      </c>
      <c r="Y307" s="166">
        <f t="shared" si="263"/>
        <v>3603</v>
      </c>
      <c r="Z307" s="167">
        <f t="shared" si="264"/>
        <v>4811</v>
      </c>
      <c r="AA307" s="168">
        <f t="shared" si="265"/>
        <v>3603</v>
      </c>
      <c r="AB307" s="166">
        <f t="shared" si="266"/>
        <v>4015</v>
      </c>
      <c r="AC307" s="167">
        <f t="shared" si="267"/>
        <v>5361</v>
      </c>
      <c r="AD307" s="168">
        <f t="shared" si="268"/>
        <v>4015</v>
      </c>
      <c r="AE307" s="166">
        <f t="shared" si="269"/>
        <v>4427</v>
      </c>
      <c r="AF307" s="167">
        <f t="shared" si="270"/>
        <v>5636</v>
      </c>
      <c r="AG307" s="168">
        <f t="shared" si="271"/>
        <v>4427</v>
      </c>
      <c r="AH307" s="166">
        <f t="shared" si="272"/>
        <v>5045</v>
      </c>
      <c r="AI307" s="167">
        <f t="shared" si="273"/>
        <v>6186</v>
      </c>
      <c r="AJ307" s="168">
        <f t="shared" si="274"/>
        <v>4633</v>
      </c>
      <c r="AK307" s="169">
        <f t="shared" si="275"/>
        <v>5263</v>
      </c>
      <c r="AL307" s="167">
        <f t="shared" si="276"/>
        <v>7017</v>
      </c>
      <c r="AM307" s="585">
        <f t="shared" si="277"/>
        <v>5263</v>
      </c>
      <c r="AN307" s="596">
        <v>7.0000000000000007E-2</v>
      </c>
      <c r="AO307" s="597">
        <v>0.08</v>
      </c>
      <c r="AP307" s="597">
        <v>0.09</v>
      </c>
      <c r="AQ307" s="598">
        <v>0.1</v>
      </c>
      <c r="AR307" s="599">
        <v>0.11</v>
      </c>
      <c r="AS307" s="586"/>
      <c r="AT307" s="587"/>
      <c r="AU307" s="587"/>
      <c r="AV307" s="588"/>
      <c r="AW307" s="589"/>
      <c r="AX307" s="596">
        <v>0.02</v>
      </c>
      <c r="AY307" s="598">
        <v>2.3E-2</v>
      </c>
      <c r="AZ307" s="598">
        <v>2.5999999999999999E-2</v>
      </c>
      <c r="BA307" s="598">
        <v>2.9000000000000001E-2</v>
      </c>
      <c r="BB307" s="598">
        <v>3.2000000000000001E-2</v>
      </c>
      <c r="BC307" s="598"/>
      <c r="BD307" s="599"/>
      <c r="BE307" s="596"/>
      <c r="BF307" s="598"/>
      <c r="BG307" s="598"/>
      <c r="BH307" s="598"/>
      <c r="BI307" s="598"/>
      <c r="BJ307" s="598"/>
      <c r="BK307" s="605"/>
      <c r="BL307" s="658">
        <f t="shared" si="253"/>
        <v>17200</v>
      </c>
      <c r="BM307" s="3">
        <f t="shared" si="254"/>
        <v>30</v>
      </c>
      <c r="BN307" s="3">
        <f t="shared" si="255"/>
        <v>40</v>
      </c>
      <c r="BO307" s="3">
        <f t="shared" si="256"/>
        <v>30</v>
      </c>
    </row>
    <row r="308" spans="2:67">
      <c r="B308" s="1269" t="s">
        <v>1847</v>
      </c>
      <c r="C308" s="1265" t="s">
        <v>309</v>
      </c>
      <c r="D308" s="1265" t="s">
        <v>1055</v>
      </c>
      <c r="E308" s="238" t="s">
        <v>65</v>
      </c>
      <c r="F308" s="1270">
        <v>305</v>
      </c>
      <c r="G308" s="593">
        <v>10360</v>
      </c>
      <c r="H308" s="594">
        <v>7840</v>
      </c>
      <c r="I308" s="595">
        <v>9800</v>
      </c>
      <c r="J308" s="166">
        <f t="shared" si="243"/>
        <v>207</v>
      </c>
      <c r="K308" s="167">
        <f t="shared" si="244"/>
        <v>156</v>
      </c>
      <c r="L308" s="168">
        <f t="shared" si="245"/>
        <v>196</v>
      </c>
      <c r="M308" s="166">
        <f t="shared" si="246"/>
        <v>259</v>
      </c>
      <c r="N308" s="167">
        <f t="shared" si="247"/>
        <v>196</v>
      </c>
      <c r="O308" s="168">
        <f t="shared" si="248"/>
        <v>245</v>
      </c>
      <c r="P308" s="169">
        <f t="shared" si="249"/>
        <v>388</v>
      </c>
      <c r="Q308" s="169">
        <f t="shared" si="250"/>
        <v>294</v>
      </c>
      <c r="R308" s="169">
        <f t="shared" si="251"/>
        <v>367</v>
      </c>
      <c r="S308" s="584">
        <f t="shared" si="257"/>
        <v>2590</v>
      </c>
      <c r="T308" s="594">
        <f t="shared" si="258"/>
        <v>1960</v>
      </c>
      <c r="U308" s="595">
        <f t="shared" si="259"/>
        <v>2450</v>
      </c>
      <c r="V308" s="166">
        <f t="shared" si="260"/>
        <v>5905</v>
      </c>
      <c r="W308" s="167">
        <f t="shared" si="261"/>
        <v>4468</v>
      </c>
      <c r="X308" s="168">
        <f t="shared" si="262"/>
        <v>5586</v>
      </c>
      <c r="Y308" s="166">
        <f t="shared" si="263"/>
        <v>6293</v>
      </c>
      <c r="Z308" s="167">
        <f t="shared" si="264"/>
        <v>5350</v>
      </c>
      <c r="AA308" s="168">
        <f t="shared" si="265"/>
        <v>6320</v>
      </c>
      <c r="AB308" s="166">
        <f t="shared" si="266"/>
        <v>7457</v>
      </c>
      <c r="AC308" s="167">
        <f t="shared" si="267"/>
        <v>5644</v>
      </c>
      <c r="AD308" s="168">
        <f t="shared" si="268"/>
        <v>7421</v>
      </c>
      <c r="AE308" s="166">
        <f t="shared" si="269"/>
        <v>9009</v>
      </c>
      <c r="AF308" s="167">
        <f t="shared" si="270"/>
        <v>6232</v>
      </c>
      <c r="AG308" s="168">
        <f t="shared" si="271"/>
        <v>8155</v>
      </c>
      <c r="AH308" s="166">
        <f t="shared" si="272"/>
        <v>9785</v>
      </c>
      <c r="AI308" s="167">
        <f t="shared" si="273"/>
        <v>7408</v>
      </c>
      <c r="AJ308" s="168">
        <f t="shared" si="274"/>
        <v>8889</v>
      </c>
      <c r="AK308" s="169">
        <f t="shared" si="275"/>
        <v>10567</v>
      </c>
      <c r="AL308" s="167">
        <f t="shared" si="276"/>
        <v>7996</v>
      </c>
      <c r="AM308" s="585">
        <f t="shared" si="277"/>
        <v>9996</v>
      </c>
      <c r="AN308" s="596">
        <v>7.0000000000000007E-2</v>
      </c>
      <c r="AO308" s="597">
        <v>7.4999999999999997E-2</v>
      </c>
      <c r="AP308" s="597">
        <v>0.08</v>
      </c>
      <c r="AQ308" s="598">
        <v>8.5000000000000006E-2</v>
      </c>
      <c r="AR308" s="599">
        <v>0.09</v>
      </c>
      <c r="AS308" s="586"/>
      <c r="AT308" s="587"/>
      <c r="AU308" s="587"/>
      <c r="AV308" s="588"/>
      <c r="AW308" s="589"/>
      <c r="AX308" s="596">
        <v>0.03</v>
      </c>
      <c r="AY308" s="598">
        <v>3.3000000000000002E-2</v>
      </c>
      <c r="AZ308" s="598">
        <v>3.5999999999999997E-2</v>
      </c>
      <c r="BA308" s="598">
        <v>3.9E-2</v>
      </c>
      <c r="BB308" s="598">
        <v>4.2000000000000003E-2</v>
      </c>
      <c r="BC308" s="598"/>
      <c r="BD308" s="599"/>
      <c r="BE308" s="596"/>
      <c r="BF308" s="598"/>
      <c r="BG308" s="598"/>
      <c r="BH308" s="598"/>
      <c r="BI308" s="598"/>
      <c r="BJ308" s="598"/>
      <c r="BK308" s="605"/>
      <c r="BL308" s="658">
        <f t="shared" si="253"/>
        <v>28000</v>
      </c>
      <c r="BM308" s="3">
        <f t="shared" si="254"/>
        <v>37</v>
      </c>
      <c r="BN308" s="3">
        <f t="shared" si="255"/>
        <v>28</v>
      </c>
      <c r="BO308" s="3">
        <f t="shared" si="256"/>
        <v>35</v>
      </c>
    </row>
    <row r="309" spans="2:67">
      <c r="B309" s="207" t="s">
        <v>1060</v>
      </c>
      <c r="C309" s="890" t="s">
        <v>310</v>
      </c>
      <c r="D309" s="890" t="s">
        <v>1061</v>
      </c>
      <c r="E309" s="238" t="s">
        <v>65</v>
      </c>
      <c r="F309" s="592">
        <v>306</v>
      </c>
      <c r="G309" s="593">
        <v>6020</v>
      </c>
      <c r="H309" s="594">
        <v>3954</v>
      </c>
      <c r="I309" s="595">
        <v>7223</v>
      </c>
      <c r="J309" s="166">
        <f t="shared" si="243"/>
        <v>120</v>
      </c>
      <c r="K309" s="167">
        <f t="shared" si="244"/>
        <v>79</v>
      </c>
      <c r="L309" s="168">
        <f t="shared" si="245"/>
        <v>144</v>
      </c>
      <c r="M309" s="166">
        <f t="shared" si="246"/>
        <v>180</v>
      </c>
      <c r="N309" s="167">
        <f t="shared" si="247"/>
        <v>118</v>
      </c>
      <c r="O309" s="168">
        <f t="shared" si="248"/>
        <v>216</v>
      </c>
      <c r="P309" s="169">
        <f t="shared" si="249"/>
        <v>240</v>
      </c>
      <c r="Q309" s="169">
        <f t="shared" si="250"/>
        <v>158</v>
      </c>
      <c r="R309" s="169">
        <f t="shared" si="251"/>
        <v>288</v>
      </c>
      <c r="S309" s="584">
        <f t="shared" si="257"/>
        <v>1806</v>
      </c>
      <c r="T309" s="594">
        <f t="shared" si="258"/>
        <v>1186</v>
      </c>
      <c r="U309" s="595">
        <f t="shared" si="259"/>
        <v>2167</v>
      </c>
      <c r="V309" s="166">
        <f t="shared" si="260"/>
        <v>3726</v>
      </c>
      <c r="W309" s="167">
        <f t="shared" si="261"/>
        <v>2445</v>
      </c>
      <c r="X309" s="168">
        <f t="shared" si="262"/>
        <v>4471</v>
      </c>
      <c r="Y309" s="166">
        <f t="shared" si="263"/>
        <v>4206</v>
      </c>
      <c r="Z309" s="167">
        <f t="shared" si="264"/>
        <v>2761</v>
      </c>
      <c r="AA309" s="168">
        <f t="shared" si="265"/>
        <v>5047</v>
      </c>
      <c r="AB309" s="166">
        <f t="shared" si="266"/>
        <v>4686</v>
      </c>
      <c r="AC309" s="167">
        <f t="shared" si="267"/>
        <v>3077</v>
      </c>
      <c r="AD309" s="168">
        <f t="shared" si="268"/>
        <v>5623</v>
      </c>
      <c r="AE309" s="166">
        <f t="shared" si="269"/>
        <v>5166</v>
      </c>
      <c r="AF309" s="167">
        <f t="shared" si="270"/>
        <v>3235</v>
      </c>
      <c r="AG309" s="168">
        <f t="shared" si="271"/>
        <v>6199</v>
      </c>
      <c r="AH309" s="166">
        <f t="shared" si="272"/>
        <v>5406</v>
      </c>
      <c r="AI309" s="167">
        <f t="shared" si="273"/>
        <v>3551</v>
      </c>
      <c r="AJ309" s="168">
        <f t="shared" si="274"/>
        <v>7063</v>
      </c>
      <c r="AK309" s="169">
        <f t="shared" si="275"/>
        <v>6140</v>
      </c>
      <c r="AL309" s="167">
        <f t="shared" si="276"/>
        <v>4033</v>
      </c>
      <c r="AM309" s="585">
        <f t="shared" si="277"/>
        <v>7367</v>
      </c>
      <c r="AN309" s="596">
        <v>0.05</v>
      </c>
      <c r="AO309" s="597">
        <v>5.5E-2</v>
      </c>
      <c r="AP309" s="597">
        <v>0.06</v>
      </c>
      <c r="AQ309" s="598">
        <v>6.5000000000000002E-2</v>
      </c>
      <c r="AR309" s="599">
        <v>7.0000000000000007E-2</v>
      </c>
      <c r="AS309" s="586"/>
      <c r="AT309" s="587"/>
      <c r="AU309" s="587"/>
      <c r="AV309" s="588"/>
      <c r="AW309" s="589"/>
      <c r="AX309" s="596">
        <v>0.03</v>
      </c>
      <c r="AY309" s="598">
        <v>3.5000000000000003E-2</v>
      </c>
      <c r="AZ309" s="598">
        <v>0.04</v>
      </c>
      <c r="BA309" s="598">
        <v>4.4999999999999998E-2</v>
      </c>
      <c r="BB309" s="598">
        <v>0.05</v>
      </c>
      <c r="BC309" s="598"/>
      <c r="BD309" s="599"/>
      <c r="BE309" s="596"/>
      <c r="BF309" s="598"/>
      <c r="BG309" s="598"/>
      <c r="BH309" s="598"/>
      <c r="BI309" s="598"/>
      <c r="BJ309" s="598"/>
      <c r="BK309" s="605"/>
      <c r="BL309" s="658">
        <f t="shared" si="253"/>
        <v>17200</v>
      </c>
      <c r="BM309" s="3">
        <f t="shared" si="254"/>
        <v>35</v>
      </c>
      <c r="BN309" s="3">
        <f t="shared" si="255"/>
        <v>23</v>
      </c>
      <c r="BO309" s="3">
        <f t="shared" si="256"/>
        <v>42</v>
      </c>
    </row>
    <row r="310" spans="2:67">
      <c r="B310" s="1269" t="s">
        <v>1848</v>
      </c>
      <c r="C310" s="1265" t="s">
        <v>309</v>
      </c>
      <c r="D310" s="1265" t="s">
        <v>1065</v>
      </c>
      <c r="E310" s="1267" t="s">
        <v>125</v>
      </c>
      <c r="F310" s="592">
        <v>307</v>
      </c>
      <c r="G310" s="593">
        <v>5980</v>
      </c>
      <c r="H310" s="594">
        <v>10120</v>
      </c>
      <c r="I310" s="595">
        <v>6900</v>
      </c>
      <c r="J310" s="166">
        <f t="shared" si="243"/>
        <v>119</v>
      </c>
      <c r="K310" s="167">
        <f t="shared" si="244"/>
        <v>202</v>
      </c>
      <c r="L310" s="168">
        <f t="shared" si="245"/>
        <v>138</v>
      </c>
      <c r="M310" s="166">
        <f t="shared" si="246"/>
        <v>149</v>
      </c>
      <c r="N310" s="167">
        <f t="shared" si="247"/>
        <v>253</v>
      </c>
      <c r="O310" s="168">
        <f t="shared" si="248"/>
        <v>172</v>
      </c>
      <c r="P310" s="169">
        <f t="shared" si="249"/>
        <v>224</v>
      </c>
      <c r="Q310" s="169">
        <f t="shared" si="250"/>
        <v>379</v>
      </c>
      <c r="R310" s="169">
        <f t="shared" si="251"/>
        <v>258</v>
      </c>
      <c r="S310" s="584">
        <f t="shared" si="257"/>
        <v>1495</v>
      </c>
      <c r="T310" s="594">
        <f t="shared" si="258"/>
        <v>2530</v>
      </c>
      <c r="U310" s="595">
        <f t="shared" si="259"/>
        <v>1725</v>
      </c>
      <c r="V310" s="166">
        <f t="shared" si="260"/>
        <v>3402</v>
      </c>
      <c r="W310" s="167">
        <f t="shared" si="261"/>
        <v>5768</v>
      </c>
      <c r="X310" s="168">
        <f t="shared" si="262"/>
        <v>3927</v>
      </c>
      <c r="Y310" s="166">
        <f t="shared" si="263"/>
        <v>4074</v>
      </c>
      <c r="Z310" s="167">
        <f t="shared" si="264"/>
        <v>6526</v>
      </c>
      <c r="AA310" s="168">
        <f t="shared" si="265"/>
        <v>4185</v>
      </c>
      <c r="AB310" s="166">
        <f t="shared" si="266"/>
        <v>4298</v>
      </c>
      <c r="AC310" s="167">
        <f t="shared" si="267"/>
        <v>7663</v>
      </c>
      <c r="AD310" s="168">
        <f t="shared" si="268"/>
        <v>4959</v>
      </c>
      <c r="AE310" s="166">
        <f t="shared" si="269"/>
        <v>4746</v>
      </c>
      <c r="AF310" s="167">
        <f t="shared" si="270"/>
        <v>8421</v>
      </c>
      <c r="AG310" s="168">
        <f t="shared" si="271"/>
        <v>5991</v>
      </c>
      <c r="AH310" s="166">
        <f t="shared" si="272"/>
        <v>5642</v>
      </c>
      <c r="AI310" s="167">
        <f t="shared" si="273"/>
        <v>9179</v>
      </c>
      <c r="AJ310" s="168">
        <f t="shared" si="274"/>
        <v>6507</v>
      </c>
      <c r="AK310" s="169">
        <f t="shared" si="275"/>
        <v>6099</v>
      </c>
      <c r="AL310" s="167">
        <f t="shared" si="276"/>
        <v>10322</v>
      </c>
      <c r="AM310" s="585">
        <f t="shared" si="277"/>
        <v>7038</v>
      </c>
      <c r="AN310" s="596">
        <v>0.17</v>
      </c>
      <c r="AO310" s="597">
        <v>0.2</v>
      </c>
      <c r="AP310" s="597">
        <v>0.23</v>
      </c>
      <c r="AQ310" s="598">
        <v>0.26</v>
      </c>
      <c r="AR310" s="599">
        <v>0.28999999999999998</v>
      </c>
      <c r="AS310" s="586"/>
      <c r="AT310" s="587"/>
      <c r="AU310" s="587"/>
      <c r="AV310" s="588"/>
      <c r="AW310" s="589"/>
      <c r="AX310" s="596">
        <v>0.03</v>
      </c>
      <c r="AY310" s="598">
        <v>3.3000000000000002E-2</v>
      </c>
      <c r="AZ310" s="598">
        <v>3.5999999999999997E-2</v>
      </c>
      <c r="BA310" s="598">
        <v>3.9E-2</v>
      </c>
      <c r="BB310" s="598">
        <v>4.2000000000000003E-2</v>
      </c>
      <c r="BC310" s="598"/>
      <c r="BD310" s="599"/>
      <c r="BE310" s="596"/>
      <c r="BF310" s="598"/>
      <c r="BG310" s="598"/>
      <c r="BH310" s="598"/>
      <c r="BI310" s="598"/>
      <c r="BJ310" s="598"/>
      <c r="BK310" s="605"/>
      <c r="BL310" s="658">
        <f t="shared" si="253"/>
        <v>23000</v>
      </c>
      <c r="BM310" s="3">
        <f t="shared" si="254"/>
        <v>26</v>
      </c>
      <c r="BN310" s="3">
        <f t="shared" si="255"/>
        <v>44</v>
      </c>
      <c r="BO310" s="3">
        <f t="shared" si="256"/>
        <v>30</v>
      </c>
    </row>
    <row r="311" spans="2:67">
      <c r="B311" s="1269" t="s">
        <v>1849</v>
      </c>
      <c r="C311" s="1265" t="s">
        <v>309</v>
      </c>
      <c r="D311" s="1265" t="s">
        <v>1061</v>
      </c>
      <c r="E311" s="1267" t="s">
        <v>65</v>
      </c>
      <c r="F311" s="592">
        <v>308</v>
      </c>
      <c r="G311" s="593">
        <v>8400</v>
      </c>
      <c r="H311" s="594">
        <v>8400</v>
      </c>
      <c r="I311" s="595">
        <v>11200</v>
      </c>
      <c r="J311" s="166">
        <f t="shared" si="243"/>
        <v>168</v>
      </c>
      <c r="K311" s="167">
        <f t="shared" si="244"/>
        <v>168</v>
      </c>
      <c r="L311" s="168">
        <f t="shared" si="245"/>
        <v>224</v>
      </c>
      <c r="M311" s="166">
        <f t="shared" si="246"/>
        <v>210</v>
      </c>
      <c r="N311" s="167">
        <f t="shared" si="247"/>
        <v>210</v>
      </c>
      <c r="O311" s="168">
        <f t="shared" si="248"/>
        <v>280</v>
      </c>
      <c r="P311" s="169">
        <f t="shared" si="249"/>
        <v>315</v>
      </c>
      <c r="Q311" s="169">
        <f t="shared" si="250"/>
        <v>315</v>
      </c>
      <c r="R311" s="169">
        <f t="shared" si="251"/>
        <v>420</v>
      </c>
      <c r="S311" s="584">
        <f t="shared" si="257"/>
        <v>2100</v>
      </c>
      <c r="T311" s="594">
        <f t="shared" si="258"/>
        <v>2100</v>
      </c>
      <c r="U311" s="595">
        <f t="shared" si="259"/>
        <v>2800</v>
      </c>
      <c r="V311" s="166">
        <f t="shared" si="260"/>
        <v>4788</v>
      </c>
      <c r="W311" s="167">
        <f t="shared" si="261"/>
        <v>4788</v>
      </c>
      <c r="X311" s="168">
        <f t="shared" si="262"/>
        <v>6384</v>
      </c>
      <c r="Y311" s="166">
        <f t="shared" si="263"/>
        <v>5103</v>
      </c>
      <c r="Z311" s="167">
        <f t="shared" si="264"/>
        <v>5418</v>
      </c>
      <c r="AA311" s="168">
        <f t="shared" si="265"/>
        <v>7644</v>
      </c>
      <c r="AB311" s="166">
        <f t="shared" si="266"/>
        <v>6048</v>
      </c>
      <c r="AC311" s="167">
        <f t="shared" si="267"/>
        <v>6363</v>
      </c>
      <c r="AD311" s="168">
        <f t="shared" si="268"/>
        <v>8064</v>
      </c>
      <c r="AE311" s="166">
        <f t="shared" si="269"/>
        <v>7308</v>
      </c>
      <c r="AF311" s="167">
        <f t="shared" si="270"/>
        <v>6993</v>
      </c>
      <c r="AG311" s="168">
        <f t="shared" si="271"/>
        <v>8904</v>
      </c>
      <c r="AH311" s="166">
        <f t="shared" si="272"/>
        <v>7938</v>
      </c>
      <c r="AI311" s="167">
        <f t="shared" si="273"/>
        <v>7623</v>
      </c>
      <c r="AJ311" s="168">
        <f t="shared" si="274"/>
        <v>10584</v>
      </c>
      <c r="AK311" s="169">
        <f t="shared" si="275"/>
        <v>8568</v>
      </c>
      <c r="AL311" s="167">
        <f t="shared" si="276"/>
        <v>8568</v>
      </c>
      <c r="AM311" s="585">
        <f t="shared" si="277"/>
        <v>11424</v>
      </c>
      <c r="AN311" s="596">
        <v>0.2</v>
      </c>
      <c r="AO311" s="597">
        <v>0.23</v>
      </c>
      <c r="AP311" s="597">
        <v>0.26</v>
      </c>
      <c r="AQ311" s="598">
        <v>0.28999999999999998</v>
      </c>
      <c r="AR311" s="599">
        <v>0.32</v>
      </c>
      <c r="AS311" s="586"/>
      <c r="AT311" s="587"/>
      <c r="AU311" s="587"/>
      <c r="AV311" s="588"/>
      <c r="AW311" s="589"/>
      <c r="AX311" s="596">
        <v>0.04</v>
      </c>
      <c r="AY311" s="598">
        <v>4.2999999999999997E-2</v>
      </c>
      <c r="AZ311" s="598">
        <v>4.5999999999999999E-2</v>
      </c>
      <c r="BA311" s="598">
        <v>4.9000000000000002E-2</v>
      </c>
      <c r="BB311" s="598">
        <v>5.1999999999999998E-2</v>
      </c>
      <c r="BC311" s="598"/>
      <c r="BD311" s="599"/>
      <c r="BE311" s="596"/>
      <c r="BF311" s="598"/>
      <c r="BG311" s="598"/>
      <c r="BH311" s="598"/>
      <c r="BI311" s="598"/>
      <c r="BJ311" s="598"/>
      <c r="BK311" s="605"/>
      <c r="BL311" s="658">
        <f t="shared" si="253"/>
        <v>28000</v>
      </c>
      <c r="BM311" s="3">
        <f t="shared" si="254"/>
        <v>30</v>
      </c>
      <c r="BN311" s="3">
        <f t="shared" si="255"/>
        <v>30</v>
      </c>
      <c r="BO311" s="3">
        <f t="shared" si="256"/>
        <v>40</v>
      </c>
    </row>
    <row r="312" spans="2:67">
      <c r="B312" s="207" t="s">
        <v>1076</v>
      </c>
      <c r="C312" s="890" t="s">
        <v>310</v>
      </c>
      <c r="D312" s="890" t="s">
        <v>1077</v>
      </c>
      <c r="E312" s="238" t="s">
        <v>125</v>
      </c>
      <c r="F312" s="592">
        <v>309</v>
      </c>
      <c r="G312" s="593">
        <v>5963</v>
      </c>
      <c r="H312" s="594">
        <v>4827</v>
      </c>
      <c r="I312" s="595">
        <v>3407</v>
      </c>
      <c r="J312" s="166">
        <f t="shared" si="243"/>
        <v>119</v>
      </c>
      <c r="K312" s="167">
        <f t="shared" si="244"/>
        <v>96</v>
      </c>
      <c r="L312" s="168">
        <f t="shared" si="245"/>
        <v>68</v>
      </c>
      <c r="M312" s="166">
        <f t="shared" si="246"/>
        <v>178</v>
      </c>
      <c r="N312" s="167">
        <f t="shared" si="247"/>
        <v>144</v>
      </c>
      <c r="O312" s="168">
        <f t="shared" si="248"/>
        <v>102</v>
      </c>
      <c r="P312" s="169">
        <f t="shared" si="249"/>
        <v>238</v>
      </c>
      <c r="Q312" s="169">
        <f t="shared" si="250"/>
        <v>193</v>
      </c>
      <c r="R312" s="169">
        <f t="shared" si="251"/>
        <v>136</v>
      </c>
      <c r="S312" s="584">
        <f t="shared" si="257"/>
        <v>1789</v>
      </c>
      <c r="T312" s="594">
        <f t="shared" si="258"/>
        <v>1448</v>
      </c>
      <c r="U312" s="595">
        <f t="shared" si="259"/>
        <v>1022</v>
      </c>
      <c r="V312" s="166">
        <f t="shared" si="260"/>
        <v>3688</v>
      </c>
      <c r="W312" s="167">
        <f t="shared" si="261"/>
        <v>2984</v>
      </c>
      <c r="X312" s="168">
        <f t="shared" si="262"/>
        <v>2110</v>
      </c>
      <c r="Y312" s="166">
        <f t="shared" si="263"/>
        <v>4164</v>
      </c>
      <c r="Z312" s="167">
        <f t="shared" si="264"/>
        <v>3370</v>
      </c>
      <c r="AA312" s="168">
        <f t="shared" si="265"/>
        <v>2382</v>
      </c>
      <c r="AB312" s="166">
        <f t="shared" si="266"/>
        <v>4640</v>
      </c>
      <c r="AC312" s="167">
        <f t="shared" si="267"/>
        <v>3756</v>
      </c>
      <c r="AD312" s="168">
        <f t="shared" si="268"/>
        <v>2654</v>
      </c>
      <c r="AE312" s="166">
        <f t="shared" si="269"/>
        <v>4878</v>
      </c>
      <c r="AF312" s="167">
        <f t="shared" si="270"/>
        <v>4142</v>
      </c>
      <c r="AG312" s="168">
        <f t="shared" si="271"/>
        <v>2926</v>
      </c>
      <c r="AH312" s="166">
        <f t="shared" si="272"/>
        <v>5354</v>
      </c>
      <c r="AI312" s="167">
        <f t="shared" si="273"/>
        <v>4335</v>
      </c>
      <c r="AJ312" s="168">
        <f t="shared" si="274"/>
        <v>3334</v>
      </c>
      <c r="AK312" s="169">
        <f t="shared" si="275"/>
        <v>6082</v>
      </c>
      <c r="AL312" s="167">
        <f t="shared" si="276"/>
        <v>4923</v>
      </c>
      <c r="AM312" s="585">
        <f t="shared" si="277"/>
        <v>3475</v>
      </c>
      <c r="AN312" s="596">
        <v>0.03</v>
      </c>
      <c r="AO312" s="597">
        <v>3.3000000000000002E-2</v>
      </c>
      <c r="AP312" s="597">
        <v>3.5999999999999997E-2</v>
      </c>
      <c r="AQ312" s="598">
        <v>3.9E-2</v>
      </c>
      <c r="AR312" s="599">
        <v>4.2000000000000003E-2</v>
      </c>
      <c r="AS312" s="586"/>
      <c r="AT312" s="587"/>
      <c r="AU312" s="587"/>
      <c r="AV312" s="588"/>
      <c r="AW312" s="589"/>
      <c r="AX312" s="596">
        <v>0.02</v>
      </c>
      <c r="AY312" s="598">
        <v>2.3E-2</v>
      </c>
      <c r="AZ312" s="598">
        <v>2.5999999999999999E-2</v>
      </c>
      <c r="BA312" s="598">
        <v>2.9000000000000001E-2</v>
      </c>
      <c r="BB312" s="598">
        <v>3.2000000000000001E-2</v>
      </c>
      <c r="BC312" s="598"/>
      <c r="BD312" s="599"/>
      <c r="BE312" s="596"/>
      <c r="BF312" s="598"/>
      <c r="BG312" s="598"/>
      <c r="BH312" s="598"/>
      <c r="BI312" s="598"/>
      <c r="BJ312" s="598"/>
      <c r="BK312" s="605"/>
      <c r="BL312" s="658">
        <f t="shared" si="253"/>
        <v>14200</v>
      </c>
      <c r="BM312" s="3">
        <f t="shared" si="254"/>
        <v>42</v>
      </c>
      <c r="BN312" s="3">
        <f t="shared" si="255"/>
        <v>34</v>
      </c>
      <c r="BO312" s="3">
        <f t="shared" si="256"/>
        <v>24</v>
      </c>
    </row>
    <row r="313" spans="2:67">
      <c r="B313" s="207" t="s">
        <v>1082</v>
      </c>
      <c r="C313" s="890" t="s">
        <v>310</v>
      </c>
      <c r="D313" s="890" t="s">
        <v>1055</v>
      </c>
      <c r="E313" s="238" t="s">
        <v>125</v>
      </c>
      <c r="F313" s="592">
        <v>310</v>
      </c>
      <c r="G313" s="593">
        <v>5680</v>
      </c>
      <c r="H313" s="594">
        <v>3833</v>
      </c>
      <c r="I313" s="595">
        <v>4684</v>
      </c>
      <c r="J313" s="166">
        <f t="shared" si="243"/>
        <v>113</v>
      </c>
      <c r="K313" s="167">
        <f t="shared" si="244"/>
        <v>76</v>
      </c>
      <c r="L313" s="168">
        <f t="shared" si="245"/>
        <v>93</v>
      </c>
      <c r="M313" s="166">
        <f t="shared" si="246"/>
        <v>170</v>
      </c>
      <c r="N313" s="167">
        <f t="shared" si="247"/>
        <v>115</v>
      </c>
      <c r="O313" s="168">
        <f t="shared" si="248"/>
        <v>140</v>
      </c>
      <c r="P313" s="169">
        <f t="shared" si="249"/>
        <v>227</v>
      </c>
      <c r="Q313" s="169">
        <f t="shared" si="250"/>
        <v>153</v>
      </c>
      <c r="R313" s="169">
        <f t="shared" si="251"/>
        <v>187</v>
      </c>
      <c r="S313" s="584">
        <f t="shared" si="257"/>
        <v>1704</v>
      </c>
      <c r="T313" s="594">
        <f t="shared" si="258"/>
        <v>1150</v>
      </c>
      <c r="U313" s="595">
        <f t="shared" si="259"/>
        <v>1405</v>
      </c>
      <c r="V313" s="166">
        <f t="shared" si="260"/>
        <v>3517</v>
      </c>
      <c r="W313" s="167">
        <f t="shared" si="261"/>
        <v>2376</v>
      </c>
      <c r="X313" s="168">
        <f t="shared" si="262"/>
        <v>2898</v>
      </c>
      <c r="Y313" s="166">
        <f t="shared" si="263"/>
        <v>3971</v>
      </c>
      <c r="Z313" s="167">
        <f t="shared" si="264"/>
        <v>2682</v>
      </c>
      <c r="AA313" s="168">
        <f t="shared" si="265"/>
        <v>3272</v>
      </c>
      <c r="AB313" s="166">
        <f t="shared" si="266"/>
        <v>4425</v>
      </c>
      <c r="AC313" s="167">
        <f t="shared" si="267"/>
        <v>2988</v>
      </c>
      <c r="AD313" s="168">
        <f t="shared" si="268"/>
        <v>3646</v>
      </c>
      <c r="AE313" s="166">
        <f t="shared" si="269"/>
        <v>4879</v>
      </c>
      <c r="AF313" s="167">
        <f t="shared" si="270"/>
        <v>3294</v>
      </c>
      <c r="AG313" s="168">
        <f t="shared" si="271"/>
        <v>3833</v>
      </c>
      <c r="AH313" s="166">
        <f t="shared" si="272"/>
        <v>5106</v>
      </c>
      <c r="AI313" s="167">
        <f t="shared" si="273"/>
        <v>3753</v>
      </c>
      <c r="AJ313" s="168">
        <f t="shared" si="274"/>
        <v>4207</v>
      </c>
      <c r="AK313" s="169">
        <f t="shared" si="275"/>
        <v>5793</v>
      </c>
      <c r="AL313" s="167">
        <f t="shared" si="276"/>
        <v>3909</v>
      </c>
      <c r="AM313" s="585">
        <f t="shared" si="277"/>
        <v>4777</v>
      </c>
      <c r="AN313" s="596">
        <v>0.03</v>
      </c>
      <c r="AO313" s="597">
        <v>3.3000000000000002E-2</v>
      </c>
      <c r="AP313" s="597">
        <v>3.5999999999999997E-2</v>
      </c>
      <c r="AQ313" s="598">
        <v>3.9E-2</v>
      </c>
      <c r="AR313" s="599">
        <v>4.2000000000000003E-2</v>
      </c>
      <c r="AS313" s="586"/>
      <c r="AT313" s="587"/>
      <c r="AU313" s="587"/>
      <c r="AV313" s="588"/>
      <c r="AW313" s="589"/>
      <c r="AX313" s="596">
        <v>0.02</v>
      </c>
      <c r="AY313" s="598">
        <v>2.3E-2</v>
      </c>
      <c r="AZ313" s="598">
        <v>2.5999999999999999E-2</v>
      </c>
      <c r="BA313" s="598">
        <v>2.9000000000000001E-2</v>
      </c>
      <c r="BB313" s="598">
        <v>3.2000000000000001E-2</v>
      </c>
      <c r="BC313" s="598"/>
      <c r="BD313" s="599"/>
      <c r="BE313" s="596"/>
      <c r="BF313" s="598"/>
      <c r="BG313" s="598"/>
      <c r="BH313" s="598"/>
      <c r="BI313" s="598"/>
      <c r="BJ313" s="598"/>
      <c r="BK313" s="605"/>
      <c r="BL313" s="658">
        <f t="shared" si="253"/>
        <v>14200</v>
      </c>
      <c r="BM313" s="3">
        <f t="shared" si="254"/>
        <v>40</v>
      </c>
      <c r="BN313" s="3">
        <f t="shared" si="255"/>
        <v>27</v>
      </c>
      <c r="BO313" s="3">
        <f t="shared" si="256"/>
        <v>33</v>
      </c>
    </row>
    <row r="314" spans="2:67">
      <c r="B314" s="1269" t="s">
        <v>1107</v>
      </c>
      <c r="C314" s="1265" t="s">
        <v>873</v>
      </c>
      <c r="D314" s="1265" t="s">
        <v>70</v>
      </c>
      <c r="E314" s="238" t="s">
        <v>65</v>
      </c>
      <c r="F314" s="1270">
        <v>311</v>
      </c>
      <c r="G314" s="593">
        <v>8960</v>
      </c>
      <c r="H314" s="594">
        <v>8400</v>
      </c>
      <c r="I314" s="595">
        <v>10640</v>
      </c>
      <c r="J314" s="166">
        <f t="shared" si="243"/>
        <v>179</v>
      </c>
      <c r="K314" s="167">
        <f t="shared" si="244"/>
        <v>168</v>
      </c>
      <c r="L314" s="168">
        <f t="shared" si="245"/>
        <v>212</v>
      </c>
      <c r="M314" s="166">
        <f t="shared" si="246"/>
        <v>224</v>
      </c>
      <c r="N314" s="167">
        <f t="shared" si="247"/>
        <v>210</v>
      </c>
      <c r="O314" s="168">
        <f t="shared" si="248"/>
        <v>266</v>
      </c>
      <c r="P314" s="169">
        <f t="shared" si="249"/>
        <v>336</v>
      </c>
      <c r="Q314" s="169">
        <f t="shared" si="250"/>
        <v>315</v>
      </c>
      <c r="R314" s="169">
        <f t="shared" si="251"/>
        <v>399</v>
      </c>
      <c r="S314" s="584">
        <f t="shared" si="257"/>
        <v>2240</v>
      </c>
      <c r="T314" s="594">
        <f t="shared" si="258"/>
        <v>2100</v>
      </c>
      <c r="U314" s="595">
        <f t="shared" si="259"/>
        <v>2660</v>
      </c>
      <c r="V314" s="166">
        <f t="shared" si="260"/>
        <v>5107</v>
      </c>
      <c r="W314" s="167">
        <f t="shared" si="261"/>
        <v>4788</v>
      </c>
      <c r="X314" s="168">
        <f t="shared" si="262"/>
        <v>6064</v>
      </c>
      <c r="Y314" s="166">
        <f t="shared" si="263"/>
        <v>5443</v>
      </c>
      <c r="Z314" s="167">
        <f t="shared" si="264"/>
        <v>5418</v>
      </c>
      <c r="AA314" s="168">
        <f t="shared" si="265"/>
        <v>7261</v>
      </c>
      <c r="AB314" s="166">
        <f t="shared" si="266"/>
        <v>6451</v>
      </c>
      <c r="AC314" s="167">
        <f t="shared" si="267"/>
        <v>6363</v>
      </c>
      <c r="AD314" s="168">
        <f t="shared" si="268"/>
        <v>7660</v>
      </c>
      <c r="AE314" s="166">
        <f t="shared" si="269"/>
        <v>7795</v>
      </c>
      <c r="AF314" s="167">
        <f t="shared" si="270"/>
        <v>6993</v>
      </c>
      <c r="AG314" s="168">
        <f t="shared" si="271"/>
        <v>8458</v>
      </c>
      <c r="AH314" s="166">
        <f t="shared" si="272"/>
        <v>8467</v>
      </c>
      <c r="AI314" s="167">
        <f t="shared" si="273"/>
        <v>7623</v>
      </c>
      <c r="AJ314" s="168">
        <f t="shared" si="274"/>
        <v>10054</v>
      </c>
      <c r="AK314" s="169">
        <f t="shared" si="275"/>
        <v>9139</v>
      </c>
      <c r="AL314" s="167">
        <f t="shared" si="276"/>
        <v>8568</v>
      </c>
      <c r="AM314" s="585">
        <f t="shared" si="277"/>
        <v>10852</v>
      </c>
      <c r="AN314" s="596">
        <v>0.11</v>
      </c>
      <c r="AO314" s="597">
        <v>0.14000000000000001</v>
      </c>
      <c r="AP314" s="597">
        <v>0.17</v>
      </c>
      <c r="AQ314" s="598">
        <v>0.2</v>
      </c>
      <c r="AR314" s="599">
        <v>0.23</v>
      </c>
      <c r="AS314" s="596">
        <v>3.2000000000000001E-2</v>
      </c>
      <c r="AT314" s="598">
        <v>3.5000000000000003E-2</v>
      </c>
      <c r="AU314" s="598">
        <v>3.7999999999999999E-2</v>
      </c>
      <c r="AV314" s="598">
        <v>4.1000000000000002E-2</v>
      </c>
      <c r="AW314" s="599">
        <v>4.3999999999999997E-2</v>
      </c>
      <c r="AX314" s="596">
        <v>0.04</v>
      </c>
      <c r="AY314" s="598">
        <v>4.2999999999999997E-2</v>
      </c>
      <c r="AZ314" s="598">
        <v>4.5999999999999999E-2</v>
      </c>
      <c r="BA314" s="598">
        <v>4.9000000000000002E-2</v>
      </c>
      <c r="BB314" s="598">
        <v>5.1999999999999998E-2</v>
      </c>
      <c r="BC314" s="598"/>
      <c r="BD314" s="599"/>
      <c r="BE314" s="596"/>
      <c r="BF314" s="598"/>
      <c r="BG314" s="598"/>
      <c r="BH314" s="598"/>
      <c r="BI314" s="598"/>
      <c r="BJ314" s="598"/>
      <c r="BK314" s="605"/>
      <c r="BL314" s="658">
        <f t="shared" si="253"/>
        <v>28000</v>
      </c>
      <c r="BM314" s="3">
        <f t="shared" si="254"/>
        <v>32</v>
      </c>
      <c r="BN314" s="3">
        <f t="shared" si="255"/>
        <v>30</v>
      </c>
      <c r="BO314" s="3">
        <f t="shared" si="256"/>
        <v>38</v>
      </c>
    </row>
    <row r="315" spans="2:67">
      <c r="B315" s="207" t="s">
        <v>1106</v>
      </c>
      <c r="C315" s="890" t="s">
        <v>874</v>
      </c>
      <c r="D315" s="890" t="s">
        <v>13</v>
      </c>
      <c r="E315" s="238" t="s">
        <v>65</v>
      </c>
      <c r="F315" s="592">
        <v>312</v>
      </c>
      <c r="G315" s="593">
        <v>6880</v>
      </c>
      <c r="H315" s="594">
        <v>6190</v>
      </c>
      <c r="I315" s="595">
        <v>4127</v>
      </c>
      <c r="J315" s="166">
        <f t="shared" si="243"/>
        <v>137</v>
      </c>
      <c r="K315" s="167">
        <f t="shared" si="244"/>
        <v>123</v>
      </c>
      <c r="L315" s="168">
        <f t="shared" si="245"/>
        <v>82</v>
      </c>
      <c r="M315" s="166">
        <f t="shared" si="246"/>
        <v>206</v>
      </c>
      <c r="N315" s="167">
        <f t="shared" si="247"/>
        <v>185</v>
      </c>
      <c r="O315" s="168">
        <f t="shared" si="248"/>
        <v>123</v>
      </c>
      <c r="P315" s="169">
        <f t="shared" si="249"/>
        <v>275</v>
      </c>
      <c r="Q315" s="169">
        <f t="shared" si="250"/>
        <v>247</v>
      </c>
      <c r="R315" s="169">
        <f t="shared" si="251"/>
        <v>165</v>
      </c>
      <c r="S315" s="584">
        <f t="shared" si="257"/>
        <v>2064</v>
      </c>
      <c r="T315" s="594">
        <f t="shared" si="258"/>
        <v>1857</v>
      </c>
      <c r="U315" s="595">
        <f t="shared" si="259"/>
        <v>1238</v>
      </c>
      <c r="V315" s="166">
        <f t="shared" si="260"/>
        <v>4261</v>
      </c>
      <c r="W315" s="167">
        <f t="shared" si="261"/>
        <v>3830</v>
      </c>
      <c r="X315" s="168">
        <f t="shared" si="262"/>
        <v>2550</v>
      </c>
      <c r="Y315" s="166">
        <f t="shared" si="263"/>
        <v>4811</v>
      </c>
      <c r="Z315" s="167">
        <f t="shared" si="264"/>
        <v>4324</v>
      </c>
      <c r="AA315" s="168">
        <f t="shared" si="265"/>
        <v>2880</v>
      </c>
      <c r="AB315" s="166">
        <f t="shared" si="266"/>
        <v>5361</v>
      </c>
      <c r="AC315" s="167">
        <f t="shared" si="267"/>
        <v>4818</v>
      </c>
      <c r="AD315" s="168">
        <f t="shared" si="268"/>
        <v>3210</v>
      </c>
      <c r="AE315" s="166">
        <f t="shared" si="269"/>
        <v>5636</v>
      </c>
      <c r="AF315" s="167">
        <f t="shared" si="270"/>
        <v>5312</v>
      </c>
      <c r="AG315" s="168">
        <f t="shared" si="271"/>
        <v>3540</v>
      </c>
      <c r="AH315" s="166">
        <f t="shared" si="272"/>
        <v>6186</v>
      </c>
      <c r="AI315" s="167">
        <f t="shared" si="273"/>
        <v>5559</v>
      </c>
      <c r="AJ315" s="168">
        <f t="shared" si="274"/>
        <v>4035</v>
      </c>
      <c r="AK315" s="169">
        <f t="shared" si="275"/>
        <v>7017</v>
      </c>
      <c r="AL315" s="167">
        <f t="shared" si="276"/>
        <v>6313</v>
      </c>
      <c r="AM315" s="585">
        <f t="shared" si="277"/>
        <v>4209</v>
      </c>
      <c r="AN315" s="596">
        <v>0.25</v>
      </c>
      <c r="AO315" s="597">
        <v>0.28000000000000003</v>
      </c>
      <c r="AP315" s="597">
        <v>0.31</v>
      </c>
      <c r="AQ315" s="598">
        <v>0.34</v>
      </c>
      <c r="AR315" s="599">
        <v>0.37</v>
      </c>
      <c r="AS315" s="586"/>
      <c r="AT315" s="587"/>
      <c r="AU315" s="587"/>
      <c r="AV315" s="588"/>
      <c r="AW315" s="589"/>
      <c r="AX315" s="596">
        <v>0.02</v>
      </c>
      <c r="AY315" s="598">
        <v>2.3E-2</v>
      </c>
      <c r="AZ315" s="598">
        <v>2.5999999999999999E-2</v>
      </c>
      <c r="BA315" s="598">
        <v>2.9000000000000001E-2</v>
      </c>
      <c r="BB315" s="598">
        <v>3.2000000000000001E-2</v>
      </c>
      <c r="BC315" s="598"/>
      <c r="BD315" s="599"/>
      <c r="BE315" s="596"/>
      <c r="BF315" s="598"/>
      <c r="BG315" s="598"/>
      <c r="BH315" s="598"/>
      <c r="BI315" s="598"/>
      <c r="BJ315" s="598"/>
      <c r="BK315" s="605"/>
      <c r="BL315" s="658">
        <f t="shared" si="253"/>
        <v>17200</v>
      </c>
      <c r="BM315" s="3">
        <f t="shared" si="254"/>
        <v>40</v>
      </c>
      <c r="BN315" s="3">
        <f t="shared" si="255"/>
        <v>36</v>
      </c>
      <c r="BO315" s="3">
        <f t="shared" si="256"/>
        <v>24</v>
      </c>
    </row>
    <row r="316" spans="2:67">
      <c r="B316" s="1269" t="s">
        <v>1116</v>
      </c>
      <c r="C316" s="1265" t="s">
        <v>873</v>
      </c>
      <c r="D316" s="1265" t="s">
        <v>23</v>
      </c>
      <c r="E316" s="238" t="s">
        <v>65</v>
      </c>
      <c r="F316" s="592">
        <v>313</v>
      </c>
      <c r="G316" s="593">
        <v>7840</v>
      </c>
      <c r="H316" s="594">
        <v>12880</v>
      </c>
      <c r="I316" s="595">
        <v>7280</v>
      </c>
      <c r="J316" s="166">
        <f t="shared" si="243"/>
        <v>156</v>
      </c>
      <c r="K316" s="167">
        <f t="shared" si="244"/>
        <v>257</v>
      </c>
      <c r="L316" s="168">
        <f t="shared" si="245"/>
        <v>145</v>
      </c>
      <c r="M316" s="166">
        <f t="shared" si="246"/>
        <v>196</v>
      </c>
      <c r="N316" s="167">
        <f t="shared" si="247"/>
        <v>322</v>
      </c>
      <c r="O316" s="168">
        <f t="shared" si="248"/>
        <v>182</v>
      </c>
      <c r="P316" s="169">
        <f t="shared" si="249"/>
        <v>294</v>
      </c>
      <c r="Q316" s="169">
        <f t="shared" si="250"/>
        <v>483</v>
      </c>
      <c r="R316" s="169">
        <f t="shared" si="251"/>
        <v>273</v>
      </c>
      <c r="S316" s="584">
        <f t="shared" si="257"/>
        <v>1960</v>
      </c>
      <c r="T316" s="594">
        <f t="shared" si="258"/>
        <v>3220</v>
      </c>
      <c r="U316" s="595">
        <f t="shared" si="259"/>
        <v>1820</v>
      </c>
      <c r="V316" s="166">
        <f t="shared" si="260"/>
        <v>4468</v>
      </c>
      <c r="W316" s="167">
        <f t="shared" si="261"/>
        <v>7341</v>
      </c>
      <c r="X316" s="168">
        <f t="shared" si="262"/>
        <v>4149</v>
      </c>
      <c r="Y316" s="166">
        <f t="shared" si="263"/>
        <v>5350</v>
      </c>
      <c r="Z316" s="167">
        <f t="shared" si="264"/>
        <v>8307</v>
      </c>
      <c r="AA316" s="168">
        <f t="shared" si="265"/>
        <v>4422</v>
      </c>
      <c r="AB316" s="166">
        <f t="shared" si="266"/>
        <v>5644</v>
      </c>
      <c r="AC316" s="167">
        <f t="shared" si="267"/>
        <v>9756</v>
      </c>
      <c r="AD316" s="168">
        <f t="shared" si="268"/>
        <v>5241</v>
      </c>
      <c r="AE316" s="166">
        <f t="shared" si="269"/>
        <v>6232</v>
      </c>
      <c r="AF316" s="167">
        <f t="shared" si="270"/>
        <v>10722</v>
      </c>
      <c r="AG316" s="168">
        <f t="shared" si="271"/>
        <v>6333</v>
      </c>
      <c r="AH316" s="166">
        <f t="shared" si="272"/>
        <v>7408</v>
      </c>
      <c r="AI316" s="167">
        <f t="shared" si="273"/>
        <v>11688</v>
      </c>
      <c r="AJ316" s="168">
        <f t="shared" si="274"/>
        <v>6879</v>
      </c>
      <c r="AK316" s="169">
        <f t="shared" si="275"/>
        <v>7996</v>
      </c>
      <c r="AL316" s="167">
        <f t="shared" si="276"/>
        <v>13137</v>
      </c>
      <c r="AM316" s="585">
        <f t="shared" si="277"/>
        <v>7425</v>
      </c>
      <c r="AN316" s="596">
        <v>0.38</v>
      </c>
      <c r="AO316" s="597">
        <v>0.41</v>
      </c>
      <c r="AP316" s="597">
        <v>0.44</v>
      </c>
      <c r="AQ316" s="598">
        <v>0.47</v>
      </c>
      <c r="AR316" s="599">
        <v>0.5</v>
      </c>
      <c r="AS316" s="603"/>
      <c r="AT316" s="588"/>
      <c r="AU316" s="588"/>
      <c r="AV316" s="588"/>
      <c r="AW316" s="589"/>
      <c r="AX316" s="596">
        <v>0.04</v>
      </c>
      <c r="AY316" s="598">
        <v>4.2999999999999997E-2</v>
      </c>
      <c r="AZ316" s="598">
        <v>4.5999999999999999E-2</v>
      </c>
      <c r="BA316" s="598">
        <v>4.9000000000000002E-2</v>
      </c>
      <c r="BB316" s="598">
        <v>5.1999999999999998E-2</v>
      </c>
      <c r="BC316" s="598"/>
      <c r="BD316" s="599"/>
      <c r="BE316" s="596"/>
      <c r="BF316" s="598"/>
      <c r="BG316" s="598"/>
      <c r="BH316" s="598"/>
      <c r="BI316" s="598"/>
      <c r="BJ316" s="598"/>
      <c r="BK316" s="605"/>
      <c r="BL316" s="658">
        <f t="shared" si="253"/>
        <v>28000</v>
      </c>
      <c r="BM316" s="3">
        <f t="shared" si="254"/>
        <v>28</v>
      </c>
      <c r="BN316" s="3">
        <f t="shared" si="255"/>
        <v>46</v>
      </c>
      <c r="BO316" s="3">
        <f t="shared" si="256"/>
        <v>26</v>
      </c>
    </row>
    <row r="317" spans="2:67">
      <c r="B317" s="207" t="s">
        <v>1133</v>
      </c>
      <c r="C317" s="890" t="s">
        <v>874</v>
      </c>
      <c r="D317" s="890" t="s">
        <v>13</v>
      </c>
      <c r="E317" s="238" t="s">
        <v>65</v>
      </c>
      <c r="F317" s="592">
        <v>314</v>
      </c>
      <c r="G317" s="593">
        <v>6880</v>
      </c>
      <c r="H317" s="594">
        <v>5847</v>
      </c>
      <c r="I317" s="595">
        <v>4470</v>
      </c>
      <c r="J317" s="166">
        <f t="shared" si="243"/>
        <v>137</v>
      </c>
      <c r="K317" s="167">
        <f t="shared" si="244"/>
        <v>116</v>
      </c>
      <c r="L317" s="168">
        <f t="shared" si="245"/>
        <v>89</v>
      </c>
      <c r="M317" s="166">
        <f t="shared" si="246"/>
        <v>206</v>
      </c>
      <c r="N317" s="167">
        <f t="shared" si="247"/>
        <v>175</v>
      </c>
      <c r="O317" s="168">
        <f t="shared" si="248"/>
        <v>134</v>
      </c>
      <c r="P317" s="169">
        <f t="shared" si="249"/>
        <v>275</v>
      </c>
      <c r="Q317" s="169">
        <f t="shared" si="250"/>
        <v>233</v>
      </c>
      <c r="R317" s="169">
        <f t="shared" si="251"/>
        <v>178</v>
      </c>
      <c r="S317" s="584">
        <f t="shared" si="257"/>
        <v>2064</v>
      </c>
      <c r="T317" s="594">
        <f t="shared" si="258"/>
        <v>1754</v>
      </c>
      <c r="U317" s="595">
        <f t="shared" si="259"/>
        <v>1341</v>
      </c>
      <c r="V317" s="166">
        <f t="shared" si="260"/>
        <v>4261</v>
      </c>
      <c r="W317" s="167">
        <f t="shared" si="261"/>
        <v>3620</v>
      </c>
      <c r="X317" s="168">
        <f t="shared" si="262"/>
        <v>2770</v>
      </c>
      <c r="Y317" s="166">
        <f t="shared" si="263"/>
        <v>4811</v>
      </c>
      <c r="Z317" s="167">
        <f t="shared" si="264"/>
        <v>4086</v>
      </c>
      <c r="AA317" s="168">
        <f t="shared" si="265"/>
        <v>3126</v>
      </c>
      <c r="AB317" s="166">
        <f t="shared" si="266"/>
        <v>5361</v>
      </c>
      <c r="AC317" s="167">
        <f t="shared" si="267"/>
        <v>4552</v>
      </c>
      <c r="AD317" s="168">
        <f t="shared" si="268"/>
        <v>3482</v>
      </c>
      <c r="AE317" s="166">
        <f t="shared" si="269"/>
        <v>5636</v>
      </c>
      <c r="AF317" s="167">
        <f t="shared" si="270"/>
        <v>5018</v>
      </c>
      <c r="AG317" s="168">
        <f t="shared" si="271"/>
        <v>3838</v>
      </c>
      <c r="AH317" s="166">
        <f t="shared" si="272"/>
        <v>6186</v>
      </c>
      <c r="AI317" s="167">
        <f t="shared" si="273"/>
        <v>5251</v>
      </c>
      <c r="AJ317" s="168">
        <f t="shared" si="274"/>
        <v>4372</v>
      </c>
      <c r="AK317" s="169">
        <f t="shared" si="275"/>
        <v>7017</v>
      </c>
      <c r="AL317" s="167">
        <f t="shared" si="276"/>
        <v>5963</v>
      </c>
      <c r="AM317" s="585">
        <f t="shared" si="277"/>
        <v>4559</v>
      </c>
      <c r="AN317" s="596">
        <v>0.04</v>
      </c>
      <c r="AO317" s="597">
        <v>4.2999999999999997E-2</v>
      </c>
      <c r="AP317" s="597">
        <v>4.5999999999999999E-2</v>
      </c>
      <c r="AQ317" s="598">
        <v>4.9000000000000002E-2</v>
      </c>
      <c r="AR317" s="599">
        <v>5.1999999999999998E-2</v>
      </c>
      <c r="AS317" s="603"/>
      <c r="AT317" s="588"/>
      <c r="AU317" s="588"/>
      <c r="AV317" s="588"/>
      <c r="AW317" s="589"/>
      <c r="AX317" s="596">
        <v>0.05</v>
      </c>
      <c r="AY317" s="598">
        <v>5.5E-2</v>
      </c>
      <c r="AZ317" s="598">
        <v>0.06</v>
      </c>
      <c r="BA317" s="598">
        <v>6.5000000000000002E-2</v>
      </c>
      <c r="BB317" s="598">
        <v>7.0000000000000007E-2</v>
      </c>
      <c r="BC317" s="598"/>
      <c r="BD317" s="599"/>
      <c r="BE317" s="596"/>
      <c r="BF317" s="598"/>
      <c r="BG317" s="598"/>
      <c r="BH317" s="598"/>
      <c r="BI317" s="598"/>
      <c r="BJ317" s="598"/>
      <c r="BK317" s="605"/>
      <c r="BL317" s="658">
        <f t="shared" si="253"/>
        <v>17200</v>
      </c>
      <c r="BM317" s="3">
        <f t="shared" si="254"/>
        <v>40</v>
      </c>
      <c r="BN317" s="3">
        <f t="shared" si="255"/>
        <v>34</v>
      </c>
      <c r="BO317" s="3">
        <f t="shared" si="256"/>
        <v>26</v>
      </c>
    </row>
    <row r="318" spans="2:67">
      <c r="B318" s="207" t="s">
        <v>1136</v>
      </c>
      <c r="C318" s="890" t="s">
        <v>873</v>
      </c>
      <c r="D318" s="890" t="s">
        <v>70</v>
      </c>
      <c r="E318" s="238" t="s">
        <v>65</v>
      </c>
      <c r="F318" s="592">
        <v>315</v>
      </c>
      <c r="G318" s="593">
        <v>10360</v>
      </c>
      <c r="H318" s="594">
        <v>9800</v>
      </c>
      <c r="I318" s="595">
        <v>7840</v>
      </c>
      <c r="J318" s="166">
        <f t="shared" si="243"/>
        <v>207</v>
      </c>
      <c r="K318" s="167">
        <f t="shared" si="244"/>
        <v>196</v>
      </c>
      <c r="L318" s="168">
        <f t="shared" si="245"/>
        <v>156</v>
      </c>
      <c r="M318" s="166">
        <f t="shared" si="246"/>
        <v>259</v>
      </c>
      <c r="N318" s="167">
        <f t="shared" si="247"/>
        <v>245</v>
      </c>
      <c r="O318" s="168">
        <f t="shared" si="248"/>
        <v>196</v>
      </c>
      <c r="P318" s="169">
        <f t="shared" si="249"/>
        <v>388</v>
      </c>
      <c r="Q318" s="169">
        <f t="shared" si="250"/>
        <v>367</v>
      </c>
      <c r="R318" s="169">
        <f t="shared" si="251"/>
        <v>294</v>
      </c>
      <c r="S318" s="584">
        <f t="shared" si="257"/>
        <v>2590</v>
      </c>
      <c r="T318" s="594">
        <f t="shared" si="258"/>
        <v>2450</v>
      </c>
      <c r="U318" s="595">
        <f t="shared" si="259"/>
        <v>1960</v>
      </c>
      <c r="V318" s="166">
        <f t="shared" si="260"/>
        <v>5905</v>
      </c>
      <c r="W318" s="167">
        <f t="shared" si="261"/>
        <v>5586</v>
      </c>
      <c r="X318" s="168">
        <f t="shared" si="262"/>
        <v>4468</v>
      </c>
      <c r="Y318" s="166">
        <f t="shared" si="263"/>
        <v>6293</v>
      </c>
      <c r="Z318" s="167">
        <f t="shared" si="264"/>
        <v>6320</v>
      </c>
      <c r="AA318" s="168">
        <f t="shared" si="265"/>
        <v>5350</v>
      </c>
      <c r="AB318" s="166">
        <f t="shared" si="266"/>
        <v>7457</v>
      </c>
      <c r="AC318" s="167">
        <f t="shared" si="267"/>
        <v>7421</v>
      </c>
      <c r="AD318" s="168">
        <f t="shared" si="268"/>
        <v>5644</v>
      </c>
      <c r="AE318" s="166">
        <f t="shared" si="269"/>
        <v>9009</v>
      </c>
      <c r="AF318" s="167">
        <f t="shared" si="270"/>
        <v>8155</v>
      </c>
      <c r="AG318" s="168">
        <f t="shared" si="271"/>
        <v>6232</v>
      </c>
      <c r="AH318" s="166">
        <f t="shared" si="272"/>
        <v>9785</v>
      </c>
      <c r="AI318" s="167">
        <f t="shared" si="273"/>
        <v>8889</v>
      </c>
      <c r="AJ318" s="168">
        <f t="shared" si="274"/>
        <v>7408</v>
      </c>
      <c r="AK318" s="169">
        <f t="shared" si="275"/>
        <v>10567</v>
      </c>
      <c r="AL318" s="167">
        <f t="shared" si="276"/>
        <v>9996</v>
      </c>
      <c r="AM318" s="585">
        <f t="shared" si="277"/>
        <v>7996</v>
      </c>
      <c r="AN318" s="596">
        <v>0.05</v>
      </c>
      <c r="AO318" s="597">
        <v>5.2999999999999999E-2</v>
      </c>
      <c r="AP318" s="597">
        <v>5.6000000000000001E-2</v>
      </c>
      <c r="AQ318" s="598">
        <v>5.8999999999999997E-2</v>
      </c>
      <c r="AR318" s="599">
        <v>6.2E-2</v>
      </c>
      <c r="AS318" s="603"/>
      <c r="AT318" s="588"/>
      <c r="AU318" s="588"/>
      <c r="AV318" s="588"/>
      <c r="AW318" s="589"/>
      <c r="AX318" s="596">
        <v>0.04</v>
      </c>
      <c r="AY318" s="598">
        <v>4.2999999999999997E-2</v>
      </c>
      <c r="AZ318" s="598">
        <v>4.5999999999999999E-2</v>
      </c>
      <c r="BA318" s="598">
        <v>4.9000000000000002E-2</v>
      </c>
      <c r="BB318" s="598">
        <v>5.1999999999999998E-2</v>
      </c>
      <c r="BC318" s="598"/>
      <c r="BD318" s="599"/>
      <c r="BE318" s="596"/>
      <c r="BF318" s="598"/>
      <c r="BG318" s="598"/>
      <c r="BH318" s="598"/>
      <c r="BI318" s="598"/>
      <c r="BJ318" s="598"/>
      <c r="BK318" s="605"/>
      <c r="BL318" s="658">
        <f t="shared" si="253"/>
        <v>28000</v>
      </c>
      <c r="BM318" s="3">
        <f t="shared" si="254"/>
        <v>37</v>
      </c>
      <c r="BN318" s="3">
        <f t="shared" si="255"/>
        <v>35</v>
      </c>
      <c r="BO318" s="3">
        <f t="shared" si="256"/>
        <v>28</v>
      </c>
    </row>
    <row r="319" spans="2:67">
      <c r="B319" s="207" t="s">
        <v>1117</v>
      </c>
      <c r="C319" s="890" t="s">
        <v>873</v>
      </c>
      <c r="D319" s="890" t="s">
        <v>13</v>
      </c>
      <c r="E319" s="238" t="s">
        <v>125</v>
      </c>
      <c r="F319" s="592">
        <v>316</v>
      </c>
      <c r="G319" s="593">
        <v>8693</v>
      </c>
      <c r="H319" s="594">
        <v>7753</v>
      </c>
      <c r="I319" s="595">
        <v>7049</v>
      </c>
      <c r="J319" s="166">
        <f t="shared" si="243"/>
        <v>173</v>
      </c>
      <c r="K319" s="167">
        <f t="shared" si="244"/>
        <v>155</v>
      </c>
      <c r="L319" s="168">
        <f t="shared" si="245"/>
        <v>141</v>
      </c>
      <c r="M319" s="166">
        <f t="shared" si="246"/>
        <v>217</v>
      </c>
      <c r="N319" s="167">
        <f t="shared" si="247"/>
        <v>193</v>
      </c>
      <c r="O319" s="168">
        <f t="shared" si="248"/>
        <v>176</v>
      </c>
      <c r="P319" s="169">
        <f t="shared" si="249"/>
        <v>326</v>
      </c>
      <c r="Q319" s="169">
        <f t="shared" si="250"/>
        <v>290</v>
      </c>
      <c r="R319" s="169">
        <f t="shared" si="251"/>
        <v>264</v>
      </c>
      <c r="S319" s="584">
        <f t="shared" si="257"/>
        <v>2173</v>
      </c>
      <c r="T319" s="594">
        <f t="shared" si="258"/>
        <v>1938</v>
      </c>
      <c r="U319" s="595">
        <f t="shared" si="259"/>
        <v>1762</v>
      </c>
      <c r="V319" s="166">
        <f t="shared" si="260"/>
        <v>4950</v>
      </c>
      <c r="W319" s="167">
        <f t="shared" si="261"/>
        <v>4409</v>
      </c>
      <c r="X319" s="168">
        <f t="shared" si="262"/>
        <v>4015</v>
      </c>
      <c r="Y319" s="166">
        <f t="shared" si="263"/>
        <v>5602</v>
      </c>
      <c r="Z319" s="167">
        <f t="shared" si="264"/>
        <v>4699</v>
      </c>
      <c r="AA319" s="168">
        <f t="shared" si="265"/>
        <v>4807</v>
      </c>
      <c r="AB319" s="166">
        <f t="shared" si="266"/>
        <v>6580</v>
      </c>
      <c r="AC319" s="167">
        <f t="shared" si="267"/>
        <v>5569</v>
      </c>
      <c r="AD319" s="168">
        <f t="shared" si="268"/>
        <v>5071</v>
      </c>
      <c r="AE319" s="166">
        <f t="shared" si="269"/>
        <v>7232</v>
      </c>
      <c r="AF319" s="167">
        <f t="shared" si="270"/>
        <v>6729</v>
      </c>
      <c r="AG319" s="168">
        <f t="shared" si="271"/>
        <v>5599</v>
      </c>
      <c r="AH319" s="166">
        <f t="shared" si="272"/>
        <v>7884</v>
      </c>
      <c r="AI319" s="167">
        <f t="shared" si="273"/>
        <v>7309</v>
      </c>
      <c r="AJ319" s="168">
        <f t="shared" si="274"/>
        <v>6655</v>
      </c>
      <c r="AK319" s="169">
        <f t="shared" si="275"/>
        <v>8866</v>
      </c>
      <c r="AL319" s="167">
        <f t="shared" si="276"/>
        <v>7908</v>
      </c>
      <c r="AM319" s="585">
        <f t="shared" si="277"/>
        <v>7190</v>
      </c>
      <c r="AN319" s="596">
        <v>0.05</v>
      </c>
      <c r="AO319" s="597">
        <v>5.2999999999999999E-2</v>
      </c>
      <c r="AP319" s="597">
        <v>5.6000000000000001E-2</v>
      </c>
      <c r="AQ319" s="598">
        <v>5.8999999999999997E-2</v>
      </c>
      <c r="AR319" s="599">
        <v>6.2E-2</v>
      </c>
      <c r="AS319" s="603"/>
      <c r="AT319" s="588"/>
      <c r="AU319" s="588"/>
      <c r="AV319" s="588"/>
      <c r="AW319" s="589"/>
      <c r="AX319" s="596">
        <v>0.04</v>
      </c>
      <c r="AY319" s="598">
        <v>4.2999999999999997E-2</v>
      </c>
      <c r="AZ319" s="598">
        <v>4.5999999999999999E-2</v>
      </c>
      <c r="BA319" s="598">
        <v>4.9000000000000002E-2</v>
      </c>
      <c r="BB319" s="598">
        <v>5.1999999999999998E-2</v>
      </c>
      <c r="BC319" s="598"/>
      <c r="BD319" s="599"/>
      <c r="BE319" s="596"/>
      <c r="BF319" s="598"/>
      <c r="BG319" s="598"/>
      <c r="BH319" s="598"/>
      <c r="BI319" s="598"/>
      <c r="BJ319" s="598"/>
      <c r="BK319" s="605"/>
      <c r="BL319" s="658">
        <f t="shared" si="253"/>
        <v>23500</v>
      </c>
      <c r="BM319" s="3">
        <f t="shared" si="254"/>
        <v>37</v>
      </c>
      <c r="BN319" s="3">
        <f t="shared" si="255"/>
        <v>33</v>
      </c>
      <c r="BO319" s="3">
        <f t="shared" si="256"/>
        <v>30</v>
      </c>
    </row>
    <row r="320" spans="2:67">
      <c r="B320" s="207" t="s">
        <v>1131</v>
      </c>
      <c r="C320" s="875" t="s">
        <v>874</v>
      </c>
      <c r="D320" s="875" t="s">
        <v>70</v>
      </c>
      <c r="E320" s="238" t="s">
        <v>125</v>
      </c>
      <c r="F320" s="592">
        <v>317</v>
      </c>
      <c r="G320" s="593">
        <v>4400</v>
      </c>
      <c r="H320" s="594">
        <v>4543</v>
      </c>
      <c r="I320" s="595">
        <v>5253</v>
      </c>
      <c r="J320" s="166">
        <f t="shared" si="243"/>
        <v>88</v>
      </c>
      <c r="K320" s="167">
        <f t="shared" si="244"/>
        <v>90</v>
      </c>
      <c r="L320" s="168">
        <f t="shared" si="245"/>
        <v>105</v>
      </c>
      <c r="M320" s="166">
        <f t="shared" si="246"/>
        <v>132</v>
      </c>
      <c r="N320" s="167">
        <f t="shared" si="247"/>
        <v>136</v>
      </c>
      <c r="O320" s="168">
        <f t="shared" si="248"/>
        <v>157</v>
      </c>
      <c r="P320" s="169">
        <f t="shared" si="249"/>
        <v>176</v>
      </c>
      <c r="Q320" s="169">
        <f t="shared" si="250"/>
        <v>181</v>
      </c>
      <c r="R320" s="169">
        <f t="shared" si="251"/>
        <v>210</v>
      </c>
      <c r="S320" s="584">
        <f t="shared" si="257"/>
        <v>1320</v>
      </c>
      <c r="T320" s="594">
        <f t="shared" si="258"/>
        <v>1363</v>
      </c>
      <c r="U320" s="595">
        <f t="shared" si="259"/>
        <v>1576</v>
      </c>
      <c r="V320" s="166">
        <f t="shared" si="260"/>
        <v>2728</v>
      </c>
      <c r="W320" s="167">
        <f t="shared" si="261"/>
        <v>2813</v>
      </c>
      <c r="X320" s="168">
        <f t="shared" si="262"/>
        <v>3251</v>
      </c>
      <c r="Y320" s="166">
        <f t="shared" si="263"/>
        <v>3080</v>
      </c>
      <c r="Z320" s="167">
        <f t="shared" si="264"/>
        <v>3175</v>
      </c>
      <c r="AA320" s="168">
        <f t="shared" si="265"/>
        <v>3671</v>
      </c>
      <c r="AB320" s="166">
        <f t="shared" si="266"/>
        <v>3432</v>
      </c>
      <c r="AC320" s="167">
        <f t="shared" si="267"/>
        <v>3537</v>
      </c>
      <c r="AD320" s="168">
        <f t="shared" si="268"/>
        <v>4091</v>
      </c>
      <c r="AE320" s="166">
        <f t="shared" si="269"/>
        <v>3784</v>
      </c>
      <c r="AF320" s="167">
        <f t="shared" si="270"/>
        <v>3718</v>
      </c>
      <c r="AG320" s="168">
        <f t="shared" si="271"/>
        <v>4511</v>
      </c>
      <c r="AH320" s="166">
        <f t="shared" si="272"/>
        <v>3960</v>
      </c>
      <c r="AI320" s="167">
        <f t="shared" si="273"/>
        <v>4080</v>
      </c>
      <c r="AJ320" s="168">
        <f t="shared" si="274"/>
        <v>5141</v>
      </c>
      <c r="AK320" s="169">
        <f t="shared" si="275"/>
        <v>4488</v>
      </c>
      <c r="AL320" s="167">
        <f t="shared" si="276"/>
        <v>4633</v>
      </c>
      <c r="AM320" s="585">
        <f t="shared" si="277"/>
        <v>5358</v>
      </c>
      <c r="AN320" s="596">
        <v>0.1</v>
      </c>
      <c r="AO320" s="597">
        <v>0.105</v>
      </c>
      <c r="AP320" s="597">
        <v>0.11</v>
      </c>
      <c r="AQ320" s="598">
        <v>0.115</v>
      </c>
      <c r="AR320" s="599">
        <v>0.12</v>
      </c>
      <c r="AS320" s="603"/>
      <c r="AT320" s="588"/>
      <c r="AU320" s="588"/>
      <c r="AV320" s="588"/>
      <c r="AW320" s="589"/>
      <c r="AX320" s="596">
        <v>0.03</v>
      </c>
      <c r="AY320" s="598">
        <v>3.5000000000000003E-2</v>
      </c>
      <c r="AZ320" s="598">
        <v>0.04</v>
      </c>
      <c r="BA320" s="598">
        <v>4.4999999999999998E-2</v>
      </c>
      <c r="BB320" s="598">
        <v>0.05</v>
      </c>
      <c r="BC320" s="598"/>
      <c r="BD320" s="599"/>
      <c r="BE320" s="596"/>
      <c r="BF320" s="598"/>
      <c r="BG320" s="598"/>
      <c r="BH320" s="598"/>
      <c r="BI320" s="598"/>
      <c r="BJ320" s="598"/>
      <c r="BK320" s="605"/>
      <c r="BL320" s="658">
        <f t="shared" si="253"/>
        <v>14200</v>
      </c>
      <c r="BM320" s="3">
        <f t="shared" si="254"/>
        <v>31</v>
      </c>
      <c r="BN320" s="3">
        <f t="shared" si="255"/>
        <v>32</v>
      </c>
      <c r="BO320" s="3">
        <f t="shared" si="256"/>
        <v>37</v>
      </c>
    </row>
    <row r="321" spans="2:67">
      <c r="B321" s="207" t="s">
        <v>1132</v>
      </c>
      <c r="C321" s="890" t="s">
        <v>874</v>
      </c>
      <c r="D321" s="890" t="s">
        <v>14</v>
      </c>
      <c r="E321" s="238" t="s">
        <v>125</v>
      </c>
      <c r="F321" s="592">
        <v>318</v>
      </c>
      <c r="G321" s="593">
        <v>4970</v>
      </c>
      <c r="H321" s="594">
        <v>3974</v>
      </c>
      <c r="I321" s="595">
        <v>5253</v>
      </c>
      <c r="J321" s="166">
        <f t="shared" si="243"/>
        <v>99</v>
      </c>
      <c r="K321" s="167">
        <f t="shared" si="244"/>
        <v>79</v>
      </c>
      <c r="L321" s="168">
        <f t="shared" si="245"/>
        <v>105</v>
      </c>
      <c r="M321" s="166">
        <f t="shared" si="246"/>
        <v>149</v>
      </c>
      <c r="N321" s="167">
        <f t="shared" si="247"/>
        <v>119</v>
      </c>
      <c r="O321" s="168">
        <f t="shared" si="248"/>
        <v>157</v>
      </c>
      <c r="P321" s="169">
        <f t="shared" si="249"/>
        <v>198</v>
      </c>
      <c r="Q321" s="169">
        <f t="shared" si="250"/>
        <v>159</v>
      </c>
      <c r="R321" s="169">
        <f t="shared" si="251"/>
        <v>210</v>
      </c>
      <c r="S321" s="584">
        <f t="shared" si="257"/>
        <v>1491</v>
      </c>
      <c r="T321" s="594">
        <f t="shared" si="258"/>
        <v>1192</v>
      </c>
      <c r="U321" s="595">
        <f t="shared" si="259"/>
        <v>1576</v>
      </c>
      <c r="V321" s="166">
        <f t="shared" si="260"/>
        <v>3080</v>
      </c>
      <c r="W321" s="167">
        <f t="shared" si="261"/>
        <v>2461</v>
      </c>
      <c r="X321" s="168">
        <f t="shared" si="262"/>
        <v>3251</v>
      </c>
      <c r="Y321" s="166">
        <f t="shared" si="263"/>
        <v>3476</v>
      </c>
      <c r="Z321" s="167">
        <f t="shared" si="264"/>
        <v>2779</v>
      </c>
      <c r="AA321" s="168">
        <f t="shared" si="265"/>
        <v>3671</v>
      </c>
      <c r="AB321" s="166">
        <f t="shared" si="266"/>
        <v>3872</v>
      </c>
      <c r="AC321" s="167">
        <f t="shared" si="267"/>
        <v>3097</v>
      </c>
      <c r="AD321" s="168">
        <f t="shared" si="268"/>
        <v>4091</v>
      </c>
      <c r="AE321" s="166">
        <f t="shared" si="269"/>
        <v>4268</v>
      </c>
      <c r="AF321" s="167">
        <f t="shared" si="270"/>
        <v>3415</v>
      </c>
      <c r="AG321" s="168">
        <f t="shared" si="271"/>
        <v>4301</v>
      </c>
      <c r="AH321" s="166">
        <f t="shared" si="272"/>
        <v>4466</v>
      </c>
      <c r="AI321" s="167">
        <f t="shared" si="273"/>
        <v>3892</v>
      </c>
      <c r="AJ321" s="168">
        <f t="shared" si="274"/>
        <v>4721</v>
      </c>
      <c r="AK321" s="169">
        <f t="shared" si="275"/>
        <v>5069</v>
      </c>
      <c r="AL321" s="167">
        <f t="shared" si="276"/>
        <v>4053</v>
      </c>
      <c r="AM321" s="585">
        <f t="shared" si="277"/>
        <v>5358</v>
      </c>
      <c r="AN321" s="596">
        <v>0.03</v>
      </c>
      <c r="AO321" s="597">
        <v>3.3000000000000002E-2</v>
      </c>
      <c r="AP321" s="597">
        <v>3.5999999999999997E-2</v>
      </c>
      <c r="AQ321" s="598">
        <v>3.9E-2</v>
      </c>
      <c r="AR321" s="599">
        <v>4.2000000000000003E-2</v>
      </c>
      <c r="AS321" s="603"/>
      <c r="AT321" s="588"/>
      <c r="AU321" s="588"/>
      <c r="AV321" s="588"/>
      <c r="AW321" s="589"/>
      <c r="AX321" s="596">
        <v>0.05</v>
      </c>
      <c r="AY321" s="598">
        <v>5.5E-2</v>
      </c>
      <c r="AZ321" s="598">
        <v>0.06</v>
      </c>
      <c r="BA321" s="598">
        <v>6.5000000000000002E-2</v>
      </c>
      <c r="BB321" s="598">
        <v>7.0000000000000007E-2</v>
      </c>
      <c r="BC321" s="598"/>
      <c r="BD321" s="599"/>
      <c r="BE321" s="596"/>
      <c r="BF321" s="598"/>
      <c r="BG321" s="598"/>
      <c r="BH321" s="598"/>
      <c r="BI321" s="598"/>
      <c r="BJ321" s="598"/>
      <c r="BK321" s="605"/>
      <c r="BL321" s="658">
        <f t="shared" si="253"/>
        <v>14200</v>
      </c>
      <c r="BM321" s="3">
        <f t="shared" si="254"/>
        <v>35</v>
      </c>
      <c r="BN321" s="3">
        <f t="shared" si="255"/>
        <v>28</v>
      </c>
      <c r="BO321" s="3">
        <f t="shared" si="256"/>
        <v>37</v>
      </c>
    </row>
    <row r="322" spans="2:67">
      <c r="B322" s="207" t="s">
        <v>1987</v>
      </c>
      <c r="C322" s="1265" t="s">
        <v>1139</v>
      </c>
      <c r="D322" s="1265" t="s">
        <v>1140</v>
      </c>
      <c r="E322" s="1267" t="s">
        <v>1144</v>
      </c>
      <c r="F322" s="592">
        <v>319</v>
      </c>
      <c r="G322" s="593">
        <v>14029</v>
      </c>
      <c r="H322" s="594">
        <v>6100</v>
      </c>
      <c r="I322" s="595">
        <v>10369</v>
      </c>
      <c r="J322" s="166">
        <f t="shared" si="243"/>
        <v>280</v>
      </c>
      <c r="K322" s="167">
        <f t="shared" si="244"/>
        <v>122</v>
      </c>
      <c r="L322" s="168">
        <f t="shared" si="245"/>
        <v>207</v>
      </c>
      <c r="M322" s="166">
        <f t="shared" si="246"/>
        <v>350</v>
      </c>
      <c r="N322" s="167">
        <f t="shared" si="247"/>
        <v>152</v>
      </c>
      <c r="O322" s="168">
        <f t="shared" si="248"/>
        <v>259</v>
      </c>
      <c r="P322" s="169">
        <f t="shared" si="249"/>
        <v>526</v>
      </c>
      <c r="Q322" s="169">
        <f t="shared" si="250"/>
        <v>228</v>
      </c>
      <c r="R322" s="169">
        <f t="shared" si="251"/>
        <v>388</v>
      </c>
      <c r="S322" s="584">
        <f t="shared" si="257"/>
        <v>3507</v>
      </c>
      <c r="T322" s="594">
        <f t="shared" si="258"/>
        <v>1525</v>
      </c>
      <c r="U322" s="595">
        <f t="shared" si="259"/>
        <v>2592</v>
      </c>
      <c r="V322" s="166">
        <f t="shared" si="260"/>
        <v>7987</v>
      </c>
      <c r="W322" s="167">
        <f t="shared" si="261"/>
        <v>3471</v>
      </c>
      <c r="X322" s="168">
        <f t="shared" si="262"/>
        <v>5907</v>
      </c>
      <c r="Y322" s="166">
        <f t="shared" si="263"/>
        <v>9039</v>
      </c>
      <c r="Z322" s="167">
        <f t="shared" si="264"/>
        <v>3699</v>
      </c>
      <c r="AA322" s="168">
        <f t="shared" si="265"/>
        <v>7071</v>
      </c>
      <c r="AB322" s="166">
        <f t="shared" si="266"/>
        <v>10617</v>
      </c>
      <c r="AC322" s="167">
        <f t="shared" si="267"/>
        <v>4383</v>
      </c>
      <c r="AD322" s="168">
        <f t="shared" si="268"/>
        <v>7459</v>
      </c>
      <c r="AE322" s="166">
        <f t="shared" si="269"/>
        <v>11669</v>
      </c>
      <c r="AF322" s="167">
        <f t="shared" si="270"/>
        <v>5295</v>
      </c>
      <c r="AG322" s="168">
        <f t="shared" si="271"/>
        <v>8235</v>
      </c>
      <c r="AH322" s="166">
        <f t="shared" si="272"/>
        <v>12721</v>
      </c>
      <c r="AI322" s="167">
        <f t="shared" si="273"/>
        <v>5751</v>
      </c>
      <c r="AJ322" s="168">
        <f t="shared" si="274"/>
        <v>9787</v>
      </c>
      <c r="AK322" s="169">
        <f t="shared" si="275"/>
        <v>14309</v>
      </c>
      <c r="AL322" s="167">
        <f t="shared" si="276"/>
        <v>6222</v>
      </c>
      <c r="AM322" s="585">
        <f t="shared" si="277"/>
        <v>10576</v>
      </c>
      <c r="AN322" s="596">
        <v>0.3</v>
      </c>
      <c r="AO322" s="597">
        <v>0.33</v>
      </c>
      <c r="AP322" s="597">
        <v>0.36</v>
      </c>
      <c r="AQ322" s="598">
        <v>0.39</v>
      </c>
      <c r="AR322" s="599">
        <v>0.42</v>
      </c>
      <c r="AS322" s="603"/>
      <c r="AT322" s="588"/>
      <c r="AU322" s="588"/>
      <c r="AV322" s="588"/>
      <c r="AW322" s="589"/>
      <c r="AX322" s="596">
        <v>0.05</v>
      </c>
      <c r="AY322" s="598">
        <v>5.5E-2</v>
      </c>
      <c r="AZ322" s="598">
        <v>0.06</v>
      </c>
      <c r="BA322" s="598">
        <v>6.5000000000000002E-2</v>
      </c>
      <c r="BB322" s="598">
        <v>7.0000000000000007E-2</v>
      </c>
      <c r="BC322" s="598"/>
      <c r="BD322" s="599"/>
      <c r="BE322" s="596">
        <v>1.4999999999999999E-2</v>
      </c>
      <c r="BF322" s="598">
        <v>0.02</v>
      </c>
      <c r="BG322" s="598">
        <v>2.5000000000000001E-2</v>
      </c>
      <c r="BH322" s="598">
        <v>0.03</v>
      </c>
      <c r="BI322" s="598">
        <v>3.5000000000000003E-2</v>
      </c>
      <c r="BJ322" s="598"/>
      <c r="BK322" s="605"/>
      <c r="BL322" s="658">
        <f t="shared" si="253"/>
        <v>30500</v>
      </c>
      <c r="BM322" s="3">
        <f t="shared" si="254"/>
        <v>46</v>
      </c>
      <c r="BN322" s="3">
        <f t="shared" si="255"/>
        <v>20</v>
      </c>
      <c r="BO322" s="3">
        <f t="shared" si="256"/>
        <v>34</v>
      </c>
    </row>
    <row r="323" spans="2:67">
      <c r="B323" s="1269" t="s">
        <v>1988</v>
      </c>
      <c r="C323" s="1265" t="s">
        <v>1139</v>
      </c>
      <c r="D323" s="1265" t="s">
        <v>1141</v>
      </c>
      <c r="E323" s="1267" t="s">
        <v>1144</v>
      </c>
      <c r="F323" s="1270">
        <v>320</v>
      </c>
      <c r="G323" s="593">
        <v>10980</v>
      </c>
      <c r="H323" s="594">
        <v>7013</v>
      </c>
      <c r="I323" s="595">
        <v>12504</v>
      </c>
      <c r="J323" s="166">
        <f t="shared" si="243"/>
        <v>219</v>
      </c>
      <c r="K323" s="167">
        <f t="shared" si="244"/>
        <v>140</v>
      </c>
      <c r="L323" s="168">
        <f t="shared" si="245"/>
        <v>250</v>
      </c>
      <c r="M323" s="166">
        <f t="shared" si="246"/>
        <v>274</v>
      </c>
      <c r="N323" s="167">
        <f t="shared" si="247"/>
        <v>175</v>
      </c>
      <c r="O323" s="168">
        <f t="shared" si="248"/>
        <v>312</v>
      </c>
      <c r="P323" s="169">
        <f t="shared" si="249"/>
        <v>411</v>
      </c>
      <c r="Q323" s="169">
        <f t="shared" si="250"/>
        <v>263</v>
      </c>
      <c r="R323" s="169">
        <f t="shared" si="251"/>
        <v>468</v>
      </c>
      <c r="S323" s="584">
        <f t="shared" si="257"/>
        <v>2745</v>
      </c>
      <c r="T323" s="594">
        <f t="shared" si="258"/>
        <v>1753</v>
      </c>
      <c r="U323" s="595">
        <f t="shared" si="259"/>
        <v>3126</v>
      </c>
      <c r="V323" s="166">
        <f t="shared" si="260"/>
        <v>6252</v>
      </c>
      <c r="W323" s="167">
        <f t="shared" si="261"/>
        <v>3993</v>
      </c>
      <c r="X323" s="168">
        <f t="shared" si="262"/>
        <v>7120</v>
      </c>
      <c r="Y323" s="166">
        <f t="shared" si="263"/>
        <v>6663</v>
      </c>
      <c r="Z323" s="167">
        <f t="shared" si="264"/>
        <v>4782</v>
      </c>
      <c r="AA323" s="168">
        <f t="shared" si="265"/>
        <v>8056</v>
      </c>
      <c r="AB323" s="166">
        <f t="shared" si="266"/>
        <v>7896</v>
      </c>
      <c r="AC323" s="167">
        <f t="shared" si="267"/>
        <v>5045</v>
      </c>
      <c r="AD323" s="168">
        <f t="shared" si="268"/>
        <v>9460</v>
      </c>
      <c r="AE323" s="166">
        <f t="shared" si="269"/>
        <v>9540</v>
      </c>
      <c r="AF323" s="167">
        <f t="shared" si="270"/>
        <v>5571</v>
      </c>
      <c r="AG323" s="168">
        <f t="shared" si="271"/>
        <v>10396</v>
      </c>
      <c r="AH323" s="166">
        <f t="shared" si="272"/>
        <v>10362</v>
      </c>
      <c r="AI323" s="167">
        <f t="shared" si="273"/>
        <v>6623</v>
      </c>
      <c r="AJ323" s="168">
        <f t="shared" si="274"/>
        <v>11332</v>
      </c>
      <c r="AK323" s="169">
        <f t="shared" si="275"/>
        <v>11199</v>
      </c>
      <c r="AL323" s="167">
        <f t="shared" si="276"/>
        <v>7153</v>
      </c>
      <c r="AM323" s="585">
        <f t="shared" si="277"/>
        <v>12754</v>
      </c>
      <c r="AN323" s="596">
        <v>7.0000000000000007E-2</v>
      </c>
      <c r="AO323" s="597">
        <v>7.4999999999999997E-2</v>
      </c>
      <c r="AP323" s="597">
        <v>0.08</v>
      </c>
      <c r="AQ323" s="598">
        <v>8.5000000000000006E-2</v>
      </c>
      <c r="AR323" s="599">
        <v>0.09</v>
      </c>
      <c r="AS323" s="603"/>
      <c r="AT323" s="588"/>
      <c r="AU323" s="588"/>
      <c r="AV323" s="588"/>
      <c r="AW323" s="589"/>
      <c r="AX323" s="596">
        <v>0.04</v>
      </c>
      <c r="AY323" s="598">
        <v>4.2999999999999997E-2</v>
      </c>
      <c r="AZ323" s="598">
        <v>4.5999999999999999E-2</v>
      </c>
      <c r="BA323" s="598">
        <v>4.9000000000000002E-2</v>
      </c>
      <c r="BB323" s="598">
        <v>5.1999999999999998E-2</v>
      </c>
      <c r="BC323" s="598"/>
      <c r="BD323" s="599"/>
      <c r="BE323" s="596"/>
      <c r="BF323" s="598"/>
      <c r="BG323" s="598"/>
      <c r="BH323" s="598"/>
      <c r="BI323" s="598"/>
      <c r="BJ323" s="598"/>
      <c r="BK323" s="605"/>
      <c r="BL323" s="658">
        <f t="shared" si="253"/>
        <v>30500</v>
      </c>
      <c r="BM323" s="3">
        <f t="shared" si="254"/>
        <v>36</v>
      </c>
      <c r="BN323" s="3">
        <f t="shared" si="255"/>
        <v>23</v>
      </c>
      <c r="BO323" s="3">
        <f t="shared" si="256"/>
        <v>41</v>
      </c>
    </row>
    <row r="324" spans="2:67">
      <c r="B324" s="207" t="s">
        <v>1145</v>
      </c>
      <c r="C324" s="890" t="s">
        <v>1147</v>
      </c>
      <c r="D324" s="890" t="s">
        <v>1148</v>
      </c>
      <c r="E324" s="238" t="s">
        <v>1150</v>
      </c>
      <c r="F324" s="592">
        <v>321</v>
      </c>
      <c r="G324" s="593">
        <v>5160</v>
      </c>
      <c r="H324" s="594">
        <v>7223</v>
      </c>
      <c r="I324" s="595">
        <v>4814</v>
      </c>
      <c r="J324" s="166">
        <f t="shared" si="243"/>
        <v>103</v>
      </c>
      <c r="K324" s="167">
        <f t="shared" si="244"/>
        <v>144</v>
      </c>
      <c r="L324" s="168">
        <f t="shared" si="245"/>
        <v>96</v>
      </c>
      <c r="M324" s="166">
        <f t="shared" si="246"/>
        <v>154</v>
      </c>
      <c r="N324" s="167">
        <f t="shared" si="247"/>
        <v>216</v>
      </c>
      <c r="O324" s="168">
        <f t="shared" si="248"/>
        <v>144</v>
      </c>
      <c r="P324" s="169">
        <f t="shared" si="249"/>
        <v>206</v>
      </c>
      <c r="Q324" s="169">
        <f t="shared" si="250"/>
        <v>288</v>
      </c>
      <c r="R324" s="169">
        <f t="shared" si="251"/>
        <v>192</v>
      </c>
      <c r="S324" s="584">
        <f t="shared" si="257"/>
        <v>1548</v>
      </c>
      <c r="T324" s="594">
        <f t="shared" si="258"/>
        <v>2167</v>
      </c>
      <c r="U324" s="595">
        <f t="shared" si="259"/>
        <v>1444</v>
      </c>
      <c r="V324" s="166">
        <f t="shared" si="260"/>
        <v>3191</v>
      </c>
      <c r="W324" s="167">
        <f t="shared" si="261"/>
        <v>4471</v>
      </c>
      <c r="X324" s="168">
        <f t="shared" si="262"/>
        <v>2980</v>
      </c>
      <c r="Y324" s="166">
        <f t="shared" si="263"/>
        <v>3603</v>
      </c>
      <c r="Z324" s="167">
        <f t="shared" si="264"/>
        <v>5047</v>
      </c>
      <c r="AA324" s="168">
        <f t="shared" si="265"/>
        <v>3364</v>
      </c>
      <c r="AB324" s="166">
        <f t="shared" si="266"/>
        <v>4015</v>
      </c>
      <c r="AC324" s="167">
        <f t="shared" si="267"/>
        <v>5623</v>
      </c>
      <c r="AD324" s="168">
        <f t="shared" si="268"/>
        <v>3748</v>
      </c>
      <c r="AE324" s="166">
        <f t="shared" si="269"/>
        <v>4427</v>
      </c>
      <c r="AF324" s="167">
        <f t="shared" si="270"/>
        <v>5911</v>
      </c>
      <c r="AG324" s="168">
        <f t="shared" si="271"/>
        <v>4132</v>
      </c>
      <c r="AH324" s="166">
        <f t="shared" si="272"/>
        <v>5045</v>
      </c>
      <c r="AI324" s="167">
        <f t="shared" si="273"/>
        <v>6487</v>
      </c>
      <c r="AJ324" s="168">
        <f t="shared" si="274"/>
        <v>4324</v>
      </c>
      <c r="AK324" s="169">
        <f t="shared" si="275"/>
        <v>5263</v>
      </c>
      <c r="AL324" s="167">
        <f t="shared" si="276"/>
        <v>7367</v>
      </c>
      <c r="AM324" s="585">
        <f t="shared" si="277"/>
        <v>4910</v>
      </c>
      <c r="AN324" s="596">
        <v>0.2</v>
      </c>
      <c r="AO324" s="597">
        <v>0.23</v>
      </c>
      <c r="AP324" s="597">
        <v>0.26</v>
      </c>
      <c r="AQ324" s="598">
        <v>0.28999999999999998</v>
      </c>
      <c r="AR324" s="599">
        <v>0.32</v>
      </c>
      <c r="AS324" s="603"/>
      <c r="AT324" s="588"/>
      <c r="AU324" s="588"/>
      <c r="AV324" s="588"/>
      <c r="AW324" s="589"/>
      <c r="AX324" s="596">
        <v>0.03</v>
      </c>
      <c r="AY324" s="598">
        <v>3.5000000000000003E-2</v>
      </c>
      <c r="AZ324" s="598">
        <v>0.04</v>
      </c>
      <c r="BA324" s="598">
        <v>4.4999999999999998E-2</v>
      </c>
      <c r="BB324" s="598">
        <v>0.05</v>
      </c>
      <c r="BC324" s="598"/>
      <c r="BD324" s="599"/>
      <c r="BE324" s="596"/>
      <c r="BF324" s="598"/>
      <c r="BG324" s="598"/>
      <c r="BH324" s="598"/>
      <c r="BI324" s="598"/>
      <c r="BJ324" s="598"/>
      <c r="BK324" s="605"/>
      <c r="BL324" s="658">
        <f t="shared" si="253"/>
        <v>17200</v>
      </c>
      <c r="BM324" s="3">
        <f t="shared" si="254"/>
        <v>30</v>
      </c>
      <c r="BN324" s="3">
        <f t="shared" si="255"/>
        <v>42</v>
      </c>
      <c r="BO324" s="3">
        <f t="shared" si="256"/>
        <v>28</v>
      </c>
    </row>
    <row r="325" spans="2:67">
      <c r="B325" s="207" t="s">
        <v>1146</v>
      </c>
      <c r="C325" s="875" t="s">
        <v>1147</v>
      </c>
      <c r="D325" s="875" t="s">
        <v>1149</v>
      </c>
      <c r="E325" s="238" t="s">
        <v>1150</v>
      </c>
      <c r="F325" s="592">
        <v>322</v>
      </c>
      <c r="G325" s="593">
        <v>5503</v>
      </c>
      <c r="H325" s="594">
        <v>5330</v>
      </c>
      <c r="I325" s="595">
        <v>6363</v>
      </c>
      <c r="J325" s="166">
        <f t="shared" si="243"/>
        <v>110</v>
      </c>
      <c r="K325" s="167">
        <f t="shared" si="244"/>
        <v>106</v>
      </c>
      <c r="L325" s="168">
        <f t="shared" si="245"/>
        <v>127</v>
      </c>
      <c r="M325" s="166">
        <f t="shared" si="246"/>
        <v>165</v>
      </c>
      <c r="N325" s="167">
        <f t="shared" si="247"/>
        <v>159</v>
      </c>
      <c r="O325" s="168">
        <f t="shared" si="248"/>
        <v>190</v>
      </c>
      <c r="P325" s="169">
        <f t="shared" si="249"/>
        <v>220</v>
      </c>
      <c r="Q325" s="169">
        <f t="shared" si="250"/>
        <v>213</v>
      </c>
      <c r="R325" s="169">
        <f t="shared" si="251"/>
        <v>254</v>
      </c>
      <c r="S325" s="584">
        <f t="shared" si="257"/>
        <v>1651</v>
      </c>
      <c r="T325" s="594">
        <f t="shared" si="258"/>
        <v>1599</v>
      </c>
      <c r="U325" s="595">
        <f t="shared" si="259"/>
        <v>1909</v>
      </c>
      <c r="V325" s="166">
        <f t="shared" si="260"/>
        <v>3411</v>
      </c>
      <c r="W325" s="167">
        <f t="shared" si="261"/>
        <v>3295</v>
      </c>
      <c r="X325" s="168">
        <f t="shared" si="262"/>
        <v>3936</v>
      </c>
      <c r="Y325" s="166">
        <f t="shared" si="263"/>
        <v>3851</v>
      </c>
      <c r="Z325" s="167">
        <f t="shared" si="264"/>
        <v>3721</v>
      </c>
      <c r="AA325" s="168">
        <f t="shared" si="265"/>
        <v>4444</v>
      </c>
      <c r="AB325" s="166">
        <f t="shared" si="266"/>
        <v>4291</v>
      </c>
      <c r="AC325" s="167">
        <f t="shared" si="267"/>
        <v>4147</v>
      </c>
      <c r="AD325" s="168">
        <f t="shared" si="268"/>
        <v>4952</v>
      </c>
      <c r="AE325" s="166">
        <f t="shared" si="269"/>
        <v>4731</v>
      </c>
      <c r="AF325" s="167">
        <f t="shared" si="270"/>
        <v>4360</v>
      </c>
      <c r="AG325" s="168">
        <f t="shared" si="271"/>
        <v>5460</v>
      </c>
      <c r="AH325" s="166">
        <f t="shared" si="272"/>
        <v>4951</v>
      </c>
      <c r="AI325" s="167">
        <f t="shared" si="273"/>
        <v>4786</v>
      </c>
      <c r="AJ325" s="168">
        <f t="shared" si="274"/>
        <v>6222</v>
      </c>
      <c r="AK325" s="169">
        <f t="shared" si="275"/>
        <v>5613</v>
      </c>
      <c r="AL325" s="167">
        <f t="shared" si="276"/>
        <v>5436</v>
      </c>
      <c r="AM325" s="585">
        <f t="shared" si="277"/>
        <v>6490</v>
      </c>
      <c r="AN325" s="596">
        <v>0.15</v>
      </c>
      <c r="AO325" s="597">
        <v>0.18</v>
      </c>
      <c r="AP325" s="597">
        <v>0.21</v>
      </c>
      <c r="AQ325" s="598">
        <v>0.24</v>
      </c>
      <c r="AR325" s="599">
        <v>0.27</v>
      </c>
      <c r="AS325" s="603"/>
      <c r="AT325" s="588"/>
      <c r="AU325" s="588"/>
      <c r="AV325" s="588"/>
      <c r="AW325" s="589"/>
      <c r="AX325" s="596">
        <v>0.03</v>
      </c>
      <c r="AY325" s="598">
        <v>3.5000000000000003E-2</v>
      </c>
      <c r="AZ325" s="598">
        <v>0.04</v>
      </c>
      <c r="BA325" s="598">
        <v>4.4999999999999998E-2</v>
      </c>
      <c r="BB325" s="598">
        <v>0.05</v>
      </c>
      <c r="BC325" s="598"/>
      <c r="BD325" s="599"/>
      <c r="BE325" s="596"/>
      <c r="BF325" s="598"/>
      <c r="BG325" s="598"/>
      <c r="BH325" s="598"/>
      <c r="BI325" s="598"/>
      <c r="BJ325" s="598"/>
      <c r="BK325" s="605"/>
      <c r="BL325" s="658">
        <f t="shared" si="253"/>
        <v>17200</v>
      </c>
      <c r="BM325" s="3">
        <f t="shared" si="254"/>
        <v>32</v>
      </c>
      <c r="BN325" s="3">
        <f t="shared" si="255"/>
        <v>31</v>
      </c>
      <c r="BO325" s="3">
        <f t="shared" si="256"/>
        <v>37</v>
      </c>
    </row>
    <row r="326" spans="2:67">
      <c r="B326" s="1271" t="s">
        <v>1265</v>
      </c>
      <c r="C326" s="1069" t="s">
        <v>1266</v>
      </c>
      <c r="D326" s="1069" t="s">
        <v>1267</v>
      </c>
      <c r="E326" s="1267" t="s">
        <v>1150</v>
      </c>
      <c r="F326" s="1070">
        <v>323</v>
      </c>
      <c r="G326" s="1071">
        <v>12040</v>
      </c>
      <c r="H326" s="1072">
        <v>6440</v>
      </c>
      <c r="I326" s="1073">
        <v>9520</v>
      </c>
      <c r="J326" s="166">
        <f t="shared" si="243"/>
        <v>240</v>
      </c>
      <c r="K326" s="167">
        <f t="shared" si="244"/>
        <v>128</v>
      </c>
      <c r="L326" s="168">
        <f t="shared" si="245"/>
        <v>190</v>
      </c>
      <c r="M326" s="166">
        <f t="shared" si="246"/>
        <v>301</v>
      </c>
      <c r="N326" s="167">
        <f t="shared" si="247"/>
        <v>161</v>
      </c>
      <c r="O326" s="168">
        <f t="shared" si="248"/>
        <v>238</v>
      </c>
      <c r="P326" s="169">
        <f t="shared" si="249"/>
        <v>451</v>
      </c>
      <c r="Q326" s="169">
        <f t="shared" si="250"/>
        <v>241</v>
      </c>
      <c r="R326" s="169">
        <f t="shared" si="251"/>
        <v>357</v>
      </c>
      <c r="S326" s="584">
        <f t="shared" si="257"/>
        <v>3010</v>
      </c>
      <c r="T326" s="594">
        <f t="shared" si="258"/>
        <v>1610</v>
      </c>
      <c r="U326" s="595">
        <f t="shared" si="259"/>
        <v>2380</v>
      </c>
      <c r="V326" s="166">
        <f t="shared" si="260"/>
        <v>6862</v>
      </c>
      <c r="W326" s="167">
        <f t="shared" si="261"/>
        <v>3670</v>
      </c>
      <c r="X326" s="168">
        <f t="shared" si="262"/>
        <v>5426</v>
      </c>
      <c r="Y326" s="166">
        <f t="shared" si="263"/>
        <v>7764</v>
      </c>
      <c r="Z326" s="167">
        <f t="shared" si="264"/>
        <v>3911</v>
      </c>
      <c r="AA326" s="168">
        <f t="shared" si="265"/>
        <v>6497</v>
      </c>
      <c r="AB326" s="166">
        <f t="shared" si="266"/>
        <v>9117</v>
      </c>
      <c r="AC326" s="167">
        <f t="shared" si="267"/>
        <v>4634</v>
      </c>
      <c r="AD326" s="168">
        <f t="shared" si="268"/>
        <v>6854</v>
      </c>
      <c r="AE326" s="166">
        <f t="shared" si="269"/>
        <v>10019</v>
      </c>
      <c r="AF326" s="167">
        <f t="shared" si="270"/>
        <v>5598</v>
      </c>
      <c r="AG326" s="168">
        <f t="shared" si="271"/>
        <v>7568</v>
      </c>
      <c r="AH326" s="166">
        <f t="shared" si="272"/>
        <v>10921</v>
      </c>
      <c r="AI326" s="167">
        <f t="shared" si="273"/>
        <v>6080</v>
      </c>
      <c r="AJ326" s="168">
        <f t="shared" si="274"/>
        <v>8996</v>
      </c>
      <c r="AK326" s="169">
        <f t="shared" si="275"/>
        <v>12280</v>
      </c>
      <c r="AL326" s="167">
        <f t="shared" si="276"/>
        <v>6568</v>
      </c>
      <c r="AM326" s="585">
        <f t="shared" si="277"/>
        <v>9710</v>
      </c>
      <c r="AN326" s="596">
        <v>0.25</v>
      </c>
      <c r="AO326" s="597">
        <v>0.28000000000000003</v>
      </c>
      <c r="AP326" s="597">
        <v>0.31</v>
      </c>
      <c r="AQ326" s="598">
        <v>0.34</v>
      </c>
      <c r="AR326" s="1132">
        <v>0.37</v>
      </c>
      <c r="AS326" s="603"/>
      <c r="AT326" s="588"/>
      <c r="AU326" s="588"/>
      <c r="AV326" s="588"/>
      <c r="AW326" s="589"/>
      <c r="AX326" s="596">
        <v>0.04</v>
      </c>
      <c r="AY326" s="598">
        <v>4.2999999999999997E-2</v>
      </c>
      <c r="AZ326" s="598">
        <v>4.5999999999999999E-2</v>
      </c>
      <c r="BA326" s="598">
        <v>4.9000000000000002E-2</v>
      </c>
      <c r="BB326" s="598">
        <v>5.1999999999999998E-2</v>
      </c>
      <c r="BC326" s="598"/>
      <c r="BD326" s="599"/>
      <c r="BE326" s="596"/>
      <c r="BF326" s="598"/>
      <c r="BG326" s="598"/>
      <c r="BH326" s="598"/>
      <c r="BI326" s="598"/>
      <c r="BJ326" s="598"/>
      <c r="BK326" s="605"/>
      <c r="BL326" s="658">
        <f t="shared" si="253"/>
        <v>28000</v>
      </c>
      <c r="BM326" s="3">
        <f t="shared" si="254"/>
        <v>43</v>
      </c>
      <c r="BN326" s="3">
        <f t="shared" si="255"/>
        <v>23</v>
      </c>
      <c r="BO326" s="3">
        <f t="shared" si="256"/>
        <v>34</v>
      </c>
    </row>
    <row r="327" spans="2:67">
      <c r="B327" s="606" t="s">
        <v>1279</v>
      </c>
      <c r="C327" s="607" t="s">
        <v>1278</v>
      </c>
      <c r="D327" s="607" t="s">
        <v>1280</v>
      </c>
      <c r="E327" s="238" t="s">
        <v>1150</v>
      </c>
      <c r="F327" s="592">
        <v>324</v>
      </c>
      <c r="G327" s="609">
        <v>4724</v>
      </c>
      <c r="H327" s="610">
        <v>7000</v>
      </c>
      <c r="I327" s="611">
        <v>5774</v>
      </c>
      <c r="J327" s="166">
        <f t="shared" ref="J327:J390" si="278">INT(G327/50+0.05)</f>
        <v>94</v>
      </c>
      <c r="K327" s="167">
        <f t="shared" ref="K327:K390" si="279">INT(H327/50+0.05)</f>
        <v>140</v>
      </c>
      <c r="L327" s="168">
        <f t="shared" ref="L327:L390" si="280">INT(I327/50+0.05)</f>
        <v>115</v>
      </c>
      <c r="M327" s="166">
        <f t="shared" ref="M327:M390" si="281">INT(IF($C327="UR",IF($E327="party卡",G327*0.0270833333333333,G327*0.025),0)+IF($C327="SR",G327*0.03,0)+IF($C327="R",G327*0.0375,0)+0.05)</f>
        <v>141</v>
      </c>
      <c r="N327" s="167">
        <f t="shared" ref="N327:N390" si="282">INT(IF($C327="UR",IF($E327="party卡",H327*0.0270833333333333,H327*0.025),0)+IF($C327="SR",H327*0.03,0)+IF($C327="R",H327*0.0375,0)+0.05)</f>
        <v>210</v>
      </c>
      <c r="O327" s="168">
        <f t="shared" ref="O327:O390" si="283">INT(IF($C327="UR",IF($E327="party卡",I327*0.0270833333333333,I327*0.025),0)+IF($C327="SR",I327*0.03,0)+IF($C327="R",I327*0.0375,0)+0.05)</f>
        <v>173</v>
      </c>
      <c r="P327" s="169">
        <f t="shared" ref="P327:P390" si="284">INT(IF($C327="UR",IF($E327="party卡",G327*0.04375,G327*0.0375),0)+IF($C327="SR",G327*0.04,0)+IF($C327="R",G327*0.05,0)+0.05)</f>
        <v>189</v>
      </c>
      <c r="Q327" s="169">
        <f t="shared" ref="Q327:Q390" si="285">INT(IF($C327="UR",IF($E327="party卡",H327*0.04375,H327*0.0375),0)+IF($C327="SR",H327*0.04,0)+IF($C327="R",H327*0.05,0)+0.05)</f>
        <v>280</v>
      </c>
      <c r="R327" s="169">
        <f t="shared" ref="R327:R390" si="286">INT(IF($C327="UR",IF($E327="party卡",I327*0.04375,I327*0.0375),0)+IF($C327="SR",I327*0.04,0)+IF($C327="R",I327*0.05,0)+0.05)</f>
        <v>231</v>
      </c>
      <c r="S327" s="584">
        <f t="shared" si="257"/>
        <v>1417</v>
      </c>
      <c r="T327" s="594">
        <f t="shared" si="258"/>
        <v>2100</v>
      </c>
      <c r="U327" s="595">
        <f t="shared" si="259"/>
        <v>1732</v>
      </c>
      <c r="V327" s="166">
        <f t="shared" si="260"/>
        <v>2921</v>
      </c>
      <c r="W327" s="167">
        <f t="shared" si="261"/>
        <v>4340</v>
      </c>
      <c r="X327" s="168">
        <f t="shared" si="262"/>
        <v>3577</v>
      </c>
      <c r="Y327" s="166">
        <f t="shared" si="263"/>
        <v>3299</v>
      </c>
      <c r="Z327" s="167">
        <f t="shared" si="264"/>
        <v>4900</v>
      </c>
      <c r="AA327" s="168">
        <f t="shared" si="265"/>
        <v>4039</v>
      </c>
      <c r="AB327" s="166">
        <f t="shared" si="266"/>
        <v>3677</v>
      </c>
      <c r="AC327" s="167">
        <f t="shared" si="267"/>
        <v>5460</v>
      </c>
      <c r="AD327" s="168">
        <f t="shared" si="268"/>
        <v>4501</v>
      </c>
      <c r="AE327" s="166">
        <f t="shared" si="269"/>
        <v>4055</v>
      </c>
      <c r="AF327" s="167">
        <f t="shared" si="270"/>
        <v>5740</v>
      </c>
      <c r="AG327" s="168">
        <f t="shared" si="271"/>
        <v>4963</v>
      </c>
      <c r="AH327" s="166">
        <f t="shared" si="272"/>
        <v>4622</v>
      </c>
      <c r="AI327" s="167">
        <f t="shared" si="273"/>
        <v>6300</v>
      </c>
      <c r="AJ327" s="168">
        <f t="shared" si="274"/>
        <v>5194</v>
      </c>
      <c r="AK327" s="169">
        <f t="shared" si="275"/>
        <v>4818</v>
      </c>
      <c r="AL327" s="167">
        <f t="shared" si="276"/>
        <v>7140</v>
      </c>
      <c r="AM327" s="585">
        <f t="shared" si="277"/>
        <v>5889</v>
      </c>
      <c r="AN327" s="596">
        <v>0.2</v>
      </c>
      <c r="AO327" s="597">
        <v>0.23</v>
      </c>
      <c r="AP327" s="597">
        <v>0.26</v>
      </c>
      <c r="AQ327" s="598">
        <v>0.28999999999999998</v>
      </c>
      <c r="AR327" s="599">
        <v>0.32</v>
      </c>
      <c r="AS327" s="603"/>
      <c r="AT327" s="588"/>
      <c r="AU327" s="588"/>
      <c r="AV327" s="588"/>
      <c r="AW327" s="589"/>
      <c r="AX327" s="596">
        <v>0.02</v>
      </c>
      <c r="AY327" s="598">
        <v>2.3E-2</v>
      </c>
      <c r="AZ327" s="598">
        <v>2.5999999999999999E-2</v>
      </c>
      <c r="BA327" s="598">
        <v>2.9000000000000001E-2</v>
      </c>
      <c r="BB327" s="598">
        <v>3.2000000000000001E-2</v>
      </c>
      <c r="BC327" s="598"/>
      <c r="BD327" s="599"/>
      <c r="BE327" s="596"/>
      <c r="BF327" s="598"/>
      <c r="BG327" s="598"/>
      <c r="BH327" s="598"/>
      <c r="BI327" s="598"/>
      <c r="BJ327" s="598"/>
      <c r="BK327" s="605"/>
      <c r="BL327" s="658">
        <f t="shared" ref="BL327:BL390" si="287">ROUND(($G327+$H327+$I327)/50,0)*50</f>
        <v>17500</v>
      </c>
      <c r="BM327" s="3">
        <f t="shared" ref="BM327:BM390" si="288">ROUND(100*G327/($G327+$H327+$I327),0)</f>
        <v>27</v>
      </c>
      <c r="BN327" s="3">
        <f t="shared" ref="BN327:BN390" si="289">ROUND(100*H327/($G327+$H327+$I327),0)</f>
        <v>40</v>
      </c>
      <c r="BO327" s="3">
        <f t="shared" ref="BO327:BO390" si="290">ROUND(100*I327/($G327+$H327+$I327),0)</f>
        <v>33</v>
      </c>
    </row>
    <row r="328" spans="2:67">
      <c r="B328" s="1271" t="s">
        <v>1272</v>
      </c>
      <c r="C328" s="1069" t="s">
        <v>1266</v>
      </c>
      <c r="D328" s="1069" t="s">
        <v>1270</v>
      </c>
      <c r="E328" s="1268" t="s">
        <v>1271</v>
      </c>
      <c r="F328" s="1070">
        <v>325</v>
      </c>
      <c r="G328" s="1071">
        <v>10544</v>
      </c>
      <c r="H328" s="1072">
        <v>7409</v>
      </c>
      <c r="I328" s="1073">
        <v>10544</v>
      </c>
      <c r="J328" s="166">
        <f t="shared" si="278"/>
        <v>210</v>
      </c>
      <c r="K328" s="167">
        <f t="shared" si="279"/>
        <v>148</v>
      </c>
      <c r="L328" s="168">
        <f t="shared" si="280"/>
        <v>210</v>
      </c>
      <c r="M328" s="166">
        <f t="shared" si="281"/>
        <v>263</v>
      </c>
      <c r="N328" s="167">
        <f t="shared" si="282"/>
        <v>185</v>
      </c>
      <c r="O328" s="168">
        <f t="shared" si="283"/>
        <v>263</v>
      </c>
      <c r="P328" s="169">
        <f t="shared" si="284"/>
        <v>395</v>
      </c>
      <c r="Q328" s="169">
        <f t="shared" si="285"/>
        <v>277</v>
      </c>
      <c r="R328" s="169">
        <f t="shared" si="286"/>
        <v>395</v>
      </c>
      <c r="S328" s="584">
        <f t="shared" si="257"/>
        <v>2636</v>
      </c>
      <c r="T328" s="594">
        <f t="shared" si="258"/>
        <v>1852</v>
      </c>
      <c r="U328" s="595">
        <f t="shared" si="259"/>
        <v>2636</v>
      </c>
      <c r="V328" s="166">
        <f t="shared" si="260"/>
        <v>6002</v>
      </c>
      <c r="W328" s="167">
        <f t="shared" si="261"/>
        <v>4220</v>
      </c>
      <c r="X328" s="168">
        <f t="shared" si="262"/>
        <v>6002</v>
      </c>
      <c r="Y328" s="166">
        <f t="shared" si="263"/>
        <v>6397</v>
      </c>
      <c r="Z328" s="167">
        <f t="shared" si="264"/>
        <v>4774</v>
      </c>
      <c r="AA328" s="168">
        <f t="shared" si="265"/>
        <v>7187</v>
      </c>
      <c r="AB328" s="166">
        <f t="shared" si="266"/>
        <v>7582</v>
      </c>
      <c r="AC328" s="167">
        <f t="shared" si="267"/>
        <v>5605</v>
      </c>
      <c r="AD328" s="168">
        <f t="shared" si="268"/>
        <v>7582</v>
      </c>
      <c r="AE328" s="166">
        <f t="shared" si="269"/>
        <v>9162</v>
      </c>
      <c r="AF328" s="167">
        <f t="shared" si="270"/>
        <v>6159</v>
      </c>
      <c r="AG328" s="168">
        <f t="shared" si="271"/>
        <v>8372</v>
      </c>
      <c r="AH328" s="166">
        <f t="shared" si="272"/>
        <v>9952</v>
      </c>
      <c r="AI328" s="167">
        <f t="shared" si="273"/>
        <v>6713</v>
      </c>
      <c r="AJ328" s="168">
        <f t="shared" si="274"/>
        <v>9952</v>
      </c>
      <c r="AK328" s="169">
        <f t="shared" si="275"/>
        <v>10754</v>
      </c>
      <c r="AL328" s="167">
        <f t="shared" si="276"/>
        <v>7557</v>
      </c>
      <c r="AM328" s="585">
        <f t="shared" si="277"/>
        <v>10754</v>
      </c>
      <c r="AN328" s="596">
        <v>0.2</v>
      </c>
      <c r="AO328" s="597">
        <v>0.23</v>
      </c>
      <c r="AP328" s="597">
        <v>0.26</v>
      </c>
      <c r="AQ328" s="598">
        <v>0.28999999999999998</v>
      </c>
      <c r="AR328" s="599">
        <v>0.32</v>
      </c>
      <c r="AS328" s="603"/>
      <c r="AT328" s="588"/>
      <c r="AU328" s="588"/>
      <c r="AV328" s="588"/>
      <c r="AW328" s="589"/>
      <c r="AX328" s="596">
        <v>0.04</v>
      </c>
      <c r="AY328" s="598">
        <v>4.2999999999999997E-2</v>
      </c>
      <c r="AZ328" s="598">
        <v>4.5999999999999999E-2</v>
      </c>
      <c r="BA328" s="598">
        <v>4.9000000000000002E-2</v>
      </c>
      <c r="BB328" s="598">
        <v>5.1999999999999998E-2</v>
      </c>
      <c r="BC328" s="598"/>
      <c r="BD328" s="599"/>
      <c r="BE328" s="596"/>
      <c r="BF328" s="598"/>
      <c r="BG328" s="598"/>
      <c r="BH328" s="598"/>
      <c r="BI328" s="598"/>
      <c r="BJ328" s="598"/>
      <c r="BK328" s="605"/>
      <c r="BL328" s="658">
        <f t="shared" si="287"/>
        <v>28500</v>
      </c>
      <c r="BM328" s="3">
        <f t="shared" si="288"/>
        <v>37</v>
      </c>
      <c r="BN328" s="3">
        <f t="shared" si="289"/>
        <v>26</v>
      </c>
      <c r="BO328" s="3">
        <f t="shared" si="290"/>
        <v>37</v>
      </c>
    </row>
    <row r="329" spans="2:67">
      <c r="B329" s="606" t="s">
        <v>1274</v>
      </c>
      <c r="C329" s="607" t="s">
        <v>1266</v>
      </c>
      <c r="D329" s="607" t="s">
        <v>1275</v>
      </c>
      <c r="E329" s="1267" t="s">
        <v>125</v>
      </c>
      <c r="F329" s="1270">
        <v>326</v>
      </c>
      <c r="G329" s="609">
        <v>6109</v>
      </c>
      <c r="H329" s="610">
        <v>11044</v>
      </c>
      <c r="I329" s="611">
        <v>6344</v>
      </c>
      <c r="J329" s="166">
        <f t="shared" si="278"/>
        <v>122</v>
      </c>
      <c r="K329" s="167">
        <f t="shared" si="279"/>
        <v>220</v>
      </c>
      <c r="L329" s="168">
        <f t="shared" si="280"/>
        <v>126</v>
      </c>
      <c r="M329" s="166">
        <f t="shared" si="281"/>
        <v>152</v>
      </c>
      <c r="N329" s="167">
        <f t="shared" si="282"/>
        <v>276</v>
      </c>
      <c r="O329" s="168">
        <f t="shared" si="283"/>
        <v>158</v>
      </c>
      <c r="P329" s="169">
        <f t="shared" si="284"/>
        <v>229</v>
      </c>
      <c r="Q329" s="169">
        <f t="shared" si="285"/>
        <v>414</v>
      </c>
      <c r="R329" s="169">
        <f t="shared" si="286"/>
        <v>237</v>
      </c>
      <c r="S329" s="584">
        <f t="shared" si="257"/>
        <v>1527</v>
      </c>
      <c r="T329" s="594">
        <f t="shared" si="258"/>
        <v>2761</v>
      </c>
      <c r="U329" s="595">
        <f t="shared" si="259"/>
        <v>1586</v>
      </c>
      <c r="V329" s="166">
        <f t="shared" si="260"/>
        <v>3473</v>
      </c>
      <c r="W329" s="167">
        <f t="shared" si="261"/>
        <v>6293</v>
      </c>
      <c r="X329" s="168">
        <f t="shared" si="262"/>
        <v>3608</v>
      </c>
      <c r="Y329" s="166">
        <f t="shared" si="263"/>
        <v>4160</v>
      </c>
      <c r="Z329" s="167">
        <f t="shared" si="264"/>
        <v>7121</v>
      </c>
      <c r="AA329" s="168">
        <f t="shared" si="265"/>
        <v>3845</v>
      </c>
      <c r="AB329" s="166">
        <f t="shared" si="266"/>
        <v>4389</v>
      </c>
      <c r="AC329" s="167">
        <f t="shared" si="267"/>
        <v>8363</v>
      </c>
      <c r="AD329" s="168">
        <f t="shared" si="268"/>
        <v>4556</v>
      </c>
      <c r="AE329" s="166">
        <f t="shared" si="269"/>
        <v>4847</v>
      </c>
      <c r="AF329" s="167">
        <f t="shared" si="270"/>
        <v>9191</v>
      </c>
      <c r="AG329" s="168">
        <f t="shared" si="271"/>
        <v>5504</v>
      </c>
      <c r="AH329" s="166">
        <f t="shared" si="272"/>
        <v>5763</v>
      </c>
      <c r="AI329" s="167">
        <f t="shared" si="273"/>
        <v>10019</v>
      </c>
      <c r="AJ329" s="168">
        <f t="shared" si="274"/>
        <v>5978</v>
      </c>
      <c r="AK329" s="169">
        <f t="shared" si="275"/>
        <v>6231</v>
      </c>
      <c r="AL329" s="167">
        <f t="shared" si="276"/>
        <v>11264</v>
      </c>
      <c r="AM329" s="585">
        <f t="shared" si="277"/>
        <v>6470</v>
      </c>
      <c r="AN329" s="596">
        <v>0.17</v>
      </c>
      <c r="AO329" s="597">
        <v>0.2</v>
      </c>
      <c r="AP329" s="597">
        <v>0.23</v>
      </c>
      <c r="AQ329" s="598">
        <v>0.26</v>
      </c>
      <c r="AR329" s="599">
        <v>0.28999999999999998</v>
      </c>
      <c r="AS329" s="603"/>
      <c r="AT329" s="588"/>
      <c r="AU329" s="588"/>
      <c r="AV329" s="588"/>
      <c r="AW329" s="589"/>
      <c r="AX329" s="596">
        <v>0.04</v>
      </c>
      <c r="AY329" s="598">
        <v>4.2999999999999997E-2</v>
      </c>
      <c r="AZ329" s="598">
        <v>4.5999999999999999E-2</v>
      </c>
      <c r="BA329" s="598">
        <v>4.9000000000000002E-2</v>
      </c>
      <c r="BB329" s="598">
        <v>5.1999999999999998E-2</v>
      </c>
      <c r="BC329" s="598"/>
      <c r="BD329" s="599"/>
      <c r="BE329" s="596"/>
      <c r="BF329" s="598"/>
      <c r="BG329" s="598"/>
      <c r="BH329" s="598"/>
      <c r="BI329" s="598"/>
      <c r="BJ329" s="598"/>
      <c r="BK329" s="605"/>
      <c r="BL329" s="658">
        <f t="shared" si="287"/>
        <v>23500</v>
      </c>
      <c r="BM329" s="3">
        <f t="shared" si="288"/>
        <v>26</v>
      </c>
      <c r="BN329" s="3">
        <f t="shared" si="289"/>
        <v>47</v>
      </c>
      <c r="BO329" s="3">
        <f t="shared" si="290"/>
        <v>27</v>
      </c>
    </row>
    <row r="330" spans="2:67">
      <c r="B330" s="606" t="s">
        <v>1284</v>
      </c>
      <c r="C330" s="607" t="s">
        <v>1278</v>
      </c>
      <c r="D330" s="607" t="s">
        <v>1285</v>
      </c>
      <c r="E330" s="238" t="s">
        <v>125</v>
      </c>
      <c r="F330" s="608">
        <v>327</v>
      </c>
      <c r="G330" s="609">
        <v>6670</v>
      </c>
      <c r="H330" s="610">
        <v>3770</v>
      </c>
      <c r="I330" s="611">
        <v>4060</v>
      </c>
      <c r="J330" s="166">
        <f t="shared" si="278"/>
        <v>133</v>
      </c>
      <c r="K330" s="167">
        <f t="shared" si="279"/>
        <v>75</v>
      </c>
      <c r="L330" s="168">
        <f t="shared" si="280"/>
        <v>81</v>
      </c>
      <c r="M330" s="166">
        <f t="shared" si="281"/>
        <v>200</v>
      </c>
      <c r="N330" s="167">
        <f t="shared" si="282"/>
        <v>113</v>
      </c>
      <c r="O330" s="168">
        <f t="shared" si="283"/>
        <v>121</v>
      </c>
      <c r="P330" s="169">
        <f t="shared" si="284"/>
        <v>266</v>
      </c>
      <c r="Q330" s="169">
        <f t="shared" si="285"/>
        <v>150</v>
      </c>
      <c r="R330" s="169">
        <f t="shared" si="286"/>
        <v>162</v>
      </c>
      <c r="S330" s="584">
        <f t="shared" si="257"/>
        <v>2001</v>
      </c>
      <c r="T330" s="594">
        <f t="shared" si="258"/>
        <v>1131</v>
      </c>
      <c r="U330" s="595">
        <f t="shared" si="259"/>
        <v>1218</v>
      </c>
      <c r="V330" s="166">
        <f t="shared" si="260"/>
        <v>4134</v>
      </c>
      <c r="W330" s="167">
        <f t="shared" si="261"/>
        <v>2336</v>
      </c>
      <c r="X330" s="168">
        <f t="shared" si="262"/>
        <v>2509</v>
      </c>
      <c r="Y330" s="166">
        <f t="shared" si="263"/>
        <v>4666</v>
      </c>
      <c r="Z330" s="167">
        <f t="shared" si="264"/>
        <v>2636</v>
      </c>
      <c r="AA330" s="168">
        <f t="shared" si="265"/>
        <v>2833</v>
      </c>
      <c r="AB330" s="166">
        <f t="shared" si="266"/>
        <v>5198</v>
      </c>
      <c r="AC330" s="167">
        <f t="shared" si="267"/>
        <v>2936</v>
      </c>
      <c r="AD330" s="168">
        <f t="shared" si="268"/>
        <v>3157</v>
      </c>
      <c r="AE330" s="166">
        <f t="shared" si="269"/>
        <v>5464</v>
      </c>
      <c r="AF330" s="167">
        <f t="shared" si="270"/>
        <v>3236</v>
      </c>
      <c r="AG330" s="168">
        <f t="shared" si="271"/>
        <v>3481</v>
      </c>
      <c r="AH330" s="166">
        <f t="shared" si="272"/>
        <v>5996</v>
      </c>
      <c r="AI330" s="167">
        <f t="shared" si="273"/>
        <v>3386</v>
      </c>
      <c r="AJ330" s="168">
        <f t="shared" si="274"/>
        <v>3967</v>
      </c>
      <c r="AK330" s="169">
        <f t="shared" si="275"/>
        <v>6803</v>
      </c>
      <c r="AL330" s="167">
        <f t="shared" si="276"/>
        <v>3845</v>
      </c>
      <c r="AM330" s="585">
        <f t="shared" si="277"/>
        <v>4141</v>
      </c>
      <c r="AN330" s="596">
        <v>3.2000000000000001E-2</v>
      </c>
      <c r="AO330" s="597">
        <v>3.4000000000000002E-2</v>
      </c>
      <c r="AP330" s="597">
        <v>3.5999999999999997E-2</v>
      </c>
      <c r="AQ330" s="598">
        <v>3.7999999999999999E-2</v>
      </c>
      <c r="AR330" s="599">
        <v>0.04</v>
      </c>
      <c r="AS330" s="603"/>
      <c r="AT330" s="588"/>
      <c r="AU330" s="588"/>
      <c r="AV330" s="588"/>
      <c r="AW330" s="589"/>
      <c r="AX330" s="596">
        <v>0.05</v>
      </c>
      <c r="AY330" s="598">
        <v>5.5E-2</v>
      </c>
      <c r="AZ330" s="598">
        <v>0.06</v>
      </c>
      <c r="BA330" s="598">
        <v>6.5000000000000002E-2</v>
      </c>
      <c r="BB330" s="598">
        <v>7.0000000000000007E-2</v>
      </c>
      <c r="BC330" s="598"/>
      <c r="BD330" s="599"/>
      <c r="BE330" s="596"/>
      <c r="BF330" s="598"/>
      <c r="BG330" s="598"/>
      <c r="BH330" s="598"/>
      <c r="BI330" s="598"/>
      <c r="BJ330" s="598"/>
      <c r="BK330" s="605"/>
      <c r="BL330" s="658">
        <f t="shared" si="287"/>
        <v>14500</v>
      </c>
      <c r="BM330" s="3">
        <f t="shared" si="288"/>
        <v>46</v>
      </c>
      <c r="BN330" s="3">
        <f t="shared" si="289"/>
        <v>26</v>
      </c>
      <c r="BO330" s="3">
        <f t="shared" si="290"/>
        <v>28</v>
      </c>
    </row>
    <row r="331" spans="2:67">
      <c r="B331" s="606" t="s">
        <v>1283</v>
      </c>
      <c r="C331" s="607" t="s">
        <v>1278</v>
      </c>
      <c r="D331" s="607" t="s">
        <v>1288</v>
      </c>
      <c r="E331" s="613" t="s">
        <v>125</v>
      </c>
      <c r="F331" s="592">
        <v>328</v>
      </c>
      <c r="G331" s="609">
        <v>4930</v>
      </c>
      <c r="H331" s="610">
        <v>3624</v>
      </c>
      <c r="I331" s="611">
        <v>5944</v>
      </c>
      <c r="J331" s="166">
        <f t="shared" si="278"/>
        <v>98</v>
      </c>
      <c r="K331" s="167">
        <f t="shared" si="279"/>
        <v>72</v>
      </c>
      <c r="L331" s="168">
        <f t="shared" si="280"/>
        <v>118</v>
      </c>
      <c r="M331" s="166">
        <f t="shared" si="281"/>
        <v>147</v>
      </c>
      <c r="N331" s="167">
        <f t="shared" si="282"/>
        <v>108</v>
      </c>
      <c r="O331" s="168">
        <f t="shared" si="283"/>
        <v>178</v>
      </c>
      <c r="P331" s="169">
        <f t="shared" si="284"/>
        <v>197</v>
      </c>
      <c r="Q331" s="169">
        <f t="shared" si="285"/>
        <v>145</v>
      </c>
      <c r="R331" s="169">
        <f t="shared" si="286"/>
        <v>237</v>
      </c>
      <c r="S331" s="584">
        <f t="shared" si="257"/>
        <v>1479</v>
      </c>
      <c r="T331" s="594">
        <f t="shared" si="258"/>
        <v>1087</v>
      </c>
      <c r="U331" s="595">
        <f t="shared" si="259"/>
        <v>1783</v>
      </c>
      <c r="V331" s="166">
        <f t="shared" si="260"/>
        <v>3047</v>
      </c>
      <c r="W331" s="167">
        <f t="shared" si="261"/>
        <v>2239</v>
      </c>
      <c r="X331" s="168">
        <f t="shared" si="262"/>
        <v>3681</v>
      </c>
      <c r="Y331" s="166">
        <f t="shared" si="263"/>
        <v>3441</v>
      </c>
      <c r="Z331" s="167">
        <f t="shared" si="264"/>
        <v>2529</v>
      </c>
      <c r="AA331" s="168">
        <f t="shared" si="265"/>
        <v>4155</v>
      </c>
      <c r="AB331" s="166">
        <f t="shared" si="266"/>
        <v>3835</v>
      </c>
      <c r="AC331" s="167">
        <f t="shared" si="267"/>
        <v>2819</v>
      </c>
      <c r="AD331" s="168">
        <f t="shared" si="268"/>
        <v>4629</v>
      </c>
      <c r="AE331" s="166">
        <f t="shared" si="269"/>
        <v>4229</v>
      </c>
      <c r="AF331" s="167">
        <f t="shared" si="270"/>
        <v>3109</v>
      </c>
      <c r="AG331" s="168">
        <f t="shared" si="271"/>
        <v>4866</v>
      </c>
      <c r="AH331" s="166">
        <f t="shared" si="272"/>
        <v>4426</v>
      </c>
      <c r="AI331" s="167">
        <f t="shared" si="273"/>
        <v>3544</v>
      </c>
      <c r="AJ331" s="168">
        <f t="shared" si="274"/>
        <v>5340</v>
      </c>
      <c r="AK331" s="169">
        <f t="shared" si="275"/>
        <v>5028</v>
      </c>
      <c r="AL331" s="167">
        <f t="shared" si="276"/>
        <v>3696</v>
      </c>
      <c r="AM331" s="585">
        <f t="shared" si="277"/>
        <v>6062</v>
      </c>
      <c r="AN331" s="596">
        <v>0.2</v>
      </c>
      <c r="AO331" s="597">
        <v>0.20499999999999999</v>
      </c>
      <c r="AP331" s="597">
        <v>0.21</v>
      </c>
      <c r="AQ331" s="598">
        <v>0.215</v>
      </c>
      <c r="AR331" s="599">
        <v>0.22</v>
      </c>
      <c r="AS331" s="586"/>
      <c r="AT331" s="587"/>
      <c r="AU331" s="587"/>
      <c r="AV331" s="588"/>
      <c r="AW331" s="589"/>
      <c r="AX331" s="596">
        <v>0.05</v>
      </c>
      <c r="AY331" s="598">
        <v>5.5E-2</v>
      </c>
      <c r="AZ331" s="598">
        <v>0.06</v>
      </c>
      <c r="BA331" s="598">
        <v>6.5000000000000002E-2</v>
      </c>
      <c r="BB331" s="598">
        <v>7.0000000000000007E-2</v>
      </c>
      <c r="BC331" s="598"/>
      <c r="BD331" s="599"/>
      <c r="BE331" s="596"/>
      <c r="BF331" s="598"/>
      <c r="BG331" s="598"/>
      <c r="BH331" s="598"/>
      <c r="BI331" s="598"/>
      <c r="BJ331" s="598"/>
      <c r="BK331" s="605"/>
      <c r="BL331" s="658">
        <f t="shared" si="287"/>
        <v>14500</v>
      </c>
      <c r="BM331" s="3">
        <f t="shared" si="288"/>
        <v>34</v>
      </c>
      <c r="BN331" s="3">
        <f t="shared" si="289"/>
        <v>25</v>
      </c>
      <c r="BO331" s="3">
        <f t="shared" si="290"/>
        <v>41</v>
      </c>
    </row>
    <row r="332" spans="2:67">
      <c r="B332" s="606" t="s">
        <v>1337</v>
      </c>
      <c r="C332" s="607" t="s">
        <v>1328</v>
      </c>
      <c r="D332" s="607" t="s">
        <v>1330</v>
      </c>
      <c r="E332" s="1267" t="s">
        <v>1150</v>
      </c>
      <c r="F332" s="1070">
        <v>329</v>
      </c>
      <c r="G332" s="609">
        <v>10260</v>
      </c>
      <c r="H332" s="610">
        <v>5984</v>
      </c>
      <c r="I332" s="611">
        <v>12253</v>
      </c>
      <c r="J332" s="166">
        <f t="shared" si="278"/>
        <v>205</v>
      </c>
      <c r="K332" s="167">
        <f t="shared" si="279"/>
        <v>119</v>
      </c>
      <c r="L332" s="168">
        <f t="shared" si="280"/>
        <v>245</v>
      </c>
      <c r="M332" s="166">
        <f t="shared" si="281"/>
        <v>256</v>
      </c>
      <c r="N332" s="167">
        <f t="shared" si="282"/>
        <v>149</v>
      </c>
      <c r="O332" s="168">
        <f t="shared" si="283"/>
        <v>306</v>
      </c>
      <c r="P332" s="169">
        <f t="shared" si="284"/>
        <v>384</v>
      </c>
      <c r="Q332" s="169">
        <f t="shared" si="285"/>
        <v>224</v>
      </c>
      <c r="R332" s="169">
        <f t="shared" si="286"/>
        <v>459</v>
      </c>
      <c r="S332" s="584">
        <f t="shared" si="257"/>
        <v>2565</v>
      </c>
      <c r="T332" s="594">
        <f t="shared" si="258"/>
        <v>1496</v>
      </c>
      <c r="U332" s="595">
        <f t="shared" si="259"/>
        <v>3063</v>
      </c>
      <c r="V332" s="166">
        <f t="shared" si="260"/>
        <v>5842</v>
      </c>
      <c r="W332" s="167">
        <f t="shared" si="261"/>
        <v>3403</v>
      </c>
      <c r="X332" s="168">
        <f t="shared" si="262"/>
        <v>6980</v>
      </c>
      <c r="Y332" s="166">
        <f t="shared" si="263"/>
        <v>6226</v>
      </c>
      <c r="Z332" s="167">
        <f t="shared" si="264"/>
        <v>4075</v>
      </c>
      <c r="AA332" s="168">
        <f t="shared" si="265"/>
        <v>7898</v>
      </c>
      <c r="AB332" s="166">
        <f t="shared" si="266"/>
        <v>7378</v>
      </c>
      <c r="AC332" s="167">
        <f t="shared" si="267"/>
        <v>4299</v>
      </c>
      <c r="AD332" s="168">
        <f t="shared" si="268"/>
        <v>9275</v>
      </c>
      <c r="AE332" s="166">
        <f t="shared" si="269"/>
        <v>8914</v>
      </c>
      <c r="AF332" s="167">
        <f t="shared" si="270"/>
        <v>4747</v>
      </c>
      <c r="AG332" s="168">
        <f t="shared" si="271"/>
        <v>10193</v>
      </c>
      <c r="AH332" s="166">
        <f t="shared" si="272"/>
        <v>9682</v>
      </c>
      <c r="AI332" s="167">
        <f t="shared" si="273"/>
        <v>5643</v>
      </c>
      <c r="AJ332" s="168">
        <f t="shared" si="274"/>
        <v>11111</v>
      </c>
      <c r="AK332" s="169">
        <f t="shared" si="275"/>
        <v>10465</v>
      </c>
      <c r="AL332" s="167">
        <f t="shared" si="276"/>
        <v>6103</v>
      </c>
      <c r="AM332" s="585">
        <f t="shared" si="277"/>
        <v>12498</v>
      </c>
      <c r="AN332" s="596">
        <v>7.0000000000000007E-2</v>
      </c>
      <c r="AO332" s="597">
        <v>7.4999999999999997E-2</v>
      </c>
      <c r="AP332" s="597">
        <v>0.08</v>
      </c>
      <c r="AQ332" s="598">
        <v>8.5000000000000006E-2</v>
      </c>
      <c r="AR332" s="599">
        <v>0.09</v>
      </c>
      <c r="AS332" s="603"/>
      <c r="AT332" s="588"/>
      <c r="AU332" s="588"/>
      <c r="AV332" s="588"/>
      <c r="AW332" s="589"/>
      <c r="AX332" s="596">
        <v>0.04</v>
      </c>
      <c r="AY332" s="598">
        <v>4.2999999999999997E-2</v>
      </c>
      <c r="AZ332" s="598">
        <v>4.5999999999999999E-2</v>
      </c>
      <c r="BA332" s="598">
        <v>4.9000000000000002E-2</v>
      </c>
      <c r="BB332" s="598">
        <v>5.1999999999999998E-2</v>
      </c>
      <c r="BC332" s="598"/>
      <c r="BD332" s="599"/>
      <c r="BE332" s="596">
        <v>1.4E-2</v>
      </c>
      <c r="BF332" s="598">
        <v>1.7000000000000001E-2</v>
      </c>
      <c r="BG332" s="598">
        <v>0.02</v>
      </c>
      <c r="BH332" s="598">
        <v>2.3E-2</v>
      </c>
      <c r="BI332" s="598">
        <v>2.5999999999999999E-2</v>
      </c>
      <c r="BJ332" s="598"/>
      <c r="BK332" s="605"/>
      <c r="BL332" s="658">
        <f t="shared" si="287"/>
        <v>28500</v>
      </c>
      <c r="BM332" s="3">
        <f t="shared" si="288"/>
        <v>36</v>
      </c>
      <c r="BN332" s="3">
        <f t="shared" si="289"/>
        <v>21</v>
      </c>
      <c r="BO332" s="3">
        <f t="shared" si="290"/>
        <v>43</v>
      </c>
    </row>
    <row r="333" spans="2:67">
      <c r="B333" s="606" t="s">
        <v>1331</v>
      </c>
      <c r="C333" s="607" t="s">
        <v>1329</v>
      </c>
      <c r="D333" s="607" t="s">
        <v>1330</v>
      </c>
      <c r="E333" s="613" t="s">
        <v>1150</v>
      </c>
      <c r="F333" s="592">
        <v>330</v>
      </c>
      <c r="G333" s="609">
        <v>6474</v>
      </c>
      <c r="H333" s="610">
        <v>4200</v>
      </c>
      <c r="I333" s="611">
        <v>6824</v>
      </c>
      <c r="J333" s="166">
        <f t="shared" si="278"/>
        <v>129</v>
      </c>
      <c r="K333" s="167">
        <f t="shared" si="279"/>
        <v>84</v>
      </c>
      <c r="L333" s="168">
        <f t="shared" si="280"/>
        <v>136</v>
      </c>
      <c r="M333" s="166">
        <f t="shared" si="281"/>
        <v>194</v>
      </c>
      <c r="N333" s="167">
        <f t="shared" si="282"/>
        <v>126</v>
      </c>
      <c r="O333" s="168">
        <f t="shared" si="283"/>
        <v>204</v>
      </c>
      <c r="P333" s="169">
        <f t="shared" si="284"/>
        <v>259</v>
      </c>
      <c r="Q333" s="169">
        <f t="shared" si="285"/>
        <v>168</v>
      </c>
      <c r="R333" s="169">
        <f t="shared" si="286"/>
        <v>273</v>
      </c>
      <c r="S333" s="584">
        <f t="shared" si="257"/>
        <v>1942</v>
      </c>
      <c r="T333" s="594">
        <f t="shared" si="258"/>
        <v>1260</v>
      </c>
      <c r="U333" s="595">
        <f t="shared" si="259"/>
        <v>2047</v>
      </c>
      <c r="V333" s="166">
        <f t="shared" si="260"/>
        <v>4011</v>
      </c>
      <c r="W333" s="167">
        <f t="shared" si="261"/>
        <v>2604</v>
      </c>
      <c r="X333" s="168">
        <f t="shared" si="262"/>
        <v>4223</v>
      </c>
      <c r="Y333" s="166">
        <f t="shared" si="263"/>
        <v>4529</v>
      </c>
      <c r="Z333" s="167">
        <f t="shared" si="264"/>
        <v>2940</v>
      </c>
      <c r="AA333" s="168">
        <f t="shared" si="265"/>
        <v>4769</v>
      </c>
      <c r="AB333" s="166">
        <f t="shared" si="266"/>
        <v>5047</v>
      </c>
      <c r="AC333" s="167">
        <f t="shared" si="267"/>
        <v>3276</v>
      </c>
      <c r="AD333" s="168">
        <f t="shared" si="268"/>
        <v>5315</v>
      </c>
      <c r="AE333" s="166">
        <f t="shared" si="269"/>
        <v>5565</v>
      </c>
      <c r="AF333" s="167">
        <f t="shared" si="270"/>
        <v>3612</v>
      </c>
      <c r="AG333" s="168">
        <f t="shared" si="271"/>
        <v>5588</v>
      </c>
      <c r="AH333" s="166">
        <f t="shared" si="272"/>
        <v>5824</v>
      </c>
      <c r="AI333" s="167">
        <f t="shared" si="273"/>
        <v>4116</v>
      </c>
      <c r="AJ333" s="168">
        <f t="shared" si="274"/>
        <v>6134</v>
      </c>
      <c r="AK333" s="169">
        <f t="shared" si="275"/>
        <v>6603</v>
      </c>
      <c r="AL333" s="167">
        <f t="shared" si="276"/>
        <v>4284</v>
      </c>
      <c r="AM333" s="585">
        <f t="shared" si="277"/>
        <v>6960</v>
      </c>
      <c r="AN333" s="596">
        <v>0.05</v>
      </c>
      <c r="AO333" s="597">
        <v>5.5E-2</v>
      </c>
      <c r="AP333" s="597">
        <v>0.06</v>
      </c>
      <c r="AQ333" s="598">
        <v>6.5000000000000002E-2</v>
      </c>
      <c r="AR333" s="599">
        <v>7.0000000000000007E-2</v>
      </c>
      <c r="AS333" s="603"/>
      <c r="AT333" s="588"/>
      <c r="AU333" s="588"/>
      <c r="AV333" s="588"/>
      <c r="AW333" s="589"/>
      <c r="AX333" s="596">
        <v>0.02</v>
      </c>
      <c r="AY333" s="598">
        <v>2.3E-2</v>
      </c>
      <c r="AZ333" s="598">
        <v>2.5999999999999999E-2</v>
      </c>
      <c r="BA333" s="598">
        <v>2.9000000000000001E-2</v>
      </c>
      <c r="BB333" s="598">
        <v>3.2000000000000001E-2</v>
      </c>
      <c r="BC333" s="598"/>
      <c r="BD333" s="599"/>
      <c r="BE333" s="596"/>
      <c r="BF333" s="598"/>
      <c r="BG333" s="598"/>
      <c r="BH333" s="598"/>
      <c r="BI333" s="598"/>
      <c r="BJ333" s="598"/>
      <c r="BK333" s="605"/>
      <c r="BL333" s="658">
        <f t="shared" si="287"/>
        <v>17500</v>
      </c>
      <c r="BM333" s="3">
        <f t="shared" si="288"/>
        <v>37</v>
      </c>
      <c r="BN333" s="3">
        <f t="shared" si="289"/>
        <v>24</v>
      </c>
      <c r="BO333" s="3">
        <f t="shared" si="290"/>
        <v>39</v>
      </c>
    </row>
    <row r="334" spans="2:67">
      <c r="B334" s="1271" t="s">
        <v>1556</v>
      </c>
      <c r="C334" s="1069" t="s">
        <v>1526</v>
      </c>
      <c r="D334" s="1069" t="s">
        <v>1527</v>
      </c>
      <c r="E334" s="1267" t="s">
        <v>1150</v>
      </c>
      <c r="F334" s="1070">
        <v>331</v>
      </c>
      <c r="G334" s="1071">
        <v>12253</v>
      </c>
      <c r="H334" s="1072">
        <v>5984</v>
      </c>
      <c r="I334" s="1073">
        <v>10260</v>
      </c>
      <c r="J334" s="166">
        <f t="shared" si="278"/>
        <v>245</v>
      </c>
      <c r="K334" s="167">
        <f t="shared" si="279"/>
        <v>119</v>
      </c>
      <c r="L334" s="168">
        <f t="shared" si="280"/>
        <v>205</v>
      </c>
      <c r="M334" s="166">
        <f t="shared" si="281"/>
        <v>306</v>
      </c>
      <c r="N334" s="167">
        <f t="shared" si="282"/>
        <v>149</v>
      </c>
      <c r="O334" s="168">
        <f t="shared" si="283"/>
        <v>256</v>
      </c>
      <c r="P334" s="169">
        <f t="shared" si="284"/>
        <v>459</v>
      </c>
      <c r="Q334" s="169">
        <f t="shared" si="285"/>
        <v>224</v>
      </c>
      <c r="R334" s="169">
        <f t="shared" si="286"/>
        <v>384</v>
      </c>
      <c r="S334" s="584">
        <f t="shared" si="257"/>
        <v>3063</v>
      </c>
      <c r="T334" s="594">
        <f t="shared" si="258"/>
        <v>1496</v>
      </c>
      <c r="U334" s="595">
        <f t="shared" si="259"/>
        <v>2565</v>
      </c>
      <c r="V334" s="166">
        <f t="shared" si="260"/>
        <v>6980</v>
      </c>
      <c r="W334" s="167">
        <f t="shared" si="261"/>
        <v>3403</v>
      </c>
      <c r="X334" s="168">
        <f t="shared" si="262"/>
        <v>5842</v>
      </c>
      <c r="Y334" s="166">
        <f t="shared" si="263"/>
        <v>7898</v>
      </c>
      <c r="Z334" s="167">
        <f t="shared" si="264"/>
        <v>3627</v>
      </c>
      <c r="AA334" s="168">
        <f t="shared" si="265"/>
        <v>6994</v>
      </c>
      <c r="AB334" s="166">
        <f t="shared" si="266"/>
        <v>9275</v>
      </c>
      <c r="AC334" s="167">
        <f t="shared" si="267"/>
        <v>4299</v>
      </c>
      <c r="AD334" s="168">
        <f t="shared" si="268"/>
        <v>7378</v>
      </c>
      <c r="AE334" s="166">
        <f t="shared" si="269"/>
        <v>10193</v>
      </c>
      <c r="AF334" s="167">
        <f t="shared" si="270"/>
        <v>5195</v>
      </c>
      <c r="AG334" s="168">
        <f t="shared" si="271"/>
        <v>8146</v>
      </c>
      <c r="AH334" s="166">
        <f t="shared" si="272"/>
        <v>11111</v>
      </c>
      <c r="AI334" s="167">
        <f t="shared" si="273"/>
        <v>5643</v>
      </c>
      <c r="AJ334" s="168">
        <f t="shared" si="274"/>
        <v>9682</v>
      </c>
      <c r="AK334" s="169">
        <f t="shared" si="275"/>
        <v>12498</v>
      </c>
      <c r="AL334" s="167">
        <f t="shared" si="276"/>
        <v>6103</v>
      </c>
      <c r="AM334" s="585">
        <f t="shared" si="277"/>
        <v>10465</v>
      </c>
      <c r="AN334" s="596">
        <v>0.25</v>
      </c>
      <c r="AO334" s="597">
        <v>0.28000000000000003</v>
      </c>
      <c r="AP334" s="597">
        <v>0.31</v>
      </c>
      <c r="AQ334" s="598">
        <v>0.34</v>
      </c>
      <c r="AR334" s="1132">
        <v>0.37</v>
      </c>
      <c r="AS334" s="603"/>
      <c r="AT334" s="588"/>
      <c r="AU334" s="588"/>
      <c r="AV334" s="588"/>
      <c r="AW334" s="589"/>
      <c r="AX334" s="596">
        <v>0.04</v>
      </c>
      <c r="AY334" s="598">
        <v>4.2999999999999997E-2</v>
      </c>
      <c r="AZ334" s="598">
        <v>4.5999999999999999E-2</v>
      </c>
      <c r="BA334" s="598">
        <v>4.9000000000000002E-2</v>
      </c>
      <c r="BB334" s="598">
        <v>5.1999999999999998E-2</v>
      </c>
      <c r="BC334" s="598"/>
      <c r="BD334" s="599"/>
      <c r="BE334" s="596"/>
      <c r="BF334" s="598"/>
      <c r="BG334" s="598"/>
      <c r="BH334" s="598"/>
      <c r="BI334" s="598"/>
      <c r="BJ334" s="598"/>
      <c r="BK334" s="605"/>
      <c r="BL334" s="658">
        <f t="shared" si="287"/>
        <v>28500</v>
      </c>
      <c r="BM334" s="3">
        <f t="shared" si="288"/>
        <v>43</v>
      </c>
      <c r="BN334" s="3">
        <f t="shared" si="289"/>
        <v>21</v>
      </c>
      <c r="BO334" s="3">
        <f t="shared" si="290"/>
        <v>36</v>
      </c>
    </row>
    <row r="335" spans="2:67">
      <c r="B335" s="606" t="s">
        <v>1557</v>
      </c>
      <c r="C335" s="607" t="s">
        <v>1538</v>
      </c>
      <c r="D335" s="607" t="s">
        <v>1539</v>
      </c>
      <c r="E335" s="238" t="s">
        <v>1150</v>
      </c>
      <c r="F335" s="592">
        <v>332</v>
      </c>
      <c r="G335" s="609">
        <v>5250</v>
      </c>
      <c r="H335" s="610">
        <v>6650</v>
      </c>
      <c r="I335" s="611">
        <v>5600</v>
      </c>
      <c r="J335" s="166">
        <f t="shared" si="278"/>
        <v>105</v>
      </c>
      <c r="K335" s="167">
        <f t="shared" si="279"/>
        <v>133</v>
      </c>
      <c r="L335" s="168">
        <f t="shared" si="280"/>
        <v>112</v>
      </c>
      <c r="M335" s="166">
        <f t="shared" si="281"/>
        <v>157</v>
      </c>
      <c r="N335" s="167">
        <f t="shared" si="282"/>
        <v>199</v>
      </c>
      <c r="O335" s="168">
        <f t="shared" si="283"/>
        <v>168</v>
      </c>
      <c r="P335" s="169">
        <f t="shared" si="284"/>
        <v>210</v>
      </c>
      <c r="Q335" s="169">
        <f t="shared" si="285"/>
        <v>266</v>
      </c>
      <c r="R335" s="169">
        <f t="shared" si="286"/>
        <v>224</v>
      </c>
      <c r="S335" s="584">
        <f t="shared" si="257"/>
        <v>1575</v>
      </c>
      <c r="T335" s="594">
        <f t="shared" si="258"/>
        <v>1995</v>
      </c>
      <c r="U335" s="595">
        <f t="shared" si="259"/>
        <v>1680</v>
      </c>
      <c r="V335" s="166">
        <f t="shared" si="260"/>
        <v>3250</v>
      </c>
      <c r="W335" s="167">
        <f t="shared" si="261"/>
        <v>4118</v>
      </c>
      <c r="X335" s="168">
        <f t="shared" si="262"/>
        <v>3472</v>
      </c>
      <c r="Y335" s="166">
        <f t="shared" si="263"/>
        <v>3670</v>
      </c>
      <c r="Z335" s="167">
        <f t="shared" si="264"/>
        <v>4650</v>
      </c>
      <c r="AA335" s="168">
        <f t="shared" si="265"/>
        <v>3920</v>
      </c>
      <c r="AB335" s="166">
        <f t="shared" si="266"/>
        <v>4090</v>
      </c>
      <c r="AC335" s="167">
        <f t="shared" si="267"/>
        <v>5182</v>
      </c>
      <c r="AD335" s="168">
        <f t="shared" si="268"/>
        <v>4368</v>
      </c>
      <c r="AE335" s="166">
        <f t="shared" si="269"/>
        <v>4510</v>
      </c>
      <c r="AF335" s="167">
        <f t="shared" si="270"/>
        <v>5448</v>
      </c>
      <c r="AG335" s="168">
        <f t="shared" si="271"/>
        <v>4816</v>
      </c>
      <c r="AH335" s="166">
        <f t="shared" si="272"/>
        <v>5140</v>
      </c>
      <c r="AI335" s="167">
        <f t="shared" si="273"/>
        <v>5980</v>
      </c>
      <c r="AJ335" s="168">
        <f t="shared" si="274"/>
        <v>5040</v>
      </c>
      <c r="AK335" s="169">
        <f t="shared" si="275"/>
        <v>5355</v>
      </c>
      <c r="AL335" s="167">
        <f t="shared" si="276"/>
        <v>6783</v>
      </c>
      <c r="AM335" s="585">
        <f t="shared" si="277"/>
        <v>5712</v>
      </c>
      <c r="AN335" s="614">
        <v>0.1</v>
      </c>
      <c r="AO335" s="615">
        <v>0.13</v>
      </c>
      <c r="AP335" s="615">
        <v>0.16</v>
      </c>
      <c r="AQ335" s="616">
        <v>0.19</v>
      </c>
      <c r="AR335" s="612">
        <v>0.22</v>
      </c>
      <c r="AS335" s="617"/>
      <c r="AT335" s="618"/>
      <c r="AU335" s="618"/>
      <c r="AV335" s="618"/>
      <c r="AW335" s="619"/>
      <c r="AX335" s="614">
        <v>0.03</v>
      </c>
      <c r="AY335" s="616">
        <v>3.5000000000000003E-2</v>
      </c>
      <c r="AZ335" s="616">
        <v>0.04</v>
      </c>
      <c r="BA335" s="616">
        <v>4.4999999999999998E-2</v>
      </c>
      <c r="BB335" s="616">
        <v>0.05</v>
      </c>
      <c r="BC335" s="616"/>
      <c r="BD335" s="612"/>
      <c r="BE335" s="596"/>
      <c r="BF335" s="598"/>
      <c r="BG335" s="598"/>
      <c r="BH335" s="598"/>
      <c r="BI335" s="598"/>
      <c r="BJ335" s="598"/>
      <c r="BK335" s="605"/>
      <c r="BL335" s="658">
        <f t="shared" si="287"/>
        <v>17500</v>
      </c>
      <c r="BM335" s="3">
        <f t="shared" si="288"/>
        <v>30</v>
      </c>
      <c r="BN335" s="3">
        <f t="shared" si="289"/>
        <v>38</v>
      </c>
      <c r="BO335" s="3">
        <f t="shared" si="290"/>
        <v>32</v>
      </c>
    </row>
    <row r="336" spans="2:67">
      <c r="B336" s="1271" t="s">
        <v>1558</v>
      </c>
      <c r="C336" s="1069" t="s">
        <v>1526</v>
      </c>
      <c r="D336" s="1069" t="s">
        <v>1534</v>
      </c>
      <c r="E336" s="1268" t="s">
        <v>1150</v>
      </c>
      <c r="F336" s="1070">
        <v>333</v>
      </c>
      <c r="G336" s="1071">
        <v>10829</v>
      </c>
      <c r="H336" s="1072">
        <v>8833</v>
      </c>
      <c r="I336" s="1073">
        <v>8833</v>
      </c>
      <c r="J336" s="166">
        <f t="shared" si="278"/>
        <v>216</v>
      </c>
      <c r="K336" s="167">
        <f t="shared" si="279"/>
        <v>176</v>
      </c>
      <c r="L336" s="168">
        <f t="shared" si="280"/>
        <v>176</v>
      </c>
      <c r="M336" s="166">
        <f t="shared" si="281"/>
        <v>270</v>
      </c>
      <c r="N336" s="167">
        <f t="shared" si="282"/>
        <v>220</v>
      </c>
      <c r="O336" s="168">
        <f t="shared" si="283"/>
        <v>220</v>
      </c>
      <c r="P336" s="169">
        <f t="shared" si="284"/>
        <v>406</v>
      </c>
      <c r="Q336" s="169">
        <f t="shared" si="285"/>
        <v>331</v>
      </c>
      <c r="R336" s="169">
        <f t="shared" si="286"/>
        <v>331</v>
      </c>
      <c r="S336" s="584">
        <f t="shared" si="257"/>
        <v>2707</v>
      </c>
      <c r="T336" s="594">
        <f t="shared" si="258"/>
        <v>2208</v>
      </c>
      <c r="U336" s="595">
        <f t="shared" si="259"/>
        <v>2208</v>
      </c>
      <c r="V336" s="166">
        <f t="shared" si="260"/>
        <v>6163</v>
      </c>
      <c r="W336" s="167">
        <f t="shared" si="261"/>
        <v>5024</v>
      </c>
      <c r="X336" s="168">
        <f t="shared" si="262"/>
        <v>5024</v>
      </c>
      <c r="Y336" s="166">
        <f t="shared" si="263"/>
        <v>6569</v>
      </c>
      <c r="Z336" s="167">
        <f t="shared" si="264"/>
        <v>5686</v>
      </c>
      <c r="AA336" s="168">
        <f t="shared" si="265"/>
        <v>6017</v>
      </c>
      <c r="AB336" s="166">
        <f t="shared" si="266"/>
        <v>7787</v>
      </c>
      <c r="AC336" s="167">
        <f t="shared" si="267"/>
        <v>6679</v>
      </c>
      <c r="AD336" s="168">
        <f t="shared" si="268"/>
        <v>6348</v>
      </c>
      <c r="AE336" s="166">
        <f t="shared" si="269"/>
        <v>9411</v>
      </c>
      <c r="AF336" s="167">
        <f t="shared" si="270"/>
        <v>7341</v>
      </c>
      <c r="AG336" s="168">
        <f t="shared" si="271"/>
        <v>7010</v>
      </c>
      <c r="AH336" s="166">
        <f t="shared" si="272"/>
        <v>10223</v>
      </c>
      <c r="AI336" s="167">
        <f t="shared" si="273"/>
        <v>8003</v>
      </c>
      <c r="AJ336" s="168">
        <f t="shared" si="274"/>
        <v>8334</v>
      </c>
      <c r="AK336" s="169">
        <f t="shared" si="275"/>
        <v>11045</v>
      </c>
      <c r="AL336" s="167">
        <f t="shared" si="276"/>
        <v>9009</v>
      </c>
      <c r="AM336" s="585">
        <f t="shared" si="277"/>
        <v>9009</v>
      </c>
      <c r="AN336" s="596">
        <v>0.2</v>
      </c>
      <c r="AO336" s="597">
        <v>0.23</v>
      </c>
      <c r="AP336" s="597">
        <v>0.26</v>
      </c>
      <c r="AQ336" s="598">
        <v>0.28999999999999998</v>
      </c>
      <c r="AR336" s="599">
        <v>0.32</v>
      </c>
      <c r="AS336" s="603"/>
      <c r="AT336" s="588"/>
      <c r="AU336" s="588"/>
      <c r="AV336" s="588"/>
      <c r="AW336" s="589"/>
      <c r="AX336" s="596">
        <v>0.04</v>
      </c>
      <c r="AY336" s="598">
        <v>4.2999999999999997E-2</v>
      </c>
      <c r="AZ336" s="598">
        <v>4.5999999999999999E-2</v>
      </c>
      <c r="BA336" s="598">
        <v>4.9000000000000002E-2</v>
      </c>
      <c r="BB336" s="598">
        <v>5.1999999999999998E-2</v>
      </c>
      <c r="BC336" s="598"/>
      <c r="BD336" s="599"/>
      <c r="BE336" s="596"/>
      <c r="BF336" s="598"/>
      <c r="BG336" s="598"/>
      <c r="BH336" s="598"/>
      <c r="BI336" s="598"/>
      <c r="BJ336" s="598"/>
      <c r="BK336" s="605"/>
      <c r="BL336" s="658">
        <f t="shared" si="287"/>
        <v>28500</v>
      </c>
      <c r="BM336" s="3">
        <f t="shared" si="288"/>
        <v>38</v>
      </c>
      <c r="BN336" s="3">
        <f t="shared" si="289"/>
        <v>31</v>
      </c>
      <c r="BO336" s="3">
        <f t="shared" si="290"/>
        <v>31</v>
      </c>
    </row>
    <row r="337" spans="2:67">
      <c r="B337" s="1271" t="s">
        <v>1559</v>
      </c>
      <c r="C337" s="1069" t="s">
        <v>1542</v>
      </c>
      <c r="D337" s="1069" t="s">
        <v>1539</v>
      </c>
      <c r="E337" s="238" t="s">
        <v>125</v>
      </c>
      <c r="F337" s="1270">
        <v>334</v>
      </c>
      <c r="G337" s="1071">
        <v>5749</v>
      </c>
      <c r="H337" s="1072">
        <v>10809</v>
      </c>
      <c r="I337" s="1073">
        <v>6440</v>
      </c>
      <c r="J337" s="166">
        <f t="shared" si="278"/>
        <v>115</v>
      </c>
      <c r="K337" s="167">
        <f t="shared" si="279"/>
        <v>216</v>
      </c>
      <c r="L337" s="168">
        <f t="shared" si="280"/>
        <v>128</v>
      </c>
      <c r="M337" s="166">
        <f t="shared" si="281"/>
        <v>143</v>
      </c>
      <c r="N337" s="167">
        <f t="shared" si="282"/>
        <v>270</v>
      </c>
      <c r="O337" s="168">
        <f t="shared" si="283"/>
        <v>161</v>
      </c>
      <c r="P337" s="169">
        <f t="shared" si="284"/>
        <v>215</v>
      </c>
      <c r="Q337" s="169">
        <f t="shared" si="285"/>
        <v>405</v>
      </c>
      <c r="R337" s="169">
        <f t="shared" si="286"/>
        <v>241</v>
      </c>
      <c r="S337" s="584">
        <f t="shared" si="257"/>
        <v>1437</v>
      </c>
      <c r="T337" s="594">
        <f t="shared" si="258"/>
        <v>2702</v>
      </c>
      <c r="U337" s="595">
        <f t="shared" si="259"/>
        <v>1610</v>
      </c>
      <c r="V337" s="166">
        <f t="shared" si="260"/>
        <v>3268</v>
      </c>
      <c r="W337" s="167">
        <f t="shared" si="261"/>
        <v>6158</v>
      </c>
      <c r="X337" s="168">
        <f t="shared" si="262"/>
        <v>3670</v>
      </c>
      <c r="Y337" s="166">
        <f t="shared" si="263"/>
        <v>3913</v>
      </c>
      <c r="Z337" s="167">
        <f t="shared" si="264"/>
        <v>6968</v>
      </c>
      <c r="AA337" s="168">
        <f t="shared" si="265"/>
        <v>3911</v>
      </c>
      <c r="AB337" s="166">
        <f t="shared" si="266"/>
        <v>4128</v>
      </c>
      <c r="AC337" s="167">
        <f t="shared" si="267"/>
        <v>8183</v>
      </c>
      <c r="AD337" s="168">
        <f t="shared" si="268"/>
        <v>4634</v>
      </c>
      <c r="AE337" s="166">
        <f t="shared" si="269"/>
        <v>4558</v>
      </c>
      <c r="AF337" s="167">
        <f t="shared" si="270"/>
        <v>8993</v>
      </c>
      <c r="AG337" s="168">
        <f t="shared" si="271"/>
        <v>5598</v>
      </c>
      <c r="AH337" s="166">
        <f t="shared" si="272"/>
        <v>5418</v>
      </c>
      <c r="AI337" s="167">
        <f t="shared" si="273"/>
        <v>9803</v>
      </c>
      <c r="AJ337" s="168">
        <f t="shared" si="274"/>
        <v>6080</v>
      </c>
      <c r="AK337" s="169">
        <f t="shared" si="275"/>
        <v>5864</v>
      </c>
      <c r="AL337" s="167">
        <f t="shared" si="276"/>
        <v>11025</v>
      </c>
      <c r="AM337" s="585">
        <f t="shared" si="277"/>
        <v>6568</v>
      </c>
      <c r="AN337" s="1133">
        <v>0.2</v>
      </c>
      <c r="AO337" s="1134">
        <v>0.22</v>
      </c>
      <c r="AP337" s="1134">
        <v>0.24</v>
      </c>
      <c r="AQ337" s="1135">
        <v>0.26</v>
      </c>
      <c r="AR337" s="1132">
        <v>0.28000000000000003</v>
      </c>
      <c r="AS337" s="603"/>
      <c r="AT337" s="588"/>
      <c r="AU337" s="588"/>
      <c r="AV337" s="588"/>
      <c r="AW337" s="589"/>
      <c r="AX337" s="596">
        <v>7.0000000000000007E-2</v>
      </c>
      <c r="AY337" s="598">
        <v>7.4999999999999997E-2</v>
      </c>
      <c r="AZ337" s="598">
        <v>0.08</v>
      </c>
      <c r="BA337" s="598">
        <v>8.5000000000000006E-2</v>
      </c>
      <c r="BB337" s="598">
        <v>0.09</v>
      </c>
      <c r="BC337" s="598"/>
      <c r="BD337" s="599"/>
      <c r="BE337" s="596"/>
      <c r="BF337" s="598"/>
      <c r="BG337" s="598"/>
      <c r="BH337" s="598"/>
      <c r="BI337" s="598"/>
      <c r="BJ337" s="598"/>
      <c r="BK337" s="605"/>
      <c r="BL337" s="658">
        <f t="shared" si="287"/>
        <v>23000</v>
      </c>
      <c r="BM337" s="3">
        <f t="shared" si="288"/>
        <v>25</v>
      </c>
      <c r="BN337" s="3">
        <f t="shared" si="289"/>
        <v>47</v>
      </c>
      <c r="BO337" s="3">
        <f t="shared" si="290"/>
        <v>28</v>
      </c>
    </row>
    <row r="338" spans="2:67">
      <c r="B338" s="606" t="s">
        <v>1560</v>
      </c>
      <c r="C338" s="607" t="s">
        <v>1538</v>
      </c>
      <c r="D338" s="607" t="s">
        <v>1547</v>
      </c>
      <c r="E338" s="238" t="s">
        <v>125</v>
      </c>
      <c r="F338" s="608">
        <v>335</v>
      </c>
      <c r="G338" s="609">
        <v>4060</v>
      </c>
      <c r="H338" s="610">
        <v>4640</v>
      </c>
      <c r="I338" s="611">
        <v>5800</v>
      </c>
      <c r="J338" s="166">
        <f t="shared" si="278"/>
        <v>81</v>
      </c>
      <c r="K338" s="167">
        <f t="shared" si="279"/>
        <v>92</v>
      </c>
      <c r="L338" s="168">
        <f t="shared" si="280"/>
        <v>116</v>
      </c>
      <c r="M338" s="166">
        <f t="shared" si="281"/>
        <v>121</v>
      </c>
      <c r="N338" s="167">
        <f t="shared" si="282"/>
        <v>139</v>
      </c>
      <c r="O338" s="168">
        <f t="shared" si="283"/>
        <v>174</v>
      </c>
      <c r="P338" s="169">
        <f t="shared" si="284"/>
        <v>162</v>
      </c>
      <c r="Q338" s="169">
        <f t="shared" si="285"/>
        <v>185</v>
      </c>
      <c r="R338" s="169">
        <f t="shared" si="286"/>
        <v>232</v>
      </c>
      <c r="S338" s="584">
        <f t="shared" si="257"/>
        <v>1218</v>
      </c>
      <c r="T338" s="594">
        <f t="shared" si="258"/>
        <v>1392</v>
      </c>
      <c r="U338" s="595">
        <f t="shared" si="259"/>
        <v>1740</v>
      </c>
      <c r="V338" s="166">
        <f t="shared" si="260"/>
        <v>2509</v>
      </c>
      <c r="W338" s="167">
        <f t="shared" si="261"/>
        <v>2874</v>
      </c>
      <c r="X338" s="168">
        <f t="shared" si="262"/>
        <v>3596</v>
      </c>
      <c r="Y338" s="166">
        <f t="shared" si="263"/>
        <v>2833</v>
      </c>
      <c r="Z338" s="167">
        <f t="shared" si="264"/>
        <v>3244</v>
      </c>
      <c r="AA338" s="168">
        <f t="shared" si="265"/>
        <v>4060</v>
      </c>
      <c r="AB338" s="166">
        <f t="shared" si="266"/>
        <v>3157</v>
      </c>
      <c r="AC338" s="167">
        <f t="shared" si="267"/>
        <v>3614</v>
      </c>
      <c r="AD338" s="168">
        <f t="shared" si="268"/>
        <v>4524</v>
      </c>
      <c r="AE338" s="166">
        <f t="shared" si="269"/>
        <v>3481</v>
      </c>
      <c r="AF338" s="167">
        <f t="shared" si="270"/>
        <v>3984</v>
      </c>
      <c r="AG338" s="168">
        <f t="shared" si="271"/>
        <v>4756</v>
      </c>
      <c r="AH338" s="166">
        <f t="shared" si="272"/>
        <v>3643</v>
      </c>
      <c r="AI338" s="167">
        <f t="shared" si="273"/>
        <v>4539</v>
      </c>
      <c r="AJ338" s="168">
        <f t="shared" si="274"/>
        <v>5220</v>
      </c>
      <c r="AK338" s="169">
        <f t="shared" si="275"/>
        <v>4141</v>
      </c>
      <c r="AL338" s="167">
        <f t="shared" si="276"/>
        <v>4732</v>
      </c>
      <c r="AM338" s="585">
        <f t="shared" si="277"/>
        <v>5916</v>
      </c>
      <c r="AN338" s="614">
        <v>9.2999999999999999E-2</v>
      </c>
      <c r="AO338" s="615">
        <v>9.6000000000000002E-2</v>
      </c>
      <c r="AP338" s="615">
        <v>9.9000000000000005E-2</v>
      </c>
      <c r="AQ338" s="616">
        <v>0.10199999999999999</v>
      </c>
      <c r="AR338" s="612">
        <v>0.105</v>
      </c>
      <c r="AS338" s="603"/>
      <c r="AT338" s="588"/>
      <c r="AU338" s="588"/>
      <c r="AV338" s="588"/>
      <c r="AW338" s="589"/>
      <c r="AX338" s="596">
        <v>0.05</v>
      </c>
      <c r="AY338" s="598">
        <v>5.5E-2</v>
      </c>
      <c r="AZ338" s="598">
        <v>0.06</v>
      </c>
      <c r="BA338" s="598">
        <v>6.5000000000000002E-2</v>
      </c>
      <c r="BB338" s="598">
        <v>7.0000000000000007E-2</v>
      </c>
      <c r="BC338" s="598"/>
      <c r="BD338" s="599"/>
      <c r="BE338" s="596"/>
      <c r="BF338" s="598"/>
      <c r="BG338" s="598"/>
      <c r="BH338" s="598"/>
      <c r="BI338" s="598"/>
      <c r="BJ338" s="598"/>
      <c r="BK338" s="605"/>
      <c r="BL338" s="658">
        <f t="shared" si="287"/>
        <v>14500</v>
      </c>
      <c r="BM338" s="3">
        <f t="shared" si="288"/>
        <v>28</v>
      </c>
      <c r="BN338" s="3">
        <f t="shared" si="289"/>
        <v>32</v>
      </c>
      <c r="BO338" s="3">
        <f t="shared" si="290"/>
        <v>40</v>
      </c>
    </row>
    <row r="339" spans="2:67">
      <c r="B339" s="606" t="s">
        <v>1561</v>
      </c>
      <c r="C339" s="607" t="s">
        <v>1538</v>
      </c>
      <c r="D339" s="607" t="s">
        <v>1552</v>
      </c>
      <c r="E339" s="613" t="s">
        <v>125</v>
      </c>
      <c r="F339" s="592">
        <v>336</v>
      </c>
      <c r="G339" s="609">
        <v>5364</v>
      </c>
      <c r="H339" s="610">
        <v>4204</v>
      </c>
      <c r="I339" s="611">
        <v>4930</v>
      </c>
      <c r="J339" s="166">
        <f t="shared" si="278"/>
        <v>107</v>
      </c>
      <c r="K339" s="167">
        <f t="shared" si="279"/>
        <v>84</v>
      </c>
      <c r="L339" s="168">
        <f t="shared" si="280"/>
        <v>98</v>
      </c>
      <c r="M339" s="166">
        <f t="shared" si="281"/>
        <v>160</v>
      </c>
      <c r="N339" s="167">
        <f t="shared" si="282"/>
        <v>126</v>
      </c>
      <c r="O339" s="168">
        <f t="shared" si="283"/>
        <v>147</v>
      </c>
      <c r="P339" s="169">
        <f t="shared" si="284"/>
        <v>214</v>
      </c>
      <c r="Q339" s="169">
        <f t="shared" si="285"/>
        <v>168</v>
      </c>
      <c r="R339" s="169">
        <f t="shared" si="286"/>
        <v>197</v>
      </c>
      <c r="S339" s="584">
        <f t="shared" si="257"/>
        <v>1609</v>
      </c>
      <c r="T339" s="594">
        <f t="shared" si="258"/>
        <v>1261</v>
      </c>
      <c r="U339" s="595">
        <f t="shared" si="259"/>
        <v>1479</v>
      </c>
      <c r="V339" s="166">
        <f t="shared" si="260"/>
        <v>3316</v>
      </c>
      <c r="W339" s="167">
        <f t="shared" si="261"/>
        <v>2605</v>
      </c>
      <c r="X339" s="168">
        <f t="shared" si="262"/>
        <v>3047</v>
      </c>
      <c r="Y339" s="166">
        <f t="shared" si="263"/>
        <v>3744</v>
      </c>
      <c r="Z339" s="167">
        <f t="shared" si="264"/>
        <v>2941</v>
      </c>
      <c r="AA339" s="168">
        <f t="shared" si="265"/>
        <v>3441</v>
      </c>
      <c r="AB339" s="166">
        <f t="shared" si="266"/>
        <v>4172</v>
      </c>
      <c r="AC339" s="167">
        <f t="shared" si="267"/>
        <v>3277</v>
      </c>
      <c r="AD339" s="168">
        <f t="shared" si="268"/>
        <v>3835</v>
      </c>
      <c r="AE339" s="166">
        <f t="shared" si="269"/>
        <v>4600</v>
      </c>
      <c r="AF339" s="167">
        <f t="shared" si="270"/>
        <v>3445</v>
      </c>
      <c r="AG339" s="168">
        <f t="shared" si="271"/>
        <v>4229</v>
      </c>
      <c r="AH339" s="166">
        <f t="shared" si="272"/>
        <v>4814</v>
      </c>
      <c r="AI339" s="167">
        <f t="shared" si="273"/>
        <v>3781</v>
      </c>
      <c r="AJ339" s="168">
        <f t="shared" si="274"/>
        <v>4820</v>
      </c>
      <c r="AK339" s="169">
        <f t="shared" si="275"/>
        <v>5471</v>
      </c>
      <c r="AL339" s="167">
        <f t="shared" si="276"/>
        <v>4288</v>
      </c>
      <c r="AM339" s="585">
        <f t="shared" si="277"/>
        <v>5028</v>
      </c>
      <c r="AN339" s="614">
        <v>3.2000000000000001E-2</v>
      </c>
      <c r="AO339" s="615">
        <v>3.5000000000000003E-2</v>
      </c>
      <c r="AP339" s="615">
        <v>3.7999999999999999E-2</v>
      </c>
      <c r="AQ339" s="616">
        <v>4.1000000000000002E-2</v>
      </c>
      <c r="AR339" s="612">
        <v>4.3999999999999997E-2</v>
      </c>
      <c r="AS339" s="603"/>
      <c r="AT339" s="588"/>
      <c r="AU339" s="588"/>
      <c r="AV339" s="588"/>
      <c r="AW339" s="589"/>
      <c r="AX339" s="596">
        <v>0.03</v>
      </c>
      <c r="AY339" s="598">
        <v>3.5000000000000003E-2</v>
      </c>
      <c r="AZ339" s="598">
        <v>0.04</v>
      </c>
      <c r="BA339" s="598">
        <v>4.4999999999999998E-2</v>
      </c>
      <c r="BB339" s="598">
        <v>0.05</v>
      </c>
      <c r="BC339" s="598"/>
      <c r="BD339" s="599"/>
      <c r="BE339" s="596"/>
      <c r="BF339" s="598"/>
      <c r="BG339" s="598"/>
      <c r="BH339" s="598"/>
      <c r="BI339" s="598"/>
      <c r="BJ339" s="598"/>
      <c r="BK339" s="605"/>
      <c r="BL339" s="658">
        <f t="shared" si="287"/>
        <v>14500</v>
      </c>
      <c r="BM339" s="3">
        <f t="shared" si="288"/>
        <v>37</v>
      </c>
      <c r="BN339" s="3">
        <f t="shared" si="289"/>
        <v>29</v>
      </c>
      <c r="BO339" s="3">
        <f t="shared" si="290"/>
        <v>34</v>
      </c>
    </row>
    <row r="340" spans="2:67">
      <c r="B340" s="1271" t="s">
        <v>1989</v>
      </c>
      <c r="C340" s="1069" t="s">
        <v>1587</v>
      </c>
      <c r="D340" s="1069" t="s">
        <v>1588</v>
      </c>
      <c r="E340" s="238" t="s">
        <v>939</v>
      </c>
      <c r="F340" s="1070">
        <v>337</v>
      </c>
      <c r="G340" s="1071">
        <v>10849</v>
      </c>
      <c r="H340" s="1072">
        <v>6509</v>
      </c>
      <c r="I340" s="1073">
        <v>13640</v>
      </c>
      <c r="J340" s="166">
        <f t="shared" si="278"/>
        <v>217</v>
      </c>
      <c r="K340" s="167">
        <f t="shared" si="279"/>
        <v>130</v>
      </c>
      <c r="L340" s="168">
        <f t="shared" si="280"/>
        <v>272</v>
      </c>
      <c r="M340" s="166">
        <f t="shared" si="281"/>
        <v>271</v>
      </c>
      <c r="N340" s="167">
        <f t="shared" si="282"/>
        <v>162</v>
      </c>
      <c r="O340" s="168">
        <f t="shared" si="283"/>
        <v>341</v>
      </c>
      <c r="P340" s="169">
        <f t="shared" si="284"/>
        <v>406</v>
      </c>
      <c r="Q340" s="169">
        <f t="shared" si="285"/>
        <v>244</v>
      </c>
      <c r="R340" s="169">
        <f t="shared" si="286"/>
        <v>511</v>
      </c>
      <c r="S340" s="584">
        <f t="shared" si="257"/>
        <v>2712</v>
      </c>
      <c r="T340" s="594">
        <f t="shared" si="258"/>
        <v>1627</v>
      </c>
      <c r="U340" s="595">
        <f t="shared" si="259"/>
        <v>3410</v>
      </c>
      <c r="V340" s="166">
        <f t="shared" si="260"/>
        <v>6181</v>
      </c>
      <c r="W340" s="167">
        <f t="shared" si="261"/>
        <v>3701</v>
      </c>
      <c r="X340" s="168">
        <f t="shared" si="262"/>
        <v>7774</v>
      </c>
      <c r="Y340" s="166">
        <f t="shared" si="263"/>
        <v>6587</v>
      </c>
      <c r="Z340" s="167">
        <f t="shared" si="264"/>
        <v>4433</v>
      </c>
      <c r="AA340" s="168">
        <f t="shared" si="265"/>
        <v>8796</v>
      </c>
      <c r="AB340" s="166">
        <f t="shared" si="266"/>
        <v>7805</v>
      </c>
      <c r="AC340" s="167">
        <f t="shared" si="267"/>
        <v>4677</v>
      </c>
      <c r="AD340" s="168">
        <f t="shared" si="268"/>
        <v>10329</v>
      </c>
      <c r="AE340" s="166">
        <f t="shared" si="269"/>
        <v>9429</v>
      </c>
      <c r="AF340" s="167">
        <f t="shared" si="270"/>
        <v>5165</v>
      </c>
      <c r="AG340" s="168">
        <f t="shared" si="271"/>
        <v>11351</v>
      </c>
      <c r="AH340" s="166">
        <f t="shared" si="272"/>
        <v>10241</v>
      </c>
      <c r="AI340" s="167">
        <f t="shared" si="273"/>
        <v>6141</v>
      </c>
      <c r="AJ340" s="168">
        <f t="shared" si="274"/>
        <v>12373</v>
      </c>
      <c r="AK340" s="169">
        <f t="shared" si="275"/>
        <v>11066</v>
      </c>
      <c r="AL340" s="167">
        <f t="shared" si="276"/>
        <v>6639</v>
      </c>
      <c r="AM340" s="585">
        <f t="shared" si="277"/>
        <v>13912</v>
      </c>
      <c r="AN340" s="1133">
        <v>0.28000000000000003</v>
      </c>
      <c r="AO340" s="1134">
        <v>0.28999999999999998</v>
      </c>
      <c r="AP340" s="1134">
        <v>0.3</v>
      </c>
      <c r="AQ340" s="1135">
        <v>0.31</v>
      </c>
      <c r="AR340" s="1132">
        <v>0.32</v>
      </c>
      <c r="AS340" s="603"/>
      <c r="AT340" s="588"/>
      <c r="AU340" s="588"/>
      <c r="AV340" s="588"/>
      <c r="AW340" s="589"/>
      <c r="AX340" s="596">
        <v>0.04</v>
      </c>
      <c r="AY340" s="598">
        <v>4.2999999999999997E-2</v>
      </c>
      <c r="AZ340" s="598">
        <v>4.5999999999999999E-2</v>
      </c>
      <c r="BA340" s="598">
        <v>4.9000000000000002E-2</v>
      </c>
      <c r="BB340" s="598">
        <v>5.1999999999999998E-2</v>
      </c>
      <c r="BC340" s="598"/>
      <c r="BD340" s="599"/>
      <c r="BE340" s="596"/>
      <c r="BF340" s="598"/>
      <c r="BG340" s="598"/>
      <c r="BH340" s="598"/>
      <c r="BI340" s="598"/>
      <c r="BJ340" s="598"/>
      <c r="BK340" s="605"/>
      <c r="BL340" s="658">
        <f t="shared" si="287"/>
        <v>31000</v>
      </c>
      <c r="BM340" s="3">
        <f t="shared" si="288"/>
        <v>35</v>
      </c>
      <c r="BN340" s="3">
        <f t="shared" si="289"/>
        <v>21</v>
      </c>
      <c r="BO340" s="3">
        <f t="shared" si="290"/>
        <v>44</v>
      </c>
    </row>
    <row r="341" spans="2:67">
      <c r="B341" s="606" t="s">
        <v>1990</v>
      </c>
      <c r="C341" s="607" t="s">
        <v>1587</v>
      </c>
      <c r="D341" s="607" t="s">
        <v>1589</v>
      </c>
      <c r="E341" s="238" t="s">
        <v>939</v>
      </c>
      <c r="F341" s="1270">
        <v>338</v>
      </c>
      <c r="G341" s="609">
        <v>7929</v>
      </c>
      <c r="H341" s="610">
        <v>14333</v>
      </c>
      <c r="I341" s="611">
        <v>8233</v>
      </c>
      <c r="J341" s="166">
        <f t="shared" si="278"/>
        <v>158</v>
      </c>
      <c r="K341" s="167">
        <f t="shared" si="279"/>
        <v>286</v>
      </c>
      <c r="L341" s="168">
        <f t="shared" si="280"/>
        <v>164</v>
      </c>
      <c r="M341" s="166">
        <f t="shared" si="281"/>
        <v>198</v>
      </c>
      <c r="N341" s="167">
        <f t="shared" si="282"/>
        <v>358</v>
      </c>
      <c r="O341" s="168">
        <f t="shared" si="283"/>
        <v>205</v>
      </c>
      <c r="P341" s="169">
        <f t="shared" si="284"/>
        <v>297</v>
      </c>
      <c r="Q341" s="169">
        <f t="shared" si="285"/>
        <v>537</v>
      </c>
      <c r="R341" s="169">
        <f t="shared" si="286"/>
        <v>308</v>
      </c>
      <c r="S341" s="584">
        <f t="shared" si="257"/>
        <v>1982</v>
      </c>
      <c r="T341" s="594">
        <f t="shared" si="258"/>
        <v>3583</v>
      </c>
      <c r="U341" s="595">
        <f t="shared" si="259"/>
        <v>2058</v>
      </c>
      <c r="V341" s="166">
        <f t="shared" si="260"/>
        <v>4516</v>
      </c>
      <c r="W341" s="167">
        <f t="shared" si="261"/>
        <v>8165</v>
      </c>
      <c r="X341" s="168">
        <f t="shared" si="262"/>
        <v>4682</v>
      </c>
      <c r="Y341" s="166">
        <f t="shared" si="263"/>
        <v>5407</v>
      </c>
      <c r="Z341" s="167">
        <f t="shared" si="264"/>
        <v>9239</v>
      </c>
      <c r="AA341" s="168">
        <f t="shared" si="265"/>
        <v>4990</v>
      </c>
      <c r="AB341" s="166">
        <f t="shared" si="266"/>
        <v>5704</v>
      </c>
      <c r="AC341" s="167">
        <f t="shared" si="267"/>
        <v>10850</v>
      </c>
      <c r="AD341" s="168">
        <f t="shared" si="268"/>
        <v>5914</v>
      </c>
      <c r="AE341" s="166">
        <f t="shared" si="269"/>
        <v>6298</v>
      </c>
      <c r="AF341" s="167">
        <f t="shared" si="270"/>
        <v>11924</v>
      </c>
      <c r="AG341" s="168">
        <f t="shared" si="271"/>
        <v>7146</v>
      </c>
      <c r="AH341" s="166">
        <f t="shared" si="272"/>
        <v>7486</v>
      </c>
      <c r="AI341" s="167">
        <f t="shared" si="273"/>
        <v>12998</v>
      </c>
      <c r="AJ341" s="168">
        <f t="shared" si="274"/>
        <v>7762</v>
      </c>
      <c r="AK341" s="169">
        <f t="shared" si="275"/>
        <v>8087</v>
      </c>
      <c r="AL341" s="167">
        <f t="shared" si="276"/>
        <v>14619</v>
      </c>
      <c r="AM341" s="585">
        <f t="shared" si="277"/>
        <v>8397</v>
      </c>
      <c r="AN341" s="596">
        <v>0.28000000000000003</v>
      </c>
      <c r="AO341" s="597">
        <v>0.31</v>
      </c>
      <c r="AP341" s="597">
        <v>0.34</v>
      </c>
      <c r="AQ341" s="598">
        <v>0.37</v>
      </c>
      <c r="AR341" s="599">
        <v>0.4</v>
      </c>
      <c r="AS341" s="603"/>
      <c r="AT341" s="588"/>
      <c r="AU341" s="588"/>
      <c r="AV341" s="588"/>
      <c r="AW341" s="589"/>
      <c r="AX341" s="596">
        <v>0.05</v>
      </c>
      <c r="AY341" s="598">
        <v>5.5E-2</v>
      </c>
      <c r="AZ341" s="598">
        <v>0.06</v>
      </c>
      <c r="BA341" s="598">
        <v>6.5000000000000002E-2</v>
      </c>
      <c r="BB341" s="598">
        <v>7.0000000000000007E-2</v>
      </c>
      <c r="BC341" s="598"/>
      <c r="BD341" s="599"/>
      <c r="BE341" s="596"/>
      <c r="BF341" s="598"/>
      <c r="BG341" s="598"/>
      <c r="BH341" s="598"/>
      <c r="BI341" s="598"/>
      <c r="BJ341" s="598"/>
      <c r="BK341" s="605"/>
      <c r="BL341" s="658">
        <f t="shared" si="287"/>
        <v>30500</v>
      </c>
      <c r="BM341" s="3">
        <f t="shared" si="288"/>
        <v>26</v>
      </c>
      <c r="BN341" s="3">
        <f t="shared" si="289"/>
        <v>47</v>
      </c>
      <c r="BO341" s="3">
        <f t="shared" si="290"/>
        <v>27</v>
      </c>
    </row>
    <row r="342" spans="2:67">
      <c r="B342" s="606" t="s">
        <v>1597</v>
      </c>
      <c r="C342" s="607" t="s">
        <v>310</v>
      </c>
      <c r="D342" s="607" t="s">
        <v>1589</v>
      </c>
      <c r="E342" s="613" t="s">
        <v>1150</v>
      </c>
      <c r="F342" s="608">
        <v>339</v>
      </c>
      <c r="G342" s="609">
        <v>5074</v>
      </c>
      <c r="H342" s="610">
        <v>7174</v>
      </c>
      <c r="I342" s="611">
        <v>5250</v>
      </c>
      <c r="J342" s="166">
        <f t="shared" si="278"/>
        <v>101</v>
      </c>
      <c r="K342" s="167">
        <f t="shared" si="279"/>
        <v>143</v>
      </c>
      <c r="L342" s="168">
        <f t="shared" si="280"/>
        <v>105</v>
      </c>
      <c r="M342" s="166">
        <f t="shared" si="281"/>
        <v>152</v>
      </c>
      <c r="N342" s="167">
        <f t="shared" si="282"/>
        <v>215</v>
      </c>
      <c r="O342" s="168">
        <f t="shared" si="283"/>
        <v>157</v>
      </c>
      <c r="P342" s="169">
        <f t="shared" si="284"/>
        <v>203</v>
      </c>
      <c r="Q342" s="169">
        <f t="shared" si="285"/>
        <v>287</v>
      </c>
      <c r="R342" s="169">
        <f t="shared" si="286"/>
        <v>210</v>
      </c>
      <c r="S342" s="584">
        <f t="shared" si="257"/>
        <v>1522</v>
      </c>
      <c r="T342" s="594">
        <f t="shared" si="258"/>
        <v>2152</v>
      </c>
      <c r="U342" s="595">
        <f t="shared" si="259"/>
        <v>1575</v>
      </c>
      <c r="V342" s="166">
        <f t="shared" si="260"/>
        <v>3143</v>
      </c>
      <c r="W342" s="167">
        <f t="shared" si="261"/>
        <v>4445</v>
      </c>
      <c r="X342" s="168">
        <f t="shared" si="262"/>
        <v>3250</v>
      </c>
      <c r="Y342" s="166">
        <f t="shared" si="263"/>
        <v>3549</v>
      </c>
      <c r="Z342" s="167">
        <f t="shared" si="264"/>
        <v>5019</v>
      </c>
      <c r="AA342" s="168">
        <f t="shared" si="265"/>
        <v>3670</v>
      </c>
      <c r="AB342" s="166">
        <f t="shared" si="266"/>
        <v>3955</v>
      </c>
      <c r="AC342" s="167">
        <f t="shared" si="267"/>
        <v>5593</v>
      </c>
      <c r="AD342" s="168">
        <f t="shared" si="268"/>
        <v>4090</v>
      </c>
      <c r="AE342" s="166">
        <f t="shared" si="269"/>
        <v>4361</v>
      </c>
      <c r="AF342" s="167">
        <f t="shared" si="270"/>
        <v>5880</v>
      </c>
      <c r="AG342" s="168">
        <f t="shared" si="271"/>
        <v>4510</v>
      </c>
      <c r="AH342" s="166">
        <f t="shared" si="272"/>
        <v>4970</v>
      </c>
      <c r="AI342" s="167">
        <f t="shared" si="273"/>
        <v>6454</v>
      </c>
      <c r="AJ342" s="168">
        <f t="shared" si="274"/>
        <v>4720</v>
      </c>
      <c r="AK342" s="169">
        <f t="shared" si="275"/>
        <v>5175</v>
      </c>
      <c r="AL342" s="167">
        <f t="shared" si="276"/>
        <v>7317</v>
      </c>
      <c r="AM342" s="585">
        <f t="shared" si="277"/>
        <v>5355</v>
      </c>
      <c r="AN342" s="596">
        <v>7.0000000000000007E-2</v>
      </c>
      <c r="AO342" s="597">
        <v>0.08</v>
      </c>
      <c r="AP342" s="597">
        <v>0.09</v>
      </c>
      <c r="AQ342" s="598">
        <v>0.1</v>
      </c>
      <c r="AR342" s="599">
        <v>0.11</v>
      </c>
      <c r="AS342" s="603"/>
      <c r="AT342" s="588"/>
      <c r="AU342" s="588"/>
      <c r="AV342" s="588"/>
      <c r="AW342" s="589"/>
      <c r="AX342" s="596">
        <v>0.02</v>
      </c>
      <c r="AY342" s="598">
        <v>2.3E-2</v>
      </c>
      <c r="AZ342" s="598">
        <v>2.5999999999999999E-2</v>
      </c>
      <c r="BA342" s="598">
        <v>2.9000000000000001E-2</v>
      </c>
      <c r="BB342" s="598">
        <v>3.2000000000000001E-2</v>
      </c>
      <c r="BC342" s="598"/>
      <c r="BD342" s="599"/>
      <c r="BE342" s="596"/>
      <c r="BF342" s="598"/>
      <c r="BG342" s="598"/>
      <c r="BH342" s="598"/>
      <c r="BI342" s="598"/>
      <c r="BJ342" s="598"/>
      <c r="BK342" s="605"/>
      <c r="BL342" s="658">
        <f t="shared" si="287"/>
        <v>17500</v>
      </c>
      <c r="BM342" s="3">
        <f t="shared" si="288"/>
        <v>29</v>
      </c>
      <c r="BN342" s="3">
        <f t="shared" si="289"/>
        <v>41</v>
      </c>
      <c r="BO342" s="3">
        <f t="shared" si="290"/>
        <v>30</v>
      </c>
    </row>
    <row r="343" spans="2:67">
      <c r="B343" s="606" t="s">
        <v>1600</v>
      </c>
      <c r="C343" s="607" t="s">
        <v>310</v>
      </c>
      <c r="D343" s="607" t="s">
        <v>1588</v>
      </c>
      <c r="E343" s="613" t="s">
        <v>1150</v>
      </c>
      <c r="F343" s="592">
        <v>340</v>
      </c>
      <c r="G343" s="609">
        <v>6824</v>
      </c>
      <c r="H343" s="610">
        <v>2624</v>
      </c>
      <c r="I343" s="611">
        <v>8050</v>
      </c>
      <c r="J343" s="166">
        <f t="shared" si="278"/>
        <v>136</v>
      </c>
      <c r="K343" s="167">
        <f t="shared" si="279"/>
        <v>52</v>
      </c>
      <c r="L343" s="168">
        <f t="shared" si="280"/>
        <v>161</v>
      </c>
      <c r="M343" s="166">
        <f t="shared" si="281"/>
        <v>204</v>
      </c>
      <c r="N343" s="167">
        <f t="shared" si="282"/>
        <v>78</v>
      </c>
      <c r="O343" s="168">
        <f t="shared" si="283"/>
        <v>241</v>
      </c>
      <c r="P343" s="169">
        <f t="shared" si="284"/>
        <v>273</v>
      </c>
      <c r="Q343" s="169">
        <f t="shared" si="285"/>
        <v>105</v>
      </c>
      <c r="R343" s="169">
        <f t="shared" si="286"/>
        <v>322</v>
      </c>
      <c r="S343" s="584">
        <f t="shared" si="257"/>
        <v>2047</v>
      </c>
      <c r="T343" s="594">
        <f t="shared" si="258"/>
        <v>787</v>
      </c>
      <c r="U343" s="595">
        <f t="shared" si="259"/>
        <v>2415</v>
      </c>
      <c r="V343" s="166">
        <f t="shared" si="260"/>
        <v>4223</v>
      </c>
      <c r="W343" s="167">
        <f t="shared" si="261"/>
        <v>1619</v>
      </c>
      <c r="X343" s="168">
        <f t="shared" si="262"/>
        <v>4986</v>
      </c>
      <c r="Y343" s="166">
        <f t="shared" si="263"/>
        <v>4769</v>
      </c>
      <c r="Z343" s="167">
        <f t="shared" si="264"/>
        <v>1829</v>
      </c>
      <c r="AA343" s="168">
        <f t="shared" si="265"/>
        <v>5630</v>
      </c>
      <c r="AB343" s="166">
        <f t="shared" si="266"/>
        <v>5315</v>
      </c>
      <c r="AC343" s="167">
        <f t="shared" si="267"/>
        <v>2039</v>
      </c>
      <c r="AD343" s="168">
        <f t="shared" si="268"/>
        <v>6274</v>
      </c>
      <c r="AE343" s="166">
        <f t="shared" si="269"/>
        <v>5861</v>
      </c>
      <c r="AF343" s="167">
        <f t="shared" si="270"/>
        <v>2249</v>
      </c>
      <c r="AG343" s="168">
        <f t="shared" si="271"/>
        <v>6596</v>
      </c>
      <c r="AH343" s="166">
        <f t="shared" si="272"/>
        <v>6134</v>
      </c>
      <c r="AI343" s="167">
        <f t="shared" si="273"/>
        <v>2564</v>
      </c>
      <c r="AJ343" s="168">
        <f t="shared" si="274"/>
        <v>7240</v>
      </c>
      <c r="AK343" s="169">
        <f t="shared" si="275"/>
        <v>6960</v>
      </c>
      <c r="AL343" s="167">
        <f t="shared" si="276"/>
        <v>2676</v>
      </c>
      <c r="AM343" s="585">
        <f t="shared" si="277"/>
        <v>8211</v>
      </c>
      <c r="AN343" s="596">
        <v>0.05</v>
      </c>
      <c r="AO343" s="597">
        <v>5.5E-2</v>
      </c>
      <c r="AP343" s="597">
        <v>0.06</v>
      </c>
      <c r="AQ343" s="598">
        <v>6.5000000000000002E-2</v>
      </c>
      <c r="AR343" s="599">
        <v>7.0000000000000007E-2</v>
      </c>
      <c r="AS343" s="603"/>
      <c r="AT343" s="588"/>
      <c r="AU343" s="588"/>
      <c r="AV343" s="588"/>
      <c r="AW343" s="589"/>
      <c r="AX343" s="596">
        <v>0.02</v>
      </c>
      <c r="AY343" s="598">
        <v>2.3E-2</v>
      </c>
      <c r="AZ343" s="598">
        <v>2.5999999999999999E-2</v>
      </c>
      <c r="BA343" s="598">
        <v>2.9000000000000001E-2</v>
      </c>
      <c r="BB343" s="598">
        <v>3.2000000000000001E-2</v>
      </c>
      <c r="BC343" s="598"/>
      <c r="BD343" s="599"/>
      <c r="BE343" s="596"/>
      <c r="BF343" s="598"/>
      <c r="BG343" s="598"/>
      <c r="BH343" s="598"/>
      <c r="BI343" s="598"/>
      <c r="BJ343" s="598"/>
      <c r="BK343" s="605"/>
      <c r="BL343" s="658">
        <f t="shared" si="287"/>
        <v>17500</v>
      </c>
      <c r="BM343" s="3">
        <f t="shared" si="288"/>
        <v>39</v>
      </c>
      <c r="BN343" s="3">
        <f t="shared" si="289"/>
        <v>15</v>
      </c>
      <c r="BO343" s="3">
        <f t="shared" si="290"/>
        <v>46</v>
      </c>
    </row>
    <row r="344" spans="2:67">
      <c r="B344" s="606" t="s">
        <v>1623</v>
      </c>
      <c r="C344" s="607" t="s">
        <v>309</v>
      </c>
      <c r="D344" s="607" t="s">
        <v>1608</v>
      </c>
      <c r="E344" s="1267" t="s">
        <v>1150</v>
      </c>
      <c r="F344" s="608">
        <v>341</v>
      </c>
      <c r="G344" s="609">
        <v>8833</v>
      </c>
      <c r="H344" s="610">
        <v>7980</v>
      </c>
      <c r="I344" s="611">
        <v>11684</v>
      </c>
      <c r="J344" s="166">
        <f t="shared" si="278"/>
        <v>176</v>
      </c>
      <c r="K344" s="167">
        <f t="shared" si="279"/>
        <v>159</v>
      </c>
      <c r="L344" s="168">
        <f t="shared" si="280"/>
        <v>233</v>
      </c>
      <c r="M344" s="166">
        <f t="shared" si="281"/>
        <v>220</v>
      </c>
      <c r="N344" s="167">
        <f t="shared" si="282"/>
        <v>199</v>
      </c>
      <c r="O344" s="168">
        <f t="shared" si="283"/>
        <v>292</v>
      </c>
      <c r="P344" s="169">
        <f t="shared" si="284"/>
        <v>331</v>
      </c>
      <c r="Q344" s="169">
        <f t="shared" si="285"/>
        <v>299</v>
      </c>
      <c r="R344" s="169">
        <f t="shared" si="286"/>
        <v>438</v>
      </c>
      <c r="S344" s="584">
        <f t="shared" si="257"/>
        <v>2208</v>
      </c>
      <c r="T344" s="594">
        <f t="shared" si="258"/>
        <v>1995</v>
      </c>
      <c r="U344" s="595">
        <f t="shared" si="259"/>
        <v>2921</v>
      </c>
      <c r="V344" s="166">
        <f t="shared" si="260"/>
        <v>5024</v>
      </c>
      <c r="W344" s="167">
        <f t="shared" si="261"/>
        <v>4542</v>
      </c>
      <c r="X344" s="168">
        <f t="shared" si="262"/>
        <v>6658</v>
      </c>
      <c r="Y344" s="166">
        <f t="shared" si="263"/>
        <v>6017</v>
      </c>
      <c r="Z344" s="167">
        <f t="shared" si="264"/>
        <v>5140</v>
      </c>
      <c r="AA344" s="168">
        <f t="shared" si="265"/>
        <v>7096</v>
      </c>
      <c r="AB344" s="166">
        <f t="shared" si="266"/>
        <v>6348</v>
      </c>
      <c r="AC344" s="167">
        <f t="shared" si="267"/>
        <v>6037</v>
      </c>
      <c r="AD344" s="168">
        <f t="shared" si="268"/>
        <v>8410</v>
      </c>
      <c r="AE344" s="166">
        <f t="shared" si="269"/>
        <v>7010</v>
      </c>
      <c r="AF344" s="167">
        <f t="shared" si="270"/>
        <v>6635</v>
      </c>
      <c r="AG344" s="168">
        <f t="shared" si="271"/>
        <v>10162</v>
      </c>
      <c r="AH344" s="166">
        <f t="shared" si="272"/>
        <v>8334</v>
      </c>
      <c r="AI344" s="167">
        <f t="shared" si="273"/>
        <v>7233</v>
      </c>
      <c r="AJ344" s="168">
        <f t="shared" si="274"/>
        <v>11038</v>
      </c>
      <c r="AK344" s="169">
        <f t="shared" si="275"/>
        <v>9009</v>
      </c>
      <c r="AL344" s="167">
        <f t="shared" si="276"/>
        <v>8139</v>
      </c>
      <c r="AM344" s="585">
        <f t="shared" si="277"/>
        <v>11917</v>
      </c>
      <c r="AN344" s="596">
        <v>0.2</v>
      </c>
      <c r="AO344" s="597">
        <v>0.23</v>
      </c>
      <c r="AP344" s="597">
        <v>0.26</v>
      </c>
      <c r="AQ344" s="598">
        <v>0.28999999999999998</v>
      </c>
      <c r="AR344" s="599">
        <v>0.32</v>
      </c>
      <c r="AS344" s="603"/>
      <c r="AT344" s="588"/>
      <c r="AU344" s="588"/>
      <c r="AV344" s="588"/>
      <c r="AW344" s="589"/>
      <c r="AX344" s="596">
        <v>0.04</v>
      </c>
      <c r="AY344" s="598">
        <v>4.2999999999999997E-2</v>
      </c>
      <c r="AZ344" s="598">
        <v>4.5999999999999999E-2</v>
      </c>
      <c r="BA344" s="598">
        <v>4.9000000000000002E-2</v>
      </c>
      <c r="BB344" s="598">
        <v>5.1999999999999998E-2</v>
      </c>
      <c r="BC344" s="598"/>
      <c r="BD344" s="599"/>
      <c r="BE344" s="596"/>
      <c r="BF344" s="598"/>
      <c r="BG344" s="598"/>
      <c r="BH344" s="598"/>
      <c r="BI344" s="598"/>
      <c r="BJ344" s="598"/>
      <c r="BK344" s="605"/>
      <c r="BL344" s="658">
        <f t="shared" si="287"/>
        <v>28500</v>
      </c>
      <c r="BM344" s="3">
        <f t="shared" si="288"/>
        <v>31</v>
      </c>
      <c r="BN344" s="3">
        <f t="shared" si="289"/>
        <v>28</v>
      </c>
      <c r="BO344" s="3">
        <f t="shared" si="290"/>
        <v>41</v>
      </c>
    </row>
    <row r="345" spans="2:67">
      <c r="B345" s="606" t="s">
        <v>1626</v>
      </c>
      <c r="C345" s="607" t="s">
        <v>310</v>
      </c>
      <c r="D345" s="607" t="s">
        <v>1612</v>
      </c>
      <c r="E345" s="238" t="s">
        <v>1150</v>
      </c>
      <c r="F345" s="592">
        <v>342</v>
      </c>
      <c r="G345" s="609">
        <v>7000</v>
      </c>
      <c r="H345" s="610">
        <v>4724</v>
      </c>
      <c r="I345" s="611">
        <v>5774</v>
      </c>
      <c r="J345" s="166">
        <f t="shared" si="278"/>
        <v>140</v>
      </c>
      <c r="K345" s="167">
        <f t="shared" si="279"/>
        <v>94</v>
      </c>
      <c r="L345" s="168">
        <f t="shared" si="280"/>
        <v>115</v>
      </c>
      <c r="M345" s="166">
        <f t="shared" si="281"/>
        <v>210</v>
      </c>
      <c r="N345" s="167">
        <f t="shared" si="282"/>
        <v>141</v>
      </c>
      <c r="O345" s="168">
        <f t="shared" si="283"/>
        <v>173</v>
      </c>
      <c r="P345" s="169">
        <f t="shared" si="284"/>
        <v>280</v>
      </c>
      <c r="Q345" s="169">
        <f t="shared" si="285"/>
        <v>189</v>
      </c>
      <c r="R345" s="169">
        <f t="shared" si="286"/>
        <v>231</v>
      </c>
      <c r="S345" s="584">
        <f t="shared" ref="S345:S408" si="291">ROUND(IF($C345="UR",G345*0.25,G345*0.3),0)</f>
        <v>2100</v>
      </c>
      <c r="T345" s="594">
        <f t="shared" ref="T345:T408" si="292">ROUND(IF($C345="UR",H345*0.25,H345*0.3),0)</f>
        <v>1417</v>
      </c>
      <c r="U345" s="595">
        <f t="shared" ref="U345:U408" si="293">ROUND(IF($C345="UR",I345*0.25,I345*0.3),0)</f>
        <v>1732</v>
      </c>
      <c r="V345" s="166">
        <f t="shared" ref="V345:V408" si="294">(IF($C345="UR",IF($E345="party卡",18,12))+IF($C345="SR",10)+IF($C345="R",8))*M345+J345+S345</f>
        <v>4340</v>
      </c>
      <c r="W345" s="167">
        <f t="shared" ref="W345:W408" si="295">(IF($C345="UR",IF($E345="party卡",18,12))+IF($C345="SR",10)+IF($C345="R",8))*N345+K345+T345</f>
        <v>2921</v>
      </c>
      <c r="X345" s="168">
        <f t="shared" ref="X345:X408" si="296">(IF($C345="UR",IF($E345="party卡",18,12))+IF($C345="SR",10)+IF($C345="R",8))*O345+L345+U345</f>
        <v>3577</v>
      </c>
      <c r="Y345" s="166">
        <f t="shared" ref="Y345:Y408" si="297">V345+(IF(C345="UR",IF(E345="party卡",IF(D345="gd",1,2),IF(D345="vo",2)+IF(D345="sp",1)+IF(D345="gd",3)+IF(D345="sk",1)))+IF(C345="SR",2)+IF(C345="R",IF(D345="vo",1)+IF(D345="sp",2)+IF(D345="gd",1)+IF(D345="sk",2)))*P345</f>
        <v>4900</v>
      </c>
      <c r="Z345" s="167">
        <f t="shared" ref="Z345:Z408" si="298">W345+(IF(C345="UR",IF(E345="party卡",IF(D345="sp",1,2),IF(D345="vo",1)+IF(D345="sp",3)+IF(D345="gd",2)+IF(D345="sk",2)))+IF(C345="SR",2)+IF(C345="R",IF(D345="vo",2)+IF(D345="sp",1)+IF(D345="gd",1)+IF(D345="sk",1)))*Q345</f>
        <v>3299</v>
      </c>
      <c r="AA345" s="168">
        <f t="shared" ref="AA345:AA408" si="299">X345+(IF(C345="UR",IF(E345="party卡",IF(OR(D345="vo",D345="sk"),1,2),IF(D345="vo",3)+IF(D345="sp",2)+IF(D345="gd",1)+IF(D345="sk",3)))+IF(C345="SR",2)+IF(C345="R",IF(D345="vo",1)+IF(D345="sp",1)+IF(D345="gd",2)+IF(D345="sk",1)))*R345</f>
        <v>4039</v>
      </c>
      <c r="AB345" s="166">
        <f t="shared" ref="AB345:AB408" si="300">V345+(IF(C345="UR",IF(E345="party卡",IF(OR(D345="sp",D345="sk"),3,2),IF(D345="vo",5)+IF(D345="sp",4)+IF(D345="gd",4)+IF(D345="sk",4)))+IF(C345="SR",4)+IF(C345="R",IF(D345="vo",3)+IF(D345="sp",3)+IF(D345="gd",2)+IF(D345="sk",3)))*P345</f>
        <v>5460</v>
      </c>
      <c r="AC345" s="167">
        <f t="shared" ref="AC345:AC408" si="301">W345+(IF(C345="UR",IF(E345="party卡",IF(D345="vo",3,2),IF(D345="vo",4)+IF(D345="sp",4)+IF(D345="gd",5)+IF(D345="sk",5)))+IF(C345="SR",4)+IF(C345="R",IF(D345="vo",3)+IF(D345="sp",2)+IF(D345="gd",3)+IF(D345="sk",3)))*Q345</f>
        <v>3677</v>
      </c>
      <c r="AD345" s="168">
        <f t="shared" ref="AD345:AD408" si="302">X345+(IF(C345="UR",IF(E345="party卡",IF(D345="gd",3,2),IF(D345="vo",4)+IF(D345="sp",5)+IF(D345="gd",4)+IF(D345="sk",4)))+IF(C345="SR",4)+IF(C345="R",IF(D345="vo",2)+IF(D345="sp",3)+IF(D345="gd",3)+IF(D345="sk",2)))*R345</f>
        <v>4501</v>
      </c>
      <c r="AE345" s="166">
        <f t="shared" ref="AE345:AE408" si="303">V345+(IF(C345="UR",IF(E345="party卡",3,IF(D345="vo",7)+IF(D345="sp",8)+IF(D345="gd",6)+IF(D345="sk",8)))+IF(C345="SR",IF(D345="vo",5)+IF(D345="sp",6)+IF(D345="gd",6)+IF(D345="sk",6))+IF(C345="R",IF(D345="vo",5)+IF(D345="sp",4)+IF(D345="gd",4)+IF(D345="sk",4)))*P345</f>
        <v>5740</v>
      </c>
      <c r="AF345" s="167">
        <f t="shared" ref="AF345:AF408" si="304">W345+(IF(C345="UR",IF(E345="party卡",3,IF(D345="vo",8)+IF(D345="sp",6)+IF(D345="gd",7)+IF(D345="sk",7)))+IF(C345="SR",IF(D345="vo",6)+IF(D345="sp",6)+IF(D345="gd",5)+IF(D345="sk",5))+IF(C345="R",IF(D345="vo",4)+IF(D345="sp",4)+IF(D345="gd",5)+IF(D345="sk",5)))*Q345</f>
        <v>4055</v>
      </c>
      <c r="AG345" s="168">
        <f t="shared" ref="AG345:AG408" si="305">X345+(IF(C345="UR",IF(E345="party卡",3,IF(D345="vo",6)+IF(D345="sp",7)+IF(D345="gd",8)+IF(D345="sk",6)))+IF(C345="SR",IF(D345="vo",6)+IF(D345="sp",5)+IF(D345="gd",6)+IF(D345="sk",6))+IF(C345="R",IF(D345="vo",4)+IF(D345="sp",5)+IF(D345="gd",4)+IF(D345="sk",4)))*R345</f>
        <v>4963</v>
      </c>
      <c r="AH345" s="166">
        <f t="shared" ref="AH345:AH408" si="306">V345+(IF(C345="UR",IF(E345="party卡",4,IF(D345="vo",9)+IF(D345="sp",10)+IF(D345="gd",10)+IF(D345="sk",10)))+IF(C345="SR",IF(D345="vo",7)+IF(D345="sp",7)+IF(D345="gd",9)+IF(D345="sk",7))+IF(C345="R",IF(D345="vo",7)+IF(D345="sp",6)+IF(D345="gd",6)+IF(D345="sk",6)))*P345</f>
        <v>6300</v>
      </c>
      <c r="AI345" s="167">
        <f t="shared" ref="AI345:AI408" si="307">W345+(IF(C345="UR",IF(E345="party卡",4,IF(D345="vo",10)+IF(D345="sp",10)+IF(D345="gd",9)+IF(D345="sk",9)))+IF(C345="SR",IF(D345="vo",7)+IF(D345="sp",9)+IF(D345="gd",7)+IF(D345="sk",7))+IF(C345="R",IF(D345="vo",6)+IF(D345="sp",6)+IF(D345="gd",7)+IF(D345="sk",7)))*Q345</f>
        <v>4244</v>
      </c>
      <c r="AJ345" s="168">
        <f t="shared" ref="AJ345:AJ408" si="308">X345+(IF(C345="UR",IF(E345="party卡",4,IF(D345="vo",10)+IF(D345="sp",9)+IF(D345="gd",10)+IF(D345="sk",10)))+IF(C345="SR",IF(D345="vo",9)+IF(D345="sp",7)+IF(D345="gd",7)+IF(D345="sk",9))+IF(C345="R",IF(D345="vo",6)+IF(D345="sp",7)+IF(D345="gd",6)+IF(D345="sk",6)))*R345</f>
        <v>5656</v>
      </c>
      <c r="AK345" s="169">
        <f t="shared" ref="AK345:AK408" si="309">G345+J345</f>
        <v>7140</v>
      </c>
      <c r="AL345" s="167">
        <f t="shared" ref="AL345:AL408" si="310">H345+K345</f>
        <v>4818</v>
      </c>
      <c r="AM345" s="585">
        <f t="shared" ref="AM345:AM408" si="311">I345+L345</f>
        <v>5889</v>
      </c>
      <c r="AN345" s="596">
        <v>0.04</v>
      </c>
      <c r="AO345" s="597">
        <v>4.2999999999999997E-2</v>
      </c>
      <c r="AP345" s="597">
        <v>4.5999999999999999E-2</v>
      </c>
      <c r="AQ345" s="598">
        <v>4.9000000000000002E-2</v>
      </c>
      <c r="AR345" s="599">
        <v>5.1999999999999998E-2</v>
      </c>
      <c r="AS345" s="603"/>
      <c r="AT345" s="588"/>
      <c r="AU345" s="588"/>
      <c r="AV345" s="588"/>
      <c r="AW345" s="589"/>
      <c r="AX345" s="596">
        <v>0.02</v>
      </c>
      <c r="AY345" s="598">
        <v>2.3E-2</v>
      </c>
      <c r="AZ345" s="598">
        <v>2.5999999999999999E-2</v>
      </c>
      <c r="BA345" s="598">
        <v>2.9000000000000001E-2</v>
      </c>
      <c r="BB345" s="598">
        <v>3.2000000000000001E-2</v>
      </c>
      <c r="BC345" s="598"/>
      <c r="BD345" s="599"/>
      <c r="BE345" s="596"/>
      <c r="BF345" s="598"/>
      <c r="BG345" s="598"/>
      <c r="BH345" s="598"/>
      <c r="BI345" s="598"/>
      <c r="BJ345" s="598"/>
      <c r="BK345" s="605"/>
      <c r="BL345" s="658">
        <f t="shared" si="287"/>
        <v>17500</v>
      </c>
      <c r="BM345" s="3">
        <f t="shared" si="288"/>
        <v>40</v>
      </c>
      <c r="BN345" s="3">
        <f t="shared" si="289"/>
        <v>27</v>
      </c>
      <c r="BO345" s="3">
        <f t="shared" si="290"/>
        <v>33</v>
      </c>
    </row>
    <row r="346" spans="2:67">
      <c r="B346" s="606" t="s">
        <v>1624</v>
      </c>
      <c r="C346" s="607" t="s">
        <v>309</v>
      </c>
      <c r="D346" s="607" t="s">
        <v>1617</v>
      </c>
      <c r="E346" s="1268" t="s">
        <v>1150</v>
      </c>
      <c r="F346" s="1070">
        <v>343</v>
      </c>
      <c r="G346" s="609">
        <v>10360</v>
      </c>
      <c r="H346" s="610">
        <v>8680</v>
      </c>
      <c r="I346" s="611">
        <v>8960</v>
      </c>
      <c r="J346" s="166">
        <f t="shared" si="278"/>
        <v>207</v>
      </c>
      <c r="K346" s="167">
        <f t="shared" si="279"/>
        <v>173</v>
      </c>
      <c r="L346" s="168">
        <f t="shared" si="280"/>
        <v>179</v>
      </c>
      <c r="M346" s="166">
        <f t="shared" si="281"/>
        <v>259</v>
      </c>
      <c r="N346" s="167">
        <f t="shared" si="282"/>
        <v>217</v>
      </c>
      <c r="O346" s="168">
        <f t="shared" si="283"/>
        <v>224</v>
      </c>
      <c r="P346" s="169">
        <f t="shared" si="284"/>
        <v>388</v>
      </c>
      <c r="Q346" s="169">
        <f t="shared" si="285"/>
        <v>325</v>
      </c>
      <c r="R346" s="169">
        <f t="shared" si="286"/>
        <v>336</v>
      </c>
      <c r="S346" s="584">
        <f t="shared" si="291"/>
        <v>2590</v>
      </c>
      <c r="T346" s="594">
        <f t="shared" si="292"/>
        <v>2170</v>
      </c>
      <c r="U346" s="595">
        <f t="shared" si="293"/>
        <v>2240</v>
      </c>
      <c r="V346" s="166">
        <f t="shared" si="294"/>
        <v>5905</v>
      </c>
      <c r="W346" s="167">
        <f t="shared" si="295"/>
        <v>4947</v>
      </c>
      <c r="X346" s="168">
        <f t="shared" si="296"/>
        <v>5107</v>
      </c>
      <c r="Y346" s="166">
        <f t="shared" si="297"/>
        <v>6293</v>
      </c>
      <c r="Z346" s="167">
        <f t="shared" si="298"/>
        <v>5597</v>
      </c>
      <c r="AA346" s="168">
        <f t="shared" si="299"/>
        <v>6115</v>
      </c>
      <c r="AB346" s="166">
        <f t="shared" si="300"/>
        <v>7457</v>
      </c>
      <c r="AC346" s="167">
        <f t="shared" si="301"/>
        <v>6572</v>
      </c>
      <c r="AD346" s="168">
        <f t="shared" si="302"/>
        <v>6451</v>
      </c>
      <c r="AE346" s="166">
        <f t="shared" si="303"/>
        <v>9009</v>
      </c>
      <c r="AF346" s="167">
        <f t="shared" si="304"/>
        <v>7222</v>
      </c>
      <c r="AG346" s="168">
        <f t="shared" si="305"/>
        <v>7123</v>
      </c>
      <c r="AH346" s="166">
        <f t="shared" si="306"/>
        <v>9785</v>
      </c>
      <c r="AI346" s="167">
        <f t="shared" si="307"/>
        <v>7872</v>
      </c>
      <c r="AJ346" s="168">
        <f t="shared" si="308"/>
        <v>8467</v>
      </c>
      <c r="AK346" s="169">
        <f t="shared" si="309"/>
        <v>10567</v>
      </c>
      <c r="AL346" s="167">
        <f t="shared" si="310"/>
        <v>8853</v>
      </c>
      <c r="AM346" s="585">
        <f t="shared" si="311"/>
        <v>9139</v>
      </c>
      <c r="AN346" s="596">
        <v>7.0000000000000007E-2</v>
      </c>
      <c r="AO346" s="597">
        <v>7.4999999999999997E-2</v>
      </c>
      <c r="AP346" s="597">
        <v>0.08</v>
      </c>
      <c r="AQ346" s="598">
        <v>8.5000000000000006E-2</v>
      </c>
      <c r="AR346" s="599">
        <v>0.09</v>
      </c>
      <c r="AS346" s="603"/>
      <c r="AT346" s="588"/>
      <c r="AU346" s="588"/>
      <c r="AV346" s="588"/>
      <c r="AW346" s="589"/>
      <c r="AX346" s="596">
        <v>0.05</v>
      </c>
      <c r="AY346" s="598">
        <v>5.5E-2</v>
      </c>
      <c r="AZ346" s="598">
        <v>0.06</v>
      </c>
      <c r="BA346" s="598">
        <v>6.5000000000000002E-2</v>
      </c>
      <c r="BB346" s="598">
        <v>7.0000000000000007E-2</v>
      </c>
      <c r="BC346" s="598"/>
      <c r="BD346" s="599"/>
      <c r="BE346" s="596"/>
      <c r="BF346" s="598"/>
      <c r="BG346" s="598"/>
      <c r="BH346" s="598"/>
      <c r="BI346" s="598"/>
      <c r="BJ346" s="598"/>
      <c r="BK346" s="605"/>
      <c r="BL346" s="658">
        <f t="shared" si="287"/>
        <v>28000</v>
      </c>
      <c r="BM346" s="3">
        <f t="shared" si="288"/>
        <v>37</v>
      </c>
      <c r="BN346" s="3">
        <f t="shared" si="289"/>
        <v>31</v>
      </c>
      <c r="BO346" s="3">
        <f t="shared" si="290"/>
        <v>32</v>
      </c>
    </row>
    <row r="347" spans="2:67">
      <c r="B347" s="606" t="s">
        <v>1625</v>
      </c>
      <c r="C347" s="607" t="s">
        <v>309</v>
      </c>
      <c r="D347" s="607" t="s">
        <v>1621</v>
      </c>
      <c r="E347" s="1267" t="s">
        <v>125</v>
      </c>
      <c r="F347" s="592">
        <v>344</v>
      </c>
      <c r="G347" s="609">
        <v>7520</v>
      </c>
      <c r="H347" s="610">
        <v>6813</v>
      </c>
      <c r="I347" s="611">
        <v>9164</v>
      </c>
      <c r="J347" s="166">
        <f t="shared" si="278"/>
        <v>150</v>
      </c>
      <c r="K347" s="167">
        <f t="shared" si="279"/>
        <v>136</v>
      </c>
      <c r="L347" s="168">
        <f t="shared" si="280"/>
        <v>183</v>
      </c>
      <c r="M347" s="166">
        <f t="shared" si="281"/>
        <v>188</v>
      </c>
      <c r="N347" s="167">
        <f t="shared" si="282"/>
        <v>170</v>
      </c>
      <c r="O347" s="168">
        <f t="shared" si="283"/>
        <v>229</v>
      </c>
      <c r="P347" s="169">
        <f t="shared" si="284"/>
        <v>282</v>
      </c>
      <c r="Q347" s="169">
        <f t="shared" si="285"/>
        <v>255</v>
      </c>
      <c r="R347" s="169">
        <f t="shared" si="286"/>
        <v>343</v>
      </c>
      <c r="S347" s="584">
        <f t="shared" si="291"/>
        <v>1880</v>
      </c>
      <c r="T347" s="594">
        <f t="shared" si="292"/>
        <v>1703</v>
      </c>
      <c r="U347" s="595">
        <f t="shared" si="293"/>
        <v>2291</v>
      </c>
      <c r="V347" s="166">
        <f t="shared" si="294"/>
        <v>4286</v>
      </c>
      <c r="W347" s="167">
        <f t="shared" si="295"/>
        <v>3879</v>
      </c>
      <c r="X347" s="168">
        <f t="shared" si="296"/>
        <v>5222</v>
      </c>
      <c r="Y347" s="166">
        <f t="shared" si="297"/>
        <v>4568</v>
      </c>
      <c r="Z347" s="167">
        <f t="shared" si="298"/>
        <v>4644</v>
      </c>
      <c r="AA347" s="168">
        <f t="shared" si="299"/>
        <v>5908</v>
      </c>
      <c r="AB347" s="166">
        <f t="shared" si="300"/>
        <v>5414</v>
      </c>
      <c r="AC347" s="167">
        <f t="shared" si="301"/>
        <v>4899</v>
      </c>
      <c r="AD347" s="168">
        <f t="shared" si="302"/>
        <v>6937</v>
      </c>
      <c r="AE347" s="166">
        <f t="shared" si="303"/>
        <v>6542</v>
      </c>
      <c r="AF347" s="167">
        <f t="shared" si="304"/>
        <v>5409</v>
      </c>
      <c r="AG347" s="168">
        <f t="shared" si="305"/>
        <v>7623</v>
      </c>
      <c r="AH347" s="166">
        <f t="shared" si="306"/>
        <v>7106</v>
      </c>
      <c r="AI347" s="167">
        <f t="shared" si="307"/>
        <v>6429</v>
      </c>
      <c r="AJ347" s="168">
        <f t="shared" si="308"/>
        <v>8309</v>
      </c>
      <c r="AK347" s="169">
        <f t="shared" si="309"/>
        <v>7670</v>
      </c>
      <c r="AL347" s="167">
        <f t="shared" si="310"/>
        <v>6949</v>
      </c>
      <c r="AM347" s="585">
        <f t="shared" si="311"/>
        <v>9347</v>
      </c>
      <c r="AN347" s="596">
        <v>0.3</v>
      </c>
      <c r="AO347" s="597">
        <v>0.30499999999999999</v>
      </c>
      <c r="AP347" s="597">
        <v>0.31</v>
      </c>
      <c r="AQ347" s="598">
        <v>0.315</v>
      </c>
      <c r="AR347" s="599">
        <v>0.32</v>
      </c>
      <c r="AS347" s="586"/>
      <c r="AT347" s="587"/>
      <c r="AU347" s="587"/>
      <c r="AV347" s="588"/>
      <c r="AW347" s="589"/>
      <c r="AX347" s="596">
        <v>7.0000000000000007E-2</v>
      </c>
      <c r="AY347" s="598">
        <v>7.4999999999999997E-2</v>
      </c>
      <c r="AZ347" s="598">
        <v>0.08</v>
      </c>
      <c r="BA347" s="598">
        <v>8.5000000000000006E-2</v>
      </c>
      <c r="BB347" s="598">
        <v>0.09</v>
      </c>
      <c r="BC347" s="598"/>
      <c r="BD347" s="599"/>
      <c r="BE347" s="596"/>
      <c r="BF347" s="598"/>
      <c r="BG347" s="598"/>
      <c r="BH347" s="598"/>
      <c r="BI347" s="598"/>
      <c r="BJ347" s="598"/>
      <c r="BK347" s="605"/>
      <c r="BL347" s="658">
        <f t="shared" si="287"/>
        <v>23500</v>
      </c>
      <c r="BM347" s="3">
        <f t="shared" si="288"/>
        <v>32</v>
      </c>
      <c r="BN347" s="3">
        <f t="shared" si="289"/>
        <v>29</v>
      </c>
      <c r="BO347" s="3">
        <f t="shared" si="290"/>
        <v>39</v>
      </c>
    </row>
    <row r="348" spans="2:67">
      <c r="B348" s="606" t="s">
        <v>1630</v>
      </c>
      <c r="C348" s="607" t="s">
        <v>310</v>
      </c>
      <c r="D348" s="607" t="s">
        <v>1612</v>
      </c>
      <c r="E348" s="238" t="s">
        <v>125</v>
      </c>
      <c r="F348" s="608">
        <v>345</v>
      </c>
      <c r="G348" s="609">
        <v>5364</v>
      </c>
      <c r="H348" s="610">
        <v>4060</v>
      </c>
      <c r="I348" s="611">
        <v>5074</v>
      </c>
      <c r="J348" s="166">
        <f t="shared" si="278"/>
        <v>107</v>
      </c>
      <c r="K348" s="167">
        <f t="shared" si="279"/>
        <v>81</v>
      </c>
      <c r="L348" s="168">
        <f t="shared" si="280"/>
        <v>101</v>
      </c>
      <c r="M348" s="166">
        <f t="shared" si="281"/>
        <v>160</v>
      </c>
      <c r="N348" s="167">
        <f t="shared" si="282"/>
        <v>121</v>
      </c>
      <c r="O348" s="168">
        <f t="shared" si="283"/>
        <v>152</v>
      </c>
      <c r="P348" s="169">
        <f t="shared" si="284"/>
        <v>214</v>
      </c>
      <c r="Q348" s="169">
        <f t="shared" si="285"/>
        <v>162</v>
      </c>
      <c r="R348" s="169">
        <f t="shared" si="286"/>
        <v>203</v>
      </c>
      <c r="S348" s="584">
        <f t="shared" si="291"/>
        <v>1609</v>
      </c>
      <c r="T348" s="594">
        <f t="shared" si="292"/>
        <v>1218</v>
      </c>
      <c r="U348" s="595">
        <f t="shared" si="293"/>
        <v>1522</v>
      </c>
      <c r="V348" s="166">
        <f t="shared" si="294"/>
        <v>3316</v>
      </c>
      <c r="W348" s="167">
        <f t="shared" si="295"/>
        <v>2509</v>
      </c>
      <c r="X348" s="168">
        <f t="shared" si="296"/>
        <v>3143</v>
      </c>
      <c r="Y348" s="166">
        <f t="shared" si="297"/>
        <v>3744</v>
      </c>
      <c r="Z348" s="167">
        <f t="shared" si="298"/>
        <v>2833</v>
      </c>
      <c r="AA348" s="168">
        <f t="shared" si="299"/>
        <v>3549</v>
      </c>
      <c r="AB348" s="166">
        <f t="shared" si="300"/>
        <v>4172</v>
      </c>
      <c r="AC348" s="167">
        <f t="shared" si="301"/>
        <v>3157</v>
      </c>
      <c r="AD348" s="168">
        <f t="shared" si="302"/>
        <v>3955</v>
      </c>
      <c r="AE348" s="166">
        <f t="shared" si="303"/>
        <v>4386</v>
      </c>
      <c r="AF348" s="167">
        <f t="shared" si="304"/>
        <v>3481</v>
      </c>
      <c r="AG348" s="168">
        <f t="shared" si="305"/>
        <v>4361</v>
      </c>
      <c r="AH348" s="166">
        <f t="shared" si="306"/>
        <v>4814</v>
      </c>
      <c r="AI348" s="167">
        <f t="shared" si="307"/>
        <v>3643</v>
      </c>
      <c r="AJ348" s="168">
        <f t="shared" si="308"/>
        <v>4970</v>
      </c>
      <c r="AK348" s="169">
        <f t="shared" si="309"/>
        <v>5471</v>
      </c>
      <c r="AL348" s="167">
        <f t="shared" si="310"/>
        <v>4141</v>
      </c>
      <c r="AM348" s="585">
        <f t="shared" si="311"/>
        <v>5175</v>
      </c>
      <c r="AN348" s="596">
        <v>0.25</v>
      </c>
      <c r="AO348" s="597">
        <v>0.28000000000000003</v>
      </c>
      <c r="AP348" s="597">
        <v>0.31</v>
      </c>
      <c r="AQ348" s="598">
        <v>0.34</v>
      </c>
      <c r="AR348" s="612">
        <v>0.37</v>
      </c>
      <c r="AS348" s="586"/>
      <c r="AT348" s="587"/>
      <c r="AU348" s="587"/>
      <c r="AV348" s="588"/>
      <c r="AW348" s="589"/>
      <c r="AX348" s="596">
        <v>0.05</v>
      </c>
      <c r="AY348" s="598">
        <v>5.5E-2</v>
      </c>
      <c r="AZ348" s="598">
        <v>0.06</v>
      </c>
      <c r="BA348" s="598">
        <v>6.5000000000000002E-2</v>
      </c>
      <c r="BB348" s="598">
        <v>7.0000000000000007E-2</v>
      </c>
      <c r="BC348" s="598"/>
      <c r="BD348" s="599"/>
      <c r="BE348" s="596"/>
      <c r="BF348" s="598"/>
      <c r="BG348" s="598"/>
      <c r="BH348" s="598"/>
      <c r="BI348" s="598"/>
      <c r="BJ348" s="598"/>
      <c r="BK348" s="605"/>
      <c r="BL348" s="658">
        <f t="shared" si="287"/>
        <v>14500</v>
      </c>
      <c r="BM348" s="3">
        <f t="shared" si="288"/>
        <v>37</v>
      </c>
      <c r="BN348" s="3">
        <f t="shared" si="289"/>
        <v>28</v>
      </c>
      <c r="BO348" s="3">
        <f t="shared" si="290"/>
        <v>35</v>
      </c>
    </row>
    <row r="349" spans="2:67">
      <c r="B349" s="606" t="s">
        <v>1634</v>
      </c>
      <c r="C349" s="607" t="s">
        <v>310</v>
      </c>
      <c r="D349" s="607" t="s">
        <v>1608</v>
      </c>
      <c r="E349" s="613" t="s">
        <v>125</v>
      </c>
      <c r="F349" s="592">
        <v>346</v>
      </c>
      <c r="G349" s="609">
        <v>4494</v>
      </c>
      <c r="H349" s="610">
        <v>5800</v>
      </c>
      <c r="I349" s="611">
        <v>4204</v>
      </c>
      <c r="J349" s="166">
        <f t="shared" si="278"/>
        <v>89</v>
      </c>
      <c r="K349" s="167">
        <f t="shared" si="279"/>
        <v>116</v>
      </c>
      <c r="L349" s="168">
        <f t="shared" si="280"/>
        <v>84</v>
      </c>
      <c r="M349" s="166">
        <f t="shared" si="281"/>
        <v>134</v>
      </c>
      <c r="N349" s="167">
        <f t="shared" si="282"/>
        <v>174</v>
      </c>
      <c r="O349" s="168">
        <f t="shared" si="283"/>
        <v>126</v>
      </c>
      <c r="P349" s="169">
        <f t="shared" si="284"/>
        <v>179</v>
      </c>
      <c r="Q349" s="169">
        <f t="shared" si="285"/>
        <v>232</v>
      </c>
      <c r="R349" s="169">
        <f t="shared" si="286"/>
        <v>168</v>
      </c>
      <c r="S349" s="584">
        <f t="shared" si="291"/>
        <v>1348</v>
      </c>
      <c r="T349" s="594">
        <f t="shared" si="292"/>
        <v>1740</v>
      </c>
      <c r="U349" s="595">
        <f t="shared" si="293"/>
        <v>1261</v>
      </c>
      <c r="V349" s="166">
        <f t="shared" si="294"/>
        <v>2777</v>
      </c>
      <c r="W349" s="167">
        <f t="shared" si="295"/>
        <v>3596</v>
      </c>
      <c r="X349" s="168">
        <f t="shared" si="296"/>
        <v>2605</v>
      </c>
      <c r="Y349" s="166">
        <f t="shared" si="297"/>
        <v>3135</v>
      </c>
      <c r="Z349" s="167">
        <f t="shared" si="298"/>
        <v>4060</v>
      </c>
      <c r="AA349" s="168">
        <f t="shared" si="299"/>
        <v>2941</v>
      </c>
      <c r="AB349" s="166">
        <f t="shared" si="300"/>
        <v>3493</v>
      </c>
      <c r="AC349" s="167">
        <f t="shared" si="301"/>
        <v>4524</v>
      </c>
      <c r="AD349" s="168">
        <f t="shared" si="302"/>
        <v>3277</v>
      </c>
      <c r="AE349" s="166">
        <f t="shared" si="303"/>
        <v>3851</v>
      </c>
      <c r="AF349" s="167">
        <f t="shared" si="304"/>
        <v>4756</v>
      </c>
      <c r="AG349" s="168">
        <f t="shared" si="305"/>
        <v>3613</v>
      </c>
      <c r="AH349" s="166">
        <f t="shared" si="306"/>
        <v>4388</v>
      </c>
      <c r="AI349" s="167">
        <f t="shared" si="307"/>
        <v>5220</v>
      </c>
      <c r="AJ349" s="168">
        <f t="shared" si="308"/>
        <v>3781</v>
      </c>
      <c r="AK349" s="169">
        <f t="shared" si="309"/>
        <v>4583</v>
      </c>
      <c r="AL349" s="167">
        <f t="shared" si="310"/>
        <v>5916</v>
      </c>
      <c r="AM349" s="585">
        <f t="shared" si="311"/>
        <v>4288</v>
      </c>
      <c r="AN349" s="596">
        <v>0.15</v>
      </c>
      <c r="AO349" s="597">
        <v>0.18</v>
      </c>
      <c r="AP349" s="597">
        <v>0.21</v>
      </c>
      <c r="AQ349" s="598">
        <v>0.24</v>
      </c>
      <c r="AR349" s="599">
        <v>0.27</v>
      </c>
      <c r="AS349" s="586"/>
      <c r="AT349" s="587"/>
      <c r="AU349" s="587"/>
      <c r="AV349" s="588"/>
      <c r="AW349" s="589"/>
      <c r="AX349" s="596">
        <v>0.02</v>
      </c>
      <c r="AY349" s="598">
        <v>2.3E-2</v>
      </c>
      <c r="AZ349" s="598">
        <v>2.5999999999999999E-2</v>
      </c>
      <c r="BA349" s="598">
        <v>2.9000000000000001E-2</v>
      </c>
      <c r="BB349" s="598">
        <v>3.2000000000000001E-2</v>
      </c>
      <c r="BC349" s="598"/>
      <c r="BD349" s="599"/>
      <c r="BE349" s="596"/>
      <c r="BF349" s="598"/>
      <c r="BG349" s="598"/>
      <c r="BH349" s="598"/>
      <c r="BI349" s="598"/>
      <c r="BJ349" s="598"/>
      <c r="BK349" s="605"/>
      <c r="BL349" s="658">
        <f t="shared" si="287"/>
        <v>14500</v>
      </c>
      <c r="BM349" s="3">
        <f t="shared" si="288"/>
        <v>31</v>
      </c>
      <c r="BN349" s="3">
        <f t="shared" si="289"/>
        <v>40</v>
      </c>
      <c r="BO349" s="3">
        <f t="shared" si="290"/>
        <v>29</v>
      </c>
    </row>
    <row r="350" spans="2:67">
      <c r="B350" s="1271" t="s">
        <v>1646</v>
      </c>
      <c r="C350" s="1069" t="s">
        <v>1638</v>
      </c>
      <c r="D350" s="1069" t="s">
        <v>1639</v>
      </c>
      <c r="E350" s="1268" t="s">
        <v>1640</v>
      </c>
      <c r="F350" s="1070">
        <v>347</v>
      </c>
      <c r="G350" s="1071">
        <v>11113</v>
      </c>
      <c r="H350" s="1072">
        <v>7409</v>
      </c>
      <c r="I350" s="1073">
        <v>9973</v>
      </c>
      <c r="J350" s="166">
        <f t="shared" si="278"/>
        <v>222</v>
      </c>
      <c r="K350" s="167">
        <f t="shared" si="279"/>
        <v>148</v>
      </c>
      <c r="L350" s="168">
        <f t="shared" si="280"/>
        <v>199</v>
      </c>
      <c r="M350" s="166">
        <f t="shared" si="281"/>
        <v>277</v>
      </c>
      <c r="N350" s="167">
        <f t="shared" si="282"/>
        <v>185</v>
      </c>
      <c r="O350" s="168">
        <f t="shared" si="283"/>
        <v>249</v>
      </c>
      <c r="P350" s="169">
        <f t="shared" si="284"/>
        <v>416</v>
      </c>
      <c r="Q350" s="169">
        <f t="shared" si="285"/>
        <v>277</v>
      </c>
      <c r="R350" s="169">
        <f t="shared" si="286"/>
        <v>374</v>
      </c>
      <c r="S350" s="584">
        <f t="shared" si="291"/>
        <v>2778</v>
      </c>
      <c r="T350" s="594">
        <f t="shared" si="292"/>
        <v>1852</v>
      </c>
      <c r="U350" s="595">
        <f t="shared" si="293"/>
        <v>2493</v>
      </c>
      <c r="V350" s="166">
        <f t="shared" si="294"/>
        <v>6324</v>
      </c>
      <c r="W350" s="167">
        <f t="shared" si="295"/>
        <v>4220</v>
      </c>
      <c r="X350" s="168">
        <f t="shared" si="296"/>
        <v>5680</v>
      </c>
      <c r="Y350" s="166">
        <f t="shared" si="297"/>
        <v>6740</v>
      </c>
      <c r="Z350" s="167">
        <f t="shared" si="298"/>
        <v>4774</v>
      </c>
      <c r="AA350" s="168">
        <f t="shared" si="299"/>
        <v>6802</v>
      </c>
      <c r="AB350" s="166">
        <f t="shared" si="300"/>
        <v>7988</v>
      </c>
      <c r="AC350" s="167">
        <f t="shared" si="301"/>
        <v>5605</v>
      </c>
      <c r="AD350" s="168">
        <f t="shared" si="302"/>
        <v>7176</v>
      </c>
      <c r="AE350" s="166">
        <f t="shared" si="303"/>
        <v>9652</v>
      </c>
      <c r="AF350" s="167">
        <f t="shared" si="304"/>
        <v>6159</v>
      </c>
      <c r="AG350" s="168">
        <f t="shared" si="305"/>
        <v>7924</v>
      </c>
      <c r="AH350" s="166">
        <f t="shared" si="306"/>
        <v>10484</v>
      </c>
      <c r="AI350" s="167">
        <f t="shared" si="307"/>
        <v>6713</v>
      </c>
      <c r="AJ350" s="168">
        <f t="shared" si="308"/>
        <v>9420</v>
      </c>
      <c r="AK350" s="169">
        <f t="shared" si="309"/>
        <v>11335</v>
      </c>
      <c r="AL350" s="167">
        <f t="shared" si="310"/>
        <v>7557</v>
      </c>
      <c r="AM350" s="585">
        <f t="shared" si="311"/>
        <v>10172</v>
      </c>
      <c r="AN350" s="1133">
        <v>7.0000000000000007E-2</v>
      </c>
      <c r="AO350" s="1134">
        <v>0.1</v>
      </c>
      <c r="AP350" s="1134">
        <v>0.13</v>
      </c>
      <c r="AQ350" s="1135">
        <v>0.16</v>
      </c>
      <c r="AR350" s="1132">
        <v>0.19</v>
      </c>
      <c r="AS350" s="596">
        <v>7.0000000000000007E-2</v>
      </c>
      <c r="AT350" s="598">
        <v>0.1</v>
      </c>
      <c r="AU350" s="598">
        <v>0.13</v>
      </c>
      <c r="AV350" s="598">
        <v>0.16</v>
      </c>
      <c r="AW350" s="599">
        <v>0.19</v>
      </c>
      <c r="AX350" s="1133">
        <v>7.0000000000000007E-2</v>
      </c>
      <c r="AY350" s="1135">
        <v>7.4999999999999997E-2</v>
      </c>
      <c r="AZ350" s="1135">
        <v>0.08</v>
      </c>
      <c r="BA350" s="1135">
        <v>8.5000000000000006E-2</v>
      </c>
      <c r="BB350" s="1135">
        <v>0.09</v>
      </c>
      <c r="BC350" s="1135"/>
      <c r="BD350" s="1132"/>
      <c r="BE350" s="596"/>
      <c r="BF350" s="598"/>
      <c r="BG350" s="598"/>
      <c r="BH350" s="598"/>
      <c r="BI350" s="598"/>
      <c r="BJ350" s="598"/>
      <c r="BK350" s="605"/>
      <c r="BL350" s="658">
        <f t="shared" si="287"/>
        <v>28500</v>
      </c>
      <c r="BM350" s="3">
        <f t="shared" si="288"/>
        <v>39</v>
      </c>
      <c r="BN350" s="3">
        <f t="shared" si="289"/>
        <v>26</v>
      </c>
      <c r="BO350" s="3">
        <f t="shared" si="290"/>
        <v>35</v>
      </c>
    </row>
    <row r="351" spans="2:67">
      <c r="B351" s="606" t="s">
        <v>1647</v>
      </c>
      <c r="C351" s="607" t="s">
        <v>1648</v>
      </c>
      <c r="D351" s="607" t="s">
        <v>1649</v>
      </c>
      <c r="E351" s="613" t="s">
        <v>1650</v>
      </c>
      <c r="F351" s="592">
        <v>348</v>
      </c>
      <c r="G351" s="609">
        <v>6474</v>
      </c>
      <c r="H351" s="610">
        <v>4900</v>
      </c>
      <c r="I351" s="611">
        <v>6124</v>
      </c>
      <c r="J351" s="166">
        <f t="shared" si="278"/>
        <v>129</v>
      </c>
      <c r="K351" s="167">
        <f t="shared" si="279"/>
        <v>98</v>
      </c>
      <c r="L351" s="168">
        <f t="shared" si="280"/>
        <v>122</v>
      </c>
      <c r="M351" s="166">
        <f t="shared" si="281"/>
        <v>194</v>
      </c>
      <c r="N351" s="167">
        <f t="shared" si="282"/>
        <v>147</v>
      </c>
      <c r="O351" s="168">
        <f t="shared" si="283"/>
        <v>183</v>
      </c>
      <c r="P351" s="169">
        <f t="shared" si="284"/>
        <v>259</v>
      </c>
      <c r="Q351" s="169">
        <f t="shared" si="285"/>
        <v>196</v>
      </c>
      <c r="R351" s="169">
        <f t="shared" si="286"/>
        <v>245</v>
      </c>
      <c r="S351" s="584">
        <f t="shared" si="291"/>
        <v>1942</v>
      </c>
      <c r="T351" s="594">
        <f t="shared" si="292"/>
        <v>1470</v>
      </c>
      <c r="U351" s="595">
        <f t="shared" si="293"/>
        <v>1837</v>
      </c>
      <c r="V351" s="166">
        <f t="shared" si="294"/>
        <v>4011</v>
      </c>
      <c r="W351" s="167">
        <f t="shared" si="295"/>
        <v>3038</v>
      </c>
      <c r="X351" s="168">
        <f t="shared" si="296"/>
        <v>3789</v>
      </c>
      <c r="Y351" s="166">
        <f t="shared" si="297"/>
        <v>4529</v>
      </c>
      <c r="Z351" s="167">
        <f t="shared" si="298"/>
        <v>3430</v>
      </c>
      <c r="AA351" s="168">
        <f t="shared" si="299"/>
        <v>4279</v>
      </c>
      <c r="AB351" s="166">
        <f t="shared" si="300"/>
        <v>5047</v>
      </c>
      <c r="AC351" s="167">
        <f t="shared" si="301"/>
        <v>3822</v>
      </c>
      <c r="AD351" s="168">
        <f t="shared" si="302"/>
        <v>4769</v>
      </c>
      <c r="AE351" s="166">
        <f t="shared" si="303"/>
        <v>5565</v>
      </c>
      <c r="AF351" s="167">
        <f t="shared" si="304"/>
        <v>4018</v>
      </c>
      <c r="AG351" s="168">
        <f t="shared" si="305"/>
        <v>5259</v>
      </c>
      <c r="AH351" s="166">
        <f t="shared" si="306"/>
        <v>5824</v>
      </c>
      <c r="AI351" s="167">
        <f t="shared" si="307"/>
        <v>4410</v>
      </c>
      <c r="AJ351" s="168">
        <f t="shared" si="308"/>
        <v>5994</v>
      </c>
      <c r="AK351" s="169">
        <f t="shared" si="309"/>
        <v>6603</v>
      </c>
      <c r="AL351" s="167">
        <f t="shared" si="310"/>
        <v>4998</v>
      </c>
      <c r="AM351" s="585">
        <f t="shared" si="311"/>
        <v>6246</v>
      </c>
      <c r="AN351" s="614">
        <v>0.05</v>
      </c>
      <c r="AO351" s="615">
        <v>5.5E-2</v>
      </c>
      <c r="AP351" s="615">
        <v>0.06</v>
      </c>
      <c r="AQ351" s="616">
        <v>6.5000000000000002E-2</v>
      </c>
      <c r="AR351" s="612">
        <v>7.0000000000000007E-2</v>
      </c>
      <c r="AS351" s="617"/>
      <c r="AT351" s="618"/>
      <c r="AU351" s="618"/>
      <c r="AV351" s="618"/>
      <c r="AW351" s="619"/>
      <c r="AX351" s="614">
        <v>0.05</v>
      </c>
      <c r="AY351" s="616">
        <v>5.5E-2</v>
      </c>
      <c r="AZ351" s="616">
        <v>0.06</v>
      </c>
      <c r="BA351" s="616">
        <v>6.5000000000000002E-2</v>
      </c>
      <c r="BB351" s="616">
        <v>7.0000000000000007E-2</v>
      </c>
      <c r="BC351" s="616"/>
      <c r="BD351" s="612"/>
      <c r="BE351" s="596"/>
      <c r="BF351" s="598"/>
      <c r="BG351" s="598"/>
      <c r="BH351" s="598"/>
      <c r="BI351" s="598"/>
      <c r="BJ351" s="598"/>
      <c r="BK351" s="605"/>
      <c r="BL351" s="658">
        <f t="shared" si="287"/>
        <v>17500</v>
      </c>
      <c r="BM351" s="3">
        <f t="shared" si="288"/>
        <v>37</v>
      </c>
      <c r="BN351" s="3">
        <f t="shared" si="289"/>
        <v>28</v>
      </c>
      <c r="BO351" s="3">
        <f t="shared" si="290"/>
        <v>35</v>
      </c>
    </row>
    <row r="352" spans="2:67">
      <c r="B352" s="606" t="s">
        <v>1656</v>
      </c>
      <c r="C352" s="607" t="s">
        <v>309</v>
      </c>
      <c r="D352" s="607" t="s">
        <v>1657</v>
      </c>
      <c r="E352" s="1267" t="s">
        <v>1150</v>
      </c>
      <c r="F352" s="1070">
        <v>349</v>
      </c>
      <c r="G352" s="609">
        <v>10360</v>
      </c>
      <c r="H352" s="610">
        <v>7280</v>
      </c>
      <c r="I352" s="611">
        <v>10360</v>
      </c>
      <c r="J352" s="166">
        <f t="shared" si="278"/>
        <v>207</v>
      </c>
      <c r="K352" s="167">
        <f t="shared" si="279"/>
        <v>145</v>
      </c>
      <c r="L352" s="168">
        <f t="shared" si="280"/>
        <v>207</v>
      </c>
      <c r="M352" s="166">
        <f t="shared" si="281"/>
        <v>259</v>
      </c>
      <c r="N352" s="167">
        <f t="shared" si="282"/>
        <v>182</v>
      </c>
      <c r="O352" s="168">
        <f t="shared" si="283"/>
        <v>259</v>
      </c>
      <c r="P352" s="169">
        <f t="shared" si="284"/>
        <v>388</v>
      </c>
      <c r="Q352" s="169">
        <f t="shared" si="285"/>
        <v>273</v>
      </c>
      <c r="R352" s="169">
        <f t="shared" si="286"/>
        <v>388</v>
      </c>
      <c r="S352" s="584">
        <f t="shared" si="291"/>
        <v>2590</v>
      </c>
      <c r="T352" s="594">
        <f t="shared" si="292"/>
        <v>1820</v>
      </c>
      <c r="U352" s="595">
        <f t="shared" si="293"/>
        <v>2590</v>
      </c>
      <c r="V352" s="166">
        <f t="shared" si="294"/>
        <v>5905</v>
      </c>
      <c r="W352" s="167">
        <f t="shared" si="295"/>
        <v>4149</v>
      </c>
      <c r="X352" s="168">
        <f t="shared" si="296"/>
        <v>5905</v>
      </c>
      <c r="Y352" s="166">
        <f t="shared" si="297"/>
        <v>6293</v>
      </c>
      <c r="Z352" s="167">
        <f t="shared" si="298"/>
        <v>4968</v>
      </c>
      <c r="AA352" s="168">
        <f t="shared" si="299"/>
        <v>6681</v>
      </c>
      <c r="AB352" s="166">
        <f t="shared" si="300"/>
        <v>7457</v>
      </c>
      <c r="AC352" s="167">
        <f t="shared" si="301"/>
        <v>5241</v>
      </c>
      <c r="AD352" s="168">
        <f t="shared" si="302"/>
        <v>7845</v>
      </c>
      <c r="AE352" s="166">
        <f t="shared" si="303"/>
        <v>9009</v>
      </c>
      <c r="AF352" s="167">
        <f t="shared" si="304"/>
        <v>5787</v>
      </c>
      <c r="AG352" s="168">
        <f t="shared" si="305"/>
        <v>8621</v>
      </c>
      <c r="AH352" s="166">
        <f t="shared" si="306"/>
        <v>9785</v>
      </c>
      <c r="AI352" s="167">
        <f t="shared" si="307"/>
        <v>6879</v>
      </c>
      <c r="AJ352" s="168">
        <f t="shared" si="308"/>
        <v>9397</v>
      </c>
      <c r="AK352" s="169">
        <f t="shared" si="309"/>
        <v>10567</v>
      </c>
      <c r="AL352" s="167">
        <f t="shared" si="310"/>
        <v>7425</v>
      </c>
      <c r="AM352" s="585">
        <f t="shared" si="311"/>
        <v>10567</v>
      </c>
      <c r="AN352" s="1133">
        <v>0.3</v>
      </c>
      <c r="AO352" s="1134">
        <v>0.30499999999999999</v>
      </c>
      <c r="AP352" s="1134">
        <v>0.31</v>
      </c>
      <c r="AQ352" s="1135">
        <v>0.315</v>
      </c>
      <c r="AR352" s="1132">
        <v>0.32</v>
      </c>
      <c r="AS352" s="603"/>
      <c r="AT352" s="588"/>
      <c r="AU352" s="588"/>
      <c r="AV352" s="588"/>
      <c r="AW352" s="589"/>
      <c r="AX352" s="1133">
        <v>0.05</v>
      </c>
      <c r="AY352" s="1135">
        <v>5.5E-2</v>
      </c>
      <c r="AZ352" s="1135">
        <v>0.06</v>
      </c>
      <c r="BA352" s="1135">
        <v>6.5000000000000002E-2</v>
      </c>
      <c r="BB352" s="1135">
        <v>7.0000000000000007E-2</v>
      </c>
      <c r="BC352" s="1135"/>
      <c r="BD352" s="1132"/>
      <c r="BE352" s="596"/>
      <c r="BF352" s="598"/>
      <c r="BG352" s="598"/>
      <c r="BH352" s="598"/>
      <c r="BI352" s="598"/>
      <c r="BJ352" s="598"/>
      <c r="BK352" s="605"/>
      <c r="BL352" s="658">
        <f t="shared" si="287"/>
        <v>28000</v>
      </c>
      <c r="BM352" s="3">
        <f t="shared" si="288"/>
        <v>37</v>
      </c>
      <c r="BN352" s="3">
        <f t="shared" si="289"/>
        <v>26</v>
      </c>
      <c r="BO352" s="3">
        <f t="shared" si="290"/>
        <v>37</v>
      </c>
    </row>
    <row r="353" spans="2:67">
      <c r="B353" s="606" t="s">
        <v>1662</v>
      </c>
      <c r="C353" s="607" t="s">
        <v>310</v>
      </c>
      <c r="D353" s="607" t="s">
        <v>1663</v>
      </c>
      <c r="E353" s="238" t="s">
        <v>1150</v>
      </c>
      <c r="F353" s="592">
        <v>350</v>
      </c>
      <c r="G353" s="609">
        <v>5074</v>
      </c>
      <c r="H353" s="610">
        <v>7174</v>
      </c>
      <c r="I353" s="611">
        <v>5250</v>
      </c>
      <c r="J353" s="166">
        <f t="shared" si="278"/>
        <v>101</v>
      </c>
      <c r="K353" s="167">
        <f t="shared" si="279"/>
        <v>143</v>
      </c>
      <c r="L353" s="168">
        <f t="shared" si="280"/>
        <v>105</v>
      </c>
      <c r="M353" s="166">
        <f t="shared" si="281"/>
        <v>152</v>
      </c>
      <c r="N353" s="167">
        <f t="shared" si="282"/>
        <v>215</v>
      </c>
      <c r="O353" s="168">
        <f t="shared" si="283"/>
        <v>157</v>
      </c>
      <c r="P353" s="169">
        <f t="shared" si="284"/>
        <v>203</v>
      </c>
      <c r="Q353" s="169">
        <f t="shared" si="285"/>
        <v>287</v>
      </c>
      <c r="R353" s="169">
        <f t="shared" si="286"/>
        <v>210</v>
      </c>
      <c r="S353" s="584">
        <f t="shared" si="291"/>
        <v>1522</v>
      </c>
      <c r="T353" s="594">
        <f t="shared" si="292"/>
        <v>2152</v>
      </c>
      <c r="U353" s="595">
        <f t="shared" si="293"/>
        <v>1575</v>
      </c>
      <c r="V353" s="166">
        <f t="shared" si="294"/>
        <v>3143</v>
      </c>
      <c r="W353" s="167">
        <f t="shared" si="295"/>
        <v>4445</v>
      </c>
      <c r="X353" s="168">
        <f t="shared" si="296"/>
        <v>3250</v>
      </c>
      <c r="Y353" s="166">
        <f t="shared" si="297"/>
        <v>3549</v>
      </c>
      <c r="Z353" s="167">
        <f t="shared" si="298"/>
        <v>5019</v>
      </c>
      <c r="AA353" s="168">
        <f t="shared" si="299"/>
        <v>3670</v>
      </c>
      <c r="AB353" s="166">
        <f t="shared" si="300"/>
        <v>3955</v>
      </c>
      <c r="AC353" s="167">
        <f t="shared" si="301"/>
        <v>5593</v>
      </c>
      <c r="AD353" s="168">
        <f t="shared" si="302"/>
        <v>4090</v>
      </c>
      <c r="AE353" s="166">
        <f t="shared" si="303"/>
        <v>4361</v>
      </c>
      <c r="AF353" s="167">
        <f t="shared" si="304"/>
        <v>5880</v>
      </c>
      <c r="AG353" s="168">
        <f t="shared" si="305"/>
        <v>4510</v>
      </c>
      <c r="AH353" s="166">
        <f t="shared" si="306"/>
        <v>4970</v>
      </c>
      <c r="AI353" s="167">
        <f t="shared" si="307"/>
        <v>6454</v>
      </c>
      <c r="AJ353" s="168">
        <f t="shared" si="308"/>
        <v>4720</v>
      </c>
      <c r="AK353" s="169">
        <f t="shared" si="309"/>
        <v>5175</v>
      </c>
      <c r="AL353" s="167">
        <f t="shared" si="310"/>
        <v>7317</v>
      </c>
      <c r="AM353" s="585">
        <f t="shared" si="311"/>
        <v>5355</v>
      </c>
      <c r="AN353" s="596">
        <v>0.15</v>
      </c>
      <c r="AO353" s="597">
        <v>0.18</v>
      </c>
      <c r="AP353" s="597">
        <v>0.21</v>
      </c>
      <c r="AQ353" s="598">
        <v>0.24</v>
      </c>
      <c r="AR353" s="599">
        <v>0.27</v>
      </c>
      <c r="AS353" s="603"/>
      <c r="AT353" s="588"/>
      <c r="AU353" s="588"/>
      <c r="AV353" s="588"/>
      <c r="AW353" s="589"/>
      <c r="AX353" s="596">
        <v>0.03</v>
      </c>
      <c r="AY353" s="598">
        <v>3.5000000000000003E-2</v>
      </c>
      <c r="AZ353" s="598">
        <v>0.04</v>
      </c>
      <c r="BA353" s="598">
        <v>4.4999999999999998E-2</v>
      </c>
      <c r="BB353" s="598">
        <v>0.05</v>
      </c>
      <c r="BC353" s="598"/>
      <c r="BD353" s="599"/>
      <c r="BE353" s="596"/>
      <c r="BF353" s="598"/>
      <c r="BG353" s="598"/>
      <c r="BH353" s="598"/>
      <c r="BI353" s="598"/>
      <c r="BJ353" s="598"/>
      <c r="BK353" s="605"/>
      <c r="BL353" s="658">
        <f t="shared" si="287"/>
        <v>17500</v>
      </c>
      <c r="BM353" s="3">
        <f t="shared" si="288"/>
        <v>29</v>
      </c>
      <c r="BN353" s="3">
        <f t="shared" si="289"/>
        <v>41</v>
      </c>
      <c r="BO353" s="3">
        <f t="shared" si="290"/>
        <v>30</v>
      </c>
    </row>
    <row r="354" spans="2:67">
      <c r="B354" s="1271" t="s">
        <v>1666</v>
      </c>
      <c r="C354" s="1069" t="s">
        <v>309</v>
      </c>
      <c r="D354" s="1069" t="s">
        <v>1667</v>
      </c>
      <c r="E354" s="1268" t="s">
        <v>1150</v>
      </c>
      <c r="F354" s="1070">
        <v>351</v>
      </c>
      <c r="G354" s="1071">
        <v>11969</v>
      </c>
      <c r="H354" s="1072">
        <v>7124</v>
      </c>
      <c r="I354" s="1073">
        <v>9404</v>
      </c>
      <c r="J354" s="166">
        <f t="shared" si="278"/>
        <v>239</v>
      </c>
      <c r="K354" s="167">
        <f t="shared" si="279"/>
        <v>142</v>
      </c>
      <c r="L354" s="168">
        <f t="shared" si="280"/>
        <v>188</v>
      </c>
      <c r="M354" s="166">
        <f t="shared" si="281"/>
        <v>299</v>
      </c>
      <c r="N354" s="167">
        <f t="shared" si="282"/>
        <v>178</v>
      </c>
      <c r="O354" s="168">
        <f t="shared" si="283"/>
        <v>235</v>
      </c>
      <c r="P354" s="169">
        <f t="shared" si="284"/>
        <v>448</v>
      </c>
      <c r="Q354" s="169">
        <f t="shared" si="285"/>
        <v>267</v>
      </c>
      <c r="R354" s="169">
        <f t="shared" si="286"/>
        <v>352</v>
      </c>
      <c r="S354" s="584">
        <f t="shared" si="291"/>
        <v>2992</v>
      </c>
      <c r="T354" s="594">
        <f t="shared" si="292"/>
        <v>1781</v>
      </c>
      <c r="U354" s="595">
        <f t="shared" si="293"/>
        <v>2351</v>
      </c>
      <c r="V354" s="166">
        <f t="shared" si="294"/>
        <v>6819</v>
      </c>
      <c r="W354" s="167">
        <f t="shared" si="295"/>
        <v>4059</v>
      </c>
      <c r="X354" s="168">
        <f t="shared" si="296"/>
        <v>5359</v>
      </c>
      <c r="Y354" s="166">
        <f t="shared" si="297"/>
        <v>7715</v>
      </c>
      <c r="Z354" s="167">
        <f t="shared" si="298"/>
        <v>4326</v>
      </c>
      <c r="AA354" s="168">
        <f t="shared" si="299"/>
        <v>6415</v>
      </c>
      <c r="AB354" s="166">
        <f t="shared" si="300"/>
        <v>9059</v>
      </c>
      <c r="AC354" s="167">
        <f t="shared" si="301"/>
        <v>5127</v>
      </c>
      <c r="AD354" s="168">
        <f t="shared" si="302"/>
        <v>6767</v>
      </c>
      <c r="AE354" s="166">
        <f t="shared" si="303"/>
        <v>9955</v>
      </c>
      <c r="AF354" s="167">
        <f t="shared" si="304"/>
        <v>6195</v>
      </c>
      <c r="AG354" s="168">
        <f t="shared" si="305"/>
        <v>7471</v>
      </c>
      <c r="AH354" s="166">
        <f t="shared" si="306"/>
        <v>10851</v>
      </c>
      <c r="AI354" s="167">
        <f t="shared" si="307"/>
        <v>6729</v>
      </c>
      <c r="AJ354" s="168">
        <f t="shared" si="308"/>
        <v>8879</v>
      </c>
      <c r="AK354" s="169">
        <f t="shared" si="309"/>
        <v>12208</v>
      </c>
      <c r="AL354" s="167">
        <f t="shared" si="310"/>
        <v>7266</v>
      </c>
      <c r="AM354" s="585">
        <f t="shared" si="311"/>
        <v>9592</v>
      </c>
      <c r="AN354" s="596">
        <v>0.06</v>
      </c>
      <c r="AO354" s="597">
        <v>6.3E-2</v>
      </c>
      <c r="AP354" s="597">
        <v>6.6000000000000003E-2</v>
      </c>
      <c r="AQ354" s="598">
        <v>6.9000000000000006E-2</v>
      </c>
      <c r="AR354" s="599">
        <v>7.1999999999999995E-2</v>
      </c>
      <c r="AS354" s="603"/>
      <c r="AT354" s="588"/>
      <c r="AU354" s="588"/>
      <c r="AV354" s="588"/>
      <c r="AW354" s="589"/>
      <c r="AX354" s="596">
        <v>0.04</v>
      </c>
      <c r="AY354" s="598">
        <v>4.2999999999999997E-2</v>
      </c>
      <c r="AZ354" s="598">
        <v>4.5999999999999999E-2</v>
      </c>
      <c r="BA354" s="598">
        <v>4.9000000000000002E-2</v>
      </c>
      <c r="BB354" s="598">
        <v>5.1999999999999998E-2</v>
      </c>
      <c r="BC354" s="598"/>
      <c r="BD354" s="599"/>
      <c r="BE354" s="596"/>
      <c r="BF354" s="598"/>
      <c r="BG354" s="598"/>
      <c r="BH354" s="598"/>
      <c r="BI354" s="598"/>
      <c r="BJ354" s="598"/>
      <c r="BK354" s="605"/>
      <c r="BL354" s="658">
        <f t="shared" si="287"/>
        <v>28500</v>
      </c>
      <c r="BM354" s="3">
        <f t="shared" si="288"/>
        <v>42</v>
      </c>
      <c r="BN354" s="3">
        <f t="shared" si="289"/>
        <v>25</v>
      </c>
      <c r="BO354" s="3">
        <f t="shared" si="290"/>
        <v>33</v>
      </c>
    </row>
    <row r="355" spans="2:67">
      <c r="B355" s="1271" t="s">
        <v>1672</v>
      </c>
      <c r="C355" s="1069" t="s">
        <v>309</v>
      </c>
      <c r="D355" s="1069" t="s">
        <v>1673</v>
      </c>
      <c r="E355" s="1267" t="s">
        <v>125</v>
      </c>
      <c r="F355" s="592">
        <v>352</v>
      </c>
      <c r="G355" s="1071">
        <v>7753</v>
      </c>
      <c r="H355" s="1072">
        <v>7049</v>
      </c>
      <c r="I355" s="1073">
        <v>8693</v>
      </c>
      <c r="J355" s="166">
        <f t="shared" si="278"/>
        <v>155</v>
      </c>
      <c r="K355" s="167">
        <f t="shared" si="279"/>
        <v>141</v>
      </c>
      <c r="L355" s="168">
        <f t="shared" si="280"/>
        <v>173</v>
      </c>
      <c r="M355" s="166">
        <f t="shared" si="281"/>
        <v>193</v>
      </c>
      <c r="N355" s="167">
        <f t="shared" si="282"/>
        <v>176</v>
      </c>
      <c r="O355" s="168">
        <f t="shared" si="283"/>
        <v>217</v>
      </c>
      <c r="P355" s="169">
        <f t="shared" si="284"/>
        <v>290</v>
      </c>
      <c r="Q355" s="169">
        <f t="shared" si="285"/>
        <v>264</v>
      </c>
      <c r="R355" s="169">
        <f t="shared" si="286"/>
        <v>326</v>
      </c>
      <c r="S355" s="584">
        <f t="shared" si="291"/>
        <v>1938</v>
      </c>
      <c r="T355" s="594">
        <f t="shared" si="292"/>
        <v>1762</v>
      </c>
      <c r="U355" s="595">
        <f t="shared" si="293"/>
        <v>2173</v>
      </c>
      <c r="V355" s="166">
        <f t="shared" si="294"/>
        <v>4409</v>
      </c>
      <c r="W355" s="167">
        <f t="shared" si="295"/>
        <v>4015</v>
      </c>
      <c r="X355" s="168">
        <f t="shared" si="296"/>
        <v>4950</v>
      </c>
      <c r="Y355" s="166">
        <f t="shared" si="297"/>
        <v>4699</v>
      </c>
      <c r="Z355" s="167">
        <f t="shared" si="298"/>
        <v>4543</v>
      </c>
      <c r="AA355" s="168">
        <f t="shared" si="299"/>
        <v>5928</v>
      </c>
      <c r="AB355" s="166">
        <f t="shared" si="300"/>
        <v>5569</v>
      </c>
      <c r="AC355" s="167">
        <f t="shared" si="301"/>
        <v>5335</v>
      </c>
      <c r="AD355" s="168">
        <f t="shared" si="302"/>
        <v>6254</v>
      </c>
      <c r="AE355" s="166">
        <f t="shared" si="303"/>
        <v>6729</v>
      </c>
      <c r="AF355" s="167">
        <f t="shared" si="304"/>
        <v>5863</v>
      </c>
      <c r="AG355" s="168">
        <f t="shared" si="305"/>
        <v>6906</v>
      </c>
      <c r="AH355" s="166">
        <f t="shared" si="306"/>
        <v>7309</v>
      </c>
      <c r="AI355" s="167">
        <f t="shared" si="307"/>
        <v>6391</v>
      </c>
      <c r="AJ355" s="168">
        <f t="shared" si="308"/>
        <v>8210</v>
      </c>
      <c r="AK355" s="169">
        <f t="shared" si="309"/>
        <v>7908</v>
      </c>
      <c r="AL355" s="167">
        <f t="shared" si="310"/>
        <v>7190</v>
      </c>
      <c r="AM355" s="585">
        <f t="shared" si="311"/>
        <v>8866</v>
      </c>
      <c r="AN355" s="596">
        <v>0.06</v>
      </c>
      <c r="AO355" s="597">
        <v>6.5000000000000002E-2</v>
      </c>
      <c r="AP355" s="597">
        <v>7.0000000000000007E-2</v>
      </c>
      <c r="AQ355" s="598">
        <v>7.4999999999999997E-2</v>
      </c>
      <c r="AR355" s="599">
        <v>0.08</v>
      </c>
      <c r="AS355" s="603"/>
      <c r="AT355" s="588"/>
      <c r="AU355" s="588"/>
      <c r="AV355" s="588"/>
      <c r="AW355" s="589"/>
      <c r="AX355" s="596">
        <v>0.03</v>
      </c>
      <c r="AY355" s="598">
        <v>3.3000000000000002E-2</v>
      </c>
      <c r="AZ355" s="598">
        <v>3.5999999999999997E-2</v>
      </c>
      <c r="BA355" s="598">
        <v>3.9E-2</v>
      </c>
      <c r="BB355" s="598">
        <v>4.2000000000000003E-2</v>
      </c>
      <c r="BC355" s="598"/>
      <c r="BD355" s="599"/>
      <c r="BE355" s="596"/>
      <c r="BF355" s="598"/>
      <c r="BG355" s="598"/>
      <c r="BH355" s="598"/>
      <c r="BI355" s="598"/>
      <c r="BJ355" s="598"/>
      <c r="BK355" s="605"/>
      <c r="BL355" s="658">
        <f t="shared" si="287"/>
        <v>23500</v>
      </c>
      <c r="BM355" s="3">
        <f t="shared" si="288"/>
        <v>33</v>
      </c>
      <c r="BN355" s="3">
        <f t="shared" si="289"/>
        <v>30</v>
      </c>
      <c r="BO355" s="3">
        <f t="shared" si="290"/>
        <v>37</v>
      </c>
    </row>
    <row r="356" spans="2:67">
      <c r="B356" s="606" t="s">
        <v>1677</v>
      </c>
      <c r="C356" s="607" t="s">
        <v>310</v>
      </c>
      <c r="D356" s="607" t="s">
        <v>1678</v>
      </c>
      <c r="E356" s="238" t="s">
        <v>125</v>
      </c>
      <c r="F356" s="608">
        <v>353</v>
      </c>
      <c r="G356" s="609">
        <v>5074</v>
      </c>
      <c r="H356" s="610">
        <v>4640</v>
      </c>
      <c r="I356" s="611">
        <v>4784</v>
      </c>
      <c r="J356" s="166">
        <f t="shared" si="278"/>
        <v>101</v>
      </c>
      <c r="K356" s="167">
        <f t="shared" si="279"/>
        <v>92</v>
      </c>
      <c r="L356" s="168">
        <f t="shared" si="280"/>
        <v>95</v>
      </c>
      <c r="M356" s="166">
        <f t="shared" si="281"/>
        <v>152</v>
      </c>
      <c r="N356" s="167">
        <f t="shared" si="282"/>
        <v>139</v>
      </c>
      <c r="O356" s="168">
        <f t="shared" si="283"/>
        <v>143</v>
      </c>
      <c r="P356" s="169">
        <f t="shared" si="284"/>
        <v>203</v>
      </c>
      <c r="Q356" s="169">
        <f t="shared" si="285"/>
        <v>185</v>
      </c>
      <c r="R356" s="169">
        <f t="shared" si="286"/>
        <v>191</v>
      </c>
      <c r="S356" s="584">
        <f t="shared" si="291"/>
        <v>1522</v>
      </c>
      <c r="T356" s="594">
        <f t="shared" si="292"/>
        <v>1392</v>
      </c>
      <c r="U356" s="595">
        <f t="shared" si="293"/>
        <v>1435</v>
      </c>
      <c r="V356" s="166">
        <f t="shared" si="294"/>
        <v>3143</v>
      </c>
      <c r="W356" s="167">
        <f t="shared" si="295"/>
        <v>2874</v>
      </c>
      <c r="X356" s="168">
        <f t="shared" si="296"/>
        <v>2960</v>
      </c>
      <c r="Y356" s="166">
        <f t="shared" si="297"/>
        <v>3549</v>
      </c>
      <c r="Z356" s="167">
        <f t="shared" si="298"/>
        <v>3244</v>
      </c>
      <c r="AA356" s="168">
        <f t="shared" si="299"/>
        <v>3342</v>
      </c>
      <c r="AB356" s="166">
        <f t="shared" si="300"/>
        <v>3955</v>
      </c>
      <c r="AC356" s="167">
        <f t="shared" si="301"/>
        <v>3614</v>
      </c>
      <c r="AD356" s="168">
        <f t="shared" si="302"/>
        <v>3724</v>
      </c>
      <c r="AE356" s="166">
        <f t="shared" si="303"/>
        <v>4361</v>
      </c>
      <c r="AF356" s="167">
        <f t="shared" si="304"/>
        <v>3984</v>
      </c>
      <c r="AG356" s="168">
        <f t="shared" si="305"/>
        <v>3915</v>
      </c>
      <c r="AH356" s="166">
        <f t="shared" si="306"/>
        <v>4564</v>
      </c>
      <c r="AI356" s="167">
        <f t="shared" si="307"/>
        <v>4539</v>
      </c>
      <c r="AJ356" s="168">
        <f t="shared" si="308"/>
        <v>4297</v>
      </c>
      <c r="AK356" s="169">
        <f t="shared" si="309"/>
        <v>5175</v>
      </c>
      <c r="AL356" s="167">
        <f t="shared" si="310"/>
        <v>4732</v>
      </c>
      <c r="AM356" s="585">
        <f t="shared" si="311"/>
        <v>4879</v>
      </c>
      <c r="AN356" s="596">
        <v>0.03</v>
      </c>
      <c r="AO356" s="597">
        <v>3.3000000000000002E-2</v>
      </c>
      <c r="AP356" s="597">
        <v>3.5999999999999997E-2</v>
      </c>
      <c r="AQ356" s="598">
        <v>3.9E-2</v>
      </c>
      <c r="AR356" s="599">
        <v>4.2000000000000003E-2</v>
      </c>
      <c r="AS356" s="603"/>
      <c r="AT356" s="588"/>
      <c r="AU356" s="588"/>
      <c r="AV356" s="588"/>
      <c r="AW356" s="589"/>
      <c r="AX356" s="614">
        <v>0.05</v>
      </c>
      <c r="AY356" s="616">
        <v>5.5E-2</v>
      </c>
      <c r="AZ356" s="616">
        <v>0.06</v>
      </c>
      <c r="BA356" s="616">
        <v>6.5000000000000002E-2</v>
      </c>
      <c r="BB356" s="616">
        <v>7.0000000000000007E-2</v>
      </c>
      <c r="BC356" s="616"/>
      <c r="BD356" s="612"/>
      <c r="BE356" s="596"/>
      <c r="BF356" s="598"/>
      <c r="BG356" s="598"/>
      <c r="BH356" s="598"/>
      <c r="BI356" s="598"/>
      <c r="BJ356" s="598"/>
      <c r="BK356" s="605"/>
      <c r="BL356" s="658">
        <f t="shared" si="287"/>
        <v>14500</v>
      </c>
      <c r="BM356" s="3">
        <f t="shared" si="288"/>
        <v>35</v>
      </c>
      <c r="BN356" s="3">
        <f t="shared" si="289"/>
        <v>32</v>
      </c>
      <c r="BO356" s="3">
        <f t="shared" si="290"/>
        <v>33</v>
      </c>
    </row>
    <row r="357" spans="2:67">
      <c r="B357" s="606" t="s">
        <v>1683</v>
      </c>
      <c r="C357" s="607" t="s">
        <v>310</v>
      </c>
      <c r="D357" s="607" t="s">
        <v>1684</v>
      </c>
      <c r="E357" s="613" t="s">
        <v>125</v>
      </c>
      <c r="F357" s="592">
        <v>354</v>
      </c>
      <c r="G357" s="609">
        <v>4930</v>
      </c>
      <c r="H357" s="610">
        <v>4640</v>
      </c>
      <c r="I357" s="611">
        <v>4930</v>
      </c>
      <c r="J357" s="166">
        <f t="shared" si="278"/>
        <v>98</v>
      </c>
      <c r="K357" s="167">
        <f t="shared" si="279"/>
        <v>92</v>
      </c>
      <c r="L357" s="168">
        <f t="shared" si="280"/>
        <v>98</v>
      </c>
      <c r="M357" s="166">
        <f t="shared" si="281"/>
        <v>147</v>
      </c>
      <c r="N357" s="167">
        <f t="shared" si="282"/>
        <v>139</v>
      </c>
      <c r="O357" s="168">
        <f t="shared" si="283"/>
        <v>147</v>
      </c>
      <c r="P357" s="169">
        <f t="shared" si="284"/>
        <v>197</v>
      </c>
      <c r="Q357" s="169">
        <f t="shared" si="285"/>
        <v>185</v>
      </c>
      <c r="R357" s="169">
        <f t="shared" si="286"/>
        <v>197</v>
      </c>
      <c r="S357" s="584">
        <f t="shared" si="291"/>
        <v>1479</v>
      </c>
      <c r="T357" s="594">
        <f t="shared" si="292"/>
        <v>1392</v>
      </c>
      <c r="U357" s="595">
        <f t="shared" si="293"/>
        <v>1479</v>
      </c>
      <c r="V357" s="166">
        <f t="shared" si="294"/>
        <v>3047</v>
      </c>
      <c r="W357" s="167">
        <f t="shared" si="295"/>
        <v>2874</v>
      </c>
      <c r="X357" s="168">
        <f t="shared" si="296"/>
        <v>3047</v>
      </c>
      <c r="Y357" s="166">
        <f t="shared" si="297"/>
        <v>3441</v>
      </c>
      <c r="Z357" s="167">
        <f t="shared" si="298"/>
        <v>3244</v>
      </c>
      <c r="AA357" s="168">
        <f t="shared" si="299"/>
        <v>3441</v>
      </c>
      <c r="AB357" s="166">
        <f t="shared" si="300"/>
        <v>3835</v>
      </c>
      <c r="AC357" s="167">
        <f t="shared" si="301"/>
        <v>3614</v>
      </c>
      <c r="AD357" s="168">
        <f t="shared" si="302"/>
        <v>3835</v>
      </c>
      <c r="AE357" s="166">
        <f t="shared" si="303"/>
        <v>4229</v>
      </c>
      <c r="AF357" s="167">
        <f t="shared" si="304"/>
        <v>3799</v>
      </c>
      <c r="AG357" s="168">
        <f t="shared" si="305"/>
        <v>4229</v>
      </c>
      <c r="AH357" s="166">
        <f t="shared" si="306"/>
        <v>4820</v>
      </c>
      <c r="AI357" s="167">
        <f t="shared" si="307"/>
        <v>4169</v>
      </c>
      <c r="AJ357" s="168">
        <f t="shared" si="308"/>
        <v>4426</v>
      </c>
      <c r="AK357" s="169">
        <f t="shared" si="309"/>
        <v>5028</v>
      </c>
      <c r="AL357" s="167">
        <f t="shared" si="310"/>
        <v>4732</v>
      </c>
      <c r="AM357" s="585">
        <f t="shared" si="311"/>
        <v>5028</v>
      </c>
      <c r="AN357" s="596">
        <v>0.17</v>
      </c>
      <c r="AO357" s="597">
        <v>0.2</v>
      </c>
      <c r="AP357" s="597">
        <v>0.23</v>
      </c>
      <c r="AQ357" s="598">
        <v>0.26</v>
      </c>
      <c r="AR357" s="599">
        <v>0.28999999999999998</v>
      </c>
      <c r="AS357" s="603"/>
      <c r="AT357" s="588"/>
      <c r="AU357" s="588"/>
      <c r="AV357" s="588"/>
      <c r="AW357" s="589"/>
      <c r="AX357" s="596">
        <v>0.02</v>
      </c>
      <c r="AY357" s="598">
        <v>2.3E-2</v>
      </c>
      <c r="AZ357" s="598">
        <v>2.5999999999999999E-2</v>
      </c>
      <c r="BA357" s="598">
        <v>2.9000000000000001E-2</v>
      </c>
      <c r="BB357" s="598">
        <v>3.2000000000000001E-2</v>
      </c>
      <c r="BC357" s="598"/>
      <c r="BD357" s="599"/>
      <c r="BE357" s="596"/>
      <c r="BF357" s="598"/>
      <c r="BG357" s="598"/>
      <c r="BH357" s="598"/>
      <c r="BI357" s="598"/>
      <c r="BJ357" s="598"/>
      <c r="BK357" s="605"/>
      <c r="BL357" s="658">
        <f t="shared" si="287"/>
        <v>14500</v>
      </c>
      <c r="BM357" s="3">
        <f t="shared" si="288"/>
        <v>34</v>
      </c>
      <c r="BN357" s="3">
        <f t="shared" si="289"/>
        <v>32</v>
      </c>
      <c r="BO357" s="3">
        <f t="shared" si="290"/>
        <v>34</v>
      </c>
    </row>
    <row r="358" spans="2:67">
      <c r="B358" s="1271" t="s">
        <v>1991</v>
      </c>
      <c r="C358" s="1069" t="s">
        <v>1697</v>
      </c>
      <c r="D358" s="1069" t="s">
        <v>1698</v>
      </c>
      <c r="E358" s="1268" t="s">
        <v>939</v>
      </c>
      <c r="F358" s="1070">
        <v>355</v>
      </c>
      <c r="G358" s="1071">
        <v>11284</v>
      </c>
      <c r="H358" s="1072">
        <v>6404</v>
      </c>
      <c r="I358" s="1073">
        <v>12809</v>
      </c>
      <c r="J358" s="166">
        <f t="shared" si="278"/>
        <v>225</v>
      </c>
      <c r="K358" s="167">
        <f t="shared" si="279"/>
        <v>128</v>
      </c>
      <c r="L358" s="168">
        <f t="shared" si="280"/>
        <v>256</v>
      </c>
      <c r="M358" s="166">
        <f t="shared" si="281"/>
        <v>282</v>
      </c>
      <c r="N358" s="167">
        <f t="shared" si="282"/>
        <v>160</v>
      </c>
      <c r="O358" s="168">
        <f t="shared" si="283"/>
        <v>320</v>
      </c>
      <c r="P358" s="169">
        <f t="shared" si="284"/>
        <v>423</v>
      </c>
      <c r="Q358" s="169">
        <f t="shared" si="285"/>
        <v>240</v>
      </c>
      <c r="R358" s="169">
        <f t="shared" si="286"/>
        <v>480</v>
      </c>
      <c r="S358" s="584">
        <f t="shared" si="291"/>
        <v>2821</v>
      </c>
      <c r="T358" s="594">
        <f t="shared" si="292"/>
        <v>1601</v>
      </c>
      <c r="U358" s="595">
        <f t="shared" si="293"/>
        <v>3202</v>
      </c>
      <c r="V358" s="166">
        <f t="shared" si="294"/>
        <v>6430</v>
      </c>
      <c r="W358" s="167">
        <f t="shared" si="295"/>
        <v>3649</v>
      </c>
      <c r="X358" s="168">
        <f t="shared" si="296"/>
        <v>7298</v>
      </c>
      <c r="Y358" s="166">
        <f t="shared" si="297"/>
        <v>6853</v>
      </c>
      <c r="Z358" s="167">
        <f t="shared" si="298"/>
        <v>4129</v>
      </c>
      <c r="AA358" s="168">
        <f t="shared" si="299"/>
        <v>8738</v>
      </c>
      <c r="AB358" s="166">
        <f t="shared" si="300"/>
        <v>8122</v>
      </c>
      <c r="AC358" s="167">
        <f t="shared" si="301"/>
        <v>4849</v>
      </c>
      <c r="AD358" s="168">
        <f t="shared" si="302"/>
        <v>9218</v>
      </c>
      <c r="AE358" s="166">
        <f t="shared" si="303"/>
        <v>9814</v>
      </c>
      <c r="AF358" s="167">
        <f t="shared" si="304"/>
        <v>5329</v>
      </c>
      <c r="AG358" s="168">
        <f t="shared" si="305"/>
        <v>10178</v>
      </c>
      <c r="AH358" s="166">
        <f t="shared" si="306"/>
        <v>10660</v>
      </c>
      <c r="AI358" s="167">
        <f t="shared" si="307"/>
        <v>5809</v>
      </c>
      <c r="AJ358" s="168">
        <f t="shared" si="308"/>
        <v>12098</v>
      </c>
      <c r="AK358" s="169">
        <f t="shared" si="309"/>
        <v>11509</v>
      </c>
      <c r="AL358" s="167">
        <f t="shared" si="310"/>
        <v>6532</v>
      </c>
      <c r="AM358" s="585">
        <f t="shared" si="311"/>
        <v>13065</v>
      </c>
      <c r="AN358" s="596">
        <v>0.25</v>
      </c>
      <c r="AO358" s="597">
        <v>0.28000000000000003</v>
      </c>
      <c r="AP358" s="597">
        <v>0.31</v>
      </c>
      <c r="AQ358" s="598">
        <v>0.34</v>
      </c>
      <c r="AR358" s="1132">
        <v>0.37</v>
      </c>
      <c r="AS358" s="603"/>
      <c r="AT358" s="588"/>
      <c r="AU358" s="588"/>
      <c r="AV358" s="588"/>
      <c r="AW358" s="589"/>
      <c r="AX358" s="596">
        <v>0.04</v>
      </c>
      <c r="AY358" s="598">
        <v>4.2999999999999997E-2</v>
      </c>
      <c r="AZ358" s="598">
        <v>4.5999999999999999E-2</v>
      </c>
      <c r="BA358" s="598">
        <v>4.9000000000000002E-2</v>
      </c>
      <c r="BB358" s="598">
        <v>5.1999999999999998E-2</v>
      </c>
      <c r="BC358" s="598"/>
      <c r="BD358" s="599"/>
      <c r="BE358" s="596"/>
      <c r="BF358" s="598"/>
      <c r="BG358" s="598"/>
      <c r="BH358" s="598"/>
      <c r="BI358" s="598"/>
      <c r="BJ358" s="598"/>
      <c r="BK358" s="605"/>
      <c r="BL358" s="658">
        <f t="shared" si="287"/>
        <v>30500</v>
      </c>
      <c r="BM358" s="3">
        <f t="shared" si="288"/>
        <v>37</v>
      </c>
      <c r="BN358" s="3">
        <f t="shared" si="289"/>
        <v>21</v>
      </c>
      <c r="BO358" s="3">
        <f t="shared" si="290"/>
        <v>42</v>
      </c>
    </row>
    <row r="359" spans="2:67">
      <c r="B359" s="1271" t="s">
        <v>1992</v>
      </c>
      <c r="C359" s="1069" t="s">
        <v>1697</v>
      </c>
      <c r="D359" s="1069" t="s">
        <v>1699</v>
      </c>
      <c r="E359" s="1268" t="s">
        <v>939</v>
      </c>
      <c r="F359" s="592">
        <v>356</v>
      </c>
      <c r="G359" s="1071">
        <v>13113</v>
      </c>
      <c r="H359" s="1072">
        <v>5489</v>
      </c>
      <c r="I359" s="1073">
        <v>11893</v>
      </c>
      <c r="J359" s="166">
        <f t="shared" si="278"/>
        <v>262</v>
      </c>
      <c r="K359" s="167">
        <f t="shared" si="279"/>
        <v>109</v>
      </c>
      <c r="L359" s="168">
        <f t="shared" si="280"/>
        <v>237</v>
      </c>
      <c r="M359" s="166">
        <f t="shared" si="281"/>
        <v>327</v>
      </c>
      <c r="N359" s="167">
        <f t="shared" si="282"/>
        <v>137</v>
      </c>
      <c r="O359" s="168">
        <f t="shared" si="283"/>
        <v>297</v>
      </c>
      <c r="P359" s="169">
        <f t="shared" si="284"/>
        <v>491</v>
      </c>
      <c r="Q359" s="169">
        <f t="shared" si="285"/>
        <v>205</v>
      </c>
      <c r="R359" s="169">
        <f t="shared" si="286"/>
        <v>446</v>
      </c>
      <c r="S359" s="584">
        <f t="shared" si="291"/>
        <v>3278</v>
      </c>
      <c r="T359" s="594">
        <f t="shared" si="292"/>
        <v>1372</v>
      </c>
      <c r="U359" s="595">
        <f t="shared" si="293"/>
        <v>2973</v>
      </c>
      <c r="V359" s="166">
        <f t="shared" si="294"/>
        <v>7464</v>
      </c>
      <c r="W359" s="167">
        <f t="shared" si="295"/>
        <v>3125</v>
      </c>
      <c r="X359" s="168">
        <f t="shared" si="296"/>
        <v>6774</v>
      </c>
      <c r="Y359" s="166">
        <f t="shared" si="297"/>
        <v>8446</v>
      </c>
      <c r="Z359" s="167">
        <f t="shared" si="298"/>
        <v>3330</v>
      </c>
      <c r="AA359" s="168">
        <f t="shared" si="299"/>
        <v>8112</v>
      </c>
      <c r="AB359" s="166">
        <f t="shared" si="300"/>
        <v>9919</v>
      </c>
      <c r="AC359" s="167">
        <f t="shared" si="301"/>
        <v>3945</v>
      </c>
      <c r="AD359" s="168">
        <f t="shared" si="302"/>
        <v>8558</v>
      </c>
      <c r="AE359" s="166">
        <f t="shared" si="303"/>
        <v>10901</v>
      </c>
      <c r="AF359" s="167">
        <f t="shared" si="304"/>
        <v>4765</v>
      </c>
      <c r="AG359" s="168">
        <f t="shared" si="305"/>
        <v>9450</v>
      </c>
      <c r="AH359" s="166">
        <f t="shared" si="306"/>
        <v>11883</v>
      </c>
      <c r="AI359" s="167">
        <f t="shared" si="307"/>
        <v>5175</v>
      </c>
      <c r="AJ359" s="168">
        <f t="shared" si="308"/>
        <v>11234</v>
      </c>
      <c r="AK359" s="169">
        <f t="shared" si="309"/>
        <v>13375</v>
      </c>
      <c r="AL359" s="167">
        <f t="shared" si="310"/>
        <v>5598</v>
      </c>
      <c r="AM359" s="585">
        <f t="shared" si="311"/>
        <v>12130</v>
      </c>
      <c r="AN359" s="1133">
        <v>8.7999999999999995E-2</v>
      </c>
      <c r="AO359" s="1134">
        <v>9.0999999999999998E-2</v>
      </c>
      <c r="AP359" s="1134">
        <v>9.4E-2</v>
      </c>
      <c r="AQ359" s="1135">
        <v>9.7000000000000003E-2</v>
      </c>
      <c r="AR359" s="1132">
        <v>0.1</v>
      </c>
      <c r="AS359" s="603"/>
      <c r="AT359" s="588"/>
      <c r="AU359" s="588"/>
      <c r="AV359" s="588"/>
      <c r="AW359" s="589"/>
      <c r="AX359" s="596">
        <v>0.04</v>
      </c>
      <c r="AY359" s="598">
        <v>4.2999999999999997E-2</v>
      </c>
      <c r="AZ359" s="598">
        <v>4.5999999999999999E-2</v>
      </c>
      <c r="BA359" s="598">
        <v>4.9000000000000002E-2</v>
      </c>
      <c r="BB359" s="598">
        <v>5.1999999999999998E-2</v>
      </c>
      <c r="BC359" s="598"/>
      <c r="BD359" s="599"/>
      <c r="BE359" s="596"/>
      <c r="BF359" s="598"/>
      <c r="BG359" s="598"/>
      <c r="BH359" s="598"/>
      <c r="BI359" s="598"/>
      <c r="BJ359" s="598"/>
      <c r="BK359" s="605"/>
      <c r="BL359" s="658">
        <f t="shared" si="287"/>
        <v>30500</v>
      </c>
      <c r="BM359" s="3">
        <f t="shared" si="288"/>
        <v>43</v>
      </c>
      <c r="BN359" s="3">
        <f t="shared" si="289"/>
        <v>18</v>
      </c>
      <c r="BO359" s="3">
        <f t="shared" si="290"/>
        <v>39</v>
      </c>
    </row>
    <row r="360" spans="2:67">
      <c r="B360" s="606" t="s">
        <v>1706</v>
      </c>
      <c r="C360" s="607" t="s">
        <v>1707</v>
      </c>
      <c r="D360" s="607" t="s">
        <v>1708</v>
      </c>
      <c r="E360" s="613" t="s">
        <v>1709</v>
      </c>
      <c r="F360" s="608">
        <v>357</v>
      </c>
      <c r="G360" s="609">
        <v>6474</v>
      </c>
      <c r="H360" s="610">
        <v>4024</v>
      </c>
      <c r="I360" s="611">
        <v>7000</v>
      </c>
      <c r="J360" s="166">
        <f t="shared" si="278"/>
        <v>129</v>
      </c>
      <c r="K360" s="167">
        <f t="shared" si="279"/>
        <v>80</v>
      </c>
      <c r="L360" s="168">
        <f t="shared" si="280"/>
        <v>140</v>
      </c>
      <c r="M360" s="166">
        <f t="shared" si="281"/>
        <v>194</v>
      </c>
      <c r="N360" s="167">
        <f t="shared" si="282"/>
        <v>120</v>
      </c>
      <c r="O360" s="168">
        <f t="shared" si="283"/>
        <v>210</v>
      </c>
      <c r="P360" s="169">
        <f t="shared" si="284"/>
        <v>259</v>
      </c>
      <c r="Q360" s="169">
        <f t="shared" si="285"/>
        <v>161</v>
      </c>
      <c r="R360" s="169">
        <f t="shared" si="286"/>
        <v>280</v>
      </c>
      <c r="S360" s="584">
        <f t="shared" si="291"/>
        <v>1942</v>
      </c>
      <c r="T360" s="594">
        <f t="shared" si="292"/>
        <v>1207</v>
      </c>
      <c r="U360" s="595">
        <f t="shared" si="293"/>
        <v>2100</v>
      </c>
      <c r="V360" s="166">
        <f t="shared" si="294"/>
        <v>4011</v>
      </c>
      <c r="W360" s="167">
        <f t="shared" si="295"/>
        <v>2487</v>
      </c>
      <c r="X360" s="168">
        <f t="shared" si="296"/>
        <v>4340</v>
      </c>
      <c r="Y360" s="166">
        <f t="shared" si="297"/>
        <v>4529</v>
      </c>
      <c r="Z360" s="167">
        <f t="shared" si="298"/>
        <v>2809</v>
      </c>
      <c r="AA360" s="168">
        <f t="shared" si="299"/>
        <v>4900</v>
      </c>
      <c r="AB360" s="166">
        <f t="shared" si="300"/>
        <v>5047</v>
      </c>
      <c r="AC360" s="167">
        <f t="shared" si="301"/>
        <v>3131</v>
      </c>
      <c r="AD360" s="168">
        <f t="shared" si="302"/>
        <v>5460</v>
      </c>
      <c r="AE360" s="166">
        <f t="shared" si="303"/>
        <v>5565</v>
      </c>
      <c r="AF360" s="167">
        <f t="shared" si="304"/>
        <v>3292</v>
      </c>
      <c r="AG360" s="168">
        <f t="shared" si="305"/>
        <v>6020</v>
      </c>
      <c r="AH360" s="166">
        <f t="shared" si="306"/>
        <v>5824</v>
      </c>
      <c r="AI360" s="167">
        <f t="shared" si="307"/>
        <v>3614</v>
      </c>
      <c r="AJ360" s="168">
        <f t="shared" si="308"/>
        <v>6860</v>
      </c>
      <c r="AK360" s="169">
        <f t="shared" si="309"/>
        <v>6603</v>
      </c>
      <c r="AL360" s="167">
        <f t="shared" si="310"/>
        <v>4104</v>
      </c>
      <c r="AM360" s="585">
        <f t="shared" si="311"/>
        <v>7140</v>
      </c>
      <c r="AN360" s="614">
        <v>0.05</v>
      </c>
      <c r="AO360" s="615">
        <v>5.5E-2</v>
      </c>
      <c r="AP360" s="615">
        <v>0.06</v>
      </c>
      <c r="AQ360" s="616">
        <v>6.5000000000000002E-2</v>
      </c>
      <c r="AR360" s="612">
        <v>7.0000000000000007E-2</v>
      </c>
      <c r="AS360" s="603"/>
      <c r="AT360" s="588"/>
      <c r="AU360" s="588"/>
      <c r="AV360" s="588"/>
      <c r="AW360" s="589"/>
      <c r="AX360" s="596">
        <v>0.03</v>
      </c>
      <c r="AY360" s="598">
        <v>3.5000000000000003E-2</v>
      </c>
      <c r="AZ360" s="598">
        <v>0.04</v>
      </c>
      <c r="BA360" s="598">
        <v>4.4999999999999998E-2</v>
      </c>
      <c r="BB360" s="598">
        <v>0.05</v>
      </c>
      <c r="BC360" s="598"/>
      <c r="BD360" s="599"/>
      <c r="BE360" s="596"/>
      <c r="BF360" s="598"/>
      <c r="BG360" s="598"/>
      <c r="BH360" s="598"/>
      <c r="BI360" s="598"/>
      <c r="BJ360" s="598"/>
      <c r="BK360" s="605"/>
      <c r="BL360" s="658">
        <f t="shared" si="287"/>
        <v>17500</v>
      </c>
      <c r="BM360" s="3">
        <f t="shared" si="288"/>
        <v>37</v>
      </c>
      <c r="BN360" s="3">
        <f t="shared" si="289"/>
        <v>23</v>
      </c>
      <c r="BO360" s="3">
        <f t="shared" si="290"/>
        <v>40</v>
      </c>
    </row>
    <row r="361" spans="2:67">
      <c r="B361" s="606" t="s">
        <v>1712</v>
      </c>
      <c r="C361" s="607" t="s">
        <v>1707</v>
      </c>
      <c r="D361" s="607" t="s">
        <v>1713</v>
      </c>
      <c r="E361" s="613" t="s">
        <v>1709</v>
      </c>
      <c r="F361" s="592">
        <v>358</v>
      </c>
      <c r="G361" s="609">
        <v>7000</v>
      </c>
      <c r="H361" s="610">
        <v>4374</v>
      </c>
      <c r="I361" s="611">
        <v>6124</v>
      </c>
      <c r="J361" s="166">
        <f t="shared" si="278"/>
        <v>140</v>
      </c>
      <c r="K361" s="167">
        <f t="shared" si="279"/>
        <v>87</v>
      </c>
      <c r="L361" s="168">
        <f t="shared" si="280"/>
        <v>122</v>
      </c>
      <c r="M361" s="166">
        <f t="shared" si="281"/>
        <v>210</v>
      </c>
      <c r="N361" s="167">
        <f t="shared" si="282"/>
        <v>131</v>
      </c>
      <c r="O361" s="168">
        <f t="shared" si="283"/>
        <v>183</v>
      </c>
      <c r="P361" s="169">
        <f t="shared" si="284"/>
        <v>280</v>
      </c>
      <c r="Q361" s="169">
        <f t="shared" si="285"/>
        <v>175</v>
      </c>
      <c r="R361" s="169">
        <f t="shared" si="286"/>
        <v>245</v>
      </c>
      <c r="S361" s="584">
        <f t="shared" si="291"/>
        <v>2100</v>
      </c>
      <c r="T361" s="594">
        <f t="shared" si="292"/>
        <v>1312</v>
      </c>
      <c r="U361" s="595">
        <f t="shared" si="293"/>
        <v>1837</v>
      </c>
      <c r="V361" s="166">
        <f t="shared" si="294"/>
        <v>4340</v>
      </c>
      <c r="W361" s="167">
        <f t="shared" si="295"/>
        <v>2709</v>
      </c>
      <c r="X361" s="168">
        <f t="shared" si="296"/>
        <v>3789</v>
      </c>
      <c r="Y361" s="166">
        <f t="shared" si="297"/>
        <v>4900</v>
      </c>
      <c r="Z361" s="167">
        <f t="shared" si="298"/>
        <v>3059</v>
      </c>
      <c r="AA361" s="168">
        <f t="shared" si="299"/>
        <v>4279</v>
      </c>
      <c r="AB361" s="166">
        <f t="shared" si="300"/>
        <v>5460</v>
      </c>
      <c r="AC361" s="167">
        <f t="shared" si="301"/>
        <v>3409</v>
      </c>
      <c r="AD361" s="168">
        <f t="shared" si="302"/>
        <v>4769</v>
      </c>
      <c r="AE361" s="166">
        <f t="shared" si="303"/>
        <v>6020</v>
      </c>
      <c r="AF361" s="167">
        <f t="shared" si="304"/>
        <v>3759</v>
      </c>
      <c r="AG361" s="168">
        <f t="shared" si="305"/>
        <v>5014</v>
      </c>
      <c r="AH361" s="166">
        <f t="shared" si="306"/>
        <v>6300</v>
      </c>
      <c r="AI361" s="167">
        <f t="shared" si="307"/>
        <v>4284</v>
      </c>
      <c r="AJ361" s="168">
        <f t="shared" si="308"/>
        <v>5504</v>
      </c>
      <c r="AK361" s="169">
        <f t="shared" si="309"/>
        <v>7140</v>
      </c>
      <c r="AL361" s="167">
        <f t="shared" si="310"/>
        <v>4461</v>
      </c>
      <c r="AM361" s="585">
        <f t="shared" si="311"/>
        <v>6246</v>
      </c>
      <c r="AN361" s="614">
        <v>0.1</v>
      </c>
      <c r="AO361" s="615">
        <v>0.10299999999999999</v>
      </c>
      <c r="AP361" s="615">
        <v>0.106</v>
      </c>
      <c r="AQ361" s="616">
        <v>0.109</v>
      </c>
      <c r="AR361" s="612">
        <v>0.112</v>
      </c>
      <c r="AS361" s="603"/>
      <c r="AT361" s="588"/>
      <c r="AU361" s="588"/>
      <c r="AV361" s="588"/>
      <c r="AW361" s="589"/>
      <c r="AX361" s="614">
        <v>0.05</v>
      </c>
      <c r="AY361" s="616">
        <v>5.5E-2</v>
      </c>
      <c r="AZ361" s="616">
        <v>0.06</v>
      </c>
      <c r="BA361" s="616">
        <v>6.5000000000000002E-2</v>
      </c>
      <c r="BB361" s="616">
        <v>7.0000000000000007E-2</v>
      </c>
      <c r="BC361" s="616"/>
      <c r="BD361" s="612"/>
      <c r="BE361" s="596"/>
      <c r="BF361" s="598"/>
      <c r="BG361" s="598"/>
      <c r="BH361" s="598"/>
      <c r="BI361" s="598"/>
      <c r="BJ361" s="598"/>
      <c r="BK361" s="605"/>
      <c r="BL361" s="658">
        <f t="shared" si="287"/>
        <v>17500</v>
      </c>
      <c r="BM361" s="3">
        <f t="shared" si="288"/>
        <v>40</v>
      </c>
      <c r="BN361" s="3">
        <f t="shared" si="289"/>
        <v>25</v>
      </c>
      <c r="BO361" s="3">
        <f t="shared" si="290"/>
        <v>35</v>
      </c>
    </row>
    <row r="362" spans="2:67">
      <c r="B362" s="1271" t="s">
        <v>1732</v>
      </c>
      <c r="C362" s="1069" t="s">
        <v>309</v>
      </c>
      <c r="D362" s="1069" t="s">
        <v>1733</v>
      </c>
      <c r="E362" s="238" t="s">
        <v>1150</v>
      </c>
      <c r="F362" s="1070">
        <v>359</v>
      </c>
      <c r="G362" s="1071">
        <v>12253</v>
      </c>
      <c r="H362" s="1072">
        <v>5413</v>
      </c>
      <c r="I362" s="1073">
        <v>10829</v>
      </c>
      <c r="J362" s="166">
        <f t="shared" si="278"/>
        <v>245</v>
      </c>
      <c r="K362" s="167">
        <f t="shared" si="279"/>
        <v>108</v>
      </c>
      <c r="L362" s="168">
        <f t="shared" si="280"/>
        <v>216</v>
      </c>
      <c r="M362" s="166">
        <f t="shared" si="281"/>
        <v>306</v>
      </c>
      <c r="N362" s="167">
        <f t="shared" si="282"/>
        <v>135</v>
      </c>
      <c r="O362" s="168">
        <f t="shared" si="283"/>
        <v>270</v>
      </c>
      <c r="P362" s="169">
        <f t="shared" si="284"/>
        <v>459</v>
      </c>
      <c r="Q362" s="169">
        <f t="shared" si="285"/>
        <v>203</v>
      </c>
      <c r="R362" s="169">
        <f t="shared" si="286"/>
        <v>406</v>
      </c>
      <c r="S362" s="584">
        <f t="shared" si="291"/>
        <v>3063</v>
      </c>
      <c r="T362" s="594">
        <f t="shared" si="292"/>
        <v>1353</v>
      </c>
      <c r="U362" s="595">
        <f t="shared" si="293"/>
        <v>2707</v>
      </c>
      <c r="V362" s="166">
        <f t="shared" si="294"/>
        <v>6980</v>
      </c>
      <c r="W362" s="167">
        <f t="shared" si="295"/>
        <v>3081</v>
      </c>
      <c r="X362" s="168">
        <f t="shared" si="296"/>
        <v>6163</v>
      </c>
      <c r="Y362" s="166">
        <f t="shared" si="297"/>
        <v>7898</v>
      </c>
      <c r="Z362" s="167">
        <f t="shared" si="298"/>
        <v>3284</v>
      </c>
      <c r="AA362" s="168">
        <f t="shared" si="299"/>
        <v>7381</v>
      </c>
      <c r="AB362" s="166">
        <f t="shared" si="300"/>
        <v>9275</v>
      </c>
      <c r="AC362" s="167">
        <f t="shared" si="301"/>
        <v>3893</v>
      </c>
      <c r="AD362" s="168">
        <f t="shared" si="302"/>
        <v>7787</v>
      </c>
      <c r="AE362" s="166">
        <f t="shared" si="303"/>
        <v>10193</v>
      </c>
      <c r="AF362" s="167">
        <f t="shared" si="304"/>
        <v>4705</v>
      </c>
      <c r="AG362" s="168">
        <f t="shared" si="305"/>
        <v>8599</v>
      </c>
      <c r="AH362" s="166">
        <f t="shared" si="306"/>
        <v>11111</v>
      </c>
      <c r="AI362" s="167">
        <f t="shared" si="307"/>
        <v>5111</v>
      </c>
      <c r="AJ362" s="168">
        <f t="shared" si="308"/>
        <v>10223</v>
      </c>
      <c r="AK362" s="169">
        <f t="shared" si="309"/>
        <v>12498</v>
      </c>
      <c r="AL362" s="167">
        <f t="shared" si="310"/>
        <v>5521</v>
      </c>
      <c r="AM362" s="585">
        <f t="shared" si="311"/>
        <v>11045</v>
      </c>
      <c r="AN362" s="596">
        <v>0.06</v>
      </c>
      <c r="AO362" s="597">
        <v>6.3E-2</v>
      </c>
      <c r="AP362" s="597">
        <v>6.6000000000000003E-2</v>
      </c>
      <c r="AQ362" s="598">
        <v>6.9000000000000006E-2</v>
      </c>
      <c r="AR362" s="599">
        <v>7.1999999999999995E-2</v>
      </c>
      <c r="AS362" s="603"/>
      <c r="AT362" s="588"/>
      <c r="AU362" s="588"/>
      <c r="AV362" s="588"/>
      <c r="AW362" s="589"/>
      <c r="AX362" s="596">
        <v>0.04</v>
      </c>
      <c r="AY362" s="598">
        <v>4.2999999999999997E-2</v>
      </c>
      <c r="AZ362" s="598">
        <v>4.5999999999999999E-2</v>
      </c>
      <c r="BA362" s="598">
        <v>4.9000000000000002E-2</v>
      </c>
      <c r="BB362" s="598">
        <v>5.1999999999999998E-2</v>
      </c>
      <c r="BC362" s="598"/>
      <c r="BD362" s="599"/>
      <c r="BE362" s="596"/>
      <c r="BF362" s="598"/>
      <c r="BG362" s="598"/>
      <c r="BH362" s="598"/>
      <c r="BI362" s="598"/>
      <c r="BJ362" s="598"/>
      <c r="BK362" s="605"/>
      <c r="BL362" s="658">
        <f t="shared" si="287"/>
        <v>28500</v>
      </c>
      <c r="BM362" s="3">
        <f t="shared" si="288"/>
        <v>43</v>
      </c>
      <c r="BN362" s="3">
        <f t="shared" si="289"/>
        <v>19</v>
      </c>
      <c r="BO362" s="3">
        <f t="shared" si="290"/>
        <v>38</v>
      </c>
    </row>
    <row r="363" spans="2:67">
      <c r="B363" s="606" t="s">
        <v>1744</v>
      </c>
      <c r="C363" s="607" t="s">
        <v>310</v>
      </c>
      <c r="D363" s="607" t="s">
        <v>1741</v>
      </c>
      <c r="E363" s="238" t="s">
        <v>1150</v>
      </c>
      <c r="F363" s="592">
        <v>360</v>
      </c>
      <c r="G363" s="609">
        <v>5250</v>
      </c>
      <c r="H363" s="610">
        <v>7174</v>
      </c>
      <c r="I363" s="611">
        <v>5074</v>
      </c>
      <c r="J363" s="166">
        <f t="shared" si="278"/>
        <v>105</v>
      </c>
      <c r="K363" s="167">
        <f t="shared" si="279"/>
        <v>143</v>
      </c>
      <c r="L363" s="168">
        <f t="shared" si="280"/>
        <v>101</v>
      </c>
      <c r="M363" s="166">
        <f t="shared" si="281"/>
        <v>157</v>
      </c>
      <c r="N363" s="167">
        <f t="shared" si="282"/>
        <v>215</v>
      </c>
      <c r="O363" s="168">
        <f t="shared" si="283"/>
        <v>152</v>
      </c>
      <c r="P363" s="169">
        <f t="shared" si="284"/>
        <v>210</v>
      </c>
      <c r="Q363" s="169">
        <f t="shared" si="285"/>
        <v>287</v>
      </c>
      <c r="R363" s="169">
        <f t="shared" si="286"/>
        <v>203</v>
      </c>
      <c r="S363" s="584">
        <f t="shared" si="291"/>
        <v>1575</v>
      </c>
      <c r="T363" s="594">
        <f t="shared" si="292"/>
        <v>2152</v>
      </c>
      <c r="U363" s="595">
        <f t="shared" si="293"/>
        <v>1522</v>
      </c>
      <c r="V363" s="166">
        <f t="shared" si="294"/>
        <v>3250</v>
      </c>
      <c r="W363" s="167">
        <f t="shared" si="295"/>
        <v>4445</v>
      </c>
      <c r="X363" s="168">
        <f t="shared" si="296"/>
        <v>3143</v>
      </c>
      <c r="Y363" s="166">
        <f t="shared" si="297"/>
        <v>3670</v>
      </c>
      <c r="Z363" s="167">
        <f t="shared" si="298"/>
        <v>5019</v>
      </c>
      <c r="AA363" s="168">
        <f t="shared" si="299"/>
        <v>3549</v>
      </c>
      <c r="AB363" s="166">
        <f t="shared" si="300"/>
        <v>4090</v>
      </c>
      <c r="AC363" s="167">
        <f t="shared" si="301"/>
        <v>5593</v>
      </c>
      <c r="AD363" s="168">
        <f t="shared" si="302"/>
        <v>3955</v>
      </c>
      <c r="AE363" s="166">
        <f t="shared" si="303"/>
        <v>4510</v>
      </c>
      <c r="AF363" s="167">
        <f t="shared" si="304"/>
        <v>5880</v>
      </c>
      <c r="AG363" s="168">
        <f t="shared" si="305"/>
        <v>4361</v>
      </c>
      <c r="AH363" s="166">
        <f t="shared" si="306"/>
        <v>5140</v>
      </c>
      <c r="AI363" s="167">
        <f t="shared" si="307"/>
        <v>6454</v>
      </c>
      <c r="AJ363" s="168">
        <f t="shared" si="308"/>
        <v>4564</v>
      </c>
      <c r="AK363" s="169">
        <f t="shared" si="309"/>
        <v>5355</v>
      </c>
      <c r="AL363" s="167">
        <f t="shared" si="310"/>
        <v>7317</v>
      </c>
      <c r="AM363" s="585">
        <f t="shared" si="311"/>
        <v>5175</v>
      </c>
      <c r="AN363" s="614">
        <v>0.1</v>
      </c>
      <c r="AO363" s="615">
        <v>0.13</v>
      </c>
      <c r="AP363" s="615">
        <v>0.16</v>
      </c>
      <c r="AQ363" s="616">
        <v>0.19</v>
      </c>
      <c r="AR363" s="612">
        <v>0.22</v>
      </c>
      <c r="AS363" s="603"/>
      <c r="AT363" s="588"/>
      <c r="AU363" s="588"/>
      <c r="AV363" s="588"/>
      <c r="AW363" s="589"/>
      <c r="AX363" s="596">
        <v>0.03</v>
      </c>
      <c r="AY363" s="598">
        <v>3.5000000000000003E-2</v>
      </c>
      <c r="AZ363" s="598">
        <v>0.04</v>
      </c>
      <c r="BA363" s="598">
        <v>4.4999999999999998E-2</v>
      </c>
      <c r="BB363" s="598">
        <v>0.05</v>
      </c>
      <c r="BC363" s="598"/>
      <c r="BD363" s="599"/>
      <c r="BE363" s="596"/>
      <c r="BF363" s="598"/>
      <c r="BG363" s="598"/>
      <c r="BH363" s="598"/>
      <c r="BI363" s="598"/>
      <c r="BJ363" s="598"/>
      <c r="BK363" s="605"/>
      <c r="BL363" s="658">
        <f t="shared" si="287"/>
        <v>17500</v>
      </c>
      <c r="BM363" s="3">
        <f t="shared" si="288"/>
        <v>30</v>
      </c>
      <c r="BN363" s="3">
        <f t="shared" si="289"/>
        <v>41</v>
      </c>
      <c r="BO363" s="3">
        <f t="shared" si="290"/>
        <v>29</v>
      </c>
    </row>
    <row r="364" spans="2:67">
      <c r="B364" s="1271" t="s">
        <v>1736</v>
      </c>
      <c r="C364" s="1069" t="s">
        <v>309</v>
      </c>
      <c r="D364" s="1069" t="s">
        <v>1737</v>
      </c>
      <c r="E364" s="1268" t="s">
        <v>1150</v>
      </c>
      <c r="F364" s="1070">
        <v>361</v>
      </c>
      <c r="G364" s="1071">
        <v>10260</v>
      </c>
      <c r="H364" s="1072">
        <v>9973</v>
      </c>
      <c r="I364" s="1073">
        <v>8264</v>
      </c>
      <c r="J364" s="166">
        <f t="shared" si="278"/>
        <v>205</v>
      </c>
      <c r="K364" s="167">
        <f t="shared" si="279"/>
        <v>199</v>
      </c>
      <c r="L364" s="168">
        <f t="shared" si="280"/>
        <v>165</v>
      </c>
      <c r="M364" s="166">
        <f t="shared" si="281"/>
        <v>256</v>
      </c>
      <c r="N364" s="167">
        <f t="shared" si="282"/>
        <v>249</v>
      </c>
      <c r="O364" s="168">
        <f t="shared" si="283"/>
        <v>206</v>
      </c>
      <c r="P364" s="169">
        <f t="shared" si="284"/>
        <v>384</v>
      </c>
      <c r="Q364" s="169">
        <f t="shared" si="285"/>
        <v>374</v>
      </c>
      <c r="R364" s="169">
        <f t="shared" si="286"/>
        <v>309</v>
      </c>
      <c r="S364" s="584">
        <f t="shared" si="291"/>
        <v>2565</v>
      </c>
      <c r="T364" s="594">
        <f t="shared" si="292"/>
        <v>2493</v>
      </c>
      <c r="U364" s="595">
        <f t="shared" si="293"/>
        <v>2066</v>
      </c>
      <c r="V364" s="166">
        <f t="shared" si="294"/>
        <v>5842</v>
      </c>
      <c r="W364" s="167">
        <f t="shared" si="295"/>
        <v>5680</v>
      </c>
      <c r="X364" s="168">
        <f t="shared" si="296"/>
        <v>4703</v>
      </c>
      <c r="Y364" s="166">
        <f t="shared" si="297"/>
        <v>6226</v>
      </c>
      <c r="Z364" s="167">
        <f t="shared" si="298"/>
        <v>6802</v>
      </c>
      <c r="AA364" s="168">
        <f t="shared" si="299"/>
        <v>5321</v>
      </c>
      <c r="AB364" s="166">
        <f t="shared" si="300"/>
        <v>7378</v>
      </c>
      <c r="AC364" s="167">
        <f t="shared" si="301"/>
        <v>7176</v>
      </c>
      <c r="AD364" s="168">
        <f t="shared" si="302"/>
        <v>6248</v>
      </c>
      <c r="AE364" s="166">
        <f t="shared" si="303"/>
        <v>8914</v>
      </c>
      <c r="AF364" s="167">
        <f t="shared" si="304"/>
        <v>7924</v>
      </c>
      <c r="AG364" s="168">
        <f t="shared" si="305"/>
        <v>6866</v>
      </c>
      <c r="AH364" s="166">
        <f t="shared" si="306"/>
        <v>9682</v>
      </c>
      <c r="AI364" s="167">
        <f t="shared" si="307"/>
        <v>9420</v>
      </c>
      <c r="AJ364" s="168">
        <f t="shared" si="308"/>
        <v>7484</v>
      </c>
      <c r="AK364" s="169">
        <f t="shared" si="309"/>
        <v>10465</v>
      </c>
      <c r="AL364" s="167">
        <f t="shared" si="310"/>
        <v>10172</v>
      </c>
      <c r="AM364" s="585">
        <f t="shared" si="311"/>
        <v>8429</v>
      </c>
      <c r="AN364" s="596">
        <v>7.0000000000000007E-2</v>
      </c>
      <c r="AO364" s="597">
        <v>7.4999999999999997E-2</v>
      </c>
      <c r="AP364" s="597">
        <v>0.08</v>
      </c>
      <c r="AQ364" s="598">
        <v>8.5000000000000006E-2</v>
      </c>
      <c r="AR364" s="599">
        <v>0.09</v>
      </c>
      <c r="AS364" s="603"/>
      <c r="AT364" s="588"/>
      <c r="AU364" s="588"/>
      <c r="AV364" s="588"/>
      <c r="AW364" s="589"/>
      <c r="AX364" s="1133">
        <v>7.0000000000000007E-2</v>
      </c>
      <c r="AY364" s="1135">
        <v>7.4999999999999997E-2</v>
      </c>
      <c r="AZ364" s="1135">
        <v>0.08</v>
      </c>
      <c r="BA364" s="1135">
        <v>8.5000000000000006E-2</v>
      </c>
      <c r="BB364" s="1135">
        <v>0.09</v>
      </c>
      <c r="BC364" s="1135"/>
      <c r="BD364" s="1132"/>
      <c r="BE364" s="596"/>
      <c r="BF364" s="598"/>
      <c r="BG364" s="598"/>
      <c r="BH364" s="598"/>
      <c r="BI364" s="598"/>
      <c r="BJ364" s="598"/>
      <c r="BK364" s="605"/>
      <c r="BL364" s="658">
        <f t="shared" si="287"/>
        <v>28500</v>
      </c>
      <c r="BM364" s="3">
        <f t="shared" si="288"/>
        <v>36</v>
      </c>
      <c r="BN364" s="3">
        <f t="shared" si="289"/>
        <v>35</v>
      </c>
      <c r="BO364" s="3">
        <f t="shared" si="290"/>
        <v>29</v>
      </c>
    </row>
    <row r="365" spans="2:67">
      <c r="B365" s="1271" t="s">
        <v>1740</v>
      </c>
      <c r="C365" s="1069" t="s">
        <v>309</v>
      </c>
      <c r="D365" s="1069" t="s">
        <v>1741</v>
      </c>
      <c r="E365" s="1267" t="s">
        <v>125</v>
      </c>
      <c r="F365" s="592">
        <v>362</v>
      </c>
      <c r="G365" s="1071">
        <v>6580</v>
      </c>
      <c r="H365" s="1072">
        <v>9633</v>
      </c>
      <c r="I365" s="1073">
        <v>7284</v>
      </c>
      <c r="J365" s="166">
        <f t="shared" si="278"/>
        <v>131</v>
      </c>
      <c r="K365" s="167">
        <f t="shared" si="279"/>
        <v>192</v>
      </c>
      <c r="L365" s="168">
        <f t="shared" si="280"/>
        <v>145</v>
      </c>
      <c r="M365" s="166">
        <f t="shared" si="281"/>
        <v>164</v>
      </c>
      <c r="N365" s="167">
        <f t="shared" si="282"/>
        <v>240</v>
      </c>
      <c r="O365" s="168">
        <f t="shared" si="283"/>
        <v>182</v>
      </c>
      <c r="P365" s="169">
        <f t="shared" si="284"/>
        <v>246</v>
      </c>
      <c r="Q365" s="169">
        <f t="shared" si="285"/>
        <v>361</v>
      </c>
      <c r="R365" s="169">
        <f t="shared" si="286"/>
        <v>273</v>
      </c>
      <c r="S365" s="584">
        <f t="shared" si="291"/>
        <v>1645</v>
      </c>
      <c r="T365" s="594">
        <f t="shared" si="292"/>
        <v>2408</v>
      </c>
      <c r="U365" s="595">
        <f t="shared" si="293"/>
        <v>1821</v>
      </c>
      <c r="V365" s="166">
        <f t="shared" si="294"/>
        <v>3744</v>
      </c>
      <c r="W365" s="167">
        <f t="shared" si="295"/>
        <v>5480</v>
      </c>
      <c r="X365" s="168">
        <f t="shared" si="296"/>
        <v>4150</v>
      </c>
      <c r="Y365" s="166">
        <f t="shared" si="297"/>
        <v>4482</v>
      </c>
      <c r="Z365" s="167">
        <f t="shared" si="298"/>
        <v>6202</v>
      </c>
      <c r="AA365" s="168">
        <f t="shared" si="299"/>
        <v>4423</v>
      </c>
      <c r="AB365" s="166">
        <f t="shared" si="300"/>
        <v>4728</v>
      </c>
      <c r="AC365" s="167">
        <f t="shared" si="301"/>
        <v>7285</v>
      </c>
      <c r="AD365" s="168">
        <f t="shared" si="302"/>
        <v>5242</v>
      </c>
      <c r="AE365" s="166">
        <f t="shared" si="303"/>
        <v>5220</v>
      </c>
      <c r="AF365" s="167">
        <f t="shared" si="304"/>
        <v>8007</v>
      </c>
      <c r="AG365" s="168">
        <f t="shared" si="305"/>
        <v>6334</v>
      </c>
      <c r="AH365" s="166">
        <f t="shared" si="306"/>
        <v>6204</v>
      </c>
      <c r="AI365" s="167">
        <f t="shared" si="307"/>
        <v>8729</v>
      </c>
      <c r="AJ365" s="168">
        <f t="shared" si="308"/>
        <v>6880</v>
      </c>
      <c r="AK365" s="169">
        <f t="shared" si="309"/>
        <v>6711</v>
      </c>
      <c r="AL365" s="167">
        <f t="shared" si="310"/>
        <v>9825</v>
      </c>
      <c r="AM365" s="585">
        <f t="shared" si="311"/>
        <v>7429</v>
      </c>
      <c r="AN365" s="1133">
        <v>0.14000000000000001</v>
      </c>
      <c r="AO365" s="1134">
        <v>0.17</v>
      </c>
      <c r="AP365" s="1134">
        <v>0.2</v>
      </c>
      <c r="AQ365" s="1135">
        <v>0.23</v>
      </c>
      <c r="AR365" s="1132">
        <v>0.26</v>
      </c>
      <c r="AS365" s="603"/>
      <c r="AT365" s="588"/>
      <c r="AU365" s="588"/>
      <c r="AV365" s="588"/>
      <c r="AW365" s="589"/>
      <c r="AX365" s="1133">
        <v>7.0000000000000007E-2</v>
      </c>
      <c r="AY365" s="1135">
        <v>7.4999999999999997E-2</v>
      </c>
      <c r="AZ365" s="1135">
        <v>0.08</v>
      </c>
      <c r="BA365" s="1135">
        <v>8.5000000000000006E-2</v>
      </c>
      <c r="BB365" s="1135">
        <v>0.09</v>
      </c>
      <c r="BC365" s="1135"/>
      <c r="BD365" s="1132"/>
      <c r="BE365" s="596"/>
      <c r="BF365" s="598"/>
      <c r="BG365" s="598"/>
      <c r="BH365" s="598"/>
      <c r="BI365" s="598"/>
      <c r="BJ365" s="598"/>
      <c r="BK365" s="605"/>
      <c r="BL365" s="658">
        <f t="shared" si="287"/>
        <v>23500</v>
      </c>
      <c r="BM365" s="3">
        <f t="shared" si="288"/>
        <v>28</v>
      </c>
      <c r="BN365" s="3">
        <f t="shared" si="289"/>
        <v>41</v>
      </c>
      <c r="BO365" s="3">
        <f t="shared" si="290"/>
        <v>31</v>
      </c>
    </row>
    <row r="366" spans="2:67">
      <c r="B366" s="606" t="s">
        <v>1747</v>
      </c>
      <c r="C366" s="607" t="s">
        <v>310</v>
      </c>
      <c r="D366" s="607" t="s">
        <v>1733</v>
      </c>
      <c r="E366" s="238" t="s">
        <v>125</v>
      </c>
      <c r="F366" s="608">
        <v>363</v>
      </c>
      <c r="G366" s="609">
        <v>6524</v>
      </c>
      <c r="H366" s="610">
        <v>4204</v>
      </c>
      <c r="I366" s="611">
        <v>3770</v>
      </c>
      <c r="J366" s="166">
        <f t="shared" si="278"/>
        <v>130</v>
      </c>
      <c r="K366" s="167">
        <f t="shared" si="279"/>
        <v>84</v>
      </c>
      <c r="L366" s="168">
        <f t="shared" si="280"/>
        <v>75</v>
      </c>
      <c r="M366" s="166">
        <f t="shared" si="281"/>
        <v>195</v>
      </c>
      <c r="N366" s="167">
        <f t="shared" si="282"/>
        <v>126</v>
      </c>
      <c r="O366" s="168">
        <f t="shared" si="283"/>
        <v>113</v>
      </c>
      <c r="P366" s="169">
        <f t="shared" si="284"/>
        <v>261</v>
      </c>
      <c r="Q366" s="169">
        <f t="shared" si="285"/>
        <v>168</v>
      </c>
      <c r="R366" s="169">
        <f t="shared" si="286"/>
        <v>150</v>
      </c>
      <c r="S366" s="584">
        <f t="shared" si="291"/>
        <v>1957</v>
      </c>
      <c r="T366" s="594">
        <f t="shared" si="292"/>
        <v>1261</v>
      </c>
      <c r="U366" s="595">
        <f t="shared" si="293"/>
        <v>1131</v>
      </c>
      <c r="V366" s="166">
        <f t="shared" si="294"/>
        <v>4037</v>
      </c>
      <c r="W366" s="167">
        <f t="shared" si="295"/>
        <v>2605</v>
      </c>
      <c r="X366" s="168">
        <f t="shared" si="296"/>
        <v>2336</v>
      </c>
      <c r="Y366" s="166">
        <f t="shared" si="297"/>
        <v>4559</v>
      </c>
      <c r="Z366" s="167">
        <f t="shared" si="298"/>
        <v>2941</v>
      </c>
      <c r="AA366" s="168">
        <f t="shared" si="299"/>
        <v>2636</v>
      </c>
      <c r="AB366" s="166">
        <f t="shared" si="300"/>
        <v>5081</v>
      </c>
      <c r="AC366" s="167">
        <f t="shared" si="301"/>
        <v>3277</v>
      </c>
      <c r="AD366" s="168">
        <f t="shared" si="302"/>
        <v>2936</v>
      </c>
      <c r="AE366" s="166">
        <f t="shared" si="303"/>
        <v>5342</v>
      </c>
      <c r="AF366" s="167">
        <f t="shared" si="304"/>
        <v>3613</v>
      </c>
      <c r="AG366" s="168">
        <f t="shared" si="305"/>
        <v>3236</v>
      </c>
      <c r="AH366" s="166">
        <f t="shared" si="306"/>
        <v>5864</v>
      </c>
      <c r="AI366" s="167">
        <f t="shared" si="307"/>
        <v>3781</v>
      </c>
      <c r="AJ366" s="168">
        <f t="shared" si="308"/>
        <v>3686</v>
      </c>
      <c r="AK366" s="169">
        <f t="shared" si="309"/>
        <v>6654</v>
      </c>
      <c r="AL366" s="167">
        <f t="shared" si="310"/>
        <v>4288</v>
      </c>
      <c r="AM366" s="585">
        <f t="shared" si="311"/>
        <v>3845</v>
      </c>
      <c r="AN366" s="596">
        <v>0.03</v>
      </c>
      <c r="AO366" s="597">
        <v>3.3000000000000002E-2</v>
      </c>
      <c r="AP366" s="597">
        <v>3.5999999999999997E-2</v>
      </c>
      <c r="AQ366" s="598">
        <v>3.9E-2</v>
      </c>
      <c r="AR366" s="599">
        <v>4.2000000000000003E-2</v>
      </c>
      <c r="AS366" s="603"/>
      <c r="AT366" s="588"/>
      <c r="AU366" s="588"/>
      <c r="AV366" s="588"/>
      <c r="AW366" s="589"/>
      <c r="AX366" s="596">
        <v>0.02</v>
      </c>
      <c r="AY366" s="598">
        <v>2.3E-2</v>
      </c>
      <c r="AZ366" s="598">
        <v>2.5999999999999999E-2</v>
      </c>
      <c r="BA366" s="598">
        <v>2.9000000000000001E-2</v>
      </c>
      <c r="BB366" s="598">
        <v>3.2000000000000001E-2</v>
      </c>
      <c r="BC366" s="598"/>
      <c r="BD366" s="599"/>
      <c r="BE366" s="596"/>
      <c r="BF366" s="598"/>
      <c r="BG366" s="598"/>
      <c r="BH366" s="598"/>
      <c r="BI366" s="598"/>
      <c r="BJ366" s="598"/>
      <c r="BK366" s="605"/>
      <c r="BL366" s="658">
        <f t="shared" si="287"/>
        <v>14500</v>
      </c>
      <c r="BM366" s="3">
        <f t="shared" si="288"/>
        <v>45</v>
      </c>
      <c r="BN366" s="3">
        <f t="shared" si="289"/>
        <v>29</v>
      </c>
      <c r="BO366" s="3">
        <f t="shared" si="290"/>
        <v>26</v>
      </c>
    </row>
    <row r="367" spans="2:67">
      <c r="B367" s="606" t="s">
        <v>1749</v>
      </c>
      <c r="C367" s="607" t="s">
        <v>310</v>
      </c>
      <c r="D367" s="607" t="s">
        <v>1750</v>
      </c>
      <c r="E367" s="613" t="s">
        <v>125</v>
      </c>
      <c r="F367" s="592">
        <v>364</v>
      </c>
      <c r="G367" s="609">
        <v>4640</v>
      </c>
      <c r="H367" s="610">
        <v>4060</v>
      </c>
      <c r="I367" s="611">
        <v>5800</v>
      </c>
      <c r="J367" s="166">
        <f t="shared" si="278"/>
        <v>92</v>
      </c>
      <c r="K367" s="167">
        <f t="shared" si="279"/>
        <v>81</v>
      </c>
      <c r="L367" s="168">
        <f t="shared" si="280"/>
        <v>116</v>
      </c>
      <c r="M367" s="166">
        <f t="shared" si="281"/>
        <v>139</v>
      </c>
      <c r="N367" s="167">
        <f t="shared" si="282"/>
        <v>121</v>
      </c>
      <c r="O367" s="168">
        <f t="shared" si="283"/>
        <v>174</v>
      </c>
      <c r="P367" s="169">
        <f t="shared" si="284"/>
        <v>185</v>
      </c>
      <c r="Q367" s="169">
        <f t="shared" si="285"/>
        <v>162</v>
      </c>
      <c r="R367" s="169">
        <f t="shared" si="286"/>
        <v>232</v>
      </c>
      <c r="S367" s="584">
        <f t="shared" si="291"/>
        <v>1392</v>
      </c>
      <c r="T367" s="594">
        <f t="shared" si="292"/>
        <v>1218</v>
      </c>
      <c r="U367" s="595">
        <f t="shared" si="293"/>
        <v>1740</v>
      </c>
      <c r="V367" s="166">
        <f t="shared" si="294"/>
        <v>2874</v>
      </c>
      <c r="W367" s="167">
        <f t="shared" si="295"/>
        <v>2509</v>
      </c>
      <c r="X367" s="168">
        <f t="shared" si="296"/>
        <v>3596</v>
      </c>
      <c r="Y367" s="166">
        <f t="shared" si="297"/>
        <v>3244</v>
      </c>
      <c r="Z367" s="167">
        <f t="shared" si="298"/>
        <v>2833</v>
      </c>
      <c r="AA367" s="168">
        <f t="shared" si="299"/>
        <v>4060</v>
      </c>
      <c r="AB367" s="166">
        <f t="shared" si="300"/>
        <v>3614</v>
      </c>
      <c r="AC367" s="167">
        <f t="shared" si="301"/>
        <v>3157</v>
      </c>
      <c r="AD367" s="168">
        <f t="shared" si="302"/>
        <v>4524</v>
      </c>
      <c r="AE367" s="166">
        <f t="shared" si="303"/>
        <v>3984</v>
      </c>
      <c r="AF367" s="167">
        <f t="shared" si="304"/>
        <v>3319</v>
      </c>
      <c r="AG367" s="168">
        <f t="shared" si="305"/>
        <v>4988</v>
      </c>
      <c r="AH367" s="166">
        <f t="shared" si="306"/>
        <v>4169</v>
      </c>
      <c r="AI367" s="167">
        <f t="shared" si="307"/>
        <v>3643</v>
      </c>
      <c r="AJ367" s="168">
        <f t="shared" si="308"/>
        <v>5684</v>
      </c>
      <c r="AK367" s="169">
        <f t="shared" si="309"/>
        <v>4732</v>
      </c>
      <c r="AL367" s="167">
        <f t="shared" si="310"/>
        <v>4141</v>
      </c>
      <c r="AM367" s="585">
        <f t="shared" si="311"/>
        <v>5916</v>
      </c>
      <c r="AN367" s="614">
        <v>0.1</v>
      </c>
      <c r="AO367" s="615">
        <v>0.105</v>
      </c>
      <c r="AP367" s="615">
        <v>0.11</v>
      </c>
      <c r="AQ367" s="616">
        <v>0.115</v>
      </c>
      <c r="AR367" s="612">
        <v>0.12</v>
      </c>
      <c r="AS367" s="603"/>
      <c r="AT367" s="588"/>
      <c r="AU367" s="588"/>
      <c r="AV367" s="588"/>
      <c r="AW367" s="589"/>
      <c r="AX367" s="614">
        <v>0.05</v>
      </c>
      <c r="AY367" s="616">
        <v>5.5E-2</v>
      </c>
      <c r="AZ367" s="616">
        <v>0.06</v>
      </c>
      <c r="BA367" s="616">
        <v>6.5000000000000002E-2</v>
      </c>
      <c r="BB367" s="616">
        <v>7.0000000000000007E-2</v>
      </c>
      <c r="BC367" s="616"/>
      <c r="BD367" s="612"/>
      <c r="BE367" s="596"/>
      <c r="BF367" s="598"/>
      <c r="BG367" s="598"/>
      <c r="BH367" s="598"/>
      <c r="BI367" s="598"/>
      <c r="BJ367" s="598"/>
      <c r="BK367" s="605"/>
      <c r="BL367" s="658">
        <f t="shared" si="287"/>
        <v>14500</v>
      </c>
      <c r="BM367" s="3">
        <f t="shared" si="288"/>
        <v>32</v>
      </c>
      <c r="BN367" s="3">
        <f t="shared" si="289"/>
        <v>28</v>
      </c>
      <c r="BO367" s="3">
        <f t="shared" si="290"/>
        <v>40</v>
      </c>
    </row>
    <row r="368" spans="2:67">
      <c r="B368" s="1271" t="s">
        <v>1758</v>
      </c>
      <c r="C368" s="1069" t="s">
        <v>1759</v>
      </c>
      <c r="D368" s="1069" t="s">
        <v>1760</v>
      </c>
      <c r="E368" s="1268" t="s">
        <v>1761</v>
      </c>
      <c r="F368" s="1070">
        <v>365</v>
      </c>
      <c r="G368" s="1071">
        <v>11113</v>
      </c>
      <c r="H368" s="1072">
        <v>5984</v>
      </c>
      <c r="I368" s="1073">
        <v>11400</v>
      </c>
      <c r="J368" s="166">
        <f t="shared" si="278"/>
        <v>222</v>
      </c>
      <c r="K368" s="167">
        <f t="shared" si="279"/>
        <v>119</v>
      </c>
      <c r="L368" s="168">
        <f t="shared" si="280"/>
        <v>228</v>
      </c>
      <c r="M368" s="166">
        <f t="shared" si="281"/>
        <v>277</v>
      </c>
      <c r="N368" s="167">
        <f t="shared" si="282"/>
        <v>149</v>
      </c>
      <c r="O368" s="168">
        <f t="shared" si="283"/>
        <v>285</v>
      </c>
      <c r="P368" s="169">
        <f t="shared" si="284"/>
        <v>416</v>
      </c>
      <c r="Q368" s="169">
        <f t="shared" si="285"/>
        <v>224</v>
      </c>
      <c r="R368" s="169">
        <f t="shared" si="286"/>
        <v>427</v>
      </c>
      <c r="S368" s="584">
        <f t="shared" si="291"/>
        <v>2778</v>
      </c>
      <c r="T368" s="594">
        <f t="shared" si="292"/>
        <v>1496</v>
      </c>
      <c r="U368" s="595">
        <f t="shared" si="293"/>
        <v>2850</v>
      </c>
      <c r="V368" s="166">
        <f t="shared" si="294"/>
        <v>6324</v>
      </c>
      <c r="W368" s="167">
        <f t="shared" si="295"/>
        <v>3403</v>
      </c>
      <c r="X368" s="168">
        <f t="shared" si="296"/>
        <v>6498</v>
      </c>
      <c r="Y368" s="166">
        <f t="shared" si="297"/>
        <v>6740</v>
      </c>
      <c r="Z368" s="167">
        <f t="shared" si="298"/>
        <v>4075</v>
      </c>
      <c r="AA368" s="168">
        <f t="shared" si="299"/>
        <v>7352</v>
      </c>
      <c r="AB368" s="166">
        <f t="shared" si="300"/>
        <v>7988</v>
      </c>
      <c r="AC368" s="167">
        <f t="shared" si="301"/>
        <v>4299</v>
      </c>
      <c r="AD368" s="168">
        <f t="shared" si="302"/>
        <v>8633</v>
      </c>
      <c r="AE368" s="166">
        <f t="shared" si="303"/>
        <v>9652</v>
      </c>
      <c r="AF368" s="167">
        <f t="shared" si="304"/>
        <v>4747</v>
      </c>
      <c r="AG368" s="168">
        <f t="shared" si="305"/>
        <v>9487</v>
      </c>
      <c r="AH368" s="166">
        <f t="shared" si="306"/>
        <v>10484</v>
      </c>
      <c r="AI368" s="167">
        <f t="shared" si="307"/>
        <v>5643</v>
      </c>
      <c r="AJ368" s="168">
        <f t="shared" si="308"/>
        <v>10341</v>
      </c>
      <c r="AK368" s="169">
        <f t="shared" si="309"/>
        <v>11335</v>
      </c>
      <c r="AL368" s="167">
        <f t="shared" si="310"/>
        <v>6103</v>
      </c>
      <c r="AM368" s="585">
        <f t="shared" si="311"/>
        <v>11628</v>
      </c>
      <c r="AN368" s="1133">
        <v>0.3</v>
      </c>
      <c r="AO368" s="1134">
        <v>0.30499999999999999</v>
      </c>
      <c r="AP368" s="1134">
        <v>0.31</v>
      </c>
      <c r="AQ368" s="1135">
        <v>0.315</v>
      </c>
      <c r="AR368" s="1132">
        <v>0.32</v>
      </c>
      <c r="AS368" s="603"/>
      <c r="AT368" s="588"/>
      <c r="AU368" s="588"/>
      <c r="AV368" s="588"/>
      <c r="AW368" s="589"/>
      <c r="AX368" s="596">
        <v>0.05</v>
      </c>
      <c r="AY368" s="598">
        <v>5.5E-2</v>
      </c>
      <c r="AZ368" s="598">
        <v>0.06</v>
      </c>
      <c r="BA368" s="598">
        <v>6.5000000000000002E-2</v>
      </c>
      <c r="BB368" s="598">
        <v>7.0000000000000007E-2</v>
      </c>
      <c r="BC368" s="598"/>
      <c r="BD368" s="599"/>
      <c r="BE368" s="596">
        <v>1.4999999999999999E-2</v>
      </c>
      <c r="BF368" s="598">
        <v>0.02</v>
      </c>
      <c r="BG368" s="598">
        <v>2.5000000000000001E-2</v>
      </c>
      <c r="BH368" s="598">
        <v>0.03</v>
      </c>
      <c r="BI368" s="598">
        <v>3.5000000000000003E-2</v>
      </c>
      <c r="BJ368" s="598"/>
      <c r="BK368" s="605"/>
      <c r="BL368" s="658">
        <f t="shared" si="287"/>
        <v>28500</v>
      </c>
      <c r="BM368" s="3">
        <f t="shared" si="288"/>
        <v>39</v>
      </c>
      <c r="BN368" s="3">
        <f t="shared" si="289"/>
        <v>21</v>
      </c>
      <c r="BO368" s="3">
        <f t="shared" si="290"/>
        <v>40</v>
      </c>
    </row>
    <row r="369" spans="2:67">
      <c r="B369" s="606" t="s">
        <v>1764</v>
      </c>
      <c r="C369" s="607" t="s">
        <v>1765</v>
      </c>
      <c r="D369" s="607" t="s">
        <v>1766</v>
      </c>
      <c r="E369" s="613" t="s">
        <v>1761</v>
      </c>
      <c r="F369" s="592">
        <v>366</v>
      </c>
      <c r="G369" s="609">
        <v>5600</v>
      </c>
      <c r="H369" s="610">
        <v>5950</v>
      </c>
      <c r="I369" s="611">
        <v>5950</v>
      </c>
      <c r="J369" s="166">
        <f t="shared" si="278"/>
        <v>112</v>
      </c>
      <c r="K369" s="167">
        <f t="shared" si="279"/>
        <v>119</v>
      </c>
      <c r="L369" s="168">
        <f t="shared" si="280"/>
        <v>119</v>
      </c>
      <c r="M369" s="166">
        <f t="shared" si="281"/>
        <v>168</v>
      </c>
      <c r="N369" s="167">
        <f t="shared" si="282"/>
        <v>178</v>
      </c>
      <c r="O369" s="168">
        <f t="shared" si="283"/>
        <v>178</v>
      </c>
      <c r="P369" s="169">
        <f t="shared" si="284"/>
        <v>224</v>
      </c>
      <c r="Q369" s="169">
        <f t="shared" si="285"/>
        <v>238</v>
      </c>
      <c r="R369" s="169">
        <f t="shared" si="286"/>
        <v>238</v>
      </c>
      <c r="S369" s="584">
        <f t="shared" si="291"/>
        <v>1680</v>
      </c>
      <c r="T369" s="594">
        <f t="shared" si="292"/>
        <v>1785</v>
      </c>
      <c r="U369" s="595">
        <f t="shared" si="293"/>
        <v>1785</v>
      </c>
      <c r="V369" s="166">
        <f t="shared" si="294"/>
        <v>3472</v>
      </c>
      <c r="W369" s="167">
        <f t="shared" si="295"/>
        <v>3684</v>
      </c>
      <c r="X369" s="168">
        <f t="shared" si="296"/>
        <v>3684</v>
      </c>
      <c r="Y369" s="166">
        <f t="shared" si="297"/>
        <v>3920</v>
      </c>
      <c r="Z369" s="167">
        <f t="shared" si="298"/>
        <v>4160</v>
      </c>
      <c r="AA369" s="168">
        <f t="shared" si="299"/>
        <v>4160</v>
      </c>
      <c r="AB369" s="166">
        <f t="shared" si="300"/>
        <v>4368</v>
      </c>
      <c r="AC369" s="167">
        <f t="shared" si="301"/>
        <v>4636</v>
      </c>
      <c r="AD369" s="168">
        <f t="shared" si="302"/>
        <v>4636</v>
      </c>
      <c r="AE369" s="166">
        <f t="shared" si="303"/>
        <v>4816</v>
      </c>
      <c r="AF369" s="167">
        <f t="shared" si="304"/>
        <v>4874</v>
      </c>
      <c r="AG369" s="168">
        <f t="shared" si="305"/>
        <v>5112</v>
      </c>
      <c r="AH369" s="166">
        <f t="shared" si="306"/>
        <v>5488</v>
      </c>
      <c r="AI369" s="167">
        <f t="shared" si="307"/>
        <v>5350</v>
      </c>
      <c r="AJ369" s="168">
        <f t="shared" si="308"/>
        <v>5350</v>
      </c>
      <c r="AK369" s="169">
        <f t="shared" si="309"/>
        <v>5712</v>
      </c>
      <c r="AL369" s="167">
        <f t="shared" si="310"/>
        <v>6069</v>
      </c>
      <c r="AM369" s="585">
        <f t="shared" si="311"/>
        <v>6069</v>
      </c>
      <c r="AN369" s="596">
        <v>0.15</v>
      </c>
      <c r="AO369" s="597">
        <v>0.18</v>
      </c>
      <c r="AP369" s="597">
        <v>0.21</v>
      </c>
      <c r="AQ369" s="598">
        <v>0.24</v>
      </c>
      <c r="AR369" s="599">
        <v>0.27</v>
      </c>
      <c r="AS369" s="603"/>
      <c r="AT369" s="588"/>
      <c r="AU369" s="588"/>
      <c r="AV369" s="588"/>
      <c r="AW369" s="589"/>
      <c r="AX369" s="596">
        <v>0.02</v>
      </c>
      <c r="AY369" s="598">
        <v>2.3E-2</v>
      </c>
      <c r="AZ369" s="598">
        <v>2.5999999999999999E-2</v>
      </c>
      <c r="BA369" s="598">
        <v>2.9000000000000001E-2</v>
      </c>
      <c r="BB369" s="598">
        <v>3.2000000000000001E-2</v>
      </c>
      <c r="BC369" s="598"/>
      <c r="BD369" s="599"/>
      <c r="BE369" s="596"/>
      <c r="BF369" s="598"/>
      <c r="BG369" s="598"/>
      <c r="BH369" s="598"/>
      <c r="BI369" s="598"/>
      <c r="BJ369" s="598"/>
      <c r="BK369" s="605"/>
      <c r="BL369" s="658">
        <f t="shared" si="287"/>
        <v>17500</v>
      </c>
      <c r="BM369" s="3">
        <f t="shared" si="288"/>
        <v>32</v>
      </c>
      <c r="BN369" s="3">
        <f t="shared" si="289"/>
        <v>34</v>
      </c>
      <c r="BO369" s="3">
        <f t="shared" si="290"/>
        <v>34</v>
      </c>
    </row>
    <row r="370" spans="2:67">
      <c r="B370" s="1271" t="s">
        <v>1773</v>
      </c>
      <c r="C370" s="1069" t="s">
        <v>309</v>
      </c>
      <c r="D370" s="1069" t="s">
        <v>1774</v>
      </c>
      <c r="E370" s="238" t="s">
        <v>1150</v>
      </c>
      <c r="F370" s="1070">
        <v>367</v>
      </c>
      <c r="G370" s="1071">
        <v>8120</v>
      </c>
      <c r="H370" s="1072">
        <v>12469</v>
      </c>
      <c r="I370" s="1073">
        <v>8409</v>
      </c>
      <c r="J370" s="166">
        <f t="shared" si="278"/>
        <v>162</v>
      </c>
      <c r="K370" s="167">
        <f t="shared" si="279"/>
        <v>249</v>
      </c>
      <c r="L370" s="168">
        <f t="shared" si="280"/>
        <v>168</v>
      </c>
      <c r="M370" s="166">
        <f t="shared" si="281"/>
        <v>203</v>
      </c>
      <c r="N370" s="167">
        <f t="shared" si="282"/>
        <v>311</v>
      </c>
      <c r="O370" s="168">
        <f t="shared" si="283"/>
        <v>210</v>
      </c>
      <c r="P370" s="169">
        <f t="shared" si="284"/>
        <v>304</v>
      </c>
      <c r="Q370" s="169">
        <f t="shared" si="285"/>
        <v>467</v>
      </c>
      <c r="R370" s="169">
        <f t="shared" si="286"/>
        <v>315</v>
      </c>
      <c r="S370" s="584">
        <f t="shared" si="291"/>
        <v>2030</v>
      </c>
      <c r="T370" s="594">
        <f t="shared" si="292"/>
        <v>3117</v>
      </c>
      <c r="U370" s="595">
        <f t="shared" si="293"/>
        <v>2102</v>
      </c>
      <c r="V370" s="166">
        <f t="shared" si="294"/>
        <v>4628</v>
      </c>
      <c r="W370" s="167">
        <f t="shared" si="295"/>
        <v>7098</v>
      </c>
      <c r="X370" s="168">
        <f t="shared" si="296"/>
        <v>4790</v>
      </c>
      <c r="Y370" s="166">
        <f t="shared" si="297"/>
        <v>5540</v>
      </c>
      <c r="Z370" s="167">
        <f t="shared" si="298"/>
        <v>8032</v>
      </c>
      <c r="AA370" s="168">
        <f t="shared" si="299"/>
        <v>5105</v>
      </c>
      <c r="AB370" s="166">
        <f t="shared" si="300"/>
        <v>5844</v>
      </c>
      <c r="AC370" s="167">
        <f t="shared" si="301"/>
        <v>9433</v>
      </c>
      <c r="AD370" s="168">
        <f t="shared" si="302"/>
        <v>6050</v>
      </c>
      <c r="AE370" s="166">
        <f t="shared" si="303"/>
        <v>6452</v>
      </c>
      <c r="AF370" s="167">
        <f t="shared" si="304"/>
        <v>10367</v>
      </c>
      <c r="AG370" s="168">
        <f t="shared" si="305"/>
        <v>7310</v>
      </c>
      <c r="AH370" s="166">
        <f t="shared" si="306"/>
        <v>7668</v>
      </c>
      <c r="AI370" s="167">
        <f t="shared" si="307"/>
        <v>11301</v>
      </c>
      <c r="AJ370" s="168">
        <f t="shared" si="308"/>
        <v>7940</v>
      </c>
      <c r="AK370" s="169">
        <f t="shared" si="309"/>
        <v>8282</v>
      </c>
      <c r="AL370" s="167">
        <f t="shared" si="310"/>
        <v>12718</v>
      </c>
      <c r="AM370" s="585">
        <f t="shared" si="311"/>
        <v>8577</v>
      </c>
      <c r="AN370" s="1133">
        <v>0.21</v>
      </c>
      <c r="AO370" s="1134">
        <v>0.24</v>
      </c>
      <c r="AP370" s="1134">
        <v>0.27</v>
      </c>
      <c r="AQ370" s="1135">
        <v>0.3</v>
      </c>
      <c r="AR370" s="1132">
        <v>0.33</v>
      </c>
      <c r="AS370" s="603"/>
      <c r="AT370" s="588"/>
      <c r="AU370" s="588"/>
      <c r="AV370" s="588"/>
      <c r="AW370" s="589"/>
      <c r="AX370" s="596">
        <v>0.03</v>
      </c>
      <c r="AY370" s="598">
        <v>3.5000000000000003E-2</v>
      </c>
      <c r="AZ370" s="598">
        <v>0.04</v>
      </c>
      <c r="BA370" s="598">
        <v>4.4999999999999998E-2</v>
      </c>
      <c r="BB370" s="598">
        <v>0.05</v>
      </c>
      <c r="BC370" s="598"/>
      <c r="BD370" s="599"/>
      <c r="BE370" s="596"/>
      <c r="BF370" s="598"/>
      <c r="BG370" s="598"/>
      <c r="BH370" s="598"/>
      <c r="BI370" s="598"/>
      <c r="BJ370" s="598"/>
      <c r="BK370" s="605"/>
      <c r="BL370" s="658">
        <f t="shared" si="287"/>
        <v>29000</v>
      </c>
      <c r="BM370" s="3">
        <f t="shared" si="288"/>
        <v>28</v>
      </c>
      <c r="BN370" s="3">
        <f t="shared" si="289"/>
        <v>43</v>
      </c>
      <c r="BO370" s="3">
        <f t="shared" si="290"/>
        <v>29</v>
      </c>
    </row>
    <row r="371" spans="2:67">
      <c r="B371" s="606" t="s">
        <v>1777</v>
      </c>
      <c r="C371" s="607" t="s">
        <v>310</v>
      </c>
      <c r="D371" s="607" t="s">
        <v>1778</v>
      </c>
      <c r="E371" s="238" t="s">
        <v>1150</v>
      </c>
      <c r="F371" s="592">
        <v>368</v>
      </c>
      <c r="G371" s="609">
        <v>6824</v>
      </c>
      <c r="H371" s="610">
        <v>5074</v>
      </c>
      <c r="I371" s="611">
        <v>5600</v>
      </c>
      <c r="J371" s="166">
        <f t="shared" si="278"/>
        <v>136</v>
      </c>
      <c r="K371" s="167">
        <f t="shared" si="279"/>
        <v>101</v>
      </c>
      <c r="L371" s="168">
        <f t="shared" si="280"/>
        <v>112</v>
      </c>
      <c r="M371" s="166">
        <f t="shared" si="281"/>
        <v>204</v>
      </c>
      <c r="N371" s="167">
        <f t="shared" si="282"/>
        <v>152</v>
      </c>
      <c r="O371" s="168">
        <f t="shared" si="283"/>
        <v>168</v>
      </c>
      <c r="P371" s="169">
        <f t="shared" si="284"/>
        <v>273</v>
      </c>
      <c r="Q371" s="169">
        <f t="shared" si="285"/>
        <v>203</v>
      </c>
      <c r="R371" s="169">
        <f t="shared" si="286"/>
        <v>224</v>
      </c>
      <c r="S371" s="584">
        <f t="shared" si="291"/>
        <v>2047</v>
      </c>
      <c r="T371" s="594">
        <f t="shared" si="292"/>
        <v>1522</v>
      </c>
      <c r="U371" s="595">
        <f t="shared" si="293"/>
        <v>1680</v>
      </c>
      <c r="V371" s="166">
        <f t="shared" si="294"/>
        <v>4223</v>
      </c>
      <c r="W371" s="167">
        <f t="shared" si="295"/>
        <v>3143</v>
      </c>
      <c r="X371" s="168">
        <f t="shared" si="296"/>
        <v>3472</v>
      </c>
      <c r="Y371" s="166">
        <f t="shared" si="297"/>
        <v>4769</v>
      </c>
      <c r="Z371" s="167">
        <f t="shared" si="298"/>
        <v>3549</v>
      </c>
      <c r="AA371" s="168">
        <f t="shared" si="299"/>
        <v>3920</v>
      </c>
      <c r="AB371" s="166">
        <f t="shared" si="300"/>
        <v>5315</v>
      </c>
      <c r="AC371" s="167">
        <f t="shared" si="301"/>
        <v>3955</v>
      </c>
      <c r="AD371" s="168">
        <f t="shared" si="302"/>
        <v>4368</v>
      </c>
      <c r="AE371" s="166">
        <f t="shared" si="303"/>
        <v>5588</v>
      </c>
      <c r="AF371" s="167">
        <f t="shared" si="304"/>
        <v>4361</v>
      </c>
      <c r="AG371" s="168">
        <f t="shared" si="305"/>
        <v>4816</v>
      </c>
      <c r="AH371" s="166">
        <f t="shared" si="306"/>
        <v>6134</v>
      </c>
      <c r="AI371" s="167">
        <f t="shared" si="307"/>
        <v>4564</v>
      </c>
      <c r="AJ371" s="168">
        <f t="shared" si="308"/>
        <v>5488</v>
      </c>
      <c r="AK371" s="169">
        <f t="shared" si="309"/>
        <v>6960</v>
      </c>
      <c r="AL371" s="167">
        <f t="shared" si="310"/>
        <v>5175</v>
      </c>
      <c r="AM371" s="585">
        <f t="shared" si="311"/>
        <v>5712</v>
      </c>
      <c r="AN371" s="596">
        <v>0.04</v>
      </c>
      <c r="AO371" s="597">
        <v>4.2999999999999997E-2</v>
      </c>
      <c r="AP371" s="597">
        <v>4.5999999999999999E-2</v>
      </c>
      <c r="AQ371" s="598">
        <v>4.9000000000000002E-2</v>
      </c>
      <c r="AR371" s="599">
        <v>5.1999999999999998E-2</v>
      </c>
      <c r="AS371" s="603"/>
      <c r="AT371" s="588"/>
      <c r="AU371" s="588"/>
      <c r="AV371" s="588"/>
      <c r="AW371" s="589"/>
      <c r="AX371" s="596">
        <v>0.02</v>
      </c>
      <c r="AY371" s="598">
        <v>2.3E-2</v>
      </c>
      <c r="AZ371" s="598">
        <v>2.5999999999999999E-2</v>
      </c>
      <c r="BA371" s="598">
        <v>2.9000000000000001E-2</v>
      </c>
      <c r="BB371" s="598">
        <v>3.2000000000000001E-2</v>
      </c>
      <c r="BC371" s="598"/>
      <c r="BD371" s="599"/>
      <c r="BE371" s="596"/>
      <c r="BF371" s="598"/>
      <c r="BG371" s="598"/>
      <c r="BH371" s="598"/>
      <c r="BI371" s="598"/>
      <c r="BJ371" s="598"/>
      <c r="BK371" s="605"/>
      <c r="BL371" s="658">
        <f t="shared" si="287"/>
        <v>17500</v>
      </c>
      <c r="BM371" s="3">
        <f t="shared" si="288"/>
        <v>39</v>
      </c>
      <c r="BN371" s="3">
        <f t="shared" si="289"/>
        <v>29</v>
      </c>
      <c r="BO371" s="3">
        <f t="shared" si="290"/>
        <v>32</v>
      </c>
    </row>
    <row r="372" spans="2:67">
      <c r="B372" s="1271" t="s">
        <v>1781</v>
      </c>
      <c r="C372" s="1069" t="s">
        <v>309</v>
      </c>
      <c r="D372" s="1069" t="s">
        <v>1782</v>
      </c>
      <c r="E372" s="1268" t="s">
        <v>1150</v>
      </c>
      <c r="F372" s="1070">
        <v>369</v>
      </c>
      <c r="G372" s="1071">
        <v>10544</v>
      </c>
      <c r="H372" s="1072">
        <v>7124</v>
      </c>
      <c r="I372" s="1073">
        <v>10829</v>
      </c>
      <c r="J372" s="166">
        <f t="shared" si="278"/>
        <v>210</v>
      </c>
      <c r="K372" s="167">
        <f t="shared" si="279"/>
        <v>142</v>
      </c>
      <c r="L372" s="168">
        <f t="shared" si="280"/>
        <v>216</v>
      </c>
      <c r="M372" s="166">
        <f t="shared" si="281"/>
        <v>263</v>
      </c>
      <c r="N372" s="167">
        <f t="shared" si="282"/>
        <v>178</v>
      </c>
      <c r="O372" s="168">
        <f t="shared" si="283"/>
        <v>270</v>
      </c>
      <c r="P372" s="169">
        <f t="shared" si="284"/>
        <v>395</v>
      </c>
      <c r="Q372" s="169">
        <f t="shared" si="285"/>
        <v>267</v>
      </c>
      <c r="R372" s="169">
        <f t="shared" si="286"/>
        <v>406</v>
      </c>
      <c r="S372" s="584">
        <f t="shared" si="291"/>
        <v>2636</v>
      </c>
      <c r="T372" s="594">
        <f t="shared" si="292"/>
        <v>1781</v>
      </c>
      <c r="U372" s="595">
        <f t="shared" si="293"/>
        <v>2707</v>
      </c>
      <c r="V372" s="166">
        <f t="shared" si="294"/>
        <v>6002</v>
      </c>
      <c r="W372" s="167">
        <f t="shared" si="295"/>
        <v>4059</v>
      </c>
      <c r="X372" s="168">
        <f t="shared" si="296"/>
        <v>6163</v>
      </c>
      <c r="Y372" s="166">
        <f t="shared" si="297"/>
        <v>6397</v>
      </c>
      <c r="Z372" s="167">
        <f t="shared" si="298"/>
        <v>4860</v>
      </c>
      <c r="AA372" s="168">
        <f t="shared" si="299"/>
        <v>6975</v>
      </c>
      <c r="AB372" s="166">
        <f t="shared" si="300"/>
        <v>7582</v>
      </c>
      <c r="AC372" s="167">
        <f t="shared" si="301"/>
        <v>5127</v>
      </c>
      <c r="AD372" s="168">
        <f t="shared" si="302"/>
        <v>8193</v>
      </c>
      <c r="AE372" s="166">
        <f t="shared" si="303"/>
        <v>9162</v>
      </c>
      <c r="AF372" s="167">
        <f t="shared" si="304"/>
        <v>5661</v>
      </c>
      <c r="AG372" s="168">
        <f t="shared" si="305"/>
        <v>9005</v>
      </c>
      <c r="AH372" s="166">
        <f t="shared" si="306"/>
        <v>9952</v>
      </c>
      <c r="AI372" s="167">
        <f t="shared" si="307"/>
        <v>6729</v>
      </c>
      <c r="AJ372" s="168">
        <f t="shared" si="308"/>
        <v>9817</v>
      </c>
      <c r="AK372" s="169">
        <f t="shared" si="309"/>
        <v>10754</v>
      </c>
      <c r="AL372" s="167">
        <f t="shared" si="310"/>
        <v>7266</v>
      </c>
      <c r="AM372" s="585">
        <f t="shared" si="311"/>
        <v>11045</v>
      </c>
      <c r="AN372" s="596">
        <v>0.3</v>
      </c>
      <c r="AO372" s="597">
        <v>0.30499999999999999</v>
      </c>
      <c r="AP372" s="597">
        <v>0.31</v>
      </c>
      <c r="AQ372" s="598">
        <v>0.315</v>
      </c>
      <c r="AR372" s="599">
        <v>0.32</v>
      </c>
      <c r="AS372" s="603"/>
      <c r="AT372" s="588"/>
      <c r="AU372" s="588"/>
      <c r="AV372" s="588"/>
      <c r="AW372" s="589"/>
      <c r="AX372" s="596">
        <v>0.04</v>
      </c>
      <c r="AY372" s="598">
        <v>4.2999999999999997E-2</v>
      </c>
      <c r="AZ372" s="598">
        <v>4.5999999999999999E-2</v>
      </c>
      <c r="BA372" s="598">
        <v>4.9000000000000002E-2</v>
      </c>
      <c r="BB372" s="598">
        <v>5.1999999999999998E-2</v>
      </c>
      <c r="BC372" s="598"/>
      <c r="BD372" s="599"/>
      <c r="BE372" s="596"/>
      <c r="BF372" s="598"/>
      <c r="BG372" s="598"/>
      <c r="BH372" s="598"/>
      <c r="BI372" s="598"/>
      <c r="BJ372" s="598"/>
      <c r="BK372" s="605"/>
      <c r="BL372" s="658">
        <f t="shared" si="287"/>
        <v>28500</v>
      </c>
      <c r="BM372" s="3">
        <f t="shared" si="288"/>
        <v>37</v>
      </c>
      <c r="BN372" s="3">
        <f t="shared" si="289"/>
        <v>25</v>
      </c>
      <c r="BO372" s="3">
        <f t="shared" si="290"/>
        <v>38</v>
      </c>
    </row>
    <row r="373" spans="2:67">
      <c r="B373" s="1271" t="s">
        <v>1785</v>
      </c>
      <c r="C373" s="1069" t="s">
        <v>309</v>
      </c>
      <c r="D373" s="1069" t="s">
        <v>1786</v>
      </c>
      <c r="E373" s="238" t="s">
        <v>125</v>
      </c>
      <c r="F373" s="592">
        <v>370</v>
      </c>
      <c r="G373" s="1071">
        <v>7520</v>
      </c>
      <c r="H373" s="1072">
        <v>7049</v>
      </c>
      <c r="I373" s="1073">
        <v>8929</v>
      </c>
      <c r="J373" s="166">
        <f t="shared" si="278"/>
        <v>150</v>
      </c>
      <c r="K373" s="167">
        <f t="shared" si="279"/>
        <v>141</v>
      </c>
      <c r="L373" s="168">
        <f t="shared" si="280"/>
        <v>178</v>
      </c>
      <c r="M373" s="166">
        <f t="shared" si="281"/>
        <v>188</v>
      </c>
      <c r="N373" s="167">
        <f t="shared" si="282"/>
        <v>176</v>
      </c>
      <c r="O373" s="168">
        <f t="shared" si="283"/>
        <v>223</v>
      </c>
      <c r="P373" s="169">
        <f t="shared" si="284"/>
        <v>282</v>
      </c>
      <c r="Q373" s="169">
        <f t="shared" si="285"/>
        <v>264</v>
      </c>
      <c r="R373" s="169">
        <f t="shared" si="286"/>
        <v>334</v>
      </c>
      <c r="S373" s="584">
        <f t="shared" si="291"/>
        <v>1880</v>
      </c>
      <c r="T373" s="594">
        <f t="shared" si="292"/>
        <v>1762</v>
      </c>
      <c r="U373" s="595">
        <f t="shared" si="293"/>
        <v>2232</v>
      </c>
      <c r="V373" s="166">
        <f t="shared" si="294"/>
        <v>4286</v>
      </c>
      <c r="W373" s="167">
        <f t="shared" si="295"/>
        <v>4015</v>
      </c>
      <c r="X373" s="168">
        <f t="shared" si="296"/>
        <v>5086</v>
      </c>
      <c r="Y373" s="166">
        <f t="shared" si="297"/>
        <v>4568</v>
      </c>
      <c r="Z373" s="167">
        <f t="shared" si="298"/>
        <v>4543</v>
      </c>
      <c r="AA373" s="168">
        <f t="shared" si="299"/>
        <v>6088</v>
      </c>
      <c r="AB373" s="166">
        <f t="shared" si="300"/>
        <v>5414</v>
      </c>
      <c r="AC373" s="167">
        <f t="shared" si="301"/>
        <v>5335</v>
      </c>
      <c r="AD373" s="168">
        <f t="shared" si="302"/>
        <v>6422</v>
      </c>
      <c r="AE373" s="166">
        <f t="shared" si="303"/>
        <v>6542</v>
      </c>
      <c r="AF373" s="167">
        <f t="shared" si="304"/>
        <v>5863</v>
      </c>
      <c r="AG373" s="168">
        <f t="shared" si="305"/>
        <v>7090</v>
      </c>
      <c r="AH373" s="166">
        <f t="shared" si="306"/>
        <v>7106</v>
      </c>
      <c r="AI373" s="167">
        <f t="shared" si="307"/>
        <v>6391</v>
      </c>
      <c r="AJ373" s="168">
        <f t="shared" si="308"/>
        <v>8426</v>
      </c>
      <c r="AK373" s="169">
        <f t="shared" si="309"/>
        <v>7670</v>
      </c>
      <c r="AL373" s="167">
        <f t="shared" si="310"/>
        <v>7190</v>
      </c>
      <c r="AM373" s="585">
        <f t="shared" si="311"/>
        <v>9107</v>
      </c>
      <c r="AN373" s="1133">
        <v>4.2000000000000003E-2</v>
      </c>
      <c r="AO373" s="1134">
        <v>4.3999999999999997E-2</v>
      </c>
      <c r="AP373" s="1134">
        <v>4.5999999999999999E-2</v>
      </c>
      <c r="AQ373" s="1135">
        <v>4.8000000000000001E-2</v>
      </c>
      <c r="AR373" s="1132">
        <v>0.05</v>
      </c>
      <c r="AS373" s="603"/>
      <c r="AT373" s="588"/>
      <c r="AU373" s="588"/>
      <c r="AV373" s="588"/>
      <c r="AW373" s="589"/>
      <c r="AX373" s="596">
        <v>0.04</v>
      </c>
      <c r="AY373" s="598">
        <v>4.2999999999999997E-2</v>
      </c>
      <c r="AZ373" s="598">
        <v>4.5999999999999999E-2</v>
      </c>
      <c r="BA373" s="598">
        <v>4.9000000000000002E-2</v>
      </c>
      <c r="BB373" s="598">
        <v>5.1999999999999998E-2</v>
      </c>
      <c r="BC373" s="598"/>
      <c r="BD373" s="599"/>
      <c r="BE373" s="596"/>
      <c r="BF373" s="598"/>
      <c r="BG373" s="598"/>
      <c r="BH373" s="598"/>
      <c r="BI373" s="598"/>
      <c r="BJ373" s="598"/>
      <c r="BK373" s="605"/>
      <c r="BL373" s="658">
        <f t="shared" si="287"/>
        <v>23500</v>
      </c>
      <c r="BM373" s="3">
        <f t="shared" si="288"/>
        <v>32</v>
      </c>
      <c r="BN373" s="3">
        <f t="shared" si="289"/>
        <v>30</v>
      </c>
      <c r="BO373" s="3">
        <f t="shared" si="290"/>
        <v>38</v>
      </c>
    </row>
    <row r="374" spans="2:67">
      <c r="B374" s="606" t="s">
        <v>1791</v>
      </c>
      <c r="C374" s="607" t="s">
        <v>310</v>
      </c>
      <c r="D374" s="607" t="s">
        <v>1786</v>
      </c>
      <c r="E374" s="238" t="s">
        <v>125</v>
      </c>
      <c r="F374" s="608">
        <v>371</v>
      </c>
      <c r="G374" s="609">
        <v>4930</v>
      </c>
      <c r="H374" s="610">
        <v>4784</v>
      </c>
      <c r="I374" s="611">
        <v>4784</v>
      </c>
      <c r="J374" s="166">
        <f t="shared" si="278"/>
        <v>98</v>
      </c>
      <c r="K374" s="167">
        <f t="shared" si="279"/>
        <v>95</v>
      </c>
      <c r="L374" s="168">
        <f t="shared" si="280"/>
        <v>95</v>
      </c>
      <c r="M374" s="166">
        <f t="shared" si="281"/>
        <v>147</v>
      </c>
      <c r="N374" s="167">
        <f t="shared" si="282"/>
        <v>143</v>
      </c>
      <c r="O374" s="168">
        <f t="shared" si="283"/>
        <v>143</v>
      </c>
      <c r="P374" s="169">
        <f t="shared" si="284"/>
        <v>197</v>
      </c>
      <c r="Q374" s="169">
        <f t="shared" si="285"/>
        <v>191</v>
      </c>
      <c r="R374" s="169">
        <f t="shared" si="286"/>
        <v>191</v>
      </c>
      <c r="S374" s="584">
        <f t="shared" si="291"/>
        <v>1479</v>
      </c>
      <c r="T374" s="594">
        <f t="shared" si="292"/>
        <v>1435</v>
      </c>
      <c r="U374" s="595">
        <f t="shared" si="293"/>
        <v>1435</v>
      </c>
      <c r="V374" s="166">
        <f t="shared" si="294"/>
        <v>3047</v>
      </c>
      <c r="W374" s="167">
        <f t="shared" si="295"/>
        <v>2960</v>
      </c>
      <c r="X374" s="168">
        <f t="shared" si="296"/>
        <v>2960</v>
      </c>
      <c r="Y374" s="166">
        <f t="shared" si="297"/>
        <v>3441</v>
      </c>
      <c r="Z374" s="167">
        <f t="shared" si="298"/>
        <v>3342</v>
      </c>
      <c r="AA374" s="168">
        <f t="shared" si="299"/>
        <v>3342</v>
      </c>
      <c r="AB374" s="166">
        <f t="shared" si="300"/>
        <v>3835</v>
      </c>
      <c r="AC374" s="167">
        <f t="shared" si="301"/>
        <v>3724</v>
      </c>
      <c r="AD374" s="168">
        <f t="shared" si="302"/>
        <v>3724</v>
      </c>
      <c r="AE374" s="166">
        <f t="shared" si="303"/>
        <v>4229</v>
      </c>
      <c r="AF374" s="167">
        <f t="shared" si="304"/>
        <v>3915</v>
      </c>
      <c r="AG374" s="168">
        <f t="shared" si="305"/>
        <v>4106</v>
      </c>
      <c r="AH374" s="166">
        <f t="shared" si="306"/>
        <v>4426</v>
      </c>
      <c r="AI374" s="167">
        <f t="shared" si="307"/>
        <v>4297</v>
      </c>
      <c r="AJ374" s="168">
        <f t="shared" si="308"/>
        <v>4679</v>
      </c>
      <c r="AK374" s="169">
        <f t="shared" si="309"/>
        <v>5028</v>
      </c>
      <c r="AL374" s="167">
        <f t="shared" si="310"/>
        <v>4879</v>
      </c>
      <c r="AM374" s="585">
        <f t="shared" si="311"/>
        <v>4879</v>
      </c>
      <c r="AN374" s="614">
        <v>3.2000000000000001E-2</v>
      </c>
      <c r="AO374" s="615">
        <v>3.5000000000000003E-2</v>
      </c>
      <c r="AP374" s="615">
        <v>3.7999999999999999E-2</v>
      </c>
      <c r="AQ374" s="616">
        <v>4.1000000000000002E-2</v>
      </c>
      <c r="AR374" s="612">
        <v>4.3999999999999997E-2</v>
      </c>
      <c r="AS374" s="603"/>
      <c r="AT374" s="588"/>
      <c r="AU374" s="588"/>
      <c r="AV374" s="588"/>
      <c r="AW374" s="589"/>
      <c r="AX374" s="596">
        <v>0.03</v>
      </c>
      <c r="AY374" s="598">
        <v>3.5000000000000003E-2</v>
      </c>
      <c r="AZ374" s="598">
        <v>0.04</v>
      </c>
      <c r="BA374" s="598">
        <v>4.4999999999999998E-2</v>
      </c>
      <c r="BB374" s="598">
        <v>0.05</v>
      </c>
      <c r="BC374" s="598"/>
      <c r="BD374" s="599"/>
      <c r="BE374" s="596"/>
      <c r="BF374" s="598"/>
      <c r="BG374" s="598"/>
      <c r="BH374" s="598"/>
      <c r="BI374" s="598"/>
      <c r="BJ374" s="598"/>
      <c r="BK374" s="605"/>
      <c r="BL374" s="658">
        <f t="shared" si="287"/>
        <v>14500</v>
      </c>
      <c r="BM374" s="3">
        <f t="shared" si="288"/>
        <v>34</v>
      </c>
      <c r="BN374" s="3">
        <f t="shared" si="289"/>
        <v>33</v>
      </c>
      <c r="BO374" s="3">
        <f t="shared" si="290"/>
        <v>33</v>
      </c>
    </row>
    <row r="375" spans="2:67">
      <c r="B375" s="606" t="s">
        <v>1794</v>
      </c>
      <c r="C375" s="607" t="s">
        <v>310</v>
      </c>
      <c r="D375" s="607" t="s">
        <v>1778</v>
      </c>
      <c r="E375" s="613" t="s">
        <v>125</v>
      </c>
      <c r="F375" s="592">
        <v>372</v>
      </c>
      <c r="G375" s="609">
        <v>6524</v>
      </c>
      <c r="H375" s="610">
        <v>3624</v>
      </c>
      <c r="I375" s="611">
        <v>4350</v>
      </c>
      <c r="J375" s="166">
        <f t="shared" si="278"/>
        <v>130</v>
      </c>
      <c r="K375" s="167">
        <f t="shared" si="279"/>
        <v>72</v>
      </c>
      <c r="L375" s="168">
        <f t="shared" si="280"/>
        <v>87</v>
      </c>
      <c r="M375" s="166">
        <f t="shared" si="281"/>
        <v>195</v>
      </c>
      <c r="N375" s="167">
        <f t="shared" si="282"/>
        <v>108</v>
      </c>
      <c r="O375" s="168">
        <f t="shared" si="283"/>
        <v>130</v>
      </c>
      <c r="P375" s="169">
        <f t="shared" si="284"/>
        <v>261</v>
      </c>
      <c r="Q375" s="169">
        <f t="shared" si="285"/>
        <v>145</v>
      </c>
      <c r="R375" s="169">
        <f t="shared" si="286"/>
        <v>174</v>
      </c>
      <c r="S375" s="584">
        <f t="shared" si="291"/>
        <v>1957</v>
      </c>
      <c r="T375" s="594">
        <f t="shared" si="292"/>
        <v>1087</v>
      </c>
      <c r="U375" s="595">
        <f t="shared" si="293"/>
        <v>1305</v>
      </c>
      <c r="V375" s="166">
        <f t="shared" si="294"/>
        <v>4037</v>
      </c>
      <c r="W375" s="167">
        <f t="shared" si="295"/>
        <v>2239</v>
      </c>
      <c r="X375" s="168">
        <f t="shared" si="296"/>
        <v>2692</v>
      </c>
      <c r="Y375" s="166">
        <f t="shared" si="297"/>
        <v>4559</v>
      </c>
      <c r="Z375" s="167">
        <f t="shared" si="298"/>
        <v>2529</v>
      </c>
      <c r="AA375" s="168">
        <f t="shared" si="299"/>
        <v>3040</v>
      </c>
      <c r="AB375" s="166">
        <f t="shared" si="300"/>
        <v>5081</v>
      </c>
      <c r="AC375" s="167">
        <f t="shared" si="301"/>
        <v>2819</v>
      </c>
      <c r="AD375" s="168">
        <f t="shared" si="302"/>
        <v>3388</v>
      </c>
      <c r="AE375" s="166">
        <f t="shared" si="303"/>
        <v>5342</v>
      </c>
      <c r="AF375" s="167">
        <f t="shared" si="304"/>
        <v>3109</v>
      </c>
      <c r="AG375" s="168">
        <f t="shared" si="305"/>
        <v>3736</v>
      </c>
      <c r="AH375" s="166">
        <f t="shared" si="306"/>
        <v>5864</v>
      </c>
      <c r="AI375" s="167">
        <f t="shared" si="307"/>
        <v>3254</v>
      </c>
      <c r="AJ375" s="168">
        <f t="shared" si="308"/>
        <v>4258</v>
      </c>
      <c r="AK375" s="169">
        <f t="shared" si="309"/>
        <v>6654</v>
      </c>
      <c r="AL375" s="167">
        <f t="shared" si="310"/>
        <v>3696</v>
      </c>
      <c r="AM375" s="585">
        <f t="shared" si="311"/>
        <v>4437</v>
      </c>
      <c r="AN375" s="596">
        <v>0.2</v>
      </c>
      <c r="AO375" s="597">
        <v>0.20499999999999999</v>
      </c>
      <c r="AP375" s="597">
        <v>0.21</v>
      </c>
      <c r="AQ375" s="598">
        <v>0.215</v>
      </c>
      <c r="AR375" s="599">
        <v>0.22</v>
      </c>
      <c r="AS375" s="603"/>
      <c r="AT375" s="588"/>
      <c r="AU375" s="588"/>
      <c r="AV375" s="588"/>
      <c r="AW375" s="589"/>
      <c r="AX375" s="596">
        <v>0.05</v>
      </c>
      <c r="AY375" s="598">
        <v>5.5E-2</v>
      </c>
      <c r="AZ375" s="598">
        <v>0.06</v>
      </c>
      <c r="BA375" s="598">
        <v>6.5000000000000002E-2</v>
      </c>
      <c r="BB375" s="598">
        <v>7.0000000000000007E-2</v>
      </c>
      <c r="BC375" s="598"/>
      <c r="BD375" s="599"/>
      <c r="BE375" s="596"/>
      <c r="BF375" s="598"/>
      <c r="BG375" s="598"/>
      <c r="BH375" s="598"/>
      <c r="BI375" s="598"/>
      <c r="BJ375" s="598"/>
      <c r="BK375" s="605"/>
      <c r="BL375" s="658">
        <f t="shared" si="287"/>
        <v>14500</v>
      </c>
      <c r="BM375" s="3">
        <f t="shared" si="288"/>
        <v>45</v>
      </c>
      <c r="BN375" s="3">
        <f t="shared" si="289"/>
        <v>25</v>
      </c>
      <c r="BO375" s="3">
        <f t="shared" si="290"/>
        <v>30</v>
      </c>
    </row>
    <row r="376" spans="2:67">
      <c r="B376" s="1271" t="s">
        <v>1993</v>
      </c>
      <c r="C376" s="1069" t="s">
        <v>309</v>
      </c>
      <c r="D376" s="1069" t="s">
        <v>1828</v>
      </c>
      <c r="E376" s="1268" t="s">
        <v>939</v>
      </c>
      <c r="F376" s="1070">
        <v>373</v>
      </c>
      <c r="G376" s="1071">
        <v>12400</v>
      </c>
      <c r="H376" s="1072">
        <v>7749</v>
      </c>
      <c r="I376" s="1073">
        <v>10849</v>
      </c>
      <c r="J376" s="166">
        <f t="shared" si="278"/>
        <v>248</v>
      </c>
      <c r="K376" s="167">
        <f t="shared" si="279"/>
        <v>155</v>
      </c>
      <c r="L376" s="168">
        <f t="shared" si="280"/>
        <v>217</v>
      </c>
      <c r="M376" s="166">
        <f t="shared" si="281"/>
        <v>310</v>
      </c>
      <c r="N376" s="167">
        <f t="shared" si="282"/>
        <v>193</v>
      </c>
      <c r="O376" s="168">
        <f t="shared" si="283"/>
        <v>271</v>
      </c>
      <c r="P376" s="169">
        <f t="shared" si="284"/>
        <v>465</v>
      </c>
      <c r="Q376" s="169">
        <f t="shared" si="285"/>
        <v>290</v>
      </c>
      <c r="R376" s="169">
        <f t="shared" si="286"/>
        <v>406</v>
      </c>
      <c r="S376" s="584">
        <f t="shared" si="291"/>
        <v>3100</v>
      </c>
      <c r="T376" s="594">
        <f t="shared" si="292"/>
        <v>1937</v>
      </c>
      <c r="U376" s="595">
        <f t="shared" si="293"/>
        <v>2712</v>
      </c>
      <c r="V376" s="166">
        <f t="shared" si="294"/>
        <v>7068</v>
      </c>
      <c r="W376" s="167">
        <f t="shared" si="295"/>
        <v>4408</v>
      </c>
      <c r="X376" s="168">
        <f t="shared" si="296"/>
        <v>6181</v>
      </c>
      <c r="Y376" s="166">
        <f t="shared" si="297"/>
        <v>7533</v>
      </c>
      <c r="Z376" s="167">
        <f t="shared" si="298"/>
        <v>4988</v>
      </c>
      <c r="AA376" s="168">
        <f t="shared" si="299"/>
        <v>7399</v>
      </c>
      <c r="AB376" s="166">
        <f t="shared" si="300"/>
        <v>8928</v>
      </c>
      <c r="AC376" s="167">
        <f t="shared" si="301"/>
        <v>5858</v>
      </c>
      <c r="AD376" s="168">
        <f t="shared" si="302"/>
        <v>7805</v>
      </c>
      <c r="AE376" s="166">
        <f t="shared" si="303"/>
        <v>10788</v>
      </c>
      <c r="AF376" s="167">
        <f t="shared" si="304"/>
        <v>6438</v>
      </c>
      <c r="AG376" s="168">
        <f t="shared" si="305"/>
        <v>8617</v>
      </c>
      <c r="AH376" s="166">
        <f t="shared" si="306"/>
        <v>11718</v>
      </c>
      <c r="AI376" s="167">
        <f t="shared" si="307"/>
        <v>7018</v>
      </c>
      <c r="AJ376" s="168">
        <f t="shared" si="308"/>
        <v>10241</v>
      </c>
      <c r="AK376" s="169">
        <f t="shared" si="309"/>
        <v>12648</v>
      </c>
      <c r="AL376" s="167">
        <f t="shared" si="310"/>
        <v>7904</v>
      </c>
      <c r="AM376" s="585">
        <f t="shared" si="311"/>
        <v>11066</v>
      </c>
      <c r="AN376" s="596">
        <v>0.28000000000000003</v>
      </c>
      <c r="AO376" s="597">
        <v>0.31</v>
      </c>
      <c r="AP376" s="597">
        <v>0.34</v>
      </c>
      <c r="AQ376" s="598">
        <v>0.37</v>
      </c>
      <c r="AR376" s="599">
        <v>0.4</v>
      </c>
      <c r="AS376" s="603"/>
      <c r="AT376" s="588"/>
      <c r="AU376" s="588"/>
      <c r="AV376" s="588"/>
      <c r="AW376" s="589"/>
      <c r="AX376" s="596">
        <v>0.05</v>
      </c>
      <c r="AY376" s="598">
        <v>5.5E-2</v>
      </c>
      <c r="AZ376" s="598">
        <v>0.06</v>
      </c>
      <c r="BA376" s="598">
        <v>6.5000000000000002E-2</v>
      </c>
      <c r="BB376" s="598">
        <v>7.0000000000000007E-2</v>
      </c>
      <c r="BC376" s="598"/>
      <c r="BD376" s="599"/>
      <c r="BE376" s="596"/>
      <c r="BF376" s="598"/>
      <c r="BG376" s="598"/>
      <c r="BH376" s="598"/>
      <c r="BI376" s="598"/>
      <c r="BJ376" s="598"/>
      <c r="BK376" s="605"/>
      <c r="BL376" s="658">
        <f t="shared" si="287"/>
        <v>31000</v>
      </c>
      <c r="BM376" s="3">
        <f t="shared" si="288"/>
        <v>40</v>
      </c>
      <c r="BN376" s="3">
        <f t="shared" si="289"/>
        <v>25</v>
      </c>
      <c r="BO376" s="3">
        <f t="shared" si="290"/>
        <v>35</v>
      </c>
    </row>
    <row r="377" spans="2:67">
      <c r="B377" s="1271" t="s">
        <v>1994</v>
      </c>
      <c r="C377" s="1069" t="s">
        <v>309</v>
      </c>
      <c r="D377" s="1069" t="s">
        <v>1829</v>
      </c>
      <c r="E377" s="1268" t="s">
        <v>939</v>
      </c>
      <c r="F377" s="1270">
        <v>374</v>
      </c>
      <c r="G377" s="1071">
        <v>7560</v>
      </c>
      <c r="H377" s="1072">
        <v>14804</v>
      </c>
      <c r="I377" s="1073">
        <v>9133</v>
      </c>
      <c r="J377" s="166">
        <f t="shared" si="278"/>
        <v>151</v>
      </c>
      <c r="K377" s="167">
        <f t="shared" si="279"/>
        <v>296</v>
      </c>
      <c r="L377" s="168">
        <f t="shared" si="280"/>
        <v>182</v>
      </c>
      <c r="M377" s="166">
        <f t="shared" si="281"/>
        <v>189</v>
      </c>
      <c r="N377" s="167">
        <f t="shared" si="282"/>
        <v>370</v>
      </c>
      <c r="O377" s="168">
        <f t="shared" si="283"/>
        <v>228</v>
      </c>
      <c r="P377" s="169">
        <f t="shared" si="284"/>
        <v>283</v>
      </c>
      <c r="Q377" s="169">
        <f t="shared" si="285"/>
        <v>555</v>
      </c>
      <c r="R377" s="169">
        <f t="shared" si="286"/>
        <v>342</v>
      </c>
      <c r="S377" s="584">
        <f t="shared" si="291"/>
        <v>1890</v>
      </c>
      <c r="T377" s="594">
        <f t="shared" si="292"/>
        <v>3701</v>
      </c>
      <c r="U377" s="595">
        <f t="shared" si="293"/>
        <v>2283</v>
      </c>
      <c r="V377" s="166">
        <f t="shared" si="294"/>
        <v>4309</v>
      </c>
      <c r="W377" s="167">
        <f t="shared" si="295"/>
        <v>8437</v>
      </c>
      <c r="X377" s="168">
        <f t="shared" si="296"/>
        <v>5201</v>
      </c>
      <c r="Y377" s="166">
        <f t="shared" si="297"/>
        <v>5158</v>
      </c>
      <c r="Z377" s="167">
        <f t="shared" si="298"/>
        <v>9547</v>
      </c>
      <c r="AA377" s="168">
        <f t="shared" si="299"/>
        <v>5543</v>
      </c>
      <c r="AB377" s="166">
        <f t="shared" si="300"/>
        <v>5441</v>
      </c>
      <c r="AC377" s="167">
        <f t="shared" si="301"/>
        <v>11212</v>
      </c>
      <c r="AD377" s="168">
        <f t="shared" si="302"/>
        <v>6569</v>
      </c>
      <c r="AE377" s="166">
        <f t="shared" si="303"/>
        <v>6007</v>
      </c>
      <c r="AF377" s="167">
        <f t="shared" si="304"/>
        <v>12322</v>
      </c>
      <c r="AG377" s="168">
        <f t="shared" si="305"/>
        <v>7937</v>
      </c>
      <c r="AH377" s="166">
        <f t="shared" si="306"/>
        <v>7139</v>
      </c>
      <c r="AI377" s="167">
        <f t="shared" si="307"/>
        <v>13432</v>
      </c>
      <c r="AJ377" s="168">
        <f t="shared" si="308"/>
        <v>8621</v>
      </c>
      <c r="AK377" s="169">
        <f t="shared" si="309"/>
        <v>7711</v>
      </c>
      <c r="AL377" s="167">
        <f t="shared" si="310"/>
        <v>15100</v>
      </c>
      <c r="AM377" s="585">
        <f t="shared" si="311"/>
        <v>9315</v>
      </c>
      <c r="AN377" s="596">
        <v>0.28000000000000003</v>
      </c>
      <c r="AO377" s="597">
        <v>0.31</v>
      </c>
      <c r="AP377" s="597">
        <v>0.34</v>
      </c>
      <c r="AQ377" s="598">
        <v>0.37</v>
      </c>
      <c r="AR377" s="599">
        <v>0.4</v>
      </c>
      <c r="AS377" s="603"/>
      <c r="AT377" s="588"/>
      <c r="AU377" s="588"/>
      <c r="AV377" s="588"/>
      <c r="AW377" s="589"/>
      <c r="AX377" s="596">
        <v>0.05</v>
      </c>
      <c r="AY377" s="598">
        <v>5.5E-2</v>
      </c>
      <c r="AZ377" s="598">
        <v>0.06</v>
      </c>
      <c r="BA377" s="598">
        <v>6.5000000000000002E-2</v>
      </c>
      <c r="BB377" s="598">
        <v>7.0000000000000007E-2</v>
      </c>
      <c r="BC377" s="598"/>
      <c r="BD377" s="599"/>
      <c r="BE377" s="596"/>
      <c r="BF377" s="598"/>
      <c r="BG377" s="598"/>
      <c r="BH377" s="598"/>
      <c r="BI377" s="598"/>
      <c r="BJ377" s="598"/>
      <c r="BK377" s="605"/>
      <c r="BL377" s="658">
        <f t="shared" si="287"/>
        <v>31500</v>
      </c>
      <c r="BM377" s="3">
        <f t="shared" si="288"/>
        <v>24</v>
      </c>
      <c r="BN377" s="3">
        <f t="shared" si="289"/>
        <v>47</v>
      </c>
      <c r="BO377" s="3">
        <f t="shared" si="290"/>
        <v>29</v>
      </c>
    </row>
    <row r="378" spans="2:67">
      <c r="B378" s="1271" t="s">
        <v>1995</v>
      </c>
      <c r="C378" s="1069" t="s">
        <v>309</v>
      </c>
      <c r="D378" s="1069" t="s">
        <v>1830</v>
      </c>
      <c r="E378" s="1268" t="s">
        <v>939</v>
      </c>
      <c r="F378" s="1070">
        <v>375</v>
      </c>
      <c r="G378" s="1071">
        <v>13329</v>
      </c>
      <c r="H378" s="1072">
        <v>8060</v>
      </c>
      <c r="I378" s="1073">
        <v>9609</v>
      </c>
      <c r="J378" s="166">
        <f t="shared" si="278"/>
        <v>266</v>
      </c>
      <c r="K378" s="167">
        <f t="shared" si="279"/>
        <v>161</v>
      </c>
      <c r="L378" s="168">
        <f t="shared" si="280"/>
        <v>192</v>
      </c>
      <c r="M378" s="166">
        <f t="shared" si="281"/>
        <v>333</v>
      </c>
      <c r="N378" s="167">
        <f t="shared" si="282"/>
        <v>201</v>
      </c>
      <c r="O378" s="168">
        <f t="shared" si="283"/>
        <v>240</v>
      </c>
      <c r="P378" s="169">
        <f t="shared" si="284"/>
        <v>499</v>
      </c>
      <c r="Q378" s="169">
        <f t="shared" si="285"/>
        <v>302</v>
      </c>
      <c r="R378" s="169">
        <f t="shared" si="286"/>
        <v>360</v>
      </c>
      <c r="S378" s="584">
        <f t="shared" si="291"/>
        <v>3332</v>
      </c>
      <c r="T378" s="594">
        <f t="shared" si="292"/>
        <v>2015</v>
      </c>
      <c r="U378" s="595">
        <f t="shared" si="293"/>
        <v>2402</v>
      </c>
      <c r="V378" s="166">
        <f t="shared" si="294"/>
        <v>7594</v>
      </c>
      <c r="W378" s="167">
        <f t="shared" si="295"/>
        <v>4588</v>
      </c>
      <c r="X378" s="168">
        <f t="shared" si="296"/>
        <v>5474</v>
      </c>
      <c r="Y378" s="166">
        <f t="shared" si="297"/>
        <v>8592</v>
      </c>
      <c r="Z378" s="167">
        <f t="shared" si="298"/>
        <v>4890</v>
      </c>
      <c r="AA378" s="168">
        <f t="shared" si="299"/>
        <v>6554</v>
      </c>
      <c r="AB378" s="166">
        <f t="shared" si="300"/>
        <v>10089</v>
      </c>
      <c r="AC378" s="167">
        <f t="shared" si="301"/>
        <v>5796</v>
      </c>
      <c r="AD378" s="168">
        <f t="shared" si="302"/>
        <v>6914</v>
      </c>
      <c r="AE378" s="166">
        <f t="shared" si="303"/>
        <v>11087</v>
      </c>
      <c r="AF378" s="167">
        <f t="shared" si="304"/>
        <v>7004</v>
      </c>
      <c r="AG378" s="168">
        <f t="shared" si="305"/>
        <v>7634</v>
      </c>
      <c r="AH378" s="166">
        <f t="shared" si="306"/>
        <v>12085</v>
      </c>
      <c r="AI378" s="167">
        <f t="shared" si="307"/>
        <v>7608</v>
      </c>
      <c r="AJ378" s="168">
        <f t="shared" si="308"/>
        <v>9074</v>
      </c>
      <c r="AK378" s="169">
        <f t="shared" si="309"/>
        <v>13595</v>
      </c>
      <c r="AL378" s="167">
        <f t="shared" si="310"/>
        <v>8221</v>
      </c>
      <c r="AM378" s="585">
        <f t="shared" si="311"/>
        <v>9801</v>
      </c>
      <c r="AN378" s="596">
        <v>0.3</v>
      </c>
      <c r="AO378" s="597">
        <v>0.33</v>
      </c>
      <c r="AP378" s="597">
        <v>0.36</v>
      </c>
      <c r="AQ378" s="598">
        <v>0.39</v>
      </c>
      <c r="AR378" s="599">
        <v>0.42</v>
      </c>
      <c r="AS378" s="603"/>
      <c r="AT378" s="588"/>
      <c r="AU378" s="588"/>
      <c r="AV378" s="588"/>
      <c r="AW378" s="589"/>
      <c r="AX378" s="596">
        <v>0.04</v>
      </c>
      <c r="AY378" s="598">
        <v>4.2999999999999997E-2</v>
      </c>
      <c r="AZ378" s="598">
        <v>4.5999999999999999E-2</v>
      </c>
      <c r="BA378" s="598">
        <v>4.9000000000000002E-2</v>
      </c>
      <c r="BB378" s="598">
        <v>5.1999999999999998E-2</v>
      </c>
      <c r="BC378" s="598"/>
      <c r="BD378" s="599"/>
      <c r="BE378" s="596"/>
      <c r="BF378" s="598"/>
      <c r="BG378" s="598"/>
      <c r="BH378" s="598"/>
      <c r="BI378" s="598"/>
      <c r="BJ378" s="598"/>
      <c r="BK378" s="605"/>
      <c r="BL378" s="658">
        <f t="shared" si="287"/>
        <v>31000</v>
      </c>
      <c r="BM378" s="3">
        <f t="shared" si="288"/>
        <v>43</v>
      </c>
      <c r="BN378" s="3">
        <f t="shared" si="289"/>
        <v>26</v>
      </c>
      <c r="BO378" s="3">
        <f t="shared" si="290"/>
        <v>31</v>
      </c>
    </row>
    <row r="379" spans="2:67">
      <c r="B379" s="606" t="s">
        <v>1837</v>
      </c>
      <c r="C379" s="607" t="s">
        <v>310</v>
      </c>
      <c r="D379" s="607" t="s">
        <v>1836</v>
      </c>
      <c r="E379" s="613" t="s">
        <v>1150</v>
      </c>
      <c r="F379" s="592">
        <v>376</v>
      </c>
      <c r="G379" s="609">
        <v>6300</v>
      </c>
      <c r="H379" s="610">
        <v>4024</v>
      </c>
      <c r="I379" s="611">
        <v>7174</v>
      </c>
      <c r="J379" s="166">
        <f t="shared" si="278"/>
        <v>126</v>
      </c>
      <c r="K379" s="167">
        <f t="shared" si="279"/>
        <v>80</v>
      </c>
      <c r="L379" s="168">
        <f t="shared" si="280"/>
        <v>143</v>
      </c>
      <c r="M379" s="166">
        <f t="shared" si="281"/>
        <v>189</v>
      </c>
      <c r="N379" s="167">
        <f t="shared" si="282"/>
        <v>120</v>
      </c>
      <c r="O379" s="168">
        <f t="shared" si="283"/>
        <v>215</v>
      </c>
      <c r="P379" s="169">
        <f t="shared" si="284"/>
        <v>252</v>
      </c>
      <c r="Q379" s="169">
        <f t="shared" si="285"/>
        <v>161</v>
      </c>
      <c r="R379" s="169">
        <f t="shared" si="286"/>
        <v>287</v>
      </c>
      <c r="S379" s="584">
        <f t="shared" si="291"/>
        <v>1890</v>
      </c>
      <c r="T379" s="594">
        <f t="shared" si="292"/>
        <v>1207</v>
      </c>
      <c r="U379" s="595">
        <f t="shared" si="293"/>
        <v>2152</v>
      </c>
      <c r="V379" s="166">
        <f t="shared" si="294"/>
        <v>3906</v>
      </c>
      <c r="W379" s="167">
        <f t="shared" si="295"/>
        <v>2487</v>
      </c>
      <c r="X379" s="168">
        <f t="shared" si="296"/>
        <v>4445</v>
      </c>
      <c r="Y379" s="166">
        <f t="shared" si="297"/>
        <v>4410</v>
      </c>
      <c r="Z379" s="167">
        <f t="shared" si="298"/>
        <v>2809</v>
      </c>
      <c r="AA379" s="168">
        <f t="shared" si="299"/>
        <v>5019</v>
      </c>
      <c r="AB379" s="166">
        <f t="shared" si="300"/>
        <v>4914</v>
      </c>
      <c r="AC379" s="167">
        <f t="shared" si="301"/>
        <v>3131</v>
      </c>
      <c r="AD379" s="168">
        <f t="shared" si="302"/>
        <v>5593</v>
      </c>
      <c r="AE379" s="166">
        <f t="shared" si="303"/>
        <v>5418</v>
      </c>
      <c r="AF379" s="167">
        <f t="shared" si="304"/>
        <v>3453</v>
      </c>
      <c r="AG379" s="168">
        <f t="shared" si="305"/>
        <v>5880</v>
      </c>
      <c r="AH379" s="166">
        <f t="shared" si="306"/>
        <v>5670</v>
      </c>
      <c r="AI379" s="167">
        <f t="shared" si="307"/>
        <v>3936</v>
      </c>
      <c r="AJ379" s="168">
        <f t="shared" si="308"/>
        <v>6454</v>
      </c>
      <c r="AK379" s="169">
        <f t="shared" si="309"/>
        <v>6426</v>
      </c>
      <c r="AL379" s="167">
        <f t="shared" si="310"/>
        <v>4104</v>
      </c>
      <c r="AM379" s="585">
        <f t="shared" si="311"/>
        <v>7317</v>
      </c>
      <c r="AN379" s="614">
        <v>0.05</v>
      </c>
      <c r="AO379" s="615">
        <v>5.5E-2</v>
      </c>
      <c r="AP379" s="615">
        <v>0.06</v>
      </c>
      <c r="AQ379" s="616">
        <v>6.5000000000000002E-2</v>
      </c>
      <c r="AR379" s="612">
        <v>7.0000000000000007E-2</v>
      </c>
      <c r="AS379" s="603"/>
      <c r="AT379" s="588"/>
      <c r="AU379" s="588"/>
      <c r="AV379" s="588"/>
      <c r="AW379" s="589"/>
      <c r="AX379" s="596">
        <v>0.03</v>
      </c>
      <c r="AY379" s="598">
        <v>3.5000000000000003E-2</v>
      </c>
      <c r="AZ379" s="598">
        <v>0.04</v>
      </c>
      <c r="BA379" s="598">
        <v>4.4999999999999998E-2</v>
      </c>
      <c r="BB379" s="598">
        <v>0.05</v>
      </c>
      <c r="BC379" s="598"/>
      <c r="BD379" s="599"/>
      <c r="BE379" s="596"/>
      <c r="BF379" s="598"/>
      <c r="BG379" s="598"/>
      <c r="BH379" s="598"/>
      <c r="BI379" s="598"/>
      <c r="BJ379" s="598"/>
      <c r="BK379" s="605"/>
      <c r="BL379" s="658">
        <f t="shared" si="287"/>
        <v>17500</v>
      </c>
      <c r="BM379" s="3">
        <f t="shared" si="288"/>
        <v>36</v>
      </c>
      <c r="BN379" s="3">
        <f t="shared" si="289"/>
        <v>23</v>
      </c>
      <c r="BO379" s="3">
        <f t="shared" si="290"/>
        <v>41</v>
      </c>
    </row>
    <row r="380" spans="2:67">
      <c r="B380" s="606" t="s">
        <v>1838</v>
      </c>
      <c r="C380" s="607" t="s">
        <v>310</v>
      </c>
      <c r="D380" s="607" t="s">
        <v>1828</v>
      </c>
      <c r="E380" s="613" t="s">
        <v>1150</v>
      </c>
      <c r="F380" s="608">
        <v>377</v>
      </c>
      <c r="G380" s="609">
        <v>5774</v>
      </c>
      <c r="H380" s="610">
        <v>5074</v>
      </c>
      <c r="I380" s="611">
        <v>6650</v>
      </c>
      <c r="J380" s="166">
        <f t="shared" si="278"/>
        <v>115</v>
      </c>
      <c r="K380" s="167">
        <f t="shared" si="279"/>
        <v>101</v>
      </c>
      <c r="L380" s="168">
        <f t="shared" si="280"/>
        <v>133</v>
      </c>
      <c r="M380" s="166">
        <f t="shared" si="281"/>
        <v>173</v>
      </c>
      <c r="N380" s="167">
        <f t="shared" si="282"/>
        <v>152</v>
      </c>
      <c r="O380" s="168">
        <f t="shared" si="283"/>
        <v>199</v>
      </c>
      <c r="P380" s="169">
        <f t="shared" si="284"/>
        <v>231</v>
      </c>
      <c r="Q380" s="169">
        <f t="shared" si="285"/>
        <v>203</v>
      </c>
      <c r="R380" s="169">
        <f t="shared" si="286"/>
        <v>266</v>
      </c>
      <c r="S380" s="584">
        <f t="shared" si="291"/>
        <v>1732</v>
      </c>
      <c r="T380" s="594">
        <f t="shared" si="292"/>
        <v>1522</v>
      </c>
      <c r="U380" s="595">
        <f t="shared" si="293"/>
        <v>1995</v>
      </c>
      <c r="V380" s="166">
        <f t="shared" si="294"/>
        <v>3577</v>
      </c>
      <c r="W380" s="167">
        <f t="shared" si="295"/>
        <v>3143</v>
      </c>
      <c r="X380" s="168">
        <f t="shared" si="296"/>
        <v>4118</v>
      </c>
      <c r="Y380" s="166">
        <f t="shared" si="297"/>
        <v>4039</v>
      </c>
      <c r="Z380" s="167">
        <f t="shared" si="298"/>
        <v>3549</v>
      </c>
      <c r="AA380" s="168">
        <f t="shared" si="299"/>
        <v>4650</v>
      </c>
      <c r="AB380" s="166">
        <f t="shared" si="300"/>
        <v>4501</v>
      </c>
      <c r="AC380" s="167">
        <f t="shared" si="301"/>
        <v>3955</v>
      </c>
      <c r="AD380" s="168">
        <f t="shared" si="302"/>
        <v>5182</v>
      </c>
      <c r="AE380" s="166">
        <f t="shared" si="303"/>
        <v>4963</v>
      </c>
      <c r="AF380" s="167">
        <f t="shared" si="304"/>
        <v>4158</v>
      </c>
      <c r="AG380" s="168">
        <f t="shared" si="305"/>
        <v>5714</v>
      </c>
      <c r="AH380" s="166">
        <f t="shared" si="306"/>
        <v>5194</v>
      </c>
      <c r="AI380" s="167">
        <f t="shared" si="307"/>
        <v>4564</v>
      </c>
      <c r="AJ380" s="168">
        <f t="shared" si="308"/>
        <v>6512</v>
      </c>
      <c r="AK380" s="169">
        <f t="shared" si="309"/>
        <v>5889</v>
      </c>
      <c r="AL380" s="167">
        <f t="shared" si="310"/>
        <v>5175</v>
      </c>
      <c r="AM380" s="585">
        <f t="shared" si="311"/>
        <v>6783</v>
      </c>
      <c r="AN380" s="596">
        <v>0.17</v>
      </c>
      <c r="AO380" s="597">
        <v>0.2</v>
      </c>
      <c r="AP380" s="597">
        <v>0.23</v>
      </c>
      <c r="AQ380" s="598">
        <v>0.26</v>
      </c>
      <c r="AR380" s="599">
        <v>0.28999999999999998</v>
      </c>
      <c r="AS380" s="617"/>
      <c r="AT380" s="618"/>
      <c r="AU380" s="618"/>
      <c r="AV380" s="618"/>
      <c r="AW380" s="619"/>
      <c r="AX380" s="596">
        <v>0.02</v>
      </c>
      <c r="AY380" s="598">
        <v>2.3E-2</v>
      </c>
      <c r="AZ380" s="598">
        <v>2.5999999999999999E-2</v>
      </c>
      <c r="BA380" s="598">
        <v>2.9000000000000001E-2</v>
      </c>
      <c r="BB380" s="598">
        <v>3.2000000000000001E-2</v>
      </c>
      <c r="BC380" s="598"/>
      <c r="BD380" s="599"/>
      <c r="BE380" s="596"/>
      <c r="BF380" s="598"/>
      <c r="BG380" s="598"/>
      <c r="BH380" s="598"/>
      <c r="BI380" s="598"/>
      <c r="BJ380" s="598"/>
      <c r="BK380" s="605"/>
      <c r="BL380" s="658">
        <f t="shared" si="287"/>
        <v>17500</v>
      </c>
      <c r="BM380" s="3">
        <f t="shared" si="288"/>
        <v>33</v>
      </c>
      <c r="BN380" s="3">
        <f t="shared" si="289"/>
        <v>29</v>
      </c>
      <c r="BO380" s="3">
        <f t="shared" si="290"/>
        <v>38</v>
      </c>
    </row>
    <row r="381" spans="2:67">
      <c r="B381" s="1271" t="s">
        <v>1850</v>
      </c>
      <c r="C381" s="1069" t="s">
        <v>309</v>
      </c>
      <c r="D381" s="1069" t="s">
        <v>1851</v>
      </c>
      <c r="E381" s="238" t="s">
        <v>1150</v>
      </c>
      <c r="F381" s="592">
        <v>378</v>
      </c>
      <c r="G381" s="1071">
        <v>11309</v>
      </c>
      <c r="H381" s="1072">
        <v>7829</v>
      </c>
      <c r="I381" s="1073">
        <v>9860</v>
      </c>
      <c r="J381" s="166">
        <f t="shared" si="278"/>
        <v>226</v>
      </c>
      <c r="K381" s="167">
        <f t="shared" si="279"/>
        <v>156</v>
      </c>
      <c r="L381" s="168">
        <f t="shared" si="280"/>
        <v>197</v>
      </c>
      <c r="M381" s="166">
        <f t="shared" si="281"/>
        <v>282</v>
      </c>
      <c r="N381" s="167">
        <f t="shared" si="282"/>
        <v>195</v>
      </c>
      <c r="O381" s="168">
        <f t="shared" si="283"/>
        <v>246</v>
      </c>
      <c r="P381" s="169">
        <f t="shared" si="284"/>
        <v>424</v>
      </c>
      <c r="Q381" s="169">
        <f t="shared" si="285"/>
        <v>293</v>
      </c>
      <c r="R381" s="169">
        <f t="shared" si="286"/>
        <v>369</v>
      </c>
      <c r="S381" s="584">
        <f t="shared" si="291"/>
        <v>2827</v>
      </c>
      <c r="T381" s="594">
        <f t="shared" si="292"/>
        <v>1957</v>
      </c>
      <c r="U381" s="595">
        <f t="shared" si="293"/>
        <v>2465</v>
      </c>
      <c r="V381" s="166">
        <f t="shared" si="294"/>
        <v>6437</v>
      </c>
      <c r="W381" s="167">
        <f t="shared" si="295"/>
        <v>4453</v>
      </c>
      <c r="X381" s="168">
        <f t="shared" si="296"/>
        <v>5614</v>
      </c>
      <c r="Y381" s="166">
        <f t="shared" si="297"/>
        <v>6861</v>
      </c>
      <c r="Z381" s="167">
        <f t="shared" si="298"/>
        <v>5332</v>
      </c>
      <c r="AA381" s="168">
        <f t="shared" si="299"/>
        <v>6352</v>
      </c>
      <c r="AB381" s="166">
        <f t="shared" si="300"/>
        <v>8133</v>
      </c>
      <c r="AC381" s="167">
        <f t="shared" si="301"/>
        <v>5625</v>
      </c>
      <c r="AD381" s="168">
        <f t="shared" si="302"/>
        <v>7459</v>
      </c>
      <c r="AE381" s="166">
        <f t="shared" si="303"/>
        <v>9829</v>
      </c>
      <c r="AF381" s="167">
        <f t="shared" si="304"/>
        <v>6211</v>
      </c>
      <c r="AG381" s="168">
        <f t="shared" si="305"/>
        <v>8197</v>
      </c>
      <c r="AH381" s="166">
        <f t="shared" si="306"/>
        <v>10677</v>
      </c>
      <c r="AI381" s="167">
        <f t="shared" si="307"/>
        <v>7383</v>
      </c>
      <c r="AJ381" s="168">
        <f t="shared" si="308"/>
        <v>8935</v>
      </c>
      <c r="AK381" s="169">
        <f t="shared" si="309"/>
        <v>11535</v>
      </c>
      <c r="AL381" s="167">
        <f t="shared" si="310"/>
        <v>7985</v>
      </c>
      <c r="AM381" s="585">
        <f t="shared" si="311"/>
        <v>10057</v>
      </c>
      <c r="AN381" s="1133">
        <v>0.3</v>
      </c>
      <c r="AO381" s="1134">
        <v>0.30499999999999999</v>
      </c>
      <c r="AP381" s="1134">
        <v>0.31</v>
      </c>
      <c r="AQ381" s="1135">
        <v>0.315</v>
      </c>
      <c r="AR381" s="1132">
        <v>0.32</v>
      </c>
      <c r="AS381" s="1136"/>
      <c r="AT381" s="1137"/>
      <c r="AU381" s="1137"/>
      <c r="AV381" s="1137"/>
      <c r="AW381" s="1138"/>
      <c r="AX381" s="596">
        <v>0.05</v>
      </c>
      <c r="AY381" s="598">
        <v>5.5E-2</v>
      </c>
      <c r="AZ381" s="598">
        <v>0.06</v>
      </c>
      <c r="BA381" s="598">
        <v>6.5000000000000002E-2</v>
      </c>
      <c r="BB381" s="598">
        <v>7.0000000000000007E-2</v>
      </c>
      <c r="BC381" s="598"/>
      <c r="BD381" s="599"/>
      <c r="BE381" s="596"/>
      <c r="BF381" s="598"/>
      <c r="BG381" s="598"/>
      <c r="BH381" s="598"/>
      <c r="BI381" s="598"/>
      <c r="BJ381" s="598"/>
      <c r="BK381" s="605"/>
      <c r="BL381" s="658">
        <f t="shared" si="287"/>
        <v>29000</v>
      </c>
      <c r="BM381" s="3">
        <f t="shared" si="288"/>
        <v>39</v>
      </c>
      <c r="BN381" s="3">
        <f t="shared" si="289"/>
        <v>27</v>
      </c>
      <c r="BO381" s="3">
        <f t="shared" si="290"/>
        <v>34</v>
      </c>
    </row>
    <row r="382" spans="2:67">
      <c r="B382" s="606" t="s">
        <v>1854</v>
      </c>
      <c r="C382" s="607" t="s">
        <v>310</v>
      </c>
      <c r="D382" s="607" t="s">
        <v>358</v>
      </c>
      <c r="E382" s="238" t="s">
        <v>1150</v>
      </c>
      <c r="F382" s="608">
        <v>379</v>
      </c>
      <c r="G382" s="609">
        <v>7120</v>
      </c>
      <c r="H382" s="610">
        <v>4983</v>
      </c>
      <c r="I382" s="611">
        <v>5694</v>
      </c>
      <c r="J382" s="166">
        <f t="shared" si="278"/>
        <v>142</v>
      </c>
      <c r="K382" s="167">
        <f t="shared" si="279"/>
        <v>99</v>
      </c>
      <c r="L382" s="168">
        <f t="shared" si="280"/>
        <v>113</v>
      </c>
      <c r="M382" s="166">
        <f t="shared" si="281"/>
        <v>213</v>
      </c>
      <c r="N382" s="167">
        <f t="shared" si="282"/>
        <v>149</v>
      </c>
      <c r="O382" s="168">
        <f t="shared" si="283"/>
        <v>170</v>
      </c>
      <c r="P382" s="169">
        <f t="shared" si="284"/>
        <v>284</v>
      </c>
      <c r="Q382" s="169">
        <f t="shared" si="285"/>
        <v>199</v>
      </c>
      <c r="R382" s="169">
        <f t="shared" si="286"/>
        <v>227</v>
      </c>
      <c r="S382" s="584">
        <f t="shared" si="291"/>
        <v>2136</v>
      </c>
      <c r="T382" s="594">
        <f t="shared" si="292"/>
        <v>1495</v>
      </c>
      <c r="U382" s="595">
        <f t="shared" si="293"/>
        <v>1708</v>
      </c>
      <c r="V382" s="166">
        <f t="shared" si="294"/>
        <v>4408</v>
      </c>
      <c r="W382" s="167">
        <f t="shared" si="295"/>
        <v>3084</v>
      </c>
      <c r="X382" s="168">
        <f t="shared" si="296"/>
        <v>3521</v>
      </c>
      <c r="Y382" s="166">
        <f t="shared" si="297"/>
        <v>4976</v>
      </c>
      <c r="Z382" s="167">
        <f t="shared" si="298"/>
        <v>3482</v>
      </c>
      <c r="AA382" s="168">
        <f t="shared" si="299"/>
        <v>3975</v>
      </c>
      <c r="AB382" s="166">
        <f t="shared" si="300"/>
        <v>5544</v>
      </c>
      <c r="AC382" s="167">
        <f t="shared" si="301"/>
        <v>3880</v>
      </c>
      <c r="AD382" s="168">
        <f t="shared" si="302"/>
        <v>4429</v>
      </c>
      <c r="AE382" s="166">
        <f t="shared" si="303"/>
        <v>5828</v>
      </c>
      <c r="AF382" s="167">
        <f t="shared" si="304"/>
        <v>4278</v>
      </c>
      <c r="AG382" s="168">
        <f t="shared" si="305"/>
        <v>4883</v>
      </c>
      <c r="AH382" s="166">
        <f t="shared" si="306"/>
        <v>6396</v>
      </c>
      <c r="AI382" s="167">
        <f t="shared" si="307"/>
        <v>4477</v>
      </c>
      <c r="AJ382" s="168">
        <f t="shared" si="308"/>
        <v>5564</v>
      </c>
      <c r="AK382" s="169">
        <f t="shared" si="309"/>
        <v>7262</v>
      </c>
      <c r="AL382" s="167">
        <f t="shared" si="310"/>
        <v>5082</v>
      </c>
      <c r="AM382" s="585">
        <f t="shared" si="311"/>
        <v>5807</v>
      </c>
      <c r="AN382" s="596">
        <v>0.04</v>
      </c>
      <c r="AO382" s="597">
        <v>4.2999999999999997E-2</v>
      </c>
      <c r="AP382" s="597">
        <v>4.5999999999999999E-2</v>
      </c>
      <c r="AQ382" s="598">
        <v>4.9000000000000002E-2</v>
      </c>
      <c r="AR382" s="599">
        <v>5.1999999999999998E-2</v>
      </c>
      <c r="AS382" s="617"/>
      <c r="AT382" s="618"/>
      <c r="AU382" s="618"/>
      <c r="AV382" s="618"/>
      <c r="AW382" s="619"/>
      <c r="AX382" s="596">
        <v>0.02</v>
      </c>
      <c r="AY382" s="598">
        <v>2.3E-2</v>
      </c>
      <c r="AZ382" s="598">
        <v>2.5999999999999999E-2</v>
      </c>
      <c r="BA382" s="598">
        <v>2.9000000000000001E-2</v>
      </c>
      <c r="BB382" s="598">
        <v>3.2000000000000001E-2</v>
      </c>
      <c r="BC382" s="598"/>
      <c r="BD382" s="599"/>
      <c r="BE382" s="596"/>
      <c r="BF382" s="598"/>
      <c r="BG382" s="598"/>
      <c r="BH382" s="598"/>
      <c r="BI382" s="598"/>
      <c r="BJ382" s="598"/>
      <c r="BK382" s="605"/>
      <c r="BL382" s="658">
        <f t="shared" si="287"/>
        <v>17800</v>
      </c>
      <c r="BM382" s="3">
        <f t="shared" si="288"/>
        <v>40</v>
      </c>
      <c r="BN382" s="3">
        <f t="shared" si="289"/>
        <v>28</v>
      </c>
      <c r="BO382" s="3">
        <f t="shared" si="290"/>
        <v>32</v>
      </c>
    </row>
    <row r="383" spans="2:67">
      <c r="B383" s="1271" t="s">
        <v>1857</v>
      </c>
      <c r="C383" s="1069" t="s">
        <v>309</v>
      </c>
      <c r="D383" s="1069" t="s">
        <v>1858</v>
      </c>
      <c r="E383" s="1268" t="s">
        <v>1150</v>
      </c>
      <c r="F383" s="592">
        <v>380</v>
      </c>
      <c r="G383" s="1071">
        <v>11600</v>
      </c>
      <c r="H383" s="1072">
        <v>6669</v>
      </c>
      <c r="I383" s="1073">
        <v>10729</v>
      </c>
      <c r="J383" s="166">
        <f t="shared" si="278"/>
        <v>232</v>
      </c>
      <c r="K383" s="167">
        <f t="shared" si="279"/>
        <v>133</v>
      </c>
      <c r="L383" s="168">
        <f t="shared" si="280"/>
        <v>214</v>
      </c>
      <c r="M383" s="166">
        <f t="shared" si="281"/>
        <v>290</v>
      </c>
      <c r="N383" s="167">
        <f t="shared" si="282"/>
        <v>166</v>
      </c>
      <c r="O383" s="168">
        <f t="shared" si="283"/>
        <v>268</v>
      </c>
      <c r="P383" s="169">
        <f t="shared" si="284"/>
        <v>435</v>
      </c>
      <c r="Q383" s="169">
        <f t="shared" si="285"/>
        <v>250</v>
      </c>
      <c r="R383" s="169">
        <f t="shared" si="286"/>
        <v>402</v>
      </c>
      <c r="S383" s="584">
        <f t="shared" si="291"/>
        <v>2900</v>
      </c>
      <c r="T383" s="594">
        <f t="shared" si="292"/>
        <v>1667</v>
      </c>
      <c r="U383" s="595">
        <f t="shared" si="293"/>
        <v>2682</v>
      </c>
      <c r="V383" s="166">
        <f t="shared" si="294"/>
        <v>6612</v>
      </c>
      <c r="W383" s="167">
        <f t="shared" si="295"/>
        <v>3792</v>
      </c>
      <c r="X383" s="168">
        <f t="shared" si="296"/>
        <v>6112</v>
      </c>
      <c r="Y383" s="166">
        <f t="shared" si="297"/>
        <v>7482</v>
      </c>
      <c r="Z383" s="167">
        <f t="shared" si="298"/>
        <v>4042</v>
      </c>
      <c r="AA383" s="168">
        <f t="shared" si="299"/>
        <v>7318</v>
      </c>
      <c r="AB383" s="166">
        <f t="shared" si="300"/>
        <v>8787</v>
      </c>
      <c r="AC383" s="167">
        <f t="shared" si="301"/>
        <v>4792</v>
      </c>
      <c r="AD383" s="168">
        <f t="shared" si="302"/>
        <v>7720</v>
      </c>
      <c r="AE383" s="166">
        <f t="shared" si="303"/>
        <v>9657</v>
      </c>
      <c r="AF383" s="167">
        <f t="shared" si="304"/>
        <v>5792</v>
      </c>
      <c r="AG383" s="168">
        <f t="shared" si="305"/>
        <v>8524</v>
      </c>
      <c r="AH383" s="166">
        <f t="shared" si="306"/>
        <v>10527</v>
      </c>
      <c r="AI383" s="167">
        <f t="shared" si="307"/>
        <v>6292</v>
      </c>
      <c r="AJ383" s="168">
        <f t="shared" si="308"/>
        <v>10132</v>
      </c>
      <c r="AK383" s="169">
        <f t="shared" si="309"/>
        <v>11832</v>
      </c>
      <c r="AL383" s="167">
        <f t="shared" si="310"/>
        <v>6802</v>
      </c>
      <c r="AM383" s="585">
        <f t="shared" si="311"/>
        <v>10943</v>
      </c>
      <c r="AN383" s="596">
        <v>0.25</v>
      </c>
      <c r="AO383" s="597">
        <v>0.28000000000000003</v>
      </c>
      <c r="AP383" s="597">
        <v>0.31</v>
      </c>
      <c r="AQ383" s="598">
        <v>0.34</v>
      </c>
      <c r="AR383" s="1132">
        <v>0.37</v>
      </c>
      <c r="AS383" s="1136"/>
      <c r="AT383" s="1137"/>
      <c r="AU383" s="1137"/>
      <c r="AV383" s="1137"/>
      <c r="AW383" s="1138"/>
      <c r="AX383" s="596">
        <v>0.04</v>
      </c>
      <c r="AY383" s="598">
        <v>4.2999999999999997E-2</v>
      </c>
      <c r="AZ383" s="598">
        <v>4.5999999999999999E-2</v>
      </c>
      <c r="BA383" s="598">
        <v>4.9000000000000002E-2</v>
      </c>
      <c r="BB383" s="598">
        <v>5.1999999999999998E-2</v>
      </c>
      <c r="BC383" s="598"/>
      <c r="BD383" s="599"/>
      <c r="BE383" s="596"/>
      <c r="BF383" s="598"/>
      <c r="BG383" s="598"/>
      <c r="BH383" s="598"/>
      <c r="BI383" s="598"/>
      <c r="BJ383" s="598"/>
      <c r="BK383" s="605"/>
      <c r="BL383" s="658">
        <f t="shared" si="287"/>
        <v>29000</v>
      </c>
      <c r="BM383" s="3">
        <f t="shared" si="288"/>
        <v>40</v>
      </c>
      <c r="BN383" s="3">
        <f t="shared" si="289"/>
        <v>23</v>
      </c>
      <c r="BO383" s="3">
        <f t="shared" si="290"/>
        <v>37</v>
      </c>
    </row>
    <row r="384" spans="2:67">
      <c r="B384" s="606" t="s">
        <v>1862</v>
      </c>
      <c r="C384" s="607" t="s">
        <v>309</v>
      </c>
      <c r="D384" s="607" t="s">
        <v>1863</v>
      </c>
      <c r="E384" s="1267" t="s">
        <v>125</v>
      </c>
      <c r="F384" s="1070">
        <v>381</v>
      </c>
      <c r="G384" s="609">
        <v>5169</v>
      </c>
      <c r="H384" s="610">
        <v>11280</v>
      </c>
      <c r="I384" s="611">
        <v>7049</v>
      </c>
      <c r="J384" s="166">
        <f t="shared" si="278"/>
        <v>103</v>
      </c>
      <c r="K384" s="167">
        <f t="shared" si="279"/>
        <v>225</v>
      </c>
      <c r="L384" s="168">
        <f t="shared" si="280"/>
        <v>141</v>
      </c>
      <c r="M384" s="166">
        <f t="shared" si="281"/>
        <v>129</v>
      </c>
      <c r="N384" s="167">
        <f t="shared" si="282"/>
        <v>282</v>
      </c>
      <c r="O384" s="168">
        <f t="shared" si="283"/>
        <v>176</v>
      </c>
      <c r="P384" s="169">
        <f t="shared" si="284"/>
        <v>193</v>
      </c>
      <c r="Q384" s="169">
        <f t="shared" si="285"/>
        <v>423</v>
      </c>
      <c r="R384" s="169">
        <f t="shared" si="286"/>
        <v>264</v>
      </c>
      <c r="S384" s="584">
        <f t="shared" si="291"/>
        <v>1292</v>
      </c>
      <c r="T384" s="594">
        <f t="shared" si="292"/>
        <v>2820</v>
      </c>
      <c r="U384" s="595">
        <f t="shared" si="293"/>
        <v>1762</v>
      </c>
      <c r="V384" s="166">
        <f t="shared" si="294"/>
        <v>2943</v>
      </c>
      <c r="W384" s="167">
        <f t="shared" si="295"/>
        <v>6429</v>
      </c>
      <c r="X384" s="168">
        <f t="shared" si="296"/>
        <v>4015</v>
      </c>
      <c r="Y384" s="166">
        <f t="shared" si="297"/>
        <v>3522</v>
      </c>
      <c r="Z384" s="167">
        <f t="shared" si="298"/>
        <v>7275</v>
      </c>
      <c r="AA384" s="168">
        <f t="shared" si="299"/>
        <v>4279</v>
      </c>
      <c r="AB384" s="166">
        <f t="shared" si="300"/>
        <v>3715</v>
      </c>
      <c r="AC384" s="167">
        <f t="shared" si="301"/>
        <v>8544</v>
      </c>
      <c r="AD384" s="168">
        <f t="shared" si="302"/>
        <v>5071</v>
      </c>
      <c r="AE384" s="166">
        <f t="shared" si="303"/>
        <v>4101</v>
      </c>
      <c r="AF384" s="167">
        <f t="shared" si="304"/>
        <v>9390</v>
      </c>
      <c r="AG384" s="168">
        <f t="shared" si="305"/>
        <v>6127</v>
      </c>
      <c r="AH384" s="166">
        <f t="shared" si="306"/>
        <v>4873</v>
      </c>
      <c r="AI384" s="167">
        <f t="shared" si="307"/>
        <v>10236</v>
      </c>
      <c r="AJ384" s="168">
        <f t="shared" si="308"/>
        <v>6655</v>
      </c>
      <c r="AK384" s="169">
        <f t="shared" si="309"/>
        <v>5272</v>
      </c>
      <c r="AL384" s="167">
        <f t="shared" si="310"/>
        <v>11505</v>
      </c>
      <c r="AM384" s="585">
        <f t="shared" si="311"/>
        <v>7190</v>
      </c>
      <c r="AN384" s="614">
        <v>0.2</v>
      </c>
      <c r="AO384" s="615">
        <v>0.22</v>
      </c>
      <c r="AP384" s="615">
        <v>0.24</v>
      </c>
      <c r="AQ384" s="616">
        <v>0.26</v>
      </c>
      <c r="AR384" s="612">
        <v>0.28000000000000003</v>
      </c>
      <c r="AS384" s="1136"/>
      <c r="AT384" s="1137"/>
      <c r="AU384" s="1137"/>
      <c r="AV384" s="1137"/>
      <c r="AW384" s="1138"/>
      <c r="AX384" s="596">
        <v>0.03</v>
      </c>
      <c r="AY384" s="598">
        <v>3.3000000000000002E-2</v>
      </c>
      <c r="AZ384" s="598">
        <v>3.5999999999999997E-2</v>
      </c>
      <c r="BA384" s="598">
        <v>3.9E-2</v>
      </c>
      <c r="BB384" s="598">
        <v>4.2000000000000003E-2</v>
      </c>
      <c r="BC384" s="598"/>
      <c r="BD384" s="599"/>
      <c r="BE384" s="596"/>
      <c r="BF384" s="598"/>
      <c r="BG384" s="598"/>
      <c r="BH384" s="598"/>
      <c r="BI384" s="598"/>
      <c r="BJ384" s="598"/>
      <c r="BK384" s="605"/>
      <c r="BL384" s="658">
        <f t="shared" si="287"/>
        <v>23500</v>
      </c>
      <c r="BM384" s="3">
        <f t="shared" si="288"/>
        <v>22</v>
      </c>
      <c r="BN384" s="3">
        <f t="shared" si="289"/>
        <v>48</v>
      </c>
      <c r="BO384" s="3">
        <f t="shared" si="290"/>
        <v>30</v>
      </c>
    </row>
    <row r="385" spans="2:67">
      <c r="B385" s="606" t="s">
        <v>1865</v>
      </c>
      <c r="C385" s="607" t="s">
        <v>310</v>
      </c>
      <c r="D385" s="607" t="s">
        <v>1851</v>
      </c>
      <c r="E385" s="238" t="s">
        <v>125</v>
      </c>
      <c r="F385" s="592">
        <v>382</v>
      </c>
      <c r="G385" s="609">
        <v>5474</v>
      </c>
      <c r="H385" s="610">
        <v>4290</v>
      </c>
      <c r="I385" s="611">
        <v>5030</v>
      </c>
      <c r="J385" s="166">
        <f t="shared" si="278"/>
        <v>109</v>
      </c>
      <c r="K385" s="167">
        <f t="shared" si="279"/>
        <v>85</v>
      </c>
      <c r="L385" s="168">
        <f t="shared" si="280"/>
        <v>100</v>
      </c>
      <c r="M385" s="166">
        <f t="shared" si="281"/>
        <v>164</v>
      </c>
      <c r="N385" s="167">
        <f t="shared" si="282"/>
        <v>128</v>
      </c>
      <c r="O385" s="168">
        <f t="shared" si="283"/>
        <v>150</v>
      </c>
      <c r="P385" s="169">
        <f t="shared" si="284"/>
        <v>219</v>
      </c>
      <c r="Q385" s="169">
        <f t="shared" si="285"/>
        <v>171</v>
      </c>
      <c r="R385" s="169">
        <f t="shared" si="286"/>
        <v>201</v>
      </c>
      <c r="S385" s="584">
        <f t="shared" si="291"/>
        <v>1642</v>
      </c>
      <c r="T385" s="594">
        <f t="shared" si="292"/>
        <v>1287</v>
      </c>
      <c r="U385" s="595">
        <f t="shared" si="293"/>
        <v>1509</v>
      </c>
      <c r="V385" s="166">
        <f t="shared" si="294"/>
        <v>3391</v>
      </c>
      <c r="W385" s="167">
        <f t="shared" si="295"/>
        <v>2652</v>
      </c>
      <c r="X385" s="168">
        <f t="shared" si="296"/>
        <v>3109</v>
      </c>
      <c r="Y385" s="166">
        <f t="shared" si="297"/>
        <v>3829</v>
      </c>
      <c r="Z385" s="167">
        <f t="shared" si="298"/>
        <v>2994</v>
      </c>
      <c r="AA385" s="168">
        <f t="shared" si="299"/>
        <v>3511</v>
      </c>
      <c r="AB385" s="166">
        <f t="shared" si="300"/>
        <v>4267</v>
      </c>
      <c r="AC385" s="167">
        <f t="shared" si="301"/>
        <v>3336</v>
      </c>
      <c r="AD385" s="168">
        <f t="shared" si="302"/>
        <v>3913</v>
      </c>
      <c r="AE385" s="166">
        <f t="shared" si="303"/>
        <v>4705</v>
      </c>
      <c r="AF385" s="167">
        <f t="shared" si="304"/>
        <v>3678</v>
      </c>
      <c r="AG385" s="168">
        <f t="shared" si="305"/>
        <v>4114</v>
      </c>
      <c r="AH385" s="166">
        <f t="shared" si="306"/>
        <v>4924</v>
      </c>
      <c r="AI385" s="167">
        <f t="shared" si="307"/>
        <v>4191</v>
      </c>
      <c r="AJ385" s="168">
        <f t="shared" si="308"/>
        <v>4516</v>
      </c>
      <c r="AK385" s="169">
        <f t="shared" si="309"/>
        <v>5583</v>
      </c>
      <c r="AL385" s="167">
        <f t="shared" si="310"/>
        <v>4375</v>
      </c>
      <c r="AM385" s="585">
        <f t="shared" si="311"/>
        <v>5130</v>
      </c>
      <c r="AN385" s="596">
        <v>0.2</v>
      </c>
      <c r="AO385" s="597">
        <v>0.20499999999999999</v>
      </c>
      <c r="AP385" s="597">
        <v>0.21</v>
      </c>
      <c r="AQ385" s="598">
        <v>0.215</v>
      </c>
      <c r="AR385" s="599">
        <v>0.22</v>
      </c>
      <c r="AS385" s="617"/>
      <c r="AT385" s="618"/>
      <c r="AU385" s="618"/>
      <c r="AV385" s="618"/>
      <c r="AW385" s="619"/>
      <c r="AX385" s="614">
        <v>0.03</v>
      </c>
      <c r="AY385" s="616">
        <v>3.5000000000000003E-2</v>
      </c>
      <c r="AZ385" s="616">
        <v>0.04</v>
      </c>
      <c r="BA385" s="616">
        <v>4.4999999999999998E-2</v>
      </c>
      <c r="BB385" s="616">
        <v>0.05</v>
      </c>
      <c r="BC385" s="616"/>
      <c r="BD385" s="612"/>
      <c r="BE385" s="596"/>
      <c r="BF385" s="598"/>
      <c r="BG385" s="598"/>
      <c r="BH385" s="598"/>
      <c r="BI385" s="598"/>
      <c r="BJ385" s="598"/>
      <c r="BK385" s="605"/>
      <c r="BL385" s="658">
        <f t="shared" si="287"/>
        <v>14800</v>
      </c>
      <c r="BM385" s="3">
        <f t="shared" si="288"/>
        <v>37</v>
      </c>
      <c r="BN385" s="3">
        <f t="shared" si="289"/>
        <v>29</v>
      </c>
      <c r="BO385" s="3">
        <f t="shared" si="290"/>
        <v>34</v>
      </c>
    </row>
    <row r="386" spans="2:67">
      <c r="B386" s="606" t="s">
        <v>1869</v>
      </c>
      <c r="C386" s="607" t="s">
        <v>310</v>
      </c>
      <c r="D386" s="607" t="s">
        <v>1863</v>
      </c>
      <c r="E386" s="613" t="s">
        <v>125</v>
      </c>
      <c r="F386" s="608">
        <v>383</v>
      </c>
      <c r="G386" s="609">
        <v>4587</v>
      </c>
      <c r="H386" s="610">
        <v>5920</v>
      </c>
      <c r="I386" s="611">
        <v>4290</v>
      </c>
      <c r="J386" s="166">
        <f t="shared" si="278"/>
        <v>91</v>
      </c>
      <c r="K386" s="167">
        <f t="shared" si="279"/>
        <v>118</v>
      </c>
      <c r="L386" s="168">
        <f t="shared" si="280"/>
        <v>85</v>
      </c>
      <c r="M386" s="166">
        <f t="shared" si="281"/>
        <v>137</v>
      </c>
      <c r="N386" s="167">
        <f t="shared" si="282"/>
        <v>177</v>
      </c>
      <c r="O386" s="168">
        <f t="shared" si="283"/>
        <v>128</v>
      </c>
      <c r="P386" s="169">
        <f t="shared" si="284"/>
        <v>183</v>
      </c>
      <c r="Q386" s="169">
        <f t="shared" si="285"/>
        <v>236</v>
      </c>
      <c r="R386" s="169">
        <f t="shared" si="286"/>
        <v>171</v>
      </c>
      <c r="S386" s="584">
        <f t="shared" si="291"/>
        <v>1376</v>
      </c>
      <c r="T386" s="594">
        <f t="shared" si="292"/>
        <v>1776</v>
      </c>
      <c r="U386" s="595">
        <f t="shared" si="293"/>
        <v>1287</v>
      </c>
      <c r="V386" s="166">
        <f t="shared" si="294"/>
        <v>2837</v>
      </c>
      <c r="W386" s="167">
        <f t="shared" si="295"/>
        <v>3664</v>
      </c>
      <c r="X386" s="168">
        <f t="shared" si="296"/>
        <v>2652</v>
      </c>
      <c r="Y386" s="166">
        <f t="shared" si="297"/>
        <v>3203</v>
      </c>
      <c r="Z386" s="167">
        <f t="shared" si="298"/>
        <v>4136</v>
      </c>
      <c r="AA386" s="168">
        <f t="shared" si="299"/>
        <v>2994</v>
      </c>
      <c r="AB386" s="166">
        <f t="shared" si="300"/>
        <v>3569</v>
      </c>
      <c r="AC386" s="167">
        <f t="shared" si="301"/>
        <v>4608</v>
      </c>
      <c r="AD386" s="168">
        <f t="shared" si="302"/>
        <v>3336</v>
      </c>
      <c r="AE386" s="166">
        <f t="shared" si="303"/>
        <v>3935</v>
      </c>
      <c r="AF386" s="167">
        <f t="shared" si="304"/>
        <v>4844</v>
      </c>
      <c r="AG386" s="168">
        <f t="shared" si="305"/>
        <v>3678</v>
      </c>
      <c r="AH386" s="166">
        <f t="shared" si="306"/>
        <v>4484</v>
      </c>
      <c r="AI386" s="167">
        <f t="shared" si="307"/>
        <v>5316</v>
      </c>
      <c r="AJ386" s="168">
        <f t="shared" si="308"/>
        <v>3849</v>
      </c>
      <c r="AK386" s="169">
        <f t="shared" si="309"/>
        <v>4678</v>
      </c>
      <c r="AL386" s="167">
        <f t="shared" si="310"/>
        <v>6038</v>
      </c>
      <c r="AM386" s="585">
        <f t="shared" si="311"/>
        <v>4375</v>
      </c>
      <c r="AN386" s="596">
        <v>0.17</v>
      </c>
      <c r="AO386" s="597">
        <v>0.2</v>
      </c>
      <c r="AP386" s="597">
        <v>0.23</v>
      </c>
      <c r="AQ386" s="598">
        <v>0.26</v>
      </c>
      <c r="AR386" s="599">
        <v>0.28999999999999998</v>
      </c>
      <c r="AS386" s="617"/>
      <c r="AT386" s="618"/>
      <c r="AU386" s="618"/>
      <c r="AV386" s="618"/>
      <c r="AW386" s="619"/>
      <c r="AX386" s="614">
        <v>0.03</v>
      </c>
      <c r="AY386" s="616">
        <v>3.5000000000000003E-2</v>
      </c>
      <c r="AZ386" s="616">
        <v>0.04</v>
      </c>
      <c r="BA386" s="616">
        <v>4.4999999999999998E-2</v>
      </c>
      <c r="BB386" s="616">
        <v>0.05</v>
      </c>
      <c r="BC386" s="616"/>
      <c r="BD386" s="612"/>
      <c r="BE386" s="596"/>
      <c r="BF386" s="598"/>
      <c r="BG386" s="598"/>
      <c r="BH386" s="598"/>
      <c r="BI386" s="598"/>
      <c r="BJ386" s="598"/>
      <c r="BK386" s="605"/>
      <c r="BL386" s="658">
        <f t="shared" si="287"/>
        <v>14800</v>
      </c>
      <c r="BM386" s="3">
        <f t="shared" si="288"/>
        <v>31</v>
      </c>
      <c r="BN386" s="3">
        <f t="shared" si="289"/>
        <v>40</v>
      </c>
      <c r="BO386" s="3">
        <f t="shared" si="290"/>
        <v>29</v>
      </c>
    </row>
    <row r="387" spans="2:67">
      <c r="B387" s="1271" t="s">
        <v>1874</v>
      </c>
      <c r="C387" s="1069" t="s">
        <v>1875</v>
      </c>
      <c r="D387" s="1069" t="s">
        <v>1876</v>
      </c>
      <c r="E387" s="1268" t="s">
        <v>1150</v>
      </c>
      <c r="F387" s="592">
        <v>384</v>
      </c>
      <c r="G387" s="1071">
        <v>12253</v>
      </c>
      <c r="H387" s="1072">
        <v>7124</v>
      </c>
      <c r="I387" s="1073">
        <v>9120</v>
      </c>
      <c r="J387" s="166">
        <f t="shared" si="278"/>
        <v>245</v>
      </c>
      <c r="K387" s="167">
        <f t="shared" si="279"/>
        <v>142</v>
      </c>
      <c r="L387" s="168">
        <f t="shared" si="280"/>
        <v>182</v>
      </c>
      <c r="M387" s="166">
        <f t="shared" si="281"/>
        <v>306</v>
      </c>
      <c r="N387" s="167">
        <f t="shared" si="282"/>
        <v>178</v>
      </c>
      <c r="O387" s="168">
        <f t="shared" si="283"/>
        <v>228</v>
      </c>
      <c r="P387" s="169">
        <f t="shared" si="284"/>
        <v>459</v>
      </c>
      <c r="Q387" s="169">
        <f t="shared" si="285"/>
        <v>267</v>
      </c>
      <c r="R387" s="169">
        <f t="shared" si="286"/>
        <v>342</v>
      </c>
      <c r="S387" s="584">
        <f t="shared" si="291"/>
        <v>3063</v>
      </c>
      <c r="T387" s="594">
        <f t="shared" si="292"/>
        <v>1781</v>
      </c>
      <c r="U387" s="595">
        <f t="shared" si="293"/>
        <v>2280</v>
      </c>
      <c r="V387" s="166">
        <f t="shared" si="294"/>
        <v>6980</v>
      </c>
      <c r="W387" s="167">
        <f t="shared" si="295"/>
        <v>4059</v>
      </c>
      <c r="X387" s="168">
        <f t="shared" si="296"/>
        <v>5198</v>
      </c>
      <c r="Y387" s="166">
        <f t="shared" si="297"/>
        <v>7898</v>
      </c>
      <c r="Z387" s="167">
        <f t="shared" si="298"/>
        <v>4326</v>
      </c>
      <c r="AA387" s="168">
        <f t="shared" si="299"/>
        <v>6224</v>
      </c>
      <c r="AB387" s="166">
        <f t="shared" si="300"/>
        <v>9275</v>
      </c>
      <c r="AC387" s="167">
        <f t="shared" si="301"/>
        <v>5127</v>
      </c>
      <c r="AD387" s="168">
        <f t="shared" si="302"/>
        <v>6566</v>
      </c>
      <c r="AE387" s="166">
        <f t="shared" si="303"/>
        <v>10193</v>
      </c>
      <c r="AF387" s="167">
        <f t="shared" si="304"/>
        <v>6195</v>
      </c>
      <c r="AG387" s="168">
        <f t="shared" si="305"/>
        <v>7250</v>
      </c>
      <c r="AH387" s="166">
        <f t="shared" si="306"/>
        <v>11111</v>
      </c>
      <c r="AI387" s="167">
        <f t="shared" si="307"/>
        <v>6729</v>
      </c>
      <c r="AJ387" s="168">
        <f t="shared" si="308"/>
        <v>8618</v>
      </c>
      <c r="AK387" s="169">
        <f t="shared" si="309"/>
        <v>12498</v>
      </c>
      <c r="AL387" s="167">
        <f t="shared" si="310"/>
        <v>7266</v>
      </c>
      <c r="AM387" s="585">
        <f t="shared" si="311"/>
        <v>9302</v>
      </c>
      <c r="AN387" s="596">
        <v>0.11</v>
      </c>
      <c r="AO387" s="597">
        <v>0.14000000000000001</v>
      </c>
      <c r="AP387" s="597">
        <v>0.17</v>
      </c>
      <c r="AQ387" s="598">
        <v>0.2</v>
      </c>
      <c r="AR387" s="599">
        <v>0.23</v>
      </c>
      <c r="AS387" s="596">
        <v>3.4000000000000002E-2</v>
      </c>
      <c r="AT387" s="598">
        <v>3.9E-2</v>
      </c>
      <c r="AU387" s="598">
        <v>4.3999999999999997E-2</v>
      </c>
      <c r="AV387" s="598">
        <v>4.9000000000000002E-2</v>
      </c>
      <c r="AW387" s="599">
        <v>5.3999999999999999E-2</v>
      </c>
      <c r="AX387" s="596">
        <v>0.05</v>
      </c>
      <c r="AY387" s="598">
        <v>5.5E-2</v>
      </c>
      <c r="AZ387" s="598">
        <v>0.06</v>
      </c>
      <c r="BA387" s="598">
        <v>6.5000000000000002E-2</v>
      </c>
      <c r="BB387" s="598">
        <v>7.0000000000000007E-2</v>
      </c>
      <c r="BC387" s="598"/>
      <c r="BD387" s="599"/>
      <c r="BE387" s="596"/>
      <c r="BF387" s="598"/>
      <c r="BG387" s="598"/>
      <c r="BH387" s="598"/>
      <c r="BI387" s="598"/>
      <c r="BJ387" s="598"/>
      <c r="BK387" s="605"/>
      <c r="BL387" s="658">
        <f t="shared" si="287"/>
        <v>28500</v>
      </c>
      <c r="BM387" s="3">
        <f t="shared" si="288"/>
        <v>43</v>
      </c>
      <c r="BN387" s="3">
        <f t="shared" si="289"/>
        <v>25</v>
      </c>
      <c r="BO387" s="3">
        <f t="shared" si="290"/>
        <v>32</v>
      </c>
    </row>
    <row r="388" spans="2:67">
      <c r="B388" s="606" t="s">
        <v>1878</v>
      </c>
      <c r="C388" s="607" t="s">
        <v>1879</v>
      </c>
      <c r="D388" s="607" t="s">
        <v>1880</v>
      </c>
      <c r="E388" s="613" t="s">
        <v>1150</v>
      </c>
      <c r="F388" s="608">
        <v>385</v>
      </c>
      <c r="G388" s="609">
        <v>6584</v>
      </c>
      <c r="H388" s="610">
        <v>5873</v>
      </c>
      <c r="I388" s="611">
        <v>5340</v>
      </c>
      <c r="J388" s="166">
        <f t="shared" si="278"/>
        <v>131</v>
      </c>
      <c r="K388" s="167">
        <f t="shared" si="279"/>
        <v>117</v>
      </c>
      <c r="L388" s="168">
        <f t="shared" si="280"/>
        <v>106</v>
      </c>
      <c r="M388" s="166">
        <f t="shared" si="281"/>
        <v>197</v>
      </c>
      <c r="N388" s="167">
        <f t="shared" si="282"/>
        <v>176</v>
      </c>
      <c r="O388" s="168">
        <f t="shared" si="283"/>
        <v>160</v>
      </c>
      <c r="P388" s="169">
        <f t="shared" si="284"/>
        <v>263</v>
      </c>
      <c r="Q388" s="169">
        <f t="shared" si="285"/>
        <v>234</v>
      </c>
      <c r="R388" s="169">
        <f t="shared" si="286"/>
        <v>213</v>
      </c>
      <c r="S388" s="584">
        <f t="shared" si="291"/>
        <v>1975</v>
      </c>
      <c r="T388" s="594">
        <f t="shared" si="292"/>
        <v>1762</v>
      </c>
      <c r="U388" s="595">
        <f t="shared" si="293"/>
        <v>1602</v>
      </c>
      <c r="V388" s="166">
        <f t="shared" si="294"/>
        <v>4076</v>
      </c>
      <c r="W388" s="167">
        <f t="shared" si="295"/>
        <v>3639</v>
      </c>
      <c r="X388" s="168">
        <f t="shared" si="296"/>
        <v>3308</v>
      </c>
      <c r="Y388" s="166">
        <f t="shared" si="297"/>
        <v>4602</v>
      </c>
      <c r="Z388" s="167">
        <f t="shared" si="298"/>
        <v>4107</v>
      </c>
      <c r="AA388" s="168">
        <f t="shared" si="299"/>
        <v>3734</v>
      </c>
      <c r="AB388" s="166">
        <f t="shared" si="300"/>
        <v>5128</v>
      </c>
      <c r="AC388" s="167">
        <f t="shared" si="301"/>
        <v>4575</v>
      </c>
      <c r="AD388" s="168">
        <f t="shared" si="302"/>
        <v>4160</v>
      </c>
      <c r="AE388" s="166">
        <f t="shared" si="303"/>
        <v>5654</v>
      </c>
      <c r="AF388" s="167">
        <f t="shared" si="304"/>
        <v>5043</v>
      </c>
      <c r="AG388" s="168">
        <f t="shared" si="305"/>
        <v>4373</v>
      </c>
      <c r="AH388" s="166">
        <f t="shared" si="306"/>
        <v>5917</v>
      </c>
      <c r="AI388" s="167">
        <f t="shared" si="307"/>
        <v>5745</v>
      </c>
      <c r="AJ388" s="168">
        <f t="shared" si="308"/>
        <v>4799</v>
      </c>
      <c r="AK388" s="169">
        <f t="shared" si="309"/>
        <v>6715</v>
      </c>
      <c r="AL388" s="167">
        <f t="shared" si="310"/>
        <v>5990</v>
      </c>
      <c r="AM388" s="585">
        <f t="shared" si="311"/>
        <v>5446</v>
      </c>
      <c r="AN388" s="614">
        <v>0.05</v>
      </c>
      <c r="AO388" s="615">
        <v>5.5E-2</v>
      </c>
      <c r="AP388" s="615">
        <v>0.06</v>
      </c>
      <c r="AQ388" s="616">
        <v>6.5000000000000002E-2</v>
      </c>
      <c r="AR388" s="612">
        <v>7.0000000000000007E-2</v>
      </c>
      <c r="AS388" s="617"/>
      <c r="AT388" s="618"/>
      <c r="AU388" s="618"/>
      <c r="AV388" s="618"/>
      <c r="AW388" s="619"/>
      <c r="AX388" s="596">
        <v>0.02</v>
      </c>
      <c r="AY388" s="598">
        <v>2.3E-2</v>
      </c>
      <c r="AZ388" s="598">
        <v>2.5999999999999999E-2</v>
      </c>
      <c r="BA388" s="598">
        <v>2.9000000000000001E-2</v>
      </c>
      <c r="BB388" s="598">
        <v>3.2000000000000001E-2</v>
      </c>
      <c r="BC388" s="598"/>
      <c r="BD388" s="599"/>
      <c r="BE388" s="596"/>
      <c r="BF388" s="598"/>
      <c r="BG388" s="598"/>
      <c r="BH388" s="598"/>
      <c r="BI388" s="598"/>
      <c r="BJ388" s="598"/>
      <c r="BK388" s="605"/>
      <c r="BL388" s="658">
        <f t="shared" si="287"/>
        <v>17800</v>
      </c>
      <c r="BM388" s="3">
        <f t="shared" si="288"/>
        <v>37</v>
      </c>
      <c r="BN388" s="3">
        <f t="shared" si="289"/>
        <v>33</v>
      </c>
      <c r="BO388" s="3">
        <f t="shared" si="290"/>
        <v>30</v>
      </c>
    </row>
    <row r="389" spans="2:67">
      <c r="B389" s="1271" t="s">
        <v>1889</v>
      </c>
      <c r="C389" s="1069" t="s">
        <v>309</v>
      </c>
      <c r="D389" s="1069" t="s">
        <v>1888</v>
      </c>
      <c r="E389" s="238" t="s">
        <v>1150</v>
      </c>
      <c r="F389" s="1270">
        <v>386</v>
      </c>
      <c r="G389" s="1071">
        <v>12180</v>
      </c>
      <c r="H389" s="1072">
        <v>8989</v>
      </c>
      <c r="I389" s="1073">
        <v>7829</v>
      </c>
      <c r="J389" s="166">
        <f t="shared" si="278"/>
        <v>243</v>
      </c>
      <c r="K389" s="167">
        <f t="shared" si="279"/>
        <v>179</v>
      </c>
      <c r="L389" s="168">
        <f t="shared" si="280"/>
        <v>156</v>
      </c>
      <c r="M389" s="166">
        <f t="shared" si="281"/>
        <v>304</v>
      </c>
      <c r="N389" s="167">
        <f t="shared" si="282"/>
        <v>224</v>
      </c>
      <c r="O389" s="168">
        <f t="shared" si="283"/>
        <v>195</v>
      </c>
      <c r="P389" s="169">
        <f t="shared" si="284"/>
        <v>456</v>
      </c>
      <c r="Q389" s="169">
        <f t="shared" si="285"/>
        <v>337</v>
      </c>
      <c r="R389" s="169">
        <f t="shared" si="286"/>
        <v>293</v>
      </c>
      <c r="S389" s="584">
        <f t="shared" si="291"/>
        <v>3045</v>
      </c>
      <c r="T389" s="594">
        <f t="shared" si="292"/>
        <v>2247</v>
      </c>
      <c r="U389" s="595">
        <f t="shared" si="293"/>
        <v>1957</v>
      </c>
      <c r="V389" s="166">
        <f t="shared" si="294"/>
        <v>6936</v>
      </c>
      <c r="W389" s="167">
        <f t="shared" si="295"/>
        <v>5114</v>
      </c>
      <c r="X389" s="168">
        <f t="shared" si="296"/>
        <v>4453</v>
      </c>
      <c r="Y389" s="166">
        <f t="shared" si="297"/>
        <v>7848</v>
      </c>
      <c r="Z389" s="167">
        <f t="shared" si="298"/>
        <v>5451</v>
      </c>
      <c r="AA389" s="168">
        <f t="shared" si="299"/>
        <v>5332</v>
      </c>
      <c r="AB389" s="166">
        <f t="shared" si="300"/>
        <v>9216</v>
      </c>
      <c r="AC389" s="167">
        <f t="shared" si="301"/>
        <v>6462</v>
      </c>
      <c r="AD389" s="168">
        <f t="shared" si="302"/>
        <v>5625</v>
      </c>
      <c r="AE389" s="166">
        <f t="shared" si="303"/>
        <v>10128</v>
      </c>
      <c r="AF389" s="167">
        <f t="shared" si="304"/>
        <v>7810</v>
      </c>
      <c r="AG389" s="168">
        <f t="shared" si="305"/>
        <v>6211</v>
      </c>
      <c r="AH389" s="166">
        <f t="shared" si="306"/>
        <v>11040</v>
      </c>
      <c r="AI389" s="167">
        <f t="shared" si="307"/>
        <v>8484</v>
      </c>
      <c r="AJ389" s="168">
        <f t="shared" si="308"/>
        <v>7383</v>
      </c>
      <c r="AK389" s="169">
        <f t="shared" si="309"/>
        <v>12423</v>
      </c>
      <c r="AL389" s="167">
        <f t="shared" si="310"/>
        <v>9168</v>
      </c>
      <c r="AM389" s="585">
        <f t="shared" si="311"/>
        <v>7985</v>
      </c>
      <c r="AN389" s="596">
        <v>0.25</v>
      </c>
      <c r="AO389" s="597">
        <v>0.28000000000000003</v>
      </c>
      <c r="AP389" s="597">
        <v>0.31</v>
      </c>
      <c r="AQ389" s="598">
        <v>0.34</v>
      </c>
      <c r="AR389" s="1132">
        <v>0.37</v>
      </c>
      <c r="AS389" s="1136"/>
      <c r="AT389" s="1137"/>
      <c r="AU389" s="1137"/>
      <c r="AV389" s="1137"/>
      <c r="AW389" s="1138"/>
      <c r="AX389" s="596">
        <v>0.04</v>
      </c>
      <c r="AY389" s="598">
        <v>4.2999999999999997E-2</v>
      </c>
      <c r="AZ389" s="598">
        <v>4.5999999999999999E-2</v>
      </c>
      <c r="BA389" s="598">
        <v>4.9000000000000002E-2</v>
      </c>
      <c r="BB389" s="598">
        <v>5.1999999999999998E-2</v>
      </c>
      <c r="BC389" s="598"/>
      <c r="BD389" s="599"/>
      <c r="BE389" s="596"/>
      <c r="BF389" s="598"/>
      <c r="BG389" s="598"/>
      <c r="BH389" s="598"/>
      <c r="BI389" s="598"/>
      <c r="BJ389" s="598"/>
      <c r="BK389" s="605"/>
      <c r="BL389" s="658">
        <f t="shared" si="287"/>
        <v>29000</v>
      </c>
      <c r="BM389" s="3">
        <f t="shared" si="288"/>
        <v>42</v>
      </c>
      <c r="BN389" s="3">
        <f t="shared" si="289"/>
        <v>31</v>
      </c>
      <c r="BO389" s="3">
        <f t="shared" si="290"/>
        <v>27</v>
      </c>
    </row>
    <row r="390" spans="2:67">
      <c r="B390" s="606" t="s">
        <v>1903</v>
      </c>
      <c r="C390" s="607" t="s">
        <v>310</v>
      </c>
      <c r="D390" s="607" t="s">
        <v>1895</v>
      </c>
      <c r="E390" s="238" t="s">
        <v>1150</v>
      </c>
      <c r="F390" s="608">
        <v>387</v>
      </c>
      <c r="G390" s="609">
        <v>6230</v>
      </c>
      <c r="H390" s="610">
        <v>5160</v>
      </c>
      <c r="I390" s="611">
        <v>6407</v>
      </c>
      <c r="J390" s="166">
        <f t="shared" si="278"/>
        <v>124</v>
      </c>
      <c r="K390" s="167">
        <f t="shared" si="279"/>
        <v>103</v>
      </c>
      <c r="L390" s="168">
        <f t="shared" si="280"/>
        <v>128</v>
      </c>
      <c r="M390" s="166">
        <f t="shared" si="281"/>
        <v>186</v>
      </c>
      <c r="N390" s="167">
        <f t="shared" si="282"/>
        <v>154</v>
      </c>
      <c r="O390" s="168">
        <f t="shared" si="283"/>
        <v>192</v>
      </c>
      <c r="P390" s="169">
        <f t="shared" si="284"/>
        <v>249</v>
      </c>
      <c r="Q390" s="169">
        <f t="shared" si="285"/>
        <v>206</v>
      </c>
      <c r="R390" s="169">
        <f t="shared" si="286"/>
        <v>256</v>
      </c>
      <c r="S390" s="584">
        <f t="shared" si="291"/>
        <v>1869</v>
      </c>
      <c r="T390" s="594">
        <f t="shared" si="292"/>
        <v>1548</v>
      </c>
      <c r="U390" s="595">
        <f t="shared" si="293"/>
        <v>1922</v>
      </c>
      <c r="V390" s="166">
        <f t="shared" si="294"/>
        <v>3853</v>
      </c>
      <c r="W390" s="167">
        <f t="shared" si="295"/>
        <v>3191</v>
      </c>
      <c r="X390" s="168">
        <f t="shared" si="296"/>
        <v>3970</v>
      </c>
      <c r="Y390" s="166">
        <f t="shared" si="297"/>
        <v>4351</v>
      </c>
      <c r="Z390" s="167">
        <f t="shared" si="298"/>
        <v>3603</v>
      </c>
      <c r="AA390" s="168">
        <f t="shared" si="299"/>
        <v>4482</v>
      </c>
      <c r="AB390" s="166">
        <f t="shared" si="300"/>
        <v>4849</v>
      </c>
      <c r="AC390" s="167">
        <f t="shared" si="301"/>
        <v>4015</v>
      </c>
      <c r="AD390" s="168">
        <f t="shared" si="302"/>
        <v>4994</v>
      </c>
      <c r="AE390" s="166">
        <f t="shared" si="303"/>
        <v>5347</v>
      </c>
      <c r="AF390" s="167">
        <f t="shared" si="304"/>
        <v>4221</v>
      </c>
      <c r="AG390" s="168">
        <f t="shared" si="305"/>
        <v>5506</v>
      </c>
      <c r="AH390" s="166">
        <f t="shared" si="306"/>
        <v>5596</v>
      </c>
      <c r="AI390" s="167">
        <f t="shared" si="307"/>
        <v>4633</v>
      </c>
      <c r="AJ390" s="168">
        <f t="shared" si="308"/>
        <v>6274</v>
      </c>
      <c r="AK390" s="169">
        <f t="shared" si="309"/>
        <v>6354</v>
      </c>
      <c r="AL390" s="167">
        <f t="shared" si="310"/>
        <v>5263</v>
      </c>
      <c r="AM390" s="585">
        <f t="shared" si="311"/>
        <v>6535</v>
      </c>
      <c r="AN390" s="614">
        <v>4.2000000000000003E-2</v>
      </c>
      <c r="AO390" s="615">
        <v>4.4999999999999998E-2</v>
      </c>
      <c r="AP390" s="615">
        <v>4.8000000000000001E-2</v>
      </c>
      <c r="AQ390" s="616">
        <v>5.0999999999999997E-2</v>
      </c>
      <c r="AR390" s="612">
        <v>5.3999999999999999E-2</v>
      </c>
      <c r="AS390" s="617"/>
      <c r="AT390" s="618"/>
      <c r="AU390" s="618"/>
      <c r="AV390" s="618"/>
      <c r="AW390" s="619"/>
      <c r="AX390" s="614">
        <v>0.03</v>
      </c>
      <c r="AY390" s="616">
        <v>3.5000000000000003E-2</v>
      </c>
      <c r="AZ390" s="616">
        <v>0.04</v>
      </c>
      <c r="BA390" s="616">
        <v>4.4999999999999998E-2</v>
      </c>
      <c r="BB390" s="616">
        <v>0.05</v>
      </c>
      <c r="BC390" s="616"/>
      <c r="BD390" s="612"/>
      <c r="BE390" s="596"/>
      <c r="BF390" s="598"/>
      <c r="BG390" s="598"/>
      <c r="BH390" s="598"/>
      <c r="BI390" s="598"/>
      <c r="BJ390" s="598"/>
      <c r="BK390" s="605"/>
      <c r="BL390" s="658">
        <f t="shared" si="287"/>
        <v>17800</v>
      </c>
      <c r="BM390" s="3">
        <f t="shared" si="288"/>
        <v>35</v>
      </c>
      <c r="BN390" s="3">
        <f t="shared" si="289"/>
        <v>29</v>
      </c>
      <c r="BO390" s="3">
        <f t="shared" si="290"/>
        <v>36</v>
      </c>
    </row>
    <row r="391" spans="2:67">
      <c r="B391" s="1271" t="s">
        <v>1894</v>
      </c>
      <c r="C391" s="1069" t="s">
        <v>309</v>
      </c>
      <c r="D391" s="1069" t="s">
        <v>1895</v>
      </c>
      <c r="E391" s="1268" t="s">
        <v>1150</v>
      </c>
      <c r="F391" s="592">
        <v>388</v>
      </c>
      <c r="G391" s="1071">
        <v>10829</v>
      </c>
      <c r="H391" s="1072">
        <v>8549</v>
      </c>
      <c r="I391" s="1073">
        <v>9120</v>
      </c>
      <c r="J391" s="166">
        <f t="shared" ref="J391:J454" si="312">INT(G391/50+0.05)</f>
        <v>216</v>
      </c>
      <c r="K391" s="167">
        <f t="shared" ref="K391:K454" si="313">INT(H391/50+0.05)</f>
        <v>171</v>
      </c>
      <c r="L391" s="168">
        <f t="shared" ref="L391:L454" si="314">INT(I391/50+0.05)</f>
        <v>182</v>
      </c>
      <c r="M391" s="166">
        <f t="shared" ref="M391:M454" si="315">INT(IF($C391="UR",IF($E391="party卡",G391*0.0270833333333333,G391*0.025),0)+IF($C391="SR",G391*0.03,0)+IF($C391="R",G391*0.0375,0)+0.05)</f>
        <v>270</v>
      </c>
      <c r="N391" s="167">
        <f t="shared" ref="N391:N454" si="316">INT(IF($C391="UR",IF($E391="party卡",H391*0.0270833333333333,H391*0.025),0)+IF($C391="SR",H391*0.03,0)+IF($C391="R",H391*0.0375,0)+0.05)</f>
        <v>213</v>
      </c>
      <c r="O391" s="168">
        <f t="shared" ref="O391:O454" si="317">INT(IF($C391="UR",IF($E391="party卡",I391*0.0270833333333333,I391*0.025),0)+IF($C391="SR",I391*0.03,0)+IF($C391="R",I391*0.0375,0)+0.05)</f>
        <v>228</v>
      </c>
      <c r="P391" s="169">
        <f t="shared" ref="P391:P454" si="318">INT(IF($C391="UR",IF($E391="party卡",G391*0.04375,G391*0.0375),0)+IF($C391="SR",G391*0.04,0)+IF($C391="R",G391*0.05,0)+0.05)</f>
        <v>406</v>
      </c>
      <c r="Q391" s="169">
        <f t="shared" ref="Q391:Q454" si="319">INT(IF($C391="UR",IF($E391="party卡",H391*0.04375,H391*0.0375),0)+IF($C391="SR",H391*0.04,0)+IF($C391="R",H391*0.05,0)+0.05)</f>
        <v>320</v>
      </c>
      <c r="R391" s="169">
        <f t="shared" ref="R391:R454" si="320">INT(IF($C391="UR",IF($E391="party卡",I391*0.04375,I391*0.0375),0)+IF($C391="SR",I391*0.04,0)+IF($C391="R",I391*0.05,0)+0.05)</f>
        <v>342</v>
      </c>
      <c r="S391" s="584">
        <f t="shared" si="291"/>
        <v>2707</v>
      </c>
      <c r="T391" s="594">
        <f t="shared" si="292"/>
        <v>2137</v>
      </c>
      <c r="U391" s="595">
        <f t="shared" si="293"/>
        <v>2280</v>
      </c>
      <c r="V391" s="166">
        <f t="shared" si="294"/>
        <v>6163</v>
      </c>
      <c r="W391" s="167">
        <f t="shared" si="295"/>
        <v>4864</v>
      </c>
      <c r="X391" s="168">
        <f t="shared" si="296"/>
        <v>5198</v>
      </c>
      <c r="Y391" s="166">
        <f t="shared" si="297"/>
        <v>6569</v>
      </c>
      <c r="Z391" s="167">
        <f t="shared" si="298"/>
        <v>5504</v>
      </c>
      <c r="AA391" s="168">
        <f t="shared" si="299"/>
        <v>6224</v>
      </c>
      <c r="AB391" s="166">
        <f t="shared" si="300"/>
        <v>7787</v>
      </c>
      <c r="AC391" s="167">
        <f t="shared" si="301"/>
        <v>6464</v>
      </c>
      <c r="AD391" s="168">
        <f t="shared" si="302"/>
        <v>6566</v>
      </c>
      <c r="AE391" s="166">
        <f t="shared" si="303"/>
        <v>9411</v>
      </c>
      <c r="AF391" s="167">
        <f t="shared" si="304"/>
        <v>7104</v>
      </c>
      <c r="AG391" s="168">
        <f t="shared" si="305"/>
        <v>7250</v>
      </c>
      <c r="AH391" s="166">
        <f t="shared" si="306"/>
        <v>10223</v>
      </c>
      <c r="AI391" s="167">
        <f t="shared" si="307"/>
        <v>7744</v>
      </c>
      <c r="AJ391" s="168">
        <f t="shared" si="308"/>
        <v>8618</v>
      </c>
      <c r="AK391" s="169">
        <f t="shared" si="309"/>
        <v>11045</v>
      </c>
      <c r="AL391" s="167">
        <f t="shared" si="310"/>
        <v>8720</v>
      </c>
      <c r="AM391" s="585">
        <f t="shared" si="311"/>
        <v>9302</v>
      </c>
      <c r="AN391" s="596">
        <v>0.06</v>
      </c>
      <c r="AO391" s="597">
        <v>6.3E-2</v>
      </c>
      <c r="AP391" s="597">
        <v>6.6000000000000003E-2</v>
      </c>
      <c r="AQ391" s="598">
        <v>6.9000000000000006E-2</v>
      </c>
      <c r="AR391" s="599">
        <v>7.1999999999999995E-2</v>
      </c>
      <c r="AS391" s="1136"/>
      <c r="AT391" s="1137"/>
      <c r="AU391" s="1137"/>
      <c r="AV391" s="1137"/>
      <c r="AW391" s="1138"/>
      <c r="AX391" s="596">
        <v>0.04</v>
      </c>
      <c r="AY391" s="598">
        <v>4.2999999999999997E-2</v>
      </c>
      <c r="AZ391" s="598">
        <v>4.5999999999999999E-2</v>
      </c>
      <c r="BA391" s="598">
        <v>4.9000000000000002E-2</v>
      </c>
      <c r="BB391" s="598">
        <v>5.1999999999999998E-2</v>
      </c>
      <c r="BC391" s="598"/>
      <c r="BD391" s="599"/>
      <c r="BE391" s="596"/>
      <c r="BF391" s="598"/>
      <c r="BG391" s="598"/>
      <c r="BH391" s="598"/>
      <c r="BI391" s="598"/>
      <c r="BJ391" s="598"/>
      <c r="BK391" s="605"/>
      <c r="BL391" s="658">
        <f t="shared" ref="BL391:BL454" si="321">ROUND(($G391+$H391+$I391)/50,0)*50</f>
        <v>28500</v>
      </c>
      <c r="BM391" s="3">
        <f t="shared" ref="BM391:BM454" si="322">ROUND(100*G391/($G391+$H391+$I391),0)</f>
        <v>38</v>
      </c>
      <c r="BN391" s="3">
        <f t="shared" ref="BN391:BN454" si="323">ROUND(100*H391/($G391+$H391+$I391),0)</f>
        <v>30</v>
      </c>
      <c r="BO391" s="3">
        <f t="shared" ref="BO391:BO454" si="324">ROUND(100*I391/($G391+$H391+$I391),0)</f>
        <v>32</v>
      </c>
    </row>
    <row r="392" spans="2:67">
      <c r="B392" s="1271" t="s">
        <v>1899</v>
      </c>
      <c r="C392" s="1069" t="s">
        <v>309</v>
      </c>
      <c r="D392" s="1069" t="s">
        <v>1900</v>
      </c>
      <c r="E392" s="1267" t="s">
        <v>125</v>
      </c>
      <c r="F392" s="1070">
        <v>389</v>
      </c>
      <c r="G392" s="1071">
        <v>7920</v>
      </c>
      <c r="H392" s="1072">
        <v>7440</v>
      </c>
      <c r="I392" s="1073">
        <v>8640</v>
      </c>
      <c r="J392" s="166">
        <f t="shared" si="312"/>
        <v>158</v>
      </c>
      <c r="K392" s="167">
        <f t="shared" si="313"/>
        <v>148</v>
      </c>
      <c r="L392" s="168">
        <f t="shared" si="314"/>
        <v>172</v>
      </c>
      <c r="M392" s="166">
        <f t="shared" si="315"/>
        <v>198</v>
      </c>
      <c r="N392" s="167">
        <f t="shared" si="316"/>
        <v>186</v>
      </c>
      <c r="O392" s="168">
        <f t="shared" si="317"/>
        <v>216</v>
      </c>
      <c r="P392" s="169">
        <f t="shared" si="318"/>
        <v>297</v>
      </c>
      <c r="Q392" s="169">
        <f t="shared" si="319"/>
        <v>279</v>
      </c>
      <c r="R392" s="169">
        <f t="shared" si="320"/>
        <v>324</v>
      </c>
      <c r="S392" s="584">
        <f t="shared" si="291"/>
        <v>1980</v>
      </c>
      <c r="T392" s="594">
        <f t="shared" si="292"/>
        <v>1860</v>
      </c>
      <c r="U392" s="595">
        <f t="shared" si="293"/>
        <v>2160</v>
      </c>
      <c r="V392" s="166">
        <f t="shared" si="294"/>
        <v>4514</v>
      </c>
      <c r="W392" s="167">
        <f t="shared" si="295"/>
        <v>4240</v>
      </c>
      <c r="X392" s="168">
        <f t="shared" si="296"/>
        <v>4924</v>
      </c>
      <c r="Y392" s="166">
        <f t="shared" si="297"/>
        <v>4811</v>
      </c>
      <c r="Z392" s="167">
        <f t="shared" si="298"/>
        <v>5077</v>
      </c>
      <c r="AA392" s="168">
        <f t="shared" si="299"/>
        <v>5572</v>
      </c>
      <c r="AB392" s="166">
        <f t="shared" si="300"/>
        <v>5702</v>
      </c>
      <c r="AC392" s="167">
        <f t="shared" si="301"/>
        <v>5356</v>
      </c>
      <c r="AD392" s="168">
        <f t="shared" si="302"/>
        <v>6544</v>
      </c>
      <c r="AE392" s="166">
        <f t="shared" si="303"/>
        <v>6890</v>
      </c>
      <c r="AF392" s="167">
        <f t="shared" si="304"/>
        <v>5914</v>
      </c>
      <c r="AG392" s="168">
        <f t="shared" si="305"/>
        <v>7192</v>
      </c>
      <c r="AH392" s="166">
        <f t="shared" si="306"/>
        <v>7484</v>
      </c>
      <c r="AI392" s="167">
        <f t="shared" si="307"/>
        <v>7030</v>
      </c>
      <c r="AJ392" s="168">
        <f t="shared" si="308"/>
        <v>7840</v>
      </c>
      <c r="AK392" s="169">
        <f t="shared" si="309"/>
        <v>8078</v>
      </c>
      <c r="AL392" s="167">
        <f t="shared" si="310"/>
        <v>7588</v>
      </c>
      <c r="AM392" s="585">
        <f t="shared" si="311"/>
        <v>8812</v>
      </c>
      <c r="AN392" s="1133">
        <v>0.16</v>
      </c>
      <c r="AO392" s="1134">
        <v>0.19</v>
      </c>
      <c r="AP392" s="1134">
        <v>0.22</v>
      </c>
      <c r="AQ392" s="1135">
        <v>0.25</v>
      </c>
      <c r="AR392" s="1132">
        <v>0.28000000000000003</v>
      </c>
      <c r="AS392" s="1136"/>
      <c r="AT392" s="1137"/>
      <c r="AU392" s="1137"/>
      <c r="AV392" s="1137"/>
      <c r="AW392" s="1138"/>
      <c r="AX392" s="596">
        <v>0.04</v>
      </c>
      <c r="AY392" s="598">
        <v>4.2999999999999997E-2</v>
      </c>
      <c r="AZ392" s="598">
        <v>4.5999999999999999E-2</v>
      </c>
      <c r="BA392" s="598">
        <v>4.9000000000000002E-2</v>
      </c>
      <c r="BB392" s="598">
        <v>5.1999999999999998E-2</v>
      </c>
      <c r="BC392" s="598"/>
      <c r="BD392" s="599"/>
      <c r="BE392" s="596"/>
      <c r="BF392" s="598"/>
      <c r="BG392" s="598"/>
      <c r="BH392" s="598"/>
      <c r="BI392" s="598"/>
      <c r="BJ392" s="598"/>
      <c r="BK392" s="605"/>
      <c r="BL392" s="658">
        <f t="shared" si="321"/>
        <v>24000</v>
      </c>
      <c r="BM392" s="3">
        <f t="shared" si="322"/>
        <v>33</v>
      </c>
      <c r="BN392" s="3">
        <f t="shared" si="323"/>
        <v>31</v>
      </c>
      <c r="BO392" s="3">
        <f t="shared" si="324"/>
        <v>36</v>
      </c>
    </row>
    <row r="393" spans="2:67">
      <c r="B393" s="606" t="s">
        <v>1907</v>
      </c>
      <c r="C393" s="607" t="s">
        <v>310</v>
      </c>
      <c r="D393" s="607" t="s">
        <v>1908</v>
      </c>
      <c r="E393" s="238" t="s">
        <v>125</v>
      </c>
      <c r="F393" s="592">
        <v>390</v>
      </c>
      <c r="G393" s="609">
        <v>3846</v>
      </c>
      <c r="H393" s="610">
        <v>6510</v>
      </c>
      <c r="I393" s="611">
        <v>4440</v>
      </c>
      <c r="J393" s="166">
        <f t="shared" si="312"/>
        <v>76</v>
      </c>
      <c r="K393" s="167">
        <f t="shared" si="313"/>
        <v>130</v>
      </c>
      <c r="L393" s="168">
        <f t="shared" si="314"/>
        <v>88</v>
      </c>
      <c r="M393" s="166">
        <f t="shared" si="315"/>
        <v>115</v>
      </c>
      <c r="N393" s="167">
        <f t="shared" si="316"/>
        <v>195</v>
      </c>
      <c r="O393" s="168">
        <f t="shared" si="317"/>
        <v>133</v>
      </c>
      <c r="P393" s="169">
        <f t="shared" si="318"/>
        <v>153</v>
      </c>
      <c r="Q393" s="169">
        <f t="shared" si="319"/>
        <v>260</v>
      </c>
      <c r="R393" s="169">
        <f t="shared" si="320"/>
        <v>177</v>
      </c>
      <c r="S393" s="584">
        <f t="shared" si="291"/>
        <v>1154</v>
      </c>
      <c r="T393" s="594">
        <f t="shared" si="292"/>
        <v>1953</v>
      </c>
      <c r="U393" s="595">
        <f t="shared" si="293"/>
        <v>1332</v>
      </c>
      <c r="V393" s="166">
        <f t="shared" si="294"/>
        <v>2380</v>
      </c>
      <c r="W393" s="167">
        <f t="shared" si="295"/>
        <v>4033</v>
      </c>
      <c r="X393" s="168">
        <f t="shared" si="296"/>
        <v>2750</v>
      </c>
      <c r="Y393" s="166">
        <f t="shared" si="297"/>
        <v>2686</v>
      </c>
      <c r="Z393" s="167">
        <f t="shared" si="298"/>
        <v>4553</v>
      </c>
      <c r="AA393" s="168">
        <f t="shared" si="299"/>
        <v>3104</v>
      </c>
      <c r="AB393" s="166">
        <f t="shared" si="300"/>
        <v>2992</v>
      </c>
      <c r="AC393" s="167">
        <f t="shared" si="301"/>
        <v>5073</v>
      </c>
      <c r="AD393" s="168">
        <f t="shared" si="302"/>
        <v>3458</v>
      </c>
      <c r="AE393" s="166">
        <f t="shared" si="303"/>
        <v>3298</v>
      </c>
      <c r="AF393" s="167">
        <f t="shared" si="304"/>
        <v>5333</v>
      </c>
      <c r="AG393" s="168">
        <f t="shared" si="305"/>
        <v>3812</v>
      </c>
      <c r="AH393" s="166">
        <f t="shared" si="306"/>
        <v>3757</v>
      </c>
      <c r="AI393" s="167">
        <f t="shared" si="307"/>
        <v>5853</v>
      </c>
      <c r="AJ393" s="168">
        <f t="shared" si="308"/>
        <v>3989</v>
      </c>
      <c r="AK393" s="169">
        <f t="shared" si="309"/>
        <v>3922</v>
      </c>
      <c r="AL393" s="167">
        <f t="shared" si="310"/>
        <v>6640</v>
      </c>
      <c r="AM393" s="585">
        <f t="shared" si="311"/>
        <v>4528</v>
      </c>
      <c r="AN393" s="614">
        <v>0.08</v>
      </c>
      <c r="AO393" s="615">
        <v>0.11</v>
      </c>
      <c r="AP393" s="615">
        <v>0.14000000000000001</v>
      </c>
      <c r="AQ393" s="616">
        <v>0.17</v>
      </c>
      <c r="AR393" s="612">
        <v>0.2</v>
      </c>
      <c r="AS393" s="617"/>
      <c r="AT393" s="618"/>
      <c r="AU393" s="618"/>
      <c r="AV393" s="618"/>
      <c r="AW393" s="619"/>
      <c r="AX393" s="596">
        <v>0.02</v>
      </c>
      <c r="AY393" s="598">
        <v>2.3E-2</v>
      </c>
      <c r="AZ393" s="598">
        <v>2.5999999999999999E-2</v>
      </c>
      <c r="BA393" s="598">
        <v>2.9000000000000001E-2</v>
      </c>
      <c r="BB393" s="598">
        <v>3.2000000000000001E-2</v>
      </c>
      <c r="BC393" s="598"/>
      <c r="BD393" s="599"/>
      <c r="BE393" s="596"/>
      <c r="BF393" s="598"/>
      <c r="BG393" s="598"/>
      <c r="BH393" s="598"/>
      <c r="BI393" s="598"/>
      <c r="BJ393" s="598"/>
      <c r="BK393" s="605"/>
      <c r="BL393" s="658">
        <f t="shared" si="321"/>
        <v>14800</v>
      </c>
      <c r="BM393" s="3">
        <f t="shared" si="322"/>
        <v>26</v>
      </c>
      <c r="BN393" s="3">
        <f t="shared" si="323"/>
        <v>44</v>
      </c>
      <c r="BO393" s="3">
        <f t="shared" si="324"/>
        <v>30</v>
      </c>
    </row>
    <row r="394" spans="2:67">
      <c r="B394" s="606" t="s">
        <v>1912</v>
      </c>
      <c r="C394" s="607" t="s">
        <v>310</v>
      </c>
      <c r="D394" s="607" t="s">
        <v>1888</v>
      </c>
      <c r="E394" s="613" t="s">
        <v>125</v>
      </c>
      <c r="F394" s="608">
        <v>391</v>
      </c>
      <c r="G394" s="609">
        <v>6510</v>
      </c>
      <c r="H394" s="610">
        <v>3700</v>
      </c>
      <c r="I394" s="611">
        <v>4587</v>
      </c>
      <c r="J394" s="166">
        <f t="shared" si="312"/>
        <v>130</v>
      </c>
      <c r="K394" s="167">
        <f t="shared" si="313"/>
        <v>74</v>
      </c>
      <c r="L394" s="168">
        <f t="shared" si="314"/>
        <v>91</v>
      </c>
      <c r="M394" s="166">
        <f t="shared" si="315"/>
        <v>195</v>
      </c>
      <c r="N394" s="167">
        <f t="shared" si="316"/>
        <v>111</v>
      </c>
      <c r="O394" s="168">
        <f t="shared" si="317"/>
        <v>137</v>
      </c>
      <c r="P394" s="169">
        <f t="shared" si="318"/>
        <v>260</v>
      </c>
      <c r="Q394" s="169">
        <f t="shared" si="319"/>
        <v>148</v>
      </c>
      <c r="R394" s="169">
        <f t="shared" si="320"/>
        <v>183</v>
      </c>
      <c r="S394" s="584">
        <f t="shared" si="291"/>
        <v>1953</v>
      </c>
      <c r="T394" s="594">
        <f t="shared" si="292"/>
        <v>1110</v>
      </c>
      <c r="U394" s="595">
        <f t="shared" si="293"/>
        <v>1376</v>
      </c>
      <c r="V394" s="166">
        <f t="shared" si="294"/>
        <v>4033</v>
      </c>
      <c r="W394" s="167">
        <f t="shared" si="295"/>
        <v>2294</v>
      </c>
      <c r="X394" s="168">
        <f t="shared" si="296"/>
        <v>2837</v>
      </c>
      <c r="Y394" s="166">
        <f t="shared" si="297"/>
        <v>4553</v>
      </c>
      <c r="Z394" s="167">
        <f t="shared" si="298"/>
        <v>2590</v>
      </c>
      <c r="AA394" s="168">
        <f t="shared" si="299"/>
        <v>3203</v>
      </c>
      <c r="AB394" s="166">
        <f t="shared" si="300"/>
        <v>5073</v>
      </c>
      <c r="AC394" s="167">
        <f t="shared" si="301"/>
        <v>2886</v>
      </c>
      <c r="AD394" s="168">
        <f t="shared" si="302"/>
        <v>3569</v>
      </c>
      <c r="AE394" s="166">
        <f t="shared" si="303"/>
        <v>5333</v>
      </c>
      <c r="AF394" s="167">
        <f t="shared" si="304"/>
        <v>3182</v>
      </c>
      <c r="AG394" s="168">
        <f t="shared" si="305"/>
        <v>3935</v>
      </c>
      <c r="AH394" s="166">
        <f t="shared" si="306"/>
        <v>5853</v>
      </c>
      <c r="AI394" s="167">
        <f t="shared" si="307"/>
        <v>3330</v>
      </c>
      <c r="AJ394" s="168">
        <f t="shared" si="308"/>
        <v>4484</v>
      </c>
      <c r="AK394" s="169">
        <f t="shared" si="309"/>
        <v>6640</v>
      </c>
      <c r="AL394" s="167">
        <f t="shared" si="310"/>
        <v>3774</v>
      </c>
      <c r="AM394" s="585">
        <f t="shared" si="311"/>
        <v>4678</v>
      </c>
      <c r="AN394" s="614">
        <v>0.02</v>
      </c>
      <c r="AO394" s="615">
        <v>2.3E-2</v>
      </c>
      <c r="AP394" s="615">
        <v>2.5999999999999999E-2</v>
      </c>
      <c r="AQ394" s="616">
        <v>2.9000000000000001E-2</v>
      </c>
      <c r="AR394" s="612">
        <v>3.2000000000000001E-2</v>
      </c>
      <c r="AS394" s="617"/>
      <c r="AT394" s="618"/>
      <c r="AU394" s="618"/>
      <c r="AV394" s="618"/>
      <c r="AW394" s="619"/>
      <c r="AX394" s="596">
        <v>0.05</v>
      </c>
      <c r="AY394" s="598">
        <v>5.5E-2</v>
      </c>
      <c r="AZ394" s="598">
        <v>0.06</v>
      </c>
      <c r="BA394" s="598">
        <v>6.5000000000000002E-2</v>
      </c>
      <c r="BB394" s="598">
        <v>7.0000000000000007E-2</v>
      </c>
      <c r="BC394" s="598"/>
      <c r="BD394" s="599"/>
      <c r="BE394" s="596"/>
      <c r="BF394" s="598"/>
      <c r="BG394" s="598"/>
      <c r="BH394" s="598"/>
      <c r="BI394" s="598"/>
      <c r="BJ394" s="598"/>
      <c r="BK394" s="605"/>
      <c r="BL394" s="658">
        <f t="shared" si="321"/>
        <v>14800</v>
      </c>
      <c r="BM394" s="3">
        <f t="shared" si="322"/>
        <v>44</v>
      </c>
      <c r="BN394" s="3">
        <f t="shared" si="323"/>
        <v>25</v>
      </c>
      <c r="BO394" s="3">
        <f t="shared" si="324"/>
        <v>31</v>
      </c>
    </row>
    <row r="395" spans="2:67">
      <c r="B395" s="1271" t="s">
        <v>2042</v>
      </c>
      <c r="C395" s="1069" t="s">
        <v>309</v>
      </c>
      <c r="D395" s="1069" t="s">
        <v>358</v>
      </c>
      <c r="E395" s="1268" t="s">
        <v>939</v>
      </c>
      <c r="F395" s="592">
        <v>392</v>
      </c>
      <c r="G395" s="1071">
        <v>13229</v>
      </c>
      <c r="H395" s="1072">
        <v>7244</v>
      </c>
      <c r="I395" s="1073">
        <v>11024</v>
      </c>
      <c r="J395" s="166">
        <f t="shared" si="312"/>
        <v>264</v>
      </c>
      <c r="K395" s="167">
        <f t="shared" si="313"/>
        <v>144</v>
      </c>
      <c r="L395" s="168">
        <f t="shared" si="314"/>
        <v>220</v>
      </c>
      <c r="M395" s="166">
        <f t="shared" si="315"/>
        <v>330</v>
      </c>
      <c r="N395" s="167">
        <f t="shared" si="316"/>
        <v>181</v>
      </c>
      <c r="O395" s="168">
        <f t="shared" si="317"/>
        <v>275</v>
      </c>
      <c r="P395" s="169">
        <f t="shared" si="318"/>
        <v>496</v>
      </c>
      <c r="Q395" s="169">
        <f t="shared" si="319"/>
        <v>271</v>
      </c>
      <c r="R395" s="169">
        <f t="shared" si="320"/>
        <v>413</v>
      </c>
      <c r="S395" s="584">
        <f t="shared" si="291"/>
        <v>3307</v>
      </c>
      <c r="T395" s="594">
        <f t="shared" si="292"/>
        <v>1811</v>
      </c>
      <c r="U395" s="595">
        <f t="shared" si="293"/>
        <v>2756</v>
      </c>
      <c r="V395" s="166">
        <f t="shared" si="294"/>
        <v>7531</v>
      </c>
      <c r="W395" s="167">
        <f t="shared" si="295"/>
        <v>4127</v>
      </c>
      <c r="X395" s="168">
        <f t="shared" si="296"/>
        <v>6276</v>
      </c>
      <c r="Y395" s="166">
        <f t="shared" si="297"/>
        <v>8523</v>
      </c>
      <c r="Z395" s="167">
        <f t="shared" si="298"/>
        <v>4398</v>
      </c>
      <c r="AA395" s="168">
        <f t="shared" si="299"/>
        <v>7515</v>
      </c>
      <c r="AB395" s="166">
        <f t="shared" si="300"/>
        <v>10011</v>
      </c>
      <c r="AC395" s="167">
        <f t="shared" si="301"/>
        <v>5211</v>
      </c>
      <c r="AD395" s="168">
        <f t="shared" si="302"/>
        <v>7928</v>
      </c>
      <c r="AE395" s="166">
        <f t="shared" si="303"/>
        <v>11003</v>
      </c>
      <c r="AF395" s="167">
        <f t="shared" si="304"/>
        <v>6295</v>
      </c>
      <c r="AG395" s="168">
        <f t="shared" si="305"/>
        <v>8754</v>
      </c>
      <c r="AH395" s="166">
        <f t="shared" si="306"/>
        <v>11995</v>
      </c>
      <c r="AI395" s="167">
        <f t="shared" si="307"/>
        <v>6837</v>
      </c>
      <c r="AJ395" s="168">
        <f t="shared" si="308"/>
        <v>10406</v>
      </c>
      <c r="AK395" s="169">
        <f t="shared" si="309"/>
        <v>13493</v>
      </c>
      <c r="AL395" s="167">
        <f t="shared" si="310"/>
        <v>7388</v>
      </c>
      <c r="AM395" s="585">
        <f t="shared" si="311"/>
        <v>11244</v>
      </c>
      <c r="AN395" s="1133">
        <v>7.0000000000000007E-2</v>
      </c>
      <c r="AO395" s="1134">
        <v>7.2999999999999995E-2</v>
      </c>
      <c r="AP395" s="1134">
        <v>7.5999999999999998E-2</v>
      </c>
      <c r="AQ395" s="1135">
        <v>7.9000000000000001E-2</v>
      </c>
      <c r="AR395" s="1132">
        <v>8.2000000000000003E-2</v>
      </c>
      <c r="AS395" s="1136"/>
      <c r="AT395" s="1137"/>
      <c r="AU395" s="1137"/>
      <c r="AV395" s="1137"/>
      <c r="AW395" s="1138"/>
      <c r="AX395" s="596">
        <v>0.04</v>
      </c>
      <c r="AY395" s="598">
        <v>4.2999999999999997E-2</v>
      </c>
      <c r="AZ395" s="598">
        <v>4.5999999999999999E-2</v>
      </c>
      <c r="BA395" s="598">
        <v>4.9000000000000002E-2</v>
      </c>
      <c r="BB395" s="598">
        <v>5.1999999999999998E-2</v>
      </c>
      <c r="BC395" s="598"/>
      <c r="BD395" s="599"/>
      <c r="BE395" s="596"/>
      <c r="BF395" s="598"/>
      <c r="BG395" s="598"/>
      <c r="BH395" s="598"/>
      <c r="BI395" s="598"/>
      <c r="BJ395" s="598"/>
      <c r="BK395" s="605"/>
      <c r="BL395" s="658">
        <f t="shared" si="321"/>
        <v>31500</v>
      </c>
      <c r="BM395" s="3">
        <f t="shared" si="322"/>
        <v>42</v>
      </c>
      <c r="BN395" s="3">
        <f t="shared" si="323"/>
        <v>23</v>
      </c>
      <c r="BO395" s="3">
        <f t="shared" si="324"/>
        <v>35</v>
      </c>
    </row>
    <row r="396" spans="2:67">
      <c r="B396" s="1271" t="s">
        <v>2049</v>
      </c>
      <c r="C396" s="1069" t="s">
        <v>309</v>
      </c>
      <c r="D396" s="1069" t="s">
        <v>2050</v>
      </c>
      <c r="E396" s="1268" t="s">
        <v>939</v>
      </c>
      <c r="F396" s="1070">
        <v>393</v>
      </c>
      <c r="G396" s="1071">
        <v>10709</v>
      </c>
      <c r="H396" s="1072">
        <v>8189</v>
      </c>
      <c r="I396" s="1073">
        <v>12600</v>
      </c>
      <c r="J396" s="166">
        <f t="shared" si="312"/>
        <v>214</v>
      </c>
      <c r="K396" s="167">
        <f t="shared" si="313"/>
        <v>163</v>
      </c>
      <c r="L396" s="168">
        <f t="shared" si="314"/>
        <v>252</v>
      </c>
      <c r="M396" s="166">
        <f t="shared" si="315"/>
        <v>267</v>
      </c>
      <c r="N396" s="167">
        <f t="shared" si="316"/>
        <v>204</v>
      </c>
      <c r="O396" s="168">
        <f t="shared" si="317"/>
        <v>315</v>
      </c>
      <c r="P396" s="169">
        <f t="shared" si="318"/>
        <v>401</v>
      </c>
      <c r="Q396" s="169">
        <f t="shared" si="319"/>
        <v>307</v>
      </c>
      <c r="R396" s="169">
        <f t="shared" si="320"/>
        <v>472</v>
      </c>
      <c r="S396" s="584">
        <f t="shared" si="291"/>
        <v>2677</v>
      </c>
      <c r="T396" s="594">
        <f t="shared" si="292"/>
        <v>2047</v>
      </c>
      <c r="U396" s="595">
        <f t="shared" si="293"/>
        <v>3150</v>
      </c>
      <c r="V396" s="166">
        <f t="shared" si="294"/>
        <v>6095</v>
      </c>
      <c r="W396" s="167">
        <f t="shared" si="295"/>
        <v>4658</v>
      </c>
      <c r="X396" s="168">
        <f t="shared" si="296"/>
        <v>7182</v>
      </c>
      <c r="Y396" s="166">
        <f t="shared" si="297"/>
        <v>6496</v>
      </c>
      <c r="Z396" s="167">
        <f t="shared" si="298"/>
        <v>5272</v>
      </c>
      <c r="AA396" s="168">
        <f t="shared" si="299"/>
        <v>8598</v>
      </c>
      <c r="AB396" s="166">
        <f t="shared" si="300"/>
        <v>7699</v>
      </c>
      <c r="AC396" s="167">
        <f t="shared" si="301"/>
        <v>6193</v>
      </c>
      <c r="AD396" s="168">
        <f t="shared" si="302"/>
        <v>9070</v>
      </c>
      <c r="AE396" s="166">
        <f t="shared" si="303"/>
        <v>9303</v>
      </c>
      <c r="AF396" s="167">
        <f t="shared" si="304"/>
        <v>6807</v>
      </c>
      <c r="AG396" s="168">
        <f t="shared" si="305"/>
        <v>10014</v>
      </c>
      <c r="AH396" s="166">
        <f t="shared" si="306"/>
        <v>10105</v>
      </c>
      <c r="AI396" s="167">
        <f t="shared" si="307"/>
        <v>7421</v>
      </c>
      <c r="AJ396" s="168">
        <f t="shared" si="308"/>
        <v>11902</v>
      </c>
      <c r="AK396" s="169">
        <f t="shared" si="309"/>
        <v>10923</v>
      </c>
      <c r="AL396" s="167">
        <f t="shared" si="310"/>
        <v>8352</v>
      </c>
      <c r="AM396" s="585">
        <f t="shared" si="311"/>
        <v>12852</v>
      </c>
      <c r="AN396" s="596">
        <v>0.28000000000000003</v>
      </c>
      <c r="AO396" s="597">
        <v>0.31</v>
      </c>
      <c r="AP396" s="597">
        <v>0.34</v>
      </c>
      <c r="AQ396" s="598">
        <v>0.37</v>
      </c>
      <c r="AR396" s="599">
        <v>0.4</v>
      </c>
      <c r="AS396" s="1136"/>
      <c r="AT396" s="1137"/>
      <c r="AU396" s="1137"/>
      <c r="AV396" s="1137"/>
      <c r="AW396" s="1138"/>
      <c r="AX396" s="596">
        <v>0.05</v>
      </c>
      <c r="AY396" s="598">
        <v>5.5E-2</v>
      </c>
      <c r="AZ396" s="598">
        <v>0.06</v>
      </c>
      <c r="BA396" s="598">
        <v>6.5000000000000002E-2</v>
      </c>
      <c r="BB396" s="598">
        <v>7.0000000000000007E-2</v>
      </c>
      <c r="BC396" s="598"/>
      <c r="BD396" s="599"/>
      <c r="BE396" s="596"/>
      <c r="BF396" s="598"/>
      <c r="BG396" s="598"/>
      <c r="BH396" s="598"/>
      <c r="BI396" s="598"/>
      <c r="BJ396" s="598"/>
      <c r="BK396" s="605"/>
      <c r="BL396" s="658">
        <f t="shared" si="321"/>
        <v>31500</v>
      </c>
      <c r="BM396" s="3">
        <f t="shared" si="322"/>
        <v>34</v>
      </c>
      <c r="BN396" s="3">
        <f t="shared" si="323"/>
        <v>26</v>
      </c>
      <c r="BO396" s="3">
        <f t="shared" si="324"/>
        <v>40</v>
      </c>
    </row>
    <row r="397" spans="2:67">
      <c r="B397" s="606" t="s">
        <v>2053</v>
      </c>
      <c r="C397" s="607" t="s">
        <v>310</v>
      </c>
      <c r="D397" s="607" t="s">
        <v>2054</v>
      </c>
      <c r="E397" s="613" t="s">
        <v>1150</v>
      </c>
      <c r="F397" s="592">
        <v>394</v>
      </c>
      <c r="G397" s="609">
        <v>6763</v>
      </c>
      <c r="H397" s="610">
        <v>4983</v>
      </c>
      <c r="I397" s="611">
        <v>6050</v>
      </c>
      <c r="J397" s="166">
        <f t="shared" si="312"/>
        <v>135</v>
      </c>
      <c r="K397" s="167">
        <f t="shared" si="313"/>
        <v>99</v>
      </c>
      <c r="L397" s="168">
        <f t="shared" si="314"/>
        <v>121</v>
      </c>
      <c r="M397" s="166">
        <f t="shared" si="315"/>
        <v>202</v>
      </c>
      <c r="N397" s="167">
        <f t="shared" si="316"/>
        <v>149</v>
      </c>
      <c r="O397" s="168">
        <f t="shared" si="317"/>
        <v>181</v>
      </c>
      <c r="P397" s="169">
        <f t="shared" si="318"/>
        <v>270</v>
      </c>
      <c r="Q397" s="169">
        <f t="shared" si="319"/>
        <v>199</v>
      </c>
      <c r="R397" s="169">
        <f t="shared" si="320"/>
        <v>242</v>
      </c>
      <c r="S397" s="584">
        <f t="shared" si="291"/>
        <v>2029</v>
      </c>
      <c r="T397" s="594">
        <f t="shared" si="292"/>
        <v>1495</v>
      </c>
      <c r="U397" s="595">
        <f t="shared" si="293"/>
        <v>1815</v>
      </c>
      <c r="V397" s="166">
        <f t="shared" si="294"/>
        <v>4184</v>
      </c>
      <c r="W397" s="167">
        <f t="shared" si="295"/>
        <v>3084</v>
      </c>
      <c r="X397" s="168">
        <f t="shared" si="296"/>
        <v>3746</v>
      </c>
      <c r="Y397" s="166">
        <f t="shared" si="297"/>
        <v>4724</v>
      </c>
      <c r="Z397" s="167">
        <f t="shared" si="298"/>
        <v>3482</v>
      </c>
      <c r="AA397" s="168">
        <f t="shared" si="299"/>
        <v>4230</v>
      </c>
      <c r="AB397" s="166">
        <f t="shared" si="300"/>
        <v>5264</v>
      </c>
      <c r="AC397" s="167">
        <f t="shared" si="301"/>
        <v>3880</v>
      </c>
      <c r="AD397" s="168">
        <f t="shared" si="302"/>
        <v>4714</v>
      </c>
      <c r="AE397" s="166">
        <f t="shared" si="303"/>
        <v>5804</v>
      </c>
      <c r="AF397" s="167">
        <f t="shared" si="304"/>
        <v>4278</v>
      </c>
      <c r="AG397" s="168">
        <f t="shared" si="305"/>
        <v>4956</v>
      </c>
      <c r="AH397" s="166">
        <f t="shared" si="306"/>
        <v>6074</v>
      </c>
      <c r="AI397" s="167">
        <f t="shared" si="307"/>
        <v>4875</v>
      </c>
      <c r="AJ397" s="168">
        <f t="shared" si="308"/>
        <v>5440</v>
      </c>
      <c r="AK397" s="169">
        <f t="shared" si="309"/>
        <v>6898</v>
      </c>
      <c r="AL397" s="167">
        <f t="shared" si="310"/>
        <v>5082</v>
      </c>
      <c r="AM397" s="585">
        <f t="shared" si="311"/>
        <v>6171</v>
      </c>
      <c r="AN397" s="596">
        <v>0.2</v>
      </c>
      <c r="AO397" s="597">
        <v>0.20499999999999999</v>
      </c>
      <c r="AP397" s="597">
        <v>0.21</v>
      </c>
      <c r="AQ397" s="598">
        <v>0.215</v>
      </c>
      <c r="AR397" s="599">
        <v>0.22</v>
      </c>
      <c r="AS397" s="617"/>
      <c r="AT397" s="618"/>
      <c r="AU397" s="618"/>
      <c r="AV397" s="618"/>
      <c r="AW397" s="619"/>
      <c r="AX397" s="596">
        <v>0.05</v>
      </c>
      <c r="AY397" s="598">
        <v>5.5E-2</v>
      </c>
      <c r="AZ397" s="598">
        <v>0.06</v>
      </c>
      <c r="BA397" s="598">
        <v>6.5000000000000002E-2</v>
      </c>
      <c r="BB397" s="598">
        <v>7.0000000000000007E-2</v>
      </c>
      <c r="BC397" s="598"/>
      <c r="BD397" s="599"/>
      <c r="BE397" s="596"/>
      <c r="BF397" s="598"/>
      <c r="BG397" s="598"/>
      <c r="BH397" s="598"/>
      <c r="BI397" s="598"/>
      <c r="BJ397" s="598"/>
      <c r="BK397" s="605"/>
      <c r="BL397" s="658">
        <f t="shared" si="321"/>
        <v>17800</v>
      </c>
      <c r="BM397" s="3">
        <f t="shared" si="322"/>
        <v>38</v>
      </c>
      <c r="BN397" s="3">
        <f t="shared" si="323"/>
        <v>28</v>
      </c>
      <c r="BO397" s="3">
        <f t="shared" si="324"/>
        <v>34</v>
      </c>
    </row>
    <row r="398" spans="2:67">
      <c r="B398" s="606" t="s">
        <v>2058</v>
      </c>
      <c r="C398" s="607" t="s">
        <v>310</v>
      </c>
      <c r="D398" s="607" t="s">
        <v>2059</v>
      </c>
      <c r="E398" s="613" t="s">
        <v>1150</v>
      </c>
      <c r="F398" s="608">
        <v>395</v>
      </c>
      <c r="G398" s="609">
        <v>6584</v>
      </c>
      <c r="H398" s="610">
        <v>4093</v>
      </c>
      <c r="I398" s="611">
        <v>7120</v>
      </c>
      <c r="J398" s="166">
        <f t="shared" si="312"/>
        <v>131</v>
      </c>
      <c r="K398" s="167">
        <f t="shared" si="313"/>
        <v>81</v>
      </c>
      <c r="L398" s="168">
        <f t="shared" si="314"/>
        <v>142</v>
      </c>
      <c r="M398" s="166">
        <f t="shared" si="315"/>
        <v>197</v>
      </c>
      <c r="N398" s="167">
        <f t="shared" si="316"/>
        <v>122</v>
      </c>
      <c r="O398" s="168">
        <f t="shared" si="317"/>
        <v>213</v>
      </c>
      <c r="P398" s="169">
        <f t="shared" si="318"/>
        <v>263</v>
      </c>
      <c r="Q398" s="169">
        <f t="shared" si="319"/>
        <v>163</v>
      </c>
      <c r="R398" s="169">
        <f t="shared" si="320"/>
        <v>284</v>
      </c>
      <c r="S398" s="584">
        <f t="shared" si="291"/>
        <v>1975</v>
      </c>
      <c r="T398" s="594">
        <f t="shared" si="292"/>
        <v>1228</v>
      </c>
      <c r="U398" s="595">
        <f t="shared" si="293"/>
        <v>2136</v>
      </c>
      <c r="V398" s="166">
        <f t="shared" si="294"/>
        <v>4076</v>
      </c>
      <c r="W398" s="167">
        <f t="shared" si="295"/>
        <v>2529</v>
      </c>
      <c r="X398" s="168">
        <f t="shared" si="296"/>
        <v>4408</v>
      </c>
      <c r="Y398" s="166">
        <f t="shared" si="297"/>
        <v>4602</v>
      </c>
      <c r="Z398" s="167">
        <f t="shared" si="298"/>
        <v>2855</v>
      </c>
      <c r="AA398" s="168">
        <f t="shared" si="299"/>
        <v>4976</v>
      </c>
      <c r="AB398" s="166">
        <f t="shared" si="300"/>
        <v>5128</v>
      </c>
      <c r="AC398" s="167">
        <f t="shared" si="301"/>
        <v>3181</v>
      </c>
      <c r="AD398" s="168">
        <f t="shared" si="302"/>
        <v>5544</v>
      </c>
      <c r="AE398" s="166">
        <f t="shared" si="303"/>
        <v>5654</v>
      </c>
      <c r="AF398" s="167">
        <f t="shared" si="304"/>
        <v>3344</v>
      </c>
      <c r="AG398" s="168">
        <f t="shared" si="305"/>
        <v>6112</v>
      </c>
      <c r="AH398" s="166">
        <f t="shared" si="306"/>
        <v>5917</v>
      </c>
      <c r="AI398" s="167">
        <f t="shared" si="307"/>
        <v>3670</v>
      </c>
      <c r="AJ398" s="168">
        <f t="shared" si="308"/>
        <v>6964</v>
      </c>
      <c r="AK398" s="169">
        <f t="shared" si="309"/>
        <v>6715</v>
      </c>
      <c r="AL398" s="167">
        <f t="shared" si="310"/>
        <v>4174</v>
      </c>
      <c r="AM398" s="585">
        <f t="shared" si="311"/>
        <v>7262</v>
      </c>
      <c r="AN398" s="614">
        <v>0.05</v>
      </c>
      <c r="AO398" s="615">
        <v>5.5E-2</v>
      </c>
      <c r="AP398" s="615">
        <v>0.06</v>
      </c>
      <c r="AQ398" s="616">
        <v>6.5000000000000002E-2</v>
      </c>
      <c r="AR398" s="612">
        <v>7.0000000000000007E-2</v>
      </c>
      <c r="AS398" s="617"/>
      <c r="AT398" s="618"/>
      <c r="AU398" s="618"/>
      <c r="AV398" s="618"/>
      <c r="AW398" s="619"/>
      <c r="AX398" s="614">
        <v>0.03</v>
      </c>
      <c r="AY398" s="616">
        <v>3.5000000000000003E-2</v>
      </c>
      <c r="AZ398" s="616">
        <v>0.04</v>
      </c>
      <c r="BA398" s="616">
        <v>4.4999999999999998E-2</v>
      </c>
      <c r="BB398" s="616">
        <v>0.05</v>
      </c>
      <c r="BC398" s="616"/>
      <c r="BD398" s="612"/>
      <c r="BE398" s="596"/>
      <c r="BF398" s="598"/>
      <c r="BG398" s="598"/>
      <c r="BH398" s="598"/>
      <c r="BI398" s="598"/>
      <c r="BJ398" s="598"/>
      <c r="BK398" s="605"/>
      <c r="BL398" s="658">
        <f t="shared" si="321"/>
        <v>17800</v>
      </c>
      <c r="BM398" s="3">
        <f t="shared" si="322"/>
        <v>37</v>
      </c>
      <c r="BN398" s="3">
        <f t="shared" si="323"/>
        <v>23</v>
      </c>
      <c r="BO398" s="3">
        <f t="shared" si="324"/>
        <v>40</v>
      </c>
    </row>
    <row r="399" spans="2:67">
      <c r="B399" s="1271" t="s">
        <v>2065</v>
      </c>
      <c r="C399" s="1069" t="s">
        <v>309</v>
      </c>
      <c r="D399" s="1069" t="s">
        <v>2066</v>
      </c>
      <c r="E399" s="1267" t="s">
        <v>1150</v>
      </c>
      <c r="F399" s="1270">
        <v>396</v>
      </c>
      <c r="G399" s="1071">
        <v>11020</v>
      </c>
      <c r="H399" s="1072">
        <v>6960</v>
      </c>
      <c r="I399" s="1073">
        <v>11020</v>
      </c>
      <c r="J399" s="166">
        <f t="shared" si="312"/>
        <v>220</v>
      </c>
      <c r="K399" s="167">
        <f t="shared" si="313"/>
        <v>139</v>
      </c>
      <c r="L399" s="168">
        <f t="shared" si="314"/>
        <v>220</v>
      </c>
      <c r="M399" s="166">
        <f t="shared" si="315"/>
        <v>275</v>
      </c>
      <c r="N399" s="167">
        <f t="shared" si="316"/>
        <v>174</v>
      </c>
      <c r="O399" s="168">
        <f t="shared" si="317"/>
        <v>275</v>
      </c>
      <c r="P399" s="169">
        <f t="shared" si="318"/>
        <v>413</v>
      </c>
      <c r="Q399" s="169">
        <f t="shared" si="319"/>
        <v>261</v>
      </c>
      <c r="R399" s="169">
        <f t="shared" si="320"/>
        <v>413</v>
      </c>
      <c r="S399" s="584">
        <f t="shared" si="291"/>
        <v>2755</v>
      </c>
      <c r="T399" s="594">
        <f t="shared" si="292"/>
        <v>1740</v>
      </c>
      <c r="U399" s="595">
        <f t="shared" si="293"/>
        <v>2755</v>
      </c>
      <c r="V399" s="166">
        <f t="shared" si="294"/>
        <v>6275</v>
      </c>
      <c r="W399" s="167">
        <f t="shared" si="295"/>
        <v>3967</v>
      </c>
      <c r="X399" s="168">
        <f t="shared" si="296"/>
        <v>6275</v>
      </c>
      <c r="Y399" s="166">
        <f t="shared" si="297"/>
        <v>6688</v>
      </c>
      <c r="Z399" s="167">
        <f t="shared" si="298"/>
        <v>4750</v>
      </c>
      <c r="AA399" s="168">
        <f t="shared" si="299"/>
        <v>7101</v>
      </c>
      <c r="AB399" s="166">
        <f t="shared" si="300"/>
        <v>7927</v>
      </c>
      <c r="AC399" s="167">
        <f t="shared" si="301"/>
        <v>5011</v>
      </c>
      <c r="AD399" s="168">
        <f t="shared" si="302"/>
        <v>8340</v>
      </c>
      <c r="AE399" s="166">
        <f t="shared" si="303"/>
        <v>9579</v>
      </c>
      <c r="AF399" s="167">
        <f t="shared" si="304"/>
        <v>5533</v>
      </c>
      <c r="AG399" s="168">
        <f t="shared" si="305"/>
        <v>9166</v>
      </c>
      <c r="AH399" s="166">
        <f t="shared" si="306"/>
        <v>10405</v>
      </c>
      <c r="AI399" s="167">
        <f t="shared" si="307"/>
        <v>6577</v>
      </c>
      <c r="AJ399" s="168">
        <f t="shared" si="308"/>
        <v>9992</v>
      </c>
      <c r="AK399" s="169">
        <f t="shared" si="309"/>
        <v>11240</v>
      </c>
      <c r="AL399" s="167">
        <f t="shared" si="310"/>
        <v>7099</v>
      </c>
      <c r="AM399" s="585">
        <f t="shared" si="311"/>
        <v>11240</v>
      </c>
      <c r="AN399" s="596">
        <v>7.0000000000000007E-2</v>
      </c>
      <c r="AO399" s="597">
        <v>7.4999999999999997E-2</v>
      </c>
      <c r="AP399" s="597">
        <v>0.08</v>
      </c>
      <c r="AQ399" s="598">
        <v>8.5000000000000006E-2</v>
      </c>
      <c r="AR399" s="599">
        <v>0.09</v>
      </c>
      <c r="AS399" s="1136"/>
      <c r="AT399" s="1137"/>
      <c r="AU399" s="1137"/>
      <c r="AV399" s="1137"/>
      <c r="AW399" s="1138"/>
      <c r="AX399" s="596">
        <v>0.04</v>
      </c>
      <c r="AY399" s="598">
        <v>4.2999999999999997E-2</v>
      </c>
      <c r="AZ399" s="598">
        <v>4.5999999999999999E-2</v>
      </c>
      <c r="BA399" s="598">
        <v>4.9000000000000002E-2</v>
      </c>
      <c r="BB399" s="598">
        <v>5.1999999999999998E-2</v>
      </c>
      <c r="BC399" s="598"/>
      <c r="BD399" s="599"/>
      <c r="BE399" s="596"/>
      <c r="BF399" s="598"/>
      <c r="BG399" s="598"/>
      <c r="BH399" s="598"/>
      <c r="BI399" s="598"/>
      <c r="BJ399" s="598"/>
      <c r="BK399" s="605"/>
      <c r="BL399" s="658">
        <f t="shared" si="321"/>
        <v>29000</v>
      </c>
      <c r="BM399" s="3">
        <f t="shared" si="322"/>
        <v>38</v>
      </c>
      <c r="BN399" s="3">
        <f t="shared" si="323"/>
        <v>24</v>
      </c>
      <c r="BO399" s="3">
        <f t="shared" si="324"/>
        <v>38</v>
      </c>
    </row>
    <row r="400" spans="2:67">
      <c r="B400" s="606" t="s">
        <v>2069</v>
      </c>
      <c r="C400" s="607" t="s">
        <v>310</v>
      </c>
      <c r="D400" s="607" t="s">
        <v>2070</v>
      </c>
      <c r="E400" s="238" t="s">
        <v>1150</v>
      </c>
      <c r="F400" s="608">
        <v>397</v>
      </c>
      <c r="G400" s="609">
        <v>7120</v>
      </c>
      <c r="H400" s="610">
        <v>5340</v>
      </c>
      <c r="I400" s="611">
        <v>5340</v>
      </c>
      <c r="J400" s="166">
        <f t="shared" si="312"/>
        <v>142</v>
      </c>
      <c r="K400" s="167">
        <f t="shared" si="313"/>
        <v>106</v>
      </c>
      <c r="L400" s="168">
        <f t="shared" si="314"/>
        <v>106</v>
      </c>
      <c r="M400" s="166">
        <f t="shared" si="315"/>
        <v>213</v>
      </c>
      <c r="N400" s="167">
        <f t="shared" si="316"/>
        <v>160</v>
      </c>
      <c r="O400" s="168">
        <f t="shared" si="317"/>
        <v>160</v>
      </c>
      <c r="P400" s="169">
        <f t="shared" si="318"/>
        <v>284</v>
      </c>
      <c r="Q400" s="169">
        <f t="shared" si="319"/>
        <v>213</v>
      </c>
      <c r="R400" s="169">
        <f t="shared" si="320"/>
        <v>213</v>
      </c>
      <c r="S400" s="584">
        <f t="shared" si="291"/>
        <v>2136</v>
      </c>
      <c r="T400" s="594">
        <f t="shared" si="292"/>
        <v>1602</v>
      </c>
      <c r="U400" s="595">
        <f t="shared" si="293"/>
        <v>1602</v>
      </c>
      <c r="V400" s="166">
        <f t="shared" si="294"/>
        <v>4408</v>
      </c>
      <c r="W400" s="167">
        <f t="shared" si="295"/>
        <v>3308</v>
      </c>
      <c r="X400" s="168">
        <f t="shared" si="296"/>
        <v>3308</v>
      </c>
      <c r="Y400" s="166">
        <f t="shared" si="297"/>
        <v>4976</v>
      </c>
      <c r="Z400" s="167">
        <f t="shared" si="298"/>
        <v>3734</v>
      </c>
      <c r="AA400" s="168">
        <f t="shared" si="299"/>
        <v>3734</v>
      </c>
      <c r="AB400" s="166">
        <f t="shared" si="300"/>
        <v>5544</v>
      </c>
      <c r="AC400" s="167">
        <f t="shared" si="301"/>
        <v>4160</v>
      </c>
      <c r="AD400" s="168">
        <f t="shared" si="302"/>
        <v>4160</v>
      </c>
      <c r="AE400" s="166">
        <f t="shared" si="303"/>
        <v>5828</v>
      </c>
      <c r="AF400" s="167">
        <f t="shared" si="304"/>
        <v>4586</v>
      </c>
      <c r="AG400" s="168">
        <f t="shared" si="305"/>
        <v>4586</v>
      </c>
      <c r="AH400" s="166">
        <f t="shared" si="306"/>
        <v>6396</v>
      </c>
      <c r="AI400" s="167">
        <f t="shared" si="307"/>
        <v>4799</v>
      </c>
      <c r="AJ400" s="168">
        <f t="shared" si="308"/>
        <v>5225</v>
      </c>
      <c r="AK400" s="169">
        <f t="shared" si="309"/>
        <v>7262</v>
      </c>
      <c r="AL400" s="167">
        <f t="shared" si="310"/>
        <v>5446</v>
      </c>
      <c r="AM400" s="585">
        <f t="shared" si="311"/>
        <v>5446</v>
      </c>
      <c r="AN400" s="596">
        <v>0.04</v>
      </c>
      <c r="AO400" s="597">
        <v>4.2999999999999997E-2</v>
      </c>
      <c r="AP400" s="597">
        <v>4.5999999999999999E-2</v>
      </c>
      <c r="AQ400" s="598">
        <v>4.9000000000000002E-2</v>
      </c>
      <c r="AR400" s="599">
        <v>5.1999999999999998E-2</v>
      </c>
      <c r="AS400" s="617"/>
      <c r="AT400" s="618"/>
      <c r="AU400" s="618"/>
      <c r="AV400" s="618"/>
      <c r="AW400" s="619"/>
      <c r="AX400" s="596">
        <v>0.02</v>
      </c>
      <c r="AY400" s="598">
        <v>2.3E-2</v>
      </c>
      <c r="AZ400" s="598">
        <v>2.5999999999999999E-2</v>
      </c>
      <c r="BA400" s="598">
        <v>2.9000000000000001E-2</v>
      </c>
      <c r="BB400" s="598">
        <v>3.2000000000000001E-2</v>
      </c>
      <c r="BC400" s="598"/>
      <c r="BD400" s="599"/>
      <c r="BE400" s="596"/>
      <c r="BF400" s="598"/>
      <c r="BG400" s="598"/>
      <c r="BH400" s="598"/>
      <c r="BI400" s="598"/>
      <c r="BJ400" s="598"/>
      <c r="BK400" s="605"/>
      <c r="BL400" s="658">
        <f t="shared" si="321"/>
        <v>17800</v>
      </c>
      <c r="BM400" s="3">
        <f t="shared" si="322"/>
        <v>40</v>
      </c>
      <c r="BN400" s="3">
        <f t="shared" si="323"/>
        <v>30</v>
      </c>
      <c r="BO400" s="3">
        <f t="shared" si="324"/>
        <v>30</v>
      </c>
    </row>
    <row r="401" spans="2:67">
      <c r="B401" s="606" t="s">
        <v>2100</v>
      </c>
      <c r="C401" s="607" t="s">
        <v>309</v>
      </c>
      <c r="D401" s="607" t="s">
        <v>2077</v>
      </c>
      <c r="E401" s="1268" t="s">
        <v>1150</v>
      </c>
      <c r="F401" s="1270">
        <v>398</v>
      </c>
      <c r="G401" s="609">
        <v>6960</v>
      </c>
      <c r="H401" s="610">
        <v>12760</v>
      </c>
      <c r="I401" s="611">
        <v>9280</v>
      </c>
      <c r="J401" s="166">
        <f t="shared" si="312"/>
        <v>139</v>
      </c>
      <c r="K401" s="167">
        <f t="shared" si="313"/>
        <v>255</v>
      </c>
      <c r="L401" s="168">
        <f t="shared" si="314"/>
        <v>185</v>
      </c>
      <c r="M401" s="166">
        <f t="shared" si="315"/>
        <v>174</v>
      </c>
      <c r="N401" s="167">
        <f t="shared" si="316"/>
        <v>319</v>
      </c>
      <c r="O401" s="168">
        <f t="shared" si="317"/>
        <v>232</v>
      </c>
      <c r="P401" s="169">
        <f t="shared" si="318"/>
        <v>261</v>
      </c>
      <c r="Q401" s="169">
        <f t="shared" si="319"/>
        <v>478</v>
      </c>
      <c r="R401" s="169">
        <f t="shared" si="320"/>
        <v>348</v>
      </c>
      <c r="S401" s="584">
        <f t="shared" si="291"/>
        <v>1740</v>
      </c>
      <c r="T401" s="594">
        <f t="shared" si="292"/>
        <v>3190</v>
      </c>
      <c r="U401" s="595">
        <f t="shared" si="293"/>
        <v>2320</v>
      </c>
      <c r="V401" s="166">
        <f t="shared" si="294"/>
        <v>3967</v>
      </c>
      <c r="W401" s="167">
        <f t="shared" si="295"/>
        <v>7273</v>
      </c>
      <c r="X401" s="168">
        <f t="shared" si="296"/>
        <v>5289</v>
      </c>
      <c r="Y401" s="166">
        <f t="shared" si="297"/>
        <v>4750</v>
      </c>
      <c r="Z401" s="167">
        <f t="shared" si="298"/>
        <v>8229</v>
      </c>
      <c r="AA401" s="168">
        <f t="shared" si="299"/>
        <v>5637</v>
      </c>
      <c r="AB401" s="166">
        <f t="shared" si="300"/>
        <v>5011</v>
      </c>
      <c r="AC401" s="167">
        <f t="shared" si="301"/>
        <v>9663</v>
      </c>
      <c r="AD401" s="168">
        <f t="shared" si="302"/>
        <v>6681</v>
      </c>
      <c r="AE401" s="166">
        <f t="shared" si="303"/>
        <v>5533</v>
      </c>
      <c r="AF401" s="167">
        <f t="shared" si="304"/>
        <v>10619</v>
      </c>
      <c r="AG401" s="168">
        <f t="shared" si="305"/>
        <v>8073</v>
      </c>
      <c r="AH401" s="166">
        <f t="shared" si="306"/>
        <v>6577</v>
      </c>
      <c r="AI401" s="167">
        <f t="shared" si="307"/>
        <v>11575</v>
      </c>
      <c r="AJ401" s="168">
        <f t="shared" si="308"/>
        <v>8769</v>
      </c>
      <c r="AK401" s="169">
        <f t="shared" si="309"/>
        <v>7099</v>
      </c>
      <c r="AL401" s="167">
        <f t="shared" si="310"/>
        <v>13015</v>
      </c>
      <c r="AM401" s="585">
        <f t="shared" si="311"/>
        <v>9465</v>
      </c>
      <c r="AN401" s="614">
        <v>0.15</v>
      </c>
      <c r="AO401" s="615">
        <v>0.18</v>
      </c>
      <c r="AP401" s="615">
        <v>0.21</v>
      </c>
      <c r="AQ401" s="616">
        <v>0.24</v>
      </c>
      <c r="AR401" s="612">
        <v>0.27</v>
      </c>
      <c r="AS401" s="617"/>
      <c r="AT401" s="618"/>
      <c r="AU401" s="618"/>
      <c r="AV401" s="618"/>
      <c r="AW401" s="619"/>
      <c r="AX401" s="596">
        <v>0.04</v>
      </c>
      <c r="AY401" s="598">
        <v>4.2999999999999997E-2</v>
      </c>
      <c r="AZ401" s="598">
        <v>4.5999999999999999E-2</v>
      </c>
      <c r="BA401" s="598">
        <v>4.9000000000000002E-2</v>
      </c>
      <c r="BB401" s="598">
        <v>5.1999999999999998E-2</v>
      </c>
      <c r="BC401" s="598"/>
      <c r="BD401" s="599"/>
      <c r="BE401" s="596"/>
      <c r="BF401" s="598"/>
      <c r="BG401" s="598"/>
      <c r="BH401" s="598"/>
      <c r="BI401" s="598"/>
      <c r="BJ401" s="598"/>
      <c r="BK401" s="605"/>
      <c r="BL401" s="658">
        <f t="shared" si="321"/>
        <v>29000</v>
      </c>
      <c r="BM401" s="3">
        <f t="shared" si="322"/>
        <v>24</v>
      </c>
      <c r="BN401" s="3">
        <f t="shared" si="323"/>
        <v>44</v>
      </c>
      <c r="BO401" s="3">
        <f t="shared" si="324"/>
        <v>32</v>
      </c>
    </row>
    <row r="402" spans="2:67">
      <c r="B402" s="606" t="s">
        <v>2101</v>
      </c>
      <c r="C402" s="607" t="s">
        <v>309</v>
      </c>
      <c r="D402" s="607" t="s">
        <v>2102</v>
      </c>
      <c r="E402" s="1267" t="s">
        <v>125</v>
      </c>
      <c r="F402" s="1070">
        <v>399</v>
      </c>
      <c r="G402" s="609">
        <v>7989</v>
      </c>
      <c r="H402" s="610">
        <v>7753</v>
      </c>
      <c r="I402" s="611">
        <v>7753</v>
      </c>
      <c r="J402" s="166">
        <f t="shared" si="312"/>
        <v>159</v>
      </c>
      <c r="K402" s="167">
        <f t="shared" si="313"/>
        <v>155</v>
      </c>
      <c r="L402" s="168">
        <f t="shared" si="314"/>
        <v>155</v>
      </c>
      <c r="M402" s="166">
        <f t="shared" si="315"/>
        <v>199</v>
      </c>
      <c r="N402" s="167">
        <f t="shared" si="316"/>
        <v>193</v>
      </c>
      <c r="O402" s="168">
        <f t="shared" si="317"/>
        <v>193</v>
      </c>
      <c r="P402" s="169">
        <f t="shared" si="318"/>
        <v>299</v>
      </c>
      <c r="Q402" s="169">
        <f t="shared" si="319"/>
        <v>290</v>
      </c>
      <c r="R402" s="169">
        <f t="shared" si="320"/>
        <v>290</v>
      </c>
      <c r="S402" s="584">
        <f t="shared" si="291"/>
        <v>1997</v>
      </c>
      <c r="T402" s="594">
        <f t="shared" si="292"/>
        <v>1938</v>
      </c>
      <c r="U402" s="595">
        <f t="shared" si="293"/>
        <v>1938</v>
      </c>
      <c r="V402" s="166">
        <f t="shared" si="294"/>
        <v>4544</v>
      </c>
      <c r="W402" s="167">
        <f t="shared" si="295"/>
        <v>4409</v>
      </c>
      <c r="X402" s="168">
        <f t="shared" si="296"/>
        <v>4409</v>
      </c>
      <c r="Y402" s="166">
        <f t="shared" si="297"/>
        <v>4843</v>
      </c>
      <c r="Z402" s="167">
        <f t="shared" si="298"/>
        <v>4989</v>
      </c>
      <c r="AA402" s="168">
        <f t="shared" si="299"/>
        <v>5279</v>
      </c>
      <c r="AB402" s="166">
        <f t="shared" si="300"/>
        <v>5740</v>
      </c>
      <c r="AC402" s="167">
        <f t="shared" si="301"/>
        <v>5859</v>
      </c>
      <c r="AD402" s="168">
        <f t="shared" si="302"/>
        <v>5569</v>
      </c>
      <c r="AE402" s="166">
        <f t="shared" si="303"/>
        <v>6936</v>
      </c>
      <c r="AF402" s="167">
        <f t="shared" si="304"/>
        <v>6439</v>
      </c>
      <c r="AG402" s="168">
        <f t="shared" si="305"/>
        <v>6149</v>
      </c>
      <c r="AH402" s="166">
        <f t="shared" si="306"/>
        <v>7534</v>
      </c>
      <c r="AI402" s="167">
        <f t="shared" si="307"/>
        <v>7019</v>
      </c>
      <c r="AJ402" s="168">
        <f t="shared" si="308"/>
        <v>7309</v>
      </c>
      <c r="AK402" s="169">
        <f t="shared" si="309"/>
        <v>8148</v>
      </c>
      <c r="AL402" s="167">
        <f t="shared" si="310"/>
        <v>7908</v>
      </c>
      <c r="AM402" s="585">
        <f t="shared" si="311"/>
        <v>7908</v>
      </c>
      <c r="AN402" s="614">
        <v>0.05</v>
      </c>
      <c r="AO402" s="615">
        <v>5.2999999999999999E-2</v>
      </c>
      <c r="AP402" s="615">
        <v>5.6000000000000001E-2</v>
      </c>
      <c r="AQ402" s="616">
        <v>5.8999999999999997E-2</v>
      </c>
      <c r="AR402" s="612">
        <v>6.2E-2</v>
      </c>
      <c r="AS402" s="617"/>
      <c r="AT402" s="618"/>
      <c r="AU402" s="618"/>
      <c r="AV402" s="618"/>
      <c r="AW402" s="619"/>
      <c r="AX402" s="596">
        <v>0.04</v>
      </c>
      <c r="AY402" s="598">
        <v>4.2999999999999997E-2</v>
      </c>
      <c r="AZ402" s="598">
        <v>4.5999999999999999E-2</v>
      </c>
      <c r="BA402" s="598">
        <v>4.9000000000000002E-2</v>
      </c>
      <c r="BB402" s="598">
        <v>5.1999999999999998E-2</v>
      </c>
      <c r="BC402" s="598"/>
      <c r="BD402" s="599"/>
      <c r="BE402" s="596"/>
      <c r="BF402" s="598"/>
      <c r="BG402" s="598"/>
      <c r="BH402" s="598"/>
      <c r="BI402" s="598"/>
      <c r="BJ402" s="598"/>
      <c r="BK402" s="605"/>
      <c r="BL402" s="658">
        <f t="shared" si="321"/>
        <v>23500</v>
      </c>
      <c r="BM402" s="3">
        <f t="shared" si="322"/>
        <v>34</v>
      </c>
      <c r="BN402" s="3">
        <f t="shared" si="323"/>
        <v>33</v>
      </c>
      <c r="BO402" s="3">
        <f t="shared" si="324"/>
        <v>33</v>
      </c>
    </row>
    <row r="403" spans="2:67">
      <c r="B403" s="606" t="s">
        <v>2105</v>
      </c>
      <c r="C403" s="607" t="s">
        <v>310</v>
      </c>
      <c r="D403" s="607" t="s">
        <v>2070</v>
      </c>
      <c r="E403" s="238" t="s">
        <v>125</v>
      </c>
      <c r="F403" s="592">
        <v>400</v>
      </c>
      <c r="G403" s="609">
        <v>6214</v>
      </c>
      <c r="H403" s="610">
        <v>4143</v>
      </c>
      <c r="I403" s="611">
        <v>4440</v>
      </c>
      <c r="J403" s="166">
        <f t="shared" si="312"/>
        <v>124</v>
      </c>
      <c r="K403" s="167">
        <f t="shared" si="313"/>
        <v>82</v>
      </c>
      <c r="L403" s="168">
        <f t="shared" si="314"/>
        <v>88</v>
      </c>
      <c r="M403" s="166">
        <f t="shared" si="315"/>
        <v>186</v>
      </c>
      <c r="N403" s="167">
        <f t="shared" si="316"/>
        <v>124</v>
      </c>
      <c r="O403" s="168">
        <f t="shared" si="317"/>
        <v>133</v>
      </c>
      <c r="P403" s="169">
        <f t="shared" si="318"/>
        <v>248</v>
      </c>
      <c r="Q403" s="169">
        <f t="shared" si="319"/>
        <v>165</v>
      </c>
      <c r="R403" s="169">
        <f t="shared" si="320"/>
        <v>177</v>
      </c>
      <c r="S403" s="584">
        <f t="shared" si="291"/>
        <v>1864</v>
      </c>
      <c r="T403" s="594">
        <f t="shared" si="292"/>
        <v>1243</v>
      </c>
      <c r="U403" s="595">
        <f t="shared" si="293"/>
        <v>1332</v>
      </c>
      <c r="V403" s="166">
        <f t="shared" si="294"/>
        <v>3848</v>
      </c>
      <c r="W403" s="167">
        <f t="shared" si="295"/>
        <v>2565</v>
      </c>
      <c r="X403" s="168">
        <f t="shared" si="296"/>
        <v>2750</v>
      </c>
      <c r="Y403" s="166">
        <f t="shared" si="297"/>
        <v>4344</v>
      </c>
      <c r="Z403" s="167">
        <f t="shared" si="298"/>
        <v>2895</v>
      </c>
      <c r="AA403" s="168">
        <f t="shared" si="299"/>
        <v>3104</v>
      </c>
      <c r="AB403" s="166">
        <f t="shared" si="300"/>
        <v>4840</v>
      </c>
      <c r="AC403" s="167">
        <f t="shared" si="301"/>
        <v>3225</v>
      </c>
      <c r="AD403" s="168">
        <f t="shared" si="302"/>
        <v>3458</v>
      </c>
      <c r="AE403" s="166">
        <f t="shared" si="303"/>
        <v>5088</v>
      </c>
      <c r="AF403" s="167">
        <f t="shared" si="304"/>
        <v>3555</v>
      </c>
      <c r="AG403" s="168">
        <f t="shared" si="305"/>
        <v>3812</v>
      </c>
      <c r="AH403" s="166">
        <f t="shared" si="306"/>
        <v>5584</v>
      </c>
      <c r="AI403" s="167">
        <f t="shared" si="307"/>
        <v>3720</v>
      </c>
      <c r="AJ403" s="168">
        <f t="shared" si="308"/>
        <v>4343</v>
      </c>
      <c r="AK403" s="169">
        <f t="shared" si="309"/>
        <v>6338</v>
      </c>
      <c r="AL403" s="167">
        <f t="shared" si="310"/>
        <v>4225</v>
      </c>
      <c r="AM403" s="585">
        <f t="shared" si="311"/>
        <v>4528</v>
      </c>
      <c r="AN403" s="614">
        <v>0.08</v>
      </c>
      <c r="AO403" s="615">
        <v>8.5000000000000006E-2</v>
      </c>
      <c r="AP403" s="615">
        <v>0.09</v>
      </c>
      <c r="AQ403" s="616">
        <v>9.5000000000000001E-2</v>
      </c>
      <c r="AR403" s="612">
        <v>0.1</v>
      </c>
      <c r="AS403" s="617"/>
      <c r="AT403" s="618"/>
      <c r="AU403" s="618"/>
      <c r="AV403" s="618"/>
      <c r="AW403" s="619"/>
      <c r="AX403" s="596">
        <v>0.05</v>
      </c>
      <c r="AY403" s="598">
        <v>5.5E-2</v>
      </c>
      <c r="AZ403" s="598">
        <v>0.06</v>
      </c>
      <c r="BA403" s="598">
        <v>6.5000000000000002E-2</v>
      </c>
      <c r="BB403" s="598">
        <v>7.0000000000000007E-2</v>
      </c>
      <c r="BC403" s="598"/>
      <c r="BD403" s="599"/>
      <c r="BE403" s="596"/>
      <c r="BF403" s="598"/>
      <c r="BG403" s="598"/>
      <c r="BH403" s="598"/>
      <c r="BI403" s="598"/>
      <c r="BJ403" s="598"/>
      <c r="BK403" s="605"/>
      <c r="BL403" s="658">
        <f t="shared" si="321"/>
        <v>14800</v>
      </c>
      <c r="BM403" s="3">
        <f t="shared" si="322"/>
        <v>42</v>
      </c>
      <c r="BN403" s="3">
        <f t="shared" si="323"/>
        <v>28</v>
      </c>
      <c r="BO403" s="3">
        <f t="shared" si="324"/>
        <v>30</v>
      </c>
    </row>
    <row r="404" spans="2:67">
      <c r="B404" s="606" t="s">
        <v>2108</v>
      </c>
      <c r="C404" s="607" t="s">
        <v>310</v>
      </c>
      <c r="D404" s="607" t="s">
        <v>2066</v>
      </c>
      <c r="E404" s="613" t="s">
        <v>125</v>
      </c>
      <c r="F404" s="608">
        <v>401</v>
      </c>
      <c r="G404" s="609">
        <v>5474</v>
      </c>
      <c r="H404" s="610">
        <v>3700</v>
      </c>
      <c r="I404" s="611">
        <v>5623</v>
      </c>
      <c r="J404" s="166">
        <f t="shared" si="312"/>
        <v>109</v>
      </c>
      <c r="K404" s="167">
        <f t="shared" si="313"/>
        <v>74</v>
      </c>
      <c r="L404" s="168">
        <f t="shared" si="314"/>
        <v>112</v>
      </c>
      <c r="M404" s="166">
        <f t="shared" si="315"/>
        <v>164</v>
      </c>
      <c r="N404" s="167">
        <f t="shared" si="316"/>
        <v>111</v>
      </c>
      <c r="O404" s="168">
        <f t="shared" si="317"/>
        <v>168</v>
      </c>
      <c r="P404" s="169">
        <f t="shared" si="318"/>
        <v>219</v>
      </c>
      <c r="Q404" s="169">
        <f t="shared" si="319"/>
        <v>148</v>
      </c>
      <c r="R404" s="169">
        <f t="shared" si="320"/>
        <v>224</v>
      </c>
      <c r="S404" s="584">
        <f t="shared" si="291"/>
        <v>1642</v>
      </c>
      <c r="T404" s="594">
        <f t="shared" si="292"/>
        <v>1110</v>
      </c>
      <c r="U404" s="595">
        <f t="shared" si="293"/>
        <v>1687</v>
      </c>
      <c r="V404" s="166">
        <f t="shared" si="294"/>
        <v>3391</v>
      </c>
      <c r="W404" s="167">
        <f t="shared" si="295"/>
        <v>2294</v>
      </c>
      <c r="X404" s="168">
        <f t="shared" si="296"/>
        <v>3479</v>
      </c>
      <c r="Y404" s="166">
        <f t="shared" si="297"/>
        <v>3829</v>
      </c>
      <c r="Z404" s="167">
        <f t="shared" si="298"/>
        <v>2590</v>
      </c>
      <c r="AA404" s="168">
        <f t="shared" si="299"/>
        <v>3927</v>
      </c>
      <c r="AB404" s="166">
        <f t="shared" si="300"/>
        <v>4267</v>
      </c>
      <c r="AC404" s="167">
        <f t="shared" si="301"/>
        <v>2886</v>
      </c>
      <c r="AD404" s="168">
        <f t="shared" si="302"/>
        <v>4375</v>
      </c>
      <c r="AE404" s="166">
        <f t="shared" si="303"/>
        <v>4705</v>
      </c>
      <c r="AF404" s="167">
        <f t="shared" si="304"/>
        <v>3182</v>
      </c>
      <c r="AG404" s="168">
        <f t="shared" si="305"/>
        <v>4599</v>
      </c>
      <c r="AH404" s="166">
        <f t="shared" si="306"/>
        <v>4924</v>
      </c>
      <c r="AI404" s="167">
        <f t="shared" si="307"/>
        <v>3626</v>
      </c>
      <c r="AJ404" s="168">
        <f t="shared" si="308"/>
        <v>5047</v>
      </c>
      <c r="AK404" s="169">
        <f t="shared" si="309"/>
        <v>5583</v>
      </c>
      <c r="AL404" s="167">
        <f t="shared" si="310"/>
        <v>3774</v>
      </c>
      <c r="AM404" s="585">
        <f t="shared" si="311"/>
        <v>5735</v>
      </c>
      <c r="AN404" s="596">
        <v>0.2</v>
      </c>
      <c r="AO404" s="597">
        <v>0.20499999999999999</v>
      </c>
      <c r="AP404" s="597">
        <v>0.21</v>
      </c>
      <c r="AQ404" s="598">
        <v>0.215</v>
      </c>
      <c r="AR404" s="599">
        <v>0.22</v>
      </c>
      <c r="AS404" s="617"/>
      <c r="AT404" s="618"/>
      <c r="AU404" s="618"/>
      <c r="AV404" s="618"/>
      <c r="AW404" s="619"/>
      <c r="AX404" s="596">
        <v>0.05</v>
      </c>
      <c r="AY404" s="598">
        <v>5.5E-2</v>
      </c>
      <c r="AZ404" s="598">
        <v>0.06</v>
      </c>
      <c r="BA404" s="598">
        <v>6.5000000000000002E-2</v>
      </c>
      <c r="BB404" s="598">
        <v>7.0000000000000007E-2</v>
      </c>
      <c r="BC404" s="598"/>
      <c r="BD404" s="599"/>
      <c r="BE404" s="596"/>
      <c r="BF404" s="598"/>
      <c r="BG404" s="598"/>
      <c r="BH404" s="598"/>
      <c r="BI404" s="598"/>
      <c r="BJ404" s="598"/>
      <c r="BK404" s="605"/>
      <c r="BL404" s="658">
        <f t="shared" si="321"/>
        <v>14800</v>
      </c>
      <c r="BM404" s="3">
        <f t="shared" si="322"/>
        <v>37</v>
      </c>
      <c r="BN404" s="3">
        <f t="shared" si="323"/>
        <v>25</v>
      </c>
      <c r="BO404" s="3">
        <f t="shared" si="324"/>
        <v>38</v>
      </c>
    </row>
    <row r="405" spans="2:67">
      <c r="B405" s="1271" t="s">
        <v>2112</v>
      </c>
      <c r="C405" s="1069" t="s">
        <v>2113</v>
      </c>
      <c r="D405" s="1069" t="s">
        <v>2114</v>
      </c>
      <c r="E405" s="1268" t="s">
        <v>2115</v>
      </c>
      <c r="F405" s="592">
        <v>402</v>
      </c>
      <c r="G405" s="1071">
        <v>12540</v>
      </c>
      <c r="H405" s="1072">
        <v>6553</v>
      </c>
      <c r="I405" s="1073">
        <v>9404</v>
      </c>
      <c r="J405" s="166">
        <f t="shared" si="312"/>
        <v>250</v>
      </c>
      <c r="K405" s="167">
        <f t="shared" si="313"/>
        <v>131</v>
      </c>
      <c r="L405" s="168">
        <f t="shared" si="314"/>
        <v>188</v>
      </c>
      <c r="M405" s="166">
        <f t="shared" si="315"/>
        <v>339</v>
      </c>
      <c r="N405" s="167">
        <f t="shared" si="316"/>
        <v>177</v>
      </c>
      <c r="O405" s="168">
        <f t="shared" si="317"/>
        <v>254</v>
      </c>
      <c r="P405" s="169">
        <f t="shared" si="318"/>
        <v>548</v>
      </c>
      <c r="Q405" s="169">
        <f t="shared" si="319"/>
        <v>286</v>
      </c>
      <c r="R405" s="169">
        <f t="shared" si="320"/>
        <v>411</v>
      </c>
      <c r="S405" s="584">
        <f t="shared" si="291"/>
        <v>3135</v>
      </c>
      <c r="T405" s="594">
        <f t="shared" si="292"/>
        <v>1638</v>
      </c>
      <c r="U405" s="595">
        <f t="shared" si="293"/>
        <v>2351</v>
      </c>
      <c r="V405" s="166">
        <f t="shared" si="294"/>
        <v>9487</v>
      </c>
      <c r="W405" s="167">
        <f t="shared" si="295"/>
        <v>4955</v>
      </c>
      <c r="X405" s="168">
        <f t="shared" si="296"/>
        <v>7111</v>
      </c>
      <c r="Y405" s="166">
        <f t="shared" si="297"/>
        <v>10583</v>
      </c>
      <c r="Z405" s="167">
        <f t="shared" si="298"/>
        <v>5527</v>
      </c>
      <c r="AA405" s="168">
        <f t="shared" si="299"/>
        <v>7522</v>
      </c>
      <c r="AB405" s="166">
        <f t="shared" si="300"/>
        <v>10583</v>
      </c>
      <c r="AC405" s="167">
        <f t="shared" si="301"/>
        <v>5813</v>
      </c>
      <c r="AD405" s="168">
        <f t="shared" si="302"/>
        <v>7933</v>
      </c>
      <c r="AE405" s="166">
        <f t="shared" si="303"/>
        <v>11131</v>
      </c>
      <c r="AF405" s="167">
        <f t="shared" si="304"/>
        <v>5813</v>
      </c>
      <c r="AG405" s="168">
        <f t="shared" si="305"/>
        <v>8344</v>
      </c>
      <c r="AH405" s="166">
        <f t="shared" si="306"/>
        <v>11679</v>
      </c>
      <c r="AI405" s="167">
        <f t="shared" si="307"/>
        <v>6099</v>
      </c>
      <c r="AJ405" s="168">
        <f t="shared" si="308"/>
        <v>8755</v>
      </c>
      <c r="AK405" s="169">
        <f t="shared" si="309"/>
        <v>12790</v>
      </c>
      <c r="AL405" s="167">
        <f t="shared" si="310"/>
        <v>6684</v>
      </c>
      <c r="AM405" s="585">
        <f t="shared" si="311"/>
        <v>9592</v>
      </c>
      <c r="AN405" s="1133">
        <v>0.06</v>
      </c>
      <c r="AO405" s="1134">
        <v>6.3E-2</v>
      </c>
      <c r="AP405" s="1134">
        <v>6.6000000000000003E-2</v>
      </c>
      <c r="AQ405" s="1135">
        <v>6.9000000000000006E-2</v>
      </c>
      <c r="AR405" s="1132">
        <v>7.1999999999999995E-2</v>
      </c>
      <c r="AS405" s="1136"/>
      <c r="AT405" s="1137"/>
      <c r="AU405" s="1137"/>
      <c r="AV405" s="1137"/>
      <c r="AW405" s="1138"/>
      <c r="AX405" s="1133">
        <v>5.2999999999999999E-2</v>
      </c>
      <c r="AY405" s="1135">
        <v>5.5E-2</v>
      </c>
      <c r="AZ405" s="1135">
        <v>5.7000000000000002E-2</v>
      </c>
      <c r="BA405" s="1135">
        <v>5.8999999999999997E-2</v>
      </c>
      <c r="BB405" s="1135">
        <v>6.0999999999999999E-2</v>
      </c>
      <c r="BC405" s="1135">
        <v>6.3E-2</v>
      </c>
      <c r="BD405" s="1132">
        <v>6.5000000000000002E-2</v>
      </c>
      <c r="BE405" s="596"/>
      <c r="BF405" s="598"/>
      <c r="BG405" s="598"/>
      <c r="BH405" s="598"/>
      <c r="BI405" s="598"/>
      <c r="BJ405" s="598"/>
      <c r="BK405" s="605"/>
      <c r="BL405" s="658">
        <f t="shared" si="321"/>
        <v>28500</v>
      </c>
      <c r="BM405" s="3">
        <f t="shared" si="322"/>
        <v>44</v>
      </c>
      <c r="BN405" s="3">
        <f t="shared" si="323"/>
        <v>23</v>
      </c>
      <c r="BO405" s="3">
        <f t="shared" si="324"/>
        <v>33</v>
      </c>
    </row>
    <row r="406" spans="2:67">
      <c r="B406" s="606" t="s">
        <v>2123</v>
      </c>
      <c r="C406" s="607" t="s">
        <v>2124</v>
      </c>
      <c r="D406" s="607" t="s">
        <v>2125</v>
      </c>
      <c r="E406" s="238" t="s">
        <v>1150</v>
      </c>
      <c r="F406" s="608">
        <v>403</v>
      </c>
      <c r="G406" s="609">
        <v>6763</v>
      </c>
      <c r="H406" s="610">
        <v>5340</v>
      </c>
      <c r="I406" s="611">
        <v>5694</v>
      </c>
      <c r="J406" s="166">
        <f t="shared" si="312"/>
        <v>135</v>
      </c>
      <c r="K406" s="167">
        <f t="shared" si="313"/>
        <v>106</v>
      </c>
      <c r="L406" s="168">
        <f t="shared" si="314"/>
        <v>113</v>
      </c>
      <c r="M406" s="166">
        <f t="shared" si="315"/>
        <v>202</v>
      </c>
      <c r="N406" s="167">
        <f t="shared" si="316"/>
        <v>160</v>
      </c>
      <c r="O406" s="168">
        <f t="shared" si="317"/>
        <v>170</v>
      </c>
      <c r="P406" s="169">
        <f t="shared" si="318"/>
        <v>270</v>
      </c>
      <c r="Q406" s="169">
        <f t="shared" si="319"/>
        <v>213</v>
      </c>
      <c r="R406" s="169">
        <f t="shared" si="320"/>
        <v>227</v>
      </c>
      <c r="S406" s="584">
        <f t="shared" si="291"/>
        <v>2029</v>
      </c>
      <c r="T406" s="594">
        <f t="shared" si="292"/>
        <v>1602</v>
      </c>
      <c r="U406" s="595">
        <f t="shared" si="293"/>
        <v>1708</v>
      </c>
      <c r="V406" s="166">
        <f t="shared" si="294"/>
        <v>4184</v>
      </c>
      <c r="W406" s="167">
        <f t="shared" si="295"/>
        <v>3308</v>
      </c>
      <c r="X406" s="168">
        <f t="shared" si="296"/>
        <v>3521</v>
      </c>
      <c r="Y406" s="166">
        <f t="shared" si="297"/>
        <v>4724</v>
      </c>
      <c r="Z406" s="167">
        <f t="shared" si="298"/>
        <v>3734</v>
      </c>
      <c r="AA406" s="168">
        <f t="shared" si="299"/>
        <v>3975</v>
      </c>
      <c r="AB406" s="166">
        <f t="shared" si="300"/>
        <v>5264</v>
      </c>
      <c r="AC406" s="167">
        <f t="shared" si="301"/>
        <v>4160</v>
      </c>
      <c r="AD406" s="168">
        <f t="shared" si="302"/>
        <v>4429</v>
      </c>
      <c r="AE406" s="166">
        <f t="shared" si="303"/>
        <v>5804</v>
      </c>
      <c r="AF406" s="167">
        <f t="shared" si="304"/>
        <v>4373</v>
      </c>
      <c r="AG406" s="168">
        <f t="shared" si="305"/>
        <v>4883</v>
      </c>
      <c r="AH406" s="166">
        <f t="shared" si="306"/>
        <v>6074</v>
      </c>
      <c r="AI406" s="167">
        <f t="shared" si="307"/>
        <v>4799</v>
      </c>
      <c r="AJ406" s="168">
        <f t="shared" si="308"/>
        <v>5564</v>
      </c>
      <c r="AK406" s="169">
        <f t="shared" si="309"/>
        <v>6898</v>
      </c>
      <c r="AL406" s="167">
        <f t="shared" si="310"/>
        <v>5446</v>
      </c>
      <c r="AM406" s="585">
        <f t="shared" si="311"/>
        <v>5807</v>
      </c>
      <c r="AN406" s="614">
        <v>0.13</v>
      </c>
      <c r="AO406" s="615">
        <v>0.13500000000000001</v>
      </c>
      <c r="AP406" s="615">
        <v>0.14000000000000001</v>
      </c>
      <c r="AQ406" s="616">
        <v>0.14499999999999999</v>
      </c>
      <c r="AR406" s="612">
        <v>0.15</v>
      </c>
      <c r="AS406" s="617"/>
      <c r="AT406" s="618"/>
      <c r="AU406" s="618"/>
      <c r="AV406" s="618"/>
      <c r="AW406" s="619"/>
      <c r="AX406" s="614">
        <v>0.03</v>
      </c>
      <c r="AY406" s="616">
        <v>3.5000000000000003E-2</v>
      </c>
      <c r="AZ406" s="616">
        <v>0.04</v>
      </c>
      <c r="BA406" s="616">
        <v>4.4999999999999998E-2</v>
      </c>
      <c r="BB406" s="616">
        <v>0.05</v>
      </c>
      <c r="BC406" s="616"/>
      <c r="BD406" s="612"/>
      <c r="BE406" s="596"/>
      <c r="BF406" s="598"/>
      <c r="BG406" s="598"/>
      <c r="BH406" s="598"/>
      <c r="BI406" s="598"/>
      <c r="BJ406" s="598"/>
      <c r="BK406" s="605"/>
      <c r="BL406" s="658">
        <f t="shared" si="321"/>
        <v>17800</v>
      </c>
      <c r="BM406" s="3">
        <f t="shared" si="322"/>
        <v>38</v>
      </c>
      <c r="BN406" s="3">
        <f t="shared" si="323"/>
        <v>30</v>
      </c>
      <c r="BO406" s="3">
        <f t="shared" si="324"/>
        <v>32</v>
      </c>
    </row>
    <row r="407" spans="2:67">
      <c r="B407" s="606" t="s">
        <v>2128</v>
      </c>
      <c r="C407" s="607" t="s">
        <v>2124</v>
      </c>
      <c r="D407" s="607" t="s">
        <v>2114</v>
      </c>
      <c r="E407" s="613" t="s">
        <v>1150</v>
      </c>
      <c r="F407" s="592">
        <v>404</v>
      </c>
      <c r="G407" s="609">
        <v>6824</v>
      </c>
      <c r="H407" s="610">
        <v>5250</v>
      </c>
      <c r="I407" s="611">
        <v>5424</v>
      </c>
      <c r="J407" s="166">
        <f t="shared" si="312"/>
        <v>136</v>
      </c>
      <c r="K407" s="167">
        <f t="shared" si="313"/>
        <v>105</v>
      </c>
      <c r="L407" s="168">
        <f t="shared" si="314"/>
        <v>108</v>
      </c>
      <c r="M407" s="166">
        <f t="shared" si="315"/>
        <v>204</v>
      </c>
      <c r="N407" s="167">
        <f t="shared" si="316"/>
        <v>157</v>
      </c>
      <c r="O407" s="168">
        <f t="shared" si="317"/>
        <v>162</v>
      </c>
      <c r="P407" s="169">
        <f t="shared" si="318"/>
        <v>273</v>
      </c>
      <c r="Q407" s="169">
        <f t="shared" si="319"/>
        <v>210</v>
      </c>
      <c r="R407" s="169">
        <f t="shared" si="320"/>
        <v>217</v>
      </c>
      <c r="S407" s="584">
        <f t="shared" si="291"/>
        <v>2047</v>
      </c>
      <c r="T407" s="594">
        <f t="shared" si="292"/>
        <v>1575</v>
      </c>
      <c r="U407" s="595">
        <f t="shared" si="293"/>
        <v>1627</v>
      </c>
      <c r="V407" s="166">
        <f t="shared" si="294"/>
        <v>4223</v>
      </c>
      <c r="W407" s="167">
        <f t="shared" si="295"/>
        <v>3250</v>
      </c>
      <c r="X407" s="168">
        <f t="shared" si="296"/>
        <v>3355</v>
      </c>
      <c r="Y407" s="166">
        <f t="shared" si="297"/>
        <v>4769</v>
      </c>
      <c r="Z407" s="167">
        <f t="shared" si="298"/>
        <v>3670</v>
      </c>
      <c r="AA407" s="168">
        <f t="shared" si="299"/>
        <v>3789</v>
      </c>
      <c r="AB407" s="166">
        <f t="shared" si="300"/>
        <v>5315</v>
      </c>
      <c r="AC407" s="167">
        <f t="shared" si="301"/>
        <v>4090</v>
      </c>
      <c r="AD407" s="168">
        <f t="shared" si="302"/>
        <v>4223</v>
      </c>
      <c r="AE407" s="166">
        <f t="shared" si="303"/>
        <v>5588</v>
      </c>
      <c r="AF407" s="167">
        <f t="shared" si="304"/>
        <v>4510</v>
      </c>
      <c r="AG407" s="168">
        <f t="shared" si="305"/>
        <v>4657</v>
      </c>
      <c r="AH407" s="166">
        <f t="shared" si="306"/>
        <v>6134</v>
      </c>
      <c r="AI407" s="167">
        <f t="shared" si="307"/>
        <v>4720</v>
      </c>
      <c r="AJ407" s="168">
        <f t="shared" si="308"/>
        <v>5308</v>
      </c>
      <c r="AK407" s="169">
        <f t="shared" si="309"/>
        <v>6960</v>
      </c>
      <c r="AL407" s="167">
        <f t="shared" si="310"/>
        <v>5355</v>
      </c>
      <c r="AM407" s="585">
        <f t="shared" si="311"/>
        <v>5532</v>
      </c>
      <c r="AN407" s="614">
        <v>0.04</v>
      </c>
      <c r="AO407" s="615">
        <v>4.2999999999999997E-2</v>
      </c>
      <c r="AP407" s="615">
        <v>4.5999999999999999E-2</v>
      </c>
      <c r="AQ407" s="616">
        <v>4.9000000000000002E-2</v>
      </c>
      <c r="AR407" s="612">
        <v>5.1999999999999998E-2</v>
      </c>
      <c r="AS407" s="617"/>
      <c r="AT407" s="618"/>
      <c r="AU407" s="618"/>
      <c r="AV407" s="618"/>
      <c r="AW407" s="619"/>
      <c r="AX407" s="596">
        <v>0.02</v>
      </c>
      <c r="AY407" s="598">
        <v>2.3E-2</v>
      </c>
      <c r="AZ407" s="598">
        <v>2.5999999999999999E-2</v>
      </c>
      <c r="BA407" s="598">
        <v>2.9000000000000001E-2</v>
      </c>
      <c r="BB407" s="598">
        <v>3.2000000000000001E-2</v>
      </c>
      <c r="BC407" s="616"/>
      <c r="BD407" s="612"/>
      <c r="BE407" s="596"/>
      <c r="BF407" s="598"/>
      <c r="BG407" s="598"/>
      <c r="BH407" s="598"/>
      <c r="BI407" s="598"/>
      <c r="BJ407" s="598"/>
      <c r="BK407" s="605"/>
      <c r="BL407" s="658">
        <f t="shared" si="321"/>
        <v>17500</v>
      </c>
      <c r="BM407" s="3">
        <f t="shared" si="322"/>
        <v>39</v>
      </c>
      <c r="BN407" s="3">
        <f t="shared" si="323"/>
        <v>30</v>
      </c>
      <c r="BO407" s="3">
        <f t="shared" si="324"/>
        <v>31</v>
      </c>
    </row>
    <row r="408" spans="2:67">
      <c r="B408" s="1271" t="s">
        <v>2140</v>
      </c>
      <c r="C408" s="1069" t="s">
        <v>309</v>
      </c>
      <c r="D408" s="1069" t="s">
        <v>2141</v>
      </c>
      <c r="E408" s="1267" t="s">
        <v>1150</v>
      </c>
      <c r="F408" s="1070">
        <v>405</v>
      </c>
      <c r="G408" s="1071">
        <v>12180</v>
      </c>
      <c r="H408" s="1072">
        <v>4640</v>
      </c>
      <c r="I408" s="1073">
        <v>12180</v>
      </c>
      <c r="J408" s="166">
        <f t="shared" si="312"/>
        <v>243</v>
      </c>
      <c r="K408" s="167">
        <f t="shared" si="313"/>
        <v>92</v>
      </c>
      <c r="L408" s="168">
        <f t="shared" si="314"/>
        <v>243</v>
      </c>
      <c r="M408" s="166">
        <f t="shared" si="315"/>
        <v>304</v>
      </c>
      <c r="N408" s="167">
        <f t="shared" si="316"/>
        <v>116</v>
      </c>
      <c r="O408" s="168">
        <f t="shared" si="317"/>
        <v>304</v>
      </c>
      <c r="P408" s="169">
        <f t="shared" si="318"/>
        <v>456</v>
      </c>
      <c r="Q408" s="169">
        <f t="shared" si="319"/>
        <v>174</v>
      </c>
      <c r="R408" s="169">
        <f t="shared" si="320"/>
        <v>456</v>
      </c>
      <c r="S408" s="584">
        <f t="shared" si="291"/>
        <v>3045</v>
      </c>
      <c r="T408" s="594">
        <f t="shared" si="292"/>
        <v>1160</v>
      </c>
      <c r="U408" s="595">
        <f t="shared" si="293"/>
        <v>3045</v>
      </c>
      <c r="V408" s="166">
        <f t="shared" si="294"/>
        <v>6936</v>
      </c>
      <c r="W408" s="167">
        <f t="shared" si="295"/>
        <v>2644</v>
      </c>
      <c r="X408" s="168">
        <f t="shared" si="296"/>
        <v>6936</v>
      </c>
      <c r="Y408" s="166">
        <f t="shared" si="297"/>
        <v>7392</v>
      </c>
      <c r="Z408" s="167">
        <f t="shared" si="298"/>
        <v>3166</v>
      </c>
      <c r="AA408" s="168">
        <f t="shared" si="299"/>
        <v>7848</v>
      </c>
      <c r="AB408" s="166">
        <f t="shared" si="300"/>
        <v>8760</v>
      </c>
      <c r="AC408" s="167">
        <f t="shared" si="301"/>
        <v>3340</v>
      </c>
      <c r="AD408" s="168">
        <f t="shared" si="302"/>
        <v>9216</v>
      </c>
      <c r="AE408" s="166">
        <f t="shared" si="303"/>
        <v>10584</v>
      </c>
      <c r="AF408" s="167">
        <f t="shared" si="304"/>
        <v>3688</v>
      </c>
      <c r="AG408" s="168">
        <f t="shared" si="305"/>
        <v>10128</v>
      </c>
      <c r="AH408" s="166">
        <f t="shared" si="306"/>
        <v>11496</v>
      </c>
      <c r="AI408" s="167">
        <f t="shared" si="307"/>
        <v>4384</v>
      </c>
      <c r="AJ408" s="168">
        <f t="shared" si="308"/>
        <v>11040</v>
      </c>
      <c r="AK408" s="169">
        <f t="shared" si="309"/>
        <v>12423</v>
      </c>
      <c r="AL408" s="167">
        <f t="shared" si="310"/>
        <v>4732</v>
      </c>
      <c r="AM408" s="585">
        <f t="shared" si="311"/>
        <v>12423</v>
      </c>
      <c r="AN408" s="1133">
        <v>5.3999999999999999E-2</v>
      </c>
      <c r="AO408" s="1134">
        <v>5.7000000000000002E-2</v>
      </c>
      <c r="AP408" s="1134">
        <v>0.06</v>
      </c>
      <c r="AQ408" s="1135">
        <v>6.3E-2</v>
      </c>
      <c r="AR408" s="1132">
        <v>6.6000000000000003E-2</v>
      </c>
      <c r="AS408" s="1136"/>
      <c r="AT408" s="1137"/>
      <c r="AU408" s="1137"/>
      <c r="AV408" s="1137"/>
      <c r="AW408" s="1138"/>
      <c r="AX408" s="596">
        <v>0.05</v>
      </c>
      <c r="AY408" s="598">
        <v>5.5E-2</v>
      </c>
      <c r="AZ408" s="598">
        <v>0.06</v>
      </c>
      <c r="BA408" s="598">
        <v>6.5000000000000002E-2</v>
      </c>
      <c r="BB408" s="598">
        <v>7.0000000000000007E-2</v>
      </c>
      <c r="BC408" s="1135"/>
      <c r="BD408" s="1132"/>
      <c r="BE408" s="596"/>
      <c r="BF408" s="598"/>
      <c r="BG408" s="598"/>
      <c r="BH408" s="598"/>
      <c r="BI408" s="598"/>
      <c r="BJ408" s="598"/>
      <c r="BK408" s="605"/>
      <c r="BL408" s="658">
        <f t="shared" si="321"/>
        <v>29000</v>
      </c>
      <c r="BM408" s="3">
        <f t="shared" si="322"/>
        <v>42</v>
      </c>
      <c r="BN408" s="3">
        <f t="shared" si="323"/>
        <v>16</v>
      </c>
      <c r="BO408" s="3">
        <f t="shared" si="324"/>
        <v>42</v>
      </c>
    </row>
    <row r="409" spans="2:67">
      <c r="B409" s="606" t="s">
        <v>2146</v>
      </c>
      <c r="C409" s="607" t="s">
        <v>310</v>
      </c>
      <c r="D409" s="607" t="s">
        <v>2147</v>
      </c>
      <c r="E409" s="238" t="s">
        <v>1150</v>
      </c>
      <c r="F409" s="592">
        <v>406</v>
      </c>
      <c r="G409" s="609">
        <v>5340</v>
      </c>
      <c r="H409" s="610">
        <v>7474</v>
      </c>
      <c r="I409" s="611">
        <v>4983</v>
      </c>
      <c r="J409" s="166">
        <f t="shared" si="312"/>
        <v>106</v>
      </c>
      <c r="K409" s="167">
        <f t="shared" si="313"/>
        <v>149</v>
      </c>
      <c r="L409" s="168">
        <f t="shared" si="314"/>
        <v>99</v>
      </c>
      <c r="M409" s="166">
        <f t="shared" si="315"/>
        <v>160</v>
      </c>
      <c r="N409" s="167">
        <f t="shared" si="316"/>
        <v>224</v>
      </c>
      <c r="O409" s="168">
        <f t="shared" si="317"/>
        <v>149</v>
      </c>
      <c r="P409" s="169">
        <f t="shared" si="318"/>
        <v>213</v>
      </c>
      <c r="Q409" s="169">
        <f t="shared" si="319"/>
        <v>299</v>
      </c>
      <c r="R409" s="169">
        <f t="shared" si="320"/>
        <v>199</v>
      </c>
      <c r="S409" s="584">
        <f t="shared" ref="S409:S472" si="325">ROUND(IF($C409="UR",G409*0.25,G409*0.3),0)</f>
        <v>1602</v>
      </c>
      <c r="T409" s="594">
        <f t="shared" ref="T409:T472" si="326">ROUND(IF($C409="UR",H409*0.25,H409*0.3),0)</f>
        <v>2242</v>
      </c>
      <c r="U409" s="595">
        <f t="shared" ref="U409:U472" si="327">ROUND(IF($C409="UR",I409*0.25,I409*0.3),0)</f>
        <v>1495</v>
      </c>
      <c r="V409" s="166">
        <f t="shared" ref="V409:V472" si="328">(IF($C409="UR",IF($E409="party卡",18,12))+IF($C409="SR",10)+IF($C409="R",8))*M409+J409+S409</f>
        <v>3308</v>
      </c>
      <c r="W409" s="167">
        <f t="shared" ref="W409:W472" si="329">(IF($C409="UR",IF($E409="party卡",18,12))+IF($C409="SR",10)+IF($C409="R",8))*N409+K409+T409</f>
        <v>4631</v>
      </c>
      <c r="X409" s="168">
        <f t="shared" ref="X409:X472" si="330">(IF($C409="UR",IF($E409="party卡",18,12))+IF($C409="SR",10)+IF($C409="R",8))*O409+L409+U409</f>
        <v>3084</v>
      </c>
      <c r="Y409" s="166">
        <f t="shared" ref="Y409:Y472" si="331">V409+(IF(C409="UR",IF(E409="party卡",IF(D409="gd",1,2),IF(D409="vo",2)+IF(D409="sp",1)+IF(D409="gd",3)+IF(D409="sk",1)))+IF(C409="SR",2)+IF(C409="R",IF(D409="vo",1)+IF(D409="sp",2)+IF(D409="gd",1)+IF(D409="sk",2)))*P409</f>
        <v>3734</v>
      </c>
      <c r="Z409" s="167">
        <f t="shared" ref="Z409:Z472" si="332">W409+(IF(C409="UR",IF(E409="party卡",IF(D409="sp",1,2),IF(D409="vo",1)+IF(D409="sp",3)+IF(D409="gd",2)+IF(D409="sk",2)))+IF(C409="SR",2)+IF(C409="R",IF(D409="vo",2)+IF(D409="sp",1)+IF(D409="gd",1)+IF(D409="sk",1)))*Q409</f>
        <v>5229</v>
      </c>
      <c r="AA409" s="168">
        <f t="shared" ref="AA409:AA472" si="333">X409+(IF(C409="UR",IF(E409="party卡",IF(OR(D409="vo",D409="sk"),1,2),IF(D409="vo",3)+IF(D409="sp",2)+IF(D409="gd",1)+IF(D409="sk",3)))+IF(C409="SR",2)+IF(C409="R",IF(D409="vo",1)+IF(D409="sp",1)+IF(D409="gd",2)+IF(D409="sk",1)))*R409</f>
        <v>3482</v>
      </c>
      <c r="AB409" s="166">
        <f t="shared" ref="AB409:AB472" si="334">V409+(IF(C409="UR",IF(E409="party卡",IF(OR(D409="sp",D409="sk"),3,2),IF(D409="vo",5)+IF(D409="sp",4)+IF(D409="gd",4)+IF(D409="sk",4)))+IF(C409="SR",4)+IF(C409="R",IF(D409="vo",3)+IF(D409="sp",3)+IF(D409="gd",2)+IF(D409="sk",3)))*P409</f>
        <v>4160</v>
      </c>
      <c r="AC409" s="167">
        <f t="shared" ref="AC409:AC472" si="335">W409+(IF(C409="UR",IF(E409="party卡",IF(D409="vo",3,2),IF(D409="vo",4)+IF(D409="sp",4)+IF(D409="gd",5)+IF(D409="sk",5)))+IF(C409="SR",4)+IF(C409="R",IF(D409="vo",3)+IF(D409="sp",2)+IF(D409="gd",3)+IF(D409="sk",3)))*Q409</f>
        <v>5827</v>
      </c>
      <c r="AD409" s="168">
        <f t="shared" ref="AD409:AD472" si="336">X409+(IF(C409="UR",IF(E409="party卡",IF(D409="gd",3,2),IF(D409="vo",4)+IF(D409="sp",5)+IF(D409="gd",4)+IF(D409="sk",4)))+IF(C409="SR",4)+IF(C409="R",IF(D409="vo",2)+IF(D409="sp",3)+IF(D409="gd",3)+IF(D409="sk",2)))*R409</f>
        <v>3880</v>
      </c>
      <c r="AE409" s="166">
        <f t="shared" ref="AE409:AE472" si="337">V409+(IF(C409="UR",IF(E409="party卡",3,IF(D409="vo",7)+IF(D409="sp",8)+IF(D409="gd",6)+IF(D409="sk",8)))+IF(C409="SR",IF(D409="vo",5)+IF(D409="sp",6)+IF(D409="gd",6)+IF(D409="sk",6))+IF(C409="R",IF(D409="vo",5)+IF(D409="sp",4)+IF(D409="gd",4)+IF(D409="sk",4)))*P409</f>
        <v>4586</v>
      </c>
      <c r="AF409" s="167">
        <f t="shared" ref="AF409:AF472" si="338">W409+(IF(C409="UR",IF(E409="party卡",3,IF(D409="vo",8)+IF(D409="sp",6)+IF(D409="gd",7)+IF(D409="sk",7)))+IF(C409="SR",IF(D409="vo",6)+IF(D409="sp",6)+IF(D409="gd",5)+IF(D409="sk",5))+IF(C409="R",IF(D409="vo",4)+IF(D409="sp",4)+IF(D409="gd",5)+IF(D409="sk",5)))*Q409</f>
        <v>6126</v>
      </c>
      <c r="AG409" s="168">
        <f t="shared" ref="AG409:AG472" si="339">X409+(IF(C409="UR",IF(E409="party卡",3,IF(D409="vo",6)+IF(D409="sp",7)+IF(D409="gd",8)+IF(D409="sk",6)))+IF(C409="SR",IF(D409="vo",6)+IF(D409="sp",5)+IF(D409="gd",6)+IF(D409="sk",6))+IF(C409="R",IF(D409="vo",4)+IF(D409="sp",5)+IF(D409="gd",4)+IF(D409="sk",4)))*R409</f>
        <v>4278</v>
      </c>
      <c r="AH409" s="166">
        <f t="shared" ref="AH409:AH472" si="340">V409+(IF(C409="UR",IF(E409="party卡",4,IF(D409="vo",9)+IF(D409="sp",10)+IF(D409="gd",10)+IF(D409="sk",10)))+IF(C409="SR",IF(D409="vo",7)+IF(D409="sp",7)+IF(D409="gd",9)+IF(D409="sk",7))+IF(C409="R",IF(D409="vo",7)+IF(D409="sp",6)+IF(D409="gd",6)+IF(D409="sk",6)))*P409</f>
        <v>5225</v>
      </c>
      <c r="AI409" s="167">
        <f t="shared" ref="AI409:AI472" si="341">W409+(IF(C409="UR",IF(E409="party卡",4,IF(D409="vo",10)+IF(D409="sp",10)+IF(D409="gd",9)+IF(D409="sk",9)))+IF(C409="SR",IF(D409="vo",7)+IF(D409="sp",9)+IF(D409="gd",7)+IF(D409="sk",7))+IF(C409="R",IF(D409="vo",6)+IF(D409="sp",6)+IF(D409="gd",7)+IF(D409="sk",7)))*Q409</f>
        <v>6724</v>
      </c>
      <c r="AJ409" s="168">
        <f t="shared" ref="AJ409:AJ472" si="342">X409+(IF(C409="UR",IF(E409="party卡",4,IF(D409="vo",10)+IF(D409="sp",9)+IF(D409="gd",10)+IF(D409="sk",10)))+IF(C409="SR",IF(D409="vo",9)+IF(D409="sp",7)+IF(D409="gd",7)+IF(D409="sk",9))+IF(C409="R",IF(D409="vo",6)+IF(D409="sp",7)+IF(D409="gd",6)+IF(D409="sk",6)))*R409</f>
        <v>4477</v>
      </c>
      <c r="AK409" s="169">
        <f t="shared" ref="AK409:AK472" si="343">G409+J409</f>
        <v>5446</v>
      </c>
      <c r="AL409" s="167">
        <f t="shared" ref="AL409:AL472" si="344">H409+K409</f>
        <v>7623</v>
      </c>
      <c r="AM409" s="585">
        <f t="shared" ref="AM409:AM472" si="345">I409+L409</f>
        <v>5082</v>
      </c>
      <c r="AN409" s="614">
        <v>0.15</v>
      </c>
      <c r="AO409" s="615">
        <v>0.18</v>
      </c>
      <c r="AP409" s="615">
        <v>0.21</v>
      </c>
      <c r="AQ409" s="616">
        <v>0.24</v>
      </c>
      <c r="AR409" s="612">
        <v>0.27</v>
      </c>
      <c r="AS409" s="617"/>
      <c r="AT409" s="618"/>
      <c r="AU409" s="618"/>
      <c r="AV409" s="618"/>
      <c r="AW409" s="619"/>
      <c r="AX409" s="596">
        <v>0.02</v>
      </c>
      <c r="AY409" s="598">
        <v>2.3E-2</v>
      </c>
      <c r="AZ409" s="598">
        <v>2.5999999999999999E-2</v>
      </c>
      <c r="BA409" s="598">
        <v>2.9000000000000001E-2</v>
      </c>
      <c r="BB409" s="598">
        <v>3.2000000000000001E-2</v>
      </c>
      <c r="BC409" s="616"/>
      <c r="BD409" s="612"/>
      <c r="BE409" s="596"/>
      <c r="BF409" s="598"/>
      <c r="BG409" s="598"/>
      <c r="BH409" s="598"/>
      <c r="BI409" s="598"/>
      <c r="BJ409" s="598"/>
      <c r="BK409" s="605"/>
      <c r="BL409" s="658">
        <f t="shared" si="321"/>
        <v>17800</v>
      </c>
      <c r="BM409" s="3">
        <f t="shared" si="322"/>
        <v>30</v>
      </c>
      <c r="BN409" s="3">
        <f t="shared" si="323"/>
        <v>42</v>
      </c>
      <c r="BO409" s="3">
        <f t="shared" si="324"/>
        <v>28</v>
      </c>
    </row>
    <row r="410" spans="2:67">
      <c r="B410" s="1271" t="s">
        <v>2150</v>
      </c>
      <c r="C410" s="1069" t="s">
        <v>309</v>
      </c>
      <c r="D410" s="1069" t="s">
        <v>2147</v>
      </c>
      <c r="E410" s="1268" t="s">
        <v>1150</v>
      </c>
      <c r="F410" s="1070">
        <v>407</v>
      </c>
      <c r="G410" s="1071">
        <v>8120</v>
      </c>
      <c r="H410" s="1072">
        <v>13049</v>
      </c>
      <c r="I410" s="1073">
        <v>7829</v>
      </c>
      <c r="J410" s="166">
        <f t="shared" si="312"/>
        <v>162</v>
      </c>
      <c r="K410" s="167">
        <f t="shared" si="313"/>
        <v>261</v>
      </c>
      <c r="L410" s="168">
        <f t="shared" si="314"/>
        <v>156</v>
      </c>
      <c r="M410" s="166">
        <f t="shared" si="315"/>
        <v>203</v>
      </c>
      <c r="N410" s="167">
        <f t="shared" si="316"/>
        <v>326</v>
      </c>
      <c r="O410" s="168">
        <f t="shared" si="317"/>
        <v>195</v>
      </c>
      <c r="P410" s="169">
        <f t="shared" si="318"/>
        <v>304</v>
      </c>
      <c r="Q410" s="169">
        <f t="shared" si="319"/>
        <v>489</v>
      </c>
      <c r="R410" s="169">
        <f t="shared" si="320"/>
        <v>293</v>
      </c>
      <c r="S410" s="584">
        <f t="shared" si="325"/>
        <v>2030</v>
      </c>
      <c r="T410" s="594">
        <f t="shared" si="326"/>
        <v>3262</v>
      </c>
      <c r="U410" s="595">
        <f t="shared" si="327"/>
        <v>1957</v>
      </c>
      <c r="V410" s="166">
        <f t="shared" si="328"/>
        <v>4628</v>
      </c>
      <c r="W410" s="167">
        <f t="shared" si="329"/>
        <v>7435</v>
      </c>
      <c r="X410" s="168">
        <f t="shared" si="330"/>
        <v>4453</v>
      </c>
      <c r="Y410" s="166">
        <f t="shared" si="331"/>
        <v>5540</v>
      </c>
      <c r="Z410" s="167">
        <f t="shared" si="332"/>
        <v>8413</v>
      </c>
      <c r="AA410" s="168">
        <f t="shared" si="333"/>
        <v>4746</v>
      </c>
      <c r="AB410" s="166">
        <f t="shared" si="334"/>
        <v>5844</v>
      </c>
      <c r="AC410" s="167">
        <f t="shared" si="335"/>
        <v>9880</v>
      </c>
      <c r="AD410" s="168">
        <f t="shared" si="336"/>
        <v>5625</v>
      </c>
      <c r="AE410" s="166">
        <f t="shared" si="337"/>
        <v>6452</v>
      </c>
      <c r="AF410" s="167">
        <f t="shared" si="338"/>
        <v>10858</v>
      </c>
      <c r="AG410" s="168">
        <f t="shared" si="339"/>
        <v>6797</v>
      </c>
      <c r="AH410" s="166">
        <f t="shared" si="340"/>
        <v>7668</v>
      </c>
      <c r="AI410" s="167">
        <f t="shared" si="341"/>
        <v>11836</v>
      </c>
      <c r="AJ410" s="168">
        <f t="shared" si="342"/>
        <v>7383</v>
      </c>
      <c r="AK410" s="169">
        <f t="shared" si="343"/>
        <v>8282</v>
      </c>
      <c r="AL410" s="167">
        <f t="shared" si="344"/>
        <v>13310</v>
      </c>
      <c r="AM410" s="585">
        <f t="shared" si="345"/>
        <v>7985</v>
      </c>
      <c r="AN410" s="1133">
        <v>0.2</v>
      </c>
      <c r="AO410" s="1134">
        <v>0.23</v>
      </c>
      <c r="AP410" s="1134">
        <v>0.26</v>
      </c>
      <c r="AQ410" s="1135">
        <v>0.28999999999999998</v>
      </c>
      <c r="AR410" s="1132">
        <v>0.32</v>
      </c>
      <c r="AS410" s="1136"/>
      <c r="AT410" s="1137"/>
      <c r="AU410" s="1137"/>
      <c r="AV410" s="1137"/>
      <c r="AW410" s="1138"/>
      <c r="AX410" s="596">
        <v>0.04</v>
      </c>
      <c r="AY410" s="598">
        <v>4.2999999999999997E-2</v>
      </c>
      <c r="AZ410" s="598">
        <v>4.5999999999999999E-2</v>
      </c>
      <c r="BA410" s="598">
        <v>4.9000000000000002E-2</v>
      </c>
      <c r="BB410" s="598">
        <v>5.1999999999999998E-2</v>
      </c>
      <c r="BC410" s="1135"/>
      <c r="BD410" s="1132"/>
      <c r="BE410" s="596"/>
      <c r="BF410" s="598"/>
      <c r="BG410" s="598"/>
      <c r="BH410" s="598"/>
      <c r="BI410" s="598"/>
      <c r="BJ410" s="598"/>
      <c r="BK410" s="605"/>
      <c r="BL410" s="658">
        <f t="shared" si="321"/>
        <v>29000</v>
      </c>
      <c r="BM410" s="3">
        <f t="shared" si="322"/>
        <v>28</v>
      </c>
      <c r="BN410" s="3">
        <f t="shared" si="323"/>
        <v>45</v>
      </c>
      <c r="BO410" s="3">
        <f t="shared" si="324"/>
        <v>27</v>
      </c>
    </row>
    <row r="411" spans="2:67">
      <c r="B411" s="1271" t="s">
        <v>2154</v>
      </c>
      <c r="C411" s="1069" t="s">
        <v>309</v>
      </c>
      <c r="D411" s="1069" t="s">
        <v>2155</v>
      </c>
      <c r="E411" s="238" t="s">
        <v>125</v>
      </c>
      <c r="F411" s="592">
        <v>408</v>
      </c>
      <c r="G411" s="1071">
        <v>9120</v>
      </c>
      <c r="H411" s="1072">
        <v>6960</v>
      </c>
      <c r="I411" s="1073">
        <v>7920</v>
      </c>
      <c r="J411" s="166">
        <f t="shared" si="312"/>
        <v>182</v>
      </c>
      <c r="K411" s="167">
        <f t="shared" si="313"/>
        <v>139</v>
      </c>
      <c r="L411" s="168">
        <f t="shared" si="314"/>
        <v>158</v>
      </c>
      <c r="M411" s="166">
        <f t="shared" si="315"/>
        <v>228</v>
      </c>
      <c r="N411" s="167">
        <f t="shared" si="316"/>
        <v>174</v>
      </c>
      <c r="O411" s="168">
        <f t="shared" si="317"/>
        <v>198</v>
      </c>
      <c r="P411" s="169">
        <f t="shared" si="318"/>
        <v>342</v>
      </c>
      <c r="Q411" s="169">
        <f t="shared" si="319"/>
        <v>261</v>
      </c>
      <c r="R411" s="169">
        <f t="shared" si="320"/>
        <v>297</v>
      </c>
      <c r="S411" s="584">
        <f t="shared" si="325"/>
        <v>2280</v>
      </c>
      <c r="T411" s="594">
        <f t="shared" si="326"/>
        <v>1740</v>
      </c>
      <c r="U411" s="595">
        <f t="shared" si="327"/>
        <v>1980</v>
      </c>
      <c r="V411" s="166">
        <f t="shared" si="328"/>
        <v>5198</v>
      </c>
      <c r="W411" s="167">
        <f t="shared" si="329"/>
        <v>3967</v>
      </c>
      <c r="X411" s="168">
        <f t="shared" si="330"/>
        <v>4514</v>
      </c>
      <c r="Y411" s="166">
        <f t="shared" si="331"/>
        <v>5882</v>
      </c>
      <c r="Z411" s="167">
        <f t="shared" si="332"/>
        <v>4228</v>
      </c>
      <c r="AA411" s="168">
        <f t="shared" si="333"/>
        <v>5405</v>
      </c>
      <c r="AB411" s="166">
        <f t="shared" si="334"/>
        <v>6908</v>
      </c>
      <c r="AC411" s="167">
        <f t="shared" si="335"/>
        <v>5011</v>
      </c>
      <c r="AD411" s="168">
        <f t="shared" si="336"/>
        <v>5702</v>
      </c>
      <c r="AE411" s="166">
        <f t="shared" si="337"/>
        <v>7592</v>
      </c>
      <c r="AF411" s="167">
        <f t="shared" si="338"/>
        <v>6055</v>
      </c>
      <c r="AG411" s="168">
        <f t="shared" si="339"/>
        <v>6296</v>
      </c>
      <c r="AH411" s="166">
        <f t="shared" si="340"/>
        <v>8276</v>
      </c>
      <c r="AI411" s="167">
        <f t="shared" si="341"/>
        <v>6577</v>
      </c>
      <c r="AJ411" s="168">
        <f t="shared" si="342"/>
        <v>7484</v>
      </c>
      <c r="AK411" s="169">
        <f t="shared" si="343"/>
        <v>9302</v>
      </c>
      <c r="AL411" s="167">
        <f t="shared" si="344"/>
        <v>7099</v>
      </c>
      <c r="AM411" s="585">
        <f t="shared" si="345"/>
        <v>8078</v>
      </c>
      <c r="AN411" s="1133">
        <v>0.05</v>
      </c>
      <c r="AO411" s="1134">
        <v>5.2999999999999999E-2</v>
      </c>
      <c r="AP411" s="1134">
        <v>5.6000000000000001E-2</v>
      </c>
      <c r="AQ411" s="1135">
        <v>5.8999999999999997E-2</v>
      </c>
      <c r="AR411" s="1132">
        <v>6.2E-2</v>
      </c>
      <c r="AS411" s="1136"/>
      <c r="AT411" s="1137"/>
      <c r="AU411" s="1137"/>
      <c r="AV411" s="1137"/>
      <c r="AW411" s="1138"/>
      <c r="AX411" s="596">
        <v>0.04</v>
      </c>
      <c r="AY411" s="598">
        <v>4.2999999999999997E-2</v>
      </c>
      <c r="AZ411" s="598">
        <v>4.5999999999999999E-2</v>
      </c>
      <c r="BA411" s="598">
        <v>4.9000000000000002E-2</v>
      </c>
      <c r="BB411" s="598">
        <v>5.1999999999999998E-2</v>
      </c>
      <c r="BC411" s="1135"/>
      <c r="BD411" s="1132"/>
      <c r="BE411" s="596"/>
      <c r="BF411" s="598"/>
      <c r="BG411" s="598"/>
      <c r="BH411" s="598"/>
      <c r="BI411" s="598"/>
      <c r="BJ411" s="598"/>
      <c r="BK411" s="605"/>
      <c r="BL411" s="658">
        <f t="shared" si="321"/>
        <v>24000</v>
      </c>
      <c r="BM411" s="3">
        <f t="shared" si="322"/>
        <v>38</v>
      </c>
      <c r="BN411" s="3">
        <f t="shared" si="323"/>
        <v>29</v>
      </c>
      <c r="BO411" s="3">
        <f t="shared" si="324"/>
        <v>33</v>
      </c>
    </row>
    <row r="412" spans="2:67">
      <c r="B412" s="606" t="s">
        <v>2157</v>
      </c>
      <c r="C412" s="607" t="s">
        <v>310</v>
      </c>
      <c r="D412" s="607" t="s">
        <v>2141</v>
      </c>
      <c r="E412" s="238" t="s">
        <v>125</v>
      </c>
      <c r="F412" s="608">
        <v>409</v>
      </c>
      <c r="G412" s="609">
        <v>5623</v>
      </c>
      <c r="H412" s="610">
        <v>5180</v>
      </c>
      <c r="I412" s="611">
        <v>3994</v>
      </c>
      <c r="J412" s="166">
        <f t="shared" si="312"/>
        <v>112</v>
      </c>
      <c r="K412" s="167">
        <f t="shared" si="313"/>
        <v>103</v>
      </c>
      <c r="L412" s="168">
        <f t="shared" si="314"/>
        <v>79</v>
      </c>
      <c r="M412" s="166">
        <f t="shared" si="315"/>
        <v>168</v>
      </c>
      <c r="N412" s="167">
        <f t="shared" si="316"/>
        <v>155</v>
      </c>
      <c r="O412" s="168">
        <f t="shared" si="317"/>
        <v>119</v>
      </c>
      <c r="P412" s="169">
        <f t="shared" si="318"/>
        <v>224</v>
      </c>
      <c r="Q412" s="169">
        <f t="shared" si="319"/>
        <v>207</v>
      </c>
      <c r="R412" s="169">
        <f t="shared" si="320"/>
        <v>159</v>
      </c>
      <c r="S412" s="584">
        <f t="shared" si="325"/>
        <v>1687</v>
      </c>
      <c r="T412" s="594">
        <f t="shared" si="326"/>
        <v>1554</v>
      </c>
      <c r="U412" s="595">
        <f t="shared" si="327"/>
        <v>1198</v>
      </c>
      <c r="V412" s="166">
        <f t="shared" si="328"/>
        <v>3479</v>
      </c>
      <c r="W412" s="167">
        <f t="shared" si="329"/>
        <v>3207</v>
      </c>
      <c r="X412" s="168">
        <f t="shared" si="330"/>
        <v>2467</v>
      </c>
      <c r="Y412" s="166">
        <f t="shared" si="331"/>
        <v>3927</v>
      </c>
      <c r="Z412" s="167">
        <f t="shared" si="332"/>
        <v>3621</v>
      </c>
      <c r="AA412" s="168">
        <f t="shared" si="333"/>
        <v>2785</v>
      </c>
      <c r="AB412" s="166">
        <f t="shared" si="334"/>
        <v>4375</v>
      </c>
      <c r="AC412" s="167">
        <f t="shared" si="335"/>
        <v>4035</v>
      </c>
      <c r="AD412" s="168">
        <f t="shared" si="336"/>
        <v>3103</v>
      </c>
      <c r="AE412" s="166">
        <f t="shared" si="337"/>
        <v>4823</v>
      </c>
      <c r="AF412" s="167">
        <f t="shared" si="338"/>
        <v>4449</v>
      </c>
      <c r="AG412" s="168">
        <f t="shared" si="339"/>
        <v>3262</v>
      </c>
      <c r="AH412" s="166">
        <f t="shared" si="340"/>
        <v>5047</v>
      </c>
      <c r="AI412" s="167">
        <f t="shared" si="341"/>
        <v>5070</v>
      </c>
      <c r="AJ412" s="168">
        <f t="shared" si="342"/>
        <v>3580</v>
      </c>
      <c r="AK412" s="169">
        <f t="shared" si="343"/>
        <v>5735</v>
      </c>
      <c r="AL412" s="167">
        <f t="shared" si="344"/>
        <v>5283</v>
      </c>
      <c r="AM412" s="585">
        <f t="shared" si="345"/>
        <v>4073</v>
      </c>
      <c r="AN412" s="614">
        <v>3.2000000000000001E-2</v>
      </c>
      <c r="AO412" s="615">
        <v>3.4000000000000002E-2</v>
      </c>
      <c r="AP412" s="615">
        <v>3.5999999999999997E-2</v>
      </c>
      <c r="AQ412" s="616">
        <v>3.7999999999999999E-2</v>
      </c>
      <c r="AR412" s="612">
        <v>0.04</v>
      </c>
      <c r="AS412" s="617"/>
      <c r="AT412" s="618"/>
      <c r="AU412" s="618"/>
      <c r="AV412" s="618"/>
      <c r="AW412" s="619"/>
      <c r="AX412" s="614">
        <v>0.03</v>
      </c>
      <c r="AY412" s="616">
        <v>3.5000000000000003E-2</v>
      </c>
      <c r="AZ412" s="616">
        <v>0.04</v>
      </c>
      <c r="BA412" s="616">
        <v>4.4999999999999998E-2</v>
      </c>
      <c r="BB412" s="616">
        <v>0.05</v>
      </c>
      <c r="BC412" s="616"/>
      <c r="BD412" s="612"/>
      <c r="BE412" s="596"/>
      <c r="BF412" s="598"/>
      <c r="BG412" s="598"/>
      <c r="BH412" s="598"/>
      <c r="BI412" s="598"/>
      <c r="BJ412" s="598"/>
      <c r="BK412" s="605"/>
      <c r="BL412" s="658">
        <f t="shared" si="321"/>
        <v>14800</v>
      </c>
      <c r="BM412" s="3">
        <f t="shared" si="322"/>
        <v>38</v>
      </c>
      <c r="BN412" s="3">
        <f t="shared" si="323"/>
        <v>35</v>
      </c>
      <c r="BO412" s="3">
        <f t="shared" si="324"/>
        <v>27</v>
      </c>
    </row>
    <row r="413" spans="2:67">
      <c r="B413" s="606" t="s">
        <v>2161</v>
      </c>
      <c r="C413" s="607" t="s">
        <v>310</v>
      </c>
      <c r="D413" s="607" t="s">
        <v>2162</v>
      </c>
      <c r="E413" s="613" t="s">
        <v>125</v>
      </c>
      <c r="F413" s="592">
        <v>410</v>
      </c>
      <c r="G413" s="609">
        <v>5474</v>
      </c>
      <c r="H413" s="610">
        <v>4290</v>
      </c>
      <c r="I413" s="611">
        <v>5030</v>
      </c>
      <c r="J413" s="166">
        <f t="shared" si="312"/>
        <v>109</v>
      </c>
      <c r="K413" s="167">
        <f t="shared" si="313"/>
        <v>85</v>
      </c>
      <c r="L413" s="168">
        <f t="shared" si="314"/>
        <v>100</v>
      </c>
      <c r="M413" s="166">
        <f t="shared" si="315"/>
        <v>164</v>
      </c>
      <c r="N413" s="167">
        <f t="shared" si="316"/>
        <v>128</v>
      </c>
      <c r="O413" s="168">
        <f t="shared" si="317"/>
        <v>150</v>
      </c>
      <c r="P413" s="169">
        <f t="shared" si="318"/>
        <v>219</v>
      </c>
      <c r="Q413" s="169">
        <f t="shared" si="319"/>
        <v>171</v>
      </c>
      <c r="R413" s="169">
        <f t="shared" si="320"/>
        <v>201</v>
      </c>
      <c r="S413" s="584">
        <f t="shared" si="325"/>
        <v>1642</v>
      </c>
      <c r="T413" s="594">
        <f t="shared" si="326"/>
        <v>1287</v>
      </c>
      <c r="U413" s="595">
        <f t="shared" si="327"/>
        <v>1509</v>
      </c>
      <c r="V413" s="166">
        <f t="shared" si="328"/>
        <v>3391</v>
      </c>
      <c r="W413" s="167">
        <f t="shared" si="329"/>
        <v>2652</v>
      </c>
      <c r="X413" s="168">
        <f t="shared" si="330"/>
        <v>3109</v>
      </c>
      <c r="Y413" s="166">
        <f t="shared" si="331"/>
        <v>3829</v>
      </c>
      <c r="Z413" s="167">
        <f t="shared" si="332"/>
        <v>2994</v>
      </c>
      <c r="AA413" s="168">
        <f t="shared" si="333"/>
        <v>3511</v>
      </c>
      <c r="AB413" s="166">
        <f t="shared" si="334"/>
        <v>4267</v>
      </c>
      <c r="AC413" s="167">
        <f t="shared" si="335"/>
        <v>3336</v>
      </c>
      <c r="AD413" s="168">
        <f t="shared" si="336"/>
        <v>3913</v>
      </c>
      <c r="AE413" s="166">
        <f t="shared" si="337"/>
        <v>4705</v>
      </c>
      <c r="AF413" s="167">
        <f t="shared" si="338"/>
        <v>3507</v>
      </c>
      <c r="AG413" s="168">
        <f t="shared" si="339"/>
        <v>4315</v>
      </c>
      <c r="AH413" s="166">
        <f t="shared" si="340"/>
        <v>4924</v>
      </c>
      <c r="AI413" s="167">
        <f t="shared" si="341"/>
        <v>3849</v>
      </c>
      <c r="AJ413" s="168">
        <f t="shared" si="342"/>
        <v>4918</v>
      </c>
      <c r="AK413" s="169">
        <f t="shared" si="343"/>
        <v>5583</v>
      </c>
      <c r="AL413" s="167">
        <f t="shared" si="344"/>
        <v>4375</v>
      </c>
      <c r="AM413" s="585">
        <f t="shared" si="345"/>
        <v>5130</v>
      </c>
      <c r="AN413" s="614">
        <v>0.03</v>
      </c>
      <c r="AO413" s="615">
        <v>3.3000000000000002E-2</v>
      </c>
      <c r="AP413" s="615">
        <v>3.5999999999999997E-2</v>
      </c>
      <c r="AQ413" s="616">
        <v>3.9E-2</v>
      </c>
      <c r="AR413" s="612">
        <v>4.2000000000000003E-2</v>
      </c>
      <c r="AS413" s="617"/>
      <c r="AT413" s="618"/>
      <c r="AU413" s="618"/>
      <c r="AV413" s="618"/>
      <c r="AW413" s="619"/>
      <c r="AX413" s="614">
        <v>0.03</v>
      </c>
      <c r="AY413" s="616">
        <v>3.5000000000000003E-2</v>
      </c>
      <c r="AZ413" s="616">
        <v>0.04</v>
      </c>
      <c r="BA413" s="616">
        <v>4.4999999999999998E-2</v>
      </c>
      <c r="BB413" s="616">
        <v>0.05</v>
      </c>
      <c r="BC413" s="616"/>
      <c r="BD413" s="612"/>
      <c r="BE413" s="596"/>
      <c r="BF413" s="598"/>
      <c r="BG413" s="598"/>
      <c r="BH413" s="598"/>
      <c r="BI413" s="598"/>
      <c r="BJ413" s="598"/>
      <c r="BK413" s="605"/>
      <c r="BL413" s="658">
        <f t="shared" si="321"/>
        <v>14800</v>
      </c>
      <c r="BM413" s="3">
        <f t="shared" si="322"/>
        <v>37</v>
      </c>
      <c r="BN413" s="3">
        <f t="shared" si="323"/>
        <v>29</v>
      </c>
      <c r="BO413" s="3">
        <f t="shared" si="324"/>
        <v>34</v>
      </c>
    </row>
    <row r="414" spans="2:67">
      <c r="B414" s="1271" t="s">
        <v>2255</v>
      </c>
      <c r="C414" s="1069" t="s">
        <v>2256</v>
      </c>
      <c r="D414" s="1069" t="s">
        <v>2257</v>
      </c>
      <c r="E414" s="1268" t="s">
        <v>939</v>
      </c>
      <c r="F414" s="1070">
        <v>411</v>
      </c>
      <c r="G414" s="1071">
        <v>12913</v>
      </c>
      <c r="H414" s="1072">
        <v>7244</v>
      </c>
      <c r="I414" s="1073">
        <v>11340</v>
      </c>
      <c r="J414" s="166">
        <f t="shared" si="312"/>
        <v>258</v>
      </c>
      <c r="K414" s="167">
        <f t="shared" si="313"/>
        <v>144</v>
      </c>
      <c r="L414" s="168">
        <f t="shared" si="314"/>
        <v>226</v>
      </c>
      <c r="M414" s="166">
        <f t="shared" si="315"/>
        <v>322</v>
      </c>
      <c r="N414" s="167">
        <f t="shared" si="316"/>
        <v>181</v>
      </c>
      <c r="O414" s="168">
        <f t="shared" si="317"/>
        <v>283</v>
      </c>
      <c r="P414" s="169">
        <f t="shared" si="318"/>
        <v>484</v>
      </c>
      <c r="Q414" s="169">
        <f t="shared" si="319"/>
        <v>271</v>
      </c>
      <c r="R414" s="169">
        <f t="shared" si="320"/>
        <v>425</v>
      </c>
      <c r="S414" s="584">
        <f t="shared" si="325"/>
        <v>3228</v>
      </c>
      <c r="T414" s="594">
        <f t="shared" si="326"/>
        <v>1811</v>
      </c>
      <c r="U414" s="595">
        <f t="shared" si="327"/>
        <v>2835</v>
      </c>
      <c r="V414" s="166">
        <f t="shared" si="328"/>
        <v>7350</v>
      </c>
      <c r="W414" s="167">
        <f t="shared" si="329"/>
        <v>4127</v>
      </c>
      <c r="X414" s="168">
        <f t="shared" si="330"/>
        <v>6457</v>
      </c>
      <c r="Y414" s="166">
        <f t="shared" si="331"/>
        <v>7834</v>
      </c>
      <c r="Z414" s="167">
        <f t="shared" si="332"/>
        <v>4940</v>
      </c>
      <c r="AA414" s="168">
        <f t="shared" si="333"/>
        <v>7307</v>
      </c>
      <c r="AB414" s="166">
        <f t="shared" si="334"/>
        <v>9286</v>
      </c>
      <c r="AC414" s="167">
        <f t="shared" si="335"/>
        <v>5211</v>
      </c>
      <c r="AD414" s="168">
        <f t="shared" si="336"/>
        <v>8582</v>
      </c>
      <c r="AE414" s="166">
        <f t="shared" si="337"/>
        <v>11222</v>
      </c>
      <c r="AF414" s="167">
        <f t="shared" si="338"/>
        <v>5753</v>
      </c>
      <c r="AG414" s="168">
        <f t="shared" si="339"/>
        <v>9432</v>
      </c>
      <c r="AH414" s="166">
        <f t="shared" si="340"/>
        <v>12190</v>
      </c>
      <c r="AI414" s="167">
        <f t="shared" si="341"/>
        <v>6837</v>
      </c>
      <c r="AJ414" s="168">
        <f t="shared" si="342"/>
        <v>10282</v>
      </c>
      <c r="AK414" s="169">
        <f t="shared" si="343"/>
        <v>13171</v>
      </c>
      <c r="AL414" s="167">
        <f t="shared" si="344"/>
        <v>7388</v>
      </c>
      <c r="AM414" s="585">
        <f t="shared" si="345"/>
        <v>11566</v>
      </c>
      <c r="AN414" s="596">
        <v>0.38</v>
      </c>
      <c r="AO414" s="597">
        <v>0.38500000000000001</v>
      </c>
      <c r="AP414" s="597">
        <v>0.39</v>
      </c>
      <c r="AQ414" s="598">
        <v>0.39500000000000002</v>
      </c>
      <c r="AR414" s="599">
        <v>0.4</v>
      </c>
      <c r="AS414" s="1136"/>
      <c r="AT414" s="1137"/>
      <c r="AU414" s="1137"/>
      <c r="AV414" s="1137"/>
      <c r="AW414" s="1138"/>
      <c r="AX414" s="596">
        <v>0.04</v>
      </c>
      <c r="AY414" s="598">
        <v>4.2999999999999997E-2</v>
      </c>
      <c r="AZ414" s="598">
        <v>4.5999999999999999E-2</v>
      </c>
      <c r="BA414" s="598">
        <v>4.9000000000000002E-2</v>
      </c>
      <c r="BB414" s="598">
        <v>5.1999999999999998E-2</v>
      </c>
      <c r="BC414" s="1135"/>
      <c r="BD414" s="1132"/>
      <c r="BE414" s="596"/>
      <c r="BF414" s="598"/>
      <c r="BG414" s="598"/>
      <c r="BH414" s="598"/>
      <c r="BI414" s="598"/>
      <c r="BJ414" s="598"/>
      <c r="BK414" s="605"/>
      <c r="BL414" s="658">
        <f t="shared" si="321"/>
        <v>31500</v>
      </c>
      <c r="BM414" s="3">
        <f t="shared" si="322"/>
        <v>41</v>
      </c>
      <c r="BN414" s="3">
        <f t="shared" si="323"/>
        <v>23</v>
      </c>
      <c r="BO414" s="3">
        <f t="shared" si="324"/>
        <v>36</v>
      </c>
    </row>
    <row r="415" spans="2:67">
      <c r="B415" s="1271" t="s">
        <v>2252</v>
      </c>
      <c r="C415" s="1069" t="s">
        <v>309</v>
      </c>
      <c r="D415" s="1069" t="s">
        <v>2251</v>
      </c>
      <c r="E415" s="1268" t="s">
        <v>939</v>
      </c>
      <c r="F415" s="592">
        <v>412</v>
      </c>
      <c r="G415" s="1071">
        <v>13544</v>
      </c>
      <c r="H415" s="1072">
        <v>5984</v>
      </c>
      <c r="I415" s="1073">
        <v>11969</v>
      </c>
      <c r="J415" s="166">
        <f t="shared" si="312"/>
        <v>270</v>
      </c>
      <c r="K415" s="167">
        <f t="shared" si="313"/>
        <v>119</v>
      </c>
      <c r="L415" s="168">
        <f t="shared" si="314"/>
        <v>239</v>
      </c>
      <c r="M415" s="166">
        <f t="shared" si="315"/>
        <v>338</v>
      </c>
      <c r="N415" s="167">
        <f t="shared" si="316"/>
        <v>149</v>
      </c>
      <c r="O415" s="168">
        <f t="shared" si="317"/>
        <v>299</v>
      </c>
      <c r="P415" s="169">
        <f t="shared" si="318"/>
        <v>507</v>
      </c>
      <c r="Q415" s="169">
        <f t="shared" si="319"/>
        <v>224</v>
      </c>
      <c r="R415" s="169">
        <f t="shared" si="320"/>
        <v>448</v>
      </c>
      <c r="S415" s="584">
        <f t="shared" si="325"/>
        <v>3386</v>
      </c>
      <c r="T415" s="594">
        <f t="shared" si="326"/>
        <v>1496</v>
      </c>
      <c r="U415" s="595">
        <f t="shared" si="327"/>
        <v>2992</v>
      </c>
      <c r="V415" s="166">
        <f t="shared" si="328"/>
        <v>7712</v>
      </c>
      <c r="W415" s="167">
        <f t="shared" si="329"/>
        <v>3403</v>
      </c>
      <c r="X415" s="168">
        <f t="shared" si="330"/>
        <v>6819</v>
      </c>
      <c r="Y415" s="166">
        <f t="shared" si="331"/>
        <v>8726</v>
      </c>
      <c r="Z415" s="167">
        <f t="shared" si="332"/>
        <v>3627</v>
      </c>
      <c r="AA415" s="168">
        <f t="shared" si="333"/>
        <v>8163</v>
      </c>
      <c r="AB415" s="166">
        <f t="shared" si="334"/>
        <v>10247</v>
      </c>
      <c r="AC415" s="167">
        <f t="shared" si="335"/>
        <v>4299</v>
      </c>
      <c r="AD415" s="168">
        <f t="shared" si="336"/>
        <v>8611</v>
      </c>
      <c r="AE415" s="166">
        <f t="shared" si="337"/>
        <v>11261</v>
      </c>
      <c r="AF415" s="167">
        <f t="shared" si="338"/>
        <v>5195</v>
      </c>
      <c r="AG415" s="168">
        <f t="shared" si="339"/>
        <v>9507</v>
      </c>
      <c r="AH415" s="166">
        <f t="shared" si="340"/>
        <v>12275</v>
      </c>
      <c r="AI415" s="167">
        <f t="shared" si="341"/>
        <v>5643</v>
      </c>
      <c r="AJ415" s="168">
        <f t="shared" si="342"/>
        <v>11299</v>
      </c>
      <c r="AK415" s="169">
        <f t="shared" si="343"/>
        <v>13814</v>
      </c>
      <c r="AL415" s="167">
        <f t="shared" si="344"/>
        <v>6103</v>
      </c>
      <c r="AM415" s="585">
        <f t="shared" si="345"/>
        <v>12208</v>
      </c>
      <c r="AN415" s="596">
        <v>0.3</v>
      </c>
      <c r="AO415" s="597">
        <v>0.33</v>
      </c>
      <c r="AP415" s="597">
        <v>0.36</v>
      </c>
      <c r="AQ415" s="598">
        <v>0.39</v>
      </c>
      <c r="AR415" s="599">
        <v>0.42</v>
      </c>
      <c r="AS415" s="603"/>
      <c r="AT415" s="588"/>
      <c r="AU415" s="588"/>
      <c r="AV415" s="588"/>
      <c r="AW415" s="589"/>
      <c r="AX415" s="596">
        <v>0.04</v>
      </c>
      <c r="AY415" s="598">
        <v>4.2999999999999997E-2</v>
      </c>
      <c r="AZ415" s="598">
        <v>4.5999999999999999E-2</v>
      </c>
      <c r="BA415" s="598">
        <v>4.9000000000000002E-2</v>
      </c>
      <c r="BB415" s="598">
        <v>5.1999999999999998E-2</v>
      </c>
      <c r="BC415" s="1135"/>
      <c r="BD415" s="1132"/>
      <c r="BE415" s="596"/>
      <c r="BF415" s="598"/>
      <c r="BG415" s="598"/>
      <c r="BH415" s="598"/>
      <c r="BI415" s="598"/>
      <c r="BJ415" s="598"/>
      <c r="BK415" s="605"/>
      <c r="BL415" s="658">
        <f t="shared" si="321"/>
        <v>31500</v>
      </c>
      <c r="BM415" s="3">
        <f t="shared" si="322"/>
        <v>43</v>
      </c>
      <c r="BN415" s="3">
        <f t="shared" si="323"/>
        <v>19</v>
      </c>
      <c r="BO415" s="3">
        <f t="shared" si="324"/>
        <v>38</v>
      </c>
    </row>
    <row r="416" spans="2:67">
      <c r="B416" s="1271" t="s">
        <v>2261</v>
      </c>
      <c r="C416" s="1069" t="s">
        <v>2256</v>
      </c>
      <c r="D416" s="1069" t="s">
        <v>2262</v>
      </c>
      <c r="E416" s="1268" t="s">
        <v>939</v>
      </c>
      <c r="F416" s="1070">
        <v>413</v>
      </c>
      <c r="G416" s="1071">
        <v>8189</v>
      </c>
      <c r="H416" s="1072">
        <v>14173</v>
      </c>
      <c r="I416" s="1073">
        <v>9133</v>
      </c>
      <c r="J416" s="166">
        <f t="shared" si="312"/>
        <v>163</v>
      </c>
      <c r="K416" s="167">
        <f t="shared" si="313"/>
        <v>283</v>
      </c>
      <c r="L416" s="168">
        <f t="shared" si="314"/>
        <v>182</v>
      </c>
      <c r="M416" s="166">
        <f t="shared" si="315"/>
        <v>204</v>
      </c>
      <c r="N416" s="167">
        <f t="shared" si="316"/>
        <v>354</v>
      </c>
      <c r="O416" s="168">
        <f t="shared" si="317"/>
        <v>228</v>
      </c>
      <c r="P416" s="169">
        <f t="shared" si="318"/>
        <v>307</v>
      </c>
      <c r="Q416" s="169">
        <f t="shared" si="319"/>
        <v>531</v>
      </c>
      <c r="R416" s="169">
        <f t="shared" si="320"/>
        <v>342</v>
      </c>
      <c r="S416" s="584">
        <f t="shared" si="325"/>
        <v>2047</v>
      </c>
      <c r="T416" s="594">
        <f t="shared" si="326"/>
        <v>3543</v>
      </c>
      <c r="U416" s="595">
        <f t="shared" si="327"/>
        <v>2283</v>
      </c>
      <c r="V416" s="166">
        <f t="shared" si="328"/>
        <v>4658</v>
      </c>
      <c r="W416" s="167">
        <f t="shared" si="329"/>
        <v>8074</v>
      </c>
      <c r="X416" s="168">
        <f t="shared" si="330"/>
        <v>5201</v>
      </c>
      <c r="Y416" s="166">
        <f t="shared" si="331"/>
        <v>5579</v>
      </c>
      <c r="Z416" s="167">
        <f t="shared" si="332"/>
        <v>9136</v>
      </c>
      <c r="AA416" s="168">
        <f t="shared" si="333"/>
        <v>5543</v>
      </c>
      <c r="AB416" s="166">
        <f t="shared" si="334"/>
        <v>5886</v>
      </c>
      <c r="AC416" s="167">
        <f t="shared" si="335"/>
        <v>10729</v>
      </c>
      <c r="AD416" s="168">
        <f t="shared" si="336"/>
        <v>6569</v>
      </c>
      <c r="AE416" s="166">
        <f t="shared" si="337"/>
        <v>6500</v>
      </c>
      <c r="AF416" s="167">
        <f t="shared" si="338"/>
        <v>11791</v>
      </c>
      <c r="AG416" s="168">
        <f t="shared" si="339"/>
        <v>7937</v>
      </c>
      <c r="AH416" s="166">
        <f t="shared" si="340"/>
        <v>7728</v>
      </c>
      <c r="AI416" s="167">
        <f t="shared" si="341"/>
        <v>12853</v>
      </c>
      <c r="AJ416" s="168">
        <f t="shared" si="342"/>
        <v>8621</v>
      </c>
      <c r="AK416" s="169">
        <f t="shared" si="343"/>
        <v>8352</v>
      </c>
      <c r="AL416" s="167">
        <f t="shared" si="344"/>
        <v>14456</v>
      </c>
      <c r="AM416" s="585">
        <f t="shared" si="345"/>
        <v>9315</v>
      </c>
      <c r="AN416" s="596">
        <v>0.28000000000000003</v>
      </c>
      <c r="AO416" s="597">
        <v>0.31</v>
      </c>
      <c r="AP416" s="597">
        <v>0.34</v>
      </c>
      <c r="AQ416" s="598">
        <v>0.37</v>
      </c>
      <c r="AR416" s="599">
        <v>0.4</v>
      </c>
      <c r="AS416" s="1136"/>
      <c r="AT416" s="1137"/>
      <c r="AU416" s="1137"/>
      <c r="AV416" s="1137"/>
      <c r="AW416" s="1138"/>
      <c r="AX416" s="596">
        <v>0.04</v>
      </c>
      <c r="AY416" s="598">
        <v>4.2999999999999997E-2</v>
      </c>
      <c r="AZ416" s="598">
        <v>4.5999999999999999E-2</v>
      </c>
      <c r="BA416" s="598">
        <v>4.9000000000000002E-2</v>
      </c>
      <c r="BB416" s="598">
        <v>5.1999999999999998E-2</v>
      </c>
      <c r="BC416" s="1135"/>
      <c r="BD416" s="1132"/>
      <c r="BE416" s="596"/>
      <c r="BF416" s="598"/>
      <c r="BG416" s="598"/>
      <c r="BH416" s="598"/>
      <c r="BI416" s="598"/>
      <c r="BJ416" s="598"/>
      <c r="BK416" s="605"/>
      <c r="BL416" s="658">
        <f t="shared" si="321"/>
        <v>31500</v>
      </c>
      <c r="BM416" s="3">
        <f t="shared" si="322"/>
        <v>26</v>
      </c>
      <c r="BN416" s="3">
        <f t="shared" si="323"/>
        <v>45</v>
      </c>
      <c r="BO416" s="3">
        <f t="shared" si="324"/>
        <v>29</v>
      </c>
    </row>
    <row r="417" spans="2:67">
      <c r="B417" s="606" t="s">
        <v>2265</v>
      </c>
      <c r="C417" s="607" t="s">
        <v>2266</v>
      </c>
      <c r="D417" s="607" t="s">
        <v>2251</v>
      </c>
      <c r="E417" s="613" t="s">
        <v>1150</v>
      </c>
      <c r="F417" s="592">
        <v>414</v>
      </c>
      <c r="G417" s="609">
        <v>6940</v>
      </c>
      <c r="H417" s="610">
        <v>4270</v>
      </c>
      <c r="I417" s="611">
        <v>6584</v>
      </c>
      <c r="J417" s="166">
        <f t="shared" si="312"/>
        <v>138</v>
      </c>
      <c r="K417" s="167">
        <f t="shared" si="313"/>
        <v>85</v>
      </c>
      <c r="L417" s="168">
        <f t="shared" si="314"/>
        <v>131</v>
      </c>
      <c r="M417" s="166">
        <f t="shared" si="315"/>
        <v>208</v>
      </c>
      <c r="N417" s="167">
        <f t="shared" si="316"/>
        <v>128</v>
      </c>
      <c r="O417" s="168">
        <f t="shared" si="317"/>
        <v>197</v>
      </c>
      <c r="P417" s="169">
        <f t="shared" si="318"/>
        <v>277</v>
      </c>
      <c r="Q417" s="169">
        <f t="shared" si="319"/>
        <v>170</v>
      </c>
      <c r="R417" s="169">
        <f t="shared" si="320"/>
        <v>263</v>
      </c>
      <c r="S417" s="584">
        <f t="shared" si="325"/>
        <v>2082</v>
      </c>
      <c r="T417" s="594">
        <f t="shared" si="326"/>
        <v>1281</v>
      </c>
      <c r="U417" s="595">
        <f t="shared" si="327"/>
        <v>1975</v>
      </c>
      <c r="V417" s="166">
        <f t="shared" si="328"/>
        <v>4300</v>
      </c>
      <c r="W417" s="167">
        <f t="shared" si="329"/>
        <v>2646</v>
      </c>
      <c r="X417" s="168">
        <f t="shared" si="330"/>
        <v>4076</v>
      </c>
      <c r="Y417" s="166">
        <f t="shared" si="331"/>
        <v>4854</v>
      </c>
      <c r="Z417" s="167">
        <f t="shared" si="332"/>
        <v>2986</v>
      </c>
      <c r="AA417" s="168">
        <f t="shared" si="333"/>
        <v>4602</v>
      </c>
      <c r="AB417" s="166">
        <f t="shared" si="334"/>
        <v>5408</v>
      </c>
      <c r="AC417" s="167">
        <f t="shared" si="335"/>
        <v>3326</v>
      </c>
      <c r="AD417" s="168">
        <f t="shared" si="336"/>
        <v>5128</v>
      </c>
      <c r="AE417" s="166">
        <f t="shared" si="337"/>
        <v>5685</v>
      </c>
      <c r="AF417" s="167">
        <f t="shared" si="338"/>
        <v>3666</v>
      </c>
      <c r="AG417" s="168">
        <f t="shared" si="339"/>
        <v>5654</v>
      </c>
      <c r="AH417" s="166">
        <f t="shared" si="340"/>
        <v>6239</v>
      </c>
      <c r="AI417" s="167">
        <f t="shared" si="341"/>
        <v>3836</v>
      </c>
      <c r="AJ417" s="168">
        <f t="shared" si="342"/>
        <v>6443</v>
      </c>
      <c r="AK417" s="169">
        <f t="shared" si="343"/>
        <v>7078</v>
      </c>
      <c r="AL417" s="167">
        <f t="shared" si="344"/>
        <v>4355</v>
      </c>
      <c r="AM417" s="585">
        <f t="shared" si="345"/>
        <v>6715</v>
      </c>
      <c r="AN417" s="614">
        <v>0.05</v>
      </c>
      <c r="AO417" s="615">
        <v>5.5E-2</v>
      </c>
      <c r="AP417" s="615">
        <v>0.06</v>
      </c>
      <c r="AQ417" s="616">
        <v>6.5000000000000002E-2</v>
      </c>
      <c r="AR417" s="612">
        <v>7.0000000000000007E-2</v>
      </c>
      <c r="AS417" s="617"/>
      <c r="AT417" s="618"/>
      <c r="AU417" s="618"/>
      <c r="AV417" s="618"/>
      <c r="AW417" s="619"/>
      <c r="AX417" s="614">
        <v>0.03</v>
      </c>
      <c r="AY417" s="616">
        <v>3.5000000000000003E-2</v>
      </c>
      <c r="AZ417" s="616">
        <v>0.04</v>
      </c>
      <c r="BA417" s="616">
        <v>4.4999999999999998E-2</v>
      </c>
      <c r="BB417" s="616">
        <v>0.05</v>
      </c>
      <c r="BC417" s="616"/>
      <c r="BD417" s="612"/>
      <c r="BE417" s="596"/>
      <c r="BF417" s="598"/>
      <c r="BG417" s="598"/>
      <c r="BH417" s="598"/>
      <c r="BI417" s="598"/>
      <c r="BJ417" s="598"/>
      <c r="BK417" s="605"/>
      <c r="BL417" s="658">
        <f t="shared" si="321"/>
        <v>17800</v>
      </c>
      <c r="BM417" s="3">
        <f t="shared" si="322"/>
        <v>39</v>
      </c>
      <c r="BN417" s="3">
        <f t="shared" si="323"/>
        <v>24</v>
      </c>
      <c r="BO417" s="3">
        <f t="shared" si="324"/>
        <v>37</v>
      </c>
    </row>
    <row r="418" spans="2:67">
      <c r="B418" s="606" t="s">
        <v>2269</v>
      </c>
      <c r="C418" s="607" t="s">
        <v>2266</v>
      </c>
      <c r="D418" s="607" t="s">
        <v>2262</v>
      </c>
      <c r="E418" s="613" t="s">
        <v>1150</v>
      </c>
      <c r="F418" s="608">
        <v>415</v>
      </c>
      <c r="G418" s="609">
        <v>5694</v>
      </c>
      <c r="H418" s="610">
        <v>6763</v>
      </c>
      <c r="I418" s="611">
        <v>5340</v>
      </c>
      <c r="J418" s="166">
        <f t="shared" si="312"/>
        <v>113</v>
      </c>
      <c r="K418" s="167">
        <f t="shared" si="313"/>
        <v>135</v>
      </c>
      <c r="L418" s="168">
        <f t="shared" si="314"/>
        <v>106</v>
      </c>
      <c r="M418" s="166">
        <f t="shared" si="315"/>
        <v>170</v>
      </c>
      <c r="N418" s="167">
        <f t="shared" si="316"/>
        <v>202</v>
      </c>
      <c r="O418" s="168">
        <f t="shared" si="317"/>
        <v>160</v>
      </c>
      <c r="P418" s="169">
        <f t="shared" si="318"/>
        <v>227</v>
      </c>
      <c r="Q418" s="169">
        <f t="shared" si="319"/>
        <v>270</v>
      </c>
      <c r="R418" s="169">
        <f t="shared" si="320"/>
        <v>213</v>
      </c>
      <c r="S418" s="584">
        <f t="shared" si="325"/>
        <v>1708</v>
      </c>
      <c r="T418" s="594">
        <f t="shared" si="326"/>
        <v>2029</v>
      </c>
      <c r="U418" s="595">
        <f t="shared" si="327"/>
        <v>1602</v>
      </c>
      <c r="V418" s="166">
        <f t="shared" si="328"/>
        <v>3521</v>
      </c>
      <c r="W418" s="167">
        <f t="shared" si="329"/>
        <v>4184</v>
      </c>
      <c r="X418" s="168">
        <f t="shared" si="330"/>
        <v>3308</v>
      </c>
      <c r="Y418" s="166">
        <f t="shared" si="331"/>
        <v>3975</v>
      </c>
      <c r="Z418" s="167">
        <f t="shared" si="332"/>
        <v>4724</v>
      </c>
      <c r="AA418" s="168">
        <f t="shared" si="333"/>
        <v>3734</v>
      </c>
      <c r="AB418" s="166">
        <f t="shared" si="334"/>
        <v>4429</v>
      </c>
      <c r="AC418" s="167">
        <f t="shared" si="335"/>
        <v>5264</v>
      </c>
      <c r="AD418" s="168">
        <f t="shared" si="336"/>
        <v>4160</v>
      </c>
      <c r="AE418" s="166">
        <f t="shared" si="337"/>
        <v>4883</v>
      </c>
      <c r="AF418" s="167">
        <f t="shared" si="338"/>
        <v>5534</v>
      </c>
      <c r="AG418" s="168">
        <f t="shared" si="339"/>
        <v>4586</v>
      </c>
      <c r="AH418" s="166">
        <f t="shared" si="340"/>
        <v>5564</v>
      </c>
      <c r="AI418" s="167">
        <f t="shared" si="341"/>
        <v>6074</v>
      </c>
      <c r="AJ418" s="168">
        <f t="shared" si="342"/>
        <v>4799</v>
      </c>
      <c r="AK418" s="169">
        <f t="shared" si="343"/>
        <v>5807</v>
      </c>
      <c r="AL418" s="167">
        <f t="shared" si="344"/>
        <v>6898</v>
      </c>
      <c r="AM418" s="585">
        <f t="shared" si="345"/>
        <v>5446</v>
      </c>
      <c r="AN418" s="614">
        <v>0.15</v>
      </c>
      <c r="AO418" s="615">
        <v>0.18</v>
      </c>
      <c r="AP418" s="615">
        <v>0.21</v>
      </c>
      <c r="AQ418" s="616">
        <v>0.24</v>
      </c>
      <c r="AR418" s="612">
        <v>0.27</v>
      </c>
      <c r="AS418" s="617"/>
      <c r="AT418" s="618"/>
      <c r="AU418" s="618"/>
      <c r="AV418" s="618"/>
      <c r="AW418" s="619"/>
      <c r="AX418" s="614">
        <v>0.03</v>
      </c>
      <c r="AY418" s="616">
        <v>3.5000000000000003E-2</v>
      </c>
      <c r="AZ418" s="616">
        <v>0.04</v>
      </c>
      <c r="BA418" s="616">
        <v>4.4999999999999998E-2</v>
      </c>
      <c r="BB418" s="616">
        <v>0.05</v>
      </c>
      <c r="BC418" s="616"/>
      <c r="BD418" s="612"/>
      <c r="BE418" s="596"/>
      <c r="BF418" s="598"/>
      <c r="BG418" s="598"/>
      <c r="BH418" s="598"/>
      <c r="BI418" s="598"/>
      <c r="BJ418" s="598"/>
      <c r="BK418" s="605"/>
      <c r="BL418" s="658">
        <f t="shared" si="321"/>
        <v>17800</v>
      </c>
      <c r="BM418" s="3">
        <f t="shared" si="322"/>
        <v>32</v>
      </c>
      <c r="BN418" s="3">
        <f t="shared" si="323"/>
        <v>38</v>
      </c>
      <c r="BO418" s="3">
        <f t="shared" si="324"/>
        <v>30</v>
      </c>
    </row>
    <row r="419" spans="2:67">
      <c r="B419" s="1271" t="s">
        <v>2282</v>
      </c>
      <c r="C419" s="1069" t="s">
        <v>309</v>
      </c>
      <c r="D419" s="1069" t="s">
        <v>2283</v>
      </c>
      <c r="E419" s="238" t="s">
        <v>1150</v>
      </c>
      <c r="F419" s="592">
        <v>416</v>
      </c>
      <c r="G419" s="1071">
        <v>12469</v>
      </c>
      <c r="H419" s="1072">
        <v>6089</v>
      </c>
      <c r="I419" s="1073">
        <v>10440</v>
      </c>
      <c r="J419" s="166">
        <f t="shared" si="312"/>
        <v>249</v>
      </c>
      <c r="K419" s="167">
        <f t="shared" si="313"/>
        <v>121</v>
      </c>
      <c r="L419" s="168">
        <f t="shared" si="314"/>
        <v>208</v>
      </c>
      <c r="M419" s="166">
        <f t="shared" si="315"/>
        <v>311</v>
      </c>
      <c r="N419" s="167">
        <f t="shared" si="316"/>
        <v>152</v>
      </c>
      <c r="O419" s="168">
        <f t="shared" si="317"/>
        <v>261</v>
      </c>
      <c r="P419" s="169">
        <f t="shared" si="318"/>
        <v>467</v>
      </c>
      <c r="Q419" s="169">
        <f t="shared" si="319"/>
        <v>228</v>
      </c>
      <c r="R419" s="169">
        <f t="shared" si="320"/>
        <v>391</v>
      </c>
      <c r="S419" s="584">
        <f t="shared" si="325"/>
        <v>3117</v>
      </c>
      <c r="T419" s="594">
        <f t="shared" si="326"/>
        <v>1522</v>
      </c>
      <c r="U419" s="595">
        <f t="shared" si="327"/>
        <v>2610</v>
      </c>
      <c r="V419" s="166">
        <f t="shared" si="328"/>
        <v>7098</v>
      </c>
      <c r="W419" s="167">
        <f t="shared" si="329"/>
        <v>3467</v>
      </c>
      <c r="X419" s="168">
        <f t="shared" si="330"/>
        <v>5950</v>
      </c>
      <c r="Y419" s="166">
        <f t="shared" si="331"/>
        <v>8032</v>
      </c>
      <c r="Z419" s="167">
        <f t="shared" si="332"/>
        <v>3695</v>
      </c>
      <c r="AA419" s="168">
        <f t="shared" si="333"/>
        <v>7123</v>
      </c>
      <c r="AB419" s="166">
        <f t="shared" si="334"/>
        <v>9433</v>
      </c>
      <c r="AC419" s="167">
        <f t="shared" si="335"/>
        <v>4379</v>
      </c>
      <c r="AD419" s="168">
        <f t="shared" si="336"/>
        <v>7514</v>
      </c>
      <c r="AE419" s="166">
        <f t="shared" si="337"/>
        <v>10367</v>
      </c>
      <c r="AF419" s="167">
        <f t="shared" si="338"/>
        <v>5291</v>
      </c>
      <c r="AG419" s="168">
        <f t="shared" si="339"/>
        <v>8296</v>
      </c>
      <c r="AH419" s="166">
        <f t="shared" si="340"/>
        <v>11301</v>
      </c>
      <c r="AI419" s="167">
        <f t="shared" si="341"/>
        <v>5747</v>
      </c>
      <c r="AJ419" s="168">
        <f t="shared" si="342"/>
        <v>9860</v>
      </c>
      <c r="AK419" s="169">
        <f t="shared" si="343"/>
        <v>12718</v>
      </c>
      <c r="AL419" s="167">
        <f t="shared" si="344"/>
        <v>6210</v>
      </c>
      <c r="AM419" s="585">
        <f t="shared" si="345"/>
        <v>10648</v>
      </c>
      <c r="AN419" s="596">
        <v>7.0000000000000007E-2</v>
      </c>
      <c r="AO419" s="597">
        <v>7.4999999999999997E-2</v>
      </c>
      <c r="AP419" s="597">
        <v>0.08</v>
      </c>
      <c r="AQ419" s="598">
        <v>8.5000000000000006E-2</v>
      </c>
      <c r="AR419" s="599">
        <v>0.09</v>
      </c>
      <c r="AS419" s="1136"/>
      <c r="AT419" s="1137"/>
      <c r="AU419" s="1137"/>
      <c r="AV419" s="1137"/>
      <c r="AW419" s="1138"/>
      <c r="AX419" s="596">
        <v>0.05</v>
      </c>
      <c r="AY419" s="598">
        <v>5.5E-2</v>
      </c>
      <c r="AZ419" s="598">
        <v>0.06</v>
      </c>
      <c r="BA419" s="598">
        <v>6.5000000000000002E-2</v>
      </c>
      <c r="BB419" s="598">
        <v>7.0000000000000007E-2</v>
      </c>
      <c r="BC419" s="1135"/>
      <c r="BD419" s="1132"/>
      <c r="BE419" s="596"/>
      <c r="BF419" s="598"/>
      <c r="BG419" s="598"/>
      <c r="BH419" s="598"/>
      <c r="BI419" s="598"/>
      <c r="BJ419" s="598"/>
      <c r="BK419" s="605"/>
      <c r="BL419" s="658">
        <f t="shared" si="321"/>
        <v>29000</v>
      </c>
      <c r="BM419" s="3">
        <f t="shared" si="322"/>
        <v>43</v>
      </c>
      <c r="BN419" s="3">
        <f t="shared" si="323"/>
        <v>21</v>
      </c>
      <c r="BO419" s="3">
        <f t="shared" si="324"/>
        <v>36</v>
      </c>
    </row>
    <row r="420" spans="2:67">
      <c r="B420" s="606" t="s">
        <v>2288</v>
      </c>
      <c r="C420" s="607" t="s">
        <v>310</v>
      </c>
      <c r="D420" s="607" t="s">
        <v>2289</v>
      </c>
      <c r="E420" s="238" t="s">
        <v>1150</v>
      </c>
      <c r="F420" s="608">
        <v>417</v>
      </c>
      <c r="G420" s="609">
        <v>6763</v>
      </c>
      <c r="H420" s="610">
        <v>3914</v>
      </c>
      <c r="I420" s="611">
        <v>7120</v>
      </c>
      <c r="J420" s="166">
        <f t="shared" si="312"/>
        <v>135</v>
      </c>
      <c r="K420" s="167">
        <f t="shared" si="313"/>
        <v>78</v>
      </c>
      <c r="L420" s="168">
        <f t="shared" si="314"/>
        <v>142</v>
      </c>
      <c r="M420" s="166">
        <f t="shared" si="315"/>
        <v>202</v>
      </c>
      <c r="N420" s="167">
        <f t="shared" si="316"/>
        <v>117</v>
      </c>
      <c r="O420" s="168">
        <f t="shared" si="317"/>
        <v>213</v>
      </c>
      <c r="P420" s="169">
        <f t="shared" si="318"/>
        <v>270</v>
      </c>
      <c r="Q420" s="169">
        <f t="shared" si="319"/>
        <v>156</v>
      </c>
      <c r="R420" s="169">
        <f t="shared" si="320"/>
        <v>284</v>
      </c>
      <c r="S420" s="584">
        <f t="shared" si="325"/>
        <v>2029</v>
      </c>
      <c r="T420" s="594">
        <f t="shared" si="326"/>
        <v>1174</v>
      </c>
      <c r="U420" s="595">
        <f t="shared" si="327"/>
        <v>2136</v>
      </c>
      <c r="V420" s="166">
        <f t="shared" si="328"/>
        <v>4184</v>
      </c>
      <c r="W420" s="167">
        <f t="shared" si="329"/>
        <v>2422</v>
      </c>
      <c r="X420" s="168">
        <f t="shared" si="330"/>
        <v>4408</v>
      </c>
      <c r="Y420" s="166">
        <f t="shared" si="331"/>
        <v>4724</v>
      </c>
      <c r="Z420" s="167">
        <f t="shared" si="332"/>
        <v>2734</v>
      </c>
      <c r="AA420" s="168">
        <f t="shared" si="333"/>
        <v>4976</v>
      </c>
      <c r="AB420" s="166">
        <f t="shared" si="334"/>
        <v>5264</v>
      </c>
      <c r="AC420" s="167">
        <f t="shared" si="335"/>
        <v>3046</v>
      </c>
      <c r="AD420" s="168">
        <f t="shared" si="336"/>
        <v>5544</v>
      </c>
      <c r="AE420" s="166">
        <f t="shared" si="337"/>
        <v>5804</v>
      </c>
      <c r="AF420" s="167">
        <f t="shared" si="338"/>
        <v>3202</v>
      </c>
      <c r="AG420" s="168">
        <f t="shared" si="339"/>
        <v>6112</v>
      </c>
      <c r="AH420" s="166">
        <f t="shared" si="340"/>
        <v>6074</v>
      </c>
      <c r="AI420" s="167">
        <f t="shared" si="341"/>
        <v>3514</v>
      </c>
      <c r="AJ420" s="168">
        <f t="shared" si="342"/>
        <v>6964</v>
      </c>
      <c r="AK420" s="169">
        <f t="shared" si="343"/>
        <v>6898</v>
      </c>
      <c r="AL420" s="167">
        <f t="shared" si="344"/>
        <v>3992</v>
      </c>
      <c r="AM420" s="585">
        <f t="shared" si="345"/>
        <v>7262</v>
      </c>
      <c r="AN420" s="614">
        <v>4.2000000000000003E-2</v>
      </c>
      <c r="AO420" s="615">
        <v>4.4999999999999998E-2</v>
      </c>
      <c r="AP420" s="615">
        <v>4.8000000000000001E-2</v>
      </c>
      <c r="AQ420" s="616">
        <v>5.0999999999999997E-2</v>
      </c>
      <c r="AR420" s="612">
        <v>5.3999999999999999E-2</v>
      </c>
      <c r="AS420" s="617"/>
      <c r="AT420" s="618"/>
      <c r="AU420" s="618"/>
      <c r="AV420" s="618"/>
      <c r="AW420" s="619"/>
      <c r="AX420" s="614">
        <v>0.03</v>
      </c>
      <c r="AY420" s="616">
        <v>3.5000000000000003E-2</v>
      </c>
      <c r="AZ420" s="616">
        <v>0.04</v>
      </c>
      <c r="BA420" s="616">
        <v>4.4999999999999998E-2</v>
      </c>
      <c r="BB420" s="616">
        <v>0.05</v>
      </c>
      <c r="BC420" s="616"/>
      <c r="BD420" s="612"/>
      <c r="BE420" s="596"/>
      <c r="BF420" s="598"/>
      <c r="BG420" s="598"/>
      <c r="BH420" s="598"/>
      <c r="BI420" s="598"/>
      <c r="BJ420" s="598"/>
      <c r="BK420" s="605"/>
      <c r="BL420" s="658">
        <f t="shared" si="321"/>
        <v>17800</v>
      </c>
      <c r="BM420" s="3">
        <f t="shared" si="322"/>
        <v>38</v>
      </c>
      <c r="BN420" s="3">
        <f t="shared" si="323"/>
        <v>22</v>
      </c>
      <c r="BO420" s="3">
        <f t="shared" si="324"/>
        <v>40</v>
      </c>
    </row>
    <row r="421" spans="2:67">
      <c r="B421" s="1271" t="s">
        <v>2295</v>
      </c>
      <c r="C421" s="1069" t="s">
        <v>309</v>
      </c>
      <c r="D421" s="1069" t="s">
        <v>2296</v>
      </c>
      <c r="E421" s="1268" t="s">
        <v>1150</v>
      </c>
      <c r="F421" s="592">
        <v>418</v>
      </c>
      <c r="G421" s="1071">
        <v>7693</v>
      </c>
      <c r="H421" s="1072">
        <v>13393</v>
      </c>
      <c r="I421" s="1073">
        <v>7409</v>
      </c>
      <c r="J421" s="166">
        <f t="shared" si="312"/>
        <v>153</v>
      </c>
      <c r="K421" s="167">
        <f t="shared" si="313"/>
        <v>267</v>
      </c>
      <c r="L421" s="168">
        <f t="shared" si="314"/>
        <v>148</v>
      </c>
      <c r="M421" s="166">
        <f t="shared" si="315"/>
        <v>192</v>
      </c>
      <c r="N421" s="167">
        <f t="shared" si="316"/>
        <v>334</v>
      </c>
      <c r="O421" s="168">
        <f t="shared" si="317"/>
        <v>185</v>
      </c>
      <c r="P421" s="169">
        <f t="shared" si="318"/>
        <v>288</v>
      </c>
      <c r="Q421" s="169">
        <f t="shared" si="319"/>
        <v>502</v>
      </c>
      <c r="R421" s="169">
        <f t="shared" si="320"/>
        <v>277</v>
      </c>
      <c r="S421" s="584">
        <f t="shared" si="325"/>
        <v>1923</v>
      </c>
      <c r="T421" s="594">
        <f t="shared" si="326"/>
        <v>3348</v>
      </c>
      <c r="U421" s="595">
        <f t="shared" si="327"/>
        <v>1852</v>
      </c>
      <c r="V421" s="166">
        <f t="shared" si="328"/>
        <v>4380</v>
      </c>
      <c r="W421" s="167">
        <f t="shared" si="329"/>
        <v>7623</v>
      </c>
      <c r="X421" s="168">
        <f t="shared" si="330"/>
        <v>4220</v>
      </c>
      <c r="Y421" s="166">
        <f t="shared" si="331"/>
        <v>5244</v>
      </c>
      <c r="Z421" s="167">
        <f t="shared" si="332"/>
        <v>8627</v>
      </c>
      <c r="AA421" s="168">
        <f t="shared" si="333"/>
        <v>4497</v>
      </c>
      <c r="AB421" s="166">
        <f t="shared" si="334"/>
        <v>5532</v>
      </c>
      <c r="AC421" s="167">
        <f t="shared" si="335"/>
        <v>10133</v>
      </c>
      <c r="AD421" s="168">
        <f t="shared" si="336"/>
        <v>5328</v>
      </c>
      <c r="AE421" s="166">
        <f t="shared" si="337"/>
        <v>6108</v>
      </c>
      <c r="AF421" s="167">
        <f t="shared" si="338"/>
        <v>11137</v>
      </c>
      <c r="AG421" s="168">
        <f t="shared" si="339"/>
        <v>6436</v>
      </c>
      <c r="AH421" s="166">
        <f t="shared" si="340"/>
        <v>7260</v>
      </c>
      <c r="AI421" s="167">
        <f t="shared" si="341"/>
        <v>12141</v>
      </c>
      <c r="AJ421" s="168">
        <f t="shared" si="342"/>
        <v>6990</v>
      </c>
      <c r="AK421" s="169">
        <f t="shared" si="343"/>
        <v>7846</v>
      </c>
      <c r="AL421" s="167">
        <f t="shared" si="344"/>
        <v>13660</v>
      </c>
      <c r="AM421" s="585">
        <f t="shared" si="345"/>
        <v>7557</v>
      </c>
      <c r="AN421" s="1133">
        <v>0.21</v>
      </c>
      <c r="AO421" s="1134">
        <v>0.24</v>
      </c>
      <c r="AP421" s="1134">
        <v>0.27</v>
      </c>
      <c r="AQ421" s="1135">
        <v>0.3</v>
      </c>
      <c r="AR421" s="1132">
        <v>0.33</v>
      </c>
      <c r="AS421" s="1136"/>
      <c r="AT421" s="1137"/>
      <c r="AU421" s="1137"/>
      <c r="AV421" s="1137"/>
      <c r="AW421" s="1138"/>
      <c r="AX421" s="596">
        <v>0.05</v>
      </c>
      <c r="AY421" s="598">
        <v>5.5E-2</v>
      </c>
      <c r="AZ421" s="598">
        <v>0.06</v>
      </c>
      <c r="BA421" s="598">
        <v>6.5000000000000002E-2</v>
      </c>
      <c r="BB421" s="598">
        <v>7.0000000000000007E-2</v>
      </c>
      <c r="BC421" s="1135"/>
      <c r="BD421" s="1132"/>
      <c r="BE421" s="596"/>
      <c r="BF421" s="598"/>
      <c r="BG421" s="598"/>
      <c r="BH421" s="598"/>
      <c r="BI421" s="598"/>
      <c r="BJ421" s="598"/>
      <c r="BK421" s="605"/>
      <c r="BL421" s="658">
        <f t="shared" si="321"/>
        <v>28500</v>
      </c>
      <c r="BM421" s="3">
        <f t="shared" si="322"/>
        <v>27</v>
      </c>
      <c r="BN421" s="3">
        <f t="shared" si="323"/>
        <v>47</v>
      </c>
      <c r="BO421" s="3">
        <f t="shared" si="324"/>
        <v>26</v>
      </c>
    </row>
    <row r="422" spans="2:67">
      <c r="B422" s="1271" t="s">
        <v>2299</v>
      </c>
      <c r="C422" s="1069" t="s">
        <v>309</v>
      </c>
      <c r="D422" s="1069" t="s">
        <v>2289</v>
      </c>
      <c r="E422" s="238" t="s">
        <v>125</v>
      </c>
      <c r="F422" s="1070">
        <v>419</v>
      </c>
      <c r="G422" s="1071">
        <v>7920</v>
      </c>
      <c r="H422" s="1072">
        <v>7680</v>
      </c>
      <c r="I422" s="1073">
        <v>8400</v>
      </c>
      <c r="J422" s="166">
        <f t="shared" si="312"/>
        <v>158</v>
      </c>
      <c r="K422" s="167">
        <f t="shared" si="313"/>
        <v>153</v>
      </c>
      <c r="L422" s="168">
        <f t="shared" si="314"/>
        <v>168</v>
      </c>
      <c r="M422" s="166">
        <f t="shared" si="315"/>
        <v>198</v>
      </c>
      <c r="N422" s="167">
        <f t="shared" si="316"/>
        <v>192</v>
      </c>
      <c r="O422" s="168">
        <f t="shared" si="317"/>
        <v>210</v>
      </c>
      <c r="P422" s="169">
        <f t="shared" si="318"/>
        <v>297</v>
      </c>
      <c r="Q422" s="169">
        <f t="shared" si="319"/>
        <v>288</v>
      </c>
      <c r="R422" s="169">
        <f t="shared" si="320"/>
        <v>315</v>
      </c>
      <c r="S422" s="584">
        <f t="shared" si="325"/>
        <v>1980</v>
      </c>
      <c r="T422" s="594">
        <f t="shared" si="326"/>
        <v>1920</v>
      </c>
      <c r="U422" s="595">
        <f t="shared" si="327"/>
        <v>2100</v>
      </c>
      <c r="V422" s="166">
        <f t="shared" si="328"/>
        <v>4514</v>
      </c>
      <c r="W422" s="167">
        <f t="shared" si="329"/>
        <v>4377</v>
      </c>
      <c r="X422" s="168">
        <f t="shared" si="330"/>
        <v>4788</v>
      </c>
      <c r="Y422" s="166">
        <f t="shared" si="331"/>
        <v>4811</v>
      </c>
      <c r="Z422" s="167">
        <f t="shared" si="332"/>
        <v>4953</v>
      </c>
      <c r="AA422" s="168">
        <f t="shared" si="333"/>
        <v>5733</v>
      </c>
      <c r="AB422" s="166">
        <f t="shared" si="334"/>
        <v>5702</v>
      </c>
      <c r="AC422" s="167">
        <f t="shared" si="335"/>
        <v>5817</v>
      </c>
      <c r="AD422" s="168">
        <f t="shared" si="336"/>
        <v>6048</v>
      </c>
      <c r="AE422" s="166">
        <f t="shared" si="337"/>
        <v>6890</v>
      </c>
      <c r="AF422" s="167">
        <f t="shared" si="338"/>
        <v>6393</v>
      </c>
      <c r="AG422" s="168">
        <f t="shared" si="339"/>
        <v>6678</v>
      </c>
      <c r="AH422" s="166">
        <f t="shared" si="340"/>
        <v>7484</v>
      </c>
      <c r="AI422" s="167">
        <f t="shared" si="341"/>
        <v>6969</v>
      </c>
      <c r="AJ422" s="168">
        <f t="shared" si="342"/>
        <v>7938</v>
      </c>
      <c r="AK422" s="169">
        <f t="shared" si="343"/>
        <v>8078</v>
      </c>
      <c r="AL422" s="167">
        <f t="shared" si="344"/>
        <v>7833</v>
      </c>
      <c r="AM422" s="585">
        <f t="shared" si="345"/>
        <v>8568</v>
      </c>
      <c r="AN422" s="596">
        <v>0.06</v>
      </c>
      <c r="AO422" s="597">
        <v>6.5000000000000002E-2</v>
      </c>
      <c r="AP422" s="597">
        <v>7.0000000000000007E-2</v>
      </c>
      <c r="AQ422" s="598">
        <v>7.4999999999999997E-2</v>
      </c>
      <c r="AR422" s="599">
        <v>0.08</v>
      </c>
      <c r="AS422" s="1136"/>
      <c r="AT422" s="1137"/>
      <c r="AU422" s="1137"/>
      <c r="AV422" s="1137"/>
      <c r="AW422" s="1138"/>
      <c r="AX422" s="596">
        <v>0.04</v>
      </c>
      <c r="AY422" s="598">
        <v>4.2999999999999997E-2</v>
      </c>
      <c r="AZ422" s="598">
        <v>4.5999999999999999E-2</v>
      </c>
      <c r="BA422" s="598">
        <v>4.9000000000000002E-2</v>
      </c>
      <c r="BB422" s="598">
        <v>5.1999999999999998E-2</v>
      </c>
      <c r="BC422" s="1135"/>
      <c r="BD422" s="1132"/>
      <c r="BE422" s="596"/>
      <c r="BF422" s="598"/>
      <c r="BG422" s="598"/>
      <c r="BH422" s="598"/>
      <c r="BI422" s="598"/>
      <c r="BJ422" s="598"/>
      <c r="BK422" s="605"/>
      <c r="BL422" s="658">
        <f t="shared" si="321"/>
        <v>24000</v>
      </c>
      <c r="BM422" s="3">
        <f t="shared" si="322"/>
        <v>33</v>
      </c>
      <c r="BN422" s="3">
        <f t="shared" si="323"/>
        <v>32</v>
      </c>
      <c r="BO422" s="3">
        <f t="shared" si="324"/>
        <v>35</v>
      </c>
    </row>
    <row r="423" spans="2:67">
      <c r="B423" s="606" t="s">
        <v>2301</v>
      </c>
      <c r="C423" s="607" t="s">
        <v>310</v>
      </c>
      <c r="D423" s="607" t="s">
        <v>2296</v>
      </c>
      <c r="E423" s="238" t="s">
        <v>125</v>
      </c>
      <c r="F423" s="592">
        <v>420</v>
      </c>
      <c r="G423" s="609">
        <v>3994</v>
      </c>
      <c r="H423" s="610">
        <v>5920</v>
      </c>
      <c r="I423" s="611">
        <v>4883</v>
      </c>
      <c r="J423" s="166">
        <f t="shared" si="312"/>
        <v>79</v>
      </c>
      <c r="K423" s="167">
        <f t="shared" si="313"/>
        <v>118</v>
      </c>
      <c r="L423" s="168">
        <f t="shared" si="314"/>
        <v>97</v>
      </c>
      <c r="M423" s="166">
        <f t="shared" si="315"/>
        <v>119</v>
      </c>
      <c r="N423" s="167">
        <f t="shared" si="316"/>
        <v>177</v>
      </c>
      <c r="O423" s="168">
        <f t="shared" si="317"/>
        <v>146</v>
      </c>
      <c r="P423" s="169">
        <f t="shared" si="318"/>
        <v>159</v>
      </c>
      <c r="Q423" s="169">
        <f t="shared" si="319"/>
        <v>236</v>
      </c>
      <c r="R423" s="169">
        <f t="shared" si="320"/>
        <v>195</v>
      </c>
      <c r="S423" s="584">
        <f t="shared" si="325"/>
        <v>1198</v>
      </c>
      <c r="T423" s="594">
        <f t="shared" si="326"/>
        <v>1776</v>
      </c>
      <c r="U423" s="595">
        <f t="shared" si="327"/>
        <v>1465</v>
      </c>
      <c r="V423" s="166">
        <f t="shared" si="328"/>
        <v>2467</v>
      </c>
      <c r="W423" s="167">
        <f t="shared" si="329"/>
        <v>3664</v>
      </c>
      <c r="X423" s="168">
        <f t="shared" si="330"/>
        <v>3022</v>
      </c>
      <c r="Y423" s="166">
        <f t="shared" si="331"/>
        <v>2785</v>
      </c>
      <c r="Z423" s="167">
        <f t="shared" si="332"/>
        <v>4136</v>
      </c>
      <c r="AA423" s="168">
        <f t="shared" si="333"/>
        <v>3412</v>
      </c>
      <c r="AB423" s="166">
        <f t="shared" si="334"/>
        <v>3103</v>
      </c>
      <c r="AC423" s="167">
        <f t="shared" si="335"/>
        <v>4608</v>
      </c>
      <c r="AD423" s="168">
        <f t="shared" si="336"/>
        <v>3802</v>
      </c>
      <c r="AE423" s="166">
        <f t="shared" si="337"/>
        <v>3421</v>
      </c>
      <c r="AF423" s="167">
        <f t="shared" si="338"/>
        <v>4844</v>
      </c>
      <c r="AG423" s="168">
        <f t="shared" si="339"/>
        <v>4192</v>
      </c>
      <c r="AH423" s="166">
        <f t="shared" si="340"/>
        <v>3898</v>
      </c>
      <c r="AI423" s="167">
        <f t="shared" si="341"/>
        <v>5316</v>
      </c>
      <c r="AJ423" s="168">
        <f t="shared" si="342"/>
        <v>4387</v>
      </c>
      <c r="AK423" s="169">
        <f t="shared" si="343"/>
        <v>4073</v>
      </c>
      <c r="AL423" s="167">
        <f t="shared" si="344"/>
        <v>6038</v>
      </c>
      <c r="AM423" s="585">
        <f t="shared" si="345"/>
        <v>4980</v>
      </c>
      <c r="AN423" s="614">
        <v>0.15</v>
      </c>
      <c r="AO423" s="615">
        <v>0.18</v>
      </c>
      <c r="AP423" s="615">
        <v>0.21</v>
      </c>
      <c r="AQ423" s="616">
        <v>0.24</v>
      </c>
      <c r="AR423" s="612">
        <v>0.27</v>
      </c>
      <c r="AS423" s="617"/>
      <c r="AT423" s="618"/>
      <c r="AU423" s="618"/>
      <c r="AV423" s="618"/>
      <c r="AW423" s="619"/>
      <c r="AX423" s="614">
        <v>0.03</v>
      </c>
      <c r="AY423" s="616">
        <v>3.5000000000000003E-2</v>
      </c>
      <c r="AZ423" s="616">
        <v>0.04</v>
      </c>
      <c r="BA423" s="616">
        <v>4.4999999999999998E-2</v>
      </c>
      <c r="BB423" s="616">
        <v>0.05</v>
      </c>
      <c r="BC423" s="616"/>
      <c r="BD423" s="612"/>
      <c r="BE423" s="596"/>
      <c r="BF423" s="598"/>
      <c r="BG423" s="598"/>
      <c r="BH423" s="598"/>
      <c r="BI423" s="598"/>
      <c r="BJ423" s="598"/>
      <c r="BK423" s="605"/>
      <c r="BL423" s="658">
        <f t="shared" si="321"/>
        <v>14800</v>
      </c>
      <c r="BM423" s="3">
        <f t="shared" si="322"/>
        <v>27</v>
      </c>
      <c r="BN423" s="3">
        <f t="shared" si="323"/>
        <v>40</v>
      </c>
      <c r="BO423" s="3">
        <f t="shared" si="324"/>
        <v>33</v>
      </c>
    </row>
    <row r="424" spans="2:67">
      <c r="B424" s="606" t="s">
        <v>2307</v>
      </c>
      <c r="C424" s="607" t="s">
        <v>310</v>
      </c>
      <c r="D424" s="607" t="s">
        <v>2308</v>
      </c>
      <c r="E424" s="613" t="s">
        <v>125</v>
      </c>
      <c r="F424" s="608">
        <v>421</v>
      </c>
      <c r="G424" s="609">
        <v>5623</v>
      </c>
      <c r="H424" s="610">
        <v>3994</v>
      </c>
      <c r="I424" s="611">
        <v>5180</v>
      </c>
      <c r="J424" s="166">
        <f t="shared" si="312"/>
        <v>112</v>
      </c>
      <c r="K424" s="167">
        <f t="shared" si="313"/>
        <v>79</v>
      </c>
      <c r="L424" s="168">
        <f t="shared" si="314"/>
        <v>103</v>
      </c>
      <c r="M424" s="166">
        <f t="shared" si="315"/>
        <v>168</v>
      </c>
      <c r="N424" s="167">
        <f t="shared" si="316"/>
        <v>119</v>
      </c>
      <c r="O424" s="168">
        <f t="shared" si="317"/>
        <v>155</v>
      </c>
      <c r="P424" s="169">
        <f t="shared" si="318"/>
        <v>224</v>
      </c>
      <c r="Q424" s="169">
        <f t="shared" si="319"/>
        <v>159</v>
      </c>
      <c r="R424" s="169">
        <f t="shared" si="320"/>
        <v>207</v>
      </c>
      <c r="S424" s="584">
        <f t="shared" si="325"/>
        <v>1687</v>
      </c>
      <c r="T424" s="594">
        <f t="shared" si="326"/>
        <v>1198</v>
      </c>
      <c r="U424" s="595">
        <f t="shared" si="327"/>
        <v>1554</v>
      </c>
      <c r="V424" s="166">
        <f t="shared" si="328"/>
        <v>3479</v>
      </c>
      <c r="W424" s="167">
        <f t="shared" si="329"/>
        <v>2467</v>
      </c>
      <c r="X424" s="168">
        <f t="shared" si="330"/>
        <v>3207</v>
      </c>
      <c r="Y424" s="166">
        <f t="shared" si="331"/>
        <v>3927</v>
      </c>
      <c r="Z424" s="167">
        <f t="shared" si="332"/>
        <v>2785</v>
      </c>
      <c r="AA424" s="168">
        <f t="shared" si="333"/>
        <v>3621</v>
      </c>
      <c r="AB424" s="166">
        <f t="shared" si="334"/>
        <v>4375</v>
      </c>
      <c r="AC424" s="167">
        <f t="shared" si="335"/>
        <v>3103</v>
      </c>
      <c r="AD424" s="168">
        <f t="shared" si="336"/>
        <v>4035</v>
      </c>
      <c r="AE424" s="166">
        <f t="shared" si="337"/>
        <v>4823</v>
      </c>
      <c r="AF424" s="167">
        <f t="shared" si="338"/>
        <v>3421</v>
      </c>
      <c r="AG424" s="168">
        <f t="shared" si="339"/>
        <v>4242</v>
      </c>
      <c r="AH424" s="166">
        <f t="shared" si="340"/>
        <v>5047</v>
      </c>
      <c r="AI424" s="167">
        <f t="shared" si="341"/>
        <v>3898</v>
      </c>
      <c r="AJ424" s="168">
        <f t="shared" si="342"/>
        <v>4656</v>
      </c>
      <c r="AK424" s="169">
        <f t="shared" si="343"/>
        <v>5735</v>
      </c>
      <c r="AL424" s="167">
        <f t="shared" si="344"/>
        <v>4073</v>
      </c>
      <c r="AM424" s="585">
        <f t="shared" si="345"/>
        <v>5283</v>
      </c>
      <c r="AN424" s="614">
        <v>9.2999999999999999E-2</v>
      </c>
      <c r="AO424" s="615">
        <v>9.6000000000000002E-2</v>
      </c>
      <c r="AP424" s="615">
        <v>9.9000000000000005E-2</v>
      </c>
      <c r="AQ424" s="616">
        <v>0.10199999999999999</v>
      </c>
      <c r="AR424" s="612">
        <v>0.105</v>
      </c>
      <c r="AS424" s="617"/>
      <c r="AT424" s="618"/>
      <c r="AU424" s="618"/>
      <c r="AV424" s="618"/>
      <c r="AW424" s="619"/>
      <c r="AX424" s="596">
        <v>0.05</v>
      </c>
      <c r="AY424" s="598">
        <v>5.5E-2</v>
      </c>
      <c r="AZ424" s="598">
        <v>0.06</v>
      </c>
      <c r="BA424" s="598">
        <v>6.5000000000000002E-2</v>
      </c>
      <c r="BB424" s="598">
        <v>7.0000000000000007E-2</v>
      </c>
      <c r="BC424" s="616"/>
      <c r="BD424" s="612"/>
      <c r="BE424" s="596"/>
      <c r="BF424" s="598"/>
      <c r="BG424" s="598"/>
      <c r="BH424" s="598"/>
      <c r="BI424" s="598"/>
      <c r="BJ424" s="598"/>
      <c r="BK424" s="605"/>
      <c r="BL424" s="658">
        <f t="shared" si="321"/>
        <v>14800</v>
      </c>
      <c r="BM424" s="3">
        <f t="shared" si="322"/>
        <v>38</v>
      </c>
      <c r="BN424" s="3">
        <f t="shared" si="323"/>
        <v>27</v>
      </c>
      <c r="BO424" s="3">
        <f t="shared" si="324"/>
        <v>35</v>
      </c>
    </row>
    <row r="425" spans="2:67">
      <c r="B425" s="1271" t="s">
        <v>2327</v>
      </c>
      <c r="C425" s="1069" t="s">
        <v>309</v>
      </c>
      <c r="D425" s="1069" t="s">
        <v>2328</v>
      </c>
      <c r="E425" s="1268" t="s">
        <v>2115</v>
      </c>
      <c r="F425" s="592">
        <v>422</v>
      </c>
      <c r="G425" s="1071">
        <v>12760</v>
      </c>
      <c r="H425" s="1072">
        <v>6669</v>
      </c>
      <c r="I425" s="1073">
        <v>9569</v>
      </c>
      <c r="J425" s="166">
        <f t="shared" si="312"/>
        <v>255</v>
      </c>
      <c r="K425" s="167">
        <f t="shared" si="313"/>
        <v>133</v>
      </c>
      <c r="L425" s="168">
        <f t="shared" si="314"/>
        <v>191</v>
      </c>
      <c r="M425" s="166">
        <f t="shared" si="315"/>
        <v>345</v>
      </c>
      <c r="N425" s="167">
        <f t="shared" si="316"/>
        <v>180</v>
      </c>
      <c r="O425" s="168">
        <f t="shared" si="317"/>
        <v>259</v>
      </c>
      <c r="P425" s="169">
        <f t="shared" si="318"/>
        <v>558</v>
      </c>
      <c r="Q425" s="169">
        <f t="shared" si="319"/>
        <v>291</v>
      </c>
      <c r="R425" s="169">
        <f t="shared" si="320"/>
        <v>418</v>
      </c>
      <c r="S425" s="584">
        <f t="shared" si="325"/>
        <v>3190</v>
      </c>
      <c r="T425" s="594">
        <f t="shared" si="326"/>
        <v>1667</v>
      </c>
      <c r="U425" s="595">
        <f t="shared" si="327"/>
        <v>2392</v>
      </c>
      <c r="V425" s="166">
        <f t="shared" si="328"/>
        <v>9655</v>
      </c>
      <c r="W425" s="167">
        <f t="shared" si="329"/>
        <v>5040</v>
      </c>
      <c r="X425" s="168">
        <f t="shared" si="330"/>
        <v>7245</v>
      </c>
      <c r="Y425" s="166">
        <f t="shared" si="331"/>
        <v>10771</v>
      </c>
      <c r="Z425" s="167">
        <f t="shared" si="332"/>
        <v>5622</v>
      </c>
      <c r="AA425" s="168">
        <f t="shared" si="333"/>
        <v>7663</v>
      </c>
      <c r="AB425" s="166">
        <f t="shared" si="334"/>
        <v>10771</v>
      </c>
      <c r="AC425" s="167">
        <f t="shared" si="335"/>
        <v>5913</v>
      </c>
      <c r="AD425" s="168">
        <f t="shared" si="336"/>
        <v>8081</v>
      </c>
      <c r="AE425" s="166">
        <f t="shared" si="337"/>
        <v>11329</v>
      </c>
      <c r="AF425" s="167">
        <f t="shared" si="338"/>
        <v>5913</v>
      </c>
      <c r="AG425" s="168">
        <f t="shared" si="339"/>
        <v>8499</v>
      </c>
      <c r="AH425" s="166">
        <f t="shared" si="340"/>
        <v>11887</v>
      </c>
      <c r="AI425" s="167">
        <f t="shared" si="341"/>
        <v>6204</v>
      </c>
      <c r="AJ425" s="168">
        <f t="shared" si="342"/>
        <v>8917</v>
      </c>
      <c r="AK425" s="169">
        <f t="shared" si="343"/>
        <v>13015</v>
      </c>
      <c r="AL425" s="167">
        <f t="shared" si="344"/>
        <v>6802</v>
      </c>
      <c r="AM425" s="585">
        <f t="shared" si="345"/>
        <v>9760</v>
      </c>
      <c r="AN425" s="1133">
        <v>0.06</v>
      </c>
      <c r="AO425" s="1134">
        <v>6.3E-2</v>
      </c>
      <c r="AP425" s="1134">
        <v>6.6000000000000003E-2</v>
      </c>
      <c r="AQ425" s="1135">
        <v>6.9000000000000006E-2</v>
      </c>
      <c r="AR425" s="1132">
        <v>7.1999999999999995E-2</v>
      </c>
      <c r="AS425" s="1136"/>
      <c r="AT425" s="1137"/>
      <c r="AU425" s="1137"/>
      <c r="AV425" s="1137"/>
      <c r="AW425" s="1138"/>
      <c r="AX425" s="1133">
        <v>6.4000000000000001E-2</v>
      </c>
      <c r="AY425" s="1135">
        <v>6.7000000000000004E-2</v>
      </c>
      <c r="AZ425" s="1135">
        <v>7.0000000000000007E-2</v>
      </c>
      <c r="BA425" s="1135">
        <v>7.3999999999999996E-2</v>
      </c>
      <c r="BB425" s="1135">
        <v>7.6999999999999999E-2</v>
      </c>
      <c r="BC425" s="1135">
        <v>0.08</v>
      </c>
      <c r="BD425" s="1132">
        <v>8.4000000000000005E-2</v>
      </c>
      <c r="BE425" s="596"/>
      <c r="BF425" s="598"/>
      <c r="BG425" s="598"/>
      <c r="BH425" s="598"/>
      <c r="BI425" s="598"/>
      <c r="BJ425" s="598"/>
      <c r="BK425" s="605"/>
      <c r="BL425" s="658">
        <f t="shared" si="321"/>
        <v>29000</v>
      </c>
      <c r="BM425" s="3">
        <f t="shared" si="322"/>
        <v>44</v>
      </c>
      <c r="BN425" s="3">
        <f t="shared" si="323"/>
        <v>23</v>
      </c>
      <c r="BO425" s="3">
        <f t="shared" si="324"/>
        <v>33</v>
      </c>
    </row>
    <row r="426" spans="2:67">
      <c r="B426" s="606" t="s">
        <v>2331</v>
      </c>
      <c r="C426" s="607" t="s">
        <v>310</v>
      </c>
      <c r="D426" s="607" t="s">
        <v>2328</v>
      </c>
      <c r="E426" s="238" t="s">
        <v>1150</v>
      </c>
      <c r="F426" s="608">
        <v>423</v>
      </c>
      <c r="G426" s="609">
        <v>7297</v>
      </c>
      <c r="H426" s="610">
        <v>6230</v>
      </c>
      <c r="I426" s="611">
        <v>4270</v>
      </c>
      <c r="J426" s="166">
        <f t="shared" si="312"/>
        <v>145</v>
      </c>
      <c r="K426" s="167">
        <f t="shared" si="313"/>
        <v>124</v>
      </c>
      <c r="L426" s="168">
        <f t="shared" si="314"/>
        <v>85</v>
      </c>
      <c r="M426" s="166">
        <f t="shared" si="315"/>
        <v>218</v>
      </c>
      <c r="N426" s="167">
        <f t="shared" si="316"/>
        <v>186</v>
      </c>
      <c r="O426" s="168">
        <f t="shared" si="317"/>
        <v>128</v>
      </c>
      <c r="P426" s="169">
        <f t="shared" si="318"/>
        <v>291</v>
      </c>
      <c r="Q426" s="169">
        <f t="shared" si="319"/>
        <v>249</v>
      </c>
      <c r="R426" s="169">
        <f t="shared" si="320"/>
        <v>170</v>
      </c>
      <c r="S426" s="584">
        <f t="shared" si="325"/>
        <v>2189</v>
      </c>
      <c r="T426" s="594">
        <f t="shared" si="326"/>
        <v>1869</v>
      </c>
      <c r="U426" s="595">
        <f t="shared" si="327"/>
        <v>1281</v>
      </c>
      <c r="V426" s="166">
        <f t="shared" si="328"/>
        <v>4514</v>
      </c>
      <c r="W426" s="167">
        <f t="shared" si="329"/>
        <v>3853</v>
      </c>
      <c r="X426" s="168">
        <f t="shared" si="330"/>
        <v>2646</v>
      </c>
      <c r="Y426" s="166">
        <f t="shared" si="331"/>
        <v>5096</v>
      </c>
      <c r="Z426" s="167">
        <f t="shared" si="332"/>
        <v>4351</v>
      </c>
      <c r="AA426" s="168">
        <f t="shared" si="333"/>
        <v>2986</v>
      </c>
      <c r="AB426" s="166">
        <f t="shared" si="334"/>
        <v>5678</v>
      </c>
      <c r="AC426" s="167">
        <f t="shared" si="335"/>
        <v>4849</v>
      </c>
      <c r="AD426" s="168">
        <f t="shared" si="336"/>
        <v>3326</v>
      </c>
      <c r="AE426" s="166">
        <f t="shared" si="337"/>
        <v>5969</v>
      </c>
      <c r="AF426" s="167">
        <f t="shared" si="338"/>
        <v>5347</v>
      </c>
      <c r="AG426" s="168">
        <f t="shared" si="339"/>
        <v>3666</v>
      </c>
      <c r="AH426" s="166">
        <f t="shared" si="340"/>
        <v>6551</v>
      </c>
      <c r="AI426" s="167">
        <f t="shared" si="341"/>
        <v>5596</v>
      </c>
      <c r="AJ426" s="168">
        <f t="shared" si="342"/>
        <v>4176</v>
      </c>
      <c r="AK426" s="169">
        <f t="shared" si="343"/>
        <v>7442</v>
      </c>
      <c r="AL426" s="167">
        <f t="shared" si="344"/>
        <v>6354</v>
      </c>
      <c r="AM426" s="585">
        <f t="shared" si="345"/>
        <v>4355</v>
      </c>
      <c r="AN426" s="596">
        <v>0.25</v>
      </c>
      <c r="AO426" s="597">
        <v>0.28000000000000003</v>
      </c>
      <c r="AP426" s="597">
        <v>0.31</v>
      </c>
      <c r="AQ426" s="598">
        <v>0.34</v>
      </c>
      <c r="AR426" s="612">
        <v>0.37</v>
      </c>
      <c r="AS426" s="617"/>
      <c r="AT426" s="618"/>
      <c r="AU426" s="618"/>
      <c r="AV426" s="618"/>
      <c r="AW426" s="619"/>
      <c r="AX426" s="614">
        <v>0.05</v>
      </c>
      <c r="AY426" s="616">
        <v>5.5E-2</v>
      </c>
      <c r="AZ426" s="616">
        <v>0.06</v>
      </c>
      <c r="BA426" s="616">
        <v>6.5000000000000002E-2</v>
      </c>
      <c r="BB426" s="616">
        <v>7.0000000000000007E-2</v>
      </c>
      <c r="BC426" s="616"/>
      <c r="BD426" s="612"/>
      <c r="BE426" s="596"/>
      <c r="BF426" s="598"/>
      <c r="BG426" s="598"/>
      <c r="BH426" s="598"/>
      <c r="BI426" s="598"/>
      <c r="BJ426" s="598"/>
      <c r="BK426" s="605"/>
      <c r="BL426" s="658">
        <f t="shared" si="321"/>
        <v>17800</v>
      </c>
      <c r="BM426" s="3">
        <f t="shared" si="322"/>
        <v>41</v>
      </c>
      <c r="BN426" s="3">
        <f t="shared" si="323"/>
        <v>35</v>
      </c>
      <c r="BO426" s="3">
        <f t="shared" si="324"/>
        <v>24</v>
      </c>
    </row>
    <row r="427" spans="2:67">
      <c r="B427" s="1271" t="s">
        <v>2351</v>
      </c>
      <c r="C427" s="1069" t="s">
        <v>309</v>
      </c>
      <c r="D427" s="1069" t="s">
        <v>2346</v>
      </c>
      <c r="E427" s="238" t="s">
        <v>1150</v>
      </c>
      <c r="F427" s="592">
        <v>424</v>
      </c>
      <c r="G427" s="1071">
        <v>12504</v>
      </c>
      <c r="H427" s="1072">
        <v>8233</v>
      </c>
      <c r="I427" s="1073">
        <v>9760</v>
      </c>
      <c r="J427" s="166">
        <f t="shared" si="312"/>
        <v>250</v>
      </c>
      <c r="K427" s="167">
        <f t="shared" si="313"/>
        <v>164</v>
      </c>
      <c r="L427" s="168">
        <f t="shared" si="314"/>
        <v>195</v>
      </c>
      <c r="M427" s="166">
        <f t="shared" si="315"/>
        <v>312</v>
      </c>
      <c r="N427" s="167">
        <f t="shared" si="316"/>
        <v>205</v>
      </c>
      <c r="O427" s="168">
        <f t="shared" si="317"/>
        <v>244</v>
      </c>
      <c r="P427" s="169">
        <f t="shared" si="318"/>
        <v>468</v>
      </c>
      <c r="Q427" s="169">
        <f t="shared" si="319"/>
        <v>308</v>
      </c>
      <c r="R427" s="169">
        <f t="shared" si="320"/>
        <v>366</v>
      </c>
      <c r="S427" s="584">
        <f t="shared" si="325"/>
        <v>3126</v>
      </c>
      <c r="T427" s="594">
        <f t="shared" si="326"/>
        <v>2058</v>
      </c>
      <c r="U427" s="595">
        <f t="shared" si="327"/>
        <v>2440</v>
      </c>
      <c r="V427" s="166">
        <f t="shared" si="328"/>
        <v>7120</v>
      </c>
      <c r="W427" s="167">
        <f t="shared" si="329"/>
        <v>4682</v>
      </c>
      <c r="X427" s="168">
        <f t="shared" si="330"/>
        <v>5563</v>
      </c>
      <c r="Y427" s="166">
        <f t="shared" si="331"/>
        <v>8056</v>
      </c>
      <c r="Z427" s="167">
        <f t="shared" si="332"/>
        <v>4990</v>
      </c>
      <c r="AA427" s="168">
        <f t="shared" si="333"/>
        <v>6661</v>
      </c>
      <c r="AB427" s="166">
        <f t="shared" si="334"/>
        <v>9460</v>
      </c>
      <c r="AC427" s="167">
        <f t="shared" si="335"/>
        <v>5914</v>
      </c>
      <c r="AD427" s="168">
        <f t="shared" si="336"/>
        <v>7027</v>
      </c>
      <c r="AE427" s="166">
        <f t="shared" si="337"/>
        <v>10396</v>
      </c>
      <c r="AF427" s="167">
        <f t="shared" si="338"/>
        <v>7146</v>
      </c>
      <c r="AG427" s="168">
        <f t="shared" si="339"/>
        <v>7759</v>
      </c>
      <c r="AH427" s="166">
        <f t="shared" si="340"/>
        <v>11332</v>
      </c>
      <c r="AI427" s="167">
        <f t="shared" si="341"/>
        <v>7762</v>
      </c>
      <c r="AJ427" s="168">
        <f t="shared" si="342"/>
        <v>9223</v>
      </c>
      <c r="AK427" s="169">
        <f t="shared" si="343"/>
        <v>12754</v>
      </c>
      <c r="AL427" s="167">
        <f t="shared" si="344"/>
        <v>8397</v>
      </c>
      <c r="AM427" s="585">
        <f t="shared" si="345"/>
        <v>9955</v>
      </c>
      <c r="AN427" s="1133">
        <v>0.06</v>
      </c>
      <c r="AO427" s="1134">
        <v>6.3E-2</v>
      </c>
      <c r="AP427" s="1134">
        <v>6.6000000000000003E-2</v>
      </c>
      <c r="AQ427" s="1135">
        <v>6.9000000000000006E-2</v>
      </c>
      <c r="AR427" s="1132">
        <v>7.1999999999999995E-2</v>
      </c>
      <c r="AS427" s="1136"/>
      <c r="AT427" s="1137"/>
      <c r="AU427" s="1137"/>
      <c r="AV427" s="1137"/>
      <c r="AW427" s="1138"/>
      <c r="AX427" s="596">
        <v>0.04</v>
      </c>
      <c r="AY427" s="598">
        <v>4.2999999999999997E-2</v>
      </c>
      <c r="AZ427" s="598">
        <v>4.5999999999999999E-2</v>
      </c>
      <c r="BA427" s="598">
        <v>4.9000000000000002E-2</v>
      </c>
      <c r="BB427" s="598">
        <v>5.1999999999999998E-2</v>
      </c>
      <c r="BC427" s="1135"/>
      <c r="BD427" s="1132"/>
      <c r="BE427" s="596"/>
      <c r="BF427" s="598"/>
      <c r="BG427" s="598"/>
      <c r="BH427" s="598"/>
      <c r="BI427" s="598"/>
      <c r="BJ427" s="598"/>
      <c r="BK427" s="605"/>
      <c r="BL427" s="658">
        <f t="shared" si="321"/>
        <v>30500</v>
      </c>
      <c r="BM427" s="3">
        <f t="shared" si="322"/>
        <v>41</v>
      </c>
      <c r="BN427" s="3">
        <f t="shared" si="323"/>
        <v>27</v>
      </c>
      <c r="BO427" s="3">
        <f t="shared" si="324"/>
        <v>32</v>
      </c>
    </row>
    <row r="428" spans="2:67">
      <c r="B428" s="606" t="s">
        <v>2354</v>
      </c>
      <c r="C428" s="607" t="s">
        <v>310</v>
      </c>
      <c r="D428" s="607" t="s">
        <v>2343</v>
      </c>
      <c r="E428" s="238" t="s">
        <v>1150</v>
      </c>
      <c r="F428" s="608">
        <v>425</v>
      </c>
      <c r="G428" s="609">
        <v>7291</v>
      </c>
      <c r="H428" s="610">
        <v>4487</v>
      </c>
      <c r="I428" s="611">
        <v>6917</v>
      </c>
      <c r="J428" s="166">
        <f t="shared" si="312"/>
        <v>145</v>
      </c>
      <c r="K428" s="167">
        <f t="shared" si="313"/>
        <v>89</v>
      </c>
      <c r="L428" s="168">
        <f t="shared" si="314"/>
        <v>138</v>
      </c>
      <c r="M428" s="166">
        <f t="shared" si="315"/>
        <v>218</v>
      </c>
      <c r="N428" s="167">
        <f t="shared" si="316"/>
        <v>134</v>
      </c>
      <c r="O428" s="168">
        <f t="shared" si="317"/>
        <v>207</v>
      </c>
      <c r="P428" s="169">
        <f t="shared" si="318"/>
        <v>291</v>
      </c>
      <c r="Q428" s="169">
        <f t="shared" si="319"/>
        <v>179</v>
      </c>
      <c r="R428" s="169">
        <f t="shared" si="320"/>
        <v>276</v>
      </c>
      <c r="S428" s="584">
        <f t="shared" si="325"/>
        <v>2187</v>
      </c>
      <c r="T428" s="594">
        <f t="shared" si="326"/>
        <v>1346</v>
      </c>
      <c r="U428" s="595">
        <f t="shared" si="327"/>
        <v>2075</v>
      </c>
      <c r="V428" s="166">
        <f t="shared" si="328"/>
        <v>4512</v>
      </c>
      <c r="W428" s="167">
        <f t="shared" si="329"/>
        <v>2775</v>
      </c>
      <c r="X428" s="168">
        <f t="shared" si="330"/>
        <v>4283</v>
      </c>
      <c r="Y428" s="166">
        <f t="shared" si="331"/>
        <v>5094</v>
      </c>
      <c r="Z428" s="167">
        <f t="shared" si="332"/>
        <v>3133</v>
      </c>
      <c r="AA428" s="168">
        <f t="shared" si="333"/>
        <v>4835</v>
      </c>
      <c r="AB428" s="166">
        <f t="shared" si="334"/>
        <v>5676</v>
      </c>
      <c r="AC428" s="167">
        <f t="shared" si="335"/>
        <v>3491</v>
      </c>
      <c r="AD428" s="168">
        <f t="shared" si="336"/>
        <v>5387</v>
      </c>
      <c r="AE428" s="166">
        <f t="shared" si="337"/>
        <v>6258</v>
      </c>
      <c r="AF428" s="167">
        <f t="shared" si="338"/>
        <v>3849</v>
      </c>
      <c r="AG428" s="168">
        <f t="shared" si="339"/>
        <v>5663</v>
      </c>
      <c r="AH428" s="166">
        <f t="shared" si="340"/>
        <v>6549</v>
      </c>
      <c r="AI428" s="167">
        <f t="shared" si="341"/>
        <v>4386</v>
      </c>
      <c r="AJ428" s="168">
        <f t="shared" si="342"/>
        <v>6215</v>
      </c>
      <c r="AK428" s="169">
        <f t="shared" si="343"/>
        <v>7436</v>
      </c>
      <c r="AL428" s="167">
        <f t="shared" si="344"/>
        <v>4576</v>
      </c>
      <c r="AM428" s="585">
        <f t="shared" si="345"/>
        <v>7055</v>
      </c>
      <c r="AN428" s="614">
        <v>0.2</v>
      </c>
      <c r="AO428" s="615">
        <v>0.20499999999999999</v>
      </c>
      <c r="AP428" s="615">
        <v>0.21</v>
      </c>
      <c r="AQ428" s="616">
        <v>0.215</v>
      </c>
      <c r="AR428" s="612">
        <v>0.22</v>
      </c>
      <c r="AS428" s="617"/>
      <c r="AT428" s="618"/>
      <c r="AU428" s="618"/>
      <c r="AV428" s="618"/>
      <c r="AW428" s="619"/>
      <c r="AX428" s="614">
        <v>0.03</v>
      </c>
      <c r="AY428" s="616">
        <v>3.5000000000000003E-2</v>
      </c>
      <c r="AZ428" s="616">
        <v>0.04</v>
      </c>
      <c r="BA428" s="616">
        <v>4.4999999999999998E-2</v>
      </c>
      <c r="BB428" s="616">
        <v>0.05</v>
      </c>
      <c r="BC428" s="616"/>
      <c r="BD428" s="612"/>
      <c r="BE428" s="596"/>
      <c r="BF428" s="598"/>
      <c r="BG428" s="598"/>
      <c r="BH428" s="598"/>
      <c r="BI428" s="598"/>
      <c r="BJ428" s="598"/>
      <c r="BK428" s="605"/>
      <c r="BL428" s="658">
        <f t="shared" si="321"/>
        <v>18700</v>
      </c>
      <c r="BM428" s="3">
        <f t="shared" si="322"/>
        <v>39</v>
      </c>
      <c r="BN428" s="3">
        <f t="shared" si="323"/>
        <v>24</v>
      </c>
      <c r="BO428" s="3">
        <f t="shared" si="324"/>
        <v>37</v>
      </c>
    </row>
    <row r="429" spans="2:67">
      <c r="B429" s="606" t="s">
        <v>2352</v>
      </c>
      <c r="C429" s="607" t="s">
        <v>309</v>
      </c>
      <c r="D429" s="607" t="s">
        <v>2348</v>
      </c>
      <c r="E429" s="1268" t="s">
        <v>1150</v>
      </c>
      <c r="F429" s="1270">
        <v>426</v>
      </c>
      <c r="G429" s="609">
        <v>7320</v>
      </c>
      <c r="H429" s="610">
        <v>13420</v>
      </c>
      <c r="I429" s="611">
        <v>9760</v>
      </c>
      <c r="J429" s="166">
        <f t="shared" si="312"/>
        <v>146</v>
      </c>
      <c r="K429" s="167">
        <f t="shared" si="313"/>
        <v>268</v>
      </c>
      <c r="L429" s="168">
        <f t="shared" si="314"/>
        <v>195</v>
      </c>
      <c r="M429" s="166">
        <f t="shared" si="315"/>
        <v>183</v>
      </c>
      <c r="N429" s="167">
        <f t="shared" si="316"/>
        <v>335</v>
      </c>
      <c r="O429" s="168">
        <f t="shared" si="317"/>
        <v>244</v>
      </c>
      <c r="P429" s="169">
        <f t="shared" si="318"/>
        <v>274</v>
      </c>
      <c r="Q429" s="169">
        <f t="shared" si="319"/>
        <v>503</v>
      </c>
      <c r="R429" s="169">
        <f t="shared" si="320"/>
        <v>366</v>
      </c>
      <c r="S429" s="584">
        <f t="shared" si="325"/>
        <v>1830</v>
      </c>
      <c r="T429" s="594">
        <f t="shared" si="326"/>
        <v>3355</v>
      </c>
      <c r="U429" s="595">
        <f t="shared" si="327"/>
        <v>2440</v>
      </c>
      <c r="V429" s="166">
        <f t="shared" si="328"/>
        <v>4172</v>
      </c>
      <c r="W429" s="167">
        <f t="shared" si="329"/>
        <v>7643</v>
      </c>
      <c r="X429" s="168">
        <f t="shared" si="330"/>
        <v>5563</v>
      </c>
      <c r="Y429" s="166">
        <f t="shared" si="331"/>
        <v>4994</v>
      </c>
      <c r="Z429" s="167">
        <f t="shared" si="332"/>
        <v>8649</v>
      </c>
      <c r="AA429" s="168">
        <f t="shared" si="333"/>
        <v>5929</v>
      </c>
      <c r="AB429" s="166">
        <f t="shared" si="334"/>
        <v>5268</v>
      </c>
      <c r="AC429" s="167">
        <f t="shared" si="335"/>
        <v>10158</v>
      </c>
      <c r="AD429" s="168">
        <f t="shared" si="336"/>
        <v>7027</v>
      </c>
      <c r="AE429" s="166">
        <f t="shared" si="337"/>
        <v>5816</v>
      </c>
      <c r="AF429" s="167">
        <f t="shared" si="338"/>
        <v>11164</v>
      </c>
      <c r="AG429" s="168">
        <f t="shared" si="339"/>
        <v>8491</v>
      </c>
      <c r="AH429" s="166">
        <f t="shared" si="340"/>
        <v>6912</v>
      </c>
      <c r="AI429" s="167">
        <f t="shared" si="341"/>
        <v>12170</v>
      </c>
      <c r="AJ429" s="168">
        <f t="shared" si="342"/>
        <v>9223</v>
      </c>
      <c r="AK429" s="169">
        <f t="shared" si="343"/>
        <v>7466</v>
      </c>
      <c r="AL429" s="167">
        <f t="shared" si="344"/>
        <v>13688</v>
      </c>
      <c r="AM429" s="585">
        <f t="shared" si="345"/>
        <v>9955</v>
      </c>
      <c r="AN429" s="614">
        <v>0.2</v>
      </c>
      <c r="AO429" s="615">
        <v>0.23</v>
      </c>
      <c r="AP429" s="615">
        <v>0.26</v>
      </c>
      <c r="AQ429" s="616">
        <v>0.28999999999999998</v>
      </c>
      <c r="AR429" s="612">
        <v>0.32</v>
      </c>
      <c r="AS429" s="617"/>
      <c r="AT429" s="618"/>
      <c r="AU429" s="618"/>
      <c r="AV429" s="618"/>
      <c r="AW429" s="619"/>
      <c r="AX429" s="596">
        <v>0.04</v>
      </c>
      <c r="AY429" s="598">
        <v>4.2999999999999997E-2</v>
      </c>
      <c r="AZ429" s="598">
        <v>4.5999999999999999E-2</v>
      </c>
      <c r="BA429" s="598">
        <v>4.9000000000000002E-2</v>
      </c>
      <c r="BB429" s="598">
        <v>5.1999999999999998E-2</v>
      </c>
      <c r="BC429" s="1135"/>
      <c r="BD429" s="1132"/>
      <c r="BE429" s="596"/>
      <c r="BF429" s="598"/>
      <c r="BG429" s="598"/>
      <c r="BH429" s="598"/>
      <c r="BI429" s="598"/>
      <c r="BJ429" s="598"/>
      <c r="BK429" s="605"/>
      <c r="BL429" s="658">
        <f t="shared" si="321"/>
        <v>30500</v>
      </c>
      <c r="BM429" s="3">
        <f t="shared" si="322"/>
        <v>24</v>
      </c>
      <c r="BN429" s="3">
        <f t="shared" si="323"/>
        <v>44</v>
      </c>
      <c r="BO429" s="3">
        <f t="shared" si="324"/>
        <v>32</v>
      </c>
    </row>
    <row r="430" spans="2:67">
      <c r="B430" s="606" t="s">
        <v>2353</v>
      </c>
      <c r="C430" s="607" t="s">
        <v>309</v>
      </c>
      <c r="D430" s="607" t="s">
        <v>2343</v>
      </c>
      <c r="E430" s="1267" t="s">
        <v>125</v>
      </c>
      <c r="F430" s="608">
        <v>427</v>
      </c>
      <c r="G430" s="609">
        <v>7649</v>
      </c>
      <c r="H430" s="610">
        <v>7393</v>
      </c>
      <c r="I430" s="611">
        <v>10453</v>
      </c>
      <c r="J430" s="166">
        <f t="shared" si="312"/>
        <v>153</v>
      </c>
      <c r="K430" s="167">
        <f t="shared" si="313"/>
        <v>147</v>
      </c>
      <c r="L430" s="168">
        <f t="shared" si="314"/>
        <v>209</v>
      </c>
      <c r="M430" s="166">
        <f t="shared" si="315"/>
        <v>191</v>
      </c>
      <c r="N430" s="167">
        <f t="shared" si="316"/>
        <v>184</v>
      </c>
      <c r="O430" s="168">
        <f t="shared" si="317"/>
        <v>261</v>
      </c>
      <c r="P430" s="169">
        <f t="shared" si="318"/>
        <v>286</v>
      </c>
      <c r="Q430" s="169">
        <f t="shared" si="319"/>
        <v>277</v>
      </c>
      <c r="R430" s="169">
        <f t="shared" si="320"/>
        <v>392</v>
      </c>
      <c r="S430" s="584">
        <f t="shared" si="325"/>
        <v>1912</v>
      </c>
      <c r="T430" s="594">
        <f t="shared" si="326"/>
        <v>1848</v>
      </c>
      <c r="U430" s="595">
        <f t="shared" si="327"/>
        <v>2613</v>
      </c>
      <c r="V430" s="166">
        <f t="shared" si="328"/>
        <v>4357</v>
      </c>
      <c r="W430" s="167">
        <f t="shared" si="329"/>
        <v>4203</v>
      </c>
      <c r="X430" s="168">
        <f t="shared" si="330"/>
        <v>5954</v>
      </c>
      <c r="Y430" s="166">
        <f t="shared" si="331"/>
        <v>4643</v>
      </c>
      <c r="Z430" s="167">
        <f t="shared" si="332"/>
        <v>5034</v>
      </c>
      <c r="AA430" s="168">
        <f t="shared" si="333"/>
        <v>6738</v>
      </c>
      <c r="AB430" s="166">
        <f t="shared" si="334"/>
        <v>5501</v>
      </c>
      <c r="AC430" s="167">
        <f t="shared" si="335"/>
        <v>5311</v>
      </c>
      <c r="AD430" s="168">
        <f t="shared" si="336"/>
        <v>7914</v>
      </c>
      <c r="AE430" s="166">
        <f t="shared" si="337"/>
        <v>6645</v>
      </c>
      <c r="AF430" s="167">
        <f t="shared" si="338"/>
        <v>5865</v>
      </c>
      <c r="AG430" s="168">
        <f t="shared" si="339"/>
        <v>8698</v>
      </c>
      <c r="AH430" s="166">
        <f t="shared" si="340"/>
        <v>7217</v>
      </c>
      <c r="AI430" s="167">
        <f t="shared" si="341"/>
        <v>6973</v>
      </c>
      <c r="AJ430" s="168">
        <f t="shared" si="342"/>
        <v>9482</v>
      </c>
      <c r="AK430" s="169">
        <f t="shared" si="343"/>
        <v>7802</v>
      </c>
      <c r="AL430" s="167">
        <f t="shared" si="344"/>
        <v>7540</v>
      </c>
      <c r="AM430" s="585">
        <f t="shared" si="345"/>
        <v>10662</v>
      </c>
      <c r="AN430" s="596">
        <v>0.06</v>
      </c>
      <c r="AO430" s="597">
        <v>6.5000000000000002E-2</v>
      </c>
      <c r="AP430" s="597">
        <v>7.0000000000000007E-2</v>
      </c>
      <c r="AQ430" s="598">
        <v>7.4999999999999997E-2</v>
      </c>
      <c r="AR430" s="599">
        <v>0.08</v>
      </c>
      <c r="AS430" s="617"/>
      <c r="AT430" s="1137"/>
      <c r="AU430" s="1137"/>
      <c r="AV430" s="618"/>
      <c r="AW430" s="619"/>
      <c r="AX430" s="596">
        <v>0.04</v>
      </c>
      <c r="AY430" s="598">
        <v>4.2999999999999997E-2</v>
      </c>
      <c r="AZ430" s="598">
        <v>4.5999999999999999E-2</v>
      </c>
      <c r="BA430" s="598">
        <v>4.9000000000000002E-2</v>
      </c>
      <c r="BB430" s="598">
        <v>5.1999999999999998E-2</v>
      </c>
      <c r="BC430" s="616"/>
      <c r="BD430" s="612"/>
      <c r="BE430" s="596"/>
      <c r="BF430" s="598"/>
      <c r="BG430" s="598"/>
      <c r="BH430" s="598"/>
      <c r="BI430" s="598"/>
      <c r="BJ430" s="598"/>
      <c r="BK430" s="605"/>
      <c r="BL430" s="658">
        <f t="shared" si="321"/>
        <v>25500</v>
      </c>
      <c r="BM430" s="3">
        <f t="shared" si="322"/>
        <v>30</v>
      </c>
      <c r="BN430" s="3">
        <f t="shared" si="323"/>
        <v>29</v>
      </c>
      <c r="BO430" s="3">
        <f t="shared" si="324"/>
        <v>41</v>
      </c>
    </row>
    <row r="431" spans="2:67">
      <c r="B431" s="606" t="s">
        <v>2357</v>
      </c>
      <c r="C431" s="607" t="s">
        <v>310</v>
      </c>
      <c r="D431" s="607" t="s">
        <v>2358</v>
      </c>
      <c r="E431" s="238" t="s">
        <v>125</v>
      </c>
      <c r="F431" s="592">
        <v>428</v>
      </c>
      <c r="G431" s="609">
        <v>5494</v>
      </c>
      <c r="H431" s="610">
        <v>4866</v>
      </c>
      <c r="I431" s="611">
        <v>5337</v>
      </c>
      <c r="J431" s="166">
        <f t="shared" si="312"/>
        <v>109</v>
      </c>
      <c r="K431" s="167">
        <f t="shared" si="313"/>
        <v>97</v>
      </c>
      <c r="L431" s="168">
        <f t="shared" si="314"/>
        <v>106</v>
      </c>
      <c r="M431" s="166">
        <f t="shared" si="315"/>
        <v>164</v>
      </c>
      <c r="N431" s="167">
        <f t="shared" si="316"/>
        <v>146</v>
      </c>
      <c r="O431" s="168">
        <f t="shared" si="317"/>
        <v>160</v>
      </c>
      <c r="P431" s="169">
        <f t="shared" si="318"/>
        <v>219</v>
      </c>
      <c r="Q431" s="169">
        <f t="shared" si="319"/>
        <v>194</v>
      </c>
      <c r="R431" s="169">
        <f t="shared" si="320"/>
        <v>213</v>
      </c>
      <c r="S431" s="584">
        <f t="shared" si="325"/>
        <v>1648</v>
      </c>
      <c r="T431" s="594">
        <f t="shared" si="326"/>
        <v>1460</v>
      </c>
      <c r="U431" s="595">
        <f t="shared" si="327"/>
        <v>1601</v>
      </c>
      <c r="V431" s="166">
        <f t="shared" si="328"/>
        <v>3397</v>
      </c>
      <c r="W431" s="167">
        <f t="shared" si="329"/>
        <v>3017</v>
      </c>
      <c r="X431" s="168">
        <f t="shared" si="330"/>
        <v>3307</v>
      </c>
      <c r="Y431" s="166">
        <f t="shared" si="331"/>
        <v>3835</v>
      </c>
      <c r="Z431" s="167">
        <f t="shared" si="332"/>
        <v>3405</v>
      </c>
      <c r="AA431" s="168">
        <f t="shared" si="333"/>
        <v>3733</v>
      </c>
      <c r="AB431" s="166">
        <f t="shared" si="334"/>
        <v>4273</v>
      </c>
      <c r="AC431" s="167">
        <f t="shared" si="335"/>
        <v>3793</v>
      </c>
      <c r="AD431" s="168">
        <f t="shared" si="336"/>
        <v>4159</v>
      </c>
      <c r="AE431" s="166">
        <f t="shared" si="337"/>
        <v>4711</v>
      </c>
      <c r="AF431" s="167">
        <f t="shared" si="338"/>
        <v>3987</v>
      </c>
      <c r="AG431" s="168">
        <f t="shared" si="339"/>
        <v>4585</v>
      </c>
      <c r="AH431" s="166">
        <f t="shared" si="340"/>
        <v>4930</v>
      </c>
      <c r="AI431" s="167">
        <f t="shared" si="341"/>
        <v>4375</v>
      </c>
      <c r="AJ431" s="168">
        <f t="shared" si="342"/>
        <v>5224</v>
      </c>
      <c r="AK431" s="169">
        <f t="shared" si="343"/>
        <v>5603</v>
      </c>
      <c r="AL431" s="167">
        <f t="shared" si="344"/>
        <v>4963</v>
      </c>
      <c r="AM431" s="585">
        <f t="shared" si="345"/>
        <v>5443</v>
      </c>
      <c r="AN431" s="614">
        <v>0.08</v>
      </c>
      <c r="AO431" s="615">
        <v>8.5000000000000006E-2</v>
      </c>
      <c r="AP431" s="615">
        <v>0.09</v>
      </c>
      <c r="AQ431" s="616">
        <v>9.5000000000000001E-2</v>
      </c>
      <c r="AR431" s="612">
        <v>0.1</v>
      </c>
      <c r="AS431" s="617"/>
      <c r="AT431" s="618"/>
      <c r="AU431" s="618"/>
      <c r="AV431" s="618"/>
      <c r="AW431" s="619"/>
      <c r="AX431" s="614">
        <v>0.05</v>
      </c>
      <c r="AY431" s="616">
        <v>5.5E-2</v>
      </c>
      <c r="AZ431" s="616">
        <v>0.06</v>
      </c>
      <c r="BA431" s="616">
        <v>6.5000000000000002E-2</v>
      </c>
      <c r="BB431" s="616">
        <v>7.0000000000000007E-2</v>
      </c>
      <c r="BC431" s="616"/>
      <c r="BD431" s="612"/>
      <c r="BE431" s="596"/>
      <c r="BF431" s="598"/>
      <c r="BG431" s="598"/>
      <c r="BH431" s="598"/>
      <c r="BI431" s="598"/>
      <c r="BJ431" s="598"/>
      <c r="BK431" s="605"/>
      <c r="BL431" s="658">
        <f t="shared" si="321"/>
        <v>15700</v>
      </c>
      <c r="BM431" s="3">
        <f t="shared" si="322"/>
        <v>35</v>
      </c>
      <c r="BN431" s="3">
        <f t="shared" si="323"/>
        <v>31</v>
      </c>
      <c r="BO431" s="3">
        <f t="shared" si="324"/>
        <v>34</v>
      </c>
    </row>
    <row r="432" spans="2:67">
      <c r="B432" s="606" t="s">
        <v>2361</v>
      </c>
      <c r="C432" s="607" t="s">
        <v>310</v>
      </c>
      <c r="D432" s="607" t="s">
        <v>2348</v>
      </c>
      <c r="E432" s="613" t="s">
        <v>125</v>
      </c>
      <c r="F432" s="608">
        <v>429</v>
      </c>
      <c r="G432" s="609">
        <v>4080</v>
      </c>
      <c r="H432" s="610">
        <v>6907</v>
      </c>
      <c r="I432" s="611">
        <v>4710</v>
      </c>
      <c r="J432" s="166">
        <f t="shared" si="312"/>
        <v>81</v>
      </c>
      <c r="K432" s="167">
        <f t="shared" si="313"/>
        <v>138</v>
      </c>
      <c r="L432" s="168">
        <f t="shared" si="314"/>
        <v>94</v>
      </c>
      <c r="M432" s="166">
        <f t="shared" si="315"/>
        <v>122</v>
      </c>
      <c r="N432" s="167">
        <f t="shared" si="316"/>
        <v>207</v>
      </c>
      <c r="O432" s="168">
        <f t="shared" si="317"/>
        <v>141</v>
      </c>
      <c r="P432" s="169">
        <f t="shared" si="318"/>
        <v>163</v>
      </c>
      <c r="Q432" s="169">
        <f t="shared" si="319"/>
        <v>276</v>
      </c>
      <c r="R432" s="169">
        <f t="shared" si="320"/>
        <v>188</v>
      </c>
      <c r="S432" s="584">
        <f t="shared" si="325"/>
        <v>1224</v>
      </c>
      <c r="T432" s="594">
        <f t="shared" si="326"/>
        <v>2072</v>
      </c>
      <c r="U432" s="595">
        <f t="shared" si="327"/>
        <v>1413</v>
      </c>
      <c r="V432" s="166">
        <f t="shared" si="328"/>
        <v>2525</v>
      </c>
      <c r="W432" s="167">
        <f t="shared" si="329"/>
        <v>4280</v>
      </c>
      <c r="X432" s="168">
        <f t="shared" si="330"/>
        <v>2917</v>
      </c>
      <c r="Y432" s="166">
        <f t="shared" si="331"/>
        <v>2851</v>
      </c>
      <c r="Z432" s="167">
        <f t="shared" si="332"/>
        <v>4832</v>
      </c>
      <c r="AA432" s="168">
        <f t="shared" si="333"/>
        <v>3293</v>
      </c>
      <c r="AB432" s="166">
        <f t="shared" si="334"/>
        <v>3177</v>
      </c>
      <c r="AC432" s="167">
        <f t="shared" si="335"/>
        <v>5384</v>
      </c>
      <c r="AD432" s="168">
        <f t="shared" si="336"/>
        <v>3669</v>
      </c>
      <c r="AE432" s="166">
        <f t="shared" si="337"/>
        <v>3503</v>
      </c>
      <c r="AF432" s="167">
        <f t="shared" si="338"/>
        <v>5660</v>
      </c>
      <c r="AG432" s="168">
        <f t="shared" si="339"/>
        <v>4045</v>
      </c>
      <c r="AH432" s="166">
        <f t="shared" si="340"/>
        <v>3992</v>
      </c>
      <c r="AI432" s="167">
        <f t="shared" si="341"/>
        <v>6212</v>
      </c>
      <c r="AJ432" s="168">
        <f t="shared" si="342"/>
        <v>4233</v>
      </c>
      <c r="AK432" s="169">
        <f t="shared" si="343"/>
        <v>4161</v>
      </c>
      <c r="AL432" s="167">
        <f t="shared" si="344"/>
        <v>7045</v>
      </c>
      <c r="AM432" s="585">
        <f t="shared" si="345"/>
        <v>4804</v>
      </c>
      <c r="AN432" s="596">
        <v>0.17</v>
      </c>
      <c r="AO432" s="597">
        <v>0.2</v>
      </c>
      <c r="AP432" s="597">
        <v>0.23</v>
      </c>
      <c r="AQ432" s="598">
        <v>0.26</v>
      </c>
      <c r="AR432" s="599">
        <v>0.28999999999999998</v>
      </c>
      <c r="AS432" s="617"/>
      <c r="AT432" s="618"/>
      <c r="AU432" s="618"/>
      <c r="AV432" s="618"/>
      <c r="AW432" s="619"/>
      <c r="AX432" s="614">
        <v>0.03</v>
      </c>
      <c r="AY432" s="616">
        <v>3.5000000000000003E-2</v>
      </c>
      <c r="AZ432" s="616">
        <v>0.04</v>
      </c>
      <c r="BA432" s="616">
        <v>4.4999999999999998E-2</v>
      </c>
      <c r="BB432" s="616">
        <v>0.05</v>
      </c>
      <c r="BC432" s="616"/>
      <c r="BD432" s="612"/>
      <c r="BE432" s="596"/>
      <c r="BF432" s="598"/>
      <c r="BG432" s="598"/>
      <c r="BH432" s="598"/>
      <c r="BI432" s="598"/>
      <c r="BJ432" s="598"/>
      <c r="BK432" s="605"/>
      <c r="BL432" s="658">
        <f t="shared" si="321"/>
        <v>15700</v>
      </c>
      <c r="BM432" s="3">
        <f t="shared" si="322"/>
        <v>26</v>
      </c>
      <c r="BN432" s="3">
        <f t="shared" si="323"/>
        <v>44</v>
      </c>
      <c r="BO432" s="3">
        <f t="shared" si="324"/>
        <v>30</v>
      </c>
    </row>
    <row r="433" spans="2:67">
      <c r="B433" s="1271" t="s">
        <v>2430</v>
      </c>
      <c r="C433" s="1069" t="s">
        <v>309</v>
      </c>
      <c r="D433" s="1069" t="s">
        <v>2431</v>
      </c>
      <c r="E433" s="1268" t="s">
        <v>939</v>
      </c>
      <c r="F433" s="1270">
        <v>430</v>
      </c>
      <c r="G433" s="1071">
        <v>12284</v>
      </c>
      <c r="H433" s="1072">
        <v>5040</v>
      </c>
      <c r="I433" s="1073">
        <v>14173</v>
      </c>
      <c r="J433" s="166">
        <f t="shared" si="312"/>
        <v>245</v>
      </c>
      <c r="K433" s="167">
        <f t="shared" si="313"/>
        <v>100</v>
      </c>
      <c r="L433" s="168">
        <f t="shared" si="314"/>
        <v>283</v>
      </c>
      <c r="M433" s="166">
        <f t="shared" si="315"/>
        <v>307</v>
      </c>
      <c r="N433" s="167">
        <f t="shared" si="316"/>
        <v>126</v>
      </c>
      <c r="O433" s="168">
        <f t="shared" si="317"/>
        <v>354</v>
      </c>
      <c r="P433" s="169">
        <f t="shared" si="318"/>
        <v>460</v>
      </c>
      <c r="Q433" s="169">
        <f t="shared" si="319"/>
        <v>189</v>
      </c>
      <c r="R433" s="169">
        <f t="shared" si="320"/>
        <v>531</v>
      </c>
      <c r="S433" s="584">
        <f t="shared" si="325"/>
        <v>3071</v>
      </c>
      <c r="T433" s="594">
        <f t="shared" si="326"/>
        <v>1260</v>
      </c>
      <c r="U433" s="595">
        <f t="shared" si="327"/>
        <v>3543</v>
      </c>
      <c r="V433" s="166">
        <f t="shared" si="328"/>
        <v>7000</v>
      </c>
      <c r="W433" s="167">
        <f t="shared" si="329"/>
        <v>2872</v>
      </c>
      <c r="X433" s="168">
        <f t="shared" si="330"/>
        <v>8074</v>
      </c>
      <c r="Y433" s="166">
        <f t="shared" si="331"/>
        <v>7460</v>
      </c>
      <c r="Z433" s="167">
        <f t="shared" si="332"/>
        <v>3250</v>
      </c>
      <c r="AA433" s="168">
        <f t="shared" si="333"/>
        <v>9667</v>
      </c>
      <c r="AB433" s="166">
        <f t="shared" si="334"/>
        <v>8840</v>
      </c>
      <c r="AC433" s="167">
        <f t="shared" si="335"/>
        <v>3817</v>
      </c>
      <c r="AD433" s="168">
        <f t="shared" si="336"/>
        <v>10198</v>
      </c>
      <c r="AE433" s="166">
        <f t="shared" si="337"/>
        <v>10680</v>
      </c>
      <c r="AF433" s="167">
        <f t="shared" si="338"/>
        <v>4195</v>
      </c>
      <c r="AG433" s="168">
        <f t="shared" si="339"/>
        <v>11260</v>
      </c>
      <c r="AH433" s="166">
        <f t="shared" si="340"/>
        <v>11600</v>
      </c>
      <c r="AI433" s="167">
        <f t="shared" si="341"/>
        <v>4573</v>
      </c>
      <c r="AJ433" s="168">
        <f t="shared" si="342"/>
        <v>13384</v>
      </c>
      <c r="AK433" s="169">
        <f t="shared" si="343"/>
        <v>12529</v>
      </c>
      <c r="AL433" s="167">
        <f t="shared" si="344"/>
        <v>5140</v>
      </c>
      <c r="AM433" s="585">
        <f t="shared" si="345"/>
        <v>14456</v>
      </c>
      <c r="AN433" s="596">
        <v>0.18</v>
      </c>
      <c r="AO433" s="597">
        <v>0.185</v>
      </c>
      <c r="AP433" s="597">
        <v>0.19</v>
      </c>
      <c r="AQ433" s="598">
        <v>0.19500000000000001</v>
      </c>
      <c r="AR433" s="599">
        <v>0.2</v>
      </c>
      <c r="AS433" s="1136"/>
      <c r="AT433" s="1137"/>
      <c r="AU433" s="1137"/>
      <c r="AV433" s="1137"/>
      <c r="AW433" s="1138"/>
      <c r="AX433" s="1133">
        <v>0.04</v>
      </c>
      <c r="AY433" s="1135">
        <v>4.2999999999999997E-2</v>
      </c>
      <c r="AZ433" s="1135">
        <v>4.5999999999999999E-2</v>
      </c>
      <c r="BA433" s="1135">
        <v>4.9000000000000002E-2</v>
      </c>
      <c r="BB433" s="1135">
        <v>5.1999999999999998E-2</v>
      </c>
      <c r="BC433" s="1135"/>
      <c r="BD433" s="1132"/>
      <c r="BE433" s="596"/>
      <c r="BF433" s="598"/>
      <c r="BG433" s="598"/>
      <c r="BH433" s="598"/>
      <c r="BI433" s="598"/>
      <c r="BJ433" s="598"/>
      <c r="BK433" s="605"/>
      <c r="BL433" s="658">
        <f t="shared" si="321"/>
        <v>31500</v>
      </c>
      <c r="BM433" s="3">
        <f t="shared" si="322"/>
        <v>39</v>
      </c>
      <c r="BN433" s="3">
        <f t="shared" si="323"/>
        <v>16</v>
      </c>
      <c r="BO433" s="3">
        <f t="shared" si="324"/>
        <v>45</v>
      </c>
    </row>
    <row r="434" spans="2:67">
      <c r="B434" s="606" t="s">
        <v>2427</v>
      </c>
      <c r="C434" s="607" t="s">
        <v>309</v>
      </c>
      <c r="D434" s="607" t="s">
        <v>359</v>
      </c>
      <c r="E434" s="1268" t="s">
        <v>939</v>
      </c>
      <c r="F434" s="1070">
        <v>431</v>
      </c>
      <c r="G434" s="609">
        <v>8000</v>
      </c>
      <c r="H434" s="610">
        <v>14400</v>
      </c>
      <c r="I434" s="611">
        <v>9600</v>
      </c>
      <c r="J434" s="166">
        <f t="shared" si="312"/>
        <v>160</v>
      </c>
      <c r="K434" s="167">
        <f t="shared" si="313"/>
        <v>288</v>
      </c>
      <c r="L434" s="168">
        <f t="shared" si="314"/>
        <v>192</v>
      </c>
      <c r="M434" s="166">
        <f t="shared" si="315"/>
        <v>200</v>
      </c>
      <c r="N434" s="167">
        <f t="shared" si="316"/>
        <v>360</v>
      </c>
      <c r="O434" s="168">
        <f t="shared" si="317"/>
        <v>240</v>
      </c>
      <c r="P434" s="169">
        <f t="shared" si="318"/>
        <v>300</v>
      </c>
      <c r="Q434" s="169">
        <f t="shared" si="319"/>
        <v>540</v>
      </c>
      <c r="R434" s="169">
        <f t="shared" si="320"/>
        <v>360</v>
      </c>
      <c r="S434" s="584">
        <f t="shared" si="325"/>
        <v>2000</v>
      </c>
      <c r="T434" s="594">
        <f t="shared" si="326"/>
        <v>3600</v>
      </c>
      <c r="U434" s="595">
        <f t="shared" si="327"/>
        <v>2400</v>
      </c>
      <c r="V434" s="166">
        <f t="shared" si="328"/>
        <v>4560</v>
      </c>
      <c r="W434" s="167">
        <f t="shared" si="329"/>
        <v>8208</v>
      </c>
      <c r="X434" s="168">
        <f t="shared" si="330"/>
        <v>5472</v>
      </c>
      <c r="Y434" s="166">
        <f t="shared" si="331"/>
        <v>5460</v>
      </c>
      <c r="Z434" s="167">
        <f t="shared" si="332"/>
        <v>9288</v>
      </c>
      <c r="AA434" s="168">
        <f t="shared" si="333"/>
        <v>5832</v>
      </c>
      <c r="AB434" s="166">
        <f t="shared" si="334"/>
        <v>5760</v>
      </c>
      <c r="AC434" s="167">
        <f t="shared" si="335"/>
        <v>10908</v>
      </c>
      <c r="AD434" s="168">
        <f t="shared" si="336"/>
        <v>6912</v>
      </c>
      <c r="AE434" s="166">
        <f t="shared" si="337"/>
        <v>6360</v>
      </c>
      <c r="AF434" s="167">
        <f t="shared" si="338"/>
        <v>11988</v>
      </c>
      <c r="AG434" s="168">
        <f t="shared" si="339"/>
        <v>8352</v>
      </c>
      <c r="AH434" s="166">
        <f t="shared" si="340"/>
        <v>7560</v>
      </c>
      <c r="AI434" s="167">
        <f t="shared" si="341"/>
        <v>13068</v>
      </c>
      <c r="AJ434" s="168">
        <f t="shared" si="342"/>
        <v>9072</v>
      </c>
      <c r="AK434" s="169">
        <f t="shared" si="343"/>
        <v>8160</v>
      </c>
      <c r="AL434" s="167">
        <f t="shared" si="344"/>
        <v>14688</v>
      </c>
      <c r="AM434" s="585">
        <f t="shared" si="345"/>
        <v>9792</v>
      </c>
      <c r="AN434" s="614">
        <v>0.28000000000000003</v>
      </c>
      <c r="AO434" s="615">
        <v>0.31</v>
      </c>
      <c r="AP434" s="615">
        <v>0.34</v>
      </c>
      <c r="AQ434" s="616">
        <v>0.37</v>
      </c>
      <c r="AR434" s="612">
        <v>0.4</v>
      </c>
      <c r="AS434" s="617"/>
      <c r="AT434" s="618"/>
      <c r="AU434" s="618"/>
      <c r="AV434" s="618"/>
      <c r="AW434" s="619"/>
      <c r="AX434" s="596">
        <v>0.03</v>
      </c>
      <c r="AY434" s="598">
        <v>3.5000000000000003E-2</v>
      </c>
      <c r="AZ434" s="598">
        <v>0.04</v>
      </c>
      <c r="BA434" s="598">
        <v>4.4999999999999998E-2</v>
      </c>
      <c r="BB434" s="598">
        <v>0.05</v>
      </c>
      <c r="BC434" s="616"/>
      <c r="BD434" s="612"/>
      <c r="BE434" s="596"/>
      <c r="BF434" s="598"/>
      <c r="BG434" s="598"/>
      <c r="BH434" s="598"/>
      <c r="BI434" s="598"/>
      <c r="BJ434" s="598"/>
      <c r="BK434" s="605"/>
      <c r="BL434" s="658">
        <f t="shared" si="321"/>
        <v>32000</v>
      </c>
      <c r="BM434" s="3">
        <f t="shared" si="322"/>
        <v>25</v>
      </c>
      <c r="BN434" s="3">
        <f t="shared" si="323"/>
        <v>45</v>
      </c>
      <c r="BO434" s="3">
        <f t="shared" si="324"/>
        <v>30</v>
      </c>
    </row>
    <row r="435" spans="2:67">
      <c r="B435" s="606" t="s">
        <v>2434</v>
      </c>
      <c r="C435" s="607" t="s">
        <v>310</v>
      </c>
      <c r="D435" s="607" t="s">
        <v>2435</v>
      </c>
      <c r="E435" s="238" t="s">
        <v>1150</v>
      </c>
      <c r="F435" s="592">
        <v>432</v>
      </c>
      <c r="G435" s="609">
        <v>6730</v>
      </c>
      <c r="H435" s="610">
        <v>5610</v>
      </c>
      <c r="I435" s="611">
        <v>6357</v>
      </c>
      <c r="J435" s="166">
        <f t="shared" si="312"/>
        <v>134</v>
      </c>
      <c r="K435" s="167">
        <f t="shared" si="313"/>
        <v>112</v>
      </c>
      <c r="L435" s="168">
        <f t="shared" si="314"/>
        <v>127</v>
      </c>
      <c r="M435" s="166">
        <f t="shared" si="315"/>
        <v>201</v>
      </c>
      <c r="N435" s="167">
        <f t="shared" si="316"/>
        <v>168</v>
      </c>
      <c r="O435" s="168">
        <f t="shared" si="317"/>
        <v>190</v>
      </c>
      <c r="P435" s="169">
        <f t="shared" si="318"/>
        <v>269</v>
      </c>
      <c r="Q435" s="169">
        <f t="shared" si="319"/>
        <v>224</v>
      </c>
      <c r="R435" s="169">
        <f t="shared" si="320"/>
        <v>254</v>
      </c>
      <c r="S435" s="584">
        <f t="shared" si="325"/>
        <v>2019</v>
      </c>
      <c r="T435" s="594">
        <f t="shared" si="326"/>
        <v>1683</v>
      </c>
      <c r="U435" s="595">
        <f t="shared" si="327"/>
        <v>1907</v>
      </c>
      <c r="V435" s="166">
        <f t="shared" si="328"/>
        <v>4163</v>
      </c>
      <c r="W435" s="167">
        <f t="shared" si="329"/>
        <v>3475</v>
      </c>
      <c r="X435" s="168">
        <f t="shared" si="330"/>
        <v>3934</v>
      </c>
      <c r="Y435" s="166">
        <f t="shared" si="331"/>
        <v>4701</v>
      </c>
      <c r="Z435" s="167">
        <f t="shared" si="332"/>
        <v>3923</v>
      </c>
      <c r="AA435" s="168">
        <f t="shared" si="333"/>
        <v>4442</v>
      </c>
      <c r="AB435" s="166">
        <f t="shared" si="334"/>
        <v>5239</v>
      </c>
      <c r="AC435" s="167">
        <f t="shared" si="335"/>
        <v>4371</v>
      </c>
      <c r="AD435" s="168">
        <f t="shared" si="336"/>
        <v>4950</v>
      </c>
      <c r="AE435" s="166">
        <f t="shared" si="337"/>
        <v>5777</v>
      </c>
      <c r="AF435" s="167">
        <f t="shared" si="338"/>
        <v>4819</v>
      </c>
      <c r="AG435" s="168">
        <f t="shared" si="339"/>
        <v>5204</v>
      </c>
      <c r="AH435" s="166">
        <f t="shared" si="340"/>
        <v>6046</v>
      </c>
      <c r="AI435" s="167">
        <f t="shared" si="341"/>
        <v>5491</v>
      </c>
      <c r="AJ435" s="168">
        <f t="shared" si="342"/>
        <v>5712</v>
      </c>
      <c r="AK435" s="169">
        <f t="shared" si="343"/>
        <v>6864</v>
      </c>
      <c r="AL435" s="167">
        <f t="shared" si="344"/>
        <v>5722</v>
      </c>
      <c r="AM435" s="585">
        <f t="shared" si="345"/>
        <v>6484</v>
      </c>
      <c r="AN435" s="614">
        <v>0.05</v>
      </c>
      <c r="AO435" s="615">
        <v>5.5E-2</v>
      </c>
      <c r="AP435" s="615">
        <v>0.06</v>
      </c>
      <c r="AQ435" s="616">
        <v>6.5000000000000002E-2</v>
      </c>
      <c r="AR435" s="612">
        <v>7.0000000000000007E-2</v>
      </c>
      <c r="AS435" s="617"/>
      <c r="AT435" s="618"/>
      <c r="AU435" s="618"/>
      <c r="AV435" s="618"/>
      <c r="AW435" s="619"/>
      <c r="AX435" s="596">
        <v>0.02</v>
      </c>
      <c r="AY435" s="598">
        <v>2.3E-2</v>
      </c>
      <c r="AZ435" s="598">
        <v>2.5999999999999999E-2</v>
      </c>
      <c r="BA435" s="598">
        <v>2.9000000000000001E-2</v>
      </c>
      <c r="BB435" s="598">
        <v>3.2000000000000001E-2</v>
      </c>
      <c r="BC435" s="616"/>
      <c r="BD435" s="612"/>
      <c r="BE435" s="596"/>
      <c r="BF435" s="598"/>
      <c r="BG435" s="598"/>
      <c r="BH435" s="598"/>
      <c r="BI435" s="598"/>
      <c r="BJ435" s="598"/>
      <c r="BK435" s="605"/>
      <c r="BL435" s="658">
        <f t="shared" si="321"/>
        <v>18700</v>
      </c>
      <c r="BM435" s="3">
        <f t="shared" si="322"/>
        <v>36</v>
      </c>
      <c r="BN435" s="3">
        <f t="shared" si="323"/>
        <v>30</v>
      </c>
      <c r="BO435" s="3">
        <f t="shared" si="324"/>
        <v>34</v>
      </c>
    </row>
    <row r="436" spans="2:67">
      <c r="B436" s="606" t="s">
        <v>2437</v>
      </c>
      <c r="C436" s="607" t="s">
        <v>310</v>
      </c>
      <c r="D436" s="607" t="s">
        <v>2438</v>
      </c>
      <c r="E436" s="238" t="s">
        <v>1150</v>
      </c>
      <c r="F436" s="608">
        <v>433</v>
      </c>
      <c r="G436" s="609">
        <v>7104</v>
      </c>
      <c r="H436" s="610">
        <v>5421</v>
      </c>
      <c r="I436" s="611">
        <v>6170</v>
      </c>
      <c r="J436" s="166">
        <f t="shared" si="312"/>
        <v>142</v>
      </c>
      <c r="K436" s="167">
        <f t="shared" si="313"/>
        <v>108</v>
      </c>
      <c r="L436" s="168">
        <f t="shared" si="314"/>
        <v>123</v>
      </c>
      <c r="M436" s="166">
        <f t="shared" si="315"/>
        <v>213</v>
      </c>
      <c r="N436" s="167">
        <f t="shared" si="316"/>
        <v>162</v>
      </c>
      <c r="O436" s="168">
        <f t="shared" si="317"/>
        <v>185</v>
      </c>
      <c r="P436" s="169">
        <f t="shared" si="318"/>
        <v>284</v>
      </c>
      <c r="Q436" s="169">
        <f t="shared" si="319"/>
        <v>216</v>
      </c>
      <c r="R436" s="169">
        <f t="shared" si="320"/>
        <v>246</v>
      </c>
      <c r="S436" s="584">
        <f t="shared" si="325"/>
        <v>2131</v>
      </c>
      <c r="T436" s="594">
        <f t="shared" si="326"/>
        <v>1626</v>
      </c>
      <c r="U436" s="595">
        <f t="shared" si="327"/>
        <v>1851</v>
      </c>
      <c r="V436" s="166">
        <f t="shared" si="328"/>
        <v>4403</v>
      </c>
      <c r="W436" s="167">
        <f t="shared" si="329"/>
        <v>3354</v>
      </c>
      <c r="X436" s="168">
        <f t="shared" si="330"/>
        <v>3824</v>
      </c>
      <c r="Y436" s="166">
        <f t="shared" si="331"/>
        <v>4971</v>
      </c>
      <c r="Z436" s="167">
        <f t="shared" si="332"/>
        <v>3786</v>
      </c>
      <c r="AA436" s="168">
        <f t="shared" si="333"/>
        <v>4316</v>
      </c>
      <c r="AB436" s="166">
        <f t="shared" si="334"/>
        <v>5539</v>
      </c>
      <c r="AC436" s="167">
        <f t="shared" si="335"/>
        <v>4218</v>
      </c>
      <c r="AD436" s="168">
        <f t="shared" si="336"/>
        <v>4808</v>
      </c>
      <c r="AE436" s="166">
        <f t="shared" si="337"/>
        <v>5823</v>
      </c>
      <c r="AF436" s="167">
        <f t="shared" si="338"/>
        <v>4650</v>
      </c>
      <c r="AG436" s="168">
        <f t="shared" si="339"/>
        <v>5300</v>
      </c>
      <c r="AH436" s="166">
        <f t="shared" si="340"/>
        <v>6391</v>
      </c>
      <c r="AI436" s="167">
        <f t="shared" si="341"/>
        <v>4866</v>
      </c>
      <c r="AJ436" s="168">
        <f t="shared" si="342"/>
        <v>6038</v>
      </c>
      <c r="AK436" s="169">
        <f t="shared" si="343"/>
        <v>7246</v>
      </c>
      <c r="AL436" s="167">
        <f t="shared" si="344"/>
        <v>5529</v>
      </c>
      <c r="AM436" s="585">
        <f t="shared" si="345"/>
        <v>6293</v>
      </c>
      <c r="AN436" s="614">
        <v>0.04</v>
      </c>
      <c r="AO436" s="615">
        <v>4.2999999999999997E-2</v>
      </c>
      <c r="AP436" s="615">
        <v>4.5999999999999999E-2</v>
      </c>
      <c r="AQ436" s="616">
        <v>4.9000000000000002E-2</v>
      </c>
      <c r="AR436" s="612">
        <v>5.1999999999999998E-2</v>
      </c>
      <c r="AS436" s="617"/>
      <c r="AT436" s="618"/>
      <c r="AU436" s="618"/>
      <c r="AV436" s="618"/>
      <c r="AW436" s="619"/>
      <c r="AX436" s="596">
        <v>0.02</v>
      </c>
      <c r="AY436" s="598">
        <v>2.3E-2</v>
      </c>
      <c r="AZ436" s="598">
        <v>2.5999999999999999E-2</v>
      </c>
      <c r="BA436" s="598">
        <v>2.9000000000000001E-2</v>
      </c>
      <c r="BB436" s="598">
        <v>3.2000000000000001E-2</v>
      </c>
      <c r="BC436" s="616"/>
      <c r="BD436" s="612"/>
      <c r="BE436" s="596"/>
      <c r="BF436" s="598"/>
      <c r="BG436" s="598"/>
      <c r="BH436" s="598"/>
      <c r="BI436" s="598"/>
      <c r="BJ436" s="598"/>
      <c r="BK436" s="605"/>
      <c r="BL436" s="658">
        <f t="shared" si="321"/>
        <v>18700</v>
      </c>
      <c r="BM436" s="3">
        <f t="shared" si="322"/>
        <v>38</v>
      </c>
      <c r="BN436" s="3">
        <f t="shared" si="323"/>
        <v>29</v>
      </c>
      <c r="BO436" s="3">
        <f t="shared" si="324"/>
        <v>33</v>
      </c>
    </row>
    <row r="437" spans="2:67">
      <c r="B437" s="1271" t="s">
        <v>2575</v>
      </c>
      <c r="C437" s="1069" t="s">
        <v>309</v>
      </c>
      <c r="D437" s="1069" t="s">
        <v>2576</v>
      </c>
      <c r="E437" s="238" t="s">
        <v>1150</v>
      </c>
      <c r="F437" s="592">
        <v>434</v>
      </c>
      <c r="G437" s="1071">
        <v>12400</v>
      </c>
      <c r="H437" s="1072">
        <v>10849</v>
      </c>
      <c r="I437" s="1073">
        <v>7749</v>
      </c>
      <c r="J437" s="166">
        <f t="shared" si="312"/>
        <v>248</v>
      </c>
      <c r="K437" s="167">
        <f t="shared" si="313"/>
        <v>217</v>
      </c>
      <c r="L437" s="168">
        <f t="shared" si="314"/>
        <v>155</v>
      </c>
      <c r="M437" s="166">
        <f t="shared" si="315"/>
        <v>310</v>
      </c>
      <c r="N437" s="167">
        <f t="shared" si="316"/>
        <v>271</v>
      </c>
      <c r="O437" s="168">
        <f t="shared" si="317"/>
        <v>193</v>
      </c>
      <c r="P437" s="169">
        <f t="shared" si="318"/>
        <v>465</v>
      </c>
      <c r="Q437" s="169">
        <f t="shared" si="319"/>
        <v>406</v>
      </c>
      <c r="R437" s="169">
        <f t="shared" si="320"/>
        <v>290</v>
      </c>
      <c r="S437" s="584">
        <f t="shared" si="325"/>
        <v>3100</v>
      </c>
      <c r="T437" s="594">
        <f t="shared" si="326"/>
        <v>2712</v>
      </c>
      <c r="U437" s="595">
        <f t="shared" si="327"/>
        <v>1937</v>
      </c>
      <c r="V437" s="166">
        <f t="shared" si="328"/>
        <v>7068</v>
      </c>
      <c r="W437" s="167">
        <f t="shared" si="329"/>
        <v>6181</v>
      </c>
      <c r="X437" s="168">
        <f t="shared" si="330"/>
        <v>4408</v>
      </c>
      <c r="Y437" s="166">
        <f t="shared" si="331"/>
        <v>7533</v>
      </c>
      <c r="Z437" s="167">
        <f t="shared" si="332"/>
        <v>7399</v>
      </c>
      <c r="AA437" s="168">
        <f t="shared" si="333"/>
        <v>4988</v>
      </c>
      <c r="AB437" s="166">
        <f t="shared" si="334"/>
        <v>8928</v>
      </c>
      <c r="AC437" s="167">
        <f t="shared" si="335"/>
        <v>7805</v>
      </c>
      <c r="AD437" s="168">
        <f t="shared" si="336"/>
        <v>5858</v>
      </c>
      <c r="AE437" s="166">
        <f t="shared" si="337"/>
        <v>10788</v>
      </c>
      <c r="AF437" s="167">
        <f t="shared" si="338"/>
        <v>8617</v>
      </c>
      <c r="AG437" s="168">
        <f t="shared" si="339"/>
        <v>6438</v>
      </c>
      <c r="AH437" s="166">
        <f t="shared" si="340"/>
        <v>11718</v>
      </c>
      <c r="AI437" s="167">
        <f t="shared" si="341"/>
        <v>10241</v>
      </c>
      <c r="AJ437" s="168">
        <f t="shared" si="342"/>
        <v>7018</v>
      </c>
      <c r="AK437" s="169">
        <f t="shared" si="343"/>
        <v>12648</v>
      </c>
      <c r="AL437" s="167">
        <f t="shared" si="344"/>
        <v>11066</v>
      </c>
      <c r="AM437" s="585">
        <f t="shared" si="345"/>
        <v>7904</v>
      </c>
      <c r="AN437" s="1133">
        <v>0.3</v>
      </c>
      <c r="AO437" s="1134">
        <v>0.30499999999999999</v>
      </c>
      <c r="AP437" s="1134">
        <v>0.31</v>
      </c>
      <c r="AQ437" s="1135">
        <v>0.315</v>
      </c>
      <c r="AR437" s="1132">
        <v>0.32</v>
      </c>
      <c r="AS437" s="1136"/>
      <c r="AT437" s="1137"/>
      <c r="AU437" s="1137"/>
      <c r="AV437" s="1137"/>
      <c r="AW437" s="1138"/>
      <c r="AX437" s="596">
        <v>0.04</v>
      </c>
      <c r="AY437" s="598">
        <v>4.2999999999999997E-2</v>
      </c>
      <c r="AZ437" s="598">
        <v>4.5999999999999999E-2</v>
      </c>
      <c r="BA437" s="598">
        <v>4.9000000000000002E-2</v>
      </c>
      <c r="BB437" s="598">
        <v>5.1999999999999998E-2</v>
      </c>
      <c r="BC437" s="1135"/>
      <c r="BD437" s="1132"/>
      <c r="BE437" s="596"/>
      <c r="BF437" s="598"/>
      <c r="BG437" s="598"/>
      <c r="BH437" s="598"/>
      <c r="BI437" s="598"/>
      <c r="BJ437" s="598"/>
      <c r="BK437" s="605"/>
      <c r="BL437" s="658">
        <f t="shared" si="321"/>
        <v>31000</v>
      </c>
      <c r="BM437" s="3">
        <f t="shared" si="322"/>
        <v>40</v>
      </c>
      <c r="BN437" s="3">
        <f t="shared" si="323"/>
        <v>35</v>
      </c>
      <c r="BO437" s="3">
        <f t="shared" si="324"/>
        <v>25</v>
      </c>
    </row>
    <row r="438" spans="2:67">
      <c r="B438" s="606" t="s">
        <v>2588</v>
      </c>
      <c r="C438" s="607" t="s">
        <v>310</v>
      </c>
      <c r="D438" s="607" t="s">
        <v>2589</v>
      </c>
      <c r="E438" s="238" t="s">
        <v>1150</v>
      </c>
      <c r="F438" s="608">
        <v>435</v>
      </c>
      <c r="G438" s="609">
        <v>5210</v>
      </c>
      <c r="H438" s="610">
        <v>7333</v>
      </c>
      <c r="I438" s="611">
        <v>6754</v>
      </c>
      <c r="J438" s="166">
        <f t="shared" si="312"/>
        <v>104</v>
      </c>
      <c r="K438" s="167">
        <f t="shared" si="313"/>
        <v>146</v>
      </c>
      <c r="L438" s="168">
        <f t="shared" si="314"/>
        <v>135</v>
      </c>
      <c r="M438" s="166">
        <f t="shared" si="315"/>
        <v>156</v>
      </c>
      <c r="N438" s="167">
        <f t="shared" si="316"/>
        <v>220</v>
      </c>
      <c r="O438" s="168">
        <f t="shared" si="317"/>
        <v>202</v>
      </c>
      <c r="P438" s="169">
        <f t="shared" si="318"/>
        <v>208</v>
      </c>
      <c r="Q438" s="169">
        <f t="shared" si="319"/>
        <v>293</v>
      </c>
      <c r="R438" s="169">
        <f t="shared" si="320"/>
        <v>270</v>
      </c>
      <c r="S438" s="584">
        <f t="shared" si="325"/>
        <v>1563</v>
      </c>
      <c r="T438" s="594">
        <f t="shared" si="326"/>
        <v>2200</v>
      </c>
      <c r="U438" s="595">
        <f t="shared" si="327"/>
        <v>2026</v>
      </c>
      <c r="V438" s="166">
        <f t="shared" si="328"/>
        <v>3227</v>
      </c>
      <c r="W438" s="167">
        <f t="shared" si="329"/>
        <v>4546</v>
      </c>
      <c r="X438" s="168">
        <f t="shared" si="330"/>
        <v>4181</v>
      </c>
      <c r="Y438" s="166">
        <f t="shared" si="331"/>
        <v>3643</v>
      </c>
      <c r="Z438" s="167">
        <f t="shared" si="332"/>
        <v>5132</v>
      </c>
      <c r="AA438" s="168">
        <f t="shared" si="333"/>
        <v>4721</v>
      </c>
      <c r="AB438" s="166">
        <f t="shared" si="334"/>
        <v>4059</v>
      </c>
      <c r="AC438" s="167">
        <f t="shared" si="335"/>
        <v>5718</v>
      </c>
      <c r="AD438" s="168">
        <f t="shared" si="336"/>
        <v>5261</v>
      </c>
      <c r="AE438" s="166">
        <f t="shared" si="337"/>
        <v>4475</v>
      </c>
      <c r="AF438" s="167">
        <f t="shared" si="338"/>
        <v>6011</v>
      </c>
      <c r="AG438" s="168">
        <f t="shared" si="339"/>
        <v>5801</v>
      </c>
      <c r="AH438" s="166">
        <f t="shared" si="340"/>
        <v>5099</v>
      </c>
      <c r="AI438" s="167">
        <f t="shared" si="341"/>
        <v>6597</v>
      </c>
      <c r="AJ438" s="168">
        <f t="shared" si="342"/>
        <v>6071</v>
      </c>
      <c r="AK438" s="169">
        <f t="shared" si="343"/>
        <v>5314</v>
      </c>
      <c r="AL438" s="167">
        <f t="shared" si="344"/>
        <v>7479</v>
      </c>
      <c r="AM438" s="585">
        <f t="shared" si="345"/>
        <v>6889</v>
      </c>
      <c r="AN438" s="614">
        <v>0.1</v>
      </c>
      <c r="AO438" s="615">
        <v>0.13</v>
      </c>
      <c r="AP438" s="615">
        <v>0.16</v>
      </c>
      <c r="AQ438" s="616">
        <v>0.19</v>
      </c>
      <c r="AR438" s="612">
        <v>0.22</v>
      </c>
      <c r="AS438" s="617"/>
      <c r="AT438" s="618"/>
      <c r="AU438" s="618"/>
      <c r="AV438" s="618"/>
      <c r="AW438" s="619"/>
      <c r="AX438" s="614">
        <v>0.03</v>
      </c>
      <c r="AY438" s="616">
        <v>3.5000000000000003E-2</v>
      </c>
      <c r="AZ438" s="616">
        <v>0.04</v>
      </c>
      <c r="BA438" s="616">
        <v>4.4999999999999998E-2</v>
      </c>
      <c r="BB438" s="616">
        <v>0.05</v>
      </c>
      <c r="BC438" s="616"/>
      <c r="BD438" s="612"/>
      <c r="BE438" s="596"/>
      <c r="BF438" s="598"/>
      <c r="BG438" s="598"/>
      <c r="BH438" s="598"/>
      <c r="BI438" s="598"/>
      <c r="BJ438" s="598"/>
      <c r="BK438" s="605"/>
      <c r="BL438" s="658">
        <f t="shared" si="321"/>
        <v>19300</v>
      </c>
      <c r="BM438" s="3">
        <f t="shared" si="322"/>
        <v>27</v>
      </c>
      <c r="BN438" s="3">
        <f t="shared" si="323"/>
        <v>38</v>
      </c>
      <c r="BO438" s="3">
        <f t="shared" si="324"/>
        <v>35</v>
      </c>
    </row>
    <row r="439" spans="2:67">
      <c r="B439" s="1271" t="s">
        <v>2580</v>
      </c>
      <c r="C439" s="1069" t="s">
        <v>309</v>
      </c>
      <c r="D439" s="1069" t="s">
        <v>2581</v>
      </c>
      <c r="E439" s="1268" t="s">
        <v>1150</v>
      </c>
      <c r="F439" s="592">
        <v>436</v>
      </c>
      <c r="G439" s="1071">
        <v>7873</v>
      </c>
      <c r="H439" s="1072">
        <v>13544</v>
      </c>
      <c r="I439" s="1073">
        <v>10080</v>
      </c>
      <c r="J439" s="166">
        <f t="shared" si="312"/>
        <v>157</v>
      </c>
      <c r="K439" s="167">
        <f t="shared" si="313"/>
        <v>270</v>
      </c>
      <c r="L439" s="168">
        <f t="shared" si="314"/>
        <v>201</v>
      </c>
      <c r="M439" s="166">
        <f t="shared" si="315"/>
        <v>196</v>
      </c>
      <c r="N439" s="167">
        <f t="shared" si="316"/>
        <v>338</v>
      </c>
      <c r="O439" s="168">
        <f t="shared" si="317"/>
        <v>252</v>
      </c>
      <c r="P439" s="169">
        <f t="shared" si="318"/>
        <v>295</v>
      </c>
      <c r="Q439" s="169">
        <f t="shared" si="319"/>
        <v>507</v>
      </c>
      <c r="R439" s="169">
        <f t="shared" si="320"/>
        <v>378</v>
      </c>
      <c r="S439" s="584">
        <f t="shared" si="325"/>
        <v>1968</v>
      </c>
      <c r="T439" s="594">
        <f t="shared" si="326"/>
        <v>3386</v>
      </c>
      <c r="U439" s="595">
        <f t="shared" si="327"/>
        <v>2520</v>
      </c>
      <c r="V439" s="166">
        <f t="shared" si="328"/>
        <v>4477</v>
      </c>
      <c r="W439" s="167">
        <f t="shared" si="329"/>
        <v>7712</v>
      </c>
      <c r="X439" s="168">
        <f t="shared" si="330"/>
        <v>5745</v>
      </c>
      <c r="Y439" s="166">
        <f t="shared" si="331"/>
        <v>5362</v>
      </c>
      <c r="Z439" s="167">
        <f t="shared" si="332"/>
        <v>8726</v>
      </c>
      <c r="AA439" s="168">
        <f t="shared" si="333"/>
        <v>6123</v>
      </c>
      <c r="AB439" s="166">
        <f t="shared" si="334"/>
        <v>5657</v>
      </c>
      <c r="AC439" s="167">
        <f t="shared" si="335"/>
        <v>10247</v>
      </c>
      <c r="AD439" s="168">
        <f t="shared" si="336"/>
        <v>7257</v>
      </c>
      <c r="AE439" s="166">
        <f t="shared" si="337"/>
        <v>6247</v>
      </c>
      <c r="AF439" s="167">
        <f t="shared" si="338"/>
        <v>11261</v>
      </c>
      <c r="AG439" s="168">
        <f t="shared" si="339"/>
        <v>8769</v>
      </c>
      <c r="AH439" s="166">
        <f t="shared" si="340"/>
        <v>7427</v>
      </c>
      <c r="AI439" s="167">
        <f t="shared" si="341"/>
        <v>12275</v>
      </c>
      <c r="AJ439" s="168">
        <f t="shared" si="342"/>
        <v>9525</v>
      </c>
      <c r="AK439" s="169">
        <f t="shared" si="343"/>
        <v>8030</v>
      </c>
      <c r="AL439" s="167">
        <f t="shared" si="344"/>
        <v>13814</v>
      </c>
      <c r="AM439" s="585">
        <f t="shared" si="345"/>
        <v>10281</v>
      </c>
      <c r="AN439" s="1133">
        <v>0.2</v>
      </c>
      <c r="AO439" s="1134">
        <v>0.23</v>
      </c>
      <c r="AP439" s="1134">
        <v>0.26</v>
      </c>
      <c r="AQ439" s="1135">
        <v>0.28999999999999998</v>
      </c>
      <c r="AR439" s="1132">
        <v>0.32</v>
      </c>
      <c r="AS439" s="1136"/>
      <c r="AT439" s="1137"/>
      <c r="AU439" s="1137"/>
      <c r="AV439" s="1137"/>
      <c r="AW439" s="1138"/>
      <c r="AX439" s="1133">
        <v>0.05</v>
      </c>
      <c r="AY439" s="1135">
        <v>5.5E-2</v>
      </c>
      <c r="AZ439" s="1135">
        <v>0.06</v>
      </c>
      <c r="BA439" s="1135">
        <v>6.5000000000000002E-2</v>
      </c>
      <c r="BB439" s="1135">
        <v>7.0000000000000007E-2</v>
      </c>
      <c r="BC439" s="1135"/>
      <c r="BD439" s="1132"/>
      <c r="BE439" s="596"/>
      <c r="BF439" s="598"/>
      <c r="BG439" s="598"/>
      <c r="BH439" s="598"/>
      <c r="BI439" s="598"/>
      <c r="BJ439" s="598"/>
      <c r="BK439" s="605"/>
      <c r="BL439" s="658">
        <f t="shared" si="321"/>
        <v>31500</v>
      </c>
      <c r="BM439" s="3">
        <f t="shared" si="322"/>
        <v>25</v>
      </c>
      <c r="BN439" s="3">
        <f t="shared" si="323"/>
        <v>43</v>
      </c>
      <c r="BO439" s="3">
        <f t="shared" si="324"/>
        <v>32</v>
      </c>
    </row>
    <row r="440" spans="2:67">
      <c r="B440" s="1271" t="s">
        <v>2592</v>
      </c>
      <c r="C440" s="1069" t="s">
        <v>309</v>
      </c>
      <c r="D440" s="1069" t="s">
        <v>2593</v>
      </c>
      <c r="E440" s="1267" t="s">
        <v>125</v>
      </c>
      <c r="F440" s="1070">
        <v>437</v>
      </c>
      <c r="G440" s="1071">
        <v>8480</v>
      </c>
      <c r="H440" s="1072">
        <v>7684</v>
      </c>
      <c r="I440" s="1073">
        <v>10333</v>
      </c>
      <c r="J440" s="166">
        <f t="shared" si="312"/>
        <v>169</v>
      </c>
      <c r="K440" s="167">
        <f t="shared" si="313"/>
        <v>153</v>
      </c>
      <c r="L440" s="168">
        <f t="shared" si="314"/>
        <v>206</v>
      </c>
      <c r="M440" s="166">
        <f t="shared" si="315"/>
        <v>212</v>
      </c>
      <c r="N440" s="167">
        <f t="shared" si="316"/>
        <v>192</v>
      </c>
      <c r="O440" s="168">
        <f t="shared" si="317"/>
        <v>258</v>
      </c>
      <c r="P440" s="169">
        <f t="shared" si="318"/>
        <v>318</v>
      </c>
      <c r="Q440" s="169">
        <f t="shared" si="319"/>
        <v>288</v>
      </c>
      <c r="R440" s="169">
        <f t="shared" si="320"/>
        <v>387</v>
      </c>
      <c r="S440" s="584">
        <f t="shared" si="325"/>
        <v>2120</v>
      </c>
      <c r="T440" s="594">
        <f t="shared" si="326"/>
        <v>1921</v>
      </c>
      <c r="U440" s="595">
        <f t="shared" si="327"/>
        <v>2583</v>
      </c>
      <c r="V440" s="166">
        <f t="shared" si="328"/>
        <v>4833</v>
      </c>
      <c r="W440" s="167">
        <f t="shared" si="329"/>
        <v>4378</v>
      </c>
      <c r="X440" s="168">
        <f t="shared" si="330"/>
        <v>5885</v>
      </c>
      <c r="Y440" s="166">
        <f t="shared" si="331"/>
        <v>5151</v>
      </c>
      <c r="Z440" s="167">
        <f t="shared" si="332"/>
        <v>4954</v>
      </c>
      <c r="AA440" s="168">
        <f t="shared" si="333"/>
        <v>7046</v>
      </c>
      <c r="AB440" s="166">
        <f t="shared" si="334"/>
        <v>6105</v>
      </c>
      <c r="AC440" s="167">
        <f t="shared" si="335"/>
        <v>5818</v>
      </c>
      <c r="AD440" s="168">
        <f t="shared" si="336"/>
        <v>7433</v>
      </c>
      <c r="AE440" s="166">
        <f t="shared" si="337"/>
        <v>7377</v>
      </c>
      <c r="AF440" s="167">
        <f t="shared" si="338"/>
        <v>6394</v>
      </c>
      <c r="AG440" s="168">
        <f t="shared" si="339"/>
        <v>8207</v>
      </c>
      <c r="AH440" s="166">
        <f t="shared" si="340"/>
        <v>8013</v>
      </c>
      <c r="AI440" s="167">
        <f t="shared" si="341"/>
        <v>6970</v>
      </c>
      <c r="AJ440" s="168">
        <f t="shared" si="342"/>
        <v>9755</v>
      </c>
      <c r="AK440" s="169">
        <f t="shared" si="343"/>
        <v>8649</v>
      </c>
      <c r="AL440" s="167">
        <f t="shared" si="344"/>
        <v>7837</v>
      </c>
      <c r="AM440" s="585">
        <f t="shared" si="345"/>
        <v>10539</v>
      </c>
      <c r="AN440" s="1133">
        <v>4.2000000000000003E-2</v>
      </c>
      <c r="AO440" s="1134">
        <v>4.3999999999999997E-2</v>
      </c>
      <c r="AP440" s="1134">
        <v>4.5999999999999999E-2</v>
      </c>
      <c r="AQ440" s="1135">
        <v>4.8000000000000001E-2</v>
      </c>
      <c r="AR440" s="1132">
        <v>0.05</v>
      </c>
      <c r="AS440" s="1136"/>
      <c r="AT440" s="1137"/>
      <c r="AU440" s="1137"/>
      <c r="AV440" s="1137"/>
      <c r="AW440" s="1138"/>
      <c r="AX440" s="1133">
        <v>0.05</v>
      </c>
      <c r="AY440" s="1135">
        <v>5.5E-2</v>
      </c>
      <c r="AZ440" s="1135">
        <v>0.06</v>
      </c>
      <c r="BA440" s="1135">
        <v>6.5000000000000002E-2</v>
      </c>
      <c r="BB440" s="1135">
        <v>7.0000000000000007E-2</v>
      </c>
      <c r="BC440" s="1135"/>
      <c r="BD440" s="1132"/>
      <c r="BE440" s="596"/>
      <c r="BF440" s="598"/>
      <c r="BG440" s="598"/>
      <c r="BH440" s="598"/>
      <c r="BI440" s="598"/>
      <c r="BJ440" s="598"/>
      <c r="BK440" s="605"/>
      <c r="BL440" s="658">
        <f t="shared" si="321"/>
        <v>26500</v>
      </c>
      <c r="BM440" s="3">
        <f t="shared" si="322"/>
        <v>32</v>
      </c>
      <c r="BN440" s="3">
        <f t="shared" si="323"/>
        <v>29</v>
      </c>
      <c r="BO440" s="3">
        <f t="shared" si="324"/>
        <v>39</v>
      </c>
    </row>
    <row r="441" spans="2:67">
      <c r="B441" s="606" t="s">
        <v>2598</v>
      </c>
      <c r="C441" s="607" t="s">
        <v>310</v>
      </c>
      <c r="D441" s="607" t="s">
        <v>2593</v>
      </c>
      <c r="E441" s="238" t="s">
        <v>125</v>
      </c>
      <c r="F441" s="592">
        <v>438</v>
      </c>
      <c r="G441" s="609">
        <v>5704</v>
      </c>
      <c r="H441" s="610">
        <v>3910</v>
      </c>
      <c r="I441" s="611">
        <v>6681</v>
      </c>
      <c r="J441" s="166">
        <f t="shared" si="312"/>
        <v>114</v>
      </c>
      <c r="K441" s="167">
        <f t="shared" si="313"/>
        <v>78</v>
      </c>
      <c r="L441" s="168">
        <f t="shared" si="314"/>
        <v>133</v>
      </c>
      <c r="M441" s="166">
        <f t="shared" si="315"/>
        <v>171</v>
      </c>
      <c r="N441" s="167">
        <f t="shared" si="316"/>
        <v>117</v>
      </c>
      <c r="O441" s="168">
        <f t="shared" si="317"/>
        <v>200</v>
      </c>
      <c r="P441" s="169">
        <f t="shared" si="318"/>
        <v>228</v>
      </c>
      <c r="Q441" s="169">
        <f t="shared" si="319"/>
        <v>156</v>
      </c>
      <c r="R441" s="169">
        <f t="shared" si="320"/>
        <v>267</v>
      </c>
      <c r="S441" s="584">
        <f t="shared" si="325"/>
        <v>1711</v>
      </c>
      <c r="T441" s="594">
        <f t="shared" si="326"/>
        <v>1173</v>
      </c>
      <c r="U441" s="595">
        <f t="shared" si="327"/>
        <v>2004</v>
      </c>
      <c r="V441" s="166">
        <f t="shared" si="328"/>
        <v>3535</v>
      </c>
      <c r="W441" s="167">
        <f t="shared" si="329"/>
        <v>2421</v>
      </c>
      <c r="X441" s="168">
        <f t="shared" si="330"/>
        <v>4137</v>
      </c>
      <c r="Y441" s="166">
        <f t="shared" si="331"/>
        <v>3991</v>
      </c>
      <c r="Z441" s="167">
        <f t="shared" si="332"/>
        <v>2733</v>
      </c>
      <c r="AA441" s="168">
        <f t="shared" si="333"/>
        <v>4671</v>
      </c>
      <c r="AB441" s="166">
        <f t="shared" si="334"/>
        <v>4447</v>
      </c>
      <c r="AC441" s="167">
        <f t="shared" si="335"/>
        <v>3045</v>
      </c>
      <c r="AD441" s="168">
        <f t="shared" si="336"/>
        <v>5205</v>
      </c>
      <c r="AE441" s="166">
        <f t="shared" si="337"/>
        <v>4903</v>
      </c>
      <c r="AF441" s="167">
        <f t="shared" si="338"/>
        <v>3201</v>
      </c>
      <c r="AG441" s="168">
        <f t="shared" si="339"/>
        <v>5739</v>
      </c>
      <c r="AH441" s="166">
        <f t="shared" si="340"/>
        <v>5131</v>
      </c>
      <c r="AI441" s="167">
        <f t="shared" si="341"/>
        <v>3513</v>
      </c>
      <c r="AJ441" s="168">
        <f t="shared" si="342"/>
        <v>6540</v>
      </c>
      <c r="AK441" s="169">
        <f t="shared" si="343"/>
        <v>5818</v>
      </c>
      <c r="AL441" s="167">
        <f t="shared" si="344"/>
        <v>3988</v>
      </c>
      <c r="AM441" s="585">
        <f t="shared" si="345"/>
        <v>6814</v>
      </c>
      <c r="AN441" s="614">
        <v>0.17</v>
      </c>
      <c r="AO441" s="615">
        <v>0.2</v>
      </c>
      <c r="AP441" s="615">
        <v>0.23</v>
      </c>
      <c r="AQ441" s="616">
        <v>0.26</v>
      </c>
      <c r="AR441" s="612">
        <v>0.28999999999999998</v>
      </c>
      <c r="AS441" s="617"/>
      <c r="AT441" s="618"/>
      <c r="AU441" s="618"/>
      <c r="AV441" s="618"/>
      <c r="AW441" s="619"/>
      <c r="AX441" s="614">
        <v>0.05</v>
      </c>
      <c r="AY441" s="616">
        <v>5.5E-2</v>
      </c>
      <c r="AZ441" s="616">
        <v>0.06</v>
      </c>
      <c r="BA441" s="616">
        <v>6.5000000000000002E-2</v>
      </c>
      <c r="BB441" s="616">
        <v>7.0000000000000007E-2</v>
      </c>
      <c r="BC441" s="616"/>
      <c r="BD441" s="612"/>
      <c r="BE441" s="596"/>
      <c r="BF441" s="598"/>
      <c r="BG441" s="598"/>
      <c r="BH441" s="598"/>
      <c r="BI441" s="598"/>
      <c r="BJ441" s="598"/>
      <c r="BK441" s="605"/>
      <c r="BL441" s="658">
        <f t="shared" si="321"/>
        <v>16300</v>
      </c>
      <c r="BM441" s="3">
        <f t="shared" si="322"/>
        <v>35</v>
      </c>
      <c r="BN441" s="3">
        <f t="shared" si="323"/>
        <v>24</v>
      </c>
      <c r="BO441" s="3">
        <f t="shared" si="324"/>
        <v>41</v>
      </c>
    </row>
    <row r="442" spans="2:67">
      <c r="B442" s="606" t="s">
        <v>2601</v>
      </c>
      <c r="C442" s="607" t="s">
        <v>310</v>
      </c>
      <c r="D442" s="607" t="s">
        <v>2602</v>
      </c>
      <c r="E442" s="613" t="s">
        <v>125</v>
      </c>
      <c r="F442" s="608">
        <v>439</v>
      </c>
      <c r="G442" s="609">
        <v>5867</v>
      </c>
      <c r="H442" s="610">
        <v>4890</v>
      </c>
      <c r="I442" s="611">
        <v>5540</v>
      </c>
      <c r="J442" s="166">
        <f t="shared" si="312"/>
        <v>117</v>
      </c>
      <c r="K442" s="167">
        <f t="shared" si="313"/>
        <v>97</v>
      </c>
      <c r="L442" s="168">
        <f t="shared" si="314"/>
        <v>110</v>
      </c>
      <c r="M442" s="166">
        <f t="shared" si="315"/>
        <v>176</v>
      </c>
      <c r="N442" s="167">
        <f t="shared" si="316"/>
        <v>146</v>
      </c>
      <c r="O442" s="168">
        <f t="shared" si="317"/>
        <v>166</v>
      </c>
      <c r="P442" s="169">
        <f t="shared" si="318"/>
        <v>234</v>
      </c>
      <c r="Q442" s="169">
        <f t="shared" si="319"/>
        <v>195</v>
      </c>
      <c r="R442" s="169">
        <f t="shared" si="320"/>
        <v>221</v>
      </c>
      <c r="S442" s="584">
        <f t="shared" si="325"/>
        <v>1760</v>
      </c>
      <c r="T442" s="594">
        <f t="shared" si="326"/>
        <v>1467</v>
      </c>
      <c r="U442" s="595">
        <f t="shared" si="327"/>
        <v>1662</v>
      </c>
      <c r="V442" s="166">
        <f t="shared" si="328"/>
        <v>3637</v>
      </c>
      <c r="W442" s="167">
        <f t="shared" si="329"/>
        <v>3024</v>
      </c>
      <c r="X442" s="168">
        <f t="shared" si="330"/>
        <v>3432</v>
      </c>
      <c r="Y442" s="166">
        <f t="shared" si="331"/>
        <v>4105</v>
      </c>
      <c r="Z442" s="167">
        <f t="shared" si="332"/>
        <v>3414</v>
      </c>
      <c r="AA442" s="168">
        <f t="shared" si="333"/>
        <v>3874</v>
      </c>
      <c r="AB442" s="166">
        <f t="shared" si="334"/>
        <v>4573</v>
      </c>
      <c r="AC442" s="167">
        <f t="shared" si="335"/>
        <v>3804</v>
      </c>
      <c r="AD442" s="168">
        <f t="shared" si="336"/>
        <v>4316</v>
      </c>
      <c r="AE442" s="166">
        <f t="shared" si="337"/>
        <v>5041</v>
      </c>
      <c r="AF442" s="167">
        <f t="shared" si="338"/>
        <v>4194</v>
      </c>
      <c r="AG442" s="168">
        <f t="shared" si="339"/>
        <v>4537</v>
      </c>
      <c r="AH442" s="166">
        <f t="shared" si="340"/>
        <v>5275</v>
      </c>
      <c r="AI442" s="167">
        <f t="shared" si="341"/>
        <v>4779</v>
      </c>
      <c r="AJ442" s="168">
        <f t="shared" si="342"/>
        <v>4979</v>
      </c>
      <c r="AK442" s="169">
        <f t="shared" si="343"/>
        <v>5984</v>
      </c>
      <c r="AL442" s="167">
        <f t="shared" si="344"/>
        <v>4987</v>
      </c>
      <c r="AM442" s="585">
        <f t="shared" si="345"/>
        <v>5650</v>
      </c>
      <c r="AN442" s="614">
        <v>0.03</v>
      </c>
      <c r="AO442" s="615">
        <v>3.3000000000000002E-2</v>
      </c>
      <c r="AP442" s="615">
        <v>3.5999999999999997E-2</v>
      </c>
      <c r="AQ442" s="616">
        <v>3.9E-2</v>
      </c>
      <c r="AR442" s="612">
        <v>4.2000000000000003E-2</v>
      </c>
      <c r="AS442" s="617"/>
      <c r="AT442" s="618"/>
      <c r="AU442" s="618"/>
      <c r="AV442" s="618"/>
      <c r="AW442" s="619"/>
      <c r="AX442" s="614">
        <v>0.05</v>
      </c>
      <c r="AY442" s="616">
        <v>5.5E-2</v>
      </c>
      <c r="AZ442" s="616">
        <v>0.06</v>
      </c>
      <c r="BA442" s="616">
        <v>6.5000000000000002E-2</v>
      </c>
      <c r="BB442" s="616">
        <v>7.0000000000000007E-2</v>
      </c>
      <c r="BC442" s="616"/>
      <c r="BD442" s="612"/>
      <c r="BE442" s="596"/>
      <c r="BF442" s="598"/>
      <c r="BG442" s="598"/>
      <c r="BH442" s="598"/>
      <c r="BI442" s="598"/>
      <c r="BJ442" s="598"/>
      <c r="BK442" s="605"/>
      <c r="BL442" s="658">
        <f t="shared" si="321"/>
        <v>16300</v>
      </c>
      <c r="BM442" s="3">
        <f t="shared" si="322"/>
        <v>36</v>
      </c>
      <c r="BN442" s="3">
        <f t="shared" si="323"/>
        <v>30</v>
      </c>
      <c r="BO442" s="3">
        <f t="shared" si="324"/>
        <v>34</v>
      </c>
    </row>
    <row r="443" spans="2:67">
      <c r="B443" s="1271" t="s">
        <v>2621</v>
      </c>
      <c r="C443" s="1069" t="s">
        <v>309</v>
      </c>
      <c r="D443" s="1069" t="s">
        <v>2623</v>
      </c>
      <c r="E443" s="1268" t="s">
        <v>2115</v>
      </c>
      <c r="F443" s="1270">
        <v>440</v>
      </c>
      <c r="G443" s="1071">
        <v>11340</v>
      </c>
      <c r="H443" s="1072">
        <v>6300</v>
      </c>
      <c r="I443" s="1073">
        <v>13860</v>
      </c>
      <c r="J443" s="166">
        <f t="shared" si="312"/>
        <v>226</v>
      </c>
      <c r="K443" s="167">
        <f t="shared" si="313"/>
        <v>126</v>
      </c>
      <c r="L443" s="168">
        <f t="shared" si="314"/>
        <v>277</v>
      </c>
      <c r="M443" s="166">
        <f t="shared" si="315"/>
        <v>307</v>
      </c>
      <c r="N443" s="167">
        <f t="shared" si="316"/>
        <v>170</v>
      </c>
      <c r="O443" s="168">
        <f t="shared" si="317"/>
        <v>375</v>
      </c>
      <c r="P443" s="169">
        <f t="shared" si="318"/>
        <v>496</v>
      </c>
      <c r="Q443" s="169">
        <f t="shared" si="319"/>
        <v>275</v>
      </c>
      <c r="R443" s="169">
        <f t="shared" si="320"/>
        <v>606</v>
      </c>
      <c r="S443" s="584">
        <f t="shared" si="325"/>
        <v>2835</v>
      </c>
      <c r="T443" s="594">
        <f t="shared" si="326"/>
        <v>1575</v>
      </c>
      <c r="U443" s="595">
        <f t="shared" si="327"/>
        <v>3465</v>
      </c>
      <c r="V443" s="166">
        <f t="shared" si="328"/>
        <v>8587</v>
      </c>
      <c r="W443" s="167">
        <f t="shared" si="329"/>
        <v>4761</v>
      </c>
      <c r="X443" s="168">
        <f t="shared" si="330"/>
        <v>10492</v>
      </c>
      <c r="Y443" s="166">
        <f t="shared" si="331"/>
        <v>9579</v>
      </c>
      <c r="Z443" s="167">
        <f t="shared" si="332"/>
        <v>5311</v>
      </c>
      <c r="AA443" s="168">
        <f t="shared" si="333"/>
        <v>11098</v>
      </c>
      <c r="AB443" s="166">
        <f t="shared" si="334"/>
        <v>10075</v>
      </c>
      <c r="AC443" s="167">
        <f t="shared" si="335"/>
        <v>5311</v>
      </c>
      <c r="AD443" s="168">
        <f t="shared" si="336"/>
        <v>11704</v>
      </c>
      <c r="AE443" s="166">
        <f t="shared" si="337"/>
        <v>10075</v>
      </c>
      <c r="AF443" s="167">
        <f t="shared" si="338"/>
        <v>5586</v>
      </c>
      <c r="AG443" s="168">
        <f t="shared" si="339"/>
        <v>12310</v>
      </c>
      <c r="AH443" s="166">
        <f t="shared" si="340"/>
        <v>10571</v>
      </c>
      <c r="AI443" s="167">
        <f t="shared" si="341"/>
        <v>5861</v>
      </c>
      <c r="AJ443" s="168">
        <f t="shared" si="342"/>
        <v>12916</v>
      </c>
      <c r="AK443" s="169">
        <f t="shared" si="343"/>
        <v>11566</v>
      </c>
      <c r="AL443" s="167">
        <f t="shared" si="344"/>
        <v>6426</v>
      </c>
      <c r="AM443" s="585">
        <f t="shared" si="345"/>
        <v>14137</v>
      </c>
      <c r="AN443" s="1133">
        <v>0.2</v>
      </c>
      <c r="AO443" s="1134">
        <v>0.23</v>
      </c>
      <c r="AP443" s="1134">
        <v>0.26</v>
      </c>
      <c r="AQ443" s="1135">
        <v>0.28999999999999998</v>
      </c>
      <c r="AR443" s="1132">
        <v>0.32</v>
      </c>
      <c r="AS443" s="1136"/>
      <c r="AT443" s="1137"/>
      <c r="AU443" s="1137"/>
      <c r="AV443" s="1137"/>
      <c r="AW443" s="1138"/>
      <c r="AX443" s="1133">
        <v>5.2999999999999999E-2</v>
      </c>
      <c r="AY443" s="1135">
        <v>5.5E-2</v>
      </c>
      <c r="AZ443" s="1135">
        <v>5.7000000000000002E-2</v>
      </c>
      <c r="BA443" s="1135">
        <v>5.8999999999999997E-2</v>
      </c>
      <c r="BB443" s="1135">
        <v>6.0999999999999999E-2</v>
      </c>
      <c r="BC443" s="1135">
        <v>6.3E-2</v>
      </c>
      <c r="BD443" s="1132">
        <v>6.5000000000000002E-2</v>
      </c>
      <c r="BE443" s="596"/>
      <c r="BF443" s="598"/>
      <c r="BG443" s="598"/>
      <c r="BH443" s="598"/>
      <c r="BI443" s="598"/>
      <c r="BJ443" s="598"/>
      <c r="BK443" s="605"/>
      <c r="BL443" s="658">
        <f t="shared" si="321"/>
        <v>31500</v>
      </c>
      <c r="BM443" s="3">
        <f t="shared" si="322"/>
        <v>36</v>
      </c>
      <c r="BN443" s="3">
        <f t="shared" si="323"/>
        <v>20</v>
      </c>
      <c r="BO443" s="3">
        <f t="shared" si="324"/>
        <v>44</v>
      </c>
    </row>
    <row r="444" spans="2:67">
      <c r="B444" s="606" t="s">
        <v>2622</v>
      </c>
      <c r="C444" s="607" t="s">
        <v>310</v>
      </c>
      <c r="D444" s="607" t="s">
        <v>2624</v>
      </c>
      <c r="E444" s="238" t="s">
        <v>1150</v>
      </c>
      <c r="F444" s="608">
        <v>441</v>
      </c>
      <c r="G444" s="609">
        <v>8104</v>
      </c>
      <c r="H444" s="610">
        <v>3666</v>
      </c>
      <c r="I444" s="611">
        <v>7526</v>
      </c>
      <c r="J444" s="166">
        <f t="shared" si="312"/>
        <v>162</v>
      </c>
      <c r="K444" s="167">
        <f t="shared" si="313"/>
        <v>73</v>
      </c>
      <c r="L444" s="168">
        <f t="shared" si="314"/>
        <v>150</v>
      </c>
      <c r="M444" s="166">
        <f t="shared" si="315"/>
        <v>243</v>
      </c>
      <c r="N444" s="167">
        <f t="shared" si="316"/>
        <v>110</v>
      </c>
      <c r="O444" s="168">
        <f t="shared" si="317"/>
        <v>225</v>
      </c>
      <c r="P444" s="169">
        <f t="shared" si="318"/>
        <v>324</v>
      </c>
      <c r="Q444" s="169">
        <f t="shared" si="319"/>
        <v>146</v>
      </c>
      <c r="R444" s="169">
        <f t="shared" si="320"/>
        <v>301</v>
      </c>
      <c r="S444" s="584">
        <f t="shared" si="325"/>
        <v>2431</v>
      </c>
      <c r="T444" s="594">
        <f t="shared" si="326"/>
        <v>1100</v>
      </c>
      <c r="U444" s="595">
        <f t="shared" si="327"/>
        <v>2258</v>
      </c>
      <c r="V444" s="166">
        <f t="shared" si="328"/>
        <v>5023</v>
      </c>
      <c r="W444" s="167">
        <f t="shared" si="329"/>
        <v>2273</v>
      </c>
      <c r="X444" s="168">
        <f t="shared" si="330"/>
        <v>4658</v>
      </c>
      <c r="Y444" s="166">
        <f t="shared" si="331"/>
        <v>5671</v>
      </c>
      <c r="Z444" s="167">
        <f t="shared" si="332"/>
        <v>2565</v>
      </c>
      <c r="AA444" s="168">
        <f t="shared" si="333"/>
        <v>5260</v>
      </c>
      <c r="AB444" s="166">
        <f t="shared" si="334"/>
        <v>6319</v>
      </c>
      <c r="AC444" s="167">
        <f t="shared" si="335"/>
        <v>2857</v>
      </c>
      <c r="AD444" s="168">
        <f t="shared" si="336"/>
        <v>5862</v>
      </c>
      <c r="AE444" s="166">
        <f t="shared" si="337"/>
        <v>6643</v>
      </c>
      <c r="AF444" s="167">
        <f t="shared" si="338"/>
        <v>3149</v>
      </c>
      <c r="AG444" s="168">
        <f t="shared" si="339"/>
        <v>6464</v>
      </c>
      <c r="AH444" s="166">
        <f t="shared" si="340"/>
        <v>7291</v>
      </c>
      <c r="AI444" s="167">
        <f t="shared" si="341"/>
        <v>3295</v>
      </c>
      <c r="AJ444" s="168">
        <f t="shared" si="342"/>
        <v>7367</v>
      </c>
      <c r="AK444" s="169">
        <f t="shared" si="343"/>
        <v>8266</v>
      </c>
      <c r="AL444" s="167">
        <f t="shared" si="344"/>
        <v>3739</v>
      </c>
      <c r="AM444" s="585">
        <f t="shared" si="345"/>
        <v>7676</v>
      </c>
      <c r="AN444" s="614">
        <v>0.04</v>
      </c>
      <c r="AO444" s="615">
        <v>4.2999999999999997E-2</v>
      </c>
      <c r="AP444" s="615">
        <v>4.5999999999999999E-2</v>
      </c>
      <c r="AQ444" s="616">
        <v>4.9000000000000002E-2</v>
      </c>
      <c r="AR444" s="612">
        <v>5.1999999999999998E-2</v>
      </c>
      <c r="AS444" s="617"/>
      <c r="AT444" s="618"/>
      <c r="AU444" s="618"/>
      <c r="AV444" s="618"/>
      <c r="AW444" s="619"/>
      <c r="AX444" s="596">
        <v>0.03</v>
      </c>
      <c r="AY444" s="598">
        <v>3.3000000000000002E-2</v>
      </c>
      <c r="AZ444" s="598">
        <v>3.5999999999999997E-2</v>
      </c>
      <c r="BA444" s="598">
        <v>3.9E-2</v>
      </c>
      <c r="BB444" s="598">
        <v>4.2000000000000003E-2</v>
      </c>
      <c r="BC444" s="616"/>
      <c r="BD444" s="612"/>
      <c r="BE444" s="596"/>
      <c r="BF444" s="598"/>
      <c r="BG444" s="598"/>
      <c r="BH444" s="598"/>
      <c r="BI444" s="598"/>
      <c r="BJ444" s="598"/>
      <c r="BK444" s="605"/>
      <c r="BL444" s="658">
        <f t="shared" si="321"/>
        <v>19300</v>
      </c>
      <c r="BM444" s="3">
        <f t="shared" si="322"/>
        <v>42</v>
      </c>
      <c r="BN444" s="3">
        <f t="shared" si="323"/>
        <v>19</v>
      </c>
      <c r="BO444" s="3">
        <f t="shared" si="324"/>
        <v>39</v>
      </c>
    </row>
    <row r="445" spans="2:67">
      <c r="B445" s="1271" t="s">
        <v>2634</v>
      </c>
      <c r="C445" s="1069" t="s">
        <v>309</v>
      </c>
      <c r="D445" s="1069" t="s">
        <v>2631</v>
      </c>
      <c r="E445" s="238" t="s">
        <v>1150</v>
      </c>
      <c r="F445" s="592">
        <v>442</v>
      </c>
      <c r="G445" s="1071">
        <v>12913</v>
      </c>
      <c r="H445" s="1072">
        <v>9449</v>
      </c>
      <c r="I445" s="1073">
        <v>9133</v>
      </c>
      <c r="J445" s="166">
        <f t="shared" si="312"/>
        <v>258</v>
      </c>
      <c r="K445" s="167">
        <f t="shared" si="313"/>
        <v>189</v>
      </c>
      <c r="L445" s="168">
        <f t="shared" si="314"/>
        <v>182</v>
      </c>
      <c r="M445" s="166">
        <f t="shared" si="315"/>
        <v>322</v>
      </c>
      <c r="N445" s="167">
        <f t="shared" si="316"/>
        <v>236</v>
      </c>
      <c r="O445" s="168">
        <f t="shared" si="317"/>
        <v>228</v>
      </c>
      <c r="P445" s="169">
        <f t="shared" si="318"/>
        <v>484</v>
      </c>
      <c r="Q445" s="169">
        <f t="shared" si="319"/>
        <v>354</v>
      </c>
      <c r="R445" s="169">
        <f t="shared" si="320"/>
        <v>342</v>
      </c>
      <c r="S445" s="584">
        <f t="shared" si="325"/>
        <v>3228</v>
      </c>
      <c r="T445" s="594">
        <f t="shared" si="326"/>
        <v>2362</v>
      </c>
      <c r="U445" s="595">
        <f t="shared" si="327"/>
        <v>2283</v>
      </c>
      <c r="V445" s="166">
        <f t="shared" si="328"/>
        <v>7350</v>
      </c>
      <c r="W445" s="167">
        <f t="shared" si="329"/>
        <v>5383</v>
      </c>
      <c r="X445" s="168">
        <f t="shared" si="330"/>
        <v>5201</v>
      </c>
      <c r="Y445" s="166">
        <f t="shared" si="331"/>
        <v>8318</v>
      </c>
      <c r="Z445" s="167">
        <f t="shared" si="332"/>
        <v>5737</v>
      </c>
      <c r="AA445" s="168">
        <f t="shared" si="333"/>
        <v>6227</v>
      </c>
      <c r="AB445" s="166">
        <f t="shared" si="334"/>
        <v>9770</v>
      </c>
      <c r="AC445" s="167">
        <f t="shared" si="335"/>
        <v>6799</v>
      </c>
      <c r="AD445" s="168">
        <f t="shared" si="336"/>
        <v>6569</v>
      </c>
      <c r="AE445" s="166">
        <f t="shared" si="337"/>
        <v>10738</v>
      </c>
      <c r="AF445" s="167">
        <f t="shared" si="338"/>
        <v>8215</v>
      </c>
      <c r="AG445" s="168">
        <f t="shared" si="339"/>
        <v>7253</v>
      </c>
      <c r="AH445" s="166">
        <f t="shared" si="340"/>
        <v>11706</v>
      </c>
      <c r="AI445" s="167">
        <f t="shared" si="341"/>
        <v>8923</v>
      </c>
      <c r="AJ445" s="168">
        <f t="shared" si="342"/>
        <v>8621</v>
      </c>
      <c r="AK445" s="169">
        <f t="shared" si="343"/>
        <v>13171</v>
      </c>
      <c r="AL445" s="167">
        <f t="shared" si="344"/>
        <v>9638</v>
      </c>
      <c r="AM445" s="585">
        <f t="shared" si="345"/>
        <v>9315</v>
      </c>
      <c r="AN445" s="596">
        <v>0.25</v>
      </c>
      <c r="AO445" s="597">
        <v>0.28000000000000003</v>
      </c>
      <c r="AP445" s="597">
        <v>0.31</v>
      </c>
      <c r="AQ445" s="598">
        <v>0.34</v>
      </c>
      <c r="AR445" s="1132">
        <v>0.37</v>
      </c>
      <c r="AS445" s="1136"/>
      <c r="AT445" s="1137"/>
      <c r="AU445" s="1137"/>
      <c r="AV445" s="1137"/>
      <c r="AW445" s="1138"/>
      <c r="AX445" s="1133">
        <v>0.05</v>
      </c>
      <c r="AY445" s="1135">
        <v>5.5E-2</v>
      </c>
      <c r="AZ445" s="1135">
        <v>0.06</v>
      </c>
      <c r="BA445" s="1135">
        <v>6.5000000000000002E-2</v>
      </c>
      <c r="BB445" s="1135">
        <v>7.0000000000000007E-2</v>
      </c>
      <c r="BC445" s="1135"/>
      <c r="BD445" s="1132"/>
      <c r="BE445" s="596"/>
      <c r="BF445" s="598"/>
      <c r="BG445" s="598"/>
      <c r="BH445" s="598"/>
      <c r="BI445" s="598"/>
      <c r="BJ445" s="598"/>
      <c r="BK445" s="605"/>
      <c r="BL445" s="658">
        <f t="shared" si="321"/>
        <v>31500</v>
      </c>
      <c r="BM445" s="3">
        <f t="shared" si="322"/>
        <v>41</v>
      </c>
      <c r="BN445" s="3">
        <f t="shared" si="323"/>
        <v>30</v>
      </c>
      <c r="BO445" s="3">
        <f t="shared" si="324"/>
        <v>29</v>
      </c>
    </row>
    <row r="446" spans="2:67">
      <c r="B446" s="606" t="s">
        <v>2635</v>
      </c>
      <c r="C446" s="607" t="s">
        <v>310</v>
      </c>
      <c r="D446" s="607" t="s">
        <v>2631</v>
      </c>
      <c r="E446" s="238" t="s">
        <v>1150</v>
      </c>
      <c r="F446" s="608">
        <v>443</v>
      </c>
      <c r="G446" s="609">
        <v>7911</v>
      </c>
      <c r="H446" s="610">
        <v>4437</v>
      </c>
      <c r="I446" s="611">
        <v>6947</v>
      </c>
      <c r="J446" s="166">
        <f t="shared" si="312"/>
        <v>158</v>
      </c>
      <c r="K446" s="167">
        <f t="shared" si="313"/>
        <v>88</v>
      </c>
      <c r="L446" s="168">
        <f t="shared" si="314"/>
        <v>138</v>
      </c>
      <c r="M446" s="166">
        <f t="shared" si="315"/>
        <v>237</v>
      </c>
      <c r="N446" s="167">
        <f t="shared" si="316"/>
        <v>133</v>
      </c>
      <c r="O446" s="168">
        <f t="shared" si="317"/>
        <v>208</v>
      </c>
      <c r="P446" s="169">
        <f t="shared" si="318"/>
        <v>316</v>
      </c>
      <c r="Q446" s="169">
        <f t="shared" si="319"/>
        <v>177</v>
      </c>
      <c r="R446" s="169">
        <f t="shared" si="320"/>
        <v>277</v>
      </c>
      <c r="S446" s="584">
        <f t="shared" si="325"/>
        <v>2373</v>
      </c>
      <c r="T446" s="594">
        <f t="shared" si="326"/>
        <v>1331</v>
      </c>
      <c r="U446" s="595">
        <f t="shared" si="327"/>
        <v>2084</v>
      </c>
      <c r="V446" s="166">
        <f t="shared" si="328"/>
        <v>4901</v>
      </c>
      <c r="W446" s="167">
        <f t="shared" si="329"/>
        <v>2749</v>
      </c>
      <c r="X446" s="168">
        <f t="shared" si="330"/>
        <v>4302</v>
      </c>
      <c r="Y446" s="166">
        <f t="shared" si="331"/>
        <v>5533</v>
      </c>
      <c r="Z446" s="167">
        <f t="shared" si="332"/>
        <v>3103</v>
      </c>
      <c r="AA446" s="168">
        <f t="shared" si="333"/>
        <v>4856</v>
      </c>
      <c r="AB446" s="166">
        <f t="shared" si="334"/>
        <v>6165</v>
      </c>
      <c r="AC446" s="167">
        <f t="shared" si="335"/>
        <v>3457</v>
      </c>
      <c r="AD446" s="168">
        <f t="shared" si="336"/>
        <v>5410</v>
      </c>
      <c r="AE446" s="166">
        <f t="shared" si="337"/>
        <v>6481</v>
      </c>
      <c r="AF446" s="167">
        <f t="shared" si="338"/>
        <v>3811</v>
      </c>
      <c r="AG446" s="168">
        <f t="shared" si="339"/>
        <v>5964</v>
      </c>
      <c r="AH446" s="166">
        <f t="shared" si="340"/>
        <v>7113</v>
      </c>
      <c r="AI446" s="167">
        <f t="shared" si="341"/>
        <v>3988</v>
      </c>
      <c r="AJ446" s="168">
        <f t="shared" si="342"/>
        <v>6795</v>
      </c>
      <c r="AK446" s="169">
        <f t="shared" si="343"/>
        <v>8069</v>
      </c>
      <c r="AL446" s="167">
        <f t="shared" si="344"/>
        <v>4525</v>
      </c>
      <c r="AM446" s="585">
        <f t="shared" si="345"/>
        <v>7085</v>
      </c>
      <c r="AN446" s="596">
        <v>0.25</v>
      </c>
      <c r="AO446" s="597">
        <v>0.28000000000000003</v>
      </c>
      <c r="AP446" s="597">
        <v>0.31</v>
      </c>
      <c r="AQ446" s="598">
        <v>0.34</v>
      </c>
      <c r="AR446" s="612">
        <v>0.37</v>
      </c>
      <c r="AS446" s="617"/>
      <c r="AT446" s="618"/>
      <c r="AU446" s="618"/>
      <c r="AV446" s="618"/>
      <c r="AW446" s="619"/>
      <c r="AX446" s="614">
        <v>0.03</v>
      </c>
      <c r="AY446" s="616">
        <v>3.5000000000000003E-2</v>
      </c>
      <c r="AZ446" s="616">
        <v>0.04</v>
      </c>
      <c r="BA446" s="616">
        <v>4.4999999999999998E-2</v>
      </c>
      <c r="BB446" s="616">
        <v>0.05</v>
      </c>
      <c r="BC446" s="616"/>
      <c r="BD446" s="612"/>
      <c r="BE446" s="596"/>
      <c r="BF446" s="598"/>
      <c r="BG446" s="598"/>
      <c r="BH446" s="598"/>
      <c r="BI446" s="598"/>
      <c r="BJ446" s="598"/>
      <c r="BK446" s="605"/>
      <c r="BL446" s="658">
        <f t="shared" si="321"/>
        <v>19300</v>
      </c>
      <c r="BM446" s="3">
        <f t="shared" si="322"/>
        <v>41</v>
      </c>
      <c r="BN446" s="3">
        <f t="shared" si="323"/>
        <v>23</v>
      </c>
      <c r="BO446" s="3">
        <f t="shared" si="324"/>
        <v>36</v>
      </c>
    </row>
    <row r="447" spans="2:67">
      <c r="B447" s="1271" t="s">
        <v>2639</v>
      </c>
      <c r="C447" s="1069" t="s">
        <v>309</v>
      </c>
      <c r="D447" s="1069" t="s">
        <v>2640</v>
      </c>
      <c r="E447" s="1268" t="s">
        <v>1150</v>
      </c>
      <c r="F447" s="1270">
        <v>444</v>
      </c>
      <c r="G447" s="1071">
        <v>7440</v>
      </c>
      <c r="H447" s="1072">
        <v>13640</v>
      </c>
      <c r="I447" s="1073">
        <v>9920</v>
      </c>
      <c r="J447" s="166">
        <f t="shared" si="312"/>
        <v>148</v>
      </c>
      <c r="K447" s="167">
        <f t="shared" si="313"/>
        <v>272</v>
      </c>
      <c r="L447" s="168">
        <f t="shared" si="314"/>
        <v>198</v>
      </c>
      <c r="M447" s="166">
        <f t="shared" si="315"/>
        <v>186</v>
      </c>
      <c r="N447" s="167">
        <f t="shared" si="316"/>
        <v>341</v>
      </c>
      <c r="O447" s="168">
        <f t="shared" si="317"/>
        <v>248</v>
      </c>
      <c r="P447" s="169">
        <f t="shared" si="318"/>
        <v>279</v>
      </c>
      <c r="Q447" s="169">
        <f t="shared" si="319"/>
        <v>511</v>
      </c>
      <c r="R447" s="169">
        <f t="shared" si="320"/>
        <v>372</v>
      </c>
      <c r="S447" s="584">
        <f t="shared" si="325"/>
        <v>1860</v>
      </c>
      <c r="T447" s="594">
        <f t="shared" si="326"/>
        <v>3410</v>
      </c>
      <c r="U447" s="595">
        <f t="shared" si="327"/>
        <v>2480</v>
      </c>
      <c r="V447" s="166">
        <f t="shared" si="328"/>
        <v>4240</v>
      </c>
      <c r="W447" s="167">
        <f t="shared" si="329"/>
        <v>7774</v>
      </c>
      <c r="X447" s="168">
        <f t="shared" si="330"/>
        <v>5654</v>
      </c>
      <c r="Y447" s="166">
        <f t="shared" si="331"/>
        <v>5077</v>
      </c>
      <c r="Z447" s="167">
        <f t="shared" si="332"/>
        <v>8796</v>
      </c>
      <c r="AA447" s="168">
        <f t="shared" si="333"/>
        <v>6026</v>
      </c>
      <c r="AB447" s="166">
        <f t="shared" si="334"/>
        <v>5356</v>
      </c>
      <c r="AC447" s="167">
        <f t="shared" si="335"/>
        <v>10329</v>
      </c>
      <c r="AD447" s="168">
        <f t="shared" si="336"/>
        <v>7142</v>
      </c>
      <c r="AE447" s="166">
        <f t="shared" si="337"/>
        <v>5914</v>
      </c>
      <c r="AF447" s="167">
        <f t="shared" si="338"/>
        <v>11351</v>
      </c>
      <c r="AG447" s="168">
        <f t="shared" si="339"/>
        <v>8630</v>
      </c>
      <c r="AH447" s="166">
        <f t="shared" si="340"/>
        <v>7030</v>
      </c>
      <c r="AI447" s="167">
        <f t="shared" si="341"/>
        <v>12373</v>
      </c>
      <c r="AJ447" s="168">
        <f t="shared" si="342"/>
        <v>9374</v>
      </c>
      <c r="AK447" s="169">
        <f t="shared" si="343"/>
        <v>7588</v>
      </c>
      <c r="AL447" s="167">
        <f t="shared" si="344"/>
        <v>13912</v>
      </c>
      <c r="AM447" s="585">
        <f t="shared" si="345"/>
        <v>10118</v>
      </c>
      <c r="AN447" s="1133">
        <v>0.2</v>
      </c>
      <c r="AO447" s="1134">
        <v>0.23</v>
      </c>
      <c r="AP447" s="1134">
        <v>0.26</v>
      </c>
      <c r="AQ447" s="1135">
        <v>0.28999999999999998</v>
      </c>
      <c r="AR447" s="1132">
        <v>0.32</v>
      </c>
      <c r="AS447" s="1136"/>
      <c r="AT447" s="1137"/>
      <c r="AU447" s="1137"/>
      <c r="AV447" s="1137"/>
      <c r="AW447" s="1138"/>
      <c r="AX447" s="1133">
        <v>0.04</v>
      </c>
      <c r="AY447" s="1135">
        <v>4.2999999999999997E-2</v>
      </c>
      <c r="AZ447" s="1135">
        <v>4.5999999999999999E-2</v>
      </c>
      <c r="BA447" s="1135">
        <v>4.9000000000000002E-2</v>
      </c>
      <c r="BB447" s="1135">
        <v>5.1999999999999998E-2</v>
      </c>
      <c r="BC447" s="1135"/>
      <c r="BD447" s="1132"/>
      <c r="BE447" s="596"/>
      <c r="BF447" s="598"/>
      <c r="BG447" s="598"/>
      <c r="BH447" s="598"/>
      <c r="BI447" s="598"/>
      <c r="BJ447" s="598"/>
      <c r="BK447" s="605"/>
      <c r="BL447" s="658">
        <f t="shared" si="321"/>
        <v>31000</v>
      </c>
      <c r="BM447" s="3">
        <f t="shared" si="322"/>
        <v>24</v>
      </c>
      <c r="BN447" s="3">
        <f t="shared" si="323"/>
        <v>44</v>
      </c>
      <c r="BO447" s="3">
        <f t="shared" si="324"/>
        <v>32</v>
      </c>
    </row>
    <row r="448" spans="2:67">
      <c r="B448" s="1271" t="s">
        <v>2645</v>
      </c>
      <c r="C448" s="1069" t="s">
        <v>309</v>
      </c>
      <c r="D448" s="1069" t="s">
        <v>2646</v>
      </c>
      <c r="E448" s="1267" t="s">
        <v>125</v>
      </c>
      <c r="F448" s="1070">
        <v>445</v>
      </c>
      <c r="G448" s="1071">
        <v>8744</v>
      </c>
      <c r="H448" s="1072">
        <v>6624</v>
      </c>
      <c r="I448" s="1073">
        <v>11129</v>
      </c>
      <c r="J448" s="166">
        <f t="shared" si="312"/>
        <v>174</v>
      </c>
      <c r="K448" s="167">
        <f t="shared" si="313"/>
        <v>132</v>
      </c>
      <c r="L448" s="168">
        <f t="shared" si="314"/>
        <v>222</v>
      </c>
      <c r="M448" s="166">
        <f t="shared" si="315"/>
        <v>218</v>
      </c>
      <c r="N448" s="167">
        <f t="shared" si="316"/>
        <v>165</v>
      </c>
      <c r="O448" s="168">
        <f t="shared" si="317"/>
        <v>278</v>
      </c>
      <c r="P448" s="169">
        <f t="shared" si="318"/>
        <v>327</v>
      </c>
      <c r="Q448" s="169">
        <f t="shared" si="319"/>
        <v>248</v>
      </c>
      <c r="R448" s="169">
        <f t="shared" si="320"/>
        <v>417</v>
      </c>
      <c r="S448" s="584">
        <f t="shared" si="325"/>
        <v>2186</v>
      </c>
      <c r="T448" s="594">
        <f t="shared" si="326"/>
        <v>1656</v>
      </c>
      <c r="U448" s="595">
        <f t="shared" si="327"/>
        <v>2782</v>
      </c>
      <c r="V448" s="166">
        <f t="shared" si="328"/>
        <v>4976</v>
      </c>
      <c r="W448" s="167">
        <f t="shared" si="329"/>
        <v>3768</v>
      </c>
      <c r="X448" s="168">
        <f t="shared" si="330"/>
        <v>6340</v>
      </c>
      <c r="Y448" s="166">
        <f t="shared" si="331"/>
        <v>5303</v>
      </c>
      <c r="Z448" s="167">
        <f t="shared" si="332"/>
        <v>4512</v>
      </c>
      <c r="AA448" s="168">
        <f t="shared" si="333"/>
        <v>7174</v>
      </c>
      <c r="AB448" s="166">
        <f t="shared" si="334"/>
        <v>6284</v>
      </c>
      <c r="AC448" s="167">
        <f t="shared" si="335"/>
        <v>4760</v>
      </c>
      <c r="AD448" s="168">
        <f t="shared" si="336"/>
        <v>8425</v>
      </c>
      <c r="AE448" s="166">
        <f t="shared" si="337"/>
        <v>7592</v>
      </c>
      <c r="AF448" s="167">
        <f t="shared" si="338"/>
        <v>5256</v>
      </c>
      <c r="AG448" s="168">
        <f t="shared" si="339"/>
        <v>9259</v>
      </c>
      <c r="AH448" s="166">
        <f t="shared" si="340"/>
        <v>8246</v>
      </c>
      <c r="AI448" s="167">
        <f t="shared" si="341"/>
        <v>6248</v>
      </c>
      <c r="AJ448" s="168">
        <f t="shared" si="342"/>
        <v>10093</v>
      </c>
      <c r="AK448" s="169">
        <f t="shared" si="343"/>
        <v>8918</v>
      </c>
      <c r="AL448" s="167">
        <f t="shared" si="344"/>
        <v>6756</v>
      </c>
      <c r="AM448" s="585">
        <f t="shared" si="345"/>
        <v>11351</v>
      </c>
      <c r="AN448" s="1133">
        <v>0.33</v>
      </c>
      <c r="AO448" s="1134">
        <v>0.36</v>
      </c>
      <c r="AP448" s="1134">
        <v>0.39</v>
      </c>
      <c r="AQ448" s="1135">
        <v>0.42</v>
      </c>
      <c r="AR448" s="1132">
        <v>0.45</v>
      </c>
      <c r="AS448" s="1136"/>
      <c r="AT448" s="1137"/>
      <c r="AU448" s="1137"/>
      <c r="AV448" s="1137"/>
      <c r="AW448" s="1138"/>
      <c r="AX448" s="1133">
        <v>0.04</v>
      </c>
      <c r="AY448" s="1135">
        <v>4.2999999999999997E-2</v>
      </c>
      <c r="AZ448" s="1135">
        <v>4.5999999999999999E-2</v>
      </c>
      <c r="BA448" s="1135">
        <v>4.9000000000000002E-2</v>
      </c>
      <c r="BB448" s="1135">
        <v>5.1999999999999998E-2</v>
      </c>
      <c r="BC448" s="1135"/>
      <c r="BD448" s="1132"/>
      <c r="BE448" s="596"/>
      <c r="BF448" s="598"/>
      <c r="BG448" s="598"/>
      <c r="BH448" s="598"/>
      <c r="BI448" s="598"/>
      <c r="BJ448" s="598"/>
      <c r="BK448" s="605"/>
      <c r="BL448" s="658">
        <f t="shared" si="321"/>
        <v>26500</v>
      </c>
      <c r="BM448" s="3">
        <f t="shared" si="322"/>
        <v>33</v>
      </c>
      <c r="BN448" s="3">
        <f t="shared" si="323"/>
        <v>25</v>
      </c>
      <c r="BO448" s="3">
        <f t="shared" si="324"/>
        <v>42</v>
      </c>
    </row>
    <row r="449" spans="2:67">
      <c r="B449" s="606" t="s">
        <v>2651</v>
      </c>
      <c r="C449" s="607" t="s">
        <v>310</v>
      </c>
      <c r="D449" s="607" t="s">
        <v>2640</v>
      </c>
      <c r="E449" s="238" t="s">
        <v>125</v>
      </c>
      <c r="F449" s="592">
        <v>446</v>
      </c>
      <c r="G449" s="609">
        <v>5214</v>
      </c>
      <c r="H449" s="610">
        <v>7170</v>
      </c>
      <c r="I449" s="611">
        <v>3910</v>
      </c>
      <c r="J449" s="166">
        <f t="shared" si="312"/>
        <v>104</v>
      </c>
      <c r="K449" s="167">
        <f t="shared" si="313"/>
        <v>143</v>
      </c>
      <c r="L449" s="168">
        <f t="shared" si="314"/>
        <v>78</v>
      </c>
      <c r="M449" s="166">
        <f t="shared" si="315"/>
        <v>156</v>
      </c>
      <c r="N449" s="167">
        <f t="shared" si="316"/>
        <v>215</v>
      </c>
      <c r="O449" s="168">
        <f t="shared" si="317"/>
        <v>117</v>
      </c>
      <c r="P449" s="169">
        <f t="shared" si="318"/>
        <v>208</v>
      </c>
      <c r="Q449" s="169">
        <f t="shared" si="319"/>
        <v>286</v>
      </c>
      <c r="R449" s="169">
        <f t="shared" si="320"/>
        <v>156</v>
      </c>
      <c r="S449" s="584">
        <f t="shared" si="325"/>
        <v>1564</v>
      </c>
      <c r="T449" s="594">
        <f t="shared" si="326"/>
        <v>2151</v>
      </c>
      <c r="U449" s="595">
        <f t="shared" si="327"/>
        <v>1173</v>
      </c>
      <c r="V449" s="166">
        <f t="shared" si="328"/>
        <v>3228</v>
      </c>
      <c r="W449" s="167">
        <f t="shared" si="329"/>
        <v>4444</v>
      </c>
      <c r="X449" s="168">
        <f t="shared" si="330"/>
        <v>2421</v>
      </c>
      <c r="Y449" s="166">
        <f t="shared" si="331"/>
        <v>3644</v>
      </c>
      <c r="Z449" s="167">
        <f t="shared" si="332"/>
        <v>5016</v>
      </c>
      <c r="AA449" s="168">
        <f t="shared" si="333"/>
        <v>2733</v>
      </c>
      <c r="AB449" s="166">
        <f t="shared" si="334"/>
        <v>4060</v>
      </c>
      <c r="AC449" s="167">
        <f t="shared" si="335"/>
        <v>5588</v>
      </c>
      <c r="AD449" s="168">
        <f t="shared" si="336"/>
        <v>3045</v>
      </c>
      <c r="AE449" s="166">
        <f t="shared" si="337"/>
        <v>4476</v>
      </c>
      <c r="AF449" s="167">
        <f t="shared" si="338"/>
        <v>5874</v>
      </c>
      <c r="AG449" s="168">
        <f t="shared" si="339"/>
        <v>3357</v>
      </c>
      <c r="AH449" s="166">
        <f t="shared" si="340"/>
        <v>5100</v>
      </c>
      <c r="AI449" s="167">
        <f t="shared" si="341"/>
        <v>6446</v>
      </c>
      <c r="AJ449" s="168">
        <f t="shared" si="342"/>
        <v>3513</v>
      </c>
      <c r="AK449" s="169">
        <f t="shared" si="343"/>
        <v>5318</v>
      </c>
      <c r="AL449" s="167">
        <f t="shared" si="344"/>
        <v>7313</v>
      </c>
      <c r="AM449" s="585">
        <f t="shared" si="345"/>
        <v>3988</v>
      </c>
      <c r="AN449" s="614">
        <v>0.08</v>
      </c>
      <c r="AO449" s="615">
        <v>0.11</v>
      </c>
      <c r="AP449" s="615">
        <v>0.14000000000000001</v>
      </c>
      <c r="AQ449" s="616">
        <v>0.17</v>
      </c>
      <c r="AR449" s="612">
        <v>0.2</v>
      </c>
      <c r="AS449" s="617"/>
      <c r="AT449" s="618"/>
      <c r="AU449" s="618"/>
      <c r="AV449" s="618"/>
      <c r="AW449" s="619"/>
      <c r="AX449" s="614">
        <v>0.01</v>
      </c>
      <c r="AY449" s="616">
        <v>1.2999999999999999E-2</v>
      </c>
      <c r="AZ449" s="616">
        <v>1.6E-2</v>
      </c>
      <c r="BA449" s="616">
        <v>1.9E-2</v>
      </c>
      <c r="BB449" s="616">
        <v>2.1999999999999999E-2</v>
      </c>
      <c r="BC449" s="616"/>
      <c r="BD449" s="612"/>
      <c r="BE449" s="596"/>
      <c r="BF449" s="598"/>
      <c r="BG449" s="598"/>
      <c r="BH449" s="598"/>
      <c r="BI449" s="598"/>
      <c r="BJ449" s="598"/>
      <c r="BK449" s="605"/>
      <c r="BL449" s="658">
        <f t="shared" si="321"/>
        <v>16300</v>
      </c>
      <c r="BM449" s="3">
        <f t="shared" si="322"/>
        <v>32</v>
      </c>
      <c r="BN449" s="3">
        <f t="shared" si="323"/>
        <v>44</v>
      </c>
      <c r="BO449" s="3">
        <f t="shared" si="324"/>
        <v>24</v>
      </c>
    </row>
    <row r="450" spans="2:67">
      <c r="B450" s="606" t="s">
        <v>2654</v>
      </c>
      <c r="C450" s="607" t="s">
        <v>310</v>
      </c>
      <c r="D450" s="607" t="s">
        <v>2655</v>
      </c>
      <c r="E450" s="613" t="s">
        <v>125</v>
      </c>
      <c r="F450" s="608">
        <v>447</v>
      </c>
      <c r="G450" s="609">
        <v>5540</v>
      </c>
      <c r="H450" s="610">
        <v>4074</v>
      </c>
      <c r="I450" s="611">
        <v>6681</v>
      </c>
      <c r="J450" s="166">
        <f t="shared" si="312"/>
        <v>110</v>
      </c>
      <c r="K450" s="167">
        <f t="shared" si="313"/>
        <v>81</v>
      </c>
      <c r="L450" s="168">
        <f t="shared" si="314"/>
        <v>133</v>
      </c>
      <c r="M450" s="166">
        <f t="shared" si="315"/>
        <v>166</v>
      </c>
      <c r="N450" s="167">
        <f t="shared" si="316"/>
        <v>122</v>
      </c>
      <c r="O450" s="168">
        <f t="shared" si="317"/>
        <v>200</v>
      </c>
      <c r="P450" s="169">
        <f t="shared" si="318"/>
        <v>221</v>
      </c>
      <c r="Q450" s="169">
        <f t="shared" si="319"/>
        <v>163</v>
      </c>
      <c r="R450" s="169">
        <f t="shared" si="320"/>
        <v>267</v>
      </c>
      <c r="S450" s="584">
        <f t="shared" si="325"/>
        <v>1662</v>
      </c>
      <c r="T450" s="594">
        <f t="shared" si="326"/>
        <v>1222</v>
      </c>
      <c r="U450" s="595">
        <f t="shared" si="327"/>
        <v>2004</v>
      </c>
      <c r="V450" s="166">
        <f t="shared" si="328"/>
        <v>3432</v>
      </c>
      <c r="W450" s="167">
        <f t="shared" si="329"/>
        <v>2523</v>
      </c>
      <c r="X450" s="168">
        <f t="shared" si="330"/>
        <v>4137</v>
      </c>
      <c r="Y450" s="166">
        <f t="shared" si="331"/>
        <v>3874</v>
      </c>
      <c r="Z450" s="167">
        <f t="shared" si="332"/>
        <v>2849</v>
      </c>
      <c r="AA450" s="168">
        <f t="shared" si="333"/>
        <v>4671</v>
      </c>
      <c r="AB450" s="166">
        <f t="shared" si="334"/>
        <v>4316</v>
      </c>
      <c r="AC450" s="167">
        <f t="shared" si="335"/>
        <v>3175</v>
      </c>
      <c r="AD450" s="168">
        <f t="shared" si="336"/>
        <v>5205</v>
      </c>
      <c r="AE450" s="166">
        <f t="shared" si="337"/>
        <v>4758</v>
      </c>
      <c r="AF450" s="167">
        <f t="shared" si="338"/>
        <v>3338</v>
      </c>
      <c r="AG450" s="168">
        <f t="shared" si="339"/>
        <v>5739</v>
      </c>
      <c r="AH450" s="166">
        <f t="shared" si="340"/>
        <v>4979</v>
      </c>
      <c r="AI450" s="167">
        <f t="shared" si="341"/>
        <v>3664</v>
      </c>
      <c r="AJ450" s="168">
        <f t="shared" si="342"/>
        <v>6540</v>
      </c>
      <c r="AK450" s="169">
        <f t="shared" si="343"/>
        <v>5650</v>
      </c>
      <c r="AL450" s="167">
        <f t="shared" si="344"/>
        <v>4155</v>
      </c>
      <c r="AM450" s="585">
        <f t="shared" si="345"/>
        <v>6814</v>
      </c>
      <c r="AN450" s="614">
        <v>2.7E-2</v>
      </c>
      <c r="AO450" s="615">
        <v>2.9000000000000001E-2</v>
      </c>
      <c r="AP450" s="615">
        <v>3.1E-2</v>
      </c>
      <c r="AQ450" s="616">
        <v>3.3000000000000002E-2</v>
      </c>
      <c r="AR450" s="612">
        <v>3.5000000000000003E-2</v>
      </c>
      <c r="AS450" s="617"/>
      <c r="AT450" s="618"/>
      <c r="AU450" s="618"/>
      <c r="AV450" s="618"/>
      <c r="AW450" s="619"/>
      <c r="AX450" s="596">
        <v>0.02</v>
      </c>
      <c r="AY450" s="598">
        <v>2.3E-2</v>
      </c>
      <c r="AZ450" s="598">
        <v>2.5999999999999999E-2</v>
      </c>
      <c r="BA450" s="598">
        <v>2.9000000000000001E-2</v>
      </c>
      <c r="BB450" s="598">
        <v>3.2000000000000001E-2</v>
      </c>
      <c r="BC450" s="616"/>
      <c r="BD450" s="612"/>
      <c r="BE450" s="596"/>
      <c r="BF450" s="598"/>
      <c r="BG450" s="598"/>
      <c r="BH450" s="598"/>
      <c r="BI450" s="598"/>
      <c r="BJ450" s="598"/>
      <c r="BK450" s="605"/>
      <c r="BL450" s="658">
        <f t="shared" si="321"/>
        <v>16300</v>
      </c>
      <c r="BM450" s="3">
        <f t="shared" si="322"/>
        <v>34</v>
      </c>
      <c r="BN450" s="3">
        <f t="shared" si="323"/>
        <v>25</v>
      </c>
      <c r="BO450" s="3">
        <f t="shared" si="324"/>
        <v>41</v>
      </c>
    </row>
    <row r="451" spans="2:67">
      <c r="B451" s="1271" t="s">
        <v>2660</v>
      </c>
      <c r="C451" s="1069" t="s">
        <v>309</v>
      </c>
      <c r="D451" s="1069" t="s">
        <v>356</v>
      </c>
      <c r="E451" s="1268" t="s">
        <v>939</v>
      </c>
      <c r="F451" s="1070">
        <v>448</v>
      </c>
      <c r="G451" s="1071">
        <v>12284</v>
      </c>
      <c r="H451" s="1072">
        <v>5040</v>
      </c>
      <c r="I451" s="1073">
        <v>14173</v>
      </c>
      <c r="J451" s="166">
        <f t="shared" si="312"/>
        <v>245</v>
      </c>
      <c r="K451" s="167">
        <f t="shared" si="313"/>
        <v>100</v>
      </c>
      <c r="L451" s="168">
        <f t="shared" si="314"/>
        <v>283</v>
      </c>
      <c r="M451" s="166">
        <f t="shared" si="315"/>
        <v>307</v>
      </c>
      <c r="N451" s="167">
        <f t="shared" si="316"/>
        <v>126</v>
      </c>
      <c r="O451" s="168">
        <f t="shared" si="317"/>
        <v>354</v>
      </c>
      <c r="P451" s="169">
        <f t="shared" si="318"/>
        <v>460</v>
      </c>
      <c r="Q451" s="169">
        <f t="shared" si="319"/>
        <v>189</v>
      </c>
      <c r="R451" s="169">
        <f t="shared" si="320"/>
        <v>531</v>
      </c>
      <c r="S451" s="584">
        <f t="shared" si="325"/>
        <v>3071</v>
      </c>
      <c r="T451" s="594">
        <f t="shared" si="326"/>
        <v>1260</v>
      </c>
      <c r="U451" s="595">
        <f t="shared" si="327"/>
        <v>3543</v>
      </c>
      <c r="V451" s="166">
        <f t="shared" si="328"/>
        <v>7000</v>
      </c>
      <c r="W451" s="167">
        <f t="shared" si="329"/>
        <v>2872</v>
      </c>
      <c r="X451" s="168">
        <f t="shared" si="330"/>
        <v>8074</v>
      </c>
      <c r="Y451" s="166">
        <f t="shared" si="331"/>
        <v>7460</v>
      </c>
      <c r="Z451" s="167">
        <f t="shared" si="332"/>
        <v>3250</v>
      </c>
      <c r="AA451" s="168">
        <f t="shared" si="333"/>
        <v>9667</v>
      </c>
      <c r="AB451" s="166">
        <f t="shared" si="334"/>
        <v>8840</v>
      </c>
      <c r="AC451" s="167">
        <f t="shared" si="335"/>
        <v>3817</v>
      </c>
      <c r="AD451" s="168">
        <f t="shared" si="336"/>
        <v>10198</v>
      </c>
      <c r="AE451" s="166">
        <f t="shared" si="337"/>
        <v>10680</v>
      </c>
      <c r="AF451" s="167">
        <f t="shared" si="338"/>
        <v>4195</v>
      </c>
      <c r="AG451" s="168">
        <f t="shared" si="339"/>
        <v>11260</v>
      </c>
      <c r="AH451" s="166">
        <f t="shared" si="340"/>
        <v>11600</v>
      </c>
      <c r="AI451" s="167">
        <f t="shared" si="341"/>
        <v>4573</v>
      </c>
      <c r="AJ451" s="168">
        <f t="shared" si="342"/>
        <v>13384</v>
      </c>
      <c r="AK451" s="169">
        <f t="shared" si="343"/>
        <v>12529</v>
      </c>
      <c r="AL451" s="167">
        <f t="shared" si="344"/>
        <v>5140</v>
      </c>
      <c r="AM451" s="585">
        <f t="shared" si="345"/>
        <v>14456</v>
      </c>
      <c r="AN451" s="596">
        <v>0.18</v>
      </c>
      <c r="AO451" s="597">
        <v>0.185</v>
      </c>
      <c r="AP451" s="597">
        <v>0.19</v>
      </c>
      <c r="AQ451" s="598">
        <v>0.19500000000000001</v>
      </c>
      <c r="AR451" s="1132">
        <v>0.2</v>
      </c>
      <c r="AS451" s="1136"/>
      <c r="AT451" s="1137"/>
      <c r="AU451" s="1137"/>
      <c r="AV451" s="1137"/>
      <c r="AW451" s="1138"/>
      <c r="AX451" s="1133">
        <v>0.04</v>
      </c>
      <c r="AY451" s="1135">
        <v>4.2999999999999997E-2</v>
      </c>
      <c r="AZ451" s="1135">
        <v>4.5999999999999999E-2</v>
      </c>
      <c r="BA451" s="1135">
        <v>4.9000000000000002E-2</v>
      </c>
      <c r="BB451" s="1135">
        <v>5.1999999999999998E-2</v>
      </c>
      <c r="BC451" s="1135"/>
      <c r="BD451" s="1132"/>
      <c r="BE451" s="596"/>
      <c r="BF451" s="598"/>
      <c r="BG451" s="598"/>
      <c r="BH451" s="598"/>
      <c r="BI451" s="598"/>
      <c r="BJ451" s="598"/>
      <c r="BK451" s="605"/>
      <c r="BL451" s="658">
        <f t="shared" si="321"/>
        <v>31500</v>
      </c>
      <c r="BM451" s="3">
        <f t="shared" si="322"/>
        <v>39</v>
      </c>
      <c r="BN451" s="3">
        <f t="shared" si="323"/>
        <v>16</v>
      </c>
      <c r="BO451" s="3">
        <f t="shared" si="324"/>
        <v>45</v>
      </c>
    </row>
    <row r="452" spans="2:67">
      <c r="B452" s="1271" t="s">
        <v>2664</v>
      </c>
      <c r="C452" s="1069" t="s">
        <v>309</v>
      </c>
      <c r="D452" s="1069" t="s">
        <v>2665</v>
      </c>
      <c r="E452" s="1268" t="s">
        <v>939</v>
      </c>
      <c r="F452" s="1070">
        <v>449</v>
      </c>
      <c r="G452" s="1071">
        <v>12800</v>
      </c>
      <c r="H452" s="1072">
        <v>9600</v>
      </c>
      <c r="I452" s="1073">
        <v>9600</v>
      </c>
      <c r="J452" s="166">
        <f t="shared" si="312"/>
        <v>256</v>
      </c>
      <c r="K452" s="167">
        <f t="shared" si="313"/>
        <v>192</v>
      </c>
      <c r="L452" s="168">
        <f t="shared" si="314"/>
        <v>192</v>
      </c>
      <c r="M452" s="166">
        <f t="shared" si="315"/>
        <v>320</v>
      </c>
      <c r="N452" s="167">
        <f t="shared" si="316"/>
        <v>240</v>
      </c>
      <c r="O452" s="168">
        <f t="shared" si="317"/>
        <v>240</v>
      </c>
      <c r="P452" s="169">
        <f t="shared" si="318"/>
        <v>480</v>
      </c>
      <c r="Q452" s="169">
        <f t="shared" si="319"/>
        <v>360</v>
      </c>
      <c r="R452" s="169">
        <f t="shared" si="320"/>
        <v>360</v>
      </c>
      <c r="S452" s="584">
        <f t="shared" si="325"/>
        <v>3200</v>
      </c>
      <c r="T452" s="594">
        <f t="shared" si="326"/>
        <v>2400</v>
      </c>
      <c r="U452" s="595">
        <f t="shared" si="327"/>
        <v>2400</v>
      </c>
      <c r="V452" s="166">
        <f t="shared" si="328"/>
        <v>7296</v>
      </c>
      <c r="W452" s="167">
        <f t="shared" si="329"/>
        <v>5472</v>
      </c>
      <c r="X452" s="168">
        <f t="shared" si="330"/>
        <v>5472</v>
      </c>
      <c r="Y452" s="166">
        <f t="shared" si="331"/>
        <v>7776</v>
      </c>
      <c r="Z452" s="167">
        <f t="shared" si="332"/>
        <v>6552</v>
      </c>
      <c r="AA452" s="168">
        <f t="shared" si="333"/>
        <v>6192</v>
      </c>
      <c r="AB452" s="166">
        <f t="shared" si="334"/>
        <v>9216</v>
      </c>
      <c r="AC452" s="167">
        <f t="shared" si="335"/>
        <v>6912</v>
      </c>
      <c r="AD452" s="168">
        <f t="shared" si="336"/>
        <v>7272</v>
      </c>
      <c r="AE452" s="166">
        <f t="shared" si="337"/>
        <v>11136</v>
      </c>
      <c r="AF452" s="167">
        <f t="shared" si="338"/>
        <v>7632</v>
      </c>
      <c r="AG452" s="168">
        <f t="shared" si="339"/>
        <v>7992</v>
      </c>
      <c r="AH452" s="166">
        <f t="shared" si="340"/>
        <v>12096</v>
      </c>
      <c r="AI452" s="167">
        <f t="shared" si="341"/>
        <v>9072</v>
      </c>
      <c r="AJ452" s="168">
        <f t="shared" si="342"/>
        <v>8712</v>
      </c>
      <c r="AK452" s="169">
        <f t="shared" si="343"/>
        <v>13056</v>
      </c>
      <c r="AL452" s="167">
        <f t="shared" si="344"/>
        <v>9792</v>
      </c>
      <c r="AM452" s="585">
        <f t="shared" si="345"/>
        <v>9792</v>
      </c>
      <c r="AN452" s="596">
        <v>7.0000000000000007E-2</v>
      </c>
      <c r="AO452" s="597">
        <v>7.4999999999999997E-2</v>
      </c>
      <c r="AP452" s="597">
        <v>0.08</v>
      </c>
      <c r="AQ452" s="598">
        <v>8.5000000000000006E-2</v>
      </c>
      <c r="AR452" s="1132">
        <v>0.09</v>
      </c>
      <c r="AS452" s="1136"/>
      <c r="AT452" s="1137"/>
      <c r="AU452" s="1137"/>
      <c r="AV452" s="1137"/>
      <c r="AW452" s="1138"/>
      <c r="AX452" s="1133">
        <v>0.05</v>
      </c>
      <c r="AY452" s="1135">
        <v>5.5E-2</v>
      </c>
      <c r="AZ452" s="1135">
        <v>0.06</v>
      </c>
      <c r="BA452" s="1135">
        <v>6.5000000000000002E-2</v>
      </c>
      <c r="BB452" s="1135">
        <v>7.0000000000000007E-2</v>
      </c>
      <c r="BC452" s="1135"/>
      <c r="BD452" s="1132"/>
      <c r="BE452" s="596"/>
      <c r="BF452" s="598"/>
      <c r="BG452" s="598"/>
      <c r="BH452" s="598"/>
      <c r="BI452" s="598"/>
      <c r="BJ452" s="598"/>
      <c r="BK452" s="605"/>
      <c r="BL452" s="658">
        <f t="shared" si="321"/>
        <v>32000</v>
      </c>
      <c r="BM452" s="3">
        <f t="shared" si="322"/>
        <v>40</v>
      </c>
      <c r="BN452" s="3">
        <f t="shared" si="323"/>
        <v>30</v>
      </c>
      <c r="BO452" s="3">
        <f t="shared" si="324"/>
        <v>30</v>
      </c>
    </row>
    <row r="453" spans="2:67">
      <c r="B453" s="606" t="s">
        <v>2690</v>
      </c>
      <c r="C453" s="607" t="s">
        <v>310</v>
      </c>
      <c r="D453" s="607" t="s">
        <v>2668</v>
      </c>
      <c r="E453" s="613" t="s">
        <v>1150</v>
      </c>
      <c r="F453" s="592">
        <v>450</v>
      </c>
      <c r="G453" s="609">
        <v>5210</v>
      </c>
      <c r="H453" s="610">
        <v>7140</v>
      </c>
      <c r="I453" s="611">
        <v>6947</v>
      </c>
      <c r="J453" s="166">
        <f t="shared" si="312"/>
        <v>104</v>
      </c>
      <c r="K453" s="167">
        <f t="shared" si="313"/>
        <v>142</v>
      </c>
      <c r="L453" s="168">
        <f t="shared" si="314"/>
        <v>138</v>
      </c>
      <c r="M453" s="166">
        <f t="shared" si="315"/>
        <v>156</v>
      </c>
      <c r="N453" s="167">
        <f t="shared" si="316"/>
        <v>214</v>
      </c>
      <c r="O453" s="168">
        <f t="shared" si="317"/>
        <v>208</v>
      </c>
      <c r="P453" s="169">
        <f t="shared" si="318"/>
        <v>208</v>
      </c>
      <c r="Q453" s="169">
        <f t="shared" si="319"/>
        <v>285</v>
      </c>
      <c r="R453" s="169">
        <f t="shared" si="320"/>
        <v>277</v>
      </c>
      <c r="S453" s="584">
        <f t="shared" si="325"/>
        <v>1563</v>
      </c>
      <c r="T453" s="594">
        <f t="shared" si="326"/>
        <v>2142</v>
      </c>
      <c r="U453" s="595">
        <f t="shared" si="327"/>
        <v>2084</v>
      </c>
      <c r="V453" s="166">
        <f t="shared" si="328"/>
        <v>3227</v>
      </c>
      <c r="W453" s="167">
        <f t="shared" si="329"/>
        <v>4424</v>
      </c>
      <c r="X453" s="168">
        <f t="shared" si="330"/>
        <v>4302</v>
      </c>
      <c r="Y453" s="166">
        <f t="shared" si="331"/>
        <v>3643</v>
      </c>
      <c r="Z453" s="167">
        <f t="shared" si="332"/>
        <v>4994</v>
      </c>
      <c r="AA453" s="168">
        <f t="shared" si="333"/>
        <v>4856</v>
      </c>
      <c r="AB453" s="166">
        <f t="shared" si="334"/>
        <v>4059</v>
      </c>
      <c r="AC453" s="167">
        <f t="shared" si="335"/>
        <v>5564</v>
      </c>
      <c r="AD453" s="168">
        <f t="shared" si="336"/>
        <v>5410</v>
      </c>
      <c r="AE453" s="166">
        <f t="shared" si="337"/>
        <v>4475</v>
      </c>
      <c r="AF453" s="167">
        <f t="shared" si="338"/>
        <v>5849</v>
      </c>
      <c r="AG453" s="168">
        <f t="shared" si="339"/>
        <v>5964</v>
      </c>
      <c r="AH453" s="166">
        <f t="shared" si="340"/>
        <v>5099</v>
      </c>
      <c r="AI453" s="167">
        <f t="shared" si="341"/>
        <v>6419</v>
      </c>
      <c r="AJ453" s="168">
        <f t="shared" si="342"/>
        <v>6241</v>
      </c>
      <c r="AK453" s="169">
        <f t="shared" si="343"/>
        <v>5314</v>
      </c>
      <c r="AL453" s="167">
        <f t="shared" si="344"/>
        <v>7282</v>
      </c>
      <c r="AM453" s="585">
        <f t="shared" si="345"/>
        <v>7085</v>
      </c>
      <c r="AN453" s="614">
        <v>0.23</v>
      </c>
      <c r="AO453" s="615">
        <v>0.26</v>
      </c>
      <c r="AP453" s="615">
        <v>0.28999999999999998</v>
      </c>
      <c r="AQ453" s="616">
        <v>0.32</v>
      </c>
      <c r="AR453" s="612">
        <v>0.35</v>
      </c>
      <c r="AS453" s="617"/>
      <c r="AT453" s="618"/>
      <c r="AU453" s="618"/>
      <c r="AV453" s="618"/>
      <c r="AW453" s="619"/>
      <c r="AX453" s="596">
        <v>0.02</v>
      </c>
      <c r="AY453" s="598">
        <v>2.3E-2</v>
      </c>
      <c r="AZ453" s="598">
        <v>2.5999999999999999E-2</v>
      </c>
      <c r="BA453" s="598">
        <v>2.9000000000000001E-2</v>
      </c>
      <c r="BB453" s="598">
        <v>3.2000000000000001E-2</v>
      </c>
      <c r="BC453" s="616"/>
      <c r="BD453" s="612"/>
      <c r="BE453" s="596"/>
      <c r="BF453" s="598"/>
      <c r="BG453" s="598"/>
      <c r="BH453" s="598"/>
      <c r="BI453" s="598"/>
      <c r="BJ453" s="598"/>
      <c r="BK453" s="605"/>
      <c r="BL453" s="658">
        <f t="shared" si="321"/>
        <v>19300</v>
      </c>
      <c r="BM453" s="3">
        <f t="shared" si="322"/>
        <v>27</v>
      </c>
      <c r="BN453" s="3">
        <f t="shared" si="323"/>
        <v>37</v>
      </c>
      <c r="BO453" s="3">
        <f t="shared" si="324"/>
        <v>36</v>
      </c>
    </row>
    <row r="454" spans="2:67">
      <c r="B454" s="606" t="s">
        <v>2671</v>
      </c>
      <c r="C454" s="607" t="s">
        <v>310</v>
      </c>
      <c r="D454" s="607" t="s">
        <v>2665</v>
      </c>
      <c r="E454" s="613" t="s">
        <v>1150</v>
      </c>
      <c r="F454" s="608">
        <v>451</v>
      </c>
      <c r="G454" s="609">
        <v>6174</v>
      </c>
      <c r="H454" s="610">
        <v>4824</v>
      </c>
      <c r="I454" s="611">
        <v>8297</v>
      </c>
      <c r="J454" s="166">
        <f t="shared" si="312"/>
        <v>123</v>
      </c>
      <c r="K454" s="167">
        <f t="shared" si="313"/>
        <v>96</v>
      </c>
      <c r="L454" s="168">
        <f t="shared" si="314"/>
        <v>165</v>
      </c>
      <c r="M454" s="166">
        <f t="shared" si="315"/>
        <v>185</v>
      </c>
      <c r="N454" s="167">
        <f t="shared" si="316"/>
        <v>144</v>
      </c>
      <c r="O454" s="168">
        <f t="shared" si="317"/>
        <v>248</v>
      </c>
      <c r="P454" s="169">
        <f t="shared" si="318"/>
        <v>247</v>
      </c>
      <c r="Q454" s="169">
        <f t="shared" si="319"/>
        <v>193</v>
      </c>
      <c r="R454" s="169">
        <f t="shared" si="320"/>
        <v>331</v>
      </c>
      <c r="S454" s="584">
        <f t="shared" si="325"/>
        <v>1852</v>
      </c>
      <c r="T454" s="594">
        <f t="shared" si="326"/>
        <v>1447</v>
      </c>
      <c r="U454" s="595">
        <f t="shared" si="327"/>
        <v>2489</v>
      </c>
      <c r="V454" s="166">
        <f t="shared" si="328"/>
        <v>3825</v>
      </c>
      <c r="W454" s="167">
        <f t="shared" si="329"/>
        <v>2983</v>
      </c>
      <c r="X454" s="168">
        <f t="shared" si="330"/>
        <v>5134</v>
      </c>
      <c r="Y454" s="166">
        <f t="shared" si="331"/>
        <v>4319</v>
      </c>
      <c r="Z454" s="167">
        <f t="shared" si="332"/>
        <v>3369</v>
      </c>
      <c r="AA454" s="168">
        <f t="shared" si="333"/>
        <v>5796</v>
      </c>
      <c r="AB454" s="166">
        <f t="shared" si="334"/>
        <v>4813</v>
      </c>
      <c r="AC454" s="167">
        <f t="shared" si="335"/>
        <v>3755</v>
      </c>
      <c r="AD454" s="168">
        <f t="shared" si="336"/>
        <v>6458</v>
      </c>
      <c r="AE454" s="166">
        <f t="shared" si="337"/>
        <v>5307</v>
      </c>
      <c r="AF454" s="167">
        <f t="shared" si="338"/>
        <v>4141</v>
      </c>
      <c r="AG454" s="168">
        <f t="shared" si="339"/>
        <v>6789</v>
      </c>
      <c r="AH454" s="166">
        <f t="shared" si="340"/>
        <v>5554</v>
      </c>
      <c r="AI454" s="167">
        <f t="shared" si="341"/>
        <v>4720</v>
      </c>
      <c r="AJ454" s="168">
        <f t="shared" si="342"/>
        <v>7451</v>
      </c>
      <c r="AK454" s="169">
        <f t="shared" si="343"/>
        <v>6297</v>
      </c>
      <c r="AL454" s="167">
        <f t="shared" si="344"/>
        <v>4920</v>
      </c>
      <c r="AM454" s="585">
        <f t="shared" si="345"/>
        <v>8462</v>
      </c>
      <c r="AN454" s="614">
        <v>0.05</v>
      </c>
      <c r="AO454" s="615">
        <v>5.5E-2</v>
      </c>
      <c r="AP454" s="615">
        <v>0.06</v>
      </c>
      <c r="AQ454" s="616">
        <v>6.5000000000000002E-2</v>
      </c>
      <c r="AR454" s="612">
        <v>7.0000000000000007E-2</v>
      </c>
      <c r="AS454" s="617"/>
      <c r="AT454" s="618"/>
      <c r="AU454" s="618"/>
      <c r="AV454" s="618"/>
      <c r="AW454" s="619"/>
      <c r="AX454" s="596">
        <v>0.02</v>
      </c>
      <c r="AY454" s="598">
        <v>2.3E-2</v>
      </c>
      <c r="AZ454" s="598">
        <v>2.5999999999999999E-2</v>
      </c>
      <c r="BA454" s="598">
        <v>2.9000000000000001E-2</v>
      </c>
      <c r="BB454" s="598">
        <v>3.2000000000000001E-2</v>
      </c>
      <c r="BC454" s="616"/>
      <c r="BD454" s="612"/>
      <c r="BE454" s="596"/>
      <c r="BF454" s="598"/>
      <c r="BG454" s="598"/>
      <c r="BH454" s="598"/>
      <c r="BI454" s="598"/>
      <c r="BJ454" s="598"/>
      <c r="BK454" s="605"/>
      <c r="BL454" s="658">
        <f t="shared" si="321"/>
        <v>19300</v>
      </c>
      <c r="BM454" s="3">
        <f t="shared" si="322"/>
        <v>32</v>
      </c>
      <c r="BN454" s="3">
        <f t="shared" si="323"/>
        <v>25</v>
      </c>
      <c r="BO454" s="3">
        <f t="shared" si="324"/>
        <v>43</v>
      </c>
    </row>
    <row r="455" spans="2:67">
      <c r="B455" s="1271" t="s">
        <v>2688</v>
      </c>
      <c r="C455" s="1069" t="s">
        <v>309</v>
      </c>
      <c r="D455" s="1069" t="s">
        <v>2680</v>
      </c>
      <c r="E455" s="1267" t="s">
        <v>1150</v>
      </c>
      <c r="F455" s="592">
        <v>452</v>
      </c>
      <c r="G455" s="1071">
        <v>11024</v>
      </c>
      <c r="H455" s="1072">
        <v>8189</v>
      </c>
      <c r="I455" s="1073">
        <v>12284</v>
      </c>
      <c r="J455" s="166">
        <f t="shared" ref="J455:J518" si="346">INT(G455/50+0.05)</f>
        <v>220</v>
      </c>
      <c r="K455" s="167">
        <f t="shared" ref="K455:K518" si="347">INT(H455/50+0.05)</f>
        <v>163</v>
      </c>
      <c r="L455" s="168">
        <f t="shared" ref="L455:L518" si="348">INT(I455/50+0.05)</f>
        <v>245</v>
      </c>
      <c r="M455" s="166">
        <f t="shared" ref="M455:M518" si="349">INT(IF($C455="UR",IF($E455="party卡",G455*0.0270833333333333,G455*0.025),0)+IF($C455="SR",G455*0.03,0)+IF($C455="R",G455*0.0375,0)+0.05)</f>
        <v>275</v>
      </c>
      <c r="N455" s="167">
        <f t="shared" ref="N455:N518" si="350">INT(IF($C455="UR",IF($E455="party卡",H455*0.0270833333333333,H455*0.025),0)+IF($C455="SR",H455*0.03,0)+IF($C455="R",H455*0.0375,0)+0.05)</f>
        <v>204</v>
      </c>
      <c r="O455" s="168">
        <f t="shared" ref="O455:O518" si="351">INT(IF($C455="UR",IF($E455="party卡",I455*0.0270833333333333,I455*0.025),0)+IF($C455="SR",I455*0.03,0)+IF($C455="R",I455*0.0375,0)+0.05)</f>
        <v>307</v>
      </c>
      <c r="P455" s="169">
        <f t="shared" ref="P455:P518" si="352">INT(IF($C455="UR",IF($E455="party卡",G455*0.04375,G455*0.0375),0)+IF($C455="SR",G455*0.04,0)+IF($C455="R",G455*0.05,0)+0.05)</f>
        <v>413</v>
      </c>
      <c r="Q455" s="169">
        <f t="shared" ref="Q455:Q518" si="353">INT(IF($C455="UR",IF($E455="party卡",H455*0.04375,H455*0.0375),0)+IF($C455="SR",H455*0.04,0)+IF($C455="R",H455*0.05,0)+0.05)</f>
        <v>307</v>
      </c>
      <c r="R455" s="169">
        <f t="shared" ref="R455:R518" si="354">INT(IF($C455="UR",IF($E455="party卡",I455*0.04375,I455*0.0375),0)+IF($C455="SR",I455*0.04,0)+IF($C455="R",I455*0.05,0)+0.05)</f>
        <v>460</v>
      </c>
      <c r="S455" s="584">
        <f t="shared" si="325"/>
        <v>2756</v>
      </c>
      <c r="T455" s="594">
        <f t="shared" si="326"/>
        <v>2047</v>
      </c>
      <c r="U455" s="595">
        <f t="shared" si="327"/>
        <v>3071</v>
      </c>
      <c r="V455" s="166">
        <f t="shared" si="328"/>
        <v>6276</v>
      </c>
      <c r="W455" s="167">
        <f t="shared" si="329"/>
        <v>4658</v>
      </c>
      <c r="X455" s="168">
        <f t="shared" si="330"/>
        <v>7000</v>
      </c>
      <c r="Y455" s="166">
        <f t="shared" si="331"/>
        <v>7515</v>
      </c>
      <c r="Z455" s="167">
        <f t="shared" si="332"/>
        <v>5272</v>
      </c>
      <c r="AA455" s="168">
        <f t="shared" si="333"/>
        <v>7460</v>
      </c>
      <c r="AB455" s="166">
        <f t="shared" si="334"/>
        <v>7928</v>
      </c>
      <c r="AC455" s="167">
        <f t="shared" si="335"/>
        <v>6193</v>
      </c>
      <c r="AD455" s="168">
        <f t="shared" si="336"/>
        <v>8840</v>
      </c>
      <c r="AE455" s="166">
        <f t="shared" si="337"/>
        <v>8754</v>
      </c>
      <c r="AF455" s="167">
        <f t="shared" si="338"/>
        <v>6807</v>
      </c>
      <c r="AG455" s="168">
        <f t="shared" si="339"/>
        <v>10680</v>
      </c>
      <c r="AH455" s="166">
        <f t="shared" si="340"/>
        <v>10406</v>
      </c>
      <c r="AI455" s="167">
        <f t="shared" si="341"/>
        <v>7421</v>
      </c>
      <c r="AJ455" s="168">
        <f t="shared" si="342"/>
        <v>11600</v>
      </c>
      <c r="AK455" s="169">
        <f t="shared" si="343"/>
        <v>11244</v>
      </c>
      <c r="AL455" s="167">
        <f t="shared" si="344"/>
        <v>8352</v>
      </c>
      <c r="AM455" s="585">
        <f t="shared" si="345"/>
        <v>12529</v>
      </c>
      <c r="AN455" s="1133">
        <v>0.2</v>
      </c>
      <c r="AO455" s="1134">
        <v>0.23</v>
      </c>
      <c r="AP455" s="1134">
        <v>0.26</v>
      </c>
      <c r="AQ455" s="1135">
        <v>0.28999999999999998</v>
      </c>
      <c r="AR455" s="1132">
        <v>0.32</v>
      </c>
      <c r="AS455" s="1136"/>
      <c r="AT455" s="1137"/>
      <c r="AU455" s="1137"/>
      <c r="AV455" s="1137"/>
      <c r="AW455" s="1138"/>
      <c r="AX455" s="1133">
        <v>0.04</v>
      </c>
      <c r="AY455" s="1135">
        <v>4.2999999999999997E-2</v>
      </c>
      <c r="AZ455" s="1135">
        <v>4.5999999999999999E-2</v>
      </c>
      <c r="BA455" s="1135">
        <v>4.9000000000000002E-2</v>
      </c>
      <c r="BB455" s="1135">
        <v>5.1999999999999998E-2</v>
      </c>
      <c r="BC455" s="1135"/>
      <c r="BD455" s="1132"/>
      <c r="BE455" s="596"/>
      <c r="BF455" s="598"/>
      <c r="BG455" s="598"/>
      <c r="BH455" s="598"/>
      <c r="BI455" s="598"/>
      <c r="BJ455" s="598"/>
      <c r="BK455" s="605"/>
      <c r="BL455" s="658">
        <f t="shared" ref="BL455:BL518" si="355">ROUND(($G455+$H455+$I455)/50,0)*50</f>
        <v>31500</v>
      </c>
      <c r="BM455" s="3">
        <f t="shared" ref="BM455:BM518" si="356">ROUND(100*G455/($G455+$H455+$I455),0)</f>
        <v>35</v>
      </c>
      <c r="BN455" s="3">
        <f t="shared" ref="BN455:BN518" si="357">ROUND(100*H455/($G455+$H455+$I455),0)</f>
        <v>26</v>
      </c>
      <c r="BO455" s="3">
        <f t="shared" ref="BO455:BO518" si="358">ROUND(100*I455/($G455+$H455+$I455),0)</f>
        <v>39</v>
      </c>
    </row>
    <row r="456" spans="2:67">
      <c r="B456" s="606" t="s">
        <v>2692</v>
      </c>
      <c r="C456" s="607" t="s">
        <v>310</v>
      </c>
      <c r="D456" s="607" t="s">
        <v>2680</v>
      </c>
      <c r="E456" s="238" t="s">
        <v>1150</v>
      </c>
      <c r="F456" s="608">
        <v>453</v>
      </c>
      <c r="G456" s="609">
        <v>6367</v>
      </c>
      <c r="H456" s="610">
        <v>7526</v>
      </c>
      <c r="I456" s="611">
        <v>5403</v>
      </c>
      <c r="J456" s="166">
        <f t="shared" si="346"/>
        <v>127</v>
      </c>
      <c r="K456" s="167">
        <f t="shared" si="347"/>
        <v>150</v>
      </c>
      <c r="L456" s="168">
        <f t="shared" si="348"/>
        <v>108</v>
      </c>
      <c r="M456" s="166">
        <f t="shared" si="349"/>
        <v>191</v>
      </c>
      <c r="N456" s="167">
        <f t="shared" si="350"/>
        <v>225</v>
      </c>
      <c r="O456" s="168">
        <f t="shared" si="351"/>
        <v>162</v>
      </c>
      <c r="P456" s="169">
        <f t="shared" si="352"/>
        <v>254</v>
      </c>
      <c r="Q456" s="169">
        <f t="shared" si="353"/>
        <v>301</v>
      </c>
      <c r="R456" s="169">
        <f t="shared" si="354"/>
        <v>216</v>
      </c>
      <c r="S456" s="584">
        <f t="shared" si="325"/>
        <v>1910</v>
      </c>
      <c r="T456" s="594">
        <f t="shared" si="326"/>
        <v>2258</v>
      </c>
      <c r="U456" s="595">
        <f t="shared" si="327"/>
        <v>1621</v>
      </c>
      <c r="V456" s="166">
        <f t="shared" si="328"/>
        <v>3947</v>
      </c>
      <c r="W456" s="167">
        <f t="shared" si="329"/>
        <v>4658</v>
      </c>
      <c r="X456" s="168">
        <f t="shared" si="330"/>
        <v>3349</v>
      </c>
      <c r="Y456" s="166">
        <f t="shared" si="331"/>
        <v>4455</v>
      </c>
      <c r="Z456" s="167">
        <f t="shared" si="332"/>
        <v>5260</v>
      </c>
      <c r="AA456" s="168">
        <f t="shared" si="333"/>
        <v>3781</v>
      </c>
      <c r="AB456" s="166">
        <f t="shared" si="334"/>
        <v>4963</v>
      </c>
      <c r="AC456" s="167">
        <f t="shared" si="335"/>
        <v>5862</v>
      </c>
      <c r="AD456" s="168">
        <f t="shared" si="336"/>
        <v>4213</v>
      </c>
      <c r="AE456" s="166">
        <f t="shared" si="337"/>
        <v>5471</v>
      </c>
      <c r="AF456" s="167">
        <f t="shared" si="338"/>
        <v>6163</v>
      </c>
      <c r="AG456" s="168">
        <f t="shared" si="339"/>
        <v>4645</v>
      </c>
      <c r="AH456" s="166">
        <f t="shared" si="340"/>
        <v>6233</v>
      </c>
      <c r="AI456" s="167">
        <f t="shared" si="341"/>
        <v>6765</v>
      </c>
      <c r="AJ456" s="168">
        <f t="shared" si="342"/>
        <v>4861</v>
      </c>
      <c r="AK456" s="169">
        <f t="shared" si="343"/>
        <v>6494</v>
      </c>
      <c r="AL456" s="167">
        <f t="shared" si="344"/>
        <v>7676</v>
      </c>
      <c r="AM456" s="585">
        <f t="shared" si="345"/>
        <v>5511</v>
      </c>
      <c r="AN456" s="614">
        <v>0.2</v>
      </c>
      <c r="AO456" s="615">
        <v>0.23</v>
      </c>
      <c r="AP456" s="615">
        <v>0.26</v>
      </c>
      <c r="AQ456" s="616">
        <v>0.28999999999999998</v>
      </c>
      <c r="AR456" s="612">
        <v>0.32</v>
      </c>
      <c r="AS456" s="617"/>
      <c r="AT456" s="618"/>
      <c r="AU456" s="618"/>
      <c r="AV456" s="618"/>
      <c r="AW456" s="619"/>
      <c r="AX456" s="596">
        <v>0.02</v>
      </c>
      <c r="AY456" s="598">
        <v>2.3E-2</v>
      </c>
      <c r="AZ456" s="598">
        <v>2.5999999999999999E-2</v>
      </c>
      <c r="BA456" s="598">
        <v>2.9000000000000001E-2</v>
      </c>
      <c r="BB456" s="598">
        <v>3.2000000000000001E-2</v>
      </c>
      <c r="BC456" s="616"/>
      <c r="BD456" s="612"/>
      <c r="BE456" s="596"/>
      <c r="BF456" s="598"/>
      <c r="BG456" s="598"/>
      <c r="BH456" s="598"/>
      <c r="BI456" s="598"/>
      <c r="BJ456" s="598"/>
      <c r="BK456" s="605"/>
      <c r="BL456" s="658">
        <f t="shared" si="355"/>
        <v>19300</v>
      </c>
      <c r="BM456" s="3">
        <f t="shared" si="356"/>
        <v>33</v>
      </c>
      <c r="BN456" s="3">
        <f t="shared" si="357"/>
        <v>39</v>
      </c>
      <c r="BO456" s="3">
        <f t="shared" si="358"/>
        <v>28</v>
      </c>
    </row>
    <row r="457" spans="2:67">
      <c r="B457" s="1271" t="s">
        <v>2689</v>
      </c>
      <c r="C457" s="1069" t="s">
        <v>309</v>
      </c>
      <c r="D457" s="1069" t="s">
        <v>2683</v>
      </c>
      <c r="E457" s="1268" t="s">
        <v>1150</v>
      </c>
      <c r="F457" s="592">
        <v>454</v>
      </c>
      <c r="G457" s="1071">
        <v>13949</v>
      </c>
      <c r="H457" s="1072">
        <v>4029</v>
      </c>
      <c r="I457" s="1073">
        <v>13020</v>
      </c>
      <c r="J457" s="166">
        <f t="shared" si="346"/>
        <v>279</v>
      </c>
      <c r="K457" s="167">
        <f t="shared" si="347"/>
        <v>80</v>
      </c>
      <c r="L457" s="168">
        <f t="shared" si="348"/>
        <v>260</v>
      </c>
      <c r="M457" s="166">
        <f t="shared" si="349"/>
        <v>348</v>
      </c>
      <c r="N457" s="167">
        <f t="shared" si="350"/>
        <v>100</v>
      </c>
      <c r="O457" s="168">
        <f t="shared" si="351"/>
        <v>325</v>
      </c>
      <c r="P457" s="169">
        <f t="shared" si="352"/>
        <v>523</v>
      </c>
      <c r="Q457" s="169">
        <f t="shared" si="353"/>
        <v>151</v>
      </c>
      <c r="R457" s="169">
        <f t="shared" si="354"/>
        <v>488</v>
      </c>
      <c r="S457" s="584">
        <f t="shared" si="325"/>
        <v>3487</v>
      </c>
      <c r="T457" s="594">
        <f t="shared" si="326"/>
        <v>1007</v>
      </c>
      <c r="U457" s="595">
        <f t="shared" si="327"/>
        <v>3255</v>
      </c>
      <c r="V457" s="166">
        <f t="shared" si="328"/>
        <v>7942</v>
      </c>
      <c r="W457" s="167">
        <f t="shared" si="329"/>
        <v>2287</v>
      </c>
      <c r="X457" s="168">
        <f t="shared" si="330"/>
        <v>7415</v>
      </c>
      <c r="Y457" s="166">
        <f t="shared" si="331"/>
        <v>8988</v>
      </c>
      <c r="Z457" s="167">
        <f t="shared" si="332"/>
        <v>2438</v>
      </c>
      <c r="AA457" s="168">
        <f t="shared" si="333"/>
        <v>8879</v>
      </c>
      <c r="AB457" s="166">
        <f t="shared" si="334"/>
        <v>10557</v>
      </c>
      <c r="AC457" s="167">
        <f t="shared" si="335"/>
        <v>2891</v>
      </c>
      <c r="AD457" s="168">
        <f t="shared" si="336"/>
        <v>9367</v>
      </c>
      <c r="AE457" s="166">
        <f t="shared" si="337"/>
        <v>11603</v>
      </c>
      <c r="AF457" s="167">
        <f t="shared" si="338"/>
        <v>3495</v>
      </c>
      <c r="AG457" s="168">
        <f t="shared" si="339"/>
        <v>10343</v>
      </c>
      <c r="AH457" s="166">
        <f t="shared" si="340"/>
        <v>12649</v>
      </c>
      <c r="AI457" s="167">
        <f t="shared" si="341"/>
        <v>3797</v>
      </c>
      <c r="AJ457" s="168">
        <f t="shared" si="342"/>
        <v>12295</v>
      </c>
      <c r="AK457" s="169">
        <f t="shared" si="343"/>
        <v>14228</v>
      </c>
      <c r="AL457" s="167">
        <f t="shared" si="344"/>
        <v>4109</v>
      </c>
      <c r="AM457" s="585">
        <f t="shared" si="345"/>
        <v>13280</v>
      </c>
      <c r="AN457" s="1133">
        <v>8.7999999999999995E-2</v>
      </c>
      <c r="AO457" s="1134">
        <v>9.0999999999999998E-2</v>
      </c>
      <c r="AP457" s="1134">
        <v>9.4E-2</v>
      </c>
      <c r="AQ457" s="1135">
        <v>9.7000000000000003E-2</v>
      </c>
      <c r="AR457" s="1132">
        <v>0.1</v>
      </c>
      <c r="AS457" s="1136"/>
      <c r="AT457" s="1137"/>
      <c r="AU457" s="1137"/>
      <c r="AV457" s="1137"/>
      <c r="AW457" s="1138"/>
      <c r="AX457" s="1133">
        <v>0.04</v>
      </c>
      <c r="AY457" s="1135">
        <v>4.2999999999999997E-2</v>
      </c>
      <c r="AZ457" s="1135">
        <v>4.5999999999999999E-2</v>
      </c>
      <c r="BA457" s="1135">
        <v>4.9000000000000002E-2</v>
      </c>
      <c r="BB457" s="1135">
        <v>5.1999999999999998E-2</v>
      </c>
      <c r="BC457" s="1135"/>
      <c r="BD457" s="1132"/>
      <c r="BE457" s="596"/>
      <c r="BF457" s="598"/>
      <c r="BG457" s="598"/>
      <c r="BH457" s="598"/>
      <c r="BI457" s="598"/>
      <c r="BJ457" s="598"/>
      <c r="BK457" s="605"/>
      <c r="BL457" s="658">
        <f t="shared" si="355"/>
        <v>31000</v>
      </c>
      <c r="BM457" s="3">
        <f t="shared" si="356"/>
        <v>45</v>
      </c>
      <c r="BN457" s="3">
        <f t="shared" si="357"/>
        <v>13</v>
      </c>
      <c r="BO457" s="3">
        <f t="shared" si="358"/>
        <v>42</v>
      </c>
    </row>
    <row r="458" spans="2:67">
      <c r="B458" s="1271" t="s">
        <v>2695</v>
      </c>
      <c r="C458" s="1069" t="s">
        <v>309</v>
      </c>
      <c r="D458" s="1069" t="s">
        <v>2696</v>
      </c>
      <c r="E458" s="238" t="s">
        <v>125</v>
      </c>
      <c r="F458" s="1070">
        <v>455</v>
      </c>
      <c r="G458" s="1071">
        <v>10333</v>
      </c>
      <c r="H458" s="1072">
        <v>7153</v>
      </c>
      <c r="I458" s="1073">
        <v>9009</v>
      </c>
      <c r="J458" s="166">
        <f t="shared" si="346"/>
        <v>206</v>
      </c>
      <c r="K458" s="167">
        <f t="shared" si="347"/>
        <v>143</v>
      </c>
      <c r="L458" s="168">
        <f t="shared" si="348"/>
        <v>180</v>
      </c>
      <c r="M458" s="166">
        <f t="shared" si="349"/>
        <v>258</v>
      </c>
      <c r="N458" s="167">
        <f t="shared" si="350"/>
        <v>178</v>
      </c>
      <c r="O458" s="168">
        <f t="shared" si="351"/>
        <v>225</v>
      </c>
      <c r="P458" s="169">
        <f t="shared" si="352"/>
        <v>387</v>
      </c>
      <c r="Q458" s="169">
        <f t="shared" si="353"/>
        <v>268</v>
      </c>
      <c r="R458" s="169">
        <f t="shared" si="354"/>
        <v>337</v>
      </c>
      <c r="S458" s="584">
        <f t="shared" si="325"/>
        <v>2583</v>
      </c>
      <c r="T458" s="594">
        <f t="shared" si="326"/>
        <v>1788</v>
      </c>
      <c r="U458" s="595">
        <f t="shared" si="327"/>
        <v>2252</v>
      </c>
      <c r="V458" s="166">
        <f t="shared" si="328"/>
        <v>5885</v>
      </c>
      <c r="W458" s="167">
        <f t="shared" si="329"/>
        <v>4067</v>
      </c>
      <c r="X458" s="168">
        <f t="shared" si="330"/>
        <v>5132</v>
      </c>
      <c r="Y458" s="166">
        <f t="shared" si="331"/>
        <v>6272</v>
      </c>
      <c r="Z458" s="167">
        <f t="shared" si="332"/>
        <v>4603</v>
      </c>
      <c r="AA458" s="168">
        <f t="shared" si="333"/>
        <v>6143</v>
      </c>
      <c r="AB458" s="166">
        <f t="shared" si="334"/>
        <v>7433</v>
      </c>
      <c r="AC458" s="167">
        <f t="shared" si="335"/>
        <v>5407</v>
      </c>
      <c r="AD458" s="168">
        <f t="shared" si="336"/>
        <v>6480</v>
      </c>
      <c r="AE458" s="166">
        <f t="shared" si="337"/>
        <v>8981</v>
      </c>
      <c r="AF458" s="167">
        <f t="shared" si="338"/>
        <v>5943</v>
      </c>
      <c r="AG458" s="168">
        <f t="shared" si="339"/>
        <v>7154</v>
      </c>
      <c r="AH458" s="166">
        <f t="shared" si="340"/>
        <v>9755</v>
      </c>
      <c r="AI458" s="167">
        <f t="shared" si="341"/>
        <v>6479</v>
      </c>
      <c r="AJ458" s="168">
        <f t="shared" si="342"/>
        <v>8502</v>
      </c>
      <c r="AK458" s="169">
        <f t="shared" si="343"/>
        <v>10539</v>
      </c>
      <c r="AL458" s="167">
        <f t="shared" si="344"/>
        <v>7296</v>
      </c>
      <c r="AM458" s="585">
        <f t="shared" si="345"/>
        <v>9189</v>
      </c>
      <c r="AN458" s="1133">
        <v>6.4000000000000001E-2</v>
      </c>
      <c r="AO458" s="1134">
        <v>6.7000000000000004E-2</v>
      </c>
      <c r="AP458" s="1134">
        <v>7.0000000000000007E-2</v>
      </c>
      <c r="AQ458" s="1135">
        <v>7.2999999999999995E-2</v>
      </c>
      <c r="AR458" s="1132">
        <v>7.5999999999999998E-2</v>
      </c>
      <c r="AS458" s="1136"/>
      <c r="AT458" s="1137"/>
      <c r="AU458" s="1137"/>
      <c r="AV458" s="1137"/>
      <c r="AW458" s="1138"/>
      <c r="AX458" s="1133">
        <v>0.04</v>
      </c>
      <c r="AY458" s="1135">
        <v>4.2999999999999997E-2</v>
      </c>
      <c r="AZ458" s="1135">
        <v>4.5999999999999999E-2</v>
      </c>
      <c r="BA458" s="1135">
        <v>4.9000000000000002E-2</v>
      </c>
      <c r="BB458" s="1135">
        <v>5.1999999999999998E-2</v>
      </c>
      <c r="BC458" s="1135"/>
      <c r="BD458" s="1132"/>
      <c r="BE458" s="596"/>
      <c r="BF458" s="598"/>
      <c r="BG458" s="598"/>
      <c r="BH458" s="598"/>
      <c r="BI458" s="598"/>
      <c r="BJ458" s="598"/>
      <c r="BK458" s="605"/>
      <c r="BL458" s="658">
        <f t="shared" si="355"/>
        <v>26500</v>
      </c>
      <c r="BM458" s="3">
        <f t="shared" si="356"/>
        <v>39</v>
      </c>
      <c r="BN458" s="3">
        <f t="shared" si="357"/>
        <v>27</v>
      </c>
      <c r="BO458" s="3">
        <f t="shared" si="358"/>
        <v>34</v>
      </c>
    </row>
    <row r="459" spans="2:67">
      <c r="B459" s="606" t="s">
        <v>2699</v>
      </c>
      <c r="C459" s="607" t="s">
        <v>310</v>
      </c>
      <c r="D459" s="607" t="s">
        <v>2683</v>
      </c>
      <c r="E459" s="238" t="s">
        <v>125</v>
      </c>
      <c r="F459" s="592">
        <v>456</v>
      </c>
      <c r="G459" s="609">
        <v>6844</v>
      </c>
      <c r="H459" s="610">
        <v>4074</v>
      </c>
      <c r="I459" s="611">
        <v>5377</v>
      </c>
      <c r="J459" s="166">
        <f t="shared" si="346"/>
        <v>136</v>
      </c>
      <c r="K459" s="167">
        <f t="shared" si="347"/>
        <v>81</v>
      </c>
      <c r="L459" s="168">
        <f t="shared" si="348"/>
        <v>107</v>
      </c>
      <c r="M459" s="166">
        <f t="shared" si="349"/>
        <v>205</v>
      </c>
      <c r="N459" s="167">
        <f t="shared" si="350"/>
        <v>122</v>
      </c>
      <c r="O459" s="168">
        <f t="shared" si="351"/>
        <v>161</v>
      </c>
      <c r="P459" s="169">
        <f t="shared" si="352"/>
        <v>273</v>
      </c>
      <c r="Q459" s="169">
        <f t="shared" si="353"/>
        <v>163</v>
      </c>
      <c r="R459" s="169">
        <f t="shared" si="354"/>
        <v>215</v>
      </c>
      <c r="S459" s="584">
        <f t="shared" si="325"/>
        <v>2053</v>
      </c>
      <c r="T459" s="594">
        <f t="shared" si="326"/>
        <v>1222</v>
      </c>
      <c r="U459" s="595">
        <f t="shared" si="327"/>
        <v>1613</v>
      </c>
      <c r="V459" s="166">
        <f t="shared" si="328"/>
        <v>4239</v>
      </c>
      <c r="W459" s="167">
        <f t="shared" si="329"/>
        <v>2523</v>
      </c>
      <c r="X459" s="168">
        <f t="shared" si="330"/>
        <v>3330</v>
      </c>
      <c r="Y459" s="166">
        <f t="shared" si="331"/>
        <v>4785</v>
      </c>
      <c r="Z459" s="167">
        <f t="shared" si="332"/>
        <v>2849</v>
      </c>
      <c r="AA459" s="168">
        <f t="shared" si="333"/>
        <v>3760</v>
      </c>
      <c r="AB459" s="166">
        <f t="shared" si="334"/>
        <v>5331</v>
      </c>
      <c r="AC459" s="167">
        <f t="shared" si="335"/>
        <v>3175</v>
      </c>
      <c r="AD459" s="168">
        <f t="shared" si="336"/>
        <v>4190</v>
      </c>
      <c r="AE459" s="166">
        <f t="shared" si="337"/>
        <v>5604</v>
      </c>
      <c r="AF459" s="167">
        <f t="shared" si="338"/>
        <v>3501</v>
      </c>
      <c r="AG459" s="168">
        <f t="shared" si="339"/>
        <v>4620</v>
      </c>
      <c r="AH459" s="166">
        <f t="shared" si="340"/>
        <v>6150</v>
      </c>
      <c r="AI459" s="167">
        <f t="shared" si="341"/>
        <v>3664</v>
      </c>
      <c r="AJ459" s="168">
        <f t="shared" si="342"/>
        <v>5265</v>
      </c>
      <c r="AK459" s="169">
        <f t="shared" si="343"/>
        <v>6980</v>
      </c>
      <c r="AL459" s="167">
        <f t="shared" si="344"/>
        <v>4155</v>
      </c>
      <c r="AM459" s="585">
        <f t="shared" si="345"/>
        <v>5484</v>
      </c>
      <c r="AN459" s="614">
        <v>0.25</v>
      </c>
      <c r="AO459" s="615">
        <v>0.28000000000000003</v>
      </c>
      <c r="AP459" s="615">
        <v>0.31</v>
      </c>
      <c r="AQ459" s="616">
        <v>0.34</v>
      </c>
      <c r="AR459" s="612">
        <v>0.37</v>
      </c>
      <c r="AS459" s="617"/>
      <c r="AT459" s="618"/>
      <c r="AU459" s="618"/>
      <c r="AV459" s="618"/>
      <c r="AW459" s="619"/>
      <c r="AX459" s="596">
        <v>0.02</v>
      </c>
      <c r="AY459" s="598">
        <v>2.3E-2</v>
      </c>
      <c r="AZ459" s="598">
        <v>2.5999999999999999E-2</v>
      </c>
      <c r="BA459" s="598">
        <v>2.9000000000000001E-2</v>
      </c>
      <c r="BB459" s="598">
        <v>3.2000000000000001E-2</v>
      </c>
      <c r="BC459" s="616"/>
      <c r="BD459" s="612"/>
      <c r="BE459" s="596"/>
      <c r="BF459" s="598"/>
      <c r="BG459" s="598"/>
      <c r="BH459" s="598"/>
      <c r="BI459" s="598"/>
      <c r="BJ459" s="598"/>
      <c r="BK459" s="605"/>
      <c r="BL459" s="658">
        <f t="shared" si="355"/>
        <v>16300</v>
      </c>
      <c r="BM459" s="3">
        <f t="shared" si="356"/>
        <v>42</v>
      </c>
      <c r="BN459" s="3">
        <f t="shared" si="357"/>
        <v>25</v>
      </c>
      <c r="BO459" s="3">
        <f t="shared" si="358"/>
        <v>33</v>
      </c>
    </row>
    <row r="460" spans="2:67">
      <c r="B460" s="606" t="s">
        <v>2702</v>
      </c>
      <c r="C460" s="607" t="s">
        <v>310</v>
      </c>
      <c r="D460" s="607" t="s">
        <v>2696</v>
      </c>
      <c r="E460" s="613" t="s">
        <v>125</v>
      </c>
      <c r="F460" s="608">
        <v>457</v>
      </c>
      <c r="G460" s="609">
        <v>5704</v>
      </c>
      <c r="H460" s="610">
        <v>3584</v>
      </c>
      <c r="I460" s="611">
        <v>7007</v>
      </c>
      <c r="J460" s="166">
        <f t="shared" si="346"/>
        <v>114</v>
      </c>
      <c r="K460" s="167">
        <f t="shared" si="347"/>
        <v>71</v>
      </c>
      <c r="L460" s="168">
        <f t="shared" si="348"/>
        <v>140</v>
      </c>
      <c r="M460" s="166">
        <f t="shared" si="349"/>
        <v>171</v>
      </c>
      <c r="N460" s="167">
        <f t="shared" si="350"/>
        <v>107</v>
      </c>
      <c r="O460" s="168">
        <f t="shared" si="351"/>
        <v>210</v>
      </c>
      <c r="P460" s="169">
        <f t="shared" si="352"/>
        <v>228</v>
      </c>
      <c r="Q460" s="169">
        <f t="shared" si="353"/>
        <v>143</v>
      </c>
      <c r="R460" s="169">
        <f t="shared" si="354"/>
        <v>280</v>
      </c>
      <c r="S460" s="584">
        <f t="shared" si="325"/>
        <v>1711</v>
      </c>
      <c r="T460" s="594">
        <f t="shared" si="326"/>
        <v>1075</v>
      </c>
      <c r="U460" s="595">
        <f t="shared" si="327"/>
        <v>2102</v>
      </c>
      <c r="V460" s="166">
        <f t="shared" si="328"/>
        <v>3535</v>
      </c>
      <c r="W460" s="167">
        <f t="shared" si="329"/>
        <v>2216</v>
      </c>
      <c r="X460" s="168">
        <f t="shared" si="330"/>
        <v>4342</v>
      </c>
      <c r="Y460" s="166">
        <f t="shared" si="331"/>
        <v>3991</v>
      </c>
      <c r="Z460" s="167">
        <f t="shared" si="332"/>
        <v>2502</v>
      </c>
      <c r="AA460" s="168">
        <f t="shared" si="333"/>
        <v>4902</v>
      </c>
      <c r="AB460" s="166">
        <f t="shared" si="334"/>
        <v>4447</v>
      </c>
      <c r="AC460" s="167">
        <f t="shared" si="335"/>
        <v>2788</v>
      </c>
      <c r="AD460" s="168">
        <f t="shared" si="336"/>
        <v>5462</v>
      </c>
      <c r="AE460" s="166">
        <f t="shared" si="337"/>
        <v>4903</v>
      </c>
      <c r="AF460" s="167">
        <f t="shared" si="338"/>
        <v>2931</v>
      </c>
      <c r="AG460" s="168">
        <f t="shared" si="339"/>
        <v>6022</v>
      </c>
      <c r="AH460" s="166">
        <f t="shared" si="340"/>
        <v>5131</v>
      </c>
      <c r="AI460" s="167">
        <f t="shared" si="341"/>
        <v>3217</v>
      </c>
      <c r="AJ460" s="168">
        <f t="shared" si="342"/>
        <v>6862</v>
      </c>
      <c r="AK460" s="169">
        <f t="shared" si="343"/>
        <v>5818</v>
      </c>
      <c r="AL460" s="167">
        <f t="shared" si="344"/>
        <v>3655</v>
      </c>
      <c r="AM460" s="585">
        <f t="shared" si="345"/>
        <v>7147</v>
      </c>
      <c r="AN460" s="614">
        <v>0.15</v>
      </c>
      <c r="AO460" s="615">
        <v>0.18</v>
      </c>
      <c r="AP460" s="615">
        <v>0.21</v>
      </c>
      <c r="AQ460" s="616">
        <v>0.24</v>
      </c>
      <c r="AR460" s="612">
        <v>0.27</v>
      </c>
      <c r="AS460" s="617"/>
      <c r="AT460" s="618"/>
      <c r="AU460" s="618"/>
      <c r="AV460" s="618"/>
      <c r="AW460" s="619"/>
      <c r="AX460" s="614">
        <v>0.05</v>
      </c>
      <c r="AY460" s="616">
        <v>5.5E-2</v>
      </c>
      <c r="AZ460" s="616">
        <v>0.06</v>
      </c>
      <c r="BA460" s="616">
        <v>6.5000000000000002E-2</v>
      </c>
      <c r="BB460" s="616">
        <v>7.0000000000000007E-2</v>
      </c>
      <c r="BC460" s="616"/>
      <c r="BD460" s="612"/>
      <c r="BE460" s="596"/>
      <c r="BF460" s="598"/>
      <c r="BG460" s="598"/>
      <c r="BH460" s="598"/>
      <c r="BI460" s="598"/>
      <c r="BJ460" s="598"/>
      <c r="BK460" s="605"/>
      <c r="BL460" s="658">
        <f t="shared" si="355"/>
        <v>16300</v>
      </c>
      <c r="BM460" s="3">
        <f t="shared" si="356"/>
        <v>35</v>
      </c>
      <c r="BN460" s="3">
        <f t="shared" si="357"/>
        <v>22</v>
      </c>
      <c r="BO460" s="3">
        <f t="shared" si="358"/>
        <v>43</v>
      </c>
    </row>
    <row r="461" spans="2:67">
      <c r="B461" s="1271" t="s">
        <v>2705</v>
      </c>
      <c r="C461" s="1069" t="s">
        <v>309</v>
      </c>
      <c r="D461" s="1069" t="s">
        <v>360</v>
      </c>
      <c r="E461" s="1268" t="s">
        <v>2115</v>
      </c>
      <c r="F461" s="592">
        <v>458</v>
      </c>
      <c r="G461" s="1071">
        <v>11780</v>
      </c>
      <c r="H461" s="1072">
        <v>4029</v>
      </c>
      <c r="I461" s="1073">
        <v>15189</v>
      </c>
      <c r="J461" s="166">
        <f t="shared" si="346"/>
        <v>235</v>
      </c>
      <c r="K461" s="167">
        <f t="shared" si="347"/>
        <v>80</v>
      </c>
      <c r="L461" s="168">
        <f t="shared" si="348"/>
        <v>303</v>
      </c>
      <c r="M461" s="166">
        <f t="shared" si="349"/>
        <v>319</v>
      </c>
      <c r="N461" s="167">
        <f t="shared" si="350"/>
        <v>109</v>
      </c>
      <c r="O461" s="168">
        <f t="shared" si="351"/>
        <v>411</v>
      </c>
      <c r="P461" s="169">
        <f t="shared" si="352"/>
        <v>515</v>
      </c>
      <c r="Q461" s="169">
        <f t="shared" si="353"/>
        <v>176</v>
      </c>
      <c r="R461" s="169">
        <f t="shared" si="354"/>
        <v>664</v>
      </c>
      <c r="S461" s="584">
        <f t="shared" si="325"/>
        <v>2945</v>
      </c>
      <c r="T461" s="594">
        <f t="shared" si="326"/>
        <v>1007</v>
      </c>
      <c r="U461" s="595">
        <f t="shared" si="327"/>
        <v>3797</v>
      </c>
      <c r="V461" s="166">
        <f t="shared" si="328"/>
        <v>8922</v>
      </c>
      <c r="W461" s="167">
        <f t="shared" si="329"/>
        <v>3049</v>
      </c>
      <c r="X461" s="168">
        <f t="shared" si="330"/>
        <v>11498</v>
      </c>
      <c r="Y461" s="166">
        <f t="shared" si="331"/>
        <v>9952</v>
      </c>
      <c r="Z461" s="167">
        <f t="shared" si="332"/>
        <v>3225</v>
      </c>
      <c r="AA461" s="168">
        <f t="shared" si="333"/>
        <v>12826</v>
      </c>
      <c r="AB461" s="166">
        <f t="shared" si="334"/>
        <v>10467</v>
      </c>
      <c r="AC461" s="167">
        <f t="shared" si="335"/>
        <v>3401</v>
      </c>
      <c r="AD461" s="168">
        <f t="shared" si="336"/>
        <v>12826</v>
      </c>
      <c r="AE461" s="166">
        <f t="shared" si="337"/>
        <v>10467</v>
      </c>
      <c r="AF461" s="167">
        <f t="shared" si="338"/>
        <v>3577</v>
      </c>
      <c r="AG461" s="168">
        <f t="shared" si="339"/>
        <v>13490</v>
      </c>
      <c r="AH461" s="166">
        <f t="shared" si="340"/>
        <v>10982</v>
      </c>
      <c r="AI461" s="167">
        <f t="shared" si="341"/>
        <v>3753</v>
      </c>
      <c r="AJ461" s="168">
        <f t="shared" si="342"/>
        <v>14154</v>
      </c>
      <c r="AK461" s="169">
        <f t="shared" si="343"/>
        <v>12015</v>
      </c>
      <c r="AL461" s="167">
        <f t="shared" si="344"/>
        <v>4109</v>
      </c>
      <c r="AM461" s="585">
        <f t="shared" si="345"/>
        <v>15492</v>
      </c>
      <c r="AN461" s="596">
        <v>7.0000000000000007E-2</v>
      </c>
      <c r="AO461" s="597">
        <v>7.4999999999999997E-2</v>
      </c>
      <c r="AP461" s="597">
        <v>0.08</v>
      </c>
      <c r="AQ461" s="598">
        <v>8.5000000000000006E-2</v>
      </c>
      <c r="AR461" s="1132">
        <v>0.09</v>
      </c>
      <c r="AS461" s="1136"/>
      <c r="AT461" s="1137"/>
      <c r="AU461" s="1137"/>
      <c r="AV461" s="1137"/>
      <c r="AW461" s="1138"/>
      <c r="AX461" s="1133">
        <v>5.2999999999999999E-2</v>
      </c>
      <c r="AY461" s="1135">
        <v>5.5E-2</v>
      </c>
      <c r="AZ461" s="1135">
        <v>5.7000000000000002E-2</v>
      </c>
      <c r="BA461" s="1135">
        <v>5.8999999999999997E-2</v>
      </c>
      <c r="BB461" s="1135">
        <v>6.0999999999999999E-2</v>
      </c>
      <c r="BC461" s="1135">
        <v>6.3E-2</v>
      </c>
      <c r="BD461" s="1132">
        <v>6.5000000000000002E-2</v>
      </c>
      <c r="BE461" s="596"/>
      <c r="BF461" s="598"/>
      <c r="BG461" s="598"/>
      <c r="BH461" s="598"/>
      <c r="BI461" s="598"/>
      <c r="BJ461" s="598"/>
      <c r="BK461" s="605"/>
      <c r="BL461" s="658">
        <f t="shared" si="355"/>
        <v>31000</v>
      </c>
      <c r="BM461" s="3">
        <f t="shared" si="356"/>
        <v>38</v>
      </c>
      <c r="BN461" s="3">
        <f t="shared" si="357"/>
        <v>13</v>
      </c>
      <c r="BO461" s="3">
        <f t="shared" si="358"/>
        <v>49</v>
      </c>
    </row>
    <row r="462" spans="2:67">
      <c r="B462" s="606" t="s">
        <v>2708</v>
      </c>
      <c r="C462" s="607" t="s">
        <v>310</v>
      </c>
      <c r="D462" s="607" t="s">
        <v>358</v>
      </c>
      <c r="E462" s="238" t="s">
        <v>1150</v>
      </c>
      <c r="F462" s="608">
        <v>459</v>
      </c>
      <c r="G462" s="609">
        <v>7720</v>
      </c>
      <c r="H462" s="610">
        <v>7333</v>
      </c>
      <c r="I462" s="611">
        <v>4244</v>
      </c>
      <c r="J462" s="166">
        <f t="shared" si="346"/>
        <v>154</v>
      </c>
      <c r="K462" s="167">
        <f t="shared" si="347"/>
        <v>146</v>
      </c>
      <c r="L462" s="168">
        <f t="shared" si="348"/>
        <v>84</v>
      </c>
      <c r="M462" s="166">
        <f t="shared" si="349"/>
        <v>231</v>
      </c>
      <c r="N462" s="167">
        <f t="shared" si="350"/>
        <v>220</v>
      </c>
      <c r="O462" s="168">
        <f t="shared" si="351"/>
        <v>127</v>
      </c>
      <c r="P462" s="169">
        <f t="shared" si="352"/>
        <v>308</v>
      </c>
      <c r="Q462" s="169">
        <f t="shared" si="353"/>
        <v>293</v>
      </c>
      <c r="R462" s="169">
        <f t="shared" si="354"/>
        <v>169</v>
      </c>
      <c r="S462" s="584">
        <f t="shared" si="325"/>
        <v>2316</v>
      </c>
      <c r="T462" s="594">
        <f t="shared" si="326"/>
        <v>2200</v>
      </c>
      <c r="U462" s="595">
        <f t="shared" si="327"/>
        <v>1273</v>
      </c>
      <c r="V462" s="166">
        <f t="shared" si="328"/>
        <v>4780</v>
      </c>
      <c r="W462" s="167">
        <f t="shared" si="329"/>
        <v>4546</v>
      </c>
      <c r="X462" s="168">
        <f t="shared" si="330"/>
        <v>2627</v>
      </c>
      <c r="Y462" s="166">
        <f t="shared" si="331"/>
        <v>5396</v>
      </c>
      <c r="Z462" s="167">
        <f t="shared" si="332"/>
        <v>5132</v>
      </c>
      <c r="AA462" s="168">
        <f t="shared" si="333"/>
        <v>2965</v>
      </c>
      <c r="AB462" s="166">
        <f t="shared" si="334"/>
        <v>6012</v>
      </c>
      <c r="AC462" s="167">
        <f t="shared" si="335"/>
        <v>5718</v>
      </c>
      <c r="AD462" s="168">
        <f t="shared" si="336"/>
        <v>3303</v>
      </c>
      <c r="AE462" s="166">
        <f t="shared" si="337"/>
        <v>6320</v>
      </c>
      <c r="AF462" s="167">
        <f t="shared" si="338"/>
        <v>6304</v>
      </c>
      <c r="AG462" s="168">
        <f t="shared" si="339"/>
        <v>3641</v>
      </c>
      <c r="AH462" s="166">
        <f t="shared" si="340"/>
        <v>6936</v>
      </c>
      <c r="AI462" s="167">
        <f t="shared" si="341"/>
        <v>6597</v>
      </c>
      <c r="AJ462" s="168">
        <f t="shared" si="342"/>
        <v>4148</v>
      </c>
      <c r="AK462" s="169">
        <f t="shared" si="343"/>
        <v>7874</v>
      </c>
      <c r="AL462" s="167">
        <f t="shared" si="344"/>
        <v>7479</v>
      </c>
      <c r="AM462" s="585">
        <f t="shared" si="345"/>
        <v>4328</v>
      </c>
      <c r="AN462" s="614">
        <v>0.04</v>
      </c>
      <c r="AO462" s="615">
        <v>4.2999999999999997E-2</v>
      </c>
      <c r="AP462" s="615">
        <v>4.5999999999999999E-2</v>
      </c>
      <c r="AQ462" s="616">
        <v>4.9000000000000002E-2</v>
      </c>
      <c r="AR462" s="612">
        <v>5.1999999999999998E-2</v>
      </c>
      <c r="AS462" s="617"/>
      <c r="AT462" s="618"/>
      <c r="AU462" s="618"/>
      <c r="AV462" s="618"/>
      <c r="AW462" s="619"/>
      <c r="AX462" s="596">
        <v>0.02</v>
      </c>
      <c r="AY462" s="598">
        <v>2.3E-2</v>
      </c>
      <c r="AZ462" s="598">
        <v>2.5999999999999999E-2</v>
      </c>
      <c r="BA462" s="598">
        <v>2.9000000000000001E-2</v>
      </c>
      <c r="BB462" s="598">
        <v>3.2000000000000001E-2</v>
      </c>
      <c r="BC462" s="616"/>
      <c r="BD462" s="612"/>
      <c r="BE462" s="596"/>
      <c r="BF462" s="598"/>
      <c r="BG462" s="598"/>
      <c r="BH462" s="598"/>
      <c r="BI462" s="598"/>
      <c r="BJ462" s="598"/>
      <c r="BK462" s="605"/>
      <c r="BL462" s="658">
        <f t="shared" si="355"/>
        <v>19300</v>
      </c>
      <c r="BM462" s="3">
        <f t="shared" si="356"/>
        <v>40</v>
      </c>
      <c r="BN462" s="3">
        <f t="shared" si="357"/>
        <v>38</v>
      </c>
      <c r="BO462" s="3">
        <f t="shared" si="358"/>
        <v>22</v>
      </c>
    </row>
    <row r="463" spans="2:67">
      <c r="B463" s="606" t="s">
        <v>2757</v>
      </c>
      <c r="C463" s="607" t="s">
        <v>309</v>
      </c>
      <c r="D463" s="607" t="s">
        <v>2735</v>
      </c>
      <c r="E463" s="238" t="s">
        <v>1150</v>
      </c>
      <c r="F463" s="1270">
        <v>460</v>
      </c>
      <c r="G463" s="609">
        <v>5269</v>
      </c>
      <c r="H463" s="610">
        <v>13949</v>
      </c>
      <c r="I463" s="611">
        <v>11780</v>
      </c>
      <c r="J463" s="166">
        <f t="shared" si="346"/>
        <v>105</v>
      </c>
      <c r="K463" s="167">
        <f t="shared" si="347"/>
        <v>279</v>
      </c>
      <c r="L463" s="168">
        <f t="shared" si="348"/>
        <v>235</v>
      </c>
      <c r="M463" s="166">
        <f t="shared" si="349"/>
        <v>131</v>
      </c>
      <c r="N463" s="167">
        <f t="shared" si="350"/>
        <v>348</v>
      </c>
      <c r="O463" s="168">
        <f t="shared" si="351"/>
        <v>294</v>
      </c>
      <c r="P463" s="169">
        <f t="shared" si="352"/>
        <v>197</v>
      </c>
      <c r="Q463" s="169">
        <f t="shared" si="353"/>
        <v>523</v>
      </c>
      <c r="R463" s="169">
        <f t="shared" si="354"/>
        <v>441</v>
      </c>
      <c r="S463" s="584">
        <f t="shared" si="325"/>
        <v>1317</v>
      </c>
      <c r="T463" s="594">
        <f t="shared" si="326"/>
        <v>3487</v>
      </c>
      <c r="U463" s="595">
        <f t="shared" si="327"/>
        <v>2945</v>
      </c>
      <c r="V463" s="166">
        <f t="shared" si="328"/>
        <v>2994</v>
      </c>
      <c r="W463" s="167">
        <f t="shared" si="329"/>
        <v>7942</v>
      </c>
      <c r="X463" s="168">
        <f t="shared" si="330"/>
        <v>6708</v>
      </c>
      <c r="Y463" s="166">
        <f t="shared" si="331"/>
        <v>3585</v>
      </c>
      <c r="Z463" s="167">
        <f t="shared" si="332"/>
        <v>8988</v>
      </c>
      <c r="AA463" s="168">
        <f t="shared" si="333"/>
        <v>7149</v>
      </c>
      <c r="AB463" s="166">
        <f t="shared" si="334"/>
        <v>3782</v>
      </c>
      <c r="AC463" s="167">
        <f t="shared" si="335"/>
        <v>10557</v>
      </c>
      <c r="AD463" s="168">
        <f t="shared" si="336"/>
        <v>8472</v>
      </c>
      <c r="AE463" s="166">
        <f t="shared" si="337"/>
        <v>4176</v>
      </c>
      <c r="AF463" s="167">
        <f t="shared" si="338"/>
        <v>11603</v>
      </c>
      <c r="AG463" s="168">
        <f t="shared" si="339"/>
        <v>10236</v>
      </c>
      <c r="AH463" s="166">
        <f t="shared" si="340"/>
        <v>4964</v>
      </c>
      <c r="AI463" s="167">
        <f t="shared" si="341"/>
        <v>12649</v>
      </c>
      <c r="AJ463" s="168">
        <f t="shared" si="342"/>
        <v>11118</v>
      </c>
      <c r="AK463" s="169">
        <f t="shared" si="343"/>
        <v>5374</v>
      </c>
      <c r="AL463" s="167">
        <f t="shared" si="344"/>
        <v>14228</v>
      </c>
      <c r="AM463" s="585">
        <f t="shared" si="345"/>
        <v>12015</v>
      </c>
      <c r="AN463" s="614">
        <v>0.2</v>
      </c>
      <c r="AO463" s="615">
        <v>0.23</v>
      </c>
      <c r="AP463" s="615">
        <v>0.26</v>
      </c>
      <c r="AQ463" s="616">
        <v>0.28999999999999998</v>
      </c>
      <c r="AR463" s="612">
        <v>0.32</v>
      </c>
      <c r="AS463" s="1136"/>
      <c r="AT463" s="1137"/>
      <c r="AU463" s="1137"/>
      <c r="AV463" s="1137"/>
      <c r="AW463" s="1138"/>
      <c r="AX463" s="1133">
        <v>0.04</v>
      </c>
      <c r="AY463" s="1135">
        <v>4.2999999999999997E-2</v>
      </c>
      <c r="AZ463" s="1135">
        <v>4.5999999999999999E-2</v>
      </c>
      <c r="BA463" s="1135">
        <v>4.9000000000000002E-2</v>
      </c>
      <c r="BB463" s="1135">
        <v>5.1999999999999998E-2</v>
      </c>
      <c r="BC463" s="1135"/>
      <c r="BD463" s="1132"/>
      <c r="BE463" s="596"/>
      <c r="BF463" s="598"/>
      <c r="BG463" s="598"/>
      <c r="BH463" s="598"/>
      <c r="BI463" s="598"/>
      <c r="BJ463" s="598"/>
      <c r="BK463" s="605"/>
      <c r="BL463" s="658">
        <f t="shared" si="355"/>
        <v>31000</v>
      </c>
      <c r="BM463" s="3">
        <f t="shared" si="356"/>
        <v>17</v>
      </c>
      <c r="BN463" s="3">
        <f t="shared" si="357"/>
        <v>45</v>
      </c>
      <c r="BO463" s="3">
        <f t="shared" si="358"/>
        <v>38</v>
      </c>
    </row>
    <row r="464" spans="2:67">
      <c r="B464" s="606" t="s">
        <v>2758</v>
      </c>
      <c r="C464" s="607" t="s">
        <v>310</v>
      </c>
      <c r="D464" s="607" t="s">
        <v>2731</v>
      </c>
      <c r="E464" s="238" t="s">
        <v>1150</v>
      </c>
      <c r="F464" s="608">
        <v>461</v>
      </c>
      <c r="G464" s="609">
        <v>5403</v>
      </c>
      <c r="H464" s="610">
        <v>6174</v>
      </c>
      <c r="I464" s="611">
        <v>7720</v>
      </c>
      <c r="J464" s="166">
        <f t="shared" si="346"/>
        <v>108</v>
      </c>
      <c r="K464" s="167">
        <f t="shared" si="347"/>
        <v>123</v>
      </c>
      <c r="L464" s="168">
        <f t="shared" si="348"/>
        <v>154</v>
      </c>
      <c r="M464" s="166">
        <f t="shared" si="349"/>
        <v>162</v>
      </c>
      <c r="N464" s="167">
        <f t="shared" si="350"/>
        <v>185</v>
      </c>
      <c r="O464" s="168">
        <f t="shared" si="351"/>
        <v>231</v>
      </c>
      <c r="P464" s="169">
        <f t="shared" si="352"/>
        <v>216</v>
      </c>
      <c r="Q464" s="169">
        <f t="shared" si="353"/>
        <v>247</v>
      </c>
      <c r="R464" s="169">
        <f t="shared" si="354"/>
        <v>308</v>
      </c>
      <c r="S464" s="584">
        <f t="shared" si="325"/>
        <v>1621</v>
      </c>
      <c r="T464" s="594">
        <f t="shared" si="326"/>
        <v>1852</v>
      </c>
      <c r="U464" s="595">
        <f t="shared" si="327"/>
        <v>2316</v>
      </c>
      <c r="V464" s="166">
        <f t="shared" si="328"/>
        <v>3349</v>
      </c>
      <c r="W464" s="167">
        <f t="shared" si="329"/>
        <v>3825</v>
      </c>
      <c r="X464" s="168">
        <f t="shared" si="330"/>
        <v>4780</v>
      </c>
      <c r="Y464" s="166">
        <f t="shared" si="331"/>
        <v>3781</v>
      </c>
      <c r="Z464" s="167">
        <f t="shared" si="332"/>
        <v>4319</v>
      </c>
      <c r="AA464" s="168">
        <f t="shared" si="333"/>
        <v>5396</v>
      </c>
      <c r="AB464" s="166">
        <f t="shared" si="334"/>
        <v>4213</v>
      </c>
      <c r="AC464" s="167">
        <f t="shared" si="335"/>
        <v>4813</v>
      </c>
      <c r="AD464" s="168">
        <f t="shared" si="336"/>
        <v>6012</v>
      </c>
      <c r="AE464" s="166">
        <f t="shared" si="337"/>
        <v>4645</v>
      </c>
      <c r="AF464" s="167">
        <f t="shared" si="338"/>
        <v>5060</v>
      </c>
      <c r="AG464" s="168">
        <f t="shared" si="339"/>
        <v>6628</v>
      </c>
      <c r="AH464" s="166">
        <f t="shared" si="340"/>
        <v>4861</v>
      </c>
      <c r="AI464" s="167">
        <f t="shared" si="341"/>
        <v>5554</v>
      </c>
      <c r="AJ464" s="168">
        <f t="shared" si="342"/>
        <v>7552</v>
      </c>
      <c r="AK464" s="169">
        <f t="shared" si="343"/>
        <v>5511</v>
      </c>
      <c r="AL464" s="167">
        <f t="shared" si="344"/>
        <v>6297</v>
      </c>
      <c r="AM464" s="585">
        <f t="shared" si="345"/>
        <v>7874</v>
      </c>
      <c r="AN464" s="614">
        <v>0.04</v>
      </c>
      <c r="AO464" s="615">
        <v>4.2999999999999997E-2</v>
      </c>
      <c r="AP464" s="615">
        <v>4.5999999999999999E-2</v>
      </c>
      <c r="AQ464" s="616">
        <v>4.9000000000000002E-2</v>
      </c>
      <c r="AR464" s="612">
        <v>5.1999999999999998E-2</v>
      </c>
      <c r="AS464" s="617"/>
      <c r="AT464" s="618"/>
      <c r="AU464" s="618"/>
      <c r="AV464" s="618"/>
      <c r="AW464" s="619"/>
      <c r="AX464" s="596">
        <v>0.02</v>
      </c>
      <c r="AY464" s="598">
        <v>2.3E-2</v>
      </c>
      <c r="AZ464" s="598">
        <v>2.5999999999999999E-2</v>
      </c>
      <c r="BA464" s="598">
        <v>2.9000000000000001E-2</v>
      </c>
      <c r="BB464" s="598">
        <v>3.2000000000000001E-2</v>
      </c>
      <c r="BC464" s="616"/>
      <c r="BD464" s="612"/>
      <c r="BE464" s="596"/>
      <c r="BF464" s="598"/>
      <c r="BG464" s="598"/>
      <c r="BH464" s="598"/>
      <c r="BI464" s="598"/>
      <c r="BJ464" s="598"/>
      <c r="BK464" s="605"/>
      <c r="BL464" s="658">
        <f t="shared" si="355"/>
        <v>19300</v>
      </c>
      <c r="BM464" s="3">
        <f t="shared" si="356"/>
        <v>28</v>
      </c>
      <c r="BN464" s="3">
        <f t="shared" si="357"/>
        <v>32</v>
      </c>
      <c r="BO464" s="3">
        <f t="shared" si="358"/>
        <v>40</v>
      </c>
    </row>
    <row r="465" spans="2:67">
      <c r="B465" s="1271" t="s">
        <v>2755</v>
      </c>
      <c r="C465" s="1069" t="s">
        <v>309</v>
      </c>
      <c r="D465" s="1069" t="s">
        <v>2731</v>
      </c>
      <c r="E465" s="1268" t="s">
        <v>1150</v>
      </c>
      <c r="F465" s="1270">
        <v>462</v>
      </c>
      <c r="G465" s="1071">
        <v>12284</v>
      </c>
      <c r="H465" s="1072">
        <v>4409</v>
      </c>
      <c r="I465" s="1073">
        <v>14804</v>
      </c>
      <c r="J465" s="166">
        <f t="shared" si="346"/>
        <v>245</v>
      </c>
      <c r="K465" s="167">
        <f t="shared" si="347"/>
        <v>88</v>
      </c>
      <c r="L465" s="168">
        <f t="shared" si="348"/>
        <v>296</v>
      </c>
      <c r="M465" s="166">
        <f t="shared" si="349"/>
        <v>307</v>
      </c>
      <c r="N465" s="167">
        <f t="shared" si="350"/>
        <v>110</v>
      </c>
      <c r="O465" s="168">
        <f t="shared" si="351"/>
        <v>370</v>
      </c>
      <c r="P465" s="169">
        <f t="shared" si="352"/>
        <v>460</v>
      </c>
      <c r="Q465" s="169">
        <f t="shared" si="353"/>
        <v>165</v>
      </c>
      <c r="R465" s="169">
        <f t="shared" si="354"/>
        <v>555</v>
      </c>
      <c r="S465" s="584">
        <f t="shared" si="325"/>
        <v>3071</v>
      </c>
      <c r="T465" s="594">
        <f t="shared" si="326"/>
        <v>1102</v>
      </c>
      <c r="U465" s="595">
        <f t="shared" si="327"/>
        <v>3701</v>
      </c>
      <c r="V465" s="166">
        <f t="shared" si="328"/>
        <v>7000</v>
      </c>
      <c r="W465" s="167">
        <f t="shared" si="329"/>
        <v>2510</v>
      </c>
      <c r="X465" s="168">
        <f t="shared" si="330"/>
        <v>8437</v>
      </c>
      <c r="Y465" s="166">
        <f t="shared" si="331"/>
        <v>7460</v>
      </c>
      <c r="Z465" s="167">
        <f t="shared" si="332"/>
        <v>2840</v>
      </c>
      <c r="AA465" s="168">
        <f t="shared" si="333"/>
        <v>10102</v>
      </c>
      <c r="AB465" s="166">
        <f t="shared" si="334"/>
        <v>8840</v>
      </c>
      <c r="AC465" s="167">
        <f t="shared" si="335"/>
        <v>3335</v>
      </c>
      <c r="AD465" s="168">
        <f t="shared" si="336"/>
        <v>10657</v>
      </c>
      <c r="AE465" s="166">
        <f t="shared" si="337"/>
        <v>10680</v>
      </c>
      <c r="AF465" s="167">
        <f t="shared" si="338"/>
        <v>3665</v>
      </c>
      <c r="AG465" s="168">
        <f t="shared" si="339"/>
        <v>11767</v>
      </c>
      <c r="AH465" s="166">
        <f t="shared" si="340"/>
        <v>11600</v>
      </c>
      <c r="AI465" s="167">
        <f t="shared" si="341"/>
        <v>3995</v>
      </c>
      <c r="AJ465" s="168">
        <f t="shared" si="342"/>
        <v>13987</v>
      </c>
      <c r="AK465" s="169">
        <f t="shared" si="343"/>
        <v>12529</v>
      </c>
      <c r="AL465" s="167">
        <f t="shared" si="344"/>
        <v>4497</v>
      </c>
      <c r="AM465" s="585">
        <f t="shared" si="345"/>
        <v>15100</v>
      </c>
      <c r="AN465" s="1133">
        <v>0.06</v>
      </c>
      <c r="AO465" s="1134">
        <v>6.3E-2</v>
      </c>
      <c r="AP465" s="1134">
        <v>6.6000000000000003E-2</v>
      </c>
      <c r="AQ465" s="1135">
        <v>6.9000000000000006E-2</v>
      </c>
      <c r="AR465" s="1132">
        <v>7.1999999999999995E-2</v>
      </c>
      <c r="AS465" s="1136"/>
      <c r="AT465" s="1137"/>
      <c r="AU465" s="1137"/>
      <c r="AV465" s="1137"/>
      <c r="AW465" s="1138"/>
      <c r="AX465" s="1133">
        <v>0.05</v>
      </c>
      <c r="AY465" s="1135">
        <v>5.5E-2</v>
      </c>
      <c r="AZ465" s="1135">
        <v>0.06</v>
      </c>
      <c r="BA465" s="1135">
        <v>6.5000000000000002E-2</v>
      </c>
      <c r="BB465" s="1135">
        <v>7.0000000000000007E-2</v>
      </c>
      <c r="BC465" s="1135"/>
      <c r="BD465" s="1132"/>
      <c r="BE465" s="596"/>
      <c r="BF465" s="598"/>
      <c r="BG465" s="598"/>
      <c r="BH465" s="598"/>
      <c r="BI465" s="598"/>
      <c r="BJ465" s="598"/>
      <c r="BK465" s="605"/>
      <c r="BL465" s="658">
        <f t="shared" si="355"/>
        <v>31500</v>
      </c>
      <c r="BM465" s="3">
        <f t="shared" si="356"/>
        <v>39</v>
      </c>
      <c r="BN465" s="3">
        <f t="shared" si="357"/>
        <v>14</v>
      </c>
      <c r="BO465" s="3">
        <f t="shared" si="358"/>
        <v>47</v>
      </c>
    </row>
    <row r="466" spans="2:67">
      <c r="B466" s="1271" t="s">
        <v>2754</v>
      </c>
      <c r="C466" s="1069" t="s">
        <v>309</v>
      </c>
      <c r="D466" s="1069" t="s">
        <v>2744</v>
      </c>
      <c r="E466" s="238" t="s">
        <v>125</v>
      </c>
      <c r="F466" s="1070">
        <v>463</v>
      </c>
      <c r="G466" s="1071">
        <v>11129</v>
      </c>
      <c r="H466" s="1072">
        <v>10600</v>
      </c>
      <c r="I466" s="1073">
        <v>4769</v>
      </c>
      <c r="J466" s="166">
        <f t="shared" si="346"/>
        <v>222</v>
      </c>
      <c r="K466" s="167">
        <f t="shared" si="347"/>
        <v>212</v>
      </c>
      <c r="L466" s="168">
        <f t="shared" si="348"/>
        <v>95</v>
      </c>
      <c r="M466" s="166">
        <f t="shared" si="349"/>
        <v>278</v>
      </c>
      <c r="N466" s="167">
        <f t="shared" si="350"/>
        <v>265</v>
      </c>
      <c r="O466" s="168">
        <f t="shared" si="351"/>
        <v>119</v>
      </c>
      <c r="P466" s="169">
        <f t="shared" si="352"/>
        <v>417</v>
      </c>
      <c r="Q466" s="169">
        <f t="shared" si="353"/>
        <v>397</v>
      </c>
      <c r="R466" s="169">
        <f t="shared" si="354"/>
        <v>178</v>
      </c>
      <c r="S466" s="584">
        <f t="shared" si="325"/>
        <v>2782</v>
      </c>
      <c r="T466" s="594">
        <f t="shared" si="326"/>
        <v>2650</v>
      </c>
      <c r="U466" s="595">
        <f t="shared" si="327"/>
        <v>1192</v>
      </c>
      <c r="V466" s="166">
        <f t="shared" si="328"/>
        <v>6340</v>
      </c>
      <c r="W466" s="167">
        <f t="shared" si="329"/>
        <v>6042</v>
      </c>
      <c r="X466" s="168">
        <f t="shared" si="330"/>
        <v>2715</v>
      </c>
      <c r="Y466" s="166">
        <f t="shared" si="331"/>
        <v>7174</v>
      </c>
      <c r="Z466" s="167">
        <f t="shared" si="332"/>
        <v>6439</v>
      </c>
      <c r="AA466" s="168">
        <f t="shared" si="333"/>
        <v>3249</v>
      </c>
      <c r="AB466" s="166">
        <f t="shared" si="334"/>
        <v>8425</v>
      </c>
      <c r="AC466" s="167">
        <f t="shared" si="335"/>
        <v>7630</v>
      </c>
      <c r="AD466" s="168">
        <f t="shared" si="336"/>
        <v>3427</v>
      </c>
      <c r="AE466" s="166">
        <f t="shared" si="337"/>
        <v>9259</v>
      </c>
      <c r="AF466" s="167">
        <f t="shared" si="338"/>
        <v>9218</v>
      </c>
      <c r="AG466" s="168">
        <f t="shared" si="339"/>
        <v>3783</v>
      </c>
      <c r="AH466" s="166">
        <f t="shared" si="340"/>
        <v>10093</v>
      </c>
      <c r="AI466" s="167">
        <f t="shared" si="341"/>
        <v>10012</v>
      </c>
      <c r="AJ466" s="168">
        <f t="shared" si="342"/>
        <v>4495</v>
      </c>
      <c r="AK466" s="169">
        <f t="shared" si="343"/>
        <v>11351</v>
      </c>
      <c r="AL466" s="167">
        <f t="shared" si="344"/>
        <v>10812</v>
      </c>
      <c r="AM466" s="585">
        <f t="shared" si="345"/>
        <v>4864</v>
      </c>
      <c r="AN466" s="1133">
        <v>0.06</v>
      </c>
      <c r="AO466" s="1134">
        <v>6.3E-2</v>
      </c>
      <c r="AP466" s="1134">
        <v>6.6000000000000003E-2</v>
      </c>
      <c r="AQ466" s="1135">
        <v>6.9000000000000006E-2</v>
      </c>
      <c r="AR466" s="1132">
        <v>7.1999999999999995E-2</v>
      </c>
      <c r="AS466" s="1136"/>
      <c r="AT466" s="1137"/>
      <c r="AU466" s="1137"/>
      <c r="AV466" s="1137"/>
      <c r="AW466" s="1138"/>
      <c r="AX466" s="1133">
        <v>0.04</v>
      </c>
      <c r="AY466" s="1135">
        <v>4.2999999999999997E-2</v>
      </c>
      <c r="AZ466" s="1135">
        <v>4.5999999999999999E-2</v>
      </c>
      <c r="BA466" s="1135">
        <v>4.9000000000000002E-2</v>
      </c>
      <c r="BB466" s="1135">
        <v>5.1999999999999998E-2</v>
      </c>
      <c r="BC466" s="1135"/>
      <c r="BD466" s="1132"/>
      <c r="BE466" s="596"/>
      <c r="BF466" s="598"/>
      <c r="BG466" s="598"/>
      <c r="BH466" s="598"/>
      <c r="BI466" s="598"/>
      <c r="BJ466" s="598"/>
      <c r="BK466" s="605"/>
      <c r="BL466" s="658">
        <f t="shared" si="355"/>
        <v>26500</v>
      </c>
      <c r="BM466" s="3">
        <f t="shared" si="356"/>
        <v>42</v>
      </c>
      <c r="BN466" s="3">
        <f t="shared" si="357"/>
        <v>40</v>
      </c>
      <c r="BO466" s="3">
        <f t="shared" si="358"/>
        <v>18</v>
      </c>
    </row>
    <row r="467" spans="2:67">
      <c r="B467" s="606" t="s">
        <v>2753</v>
      </c>
      <c r="C467" s="607" t="s">
        <v>310</v>
      </c>
      <c r="D467" s="607" t="s">
        <v>2744</v>
      </c>
      <c r="E467" s="238" t="s">
        <v>125</v>
      </c>
      <c r="F467" s="592">
        <v>464</v>
      </c>
      <c r="G467" s="609">
        <v>7170</v>
      </c>
      <c r="H467" s="610">
        <v>3584</v>
      </c>
      <c r="I467" s="611">
        <v>5540</v>
      </c>
      <c r="J467" s="166">
        <f t="shared" si="346"/>
        <v>143</v>
      </c>
      <c r="K467" s="167">
        <f t="shared" si="347"/>
        <v>71</v>
      </c>
      <c r="L467" s="168">
        <f t="shared" si="348"/>
        <v>110</v>
      </c>
      <c r="M467" s="166">
        <f t="shared" si="349"/>
        <v>215</v>
      </c>
      <c r="N467" s="167">
        <f t="shared" si="350"/>
        <v>107</v>
      </c>
      <c r="O467" s="168">
        <f t="shared" si="351"/>
        <v>166</v>
      </c>
      <c r="P467" s="169">
        <f t="shared" si="352"/>
        <v>286</v>
      </c>
      <c r="Q467" s="169">
        <f t="shared" si="353"/>
        <v>143</v>
      </c>
      <c r="R467" s="169">
        <f t="shared" si="354"/>
        <v>221</v>
      </c>
      <c r="S467" s="584">
        <f t="shared" si="325"/>
        <v>2151</v>
      </c>
      <c r="T467" s="594">
        <f t="shared" si="326"/>
        <v>1075</v>
      </c>
      <c r="U467" s="595">
        <f t="shared" si="327"/>
        <v>1662</v>
      </c>
      <c r="V467" s="166">
        <f t="shared" si="328"/>
        <v>4444</v>
      </c>
      <c r="W467" s="167">
        <f t="shared" si="329"/>
        <v>2216</v>
      </c>
      <c r="X467" s="168">
        <f t="shared" si="330"/>
        <v>3432</v>
      </c>
      <c r="Y467" s="166">
        <f t="shared" si="331"/>
        <v>5016</v>
      </c>
      <c r="Z467" s="167">
        <f t="shared" si="332"/>
        <v>2502</v>
      </c>
      <c r="AA467" s="168">
        <f t="shared" si="333"/>
        <v>3874</v>
      </c>
      <c r="AB467" s="166">
        <f t="shared" si="334"/>
        <v>5588</v>
      </c>
      <c r="AC467" s="167">
        <f t="shared" si="335"/>
        <v>2788</v>
      </c>
      <c r="AD467" s="168">
        <f t="shared" si="336"/>
        <v>4316</v>
      </c>
      <c r="AE467" s="166">
        <f t="shared" si="337"/>
        <v>5874</v>
      </c>
      <c r="AF467" s="167">
        <f t="shared" si="338"/>
        <v>3074</v>
      </c>
      <c r="AG467" s="168">
        <f t="shared" si="339"/>
        <v>4758</v>
      </c>
      <c r="AH467" s="166">
        <f t="shared" si="340"/>
        <v>6446</v>
      </c>
      <c r="AI467" s="167">
        <f t="shared" si="341"/>
        <v>3217</v>
      </c>
      <c r="AJ467" s="168">
        <f t="shared" si="342"/>
        <v>5421</v>
      </c>
      <c r="AK467" s="169">
        <f t="shared" si="343"/>
        <v>7313</v>
      </c>
      <c r="AL467" s="167">
        <f t="shared" si="344"/>
        <v>3655</v>
      </c>
      <c r="AM467" s="585">
        <f t="shared" si="345"/>
        <v>5650</v>
      </c>
      <c r="AN467" s="614">
        <v>0.25</v>
      </c>
      <c r="AO467" s="615">
        <v>0.28000000000000003</v>
      </c>
      <c r="AP467" s="615">
        <v>0.31</v>
      </c>
      <c r="AQ467" s="616">
        <v>0.34</v>
      </c>
      <c r="AR467" s="612">
        <v>0.37</v>
      </c>
      <c r="AS467" s="617"/>
      <c r="AT467" s="618"/>
      <c r="AU467" s="618"/>
      <c r="AV467" s="618"/>
      <c r="AW467" s="619"/>
      <c r="AX467" s="614">
        <v>0.05</v>
      </c>
      <c r="AY467" s="616">
        <v>5.5E-2</v>
      </c>
      <c r="AZ467" s="616">
        <v>0.06</v>
      </c>
      <c r="BA467" s="616">
        <v>6.5000000000000002E-2</v>
      </c>
      <c r="BB467" s="616">
        <v>7.0000000000000007E-2</v>
      </c>
      <c r="BC467" s="616"/>
      <c r="BD467" s="612"/>
      <c r="BE467" s="596"/>
      <c r="BF467" s="598"/>
      <c r="BG467" s="598"/>
      <c r="BH467" s="598"/>
      <c r="BI467" s="598"/>
      <c r="BJ467" s="598"/>
      <c r="BK467" s="605"/>
      <c r="BL467" s="658">
        <f t="shared" si="355"/>
        <v>16300</v>
      </c>
      <c r="BM467" s="3">
        <f t="shared" si="356"/>
        <v>44</v>
      </c>
      <c r="BN467" s="3">
        <f t="shared" si="357"/>
        <v>22</v>
      </c>
      <c r="BO467" s="3">
        <f t="shared" si="358"/>
        <v>34</v>
      </c>
    </row>
    <row r="468" spans="2:67">
      <c r="B468" s="606" t="s">
        <v>2752</v>
      </c>
      <c r="C468" s="607" t="s">
        <v>310</v>
      </c>
      <c r="D468" s="607" t="s">
        <v>2735</v>
      </c>
      <c r="E468" s="613" t="s">
        <v>125</v>
      </c>
      <c r="F468" s="608">
        <v>465</v>
      </c>
      <c r="G468" s="609">
        <v>3910</v>
      </c>
      <c r="H468" s="610">
        <v>6844</v>
      </c>
      <c r="I468" s="611">
        <v>5540</v>
      </c>
      <c r="J468" s="166">
        <f t="shared" si="346"/>
        <v>78</v>
      </c>
      <c r="K468" s="167">
        <f t="shared" si="347"/>
        <v>136</v>
      </c>
      <c r="L468" s="168">
        <f t="shared" si="348"/>
        <v>110</v>
      </c>
      <c r="M468" s="166">
        <f t="shared" si="349"/>
        <v>117</v>
      </c>
      <c r="N468" s="167">
        <f t="shared" si="350"/>
        <v>205</v>
      </c>
      <c r="O468" s="168">
        <f t="shared" si="351"/>
        <v>166</v>
      </c>
      <c r="P468" s="169">
        <f t="shared" si="352"/>
        <v>156</v>
      </c>
      <c r="Q468" s="169">
        <f t="shared" si="353"/>
        <v>273</v>
      </c>
      <c r="R468" s="169">
        <f t="shared" si="354"/>
        <v>221</v>
      </c>
      <c r="S468" s="584">
        <f t="shared" si="325"/>
        <v>1173</v>
      </c>
      <c r="T468" s="594">
        <f t="shared" si="326"/>
        <v>2053</v>
      </c>
      <c r="U468" s="595">
        <f t="shared" si="327"/>
        <v>1662</v>
      </c>
      <c r="V468" s="166">
        <f t="shared" si="328"/>
        <v>2421</v>
      </c>
      <c r="W468" s="167">
        <f t="shared" si="329"/>
        <v>4239</v>
      </c>
      <c r="X468" s="168">
        <f t="shared" si="330"/>
        <v>3432</v>
      </c>
      <c r="Y468" s="166">
        <f t="shared" si="331"/>
        <v>2733</v>
      </c>
      <c r="Z468" s="167">
        <f t="shared" si="332"/>
        <v>4785</v>
      </c>
      <c r="AA468" s="168">
        <f t="shared" si="333"/>
        <v>3874</v>
      </c>
      <c r="AB468" s="166">
        <f t="shared" si="334"/>
        <v>3045</v>
      </c>
      <c r="AC468" s="167">
        <f t="shared" si="335"/>
        <v>5331</v>
      </c>
      <c r="AD468" s="168">
        <f t="shared" si="336"/>
        <v>4316</v>
      </c>
      <c r="AE468" s="166">
        <f t="shared" si="337"/>
        <v>3357</v>
      </c>
      <c r="AF468" s="167">
        <f t="shared" si="338"/>
        <v>5604</v>
      </c>
      <c r="AG468" s="168">
        <f t="shared" si="339"/>
        <v>4758</v>
      </c>
      <c r="AH468" s="166">
        <f t="shared" si="340"/>
        <v>3825</v>
      </c>
      <c r="AI468" s="167">
        <f t="shared" si="341"/>
        <v>6150</v>
      </c>
      <c r="AJ468" s="168">
        <f t="shared" si="342"/>
        <v>4979</v>
      </c>
      <c r="AK468" s="169">
        <f t="shared" si="343"/>
        <v>3988</v>
      </c>
      <c r="AL468" s="167">
        <f t="shared" si="344"/>
        <v>6980</v>
      </c>
      <c r="AM468" s="585">
        <f t="shared" si="345"/>
        <v>5650</v>
      </c>
      <c r="AN468" s="614">
        <v>0.2</v>
      </c>
      <c r="AO468" s="615">
        <v>0.23</v>
      </c>
      <c r="AP468" s="615">
        <v>0.26</v>
      </c>
      <c r="AQ468" s="616">
        <v>0.28999999999999998</v>
      </c>
      <c r="AR468" s="612">
        <v>0.32</v>
      </c>
      <c r="AS468" s="617"/>
      <c r="AT468" s="618"/>
      <c r="AU468" s="618"/>
      <c r="AV468" s="618"/>
      <c r="AW468" s="619"/>
      <c r="AX468" s="614">
        <v>0.05</v>
      </c>
      <c r="AY468" s="616">
        <v>5.5E-2</v>
      </c>
      <c r="AZ468" s="616">
        <v>0.06</v>
      </c>
      <c r="BA468" s="616">
        <v>6.5000000000000002E-2</v>
      </c>
      <c r="BB468" s="616">
        <v>7.0000000000000007E-2</v>
      </c>
      <c r="BC468" s="616"/>
      <c r="BD468" s="612"/>
      <c r="BE468" s="596"/>
      <c r="BF468" s="598"/>
      <c r="BG468" s="598"/>
      <c r="BH468" s="598"/>
      <c r="BI468" s="598"/>
      <c r="BJ468" s="598"/>
      <c r="BK468" s="605"/>
      <c r="BL468" s="658">
        <f t="shared" si="355"/>
        <v>16300</v>
      </c>
      <c r="BM468" s="3">
        <f t="shared" si="356"/>
        <v>24</v>
      </c>
      <c r="BN468" s="3">
        <f t="shared" si="357"/>
        <v>42</v>
      </c>
      <c r="BO468" s="3">
        <f t="shared" si="358"/>
        <v>34</v>
      </c>
    </row>
    <row r="469" spans="2:67">
      <c r="B469" s="1271" t="s">
        <v>2767</v>
      </c>
      <c r="C469" s="1069" t="s">
        <v>2768</v>
      </c>
      <c r="D469" s="1069" t="s">
        <v>2769</v>
      </c>
      <c r="E469" s="1268" t="s">
        <v>939</v>
      </c>
      <c r="F469" s="592">
        <v>466</v>
      </c>
      <c r="G469" s="1071">
        <v>13760</v>
      </c>
      <c r="H469" s="1072">
        <v>5760</v>
      </c>
      <c r="I469" s="1073">
        <v>12480</v>
      </c>
      <c r="J469" s="166">
        <f t="shared" si="346"/>
        <v>275</v>
      </c>
      <c r="K469" s="167">
        <f t="shared" si="347"/>
        <v>115</v>
      </c>
      <c r="L469" s="168">
        <f t="shared" si="348"/>
        <v>249</v>
      </c>
      <c r="M469" s="166">
        <f t="shared" si="349"/>
        <v>344</v>
      </c>
      <c r="N469" s="167">
        <f t="shared" si="350"/>
        <v>144</v>
      </c>
      <c r="O469" s="168">
        <f t="shared" si="351"/>
        <v>312</v>
      </c>
      <c r="P469" s="169">
        <f t="shared" si="352"/>
        <v>516</v>
      </c>
      <c r="Q469" s="169">
        <f t="shared" si="353"/>
        <v>216</v>
      </c>
      <c r="R469" s="169">
        <f t="shared" si="354"/>
        <v>468</v>
      </c>
      <c r="S469" s="584">
        <f t="shared" si="325"/>
        <v>3440</v>
      </c>
      <c r="T469" s="594">
        <f t="shared" si="326"/>
        <v>1440</v>
      </c>
      <c r="U469" s="595">
        <f t="shared" si="327"/>
        <v>3120</v>
      </c>
      <c r="V469" s="166">
        <f t="shared" si="328"/>
        <v>7843</v>
      </c>
      <c r="W469" s="167">
        <f t="shared" si="329"/>
        <v>3283</v>
      </c>
      <c r="X469" s="168">
        <f t="shared" si="330"/>
        <v>7113</v>
      </c>
      <c r="Y469" s="166">
        <f t="shared" si="331"/>
        <v>8359</v>
      </c>
      <c r="Z469" s="167">
        <f t="shared" si="332"/>
        <v>3931</v>
      </c>
      <c r="AA469" s="168">
        <f t="shared" si="333"/>
        <v>8049</v>
      </c>
      <c r="AB469" s="166">
        <f t="shared" si="334"/>
        <v>9907</v>
      </c>
      <c r="AC469" s="167">
        <f t="shared" si="335"/>
        <v>4147</v>
      </c>
      <c r="AD469" s="168">
        <f t="shared" si="336"/>
        <v>9453</v>
      </c>
      <c r="AE469" s="166">
        <f t="shared" si="337"/>
        <v>11971</v>
      </c>
      <c r="AF469" s="167">
        <f t="shared" si="338"/>
        <v>4579</v>
      </c>
      <c r="AG469" s="168">
        <f t="shared" si="339"/>
        <v>10389</v>
      </c>
      <c r="AH469" s="166">
        <f t="shared" si="340"/>
        <v>13003</v>
      </c>
      <c r="AI469" s="167">
        <f t="shared" si="341"/>
        <v>5443</v>
      </c>
      <c r="AJ469" s="168">
        <f t="shared" si="342"/>
        <v>11325</v>
      </c>
      <c r="AK469" s="169">
        <f t="shared" si="343"/>
        <v>14035</v>
      </c>
      <c r="AL469" s="167">
        <f t="shared" si="344"/>
        <v>5875</v>
      </c>
      <c r="AM469" s="585">
        <f t="shared" si="345"/>
        <v>12729</v>
      </c>
      <c r="AN469" s="1133">
        <v>0.38</v>
      </c>
      <c r="AO469" s="1134">
        <v>0.38500000000000001</v>
      </c>
      <c r="AP469" s="1134">
        <v>0.39</v>
      </c>
      <c r="AQ469" s="1135">
        <v>0.39500000000000002</v>
      </c>
      <c r="AR469" s="1132">
        <v>0.4</v>
      </c>
      <c r="AS469" s="1136"/>
      <c r="AT469" s="1137"/>
      <c r="AU469" s="1137"/>
      <c r="AV469" s="1137"/>
      <c r="AW469" s="1138"/>
      <c r="AX469" s="1133">
        <v>0.05</v>
      </c>
      <c r="AY469" s="1135">
        <v>5.5E-2</v>
      </c>
      <c r="AZ469" s="1135">
        <v>0.06</v>
      </c>
      <c r="BA469" s="1135">
        <v>6.5000000000000002E-2</v>
      </c>
      <c r="BB469" s="1135">
        <v>7.0000000000000007E-2</v>
      </c>
      <c r="BC469" s="1135"/>
      <c r="BD469" s="1132"/>
      <c r="BE469" s="596"/>
      <c r="BF469" s="598"/>
      <c r="BG469" s="598"/>
      <c r="BH469" s="598"/>
      <c r="BI469" s="598"/>
      <c r="BJ469" s="598"/>
      <c r="BK469" s="605"/>
      <c r="BL469" s="658">
        <f t="shared" si="355"/>
        <v>32000</v>
      </c>
      <c r="BM469" s="3">
        <f t="shared" si="356"/>
        <v>43</v>
      </c>
      <c r="BN469" s="3">
        <f t="shared" si="357"/>
        <v>18</v>
      </c>
      <c r="BO469" s="3">
        <f t="shared" si="358"/>
        <v>39</v>
      </c>
    </row>
    <row r="470" spans="2:67">
      <c r="B470" s="1271" t="s">
        <v>2775</v>
      </c>
      <c r="C470" s="1069" t="s">
        <v>309</v>
      </c>
      <c r="D470" s="1069" t="s">
        <v>2776</v>
      </c>
      <c r="E470" s="1268" t="s">
        <v>939</v>
      </c>
      <c r="F470" s="1070">
        <v>467</v>
      </c>
      <c r="G470" s="1071">
        <v>14400</v>
      </c>
      <c r="H470" s="1072">
        <v>4160</v>
      </c>
      <c r="I470" s="1073">
        <v>13440</v>
      </c>
      <c r="J470" s="166">
        <f t="shared" si="346"/>
        <v>288</v>
      </c>
      <c r="K470" s="167">
        <f t="shared" si="347"/>
        <v>83</v>
      </c>
      <c r="L470" s="168">
        <f t="shared" si="348"/>
        <v>268</v>
      </c>
      <c r="M470" s="166">
        <f t="shared" si="349"/>
        <v>360</v>
      </c>
      <c r="N470" s="167">
        <f t="shared" si="350"/>
        <v>104</v>
      </c>
      <c r="O470" s="168">
        <f t="shared" si="351"/>
        <v>336</v>
      </c>
      <c r="P470" s="169">
        <f t="shared" si="352"/>
        <v>540</v>
      </c>
      <c r="Q470" s="169">
        <f t="shared" si="353"/>
        <v>156</v>
      </c>
      <c r="R470" s="169">
        <f t="shared" si="354"/>
        <v>504</v>
      </c>
      <c r="S470" s="584">
        <f t="shared" si="325"/>
        <v>3600</v>
      </c>
      <c r="T470" s="594">
        <f t="shared" si="326"/>
        <v>1040</v>
      </c>
      <c r="U470" s="595">
        <f t="shared" si="327"/>
        <v>3360</v>
      </c>
      <c r="V470" s="166">
        <f t="shared" si="328"/>
        <v>8208</v>
      </c>
      <c r="W470" s="167">
        <f t="shared" si="329"/>
        <v>2371</v>
      </c>
      <c r="X470" s="168">
        <f t="shared" si="330"/>
        <v>7660</v>
      </c>
      <c r="Y470" s="166">
        <f t="shared" si="331"/>
        <v>9288</v>
      </c>
      <c r="Z470" s="167">
        <f t="shared" si="332"/>
        <v>2527</v>
      </c>
      <c r="AA470" s="168">
        <f t="shared" si="333"/>
        <v>9172</v>
      </c>
      <c r="AB470" s="166">
        <f t="shared" si="334"/>
        <v>10908</v>
      </c>
      <c r="AC470" s="167">
        <f t="shared" si="335"/>
        <v>2995</v>
      </c>
      <c r="AD470" s="168">
        <f t="shared" si="336"/>
        <v>9676</v>
      </c>
      <c r="AE470" s="166">
        <f t="shared" si="337"/>
        <v>11988</v>
      </c>
      <c r="AF470" s="167">
        <f t="shared" si="338"/>
        <v>3619</v>
      </c>
      <c r="AG470" s="168">
        <f t="shared" si="339"/>
        <v>10684</v>
      </c>
      <c r="AH470" s="166">
        <f t="shared" si="340"/>
        <v>13068</v>
      </c>
      <c r="AI470" s="167">
        <f t="shared" si="341"/>
        <v>3931</v>
      </c>
      <c r="AJ470" s="168">
        <f t="shared" si="342"/>
        <v>12700</v>
      </c>
      <c r="AK470" s="169">
        <f t="shared" si="343"/>
        <v>14688</v>
      </c>
      <c r="AL470" s="167">
        <f t="shared" si="344"/>
        <v>4243</v>
      </c>
      <c r="AM470" s="585">
        <f t="shared" si="345"/>
        <v>13708</v>
      </c>
      <c r="AN470" s="596">
        <v>0.3</v>
      </c>
      <c r="AO470" s="597">
        <v>0.33</v>
      </c>
      <c r="AP470" s="597">
        <v>0.36</v>
      </c>
      <c r="AQ470" s="598">
        <v>0.39</v>
      </c>
      <c r="AR470" s="599">
        <v>0.42</v>
      </c>
      <c r="AS470" s="1136"/>
      <c r="AT470" s="1137"/>
      <c r="AU470" s="1137"/>
      <c r="AV470" s="1137"/>
      <c r="AW470" s="1138"/>
      <c r="AX470" s="1133">
        <v>0.05</v>
      </c>
      <c r="AY470" s="1135">
        <v>5.5E-2</v>
      </c>
      <c r="AZ470" s="1135">
        <v>0.06</v>
      </c>
      <c r="BA470" s="1135">
        <v>6.5000000000000002E-2</v>
      </c>
      <c r="BB470" s="1135">
        <v>7.0000000000000007E-2</v>
      </c>
      <c r="BC470" s="1135"/>
      <c r="BD470" s="1132"/>
      <c r="BE470" s="596"/>
      <c r="BF470" s="598"/>
      <c r="BG470" s="598"/>
      <c r="BH470" s="598"/>
      <c r="BI470" s="598"/>
      <c r="BJ470" s="598"/>
      <c r="BK470" s="605"/>
      <c r="BL470" s="658">
        <f t="shared" si="355"/>
        <v>32000</v>
      </c>
      <c r="BM470" s="3">
        <f t="shared" si="356"/>
        <v>45</v>
      </c>
      <c r="BN470" s="3">
        <f t="shared" si="357"/>
        <v>13</v>
      </c>
      <c r="BO470" s="3">
        <f t="shared" si="358"/>
        <v>42</v>
      </c>
    </row>
    <row r="471" spans="2:67">
      <c r="B471" s="606" t="s">
        <v>2781</v>
      </c>
      <c r="C471" s="607" t="s">
        <v>310</v>
      </c>
      <c r="D471" s="607" t="s">
        <v>2782</v>
      </c>
      <c r="E471" s="613" t="s">
        <v>1150</v>
      </c>
      <c r="F471" s="592">
        <v>468</v>
      </c>
      <c r="G471" s="609">
        <v>5790</v>
      </c>
      <c r="H471" s="610">
        <v>8490</v>
      </c>
      <c r="I471" s="611">
        <v>5017</v>
      </c>
      <c r="J471" s="166">
        <f t="shared" si="346"/>
        <v>115</v>
      </c>
      <c r="K471" s="167">
        <f t="shared" si="347"/>
        <v>169</v>
      </c>
      <c r="L471" s="168">
        <f t="shared" si="348"/>
        <v>100</v>
      </c>
      <c r="M471" s="166">
        <f t="shared" si="349"/>
        <v>173</v>
      </c>
      <c r="N471" s="167">
        <f t="shared" si="350"/>
        <v>254</v>
      </c>
      <c r="O471" s="168">
        <f t="shared" si="351"/>
        <v>150</v>
      </c>
      <c r="P471" s="169">
        <f t="shared" si="352"/>
        <v>231</v>
      </c>
      <c r="Q471" s="169">
        <f t="shared" si="353"/>
        <v>339</v>
      </c>
      <c r="R471" s="169">
        <f t="shared" si="354"/>
        <v>200</v>
      </c>
      <c r="S471" s="584">
        <f t="shared" si="325"/>
        <v>1737</v>
      </c>
      <c r="T471" s="594">
        <f t="shared" si="326"/>
        <v>2547</v>
      </c>
      <c r="U471" s="595">
        <f t="shared" si="327"/>
        <v>1505</v>
      </c>
      <c r="V471" s="166">
        <f t="shared" si="328"/>
        <v>3582</v>
      </c>
      <c r="W471" s="167">
        <f t="shared" si="329"/>
        <v>5256</v>
      </c>
      <c r="X471" s="168">
        <f t="shared" si="330"/>
        <v>3105</v>
      </c>
      <c r="Y471" s="166">
        <f t="shared" si="331"/>
        <v>4044</v>
      </c>
      <c r="Z471" s="167">
        <f t="shared" si="332"/>
        <v>5934</v>
      </c>
      <c r="AA471" s="168">
        <f t="shared" si="333"/>
        <v>3505</v>
      </c>
      <c r="AB471" s="166">
        <f t="shared" si="334"/>
        <v>4506</v>
      </c>
      <c r="AC471" s="167">
        <f t="shared" si="335"/>
        <v>6612</v>
      </c>
      <c r="AD471" s="168">
        <f t="shared" si="336"/>
        <v>3905</v>
      </c>
      <c r="AE471" s="166">
        <f t="shared" si="337"/>
        <v>4968</v>
      </c>
      <c r="AF471" s="167">
        <f t="shared" si="338"/>
        <v>6951</v>
      </c>
      <c r="AG471" s="168">
        <f t="shared" si="339"/>
        <v>4305</v>
      </c>
      <c r="AH471" s="166">
        <f t="shared" si="340"/>
        <v>5661</v>
      </c>
      <c r="AI471" s="167">
        <f t="shared" si="341"/>
        <v>7629</v>
      </c>
      <c r="AJ471" s="168">
        <f t="shared" si="342"/>
        <v>4505</v>
      </c>
      <c r="AK471" s="169">
        <f t="shared" si="343"/>
        <v>5905</v>
      </c>
      <c r="AL471" s="167">
        <f t="shared" si="344"/>
        <v>8659</v>
      </c>
      <c r="AM471" s="585">
        <f t="shared" si="345"/>
        <v>5117</v>
      </c>
      <c r="AN471" s="614">
        <v>0.2</v>
      </c>
      <c r="AO471" s="615">
        <v>0.23</v>
      </c>
      <c r="AP471" s="615">
        <v>0.26</v>
      </c>
      <c r="AQ471" s="616">
        <v>0.28999999999999998</v>
      </c>
      <c r="AR471" s="612">
        <v>0.32</v>
      </c>
      <c r="AS471" s="617"/>
      <c r="AT471" s="618"/>
      <c r="AU471" s="618"/>
      <c r="AV471" s="618"/>
      <c r="AW471" s="619"/>
      <c r="AX471" s="596">
        <v>0.02</v>
      </c>
      <c r="AY471" s="598">
        <v>2.3E-2</v>
      </c>
      <c r="AZ471" s="598">
        <v>2.5999999999999999E-2</v>
      </c>
      <c r="BA471" s="598">
        <v>2.9000000000000001E-2</v>
      </c>
      <c r="BB471" s="598">
        <v>3.2000000000000001E-2</v>
      </c>
      <c r="BC471" s="616"/>
      <c r="BD471" s="612"/>
      <c r="BE471" s="596"/>
      <c r="BF471" s="598"/>
      <c r="BG471" s="598"/>
      <c r="BH471" s="598"/>
      <c r="BI471" s="598"/>
      <c r="BJ471" s="598"/>
      <c r="BK471" s="605"/>
      <c r="BL471" s="658">
        <f t="shared" si="355"/>
        <v>19300</v>
      </c>
      <c r="BM471" s="3">
        <f t="shared" si="356"/>
        <v>30</v>
      </c>
      <c r="BN471" s="3">
        <f t="shared" si="357"/>
        <v>44</v>
      </c>
      <c r="BO471" s="3">
        <f t="shared" si="358"/>
        <v>26</v>
      </c>
    </row>
    <row r="472" spans="2:67">
      <c r="B472" s="606" t="s">
        <v>2785</v>
      </c>
      <c r="C472" s="607" t="s">
        <v>310</v>
      </c>
      <c r="D472" s="607" t="s">
        <v>2769</v>
      </c>
      <c r="E472" s="613" t="s">
        <v>1150</v>
      </c>
      <c r="F472" s="608">
        <v>469</v>
      </c>
      <c r="G472" s="609">
        <v>5403</v>
      </c>
      <c r="H472" s="610">
        <v>6174</v>
      </c>
      <c r="I472" s="611">
        <v>7720</v>
      </c>
      <c r="J472" s="166">
        <f t="shared" si="346"/>
        <v>108</v>
      </c>
      <c r="K472" s="167">
        <f t="shared" si="347"/>
        <v>123</v>
      </c>
      <c r="L472" s="168">
        <f t="shared" si="348"/>
        <v>154</v>
      </c>
      <c r="M472" s="166">
        <f t="shared" si="349"/>
        <v>162</v>
      </c>
      <c r="N472" s="167">
        <f t="shared" si="350"/>
        <v>185</v>
      </c>
      <c r="O472" s="168">
        <f t="shared" si="351"/>
        <v>231</v>
      </c>
      <c r="P472" s="169">
        <f t="shared" si="352"/>
        <v>216</v>
      </c>
      <c r="Q472" s="169">
        <f t="shared" si="353"/>
        <v>247</v>
      </c>
      <c r="R472" s="169">
        <f t="shared" si="354"/>
        <v>308</v>
      </c>
      <c r="S472" s="584">
        <f t="shared" si="325"/>
        <v>1621</v>
      </c>
      <c r="T472" s="594">
        <f t="shared" si="326"/>
        <v>1852</v>
      </c>
      <c r="U472" s="595">
        <f t="shared" si="327"/>
        <v>2316</v>
      </c>
      <c r="V472" s="166">
        <f t="shared" si="328"/>
        <v>3349</v>
      </c>
      <c r="W472" s="167">
        <f t="shared" si="329"/>
        <v>3825</v>
      </c>
      <c r="X472" s="168">
        <f t="shared" si="330"/>
        <v>4780</v>
      </c>
      <c r="Y472" s="166">
        <f t="shared" si="331"/>
        <v>3781</v>
      </c>
      <c r="Z472" s="167">
        <f t="shared" si="332"/>
        <v>4319</v>
      </c>
      <c r="AA472" s="168">
        <f t="shared" si="333"/>
        <v>5396</v>
      </c>
      <c r="AB472" s="166">
        <f t="shared" si="334"/>
        <v>4213</v>
      </c>
      <c r="AC472" s="167">
        <f t="shared" si="335"/>
        <v>4813</v>
      </c>
      <c r="AD472" s="168">
        <f t="shared" si="336"/>
        <v>6012</v>
      </c>
      <c r="AE472" s="166">
        <f t="shared" si="337"/>
        <v>4645</v>
      </c>
      <c r="AF472" s="167">
        <f t="shared" si="338"/>
        <v>5307</v>
      </c>
      <c r="AG472" s="168">
        <f t="shared" si="339"/>
        <v>6320</v>
      </c>
      <c r="AH472" s="166">
        <f t="shared" si="340"/>
        <v>4861</v>
      </c>
      <c r="AI472" s="167">
        <f t="shared" si="341"/>
        <v>6048</v>
      </c>
      <c r="AJ472" s="168">
        <f t="shared" si="342"/>
        <v>6936</v>
      </c>
      <c r="AK472" s="169">
        <f t="shared" si="343"/>
        <v>5511</v>
      </c>
      <c r="AL472" s="167">
        <f t="shared" si="344"/>
        <v>6297</v>
      </c>
      <c r="AM472" s="585">
        <f t="shared" si="345"/>
        <v>7874</v>
      </c>
      <c r="AN472" s="614">
        <v>0.05</v>
      </c>
      <c r="AO472" s="615">
        <v>5.5E-2</v>
      </c>
      <c r="AP472" s="615">
        <v>0.06</v>
      </c>
      <c r="AQ472" s="616">
        <v>6.5000000000000002E-2</v>
      </c>
      <c r="AR472" s="612">
        <v>7.0000000000000007E-2</v>
      </c>
      <c r="AS472" s="617"/>
      <c r="AT472" s="618"/>
      <c r="AU472" s="618"/>
      <c r="AV472" s="618"/>
      <c r="AW472" s="619"/>
      <c r="AX472" s="596">
        <v>0.02</v>
      </c>
      <c r="AY472" s="598">
        <v>2.3E-2</v>
      </c>
      <c r="AZ472" s="598">
        <v>2.5999999999999999E-2</v>
      </c>
      <c r="BA472" s="598">
        <v>2.9000000000000001E-2</v>
      </c>
      <c r="BB472" s="598">
        <v>3.2000000000000001E-2</v>
      </c>
      <c r="BC472" s="616"/>
      <c r="BD472" s="612"/>
      <c r="BE472" s="596"/>
      <c r="BF472" s="598"/>
      <c r="BG472" s="598"/>
      <c r="BH472" s="598"/>
      <c r="BI472" s="598"/>
      <c r="BJ472" s="598"/>
      <c r="BK472" s="605"/>
      <c r="BL472" s="658">
        <f t="shared" si="355"/>
        <v>19300</v>
      </c>
      <c r="BM472" s="3">
        <f t="shared" si="356"/>
        <v>28</v>
      </c>
      <c r="BN472" s="3">
        <f t="shared" si="357"/>
        <v>32</v>
      </c>
      <c r="BO472" s="3">
        <f t="shared" si="358"/>
        <v>40</v>
      </c>
    </row>
    <row r="473" spans="2:67">
      <c r="B473" s="1271" t="s">
        <v>2816</v>
      </c>
      <c r="C473" s="1069" t="s">
        <v>309</v>
      </c>
      <c r="D473" s="1069" t="s">
        <v>2794</v>
      </c>
      <c r="E473" s="1267" t="s">
        <v>1150</v>
      </c>
      <c r="F473" s="592">
        <v>470</v>
      </c>
      <c r="G473" s="1071">
        <v>12284</v>
      </c>
      <c r="H473" s="1072">
        <v>5040</v>
      </c>
      <c r="I473" s="1073">
        <v>14173</v>
      </c>
      <c r="J473" s="166">
        <f t="shared" si="346"/>
        <v>245</v>
      </c>
      <c r="K473" s="167">
        <f t="shared" si="347"/>
        <v>100</v>
      </c>
      <c r="L473" s="168">
        <f t="shared" si="348"/>
        <v>283</v>
      </c>
      <c r="M473" s="166">
        <f t="shared" si="349"/>
        <v>307</v>
      </c>
      <c r="N473" s="167">
        <f t="shared" si="350"/>
        <v>126</v>
      </c>
      <c r="O473" s="168">
        <f t="shared" si="351"/>
        <v>354</v>
      </c>
      <c r="P473" s="169">
        <f t="shared" si="352"/>
        <v>460</v>
      </c>
      <c r="Q473" s="169">
        <f t="shared" si="353"/>
        <v>189</v>
      </c>
      <c r="R473" s="169">
        <f t="shared" si="354"/>
        <v>531</v>
      </c>
      <c r="S473" s="584">
        <f t="shared" ref="S473:S536" si="359">ROUND(IF($C473="UR",G473*0.25,G473*0.3),0)</f>
        <v>3071</v>
      </c>
      <c r="T473" s="594">
        <f t="shared" ref="T473:T536" si="360">ROUND(IF($C473="UR",H473*0.25,H473*0.3),0)</f>
        <v>1260</v>
      </c>
      <c r="U473" s="595">
        <f t="shared" ref="U473:U536" si="361">ROUND(IF($C473="UR",I473*0.25,I473*0.3),0)</f>
        <v>3543</v>
      </c>
      <c r="V473" s="166">
        <f t="shared" ref="V473:V536" si="362">(IF($C473="UR",IF($E473="party卡",18,12))+IF($C473="SR",10)+IF($C473="R",8))*M473+J473+S473</f>
        <v>7000</v>
      </c>
      <c r="W473" s="167">
        <f t="shared" ref="W473:W536" si="363">(IF($C473="UR",IF($E473="party卡",18,12))+IF($C473="SR",10)+IF($C473="R",8))*N473+K473+T473</f>
        <v>2872</v>
      </c>
      <c r="X473" s="168">
        <f t="shared" ref="X473:X536" si="364">(IF($C473="UR",IF($E473="party卡",18,12))+IF($C473="SR",10)+IF($C473="R",8))*O473+L473+U473</f>
        <v>8074</v>
      </c>
      <c r="Y473" s="166">
        <f t="shared" ref="Y473:Y536" si="365">V473+(IF(C473="UR",IF(E473="party卡",IF(D473="gd",1,2),IF(D473="vo",2)+IF(D473="sp",1)+IF(D473="gd",3)+IF(D473="sk",1)))+IF(C473="SR",2)+IF(C473="R",IF(D473="vo",1)+IF(D473="sp",2)+IF(D473="gd",1)+IF(D473="sk",2)))*P473</f>
        <v>7460</v>
      </c>
      <c r="Z473" s="167">
        <f t="shared" ref="Z473:Z536" si="366">W473+(IF(C473="UR",IF(E473="party卡",IF(D473="sp",1,2),IF(D473="vo",1)+IF(D473="sp",3)+IF(D473="gd",2)+IF(D473="sk",2)))+IF(C473="SR",2)+IF(C473="R",IF(D473="vo",2)+IF(D473="sp",1)+IF(D473="gd",1)+IF(D473="sk",1)))*Q473</f>
        <v>3250</v>
      </c>
      <c r="AA473" s="168">
        <f t="shared" ref="AA473:AA536" si="367">X473+(IF(C473="UR",IF(E473="party卡",IF(OR(D473="vo",D473="sk"),1,2),IF(D473="vo",3)+IF(D473="sp",2)+IF(D473="gd",1)+IF(D473="sk",3)))+IF(C473="SR",2)+IF(C473="R",IF(D473="vo",1)+IF(D473="sp",1)+IF(D473="gd",2)+IF(D473="sk",1)))*R473</f>
        <v>9667</v>
      </c>
      <c r="AB473" s="166">
        <f t="shared" ref="AB473:AB536" si="368">V473+(IF(C473="UR",IF(E473="party卡",IF(OR(D473="sp",D473="sk"),3,2),IF(D473="vo",5)+IF(D473="sp",4)+IF(D473="gd",4)+IF(D473="sk",4)))+IF(C473="SR",4)+IF(C473="R",IF(D473="vo",3)+IF(D473="sp",3)+IF(D473="gd",2)+IF(D473="sk",3)))*P473</f>
        <v>8840</v>
      </c>
      <c r="AC473" s="167">
        <f t="shared" ref="AC473:AC536" si="369">W473+(IF(C473="UR",IF(E473="party卡",IF(D473="vo",3,2),IF(D473="vo",4)+IF(D473="sp",4)+IF(D473="gd",5)+IF(D473="sk",5)))+IF(C473="SR",4)+IF(C473="R",IF(D473="vo",3)+IF(D473="sp",2)+IF(D473="gd",3)+IF(D473="sk",3)))*Q473</f>
        <v>3817</v>
      </c>
      <c r="AD473" s="168">
        <f t="shared" ref="AD473:AD536" si="370">X473+(IF(C473="UR",IF(E473="party卡",IF(D473="gd",3,2),IF(D473="vo",4)+IF(D473="sp",5)+IF(D473="gd",4)+IF(D473="sk",4)))+IF(C473="SR",4)+IF(C473="R",IF(D473="vo",2)+IF(D473="sp",3)+IF(D473="gd",3)+IF(D473="sk",2)))*R473</f>
        <v>10198</v>
      </c>
      <c r="AE473" s="166">
        <f t="shared" ref="AE473:AE536" si="371">V473+(IF(C473="UR",IF(E473="party卡",3,IF(D473="vo",7)+IF(D473="sp",8)+IF(D473="gd",6)+IF(D473="sk",8)))+IF(C473="SR",IF(D473="vo",5)+IF(D473="sp",6)+IF(D473="gd",6)+IF(D473="sk",6))+IF(C473="R",IF(D473="vo",5)+IF(D473="sp",4)+IF(D473="gd",4)+IF(D473="sk",4)))*P473</f>
        <v>10680</v>
      </c>
      <c r="AF473" s="167">
        <f t="shared" ref="AF473:AF536" si="372">W473+(IF(C473="UR",IF(E473="party卡",3,IF(D473="vo",8)+IF(D473="sp",6)+IF(D473="gd",7)+IF(D473="sk",7)))+IF(C473="SR",IF(D473="vo",6)+IF(D473="sp",6)+IF(D473="gd",5)+IF(D473="sk",5))+IF(C473="R",IF(D473="vo",4)+IF(D473="sp",4)+IF(D473="gd",5)+IF(D473="sk",5)))*Q473</f>
        <v>4195</v>
      </c>
      <c r="AG473" s="168">
        <f t="shared" ref="AG473:AG536" si="373">X473+(IF(C473="UR",IF(E473="party卡",3,IF(D473="vo",6)+IF(D473="sp",7)+IF(D473="gd",8)+IF(D473="sk",6)))+IF(C473="SR",IF(D473="vo",6)+IF(D473="sp",5)+IF(D473="gd",6)+IF(D473="sk",6))+IF(C473="R",IF(D473="vo",4)+IF(D473="sp",5)+IF(D473="gd",4)+IF(D473="sk",4)))*R473</f>
        <v>11260</v>
      </c>
      <c r="AH473" s="166">
        <f t="shared" ref="AH473:AH536" si="374">V473+(IF(C473="UR",IF(E473="party卡",4,IF(D473="vo",9)+IF(D473="sp",10)+IF(D473="gd",10)+IF(D473="sk",10)))+IF(C473="SR",IF(D473="vo",7)+IF(D473="sp",7)+IF(D473="gd",9)+IF(D473="sk",7))+IF(C473="R",IF(D473="vo",7)+IF(D473="sp",6)+IF(D473="gd",6)+IF(D473="sk",6)))*P473</f>
        <v>11600</v>
      </c>
      <c r="AI473" s="167">
        <f t="shared" ref="AI473:AI536" si="375">W473+(IF(C473="UR",IF(E473="party卡",4,IF(D473="vo",10)+IF(D473="sp",10)+IF(D473="gd",9)+IF(D473="sk",9)))+IF(C473="SR",IF(D473="vo",7)+IF(D473="sp",9)+IF(D473="gd",7)+IF(D473="sk",7))+IF(C473="R",IF(D473="vo",6)+IF(D473="sp",6)+IF(D473="gd",7)+IF(D473="sk",7)))*Q473</f>
        <v>4573</v>
      </c>
      <c r="AJ473" s="168">
        <f t="shared" ref="AJ473:AJ536" si="376">X473+(IF(C473="UR",IF(E473="party卡",4,IF(D473="vo",10)+IF(D473="sp",9)+IF(D473="gd",10)+IF(D473="sk",10)))+IF(C473="SR",IF(D473="vo",9)+IF(D473="sp",7)+IF(D473="gd",7)+IF(D473="sk",9))+IF(C473="R",IF(D473="vo",6)+IF(D473="sp",7)+IF(D473="gd",6)+IF(D473="sk",6)))*R473</f>
        <v>13384</v>
      </c>
      <c r="AK473" s="169">
        <f t="shared" ref="AK473:AK536" si="377">G473+J473</f>
        <v>12529</v>
      </c>
      <c r="AL473" s="167">
        <f t="shared" ref="AL473:AL536" si="378">H473+K473</f>
        <v>5140</v>
      </c>
      <c r="AM473" s="585">
        <f t="shared" ref="AM473:AM536" si="379">I473+L473</f>
        <v>14456</v>
      </c>
      <c r="AN473" s="1133">
        <v>0.26</v>
      </c>
      <c r="AO473" s="1134">
        <v>0.27</v>
      </c>
      <c r="AP473" s="1134">
        <v>0.28000000000000003</v>
      </c>
      <c r="AQ473" s="1135">
        <v>0.28999999999999998</v>
      </c>
      <c r="AR473" s="1132">
        <v>0.3</v>
      </c>
      <c r="AS473" s="1136"/>
      <c r="AT473" s="1137"/>
      <c r="AU473" s="1137"/>
      <c r="AV473" s="1137"/>
      <c r="AW473" s="1138"/>
      <c r="AX473" s="1133">
        <v>0.04</v>
      </c>
      <c r="AY473" s="1135">
        <v>4.2999999999999997E-2</v>
      </c>
      <c r="AZ473" s="1135">
        <v>4.5999999999999999E-2</v>
      </c>
      <c r="BA473" s="1135">
        <v>4.9000000000000002E-2</v>
      </c>
      <c r="BB473" s="1135">
        <v>5.1999999999999998E-2</v>
      </c>
      <c r="BC473" s="1135"/>
      <c r="BD473" s="1132"/>
      <c r="BE473" s="596"/>
      <c r="BF473" s="598"/>
      <c r="BG473" s="598"/>
      <c r="BH473" s="598"/>
      <c r="BI473" s="598"/>
      <c r="BJ473" s="598"/>
      <c r="BK473" s="605"/>
      <c r="BL473" s="658">
        <f t="shared" si="355"/>
        <v>31500</v>
      </c>
      <c r="BM473" s="3">
        <f t="shared" si="356"/>
        <v>39</v>
      </c>
      <c r="BN473" s="3">
        <f t="shared" si="357"/>
        <v>16</v>
      </c>
      <c r="BO473" s="3">
        <f t="shared" si="358"/>
        <v>45</v>
      </c>
    </row>
    <row r="474" spans="2:67">
      <c r="B474" s="606" t="s">
        <v>2797</v>
      </c>
      <c r="C474" s="607" t="s">
        <v>310</v>
      </c>
      <c r="D474" s="607" t="s">
        <v>2798</v>
      </c>
      <c r="E474" s="238" t="s">
        <v>1150</v>
      </c>
      <c r="F474" s="608">
        <v>471</v>
      </c>
      <c r="G474" s="609">
        <v>7140</v>
      </c>
      <c r="H474" s="610">
        <v>5017</v>
      </c>
      <c r="I474" s="611">
        <v>7140</v>
      </c>
      <c r="J474" s="166">
        <f t="shared" si="346"/>
        <v>142</v>
      </c>
      <c r="K474" s="167">
        <f t="shared" si="347"/>
        <v>100</v>
      </c>
      <c r="L474" s="168">
        <f t="shared" si="348"/>
        <v>142</v>
      </c>
      <c r="M474" s="166">
        <f t="shared" si="349"/>
        <v>214</v>
      </c>
      <c r="N474" s="167">
        <f t="shared" si="350"/>
        <v>150</v>
      </c>
      <c r="O474" s="168">
        <f t="shared" si="351"/>
        <v>214</v>
      </c>
      <c r="P474" s="169">
        <f t="shared" si="352"/>
        <v>285</v>
      </c>
      <c r="Q474" s="169">
        <f t="shared" si="353"/>
        <v>200</v>
      </c>
      <c r="R474" s="169">
        <f t="shared" si="354"/>
        <v>285</v>
      </c>
      <c r="S474" s="584">
        <f t="shared" si="359"/>
        <v>2142</v>
      </c>
      <c r="T474" s="594">
        <f t="shared" si="360"/>
        <v>1505</v>
      </c>
      <c r="U474" s="595">
        <f t="shared" si="361"/>
        <v>2142</v>
      </c>
      <c r="V474" s="166">
        <f t="shared" si="362"/>
        <v>4424</v>
      </c>
      <c r="W474" s="167">
        <f t="shared" si="363"/>
        <v>3105</v>
      </c>
      <c r="X474" s="168">
        <f t="shared" si="364"/>
        <v>4424</v>
      </c>
      <c r="Y474" s="166">
        <f t="shared" si="365"/>
        <v>4994</v>
      </c>
      <c r="Z474" s="167">
        <f t="shared" si="366"/>
        <v>3505</v>
      </c>
      <c r="AA474" s="168">
        <f t="shared" si="367"/>
        <v>4994</v>
      </c>
      <c r="AB474" s="166">
        <f t="shared" si="368"/>
        <v>5564</v>
      </c>
      <c r="AC474" s="167">
        <f t="shared" si="369"/>
        <v>3905</v>
      </c>
      <c r="AD474" s="168">
        <f t="shared" si="370"/>
        <v>5564</v>
      </c>
      <c r="AE474" s="166">
        <f t="shared" si="371"/>
        <v>6134</v>
      </c>
      <c r="AF474" s="167">
        <f t="shared" si="372"/>
        <v>4305</v>
      </c>
      <c r="AG474" s="168">
        <f t="shared" si="373"/>
        <v>5849</v>
      </c>
      <c r="AH474" s="166">
        <f t="shared" si="374"/>
        <v>6419</v>
      </c>
      <c r="AI474" s="167">
        <f t="shared" si="375"/>
        <v>4905</v>
      </c>
      <c r="AJ474" s="168">
        <f t="shared" si="376"/>
        <v>6419</v>
      </c>
      <c r="AK474" s="169">
        <f t="shared" si="377"/>
        <v>7282</v>
      </c>
      <c r="AL474" s="167">
        <f t="shared" si="378"/>
        <v>5117</v>
      </c>
      <c r="AM474" s="585">
        <f t="shared" si="379"/>
        <v>7282</v>
      </c>
      <c r="AN474" s="614">
        <v>0.05</v>
      </c>
      <c r="AO474" s="615">
        <v>5.5E-2</v>
      </c>
      <c r="AP474" s="615">
        <v>0.06</v>
      </c>
      <c r="AQ474" s="616">
        <v>6.5000000000000002E-2</v>
      </c>
      <c r="AR474" s="612">
        <v>7.0000000000000007E-2</v>
      </c>
      <c r="AS474" s="617"/>
      <c r="AT474" s="618"/>
      <c r="AU474" s="618"/>
      <c r="AV474" s="618"/>
      <c r="AW474" s="619"/>
      <c r="AX474" s="596">
        <v>0.02</v>
      </c>
      <c r="AY474" s="598">
        <v>2.3E-2</v>
      </c>
      <c r="AZ474" s="598">
        <v>2.5999999999999999E-2</v>
      </c>
      <c r="BA474" s="598">
        <v>2.9000000000000001E-2</v>
      </c>
      <c r="BB474" s="598">
        <v>3.2000000000000001E-2</v>
      </c>
      <c r="BC474" s="616"/>
      <c r="BD474" s="612"/>
      <c r="BE474" s="596"/>
      <c r="BF474" s="598"/>
      <c r="BG474" s="598"/>
      <c r="BH474" s="598"/>
      <c r="BI474" s="598"/>
      <c r="BJ474" s="598"/>
      <c r="BK474" s="605"/>
      <c r="BL474" s="658">
        <f t="shared" si="355"/>
        <v>19300</v>
      </c>
      <c r="BM474" s="3">
        <f t="shared" si="356"/>
        <v>37</v>
      </c>
      <c r="BN474" s="3">
        <f t="shared" si="357"/>
        <v>26</v>
      </c>
      <c r="BO474" s="3">
        <f t="shared" si="358"/>
        <v>37</v>
      </c>
    </row>
    <row r="475" spans="2:67">
      <c r="B475" s="1271" t="s">
        <v>2817</v>
      </c>
      <c r="C475" s="1069" t="s">
        <v>309</v>
      </c>
      <c r="D475" s="1069" t="s">
        <v>2795</v>
      </c>
      <c r="E475" s="1267" t="s">
        <v>1150</v>
      </c>
      <c r="F475" s="1270">
        <v>472</v>
      </c>
      <c r="G475" s="1071">
        <v>10393</v>
      </c>
      <c r="H475" s="1072">
        <v>8189</v>
      </c>
      <c r="I475" s="1073">
        <v>12913</v>
      </c>
      <c r="J475" s="166">
        <f t="shared" si="346"/>
        <v>207</v>
      </c>
      <c r="K475" s="167">
        <f t="shared" si="347"/>
        <v>163</v>
      </c>
      <c r="L475" s="168">
        <f t="shared" si="348"/>
        <v>258</v>
      </c>
      <c r="M475" s="166">
        <f t="shared" si="349"/>
        <v>259</v>
      </c>
      <c r="N475" s="167">
        <f t="shared" si="350"/>
        <v>204</v>
      </c>
      <c r="O475" s="168">
        <f t="shared" si="351"/>
        <v>322</v>
      </c>
      <c r="P475" s="169">
        <f t="shared" si="352"/>
        <v>389</v>
      </c>
      <c r="Q475" s="169">
        <f t="shared" si="353"/>
        <v>307</v>
      </c>
      <c r="R475" s="169">
        <f t="shared" si="354"/>
        <v>484</v>
      </c>
      <c r="S475" s="584">
        <f t="shared" si="359"/>
        <v>2598</v>
      </c>
      <c r="T475" s="594">
        <f t="shared" si="360"/>
        <v>2047</v>
      </c>
      <c r="U475" s="595">
        <f t="shared" si="361"/>
        <v>3228</v>
      </c>
      <c r="V475" s="166">
        <f t="shared" si="362"/>
        <v>5913</v>
      </c>
      <c r="W475" s="167">
        <f t="shared" si="363"/>
        <v>4658</v>
      </c>
      <c r="X475" s="168">
        <f t="shared" si="364"/>
        <v>7350</v>
      </c>
      <c r="Y475" s="166">
        <f t="shared" si="365"/>
        <v>7080</v>
      </c>
      <c r="Z475" s="167">
        <f t="shared" si="366"/>
        <v>5272</v>
      </c>
      <c r="AA475" s="168">
        <f t="shared" si="367"/>
        <v>7834</v>
      </c>
      <c r="AB475" s="166">
        <f t="shared" si="368"/>
        <v>7469</v>
      </c>
      <c r="AC475" s="167">
        <f t="shared" si="369"/>
        <v>6193</v>
      </c>
      <c r="AD475" s="168">
        <f t="shared" si="370"/>
        <v>9286</v>
      </c>
      <c r="AE475" s="166">
        <f t="shared" si="371"/>
        <v>8247</v>
      </c>
      <c r="AF475" s="167">
        <f t="shared" si="372"/>
        <v>6807</v>
      </c>
      <c r="AG475" s="168">
        <f t="shared" si="373"/>
        <v>11222</v>
      </c>
      <c r="AH475" s="166">
        <f t="shared" si="374"/>
        <v>9803</v>
      </c>
      <c r="AI475" s="167">
        <f t="shared" si="375"/>
        <v>7421</v>
      </c>
      <c r="AJ475" s="168">
        <f t="shared" si="376"/>
        <v>12190</v>
      </c>
      <c r="AK475" s="169">
        <f t="shared" si="377"/>
        <v>10600</v>
      </c>
      <c r="AL475" s="167">
        <f t="shared" si="378"/>
        <v>8352</v>
      </c>
      <c r="AM475" s="585">
        <f t="shared" si="379"/>
        <v>13171</v>
      </c>
      <c r="AN475" s="1133">
        <v>6.2E-2</v>
      </c>
      <c r="AO475" s="1134">
        <v>6.7000000000000004E-2</v>
      </c>
      <c r="AP475" s="1134">
        <v>7.1999999999999995E-2</v>
      </c>
      <c r="AQ475" s="1135">
        <v>7.6999999999999999E-2</v>
      </c>
      <c r="AR475" s="1132">
        <v>8.2000000000000003E-2</v>
      </c>
      <c r="AS475" s="1136"/>
      <c r="AT475" s="1137"/>
      <c r="AU475" s="1137"/>
      <c r="AV475" s="1137"/>
      <c r="AW475" s="1138"/>
      <c r="AX475" s="596">
        <v>0.03</v>
      </c>
      <c r="AY475" s="598">
        <v>3.3000000000000002E-2</v>
      </c>
      <c r="AZ475" s="598">
        <v>3.5999999999999997E-2</v>
      </c>
      <c r="BA475" s="598">
        <v>3.9E-2</v>
      </c>
      <c r="BB475" s="598">
        <v>4.2000000000000003E-2</v>
      </c>
      <c r="BC475" s="1135"/>
      <c r="BD475" s="1132"/>
      <c r="BE475" s="596"/>
      <c r="BF475" s="598"/>
      <c r="BG475" s="598"/>
      <c r="BH475" s="598"/>
      <c r="BI475" s="598"/>
      <c r="BJ475" s="598"/>
      <c r="BK475" s="605"/>
      <c r="BL475" s="658">
        <f t="shared" si="355"/>
        <v>31500</v>
      </c>
      <c r="BM475" s="3">
        <f t="shared" si="356"/>
        <v>33</v>
      </c>
      <c r="BN475" s="3">
        <f t="shared" si="357"/>
        <v>26</v>
      </c>
      <c r="BO475" s="3">
        <f t="shared" si="358"/>
        <v>41</v>
      </c>
    </row>
    <row r="476" spans="2:67">
      <c r="B476" s="1271" t="s">
        <v>2818</v>
      </c>
      <c r="C476" s="1069" t="s">
        <v>309</v>
      </c>
      <c r="D476" s="1069" t="s">
        <v>2798</v>
      </c>
      <c r="E476" s="1268" t="s">
        <v>125</v>
      </c>
      <c r="F476" s="1070">
        <v>473</v>
      </c>
      <c r="G476" s="1071">
        <v>3973</v>
      </c>
      <c r="H476" s="1072">
        <v>10069</v>
      </c>
      <c r="I476" s="1073">
        <v>12453</v>
      </c>
      <c r="J476" s="166">
        <f t="shared" si="346"/>
        <v>79</v>
      </c>
      <c r="K476" s="167">
        <f t="shared" si="347"/>
        <v>201</v>
      </c>
      <c r="L476" s="168">
        <f t="shared" si="348"/>
        <v>249</v>
      </c>
      <c r="M476" s="166">
        <f t="shared" si="349"/>
        <v>99</v>
      </c>
      <c r="N476" s="167">
        <f t="shared" si="350"/>
        <v>251</v>
      </c>
      <c r="O476" s="168">
        <f t="shared" si="351"/>
        <v>311</v>
      </c>
      <c r="P476" s="169">
        <f t="shared" si="352"/>
        <v>149</v>
      </c>
      <c r="Q476" s="169">
        <f t="shared" si="353"/>
        <v>377</v>
      </c>
      <c r="R476" s="169">
        <f t="shared" si="354"/>
        <v>467</v>
      </c>
      <c r="S476" s="584">
        <f t="shared" si="359"/>
        <v>993</v>
      </c>
      <c r="T476" s="594">
        <f t="shared" si="360"/>
        <v>2517</v>
      </c>
      <c r="U476" s="595">
        <f t="shared" si="361"/>
        <v>3113</v>
      </c>
      <c r="V476" s="166">
        <f t="shared" si="362"/>
        <v>2260</v>
      </c>
      <c r="W476" s="167">
        <f t="shared" si="363"/>
        <v>5730</v>
      </c>
      <c r="X476" s="168">
        <f t="shared" si="364"/>
        <v>7094</v>
      </c>
      <c r="Y476" s="166">
        <f t="shared" si="365"/>
        <v>2409</v>
      </c>
      <c r="Z476" s="167">
        <f t="shared" si="366"/>
        <v>6861</v>
      </c>
      <c r="AA476" s="168">
        <f t="shared" si="367"/>
        <v>8028</v>
      </c>
      <c r="AB476" s="166">
        <f t="shared" si="368"/>
        <v>2856</v>
      </c>
      <c r="AC476" s="167">
        <f t="shared" si="369"/>
        <v>7238</v>
      </c>
      <c r="AD476" s="168">
        <f t="shared" si="370"/>
        <v>9429</v>
      </c>
      <c r="AE476" s="166">
        <f t="shared" si="371"/>
        <v>3452</v>
      </c>
      <c r="AF476" s="167">
        <f t="shared" si="372"/>
        <v>7992</v>
      </c>
      <c r="AG476" s="168">
        <f t="shared" si="373"/>
        <v>10363</v>
      </c>
      <c r="AH476" s="166">
        <f t="shared" si="374"/>
        <v>3750</v>
      </c>
      <c r="AI476" s="167">
        <f t="shared" si="375"/>
        <v>9500</v>
      </c>
      <c r="AJ476" s="168">
        <f t="shared" si="376"/>
        <v>11297</v>
      </c>
      <c r="AK476" s="169">
        <f t="shared" si="377"/>
        <v>4052</v>
      </c>
      <c r="AL476" s="167">
        <f t="shared" si="378"/>
        <v>10270</v>
      </c>
      <c r="AM476" s="585">
        <f t="shared" si="379"/>
        <v>12702</v>
      </c>
      <c r="AN476" s="1133">
        <v>0.2</v>
      </c>
      <c r="AO476" s="1134">
        <v>0.23</v>
      </c>
      <c r="AP476" s="1134">
        <v>0.26</v>
      </c>
      <c r="AQ476" s="1135">
        <v>0.28999999999999998</v>
      </c>
      <c r="AR476" s="1132">
        <v>0.32</v>
      </c>
      <c r="AS476" s="1136"/>
      <c r="AT476" s="1137"/>
      <c r="AU476" s="1137"/>
      <c r="AV476" s="1137"/>
      <c r="AW476" s="1138"/>
      <c r="AX476" s="1133">
        <v>0.04</v>
      </c>
      <c r="AY476" s="1135">
        <v>4.2999999999999997E-2</v>
      </c>
      <c r="AZ476" s="1135">
        <v>4.5999999999999999E-2</v>
      </c>
      <c r="BA476" s="1135">
        <v>4.9000000000000002E-2</v>
      </c>
      <c r="BB476" s="1135">
        <v>5.1999999999999998E-2</v>
      </c>
      <c r="BC476" s="1135"/>
      <c r="BD476" s="1132"/>
      <c r="BE476" s="596"/>
      <c r="BF476" s="598"/>
      <c r="BG476" s="598"/>
      <c r="BH476" s="598"/>
      <c r="BI476" s="598"/>
      <c r="BJ476" s="598"/>
      <c r="BK476" s="605"/>
      <c r="BL476" s="658">
        <f t="shared" si="355"/>
        <v>26500</v>
      </c>
      <c r="BM476" s="3">
        <f t="shared" si="356"/>
        <v>15</v>
      </c>
      <c r="BN476" s="3">
        <f t="shared" si="357"/>
        <v>38</v>
      </c>
      <c r="BO476" s="3">
        <f t="shared" si="358"/>
        <v>47</v>
      </c>
    </row>
    <row r="477" spans="2:67">
      <c r="B477" s="606" t="s">
        <v>2812</v>
      </c>
      <c r="C477" s="607" t="s">
        <v>310</v>
      </c>
      <c r="D477" s="607" t="s">
        <v>2813</v>
      </c>
      <c r="E477" s="238" t="s">
        <v>125</v>
      </c>
      <c r="F477" s="592">
        <v>474</v>
      </c>
      <c r="G477" s="609">
        <v>7170</v>
      </c>
      <c r="H477" s="610">
        <v>3747</v>
      </c>
      <c r="I477" s="611">
        <v>5377</v>
      </c>
      <c r="J477" s="166">
        <f t="shared" si="346"/>
        <v>143</v>
      </c>
      <c r="K477" s="167">
        <f t="shared" si="347"/>
        <v>74</v>
      </c>
      <c r="L477" s="168">
        <f t="shared" si="348"/>
        <v>107</v>
      </c>
      <c r="M477" s="166">
        <f t="shared" si="349"/>
        <v>215</v>
      </c>
      <c r="N477" s="167">
        <f t="shared" si="350"/>
        <v>112</v>
      </c>
      <c r="O477" s="168">
        <f t="shared" si="351"/>
        <v>161</v>
      </c>
      <c r="P477" s="169">
        <f t="shared" si="352"/>
        <v>286</v>
      </c>
      <c r="Q477" s="169">
        <f t="shared" si="353"/>
        <v>149</v>
      </c>
      <c r="R477" s="169">
        <f t="shared" si="354"/>
        <v>215</v>
      </c>
      <c r="S477" s="584">
        <f t="shared" si="359"/>
        <v>2151</v>
      </c>
      <c r="T477" s="594">
        <f t="shared" si="360"/>
        <v>1124</v>
      </c>
      <c r="U477" s="595">
        <f t="shared" si="361"/>
        <v>1613</v>
      </c>
      <c r="V477" s="166">
        <f t="shared" si="362"/>
        <v>4444</v>
      </c>
      <c r="W477" s="167">
        <f t="shared" si="363"/>
        <v>2318</v>
      </c>
      <c r="X477" s="168">
        <f t="shared" si="364"/>
        <v>3330</v>
      </c>
      <c r="Y477" s="166">
        <f t="shared" si="365"/>
        <v>5016</v>
      </c>
      <c r="Z477" s="167">
        <f t="shared" si="366"/>
        <v>2616</v>
      </c>
      <c r="AA477" s="168">
        <f t="shared" si="367"/>
        <v>3760</v>
      </c>
      <c r="AB477" s="166">
        <f t="shared" si="368"/>
        <v>5588</v>
      </c>
      <c r="AC477" s="167">
        <f t="shared" si="369"/>
        <v>2914</v>
      </c>
      <c r="AD477" s="168">
        <f t="shared" si="370"/>
        <v>4190</v>
      </c>
      <c r="AE477" s="166">
        <f t="shared" si="371"/>
        <v>5874</v>
      </c>
      <c r="AF477" s="167">
        <f t="shared" si="372"/>
        <v>3212</v>
      </c>
      <c r="AG477" s="168">
        <f t="shared" si="373"/>
        <v>4620</v>
      </c>
      <c r="AH477" s="166">
        <f t="shared" si="374"/>
        <v>6446</v>
      </c>
      <c r="AI477" s="167">
        <f t="shared" si="375"/>
        <v>3361</v>
      </c>
      <c r="AJ477" s="168">
        <f t="shared" si="376"/>
        <v>5265</v>
      </c>
      <c r="AK477" s="169">
        <f t="shared" si="377"/>
        <v>7313</v>
      </c>
      <c r="AL477" s="167">
        <f t="shared" si="378"/>
        <v>3821</v>
      </c>
      <c r="AM477" s="585">
        <f t="shared" si="379"/>
        <v>5484</v>
      </c>
      <c r="AN477" s="614">
        <v>0.04</v>
      </c>
      <c r="AO477" s="615">
        <v>4.2999999999999997E-2</v>
      </c>
      <c r="AP477" s="615">
        <v>4.5999999999999999E-2</v>
      </c>
      <c r="AQ477" s="616">
        <v>4.9000000000000002E-2</v>
      </c>
      <c r="AR477" s="612">
        <v>5.1999999999999998E-2</v>
      </c>
      <c r="AS477" s="617"/>
      <c r="AT477" s="618"/>
      <c r="AU477" s="618"/>
      <c r="AV477" s="618"/>
      <c r="AW477" s="619"/>
      <c r="AX477" s="614">
        <v>0.02</v>
      </c>
      <c r="AY477" s="616">
        <v>2.3E-2</v>
      </c>
      <c r="AZ477" s="616">
        <v>2.5999999999999999E-2</v>
      </c>
      <c r="BA477" s="616">
        <v>2.9000000000000001E-2</v>
      </c>
      <c r="BB477" s="616">
        <v>3.2000000000000001E-2</v>
      </c>
      <c r="BC477" s="616"/>
      <c r="BD477" s="612"/>
      <c r="BE477" s="596"/>
      <c r="BF477" s="598"/>
      <c r="BG477" s="598"/>
      <c r="BH477" s="598"/>
      <c r="BI477" s="598"/>
      <c r="BJ477" s="598"/>
      <c r="BK477" s="605"/>
      <c r="BL477" s="658">
        <f t="shared" si="355"/>
        <v>16300</v>
      </c>
      <c r="BM477" s="3">
        <f t="shared" si="356"/>
        <v>44</v>
      </c>
      <c r="BN477" s="3">
        <f t="shared" si="357"/>
        <v>23</v>
      </c>
      <c r="BO477" s="3">
        <f t="shared" si="358"/>
        <v>33</v>
      </c>
    </row>
    <row r="478" spans="2:67">
      <c r="B478" s="606" t="s">
        <v>2806</v>
      </c>
      <c r="C478" s="607" t="s">
        <v>310</v>
      </c>
      <c r="D478" s="607" t="s">
        <v>2794</v>
      </c>
      <c r="E478" s="238" t="s">
        <v>125</v>
      </c>
      <c r="F478" s="608">
        <v>475</v>
      </c>
      <c r="G478" s="609">
        <v>6356</v>
      </c>
      <c r="H478" s="610">
        <v>5214</v>
      </c>
      <c r="I478" s="611">
        <v>4726</v>
      </c>
      <c r="J478" s="166">
        <f t="shared" si="346"/>
        <v>127</v>
      </c>
      <c r="K478" s="167">
        <f t="shared" si="347"/>
        <v>104</v>
      </c>
      <c r="L478" s="168">
        <f t="shared" si="348"/>
        <v>94</v>
      </c>
      <c r="M478" s="166">
        <f t="shared" si="349"/>
        <v>190</v>
      </c>
      <c r="N478" s="167">
        <f t="shared" si="350"/>
        <v>156</v>
      </c>
      <c r="O478" s="168">
        <f t="shared" si="351"/>
        <v>141</v>
      </c>
      <c r="P478" s="169">
        <f t="shared" si="352"/>
        <v>254</v>
      </c>
      <c r="Q478" s="169">
        <f t="shared" si="353"/>
        <v>208</v>
      </c>
      <c r="R478" s="169">
        <f t="shared" si="354"/>
        <v>189</v>
      </c>
      <c r="S478" s="584">
        <f t="shared" si="359"/>
        <v>1907</v>
      </c>
      <c r="T478" s="594">
        <f t="shared" si="360"/>
        <v>1564</v>
      </c>
      <c r="U478" s="595">
        <f t="shared" si="361"/>
        <v>1418</v>
      </c>
      <c r="V478" s="166">
        <f t="shared" si="362"/>
        <v>3934</v>
      </c>
      <c r="W478" s="167">
        <f t="shared" si="363"/>
        <v>3228</v>
      </c>
      <c r="X478" s="168">
        <f t="shared" si="364"/>
        <v>2922</v>
      </c>
      <c r="Y478" s="166">
        <f t="shared" si="365"/>
        <v>4442</v>
      </c>
      <c r="Z478" s="167">
        <f t="shared" si="366"/>
        <v>3644</v>
      </c>
      <c r="AA478" s="168">
        <f t="shared" si="367"/>
        <v>3300</v>
      </c>
      <c r="AB478" s="166">
        <f t="shared" si="368"/>
        <v>4950</v>
      </c>
      <c r="AC478" s="167">
        <f t="shared" si="369"/>
        <v>4060</v>
      </c>
      <c r="AD478" s="168">
        <f t="shared" si="370"/>
        <v>3678</v>
      </c>
      <c r="AE478" s="166">
        <f t="shared" si="371"/>
        <v>5458</v>
      </c>
      <c r="AF478" s="167">
        <f t="shared" si="372"/>
        <v>4268</v>
      </c>
      <c r="AG478" s="168">
        <f t="shared" si="373"/>
        <v>4056</v>
      </c>
      <c r="AH478" s="166">
        <f t="shared" si="374"/>
        <v>5712</v>
      </c>
      <c r="AI478" s="167">
        <f t="shared" si="375"/>
        <v>4684</v>
      </c>
      <c r="AJ478" s="168">
        <f t="shared" si="376"/>
        <v>4623</v>
      </c>
      <c r="AK478" s="169">
        <f t="shared" si="377"/>
        <v>6483</v>
      </c>
      <c r="AL478" s="167">
        <f t="shared" si="378"/>
        <v>5318</v>
      </c>
      <c r="AM478" s="585">
        <f t="shared" si="379"/>
        <v>4820</v>
      </c>
      <c r="AN478" s="614">
        <v>3.2000000000000001E-2</v>
      </c>
      <c r="AO478" s="615">
        <v>3.4000000000000002E-2</v>
      </c>
      <c r="AP478" s="615">
        <v>3.5999999999999997E-2</v>
      </c>
      <c r="AQ478" s="616">
        <v>3.7999999999999999E-2</v>
      </c>
      <c r="AR478" s="612">
        <v>0.04</v>
      </c>
      <c r="AS478" s="617"/>
      <c r="AT478" s="618"/>
      <c r="AU478" s="618"/>
      <c r="AV478" s="618"/>
      <c r="AW478" s="619"/>
      <c r="AX478" s="614">
        <v>0.03</v>
      </c>
      <c r="AY478" s="616">
        <v>3.5000000000000003E-2</v>
      </c>
      <c r="AZ478" s="616">
        <v>0.04</v>
      </c>
      <c r="BA478" s="616">
        <v>4.4999999999999998E-2</v>
      </c>
      <c r="BB478" s="616">
        <v>0.05</v>
      </c>
      <c r="BC478" s="616"/>
      <c r="BD478" s="612"/>
      <c r="BE478" s="596"/>
      <c r="BF478" s="598"/>
      <c r="BG478" s="598"/>
      <c r="BH478" s="598"/>
      <c r="BI478" s="598"/>
      <c r="BJ478" s="598"/>
      <c r="BK478" s="605"/>
      <c r="BL478" s="658">
        <f t="shared" si="355"/>
        <v>16300</v>
      </c>
      <c r="BM478" s="3">
        <f t="shared" si="356"/>
        <v>39</v>
      </c>
      <c r="BN478" s="3">
        <f t="shared" si="357"/>
        <v>32</v>
      </c>
      <c r="BO478" s="3">
        <f t="shared" si="358"/>
        <v>29</v>
      </c>
    </row>
    <row r="479" spans="2:67">
      <c r="B479" s="606" t="s">
        <v>2802</v>
      </c>
      <c r="C479" s="607" t="s">
        <v>310</v>
      </c>
      <c r="D479" s="607" t="s">
        <v>2795</v>
      </c>
      <c r="E479" s="613" t="s">
        <v>1150</v>
      </c>
      <c r="F479" s="592">
        <v>476</v>
      </c>
      <c r="G479" s="609">
        <v>5320</v>
      </c>
      <c r="H479" s="610">
        <v>7980</v>
      </c>
      <c r="I479" s="611">
        <v>5700</v>
      </c>
      <c r="J479" s="166">
        <f t="shared" si="346"/>
        <v>106</v>
      </c>
      <c r="K479" s="167">
        <f t="shared" si="347"/>
        <v>159</v>
      </c>
      <c r="L479" s="168">
        <f t="shared" si="348"/>
        <v>114</v>
      </c>
      <c r="M479" s="166">
        <f t="shared" si="349"/>
        <v>159</v>
      </c>
      <c r="N479" s="167">
        <f t="shared" si="350"/>
        <v>239</v>
      </c>
      <c r="O479" s="168">
        <f t="shared" si="351"/>
        <v>171</v>
      </c>
      <c r="P479" s="169">
        <f t="shared" si="352"/>
        <v>212</v>
      </c>
      <c r="Q479" s="169">
        <f t="shared" si="353"/>
        <v>319</v>
      </c>
      <c r="R479" s="169">
        <f t="shared" si="354"/>
        <v>228</v>
      </c>
      <c r="S479" s="584">
        <f t="shared" si="359"/>
        <v>1596</v>
      </c>
      <c r="T479" s="594">
        <f t="shared" si="360"/>
        <v>2394</v>
      </c>
      <c r="U479" s="595">
        <f t="shared" si="361"/>
        <v>1710</v>
      </c>
      <c r="V479" s="166">
        <f t="shared" si="362"/>
        <v>3292</v>
      </c>
      <c r="W479" s="167">
        <f t="shared" si="363"/>
        <v>4943</v>
      </c>
      <c r="X479" s="168">
        <f t="shared" si="364"/>
        <v>3534</v>
      </c>
      <c r="Y479" s="166">
        <f t="shared" si="365"/>
        <v>3716</v>
      </c>
      <c r="Z479" s="167">
        <f t="shared" si="366"/>
        <v>5581</v>
      </c>
      <c r="AA479" s="168">
        <f t="shared" si="367"/>
        <v>3990</v>
      </c>
      <c r="AB479" s="166">
        <f t="shared" si="368"/>
        <v>4140</v>
      </c>
      <c r="AC479" s="167">
        <f t="shared" si="369"/>
        <v>6219</v>
      </c>
      <c r="AD479" s="168">
        <f t="shared" si="370"/>
        <v>4446</v>
      </c>
      <c r="AE479" s="166">
        <f t="shared" si="371"/>
        <v>4564</v>
      </c>
      <c r="AF479" s="167">
        <f t="shared" si="372"/>
        <v>6538</v>
      </c>
      <c r="AG479" s="168">
        <f t="shared" si="373"/>
        <v>4902</v>
      </c>
      <c r="AH479" s="166">
        <f t="shared" si="374"/>
        <v>5200</v>
      </c>
      <c r="AI479" s="167">
        <f t="shared" si="375"/>
        <v>7176</v>
      </c>
      <c r="AJ479" s="168">
        <f t="shared" si="376"/>
        <v>5130</v>
      </c>
      <c r="AK479" s="169">
        <f t="shared" si="377"/>
        <v>5426</v>
      </c>
      <c r="AL479" s="167">
        <f t="shared" si="378"/>
        <v>8139</v>
      </c>
      <c r="AM479" s="585">
        <f t="shared" si="379"/>
        <v>5814</v>
      </c>
      <c r="AN479" s="596">
        <v>0.06</v>
      </c>
      <c r="AO479" s="597">
        <v>7.0000000000000007E-2</v>
      </c>
      <c r="AP479" s="597">
        <v>0.08</v>
      </c>
      <c r="AQ479" s="598">
        <v>0.09</v>
      </c>
      <c r="AR479" s="612">
        <v>0.1</v>
      </c>
      <c r="AS479" s="617"/>
      <c r="AT479" s="618"/>
      <c r="AU479" s="618"/>
      <c r="AV479" s="618"/>
      <c r="AW479" s="619"/>
      <c r="AX479" s="596">
        <v>0.01</v>
      </c>
      <c r="AY479" s="598">
        <v>1.2999999999999999E-2</v>
      </c>
      <c r="AZ479" s="598">
        <v>1.6E-2</v>
      </c>
      <c r="BA479" s="598">
        <v>1.9E-2</v>
      </c>
      <c r="BB479" s="598">
        <v>2.1999999999999999E-2</v>
      </c>
      <c r="BC479" s="616"/>
      <c r="BD479" s="612"/>
      <c r="BE479" s="596"/>
      <c r="BF479" s="598"/>
      <c r="BG479" s="598"/>
      <c r="BH479" s="598"/>
      <c r="BI479" s="598"/>
      <c r="BJ479" s="598"/>
      <c r="BK479" s="605"/>
      <c r="BL479" s="658">
        <f t="shared" si="355"/>
        <v>19000</v>
      </c>
      <c r="BM479" s="3">
        <f t="shared" si="356"/>
        <v>28</v>
      </c>
      <c r="BN479" s="3">
        <f t="shared" si="357"/>
        <v>42</v>
      </c>
      <c r="BO479" s="3">
        <f t="shared" si="358"/>
        <v>30</v>
      </c>
    </row>
    <row r="480" spans="2:67">
      <c r="B480" s="1271" t="s">
        <v>3160</v>
      </c>
      <c r="C480" s="1069" t="s">
        <v>309</v>
      </c>
      <c r="D480" s="1069" t="s">
        <v>3161</v>
      </c>
      <c r="E480" s="1268" t="s">
        <v>2115</v>
      </c>
      <c r="F480" s="1070">
        <v>477</v>
      </c>
      <c r="G480" s="1071">
        <v>12284</v>
      </c>
      <c r="H480" s="1072">
        <v>5353</v>
      </c>
      <c r="I480" s="1073">
        <v>13860</v>
      </c>
      <c r="J480" s="166">
        <f t="shared" si="346"/>
        <v>245</v>
      </c>
      <c r="K480" s="167">
        <f t="shared" si="347"/>
        <v>107</v>
      </c>
      <c r="L480" s="168">
        <f t="shared" si="348"/>
        <v>277</v>
      </c>
      <c r="M480" s="166">
        <f t="shared" si="349"/>
        <v>332</v>
      </c>
      <c r="N480" s="167">
        <f t="shared" si="350"/>
        <v>145</v>
      </c>
      <c r="O480" s="168">
        <f t="shared" si="351"/>
        <v>375</v>
      </c>
      <c r="P480" s="169">
        <f t="shared" si="352"/>
        <v>537</v>
      </c>
      <c r="Q480" s="169">
        <f t="shared" si="353"/>
        <v>234</v>
      </c>
      <c r="R480" s="169">
        <f t="shared" si="354"/>
        <v>606</v>
      </c>
      <c r="S480" s="584">
        <f t="shared" si="359"/>
        <v>3071</v>
      </c>
      <c r="T480" s="594">
        <f t="shared" si="360"/>
        <v>1338</v>
      </c>
      <c r="U480" s="595">
        <f t="shared" si="361"/>
        <v>3465</v>
      </c>
      <c r="V480" s="166">
        <f t="shared" si="362"/>
        <v>9292</v>
      </c>
      <c r="W480" s="167">
        <f t="shared" si="363"/>
        <v>4055</v>
      </c>
      <c r="X480" s="168">
        <f t="shared" si="364"/>
        <v>10492</v>
      </c>
      <c r="Y480" s="166">
        <f t="shared" si="365"/>
        <v>10366</v>
      </c>
      <c r="Z480" s="167">
        <f t="shared" si="366"/>
        <v>4289</v>
      </c>
      <c r="AA480" s="168">
        <f t="shared" si="367"/>
        <v>11704</v>
      </c>
      <c r="AB480" s="166">
        <f t="shared" si="368"/>
        <v>10903</v>
      </c>
      <c r="AC480" s="167">
        <f t="shared" si="369"/>
        <v>4523</v>
      </c>
      <c r="AD480" s="168">
        <f t="shared" si="370"/>
        <v>11704</v>
      </c>
      <c r="AE480" s="166">
        <f t="shared" si="371"/>
        <v>10903</v>
      </c>
      <c r="AF480" s="167">
        <f t="shared" si="372"/>
        <v>4757</v>
      </c>
      <c r="AG480" s="168">
        <f t="shared" si="373"/>
        <v>12310</v>
      </c>
      <c r="AH480" s="166">
        <f t="shared" si="374"/>
        <v>11440</v>
      </c>
      <c r="AI480" s="167">
        <f t="shared" si="375"/>
        <v>4991</v>
      </c>
      <c r="AJ480" s="168">
        <f t="shared" si="376"/>
        <v>12916</v>
      </c>
      <c r="AK480" s="169">
        <f t="shared" si="377"/>
        <v>12529</v>
      </c>
      <c r="AL480" s="167">
        <f t="shared" si="378"/>
        <v>5460</v>
      </c>
      <c r="AM480" s="585">
        <f t="shared" si="379"/>
        <v>14137</v>
      </c>
      <c r="AN480" s="596">
        <v>7.0000000000000007E-2</v>
      </c>
      <c r="AO480" s="597">
        <v>7.4999999999999997E-2</v>
      </c>
      <c r="AP480" s="597">
        <v>0.08</v>
      </c>
      <c r="AQ480" s="598">
        <v>8.5000000000000006E-2</v>
      </c>
      <c r="AR480" s="599">
        <v>0.09</v>
      </c>
      <c r="AS480" s="1136"/>
      <c r="AT480" s="1137"/>
      <c r="AU480" s="1137"/>
      <c r="AV480" s="1137"/>
      <c r="AW480" s="1138"/>
      <c r="AX480" s="1133">
        <v>6.4000000000000001E-2</v>
      </c>
      <c r="AY480" s="1135">
        <v>6.7000000000000004E-2</v>
      </c>
      <c r="AZ480" s="1135">
        <v>7.0000000000000007E-2</v>
      </c>
      <c r="BA480" s="1135">
        <v>7.3999999999999996E-2</v>
      </c>
      <c r="BB480" s="1135">
        <v>7.6999999999999999E-2</v>
      </c>
      <c r="BC480" s="1135">
        <v>0.08</v>
      </c>
      <c r="BD480" s="1132">
        <v>8.4000000000000005E-2</v>
      </c>
      <c r="BE480" s="596">
        <v>3.2000000000000001E-2</v>
      </c>
      <c r="BF480" s="598">
        <v>3.3500000000000002E-2</v>
      </c>
      <c r="BG480" s="598">
        <v>3.5000000000000003E-2</v>
      </c>
      <c r="BH480" s="598">
        <v>3.6999999999999998E-2</v>
      </c>
      <c r="BI480" s="598">
        <v>3.85E-2</v>
      </c>
      <c r="BJ480" s="598">
        <v>0.04</v>
      </c>
      <c r="BK480" s="605">
        <v>4.2000000000000003E-2</v>
      </c>
      <c r="BL480" s="658">
        <f t="shared" si="355"/>
        <v>31500</v>
      </c>
      <c r="BM480" s="3">
        <f t="shared" si="356"/>
        <v>39</v>
      </c>
      <c r="BN480" s="3">
        <f t="shared" si="357"/>
        <v>17</v>
      </c>
      <c r="BO480" s="3">
        <f t="shared" si="358"/>
        <v>44</v>
      </c>
    </row>
    <row r="481" spans="2:67">
      <c r="B481" s="1271" t="s">
        <v>3152</v>
      </c>
      <c r="C481" s="1069" t="s">
        <v>309</v>
      </c>
      <c r="D481" s="1069" t="s">
        <v>3153</v>
      </c>
      <c r="E481" s="1268" t="s">
        <v>2115</v>
      </c>
      <c r="F481" s="592">
        <v>478</v>
      </c>
      <c r="G481" s="1071">
        <v>14173</v>
      </c>
      <c r="H481" s="1072">
        <v>6300</v>
      </c>
      <c r="I481" s="1073">
        <v>11024</v>
      </c>
      <c r="J481" s="166">
        <f t="shared" si="346"/>
        <v>283</v>
      </c>
      <c r="K481" s="167">
        <f t="shared" si="347"/>
        <v>126</v>
      </c>
      <c r="L481" s="168">
        <f t="shared" si="348"/>
        <v>220</v>
      </c>
      <c r="M481" s="166">
        <f t="shared" si="349"/>
        <v>383</v>
      </c>
      <c r="N481" s="167">
        <f t="shared" si="350"/>
        <v>170</v>
      </c>
      <c r="O481" s="168">
        <f t="shared" si="351"/>
        <v>298</v>
      </c>
      <c r="P481" s="169">
        <f t="shared" si="352"/>
        <v>620</v>
      </c>
      <c r="Q481" s="169">
        <f t="shared" si="353"/>
        <v>275</v>
      </c>
      <c r="R481" s="169">
        <f t="shared" si="354"/>
        <v>482</v>
      </c>
      <c r="S481" s="584">
        <f t="shared" si="359"/>
        <v>3543</v>
      </c>
      <c r="T481" s="594">
        <f t="shared" si="360"/>
        <v>1575</v>
      </c>
      <c r="U481" s="595">
        <f t="shared" si="361"/>
        <v>2756</v>
      </c>
      <c r="V481" s="166">
        <f t="shared" si="362"/>
        <v>10720</v>
      </c>
      <c r="W481" s="167">
        <f t="shared" si="363"/>
        <v>4761</v>
      </c>
      <c r="X481" s="168">
        <f t="shared" si="364"/>
        <v>8340</v>
      </c>
      <c r="Y481" s="166">
        <f t="shared" si="365"/>
        <v>11960</v>
      </c>
      <c r="Z481" s="167">
        <f t="shared" si="366"/>
        <v>5311</v>
      </c>
      <c r="AA481" s="168">
        <f t="shared" si="367"/>
        <v>8822</v>
      </c>
      <c r="AB481" s="166">
        <f t="shared" si="368"/>
        <v>11960</v>
      </c>
      <c r="AC481" s="167">
        <f t="shared" si="369"/>
        <v>5586</v>
      </c>
      <c r="AD481" s="168">
        <f t="shared" si="370"/>
        <v>9304</v>
      </c>
      <c r="AE481" s="166">
        <f t="shared" si="371"/>
        <v>12580</v>
      </c>
      <c r="AF481" s="167">
        <f t="shared" si="372"/>
        <v>5586</v>
      </c>
      <c r="AG481" s="168">
        <f t="shared" si="373"/>
        <v>9786</v>
      </c>
      <c r="AH481" s="166">
        <f t="shared" si="374"/>
        <v>13200</v>
      </c>
      <c r="AI481" s="167">
        <f t="shared" si="375"/>
        <v>5861</v>
      </c>
      <c r="AJ481" s="168">
        <f t="shared" si="376"/>
        <v>10268</v>
      </c>
      <c r="AK481" s="169">
        <f t="shared" si="377"/>
        <v>14456</v>
      </c>
      <c r="AL481" s="167">
        <f t="shared" si="378"/>
        <v>6426</v>
      </c>
      <c r="AM481" s="585">
        <f t="shared" si="379"/>
        <v>11244</v>
      </c>
      <c r="AN481" s="596">
        <v>0.3</v>
      </c>
      <c r="AO481" s="597">
        <v>0.33</v>
      </c>
      <c r="AP481" s="597">
        <v>0.36</v>
      </c>
      <c r="AQ481" s="598">
        <v>0.39</v>
      </c>
      <c r="AR481" s="1132">
        <v>0.42</v>
      </c>
      <c r="AS481" s="1136"/>
      <c r="AT481" s="1137"/>
      <c r="AU481" s="1137"/>
      <c r="AV481" s="1137"/>
      <c r="AW481" s="1138"/>
      <c r="AX481" s="1133">
        <v>3.4000000000000002E-2</v>
      </c>
      <c r="AY481" s="1135">
        <v>3.6999999999999998E-2</v>
      </c>
      <c r="AZ481" s="1135">
        <v>0.04</v>
      </c>
      <c r="BA481" s="1135">
        <v>4.2999999999999997E-2</v>
      </c>
      <c r="BB481" s="1135">
        <v>4.5999999999999999E-2</v>
      </c>
      <c r="BC481" s="1135">
        <v>4.9000000000000002E-2</v>
      </c>
      <c r="BD481" s="1132">
        <v>5.1999999999999998E-2</v>
      </c>
      <c r="BE481" s="596">
        <v>1.7000000000000001E-2</v>
      </c>
      <c r="BF481" s="598">
        <v>1.8499999999999999E-2</v>
      </c>
      <c r="BG481" s="598">
        <v>0.02</v>
      </c>
      <c r="BH481" s="598">
        <v>2.1499999999999998E-2</v>
      </c>
      <c r="BI481" s="598">
        <v>2.3E-2</v>
      </c>
      <c r="BJ481" s="598">
        <v>2.4500000000000001E-2</v>
      </c>
      <c r="BK481" s="605">
        <v>2.5999999999999999E-2</v>
      </c>
      <c r="BL481" s="658">
        <f t="shared" si="355"/>
        <v>31500</v>
      </c>
      <c r="BM481" s="3">
        <f t="shared" si="356"/>
        <v>45</v>
      </c>
      <c r="BN481" s="3">
        <f t="shared" si="357"/>
        <v>20</v>
      </c>
      <c r="BO481" s="3">
        <f t="shared" si="358"/>
        <v>35</v>
      </c>
    </row>
    <row r="482" spans="2:67">
      <c r="B482" s="606" t="s">
        <v>3163</v>
      </c>
      <c r="C482" s="607" t="s">
        <v>310</v>
      </c>
      <c r="D482" s="607" t="s">
        <v>3161</v>
      </c>
      <c r="E482" s="238" t="s">
        <v>1150</v>
      </c>
      <c r="F482" s="608">
        <v>479</v>
      </c>
      <c r="G482" s="609">
        <v>6367</v>
      </c>
      <c r="H482" s="610">
        <v>4244</v>
      </c>
      <c r="I482" s="611">
        <v>8684</v>
      </c>
      <c r="J482" s="166">
        <f t="shared" si="346"/>
        <v>127</v>
      </c>
      <c r="K482" s="167">
        <f t="shared" si="347"/>
        <v>84</v>
      </c>
      <c r="L482" s="168">
        <f t="shared" si="348"/>
        <v>173</v>
      </c>
      <c r="M482" s="166">
        <f t="shared" si="349"/>
        <v>191</v>
      </c>
      <c r="N482" s="167">
        <f t="shared" si="350"/>
        <v>127</v>
      </c>
      <c r="O482" s="168">
        <f t="shared" si="351"/>
        <v>260</v>
      </c>
      <c r="P482" s="169">
        <f t="shared" si="352"/>
        <v>254</v>
      </c>
      <c r="Q482" s="169">
        <f t="shared" si="353"/>
        <v>169</v>
      </c>
      <c r="R482" s="169">
        <f t="shared" si="354"/>
        <v>347</v>
      </c>
      <c r="S482" s="584">
        <f t="shared" si="359"/>
        <v>1910</v>
      </c>
      <c r="T482" s="594">
        <f t="shared" si="360"/>
        <v>1273</v>
      </c>
      <c r="U482" s="595">
        <f t="shared" si="361"/>
        <v>2605</v>
      </c>
      <c r="V482" s="166">
        <f t="shared" si="362"/>
        <v>3947</v>
      </c>
      <c r="W482" s="167">
        <f t="shared" si="363"/>
        <v>2627</v>
      </c>
      <c r="X482" s="168">
        <f t="shared" si="364"/>
        <v>5378</v>
      </c>
      <c r="Y482" s="166">
        <f t="shared" si="365"/>
        <v>4455</v>
      </c>
      <c r="Z482" s="167">
        <f t="shared" si="366"/>
        <v>2965</v>
      </c>
      <c r="AA482" s="168">
        <f t="shared" si="367"/>
        <v>6072</v>
      </c>
      <c r="AB482" s="166">
        <f t="shared" si="368"/>
        <v>4963</v>
      </c>
      <c r="AC482" s="167">
        <f t="shared" si="369"/>
        <v>3303</v>
      </c>
      <c r="AD482" s="168">
        <f t="shared" si="370"/>
        <v>6766</v>
      </c>
      <c r="AE482" s="166">
        <f t="shared" si="371"/>
        <v>5471</v>
      </c>
      <c r="AF482" s="167">
        <f t="shared" si="372"/>
        <v>3641</v>
      </c>
      <c r="AG482" s="168">
        <f t="shared" si="373"/>
        <v>7113</v>
      </c>
      <c r="AH482" s="166">
        <f t="shared" si="374"/>
        <v>5725</v>
      </c>
      <c r="AI482" s="167">
        <f t="shared" si="375"/>
        <v>4148</v>
      </c>
      <c r="AJ482" s="168">
        <f t="shared" si="376"/>
        <v>7807</v>
      </c>
      <c r="AK482" s="169">
        <f t="shared" si="377"/>
        <v>6494</v>
      </c>
      <c r="AL482" s="167">
        <f t="shared" si="378"/>
        <v>4328</v>
      </c>
      <c r="AM482" s="585">
        <f t="shared" si="379"/>
        <v>8857</v>
      </c>
      <c r="AN482" s="596">
        <v>0.2</v>
      </c>
      <c r="AO482" s="597">
        <v>0.20499999999999999</v>
      </c>
      <c r="AP482" s="597">
        <v>0.21</v>
      </c>
      <c r="AQ482" s="598">
        <v>0.215</v>
      </c>
      <c r="AR482" s="599">
        <v>0.22</v>
      </c>
      <c r="AS482" s="617"/>
      <c r="AT482" s="618"/>
      <c r="AU482" s="618"/>
      <c r="AV482" s="618"/>
      <c r="AW482" s="619"/>
      <c r="AX482" s="614">
        <v>0.05</v>
      </c>
      <c r="AY482" s="616">
        <v>5.5E-2</v>
      </c>
      <c r="AZ482" s="616">
        <v>0.06</v>
      </c>
      <c r="BA482" s="616">
        <v>6.5000000000000002E-2</v>
      </c>
      <c r="BB482" s="616">
        <v>7.0000000000000007E-2</v>
      </c>
      <c r="BC482" s="616"/>
      <c r="BD482" s="612"/>
      <c r="BE482" s="596"/>
      <c r="BF482" s="598"/>
      <c r="BG482" s="598"/>
      <c r="BH482" s="598"/>
      <c r="BI482" s="598"/>
      <c r="BJ482" s="598"/>
      <c r="BK482" s="605"/>
      <c r="BL482" s="658">
        <f t="shared" si="355"/>
        <v>19300</v>
      </c>
      <c r="BM482" s="3">
        <f t="shared" si="356"/>
        <v>33</v>
      </c>
      <c r="BN482" s="3">
        <f t="shared" si="357"/>
        <v>22</v>
      </c>
      <c r="BO482" s="3">
        <f t="shared" si="358"/>
        <v>45</v>
      </c>
    </row>
    <row r="483" spans="2:67">
      <c r="B483" s="1271" t="s">
        <v>3194</v>
      </c>
      <c r="C483" s="1069" t="s">
        <v>309</v>
      </c>
      <c r="D483" s="1069" t="s">
        <v>3181</v>
      </c>
      <c r="E483" s="1267" t="s">
        <v>1150</v>
      </c>
      <c r="F483" s="592">
        <v>480</v>
      </c>
      <c r="G483" s="1071">
        <v>11340</v>
      </c>
      <c r="H483" s="1072">
        <v>6929</v>
      </c>
      <c r="I483" s="1073">
        <v>13229</v>
      </c>
      <c r="J483" s="166">
        <f t="shared" si="346"/>
        <v>226</v>
      </c>
      <c r="K483" s="167">
        <f t="shared" si="347"/>
        <v>138</v>
      </c>
      <c r="L483" s="168">
        <f t="shared" si="348"/>
        <v>264</v>
      </c>
      <c r="M483" s="166">
        <f t="shared" si="349"/>
        <v>283</v>
      </c>
      <c r="N483" s="167">
        <f t="shared" si="350"/>
        <v>173</v>
      </c>
      <c r="O483" s="168">
        <f t="shared" si="351"/>
        <v>330</v>
      </c>
      <c r="P483" s="169">
        <f t="shared" si="352"/>
        <v>425</v>
      </c>
      <c r="Q483" s="169">
        <f t="shared" si="353"/>
        <v>259</v>
      </c>
      <c r="R483" s="169">
        <f t="shared" si="354"/>
        <v>496</v>
      </c>
      <c r="S483" s="584">
        <f t="shared" si="359"/>
        <v>2835</v>
      </c>
      <c r="T483" s="594">
        <f t="shared" si="360"/>
        <v>1732</v>
      </c>
      <c r="U483" s="595">
        <f t="shared" si="361"/>
        <v>3307</v>
      </c>
      <c r="V483" s="166">
        <f t="shared" si="362"/>
        <v>6457</v>
      </c>
      <c r="W483" s="167">
        <f t="shared" si="363"/>
        <v>3946</v>
      </c>
      <c r="X483" s="168">
        <f t="shared" si="364"/>
        <v>7531</v>
      </c>
      <c r="Y483" s="166">
        <f t="shared" si="365"/>
        <v>6882</v>
      </c>
      <c r="Z483" s="167">
        <f t="shared" si="366"/>
        <v>4723</v>
      </c>
      <c r="AA483" s="168">
        <f t="shared" si="367"/>
        <v>8523</v>
      </c>
      <c r="AB483" s="166">
        <f t="shared" si="368"/>
        <v>8157</v>
      </c>
      <c r="AC483" s="167">
        <f t="shared" si="369"/>
        <v>4982</v>
      </c>
      <c r="AD483" s="168">
        <f t="shared" si="370"/>
        <v>10011</v>
      </c>
      <c r="AE483" s="166">
        <f t="shared" si="371"/>
        <v>9857</v>
      </c>
      <c r="AF483" s="167">
        <f t="shared" si="372"/>
        <v>5500</v>
      </c>
      <c r="AG483" s="168">
        <f t="shared" si="373"/>
        <v>11003</v>
      </c>
      <c r="AH483" s="166">
        <f t="shared" si="374"/>
        <v>10707</v>
      </c>
      <c r="AI483" s="167">
        <f t="shared" si="375"/>
        <v>6536</v>
      </c>
      <c r="AJ483" s="168">
        <f t="shared" si="376"/>
        <v>11995</v>
      </c>
      <c r="AK483" s="169">
        <f t="shared" si="377"/>
        <v>11566</v>
      </c>
      <c r="AL483" s="167">
        <f t="shared" si="378"/>
        <v>7067</v>
      </c>
      <c r="AM483" s="585">
        <f t="shared" si="379"/>
        <v>13493</v>
      </c>
      <c r="AN483" s="1133">
        <v>7.0000000000000007E-2</v>
      </c>
      <c r="AO483" s="1134">
        <v>7.4999999999999997E-2</v>
      </c>
      <c r="AP483" s="1134">
        <v>0.08</v>
      </c>
      <c r="AQ483" s="1135">
        <v>8.5000000000000006E-2</v>
      </c>
      <c r="AR483" s="1132">
        <v>0.09</v>
      </c>
      <c r="AS483" s="1136"/>
      <c r="AT483" s="1137"/>
      <c r="AU483" s="1137"/>
      <c r="AV483" s="1137"/>
      <c r="AW483" s="1138"/>
      <c r="AX483" s="1133">
        <v>0.04</v>
      </c>
      <c r="AY483" s="1135">
        <v>4.2999999999999997E-2</v>
      </c>
      <c r="AZ483" s="1135">
        <v>4.5999999999999999E-2</v>
      </c>
      <c r="BA483" s="1135">
        <v>4.9000000000000002E-2</v>
      </c>
      <c r="BB483" s="1135">
        <v>5.1999999999999998E-2</v>
      </c>
      <c r="BC483" s="1135"/>
      <c r="BD483" s="1132"/>
      <c r="BE483" s="596"/>
      <c r="BF483" s="598"/>
      <c r="BG483" s="598"/>
      <c r="BH483" s="598"/>
      <c r="BI483" s="598"/>
      <c r="BJ483" s="598"/>
      <c r="BK483" s="605"/>
      <c r="BL483" s="658">
        <f t="shared" si="355"/>
        <v>31500</v>
      </c>
      <c r="BM483" s="3">
        <f t="shared" si="356"/>
        <v>36</v>
      </c>
      <c r="BN483" s="3">
        <f t="shared" si="357"/>
        <v>22</v>
      </c>
      <c r="BO483" s="3">
        <f t="shared" si="358"/>
        <v>42</v>
      </c>
    </row>
    <row r="484" spans="2:67">
      <c r="B484" s="606" t="s">
        <v>3197</v>
      </c>
      <c r="C484" s="607" t="s">
        <v>310</v>
      </c>
      <c r="D484" s="607" t="s">
        <v>3178</v>
      </c>
      <c r="E484" s="238" t="s">
        <v>1150</v>
      </c>
      <c r="F484" s="608">
        <v>481</v>
      </c>
      <c r="G484" s="609">
        <v>6947</v>
      </c>
      <c r="H484" s="610">
        <v>4244</v>
      </c>
      <c r="I484" s="611">
        <v>8104</v>
      </c>
      <c r="J484" s="166">
        <f t="shared" si="346"/>
        <v>138</v>
      </c>
      <c r="K484" s="167">
        <f t="shared" si="347"/>
        <v>84</v>
      </c>
      <c r="L484" s="168">
        <f t="shared" si="348"/>
        <v>162</v>
      </c>
      <c r="M484" s="166">
        <f t="shared" si="349"/>
        <v>208</v>
      </c>
      <c r="N484" s="167">
        <f t="shared" si="350"/>
        <v>127</v>
      </c>
      <c r="O484" s="168">
        <f t="shared" si="351"/>
        <v>243</v>
      </c>
      <c r="P484" s="169">
        <f t="shared" si="352"/>
        <v>277</v>
      </c>
      <c r="Q484" s="169">
        <f t="shared" si="353"/>
        <v>169</v>
      </c>
      <c r="R484" s="169">
        <f t="shared" si="354"/>
        <v>324</v>
      </c>
      <c r="S484" s="584">
        <f t="shared" si="359"/>
        <v>2084</v>
      </c>
      <c r="T484" s="594">
        <f t="shared" si="360"/>
        <v>1273</v>
      </c>
      <c r="U484" s="595">
        <f t="shared" si="361"/>
        <v>2431</v>
      </c>
      <c r="V484" s="166">
        <f t="shared" si="362"/>
        <v>4302</v>
      </c>
      <c r="W484" s="167">
        <f t="shared" si="363"/>
        <v>2627</v>
      </c>
      <c r="X484" s="168">
        <f t="shared" si="364"/>
        <v>5023</v>
      </c>
      <c r="Y484" s="166">
        <f t="shared" si="365"/>
        <v>4856</v>
      </c>
      <c r="Z484" s="167">
        <f t="shared" si="366"/>
        <v>2965</v>
      </c>
      <c r="AA484" s="168">
        <f t="shared" si="367"/>
        <v>5671</v>
      </c>
      <c r="AB484" s="166">
        <f t="shared" si="368"/>
        <v>5410</v>
      </c>
      <c r="AC484" s="167">
        <f t="shared" si="369"/>
        <v>3303</v>
      </c>
      <c r="AD484" s="168">
        <f t="shared" si="370"/>
        <v>6319</v>
      </c>
      <c r="AE484" s="166">
        <f t="shared" si="371"/>
        <v>5964</v>
      </c>
      <c r="AF484" s="167">
        <f t="shared" si="372"/>
        <v>3472</v>
      </c>
      <c r="AG484" s="168">
        <f t="shared" si="373"/>
        <v>6967</v>
      </c>
      <c r="AH484" s="166">
        <f t="shared" si="374"/>
        <v>6241</v>
      </c>
      <c r="AI484" s="167">
        <f t="shared" si="375"/>
        <v>3810</v>
      </c>
      <c r="AJ484" s="168">
        <f t="shared" si="376"/>
        <v>7939</v>
      </c>
      <c r="AK484" s="169">
        <f t="shared" si="377"/>
        <v>7085</v>
      </c>
      <c r="AL484" s="167">
        <f t="shared" si="378"/>
        <v>4328</v>
      </c>
      <c r="AM484" s="585">
        <f t="shared" si="379"/>
        <v>8266</v>
      </c>
      <c r="AN484" s="596">
        <v>3.2000000000000001E-2</v>
      </c>
      <c r="AO484" s="597">
        <v>3.4000000000000002E-2</v>
      </c>
      <c r="AP484" s="597">
        <v>3.5999999999999997E-2</v>
      </c>
      <c r="AQ484" s="598">
        <v>3.7999999999999999E-2</v>
      </c>
      <c r="AR484" s="599">
        <v>0.04</v>
      </c>
      <c r="AS484" s="617"/>
      <c r="AT484" s="618"/>
      <c r="AU484" s="618"/>
      <c r="AV484" s="618"/>
      <c r="AW484" s="619"/>
      <c r="AX484" s="614">
        <v>0.01</v>
      </c>
      <c r="AY484" s="616">
        <v>1.2999999999999999E-2</v>
      </c>
      <c r="AZ484" s="616">
        <v>1.6E-2</v>
      </c>
      <c r="BA484" s="616">
        <v>1.9E-2</v>
      </c>
      <c r="BB484" s="616">
        <v>2.1999999999999999E-2</v>
      </c>
      <c r="BC484" s="616"/>
      <c r="BD484" s="612"/>
      <c r="BE484" s="596"/>
      <c r="BF484" s="598"/>
      <c r="BG484" s="598"/>
      <c r="BH484" s="598"/>
      <c r="BI484" s="598"/>
      <c r="BJ484" s="598"/>
      <c r="BK484" s="605"/>
      <c r="BL484" s="658">
        <f t="shared" si="355"/>
        <v>19300</v>
      </c>
      <c r="BM484" s="3">
        <f t="shared" si="356"/>
        <v>36</v>
      </c>
      <c r="BN484" s="3">
        <f t="shared" si="357"/>
        <v>22</v>
      </c>
      <c r="BO484" s="3">
        <f t="shared" si="358"/>
        <v>42</v>
      </c>
    </row>
    <row r="485" spans="2:67">
      <c r="B485" s="1271" t="s">
        <v>3195</v>
      </c>
      <c r="C485" s="1069" t="s">
        <v>309</v>
      </c>
      <c r="D485" s="1069" t="s">
        <v>3178</v>
      </c>
      <c r="E485" s="1268" t="s">
        <v>1150</v>
      </c>
      <c r="F485" s="1270">
        <v>482</v>
      </c>
      <c r="G485" s="1071">
        <v>5440</v>
      </c>
      <c r="H485" s="1072">
        <v>8960</v>
      </c>
      <c r="I485" s="1073">
        <v>17600</v>
      </c>
      <c r="J485" s="166">
        <f t="shared" si="346"/>
        <v>108</v>
      </c>
      <c r="K485" s="167">
        <f t="shared" si="347"/>
        <v>179</v>
      </c>
      <c r="L485" s="168">
        <f t="shared" si="348"/>
        <v>352</v>
      </c>
      <c r="M485" s="166">
        <f t="shared" si="349"/>
        <v>136</v>
      </c>
      <c r="N485" s="167">
        <f t="shared" si="350"/>
        <v>224</v>
      </c>
      <c r="O485" s="168">
        <f t="shared" si="351"/>
        <v>440</v>
      </c>
      <c r="P485" s="169">
        <f t="shared" si="352"/>
        <v>204</v>
      </c>
      <c r="Q485" s="169">
        <f t="shared" si="353"/>
        <v>336</v>
      </c>
      <c r="R485" s="169">
        <f t="shared" si="354"/>
        <v>660</v>
      </c>
      <c r="S485" s="584">
        <f t="shared" si="359"/>
        <v>1360</v>
      </c>
      <c r="T485" s="594">
        <f t="shared" si="360"/>
        <v>2240</v>
      </c>
      <c r="U485" s="595">
        <f t="shared" si="361"/>
        <v>4400</v>
      </c>
      <c r="V485" s="166">
        <f t="shared" si="362"/>
        <v>3100</v>
      </c>
      <c r="W485" s="167">
        <f t="shared" si="363"/>
        <v>5107</v>
      </c>
      <c r="X485" s="168">
        <f t="shared" si="364"/>
        <v>10032</v>
      </c>
      <c r="Y485" s="166">
        <f t="shared" si="365"/>
        <v>3304</v>
      </c>
      <c r="Z485" s="167">
        <f t="shared" si="366"/>
        <v>5779</v>
      </c>
      <c r="AA485" s="168">
        <f t="shared" si="367"/>
        <v>12012</v>
      </c>
      <c r="AB485" s="166">
        <f t="shared" si="368"/>
        <v>3916</v>
      </c>
      <c r="AC485" s="167">
        <f t="shared" si="369"/>
        <v>6787</v>
      </c>
      <c r="AD485" s="168">
        <f t="shared" si="370"/>
        <v>12672</v>
      </c>
      <c r="AE485" s="166">
        <f t="shared" si="371"/>
        <v>4732</v>
      </c>
      <c r="AF485" s="167">
        <f t="shared" si="372"/>
        <v>7459</v>
      </c>
      <c r="AG485" s="168">
        <f t="shared" si="373"/>
        <v>13992</v>
      </c>
      <c r="AH485" s="166">
        <f t="shared" si="374"/>
        <v>5140</v>
      </c>
      <c r="AI485" s="167">
        <f t="shared" si="375"/>
        <v>8131</v>
      </c>
      <c r="AJ485" s="168">
        <f t="shared" si="376"/>
        <v>16632</v>
      </c>
      <c r="AK485" s="169">
        <f t="shared" si="377"/>
        <v>5548</v>
      </c>
      <c r="AL485" s="167">
        <f t="shared" si="378"/>
        <v>9139</v>
      </c>
      <c r="AM485" s="585">
        <f t="shared" si="379"/>
        <v>17952</v>
      </c>
      <c r="AN485" s="596">
        <v>4.2000000000000003E-2</v>
      </c>
      <c r="AO485" s="597">
        <v>4.3999999999999997E-2</v>
      </c>
      <c r="AP485" s="597">
        <v>4.5999999999999999E-2</v>
      </c>
      <c r="AQ485" s="598">
        <v>4.8000000000000001E-2</v>
      </c>
      <c r="AR485" s="1132">
        <v>0.05</v>
      </c>
      <c r="AS485" s="1136"/>
      <c r="AT485" s="1137"/>
      <c r="AU485" s="1137"/>
      <c r="AV485" s="1137"/>
      <c r="AW485" s="1138"/>
      <c r="AX485" s="1133">
        <v>0.04</v>
      </c>
      <c r="AY485" s="1135">
        <v>4.2999999999999997E-2</v>
      </c>
      <c r="AZ485" s="1135">
        <v>4.5999999999999999E-2</v>
      </c>
      <c r="BA485" s="1135">
        <v>4.9000000000000002E-2</v>
      </c>
      <c r="BB485" s="1135">
        <v>5.1999999999999998E-2</v>
      </c>
      <c r="BC485" s="1135"/>
      <c r="BD485" s="1132"/>
      <c r="BE485" s="596"/>
      <c r="BF485" s="598"/>
      <c r="BG485" s="598"/>
      <c r="BH485" s="598"/>
      <c r="BI485" s="598"/>
      <c r="BJ485" s="598"/>
      <c r="BK485" s="605"/>
      <c r="BL485" s="658">
        <f t="shared" si="355"/>
        <v>32000</v>
      </c>
      <c r="BM485" s="3">
        <f t="shared" si="356"/>
        <v>17</v>
      </c>
      <c r="BN485" s="3">
        <f t="shared" si="357"/>
        <v>28</v>
      </c>
      <c r="BO485" s="3">
        <f t="shared" si="358"/>
        <v>55</v>
      </c>
    </row>
    <row r="486" spans="2:67">
      <c r="B486" s="1271" t="s">
        <v>3196</v>
      </c>
      <c r="C486" s="1069" t="s">
        <v>309</v>
      </c>
      <c r="D486" s="1069" t="s">
        <v>3185</v>
      </c>
      <c r="E486" s="1267" t="s">
        <v>125</v>
      </c>
      <c r="F486" s="1070">
        <v>483</v>
      </c>
      <c r="G486" s="1071">
        <v>10069</v>
      </c>
      <c r="H486" s="1072">
        <v>6889</v>
      </c>
      <c r="I486" s="1073">
        <v>9540</v>
      </c>
      <c r="J486" s="166">
        <f t="shared" si="346"/>
        <v>201</v>
      </c>
      <c r="K486" s="167">
        <f t="shared" si="347"/>
        <v>137</v>
      </c>
      <c r="L486" s="168">
        <f t="shared" si="348"/>
        <v>190</v>
      </c>
      <c r="M486" s="166">
        <f t="shared" si="349"/>
        <v>251</v>
      </c>
      <c r="N486" s="167">
        <f t="shared" si="350"/>
        <v>172</v>
      </c>
      <c r="O486" s="168">
        <f t="shared" si="351"/>
        <v>238</v>
      </c>
      <c r="P486" s="169">
        <f t="shared" si="352"/>
        <v>377</v>
      </c>
      <c r="Q486" s="169">
        <f t="shared" si="353"/>
        <v>258</v>
      </c>
      <c r="R486" s="169">
        <f t="shared" si="354"/>
        <v>357</v>
      </c>
      <c r="S486" s="584">
        <f t="shared" si="359"/>
        <v>2517</v>
      </c>
      <c r="T486" s="594">
        <f t="shared" si="360"/>
        <v>1722</v>
      </c>
      <c r="U486" s="595">
        <f t="shared" si="361"/>
        <v>2385</v>
      </c>
      <c r="V486" s="166">
        <f t="shared" si="362"/>
        <v>5730</v>
      </c>
      <c r="W486" s="167">
        <f t="shared" si="363"/>
        <v>3923</v>
      </c>
      <c r="X486" s="168">
        <f t="shared" si="364"/>
        <v>5431</v>
      </c>
      <c r="Y486" s="166">
        <f t="shared" si="365"/>
        <v>6484</v>
      </c>
      <c r="Z486" s="167">
        <f t="shared" si="366"/>
        <v>4181</v>
      </c>
      <c r="AA486" s="168">
        <f t="shared" si="367"/>
        <v>6502</v>
      </c>
      <c r="AB486" s="166">
        <f t="shared" si="368"/>
        <v>7615</v>
      </c>
      <c r="AC486" s="167">
        <f t="shared" si="369"/>
        <v>4955</v>
      </c>
      <c r="AD486" s="168">
        <f t="shared" si="370"/>
        <v>6859</v>
      </c>
      <c r="AE486" s="166">
        <f t="shared" si="371"/>
        <v>8369</v>
      </c>
      <c r="AF486" s="167">
        <f t="shared" si="372"/>
        <v>5987</v>
      </c>
      <c r="AG486" s="168">
        <f t="shared" si="373"/>
        <v>7573</v>
      </c>
      <c r="AH486" s="166">
        <f t="shared" si="374"/>
        <v>9123</v>
      </c>
      <c r="AI486" s="167">
        <f t="shared" si="375"/>
        <v>6503</v>
      </c>
      <c r="AJ486" s="168">
        <f t="shared" si="376"/>
        <v>9001</v>
      </c>
      <c r="AK486" s="169">
        <f t="shared" si="377"/>
        <v>10270</v>
      </c>
      <c r="AL486" s="167">
        <f t="shared" si="378"/>
        <v>7026</v>
      </c>
      <c r="AM486" s="585">
        <f t="shared" si="379"/>
        <v>9730</v>
      </c>
      <c r="AN486" s="596">
        <v>0.05</v>
      </c>
      <c r="AO486" s="597">
        <v>5.2999999999999999E-2</v>
      </c>
      <c r="AP486" s="597">
        <v>5.6000000000000001E-2</v>
      </c>
      <c r="AQ486" s="598">
        <v>5.8999999999999997E-2</v>
      </c>
      <c r="AR486" s="599">
        <v>6.2E-2</v>
      </c>
      <c r="AS486" s="1136"/>
      <c r="AT486" s="1137"/>
      <c r="AU486" s="1137"/>
      <c r="AV486" s="1137"/>
      <c r="AW486" s="1138"/>
      <c r="AX486" s="1133">
        <v>0.04</v>
      </c>
      <c r="AY486" s="1135">
        <v>4.2999999999999997E-2</v>
      </c>
      <c r="AZ486" s="1135">
        <v>4.5999999999999999E-2</v>
      </c>
      <c r="BA486" s="1135">
        <v>4.9000000000000002E-2</v>
      </c>
      <c r="BB486" s="1135">
        <v>5.1999999999999998E-2</v>
      </c>
      <c r="BC486" s="1135"/>
      <c r="BD486" s="1132"/>
      <c r="BE486" s="596"/>
      <c r="BF486" s="598"/>
      <c r="BG486" s="598"/>
      <c r="BH486" s="598"/>
      <c r="BI486" s="598"/>
      <c r="BJ486" s="598"/>
      <c r="BK486" s="605"/>
      <c r="BL486" s="658">
        <f t="shared" si="355"/>
        <v>26500</v>
      </c>
      <c r="BM486" s="3">
        <f t="shared" si="356"/>
        <v>38</v>
      </c>
      <c r="BN486" s="3">
        <f t="shared" si="357"/>
        <v>26</v>
      </c>
      <c r="BO486" s="3">
        <f t="shared" si="358"/>
        <v>36</v>
      </c>
    </row>
    <row r="487" spans="2:67">
      <c r="B487" s="606" t="s">
        <v>3199</v>
      </c>
      <c r="C487" s="607" t="s">
        <v>310</v>
      </c>
      <c r="D487" s="607" t="s">
        <v>3178</v>
      </c>
      <c r="E487" s="238" t="s">
        <v>125</v>
      </c>
      <c r="F487" s="592">
        <v>484</v>
      </c>
      <c r="G487" s="609">
        <v>6030</v>
      </c>
      <c r="H487" s="610">
        <v>2933</v>
      </c>
      <c r="I487" s="611">
        <v>7334</v>
      </c>
      <c r="J487" s="166">
        <f t="shared" si="346"/>
        <v>120</v>
      </c>
      <c r="K487" s="167">
        <f t="shared" si="347"/>
        <v>58</v>
      </c>
      <c r="L487" s="168">
        <f t="shared" si="348"/>
        <v>146</v>
      </c>
      <c r="M487" s="166">
        <f t="shared" si="349"/>
        <v>180</v>
      </c>
      <c r="N487" s="167">
        <f t="shared" si="350"/>
        <v>88</v>
      </c>
      <c r="O487" s="168">
        <f t="shared" si="351"/>
        <v>220</v>
      </c>
      <c r="P487" s="169">
        <f t="shared" si="352"/>
        <v>241</v>
      </c>
      <c r="Q487" s="169">
        <f t="shared" si="353"/>
        <v>117</v>
      </c>
      <c r="R487" s="169">
        <f t="shared" si="354"/>
        <v>293</v>
      </c>
      <c r="S487" s="584">
        <f t="shared" si="359"/>
        <v>1809</v>
      </c>
      <c r="T487" s="594">
        <f t="shared" si="360"/>
        <v>880</v>
      </c>
      <c r="U487" s="595">
        <f t="shared" si="361"/>
        <v>2200</v>
      </c>
      <c r="V487" s="166">
        <f t="shared" si="362"/>
        <v>3729</v>
      </c>
      <c r="W487" s="167">
        <f t="shared" si="363"/>
        <v>1818</v>
      </c>
      <c r="X487" s="168">
        <f t="shared" si="364"/>
        <v>4546</v>
      </c>
      <c r="Y487" s="166">
        <f t="shared" si="365"/>
        <v>4211</v>
      </c>
      <c r="Z487" s="167">
        <f t="shared" si="366"/>
        <v>2052</v>
      </c>
      <c r="AA487" s="168">
        <f t="shared" si="367"/>
        <v>5132</v>
      </c>
      <c r="AB487" s="166">
        <f t="shared" si="368"/>
        <v>4693</v>
      </c>
      <c r="AC487" s="167">
        <f t="shared" si="369"/>
        <v>2286</v>
      </c>
      <c r="AD487" s="168">
        <f t="shared" si="370"/>
        <v>5718</v>
      </c>
      <c r="AE487" s="166">
        <f t="shared" si="371"/>
        <v>5175</v>
      </c>
      <c r="AF487" s="167">
        <f t="shared" si="372"/>
        <v>2403</v>
      </c>
      <c r="AG487" s="168">
        <f t="shared" si="373"/>
        <v>6304</v>
      </c>
      <c r="AH487" s="166">
        <f t="shared" si="374"/>
        <v>5416</v>
      </c>
      <c r="AI487" s="167">
        <f t="shared" si="375"/>
        <v>2637</v>
      </c>
      <c r="AJ487" s="168">
        <f t="shared" si="376"/>
        <v>7183</v>
      </c>
      <c r="AK487" s="169">
        <f t="shared" si="377"/>
        <v>6150</v>
      </c>
      <c r="AL487" s="167">
        <f t="shared" si="378"/>
        <v>2991</v>
      </c>
      <c r="AM487" s="585">
        <f t="shared" si="379"/>
        <v>7480</v>
      </c>
      <c r="AN487" s="614">
        <v>0.2</v>
      </c>
      <c r="AO487" s="615">
        <v>0.23</v>
      </c>
      <c r="AP487" s="615">
        <v>0.26</v>
      </c>
      <c r="AQ487" s="616">
        <v>0.28999999999999998</v>
      </c>
      <c r="AR487" s="612">
        <v>0.32</v>
      </c>
      <c r="AS487" s="617"/>
      <c r="AT487" s="618"/>
      <c r="AU487" s="618"/>
      <c r="AV487" s="618"/>
      <c r="AW487" s="619"/>
      <c r="AX487" s="614">
        <v>0.05</v>
      </c>
      <c r="AY487" s="616">
        <v>5.5E-2</v>
      </c>
      <c r="AZ487" s="616">
        <v>0.06</v>
      </c>
      <c r="BA487" s="616">
        <v>6.5000000000000002E-2</v>
      </c>
      <c r="BB487" s="616">
        <v>7.0000000000000007E-2</v>
      </c>
      <c r="BC487" s="616"/>
      <c r="BD487" s="612"/>
      <c r="BE487" s="596"/>
      <c r="BF487" s="598"/>
      <c r="BG487" s="598"/>
      <c r="BH487" s="598"/>
      <c r="BI487" s="598"/>
      <c r="BJ487" s="598"/>
      <c r="BK487" s="605"/>
      <c r="BL487" s="658">
        <f t="shared" si="355"/>
        <v>16300</v>
      </c>
      <c r="BM487" s="3">
        <f t="shared" si="356"/>
        <v>37</v>
      </c>
      <c r="BN487" s="3">
        <f t="shared" si="357"/>
        <v>18</v>
      </c>
      <c r="BO487" s="3">
        <f t="shared" si="358"/>
        <v>45</v>
      </c>
    </row>
    <row r="488" spans="2:67">
      <c r="B488" s="606" t="s">
        <v>3200</v>
      </c>
      <c r="C488" s="607" t="s">
        <v>310</v>
      </c>
      <c r="D488" s="607" t="s">
        <v>3185</v>
      </c>
      <c r="E488" s="613" t="s">
        <v>125</v>
      </c>
      <c r="F488" s="608">
        <v>485</v>
      </c>
      <c r="G488" s="609">
        <v>6844</v>
      </c>
      <c r="H488" s="610">
        <v>4726</v>
      </c>
      <c r="I488" s="611">
        <v>4726</v>
      </c>
      <c r="J488" s="166">
        <f t="shared" si="346"/>
        <v>136</v>
      </c>
      <c r="K488" s="167">
        <f t="shared" si="347"/>
        <v>94</v>
      </c>
      <c r="L488" s="168">
        <f t="shared" si="348"/>
        <v>94</v>
      </c>
      <c r="M488" s="166">
        <f t="shared" si="349"/>
        <v>205</v>
      </c>
      <c r="N488" s="167">
        <f t="shared" si="350"/>
        <v>141</v>
      </c>
      <c r="O488" s="168">
        <f t="shared" si="351"/>
        <v>141</v>
      </c>
      <c r="P488" s="169">
        <f t="shared" si="352"/>
        <v>273</v>
      </c>
      <c r="Q488" s="169">
        <f t="shared" si="353"/>
        <v>189</v>
      </c>
      <c r="R488" s="169">
        <f t="shared" si="354"/>
        <v>189</v>
      </c>
      <c r="S488" s="584">
        <f t="shared" si="359"/>
        <v>2053</v>
      </c>
      <c r="T488" s="594">
        <f t="shared" si="360"/>
        <v>1418</v>
      </c>
      <c r="U488" s="595">
        <f t="shared" si="361"/>
        <v>1418</v>
      </c>
      <c r="V488" s="166">
        <f t="shared" si="362"/>
        <v>4239</v>
      </c>
      <c r="W488" s="167">
        <f t="shared" si="363"/>
        <v>2922</v>
      </c>
      <c r="X488" s="168">
        <f t="shared" si="364"/>
        <v>2922</v>
      </c>
      <c r="Y488" s="166">
        <f t="shared" si="365"/>
        <v>4785</v>
      </c>
      <c r="Z488" s="167">
        <f t="shared" si="366"/>
        <v>3300</v>
      </c>
      <c r="AA488" s="168">
        <f t="shared" si="367"/>
        <v>3300</v>
      </c>
      <c r="AB488" s="166">
        <f t="shared" si="368"/>
        <v>5331</v>
      </c>
      <c r="AC488" s="167">
        <f t="shared" si="369"/>
        <v>3678</v>
      </c>
      <c r="AD488" s="168">
        <f t="shared" si="370"/>
        <v>3678</v>
      </c>
      <c r="AE488" s="166">
        <f t="shared" si="371"/>
        <v>5604</v>
      </c>
      <c r="AF488" s="167">
        <f t="shared" si="372"/>
        <v>4056</v>
      </c>
      <c r="AG488" s="168">
        <f t="shared" si="373"/>
        <v>4056</v>
      </c>
      <c r="AH488" s="166">
        <f t="shared" si="374"/>
        <v>6150</v>
      </c>
      <c r="AI488" s="167">
        <f t="shared" si="375"/>
        <v>4245</v>
      </c>
      <c r="AJ488" s="168">
        <f t="shared" si="376"/>
        <v>4623</v>
      </c>
      <c r="AK488" s="169">
        <f t="shared" si="377"/>
        <v>6980</v>
      </c>
      <c r="AL488" s="167">
        <f t="shared" si="378"/>
        <v>4820</v>
      </c>
      <c r="AM488" s="585">
        <f t="shared" si="379"/>
        <v>4820</v>
      </c>
      <c r="AN488" s="614">
        <v>0.25</v>
      </c>
      <c r="AO488" s="615">
        <v>0.28000000000000003</v>
      </c>
      <c r="AP488" s="615">
        <v>0.31</v>
      </c>
      <c r="AQ488" s="616">
        <v>0.34</v>
      </c>
      <c r="AR488" s="612">
        <v>0.37</v>
      </c>
      <c r="AS488" s="617"/>
      <c r="AT488" s="618"/>
      <c r="AU488" s="618"/>
      <c r="AV488" s="618"/>
      <c r="AW488" s="619"/>
      <c r="AX488" s="614">
        <v>0.05</v>
      </c>
      <c r="AY488" s="616">
        <v>5.5E-2</v>
      </c>
      <c r="AZ488" s="616">
        <v>0.06</v>
      </c>
      <c r="BA488" s="616">
        <v>6.5000000000000002E-2</v>
      </c>
      <c r="BB488" s="616">
        <v>7.0000000000000007E-2</v>
      </c>
      <c r="BC488" s="616"/>
      <c r="BD488" s="612"/>
      <c r="BE488" s="596"/>
      <c r="BF488" s="598"/>
      <c r="BG488" s="598"/>
      <c r="BH488" s="598"/>
      <c r="BI488" s="598"/>
      <c r="BJ488" s="598"/>
      <c r="BK488" s="605"/>
      <c r="BL488" s="658">
        <f t="shared" si="355"/>
        <v>16300</v>
      </c>
      <c r="BM488" s="3">
        <f t="shared" si="356"/>
        <v>42</v>
      </c>
      <c r="BN488" s="3">
        <f t="shared" si="357"/>
        <v>29</v>
      </c>
      <c r="BO488" s="3">
        <f t="shared" si="358"/>
        <v>29</v>
      </c>
    </row>
    <row r="489" spans="2:67">
      <c r="B489" s="1271" t="s">
        <v>3234</v>
      </c>
      <c r="C489" s="1069" t="s">
        <v>3235</v>
      </c>
      <c r="D489" s="1069" t="s">
        <v>3236</v>
      </c>
      <c r="E489" s="1268" t="s">
        <v>939</v>
      </c>
      <c r="F489" s="592">
        <v>486</v>
      </c>
      <c r="G489" s="1071">
        <v>12480</v>
      </c>
      <c r="H489" s="1072">
        <v>5440</v>
      </c>
      <c r="I489" s="1073">
        <v>14080</v>
      </c>
      <c r="J489" s="166">
        <f t="shared" si="346"/>
        <v>249</v>
      </c>
      <c r="K489" s="167">
        <f t="shared" si="347"/>
        <v>108</v>
      </c>
      <c r="L489" s="168">
        <f t="shared" si="348"/>
        <v>281</v>
      </c>
      <c r="M489" s="166">
        <f t="shared" si="349"/>
        <v>312</v>
      </c>
      <c r="N489" s="167">
        <f t="shared" si="350"/>
        <v>136</v>
      </c>
      <c r="O489" s="168">
        <f t="shared" si="351"/>
        <v>352</v>
      </c>
      <c r="P489" s="169">
        <f t="shared" si="352"/>
        <v>468</v>
      </c>
      <c r="Q489" s="169">
        <f t="shared" si="353"/>
        <v>204</v>
      </c>
      <c r="R489" s="169">
        <f t="shared" si="354"/>
        <v>528</v>
      </c>
      <c r="S489" s="584">
        <f t="shared" si="359"/>
        <v>3120</v>
      </c>
      <c r="T489" s="594">
        <f t="shared" si="360"/>
        <v>1360</v>
      </c>
      <c r="U489" s="595">
        <f t="shared" si="361"/>
        <v>3520</v>
      </c>
      <c r="V489" s="166">
        <f t="shared" si="362"/>
        <v>7113</v>
      </c>
      <c r="W489" s="167">
        <f t="shared" si="363"/>
        <v>3100</v>
      </c>
      <c r="X489" s="168">
        <f t="shared" si="364"/>
        <v>8025</v>
      </c>
      <c r="Y489" s="166">
        <f t="shared" si="365"/>
        <v>7581</v>
      </c>
      <c r="Z489" s="167">
        <f t="shared" si="366"/>
        <v>3508</v>
      </c>
      <c r="AA489" s="168">
        <f t="shared" si="367"/>
        <v>9609</v>
      </c>
      <c r="AB489" s="166">
        <f t="shared" si="368"/>
        <v>8985</v>
      </c>
      <c r="AC489" s="167">
        <f t="shared" si="369"/>
        <v>4120</v>
      </c>
      <c r="AD489" s="168">
        <f t="shared" si="370"/>
        <v>10137</v>
      </c>
      <c r="AE489" s="166">
        <f t="shared" si="371"/>
        <v>10857</v>
      </c>
      <c r="AF489" s="167">
        <f t="shared" si="372"/>
        <v>4528</v>
      </c>
      <c r="AG489" s="168">
        <f t="shared" si="373"/>
        <v>11193</v>
      </c>
      <c r="AH489" s="166">
        <f t="shared" si="374"/>
        <v>11793</v>
      </c>
      <c r="AI489" s="167">
        <f t="shared" si="375"/>
        <v>4936</v>
      </c>
      <c r="AJ489" s="168">
        <f t="shared" si="376"/>
        <v>13305</v>
      </c>
      <c r="AK489" s="169">
        <f t="shared" si="377"/>
        <v>12729</v>
      </c>
      <c r="AL489" s="167">
        <f t="shared" si="378"/>
        <v>5548</v>
      </c>
      <c r="AM489" s="585">
        <f t="shared" si="379"/>
        <v>14361</v>
      </c>
      <c r="AN489" s="1133">
        <v>0.16</v>
      </c>
      <c r="AO489" s="1134">
        <v>0.17</v>
      </c>
      <c r="AP489" s="1134">
        <v>0.18</v>
      </c>
      <c r="AQ489" s="1135">
        <v>0.19</v>
      </c>
      <c r="AR489" s="1132">
        <v>0.2</v>
      </c>
      <c r="AS489" s="1136"/>
      <c r="AT489" s="1137"/>
      <c r="AU489" s="1137"/>
      <c r="AV489" s="1137"/>
      <c r="AW489" s="1138"/>
      <c r="AX489" s="1133">
        <v>0.05</v>
      </c>
      <c r="AY489" s="1135">
        <v>5.5E-2</v>
      </c>
      <c r="AZ489" s="1135">
        <v>0.06</v>
      </c>
      <c r="BA489" s="1135">
        <v>6.5000000000000002E-2</v>
      </c>
      <c r="BB489" s="1135">
        <v>7.0000000000000007E-2</v>
      </c>
      <c r="BC489" s="1135"/>
      <c r="BD489" s="1132"/>
      <c r="BE489" s="596"/>
      <c r="BF489" s="598"/>
      <c r="BG489" s="598"/>
      <c r="BH489" s="598"/>
      <c r="BI489" s="598"/>
      <c r="BJ489" s="598"/>
      <c r="BK489" s="605"/>
      <c r="BL489" s="658">
        <f t="shared" si="355"/>
        <v>32000</v>
      </c>
      <c r="BM489" s="3">
        <f t="shared" si="356"/>
        <v>39</v>
      </c>
      <c r="BN489" s="3">
        <f t="shared" si="357"/>
        <v>17</v>
      </c>
      <c r="BO489" s="3">
        <f t="shared" si="358"/>
        <v>44</v>
      </c>
    </row>
    <row r="490" spans="2:67">
      <c r="B490" s="1271" t="s">
        <v>3240</v>
      </c>
      <c r="C490" s="1069" t="s">
        <v>3235</v>
      </c>
      <c r="D490" s="1069" t="s">
        <v>3241</v>
      </c>
      <c r="E490" s="1268" t="s">
        <v>939</v>
      </c>
      <c r="F490" s="1070">
        <v>487</v>
      </c>
      <c r="G490" s="1071">
        <v>12800</v>
      </c>
      <c r="H490" s="1072">
        <v>4160</v>
      </c>
      <c r="I490" s="1073">
        <v>15040</v>
      </c>
      <c r="J490" s="166">
        <f t="shared" si="346"/>
        <v>256</v>
      </c>
      <c r="K490" s="167">
        <f t="shared" si="347"/>
        <v>83</v>
      </c>
      <c r="L490" s="168">
        <f t="shared" si="348"/>
        <v>300</v>
      </c>
      <c r="M490" s="166">
        <f t="shared" si="349"/>
        <v>320</v>
      </c>
      <c r="N490" s="167">
        <f t="shared" si="350"/>
        <v>104</v>
      </c>
      <c r="O490" s="168">
        <f t="shared" si="351"/>
        <v>376</v>
      </c>
      <c r="P490" s="169">
        <f t="shared" si="352"/>
        <v>480</v>
      </c>
      <c r="Q490" s="169">
        <f t="shared" si="353"/>
        <v>156</v>
      </c>
      <c r="R490" s="169">
        <f t="shared" si="354"/>
        <v>564</v>
      </c>
      <c r="S490" s="584">
        <f t="shared" si="359"/>
        <v>3200</v>
      </c>
      <c r="T490" s="594">
        <f t="shared" si="360"/>
        <v>1040</v>
      </c>
      <c r="U490" s="595">
        <f t="shared" si="361"/>
        <v>3760</v>
      </c>
      <c r="V490" s="166">
        <f t="shared" si="362"/>
        <v>7296</v>
      </c>
      <c r="W490" s="167">
        <f t="shared" si="363"/>
        <v>2371</v>
      </c>
      <c r="X490" s="168">
        <f t="shared" si="364"/>
        <v>8572</v>
      </c>
      <c r="Y490" s="166">
        <f t="shared" si="365"/>
        <v>7776</v>
      </c>
      <c r="Z490" s="167">
        <f t="shared" si="366"/>
        <v>2839</v>
      </c>
      <c r="AA490" s="168">
        <f t="shared" si="367"/>
        <v>9700</v>
      </c>
      <c r="AB490" s="166">
        <f t="shared" si="368"/>
        <v>9216</v>
      </c>
      <c r="AC490" s="167">
        <f t="shared" si="369"/>
        <v>2995</v>
      </c>
      <c r="AD490" s="168">
        <f t="shared" si="370"/>
        <v>11392</v>
      </c>
      <c r="AE490" s="166">
        <f t="shared" si="371"/>
        <v>11136</v>
      </c>
      <c r="AF490" s="167">
        <f t="shared" si="372"/>
        <v>3307</v>
      </c>
      <c r="AG490" s="168">
        <f t="shared" si="373"/>
        <v>12520</v>
      </c>
      <c r="AH490" s="166">
        <f t="shared" si="374"/>
        <v>12096</v>
      </c>
      <c r="AI490" s="167">
        <f t="shared" si="375"/>
        <v>3931</v>
      </c>
      <c r="AJ490" s="168">
        <f t="shared" si="376"/>
        <v>13648</v>
      </c>
      <c r="AK490" s="169">
        <f t="shared" si="377"/>
        <v>13056</v>
      </c>
      <c r="AL490" s="167">
        <f t="shared" si="378"/>
        <v>4243</v>
      </c>
      <c r="AM490" s="585">
        <f t="shared" si="379"/>
        <v>15340</v>
      </c>
      <c r="AN490" s="596">
        <v>7.0000000000000007E-2</v>
      </c>
      <c r="AO490" s="597">
        <v>7.4999999999999997E-2</v>
      </c>
      <c r="AP490" s="597">
        <v>0.08</v>
      </c>
      <c r="AQ490" s="598">
        <v>8.5000000000000006E-2</v>
      </c>
      <c r="AR490" s="599">
        <v>0.09</v>
      </c>
      <c r="AS490" s="1136"/>
      <c r="AT490" s="1137"/>
      <c r="AU490" s="1137"/>
      <c r="AV490" s="1137"/>
      <c r="AW490" s="1138"/>
      <c r="AX490" s="596">
        <v>0.03</v>
      </c>
      <c r="AY490" s="598">
        <v>3.3000000000000002E-2</v>
      </c>
      <c r="AZ490" s="598">
        <v>3.5999999999999997E-2</v>
      </c>
      <c r="BA490" s="598">
        <v>3.9E-2</v>
      </c>
      <c r="BB490" s="598">
        <v>4.2000000000000003E-2</v>
      </c>
      <c r="BC490" s="1135"/>
      <c r="BD490" s="1132"/>
      <c r="BE490" s="596"/>
      <c r="BF490" s="598"/>
      <c r="BG490" s="598"/>
      <c r="BH490" s="598"/>
      <c r="BI490" s="598"/>
      <c r="BJ490" s="598"/>
      <c r="BK490" s="605"/>
      <c r="BL490" s="658">
        <f t="shared" si="355"/>
        <v>32000</v>
      </c>
      <c r="BM490" s="3">
        <f t="shared" si="356"/>
        <v>40</v>
      </c>
      <c r="BN490" s="3">
        <f t="shared" si="357"/>
        <v>13</v>
      </c>
      <c r="BO490" s="3">
        <f t="shared" si="358"/>
        <v>47</v>
      </c>
    </row>
    <row r="491" spans="2:67">
      <c r="B491" s="606" t="s">
        <v>3244</v>
      </c>
      <c r="C491" s="607" t="s">
        <v>3245</v>
      </c>
      <c r="D491" s="607" t="s">
        <v>3241</v>
      </c>
      <c r="E491" s="613" t="s">
        <v>1150</v>
      </c>
      <c r="F491" s="592">
        <v>488</v>
      </c>
      <c r="G491" s="609">
        <v>6174</v>
      </c>
      <c r="H491" s="610">
        <v>4051</v>
      </c>
      <c r="I491" s="611">
        <v>9070</v>
      </c>
      <c r="J491" s="166">
        <f t="shared" si="346"/>
        <v>123</v>
      </c>
      <c r="K491" s="167">
        <f t="shared" si="347"/>
        <v>81</v>
      </c>
      <c r="L491" s="168">
        <f t="shared" si="348"/>
        <v>181</v>
      </c>
      <c r="M491" s="166">
        <f t="shared" si="349"/>
        <v>185</v>
      </c>
      <c r="N491" s="167">
        <f t="shared" si="350"/>
        <v>121</v>
      </c>
      <c r="O491" s="168">
        <f t="shared" si="351"/>
        <v>272</v>
      </c>
      <c r="P491" s="169">
        <f t="shared" si="352"/>
        <v>247</v>
      </c>
      <c r="Q491" s="169">
        <f t="shared" si="353"/>
        <v>162</v>
      </c>
      <c r="R491" s="169">
        <f t="shared" si="354"/>
        <v>362</v>
      </c>
      <c r="S491" s="584">
        <f t="shared" si="359"/>
        <v>1852</v>
      </c>
      <c r="T491" s="594">
        <f t="shared" si="360"/>
        <v>1215</v>
      </c>
      <c r="U491" s="595">
        <f t="shared" si="361"/>
        <v>2721</v>
      </c>
      <c r="V491" s="166">
        <f t="shared" si="362"/>
        <v>3825</v>
      </c>
      <c r="W491" s="167">
        <f t="shared" si="363"/>
        <v>2506</v>
      </c>
      <c r="X491" s="168">
        <f t="shared" si="364"/>
        <v>5622</v>
      </c>
      <c r="Y491" s="166">
        <f t="shared" si="365"/>
        <v>4319</v>
      </c>
      <c r="Z491" s="167">
        <f t="shared" si="366"/>
        <v>2830</v>
      </c>
      <c r="AA491" s="168">
        <f t="shared" si="367"/>
        <v>6346</v>
      </c>
      <c r="AB491" s="166">
        <f t="shared" si="368"/>
        <v>4813</v>
      </c>
      <c r="AC491" s="167">
        <f t="shared" si="369"/>
        <v>3154</v>
      </c>
      <c r="AD491" s="168">
        <f t="shared" si="370"/>
        <v>7070</v>
      </c>
      <c r="AE491" s="166">
        <f t="shared" si="371"/>
        <v>5307</v>
      </c>
      <c r="AF491" s="167">
        <f t="shared" si="372"/>
        <v>3478</v>
      </c>
      <c r="AG491" s="168">
        <f t="shared" si="373"/>
        <v>7432</v>
      </c>
      <c r="AH491" s="166">
        <f t="shared" si="374"/>
        <v>5554</v>
      </c>
      <c r="AI491" s="167">
        <f t="shared" si="375"/>
        <v>3964</v>
      </c>
      <c r="AJ491" s="168">
        <f t="shared" si="376"/>
        <v>8156</v>
      </c>
      <c r="AK491" s="169">
        <f t="shared" si="377"/>
        <v>6297</v>
      </c>
      <c r="AL491" s="167">
        <f t="shared" si="378"/>
        <v>4132</v>
      </c>
      <c r="AM491" s="585">
        <f t="shared" si="379"/>
        <v>9251</v>
      </c>
      <c r="AN491" s="614">
        <v>0.03</v>
      </c>
      <c r="AO491" s="615">
        <v>3.3000000000000002E-2</v>
      </c>
      <c r="AP491" s="615">
        <v>3.5999999999999997E-2</v>
      </c>
      <c r="AQ491" s="616">
        <v>3.9E-2</v>
      </c>
      <c r="AR491" s="612">
        <v>4.2000000000000003E-2</v>
      </c>
      <c r="AS491" s="617"/>
      <c r="AT491" s="618"/>
      <c r="AU491" s="618"/>
      <c r="AV491" s="618"/>
      <c r="AW491" s="619"/>
      <c r="AX491" s="614">
        <v>0.05</v>
      </c>
      <c r="AY491" s="616">
        <v>5.5E-2</v>
      </c>
      <c r="AZ491" s="616">
        <v>0.06</v>
      </c>
      <c r="BA491" s="616">
        <v>6.5000000000000002E-2</v>
      </c>
      <c r="BB491" s="616">
        <v>7.0000000000000007E-2</v>
      </c>
      <c r="BC491" s="616"/>
      <c r="BD491" s="612"/>
      <c r="BE491" s="596"/>
      <c r="BF491" s="598"/>
      <c r="BG491" s="598"/>
      <c r="BH491" s="598"/>
      <c r="BI491" s="598"/>
      <c r="BJ491" s="598"/>
      <c r="BK491" s="605"/>
      <c r="BL491" s="658">
        <f t="shared" si="355"/>
        <v>19300</v>
      </c>
      <c r="BM491" s="3">
        <f t="shared" si="356"/>
        <v>32</v>
      </c>
      <c r="BN491" s="3">
        <f t="shared" si="357"/>
        <v>21</v>
      </c>
      <c r="BO491" s="3">
        <f t="shared" si="358"/>
        <v>47</v>
      </c>
    </row>
    <row r="492" spans="2:67">
      <c r="B492" s="606" t="s">
        <v>3253</v>
      </c>
      <c r="C492" s="607" t="s">
        <v>3245</v>
      </c>
      <c r="D492" s="607" t="s">
        <v>3254</v>
      </c>
      <c r="E492" s="613" t="s">
        <v>1150</v>
      </c>
      <c r="F492" s="608">
        <v>489</v>
      </c>
      <c r="G492" s="609">
        <v>5403</v>
      </c>
      <c r="H492" s="610">
        <v>7526</v>
      </c>
      <c r="I492" s="611">
        <v>6367</v>
      </c>
      <c r="J492" s="166">
        <f t="shared" si="346"/>
        <v>108</v>
      </c>
      <c r="K492" s="167">
        <f t="shared" si="347"/>
        <v>150</v>
      </c>
      <c r="L492" s="168">
        <f t="shared" si="348"/>
        <v>127</v>
      </c>
      <c r="M492" s="166">
        <f t="shared" si="349"/>
        <v>162</v>
      </c>
      <c r="N492" s="167">
        <f t="shared" si="350"/>
        <v>225</v>
      </c>
      <c r="O492" s="168">
        <f t="shared" si="351"/>
        <v>191</v>
      </c>
      <c r="P492" s="169">
        <f t="shared" si="352"/>
        <v>216</v>
      </c>
      <c r="Q492" s="169">
        <f t="shared" si="353"/>
        <v>301</v>
      </c>
      <c r="R492" s="169">
        <f t="shared" si="354"/>
        <v>254</v>
      </c>
      <c r="S492" s="584">
        <f t="shared" si="359"/>
        <v>1621</v>
      </c>
      <c r="T492" s="594">
        <f t="shared" si="360"/>
        <v>2258</v>
      </c>
      <c r="U492" s="595">
        <f t="shared" si="361"/>
        <v>1910</v>
      </c>
      <c r="V492" s="166">
        <f t="shared" si="362"/>
        <v>3349</v>
      </c>
      <c r="W492" s="167">
        <f t="shared" si="363"/>
        <v>4658</v>
      </c>
      <c r="X492" s="168">
        <f t="shared" si="364"/>
        <v>3947</v>
      </c>
      <c r="Y492" s="166">
        <f t="shared" si="365"/>
        <v>3781</v>
      </c>
      <c r="Z492" s="167">
        <f t="shared" si="366"/>
        <v>5260</v>
      </c>
      <c r="AA492" s="168">
        <f t="shared" si="367"/>
        <v>4455</v>
      </c>
      <c r="AB492" s="166">
        <f t="shared" si="368"/>
        <v>4213</v>
      </c>
      <c r="AC492" s="167">
        <f t="shared" si="369"/>
        <v>5862</v>
      </c>
      <c r="AD492" s="168">
        <f t="shared" si="370"/>
        <v>4963</v>
      </c>
      <c r="AE492" s="166">
        <f t="shared" si="371"/>
        <v>4645</v>
      </c>
      <c r="AF492" s="167">
        <f t="shared" si="372"/>
        <v>6163</v>
      </c>
      <c r="AG492" s="168">
        <f t="shared" si="373"/>
        <v>5471</v>
      </c>
      <c r="AH492" s="166">
        <f t="shared" si="374"/>
        <v>5293</v>
      </c>
      <c r="AI492" s="167">
        <f t="shared" si="375"/>
        <v>6765</v>
      </c>
      <c r="AJ492" s="168">
        <f t="shared" si="376"/>
        <v>5725</v>
      </c>
      <c r="AK492" s="169">
        <f t="shared" si="377"/>
        <v>5511</v>
      </c>
      <c r="AL492" s="167">
        <f t="shared" si="378"/>
        <v>7676</v>
      </c>
      <c r="AM492" s="585">
        <f t="shared" si="379"/>
        <v>6494</v>
      </c>
      <c r="AN492" s="614">
        <v>0.15</v>
      </c>
      <c r="AO492" s="615">
        <v>0.18</v>
      </c>
      <c r="AP492" s="615">
        <v>0.21</v>
      </c>
      <c r="AQ492" s="616">
        <v>0.24</v>
      </c>
      <c r="AR492" s="612">
        <v>0.27</v>
      </c>
      <c r="AS492" s="617"/>
      <c r="AT492" s="618"/>
      <c r="AU492" s="618"/>
      <c r="AV492" s="618"/>
      <c r="AW492" s="619"/>
      <c r="AX492" s="614">
        <v>0.03</v>
      </c>
      <c r="AY492" s="616">
        <v>3.5000000000000003E-2</v>
      </c>
      <c r="AZ492" s="616">
        <v>0.04</v>
      </c>
      <c r="BA492" s="616">
        <v>4.4999999999999998E-2</v>
      </c>
      <c r="BB492" s="616">
        <v>0.05</v>
      </c>
      <c r="BC492" s="616"/>
      <c r="BD492" s="612"/>
      <c r="BE492" s="596"/>
      <c r="BF492" s="598"/>
      <c r="BG492" s="598"/>
      <c r="BH492" s="598"/>
      <c r="BI492" s="598"/>
      <c r="BJ492" s="598"/>
      <c r="BK492" s="605"/>
      <c r="BL492" s="658">
        <f t="shared" si="355"/>
        <v>19300</v>
      </c>
      <c r="BM492" s="3">
        <f t="shared" si="356"/>
        <v>28</v>
      </c>
      <c r="BN492" s="3">
        <f t="shared" si="357"/>
        <v>39</v>
      </c>
      <c r="BO492" s="3">
        <f t="shared" si="358"/>
        <v>33</v>
      </c>
    </row>
    <row r="493" spans="2:67">
      <c r="B493" s="1271" t="s">
        <v>4097</v>
      </c>
      <c r="C493" s="1069" t="s">
        <v>309</v>
      </c>
      <c r="D493" s="1069" t="s">
        <v>4090</v>
      </c>
      <c r="E493" s="238" t="s">
        <v>1150</v>
      </c>
      <c r="F493" s="592">
        <v>490</v>
      </c>
      <c r="G493" s="1071">
        <v>13120</v>
      </c>
      <c r="H493" s="1072">
        <v>8640</v>
      </c>
      <c r="I493" s="1073">
        <v>10240</v>
      </c>
      <c r="J493" s="166">
        <f t="shared" si="346"/>
        <v>262</v>
      </c>
      <c r="K493" s="167">
        <f t="shared" si="347"/>
        <v>172</v>
      </c>
      <c r="L493" s="168">
        <f t="shared" si="348"/>
        <v>204</v>
      </c>
      <c r="M493" s="166">
        <f t="shared" si="349"/>
        <v>328</v>
      </c>
      <c r="N493" s="167">
        <f t="shared" si="350"/>
        <v>216</v>
      </c>
      <c r="O493" s="168">
        <f t="shared" si="351"/>
        <v>256</v>
      </c>
      <c r="P493" s="169">
        <f t="shared" si="352"/>
        <v>492</v>
      </c>
      <c r="Q493" s="169">
        <f t="shared" si="353"/>
        <v>324</v>
      </c>
      <c r="R493" s="169">
        <f t="shared" si="354"/>
        <v>384</v>
      </c>
      <c r="S493" s="584">
        <f t="shared" si="359"/>
        <v>3280</v>
      </c>
      <c r="T493" s="594">
        <f t="shared" si="360"/>
        <v>2160</v>
      </c>
      <c r="U493" s="595">
        <f t="shared" si="361"/>
        <v>2560</v>
      </c>
      <c r="V493" s="166">
        <f t="shared" si="362"/>
        <v>7478</v>
      </c>
      <c r="W493" s="167">
        <f t="shared" si="363"/>
        <v>4924</v>
      </c>
      <c r="X493" s="168">
        <f t="shared" si="364"/>
        <v>5836</v>
      </c>
      <c r="Y493" s="166">
        <f t="shared" si="365"/>
        <v>8462</v>
      </c>
      <c r="Z493" s="167">
        <f t="shared" si="366"/>
        <v>5248</v>
      </c>
      <c r="AA493" s="168">
        <f t="shared" si="367"/>
        <v>6988</v>
      </c>
      <c r="AB493" s="166">
        <f t="shared" si="368"/>
        <v>9938</v>
      </c>
      <c r="AC493" s="167">
        <f t="shared" si="369"/>
        <v>6220</v>
      </c>
      <c r="AD493" s="168">
        <f t="shared" si="370"/>
        <v>7372</v>
      </c>
      <c r="AE493" s="166">
        <f t="shared" si="371"/>
        <v>10922</v>
      </c>
      <c r="AF493" s="167">
        <f t="shared" si="372"/>
        <v>7516</v>
      </c>
      <c r="AG493" s="168">
        <f t="shared" si="373"/>
        <v>8140</v>
      </c>
      <c r="AH493" s="166">
        <f t="shared" si="374"/>
        <v>11906</v>
      </c>
      <c r="AI493" s="167">
        <f t="shared" si="375"/>
        <v>8164</v>
      </c>
      <c r="AJ493" s="168">
        <f t="shared" si="376"/>
        <v>9676</v>
      </c>
      <c r="AK493" s="169">
        <f t="shared" si="377"/>
        <v>13382</v>
      </c>
      <c r="AL493" s="167">
        <f t="shared" si="378"/>
        <v>8812</v>
      </c>
      <c r="AM493" s="585">
        <f t="shared" si="379"/>
        <v>10444</v>
      </c>
      <c r="AN493" s="1133">
        <v>0.05</v>
      </c>
      <c r="AO493" s="1134">
        <v>5.2999999999999999E-2</v>
      </c>
      <c r="AP493" s="1134">
        <v>5.6000000000000001E-2</v>
      </c>
      <c r="AQ493" s="1135">
        <v>5.8999999999999997E-2</v>
      </c>
      <c r="AR493" s="1132">
        <v>6.2E-2</v>
      </c>
      <c r="AS493" s="1136"/>
      <c r="AT493" s="1137"/>
      <c r="AU493" s="1137"/>
      <c r="AV493" s="1137"/>
      <c r="AW493" s="1138"/>
      <c r="AX493" s="1133">
        <v>0.04</v>
      </c>
      <c r="AY493" s="1135">
        <v>4.2999999999999997E-2</v>
      </c>
      <c r="AZ493" s="1135">
        <v>4.5999999999999999E-2</v>
      </c>
      <c r="BA493" s="1135">
        <v>4.9000000000000002E-2</v>
      </c>
      <c r="BB493" s="1135">
        <v>5.1999999999999998E-2</v>
      </c>
      <c r="BC493" s="1135"/>
      <c r="BD493" s="1132"/>
      <c r="BE493" s="596"/>
      <c r="BF493" s="598"/>
      <c r="BG493" s="598"/>
      <c r="BH493" s="598"/>
      <c r="BI493" s="598"/>
      <c r="BJ493" s="598"/>
      <c r="BK493" s="605"/>
      <c r="BL493" s="658">
        <f t="shared" si="355"/>
        <v>32000</v>
      </c>
      <c r="BM493" s="3">
        <f t="shared" si="356"/>
        <v>41</v>
      </c>
      <c r="BN493" s="3">
        <f t="shared" si="357"/>
        <v>27</v>
      </c>
      <c r="BO493" s="3">
        <f t="shared" si="358"/>
        <v>32</v>
      </c>
    </row>
    <row r="494" spans="2:67">
      <c r="B494" s="606" t="s">
        <v>4099</v>
      </c>
      <c r="C494" s="607" t="s">
        <v>310</v>
      </c>
      <c r="D494" s="607" t="s">
        <v>4093</v>
      </c>
      <c r="E494" s="238" t="s">
        <v>1150</v>
      </c>
      <c r="F494" s="608">
        <v>491</v>
      </c>
      <c r="G494" s="609">
        <v>5683</v>
      </c>
      <c r="H494" s="610">
        <v>7840</v>
      </c>
      <c r="I494" s="611">
        <v>6074</v>
      </c>
      <c r="J494" s="166">
        <f t="shared" si="346"/>
        <v>113</v>
      </c>
      <c r="K494" s="167">
        <f t="shared" si="347"/>
        <v>156</v>
      </c>
      <c r="L494" s="168">
        <f t="shared" si="348"/>
        <v>121</v>
      </c>
      <c r="M494" s="166">
        <f t="shared" si="349"/>
        <v>170</v>
      </c>
      <c r="N494" s="167">
        <f t="shared" si="350"/>
        <v>235</v>
      </c>
      <c r="O494" s="168">
        <f t="shared" si="351"/>
        <v>182</v>
      </c>
      <c r="P494" s="169">
        <f t="shared" si="352"/>
        <v>227</v>
      </c>
      <c r="Q494" s="169">
        <f t="shared" si="353"/>
        <v>313</v>
      </c>
      <c r="R494" s="169">
        <f t="shared" si="354"/>
        <v>243</v>
      </c>
      <c r="S494" s="584">
        <f t="shared" si="359"/>
        <v>1705</v>
      </c>
      <c r="T494" s="594">
        <f t="shared" si="360"/>
        <v>2352</v>
      </c>
      <c r="U494" s="595">
        <f t="shared" si="361"/>
        <v>1822</v>
      </c>
      <c r="V494" s="166">
        <f t="shared" si="362"/>
        <v>3518</v>
      </c>
      <c r="W494" s="167">
        <f t="shared" si="363"/>
        <v>4858</v>
      </c>
      <c r="X494" s="168">
        <f t="shared" si="364"/>
        <v>3763</v>
      </c>
      <c r="Y494" s="166">
        <f t="shared" si="365"/>
        <v>3972</v>
      </c>
      <c r="Z494" s="167">
        <f t="shared" si="366"/>
        <v>5484</v>
      </c>
      <c r="AA494" s="168">
        <f t="shared" si="367"/>
        <v>4249</v>
      </c>
      <c r="AB494" s="166">
        <f t="shared" si="368"/>
        <v>4426</v>
      </c>
      <c r="AC494" s="167">
        <f t="shared" si="369"/>
        <v>6110</v>
      </c>
      <c r="AD494" s="168">
        <f t="shared" si="370"/>
        <v>4735</v>
      </c>
      <c r="AE494" s="166">
        <f t="shared" si="371"/>
        <v>4880</v>
      </c>
      <c r="AF494" s="167">
        <f t="shared" si="372"/>
        <v>6423</v>
      </c>
      <c r="AG494" s="168">
        <f t="shared" si="373"/>
        <v>5221</v>
      </c>
      <c r="AH494" s="166">
        <f t="shared" si="374"/>
        <v>5561</v>
      </c>
      <c r="AI494" s="167">
        <f t="shared" si="375"/>
        <v>7049</v>
      </c>
      <c r="AJ494" s="168">
        <f t="shared" si="376"/>
        <v>5464</v>
      </c>
      <c r="AK494" s="169">
        <f t="shared" si="377"/>
        <v>5796</v>
      </c>
      <c r="AL494" s="167">
        <f t="shared" si="378"/>
        <v>7996</v>
      </c>
      <c r="AM494" s="585">
        <f t="shared" si="379"/>
        <v>6195</v>
      </c>
      <c r="AN494" s="614">
        <v>0.15</v>
      </c>
      <c r="AO494" s="615">
        <v>0.18</v>
      </c>
      <c r="AP494" s="615">
        <v>0.21</v>
      </c>
      <c r="AQ494" s="616">
        <v>0.24</v>
      </c>
      <c r="AR494" s="612">
        <v>0.27</v>
      </c>
      <c r="AS494" s="617"/>
      <c r="AT494" s="618"/>
      <c r="AU494" s="618"/>
      <c r="AV494" s="618"/>
      <c r="AW494" s="619"/>
      <c r="AX494" s="614">
        <v>0.02</v>
      </c>
      <c r="AY494" s="616">
        <v>2.3E-2</v>
      </c>
      <c r="AZ494" s="616">
        <v>2.5999999999999999E-2</v>
      </c>
      <c r="BA494" s="616">
        <v>2.9000000000000001E-2</v>
      </c>
      <c r="BB494" s="616">
        <v>3.2000000000000001E-2</v>
      </c>
      <c r="BC494" s="616"/>
      <c r="BD494" s="612"/>
      <c r="BE494" s="596"/>
      <c r="BF494" s="598"/>
      <c r="BG494" s="598"/>
      <c r="BH494" s="598"/>
      <c r="BI494" s="598"/>
      <c r="BJ494" s="598"/>
      <c r="BK494" s="605"/>
      <c r="BL494" s="658">
        <f t="shared" si="355"/>
        <v>19600</v>
      </c>
      <c r="BM494" s="3">
        <f t="shared" si="356"/>
        <v>29</v>
      </c>
      <c r="BN494" s="3">
        <f t="shared" si="357"/>
        <v>40</v>
      </c>
      <c r="BO494" s="3">
        <f t="shared" si="358"/>
        <v>31</v>
      </c>
    </row>
    <row r="495" spans="2:67">
      <c r="B495" s="1271" t="s">
        <v>4101</v>
      </c>
      <c r="C495" s="1069" t="s">
        <v>309</v>
      </c>
      <c r="D495" s="1069" t="s">
        <v>4093</v>
      </c>
      <c r="E495" s="1268" t="s">
        <v>1150</v>
      </c>
      <c r="F495" s="592">
        <v>492</v>
      </c>
      <c r="G495" s="1071">
        <v>9920</v>
      </c>
      <c r="H495" s="1072">
        <v>10880</v>
      </c>
      <c r="I495" s="1073">
        <v>11200</v>
      </c>
      <c r="J495" s="166">
        <f t="shared" si="346"/>
        <v>198</v>
      </c>
      <c r="K495" s="167">
        <f t="shared" si="347"/>
        <v>217</v>
      </c>
      <c r="L495" s="168">
        <f t="shared" si="348"/>
        <v>224</v>
      </c>
      <c r="M495" s="166">
        <f t="shared" si="349"/>
        <v>248</v>
      </c>
      <c r="N495" s="167">
        <f t="shared" si="350"/>
        <v>272</v>
      </c>
      <c r="O495" s="168">
        <f t="shared" si="351"/>
        <v>280</v>
      </c>
      <c r="P495" s="169">
        <f t="shared" si="352"/>
        <v>372</v>
      </c>
      <c r="Q495" s="169">
        <f t="shared" si="353"/>
        <v>408</v>
      </c>
      <c r="R495" s="169">
        <f t="shared" si="354"/>
        <v>420</v>
      </c>
      <c r="S495" s="584">
        <f t="shared" si="359"/>
        <v>2480</v>
      </c>
      <c r="T495" s="594">
        <f t="shared" si="360"/>
        <v>2720</v>
      </c>
      <c r="U495" s="595">
        <f t="shared" si="361"/>
        <v>2800</v>
      </c>
      <c r="V495" s="166">
        <f t="shared" si="362"/>
        <v>5654</v>
      </c>
      <c r="W495" s="167">
        <f t="shared" si="363"/>
        <v>6201</v>
      </c>
      <c r="X495" s="168">
        <f t="shared" si="364"/>
        <v>6384</v>
      </c>
      <c r="Y495" s="166">
        <f t="shared" si="365"/>
        <v>6770</v>
      </c>
      <c r="Z495" s="167">
        <f t="shared" si="366"/>
        <v>7017</v>
      </c>
      <c r="AA495" s="168">
        <f t="shared" si="367"/>
        <v>6804</v>
      </c>
      <c r="AB495" s="166">
        <f t="shared" si="368"/>
        <v>7142</v>
      </c>
      <c r="AC495" s="167">
        <f t="shared" si="369"/>
        <v>8241</v>
      </c>
      <c r="AD495" s="168">
        <f t="shared" si="370"/>
        <v>8064</v>
      </c>
      <c r="AE495" s="166">
        <f t="shared" si="371"/>
        <v>7886</v>
      </c>
      <c r="AF495" s="167">
        <f t="shared" si="372"/>
        <v>9057</v>
      </c>
      <c r="AG495" s="168">
        <f t="shared" si="373"/>
        <v>9744</v>
      </c>
      <c r="AH495" s="166">
        <f t="shared" si="374"/>
        <v>9374</v>
      </c>
      <c r="AI495" s="167">
        <f t="shared" si="375"/>
        <v>9873</v>
      </c>
      <c r="AJ495" s="168">
        <f t="shared" si="376"/>
        <v>10584</v>
      </c>
      <c r="AK495" s="169">
        <f t="shared" si="377"/>
        <v>10118</v>
      </c>
      <c r="AL495" s="167">
        <f t="shared" si="378"/>
        <v>11097</v>
      </c>
      <c r="AM495" s="585">
        <f t="shared" si="379"/>
        <v>11424</v>
      </c>
      <c r="AN495" s="1133">
        <v>0.2</v>
      </c>
      <c r="AO495" s="1134">
        <v>0.23</v>
      </c>
      <c r="AP495" s="1134">
        <v>0.26</v>
      </c>
      <c r="AQ495" s="1135">
        <v>0.28999999999999998</v>
      </c>
      <c r="AR495" s="1132">
        <v>0.32</v>
      </c>
      <c r="AS495" s="1136"/>
      <c r="AT495" s="1137"/>
      <c r="AU495" s="1137"/>
      <c r="AV495" s="1137"/>
      <c r="AW495" s="1138"/>
      <c r="AX495" s="1133">
        <v>0.02</v>
      </c>
      <c r="AY495" s="1135">
        <v>2.3E-2</v>
      </c>
      <c r="AZ495" s="1135">
        <v>2.5999999999999999E-2</v>
      </c>
      <c r="BA495" s="1135">
        <v>2.9000000000000001E-2</v>
      </c>
      <c r="BB495" s="1135">
        <v>3.2000000000000001E-2</v>
      </c>
      <c r="BC495" s="1135"/>
      <c r="BD495" s="1132"/>
      <c r="BE495" s="596"/>
      <c r="BF495" s="598"/>
      <c r="BG495" s="598"/>
      <c r="BH495" s="598"/>
      <c r="BI495" s="598"/>
      <c r="BJ495" s="598"/>
      <c r="BK495" s="605"/>
      <c r="BL495" s="658">
        <f t="shared" si="355"/>
        <v>32000</v>
      </c>
      <c r="BM495" s="3">
        <f t="shared" si="356"/>
        <v>31</v>
      </c>
      <c r="BN495" s="3">
        <f t="shared" si="357"/>
        <v>34</v>
      </c>
      <c r="BO495" s="3">
        <f t="shared" si="358"/>
        <v>35</v>
      </c>
    </row>
    <row r="496" spans="2:67">
      <c r="B496" s="1271" t="s">
        <v>4102</v>
      </c>
      <c r="C496" s="1069" t="s">
        <v>309</v>
      </c>
      <c r="D496" s="1069" t="s">
        <v>4103</v>
      </c>
      <c r="E496" s="238" t="s">
        <v>125</v>
      </c>
      <c r="F496" s="1070">
        <v>493</v>
      </c>
      <c r="G496" s="1071">
        <v>9273</v>
      </c>
      <c r="H496" s="1072">
        <v>4769</v>
      </c>
      <c r="I496" s="1073">
        <v>12453</v>
      </c>
      <c r="J496" s="166">
        <f t="shared" si="346"/>
        <v>185</v>
      </c>
      <c r="K496" s="167">
        <f t="shared" si="347"/>
        <v>95</v>
      </c>
      <c r="L496" s="168">
        <f t="shared" si="348"/>
        <v>249</v>
      </c>
      <c r="M496" s="166">
        <f t="shared" si="349"/>
        <v>231</v>
      </c>
      <c r="N496" s="167">
        <f t="shared" si="350"/>
        <v>119</v>
      </c>
      <c r="O496" s="168">
        <f t="shared" si="351"/>
        <v>311</v>
      </c>
      <c r="P496" s="169">
        <f t="shared" si="352"/>
        <v>347</v>
      </c>
      <c r="Q496" s="169">
        <f t="shared" si="353"/>
        <v>178</v>
      </c>
      <c r="R496" s="169">
        <f t="shared" si="354"/>
        <v>467</v>
      </c>
      <c r="S496" s="584">
        <f t="shared" si="359"/>
        <v>2318</v>
      </c>
      <c r="T496" s="594">
        <f t="shared" si="360"/>
        <v>1192</v>
      </c>
      <c r="U496" s="595">
        <f t="shared" si="361"/>
        <v>3113</v>
      </c>
      <c r="V496" s="166">
        <f t="shared" si="362"/>
        <v>5275</v>
      </c>
      <c r="W496" s="167">
        <f t="shared" si="363"/>
        <v>2715</v>
      </c>
      <c r="X496" s="168">
        <f t="shared" si="364"/>
        <v>7094</v>
      </c>
      <c r="Y496" s="166">
        <f t="shared" si="365"/>
        <v>5622</v>
      </c>
      <c r="Z496" s="167">
        <f t="shared" si="366"/>
        <v>3071</v>
      </c>
      <c r="AA496" s="168">
        <f t="shared" si="367"/>
        <v>8495</v>
      </c>
      <c r="AB496" s="166">
        <f t="shared" si="368"/>
        <v>6663</v>
      </c>
      <c r="AC496" s="167">
        <f t="shared" si="369"/>
        <v>3605</v>
      </c>
      <c r="AD496" s="168">
        <f t="shared" si="370"/>
        <v>8962</v>
      </c>
      <c r="AE496" s="166">
        <f t="shared" si="371"/>
        <v>8051</v>
      </c>
      <c r="AF496" s="167">
        <f t="shared" si="372"/>
        <v>3961</v>
      </c>
      <c r="AG496" s="168">
        <f t="shared" si="373"/>
        <v>9896</v>
      </c>
      <c r="AH496" s="166">
        <f t="shared" si="374"/>
        <v>8745</v>
      </c>
      <c r="AI496" s="167">
        <f t="shared" si="375"/>
        <v>4317</v>
      </c>
      <c r="AJ496" s="168">
        <f t="shared" si="376"/>
        <v>11764</v>
      </c>
      <c r="AK496" s="169">
        <f t="shared" si="377"/>
        <v>9458</v>
      </c>
      <c r="AL496" s="167">
        <f t="shared" si="378"/>
        <v>4864</v>
      </c>
      <c r="AM496" s="585">
        <f t="shared" si="379"/>
        <v>12702</v>
      </c>
      <c r="AN496" s="1133">
        <v>0.06</v>
      </c>
      <c r="AO496" s="1134">
        <v>6.3E-2</v>
      </c>
      <c r="AP496" s="1134">
        <v>6.6000000000000003E-2</v>
      </c>
      <c r="AQ496" s="1135">
        <v>6.9000000000000006E-2</v>
      </c>
      <c r="AR496" s="1132">
        <v>7.1999999999999995E-2</v>
      </c>
      <c r="AS496" s="1136"/>
      <c r="AT496" s="1137"/>
      <c r="AU496" s="1137"/>
      <c r="AV496" s="1137"/>
      <c r="AW496" s="1138"/>
      <c r="AX496" s="596">
        <v>0.03</v>
      </c>
      <c r="AY496" s="598">
        <v>3.3000000000000002E-2</v>
      </c>
      <c r="AZ496" s="598">
        <v>3.5999999999999997E-2</v>
      </c>
      <c r="BA496" s="598">
        <v>3.9E-2</v>
      </c>
      <c r="BB496" s="598">
        <v>4.2000000000000003E-2</v>
      </c>
      <c r="BC496" s="1135"/>
      <c r="BD496" s="1132"/>
      <c r="BE496" s="596"/>
      <c r="BF496" s="598"/>
      <c r="BG496" s="598"/>
      <c r="BH496" s="598"/>
      <c r="BI496" s="598"/>
      <c r="BJ496" s="598"/>
      <c r="BK496" s="605"/>
      <c r="BL496" s="658">
        <f t="shared" si="355"/>
        <v>26500</v>
      </c>
      <c r="BM496" s="3">
        <f t="shared" si="356"/>
        <v>35</v>
      </c>
      <c r="BN496" s="3">
        <f t="shared" si="357"/>
        <v>18</v>
      </c>
      <c r="BO496" s="3">
        <f t="shared" si="358"/>
        <v>47</v>
      </c>
    </row>
    <row r="497" spans="2:67">
      <c r="B497" s="606" t="s">
        <v>4107</v>
      </c>
      <c r="C497" s="607" t="s">
        <v>310</v>
      </c>
      <c r="D497" s="607" t="s">
        <v>4103</v>
      </c>
      <c r="E497" s="238" t="s">
        <v>125</v>
      </c>
      <c r="F497" s="592">
        <v>494</v>
      </c>
      <c r="G497" s="609">
        <v>5810</v>
      </c>
      <c r="H497" s="610">
        <v>3650</v>
      </c>
      <c r="I497" s="611">
        <v>7137</v>
      </c>
      <c r="J497" s="166">
        <f t="shared" si="346"/>
        <v>116</v>
      </c>
      <c r="K497" s="167">
        <f t="shared" si="347"/>
        <v>73</v>
      </c>
      <c r="L497" s="168">
        <f t="shared" si="348"/>
        <v>142</v>
      </c>
      <c r="M497" s="166">
        <f t="shared" si="349"/>
        <v>174</v>
      </c>
      <c r="N497" s="167">
        <f t="shared" si="350"/>
        <v>109</v>
      </c>
      <c r="O497" s="168">
        <f t="shared" si="351"/>
        <v>214</v>
      </c>
      <c r="P497" s="169">
        <f t="shared" si="352"/>
        <v>232</v>
      </c>
      <c r="Q497" s="169">
        <f t="shared" si="353"/>
        <v>146</v>
      </c>
      <c r="R497" s="169">
        <f t="shared" si="354"/>
        <v>285</v>
      </c>
      <c r="S497" s="584">
        <f t="shared" si="359"/>
        <v>1743</v>
      </c>
      <c r="T497" s="594">
        <f t="shared" si="360"/>
        <v>1095</v>
      </c>
      <c r="U497" s="595">
        <f t="shared" si="361"/>
        <v>2141</v>
      </c>
      <c r="V497" s="166">
        <f t="shared" si="362"/>
        <v>3599</v>
      </c>
      <c r="W497" s="167">
        <f t="shared" si="363"/>
        <v>2258</v>
      </c>
      <c r="X497" s="168">
        <f t="shared" si="364"/>
        <v>4423</v>
      </c>
      <c r="Y497" s="166">
        <f t="shared" si="365"/>
        <v>4063</v>
      </c>
      <c r="Z497" s="167">
        <f t="shared" si="366"/>
        <v>2550</v>
      </c>
      <c r="AA497" s="168">
        <f t="shared" si="367"/>
        <v>4993</v>
      </c>
      <c r="AB497" s="166">
        <f t="shared" si="368"/>
        <v>4527</v>
      </c>
      <c r="AC497" s="167">
        <f t="shared" si="369"/>
        <v>2842</v>
      </c>
      <c r="AD497" s="168">
        <f t="shared" si="370"/>
        <v>5563</v>
      </c>
      <c r="AE497" s="166">
        <f t="shared" si="371"/>
        <v>4991</v>
      </c>
      <c r="AF497" s="167">
        <f t="shared" si="372"/>
        <v>2988</v>
      </c>
      <c r="AG497" s="168">
        <f t="shared" si="373"/>
        <v>6133</v>
      </c>
      <c r="AH497" s="166">
        <f t="shared" si="374"/>
        <v>5223</v>
      </c>
      <c r="AI497" s="167">
        <f t="shared" si="375"/>
        <v>3280</v>
      </c>
      <c r="AJ497" s="168">
        <f t="shared" si="376"/>
        <v>6988</v>
      </c>
      <c r="AK497" s="169">
        <f t="shared" si="377"/>
        <v>5926</v>
      </c>
      <c r="AL497" s="167">
        <f t="shared" si="378"/>
        <v>3723</v>
      </c>
      <c r="AM497" s="585">
        <f t="shared" si="379"/>
        <v>7279</v>
      </c>
      <c r="AN497" s="614">
        <v>0.17</v>
      </c>
      <c r="AO497" s="615">
        <v>0.2</v>
      </c>
      <c r="AP497" s="615">
        <v>0.23</v>
      </c>
      <c r="AQ497" s="616">
        <v>0.26</v>
      </c>
      <c r="AR497" s="612">
        <v>0.28999999999999998</v>
      </c>
      <c r="AS497" s="617"/>
      <c r="AT497" s="618"/>
      <c r="AU497" s="618"/>
      <c r="AV497" s="618"/>
      <c r="AW497" s="619"/>
      <c r="AX497" s="614">
        <v>0.02</v>
      </c>
      <c r="AY497" s="616">
        <v>2.3E-2</v>
      </c>
      <c r="AZ497" s="616">
        <v>2.5999999999999999E-2</v>
      </c>
      <c r="BA497" s="616">
        <v>2.9000000000000001E-2</v>
      </c>
      <c r="BB497" s="616">
        <v>3.2000000000000001E-2</v>
      </c>
      <c r="BC497" s="616"/>
      <c r="BD497" s="612"/>
      <c r="BE497" s="596"/>
      <c r="BF497" s="598"/>
      <c r="BG497" s="598"/>
      <c r="BH497" s="598"/>
      <c r="BI497" s="598"/>
      <c r="BJ497" s="598"/>
      <c r="BK497" s="605"/>
      <c r="BL497" s="658">
        <f t="shared" si="355"/>
        <v>16600</v>
      </c>
      <c r="BM497" s="3">
        <f t="shared" si="356"/>
        <v>35</v>
      </c>
      <c r="BN497" s="3">
        <f t="shared" si="357"/>
        <v>22</v>
      </c>
      <c r="BO497" s="3">
        <f t="shared" si="358"/>
        <v>43</v>
      </c>
    </row>
    <row r="498" spans="2:67">
      <c r="B498" s="606" t="s">
        <v>4109</v>
      </c>
      <c r="C498" s="607" t="s">
        <v>310</v>
      </c>
      <c r="D498" s="607" t="s">
        <v>4090</v>
      </c>
      <c r="E498" s="613" t="s">
        <v>125</v>
      </c>
      <c r="F498" s="608">
        <v>495</v>
      </c>
      <c r="G498" s="609">
        <v>6640</v>
      </c>
      <c r="H498" s="610">
        <v>4980</v>
      </c>
      <c r="I498" s="611">
        <v>4980</v>
      </c>
      <c r="J498" s="166">
        <f t="shared" si="346"/>
        <v>132</v>
      </c>
      <c r="K498" s="167">
        <f t="shared" si="347"/>
        <v>99</v>
      </c>
      <c r="L498" s="168">
        <f t="shared" si="348"/>
        <v>99</v>
      </c>
      <c r="M498" s="166">
        <f t="shared" si="349"/>
        <v>199</v>
      </c>
      <c r="N498" s="167">
        <f t="shared" si="350"/>
        <v>149</v>
      </c>
      <c r="O498" s="168">
        <f t="shared" si="351"/>
        <v>149</v>
      </c>
      <c r="P498" s="169">
        <f t="shared" si="352"/>
        <v>265</v>
      </c>
      <c r="Q498" s="169">
        <f t="shared" si="353"/>
        <v>199</v>
      </c>
      <c r="R498" s="169">
        <f t="shared" si="354"/>
        <v>199</v>
      </c>
      <c r="S498" s="584">
        <f t="shared" si="359"/>
        <v>1992</v>
      </c>
      <c r="T498" s="594">
        <f t="shared" si="360"/>
        <v>1494</v>
      </c>
      <c r="U498" s="595">
        <f t="shared" si="361"/>
        <v>1494</v>
      </c>
      <c r="V498" s="166">
        <f t="shared" si="362"/>
        <v>4114</v>
      </c>
      <c r="W498" s="167">
        <f t="shared" si="363"/>
        <v>3083</v>
      </c>
      <c r="X498" s="168">
        <f t="shared" si="364"/>
        <v>3083</v>
      </c>
      <c r="Y498" s="166">
        <f t="shared" si="365"/>
        <v>4644</v>
      </c>
      <c r="Z498" s="167">
        <f t="shared" si="366"/>
        <v>3481</v>
      </c>
      <c r="AA498" s="168">
        <f t="shared" si="367"/>
        <v>3481</v>
      </c>
      <c r="AB498" s="166">
        <f t="shared" si="368"/>
        <v>5174</v>
      </c>
      <c r="AC498" s="167">
        <f t="shared" si="369"/>
        <v>3879</v>
      </c>
      <c r="AD498" s="168">
        <f t="shared" si="370"/>
        <v>3879</v>
      </c>
      <c r="AE498" s="166">
        <f t="shared" si="371"/>
        <v>5439</v>
      </c>
      <c r="AF498" s="167">
        <f t="shared" si="372"/>
        <v>4277</v>
      </c>
      <c r="AG498" s="168">
        <f t="shared" si="373"/>
        <v>4277</v>
      </c>
      <c r="AH498" s="166">
        <f t="shared" si="374"/>
        <v>5969</v>
      </c>
      <c r="AI498" s="167">
        <f t="shared" si="375"/>
        <v>4476</v>
      </c>
      <c r="AJ498" s="168">
        <f t="shared" si="376"/>
        <v>4874</v>
      </c>
      <c r="AK498" s="169">
        <f t="shared" si="377"/>
        <v>6772</v>
      </c>
      <c r="AL498" s="167">
        <f t="shared" si="378"/>
        <v>5079</v>
      </c>
      <c r="AM498" s="585">
        <f t="shared" si="379"/>
        <v>5079</v>
      </c>
      <c r="AN498" s="614">
        <v>0.04</v>
      </c>
      <c r="AO498" s="615">
        <v>4.4999999999999998E-2</v>
      </c>
      <c r="AP498" s="615">
        <v>0.05</v>
      </c>
      <c r="AQ498" s="616">
        <v>5.5E-2</v>
      </c>
      <c r="AR498" s="612">
        <v>0.06</v>
      </c>
      <c r="AS498" s="617"/>
      <c r="AT498" s="618"/>
      <c r="AU498" s="618"/>
      <c r="AV498" s="618"/>
      <c r="AW498" s="619"/>
      <c r="AX498" s="614">
        <v>0.03</v>
      </c>
      <c r="AY498" s="616">
        <v>3.5000000000000003E-2</v>
      </c>
      <c r="AZ498" s="616">
        <v>0.04</v>
      </c>
      <c r="BA498" s="616">
        <v>4.4999999999999998E-2</v>
      </c>
      <c r="BB498" s="616">
        <v>0.05</v>
      </c>
      <c r="BC498" s="616"/>
      <c r="BD498" s="612"/>
      <c r="BE498" s="596"/>
      <c r="BF498" s="598"/>
      <c r="BG498" s="598"/>
      <c r="BH498" s="598"/>
      <c r="BI498" s="598"/>
      <c r="BJ498" s="598"/>
      <c r="BK498" s="605"/>
      <c r="BL498" s="658">
        <f t="shared" si="355"/>
        <v>16600</v>
      </c>
      <c r="BM498" s="3">
        <f t="shared" si="356"/>
        <v>40</v>
      </c>
      <c r="BN498" s="3">
        <f t="shared" si="357"/>
        <v>30</v>
      </c>
      <c r="BO498" s="3">
        <f t="shared" si="358"/>
        <v>30</v>
      </c>
    </row>
    <row r="499" spans="2:67">
      <c r="B499" s="1271" t="s">
        <v>4137</v>
      </c>
      <c r="C499" s="1069" t="s">
        <v>309</v>
      </c>
      <c r="D499" s="1069" t="s">
        <v>4138</v>
      </c>
      <c r="E499" s="1268" t="s">
        <v>2115</v>
      </c>
      <c r="F499" s="592">
        <v>496</v>
      </c>
      <c r="G499" s="1071">
        <v>12284</v>
      </c>
      <c r="H499" s="1072">
        <v>5984</v>
      </c>
      <c r="I499" s="1073">
        <v>13229</v>
      </c>
      <c r="J499" s="166">
        <f t="shared" si="346"/>
        <v>245</v>
      </c>
      <c r="K499" s="167">
        <f t="shared" si="347"/>
        <v>119</v>
      </c>
      <c r="L499" s="168">
        <f t="shared" si="348"/>
        <v>264</v>
      </c>
      <c r="M499" s="166">
        <f t="shared" si="349"/>
        <v>332</v>
      </c>
      <c r="N499" s="167">
        <f t="shared" si="350"/>
        <v>162</v>
      </c>
      <c r="O499" s="168">
        <f t="shared" si="351"/>
        <v>358</v>
      </c>
      <c r="P499" s="169">
        <f t="shared" si="352"/>
        <v>537</v>
      </c>
      <c r="Q499" s="169">
        <f t="shared" si="353"/>
        <v>261</v>
      </c>
      <c r="R499" s="169">
        <f t="shared" si="354"/>
        <v>578</v>
      </c>
      <c r="S499" s="584">
        <f t="shared" si="359"/>
        <v>3071</v>
      </c>
      <c r="T499" s="594">
        <f t="shared" si="360"/>
        <v>1496</v>
      </c>
      <c r="U499" s="595">
        <f t="shared" si="361"/>
        <v>3307</v>
      </c>
      <c r="V499" s="166">
        <f t="shared" si="362"/>
        <v>9292</v>
      </c>
      <c r="W499" s="167">
        <f t="shared" si="363"/>
        <v>4531</v>
      </c>
      <c r="X499" s="168">
        <f t="shared" si="364"/>
        <v>10015</v>
      </c>
      <c r="Y499" s="166">
        <f t="shared" si="365"/>
        <v>10366</v>
      </c>
      <c r="Z499" s="167">
        <f t="shared" si="366"/>
        <v>5053</v>
      </c>
      <c r="AA499" s="168">
        <f t="shared" si="367"/>
        <v>10593</v>
      </c>
      <c r="AB499" s="166">
        <f t="shared" si="368"/>
        <v>10903</v>
      </c>
      <c r="AC499" s="167">
        <f t="shared" si="369"/>
        <v>5053</v>
      </c>
      <c r="AD499" s="168">
        <f t="shared" si="370"/>
        <v>11171</v>
      </c>
      <c r="AE499" s="166">
        <f t="shared" si="371"/>
        <v>10903</v>
      </c>
      <c r="AF499" s="167">
        <f t="shared" si="372"/>
        <v>5314</v>
      </c>
      <c r="AG499" s="168">
        <f t="shared" si="373"/>
        <v>11749</v>
      </c>
      <c r="AH499" s="166">
        <f t="shared" si="374"/>
        <v>11440</v>
      </c>
      <c r="AI499" s="167">
        <f t="shared" si="375"/>
        <v>5575</v>
      </c>
      <c r="AJ499" s="168">
        <f t="shared" si="376"/>
        <v>12327</v>
      </c>
      <c r="AK499" s="169">
        <f t="shared" si="377"/>
        <v>12529</v>
      </c>
      <c r="AL499" s="167">
        <f t="shared" si="378"/>
        <v>6103</v>
      </c>
      <c r="AM499" s="585">
        <f t="shared" si="379"/>
        <v>13493</v>
      </c>
      <c r="AN499" s="596">
        <v>7.0000000000000007E-2</v>
      </c>
      <c r="AO499" s="597">
        <v>7.4999999999999997E-2</v>
      </c>
      <c r="AP499" s="597">
        <v>0.08</v>
      </c>
      <c r="AQ499" s="598">
        <v>8.5000000000000006E-2</v>
      </c>
      <c r="AR499" s="599">
        <v>0.09</v>
      </c>
      <c r="AS499" s="1136"/>
      <c r="AT499" s="1137"/>
      <c r="AU499" s="1137"/>
      <c r="AV499" s="1137"/>
      <c r="AW499" s="1138"/>
      <c r="AX499" s="1133">
        <v>3.4000000000000002E-2</v>
      </c>
      <c r="AY499" s="1135">
        <v>3.6999999999999998E-2</v>
      </c>
      <c r="AZ499" s="1135">
        <v>0.04</v>
      </c>
      <c r="BA499" s="1135">
        <v>4.2999999999999997E-2</v>
      </c>
      <c r="BB499" s="1135">
        <v>4.5999999999999999E-2</v>
      </c>
      <c r="BC499" s="1135">
        <v>4.9000000000000002E-2</v>
      </c>
      <c r="BD499" s="1132">
        <v>5.1999999999999998E-2</v>
      </c>
      <c r="BE499" s="596">
        <v>1.7000000000000001E-2</v>
      </c>
      <c r="BF499" s="598">
        <v>1.8499999999999999E-2</v>
      </c>
      <c r="BG499" s="598">
        <v>0.02</v>
      </c>
      <c r="BH499" s="598">
        <v>2.1499999999999998E-2</v>
      </c>
      <c r="BI499" s="598">
        <v>2.3E-2</v>
      </c>
      <c r="BJ499" s="598">
        <v>2.4500000000000001E-2</v>
      </c>
      <c r="BK499" s="605">
        <v>2.5999999999999999E-2</v>
      </c>
      <c r="BL499" s="658">
        <f t="shared" si="355"/>
        <v>31500</v>
      </c>
      <c r="BM499" s="3">
        <f t="shared" si="356"/>
        <v>39</v>
      </c>
      <c r="BN499" s="3">
        <f t="shared" si="357"/>
        <v>19</v>
      </c>
      <c r="BO499" s="3">
        <f t="shared" si="358"/>
        <v>42</v>
      </c>
    </row>
    <row r="500" spans="2:67">
      <c r="B500" s="606" t="s">
        <v>4141</v>
      </c>
      <c r="C500" s="607" t="s">
        <v>310</v>
      </c>
      <c r="D500" s="607" t="s">
        <v>4138</v>
      </c>
      <c r="E500" s="238" t="s">
        <v>1150</v>
      </c>
      <c r="F500" s="608">
        <v>497</v>
      </c>
      <c r="G500" s="609">
        <v>6663</v>
      </c>
      <c r="H500" s="610">
        <v>6467</v>
      </c>
      <c r="I500" s="611">
        <v>6467</v>
      </c>
      <c r="J500" s="166">
        <f t="shared" si="346"/>
        <v>133</v>
      </c>
      <c r="K500" s="167">
        <f t="shared" si="347"/>
        <v>129</v>
      </c>
      <c r="L500" s="168">
        <f t="shared" si="348"/>
        <v>129</v>
      </c>
      <c r="M500" s="166">
        <f t="shared" si="349"/>
        <v>199</v>
      </c>
      <c r="N500" s="167">
        <f t="shared" si="350"/>
        <v>194</v>
      </c>
      <c r="O500" s="168">
        <f t="shared" si="351"/>
        <v>194</v>
      </c>
      <c r="P500" s="169">
        <f t="shared" si="352"/>
        <v>266</v>
      </c>
      <c r="Q500" s="169">
        <f t="shared" si="353"/>
        <v>258</v>
      </c>
      <c r="R500" s="169">
        <f t="shared" si="354"/>
        <v>258</v>
      </c>
      <c r="S500" s="584">
        <f t="shared" si="359"/>
        <v>1999</v>
      </c>
      <c r="T500" s="594">
        <f t="shared" si="360"/>
        <v>1940</v>
      </c>
      <c r="U500" s="595">
        <f t="shared" si="361"/>
        <v>1940</v>
      </c>
      <c r="V500" s="166">
        <f t="shared" si="362"/>
        <v>4122</v>
      </c>
      <c r="W500" s="167">
        <f t="shared" si="363"/>
        <v>4009</v>
      </c>
      <c r="X500" s="168">
        <f t="shared" si="364"/>
        <v>4009</v>
      </c>
      <c r="Y500" s="166">
        <f t="shared" si="365"/>
        <v>4654</v>
      </c>
      <c r="Z500" s="167">
        <f t="shared" si="366"/>
        <v>4525</v>
      </c>
      <c r="AA500" s="168">
        <f t="shared" si="367"/>
        <v>4525</v>
      </c>
      <c r="AB500" s="166">
        <f t="shared" si="368"/>
        <v>5186</v>
      </c>
      <c r="AC500" s="167">
        <f t="shared" si="369"/>
        <v>5041</v>
      </c>
      <c r="AD500" s="168">
        <f t="shared" si="370"/>
        <v>5041</v>
      </c>
      <c r="AE500" s="166">
        <f t="shared" si="371"/>
        <v>5718</v>
      </c>
      <c r="AF500" s="167">
        <f t="shared" si="372"/>
        <v>5299</v>
      </c>
      <c r="AG500" s="168">
        <f t="shared" si="373"/>
        <v>5557</v>
      </c>
      <c r="AH500" s="166">
        <f t="shared" si="374"/>
        <v>5984</v>
      </c>
      <c r="AI500" s="167">
        <f t="shared" si="375"/>
        <v>5815</v>
      </c>
      <c r="AJ500" s="168">
        <f t="shared" si="376"/>
        <v>6331</v>
      </c>
      <c r="AK500" s="169">
        <f t="shared" si="377"/>
        <v>6796</v>
      </c>
      <c r="AL500" s="167">
        <f t="shared" si="378"/>
        <v>6596</v>
      </c>
      <c r="AM500" s="585">
        <f t="shared" si="379"/>
        <v>6596</v>
      </c>
      <c r="AN500" s="614">
        <v>0.05</v>
      </c>
      <c r="AO500" s="615">
        <v>5.5E-2</v>
      </c>
      <c r="AP500" s="615">
        <v>0.06</v>
      </c>
      <c r="AQ500" s="616">
        <v>6.5000000000000002E-2</v>
      </c>
      <c r="AR500" s="612">
        <v>7.0000000000000007E-2</v>
      </c>
      <c r="AS500" s="617"/>
      <c r="AT500" s="618"/>
      <c r="AU500" s="618"/>
      <c r="AV500" s="618"/>
      <c r="AW500" s="619"/>
      <c r="AX500" s="614">
        <v>0.03</v>
      </c>
      <c r="AY500" s="616">
        <v>3.5000000000000003E-2</v>
      </c>
      <c r="AZ500" s="616">
        <v>0.04</v>
      </c>
      <c r="BA500" s="616">
        <v>4.4999999999999998E-2</v>
      </c>
      <c r="BB500" s="616">
        <v>0.05</v>
      </c>
      <c r="BC500" s="616"/>
      <c r="BD500" s="612"/>
      <c r="BE500" s="596"/>
      <c r="BF500" s="598"/>
      <c r="BG500" s="598"/>
      <c r="BH500" s="598"/>
      <c r="BI500" s="598"/>
      <c r="BJ500" s="598"/>
      <c r="BK500" s="605"/>
      <c r="BL500" s="658">
        <f t="shared" si="355"/>
        <v>19600</v>
      </c>
      <c r="BM500" s="3">
        <f t="shared" si="356"/>
        <v>34</v>
      </c>
      <c r="BN500" s="3">
        <f t="shared" si="357"/>
        <v>33</v>
      </c>
      <c r="BO500" s="3">
        <f t="shared" si="358"/>
        <v>33</v>
      </c>
    </row>
    <row r="501" spans="2:67">
      <c r="B501" s="1271" t="s">
        <v>4181</v>
      </c>
      <c r="C501" s="1069" t="s">
        <v>309</v>
      </c>
      <c r="D501" s="1069" t="s">
        <v>4154</v>
      </c>
      <c r="E501" s="238" t="s">
        <v>1150</v>
      </c>
      <c r="F501" s="592">
        <v>498</v>
      </c>
      <c r="G501" s="1071">
        <v>12600</v>
      </c>
      <c r="H501" s="1072">
        <v>5984</v>
      </c>
      <c r="I501" s="1073">
        <v>12913</v>
      </c>
      <c r="J501" s="166">
        <f t="shared" si="346"/>
        <v>252</v>
      </c>
      <c r="K501" s="167">
        <f t="shared" si="347"/>
        <v>119</v>
      </c>
      <c r="L501" s="168">
        <f t="shared" si="348"/>
        <v>258</v>
      </c>
      <c r="M501" s="166">
        <f t="shared" si="349"/>
        <v>315</v>
      </c>
      <c r="N501" s="167">
        <f t="shared" si="350"/>
        <v>149</v>
      </c>
      <c r="O501" s="168">
        <f t="shared" si="351"/>
        <v>322</v>
      </c>
      <c r="P501" s="169">
        <f t="shared" si="352"/>
        <v>472</v>
      </c>
      <c r="Q501" s="169">
        <f t="shared" si="353"/>
        <v>224</v>
      </c>
      <c r="R501" s="169">
        <f t="shared" si="354"/>
        <v>484</v>
      </c>
      <c r="S501" s="584">
        <f t="shared" si="359"/>
        <v>3150</v>
      </c>
      <c r="T501" s="594">
        <f t="shared" si="360"/>
        <v>1496</v>
      </c>
      <c r="U501" s="595">
        <f t="shared" si="361"/>
        <v>3228</v>
      </c>
      <c r="V501" s="166">
        <f t="shared" si="362"/>
        <v>7182</v>
      </c>
      <c r="W501" s="167">
        <f t="shared" si="363"/>
        <v>3403</v>
      </c>
      <c r="X501" s="168">
        <f t="shared" si="364"/>
        <v>7350</v>
      </c>
      <c r="Y501" s="166">
        <f t="shared" si="365"/>
        <v>7654</v>
      </c>
      <c r="Z501" s="167">
        <f t="shared" si="366"/>
        <v>3851</v>
      </c>
      <c r="AA501" s="168">
        <f t="shared" si="367"/>
        <v>8802</v>
      </c>
      <c r="AB501" s="166">
        <f t="shared" si="368"/>
        <v>9070</v>
      </c>
      <c r="AC501" s="167">
        <f t="shared" si="369"/>
        <v>4523</v>
      </c>
      <c r="AD501" s="168">
        <f t="shared" si="370"/>
        <v>9286</v>
      </c>
      <c r="AE501" s="166">
        <f t="shared" si="371"/>
        <v>10958</v>
      </c>
      <c r="AF501" s="167">
        <f t="shared" si="372"/>
        <v>4971</v>
      </c>
      <c r="AG501" s="168">
        <f t="shared" si="373"/>
        <v>10254</v>
      </c>
      <c r="AH501" s="166">
        <f t="shared" si="374"/>
        <v>11902</v>
      </c>
      <c r="AI501" s="167">
        <f t="shared" si="375"/>
        <v>5419</v>
      </c>
      <c r="AJ501" s="168">
        <f t="shared" si="376"/>
        <v>12190</v>
      </c>
      <c r="AK501" s="169">
        <f t="shared" si="377"/>
        <v>12852</v>
      </c>
      <c r="AL501" s="167">
        <f t="shared" si="378"/>
        <v>6103</v>
      </c>
      <c r="AM501" s="585">
        <f t="shared" si="379"/>
        <v>13171</v>
      </c>
      <c r="AN501" s="1133">
        <v>0.16</v>
      </c>
      <c r="AO501" s="1134">
        <v>0.16500000000000001</v>
      </c>
      <c r="AP501" s="1134">
        <v>0.17</v>
      </c>
      <c r="AQ501" s="1135">
        <v>0.17499999999999999</v>
      </c>
      <c r="AR501" s="1132">
        <v>0.18</v>
      </c>
      <c r="AS501" s="1136"/>
      <c r="AT501" s="1137"/>
      <c r="AU501" s="1137"/>
      <c r="AV501" s="1137"/>
      <c r="AW501" s="1138"/>
      <c r="AX501" s="1133">
        <v>0.04</v>
      </c>
      <c r="AY501" s="1135">
        <v>4.2999999999999997E-2</v>
      </c>
      <c r="AZ501" s="1135">
        <v>4.5999999999999999E-2</v>
      </c>
      <c r="BA501" s="1135">
        <v>4.9000000000000002E-2</v>
      </c>
      <c r="BB501" s="1135">
        <v>5.1999999999999998E-2</v>
      </c>
      <c r="BC501" s="1135"/>
      <c r="BD501" s="1132"/>
      <c r="BE501" s="596"/>
      <c r="BF501" s="598"/>
      <c r="BG501" s="598"/>
      <c r="BH501" s="598"/>
      <c r="BI501" s="598"/>
      <c r="BJ501" s="598"/>
      <c r="BK501" s="605"/>
      <c r="BL501" s="658">
        <f t="shared" si="355"/>
        <v>31500</v>
      </c>
      <c r="BM501" s="3">
        <f t="shared" si="356"/>
        <v>40</v>
      </c>
      <c r="BN501" s="3">
        <f t="shared" si="357"/>
        <v>19</v>
      </c>
      <c r="BO501" s="3">
        <f t="shared" si="358"/>
        <v>41</v>
      </c>
    </row>
    <row r="502" spans="2:67">
      <c r="B502" s="606" t="s">
        <v>4169</v>
      </c>
      <c r="C502" s="607" t="s">
        <v>310</v>
      </c>
      <c r="D502" s="607" t="s">
        <v>4170</v>
      </c>
      <c r="E502" s="238" t="s">
        <v>1150</v>
      </c>
      <c r="F502" s="608">
        <v>499</v>
      </c>
      <c r="G502" s="609">
        <v>6860</v>
      </c>
      <c r="H502" s="610">
        <v>6074</v>
      </c>
      <c r="I502" s="611">
        <v>6663</v>
      </c>
      <c r="J502" s="166">
        <f t="shared" si="346"/>
        <v>137</v>
      </c>
      <c r="K502" s="167">
        <f t="shared" si="347"/>
        <v>121</v>
      </c>
      <c r="L502" s="168">
        <f t="shared" si="348"/>
        <v>133</v>
      </c>
      <c r="M502" s="166">
        <f t="shared" si="349"/>
        <v>205</v>
      </c>
      <c r="N502" s="167">
        <f t="shared" si="350"/>
        <v>182</v>
      </c>
      <c r="O502" s="168">
        <f t="shared" si="351"/>
        <v>199</v>
      </c>
      <c r="P502" s="169">
        <f t="shared" si="352"/>
        <v>274</v>
      </c>
      <c r="Q502" s="169">
        <f t="shared" si="353"/>
        <v>243</v>
      </c>
      <c r="R502" s="169">
        <f t="shared" si="354"/>
        <v>266</v>
      </c>
      <c r="S502" s="584">
        <f t="shared" si="359"/>
        <v>2058</v>
      </c>
      <c r="T502" s="594">
        <f t="shared" si="360"/>
        <v>1822</v>
      </c>
      <c r="U502" s="595">
        <f t="shared" si="361"/>
        <v>1999</v>
      </c>
      <c r="V502" s="166">
        <f t="shared" si="362"/>
        <v>4245</v>
      </c>
      <c r="W502" s="167">
        <f t="shared" si="363"/>
        <v>3763</v>
      </c>
      <c r="X502" s="168">
        <f t="shared" si="364"/>
        <v>4122</v>
      </c>
      <c r="Y502" s="166">
        <f t="shared" si="365"/>
        <v>4793</v>
      </c>
      <c r="Z502" s="167">
        <f t="shared" si="366"/>
        <v>4249</v>
      </c>
      <c r="AA502" s="168">
        <f t="shared" si="367"/>
        <v>4654</v>
      </c>
      <c r="AB502" s="166">
        <f t="shared" si="368"/>
        <v>5341</v>
      </c>
      <c r="AC502" s="167">
        <f t="shared" si="369"/>
        <v>4735</v>
      </c>
      <c r="AD502" s="168">
        <f t="shared" si="370"/>
        <v>5186</v>
      </c>
      <c r="AE502" s="166">
        <f t="shared" si="371"/>
        <v>5889</v>
      </c>
      <c r="AF502" s="167">
        <f t="shared" si="372"/>
        <v>5221</v>
      </c>
      <c r="AG502" s="168">
        <f t="shared" si="373"/>
        <v>5452</v>
      </c>
      <c r="AH502" s="166">
        <f t="shared" si="374"/>
        <v>6163</v>
      </c>
      <c r="AI502" s="167">
        <f t="shared" si="375"/>
        <v>5950</v>
      </c>
      <c r="AJ502" s="168">
        <f t="shared" si="376"/>
        <v>5984</v>
      </c>
      <c r="AK502" s="169">
        <f t="shared" si="377"/>
        <v>6997</v>
      </c>
      <c r="AL502" s="167">
        <f t="shared" si="378"/>
        <v>6195</v>
      </c>
      <c r="AM502" s="585">
        <f t="shared" si="379"/>
        <v>6796</v>
      </c>
      <c r="AN502" s="596">
        <v>0.2</v>
      </c>
      <c r="AO502" s="597">
        <v>0.20499999999999999</v>
      </c>
      <c r="AP502" s="597">
        <v>0.21</v>
      </c>
      <c r="AQ502" s="598">
        <v>0.215</v>
      </c>
      <c r="AR502" s="599">
        <v>0.22</v>
      </c>
      <c r="AS502" s="617"/>
      <c r="AT502" s="618"/>
      <c r="AU502" s="618"/>
      <c r="AV502" s="618"/>
      <c r="AW502" s="619"/>
      <c r="AX502" s="614">
        <v>0.05</v>
      </c>
      <c r="AY502" s="616">
        <v>5.5E-2</v>
      </c>
      <c r="AZ502" s="616">
        <v>0.06</v>
      </c>
      <c r="BA502" s="616">
        <v>6.5000000000000002E-2</v>
      </c>
      <c r="BB502" s="616">
        <v>7.0000000000000007E-2</v>
      </c>
      <c r="BC502" s="616"/>
      <c r="BD502" s="612"/>
      <c r="BE502" s="596"/>
      <c r="BF502" s="598"/>
      <c r="BG502" s="598"/>
      <c r="BH502" s="598"/>
      <c r="BI502" s="598"/>
      <c r="BJ502" s="598"/>
      <c r="BK502" s="605"/>
      <c r="BL502" s="658">
        <f t="shared" si="355"/>
        <v>19600</v>
      </c>
      <c r="BM502" s="3">
        <f t="shared" si="356"/>
        <v>35</v>
      </c>
      <c r="BN502" s="3">
        <f t="shared" si="357"/>
        <v>31</v>
      </c>
      <c r="BO502" s="3">
        <f t="shared" si="358"/>
        <v>34</v>
      </c>
    </row>
    <row r="503" spans="2:67">
      <c r="B503" s="1271" t="s">
        <v>4183</v>
      </c>
      <c r="C503" s="1069" t="s">
        <v>309</v>
      </c>
      <c r="D503" s="1069" t="s">
        <v>4160</v>
      </c>
      <c r="E503" s="1268" t="s">
        <v>1150</v>
      </c>
      <c r="F503" s="592">
        <v>500</v>
      </c>
      <c r="G503" s="1071">
        <v>8320</v>
      </c>
      <c r="H503" s="1072">
        <v>12480</v>
      </c>
      <c r="I503" s="1073">
        <v>11200</v>
      </c>
      <c r="J503" s="166">
        <f t="shared" si="346"/>
        <v>166</v>
      </c>
      <c r="K503" s="167">
        <f t="shared" si="347"/>
        <v>249</v>
      </c>
      <c r="L503" s="168">
        <f t="shared" si="348"/>
        <v>224</v>
      </c>
      <c r="M503" s="166">
        <f t="shared" si="349"/>
        <v>208</v>
      </c>
      <c r="N503" s="167">
        <f t="shared" si="350"/>
        <v>312</v>
      </c>
      <c r="O503" s="168">
        <f t="shared" si="351"/>
        <v>280</v>
      </c>
      <c r="P503" s="169">
        <f t="shared" si="352"/>
        <v>312</v>
      </c>
      <c r="Q503" s="169">
        <f t="shared" si="353"/>
        <v>468</v>
      </c>
      <c r="R503" s="169">
        <f t="shared" si="354"/>
        <v>420</v>
      </c>
      <c r="S503" s="584">
        <f t="shared" si="359"/>
        <v>2080</v>
      </c>
      <c r="T503" s="594">
        <f t="shared" si="360"/>
        <v>3120</v>
      </c>
      <c r="U503" s="595">
        <f t="shared" si="361"/>
        <v>2800</v>
      </c>
      <c r="V503" s="166">
        <f t="shared" si="362"/>
        <v>4742</v>
      </c>
      <c r="W503" s="167">
        <f t="shared" si="363"/>
        <v>7113</v>
      </c>
      <c r="X503" s="168">
        <f t="shared" si="364"/>
        <v>6384</v>
      </c>
      <c r="Y503" s="166">
        <f t="shared" si="365"/>
        <v>5678</v>
      </c>
      <c r="Z503" s="167">
        <f t="shared" si="366"/>
        <v>8049</v>
      </c>
      <c r="AA503" s="168">
        <f t="shared" si="367"/>
        <v>6804</v>
      </c>
      <c r="AB503" s="166">
        <f t="shared" si="368"/>
        <v>5990</v>
      </c>
      <c r="AC503" s="167">
        <f t="shared" si="369"/>
        <v>9453</v>
      </c>
      <c r="AD503" s="168">
        <f t="shared" si="370"/>
        <v>8064</v>
      </c>
      <c r="AE503" s="166">
        <f t="shared" si="371"/>
        <v>6614</v>
      </c>
      <c r="AF503" s="167">
        <f t="shared" si="372"/>
        <v>10389</v>
      </c>
      <c r="AG503" s="168">
        <f t="shared" si="373"/>
        <v>9744</v>
      </c>
      <c r="AH503" s="166">
        <f t="shared" si="374"/>
        <v>7862</v>
      </c>
      <c r="AI503" s="167">
        <f t="shared" si="375"/>
        <v>11325</v>
      </c>
      <c r="AJ503" s="168">
        <f t="shared" si="376"/>
        <v>10584</v>
      </c>
      <c r="AK503" s="169">
        <f t="shared" si="377"/>
        <v>8486</v>
      </c>
      <c r="AL503" s="167">
        <f t="shared" si="378"/>
        <v>12729</v>
      </c>
      <c r="AM503" s="585">
        <f t="shared" si="379"/>
        <v>11424</v>
      </c>
      <c r="AN503" s="1133">
        <v>0.2</v>
      </c>
      <c r="AO503" s="1134">
        <v>0.23</v>
      </c>
      <c r="AP503" s="1134">
        <v>0.26</v>
      </c>
      <c r="AQ503" s="1135">
        <v>0.28999999999999998</v>
      </c>
      <c r="AR503" s="1132">
        <v>0.32</v>
      </c>
      <c r="AS503" s="1136"/>
      <c r="AT503" s="1137"/>
      <c r="AU503" s="1137"/>
      <c r="AV503" s="1137"/>
      <c r="AW503" s="1138"/>
      <c r="AX503" s="1133">
        <v>0.04</v>
      </c>
      <c r="AY503" s="1135">
        <v>4.2999999999999997E-2</v>
      </c>
      <c r="AZ503" s="1135">
        <v>4.5999999999999999E-2</v>
      </c>
      <c r="BA503" s="1135">
        <v>4.9000000000000002E-2</v>
      </c>
      <c r="BB503" s="1135">
        <v>5.1999999999999998E-2</v>
      </c>
      <c r="BC503" s="1135"/>
      <c r="BD503" s="1132"/>
      <c r="BE503" s="596"/>
      <c r="BF503" s="598"/>
      <c r="BG503" s="598"/>
      <c r="BH503" s="598"/>
      <c r="BI503" s="598"/>
      <c r="BJ503" s="598"/>
      <c r="BK503" s="605"/>
      <c r="BL503" s="658">
        <f t="shared" si="355"/>
        <v>32000</v>
      </c>
      <c r="BM503" s="3">
        <f t="shared" si="356"/>
        <v>26</v>
      </c>
      <c r="BN503" s="3">
        <f t="shared" si="357"/>
        <v>39</v>
      </c>
      <c r="BO503" s="3">
        <f t="shared" si="358"/>
        <v>35</v>
      </c>
    </row>
    <row r="504" spans="2:67">
      <c r="B504" s="1271" t="s">
        <v>4184</v>
      </c>
      <c r="C504" s="1069" t="s">
        <v>309</v>
      </c>
      <c r="D504" s="1069" t="s">
        <v>4165</v>
      </c>
      <c r="E504" s="238" t="s">
        <v>125</v>
      </c>
      <c r="F504" s="1070">
        <v>501</v>
      </c>
      <c r="G504" s="1071">
        <v>10800</v>
      </c>
      <c r="H504" s="1072">
        <v>5669</v>
      </c>
      <c r="I504" s="1073">
        <v>10529</v>
      </c>
      <c r="J504" s="166">
        <f t="shared" si="346"/>
        <v>216</v>
      </c>
      <c r="K504" s="167">
        <f t="shared" si="347"/>
        <v>113</v>
      </c>
      <c r="L504" s="168">
        <f t="shared" si="348"/>
        <v>210</v>
      </c>
      <c r="M504" s="166">
        <f t="shared" si="349"/>
        <v>270</v>
      </c>
      <c r="N504" s="167">
        <f t="shared" si="350"/>
        <v>141</v>
      </c>
      <c r="O504" s="168">
        <f t="shared" si="351"/>
        <v>263</v>
      </c>
      <c r="P504" s="169">
        <f t="shared" si="352"/>
        <v>405</v>
      </c>
      <c r="Q504" s="169">
        <f t="shared" si="353"/>
        <v>212</v>
      </c>
      <c r="R504" s="169">
        <f t="shared" si="354"/>
        <v>394</v>
      </c>
      <c r="S504" s="584">
        <f t="shared" si="359"/>
        <v>2700</v>
      </c>
      <c r="T504" s="594">
        <f t="shared" si="360"/>
        <v>1417</v>
      </c>
      <c r="U504" s="595">
        <f t="shared" si="361"/>
        <v>2632</v>
      </c>
      <c r="V504" s="166">
        <f t="shared" si="362"/>
        <v>6156</v>
      </c>
      <c r="W504" s="167">
        <f t="shared" si="363"/>
        <v>3222</v>
      </c>
      <c r="X504" s="168">
        <f t="shared" si="364"/>
        <v>5998</v>
      </c>
      <c r="Y504" s="166">
        <f t="shared" si="365"/>
        <v>6966</v>
      </c>
      <c r="Z504" s="167">
        <f t="shared" si="366"/>
        <v>3434</v>
      </c>
      <c r="AA504" s="168">
        <f t="shared" si="367"/>
        <v>7180</v>
      </c>
      <c r="AB504" s="166">
        <f t="shared" si="368"/>
        <v>8181</v>
      </c>
      <c r="AC504" s="167">
        <f t="shared" si="369"/>
        <v>4070</v>
      </c>
      <c r="AD504" s="168">
        <f t="shared" si="370"/>
        <v>7574</v>
      </c>
      <c r="AE504" s="166">
        <f t="shared" si="371"/>
        <v>8991</v>
      </c>
      <c r="AF504" s="167">
        <f t="shared" si="372"/>
        <v>4918</v>
      </c>
      <c r="AG504" s="168">
        <f t="shared" si="373"/>
        <v>8362</v>
      </c>
      <c r="AH504" s="166">
        <f t="shared" si="374"/>
        <v>9801</v>
      </c>
      <c r="AI504" s="167">
        <f t="shared" si="375"/>
        <v>5342</v>
      </c>
      <c r="AJ504" s="168">
        <f t="shared" si="376"/>
        <v>9938</v>
      </c>
      <c r="AK504" s="169">
        <f t="shared" si="377"/>
        <v>11016</v>
      </c>
      <c r="AL504" s="167">
        <f t="shared" si="378"/>
        <v>5782</v>
      </c>
      <c r="AM504" s="585">
        <f t="shared" si="379"/>
        <v>10739</v>
      </c>
      <c r="AN504" s="1133">
        <v>0.06</v>
      </c>
      <c r="AO504" s="1134">
        <v>6.3E-2</v>
      </c>
      <c r="AP504" s="1134">
        <v>6.6000000000000003E-2</v>
      </c>
      <c r="AQ504" s="1135">
        <v>6.9000000000000006E-2</v>
      </c>
      <c r="AR504" s="1132">
        <v>7.1999999999999995E-2</v>
      </c>
      <c r="AS504" s="1136"/>
      <c r="AT504" s="1137"/>
      <c r="AU504" s="1137"/>
      <c r="AV504" s="1137"/>
      <c r="AW504" s="1138"/>
      <c r="AX504" s="596">
        <v>0.03</v>
      </c>
      <c r="AY504" s="598">
        <v>3.3000000000000002E-2</v>
      </c>
      <c r="AZ504" s="598">
        <v>3.5999999999999997E-2</v>
      </c>
      <c r="BA504" s="598">
        <v>3.9E-2</v>
      </c>
      <c r="BB504" s="598">
        <v>4.2000000000000003E-2</v>
      </c>
      <c r="BC504" s="1135"/>
      <c r="BD504" s="1132"/>
      <c r="BE504" s="596"/>
      <c r="BF504" s="598"/>
      <c r="BG504" s="598"/>
      <c r="BH504" s="598"/>
      <c r="BI504" s="598"/>
      <c r="BJ504" s="598"/>
      <c r="BK504" s="605"/>
      <c r="BL504" s="658">
        <f t="shared" si="355"/>
        <v>27000</v>
      </c>
      <c r="BM504" s="3">
        <f t="shared" si="356"/>
        <v>40</v>
      </c>
      <c r="BN504" s="3">
        <f t="shared" si="357"/>
        <v>21</v>
      </c>
      <c r="BO504" s="3">
        <f t="shared" si="358"/>
        <v>39</v>
      </c>
    </row>
    <row r="505" spans="2:67">
      <c r="B505" s="606" t="s">
        <v>4179</v>
      </c>
      <c r="C505" s="607" t="s">
        <v>310</v>
      </c>
      <c r="D505" s="607" t="s">
        <v>4165</v>
      </c>
      <c r="E505" s="238" t="s">
        <v>125</v>
      </c>
      <c r="F505" s="592">
        <v>502</v>
      </c>
      <c r="G505" s="609">
        <v>6804</v>
      </c>
      <c r="H505" s="610">
        <v>3817</v>
      </c>
      <c r="I505" s="611">
        <v>5974</v>
      </c>
      <c r="J505" s="166">
        <f t="shared" si="346"/>
        <v>136</v>
      </c>
      <c r="K505" s="167">
        <f t="shared" si="347"/>
        <v>76</v>
      </c>
      <c r="L505" s="168">
        <f t="shared" si="348"/>
        <v>119</v>
      </c>
      <c r="M505" s="166">
        <f t="shared" si="349"/>
        <v>204</v>
      </c>
      <c r="N505" s="167">
        <f t="shared" si="350"/>
        <v>114</v>
      </c>
      <c r="O505" s="168">
        <f t="shared" si="351"/>
        <v>179</v>
      </c>
      <c r="P505" s="169">
        <f t="shared" si="352"/>
        <v>272</v>
      </c>
      <c r="Q505" s="169">
        <f t="shared" si="353"/>
        <v>152</v>
      </c>
      <c r="R505" s="169">
        <f t="shared" si="354"/>
        <v>239</v>
      </c>
      <c r="S505" s="584">
        <f t="shared" si="359"/>
        <v>2041</v>
      </c>
      <c r="T505" s="594">
        <f t="shared" si="360"/>
        <v>1145</v>
      </c>
      <c r="U505" s="595">
        <f t="shared" si="361"/>
        <v>1792</v>
      </c>
      <c r="V505" s="166">
        <f t="shared" si="362"/>
        <v>4217</v>
      </c>
      <c r="W505" s="167">
        <f t="shared" si="363"/>
        <v>2361</v>
      </c>
      <c r="X505" s="168">
        <f t="shared" si="364"/>
        <v>3701</v>
      </c>
      <c r="Y505" s="166">
        <f t="shared" si="365"/>
        <v>4761</v>
      </c>
      <c r="Z505" s="167">
        <f t="shared" si="366"/>
        <v>2665</v>
      </c>
      <c r="AA505" s="168">
        <f t="shared" si="367"/>
        <v>4179</v>
      </c>
      <c r="AB505" s="166">
        <f t="shared" si="368"/>
        <v>5305</v>
      </c>
      <c r="AC505" s="167">
        <f t="shared" si="369"/>
        <v>2969</v>
      </c>
      <c r="AD505" s="168">
        <f t="shared" si="370"/>
        <v>4657</v>
      </c>
      <c r="AE505" s="166">
        <f t="shared" si="371"/>
        <v>5577</v>
      </c>
      <c r="AF505" s="167">
        <f t="shared" si="372"/>
        <v>3273</v>
      </c>
      <c r="AG505" s="168">
        <f t="shared" si="373"/>
        <v>5135</v>
      </c>
      <c r="AH505" s="166">
        <f t="shared" si="374"/>
        <v>6121</v>
      </c>
      <c r="AI505" s="167">
        <f t="shared" si="375"/>
        <v>3425</v>
      </c>
      <c r="AJ505" s="168">
        <f t="shared" si="376"/>
        <v>5852</v>
      </c>
      <c r="AK505" s="169">
        <f t="shared" si="377"/>
        <v>6940</v>
      </c>
      <c r="AL505" s="167">
        <f t="shared" si="378"/>
        <v>3893</v>
      </c>
      <c r="AM505" s="585">
        <f t="shared" si="379"/>
        <v>6093</v>
      </c>
      <c r="AN505" s="614">
        <v>0.25</v>
      </c>
      <c r="AO505" s="615">
        <v>0.28000000000000003</v>
      </c>
      <c r="AP505" s="615">
        <v>0.31</v>
      </c>
      <c r="AQ505" s="616">
        <v>0.34</v>
      </c>
      <c r="AR505" s="612">
        <v>0.37</v>
      </c>
      <c r="AS505" s="617"/>
      <c r="AT505" s="618"/>
      <c r="AU505" s="618"/>
      <c r="AV505" s="618"/>
      <c r="AW505" s="619"/>
      <c r="AX505" s="614">
        <v>0.05</v>
      </c>
      <c r="AY505" s="616">
        <v>5.5E-2</v>
      </c>
      <c r="AZ505" s="616">
        <v>0.06</v>
      </c>
      <c r="BA505" s="616">
        <v>6.5000000000000002E-2</v>
      </c>
      <c r="BB505" s="616">
        <v>7.0000000000000007E-2</v>
      </c>
      <c r="BC505" s="616"/>
      <c r="BD505" s="612"/>
      <c r="BE505" s="596"/>
      <c r="BF505" s="598"/>
      <c r="BG505" s="598"/>
      <c r="BH505" s="598"/>
      <c r="BI505" s="598"/>
      <c r="BJ505" s="598"/>
      <c r="BK505" s="605"/>
      <c r="BL505" s="658">
        <f t="shared" si="355"/>
        <v>16600</v>
      </c>
      <c r="BM505" s="3">
        <f t="shared" si="356"/>
        <v>41</v>
      </c>
      <c r="BN505" s="3">
        <f t="shared" si="357"/>
        <v>23</v>
      </c>
      <c r="BO505" s="3">
        <f t="shared" si="358"/>
        <v>36</v>
      </c>
    </row>
    <row r="506" spans="2:67">
      <c r="B506" s="606" t="s">
        <v>4175</v>
      </c>
      <c r="C506" s="607" t="s">
        <v>310</v>
      </c>
      <c r="D506" s="607" t="s">
        <v>4160</v>
      </c>
      <c r="E506" s="613" t="s">
        <v>125</v>
      </c>
      <c r="F506" s="608">
        <v>503</v>
      </c>
      <c r="G506" s="609">
        <v>4314</v>
      </c>
      <c r="H506" s="610">
        <v>6473</v>
      </c>
      <c r="I506" s="611">
        <v>5810</v>
      </c>
      <c r="J506" s="166">
        <f t="shared" si="346"/>
        <v>86</v>
      </c>
      <c r="K506" s="167">
        <f t="shared" si="347"/>
        <v>129</v>
      </c>
      <c r="L506" s="168">
        <f t="shared" si="348"/>
        <v>116</v>
      </c>
      <c r="M506" s="166">
        <f t="shared" si="349"/>
        <v>129</v>
      </c>
      <c r="N506" s="167">
        <f t="shared" si="350"/>
        <v>194</v>
      </c>
      <c r="O506" s="168">
        <f t="shared" si="351"/>
        <v>174</v>
      </c>
      <c r="P506" s="169">
        <f t="shared" si="352"/>
        <v>172</v>
      </c>
      <c r="Q506" s="169">
        <f t="shared" si="353"/>
        <v>258</v>
      </c>
      <c r="R506" s="169">
        <f t="shared" si="354"/>
        <v>232</v>
      </c>
      <c r="S506" s="584">
        <f t="shared" si="359"/>
        <v>1294</v>
      </c>
      <c r="T506" s="594">
        <f t="shared" si="360"/>
        <v>1942</v>
      </c>
      <c r="U506" s="595">
        <f t="shared" si="361"/>
        <v>1743</v>
      </c>
      <c r="V506" s="166">
        <f t="shared" si="362"/>
        <v>2670</v>
      </c>
      <c r="W506" s="167">
        <f t="shared" si="363"/>
        <v>4011</v>
      </c>
      <c r="X506" s="168">
        <f t="shared" si="364"/>
        <v>3599</v>
      </c>
      <c r="Y506" s="166">
        <f t="shared" si="365"/>
        <v>3014</v>
      </c>
      <c r="Z506" s="167">
        <f t="shared" si="366"/>
        <v>4527</v>
      </c>
      <c r="AA506" s="168">
        <f t="shared" si="367"/>
        <v>4063</v>
      </c>
      <c r="AB506" s="166">
        <f t="shared" si="368"/>
        <v>3358</v>
      </c>
      <c r="AC506" s="167">
        <f t="shared" si="369"/>
        <v>5043</v>
      </c>
      <c r="AD506" s="168">
        <f t="shared" si="370"/>
        <v>4527</v>
      </c>
      <c r="AE506" s="166">
        <f t="shared" si="371"/>
        <v>3702</v>
      </c>
      <c r="AF506" s="167">
        <f t="shared" si="372"/>
        <v>5301</v>
      </c>
      <c r="AG506" s="168">
        <f t="shared" si="373"/>
        <v>4991</v>
      </c>
      <c r="AH506" s="166">
        <f t="shared" si="374"/>
        <v>4218</v>
      </c>
      <c r="AI506" s="167">
        <f t="shared" si="375"/>
        <v>5817</v>
      </c>
      <c r="AJ506" s="168">
        <f t="shared" si="376"/>
        <v>5223</v>
      </c>
      <c r="AK506" s="169">
        <f t="shared" si="377"/>
        <v>4400</v>
      </c>
      <c r="AL506" s="167">
        <f t="shared" si="378"/>
        <v>6602</v>
      </c>
      <c r="AM506" s="585">
        <f t="shared" si="379"/>
        <v>5926</v>
      </c>
      <c r="AN506" s="614">
        <v>0.15</v>
      </c>
      <c r="AO506" s="615">
        <v>0.18</v>
      </c>
      <c r="AP506" s="615">
        <v>0.21</v>
      </c>
      <c r="AQ506" s="616">
        <v>0.24</v>
      </c>
      <c r="AR506" s="612">
        <v>0.27</v>
      </c>
      <c r="AS506" s="617"/>
      <c r="AT506" s="618"/>
      <c r="AU506" s="618"/>
      <c r="AV506" s="618"/>
      <c r="AW506" s="619"/>
      <c r="AX506" s="614">
        <v>0.02</v>
      </c>
      <c r="AY506" s="616">
        <v>2.3E-2</v>
      </c>
      <c r="AZ506" s="616">
        <v>2.5999999999999999E-2</v>
      </c>
      <c r="BA506" s="616">
        <v>2.9000000000000001E-2</v>
      </c>
      <c r="BB506" s="616">
        <v>3.2000000000000001E-2</v>
      </c>
      <c r="BC506" s="616"/>
      <c r="BD506" s="612"/>
      <c r="BE506" s="596"/>
      <c r="BF506" s="598"/>
      <c r="BG506" s="598"/>
      <c r="BH506" s="598"/>
      <c r="BI506" s="598"/>
      <c r="BJ506" s="598"/>
      <c r="BK506" s="605"/>
      <c r="BL506" s="658">
        <f t="shared" si="355"/>
        <v>16600</v>
      </c>
      <c r="BM506" s="3">
        <f t="shared" si="356"/>
        <v>26</v>
      </c>
      <c r="BN506" s="3">
        <f t="shared" si="357"/>
        <v>39</v>
      </c>
      <c r="BO506" s="3">
        <f t="shared" si="358"/>
        <v>35</v>
      </c>
    </row>
    <row r="507" spans="2:67">
      <c r="B507" s="1271" t="s">
        <v>4203</v>
      </c>
      <c r="C507" s="1069" t="s">
        <v>309</v>
      </c>
      <c r="D507" s="1069" t="s">
        <v>4198</v>
      </c>
      <c r="E507" s="1268" t="s">
        <v>939</v>
      </c>
      <c r="F507" s="592">
        <v>504</v>
      </c>
      <c r="G507" s="1071">
        <v>13000</v>
      </c>
      <c r="H507" s="1072">
        <v>5200</v>
      </c>
      <c r="I507" s="1073">
        <v>14300</v>
      </c>
      <c r="J507" s="166">
        <f t="shared" si="346"/>
        <v>260</v>
      </c>
      <c r="K507" s="167">
        <f t="shared" si="347"/>
        <v>104</v>
      </c>
      <c r="L507" s="168">
        <f t="shared" si="348"/>
        <v>286</v>
      </c>
      <c r="M507" s="166">
        <f t="shared" si="349"/>
        <v>325</v>
      </c>
      <c r="N507" s="167">
        <f t="shared" si="350"/>
        <v>130</v>
      </c>
      <c r="O507" s="168">
        <f t="shared" si="351"/>
        <v>357</v>
      </c>
      <c r="P507" s="169">
        <f t="shared" si="352"/>
        <v>487</v>
      </c>
      <c r="Q507" s="169">
        <f t="shared" si="353"/>
        <v>195</v>
      </c>
      <c r="R507" s="169">
        <f t="shared" si="354"/>
        <v>536</v>
      </c>
      <c r="S507" s="584">
        <f t="shared" si="359"/>
        <v>3250</v>
      </c>
      <c r="T507" s="594">
        <f t="shared" si="360"/>
        <v>1300</v>
      </c>
      <c r="U507" s="595">
        <f t="shared" si="361"/>
        <v>3575</v>
      </c>
      <c r="V507" s="166">
        <f t="shared" si="362"/>
        <v>7410</v>
      </c>
      <c r="W507" s="167">
        <f t="shared" si="363"/>
        <v>2964</v>
      </c>
      <c r="X507" s="168">
        <f t="shared" si="364"/>
        <v>8145</v>
      </c>
      <c r="Y507" s="166">
        <f t="shared" si="365"/>
        <v>7897</v>
      </c>
      <c r="Z507" s="167">
        <f t="shared" si="366"/>
        <v>3549</v>
      </c>
      <c r="AA507" s="168">
        <f t="shared" si="367"/>
        <v>9217</v>
      </c>
      <c r="AB507" s="166">
        <f t="shared" si="368"/>
        <v>9358</v>
      </c>
      <c r="AC507" s="167">
        <f t="shared" si="369"/>
        <v>3744</v>
      </c>
      <c r="AD507" s="168">
        <f t="shared" si="370"/>
        <v>10825</v>
      </c>
      <c r="AE507" s="166">
        <f t="shared" si="371"/>
        <v>11306</v>
      </c>
      <c r="AF507" s="167">
        <f t="shared" si="372"/>
        <v>4134</v>
      </c>
      <c r="AG507" s="168">
        <f t="shared" si="373"/>
        <v>11897</v>
      </c>
      <c r="AH507" s="166">
        <f t="shared" si="374"/>
        <v>12280</v>
      </c>
      <c r="AI507" s="167">
        <f t="shared" si="375"/>
        <v>4914</v>
      </c>
      <c r="AJ507" s="168">
        <f t="shared" si="376"/>
        <v>12969</v>
      </c>
      <c r="AK507" s="169">
        <f t="shared" si="377"/>
        <v>13260</v>
      </c>
      <c r="AL507" s="167">
        <f t="shared" si="378"/>
        <v>5304</v>
      </c>
      <c r="AM507" s="585">
        <f t="shared" si="379"/>
        <v>14586</v>
      </c>
      <c r="AN507" s="1133">
        <v>7.0000000000000007E-2</v>
      </c>
      <c r="AO507" s="1134">
        <v>7.4999999999999997E-2</v>
      </c>
      <c r="AP507" s="1134">
        <v>0.08</v>
      </c>
      <c r="AQ507" s="1135">
        <v>8.5000000000000006E-2</v>
      </c>
      <c r="AR507" s="1132">
        <v>0.09</v>
      </c>
      <c r="AS507" s="1136"/>
      <c r="AT507" s="1137"/>
      <c r="AU507" s="1137"/>
      <c r="AV507" s="1137"/>
      <c r="AW507" s="1138"/>
      <c r="AX507" s="1133">
        <v>0.04</v>
      </c>
      <c r="AY507" s="1135">
        <v>4.2999999999999997E-2</v>
      </c>
      <c r="AZ507" s="1135">
        <v>4.5999999999999999E-2</v>
      </c>
      <c r="BA507" s="1135">
        <v>4.9000000000000002E-2</v>
      </c>
      <c r="BB507" s="1135">
        <v>5.1999999999999998E-2</v>
      </c>
      <c r="BC507" s="1135"/>
      <c r="BD507" s="1132"/>
      <c r="BE507" s="596"/>
      <c r="BF507" s="598"/>
      <c r="BG507" s="598"/>
      <c r="BH507" s="598"/>
      <c r="BI507" s="598"/>
      <c r="BJ507" s="598"/>
      <c r="BK507" s="605"/>
      <c r="BL507" s="658">
        <f t="shared" si="355"/>
        <v>32500</v>
      </c>
      <c r="BM507" s="3">
        <f t="shared" si="356"/>
        <v>40</v>
      </c>
      <c r="BN507" s="3">
        <f t="shared" si="357"/>
        <v>16</v>
      </c>
      <c r="BO507" s="3">
        <f t="shared" si="358"/>
        <v>44</v>
      </c>
    </row>
    <row r="508" spans="2:67">
      <c r="B508" s="1271" t="s">
        <v>4204</v>
      </c>
      <c r="C508" s="1069" t="s">
        <v>309</v>
      </c>
      <c r="D508" s="1069" t="s">
        <v>4194</v>
      </c>
      <c r="E508" s="1268" t="s">
        <v>939</v>
      </c>
      <c r="F508" s="1070">
        <v>505</v>
      </c>
      <c r="G508" s="1071">
        <v>13649</v>
      </c>
      <c r="H508" s="1072">
        <v>4873</v>
      </c>
      <c r="I508" s="1073">
        <v>13973</v>
      </c>
      <c r="J508" s="166">
        <f t="shared" si="346"/>
        <v>273</v>
      </c>
      <c r="K508" s="167">
        <f t="shared" si="347"/>
        <v>97</v>
      </c>
      <c r="L508" s="168">
        <f t="shared" si="348"/>
        <v>279</v>
      </c>
      <c r="M508" s="166">
        <f t="shared" si="349"/>
        <v>341</v>
      </c>
      <c r="N508" s="167">
        <f t="shared" si="350"/>
        <v>121</v>
      </c>
      <c r="O508" s="168">
        <f t="shared" si="351"/>
        <v>349</v>
      </c>
      <c r="P508" s="169">
        <f t="shared" si="352"/>
        <v>511</v>
      </c>
      <c r="Q508" s="169">
        <f t="shared" si="353"/>
        <v>182</v>
      </c>
      <c r="R508" s="169">
        <f t="shared" si="354"/>
        <v>524</v>
      </c>
      <c r="S508" s="584">
        <f t="shared" si="359"/>
        <v>3412</v>
      </c>
      <c r="T508" s="594">
        <f t="shared" si="360"/>
        <v>1218</v>
      </c>
      <c r="U508" s="595">
        <f t="shared" si="361"/>
        <v>3493</v>
      </c>
      <c r="V508" s="166">
        <f t="shared" si="362"/>
        <v>7777</v>
      </c>
      <c r="W508" s="167">
        <f t="shared" si="363"/>
        <v>2767</v>
      </c>
      <c r="X508" s="168">
        <f t="shared" si="364"/>
        <v>7960</v>
      </c>
      <c r="Y508" s="166">
        <f t="shared" si="365"/>
        <v>8288</v>
      </c>
      <c r="Z508" s="167">
        <f t="shared" si="366"/>
        <v>3131</v>
      </c>
      <c r="AA508" s="168">
        <f t="shared" si="367"/>
        <v>9532</v>
      </c>
      <c r="AB508" s="166">
        <f t="shared" si="368"/>
        <v>9821</v>
      </c>
      <c r="AC508" s="167">
        <f t="shared" si="369"/>
        <v>3677</v>
      </c>
      <c r="AD508" s="168">
        <f t="shared" si="370"/>
        <v>10056</v>
      </c>
      <c r="AE508" s="166">
        <f t="shared" si="371"/>
        <v>11865</v>
      </c>
      <c r="AF508" s="167">
        <f t="shared" si="372"/>
        <v>4041</v>
      </c>
      <c r="AG508" s="168">
        <f t="shared" si="373"/>
        <v>11104</v>
      </c>
      <c r="AH508" s="166">
        <f t="shared" si="374"/>
        <v>12887</v>
      </c>
      <c r="AI508" s="167">
        <f t="shared" si="375"/>
        <v>4405</v>
      </c>
      <c r="AJ508" s="168">
        <f t="shared" si="376"/>
        <v>13200</v>
      </c>
      <c r="AK508" s="169">
        <f t="shared" si="377"/>
        <v>13922</v>
      </c>
      <c r="AL508" s="167">
        <f t="shared" si="378"/>
        <v>4970</v>
      </c>
      <c r="AM508" s="585">
        <f t="shared" si="379"/>
        <v>14252</v>
      </c>
      <c r="AN508" s="596">
        <v>0.03</v>
      </c>
      <c r="AO508" s="597">
        <v>3.5000000000000003E-2</v>
      </c>
      <c r="AP508" s="597">
        <v>0.04</v>
      </c>
      <c r="AQ508" s="598">
        <v>4.4999999999999998E-2</v>
      </c>
      <c r="AR508" s="599">
        <v>0.05</v>
      </c>
      <c r="AS508" s="1133">
        <v>0.11</v>
      </c>
      <c r="AT508" s="1134">
        <v>0.12</v>
      </c>
      <c r="AU508" s="1134">
        <v>0.13</v>
      </c>
      <c r="AV508" s="1135">
        <v>0.14000000000000001</v>
      </c>
      <c r="AW508" s="1132">
        <v>0.15</v>
      </c>
      <c r="AX508" s="1133">
        <v>0.05</v>
      </c>
      <c r="AY508" s="1135">
        <v>5.5E-2</v>
      </c>
      <c r="AZ508" s="1135">
        <v>0.06</v>
      </c>
      <c r="BA508" s="1135">
        <v>6.5000000000000002E-2</v>
      </c>
      <c r="BB508" s="1135">
        <v>7.0000000000000007E-2</v>
      </c>
      <c r="BC508" s="1135"/>
      <c r="BD508" s="1132"/>
      <c r="BE508" s="596"/>
      <c r="BF508" s="598"/>
      <c r="BG508" s="598"/>
      <c r="BH508" s="598"/>
      <c r="BI508" s="598"/>
      <c r="BJ508" s="598"/>
      <c r="BK508" s="605"/>
      <c r="BL508" s="658">
        <f t="shared" si="355"/>
        <v>32500</v>
      </c>
      <c r="BM508" s="3">
        <f t="shared" si="356"/>
        <v>42</v>
      </c>
      <c r="BN508" s="3">
        <f t="shared" si="357"/>
        <v>15</v>
      </c>
      <c r="BO508" s="3">
        <f t="shared" si="358"/>
        <v>43</v>
      </c>
    </row>
    <row r="509" spans="2:67">
      <c r="B509" s="606" t="s">
        <v>4212</v>
      </c>
      <c r="C509" s="607" t="s">
        <v>310</v>
      </c>
      <c r="D509" s="607" t="s">
        <v>4206</v>
      </c>
      <c r="E509" s="613" t="s">
        <v>1150</v>
      </c>
      <c r="F509" s="592">
        <v>506</v>
      </c>
      <c r="G509" s="609">
        <v>6663</v>
      </c>
      <c r="H509" s="610">
        <v>4900</v>
      </c>
      <c r="I509" s="611">
        <v>8034</v>
      </c>
      <c r="J509" s="166">
        <f t="shared" si="346"/>
        <v>133</v>
      </c>
      <c r="K509" s="167">
        <f t="shared" si="347"/>
        <v>98</v>
      </c>
      <c r="L509" s="168">
        <f t="shared" si="348"/>
        <v>160</v>
      </c>
      <c r="M509" s="166">
        <f t="shared" si="349"/>
        <v>199</v>
      </c>
      <c r="N509" s="167">
        <f t="shared" si="350"/>
        <v>147</v>
      </c>
      <c r="O509" s="168">
        <f t="shared" si="351"/>
        <v>241</v>
      </c>
      <c r="P509" s="169">
        <f t="shared" si="352"/>
        <v>266</v>
      </c>
      <c r="Q509" s="169">
        <f t="shared" si="353"/>
        <v>196</v>
      </c>
      <c r="R509" s="169">
        <f t="shared" si="354"/>
        <v>321</v>
      </c>
      <c r="S509" s="584">
        <f t="shared" si="359"/>
        <v>1999</v>
      </c>
      <c r="T509" s="594">
        <f t="shared" si="360"/>
        <v>1470</v>
      </c>
      <c r="U509" s="595">
        <f t="shared" si="361"/>
        <v>2410</v>
      </c>
      <c r="V509" s="166">
        <f t="shared" si="362"/>
        <v>4122</v>
      </c>
      <c r="W509" s="167">
        <f t="shared" si="363"/>
        <v>3038</v>
      </c>
      <c r="X509" s="168">
        <f t="shared" si="364"/>
        <v>4980</v>
      </c>
      <c r="Y509" s="166">
        <f t="shared" si="365"/>
        <v>4654</v>
      </c>
      <c r="Z509" s="167">
        <f t="shared" si="366"/>
        <v>3430</v>
      </c>
      <c r="AA509" s="168">
        <f t="shared" si="367"/>
        <v>5622</v>
      </c>
      <c r="AB509" s="166">
        <f t="shared" si="368"/>
        <v>5186</v>
      </c>
      <c r="AC509" s="167">
        <f t="shared" si="369"/>
        <v>3822</v>
      </c>
      <c r="AD509" s="168">
        <f t="shared" si="370"/>
        <v>6264</v>
      </c>
      <c r="AE509" s="166">
        <f t="shared" si="371"/>
        <v>5718</v>
      </c>
      <c r="AF509" s="167">
        <f t="shared" si="372"/>
        <v>4214</v>
      </c>
      <c r="AG509" s="168">
        <f t="shared" si="373"/>
        <v>6585</v>
      </c>
      <c r="AH509" s="166">
        <f t="shared" si="374"/>
        <v>5984</v>
      </c>
      <c r="AI509" s="167">
        <f t="shared" si="375"/>
        <v>4802</v>
      </c>
      <c r="AJ509" s="168">
        <f t="shared" si="376"/>
        <v>7227</v>
      </c>
      <c r="AK509" s="169">
        <f t="shared" si="377"/>
        <v>6796</v>
      </c>
      <c r="AL509" s="167">
        <f t="shared" si="378"/>
        <v>4998</v>
      </c>
      <c r="AM509" s="585">
        <f t="shared" si="379"/>
        <v>8194</v>
      </c>
      <c r="AN509" s="614">
        <v>0.05</v>
      </c>
      <c r="AO509" s="615">
        <v>5.5E-2</v>
      </c>
      <c r="AP509" s="615">
        <v>0.06</v>
      </c>
      <c r="AQ509" s="616">
        <v>6.5000000000000002E-2</v>
      </c>
      <c r="AR509" s="612">
        <v>7.0000000000000007E-2</v>
      </c>
      <c r="AS509" s="617"/>
      <c r="AT509" s="618"/>
      <c r="AU509" s="618"/>
      <c r="AV509" s="618"/>
      <c r="AW509" s="619"/>
      <c r="AX509" s="614">
        <v>0.03</v>
      </c>
      <c r="AY509" s="616">
        <v>3.5000000000000003E-2</v>
      </c>
      <c r="AZ509" s="616">
        <v>0.04</v>
      </c>
      <c r="BA509" s="616">
        <v>4.4999999999999998E-2</v>
      </c>
      <c r="BB509" s="616">
        <v>0.05</v>
      </c>
      <c r="BC509" s="616"/>
      <c r="BD509" s="612"/>
      <c r="BE509" s="596"/>
      <c r="BF509" s="598"/>
      <c r="BG509" s="598"/>
      <c r="BH509" s="598"/>
      <c r="BI509" s="598"/>
      <c r="BJ509" s="598"/>
      <c r="BK509" s="605"/>
      <c r="BL509" s="658">
        <f t="shared" si="355"/>
        <v>19600</v>
      </c>
      <c r="BM509" s="3">
        <f t="shared" si="356"/>
        <v>34</v>
      </c>
      <c r="BN509" s="3">
        <f t="shared" si="357"/>
        <v>25</v>
      </c>
      <c r="BO509" s="3">
        <f t="shared" si="358"/>
        <v>41</v>
      </c>
    </row>
    <row r="510" spans="2:67">
      <c r="B510" s="606" t="s">
        <v>4205</v>
      </c>
      <c r="C510" s="607" t="s">
        <v>310</v>
      </c>
      <c r="D510" s="607" t="s">
        <v>4207</v>
      </c>
      <c r="E510" s="613" t="s">
        <v>1150</v>
      </c>
      <c r="F510" s="608">
        <v>507</v>
      </c>
      <c r="G510" s="609">
        <v>6860</v>
      </c>
      <c r="H510" s="610">
        <v>4310</v>
      </c>
      <c r="I510" s="611">
        <v>8427</v>
      </c>
      <c r="J510" s="166">
        <f t="shared" si="346"/>
        <v>137</v>
      </c>
      <c r="K510" s="167">
        <f t="shared" si="347"/>
        <v>86</v>
      </c>
      <c r="L510" s="168">
        <f t="shared" si="348"/>
        <v>168</v>
      </c>
      <c r="M510" s="166">
        <f t="shared" si="349"/>
        <v>205</v>
      </c>
      <c r="N510" s="167">
        <f t="shared" si="350"/>
        <v>129</v>
      </c>
      <c r="O510" s="168">
        <f t="shared" si="351"/>
        <v>252</v>
      </c>
      <c r="P510" s="169">
        <f t="shared" si="352"/>
        <v>274</v>
      </c>
      <c r="Q510" s="169">
        <f t="shared" si="353"/>
        <v>172</v>
      </c>
      <c r="R510" s="169">
        <f t="shared" si="354"/>
        <v>337</v>
      </c>
      <c r="S510" s="584">
        <f t="shared" si="359"/>
        <v>2058</v>
      </c>
      <c r="T510" s="594">
        <f t="shared" si="360"/>
        <v>1293</v>
      </c>
      <c r="U510" s="595">
        <f t="shared" si="361"/>
        <v>2528</v>
      </c>
      <c r="V510" s="166">
        <f t="shared" si="362"/>
        <v>4245</v>
      </c>
      <c r="W510" s="167">
        <f t="shared" si="363"/>
        <v>2669</v>
      </c>
      <c r="X510" s="168">
        <f t="shared" si="364"/>
        <v>5216</v>
      </c>
      <c r="Y510" s="166">
        <f t="shared" si="365"/>
        <v>4793</v>
      </c>
      <c r="Z510" s="167">
        <f t="shared" si="366"/>
        <v>3013</v>
      </c>
      <c r="AA510" s="168">
        <f t="shared" si="367"/>
        <v>5890</v>
      </c>
      <c r="AB510" s="166">
        <f t="shared" si="368"/>
        <v>5341</v>
      </c>
      <c r="AC510" s="167">
        <f t="shared" si="369"/>
        <v>3357</v>
      </c>
      <c r="AD510" s="168">
        <f t="shared" si="370"/>
        <v>6564</v>
      </c>
      <c r="AE510" s="166">
        <f t="shared" si="371"/>
        <v>5889</v>
      </c>
      <c r="AF510" s="167">
        <f t="shared" si="372"/>
        <v>3529</v>
      </c>
      <c r="AG510" s="168">
        <f t="shared" si="373"/>
        <v>7238</v>
      </c>
      <c r="AH510" s="166">
        <f t="shared" si="374"/>
        <v>6163</v>
      </c>
      <c r="AI510" s="167">
        <f t="shared" si="375"/>
        <v>3873</v>
      </c>
      <c r="AJ510" s="168">
        <f t="shared" si="376"/>
        <v>8249</v>
      </c>
      <c r="AK510" s="169">
        <f t="shared" si="377"/>
        <v>6997</v>
      </c>
      <c r="AL510" s="167">
        <f t="shared" si="378"/>
        <v>4396</v>
      </c>
      <c r="AM510" s="585">
        <f t="shared" si="379"/>
        <v>8595</v>
      </c>
      <c r="AN510" s="614">
        <v>0.05</v>
      </c>
      <c r="AO510" s="615">
        <v>5.5E-2</v>
      </c>
      <c r="AP510" s="615">
        <v>0.06</v>
      </c>
      <c r="AQ510" s="616">
        <v>6.5000000000000002E-2</v>
      </c>
      <c r="AR510" s="612">
        <v>7.0000000000000007E-2</v>
      </c>
      <c r="AS510" s="617"/>
      <c r="AT510" s="618"/>
      <c r="AU510" s="618"/>
      <c r="AV510" s="618"/>
      <c r="AW510" s="619"/>
      <c r="AX510" s="614">
        <v>0.05</v>
      </c>
      <c r="AY510" s="616">
        <v>5.5E-2</v>
      </c>
      <c r="AZ510" s="616">
        <v>0.06</v>
      </c>
      <c r="BA510" s="616">
        <v>6.5000000000000002E-2</v>
      </c>
      <c r="BB510" s="616">
        <v>7.0000000000000007E-2</v>
      </c>
      <c r="BC510" s="616"/>
      <c r="BD510" s="612"/>
      <c r="BE510" s="596"/>
      <c r="BF510" s="598"/>
      <c r="BG510" s="598"/>
      <c r="BH510" s="598"/>
      <c r="BI510" s="598"/>
      <c r="BJ510" s="598"/>
      <c r="BK510" s="605"/>
      <c r="BL510" s="658">
        <f t="shared" si="355"/>
        <v>19600</v>
      </c>
      <c r="BM510" s="3">
        <f t="shared" si="356"/>
        <v>35</v>
      </c>
      <c r="BN510" s="3">
        <f t="shared" si="357"/>
        <v>22</v>
      </c>
      <c r="BO510" s="3">
        <f t="shared" si="358"/>
        <v>43</v>
      </c>
    </row>
    <row r="511" spans="2:67">
      <c r="B511" s="1271" t="s">
        <v>4248</v>
      </c>
      <c r="C511" s="1069" t="s">
        <v>309</v>
      </c>
      <c r="D511" s="1069" t="s">
        <v>4249</v>
      </c>
      <c r="E511" s="238" t="s">
        <v>1150</v>
      </c>
      <c r="F511" s="1270">
        <v>508</v>
      </c>
      <c r="G511" s="1071">
        <v>13760</v>
      </c>
      <c r="H511" s="1072">
        <v>8320</v>
      </c>
      <c r="I511" s="1073">
        <v>9920</v>
      </c>
      <c r="J511" s="166">
        <f t="shared" si="346"/>
        <v>275</v>
      </c>
      <c r="K511" s="167">
        <f t="shared" si="347"/>
        <v>166</v>
      </c>
      <c r="L511" s="168">
        <f t="shared" si="348"/>
        <v>198</v>
      </c>
      <c r="M511" s="166">
        <f t="shared" si="349"/>
        <v>344</v>
      </c>
      <c r="N511" s="167">
        <f t="shared" si="350"/>
        <v>208</v>
      </c>
      <c r="O511" s="168">
        <f t="shared" si="351"/>
        <v>248</v>
      </c>
      <c r="P511" s="169">
        <f t="shared" si="352"/>
        <v>516</v>
      </c>
      <c r="Q511" s="169">
        <f t="shared" si="353"/>
        <v>312</v>
      </c>
      <c r="R511" s="169">
        <f t="shared" si="354"/>
        <v>372</v>
      </c>
      <c r="S511" s="584">
        <f t="shared" si="359"/>
        <v>3440</v>
      </c>
      <c r="T511" s="594">
        <f t="shared" si="360"/>
        <v>2080</v>
      </c>
      <c r="U511" s="595">
        <f t="shared" si="361"/>
        <v>2480</v>
      </c>
      <c r="V511" s="166">
        <f t="shared" si="362"/>
        <v>7843</v>
      </c>
      <c r="W511" s="167">
        <f t="shared" si="363"/>
        <v>4742</v>
      </c>
      <c r="X511" s="168">
        <f t="shared" si="364"/>
        <v>5654</v>
      </c>
      <c r="Y511" s="166">
        <f t="shared" si="365"/>
        <v>8875</v>
      </c>
      <c r="Z511" s="167">
        <f t="shared" si="366"/>
        <v>5054</v>
      </c>
      <c r="AA511" s="168">
        <f t="shared" si="367"/>
        <v>6770</v>
      </c>
      <c r="AB511" s="166">
        <f t="shared" si="368"/>
        <v>10423</v>
      </c>
      <c r="AC511" s="167">
        <f t="shared" si="369"/>
        <v>5990</v>
      </c>
      <c r="AD511" s="168">
        <f t="shared" si="370"/>
        <v>7142</v>
      </c>
      <c r="AE511" s="166">
        <f t="shared" si="371"/>
        <v>11455</v>
      </c>
      <c r="AF511" s="167">
        <f t="shared" si="372"/>
        <v>7238</v>
      </c>
      <c r="AG511" s="168">
        <f t="shared" si="373"/>
        <v>7886</v>
      </c>
      <c r="AH511" s="166">
        <f t="shared" si="374"/>
        <v>12487</v>
      </c>
      <c r="AI511" s="167">
        <f t="shared" si="375"/>
        <v>7862</v>
      </c>
      <c r="AJ511" s="168">
        <f t="shared" si="376"/>
        <v>9374</v>
      </c>
      <c r="AK511" s="169">
        <f t="shared" si="377"/>
        <v>14035</v>
      </c>
      <c r="AL511" s="167">
        <f t="shared" si="378"/>
        <v>8486</v>
      </c>
      <c r="AM511" s="585">
        <f t="shared" si="379"/>
        <v>10118</v>
      </c>
      <c r="AN511" s="1133">
        <v>0.1</v>
      </c>
      <c r="AO511" s="1134">
        <v>0.105</v>
      </c>
      <c r="AP511" s="1134">
        <v>0.11</v>
      </c>
      <c r="AQ511" s="1135">
        <v>0.115</v>
      </c>
      <c r="AR511" s="1132">
        <v>0.12</v>
      </c>
      <c r="AS511" s="1133">
        <v>0.33</v>
      </c>
      <c r="AT511" s="1134">
        <v>0.36</v>
      </c>
      <c r="AU511" s="1134">
        <v>0.39</v>
      </c>
      <c r="AV511" s="1135">
        <v>0.42</v>
      </c>
      <c r="AW511" s="1132">
        <v>0.45</v>
      </c>
      <c r="AX511" s="1133">
        <v>0.04</v>
      </c>
      <c r="AY511" s="1135">
        <v>4.2999999999999997E-2</v>
      </c>
      <c r="AZ511" s="1135">
        <v>4.5999999999999999E-2</v>
      </c>
      <c r="BA511" s="1135">
        <v>4.9000000000000002E-2</v>
      </c>
      <c r="BB511" s="1135">
        <v>5.1999999999999998E-2</v>
      </c>
      <c r="BC511" s="1135"/>
      <c r="BD511" s="1132"/>
      <c r="BE511" s="596"/>
      <c r="BF511" s="598"/>
      <c r="BG511" s="598"/>
      <c r="BH511" s="598"/>
      <c r="BI511" s="598"/>
      <c r="BJ511" s="598"/>
      <c r="BK511" s="605"/>
      <c r="BL511" s="658">
        <f t="shared" si="355"/>
        <v>32000</v>
      </c>
      <c r="BM511" s="3">
        <f t="shared" si="356"/>
        <v>43</v>
      </c>
      <c r="BN511" s="3">
        <f t="shared" si="357"/>
        <v>26</v>
      </c>
      <c r="BO511" s="3">
        <f t="shared" si="358"/>
        <v>31</v>
      </c>
    </row>
    <row r="512" spans="2:67">
      <c r="B512" s="606" t="s">
        <v>4250</v>
      </c>
      <c r="C512" s="607" t="s">
        <v>310</v>
      </c>
      <c r="D512" s="607" t="s">
        <v>4251</v>
      </c>
      <c r="E512" s="238" t="s">
        <v>1150</v>
      </c>
      <c r="F512" s="608">
        <v>509</v>
      </c>
      <c r="G512" s="609">
        <v>7643</v>
      </c>
      <c r="H512" s="610">
        <v>5880</v>
      </c>
      <c r="I512" s="611">
        <v>6074</v>
      </c>
      <c r="J512" s="166">
        <f t="shared" si="346"/>
        <v>152</v>
      </c>
      <c r="K512" s="167">
        <f t="shared" si="347"/>
        <v>117</v>
      </c>
      <c r="L512" s="168">
        <f t="shared" si="348"/>
        <v>121</v>
      </c>
      <c r="M512" s="166">
        <f t="shared" si="349"/>
        <v>229</v>
      </c>
      <c r="N512" s="167">
        <f t="shared" si="350"/>
        <v>176</v>
      </c>
      <c r="O512" s="168">
        <f t="shared" si="351"/>
        <v>182</v>
      </c>
      <c r="P512" s="169">
        <f t="shared" si="352"/>
        <v>305</v>
      </c>
      <c r="Q512" s="169">
        <f t="shared" si="353"/>
        <v>235</v>
      </c>
      <c r="R512" s="169">
        <f t="shared" si="354"/>
        <v>243</v>
      </c>
      <c r="S512" s="584">
        <f t="shared" si="359"/>
        <v>2293</v>
      </c>
      <c r="T512" s="594">
        <f t="shared" si="360"/>
        <v>1764</v>
      </c>
      <c r="U512" s="595">
        <f t="shared" si="361"/>
        <v>1822</v>
      </c>
      <c r="V512" s="166">
        <f t="shared" si="362"/>
        <v>4735</v>
      </c>
      <c r="W512" s="167">
        <f t="shared" si="363"/>
        <v>3641</v>
      </c>
      <c r="X512" s="168">
        <f t="shared" si="364"/>
        <v>3763</v>
      </c>
      <c r="Y512" s="166">
        <f t="shared" si="365"/>
        <v>5345</v>
      </c>
      <c r="Z512" s="167">
        <f t="shared" si="366"/>
        <v>4111</v>
      </c>
      <c r="AA512" s="168">
        <f t="shared" si="367"/>
        <v>4249</v>
      </c>
      <c r="AB512" s="166">
        <f t="shared" si="368"/>
        <v>5955</v>
      </c>
      <c r="AC512" s="167">
        <f t="shared" si="369"/>
        <v>4581</v>
      </c>
      <c r="AD512" s="168">
        <f t="shared" si="370"/>
        <v>4735</v>
      </c>
      <c r="AE512" s="166">
        <f t="shared" si="371"/>
        <v>6565</v>
      </c>
      <c r="AF512" s="167">
        <f t="shared" si="372"/>
        <v>5051</v>
      </c>
      <c r="AG512" s="168">
        <f t="shared" si="373"/>
        <v>4978</v>
      </c>
      <c r="AH512" s="166">
        <f t="shared" si="374"/>
        <v>6870</v>
      </c>
      <c r="AI512" s="167">
        <f t="shared" si="375"/>
        <v>5756</v>
      </c>
      <c r="AJ512" s="168">
        <f t="shared" si="376"/>
        <v>5464</v>
      </c>
      <c r="AK512" s="169">
        <f t="shared" si="377"/>
        <v>7795</v>
      </c>
      <c r="AL512" s="167">
        <f t="shared" si="378"/>
        <v>5997</v>
      </c>
      <c r="AM512" s="585">
        <f t="shared" si="379"/>
        <v>6195</v>
      </c>
      <c r="AN512" s="614">
        <v>6.4000000000000001E-2</v>
      </c>
      <c r="AO512" s="615">
        <v>6.7000000000000004E-2</v>
      </c>
      <c r="AP512" s="615">
        <v>7.0000000000000007E-2</v>
      </c>
      <c r="AQ512" s="616">
        <v>7.2999999999999995E-2</v>
      </c>
      <c r="AR512" s="612">
        <v>7.5999999999999998E-2</v>
      </c>
      <c r="AS512" s="617"/>
      <c r="AT512" s="618"/>
      <c r="AU512" s="618"/>
      <c r="AV512" s="618"/>
      <c r="AW512" s="619"/>
      <c r="AX512" s="614">
        <v>0.03</v>
      </c>
      <c r="AY512" s="616">
        <v>3.5000000000000003E-2</v>
      </c>
      <c r="AZ512" s="616">
        <v>0.04</v>
      </c>
      <c r="BA512" s="616">
        <v>4.4999999999999998E-2</v>
      </c>
      <c r="BB512" s="616">
        <v>0.05</v>
      </c>
      <c r="BC512" s="616"/>
      <c r="BD512" s="612"/>
      <c r="BE512" s="596"/>
      <c r="BF512" s="598"/>
      <c r="BG512" s="598"/>
      <c r="BH512" s="598"/>
      <c r="BI512" s="598"/>
      <c r="BJ512" s="598"/>
      <c r="BK512" s="605"/>
      <c r="BL512" s="658">
        <f t="shared" si="355"/>
        <v>19600</v>
      </c>
      <c r="BM512" s="3">
        <f t="shared" si="356"/>
        <v>39</v>
      </c>
      <c r="BN512" s="3">
        <f t="shared" si="357"/>
        <v>30</v>
      </c>
      <c r="BO512" s="3">
        <f t="shared" si="358"/>
        <v>31</v>
      </c>
    </row>
    <row r="513" spans="2:67">
      <c r="B513" s="1271" t="s">
        <v>4252</v>
      </c>
      <c r="C513" s="1069" t="s">
        <v>309</v>
      </c>
      <c r="D513" s="1069" t="s">
        <v>4253</v>
      </c>
      <c r="E513" s="1268" t="s">
        <v>1150</v>
      </c>
      <c r="F513" s="1270">
        <v>510</v>
      </c>
      <c r="G513" s="1071">
        <v>12160</v>
      </c>
      <c r="H513" s="1072">
        <v>6080</v>
      </c>
      <c r="I513" s="1073">
        <v>13760</v>
      </c>
      <c r="J513" s="166">
        <f t="shared" si="346"/>
        <v>243</v>
      </c>
      <c r="K513" s="167">
        <f t="shared" si="347"/>
        <v>121</v>
      </c>
      <c r="L513" s="168">
        <f t="shared" si="348"/>
        <v>275</v>
      </c>
      <c r="M513" s="166">
        <f t="shared" si="349"/>
        <v>304</v>
      </c>
      <c r="N513" s="167">
        <f t="shared" si="350"/>
        <v>152</v>
      </c>
      <c r="O513" s="168">
        <f t="shared" si="351"/>
        <v>344</v>
      </c>
      <c r="P513" s="169">
        <f t="shared" si="352"/>
        <v>456</v>
      </c>
      <c r="Q513" s="169">
        <f t="shared" si="353"/>
        <v>228</v>
      </c>
      <c r="R513" s="169">
        <f t="shared" si="354"/>
        <v>516</v>
      </c>
      <c r="S513" s="584">
        <f t="shared" si="359"/>
        <v>3040</v>
      </c>
      <c r="T513" s="594">
        <f t="shared" si="360"/>
        <v>1520</v>
      </c>
      <c r="U513" s="595">
        <f t="shared" si="361"/>
        <v>3440</v>
      </c>
      <c r="V513" s="166">
        <f t="shared" si="362"/>
        <v>6931</v>
      </c>
      <c r="W513" s="167">
        <f t="shared" si="363"/>
        <v>3465</v>
      </c>
      <c r="X513" s="168">
        <f t="shared" si="364"/>
        <v>7843</v>
      </c>
      <c r="Y513" s="166">
        <f t="shared" si="365"/>
        <v>7387</v>
      </c>
      <c r="Z513" s="167">
        <f t="shared" si="366"/>
        <v>3921</v>
      </c>
      <c r="AA513" s="168">
        <f t="shared" si="367"/>
        <v>9391</v>
      </c>
      <c r="AB513" s="166">
        <f t="shared" si="368"/>
        <v>8755</v>
      </c>
      <c r="AC513" s="167">
        <f t="shared" si="369"/>
        <v>4605</v>
      </c>
      <c r="AD513" s="168">
        <f t="shared" si="370"/>
        <v>9907</v>
      </c>
      <c r="AE513" s="166">
        <f t="shared" si="371"/>
        <v>10579</v>
      </c>
      <c r="AF513" s="167">
        <f t="shared" si="372"/>
        <v>5061</v>
      </c>
      <c r="AG513" s="168">
        <f t="shared" si="373"/>
        <v>10939</v>
      </c>
      <c r="AH513" s="166">
        <f t="shared" si="374"/>
        <v>11491</v>
      </c>
      <c r="AI513" s="167">
        <f t="shared" si="375"/>
        <v>5517</v>
      </c>
      <c r="AJ513" s="168">
        <f t="shared" si="376"/>
        <v>13003</v>
      </c>
      <c r="AK513" s="169">
        <f t="shared" si="377"/>
        <v>12403</v>
      </c>
      <c r="AL513" s="167">
        <f t="shared" si="378"/>
        <v>6201</v>
      </c>
      <c r="AM513" s="585">
        <f t="shared" si="379"/>
        <v>14035</v>
      </c>
      <c r="AN513" s="1133">
        <v>0.48</v>
      </c>
      <c r="AO513" s="1134">
        <v>0.51</v>
      </c>
      <c r="AP513" s="1134">
        <v>0.54</v>
      </c>
      <c r="AQ513" s="1135">
        <v>0.56999999999999995</v>
      </c>
      <c r="AR513" s="1132">
        <v>0.6</v>
      </c>
      <c r="AS513" s="1136"/>
      <c r="AT513" s="1137"/>
      <c r="AU513" s="1137"/>
      <c r="AV513" s="1137"/>
      <c r="AW513" s="1138"/>
      <c r="AX513" s="1133">
        <v>0.04</v>
      </c>
      <c r="AY513" s="1135">
        <v>4.2999999999999997E-2</v>
      </c>
      <c r="AZ513" s="1135">
        <v>4.5999999999999999E-2</v>
      </c>
      <c r="BA513" s="1135">
        <v>4.9000000000000002E-2</v>
      </c>
      <c r="BB513" s="1135">
        <v>5.1999999999999998E-2</v>
      </c>
      <c r="BC513" s="1135"/>
      <c r="BD513" s="1132"/>
      <c r="BE513" s="596"/>
      <c r="BF513" s="598"/>
      <c r="BG513" s="598"/>
      <c r="BH513" s="598"/>
      <c r="BI513" s="598"/>
      <c r="BJ513" s="598"/>
      <c r="BK513" s="605"/>
      <c r="BL513" s="658">
        <f t="shared" si="355"/>
        <v>32000</v>
      </c>
      <c r="BM513" s="3">
        <f t="shared" si="356"/>
        <v>38</v>
      </c>
      <c r="BN513" s="3">
        <f t="shared" si="357"/>
        <v>19</v>
      </c>
      <c r="BO513" s="3">
        <f t="shared" si="358"/>
        <v>43</v>
      </c>
    </row>
    <row r="514" spans="2:67">
      <c r="B514" s="1271" t="s">
        <v>4254</v>
      </c>
      <c r="C514" s="1069" t="s">
        <v>309</v>
      </c>
      <c r="D514" s="1069" t="s">
        <v>4249</v>
      </c>
      <c r="E514" s="238" t="s">
        <v>125</v>
      </c>
      <c r="F514" s="1070">
        <v>511</v>
      </c>
      <c r="G514" s="1071">
        <v>11393</v>
      </c>
      <c r="H514" s="1072">
        <v>5033</v>
      </c>
      <c r="I514" s="1073">
        <v>10069</v>
      </c>
      <c r="J514" s="166">
        <f t="shared" si="346"/>
        <v>227</v>
      </c>
      <c r="K514" s="167">
        <f t="shared" si="347"/>
        <v>100</v>
      </c>
      <c r="L514" s="168">
        <f t="shared" si="348"/>
        <v>201</v>
      </c>
      <c r="M514" s="166">
        <f t="shared" si="349"/>
        <v>284</v>
      </c>
      <c r="N514" s="167">
        <f t="shared" si="350"/>
        <v>125</v>
      </c>
      <c r="O514" s="168">
        <f t="shared" si="351"/>
        <v>251</v>
      </c>
      <c r="P514" s="169">
        <f t="shared" si="352"/>
        <v>427</v>
      </c>
      <c r="Q514" s="169">
        <f t="shared" si="353"/>
        <v>188</v>
      </c>
      <c r="R514" s="169">
        <f t="shared" si="354"/>
        <v>377</v>
      </c>
      <c r="S514" s="584">
        <f t="shared" si="359"/>
        <v>2848</v>
      </c>
      <c r="T514" s="594">
        <f t="shared" si="360"/>
        <v>1258</v>
      </c>
      <c r="U514" s="595">
        <f t="shared" si="361"/>
        <v>2517</v>
      </c>
      <c r="V514" s="166">
        <f t="shared" si="362"/>
        <v>6483</v>
      </c>
      <c r="W514" s="167">
        <f t="shared" si="363"/>
        <v>2858</v>
      </c>
      <c r="X514" s="168">
        <f t="shared" si="364"/>
        <v>5730</v>
      </c>
      <c r="Y514" s="166">
        <f t="shared" si="365"/>
        <v>7337</v>
      </c>
      <c r="Z514" s="167">
        <f t="shared" si="366"/>
        <v>3046</v>
      </c>
      <c r="AA514" s="168">
        <f t="shared" si="367"/>
        <v>6861</v>
      </c>
      <c r="AB514" s="166">
        <f t="shared" si="368"/>
        <v>8618</v>
      </c>
      <c r="AC514" s="167">
        <f t="shared" si="369"/>
        <v>3610</v>
      </c>
      <c r="AD514" s="168">
        <f t="shared" si="370"/>
        <v>7238</v>
      </c>
      <c r="AE514" s="166">
        <f t="shared" si="371"/>
        <v>9472</v>
      </c>
      <c r="AF514" s="167">
        <f t="shared" si="372"/>
        <v>4362</v>
      </c>
      <c r="AG514" s="168">
        <f t="shared" si="373"/>
        <v>7992</v>
      </c>
      <c r="AH514" s="166">
        <f t="shared" si="374"/>
        <v>10326</v>
      </c>
      <c r="AI514" s="167">
        <f t="shared" si="375"/>
        <v>4738</v>
      </c>
      <c r="AJ514" s="168">
        <f t="shared" si="376"/>
        <v>9500</v>
      </c>
      <c r="AK514" s="169">
        <f t="shared" si="377"/>
        <v>11620</v>
      </c>
      <c r="AL514" s="167">
        <f t="shared" si="378"/>
        <v>5133</v>
      </c>
      <c r="AM514" s="585">
        <f t="shared" si="379"/>
        <v>10270</v>
      </c>
      <c r="AN514" s="1133">
        <v>8.7999999999999995E-2</v>
      </c>
      <c r="AO514" s="1134">
        <v>9.0999999999999998E-2</v>
      </c>
      <c r="AP514" s="1134">
        <v>9.4E-2</v>
      </c>
      <c r="AQ514" s="1135">
        <v>9.7000000000000003E-2</v>
      </c>
      <c r="AR514" s="1132">
        <v>0.1</v>
      </c>
      <c r="AS514" s="1136"/>
      <c r="AT514" s="1137"/>
      <c r="AU514" s="1137"/>
      <c r="AV514" s="1137"/>
      <c r="AW514" s="1138"/>
      <c r="AX514" s="596">
        <v>0.03</v>
      </c>
      <c r="AY514" s="598">
        <v>3.3000000000000002E-2</v>
      </c>
      <c r="AZ514" s="598">
        <v>3.5999999999999997E-2</v>
      </c>
      <c r="BA514" s="598">
        <v>3.9E-2</v>
      </c>
      <c r="BB514" s="598">
        <v>4.2000000000000003E-2</v>
      </c>
      <c r="BC514" s="1135"/>
      <c r="BD514" s="1132"/>
      <c r="BE514" s="596"/>
      <c r="BF514" s="598"/>
      <c r="BG514" s="598"/>
      <c r="BH514" s="598"/>
      <c r="BI514" s="598"/>
      <c r="BJ514" s="598"/>
      <c r="BK514" s="605"/>
      <c r="BL514" s="658">
        <f t="shared" si="355"/>
        <v>26500</v>
      </c>
      <c r="BM514" s="3">
        <f t="shared" si="356"/>
        <v>43</v>
      </c>
      <c r="BN514" s="3">
        <f t="shared" si="357"/>
        <v>19</v>
      </c>
      <c r="BO514" s="3">
        <f t="shared" si="358"/>
        <v>38</v>
      </c>
    </row>
    <row r="515" spans="2:67">
      <c r="B515" s="606" t="s">
        <v>4255</v>
      </c>
      <c r="C515" s="607" t="s">
        <v>310</v>
      </c>
      <c r="D515" s="607" t="s">
        <v>4253</v>
      </c>
      <c r="E515" s="238" t="s">
        <v>125</v>
      </c>
      <c r="F515" s="592">
        <v>512</v>
      </c>
      <c r="G515" s="609">
        <v>5810</v>
      </c>
      <c r="H515" s="610">
        <v>4813</v>
      </c>
      <c r="I515" s="611">
        <v>5974</v>
      </c>
      <c r="J515" s="166">
        <f t="shared" si="346"/>
        <v>116</v>
      </c>
      <c r="K515" s="167">
        <f t="shared" si="347"/>
        <v>96</v>
      </c>
      <c r="L515" s="168">
        <f t="shared" si="348"/>
        <v>119</v>
      </c>
      <c r="M515" s="166">
        <f t="shared" si="349"/>
        <v>174</v>
      </c>
      <c r="N515" s="167">
        <f t="shared" si="350"/>
        <v>144</v>
      </c>
      <c r="O515" s="168">
        <f t="shared" si="351"/>
        <v>179</v>
      </c>
      <c r="P515" s="169">
        <f t="shared" si="352"/>
        <v>232</v>
      </c>
      <c r="Q515" s="169">
        <f t="shared" si="353"/>
        <v>192</v>
      </c>
      <c r="R515" s="169">
        <f t="shared" si="354"/>
        <v>239</v>
      </c>
      <c r="S515" s="584">
        <f t="shared" si="359"/>
        <v>1743</v>
      </c>
      <c r="T515" s="594">
        <f t="shared" si="360"/>
        <v>1444</v>
      </c>
      <c r="U515" s="595">
        <f t="shared" si="361"/>
        <v>1792</v>
      </c>
      <c r="V515" s="166">
        <f t="shared" si="362"/>
        <v>3599</v>
      </c>
      <c r="W515" s="167">
        <f t="shared" si="363"/>
        <v>2980</v>
      </c>
      <c r="X515" s="168">
        <f t="shared" si="364"/>
        <v>3701</v>
      </c>
      <c r="Y515" s="166">
        <f t="shared" si="365"/>
        <v>4063</v>
      </c>
      <c r="Z515" s="167">
        <f t="shared" si="366"/>
        <v>3364</v>
      </c>
      <c r="AA515" s="168">
        <f t="shared" si="367"/>
        <v>4179</v>
      </c>
      <c r="AB515" s="166">
        <f t="shared" si="368"/>
        <v>4527</v>
      </c>
      <c r="AC515" s="167">
        <f t="shared" si="369"/>
        <v>3748</v>
      </c>
      <c r="AD515" s="168">
        <f t="shared" si="370"/>
        <v>4657</v>
      </c>
      <c r="AE515" s="166">
        <f t="shared" si="371"/>
        <v>4991</v>
      </c>
      <c r="AF515" s="167">
        <f t="shared" si="372"/>
        <v>3940</v>
      </c>
      <c r="AG515" s="168">
        <f t="shared" si="373"/>
        <v>5135</v>
      </c>
      <c r="AH515" s="166">
        <f t="shared" si="374"/>
        <v>5223</v>
      </c>
      <c r="AI515" s="167">
        <f t="shared" si="375"/>
        <v>4324</v>
      </c>
      <c r="AJ515" s="168">
        <f t="shared" si="376"/>
        <v>5852</v>
      </c>
      <c r="AK515" s="169">
        <f t="shared" si="377"/>
        <v>5926</v>
      </c>
      <c r="AL515" s="167">
        <f t="shared" si="378"/>
        <v>4909</v>
      </c>
      <c r="AM515" s="585">
        <f t="shared" si="379"/>
        <v>6093</v>
      </c>
      <c r="AN515" s="614">
        <v>2.7E-2</v>
      </c>
      <c r="AO515" s="615">
        <v>2.9000000000000001E-2</v>
      </c>
      <c r="AP515" s="615">
        <v>3.1E-2</v>
      </c>
      <c r="AQ515" s="616">
        <v>3.3000000000000002E-2</v>
      </c>
      <c r="AR515" s="612">
        <v>3.5000000000000003E-2</v>
      </c>
      <c r="AS515" s="617"/>
      <c r="AT515" s="618"/>
      <c r="AU515" s="618"/>
      <c r="AV515" s="618"/>
      <c r="AW515" s="619"/>
      <c r="AX515" s="614">
        <v>0.05</v>
      </c>
      <c r="AY515" s="616">
        <v>5.5E-2</v>
      </c>
      <c r="AZ515" s="616">
        <v>0.06</v>
      </c>
      <c r="BA515" s="616">
        <v>6.5000000000000002E-2</v>
      </c>
      <c r="BB515" s="616">
        <v>7.0000000000000007E-2</v>
      </c>
      <c r="BC515" s="616"/>
      <c r="BD515" s="612"/>
      <c r="BE515" s="596"/>
      <c r="BF515" s="598"/>
      <c r="BG515" s="598"/>
      <c r="BH515" s="598"/>
      <c r="BI515" s="598"/>
      <c r="BJ515" s="598"/>
      <c r="BK515" s="605"/>
      <c r="BL515" s="658">
        <f t="shared" si="355"/>
        <v>16600</v>
      </c>
      <c r="BM515" s="3">
        <f t="shared" si="356"/>
        <v>35</v>
      </c>
      <c r="BN515" s="3">
        <f t="shared" si="357"/>
        <v>29</v>
      </c>
      <c r="BO515" s="3">
        <f t="shared" si="358"/>
        <v>36</v>
      </c>
    </row>
    <row r="516" spans="2:67">
      <c r="B516" s="606" t="s">
        <v>4256</v>
      </c>
      <c r="C516" s="607" t="s">
        <v>310</v>
      </c>
      <c r="D516" s="607" t="s">
        <v>4251</v>
      </c>
      <c r="E516" s="613" t="s">
        <v>125</v>
      </c>
      <c r="F516" s="608">
        <v>513</v>
      </c>
      <c r="G516" s="609">
        <v>6307</v>
      </c>
      <c r="H516" s="610">
        <v>4647</v>
      </c>
      <c r="I516" s="611">
        <v>5643</v>
      </c>
      <c r="J516" s="166">
        <f t="shared" si="346"/>
        <v>126</v>
      </c>
      <c r="K516" s="167">
        <f t="shared" si="347"/>
        <v>92</v>
      </c>
      <c r="L516" s="168">
        <f t="shared" si="348"/>
        <v>112</v>
      </c>
      <c r="M516" s="166">
        <f t="shared" si="349"/>
        <v>189</v>
      </c>
      <c r="N516" s="167">
        <f t="shared" si="350"/>
        <v>139</v>
      </c>
      <c r="O516" s="168">
        <f t="shared" si="351"/>
        <v>169</v>
      </c>
      <c r="P516" s="169">
        <f t="shared" si="352"/>
        <v>252</v>
      </c>
      <c r="Q516" s="169">
        <f t="shared" si="353"/>
        <v>185</v>
      </c>
      <c r="R516" s="169">
        <f t="shared" si="354"/>
        <v>225</v>
      </c>
      <c r="S516" s="584">
        <f t="shared" si="359"/>
        <v>1892</v>
      </c>
      <c r="T516" s="594">
        <f t="shared" si="360"/>
        <v>1394</v>
      </c>
      <c r="U516" s="595">
        <f t="shared" si="361"/>
        <v>1693</v>
      </c>
      <c r="V516" s="166">
        <f t="shared" si="362"/>
        <v>3908</v>
      </c>
      <c r="W516" s="167">
        <f t="shared" si="363"/>
        <v>2876</v>
      </c>
      <c r="X516" s="168">
        <f t="shared" si="364"/>
        <v>3495</v>
      </c>
      <c r="Y516" s="166">
        <f t="shared" si="365"/>
        <v>4412</v>
      </c>
      <c r="Z516" s="167">
        <f t="shared" si="366"/>
        <v>3246</v>
      </c>
      <c r="AA516" s="168">
        <f t="shared" si="367"/>
        <v>3945</v>
      </c>
      <c r="AB516" s="166">
        <f t="shared" si="368"/>
        <v>4916</v>
      </c>
      <c r="AC516" s="167">
        <f t="shared" si="369"/>
        <v>3616</v>
      </c>
      <c r="AD516" s="168">
        <f t="shared" si="370"/>
        <v>4395</v>
      </c>
      <c r="AE516" s="166">
        <f t="shared" si="371"/>
        <v>5420</v>
      </c>
      <c r="AF516" s="167">
        <f t="shared" si="372"/>
        <v>3986</v>
      </c>
      <c r="AG516" s="168">
        <f t="shared" si="373"/>
        <v>4620</v>
      </c>
      <c r="AH516" s="166">
        <f t="shared" si="374"/>
        <v>5672</v>
      </c>
      <c r="AI516" s="167">
        <f t="shared" si="375"/>
        <v>4541</v>
      </c>
      <c r="AJ516" s="168">
        <f t="shared" si="376"/>
        <v>5070</v>
      </c>
      <c r="AK516" s="169">
        <f t="shared" si="377"/>
        <v>6433</v>
      </c>
      <c r="AL516" s="167">
        <f t="shared" si="378"/>
        <v>4739</v>
      </c>
      <c r="AM516" s="585">
        <f t="shared" si="379"/>
        <v>5755</v>
      </c>
      <c r="AN516" s="614">
        <v>0.05</v>
      </c>
      <c r="AO516" s="615">
        <v>5.5E-2</v>
      </c>
      <c r="AP516" s="615">
        <v>0.06</v>
      </c>
      <c r="AQ516" s="616">
        <v>6.5000000000000002E-2</v>
      </c>
      <c r="AR516" s="612">
        <v>7.0000000000000007E-2</v>
      </c>
      <c r="AS516" s="617"/>
      <c r="AT516" s="618"/>
      <c r="AU516" s="618"/>
      <c r="AV516" s="618"/>
      <c r="AW516" s="619"/>
      <c r="AX516" s="614">
        <v>0.05</v>
      </c>
      <c r="AY516" s="616">
        <v>5.5E-2</v>
      </c>
      <c r="AZ516" s="616">
        <v>0.06</v>
      </c>
      <c r="BA516" s="616">
        <v>6.5000000000000002E-2</v>
      </c>
      <c r="BB516" s="616">
        <v>7.0000000000000007E-2</v>
      </c>
      <c r="BC516" s="616"/>
      <c r="BD516" s="612"/>
      <c r="BE516" s="596"/>
      <c r="BF516" s="598"/>
      <c r="BG516" s="598"/>
      <c r="BH516" s="598"/>
      <c r="BI516" s="598"/>
      <c r="BJ516" s="598"/>
      <c r="BK516" s="605"/>
      <c r="BL516" s="658">
        <f t="shared" si="355"/>
        <v>16600</v>
      </c>
      <c r="BM516" s="3">
        <f t="shared" si="356"/>
        <v>38</v>
      </c>
      <c r="BN516" s="3">
        <f t="shared" si="357"/>
        <v>28</v>
      </c>
      <c r="BO516" s="3">
        <f t="shared" si="358"/>
        <v>34</v>
      </c>
    </row>
    <row r="517" spans="2:67">
      <c r="B517" s="1271" t="s">
        <v>4285</v>
      </c>
      <c r="C517" s="1069" t="s">
        <v>309</v>
      </c>
      <c r="D517" s="1069" t="s">
        <v>4283</v>
      </c>
      <c r="E517" s="1268" t="s">
        <v>2115</v>
      </c>
      <c r="F517" s="592">
        <v>514</v>
      </c>
      <c r="G517" s="1071">
        <v>12480</v>
      </c>
      <c r="H517" s="1072">
        <v>5760</v>
      </c>
      <c r="I517" s="1073">
        <v>13760</v>
      </c>
      <c r="J517" s="166">
        <f t="shared" si="346"/>
        <v>249</v>
      </c>
      <c r="K517" s="167">
        <f t="shared" si="347"/>
        <v>115</v>
      </c>
      <c r="L517" s="168">
        <f t="shared" si="348"/>
        <v>275</v>
      </c>
      <c r="M517" s="166">
        <f t="shared" si="349"/>
        <v>338</v>
      </c>
      <c r="N517" s="167">
        <f t="shared" si="350"/>
        <v>156</v>
      </c>
      <c r="O517" s="168">
        <f t="shared" si="351"/>
        <v>372</v>
      </c>
      <c r="P517" s="169">
        <f t="shared" si="352"/>
        <v>546</v>
      </c>
      <c r="Q517" s="169">
        <f t="shared" si="353"/>
        <v>252</v>
      </c>
      <c r="R517" s="169">
        <f t="shared" si="354"/>
        <v>602</v>
      </c>
      <c r="S517" s="584">
        <f t="shared" si="359"/>
        <v>3120</v>
      </c>
      <c r="T517" s="594">
        <f t="shared" si="360"/>
        <v>1440</v>
      </c>
      <c r="U517" s="595">
        <f t="shared" si="361"/>
        <v>3440</v>
      </c>
      <c r="V517" s="166">
        <f t="shared" si="362"/>
        <v>9453</v>
      </c>
      <c r="W517" s="167">
        <f t="shared" si="363"/>
        <v>4363</v>
      </c>
      <c r="X517" s="168">
        <f t="shared" si="364"/>
        <v>10411</v>
      </c>
      <c r="Y517" s="166">
        <f t="shared" si="365"/>
        <v>10545</v>
      </c>
      <c r="Z517" s="167">
        <f t="shared" si="366"/>
        <v>4615</v>
      </c>
      <c r="AA517" s="168">
        <f t="shared" si="367"/>
        <v>11615</v>
      </c>
      <c r="AB517" s="166">
        <f t="shared" si="368"/>
        <v>11091</v>
      </c>
      <c r="AC517" s="167">
        <f t="shared" si="369"/>
        <v>4867</v>
      </c>
      <c r="AD517" s="168">
        <f t="shared" si="370"/>
        <v>11615</v>
      </c>
      <c r="AE517" s="166">
        <f t="shared" si="371"/>
        <v>11091</v>
      </c>
      <c r="AF517" s="167">
        <f t="shared" si="372"/>
        <v>5119</v>
      </c>
      <c r="AG517" s="168">
        <f t="shared" si="373"/>
        <v>12217</v>
      </c>
      <c r="AH517" s="166">
        <f t="shared" si="374"/>
        <v>11637</v>
      </c>
      <c r="AI517" s="167">
        <f t="shared" si="375"/>
        <v>5371</v>
      </c>
      <c r="AJ517" s="168">
        <f t="shared" si="376"/>
        <v>12819</v>
      </c>
      <c r="AK517" s="169">
        <f t="shared" si="377"/>
        <v>12729</v>
      </c>
      <c r="AL517" s="167">
        <f t="shared" si="378"/>
        <v>5875</v>
      </c>
      <c r="AM517" s="585">
        <f t="shared" si="379"/>
        <v>14035</v>
      </c>
      <c r="AN517" s="1133">
        <v>7.0000000000000007E-2</v>
      </c>
      <c r="AO517" s="1134">
        <v>7.4999999999999997E-2</v>
      </c>
      <c r="AP517" s="1134">
        <v>0.08</v>
      </c>
      <c r="AQ517" s="1135">
        <v>8.5000000000000006E-2</v>
      </c>
      <c r="AR517" s="1132">
        <v>0.09</v>
      </c>
      <c r="AS517" s="1136"/>
      <c r="AT517" s="1137"/>
      <c r="AU517" s="1137"/>
      <c r="AV517" s="1137"/>
      <c r="AW517" s="1138"/>
      <c r="AX517" s="1133">
        <v>6.4000000000000001E-2</v>
      </c>
      <c r="AY517" s="1135">
        <v>6.7000000000000004E-2</v>
      </c>
      <c r="AZ517" s="1135">
        <v>7.0000000000000007E-2</v>
      </c>
      <c r="BA517" s="1135">
        <v>7.3999999999999996E-2</v>
      </c>
      <c r="BB517" s="1135">
        <v>7.6999999999999999E-2</v>
      </c>
      <c r="BC517" s="1135">
        <v>0.08</v>
      </c>
      <c r="BD517" s="1132">
        <v>8.4000000000000005E-2</v>
      </c>
      <c r="BE517" s="596">
        <v>3.2000000000000001E-2</v>
      </c>
      <c r="BF517" s="598">
        <v>3.3500000000000002E-2</v>
      </c>
      <c r="BG517" s="598">
        <v>3.5000000000000003E-2</v>
      </c>
      <c r="BH517" s="598">
        <v>3.6999999999999998E-2</v>
      </c>
      <c r="BI517" s="598">
        <v>3.85E-2</v>
      </c>
      <c r="BJ517" s="598">
        <v>0.04</v>
      </c>
      <c r="BK517" s="605">
        <v>4.2000000000000003E-2</v>
      </c>
      <c r="BL517" s="658">
        <f t="shared" si="355"/>
        <v>32000</v>
      </c>
      <c r="BM517" s="3">
        <f t="shared" si="356"/>
        <v>39</v>
      </c>
      <c r="BN517" s="3">
        <f t="shared" si="357"/>
        <v>18</v>
      </c>
      <c r="BO517" s="3">
        <f t="shared" si="358"/>
        <v>43</v>
      </c>
    </row>
    <row r="518" spans="2:67">
      <c r="B518" s="606" t="s">
        <v>4289</v>
      </c>
      <c r="C518" s="607" t="s">
        <v>310</v>
      </c>
      <c r="D518" s="607" t="s">
        <v>4284</v>
      </c>
      <c r="E518" s="238" t="s">
        <v>1150</v>
      </c>
      <c r="F518" s="608">
        <v>515</v>
      </c>
      <c r="G518" s="609">
        <v>5683</v>
      </c>
      <c r="H518" s="610">
        <v>7840</v>
      </c>
      <c r="I518" s="611">
        <v>6074</v>
      </c>
      <c r="J518" s="166">
        <f t="shared" si="346"/>
        <v>113</v>
      </c>
      <c r="K518" s="167">
        <f t="shared" si="347"/>
        <v>156</v>
      </c>
      <c r="L518" s="168">
        <f t="shared" si="348"/>
        <v>121</v>
      </c>
      <c r="M518" s="166">
        <f t="shared" si="349"/>
        <v>170</v>
      </c>
      <c r="N518" s="167">
        <f t="shared" si="350"/>
        <v>235</v>
      </c>
      <c r="O518" s="168">
        <f t="shared" si="351"/>
        <v>182</v>
      </c>
      <c r="P518" s="169">
        <f t="shared" si="352"/>
        <v>227</v>
      </c>
      <c r="Q518" s="169">
        <f t="shared" si="353"/>
        <v>313</v>
      </c>
      <c r="R518" s="169">
        <f t="shared" si="354"/>
        <v>243</v>
      </c>
      <c r="S518" s="584">
        <f t="shared" si="359"/>
        <v>1705</v>
      </c>
      <c r="T518" s="594">
        <f t="shared" si="360"/>
        <v>2352</v>
      </c>
      <c r="U518" s="595">
        <f t="shared" si="361"/>
        <v>1822</v>
      </c>
      <c r="V518" s="166">
        <f t="shared" si="362"/>
        <v>3518</v>
      </c>
      <c r="W518" s="167">
        <f t="shared" si="363"/>
        <v>4858</v>
      </c>
      <c r="X518" s="168">
        <f t="shared" si="364"/>
        <v>3763</v>
      </c>
      <c r="Y518" s="166">
        <f t="shared" si="365"/>
        <v>3972</v>
      </c>
      <c r="Z518" s="167">
        <f t="shared" si="366"/>
        <v>5484</v>
      </c>
      <c r="AA518" s="168">
        <f t="shared" si="367"/>
        <v>4249</v>
      </c>
      <c r="AB518" s="166">
        <f t="shared" si="368"/>
        <v>4426</v>
      </c>
      <c r="AC518" s="167">
        <f t="shared" si="369"/>
        <v>6110</v>
      </c>
      <c r="AD518" s="168">
        <f t="shared" si="370"/>
        <v>4735</v>
      </c>
      <c r="AE518" s="166">
        <f t="shared" si="371"/>
        <v>4880</v>
      </c>
      <c r="AF518" s="167">
        <f t="shared" si="372"/>
        <v>6423</v>
      </c>
      <c r="AG518" s="168">
        <f t="shared" si="373"/>
        <v>5221</v>
      </c>
      <c r="AH518" s="166">
        <f t="shared" si="374"/>
        <v>5561</v>
      </c>
      <c r="AI518" s="167">
        <f t="shared" si="375"/>
        <v>7049</v>
      </c>
      <c r="AJ518" s="168">
        <f t="shared" si="376"/>
        <v>5464</v>
      </c>
      <c r="AK518" s="169">
        <f t="shared" si="377"/>
        <v>5796</v>
      </c>
      <c r="AL518" s="167">
        <f t="shared" si="378"/>
        <v>7996</v>
      </c>
      <c r="AM518" s="585">
        <f t="shared" si="379"/>
        <v>6195</v>
      </c>
      <c r="AN518" s="614">
        <v>0.17</v>
      </c>
      <c r="AO518" s="615">
        <v>0.2</v>
      </c>
      <c r="AP518" s="615">
        <v>0.23</v>
      </c>
      <c r="AQ518" s="616">
        <v>0.26</v>
      </c>
      <c r="AR518" s="612">
        <v>0.28999999999999998</v>
      </c>
      <c r="AS518" s="617"/>
      <c r="AT518" s="618"/>
      <c r="AU518" s="618"/>
      <c r="AV518" s="618"/>
      <c r="AW518" s="619"/>
      <c r="AX518" s="614">
        <v>0.01</v>
      </c>
      <c r="AY518" s="616">
        <v>1.2999999999999999E-2</v>
      </c>
      <c r="AZ518" s="616">
        <v>1.6E-2</v>
      </c>
      <c r="BA518" s="616">
        <v>1.9E-2</v>
      </c>
      <c r="BB518" s="616">
        <v>2.1999999999999999E-2</v>
      </c>
      <c r="BC518" s="616"/>
      <c r="BD518" s="612"/>
      <c r="BE518" s="596"/>
      <c r="BF518" s="598"/>
      <c r="BG518" s="598"/>
      <c r="BH518" s="598"/>
      <c r="BI518" s="598"/>
      <c r="BJ518" s="598"/>
      <c r="BK518" s="605"/>
      <c r="BL518" s="658">
        <f t="shared" si="355"/>
        <v>19600</v>
      </c>
      <c r="BM518" s="3">
        <f t="shared" si="356"/>
        <v>29</v>
      </c>
      <c r="BN518" s="3">
        <f t="shared" si="357"/>
        <v>40</v>
      </c>
      <c r="BO518" s="3">
        <f t="shared" si="358"/>
        <v>31</v>
      </c>
    </row>
    <row r="519" spans="2:67">
      <c r="B519" s="1271" t="s">
        <v>4317</v>
      </c>
      <c r="C519" s="1069" t="s">
        <v>309</v>
      </c>
      <c r="D519" s="1069" t="s">
        <v>4293</v>
      </c>
      <c r="E519" s="238" t="s">
        <v>1150</v>
      </c>
      <c r="F519" s="592">
        <v>516</v>
      </c>
      <c r="G519" s="1071">
        <v>8960</v>
      </c>
      <c r="H519" s="1072">
        <v>13120</v>
      </c>
      <c r="I519" s="1073">
        <v>9920</v>
      </c>
      <c r="J519" s="166">
        <f t="shared" ref="J519:J582" si="380">INT(G519/50+0.05)</f>
        <v>179</v>
      </c>
      <c r="K519" s="167">
        <f t="shared" ref="K519:K582" si="381">INT(H519/50+0.05)</f>
        <v>262</v>
      </c>
      <c r="L519" s="168">
        <f t="shared" ref="L519:L582" si="382">INT(I519/50+0.05)</f>
        <v>198</v>
      </c>
      <c r="M519" s="166">
        <f t="shared" ref="M519:M582" si="383">INT(IF($C519="UR",IF($E519="party卡",G519*0.0270833333333333,G519*0.025),0)+IF($C519="SR",G519*0.03,0)+IF($C519="R",G519*0.0375,0)+0.05)</f>
        <v>224</v>
      </c>
      <c r="N519" s="167">
        <f t="shared" ref="N519:N582" si="384">INT(IF($C519="UR",IF($E519="party卡",H519*0.0270833333333333,H519*0.025),0)+IF($C519="SR",H519*0.03,0)+IF($C519="R",H519*0.0375,0)+0.05)</f>
        <v>328</v>
      </c>
      <c r="O519" s="168">
        <f t="shared" ref="O519:O582" si="385">INT(IF($C519="UR",IF($E519="party卡",I519*0.0270833333333333,I519*0.025),0)+IF($C519="SR",I519*0.03,0)+IF($C519="R",I519*0.0375,0)+0.05)</f>
        <v>248</v>
      </c>
      <c r="P519" s="169">
        <f t="shared" ref="P519:P582" si="386">INT(IF($C519="UR",IF($E519="party卡",G519*0.04375,G519*0.0375),0)+IF($C519="SR",G519*0.04,0)+IF($C519="R",G519*0.05,0)+0.05)</f>
        <v>336</v>
      </c>
      <c r="Q519" s="169">
        <f t="shared" ref="Q519:Q582" si="387">INT(IF($C519="UR",IF($E519="party卡",H519*0.04375,H519*0.0375),0)+IF($C519="SR",H519*0.04,0)+IF($C519="R",H519*0.05,0)+0.05)</f>
        <v>492</v>
      </c>
      <c r="R519" s="169">
        <f t="shared" ref="R519:R582" si="388">INT(IF($C519="UR",IF($E519="party卡",I519*0.04375,I519*0.0375),0)+IF($C519="SR",I519*0.04,0)+IF($C519="R",I519*0.05,0)+0.05)</f>
        <v>372</v>
      </c>
      <c r="S519" s="584">
        <f t="shared" si="359"/>
        <v>2240</v>
      </c>
      <c r="T519" s="594">
        <f t="shared" si="360"/>
        <v>3280</v>
      </c>
      <c r="U519" s="595">
        <f t="shared" si="361"/>
        <v>2480</v>
      </c>
      <c r="V519" s="166">
        <f t="shared" si="362"/>
        <v>5107</v>
      </c>
      <c r="W519" s="167">
        <f t="shared" si="363"/>
        <v>7478</v>
      </c>
      <c r="X519" s="168">
        <f t="shared" si="364"/>
        <v>5654</v>
      </c>
      <c r="Y519" s="166">
        <f t="shared" si="365"/>
        <v>6115</v>
      </c>
      <c r="Z519" s="167">
        <f t="shared" si="366"/>
        <v>8462</v>
      </c>
      <c r="AA519" s="168">
        <f t="shared" si="367"/>
        <v>6026</v>
      </c>
      <c r="AB519" s="166">
        <f t="shared" si="368"/>
        <v>6451</v>
      </c>
      <c r="AC519" s="167">
        <f t="shared" si="369"/>
        <v>9938</v>
      </c>
      <c r="AD519" s="168">
        <f t="shared" si="370"/>
        <v>7142</v>
      </c>
      <c r="AE519" s="166">
        <f t="shared" si="371"/>
        <v>7123</v>
      </c>
      <c r="AF519" s="167">
        <f t="shared" si="372"/>
        <v>10922</v>
      </c>
      <c r="AG519" s="168">
        <f t="shared" si="373"/>
        <v>8630</v>
      </c>
      <c r="AH519" s="166">
        <f t="shared" si="374"/>
        <v>8467</v>
      </c>
      <c r="AI519" s="167">
        <f t="shared" si="375"/>
        <v>11906</v>
      </c>
      <c r="AJ519" s="168">
        <f t="shared" si="376"/>
        <v>9374</v>
      </c>
      <c r="AK519" s="169">
        <f t="shared" si="377"/>
        <v>9139</v>
      </c>
      <c r="AL519" s="167">
        <f t="shared" si="378"/>
        <v>13382</v>
      </c>
      <c r="AM519" s="585">
        <f t="shared" si="379"/>
        <v>10118</v>
      </c>
      <c r="AN519" s="1133">
        <v>0.2</v>
      </c>
      <c r="AO519" s="1134">
        <v>0.23</v>
      </c>
      <c r="AP519" s="1134">
        <v>0.26</v>
      </c>
      <c r="AQ519" s="1135">
        <v>0.28999999999999998</v>
      </c>
      <c r="AR519" s="1132">
        <v>0.32</v>
      </c>
      <c r="AS519" s="1136"/>
      <c r="AT519" s="1137"/>
      <c r="AU519" s="1137"/>
      <c r="AV519" s="1137"/>
      <c r="AW519" s="1138"/>
      <c r="AX519" s="1133">
        <v>0.04</v>
      </c>
      <c r="AY519" s="1135">
        <v>4.2999999999999997E-2</v>
      </c>
      <c r="AZ519" s="1135">
        <v>4.5999999999999999E-2</v>
      </c>
      <c r="BA519" s="1135">
        <v>4.9000000000000002E-2</v>
      </c>
      <c r="BB519" s="1135">
        <v>5.1999999999999998E-2</v>
      </c>
      <c r="BC519" s="1135"/>
      <c r="BD519" s="1132"/>
      <c r="BE519" s="596"/>
      <c r="BF519" s="598"/>
      <c r="BG519" s="598"/>
      <c r="BH519" s="598"/>
      <c r="BI519" s="598"/>
      <c r="BJ519" s="598"/>
      <c r="BK519" s="605"/>
      <c r="BL519" s="658">
        <f t="shared" ref="BL519:BL582" si="389">ROUND(($G519+$H519+$I519)/50,0)*50</f>
        <v>32000</v>
      </c>
      <c r="BM519" s="3">
        <f t="shared" ref="BM519:BM582" si="390">ROUND(100*G519/($G519+$H519+$I519),0)</f>
        <v>28</v>
      </c>
      <c r="BN519" s="3">
        <f t="shared" ref="BN519:BN582" si="391">ROUND(100*H519/($G519+$H519+$I519),0)</f>
        <v>41</v>
      </c>
      <c r="BO519" s="3">
        <f t="shared" ref="BO519:BO582" si="392">ROUND(100*I519/($G519+$H519+$I519),0)</f>
        <v>31</v>
      </c>
    </row>
    <row r="520" spans="2:67">
      <c r="B520" s="606" t="s">
        <v>4298</v>
      </c>
      <c r="C520" s="607" t="s">
        <v>310</v>
      </c>
      <c r="D520" s="607" t="s">
        <v>4299</v>
      </c>
      <c r="E520" s="238" t="s">
        <v>1150</v>
      </c>
      <c r="F520" s="608">
        <v>517</v>
      </c>
      <c r="G520" s="609">
        <v>6860</v>
      </c>
      <c r="H520" s="610">
        <v>5683</v>
      </c>
      <c r="I520" s="611">
        <v>7054</v>
      </c>
      <c r="J520" s="166">
        <f t="shared" si="380"/>
        <v>137</v>
      </c>
      <c r="K520" s="167">
        <f t="shared" si="381"/>
        <v>113</v>
      </c>
      <c r="L520" s="168">
        <f t="shared" si="382"/>
        <v>141</v>
      </c>
      <c r="M520" s="166">
        <f t="shared" si="383"/>
        <v>205</v>
      </c>
      <c r="N520" s="167">
        <f t="shared" si="384"/>
        <v>170</v>
      </c>
      <c r="O520" s="168">
        <f t="shared" si="385"/>
        <v>211</v>
      </c>
      <c r="P520" s="169">
        <f t="shared" si="386"/>
        <v>274</v>
      </c>
      <c r="Q520" s="169">
        <f t="shared" si="387"/>
        <v>227</v>
      </c>
      <c r="R520" s="169">
        <f t="shared" si="388"/>
        <v>282</v>
      </c>
      <c r="S520" s="584">
        <f t="shared" si="359"/>
        <v>2058</v>
      </c>
      <c r="T520" s="594">
        <f t="shared" si="360"/>
        <v>1705</v>
      </c>
      <c r="U520" s="595">
        <f t="shared" si="361"/>
        <v>2116</v>
      </c>
      <c r="V520" s="166">
        <f t="shared" si="362"/>
        <v>4245</v>
      </c>
      <c r="W520" s="167">
        <f t="shared" si="363"/>
        <v>3518</v>
      </c>
      <c r="X520" s="168">
        <f t="shared" si="364"/>
        <v>4367</v>
      </c>
      <c r="Y520" s="166">
        <f t="shared" si="365"/>
        <v>4793</v>
      </c>
      <c r="Z520" s="167">
        <f t="shared" si="366"/>
        <v>3972</v>
      </c>
      <c r="AA520" s="168">
        <f t="shared" si="367"/>
        <v>4931</v>
      </c>
      <c r="AB520" s="166">
        <f t="shared" si="368"/>
        <v>5341</v>
      </c>
      <c r="AC520" s="167">
        <f t="shared" si="369"/>
        <v>4426</v>
      </c>
      <c r="AD520" s="168">
        <f t="shared" si="370"/>
        <v>5495</v>
      </c>
      <c r="AE520" s="166">
        <f t="shared" si="371"/>
        <v>5889</v>
      </c>
      <c r="AF520" s="167">
        <f t="shared" si="372"/>
        <v>4880</v>
      </c>
      <c r="AG520" s="168">
        <f t="shared" si="373"/>
        <v>5777</v>
      </c>
      <c r="AH520" s="166">
        <f t="shared" si="374"/>
        <v>6163</v>
      </c>
      <c r="AI520" s="167">
        <f t="shared" si="375"/>
        <v>5561</v>
      </c>
      <c r="AJ520" s="168">
        <f t="shared" si="376"/>
        <v>6341</v>
      </c>
      <c r="AK520" s="169">
        <f t="shared" si="377"/>
        <v>6997</v>
      </c>
      <c r="AL520" s="167">
        <f t="shared" si="378"/>
        <v>5796</v>
      </c>
      <c r="AM520" s="585">
        <f t="shared" si="379"/>
        <v>7195</v>
      </c>
      <c r="AN520" s="614">
        <v>0.1</v>
      </c>
      <c r="AO520" s="615">
        <v>0.10299999999999999</v>
      </c>
      <c r="AP520" s="615">
        <v>0.106</v>
      </c>
      <c r="AQ520" s="616">
        <v>0.109</v>
      </c>
      <c r="AR520" s="612">
        <v>0.112</v>
      </c>
      <c r="AS520" s="617"/>
      <c r="AT520" s="618"/>
      <c r="AU520" s="618"/>
      <c r="AV520" s="618"/>
      <c r="AW520" s="619"/>
      <c r="AX520" s="614">
        <v>0.02</v>
      </c>
      <c r="AY520" s="616">
        <v>2.3E-2</v>
      </c>
      <c r="AZ520" s="616">
        <v>2.5999999999999999E-2</v>
      </c>
      <c r="BA520" s="616">
        <v>2.9000000000000001E-2</v>
      </c>
      <c r="BB520" s="616">
        <v>3.2000000000000001E-2</v>
      </c>
      <c r="BC520" s="616"/>
      <c r="BD520" s="612"/>
      <c r="BE520" s="596"/>
      <c r="BF520" s="598"/>
      <c r="BG520" s="598"/>
      <c r="BH520" s="598"/>
      <c r="BI520" s="598"/>
      <c r="BJ520" s="598"/>
      <c r="BK520" s="605"/>
      <c r="BL520" s="658">
        <f t="shared" si="389"/>
        <v>19600</v>
      </c>
      <c r="BM520" s="3">
        <f t="shared" si="390"/>
        <v>35</v>
      </c>
      <c r="BN520" s="3">
        <f t="shared" si="391"/>
        <v>29</v>
      </c>
      <c r="BO520" s="3">
        <f t="shared" si="392"/>
        <v>36</v>
      </c>
    </row>
    <row r="521" spans="2:67">
      <c r="B521" s="1271" t="s">
        <v>4318</v>
      </c>
      <c r="C521" s="1069" t="s">
        <v>309</v>
      </c>
      <c r="D521" s="1069" t="s">
        <v>4304</v>
      </c>
      <c r="E521" s="1268" t="s">
        <v>1150</v>
      </c>
      <c r="F521" s="1270">
        <v>518</v>
      </c>
      <c r="G521" s="1071">
        <v>11520</v>
      </c>
      <c r="H521" s="1072">
        <v>7360</v>
      </c>
      <c r="I521" s="1073">
        <v>13120</v>
      </c>
      <c r="J521" s="166">
        <f t="shared" si="380"/>
        <v>230</v>
      </c>
      <c r="K521" s="167">
        <f t="shared" si="381"/>
        <v>147</v>
      </c>
      <c r="L521" s="168">
        <f t="shared" si="382"/>
        <v>262</v>
      </c>
      <c r="M521" s="166">
        <f t="shared" si="383"/>
        <v>288</v>
      </c>
      <c r="N521" s="167">
        <f t="shared" si="384"/>
        <v>184</v>
      </c>
      <c r="O521" s="168">
        <f t="shared" si="385"/>
        <v>328</v>
      </c>
      <c r="P521" s="169">
        <f t="shared" si="386"/>
        <v>432</v>
      </c>
      <c r="Q521" s="169">
        <f t="shared" si="387"/>
        <v>276</v>
      </c>
      <c r="R521" s="169">
        <f t="shared" si="388"/>
        <v>492</v>
      </c>
      <c r="S521" s="584">
        <f t="shared" si="359"/>
        <v>2880</v>
      </c>
      <c r="T521" s="594">
        <f t="shared" si="360"/>
        <v>1840</v>
      </c>
      <c r="U521" s="595">
        <f t="shared" si="361"/>
        <v>3280</v>
      </c>
      <c r="V521" s="166">
        <f t="shared" si="362"/>
        <v>6566</v>
      </c>
      <c r="W521" s="167">
        <f t="shared" si="363"/>
        <v>4195</v>
      </c>
      <c r="X521" s="168">
        <f t="shared" si="364"/>
        <v>7478</v>
      </c>
      <c r="Y521" s="166">
        <f t="shared" si="365"/>
        <v>6998</v>
      </c>
      <c r="Z521" s="167">
        <f t="shared" si="366"/>
        <v>4747</v>
      </c>
      <c r="AA521" s="168">
        <f t="shared" si="367"/>
        <v>8954</v>
      </c>
      <c r="AB521" s="166">
        <f t="shared" si="368"/>
        <v>8294</v>
      </c>
      <c r="AC521" s="167">
        <f t="shared" si="369"/>
        <v>5575</v>
      </c>
      <c r="AD521" s="168">
        <f t="shared" si="370"/>
        <v>9446</v>
      </c>
      <c r="AE521" s="166">
        <f t="shared" si="371"/>
        <v>10022</v>
      </c>
      <c r="AF521" s="167">
        <f t="shared" si="372"/>
        <v>6127</v>
      </c>
      <c r="AG521" s="168">
        <f t="shared" si="373"/>
        <v>10430</v>
      </c>
      <c r="AH521" s="166">
        <f t="shared" si="374"/>
        <v>10886</v>
      </c>
      <c r="AI521" s="167">
        <f t="shared" si="375"/>
        <v>6679</v>
      </c>
      <c r="AJ521" s="168">
        <f t="shared" si="376"/>
        <v>12398</v>
      </c>
      <c r="AK521" s="169">
        <f t="shared" si="377"/>
        <v>11750</v>
      </c>
      <c r="AL521" s="167">
        <f t="shared" si="378"/>
        <v>7507</v>
      </c>
      <c r="AM521" s="585">
        <f t="shared" si="379"/>
        <v>13382</v>
      </c>
      <c r="AN521" s="1133">
        <v>0.11</v>
      </c>
      <c r="AO521" s="1134">
        <v>0.12</v>
      </c>
      <c r="AP521" s="1134">
        <v>0.13</v>
      </c>
      <c r="AQ521" s="1135">
        <v>0.14000000000000001</v>
      </c>
      <c r="AR521" s="1132">
        <v>0.15</v>
      </c>
      <c r="AS521" s="1136"/>
      <c r="AT521" s="1137"/>
      <c r="AU521" s="1137"/>
      <c r="AV521" s="1137"/>
      <c r="AW521" s="1138"/>
      <c r="AX521" s="1133">
        <v>0.05</v>
      </c>
      <c r="AY521" s="1135">
        <v>5.5E-2</v>
      </c>
      <c r="AZ521" s="1135">
        <v>0.06</v>
      </c>
      <c r="BA521" s="1135">
        <v>6.5000000000000002E-2</v>
      </c>
      <c r="BB521" s="1135">
        <v>7.0000000000000007E-2</v>
      </c>
      <c r="BC521" s="1135"/>
      <c r="BD521" s="1132"/>
      <c r="BE521" s="596"/>
      <c r="BF521" s="598"/>
      <c r="BG521" s="598"/>
      <c r="BH521" s="598"/>
      <c r="BI521" s="598"/>
      <c r="BJ521" s="598"/>
      <c r="BK521" s="605"/>
      <c r="BL521" s="658">
        <f t="shared" si="389"/>
        <v>32000</v>
      </c>
      <c r="BM521" s="3">
        <f t="shared" si="390"/>
        <v>36</v>
      </c>
      <c r="BN521" s="3">
        <f t="shared" si="391"/>
        <v>23</v>
      </c>
      <c r="BO521" s="3">
        <f t="shared" si="392"/>
        <v>41</v>
      </c>
    </row>
    <row r="522" spans="2:67">
      <c r="B522" s="1271" t="s">
        <v>4320</v>
      </c>
      <c r="C522" s="1069" t="s">
        <v>309</v>
      </c>
      <c r="D522" s="1069" t="s">
        <v>4304</v>
      </c>
      <c r="E522" s="238" t="s">
        <v>125</v>
      </c>
      <c r="F522" s="1070">
        <v>519</v>
      </c>
      <c r="G522" s="1071">
        <v>5129</v>
      </c>
      <c r="H522" s="1072">
        <v>9449</v>
      </c>
      <c r="I522" s="1073">
        <v>12420</v>
      </c>
      <c r="J522" s="166">
        <f t="shared" si="380"/>
        <v>102</v>
      </c>
      <c r="K522" s="167">
        <f t="shared" si="381"/>
        <v>189</v>
      </c>
      <c r="L522" s="168">
        <f t="shared" si="382"/>
        <v>248</v>
      </c>
      <c r="M522" s="166">
        <f t="shared" si="383"/>
        <v>128</v>
      </c>
      <c r="N522" s="167">
        <f t="shared" si="384"/>
        <v>236</v>
      </c>
      <c r="O522" s="168">
        <f t="shared" si="385"/>
        <v>310</v>
      </c>
      <c r="P522" s="169">
        <f t="shared" si="386"/>
        <v>192</v>
      </c>
      <c r="Q522" s="169">
        <f t="shared" si="387"/>
        <v>354</v>
      </c>
      <c r="R522" s="169">
        <f t="shared" si="388"/>
        <v>465</v>
      </c>
      <c r="S522" s="584">
        <f t="shared" si="359"/>
        <v>1282</v>
      </c>
      <c r="T522" s="594">
        <f t="shared" si="360"/>
        <v>2362</v>
      </c>
      <c r="U522" s="595">
        <f t="shared" si="361"/>
        <v>3105</v>
      </c>
      <c r="V522" s="166">
        <f t="shared" si="362"/>
        <v>2920</v>
      </c>
      <c r="W522" s="167">
        <f t="shared" si="363"/>
        <v>5383</v>
      </c>
      <c r="X522" s="168">
        <f t="shared" si="364"/>
        <v>7073</v>
      </c>
      <c r="Y522" s="166">
        <f t="shared" si="365"/>
        <v>3112</v>
      </c>
      <c r="Z522" s="167">
        <f t="shared" si="366"/>
        <v>6091</v>
      </c>
      <c r="AA522" s="168">
        <f t="shared" si="367"/>
        <v>8468</v>
      </c>
      <c r="AB522" s="166">
        <f t="shared" si="368"/>
        <v>3688</v>
      </c>
      <c r="AC522" s="167">
        <f t="shared" si="369"/>
        <v>7153</v>
      </c>
      <c r="AD522" s="168">
        <f t="shared" si="370"/>
        <v>8933</v>
      </c>
      <c r="AE522" s="166">
        <f t="shared" si="371"/>
        <v>4456</v>
      </c>
      <c r="AF522" s="167">
        <f t="shared" si="372"/>
        <v>7861</v>
      </c>
      <c r="AG522" s="168">
        <f t="shared" si="373"/>
        <v>9863</v>
      </c>
      <c r="AH522" s="166">
        <f t="shared" si="374"/>
        <v>4840</v>
      </c>
      <c r="AI522" s="167">
        <f t="shared" si="375"/>
        <v>8569</v>
      </c>
      <c r="AJ522" s="168">
        <f t="shared" si="376"/>
        <v>11723</v>
      </c>
      <c r="AK522" s="169">
        <f t="shared" si="377"/>
        <v>5231</v>
      </c>
      <c r="AL522" s="167">
        <f t="shared" si="378"/>
        <v>9638</v>
      </c>
      <c r="AM522" s="585">
        <f t="shared" si="379"/>
        <v>12668</v>
      </c>
      <c r="AN522" s="1133">
        <v>0.2</v>
      </c>
      <c r="AO522" s="1134">
        <v>0.23</v>
      </c>
      <c r="AP522" s="1134">
        <v>0.26</v>
      </c>
      <c r="AQ522" s="1135">
        <v>0.28999999999999998</v>
      </c>
      <c r="AR522" s="1132">
        <v>0.32</v>
      </c>
      <c r="AS522" s="1136"/>
      <c r="AT522" s="1137"/>
      <c r="AU522" s="1137"/>
      <c r="AV522" s="1137"/>
      <c r="AW522" s="1138"/>
      <c r="AX522" s="596">
        <v>0.03</v>
      </c>
      <c r="AY522" s="598">
        <v>3.3000000000000002E-2</v>
      </c>
      <c r="AZ522" s="598">
        <v>3.5999999999999997E-2</v>
      </c>
      <c r="BA522" s="598">
        <v>3.9E-2</v>
      </c>
      <c r="BB522" s="598">
        <v>4.2000000000000003E-2</v>
      </c>
      <c r="BC522" s="1135"/>
      <c r="BD522" s="1132"/>
      <c r="BE522" s="596"/>
      <c r="BF522" s="598"/>
      <c r="BG522" s="598"/>
      <c r="BH522" s="598"/>
      <c r="BI522" s="598"/>
      <c r="BJ522" s="598"/>
      <c r="BK522" s="605"/>
      <c r="BL522" s="658">
        <f t="shared" si="389"/>
        <v>27000</v>
      </c>
      <c r="BM522" s="3">
        <f t="shared" si="390"/>
        <v>19</v>
      </c>
      <c r="BN522" s="3">
        <f t="shared" si="391"/>
        <v>35</v>
      </c>
      <c r="BO522" s="3">
        <f t="shared" si="392"/>
        <v>46</v>
      </c>
    </row>
    <row r="523" spans="2:67">
      <c r="B523" s="606" t="s">
        <v>4311</v>
      </c>
      <c r="C523" s="607" t="s">
        <v>310</v>
      </c>
      <c r="D523" s="607" t="s">
        <v>4293</v>
      </c>
      <c r="E523" s="238" t="s">
        <v>125</v>
      </c>
      <c r="F523" s="592">
        <v>520</v>
      </c>
      <c r="G523" s="609">
        <v>4647</v>
      </c>
      <c r="H523" s="610">
        <v>6804</v>
      </c>
      <c r="I523" s="611">
        <v>5144</v>
      </c>
      <c r="J523" s="166">
        <f t="shared" si="380"/>
        <v>92</v>
      </c>
      <c r="K523" s="167">
        <f t="shared" si="381"/>
        <v>136</v>
      </c>
      <c r="L523" s="168">
        <f t="shared" si="382"/>
        <v>102</v>
      </c>
      <c r="M523" s="166">
        <f t="shared" si="383"/>
        <v>139</v>
      </c>
      <c r="N523" s="167">
        <f t="shared" si="384"/>
        <v>204</v>
      </c>
      <c r="O523" s="168">
        <f t="shared" si="385"/>
        <v>154</v>
      </c>
      <c r="P523" s="169">
        <f t="shared" si="386"/>
        <v>185</v>
      </c>
      <c r="Q523" s="169">
        <f t="shared" si="387"/>
        <v>272</v>
      </c>
      <c r="R523" s="169">
        <f t="shared" si="388"/>
        <v>205</v>
      </c>
      <c r="S523" s="584">
        <f t="shared" si="359"/>
        <v>1394</v>
      </c>
      <c r="T523" s="594">
        <f t="shared" si="360"/>
        <v>2041</v>
      </c>
      <c r="U523" s="595">
        <f t="shared" si="361"/>
        <v>1543</v>
      </c>
      <c r="V523" s="166">
        <f t="shared" si="362"/>
        <v>2876</v>
      </c>
      <c r="W523" s="167">
        <f t="shared" si="363"/>
        <v>4217</v>
      </c>
      <c r="X523" s="168">
        <f t="shared" si="364"/>
        <v>3185</v>
      </c>
      <c r="Y523" s="166">
        <f t="shared" si="365"/>
        <v>3246</v>
      </c>
      <c r="Z523" s="167">
        <f t="shared" si="366"/>
        <v>4761</v>
      </c>
      <c r="AA523" s="168">
        <f t="shared" si="367"/>
        <v>3595</v>
      </c>
      <c r="AB523" s="166">
        <f t="shared" si="368"/>
        <v>3616</v>
      </c>
      <c r="AC523" s="167">
        <f t="shared" si="369"/>
        <v>5305</v>
      </c>
      <c r="AD523" s="168">
        <f t="shared" si="370"/>
        <v>4005</v>
      </c>
      <c r="AE523" s="166">
        <f t="shared" si="371"/>
        <v>3986</v>
      </c>
      <c r="AF523" s="167">
        <f t="shared" si="372"/>
        <v>5577</v>
      </c>
      <c r="AG523" s="168">
        <f t="shared" si="373"/>
        <v>4415</v>
      </c>
      <c r="AH523" s="166">
        <f t="shared" si="374"/>
        <v>4541</v>
      </c>
      <c r="AI523" s="167">
        <f t="shared" si="375"/>
        <v>6121</v>
      </c>
      <c r="AJ523" s="168">
        <f t="shared" si="376"/>
        <v>4620</v>
      </c>
      <c r="AK523" s="169">
        <f t="shared" si="377"/>
        <v>4739</v>
      </c>
      <c r="AL523" s="167">
        <f t="shared" si="378"/>
        <v>6940</v>
      </c>
      <c r="AM523" s="585">
        <f t="shared" si="379"/>
        <v>5246</v>
      </c>
      <c r="AN523" s="614">
        <v>0.08</v>
      </c>
      <c r="AO523" s="615">
        <v>0.11</v>
      </c>
      <c r="AP523" s="615">
        <v>0.14000000000000001</v>
      </c>
      <c r="AQ523" s="616">
        <v>0.17</v>
      </c>
      <c r="AR523" s="612">
        <v>0.2</v>
      </c>
      <c r="AS523" s="617"/>
      <c r="AT523" s="618"/>
      <c r="AU523" s="618"/>
      <c r="AV523" s="618"/>
      <c r="AW523" s="619"/>
      <c r="AX523" s="614">
        <v>0.02</v>
      </c>
      <c r="AY523" s="616">
        <v>2.3E-2</v>
      </c>
      <c r="AZ523" s="616">
        <v>2.5999999999999999E-2</v>
      </c>
      <c r="BA523" s="616">
        <v>2.9000000000000001E-2</v>
      </c>
      <c r="BB523" s="616">
        <v>3.2000000000000001E-2</v>
      </c>
      <c r="BC523" s="616"/>
      <c r="BD523" s="612"/>
      <c r="BE523" s="596"/>
      <c r="BF523" s="598"/>
      <c r="BG523" s="598"/>
      <c r="BH523" s="598"/>
      <c r="BI523" s="598"/>
      <c r="BJ523" s="598"/>
      <c r="BK523" s="605"/>
      <c r="BL523" s="658">
        <f t="shared" si="389"/>
        <v>16600</v>
      </c>
      <c r="BM523" s="3">
        <f t="shared" si="390"/>
        <v>28</v>
      </c>
      <c r="BN523" s="3">
        <f t="shared" si="391"/>
        <v>41</v>
      </c>
      <c r="BO523" s="3">
        <f t="shared" si="392"/>
        <v>31</v>
      </c>
    </row>
    <row r="524" spans="2:67">
      <c r="B524" s="606" t="s">
        <v>4313</v>
      </c>
      <c r="C524" s="607" t="s">
        <v>310</v>
      </c>
      <c r="D524" s="607" t="s">
        <v>4304</v>
      </c>
      <c r="E524" s="613" t="s">
        <v>125</v>
      </c>
      <c r="F524" s="608">
        <v>521</v>
      </c>
      <c r="G524" s="609">
        <v>6140</v>
      </c>
      <c r="H524" s="610">
        <v>3650</v>
      </c>
      <c r="I524" s="611">
        <v>6804</v>
      </c>
      <c r="J524" s="166">
        <f t="shared" si="380"/>
        <v>122</v>
      </c>
      <c r="K524" s="167">
        <f t="shared" si="381"/>
        <v>73</v>
      </c>
      <c r="L524" s="168">
        <f t="shared" si="382"/>
        <v>136</v>
      </c>
      <c r="M524" s="166">
        <f t="shared" si="383"/>
        <v>184</v>
      </c>
      <c r="N524" s="167">
        <f t="shared" si="384"/>
        <v>109</v>
      </c>
      <c r="O524" s="168">
        <f t="shared" si="385"/>
        <v>204</v>
      </c>
      <c r="P524" s="169">
        <f t="shared" si="386"/>
        <v>245</v>
      </c>
      <c r="Q524" s="169">
        <f t="shared" si="387"/>
        <v>146</v>
      </c>
      <c r="R524" s="169">
        <f t="shared" si="388"/>
        <v>272</v>
      </c>
      <c r="S524" s="584">
        <f t="shared" si="359"/>
        <v>1842</v>
      </c>
      <c r="T524" s="594">
        <f t="shared" si="360"/>
        <v>1095</v>
      </c>
      <c r="U524" s="595">
        <f t="shared" si="361"/>
        <v>2041</v>
      </c>
      <c r="V524" s="166">
        <f t="shared" si="362"/>
        <v>3804</v>
      </c>
      <c r="W524" s="167">
        <f t="shared" si="363"/>
        <v>2258</v>
      </c>
      <c r="X524" s="168">
        <f t="shared" si="364"/>
        <v>4217</v>
      </c>
      <c r="Y524" s="166">
        <f t="shared" si="365"/>
        <v>4294</v>
      </c>
      <c r="Z524" s="167">
        <f t="shared" si="366"/>
        <v>2550</v>
      </c>
      <c r="AA524" s="168">
        <f t="shared" si="367"/>
        <v>4761</v>
      </c>
      <c r="AB524" s="166">
        <f t="shared" si="368"/>
        <v>4784</v>
      </c>
      <c r="AC524" s="167">
        <f t="shared" si="369"/>
        <v>2842</v>
      </c>
      <c r="AD524" s="168">
        <f t="shared" si="370"/>
        <v>5305</v>
      </c>
      <c r="AE524" s="166">
        <f t="shared" si="371"/>
        <v>5274</v>
      </c>
      <c r="AF524" s="167">
        <f t="shared" si="372"/>
        <v>2988</v>
      </c>
      <c r="AG524" s="168">
        <f t="shared" si="373"/>
        <v>5849</v>
      </c>
      <c r="AH524" s="166">
        <f t="shared" si="374"/>
        <v>5519</v>
      </c>
      <c r="AI524" s="167">
        <f t="shared" si="375"/>
        <v>3280</v>
      </c>
      <c r="AJ524" s="168">
        <f t="shared" si="376"/>
        <v>6665</v>
      </c>
      <c r="AK524" s="169">
        <f t="shared" si="377"/>
        <v>6262</v>
      </c>
      <c r="AL524" s="167">
        <f t="shared" si="378"/>
        <v>3723</v>
      </c>
      <c r="AM524" s="585">
        <f t="shared" si="379"/>
        <v>6940</v>
      </c>
      <c r="AN524" s="614">
        <v>0.08</v>
      </c>
      <c r="AO524" s="615">
        <v>8.5000000000000006E-2</v>
      </c>
      <c r="AP524" s="615">
        <v>0.09</v>
      </c>
      <c r="AQ524" s="616">
        <v>9.5000000000000001E-2</v>
      </c>
      <c r="AR524" s="612">
        <v>0.1</v>
      </c>
      <c r="AS524" s="617"/>
      <c r="AT524" s="618"/>
      <c r="AU524" s="618"/>
      <c r="AV524" s="618"/>
      <c r="AW524" s="619"/>
      <c r="AX524" s="614">
        <v>0.02</v>
      </c>
      <c r="AY524" s="616">
        <v>2.3E-2</v>
      </c>
      <c r="AZ524" s="616">
        <v>2.5999999999999999E-2</v>
      </c>
      <c r="BA524" s="616">
        <v>2.9000000000000001E-2</v>
      </c>
      <c r="BB524" s="616">
        <v>3.2000000000000001E-2</v>
      </c>
      <c r="BC524" s="616"/>
      <c r="BD524" s="612"/>
      <c r="BE524" s="596"/>
      <c r="BF524" s="598"/>
      <c r="BG524" s="598"/>
      <c r="BH524" s="598"/>
      <c r="BI524" s="598"/>
      <c r="BJ524" s="598"/>
      <c r="BK524" s="605"/>
      <c r="BL524" s="658">
        <f t="shared" si="389"/>
        <v>16600</v>
      </c>
      <c r="BM524" s="3">
        <f t="shared" si="390"/>
        <v>37</v>
      </c>
      <c r="BN524" s="3">
        <f t="shared" si="391"/>
        <v>22</v>
      </c>
      <c r="BO524" s="3">
        <f t="shared" si="392"/>
        <v>41</v>
      </c>
    </row>
    <row r="525" spans="2:67">
      <c r="B525" s="1271" t="s">
        <v>4335</v>
      </c>
      <c r="C525" s="1069" t="s">
        <v>309</v>
      </c>
      <c r="D525" s="1069" t="s">
        <v>4339</v>
      </c>
      <c r="E525" s="1268" t="s">
        <v>939</v>
      </c>
      <c r="F525" s="592">
        <v>522</v>
      </c>
      <c r="G525" s="1071">
        <v>14400</v>
      </c>
      <c r="H525" s="1072">
        <v>6080</v>
      </c>
      <c r="I525" s="1073">
        <v>11520</v>
      </c>
      <c r="J525" s="166">
        <f t="shared" si="380"/>
        <v>288</v>
      </c>
      <c r="K525" s="167">
        <f t="shared" si="381"/>
        <v>121</v>
      </c>
      <c r="L525" s="168">
        <f t="shared" si="382"/>
        <v>230</v>
      </c>
      <c r="M525" s="166">
        <f t="shared" si="383"/>
        <v>360</v>
      </c>
      <c r="N525" s="167">
        <f t="shared" si="384"/>
        <v>152</v>
      </c>
      <c r="O525" s="168">
        <f t="shared" si="385"/>
        <v>288</v>
      </c>
      <c r="P525" s="169">
        <f t="shared" si="386"/>
        <v>540</v>
      </c>
      <c r="Q525" s="169">
        <f t="shared" si="387"/>
        <v>228</v>
      </c>
      <c r="R525" s="169">
        <f t="shared" si="388"/>
        <v>432</v>
      </c>
      <c r="S525" s="584">
        <f t="shared" si="359"/>
        <v>3600</v>
      </c>
      <c r="T525" s="594">
        <f t="shared" si="360"/>
        <v>1520</v>
      </c>
      <c r="U525" s="595">
        <f t="shared" si="361"/>
        <v>2880</v>
      </c>
      <c r="V525" s="166">
        <f t="shared" si="362"/>
        <v>8208</v>
      </c>
      <c r="W525" s="167">
        <f t="shared" si="363"/>
        <v>3465</v>
      </c>
      <c r="X525" s="168">
        <f t="shared" si="364"/>
        <v>6566</v>
      </c>
      <c r="Y525" s="166">
        <f t="shared" si="365"/>
        <v>9288</v>
      </c>
      <c r="Z525" s="167">
        <f t="shared" si="366"/>
        <v>3693</v>
      </c>
      <c r="AA525" s="168">
        <f t="shared" si="367"/>
        <v>7862</v>
      </c>
      <c r="AB525" s="166">
        <f t="shared" si="368"/>
        <v>10908</v>
      </c>
      <c r="AC525" s="167">
        <f t="shared" si="369"/>
        <v>4377</v>
      </c>
      <c r="AD525" s="168">
        <f t="shared" si="370"/>
        <v>8294</v>
      </c>
      <c r="AE525" s="166">
        <f t="shared" si="371"/>
        <v>11988</v>
      </c>
      <c r="AF525" s="167">
        <f t="shared" si="372"/>
        <v>5289</v>
      </c>
      <c r="AG525" s="168">
        <f t="shared" si="373"/>
        <v>9158</v>
      </c>
      <c r="AH525" s="166">
        <f t="shared" si="374"/>
        <v>13068</v>
      </c>
      <c r="AI525" s="167">
        <f t="shared" si="375"/>
        <v>5745</v>
      </c>
      <c r="AJ525" s="168">
        <f t="shared" si="376"/>
        <v>10886</v>
      </c>
      <c r="AK525" s="169">
        <f t="shared" si="377"/>
        <v>14688</v>
      </c>
      <c r="AL525" s="167">
        <f t="shared" si="378"/>
        <v>6201</v>
      </c>
      <c r="AM525" s="585">
        <f t="shared" si="379"/>
        <v>11750</v>
      </c>
      <c r="AN525" s="1133">
        <v>0.3</v>
      </c>
      <c r="AO525" s="1134">
        <v>0.33</v>
      </c>
      <c r="AP525" s="1134">
        <v>0.36</v>
      </c>
      <c r="AQ525" s="1135">
        <v>0.39</v>
      </c>
      <c r="AR525" s="1132">
        <v>0.42</v>
      </c>
      <c r="AS525" s="1136"/>
      <c r="AT525" s="1137"/>
      <c r="AU525" s="1137"/>
      <c r="AV525" s="1137"/>
      <c r="AW525" s="1138"/>
      <c r="AX525" s="1133">
        <v>0.11</v>
      </c>
      <c r="AY525" s="1135">
        <v>0.12</v>
      </c>
      <c r="AZ525" s="1135">
        <v>0.13</v>
      </c>
      <c r="BA525" s="1135">
        <v>0.14000000000000001</v>
      </c>
      <c r="BB525" s="1135">
        <v>0.15</v>
      </c>
      <c r="BC525" s="1135"/>
      <c r="BD525" s="1132"/>
      <c r="BE525" s="596"/>
      <c r="BF525" s="598"/>
      <c r="BG525" s="598"/>
      <c r="BH525" s="598"/>
      <c r="BI525" s="598"/>
      <c r="BJ525" s="598"/>
      <c r="BK525" s="605"/>
      <c r="BL525" s="658">
        <f t="shared" si="389"/>
        <v>32000</v>
      </c>
      <c r="BM525" s="3">
        <f t="shared" si="390"/>
        <v>45</v>
      </c>
      <c r="BN525" s="3">
        <f t="shared" si="391"/>
        <v>19</v>
      </c>
      <c r="BO525" s="3">
        <f t="shared" si="392"/>
        <v>36</v>
      </c>
    </row>
    <row r="526" spans="2:67">
      <c r="B526" s="1271" t="s">
        <v>4336</v>
      </c>
      <c r="C526" s="1069" t="s">
        <v>309</v>
      </c>
      <c r="D526" s="1069" t="s">
        <v>4344</v>
      </c>
      <c r="E526" s="1268" t="s">
        <v>939</v>
      </c>
      <c r="F526" s="1070">
        <v>523</v>
      </c>
      <c r="G526" s="1071">
        <v>12024</v>
      </c>
      <c r="H526" s="1072">
        <v>6500</v>
      </c>
      <c r="I526" s="1073">
        <v>13973</v>
      </c>
      <c r="J526" s="166">
        <f t="shared" si="380"/>
        <v>240</v>
      </c>
      <c r="K526" s="167">
        <f t="shared" si="381"/>
        <v>130</v>
      </c>
      <c r="L526" s="168">
        <f t="shared" si="382"/>
        <v>279</v>
      </c>
      <c r="M526" s="166">
        <f t="shared" si="383"/>
        <v>300</v>
      </c>
      <c r="N526" s="167">
        <f t="shared" si="384"/>
        <v>162</v>
      </c>
      <c r="O526" s="168">
        <f t="shared" si="385"/>
        <v>349</v>
      </c>
      <c r="P526" s="169">
        <f t="shared" si="386"/>
        <v>450</v>
      </c>
      <c r="Q526" s="169">
        <f t="shared" si="387"/>
        <v>243</v>
      </c>
      <c r="R526" s="169">
        <f t="shared" si="388"/>
        <v>524</v>
      </c>
      <c r="S526" s="584">
        <f t="shared" si="359"/>
        <v>3006</v>
      </c>
      <c r="T526" s="594">
        <f t="shared" si="360"/>
        <v>1625</v>
      </c>
      <c r="U526" s="595">
        <f t="shared" si="361"/>
        <v>3493</v>
      </c>
      <c r="V526" s="166">
        <f t="shared" si="362"/>
        <v>6846</v>
      </c>
      <c r="W526" s="167">
        <f t="shared" si="363"/>
        <v>3699</v>
      </c>
      <c r="X526" s="168">
        <f t="shared" si="364"/>
        <v>7960</v>
      </c>
      <c r="Y526" s="166">
        <f t="shared" si="365"/>
        <v>7296</v>
      </c>
      <c r="Z526" s="167">
        <f t="shared" si="366"/>
        <v>4185</v>
      </c>
      <c r="AA526" s="168">
        <f t="shared" si="367"/>
        <v>9532</v>
      </c>
      <c r="AB526" s="166">
        <f t="shared" si="368"/>
        <v>8646</v>
      </c>
      <c r="AC526" s="167">
        <f t="shared" si="369"/>
        <v>4914</v>
      </c>
      <c r="AD526" s="168">
        <f t="shared" si="370"/>
        <v>10056</v>
      </c>
      <c r="AE526" s="166">
        <f t="shared" si="371"/>
        <v>10446</v>
      </c>
      <c r="AF526" s="167">
        <f t="shared" si="372"/>
        <v>5400</v>
      </c>
      <c r="AG526" s="168">
        <f t="shared" si="373"/>
        <v>11104</v>
      </c>
      <c r="AH526" s="166">
        <f t="shared" si="374"/>
        <v>11346</v>
      </c>
      <c r="AI526" s="167">
        <f t="shared" si="375"/>
        <v>5886</v>
      </c>
      <c r="AJ526" s="168">
        <f t="shared" si="376"/>
        <v>13200</v>
      </c>
      <c r="AK526" s="169">
        <f t="shared" si="377"/>
        <v>12264</v>
      </c>
      <c r="AL526" s="167">
        <f t="shared" si="378"/>
        <v>6630</v>
      </c>
      <c r="AM526" s="585">
        <f t="shared" si="379"/>
        <v>14252</v>
      </c>
      <c r="AN526" s="1133">
        <v>0.1</v>
      </c>
      <c r="AO526" s="1134">
        <v>0.105</v>
      </c>
      <c r="AP526" s="1134">
        <v>0.11</v>
      </c>
      <c r="AQ526" s="1135">
        <v>0.115</v>
      </c>
      <c r="AR526" s="1132">
        <v>0.12</v>
      </c>
      <c r="AS526" s="1136"/>
      <c r="AT526" s="1137"/>
      <c r="AU526" s="1137"/>
      <c r="AV526" s="1137"/>
      <c r="AW526" s="1138"/>
      <c r="AX526" s="1133">
        <v>0.04</v>
      </c>
      <c r="AY526" s="1135">
        <v>4.2999999999999997E-2</v>
      </c>
      <c r="AZ526" s="1135">
        <v>4.5999999999999999E-2</v>
      </c>
      <c r="BA526" s="1135">
        <v>4.9000000000000002E-2</v>
      </c>
      <c r="BB526" s="1135">
        <v>5.1999999999999998E-2</v>
      </c>
      <c r="BC526" s="1135"/>
      <c r="BD526" s="1132"/>
      <c r="BE526" s="596"/>
      <c r="BF526" s="598"/>
      <c r="BG526" s="598"/>
      <c r="BH526" s="598"/>
      <c r="BI526" s="598"/>
      <c r="BJ526" s="598"/>
      <c r="BK526" s="605"/>
      <c r="BL526" s="658">
        <f t="shared" si="389"/>
        <v>32500</v>
      </c>
      <c r="BM526" s="3">
        <f t="shared" si="390"/>
        <v>37</v>
      </c>
      <c r="BN526" s="3">
        <f t="shared" si="391"/>
        <v>20</v>
      </c>
      <c r="BO526" s="3">
        <f t="shared" si="392"/>
        <v>43</v>
      </c>
    </row>
    <row r="527" spans="2:67">
      <c r="B527" s="606" t="s">
        <v>4337</v>
      </c>
      <c r="C527" s="607" t="s">
        <v>310</v>
      </c>
      <c r="D527" s="607" t="s">
        <v>4339</v>
      </c>
      <c r="E527" s="613" t="s">
        <v>1150</v>
      </c>
      <c r="F527" s="592">
        <v>524</v>
      </c>
      <c r="G527" s="609">
        <v>7447</v>
      </c>
      <c r="H527" s="610">
        <v>5094</v>
      </c>
      <c r="I527" s="611">
        <v>7054</v>
      </c>
      <c r="J527" s="166">
        <f t="shared" si="380"/>
        <v>148</v>
      </c>
      <c r="K527" s="167">
        <f t="shared" si="381"/>
        <v>101</v>
      </c>
      <c r="L527" s="168">
        <f t="shared" si="382"/>
        <v>141</v>
      </c>
      <c r="M527" s="166">
        <f t="shared" si="383"/>
        <v>223</v>
      </c>
      <c r="N527" s="167">
        <f t="shared" si="384"/>
        <v>152</v>
      </c>
      <c r="O527" s="168">
        <f t="shared" si="385"/>
        <v>211</v>
      </c>
      <c r="P527" s="169">
        <f t="shared" si="386"/>
        <v>297</v>
      </c>
      <c r="Q527" s="169">
        <f t="shared" si="387"/>
        <v>203</v>
      </c>
      <c r="R527" s="169">
        <f t="shared" si="388"/>
        <v>282</v>
      </c>
      <c r="S527" s="584">
        <f t="shared" si="359"/>
        <v>2234</v>
      </c>
      <c r="T527" s="594">
        <f t="shared" si="360"/>
        <v>1528</v>
      </c>
      <c r="U527" s="595">
        <f t="shared" si="361"/>
        <v>2116</v>
      </c>
      <c r="V527" s="166">
        <f t="shared" si="362"/>
        <v>4612</v>
      </c>
      <c r="W527" s="167">
        <f t="shared" si="363"/>
        <v>3149</v>
      </c>
      <c r="X527" s="168">
        <f t="shared" si="364"/>
        <v>4367</v>
      </c>
      <c r="Y527" s="166">
        <f t="shared" si="365"/>
        <v>5206</v>
      </c>
      <c r="Z527" s="167">
        <f t="shared" si="366"/>
        <v>3555</v>
      </c>
      <c r="AA527" s="168">
        <f t="shared" si="367"/>
        <v>4931</v>
      </c>
      <c r="AB527" s="166">
        <f t="shared" si="368"/>
        <v>5800</v>
      </c>
      <c r="AC527" s="167">
        <f t="shared" si="369"/>
        <v>3961</v>
      </c>
      <c r="AD527" s="168">
        <f t="shared" si="370"/>
        <v>5495</v>
      </c>
      <c r="AE527" s="166">
        <f t="shared" si="371"/>
        <v>6097</v>
      </c>
      <c r="AF527" s="167">
        <f t="shared" si="372"/>
        <v>4367</v>
      </c>
      <c r="AG527" s="168">
        <f t="shared" si="373"/>
        <v>6059</v>
      </c>
      <c r="AH527" s="166">
        <f t="shared" si="374"/>
        <v>6691</v>
      </c>
      <c r="AI527" s="167">
        <f t="shared" si="375"/>
        <v>4570</v>
      </c>
      <c r="AJ527" s="168">
        <f t="shared" si="376"/>
        <v>6905</v>
      </c>
      <c r="AK527" s="169">
        <f t="shared" si="377"/>
        <v>7595</v>
      </c>
      <c r="AL527" s="167">
        <f t="shared" si="378"/>
        <v>5195</v>
      </c>
      <c r="AM527" s="585">
        <f t="shared" si="379"/>
        <v>7195</v>
      </c>
      <c r="AN527" s="614">
        <v>0.25</v>
      </c>
      <c r="AO527" s="615">
        <v>0.28000000000000003</v>
      </c>
      <c r="AP527" s="615">
        <v>0.31</v>
      </c>
      <c r="AQ527" s="616">
        <v>0.34</v>
      </c>
      <c r="AR527" s="612">
        <v>0.37</v>
      </c>
      <c r="AS527" s="617"/>
      <c r="AT527" s="618"/>
      <c r="AU527" s="618"/>
      <c r="AV527" s="618"/>
      <c r="AW527" s="619"/>
      <c r="AX527" s="596">
        <v>0.03</v>
      </c>
      <c r="AY527" s="598">
        <v>3.3000000000000002E-2</v>
      </c>
      <c r="AZ527" s="598">
        <v>3.5999999999999997E-2</v>
      </c>
      <c r="BA527" s="598">
        <v>3.9E-2</v>
      </c>
      <c r="BB527" s="598">
        <v>4.2000000000000003E-2</v>
      </c>
      <c r="BC527" s="616"/>
      <c r="BD527" s="612"/>
      <c r="BE527" s="596"/>
      <c r="BF527" s="598"/>
      <c r="BG527" s="598"/>
      <c r="BH527" s="598"/>
      <c r="BI527" s="598"/>
      <c r="BJ527" s="598"/>
      <c r="BK527" s="605"/>
      <c r="BL527" s="658">
        <f t="shared" si="389"/>
        <v>19600</v>
      </c>
      <c r="BM527" s="3">
        <f t="shared" si="390"/>
        <v>38</v>
      </c>
      <c r="BN527" s="3">
        <f t="shared" si="391"/>
        <v>26</v>
      </c>
      <c r="BO527" s="3">
        <f t="shared" si="392"/>
        <v>36</v>
      </c>
    </row>
    <row r="528" spans="2:67">
      <c r="B528" s="606" t="s">
        <v>4338</v>
      </c>
      <c r="C528" s="607" t="s">
        <v>310</v>
      </c>
      <c r="D528" s="607" t="s">
        <v>360</v>
      </c>
      <c r="E528" s="613" t="s">
        <v>1150</v>
      </c>
      <c r="F528" s="608">
        <v>525</v>
      </c>
      <c r="G528" s="609">
        <v>7054</v>
      </c>
      <c r="H528" s="610">
        <v>5094</v>
      </c>
      <c r="I528" s="611">
        <v>7447</v>
      </c>
      <c r="J528" s="166">
        <f t="shared" si="380"/>
        <v>141</v>
      </c>
      <c r="K528" s="167">
        <f t="shared" si="381"/>
        <v>101</v>
      </c>
      <c r="L528" s="168">
        <f t="shared" si="382"/>
        <v>148</v>
      </c>
      <c r="M528" s="166">
        <f t="shared" si="383"/>
        <v>211</v>
      </c>
      <c r="N528" s="167">
        <f t="shared" si="384"/>
        <v>152</v>
      </c>
      <c r="O528" s="168">
        <f t="shared" si="385"/>
        <v>223</v>
      </c>
      <c r="P528" s="169">
        <f t="shared" si="386"/>
        <v>282</v>
      </c>
      <c r="Q528" s="169">
        <f t="shared" si="387"/>
        <v>203</v>
      </c>
      <c r="R528" s="169">
        <f t="shared" si="388"/>
        <v>297</v>
      </c>
      <c r="S528" s="584">
        <f t="shared" si="359"/>
        <v>2116</v>
      </c>
      <c r="T528" s="594">
        <f t="shared" si="360"/>
        <v>1528</v>
      </c>
      <c r="U528" s="595">
        <f t="shared" si="361"/>
        <v>2234</v>
      </c>
      <c r="V528" s="166">
        <f t="shared" si="362"/>
        <v>4367</v>
      </c>
      <c r="W528" s="167">
        <f t="shared" si="363"/>
        <v>3149</v>
      </c>
      <c r="X528" s="168">
        <f t="shared" si="364"/>
        <v>4612</v>
      </c>
      <c r="Y528" s="166">
        <f t="shared" si="365"/>
        <v>4931</v>
      </c>
      <c r="Z528" s="167">
        <f t="shared" si="366"/>
        <v>3555</v>
      </c>
      <c r="AA528" s="168">
        <f t="shared" si="367"/>
        <v>5206</v>
      </c>
      <c r="AB528" s="166">
        <f t="shared" si="368"/>
        <v>5495</v>
      </c>
      <c r="AC528" s="167">
        <f t="shared" si="369"/>
        <v>3961</v>
      </c>
      <c r="AD528" s="168">
        <f t="shared" si="370"/>
        <v>5800</v>
      </c>
      <c r="AE528" s="166">
        <f t="shared" si="371"/>
        <v>6059</v>
      </c>
      <c r="AF528" s="167">
        <f t="shared" si="372"/>
        <v>4367</v>
      </c>
      <c r="AG528" s="168">
        <f t="shared" si="373"/>
        <v>6097</v>
      </c>
      <c r="AH528" s="166">
        <f t="shared" si="374"/>
        <v>6341</v>
      </c>
      <c r="AI528" s="167">
        <f t="shared" si="375"/>
        <v>4976</v>
      </c>
      <c r="AJ528" s="168">
        <f t="shared" si="376"/>
        <v>6691</v>
      </c>
      <c r="AK528" s="169">
        <f t="shared" si="377"/>
        <v>7195</v>
      </c>
      <c r="AL528" s="167">
        <f t="shared" si="378"/>
        <v>5195</v>
      </c>
      <c r="AM528" s="585">
        <f t="shared" si="379"/>
        <v>7595</v>
      </c>
      <c r="AN528" s="614">
        <v>6.4000000000000001E-2</v>
      </c>
      <c r="AO528" s="615">
        <v>6.7000000000000004E-2</v>
      </c>
      <c r="AP528" s="615">
        <v>7.0000000000000007E-2</v>
      </c>
      <c r="AQ528" s="616">
        <v>7.2999999999999995E-2</v>
      </c>
      <c r="AR528" s="612">
        <v>7.5999999999999998E-2</v>
      </c>
      <c r="AS528" s="617"/>
      <c r="AT528" s="618"/>
      <c r="AU528" s="618"/>
      <c r="AV528" s="618"/>
      <c r="AW528" s="619"/>
      <c r="AX528" s="614">
        <v>0.05</v>
      </c>
      <c r="AY528" s="616">
        <v>5.5E-2</v>
      </c>
      <c r="AZ528" s="616">
        <v>0.06</v>
      </c>
      <c r="BA528" s="616">
        <v>6.5000000000000002E-2</v>
      </c>
      <c r="BB528" s="616">
        <v>7.0000000000000007E-2</v>
      </c>
      <c r="BC528" s="616"/>
      <c r="BD528" s="612"/>
      <c r="BE528" s="596"/>
      <c r="BF528" s="598"/>
      <c r="BG528" s="598"/>
      <c r="BH528" s="598"/>
      <c r="BI528" s="598"/>
      <c r="BJ528" s="598"/>
      <c r="BK528" s="605"/>
      <c r="BL528" s="658">
        <f t="shared" si="389"/>
        <v>19600</v>
      </c>
      <c r="BM528" s="3">
        <f t="shared" si="390"/>
        <v>36</v>
      </c>
      <c r="BN528" s="3">
        <f t="shared" si="391"/>
        <v>26</v>
      </c>
      <c r="BO528" s="3">
        <f t="shared" si="392"/>
        <v>38</v>
      </c>
    </row>
    <row r="529" spans="2:67">
      <c r="B529" s="606" t="s">
        <v>4370</v>
      </c>
      <c r="C529" s="932" t="s">
        <v>467</v>
      </c>
      <c r="D529" s="607" t="s">
        <v>360</v>
      </c>
      <c r="E529" s="238" t="s">
        <v>1150</v>
      </c>
      <c r="F529" s="592">
        <v>526</v>
      </c>
      <c r="G529" s="609">
        <v>3931</v>
      </c>
      <c r="H529" s="610">
        <v>3207</v>
      </c>
      <c r="I529" s="611">
        <v>3207</v>
      </c>
      <c r="J529" s="166">
        <f t="shared" si="380"/>
        <v>78</v>
      </c>
      <c r="K529" s="167">
        <f t="shared" si="381"/>
        <v>64</v>
      </c>
      <c r="L529" s="168">
        <f t="shared" si="382"/>
        <v>64</v>
      </c>
      <c r="M529" s="166">
        <f t="shared" si="383"/>
        <v>147</v>
      </c>
      <c r="N529" s="167">
        <f t="shared" si="384"/>
        <v>120</v>
      </c>
      <c r="O529" s="168">
        <f t="shared" si="385"/>
        <v>120</v>
      </c>
      <c r="P529" s="169">
        <f t="shared" si="386"/>
        <v>196</v>
      </c>
      <c r="Q529" s="169">
        <f t="shared" si="387"/>
        <v>160</v>
      </c>
      <c r="R529" s="169">
        <f t="shared" si="388"/>
        <v>160</v>
      </c>
      <c r="S529" s="584">
        <f t="shared" si="359"/>
        <v>1179</v>
      </c>
      <c r="T529" s="594">
        <f t="shared" si="360"/>
        <v>962</v>
      </c>
      <c r="U529" s="595">
        <f t="shared" si="361"/>
        <v>962</v>
      </c>
      <c r="V529" s="166">
        <f t="shared" si="362"/>
        <v>2433</v>
      </c>
      <c r="W529" s="167">
        <f t="shared" si="363"/>
        <v>1986</v>
      </c>
      <c r="X529" s="168">
        <f t="shared" si="364"/>
        <v>1986</v>
      </c>
      <c r="Y529" s="166">
        <f t="shared" si="365"/>
        <v>2825</v>
      </c>
      <c r="Z529" s="167">
        <f t="shared" si="366"/>
        <v>2146</v>
      </c>
      <c r="AA529" s="168">
        <f t="shared" si="367"/>
        <v>2146</v>
      </c>
      <c r="AB529" s="166">
        <f t="shared" si="368"/>
        <v>3021</v>
      </c>
      <c r="AC529" s="167">
        <f t="shared" si="369"/>
        <v>2306</v>
      </c>
      <c r="AD529" s="168">
        <f t="shared" si="370"/>
        <v>2466</v>
      </c>
      <c r="AE529" s="166">
        <f t="shared" si="371"/>
        <v>3217</v>
      </c>
      <c r="AF529" s="167">
        <f t="shared" si="372"/>
        <v>2626</v>
      </c>
      <c r="AG529" s="168">
        <f t="shared" si="373"/>
        <v>2786</v>
      </c>
      <c r="AH529" s="166">
        <f t="shared" si="374"/>
        <v>3609</v>
      </c>
      <c r="AI529" s="167">
        <f t="shared" si="375"/>
        <v>2946</v>
      </c>
      <c r="AJ529" s="168">
        <f t="shared" si="376"/>
        <v>3106</v>
      </c>
      <c r="AK529" s="169">
        <f t="shared" si="377"/>
        <v>4009</v>
      </c>
      <c r="AL529" s="167">
        <f t="shared" si="378"/>
        <v>3271</v>
      </c>
      <c r="AM529" s="585">
        <f t="shared" si="379"/>
        <v>3271</v>
      </c>
      <c r="AN529" s="617">
        <v>110</v>
      </c>
      <c r="AO529" s="937">
        <v>120</v>
      </c>
      <c r="AP529" s="937">
        <v>130</v>
      </c>
      <c r="AQ529" s="618">
        <v>140</v>
      </c>
      <c r="AR529" s="619">
        <v>150</v>
      </c>
      <c r="AS529" s="617"/>
      <c r="AT529" s="618"/>
      <c r="AU529" s="618"/>
      <c r="AV529" s="618"/>
      <c r="AW529" s="619"/>
      <c r="AX529" s="614">
        <v>0.02</v>
      </c>
      <c r="AY529" s="616">
        <v>2.5000000000000001E-2</v>
      </c>
      <c r="AZ529" s="616">
        <v>0.03</v>
      </c>
      <c r="BA529" s="616">
        <v>3.5000000000000003E-2</v>
      </c>
      <c r="BB529" s="616">
        <v>0.04</v>
      </c>
      <c r="BC529" s="616"/>
      <c r="BD529" s="612"/>
      <c r="BE529" s="596"/>
      <c r="BF529" s="598"/>
      <c r="BG529" s="598"/>
      <c r="BH529" s="598"/>
      <c r="BI529" s="598"/>
      <c r="BJ529" s="598"/>
      <c r="BK529" s="605"/>
      <c r="BL529" s="658">
        <f t="shared" si="389"/>
        <v>10350</v>
      </c>
      <c r="BM529" s="3">
        <f t="shared" si="390"/>
        <v>38</v>
      </c>
      <c r="BN529" s="3">
        <f t="shared" si="391"/>
        <v>31</v>
      </c>
      <c r="BO529" s="3">
        <f t="shared" si="392"/>
        <v>31</v>
      </c>
    </row>
    <row r="530" spans="2:67">
      <c r="B530" s="606" t="s">
        <v>4372</v>
      </c>
      <c r="C530" s="932" t="s">
        <v>467</v>
      </c>
      <c r="D530" s="607" t="s">
        <v>359</v>
      </c>
      <c r="E530" s="238" t="s">
        <v>1150</v>
      </c>
      <c r="F530" s="608">
        <v>527</v>
      </c>
      <c r="G530" s="609">
        <v>3554</v>
      </c>
      <c r="H530" s="610">
        <v>3554</v>
      </c>
      <c r="I530" s="611">
        <v>4740</v>
      </c>
      <c r="J530" s="166">
        <f t="shared" si="380"/>
        <v>71</v>
      </c>
      <c r="K530" s="167">
        <f t="shared" si="381"/>
        <v>71</v>
      </c>
      <c r="L530" s="168">
        <f t="shared" si="382"/>
        <v>94</v>
      </c>
      <c r="M530" s="166">
        <f t="shared" si="383"/>
        <v>133</v>
      </c>
      <c r="N530" s="167">
        <f t="shared" si="384"/>
        <v>133</v>
      </c>
      <c r="O530" s="168">
        <f t="shared" si="385"/>
        <v>177</v>
      </c>
      <c r="P530" s="169">
        <f t="shared" si="386"/>
        <v>177</v>
      </c>
      <c r="Q530" s="169">
        <f t="shared" si="387"/>
        <v>177</v>
      </c>
      <c r="R530" s="169">
        <f t="shared" si="388"/>
        <v>237</v>
      </c>
      <c r="S530" s="584">
        <f t="shared" si="359"/>
        <v>1066</v>
      </c>
      <c r="T530" s="594">
        <f t="shared" si="360"/>
        <v>1066</v>
      </c>
      <c r="U530" s="595">
        <f t="shared" si="361"/>
        <v>1422</v>
      </c>
      <c r="V530" s="166">
        <f t="shared" si="362"/>
        <v>2201</v>
      </c>
      <c r="W530" s="167">
        <f t="shared" si="363"/>
        <v>2201</v>
      </c>
      <c r="X530" s="168">
        <f t="shared" si="364"/>
        <v>2932</v>
      </c>
      <c r="Y530" s="166">
        <f t="shared" si="365"/>
        <v>2378</v>
      </c>
      <c r="Z530" s="167">
        <f t="shared" si="366"/>
        <v>2378</v>
      </c>
      <c r="AA530" s="168">
        <f t="shared" si="367"/>
        <v>3406</v>
      </c>
      <c r="AB530" s="166">
        <f t="shared" si="368"/>
        <v>2555</v>
      </c>
      <c r="AC530" s="167">
        <f t="shared" si="369"/>
        <v>2732</v>
      </c>
      <c r="AD530" s="168">
        <f t="shared" si="370"/>
        <v>3643</v>
      </c>
      <c r="AE530" s="166">
        <f t="shared" si="371"/>
        <v>2909</v>
      </c>
      <c r="AF530" s="167">
        <f t="shared" si="372"/>
        <v>3086</v>
      </c>
      <c r="AG530" s="168">
        <f t="shared" si="373"/>
        <v>3880</v>
      </c>
      <c r="AH530" s="166">
        <f t="shared" si="374"/>
        <v>3263</v>
      </c>
      <c r="AI530" s="167">
        <f t="shared" si="375"/>
        <v>3440</v>
      </c>
      <c r="AJ530" s="168">
        <f t="shared" si="376"/>
        <v>4354</v>
      </c>
      <c r="AK530" s="169">
        <f t="shared" si="377"/>
        <v>3625</v>
      </c>
      <c r="AL530" s="167">
        <f t="shared" si="378"/>
        <v>3625</v>
      </c>
      <c r="AM530" s="585">
        <f t="shared" si="379"/>
        <v>4834</v>
      </c>
      <c r="AN530" s="617">
        <v>250</v>
      </c>
      <c r="AO530" s="937">
        <v>300</v>
      </c>
      <c r="AP530" s="937">
        <v>350</v>
      </c>
      <c r="AQ530" s="618">
        <v>400</v>
      </c>
      <c r="AR530" s="619">
        <v>450</v>
      </c>
      <c r="AS530" s="617"/>
      <c r="AT530" s="618"/>
      <c r="AU530" s="618"/>
      <c r="AV530" s="618"/>
      <c r="AW530" s="619"/>
      <c r="AX530" s="614">
        <v>0.01</v>
      </c>
      <c r="AY530" s="616">
        <v>1.2999999999999999E-2</v>
      </c>
      <c r="AZ530" s="616">
        <v>1.6E-2</v>
      </c>
      <c r="BA530" s="616">
        <v>1.9E-2</v>
      </c>
      <c r="BB530" s="616">
        <v>2.1999999999999999E-2</v>
      </c>
      <c r="BC530" s="616"/>
      <c r="BD530" s="612"/>
      <c r="BE530" s="596"/>
      <c r="BF530" s="598"/>
      <c r="BG530" s="598"/>
      <c r="BH530" s="598"/>
      <c r="BI530" s="598"/>
      <c r="BJ530" s="598"/>
      <c r="BK530" s="605"/>
      <c r="BL530" s="658">
        <f t="shared" si="389"/>
        <v>11850</v>
      </c>
      <c r="BM530" s="3">
        <f t="shared" si="390"/>
        <v>30</v>
      </c>
      <c r="BN530" s="3">
        <f t="shared" si="391"/>
        <v>30</v>
      </c>
      <c r="BO530" s="3">
        <f t="shared" si="392"/>
        <v>40</v>
      </c>
    </row>
    <row r="531" spans="2:67">
      <c r="B531" s="606" t="s">
        <v>4377</v>
      </c>
      <c r="C531" s="932" t="s">
        <v>310</v>
      </c>
      <c r="D531" s="607" t="s">
        <v>359</v>
      </c>
      <c r="E531" s="613" t="s">
        <v>1150</v>
      </c>
      <c r="F531" s="592">
        <v>528</v>
      </c>
      <c r="G531" s="609">
        <v>4814</v>
      </c>
      <c r="H531" s="610">
        <v>6534</v>
      </c>
      <c r="I531" s="611">
        <v>5847</v>
      </c>
      <c r="J531" s="166">
        <f t="shared" si="380"/>
        <v>96</v>
      </c>
      <c r="K531" s="167">
        <f t="shared" si="381"/>
        <v>130</v>
      </c>
      <c r="L531" s="168">
        <f t="shared" si="382"/>
        <v>116</v>
      </c>
      <c r="M531" s="166">
        <f t="shared" si="383"/>
        <v>144</v>
      </c>
      <c r="N531" s="167">
        <f t="shared" si="384"/>
        <v>196</v>
      </c>
      <c r="O531" s="168">
        <f t="shared" si="385"/>
        <v>175</v>
      </c>
      <c r="P531" s="169">
        <f t="shared" si="386"/>
        <v>192</v>
      </c>
      <c r="Q531" s="169">
        <f t="shared" si="387"/>
        <v>261</v>
      </c>
      <c r="R531" s="169">
        <f t="shared" si="388"/>
        <v>233</v>
      </c>
      <c r="S531" s="584">
        <f t="shared" si="359"/>
        <v>1444</v>
      </c>
      <c r="T531" s="594">
        <f t="shared" si="360"/>
        <v>1960</v>
      </c>
      <c r="U531" s="595">
        <f t="shared" si="361"/>
        <v>1754</v>
      </c>
      <c r="V531" s="166">
        <f t="shared" si="362"/>
        <v>2980</v>
      </c>
      <c r="W531" s="167">
        <f t="shared" si="363"/>
        <v>4050</v>
      </c>
      <c r="X531" s="168">
        <f t="shared" si="364"/>
        <v>3620</v>
      </c>
      <c r="Y531" s="166">
        <f t="shared" si="365"/>
        <v>3364</v>
      </c>
      <c r="Z531" s="167">
        <f t="shared" si="366"/>
        <v>4572</v>
      </c>
      <c r="AA531" s="168">
        <f t="shared" si="367"/>
        <v>4086</v>
      </c>
      <c r="AB531" s="166">
        <f t="shared" si="368"/>
        <v>3748</v>
      </c>
      <c r="AC531" s="167">
        <f t="shared" si="369"/>
        <v>5094</v>
      </c>
      <c r="AD531" s="168">
        <f t="shared" si="370"/>
        <v>4552</v>
      </c>
      <c r="AE531" s="166">
        <f t="shared" si="371"/>
        <v>4132</v>
      </c>
      <c r="AF531" s="167">
        <f t="shared" si="372"/>
        <v>5355</v>
      </c>
      <c r="AG531" s="168">
        <f t="shared" si="373"/>
        <v>5018</v>
      </c>
      <c r="AH531" s="166">
        <f t="shared" si="374"/>
        <v>4708</v>
      </c>
      <c r="AI531" s="167">
        <f t="shared" si="375"/>
        <v>5877</v>
      </c>
      <c r="AJ531" s="168">
        <f t="shared" si="376"/>
        <v>5251</v>
      </c>
      <c r="AK531" s="169">
        <f t="shared" si="377"/>
        <v>4910</v>
      </c>
      <c r="AL531" s="167">
        <f t="shared" si="378"/>
        <v>6664</v>
      </c>
      <c r="AM531" s="585">
        <f t="shared" si="379"/>
        <v>5963</v>
      </c>
      <c r="AN531" s="614">
        <v>0.2</v>
      </c>
      <c r="AO531" s="615">
        <v>0.23</v>
      </c>
      <c r="AP531" s="615">
        <v>0.26</v>
      </c>
      <c r="AQ531" s="616">
        <v>0.28999999999999998</v>
      </c>
      <c r="AR531" s="612">
        <v>0.32</v>
      </c>
      <c r="AS531" s="617"/>
      <c r="AT531" s="618"/>
      <c r="AU531" s="618"/>
      <c r="AV531" s="618"/>
      <c r="AW531" s="619"/>
      <c r="AX531" s="614">
        <v>0.02</v>
      </c>
      <c r="AY531" s="616">
        <v>2.3E-2</v>
      </c>
      <c r="AZ531" s="616">
        <v>2.5999999999999999E-2</v>
      </c>
      <c r="BA531" s="616">
        <v>2.9000000000000001E-2</v>
      </c>
      <c r="BB531" s="616">
        <v>3.2000000000000001E-2</v>
      </c>
      <c r="BC531" s="616"/>
      <c r="BD531" s="612"/>
      <c r="BE531" s="596"/>
      <c r="BF531" s="598"/>
      <c r="BG531" s="598"/>
      <c r="BH531" s="598"/>
      <c r="BI531" s="598"/>
      <c r="BJ531" s="598"/>
      <c r="BK531" s="605"/>
      <c r="BL531" s="658">
        <f t="shared" si="389"/>
        <v>17200</v>
      </c>
      <c r="BM531" s="3">
        <f t="shared" si="390"/>
        <v>28</v>
      </c>
      <c r="BN531" s="3">
        <f t="shared" si="391"/>
        <v>38</v>
      </c>
      <c r="BO531" s="3">
        <f t="shared" si="392"/>
        <v>34</v>
      </c>
    </row>
    <row r="532" spans="2:67">
      <c r="B532" s="606" t="s">
        <v>4378</v>
      </c>
      <c r="C532" s="932" t="s">
        <v>467</v>
      </c>
      <c r="D532" s="607" t="s">
        <v>358</v>
      </c>
      <c r="E532" s="238" t="s">
        <v>1150</v>
      </c>
      <c r="F532" s="608">
        <v>529</v>
      </c>
      <c r="G532" s="609">
        <v>3104</v>
      </c>
      <c r="H532" s="610">
        <v>3621</v>
      </c>
      <c r="I532" s="611">
        <v>3621</v>
      </c>
      <c r="J532" s="166">
        <f t="shared" si="380"/>
        <v>62</v>
      </c>
      <c r="K532" s="167">
        <f t="shared" si="381"/>
        <v>72</v>
      </c>
      <c r="L532" s="168">
        <f t="shared" si="382"/>
        <v>72</v>
      </c>
      <c r="M532" s="166">
        <f t="shared" si="383"/>
        <v>116</v>
      </c>
      <c r="N532" s="167">
        <f t="shared" si="384"/>
        <v>135</v>
      </c>
      <c r="O532" s="168">
        <f t="shared" si="385"/>
        <v>135</v>
      </c>
      <c r="P532" s="169">
        <f t="shared" si="386"/>
        <v>155</v>
      </c>
      <c r="Q532" s="169">
        <f t="shared" si="387"/>
        <v>181</v>
      </c>
      <c r="R532" s="169">
        <f t="shared" si="388"/>
        <v>181</v>
      </c>
      <c r="S532" s="584">
        <f t="shared" si="359"/>
        <v>931</v>
      </c>
      <c r="T532" s="594">
        <f t="shared" si="360"/>
        <v>1086</v>
      </c>
      <c r="U532" s="595">
        <f t="shared" si="361"/>
        <v>1086</v>
      </c>
      <c r="V532" s="166">
        <f t="shared" si="362"/>
        <v>1921</v>
      </c>
      <c r="W532" s="167">
        <f t="shared" si="363"/>
        <v>2238</v>
      </c>
      <c r="X532" s="168">
        <f t="shared" si="364"/>
        <v>2238</v>
      </c>
      <c r="Y532" s="166">
        <f t="shared" si="365"/>
        <v>2076</v>
      </c>
      <c r="Z532" s="167">
        <f t="shared" si="366"/>
        <v>2600</v>
      </c>
      <c r="AA532" s="168">
        <f t="shared" si="367"/>
        <v>2419</v>
      </c>
      <c r="AB532" s="166">
        <f t="shared" si="368"/>
        <v>2386</v>
      </c>
      <c r="AC532" s="167">
        <f t="shared" si="369"/>
        <v>2781</v>
      </c>
      <c r="AD532" s="168">
        <f t="shared" si="370"/>
        <v>2600</v>
      </c>
      <c r="AE532" s="166">
        <f t="shared" si="371"/>
        <v>2696</v>
      </c>
      <c r="AF532" s="167">
        <f t="shared" si="372"/>
        <v>2962</v>
      </c>
      <c r="AG532" s="168">
        <f t="shared" si="373"/>
        <v>2962</v>
      </c>
      <c r="AH532" s="166">
        <f t="shared" si="374"/>
        <v>3006</v>
      </c>
      <c r="AI532" s="167">
        <f t="shared" si="375"/>
        <v>3324</v>
      </c>
      <c r="AJ532" s="168">
        <f t="shared" si="376"/>
        <v>3324</v>
      </c>
      <c r="AK532" s="169">
        <f t="shared" si="377"/>
        <v>3166</v>
      </c>
      <c r="AL532" s="167">
        <f t="shared" si="378"/>
        <v>3693</v>
      </c>
      <c r="AM532" s="585">
        <f t="shared" si="379"/>
        <v>3693</v>
      </c>
      <c r="AN532" s="617">
        <v>100</v>
      </c>
      <c r="AO532" s="937">
        <v>150</v>
      </c>
      <c r="AP532" s="937">
        <v>200</v>
      </c>
      <c r="AQ532" s="618">
        <v>250</v>
      </c>
      <c r="AR532" s="619">
        <v>300</v>
      </c>
      <c r="AS532" s="617"/>
      <c r="AT532" s="618"/>
      <c r="AU532" s="618"/>
      <c r="AV532" s="618"/>
      <c r="AW532" s="619"/>
      <c r="AX532" s="614">
        <v>1.4999999999999999E-2</v>
      </c>
      <c r="AY532" s="616">
        <v>1.7999999999999999E-2</v>
      </c>
      <c r="AZ532" s="616">
        <v>2.1000000000000001E-2</v>
      </c>
      <c r="BA532" s="616">
        <v>2.4E-2</v>
      </c>
      <c r="BB532" s="616">
        <v>2.7E-2</v>
      </c>
      <c r="BC532" s="616"/>
      <c r="BD532" s="612"/>
      <c r="BE532" s="596"/>
      <c r="BF532" s="598"/>
      <c r="BG532" s="598"/>
      <c r="BH532" s="598"/>
      <c r="BI532" s="598"/>
      <c r="BJ532" s="598"/>
      <c r="BK532" s="605"/>
      <c r="BL532" s="658">
        <f t="shared" si="389"/>
        <v>10350</v>
      </c>
      <c r="BM532" s="3">
        <f t="shared" si="390"/>
        <v>30</v>
      </c>
      <c r="BN532" s="3">
        <f t="shared" si="391"/>
        <v>35</v>
      </c>
      <c r="BO532" s="3">
        <f t="shared" si="392"/>
        <v>35</v>
      </c>
    </row>
    <row r="533" spans="2:67">
      <c r="B533" s="606" t="s">
        <v>4379</v>
      </c>
      <c r="C533" s="932" t="s">
        <v>467</v>
      </c>
      <c r="D533" s="607" t="s">
        <v>360</v>
      </c>
      <c r="E533" s="238" t="s">
        <v>1150</v>
      </c>
      <c r="F533" s="592">
        <v>530</v>
      </c>
      <c r="G533" s="609">
        <v>3554</v>
      </c>
      <c r="H533" s="610">
        <v>4147</v>
      </c>
      <c r="I533" s="611">
        <v>4147</v>
      </c>
      <c r="J533" s="166">
        <f t="shared" si="380"/>
        <v>71</v>
      </c>
      <c r="K533" s="167">
        <f t="shared" si="381"/>
        <v>82</v>
      </c>
      <c r="L533" s="168">
        <f t="shared" si="382"/>
        <v>82</v>
      </c>
      <c r="M533" s="166">
        <f t="shared" si="383"/>
        <v>133</v>
      </c>
      <c r="N533" s="167">
        <f t="shared" si="384"/>
        <v>155</v>
      </c>
      <c r="O533" s="168">
        <f t="shared" si="385"/>
        <v>155</v>
      </c>
      <c r="P533" s="169">
        <f t="shared" si="386"/>
        <v>177</v>
      </c>
      <c r="Q533" s="169">
        <f t="shared" si="387"/>
        <v>207</v>
      </c>
      <c r="R533" s="169">
        <f t="shared" si="388"/>
        <v>207</v>
      </c>
      <c r="S533" s="584">
        <f t="shared" si="359"/>
        <v>1066</v>
      </c>
      <c r="T533" s="594">
        <f t="shared" si="360"/>
        <v>1244</v>
      </c>
      <c r="U533" s="595">
        <f t="shared" si="361"/>
        <v>1244</v>
      </c>
      <c r="V533" s="166">
        <f t="shared" si="362"/>
        <v>2201</v>
      </c>
      <c r="W533" s="167">
        <f t="shared" si="363"/>
        <v>2566</v>
      </c>
      <c r="X533" s="168">
        <f t="shared" si="364"/>
        <v>2566</v>
      </c>
      <c r="Y533" s="166">
        <f t="shared" si="365"/>
        <v>2555</v>
      </c>
      <c r="Z533" s="167">
        <f t="shared" si="366"/>
        <v>2773</v>
      </c>
      <c r="AA533" s="168">
        <f t="shared" si="367"/>
        <v>2773</v>
      </c>
      <c r="AB533" s="166">
        <f t="shared" si="368"/>
        <v>2732</v>
      </c>
      <c r="AC533" s="167">
        <f t="shared" si="369"/>
        <v>2980</v>
      </c>
      <c r="AD533" s="168">
        <f t="shared" si="370"/>
        <v>3187</v>
      </c>
      <c r="AE533" s="166">
        <f t="shared" si="371"/>
        <v>2909</v>
      </c>
      <c r="AF533" s="167">
        <f t="shared" si="372"/>
        <v>3394</v>
      </c>
      <c r="AG533" s="168">
        <f t="shared" si="373"/>
        <v>3601</v>
      </c>
      <c r="AH533" s="166">
        <f t="shared" si="374"/>
        <v>3263</v>
      </c>
      <c r="AI533" s="167">
        <f t="shared" si="375"/>
        <v>3808</v>
      </c>
      <c r="AJ533" s="168">
        <f t="shared" si="376"/>
        <v>4015</v>
      </c>
      <c r="AK533" s="169">
        <f t="shared" si="377"/>
        <v>3625</v>
      </c>
      <c r="AL533" s="167">
        <f t="shared" si="378"/>
        <v>4229</v>
      </c>
      <c r="AM533" s="585">
        <f t="shared" si="379"/>
        <v>4229</v>
      </c>
      <c r="AN533" s="614">
        <v>0.03</v>
      </c>
      <c r="AO533" s="615">
        <v>3.3000000000000002E-2</v>
      </c>
      <c r="AP533" s="615">
        <v>3.5999999999999997E-2</v>
      </c>
      <c r="AQ533" s="616">
        <v>3.9E-2</v>
      </c>
      <c r="AR533" s="612">
        <v>4.2000000000000003E-2</v>
      </c>
      <c r="AS533" s="617"/>
      <c r="AT533" s="618"/>
      <c r="AU533" s="618"/>
      <c r="AV533" s="618"/>
      <c r="AW533" s="619"/>
      <c r="AX533" s="614">
        <v>0.02</v>
      </c>
      <c r="AY533" s="616">
        <v>2.5000000000000001E-2</v>
      </c>
      <c r="AZ533" s="616">
        <v>0.03</v>
      </c>
      <c r="BA533" s="616">
        <v>3.5000000000000003E-2</v>
      </c>
      <c r="BB533" s="616">
        <v>0.04</v>
      </c>
      <c r="BC533" s="616"/>
      <c r="BD533" s="612"/>
      <c r="BE533" s="596"/>
      <c r="BF533" s="598"/>
      <c r="BG533" s="598"/>
      <c r="BH533" s="598"/>
      <c r="BI533" s="598"/>
      <c r="BJ533" s="598"/>
      <c r="BK533" s="605"/>
      <c r="BL533" s="658">
        <f t="shared" si="389"/>
        <v>11850</v>
      </c>
      <c r="BM533" s="3">
        <f t="shared" si="390"/>
        <v>30</v>
      </c>
      <c r="BN533" s="3">
        <f t="shared" si="391"/>
        <v>35</v>
      </c>
      <c r="BO533" s="3">
        <f t="shared" si="392"/>
        <v>35</v>
      </c>
    </row>
    <row r="534" spans="2:67">
      <c r="B534" s="606" t="s">
        <v>4381</v>
      </c>
      <c r="C534" s="932" t="s">
        <v>310</v>
      </c>
      <c r="D534" s="607" t="s">
        <v>356</v>
      </c>
      <c r="E534" s="613" t="s">
        <v>1150</v>
      </c>
      <c r="F534" s="608">
        <v>531</v>
      </c>
      <c r="G534" s="609">
        <v>6534</v>
      </c>
      <c r="H534" s="610">
        <v>3783</v>
      </c>
      <c r="I534" s="611">
        <v>6880</v>
      </c>
      <c r="J534" s="166">
        <f t="shared" si="380"/>
        <v>130</v>
      </c>
      <c r="K534" s="167">
        <f t="shared" si="381"/>
        <v>75</v>
      </c>
      <c r="L534" s="168">
        <f t="shared" si="382"/>
        <v>137</v>
      </c>
      <c r="M534" s="166">
        <f t="shared" si="383"/>
        <v>196</v>
      </c>
      <c r="N534" s="167">
        <f t="shared" si="384"/>
        <v>113</v>
      </c>
      <c r="O534" s="168">
        <f t="shared" si="385"/>
        <v>206</v>
      </c>
      <c r="P534" s="169">
        <f t="shared" si="386"/>
        <v>261</v>
      </c>
      <c r="Q534" s="169">
        <f t="shared" si="387"/>
        <v>151</v>
      </c>
      <c r="R534" s="169">
        <f t="shared" si="388"/>
        <v>275</v>
      </c>
      <c r="S534" s="584">
        <f t="shared" si="359"/>
        <v>1960</v>
      </c>
      <c r="T534" s="594">
        <f t="shared" si="360"/>
        <v>1135</v>
      </c>
      <c r="U534" s="595">
        <f t="shared" si="361"/>
        <v>2064</v>
      </c>
      <c r="V534" s="166">
        <f t="shared" si="362"/>
        <v>4050</v>
      </c>
      <c r="W534" s="167">
        <f t="shared" si="363"/>
        <v>2340</v>
      </c>
      <c r="X534" s="168">
        <f t="shared" si="364"/>
        <v>4261</v>
      </c>
      <c r="Y534" s="166">
        <f t="shared" si="365"/>
        <v>4572</v>
      </c>
      <c r="Z534" s="167">
        <f t="shared" si="366"/>
        <v>2642</v>
      </c>
      <c r="AA534" s="168">
        <f t="shared" si="367"/>
        <v>4811</v>
      </c>
      <c r="AB534" s="166">
        <f t="shared" si="368"/>
        <v>5094</v>
      </c>
      <c r="AC534" s="167">
        <f t="shared" si="369"/>
        <v>2944</v>
      </c>
      <c r="AD534" s="168">
        <f t="shared" si="370"/>
        <v>5361</v>
      </c>
      <c r="AE534" s="166">
        <f t="shared" si="371"/>
        <v>5616</v>
      </c>
      <c r="AF534" s="167">
        <f t="shared" si="372"/>
        <v>3095</v>
      </c>
      <c r="AG534" s="168">
        <f t="shared" si="373"/>
        <v>5911</v>
      </c>
      <c r="AH534" s="166">
        <f t="shared" si="374"/>
        <v>5877</v>
      </c>
      <c r="AI534" s="167">
        <f t="shared" si="375"/>
        <v>3397</v>
      </c>
      <c r="AJ534" s="168">
        <f t="shared" si="376"/>
        <v>6736</v>
      </c>
      <c r="AK534" s="169">
        <f t="shared" si="377"/>
        <v>6664</v>
      </c>
      <c r="AL534" s="167">
        <f t="shared" si="378"/>
        <v>3858</v>
      </c>
      <c r="AM534" s="585">
        <f t="shared" si="379"/>
        <v>7017</v>
      </c>
      <c r="AN534" s="614">
        <v>0.05</v>
      </c>
      <c r="AO534" s="615">
        <v>5.5E-2</v>
      </c>
      <c r="AP534" s="615">
        <v>0.06</v>
      </c>
      <c r="AQ534" s="616">
        <v>6.5000000000000002E-2</v>
      </c>
      <c r="AR534" s="612">
        <v>7.0000000000000007E-2</v>
      </c>
      <c r="AS534" s="617"/>
      <c r="AT534" s="618"/>
      <c r="AU534" s="618"/>
      <c r="AV534" s="618"/>
      <c r="AW534" s="619"/>
      <c r="AX534" s="614">
        <v>0.03</v>
      </c>
      <c r="AY534" s="616">
        <v>3.5000000000000003E-2</v>
      </c>
      <c r="AZ534" s="616">
        <v>0.04</v>
      </c>
      <c r="BA534" s="616">
        <v>4.4999999999999998E-2</v>
      </c>
      <c r="BB534" s="616">
        <v>0.05</v>
      </c>
      <c r="BC534" s="616"/>
      <c r="BD534" s="612"/>
      <c r="BE534" s="596"/>
      <c r="BF534" s="598"/>
      <c r="BG534" s="598"/>
      <c r="BH534" s="598"/>
      <c r="BI534" s="598"/>
      <c r="BJ534" s="598"/>
      <c r="BK534" s="605"/>
      <c r="BL534" s="658">
        <f t="shared" si="389"/>
        <v>17200</v>
      </c>
      <c r="BM534" s="3">
        <f t="shared" si="390"/>
        <v>38</v>
      </c>
      <c r="BN534" s="3">
        <f t="shared" si="391"/>
        <v>22</v>
      </c>
      <c r="BO534" s="3">
        <f t="shared" si="392"/>
        <v>40</v>
      </c>
    </row>
    <row r="535" spans="2:67">
      <c r="B535" s="1271" t="s">
        <v>4408</v>
      </c>
      <c r="C535" s="1069" t="s">
        <v>309</v>
      </c>
      <c r="D535" s="1069" t="s">
        <v>360</v>
      </c>
      <c r="E535" s="238" t="s">
        <v>1150</v>
      </c>
      <c r="F535" s="1270">
        <v>532</v>
      </c>
      <c r="G535" s="1071">
        <v>11520</v>
      </c>
      <c r="H535" s="1072">
        <v>7680</v>
      </c>
      <c r="I535" s="1073">
        <v>12800</v>
      </c>
      <c r="J535" s="166">
        <f t="shared" si="380"/>
        <v>230</v>
      </c>
      <c r="K535" s="167">
        <f t="shared" si="381"/>
        <v>153</v>
      </c>
      <c r="L535" s="168">
        <f t="shared" si="382"/>
        <v>256</v>
      </c>
      <c r="M535" s="166">
        <f t="shared" si="383"/>
        <v>288</v>
      </c>
      <c r="N535" s="167">
        <f t="shared" si="384"/>
        <v>192</v>
      </c>
      <c r="O535" s="168">
        <f t="shared" si="385"/>
        <v>320</v>
      </c>
      <c r="P535" s="169">
        <f t="shared" si="386"/>
        <v>432</v>
      </c>
      <c r="Q535" s="169">
        <f t="shared" si="387"/>
        <v>288</v>
      </c>
      <c r="R535" s="169">
        <f t="shared" si="388"/>
        <v>480</v>
      </c>
      <c r="S535" s="584">
        <f t="shared" si="359"/>
        <v>2880</v>
      </c>
      <c r="T535" s="594">
        <f t="shared" si="360"/>
        <v>1920</v>
      </c>
      <c r="U535" s="595">
        <f t="shared" si="361"/>
        <v>3200</v>
      </c>
      <c r="V535" s="166">
        <f t="shared" si="362"/>
        <v>6566</v>
      </c>
      <c r="W535" s="167">
        <f t="shared" si="363"/>
        <v>4377</v>
      </c>
      <c r="X535" s="168">
        <f t="shared" si="364"/>
        <v>7296</v>
      </c>
      <c r="Y535" s="166">
        <f t="shared" si="365"/>
        <v>6998</v>
      </c>
      <c r="Z535" s="167">
        <f t="shared" si="366"/>
        <v>5241</v>
      </c>
      <c r="AA535" s="168">
        <f t="shared" si="367"/>
        <v>8256</v>
      </c>
      <c r="AB535" s="166">
        <f t="shared" si="368"/>
        <v>8294</v>
      </c>
      <c r="AC535" s="167">
        <f t="shared" si="369"/>
        <v>5529</v>
      </c>
      <c r="AD535" s="168">
        <f t="shared" si="370"/>
        <v>9696</v>
      </c>
      <c r="AE535" s="166">
        <f t="shared" si="371"/>
        <v>10022</v>
      </c>
      <c r="AF535" s="167">
        <f t="shared" si="372"/>
        <v>6105</v>
      </c>
      <c r="AG535" s="168">
        <f t="shared" si="373"/>
        <v>10656</v>
      </c>
      <c r="AH535" s="166">
        <f t="shared" si="374"/>
        <v>10886</v>
      </c>
      <c r="AI535" s="167">
        <f t="shared" si="375"/>
        <v>7257</v>
      </c>
      <c r="AJ535" s="168">
        <f t="shared" si="376"/>
        <v>11616</v>
      </c>
      <c r="AK535" s="169">
        <f t="shared" si="377"/>
        <v>11750</v>
      </c>
      <c r="AL535" s="167">
        <f t="shared" si="378"/>
        <v>7833</v>
      </c>
      <c r="AM535" s="585">
        <f t="shared" si="379"/>
        <v>13056</v>
      </c>
      <c r="AN535" s="1133">
        <v>0.28000000000000003</v>
      </c>
      <c r="AO535" s="1134">
        <v>0.28999999999999998</v>
      </c>
      <c r="AP535" s="1134">
        <v>0.3</v>
      </c>
      <c r="AQ535" s="1135">
        <v>0.31</v>
      </c>
      <c r="AR535" s="1132">
        <v>0.32</v>
      </c>
      <c r="AS535" s="1136"/>
      <c r="AT535" s="1137"/>
      <c r="AU535" s="1137"/>
      <c r="AV535" s="1137"/>
      <c r="AW535" s="1138"/>
      <c r="AX535" s="1133">
        <v>0.04</v>
      </c>
      <c r="AY535" s="1135">
        <v>4.2999999999999997E-2</v>
      </c>
      <c r="AZ535" s="1135">
        <v>4.5999999999999999E-2</v>
      </c>
      <c r="BA535" s="1135">
        <v>4.9000000000000002E-2</v>
      </c>
      <c r="BB535" s="1135">
        <v>5.1999999999999998E-2</v>
      </c>
      <c r="BC535" s="1135"/>
      <c r="BD535" s="1132"/>
      <c r="BE535" s="596"/>
      <c r="BF535" s="598"/>
      <c r="BG535" s="598"/>
      <c r="BH535" s="598"/>
      <c r="BI535" s="598"/>
      <c r="BJ535" s="598"/>
      <c r="BK535" s="605"/>
      <c r="BL535" s="658">
        <f t="shared" si="389"/>
        <v>32000</v>
      </c>
      <c r="BM535" s="3">
        <f t="shared" si="390"/>
        <v>36</v>
      </c>
      <c r="BN535" s="3">
        <f t="shared" si="391"/>
        <v>24</v>
      </c>
      <c r="BO535" s="3">
        <f t="shared" si="392"/>
        <v>40</v>
      </c>
    </row>
    <row r="536" spans="2:67">
      <c r="B536" s="606" t="s">
        <v>4383</v>
      </c>
      <c r="C536" s="607" t="s">
        <v>310</v>
      </c>
      <c r="D536" s="607" t="s">
        <v>358</v>
      </c>
      <c r="E536" s="238" t="s">
        <v>1150</v>
      </c>
      <c r="F536" s="608">
        <v>533</v>
      </c>
      <c r="G536" s="609">
        <v>7447</v>
      </c>
      <c r="H536" s="610">
        <v>5290</v>
      </c>
      <c r="I536" s="611">
        <v>6860</v>
      </c>
      <c r="J536" s="166">
        <f t="shared" si="380"/>
        <v>148</v>
      </c>
      <c r="K536" s="167">
        <f t="shared" si="381"/>
        <v>105</v>
      </c>
      <c r="L536" s="168">
        <f t="shared" si="382"/>
        <v>137</v>
      </c>
      <c r="M536" s="166">
        <f t="shared" si="383"/>
        <v>223</v>
      </c>
      <c r="N536" s="167">
        <f t="shared" si="384"/>
        <v>158</v>
      </c>
      <c r="O536" s="168">
        <f t="shared" si="385"/>
        <v>205</v>
      </c>
      <c r="P536" s="169">
        <f t="shared" si="386"/>
        <v>297</v>
      </c>
      <c r="Q536" s="169">
        <f t="shared" si="387"/>
        <v>211</v>
      </c>
      <c r="R536" s="169">
        <f t="shared" si="388"/>
        <v>274</v>
      </c>
      <c r="S536" s="584">
        <f t="shared" si="359"/>
        <v>2234</v>
      </c>
      <c r="T536" s="594">
        <f t="shared" si="360"/>
        <v>1587</v>
      </c>
      <c r="U536" s="595">
        <f t="shared" si="361"/>
        <v>2058</v>
      </c>
      <c r="V536" s="166">
        <f t="shared" si="362"/>
        <v>4612</v>
      </c>
      <c r="W536" s="167">
        <f t="shared" si="363"/>
        <v>3272</v>
      </c>
      <c r="X536" s="168">
        <f t="shared" si="364"/>
        <v>4245</v>
      </c>
      <c r="Y536" s="166">
        <f t="shared" si="365"/>
        <v>5206</v>
      </c>
      <c r="Z536" s="167">
        <f t="shared" si="366"/>
        <v>3694</v>
      </c>
      <c r="AA536" s="168">
        <f t="shared" si="367"/>
        <v>4793</v>
      </c>
      <c r="AB536" s="166">
        <f t="shared" si="368"/>
        <v>5800</v>
      </c>
      <c r="AC536" s="167">
        <f t="shared" si="369"/>
        <v>4116</v>
      </c>
      <c r="AD536" s="168">
        <f t="shared" si="370"/>
        <v>5341</v>
      </c>
      <c r="AE536" s="166">
        <f t="shared" si="371"/>
        <v>6097</v>
      </c>
      <c r="AF536" s="167">
        <f t="shared" si="372"/>
        <v>4538</v>
      </c>
      <c r="AG536" s="168">
        <f t="shared" si="373"/>
        <v>5889</v>
      </c>
      <c r="AH536" s="166">
        <f t="shared" si="374"/>
        <v>6691</v>
      </c>
      <c r="AI536" s="167">
        <f t="shared" si="375"/>
        <v>4749</v>
      </c>
      <c r="AJ536" s="168">
        <f t="shared" si="376"/>
        <v>6711</v>
      </c>
      <c r="AK536" s="169">
        <f t="shared" si="377"/>
        <v>7595</v>
      </c>
      <c r="AL536" s="167">
        <f t="shared" si="378"/>
        <v>5395</v>
      </c>
      <c r="AM536" s="585">
        <f t="shared" si="379"/>
        <v>6997</v>
      </c>
      <c r="AN536" s="614">
        <v>0.25</v>
      </c>
      <c r="AO536" s="615">
        <v>0.28000000000000003</v>
      </c>
      <c r="AP536" s="615">
        <v>0.31</v>
      </c>
      <c r="AQ536" s="616">
        <v>0.34</v>
      </c>
      <c r="AR536" s="612">
        <v>0.37</v>
      </c>
      <c r="AS536" s="617"/>
      <c r="AT536" s="618"/>
      <c r="AU536" s="618"/>
      <c r="AV536" s="618"/>
      <c r="AW536" s="619"/>
      <c r="AX536" s="614">
        <v>0.03</v>
      </c>
      <c r="AY536" s="616">
        <v>3.5000000000000003E-2</v>
      </c>
      <c r="AZ536" s="616">
        <v>0.04</v>
      </c>
      <c r="BA536" s="616">
        <v>4.4999999999999998E-2</v>
      </c>
      <c r="BB536" s="616">
        <v>0.05</v>
      </c>
      <c r="BC536" s="616"/>
      <c r="BD536" s="612"/>
      <c r="BE536" s="596"/>
      <c r="BF536" s="598"/>
      <c r="BG536" s="598"/>
      <c r="BH536" s="598"/>
      <c r="BI536" s="598"/>
      <c r="BJ536" s="598"/>
      <c r="BK536" s="605"/>
      <c r="BL536" s="658">
        <f t="shared" si="389"/>
        <v>19600</v>
      </c>
      <c r="BM536" s="3">
        <f t="shared" si="390"/>
        <v>38</v>
      </c>
      <c r="BN536" s="3">
        <f t="shared" si="391"/>
        <v>27</v>
      </c>
      <c r="BO536" s="3">
        <f t="shared" si="392"/>
        <v>35</v>
      </c>
    </row>
    <row r="537" spans="2:67">
      <c r="B537" s="1271" t="s">
        <v>4409</v>
      </c>
      <c r="C537" s="1069" t="s">
        <v>309</v>
      </c>
      <c r="D537" s="1069" t="s">
        <v>358</v>
      </c>
      <c r="E537" s="1268" t="s">
        <v>1150</v>
      </c>
      <c r="F537" s="592">
        <v>534</v>
      </c>
      <c r="G537" s="1071">
        <v>13120</v>
      </c>
      <c r="H537" s="1072">
        <v>7360</v>
      </c>
      <c r="I537" s="1073">
        <v>11520</v>
      </c>
      <c r="J537" s="166">
        <f t="shared" si="380"/>
        <v>262</v>
      </c>
      <c r="K537" s="167">
        <f t="shared" si="381"/>
        <v>147</v>
      </c>
      <c r="L537" s="168">
        <f t="shared" si="382"/>
        <v>230</v>
      </c>
      <c r="M537" s="166">
        <f t="shared" si="383"/>
        <v>328</v>
      </c>
      <c r="N537" s="167">
        <f t="shared" si="384"/>
        <v>184</v>
      </c>
      <c r="O537" s="168">
        <f t="shared" si="385"/>
        <v>288</v>
      </c>
      <c r="P537" s="169">
        <f t="shared" si="386"/>
        <v>492</v>
      </c>
      <c r="Q537" s="169">
        <f t="shared" si="387"/>
        <v>276</v>
      </c>
      <c r="R537" s="169">
        <f t="shared" si="388"/>
        <v>432</v>
      </c>
      <c r="S537" s="584">
        <f t="shared" ref="S537:S601" si="393">ROUND(IF($C537="UR",G537*0.25,G537*0.3),0)</f>
        <v>3280</v>
      </c>
      <c r="T537" s="594">
        <f t="shared" ref="T537:T601" si="394">ROUND(IF($C537="UR",H537*0.25,H537*0.3),0)</f>
        <v>1840</v>
      </c>
      <c r="U537" s="595">
        <f t="shared" ref="U537:U601" si="395">ROUND(IF($C537="UR",I537*0.25,I537*0.3),0)</f>
        <v>2880</v>
      </c>
      <c r="V537" s="166">
        <f t="shared" ref="V537:V601" si="396">(IF($C537="UR",IF($E537="party卡",18,12))+IF($C537="SR",10)+IF($C537="R",8))*M537+J537+S537</f>
        <v>7478</v>
      </c>
      <c r="W537" s="167">
        <f t="shared" ref="W537:W601" si="397">(IF($C537="UR",IF($E537="party卡",18,12))+IF($C537="SR",10)+IF($C537="R",8))*N537+K537+T537</f>
        <v>4195</v>
      </c>
      <c r="X537" s="168">
        <f t="shared" ref="X537:X601" si="398">(IF($C537="UR",IF($E537="party卡",18,12))+IF($C537="SR",10)+IF($C537="R",8))*O537+L537+U537</f>
        <v>6566</v>
      </c>
      <c r="Y537" s="166">
        <f t="shared" ref="Y537:Y601" si="399">V537+(IF(C537="UR",IF(E537="party卡",IF(D537="gd",1,2),IF(D537="vo",2)+IF(D537="sp",1)+IF(D537="gd",3)+IF(D537="sk",1)))+IF(C537="SR",2)+IF(C537="R",IF(D537="vo",1)+IF(D537="sp",2)+IF(D537="gd",1)+IF(D537="sk",2)))*P537</f>
        <v>8462</v>
      </c>
      <c r="Z537" s="167">
        <f t="shared" ref="Z537:Z601" si="400">W537+(IF(C537="UR",IF(E537="party卡",IF(D537="sp",1,2),IF(D537="vo",1)+IF(D537="sp",3)+IF(D537="gd",2)+IF(D537="sk",2)))+IF(C537="SR",2)+IF(C537="R",IF(D537="vo",2)+IF(D537="sp",1)+IF(D537="gd",1)+IF(D537="sk",1)))*Q537</f>
        <v>4471</v>
      </c>
      <c r="AA537" s="168">
        <f t="shared" ref="AA537:AA601" si="401">X537+(IF(C537="UR",IF(E537="party卡",IF(OR(D537="vo",D537="sk"),1,2),IF(D537="vo",3)+IF(D537="sp",2)+IF(D537="gd",1)+IF(D537="sk",3)))+IF(C537="SR",2)+IF(C537="R",IF(D537="vo",1)+IF(D537="sp",1)+IF(D537="gd",2)+IF(D537="sk",1)))*R537</f>
        <v>7862</v>
      </c>
      <c r="AB537" s="166">
        <f t="shared" ref="AB537:AB601" si="402">V537+(IF(C537="UR",IF(E537="party卡",IF(OR(D537="sp",D537="sk"),3,2),IF(D537="vo",5)+IF(D537="sp",4)+IF(D537="gd",4)+IF(D537="sk",4)))+IF(C537="SR",4)+IF(C537="R",IF(D537="vo",3)+IF(D537="sp",3)+IF(D537="gd",2)+IF(D537="sk",3)))*P537</f>
        <v>9938</v>
      </c>
      <c r="AC537" s="167">
        <f t="shared" ref="AC537:AC601" si="403">W537+(IF(C537="UR",IF(E537="party卡",IF(D537="vo",3,2),IF(D537="vo",4)+IF(D537="sp",4)+IF(D537="gd",5)+IF(D537="sk",5)))+IF(C537="SR",4)+IF(C537="R",IF(D537="vo",3)+IF(D537="sp",2)+IF(D537="gd",3)+IF(D537="sk",3)))*Q537</f>
        <v>5299</v>
      </c>
      <c r="AD537" s="168">
        <f t="shared" ref="AD537:AD601" si="404">X537+(IF(C537="UR",IF(E537="party卡",IF(D537="gd",3,2),IF(D537="vo",4)+IF(D537="sp",5)+IF(D537="gd",4)+IF(D537="sk",4)))+IF(C537="SR",4)+IF(C537="R",IF(D537="vo",2)+IF(D537="sp",3)+IF(D537="gd",3)+IF(D537="sk",2)))*R537</f>
        <v>8294</v>
      </c>
      <c r="AE537" s="166">
        <f t="shared" ref="AE537:AE601" si="405">V537+(IF(C537="UR",IF(E537="party卡",3,IF(D537="vo",7)+IF(D537="sp",8)+IF(D537="gd",6)+IF(D537="sk",8)))+IF(C537="SR",IF(D537="vo",5)+IF(D537="sp",6)+IF(D537="gd",6)+IF(D537="sk",6))+IF(C537="R",IF(D537="vo",5)+IF(D537="sp",4)+IF(D537="gd",4)+IF(D537="sk",4)))*P537</f>
        <v>10922</v>
      </c>
      <c r="AF537" s="167">
        <f t="shared" ref="AF537:AF601" si="406">W537+(IF(C537="UR",IF(E537="party卡",3,IF(D537="vo",8)+IF(D537="sp",6)+IF(D537="gd",7)+IF(D537="sk",7)))+IF(C537="SR",IF(D537="vo",6)+IF(D537="sp",6)+IF(D537="gd",5)+IF(D537="sk",5))+IF(C537="R",IF(D537="vo",4)+IF(D537="sp",4)+IF(D537="gd",5)+IF(D537="sk",5)))*Q537</f>
        <v>6403</v>
      </c>
      <c r="AG537" s="168">
        <f t="shared" ref="AG537:AG601" si="407">X537+(IF(C537="UR",IF(E537="party卡",3,IF(D537="vo",6)+IF(D537="sp",7)+IF(D537="gd",8)+IF(D537="sk",6)))+IF(C537="SR",IF(D537="vo",6)+IF(D537="sp",5)+IF(D537="gd",6)+IF(D537="sk",6))+IF(C537="R",IF(D537="vo",4)+IF(D537="sp",5)+IF(D537="gd",4)+IF(D537="sk",4)))*R537</f>
        <v>9158</v>
      </c>
      <c r="AH537" s="166">
        <f t="shared" ref="AH537:AH601" si="408">V537+(IF(C537="UR",IF(E537="party卡",4,IF(D537="vo",9)+IF(D537="sp",10)+IF(D537="gd",10)+IF(D537="sk",10)))+IF(C537="SR",IF(D537="vo",7)+IF(D537="sp",7)+IF(D537="gd",9)+IF(D537="sk",7))+IF(C537="R",IF(D537="vo",7)+IF(D537="sp",6)+IF(D537="gd",6)+IF(D537="sk",6)))*P537</f>
        <v>11906</v>
      </c>
      <c r="AI537" s="167">
        <f t="shared" ref="AI537:AI601" si="409">W537+(IF(C537="UR",IF(E537="party卡",4,IF(D537="vo",10)+IF(D537="sp",10)+IF(D537="gd",9)+IF(D537="sk",9)))+IF(C537="SR",IF(D537="vo",7)+IF(D537="sp",9)+IF(D537="gd",7)+IF(D537="sk",7))+IF(C537="R",IF(D537="vo",6)+IF(D537="sp",6)+IF(D537="gd",7)+IF(D537="sk",7)))*Q537</f>
        <v>6955</v>
      </c>
      <c r="AJ537" s="168">
        <f t="shared" ref="AJ537:AJ601" si="410">X537+(IF(C537="UR",IF(E537="party卡",4,IF(D537="vo",10)+IF(D537="sp",9)+IF(D537="gd",10)+IF(D537="sk",10)))+IF(C537="SR",IF(D537="vo",9)+IF(D537="sp",7)+IF(D537="gd",7)+IF(D537="sk",9))+IF(C537="R",IF(D537="vo",6)+IF(D537="sp",7)+IF(D537="gd",6)+IF(D537="sk",6)))*R537</f>
        <v>10886</v>
      </c>
      <c r="AK537" s="169">
        <f t="shared" ref="AK537:AK601" si="411">G537+J537</f>
        <v>13382</v>
      </c>
      <c r="AL537" s="167">
        <f t="shared" ref="AL537:AL601" si="412">H537+K537</f>
        <v>7507</v>
      </c>
      <c r="AM537" s="585">
        <f t="shared" ref="AM537:AM601" si="413">I537+L537</f>
        <v>11750</v>
      </c>
      <c r="AN537" s="1133">
        <v>0.06</v>
      </c>
      <c r="AO537" s="1134">
        <v>6.3E-2</v>
      </c>
      <c r="AP537" s="1134">
        <v>6.6000000000000003E-2</v>
      </c>
      <c r="AQ537" s="1135">
        <v>6.9000000000000006E-2</v>
      </c>
      <c r="AR537" s="1132">
        <v>7.1999999999999995E-2</v>
      </c>
      <c r="AS537" s="1136"/>
      <c r="AT537" s="1137"/>
      <c r="AU537" s="1137"/>
      <c r="AV537" s="1137"/>
      <c r="AW537" s="1138"/>
      <c r="AX537" s="1133">
        <v>0.04</v>
      </c>
      <c r="AY537" s="1135">
        <v>4.2999999999999997E-2</v>
      </c>
      <c r="AZ537" s="1135">
        <v>4.5999999999999999E-2</v>
      </c>
      <c r="BA537" s="1135">
        <v>4.9000000000000002E-2</v>
      </c>
      <c r="BB537" s="1135">
        <v>5.1999999999999998E-2</v>
      </c>
      <c r="BC537" s="1135"/>
      <c r="BD537" s="1132"/>
      <c r="BE537" s="596"/>
      <c r="BF537" s="598"/>
      <c r="BG537" s="598"/>
      <c r="BH537" s="598"/>
      <c r="BI537" s="598"/>
      <c r="BJ537" s="598"/>
      <c r="BK537" s="605"/>
      <c r="BL537" s="658">
        <f t="shared" si="389"/>
        <v>32000</v>
      </c>
      <c r="BM537" s="3">
        <f t="shared" si="390"/>
        <v>41</v>
      </c>
      <c r="BN537" s="3">
        <f t="shared" si="391"/>
        <v>23</v>
      </c>
      <c r="BO537" s="3">
        <f t="shared" si="392"/>
        <v>36</v>
      </c>
    </row>
    <row r="538" spans="2:67">
      <c r="B538" s="1271" t="s">
        <v>4410</v>
      </c>
      <c r="C538" s="1069" t="s">
        <v>309</v>
      </c>
      <c r="D538" s="1069" t="s">
        <v>358</v>
      </c>
      <c r="E538" s="1267" t="s">
        <v>125</v>
      </c>
      <c r="F538" s="1070">
        <v>535</v>
      </c>
      <c r="G538" s="1071">
        <v>12149</v>
      </c>
      <c r="H538" s="1072">
        <v>3509</v>
      </c>
      <c r="I538" s="1073">
        <v>11340</v>
      </c>
      <c r="J538" s="166">
        <f t="shared" si="380"/>
        <v>243</v>
      </c>
      <c r="K538" s="167">
        <f t="shared" si="381"/>
        <v>70</v>
      </c>
      <c r="L538" s="168">
        <f t="shared" si="382"/>
        <v>226</v>
      </c>
      <c r="M538" s="166">
        <f t="shared" si="383"/>
        <v>303</v>
      </c>
      <c r="N538" s="167">
        <f t="shared" si="384"/>
        <v>87</v>
      </c>
      <c r="O538" s="168">
        <f t="shared" si="385"/>
        <v>283</v>
      </c>
      <c r="P538" s="169">
        <f t="shared" si="386"/>
        <v>455</v>
      </c>
      <c r="Q538" s="169">
        <f t="shared" si="387"/>
        <v>131</v>
      </c>
      <c r="R538" s="169">
        <f t="shared" si="388"/>
        <v>425</v>
      </c>
      <c r="S538" s="584">
        <f t="shared" si="393"/>
        <v>3037</v>
      </c>
      <c r="T538" s="594">
        <f t="shared" si="394"/>
        <v>877</v>
      </c>
      <c r="U538" s="595">
        <f t="shared" si="395"/>
        <v>2835</v>
      </c>
      <c r="V538" s="166">
        <f t="shared" si="396"/>
        <v>6916</v>
      </c>
      <c r="W538" s="167">
        <f t="shared" si="397"/>
        <v>1991</v>
      </c>
      <c r="X538" s="168">
        <f t="shared" si="398"/>
        <v>6457</v>
      </c>
      <c r="Y538" s="166">
        <f t="shared" si="399"/>
        <v>7826</v>
      </c>
      <c r="Z538" s="167">
        <f t="shared" si="400"/>
        <v>2122</v>
      </c>
      <c r="AA538" s="168">
        <f t="shared" si="401"/>
        <v>7732</v>
      </c>
      <c r="AB538" s="166">
        <f t="shared" si="402"/>
        <v>9191</v>
      </c>
      <c r="AC538" s="167">
        <f t="shared" si="403"/>
        <v>2515</v>
      </c>
      <c r="AD538" s="168">
        <f t="shared" si="404"/>
        <v>8157</v>
      </c>
      <c r="AE538" s="166">
        <f t="shared" si="405"/>
        <v>10101</v>
      </c>
      <c r="AF538" s="167">
        <f t="shared" si="406"/>
        <v>3039</v>
      </c>
      <c r="AG538" s="168">
        <f t="shared" si="407"/>
        <v>9007</v>
      </c>
      <c r="AH538" s="166">
        <f t="shared" si="408"/>
        <v>11011</v>
      </c>
      <c r="AI538" s="167">
        <f t="shared" si="409"/>
        <v>3301</v>
      </c>
      <c r="AJ538" s="168">
        <f t="shared" si="410"/>
        <v>10707</v>
      </c>
      <c r="AK538" s="169">
        <f t="shared" si="411"/>
        <v>12392</v>
      </c>
      <c r="AL538" s="167">
        <f t="shared" si="412"/>
        <v>3579</v>
      </c>
      <c r="AM538" s="585">
        <f t="shared" si="413"/>
        <v>11566</v>
      </c>
      <c r="AN538" s="1133">
        <v>7.0000000000000007E-2</v>
      </c>
      <c r="AO538" s="1134">
        <v>7.2999999999999995E-2</v>
      </c>
      <c r="AP538" s="1134">
        <v>7.5999999999999998E-2</v>
      </c>
      <c r="AQ538" s="1135">
        <v>7.9000000000000001E-2</v>
      </c>
      <c r="AR538" s="1132">
        <v>8.2000000000000003E-2</v>
      </c>
      <c r="AS538" s="1136"/>
      <c r="AT538" s="1137"/>
      <c r="AU538" s="1137"/>
      <c r="AV538" s="1137"/>
      <c r="AW538" s="1138"/>
      <c r="AX538" s="596">
        <v>0.03</v>
      </c>
      <c r="AY538" s="598">
        <v>3.3000000000000002E-2</v>
      </c>
      <c r="AZ538" s="598">
        <v>3.5999999999999997E-2</v>
      </c>
      <c r="BA538" s="598">
        <v>3.9E-2</v>
      </c>
      <c r="BB538" s="598">
        <v>4.2000000000000003E-2</v>
      </c>
      <c r="BC538" s="1135"/>
      <c r="BD538" s="1132"/>
      <c r="BE538" s="596"/>
      <c r="BF538" s="598"/>
      <c r="BG538" s="598"/>
      <c r="BH538" s="598"/>
      <c r="BI538" s="598"/>
      <c r="BJ538" s="598"/>
      <c r="BK538" s="605"/>
      <c r="BL538" s="658">
        <f t="shared" si="389"/>
        <v>27000</v>
      </c>
      <c r="BM538" s="3">
        <f t="shared" si="390"/>
        <v>45</v>
      </c>
      <c r="BN538" s="3">
        <f t="shared" si="391"/>
        <v>13</v>
      </c>
      <c r="BO538" s="3">
        <f t="shared" si="392"/>
        <v>42</v>
      </c>
    </row>
    <row r="539" spans="2:67">
      <c r="B539" s="606" t="s">
        <v>4384</v>
      </c>
      <c r="C539" s="607" t="s">
        <v>310</v>
      </c>
      <c r="D539" s="607" t="s">
        <v>360</v>
      </c>
      <c r="E539" s="238" t="s">
        <v>125</v>
      </c>
      <c r="F539" s="592">
        <v>536</v>
      </c>
      <c r="G539" s="609">
        <v>6140</v>
      </c>
      <c r="H539" s="610">
        <v>4813</v>
      </c>
      <c r="I539" s="611">
        <v>5643</v>
      </c>
      <c r="J539" s="166">
        <f t="shared" si="380"/>
        <v>122</v>
      </c>
      <c r="K539" s="167">
        <f t="shared" si="381"/>
        <v>96</v>
      </c>
      <c r="L539" s="168">
        <f t="shared" si="382"/>
        <v>112</v>
      </c>
      <c r="M539" s="166">
        <f t="shared" si="383"/>
        <v>184</v>
      </c>
      <c r="N539" s="167">
        <f t="shared" si="384"/>
        <v>144</v>
      </c>
      <c r="O539" s="168">
        <f t="shared" si="385"/>
        <v>169</v>
      </c>
      <c r="P539" s="169">
        <f t="shared" si="386"/>
        <v>245</v>
      </c>
      <c r="Q539" s="169">
        <f t="shared" si="387"/>
        <v>192</v>
      </c>
      <c r="R539" s="169">
        <f t="shared" si="388"/>
        <v>225</v>
      </c>
      <c r="S539" s="584">
        <f t="shared" si="393"/>
        <v>1842</v>
      </c>
      <c r="T539" s="594">
        <f t="shared" si="394"/>
        <v>1444</v>
      </c>
      <c r="U539" s="595">
        <f t="shared" si="395"/>
        <v>1693</v>
      </c>
      <c r="V539" s="166">
        <f t="shared" si="396"/>
        <v>3804</v>
      </c>
      <c r="W539" s="167">
        <f t="shared" si="397"/>
        <v>2980</v>
      </c>
      <c r="X539" s="168">
        <f t="shared" si="398"/>
        <v>3495</v>
      </c>
      <c r="Y539" s="166">
        <f t="shared" si="399"/>
        <v>4294</v>
      </c>
      <c r="Z539" s="167">
        <f t="shared" si="400"/>
        <v>3364</v>
      </c>
      <c r="AA539" s="168">
        <f t="shared" si="401"/>
        <v>3945</v>
      </c>
      <c r="AB539" s="166">
        <f t="shared" si="402"/>
        <v>4784</v>
      </c>
      <c r="AC539" s="167">
        <f t="shared" si="403"/>
        <v>3748</v>
      </c>
      <c r="AD539" s="168">
        <f t="shared" si="404"/>
        <v>4395</v>
      </c>
      <c r="AE539" s="166">
        <f t="shared" si="405"/>
        <v>5274</v>
      </c>
      <c r="AF539" s="167">
        <f t="shared" si="406"/>
        <v>4132</v>
      </c>
      <c r="AG539" s="168">
        <f t="shared" si="407"/>
        <v>4620</v>
      </c>
      <c r="AH539" s="166">
        <f t="shared" si="408"/>
        <v>5519</v>
      </c>
      <c r="AI539" s="167">
        <f t="shared" si="409"/>
        <v>4708</v>
      </c>
      <c r="AJ539" s="168">
        <f t="shared" si="410"/>
        <v>5070</v>
      </c>
      <c r="AK539" s="169">
        <f t="shared" si="411"/>
        <v>6262</v>
      </c>
      <c r="AL539" s="167">
        <f t="shared" si="412"/>
        <v>4909</v>
      </c>
      <c r="AM539" s="585">
        <f t="shared" si="413"/>
        <v>5755</v>
      </c>
      <c r="AN539" s="614">
        <v>0.03</v>
      </c>
      <c r="AO539" s="615">
        <v>3.3000000000000002E-2</v>
      </c>
      <c r="AP539" s="615">
        <v>3.5999999999999997E-2</v>
      </c>
      <c r="AQ539" s="616">
        <v>3.9E-2</v>
      </c>
      <c r="AR539" s="612">
        <v>4.2000000000000003E-2</v>
      </c>
      <c r="AS539" s="617"/>
      <c r="AT539" s="618"/>
      <c r="AU539" s="618"/>
      <c r="AV539" s="618"/>
      <c r="AW539" s="619"/>
      <c r="AX539" s="614">
        <v>0.03</v>
      </c>
      <c r="AY539" s="616">
        <v>3.5000000000000003E-2</v>
      </c>
      <c r="AZ539" s="616">
        <v>0.04</v>
      </c>
      <c r="BA539" s="616">
        <v>4.4999999999999998E-2</v>
      </c>
      <c r="BB539" s="616">
        <v>0.05</v>
      </c>
      <c r="BC539" s="616"/>
      <c r="BD539" s="612"/>
      <c r="BE539" s="596"/>
      <c r="BF539" s="598"/>
      <c r="BG539" s="598"/>
      <c r="BH539" s="598"/>
      <c r="BI539" s="598"/>
      <c r="BJ539" s="598"/>
      <c r="BK539" s="605"/>
      <c r="BL539" s="658">
        <f t="shared" si="389"/>
        <v>16600</v>
      </c>
      <c r="BM539" s="3">
        <f t="shared" si="390"/>
        <v>37</v>
      </c>
      <c r="BN539" s="3">
        <f t="shared" si="391"/>
        <v>29</v>
      </c>
      <c r="BO539" s="3">
        <f t="shared" si="392"/>
        <v>34</v>
      </c>
    </row>
    <row r="540" spans="2:67">
      <c r="B540" s="606" t="s">
        <v>4386</v>
      </c>
      <c r="C540" s="607" t="s">
        <v>310</v>
      </c>
      <c r="D540" s="607" t="s">
        <v>359</v>
      </c>
      <c r="E540" s="613" t="s">
        <v>125</v>
      </c>
      <c r="F540" s="608">
        <v>537</v>
      </c>
      <c r="G540" s="609">
        <v>3983</v>
      </c>
      <c r="H540" s="610">
        <v>6970</v>
      </c>
      <c r="I540" s="611">
        <v>5643</v>
      </c>
      <c r="J540" s="166">
        <f t="shared" si="380"/>
        <v>79</v>
      </c>
      <c r="K540" s="167">
        <f t="shared" si="381"/>
        <v>139</v>
      </c>
      <c r="L540" s="168">
        <f t="shared" si="382"/>
        <v>112</v>
      </c>
      <c r="M540" s="166">
        <f t="shared" si="383"/>
        <v>119</v>
      </c>
      <c r="N540" s="167">
        <f t="shared" si="384"/>
        <v>209</v>
      </c>
      <c r="O540" s="168">
        <f t="shared" si="385"/>
        <v>169</v>
      </c>
      <c r="P540" s="169">
        <f t="shared" si="386"/>
        <v>159</v>
      </c>
      <c r="Q540" s="169">
        <f t="shared" si="387"/>
        <v>278</v>
      </c>
      <c r="R540" s="169">
        <f t="shared" si="388"/>
        <v>225</v>
      </c>
      <c r="S540" s="584">
        <f t="shared" si="393"/>
        <v>1195</v>
      </c>
      <c r="T540" s="594">
        <f t="shared" si="394"/>
        <v>2091</v>
      </c>
      <c r="U540" s="595">
        <f t="shared" si="395"/>
        <v>1693</v>
      </c>
      <c r="V540" s="166">
        <f t="shared" si="396"/>
        <v>2464</v>
      </c>
      <c r="W540" s="167">
        <f t="shared" si="397"/>
        <v>4320</v>
      </c>
      <c r="X540" s="168">
        <f t="shared" si="398"/>
        <v>3495</v>
      </c>
      <c r="Y540" s="166">
        <f t="shared" si="399"/>
        <v>2782</v>
      </c>
      <c r="Z540" s="167">
        <f t="shared" si="400"/>
        <v>4876</v>
      </c>
      <c r="AA540" s="168">
        <f t="shared" si="401"/>
        <v>3945</v>
      </c>
      <c r="AB540" s="166">
        <f t="shared" si="402"/>
        <v>3100</v>
      </c>
      <c r="AC540" s="167">
        <f t="shared" si="403"/>
        <v>5432</v>
      </c>
      <c r="AD540" s="168">
        <f t="shared" si="404"/>
        <v>4395</v>
      </c>
      <c r="AE540" s="166">
        <f t="shared" si="405"/>
        <v>3418</v>
      </c>
      <c r="AF540" s="167">
        <f t="shared" si="406"/>
        <v>5710</v>
      </c>
      <c r="AG540" s="168">
        <f t="shared" si="407"/>
        <v>4845</v>
      </c>
      <c r="AH540" s="166">
        <f t="shared" si="408"/>
        <v>3895</v>
      </c>
      <c r="AI540" s="167">
        <f t="shared" si="409"/>
        <v>6266</v>
      </c>
      <c r="AJ540" s="168">
        <f t="shared" si="410"/>
        <v>5070</v>
      </c>
      <c r="AK540" s="169">
        <f t="shared" si="411"/>
        <v>4062</v>
      </c>
      <c r="AL540" s="167">
        <f t="shared" si="412"/>
        <v>7109</v>
      </c>
      <c r="AM540" s="585">
        <f t="shared" si="413"/>
        <v>5755</v>
      </c>
      <c r="AN540" s="614">
        <v>0.2</v>
      </c>
      <c r="AO540" s="615">
        <v>0.23</v>
      </c>
      <c r="AP540" s="615">
        <v>0.26</v>
      </c>
      <c r="AQ540" s="616">
        <v>0.28999999999999998</v>
      </c>
      <c r="AR540" s="612">
        <v>0.32</v>
      </c>
      <c r="AS540" s="617"/>
      <c r="AT540" s="618"/>
      <c r="AU540" s="618"/>
      <c r="AV540" s="618"/>
      <c r="AW540" s="619"/>
      <c r="AX540" s="614">
        <v>0.02</v>
      </c>
      <c r="AY540" s="616">
        <v>2.3E-2</v>
      </c>
      <c r="AZ540" s="616">
        <v>2.5999999999999999E-2</v>
      </c>
      <c r="BA540" s="616">
        <v>2.9000000000000001E-2</v>
      </c>
      <c r="BB540" s="616">
        <v>3.2000000000000001E-2</v>
      </c>
      <c r="BC540" s="616"/>
      <c r="BD540" s="612"/>
      <c r="BE540" s="596"/>
      <c r="BF540" s="598"/>
      <c r="BG540" s="598"/>
      <c r="BH540" s="598"/>
      <c r="BI540" s="598"/>
      <c r="BJ540" s="598"/>
      <c r="BK540" s="605"/>
      <c r="BL540" s="658">
        <f t="shared" si="389"/>
        <v>16600</v>
      </c>
      <c r="BM540" s="3">
        <f t="shared" si="390"/>
        <v>24</v>
      </c>
      <c r="BN540" s="3">
        <f t="shared" si="391"/>
        <v>42</v>
      </c>
      <c r="BO540" s="3">
        <f t="shared" si="392"/>
        <v>34</v>
      </c>
    </row>
    <row r="541" spans="2:67">
      <c r="B541" s="1271" t="s">
        <v>4433</v>
      </c>
      <c r="C541" s="1069" t="s">
        <v>309</v>
      </c>
      <c r="D541" s="1069" t="s">
        <v>356</v>
      </c>
      <c r="E541" s="1268" t="s">
        <v>2115</v>
      </c>
      <c r="F541" s="1270">
        <v>538</v>
      </c>
      <c r="G541" s="1071">
        <v>12600</v>
      </c>
      <c r="H541" s="1072">
        <v>5984</v>
      </c>
      <c r="I541" s="1073">
        <v>12913</v>
      </c>
      <c r="J541" s="166">
        <f t="shared" si="380"/>
        <v>252</v>
      </c>
      <c r="K541" s="167">
        <f t="shared" si="381"/>
        <v>119</v>
      </c>
      <c r="L541" s="168">
        <f t="shared" si="382"/>
        <v>258</v>
      </c>
      <c r="M541" s="166">
        <f t="shared" si="383"/>
        <v>341</v>
      </c>
      <c r="N541" s="167">
        <f t="shared" si="384"/>
        <v>162</v>
      </c>
      <c r="O541" s="168">
        <f t="shared" si="385"/>
        <v>349</v>
      </c>
      <c r="P541" s="169">
        <f t="shared" si="386"/>
        <v>551</v>
      </c>
      <c r="Q541" s="169">
        <f t="shared" si="387"/>
        <v>261</v>
      </c>
      <c r="R541" s="169">
        <f t="shared" si="388"/>
        <v>564</v>
      </c>
      <c r="S541" s="584">
        <f t="shared" si="393"/>
        <v>3150</v>
      </c>
      <c r="T541" s="594">
        <f t="shared" si="394"/>
        <v>1496</v>
      </c>
      <c r="U541" s="595">
        <f t="shared" si="395"/>
        <v>3228</v>
      </c>
      <c r="V541" s="166">
        <f t="shared" si="396"/>
        <v>9540</v>
      </c>
      <c r="W541" s="167">
        <f t="shared" si="397"/>
        <v>4531</v>
      </c>
      <c r="X541" s="168">
        <f t="shared" si="398"/>
        <v>9768</v>
      </c>
      <c r="Y541" s="166">
        <f t="shared" si="399"/>
        <v>10642</v>
      </c>
      <c r="Z541" s="167">
        <f t="shared" si="400"/>
        <v>5053</v>
      </c>
      <c r="AA541" s="168">
        <f t="shared" si="401"/>
        <v>10332</v>
      </c>
      <c r="AB541" s="166">
        <f t="shared" si="402"/>
        <v>11193</v>
      </c>
      <c r="AC541" s="167">
        <f t="shared" si="403"/>
        <v>5053</v>
      </c>
      <c r="AD541" s="168">
        <f t="shared" si="404"/>
        <v>10896</v>
      </c>
      <c r="AE541" s="166">
        <f t="shared" si="405"/>
        <v>11193</v>
      </c>
      <c r="AF541" s="167">
        <f t="shared" si="406"/>
        <v>5314</v>
      </c>
      <c r="AG541" s="168">
        <f t="shared" si="407"/>
        <v>11460</v>
      </c>
      <c r="AH541" s="166">
        <f t="shared" si="408"/>
        <v>11744</v>
      </c>
      <c r="AI541" s="167">
        <f t="shared" si="409"/>
        <v>5575</v>
      </c>
      <c r="AJ541" s="168">
        <f t="shared" si="410"/>
        <v>12024</v>
      </c>
      <c r="AK541" s="169">
        <f t="shared" si="411"/>
        <v>12852</v>
      </c>
      <c r="AL541" s="167">
        <f t="shared" si="412"/>
        <v>6103</v>
      </c>
      <c r="AM541" s="585">
        <f t="shared" si="413"/>
        <v>13171</v>
      </c>
      <c r="AN541" s="1133">
        <v>0.48</v>
      </c>
      <c r="AO541" s="1134">
        <v>0.51</v>
      </c>
      <c r="AP541" s="1134">
        <v>0.54</v>
      </c>
      <c r="AQ541" s="1135">
        <v>0.56999999999999995</v>
      </c>
      <c r="AR541" s="1132">
        <v>0.6</v>
      </c>
      <c r="AS541" s="1136"/>
      <c r="AT541" s="1137"/>
      <c r="AU541" s="1137"/>
      <c r="AV541" s="1137"/>
      <c r="AW541" s="1138"/>
      <c r="AX541" s="1133">
        <v>5.2999999999999999E-2</v>
      </c>
      <c r="AY541" s="1135">
        <v>5.5E-2</v>
      </c>
      <c r="AZ541" s="1135">
        <v>5.7000000000000002E-2</v>
      </c>
      <c r="BA541" s="1135">
        <v>5.8999999999999997E-2</v>
      </c>
      <c r="BB541" s="1135">
        <v>6.0999999999999999E-2</v>
      </c>
      <c r="BC541" s="1135">
        <v>6.3E-2</v>
      </c>
      <c r="BD541" s="1132">
        <v>6.5000000000000002E-2</v>
      </c>
      <c r="BE541" s="596">
        <v>2.1999999999999999E-2</v>
      </c>
      <c r="BF541" s="598">
        <v>2.4E-2</v>
      </c>
      <c r="BG541" s="598">
        <v>2.5999999999999999E-2</v>
      </c>
      <c r="BH541" s="598">
        <v>2.8000000000000001E-2</v>
      </c>
      <c r="BI541" s="598">
        <v>0.03</v>
      </c>
      <c r="BJ541" s="598">
        <v>3.1E-2</v>
      </c>
      <c r="BK541" s="605">
        <v>3.2000000000000001E-2</v>
      </c>
      <c r="BL541" s="658">
        <f t="shared" si="389"/>
        <v>31500</v>
      </c>
      <c r="BM541" s="3">
        <f t="shared" si="390"/>
        <v>40</v>
      </c>
      <c r="BN541" s="3">
        <f t="shared" si="391"/>
        <v>19</v>
      </c>
      <c r="BO541" s="3">
        <f t="shared" si="392"/>
        <v>41</v>
      </c>
    </row>
    <row r="542" spans="2:67">
      <c r="B542" s="606" t="s">
        <v>4438</v>
      </c>
      <c r="C542" s="981" t="s">
        <v>310</v>
      </c>
      <c r="D542" s="607" t="s">
        <v>358</v>
      </c>
      <c r="E542" s="980" t="s">
        <v>1150</v>
      </c>
      <c r="F542" s="608">
        <v>539</v>
      </c>
      <c r="G542" s="609">
        <v>7840</v>
      </c>
      <c r="H542" s="610">
        <v>7447</v>
      </c>
      <c r="I542" s="611">
        <v>4310</v>
      </c>
      <c r="J542" s="166">
        <f t="shared" si="380"/>
        <v>156</v>
      </c>
      <c r="K542" s="167">
        <f t="shared" si="381"/>
        <v>148</v>
      </c>
      <c r="L542" s="168">
        <f t="shared" si="382"/>
        <v>86</v>
      </c>
      <c r="M542" s="166">
        <f t="shared" si="383"/>
        <v>235</v>
      </c>
      <c r="N542" s="167">
        <f t="shared" si="384"/>
        <v>223</v>
      </c>
      <c r="O542" s="168">
        <f t="shared" si="385"/>
        <v>129</v>
      </c>
      <c r="P542" s="169">
        <f t="shared" si="386"/>
        <v>313</v>
      </c>
      <c r="Q542" s="169">
        <f t="shared" si="387"/>
        <v>297</v>
      </c>
      <c r="R542" s="169">
        <f t="shared" si="388"/>
        <v>172</v>
      </c>
      <c r="S542" s="584">
        <f t="shared" si="393"/>
        <v>2352</v>
      </c>
      <c r="T542" s="594">
        <f t="shared" si="394"/>
        <v>2234</v>
      </c>
      <c r="U542" s="595">
        <f t="shared" si="395"/>
        <v>1293</v>
      </c>
      <c r="V542" s="166">
        <f t="shared" si="396"/>
        <v>4858</v>
      </c>
      <c r="W542" s="167">
        <f t="shared" si="397"/>
        <v>4612</v>
      </c>
      <c r="X542" s="168">
        <f t="shared" si="398"/>
        <v>2669</v>
      </c>
      <c r="Y542" s="166">
        <f t="shared" si="399"/>
        <v>5484</v>
      </c>
      <c r="Z542" s="167">
        <f t="shared" si="400"/>
        <v>5206</v>
      </c>
      <c r="AA542" s="168">
        <f t="shared" si="401"/>
        <v>3013</v>
      </c>
      <c r="AB542" s="166">
        <f t="shared" si="402"/>
        <v>6110</v>
      </c>
      <c r="AC542" s="167">
        <f t="shared" si="403"/>
        <v>5800</v>
      </c>
      <c r="AD542" s="168">
        <f t="shared" si="404"/>
        <v>3357</v>
      </c>
      <c r="AE542" s="166">
        <f t="shared" si="405"/>
        <v>6423</v>
      </c>
      <c r="AF542" s="167">
        <f t="shared" si="406"/>
        <v>6394</v>
      </c>
      <c r="AG542" s="168">
        <f t="shared" si="407"/>
        <v>3701</v>
      </c>
      <c r="AH542" s="166">
        <f t="shared" si="408"/>
        <v>7049</v>
      </c>
      <c r="AI542" s="167">
        <f t="shared" si="409"/>
        <v>6691</v>
      </c>
      <c r="AJ542" s="168">
        <f t="shared" si="410"/>
        <v>4217</v>
      </c>
      <c r="AK542" s="169">
        <f t="shared" si="411"/>
        <v>7996</v>
      </c>
      <c r="AL542" s="167">
        <f t="shared" si="412"/>
        <v>7595</v>
      </c>
      <c r="AM542" s="585">
        <f t="shared" si="413"/>
        <v>4396</v>
      </c>
      <c r="AN542" s="614">
        <v>0.04</v>
      </c>
      <c r="AO542" s="615">
        <v>4.2999999999999997E-2</v>
      </c>
      <c r="AP542" s="615">
        <v>4.5999999999999999E-2</v>
      </c>
      <c r="AQ542" s="616">
        <v>4.9000000000000002E-2</v>
      </c>
      <c r="AR542" s="612">
        <v>5.1999999999999998E-2</v>
      </c>
      <c r="AS542" s="617"/>
      <c r="AT542" s="618"/>
      <c r="AU542" s="618"/>
      <c r="AV542" s="618"/>
      <c r="AW542" s="619"/>
      <c r="AX542" s="614">
        <v>0.02</v>
      </c>
      <c r="AY542" s="616">
        <v>2.3E-2</v>
      </c>
      <c r="AZ542" s="616">
        <v>2.5999999999999999E-2</v>
      </c>
      <c r="BA542" s="616">
        <v>2.9000000000000001E-2</v>
      </c>
      <c r="BB542" s="616">
        <v>3.2000000000000001E-2</v>
      </c>
      <c r="BC542" s="616"/>
      <c r="BD542" s="612"/>
      <c r="BE542" s="596"/>
      <c r="BF542" s="598"/>
      <c r="BG542" s="598"/>
      <c r="BH542" s="598"/>
      <c r="BI542" s="598"/>
      <c r="BJ542" s="598"/>
      <c r="BK542" s="605"/>
      <c r="BL542" s="658">
        <f t="shared" si="389"/>
        <v>19600</v>
      </c>
      <c r="BM542" s="3">
        <f t="shared" si="390"/>
        <v>40</v>
      </c>
      <c r="BN542" s="3">
        <f t="shared" si="391"/>
        <v>38</v>
      </c>
      <c r="BO542" s="3">
        <f t="shared" si="392"/>
        <v>22</v>
      </c>
    </row>
    <row r="543" spans="2:67">
      <c r="B543" s="606" t="s">
        <v>4453</v>
      </c>
      <c r="C543" s="607" t="s">
        <v>309</v>
      </c>
      <c r="D543" s="607" t="s">
        <v>4454</v>
      </c>
      <c r="E543" s="1267" t="s">
        <v>1150</v>
      </c>
      <c r="F543" s="1270">
        <v>540</v>
      </c>
      <c r="G543" s="609">
        <v>11700</v>
      </c>
      <c r="H543" s="610">
        <v>8449</v>
      </c>
      <c r="I543" s="611">
        <v>12349</v>
      </c>
      <c r="J543" s="166">
        <f t="shared" si="380"/>
        <v>234</v>
      </c>
      <c r="K543" s="167">
        <f t="shared" si="381"/>
        <v>169</v>
      </c>
      <c r="L543" s="168">
        <f t="shared" si="382"/>
        <v>247</v>
      </c>
      <c r="M543" s="166">
        <f t="shared" si="383"/>
        <v>292</v>
      </c>
      <c r="N543" s="167">
        <f t="shared" si="384"/>
        <v>211</v>
      </c>
      <c r="O543" s="168">
        <f t="shared" si="385"/>
        <v>308</v>
      </c>
      <c r="P543" s="169">
        <f t="shared" si="386"/>
        <v>438</v>
      </c>
      <c r="Q543" s="169">
        <f t="shared" si="387"/>
        <v>316</v>
      </c>
      <c r="R543" s="169">
        <f t="shared" si="388"/>
        <v>463</v>
      </c>
      <c r="S543" s="584">
        <f t="shared" si="393"/>
        <v>2925</v>
      </c>
      <c r="T543" s="594">
        <f t="shared" si="394"/>
        <v>2112</v>
      </c>
      <c r="U543" s="595">
        <f t="shared" si="395"/>
        <v>3087</v>
      </c>
      <c r="V543" s="166">
        <f t="shared" si="396"/>
        <v>6663</v>
      </c>
      <c r="W543" s="167">
        <f t="shared" si="397"/>
        <v>4813</v>
      </c>
      <c r="X543" s="168">
        <f t="shared" si="398"/>
        <v>7030</v>
      </c>
      <c r="Y543" s="166">
        <f t="shared" si="399"/>
        <v>7101</v>
      </c>
      <c r="Z543" s="167">
        <f t="shared" si="400"/>
        <v>5445</v>
      </c>
      <c r="AA543" s="168">
        <f t="shared" si="401"/>
        <v>8419</v>
      </c>
      <c r="AB543" s="166">
        <f t="shared" si="402"/>
        <v>8415</v>
      </c>
      <c r="AC543" s="167">
        <f t="shared" si="403"/>
        <v>6393</v>
      </c>
      <c r="AD543" s="168">
        <f t="shared" si="404"/>
        <v>8882</v>
      </c>
      <c r="AE543" s="166">
        <f t="shared" si="405"/>
        <v>10167</v>
      </c>
      <c r="AF543" s="167">
        <f t="shared" si="406"/>
        <v>7025</v>
      </c>
      <c r="AG543" s="168">
        <f t="shared" si="407"/>
        <v>9808</v>
      </c>
      <c r="AH543" s="166">
        <f t="shared" si="408"/>
        <v>11043</v>
      </c>
      <c r="AI543" s="167">
        <f t="shared" si="409"/>
        <v>7657</v>
      </c>
      <c r="AJ543" s="168">
        <f t="shared" si="410"/>
        <v>11660</v>
      </c>
      <c r="AK543" s="169">
        <f t="shared" si="411"/>
        <v>11934</v>
      </c>
      <c r="AL543" s="167">
        <f t="shared" si="412"/>
        <v>8618</v>
      </c>
      <c r="AM543" s="585">
        <f t="shared" si="413"/>
        <v>12596</v>
      </c>
      <c r="AN543" s="1133">
        <v>0.11</v>
      </c>
      <c r="AO543" s="1134">
        <v>0.12</v>
      </c>
      <c r="AP543" s="1134">
        <v>0.13</v>
      </c>
      <c r="AQ543" s="1135">
        <v>0.14000000000000001</v>
      </c>
      <c r="AR543" s="1132">
        <v>0.15</v>
      </c>
      <c r="AS543" s="1136"/>
      <c r="AT543" s="1137"/>
      <c r="AU543" s="1137"/>
      <c r="AV543" s="1137"/>
      <c r="AW543" s="1138"/>
      <c r="AX543" s="1133">
        <v>0.04</v>
      </c>
      <c r="AY543" s="1135">
        <v>4.2999999999999997E-2</v>
      </c>
      <c r="AZ543" s="1135">
        <v>4.5999999999999999E-2</v>
      </c>
      <c r="BA543" s="1135">
        <v>4.9000000000000002E-2</v>
      </c>
      <c r="BB543" s="1135">
        <v>5.1999999999999998E-2</v>
      </c>
      <c r="BC543" s="1135"/>
      <c r="BD543" s="1132"/>
      <c r="BE543" s="596"/>
      <c r="BF543" s="598"/>
      <c r="BG543" s="598"/>
      <c r="BH543" s="598"/>
      <c r="BI543" s="598"/>
      <c r="BJ543" s="598"/>
      <c r="BK543" s="605"/>
      <c r="BL543" s="658">
        <f t="shared" si="389"/>
        <v>32500</v>
      </c>
      <c r="BM543" s="3">
        <f t="shared" si="390"/>
        <v>36</v>
      </c>
      <c r="BN543" s="3">
        <f t="shared" si="391"/>
        <v>26</v>
      </c>
      <c r="BO543" s="3">
        <f t="shared" si="392"/>
        <v>38</v>
      </c>
    </row>
    <row r="544" spans="2:67">
      <c r="B544" s="606" t="s">
        <v>4457</v>
      </c>
      <c r="C544" s="607" t="s">
        <v>310</v>
      </c>
      <c r="D544" s="607" t="s">
        <v>4458</v>
      </c>
      <c r="E544" s="982" t="s">
        <v>1150</v>
      </c>
      <c r="F544" s="608">
        <v>541</v>
      </c>
      <c r="G544" s="609">
        <v>6270</v>
      </c>
      <c r="H544" s="610">
        <v>6270</v>
      </c>
      <c r="I544" s="611">
        <v>7054</v>
      </c>
      <c r="J544" s="166">
        <f t="shared" si="380"/>
        <v>125</v>
      </c>
      <c r="K544" s="167">
        <f t="shared" si="381"/>
        <v>125</v>
      </c>
      <c r="L544" s="168">
        <f t="shared" si="382"/>
        <v>141</v>
      </c>
      <c r="M544" s="166">
        <f t="shared" si="383"/>
        <v>188</v>
      </c>
      <c r="N544" s="167">
        <f t="shared" si="384"/>
        <v>188</v>
      </c>
      <c r="O544" s="168">
        <f t="shared" si="385"/>
        <v>211</v>
      </c>
      <c r="P544" s="169">
        <f t="shared" si="386"/>
        <v>250</v>
      </c>
      <c r="Q544" s="169">
        <f t="shared" si="387"/>
        <v>250</v>
      </c>
      <c r="R544" s="169">
        <f t="shared" si="388"/>
        <v>282</v>
      </c>
      <c r="S544" s="584">
        <f t="shared" si="393"/>
        <v>1881</v>
      </c>
      <c r="T544" s="594">
        <f t="shared" si="394"/>
        <v>1881</v>
      </c>
      <c r="U544" s="595">
        <f t="shared" si="395"/>
        <v>2116</v>
      </c>
      <c r="V544" s="166">
        <f t="shared" si="396"/>
        <v>3886</v>
      </c>
      <c r="W544" s="167">
        <f t="shared" si="397"/>
        <v>3886</v>
      </c>
      <c r="X544" s="168">
        <f t="shared" si="398"/>
        <v>4367</v>
      </c>
      <c r="Y544" s="166">
        <f t="shared" si="399"/>
        <v>4386</v>
      </c>
      <c r="Z544" s="167">
        <f t="shared" si="400"/>
        <v>4386</v>
      </c>
      <c r="AA544" s="168">
        <f t="shared" si="401"/>
        <v>4931</v>
      </c>
      <c r="AB544" s="166">
        <f t="shared" si="402"/>
        <v>4886</v>
      </c>
      <c r="AC544" s="167">
        <f t="shared" si="403"/>
        <v>4886</v>
      </c>
      <c r="AD544" s="168">
        <f t="shared" si="404"/>
        <v>5495</v>
      </c>
      <c r="AE544" s="166">
        <f t="shared" si="405"/>
        <v>5386</v>
      </c>
      <c r="AF544" s="167">
        <f t="shared" si="406"/>
        <v>5386</v>
      </c>
      <c r="AG544" s="168">
        <f t="shared" si="407"/>
        <v>5777</v>
      </c>
      <c r="AH544" s="166">
        <f t="shared" si="408"/>
        <v>5636</v>
      </c>
      <c r="AI544" s="167">
        <f t="shared" si="409"/>
        <v>6136</v>
      </c>
      <c r="AJ544" s="168">
        <f t="shared" si="410"/>
        <v>6341</v>
      </c>
      <c r="AK544" s="169">
        <f t="shared" si="411"/>
        <v>6395</v>
      </c>
      <c r="AL544" s="167">
        <f t="shared" si="412"/>
        <v>6395</v>
      </c>
      <c r="AM544" s="585">
        <f t="shared" si="413"/>
        <v>7195</v>
      </c>
      <c r="AN544" s="614">
        <v>0.2</v>
      </c>
      <c r="AO544" s="615">
        <v>0.20499999999999999</v>
      </c>
      <c r="AP544" s="615">
        <v>0.21</v>
      </c>
      <c r="AQ544" s="616">
        <v>0.215</v>
      </c>
      <c r="AR544" s="612">
        <v>0.22</v>
      </c>
      <c r="AS544" s="617"/>
      <c r="AT544" s="618"/>
      <c r="AU544" s="618"/>
      <c r="AV544" s="618"/>
      <c r="AW544" s="619"/>
      <c r="AX544" s="614">
        <v>0.03</v>
      </c>
      <c r="AY544" s="616">
        <v>3.5000000000000003E-2</v>
      </c>
      <c r="AZ544" s="616">
        <v>0.04</v>
      </c>
      <c r="BA544" s="616">
        <v>4.4999999999999998E-2</v>
      </c>
      <c r="BB544" s="616">
        <v>0.05</v>
      </c>
      <c r="BC544" s="616"/>
      <c r="BD544" s="612"/>
      <c r="BE544" s="596"/>
      <c r="BF544" s="598"/>
      <c r="BG544" s="598"/>
      <c r="BH544" s="598"/>
      <c r="BI544" s="598"/>
      <c r="BJ544" s="598"/>
      <c r="BK544" s="605"/>
      <c r="BL544" s="658">
        <f t="shared" si="389"/>
        <v>19600</v>
      </c>
      <c r="BM544" s="3">
        <f t="shared" si="390"/>
        <v>32</v>
      </c>
      <c r="BN544" s="3">
        <f t="shared" si="391"/>
        <v>32</v>
      </c>
      <c r="BO544" s="3">
        <f t="shared" si="392"/>
        <v>36</v>
      </c>
    </row>
    <row r="545" spans="2:67">
      <c r="B545" s="1271" t="s">
        <v>4462</v>
      </c>
      <c r="C545" s="1069" t="s">
        <v>309</v>
      </c>
      <c r="D545" s="1069" t="s">
        <v>4463</v>
      </c>
      <c r="E545" s="1268" t="s">
        <v>1150</v>
      </c>
      <c r="F545" s="592">
        <v>542</v>
      </c>
      <c r="G545" s="1071">
        <v>13760</v>
      </c>
      <c r="H545" s="1072">
        <v>6400</v>
      </c>
      <c r="I545" s="1073">
        <v>11840</v>
      </c>
      <c r="J545" s="166">
        <f t="shared" si="380"/>
        <v>275</v>
      </c>
      <c r="K545" s="167">
        <f t="shared" si="381"/>
        <v>128</v>
      </c>
      <c r="L545" s="168">
        <f t="shared" si="382"/>
        <v>236</v>
      </c>
      <c r="M545" s="166">
        <f t="shared" si="383"/>
        <v>344</v>
      </c>
      <c r="N545" s="167">
        <f t="shared" si="384"/>
        <v>160</v>
      </c>
      <c r="O545" s="168">
        <f t="shared" si="385"/>
        <v>296</v>
      </c>
      <c r="P545" s="169">
        <f t="shared" si="386"/>
        <v>516</v>
      </c>
      <c r="Q545" s="169">
        <f t="shared" si="387"/>
        <v>240</v>
      </c>
      <c r="R545" s="169">
        <f t="shared" si="388"/>
        <v>444</v>
      </c>
      <c r="S545" s="584">
        <f t="shared" si="393"/>
        <v>3440</v>
      </c>
      <c r="T545" s="594">
        <f t="shared" si="394"/>
        <v>1600</v>
      </c>
      <c r="U545" s="595">
        <f t="shared" si="395"/>
        <v>2960</v>
      </c>
      <c r="V545" s="166">
        <f t="shared" si="396"/>
        <v>7843</v>
      </c>
      <c r="W545" s="167">
        <f t="shared" si="397"/>
        <v>3648</v>
      </c>
      <c r="X545" s="168">
        <f t="shared" si="398"/>
        <v>6748</v>
      </c>
      <c r="Y545" s="166">
        <f t="shared" si="399"/>
        <v>8875</v>
      </c>
      <c r="Z545" s="167">
        <f t="shared" si="400"/>
        <v>3888</v>
      </c>
      <c r="AA545" s="168">
        <f t="shared" si="401"/>
        <v>8080</v>
      </c>
      <c r="AB545" s="166">
        <f t="shared" si="402"/>
        <v>10423</v>
      </c>
      <c r="AC545" s="167">
        <f t="shared" si="403"/>
        <v>4608</v>
      </c>
      <c r="AD545" s="168">
        <f t="shared" si="404"/>
        <v>8524</v>
      </c>
      <c r="AE545" s="166">
        <f t="shared" si="405"/>
        <v>11455</v>
      </c>
      <c r="AF545" s="167">
        <f t="shared" si="406"/>
        <v>5568</v>
      </c>
      <c r="AG545" s="168">
        <f t="shared" si="407"/>
        <v>9412</v>
      </c>
      <c r="AH545" s="166">
        <f t="shared" si="408"/>
        <v>12487</v>
      </c>
      <c r="AI545" s="167">
        <f t="shared" si="409"/>
        <v>6048</v>
      </c>
      <c r="AJ545" s="168">
        <f t="shared" si="410"/>
        <v>11188</v>
      </c>
      <c r="AK545" s="169">
        <f t="shared" si="411"/>
        <v>14035</v>
      </c>
      <c r="AL545" s="167">
        <f t="shared" si="412"/>
        <v>6528</v>
      </c>
      <c r="AM545" s="585">
        <f t="shared" si="413"/>
        <v>12076</v>
      </c>
      <c r="AN545" s="596">
        <v>0.05</v>
      </c>
      <c r="AO545" s="597">
        <v>5.2999999999999999E-2</v>
      </c>
      <c r="AP545" s="597">
        <v>5.6000000000000001E-2</v>
      </c>
      <c r="AQ545" s="598">
        <v>5.8999999999999997E-2</v>
      </c>
      <c r="AR545" s="599">
        <v>6.2E-2</v>
      </c>
      <c r="AS545" s="1136"/>
      <c r="AT545" s="1137"/>
      <c r="AU545" s="1137"/>
      <c r="AV545" s="1137"/>
      <c r="AW545" s="1138"/>
      <c r="AX545" s="1133">
        <v>0.04</v>
      </c>
      <c r="AY545" s="1135">
        <v>4.2999999999999997E-2</v>
      </c>
      <c r="AZ545" s="1135">
        <v>4.5999999999999999E-2</v>
      </c>
      <c r="BA545" s="1135">
        <v>4.9000000000000002E-2</v>
      </c>
      <c r="BB545" s="1135">
        <v>5.1999999999999998E-2</v>
      </c>
      <c r="BC545" s="1135"/>
      <c r="BD545" s="1132"/>
      <c r="BE545" s="596"/>
      <c r="BF545" s="598"/>
      <c r="BG545" s="598"/>
      <c r="BH545" s="598"/>
      <c r="BI545" s="598"/>
      <c r="BJ545" s="598"/>
      <c r="BK545" s="605"/>
      <c r="BL545" s="658">
        <f t="shared" si="389"/>
        <v>32000</v>
      </c>
      <c r="BM545" s="3">
        <f t="shared" si="390"/>
        <v>43</v>
      </c>
      <c r="BN545" s="3">
        <f t="shared" si="391"/>
        <v>20</v>
      </c>
      <c r="BO545" s="3">
        <f t="shared" si="392"/>
        <v>37</v>
      </c>
    </row>
    <row r="546" spans="2:67">
      <c r="B546" s="1271" t="s">
        <v>4468</v>
      </c>
      <c r="C546" s="1069" t="s">
        <v>309</v>
      </c>
      <c r="D546" s="1069" t="s">
        <v>4469</v>
      </c>
      <c r="E546" s="982" t="s">
        <v>125</v>
      </c>
      <c r="F546" s="1070">
        <v>543</v>
      </c>
      <c r="G546" s="1071">
        <v>6480</v>
      </c>
      <c r="H546" s="1072">
        <v>12149</v>
      </c>
      <c r="I546" s="1073">
        <v>8369</v>
      </c>
      <c r="J546" s="166">
        <f t="shared" si="380"/>
        <v>129</v>
      </c>
      <c r="K546" s="167">
        <f t="shared" si="381"/>
        <v>243</v>
      </c>
      <c r="L546" s="168">
        <f t="shared" si="382"/>
        <v>167</v>
      </c>
      <c r="M546" s="166">
        <f t="shared" si="383"/>
        <v>162</v>
      </c>
      <c r="N546" s="167">
        <f t="shared" si="384"/>
        <v>303</v>
      </c>
      <c r="O546" s="168">
        <f t="shared" si="385"/>
        <v>209</v>
      </c>
      <c r="P546" s="169">
        <f t="shared" si="386"/>
        <v>243</v>
      </c>
      <c r="Q546" s="169">
        <f t="shared" si="387"/>
        <v>455</v>
      </c>
      <c r="R546" s="169">
        <f t="shared" si="388"/>
        <v>313</v>
      </c>
      <c r="S546" s="584">
        <f t="shared" si="393"/>
        <v>1620</v>
      </c>
      <c r="T546" s="594">
        <f t="shared" si="394"/>
        <v>3037</v>
      </c>
      <c r="U546" s="595">
        <f t="shared" si="395"/>
        <v>2092</v>
      </c>
      <c r="V546" s="166">
        <f t="shared" si="396"/>
        <v>3693</v>
      </c>
      <c r="W546" s="167">
        <f t="shared" si="397"/>
        <v>6916</v>
      </c>
      <c r="X546" s="168">
        <f t="shared" si="398"/>
        <v>4767</v>
      </c>
      <c r="Y546" s="166">
        <f t="shared" si="399"/>
        <v>4422</v>
      </c>
      <c r="Z546" s="167">
        <f t="shared" si="400"/>
        <v>7826</v>
      </c>
      <c r="AA546" s="168">
        <f t="shared" si="401"/>
        <v>5080</v>
      </c>
      <c r="AB546" s="166">
        <f t="shared" si="402"/>
        <v>4665</v>
      </c>
      <c r="AC546" s="167">
        <f t="shared" si="403"/>
        <v>9191</v>
      </c>
      <c r="AD546" s="168">
        <f t="shared" si="404"/>
        <v>6019</v>
      </c>
      <c r="AE546" s="166">
        <f t="shared" si="405"/>
        <v>5151</v>
      </c>
      <c r="AF546" s="167">
        <f t="shared" si="406"/>
        <v>10101</v>
      </c>
      <c r="AG546" s="168">
        <f t="shared" si="407"/>
        <v>7271</v>
      </c>
      <c r="AH546" s="166">
        <f t="shared" si="408"/>
        <v>6123</v>
      </c>
      <c r="AI546" s="167">
        <f t="shared" si="409"/>
        <v>11011</v>
      </c>
      <c r="AJ546" s="168">
        <f t="shared" si="410"/>
        <v>7897</v>
      </c>
      <c r="AK546" s="169">
        <f t="shared" si="411"/>
        <v>6609</v>
      </c>
      <c r="AL546" s="167">
        <f t="shared" si="412"/>
        <v>12392</v>
      </c>
      <c r="AM546" s="585">
        <f t="shared" si="413"/>
        <v>8536</v>
      </c>
      <c r="AN546" s="1133">
        <v>0.2</v>
      </c>
      <c r="AO546" s="1134">
        <v>0.22</v>
      </c>
      <c r="AP546" s="1134">
        <v>0.24</v>
      </c>
      <c r="AQ546" s="1135">
        <v>0.26</v>
      </c>
      <c r="AR546" s="1132">
        <v>0.28000000000000003</v>
      </c>
      <c r="AS546" s="1136"/>
      <c r="AT546" s="1137"/>
      <c r="AU546" s="1137"/>
      <c r="AV546" s="1137"/>
      <c r="AW546" s="1138"/>
      <c r="AX546" s="596">
        <v>0.03</v>
      </c>
      <c r="AY546" s="598">
        <v>3.3000000000000002E-2</v>
      </c>
      <c r="AZ546" s="598">
        <v>3.5999999999999997E-2</v>
      </c>
      <c r="BA546" s="598">
        <v>3.9E-2</v>
      </c>
      <c r="BB546" s="598">
        <v>4.2000000000000003E-2</v>
      </c>
      <c r="BC546" s="1135"/>
      <c r="BD546" s="1132"/>
      <c r="BE546" s="596"/>
      <c r="BF546" s="598"/>
      <c r="BG546" s="598"/>
      <c r="BH546" s="598"/>
      <c r="BI546" s="598"/>
      <c r="BJ546" s="598"/>
      <c r="BK546" s="605"/>
      <c r="BL546" s="658">
        <f t="shared" si="389"/>
        <v>27000</v>
      </c>
      <c r="BM546" s="3">
        <f t="shared" si="390"/>
        <v>24</v>
      </c>
      <c r="BN546" s="3">
        <f t="shared" si="391"/>
        <v>45</v>
      </c>
      <c r="BO546" s="3">
        <f t="shared" si="392"/>
        <v>31</v>
      </c>
    </row>
    <row r="547" spans="2:67">
      <c r="B547" s="606" t="s">
        <v>4473</v>
      </c>
      <c r="C547" s="607" t="s">
        <v>310</v>
      </c>
      <c r="D547" s="607" t="s">
        <v>4469</v>
      </c>
      <c r="E547" s="982" t="s">
        <v>125</v>
      </c>
      <c r="F547" s="592">
        <v>544</v>
      </c>
      <c r="G547" s="609">
        <v>4150</v>
      </c>
      <c r="H547" s="610">
        <v>7967</v>
      </c>
      <c r="I547" s="611">
        <v>4480</v>
      </c>
      <c r="J547" s="166">
        <f t="shared" si="380"/>
        <v>83</v>
      </c>
      <c r="K547" s="167">
        <f t="shared" si="381"/>
        <v>159</v>
      </c>
      <c r="L547" s="168">
        <f t="shared" si="382"/>
        <v>89</v>
      </c>
      <c r="M547" s="166">
        <f t="shared" si="383"/>
        <v>124</v>
      </c>
      <c r="N547" s="167">
        <f t="shared" si="384"/>
        <v>239</v>
      </c>
      <c r="O547" s="168">
        <f t="shared" si="385"/>
        <v>134</v>
      </c>
      <c r="P547" s="169">
        <f t="shared" si="386"/>
        <v>166</v>
      </c>
      <c r="Q547" s="169">
        <f t="shared" si="387"/>
        <v>318</v>
      </c>
      <c r="R547" s="169">
        <f t="shared" si="388"/>
        <v>179</v>
      </c>
      <c r="S547" s="584">
        <f t="shared" si="393"/>
        <v>1245</v>
      </c>
      <c r="T547" s="594">
        <f t="shared" si="394"/>
        <v>2390</v>
      </c>
      <c r="U547" s="595">
        <f t="shared" si="395"/>
        <v>1344</v>
      </c>
      <c r="V547" s="166">
        <f t="shared" si="396"/>
        <v>2568</v>
      </c>
      <c r="W547" s="167">
        <f t="shared" si="397"/>
        <v>4939</v>
      </c>
      <c r="X547" s="168">
        <f t="shared" si="398"/>
        <v>2773</v>
      </c>
      <c r="Y547" s="166">
        <f t="shared" si="399"/>
        <v>2900</v>
      </c>
      <c r="Z547" s="167">
        <f t="shared" si="400"/>
        <v>5575</v>
      </c>
      <c r="AA547" s="168">
        <f t="shared" si="401"/>
        <v>3131</v>
      </c>
      <c r="AB547" s="166">
        <f t="shared" si="402"/>
        <v>3232</v>
      </c>
      <c r="AC547" s="167">
        <f t="shared" si="403"/>
        <v>6211</v>
      </c>
      <c r="AD547" s="168">
        <f t="shared" si="404"/>
        <v>3489</v>
      </c>
      <c r="AE547" s="166">
        <f t="shared" si="405"/>
        <v>3564</v>
      </c>
      <c r="AF547" s="167">
        <f t="shared" si="406"/>
        <v>6529</v>
      </c>
      <c r="AG547" s="168">
        <f t="shared" si="407"/>
        <v>3847</v>
      </c>
      <c r="AH547" s="166">
        <f t="shared" si="408"/>
        <v>4062</v>
      </c>
      <c r="AI547" s="167">
        <f t="shared" si="409"/>
        <v>7165</v>
      </c>
      <c r="AJ547" s="168">
        <f t="shared" si="410"/>
        <v>4026</v>
      </c>
      <c r="AK547" s="169">
        <f t="shared" si="411"/>
        <v>4233</v>
      </c>
      <c r="AL547" s="167">
        <f t="shared" si="412"/>
        <v>8126</v>
      </c>
      <c r="AM547" s="585">
        <f t="shared" si="413"/>
        <v>4569</v>
      </c>
      <c r="AN547" s="614">
        <v>0.23</v>
      </c>
      <c r="AO547" s="615">
        <v>0.26</v>
      </c>
      <c r="AP547" s="615">
        <v>0.28999999999999998</v>
      </c>
      <c r="AQ547" s="616">
        <v>0.32</v>
      </c>
      <c r="AR547" s="612">
        <v>0.35</v>
      </c>
      <c r="AS547" s="617"/>
      <c r="AT547" s="618"/>
      <c r="AU547" s="618"/>
      <c r="AV547" s="618"/>
      <c r="AW547" s="619"/>
      <c r="AX547" s="614">
        <v>0.05</v>
      </c>
      <c r="AY547" s="616">
        <v>5.5E-2</v>
      </c>
      <c r="AZ547" s="616">
        <v>0.06</v>
      </c>
      <c r="BA547" s="616">
        <v>6.5000000000000002E-2</v>
      </c>
      <c r="BB547" s="616">
        <v>7.0000000000000007E-2</v>
      </c>
      <c r="BC547" s="616"/>
      <c r="BD547" s="612"/>
      <c r="BE547" s="596"/>
      <c r="BF547" s="598"/>
      <c r="BG547" s="598"/>
      <c r="BH547" s="598"/>
      <c r="BI547" s="598"/>
      <c r="BJ547" s="598"/>
      <c r="BK547" s="605"/>
      <c r="BL547" s="658">
        <f t="shared" si="389"/>
        <v>16600</v>
      </c>
      <c r="BM547" s="3">
        <f t="shared" si="390"/>
        <v>25</v>
      </c>
      <c r="BN547" s="3">
        <f t="shared" si="391"/>
        <v>48</v>
      </c>
      <c r="BO547" s="3">
        <f t="shared" si="392"/>
        <v>27</v>
      </c>
    </row>
    <row r="548" spans="2:67">
      <c r="B548" s="606" t="s">
        <v>4476</v>
      </c>
      <c r="C548" s="607" t="s">
        <v>310</v>
      </c>
      <c r="D548" s="607" t="s">
        <v>4463</v>
      </c>
      <c r="E548" s="983" t="s">
        <v>125</v>
      </c>
      <c r="F548" s="608">
        <v>545</v>
      </c>
      <c r="G548" s="609">
        <v>6970</v>
      </c>
      <c r="H548" s="610">
        <v>3650</v>
      </c>
      <c r="I548" s="611">
        <v>5974</v>
      </c>
      <c r="J548" s="166">
        <f t="shared" si="380"/>
        <v>139</v>
      </c>
      <c r="K548" s="167">
        <f t="shared" si="381"/>
        <v>73</v>
      </c>
      <c r="L548" s="168">
        <f t="shared" si="382"/>
        <v>119</v>
      </c>
      <c r="M548" s="166">
        <f t="shared" si="383"/>
        <v>209</v>
      </c>
      <c r="N548" s="167">
        <f t="shared" si="384"/>
        <v>109</v>
      </c>
      <c r="O548" s="168">
        <f t="shared" si="385"/>
        <v>179</v>
      </c>
      <c r="P548" s="169">
        <f t="shared" si="386"/>
        <v>278</v>
      </c>
      <c r="Q548" s="169">
        <f t="shared" si="387"/>
        <v>146</v>
      </c>
      <c r="R548" s="169">
        <f t="shared" si="388"/>
        <v>239</v>
      </c>
      <c r="S548" s="584">
        <f t="shared" si="393"/>
        <v>2091</v>
      </c>
      <c r="T548" s="594">
        <f t="shared" si="394"/>
        <v>1095</v>
      </c>
      <c r="U548" s="595">
        <f t="shared" si="395"/>
        <v>1792</v>
      </c>
      <c r="V548" s="166">
        <f t="shared" si="396"/>
        <v>4320</v>
      </c>
      <c r="W548" s="167">
        <f t="shared" si="397"/>
        <v>2258</v>
      </c>
      <c r="X548" s="168">
        <f t="shared" si="398"/>
        <v>3701</v>
      </c>
      <c r="Y548" s="166">
        <f t="shared" si="399"/>
        <v>4876</v>
      </c>
      <c r="Z548" s="167">
        <f t="shared" si="400"/>
        <v>2550</v>
      </c>
      <c r="AA548" s="168">
        <f t="shared" si="401"/>
        <v>4179</v>
      </c>
      <c r="AB548" s="166">
        <f t="shared" si="402"/>
        <v>5432</v>
      </c>
      <c r="AC548" s="167">
        <f t="shared" si="403"/>
        <v>2842</v>
      </c>
      <c r="AD548" s="168">
        <f t="shared" si="404"/>
        <v>4657</v>
      </c>
      <c r="AE548" s="166">
        <f t="shared" si="405"/>
        <v>5710</v>
      </c>
      <c r="AF548" s="167">
        <f t="shared" si="406"/>
        <v>3134</v>
      </c>
      <c r="AG548" s="168">
        <f t="shared" si="407"/>
        <v>5135</v>
      </c>
      <c r="AH548" s="166">
        <f t="shared" si="408"/>
        <v>6266</v>
      </c>
      <c r="AI548" s="167">
        <f t="shared" si="409"/>
        <v>3280</v>
      </c>
      <c r="AJ548" s="168">
        <f t="shared" si="410"/>
        <v>5852</v>
      </c>
      <c r="AK548" s="169">
        <f t="shared" si="411"/>
        <v>7109</v>
      </c>
      <c r="AL548" s="167">
        <f t="shared" si="412"/>
        <v>3723</v>
      </c>
      <c r="AM548" s="585">
        <f t="shared" si="413"/>
        <v>6093</v>
      </c>
      <c r="AN548" s="614">
        <v>0.25</v>
      </c>
      <c r="AO548" s="615">
        <v>0.28000000000000003</v>
      </c>
      <c r="AP548" s="615">
        <v>0.31</v>
      </c>
      <c r="AQ548" s="616">
        <v>0.34</v>
      </c>
      <c r="AR548" s="612">
        <v>0.37</v>
      </c>
      <c r="AS548" s="617"/>
      <c r="AT548" s="618"/>
      <c r="AU548" s="618"/>
      <c r="AV548" s="618"/>
      <c r="AW548" s="619"/>
      <c r="AX548" s="614">
        <v>0.05</v>
      </c>
      <c r="AY548" s="616">
        <v>5.5E-2</v>
      </c>
      <c r="AZ548" s="616">
        <v>0.06</v>
      </c>
      <c r="BA548" s="616">
        <v>6.5000000000000002E-2</v>
      </c>
      <c r="BB548" s="616">
        <v>7.0000000000000007E-2</v>
      </c>
      <c r="BC548" s="616"/>
      <c r="BD548" s="612"/>
      <c r="BE548" s="596"/>
      <c r="BF548" s="598"/>
      <c r="BG548" s="598"/>
      <c r="BH548" s="598"/>
      <c r="BI548" s="598"/>
      <c r="BJ548" s="598"/>
      <c r="BK548" s="605"/>
      <c r="BL548" s="658">
        <f t="shared" si="389"/>
        <v>16600</v>
      </c>
      <c r="BM548" s="3">
        <f t="shared" si="390"/>
        <v>42</v>
      </c>
      <c r="BN548" s="3">
        <f t="shared" si="391"/>
        <v>22</v>
      </c>
      <c r="BO548" s="3">
        <f t="shared" si="392"/>
        <v>36</v>
      </c>
    </row>
    <row r="549" spans="2:67">
      <c r="B549" s="1271" t="s">
        <v>4512</v>
      </c>
      <c r="C549" s="1069" t="s">
        <v>309</v>
      </c>
      <c r="D549" s="1069" t="s">
        <v>4513</v>
      </c>
      <c r="E549" s="1268" t="s">
        <v>939</v>
      </c>
      <c r="F549" s="592">
        <v>546</v>
      </c>
      <c r="G549" s="1071">
        <v>13000</v>
      </c>
      <c r="H549" s="1072">
        <v>5200</v>
      </c>
      <c r="I549" s="1073">
        <v>14300</v>
      </c>
      <c r="J549" s="166">
        <f t="shared" si="380"/>
        <v>260</v>
      </c>
      <c r="K549" s="167">
        <f t="shared" si="381"/>
        <v>104</v>
      </c>
      <c r="L549" s="168">
        <f t="shared" si="382"/>
        <v>286</v>
      </c>
      <c r="M549" s="166">
        <f t="shared" si="383"/>
        <v>325</v>
      </c>
      <c r="N549" s="167">
        <f t="shared" si="384"/>
        <v>130</v>
      </c>
      <c r="O549" s="168">
        <f t="shared" si="385"/>
        <v>357</v>
      </c>
      <c r="P549" s="169">
        <f t="shared" si="386"/>
        <v>487</v>
      </c>
      <c r="Q549" s="169">
        <f t="shared" si="387"/>
        <v>195</v>
      </c>
      <c r="R549" s="169">
        <f t="shared" si="388"/>
        <v>536</v>
      </c>
      <c r="S549" s="584">
        <f t="shared" si="393"/>
        <v>3250</v>
      </c>
      <c r="T549" s="594">
        <f t="shared" si="394"/>
        <v>1300</v>
      </c>
      <c r="U549" s="595">
        <f t="shared" si="395"/>
        <v>3575</v>
      </c>
      <c r="V549" s="166">
        <f t="shared" si="396"/>
        <v>7410</v>
      </c>
      <c r="W549" s="167">
        <f t="shared" si="397"/>
        <v>2964</v>
      </c>
      <c r="X549" s="168">
        <f t="shared" si="398"/>
        <v>8145</v>
      </c>
      <c r="Y549" s="166">
        <f t="shared" si="399"/>
        <v>7897</v>
      </c>
      <c r="Z549" s="167">
        <f t="shared" si="400"/>
        <v>3354</v>
      </c>
      <c r="AA549" s="168">
        <f t="shared" si="401"/>
        <v>9753</v>
      </c>
      <c r="AB549" s="166">
        <f t="shared" si="402"/>
        <v>9358</v>
      </c>
      <c r="AC549" s="167">
        <f t="shared" si="403"/>
        <v>3939</v>
      </c>
      <c r="AD549" s="168">
        <f t="shared" si="404"/>
        <v>10289</v>
      </c>
      <c r="AE549" s="166">
        <f t="shared" si="405"/>
        <v>11306</v>
      </c>
      <c r="AF549" s="167">
        <f t="shared" si="406"/>
        <v>4329</v>
      </c>
      <c r="AG549" s="168">
        <f t="shared" si="407"/>
        <v>11361</v>
      </c>
      <c r="AH549" s="166">
        <f t="shared" si="408"/>
        <v>12280</v>
      </c>
      <c r="AI549" s="167">
        <f t="shared" si="409"/>
        <v>4719</v>
      </c>
      <c r="AJ549" s="168">
        <f t="shared" si="410"/>
        <v>13505</v>
      </c>
      <c r="AK549" s="169">
        <f t="shared" si="411"/>
        <v>13260</v>
      </c>
      <c r="AL549" s="167">
        <f t="shared" si="412"/>
        <v>5304</v>
      </c>
      <c r="AM549" s="585">
        <f t="shared" si="413"/>
        <v>14586</v>
      </c>
      <c r="AN549" s="1133">
        <v>0.08</v>
      </c>
      <c r="AO549" s="1134">
        <v>8.5000000000000006E-2</v>
      </c>
      <c r="AP549" s="1134">
        <v>0.09</v>
      </c>
      <c r="AQ549" s="1135">
        <v>9.5000000000000001E-2</v>
      </c>
      <c r="AR549" s="1132">
        <v>0.1</v>
      </c>
      <c r="AS549" s="1133">
        <v>0.04</v>
      </c>
      <c r="AT549" s="1134">
        <v>4.2999999999999997E-2</v>
      </c>
      <c r="AU549" s="1134">
        <v>4.5999999999999999E-2</v>
      </c>
      <c r="AV549" s="1135">
        <v>4.9000000000000002E-2</v>
      </c>
      <c r="AW549" s="1132">
        <v>5.1999999999999998E-2</v>
      </c>
      <c r="AX549" s="1133">
        <v>0.05</v>
      </c>
      <c r="AY549" s="1135">
        <v>5.5E-2</v>
      </c>
      <c r="AZ549" s="1135">
        <v>0.06</v>
      </c>
      <c r="BA549" s="1135">
        <v>6.5000000000000002E-2</v>
      </c>
      <c r="BB549" s="1135">
        <v>7.0000000000000007E-2</v>
      </c>
      <c r="BC549" s="1135"/>
      <c r="BD549" s="1132"/>
      <c r="BE549" s="596"/>
      <c r="BF549" s="598"/>
      <c r="BG549" s="598"/>
      <c r="BH549" s="598"/>
      <c r="BI549" s="598"/>
      <c r="BJ549" s="598"/>
      <c r="BK549" s="605"/>
      <c r="BL549" s="658">
        <f t="shared" si="389"/>
        <v>32500</v>
      </c>
      <c r="BM549" s="3">
        <f t="shared" si="390"/>
        <v>40</v>
      </c>
      <c r="BN549" s="3">
        <f t="shared" si="391"/>
        <v>16</v>
      </c>
      <c r="BO549" s="3">
        <f t="shared" si="392"/>
        <v>44</v>
      </c>
    </row>
    <row r="550" spans="2:67">
      <c r="B550" s="1271" t="s">
        <v>4518</v>
      </c>
      <c r="C550" s="1069" t="s">
        <v>309</v>
      </c>
      <c r="D550" s="1069" t="s">
        <v>4519</v>
      </c>
      <c r="E550" s="1268" t="s">
        <v>939</v>
      </c>
      <c r="F550" s="1070">
        <v>547</v>
      </c>
      <c r="G550" s="1071">
        <v>12673</v>
      </c>
      <c r="H550" s="1072">
        <v>4873</v>
      </c>
      <c r="I550" s="1073">
        <v>14949</v>
      </c>
      <c r="J550" s="166">
        <f t="shared" si="380"/>
        <v>253</v>
      </c>
      <c r="K550" s="167">
        <f t="shared" si="381"/>
        <v>97</v>
      </c>
      <c r="L550" s="168">
        <f t="shared" si="382"/>
        <v>299</v>
      </c>
      <c r="M550" s="166">
        <f t="shared" si="383"/>
        <v>316</v>
      </c>
      <c r="N550" s="167">
        <f t="shared" si="384"/>
        <v>121</v>
      </c>
      <c r="O550" s="168">
        <f t="shared" si="385"/>
        <v>373</v>
      </c>
      <c r="P550" s="169">
        <f t="shared" si="386"/>
        <v>475</v>
      </c>
      <c r="Q550" s="169">
        <f t="shared" si="387"/>
        <v>182</v>
      </c>
      <c r="R550" s="169">
        <f t="shared" si="388"/>
        <v>560</v>
      </c>
      <c r="S550" s="584">
        <f t="shared" si="393"/>
        <v>3168</v>
      </c>
      <c r="T550" s="594">
        <f t="shared" si="394"/>
        <v>1218</v>
      </c>
      <c r="U550" s="595">
        <f t="shared" si="395"/>
        <v>3737</v>
      </c>
      <c r="V550" s="166">
        <f t="shared" si="396"/>
        <v>7213</v>
      </c>
      <c r="W550" s="167">
        <f t="shared" si="397"/>
        <v>2767</v>
      </c>
      <c r="X550" s="168">
        <f t="shared" si="398"/>
        <v>8512</v>
      </c>
      <c r="Y550" s="166">
        <f t="shared" si="399"/>
        <v>7688</v>
      </c>
      <c r="Z550" s="167">
        <f t="shared" si="400"/>
        <v>3313</v>
      </c>
      <c r="AA550" s="168">
        <f t="shared" si="401"/>
        <v>9632</v>
      </c>
      <c r="AB550" s="166">
        <f t="shared" si="402"/>
        <v>9113</v>
      </c>
      <c r="AC550" s="167">
        <f t="shared" si="403"/>
        <v>3495</v>
      </c>
      <c r="AD550" s="168">
        <f t="shared" si="404"/>
        <v>11312</v>
      </c>
      <c r="AE550" s="166">
        <f t="shared" si="405"/>
        <v>11013</v>
      </c>
      <c r="AF550" s="167">
        <f t="shared" si="406"/>
        <v>3859</v>
      </c>
      <c r="AG550" s="168">
        <f t="shared" si="407"/>
        <v>12432</v>
      </c>
      <c r="AH550" s="166">
        <f t="shared" si="408"/>
        <v>11963</v>
      </c>
      <c r="AI550" s="167">
        <f t="shared" si="409"/>
        <v>4587</v>
      </c>
      <c r="AJ550" s="168">
        <f t="shared" si="410"/>
        <v>13552</v>
      </c>
      <c r="AK550" s="169">
        <f t="shared" si="411"/>
        <v>12926</v>
      </c>
      <c r="AL550" s="167">
        <f t="shared" si="412"/>
        <v>4970</v>
      </c>
      <c r="AM550" s="585">
        <f t="shared" si="413"/>
        <v>15248</v>
      </c>
      <c r="AN550" s="1133">
        <v>7.0000000000000007E-2</v>
      </c>
      <c r="AO550" s="1134">
        <v>7.4999999999999997E-2</v>
      </c>
      <c r="AP550" s="1134">
        <v>0.08</v>
      </c>
      <c r="AQ550" s="1135">
        <v>8.5000000000000006E-2</v>
      </c>
      <c r="AR550" s="1132">
        <v>0.09</v>
      </c>
      <c r="AS550" s="1136"/>
      <c r="AT550" s="1137"/>
      <c r="AU550" s="1137"/>
      <c r="AV550" s="1137"/>
      <c r="AW550" s="1138"/>
      <c r="AX550" s="596">
        <v>0.04</v>
      </c>
      <c r="AY550" s="598">
        <v>4.2999999999999997E-2</v>
      </c>
      <c r="AZ550" s="598">
        <v>4.5999999999999999E-2</v>
      </c>
      <c r="BA550" s="598">
        <v>4.9000000000000002E-2</v>
      </c>
      <c r="BB550" s="598">
        <v>5.1999999999999998E-2</v>
      </c>
      <c r="BC550" s="598"/>
      <c r="BD550" s="599"/>
      <c r="BE550" s="596">
        <v>1.4E-2</v>
      </c>
      <c r="BF550" s="598">
        <v>1.7000000000000001E-2</v>
      </c>
      <c r="BG550" s="598">
        <v>0.02</v>
      </c>
      <c r="BH550" s="598">
        <v>2.3E-2</v>
      </c>
      <c r="BI550" s="598">
        <v>2.5999999999999999E-2</v>
      </c>
      <c r="BJ550" s="598"/>
      <c r="BK550" s="605"/>
      <c r="BL550" s="658">
        <f t="shared" si="389"/>
        <v>32500</v>
      </c>
      <c r="BM550" s="3">
        <f t="shared" si="390"/>
        <v>39</v>
      </c>
      <c r="BN550" s="3">
        <f t="shared" si="391"/>
        <v>15</v>
      </c>
      <c r="BO550" s="3">
        <f t="shared" si="392"/>
        <v>46</v>
      </c>
    </row>
    <row r="551" spans="2:67">
      <c r="B551" s="606" t="s">
        <v>4523</v>
      </c>
      <c r="C551" s="607" t="s">
        <v>310</v>
      </c>
      <c r="D551" s="607" t="s">
        <v>4513</v>
      </c>
      <c r="E551" s="1016" t="s">
        <v>1150</v>
      </c>
      <c r="F551" s="592">
        <v>548</v>
      </c>
      <c r="G551" s="609">
        <v>6467</v>
      </c>
      <c r="H551" s="610">
        <v>4310</v>
      </c>
      <c r="I551" s="611">
        <v>8820</v>
      </c>
      <c r="J551" s="166">
        <f t="shared" si="380"/>
        <v>129</v>
      </c>
      <c r="K551" s="167">
        <f t="shared" si="381"/>
        <v>86</v>
      </c>
      <c r="L551" s="168">
        <f t="shared" si="382"/>
        <v>176</v>
      </c>
      <c r="M551" s="166">
        <f t="shared" si="383"/>
        <v>194</v>
      </c>
      <c r="N551" s="167">
        <f t="shared" si="384"/>
        <v>129</v>
      </c>
      <c r="O551" s="168">
        <f t="shared" si="385"/>
        <v>264</v>
      </c>
      <c r="P551" s="169">
        <f t="shared" si="386"/>
        <v>258</v>
      </c>
      <c r="Q551" s="169">
        <f t="shared" si="387"/>
        <v>172</v>
      </c>
      <c r="R551" s="169">
        <f t="shared" si="388"/>
        <v>352</v>
      </c>
      <c r="S551" s="584">
        <f t="shared" si="393"/>
        <v>1940</v>
      </c>
      <c r="T551" s="594">
        <f t="shared" si="394"/>
        <v>1293</v>
      </c>
      <c r="U551" s="595">
        <f t="shared" si="395"/>
        <v>2646</v>
      </c>
      <c r="V551" s="166">
        <f t="shared" si="396"/>
        <v>4009</v>
      </c>
      <c r="W551" s="167">
        <f t="shared" si="397"/>
        <v>2669</v>
      </c>
      <c r="X551" s="168">
        <f t="shared" si="398"/>
        <v>5462</v>
      </c>
      <c r="Y551" s="166">
        <f t="shared" si="399"/>
        <v>4525</v>
      </c>
      <c r="Z551" s="167">
        <f t="shared" si="400"/>
        <v>3013</v>
      </c>
      <c r="AA551" s="168">
        <f t="shared" si="401"/>
        <v>6166</v>
      </c>
      <c r="AB551" s="166">
        <f t="shared" si="402"/>
        <v>5041</v>
      </c>
      <c r="AC551" s="167">
        <f t="shared" si="403"/>
        <v>3357</v>
      </c>
      <c r="AD551" s="168">
        <f t="shared" si="404"/>
        <v>6870</v>
      </c>
      <c r="AE551" s="166">
        <f t="shared" si="405"/>
        <v>5557</v>
      </c>
      <c r="AF551" s="167">
        <f t="shared" si="406"/>
        <v>3529</v>
      </c>
      <c r="AG551" s="168">
        <f t="shared" si="407"/>
        <v>7574</v>
      </c>
      <c r="AH551" s="166">
        <f t="shared" si="408"/>
        <v>5815</v>
      </c>
      <c r="AI551" s="167">
        <f t="shared" si="409"/>
        <v>3873</v>
      </c>
      <c r="AJ551" s="168">
        <f t="shared" si="410"/>
        <v>8630</v>
      </c>
      <c r="AK551" s="169">
        <f t="shared" si="411"/>
        <v>6596</v>
      </c>
      <c r="AL551" s="167">
        <f t="shared" si="412"/>
        <v>4396</v>
      </c>
      <c r="AM551" s="585">
        <f t="shared" si="413"/>
        <v>8996</v>
      </c>
      <c r="AN551" s="614">
        <v>0.15</v>
      </c>
      <c r="AO551" s="615">
        <v>0.18</v>
      </c>
      <c r="AP551" s="615">
        <v>0.21</v>
      </c>
      <c r="AQ551" s="616">
        <v>0.24</v>
      </c>
      <c r="AR551" s="612">
        <v>0.27</v>
      </c>
      <c r="AS551" s="617"/>
      <c r="AT551" s="618"/>
      <c r="AU551" s="618"/>
      <c r="AV551" s="618"/>
      <c r="AW551" s="619"/>
      <c r="AX551" s="614">
        <v>0.02</v>
      </c>
      <c r="AY551" s="616">
        <v>2.3E-2</v>
      </c>
      <c r="AZ551" s="616">
        <v>2.5999999999999999E-2</v>
      </c>
      <c r="BA551" s="616">
        <v>2.9000000000000001E-2</v>
      </c>
      <c r="BB551" s="616">
        <v>3.2000000000000001E-2</v>
      </c>
      <c r="BC551" s="616"/>
      <c r="BD551" s="612"/>
      <c r="BE551" s="596"/>
      <c r="BF551" s="598"/>
      <c r="BG551" s="598"/>
      <c r="BH551" s="598"/>
      <c r="BI551" s="598"/>
      <c r="BJ551" s="598"/>
      <c r="BK551" s="605"/>
      <c r="BL551" s="658">
        <f t="shared" si="389"/>
        <v>19600</v>
      </c>
      <c r="BM551" s="3">
        <f t="shared" si="390"/>
        <v>33</v>
      </c>
      <c r="BN551" s="3">
        <f t="shared" si="391"/>
        <v>22</v>
      </c>
      <c r="BO551" s="3">
        <f t="shared" si="392"/>
        <v>45</v>
      </c>
    </row>
    <row r="552" spans="2:67">
      <c r="B552" s="606" t="s">
        <v>4524</v>
      </c>
      <c r="C552" s="607" t="s">
        <v>310</v>
      </c>
      <c r="D552" s="607" t="s">
        <v>4526</v>
      </c>
      <c r="E552" s="1016" t="s">
        <v>1150</v>
      </c>
      <c r="F552" s="608">
        <v>549</v>
      </c>
      <c r="G552" s="609">
        <v>5487</v>
      </c>
      <c r="H552" s="610">
        <v>8230</v>
      </c>
      <c r="I552" s="611">
        <v>5880</v>
      </c>
      <c r="J552" s="166">
        <f t="shared" si="380"/>
        <v>109</v>
      </c>
      <c r="K552" s="167">
        <f t="shared" si="381"/>
        <v>164</v>
      </c>
      <c r="L552" s="168">
        <f t="shared" si="382"/>
        <v>117</v>
      </c>
      <c r="M552" s="166">
        <f t="shared" si="383"/>
        <v>164</v>
      </c>
      <c r="N552" s="167">
        <f t="shared" si="384"/>
        <v>246</v>
      </c>
      <c r="O552" s="168">
        <f t="shared" si="385"/>
        <v>176</v>
      </c>
      <c r="P552" s="169">
        <f t="shared" si="386"/>
        <v>219</v>
      </c>
      <c r="Q552" s="169">
        <f t="shared" si="387"/>
        <v>329</v>
      </c>
      <c r="R552" s="169">
        <f t="shared" si="388"/>
        <v>235</v>
      </c>
      <c r="S552" s="584">
        <f t="shared" si="393"/>
        <v>1646</v>
      </c>
      <c r="T552" s="594">
        <f t="shared" si="394"/>
        <v>2469</v>
      </c>
      <c r="U552" s="595">
        <f t="shared" si="395"/>
        <v>1764</v>
      </c>
      <c r="V552" s="166">
        <f t="shared" si="396"/>
        <v>3395</v>
      </c>
      <c r="W552" s="167">
        <f t="shared" si="397"/>
        <v>5093</v>
      </c>
      <c r="X552" s="168">
        <f t="shared" si="398"/>
        <v>3641</v>
      </c>
      <c r="Y552" s="166">
        <f t="shared" si="399"/>
        <v>3833</v>
      </c>
      <c r="Z552" s="167">
        <f t="shared" si="400"/>
        <v>5751</v>
      </c>
      <c r="AA552" s="168">
        <f t="shared" si="401"/>
        <v>4111</v>
      </c>
      <c r="AB552" s="166">
        <f t="shared" si="402"/>
        <v>4271</v>
      </c>
      <c r="AC552" s="167">
        <f t="shared" si="403"/>
        <v>6409</v>
      </c>
      <c r="AD552" s="168">
        <f t="shared" si="404"/>
        <v>4581</v>
      </c>
      <c r="AE552" s="166">
        <f t="shared" si="405"/>
        <v>4709</v>
      </c>
      <c r="AF552" s="167">
        <f t="shared" si="406"/>
        <v>6738</v>
      </c>
      <c r="AG552" s="168">
        <f t="shared" si="407"/>
        <v>5051</v>
      </c>
      <c r="AH552" s="166">
        <f t="shared" si="408"/>
        <v>5366</v>
      </c>
      <c r="AI552" s="167">
        <f t="shared" si="409"/>
        <v>7396</v>
      </c>
      <c r="AJ552" s="168">
        <f t="shared" si="410"/>
        <v>5286</v>
      </c>
      <c r="AK552" s="169">
        <f t="shared" si="411"/>
        <v>5596</v>
      </c>
      <c r="AL552" s="167">
        <f t="shared" si="412"/>
        <v>8394</v>
      </c>
      <c r="AM552" s="585">
        <f t="shared" si="413"/>
        <v>5997</v>
      </c>
      <c r="AN552" s="614">
        <v>0.2</v>
      </c>
      <c r="AO552" s="615">
        <v>0.23</v>
      </c>
      <c r="AP552" s="615">
        <v>0.26</v>
      </c>
      <c r="AQ552" s="616">
        <v>0.28999999999999998</v>
      </c>
      <c r="AR552" s="612">
        <v>0.32</v>
      </c>
      <c r="AS552" s="617"/>
      <c r="AT552" s="618"/>
      <c r="AU552" s="618"/>
      <c r="AV552" s="618"/>
      <c r="AW552" s="619"/>
      <c r="AX552" s="614">
        <v>0.01</v>
      </c>
      <c r="AY552" s="616">
        <v>1.2999999999999999E-2</v>
      </c>
      <c r="AZ552" s="616">
        <v>1.6E-2</v>
      </c>
      <c r="BA552" s="616">
        <v>1.9E-2</v>
      </c>
      <c r="BB552" s="616">
        <v>2.1999999999999999E-2</v>
      </c>
      <c r="BC552" s="616"/>
      <c r="BD552" s="612"/>
      <c r="BE552" s="596"/>
      <c r="BF552" s="598"/>
      <c r="BG552" s="598"/>
      <c r="BH552" s="598"/>
      <c r="BI552" s="598"/>
      <c r="BJ552" s="598"/>
      <c r="BK552" s="605"/>
      <c r="BL552" s="658">
        <f t="shared" si="389"/>
        <v>19600</v>
      </c>
      <c r="BM552" s="3">
        <f t="shared" si="390"/>
        <v>28</v>
      </c>
      <c r="BN552" s="3">
        <f t="shared" si="391"/>
        <v>42</v>
      </c>
      <c r="BO552" s="3">
        <f t="shared" si="392"/>
        <v>30</v>
      </c>
    </row>
    <row r="553" spans="2:67">
      <c r="B553" s="606" t="s">
        <v>4525</v>
      </c>
      <c r="C553" s="607" t="s">
        <v>310</v>
      </c>
      <c r="D553" s="607" t="s">
        <v>4527</v>
      </c>
      <c r="E553" s="1015" t="s">
        <v>1150</v>
      </c>
      <c r="F553" s="592">
        <v>550</v>
      </c>
      <c r="G553" s="609">
        <v>7333</v>
      </c>
      <c r="H553" s="610">
        <v>5981</v>
      </c>
      <c r="I553" s="611">
        <v>5981</v>
      </c>
      <c r="J553" s="166">
        <f t="shared" si="380"/>
        <v>146</v>
      </c>
      <c r="K553" s="167">
        <f t="shared" si="381"/>
        <v>119</v>
      </c>
      <c r="L553" s="168">
        <f t="shared" si="382"/>
        <v>119</v>
      </c>
      <c r="M553" s="166">
        <f t="shared" si="383"/>
        <v>220</v>
      </c>
      <c r="N553" s="167">
        <f t="shared" si="384"/>
        <v>179</v>
      </c>
      <c r="O553" s="168">
        <f t="shared" si="385"/>
        <v>179</v>
      </c>
      <c r="P553" s="169">
        <f t="shared" si="386"/>
        <v>293</v>
      </c>
      <c r="Q553" s="169">
        <f t="shared" si="387"/>
        <v>239</v>
      </c>
      <c r="R553" s="169">
        <f t="shared" si="388"/>
        <v>239</v>
      </c>
      <c r="S553" s="584">
        <f t="shared" si="393"/>
        <v>2200</v>
      </c>
      <c r="T553" s="594">
        <f t="shared" si="394"/>
        <v>1794</v>
      </c>
      <c r="U553" s="595">
        <f t="shared" si="395"/>
        <v>1794</v>
      </c>
      <c r="V553" s="166">
        <f t="shared" si="396"/>
        <v>4546</v>
      </c>
      <c r="W553" s="167">
        <f t="shared" si="397"/>
        <v>3703</v>
      </c>
      <c r="X553" s="168">
        <f t="shared" si="398"/>
        <v>3703</v>
      </c>
      <c r="Y553" s="166">
        <f t="shared" si="399"/>
        <v>5132</v>
      </c>
      <c r="Z553" s="167">
        <f t="shared" si="400"/>
        <v>4181</v>
      </c>
      <c r="AA553" s="168">
        <f t="shared" si="401"/>
        <v>4181</v>
      </c>
      <c r="AB553" s="166">
        <f t="shared" si="402"/>
        <v>5718</v>
      </c>
      <c r="AC553" s="167">
        <f t="shared" si="403"/>
        <v>4659</v>
      </c>
      <c r="AD553" s="168">
        <f t="shared" si="404"/>
        <v>4659</v>
      </c>
      <c r="AE553" s="166">
        <f t="shared" si="405"/>
        <v>6011</v>
      </c>
      <c r="AF553" s="167">
        <f t="shared" si="406"/>
        <v>5137</v>
      </c>
      <c r="AG553" s="168">
        <f t="shared" si="407"/>
        <v>5137</v>
      </c>
      <c r="AH553" s="166">
        <f t="shared" si="408"/>
        <v>6597</v>
      </c>
      <c r="AI553" s="167">
        <f t="shared" si="409"/>
        <v>5376</v>
      </c>
      <c r="AJ553" s="168">
        <f t="shared" si="410"/>
        <v>5854</v>
      </c>
      <c r="AK553" s="169">
        <f t="shared" si="411"/>
        <v>7479</v>
      </c>
      <c r="AL553" s="167">
        <f t="shared" si="412"/>
        <v>6100</v>
      </c>
      <c r="AM553" s="585">
        <f t="shared" si="413"/>
        <v>6100</v>
      </c>
      <c r="AN553" s="614">
        <v>0.05</v>
      </c>
      <c r="AO553" s="615">
        <v>5.5E-2</v>
      </c>
      <c r="AP553" s="615">
        <v>0.06</v>
      </c>
      <c r="AQ553" s="616">
        <v>6.5000000000000002E-2</v>
      </c>
      <c r="AR553" s="612">
        <v>7.0000000000000007E-2</v>
      </c>
      <c r="AS553" s="617"/>
      <c r="AT553" s="618"/>
      <c r="AU553" s="618"/>
      <c r="AV553" s="618"/>
      <c r="AW553" s="619"/>
      <c r="AX553" s="596">
        <v>0.03</v>
      </c>
      <c r="AY553" s="598">
        <v>3.3000000000000002E-2</v>
      </c>
      <c r="AZ553" s="598">
        <v>3.5999999999999997E-2</v>
      </c>
      <c r="BA553" s="598">
        <v>3.9E-2</v>
      </c>
      <c r="BB553" s="598">
        <v>4.2000000000000003E-2</v>
      </c>
      <c r="BC553" s="616"/>
      <c r="BD553" s="612"/>
      <c r="BE553" s="596"/>
      <c r="BF553" s="598"/>
      <c r="BG553" s="598"/>
      <c r="BH553" s="598"/>
      <c r="BI553" s="598"/>
      <c r="BJ553" s="598"/>
      <c r="BK553" s="605"/>
      <c r="BL553" s="658">
        <f t="shared" si="389"/>
        <v>19300</v>
      </c>
      <c r="BM553" s="3">
        <f t="shared" si="390"/>
        <v>38</v>
      </c>
      <c r="BN553" s="3">
        <f t="shared" si="391"/>
        <v>31</v>
      </c>
      <c r="BO553" s="3">
        <f t="shared" si="392"/>
        <v>31</v>
      </c>
    </row>
    <row r="554" spans="2:67">
      <c r="B554" s="606" t="s">
        <v>4564</v>
      </c>
      <c r="C554" s="607" t="s">
        <v>309</v>
      </c>
      <c r="D554" s="607" t="s">
        <v>4548</v>
      </c>
      <c r="E554" s="1020" t="s">
        <v>1150</v>
      </c>
      <c r="F554" s="1070">
        <v>551</v>
      </c>
      <c r="G554" s="609">
        <v>9749</v>
      </c>
      <c r="H554" s="610">
        <v>10400</v>
      </c>
      <c r="I554" s="611">
        <v>12349</v>
      </c>
      <c r="J554" s="166">
        <f t="shared" si="380"/>
        <v>195</v>
      </c>
      <c r="K554" s="167">
        <f t="shared" si="381"/>
        <v>208</v>
      </c>
      <c r="L554" s="168">
        <f t="shared" si="382"/>
        <v>247</v>
      </c>
      <c r="M554" s="166">
        <f t="shared" si="383"/>
        <v>243</v>
      </c>
      <c r="N554" s="167">
        <f t="shared" si="384"/>
        <v>260</v>
      </c>
      <c r="O554" s="168">
        <f t="shared" si="385"/>
        <v>308</v>
      </c>
      <c r="P554" s="169">
        <f t="shared" si="386"/>
        <v>365</v>
      </c>
      <c r="Q554" s="169">
        <f t="shared" si="387"/>
        <v>390</v>
      </c>
      <c r="R554" s="169">
        <f t="shared" si="388"/>
        <v>463</v>
      </c>
      <c r="S554" s="584">
        <f t="shared" si="393"/>
        <v>2437</v>
      </c>
      <c r="T554" s="594">
        <f t="shared" si="394"/>
        <v>2600</v>
      </c>
      <c r="U554" s="595">
        <f t="shared" si="395"/>
        <v>3087</v>
      </c>
      <c r="V554" s="166">
        <f t="shared" si="396"/>
        <v>5548</v>
      </c>
      <c r="W554" s="167">
        <f t="shared" si="397"/>
        <v>5928</v>
      </c>
      <c r="X554" s="168">
        <f t="shared" si="398"/>
        <v>7030</v>
      </c>
      <c r="Y554" s="166">
        <f t="shared" si="399"/>
        <v>6643</v>
      </c>
      <c r="Z554" s="167">
        <f t="shared" si="400"/>
        <v>6708</v>
      </c>
      <c r="AA554" s="168">
        <f t="shared" si="401"/>
        <v>7493</v>
      </c>
      <c r="AB554" s="166">
        <f t="shared" si="402"/>
        <v>7008</v>
      </c>
      <c r="AC554" s="167">
        <f t="shared" si="403"/>
        <v>7878</v>
      </c>
      <c r="AD554" s="168">
        <f t="shared" si="404"/>
        <v>8882</v>
      </c>
      <c r="AE554" s="166">
        <f t="shared" si="405"/>
        <v>7738</v>
      </c>
      <c r="AF554" s="167">
        <f t="shared" si="406"/>
        <v>8658</v>
      </c>
      <c r="AG554" s="168">
        <f t="shared" si="407"/>
        <v>10734</v>
      </c>
      <c r="AH554" s="166">
        <f t="shared" si="408"/>
        <v>9198</v>
      </c>
      <c r="AI554" s="167">
        <f t="shared" si="409"/>
        <v>9438</v>
      </c>
      <c r="AJ554" s="168">
        <f t="shared" si="410"/>
        <v>11660</v>
      </c>
      <c r="AK554" s="169">
        <f t="shared" si="411"/>
        <v>9944</v>
      </c>
      <c r="AL554" s="167">
        <f t="shared" si="412"/>
        <v>10608</v>
      </c>
      <c r="AM554" s="585">
        <f t="shared" si="413"/>
        <v>12596</v>
      </c>
      <c r="AN554" s="1133">
        <v>0.2</v>
      </c>
      <c r="AO554" s="1134">
        <v>0.23</v>
      </c>
      <c r="AP554" s="1134">
        <v>0.26</v>
      </c>
      <c r="AQ554" s="1135">
        <v>0.28999999999999998</v>
      </c>
      <c r="AR554" s="1132">
        <v>0.32</v>
      </c>
      <c r="AS554" s="1136"/>
      <c r="AT554" s="1137"/>
      <c r="AU554" s="1137"/>
      <c r="AV554" s="1137"/>
      <c r="AW554" s="1138"/>
      <c r="AX554" s="596">
        <v>0.04</v>
      </c>
      <c r="AY554" s="598">
        <v>4.2999999999999997E-2</v>
      </c>
      <c r="AZ554" s="598">
        <v>4.5999999999999999E-2</v>
      </c>
      <c r="BA554" s="598">
        <v>4.9000000000000002E-2</v>
      </c>
      <c r="BB554" s="598">
        <v>5.1999999999999998E-2</v>
      </c>
      <c r="BC554" s="1135"/>
      <c r="BD554" s="1132"/>
      <c r="BE554" s="596"/>
      <c r="BF554" s="598"/>
      <c r="BG554" s="598"/>
      <c r="BH554" s="598"/>
      <c r="BI554" s="598"/>
      <c r="BJ554" s="598"/>
      <c r="BK554" s="605"/>
      <c r="BL554" s="658">
        <f t="shared" si="389"/>
        <v>32500</v>
      </c>
      <c r="BM554" s="3">
        <f t="shared" si="390"/>
        <v>30</v>
      </c>
      <c r="BN554" s="3">
        <f t="shared" si="391"/>
        <v>32</v>
      </c>
      <c r="BO554" s="3">
        <f t="shared" si="392"/>
        <v>38</v>
      </c>
    </row>
    <row r="555" spans="2:67">
      <c r="B555" s="606" t="s">
        <v>4552</v>
      </c>
      <c r="C555" s="607" t="s">
        <v>310</v>
      </c>
      <c r="D555" s="607" t="s">
        <v>4551</v>
      </c>
      <c r="E555" s="1020" t="s">
        <v>1150</v>
      </c>
      <c r="F555" s="592">
        <v>552</v>
      </c>
      <c r="G555" s="609">
        <v>7350</v>
      </c>
      <c r="H555" s="610">
        <v>6300</v>
      </c>
      <c r="I555" s="611">
        <v>3850</v>
      </c>
      <c r="J555" s="166">
        <f t="shared" si="380"/>
        <v>147</v>
      </c>
      <c r="K555" s="167">
        <f t="shared" si="381"/>
        <v>126</v>
      </c>
      <c r="L555" s="168">
        <f t="shared" si="382"/>
        <v>77</v>
      </c>
      <c r="M555" s="166">
        <f t="shared" si="383"/>
        <v>220</v>
      </c>
      <c r="N555" s="167">
        <f t="shared" si="384"/>
        <v>189</v>
      </c>
      <c r="O555" s="168">
        <f t="shared" si="385"/>
        <v>115</v>
      </c>
      <c r="P555" s="169">
        <f t="shared" si="386"/>
        <v>294</v>
      </c>
      <c r="Q555" s="169">
        <f t="shared" si="387"/>
        <v>252</v>
      </c>
      <c r="R555" s="169">
        <f t="shared" si="388"/>
        <v>154</v>
      </c>
      <c r="S555" s="584">
        <f t="shared" si="393"/>
        <v>2205</v>
      </c>
      <c r="T555" s="594">
        <f t="shared" si="394"/>
        <v>1890</v>
      </c>
      <c r="U555" s="595">
        <f t="shared" si="395"/>
        <v>1155</v>
      </c>
      <c r="V555" s="166">
        <f t="shared" si="396"/>
        <v>4552</v>
      </c>
      <c r="W555" s="167">
        <f t="shared" si="397"/>
        <v>3906</v>
      </c>
      <c r="X555" s="168">
        <f t="shared" si="398"/>
        <v>2382</v>
      </c>
      <c r="Y555" s="166">
        <f t="shared" si="399"/>
        <v>5140</v>
      </c>
      <c r="Z555" s="167">
        <f t="shared" si="400"/>
        <v>4410</v>
      </c>
      <c r="AA555" s="168">
        <f t="shared" si="401"/>
        <v>2690</v>
      </c>
      <c r="AB555" s="166">
        <f t="shared" si="402"/>
        <v>5728</v>
      </c>
      <c r="AC555" s="167">
        <f t="shared" si="403"/>
        <v>4914</v>
      </c>
      <c r="AD555" s="168">
        <f t="shared" si="404"/>
        <v>2998</v>
      </c>
      <c r="AE555" s="166">
        <f t="shared" si="405"/>
        <v>6022</v>
      </c>
      <c r="AF555" s="167">
        <f t="shared" si="406"/>
        <v>5418</v>
      </c>
      <c r="AG555" s="168">
        <f t="shared" si="407"/>
        <v>3306</v>
      </c>
      <c r="AH555" s="166">
        <f t="shared" si="408"/>
        <v>6610</v>
      </c>
      <c r="AI555" s="167">
        <f t="shared" si="409"/>
        <v>5670</v>
      </c>
      <c r="AJ555" s="168">
        <f t="shared" si="410"/>
        <v>3768</v>
      </c>
      <c r="AK555" s="169">
        <f t="shared" si="411"/>
        <v>7497</v>
      </c>
      <c r="AL555" s="167">
        <f t="shared" si="412"/>
        <v>6426</v>
      </c>
      <c r="AM555" s="585">
        <f t="shared" si="413"/>
        <v>3927</v>
      </c>
      <c r="AN555" s="614">
        <v>0.25</v>
      </c>
      <c r="AO555" s="615">
        <v>0.28000000000000003</v>
      </c>
      <c r="AP555" s="615">
        <v>0.31</v>
      </c>
      <c r="AQ555" s="616">
        <v>0.34</v>
      </c>
      <c r="AR555" s="612">
        <v>0.37</v>
      </c>
      <c r="AS555" s="617"/>
      <c r="AT555" s="618"/>
      <c r="AU555" s="618"/>
      <c r="AV555" s="618"/>
      <c r="AW555" s="619"/>
      <c r="AX555" s="614">
        <v>0.02</v>
      </c>
      <c r="AY555" s="616">
        <v>2.3E-2</v>
      </c>
      <c r="AZ555" s="616">
        <v>2.5999999999999999E-2</v>
      </c>
      <c r="BA555" s="616">
        <v>2.9000000000000001E-2</v>
      </c>
      <c r="BB555" s="616">
        <v>3.2000000000000001E-2</v>
      </c>
      <c r="BC555" s="616"/>
      <c r="BD555" s="612"/>
      <c r="BE555" s="596"/>
      <c r="BF555" s="598"/>
      <c r="BG555" s="598"/>
      <c r="BH555" s="598"/>
      <c r="BI555" s="598"/>
      <c r="BJ555" s="598"/>
      <c r="BK555" s="605"/>
      <c r="BL555" s="658">
        <f t="shared" si="389"/>
        <v>17500</v>
      </c>
      <c r="BM555" s="3">
        <f t="shared" si="390"/>
        <v>42</v>
      </c>
      <c r="BN555" s="3">
        <f t="shared" si="391"/>
        <v>36</v>
      </c>
      <c r="BO555" s="3">
        <f t="shared" si="392"/>
        <v>22</v>
      </c>
    </row>
    <row r="556" spans="2:67">
      <c r="B556" s="1271" t="s">
        <v>4565</v>
      </c>
      <c r="C556" s="1069" t="s">
        <v>309</v>
      </c>
      <c r="D556" s="1069" t="s">
        <v>4551</v>
      </c>
      <c r="E556" s="1268" t="s">
        <v>1150</v>
      </c>
      <c r="F556" s="1070">
        <v>553</v>
      </c>
      <c r="G556" s="1071">
        <v>13440</v>
      </c>
      <c r="H556" s="1072">
        <v>8000</v>
      </c>
      <c r="I556" s="1073">
        <v>10560</v>
      </c>
      <c r="J556" s="166">
        <f t="shared" si="380"/>
        <v>268</v>
      </c>
      <c r="K556" s="167">
        <f t="shared" si="381"/>
        <v>160</v>
      </c>
      <c r="L556" s="168">
        <f t="shared" si="382"/>
        <v>211</v>
      </c>
      <c r="M556" s="166">
        <f t="shared" si="383"/>
        <v>336</v>
      </c>
      <c r="N556" s="167">
        <f t="shared" si="384"/>
        <v>200</v>
      </c>
      <c r="O556" s="168">
        <f t="shared" si="385"/>
        <v>264</v>
      </c>
      <c r="P556" s="169">
        <f t="shared" si="386"/>
        <v>504</v>
      </c>
      <c r="Q556" s="169">
        <f t="shared" si="387"/>
        <v>300</v>
      </c>
      <c r="R556" s="169">
        <f t="shared" si="388"/>
        <v>396</v>
      </c>
      <c r="S556" s="584">
        <f t="shared" si="393"/>
        <v>3360</v>
      </c>
      <c r="T556" s="594">
        <f t="shared" si="394"/>
        <v>2000</v>
      </c>
      <c r="U556" s="595">
        <f t="shared" si="395"/>
        <v>2640</v>
      </c>
      <c r="V556" s="166">
        <f t="shared" si="396"/>
        <v>7660</v>
      </c>
      <c r="W556" s="167">
        <f t="shared" si="397"/>
        <v>4560</v>
      </c>
      <c r="X556" s="168">
        <f t="shared" si="398"/>
        <v>6019</v>
      </c>
      <c r="Y556" s="166">
        <f t="shared" si="399"/>
        <v>8668</v>
      </c>
      <c r="Z556" s="167">
        <f t="shared" si="400"/>
        <v>4860</v>
      </c>
      <c r="AA556" s="168">
        <f t="shared" si="401"/>
        <v>7207</v>
      </c>
      <c r="AB556" s="166">
        <f t="shared" si="402"/>
        <v>10180</v>
      </c>
      <c r="AC556" s="167">
        <f t="shared" si="403"/>
        <v>5760</v>
      </c>
      <c r="AD556" s="168">
        <f t="shared" si="404"/>
        <v>7603</v>
      </c>
      <c r="AE556" s="166">
        <f t="shared" si="405"/>
        <v>11188</v>
      </c>
      <c r="AF556" s="167">
        <f t="shared" si="406"/>
        <v>6960</v>
      </c>
      <c r="AG556" s="168">
        <f t="shared" si="407"/>
        <v>8395</v>
      </c>
      <c r="AH556" s="166">
        <f t="shared" si="408"/>
        <v>12196</v>
      </c>
      <c r="AI556" s="167">
        <f t="shared" si="409"/>
        <v>7560</v>
      </c>
      <c r="AJ556" s="168">
        <f t="shared" si="410"/>
        <v>9979</v>
      </c>
      <c r="AK556" s="169">
        <f t="shared" si="411"/>
        <v>13708</v>
      </c>
      <c r="AL556" s="167">
        <f t="shared" si="412"/>
        <v>8160</v>
      </c>
      <c r="AM556" s="585">
        <f t="shared" si="413"/>
        <v>10771</v>
      </c>
      <c r="AN556" s="1133">
        <v>0.06</v>
      </c>
      <c r="AO556" s="1134">
        <v>6.3E-2</v>
      </c>
      <c r="AP556" s="1134">
        <v>6.6000000000000003E-2</v>
      </c>
      <c r="AQ556" s="1135">
        <v>6.9000000000000006E-2</v>
      </c>
      <c r="AR556" s="1132">
        <v>7.1999999999999995E-2</v>
      </c>
      <c r="AS556" s="1136"/>
      <c r="AT556" s="1137"/>
      <c r="AU556" s="1137"/>
      <c r="AV556" s="1137"/>
      <c r="AW556" s="1138"/>
      <c r="AX556" s="596">
        <v>0.04</v>
      </c>
      <c r="AY556" s="598">
        <v>4.2999999999999997E-2</v>
      </c>
      <c r="AZ556" s="598">
        <v>4.5999999999999999E-2</v>
      </c>
      <c r="BA556" s="598">
        <v>4.9000000000000002E-2</v>
      </c>
      <c r="BB556" s="598">
        <v>5.1999999999999998E-2</v>
      </c>
      <c r="BC556" s="1135"/>
      <c r="BD556" s="1132"/>
      <c r="BE556" s="596"/>
      <c r="BF556" s="598"/>
      <c r="BG556" s="598"/>
      <c r="BH556" s="598"/>
      <c r="BI556" s="598"/>
      <c r="BJ556" s="598"/>
      <c r="BK556" s="605"/>
      <c r="BL556" s="658">
        <f t="shared" si="389"/>
        <v>32000</v>
      </c>
      <c r="BM556" s="3">
        <f t="shared" si="390"/>
        <v>42</v>
      </c>
      <c r="BN556" s="3">
        <f t="shared" si="391"/>
        <v>25</v>
      </c>
      <c r="BO556" s="3">
        <f t="shared" si="392"/>
        <v>33</v>
      </c>
    </row>
    <row r="557" spans="2:67">
      <c r="B557" s="606" t="s">
        <v>4566</v>
      </c>
      <c r="C557" s="607" t="s">
        <v>309</v>
      </c>
      <c r="D557" s="607" t="s">
        <v>4556</v>
      </c>
      <c r="E557" s="1267" t="s">
        <v>125</v>
      </c>
      <c r="F557" s="592">
        <v>554</v>
      </c>
      <c r="G557" s="609">
        <v>9624</v>
      </c>
      <c r="H557" s="610">
        <v>6324</v>
      </c>
      <c r="I557" s="611">
        <v>11549</v>
      </c>
      <c r="J557" s="166">
        <f t="shared" si="380"/>
        <v>192</v>
      </c>
      <c r="K557" s="167">
        <f t="shared" si="381"/>
        <v>126</v>
      </c>
      <c r="L557" s="168">
        <f t="shared" si="382"/>
        <v>231</v>
      </c>
      <c r="M557" s="166">
        <f t="shared" si="383"/>
        <v>240</v>
      </c>
      <c r="N557" s="167">
        <f t="shared" si="384"/>
        <v>158</v>
      </c>
      <c r="O557" s="168">
        <f t="shared" si="385"/>
        <v>288</v>
      </c>
      <c r="P557" s="169">
        <f t="shared" si="386"/>
        <v>360</v>
      </c>
      <c r="Q557" s="169">
        <f t="shared" si="387"/>
        <v>237</v>
      </c>
      <c r="R557" s="169">
        <f t="shared" si="388"/>
        <v>433</v>
      </c>
      <c r="S557" s="584">
        <f t="shared" si="393"/>
        <v>2406</v>
      </c>
      <c r="T557" s="594">
        <f t="shared" si="394"/>
        <v>1581</v>
      </c>
      <c r="U557" s="595">
        <f t="shared" si="395"/>
        <v>2887</v>
      </c>
      <c r="V557" s="166">
        <f t="shared" si="396"/>
        <v>5478</v>
      </c>
      <c r="W557" s="167">
        <f t="shared" si="397"/>
        <v>3603</v>
      </c>
      <c r="X557" s="168">
        <f t="shared" si="398"/>
        <v>6574</v>
      </c>
      <c r="Y557" s="166">
        <f t="shared" si="399"/>
        <v>5838</v>
      </c>
      <c r="Z557" s="167">
        <f t="shared" si="400"/>
        <v>4314</v>
      </c>
      <c r="AA557" s="168">
        <f t="shared" si="401"/>
        <v>7440</v>
      </c>
      <c r="AB557" s="166">
        <f t="shared" si="402"/>
        <v>6918</v>
      </c>
      <c r="AC557" s="167">
        <f t="shared" si="403"/>
        <v>4551</v>
      </c>
      <c r="AD557" s="168">
        <f t="shared" si="404"/>
        <v>8739</v>
      </c>
      <c r="AE557" s="166">
        <f t="shared" si="405"/>
        <v>8358</v>
      </c>
      <c r="AF557" s="167">
        <f t="shared" si="406"/>
        <v>5025</v>
      </c>
      <c r="AG557" s="168">
        <f t="shared" si="407"/>
        <v>9605</v>
      </c>
      <c r="AH557" s="166">
        <f t="shared" si="408"/>
        <v>9078</v>
      </c>
      <c r="AI557" s="167">
        <f t="shared" si="409"/>
        <v>5973</v>
      </c>
      <c r="AJ557" s="168">
        <f t="shared" si="410"/>
        <v>10471</v>
      </c>
      <c r="AK557" s="169">
        <f t="shared" si="411"/>
        <v>9816</v>
      </c>
      <c r="AL557" s="167">
        <f t="shared" si="412"/>
        <v>6450</v>
      </c>
      <c r="AM557" s="585">
        <f t="shared" si="413"/>
        <v>11780</v>
      </c>
      <c r="AN557" s="1133">
        <v>0.05</v>
      </c>
      <c r="AO557" s="1134">
        <v>5.5E-2</v>
      </c>
      <c r="AP557" s="1134">
        <v>0.06</v>
      </c>
      <c r="AQ557" s="1135">
        <v>6.5000000000000002E-2</v>
      </c>
      <c r="AR557" s="1132">
        <v>7.0000000000000007E-2</v>
      </c>
      <c r="AS557" s="617"/>
      <c r="AT557" s="618"/>
      <c r="AU557" s="618"/>
      <c r="AV557" s="618"/>
      <c r="AW557" s="619"/>
      <c r="AX557" s="596">
        <v>0.04</v>
      </c>
      <c r="AY557" s="598">
        <v>4.2999999999999997E-2</v>
      </c>
      <c r="AZ557" s="598">
        <v>4.5999999999999999E-2</v>
      </c>
      <c r="BA557" s="598">
        <v>4.9000000000000002E-2</v>
      </c>
      <c r="BB557" s="598">
        <v>5.1999999999999998E-2</v>
      </c>
      <c r="BC557" s="1135"/>
      <c r="BD557" s="1132"/>
      <c r="BE557" s="596"/>
      <c r="BF557" s="598"/>
      <c r="BG557" s="598"/>
      <c r="BH557" s="598"/>
      <c r="BI557" s="598"/>
      <c r="BJ557" s="598"/>
      <c r="BK557" s="605"/>
      <c r="BL557" s="658">
        <f t="shared" si="389"/>
        <v>27500</v>
      </c>
      <c r="BM557" s="3">
        <f t="shared" si="390"/>
        <v>35</v>
      </c>
      <c r="BN557" s="3">
        <f t="shared" si="391"/>
        <v>23</v>
      </c>
      <c r="BO557" s="3">
        <f t="shared" si="392"/>
        <v>42</v>
      </c>
    </row>
    <row r="558" spans="2:67">
      <c r="B558" s="606" t="s">
        <v>4559</v>
      </c>
      <c r="C558" s="607" t="s">
        <v>310</v>
      </c>
      <c r="D558" s="607" t="s">
        <v>4560</v>
      </c>
      <c r="E558" s="1020" t="s">
        <v>125</v>
      </c>
      <c r="F558" s="608">
        <v>555</v>
      </c>
      <c r="G558" s="609">
        <v>5914</v>
      </c>
      <c r="H558" s="610">
        <v>3547</v>
      </c>
      <c r="I558" s="611">
        <v>7434</v>
      </c>
      <c r="J558" s="166">
        <f t="shared" si="380"/>
        <v>118</v>
      </c>
      <c r="K558" s="167">
        <f t="shared" si="381"/>
        <v>70</v>
      </c>
      <c r="L558" s="168">
        <f t="shared" si="382"/>
        <v>148</v>
      </c>
      <c r="M558" s="166">
        <f t="shared" si="383"/>
        <v>177</v>
      </c>
      <c r="N558" s="167">
        <f t="shared" si="384"/>
        <v>106</v>
      </c>
      <c r="O558" s="168">
        <f t="shared" si="385"/>
        <v>223</v>
      </c>
      <c r="P558" s="169">
        <f t="shared" si="386"/>
        <v>236</v>
      </c>
      <c r="Q558" s="169">
        <f t="shared" si="387"/>
        <v>141</v>
      </c>
      <c r="R558" s="169">
        <f t="shared" si="388"/>
        <v>297</v>
      </c>
      <c r="S558" s="584">
        <f t="shared" si="393"/>
        <v>1774</v>
      </c>
      <c r="T558" s="594">
        <f t="shared" si="394"/>
        <v>1064</v>
      </c>
      <c r="U558" s="595">
        <f t="shared" si="395"/>
        <v>2230</v>
      </c>
      <c r="V558" s="166">
        <f t="shared" si="396"/>
        <v>3662</v>
      </c>
      <c r="W558" s="167">
        <f t="shared" si="397"/>
        <v>2194</v>
      </c>
      <c r="X558" s="168">
        <f t="shared" si="398"/>
        <v>4608</v>
      </c>
      <c r="Y558" s="166">
        <f t="shared" si="399"/>
        <v>4134</v>
      </c>
      <c r="Z558" s="167">
        <f t="shared" si="400"/>
        <v>2476</v>
      </c>
      <c r="AA558" s="168">
        <f t="shared" si="401"/>
        <v>5202</v>
      </c>
      <c r="AB558" s="166">
        <f t="shared" si="402"/>
        <v>4606</v>
      </c>
      <c r="AC558" s="167">
        <f t="shared" si="403"/>
        <v>2758</v>
      </c>
      <c r="AD558" s="168">
        <f t="shared" si="404"/>
        <v>5796</v>
      </c>
      <c r="AE558" s="166">
        <f t="shared" si="405"/>
        <v>5078</v>
      </c>
      <c r="AF558" s="167">
        <f t="shared" si="406"/>
        <v>2899</v>
      </c>
      <c r="AG558" s="168">
        <f t="shared" si="407"/>
        <v>6390</v>
      </c>
      <c r="AH558" s="166">
        <f t="shared" si="408"/>
        <v>5314</v>
      </c>
      <c r="AI558" s="167">
        <f t="shared" si="409"/>
        <v>3181</v>
      </c>
      <c r="AJ558" s="168">
        <f t="shared" si="410"/>
        <v>7281</v>
      </c>
      <c r="AK558" s="169">
        <f t="shared" si="411"/>
        <v>6032</v>
      </c>
      <c r="AL558" s="167">
        <f t="shared" si="412"/>
        <v>3617</v>
      </c>
      <c r="AM558" s="585">
        <f t="shared" si="413"/>
        <v>7582</v>
      </c>
      <c r="AN558" s="614">
        <v>0.05</v>
      </c>
      <c r="AO558" s="615">
        <v>5.5E-2</v>
      </c>
      <c r="AP558" s="615">
        <v>0.06</v>
      </c>
      <c r="AQ558" s="616">
        <v>6.5000000000000002E-2</v>
      </c>
      <c r="AR558" s="612">
        <v>7.0000000000000007E-2</v>
      </c>
      <c r="AS558" s="617"/>
      <c r="AT558" s="618"/>
      <c r="AU558" s="618"/>
      <c r="AV558" s="618"/>
      <c r="AW558" s="619"/>
      <c r="AX558" s="614">
        <v>0.01</v>
      </c>
      <c r="AY558" s="616">
        <v>1.2999999999999999E-2</v>
      </c>
      <c r="AZ558" s="616">
        <v>1.6E-2</v>
      </c>
      <c r="BA558" s="616">
        <v>1.9E-2</v>
      </c>
      <c r="BB558" s="616">
        <v>2.1999999999999999E-2</v>
      </c>
      <c r="BC558" s="616"/>
      <c r="BD558" s="612"/>
      <c r="BE558" s="596"/>
      <c r="BF558" s="598"/>
      <c r="BG558" s="598"/>
      <c r="BH558" s="598"/>
      <c r="BI558" s="598"/>
      <c r="BJ558" s="598"/>
      <c r="BK558" s="605"/>
      <c r="BL558" s="658">
        <f t="shared" si="389"/>
        <v>16900</v>
      </c>
      <c r="BM558" s="3">
        <f t="shared" si="390"/>
        <v>35</v>
      </c>
      <c r="BN558" s="3">
        <f t="shared" si="391"/>
        <v>21</v>
      </c>
      <c r="BO558" s="3">
        <f t="shared" si="392"/>
        <v>44</v>
      </c>
    </row>
    <row r="559" spans="2:67">
      <c r="B559" s="606" t="s">
        <v>4558</v>
      </c>
      <c r="C559" s="607" t="s">
        <v>310</v>
      </c>
      <c r="D559" s="607" t="s">
        <v>4556</v>
      </c>
      <c r="E559" s="1021" t="s">
        <v>125</v>
      </c>
      <c r="F559" s="1019">
        <v>556</v>
      </c>
      <c r="G559" s="609">
        <v>6590</v>
      </c>
      <c r="H559" s="610">
        <v>4561</v>
      </c>
      <c r="I559" s="611">
        <v>5744</v>
      </c>
      <c r="J559" s="166">
        <f t="shared" si="380"/>
        <v>131</v>
      </c>
      <c r="K559" s="167">
        <f t="shared" si="381"/>
        <v>91</v>
      </c>
      <c r="L559" s="168">
        <f t="shared" si="382"/>
        <v>114</v>
      </c>
      <c r="M559" s="166">
        <f t="shared" si="383"/>
        <v>197</v>
      </c>
      <c r="N559" s="167">
        <f t="shared" si="384"/>
        <v>136</v>
      </c>
      <c r="O559" s="168">
        <f t="shared" si="385"/>
        <v>172</v>
      </c>
      <c r="P559" s="169">
        <f t="shared" si="386"/>
        <v>263</v>
      </c>
      <c r="Q559" s="169">
        <f t="shared" si="387"/>
        <v>182</v>
      </c>
      <c r="R559" s="169">
        <f t="shared" si="388"/>
        <v>229</v>
      </c>
      <c r="S559" s="584">
        <f t="shared" si="393"/>
        <v>1977</v>
      </c>
      <c r="T559" s="594">
        <f t="shared" si="394"/>
        <v>1368</v>
      </c>
      <c r="U559" s="595">
        <f t="shared" si="395"/>
        <v>1723</v>
      </c>
      <c r="V559" s="166">
        <f t="shared" si="396"/>
        <v>4078</v>
      </c>
      <c r="W559" s="167">
        <f t="shared" si="397"/>
        <v>2819</v>
      </c>
      <c r="X559" s="168">
        <f t="shared" si="398"/>
        <v>3557</v>
      </c>
      <c r="Y559" s="166">
        <f t="shared" si="399"/>
        <v>4604</v>
      </c>
      <c r="Z559" s="167">
        <f t="shared" si="400"/>
        <v>3183</v>
      </c>
      <c r="AA559" s="168">
        <f t="shared" si="401"/>
        <v>4015</v>
      </c>
      <c r="AB559" s="166">
        <f t="shared" si="402"/>
        <v>5130</v>
      </c>
      <c r="AC559" s="167">
        <f t="shared" si="403"/>
        <v>3547</v>
      </c>
      <c r="AD559" s="168">
        <f t="shared" si="404"/>
        <v>4473</v>
      </c>
      <c r="AE559" s="166">
        <f t="shared" si="405"/>
        <v>5656</v>
      </c>
      <c r="AF559" s="167">
        <f t="shared" si="406"/>
        <v>3911</v>
      </c>
      <c r="AG559" s="168">
        <f t="shared" si="407"/>
        <v>4702</v>
      </c>
      <c r="AH559" s="166">
        <f t="shared" si="408"/>
        <v>5919</v>
      </c>
      <c r="AI559" s="167">
        <f t="shared" si="409"/>
        <v>4457</v>
      </c>
      <c r="AJ559" s="168">
        <f t="shared" si="410"/>
        <v>5160</v>
      </c>
      <c r="AK559" s="169">
        <f t="shared" si="411"/>
        <v>6721</v>
      </c>
      <c r="AL559" s="167">
        <f t="shared" si="412"/>
        <v>4652</v>
      </c>
      <c r="AM559" s="585">
        <f t="shared" si="413"/>
        <v>5858</v>
      </c>
      <c r="AN559" s="614">
        <v>0.2</v>
      </c>
      <c r="AO559" s="615">
        <v>0.20499999999999999</v>
      </c>
      <c r="AP559" s="615">
        <v>0.21</v>
      </c>
      <c r="AQ559" s="616">
        <v>0.215</v>
      </c>
      <c r="AR559" s="612">
        <v>0.22</v>
      </c>
      <c r="AS559" s="617"/>
      <c r="AT559" s="618"/>
      <c r="AU559" s="618"/>
      <c r="AV559" s="618"/>
      <c r="AW559" s="619"/>
      <c r="AX559" s="614">
        <v>0.05</v>
      </c>
      <c r="AY559" s="616">
        <v>5.5E-2</v>
      </c>
      <c r="AZ559" s="616">
        <v>0.06</v>
      </c>
      <c r="BA559" s="616">
        <v>6.5000000000000002E-2</v>
      </c>
      <c r="BB559" s="616">
        <v>7.0000000000000007E-2</v>
      </c>
      <c r="BC559" s="616"/>
      <c r="BD559" s="612"/>
      <c r="BE559" s="596"/>
      <c r="BF559" s="598"/>
      <c r="BG559" s="598"/>
      <c r="BH559" s="598"/>
      <c r="BI559" s="598"/>
      <c r="BJ559" s="598"/>
      <c r="BK559" s="605"/>
      <c r="BL559" s="658">
        <f t="shared" si="389"/>
        <v>16900</v>
      </c>
      <c r="BM559" s="3">
        <f t="shared" si="390"/>
        <v>39</v>
      </c>
      <c r="BN559" s="3">
        <f t="shared" si="391"/>
        <v>27</v>
      </c>
      <c r="BO559" s="3">
        <f t="shared" si="392"/>
        <v>34</v>
      </c>
    </row>
    <row r="560" spans="2:67">
      <c r="B560" s="1271" t="s">
        <v>4597</v>
      </c>
      <c r="C560" s="1069" t="s">
        <v>4600</v>
      </c>
      <c r="D560" s="1069" t="s">
        <v>4601</v>
      </c>
      <c r="E560" s="1268" t="s">
        <v>2115</v>
      </c>
      <c r="F560" s="1070">
        <v>557</v>
      </c>
      <c r="G560" s="1071">
        <v>13973</v>
      </c>
      <c r="H560" s="1072">
        <v>5849</v>
      </c>
      <c r="I560" s="1073">
        <v>12673</v>
      </c>
      <c r="J560" s="166">
        <f t="shared" si="380"/>
        <v>279</v>
      </c>
      <c r="K560" s="167">
        <f t="shared" si="381"/>
        <v>117</v>
      </c>
      <c r="L560" s="168">
        <f t="shared" si="382"/>
        <v>253</v>
      </c>
      <c r="M560" s="166">
        <f t="shared" si="383"/>
        <v>378</v>
      </c>
      <c r="N560" s="167">
        <f t="shared" si="384"/>
        <v>158</v>
      </c>
      <c r="O560" s="168">
        <f t="shared" si="385"/>
        <v>343</v>
      </c>
      <c r="P560" s="169">
        <f t="shared" si="386"/>
        <v>611</v>
      </c>
      <c r="Q560" s="169">
        <f t="shared" si="387"/>
        <v>255</v>
      </c>
      <c r="R560" s="169">
        <f t="shared" si="388"/>
        <v>554</v>
      </c>
      <c r="S560" s="584">
        <f t="shared" si="393"/>
        <v>3493</v>
      </c>
      <c r="T560" s="594">
        <f t="shared" si="394"/>
        <v>1462</v>
      </c>
      <c r="U560" s="595">
        <f t="shared" si="395"/>
        <v>3168</v>
      </c>
      <c r="V560" s="166">
        <f t="shared" si="396"/>
        <v>10576</v>
      </c>
      <c r="W560" s="167">
        <f t="shared" si="397"/>
        <v>4423</v>
      </c>
      <c r="X560" s="168">
        <f t="shared" si="398"/>
        <v>9595</v>
      </c>
      <c r="Y560" s="166">
        <f t="shared" si="399"/>
        <v>11798</v>
      </c>
      <c r="Z560" s="167">
        <f t="shared" si="400"/>
        <v>4933</v>
      </c>
      <c r="AA560" s="168">
        <f t="shared" si="401"/>
        <v>10149</v>
      </c>
      <c r="AB560" s="166">
        <f t="shared" si="402"/>
        <v>12409</v>
      </c>
      <c r="AC560" s="167">
        <f t="shared" si="403"/>
        <v>4933</v>
      </c>
      <c r="AD560" s="168">
        <f t="shared" si="404"/>
        <v>10703</v>
      </c>
      <c r="AE560" s="166">
        <f t="shared" si="405"/>
        <v>12409</v>
      </c>
      <c r="AF560" s="167">
        <f t="shared" si="406"/>
        <v>5188</v>
      </c>
      <c r="AG560" s="168">
        <f t="shared" si="407"/>
        <v>11257</v>
      </c>
      <c r="AH560" s="166">
        <f t="shared" si="408"/>
        <v>13020</v>
      </c>
      <c r="AI560" s="167">
        <f t="shared" si="409"/>
        <v>5443</v>
      </c>
      <c r="AJ560" s="168">
        <f t="shared" si="410"/>
        <v>11811</v>
      </c>
      <c r="AK560" s="169">
        <f t="shared" si="411"/>
        <v>14252</v>
      </c>
      <c r="AL560" s="167">
        <f t="shared" si="412"/>
        <v>5966</v>
      </c>
      <c r="AM560" s="585">
        <f t="shared" si="413"/>
        <v>12926</v>
      </c>
      <c r="AN560" s="1133">
        <v>0.48</v>
      </c>
      <c r="AO560" s="1134">
        <v>0.51</v>
      </c>
      <c r="AP560" s="1134">
        <v>0.54</v>
      </c>
      <c r="AQ560" s="1135">
        <v>0.56999999999999995</v>
      </c>
      <c r="AR560" s="1132">
        <v>0.6</v>
      </c>
      <c r="AS560" s="1136"/>
      <c r="AT560" s="1137"/>
      <c r="AU560" s="1137"/>
      <c r="AV560" s="1137"/>
      <c r="AW560" s="1138"/>
      <c r="AX560" s="1133">
        <v>0.12</v>
      </c>
      <c r="AY560" s="1135">
        <v>0.13</v>
      </c>
      <c r="AZ560" s="1135">
        <v>0.14000000000000001</v>
      </c>
      <c r="BA560" s="1135">
        <v>0.15</v>
      </c>
      <c r="BB560" s="1135">
        <v>0.16</v>
      </c>
      <c r="BC560" s="1135">
        <v>0.17</v>
      </c>
      <c r="BD560" s="1132">
        <v>0.18</v>
      </c>
      <c r="BE560" s="1133">
        <v>0.06</v>
      </c>
      <c r="BF560" s="1135">
        <v>6.5000000000000002E-2</v>
      </c>
      <c r="BG560" s="1135">
        <v>7.0000000000000007E-2</v>
      </c>
      <c r="BH560" s="1135">
        <v>7.4999999999999997E-2</v>
      </c>
      <c r="BI560" s="1135">
        <v>0.08</v>
      </c>
      <c r="BJ560" s="1135">
        <v>8.5000000000000006E-2</v>
      </c>
      <c r="BK560" s="1023">
        <v>0.09</v>
      </c>
      <c r="BL560" s="658">
        <f t="shared" si="389"/>
        <v>32500</v>
      </c>
      <c r="BM560" s="3">
        <f t="shared" si="390"/>
        <v>43</v>
      </c>
      <c r="BN560" s="3">
        <f t="shared" si="391"/>
        <v>18</v>
      </c>
      <c r="BO560" s="3">
        <f t="shared" si="392"/>
        <v>39</v>
      </c>
    </row>
    <row r="561" spans="2:67">
      <c r="B561" s="1022" t="s">
        <v>4599</v>
      </c>
      <c r="C561" s="607" t="s">
        <v>310</v>
      </c>
      <c r="D561" s="607" t="s">
        <v>4601</v>
      </c>
      <c r="E561" s="1058" t="s">
        <v>1150</v>
      </c>
      <c r="F561" s="1019">
        <v>558</v>
      </c>
      <c r="G561" s="609">
        <v>6300</v>
      </c>
      <c r="H561" s="610">
        <v>3850</v>
      </c>
      <c r="I561" s="611">
        <v>7350</v>
      </c>
      <c r="J561" s="166">
        <f t="shared" si="380"/>
        <v>126</v>
      </c>
      <c r="K561" s="167">
        <f t="shared" si="381"/>
        <v>77</v>
      </c>
      <c r="L561" s="168">
        <f t="shared" si="382"/>
        <v>147</v>
      </c>
      <c r="M561" s="166">
        <f t="shared" si="383"/>
        <v>189</v>
      </c>
      <c r="N561" s="167">
        <f t="shared" si="384"/>
        <v>115</v>
      </c>
      <c r="O561" s="168">
        <f t="shared" si="385"/>
        <v>220</v>
      </c>
      <c r="P561" s="169">
        <f t="shared" si="386"/>
        <v>252</v>
      </c>
      <c r="Q561" s="169">
        <f t="shared" si="387"/>
        <v>154</v>
      </c>
      <c r="R561" s="169">
        <f t="shared" si="388"/>
        <v>294</v>
      </c>
      <c r="S561" s="584">
        <f t="shared" si="393"/>
        <v>1890</v>
      </c>
      <c r="T561" s="594">
        <f t="shared" si="394"/>
        <v>1155</v>
      </c>
      <c r="U561" s="595">
        <f t="shared" si="395"/>
        <v>2205</v>
      </c>
      <c r="V561" s="166">
        <f t="shared" si="396"/>
        <v>3906</v>
      </c>
      <c r="W561" s="167">
        <f t="shared" si="397"/>
        <v>2382</v>
      </c>
      <c r="X561" s="168">
        <f t="shared" si="398"/>
        <v>4552</v>
      </c>
      <c r="Y561" s="166">
        <f t="shared" si="399"/>
        <v>4410</v>
      </c>
      <c r="Z561" s="167">
        <f t="shared" si="400"/>
        <v>2690</v>
      </c>
      <c r="AA561" s="168">
        <f t="shared" si="401"/>
        <v>5140</v>
      </c>
      <c r="AB561" s="166">
        <f t="shared" si="402"/>
        <v>4914</v>
      </c>
      <c r="AC561" s="167">
        <f t="shared" si="403"/>
        <v>2998</v>
      </c>
      <c r="AD561" s="168">
        <f t="shared" si="404"/>
        <v>5728</v>
      </c>
      <c r="AE561" s="166">
        <f t="shared" si="405"/>
        <v>5418</v>
      </c>
      <c r="AF561" s="167">
        <f t="shared" si="406"/>
        <v>3152</v>
      </c>
      <c r="AG561" s="168">
        <f t="shared" si="407"/>
        <v>6316</v>
      </c>
      <c r="AH561" s="166">
        <f t="shared" si="408"/>
        <v>5670</v>
      </c>
      <c r="AI561" s="167">
        <f t="shared" si="409"/>
        <v>3460</v>
      </c>
      <c r="AJ561" s="168">
        <f t="shared" si="410"/>
        <v>7198</v>
      </c>
      <c r="AK561" s="169">
        <f t="shared" si="411"/>
        <v>6426</v>
      </c>
      <c r="AL561" s="167">
        <f t="shared" si="412"/>
        <v>3927</v>
      </c>
      <c r="AM561" s="585">
        <f t="shared" si="413"/>
        <v>7497</v>
      </c>
      <c r="AN561" s="614">
        <v>0.17</v>
      </c>
      <c r="AO561" s="615">
        <v>0.2</v>
      </c>
      <c r="AP561" s="615">
        <v>0.23</v>
      </c>
      <c r="AQ561" s="616">
        <v>0.26</v>
      </c>
      <c r="AR561" s="612">
        <v>0.28999999999999998</v>
      </c>
      <c r="AS561" s="617"/>
      <c r="AT561" s="618"/>
      <c r="AU561" s="618"/>
      <c r="AV561" s="618"/>
      <c r="AW561" s="619"/>
      <c r="AX561" s="614">
        <v>0.05</v>
      </c>
      <c r="AY561" s="616">
        <v>5.5E-2</v>
      </c>
      <c r="AZ561" s="616">
        <v>0.06</v>
      </c>
      <c r="BA561" s="616">
        <v>6.5000000000000002E-2</v>
      </c>
      <c r="BB561" s="616">
        <v>7.0000000000000007E-2</v>
      </c>
      <c r="BC561" s="616"/>
      <c r="BD561" s="612"/>
      <c r="BE561" s="614"/>
      <c r="BF561" s="616"/>
      <c r="BG561" s="616"/>
      <c r="BH561" s="616"/>
      <c r="BI561" s="616"/>
      <c r="BJ561" s="616"/>
      <c r="BK561" s="1023"/>
      <c r="BL561" s="658">
        <f t="shared" si="389"/>
        <v>17500</v>
      </c>
      <c r="BM561" s="3">
        <f t="shared" si="390"/>
        <v>36</v>
      </c>
      <c r="BN561" s="3">
        <f t="shared" si="391"/>
        <v>22</v>
      </c>
      <c r="BO561" s="3">
        <f t="shared" si="392"/>
        <v>42</v>
      </c>
    </row>
    <row r="562" spans="2:67">
      <c r="B562" s="1271" t="s">
        <v>4625</v>
      </c>
      <c r="C562" s="1069" t="s">
        <v>309</v>
      </c>
      <c r="D562" s="1069" t="s">
        <v>4614</v>
      </c>
      <c r="E562" s="1059" t="s">
        <v>1150</v>
      </c>
      <c r="F562" s="1070">
        <v>559</v>
      </c>
      <c r="G562" s="1071">
        <v>13000</v>
      </c>
      <c r="H562" s="1072">
        <v>9100</v>
      </c>
      <c r="I562" s="1073">
        <v>10400</v>
      </c>
      <c r="J562" s="166">
        <f t="shared" si="380"/>
        <v>260</v>
      </c>
      <c r="K562" s="167">
        <f t="shared" si="381"/>
        <v>182</v>
      </c>
      <c r="L562" s="168">
        <f t="shared" si="382"/>
        <v>208</v>
      </c>
      <c r="M562" s="166">
        <f t="shared" si="383"/>
        <v>325</v>
      </c>
      <c r="N562" s="167">
        <f t="shared" si="384"/>
        <v>227</v>
      </c>
      <c r="O562" s="168">
        <f t="shared" si="385"/>
        <v>260</v>
      </c>
      <c r="P562" s="169">
        <f t="shared" si="386"/>
        <v>487</v>
      </c>
      <c r="Q562" s="169">
        <f t="shared" si="387"/>
        <v>341</v>
      </c>
      <c r="R562" s="169">
        <f t="shared" si="388"/>
        <v>390</v>
      </c>
      <c r="S562" s="584">
        <f t="shared" si="393"/>
        <v>3250</v>
      </c>
      <c r="T562" s="594">
        <f t="shared" si="394"/>
        <v>2275</v>
      </c>
      <c r="U562" s="595">
        <f t="shared" si="395"/>
        <v>2600</v>
      </c>
      <c r="V562" s="166">
        <f t="shared" si="396"/>
        <v>7410</v>
      </c>
      <c r="W562" s="167">
        <f t="shared" si="397"/>
        <v>5181</v>
      </c>
      <c r="X562" s="168">
        <f t="shared" si="398"/>
        <v>5928</v>
      </c>
      <c r="Y562" s="166">
        <f t="shared" si="399"/>
        <v>8384</v>
      </c>
      <c r="Z562" s="167">
        <f t="shared" si="400"/>
        <v>5522</v>
      </c>
      <c r="AA562" s="168">
        <f t="shared" si="401"/>
        <v>7098</v>
      </c>
      <c r="AB562" s="166">
        <f t="shared" si="402"/>
        <v>9845</v>
      </c>
      <c r="AC562" s="167">
        <f t="shared" si="403"/>
        <v>6545</v>
      </c>
      <c r="AD562" s="168">
        <f t="shared" si="404"/>
        <v>7488</v>
      </c>
      <c r="AE562" s="166">
        <f t="shared" si="405"/>
        <v>10819</v>
      </c>
      <c r="AF562" s="167">
        <f t="shared" si="406"/>
        <v>7909</v>
      </c>
      <c r="AG562" s="168">
        <f t="shared" si="407"/>
        <v>8268</v>
      </c>
      <c r="AH562" s="166">
        <f t="shared" si="408"/>
        <v>11793</v>
      </c>
      <c r="AI562" s="167">
        <f t="shared" si="409"/>
        <v>8591</v>
      </c>
      <c r="AJ562" s="168">
        <f t="shared" si="410"/>
        <v>9828</v>
      </c>
      <c r="AK562" s="169">
        <f t="shared" si="411"/>
        <v>13260</v>
      </c>
      <c r="AL562" s="167">
        <f t="shared" si="412"/>
        <v>9282</v>
      </c>
      <c r="AM562" s="585">
        <f t="shared" si="413"/>
        <v>10608</v>
      </c>
      <c r="AN562" s="1133">
        <v>0.06</v>
      </c>
      <c r="AO562" s="1134">
        <v>6.3E-2</v>
      </c>
      <c r="AP562" s="1134">
        <v>6.6000000000000003E-2</v>
      </c>
      <c r="AQ562" s="1135">
        <v>6.9000000000000006E-2</v>
      </c>
      <c r="AR562" s="1132">
        <v>7.1999999999999995E-2</v>
      </c>
      <c r="AS562" s="1136"/>
      <c r="AT562" s="1137"/>
      <c r="AU562" s="1137"/>
      <c r="AV562" s="1137"/>
      <c r="AW562" s="1138"/>
      <c r="AX562" s="596">
        <v>0.04</v>
      </c>
      <c r="AY562" s="598">
        <v>4.2999999999999997E-2</v>
      </c>
      <c r="AZ562" s="598">
        <v>4.5999999999999999E-2</v>
      </c>
      <c r="BA562" s="598">
        <v>4.9000000000000002E-2</v>
      </c>
      <c r="BB562" s="598">
        <v>5.1999999999999998E-2</v>
      </c>
      <c r="BC562" s="1135"/>
      <c r="BD562" s="1132"/>
      <c r="BE562" s="1133"/>
      <c r="BF562" s="1135"/>
      <c r="BG562" s="1135"/>
      <c r="BH562" s="1135"/>
      <c r="BI562" s="1135"/>
      <c r="BJ562" s="1135"/>
      <c r="BK562" s="1023"/>
      <c r="BL562" s="658">
        <f t="shared" si="389"/>
        <v>32500</v>
      </c>
      <c r="BM562" s="3">
        <f t="shared" si="390"/>
        <v>40</v>
      </c>
      <c r="BN562" s="3">
        <f t="shared" si="391"/>
        <v>28</v>
      </c>
      <c r="BO562" s="3">
        <f t="shared" si="392"/>
        <v>32</v>
      </c>
    </row>
    <row r="563" spans="2:67">
      <c r="B563" s="1022" t="s">
        <v>4617</v>
      </c>
      <c r="C563" s="607" t="s">
        <v>310</v>
      </c>
      <c r="D563" s="607" t="s">
        <v>4618</v>
      </c>
      <c r="E563" s="1059" t="s">
        <v>1150</v>
      </c>
      <c r="F563" s="1019">
        <v>560</v>
      </c>
      <c r="G563" s="609">
        <v>5173</v>
      </c>
      <c r="H563" s="610">
        <v>7960</v>
      </c>
      <c r="I563" s="611">
        <v>6764</v>
      </c>
      <c r="J563" s="166">
        <f t="shared" si="380"/>
        <v>103</v>
      </c>
      <c r="K563" s="167">
        <f t="shared" si="381"/>
        <v>159</v>
      </c>
      <c r="L563" s="168">
        <f t="shared" si="382"/>
        <v>135</v>
      </c>
      <c r="M563" s="166">
        <f t="shared" si="383"/>
        <v>155</v>
      </c>
      <c r="N563" s="167">
        <f t="shared" si="384"/>
        <v>238</v>
      </c>
      <c r="O563" s="168">
        <f t="shared" si="385"/>
        <v>202</v>
      </c>
      <c r="P563" s="169">
        <f t="shared" si="386"/>
        <v>206</v>
      </c>
      <c r="Q563" s="169">
        <f t="shared" si="387"/>
        <v>318</v>
      </c>
      <c r="R563" s="169">
        <f t="shared" si="388"/>
        <v>270</v>
      </c>
      <c r="S563" s="584">
        <f t="shared" si="393"/>
        <v>1552</v>
      </c>
      <c r="T563" s="594">
        <f t="shared" si="394"/>
        <v>2388</v>
      </c>
      <c r="U563" s="595">
        <f t="shared" si="395"/>
        <v>2029</v>
      </c>
      <c r="V563" s="166">
        <f t="shared" si="396"/>
        <v>3205</v>
      </c>
      <c r="W563" s="167">
        <f t="shared" si="397"/>
        <v>4927</v>
      </c>
      <c r="X563" s="168">
        <f t="shared" si="398"/>
        <v>4184</v>
      </c>
      <c r="Y563" s="166">
        <f t="shared" si="399"/>
        <v>3617</v>
      </c>
      <c r="Z563" s="167">
        <f t="shared" si="400"/>
        <v>5563</v>
      </c>
      <c r="AA563" s="168">
        <f t="shared" si="401"/>
        <v>4724</v>
      </c>
      <c r="AB563" s="166">
        <f t="shared" si="402"/>
        <v>4029</v>
      </c>
      <c r="AC563" s="167">
        <f t="shared" si="403"/>
        <v>6199</v>
      </c>
      <c r="AD563" s="168">
        <f t="shared" si="404"/>
        <v>5264</v>
      </c>
      <c r="AE563" s="166">
        <f t="shared" si="405"/>
        <v>4441</v>
      </c>
      <c r="AF563" s="167">
        <f t="shared" si="406"/>
        <v>6517</v>
      </c>
      <c r="AG563" s="168">
        <f t="shared" si="407"/>
        <v>5804</v>
      </c>
      <c r="AH563" s="166">
        <f t="shared" si="408"/>
        <v>5059</v>
      </c>
      <c r="AI563" s="167">
        <f t="shared" si="409"/>
        <v>7153</v>
      </c>
      <c r="AJ563" s="168">
        <f t="shared" si="410"/>
        <v>6074</v>
      </c>
      <c r="AK563" s="169">
        <f t="shared" si="411"/>
        <v>5276</v>
      </c>
      <c r="AL563" s="167">
        <f t="shared" si="412"/>
        <v>8119</v>
      </c>
      <c r="AM563" s="585">
        <f t="shared" si="413"/>
        <v>6899</v>
      </c>
      <c r="AN563" s="614">
        <v>0.08</v>
      </c>
      <c r="AO563" s="615">
        <v>0.11</v>
      </c>
      <c r="AP563" s="615">
        <v>0.14000000000000001</v>
      </c>
      <c r="AQ563" s="616">
        <v>0.17</v>
      </c>
      <c r="AR563" s="612">
        <v>0.2</v>
      </c>
      <c r="AS563" s="617"/>
      <c r="AT563" s="618"/>
      <c r="AU563" s="618"/>
      <c r="AV563" s="618"/>
      <c r="AW563" s="619"/>
      <c r="AX563" s="596">
        <v>0.03</v>
      </c>
      <c r="AY563" s="598">
        <v>3.3000000000000002E-2</v>
      </c>
      <c r="AZ563" s="598">
        <v>3.5999999999999997E-2</v>
      </c>
      <c r="BA563" s="598">
        <v>3.9E-2</v>
      </c>
      <c r="BB563" s="598">
        <v>4.2000000000000003E-2</v>
      </c>
      <c r="BC563" s="616"/>
      <c r="BD563" s="612"/>
      <c r="BE563" s="614"/>
      <c r="BF563" s="616"/>
      <c r="BG563" s="616"/>
      <c r="BH563" s="616"/>
      <c r="BI563" s="616"/>
      <c r="BJ563" s="616"/>
      <c r="BK563" s="1023"/>
      <c r="BL563" s="658">
        <f t="shared" si="389"/>
        <v>19900</v>
      </c>
      <c r="BM563" s="3">
        <f t="shared" si="390"/>
        <v>26</v>
      </c>
      <c r="BN563" s="3">
        <f t="shared" si="391"/>
        <v>40</v>
      </c>
      <c r="BO563" s="3">
        <f t="shared" si="392"/>
        <v>34</v>
      </c>
    </row>
    <row r="564" spans="2:67">
      <c r="B564" s="1022" t="s">
        <v>4627</v>
      </c>
      <c r="C564" s="607" t="s">
        <v>309</v>
      </c>
      <c r="D564" s="607" t="s">
        <v>4618</v>
      </c>
      <c r="E564" s="1060" t="s">
        <v>1150</v>
      </c>
      <c r="F564" s="1070">
        <v>561</v>
      </c>
      <c r="G564" s="609">
        <v>9749</v>
      </c>
      <c r="H564" s="610">
        <v>14624</v>
      </c>
      <c r="I564" s="611">
        <v>8124</v>
      </c>
      <c r="J564" s="166">
        <f t="shared" si="380"/>
        <v>195</v>
      </c>
      <c r="K564" s="167">
        <f t="shared" si="381"/>
        <v>292</v>
      </c>
      <c r="L564" s="168">
        <f t="shared" si="382"/>
        <v>162</v>
      </c>
      <c r="M564" s="166">
        <f t="shared" si="383"/>
        <v>243</v>
      </c>
      <c r="N564" s="167">
        <f t="shared" si="384"/>
        <v>365</v>
      </c>
      <c r="O564" s="168">
        <f t="shared" si="385"/>
        <v>203</v>
      </c>
      <c r="P564" s="169">
        <f t="shared" si="386"/>
        <v>365</v>
      </c>
      <c r="Q564" s="169">
        <f t="shared" si="387"/>
        <v>548</v>
      </c>
      <c r="R564" s="169">
        <f t="shared" si="388"/>
        <v>304</v>
      </c>
      <c r="S564" s="584">
        <f t="shared" si="393"/>
        <v>2437</v>
      </c>
      <c r="T564" s="594">
        <f t="shared" si="394"/>
        <v>3656</v>
      </c>
      <c r="U564" s="595">
        <f t="shared" si="395"/>
        <v>2031</v>
      </c>
      <c r="V564" s="166">
        <f t="shared" si="396"/>
        <v>5548</v>
      </c>
      <c r="W564" s="167">
        <f t="shared" si="397"/>
        <v>8328</v>
      </c>
      <c r="X564" s="168">
        <f t="shared" si="398"/>
        <v>4629</v>
      </c>
      <c r="Y564" s="166">
        <f t="shared" si="399"/>
        <v>6643</v>
      </c>
      <c r="Z564" s="167">
        <f t="shared" si="400"/>
        <v>9424</v>
      </c>
      <c r="AA564" s="168">
        <f t="shared" si="401"/>
        <v>4933</v>
      </c>
      <c r="AB564" s="166">
        <f t="shared" si="402"/>
        <v>7008</v>
      </c>
      <c r="AC564" s="167">
        <f t="shared" si="403"/>
        <v>11068</v>
      </c>
      <c r="AD564" s="168">
        <f t="shared" si="404"/>
        <v>5845</v>
      </c>
      <c r="AE564" s="166">
        <f t="shared" si="405"/>
        <v>7738</v>
      </c>
      <c r="AF564" s="167">
        <f t="shared" si="406"/>
        <v>12164</v>
      </c>
      <c r="AG564" s="168">
        <f t="shared" si="407"/>
        <v>7061</v>
      </c>
      <c r="AH564" s="166">
        <f t="shared" si="408"/>
        <v>9198</v>
      </c>
      <c r="AI564" s="167">
        <f t="shared" si="409"/>
        <v>13260</v>
      </c>
      <c r="AJ564" s="168">
        <f t="shared" si="410"/>
        <v>7669</v>
      </c>
      <c r="AK564" s="169">
        <f t="shared" si="411"/>
        <v>9944</v>
      </c>
      <c r="AL564" s="167">
        <f t="shared" si="412"/>
        <v>14916</v>
      </c>
      <c r="AM564" s="585">
        <f t="shared" si="413"/>
        <v>8286</v>
      </c>
      <c r="AN564" s="614">
        <v>0.2</v>
      </c>
      <c r="AO564" s="615">
        <v>0.23</v>
      </c>
      <c r="AP564" s="615">
        <v>0.26</v>
      </c>
      <c r="AQ564" s="616">
        <v>0.28999999999999998</v>
      </c>
      <c r="AR564" s="612">
        <v>0.32</v>
      </c>
      <c r="AS564" s="617"/>
      <c r="AT564" s="618"/>
      <c r="AU564" s="618"/>
      <c r="AV564" s="618"/>
      <c r="AW564" s="619"/>
      <c r="AX564" s="596">
        <v>0.04</v>
      </c>
      <c r="AY564" s="598">
        <v>4.2999999999999997E-2</v>
      </c>
      <c r="AZ564" s="598">
        <v>4.5999999999999999E-2</v>
      </c>
      <c r="BA564" s="598">
        <v>4.9000000000000002E-2</v>
      </c>
      <c r="BB564" s="598">
        <v>5.1999999999999998E-2</v>
      </c>
      <c r="BC564" s="616"/>
      <c r="BD564" s="612"/>
      <c r="BE564" s="1133"/>
      <c r="BF564" s="1135"/>
      <c r="BG564" s="1135"/>
      <c r="BH564" s="1135"/>
      <c r="BI564" s="1135"/>
      <c r="BJ564" s="1135"/>
      <c r="BK564" s="1023"/>
      <c r="BL564" s="658">
        <f t="shared" si="389"/>
        <v>32500</v>
      </c>
      <c r="BM564" s="3">
        <f t="shared" si="390"/>
        <v>30</v>
      </c>
      <c r="BN564" s="3">
        <f t="shared" si="391"/>
        <v>45</v>
      </c>
      <c r="BO564" s="3">
        <f t="shared" si="392"/>
        <v>25</v>
      </c>
    </row>
    <row r="565" spans="2:67">
      <c r="B565" s="1271" t="s">
        <v>4628</v>
      </c>
      <c r="C565" s="1069" t="s">
        <v>309</v>
      </c>
      <c r="D565" s="1069" t="s">
        <v>4622</v>
      </c>
      <c r="E565" s="1267" t="s">
        <v>125</v>
      </c>
      <c r="F565" s="1019">
        <v>562</v>
      </c>
      <c r="G565" s="1071">
        <v>11340</v>
      </c>
      <c r="H565" s="1072">
        <v>4320</v>
      </c>
      <c r="I565" s="1073">
        <v>11340</v>
      </c>
      <c r="J565" s="166">
        <f t="shared" si="380"/>
        <v>226</v>
      </c>
      <c r="K565" s="167">
        <f t="shared" si="381"/>
        <v>86</v>
      </c>
      <c r="L565" s="168">
        <f t="shared" si="382"/>
        <v>226</v>
      </c>
      <c r="M565" s="166">
        <f t="shared" si="383"/>
        <v>283</v>
      </c>
      <c r="N565" s="167">
        <f t="shared" si="384"/>
        <v>108</v>
      </c>
      <c r="O565" s="168">
        <f t="shared" si="385"/>
        <v>283</v>
      </c>
      <c r="P565" s="169">
        <f t="shared" si="386"/>
        <v>425</v>
      </c>
      <c r="Q565" s="169">
        <f t="shared" si="387"/>
        <v>162</v>
      </c>
      <c r="R565" s="169">
        <f t="shared" si="388"/>
        <v>425</v>
      </c>
      <c r="S565" s="584">
        <f t="shared" si="393"/>
        <v>2835</v>
      </c>
      <c r="T565" s="594">
        <f t="shared" si="394"/>
        <v>1080</v>
      </c>
      <c r="U565" s="595">
        <f t="shared" si="395"/>
        <v>2835</v>
      </c>
      <c r="V565" s="166">
        <f t="shared" si="396"/>
        <v>6457</v>
      </c>
      <c r="W565" s="167">
        <f t="shared" si="397"/>
        <v>2462</v>
      </c>
      <c r="X565" s="168">
        <f t="shared" si="398"/>
        <v>6457</v>
      </c>
      <c r="Y565" s="166">
        <f t="shared" si="399"/>
        <v>6882</v>
      </c>
      <c r="Z565" s="167">
        <f t="shared" si="400"/>
        <v>2948</v>
      </c>
      <c r="AA565" s="168">
        <f t="shared" si="401"/>
        <v>7307</v>
      </c>
      <c r="AB565" s="166">
        <f t="shared" si="402"/>
        <v>8157</v>
      </c>
      <c r="AC565" s="167">
        <f t="shared" si="403"/>
        <v>3110</v>
      </c>
      <c r="AD565" s="168">
        <f t="shared" si="404"/>
        <v>8582</v>
      </c>
      <c r="AE565" s="166">
        <f t="shared" si="405"/>
        <v>9857</v>
      </c>
      <c r="AF565" s="167">
        <f t="shared" si="406"/>
        <v>3434</v>
      </c>
      <c r="AG565" s="168">
        <f t="shared" si="407"/>
        <v>9432</v>
      </c>
      <c r="AH565" s="166">
        <f t="shared" si="408"/>
        <v>10707</v>
      </c>
      <c r="AI565" s="167">
        <f t="shared" si="409"/>
        <v>4082</v>
      </c>
      <c r="AJ565" s="168">
        <f t="shared" si="410"/>
        <v>10282</v>
      </c>
      <c r="AK565" s="169">
        <f t="shared" si="411"/>
        <v>11566</v>
      </c>
      <c r="AL565" s="167">
        <f t="shared" si="412"/>
        <v>4406</v>
      </c>
      <c r="AM565" s="585">
        <f t="shared" si="413"/>
        <v>11566</v>
      </c>
      <c r="AN565" s="1133">
        <v>0.3</v>
      </c>
      <c r="AO565" s="1134">
        <v>0.30499999999999999</v>
      </c>
      <c r="AP565" s="1134">
        <v>0.31</v>
      </c>
      <c r="AQ565" s="1135">
        <v>0.315</v>
      </c>
      <c r="AR565" s="1132">
        <v>0.32</v>
      </c>
      <c r="AS565" s="1136"/>
      <c r="AT565" s="1137"/>
      <c r="AU565" s="1137"/>
      <c r="AV565" s="1137"/>
      <c r="AW565" s="1138"/>
      <c r="AX565" s="596">
        <v>0.03</v>
      </c>
      <c r="AY565" s="598">
        <v>3.3000000000000002E-2</v>
      </c>
      <c r="AZ565" s="598">
        <v>3.5999999999999997E-2</v>
      </c>
      <c r="BA565" s="598">
        <v>3.9E-2</v>
      </c>
      <c r="BB565" s="598">
        <v>4.2000000000000003E-2</v>
      </c>
      <c r="BC565" s="1135"/>
      <c r="BD565" s="1132"/>
      <c r="BE565" s="1133"/>
      <c r="BF565" s="1135"/>
      <c r="BG565" s="1135"/>
      <c r="BH565" s="1135"/>
      <c r="BI565" s="1135"/>
      <c r="BJ565" s="1135"/>
      <c r="BK565" s="1023"/>
      <c r="BL565" s="658">
        <f t="shared" si="389"/>
        <v>27000</v>
      </c>
      <c r="BM565" s="3">
        <f t="shared" si="390"/>
        <v>42</v>
      </c>
      <c r="BN565" s="3">
        <f t="shared" si="391"/>
        <v>16</v>
      </c>
      <c r="BO565" s="3">
        <f t="shared" si="392"/>
        <v>42</v>
      </c>
    </row>
    <row r="566" spans="2:67">
      <c r="B566" s="1022" t="s">
        <v>4624</v>
      </c>
      <c r="C566" s="607" t="s">
        <v>310</v>
      </c>
      <c r="D566" s="607" t="s">
        <v>4614</v>
      </c>
      <c r="E566" s="1059" t="s">
        <v>125</v>
      </c>
      <c r="F566" s="608">
        <v>563</v>
      </c>
      <c r="G566" s="609">
        <v>7097</v>
      </c>
      <c r="H566" s="610">
        <v>3717</v>
      </c>
      <c r="I566" s="611">
        <v>6083</v>
      </c>
      <c r="J566" s="166">
        <f t="shared" si="380"/>
        <v>141</v>
      </c>
      <c r="K566" s="167">
        <f t="shared" si="381"/>
        <v>74</v>
      </c>
      <c r="L566" s="168">
        <f t="shared" si="382"/>
        <v>121</v>
      </c>
      <c r="M566" s="166">
        <f t="shared" si="383"/>
        <v>212</v>
      </c>
      <c r="N566" s="167">
        <f t="shared" si="384"/>
        <v>111</v>
      </c>
      <c r="O566" s="168">
        <f t="shared" si="385"/>
        <v>182</v>
      </c>
      <c r="P566" s="169">
        <f t="shared" si="386"/>
        <v>283</v>
      </c>
      <c r="Q566" s="169">
        <f t="shared" si="387"/>
        <v>148</v>
      </c>
      <c r="R566" s="169">
        <f t="shared" si="388"/>
        <v>243</v>
      </c>
      <c r="S566" s="584">
        <f t="shared" si="393"/>
        <v>2129</v>
      </c>
      <c r="T566" s="594">
        <f t="shared" si="394"/>
        <v>1115</v>
      </c>
      <c r="U566" s="595">
        <f t="shared" si="395"/>
        <v>1825</v>
      </c>
      <c r="V566" s="166">
        <f t="shared" si="396"/>
        <v>4390</v>
      </c>
      <c r="W566" s="167">
        <f t="shared" si="397"/>
        <v>2299</v>
      </c>
      <c r="X566" s="168">
        <f t="shared" si="398"/>
        <v>3766</v>
      </c>
      <c r="Y566" s="166">
        <f t="shared" si="399"/>
        <v>4956</v>
      </c>
      <c r="Z566" s="167">
        <f t="shared" si="400"/>
        <v>2595</v>
      </c>
      <c r="AA566" s="168">
        <f t="shared" si="401"/>
        <v>4252</v>
      </c>
      <c r="AB566" s="166">
        <f t="shared" si="402"/>
        <v>5522</v>
      </c>
      <c r="AC566" s="167">
        <f t="shared" si="403"/>
        <v>2891</v>
      </c>
      <c r="AD566" s="168">
        <f t="shared" si="404"/>
        <v>4738</v>
      </c>
      <c r="AE566" s="166">
        <f t="shared" si="405"/>
        <v>5805</v>
      </c>
      <c r="AF566" s="167">
        <f t="shared" si="406"/>
        <v>3187</v>
      </c>
      <c r="AG566" s="168">
        <f t="shared" si="407"/>
        <v>5224</v>
      </c>
      <c r="AH566" s="166">
        <f t="shared" si="408"/>
        <v>6371</v>
      </c>
      <c r="AI566" s="167">
        <f t="shared" si="409"/>
        <v>3335</v>
      </c>
      <c r="AJ566" s="168">
        <f t="shared" si="410"/>
        <v>5953</v>
      </c>
      <c r="AK566" s="169">
        <f t="shared" si="411"/>
        <v>7238</v>
      </c>
      <c r="AL566" s="167">
        <f t="shared" si="412"/>
        <v>3791</v>
      </c>
      <c r="AM566" s="585">
        <f t="shared" si="413"/>
        <v>6204</v>
      </c>
      <c r="AN566" s="614">
        <v>0.04</v>
      </c>
      <c r="AO566" s="615">
        <v>4.2999999999999997E-2</v>
      </c>
      <c r="AP566" s="615">
        <v>4.5999999999999999E-2</v>
      </c>
      <c r="AQ566" s="616">
        <v>4.9000000000000002E-2</v>
      </c>
      <c r="AR566" s="612">
        <v>5.1999999999999998E-2</v>
      </c>
      <c r="AS566" s="617"/>
      <c r="AT566" s="618"/>
      <c r="AU566" s="618"/>
      <c r="AV566" s="618"/>
      <c r="AW566" s="619"/>
      <c r="AX566" s="614">
        <v>0.05</v>
      </c>
      <c r="AY566" s="616">
        <v>5.5E-2</v>
      </c>
      <c r="AZ566" s="616">
        <v>0.06</v>
      </c>
      <c r="BA566" s="616">
        <v>6.5000000000000002E-2</v>
      </c>
      <c r="BB566" s="616">
        <v>7.0000000000000007E-2</v>
      </c>
      <c r="BC566" s="616"/>
      <c r="BD566" s="612"/>
      <c r="BE566" s="614"/>
      <c r="BF566" s="616"/>
      <c r="BG566" s="616"/>
      <c r="BH566" s="616"/>
      <c r="BI566" s="616"/>
      <c r="BJ566" s="616"/>
      <c r="BK566" s="1023"/>
      <c r="BL566" s="658">
        <f t="shared" si="389"/>
        <v>16900</v>
      </c>
      <c r="BM566" s="3">
        <f t="shared" si="390"/>
        <v>42</v>
      </c>
      <c r="BN566" s="3">
        <f t="shared" si="391"/>
        <v>22</v>
      </c>
      <c r="BO566" s="3">
        <f t="shared" si="392"/>
        <v>36</v>
      </c>
    </row>
    <row r="567" spans="2:67">
      <c r="B567" s="1022" t="s">
        <v>4631</v>
      </c>
      <c r="C567" s="607" t="s">
        <v>310</v>
      </c>
      <c r="D567" s="607" t="s">
        <v>4622</v>
      </c>
      <c r="E567" s="1060" t="s">
        <v>125</v>
      </c>
      <c r="F567" s="1019">
        <v>564</v>
      </c>
      <c r="G567" s="609">
        <v>6420</v>
      </c>
      <c r="H567" s="610">
        <v>4900</v>
      </c>
      <c r="I567" s="611">
        <v>5576</v>
      </c>
      <c r="J567" s="166">
        <f t="shared" si="380"/>
        <v>128</v>
      </c>
      <c r="K567" s="167">
        <f t="shared" si="381"/>
        <v>98</v>
      </c>
      <c r="L567" s="168">
        <f t="shared" si="382"/>
        <v>111</v>
      </c>
      <c r="M567" s="166">
        <f t="shared" si="383"/>
        <v>192</v>
      </c>
      <c r="N567" s="167">
        <f t="shared" si="384"/>
        <v>147</v>
      </c>
      <c r="O567" s="168">
        <f t="shared" si="385"/>
        <v>167</v>
      </c>
      <c r="P567" s="169">
        <f t="shared" si="386"/>
        <v>256</v>
      </c>
      <c r="Q567" s="169">
        <f t="shared" si="387"/>
        <v>196</v>
      </c>
      <c r="R567" s="169">
        <f t="shared" si="388"/>
        <v>223</v>
      </c>
      <c r="S567" s="584">
        <f t="shared" si="393"/>
        <v>1926</v>
      </c>
      <c r="T567" s="594">
        <f t="shared" si="394"/>
        <v>1470</v>
      </c>
      <c r="U567" s="595">
        <f t="shared" si="395"/>
        <v>1673</v>
      </c>
      <c r="V567" s="166">
        <f t="shared" si="396"/>
        <v>3974</v>
      </c>
      <c r="W567" s="167">
        <f t="shared" si="397"/>
        <v>3038</v>
      </c>
      <c r="X567" s="168">
        <f t="shared" si="398"/>
        <v>3454</v>
      </c>
      <c r="Y567" s="166">
        <f t="shared" si="399"/>
        <v>4486</v>
      </c>
      <c r="Z567" s="167">
        <f t="shared" si="400"/>
        <v>3430</v>
      </c>
      <c r="AA567" s="168">
        <f t="shared" si="401"/>
        <v>3900</v>
      </c>
      <c r="AB567" s="166">
        <f t="shared" si="402"/>
        <v>4998</v>
      </c>
      <c r="AC567" s="167">
        <f t="shared" si="403"/>
        <v>3822</v>
      </c>
      <c r="AD567" s="168">
        <f t="shared" si="404"/>
        <v>4346</v>
      </c>
      <c r="AE567" s="166">
        <f t="shared" si="405"/>
        <v>5510</v>
      </c>
      <c r="AF567" s="167">
        <f t="shared" si="406"/>
        <v>4214</v>
      </c>
      <c r="AG567" s="168">
        <f t="shared" si="407"/>
        <v>4569</v>
      </c>
      <c r="AH567" s="166">
        <f t="shared" si="408"/>
        <v>5766</v>
      </c>
      <c r="AI567" s="167">
        <f t="shared" si="409"/>
        <v>4802</v>
      </c>
      <c r="AJ567" s="168">
        <f t="shared" si="410"/>
        <v>5015</v>
      </c>
      <c r="AK567" s="169">
        <f t="shared" si="411"/>
        <v>6548</v>
      </c>
      <c r="AL567" s="167">
        <f t="shared" si="412"/>
        <v>4998</v>
      </c>
      <c r="AM567" s="585">
        <f t="shared" si="413"/>
        <v>5687</v>
      </c>
      <c r="AN567" s="614">
        <v>6.4000000000000001E-2</v>
      </c>
      <c r="AO567" s="615">
        <v>6.7000000000000004E-2</v>
      </c>
      <c r="AP567" s="615">
        <v>7.0000000000000007E-2</v>
      </c>
      <c r="AQ567" s="616">
        <v>7.2999999999999995E-2</v>
      </c>
      <c r="AR567" s="612">
        <v>7.5999999999999998E-2</v>
      </c>
      <c r="AS567" s="617"/>
      <c r="AT567" s="618"/>
      <c r="AU567" s="618"/>
      <c r="AV567" s="618"/>
      <c r="AW567" s="619"/>
      <c r="AX567" s="614">
        <v>0.03</v>
      </c>
      <c r="AY567" s="616">
        <v>3.5000000000000003E-2</v>
      </c>
      <c r="AZ567" s="616">
        <v>0.04</v>
      </c>
      <c r="BA567" s="616">
        <v>4.4999999999999998E-2</v>
      </c>
      <c r="BB567" s="616">
        <v>0.05</v>
      </c>
      <c r="BC567" s="616"/>
      <c r="BD567" s="612"/>
      <c r="BE567" s="614"/>
      <c r="BF567" s="616"/>
      <c r="BG567" s="616"/>
      <c r="BH567" s="616"/>
      <c r="BI567" s="616"/>
      <c r="BJ567" s="616"/>
      <c r="BK567" s="1023"/>
      <c r="BL567" s="658">
        <f t="shared" si="389"/>
        <v>16900</v>
      </c>
      <c r="BM567" s="3">
        <f t="shared" si="390"/>
        <v>38</v>
      </c>
      <c r="BN567" s="3">
        <f t="shared" si="391"/>
        <v>29</v>
      </c>
      <c r="BO567" s="3">
        <f t="shared" si="392"/>
        <v>33</v>
      </c>
    </row>
    <row r="568" spans="2:67">
      <c r="B568" s="1271" t="s">
        <v>4639</v>
      </c>
      <c r="C568" s="1069" t="s">
        <v>873</v>
      </c>
      <c r="D568" s="1069" t="s">
        <v>13</v>
      </c>
      <c r="E568" s="1268" t="s">
        <v>126</v>
      </c>
      <c r="F568" s="1070">
        <v>565</v>
      </c>
      <c r="G568" s="1071">
        <v>14624</v>
      </c>
      <c r="H568" s="1072">
        <v>4224</v>
      </c>
      <c r="I568" s="1073">
        <v>13649</v>
      </c>
      <c r="J568" s="166">
        <f t="shared" si="380"/>
        <v>292</v>
      </c>
      <c r="K568" s="167">
        <f t="shared" si="381"/>
        <v>84</v>
      </c>
      <c r="L568" s="168">
        <f t="shared" si="382"/>
        <v>273</v>
      </c>
      <c r="M568" s="166">
        <f t="shared" si="383"/>
        <v>365</v>
      </c>
      <c r="N568" s="167">
        <f t="shared" si="384"/>
        <v>105</v>
      </c>
      <c r="O568" s="168">
        <f t="shared" si="385"/>
        <v>341</v>
      </c>
      <c r="P568" s="169">
        <f t="shared" si="386"/>
        <v>548</v>
      </c>
      <c r="Q568" s="169">
        <f t="shared" si="387"/>
        <v>158</v>
      </c>
      <c r="R568" s="169">
        <f t="shared" si="388"/>
        <v>511</v>
      </c>
      <c r="S568" s="584">
        <f t="shared" si="393"/>
        <v>3656</v>
      </c>
      <c r="T568" s="594">
        <f t="shared" si="394"/>
        <v>1056</v>
      </c>
      <c r="U568" s="595">
        <f t="shared" si="395"/>
        <v>3412</v>
      </c>
      <c r="V568" s="166">
        <f t="shared" si="396"/>
        <v>8328</v>
      </c>
      <c r="W568" s="167">
        <f t="shared" si="397"/>
        <v>2400</v>
      </c>
      <c r="X568" s="168">
        <f t="shared" si="398"/>
        <v>7777</v>
      </c>
      <c r="Y568" s="166">
        <f t="shared" si="399"/>
        <v>9424</v>
      </c>
      <c r="Z568" s="167">
        <f t="shared" si="400"/>
        <v>2558</v>
      </c>
      <c r="AA568" s="168">
        <f t="shared" si="401"/>
        <v>9310</v>
      </c>
      <c r="AB568" s="166">
        <f t="shared" si="402"/>
        <v>11068</v>
      </c>
      <c r="AC568" s="167">
        <f t="shared" si="403"/>
        <v>3032</v>
      </c>
      <c r="AD568" s="168">
        <f t="shared" si="404"/>
        <v>9821</v>
      </c>
      <c r="AE568" s="166">
        <f t="shared" si="405"/>
        <v>12164</v>
      </c>
      <c r="AF568" s="167">
        <f t="shared" si="406"/>
        <v>3664</v>
      </c>
      <c r="AG568" s="168">
        <f t="shared" si="407"/>
        <v>10843</v>
      </c>
      <c r="AH568" s="166">
        <f t="shared" si="408"/>
        <v>13260</v>
      </c>
      <c r="AI568" s="167">
        <f t="shared" si="409"/>
        <v>3980</v>
      </c>
      <c r="AJ568" s="168">
        <f t="shared" si="410"/>
        <v>12887</v>
      </c>
      <c r="AK568" s="169">
        <f t="shared" si="411"/>
        <v>14916</v>
      </c>
      <c r="AL568" s="167">
        <f t="shared" si="412"/>
        <v>4308</v>
      </c>
      <c r="AM568" s="585">
        <f t="shared" si="413"/>
        <v>13922</v>
      </c>
      <c r="AN568" s="1133">
        <v>0.3</v>
      </c>
      <c r="AO568" s="1134">
        <v>0.33</v>
      </c>
      <c r="AP568" s="1134">
        <v>0.36</v>
      </c>
      <c r="AQ568" s="1135">
        <v>0.39</v>
      </c>
      <c r="AR568" s="1132">
        <v>0.42</v>
      </c>
      <c r="AS568" s="1136"/>
      <c r="AT568" s="1137"/>
      <c r="AU568" s="1137"/>
      <c r="AV568" s="1137"/>
      <c r="AW568" s="1138"/>
      <c r="AX568" s="1133">
        <v>0.04</v>
      </c>
      <c r="AY568" s="1135">
        <v>4.2999999999999997E-2</v>
      </c>
      <c r="AZ568" s="1135">
        <v>4.5999999999999999E-2</v>
      </c>
      <c r="BA568" s="1135">
        <v>4.9000000000000002E-2</v>
      </c>
      <c r="BB568" s="1135">
        <v>5.1999999999999998E-2</v>
      </c>
      <c r="BC568" s="1135"/>
      <c r="BD568" s="1132"/>
      <c r="BE568" s="1133"/>
      <c r="BF568" s="1135"/>
      <c r="BG568" s="1135"/>
      <c r="BH568" s="1135"/>
      <c r="BI568" s="1135"/>
      <c r="BJ568" s="1135"/>
      <c r="BK568" s="1023"/>
      <c r="BL568" s="1075">
        <f t="shared" si="389"/>
        <v>32500</v>
      </c>
      <c r="BM568" s="1066">
        <f t="shared" si="390"/>
        <v>45</v>
      </c>
      <c r="BN568" s="1066">
        <f t="shared" si="391"/>
        <v>13</v>
      </c>
      <c r="BO568" s="1066">
        <f t="shared" si="392"/>
        <v>42</v>
      </c>
    </row>
    <row r="569" spans="2:67">
      <c r="B569" s="1271" t="s">
        <v>4640</v>
      </c>
      <c r="C569" s="1069" t="s">
        <v>873</v>
      </c>
      <c r="D569" s="1069" t="s">
        <v>70</v>
      </c>
      <c r="E569" s="1268" t="s">
        <v>126</v>
      </c>
      <c r="F569" s="1067">
        <v>566</v>
      </c>
      <c r="G569" s="1071">
        <v>13200</v>
      </c>
      <c r="H569" s="1072">
        <v>6600</v>
      </c>
      <c r="I569" s="1073">
        <v>13200</v>
      </c>
      <c r="J569" s="166">
        <f t="shared" si="380"/>
        <v>264</v>
      </c>
      <c r="K569" s="167">
        <f t="shared" si="381"/>
        <v>132</v>
      </c>
      <c r="L569" s="168">
        <f t="shared" si="382"/>
        <v>264</v>
      </c>
      <c r="M569" s="166">
        <f t="shared" si="383"/>
        <v>330</v>
      </c>
      <c r="N569" s="167">
        <f t="shared" si="384"/>
        <v>165</v>
      </c>
      <c r="O569" s="168">
        <f t="shared" si="385"/>
        <v>330</v>
      </c>
      <c r="P569" s="169">
        <f t="shared" si="386"/>
        <v>495</v>
      </c>
      <c r="Q569" s="169">
        <f t="shared" si="387"/>
        <v>247</v>
      </c>
      <c r="R569" s="169">
        <f t="shared" si="388"/>
        <v>495</v>
      </c>
      <c r="S569" s="584">
        <f t="shared" si="393"/>
        <v>3300</v>
      </c>
      <c r="T569" s="594">
        <f t="shared" si="394"/>
        <v>1650</v>
      </c>
      <c r="U569" s="595">
        <f t="shared" si="395"/>
        <v>3300</v>
      </c>
      <c r="V569" s="166">
        <f t="shared" si="396"/>
        <v>7524</v>
      </c>
      <c r="W569" s="167">
        <f t="shared" si="397"/>
        <v>3762</v>
      </c>
      <c r="X569" s="168">
        <f t="shared" si="398"/>
        <v>7524</v>
      </c>
      <c r="Y569" s="166">
        <f t="shared" si="399"/>
        <v>8019</v>
      </c>
      <c r="Z569" s="167">
        <f t="shared" si="400"/>
        <v>4256</v>
      </c>
      <c r="AA569" s="168">
        <f t="shared" si="401"/>
        <v>9009</v>
      </c>
      <c r="AB569" s="166">
        <f t="shared" si="402"/>
        <v>9504</v>
      </c>
      <c r="AC569" s="167">
        <f t="shared" si="403"/>
        <v>4997</v>
      </c>
      <c r="AD569" s="168">
        <f t="shared" si="404"/>
        <v>9504</v>
      </c>
      <c r="AE569" s="166">
        <f t="shared" si="405"/>
        <v>11484</v>
      </c>
      <c r="AF569" s="167">
        <f t="shared" si="406"/>
        <v>5491</v>
      </c>
      <c r="AG569" s="168">
        <f t="shared" si="407"/>
        <v>10494</v>
      </c>
      <c r="AH569" s="166">
        <f t="shared" si="408"/>
        <v>12474</v>
      </c>
      <c r="AI569" s="167">
        <f t="shared" si="409"/>
        <v>5985</v>
      </c>
      <c r="AJ569" s="168">
        <f t="shared" si="410"/>
        <v>12474</v>
      </c>
      <c r="AK569" s="169">
        <f t="shared" si="411"/>
        <v>13464</v>
      </c>
      <c r="AL569" s="167">
        <f t="shared" si="412"/>
        <v>6732</v>
      </c>
      <c r="AM569" s="585">
        <f t="shared" si="413"/>
        <v>13464</v>
      </c>
      <c r="AN569" s="1133">
        <v>0.16</v>
      </c>
      <c r="AO569" s="1134">
        <v>0.17</v>
      </c>
      <c r="AP569" s="1134">
        <v>0.18</v>
      </c>
      <c r="AQ569" s="1135">
        <v>0.19</v>
      </c>
      <c r="AR569" s="1132">
        <v>0.2</v>
      </c>
      <c r="AS569" s="1136"/>
      <c r="AT569" s="1137"/>
      <c r="AU569" s="1137"/>
      <c r="AV569" s="1137"/>
      <c r="AW569" s="1138"/>
      <c r="AX569" s="1133">
        <v>0.04</v>
      </c>
      <c r="AY569" s="1135">
        <v>4.2999999999999997E-2</v>
      </c>
      <c r="AZ569" s="1135">
        <v>4.5999999999999999E-2</v>
      </c>
      <c r="BA569" s="1135">
        <v>4.9000000000000002E-2</v>
      </c>
      <c r="BB569" s="1135">
        <v>5.1999999999999998E-2</v>
      </c>
      <c r="BC569" s="1135"/>
      <c r="BD569" s="1132"/>
      <c r="BE569" s="1133"/>
      <c r="BF569" s="1135"/>
      <c r="BG569" s="1135"/>
      <c r="BH569" s="1135"/>
      <c r="BI569" s="1135"/>
      <c r="BJ569" s="1135"/>
      <c r="BK569" s="1023"/>
      <c r="BL569" s="1075">
        <f t="shared" si="389"/>
        <v>33000</v>
      </c>
      <c r="BM569" s="1066">
        <f t="shared" si="390"/>
        <v>40</v>
      </c>
      <c r="BN569" s="1066">
        <f t="shared" si="391"/>
        <v>20</v>
      </c>
      <c r="BO569" s="1066">
        <f t="shared" si="392"/>
        <v>40</v>
      </c>
    </row>
    <row r="570" spans="2:67">
      <c r="B570" s="1068" t="s">
        <v>4642</v>
      </c>
      <c r="C570" s="1069" t="s">
        <v>874</v>
      </c>
      <c r="D570" s="1069" t="s">
        <v>23</v>
      </c>
      <c r="E570" s="1074" t="s">
        <v>65</v>
      </c>
      <c r="F570" s="1070">
        <v>567</v>
      </c>
      <c r="G570" s="1071">
        <v>5371</v>
      </c>
      <c r="H570" s="1072">
        <v>7960</v>
      </c>
      <c r="I570" s="1073">
        <v>6566</v>
      </c>
      <c r="J570" s="166">
        <f t="shared" si="380"/>
        <v>107</v>
      </c>
      <c r="K570" s="167">
        <f t="shared" si="381"/>
        <v>159</v>
      </c>
      <c r="L570" s="168">
        <f t="shared" si="382"/>
        <v>131</v>
      </c>
      <c r="M570" s="166">
        <f t="shared" si="383"/>
        <v>161</v>
      </c>
      <c r="N570" s="167">
        <f t="shared" si="384"/>
        <v>238</v>
      </c>
      <c r="O570" s="168">
        <f t="shared" si="385"/>
        <v>197</v>
      </c>
      <c r="P570" s="169">
        <f t="shared" si="386"/>
        <v>214</v>
      </c>
      <c r="Q570" s="169">
        <f t="shared" si="387"/>
        <v>318</v>
      </c>
      <c r="R570" s="169">
        <f t="shared" si="388"/>
        <v>262</v>
      </c>
      <c r="S570" s="584">
        <f t="shared" si="393"/>
        <v>1611</v>
      </c>
      <c r="T570" s="594">
        <f t="shared" si="394"/>
        <v>2388</v>
      </c>
      <c r="U570" s="595">
        <f t="shared" si="395"/>
        <v>1970</v>
      </c>
      <c r="V570" s="166">
        <f t="shared" si="396"/>
        <v>3328</v>
      </c>
      <c r="W570" s="167">
        <f t="shared" si="397"/>
        <v>4927</v>
      </c>
      <c r="X570" s="168">
        <f t="shared" si="398"/>
        <v>4071</v>
      </c>
      <c r="Y570" s="166">
        <f t="shared" si="399"/>
        <v>3756</v>
      </c>
      <c r="Z570" s="167">
        <f t="shared" si="400"/>
        <v>5563</v>
      </c>
      <c r="AA570" s="168">
        <f t="shared" si="401"/>
        <v>4595</v>
      </c>
      <c r="AB570" s="166">
        <f t="shared" si="402"/>
        <v>4184</v>
      </c>
      <c r="AC570" s="167">
        <f t="shared" si="403"/>
        <v>6199</v>
      </c>
      <c r="AD570" s="168">
        <f t="shared" si="404"/>
        <v>5119</v>
      </c>
      <c r="AE570" s="166">
        <f t="shared" si="405"/>
        <v>4612</v>
      </c>
      <c r="AF570" s="167">
        <f t="shared" si="406"/>
        <v>6517</v>
      </c>
      <c r="AG570" s="168">
        <f t="shared" si="407"/>
        <v>5643</v>
      </c>
      <c r="AH570" s="166">
        <f t="shared" si="408"/>
        <v>5254</v>
      </c>
      <c r="AI570" s="167">
        <f t="shared" si="409"/>
        <v>7153</v>
      </c>
      <c r="AJ570" s="168">
        <f t="shared" si="410"/>
        <v>5905</v>
      </c>
      <c r="AK570" s="169">
        <f t="shared" si="411"/>
        <v>5478</v>
      </c>
      <c r="AL570" s="167">
        <f t="shared" si="412"/>
        <v>8119</v>
      </c>
      <c r="AM570" s="585">
        <f t="shared" si="413"/>
        <v>6697</v>
      </c>
      <c r="AN570" s="1133">
        <v>0.2</v>
      </c>
      <c r="AO570" s="1134">
        <v>0.23</v>
      </c>
      <c r="AP570" s="1134">
        <v>0.26</v>
      </c>
      <c r="AQ570" s="1135">
        <v>0.28999999999999998</v>
      </c>
      <c r="AR570" s="1132">
        <v>0.32</v>
      </c>
      <c r="AS570" s="1136"/>
      <c r="AT570" s="1137"/>
      <c r="AU570" s="1137"/>
      <c r="AV570" s="1137"/>
      <c r="AW570" s="1138"/>
      <c r="AX570" s="1133">
        <v>0.03</v>
      </c>
      <c r="AY570" s="1135">
        <v>3.5000000000000003E-2</v>
      </c>
      <c r="AZ570" s="1135">
        <v>0.04</v>
      </c>
      <c r="BA570" s="1135">
        <v>4.4999999999999998E-2</v>
      </c>
      <c r="BB570" s="1135">
        <v>0.05</v>
      </c>
      <c r="BC570" s="616"/>
      <c r="BD570" s="612"/>
      <c r="BE570" s="614"/>
      <c r="BF570" s="616"/>
      <c r="BG570" s="616"/>
      <c r="BH570" s="616"/>
      <c r="BI570" s="616"/>
      <c r="BJ570" s="616"/>
      <c r="BK570" s="1023"/>
      <c r="BL570" s="1075">
        <f t="shared" si="389"/>
        <v>19900</v>
      </c>
      <c r="BM570" s="1066">
        <f t="shared" si="390"/>
        <v>27</v>
      </c>
      <c r="BN570" s="1066">
        <f t="shared" si="391"/>
        <v>40</v>
      </c>
      <c r="BO570" s="1066">
        <f t="shared" si="392"/>
        <v>33</v>
      </c>
    </row>
    <row r="571" spans="2:67">
      <c r="B571" s="1068" t="s">
        <v>4643</v>
      </c>
      <c r="C571" s="1069" t="s">
        <v>874</v>
      </c>
      <c r="D571" s="1069" t="s">
        <v>13</v>
      </c>
      <c r="E571" s="1074" t="s">
        <v>65</v>
      </c>
      <c r="F571" s="1067">
        <v>568</v>
      </c>
      <c r="G571" s="1071">
        <v>7560</v>
      </c>
      <c r="H571" s="1072">
        <v>6964</v>
      </c>
      <c r="I571" s="1073">
        <v>5371</v>
      </c>
      <c r="J571" s="166">
        <f t="shared" si="380"/>
        <v>151</v>
      </c>
      <c r="K571" s="167">
        <f t="shared" si="381"/>
        <v>139</v>
      </c>
      <c r="L571" s="168">
        <f t="shared" si="382"/>
        <v>107</v>
      </c>
      <c r="M571" s="166">
        <f t="shared" si="383"/>
        <v>226</v>
      </c>
      <c r="N571" s="167">
        <f t="shared" si="384"/>
        <v>208</v>
      </c>
      <c r="O571" s="168">
        <f t="shared" si="385"/>
        <v>161</v>
      </c>
      <c r="P571" s="169">
        <f t="shared" si="386"/>
        <v>302</v>
      </c>
      <c r="Q571" s="169">
        <f t="shared" si="387"/>
        <v>278</v>
      </c>
      <c r="R571" s="169">
        <f t="shared" si="388"/>
        <v>214</v>
      </c>
      <c r="S571" s="584">
        <f t="shared" si="393"/>
        <v>2268</v>
      </c>
      <c r="T571" s="594">
        <f t="shared" si="394"/>
        <v>2089</v>
      </c>
      <c r="U571" s="595">
        <f t="shared" si="395"/>
        <v>1611</v>
      </c>
      <c r="V571" s="166">
        <f t="shared" si="396"/>
        <v>4679</v>
      </c>
      <c r="W571" s="167">
        <f t="shared" si="397"/>
        <v>4308</v>
      </c>
      <c r="X571" s="168">
        <f t="shared" si="398"/>
        <v>3328</v>
      </c>
      <c r="Y571" s="166">
        <f t="shared" si="399"/>
        <v>5283</v>
      </c>
      <c r="Z571" s="167">
        <f t="shared" si="400"/>
        <v>4864</v>
      </c>
      <c r="AA571" s="168">
        <f t="shared" si="401"/>
        <v>3756</v>
      </c>
      <c r="AB571" s="166">
        <f t="shared" si="402"/>
        <v>5887</v>
      </c>
      <c r="AC571" s="167">
        <f t="shared" si="403"/>
        <v>5420</v>
      </c>
      <c r="AD571" s="168">
        <f t="shared" si="404"/>
        <v>4184</v>
      </c>
      <c r="AE571" s="166">
        <f t="shared" si="405"/>
        <v>6189</v>
      </c>
      <c r="AF571" s="167">
        <f t="shared" si="406"/>
        <v>5976</v>
      </c>
      <c r="AG571" s="168">
        <f t="shared" si="407"/>
        <v>4612</v>
      </c>
      <c r="AH571" s="166">
        <f t="shared" si="408"/>
        <v>6793</v>
      </c>
      <c r="AI571" s="167">
        <f t="shared" si="409"/>
        <v>6254</v>
      </c>
      <c r="AJ571" s="168">
        <f t="shared" si="410"/>
        <v>5254</v>
      </c>
      <c r="AK571" s="169">
        <f t="shared" si="411"/>
        <v>7711</v>
      </c>
      <c r="AL571" s="167">
        <f t="shared" si="412"/>
        <v>7103</v>
      </c>
      <c r="AM571" s="585">
        <f t="shared" si="413"/>
        <v>5478</v>
      </c>
      <c r="AN571" s="1133">
        <v>0.04</v>
      </c>
      <c r="AO571" s="1134">
        <v>4.2999999999999997E-2</v>
      </c>
      <c r="AP571" s="1134">
        <v>4.5999999999999999E-2</v>
      </c>
      <c r="AQ571" s="1135">
        <v>4.9000000000000002E-2</v>
      </c>
      <c r="AR571" s="1132">
        <v>5.1999999999999998E-2</v>
      </c>
      <c r="AS571" s="1136"/>
      <c r="AT571" s="1137"/>
      <c r="AU571" s="1137"/>
      <c r="AV571" s="1137"/>
      <c r="AW571" s="1138"/>
      <c r="AX571" s="1133">
        <v>0.02</v>
      </c>
      <c r="AY571" s="1135">
        <v>2.3E-2</v>
      </c>
      <c r="AZ571" s="1135">
        <v>2.5999999999999999E-2</v>
      </c>
      <c r="BA571" s="1135">
        <v>2.9000000000000001E-2</v>
      </c>
      <c r="BB571" s="1135">
        <v>3.2000000000000001E-2</v>
      </c>
      <c r="BC571" s="616"/>
      <c r="BD571" s="612"/>
      <c r="BE571" s="614"/>
      <c r="BF571" s="616"/>
      <c r="BG571" s="616"/>
      <c r="BH571" s="616"/>
      <c r="BI571" s="616"/>
      <c r="BJ571" s="616"/>
      <c r="BK571" s="1023"/>
      <c r="BL571" s="1075">
        <f t="shared" si="389"/>
        <v>19900</v>
      </c>
      <c r="BM571" s="1066">
        <f t="shared" si="390"/>
        <v>38</v>
      </c>
      <c r="BN571" s="1066">
        <f t="shared" si="391"/>
        <v>35</v>
      </c>
      <c r="BO571" s="1066">
        <f t="shared" si="392"/>
        <v>27</v>
      </c>
    </row>
    <row r="572" spans="2:67">
      <c r="B572" s="1271" t="s">
        <v>4665</v>
      </c>
      <c r="C572" s="1069" t="s">
        <v>309</v>
      </c>
      <c r="D572" s="1069" t="s">
        <v>4666</v>
      </c>
      <c r="E572" s="1267" t="s">
        <v>1150</v>
      </c>
      <c r="F572" s="1070">
        <v>569</v>
      </c>
      <c r="G572" s="1071">
        <v>13440</v>
      </c>
      <c r="H572" s="1072">
        <v>7360</v>
      </c>
      <c r="I572" s="1073">
        <v>11200</v>
      </c>
      <c r="J572" s="166">
        <f t="shared" si="380"/>
        <v>268</v>
      </c>
      <c r="K572" s="167">
        <f t="shared" si="381"/>
        <v>147</v>
      </c>
      <c r="L572" s="168">
        <f t="shared" si="382"/>
        <v>224</v>
      </c>
      <c r="M572" s="166">
        <f t="shared" si="383"/>
        <v>336</v>
      </c>
      <c r="N572" s="167">
        <f t="shared" si="384"/>
        <v>184</v>
      </c>
      <c r="O572" s="168">
        <f t="shared" si="385"/>
        <v>280</v>
      </c>
      <c r="P572" s="169">
        <f t="shared" si="386"/>
        <v>504</v>
      </c>
      <c r="Q572" s="169">
        <f t="shared" si="387"/>
        <v>276</v>
      </c>
      <c r="R572" s="169">
        <f t="shared" si="388"/>
        <v>420</v>
      </c>
      <c r="S572" s="584">
        <f t="shared" si="393"/>
        <v>3360</v>
      </c>
      <c r="T572" s="594">
        <f t="shared" si="394"/>
        <v>1840</v>
      </c>
      <c r="U572" s="595">
        <f t="shared" si="395"/>
        <v>2800</v>
      </c>
      <c r="V572" s="166">
        <f t="shared" si="396"/>
        <v>7660</v>
      </c>
      <c r="W572" s="167">
        <f t="shared" si="397"/>
        <v>4195</v>
      </c>
      <c r="X572" s="168">
        <f t="shared" si="398"/>
        <v>6384</v>
      </c>
      <c r="Y572" s="166">
        <f t="shared" si="399"/>
        <v>8668</v>
      </c>
      <c r="Z572" s="167">
        <f t="shared" si="400"/>
        <v>4471</v>
      </c>
      <c r="AA572" s="168">
        <f t="shared" si="401"/>
        <v>7644</v>
      </c>
      <c r="AB572" s="166">
        <f t="shared" si="402"/>
        <v>10180</v>
      </c>
      <c r="AC572" s="167">
        <f t="shared" si="403"/>
        <v>5299</v>
      </c>
      <c r="AD572" s="168">
        <f t="shared" si="404"/>
        <v>8064</v>
      </c>
      <c r="AE572" s="166">
        <f t="shared" si="405"/>
        <v>11188</v>
      </c>
      <c r="AF572" s="167">
        <f t="shared" si="406"/>
        <v>6403</v>
      </c>
      <c r="AG572" s="168">
        <f t="shared" si="407"/>
        <v>8904</v>
      </c>
      <c r="AH572" s="166">
        <f t="shared" si="408"/>
        <v>12196</v>
      </c>
      <c r="AI572" s="167">
        <f t="shared" si="409"/>
        <v>6955</v>
      </c>
      <c r="AJ572" s="168">
        <f t="shared" si="410"/>
        <v>10584</v>
      </c>
      <c r="AK572" s="169">
        <f t="shared" si="411"/>
        <v>13708</v>
      </c>
      <c r="AL572" s="167">
        <f t="shared" si="412"/>
        <v>7507</v>
      </c>
      <c r="AM572" s="585">
        <f t="shared" si="413"/>
        <v>11424</v>
      </c>
      <c r="AN572" s="1133">
        <v>7.0000000000000007E-2</v>
      </c>
      <c r="AO572" s="1134">
        <v>7.2999999999999995E-2</v>
      </c>
      <c r="AP572" s="1134">
        <v>7.5999999999999998E-2</v>
      </c>
      <c r="AQ572" s="1135">
        <v>7.9000000000000001E-2</v>
      </c>
      <c r="AR572" s="1132">
        <v>8.2000000000000003E-2</v>
      </c>
      <c r="AS572" s="1136"/>
      <c r="AT572" s="1137"/>
      <c r="AU572" s="1137"/>
      <c r="AV572" s="1137"/>
      <c r="AW572" s="1138"/>
      <c r="AX572" s="1133">
        <v>0.05</v>
      </c>
      <c r="AY572" s="1135">
        <v>5.5E-2</v>
      </c>
      <c r="AZ572" s="1135">
        <v>0.06</v>
      </c>
      <c r="BA572" s="1135">
        <v>6.5000000000000002E-2</v>
      </c>
      <c r="BB572" s="1135">
        <v>7.0000000000000007E-2</v>
      </c>
      <c r="BC572" s="1135"/>
      <c r="BD572" s="1132"/>
      <c r="BE572" s="1133"/>
      <c r="BF572" s="1135"/>
      <c r="BG572" s="1135"/>
      <c r="BH572" s="1135"/>
      <c r="BI572" s="1135"/>
      <c r="BJ572" s="1135"/>
      <c r="BK572" s="1023"/>
      <c r="BL572" s="658">
        <f t="shared" si="389"/>
        <v>32000</v>
      </c>
      <c r="BM572" s="3">
        <f t="shared" si="390"/>
        <v>42</v>
      </c>
      <c r="BN572" s="3">
        <f t="shared" si="391"/>
        <v>23</v>
      </c>
      <c r="BO572" s="3">
        <f t="shared" si="392"/>
        <v>35</v>
      </c>
    </row>
    <row r="573" spans="2:67">
      <c r="B573" s="1022" t="s">
        <v>4669</v>
      </c>
      <c r="C573" s="1069" t="s">
        <v>310</v>
      </c>
      <c r="D573" s="607" t="s">
        <v>4670</v>
      </c>
      <c r="E573" s="1170" t="s">
        <v>1150</v>
      </c>
      <c r="F573" s="1019">
        <v>570</v>
      </c>
      <c r="G573" s="609">
        <v>5371</v>
      </c>
      <c r="H573" s="610">
        <v>7760</v>
      </c>
      <c r="I573" s="611">
        <v>6764</v>
      </c>
      <c r="J573" s="166">
        <f t="shared" si="380"/>
        <v>107</v>
      </c>
      <c r="K573" s="167">
        <f t="shared" si="381"/>
        <v>155</v>
      </c>
      <c r="L573" s="168">
        <f t="shared" si="382"/>
        <v>135</v>
      </c>
      <c r="M573" s="166">
        <f t="shared" si="383"/>
        <v>161</v>
      </c>
      <c r="N573" s="167">
        <f t="shared" si="384"/>
        <v>232</v>
      </c>
      <c r="O573" s="168">
        <f t="shared" si="385"/>
        <v>202</v>
      </c>
      <c r="P573" s="169">
        <f t="shared" si="386"/>
        <v>214</v>
      </c>
      <c r="Q573" s="169">
        <f t="shared" si="387"/>
        <v>310</v>
      </c>
      <c r="R573" s="169">
        <f t="shared" si="388"/>
        <v>270</v>
      </c>
      <c r="S573" s="584">
        <f t="shared" si="393"/>
        <v>1611</v>
      </c>
      <c r="T573" s="594">
        <f t="shared" si="394"/>
        <v>2328</v>
      </c>
      <c r="U573" s="595">
        <f t="shared" si="395"/>
        <v>2029</v>
      </c>
      <c r="V573" s="166">
        <f t="shared" si="396"/>
        <v>3328</v>
      </c>
      <c r="W573" s="167">
        <f t="shared" si="397"/>
        <v>4803</v>
      </c>
      <c r="X573" s="168">
        <f t="shared" si="398"/>
        <v>4184</v>
      </c>
      <c r="Y573" s="166">
        <f t="shared" si="399"/>
        <v>3756</v>
      </c>
      <c r="Z573" s="167">
        <f t="shared" si="400"/>
        <v>5423</v>
      </c>
      <c r="AA573" s="168">
        <f t="shared" si="401"/>
        <v>4724</v>
      </c>
      <c r="AB573" s="166">
        <f t="shared" si="402"/>
        <v>4184</v>
      </c>
      <c r="AC573" s="167">
        <f t="shared" si="403"/>
        <v>6043</v>
      </c>
      <c r="AD573" s="168">
        <f t="shared" si="404"/>
        <v>5264</v>
      </c>
      <c r="AE573" s="166">
        <f t="shared" si="405"/>
        <v>4612</v>
      </c>
      <c r="AF573" s="167">
        <f t="shared" si="406"/>
        <v>6353</v>
      </c>
      <c r="AG573" s="168">
        <f t="shared" si="407"/>
        <v>5804</v>
      </c>
      <c r="AH573" s="166">
        <f t="shared" si="408"/>
        <v>5254</v>
      </c>
      <c r="AI573" s="167">
        <f t="shared" si="409"/>
        <v>6973</v>
      </c>
      <c r="AJ573" s="168">
        <f t="shared" si="410"/>
        <v>6074</v>
      </c>
      <c r="AK573" s="169">
        <f t="shared" si="411"/>
        <v>5478</v>
      </c>
      <c r="AL573" s="167">
        <f t="shared" si="412"/>
        <v>7915</v>
      </c>
      <c r="AM573" s="585">
        <f t="shared" si="413"/>
        <v>6899</v>
      </c>
      <c r="AN573" s="1133">
        <v>0.23</v>
      </c>
      <c r="AO573" s="1134">
        <v>0.26</v>
      </c>
      <c r="AP573" s="1134">
        <v>0.28999999999999998</v>
      </c>
      <c r="AQ573" s="1135">
        <v>0.32</v>
      </c>
      <c r="AR573" s="1132">
        <v>0.35</v>
      </c>
      <c r="AS573" s="617"/>
      <c r="AT573" s="618"/>
      <c r="AU573" s="618"/>
      <c r="AV573" s="618"/>
      <c r="AW573" s="619"/>
      <c r="AX573" s="1133">
        <v>0.01</v>
      </c>
      <c r="AY573" s="1135">
        <v>1.2999999999999999E-2</v>
      </c>
      <c r="AZ573" s="1135">
        <v>1.6E-2</v>
      </c>
      <c r="BA573" s="1135">
        <v>1.9E-2</v>
      </c>
      <c r="BB573" s="1135">
        <v>2.1999999999999999E-2</v>
      </c>
      <c r="BC573" s="616"/>
      <c r="BD573" s="612"/>
      <c r="BE573" s="614"/>
      <c r="BF573" s="616"/>
      <c r="BG573" s="616"/>
      <c r="BH573" s="616"/>
      <c r="BI573" s="616"/>
      <c r="BJ573" s="616"/>
      <c r="BK573" s="1023"/>
      <c r="BL573" s="658">
        <f t="shared" si="389"/>
        <v>19900</v>
      </c>
      <c r="BM573" s="3">
        <f t="shared" si="390"/>
        <v>27</v>
      </c>
      <c r="BN573" s="3">
        <f t="shared" si="391"/>
        <v>39</v>
      </c>
      <c r="BO573" s="3">
        <f t="shared" si="392"/>
        <v>34</v>
      </c>
    </row>
    <row r="574" spans="2:67">
      <c r="B574" s="1022" t="s">
        <v>4673</v>
      </c>
      <c r="C574" s="1069" t="s">
        <v>309</v>
      </c>
      <c r="D574" s="607" t="s">
        <v>4670</v>
      </c>
      <c r="E574" s="1268" t="s">
        <v>1150</v>
      </c>
      <c r="F574" s="1070">
        <v>571</v>
      </c>
      <c r="G574" s="609">
        <v>11049</v>
      </c>
      <c r="H574" s="610">
        <v>8773</v>
      </c>
      <c r="I574" s="611">
        <v>12673</v>
      </c>
      <c r="J574" s="166">
        <f t="shared" si="380"/>
        <v>221</v>
      </c>
      <c r="K574" s="167">
        <f t="shared" si="381"/>
        <v>175</v>
      </c>
      <c r="L574" s="168">
        <f t="shared" si="382"/>
        <v>253</v>
      </c>
      <c r="M574" s="166">
        <f t="shared" si="383"/>
        <v>276</v>
      </c>
      <c r="N574" s="167">
        <f t="shared" si="384"/>
        <v>219</v>
      </c>
      <c r="O574" s="168">
        <f t="shared" si="385"/>
        <v>316</v>
      </c>
      <c r="P574" s="169">
        <f t="shared" si="386"/>
        <v>414</v>
      </c>
      <c r="Q574" s="169">
        <f t="shared" si="387"/>
        <v>329</v>
      </c>
      <c r="R574" s="169">
        <f t="shared" si="388"/>
        <v>475</v>
      </c>
      <c r="S574" s="584">
        <f t="shared" si="393"/>
        <v>2762</v>
      </c>
      <c r="T574" s="594">
        <f t="shared" si="394"/>
        <v>2193</v>
      </c>
      <c r="U574" s="595">
        <f t="shared" si="395"/>
        <v>3168</v>
      </c>
      <c r="V574" s="166">
        <f t="shared" si="396"/>
        <v>6295</v>
      </c>
      <c r="W574" s="167">
        <f t="shared" si="397"/>
        <v>4996</v>
      </c>
      <c r="X574" s="168">
        <f t="shared" si="398"/>
        <v>7213</v>
      </c>
      <c r="Y574" s="166">
        <f t="shared" si="399"/>
        <v>7537</v>
      </c>
      <c r="Z574" s="167">
        <f t="shared" si="400"/>
        <v>5654</v>
      </c>
      <c r="AA574" s="168">
        <f t="shared" si="401"/>
        <v>7688</v>
      </c>
      <c r="AB574" s="166">
        <f t="shared" si="402"/>
        <v>7951</v>
      </c>
      <c r="AC574" s="167">
        <f t="shared" si="403"/>
        <v>6641</v>
      </c>
      <c r="AD574" s="168">
        <f t="shared" si="404"/>
        <v>9113</v>
      </c>
      <c r="AE574" s="166">
        <f t="shared" si="405"/>
        <v>8779</v>
      </c>
      <c r="AF574" s="167">
        <f t="shared" si="406"/>
        <v>7299</v>
      </c>
      <c r="AG574" s="168">
        <f t="shared" si="407"/>
        <v>11013</v>
      </c>
      <c r="AH574" s="166">
        <f t="shared" si="408"/>
        <v>10435</v>
      </c>
      <c r="AI574" s="167">
        <f t="shared" si="409"/>
        <v>7957</v>
      </c>
      <c r="AJ574" s="168">
        <f t="shared" si="410"/>
        <v>11963</v>
      </c>
      <c r="AK574" s="169">
        <f t="shared" si="411"/>
        <v>11270</v>
      </c>
      <c r="AL574" s="167">
        <f t="shared" si="412"/>
        <v>8948</v>
      </c>
      <c r="AM574" s="585">
        <f t="shared" si="413"/>
        <v>12926</v>
      </c>
      <c r="AN574" s="614">
        <v>0.21</v>
      </c>
      <c r="AO574" s="615">
        <v>0.24</v>
      </c>
      <c r="AP574" s="615">
        <v>0.27</v>
      </c>
      <c r="AQ574" s="616">
        <v>0.3</v>
      </c>
      <c r="AR574" s="612">
        <v>0.33</v>
      </c>
      <c r="AS574" s="617"/>
      <c r="AT574" s="618"/>
      <c r="AU574" s="618"/>
      <c r="AV574" s="618"/>
      <c r="AW574" s="619"/>
      <c r="AX574" s="596">
        <v>0.03</v>
      </c>
      <c r="AY574" s="598">
        <v>3.3000000000000002E-2</v>
      </c>
      <c r="AZ574" s="598">
        <v>3.5999999999999997E-2</v>
      </c>
      <c r="BA574" s="598">
        <v>3.9E-2</v>
      </c>
      <c r="BB574" s="598">
        <v>4.2000000000000003E-2</v>
      </c>
      <c r="BC574" s="1135"/>
      <c r="BD574" s="1132"/>
      <c r="BE574" s="1133"/>
      <c r="BF574" s="1135"/>
      <c r="BG574" s="1135"/>
      <c r="BH574" s="1135"/>
      <c r="BI574" s="1135"/>
      <c r="BJ574" s="1135"/>
      <c r="BK574" s="1023"/>
      <c r="BL574" s="658">
        <f t="shared" si="389"/>
        <v>32500</v>
      </c>
      <c r="BM574" s="3">
        <f t="shared" si="390"/>
        <v>34</v>
      </c>
      <c r="BN574" s="3">
        <f t="shared" si="391"/>
        <v>27</v>
      </c>
      <c r="BO574" s="3">
        <f t="shared" si="392"/>
        <v>39</v>
      </c>
    </row>
    <row r="575" spans="2:67">
      <c r="B575" s="1271" t="s">
        <v>4675</v>
      </c>
      <c r="C575" s="1069" t="s">
        <v>309</v>
      </c>
      <c r="D575" s="1069" t="s">
        <v>4676</v>
      </c>
      <c r="E575" s="1170" t="s">
        <v>125</v>
      </c>
      <c r="F575" s="1270">
        <v>572</v>
      </c>
      <c r="G575" s="1071">
        <v>10449</v>
      </c>
      <c r="H575" s="1072">
        <v>6049</v>
      </c>
      <c r="I575" s="1073">
        <v>11000</v>
      </c>
      <c r="J575" s="166">
        <f t="shared" si="380"/>
        <v>209</v>
      </c>
      <c r="K575" s="167">
        <f t="shared" si="381"/>
        <v>121</v>
      </c>
      <c r="L575" s="168">
        <f t="shared" si="382"/>
        <v>220</v>
      </c>
      <c r="M575" s="166">
        <f t="shared" si="383"/>
        <v>261</v>
      </c>
      <c r="N575" s="167">
        <f t="shared" si="384"/>
        <v>151</v>
      </c>
      <c r="O575" s="168">
        <f t="shared" si="385"/>
        <v>275</v>
      </c>
      <c r="P575" s="169">
        <f t="shared" si="386"/>
        <v>391</v>
      </c>
      <c r="Q575" s="169">
        <f t="shared" si="387"/>
        <v>226</v>
      </c>
      <c r="R575" s="169">
        <f t="shared" si="388"/>
        <v>412</v>
      </c>
      <c r="S575" s="584">
        <f t="shared" si="393"/>
        <v>2612</v>
      </c>
      <c r="T575" s="594">
        <f t="shared" si="394"/>
        <v>1512</v>
      </c>
      <c r="U575" s="595">
        <f t="shared" si="395"/>
        <v>2750</v>
      </c>
      <c r="V575" s="166">
        <f t="shared" si="396"/>
        <v>5953</v>
      </c>
      <c r="W575" s="167">
        <f t="shared" si="397"/>
        <v>3445</v>
      </c>
      <c r="X575" s="168">
        <f t="shared" si="398"/>
        <v>6270</v>
      </c>
      <c r="Y575" s="166">
        <f t="shared" si="399"/>
        <v>6344</v>
      </c>
      <c r="Z575" s="167">
        <f t="shared" si="400"/>
        <v>3897</v>
      </c>
      <c r="AA575" s="168">
        <f t="shared" si="401"/>
        <v>7506</v>
      </c>
      <c r="AB575" s="166">
        <f t="shared" si="402"/>
        <v>7517</v>
      </c>
      <c r="AC575" s="167">
        <f t="shared" si="403"/>
        <v>4575</v>
      </c>
      <c r="AD575" s="168">
        <f t="shared" si="404"/>
        <v>7918</v>
      </c>
      <c r="AE575" s="166">
        <f t="shared" si="405"/>
        <v>9081</v>
      </c>
      <c r="AF575" s="167">
        <f t="shared" si="406"/>
        <v>5027</v>
      </c>
      <c r="AG575" s="168">
        <f t="shared" si="407"/>
        <v>8742</v>
      </c>
      <c r="AH575" s="166">
        <f t="shared" si="408"/>
        <v>9863</v>
      </c>
      <c r="AI575" s="167">
        <f t="shared" si="409"/>
        <v>5479</v>
      </c>
      <c r="AJ575" s="168">
        <f t="shared" si="410"/>
        <v>10390</v>
      </c>
      <c r="AK575" s="169">
        <f t="shared" si="411"/>
        <v>10658</v>
      </c>
      <c r="AL575" s="167">
        <f t="shared" si="412"/>
        <v>6170</v>
      </c>
      <c r="AM575" s="585">
        <f t="shared" si="413"/>
        <v>11220</v>
      </c>
      <c r="AN575" s="1133">
        <v>0.4</v>
      </c>
      <c r="AO575" s="1134">
        <v>0.43</v>
      </c>
      <c r="AP575" s="1134">
        <v>0.46</v>
      </c>
      <c r="AQ575" s="1135">
        <v>0.49</v>
      </c>
      <c r="AR575" s="1132">
        <v>0.52</v>
      </c>
      <c r="AS575" s="1136"/>
      <c r="AT575" s="1137"/>
      <c r="AU575" s="1137"/>
      <c r="AV575" s="1137"/>
      <c r="AW575" s="1138"/>
      <c r="AX575" s="596">
        <v>0.03</v>
      </c>
      <c r="AY575" s="598">
        <v>3.3000000000000002E-2</v>
      </c>
      <c r="AZ575" s="598">
        <v>3.5999999999999997E-2</v>
      </c>
      <c r="BA575" s="598">
        <v>3.9E-2</v>
      </c>
      <c r="BB575" s="598">
        <v>4.2000000000000003E-2</v>
      </c>
      <c r="BC575" s="1135"/>
      <c r="BD575" s="1132"/>
      <c r="BE575" s="1133"/>
      <c r="BF575" s="1135"/>
      <c r="BG575" s="1135"/>
      <c r="BH575" s="1135"/>
      <c r="BI575" s="1135"/>
      <c r="BJ575" s="1135"/>
      <c r="BK575" s="1023"/>
      <c r="BL575" s="658">
        <f t="shared" si="389"/>
        <v>27500</v>
      </c>
      <c r="BM575" s="3">
        <f t="shared" si="390"/>
        <v>38</v>
      </c>
      <c r="BN575" s="3">
        <f t="shared" si="391"/>
        <v>22</v>
      </c>
      <c r="BO575" s="3">
        <f t="shared" si="392"/>
        <v>40</v>
      </c>
    </row>
    <row r="576" spans="2:67">
      <c r="B576" s="1022" t="s">
        <v>4679</v>
      </c>
      <c r="C576" s="1069" t="s">
        <v>310</v>
      </c>
      <c r="D576" s="607" t="s">
        <v>4680</v>
      </c>
      <c r="E576" s="1170" t="s">
        <v>125</v>
      </c>
      <c r="F576" s="608">
        <v>573</v>
      </c>
      <c r="G576" s="609">
        <v>5914</v>
      </c>
      <c r="H576" s="610">
        <v>3717</v>
      </c>
      <c r="I576" s="611">
        <v>7266</v>
      </c>
      <c r="J576" s="166">
        <f t="shared" si="380"/>
        <v>118</v>
      </c>
      <c r="K576" s="167">
        <f t="shared" si="381"/>
        <v>74</v>
      </c>
      <c r="L576" s="168">
        <f t="shared" si="382"/>
        <v>145</v>
      </c>
      <c r="M576" s="166">
        <f t="shared" si="383"/>
        <v>177</v>
      </c>
      <c r="N576" s="167">
        <f t="shared" si="384"/>
        <v>111</v>
      </c>
      <c r="O576" s="168">
        <f t="shared" si="385"/>
        <v>218</v>
      </c>
      <c r="P576" s="169">
        <f t="shared" si="386"/>
        <v>236</v>
      </c>
      <c r="Q576" s="169">
        <f t="shared" si="387"/>
        <v>148</v>
      </c>
      <c r="R576" s="169">
        <f t="shared" si="388"/>
        <v>290</v>
      </c>
      <c r="S576" s="584">
        <f t="shared" si="393"/>
        <v>1774</v>
      </c>
      <c r="T576" s="594">
        <f t="shared" si="394"/>
        <v>1115</v>
      </c>
      <c r="U576" s="595">
        <f t="shared" si="395"/>
        <v>2180</v>
      </c>
      <c r="V576" s="166">
        <f t="shared" si="396"/>
        <v>3662</v>
      </c>
      <c r="W576" s="167">
        <f t="shared" si="397"/>
        <v>2299</v>
      </c>
      <c r="X576" s="168">
        <f t="shared" si="398"/>
        <v>4505</v>
      </c>
      <c r="Y576" s="166">
        <f t="shared" si="399"/>
        <v>4134</v>
      </c>
      <c r="Z576" s="167">
        <f t="shared" si="400"/>
        <v>2595</v>
      </c>
      <c r="AA576" s="168">
        <f t="shared" si="401"/>
        <v>5085</v>
      </c>
      <c r="AB576" s="166">
        <f t="shared" si="402"/>
        <v>4606</v>
      </c>
      <c r="AC576" s="167">
        <f t="shared" si="403"/>
        <v>2891</v>
      </c>
      <c r="AD576" s="168">
        <f t="shared" si="404"/>
        <v>5665</v>
      </c>
      <c r="AE576" s="166">
        <f t="shared" si="405"/>
        <v>5078</v>
      </c>
      <c r="AF576" s="167">
        <f t="shared" si="406"/>
        <v>3187</v>
      </c>
      <c r="AG576" s="168">
        <f t="shared" si="407"/>
        <v>5955</v>
      </c>
      <c r="AH576" s="166">
        <f t="shared" si="408"/>
        <v>5314</v>
      </c>
      <c r="AI576" s="167">
        <f t="shared" si="409"/>
        <v>3631</v>
      </c>
      <c r="AJ576" s="168">
        <f t="shared" si="410"/>
        <v>6535</v>
      </c>
      <c r="AK576" s="169">
        <f t="shared" si="411"/>
        <v>6032</v>
      </c>
      <c r="AL576" s="167">
        <f t="shared" si="412"/>
        <v>3791</v>
      </c>
      <c r="AM576" s="585">
        <f t="shared" si="413"/>
        <v>7411</v>
      </c>
      <c r="AN576" s="1133">
        <v>0.05</v>
      </c>
      <c r="AO576" s="1134">
        <v>5.5E-2</v>
      </c>
      <c r="AP576" s="1134">
        <v>0.06</v>
      </c>
      <c r="AQ576" s="1135">
        <v>6.5000000000000002E-2</v>
      </c>
      <c r="AR576" s="1132">
        <v>7.0000000000000007E-2</v>
      </c>
      <c r="AS576" s="617"/>
      <c r="AT576" s="618"/>
      <c r="AU576" s="618"/>
      <c r="AV576" s="618"/>
      <c r="AW576" s="619"/>
      <c r="AX576" s="1133">
        <v>0.03</v>
      </c>
      <c r="AY576" s="1135">
        <v>3.5000000000000003E-2</v>
      </c>
      <c r="AZ576" s="1135">
        <v>0.04</v>
      </c>
      <c r="BA576" s="1135">
        <v>4.4999999999999998E-2</v>
      </c>
      <c r="BB576" s="1135">
        <v>0.05</v>
      </c>
      <c r="BC576" s="616"/>
      <c r="BD576" s="612"/>
      <c r="BE576" s="614"/>
      <c r="BF576" s="616"/>
      <c r="BG576" s="616"/>
      <c r="BH576" s="616"/>
      <c r="BI576" s="616"/>
      <c r="BJ576" s="616"/>
      <c r="BK576" s="1023"/>
      <c r="BL576" s="658">
        <f t="shared" si="389"/>
        <v>16900</v>
      </c>
      <c r="BM576" s="3">
        <f t="shared" si="390"/>
        <v>35</v>
      </c>
      <c r="BN576" s="3">
        <f t="shared" si="391"/>
        <v>22</v>
      </c>
      <c r="BO576" s="3">
        <f t="shared" si="392"/>
        <v>43</v>
      </c>
    </row>
    <row r="577" spans="2:67">
      <c r="B577" s="1022" t="s">
        <v>4682</v>
      </c>
      <c r="C577" s="1069" t="s">
        <v>310</v>
      </c>
      <c r="D577" s="607" t="s">
        <v>4666</v>
      </c>
      <c r="E577" s="1171" t="s">
        <v>125</v>
      </c>
      <c r="F577" s="1019">
        <v>574</v>
      </c>
      <c r="G577" s="609">
        <v>6420</v>
      </c>
      <c r="H577" s="610">
        <v>4900</v>
      </c>
      <c r="I577" s="611">
        <v>5576</v>
      </c>
      <c r="J577" s="166">
        <f t="shared" si="380"/>
        <v>128</v>
      </c>
      <c r="K577" s="167">
        <f t="shared" si="381"/>
        <v>98</v>
      </c>
      <c r="L577" s="168">
        <f t="shared" si="382"/>
        <v>111</v>
      </c>
      <c r="M577" s="166">
        <f t="shared" si="383"/>
        <v>192</v>
      </c>
      <c r="N577" s="167">
        <f t="shared" si="384"/>
        <v>147</v>
      </c>
      <c r="O577" s="168">
        <f t="shared" si="385"/>
        <v>167</v>
      </c>
      <c r="P577" s="169">
        <f t="shared" si="386"/>
        <v>256</v>
      </c>
      <c r="Q577" s="169">
        <f t="shared" si="387"/>
        <v>196</v>
      </c>
      <c r="R577" s="169">
        <f t="shared" si="388"/>
        <v>223</v>
      </c>
      <c r="S577" s="584">
        <f t="shared" si="393"/>
        <v>1926</v>
      </c>
      <c r="T577" s="594">
        <f t="shared" si="394"/>
        <v>1470</v>
      </c>
      <c r="U577" s="595">
        <f t="shared" si="395"/>
        <v>1673</v>
      </c>
      <c r="V577" s="166">
        <f t="shared" si="396"/>
        <v>3974</v>
      </c>
      <c r="W577" s="167">
        <f t="shared" si="397"/>
        <v>3038</v>
      </c>
      <c r="X577" s="168">
        <f t="shared" si="398"/>
        <v>3454</v>
      </c>
      <c r="Y577" s="166">
        <f t="shared" si="399"/>
        <v>4486</v>
      </c>
      <c r="Z577" s="167">
        <f t="shared" si="400"/>
        <v>3430</v>
      </c>
      <c r="AA577" s="168">
        <f t="shared" si="401"/>
        <v>3900</v>
      </c>
      <c r="AB577" s="166">
        <f t="shared" si="402"/>
        <v>4998</v>
      </c>
      <c r="AC577" s="167">
        <f t="shared" si="403"/>
        <v>3822</v>
      </c>
      <c r="AD577" s="168">
        <f t="shared" si="404"/>
        <v>4346</v>
      </c>
      <c r="AE577" s="166">
        <f t="shared" si="405"/>
        <v>5254</v>
      </c>
      <c r="AF577" s="167">
        <f t="shared" si="406"/>
        <v>4214</v>
      </c>
      <c r="AG577" s="168">
        <f t="shared" si="407"/>
        <v>4792</v>
      </c>
      <c r="AH577" s="166">
        <f t="shared" si="408"/>
        <v>5766</v>
      </c>
      <c r="AI577" s="167">
        <f t="shared" si="409"/>
        <v>4410</v>
      </c>
      <c r="AJ577" s="168">
        <f t="shared" si="410"/>
        <v>5461</v>
      </c>
      <c r="AK577" s="169">
        <f t="shared" si="411"/>
        <v>6548</v>
      </c>
      <c r="AL577" s="167">
        <f t="shared" si="412"/>
        <v>4998</v>
      </c>
      <c r="AM577" s="585">
        <f t="shared" si="413"/>
        <v>5687</v>
      </c>
      <c r="AN577" s="614">
        <v>0.02</v>
      </c>
      <c r="AO577" s="615">
        <v>2.3E-2</v>
      </c>
      <c r="AP577" s="615">
        <v>2.5999999999999999E-2</v>
      </c>
      <c r="AQ577" s="616">
        <v>2.9000000000000001E-2</v>
      </c>
      <c r="AR577" s="612">
        <v>3.2000000000000001E-2</v>
      </c>
      <c r="AS577" s="617"/>
      <c r="AT577" s="618"/>
      <c r="AU577" s="618"/>
      <c r="AV577" s="618"/>
      <c r="AW577" s="619"/>
      <c r="AX577" s="1133">
        <v>0.05</v>
      </c>
      <c r="AY577" s="1135">
        <v>5.5E-2</v>
      </c>
      <c r="AZ577" s="1135">
        <v>0.06</v>
      </c>
      <c r="BA577" s="1135">
        <v>6.5000000000000002E-2</v>
      </c>
      <c r="BB577" s="1135">
        <v>7.0000000000000007E-2</v>
      </c>
      <c r="BC577" s="616"/>
      <c r="BD577" s="612"/>
      <c r="BE577" s="614"/>
      <c r="BF577" s="616"/>
      <c r="BG577" s="616"/>
      <c r="BH577" s="616"/>
      <c r="BI577" s="616"/>
      <c r="BJ577" s="616"/>
      <c r="BK577" s="1023"/>
      <c r="BL577" s="658">
        <f t="shared" si="389"/>
        <v>16900</v>
      </c>
      <c r="BM577" s="3">
        <f t="shared" si="390"/>
        <v>38</v>
      </c>
      <c r="BN577" s="3">
        <f t="shared" si="391"/>
        <v>29</v>
      </c>
      <c r="BO577" s="3">
        <f t="shared" si="392"/>
        <v>33</v>
      </c>
    </row>
    <row r="578" spans="2:67">
      <c r="B578" s="1271" t="s">
        <v>4685</v>
      </c>
      <c r="C578" s="1069" t="s">
        <v>309</v>
      </c>
      <c r="D578" s="1069" t="s">
        <v>4686</v>
      </c>
      <c r="E578" s="1268" t="s">
        <v>2115</v>
      </c>
      <c r="F578" s="1070">
        <v>575</v>
      </c>
      <c r="G578" s="1071">
        <v>12673</v>
      </c>
      <c r="H578" s="1072">
        <v>9424</v>
      </c>
      <c r="I578" s="1073">
        <v>10400</v>
      </c>
      <c r="J578" s="166">
        <f t="shared" si="380"/>
        <v>253</v>
      </c>
      <c r="K578" s="167">
        <f t="shared" si="381"/>
        <v>188</v>
      </c>
      <c r="L578" s="168">
        <f t="shared" si="382"/>
        <v>208</v>
      </c>
      <c r="M578" s="166">
        <f t="shared" si="383"/>
        <v>343</v>
      </c>
      <c r="N578" s="167">
        <f t="shared" si="384"/>
        <v>255</v>
      </c>
      <c r="O578" s="168">
        <f t="shared" si="385"/>
        <v>281</v>
      </c>
      <c r="P578" s="169">
        <f t="shared" si="386"/>
        <v>554</v>
      </c>
      <c r="Q578" s="169">
        <f t="shared" si="387"/>
        <v>412</v>
      </c>
      <c r="R578" s="169">
        <f t="shared" si="388"/>
        <v>455</v>
      </c>
      <c r="S578" s="584">
        <f t="shared" si="393"/>
        <v>3168</v>
      </c>
      <c r="T578" s="594">
        <f t="shared" si="394"/>
        <v>2356</v>
      </c>
      <c r="U578" s="595">
        <f t="shared" si="395"/>
        <v>2600</v>
      </c>
      <c r="V578" s="166">
        <f t="shared" si="396"/>
        <v>9595</v>
      </c>
      <c r="W578" s="167">
        <f t="shared" si="397"/>
        <v>7134</v>
      </c>
      <c r="X578" s="168">
        <f t="shared" si="398"/>
        <v>7866</v>
      </c>
      <c r="Y578" s="166">
        <f t="shared" si="399"/>
        <v>10703</v>
      </c>
      <c r="Z578" s="167">
        <f t="shared" si="400"/>
        <v>7546</v>
      </c>
      <c r="AA578" s="168">
        <f t="shared" si="401"/>
        <v>8776</v>
      </c>
      <c r="AB578" s="166">
        <f t="shared" si="402"/>
        <v>11257</v>
      </c>
      <c r="AC578" s="167">
        <f t="shared" si="403"/>
        <v>7958</v>
      </c>
      <c r="AD578" s="168">
        <f t="shared" si="404"/>
        <v>8776</v>
      </c>
      <c r="AE578" s="166">
        <f t="shared" si="405"/>
        <v>11257</v>
      </c>
      <c r="AF578" s="167">
        <f t="shared" si="406"/>
        <v>8370</v>
      </c>
      <c r="AG578" s="168">
        <f t="shared" si="407"/>
        <v>9231</v>
      </c>
      <c r="AH578" s="166">
        <f t="shared" si="408"/>
        <v>11811</v>
      </c>
      <c r="AI578" s="167">
        <f t="shared" si="409"/>
        <v>8782</v>
      </c>
      <c r="AJ578" s="168">
        <f t="shared" si="410"/>
        <v>9686</v>
      </c>
      <c r="AK578" s="169">
        <f t="shared" si="411"/>
        <v>12926</v>
      </c>
      <c r="AL578" s="167">
        <f t="shared" si="412"/>
        <v>9612</v>
      </c>
      <c r="AM578" s="585">
        <f t="shared" si="413"/>
        <v>10608</v>
      </c>
      <c r="AN578" s="1133">
        <v>0.38</v>
      </c>
      <c r="AO578" s="1134">
        <v>0.38500000000000001</v>
      </c>
      <c r="AP578" s="1134">
        <v>0.39</v>
      </c>
      <c r="AQ578" s="1135">
        <v>0.39500000000000002</v>
      </c>
      <c r="AR578" s="1132">
        <v>0.4</v>
      </c>
      <c r="AS578" s="1136"/>
      <c r="AT578" s="1137"/>
      <c r="AU578" s="1137"/>
      <c r="AV578" s="1137"/>
      <c r="AW578" s="1138"/>
      <c r="AX578" s="1133">
        <v>5.2999999999999999E-2</v>
      </c>
      <c r="AY578" s="1135">
        <v>5.5E-2</v>
      </c>
      <c r="AZ578" s="1135">
        <v>5.7000000000000002E-2</v>
      </c>
      <c r="BA578" s="1135">
        <v>5.8999999999999997E-2</v>
      </c>
      <c r="BB578" s="1135">
        <v>6.0999999999999999E-2</v>
      </c>
      <c r="BC578" s="1135">
        <v>6.3E-2</v>
      </c>
      <c r="BD578" s="1132">
        <v>6.5000000000000002E-2</v>
      </c>
      <c r="BE578" s="596">
        <v>2.1999999999999999E-2</v>
      </c>
      <c r="BF578" s="598">
        <v>2.4E-2</v>
      </c>
      <c r="BG578" s="598">
        <v>2.5999999999999999E-2</v>
      </c>
      <c r="BH578" s="598">
        <v>2.8000000000000001E-2</v>
      </c>
      <c r="BI578" s="598">
        <v>0.03</v>
      </c>
      <c r="BJ578" s="598">
        <v>3.1E-2</v>
      </c>
      <c r="BK578" s="605">
        <v>3.2000000000000001E-2</v>
      </c>
      <c r="BL578" s="658">
        <f t="shared" si="389"/>
        <v>32500</v>
      </c>
      <c r="BM578" s="3">
        <f t="shared" si="390"/>
        <v>39</v>
      </c>
      <c r="BN578" s="3">
        <f t="shared" si="391"/>
        <v>29</v>
      </c>
      <c r="BO578" s="3">
        <f t="shared" si="392"/>
        <v>32</v>
      </c>
    </row>
    <row r="579" spans="2:67">
      <c r="B579" s="1022" t="s">
        <v>4689</v>
      </c>
      <c r="C579" s="1069" t="s">
        <v>310</v>
      </c>
      <c r="D579" s="607" t="s">
        <v>4690</v>
      </c>
      <c r="E579" s="1172" t="s">
        <v>1150</v>
      </c>
      <c r="F579" s="1019">
        <v>576</v>
      </c>
      <c r="G579" s="609">
        <v>6566</v>
      </c>
      <c r="H579" s="610">
        <v>5371</v>
      </c>
      <c r="I579" s="611">
        <v>7960</v>
      </c>
      <c r="J579" s="166">
        <f t="shared" si="380"/>
        <v>131</v>
      </c>
      <c r="K579" s="167">
        <f t="shared" si="381"/>
        <v>107</v>
      </c>
      <c r="L579" s="168">
        <f t="shared" si="382"/>
        <v>159</v>
      </c>
      <c r="M579" s="166">
        <f t="shared" si="383"/>
        <v>197</v>
      </c>
      <c r="N579" s="167">
        <f t="shared" si="384"/>
        <v>161</v>
      </c>
      <c r="O579" s="168">
        <f t="shared" si="385"/>
        <v>238</v>
      </c>
      <c r="P579" s="169">
        <f t="shared" si="386"/>
        <v>262</v>
      </c>
      <c r="Q579" s="169">
        <f t="shared" si="387"/>
        <v>214</v>
      </c>
      <c r="R579" s="169">
        <f t="shared" si="388"/>
        <v>318</v>
      </c>
      <c r="S579" s="584">
        <f t="shared" si="393"/>
        <v>1970</v>
      </c>
      <c r="T579" s="594">
        <f t="shared" si="394"/>
        <v>1611</v>
      </c>
      <c r="U579" s="595">
        <f t="shared" si="395"/>
        <v>2388</v>
      </c>
      <c r="V579" s="166">
        <f t="shared" si="396"/>
        <v>4071</v>
      </c>
      <c r="W579" s="167">
        <f t="shared" si="397"/>
        <v>3328</v>
      </c>
      <c r="X579" s="168">
        <f t="shared" si="398"/>
        <v>4927</v>
      </c>
      <c r="Y579" s="166">
        <f t="shared" si="399"/>
        <v>4595</v>
      </c>
      <c r="Z579" s="167">
        <f t="shared" si="400"/>
        <v>3756</v>
      </c>
      <c r="AA579" s="168">
        <f t="shared" si="401"/>
        <v>5563</v>
      </c>
      <c r="AB579" s="166">
        <f t="shared" si="402"/>
        <v>5119</v>
      </c>
      <c r="AC579" s="167">
        <f t="shared" si="403"/>
        <v>4184</v>
      </c>
      <c r="AD579" s="168">
        <f t="shared" si="404"/>
        <v>6199</v>
      </c>
      <c r="AE579" s="166">
        <f t="shared" si="405"/>
        <v>5643</v>
      </c>
      <c r="AF579" s="167">
        <f t="shared" si="406"/>
        <v>4398</v>
      </c>
      <c r="AG579" s="168">
        <f t="shared" si="407"/>
        <v>6835</v>
      </c>
      <c r="AH579" s="166">
        <f t="shared" si="408"/>
        <v>5905</v>
      </c>
      <c r="AI579" s="167">
        <f t="shared" si="409"/>
        <v>4826</v>
      </c>
      <c r="AJ579" s="168">
        <f t="shared" si="410"/>
        <v>7789</v>
      </c>
      <c r="AK579" s="169">
        <f t="shared" si="411"/>
        <v>6697</v>
      </c>
      <c r="AL579" s="167">
        <f t="shared" si="412"/>
        <v>5478</v>
      </c>
      <c r="AM579" s="585">
        <f t="shared" si="413"/>
        <v>8119</v>
      </c>
      <c r="AN579" s="614">
        <v>4.2000000000000003E-2</v>
      </c>
      <c r="AO579" s="615">
        <v>4.4999999999999998E-2</v>
      </c>
      <c r="AP579" s="615">
        <v>4.8000000000000001E-2</v>
      </c>
      <c r="AQ579" s="616">
        <v>5.0999999999999997E-2</v>
      </c>
      <c r="AR579" s="612">
        <v>5.3999999999999999E-2</v>
      </c>
      <c r="AS579" s="617"/>
      <c r="AT579" s="618"/>
      <c r="AU579" s="618"/>
      <c r="AV579" s="618"/>
      <c r="AW579" s="619"/>
      <c r="AX579" s="1133">
        <v>0.05</v>
      </c>
      <c r="AY579" s="1135">
        <v>5.5E-2</v>
      </c>
      <c r="AZ579" s="1135">
        <v>0.06</v>
      </c>
      <c r="BA579" s="1135">
        <v>6.5000000000000002E-2</v>
      </c>
      <c r="BB579" s="1135">
        <v>7.0000000000000007E-2</v>
      </c>
      <c r="BC579" s="616"/>
      <c r="BD579" s="612"/>
      <c r="BE579" s="614"/>
      <c r="BF579" s="616"/>
      <c r="BG579" s="616"/>
      <c r="BH579" s="616"/>
      <c r="BI579" s="616"/>
      <c r="BJ579" s="616"/>
      <c r="BK579" s="1023"/>
      <c r="BL579" s="658">
        <f t="shared" si="389"/>
        <v>19900</v>
      </c>
      <c r="BM579" s="3">
        <f t="shared" si="390"/>
        <v>33</v>
      </c>
      <c r="BN579" s="3">
        <f t="shared" si="391"/>
        <v>27</v>
      </c>
      <c r="BO579" s="3">
        <f t="shared" si="392"/>
        <v>40</v>
      </c>
    </row>
    <row r="580" spans="2:67">
      <c r="B580" s="1271" t="s">
        <v>4748</v>
      </c>
      <c r="C580" s="1069" t="s">
        <v>309</v>
      </c>
      <c r="D580" s="1069" t="s">
        <v>4728</v>
      </c>
      <c r="E580" s="1179" t="s">
        <v>1150</v>
      </c>
      <c r="F580" s="1070">
        <v>577</v>
      </c>
      <c r="G580" s="1071">
        <v>13973</v>
      </c>
      <c r="H580" s="1072">
        <v>8124</v>
      </c>
      <c r="I580" s="1073">
        <v>10400</v>
      </c>
      <c r="J580" s="166">
        <f t="shared" si="380"/>
        <v>279</v>
      </c>
      <c r="K580" s="167">
        <f t="shared" si="381"/>
        <v>162</v>
      </c>
      <c r="L580" s="168">
        <f t="shared" si="382"/>
        <v>208</v>
      </c>
      <c r="M580" s="166">
        <f t="shared" si="383"/>
        <v>349</v>
      </c>
      <c r="N580" s="167">
        <f t="shared" si="384"/>
        <v>203</v>
      </c>
      <c r="O580" s="168">
        <f t="shared" si="385"/>
        <v>260</v>
      </c>
      <c r="P580" s="169">
        <f t="shared" si="386"/>
        <v>524</v>
      </c>
      <c r="Q580" s="169">
        <f t="shared" si="387"/>
        <v>304</v>
      </c>
      <c r="R580" s="169">
        <f t="shared" si="388"/>
        <v>390</v>
      </c>
      <c r="S580" s="584">
        <f t="shared" si="393"/>
        <v>3493</v>
      </c>
      <c r="T580" s="594">
        <f t="shared" si="394"/>
        <v>2031</v>
      </c>
      <c r="U580" s="595">
        <f t="shared" si="395"/>
        <v>2600</v>
      </c>
      <c r="V580" s="166">
        <f t="shared" si="396"/>
        <v>7960</v>
      </c>
      <c r="W580" s="167">
        <f t="shared" si="397"/>
        <v>4629</v>
      </c>
      <c r="X580" s="168">
        <f t="shared" si="398"/>
        <v>5928</v>
      </c>
      <c r="Y580" s="166">
        <f t="shared" si="399"/>
        <v>9008</v>
      </c>
      <c r="Z580" s="167">
        <f t="shared" si="400"/>
        <v>4933</v>
      </c>
      <c r="AA580" s="168">
        <f t="shared" si="401"/>
        <v>7098</v>
      </c>
      <c r="AB580" s="166">
        <f t="shared" si="402"/>
        <v>10580</v>
      </c>
      <c r="AC580" s="167">
        <f t="shared" si="403"/>
        <v>5845</v>
      </c>
      <c r="AD580" s="168">
        <f t="shared" si="404"/>
        <v>7488</v>
      </c>
      <c r="AE580" s="166">
        <f t="shared" si="405"/>
        <v>11628</v>
      </c>
      <c r="AF580" s="167">
        <f t="shared" si="406"/>
        <v>7061</v>
      </c>
      <c r="AG580" s="168">
        <f t="shared" si="407"/>
        <v>8268</v>
      </c>
      <c r="AH580" s="166">
        <f t="shared" si="408"/>
        <v>12676</v>
      </c>
      <c r="AI580" s="167">
        <f t="shared" si="409"/>
        <v>7669</v>
      </c>
      <c r="AJ580" s="168">
        <f t="shared" si="410"/>
        <v>9828</v>
      </c>
      <c r="AK580" s="169">
        <f t="shared" si="411"/>
        <v>14252</v>
      </c>
      <c r="AL580" s="167">
        <f t="shared" si="412"/>
        <v>8286</v>
      </c>
      <c r="AM580" s="585">
        <f t="shared" si="413"/>
        <v>10608</v>
      </c>
      <c r="AN580" s="1133">
        <v>0.06</v>
      </c>
      <c r="AO580" s="1134">
        <v>6.3E-2</v>
      </c>
      <c r="AP580" s="1134">
        <v>6.6000000000000003E-2</v>
      </c>
      <c r="AQ580" s="1135">
        <v>6.9000000000000006E-2</v>
      </c>
      <c r="AR580" s="1132">
        <v>7.1999999999999995E-2</v>
      </c>
      <c r="AS580" s="1136"/>
      <c r="AT580" s="1137"/>
      <c r="AU580" s="1137"/>
      <c r="AV580" s="1137"/>
      <c r="AW580" s="1138"/>
      <c r="AX580" s="1133">
        <v>0.04</v>
      </c>
      <c r="AY580" s="1135">
        <v>4.2999999999999997E-2</v>
      </c>
      <c r="AZ580" s="1135">
        <v>4.5999999999999999E-2</v>
      </c>
      <c r="BA580" s="1135">
        <v>4.9000000000000002E-2</v>
      </c>
      <c r="BB580" s="1135">
        <v>5.1999999999999998E-2</v>
      </c>
      <c r="BC580" s="1135"/>
      <c r="BD580" s="1132"/>
      <c r="BE580" s="1133"/>
      <c r="BF580" s="1135"/>
      <c r="BG580" s="1135"/>
      <c r="BH580" s="1135"/>
      <c r="BI580" s="1135"/>
      <c r="BJ580" s="1135"/>
      <c r="BK580" s="1023"/>
      <c r="BL580" s="658">
        <f t="shared" si="389"/>
        <v>32500</v>
      </c>
      <c r="BM580" s="3">
        <f t="shared" si="390"/>
        <v>43</v>
      </c>
      <c r="BN580" s="3">
        <f t="shared" si="391"/>
        <v>25</v>
      </c>
      <c r="BO580" s="3">
        <f t="shared" si="392"/>
        <v>32</v>
      </c>
    </row>
    <row r="581" spans="2:67">
      <c r="B581" s="1022" t="s">
        <v>4735</v>
      </c>
      <c r="C581" s="1069" t="s">
        <v>310</v>
      </c>
      <c r="D581" s="607" t="s">
        <v>4736</v>
      </c>
      <c r="E581" s="1179" t="s">
        <v>1150</v>
      </c>
      <c r="F581" s="1019">
        <v>578</v>
      </c>
      <c r="G581" s="609">
        <v>6566</v>
      </c>
      <c r="H581" s="610">
        <v>5970</v>
      </c>
      <c r="I581" s="611">
        <v>7361</v>
      </c>
      <c r="J581" s="166">
        <f t="shared" si="380"/>
        <v>131</v>
      </c>
      <c r="K581" s="167">
        <f t="shared" si="381"/>
        <v>119</v>
      </c>
      <c r="L581" s="168">
        <f t="shared" si="382"/>
        <v>147</v>
      </c>
      <c r="M581" s="166">
        <f t="shared" si="383"/>
        <v>197</v>
      </c>
      <c r="N581" s="167">
        <f t="shared" si="384"/>
        <v>179</v>
      </c>
      <c r="O581" s="168">
        <f t="shared" si="385"/>
        <v>220</v>
      </c>
      <c r="P581" s="169">
        <f t="shared" si="386"/>
        <v>262</v>
      </c>
      <c r="Q581" s="169">
        <f t="shared" si="387"/>
        <v>238</v>
      </c>
      <c r="R581" s="169">
        <f t="shared" si="388"/>
        <v>294</v>
      </c>
      <c r="S581" s="584">
        <f t="shared" si="393"/>
        <v>1970</v>
      </c>
      <c r="T581" s="594">
        <f t="shared" si="394"/>
        <v>1791</v>
      </c>
      <c r="U581" s="595">
        <f t="shared" si="395"/>
        <v>2208</v>
      </c>
      <c r="V581" s="166">
        <f t="shared" si="396"/>
        <v>4071</v>
      </c>
      <c r="W581" s="167">
        <f t="shared" si="397"/>
        <v>3700</v>
      </c>
      <c r="X581" s="168">
        <f t="shared" si="398"/>
        <v>4555</v>
      </c>
      <c r="Y581" s="166">
        <f t="shared" si="399"/>
        <v>4595</v>
      </c>
      <c r="Z581" s="167">
        <f t="shared" si="400"/>
        <v>4176</v>
      </c>
      <c r="AA581" s="168">
        <f t="shared" si="401"/>
        <v>5143</v>
      </c>
      <c r="AB581" s="166">
        <f t="shared" si="402"/>
        <v>5119</v>
      </c>
      <c r="AC581" s="167">
        <f t="shared" si="403"/>
        <v>4652</v>
      </c>
      <c r="AD581" s="168">
        <f t="shared" si="404"/>
        <v>5731</v>
      </c>
      <c r="AE581" s="166">
        <f t="shared" si="405"/>
        <v>5643</v>
      </c>
      <c r="AF581" s="167">
        <f t="shared" si="406"/>
        <v>5128</v>
      </c>
      <c r="AG581" s="168">
        <f t="shared" si="407"/>
        <v>6025</v>
      </c>
      <c r="AH581" s="166">
        <f t="shared" si="408"/>
        <v>5905</v>
      </c>
      <c r="AI581" s="167">
        <f t="shared" si="409"/>
        <v>5842</v>
      </c>
      <c r="AJ581" s="168">
        <f t="shared" si="410"/>
        <v>6613</v>
      </c>
      <c r="AK581" s="169">
        <f t="shared" si="411"/>
        <v>6697</v>
      </c>
      <c r="AL581" s="167">
        <f t="shared" si="412"/>
        <v>6089</v>
      </c>
      <c r="AM581" s="585">
        <f t="shared" si="413"/>
        <v>7508</v>
      </c>
      <c r="AN581" s="614">
        <v>3.2000000000000001E-2</v>
      </c>
      <c r="AO581" s="615">
        <v>3.4000000000000002E-2</v>
      </c>
      <c r="AP581" s="615">
        <v>3.5999999999999997E-2</v>
      </c>
      <c r="AQ581" s="616">
        <v>3.7999999999999999E-2</v>
      </c>
      <c r="AR581" s="612">
        <v>0.04</v>
      </c>
      <c r="AS581" s="617"/>
      <c r="AT581" s="618"/>
      <c r="AU581" s="618"/>
      <c r="AV581" s="618"/>
      <c r="AW581" s="619"/>
      <c r="AX581" s="1133">
        <v>0.03</v>
      </c>
      <c r="AY581" s="1135">
        <v>3.5000000000000003E-2</v>
      </c>
      <c r="AZ581" s="1135">
        <v>0.04</v>
      </c>
      <c r="BA581" s="1135">
        <v>4.4999999999999998E-2</v>
      </c>
      <c r="BB581" s="1135">
        <v>0.05</v>
      </c>
      <c r="BC581" s="616"/>
      <c r="BD581" s="612"/>
      <c r="BE581" s="614"/>
      <c r="BF581" s="616"/>
      <c r="BG581" s="616"/>
      <c r="BH581" s="616"/>
      <c r="BI581" s="616"/>
      <c r="BJ581" s="616"/>
      <c r="BK581" s="1023"/>
      <c r="BL581" s="658">
        <f t="shared" si="389"/>
        <v>19900</v>
      </c>
      <c r="BM581" s="3">
        <f t="shared" si="390"/>
        <v>33</v>
      </c>
      <c r="BN581" s="3">
        <f t="shared" si="391"/>
        <v>30</v>
      </c>
      <c r="BO581" s="3">
        <f t="shared" si="392"/>
        <v>37</v>
      </c>
    </row>
    <row r="582" spans="2:67">
      <c r="B582" s="1271" t="s">
        <v>4749</v>
      </c>
      <c r="C582" s="1069" t="s">
        <v>309</v>
      </c>
      <c r="D582" s="1069" t="s">
        <v>4731</v>
      </c>
      <c r="E582" s="1268" t="s">
        <v>1150</v>
      </c>
      <c r="F582" s="1070">
        <v>579</v>
      </c>
      <c r="G582" s="1071">
        <v>13649</v>
      </c>
      <c r="H582" s="1072">
        <v>4873</v>
      </c>
      <c r="I582" s="1073">
        <v>13973</v>
      </c>
      <c r="J582" s="166">
        <f t="shared" si="380"/>
        <v>273</v>
      </c>
      <c r="K582" s="167">
        <f t="shared" si="381"/>
        <v>97</v>
      </c>
      <c r="L582" s="168">
        <f t="shared" si="382"/>
        <v>279</v>
      </c>
      <c r="M582" s="166">
        <f t="shared" si="383"/>
        <v>341</v>
      </c>
      <c r="N582" s="167">
        <f t="shared" si="384"/>
        <v>121</v>
      </c>
      <c r="O582" s="168">
        <f t="shared" si="385"/>
        <v>349</v>
      </c>
      <c r="P582" s="169">
        <f t="shared" si="386"/>
        <v>511</v>
      </c>
      <c r="Q582" s="169">
        <f t="shared" si="387"/>
        <v>182</v>
      </c>
      <c r="R582" s="169">
        <f t="shared" si="388"/>
        <v>524</v>
      </c>
      <c r="S582" s="584">
        <f t="shared" si="393"/>
        <v>3412</v>
      </c>
      <c r="T582" s="594">
        <f t="shared" si="394"/>
        <v>1218</v>
      </c>
      <c r="U582" s="595">
        <f t="shared" si="395"/>
        <v>3493</v>
      </c>
      <c r="V582" s="166">
        <f t="shared" si="396"/>
        <v>7777</v>
      </c>
      <c r="W582" s="167">
        <f t="shared" si="397"/>
        <v>2767</v>
      </c>
      <c r="X582" s="168">
        <f t="shared" si="398"/>
        <v>7960</v>
      </c>
      <c r="Y582" s="166">
        <f t="shared" si="399"/>
        <v>8288</v>
      </c>
      <c r="Z582" s="167">
        <f t="shared" si="400"/>
        <v>3131</v>
      </c>
      <c r="AA582" s="168">
        <f t="shared" si="401"/>
        <v>9532</v>
      </c>
      <c r="AB582" s="166">
        <f t="shared" si="402"/>
        <v>9821</v>
      </c>
      <c r="AC582" s="167">
        <f t="shared" si="403"/>
        <v>3677</v>
      </c>
      <c r="AD582" s="168">
        <f t="shared" si="404"/>
        <v>10056</v>
      </c>
      <c r="AE582" s="166">
        <f t="shared" si="405"/>
        <v>11865</v>
      </c>
      <c r="AF582" s="167">
        <f t="shared" si="406"/>
        <v>4041</v>
      </c>
      <c r="AG582" s="168">
        <f t="shared" si="407"/>
        <v>11104</v>
      </c>
      <c r="AH582" s="166">
        <f t="shared" si="408"/>
        <v>12887</v>
      </c>
      <c r="AI582" s="167">
        <f t="shared" si="409"/>
        <v>4405</v>
      </c>
      <c r="AJ582" s="168">
        <f t="shared" si="410"/>
        <v>13200</v>
      </c>
      <c r="AK582" s="169">
        <f t="shared" si="411"/>
        <v>13922</v>
      </c>
      <c r="AL582" s="167">
        <f t="shared" si="412"/>
        <v>4970</v>
      </c>
      <c r="AM582" s="585">
        <f t="shared" si="413"/>
        <v>14252</v>
      </c>
      <c r="AN582" s="1133">
        <v>0.26</v>
      </c>
      <c r="AO582" s="1134">
        <v>0.27</v>
      </c>
      <c r="AP582" s="1134">
        <v>0.28000000000000003</v>
      </c>
      <c r="AQ582" s="1135">
        <v>0.28999999999999998</v>
      </c>
      <c r="AR582" s="1132">
        <v>0.3</v>
      </c>
      <c r="AS582" s="1136"/>
      <c r="AT582" s="1137"/>
      <c r="AU582" s="1137"/>
      <c r="AV582" s="1137"/>
      <c r="AW582" s="1138"/>
      <c r="AX582" s="1133">
        <v>0.05</v>
      </c>
      <c r="AY582" s="1135">
        <v>5.5E-2</v>
      </c>
      <c r="AZ582" s="1135">
        <v>0.06</v>
      </c>
      <c r="BA582" s="1135">
        <v>6.5000000000000002E-2</v>
      </c>
      <c r="BB582" s="1135">
        <v>7.0000000000000007E-2</v>
      </c>
      <c r="BC582" s="1135"/>
      <c r="BD582" s="1132"/>
      <c r="BE582" s="1133"/>
      <c r="BF582" s="1135"/>
      <c r="BG582" s="1135"/>
      <c r="BH582" s="1135"/>
      <c r="BI582" s="1135"/>
      <c r="BJ582" s="1135"/>
      <c r="BK582" s="1023"/>
      <c r="BL582" s="1075">
        <f t="shared" si="389"/>
        <v>32500</v>
      </c>
      <c r="BM582" s="1077">
        <f t="shared" si="390"/>
        <v>42</v>
      </c>
      <c r="BN582" s="1077">
        <f t="shared" si="391"/>
        <v>15</v>
      </c>
      <c r="BO582" s="1077">
        <f t="shared" si="392"/>
        <v>43</v>
      </c>
    </row>
    <row r="583" spans="2:67">
      <c r="B583" s="1271" t="s">
        <v>4750</v>
      </c>
      <c r="C583" s="1069" t="s">
        <v>309</v>
      </c>
      <c r="D583" s="1069" t="s">
        <v>4728</v>
      </c>
      <c r="E583" s="1267" t="s">
        <v>125</v>
      </c>
      <c r="F583" s="1019">
        <v>580</v>
      </c>
      <c r="G583" s="1071">
        <v>12373</v>
      </c>
      <c r="H583" s="1072">
        <v>5500</v>
      </c>
      <c r="I583" s="1073">
        <v>9624</v>
      </c>
      <c r="J583" s="166">
        <f t="shared" ref="J583:J601" si="414">INT(G583/50+0.05)</f>
        <v>247</v>
      </c>
      <c r="K583" s="167">
        <f t="shared" ref="K583:K601" si="415">INT(H583/50+0.05)</f>
        <v>110</v>
      </c>
      <c r="L583" s="168">
        <f t="shared" ref="L583:L601" si="416">INT(I583/50+0.05)</f>
        <v>192</v>
      </c>
      <c r="M583" s="166">
        <f t="shared" ref="M583:M601" si="417">INT(IF($C583="UR",IF($E583="party卡",G583*0.0270833333333333,G583*0.025),0)+IF($C583="SR",G583*0.03,0)+IF($C583="R",G583*0.0375,0)+0.05)</f>
        <v>309</v>
      </c>
      <c r="N583" s="167">
        <f t="shared" ref="N583:N601" si="418">INT(IF($C583="UR",IF($E583="party卡",H583*0.0270833333333333,H583*0.025),0)+IF($C583="SR",H583*0.03,0)+IF($C583="R",H583*0.0375,0)+0.05)</f>
        <v>137</v>
      </c>
      <c r="O583" s="168">
        <f t="shared" ref="O583:O601" si="419">INT(IF($C583="UR",IF($E583="party卡",I583*0.0270833333333333,I583*0.025),0)+IF($C583="SR",I583*0.03,0)+IF($C583="R",I583*0.0375,0)+0.05)</f>
        <v>240</v>
      </c>
      <c r="P583" s="169">
        <f t="shared" ref="P583:P601" si="420">INT(IF($C583="UR",IF($E583="party卡",G583*0.04375,G583*0.0375),0)+IF($C583="SR",G583*0.04,0)+IF($C583="R",G583*0.05,0)+0.05)</f>
        <v>464</v>
      </c>
      <c r="Q583" s="169">
        <f t="shared" ref="Q583:Q601" si="421">INT(IF($C583="UR",IF($E583="party卡",H583*0.04375,H583*0.0375),0)+IF($C583="SR",H583*0.04,0)+IF($C583="R",H583*0.05,0)+0.05)</f>
        <v>206</v>
      </c>
      <c r="R583" s="169">
        <f t="shared" ref="R583:R601" si="422">INT(IF($C583="UR",IF($E583="party卡",I583*0.04375,I583*0.0375),0)+IF($C583="SR",I583*0.04,0)+IF($C583="R",I583*0.05,0)+0.05)</f>
        <v>360</v>
      </c>
      <c r="S583" s="584">
        <f t="shared" si="393"/>
        <v>3093</v>
      </c>
      <c r="T583" s="594">
        <f t="shared" si="394"/>
        <v>1375</v>
      </c>
      <c r="U583" s="595">
        <f t="shared" si="395"/>
        <v>2406</v>
      </c>
      <c r="V583" s="166">
        <f t="shared" si="396"/>
        <v>7048</v>
      </c>
      <c r="W583" s="167">
        <f t="shared" si="397"/>
        <v>3129</v>
      </c>
      <c r="X583" s="168">
        <f t="shared" si="398"/>
        <v>5478</v>
      </c>
      <c r="Y583" s="166">
        <f t="shared" si="399"/>
        <v>7976</v>
      </c>
      <c r="Z583" s="167">
        <f t="shared" si="400"/>
        <v>3335</v>
      </c>
      <c r="AA583" s="168">
        <f t="shared" si="401"/>
        <v>6558</v>
      </c>
      <c r="AB583" s="166">
        <f t="shared" si="402"/>
        <v>9368</v>
      </c>
      <c r="AC583" s="167">
        <f t="shared" si="403"/>
        <v>3953</v>
      </c>
      <c r="AD583" s="168">
        <f t="shared" si="404"/>
        <v>6918</v>
      </c>
      <c r="AE583" s="166">
        <f t="shared" si="405"/>
        <v>10296</v>
      </c>
      <c r="AF583" s="167">
        <f t="shared" si="406"/>
        <v>4777</v>
      </c>
      <c r="AG583" s="168">
        <f t="shared" si="407"/>
        <v>7638</v>
      </c>
      <c r="AH583" s="166">
        <f t="shared" si="408"/>
        <v>11224</v>
      </c>
      <c r="AI583" s="167">
        <f t="shared" si="409"/>
        <v>5189</v>
      </c>
      <c r="AJ583" s="168">
        <f t="shared" si="410"/>
        <v>9078</v>
      </c>
      <c r="AK583" s="169">
        <f t="shared" si="411"/>
        <v>12620</v>
      </c>
      <c r="AL583" s="167">
        <f t="shared" si="412"/>
        <v>5610</v>
      </c>
      <c r="AM583" s="585">
        <f t="shared" si="413"/>
        <v>9816</v>
      </c>
      <c r="AN583" s="1133">
        <v>3.7999999999999999E-2</v>
      </c>
      <c r="AO583" s="1134">
        <v>4.1000000000000002E-2</v>
      </c>
      <c r="AP583" s="1134">
        <v>4.3999999999999997E-2</v>
      </c>
      <c r="AQ583" s="1135">
        <v>4.7E-2</v>
      </c>
      <c r="AR583" s="1132">
        <v>0.05</v>
      </c>
      <c r="AS583" s="1136"/>
      <c r="AT583" s="1137"/>
      <c r="AU583" s="1137"/>
      <c r="AV583" s="1137"/>
      <c r="AW583" s="1138"/>
      <c r="AX583" s="596">
        <v>0.03</v>
      </c>
      <c r="AY583" s="598">
        <v>3.3000000000000002E-2</v>
      </c>
      <c r="AZ583" s="598">
        <v>3.5999999999999997E-2</v>
      </c>
      <c r="BA583" s="598">
        <v>3.9E-2</v>
      </c>
      <c r="BB583" s="598">
        <v>4.2000000000000003E-2</v>
      </c>
      <c r="BC583" s="1135"/>
      <c r="BD583" s="1132"/>
      <c r="BE583" s="1133"/>
      <c r="BF583" s="1135"/>
      <c r="BG583" s="1135"/>
      <c r="BH583" s="1135"/>
      <c r="BI583" s="1135"/>
      <c r="BJ583" s="1135"/>
      <c r="BK583" s="1023"/>
      <c r="BL583" s="658">
        <f t="shared" ref="BL583:BL601" si="423">ROUND(($G583+$H583+$I583)/50,0)*50</f>
        <v>27500</v>
      </c>
      <c r="BM583" s="3">
        <f t="shared" ref="BM583:BM601" si="424">ROUND(100*G583/($G583+$H583+$I583),0)</f>
        <v>45</v>
      </c>
      <c r="BN583" s="3">
        <f t="shared" ref="BN583:BN601" si="425">ROUND(100*H583/($G583+$H583+$I583),0)</f>
        <v>20</v>
      </c>
      <c r="BO583" s="3">
        <f t="shared" ref="BO583:BO601" si="426">ROUND(100*I583/($G583+$H583+$I583),0)</f>
        <v>35</v>
      </c>
    </row>
    <row r="584" spans="2:67">
      <c r="B584" s="1022" t="s">
        <v>4742</v>
      </c>
      <c r="C584" s="1069" t="s">
        <v>310</v>
      </c>
      <c r="D584" s="607" t="s">
        <v>4731</v>
      </c>
      <c r="E584" s="1179" t="s">
        <v>125</v>
      </c>
      <c r="F584" s="608">
        <v>581</v>
      </c>
      <c r="G584" s="609">
        <v>5914</v>
      </c>
      <c r="H584" s="610">
        <v>4900</v>
      </c>
      <c r="I584" s="611">
        <v>6083</v>
      </c>
      <c r="J584" s="166">
        <f t="shared" si="414"/>
        <v>118</v>
      </c>
      <c r="K584" s="167">
        <f t="shared" si="415"/>
        <v>98</v>
      </c>
      <c r="L584" s="168">
        <f t="shared" si="416"/>
        <v>121</v>
      </c>
      <c r="M584" s="166">
        <f t="shared" si="417"/>
        <v>177</v>
      </c>
      <c r="N584" s="167">
        <f t="shared" si="418"/>
        <v>147</v>
      </c>
      <c r="O584" s="168">
        <f t="shared" si="419"/>
        <v>182</v>
      </c>
      <c r="P584" s="169">
        <f t="shared" si="420"/>
        <v>236</v>
      </c>
      <c r="Q584" s="169">
        <f t="shared" si="421"/>
        <v>196</v>
      </c>
      <c r="R584" s="169">
        <f t="shared" si="422"/>
        <v>243</v>
      </c>
      <c r="S584" s="584">
        <f t="shared" si="393"/>
        <v>1774</v>
      </c>
      <c r="T584" s="594">
        <f t="shared" si="394"/>
        <v>1470</v>
      </c>
      <c r="U584" s="595">
        <f t="shared" si="395"/>
        <v>1825</v>
      </c>
      <c r="V584" s="166">
        <f t="shared" si="396"/>
        <v>3662</v>
      </c>
      <c r="W584" s="167">
        <f t="shared" si="397"/>
        <v>3038</v>
      </c>
      <c r="X584" s="168">
        <f t="shared" si="398"/>
        <v>3766</v>
      </c>
      <c r="Y584" s="166">
        <f t="shared" si="399"/>
        <v>4134</v>
      </c>
      <c r="Z584" s="167">
        <f t="shared" si="400"/>
        <v>3430</v>
      </c>
      <c r="AA584" s="168">
        <f t="shared" si="401"/>
        <v>4252</v>
      </c>
      <c r="AB584" s="166">
        <f t="shared" si="402"/>
        <v>4606</v>
      </c>
      <c r="AC584" s="167">
        <f t="shared" si="403"/>
        <v>3822</v>
      </c>
      <c r="AD584" s="168">
        <f t="shared" si="404"/>
        <v>4738</v>
      </c>
      <c r="AE584" s="166">
        <f t="shared" si="405"/>
        <v>5078</v>
      </c>
      <c r="AF584" s="167">
        <f t="shared" si="406"/>
        <v>4018</v>
      </c>
      <c r="AG584" s="168">
        <f t="shared" si="407"/>
        <v>5224</v>
      </c>
      <c r="AH584" s="166">
        <f t="shared" si="408"/>
        <v>5314</v>
      </c>
      <c r="AI584" s="167">
        <f t="shared" si="409"/>
        <v>4410</v>
      </c>
      <c r="AJ584" s="168">
        <f t="shared" si="410"/>
        <v>5953</v>
      </c>
      <c r="AK584" s="169">
        <f t="shared" si="411"/>
        <v>6032</v>
      </c>
      <c r="AL584" s="167">
        <f t="shared" si="412"/>
        <v>4998</v>
      </c>
      <c r="AM584" s="585">
        <f t="shared" si="413"/>
        <v>6204</v>
      </c>
      <c r="AN584" s="614">
        <v>0.08</v>
      </c>
      <c r="AO584" s="615">
        <v>8.5000000000000006E-2</v>
      </c>
      <c r="AP584" s="615">
        <v>0.09</v>
      </c>
      <c r="AQ584" s="616">
        <v>9.5000000000000001E-2</v>
      </c>
      <c r="AR584" s="612">
        <v>0.1</v>
      </c>
      <c r="AS584" s="617"/>
      <c r="AT584" s="618"/>
      <c r="AU584" s="618"/>
      <c r="AV584" s="618"/>
      <c r="AW584" s="619"/>
      <c r="AX584" s="1133">
        <v>0.02</v>
      </c>
      <c r="AY584" s="1135">
        <v>2.3E-2</v>
      </c>
      <c r="AZ584" s="1135">
        <v>2.5999999999999999E-2</v>
      </c>
      <c r="BA584" s="1135">
        <v>2.9000000000000001E-2</v>
      </c>
      <c r="BB584" s="1135">
        <v>3.2000000000000001E-2</v>
      </c>
      <c r="BC584" s="616"/>
      <c r="BD584" s="612"/>
      <c r="BE584" s="614"/>
      <c r="BF584" s="616"/>
      <c r="BG584" s="616"/>
      <c r="BH584" s="616"/>
      <c r="BI584" s="616"/>
      <c r="BJ584" s="616"/>
      <c r="BK584" s="1023"/>
      <c r="BL584" s="658">
        <f t="shared" si="423"/>
        <v>16900</v>
      </c>
      <c r="BM584" s="3">
        <f t="shared" si="424"/>
        <v>35</v>
      </c>
      <c r="BN584" s="3">
        <f t="shared" si="425"/>
        <v>29</v>
      </c>
      <c r="BO584" s="3">
        <f t="shared" si="426"/>
        <v>36</v>
      </c>
    </row>
    <row r="585" spans="2:67">
      <c r="B585" s="1022" t="s">
        <v>4745</v>
      </c>
      <c r="C585" s="1069" t="s">
        <v>310</v>
      </c>
      <c r="D585" s="607" t="s">
        <v>4736</v>
      </c>
      <c r="E585" s="1180" t="s">
        <v>125</v>
      </c>
      <c r="F585" s="1019">
        <v>582</v>
      </c>
      <c r="G585" s="609">
        <v>5914</v>
      </c>
      <c r="H585" s="610">
        <v>3380</v>
      </c>
      <c r="I585" s="611">
        <v>7604</v>
      </c>
      <c r="J585" s="166">
        <f t="shared" si="414"/>
        <v>118</v>
      </c>
      <c r="K585" s="167">
        <f t="shared" si="415"/>
        <v>67</v>
      </c>
      <c r="L585" s="168">
        <f t="shared" si="416"/>
        <v>152</v>
      </c>
      <c r="M585" s="166">
        <f t="shared" si="417"/>
        <v>177</v>
      </c>
      <c r="N585" s="167">
        <f t="shared" si="418"/>
        <v>101</v>
      </c>
      <c r="O585" s="168">
        <f t="shared" si="419"/>
        <v>228</v>
      </c>
      <c r="P585" s="169">
        <f t="shared" si="420"/>
        <v>236</v>
      </c>
      <c r="Q585" s="169">
        <f t="shared" si="421"/>
        <v>135</v>
      </c>
      <c r="R585" s="169">
        <f t="shared" si="422"/>
        <v>304</v>
      </c>
      <c r="S585" s="584">
        <f t="shared" si="393"/>
        <v>1774</v>
      </c>
      <c r="T585" s="594">
        <f t="shared" si="394"/>
        <v>1014</v>
      </c>
      <c r="U585" s="595">
        <f t="shared" si="395"/>
        <v>2281</v>
      </c>
      <c r="V585" s="166">
        <f t="shared" si="396"/>
        <v>3662</v>
      </c>
      <c r="W585" s="167">
        <f t="shared" si="397"/>
        <v>2091</v>
      </c>
      <c r="X585" s="168">
        <f t="shared" si="398"/>
        <v>4713</v>
      </c>
      <c r="Y585" s="166">
        <f t="shared" si="399"/>
        <v>4134</v>
      </c>
      <c r="Z585" s="167">
        <f t="shared" si="400"/>
        <v>2361</v>
      </c>
      <c r="AA585" s="168">
        <f t="shared" si="401"/>
        <v>5321</v>
      </c>
      <c r="AB585" s="166">
        <f t="shared" si="402"/>
        <v>4606</v>
      </c>
      <c r="AC585" s="167">
        <f t="shared" si="403"/>
        <v>2631</v>
      </c>
      <c r="AD585" s="168">
        <f t="shared" si="404"/>
        <v>5929</v>
      </c>
      <c r="AE585" s="166">
        <f t="shared" si="405"/>
        <v>5078</v>
      </c>
      <c r="AF585" s="167">
        <f t="shared" si="406"/>
        <v>2901</v>
      </c>
      <c r="AG585" s="168">
        <f t="shared" si="407"/>
        <v>6233</v>
      </c>
      <c r="AH585" s="166">
        <f t="shared" si="408"/>
        <v>5314</v>
      </c>
      <c r="AI585" s="167">
        <f t="shared" si="409"/>
        <v>3306</v>
      </c>
      <c r="AJ585" s="168">
        <f t="shared" si="410"/>
        <v>6841</v>
      </c>
      <c r="AK585" s="169">
        <f t="shared" si="411"/>
        <v>6032</v>
      </c>
      <c r="AL585" s="167">
        <f t="shared" si="412"/>
        <v>3447</v>
      </c>
      <c r="AM585" s="585">
        <f t="shared" si="413"/>
        <v>7756</v>
      </c>
      <c r="AN585" s="1133">
        <v>0.2</v>
      </c>
      <c r="AO585" s="1134">
        <v>0.20499999999999999</v>
      </c>
      <c r="AP585" s="1134">
        <v>0.21</v>
      </c>
      <c r="AQ585" s="1135">
        <v>0.215</v>
      </c>
      <c r="AR585" s="1132">
        <v>0.22</v>
      </c>
      <c r="AS585" s="617"/>
      <c r="AT585" s="618"/>
      <c r="AU585" s="618"/>
      <c r="AV585" s="618"/>
      <c r="AW585" s="619"/>
      <c r="AX585" s="1133">
        <v>0.05</v>
      </c>
      <c r="AY585" s="1135">
        <v>5.5E-2</v>
      </c>
      <c r="AZ585" s="1135">
        <v>0.06</v>
      </c>
      <c r="BA585" s="1135">
        <v>6.5000000000000002E-2</v>
      </c>
      <c r="BB585" s="1135">
        <v>7.0000000000000007E-2</v>
      </c>
      <c r="BC585" s="616"/>
      <c r="BD585" s="612"/>
      <c r="BE585" s="614"/>
      <c r="BF585" s="616"/>
      <c r="BG585" s="616"/>
      <c r="BH585" s="616"/>
      <c r="BI585" s="616"/>
      <c r="BJ585" s="616"/>
      <c r="BK585" s="1023"/>
      <c r="BL585" s="658">
        <f t="shared" si="423"/>
        <v>16900</v>
      </c>
      <c r="BM585" s="3">
        <f t="shared" si="424"/>
        <v>35</v>
      </c>
      <c r="BN585" s="3">
        <f t="shared" si="425"/>
        <v>20</v>
      </c>
      <c r="BO585" s="3">
        <f t="shared" si="426"/>
        <v>45</v>
      </c>
    </row>
    <row r="586" spans="2:67">
      <c r="B586" s="1271" t="s">
        <v>4751</v>
      </c>
      <c r="C586" s="1069" t="s">
        <v>309</v>
      </c>
      <c r="D586" s="1069" t="s">
        <v>360</v>
      </c>
      <c r="E586" s="1268" t="s">
        <v>126</v>
      </c>
      <c r="F586" s="1070">
        <v>583</v>
      </c>
      <c r="G586" s="1071">
        <v>13649</v>
      </c>
      <c r="H586" s="1072">
        <v>4873</v>
      </c>
      <c r="I586" s="1073">
        <v>13973</v>
      </c>
      <c r="J586" s="166">
        <f t="shared" si="414"/>
        <v>273</v>
      </c>
      <c r="K586" s="167">
        <f t="shared" si="415"/>
        <v>97</v>
      </c>
      <c r="L586" s="168">
        <f t="shared" si="416"/>
        <v>279</v>
      </c>
      <c r="M586" s="166">
        <f t="shared" si="417"/>
        <v>341</v>
      </c>
      <c r="N586" s="167">
        <f t="shared" si="418"/>
        <v>121</v>
      </c>
      <c r="O586" s="168">
        <f t="shared" si="419"/>
        <v>349</v>
      </c>
      <c r="P586" s="169">
        <f t="shared" si="420"/>
        <v>511</v>
      </c>
      <c r="Q586" s="169">
        <f t="shared" si="421"/>
        <v>182</v>
      </c>
      <c r="R586" s="169">
        <f t="shared" si="422"/>
        <v>524</v>
      </c>
      <c r="S586" s="584">
        <f t="shared" si="393"/>
        <v>3412</v>
      </c>
      <c r="T586" s="594">
        <f t="shared" si="394"/>
        <v>1218</v>
      </c>
      <c r="U586" s="595">
        <f t="shared" si="395"/>
        <v>3493</v>
      </c>
      <c r="V586" s="166">
        <f t="shared" si="396"/>
        <v>7777</v>
      </c>
      <c r="W586" s="167">
        <f t="shared" si="397"/>
        <v>2767</v>
      </c>
      <c r="X586" s="168">
        <f t="shared" si="398"/>
        <v>7960</v>
      </c>
      <c r="Y586" s="166">
        <f t="shared" si="399"/>
        <v>8288</v>
      </c>
      <c r="Z586" s="167">
        <f t="shared" si="400"/>
        <v>3313</v>
      </c>
      <c r="AA586" s="168">
        <f t="shared" si="401"/>
        <v>9008</v>
      </c>
      <c r="AB586" s="166">
        <f t="shared" si="402"/>
        <v>9821</v>
      </c>
      <c r="AC586" s="167">
        <f t="shared" si="403"/>
        <v>3495</v>
      </c>
      <c r="AD586" s="168">
        <f t="shared" si="404"/>
        <v>10580</v>
      </c>
      <c r="AE586" s="166">
        <f t="shared" si="405"/>
        <v>11865</v>
      </c>
      <c r="AF586" s="167">
        <f t="shared" si="406"/>
        <v>3859</v>
      </c>
      <c r="AG586" s="168">
        <f t="shared" si="407"/>
        <v>11628</v>
      </c>
      <c r="AH586" s="166">
        <f t="shared" si="408"/>
        <v>12887</v>
      </c>
      <c r="AI586" s="167">
        <f t="shared" si="409"/>
        <v>4587</v>
      </c>
      <c r="AJ586" s="168">
        <f t="shared" si="410"/>
        <v>12676</v>
      </c>
      <c r="AK586" s="169">
        <f t="shared" si="411"/>
        <v>13922</v>
      </c>
      <c r="AL586" s="167">
        <f t="shared" si="412"/>
        <v>4970</v>
      </c>
      <c r="AM586" s="585">
        <f t="shared" si="413"/>
        <v>14252</v>
      </c>
      <c r="AN586" s="1133">
        <v>0.38</v>
      </c>
      <c r="AO586" s="1134">
        <v>0.38500000000000001</v>
      </c>
      <c r="AP586" s="1134">
        <v>0.39</v>
      </c>
      <c r="AQ586" s="1135">
        <v>0.39500000000000002</v>
      </c>
      <c r="AR586" s="1132">
        <v>0.4</v>
      </c>
      <c r="AS586" s="1136"/>
      <c r="AT586" s="1137"/>
      <c r="AU586" s="1137"/>
      <c r="AV586" s="1137"/>
      <c r="AW586" s="1138"/>
      <c r="AX586" s="1133">
        <v>4.4999999999999998E-2</v>
      </c>
      <c r="AY586" s="1135">
        <v>0.05</v>
      </c>
      <c r="AZ586" s="1135">
        <v>5.5E-2</v>
      </c>
      <c r="BA586" s="1135">
        <v>0.06</v>
      </c>
      <c r="BB586" s="1135">
        <v>6.5000000000000002E-2</v>
      </c>
      <c r="BC586" s="1135"/>
      <c r="BD586" s="1132"/>
      <c r="BE586" s="1133">
        <v>0.02</v>
      </c>
      <c r="BF586" s="1135">
        <v>2.3E-2</v>
      </c>
      <c r="BG586" s="1135">
        <v>2.5999999999999999E-2</v>
      </c>
      <c r="BH586" s="1135">
        <v>2.9000000000000001E-2</v>
      </c>
      <c r="BI586" s="1135">
        <v>3.2000000000000001E-2</v>
      </c>
      <c r="BJ586" s="1135"/>
      <c r="BK586" s="1023"/>
      <c r="BL586" s="658">
        <f t="shared" si="423"/>
        <v>32500</v>
      </c>
      <c r="BM586" s="3">
        <f t="shared" si="424"/>
        <v>42</v>
      </c>
      <c r="BN586" s="3">
        <f t="shared" si="425"/>
        <v>15</v>
      </c>
      <c r="BO586" s="3">
        <f t="shared" si="426"/>
        <v>43</v>
      </c>
    </row>
    <row r="587" spans="2:67">
      <c r="B587" s="1271" t="s">
        <v>4754</v>
      </c>
      <c r="C587" s="1069" t="s">
        <v>309</v>
      </c>
      <c r="D587" s="1069" t="s">
        <v>4755</v>
      </c>
      <c r="E587" s="1268" t="s">
        <v>126</v>
      </c>
      <c r="F587" s="1270">
        <v>584</v>
      </c>
      <c r="G587" s="1071">
        <v>13000</v>
      </c>
      <c r="H587" s="1072">
        <v>5849</v>
      </c>
      <c r="I587" s="1073">
        <v>13649</v>
      </c>
      <c r="J587" s="166">
        <f t="shared" si="414"/>
        <v>260</v>
      </c>
      <c r="K587" s="167">
        <f t="shared" si="415"/>
        <v>117</v>
      </c>
      <c r="L587" s="168">
        <f t="shared" si="416"/>
        <v>273</v>
      </c>
      <c r="M587" s="166">
        <f t="shared" si="417"/>
        <v>325</v>
      </c>
      <c r="N587" s="167">
        <f t="shared" si="418"/>
        <v>146</v>
      </c>
      <c r="O587" s="168">
        <f t="shared" si="419"/>
        <v>341</v>
      </c>
      <c r="P587" s="169">
        <f t="shared" si="420"/>
        <v>487</v>
      </c>
      <c r="Q587" s="169">
        <f t="shared" si="421"/>
        <v>219</v>
      </c>
      <c r="R587" s="169">
        <f t="shared" si="422"/>
        <v>511</v>
      </c>
      <c r="S587" s="584">
        <f t="shared" si="393"/>
        <v>3250</v>
      </c>
      <c r="T587" s="594">
        <f t="shared" si="394"/>
        <v>1462</v>
      </c>
      <c r="U587" s="595">
        <f t="shared" si="395"/>
        <v>3412</v>
      </c>
      <c r="V587" s="166">
        <f t="shared" si="396"/>
        <v>7410</v>
      </c>
      <c r="W587" s="167">
        <f t="shared" si="397"/>
        <v>3331</v>
      </c>
      <c r="X587" s="168">
        <f t="shared" si="398"/>
        <v>7777</v>
      </c>
      <c r="Y587" s="166">
        <f t="shared" si="399"/>
        <v>7897</v>
      </c>
      <c r="Z587" s="167">
        <f t="shared" si="400"/>
        <v>3988</v>
      </c>
      <c r="AA587" s="168">
        <f t="shared" si="401"/>
        <v>8799</v>
      </c>
      <c r="AB587" s="166">
        <f t="shared" si="402"/>
        <v>9358</v>
      </c>
      <c r="AC587" s="167">
        <f t="shared" si="403"/>
        <v>4207</v>
      </c>
      <c r="AD587" s="168">
        <f t="shared" si="404"/>
        <v>10332</v>
      </c>
      <c r="AE587" s="166">
        <f t="shared" si="405"/>
        <v>11306</v>
      </c>
      <c r="AF587" s="167">
        <f t="shared" si="406"/>
        <v>4645</v>
      </c>
      <c r="AG587" s="168">
        <f t="shared" si="407"/>
        <v>11354</v>
      </c>
      <c r="AH587" s="166">
        <f t="shared" si="408"/>
        <v>12280</v>
      </c>
      <c r="AI587" s="167">
        <f t="shared" si="409"/>
        <v>5521</v>
      </c>
      <c r="AJ587" s="168">
        <f t="shared" si="410"/>
        <v>12376</v>
      </c>
      <c r="AK587" s="169">
        <f t="shared" si="411"/>
        <v>13260</v>
      </c>
      <c r="AL587" s="167">
        <f t="shared" si="412"/>
        <v>5966</v>
      </c>
      <c r="AM587" s="585">
        <f t="shared" si="413"/>
        <v>13922</v>
      </c>
      <c r="AN587" s="1133">
        <v>7.0000000000000007E-2</v>
      </c>
      <c r="AO587" s="1134">
        <v>7.4999999999999997E-2</v>
      </c>
      <c r="AP587" s="1134">
        <v>0.08</v>
      </c>
      <c r="AQ587" s="1135">
        <v>8.5000000000000006E-2</v>
      </c>
      <c r="AR587" s="1132">
        <v>0.09</v>
      </c>
      <c r="AS587" s="1136"/>
      <c r="AT587" s="1137"/>
      <c r="AU587" s="1137"/>
      <c r="AV587" s="1137"/>
      <c r="AW587" s="1138"/>
      <c r="AX587" s="1133">
        <v>4.4999999999999998E-2</v>
      </c>
      <c r="AY587" s="1135">
        <v>0.05</v>
      </c>
      <c r="AZ587" s="1135">
        <v>5.5E-2</v>
      </c>
      <c r="BA587" s="1135">
        <v>0.06</v>
      </c>
      <c r="BB587" s="1135">
        <v>6.5000000000000002E-2</v>
      </c>
      <c r="BC587" s="1135"/>
      <c r="BD587" s="1132"/>
      <c r="BE587" s="1133">
        <v>0.02</v>
      </c>
      <c r="BF587" s="1135">
        <v>2.3E-2</v>
      </c>
      <c r="BG587" s="1135">
        <v>2.5999999999999999E-2</v>
      </c>
      <c r="BH587" s="1135">
        <v>2.9000000000000001E-2</v>
      </c>
      <c r="BI587" s="1135">
        <v>3.2000000000000001E-2</v>
      </c>
      <c r="BJ587" s="1135"/>
      <c r="BK587" s="1023"/>
      <c r="BL587" s="658">
        <f t="shared" si="423"/>
        <v>32500</v>
      </c>
      <c r="BM587" s="3">
        <f t="shared" si="424"/>
        <v>40</v>
      </c>
      <c r="BN587" s="3">
        <f t="shared" si="425"/>
        <v>18</v>
      </c>
      <c r="BO587" s="3">
        <f t="shared" si="426"/>
        <v>42</v>
      </c>
    </row>
    <row r="588" spans="2:67">
      <c r="B588" s="1022" t="s">
        <v>4757</v>
      </c>
      <c r="C588" s="1069" t="s">
        <v>310</v>
      </c>
      <c r="D588" s="607" t="s">
        <v>4758</v>
      </c>
      <c r="E588" s="1181" t="s">
        <v>65</v>
      </c>
      <c r="F588" s="608">
        <v>585</v>
      </c>
      <c r="G588" s="609">
        <v>7760</v>
      </c>
      <c r="H588" s="610">
        <v>5770</v>
      </c>
      <c r="I588" s="611">
        <v>6367</v>
      </c>
      <c r="J588" s="166">
        <f t="shared" si="414"/>
        <v>155</v>
      </c>
      <c r="K588" s="167">
        <f t="shared" si="415"/>
        <v>115</v>
      </c>
      <c r="L588" s="168">
        <f t="shared" si="416"/>
        <v>127</v>
      </c>
      <c r="M588" s="166">
        <f t="shared" si="417"/>
        <v>232</v>
      </c>
      <c r="N588" s="167">
        <f t="shared" si="418"/>
        <v>173</v>
      </c>
      <c r="O588" s="168">
        <f t="shared" si="419"/>
        <v>191</v>
      </c>
      <c r="P588" s="169">
        <f t="shared" si="420"/>
        <v>310</v>
      </c>
      <c r="Q588" s="169">
        <f t="shared" si="421"/>
        <v>230</v>
      </c>
      <c r="R588" s="169">
        <f t="shared" si="422"/>
        <v>254</v>
      </c>
      <c r="S588" s="584">
        <f t="shared" si="393"/>
        <v>2328</v>
      </c>
      <c r="T588" s="594">
        <f t="shared" si="394"/>
        <v>1731</v>
      </c>
      <c r="U588" s="595">
        <f t="shared" si="395"/>
        <v>1910</v>
      </c>
      <c r="V588" s="166">
        <f t="shared" si="396"/>
        <v>4803</v>
      </c>
      <c r="W588" s="167">
        <f t="shared" si="397"/>
        <v>3576</v>
      </c>
      <c r="X588" s="168">
        <f t="shared" si="398"/>
        <v>3947</v>
      </c>
      <c r="Y588" s="166">
        <f t="shared" si="399"/>
        <v>5423</v>
      </c>
      <c r="Z588" s="167">
        <f t="shared" si="400"/>
        <v>4036</v>
      </c>
      <c r="AA588" s="168">
        <f t="shared" si="401"/>
        <v>4455</v>
      </c>
      <c r="AB588" s="166">
        <f t="shared" si="402"/>
        <v>6043</v>
      </c>
      <c r="AC588" s="167">
        <f t="shared" si="403"/>
        <v>4496</v>
      </c>
      <c r="AD588" s="168">
        <f t="shared" si="404"/>
        <v>4963</v>
      </c>
      <c r="AE588" s="166">
        <f t="shared" si="405"/>
        <v>6353</v>
      </c>
      <c r="AF588" s="167">
        <f t="shared" si="406"/>
        <v>4956</v>
      </c>
      <c r="AG588" s="168">
        <f t="shared" si="407"/>
        <v>5471</v>
      </c>
      <c r="AH588" s="166">
        <f t="shared" si="408"/>
        <v>6973</v>
      </c>
      <c r="AI588" s="167">
        <f t="shared" si="409"/>
        <v>5186</v>
      </c>
      <c r="AJ588" s="168">
        <f t="shared" si="410"/>
        <v>6233</v>
      </c>
      <c r="AK588" s="169">
        <f t="shared" si="411"/>
        <v>7915</v>
      </c>
      <c r="AL588" s="167">
        <f t="shared" si="412"/>
        <v>5885</v>
      </c>
      <c r="AM588" s="585">
        <f t="shared" si="413"/>
        <v>6494</v>
      </c>
      <c r="AN588" s="1133">
        <v>0.05</v>
      </c>
      <c r="AO588" s="1134">
        <v>5.5E-2</v>
      </c>
      <c r="AP588" s="1134">
        <v>0.06</v>
      </c>
      <c r="AQ588" s="1135">
        <v>6.5000000000000002E-2</v>
      </c>
      <c r="AR588" s="1132">
        <v>7.0000000000000007E-2</v>
      </c>
      <c r="AS588" s="617"/>
      <c r="AT588" s="618"/>
      <c r="AU588" s="618"/>
      <c r="AV588" s="618"/>
      <c r="AW588" s="619"/>
      <c r="AX588" s="1133">
        <v>0.05</v>
      </c>
      <c r="AY588" s="1135">
        <v>5.5E-2</v>
      </c>
      <c r="AZ588" s="1135">
        <v>0.06</v>
      </c>
      <c r="BA588" s="1135">
        <v>6.5000000000000002E-2</v>
      </c>
      <c r="BB588" s="1135">
        <v>7.0000000000000007E-2</v>
      </c>
      <c r="BC588" s="616"/>
      <c r="BD588" s="612"/>
      <c r="BE588" s="614"/>
      <c r="BF588" s="616"/>
      <c r="BG588" s="616"/>
      <c r="BH588" s="616"/>
      <c r="BI588" s="616"/>
      <c r="BJ588" s="616"/>
      <c r="BK588" s="1023"/>
      <c r="BL588" s="658">
        <f t="shared" si="423"/>
        <v>19900</v>
      </c>
      <c r="BM588" s="3">
        <f t="shared" si="424"/>
        <v>39</v>
      </c>
      <c r="BN588" s="3">
        <f t="shared" si="425"/>
        <v>29</v>
      </c>
      <c r="BO588" s="3">
        <f t="shared" si="426"/>
        <v>32</v>
      </c>
    </row>
    <row r="589" spans="2:67">
      <c r="B589" s="1022" t="s">
        <v>4762</v>
      </c>
      <c r="C589" s="1069" t="s">
        <v>310</v>
      </c>
      <c r="D589" s="607" t="s">
        <v>4763</v>
      </c>
      <c r="E589" s="1181" t="s">
        <v>65</v>
      </c>
      <c r="F589" s="1019">
        <v>586</v>
      </c>
      <c r="G589" s="609">
        <v>6566</v>
      </c>
      <c r="H589" s="610">
        <v>4377</v>
      </c>
      <c r="I589" s="611">
        <v>8954</v>
      </c>
      <c r="J589" s="166">
        <f t="shared" si="414"/>
        <v>131</v>
      </c>
      <c r="K589" s="167">
        <f t="shared" si="415"/>
        <v>87</v>
      </c>
      <c r="L589" s="168">
        <f t="shared" si="416"/>
        <v>179</v>
      </c>
      <c r="M589" s="166">
        <f t="shared" si="417"/>
        <v>197</v>
      </c>
      <c r="N589" s="167">
        <f t="shared" si="418"/>
        <v>131</v>
      </c>
      <c r="O589" s="168">
        <f t="shared" si="419"/>
        <v>268</v>
      </c>
      <c r="P589" s="169">
        <f t="shared" si="420"/>
        <v>262</v>
      </c>
      <c r="Q589" s="169">
        <f t="shared" si="421"/>
        <v>175</v>
      </c>
      <c r="R589" s="169">
        <f t="shared" si="422"/>
        <v>358</v>
      </c>
      <c r="S589" s="584">
        <f t="shared" si="393"/>
        <v>1970</v>
      </c>
      <c r="T589" s="594">
        <f t="shared" si="394"/>
        <v>1313</v>
      </c>
      <c r="U589" s="595">
        <f t="shared" si="395"/>
        <v>2686</v>
      </c>
      <c r="V589" s="166">
        <f t="shared" si="396"/>
        <v>4071</v>
      </c>
      <c r="W589" s="167">
        <f t="shared" si="397"/>
        <v>2710</v>
      </c>
      <c r="X589" s="168">
        <f t="shared" si="398"/>
        <v>5545</v>
      </c>
      <c r="Y589" s="166">
        <f t="shared" si="399"/>
        <v>4595</v>
      </c>
      <c r="Z589" s="167">
        <f t="shared" si="400"/>
        <v>3060</v>
      </c>
      <c r="AA589" s="168">
        <f t="shared" si="401"/>
        <v>6261</v>
      </c>
      <c r="AB589" s="166">
        <f t="shared" si="402"/>
        <v>5119</v>
      </c>
      <c r="AC589" s="167">
        <f t="shared" si="403"/>
        <v>3410</v>
      </c>
      <c r="AD589" s="168">
        <f t="shared" si="404"/>
        <v>6977</v>
      </c>
      <c r="AE589" s="166">
        <f t="shared" si="405"/>
        <v>5643</v>
      </c>
      <c r="AF589" s="167">
        <f t="shared" si="406"/>
        <v>3585</v>
      </c>
      <c r="AG589" s="168">
        <f t="shared" si="407"/>
        <v>7693</v>
      </c>
      <c r="AH589" s="166">
        <f t="shared" si="408"/>
        <v>5905</v>
      </c>
      <c r="AI589" s="167">
        <f t="shared" si="409"/>
        <v>3935</v>
      </c>
      <c r="AJ589" s="168">
        <f t="shared" si="410"/>
        <v>8767</v>
      </c>
      <c r="AK589" s="169">
        <f t="shared" si="411"/>
        <v>6697</v>
      </c>
      <c r="AL589" s="167">
        <f t="shared" si="412"/>
        <v>4464</v>
      </c>
      <c r="AM589" s="585">
        <f t="shared" si="413"/>
        <v>9133</v>
      </c>
      <c r="AN589" s="614">
        <v>0.17</v>
      </c>
      <c r="AO589" s="615">
        <v>0.2</v>
      </c>
      <c r="AP589" s="615">
        <v>0.23</v>
      </c>
      <c r="AQ589" s="616">
        <v>0.26</v>
      </c>
      <c r="AR589" s="612">
        <v>0.28999999999999998</v>
      </c>
      <c r="AS589" s="617"/>
      <c r="AT589" s="618"/>
      <c r="AU589" s="618"/>
      <c r="AV589" s="618"/>
      <c r="AW589" s="619"/>
      <c r="AX589" s="1133">
        <v>0.01</v>
      </c>
      <c r="AY589" s="1135">
        <v>1.2999999999999999E-2</v>
      </c>
      <c r="AZ589" s="1135">
        <v>1.6E-2</v>
      </c>
      <c r="BA589" s="1135">
        <v>1.9E-2</v>
      </c>
      <c r="BB589" s="1135">
        <v>2.1999999999999999E-2</v>
      </c>
      <c r="BC589" s="616"/>
      <c r="BD589" s="612"/>
      <c r="BE589" s="614"/>
      <c r="BF589" s="616"/>
      <c r="BG589" s="616"/>
      <c r="BH589" s="616"/>
      <c r="BI589" s="616"/>
      <c r="BJ589" s="616"/>
      <c r="BK589" s="1023"/>
      <c r="BL589" s="658">
        <f t="shared" si="423"/>
        <v>19900</v>
      </c>
      <c r="BM589" s="3">
        <f t="shared" si="424"/>
        <v>33</v>
      </c>
      <c r="BN589" s="3">
        <f t="shared" si="425"/>
        <v>22</v>
      </c>
      <c r="BO589" s="3">
        <f t="shared" si="426"/>
        <v>45</v>
      </c>
    </row>
    <row r="590" spans="2:67">
      <c r="B590" s="1271" t="s">
        <v>4810</v>
      </c>
      <c r="C590" s="1069" t="s">
        <v>309</v>
      </c>
      <c r="D590" s="1069" t="s">
        <v>4799</v>
      </c>
      <c r="E590" s="1267" t="s">
        <v>1150</v>
      </c>
      <c r="F590" s="1070">
        <v>587</v>
      </c>
      <c r="G590" s="1071">
        <v>12349</v>
      </c>
      <c r="H590" s="1072">
        <v>6500</v>
      </c>
      <c r="I590" s="1073">
        <v>13649</v>
      </c>
      <c r="J590" s="166">
        <f t="shared" si="414"/>
        <v>247</v>
      </c>
      <c r="K590" s="167">
        <f t="shared" si="415"/>
        <v>130</v>
      </c>
      <c r="L590" s="168">
        <f t="shared" si="416"/>
        <v>273</v>
      </c>
      <c r="M590" s="166">
        <f t="shared" si="417"/>
        <v>308</v>
      </c>
      <c r="N590" s="167">
        <f t="shared" si="418"/>
        <v>162</v>
      </c>
      <c r="O590" s="168">
        <f t="shared" si="419"/>
        <v>341</v>
      </c>
      <c r="P590" s="169">
        <f t="shared" si="420"/>
        <v>463</v>
      </c>
      <c r="Q590" s="169">
        <f t="shared" si="421"/>
        <v>243</v>
      </c>
      <c r="R590" s="169">
        <f t="shared" si="422"/>
        <v>511</v>
      </c>
      <c r="S590" s="584">
        <f t="shared" si="393"/>
        <v>3087</v>
      </c>
      <c r="T590" s="594">
        <f t="shared" si="394"/>
        <v>1625</v>
      </c>
      <c r="U590" s="595">
        <f t="shared" si="395"/>
        <v>3412</v>
      </c>
      <c r="V590" s="166">
        <f t="shared" si="396"/>
        <v>7030</v>
      </c>
      <c r="W590" s="167">
        <f t="shared" si="397"/>
        <v>3699</v>
      </c>
      <c r="X590" s="168">
        <f t="shared" si="398"/>
        <v>7777</v>
      </c>
      <c r="Y590" s="166">
        <f t="shared" si="399"/>
        <v>7493</v>
      </c>
      <c r="Z590" s="167">
        <f t="shared" si="400"/>
        <v>4428</v>
      </c>
      <c r="AA590" s="168">
        <f t="shared" si="401"/>
        <v>8799</v>
      </c>
      <c r="AB590" s="166">
        <f t="shared" si="402"/>
        <v>8882</v>
      </c>
      <c r="AC590" s="167">
        <f t="shared" si="403"/>
        <v>4671</v>
      </c>
      <c r="AD590" s="168">
        <f t="shared" si="404"/>
        <v>10332</v>
      </c>
      <c r="AE590" s="166">
        <f t="shared" si="405"/>
        <v>10734</v>
      </c>
      <c r="AF590" s="167">
        <f t="shared" si="406"/>
        <v>5157</v>
      </c>
      <c r="AG590" s="168">
        <f t="shared" si="407"/>
        <v>11354</v>
      </c>
      <c r="AH590" s="166">
        <f t="shared" si="408"/>
        <v>11660</v>
      </c>
      <c r="AI590" s="167">
        <f t="shared" si="409"/>
        <v>6129</v>
      </c>
      <c r="AJ590" s="168">
        <f t="shared" si="410"/>
        <v>12376</v>
      </c>
      <c r="AK590" s="169">
        <f t="shared" si="411"/>
        <v>12596</v>
      </c>
      <c r="AL590" s="167">
        <f t="shared" si="412"/>
        <v>6630</v>
      </c>
      <c r="AM590" s="585">
        <f t="shared" si="413"/>
        <v>13922</v>
      </c>
      <c r="AN590" s="1133">
        <v>0.3</v>
      </c>
      <c r="AO590" s="1134">
        <v>0.30499999999999999</v>
      </c>
      <c r="AP590" s="1134">
        <v>0.31</v>
      </c>
      <c r="AQ590" s="1135">
        <v>0.315</v>
      </c>
      <c r="AR590" s="1132">
        <v>0.32</v>
      </c>
      <c r="AS590" s="1136"/>
      <c r="AT590" s="1137"/>
      <c r="AU590" s="1137"/>
      <c r="AV590" s="1137"/>
      <c r="AW590" s="1138"/>
      <c r="AX590" s="1133">
        <v>0.05</v>
      </c>
      <c r="AY590" s="1135">
        <v>5.5E-2</v>
      </c>
      <c r="AZ590" s="1135">
        <v>0.06</v>
      </c>
      <c r="BA590" s="1135">
        <v>6.5000000000000002E-2</v>
      </c>
      <c r="BB590" s="1135">
        <v>7.0000000000000007E-2</v>
      </c>
      <c r="BC590" s="1135"/>
      <c r="BD590" s="1132"/>
      <c r="BE590" s="1133"/>
      <c r="BF590" s="1135"/>
      <c r="BG590" s="1135"/>
      <c r="BH590" s="1135"/>
      <c r="BI590" s="1135"/>
      <c r="BJ590" s="1135"/>
      <c r="BK590" s="1023"/>
      <c r="BL590" s="658">
        <f t="shared" si="423"/>
        <v>32500</v>
      </c>
      <c r="BM590" s="3">
        <f t="shared" si="424"/>
        <v>38</v>
      </c>
      <c r="BN590" s="3">
        <f t="shared" si="425"/>
        <v>20</v>
      </c>
      <c r="BO590" s="3">
        <f t="shared" si="426"/>
        <v>42</v>
      </c>
    </row>
    <row r="591" spans="2:67">
      <c r="B591" s="1022" t="s">
        <v>4806</v>
      </c>
      <c r="C591" s="1069" t="s">
        <v>310</v>
      </c>
      <c r="D591" s="1069" t="s">
        <v>4799</v>
      </c>
      <c r="E591" s="1243" t="s">
        <v>1150</v>
      </c>
      <c r="F591" s="1019">
        <v>588</v>
      </c>
      <c r="G591" s="609">
        <v>6764</v>
      </c>
      <c r="H591" s="610">
        <v>5173</v>
      </c>
      <c r="I591" s="611">
        <v>7960</v>
      </c>
      <c r="J591" s="166">
        <f t="shared" si="414"/>
        <v>135</v>
      </c>
      <c r="K591" s="167">
        <f t="shared" si="415"/>
        <v>103</v>
      </c>
      <c r="L591" s="168">
        <f t="shared" si="416"/>
        <v>159</v>
      </c>
      <c r="M591" s="166">
        <f t="shared" si="417"/>
        <v>202</v>
      </c>
      <c r="N591" s="167">
        <f t="shared" si="418"/>
        <v>155</v>
      </c>
      <c r="O591" s="168">
        <f t="shared" si="419"/>
        <v>238</v>
      </c>
      <c r="P591" s="169">
        <f t="shared" si="420"/>
        <v>270</v>
      </c>
      <c r="Q591" s="169">
        <f t="shared" si="421"/>
        <v>206</v>
      </c>
      <c r="R591" s="169">
        <f t="shared" si="422"/>
        <v>318</v>
      </c>
      <c r="S591" s="584">
        <f t="shared" si="393"/>
        <v>2029</v>
      </c>
      <c r="T591" s="594">
        <f t="shared" si="394"/>
        <v>1552</v>
      </c>
      <c r="U591" s="595">
        <f t="shared" si="395"/>
        <v>2388</v>
      </c>
      <c r="V591" s="166">
        <f t="shared" si="396"/>
        <v>4184</v>
      </c>
      <c r="W591" s="167">
        <f t="shared" si="397"/>
        <v>3205</v>
      </c>
      <c r="X591" s="168">
        <f t="shared" si="398"/>
        <v>4927</v>
      </c>
      <c r="Y591" s="166">
        <f t="shared" si="399"/>
        <v>4724</v>
      </c>
      <c r="Z591" s="167">
        <f t="shared" si="400"/>
        <v>3617</v>
      </c>
      <c r="AA591" s="168">
        <f t="shared" si="401"/>
        <v>5563</v>
      </c>
      <c r="AB591" s="166">
        <f t="shared" si="402"/>
        <v>5264</v>
      </c>
      <c r="AC591" s="167">
        <f t="shared" si="403"/>
        <v>4029</v>
      </c>
      <c r="AD591" s="168">
        <f t="shared" si="404"/>
        <v>6199</v>
      </c>
      <c r="AE591" s="166">
        <f t="shared" si="405"/>
        <v>5804</v>
      </c>
      <c r="AF591" s="167">
        <f t="shared" si="406"/>
        <v>4441</v>
      </c>
      <c r="AG591" s="168">
        <f t="shared" si="407"/>
        <v>6517</v>
      </c>
      <c r="AH591" s="166">
        <f t="shared" si="408"/>
        <v>6074</v>
      </c>
      <c r="AI591" s="167">
        <f t="shared" si="409"/>
        <v>5059</v>
      </c>
      <c r="AJ591" s="168">
        <f t="shared" si="410"/>
        <v>7153</v>
      </c>
      <c r="AK591" s="169">
        <f t="shared" si="411"/>
        <v>6899</v>
      </c>
      <c r="AL591" s="167">
        <f t="shared" si="412"/>
        <v>5276</v>
      </c>
      <c r="AM591" s="585">
        <f t="shared" si="413"/>
        <v>8119</v>
      </c>
      <c r="AN591" s="1133">
        <v>0.05</v>
      </c>
      <c r="AO591" s="1134">
        <v>5.5E-2</v>
      </c>
      <c r="AP591" s="1134">
        <v>0.06</v>
      </c>
      <c r="AQ591" s="1135">
        <v>6.5000000000000002E-2</v>
      </c>
      <c r="AR591" s="1132">
        <v>7.0000000000000007E-2</v>
      </c>
      <c r="AS591" s="617"/>
      <c r="AT591" s="618"/>
      <c r="AU591" s="618"/>
      <c r="AV591" s="618"/>
      <c r="AW591" s="619"/>
      <c r="AX591" s="1133">
        <v>0.05</v>
      </c>
      <c r="AY591" s="1135">
        <v>5.5E-2</v>
      </c>
      <c r="AZ591" s="1135">
        <v>0.06</v>
      </c>
      <c r="BA591" s="1135">
        <v>6.5000000000000002E-2</v>
      </c>
      <c r="BB591" s="1135">
        <v>7.0000000000000007E-2</v>
      </c>
      <c r="BC591" s="616"/>
      <c r="BD591" s="612"/>
      <c r="BE591" s="614"/>
      <c r="BF591" s="616"/>
      <c r="BG591" s="616"/>
      <c r="BH591" s="616"/>
      <c r="BI591" s="616"/>
      <c r="BJ591" s="616"/>
      <c r="BK591" s="1023"/>
      <c r="BL591" s="658">
        <f t="shared" si="423"/>
        <v>19900</v>
      </c>
      <c r="BM591" s="3">
        <f t="shared" si="424"/>
        <v>34</v>
      </c>
      <c r="BN591" s="3">
        <f t="shared" si="425"/>
        <v>26</v>
      </c>
      <c r="BO591" s="3">
        <f t="shared" si="426"/>
        <v>40</v>
      </c>
    </row>
    <row r="592" spans="2:67">
      <c r="B592" s="1271" t="s">
        <v>4811</v>
      </c>
      <c r="C592" s="1069" t="s">
        <v>309</v>
      </c>
      <c r="D592" s="1069" t="s">
        <v>4802</v>
      </c>
      <c r="E592" s="1268" t="s">
        <v>1150</v>
      </c>
      <c r="F592" s="1070">
        <v>589</v>
      </c>
      <c r="G592" s="1071">
        <v>13649</v>
      </c>
      <c r="H592" s="1072">
        <v>6500</v>
      </c>
      <c r="I592" s="1073">
        <v>12349</v>
      </c>
      <c r="J592" s="166">
        <f t="shared" si="414"/>
        <v>273</v>
      </c>
      <c r="K592" s="167">
        <f t="shared" si="415"/>
        <v>130</v>
      </c>
      <c r="L592" s="168">
        <f t="shared" si="416"/>
        <v>247</v>
      </c>
      <c r="M592" s="166">
        <f t="shared" si="417"/>
        <v>341</v>
      </c>
      <c r="N592" s="167">
        <f t="shared" si="418"/>
        <v>162</v>
      </c>
      <c r="O592" s="168">
        <f t="shared" si="419"/>
        <v>308</v>
      </c>
      <c r="P592" s="169">
        <f t="shared" si="420"/>
        <v>511</v>
      </c>
      <c r="Q592" s="169">
        <f t="shared" si="421"/>
        <v>243</v>
      </c>
      <c r="R592" s="169">
        <f t="shared" si="422"/>
        <v>463</v>
      </c>
      <c r="S592" s="584">
        <f t="shared" si="393"/>
        <v>3412</v>
      </c>
      <c r="T592" s="594">
        <f t="shared" si="394"/>
        <v>1625</v>
      </c>
      <c r="U592" s="595">
        <f t="shared" si="395"/>
        <v>3087</v>
      </c>
      <c r="V592" s="166">
        <f t="shared" si="396"/>
        <v>7777</v>
      </c>
      <c r="W592" s="167">
        <f t="shared" si="397"/>
        <v>3699</v>
      </c>
      <c r="X592" s="168">
        <f t="shared" si="398"/>
        <v>7030</v>
      </c>
      <c r="Y592" s="166">
        <f t="shared" si="399"/>
        <v>8799</v>
      </c>
      <c r="Z592" s="167">
        <f t="shared" si="400"/>
        <v>3942</v>
      </c>
      <c r="AA592" s="168">
        <f t="shared" si="401"/>
        <v>8419</v>
      </c>
      <c r="AB592" s="166">
        <f t="shared" si="402"/>
        <v>10332</v>
      </c>
      <c r="AC592" s="167">
        <f t="shared" si="403"/>
        <v>4671</v>
      </c>
      <c r="AD592" s="168">
        <f t="shared" si="404"/>
        <v>8882</v>
      </c>
      <c r="AE592" s="166">
        <f t="shared" si="405"/>
        <v>11354</v>
      </c>
      <c r="AF592" s="167">
        <f t="shared" si="406"/>
        <v>5643</v>
      </c>
      <c r="AG592" s="168">
        <f t="shared" si="407"/>
        <v>9808</v>
      </c>
      <c r="AH592" s="166">
        <f t="shared" si="408"/>
        <v>12376</v>
      </c>
      <c r="AI592" s="167">
        <f t="shared" si="409"/>
        <v>6129</v>
      </c>
      <c r="AJ592" s="168">
        <f t="shared" si="410"/>
        <v>11660</v>
      </c>
      <c r="AK592" s="169">
        <f t="shared" si="411"/>
        <v>13922</v>
      </c>
      <c r="AL592" s="167">
        <f t="shared" si="412"/>
        <v>6630</v>
      </c>
      <c r="AM592" s="585">
        <f t="shared" si="413"/>
        <v>12596</v>
      </c>
      <c r="AN592" s="1133">
        <v>0.06</v>
      </c>
      <c r="AO592" s="1134">
        <v>6.3E-2</v>
      </c>
      <c r="AP592" s="1134">
        <v>6.6000000000000003E-2</v>
      </c>
      <c r="AQ592" s="1135">
        <v>6.9000000000000006E-2</v>
      </c>
      <c r="AR592" s="1132">
        <v>7.1999999999999995E-2</v>
      </c>
      <c r="AS592" s="1136"/>
      <c r="AT592" s="1137"/>
      <c r="AU592" s="1137"/>
      <c r="AV592" s="1137"/>
      <c r="AW592" s="1138"/>
      <c r="AX592" s="1133">
        <v>0.04</v>
      </c>
      <c r="AY592" s="1135">
        <v>4.2999999999999997E-2</v>
      </c>
      <c r="AZ592" s="1135">
        <v>4.5999999999999999E-2</v>
      </c>
      <c r="BA592" s="1135">
        <v>4.9000000000000002E-2</v>
      </c>
      <c r="BB592" s="1135">
        <v>5.1999999999999998E-2</v>
      </c>
      <c r="BC592" s="1135"/>
      <c r="BD592" s="1132"/>
      <c r="BE592" s="1133"/>
      <c r="BF592" s="1135"/>
      <c r="BG592" s="1135"/>
      <c r="BH592" s="1135"/>
      <c r="BI592" s="1135"/>
      <c r="BJ592" s="1135"/>
      <c r="BK592" s="1023"/>
      <c r="BL592" s="1075">
        <f t="shared" si="423"/>
        <v>32500</v>
      </c>
      <c r="BM592" s="1077">
        <f t="shared" si="424"/>
        <v>42</v>
      </c>
      <c r="BN592" s="1077">
        <f t="shared" si="425"/>
        <v>20</v>
      </c>
      <c r="BO592" s="1077">
        <f t="shared" si="426"/>
        <v>38</v>
      </c>
    </row>
    <row r="593" spans="2:67">
      <c r="B593" s="1271" t="s">
        <v>4812</v>
      </c>
      <c r="C593" s="1069" t="s">
        <v>309</v>
      </c>
      <c r="D593" s="1069" t="s">
        <v>4805</v>
      </c>
      <c r="E593" s="1243" t="s">
        <v>125</v>
      </c>
      <c r="F593" s="1270">
        <v>590</v>
      </c>
      <c r="G593" s="1071">
        <v>11000</v>
      </c>
      <c r="H593" s="1072">
        <v>5224</v>
      </c>
      <c r="I593" s="1073">
        <v>11273</v>
      </c>
      <c r="J593" s="166">
        <f t="shared" si="414"/>
        <v>220</v>
      </c>
      <c r="K593" s="167">
        <f t="shared" si="415"/>
        <v>104</v>
      </c>
      <c r="L593" s="168">
        <f t="shared" si="416"/>
        <v>225</v>
      </c>
      <c r="M593" s="166">
        <f t="shared" si="417"/>
        <v>275</v>
      </c>
      <c r="N593" s="167">
        <f t="shared" si="418"/>
        <v>130</v>
      </c>
      <c r="O593" s="168">
        <f t="shared" si="419"/>
        <v>281</v>
      </c>
      <c r="P593" s="169">
        <f t="shared" si="420"/>
        <v>412</v>
      </c>
      <c r="Q593" s="169">
        <f t="shared" si="421"/>
        <v>195</v>
      </c>
      <c r="R593" s="169">
        <f t="shared" si="422"/>
        <v>422</v>
      </c>
      <c r="S593" s="584">
        <f t="shared" si="393"/>
        <v>2750</v>
      </c>
      <c r="T593" s="594">
        <f t="shared" si="394"/>
        <v>1306</v>
      </c>
      <c r="U593" s="595">
        <f t="shared" si="395"/>
        <v>2818</v>
      </c>
      <c r="V593" s="166">
        <f t="shared" si="396"/>
        <v>6270</v>
      </c>
      <c r="W593" s="167">
        <f t="shared" si="397"/>
        <v>2970</v>
      </c>
      <c r="X593" s="168">
        <f t="shared" si="398"/>
        <v>6415</v>
      </c>
      <c r="Y593" s="166">
        <f t="shared" si="399"/>
        <v>6682</v>
      </c>
      <c r="Z593" s="167">
        <f t="shared" si="400"/>
        <v>3360</v>
      </c>
      <c r="AA593" s="168">
        <f t="shared" si="401"/>
        <v>7681</v>
      </c>
      <c r="AB593" s="166">
        <f t="shared" si="402"/>
        <v>7918</v>
      </c>
      <c r="AC593" s="167">
        <f t="shared" si="403"/>
        <v>3945</v>
      </c>
      <c r="AD593" s="168">
        <f t="shared" si="404"/>
        <v>8103</v>
      </c>
      <c r="AE593" s="166">
        <f t="shared" si="405"/>
        <v>9566</v>
      </c>
      <c r="AF593" s="167">
        <f t="shared" si="406"/>
        <v>4335</v>
      </c>
      <c r="AG593" s="168">
        <f t="shared" si="407"/>
        <v>8947</v>
      </c>
      <c r="AH593" s="166">
        <f t="shared" si="408"/>
        <v>10390</v>
      </c>
      <c r="AI593" s="167">
        <f t="shared" si="409"/>
        <v>4725</v>
      </c>
      <c r="AJ593" s="168">
        <f t="shared" si="410"/>
        <v>10635</v>
      </c>
      <c r="AK593" s="169">
        <f t="shared" si="411"/>
        <v>11220</v>
      </c>
      <c r="AL593" s="167">
        <f t="shared" si="412"/>
        <v>5328</v>
      </c>
      <c r="AM593" s="585">
        <f t="shared" si="413"/>
        <v>11498</v>
      </c>
      <c r="AN593" s="1133">
        <v>0.4</v>
      </c>
      <c r="AO593" s="1134">
        <v>0.43</v>
      </c>
      <c r="AP593" s="1134">
        <v>0.46</v>
      </c>
      <c r="AQ593" s="1135">
        <v>0.49</v>
      </c>
      <c r="AR593" s="1132">
        <v>0.52</v>
      </c>
      <c r="AS593" s="1136"/>
      <c r="AT593" s="1137"/>
      <c r="AU593" s="1137"/>
      <c r="AV593" s="1137"/>
      <c r="AW593" s="1138"/>
      <c r="AX593" s="596">
        <v>0.03</v>
      </c>
      <c r="AY593" s="598">
        <v>3.3000000000000002E-2</v>
      </c>
      <c r="AZ593" s="598">
        <v>3.5999999999999997E-2</v>
      </c>
      <c r="BA593" s="598">
        <v>3.9E-2</v>
      </c>
      <c r="BB593" s="598">
        <v>4.2000000000000003E-2</v>
      </c>
      <c r="BC593" s="1135"/>
      <c r="BD593" s="1132"/>
      <c r="BE593" s="1133"/>
      <c r="BF593" s="1135"/>
      <c r="BG593" s="1135"/>
      <c r="BH593" s="1135"/>
      <c r="BI593" s="1135"/>
      <c r="BJ593" s="1135"/>
      <c r="BK593" s="1023"/>
      <c r="BL593" s="1075">
        <f t="shared" si="423"/>
        <v>27500</v>
      </c>
      <c r="BM593" s="1077">
        <f t="shared" si="424"/>
        <v>40</v>
      </c>
      <c r="BN593" s="1077">
        <f t="shared" si="425"/>
        <v>19</v>
      </c>
      <c r="BO593" s="1077">
        <f t="shared" si="426"/>
        <v>41</v>
      </c>
    </row>
    <row r="594" spans="2:67">
      <c r="B594" s="1022" t="s">
        <v>4807</v>
      </c>
      <c r="C594" s="1069" t="s">
        <v>310</v>
      </c>
      <c r="D594" s="1069" t="s">
        <v>4805</v>
      </c>
      <c r="E594" s="1243" t="s">
        <v>125</v>
      </c>
      <c r="F594" s="608">
        <v>591</v>
      </c>
      <c r="G594" s="609">
        <v>5576</v>
      </c>
      <c r="H594" s="610">
        <v>5070</v>
      </c>
      <c r="I594" s="611">
        <v>6251</v>
      </c>
      <c r="J594" s="166">
        <f t="shared" si="414"/>
        <v>111</v>
      </c>
      <c r="K594" s="167">
        <f t="shared" si="415"/>
        <v>101</v>
      </c>
      <c r="L594" s="168">
        <f t="shared" si="416"/>
        <v>125</v>
      </c>
      <c r="M594" s="166">
        <f t="shared" si="417"/>
        <v>167</v>
      </c>
      <c r="N594" s="167">
        <f t="shared" si="418"/>
        <v>152</v>
      </c>
      <c r="O594" s="168">
        <f t="shared" si="419"/>
        <v>187</v>
      </c>
      <c r="P594" s="169">
        <f t="shared" si="420"/>
        <v>223</v>
      </c>
      <c r="Q594" s="169">
        <f t="shared" si="421"/>
        <v>202</v>
      </c>
      <c r="R594" s="169">
        <f t="shared" si="422"/>
        <v>250</v>
      </c>
      <c r="S594" s="584">
        <f t="shared" si="393"/>
        <v>1673</v>
      </c>
      <c r="T594" s="594">
        <f t="shared" si="394"/>
        <v>1521</v>
      </c>
      <c r="U594" s="595">
        <f t="shared" si="395"/>
        <v>1875</v>
      </c>
      <c r="V594" s="166">
        <f t="shared" si="396"/>
        <v>3454</v>
      </c>
      <c r="W594" s="167">
        <f t="shared" si="397"/>
        <v>3142</v>
      </c>
      <c r="X594" s="168">
        <f t="shared" si="398"/>
        <v>3870</v>
      </c>
      <c r="Y594" s="166">
        <f t="shared" si="399"/>
        <v>3900</v>
      </c>
      <c r="Z594" s="167">
        <f t="shared" si="400"/>
        <v>3546</v>
      </c>
      <c r="AA594" s="168">
        <f t="shared" si="401"/>
        <v>4370</v>
      </c>
      <c r="AB594" s="166">
        <f t="shared" si="402"/>
        <v>4346</v>
      </c>
      <c r="AC594" s="167">
        <f t="shared" si="403"/>
        <v>3950</v>
      </c>
      <c r="AD594" s="168">
        <f t="shared" si="404"/>
        <v>4870</v>
      </c>
      <c r="AE594" s="166">
        <f t="shared" si="405"/>
        <v>4792</v>
      </c>
      <c r="AF594" s="167">
        <f t="shared" si="406"/>
        <v>4152</v>
      </c>
      <c r="AG594" s="168">
        <f t="shared" si="407"/>
        <v>5370</v>
      </c>
      <c r="AH594" s="166">
        <f t="shared" si="408"/>
        <v>5015</v>
      </c>
      <c r="AI594" s="167">
        <f t="shared" si="409"/>
        <v>4556</v>
      </c>
      <c r="AJ594" s="168">
        <f t="shared" si="410"/>
        <v>6120</v>
      </c>
      <c r="AK594" s="169">
        <f t="shared" si="411"/>
        <v>5687</v>
      </c>
      <c r="AL594" s="167">
        <f t="shared" si="412"/>
        <v>5171</v>
      </c>
      <c r="AM594" s="585">
        <f t="shared" si="413"/>
        <v>6376</v>
      </c>
      <c r="AN594" s="1133">
        <v>0.15</v>
      </c>
      <c r="AO594" s="1134">
        <v>0.18</v>
      </c>
      <c r="AP594" s="1134">
        <v>0.21</v>
      </c>
      <c r="AQ594" s="1135">
        <v>0.24</v>
      </c>
      <c r="AR594" s="1132">
        <v>0.27</v>
      </c>
      <c r="AS594" s="617"/>
      <c r="AT594" s="618"/>
      <c r="AU594" s="618"/>
      <c r="AV594" s="618"/>
      <c r="AW594" s="619"/>
      <c r="AX594" s="1133">
        <v>0.05</v>
      </c>
      <c r="AY594" s="1135">
        <v>5.5E-2</v>
      </c>
      <c r="AZ594" s="1135">
        <v>0.06</v>
      </c>
      <c r="BA594" s="1135">
        <v>6.5000000000000002E-2</v>
      </c>
      <c r="BB594" s="1135">
        <v>7.0000000000000007E-2</v>
      </c>
      <c r="BC594" s="616"/>
      <c r="BD594" s="612"/>
      <c r="BE594" s="614"/>
      <c r="BF594" s="616"/>
      <c r="BG594" s="616"/>
      <c r="BH594" s="616"/>
      <c r="BI594" s="616"/>
      <c r="BJ594" s="616"/>
      <c r="BK594" s="1023"/>
      <c r="BL594" s="658">
        <f t="shared" si="423"/>
        <v>16900</v>
      </c>
      <c r="BM594" s="3">
        <f t="shared" si="424"/>
        <v>33</v>
      </c>
      <c r="BN594" s="3">
        <f t="shared" si="425"/>
        <v>30</v>
      </c>
      <c r="BO594" s="3">
        <f t="shared" si="426"/>
        <v>37</v>
      </c>
    </row>
    <row r="595" spans="2:67">
      <c r="B595" s="1022" t="s">
        <v>4809</v>
      </c>
      <c r="C595" s="1069" t="s">
        <v>310</v>
      </c>
      <c r="D595" s="1069" t="s">
        <v>4808</v>
      </c>
      <c r="E595" s="1244" t="s">
        <v>125</v>
      </c>
      <c r="F595" s="1019">
        <v>592</v>
      </c>
      <c r="G595" s="609">
        <v>4900</v>
      </c>
      <c r="H595" s="610">
        <v>6760</v>
      </c>
      <c r="I595" s="611">
        <v>5237</v>
      </c>
      <c r="J595" s="166">
        <f t="shared" si="414"/>
        <v>98</v>
      </c>
      <c r="K595" s="167">
        <f t="shared" si="415"/>
        <v>135</v>
      </c>
      <c r="L595" s="168">
        <f t="shared" si="416"/>
        <v>104</v>
      </c>
      <c r="M595" s="166">
        <f t="shared" si="417"/>
        <v>147</v>
      </c>
      <c r="N595" s="167">
        <f t="shared" si="418"/>
        <v>202</v>
      </c>
      <c r="O595" s="168">
        <f t="shared" si="419"/>
        <v>157</v>
      </c>
      <c r="P595" s="169">
        <f t="shared" si="420"/>
        <v>196</v>
      </c>
      <c r="Q595" s="169">
        <f t="shared" si="421"/>
        <v>270</v>
      </c>
      <c r="R595" s="169">
        <f t="shared" si="422"/>
        <v>209</v>
      </c>
      <c r="S595" s="584">
        <f t="shared" si="393"/>
        <v>1470</v>
      </c>
      <c r="T595" s="594">
        <f t="shared" si="394"/>
        <v>2028</v>
      </c>
      <c r="U595" s="595">
        <f t="shared" si="395"/>
        <v>1571</v>
      </c>
      <c r="V595" s="166">
        <f t="shared" si="396"/>
        <v>3038</v>
      </c>
      <c r="W595" s="167">
        <f t="shared" si="397"/>
        <v>4183</v>
      </c>
      <c r="X595" s="168">
        <f t="shared" si="398"/>
        <v>3245</v>
      </c>
      <c r="Y595" s="166">
        <f t="shared" si="399"/>
        <v>3430</v>
      </c>
      <c r="Z595" s="167">
        <f t="shared" si="400"/>
        <v>4723</v>
      </c>
      <c r="AA595" s="168">
        <f t="shared" si="401"/>
        <v>3663</v>
      </c>
      <c r="AB595" s="166">
        <f t="shared" si="402"/>
        <v>3822</v>
      </c>
      <c r="AC595" s="167">
        <f t="shared" si="403"/>
        <v>5263</v>
      </c>
      <c r="AD595" s="168">
        <f t="shared" si="404"/>
        <v>4081</v>
      </c>
      <c r="AE595" s="166">
        <f t="shared" si="405"/>
        <v>4214</v>
      </c>
      <c r="AF595" s="167">
        <f t="shared" si="406"/>
        <v>5533</v>
      </c>
      <c r="AG595" s="168">
        <f t="shared" si="407"/>
        <v>4499</v>
      </c>
      <c r="AH595" s="166">
        <f t="shared" si="408"/>
        <v>4802</v>
      </c>
      <c r="AI595" s="167">
        <f t="shared" si="409"/>
        <v>6073</v>
      </c>
      <c r="AJ595" s="168">
        <f t="shared" si="410"/>
        <v>4708</v>
      </c>
      <c r="AK595" s="169">
        <f t="shared" si="411"/>
        <v>4998</v>
      </c>
      <c r="AL595" s="167">
        <f t="shared" si="412"/>
        <v>6895</v>
      </c>
      <c r="AM595" s="585">
        <f t="shared" si="413"/>
        <v>5341</v>
      </c>
      <c r="AN595" s="1133">
        <v>0.15</v>
      </c>
      <c r="AO595" s="1134">
        <v>0.18</v>
      </c>
      <c r="AP595" s="1134">
        <v>0.21</v>
      </c>
      <c r="AQ595" s="1135">
        <v>0.24</v>
      </c>
      <c r="AR595" s="1132">
        <v>0.27</v>
      </c>
      <c r="AS595" s="617"/>
      <c r="AT595" s="618"/>
      <c r="AU595" s="618"/>
      <c r="AV595" s="618"/>
      <c r="AW595" s="619"/>
      <c r="AX595" s="1133">
        <v>0.02</v>
      </c>
      <c r="AY595" s="1135">
        <v>2.3E-2</v>
      </c>
      <c r="AZ595" s="1135">
        <v>2.5999999999999999E-2</v>
      </c>
      <c r="BA595" s="1135">
        <v>2.9000000000000001E-2</v>
      </c>
      <c r="BB595" s="1135">
        <v>3.2000000000000001E-2</v>
      </c>
      <c r="BC595" s="616"/>
      <c r="BD595" s="612"/>
      <c r="BE595" s="614"/>
      <c r="BF595" s="616"/>
      <c r="BG595" s="616"/>
      <c r="BH595" s="616"/>
      <c r="BI595" s="616"/>
      <c r="BJ595" s="616"/>
      <c r="BK595" s="1023"/>
      <c r="BL595" s="658">
        <f t="shared" si="423"/>
        <v>16900</v>
      </c>
      <c r="BM595" s="3">
        <f t="shared" si="424"/>
        <v>29</v>
      </c>
      <c r="BN595" s="3">
        <f t="shared" si="425"/>
        <v>40</v>
      </c>
      <c r="BO595" s="3">
        <f t="shared" si="426"/>
        <v>31</v>
      </c>
    </row>
    <row r="596" spans="2:67">
      <c r="B596" s="1022" t="s">
        <v>4824</v>
      </c>
      <c r="C596" s="1069" t="s">
        <v>309</v>
      </c>
      <c r="D596" s="1069" t="s">
        <v>356</v>
      </c>
      <c r="E596" s="1268" t="s">
        <v>2115</v>
      </c>
      <c r="F596" s="1070">
        <v>593</v>
      </c>
      <c r="G596" s="609">
        <v>12024</v>
      </c>
      <c r="H596" s="610">
        <v>5849</v>
      </c>
      <c r="I596" s="611">
        <v>14624</v>
      </c>
      <c r="J596" s="166">
        <f t="shared" si="414"/>
        <v>240</v>
      </c>
      <c r="K596" s="167">
        <f t="shared" si="415"/>
        <v>117</v>
      </c>
      <c r="L596" s="168">
        <f t="shared" si="416"/>
        <v>292</v>
      </c>
      <c r="M596" s="166">
        <f t="shared" si="417"/>
        <v>325</v>
      </c>
      <c r="N596" s="167">
        <f t="shared" si="418"/>
        <v>158</v>
      </c>
      <c r="O596" s="168">
        <f t="shared" si="419"/>
        <v>396</v>
      </c>
      <c r="P596" s="169">
        <f t="shared" si="420"/>
        <v>526</v>
      </c>
      <c r="Q596" s="169">
        <f t="shared" si="421"/>
        <v>255</v>
      </c>
      <c r="R596" s="169">
        <f t="shared" si="422"/>
        <v>639</v>
      </c>
      <c r="S596" s="584">
        <f t="shared" si="393"/>
        <v>3006</v>
      </c>
      <c r="T596" s="594">
        <f t="shared" si="394"/>
        <v>1462</v>
      </c>
      <c r="U596" s="595">
        <f t="shared" si="395"/>
        <v>3656</v>
      </c>
      <c r="V596" s="166">
        <f t="shared" si="396"/>
        <v>9096</v>
      </c>
      <c r="W596" s="167">
        <f t="shared" si="397"/>
        <v>4423</v>
      </c>
      <c r="X596" s="168">
        <f t="shared" si="398"/>
        <v>11076</v>
      </c>
      <c r="Y596" s="166">
        <f t="shared" si="399"/>
        <v>10148</v>
      </c>
      <c r="Z596" s="167">
        <f t="shared" si="400"/>
        <v>4933</v>
      </c>
      <c r="AA596" s="168">
        <f t="shared" si="401"/>
        <v>11715</v>
      </c>
      <c r="AB596" s="166">
        <f t="shared" si="402"/>
        <v>10674</v>
      </c>
      <c r="AC596" s="167">
        <f t="shared" si="403"/>
        <v>4933</v>
      </c>
      <c r="AD596" s="168">
        <f t="shared" si="404"/>
        <v>12354</v>
      </c>
      <c r="AE596" s="166">
        <f t="shared" si="405"/>
        <v>10674</v>
      </c>
      <c r="AF596" s="167">
        <f t="shared" si="406"/>
        <v>5188</v>
      </c>
      <c r="AG596" s="168">
        <f t="shared" si="407"/>
        <v>12993</v>
      </c>
      <c r="AH596" s="166">
        <f t="shared" si="408"/>
        <v>11200</v>
      </c>
      <c r="AI596" s="167">
        <f t="shared" si="409"/>
        <v>5443</v>
      </c>
      <c r="AJ596" s="168">
        <f t="shared" si="410"/>
        <v>13632</v>
      </c>
      <c r="AK596" s="169">
        <f t="shared" si="411"/>
        <v>12264</v>
      </c>
      <c r="AL596" s="167">
        <f t="shared" si="412"/>
        <v>5966</v>
      </c>
      <c r="AM596" s="585">
        <f t="shared" si="413"/>
        <v>14916</v>
      </c>
      <c r="AN596" s="1133">
        <v>0.2</v>
      </c>
      <c r="AO596" s="1134">
        <v>0.23</v>
      </c>
      <c r="AP596" s="1134">
        <v>0.26</v>
      </c>
      <c r="AQ596" s="1135">
        <v>0.28999999999999998</v>
      </c>
      <c r="AR596" s="1132">
        <v>0.32</v>
      </c>
      <c r="AS596" s="1136"/>
      <c r="AT596" s="1137"/>
      <c r="AU596" s="1137"/>
      <c r="AV596" s="1137"/>
      <c r="AW596" s="1138"/>
      <c r="AX596" s="1133">
        <v>3.4000000000000002E-2</v>
      </c>
      <c r="AY596" s="1135">
        <v>3.6999999999999998E-2</v>
      </c>
      <c r="AZ596" s="1135">
        <v>0.04</v>
      </c>
      <c r="BA596" s="1135">
        <v>4.2999999999999997E-2</v>
      </c>
      <c r="BB596" s="1135">
        <v>4.5999999999999999E-2</v>
      </c>
      <c r="BC596" s="1135">
        <v>4.9000000000000002E-2</v>
      </c>
      <c r="BD596" s="1132">
        <v>5.1999999999999998E-2</v>
      </c>
      <c r="BE596" s="596">
        <v>1.7000000000000001E-2</v>
      </c>
      <c r="BF596" s="598">
        <v>1.8499999999999999E-2</v>
      </c>
      <c r="BG596" s="598">
        <v>0.02</v>
      </c>
      <c r="BH596" s="598">
        <v>2.1499999999999998E-2</v>
      </c>
      <c r="BI596" s="598">
        <v>2.3E-2</v>
      </c>
      <c r="BJ596" s="598">
        <v>2.4500000000000001E-2</v>
      </c>
      <c r="BK596" s="605">
        <v>2.5999999999999999E-2</v>
      </c>
      <c r="BL596" s="658">
        <f t="shared" si="423"/>
        <v>32500</v>
      </c>
      <c r="BM596" s="3">
        <f t="shared" si="424"/>
        <v>37</v>
      </c>
      <c r="BN596" s="3">
        <f t="shared" si="425"/>
        <v>18</v>
      </c>
      <c r="BO596" s="3">
        <f t="shared" si="426"/>
        <v>45</v>
      </c>
    </row>
    <row r="597" spans="2:67">
      <c r="B597" s="1022" t="s">
        <v>4828</v>
      </c>
      <c r="C597" s="1069" t="s">
        <v>310</v>
      </c>
      <c r="D597" s="1069" t="s">
        <v>358</v>
      </c>
      <c r="E597" s="1249" t="s">
        <v>1150</v>
      </c>
      <c r="F597" s="1019">
        <v>594</v>
      </c>
      <c r="G597" s="609">
        <v>7760</v>
      </c>
      <c r="H597" s="610">
        <v>6167</v>
      </c>
      <c r="I597" s="611">
        <v>5970</v>
      </c>
      <c r="J597" s="166">
        <f t="shared" si="414"/>
        <v>155</v>
      </c>
      <c r="K597" s="167">
        <f t="shared" si="415"/>
        <v>123</v>
      </c>
      <c r="L597" s="168">
        <f t="shared" si="416"/>
        <v>119</v>
      </c>
      <c r="M597" s="166">
        <f t="shared" si="417"/>
        <v>232</v>
      </c>
      <c r="N597" s="167">
        <f t="shared" si="418"/>
        <v>185</v>
      </c>
      <c r="O597" s="168">
        <f t="shared" si="419"/>
        <v>179</v>
      </c>
      <c r="P597" s="169">
        <f t="shared" si="420"/>
        <v>310</v>
      </c>
      <c r="Q597" s="169">
        <f t="shared" si="421"/>
        <v>246</v>
      </c>
      <c r="R597" s="169">
        <f t="shared" si="422"/>
        <v>238</v>
      </c>
      <c r="S597" s="584">
        <f t="shared" si="393"/>
        <v>2328</v>
      </c>
      <c r="T597" s="594">
        <f t="shared" si="394"/>
        <v>1850</v>
      </c>
      <c r="U597" s="595">
        <f t="shared" si="395"/>
        <v>1791</v>
      </c>
      <c r="V597" s="166">
        <f t="shared" si="396"/>
        <v>4803</v>
      </c>
      <c r="W597" s="167">
        <f t="shared" si="397"/>
        <v>3823</v>
      </c>
      <c r="X597" s="168">
        <f t="shared" si="398"/>
        <v>3700</v>
      </c>
      <c r="Y597" s="166">
        <f t="shared" si="399"/>
        <v>5423</v>
      </c>
      <c r="Z597" s="167">
        <f t="shared" si="400"/>
        <v>4315</v>
      </c>
      <c r="AA597" s="168">
        <f t="shared" si="401"/>
        <v>4176</v>
      </c>
      <c r="AB597" s="166">
        <f t="shared" si="402"/>
        <v>6043</v>
      </c>
      <c r="AC597" s="167">
        <f t="shared" si="403"/>
        <v>4807</v>
      </c>
      <c r="AD597" s="168">
        <f t="shared" si="404"/>
        <v>4652</v>
      </c>
      <c r="AE597" s="166">
        <f t="shared" si="405"/>
        <v>6353</v>
      </c>
      <c r="AF597" s="167">
        <f t="shared" si="406"/>
        <v>5299</v>
      </c>
      <c r="AG597" s="168">
        <f t="shared" si="407"/>
        <v>5128</v>
      </c>
      <c r="AH597" s="166">
        <f t="shared" si="408"/>
        <v>6973</v>
      </c>
      <c r="AI597" s="167">
        <f t="shared" si="409"/>
        <v>5545</v>
      </c>
      <c r="AJ597" s="168">
        <f t="shared" si="410"/>
        <v>5842</v>
      </c>
      <c r="AK597" s="169">
        <f t="shared" si="411"/>
        <v>7915</v>
      </c>
      <c r="AL597" s="167">
        <f t="shared" si="412"/>
        <v>6290</v>
      </c>
      <c r="AM597" s="585">
        <f t="shared" si="413"/>
        <v>6089</v>
      </c>
      <c r="AN597" s="1133">
        <v>0.04</v>
      </c>
      <c r="AO597" s="1134">
        <v>4.2999999999999997E-2</v>
      </c>
      <c r="AP597" s="1134">
        <v>4.5999999999999999E-2</v>
      </c>
      <c r="AQ597" s="1135">
        <v>4.9000000000000002E-2</v>
      </c>
      <c r="AR597" s="1132">
        <v>5.1999999999999998E-2</v>
      </c>
      <c r="AS597" s="617"/>
      <c r="AT597" s="618"/>
      <c r="AU597" s="618"/>
      <c r="AV597" s="618"/>
      <c r="AW597" s="619"/>
      <c r="AX597" s="1133">
        <v>0.02</v>
      </c>
      <c r="AY597" s="1135">
        <v>2.3E-2</v>
      </c>
      <c r="AZ597" s="1135">
        <v>2.5999999999999999E-2</v>
      </c>
      <c r="BA597" s="1135">
        <v>2.9000000000000001E-2</v>
      </c>
      <c r="BB597" s="1135">
        <v>3.2000000000000001E-2</v>
      </c>
      <c r="BC597" s="616"/>
      <c r="BD597" s="612"/>
      <c r="BE597" s="614"/>
      <c r="BF597" s="616"/>
      <c r="BG597" s="616"/>
      <c r="BH597" s="616"/>
      <c r="BI597" s="616"/>
      <c r="BJ597" s="616"/>
      <c r="BK597" s="1023"/>
      <c r="BL597" s="658">
        <f t="shared" si="423"/>
        <v>19900</v>
      </c>
      <c r="BM597" s="3">
        <f t="shared" si="424"/>
        <v>39</v>
      </c>
      <c r="BN597" s="3">
        <f t="shared" si="425"/>
        <v>31</v>
      </c>
      <c r="BO597" s="3">
        <f t="shared" si="426"/>
        <v>30</v>
      </c>
    </row>
    <row r="598" spans="2:67">
      <c r="B598" s="1271" t="s">
        <v>4842</v>
      </c>
      <c r="C598" s="1069" t="s">
        <v>309</v>
      </c>
      <c r="D598" s="1069" t="s">
        <v>4843</v>
      </c>
      <c r="E598" s="1255" t="s">
        <v>1150</v>
      </c>
      <c r="F598" s="1070">
        <v>595</v>
      </c>
      <c r="G598" s="1071">
        <v>13000</v>
      </c>
      <c r="H598" s="1072">
        <v>6173</v>
      </c>
      <c r="I598" s="1073">
        <v>13324</v>
      </c>
      <c r="J598" s="166">
        <f t="shared" si="414"/>
        <v>260</v>
      </c>
      <c r="K598" s="167">
        <f t="shared" si="415"/>
        <v>123</v>
      </c>
      <c r="L598" s="168">
        <f t="shared" si="416"/>
        <v>266</v>
      </c>
      <c r="M598" s="166">
        <f t="shared" si="417"/>
        <v>325</v>
      </c>
      <c r="N598" s="167">
        <f t="shared" si="418"/>
        <v>154</v>
      </c>
      <c r="O598" s="168">
        <f t="shared" si="419"/>
        <v>333</v>
      </c>
      <c r="P598" s="169">
        <f t="shared" si="420"/>
        <v>487</v>
      </c>
      <c r="Q598" s="169">
        <f t="shared" si="421"/>
        <v>231</v>
      </c>
      <c r="R598" s="169">
        <f t="shared" si="422"/>
        <v>499</v>
      </c>
      <c r="S598" s="584">
        <f t="shared" si="393"/>
        <v>3250</v>
      </c>
      <c r="T598" s="594">
        <f t="shared" si="394"/>
        <v>1543</v>
      </c>
      <c r="U598" s="595">
        <f t="shared" si="395"/>
        <v>3331</v>
      </c>
      <c r="V598" s="166">
        <f t="shared" si="396"/>
        <v>7410</v>
      </c>
      <c r="W598" s="167">
        <f t="shared" si="397"/>
        <v>3514</v>
      </c>
      <c r="X598" s="168">
        <f t="shared" si="398"/>
        <v>7593</v>
      </c>
      <c r="Y598" s="166">
        <f t="shared" si="399"/>
        <v>7897</v>
      </c>
      <c r="Z598" s="167">
        <f t="shared" si="400"/>
        <v>3976</v>
      </c>
      <c r="AA598" s="168">
        <f t="shared" si="401"/>
        <v>9090</v>
      </c>
      <c r="AB598" s="166">
        <f t="shared" si="402"/>
        <v>9358</v>
      </c>
      <c r="AC598" s="167">
        <f t="shared" si="403"/>
        <v>4669</v>
      </c>
      <c r="AD598" s="168">
        <f t="shared" si="404"/>
        <v>9589</v>
      </c>
      <c r="AE598" s="166">
        <f t="shared" si="405"/>
        <v>11306</v>
      </c>
      <c r="AF598" s="167">
        <f t="shared" si="406"/>
        <v>5131</v>
      </c>
      <c r="AG598" s="168">
        <f t="shared" si="407"/>
        <v>10587</v>
      </c>
      <c r="AH598" s="166">
        <f t="shared" si="408"/>
        <v>12280</v>
      </c>
      <c r="AI598" s="167">
        <f t="shared" si="409"/>
        <v>5593</v>
      </c>
      <c r="AJ598" s="168">
        <f t="shared" si="410"/>
        <v>12583</v>
      </c>
      <c r="AK598" s="169">
        <f t="shared" si="411"/>
        <v>13260</v>
      </c>
      <c r="AL598" s="167">
        <f t="shared" si="412"/>
        <v>6296</v>
      </c>
      <c r="AM598" s="585">
        <f t="shared" si="413"/>
        <v>13590</v>
      </c>
      <c r="AN598" s="1133">
        <v>0.1</v>
      </c>
      <c r="AO598" s="1134">
        <v>0.105</v>
      </c>
      <c r="AP598" s="1134">
        <v>0.11</v>
      </c>
      <c r="AQ598" s="1135">
        <v>0.115</v>
      </c>
      <c r="AR598" s="1132">
        <v>0.12</v>
      </c>
      <c r="AS598" s="1136"/>
      <c r="AT598" s="1137"/>
      <c r="AU598" s="1137"/>
      <c r="AV598" s="1137"/>
      <c r="AW598" s="1138"/>
      <c r="AX598" s="1133">
        <v>0.04</v>
      </c>
      <c r="AY598" s="1135">
        <v>4.2999999999999997E-2</v>
      </c>
      <c r="AZ598" s="1135">
        <v>4.5999999999999999E-2</v>
      </c>
      <c r="BA598" s="1135">
        <v>4.9000000000000002E-2</v>
      </c>
      <c r="BB598" s="1135">
        <v>5.1999999999999998E-2</v>
      </c>
      <c r="BC598" s="1135"/>
      <c r="BD598" s="1132"/>
      <c r="BE598" s="1133"/>
      <c r="BF598" s="1135"/>
      <c r="BG598" s="1135"/>
      <c r="BH598" s="1135"/>
      <c r="BI598" s="1135"/>
      <c r="BJ598" s="1135"/>
      <c r="BK598" s="1023"/>
      <c r="BL598" s="658">
        <f t="shared" si="423"/>
        <v>32500</v>
      </c>
      <c r="BM598" s="3">
        <f t="shared" si="424"/>
        <v>40</v>
      </c>
      <c r="BN598" s="3">
        <f t="shared" si="425"/>
        <v>19</v>
      </c>
      <c r="BO598" s="3">
        <f t="shared" si="426"/>
        <v>41</v>
      </c>
    </row>
    <row r="599" spans="2:67">
      <c r="B599" s="1022" t="s">
        <v>4846</v>
      </c>
      <c r="C599" s="1069" t="s">
        <v>310</v>
      </c>
      <c r="D599" s="607" t="s">
        <v>4847</v>
      </c>
      <c r="E599" s="1255" t="s">
        <v>1150</v>
      </c>
      <c r="F599" s="1019">
        <v>596</v>
      </c>
      <c r="G599" s="609">
        <v>6167</v>
      </c>
      <c r="H599" s="610">
        <v>5570</v>
      </c>
      <c r="I599" s="611">
        <v>8157</v>
      </c>
      <c r="J599" s="166">
        <f t="shared" si="414"/>
        <v>123</v>
      </c>
      <c r="K599" s="167">
        <f t="shared" si="415"/>
        <v>111</v>
      </c>
      <c r="L599" s="168">
        <f t="shared" si="416"/>
        <v>163</v>
      </c>
      <c r="M599" s="166">
        <f t="shared" si="417"/>
        <v>185</v>
      </c>
      <c r="N599" s="167">
        <f t="shared" si="418"/>
        <v>167</v>
      </c>
      <c r="O599" s="168">
        <f t="shared" si="419"/>
        <v>244</v>
      </c>
      <c r="P599" s="169">
        <f t="shared" si="420"/>
        <v>246</v>
      </c>
      <c r="Q599" s="169">
        <f t="shared" si="421"/>
        <v>222</v>
      </c>
      <c r="R599" s="169">
        <f t="shared" si="422"/>
        <v>326</v>
      </c>
      <c r="S599" s="584">
        <f t="shared" si="393"/>
        <v>1850</v>
      </c>
      <c r="T599" s="594">
        <f t="shared" si="394"/>
        <v>1671</v>
      </c>
      <c r="U599" s="595">
        <f t="shared" si="395"/>
        <v>2447</v>
      </c>
      <c r="V599" s="166">
        <f t="shared" si="396"/>
        <v>3823</v>
      </c>
      <c r="W599" s="167">
        <f t="shared" si="397"/>
        <v>3452</v>
      </c>
      <c r="X599" s="168">
        <f t="shared" si="398"/>
        <v>5050</v>
      </c>
      <c r="Y599" s="166">
        <f t="shared" si="399"/>
        <v>4315</v>
      </c>
      <c r="Z599" s="167">
        <f t="shared" si="400"/>
        <v>3896</v>
      </c>
      <c r="AA599" s="168">
        <f t="shared" si="401"/>
        <v>5702</v>
      </c>
      <c r="AB599" s="166">
        <f t="shared" si="402"/>
        <v>4807</v>
      </c>
      <c r="AC599" s="167">
        <f t="shared" si="403"/>
        <v>4340</v>
      </c>
      <c r="AD599" s="168">
        <f t="shared" si="404"/>
        <v>6354</v>
      </c>
      <c r="AE599" s="166">
        <f t="shared" si="405"/>
        <v>5299</v>
      </c>
      <c r="AF599" s="167">
        <f t="shared" si="406"/>
        <v>4784</v>
      </c>
      <c r="AG599" s="168">
        <f t="shared" si="407"/>
        <v>6680</v>
      </c>
      <c r="AH599" s="166">
        <f t="shared" si="408"/>
        <v>5545</v>
      </c>
      <c r="AI599" s="167">
        <f t="shared" si="409"/>
        <v>5450</v>
      </c>
      <c r="AJ599" s="168">
        <f t="shared" si="410"/>
        <v>7332</v>
      </c>
      <c r="AK599" s="169">
        <f t="shared" si="411"/>
        <v>6290</v>
      </c>
      <c r="AL599" s="167">
        <f t="shared" si="412"/>
        <v>5681</v>
      </c>
      <c r="AM599" s="585">
        <f t="shared" si="413"/>
        <v>8320</v>
      </c>
      <c r="AN599" s="1133">
        <v>0.2</v>
      </c>
      <c r="AO599" s="1134">
        <v>0.20499999999999999</v>
      </c>
      <c r="AP599" s="1134">
        <v>0.21</v>
      </c>
      <c r="AQ599" s="1135">
        <v>0.215</v>
      </c>
      <c r="AR599" s="1132">
        <v>0.22</v>
      </c>
      <c r="AS599" s="617"/>
      <c r="AT599" s="618"/>
      <c r="AU599" s="618"/>
      <c r="AV599" s="618"/>
      <c r="AW599" s="619"/>
      <c r="AX599" s="1133">
        <v>0.03</v>
      </c>
      <c r="AY599" s="1135">
        <v>3.5000000000000003E-2</v>
      </c>
      <c r="AZ599" s="1135">
        <v>0.04</v>
      </c>
      <c r="BA599" s="1135">
        <v>4.4999999999999998E-2</v>
      </c>
      <c r="BB599" s="1135">
        <v>0.05</v>
      </c>
      <c r="BC599" s="616"/>
      <c r="BD599" s="612"/>
      <c r="BE599" s="614"/>
      <c r="BF599" s="616"/>
      <c r="BG599" s="616"/>
      <c r="BH599" s="616"/>
      <c r="BI599" s="616"/>
      <c r="BJ599" s="616"/>
      <c r="BK599" s="1023"/>
      <c r="BL599" s="658">
        <f t="shared" si="423"/>
        <v>19900</v>
      </c>
      <c r="BM599" s="3">
        <f t="shared" si="424"/>
        <v>31</v>
      </c>
      <c r="BN599" s="3">
        <f t="shared" si="425"/>
        <v>28</v>
      </c>
      <c r="BO599" s="3">
        <f t="shared" si="426"/>
        <v>41</v>
      </c>
    </row>
    <row r="600" spans="2:67">
      <c r="B600" s="1271" t="s">
        <v>4850</v>
      </c>
      <c r="C600" s="1069" t="s">
        <v>309</v>
      </c>
      <c r="D600" s="1069" t="s">
        <v>4847</v>
      </c>
      <c r="E600" s="1268" t="s">
        <v>1150</v>
      </c>
      <c r="F600" s="1070">
        <v>597</v>
      </c>
      <c r="G600" s="1071">
        <v>13324</v>
      </c>
      <c r="H600" s="1072">
        <v>8773</v>
      </c>
      <c r="I600" s="1073">
        <v>10400</v>
      </c>
      <c r="J600" s="166">
        <f t="shared" si="414"/>
        <v>266</v>
      </c>
      <c r="K600" s="167">
        <f t="shared" si="415"/>
        <v>175</v>
      </c>
      <c r="L600" s="168">
        <f t="shared" si="416"/>
        <v>208</v>
      </c>
      <c r="M600" s="166">
        <f t="shared" si="417"/>
        <v>333</v>
      </c>
      <c r="N600" s="167">
        <f t="shared" si="418"/>
        <v>219</v>
      </c>
      <c r="O600" s="168">
        <f t="shared" si="419"/>
        <v>260</v>
      </c>
      <c r="P600" s="169">
        <f t="shared" si="420"/>
        <v>499</v>
      </c>
      <c r="Q600" s="169">
        <f t="shared" si="421"/>
        <v>329</v>
      </c>
      <c r="R600" s="169">
        <f t="shared" si="422"/>
        <v>390</v>
      </c>
      <c r="S600" s="584">
        <f t="shared" si="393"/>
        <v>3331</v>
      </c>
      <c r="T600" s="594">
        <f t="shared" si="394"/>
        <v>2193</v>
      </c>
      <c r="U600" s="595">
        <f t="shared" si="395"/>
        <v>2600</v>
      </c>
      <c r="V600" s="166">
        <f t="shared" si="396"/>
        <v>7593</v>
      </c>
      <c r="W600" s="167">
        <f t="shared" si="397"/>
        <v>4996</v>
      </c>
      <c r="X600" s="168">
        <f t="shared" si="398"/>
        <v>5928</v>
      </c>
      <c r="Y600" s="166">
        <f t="shared" si="399"/>
        <v>8092</v>
      </c>
      <c r="Z600" s="167">
        <f t="shared" si="400"/>
        <v>5983</v>
      </c>
      <c r="AA600" s="168">
        <f t="shared" si="401"/>
        <v>6708</v>
      </c>
      <c r="AB600" s="166">
        <f t="shared" si="402"/>
        <v>9589</v>
      </c>
      <c r="AC600" s="167">
        <f t="shared" si="403"/>
        <v>6312</v>
      </c>
      <c r="AD600" s="168">
        <f t="shared" si="404"/>
        <v>7878</v>
      </c>
      <c r="AE600" s="166">
        <f t="shared" si="405"/>
        <v>11585</v>
      </c>
      <c r="AF600" s="167">
        <f t="shared" si="406"/>
        <v>6970</v>
      </c>
      <c r="AG600" s="168">
        <f t="shared" si="407"/>
        <v>8658</v>
      </c>
      <c r="AH600" s="166">
        <f t="shared" si="408"/>
        <v>12583</v>
      </c>
      <c r="AI600" s="167">
        <f t="shared" si="409"/>
        <v>8286</v>
      </c>
      <c r="AJ600" s="168">
        <f t="shared" si="410"/>
        <v>9438</v>
      </c>
      <c r="AK600" s="169">
        <f t="shared" si="411"/>
        <v>13590</v>
      </c>
      <c r="AL600" s="167">
        <f t="shared" si="412"/>
        <v>8948</v>
      </c>
      <c r="AM600" s="585">
        <f t="shared" si="413"/>
        <v>10608</v>
      </c>
      <c r="AN600" s="1133">
        <v>0.3</v>
      </c>
      <c r="AO600" s="1134">
        <v>0.30499999999999999</v>
      </c>
      <c r="AP600" s="1134">
        <v>0.31</v>
      </c>
      <c r="AQ600" s="1135">
        <v>0.315</v>
      </c>
      <c r="AR600" s="1132">
        <v>0.32</v>
      </c>
      <c r="AS600" s="1136"/>
      <c r="AT600" s="1137"/>
      <c r="AU600" s="1137"/>
      <c r="AV600" s="1137"/>
      <c r="AW600" s="1138"/>
      <c r="AX600" s="1133">
        <v>0.05</v>
      </c>
      <c r="AY600" s="1135">
        <v>5.5E-2</v>
      </c>
      <c r="AZ600" s="1135">
        <v>0.06</v>
      </c>
      <c r="BA600" s="1135">
        <v>6.5000000000000002E-2</v>
      </c>
      <c r="BB600" s="1135">
        <v>7.0000000000000007E-2</v>
      </c>
      <c r="BC600" s="1135"/>
      <c r="BD600" s="1132"/>
      <c r="BE600" s="1133"/>
      <c r="BF600" s="1135"/>
      <c r="BG600" s="1135"/>
      <c r="BH600" s="1135"/>
      <c r="BI600" s="1135"/>
      <c r="BJ600" s="1135"/>
      <c r="BK600" s="1023"/>
      <c r="BL600" s="658">
        <f t="shared" si="423"/>
        <v>32500</v>
      </c>
      <c r="BM600" s="3">
        <f t="shared" si="424"/>
        <v>41</v>
      </c>
      <c r="BN600" s="3">
        <f t="shared" si="425"/>
        <v>27</v>
      </c>
      <c r="BO600" s="3">
        <f t="shared" si="426"/>
        <v>32</v>
      </c>
    </row>
    <row r="601" spans="2:67">
      <c r="B601" s="1022" t="s">
        <v>4856</v>
      </c>
      <c r="C601" s="1069" t="s">
        <v>309</v>
      </c>
      <c r="D601" s="607" t="s">
        <v>4857</v>
      </c>
      <c r="E601" s="1267" t="s">
        <v>125</v>
      </c>
      <c r="F601" s="1270">
        <v>598</v>
      </c>
      <c r="G601" s="609">
        <v>5224</v>
      </c>
      <c r="H601" s="610">
        <v>12924</v>
      </c>
      <c r="I601" s="611">
        <v>9349</v>
      </c>
      <c r="J601" s="166">
        <f t="shared" si="414"/>
        <v>104</v>
      </c>
      <c r="K601" s="167">
        <f t="shared" si="415"/>
        <v>258</v>
      </c>
      <c r="L601" s="168">
        <f t="shared" si="416"/>
        <v>187</v>
      </c>
      <c r="M601" s="166">
        <f t="shared" si="417"/>
        <v>130</v>
      </c>
      <c r="N601" s="167">
        <f t="shared" si="418"/>
        <v>323</v>
      </c>
      <c r="O601" s="168">
        <f t="shared" si="419"/>
        <v>233</v>
      </c>
      <c r="P601" s="169">
        <f t="shared" si="420"/>
        <v>195</v>
      </c>
      <c r="Q601" s="169">
        <f t="shared" si="421"/>
        <v>484</v>
      </c>
      <c r="R601" s="169">
        <f t="shared" si="422"/>
        <v>350</v>
      </c>
      <c r="S601" s="584">
        <f t="shared" si="393"/>
        <v>1306</v>
      </c>
      <c r="T601" s="594">
        <f t="shared" si="394"/>
        <v>3231</v>
      </c>
      <c r="U601" s="595">
        <f t="shared" si="395"/>
        <v>2337</v>
      </c>
      <c r="V601" s="166">
        <f t="shared" si="396"/>
        <v>2970</v>
      </c>
      <c r="W601" s="167">
        <f t="shared" si="397"/>
        <v>7365</v>
      </c>
      <c r="X601" s="168">
        <f t="shared" si="398"/>
        <v>5320</v>
      </c>
      <c r="Y601" s="166">
        <f t="shared" si="399"/>
        <v>3555</v>
      </c>
      <c r="Z601" s="167">
        <f t="shared" si="400"/>
        <v>8333</v>
      </c>
      <c r="AA601" s="168">
        <f t="shared" si="401"/>
        <v>5670</v>
      </c>
      <c r="AB601" s="166">
        <f t="shared" si="402"/>
        <v>3750</v>
      </c>
      <c r="AC601" s="167">
        <f t="shared" si="403"/>
        <v>9785</v>
      </c>
      <c r="AD601" s="168">
        <f t="shared" si="404"/>
        <v>6720</v>
      </c>
      <c r="AE601" s="166">
        <f t="shared" si="405"/>
        <v>4140</v>
      </c>
      <c r="AF601" s="167">
        <f t="shared" si="406"/>
        <v>10753</v>
      </c>
      <c r="AG601" s="168">
        <f t="shared" si="407"/>
        <v>8120</v>
      </c>
      <c r="AH601" s="166">
        <f t="shared" si="408"/>
        <v>4920</v>
      </c>
      <c r="AI601" s="167">
        <f t="shared" si="409"/>
        <v>11721</v>
      </c>
      <c r="AJ601" s="168">
        <f t="shared" si="410"/>
        <v>8820</v>
      </c>
      <c r="AK601" s="169">
        <f t="shared" si="411"/>
        <v>5328</v>
      </c>
      <c r="AL601" s="167">
        <f t="shared" si="412"/>
        <v>13182</v>
      </c>
      <c r="AM601" s="585">
        <f t="shared" si="413"/>
        <v>9536</v>
      </c>
      <c r="AN601" s="1133">
        <v>0.4</v>
      </c>
      <c r="AO601" s="1134">
        <v>0.43</v>
      </c>
      <c r="AP601" s="1134">
        <v>0.46</v>
      </c>
      <c r="AQ601" s="1135">
        <v>0.49</v>
      </c>
      <c r="AR601" s="1132">
        <v>0.52</v>
      </c>
      <c r="AS601" s="617"/>
      <c r="AT601" s="618"/>
      <c r="AU601" s="618"/>
      <c r="AV601" s="618"/>
      <c r="AW601" s="619"/>
      <c r="AX601" s="596">
        <v>0.03</v>
      </c>
      <c r="AY601" s="598">
        <v>3.3000000000000002E-2</v>
      </c>
      <c r="AZ601" s="598">
        <v>3.5999999999999997E-2</v>
      </c>
      <c r="BA601" s="598">
        <v>3.9E-2</v>
      </c>
      <c r="BB601" s="598">
        <v>4.2000000000000003E-2</v>
      </c>
      <c r="BC601" s="616"/>
      <c r="BD601" s="612"/>
      <c r="BE601" s="1133"/>
      <c r="BF601" s="1135"/>
      <c r="BG601" s="1135"/>
      <c r="BH601" s="1135"/>
      <c r="BI601" s="1135"/>
      <c r="BJ601" s="1135"/>
      <c r="BK601" s="1023"/>
      <c r="BL601" s="658">
        <f t="shared" si="423"/>
        <v>27500</v>
      </c>
      <c r="BM601" s="3">
        <f t="shared" si="424"/>
        <v>19</v>
      </c>
      <c r="BN601" s="3">
        <f t="shared" si="425"/>
        <v>47</v>
      </c>
      <c r="BO601" s="3">
        <f t="shared" si="426"/>
        <v>34</v>
      </c>
    </row>
    <row r="602" spans="2:67">
      <c r="B602" s="1022" t="s">
        <v>4860</v>
      </c>
      <c r="C602" s="1069" t="s">
        <v>310</v>
      </c>
      <c r="D602" s="607" t="s">
        <v>4843</v>
      </c>
      <c r="E602" s="1255" t="s">
        <v>125</v>
      </c>
      <c r="F602" s="608">
        <v>599</v>
      </c>
      <c r="G602" s="609">
        <v>6307</v>
      </c>
      <c r="H602" s="610">
        <v>4480</v>
      </c>
      <c r="I602" s="611">
        <v>5810</v>
      </c>
      <c r="J602" s="166">
        <f t="shared" ref="J602:J643" si="427">INT(G602/50+0.05)</f>
        <v>126</v>
      </c>
      <c r="K602" s="167">
        <f t="shared" ref="K602:K643" si="428">INT(H602/50+0.05)</f>
        <v>89</v>
      </c>
      <c r="L602" s="168">
        <f t="shared" ref="L602:L643" si="429">INT(I602/50+0.05)</f>
        <v>116</v>
      </c>
      <c r="M602" s="166">
        <f t="shared" ref="M602:M643" si="430">INT(IF($C602="UR",IF($E602="party卡",G602*0.0270833333333333,G602*0.025),0)+IF($C602="SR",G602*0.03,0)+IF($C602="R",G602*0.0375,0)+0.05)</f>
        <v>189</v>
      </c>
      <c r="N602" s="167">
        <f t="shared" ref="N602:N643" si="431">INT(IF($C602="UR",IF($E602="party卡",H602*0.0270833333333333,H602*0.025),0)+IF($C602="SR",H602*0.03,0)+IF($C602="R",H602*0.0375,0)+0.05)</f>
        <v>134</v>
      </c>
      <c r="O602" s="168">
        <f t="shared" ref="O602:O643" si="432">INT(IF($C602="UR",IF($E602="party卡",I602*0.0270833333333333,I602*0.025),0)+IF($C602="SR",I602*0.03,0)+IF($C602="R",I602*0.0375,0)+0.05)</f>
        <v>174</v>
      </c>
      <c r="P602" s="169">
        <f t="shared" ref="P602:P643" si="433">INT(IF($C602="UR",IF($E602="party卡",G602*0.04375,G602*0.0375),0)+IF($C602="SR",G602*0.04,0)+IF($C602="R",G602*0.05,0)+0.05)</f>
        <v>252</v>
      </c>
      <c r="Q602" s="169">
        <f t="shared" ref="Q602:Q643" si="434">INT(IF($C602="UR",IF($E602="party卡",H602*0.04375,H602*0.0375),0)+IF($C602="SR",H602*0.04,0)+IF($C602="R",H602*0.05,0)+0.05)</f>
        <v>179</v>
      </c>
      <c r="R602" s="169">
        <f t="shared" ref="R602:R643" si="435">INT(IF($C602="UR",IF($E602="party卡",I602*0.04375,I602*0.0375),0)+IF($C602="SR",I602*0.04,0)+IF($C602="R",I602*0.05,0)+0.05)</f>
        <v>232</v>
      </c>
      <c r="S602" s="584">
        <f t="shared" ref="S602:S664" si="436">ROUND(IF($C602="UR",G602*0.25,G602*0.3),0)</f>
        <v>1892</v>
      </c>
      <c r="T602" s="594">
        <f t="shared" ref="T602:T664" si="437">ROUND(IF($C602="UR",H602*0.25,H602*0.3),0)</f>
        <v>1344</v>
      </c>
      <c r="U602" s="595">
        <f t="shared" ref="U602:U664" si="438">ROUND(IF($C602="UR",I602*0.25,I602*0.3),0)</f>
        <v>1743</v>
      </c>
      <c r="V602" s="166">
        <f t="shared" ref="V602:V664" si="439">(IF($C602="UR",IF($E602="party卡",18,12))+IF($C602="SR",10)+IF($C602="R",8))*M602+J602+S602</f>
        <v>3908</v>
      </c>
      <c r="W602" s="167">
        <f t="shared" ref="W602:W664" si="440">(IF($C602="UR",IF($E602="party卡",18,12))+IF($C602="SR",10)+IF($C602="R",8))*N602+K602+T602</f>
        <v>2773</v>
      </c>
      <c r="X602" s="168">
        <f t="shared" ref="X602:X664" si="441">(IF($C602="UR",IF($E602="party卡",18,12))+IF($C602="SR",10)+IF($C602="R",8))*O602+L602+U602</f>
        <v>3599</v>
      </c>
      <c r="Y602" s="166">
        <f t="shared" ref="Y602:Y664" si="442">V602+(IF(C602="UR",IF(E602="party卡",IF(D602="gd",1,2),IF(D602="vo",2)+IF(D602="sp",1)+IF(D602="gd",3)+IF(D602="sk",1)))+IF(C602="SR",2)+IF(C602="R",IF(D602="vo",1)+IF(D602="sp",2)+IF(D602="gd",1)+IF(D602="sk",2)))*P602</f>
        <v>4412</v>
      </c>
      <c r="Z602" s="167">
        <f t="shared" ref="Z602:Z664" si="443">W602+(IF(C602="UR",IF(E602="party卡",IF(D602="sp",1,2),IF(D602="vo",1)+IF(D602="sp",3)+IF(D602="gd",2)+IF(D602="sk",2)))+IF(C602="SR",2)+IF(C602="R",IF(D602="vo",2)+IF(D602="sp",1)+IF(D602="gd",1)+IF(D602="sk",1)))*Q602</f>
        <v>3131</v>
      </c>
      <c r="AA602" s="168">
        <f t="shared" ref="AA602:AA664" si="444">X602+(IF(C602="UR",IF(E602="party卡",IF(OR(D602="vo",D602="sk"),1,2),IF(D602="vo",3)+IF(D602="sp",2)+IF(D602="gd",1)+IF(D602="sk",3)))+IF(C602="SR",2)+IF(C602="R",IF(D602="vo",1)+IF(D602="sp",1)+IF(D602="gd",2)+IF(D602="sk",1)))*R602</f>
        <v>4063</v>
      </c>
      <c r="AB602" s="166">
        <f t="shared" ref="AB602:AB664" si="445">V602+(IF(C602="UR",IF(E602="party卡",IF(OR(D602="sp",D602="sk"),3,2),IF(D602="vo",5)+IF(D602="sp",4)+IF(D602="gd",4)+IF(D602="sk",4)))+IF(C602="SR",4)+IF(C602="R",IF(D602="vo",3)+IF(D602="sp",3)+IF(D602="gd",2)+IF(D602="sk",3)))*P602</f>
        <v>4916</v>
      </c>
      <c r="AC602" s="167">
        <f t="shared" ref="AC602:AC664" si="446">W602+(IF(C602="UR",IF(E602="party卡",IF(D602="vo",3,2),IF(D602="vo",4)+IF(D602="sp",4)+IF(D602="gd",5)+IF(D602="sk",5)))+IF(C602="SR",4)+IF(C602="R",IF(D602="vo",3)+IF(D602="sp",2)+IF(D602="gd",3)+IF(D602="sk",3)))*Q602</f>
        <v>3489</v>
      </c>
      <c r="AD602" s="168">
        <f t="shared" ref="AD602:AD664" si="447">X602+(IF(C602="UR",IF(E602="party卡",IF(D602="gd",3,2),IF(D602="vo",4)+IF(D602="sp",5)+IF(D602="gd",4)+IF(D602="sk",4)))+IF(C602="SR",4)+IF(C602="R",IF(D602="vo",2)+IF(D602="sp",3)+IF(D602="gd",3)+IF(D602="sk",2)))*R602</f>
        <v>4527</v>
      </c>
      <c r="AE602" s="166">
        <f t="shared" ref="AE602:AE664" si="448">V602+(IF(C602="UR",IF(E602="party卡",3,IF(D602="vo",7)+IF(D602="sp",8)+IF(D602="gd",6)+IF(D602="sk",8)))+IF(C602="SR",IF(D602="vo",5)+IF(D602="sp",6)+IF(D602="gd",6)+IF(D602="sk",6))+IF(C602="R",IF(D602="vo",5)+IF(D602="sp",4)+IF(D602="gd",4)+IF(D602="sk",4)))*P602</f>
        <v>5420</v>
      </c>
      <c r="AF602" s="167">
        <f t="shared" ref="AF602:AF664" si="449">W602+(IF(C602="UR",IF(E602="party卡",3,IF(D602="vo",8)+IF(D602="sp",6)+IF(D602="gd",7)+IF(D602="sk",7)))+IF(C602="SR",IF(D602="vo",6)+IF(D602="sp",6)+IF(D602="gd",5)+IF(D602="sk",5))+IF(C602="R",IF(D602="vo",4)+IF(D602="sp",4)+IF(D602="gd",5)+IF(D602="sk",5)))*Q602</f>
        <v>3668</v>
      </c>
      <c r="AG602" s="168">
        <f t="shared" ref="AG602:AG664" si="450">X602+(IF(C602="UR",IF(E602="party卡",3,IF(D602="vo",6)+IF(D602="sp",7)+IF(D602="gd",8)+IF(D602="sk",6)))+IF(C602="SR",IF(D602="vo",6)+IF(D602="sp",5)+IF(D602="gd",6)+IF(D602="sk",6))+IF(C602="R",IF(D602="vo",4)+IF(D602="sp",5)+IF(D602="gd",4)+IF(D602="sk",4)))*R602</f>
        <v>4991</v>
      </c>
      <c r="AH602" s="166">
        <f t="shared" ref="AH602:AH664" si="451">V602+(IF(C602="UR",IF(E602="party卡",4,IF(D602="vo",9)+IF(D602="sp",10)+IF(D602="gd",10)+IF(D602="sk",10)))+IF(C602="SR",IF(D602="vo",7)+IF(D602="sp",7)+IF(D602="gd",9)+IF(D602="sk",7))+IF(C602="R",IF(D602="vo",7)+IF(D602="sp",6)+IF(D602="gd",6)+IF(D602="sk",6)))*P602</f>
        <v>5672</v>
      </c>
      <c r="AI602" s="167">
        <f t="shared" ref="AI602:AI664" si="452">W602+(IF(C602="UR",IF(E602="party卡",4,IF(D602="vo",10)+IF(D602="sp",10)+IF(D602="gd",9)+IF(D602="sk",9)))+IF(C602="SR",IF(D602="vo",7)+IF(D602="sp",9)+IF(D602="gd",7)+IF(D602="sk",7))+IF(C602="R",IF(D602="vo",6)+IF(D602="sp",6)+IF(D602="gd",7)+IF(D602="sk",7)))*Q602</f>
        <v>4026</v>
      </c>
      <c r="AJ602" s="168">
        <f t="shared" ref="AJ602:AJ664" si="453">X602+(IF(C602="UR",IF(E602="party卡",4,IF(D602="vo",10)+IF(D602="sp",9)+IF(D602="gd",10)+IF(D602="sk",10)))+IF(C602="SR",IF(D602="vo",9)+IF(D602="sp",7)+IF(D602="gd",7)+IF(D602="sk",9))+IF(C602="R",IF(D602="vo",6)+IF(D602="sp",7)+IF(D602="gd",6)+IF(D602="sk",6)))*R602</f>
        <v>5687</v>
      </c>
      <c r="AK602" s="169">
        <f t="shared" ref="AK602:AK664" si="454">G602+J602</f>
        <v>6433</v>
      </c>
      <c r="AL602" s="167">
        <f t="shared" ref="AL602:AL664" si="455">H602+K602</f>
        <v>4569</v>
      </c>
      <c r="AM602" s="585">
        <f t="shared" ref="AM602:AM664" si="456">I602+L602</f>
        <v>5926</v>
      </c>
      <c r="AN602" s="1133">
        <v>0.05</v>
      </c>
      <c r="AO602" s="1134">
        <v>5.5E-2</v>
      </c>
      <c r="AP602" s="1134">
        <v>0.06</v>
      </c>
      <c r="AQ602" s="1135">
        <v>6.5000000000000002E-2</v>
      </c>
      <c r="AR602" s="1132">
        <v>7.0000000000000007E-2</v>
      </c>
      <c r="AS602" s="617"/>
      <c r="AT602" s="618"/>
      <c r="AU602" s="618"/>
      <c r="AV602" s="618"/>
      <c r="AW602" s="619"/>
      <c r="AX602" s="1133">
        <v>0.03</v>
      </c>
      <c r="AY602" s="1135">
        <v>3.5000000000000003E-2</v>
      </c>
      <c r="AZ602" s="1135">
        <v>0.04</v>
      </c>
      <c r="BA602" s="1135">
        <v>4.4999999999999998E-2</v>
      </c>
      <c r="BB602" s="1135">
        <v>0.05</v>
      </c>
      <c r="BC602" s="1135"/>
      <c r="BD602" s="612"/>
      <c r="BE602" s="614"/>
      <c r="BF602" s="616"/>
      <c r="BG602" s="616"/>
      <c r="BH602" s="616"/>
      <c r="BI602" s="616"/>
      <c r="BJ602" s="616"/>
      <c r="BK602" s="1023"/>
      <c r="BL602" s="658">
        <f t="shared" ref="BL602:BL621" si="457">ROUND(($G602+$H602+$I602)/50,0)*50</f>
        <v>16600</v>
      </c>
      <c r="BM602" s="3">
        <f t="shared" ref="BM602:BM621" si="458">ROUND(100*G602/($G602+$H602+$I602),0)</f>
        <v>38</v>
      </c>
      <c r="BN602" s="3">
        <f t="shared" ref="BN602:BN621" si="459">ROUND(100*H602/($G602+$H602+$I602),0)</f>
        <v>27</v>
      </c>
      <c r="BO602" s="3">
        <f t="shared" ref="BO602:BO621" si="460">ROUND(100*I602/($G602+$H602+$I602),0)</f>
        <v>35</v>
      </c>
    </row>
    <row r="603" spans="2:67">
      <c r="B603" s="1022" t="s">
        <v>4862</v>
      </c>
      <c r="C603" s="1069" t="s">
        <v>310</v>
      </c>
      <c r="D603" s="607" t="s">
        <v>4863</v>
      </c>
      <c r="E603" s="1256" t="s">
        <v>125</v>
      </c>
      <c r="F603" s="1019">
        <v>600</v>
      </c>
      <c r="G603" s="609">
        <v>6420</v>
      </c>
      <c r="H603" s="610">
        <v>4561</v>
      </c>
      <c r="I603" s="611">
        <v>5914</v>
      </c>
      <c r="J603" s="166">
        <f t="shared" si="427"/>
        <v>128</v>
      </c>
      <c r="K603" s="167">
        <f t="shared" si="428"/>
        <v>91</v>
      </c>
      <c r="L603" s="168">
        <f t="shared" si="429"/>
        <v>118</v>
      </c>
      <c r="M603" s="166">
        <f t="shared" si="430"/>
        <v>192</v>
      </c>
      <c r="N603" s="167">
        <f t="shared" si="431"/>
        <v>136</v>
      </c>
      <c r="O603" s="168">
        <f t="shared" si="432"/>
        <v>177</v>
      </c>
      <c r="P603" s="169">
        <f t="shared" si="433"/>
        <v>256</v>
      </c>
      <c r="Q603" s="169">
        <f t="shared" si="434"/>
        <v>182</v>
      </c>
      <c r="R603" s="169">
        <f t="shared" si="435"/>
        <v>236</v>
      </c>
      <c r="S603" s="584">
        <f t="shared" si="436"/>
        <v>1926</v>
      </c>
      <c r="T603" s="594">
        <f t="shared" si="437"/>
        <v>1368</v>
      </c>
      <c r="U603" s="595">
        <f t="shared" si="438"/>
        <v>1774</v>
      </c>
      <c r="V603" s="166">
        <f t="shared" si="439"/>
        <v>3974</v>
      </c>
      <c r="W603" s="167">
        <f t="shared" si="440"/>
        <v>2819</v>
      </c>
      <c r="X603" s="168">
        <f t="shared" si="441"/>
        <v>3662</v>
      </c>
      <c r="Y603" s="166">
        <f t="shared" si="442"/>
        <v>4486</v>
      </c>
      <c r="Z603" s="167">
        <f t="shared" si="443"/>
        <v>3183</v>
      </c>
      <c r="AA603" s="168">
        <f t="shared" si="444"/>
        <v>4134</v>
      </c>
      <c r="AB603" s="166">
        <f t="shared" si="445"/>
        <v>4998</v>
      </c>
      <c r="AC603" s="167">
        <f t="shared" si="446"/>
        <v>3547</v>
      </c>
      <c r="AD603" s="168">
        <f t="shared" si="447"/>
        <v>4606</v>
      </c>
      <c r="AE603" s="166">
        <f t="shared" si="448"/>
        <v>5254</v>
      </c>
      <c r="AF603" s="167">
        <f t="shared" si="449"/>
        <v>3911</v>
      </c>
      <c r="AG603" s="168">
        <f t="shared" si="450"/>
        <v>5078</v>
      </c>
      <c r="AH603" s="166">
        <f t="shared" si="451"/>
        <v>5766</v>
      </c>
      <c r="AI603" s="167">
        <f t="shared" si="452"/>
        <v>4093</v>
      </c>
      <c r="AJ603" s="168">
        <f t="shared" si="453"/>
        <v>5786</v>
      </c>
      <c r="AK603" s="169">
        <f t="shared" si="454"/>
        <v>6548</v>
      </c>
      <c r="AL603" s="167">
        <f t="shared" si="455"/>
        <v>4652</v>
      </c>
      <c r="AM603" s="585">
        <f t="shared" si="456"/>
        <v>6032</v>
      </c>
      <c r="AN603" s="1133">
        <v>0.05</v>
      </c>
      <c r="AO603" s="1134">
        <v>5.5E-2</v>
      </c>
      <c r="AP603" s="1134">
        <v>0.06</v>
      </c>
      <c r="AQ603" s="1135">
        <v>6.5000000000000002E-2</v>
      </c>
      <c r="AR603" s="1132">
        <v>7.0000000000000007E-2</v>
      </c>
      <c r="AS603" s="617"/>
      <c r="AT603" s="618"/>
      <c r="AU603" s="618"/>
      <c r="AV603" s="618"/>
      <c r="AW603" s="619"/>
      <c r="AX603" s="1133">
        <v>0.05</v>
      </c>
      <c r="AY603" s="1135">
        <v>5.5E-2</v>
      </c>
      <c r="AZ603" s="1135">
        <v>0.06</v>
      </c>
      <c r="BA603" s="1135">
        <v>6.5000000000000002E-2</v>
      </c>
      <c r="BB603" s="1135">
        <v>7.0000000000000007E-2</v>
      </c>
      <c r="BC603" s="616"/>
      <c r="BD603" s="612"/>
      <c r="BE603" s="614"/>
      <c r="BF603" s="616"/>
      <c r="BG603" s="616"/>
      <c r="BH603" s="616"/>
      <c r="BI603" s="616"/>
      <c r="BJ603" s="616"/>
      <c r="BK603" s="1023"/>
      <c r="BL603" s="658">
        <f t="shared" si="457"/>
        <v>16900</v>
      </c>
      <c r="BM603" s="3">
        <f t="shared" si="458"/>
        <v>38</v>
      </c>
      <c r="BN603" s="3">
        <f t="shared" si="459"/>
        <v>27</v>
      </c>
      <c r="BO603" s="3">
        <f t="shared" si="460"/>
        <v>35</v>
      </c>
    </row>
    <row r="604" spans="2:67">
      <c r="B604" s="1022" t="s">
        <v>4870</v>
      </c>
      <c r="C604" s="1069" t="s">
        <v>309</v>
      </c>
      <c r="D604" s="1069" t="s">
        <v>358</v>
      </c>
      <c r="E604" s="1268" t="s">
        <v>126</v>
      </c>
      <c r="F604" s="608">
        <v>601</v>
      </c>
      <c r="G604" s="609">
        <v>14189</v>
      </c>
      <c r="H604" s="610">
        <v>5609</v>
      </c>
      <c r="I604" s="611">
        <v>13200</v>
      </c>
      <c r="J604" s="166">
        <f t="shared" si="427"/>
        <v>283</v>
      </c>
      <c r="K604" s="167">
        <f t="shared" si="428"/>
        <v>112</v>
      </c>
      <c r="L604" s="168">
        <f t="shared" si="429"/>
        <v>264</v>
      </c>
      <c r="M604" s="166">
        <f t="shared" si="430"/>
        <v>354</v>
      </c>
      <c r="N604" s="167">
        <f t="shared" si="431"/>
        <v>140</v>
      </c>
      <c r="O604" s="168">
        <f t="shared" si="432"/>
        <v>330</v>
      </c>
      <c r="P604" s="169">
        <f t="shared" si="433"/>
        <v>532</v>
      </c>
      <c r="Q604" s="169">
        <f t="shared" si="434"/>
        <v>210</v>
      </c>
      <c r="R604" s="169">
        <f t="shared" si="435"/>
        <v>495</v>
      </c>
      <c r="S604" s="584">
        <f t="shared" si="436"/>
        <v>3547</v>
      </c>
      <c r="T604" s="594">
        <f t="shared" si="437"/>
        <v>1402</v>
      </c>
      <c r="U604" s="595">
        <f t="shared" si="438"/>
        <v>3300</v>
      </c>
      <c r="V604" s="166">
        <f t="shared" si="439"/>
        <v>8078</v>
      </c>
      <c r="W604" s="167">
        <f t="shared" si="440"/>
        <v>3194</v>
      </c>
      <c r="X604" s="168">
        <f t="shared" si="441"/>
        <v>7524</v>
      </c>
      <c r="Y604" s="166">
        <f t="shared" si="442"/>
        <v>9142</v>
      </c>
      <c r="Z604" s="167">
        <f t="shared" si="443"/>
        <v>3404</v>
      </c>
      <c r="AA604" s="168">
        <f t="shared" si="444"/>
        <v>9009</v>
      </c>
      <c r="AB604" s="166">
        <f t="shared" si="445"/>
        <v>10738</v>
      </c>
      <c r="AC604" s="167">
        <f t="shared" si="446"/>
        <v>4034</v>
      </c>
      <c r="AD604" s="168">
        <f t="shared" si="447"/>
        <v>9504</v>
      </c>
      <c r="AE604" s="166">
        <f t="shared" si="448"/>
        <v>11802</v>
      </c>
      <c r="AF604" s="167">
        <f t="shared" si="449"/>
        <v>4874</v>
      </c>
      <c r="AG604" s="168">
        <f t="shared" si="450"/>
        <v>10494</v>
      </c>
      <c r="AH604" s="166">
        <f t="shared" si="451"/>
        <v>12866</v>
      </c>
      <c r="AI604" s="167">
        <f t="shared" si="452"/>
        <v>5294</v>
      </c>
      <c r="AJ604" s="168">
        <f t="shared" si="453"/>
        <v>12474</v>
      </c>
      <c r="AK604" s="169">
        <f t="shared" si="454"/>
        <v>14472</v>
      </c>
      <c r="AL604" s="167">
        <f t="shared" si="455"/>
        <v>5721</v>
      </c>
      <c r="AM604" s="585">
        <f t="shared" si="456"/>
        <v>13464</v>
      </c>
      <c r="AN604" s="1133">
        <v>0.3</v>
      </c>
      <c r="AO604" s="1134">
        <v>0.33</v>
      </c>
      <c r="AP604" s="1134">
        <v>0.36</v>
      </c>
      <c r="AQ604" s="1135">
        <v>0.39</v>
      </c>
      <c r="AR604" s="1132">
        <v>0.42</v>
      </c>
      <c r="AS604" s="617"/>
      <c r="AT604" s="618"/>
      <c r="AU604" s="618"/>
      <c r="AV604" s="618"/>
      <c r="AW604" s="619"/>
      <c r="AX604" s="1133">
        <v>0.05</v>
      </c>
      <c r="AY604" s="1135">
        <v>5.5E-2</v>
      </c>
      <c r="AZ604" s="1135">
        <v>0.06</v>
      </c>
      <c r="BA604" s="1135">
        <v>6.5000000000000002E-2</v>
      </c>
      <c r="BB604" s="1135">
        <v>7.0000000000000007E-2</v>
      </c>
      <c r="BC604" s="616"/>
      <c r="BD604" s="612"/>
      <c r="BE604" s="596">
        <v>1.4999999999999999E-2</v>
      </c>
      <c r="BF604" s="598">
        <v>0.02</v>
      </c>
      <c r="BG604" s="598">
        <v>2.5000000000000001E-2</v>
      </c>
      <c r="BH604" s="598">
        <v>0.03</v>
      </c>
      <c r="BI604" s="598">
        <v>3.5000000000000003E-2</v>
      </c>
      <c r="BJ604" s="616"/>
      <c r="BK604" s="1023"/>
      <c r="BL604" s="658">
        <f t="shared" si="457"/>
        <v>33000</v>
      </c>
      <c r="BM604" s="3">
        <f t="shared" si="458"/>
        <v>43</v>
      </c>
      <c r="BN604" s="3">
        <f t="shared" si="459"/>
        <v>17</v>
      </c>
      <c r="BO604" s="3">
        <f t="shared" si="460"/>
        <v>40</v>
      </c>
    </row>
    <row r="605" spans="2:67">
      <c r="B605" s="1022" t="s">
        <v>4869</v>
      </c>
      <c r="C605" s="1069" t="s">
        <v>309</v>
      </c>
      <c r="D605" s="1069" t="s">
        <v>358</v>
      </c>
      <c r="E605" s="1268" t="s">
        <v>126</v>
      </c>
      <c r="F605" s="1019">
        <v>602</v>
      </c>
      <c r="G605" s="609">
        <v>13529</v>
      </c>
      <c r="H605" s="610">
        <v>7589</v>
      </c>
      <c r="I605" s="611">
        <v>11880</v>
      </c>
      <c r="J605" s="166">
        <f t="shared" si="427"/>
        <v>270</v>
      </c>
      <c r="K605" s="167">
        <f t="shared" si="428"/>
        <v>151</v>
      </c>
      <c r="L605" s="168">
        <f t="shared" si="429"/>
        <v>237</v>
      </c>
      <c r="M605" s="166">
        <f t="shared" si="430"/>
        <v>338</v>
      </c>
      <c r="N605" s="167">
        <f t="shared" si="431"/>
        <v>189</v>
      </c>
      <c r="O605" s="168">
        <f t="shared" si="432"/>
        <v>297</v>
      </c>
      <c r="P605" s="169">
        <f t="shared" si="433"/>
        <v>507</v>
      </c>
      <c r="Q605" s="169">
        <f t="shared" si="434"/>
        <v>284</v>
      </c>
      <c r="R605" s="169">
        <f t="shared" si="435"/>
        <v>445</v>
      </c>
      <c r="S605" s="584">
        <f t="shared" si="436"/>
        <v>3382</v>
      </c>
      <c r="T605" s="594">
        <f t="shared" si="437"/>
        <v>1897</v>
      </c>
      <c r="U605" s="595">
        <f t="shared" si="438"/>
        <v>2970</v>
      </c>
      <c r="V605" s="166">
        <f t="shared" si="439"/>
        <v>7708</v>
      </c>
      <c r="W605" s="167">
        <f t="shared" si="440"/>
        <v>4316</v>
      </c>
      <c r="X605" s="168">
        <f t="shared" si="441"/>
        <v>6771</v>
      </c>
      <c r="Y605" s="166">
        <f t="shared" si="442"/>
        <v>8722</v>
      </c>
      <c r="Z605" s="167">
        <f t="shared" si="443"/>
        <v>4600</v>
      </c>
      <c r="AA605" s="168">
        <f t="shared" si="444"/>
        <v>8106</v>
      </c>
      <c r="AB605" s="166">
        <f t="shared" si="445"/>
        <v>10243</v>
      </c>
      <c r="AC605" s="167">
        <f t="shared" si="446"/>
        <v>5452</v>
      </c>
      <c r="AD605" s="168">
        <f t="shared" si="447"/>
        <v>8551</v>
      </c>
      <c r="AE605" s="166">
        <f t="shared" si="448"/>
        <v>11257</v>
      </c>
      <c r="AF605" s="167">
        <f t="shared" si="449"/>
        <v>6588</v>
      </c>
      <c r="AG605" s="168">
        <f t="shared" si="450"/>
        <v>9441</v>
      </c>
      <c r="AH605" s="166">
        <f t="shared" si="451"/>
        <v>12271</v>
      </c>
      <c r="AI605" s="167">
        <f t="shared" si="452"/>
        <v>7156</v>
      </c>
      <c r="AJ605" s="168">
        <f t="shared" si="453"/>
        <v>11221</v>
      </c>
      <c r="AK605" s="169">
        <f t="shared" si="454"/>
        <v>13799</v>
      </c>
      <c r="AL605" s="167">
        <f t="shared" si="455"/>
        <v>7740</v>
      </c>
      <c r="AM605" s="585">
        <f t="shared" si="456"/>
        <v>12117</v>
      </c>
      <c r="AN605" s="1133">
        <v>6.4000000000000001E-2</v>
      </c>
      <c r="AO605" s="1134">
        <v>6.7000000000000004E-2</v>
      </c>
      <c r="AP605" s="1134">
        <v>7.0000000000000007E-2</v>
      </c>
      <c r="AQ605" s="1135">
        <v>7.2999999999999995E-2</v>
      </c>
      <c r="AR605" s="1132">
        <v>7.5999999999999998E-2</v>
      </c>
      <c r="AS605" s="617"/>
      <c r="AT605" s="618"/>
      <c r="AU605" s="618"/>
      <c r="AV605" s="618"/>
      <c r="AW605" s="619"/>
      <c r="AX605" s="1133">
        <v>0.05</v>
      </c>
      <c r="AY605" s="1135">
        <v>5.5E-2</v>
      </c>
      <c r="AZ605" s="1135">
        <v>0.06</v>
      </c>
      <c r="BA605" s="1135">
        <v>6.5000000000000002E-2</v>
      </c>
      <c r="BB605" s="1135">
        <v>7.0000000000000007E-2</v>
      </c>
      <c r="BC605" s="1135"/>
      <c r="BD605" s="1132"/>
      <c r="BE605" s="596">
        <v>1.4999999999999999E-2</v>
      </c>
      <c r="BF605" s="598">
        <v>0.02</v>
      </c>
      <c r="BG605" s="598">
        <v>2.5000000000000001E-2</v>
      </c>
      <c r="BH605" s="598">
        <v>0.03</v>
      </c>
      <c r="BI605" s="598">
        <v>3.5000000000000003E-2</v>
      </c>
      <c r="BJ605" s="616"/>
      <c r="BK605" s="1023"/>
      <c r="BL605" s="658">
        <f t="shared" si="457"/>
        <v>33000</v>
      </c>
      <c r="BM605" s="3">
        <f t="shared" si="458"/>
        <v>41</v>
      </c>
      <c r="BN605" s="3">
        <f t="shared" si="459"/>
        <v>23</v>
      </c>
      <c r="BO605" s="3">
        <f t="shared" si="460"/>
        <v>36</v>
      </c>
    </row>
    <row r="606" spans="2:67">
      <c r="B606" s="1022" t="s">
        <v>4871</v>
      </c>
      <c r="C606" s="1069" t="s">
        <v>310</v>
      </c>
      <c r="D606" s="1069" t="s">
        <v>359</v>
      </c>
      <c r="E606" s="1268" t="s">
        <v>65</v>
      </c>
      <c r="F606" s="608">
        <v>603</v>
      </c>
      <c r="G606" s="609">
        <v>5570</v>
      </c>
      <c r="H606" s="610">
        <v>8157</v>
      </c>
      <c r="I606" s="611">
        <v>6167</v>
      </c>
      <c r="J606" s="166">
        <f t="shared" si="427"/>
        <v>111</v>
      </c>
      <c r="K606" s="167">
        <f t="shared" si="428"/>
        <v>163</v>
      </c>
      <c r="L606" s="168">
        <f t="shared" si="429"/>
        <v>123</v>
      </c>
      <c r="M606" s="166">
        <f t="shared" si="430"/>
        <v>167</v>
      </c>
      <c r="N606" s="167">
        <f t="shared" si="431"/>
        <v>244</v>
      </c>
      <c r="O606" s="168">
        <f t="shared" si="432"/>
        <v>185</v>
      </c>
      <c r="P606" s="169">
        <f t="shared" si="433"/>
        <v>222</v>
      </c>
      <c r="Q606" s="169">
        <f t="shared" si="434"/>
        <v>326</v>
      </c>
      <c r="R606" s="169">
        <f t="shared" si="435"/>
        <v>246</v>
      </c>
      <c r="S606" s="584">
        <f t="shared" si="436"/>
        <v>1671</v>
      </c>
      <c r="T606" s="594">
        <f t="shared" si="437"/>
        <v>2447</v>
      </c>
      <c r="U606" s="595">
        <f t="shared" si="438"/>
        <v>1850</v>
      </c>
      <c r="V606" s="166">
        <f t="shared" si="439"/>
        <v>3452</v>
      </c>
      <c r="W606" s="167">
        <f t="shared" si="440"/>
        <v>5050</v>
      </c>
      <c r="X606" s="168">
        <f t="shared" si="441"/>
        <v>3823</v>
      </c>
      <c r="Y606" s="166">
        <f t="shared" si="442"/>
        <v>3896</v>
      </c>
      <c r="Z606" s="167">
        <f t="shared" si="443"/>
        <v>5702</v>
      </c>
      <c r="AA606" s="168">
        <f t="shared" si="444"/>
        <v>4315</v>
      </c>
      <c r="AB606" s="166">
        <f t="shared" si="445"/>
        <v>4340</v>
      </c>
      <c r="AC606" s="167">
        <f t="shared" si="446"/>
        <v>6354</v>
      </c>
      <c r="AD606" s="168">
        <f t="shared" si="447"/>
        <v>4807</v>
      </c>
      <c r="AE606" s="166">
        <f t="shared" si="448"/>
        <v>4784</v>
      </c>
      <c r="AF606" s="167">
        <f t="shared" si="449"/>
        <v>6680</v>
      </c>
      <c r="AG606" s="168">
        <f t="shared" si="450"/>
        <v>5299</v>
      </c>
      <c r="AH606" s="166">
        <f t="shared" si="451"/>
        <v>5450</v>
      </c>
      <c r="AI606" s="167">
        <f t="shared" si="452"/>
        <v>7332</v>
      </c>
      <c r="AJ606" s="168">
        <f t="shared" si="453"/>
        <v>5545</v>
      </c>
      <c r="AK606" s="169">
        <f t="shared" si="454"/>
        <v>5681</v>
      </c>
      <c r="AL606" s="167">
        <f t="shared" si="455"/>
        <v>8320</v>
      </c>
      <c r="AM606" s="585">
        <f t="shared" si="456"/>
        <v>6290</v>
      </c>
      <c r="AN606" s="1133">
        <v>0.23</v>
      </c>
      <c r="AO606" s="1134">
        <v>0.26</v>
      </c>
      <c r="AP606" s="1134">
        <v>0.28999999999999998</v>
      </c>
      <c r="AQ606" s="1135">
        <v>0.32</v>
      </c>
      <c r="AR606" s="1132">
        <v>0.35</v>
      </c>
      <c r="AS606" s="617"/>
      <c r="AT606" s="618"/>
      <c r="AU606" s="618"/>
      <c r="AV606" s="618"/>
      <c r="AW606" s="619"/>
      <c r="AX606" s="1133">
        <v>0.05</v>
      </c>
      <c r="AY606" s="1135">
        <v>5.5E-2</v>
      </c>
      <c r="AZ606" s="1135">
        <v>0.06</v>
      </c>
      <c r="BA606" s="1135">
        <v>6.5000000000000002E-2</v>
      </c>
      <c r="BB606" s="1135">
        <v>7.0000000000000007E-2</v>
      </c>
      <c r="BC606" s="616"/>
      <c r="BD606" s="612"/>
      <c r="BE606" s="614"/>
      <c r="BF606" s="616"/>
      <c r="BG606" s="616"/>
      <c r="BH606" s="616"/>
      <c r="BI606" s="616"/>
      <c r="BJ606" s="616"/>
      <c r="BK606" s="1023"/>
      <c r="BL606" s="658">
        <f t="shared" si="457"/>
        <v>19900</v>
      </c>
      <c r="BM606" s="3">
        <f t="shared" si="458"/>
        <v>28</v>
      </c>
      <c r="BN606" s="3">
        <f t="shared" si="459"/>
        <v>41</v>
      </c>
      <c r="BO606" s="3">
        <f t="shared" si="460"/>
        <v>31</v>
      </c>
    </row>
    <row r="607" spans="2:67">
      <c r="B607" s="1022" t="s">
        <v>4872</v>
      </c>
      <c r="C607" s="1069" t="s">
        <v>310</v>
      </c>
      <c r="D607" s="1069" t="s">
        <v>356</v>
      </c>
      <c r="E607" s="1268" t="s">
        <v>65</v>
      </c>
      <c r="F607" s="1019">
        <v>604</v>
      </c>
      <c r="G607" s="609">
        <v>6764</v>
      </c>
      <c r="H607" s="610">
        <v>4974</v>
      </c>
      <c r="I607" s="611">
        <v>8157</v>
      </c>
      <c r="J607" s="166">
        <f t="shared" si="427"/>
        <v>135</v>
      </c>
      <c r="K607" s="167">
        <f t="shared" si="428"/>
        <v>99</v>
      </c>
      <c r="L607" s="168">
        <f t="shared" si="429"/>
        <v>163</v>
      </c>
      <c r="M607" s="166">
        <f t="shared" si="430"/>
        <v>202</v>
      </c>
      <c r="N607" s="167">
        <f t="shared" si="431"/>
        <v>149</v>
      </c>
      <c r="O607" s="168">
        <f t="shared" si="432"/>
        <v>244</v>
      </c>
      <c r="P607" s="169">
        <f t="shared" si="433"/>
        <v>270</v>
      </c>
      <c r="Q607" s="169">
        <f t="shared" si="434"/>
        <v>199</v>
      </c>
      <c r="R607" s="169">
        <f t="shared" si="435"/>
        <v>326</v>
      </c>
      <c r="S607" s="584">
        <f t="shared" si="436"/>
        <v>2029</v>
      </c>
      <c r="T607" s="594">
        <f t="shared" si="437"/>
        <v>1492</v>
      </c>
      <c r="U607" s="595">
        <f t="shared" si="438"/>
        <v>2447</v>
      </c>
      <c r="V607" s="166">
        <f t="shared" si="439"/>
        <v>4184</v>
      </c>
      <c r="W607" s="167">
        <f t="shared" si="440"/>
        <v>3081</v>
      </c>
      <c r="X607" s="168">
        <f t="shared" si="441"/>
        <v>5050</v>
      </c>
      <c r="Y607" s="166">
        <f t="shared" si="442"/>
        <v>4724</v>
      </c>
      <c r="Z607" s="167">
        <f t="shared" si="443"/>
        <v>3479</v>
      </c>
      <c r="AA607" s="168">
        <f t="shared" si="444"/>
        <v>5702</v>
      </c>
      <c r="AB607" s="166">
        <f t="shared" si="445"/>
        <v>5264</v>
      </c>
      <c r="AC607" s="167">
        <f t="shared" si="446"/>
        <v>3877</v>
      </c>
      <c r="AD607" s="168">
        <f t="shared" si="447"/>
        <v>6354</v>
      </c>
      <c r="AE607" s="166">
        <f t="shared" si="448"/>
        <v>5804</v>
      </c>
      <c r="AF607" s="167">
        <f t="shared" si="449"/>
        <v>4076</v>
      </c>
      <c r="AG607" s="168">
        <f t="shared" si="450"/>
        <v>7006</v>
      </c>
      <c r="AH607" s="166">
        <f t="shared" si="451"/>
        <v>6074</v>
      </c>
      <c r="AI607" s="167">
        <f t="shared" si="452"/>
        <v>4474</v>
      </c>
      <c r="AJ607" s="168">
        <f t="shared" si="453"/>
        <v>7984</v>
      </c>
      <c r="AK607" s="169">
        <f t="shared" si="454"/>
        <v>6899</v>
      </c>
      <c r="AL607" s="167">
        <f t="shared" si="455"/>
        <v>5073</v>
      </c>
      <c r="AM607" s="585">
        <f t="shared" si="456"/>
        <v>8320</v>
      </c>
      <c r="AN607" s="614">
        <v>0.05</v>
      </c>
      <c r="AO607" s="615">
        <v>5.5E-2</v>
      </c>
      <c r="AP607" s="615">
        <v>0.06</v>
      </c>
      <c r="AQ607" s="616">
        <v>6.5000000000000002E-2</v>
      </c>
      <c r="AR607" s="612">
        <v>7.0000000000000007E-2</v>
      </c>
      <c r="AS607" s="617"/>
      <c r="AT607" s="618"/>
      <c r="AU607" s="618"/>
      <c r="AV607" s="618"/>
      <c r="AW607" s="619"/>
      <c r="AX607" s="614">
        <v>0.01</v>
      </c>
      <c r="AY607" s="616">
        <v>1.2999999999999999E-2</v>
      </c>
      <c r="AZ607" s="616">
        <v>1.6E-2</v>
      </c>
      <c r="BA607" s="616">
        <v>1.9E-2</v>
      </c>
      <c r="BB607" s="616">
        <v>2.1999999999999999E-2</v>
      </c>
      <c r="BC607" s="616"/>
      <c r="BD607" s="612"/>
      <c r="BE607" s="614"/>
      <c r="BF607" s="616"/>
      <c r="BG607" s="616"/>
      <c r="BH607" s="616"/>
      <c r="BI607" s="616"/>
      <c r="BJ607" s="616"/>
      <c r="BK607" s="1023"/>
      <c r="BL607" s="658">
        <f t="shared" si="457"/>
        <v>19900</v>
      </c>
      <c r="BM607" s="3">
        <f t="shared" si="458"/>
        <v>34</v>
      </c>
      <c r="BN607" s="3">
        <f t="shared" si="459"/>
        <v>25</v>
      </c>
      <c r="BO607" s="3">
        <f t="shared" si="460"/>
        <v>41</v>
      </c>
    </row>
    <row r="608" spans="2:67">
      <c r="B608" s="1022" t="s">
        <v>4892</v>
      </c>
      <c r="C608" s="607" t="s">
        <v>4893</v>
      </c>
      <c r="D608" s="607" t="s">
        <v>4894</v>
      </c>
      <c r="E608" s="1277" t="s">
        <v>1150</v>
      </c>
      <c r="F608" s="608">
        <v>605</v>
      </c>
      <c r="G608" s="609">
        <v>12540</v>
      </c>
      <c r="H608" s="610">
        <v>7589</v>
      </c>
      <c r="I608" s="611">
        <v>12869</v>
      </c>
      <c r="J608" s="166">
        <f t="shared" si="427"/>
        <v>250</v>
      </c>
      <c r="K608" s="167">
        <f t="shared" si="428"/>
        <v>151</v>
      </c>
      <c r="L608" s="168">
        <f t="shared" si="429"/>
        <v>257</v>
      </c>
      <c r="M608" s="166">
        <f t="shared" si="430"/>
        <v>313</v>
      </c>
      <c r="N608" s="167">
        <f t="shared" si="431"/>
        <v>189</v>
      </c>
      <c r="O608" s="168">
        <f t="shared" si="432"/>
        <v>321</v>
      </c>
      <c r="P608" s="169">
        <f t="shared" si="433"/>
        <v>470</v>
      </c>
      <c r="Q608" s="169">
        <f t="shared" si="434"/>
        <v>284</v>
      </c>
      <c r="R608" s="169">
        <f t="shared" si="435"/>
        <v>482</v>
      </c>
      <c r="S608" s="584">
        <f t="shared" si="436"/>
        <v>3135</v>
      </c>
      <c r="T608" s="594">
        <f t="shared" si="437"/>
        <v>1897</v>
      </c>
      <c r="U608" s="595">
        <f t="shared" si="438"/>
        <v>3217</v>
      </c>
      <c r="V608" s="166">
        <f t="shared" si="439"/>
        <v>7141</v>
      </c>
      <c r="W608" s="167">
        <f t="shared" si="440"/>
        <v>4316</v>
      </c>
      <c r="X608" s="168">
        <f t="shared" si="441"/>
        <v>7326</v>
      </c>
      <c r="Y608" s="166">
        <f t="shared" si="442"/>
        <v>7611</v>
      </c>
      <c r="Z608" s="167">
        <f t="shared" si="443"/>
        <v>5168</v>
      </c>
      <c r="AA608" s="168">
        <f t="shared" si="444"/>
        <v>8290</v>
      </c>
      <c r="AB608" s="166">
        <f t="shared" si="445"/>
        <v>9021</v>
      </c>
      <c r="AC608" s="167">
        <f t="shared" si="446"/>
        <v>5452</v>
      </c>
      <c r="AD608" s="168">
        <f t="shared" si="447"/>
        <v>9736</v>
      </c>
      <c r="AE608" s="166">
        <f t="shared" si="448"/>
        <v>10901</v>
      </c>
      <c r="AF608" s="167">
        <f t="shared" si="449"/>
        <v>6020</v>
      </c>
      <c r="AG608" s="168">
        <f t="shared" si="450"/>
        <v>10700</v>
      </c>
      <c r="AH608" s="166">
        <f t="shared" si="451"/>
        <v>11841</v>
      </c>
      <c r="AI608" s="167">
        <f t="shared" si="452"/>
        <v>7156</v>
      </c>
      <c r="AJ608" s="168">
        <f t="shared" si="453"/>
        <v>11664</v>
      </c>
      <c r="AK608" s="169">
        <f t="shared" si="454"/>
        <v>12790</v>
      </c>
      <c r="AL608" s="167">
        <f t="shared" si="455"/>
        <v>7740</v>
      </c>
      <c r="AM608" s="585">
        <f t="shared" si="456"/>
        <v>13126</v>
      </c>
      <c r="AN608" s="614">
        <v>5.3999999999999999E-2</v>
      </c>
      <c r="AO608" s="615">
        <v>5.7000000000000002E-2</v>
      </c>
      <c r="AP608" s="615">
        <v>0.06</v>
      </c>
      <c r="AQ608" s="616">
        <v>6.3E-2</v>
      </c>
      <c r="AR608" s="612">
        <v>6.6000000000000003E-2</v>
      </c>
      <c r="AS608" s="617"/>
      <c r="AT608" s="618"/>
      <c r="AU608" s="618"/>
      <c r="AV608" s="618"/>
      <c r="AW608" s="619"/>
      <c r="AX608" s="1133">
        <v>0.05</v>
      </c>
      <c r="AY608" s="1135">
        <v>5.5E-2</v>
      </c>
      <c r="AZ608" s="1135">
        <v>0.06</v>
      </c>
      <c r="BA608" s="1135">
        <v>6.5000000000000002E-2</v>
      </c>
      <c r="BB608" s="1135">
        <v>7.0000000000000007E-2</v>
      </c>
      <c r="BC608" s="616"/>
      <c r="BD608" s="612"/>
      <c r="BE608" s="614"/>
      <c r="BF608" s="616"/>
      <c r="BG608" s="616"/>
      <c r="BH608" s="616"/>
      <c r="BI608" s="616"/>
      <c r="BJ608" s="616"/>
      <c r="BK608" s="1023"/>
      <c r="BL608" s="658">
        <f t="shared" si="457"/>
        <v>33000</v>
      </c>
      <c r="BM608" s="3">
        <f t="shared" si="458"/>
        <v>38</v>
      </c>
      <c r="BN608" s="3">
        <f t="shared" si="459"/>
        <v>23</v>
      </c>
      <c r="BO608" s="3">
        <f t="shared" si="460"/>
        <v>39</v>
      </c>
    </row>
    <row r="609" spans="2:67">
      <c r="B609" s="1022" t="s">
        <v>4899</v>
      </c>
      <c r="C609" s="1069" t="s">
        <v>310</v>
      </c>
      <c r="D609" s="607" t="s">
        <v>4900</v>
      </c>
      <c r="E609" s="1277" t="s">
        <v>1150</v>
      </c>
      <c r="F609" s="1019">
        <v>606</v>
      </c>
      <c r="G609" s="609">
        <v>5770</v>
      </c>
      <c r="H609" s="610">
        <v>8157</v>
      </c>
      <c r="I609" s="611">
        <v>5970</v>
      </c>
      <c r="J609" s="166">
        <f t="shared" si="427"/>
        <v>115</v>
      </c>
      <c r="K609" s="167">
        <f t="shared" si="428"/>
        <v>163</v>
      </c>
      <c r="L609" s="168">
        <f t="shared" si="429"/>
        <v>119</v>
      </c>
      <c r="M609" s="166">
        <f t="shared" si="430"/>
        <v>173</v>
      </c>
      <c r="N609" s="167">
        <f t="shared" si="431"/>
        <v>244</v>
      </c>
      <c r="O609" s="168">
        <f t="shared" si="432"/>
        <v>179</v>
      </c>
      <c r="P609" s="169">
        <f t="shared" si="433"/>
        <v>230</v>
      </c>
      <c r="Q609" s="169">
        <f t="shared" si="434"/>
        <v>326</v>
      </c>
      <c r="R609" s="169">
        <f t="shared" si="435"/>
        <v>238</v>
      </c>
      <c r="S609" s="584">
        <f t="shared" si="436"/>
        <v>1731</v>
      </c>
      <c r="T609" s="594">
        <f t="shared" si="437"/>
        <v>2447</v>
      </c>
      <c r="U609" s="595">
        <f t="shared" si="438"/>
        <v>1791</v>
      </c>
      <c r="V609" s="166">
        <f t="shared" si="439"/>
        <v>3576</v>
      </c>
      <c r="W609" s="167">
        <f t="shared" si="440"/>
        <v>5050</v>
      </c>
      <c r="X609" s="168">
        <f t="shared" si="441"/>
        <v>3700</v>
      </c>
      <c r="Y609" s="166">
        <f t="shared" si="442"/>
        <v>4036</v>
      </c>
      <c r="Z609" s="167">
        <f t="shared" si="443"/>
        <v>5702</v>
      </c>
      <c r="AA609" s="168">
        <f t="shared" si="444"/>
        <v>4176</v>
      </c>
      <c r="AB609" s="166">
        <f t="shared" si="445"/>
        <v>4496</v>
      </c>
      <c r="AC609" s="167">
        <f t="shared" si="446"/>
        <v>6354</v>
      </c>
      <c r="AD609" s="168">
        <f t="shared" si="447"/>
        <v>4652</v>
      </c>
      <c r="AE609" s="166">
        <f t="shared" si="448"/>
        <v>4956</v>
      </c>
      <c r="AF609" s="167">
        <f t="shared" si="449"/>
        <v>6680</v>
      </c>
      <c r="AG609" s="168">
        <f t="shared" si="450"/>
        <v>5128</v>
      </c>
      <c r="AH609" s="166">
        <f t="shared" si="451"/>
        <v>5646</v>
      </c>
      <c r="AI609" s="167">
        <f t="shared" si="452"/>
        <v>7332</v>
      </c>
      <c r="AJ609" s="168">
        <f t="shared" si="453"/>
        <v>5366</v>
      </c>
      <c r="AK609" s="169">
        <f t="shared" si="454"/>
        <v>5885</v>
      </c>
      <c r="AL609" s="167">
        <f t="shared" si="455"/>
        <v>8320</v>
      </c>
      <c r="AM609" s="585">
        <f t="shared" si="456"/>
        <v>6089</v>
      </c>
      <c r="AN609" s="1133">
        <v>0.2</v>
      </c>
      <c r="AO609" s="1134">
        <v>0.23</v>
      </c>
      <c r="AP609" s="1134">
        <v>0.26</v>
      </c>
      <c r="AQ609" s="1135">
        <v>0.28999999999999998</v>
      </c>
      <c r="AR609" s="1132">
        <v>0.32</v>
      </c>
      <c r="AS609" s="617"/>
      <c r="AT609" s="618"/>
      <c r="AU609" s="618"/>
      <c r="AV609" s="618"/>
      <c r="AW609" s="619"/>
      <c r="AX609" s="1133">
        <v>0.01</v>
      </c>
      <c r="AY609" s="1135">
        <v>1.2999999999999999E-2</v>
      </c>
      <c r="AZ609" s="1135">
        <v>1.6E-2</v>
      </c>
      <c r="BA609" s="1135">
        <v>1.9E-2</v>
      </c>
      <c r="BB609" s="1135">
        <v>2.1999999999999999E-2</v>
      </c>
      <c r="BC609" s="616"/>
      <c r="BD609" s="612"/>
      <c r="BE609" s="614"/>
      <c r="BF609" s="616"/>
      <c r="BG609" s="616"/>
      <c r="BH609" s="616"/>
      <c r="BI609" s="616"/>
      <c r="BJ609" s="616"/>
      <c r="BK609" s="1023"/>
      <c r="BL609" s="658">
        <f t="shared" si="457"/>
        <v>19900</v>
      </c>
      <c r="BM609" s="3">
        <f t="shared" si="458"/>
        <v>29</v>
      </c>
      <c r="BN609" s="3">
        <f t="shared" si="459"/>
        <v>41</v>
      </c>
      <c r="BO609" s="3">
        <f t="shared" si="460"/>
        <v>30</v>
      </c>
    </row>
    <row r="610" spans="2:67">
      <c r="B610" s="1022" t="s">
        <v>4903</v>
      </c>
      <c r="C610" s="1069" t="s">
        <v>309</v>
      </c>
      <c r="D610" s="607" t="s">
        <v>4904</v>
      </c>
      <c r="E610" s="1278" t="s">
        <v>1150</v>
      </c>
      <c r="F610" s="608">
        <v>607</v>
      </c>
      <c r="G610" s="609">
        <v>12024</v>
      </c>
      <c r="H610" s="610">
        <v>9749</v>
      </c>
      <c r="I610" s="611">
        <v>10724</v>
      </c>
      <c r="J610" s="166">
        <f t="shared" si="427"/>
        <v>240</v>
      </c>
      <c r="K610" s="167">
        <f t="shared" si="428"/>
        <v>195</v>
      </c>
      <c r="L610" s="168">
        <f t="shared" si="429"/>
        <v>214</v>
      </c>
      <c r="M610" s="166">
        <f t="shared" si="430"/>
        <v>300</v>
      </c>
      <c r="N610" s="167">
        <f t="shared" si="431"/>
        <v>243</v>
      </c>
      <c r="O610" s="168">
        <f t="shared" si="432"/>
        <v>268</v>
      </c>
      <c r="P610" s="169">
        <f t="shared" si="433"/>
        <v>450</v>
      </c>
      <c r="Q610" s="169">
        <f t="shared" si="434"/>
        <v>365</v>
      </c>
      <c r="R610" s="169">
        <f t="shared" si="435"/>
        <v>402</v>
      </c>
      <c r="S610" s="584">
        <f t="shared" si="436"/>
        <v>3006</v>
      </c>
      <c r="T610" s="594">
        <f t="shared" si="437"/>
        <v>2437</v>
      </c>
      <c r="U610" s="595">
        <f t="shared" si="438"/>
        <v>2681</v>
      </c>
      <c r="V610" s="166">
        <f t="shared" si="439"/>
        <v>6846</v>
      </c>
      <c r="W610" s="167">
        <f t="shared" si="440"/>
        <v>5548</v>
      </c>
      <c r="X610" s="168">
        <f t="shared" si="441"/>
        <v>6111</v>
      </c>
      <c r="Y610" s="166">
        <f t="shared" si="442"/>
        <v>7746</v>
      </c>
      <c r="Z610" s="167">
        <f t="shared" si="443"/>
        <v>5913</v>
      </c>
      <c r="AA610" s="168">
        <f t="shared" si="444"/>
        <v>7317</v>
      </c>
      <c r="AB610" s="166">
        <f t="shared" si="445"/>
        <v>9096</v>
      </c>
      <c r="AC610" s="167">
        <f t="shared" si="446"/>
        <v>7008</v>
      </c>
      <c r="AD610" s="168">
        <f t="shared" si="447"/>
        <v>7719</v>
      </c>
      <c r="AE610" s="166">
        <f t="shared" si="448"/>
        <v>9996</v>
      </c>
      <c r="AF610" s="167">
        <f t="shared" si="449"/>
        <v>8468</v>
      </c>
      <c r="AG610" s="168">
        <f t="shared" si="450"/>
        <v>8523</v>
      </c>
      <c r="AH610" s="166">
        <f t="shared" si="451"/>
        <v>10896</v>
      </c>
      <c r="AI610" s="167">
        <f t="shared" si="452"/>
        <v>9198</v>
      </c>
      <c r="AJ610" s="168">
        <f t="shared" si="453"/>
        <v>10131</v>
      </c>
      <c r="AK610" s="169">
        <f t="shared" si="454"/>
        <v>12264</v>
      </c>
      <c r="AL610" s="167">
        <f t="shared" si="455"/>
        <v>9944</v>
      </c>
      <c r="AM610" s="585">
        <f t="shared" si="456"/>
        <v>10938</v>
      </c>
      <c r="AN610" s="614">
        <v>0.25</v>
      </c>
      <c r="AO610" s="615">
        <v>0.28000000000000003</v>
      </c>
      <c r="AP610" s="615">
        <v>0.31</v>
      </c>
      <c r="AQ610" s="616">
        <v>0.34</v>
      </c>
      <c r="AR610" s="612">
        <v>0.37</v>
      </c>
      <c r="AS610" s="617"/>
      <c r="AT610" s="618"/>
      <c r="AU610" s="618"/>
      <c r="AV610" s="618"/>
      <c r="AW610" s="619"/>
      <c r="AX610" s="1133">
        <v>0.04</v>
      </c>
      <c r="AY610" s="1135">
        <v>4.2999999999999997E-2</v>
      </c>
      <c r="AZ610" s="1135">
        <v>4.5999999999999999E-2</v>
      </c>
      <c r="BA610" s="1135">
        <v>4.9000000000000002E-2</v>
      </c>
      <c r="BB610" s="1135">
        <v>5.1999999999999998E-2</v>
      </c>
      <c r="BC610" s="616"/>
      <c r="BD610" s="612"/>
      <c r="BE610" s="614"/>
      <c r="BF610" s="616"/>
      <c r="BG610" s="616"/>
      <c r="BH610" s="616"/>
      <c r="BI610" s="616"/>
      <c r="BJ610" s="616"/>
      <c r="BK610" s="1023"/>
      <c r="BL610" s="658">
        <f t="shared" si="457"/>
        <v>32500</v>
      </c>
      <c r="BM610" s="3">
        <f t="shared" si="458"/>
        <v>37</v>
      </c>
      <c r="BN610" s="3">
        <f t="shared" si="459"/>
        <v>30</v>
      </c>
      <c r="BO610" s="3">
        <f t="shared" si="460"/>
        <v>33</v>
      </c>
    </row>
    <row r="611" spans="2:67">
      <c r="B611" s="1022" t="s">
        <v>4908</v>
      </c>
      <c r="C611" s="1069" t="s">
        <v>309</v>
      </c>
      <c r="D611" s="607" t="s">
        <v>4900</v>
      </c>
      <c r="E611" s="1277" t="s">
        <v>125</v>
      </c>
      <c r="F611" s="1019">
        <v>608</v>
      </c>
      <c r="G611" s="609">
        <v>6749</v>
      </c>
      <c r="H611" s="610">
        <v>11609</v>
      </c>
      <c r="I611" s="611">
        <v>8640</v>
      </c>
      <c r="J611" s="166">
        <f t="shared" si="427"/>
        <v>135</v>
      </c>
      <c r="K611" s="167">
        <f t="shared" si="428"/>
        <v>232</v>
      </c>
      <c r="L611" s="168">
        <f t="shared" si="429"/>
        <v>172</v>
      </c>
      <c r="M611" s="166">
        <f t="shared" si="430"/>
        <v>168</v>
      </c>
      <c r="N611" s="167">
        <f t="shared" si="431"/>
        <v>290</v>
      </c>
      <c r="O611" s="168">
        <f t="shared" si="432"/>
        <v>216</v>
      </c>
      <c r="P611" s="169">
        <f t="shared" si="433"/>
        <v>253</v>
      </c>
      <c r="Q611" s="169">
        <f t="shared" si="434"/>
        <v>435</v>
      </c>
      <c r="R611" s="169">
        <f t="shared" si="435"/>
        <v>324</v>
      </c>
      <c r="S611" s="584">
        <f t="shared" si="436"/>
        <v>1687</v>
      </c>
      <c r="T611" s="594">
        <f t="shared" si="437"/>
        <v>2902</v>
      </c>
      <c r="U611" s="595">
        <f t="shared" si="438"/>
        <v>2160</v>
      </c>
      <c r="V611" s="166">
        <f t="shared" si="439"/>
        <v>3838</v>
      </c>
      <c r="W611" s="167">
        <f t="shared" si="440"/>
        <v>6614</v>
      </c>
      <c r="X611" s="168">
        <f t="shared" si="441"/>
        <v>4924</v>
      </c>
      <c r="Y611" s="166">
        <f t="shared" si="442"/>
        <v>4597</v>
      </c>
      <c r="Z611" s="167">
        <f t="shared" si="443"/>
        <v>7484</v>
      </c>
      <c r="AA611" s="168">
        <f t="shared" si="444"/>
        <v>5248</v>
      </c>
      <c r="AB611" s="166">
        <f t="shared" si="445"/>
        <v>4850</v>
      </c>
      <c r="AC611" s="167">
        <f t="shared" si="446"/>
        <v>8789</v>
      </c>
      <c r="AD611" s="168">
        <f t="shared" si="447"/>
        <v>6220</v>
      </c>
      <c r="AE611" s="166">
        <f t="shared" si="448"/>
        <v>5356</v>
      </c>
      <c r="AF611" s="167">
        <f t="shared" si="449"/>
        <v>9659</v>
      </c>
      <c r="AG611" s="168">
        <f t="shared" si="450"/>
        <v>7516</v>
      </c>
      <c r="AH611" s="166">
        <f t="shared" si="451"/>
        <v>6368</v>
      </c>
      <c r="AI611" s="167">
        <f t="shared" si="452"/>
        <v>10529</v>
      </c>
      <c r="AJ611" s="168">
        <f t="shared" si="453"/>
        <v>8164</v>
      </c>
      <c r="AK611" s="169">
        <f t="shared" si="454"/>
        <v>6884</v>
      </c>
      <c r="AL611" s="167">
        <f t="shared" si="455"/>
        <v>11841</v>
      </c>
      <c r="AM611" s="585">
        <f t="shared" si="456"/>
        <v>8812</v>
      </c>
      <c r="AN611" s="614">
        <v>0.17</v>
      </c>
      <c r="AO611" s="615">
        <v>0.2</v>
      </c>
      <c r="AP611" s="615">
        <v>0.23</v>
      </c>
      <c r="AQ611" s="616">
        <v>0.26</v>
      </c>
      <c r="AR611" s="612">
        <v>0.28999999999999998</v>
      </c>
      <c r="AS611" s="617"/>
      <c r="AT611" s="618"/>
      <c r="AU611" s="618"/>
      <c r="AV611" s="618"/>
      <c r="AW611" s="619"/>
      <c r="AX611" s="596">
        <v>0.03</v>
      </c>
      <c r="AY611" s="598">
        <v>3.3000000000000002E-2</v>
      </c>
      <c r="AZ611" s="598">
        <v>3.5999999999999997E-2</v>
      </c>
      <c r="BA611" s="598">
        <v>3.9E-2</v>
      </c>
      <c r="BB611" s="598">
        <v>4.2000000000000003E-2</v>
      </c>
      <c r="BC611" s="616"/>
      <c r="BD611" s="612"/>
      <c r="BE611" s="614"/>
      <c r="BF611" s="616"/>
      <c r="BG611" s="616"/>
      <c r="BH611" s="616"/>
      <c r="BI611" s="616"/>
      <c r="BJ611" s="616"/>
      <c r="BK611" s="1023"/>
      <c r="BL611" s="658">
        <f t="shared" si="457"/>
        <v>27000</v>
      </c>
      <c r="BM611" s="3">
        <f t="shared" si="458"/>
        <v>25</v>
      </c>
      <c r="BN611" s="3">
        <f t="shared" si="459"/>
        <v>43</v>
      </c>
      <c r="BO611" s="3">
        <f t="shared" si="460"/>
        <v>32</v>
      </c>
    </row>
    <row r="612" spans="2:67">
      <c r="B612" s="1022" t="s">
        <v>4910</v>
      </c>
      <c r="C612" s="1069" t="s">
        <v>310</v>
      </c>
      <c r="D612" s="607" t="s">
        <v>4904</v>
      </c>
      <c r="E612" s="1277" t="s">
        <v>125</v>
      </c>
      <c r="F612" s="608">
        <v>609</v>
      </c>
      <c r="G612" s="609">
        <v>6927</v>
      </c>
      <c r="H612" s="610">
        <v>4224</v>
      </c>
      <c r="I612" s="611">
        <v>5744</v>
      </c>
      <c r="J612" s="166">
        <f t="shared" si="427"/>
        <v>138</v>
      </c>
      <c r="K612" s="167">
        <f t="shared" si="428"/>
        <v>84</v>
      </c>
      <c r="L612" s="168">
        <f t="shared" si="429"/>
        <v>114</v>
      </c>
      <c r="M612" s="166">
        <f t="shared" si="430"/>
        <v>207</v>
      </c>
      <c r="N612" s="167">
        <f t="shared" si="431"/>
        <v>126</v>
      </c>
      <c r="O612" s="168">
        <f t="shared" si="432"/>
        <v>172</v>
      </c>
      <c r="P612" s="169">
        <f t="shared" si="433"/>
        <v>277</v>
      </c>
      <c r="Q612" s="169">
        <f t="shared" si="434"/>
        <v>169</v>
      </c>
      <c r="R612" s="169">
        <f t="shared" si="435"/>
        <v>229</v>
      </c>
      <c r="S612" s="584">
        <f t="shared" si="436"/>
        <v>2078</v>
      </c>
      <c r="T612" s="594">
        <f t="shared" si="437"/>
        <v>1267</v>
      </c>
      <c r="U612" s="595">
        <f t="shared" si="438"/>
        <v>1723</v>
      </c>
      <c r="V612" s="166">
        <f t="shared" si="439"/>
        <v>4286</v>
      </c>
      <c r="W612" s="167">
        <f t="shared" si="440"/>
        <v>2611</v>
      </c>
      <c r="X612" s="168">
        <f t="shared" si="441"/>
        <v>3557</v>
      </c>
      <c r="Y612" s="166">
        <f t="shared" si="442"/>
        <v>4840</v>
      </c>
      <c r="Z612" s="167">
        <f t="shared" si="443"/>
        <v>2949</v>
      </c>
      <c r="AA612" s="168">
        <f t="shared" si="444"/>
        <v>4015</v>
      </c>
      <c r="AB612" s="166">
        <f t="shared" si="445"/>
        <v>5394</v>
      </c>
      <c r="AC612" s="167">
        <f t="shared" si="446"/>
        <v>3287</v>
      </c>
      <c r="AD612" s="168">
        <f t="shared" si="447"/>
        <v>4473</v>
      </c>
      <c r="AE612" s="166">
        <f t="shared" si="448"/>
        <v>5671</v>
      </c>
      <c r="AF612" s="167">
        <f t="shared" si="449"/>
        <v>3625</v>
      </c>
      <c r="AG612" s="168">
        <f t="shared" si="450"/>
        <v>4931</v>
      </c>
      <c r="AH612" s="166">
        <f t="shared" si="451"/>
        <v>6225</v>
      </c>
      <c r="AI612" s="167">
        <f t="shared" si="452"/>
        <v>3794</v>
      </c>
      <c r="AJ612" s="168">
        <f t="shared" si="453"/>
        <v>5618</v>
      </c>
      <c r="AK612" s="169">
        <f t="shared" si="454"/>
        <v>7065</v>
      </c>
      <c r="AL612" s="167">
        <f t="shared" si="455"/>
        <v>4308</v>
      </c>
      <c r="AM612" s="585">
        <f t="shared" si="456"/>
        <v>5858</v>
      </c>
      <c r="AN612" s="1133">
        <v>0.05</v>
      </c>
      <c r="AO612" s="1134">
        <v>5.5E-2</v>
      </c>
      <c r="AP612" s="1134">
        <v>0.06</v>
      </c>
      <c r="AQ612" s="1135">
        <v>6.5000000000000002E-2</v>
      </c>
      <c r="AR612" s="1132">
        <v>7.0000000000000007E-2</v>
      </c>
      <c r="AS612" s="617"/>
      <c r="AT612" s="618"/>
      <c r="AU612" s="618"/>
      <c r="AV612" s="618"/>
      <c r="AW612" s="619"/>
      <c r="AX612" s="596">
        <v>0.03</v>
      </c>
      <c r="AY612" s="598">
        <v>3.3000000000000002E-2</v>
      </c>
      <c r="AZ612" s="598">
        <v>3.5999999999999997E-2</v>
      </c>
      <c r="BA612" s="598">
        <v>3.9E-2</v>
      </c>
      <c r="BB612" s="598">
        <v>4.2000000000000003E-2</v>
      </c>
      <c r="BC612" s="616"/>
      <c r="BD612" s="612"/>
      <c r="BE612" s="614"/>
      <c r="BF612" s="616"/>
      <c r="BG612" s="616"/>
      <c r="BH612" s="616"/>
      <c r="BI612" s="616"/>
      <c r="BJ612" s="616"/>
      <c r="BK612" s="1023"/>
      <c r="BL612" s="658">
        <f t="shared" si="457"/>
        <v>16900</v>
      </c>
      <c r="BM612" s="3">
        <f t="shared" si="458"/>
        <v>41</v>
      </c>
      <c r="BN612" s="3">
        <f t="shared" si="459"/>
        <v>25</v>
      </c>
      <c r="BO612" s="3">
        <f t="shared" si="460"/>
        <v>34</v>
      </c>
    </row>
    <row r="613" spans="2:67">
      <c r="B613" s="1022" t="s">
        <v>4912</v>
      </c>
      <c r="C613" s="1069" t="s">
        <v>310</v>
      </c>
      <c r="D613" s="607" t="s">
        <v>4913</v>
      </c>
      <c r="E613" s="1278" t="s">
        <v>125</v>
      </c>
      <c r="F613" s="1019">
        <v>610</v>
      </c>
      <c r="G613" s="609">
        <v>5576</v>
      </c>
      <c r="H613" s="610">
        <v>4393</v>
      </c>
      <c r="I613" s="611">
        <v>6927</v>
      </c>
      <c r="J613" s="166">
        <f t="shared" si="427"/>
        <v>111</v>
      </c>
      <c r="K613" s="167">
        <f t="shared" si="428"/>
        <v>87</v>
      </c>
      <c r="L613" s="168">
        <f t="shared" si="429"/>
        <v>138</v>
      </c>
      <c r="M613" s="166">
        <f t="shared" si="430"/>
        <v>167</v>
      </c>
      <c r="N613" s="167">
        <f t="shared" si="431"/>
        <v>131</v>
      </c>
      <c r="O613" s="168">
        <f t="shared" si="432"/>
        <v>207</v>
      </c>
      <c r="P613" s="169">
        <f t="shared" si="433"/>
        <v>223</v>
      </c>
      <c r="Q613" s="169">
        <f t="shared" si="434"/>
        <v>175</v>
      </c>
      <c r="R613" s="169">
        <f t="shared" si="435"/>
        <v>277</v>
      </c>
      <c r="S613" s="584">
        <f t="shared" si="436"/>
        <v>1673</v>
      </c>
      <c r="T613" s="594">
        <f t="shared" si="437"/>
        <v>1318</v>
      </c>
      <c r="U613" s="595">
        <f t="shared" si="438"/>
        <v>2078</v>
      </c>
      <c r="V613" s="166">
        <f t="shared" si="439"/>
        <v>3454</v>
      </c>
      <c r="W613" s="167">
        <f t="shared" si="440"/>
        <v>2715</v>
      </c>
      <c r="X613" s="168">
        <f t="shared" si="441"/>
        <v>4286</v>
      </c>
      <c r="Y613" s="166">
        <f t="shared" si="442"/>
        <v>3900</v>
      </c>
      <c r="Z613" s="167">
        <f t="shared" si="443"/>
        <v>3065</v>
      </c>
      <c r="AA613" s="168">
        <f t="shared" si="444"/>
        <v>4840</v>
      </c>
      <c r="AB613" s="166">
        <f t="shared" si="445"/>
        <v>4346</v>
      </c>
      <c r="AC613" s="167">
        <f t="shared" si="446"/>
        <v>3415</v>
      </c>
      <c r="AD613" s="168">
        <f t="shared" si="447"/>
        <v>5394</v>
      </c>
      <c r="AE613" s="166">
        <f t="shared" si="448"/>
        <v>4792</v>
      </c>
      <c r="AF613" s="167">
        <f t="shared" si="449"/>
        <v>3590</v>
      </c>
      <c r="AG613" s="168">
        <f t="shared" si="450"/>
        <v>5948</v>
      </c>
      <c r="AH613" s="166">
        <f t="shared" si="451"/>
        <v>5015</v>
      </c>
      <c r="AI613" s="167">
        <f t="shared" si="452"/>
        <v>3940</v>
      </c>
      <c r="AJ613" s="168">
        <f t="shared" si="453"/>
        <v>6779</v>
      </c>
      <c r="AK613" s="169">
        <f t="shared" si="454"/>
        <v>5687</v>
      </c>
      <c r="AL613" s="167">
        <f t="shared" si="455"/>
        <v>4480</v>
      </c>
      <c r="AM613" s="585">
        <f t="shared" si="456"/>
        <v>7065</v>
      </c>
      <c r="AN613" s="614">
        <v>2.7E-2</v>
      </c>
      <c r="AO613" s="615">
        <v>2.9000000000000001E-2</v>
      </c>
      <c r="AP613" s="615">
        <v>3.1E-2</v>
      </c>
      <c r="AQ613" s="616">
        <v>3.3000000000000002E-2</v>
      </c>
      <c r="AR613" s="612">
        <v>3.5000000000000003E-2</v>
      </c>
      <c r="AS613" s="617"/>
      <c r="AT613" s="618"/>
      <c r="AU613" s="618"/>
      <c r="AV613" s="618"/>
      <c r="AW613" s="619"/>
      <c r="AX613" s="1133">
        <v>0.02</v>
      </c>
      <c r="AY613" s="1135">
        <v>2.3E-2</v>
      </c>
      <c r="AZ613" s="1135">
        <v>2.5999999999999999E-2</v>
      </c>
      <c r="BA613" s="1135">
        <v>2.9000000000000001E-2</v>
      </c>
      <c r="BB613" s="1135">
        <v>3.2000000000000001E-2</v>
      </c>
      <c r="BC613" s="616"/>
      <c r="BD613" s="612"/>
      <c r="BE613" s="614"/>
      <c r="BF613" s="616"/>
      <c r="BG613" s="616"/>
      <c r="BH613" s="616"/>
      <c r="BI613" s="616"/>
      <c r="BJ613" s="616"/>
      <c r="BK613" s="1023"/>
      <c r="BL613" s="658">
        <f t="shared" si="457"/>
        <v>16900</v>
      </c>
      <c r="BM613" s="3">
        <f t="shared" si="458"/>
        <v>33</v>
      </c>
      <c r="BN613" s="3">
        <f t="shared" si="459"/>
        <v>26</v>
      </c>
      <c r="BO613" s="3">
        <f t="shared" si="460"/>
        <v>41</v>
      </c>
    </row>
    <row r="614" spans="2:67">
      <c r="B614" s="1022" t="s">
        <v>4928</v>
      </c>
      <c r="C614" s="1069" t="s">
        <v>309</v>
      </c>
      <c r="D614" s="607" t="s">
        <v>4929</v>
      </c>
      <c r="E614" s="1021" t="s">
        <v>4930</v>
      </c>
      <c r="F614" s="608">
        <v>611</v>
      </c>
      <c r="G614" s="609">
        <v>11220</v>
      </c>
      <c r="H614" s="610">
        <v>8580</v>
      </c>
      <c r="I614" s="611">
        <v>13200</v>
      </c>
      <c r="J614" s="166">
        <f t="shared" si="427"/>
        <v>224</v>
      </c>
      <c r="K614" s="167">
        <f t="shared" si="428"/>
        <v>171</v>
      </c>
      <c r="L614" s="168">
        <f t="shared" si="429"/>
        <v>264</v>
      </c>
      <c r="M614" s="166">
        <f t="shared" si="430"/>
        <v>303</v>
      </c>
      <c r="N614" s="167">
        <f t="shared" si="431"/>
        <v>232</v>
      </c>
      <c r="O614" s="168">
        <f t="shared" si="432"/>
        <v>357</v>
      </c>
      <c r="P614" s="169">
        <f t="shared" si="433"/>
        <v>490</v>
      </c>
      <c r="Q614" s="169">
        <f t="shared" si="434"/>
        <v>375</v>
      </c>
      <c r="R614" s="169">
        <f t="shared" si="435"/>
        <v>577</v>
      </c>
      <c r="S614" s="584">
        <f t="shared" si="436"/>
        <v>2805</v>
      </c>
      <c r="T614" s="594">
        <f t="shared" si="437"/>
        <v>2145</v>
      </c>
      <c r="U614" s="595">
        <f t="shared" si="438"/>
        <v>3300</v>
      </c>
      <c r="V614" s="166">
        <f t="shared" si="439"/>
        <v>8483</v>
      </c>
      <c r="W614" s="167">
        <f t="shared" si="440"/>
        <v>6492</v>
      </c>
      <c r="X614" s="168">
        <f t="shared" si="441"/>
        <v>9990</v>
      </c>
      <c r="Y614" s="166">
        <f t="shared" si="442"/>
        <v>9463</v>
      </c>
      <c r="Z614" s="167">
        <f t="shared" si="443"/>
        <v>6867</v>
      </c>
      <c r="AA614" s="168">
        <f t="shared" si="444"/>
        <v>11144</v>
      </c>
      <c r="AB614" s="166">
        <f t="shared" si="445"/>
        <v>9953</v>
      </c>
      <c r="AC614" s="167">
        <f t="shared" si="446"/>
        <v>7242</v>
      </c>
      <c r="AD614" s="168">
        <f t="shared" si="447"/>
        <v>11144</v>
      </c>
      <c r="AE614" s="166">
        <f t="shared" si="448"/>
        <v>9953</v>
      </c>
      <c r="AF614" s="167">
        <f t="shared" si="449"/>
        <v>7617</v>
      </c>
      <c r="AG614" s="168">
        <f t="shared" si="450"/>
        <v>11721</v>
      </c>
      <c r="AH614" s="166">
        <f t="shared" si="451"/>
        <v>10443</v>
      </c>
      <c r="AI614" s="167">
        <f t="shared" si="452"/>
        <v>7992</v>
      </c>
      <c r="AJ614" s="168">
        <f t="shared" si="453"/>
        <v>12298</v>
      </c>
      <c r="AK614" s="169">
        <f t="shared" si="454"/>
        <v>11444</v>
      </c>
      <c r="AL614" s="167">
        <f t="shared" si="455"/>
        <v>8751</v>
      </c>
      <c r="AM614" s="585">
        <f t="shared" si="456"/>
        <v>13464</v>
      </c>
      <c r="AN614" s="614">
        <v>7.0000000000000007E-2</v>
      </c>
      <c r="AO614" s="615">
        <v>7.4999999999999997E-2</v>
      </c>
      <c r="AP614" s="615">
        <v>0.08</v>
      </c>
      <c r="AQ614" s="616">
        <v>8.5000000000000006E-2</v>
      </c>
      <c r="AR614" s="612">
        <v>0.09</v>
      </c>
      <c r="AS614" s="617"/>
      <c r="AT614" s="618"/>
      <c r="AU614" s="618"/>
      <c r="AV614" s="618"/>
      <c r="AW614" s="619"/>
      <c r="AX614" s="1133">
        <v>5.2999999999999999E-2</v>
      </c>
      <c r="AY614" s="1135">
        <v>5.5E-2</v>
      </c>
      <c r="AZ614" s="1135">
        <v>5.7000000000000002E-2</v>
      </c>
      <c r="BA614" s="1135">
        <v>5.8999999999999997E-2</v>
      </c>
      <c r="BB614" s="1135">
        <v>6.0999999999999999E-2</v>
      </c>
      <c r="BC614" s="1135">
        <v>6.3E-2</v>
      </c>
      <c r="BD614" s="1132">
        <v>6.5000000000000002E-2</v>
      </c>
      <c r="BE614" s="614"/>
      <c r="BF614" s="616"/>
      <c r="BG614" s="616"/>
      <c r="BH614" s="616"/>
      <c r="BI614" s="616"/>
      <c r="BJ614" s="616"/>
      <c r="BK614" s="1023"/>
      <c r="BL614" s="658">
        <f t="shared" si="457"/>
        <v>33000</v>
      </c>
      <c r="BM614" s="3">
        <f t="shared" si="458"/>
        <v>34</v>
      </c>
      <c r="BN614" s="3">
        <f t="shared" si="459"/>
        <v>26</v>
      </c>
      <c r="BO614" s="3">
        <f t="shared" si="460"/>
        <v>40</v>
      </c>
    </row>
    <row r="615" spans="2:67">
      <c r="B615" s="1022" t="s">
        <v>4935</v>
      </c>
      <c r="C615" s="1069" t="s">
        <v>310</v>
      </c>
      <c r="D615" s="607" t="s">
        <v>4929</v>
      </c>
      <c r="E615" s="1287" t="s">
        <v>1150</v>
      </c>
      <c r="F615" s="1019">
        <v>612</v>
      </c>
      <c r="G615" s="609">
        <v>6463</v>
      </c>
      <c r="H615" s="610">
        <v>5654</v>
      </c>
      <c r="I615" s="611">
        <v>8080</v>
      </c>
      <c r="J615" s="166">
        <f t="shared" si="427"/>
        <v>129</v>
      </c>
      <c r="K615" s="167">
        <f t="shared" si="428"/>
        <v>113</v>
      </c>
      <c r="L615" s="168">
        <f t="shared" si="429"/>
        <v>161</v>
      </c>
      <c r="M615" s="166">
        <f t="shared" si="430"/>
        <v>193</v>
      </c>
      <c r="N615" s="167">
        <f t="shared" si="431"/>
        <v>169</v>
      </c>
      <c r="O615" s="168">
        <f t="shared" si="432"/>
        <v>242</v>
      </c>
      <c r="P615" s="169">
        <f t="shared" si="433"/>
        <v>258</v>
      </c>
      <c r="Q615" s="169">
        <f t="shared" si="434"/>
        <v>226</v>
      </c>
      <c r="R615" s="169">
        <f t="shared" si="435"/>
        <v>323</v>
      </c>
      <c r="S615" s="584">
        <f t="shared" si="436"/>
        <v>1939</v>
      </c>
      <c r="T615" s="594">
        <f t="shared" si="437"/>
        <v>1696</v>
      </c>
      <c r="U615" s="595">
        <f t="shared" si="438"/>
        <v>2424</v>
      </c>
      <c r="V615" s="166">
        <f t="shared" si="439"/>
        <v>3998</v>
      </c>
      <c r="W615" s="167">
        <f t="shared" si="440"/>
        <v>3499</v>
      </c>
      <c r="X615" s="168">
        <f t="shared" si="441"/>
        <v>5005</v>
      </c>
      <c r="Y615" s="166">
        <f t="shared" si="442"/>
        <v>4514</v>
      </c>
      <c r="Z615" s="167">
        <f t="shared" si="443"/>
        <v>3951</v>
      </c>
      <c r="AA615" s="168">
        <f t="shared" si="444"/>
        <v>5651</v>
      </c>
      <c r="AB615" s="166">
        <f t="shared" si="445"/>
        <v>5030</v>
      </c>
      <c r="AC615" s="167">
        <f t="shared" si="446"/>
        <v>4403</v>
      </c>
      <c r="AD615" s="168">
        <f t="shared" si="447"/>
        <v>6297</v>
      </c>
      <c r="AE615" s="166">
        <f t="shared" si="448"/>
        <v>5546</v>
      </c>
      <c r="AF615" s="167">
        <f t="shared" si="449"/>
        <v>4855</v>
      </c>
      <c r="AG615" s="168">
        <f t="shared" si="450"/>
        <v>6620</v>
      </c>
      <c r="AH615" s="166">
        <f t="shared" si="451"/>
        <v>5804</v>
      </c>
      <c r="AI615" s="167">
        <f t="shared" si="452"/>
        <v>5533</v>
      </c>
      <c r="AJ615" s="168">
        <f t="shared" si="453"/>
        <v>7266</v>
      </c>
      <c r="AK615" s="169">
        <f t="shared" si="454"/>
        <v>6592</v>
      </c>
      <c r="AL615" s="167">
        <f t="shared" si="455"/>
        <v>5767</v>
      </c>
      <c r="AM615" s="585">
        <f t="shared" si="456"/>
        <v>8241</v>
      </c>
      <c r="AN615" s="1133">
        <v>0.05</v>
      </c>
      <c r="AO615" s="1134">
        <v>5.5E-2</v>
      </c>
      <c r="AP615" s="1134">
        <v>0.06</v>
      </c>
      <c r="AQ615" s="1135">
        <v>6.5000000000000002E-2</v>
      </c>
      <c r="AR615" s="1132">
        <v>7.0000000000000007E-2</v>
      </c>
      <c r="AS615" s="617"/>
      <c r="AT615" s="618"/>
      <c r="AU615" s="618"/>
      <c r="AV615" s="618"/>
      <c r="AW615" s="619"/>
      <c r="AX615" s="1133">
        <v>0.03</v>
      </c>
      <c r="AY615" s="1135">
        <v>3.5000000000000003E-2</v>
      </c>
      <c r="AZ615" s="1135">
        <v>0.04</v>
      </c>
      <c r="BA615" s="1135">
        <v>4.4999999999999998E-2</v>
      </c>
      <c r="BB615" s="1135">
        <v>0.05</v>
      </c>
      <c r="BC615" s="616"/>
      <c r="BD615" s="612"/>
      <c r="BE615" s="614"/>
      <c r="BF615" s="616"/>
      <c r="BG615" s="616"/>
      <c r="BH615" s="616"/>
      <c r="BI615" s="616"/>
      <c r="BJ615" s="616"/>
      <c r="BK615" s="1023"/>
      <c r="BL615" s="658">
        <f t="shared" si="457"/>
        <v>20200</v>
      </c>
      <c r="BM615" s="3">
        <f t="shared" si="458"/>
        <v>32</v>
      </c>
      <c r="BN615" s="3">
        <f t="shared" si="459"/>
        <v>28</v>
      </c>
      <c r="BO615" s="3">
        <f t="shared" si="460"/>
        <v>40</v>
      </c>
    </row>
    <row r="616" spans="2:67">
      <c r="B616" s="1022" t="s">
        <v>4989</v>
      </c>
      <c r="C616" s="1069" t="s">
        <v>309</v>
      </c>
      <c r="D616" s="1069" t="s">
        <v>4990</v>
      </c>
      <c r="E616" s="1302" t="s">
        <v>1150</v>
      </c>
      <c r="F616" s="608">
        <v>613</v>
      </c>
      <c r="G616" s="609">
        <v>12673</v>
      </c>
      <c r="H616" s="610">
        <v>9424</v>
      </c>
      <c r="I616" s="611">
        <v>10400</v>
      </c>
      <c r="J616" s="166">
        <f t="shared" si="427"/>
        <v>253</v>
      </c>
      <c r="K616" s="167">
        <f t="shared" si="428"/>
        <v>188</v>
      </c>
      <c r="L616" s="168">
        <f t="shared" si="429"/>
        <v>208</v>
      </c>
      <c r="M616" s="166">
        <f t="shared" si="430"/>
        <v>316</v>
      </c>
      <c r="N616" s="167">
        <f t="shared" si="431"/>
        <v>235</v>
      </c>
      <c r="O616" s="168">
        <f t="shared" si="432"/>
        <v>260</v>
      </c>
      <c r="P616" s="169">
        <f t="shared" si="433"/>
        <v>475</v>
      </c>
      <c r="Q616" s="169">
        <f t="shared" si="434"/>
        <v>353</v>
      </c>
      <c r="R616" s="169">
        <f t="shared" si="435"/>
        <v>390</v>
      </c>
      <c r="S616" s="584">
        <f t="shared" si="436"/>
        <v>3168</v>
      </c>
      <c r="T616" s="594">
        <f t="shared" si="437"/>
        <v>2356</v>
      </c>
      <c r="U616" s="595">
        <f t="shared" si="438"/>
        <v>2600</v>
      </c>
      <c r="V616" s="166">
        <f t="shared" si="439"/>
        <v>7213</v>
      </c>
      <c r="W616" s="167">
        <f t="shared" si="440"/>
        <v>5364</v>
      </c>
      <c r="X616" s="168">
        <f t="shared" si="441"/>
        <v>5928</v>
      </c>
      <c r="Y616" s="166">
        <f t="shared" si="442"/>
        <v>8163</v>
      </c>
      <c r="Z616" s="167">
        <f t="shared" si="443"/>
        <v>5717</v>
      </c>
      <c r="AA616" s="168">
        <f t="shared" si="444"/>
        <v>7098</v>
      </c>
      <c r="AB616" s="166">
        <f t="shared" si="445"/>
        <v>9588</v>
      </c>
      <c r="AC616" s="167">
        <f t="shared" si="446"/>
        <v>6776</v>
      </c>
      <c r="AD616" s="168">
        <f t="shared" si="447"/>
        <v>7488</v>
      </c>
      <c r="AE616" s="166">
        <f t="shared" si="448"/>
        <v>10538</v>
      </c>
      <c r="AF616" s="167">
        <f t="shared" si="449"/>
        <v>8188</v>
      </c>
      <c r="AG616" s="168">
        <f t="shared" si="450"/>
        <v>8268</v>
      </c>
      <c r="AH616" s="166">
        <f t="shared" si="451"/>
        <v>11488</v>
      </c>
      <c r="AI616" s="167">
        <f t="shared" si="452"/>
        <v>8894</v>
      </c>
      <c r="AJ616" s="168">
        <f t="shared" si="453"/>
        <v>9828</v>
      </c>
      <c r="AK616" s="169">
        <f t="shared" si="454"/>
        <v>12926</v>
      </c>
      <c r="AL616" s="167">
        <f t="shared" si="455"/>
        <v>9612</v>
      </c>
      <c r="AM616" s="585">
        <f t="shared" si="456"/>
        <v>10608</v>
      </c>
      <c r="AN616" s="1133">
        <v>7.0000000000000007E-2</v>
      </c>
      <c r="AO616" s="1134">
        <v>7.4999999999999997E-2</v>
      </c>
      <c r="AP616" s="1134">
        <v>0.08</v>
      </c>
      <c r="AQ616" s="1135">
        <v>8.5000000000000006E-2</v>
      </c>
      <c r="AR616" s="1132">
        <v>0.09</v>
      </c>
      <c r="AS616" s="617"/>
      <c r="AT616" s="618"/>
      <c r="AU616" s="618"/>
      <c r="AV616" s="618"/>
      <c r="AW616" s="619"/>
      <c r="AX616" s="1133">
        <v>0.05</v>
      </c>
      <c r="AY616" s="1135">
        <v>5.5E-2</v>
      </c>
      <c r="AZ616" s="1135">
        <v>0.06</v>
      </c>
      <c r="BA616" s="1135">
        <v>6.5000000000000002E-2</v>
      </c>
      <c r="BB616" s="1135">
        <v>7.0000000000000007E-2</v>
      </c>
      <c r="BC616" s="616"/>
      <c r="BD616" s="612"/>
      <c r="BE616" s="614"/>
      <c r="BF616" s="616"/>
      <c r="BG616" s="616"/>
      <c r="BH616" s="616"/>
      <c r="BI616" s="616"/>
      <c r="BJ616" s="616"/>
      <c r="BK616" s="1023"/>
      <c r="BL616" s="658">
        <f t="shared" si="457"/>
        <v>32500</v>
      </c>
      <c r="BM616" s="3">
        <f t="shared" si="458"/>
        <v>39</v>
      </c>
      <c r="BN616" s="3">
        <f t="shared" si="459"/>
        <v>29</v>
      </c>
      <c r="BO616" s="3">
        <f t="shared" si="460"/>
        <v>32</v>
      </c>
    </row>
    <row r="617" spans="2:67">
      <c r="B617" s="1022" t="s">
        <v>4995</v>
      </c>
      <c r="C617" s="1069" t="s">
        <v>310</v>
      </c>
      <c r="D617" s="1069" t="s">
        <v>4990</v>
      </c>
      <c r="E617" s="1302" t="s">
        <v>1150</v>
      </c>
      <c r="F617" s="1019">
        <v>614</v>
      </c>
      <c r="G617" s="609">
        <v>7674</v>
      </c>
      <c r="H617" s="610">
        <v>6260</v>
      </c>
      <c r="I617" s="611">
        <v>6260</v>
      </c>
      <c r="J617" s="166">
        <f t="shared" si="427"/>
        <v>153</v>
      </c>
      <c r="K617" s="167">
        <f t="shared" si="428"/>
        <v>125</v>
      </c>
      <c r="L617" s="168">
        <f t="shared" si="429"/>
        <v>125</v>
      </c>
      <c r="M617" s="166">
        <f t="shared" si="430"/>
        <v>230</v>
      </c>
      <c r="N617" s="167">
        <f t="shared" si="431"/>
        <v>187</v>
      </c>
      <c r="O617" s="168">
        <f t="shared" si="432"/>
        <v>187</v>
      </c>
      <c r="P617" s="169">
        <f t="shared" si="433"/>
        <v>307</v>
      </c>
      <c r="Q617" s="169">
        <f t="shared" si="434"/>
        <v>250</v>
      </c>
      <c r="R617" s="169">
        <f t="shared" si="435"/>
        <v>250</v>
      </c>
      <c r="S617" s="584">
        <f t="shared" si="436"/>
        <v>2302</v>
      </c>
      <c r="T617" s="594">
        <f t="shared" si="437"/>
        <v>1878</v>
      </c>
      <c r="U617" s="595">
        <f t="shared" si="438"/>
        <v>1878</v>
      </c>
      <c r="V617" s="166">
        <f t="shared" si="439"/>
        <v>4755</v>
      </c>
      <c r="W617" s="167">
        <f t="shared" si="440"/>
        <v>3873</v>
      </c>
      <c r="X617" s="168">
        <f t="shared" si="441"/>
        <v>3873</v>
      </c>
      <c r="Y617" s="166">
        <f t="shared" si="442"/>
        <v>5369</v>
      </c>
      <c r="Z617" s="167">
        <f t="shared" si="443"/>
        <v>4373</v>
      </c>
      <c r="AA617" s="168">
        <f t="shared" si="444"/>
        <v>4373</v>
      </c>
      <c r="AB617" s="166">
        <f t="shared" si="445"/>
        <v>5983</v>
      </c>
      <c r="AC617" s="167">
        <f t="shared" si="446"/>
        <v>4873</v>
      </c>
      <c r="AD617" s="168">
        <f t="shared" si="447"/>
        <v>4873</v>
      </c>
      <c r="AE617" s="166">
        <f t="shared" si="448"/>
        <v>6290</v>
      </c>
      <c r="AF617" s="167">
        <f t="shared" si="449"/>
        <v>5373</v>
      </c>
      <c r="AG617" s="168">
        <f t="shared" si="450"/>
        <v>5373</v>
      </c>
      <c r="AH617" s="166">
        <f t="shared" si="451"/>
        <v>6904</v>
      </c>
      <c r="AI617" s="167">
        <f t="shared" si="452"/>
        <v>5623</v>
      </c>
      <c r="AJ617" s="168">
        <f t="shared" si="453"/>
        <v>6123</v>
      </c>
      <c r="AK617" s="169">
        <f t="shared" si="454"/>
        <v>7827</v>
      </c>
      <c r="AL617" s="167">
        <f t="shared" si="455"/>
        <v>6385</v>
      </c>
      <c r="AM617" s="585">
        <f t="shared" si="456"/>
        <v>6385</v>
      </c>
      <c r="AN617" s="1133">
        <v>0.25</v>
      </c>
      <c r="AO617" s="1134">
        <v>0.28000000000000003</v>
      </c>
      <c r="AP617" s="1134">
        <v>0.31</v>
      </c>
      <c r="AQ617" s="1135">
        <v>0.34</v>
      </c>
      <c r="AR617" s="1132">
        <v>0.37</v>
      </c>
      <c r="AS617" s="617"/>
      <c r="AT617" s="618"/>
      <c r="AU617" s="618"/>
      <c r="AV617" s="618"/>
      <c r="AW617" s="619"/>
      <c r="AX617" s="1133">
        <v>0.01</v>
      </c>
      <c r="AY617" s="1135">
        <v>1.2999999999999999E-2</v>
      </c>
      <c r="AZ617" s="1135">
        <v>1.6E-2</v>
      </c>
      <c r="BA617" s="1135">
        <v>1.9E-2</v>
      </c>
      <c r="BB617" s="1135">
        <v>2.1999999999999999E-2</v>
      </c>
      <c r="BC617" s="616"/>
      <c r="BD617" s="612"/>
      <c r="BE617" s="614"/>
      <c r="BF617" s="616"/>
      <c r="BG617" s="616"/>
      <c r="BH617" s="616"/>
      <c r="BI617" s="616"/>
      <c r="BJ617" s="616"/>
      <c r="BK617" s="1023"/>
      <c r="BL617" s="658">
        <f t="shared" si="457"/>
        <v>20200</v>
      </c>
      <c r="BM617" s="3">
        <f t="shared" si="458"/>
        <v>38</v>
      </c>
      <c r="BN617" s="3">
        <f t="shared" si="459"/>
        <v>31</v>
      </c>
      <c r="BO617" s="3">
        <f t="shared" si="460"/>
        <v>31</v>
      </c>
    </row>
    <row r="618" spans="2:67">
      <c r="B618" s="1022" t="s">
        <v>4996</v>
      </c>
      <c r="C618" s="1069" t="s">
        <v>309</v>
      </c>
      <c r="D618" s="1069" t="s">
        <v>4997</v>
      </c>
      <c r="E618" s="1303" t="s">
        <v>1150</v>
      </c>
      <c r="F618" s="608">
        <v>615</v>
      </c>
      <c r="G618" s="609">
        <v>7589</v>
      </c>
      <c r="H618" s="610">
        <v>13529</v>
      </c>
      <c r="I618" s="611">
        <v>11880</v>
      </c>
      <c r="J618" s="166">
        <f t="shared" si="427"/>
        <v>151</v>
      </c>
      <c r="K618" s="167">
        <f t="shared" si="428"/>
        <v>270</v>
      </c>
      <c r="L618" s="168">
        <f t="shared" si="429"/>
        <v>237</v>
      </c>
      <c r="M618" s="166">
        <f t="shared" si="430"/>
        <v>189</v>
      </c>
      <c r="N618" s="167">
        <f t="shared" si="431"/>
        <v>338</v>
      </c>
      <c r="O618" s="168">
        <f t="shared" si="432"/>
        <v>297</v>
      </c>
      <c r="P618" s="169">
        <f t="shared" si="433"/>
        <v>284</v>
      </c>
      <c r="Q618" s="169">
        <f t="shared" si="434"/>
        <v>507</v>
      </c>
      <c r="R618" s="169">
        <f t="shared" si="435"/>
        <v>445</v>
      </c>
      <c r="S618" s="584">
        <f t="shared" si="436"/>
        <v>1897</v>
      </c>
      <c r="T618" s="594">
        <f t="shared" si="437"/>
        <v>3382</v>
      </c>
      <c r="U618" s="595">
        <f t="shared" si="438"/>
        <v>2970</v>
      </c>
      <c r="V618" s="166">
        <f t="shared" si="439"/>
        <v>4316</v>
      </c>
      <c r="W618" s="167">
        <f t="shared" si="440"/>
        <v>7708</v>
      </c>
      <c r="X618" s="168">
        <f t="shared" si="441"/>
        <v>6771</v>
      </c>
      <c r="Y618" s="166">
        <f t="shared" si="442"/>
        <v>5168</v>
      </c>
      <c r="Z618" s="167">
        <f t="shared" si="443"/>
        <v>8722</v>
      </c>
      <c r="AA618" s="168">
        <f t="shared" si="444"/>
        <v>7216</v>
      </c>
      <c r="AB618" s="166">
        <f t="shared" si="445"/>
        <v>5452</v>
      </c>
      <c r="AC618" s="167">
        <f t="shared" si="446"/>
        <v>10243</v>
      </c>
      <c r="AD618" s="168">
        <f t="shared" si="447"/>
        <v>8551</v>
      </c>
      <c r="AE618" s="166">
        <f t="shared" si="448"/>
        <v>6020</v>
      </c>
      <c r="AF618" s="167">
        <f t="shared" si="449"/>
        <v>11257</v>
      </c>
      <c r="AG618" s="168">
        <f t="shared" si="450"/>
        <v>10331</v>
      </c>
      <c r="AH618" s="166">
        <f t="shared" si="451"/>
        <v>7156</v>
      </c>
      <c r="AI618" s="167">
        <f t="shared" si="452"/>
        <v>12271</v>
      </c>
      <c r="AJ618" s="168">
        <f t="shared" si="453"/>
        <v>11221</v>
      </c>
      <c r="AK618" s="169">
        <f t="shared" si="454"/>
        <v>7740</v>
      </c>
      <c r="AL618" s="167">
        <f t="shared" si="455"/>
        <v>13799</v>
      </c>
      <c r="AM618" s="585">
        <f t="shared" si="456"/>
        <v>12117</v>
      </c>
      <c r="AN618" s="1133">
        <v>0.21</v>
      </c>
      <c r="AO618" s="1134">
        <v>0.24</v>
      </c>
      <c r="AP618" s="1134">
        <v>0.27</v>
      </c>
      <c r="AQ618" s="1135">
        <v>0.3</v>
      </c>
      <c r="AR618" s="1132">
        <v>0.33</v>
      </c>
      <c r="AS618" s="617"/>
      <c r="AT618" s="618"/>
      <c r="AU618" s="618"/>
      <c r="AV618" s="618"/>
      <c r="AW618" s="619"/>
      <c r="AX618" s="1133">
        <v>0.05</v>
      </c>
      <c r="AY618" s="1135">
        <v>5.5E-2</v>
      </c>
      <c r="AZ618" s="1135">
        <v>0.06</v>
      </c>
      <c r="BA618" s="1135">
        <v>6.5000000000000002E-2</v>
      </c>
      <c r="BB618" s="1135">
        <v>7.0000000000000007E-2</v>
      </c>
      <c r="BC618" s="616"/>
      <c r="BD618" s="612"/>
      <c r="BE618" s="614"/>
      <c r="BF618" s="616"/>
      <c r="BG618" s="616"/>
      <c r="BH618" s="616"/>
      <c r="BI618" s="616"/>
      <c r="BJ618" s="616"/>
      <c r="BK618" s="1023"/>
      <c r="BL618" s="658">
        <f t="shared" si="457"/>
        <v>33000</v>
      </c>
      <c r="BM618" s="3">
        <f t="shared" si="458"/>
        <v>23</v>
      </c>
      <c r="BN618" s="3">
        <f t="shared" si="459"/>
        <v>41</v>
      </c>
      <c r="BO618" s="3">
        <f t="shared" si="460"/>
        <v>36</v>
      </c>
    </row>
    <row r="619" spans="2:67">
      <c r="B619" s="1022" t="s">
        <v>5000</v>
      </c>
      <c r="C619" s="1069" t="s">
        <v>309</v>
      </c>
      <c r="D619" s="1069" t="s">
        <v>5001</v>
      </c>
      <c r="E619" s="1302" t="s">
        <v>125</v>
      </c>
      <c r="F619" s="1019">
        <v>616</v>
      </c>
      <c r="G619" s="609">
        <v>11200</v>
      </c>
      <c r="H619" s="610">
        <v>5320</v>
      </c>
      <c r="I619" s="611">
        <v>11480</v>
      </c>
      <c r="J619" s="166">
        <f t="shared" si="427"/>
        <v>224</v>
      </c>
      <c r="K619" s="167">
        <f t="shared" si="428"/>
        <v>106</v>
      </c>
      <c r="L619" s="168">
        <f t="shared" si="429"/>
        <v>229</v>
      </c>
      <c r="M619" s="166">
        <f t="shared" si="430"/>
        <v>280</v>
      </c>
      <c r="N619" s="167">
        <f t="shared" si="431"/>
        <v>133</v>
      </c>
      <c r="O619" s="168">
        <f t="shared" si="432"/>
        <v>287</v>
      </c>
      <c r="P619" s="169">
        <f t="shared" si="433"/>
        <v>420</v>
      </c>
      <c r="Q619" s="169">
        <f t="shared" si="434"/>
        <v>199</v>
      </c>
      <c r="R619" s="169">
        <f t="shared" si="435"/>
        <v>430</v>
      </c>
      <c r="S619" s="584">
        <f t="shared" si="436"/>
        <v>2800</v>
      </c>
      <c r="T619" s="594">
        <f t="shared" si="437"/>
        <v>1330</v>
      </c>
      <c r="U619" s="595">
        <f t="shared" si="438"/>
        <v>2870</v>
      </c>
      <c r="V619" s="166">
        <f t="shared" si="439"/>
        <v>6384</v>
      </c>
      <c r="W619" s="167">
        <f t="shared" si="440"/>
        <v>3032</v>
      </c>
      <c r="X619" s="168">
        <f t="shared" si="441"/>
        <v>6543</v>
      </c>
      <c r="Y619" s="166">
        <f t="shared" si="442"/>
        <v>6804</v>
      </c>
      <c r="Z619" s="167">
        <f t="shared" si="443"/>
        <v>3430</v>
      </c>
      <c r="AA619" s="168">
        <f t="shared" si="444"/>
        <v>7833</v>
      </c>
      <c r="AB619" s="166">
        <f t="shared" si="445"/>
        <v>8064</v>
      </c>
      <c r="AC619" s="167">
        <f t="shared" si="446"/>
        <v>4027</v>
      </c>
      <c r="AD619" s="168">
        <f t="shared" si="447"/>
        <v>8263</v>
      </c>
      <c r="AE619" s="166">
        <f t="shared" si="448"/>
        <v>9744</v>
      </c>
      <c r="AF619" s="167">
        <f t="shared" si="449"/>
        <v>4425</v>
      </c>
      <c r="AG619" s="168">
        <f t="shared" si="450"/>
        <v>9123</v>
      </c>
      <c r="AH619" s="166">
        <f t="shared" si="451"/>
        <v>10584</v>
      </c>
      <c r="AI619" s="167">
        <f t="shared" si="452"/>
        <v>4823</v>
      </c>
      <c r="AJ619" s="168">
        <f t="shared" si="453"/>
        <v>10843</v>
      </c>
      <c r="AK619" s="169">
        <f t="shared" si="454"/>
        <v>11424</v>
      </c>
      <c r="AL619" s="167">
        <f t="shared" si="455"/>
        <v>5426</v>
      </c>
      <c r="AM619" s="585">
        <f t="shared" si="456"/>
        <v>11709</v>
      </c>
      <c r="AN619" s="614">
        <v>0.06</v>
      </c>
      <c r="AO619" s="615">
        <v>6.5000000000000002E-2</v>
      </c>
      <c r="AP619" s="615">
        <v>7.0000000000000007E-2</v>
      </c>
      <c r="AQ619" s="616">
        <v>7.4999999999999997E-2</v>
      </c>
      <c r="AR619" s="612">
        <v>0.08</v>
      </c>
      <c r="AS619" s="617"/>
      <c r="AT619" s="618"/>
      <c r="AU619" s="618"/>
      <c r="AV619" s="618"/>
      <c r="AW619" s="619"/>
      <c r="AX619" s="1133">
        <v>0.04</v>
      </c>
      <c r="AY619" s="1135">
        <v>4.2999999999999997E-2</v>
      </c>
      <c r="AZ619" s="1135">
        <v>4.5999999999999999E-2</v>
      </c>
      <c r="BA619" s="1135">
        <v>4.9000000000000002E-2</v>
      </c>
      <c r="BB619" s="1135">
        <v>5.1999999999999998E-2</v>
      </c>
      <c r="BC619" s="616"/>
      <c r="BD619" s="612"/>
      <c r="BE619" s="614"/>
      <c r="BF619" s="616"/>
      <c r="BG619" s="616"/>
      <c r="BH619" s="616"/>
      <c r="BI619" s="616"/>
      <c r="BJ619" s="616"/>
      <c r="BK619" s="1023"/>
      <c r="BL619" s="658">
        <f t="shared" si="457"/>
        <v>28000</v>
      </c>
      <c r="BM619" s="3">
        <f t="shared" si="458"/>
        <v>40</v>
      </c>
      <c r="BN619" s="3">
        <f t="shared" si="459"/>
        <v>19</v>
      </c>
      <c r="BO619" s="3">
        <f t="shared" si="460"/>
        <v>41</v>
      </c>
    </row>
    <row r="620" spans="2:67">
      <c r="B620" s="1022" t="s">
        <v>5005</v>
      </c>
      <c r="C620" s="1069" t="s">
        <v>310</v>
      </c>
      <c r="D620" s="1069" t="s">
        <v>5001</v>
      </c>
      <c r="E620" s="1302" t="s">
        <v>125</v>
      </c>
      <c r="F620" s="608">
        <v>617</v>
      </c>
      <c r="G620" s="609">
        <v>6363</v>
      </c>
      <c r="H620" s="610">
        <v>4470</v>
      </c>
      <c r="I620" s="611">
        <v>6363</v>
      </c>
      <c r="J620" s="166">
        <f t="shared" si="427"/>
        <v>127</v>
      </c>
      <c r="K620" s="167">
        <f t="shared" si="428"/>
        <v>89</v>
      </c>
      <c r="L620" s="168">
        <f t="shared" si="429"/>
        <v>127</v>
      </c>
      <c r="M620" s="166">
        <f t="shared" si="430"/>
        <v>190</v>
      </c>
      <c r="N620" s="167">
        <f t="shared" si="431"/>
        <v>134</v>
      </c>
      <c r="O620" s="168">
        <f t="shared" si="432"/>
        <v>190</v>
      </c>
      <c r="P620" s="169">
        <f t="shared" si="433"/>
        <v>254</v>
      </c>
      <c r="Q620" s="169">
        <f t="shared" si="434"/>
        <v>178</v>
      </c>
      <c r="R620" s="169">
        <f t="shared" si="435"/>
        <v>254</v>
      </c>
      <c r="S620" s="584">
        <f t="shared" si="436"/>
        <v>1909</v>
      </c>
      <c r="T620" s="594">
        <f t="shared" si="437"/>
        <v>1341</v>
      </c>
      <c r="U620" s="595">
        <f t="shared" si="438"/>
        <v>1909</v>
      </c>
      <c r="V620" s="166">
        <f t="shared" si="439"/>
        <v>3936</v>
      </c>
      <c r="W620" s="167">
        <f t="shared" si="440"/>
        <v>2770</v>
      </c>
      <c r="X620" s="168">
        <f t="shared" si="441"/>
        <v>3936</v>
      </c>
      <c r="Y620" s="166">
        <f t="shared" si="442"/>
        <v>4444</v>
      </c>
      <c r="Z620" s="167">
        <f t="shared" si="443"/>
        <v>3126</v>
      </c>
      <c r="AA620" s="168">
        <f t="shared" si="444"/>
        <v>4444</v>
      </c>
      <c r="AB620" s="166">
        <f t="shared" si="445"/>
        <v>4952</v>
      </c>
      <c r="AC620" s="167">
        <f t="shared" si="446"/>
        <v>3482</v>
      </c>
      <c r="AD620" s="168">
        <f t="shared" si="447"/>
        <v>4952</v>
      </c>
      <c r="AE620" s="166">
        <f t="shared" si="448"/>
        <v>5460</v>
      </c>
      <c r="AF620" s="167">
        <f t="shared" si="449"/>
        <v>3660</v>
      </c>
      <c r="AG620" s="168">
        <f t="shared" si="450"/>
        <v>5460</v>
      </c>
      <c r="AH620" s="166">
        <f t="shared" si="451"/>
        <v>5714</v>
      </c>
      <c r="AI620" s="167">
        <f t="shared" si="452"/>
        <v>4016</v>
      </c>
      <c r="AJ620" s="168">
        <f t="shared" si="453"/>
        <v>6222</v>
      </c>
      <c r="AK620" s="169">
        <f t="shared" si="454"/>
        <v>6490</v>
      </c>
      <c r="AL620" s="167">
        <f t="shared" si="455"/>
        <v>4559</v>
      </c>
      <c r="AM620" s="585">
        <f t="shared" si="456"/>
        <v>6490</v>
      </c>
      <c r="AN620" s="614">
        <v>0.17</v>
      </c>
      <c r="AO620" s="615">
        <v>0.2</v>
      </c>
      <c r="AP620" s="615">
        <v>0.23</v>
      </c>
      <c r="AQ620" s="616">
        <v>0.26</v>
      </c>
      <c r="AR620" s="612">
        <v>0.28999999999999998</v>
      </c>
      <c r="AS620" s="617"/>
      <c r="AT620" s="618"/>
      <c r="AU620" s="618"/>
      <c r="AV620" s="618"/>
      <c r="AW620" s="619"/>
      <c r="AX620" s="1133">
        <v>0.05</v>
      </c>
      <c r="AY620" s="1135">
        <v>5.5E-2</v>
      </c>
      <c r="AZ620" s="1135">
        <v>0.06</v>
      </c>
      <c r="BA620" s="1135">
        <v>6.5000000000000002E-2</v>
      </c>
      <c r="BB620" s="1135">
        <v>7.0000000000000007E-2</v>
      </c>
      <c r="BC620" s="616"/>
      <c r="BD620" s="612"/>
      <c r="BE620" s="614"/>
      <c r="BF620" s="616"/>
      <c r="BG620" s="616"/>
      <c r="BH620" s="616"/>
      <c r="BI620" s="616"/>
      <c r="BJ620" s="616"/>
      <c r="BK620" s="1023"/>
      <c r="BL620" s="658">
        <f t="shared" si="457"/>
        <v>17200</v>
      </c>
      <c r="BM620" s="3">
        <f t="shared" si="458"/>
        <v>37</v>
      </c>
      <c r="BN620" s="3">
        <f t="shared" si="459"/>
        <v>26</v>
      </c>
      <c r="BO620" s="3">
        <f t="shared" si="460"/>
        <v>37</v>
      </c>
    </row>
    <row r="621" spans="2:67">
      <c r="B621" s="1022" t="s">
        <v>5008</v>
      </c>
      <c r="C621" s="1069" t="s">
        <v>310</v>
      </c>
      <c r="D621" s="1069" t="s">
        <v>5009</v>
      </c>
      <c r="E621" s="1303" t="s">
        <v>125</v>
      </c>
      <c r="F621" s="1019">
        <v>618</v>
      </c>
      <c r="G621" s="609">
        <v>6534</v>
      </c>
      <c r="H621" s="610">
        <v>3610</v>
      </c>
      <c r="I621" s="611">
        <v>7050</v>
      </c>
      <c r="J621" s="166">
        <f t="shared" si="427"/>
        <v>130</v>
      </c>
      <c r="K621" s="167">
        <f t="shared" si="428"/>
        <v>72</v>
      </c>
      <c r="L621" s="168">
        <f t="shared" si="429"/>
        <v>141</v>
      </c>
      <c r="M621" s="166">
        <f t="shared" si="430"/>
        <v>196</v>
      </c>
      <c r="N621" s="167">
        <f t="shared" si="431"/>
        <v>108</v>
      </c>
      <c r="O621" s="168">
        <f t="shared" si="432"/>
        <v>211</v>
      </c>
      <c r="P621" s="169">
        <f t="shared" si="433"/>
        <v>261</v>
      </c>
      <c r="Q621" s="169">
        <f t="shared" si="434"/>
        <v>144</v>
      </c>
      <c r="R621" s="169">
        <f t="shared" si="435"/>
        <v>282</v>
      </c>
      <c r="S621" s="584">
        <f t="shared" si="436"/>
        <v>1960</v>
      </c>
      <c r="T621" s="594">
        <f t="shared" si="437"/>
        <v>1083</v>
      </c>
      <c r="U621" s="595">
        <f t="shared" si="438"/>
        <v>2115</v>
      </c>
      <c r="V621" s="166">
        <f t="shared" si="439"/>
        <v>4050</v>
      </c>
      <c r="W621" s="167">
        <f t="shared" si="440"/>
        <v>2235</v>
      </c>
      <c r="X621" s="168">
        <f t="shared" si="441"/>
        <v>4366</v>
      </c>
      <c r="Y621" s="166">
        <f t="shared" si="442"/>
        <v>4572</v>
      </c>
      <c r="Z621" s="167">
        <f t="shared" si="443"/>
        <v>2523</v>
      </c>
      <c r="AA621" s="168">
        <f t="shared" si="444"/>
        <v>4930</v>
      </c>
      <c r="AB621" s="166">
        <f t="shared" si="445"/>
        <v>5094</v>
      </c>
      <c r="AC621" s="167">
        <f t="shared" si="446"/>
        <v>2811</v>
      </c>
      <c r="AD621" s="168">
        <f t="shared" si="447"/>
        <v>5494</v>
      </c>
      <c r="AE621" s="166">
        <f t="shared" si="448"/>
        <v>5616</v>
      </c>
      <c r="AF621" s="167">
        <f t="shared" si="449"/>
        <v>3099</v>
      </c>
      <c r="AG621" s="168">
        <f t="shared" si="450"/>
        <v>5776</v>
      </c>
      <c r="AH621" s="166">
        <f t="shared" si="451"/>
        <v>5877</v>
      </c>
      <c r="AI621" s="167">
        <f t="shared" si="452"/>
        <v>3531</v>
      </c>
      <c r="AJ621" s="168">
        <f t="shared" si="453"/>
        <v>6340</v>
      </c>
      <c r="AK621" s="169">
        <f t="shared" si="454"/>
        <v>6664</v>
      </c>
      <c r="AL621" s="167">
        <f t="shared" si="455"/>
        <v>3682</v>
      </c>
      <c r="AM621" s="585">
        <f t="shared" si="456"/>
        <v>7191</v>
      </c>
      <c r="AN621" s="614">
        <v>0.1</v>
      </c>
      <c r="AO621" s="615">
        <v>0.10299999999999999</v>
      </c>
      <c r="AP621" s="615">
        <v>0.106</v>
      </c>
      <c r="AQ621" s="616">
        <v>0.109</v>
      </c>
      <c r="AR621" s="612">
        <v>0.112</v>
      </c>
      <c r="AS621" s="617"/>
      <c r="AT621" s="618"/>
      <c r="AU621" s="618"/>
      <c r="AV621" s="618"/>
      <c r="AW621" s="619"/>
      <c r="AX621" s="1133">
        <v>0.05</v>
      </c>
      <c r="AY621" s="1135">
        <v>5.5E-2</v>
      </c>
      <c r="AZ621" s="1135">
        <v>0.06</v>
      </c>
      <c r="BA621" s="1135">
        <v>6.5000000000000002E-2</v>
      </c>
      <c r="BB621" s="1135">
        <v>7.0000000000000007E-2</v>
      </c>
      <c r="BC621" s="1135"/>
      <c r="BD621" s="612"/>
      <c r="BE621" s="614"/>
      <c r="BF621" s="616"/>
      <c r="BG621" s="616"/>
      <c r="BH621" s="616"/>
      <c r="BI621" s="616"/>
      <c r="BJ621" s="616"/>
      <c r="BK621" s="1023"/>
      <c r="BL621" s="658">
        <f t="shared" si="457"/>
        <v>17200</v>
      </c>
      <c r="BM621" s="3">
        <f t="shared" si="458"/>
        <v>38</v>
      </c>
      <c r="BN621" s="3">
        <f t="shared" si="459"/>
        <v>21</v>
      </c>
      <c r="BO621" s="3">
        <f t="shared" si="460"/>
        <v>41</v>
      </c>
    </row>
    <row r="622" spans="2:67">
      <c r="B622" s="1022"/>
      <c r="C622" s="607"/>
      <c r="D622" s="607"/>
      <c r="E622" s="1021"/>
      <c r="F622" s="608">
        <v>619</v>
      </c>
      <c r="G622" s="609"/>
      <c r="H622" s="610"/>
      <c r="I622" s="611"/>
      <c r="J622" s="166">
        <f t="shared" si="427"/>
        <v>0</v>
      </c>
      <c r="K622" s="167">
        <f t="shared" si="428"/>
        <v>0</v>
      </c>
      <c r="L622" s="168">
        <f t="shared" si="429"/>
        <v>0</v>
      </c>
      <c r="M622" s="166">
        <f t="shared" si="430"/>
        <v>0</v>
      </c>
      <c r="N622" s="167">
        <f t="shared" si="431"/>
        <v>0</v>
      </c>
      <c r="O622" s="168">
        <f t="shared" si="432"/>
        <v>0</v>
      </c>
      <c r="P622" s="169">
        <f t="shared" si="433"/>
        <v>0</v>
      </c>
      <c r="Q622" s="169">
        <f t="shared" si="434"/>
        <v>0</v>
      </c>
      <c r="R622" s="169">
        <f t="shared" si="435"/>
        <v>0</v>
      </c>
      <c r="S622" s="584">
        <f t="shared" si="436"/>
        <v>0</v>
      </c>
      <c r="T622" s="594">
        <f t="shared" si="437"/>
        <v>0</v>
      </c>
      <c r="U622" s="595">
        <f t="shared" si="438"/>
        <v>0</v>
      </c>
      <c r="V622" s="166">
        <f t="shared" si="439"/>
        <v>0</v>
      </c>
      <c r="W622" s="167">
        <f t="shared" si="440"/>
        <v>0</v>
      </c>
      <c r="X622" s="168">
        <f t="shared" si="441"/>
        <v>0</v>
      </c>
      <c r="Y622" s="166">
        <f t="shared" si="442"/>
        <v>0</v>
      </c>
      <c r="Z622" s="167">
        <f t="shared" si="443"/>
        <v>0</v>
      </c>
      <c r="AA622" s="168">
        <f t="shared" si="444"/>
        <v>0</v>
      </c>
      <c r="AB622" s="166">
        <f t="shared" si="445"/>
        <v>0</v>
      </c>
      <c r="AC622" s="167">
        <f t="shared" si="446"/>
        <v>0</v>
      </c>
      <c r="AD622" s="168">
        <f t="shared" si="447"/>
        <v>0</v>
      </c>
      <c r="AE622" s="166">
        <f t="shared" si="448"/>
        <v>0</v>
      </c>
      <c r="AF622" s="167">
        <f t="shared" si="449"/>
        <v>0</v>
      </c>
      <c r="AG622" s="168">
        <f t="shared" si="450"/>
        <v>0</v>
      </c>
      <c r="AH622" s="166">
        <f t="shared" si="451"/>
        <v>0</v>
      </c>
      <c r="AI622" s="167">
        <f t="shared" si="452"/>
        <v>0</v>
      </c>
      <c r="AJ622" s="168">
        <f t="shared" si="453"/>
        <v>0</v>
      </c>
      <c r="AK622" s="169">
        <f t="shared" si="454"/>
        <v>0</v>
      </c>
      <c r="AL622" s="167">
        <f t="shared" si="455"/>
        <v>0</v>
      </c>
      <c r="AM622" s="585">
        <f t="shared" si="456"/>
        <v>0</v>
      </c>
      <c r="AN622" s="614"/>
      <c r="AO622" s="615"/>
      <c r="AP622" s="615"/>
      <c r="AQ622" s="616"/>
      <c r="AR622" s="612"/>
      <c r="AS622" s="617"/>
      <c r="AT622" s="618"/>
      <c r="AU622" s="618"/>
      <c r="AV622" s="618"/>
      <c r="AW622" s="619"/>
      <c r="AX622" s="614"/>
      <c r="AY622" s="616"/>
      <c r="AZ622" s="616"/>
      <c r="BA622" s="616"/>
      <c r="BB622" s="616"/>
      <c r="BC622" s="616"/>
      <c r="BD622" s="612"/>
      <c r="BE622" s="614"/>
      <c r="BF622" s="616"/>
      <c r="BG622" s="616"/>
      <c r="BH622" s="616"/>
      <c r="BI622" s="616"/>
      <c r="BJ622" s="616"/>
      <c r="BK622" s="1023"/>
      <c r="BL622" s="658"/>
    </row>
    <row r="623" spans="2:67">
      <c r="B623" s="1022"/>
      <c r="C623" s="607"/>
      <c r="D623" s="607"/>
      <c r="E623" s="1021"/>
      <c r="F623" s="1019">
        <v>620</v>
      </c>
      <c r="G623" s="609"/>
      <c r="H623" s="610"/>
      <c r="I623" s="611"/>
      <c r="J623" s="166">
        <f t="shared" si="427"/>
        <v>0</v>
      </c>
      <c r="K623" s="167">
        <f t="shared" si="428"/>
        <v>0</v>
      </c>
      <c r="L623" s="168">
        <f t="shared" si="429"/>
        <v>0</v>
      </c>
      <c r="M623" s="166">
        <f t="shared" si="430"/>
        <v>0</v>
      </c>
      <c r="N623" s="167">
        <f t="shared" si="431"/>
        <v>0</v>
      </c>
      <c r="O623" s="168">
        <f t="shared" si="432"/>
        <v>0</v>
      </c>
      <c r="P623" s="169">
        <f t="shared" si="433"/>
        <v>0</v>
      </c>
      <c r="Q623" s="169">
        <f t="shared" si="434"/>
        <v>0</v>
      </c>
      <c r="R623" s="169">
        <f t="shared" si="435"/>
        <v>0</v>
      </c>
      <c r="S623" s="584">
        <f t="shared" si="436"/>
        <v>0</v>
      </c>
      <c r="T623" s="594">
        <f t="shared" si="437"/>
        <v>0</v>
      </c>
      <c r="U623" s="595">
        <f t="shared" si="438"/>
        <v>0</v>
      </c>
      <c r="V623" s="166">
        <f t="shared" si="439"/>
        <v>0</v>
      </c>
      <c r="W623" s="167">
        <f t="shared" si="440"/>
        <v>0</v>
      </c>
      <c r="X623" s="168">
        <f t="shared" si="441"/>
        <v>0</v>
      </c>
      <c r="Y623" s="166">
        <f t="shared" si="442"/>
        <v>0</v>
      </c>
      <c r="Z623" s="167">
        <f t="shared" si="443"/>
        <v>0</v>
      </c>
      <c r="AA623" s="168">
        <f t="shared" si="444"/>
        <v>0</v>
      </c>
      <c r="AB623" s="166">
        <f t="shared" si="445"/>
        <v>0</v>
      </c>
      <c r="AC623" s="167">
        <f t="shared" si="446"/>
        <v>0</v>
      </c>
      <c r="AD623" s="168">
        <f t="shared" si="447"/>
        <v>0</v>
      </c>
      <c r="AE623" s="166">
        <f t="shared" si="448"/>
        <v>0</v>
      </c>
      <c r="AF623" s="167">
        <f t="shared" si="449"/>
        <v>0</v>
      </c>
      <c r="AG623" s="168">
        <f t="shared" si="450"/>
        <v>0</v>
      </c>
      <c r="AH623" s="166">
        <f t="shared" si="451"/>
        <v>0</v>
      </c>
      <c r="AI623" s="167">
        <f t="shared" si="452"/>
        <v>0</v>
      </c>
      <c r="AJ623" s="168">
        <f t="shared" si="453"/>
        <v>0</v>
      </c>
      <c r="AK623" s="169">
        <f t="shared" si="454"/>
        <v>0</v>
      </c>
      <c r="AL623" s="167">
        <f t="shared" si="455"/>
        <v>0</v>
      </c>
      <c r="AM623" s="585">
        <f t="shared" si="456"/>
        <v>0</v>
      </c>
      <c r="AN623" s="614"/>
      <c r="AO623" s="615"/>
      <c r="AP623" s="615"/>
      <c r="AQ623" s="616"/>
      <c r="AR623" s="612"/>
      <c r="AS623" s="617"/>
      <c r="AT623" s="618"/>
      <c r="AU623" s="618"/>
      <c r="AV623" s="618"/>
      <c r="AW623" s="619"/>
      <c r="AX623" s="614"/>
      <c r="AY623" s="616"/>
      <c r="AZ623" s="616"/>
      <c r="BA623" s="616"/>
      <c r="BB623" s="616"/>
      <c r="BC623" s="616"/>
      <c r="BD623" s="612"/>
      <c r="BE623" s="614"/>
      <c r="BF623" s="616"/>
      <c r="BG623" s="616"/>
      <c r="BH623" s="616"/>
      <c r="BI623" s="616"/>
      <c r="BJ623" s="616"/>
      <c r="BK623" s="1023"/>
      <c r="BL623" s="658"/>
    </row>
    <row r="624" spans="2:67">
      <c r="B624" s="1022"/>
      <c r="C624" s="607"/>
      <c r="D624" s="607"/>
      <c r="E624" s="1021"/>
      <c r="F624" s="608">
        <v>621</v>
      </c>
      <c r="G624" s="609"/>
      <c r="H624" s="610"/>
      <c r="I624" s="611"/>
      <c r="J624" s="166">
        <f t="shared" si="427"/>
        <v>0</v>
      </c>
      <c r="K624" s="167">
        <f t="shared" si="428"/>
        <v>0</v>
      </c>
      <c r="L624" s="168">
        <f t="shared" si="429"/>
        <v>0</v>
      </c>
      <c r="M624" s="166">
        <f t="shared" si="430"/>
        <v>0</v>
      </c>
      <c r="N624" s="167">
        <f t="shared" si="431"/>
        <v>0</v>
      </c>
      <c r="O624" s="168">
        <f t="shared" si="432"/>
        <v>0</v>
      </c>
      <c r="P624" s="169">
        <f t="shared" si="433"/>
        <v>0</v>
      </c>
      <c r="Q624" s="169">
        <f t="shared" si="434"/>
        <v>0</v>
      </c>
      <c r="R624" s="169">
        <f t="shared" si="435"/>
        <v>0</v>
      </c>
      <c r="S624" s="584">
        <f t="shared" si="436"/>
        <v>0</v>
      </c>
      <c r="T624" s="594">
        <f t="shared" si="437"/>
        <v>0</v>
      </c>
      <c r="U624" s="595">
        <f t="shared" si="438"/>
        <v>0</v>
      </c>
      <c r="V624" s="166">
        <f t="shared" si="439"/>
        <v>0</v>
      </c>
      <c r="W624" s="167">
        <f t="shared" si="440"/>
        <v>0</v>
      </c>
      <c r="X624" s="168">
        <f t="shared" si="441"/>
        <v>0</v>
      </c>
      <c r="Y624" s="166">
        <f t="shared" si="442"/>
        <v>0</v>
      </c>
      <c r="Z624" s="167">
        <f t="shared" si="443"/>
        <v>0</v>
      </c>
      <c r="AA624" s="168">
        <f t="shared" si="444"/>
        <v>0</v>
      </c>
      <c r="AB624" s="166">
        <f t="shared" si="445"/>
        <v>0</v>
      </c>
      <c r="AC624" s="167">
        <f t="shared" si="446"/>
        <v>0</v>
      </c>
      <c r="AD624" s="168">
        <f t="shared" si="447"/>
        <v>0</v>
      </c>
      <c r="AE624" s="166">
        <f t="shared" si="448"/>
        <v>0</v>
      </c>
      <c r="AF624" s="167">
        <f t="shared" si="449"/>
        <v>0</v>
      </c>
      <c r="AG624" s="168">
        <f t="shared" si="450"/>
        <v>0</v>
      </c>
      <c r="AH624" s="166">
        <f t="shared" si="451"/>
        <v>0</v>
      </c>
      <c r="AI624" s="167">
        <f t="shared" si="452"/>
        <v>0</v>
      </c>
      <c r="AJ624" s="168">
        <f t="shared" si="453"/>
        <v>0</v>
      </c>
      <c r="AK624" s="169">
        <f t="shared" si="454"/>
        <v>0</v>
      </c>
      <c r="AL624" s="167">
        <f t="shared" si="455"/>
        <v>0</v>
      </c>
      <c r="AM624" s="585">
        <f t="shared" si="456"/>
        <v>0</v>
      </c>
      <c r="AN624" s="614"/>
      <c r="AO624" s="615"/>
      <c r="AP624" s="615"/>
      <c r="AQ624" s="616"/>
      <c r="AR624" s="612"/>
      <c r="AS624" s="617"/>
      <c r="AT624" s="618"/>
      <c r="AU624" s="618"/>
      <c r="AV624" s="618"/>
      <c r="AW624" s="619"/>
      <c r="AX624" s="614"/>
      <c r="AY624" s="616"/>
      <c r="AZ624" s="616"/>
      <c r="BA624" s="616"/>
      <c r="BB624" s="616"/>
      <c r="BC624" s="616"/>
      <c r="BD624" s="612"/>
      <c r="BE624" s="614"/>
      <c r="BF624" s="616"/>
      <c r="BG624" s="616"/>
      <c r="BH624" s="616"/>
      <c r="BI624" s="616"/>
      <c r="BJ624" s="616"/>
      <c r="BK624" s="1023"/>
      <c r="BL624" s="658"/>
    </row>
    <row r="625" spans="2:64">
      <c r="B625" s="1022"/>
      <c r="C625" s="607"/>
      <c r="D625" s="607"/>
      <c r="E625" s="1021"/>
      <c r="F625" s="1019">
        <v>622</v>
      </c>
      <c r="G625" s="609"/>
      <c r="H625" s="610"/>
      <c r="I625" s="611"/>
      <c r="J625" s="166">
        <f t="shared" si="427"/>
        <v>0</v>
      </c>
      <c r="K625" s="167">
        <f t="shared" si="428"/>
        <v>0</v>
      </c>
      <c r="L625" s="168">
        <f t="shared" si="429"/>
        <v>0</v>
      </c>
      <c r="M625" s="166">
        <f t="shared" si="430"/>
        <v>0</v>
      </c>
      <c r="N625" s="167">
        <f t="shared" si="431"/>
        <v>0</v>
      </c>
      <c r="O625" s="168">
        <f t="shared" si="432"/>
        <v>0</v>
      </c>
      <c r="P625" s="169">
        <f t="shared" si="433"/>
        <v>0</v>
      </c>
      <c r="Q625" s="169">
        <f t="shared" si="434"/>
        <v>0</v>
      </c>
      <c r="R625" s="169">
        <f t="shared" si="435"/>
        <v>0</v>
      </c>
      <c r="S625" s="584">
        <f t="shared" si="436"/>
        <v>0</v>
      </c>
      <c r="T625" s="594">
        <f t="shared" si="437"/>
        <v>0</v>
      </c>
      <c r="U625" s="595">
        <f t="shared" si="438"/>
        <v>0</v>
      </c>
      <c r="V625" s="166">
        <f t="shared" si="439"/>
        <v>0</v>
      </c>
      <c r="W625" s="167">
        <f t="shared" si="440"/>
        <v>0</v>
      </c>
      <c r="X625" s="168">
        <f t="shared" si="441"/>
        <v>0</v>
      </c>
      <c r="Y625" s="166">
        <f t="shared" si="442"/>
        <v>0</v>
      </c>
      <c r="Z625" s="167">
        <f t="shared" si="443"/>
        <v>0</v>
      </c>
      <c r="AA625" s="168">
        <f t="shared" si="444"/>
        <v>0</v>
      </c>
      <c r="AB625" s="166">
        <f t="shared" si="445"/>
        <v>0</v>
      </c>
      <c r="AC625" s="167">
        <f t="shared" si="446"/>
        <v>0</v>
      </c>
      <c r="AD625" s="168">
        <f t="shared" si="447"/>
        <v>0</v>
      </c>
      <c r="AE625" s="166">
        <f t="shared" si="448"/>
        <v>0</v>
      </c>
      <c r="AF625" s="167">
        <f t="shared" si="449"/>
        <v>0</v>
      </c>
      <c r="AG625" s="168">
        <f t="shared" si="450"/>
        <v>0</v>
      </c>
      <c r="AH625" s="166">
        <f t="shared" si="451"/>
        <v>0</v>
      </c>
      <c r="AI625" s="167">
        <f t="shared" si="452"/>
        <v>0</v>
      </c>
      <c r="AJ625" s="168">
        <f t="shared" si="453"/>
        <v>0</v>
      </c>
      <c r="AK625" s="169">
        <f t="shared" si="454"/>
        <v>0</v>
      </c>
      <c r="AL625" s="167">
        <f t="shared" si="455"/>
        <v>0</v>
      </c>
      <c r="AM625" s="585">
        <f t="shared" si="456"/>
        <v>0</v>
      </c>
      <c r="AN625" s="614"/>
      <c r="AO625" s="615"/>
      <c r="AP625" s="615"/>
      <c r="AQ625" s="616"/>
      <c r="AR625" s="612"/>
      <c r="AS625" s="617"/>
      <c r="AT625" s="618"/>
      <c r="AU625" s="618"/>
      <c r="AV625" s="618"/>
      <c r="AW625" s="619"/>
      <c r="AX625" s="614"/>
      <c r="AY625" s="616"/>
      <c r="AZ625" s="616"/>
      <c r="BA625" s="616"/>
      <c r="BB625" s="616"/>
      <c r="BC625" s="616"/>
      <c r="BD625" s="612"/>
      <c r="BE625" s="614"/>
      <c r="BF625" s="616"/>
      <c r="BG625" s="616"/>
      <c r="BH625" s="616"/>
      <c r="BI625" s="616"/>
      <c r="BJ625" s="616"/>
      <c r="BK625" s="1023"/>
      <c r="BL625" s="658"/>
    </row>
    <row r="626" spans="2:64">
      <c r="B626" s="1022"/>
      <c r="C626" s="607"/>
      <c r="D626" s="607"/>
      <c r="E626" s="1021"/>
      <c r="F626" s="608">
        <v>623</v>
      </c>
      <c r="G626" s="609"/>
      <c r="H626" s="610"/>
      <c r="I626" s="611"/>
      <c r="J626" s="166">
        <f t="shared" si="427"/>
        <v>0</v>
      </c>
      <c r="K626" s="167">
        <f t="shared" si="428"/>
        <v>0</v>
      </c>
      <c r="L626" s="168">
        <f t="shared" si="429"/>
        <v>0</v>
      </c>
      <c r="M626" s="166">
        <f t="shared" si="430"/>
        <v>0</v>
      </c>
      <c r="N626" s="167">
        <f t="shared" si="431"/>
        <v>0</v>
      </c>
      <c r="O626" s="168">
        <f t="shared" si="432"/>
        <v>0</v>
      </c>
      <c r="P626" s="169">
        <f t="shared" si="433"/>
        <v>0</v>
      </c>
      <c r="Q626" s="169">
        <f t="shared" si="434"/>
        <v>0</v>
      </c>
      <c r="R626" s="169">
        <f t="shared" si="435"/>
        <v>0</v>
      </c>
      <c r="S626" s="584">
        <f t="shared" si="436"/>
        <v>0</v>
      </c>
      <c r="T626" s="594">
        <f t="shared" si="437"/>
        <v>0</v>
      </c>
      <c r="U626" s="595">
        <f t="shared" si="438"/>
        <v>0</v>
      </c>
      <c r="V626" s="166">
        <f t="shared" si="439"/>
        <v>0</v>
      </c>
      <c r="W626" s="167">
        <f t="shared" si="440"/>
        <v>0</v>
      </c>
      <c r="X626" s="168">
        <f t="shared" si="441"/>
        <v>0</v>
      </c>
      <c r="Y626" s="166">
        <f t="shared" si="442"/>
        <v>0</v>
      </c>
      <c r="Z626" s="167">
        <f t="shared" si="443"/>
        <v>0</v>
      </c>
      <c r="AA626" s="168">
        <f t="shared" si="444"/>
        <v>0</v>
      </c>
      <c r="AB626" s="166">
        <f t="shared" si="445"/>
        <v>0</v>
      </c>
      <c r="AC626" s="167">
        <f t="shared" si="446"/>
        <v>0</v>
      </c>
      <c r="AD626" s="168">
        <f t="shared" si="447"/>
        <v>0</v>
      </c>
      <c r="AE626" s="166">
        <f t="shared" si="448"/>
        <v>0</v>
      </c>
      <c r="AF626" s="167">
        <f t="shared" si="449"/>
        <v>0</v>
      </c>
      <c r="AG626" s="168">
        <f t="shared" si="450"/>
        <v>0</v>
      </c>
      <c r="AH626" s="166">
        <f t="shared" si="451"/>
        <v>0</v>
      </c>
      <c r="AI626" s="167">
        <f t="shared" si="452"/>
        <v>0</v>
      </c>
      <c r="AJ626" s="168">
        <f t="shared" si="453"/>
        <v>0</v>
      </c>
      <c r="AK626" s="169">
        <f t="shared" si="454"/>
        <v>0</v>
      </c>
      <c r="AL626" s="167">
        <f t="shared" si="455"/>
        <v>0</v>
      </c>
      <c r="AM626" s="585">
        <f t="shared" si="456"/>
        <v>0</v>
      </c>
      <c r="AN626" s="614"/>
      <c r="AO626" s="615"/>
      <c r="AP626" s="615"/>
      <c r="AQ626" s="616"/>
      <c r="AR626" s="612"/>
      <c r="AS626" s="617"/>
      <c r="AT626" s="618"/>
      <c r="AU626" s="618"/>
      <c r="AV626" s="618"/>
      <c r="AW626" s="619"/>
      <c r="AX626" s="614"/>
      <c r="AY626" s="616"/>
      <c r="AZ626" s="616"/>
      <c r="BA626" s="616"/>
      <c r="BB626" s="616"/>
      <c r="BC626" s="616"/>
      <c r="BD626" s="612"/>
      <c r="BE626" s="614"/>
      <c r="BF626" s="616"/>
      <c r="BG626" s="616"/>
      <c r="BH626" s="616"/>
      <c r="BI626" s="616"/>
      <c r="BJ626" s="616"/>
      <c r="BK626" s="1023"/>
      <c r="BL626" s="658"/>
    </row>
    <row r="627" spans="2:64">
      <c r="B627" s="1022"/>
      <c r="C627" s="607"/>
      <c r="D627" s="607"/>
      <c r="E627" s="1021"/>
      <c r="F627" s="1019">
        <v>624</v>
      </c>
      <c r="G627" s="609"/>
      <c r="H627" s="610"/>
      <c r="I627" s="611"/>
      <c r="J627" s="166">
        <f t="shared" si="427"/>
        <v>0</v>
      </c>
      <c r="K627" s="167">
        <f t="shared" si="428"/>
        <v>0</v>
      </c>
      <c r="L627" s="168">
        <f t="shared" si="429"/>
        <v>0</v>
      </c>
      <c r="M627" s="166">
        <f t="shared" si="430"/>
        <v>0</v>
      </c>
      <c r="N627" s="167">
        <f t="shared" si="431"/>
        <v>0</v>
      </c>
      <c r="O627" s="168">
        <f t="shared" si="432"/>
        <v>0</v>
      </c>
      <c r="P627" s="169">
        <f t="shared" si="433"/>
        <v>0</v>
      </c>
      <c r="Q627" s="169">
        <f t="shared" si="434"/>
        <v>0</v>
      </c>
      <c r="R627" s="169">
        <f t="shared" si="435"/>
        <v>0</v>
      </c>
      <c r="S627" s="584">
        <f t="shared" si="436"/>
        <v>0</v>
      </c>
      <c r="T627" s="594">
        <f t="shared" si="437"/>
        <v>0</v>
      </c>
      <c r="U627" s="595">
        <f t="shared" si="438"/>
        <v>0</v>
      </c>
      <c r="V627" s="166">
        <f t="shared" si="439"/>
        <v>0</v>
      </c>
      <c r="W627" s="167">
        <f t="shared" si="440"/>
        <v>0</v>
      </c>
      <c r="X627" s="168">
        <f t="shared" si="441"/>
        <v>0</v>
      </c>
      <c r="Y627" s="166">
        <f t="shared" si="442"/>
        <v>0</v>
      </c>
      <c r="Z627" s="167">
        <f t="shared" si="443"/>
        <v>0</v>
      </c>
      <c r="AA627" s="168">
        <f t="shared" si="444"/>
        <v>0</v>
      </c>
      <c r="AB627" s="166">
        <f t="shared" si="445"/>
        <v>0</v>
      </c>
      <c r="AC627" s="167">
        <f t="shared" si="446"/>
        <v>0</v>
      </c>
      <c r="AD627" s="168">
        <f t="shared" si="447"/>
        <v>0</v>
      </c>
      <c r="AE627" s="166">
        <f t="shared" si="448"/>
        <v>0</v>
      </c>
      <c r="AF627" s="167">
        <f t="shared" si="449"/>
        <v>0</v>
      </c>
      <c r="AG627" s="168">
        <f t="shared" si="450"/>
        <v>0</v>
      </c>
      <c r="AH627" s="166">
        <f t="shared" si="451"/>
        <v>0</v>
      </c>
      <c r="AI627" s="167">
        <f t="shared" si="452"/>
        <v>0</v>
      </c>
      <c r="AJ627" s="168">
        <f t="shared" si="453"/>
        <v>0</v>
      </c>
      <c r="AK627" s="169">
        <f t="shared" si="454"/>
        <v>0</v>
      </c>
      <c r="AL627" s="167">
        <f t="shared" si="455"/>
        <v>0</v>
      </c>
      <c r="AM627" s="585">
        <f t="shared" si="456"/>
        <v>0</v>
      </c>
      <c r="AN627" s="614"/>
      <c r="AO627" s="615"/>
      <c r="AP627" s="615"/>
      <c r="AQ627" s="616"/>
      <c r="AR627" s="612"/>
      <c r="AS627" s="617"/>
      <c r="AT627" s="618"/>
      <c r="AU627" s="618"/>
      <c r="AV627" s="618"/>
      <c r="AW627" s="619"/>
      <c r="AX627" s="614"/>
      <c r="AY627" s="616"/>
      <c r="AZ627" s="616"/>
      <c r="BA627" s="616"/>
      <c r="BB627" s="616"/>
      <c r="BC627" s="616"/>
      <c r="BD627" s="612"/>
      <c r="BE627" s="614"/>
      <c r="BF627" s="616"/>
      <c r="BG627" s="616"/>
      <c r="BH627" s="616"/>
      <c r="BI627" s="616"/>
      <c r="BJ627" s="616"/>
      <c r="BK627" s="1023"/>
      <c r="BL627" s="658"/>
    </row>
    <row r="628" spans="2:64">
      <c r="B628" s="1022"/>
      <c r="C628" s="607"/>
      <c r="D628" s="607"/>
      <c r="E628" s="1021"/>
      <c r="F628" s="608">
        <v>625</v>
      </c>
      <c r="G628" s="609"/>
      <c r="H628" s="610"/>
      <c r="I628" s="611"/>
      <c r="J628" s="166">
        <f t="shared" si="427"/>
        <v>0</v>
      </c>
      <c r="K628" s="167">
        <f t="shared" si="428"/>
        <v>0</v>
      </c>
      <c r="L628" s="168">
        <f t="shared" si="429"/>
        <v>0</v>
      </c>
      <c r="M628" s="166">
        <f t="shared" si="430"/>
        <v>0</v>
      </c>
      <c r="N628" s="167">
        <f t="shared" si="431"/>
        <v>0</v>
      </c>
      <c r="O628" s="168">
        <f t="shared" si="432"/>
        <v>0</v>
      </c>
      <c r="P628" s="169">
        <f t="shared" si="433"/>
        <v>0</v>
      </c>
      <c r="Q628" s="169">
        <f t="shared" si="434"/>
        <v>0</v>
      </c>
      <c r="R628" s="169">
        <f t="shared" si="435"/>
        <v>0</v>
      </c>
      <c r="S628" s="584">
        <f t="shared" si="436"/>
        <v>0</v>
      </c>
      <c r="T628" s="594">
        <f t="shared" si="437"/>
        <v>0</v>
      </c>
      <c r="U628" s="595">
        <f t="shared" si="438"/>
        <v>0</v>
      </c>
      <c r="V628" s="166">
        <f t="shared" si="439"/>
        <v>0</v>
      </c>
      <c r="W628" s="167">
        <f t="shared" si="440"/>
        <v>0</v>
      </c>
      <c r="X628" s="168">
        <f t="shared" si="441"/>
        <v>0</v>
      </c>
      <c r="Y628" s="166">
        <f t="shared" si="442"/>
        <v>0</v>
      </c>
      <c r="Z628" s="167">
        <f t="shared" si="443"/>
        <v>0</v>
      </c>
      <c r="AA628" s="168">
        <f t="shared" si="444"/>
        <v>0</v>
      </c>
      <c r="AB628" s="166">
        <f t="shared" si="445"/>
        <v>0</v>
      </c>
      <c r="AC628" s="167">
        <f t="shared" si="446"/>
        <v>0</v>
      </c>
      <c r="AD628" s="168">
        <f t="shared" si="447"/>
        <v>0</v>
      </c>
      <c r="AE628" s="166">
        <f t="shared" si="448"/>
        <v>0</v>
      </c>
      <c r="AF628" s="167">
        <f t="shared" si="449"/>
        <v>0</v>
      </c>
      <c r="AG628" s="168">
        <f t="shared" si="450"/>
        <v>0</v>
      </c>
      <c r="AH628" s="166">
        <f t="shared" si="451"/>
        <v>0</v>
      </c>
      <c r="AI628" s="167">
        <f t="shared" si="452"/>
        <v>0</v>
      </c>
      <c r="AJ628" s="168">
        <f t="shared" si="453"/>
        <v>0</v>
      </c>
      <c r="AK628" s="169">
        <f t="shared" si="454"/>
        <v>0</v>
      </c>
      <c r="AL628" s="167">
        <f t="shared" si="455"/>
        <v>0</v>
      </c>
      <c r="AM628" s="585">
        <f t="shared" si="456"/>
        <v>0</v>
      </c>
      <c r="AN628" s="614"/>
      <c r="AO628" s="615"/>
      <c r="AP628" s="615"/>
      <c r="AQ628" s="616"/>
      <c r="AR628" s="612"/>
      <c r="AS628" s="617"/>
      <c r="AT628" s="618"/>
      <c r="AU628" s="618"/>
      <c r="AV628" s="618"/>
      <c r="AW628" s="619"/>
      <c r="AX628" s="614"/>
      <c r="AY628" s="616"/>
      <c r="AZ628" s="616"/>
      <c r="BA628" s="616"/>
      <c r="BB628" s="616"/>
      <c r="BC628" s="616"/>
      <c r="BD628" s="612"/>
      <c r="BE628" s="614"/>
      <c r="BF628" s="616"/>
      <c r="BG628" s="616"/>
      <c r="BH628" s="616"/>
      <c r="BI628" s="616"/>
      <c r="BJ628" s="616"/>
      <c r="BK628" s="1023"/>
      <c r="BL628" s="658"/>
    </row>
    <row r="629" spans="2:64">
      <c r="B629" s="1022"/>
      <c r="C629" s="607"/>
      <c r="D629" s="607"/>
      <c r="E629" s="1021"/>
      <c r="F629" s="1019">
        <v>626</v>
      </c>
      <c r="G629" s="609"/>
      <c r="H629" s="610"/>
      <c r="I629" s="611"/>
      <c r="J629" s="166">
        <f t="shared" si="427"/>
        <v>0</v>
      </c>
      <c r="K629" s="167">
        <f t="shared" si="428"/>
        <v>0</v>
      </c>
      <c r="L629" s="168">
        <f t="shared" si="429"/>
        <v>0</v>
      </c>
      <c r="M629" s="166">
        <f t="shared" si="430"/>
        <v>0</v>
      </c>
      <c r="N629" s="167">
        <f t="shared" si="431"/>
        <v>0</v>
      </c>
      <c r="O629" s="168">
        <f t="shared" si="432"/>
        <v>0</v>
      </c>
      <c r="P629" s="169">
        <f t="shared" si="433"/>
        <v>0</v>
      </c>
      <c r="Q629" s="169">
        <f t="shared" si="434"/>
        <v>0</v>
      </c>
      <c r="R629" s="169">
        <f t="shared" si="435"/>
        <v>0</v>
      </c>
      <c r="S629" s="584">
        <f t="shared" si="436"/>
        <v>0</v>
      </c>
      <c r="T629" s="594">
        <f t="shared" si="437"/>
        <v>0</v>
      </c>
      <c r="U629" s="595">
        <f t="shared" si="438"/>
        <v>0</v>
      </c>
      <c r="V629" s="166">
        <f t="shared" si="439"/>
        <v>0</v>
      </c>
      <c r="W629" s="167">
        <f t="shared" si="440"/>
        <v>0</v>
      </c>
      <c r="X629" s="168">
        <f t="shared" si="441"/>
        <v>0</v>
      </c>
      <c r="Y629" s="166">
        <f t="shared" si="442"/>
        <v>0</v>
      </c>
      <c r="Z629" s="167">
        <f t="shared" si="443"/>
        <v>0</v>
      </c>
      <c r="AA629" s="168">
        <f t="shared" si="444"/>
        <v>0</v>
      </c>
      <c r="AB629" s="166">
        <f t="shared" si="445"/>
        <v>0</v>
      </c>
      <c r="AC629" s="167">
        <f t="shared" si="446"/>
        <v>0</v>
      </c>
      <c r="AD629" s="168">
        <f t="shared" si="447"/>
        <v>0</v>
      </c>
      <c r="AE629" s="166">
        <f t="shared" si="448"/>
        <v>0</v>
      </c>
      <c r="AF629" s="167">
        <f t="shared" si="449"/>
        <v>0</v>
      </c>
      <c r="AG629" s="168">
        <f t="shared" si="450"/>
        <v>0</v>
      </c>
      <c r="AH629" s="166">
        <f t="shared" si="451"/>
        <v>0</v>
      </c>
      <c r="AI629" s="167">
        <f t="shared" si="452"/>
        <v>0</v>
      </c>
      <c r="AJ629" s="168">
        <f t="shared" si="453"/>
        <v>0</v>
      </c>
      <c r="AK629" s="169">
        <f t="shared" si="454"/>
        <v>0</v>
      </c>
      <c r="AL629" s="167">
        <f t="shared" si="455"/>
        <v>0</v>
      </c>
      <c r="AM629" s="585">
        <f t="shared" si="456"/>
        <v>0</v>
      </c>
      <c r="AN629" s="614"/>
      <c r="AO629" s="615"/>
      <c r="AP629" s="615"/>
      <c r="AQ629" s="616"/>
      <c r="AR629" s="612"/>
      <c r="AS629" s="617"/>
      <c r="AT629" s="618"/>
      <c r="AU629" s="618"/>
      <c r="AV629" s="618"/>
      <c r="AW629" s="619"/>
      <c r="AX629" s="614"/>
      <c r="AY629" s="616"/>
      <c r="AZ629" s="616"/>
      <c r="BA629" s="616"/>
      <c r="BB629" s="616"/>
      <c r="BC629" s="616"/>
      <c r="BD629" s="612"/>
      <c r="BE629" s="614"/>
      <c r="BF629" s="616"/>
      <c r="BG629" s="616"/>
      <c r="BH629" s="616"/>
      <c r="BI629" s="616"/>
      <c r="BJ629" s="616"/>
      <c r="BK629" s="1023"/>
      <c r="BL629" s="658"/>
    </row>
    <row r="630" spans="2:64">
      <c r="B630" s="1022"/>
      <c r="C630" s="607"/>
      <c r="D630" s="607"/>
      <c r="E630" s="1021"/>
      <c r="F630" s="608">
        <v>627</v>
      </c>
      <c r="G630" s="609"/>
      <c r="H630" s="610"/>
      <c r="I630" s="611"/>
      <c r="J630" s="166">
        <f t="shared" si="427"/>
        <v>0</v>
      </c>
      <c r="K630" s="167">
        <f t="shared" si="428"/>
        <v>0</v>
      </c>
      <c r="L630" s="168">
        <f t="shared" si="429"/>
        <v>0</v>
      </c>
      <c r="M630" s="166">
        <f t="shared" si="430"/>
        <v>0</v>
      </c>
      <c r="N630" s="167">
        <f t="shared" si="431"/>
        <v>0</v>
      </c>
      <c r="O630" s="168">
        <f t="shared" si="432"/>
        <v>0</v>
      </c>
      <c r="P630" s="169">
        <f t="shared" si="433"/>
        <v>0</v>
      </c>
      <c r="Q630" s="169">
        <f t="shared" si="434"/>
        <v>0</v>
      </c>
      <c r="R630" s="169">
        <f t="shared" si="435"/>
        <v>0</v>
      </c>
      <c r="S630" s="584">
        <f t="shared" si="436"/>
        <v>0</v>
      </c>
      <c r="T630" s="594">
        <f t="shared" si="437"/>
        <v>0</v>
      </c>
      <c r="U630" s="595">
        <f t="shared" si="438"/>
        <v>0</v>
      </c>
      <c r="V630" s="166">
        <f t="shared" si="439"/>
        <v>0</v>
      </c>
      <c r="W630" s="167">
        <f t="shared" si="440"/>
        <v>0</v>
      </c>
      <c r="X630" s="168">
        <f t="shared" si="441"/>
        <v>0</v>
      </c>
      <c r="Y630" s="166">
        <f t="shared" si="442"/>
        <v>0</v>
      </c>
      <c r="Z630" s="167">
        <f t="shared" si="443"/>
        <v>0</v>
      </c>
      <c r="AA630" s="168">
        <f t="shared" si="444"/>
        <v>0</v>
      </c>
      <c r="AB630" s="166">
        <f t="shared" si="445"/>
        <v>0</v>
      </c>
      <c r="AC630" s="167">
        <f t="shared" si="446"/>
        <v>0</v>
      </c>
      <c r="AD630" s="168">
        <f t="shared" si="447"/>
        <v>0</v>
      </c>
      <c r="AE630" s="166">
        <f t="shared" si="448"/>
        <v>0</v>
      </c>
      <c r="AF630" s="167">
        <f t="shared" si="449"/>
        <v>0</v>
      </c>
      <c r="AG630" s="168">
        <f t="shared" si="450"/>
        <v>0</v>
      </c>
      <c r="AH630" s="166">
        <f t="shared" si="451"/>
        <v>0</v>
      </c>
      <c r="AI630" s="167">
        <f t="shared" si="452"/>
        <v>0</v>
      </c>
      <c r="AJ630" s="168">
        <f t="shared" si="453"/>
        <v>0</v>
      </c>
      <c r="AK630" s="169">
        <f t="shared" si="454"/>
        <v>0</v>
      </c>
      <c r="AL630" s="167">
        <f t="shared" si="455"/>
        <v>0</v>
      </c>
      <c r="AM630" s="585">
        <f t="shared" si="456"/>
        <v>0</v>
      </c>
      <c r="AN630" s="614"/>
      <c r="AO630" s="615"/>
      <c r="AP630" s="615"/>
      <c r="AQ630" s="616"/>
      <c r="AR630" s="612"/>
      <c r="AS630" s="617"/>
      <c r="AT630" s="618"/>
      <c r="AU630" s="618"/>
      <c r="AV630" s="618"/>
      <c r="AW630" s="619"/>
      <c r="AX630" s="614"/>
      <c r="AY630" s="616"/>
      <c r="AZ630" s="616"/>
      <c r="BA630" s="616"/>
      <c r="BB630" s="616"/>
      <c r="BC630" s="616"/>
      <c r="BD630" s="612"/>
      <c r="BE630" s="614"/>
      <c r="BF630" s="616"/>
      <c r="BG630" s="616"/>
      <c r="BH630" s="616"/>
      <c r="BI630" s="616"/>
      <c r="BJ630" s="616"/>
      <c r="BK630" s="1023"/>
      <c r="BL630" s="658"/>
    </row>
    <row r="631" spans="2:64">
      <c r="B631" s="1022"/>
      <c r="C631" s="607"/>
      <c r="D631" s="607"/>
      <c r="E631" s="1021"/>
      <c r="F631" s="1019">
        <v>628</v>
      </c>
      <c r="G631" s="609"/>
      <c r="H631" s="610"/>
      <c r="I631" s="611"/>
      <c r="J631" s="166">
        <f t="shared" si="427"/>
        <v>0</v>
      </c>
      <c r="K631" s="167">
        <f t="shared" si="428"/>
        <v>0</v>
      </c>
      <c r="L631" s="168">
        <f t="shared" si="429"/>
        <v>0</v>
      </c>
      <c r="M631" s="166">
        <f t="shared" si="430"/>
        <v>0</v>
      </c>
      <c r="N631" s="167">
        <f t="shared" si="431"/>
        <v>0</v>
      </c>
      <c r="O631" s="168">
        <f t="shared" si="432"/>
        <v>0</v>
      </c>
      <c r="P631" s="169">
        <f t="shared" si="433"/>
        <v>0</v>
      </c>
      <c r="Q631" s="169">
        <f t="shared" si="434"/>
        <v>0</v>
      </c>
      <c r="R631" s="169">
        <f t="shared" si="435"/>
        <v>0</v>
      </c>
      <c r="S631" s="584">
        <f t="shared" si="436"/>
        <v>0</v>
      </c>
      <c r="T631" s="594">
        <f t="shared" si="437"/>
        <v>0</v>
      </c>
      <c r="U631" s="595">
        <f t="shared" si="438"/>
        <v>0</v>
      </c>
      <c r="V631" s="166">
        <f t="shared" si="439"/>
        <v>0</v>
      </c>
      <c r="W631" s="167">
        <f t="shared" si="440"/>
        <v>0</v>
      </c>
      <c r="X631" s="168">
        <f t="shared" si="441"/>
        <v>0</v>
      </c>
      <c r="Y631" s="166">
        <f t="shared" si="442"/>
        <v>0</v>
      </c>
      <c r="Z631" s="167">
        <f t="shared" si="443"/>
        <v>0</v>
      </c>
      <c r="AA631" s="168">
        <f t="shared" si="444"/>
        <v>0</v>
      </c>
      <c r="AB631" s="166">
        <f t="shared" si="445"/>
        <v>0</v>
      </c>
      <c r="AC631" s="167">
        <f t="shared" si="446"/>
        <v>0</v>
      </c>
      <c r="AD631" s="168">
        <f t="shared" si="447"/>
        <v>0</v>
      </c>
      <c r="AE631" s="166">
        <f t="shared" si="448"/>
        <v>0</v>
      </c>
      <c r="AF631" s="167">
        <f t="shared" si="449"/>
        <v>0</v>
      </c>
      <c r="AG631" s="168">
        <f t="shared" si="450"/>
        <v>0</v>
      </c>
      <c r="AH631" s="166">
        <f t="shared" si="451"/>
        <v>0</v>
      </c>
      <c r="AI631" s="167">
        <f t="shared" si="452"/>
        <v>0</v>
      </c>
      <c r="AJ631" s="168">
        <f t="shared" si="453"/>
        <v>0</v>
      </c>
      <c r="AK631" s="169">
        <f t="shared" si="454"/>
        <v>0</v>
      </c>
      <c r="AL631" s="167">
        <f t="shared" si="455"/>
        <v>0</v>
      </c>
      <c r="AM631" s="585">
        <f t="shared" si="456"/>
        <v>0</v>
      </c>
      <c r="AN631" s="614"/>
      <c r="AO631" s="615"/>
      <c r="AP631" s="615"/>
      <c r="AQ631" s="616"/>
      <c r="AR631" s="612"/>
      <c r="AS631" s="617"/>
      <c r="AT631" s="618"/>
      <c r="AU631" s="618"/>
      <c r="AV631" s="618"/>
      <c r="AW631" s="619"/>
      <c r="AX631" s="614"/>
      <c r="AY631" s="616"/>
      <c r="AZ631" s="616"/>
      <c r="BA631" s="616"/>
      <c r="BB631" s="616"/>
      <c r="BC631" s="616"/>
      <c r="BD631" s="612"/>
      <c r="BE631" s="614"/>
      <c r="BF631" s="616"/>
      <c r="BG631" s="616"/>
      <c r="BH631" s="616"/>
      <c r="BI631" s="616"/>
      <c r="BJ631" s="616"/>
      <c r="BK631" s="1023"/>
      <c r="BL631" s="658"/>
    </row>
    <row r="632" spans="2:64">
      <c r="B632" s="1022"/>
      <c r="C632" s="607"/>
      <c r="D632" s="607"/>
      <c r="E632" s="1021"/>
      <c r="F632" s="608">
        <v>629</v>
      </c>
      <c r="G632" s="609"/>
      <c r="H632" s="610"/>
      <c r="I632" s="611"/>
      <c r="J632" s="166">
        <f t="shared" si="427"/>
        <v>0</v>
      </c>
      <c r="K632" s="167">
        <f t="shared" si="428"/>
        <v>0</v>
      </c>
      <c r="L632" s="168">
        <f t="shared" si="429"/>
        <v>0</v>
      </c>
      <c r="M632" s="166">
        <f t="shared" si="430"/>
        <v>0</v>
      </c>
      <c r="N632" s="167">
        <f t="shared" si="431"/>
        <v>0</v>
      </c>
      <c r="O632" s="168">
        <f t="shared" si="432"/>
        <v>0</v>
      </c>
      <c r="P632" s="169">
        <f t="shared" si="433"/>
        <v>0</v>
      </c>
      <c r="Q632" s="169">
        <f t="shared" si="434"/>
        <v>0</v>
      </c>
      <c r="R632" s="169">
        <f t="shared" si="435"/>
        <v>0</v>
      </c>
      <c r="S632" s="584">
        <f t="shared" si="436"/>
        <v>0</v>
      </c>
      <c r="T632" s="594">
        <f t="shared" si="437"/>
        <v>0</v>
      </c>
      <c r="U632" s="595">
        <f t="shared" si="438"/>
        <v>0</v>
      </c>
      <c r="V632" s="166">
        <f t="shared" si="439"/>
        <v>0</v>
      </c>
      <c r="W632" s="167">
        <f t="shared" si="440"/>
        <v>0</v>
      </c>
      <c r="X632" s="168">
        <f t="shared" si="441"/>
        <v>0</v>
      </c>
      <c r="Y632" s="166">
        <f t="shared" si="442"/>
        <v>0</v>
      </c>
      <c r="Z632" s="167">
        <f t="shared" si="443"/>
        <v>0</v>
      </c>
      <c r="AA632" s="168">
        <f t="shared" si="444"/>
        <v>0</v>
      </c>
      <c r="AB632" s="166">
        <f t="shared" si="445"/>
        <v>0</v>
      </c>
      <c r="AC632" s="167">
        <f t="shared" si="446"/>
        <v>0</v>
      </c>
      <c r="AD632" s="168">
        <f t="shared" si="447"/>
        <v>0</v>
      </c>
      <c r="AE632" s="166">
        <f t="shared" si="448"/>
        <v>0</v>
      </c>
      <c r="AF632" s="167">
        <f t="shared" si="449"/>
        <v>0</v>
      </c>
      <c r="AG632" s="168">
        <f t="shared" si="450"/>
        <v>0</v>
      </c>
      <c r="AH632" s="166">
        <f t="shared" si="451"/>
        <v>0</v>
      </c>
      <c r="AI632" s="167">
        <f t="shared" si="452"/>
        <v>0</v>
      </c>
      <c r="AJ632" s="168">
        <f t="shared" si="453"/>
        <v>0</v>
      </c>
      <c r="AK632" s="169">
        <f t="shared" si="454"/>
        <v>0</v>
      </c>
      <c r="AL632" s="167">
        <f t="shared" si="455"/>
        <v>0</v>
      </c>
      <c r="AM632" s="585">
        <f t="shared" si="456"/>
        <v>0</v>
      </c>
      <c r="AN632" s="614"/>
      <c r="AO632" s="615"/>
      <c r="AP632" s="615"/>
      <c r="AQ632" s="616"/>
      <c r="AR632" s="612"/>
      <c r="AS632" s="617"/>
      <c r="AT632" s="618"/>
      <c r="AU632" s="618"/>
      <c r="AV632" s="618"/>
      <c r="AW632" s="619"/>
      <c r="AX632" s="614"/>
      <c r="AY632" s="616"/>
      <c r="AZ632" s="616"/>
      <c r="BA632" s="616"/>
      <c r="BB632" s="616"/>
      <c r="BC632" s="616"/>
      <c r="BD632" s="612"/>
      <c r="BE632" s="614"/>
      <c r="BF632" s="616"/>
      <c r="BG632" s="616"/>
      <c r="BH632" s="616"/>
      <c r="BI632" s="616"/>
      <c r="BJ632" s="616"/>
      <c r="BK632" s="1023"/>
      <c r="BL632" s="658"/>
    </row>
    <row r="633" spans="2:64">
      <c r="B633" s="1022"/>
      <c r="C633" s="607"/>
      <c r="D633" s="607"/>
      <c r="E633" s="1021"/>
      <c r="F633" s="1019">
        <v>630</v>
      </c>
      <c r="G633" s="609"/>
      <c r="H633" s="610"/>
      <c r="I633" s="611"/>
      <c r="J633" s="166">
        <f t="shared" si="427"/>
        <v>0</v>
      </c>
      <c r="K633" s="167">
        <f t="shared" si="428"/>
        <v>0</v>
      </c>
      <c r="L633" s="168">
        <f t="shared" si="429"/>
        <v>0</v>
      </c>
      <c r="M633" s="166">
        <f t="shared" si="430"/>
        <v>0</v>
      </c>
      <c r="N633" s="167">
        <f t="shared" si="431"/>
        <v>0</v>
      </c>
      <c r="O633" s="168">
        <f t="shared" si="432"/>
        <v>0</v>
      </c>
      <c r="P633" s="169">
        <f t="shared" si="433"/>
        <v>0</v>
      </c>
      <c r="Q633" s="169">
        <f t="shared" si="434"/>
        <v>0</v>
      </c>
      <c r="R633" s="169">
        <f t="shared" si="435"/>
        <v>0</v>
      </c>
      <c r="S633" s="584">
        <f t="shared" si="436"/>
        <v>0</v>
      </c>
      <c r="T633" s="594">
        <f t="shared" si="437"/>
        <v>0</v>
      </c>
      <c r="U633" s="595">
        <f t="shared" si="438"/>
        <v>0</v>
      </c>
      <c r="V633" s="166">
        <f t="shared" si="439"/>
        <v>0</v>
      </c>
      <c r="W633" s="167">
        <f t="shared" si="440"/>
        <v>0</v>
      </c>
      <c r="X633" s="168">
        <f t="shared" si="441"/>
        <v>0</v>
      </c>
      <c r="Y633" s="166">
        <f t="shared" si="442"/>
        <v>0</v>
      </c>
      <c r="Z633" s="167">
        <f t="shared" si="443"/>
        <v>0</v>
      </c>
      <c r="AA633" s="168">
        <f t="shared" si="444"/>
        <v>0</v>
      </c>
      <c r="AB633" s="166">
        <f t="shared" si="445"/>
        <v>0</v>
      </c>
      <c r="AC633" s="167">
        <f t="shared" si="446"/>
        <v>0</v>
      </c>
      <c r="AD633" s="168">
        <f t="shared" si="447"/>
        <v>0</v>
      </c>
      <c r="AE633" s="166">
        <f t="shared" si="448"/>
        <v>0</v>
      </c>
      <c r="AF633" s="167">
        <f t="shared" si="449"/>
        <v>0</v>
      </c>
      <c r="AG633" s="168">
        <f t="shared" si="450"/>
        <v>0</v>
      </c>
      <c r="AH633" s="166">
        <f t="shared" si="451"/>
        <v>0</v>
      </c>
      <c r="AI633" s="167">
        <f t="shared" si="452"/>
        <v>0</v>
      </c>
      <c r="AJ633" s="168">
        <f t="shared" si="453"/>
        <v>0</v>
      </c>
      <c r="AK633" s="169">
        <f t="shared" si="454"/>
        <v>0</v>
      </c>
      <c r="AL633" s="167">
        <f t="shared" si="455"/>
        <v>0</v>
      </c>
      <c r="AM633" s="585">
        <f t="shared" si="456"/>
        <v>0</v>
      </c>
      <c r="AN633" s="614"/>
      <c r="AO633" s="615"/>
      <c r="AP633" s="615"/>
      <c r="AQ633" s="616"/>
      <c r="AR633" s="612"/>
      <c r="AS633" s="617"/>
      <c r="AT633" s="618"/>
      <c r="AU633" s="618"/>
      <c r="AV633" s="618"/>
      <c r="AW633" s="619"/>
      <c r="AX633" s="614"/>
      <c r="AY633" s="616"/>
      <c r="AZ633" s="616"/>
      <c r="BA633" s="616"/>
      <c r="BB633" s="616"/>
      <c r="BC633" s="616"/>
      <c r="BD633" s="612"/>
      <c r="BE633" s="614"/>
      <c r="BF633" s="616"/>
      <c r="BG633" s="616"/>
      <c r="BH633" s="616"/>
      <c r="BI633" s="616"/>
      <c r="BJ633" s="616"/>
      <c r="BK633" s="1023"/>
      <c r="BL633" s="658"/>
    </row>
    <row r="634" spans="2:64">
      <c r="B634" s="1022"/>
      <c r="C634" s="607"/>
      <c r="D634" s="607"/>
      <c r="E634" s="1021"/>
      <c r="F634" s="608">
        <v>631</v>
      </c>
      <c r="G634" s="609"/>
      <c r="H634" s="610"/>
      <c r="I634" s="611"/>
      <c r="J634" s="166">
        <f t="shared" si="427"/>
        <v>0</v>
      </c>
      <c r="K634" s="167">
        <f t="shared" si="428"/>
        <v>0</v>
      </c>
      <c r="L634" s="168">
        <f t="shared" si="429"/>
        <v>0</v>
      </c>
      <c r="M634" s="166">
        <f t="shared" si="430"/>
        <v>0</v>
      </c>
      <c r="N634" s="167">
        <f t="shared" si="431"/>
        <v>0</v>
      </c>
      <c r="O634" s="168">
        <f t="shared" si="432"/>
        <v>0</v>
      </c>
      <c r="P634" s="169">
        <f t="shared" si="433"/>
        <v>0</v>
      </c>
      <c r="Q634" s="169">
        <f t="shared" si="434"/>
        <v>0</v>
      </c>
      <c r="R634" s="169">
        <f t="shared" si="435"/>
        <v>0</v>
      </c>
      <c r="S634" s="584">
        <f t="shared" si="436"/>
        <v>0</v>
      </c>
      <c r="T634" s="594">
        <f t="shared" si="437"/>
        <v>0</v>
      </c>
      <c r="U634" s="595">
        <f t="shared" si="438"/>
        <v>0</v>
      </c>
      <c r="V634" s="166">
        <f t="shared" si="439"/>
        <v>0</v>
      </c>
      <c r="W634" s="167">
        <f t="shared" si="440"/>
        <v>0</v>
      </c>
      <c r="X634" s="168">
        <f t="shared" si="441"/>
        <v>0</v>
      </c>
      <c r="Y634" s="166">
        <f t="shared" si="442"/>
        <v>0</v>
      </c>
      <c r="Z634" s="167">
        <f t="shared" si="443"/>
        <v>0</v>
      </c>
      <c r="AA634" s="168">
        <f t="shared" si="444"/>
        <v>0</v>
      </c>
      <c r="AB634" s="166">
        <f t="shared" si="445"/>
        <v>0</v>
      </c>
      <c r="AC634" s="167">
        <f t="shared" si="446"/>
        <v>0</v>
      </c>
      <c r="AD634" s="168">
        <f t="shared" si="447"/>
        <v>0</v>
      </c>
      <c r="AE634" s="166">
        <f t="shared" si="448"/>
        <v>0</v>
      </c>
      <c r="AF634" s="167">
        <f t="shared" si="449"/>
        <v>0</v>
      </c>
      <c r="AG634" s="168">
        <f t="shared" si="450"/>
        <v>0</v>
      </c>
      <c r="AH634" s="166">
        <f t="shared" si="451"/>
        <v>0</v>
      </c>
      <c r="AI634" s="167">
        <f t="shared" si="452"/>
        <v>0</v>
      </c>
      <c r="AJ634" s="168">
        <f t="shared" si="453"/>
        <v>0</v>
      </c>
      <c r="AK634" s="169">
        <f t="shared" si="454"/>
        <v>0</v>
      </c>
      <c r="AL634" s="167">
        <f t="shared" si="455"/>
        <v>0</v>
      </c>
      <c r="AM634" s="585">
        <f t="shared" si="456"/>
        <v>0</v>
      </c>
      <c r="AN634" s="614"/>
      <c r="AO634" s="615"/>
      <c r="AP634" s="615"/>
      <c r="AQ634" s="616"/>
      <c r="AR634" s="612"/>
      <c r="AS634" s="617"/>
      <c r="AT634" s="618"/>
      <c r="AU634" s="618"/>
      <c r="AV634" s="618"/>
      <c r="AW634" s="619"/>
      <c r="AX634" s="614"/>
      <c r="AY634" s="616"/>
      <c r="AZ634" s="616"/>
      <c r="BA634" s="616"/>
      <c r="BB634" s="616"/>
      <c r="BC634" s="616"/>
      <c r="BD634" s="612"/>
      <c r="BE634" s="614"/>
      <c r="BF634" s="616"/>
      <c r="BG634" s="616"/>
      <c r="BH634" s="616"/>
      <c r="BI634" s="616"/>
      <c r="BJ634" s="616"/>
      <c r="BK634" s="1023"/>
      <c r="BL634" s="658"/>
    </row>
    <row r="635" spans="2:64">
      <c r="B635" s="1022"/>
      <c r="C635" s="607"/>
      <c r="D635" s="607"/>
      <c r="E635" s="1021"/>
      <c r="F635" s="1019">
        <v>632</v>
      </c>
      <c r="G635" s="609"/>
      <c r="H635" s="610"/>
      <c r="I635" s="611"/>
      <c r="J635" s="166">
        <f t="shared" si="427"/>
        <v>0</v>
      </c>
      <c r="K635" s="167">
        <f t="shared" si="428"/>
        <v>0</v>
      </c>
      <c r="L635" s="168">
        <f t="shared" si="429"/>
        <v>0</v>
      </c>
      <c r="M635" s="166">
        <f t="shared" si="430"/>
        <v>0</v>
      </c>
      <c r="N635" s="167">
        <f t="shared" si="431"/>
        <v>0</v>
      </c>
      <c r="O635" s="168">
        <f t="shared" si="432"/>
        <v>0</v>
      </c>
      <c r="P635" s="169">
        <f t="shared" si="433"/>
        <v>0</v>
      </c>
      <c r="Q635" s="169">
        <f t="shared" si="434"/>
        <v>0</v>
      </c>
      <c r="R635" s="169">
        <f t="shared" si="435"/>
        <v>0</v>
      </c>
      <c r="S635" s="584">
        <f t="shared" si="436"/>
        <v>0</v>
      </c>
      <c r="T635" s="594">
        <f t="shared" si="437"/>
        <v>0</v>
      </c>
      <c r="U635" s="595">
        <f t="shared" si="438"/>
        <v>0</v>
      </c>
      <c r="V635" s="166">
        <f t="shared" si="439"/>
        <v>0</v>
      </c>
      <c r="W635" s="167">
        <f t="shared" si="440"/>
        <v>0</v>
      </c>
      <c r="X635" s="168">
        <f t="shared" si="441"/>
        <v>0</v>
      </c>
      <c r="Y635" s="166">
        <f t="shared" si="442"/>
        <v>0</v>
      </c>
      <c r="Z635" s="167">
        <f t="shared" si="443"/>
        <v>0</v>
      </c>
      <c r="AA635" s="168">
        <f t="shared" si="444"/>
        <v>0</v>
      </c>
      <c r="AB635" s="166">
        <f t="shared" si="445"/>
        <v>0</v>
      </c>
      <c r="AC635" s="167">
        <f t="shared" si="446"/>
        <v>0</v>
      </c>
      <c r="AD635" s="168">
        <f t="shared" si="447"/>
        <v>0</v>
      </c>
      <c r="AE635" s="166">
        <f t="shared" si="448"/>
        <v>0</v>
      </c>
      <c r="AF635" s="167">
        <f t="shared" si="449"/>
        <v>0</v>
      </c>
      <c r="AG635" s="168">
        <f t="shared" si="450"/>
        <v>0</v>
      </c>
      <c r="AH635" s="166">
        <f t="shared" si="451"/>
        <v>0</v>
      </c>
      <c r="AI635" s="167">
        <f t="shared" si="452"/>
        <v>0</v>
      </c>
      <c r="AJ635" s="168">
        <f t="shared" si="453"/>
        <v>0</v>
      </c>
      <c r="AK635" s="169">
        <f t="shared" si="454"/>
        <v>0</v>
      </c>
      <c r="AL635" s="167">
        <f t="shared" si="455"/>
        <v>0</v>
      </c>
      <c r="AM635" s="585">
        <f t="shared" si="456"/>
        <v>0</v>
      </c>
      <c r="AN635" s="614"/>
      <c r="AO635" s="615"/>
      <c r="AP635" s="615"/>
      <c r="AQ635" s="616"/>
      <c r="AR635" s="612"/>
      <c r="AS635" s="617"/>
      <c r="AT635" s="618"/>
      <c r="AU635" s="618"/>
      <c r="AV635" s="618"/>
      <c r="AW635" s="619"/>
      <c r="AX635" s="614"/>
      <c r="AY635" s="616"/>
      <c r="AZ635" s="616"/>
      <c r="BA635" s="616"/>
      <c r="BB635" s="616"/>
      <c r="BC635" s="616"/>
      <c r="BD635" s="612"/>
      <c r="BE635" s="614"/>
      <c r="BF635" s="616"/>
      <c r="BG635" s="616"/>
      <c r="BH635" s="616"/>
      <c r="BI635" s="616"/>
      <c r="BJ635" s="616"/>
      <c r="BK635" s="1023"/>
      <c r="BL635" s="658"/>
    </row>
    <row r="636" spans="2:64">
      <c r="B636" s="1022"/>
      <c r="C636" s="607"/>
      <c r="D636" s="607"/>
      <c r="E636" s="1021"/>
      <c r="F636" s="608">
        <v>633</v>
      </c>
      <c r="G636" s="609"/>
      <c r="H636" s="610"/>
      <c r="I636" s="611"/>
      <c r="J636" s="166">
        <f t="shared" si="427"/>
        <v>0</v>
      </c>
      <c r="K636" s="167">
        <f t="shared" si="428"/>
        <v>0</v>
      </c>
      <c r="L636" s="168">
        <f t="shared" si="429"/>
        <v>0</v>
      </c>
      <c r="M636" s="166">
        <f t="shared" si="430"/>
        <v>0</v>
      </c>
      <c r="N636" s="167">
        <f t="shared" si="431"/>
        <v>0</v>
      </c>
      <c r="O636" s="168">
        <f t="shared" si="432"/>
        <v>0</v>
      </c>
      <c r="P636" s="169">
        <f t="shared" si="433"/>
        <v>0</v>
      </c>
      <c r="Q636" s="169">
        <f t="shared" si="434"/>
        <v>0</v>
      </c>
      <c r="R636" s="169">
        <f t="shared" si="435"/>
        <v>0</v>
      </c>
      <c r="S636" s="584">
        <f t="shared" si="436"/>
        <v>0</v>
      </c>
      <c r="T636" s="594">
        <f t="shared" si="437"/>
        <v>0</v>
      </c>
      <c r="U636" s="595">
        <f t="shared" si="438"/>
        <v>0</v>
      </c>
      <c r="V636" s="166">
        <f t="shared" si="439"/>
        <v>0</v>
      </c>
      <c r="W636" s="167">
        <f t="shared" si="440"/>
        <v>0</v>
      </c>
      <c r="X636" s="168">
        <f t="shared" si="441"/>
        <v>0</v>
      </c>
      <c r="Y636" s="166">
        <f t="shared" si="442"/>
        <v>0</v>
      </c>
      <c r="Z636" s="167">
        <f t="shared" si="443"/>
        <v>0</v>
      </c>
      <c r="AA636" s="168">
        <f t="shared" si="444"/>
        <v>0</v>
      </c>
      <c r="AB636" s="166">
        <f t="shared" si="445"/>
        <v>0</v>
      </c>
      <c r="AC636" s="167">
        <f t="shared" si="446"/>
        <v>0</v>
      </c>
      <c r="AD636" s="168">
        <f t="shared" si="447"/>
        <v>0</v>
      </c>
      <c r="AE636" s="166">
        <f t="shared" si="448"/>
        <v>0</v>
      </c>
      <c r="AF636" s="167">
        <f t="shared" si="449"/>
        <v>0</v>
      </c>
      <c r="AG636" s="168">
        <f t="shared" si="450"/>
        <v>0</v>
      </c>
      <c r="AH636" s="166">
        <f t="shared" si="451"/>
        <v>0</v>
      </c>
      <c r="AI636" s="167">
        <f t="shared" si="452"/>
        <v>0</v>
      </c>
      <c r="AJ636" s="168">
        <f t="shared" si="453"/>
        <v>0</v>
      </c>
      <c r="AK636" s="169">
        <f t="shared" si="454"/>
        <v>0</v>
      </c>
      <c r="AL636" s="167">
        <f t="shared" si="455"/>
        <v>0</v>
      </c>
      <c r="AM636" s="585">
        <f t="shared" si="456"/>
        <v>0</v>
      </c>
      <c r="AN636" s="614"/>
      <c r="AO636" s="615"/>
      <c r="AP636" s="615"/>
      <c r="AQ636" s="616"/>
      <c r="AR636" s="612"/>
      <c r="AS636" s="617"/>
      <c r="AT636" s="618"/>
      <c r="AU636" s="618"/>
      <c r="AV636" s="618"/>
      <c r="AW636" s="619"/>
      <c r="AX636" s="614"/>
      <c r="AY636" s="616"/>
      <c r="AZ636" s="616"/>
      <c r="BA636" s="616"/>
      <c r="BB636" s="616"/>
      <c r="BC636" s="616"/>
      <c r="BD636" s="612"/>
      <c r="BE636" s="614"/>
      <c r="BF636" s="616"/>
      <c r="BG636" s="616"/>
      <c r="BH636" s="616"/>
      <c r="BI636" s="616"/>
      <c r="BJ636" s="616"/>
      <c r="BK636" s="1023"/>
      <c r="BL636" s="658"/>
    </row>
    <row r="637" spans="2:64">
      <c r="B637" s="1022"/>
      <c r="C637" s="607"/>
      <c r="D637" s="607"/>
      <c r="E637" s="1021"/>
      <c r="F637" s="1019">
        <v>634</v>
      </c>
      <c r="G637" s="609"/>
      <c r="H637" s="610"/>
      <c r="I637" s="611"/>
      <c r="J637" s="166">
        <f t="shared" si="427"/>
        <v>0</v>
      </c>
      <c r="K637" s="167">
        <f t="shared" si="428"/>
        <v>0</v>
      </c>
      <c r="L637" s="168">
        <f t="shared" si="429"/>
        <v>0</v>
      </c>
      <c r="M637" s="166">
        <f t="shared" si="430"/>
        <v>0</v>
      </c>
      <c r="N637" s="167">
        <f t="shared" si="431"/>
        <v>0</v>
      </c>
      <c r="O637" s="168">
        <f t="shared" si="432"/>
        <v>0</v>
      </c>
      <c r="P637" s="169">
        <f t="shared" si="433"/>
        <v>0</v>
      </c>
      <c r="Q637" s="169">
        <f t="shared" si="434"/>
        <v>0</v>
      </c>
      <c r="R637" s="169">
        <f t="shared" si="435"/>
        <v>0</v>
      </c>
      <c r="S637" s="584">
        <f t="shared" si="436"/>
        <v>0</v>
      </c>
      <c r="T637" s="594">
        <f t="shared" si="437"/>
        <v>0</v>
      </c>
      <c r="U637" s="595">
        <f t="shared" si="438"/>
        <v>0</v>
      </c>
      <c r="V637" s="166">
        <f t="shared" si="439"/>
        <v>0</v>
      </c>
      <c r="W637" s="167">
        <f t="shared" si="440"/>
        <v>0</v>
      </c>
      <c r="X637" s="168">
        <f t="shared" si="441"/>
        <v>0</v>
      </c>
      <c r="Y637" s="166">
        <f t="shared" si="442"/>
        <v>0</v>
      </c>
      <c r="Z637" s="167">
        <f t="shared" si="443"/>
        <v>0</v>
      </c>
      <c r="AA637" s="168">
        <f t="shared" si="444"/>
        <v>0</v>
      </c>
      <c r="AB637" s="166">
        <f t="shared" si="445"/>
        <v>0</v>
      </c>
      <c r="AC637" s="167">
        <f t="shared" si="446"/>
        <v>0</v>
      </c>
      <c r="AD637" s="168">
        <f t="shared" si="447"/>
        <v>0</v>
      </c>
      <c r="AE637" s="166">
        <f t="shared" si="448"/>
        <v>0</v>
      </c>
      <c r="AF637" s="167">
        <f t="shared" si="449"/>
        <v>0</v>
      </c>
      <c r="AG637" s="168">
        <f t="shared" si="450"/>
        <v>0</v>
      </c>
      <c r="AH637" s="166">
        <f t="shared" si="451"/>
        <v>0</v>
      </c>
      <c r="AI637" s="167">
        <f t="shared" si="452"/>
        <v>0</v>
      </c>
      <c r="AJ637" s="168">
        <f t="shared" si="453"/>
        <v>0</v>
      </c>
      <c r="AK637" s="169">
        <f t="shared" si="454"/>
        <v>0</v>
      </c>
      <c r="AL637" s="167">
        <f t="shared" si="455"/>
        <v>0</v>
      </c>
      <c r="AM637" s="585">
        <f t="shared" si="456"/>
        <v>0</v>
      </c>
      <c r="AN637" s="614"/>
      <c r="AO637" s="615"/>
      <c r="AP637" s="615"/>
      <c r="AQ637" s="616"/>
      <c r="AR637" s="612"/>
      <c r="AS637" s="617"/>
      <c r="AT637" s="618"/>
      <c r="AU637" s="618"/>
      <c r="AV637" s="618"/>
      <c r="AW637" s="619"/>
      <c r="AX637" s="614"/>
      <c r="AY637" s="616"/>
      <c r="AZ637" s="616"/>
      <c r="BA637" s="616"/>
      <c r="BB637" s="616"/>
      <c r="BC637" s="616"/>
      <c r="BD637" s="612"/>
      <c r="BE637" s="614"/>
      <c r="BF637" s="616"/>
      <c r="BG637" s="616"/>
      <c r="BH637" s="616"/>
      <c r="BI637" s="616"/>
      <c r="BJ637" s="616"/>
      <c r="BK637" s="1023"/>
      <c r="BL637" s="658"/>
    </row>
    <row r="638" spans="2:64">
      <c r="B638" s="1022"/>
      <c r="C638" s="607"/>
      <c r="D638" s="607"/>
      <c r="E638" s="1021"/>
      <c r="F638" s="608">
        <v>635</v>
      </c>
      <c r="G638" s="609"/>
      <c r="H638" s="610"/>
      <c r="I638" s="611"/>
      <c r="J638" s="166">
        <f t="shared" si="427"/>
        <v>0</v>
      </c>
      <c r="K638" s="167">
        <f t="shared" si="428"/>
        <v>0</v>
      </c>
      <c r="L638" s="168">
        <f t="shared" si="429"/>
        <v>0</v>
      </c>
      <c r="M638" s="166">
        <f t="shared" si="430"/>
        <v>0</v>
      </c>
      <c r="N638" s="167">
        <f t="shared" si="431"/>
        <v>0</v>
      </c>
      <c r="O638" s="168">
        <f t="shared" si="432"/>
        <v>0</v>
      </c>
      <c r="P638" s="169">
        <f t="shared" si="433"/>
        <v>0</v>
      </c>
      <c r="Q638" s="169">
        <f t="shared" si="434"/>
        <v>0</v>
      </c>
      <c r="R638" s="169">
        <f t="shared" si="435"/>
        <v>0</v>
      </c>
      <c r="S638" s="584">
        <f t="shared" si="436"/>
        <v>0</v>
      </c>
      <c r="T638" s="594">
        <f t="shared" si="437"/>
        <v>0</v>
      </c>
      <c r="U638" s="595">
        <f t="shared" si="438"/>
        <v>0</v>
      </c>
      <c r="V638" s="166">
        <f t="shared" si="439"/>
        <v>0</v>
      </c>
      <c r="W638" s="167">
        <f t="shared" si="440"/>
        <v>0</v>
      </c>
      <c r="X638" s="168">
        <f t="shared" si="441"/>
        <v>0</v>
      </c>
      <c r="Y638" s="166">
        <f t="shared" si="442"/>
        <v>0</v>
      </c>
      <c r="Z638" s="167">
        <f t="shared" si="443"/>
        <v>0</v>
      </c>
      <c r="AA638" s="168">
        <f t="shared" si="444"/>
        <v>0</v>
      </c>
      <c r="AB638" s="166">
        <f t="shared" si="445"/>
        <v>0</v>
      </c>
      <c r="AC638" s="167">
        <f t="shared" si="446"/>
        <v>0</v>
      </c>
      <c r="AD638" s="168">
        <f t="shared" si="447"/>
        <v>0</v>
      </c>
      <c r="AE638" s="166">
        <f t="shared" si="448"/>
        <v>0</v>
      </c>
      <c r="AF638" s="167">
        <f t="shared" si="449"/>
        <v>0</v>
      </c>
      <c r="AG638" s="168">
        <f t="shared" si="450"/>
        <v>0</v>
      </c>
      <c r="AH638" s="166">
        <f t="shared" si="451"/>
        <v>0</v>
      </c>
      <c r="AI638" s="167">
        <f t="shared" si="452"/>
        <v>0</v>
      </c>
      <c r="AJ638" s="168">
        <f t="shared" si="453"/>
        <v>0</v>
      </c>
      <c r="AK638" s="169">
        <f t="shared" si="454"/>
        <v>0</v>
      </c>
      <c r="AL638" s="167">
        <f t="shared" si="455"/>
        <v>0</v>
      </c>
      <c r="AM638" s="585">
        <f t="shared" si="456"/>
        <v>0</v>
      </c>
      <c r="AN638" s="614"/>
      <c r="AO638" s="615"/>
      <c r="AP638" s="615"/>
      <c r="AQ638" s="616"/>
      <c r="AR638" s="612"/>
      <c r="AS638" s="617"/>
      <c r="AT638" s="618"/>
      <c r="AU638" s="618"/>
      <c r="AV638" s="618"/>
      <c r="AW638" s="619"/>
      <c r="AX638" s="614"/>
      <c r="AY638" s="616"/>
      <c r="AZ638" s="616"/>
      <c r="BA638" s="616"/>
      <c r="BB638" s="616"/>
      <c r="BC638" s="616"/>
      <c r="BD638" s="612"/>
      <c r="BE638" s="614"/>
      <c r="BF638" s="616"/>
      <c r="BG638" s="616"/>
      <c r="BH638" s="616"/>
      <c r="BI638" s="616"/>
      <c r="BJ638" s="616"/>
      <c r="BK638" s="1023"/>
      <c r="BL638" s="658"/>
    </row>
    <row r="639" spans="2:64">
      <c r="B639" s="1022"/>
      <c r="C639" s="607"/>
      <c r="D639" s="607"/>
      <c r="E639" s="1021"/>
      <c r="F639" s="1019">
        <v>636</v>
      </c>
      <c r="G639" s="609"/>
      <c r="H639" s="610"/>
      <c r="I639" s="611"/>
      <c r="J639" s="166">
        <f t="shared" si="427"/>
        <v>0</v>
      </c>
      <c r="K639" s="167">
        <f t="shared" si="428"/>
        <v>0</v>
      </c>
      <c r="L639" s="168">
        <f t="shared" si="429"/>
        <v>0</v>
      </c>
      <c r="M639" s="166">
        <f t="shared" si="430"/>
        <v>0</v>
      </c>
      <c r="N639" s="167">
        <f t="shared" si="431"/>
        <v>0</v>
      </c>
      <c r="O639" s="168">
        <f t="shared" si="432"/>
        <v>0</v>
      </c>
      <c r="P639" s="169">
        <f t="shared" si="433"/>
        <v>0</v>
      </c>
      <c r="Q639" s="169">
        <f t="shared" si="434"/>
        <v>0</v>
      </c>
      <c r="R639" s="169">
        <f t="shared" si="435"/>
        <v>0</v>
      </c>
      <c r="S639" s="584">
        <f t="shared" si="436"/>
        <v>0</v>
      </c>
      <c r="T639" s="594">
        <f t="shared" si="437"/>
        <v>0</v>
      </c>
      <c r="U639" s="595">
        <f t="shared" si="438"/>
        <v>0</v>
      </c>
      <c r="V639" s="166">
        <f t="shared" si="439"/>
        <v>0</v>
      </c>
      <c r="W639" s="167">
        <f t="shared" si="440"/>
        <v>0</v>
      </c>
      <c r="X639" s="168">
        <f t="shared" si="441"/>
        <v>0</v>
      </c>
      <c r="Y639" s="166">
        <f t="shared" si="442"/>
        <v>0</v>
      </c>
      <c r="Z639" s="167">
        <f t="shared" si="443"/>
        <v>0</v>
      </c>
      <c r="AA639" s="168">
        <f t="shared" si="444"/>
        <v>0</v>
      </c>
      <c r="AB639" s="166">
        <f t="shared" si="445"/>
        <v>0</v>
      </c>
      <c r="AC639" s="167">
        <f t="shared" si="446"/>
        <v>0</v>
      </c>
      <c r="AD639" s="168">
        <f t="shared" si="447"/>
        <v>0</v>
      </c>
      <c r="AE639" s="166">
        <f t="shared" si="448"/>
        <v>0</v>
      </c>
      <c r="AF639" s="167">
        <f t="shared" si="449"/>
        <v>0</v>
      </c>
      <c r="AG639" s="168">
        <f t="shared" si="450"/>
        <v>0</v>
      </c>
      <c r="AH639" s="166">
        <f t="shared" si="451"/>
        <v>0</v>
      </c>
      <c r="AI639" s="167">
        <f t="shared" si="452"/>
        <v>0</v>
      </c>
      <c r="AJ639" s="168">
        <f t="shared" si="453"/>
        <v>0</v>
      </c>
      <c r="AK639" s="169">
        <f t="shared" si="454"/>
        <v>0</v>
      </c>
      <c r="AL639" s="167">
        <f t="shared" si="455"/>
        <v>0</v>
      </c>
      <c r="AM639" s="585">
        <f t="shared" si="456"/>
        <v>0</v>
      </c>
      <c r="AN639" s="614"/>
      <c r="AO639" s="615"/>
      <c r="AP639" s="615"/>
      <c r="AQ639" s="616"/>
      <c r="AR639" s="612"/>
      <c r="AS639" s="617"/>
      <c r="AT639" s="618"/>
      <c r="AU639" s="618"/>
      <c r="AV639" s="618"/>
      <c r="AW639" s="619"/>
      <c r="AX639" s="614"/>
      <c r="AY639" s="616"/>
      <c r="AZ639" s="616"/>
      <c r="BA639" s="616"/>
      <c r="BB639" s="616"/>
      <c r="BC639" s="616"/>
      <c r="BD639" s="612"/>
      <c r="BE639" s="614"/>
      <c r="BF639" s="616"/>
      <c r="BG639" s="616"/>
      <c r="BH639" s="616"/>
      <c r="BI639" s="616"/>
      <c r="BJ639" s="616"/>
      <c r="BK639" s="1023"/>
      <c r="BL639" s="658"/>
    </row>
    <row r="640" spans="2:64">
      <c r="B640" s="1022"/>
      <c r="C640" s="607"/>
      <c r="D640" s="607"/>
      <c r="E640" s="1021"/>
      <c r="F640" s="608">
        <v>637</v>
      </c>
      <c r="G640" s="609"/>
      <c r="H640" s="610"/>
      <c r="I640" s="611"/>
      <c r="J640" s="166">
        <f t="shared" si="427"/>
        <v>0</v>
      </c>
      <c r="K640" s="167">
        <f t="shared" si="428"/>
        <v>0</v>
      </c>
      <c r="L640" s="168">
        <f t="shared" si="429"/>
        <v>0</v>
      </c>
      <c r="M640" s="166">
        <f t="shared" si="430"/>
        <v>0</v>
      </c>
      <c r="N640" s="167">
        <f t="shared" si="431"/>
        <v>0</v>
      </c>
      <c r="O640" s="168">
        <f t="shared" si="432"/>
        <v>0</v>
      </c>
      <c r="P640" s="169">
        <f t="shared" si="433"/>
        <v>0</v>
      </c>
      <c r="Q640" s="169">
        <f t="shared" si="434"/>
        <v>0</v>
      </c>
      <c r="R640" s="169">
        <f t="shared" si="435"/>
        <v>0</v>
      </c>
      <c r="S640" s="584">
        <f t="shared" si="436"/>
        <v>0</v>
      </c>
      <c r="T640" s="594">
        <f t="shared" si="437"/>
        <v>0</v>
      </c>
      <c r="U640" s="595">
        <f t="shared" si="438"/>
        <v>0</v>
      </c>
      <c r="V640" s="166">
        <f t="shared" si="439"/>
        <v>0</v>
      </c>
      <c r="W640" s="167">
        <f t="shared" si="440"/>
        <v>0</v>
      </c>
      <c r="X640" s="168">
        <f t="shared" si="441"/>
        <v>0</v>
      </c>
      <c r="Y640" s="166">
        <f t="shared" si="442"/>
        <v>0</v>
      </c>
      <c r="Z640" s="167">
        <f t="shared" si="443"/>
        <v>0</v>
      </c>
      <c r="AA640" s="168">
        <f t="shared" si="444"/>
        <v>0</v>
      </c>
      <c r="AB640" s="166">
        <f t="shared" si="445"/>
        <v>0</v>
      </c>
      <c r="AC640" s="167">
        <f t="shared" si="446"/>
        <v>0</v>
      </c>
      <c r="AD640" s="168">
        <f t="shared" si="447"/>
        <v>0</v>
      </c>
      <c r="AE640" s="166">
        <f t="shared" si="448"/>
        <v>0</v>
      </c>
      <c r="AF640" s="167">
        <f t="shared" si="449"/>
        <v>0</v>
      </c>
      <c r="AG640" s="168">
        <f t="shared" si="450"/>
        <v>0</v>
      </c>
      <c r="AH640" s="166">
        <f t="shared" si="451"/>
        <v>0</v>
      </c>
      <c r="AI640" s="167">
        <f t="shared" si="452"/>
        <v>0</v>
      </c>
      <c r="AJ640" s="168">
        <f t="shared" si="453"/>
        <v>0</v>
      </c>
      <c r="AK640" s="169">
        <f t="shared" si="454"/>
        <v>0</v>
      </c>
      <c r="AL640" s="167">
        <f t="shared" si="455"/>
        <v>0</v>
      </c>
      <c r="AM640" s="585">
        <f t="shared" si="456"/>
        <v>0</v>
      </c>
      <c r="AN640" s="614"/>
      <c r="AO640" s="615"/>
      <c r="AP640" s="615"/>
      <c r="AQ640" s="616"/>
      <c r="AR640" s="612"/>
      <c r="AS640" s="617"/>
      <c r="AT640" s="618"/>
      <c r="AU640" s="618"/>
      <c r="AV640" s="618"/>
      <c r="AW640" s="619"/>
      <c r="AX640" s="614"/>
      <c r="AY640" s="616"/>
      <c r="AZ640" s="616"/>
      <c r="BA640" s="616"/>
      <c r="BB640" s="616"/>
      <c r="BC640" s="616"/>
      <c r="BD640" s="612"/>
      <c r="BE640" s="614"/>
      <c r="BF640" s="616"/>
      <c r="BG640" s="616"/>
      <c r="BH640" s="616"/>
      <c r="BI640" s="616"/>
      <c r="BJ640" s="616"/>
      <c r="BK640" s="1023"/>
      <c r="BL640" s="658"/>
    </row>
    <row r="641" spans="2:64">
      <c r="B641" s="1022"/>
      <c r="C641" s="607"/>
      <c r="D641" s="607"/>
      <c r="E641" s="1021"/>
      <c r="F641" s="1019">
        <v>638</v>
      </c>
      <c r="G641" s="609"/>
      <c r="H641" s="610"/>
      <c r="I641" s="611"/>
      <c r="J641" s="166">
        <f t="shared" si="427"/>
        <v>0</v>
      </c>
      <c r="K641" s="167">
        <f t="shared" si="428"/>
        <v>0</v>
      </c>
      <c r="L641" s="168">
        <f t="shared" si="429"/>
        <v>0</v>
      </c>
      <c r="M641" s="166">
        <f t="shared" si="430"/>
        <v>0</v>
      </c>
      <c r="N641" s="167">
        <f t="shared" si="431"/>
        <v>0</v>
      </c>
      <c r="O641" s="168">
        <f t="shared" si="432"/>
        <v>0</v>
      </c>
      <c r="P641" s="169">
        <f t="shared" si="433"/>
        <v>0</v>
      </c>
      <c r="Q641" s="169">
        <f t="shared" si="434"/>
        <v>0</v>
      </c>
      <c r="R641" s="169">
        <f t="shared" si="435"/>
        <v>0</v>
      </c>
      <c r="S641" s="584">
        <f t="shared" si="436"/>
        <v>0</v>
      </c>
      <c r="T641" s="594">
        <f t="shared" si="437"/>
        <v>0</v>
      </c>
      <c r="U641" s="595">
        <f t="shared" si="438"/>
        <v>0</v>
      </c>
      <c r="V641" s="166">
        <f t="shared" si="439"/>
        <v>0</v>
      </c>
      <c r="W641" s="167">
        <f t="shared" si="440"/>
        <v>0</v>
      </c>
      <c r="X641" s="168">
        <f t="shared" si="441"/>
        <v>0</v>
      </c>
      <c r="Y641" s="166">
        <f t="shared" si="442"/>
        <v>0</v>
      </c>
      <c r="Z641" s="167">
        <f t="shared" si="443"/>
        <v>0</v>
      </c>
      <c r="AA641" s="168">
        <f t="shared" si="444"/>
        <v>0</v>
      </c>
      <c r="AB641" s="166">
        <f t="shared" si="445"/>
        <v>0</v>
      </c>
      <c r="AC641" s="167">
        <f t="shared" si="446"/>
        <v>0</v>
      </c>
      <c r="AD641" s="168">
        <f t="shared" si="447"/>
        <v>0</v>
      </c>
      <c r="AE641" s="166">
        <f t="shared" si="448"/>
        <v>0</v>
      </c>
      <c r="AF641" s="167">
        <f t="shared" si="449"/>
        <v>0</v>
      </c>
      <c r="AG641" s="168">
        <f t="shared" si="450"/>
        <v>0</v>
      </c>
      <c r="AH641" s="166">
        <f t="shared" si="451"/>
        <v>0</v>
      </c>
      <c r="AI641" s="167">
        <f t="shared" si="452"/>
        <v>0</v>
      </c>
      <c r="AJ641" s="168">
        <f t="shared" si="453"/>
        <v>0</v>
      </c>
      <c r="AK641" s="169">
        <f t="shared" si="454"/>
        <v>0</v>
      </c>
      <c r="AL641" s="167">
        <f t="shared" si="455"/>
        <v>0</v>
      </c>
      <c r="AM641" s="585">
        <f t="shared" si="456"/>
        <v>0</v>
      </c>
      <c r="AN641" s="614"/>
      <c r="AO641" s="615"/>
      <c r="AP641" s="615"/>
      <c r="AQ641" s="616"/>
      <c r="AR641" s="612"/>
      <c r="AS641" s="617"/>
      <c r="AT641" s="618"/>
      <c r="AU641" s="618"/>
      <c r="AV641" s="618"/>
      <c r="AW641" s="619"/>
      <c r="AX641" s="614"/>
      <c r="AY641" s="616"/>
      <c r="AZ641" s="616"/>
      <c r="BA641" s="616"/>
      <c r="BB641" s="616"/>
      <c r="BC641" s="616"/>
      <c r="BD641" s="612"/>
      <c r="BE641" s="614"/>
      <c r="BF641" s="616"/>
      <c r="BG641" s="616"/>
      <c r="BH641" s="616"/>
      <c r="BI641" s="616"/>
      <c r="BJ641" s="616"/>
      <c r="BK641" s="1023"/>
      <c r="BL641" s="658"/>
    </row>
    <row r="642" spans="2:64">
      <c r="B642" s="1022"/>
      <c r="C642" s="607"/>
      <c r="D642" s="607"/>
      <c r="E642" s="1021"/>
      <c r="F642" s="608">
        <v>639</v>
      </c>
      <c r="G642" s="609"/>
      <c r="H642" s="610"/>
      <c r="I642" s="611"/>
      <c r="J642" s="166">
        <f t="shared" si="427"/>
        <v>0</v>
      </c>
      <c r="K642" s="167">
        <f t="shared" si="428"/>
        <v>0</v>
      </c>
      <c r="L642" s="168">
        <f t="shared" si="429"/>
        <v>0</v>
      </c>
      <c r="M642" s="166">
        <f t="shared" si="430"/>
        <v>0</v>
      </c>
      <c r="N642" s="167">
        <f t="shared" si="431"/>
        <v>0</v>
      </c>
      <c r="O642" s="168">
        <f t="shared" si="432"/>
        <v>0</v>
      </c>
      <c r="P642" s="169">
        <f t="shared" si="433"/>
        <v>0</v>
      </c>
      <c r="Q642" s="169">
        <f t="shared" si="434"/>
        <v>0</v>
      </c>
      <c r="R642" s="169">
        <f t="shared" si="435"/>
        <v>0</v>
      </c>
      <c r="S642" s="584">
        <f t="shared" si="436"/>
        <v>0</v>
      </c>
      <c r="T642" s="594">
        <f t="shared" si="437"/>
        <v>0</v>
      </c>
      <c r="U642" s="595">
        <f t="shared" si="438"/>
        <v>0</v>
      </c>
      <c r="V642" s="166">
        <f t="shared" si="439"/>
        <v>0</v>
      </c>
      <c r="W642" s="167">
        <f t="shared" si="440"/>
        <v>0</v>
      </c>
      <c r="X642" s="168">
        <f t="shared" si="441"/>
        <v>0</v>
      </c>
      <c r="Y642" s="166">
        <f t="shared" si="442"/>
        <v>0</v>
      </c>
      <c r="Z642" s="167">
        <f t="shared" si="443"/>
        <v>0</v>
      </c>
      <c r="AA642" s="168">
        <f t="shared" si="444"/>
        <v>0</v>
      </c>
      <c r="AB642" s="166">
        <f t="shared" si="445"/>
        <v>0</v>
      </c>
      <c r="AC642" s="167">
        <f t="shared" si="446"/>
        <v>0</v>
      </c>
      <c r="AD642" s="168">
        <f t="shared" si="447"/>
        <v>0</v>
      </c>
      <c r="AE642" s="166">
        <f t="shared" si="448"/>
        <v>0</v>
      </c>
      <c r="AF642" s="167">
        <f t="shared" si="449"/>
        <v>0</v>
      </c>
      <c r="AG642" s="168">
        <f t="shared" si="450"/>
        <v>0</v>
      </c>
      <c r="AH642" s="166">
        <f t="shared" si="451"/>
        <v>0</v>
      </c>
      <c r="AI642" s="167">
        <f t="shared" si="452"/>
        <v>0</v>
      </c>
      <c r="AJ642" s="168">
        <f t="shared" si="453"/>
        <v>0</v>
      </c>
      <c r="AK642" s="169">
        <f t="shared" si="454"/>
        <v>0</v>
      </c>
      <c r="AL642" s="167">
        <f t="shared" si="455"/>
        <v>0</v>
      </c>
      <c r="AM642" s="585">
        <f t="shared" si="456"/>
        <v>0</v>
      </c>
      <c r="AN642" s="614"/>
      <c r="AO642" s="615"/>
      <c r="AP642" s="615"/>
      <c r="AQ642" s="616"/>
      <c r="AR642" s="612"/>
      <c r="AS642" s="617"/>
      <c r="AT642" s="618"/>
      <c r="AU642" s="618"/>
      <c r="AV642" s="618"/>
      <c r="AW642" s="619"/>
      <c r="AX642" s="614"/>
      <c r="AY642" s="616"/>
      <c r="AZ642" s="616"/>
      <c r="BA642" s="616"/>
      <c r="BB642" s="616"/>
      <c r="BC642" s="616"/>
      <c r="BD642" s="612"/>
      <c r="BE642" s="614"/>
      <c r="BF642" s="616"/>
      <c r="BG642" s="616"/>
      <c r="BH642" s="616"/>
      <c r="BI642" s="616"/>
      <c r="BJ642" s="616"/>
      <c r="BK642" s="1023"/>
      <c r="BL642" s="658"/>
    </row>
    <row r="643" spans="2:64">
      <c r="B643" s="1022"/>
      <c r="C643" s="607"/>
      <c r="D643" s="607"/>
      <c r="E643" s="1021"/>
      <c r="F643" s="1019">
        <v>640</v>
      </c>
      <c r="G643" s="609"/>
      <c r="H643" s="610"/>
      <c r="I643" s="611"/>
      <c r="J643" s="166">
        <f t="shared" si="427"/>
        <v>0</v>
      </c>
      <c r="K643" s="167">
        <f t="shared" si="428"/>
        <v>0</v>
      </c>
      <c r="L643" s="168">
        <f t="shared" si="429"/>
        <v>0</v>
      </c>
      <c r="M643" s="166">
        <f t="shared" si="430"/>
        <v>0</v>
      </c>
      <c r="N643" s="167">
        <f t="shared" si="431"/>
        <v>0</v>
      </c>
      <c r="O643" s="168">
        <f t="shared" si="432"/>
        <v>0</v>
      </c>
      <c r="P643" s="169">
        <f t="shared" si="433"/>
        <v>0</v>
      </c>
      <c r="Q643" s="169">
        <f t="shared" si="434"/>
        <v>0</v>
      </c>
      <c r="R643" s="169">
        <f t="shared" si="435"/>
        <v>0</v>
      </c>
      <c r="S643" s="584">
        <f t="shared" si="436"/>
        <v>0</v>
      </c>
      <c r="T643" s="594">
        <f t="shared" si="437"/>
        <v>0</v>
      </c>
      <c r="U643" s="595">
        <f t="shared" si="438"/>
        <v>0</v>
      </c>
      <c r="V643" s="166">
        <f t="shared" si="439"/>
        <v>0</v>
      </c>
      <c r="W643" s="167">
        <f t="shared" si="440"/>
        <v>0</v>
      </c>
      <c r="X643" s="168">
        <f t="shared" si="441"/>
        <v>0</v>
      </c>
      <c r="Y643" s="166">
        <f t="shared" si="442"/>
        <v>0</v>
      </c>
      <c r="Z643" s="167">
        <f t="shared" si="443"/>
        <v>0</v>
      </c>
      <c r="AA643" s="168">
        <f t="shared" si="444"/>
        <v>0</v>
      </c>
      <c r="AB643" s="166">
        <f t="shared" si="445"/>
        <v>0</v>
      </c>
      <c r="AC643" s="167">
        <f t="shared" si="446"/>
        <v>0</v>
      </c>
      <c r="AD643" s="168">
        <f t="shared" si="447"/>
        <v>0</v>
      </c>
      <c r="AE643" s="166">
        <f t="shared" si="448"/>
        <v>0</v>
      </c>
      <c r="AF643" s="167">
        <f t="shared" si="449"/>
        <v>0</v>
      </c>
      <c r="AG643" s="168">
        <f t="shared" si="450"/>
        <v>0</v>
      </c>
      <c r="AH643" s="166">
        <f t="shared" si="451"/>
        <v>0</v>
      </c>
      <c r="AI643" s="167">
        <f t="shared" si="452"/>
        <v>0</v>
      </c>
      <c r="AJ643" s="168">
        <f t="shared" si="453"/>
        <v>0</v>
      </c>
      <c r="AK643" s="169">
        <f t="shared" si="454"/>
        <v>0</v>
      </c>
      <c r="AL643" s="167">
        <f t="shared" si="455"/>
        <v>0</v>
      </c>
      <c r="AM643" s="585">
        <f t="shared" si="456"/>
        <v>0</v>
      </c>
      <c r="AN643" s="614"/>
      <c r="AO643" s="615"/>
      <c r="AP643" s="615"/>
      <c r="AQ643" s="616"/>
      <c r="AR643" s="612"/>
      <c r="AS643" s="617"/>
      <c r="AT643" s="618"/>
      <c r="AU643" s="618"/>
      <c r="AV643" s="618"/>
      <c r="AW643" s="619"/>
      <c r="AX643" s="614"/>
      <c r="AY643" s="616"/>
      <c r="AZ643" s="616"/>
      <c r="BA643" s="616"/>
      <c r="BB643" s="616"/>
      <c r="BC643" s="616"/>
      <c r="BD643" s="612"/>
      <c r="BE643" s="614"/>
      <c r="BF643" s="616"/>
      <c r="BG643" s="616"/>
      <c r="BH643" s="616"/>
      <c r="BI643" s="616"/>
      <c r="BJ643" s="616"/>
      <c r="BK643" s="1023"/>
      <c r="BL643" s="658"/>
    </row>
    <row r="644" spans="2:64">
      <c r="B644" s="1022"/>
      <c r="C644" s="607"/>
      <c r="D644" s="607"/>
      <c r="E644" s="1021"/>
      <c r="F644" s="608">
        <v>641</v>
      </c>
      <c r="G644" s="609"/>
      <c r="H644" s="610"/>
      <c r="I644" s="611"/>
      <c r="J644" s="166">
        <f t="shared" ref="J644:J707" si="461">INT(G644/50+0.05)</f>
        <v>0</v>
      </c>
      <c r="K644" s="167">
        <f t="shared" ref="K644:K707" si="462">INT(H644/50+0.05)</f>
        <v>0</v>
      </c>
      <c r="L644" s="168">
        <f t="shared" ref="L644:L707" si="463">INT(I644/50+0.05)</f>
        <v>0</v>
      </c>
      <c r="M644" s="166">
        <f t="shared" ref="M644:M707" si="464">INT(IF($C644="UR",IF($E644="party卡",G644*0.0270833333333333,G644*0.025),0)+IF($C644="SR",G644*0.03,0)+IF($C644="R",G644*0.0375,0)+0.05)</f>
        <v>0</v>
      </c>
      <c r="N644" s="167">
        <f t="shared" ref="N644:N707" si="465">INT(IF($C644="UR",IF($E644="party卡",H644*0.0270833333333333,H644*0.025),0)+IF($C644="SR",H644*0.03,0)+IF($C644="R",H644*0.0375,0)+0.05)</f>
        <v>0</v>
      </c>
      <c r="O644" s="168">
        <f t="shared" ref="O644:O707" si="466">INT(IF($C644="UR",IF($E644="party卡",I644*0.0270833333333333,I644*0.025),0)+IF($C644="SR",I644*0.03,0)+IF($C644="R",I644*0.0375,0)+0.05)</f>
        <v>0</v>
      </c>
      <c r="P644" s="169">
        <f t="shared" ref="P644:P707" si="467">INT(IF($C644="UR",IF($E644="party卡",G644*0.04375,G644*0.0375),0)+IF($C644="SR",G644*0.04,0)+IF($C644="R",G644*0.05,0)+0.05)</f>
        <v>0</v>
      </c>
      <c r="Q644" s="169">
        <f t="shared" ref="Q644:Q707" si="468">INT(IF($C644="UR",IF($E644="party卡",H644*0.04375,H644*0.0375),0)+IF($C644="SR",H644*0.04,0)+IF($C644="R",H644*0.05,0)+0.05)</f>
        <v>0</v>
      </c>
      <c r="R644" s="169">
        <f t="shared" ref="R644:R707" si="469">INT(IF($C644="UR",IF($E644="party卡",I644*0.04375,I644*0.0375),0)+IF($C644="SR",I644*0.04,0)+IF($C644="R",I644*0.05,0)+0.05)</f>
        <v>0</v>
      </c>
      <c r="S644" s="584">
        <f t="shared" si="436"/>
        <v>0</v>
      </c>
      <c r="T644" s="594">
        <f t="shared" si="437"/>
        <v>0</v>
      </c>
      <c r="U644" s="595">
        <f t="shared" si="438"/>
        <v>0</v>
      </c>
      <c r="V644" s="166">
        <f t="shared" si="439"/>
        <v>0</v>
      </c>
      <c r="W644" s="167">
        <f t="shared" si="440"/>
        <v>0</v>
      </c>
      <c r="X644" s="168">
        <f t="shared" si="441"/>
        <v>0</v>
      </c>
      <c r="Y644" s="166">
        <f t="shared" si="442"/>
        <v>0</v>
      </c>
      <c r="Z644" s="167">
        <f t="shared" si="443"/>
        <v>0</v>
      </c>
      <c r="AA644" s="168">
        <f t="shared" si="444"/>
        <v>0</v>
      </c>
      <c r="AB644" s="166">
        <f t="shared" si="445"/>
        <v>0</v>
      </c>
      <c r="AC644" s="167">
        <f t="shared" si="446"/>
        <v>0</v>
      </c>
      <c r="AD644" s="168">
        <f t="shared" si="447"/>
        <v>0</v>
      </c>
      <c r="AE644" s="166">
        <f t="shared" si="448"/>
        <v>0</v>
      </c>
      <c r="AF644" s="167">
        <f t="shared" si="449"/>
        <v>0</v>
      </c>
      <c r="AG644" s="168">
        <f t="shared" si="450"/>
        <v>0</v>
      </c>
      <c r="AH644" s="166">
        <f t="shared" si="451"/>
        <v>0</v>
      </c>
      <c r="AI644" s="167">
        <f t="shared" si="452"/>
        <v>0</v>
      </c>
      <c r="AJ644" s="168">
        <f t="shared" si="453"/>
        <v>0</v>
      </c>
      <c r="AK644" s="169">
        <f t="shared" si="454"/>
        <v>0</v>
      </c>
      <c r="AL644" s="167">
        <f t="shared" si="455"/>
        <v>0</v>
      </c>
      <c r="AM644" s="585">
        <f t="shared" si="456"/>
        <v>0</v>
      </c>
      <c r="AN644" s="614"/>
      <c r="AO644" s="615"/>
      <c r="AP644" s="615"/>
      <c r="AQ644" s="616"/>
      <c r="AR644" s="612"/>
      <c r="AS644" s="617"/>
      <c r="AT644" s="618"/>
      <c r="AU644" s="618"/>
      <c r="AV644" s="618"/>
      <c r="AW644" s="619"/>
      <c r="AX644" s="614"/>
      <c r="AY644" s="616"/>
      <c r="AZ644" s="616"/>
      <c r="BA644" s="616"/>
      <c r="BB644" s="616"/>
      <c r="BC644" s="616"/>
      <c r="BD644" s="612"/>
      <c r="BE644" s="614"/>
      <c r="BF644" s="616"/>
      <c r="BG644" s="616"/>
      <c r="BH644" s="616"/>
      <c r="BI644" s="616"/>
      <c r="BJ644" s="616"/>
      <c r="BK644" s="1023"/>
      <c r="BL644" s="658"/>
    </row>
    <row r="645" spans="2:64">
      <c r="B645" s="1022"/>
      <c r="C645" s="607"/>
      <c r="D645" s="607"/>
      <c r="E645" s="1021"/>
      <c r="F645" s="1019">
        <v>642</v>
      </c>
      <c r="G645" s="609"/>
      <c r="H645" s="610"/>
      <c r="I645" s="611"/>
      <c r="J645" s="166">
        <f t="shared" si="461"/>
        <v>0</v>
      </c>
      <c r="K645" s="167">
        <f t="shared" si="462"/>
        <v>0</v>
      </c>
      <c r="L645" s="168">
        <f t="shared" si="463"/>
        <v>0</v>
      </c>
      <c r="M645" s="166">
        <f t="shared" si="464"/>
        <v>0</v>
      </c>
      <c r="N645" s="167">
        <f t="shared" si="465"/>
        <v>0</v>
      </c>
      <c r="O645" s="168">
        <f t="shared" si="466"/>
        <v>0</v>
      </c>
      <c r="P645" s="169">
        <f t="shared" si="467"/>
        <v>0</v>
      </c>
      <c r="Q645" s="169">
        <f t="shared" si="468"/>
        <v>0</v>
      </c>
      <c r="R645" s="169">
        <f t="shared" si="469"/>
        <v>0</v>
      </c>
      <c r="S645" s="584">
        <f t="shared" si="436"/>
        <v>0</v>
      </c>
      <c r="T645" s="594">
        <f t="shared" si="437"/>
        <v>0</v>
      </c>
      <c r="U645" s="595">
        <f t="shared" si="438"/>
        <v>0</v>
      </c>
      <c r="V645" s="166">
        <f t="shared" si="439"/>
        <v>0</v>
      </c>
      <c r="W645" s="167">
        <f t="shared" si="440"/>
        <v>0</v>
      </c>
      <c r="X645" s="168">
        <f t="shared" si="441"/>
        <v>0</v>
      </c>
      <c r="Y645" s="166">
        <f t="shared" si="442"/>
        <v>0</v>
      </c>
      <c r="Z645" s="167">
        <f t="shared" si="443"/>
        <v>0</v>
      </c>
      <c r="AA645" s="168">
        <f t="shared" si="444"/>
        <v>0</v>
      </c>
      <c r="AB645" s="166">
        <f t="shared" si="445"/>
        <v>0</v>
      </c>
      <c r="AC645" s="167">
        <f t="shared" si="446"/>
        <v>0</v>
      </c>
      <c r="AD645" s="168">
        <f t="shared" si="447"/>
        <v>0</v>
      </c>
      <c r="AE645" s="166">
        <f t="shared" si="448"/>
        <v>0</v>
      </c>
      <c r="AF645" s="167">
        <f t="shared" si="449"/>
        <v>0</v>
      </c>
      <c r="AG645" s="168">
        <f t="shared" si="450"/>
        <v>0</v>
      </c>
      <c r="AH645" s="166">
        <f t="shared" si="451"/>
        <v>0</v>
      </c>
      <c r="AI645" s="167">
        <f t="shared" si="452"/>
        <v>0</v>
      </c>
      <c r="AJ645" s="168">
        <f t="shared" si="453"/>
        <v>0</v>
      </c>
      <c r="AK645" s="169">
        <f t="shared" si="454"/>
        <v>0</v>
      </c>
      <c r="AL645" s="167">
        <f t="shared" si="455"/>
        <v>0</v>
      </c>
      <c r="AM645" s="585">
        <f t="shared" si="456"/>
        <v>0</v>
      </c>
      <c r="AN645" s="614"/>
      <c r="AO645" s="615"/>
      <c r="AP645" s="615"/>
      <c r="AQ645" s="616"/>
      <c r="AR645" s="612"/>
      <c r="AS645" s="617"/>
      <c r="AT645" s="618"/>
      <c r="AU645" s="618"/>
      <c r="AV645" s="618"/>
      <c r="AW645" s="619"/>
      <c r="AX645" s="614"/>
      <c r="AY645" s="616"/>
      <c r="AZ645" s="616"/>
      <c r="BA645" s="616"/>
      <c r="BB645" s="616"/>
      <c r="BC645" s="616"/>
      <c r="BD645" s="612"/>
      <c r="BE645" s="614"/>
      <c r="BF645" s="616"/>
      <c r="BG645" s="616"/>
      <c r="BH645" s="616"/>
      <c r="BI645" s="616"/>
      <c r="BJ645" s="616"/>
      <c r="BK645" s="1023"/>
      <c r="BL645" s="658"/>
    </row>
    <row r="646" spans="2:64">
      <c r="B646" s="1022"/>
      <c r="C646" s="607"/>
      <c r="D646" s="607"/>
      <c r="E646" s="1021"/>
      <c r="F646" s="608">
        <v>643</v>
      </c>
      <c r="G646" s="609"/>
      <c r="H646" s="610"/>
      <c r="I646" s="611"/>
      <c r="J646" s="166">
        <f t="shared" si="461"/>
        <v>0</v>
      </c>
      <c r="K646" s="167">
        <f t="shared" si="462"/>
        <v>0</v>
      </c>
      <c r="L646" s="168">
        <f t="shared" si="463"/>
        <v>0</v>
      </c>
      <c r="M646" s="166">
        <f t="shared" si="464"/>
        <v>0</v>
      </c>
      <c r="N646" s="167">
        <f t="shared" si="465"/>
        <v>0</v>
      </c>
      <c r="O646" s="168">
        <f t="shared" si="466"/>
        <v>0</v>
      </c>
      <c r="P646" s="169">
        <f t="shared" si="467"/>
        <v>0</v>
      </c>
      <c r="Q646" s="169">
        <f t="shared" si="468"/>
        <v>0</v>
      </c>
      <c r="R646" s="169">
        <f t="shared" si="469"/>
        <v>0</v>
      </c>
      <c r="S646" s="584">
        <f t="shared" si="436"/>
        <v>0</v>
      </c>
      <c r="T646" s="594">
        <f t="shared" si="437"/>
        <v>0</v>
      </c>
      <c r="U646" s="595">
        <f t="shared" si="438"/>
        <v>0</v>
      </c>
      <c r="V646" s="166">
        <f t="shared" si="439"/>
        <v>0</v>
      </c>
      <c r="W646" s="167">
        <f t="shared" si="440"/>
        <v>0</v>
      </c>
      <c r="X646" s="168">
        <f t="shared" si="441"/>
        <v>0</v>
      </c>
      <c r="Y646" s="166">
        <f t="shared" si="442"/>
        <v>0</v>
      </c>
      <c r="Z646" s="167">
        <f t="shared" si="443"/>
        <v>0</v>
      </c>
      <c r="AA646" s="168">
        <f t="shared" si="444"/>
        <v>0</v>
      </c>
      <c r="AB646" s="166">
        <f t="shared" si="445"/>
        <v>0</v>
      </c>
      <c r="AC646" s="167">
        <f t="shared" si="446"/>
        <v>0</v>
      </c>
      <c r="AD646" s="168">
        <f t="shared" si="447"/>
        <v>0</v>
      </c>
      <c r="AE646" s="166">
        <f t="shared" si="448"/>
        <v>0</v>
      </c>
      <c r="AF646" s="167">
        <f t="shared" si="449"/>
        <v>0</v>
      </c>
      <c r="AG646" s="168">
        <f t="shared" si="450"/>
        <v>0</v>
      </c>
      <c r="AH646" s="166">
        <f t="shared" si="451"/>
        <v>0</v>
      </c>
      <c r="AI646" s="167">
        <f t="shared" si="452"/>
        <v>0</v>
      </c>
      <c r="AJ646" s="168">
        <f t="shared" si="453"/>
        <v>0</v>
      </c>
      <c r="AK646" s="169">
        <f t="shared" si="454"/>
        <v>0</v>
      </c>
      <c r="AL646" s="167">
        <f t="shared" si="455"/>
        <v>0</v>
      </c>
      <c r="AM646" s="585">
        <f t="shared" si="456"/>
        <v>0</v>
      </c>
      <c r="AN646" s="614"/>
      <c r="AO646" s="615"/>
      <c r="AP646" s="615"/>
      <c r="AQ646" s="616"/>
      <c r="AR646" s="612"/>
      <c r="AS646" s="617"/>
      <c r="AT646" s="618"/>
      <c r="AU646" s="618"/>
      <c r="AV646" s="618"/>
      <c r="AW646" s="619"/>
      <c r="AX646" s="614"/>
      <c r="AY646" s="616"/>
      <c r="AZ646" s="616"/>
      <c r="BA646" s="616"/>
      <c r="BB646" s="616"/>
      <c r="BC646" s="616"/>
      <c r="BD646" s="612"/>
      <c r="BE646" s="614"/>
      <c r="BF646" s="616"/>
      <c r="BG646" s="616"/>
      <c r="BH646" s="616"/>
      <c r="BI646" s="616"/>
      <c r="BJ646" s="616"/>
      <c r="BK646" s="1023"/>
      <c r="BL646" s="658"/>
    </row>
    <row r="647" spans="2:64">
      <c r="B647" s="1022"/>
      <c r="C647" s="607"/>
      <c r="D647" s="607"/>
      <c r="E647" s="1021"/>
      <c r="F647" s="1019">
        <v>644</v>
      </c>
      <c r="G647" s="609"/>
      <c r="H647" s="610"/>
      <c r="I647" s="611"/>
      <c r="J647" s="166">
        <f t="shared" si="461"/>
        <v>0</v>
      </c>
      <c r="K647" s="167">
        <f t="shared" si="462"/>
        <v>0</v>
      </c>
      <c r="L647" s="168">
        <f t="shared" si="463"/>
        <v>0</v>
      </c>
      <c r="M647" s="166">
        <f t="shared" si="464"/>
        <v>0</v>
      </c>
      <c r="N647" s="167">
        <f t="shared" si="465"/>
        <v>0</v>
      </c>
      <c r="O647" s="168">
        <f t="shared" si="466"/>
        <v>0</v>
      </c>
      <c r="P647" s="169">
        <f t="shared" si="467"/>
        <v>0</v>
      </c>
      <c r="Q647" s="169">
        <f t="shared" si="468"/>
        <v>0</v>
      </c>
      <c r="R647" s="169">
        <f t="shared" si="469"/>
        <v>0</v>
      </c>
      <c r="S647" s="584">
        <f t="shared" si="436"/>
        <v>0</v>
      </c>
      <c r="T647" s="594">
        <f t="shared" si="437"/>
        <v>0</v>
      </c>
      <c r="U647" s="595">
        <f t="shared" si="438"/>
        <v>0</v>
      </c>
      <c r="V647" s="166">
        <f t="shared" si="439"/>
        <v>0</v>
      </c>
      <c r="W647" s="167">
        <f t="shared" si="440"/>
        <v>0</v>
      </c>
      <c r="X647" s="168">
        <f t="shared" si="441"/>
        <v>0</v>
      </c>
      <c r="Y647" s="166">
        <f t="shared" si="442"/>
        <v>0</v>
      </c>
      <c r="Z647" s="167">
        <f t="shared" si="443"/>
        <v>0</v>
      </c>
      <c r="AA647" s="168">
        <f t="shared" si="444"/>
        <v>0</v>
      </c>
      <c r="AB647" s="166">
        <f t="shared" si="445"/>
        <v>0</v>
      </c>
      <c r="AC647" s="167">
        <f t="shared" si="446"/>
        <v>0</v>
      </c>
      <c r="AD647" s="168">
        <f t="shared" si="447"/>
        <v>0</v>
      </c>
      <c r="AE647" s="166">
        <f t="shared" si="448"/>
        <v>0</v>
      </c>
      <c r="AF647" s="167">
        <f t="shared" si="449"/>
        <v>0</v>
      </c>
      <c r="AG647" s="168">
        <f t="shared" si="450"/>
        <v>0</v>
      </c>
      <c r="AH647" s="166">
        <f t="shared" si="451"/>
        <v>0</v>
      </c>
      <c r="AI647" s="167">
        <f t="shared" si="452"/>
        <v>0</v>
      </c>
      <c r="AJ647" s="168">
        <f t="shared" si="453"/>
        <v>0</v>
      </c>
      <c r="AK647" s="169">
        <f t="shared" si="454"/>
        <v>0</v>
      </c>
      <c r="AL647" s="167">
        <f t="shared" si="455"/>
        <v>0</v>
      </c>
      <c r="AM647" s="585">
        <f t="shared" si="456"/>
        <v>0</v>
      </c>
      <c r="AN647" s="614"/>
      <c r="AO647" s="615"/>
      <c r="AP647" s="615"/>
      <c r="AQ647" s="616"/>
      <c r="AR647" s="612"/>
      <c r="AS647" s="617"/>
      <c r="AT647" s="618"/>
      <c r="AU647" s="618"/>
      <c r="AV647" s="618"/>
      <c r="AW647" s="619"/>
      <c r="AX647" s="614"/>
      <c r="AY647" s="616"/>
      <c r="AZ647" s="616"/>
      <c r="BA647" s="616"/>
      <c r="BB647" s="616"/>
      <c r="BC647" s="616"/>
      <c r="BD647" s="612"/>
      <c r="BE647" s="614"/>
      <c r="BF647" s="616"/>
      <c r="BG647" s="616"/>
      <c r="BH647" s="616"/>
      <c r="BI647" s="616"/>
      <c r="BJ647" s="616"/>
      <c r="BK647" s="1023"/>
      <c r="BL647" s="658"/>
    </row>
    <row r="648" spans="2:64">
      <c r="B648" s="1022"/>
      <c r="C648" s="607"/>
      <c r="D648" s="607"/>
      <c r="E648" s="1021"/>
      <c r="F648" s="608">
        <v>645</v>
      </c>
      <c r="G648" s="609"/>
      <c r="H648" s="610"/>
      <c r="I648" s="611"/>
      <c r="J648" s="166">
        <f t="shared" si="461"/>
        <v>0</v>
      </c>
      <c r="K648" s="167">
        <f t="shared" si="462"/>
        <v>0</v>
      </c>
      <c r="L648" s="168">
        <f t="shared" si="463"/>
        <v>0</v>
      </c>
      <c r="M648" s="166">
        <f t="shared" si="464"/>
        <v>0</v>
      </c>
      <c r="N648" s="167">
        <f t="shared" si="465"/>
        <v>0</v>
      </c>
      <c r="O648" s="168">
        <f t="shared" si="466"/>
        <v>0</v>
      </c>
      <c r="P648" s="169">
        <f t="shared" si="467"/>
        <v>0</v>
      </c>
      <c r="Q648" s="169">
        <f t="shared" si="468"/>
        <v>0</v>
      </c>
      <c r="R648" s="169">
        <f t="shared" si="469"/>
        <v>0</v>
      </c>
      <c r="S648" s="584">
        <f t="shared" si="436"/>
        <v>0</v>
      </c>
      <c r="T648" s="594">
        <f t="shared" si="437"/>
        <v>0</v>
      </c>
      <c r="U648" s="595">
        <f t="shared" si="438"/>
        <v>0</v>
      </c>
      <c r="V648" s="166">
        <f t="shared" si="439"/>
        <v>0</v>
      </c>
      <c r="W648" s="167">
        <f t="shared" si="440"/>
        <v>0</v>
      </c>
      <c r="X648" s="168">
        <f t="shared" si="441"/>
        <v>0</v>
      </c>
      <c r="Y648" s="166">
        <f t="shared" si="442"/>
        <v>0</v>
      </c>
      <c r="Z648" s="167">
        <f t="shared" si="443"/>
        <v>0</v>
      </c>
      <c r="AA648" s="168">
        <f t="shared" si="444"/>
        <v>0</v>
      </c>
      <c r="AB648" s="166">
        <f t="shared" si="445"/>
        <v>0</v>
      </c>
      <c r="AC648" s="167">
        <f t="shared" si="446"/>
        <v>0</v>
      </c>
      <c r="AD648" s="168">
        <f t="shared" si="447"/>
        <v>0</v>
      </c>
      <c r="AE648" s="166">
        <f t="shared" si="448"/>
        <v>0</v>
      </c>
      <c r="AF648" s="167">
        <f t="shared" si="449"/>
        <v>0</v>
      </c>
      <c r="AG648" s="168">
        <f t="shared" si="450"/>
        <v>0</v>
      </c>
      <c r="AH648" s="166">
        <f t="shared" si="451"/>
        <v>0</v>
      </c>
      <c r="AI648" s="167">
        <f t="shared" si="452"/>
        <v>0</v>
      </c>
      <c r="AJ648" s="168">
        <f t="shared" si="453"/>
        <v>0</v>
      </c>
      <c r="AK648" s="169">
        <f t="shared" si="454"/>
        <v>0</v>
      </c>
      <c r="AL648" s="167">
        <f t="shared" si="455"/>
        <v>0</v>
      </c>
      <c r="AM648" s="585">
        <f t="shared" si="456"/>
        <v>0</v>
      </c>
      <c r="AN648" s="614"/>
      <c r="AO648" s="615"/>
      <c r="AP648" s="615"/>
      <c r="AQ648" s="616"/>
      <c r="AR648" s="612"/>
      <c r="AS648" s="617"/>
      <c r="AT648" s="618"/>
      <c r="AU648" s="618"/>
      <c r="AV648" s="618"/>
      <c r="AW648" s="619"/>
      <c r="AX648" s="614"/>
      <c r="AY648" s="616"/>
      <c r="AZ648" s="616"/>
      <c r="BA648" s="616"/>
      <c r="BB648" s="616"/>
      <c r="BC648" s="616"/>
      <c r="BD648" s="612"/>
      <c r="BE648" s="614"/>
      <c r="BF648" s="616"/>
      <c r="BG648" s="616"/>
      <c r="BH648" s="616"/>
      <c r="BI648" s="616"/>
      <c r="BJ648" s="616"/>
      <c r="BK648" s="1023"/>
      <c r="BL648" s="658"/>
    </row>
    <row r="649" spans="2:64">
      <c r="B649" s="1022"/>
      <c r="C649" s="607"/>
      <c r="D649" s="607"/>
      <c r="E649" s="1021"/>
      <c r="F649" s="1019">
        <v>646</v>
      </c>
      <c r="G649" s="609"/>
      <c r="H649" s="610"/>
      <c r="I649" s="611"/>
      <c r="J649" s="166">
        <f t="shared" si="461"/>
        <v>0</v>
      </c>
      <c r="K649" s="167">
        <f t="shared" si="462"/>
        <v>0</v>
      </c>
      <c r="L649" s="168">
        <f t="shared" si="463"/>
        <v>0</v>
      </c>
      <c r="M649" s="166">
        <f t="shared" si="464"/>
        <v>0</v>
      </c>
      <c r="N649" s="167">
        <f t="shared" si="465"/>
        <v>0</v>
      </c>
      <c r="O649" s="168">
        <f t="shared" si="466"/>
        <v>0</v>
      </c>
      <c r="P649" s="169">
        <f t="shared" si="467"/>
        <v>0</v>
      </c>
      <c r="Q649" s="169">
        <f t="shared" si="468"/>
        <v>0</v>
      </c>
      <c r="R649" s="169">
        <f t="shared" si="469"/>
        <v>0</v>
      </c>
      <c r="S649" s="584">
        <f t="shared" si="436"/>
        <v>0</v>
      </c>
      <c r="T649" s="594">
        <f t="shared" si="437"/>
        <v>0</v>
      </c>
      <c r="U649" s="595">
        <f t="shared" si="438"/>
        <v>0</v>
      </c>
      <c r="V649" s="166">
        <f t="shared" si="439"/>
        <v>0</v>
      </c>
      <c r="W649" s="167">
        <f t="shared" si="440"/>
        <v>0</v>
      </c>
      <c r="X649" s="168">
        <f t="shared" si="441"/>
        <v>0</v>
      </c>
      <c r="Y649" s="166">
        <f t="shared" si="442"/>
        <v>0</v>
      </c>
      <c r="Z649" s="167">
        <f t="shared" si="443"/>
        <v>0</v>
      </c>
      <c r="AA649" s="168">
        <f t="shared" si="444"/>
        <v>0</v>
      </c>
      <c r="AB649" s="166">
        <f t="shared" si="445"/>
        <v>0</v>
      </c>
      <c r="AC649" s="167">
        <f t="shared" si="446"/>
        <v>0</v>
      </c>
      <c r="AD649" s="168">
        <f t="shared" si="447"/>
        <v>0</v>
      </c>
      <c r="AE649" s="166">
        <f t="shared" si="448"/>
        <v>0</v>
      </c>
      <c r="AF649" s="167">
        <f t="shared" si="449"/>
        <v>0</v>
      </c>
      <c r="AG649" s="168">
        <f t="shared" si="450"/>
        <v>0</v>
      </c>
      <c r="AH649" s="166">
        <f t="shared" si="451"/>
        <v>0</v>
      </c>
      <c r="AI649" s="167">
        <f t="shared" si="452"/>
        <v>0</v>
      </c>
      <c r="AJ649" s="168">
        <f t="shared" si="453"/>
        <v>0</v>
      </c>
      <c r="AK649" s="169">
        <f t="shared" si="454"/>
        <v>0</v>
      </c>
      <c r="AL649" s="167">
        <f t="shared" si="455"/>
        <v>0</v>
      </c>
      <c r="AM649" s="585">
        <f t="shared" si="456"/>
        <v>0</v>
      </c>
      <c r="AN649" s="614"/>
      <c r="AO649" s="615"/>
      <c r="AP649" s="615"/>
      <c r="AQ649" s="616"/>
      <c r="AR649" s="612"/>
      <c r="AS649" s="617"/>
      <c r="AT649" s="618"/>
      <c r="AU649" s="618"/>
      <c r="AV649" s="618"/>
      <c r="AW649" s="619"/>
      <c r="AX649" s="614"/>
      <c r="AY649" s="616"/>
      <c r="AZ649" s="616"/>
      <c r="BA649" s="616"/>
      <c r="BB649" s="616"/>
      <c r="BC649" s="616"/>
      <c r="BD649" s="612"/>
      <c r="BE649" s="614"/>
      <c r="BF649" s="616"/>
      <c r="BG649" s="616"/>
      <c r="BH649" s="616"/>
      <c r="BI649" s="616"/>
      <c r="BJ649" s="616"/>
      <c r="BK649" s="1023"/>
      <c r="BL649" s="658"/>
    </row>
    <row r="650" spans="2:64">
      <c r="B650" s="1022"/>
      <c r="C650" s="607"/>
      <c r="D650" s="607"/>
      <c r="E650" s="1021"/>
      <c r="F650" s="608">
        <v>647</v>
      </c>
      <c r="G650" s="609"/>
      <c r="H650" s="610"/>
      <c r="I650" s="611"/>
      <c r="J650" s="166">
        <f t="shared" si="461"/>
        <v>0</v>
      </c>
      <c r="K650" s="167">
        <f t="shared" si="462"/>
        <v>0</v>
      </c>
      <c r="L650" s="168">
        <f t="shared" si="463"/>
        <v>0</v>
      </c>
      <c r="M650" s="166">
        <f t="shared" si="464"/>
        <v>0</v>
      </c>
      <c r="N650" s="167">
        <f t="shared" si="465"/>
        <v>0</v>
      </c>
      <c r="O650" s="168">
        <f t="shared" si="466"/>
        <v>0</v>
      </c>
      <c r="P650" s="169">
        <f t="shared" si="467"/>
        <v>0</v>
      </c>
      <c r="Q650" s="169">
        <f t="shared" si="468"/>
        <v>0</v>
      </c>
      <c r="R650" s="169">
        <f t="shared" si="469"/>
        <v>0</v>
      </c>
      <c r="S650" s="584">
        <f t="shared" si="436"/>
        <v>0</v>
      </c>
      <c r="T650" s="594">
        <f t="shared" si="437"/>
        <v>0</v>
      </c>
      <c r="U650" s="595">
        <f t="shared" si="438"/>
        <v>0</v>
      </c>
      <c r="V650" s="166">
        <f t="shared" si="439"/>
        <v>0</v>
      </c>
      <c r="W650" s="167">
        <f t="shared" si="440"/>
        <v>0</v>
      </c>
      <c r="X650" s="168">
        <f t="shared" si="441"/>
        <v>0</v>
      </c>
      <c r="Y650" s="166">
        <f t="shared" si="442"/>
        <v>0</v>
      </c>
      <c r="Z650" s="167">
        <f t="shared" si="443"/>
        <v>0</v>
      </c>
      <c r="AA650" s="168">
        <f t="shared" si="444"/>
        <v>0</v>
      </c>
      <c r="AB650" s="166">
        <f t="shared" si="445"/>
        <v>0</v>
      </c>
      <c r="AC650" s="167">
        <f t="shared" si="446"/>
        <v>0</v>
      </c>
      <c r="AD650" s="168">
        <f t="shared" si="447"/>
        <v>0</v>
      </c>
      <c r="AE650" s="166">
        <f t="shared" si="448"/>
        <v>0</v>
      </c>
      <c r="AF650" s="167">
        <f t="shared" si="449"/>
        <v>0</v>
      </c>
      <c r="AG650" s="168">
        <f t="shared" si="450"/>
        <v>0</v>
      </c>
      <c r="AH650" s="166">
        <f t="shared" si="451"/>
        <v>0</v>
      </c>
      <c r="AI650" s="167">
        <f t="shared" si="452"/>
        <v>0</v>
      </c>
      <c r="AJ650" s="168">
        <f t="shared" si="453"/>
        <v>0</v>
      </c>
      <c r="AK650" s="169">
        <f t="shared" si="454"/>
        <v>0</v>
      </c>
      <c r="AL650" s="167">
        <f t="shared" si="455"/>
        <v>0</v>
      </c>
      <c r="AM650" s="585">
        <f t="shared" si="456"/>
        <v>0</v>
      </c>
      <c r="AN650" s="614"/>
      <c r="AO650" s="615"/>
      <c r="AP650" s="615"/>
      <c r="AQ650" s="616"/>
      <c r="AR650" s="612"/>
      <c r="AS650" s="617"/>
      <c r="AT650" s="618"/>
      <c r="AU650" s="618"/>
      <c r="AV650" s="618"/>
      <c r="AW650" s="619"/>
      <c r="AX650" s="614"/>
      <c r="AY650" s="616"/>
      <c r="AZ650" s="616"/>
      <c r="BA650" s="616"/>
      <c r="BB650" s="616"/>
      <c r="BC650" s="616"/>
      <c r="BD650" s="612"/>
      <c r="BE650" s="614"/>
      <c r="BF650" s="616"/>
      <c r="BG650" s="616"/>
      <c r="BH650" s="616"/>
      <c r="BI650" s="616"/>
      <c r="BJ650" s="616"/>
      <c r="BK650" s="1023"/>
      <c r="BL650" s="658"/>
    </row>
    <row r="651" spans="2:64">
      <c r="B651" s="1022"/>
      <c r="C651" s="607"/>
      <c r="D651" s="607"/>
      <c r="E651" s="1021"/>
      <c r="F651" s="1019">
        <v>648</v>
      </c>
      <c r="G651" s="609"/>
      <c r="H651" s="610"/>
      <c r="I651" s="611"/>
      <c r="J651" s="166">
        <f t="shared" si="461"/>
        <v>0</v>
      </c>
      <c r="K651" s="167">
        <f t="shared" si="462"/>
        <v>0</v>
      </c>
      <c r="L651" s="168">
        <f t="shared" si="463"/>
        <v>0</v>
      </c>
      <c r="M651" s="166">
        <f t="shared" si="464"/>
        <v>0</v>
      </c>
      <c r="N651" s="167">
        <f t="shared" si="465"/>
        <v>0</v>
      </c>
      <c r="O651" s="168">
        <f t="shared" si="466"/>
        <v>0</v>
      </c>
      <c r="P651" s="169">
        <f t="shared" si="467"/>
        <v>0</v>
      </c>
      <c r="Q651" s="169">
        <f t="shared" si="468"/>
        <v>0</v>
      </c>
      <c r="R651" s="169">
        <f t="shared" si="469"/>
        <v>0</v>
      </c>
      <c r="S651" s="584">
        <f t="shared" si="436"/>
        <v>0</v>
      </c>
      <c r="T651" s="594">
        <f t="shared" si="437"/>
        <v>0</v>
      </c>
      <c r="U651" s="595">
        <f t="shared" si="438"/>
        <v>0</v>
      </c>
      <c r="V651" s="166">
        <f t="shared" si="439"/>
        <v>0</v>
      </c>
      <c r="W651" s="167">
        <f t="shared" si="440"/>
        <v>0</v>
      </c>
      <c r="X651" s="168">
        <f t="shared" si="441"/>
        <v>0</v>
      </c>
      <c r="Y651" s="166">
        <f t="shared" si="442"/>
        <v>0</v>
      </c>
      <c r="Z651" s="167">
        <f t="shared" si="443"/>
        <v>0</v>
      </c>
      <c r="AA651" s="168">
        <f t="shared" si="444"/>
        <v>0</v>
      </c>
      <c r="AB651" s="166">
        <f t="shared" si="445"/>
        <v>0</v>
      </c>
      <c r="AC651" s="167">
        <f t="shared" si="446"/>
        <v>0</v>
      </c>
      <c r="AD651" s="168">
        <f t="shared" si="447"/>
        <v>0</v>
      </c>
      <c r="AE651" s="166">
        <f t="shared" si="448"/>
        <v>0</v>
      </c>
      <c r="AF651" s="167">
        <f t="shared" si="449"/>
        <v>0</v>
      </c>
      <c r="AG651" s="168">
        <f t="shared" si="450"/>
        <v>0</v>
      </c>
      <c r="AH651" s="166">
        <f t="shared" si="451"/>
        <v>0</v>
      </c>
      <c r="AI651" s="167">
        <f t="shared" si="452"/>
        <v>0</v>
      </c>
      <c r="AJ651" s="168">
        <f t="shared" si="453"/>
        <v>0</v>
      </c>
      <c r="AK651" s="169">
        <f t="shared" si="454"/>
        <v>0</v>
      </c>
      <c r="AL651" s="167">
        <f t="shared" si="455"/>
        <v>0</v>
      </c>
      <c r="AM651" s="585">
        <f t="shared" si="456"/>
        <v>0</v>
      </c>
      <c r="AN651" s="614"/>
      <c r="AO651" s="615"/>
      <c r="AP651" s="615"/>
      <c r="AQ651" s="616"/>
      <c r="AR651" s="612"/>
      <c r="AS651" s="617"/>
      <c r="AT651" s="618"/>
      <c r="AU651" s="618"/>
      <c r="AV651" s="618"/>
      <c r="AW651" s="619"/>
      <c r="AX651" s="614"/>
      <c r="AY651" s="616"/>
      <c r="AZ651" s="616"/>
      <c r="BA651" s="616"/>
      <c r="BB651" s="616"/>
      <c r="BC651" s="616"/>
      <c r="BD651" s="612"/>
      <c r="BE651" s="614"/>
      <c r="BF651" s="616"/>
      <c r="BG651" s="616"/>
      <c r="BH651" s="616"/>
      <c r="BI651" s="616"/>
      <c r="BJ651" s="616"/>
      <c r="BK651" s="1023"/>
      <c r="BL651" s="658"/>
    </row>
    <row r="652" spans="2:64">
      <c r="B652" s="1022"/>
      <c r="C652" s="607"/>
      <c r="D652" s="607"/>
      <c r="E652" s="1021"/>
      <c r="F652" s="608">
        <v>649</v>
      </c>
      <c r="G652" s="609"/>
      <c r="H652" s="610"/>
      <c r="I652" s="611"/>
      <c r="J652" s="166">
        <f t="shared" si="461"/>
        <v>0</v>
      </c>
      <c r="K652" s="167">
        <f t="shared" si="462"/>
        <v>0</v>
      </c>
      <c r="L652" s="168">
        <f t="shared" si="463"/>
        <v>0</v>
      </c>
      <c r="M652" s="166">
        <f t="shared" si="464"/>
        <v>0</v>
      </c>
      <c r="N652" s="167">
        <f t="shared" si="465"/>
        <v>0</v>
      </c>
      <c r="O652" s="168">
        <f t="shared" si="466"/>
        <v>0</v>
      </c>
      <c r="P652" s="169">
        <f t="shared" si="467"/>
        <v>0</v>
      </c>
      <c r="Q652" s="169">
        <f t="shared" si="468"/>
        <v>0</v>
      </c>
      <c r="R652" s="169">
        <f t="shared" si="469"/>
        <v>0</v>
      </c>
      <c r="S652" s="584">
        <f t="shared" si="436"/>
        <v>0</v>
      </c>
      <c r="T652" s="594">
        <f t="shared" si="437"/>
        <v>0</v>
      </c>
      <c r="U652" s="595">
        <f t="shared" si="438"/>
        <v>0</v>
      </c>
      <c r="V652" s="166">
        <f t="shared" si="439"/>
        <v>0</v>
      </c>
      <c r="W652" s="167">
        <f t="shared" si="440"/>
        <v>0</v>
      </c>
      <c r="X652" s="168">
        <f t="shared" si="441"/>
        <v>0</v>
      </c>
      <c r="Y652" s="166">
        <f t="shared" si="442"/>
        <v>0</v>
      </c>
      <c r="Z652" s="167">
        <f t="shared" si="443"/>
        <v>0</v>
      </c>
      <c r="AA652" s="168">
        <f t="shared" si="444"/>
        <v>0</v>
      </c>
      <c r="AB652" s="166">
        <f t="shared" si="445"/>
        <v>0</v>
      </c>
      <c r="AC652" s="167">
        <f t="shared" si="446"/>
        <v>0</v>
      </c>
      <c r="AD652" s="168">
        <f t="shared" si="447"/>
        <v>0</v>
      </c>
      <c r="AE652" s="166">
        <f t="shared" si="448"/>
        <v>0</v>
      </c>
      <c r="AF652" s="167">
        <f t="shared" si="449"/>
        <v>0</v>
      </c>
      <c r="AG652" s="168">
        <f t="shared" si="450"/>
        <v>0</v>
      </c>
      <c r="AH652" s="166">
        <f t="shared" si="451"/>
        <v>0</v>
      </c>
      <c r="AI652" s="167">
        <f t="shared" si="452"/>
        <v>0</v>
      </c>
      <c r="AJ652" s="168">
        <f t="shared" si="453"/>
        <v>0</v>
      </c>
      <c r="AK652" s="169">
        <f t="shared" si="454"/>
        <v>0</v>
      </c>
      <c r="AL652" s="167">
        <f t="shared" si="455"/>
        <v>0</v>
      </c>
      <c r="AM652" s="585">
        <f t="shared" si="456"/>
        <v>0</v>
      </c>
      <c r="AN652" s="614"/>
      <c r="AO652" s="615"/>
      <c r="AP652" s="615"/>
      <c r="AQ652" s="616"/>
      <c r="AR652" s="612"/>
      <c r="AS652" s="617"/>
      <c r="AT652" s="618"/>
      <c r="AU652" s="618"/>
      <c r="AV652" s="618"/>
      <c r="AW652" s="619"/>
      <c r="AX652" s="614"/>
      <c r="AY652" s="616"/>
      <c r="AZ652" s="616"/>
      <c r="BA652" s="616"/>
      <c r="BB652" s="616"/>
      <c r="BC652" s="616"/>
      <c r="BD652" s="612"/>
      <c r="BE652" s="614"/>
      <c r="BF652" s="616"/>
      <c r="BG652" s="616"/>
      <c r="BH652" s="616"/>
      <c r="BI652" s="616"/>
      <c r="BJ652" s="616"/>
      <c r="BK652" s="1023"/>
      <c r="BL652" s="658"/>
    </row>
    <row r="653" spans="2:64">
      <c r="B653" s="1022"/>
      <c r="C653" s="607"/>
      <c r="D653" s="607"/>
      <c r="E653" s="1021"/>
      <c r="F653" s="1019">
        <v>650</v>
      </c>
      <c r="G653" s="609"/>
      <c r="H653" s="610"/>
      <c r="I653" s="611"/>
      <c r="J653" s="166">
        <f t="shared" si="461"/>
        <v>0</v>
      </c>
      <c r="K653" s="167">
        <f t="shared" si="462"/>
        <v>0</v>
      </c>
      <c r="L653" s="168">
        <f t="shared" si="463"/>
        <v>0</v>
      </c>
      <c r="M653" s="166">
        <f t="shared" si="464"/>
        <v>0</v>
      </c>
      <c r="N653" s="167">
        <f t="shared" si="465"/>
        <v>0</v>
      </c>
      <c r="O653" s="168">
        <f t="shared" si="466"/>
        <v>0</v>
      </c>
      <c r="P653" s="169">
        <f t="shared" si="467"/>
        <v>0</v>
      </c>
      <c r="Q653" s="169">
        <f t="shared" si="468"/>
        <v>0</v>
      </c>
      <c r="R653" s="169">
        <f t="shared" si="469"/>
        <v>0</v>
      </c>
      <c r="S653" s="584">
        <f t="shared" si="436"/>
        <v>0</v>
      </c>
      <c r="T653" s="594">
        <f t="shared" si="437"/>
        <v>0</v>
      </c>
      <c r="U653" s="595">
        <f t="shared" si="438"/>
        <v>0</v>
      </c>
      <c r="V653" s="166">
        <f t="shared" si="439"/>
        <v>0</v>
      </c>
      <c r="W653" s="167">
        <f t="shared" si="440"/>
        <v>0</v>
      </c>
      <c r="X653" s="168">
        <f t="shared" si="441"/>
        <v>0</v>
      </c>
      <c r="Y653" s="166">
        <f t="shared" si="442"/>
        <v>0</v>
      </c>
      <c r="Z653" s="167">
        <f t="shared" si="443"/>
        <v>0</v>
      </c>
      <c r="AA653" s="168">
        <f t="shared" si="444"/>
        <v>0</v>
      </c>
      <c r="AB653" s="166">
        <f t="shared" si="445"/>
        <v>0</v>
      </c>
      <c r="AC653" s="167">
        <f t="shared" si="446"/>
        <v>0</v>
      </c>
      <c r="AD653" s="168">
        <f t="shared" si="447"/>
        <v>0</v>
      </c>
      <c r="AE653" s="166">
        <f t="shared" si="448"/>
        <v>0</v>
      </c>
      <c r="AF653" s="167">
        <f t="shared" si="449"/>
        <v>0</v>
      </c>
      <c r="AG653" s="168">
        <f t="shared" si="450"/>
        <v>0</v>
      </c>
      <c r="AH653" s="166">
        <f t="shared" si="451"/>
        <v>0</v>
      </c>
      <c r="AI653" s="167">
        <f t="shared" si="452"/>
        <v>0</v>
      </c>
      <c r="AJ653" s="168">
        <f t="shared" si="453"/>
        <v>0</v>
      </c>
      <c r="AK653" s="169">
        <f t="shared" si="454"/>
        <v>0</v>
      </c>
      <c r="AL653" s="167">
        <f t="shared" si="455"/>
        <v>0</v>
      </c>
      <c r="AM653" s="585">
        <f t="shared" si="456"/>
        <v>0</v>
      </c>
      <c r="AN653" s="614"/>
      <c r="AO653" s="615"/>
      <c r="AP653" s="615"/>
      <c r="AQ653" s="616"/>
      <c r="AR653" s="612"/>
      <c r="AS653" s="617"/>
      <c r="AT653" s="618"/>
      <c r="AU653" s="618"/>
      <c r="AV653" s="618"/>
      <c r="AW653" s="619"/>
      <c r="AX653" s="614"/>
      <c r="AY653" s="616"/>
      <c r="AZ653" s="616"/>
      <c r="BA653" s="616"/>
      <c r="BB653" s="616"/>
      <c r="BC653" s="616"/>
      <c r="BD653" s="612"/>
      <c r="BE653" s="614"/>
      <c r="BF653" s="616"/>
      <c r="BG653" s="616"/>
      <c r="BH653" s="616"/>
      <c r="BI653" s="616"/>
      <c r="BJ653" s="616"/>
      <c r="BK653" s="1023"/>
      <c r="BL653" s="658"/>
    </row>
    <row r="654" spans="2:64">
      <c r="B654" s="1022"/>
      <c r="C654" s="607"/>
      <c r="D654" s="607"/>
      <c r="E654" s="1021"/>
      <c r="F654" s="608">
        <v>651</v>
      </c>
      <c r="G654" s="609"/>
      <c r="H654" s="610"/>
      <c r="I654" s="611"/>
      <c r="J654" s="166">
        <f t="shared" si="461"/>
        <v>0</v>
      </c>
      <c r="K654" s="167">
        <f t="shared" si="462"/>
        <v>0</v>
      </c>
      <c r="L654" s="168">
        <f t="shared" si="463"/>
        <v>0</v>
      </c>
      <c r="M654" s="166">
        <f t="shared" si="464"/>
        <v>0</v>
      </c>
      <c r="N654" s="167">
        <f t="shared" si="465"/>
        <v>0</v>
      </c>
      <c r="O654" s="168">
        <f t="shared" si="466"/>
        <v>0</v>
      </c>
      <c r="P654" s="169">
        <f t="shared" si="467"/>
        <v>0</v>
      </c>
      <c r="Q654" s="169">
        <f t="shared" si="468"/>
        <v>0</v>
      </c>
      <c r="R654" s="169">
        <f t="shared" si="469"/>
        <v>0</v>
      </c>
      <c r="S654" s="584">
        <f t="shared" si="436"/>
        <v>0</v>
      </c>
      <c r="T654" s="594">
        <f t="shared" si="437"/>
        <v>0</v>
      </c>
      <c r="U654" s="595">
        <f t="shared" si="438"/>
        <v>0</v>
      </c>
      <c r="V654" s="166">
        <f t="shared" si="439"/>
        <v>0</v>
      </c>
      <c r="W654" s="167">
        <f t="shared" si="440"/>
        <v>0</v>
      </c>
      <c r="X654" s="168">
        <f t="shared" si="441"/>
        <v>0</v>
      </c>
      <c r="Y654" s="166">
        <f t="shared" si="442"/>
        <v>0</v>
      </c>
      <c r="Z654" s="167">
        <f t="shared" si="443"/>
        <v>0</v>
      </c>
      <c r="AA654" s="168">
        <f t="shared" si="444"/>
        <v>0</v>
      </c>
      <c r="AB654" s="166">
        <f t="shared" si="445"/>
        <v>0</v>
      </c>
      <c r="AC654" s="167">
        <f t="shared" si="446"/>
        <v>0</v>
      </c>
      <c r="AD654" s="168">
        <f t="shared" si="447"/>
        <v>0</v>
      </c>
      <c r="AE654" s="166">
        <f t="shared" si="448"/>
        <v>0</v>
      </c>
      <c r="AF654" s="167">
        <f t="shared" si="449"/>
        <v>0</v>
      </c>
      <c r="AG654" s="168">
        <f t="shared" si="450"/>
        <v>0</v>
      </c>
      <c r="AH654" s="166">
        <f t="shared" si="451"/>
        <v>0</v>
      </c>
      <c r="AI654" s="167">
        <f t="shared" si="452"/>
        <v>0</v>
      </c>
      <c r="AJ654" s="168">
        <f t="shared" si="453"/>
        <v>0</v>
      </c>
      <c r="AK654" s="169">
        <f t="shared" si="454"/>
        <v>0</v>
      </c>
      <c r="AL654" s="167">
        <f t="shared" si="455"/>
        <v>0</v>
      </c>
      <c r="AM654" s="585">
        <f t="shared" si="456"/>
        <v>0</v>
      </c>
      <c r="AN654" s="614"/>
      <c r="AO654" s="615"/>
      <c r="AP654" s="615"/>
      <c r="AQ654" s="616"/>
      <c r="AR654" s="612"/>
      <c r="AS654" s="617"/>
      <c r="AT654" s="618"/>
      <c r="AU654" s="618"/>
      <c r="AV654" s="618"/>
      <c r="AW654" s="619"/>
      <c r="AX654" s="614"/>
      <c r="AY654" s="616"/>
      <c r="AZ654" s="616"/>
      <c r="BA654" s="616"/>
      <c r="BB654" s="616"/>
      <c r="BC654" s="616"/>
      <c r="BD654" s="612"/>
      <c r="BE654" s="614"/>
      <c r="BF654" s="616"/>
      <c r="BG654" s="616"/>
      <c r="BH654" s="616"/>
      <c r="BI654" s="616"/>
      <c r="BJ654" s="616"/>
      <c r="BK654" s="1023"/>
      <c r="BL654" s="658"/>
    </row>
    <row r="655" spans="2:64">
      <c r="B655" s="1022"/>
      <c r="C655" s="607"/>
      <c r="D655" s="607"/>
      <c r="E655" s="1021"/>
      <c r="F655" s="1019">
        <v>652</v>
      </c>
      <c r="G655" s="609"/>
      <c r="H655" s="610"/>
      <c r="I655" s="611"/>
      <c r="J655" s="166">
        <f t="shared" si="461"/>
        <v>0</v>
      </c>
      <c r="K655" s="167">
        <f t="shared" si="462"/>
        <v>0</v>
      </c>
      <c r="L655" s="168">
        <f t="shared" si="463"/>
        <v>0</v>
      </c>
      <c r="M655" s="166">
        <f t="shared" si="464"/>
        <v>0</v>
      </c>
      <c r="N655" s="167">
        <f t="shared" si="465"/>
        <v>0</v>
      </c>
      <c r="O655" s="168">
        <f t="shared" si="466"/>
        <v>0</v>
      </c>
      <c r="P655" s="169">
        <f t="shared" si="467"/>
        <v>0</v>
      </c>
      <c r="Q655" s="169">
        <f t="shared" si="468"/>
        <v>0</v>
      </c>
      <c r="R655" s="169">
        <f t="shared" si="469"/>
        <v>0</v>
      </c>
      <c r="S655" s="584">
        <f t="shared" si="436"/>
        <v>0</v>
      </c>
      <c r="T655" s="594">
        <f t="shared" si="437"/>
        <v>0</v>
      </c>
      <c r="U655" s="595">
        <f t="shared" si="438"/>
        <v>0</v>
      </c>
      <c r="V655" s="166">
        <f t="shared" si="439"/>
        <v>0</v>
      </c>
      <c r="W655" s="167">
        <f t="shared" si="440"/>
        <v>0</v>
      </c>
      <c r="X655" s="168">
        <f t="shared" si="441"/>
        <v>0</v>
      </c>
      <c r="Y655" s="166">
        <f t="shared" si="442"/>
        <v>0</v>
      </c>
      <c r="Z655" s="167">
        <f t="shared" si="443"/>
        <v>0</v>
      </c>
      <c r="AA655" s="168">
        <f t="shared" si="444"/>
        <v>0</v>
      </c>
      <c r="AB655" s="166">
        <f t="shared" si="445"/>
        <v>0</v>
      </c>
      <c r="AC655" s="167">
        <f t="shared" si="446"/>
        <v>0</v>
      </c>
      <c r="AD655" s="168">
        <f t="shared" si="447"/>
        <v>0</v>
      </c>
      <c r="AE655" s="166">
        <f t="shared" si="448"/>
        <v>0</v>
      </c>
      <c r="AF655" s="167">
        <f t="shared" si="449"/>
        <v>0</v>
      </c>
      <c r="AG655" s="168">
        <f t="shared" si="450"/>
        <v>0</v>
      </c>
      <c r="AH655" s="166">
        <f t="shared" si="451"/>
        <v>0</v>
      </c>
      <c r="AI655" s="167">
        <f t="shared" si="452"/>
        <v>0</v>
      </c>
      <c r="AJ655" s="168">
        <f t="shared" si="453"/>
        <v>0</v>
      </c>
      <c r="AK655" s="169">
        <f t="shared" si="454"/>
        <v>0</v>
      </c>
      <c r="AL655" s="167">
        <f t="shared" si="455"/>
        <v>0</v>
      </c>
      <c r="AM655" s="585">
        <f t="shared" si="456"/>
        <v>0</v>
      </c>
      <c r="AN655" s="614"/>
      <c r="AO655" s="615"/>
      <c r="AP655" s="615"/>
      <c r="AQ655" s="616"/>
      <c r="AR655" s="612"/>
      <c r="AS655" s="617"/>
      <c r="AT655" s="618"/>
      <c r="AU655" s="618"/>
      <c r="AV655" s="618"/>
      <c r="AW655" s="619"/>
      <c r="AX655" s="614"/>
      <c r="AY655" s="616"/>
      <c r="AZ655" s="616"/>
      <c r="BA655" s="616"/>
      <c r="BB655" s="616"/>
      <c r="BC655" s="616"/>
      <c r="BD655" s="612"/>
      <c r="BE655" s="614"/>
      <c r="BF655" s="616"/>
      <c r="BG655" s="616"/>
      <c r="BH655" s="616"/>
      <c r="BI655" s="616"/>
      <c r="BJ655" s="616"/>
      <c r="BK655" s="1023"/>
      <c r="BL655" s="658"/>
    </row>
    <row r="656" spans="2:64">
      <c r="B656" s="1022"/>
      <c r="C656" s="607"/>
      <c r="D656" s="607"/>
      <c r="E656" s="1021"/>
      <c r="F656" s="608">
        <v>653</v>
      </c>
      <c r="G656" s="609"/>
      <c r="H656" s="610"/>
      <c r="I656" s="611"/>
      <c r="J656" s="166">
        <f t="shared" si="461"/>
        <v>0</v>
      </c>
      <c r="K656" s="167">
        <f t="shared" si="462"/>
        <v>0</v>
      </c>
      <c r="L656" s="168">
        <f t="shared" si="463"/>
        <v>0</v>
      </c>
      <c r="M656" s="166">
        <f t="shared" si="464"/>
        <v>0</v>
      </c>
      <c r="N656" s="167">
        <f t="shared" si="465"/>
        <v>0</v>
      </c>
      <c r="O656" s="168">
        <f t="shared" si="466"/>
        <v>0</v>
      </c>
      <c r="P656" s="169">
        <f t="shared" si="467"/>
        <v>0</v>
      </c>
      <c r="Q656" s="169">
        <f t="shared" si="468"/>
        <v>0</v>
      </c>
      <c r="R656" s="169">
        <f t="shared" si="469"/>
        <v>0</v>
      </c>
      <c r="S656" s="584">
        <f t="shared" si="436"/>
        <v>0</v>
      </c>
      <c r="T656" s="594">
        <f t="shared" si="437"/>
        <v>0</v>
      </c>
      <c r="U656" s="595">
        <f t="shared" si="438"/>
        <v>0</v>
      </c>
      <c r="V656" s="166">
        <f t="shared" si="439"/>
        <v>0</v>
      </c>
      <c r="W656" s="167">
        <f t="shared" si="440"/>
        <v>0</v>
      </c>
      <c r="X656" s="168">
        <f t="shared" si="441"/>
        <v>0</v>
      </c>
      <c r="Y656" s="166">
        <f t="shared" si="442"/>
        <v>0</v>
      </c>
      <c r="Z656" s="167">
        <f t="shared" si="443"/>
        <v>0</v>
      </c>
      <c r="AA656" s="168">
        <f t="shared" si="444"/>
        <v>0</v>
      </c>
      <c r="AB656" s="166">
        <f t="shared" si="445"/>
        <v>0</v>
      </c>
      <c r="AC656" s="167">
        <f t="shared" si="446"/>
        <v>0</v>
      </c>
      <c r="AD656" s="168">
        <f t="shared" si="447"/>
        <v>0</v>
      </c>
      <c r="AE656" s="166">
        <f t="shared" si="448"/>
        <v>0</v>
      </c>
      <c r="AF656" s="167">
        <f t="shared" si="449"/>
        <v>0</v>
      </c>
      <c r="AG656" s="168">
        <f t="shared" si="450"/>
        <v>0</v>
      </c>
      <c r="AH656" s="166">
        <f t="shared" si="451"/>
        <v>0</v>
      </c>
      <c r="AI656" s="167">
        <f t="shared" si="452"/>
        <v>0</v>
      </c>
      <c r="AJ656" s="168">
        <f t="shared" si="453"/>
        <v>0</v>
      </c>
      <c r="AK656" s="169">
        <f t="shared" si="454"/>
        <v>0</v>
      </c>
      <c r="AL656" s="167">
        <f t="shared" si="455"/>
        <v>0</v>
      </c>
      <c r="AM656" s="585">
        <f t="shared" si="456"/>
        <v>0</v>
      </c>
      <c r="AN656" s="614"/>
      <c r="AO656" s="615"/>
      <c r="AP656" s="615"/>
      <c r="AQ656" s="616"/>
      <c r="AR656" s="612"/>
      <c r="AS656" s="617"/>
      <c r="AT656" s="618"/>
      <c r="AU656" s="618"/>
      <c r="AV656" s="618"/>
      <c r="AW656" s="619"/>
      <c r="AX656" s="614"/>
      <c r="AY656" s="616"/>
      <c r="AZ656" s="616"/>
      <c r="BA656" s="616"/>
      <c r="BB656" s="616"/>
      <c r="BC656" s="616"/>
      <c r="BD656" s="612"/>
      <c r="BE656" s="614"/>
      <c r="BF656" s="616"/>
      <c r="BG656" s="616"/>
      <c r="BH656" s="616"/>
      <c r="BI656" s="616"/>
      <c r="BJ656" s="616"/>
      <c r="BK656" s="1023"/>
      <c r="BL656" s="658"/>
    </row>
    <row r="657" spans="2:64">
      <c r="B657" s="1022"/>
      <c r="C657" s="607"/>
      <c r="D657" s="607"/>
      <c r="E657" s="1021"/>
      <c r="F657" s="1019">
        <v>654</v>
      </c>
      <c r="G657" s="609"/>
      <c r="H657" s="610"/>
      <c r="I657" s="611"/>
      <c r="J657" s="166">
        <f t="shared" si="461"/>
        <v>0</v>
      </c>
      <c r="K657" s="167">
        <f t="shared" si="462"/>
        <v>0</v>
      </c>
      <c r="L657" s="168">
        <f t="shared" si="463"/>
        <v>0</v>
      </c>
      <c r="M657" s="166">
        <f t="shared" si="464"/>
        <v>0</v>
      </c>
      <c r="N657" s="167">
        <f t="shared" si="465"/>
        <v>0</v>
      </c>
      <c r="O657" s="168">
        <f t="shared" si="466"/>
        <v>0</v>
      </c>
      <c r="P657" s="169">
        <f t="shared" si="467"/>
        <v>0</v>
      </c>
      <c r="Q657" s="169">
        <f t="shared" si="468"/>
        <v>0</v>
      </c>
      <c r="R657" s="169">
        <f t="shared" si="469"/>
        <v>0</v>
      </c>
      <c r="S657" s="584">
        <f t="shared" si="436"/>
        <v>0</v>
      </c>
      <c r="T657" s="594">
        <f t="shared" si="437"/>
        <v>0</v>
      </c>
      <c r="U657" s="595">
        <f t="shared" si="438"/>
        <v>0</v>
      </c>
      <c r="V657" s="166">
        <f t="shared" si="439"/>
        <v>0</v>
      </c>
      <c r="W657" s="167">
        <f t="shared" si="440"/>
        <v>0</v>
      </c>
      <c r="X657" s="168">
        <f t="shared" si="441"/>
        <v>0</v>
      </c>
      <c r="Y657" s="166">
        <f t="shared" si="442"/>
        <v>0</v>
      </c>
      <c r="Z657" s="167">
        <f t="shared" si="443"/>
        <v>0</v>
      </c>
      <c r="AA657" s="168">
        <f t="shared" si="444"/>
        <v>0</v>
      </c>
      <c r="AB657" s="166">
        <f t="shared" si="445"/>
        <v>0</v>
      </c>
      <c r="AC657" s="167">
        <f t="shared" si="446"/>
        <v>0</v>
      </c>
      <c r="AD657" s="168">
        <f t="shared" si="447"/>
        <v>0</v>
      </c>
      <c r="AE657" s="166">
        <f t="shared" si="448"/>
        <v>0</v>
      </c>
      <c r="AF657" s="167">
        <f t="shared" si="449"/>
        <v>0</v>
      </c>
      <c r="AG657" s="168">
        <f t="shared" si="450"/>
        <v>0</v>
      </c>
      <c r="AH657" s="166">
        <f t="shared" si="451"/>
        <v>0</v>
      </c>
      <c r="AI657" s="167">
        <f t="shared" si="452"/>
        <v>0</v>
      </c>
      <c r="AJ657" s="168">
        <f t="shared" si="453"/>
        <v>0</v>
      </c>
      <c r="AK657" s="169">
        <f t="shared" si="454"/>
        <v>0</v>
      </c>
      <c r="AL657" s="167">
        <f t="shared" si="455"/>
        <v>0</v>
      </c>
      <c r="AM657" s="585">
        <f t="shared" si="456"/>
        <v>0</v>
      </c>
      <c r="AN657" s="614"/>
      <c r="AO657" s="615"/>
      <c r="AP657" s="615"/>
      <c r="AQ657" s="616"/>
      <c r="AR657" s="612"/>
      <c r="AS657" s="617"/>
      <c r="AT657" s="618"/>
      <c r="AU657" s="618"/>
      <c r="AV657" s="618"/>
      <c r="AW657" s="619"/>
      <c r="AX657" s="614"/>
      <c r="AY657" s="616"/>
      <c r="AZ657" s="616"/>
      <c r="BA657" s="616"/>
      <c r="BB657" s="616"/>
      <c r="BC657" s="616"/>
      <c r="BD657" s="612"/>
      <c r="BE657" s="614"/>
      <c r="BF657" s="616"/>
      <c r="BG657" s="616"/>
      <c r="BH657" s="616"/>
      <c r="BI657" s="616"/>
      <c r="BJ657" s="616"/>
      <c r="BK657" s="1023"/>
      <c r="BL657" s="658"/>
    </row>
    <row r="658" spans="2:64">
      <c r="B658" s="1022"/>
      <c r="C658" s="607"/>
      <c r="D658" s="607"/>
      <c r="E658" s="1021"/>
      <c r="F658" s="608">
        <v>655</v>
      </c>
      <c r="G658" s="609"/>
      <c r="H658" s="610"/>
      <c r="I658" s="611"/>
      <c r="J658" s="166">
        <f t="shared" si="461"/>
        <v>0</v>
      </c>
      <c r="K658" s="167">
        <f t="shared" si="462"/>
        <v>0</v>
      </c>
      <c r="L658" s="168">
        <f t="shared" si="463"/>
        <v>0</v>
      </c>
      <c r="M658" s="166">
        <f t="shared" si="464"/>
        <v>0</v>
      </c>
      <c r="N658" s="167">
        <f t="shared" si="465"/>
        <v>0</v>
      </c>
      <c r="O658" s="168">
        <f t="shared" si="466"/>
        <v>0</v>
      </c>
      <c r="P658" s="169">
        <f t="shared" si="467"/>
        <v>0</v>
      </c>
      <c r="Q658" s="169">
        <f t="shared" si="468"/>
        <v>0</v>
      </c>
      <c r="R658" s="169">
        <f t="shared" si="469"/>
        <v>0</v>
      </c>
      <c r="S658" s="584">
        <f t="shared" si="436"/>
        <v>0</v>
      </c>
      <c r="T658" s="594">
        <f t="shared" si="437"/>
        <v>0</v>
      </c>
      <c r="U658" s="595">
        <f t="shared" si="438"/>
        <v>0</v>
      </c>
      <c r="V658" s="166">
        <f t="shared" si="439"/>
        <v>0</v>
      </c>
      <c r="W658" s="167">
        <f t="shared" si="440"/>
        <v>0</v>
      </c>
      <c r="X658" s="168">
        <f t="shared" si="441"/>
        <v>0</v>
      </c>
      <c r="Y658" s="166">
        <f t="shared" si="442"/>
        <v>0</v>
      </c>
      <c r="Z658" s="167">
        <f t="shared" si="443"/>
        <v>0</v>
      </c>
      <c r="AA658" s="168">
        <f t="shared" si="444"/>
        <v>0</v>
      </c>
      <c r="AB658" s="166">
        <f t="shared" si="445"/>
        <v>0</v>
      </c>
      <c r="AC658" s="167">
        <f t="shared" si="446"/>
        <v>0</v>
      </c>
      <c r="AD658" s="168">
        <f t="shared" si="447"/>
        <v>0</v>
      </c>
      <c r="AE658" s="166">
        <f t="shared" si="448"/>
        <v>0</v>
      </c>
      <c r="AF658" s="167">
        <f t="shared" si="449"/>
        <v>0</v>
      </c>
      <c r="AG658" s="168">
        <f t="shared" si="450"/>
        <v>0</v>
      </c>
      <c r="AH658" s="166">
        <f t="shared" si="451"/>
        <v>0</v>
      </c>
      <c r="AI658" s="167">
        <f t="shared" si="452"/>
        <v>0</v>
      </c>
      <c r="AJ658" s="168">
        <f t="shared" si="453"/>
        <v>0</v>
      </c>
      <c r="AK658" s="169">
        <f t="shared" si="454"/>
        <v>0</v>
      </c>
      <c r="AL658" s="167">
        <f t="shared" si="455"/>
        <v>0</v>
      </c>
      <c r="AM658" s="585">
        <f t="shared" si="456"/>
        <v>0</v>
      </c>
      <c r="AN658" s="614"/>
      <c r="AO658" s="615"/>
      <c r="AP658" s="615"/>
      <c r="AQ658" s="616"/>
      <c r="AR658" s="612"/>
      <c r="AS658" s="617"/>
      <c r="AT658" s="618"/>
      <c r="AU658" s="618"/>
      <c r="AV658" s="618"/>
      <c r="AW658" s="619"/>
      <c r="AX658" s="614"/>
      <c r="AY658" s="616"/>
      <c r="AZ658" s="616"/>
      <c r="BA658" s="616"/>
      <c r="BB658" s="616"/>
      <c r="BC658" s="616"/>
      <c r="BD658" s="612"/>
      <c r="BE658" s="614"/>
      <c r="BF658" s="616"/>
      <c r="BG658" s="616"/>
      <c r="BH658" s="616"/>
      <c r="BI658" s="616"/>
      <c r="BJ658" s="616"/>
      <c r="BK658" s="1023"/>
      <c r="BL658" s="658"/>
    </row>
    <row r="659" spans="2:64">
      <c r="B659" s="1022"/>
      <c r="C659" s="607"/>
      <c r="D659" s="607"/>
      <c r="E659" s="1021"/>
      <c r="F659" s="1019">
        <v>656</v>
      </c>
      <c r="G659" s="609"/>
      <c r="H659" s="610"/>
      <c r="I659" s="611"/>
      <c r="J659" s="166">
        <f t="shared" si="461"/>
        <v>0</v>
      </c>
      <c r="K659" s="167">
        <f t="shared" si="462"/>
        <v>0</v>
      </c>
      <c r="L659" s="168">
        <f t="shared" si="463"/>
        <v>0</v>
      </c>
      <c r="M659" s="166">
        <f t="shared" si="464"/>
        <v>0</v>
      </c>
      <c r="N659" s="167">
        <f t="shared" si="465"/>
        <v>0</v>
      </c>
      <c r="O659" s="168">
        <f t="shared" si="466"/>
        <v>0</v>
      </c>
      <c r="P659" s="169">
        <f t="shared" si="467"/>
        <v>0</v>
      </c>
      <c r="Q659" s="169">
        <f t="shared" si="468"/>
        <v>0</v>
      </c>
      <c r="R659" s="169">
        <f t="shared" si="469"/>
        <v>0</v>
      </c>
      <c r="S659" s="584">
        <f t="shared" si="436"/>
        <v>0</v>
      </c>
      <c r="T659" s="594">
        <f t="shared" si="437"/>
        <v>0</v>
      </c>
      <c r="U659" s="595">
        <f t="shared" si="438"/>
        <v>0</v>
      </c>
      <c r="V659" s="166">
        <f t="shared" si="439"/>
        <v>0</v>
      </c>
      <c r="W659" s="167">
        <f t="shared" si="440"/>
        <v>0</v>
      </c>
      <c r="X659" s="168">
        <f t="shared" si="441"/>
        <v>0</v>
      </c>
      <c r="Y659" s="166">
        <f t="shared" si="442"/>
        <v>0</v>
      </c>
      <c r="Z659" s="167">
        <f t="shared" si="443"/>
        <v>0</v>
      </c>
      <c r="AA659" s="168">
        <f t="shared" si="444"/>
        <v>0</v>
      </c>
      <c r="AB659" s="166">
        <f t="shared" si="445"/>
        <v>0</v>
      </c>
      <c r="AC659" s="167">
        <f t="shared" si="446"/>
        <v>0</v>
      </c>
      <c r="AD659" s="168">
        <f t="shared" si="447"/>
        <v>0</v>
      </c>
      <c r="AE659" s="166">
        <f t="shared" si="448"/>
        <v>0</v>
      </c>
      <c r="AF659" s="167">
        <f t="shared" si="449"/>
        <v>0</v>
      </c>
      <c r="AG659" s="168">
        <f t="shared" si="450"/>
        <v>0</v>
      </c>
      <c r="AH659" s="166">
        <f t="shared" si="451"/>
        <v>0</v>
      </c>
      <c r="AI659" s="167">
        <f t="shared" si="452"/>
        <v>0</v>
      </c>
      <c r="AJ659" s="168">
        <f t="shared" si="453"/>
        <v>0</v>
      </c>
      <c r="AK659" s="169">
        <f t="shared" si="454"/>
        <v>0</v>
      </c>
      <c r="AL659" s="167">
        <f t="shared" si="455"/>
        <v>0</v>
      </c>
      <c r="AM659" s="585">
        <f t="shared" si="456"/>
        <v>0</v>
      </c>
      <c r="AN659" s="614"/>
      <c r="AO659" s="615"/>
      <c r="AP659" s="615"/>
      <c r="AQ659" s="616"/>
      <c r="AR659" s="612"/>
      <c r="AS659" s="617"/>
      <c r="AT659" s="618"/>
      <c r="AU659" s="618"/>
      <c r="AV659" s="618"/>
      <c r="AW659" s="619"/>
      <c r="AX659" s="614"/>
      <c r="AY659" s="616"/>
      <c r="AZ659" s="616"/>
      <c r="BA659" s="616"/>
      <c r="BB659" s="616"/>
      <c r="BC659" s="616"/>
      <c r="BD659" s="612"/>
      <c r="BE659" s="614"/>
      <c r="BF659" s="616"/>
      <c r="BG659" s="616"/>
      <c r="BH659" s="616"/>
      <c r="BI659" s="616"/>
      <c r="BJ659" s="616"/>
      <c r="BK659" s="1023"/>
      <c r="BL659" s="658"/>
    </row>
    <row r="660" spans="2:64">
      <c r="B660" s="1022"/>
      <c r="C660" s="607"/>
      <c r="D660" s="607"/>
      <c r="E660" s="1021"/>
      <c r="F660" s="608">
        <v>657</v>
      </c>
      <c r="G660" s="609"/>
      <c r="H660" s="610"/>
      <c r="I660" s="611"/>
      <c r="J660" s="166">
        <f t="shared" si="461"/>
        <v>0</v>
      </c>
      <c r="K660" s="167">
        <f t="shared" si="462"/>
        <v>0</v>
      </c>
      <c r="L660" s="168">
        <f t="shared" si="463"/>
        <v>0</v>
      </c>
      <c r="M660" s="166">
        <f t="shared" si="464"/>
        <v>0</v>
      </c>
      <c r="N660" s="167">
        <f t="shared" si="465"/>
        <v>0</v>
      </c>
      <c r="O660" s="168">
        <f t="shared" si="466"/>
        <v>0</v>
      </c>
      <c r="P660" s="169">
        <f t="shared" si="467"/>
        <v>0</v>
      </c>
      <c r="Q660" s="169">
        <f t="shared" si="468"/>
        <v>0</v>
      </c>
      <c r="R660" s="169">
        <f t="shared" si="469"/>
        <v>0</v>
      </c>
      <c r="S660" s="584">
        <f t="shared" si="436"/>
        <v>0</v>
      </c>
      <c r="T660" s="594">
        <f t="shared" si="437"/>
        <v>0</v>
      </c>
      <c r="U660" s="595">
        <f t="shared" si="438"/>
        <v>0</v>
      </c>
      <c r="V660" s="166">
        <f t="shared" si="439"/>
        <v>0</v>
      </c>
      <c r="W660" s="167">
        <f t="shared" si="440"/>
        <v>0</v>
      </c>
      <c r="X660" s="168">
        <f t="shared" si="441"/>
        <v>0</v>
      </c>
      <c r="Y660" s="166">
        <f t="shared" si="442"/>
        <v>0</v>
      </c>
      <c r="Z660" s="167">
        <f t="shared" si="443"/>
        <v>0</v>
      </c>
      <c r="AA660" s="168">
        <f t="shared" si="444"/>
        <v>0</v>
      </c>
      <c r="AB660" s="166">
        <f t="shared" si="445"/>
        <v>0</v>
      </c>
      <c r="AC660" s="167">
        <f t="shared" si="446"/>
        <v>0</v>
      </c>
      <c r="AD660" s="168">
        <f t="shared" si="447"/>
        <v>0</v>
      </c>
      <c r="AE660" s="166">
        <f t="shared" si="448"/>
        <v>0</v>
      </c>
      <c r="AF660" s="167">
        <f t="shared" si="449"/>
        <v>0</v>
      </c>
      <c r="AG660" s="168">
        <f t="shared" si="450"/>
        <v>0</v>
      </c>
      <c r="AH660" s="166">
        <f t="shared" si="451"/>
        <v>0</v>
      </c>
      <c r="AI660" s="167">
        <f t="shared" si="452"/>
        <v>0</v>
      </c>
      <c r="AJ660" s="168">
        <f t="shared" si="453"/>
        <v>0</v>
      </c>
      <c r="AK660" s="169">
        <f t="shared" si="454"/>
        <v>0</v>
      </c>
      <c r="AL660" s="167">
        <f t="shared" si="455"/>
        <v>0</v>
      </c>
      <c r="AM660" s="585">
        <f t="shared" si="456"/>
        <v>0</v>
      </c>
      <c r="AN660" s="614"/>
      <c r="AO660" s="615"/>
      <c r="AP660" s="615"/>
      <c r="AQ660" s="616"/>
      <c r="AR660" s="612"/>
      <c r="AS660" s="617"/>
      <c r="AT660" s="618"/>
      <c r="AU660" s="618"/>
      <c r="AV660" s="618"/>
      <c r="AW660" s="619"/>
      <c r="AX660" s="614"/>
      <c r="AY660" s="616"/>
      <c r="AZ660" s="616"/>
      <c r="BA660" s="616"/>
      <c r="BB660" s="616"/>
      <c r="BC660" s="616"/>
      <c r="BD660" s="612"/>
      <c r="BE660" s="614"/>
      <c r="BF660" s="616"/>
      <c r="BG660" s="616"/>
      <c r="BH660" s="616"/>
      <c r="BI660" s="616"/>
      <c r="BJ660" s="616"/>
      <c r="BK660" s="1023"/>
      <c r="BL660" s="658"/>
    </row>
    <row r="661" spans="2:64">
      <c r="B661" s="1022"/>
      <c r="C661" s="607"/>
      <c r="D661" s="607"/>
      <c r="E661" s="1021"/>
      <c r="F661" s="1019">
        <v>658</v>
      </c>
      <c r="G661" s="609"/>
      <c r="H661" s="610"/>
      <c r="I661" s="611"/>
      <c r="J661" s="166">
        <f t="shared" si="461"/>
        <v>0</v>
      </c>
      <c r="K661" s="167">
        <f t="shared" si="462"/>
        <v>0</v>
      </c>
      <c r="L661" s="168">
        <f t="shared" si="463"/>
        <v>0</v>
      </c>
      <c r="M661" s="166">
        <f t="shared" si="464"/>
        <v>0</v>
      </c>
      <c r="N661" s="167">
        <f t="shared" si="465"/>
        <v>0</v>
      </c>
      <c r="O661" s="168">
        <f t="shared" si="466"/>
        <v>0</v>
      </c>
      <c r="P661" s="169">
        <f t="shared" si="467"/>
        <v>0</v>
      </c>
      <c r="Q661" s="169">
        <f t="shared" si="468"/>
        <v>0</v>
      </c>
      <c r="R661" s="169">
        <f t="shared" si="469"/>
        <v>0</v>
      </c>
      <c r="S661" s="584">
        <f t="shared" si="436"/>
        <v>0</v>
      </c>
      <c r="T661" s="594">
        <f t="shared" si="437"/>
        <v>0</v>
      </c>
      <c r="U661" s="595">
        <f t="shared" si="438"/>
        <v>0</v>
      </c>
      <c r="V661" s="166">
        <f t="shared" si="439"/>
        <v>0</v>
      </c>
      <c r="W661" s="167">
        <f t="shared" si="440"/>
        <v>0</v>
      </c>
      <c r="X661" s="168">
        <f t="shared" si="441"/>
        <v>0</v>
      </c>
      <c r="Y661" s="166">
        <f t="shared" si="442"/>
        <v>0</v>
      </c>
      <c r="Z661" s="167">
        <f t="shared" si="443"/>
        <v>0</v>
      </c>
      <c r="AA661" s="168">
        <f t="shared" si="444"/>
        <v>0</v>
      </c>
      <c r="AB661" s="166">
        <f t="shared" si="445"/>
        <v>0</v>
      </c>
      <c r="AC661" s="167">
        <f t="shared" si="446"/>
        <v>0</v>
      </c>
      <c r="AD661" s="168">
        <f t="shared" si="447"/>
        <v>0</v>
      </c>
      <c r="AE661" s="166">
        <f t="shared" si="448"/>
        <v>0</v>
      </c>
      <c r="AF661" s="167">
        <f t="shared" si="449"/>
        <v>0</v>
      </c>
      <c r="AG661" s="168">
        <f t="shared" si="450"/>
        <v>0</v>
      </c>
      <c r="AH661" s="166">
        <f t="shared" si="451"/>
        <v>0</v>
      </c>
      <c r="AI661" s="167">
        <f t="shared" si="452"/>
        <v>0</v>
      </c>
      <c r="AJ661" s="168">
        <f t="shared" si="453"/>
        <v>0</v>
      </c>
      <c r="AK661" s="169">
        <f t="shared" si="454"/>
        <v>0</v>
      </c>
      <c r="AL661" s="167">
        <f t="shared" si="455"/>
        <v>0</v>
      </c>
      <c r="AM661" s="585">
        <f t="shared" si="456"/>
        <v>0</v>
      </c>
      <c r="AN661" s="614"/>
      <c r="AO661" s="615"/>
      <c r="AP661" s="615"/>
      <c r="AQ661" s="616"/>
      <c r="AR661" s="612"/>
      <c r="AS661" s="617"/>
      <c r="AT661" s="618"/>
      <c r="AU661" s="618"/>
      <c r="AV661" s="618"/>
      <c r="AW661" s="619"/>
      <c r="AX661" s="614"/>
      <c r="AY661" s="616"/>
      <c r="AZ661" s="616"/>
      <c r="BA661" s="616"/>
      <c r="BB661" s="616"/>
      <c r="BC661" s="616"/>
      <c r="BD661" s="612"/>
      <c r="BE661" s="614"/>
      <c r="BF661" s="616"/>
      <c r="BG661" s="616"/>
      <c r="BH661" s="616"/>
      <c r="BI661" s="616"/>
      <c r="BJ661" s="616"/>
      <c r="BK661" s="1023"/>
      <c r="BL661" s="658"/>
    </row>
    <row r="662" spans="2:64">
      <c r="B662" s="1022"/>
      <c r="C662" s="607"/>
      <c r="D662" s="607"/>
      <c r="E662" s="1021"/>
      <c r="F662" s="608">
        <v>659</v>
      </c>
      <c r="G662" s="609"/>
      <c r="H662" s="610"/>
      <c r="I662" s="611"/>
      <c r="J662" s="166">
        <f t="shared" si="461"/>
        <v>0</v>
      </c>
      <c r="K662" s="167">
        <f t="shared" si="462"/>
        <v>0</v>
      </c>
      <c r="L662" s="168">
        <f t="shared" si="463"/>
        <v>0</v>
      </c>
      <c r="M662" s="166">
        <f t="shared" si="464"/>
        <v>0</v>
      </c>
      <c r="N662" s="167">
        <f t="shared" si="465"/>
        <v>0</v>
      </c>
      <c r="O662" s="168">
        <f t="shared" si="466"/>
        <v>0</v>
      </c>
      <c r="P662" s="169">
        <f t="shared" si="467"/>
        <v>0</v>
      </c>
      <c r="Q662" s="169">
        <f t="shared" si="468"/>
        <v>0</v>
      </c>
      <c r="R662" s="169">
        <f t="shared" si="469"/>
        <v>0</v>
      </c>
      <c r="S662" s="584">
        <f t="shared" si="436"/>
        <v>0</v>
      </c>
      <c r="T662" s="594">
        <f t="shared" si="437"/>
        <v>0</v>
      </c>
      <c r="U662" s="595">
        <f t="shared" si="438"/>
        <v>0</v>
      </c>
      <c r="V662" s="166">
        <f t="shared" si="439"/>
        <v>0</v>
      </c>
      <c r="W662" s="167">
        <f t="shared" si="440"/>
        <v>0</v>
      </c>
      <c r="X662" s="168">
        <f t="shared" si="441"/>
        <v>0</v>
      </c>
      <c r="Y662" s="166">
        <f t="shared" si="442"/>
        <v>0</v>
      </c>
      <c r="Z662" s="167">
        <f t="shared" si="443"/>
        <v>0</v>
      </c>
      <c r="AA662" s="168">
        <f t="shared" si="444"/>
        <v>0</v>
      </c>
      <c r="AB662" s="166">
        <f t="shared" si="445"/>
        <v>0</v>
      </c>
      <c r="AC662" s="167">
        <f t="shared" si="446"/>
        <v>0</v>
      </c>
      <c r="AD662" s="168">
        <f t="shared" si="447"/>
        <v>0</v>
      </c>
      <c r="AE662" s="166">
        <f t="shared" si="448"/>
        <v>0</v>
      </c>
      <c r="AF662" s="167">
        <f t="shared" si="449"/>
        <v>0</v>
      </c>
      <c r="AG662" s="168">
        <f t="shared" si="450"/>
        <v>0</v>
      </c>
      <c r="AH662" s="166">
        <f t="shared" si="451"/>
        <v>0</v>
      </c>
      <c r="AI662" s="167">
        <f t="shared" si="452"/>
        <v>0</v>
      </c>
      <c r="AJ662" s="168">
        <f t="shared" si="453"/>
        <v>0</v>
      </c>
      <c r="AK662" s="169">
        <f t="shared" si="454"/>
        <v>0</v>
      </c>
      <c r="AL662" s="167">
        <f t="shared" si="455"/>
        <v>0</v>
      </c>
      <c r="AM662" s="585">
        <f t="shared" si="456"/>
        <v>0</v>
      </c>
      <c r="AN662" s="614"/>
      <c r="AO662" s="615"/>
      <c r="AP662" s="615"/>
      <c r="AQ662" s="616"/>
      <c r="AR662" s="612"/>
      <c r="AS662" s="617"/>
      <c r="AT662" s="618"/>
      <c r="AU662" s="618"/>
      <c r="AV662" s="618"/>
      <c r="AW662" s="619"/>
      <c r="AX662" s="614"/>
      <c r="AY662" s="616"/>
      <c r="AZ662" s="616"/>
      <c r="BA662" s="616"/>
      <c r="BB662" s="616"/>
      <c r="BC662" s="616"/>
      <c r="BD662" s="612"/>
      <c r="BE662" s="614"/>
      <c r="BF662" s="616"/>
      <c r="BG662" s="616"/>
      <c r="BH662" s="616"/>
      <c r="BI662" s="616"/>
      <c r="BJ662" s="616"/>
      <c r="BK662" s="1023"/>
      <c r="BL662" s="658"/>
    </row>
    <row r="663" spans="2:64">
      <c r="B663" s="1022"/>
      <c r="C663" s="607"/>
      <c r="D663" s="607"/>
      <c r="E663" s="1021"/>
      <c r="F663" s="1019">
        <v>660</v>
      </c>
      <c r="G663" s="609"/>
      <c r="H663" s="610"/>
      <c r="I663" s="611"/>
      <c r="J663" s="166">
        <f t="shared" si="461"/>
        <v>0</v>
      </c>
      <c r="K663" s="167">
        <f t="shared" si="462"/>
        <v>0</v>
      </c>
      <c r="L663" s="168">
        <f t="shared" si="463"/>
        <v>0</v>
      </c>
      <c r="M663" s="166">
        <f t="shared" si="464"/>
        <v>0</v>
      </c>
      <c r="N663" s="167">
        <f t="shared" si="465"/>
        <v>0</v>
      </c>
      <c r="O663" s="168">
        <f t="shared" si="466"/>
        <v>0</v>
      </c>
      <c r="P663" s="169">
        <f t="shared" si="467"/>
        <v>0</v>
      </c>
      <c r="Q663" s="169">
        <f t="shared" si="468"/>
        <v>0</v>
      </c>
      <c r="R663" s="169">
        <f t="shared" si="469"/>
        <v>0</v>
      </c>
      <c r="S663" s="584">
        <f t="shared" si="436"/>
        <v>0</v>
      </c>
      <c r="T663" s="594">
        <f t="shared" si="437"/>
        <v>0</v>
      </c>
      <c r="U663" s="595">
        <f t="shared" si="438"/>
        <v>0</v>
      </c>
      <c r="V663" s="166">
        <f t="shared" si="439"/>
        <v>0</v>
      </c>
      <c r="W663" s="167">
        <f t="shared" si="440"/>
        <v>0</v>
      </c>
      <c r="X663" s="168">
        <f t="shared" si="441"/>
        <v>0</v>
      </c>
      <c r="Y663" s="166">
        <f t="shared" si="442"/>
        <v>0</v>
      </c>
      <c r="Z663" s="167">
        <f t="shared" si="443"/>
        <v>0</v>
      </c>
      <c r="AA663" s="168">
        <f t="shared" si="444"/>
        <v>0</v>
      </c>
      <c r="AB663" s="166">
        <f t="shared" si="445"/>
        <v>0</v>
      </c>
      <c r="AC663" s="167">
        <f t="shared" si="446"/>
        <v>0</v>
      </c>
      <c r="AD663" s="168">
        <f t="shared" si="447"/>
        <v>0</v>
      </c>
      <c r="AE663" s="166">
        <f t="shared" si="448"/>
        <v>0</v>
      </c>
      <c r="AF663" s="167">
        <f t="shared" si="449"/>
        <v>0</v>
      </c>
      <c r="AG663" s="168">
        <f t="shared" si="450"/>
        <v>0</v>
      </c>
      <c r="AH663" s="166">
        <f t="shared" si="451"/>
        <v>0</v>
      </c>
      <c r="AI663" s="167">
        <f t="shared" si="452"/>
        <v>0</v>
      </c>
      <c r="AJ663" s="168">
        <f t="shared" si="453"/>
        <v>0</v>
      </c>
      <c r="AK663" s="169">
        <f t="shared" si="454"/>
        <v>0</v>
      </c>
      <c r="AL663" s="167">
        <f t="shared" si="455"/>
        <v>0</v>
      </c>
      <c r="AM663" s="585">
        <f t="shared" si="456"/>
        <v>0</v>
      </c>
      <c r="AN663" s="614"/>
      <c r="AO663" s="615"/>
      <c r="AP663" s="615"/>
      <c r="AQ663" s="616"/>
      <c r="AR663" s="612"/>
      <c r="AS663" s="617"/>
      <c r="AT663" s="618"/>
      <c r="AU663" s="618"/>
      <c r="AV663" s="618"/>
      <c r="AW663" s="619"/>
      <c r="AX663" s="614"/>
      <c r="AY663" s="616"/>
      <c r="AZ663" s="616"/>
      <c r="BA663" s="616"/>
      <c r="BB663" s="616"/>
      <c r="BC663" s="616"/>
      <c r="BD663" s="612"/>
      <c r="BE663" s="614"/>
      <c r="BF663" s="616"/>
      <c r="BG663" s="616"/>
      <c r="BH663" s="616"/>
      <c r="BI663" s="616"/>
      <c r="BJ663" s="616"/>
      <c r="BK663" s="1023"/>
      <c r="BL663" s="658"/>
    </row>
    <row r="664" spans="2:64">
      <c r="B664" s="1022"/>
      <c r="C664" s="607"/>
      <c r="D664" s="607"/>
      <c r="E664" s="1021"/>
      <c r="F664" s="608">
        <v>661</v>
      </c>
      <c r="G664" s="609"/>
      <c r="H664" s="610"/>
      <c r="I664" s="611"/>
      <c r="J664" s="166">
        <f t="shared" si="461"/>
        <v>0</v>
      </c>
      <c r="K664" s="167">
        <f t="shared" si="462"/>
        <v>0</v>
      </c>
      <c r="L664" s="168">
        <f t="shared" si="463"/>
        <v>0</v>
      </c>
      <c r="M664" s="166">
        <f t="shared" si="464"/>
        <v>0</v>
      </c>
      <c r="N664" s="167">
        <f t="shared" si="465"/>
        <v>0</v>
      </c>
      <c r="O664" s="168">
        <f t="shared" si="466"/>
        <v>0</v>
      </c>
      <c r="P664" s="169">
        <f t="shared" si="467"/>
        <v>0</v>
      </c>
      <c r="Q664" s="169">
        <f t="shared" si="468"/>
        <v>0</v>
      </c>
      <c r="R664" s="169">
        <f t="shared" si="469"/>
        <v>0</v>
      </c>
      <c r="S664" s="584">
        <f t="shared" si="436"/>
        <v>0</v>
      </c>
      <c r="T664" s="594">
        <f t="shared" si="437"/>
        <v>0</v>
      </c>
      <c r="U664" s="595">
        <f t="shared" si="438"/>
        <v>0</v>
      </c>
      <c r="V664" s="166">
        <f t="shared" si="439"/>
        <v>0</v>
      </c>
      <c r="W664" s="167">
        <f t="shared" si="440"/>
        <v>0</v>
      </c>
      <c r="X664" s="168">
        <f t="shared" si="441"/>
        <v>0</v>
      </c>
      <c r="Y664" s="166">
        <f t="shared" si="442"/>
        <v>0</v>
      </c>
      <c r="Z664" s="167">
        <f t="shared" si="443"/>
        <v>0</v>
      </c>
      <c r="AA664" s="168">
        <f t="shared" si="444"/>
        <v>0</v>
      </c>
      <c r="AB664" s="166">
        <f t="shared" si="445"/>
        <v>0</v>
      </c>
      <c r="AC664" s="167">
        <f t="shared" si="446"/>
        <v>0</v>
      </c>
      <c r="AD664" s="168">
        <f t="shared" si="447"/>
        <v>0</v>
      </c>
      <c r="AE664" s="166">
        <f t="shared" si="448"/>
        <v>0</v>
      </c>
      <c r="AF664" s="167">
        <f t="shared" si="449"/>
        <v>0</v>
      </c>
      <c r="AG664" s="168">
        <f t="shared" si="450"/>
        <v>0</v>
      </c>
      <c r="AH664" s="166">
        <f t="shared" si="451"/>
        <v>0</v>
      </c>
      <c r="AI664" s="167">
        <f t="shared" si="452"/>
        <v>0</v>
      </c>
      <c r="AJ664" s="168">
        <f t="shared" si="453"/>
        <v>0</v>
      </c>
      <c r="AK664" s="169">
        <f t="shared" si="454"/>
        <v>0</v>
      </c>
      <c r="AL664" s="167">
        <f t="shared" si="455"/>
        <v>0</v>
      </c>
      <c r="AM664" s="585">
        <f t="shared" si="456"/>
        <v>0</v>
      </c>
      <c r="AN664" s="614"/>
      <c r="AO664" s="615"/>
      <c r="AP664" s="615"/>
      <c r="AQ664" s="616"/>
      <c r="AR664" s="612"/>
      <c r="AS664" s="617"/>
      <c r="AT664" s="618"/>
      <c r="AU664" s="618"/>
      <c r="AV664" s="618"/>
      <c r="AW664" s="619"/>
      <c r="AX664" s="614"/>
      <c r="AY664" s="616"/>
      <c r="AZ664" s="616"/>
      <c r="BA664" s="616"/>
      <c r="BB664" s="616"/>
      <c r="BC664" s="616"/>
      <c r="BD664" s="612"/>
      <c r="BE664" s="614"/>
      <c r="BF664" s="616"/>
      <c r="BG664" s="616"/>
      <c r="BH664" s="616"/>
      <c r="BI664" s="616"/>
      <c r="BJ664" s="616"/>
      <c r="BK664" s="1023"/>
      <c r="BL664" s="658"/>
    </row>
    <row r="665" spans="2:64">
      <c r="B665" s="1022"/>
      <c r="C665" s="607"/>
      <c r="D665" s="607"/>
      <c r="E665" s="1021"/>
      <c r="F665" s="1019">
        <v>662</v>
      </c>
      <c r="G665" s="609"/>
      <c r="H665" s="610"/>
      <c r="I665" s="611"/>
      <c r="J665" s="166">
        <f t="shared" si="461"/>
        <v>0</v>
      </c>
      <c r="K665" s="167">
        <f t="shared" si="462"/>
        <v>0</v>
      </c>
      <c r="L665" s="168">
        <f t="shared" si="463"/>
        <v>0</v>
      </c>
      <c r="M665" s="166">
        <f t="shared" si="464"/>
        <v>0</v>
      </c>
      <c r="N665" s="167">
        <f t="shared" si="465"/>
        <v>0</v>
      </c>
      <c r="O665" s="168">
        <f t="shared" si="466"/>
        <v>0</v>
      </c>
      <c r="P665" s="169">
        <f t="shared" si="467"/>
        <v>0</v>
      </c>
      <c r="Q665" s="169">
        <f t="shared" si="468"/>
        <v>0</v>
      </c>
      <c r="R665" s="169">
        <f t="shared" si="469"/>
        <v>0</v>
      </c>
      <c r="S665" s="584">
        <f t="shared" ref="S665:S728" si="470">ROUND(IF($C665="UR",G665*0.25,G665*0.3),0)</f>
        <v>0</v>
      </c>
      <c r="T665" s="594">
        <f t="shared" ref="T665:T728" si="471">ROUND(IF($C665="UR",H665*0.25,H665*0.3),0)</f>
        <v>0</v>
      </c>
      <c r="U665" s="595">
        <f t="shared" ref="U665:U728" si="472">ROUND(IF($C665="UR",I665*0.25,I665*0.3),0)</f>
        <v>0</v>
      </c>
      <c r="V665" s="166">
        <f t="shared" ref="V665:V728" si="473">(IF($C665="UR",IF($E665="party卡",18,12))+IF($C665="SR",10)+IF($C665="R",8))*M665+J665+S665</f>
        <v>0</v>
      </c>
      <c r="W665" s="167">
        <f t="shared" ref="W665:W728" si="474">(IF($C665="UR",IF($E665="party卡",18,12))+IF($C665="SR",10)+IF($C665="R",8))*N665+K665+T665</f>
        <v>0</v>
      </c>
      <c r="X665" s="168">
        <f t="shared" ref="X665:X728" si="475">(IF($C665="UR",IF($E665="party卡",18,12))+IF($C665="SR",10)+IF($C665="R",8))*O665+L665+U665</f>
        <v>0</v>
      </c>
      <c r="Y665" s="166">
        <f t="shared" ref="Y665:Y728" si="476">V665+(IF(C665="UR",IF(E665="party卡",IF(D665="gd",1,2),IF(D665="vo",2)+IF(D665="sp",1)+IF(D665="gd",3)+IF(D665="sk",1)))+IF(C665="SR",2)+IF(C665="R",IF(D665="vo",1)+IF(D665="sp",2)+IF(D665="gd",1)+IF(D665="sk",2)))*P665</f>
        <v>0</v>
      </c>
      <c r="Z665" s="167">
        <f t="shared" ref="Z665:Z728" si="477">W665+(IF(C665="UR",IF(E665="party卡",IF(D665="sp",1,2),IF(D665="vo",1)+IF(D665="sp",3)+IF(D665="gd",2)+IF(D665="sk",2)))+IF(C665="SR",2)+IF(C665="R",IF(D665="vo",2)+IF(D665="sp",1)+IF(D665="gd",1)+IF(D665="sk",1)))*Q665</f>
        <v>0</v>
      </c>
      <c r="AA665" s="168">
        <f t="shared" ref="AA665:AA728" si="478">X665+(IF(C665="UR",IF(E665="party卡",IF(OR(D665="vo",D665="sk"),1,2),IF(D665="vo",3)+IF(D665="sp",2)+IF(D665="gd",1)+IF(D665="sk",3)))+IF(C665="SR",2)+IF(C665="R",IF(D665="vo",1)+IF(D665="sp",1)+IF(D665="gd",2)+IF(D665="sk",1)))*R665</f>
        <v>0</v>
      </c>
      <c r="AB665" s="166">
        <f t="shared" ref="AB665:AB728" si="479">V665+(IF(C665="UR",IF(E665="party卡",IF(OR(D665="sp",D665="sk"),3,2),IF(D665="vo",5)+IF(D665="sp",4)+IF(D665="gd",4)+IF(D665="sk",4)))+IF(C665="SR",4)+IF(C665="R",IF(D665="vo",3)+IF(D665="sp",3)+IF(D665="gd",2)+IF(D665="sk",3)))*P665</f>
        <v>0</v>
      </c>
      <c r="AC665" s="167">
        <f t="shared" ref="AC665:AC728" si="480">W665+(IF(C665="UR",IF(E665="party卡",IF(D665="vo",3,2),IF(D665="vo",4)+IF(D665="sp",4)+IF(D665="gd",5)+IF(D665="sk",5)))+IF(C665="SR",4)+IF(C665="R",IF(D665="vo",3)+IF(D665="sp",2)+IF(D665="gd",3)+IF(D665="sk",3)))*Q665</f>
        <v>0</v>
      </c>
      <c r="AD665" s="168">
        <f t="shared" ref="AD665:AD728" si="481">X665+(IF(C665="UR",IF(E665="party卡",IF(D665="gd",3,2),IF(D665="vo",4)+IF(D665="sp",5)+IF(D665="gd",4)+IF(D665="sk",4)))+IF(C665="SR",4)+IF(C665="R",IF(D665="vo",2)+IF(D665="sp",3)+IF(D665="gd",3)+IF(D665="sk",2)))*R665</f>
        <v>0</v>
      </c>
      <c r="AE665" s="166">
        <f t="shared" ref="AE665:AE728" si="482">V665+(IF(C665="UR",IF(E665="party卡",3,IF(D665="vo",7)+IF(D665="sp",8)+IF(D665="gd",6)+IF(D665="sk",8)))+IF(C665="SR",IF(D665="vo",5)+IF(D665="sp",6)+IF(D665="gd",6)+IF(D665="sk",6))+IF(C665="R",IF(D665="vo",5)+IF(D665="sp",4)+IF(D665="gd",4)+IF(D665="sk",4)))*P665</f>
        <v>0</v>
      </c>
      <c r="AF665" s="167">
        <f t="shared" ref="AF665:AF728" si="483">W665+(IF(C665="UR",IF(E665="party卡",3,IF(D665="vo",8)+IF(D665="sp",6)+IF(D665="gd",7)+IF(D665="sk",7)))+IF(C665="SR",IF(D665="vo",6)+IF(D665="sp",6)+IF(D665="gd",5)+IF(D665="sk",5))+IF(C665="R",IF(D665="vo",4)+IF(D665="sp",4)+IF(D665="gd",5)+IF(D665="sk",5)))*Q665</f>
        <v>0</v>
      </c>
      <c r="AG665" s="168">
        <f t="shared" ref="AG665:AG728" si="484">X665+(IF(C665="UR",IF(E665="party卡",3,IF(D665="vo",6)+IF(D665="sp",7)+IF(D665="gd",8)+IF(D665="sk",6)))+IF(C665="SR",IF(D665="vo",6)+IF(D665="sp",5)+IF(D665="gd",6)+IF(D665="sk",6))+IF(C665="R",IF(D665="vo",4)+IF(D665="sp",5)+IF(D665="gd",4)+IF(D665="sk",4)))*R665</f>
        <v>0</v>
      </c>
      <c r="AH665" s="166">
        <f t="shared" ref="AH665:AH728" si="485">V665+(IF(C665="UR",IF(E665="party卡",4,IF(D665="vo",9)+IF(D665="sp",10)+IF(D665="gd",10)+IF(D665="sk",10)))+IF(C665="SR",IF(D665="vo",7)+IF(D665="sp",7)+IF(D665="gd",9)+IF(D665="sk",7))+IF(C665="R",IF(D665="vo",7)+IF(D665="sp",6)+IF(D665="gd",6)+IF(D665="sk",6)))*P665</f>
        <v>0</v>
      </c>
      <c r="AI665" s="167">
        <f t="shared" ref="AI665:AI728" si="486">W665+(IF(C665="UR",IF(E665="party卡",4,IF(D665="vo",10)+IF(D665="sp",10)+IF(D665="gd",9)+IF(D665="sk",9)))+IF(C665="SR",IF(D665="vo",7)+IF(D665="sp",9)+IF(D665="gd",7)+IF(D665="sk",7))+IF(C665="R",IF(D665="vo",6)+IF(D665="sp",6)+IF(D665="gd",7)+IF(D665="sk",7)))*Q665</f>
        <v>0</v>
      </c>
      <c r="AJ665" s="168">
        <f t="shared" ref="AJ665:AJ728" si="487">X665+(IF(C665="UR",IF(E665="party卡",4,IF(D665="vo",10)+IF(D665="sp",9)+IF(D665="gd",10)+IF(D665="sk",10)))+IF(C665="SR",IF(D665="vo",9)+IF(D665="sp",7)+IF(D665="gd",7)+IF(D665="sk",9))+IF(C665="R",IF(D665="vo",6)+IF(D665="sp",7)+IF(D665="gd",6)+IF(D665="sk",6)))*R665</f>
        <v>0</v>
      </c>
      <c r="AK665" s="169">
        <f t="shared" ref="AK665:AK728" si="488">G665+J665</f>
        <v>0</v>
      </c>
      <c r="AL665" s="167">
        <f t="shared" ref="AL665:AL728" si="489">H665+K665</f>
        <v>0</v>
      </c>
      <c r="AM665" s="585">
        <f t="shared" ref="AM665:AM728" si="490">I665+L665</f>
        <v>0</v>
      </c>
      <c r="AN665" s="614"/>
      <c r="AO665" s="615"/>
      <c r="AP665" s="615"/>
      <c r="AQ665" s="616"/>
      <c r="AR665" s="612"/>
      <c r="AS665" s="617"/>
      <c r="AT665" s="618"/>
      <c r="AU665" s="618"/>
      <c r="AV665" s="618"/>
      <c r="AW665" s="619"/>
      <c r="AX665" s="614"/>
      <c r="AY665" s="616"/>
      <c r="AZ665" s="616"/>
      <c r="BA665" s="616"/>
      <c r="BB665" s="616"/>
      <c r="BC665" s="616"/>
      <c r="BD665" s="612"/>
      <c r="BE665" s="614"/>
      <c r="BF665" s="616"/>
      <c r="BG665" s="616"/>
      <c r="BH665" s="616"/>
      <c r="BI665" s="616"/>
      <c r="BJ665" s="616"/>
      <c r="BK665" s="1023"/>
      <c r="BL665" s="658"/>
    </row>
    <row r="666" spans="2:64">
      <c r="B666" s="1022"/>
      <c r="C666" s="607"/>
      <c r="D666" s="607"/>
      <c r="E666" s="1021"/>
      <c r="F666" s="608">
        <v>663</v>
      </c>
      <c r="G666" s="609"/>
      <c r="H666" s="610"/>
      <c r="I666" s="611"/>
      <c r="J666" s="166">
        <f t="shared" si="461"/>
        <v>0</v>
      </c>
      <c r="K666" s="167">
        <f t="shared" si="462"/>
        <v>0</v>
      </c>
      <c r="L666" s="168">
        <f t="shared" si="463"/>
        <v>0</v>
      </c>
      <c r="M666" s="166">
        <f t="shared" si="464"/>
        <v>0</v>
      </c>
      <c r="N666" s="167">
        <f t="shared" si="465"/>
        <v>0</v>
      </c>
      <c r="O666" s="168">
        <f t="shared" si="466"/>
        <v>0</v>
      </c>
      <c r="P666" s="169">
        <f t="shared" si="467"/>
        <v>0</v>
      </c>
      <c r="Q666" s="169">
        <f t="shared" si="468"/>
        <v>0</v>
      </c>
      <c r="R666" s="169">
        <f t="shared" si="469"/>
        <v>0</v>
      </c>
      <c r="S666" s="584">
        <f t="shared" si="470"/>
        <v>0</v>
      </c>
      <c r="T666" s="594">
        <f t="shared" si="471"/>
        <v>0</v>
      </c>
      <c r="U666" s="595">
        <f t="shared" si="472"/>
        <v>0</v>
      </c>
      <c r="V666" s="166">
        <f t="shared" si="473"/>
        <v>0</v>
      </c>
      <c r="W666" s="167">
        <f t="shared" si="474"/>
        <v>0</v>
      </c>
      <c r="X666" s="168">
        <f t="shared" si="475"/>
        <v>0</v>
      </c>
      <c r="Y666" s="166">
        <f t="shared" si="476"/>
        <v>0</v>
      </c>
      <c r="Z666" s="167">
        <f t="shared" si="477"/>
        <v>0</v>
      </c>
      <c r="AA666" s="168">
        <f t="shared" si="478"/>
        <v>0</v>
      </c>
      <c r="AB666" s="166">
        <f t="shared" si="479"/>
        <v>0</v>
      </c>
      <c r="AC666" s="167">
        <f t="shared" si="480"/>
        <v>0</v>
      </c>
      <c r="AD666" s="168">
        <f t="shared" si="481"/>
        <v>0</v>
      </c>
      <c r="AE666" s="166">
        <f t="shared" si="482"/>
        <v>0</v>
      </c>
      <c r="AF666" s="167">
        <f t="shared" si="483"/>
        <v>0</v>
      </c>
      <c r="AG666" s="168">
        <f t="shared" si="484"/>
        <v>0</v>
      </c>
      <c r="AH666" s="166">
        <f t="shared" si="485"/>
        <v>0</v>
      </c>
      <c r="AI666" s="167">
        <f t="shared" si="486"/>
        <v>0</v>
      </c>
      <c r="AJ666" s="168">
        <f t="shared" si="487"/>
        <v>0</v>
      </c>
      <c r="AK666" s="169">
        <f t="shared" si="488"/>
        <v>0</v>
      </c>
      <c r="AL666" s="167">
        <f t="shared" si="489"/>
        <v>0</v>
      </c>
      <c r="AM666" s="585">
        <f t="shared" si="490"/>
        <v>0</v>
      </c>
      <c r="AN666" s="614"/>
      <c r="AO666" s="615"/>
      <c r="AP666" s="615"/>
      <c r="AQ666" s="616"/>
      <c r="AR666" s="612"/>
      <c r="AS666" s="617"/>
      <c r="AT666" s="618"/>
      <c r="AU666" s="618"/>
      <c r="AV666" s="618"/>
      <c r="AW666" s="619"/>
      <c r="AX666" s="614"/>
      <c r="AY666" s="616"/>
      <c r="AZ666" s="616"/>
      <c r="BA666" s="616"/>
      <c r="BB666" s="616"/>
      <c r="BC666" s="616"/>
      <c r="BD666" s="612"/>
      <c r="BE666" s="614"/>
      <c r="BF666" s="616"/>
      <c r="BG666" s="616"/>
      <c r="BH666" s="616"/>
      <c r="BI666" s="616"/>
      <c r="BJ666" s="616"/>
      <c r="BK666" s="1023"/>
      <c r="BL666" s="658"/>
    </row>
    <row r="667" spans="2:64">
      <c r="B667" s="1022"/>
      <c r="C667" s="607"/>
      <c r="D667" s="607"/>
      <c r="E667" s="1021"/>
      <c r="F667" s="1019">
        <v>664</v>
      </c>
      <c r="G667" s="609"/>
      <c r="H667" s="610"/>
      <c r="I667" s="611"/>
      <c r="J667" s="166">
        <f t="shared" si="461"/>
        <v>0</v>
      </c>
      <c r="K667" s="167">
        <f t="shared" si="462"/>
        <v>0</v>
      </c>
      <c r="L667" s="168">
        <f t="shared" si="463"/>
        <v>0</v>
      </c>
      <c r="M667" s="166">
        <f t="shared" si="464"/>
        <v>0</v>
      </c>
      <c r="N667" s="167">
        <f t="shared" si="465"/>
        <v>0</v>
      </c>
      <c r="O667" s="168">
        <f t="shared" si="466"/>
        <v>0</v>
      </c>
      <c r="P667" s="169">
        <f t="shared" si="467"/>
        <v>0</v>
      </c>
      <c r="Q667" s="169">
        <f t="shared" si="468"/>
        <v>0</v>
      </c>
      <c r="R667" s="169">
        <f t="shared" si="469"/>
        <v>0</v>
      </c>
      <c r="S667" s="584">
        <f t="shared" si="470"/>
        <v>0</v>
      </c>
      <c r="T667" s="594">
        <f t="shared" si="471"/>
        <v>0</v>
      </c>
      <c r="U667" s="595">
        <f t="shared" si="472"/>
        <v>0</v>
      </c>
      <c r="V667" s="166">
        <f t="shared" si="473"/>
        <v>0</v>
      </c>
      <c r="W667" s="167">
        <f t="shared" si="474"/>
        <v>0</v>
      </c>
      <c r="X667" s="168">
        <f t="shared" si="475"/>
        <v>0</v>
      </c>
      <c r="Y667" s="166">
        <f t="shared" si="476"/>
        <v>0</v>
      </c>
      <c r="Z667" s="167">
        <f t="shared" si="477"/>
        <v>0</v>
      </c>
      <c r="AA667" s="168">
        <f t="shared" si="478"/>
        <v>0</v>
      </c>
      <c r="AB667" s="166">
        <f t="shared" si="479"/>
        <v>0</v>
      </c>
      <c r="AC667" s="167">
        <f t="shared" si="480"/>
        <v>0</v>
      </c>
      <c r="AD667" s="168">
        <f t="shared" si="481"/>
        <v>0</v>
      </c>
      <c r="AE667" s="166">
        <f t="shared" si="482"/>
        <v>0</v>
      </c>
      <c r="AF667" s="167">
        <f t="shared" si="483"/>
        <v>0</v>
      </c>
      <c r="AG667" s="168">
        <f t="shared" si="484"/>
        <v>0</v>
      </c>
      <c r="AH667" s="166">
        <f t="shared" si="485"/>
        <v>0</v>
      </c>
      <c r="AI667" s="167">
        <f t="shared" si="486"/>
        <v>0</v>
      </c>
      <c r="AJ667" s="168">
        <f t="shared" si="487"/>
        <v>0</v>
      </c>
      <c r="AK667" s="169">
        <f t="shared" si="488"/>
        <v>0</v>
      </c>
      <c r="AL667" s="167">
        <f t="shared" si="489"/>
        <v>0</v>
      </c>
      <c r="AM667" s="585">
        <f t="shared" si="490"/>
        <v>0</v>
      </c>
      <c r="AN667" s="614"/>
      <c r="AO667" s="615"/>
      <c r="AP667" s="615"/>
      <c r="AQ667" s="616"/>
      <c r="AR667" s="612"/>
      <c r="AS667" s="617"/>
      <c r="AT667" s="618"/>
      <c r="AU667" s="618"/>
      <c r="AV667" s="618"/>
      <c r="AW667" s="619"/>
      <c r="AX667" s="614"/>
      <c r="AY667" s="616"/>
      <c r="AZ667" s="616"/>
      <c r="BA667" s="616"/>
      <c r="BB667" s="616"/>
      <c r="BC667" s="616"/>
      <c r="BD667" s="612"/>
      <c r="BE667" s="614"/>
      <c r="BF667" s="616"/>
      <c r="BG667" s="616"/>
      <c r="BH667" s="616"/>
      <c r="BI667" s="616"/>
      <c r="BJ667" s="616"/>
      <c r="BK667" s="1023"/>
      <c r="BL667" s="658"/>
    </row>
    <row r="668" spans="2:64">
      <c r="B668" s="1022"/>
      <c r="C668" s="607"/>
      <c r="D668" s="607"/>
      <c r="E668" s="1021"/>
      <c r="F668" s="608">
        <v>665</v>
      </c>
      <c r="G668" s="609"/>
      <c r="H668" s="610"/>
      <c r="I668" s="611"/>
      <c r="J668" s="166">
        <f t="shared" si="461"/>
        <v>0</v>
      </c>
      <c r="K668" s="167">
        <f t="shared" si="462"/>
        <v>0</v>
      </c>
      <c r="L668" s="168">
        <f t="shared" si="463"/>
        <v>0</v>
      </c>
      <c r="M668" s="166">
        <f t="shared" si="464"/>
        <v>0</v>
      </c>
      <c r="N668" s="167">
        <f t="shared" si="465"/>
        <v>0</v>
      </c>
      <c r="O668" s="168">
        <f t="shared" si="466"/>
        <v>0</v>
      </c>
      <c r="P668" s="169">
        <f t="shared" si="467"/>
        <v>0</v>
      </c>
      <c r="Q668" s="169">
        <f t="shared" si="468"/>
        <v>0</v>
      </c>
      <c r="R668" s="169">
        <f t="shared" si="469"/>
        <v>0</v>
      </c>
      <c r="S668" s="584">
        <f t="shared" si="470"/>
        <v>0</v>
      </c>
      <c r="T668" s="594">
        <f t="shared" si="471"/>
        <v>0</v>
      </c>
      <c r="U668" s="595">
        <f t="shared" si="472"/>
        <v>0</v>
      </c>
      <c r="V668" s="166">
        <f t="shared" si="473"/>
        <v>0</v>
      </c>
      <c r="W668" s="167">
        <f t="shared" si="474"/>
        <v>0</v>
      </c>
      <c r="X668" s="168">
        <f t="shared" si="475"/>
        <v>0</v>
      </c>
      <c r="Y668" s="166">
        <f t="shared" si="476"/>
        <v>0</v>
      </c>
      <c r="Z668" s="167">
        <f t="shared" si="477"/>
        <v>0</v>
      </c>
      <c r="AA668" s="168">
        <f t="shared" si="478"/>
        <v>0</v>
      </c>
      <c r="AB668" s="166">
        <f t="shared" si="479"/>
        <v>0</v>
      </c>
      <c r="AC668" s="167">
        <f t="shared" si="480"/>
        <v>0</v>
      </c>
      <c r="AD668" s="168">
        <f t="shared" si="481"/>
        <v>0</v>
      </c>
      <c r="AE668" s="166">
        <f t="shared" si="482"/>
        <v>0</v>
      </c>
      <c r="AF668" s="167">
        <f t="shared" si="483"/>
        <v>0</v>
      </c>
      <c r="AG668" s="168">
        <f t="shared" si="484"/>
        <v>0</v>
      </c>
      <c r="AH668" s="166">
        <f t="shared" si="485"/>
        <v>0</v>
      </c>
      <c r="AI668" s="167">
        <f t="shared" si="486"/>
        <v>0</v>
      </c>
      <c r="AJ668" s="168">
        <f t="shared" si="487"/>
        <v>0</v>
      </c>
      <c r="AK668" s="169">
        <f t="shared" si="488"/>
        <v>0</v>
      </c>
      <c r="AL668" s="167">
        <f t="shared" si="489"/>
        <v>0</v>
      </c>
      <c r="AM668" s="585">
        <f t="shared" si="490"/>
        <v>0</v>
      </c>
      <c r="AN668" s="614"/>
      <c r="AO668" s="615"/>
      <c r="AP668" s="615"/>
      <c r="AQ668" s="616"/>
      <c r="AR668" s="612"/>
      <c r="AS668" s="617"/>
      <c r="AT668" s="618"/>
      <c r="AU668" s="618"/>
      <c r="AV668" s="618"/>
      <c r="AW668" s="619"/>
      <c r="AX668" s="614"/>
      <c r="AY668" s="616"/>
      <c r="AZ668" s="616"/>
      <c r="BA668" s="616"/>
      <c r="BB668" s="616"/>
      <c r="BC668" s="616"/>
      <c r="BD668" s="612"/>
      <c r="BE668" s="614"/>
      <c r="BF668" s="616"/>
      <c r="BG668" s="616"/>
      <c r="BH668" s="616"/>
      <c r="BI668" s="616"/>
      <c r="BJ668" s="616"/>
      <c r="BK668" s="1023"/>
      <c r="BL668" s="658"/>
    </row>
    <row r="669" spans="2:64">
      <c r="B669" s="1022"/>
      <c r="C669" s="607"/>
      <c r="D669" s="607"/>
      <c r="E669" s="1021"/>
      <c r="F669" s="1019">
        <v>666</v>
      </c>
      <c r="G669" s="609"/>
      <c r="H669" s="610"/>
      <c r="I669" s="611"/>
      <c r="J669" s="166">
        <f t="shared" si="461"/>
        <v>0</v>
      </c>
      <c r="K669" s="167">
        <f t="shared" si="462"/>
        <v>0</v>
      </c>
      <c r="L669" s="168">
        <f t="shared" si="463"/>
        <v>0</v>
      </c>
      <c r="M669" s="166">
        <f t="shared" si="464"/>
        <v>0</v>
      </c>
      <c r="N669" s="167">
        <f t="shared" si="465"/>
        <v>0</v>
      </c>
      <c r="O669" s="168">
        <f t="shared" si="466"/>
        <v>0</v>
      </c>
      <c r="P669" s="169">
        <f t="shared" si="467"/>
        <v>0</v>
      </c>
      <c r="Q669" s="169">
        <f t="shared" si="468"/>
        <v>0</v>
      </c>
      <c r="R669" s="169">
        <f t="shared" si="469"/>
        <v>0</v>
      </c>
      <c r="S669" s="584">
        <f t="shared" si="470"/>
        <v>0</v>
      </c>
      <c r="T669" s="594">
        <f t="shared" si="471"/>
        <v>0</v>
      </c>
      <c r="U669" s="595">
        <f t="shared" si="472"/>
        <v>0</v>
      </c>
      <c r="V669" s="166">
        <f t="shared" si="473"/>
        <v>0</v>
      </c>
      <c r="W669" s="167">
        <f t="shared" si="474"/>
        <v>0</v>
      </c>
      <c r="X669" s="168">
        <f t="shared" si="475"/>
        <v>0</v>
      </c>
      <c r="Y669" s="166">
        <f t="shared" si="476"/>
        <v>0</v>
      </c>
      <c r="Z669" s="167">
        <f t="shared" si="477"/>
        <v>0</v>
      </c>
      <c r="AA669" s="168">
        <f t="shared" si="478"/>
        <v>0</v>
      </c>
      <c r="AB669" s="166">
        <f t="shared" si="479"/>
        <v>0</v>
      </c>
      <c r="AC669" s="167">
        <f t="shared" si="480"/>
        <v>0</v>
      </c>
      <c r="AD669" s="168">
        <f t="shared" si="481"/>
        <v>0</v>
      </c>
      <c r="AE669" s="166">
        <f t="shared" si="482"/>
        <v>0</v>
      </c>
      <c r="AF669" s="167">
        <f t="shared" si="483"/>
        <v>0</v>
      </c>
      <c r="AG669" s="168">
        <f t="shared" si="484"/>
        <v>0</v>
      </c>
      <c r="AH669" s="166">
        <f t="shared" si="485"/>
        <v>0</v>
      </c>
      <c r="AI669" s="167">
        <f t="shared" si="486"/>
        <v>0</v>
      </c>
      <c r="AJ669" s="168">
        <f t="shared" si="487"/>
        <v>0</v>
      </c>
      <c r="AK669" s="169">
        <f t="shared" si="488"/>
        <v>0</v>
      </c>
      <c r="AL669" s="167">
        <f t="shared" si="489"/>
        <v>0</v>
      </c>
      <c r="AM669" s="585">
        <f t="shared" si="490"/>
        <v>0</v>
      </c>
      <c r="AN669" s="614"/>
      <c r="AO669" s="615"/>
      <c r="AP669" s="615"/>
      <c r="AQ669" s="616"/>
      <c r="AR669" s="612"/>
      <c r="AS669" s="617"/>
      <c r="AT669" s="618"/>
      <c r="AU669" s="618"/>
      <c r="AV669" s="618"/>
      <c r="AW669" s="619"/>
      <c r="AX669" s="614"/>
      <c r="AY669" s="616"/>
      <c r="AZ669" s="616"/>
      <c r="BA669" s="616"/>
      <c r="BB669" s="616"/>
      <c r="BC669" s="616"/>
      <c r="BD669" s="612"/>
      <c r="BE669" s="614"/>
      <c r="BF669" s="616"/>
      <c r="BG669" s="616"/>
      <c r="BH669" s="616"/>
      <c r="BI669" s="616"/>
      <c r="BJ669" s="616"/>
      <c r="BK669" s="1023"/>
      <c r="BL669" s="658"/>
    </row>
    <row r="670" spans="2:64">
      <c r="B670" s="1022"/>
      <c r="C670" s="607"/>
      <c r="D670" s="607"/>
      <c r="E670" s="1021"/>
      <c r="F670" s="608">
        <v>667</v>
      </c>
      <c r="G670" s="609"/>
      <c r="H670" s="610"/>
      <c r="I670" s="611"/>
      <c r="J670" s="166">
        <f t="shared" si="461"/>
        <v>0</v>
      </c>
      <c r="K670" s="167">
        <f t="shared" si="462"/>
        <v>0</v>
      </c>
      <c r="L670" s="168">
        <f t="shared" si="463"/>
        <v>0</v>
      </c>
      <c r="M670" s="166">
        <f t="shared" si="464"/>
        <v>0</v>
      </c>
      <c r="N670" s="167">
        <f t="shared" si="465"/>
        <v>0</v>
      </c>
      <c r="O670" s="168">
        <f t="shared" si="466"/>
        <v>0</v>
      </c>
      <c r="P670" s="169">
        <f t="shared" si="467"/>
        <v>0</v>
      </c>
      <c r="Q670" s="169">
        <f t="shared" si="468"/>
        <v>0</v>
      </c>
      <c r="R670" s="169">
        <f t="shared" si="469"/>
        <v>0</v>
      </c>
      <c r="S670" s="584">
        <f t="shared" si="470"/>
        <v>0</v>
      </c>
      <c r="T670" s="594">
        <f t="shared" si="471"/>
        <v>0</v>
      </c>
      <c r="U670" s="595">
        <f t="shared" si="472"/>
        <v>0</v>
      </c>
      <c r="V670" s="166">
        <f t="shared" si="473"/>
        <v>0</v>
      </c>
      <c r="W670" s="167">
        <f t="shared" si="474"/>
        <v>0</v>
      </c>
      <c r="X670" s="168">
        <f t="shared" si="475"/>
        <v>0</v>
      </c>
      <c r="Y670" s="166">
        <f t="shared" si="476"/>
        <v>0</v>
      </c>
      <c r="Z670" s="167">
        <f t="shared" si="477"/>
        <v>0</v>
      </c>
      <c r="AA670" s="168">
        <f t="shared" si="478"/>
        <v>0</v>
      </c>
      <c r="AB670" s="166">
        <f t="shared" si="479"/>
        <v>0</v>
      </c>
      <c r="AC670" s="167">
        <f t="shared" si="480"/>
        <v>0</v>
      </c>
      <c r="AD670" s="168">
        <f t="shared" si="481"/>
        <v>0</v>
      </c>
      <c r="AE670" s="166">
        <f t="shared" si="482"/>
        <v>0</v>
      </c>
      <c r="AF670" s="167">
        <f t="shared" si="483"/>
        <v>0</v>
      </c>
      <c r="AG670" s="168">
        <f t="shared" si="484"/>
        <v>0</v>
      </c>
      <c r="AH670" s="166">
        <f t="shared" si="485"/>
        <v>0</v>
      </c>
      <c r="AI670" s="167">
        <f t="shared" si="486"/>
        <v>0</v>
      </c>
      <c r="AJ670" s="168">
        <f t="shared" si="487"/>
        <v>0</v>
      </c>
      <c r="AK670" s="169">
        <f t="shared" si="488"/>
        <v>0</v>
      </c>
      <c r="AL670" s="167">
        <f t="shared" si="489"/>
        <v>0</v>
      </c>
      <c r="AM670" s="585">
        <f t="shared" si="490"/>
        <v>0</v>
      </c>
      <c r="AN670" s="614"/>
      <c r="AO670" s="615"/>
      <c r="AP670" s="615"/>
      <c r="AQ670" s="616"/>
      <c r="AR670" s="612"/>
      <c r="AS670" s="617"/>
      <c r="AT670" s="618"/>
      <c r="AU670" s="618"/>
      <c r="AV670" s="618"/>
      <c r="AW670" s="619"/>
      <c r="AX670" s="614"/>
      <c r="AY670" s="616"/>
      <c r="AZ670" s="616"/>
      <c r="BA670" s="616"/>
      <c r="BB670" s="616"/>
      <c r="BC670" s="616"/>
      <c r="BD670" s="612"/>
      <c r="BE670" s="614"/>
      <c r="BF670" s="616"/>
      <c r="BG670" s="616"/>
      <c r="BH670" s="616"/>
      <c r="BI670" s="616"/>
      <c r="BJ670" s="616"/>
      <c r="BK670" s="1023"/>
      <c r="BL670" s="658"/>
    </row>
    <row r="671" spans="2:64">
      <c r="B671" s="1022"/>
      <c r="C671" s="607"/>
      <c r="D671" s="607"/>
      <c r="E671" s="1021"/>
      <c r="F671" s="1019">
        <v>668</v>
      </c>
      <c r="G671" s="609"/>
      <c r="H671" s="610"/>
      <c r="I671" s="611"/>
      <c r="J671" s="166">
        <f t="shared" si="461"/>
        <v>0</v>
      </c>
      <c r="K671" s="167">
        <f t="shared" si="462"/>
        <v>0</v>
      </c>
      <c r="L671" s="168">
        <f t="shared" si="463"/>
        <v>0</v>
      </c>
      <c r="M671" s="166">
        <f t="shared" si="464"/>
        <v>0</v>
      </c>
      <c r="N671" s="167">
        <f t="shared" si="465"/>
        <v>0</v>
      </c>
      <c r="O671" s="168">
        <f t="shared" si="466"/>
        <v>0</v>
      </c>
      <c r="P671" s="169">
        <f t="shared" si="467"/>
        <v>0</v>
      </c>
      <c r="Q671" s="169">
        <f t="shared" si="468"/>
        <v>0</v>
      </c>
      <c r="R671" s="169">
        <f t="shared" si="469"/>
        <v>0</v>
      </c>
      <c r="S671" s="584">
        <f t="shared" si="470"/>
        <v>0</v>
      </c>
      <c r="T671" s="594">
        <f t="shared" si="471"/>
        <v>0</v>
      </c>
      <c r="U671" s="595">
        <f t="shared" si="472"/>
        <v>0</v>
      </c>
      <c r="V671" s="166">
        <f t="shared" si="473"/>
        <v>0</v>
      </c>
      <c r="W671" s="167">
        <f t="shared" si="474"/>
        <v>0</v>
      </c>
      <c r="X671" s="168">
        <f t="shared" si="475"/>
        <v>0</v>
      </c>
      <c r="Y671" s="166">
        <f t="shared" si="476"/>
        <v>0</v>
      </c>
      <c r="Z671" s="167">
        <f t="shared" si="477"/>
        <v>0</v>
      </c>
      <c r="AA671" s="168">
        <f t="shared" si="478"/>
        <v>0</v>
      </c>
      <c r="AB671" s="166">
        <f t="shared" si="479"/>
        <v>0</v>
      </c>
      <c r="AC671" s="167">
        <f t="shared" si="480"/>
        <v>0</v>
      </c>
      <c r="AD671" s="168">
        <f t="shared" si="481"/>
        <v>0</v>
      </c>
      <c r="AE671" s="166">
        <f t="shared" si="482"/>
        <v>0</v>
      </c>
      <c r="AF671" s="167">
        <f t="shared" si="483"/>
        <v>0</v>
      </c>
      <c r="AG671" s="168">
        <f t="shared" si="484"/>
        <v>0</v>
      </c>
      <c r="AH671" s="166">
        <f t="shared" si="485"/>
        <v>0</v>
      </c>
      <c r="AI671" s="167">
        <f t="shared" si="486"/>
        <v>0</v>
      </c>
      <c r="AJ671" s="168">
        <f t="shared" si="487"/>
        <v>0</v>
      </c>
      <c r="AK671" s="169">
        <f t="shared" si="488"/>
        <v>0</v>
      </c>
      <c r="AL671" s="167">
        <f t="shared" si="489"/>
        <v>0</v>
      </c>
      <c r="AM671" s="585">
        <f t="shared" si="490"/>
        <v>0</v>
      </c>
      <c r="AN671" s="614"/>
      <c r="AO671" s="615"/>
      <c r="AP671" s="615"/>
      <c r="AQ671" s="616"/>
      <c r="AR671" s="612"/>
      <c r="AS671" s="617"/>
      <c r="AT671" s="618"/>
      <c r="AU671" s="618"/>
      <c r="AV671" s="618"/>
      <c r="AW671" s="619"/>
      <c r="AX671" s="614"/>
      <c r="AY671" s="616"/>
      <c r="AZ671" s="616"/>
      <c r="BA671" s="616"/>
      <c r="BB671" s="616"/>
      <c r="BC671" s="616"/>
      <c r="BD671" s="612"/>
      <c r="BE671" s="614"/>
      <c r="BF671" s="616"/>
      <c r="BG671" s="616"/>
      <c r="BH671" s="616"/>
      <c r="BI671" s="616"/>
      <c r="BJ671" s="616"/>
      <c r="BK671" s="1023"/>
      <c r="BL671" s="658"/>
    </row>
    <row r="672" spans="2:64">
      <c r="B672" s="1022"/>
      <c r="C672" s="607"/>
      <c r="D672" s="607"/>
      <c r="E672" s="1021"/>
      <c r="F672" s="608">
        <v>669</v>
      </c>
      <c r="G672" s="609"/>
      <c r="H672" s="610"/>
      <c r="I672" s="611"/>
      <c r="J672" s="166">
        <f t="shared" si="461"/>
        <v>0</v>
      </c>
      <c r="K672" s="167">
        <f t="shared" si="462"/>
        <v>0</v>
      </c>
      <c r="L672" s="168">
        <f t="shared" si="463"/>
        <v>0</v>
      </c>
      <c r="M672" s="166">
        <f t="shared" si="464"/>
        <v>0</v>
      </c>
      <c r="N672" s="167">
        <f t="shared" si="465"/>
        <v>0</v>
      </c>
      <c r="O672" s="168">
        <f t="shared" si="466"/>
        <v>0</v>
      </c>
      <c r="P672" s="169">
        <f t="shared" si="467"/>
        <v>0</v>
      </c>
      <c r="Q672" s="169">
        <f t="shared" si="468"/>
        <v>0</v>
      </c>
      <c r="R672" s="169">
        <f t="shared" si="469"/>
        <v>0</v>
      </c>
      <c r="S672" s="584">
        <f t="shared" si="470"/>
        <v>0</v>
      </c>
      <c r="T672" s="594">
        <f t="shared" si="471"/>
        <v>0</v>
      </c>
      <c r="U672" s="595">
        <f t="shared" si="472"/>
        <v>0</v>
      </c>
      <c r="V672" s="166">
        <f t="shared" si="473"/>
        <v>0</v>
      </c>
      <c r="W672" s="167">
        <f t="shared" si="474"/>
        <v>0</v>
      </c>
      <c r="X672" s="168">
        <f t="shared" si="475"/>
        <v>0</v>
      </c>
      <c r="Y672" s="166">
        <f t="shared" si="476"/>
        <v>0</v>
      </c>
      <c r="Z672" s="167">
        <f t="shared" si="477"/>
        <v>0</v>
      </c>
      <c r="AA672" s="168">
        <f t="shared" si="478"/>
        <v>0</v>
      </c>
      <c r="AB672" s="166">
        <f t="shared" si="479"/>
        <v>0</v>
      </c>
      <c r="AC672" s="167">
        <f t="shared" si="480"/>
        <v>0</v>
      </c>
      <c r="AD672" s="168">
        <f t="shared" si="481"/>
        <v>0</v>
      </c>
      <c r="AE672" s="166">
        <f t="shared" si="482"/>
        <v>0</v>
      </c>
      <c r="AF672" s="167">
        <f t="shared" si="483"/>
        <v>0</v>
      </c>
      <c r="AG672" s="168">
        <f t="shared" si="484"/>
        <v>0</v>
      </c>
      <c r="AH672" s="166">
        <f t="shared" si="485"/>
        <v>0</v>
      </c>
      <c r="AI672" s="167">
        <f t="shared" si="486"/>
        <v>0</v>
      </c>
      <c r="AJ672" s="168">
        <f t="shared" si="487"/>
        <v>0</v>
      </c>
      <c r="AK672" s="169">
        <f t="shared" si="488"/>
        <v>0</v>
      </c>
      <c r="AL672" s="167">
        <f t="shared" si="489"/>
        <v>0</v>
      </c>
      <c r="AM672" s="585">
        <f t="shared" si="490"/>
        <v>0</v>
      </c>
      <c r="AN672" s="614"/>
      <c r="AO672" s="615"/>
      <c r="AP672" s="615"/>
      <c r="AQ672" s="616"/>
      <c r="AR672" s="612"/>
      <c r="AS672" s="617"/>
      <c r="AT672" s="618"/>
      <c r="AU672" s="618"/>
      <c r="AV672" s="618"/>
      <c r="AW672" s="619"/>
      <c r="AX672" s="614"/>
      <c r="AY672" s="616"/>
      <c r="AZ672" s="616"/>
      <c r="BA672" s="616"/>
      <c r="BB672" s="616"/>
      <c r="BC672" s="616"/>
      <c r="BD672" s="612"/>
      <c r="BE672" s="614"/>
      <c r="BF672" s="616"/>
      <c r="BG672" s="616"/>
      <c r="BH672" s="616"/>
      <c r="BI672" s="616"/>
      <c r="BJ672" s="616"/>
      <c r="BK672" s="1023"/>
      <c r="BL672" s="658"/>
    </row>
    <row r="673" spans="2:64">
      <c r="B673" s="1022"/>
      <c r="C673" s="607"/>
      <c r="D673" s="607"/>
      <c r="E673" s="1021"/>
      <c r="F673" s="1019">
        <v>670</v>
      </c>
      <c r="G673" s="609"/>
      <c r="H673" s="610"/>
      <c r="I673" s="611"/>
      <c r="J673" s="166">
        <f t="shared" si="461"/>
        <v>0</v>
      </c>
      <c r="K673" s="167">
        <f t="shared" si="462"/>
        <v>0</v>
      </c>
      <c r="L673" s="168">
        <f t="shared" si="463"/>
        <v>0</v>
      </c>
      <c r="M673" s="166">
        <f t="shared" si="464"/>
        <v>0</v>
      </c>
      <c r="N673" s="167">
        <f t="shared" si="465"/>
        <v>0</v>
      </c>
      <c r="O673" s="168">
        <f t="shared" si="466"/>
        <v>0</v>
      </c>
      <c r="P673" s="169">
        <f t="shared" si="467"/>
        <v>0</v>
      </c>
      <c r="Q673" s="169">
        <f t="shared" si="468"/>
        <v>0</v>
      </c>
      <c r="R673" s="169">
        <f t="shared" si="469"/>
        <v>0</v>
      </c>
      <c r="S673" s="584">
        <f t="shared" si="470"/>
        <v>0</v>
      </c>
      <c r="T673" s="594">
        <f t="shared" si="471"/>
        <v>0</v>
      </c>
      <c r="U673" s="595">
        <f t="shared" si="472"/>
        <v>0</v>
      </c>
      <c r="V673" s="166">
        <f t="shared" si="473"/>
        <v>0</v>
      </c>
      <c r="W673" s="167">
        <f t="shared" si="474"/>
        <v>0</v>
      </c>
      <c r="X673" s="168">
        <f t="shared" si="475"/>
        <v>0</v>
      </c>
      <c r="Y673" s="166">
        <f t="shared" si="476"/>
        <v>0</v>
      </c>
      <c r="Z673" s="167">
        <f t="shared" si="477"/>
        <v>0</v>
      </c>
      <c r="AA673" s="168">
        <f t="shared" si="478"/>
        <v>0</v>
      </c>
      <c r="AB673" s="166">
        <f t="shared" si="479"/>
        <v>0</v>
      </c>
      <c r="AC673" s="167">
        <f t="shared" si="480"/>
        <v>0</v>
      </c>
      <c r="AD673" s="168">
        <f t="shared" si="481"/>
        <v>0</v>
      </c>
      <c r="AE673" s="166">
        <f t="shared" si="482"/>
        <v>0</v>
      </c>
      <c r="AF673" s="167">
        <f t="shared" si="483"/>
        <v>0</v>
      </c>
      <c r="AG673" s="168">
        <f t="shared" si="484"/>
        <v>0</v>
      </c>
      <c r="AH673" s="166">
        <f t="shared" si="485"/>
        <v>0</v>
      </c>
      <c r="AI673" s="167">
        <f t="shared" si="486"/>
        <v>0</v>
      </c>
      <c r="AJ673" s="168">
        <f t="shared" si="487"/>
        <v>0</v>
      </c>
      <c r="AK673" s="169">
        <f t="shared" si="488"/>
        <v>0</v>
      </c>
      <c r="AL673" s="167">
        <f t="shared" si="489"/>
        <v>0</v>
      </c>
      <c r="AM673" s="585">
        <f t="shared" si="490"/>
        <v>0</v>
      </c>
      <c r="AN673" s="614"/>
      <c r="AO673" s="615"/>
      <c r="AP673" s="615"/>
      <c r="AQ673" s="616"/>
      <c r="AR673" s="612"/>
      <c r="AS673" s="617"/>
      <c r="AT673" s="618"/>
      <c r="AU673" s="618"/>
      <c r="AV673" s="618"/>
      <c r="AW673" s="619"/>
      <c r="AX673" s="614"/>
      <c r="AY673" s="616"/>
      <c r="AZ673" s="616"/>
      <c r="BA673" s="616"/>
      <c r="BB673" s="616"/>
      <c r="BC673" s="616"/>
      <c r="BD673" s="612"/>
      <c r="BE673" s="614"/>
      <c r="BF673" s="616"/>
      <c r="BG673" s="616"/>
      <c r="BH673" s="616"/>
      <c r="BI673" s="616"/>
      <c r="BJ673" s="616"/>
      <c r="BK673" s="1023"/>
      <c r="BL673" s="658"/>
    </row>
    <row r="674" spans="2:64">
      <c r="B674" s="1022"/>
      <c r="C674" s="607"/>
      <c r="D674" s="607"/>
      <c r="E674" s="1021"/>
      <c r="F674" s="608">
        <v>671</v>
      </c>
      <c r="G674" s="609"/>
      <c r="H674" s="610"/>
      <c r="I674" s="611"/>
      <c r="J674" s="166">
        <f t="shared" si="461"/>
        <v>0</v>
      </c>
      <c r="K674" s="167">
        <f t="shared" si="462"/>
        <v>0</v>
      </c>
      <c r="L674" s="168">
        <f t="shared" si="463"/>
        <v>0</v>
      </c>
      <c r="M674" s="166">
        <f t="shared" si="464"/>
        <v>0</v>
      </c>
      <c r="N674" s="167">
        <f t="shared" si="465"/>
        <v>0</v>
      </c>
      <c r="O674" s="168">
        <f t="shared" si="466"/>
        <v>0</v>
      </c>
      <c r="P674" s="169">
        <f t="shared" si="467"/>
        <v>0</v>
      </c>
      <c r="Q674" s="169">
        <f t="shared" si="468"/>
        <v>0</v>
      </c>
      <c r="R674" s="169">
        <f t="shared" si="469"/>
        <v>0</v>
      </c>
      <c r="S674" s="584">
        <f t="shared" si="470"/>
        <v>0</v>
      </c>
      <c r="T674" s="594">
        <f t="shared" si="471"/>
        <v>0</v>
      </c>
      <c r="U674" s="595">
        <f t="shared" si="472"/>
        <v>0</v>
      </c>
      <c r="V674" s="166">
        <f t="shared" si="473"/>
        <v>0</v>
      </c>
      <c r="W674" s="167">
        <f t="shared" si="474"/>
        <v>0</v>
      </c>
      <c r="X674" s="168">
        <f t="shared" si="475"/>
        <v>0</v>
      </c>
      <c r="Y674" s="166">
        <f t="shared" si="476"/>
        <v>0</v>
      </c>
      <c r="Z674" s="167">
        <f t="shared" si="477"/>
        <v>0</v>
      </c>
      <c r="AA674" s="168">
        <f t="shared" si="478"/>
        <v>0</v>
      </c>
      <c r="AB674" s="166">
        <f t="shared" si="479"/>
        <v>0</v>
      </c>
      <c r="AC674" s="167">
        <f t="shared" si="480"/>
        <v>0</v>
      </c>
      <c r="AD674" s="168">
        <f t="shared" si="481"/>
        <v>0</v>
      </c>
      <c r="AE674" s="166">
        <f t="shared" si="482"/>
        <v>0</v>
      </c>
      <c r="AF674" s="167">
        <f t="shared" si="483"/>
        <v>0</v>
      </c>
      <c r="AG674" s="168">
        <f t="shared" si="484"/>
        <v>0</v>
      </c>
      <c r="AH674" s="166">
        <f t="shared" si="485"/>
        <v>0</v>
      </c>
      <c r="AI674" s="167">
        <f t="shared" si="486"/>
        <v>0</v>
      </c>
      <c r="AJ674" s="168">
        <f t="shared" si="487"/>
        <v>0</v>
      </c>
      <c r="AK674" s="169">
        <f t="shared" si="488"/>
        <v>0</v>
      </c>
      <c r="AL674" s="167">
        <f t="shared" si="489"/>
        <v>0</v>
      </c>
      <c r="AM674" s="585">
        <f t="shared" si="490"/>
        <v>0</v>
      </c>
      <c r="AN674" s="614"/>
      <c r="AO674" s="615"/>
      <c r="AP674" s="615"/>
      <c r="AQ674" s="616"/>
      <c r="AR674" s="612"/>
      <c r="AS674" s="617"/>
      <c r="AT674" s="618"/>
      <c r="AU674" s="618"/>
      <c r="AV674" s="618"/>
      <c r="AW674" s="619"/>
      <c r="AX674" s="614"/>
      <c r="AY674" s="616"/>
      <c r="AZ674" s="616"/>
      <c r="BA674" s="616"/>
      <c r="BB674" s="616"/>
      <c r="BC674" s="616"/>
      <c r="BD674" s="612"/>
      <c r="BE674" s="614"/>
      <c r="BF674" s="616"/>
      <c r="BG674" s="616"/>
      <c r="BH674" s="616"/>
      <c r="BI674" s="616"/>
      <c r="BJ674" s="616"/>
      <c r="BK674" s="1023"/>
      <c r="BL674" s="658"/>
    </row>
    <row r="675" spans="2:64">
      <c r="B675" s="1022"/>
      <c r="C675" s="607"/>
      <c r="D675" s="607"/>
      <c r="E675" s="1021"/>
      <c r="F675" s="1019">
        <v>672</v>
      </c>
      <c r="G675" s="609"/>
      <c r="H675" s="610"/>
      <c r="I675" s="611"/>
      <c r="J675" s="166">
        <f t="shared" si="461"/>
        <v>0</v>
      </c>
      <c r="K675" s="167">
        <f t="shared" si="462"/>
        <v>0</v>
      </c>
      <c r="L675" s="168">
        <f t="shared" si="463"/>
        <v>0</v>
      </c>
      <c r="M675" s="166">
        <f t="shared" si="464"/>
        <v>0</v>
      </c>
      <c r="N675" s="167">
        <f t="shared" si="465"/>
        <v>0</v>
      </c>
      <c r="O675" s="168">
        <f t="shared" si="466"/>
        <v>0</v>
      </c>
      <c r="P675" s="169">
        <f t="shared" si="467"/>
        <v>0</v>
      </c>
      <c r="Q675" s="169">
        <f t="shared" si="468"/>
        <v>0</v>
      </c>
      <c r="R675" s="169">
        <f t="shared" si="469"/>
        <v>0</v>
      </c>
      <c r="S675" s="584">
        <f t="shared" si="470"/>
        <v>0</v>
      </c>
      <c r="T675" s="594">
        <f t="shared" si="471"/>
        <v>0</v>
      </c>
      <c r="U675" s="595">
        <f t="shared" si="472"/>
        <v>0</v>
      </c>
      <c r="V675" s="166">
        <f t="shared" si="473"/>
        <v>0</v>
      </c>
      <c r="W675" s="167">
        <f t="shared" si="474"/>
        <v>0</v>
      </c>
      <c r="X675" s="168">
        <f t="shared" si="475"/>
        <v>0</v>
      </c>
      <c r="Y675" s="166">
        <f t="shared" si="476"/>
        <v>0</v>
      </c>
      <c r="Z675" s="167">
        <f t="shared" si="477"/>
        <v>0</v>
      </c>
      <c r="AA675" s="168">
        <f t="shared" si="478"/>
        <v>0</v>
      </c>
      <c r="AB675" s="166">
        <f t="shared" si="479"/>
        <v>0</v>
      </c>
      <c r="AC675" s="167">
        <f t="shared" si="480"/>
        <v>0</v>
      </c>
      <c r="AD675" s="168">
        <f t="shared" si="481"/>
        <v>0</v>
      </c>
      <c r="AE675" s="166">
        <f t="shared" si="482"/>
        <v>0</v>
      </c>
      <c r="AF675" s="167">
        <f t="shared" si="483"/>
        <v>0</v>
      </c>
      <c r="AG675" s="168">
        <f t="shared" si="484"/>
        <v>0</v>
      </c>
      <c r="AH675" s="166">
        <f t="shared" si="485"/>
        <v>0</v>
      </c>
      <c r="AI675" s="167">
        <f t="shared" si="486"/>
        <v>0</v>
      </c>
      <c r="AJ675" s="168">
        <f t="shared" si="487"/>
        <v>0</v>
      </c>
      <c r="AK675" s="169">
        <f t="shared" si="488"/>
        <v>0</v>
      </c>
      <c r="AL675" s="167">
        <f t="shared" si="489"/>
        <v>0</v>
      </c>
      <c r="AM675" s="585">
        <f t="shared" si="490"/>
        <v>0</v>
      </c>
      <c r="AN675" s="614"/>
      <c r="AO675" s="615"/>
      <c r="AP675" s="615"/>
      <c r="AQ675" s="616"/>
      <c r="AR675" s="612"/>
      <c r="AS675" s="617"/>
      <c r="AT675" s="618"/>
      <c r="AU675" s="618"/>
      <c r="AV675" s="618"/>
      <c r="AW675" s="619"/>
      <c r="AX675" s="614"/>
      <c r="AY675" s="616"/>
      <c r="AZ675" s="616"/>
      <c r="BA675" s="616"/>
      <c r="BB675" s="616"/>
      <c r="BC675" s="616"/>
      <c r="BD675" s="612"/>
      <c r="BE675" s="614"/>
      <c r="BF675" s="616"/>
      <c r="BG675" s="616"/>
      <c r="BH675" s="616"/>
      <c r="BI675" s="616"/>
      <c r="BJ675" s="616"/>
      <c r="BK675" s="1023"/>
      <c r="BL675" s="658"/>
    </row>
    <row r="676" spans="2:64">
      <c r="B676" s="1022"/>
      <c r="C676" s="607"/>
      <c r="D676" s="607"/>
      <c r="E676" s="1021"/>
      <c r="F676" s="608">
        <v>673</v>
      </c>
      <c r="G676" s="609"/>
      <c r="H676" s="610"/>
      <c r="I676" s="611"/>
      <c r="J676" s="166">
        <f t="shared" si="461"/>
        <v>0</v>
      </c>
      <c r="K676" s="167">
        <f t="shared" si="462"/>
        <v>0</v>
      </c>
      <c r="L676" s="168">
        <f t="shared" si="463"/>
        <v>0</v>
      </c>
      <c r="M676" s="166">
        <f t="shared" si="464"/>
        <v>0</v>
      </c>
      <c r="N676" s="167">
        <f t="shared" si="465"/>
        <v>0</v>
      </c>
      <c r="O676" s="168">
        <f t="shared" si="466"/>
        <v>0</v>
      </c>
      <c r="P676" s="169">
        <f t="shared" si="467"/>
        <v>0</v>
      </c>
      <c r="Q676" s="169">
        <f t="shared" si="468"/>
        <v>0</v>
      </c>
      <c r="R676" s="169">
        <f t="shared" si="469"/>
        <v>0</v>
      </c>
      <c r="S676" s="584">
        <f t="shared" si="470"/>
        <v>0</v>
      </c>
      <c r="T676" s="594">
        <f t="shared" si="471"/>
        <v>0</v>
      </c>
      <c r="U676" s="595">
        <f t="shared" si="472"/>
        <v>0</v>
      </c>
      <c r="V676" s="166">
        <f t="shared" si="473"/>
        <v>0</v>
      </c>
      <c r="W676" s="167">
        <f t="shared" si="474"/>
        <v>0</v>
      </c>
      <c r="X676" s="168">
        <f t="shared" si="475"/>
        <v>0</v>
      </c>
      <c r="Y676" s="166">
        <f t="shared" si="476"/>
        <v>0</v>
      </c>
      <c r="Z676" s="167">
        <f t="shared" si="477"/>
        <v>0</v>
      </c>
      <c r="AA676" s="168">
        <f t="shared" si="478"/>
        <v>0</v>
      </c>
      <c r="AB676" s="166">
        <f t="shared" si="479"/>
        <v>0</v>
      </c>
      <c r="AC676" s="167">
        <f t="shared" si="480"/>
        <v>0</v>
      </c>
      <c r="AD676" s="168">
        <f t="shared" si="481"/>
        <v>0</v>
      </c>
      <c r="AE676" s="166">
        <f t="shared" si="482"/>
        <v>0</v>
      </c>
      <c r="AF676" s="167">
        <f t="shared" si="483"/>
        <v>0</v>
      </c>
      <c r="AG676" s="168">
        <f t="shared" si="484"/>
        <v>0</v>
      </c>
      <c r="AH676" s="166">
        <f t="shared" si="485"/>
        <v>0</v>
      </c>
      <c r="AI676" s="167">
        <f t="shared" si="486"/>
        <v>0</v>
      </c>
      <c r="AJ676" s="168">
        <f t="shared" si="487"/>
        <v>0</v>
      </c>
      <c r="AK676" s="169">
        <f t="shared" si="488"/>
        <v>0</v>
      </c>
      <c r="AL676" s="167">
        <f t="shared" si="489"/>
        <v>0</v>
      </c>
      <c r="AM676" s="585">
        <f t="shared" si="490"/>
        <v>0</v>
      </c>
      <c r="AN676" s="614"/>
      <c r="AO676" s="615"/>
      <c r="AP676" s="615"/>
      <c r="AQ676" s="616"/>
      <c r="AR676" s="612"/>
      <c r="AS676" s="617"/>
      <c r="AT676" s="618"/>
      <c r="AU676" s="618"/>
      <c r="AV676" s="618"/>
      <c r="AW676" s="619"/>
      <c r="AX676" s="614"/>
      <c r="AY676" s="616"/>
      <c r="AZ676" s="616"/>
      <c r="BA676" s="616"/>
      <c r="BB676" s="616"/>
      <c r="BC676" s="616"/>
      <c r="BD676" s="612"/>
      <c r="BE676" s="614"/>
      <c r="BF676" s="616"/>
      <c r="BG676" s="616"/>
      <c r="BH676" s="616"/>
      <c r="BI676" s="616"/>
      <c r="BJ676" s="616"/>
      <c r="BK676" s="1023"/>
      <c r="BL676" s="658"/>
    </row>
    <row r="677" spans="2:64">
      <c r="B677" s="1022"/>
      <c r="C677" s="607"/>
      <c r="D677" s="607"/>
      <c r="E677" s="1021"/>
      <c r="F677" s="1019">
        <v>674</v>
      </c>
      <c r="G677" s="609"/>
      <c r="H677" s="610"/>
      <c r="I677" s="611"/>
      <c r="J677" s="166">
        <f t="shared" si="461"/>
        <v>0</v>
      </c>
      <c r="K677" s="167">
        <f t="shared" si="462"/>
        <v>0</v>
      </c>
      <c r="L677" s="168">
        <f t="shared" si="463"/>
        <v>0</v>
      </c>
      <c r="M677" s="166">
        <f t="shared" si="464"/>
        <v>0</v>
      </c>
      <c r="N677" s="167">
        <f t="shared" si="465"/>
        <v>0</v>
      </c>
      <c r="O677" s="168">
        <f t="shared" si="466"/>
        <v>0</v>
      </c>
      <c r="P677" s="169">
        <f t="shared" si="467"/>
        <v>0</v>
      </c>
      <c r="Q677" s="169">
        <f t="shared" si="468"/>
        <v>0</v>
      </c>
      <c r="R677" s="169">
        <f t="shared" si="469"/>
        <v>0</v>
      </c>
      <c r="S677" s="584">
        <f t="shared" si="470"/>
        <v>0</v>
      </c>
      <c r="T677" s="594">
        <f t="shared" si="471"/>
        <v>0</v>
      </c>
      <c r="U677" s="595">
        <f t="shared" si="472"/>
        <v>0</v>
      </c>
      <c r="V677" s="166">
        <f t="shared" si="473"/>
        <v>0</v>
      </c>
      <c r="W677" s="167">
        <f t="shared" si="474"/>
        <v>0</v>
      </c>
      <c r="X677" s="168">
        <f t="shared" si="475"/>
        <v>0</v>
      </c>
      <c r="Y677" s="166">
        <f t="shared" si="476"/>
        <v>0</v>
      </c>
      <c r="Z677" s="167">
        <f t="shared" si="477"/>
        <v>0</v>
      </c>
      <c r="AA677" s="168">
        <f t="shared" si="478"/>
        <v>0</v>
      </c>
      <c r="AB677" s="166">
        <f t="shared" si="479"/>
        <v>0</v>
      </c>
      <c r="AC677" s="167">
        <f t="shared" si="480"/>
        <v>0</v>
      </c>
      <c r="AD677" s="168">
        <f t="shared" si="481"/>
        <v>0</v>
      </c>
      <c r="AE677" s="166">
        <f t="shared" si="482"/>
        <v>0</v>
      </c>
      <c r="AF677" s="167">
        <f t="shared" si="483"/>
        <v>0</v>
      </c>
      <c r="AG677" s="168">
        <f t="shared" si="484"/>
        <v>0</v>
      </c>
      <c r="AH677" s="166">
        <f t="shared" si="485"/>
        <v>0</v>
      </c>
      <c r="AI677" s="167">
        <f t="shared" si="486"/>
        <v>0</v>
      </c>
      <c r="AJ677" s="168">
        <f t="shared" si="487"/>
        <v>0</v>
      </c>
      <c r="AK677" s="169">
        <f t="shared" si="488"/>
        <v>0</v>
      </c>
      <c r="AL677" s="167">
        <f t="shared" si="489"/>
        <v>0</v>
      </c>
      <c r="AM677" s="585">
        <f t="shared" si="490"/>
        <v>0</v>
      </c>
      <c r="AN677" s="614"/>
      <c r="AO677" s="615"/>
      <c r="AP677" s="615"/>
      <c r="AQ677" s="616"/>
      <c r="AR677" s="612"/>
      <c r="AS677" s="617"/>
      <c r="AT677" s="618"/>
      <c r="AU677" s="618"/>
      <c r="AV677" s="618"/>
      <c r="AW677" s="619"/>
      <c r="AX677" s="614"/>
      <c r="AY677" s="616"/>
      <c r="AZ677" s="616"/>
      <c r="BA677" s="616"/>
      <c r="BB677" s="616"/>
      <c r="BC677" s="616"/>
      <c r="BD677" s="612"/>
      <c r="BE677" s="614"/>
      <c r="BF677" s="616"/>
      <c r="BG677" s="616"/>
      <c r="BH677" s="616"/>
      <c r="BI677" s="616"/>
      <c r="BJ677" s="616"/>
      <c r="BK677" s="1023"/>
      <c r="BL677" s="658"/>
    </row>
    <row r="678" spans="2:64">
      <c r="B678" s="1022"/>
      <c r="C678" s="607"/>
      <c r="D678" s="607"/>
      <c r="E678" s="1021"/>
      <c r="F678" s="608">
        <v>675</v>
      </c>
      <c r="G678" s="609"/>
      <c r="H678" s="610"/>
      <c r="I678" s="611"/>
      <c r="J678" s="166">
        <f t="shared" si="461"/>
        <v>0</v>
      </c>
      <c r="K678" s="167">
        <f t="shared" si="462"/>
        <v>0</v>
      </c>
      <c r="L678" s="168">
        <f t="shared" si="463"/>
        <v>0</v>
      </c>
      <c r="M678" s="166">
        <f t="shared" si="464"/>
        <v>0</v>
      </c>
      <c r="N678" s="167">
        <f t="shared" si="465"/>
        <v>0</v>
      </c>
      <c r="O678" s="168">
        <f t="shared" si="466"/>
        <v>0</v>
      </c>
      <c r="P678" s="169">
        <f t="shared" si="467"/>
        <v>0</v>
      </c>
      <c r="Q678" s="169">
        <f t="shared" si="468"/>
        <v>0</v>
      </c>
      <c r="R678" s="169">
        <f t="shared" si="469"/>
        <v>0</v>
      </c>
      <c r="S678" s="584">
        <f t="shared" si="470"/>
        <v>0</v>
      </c>
      <c r="T678" s="594">
        <f t="shared" si="471"/>
        <v>0</v>
      </c>
      <c r="U678" s="595">
        <f t="shared" si="472"/>
        <v>0</v>
      </c>
      <c r="V678" s="166">
        <f t="shared" si="473"/>
        <v>0</v>
      </c>
      <c r="W678" s="167">
        <f t="shared" si="474"/>
        <v>0</v>
      </c>
      <c r="X678" s="168">
        <f t="shared" si="475"/>
        <v>0</v>
      </c>
      <c r="Y678" s="166">
        <f t="shared" si="476"/>
        <v>0</v>
      </c>
      <c r="Z678" s="167">
        <f t="shared" si="477"/>
        <v>0</v>
      </c>
      <c r="AA678" s="168">
        <f t="shared" si="478"/>
        <v>0</v>
      </c>
      <c r="AB678" s="166">
        <f t="shared" si="479"/>
        <v>0</v>
      </c>
      <c r="AC678" s="167">
        <f t="shared" si="480"/>
        <v>0</v>
      </c>
      <c r="AD678" s="168">
        <f t="shared" si="481"/>
        <v>0</v>
      </c>
      <c r="AE678" s="166">
        <f t="shared" si="482"/>
        <v>0</v>
      </c>
      <c r="AF678" s="167">
        <f t="shared" si="483"/>
        <v>0</v>
      </c>
      <c r="AG678" s="168">
        <f t="shared" si="484"/>
        <v>0</v>
      </c>
      <c r="AH678" s="166">
        <f t="shared" si="485"/>
        <v>0</v>
      </c>
      <c r="AI678" s="167">
        <f t="shared" si="486"/>
        <v>0</v>
      </c>
      <c r="AJ678" s="168">
        <f t="shared" si="487"/>
        <v>0</v>
      </c>
      <c r="AK678" s="169">
        <f t="shared" si="488"/>
        <v>0</v>
      </c>
      <c r="AL678" s="167">
        <f t="shared" si="489"/>
        <v>0</v>
      </c>
      <c r="AM678" s="585">
        <f t="shared" si="490"/>
        <v>0</v>
      </c>
      <c r="AN678" s="614"/>
      <c r="AO678" s="615"/>
      <c r="AP678" s="615"/>
      <c r="AQ678" s="616"/>
      <c r="AR678" s="612"/>
      <c r="AS678" s="617"/>
      <c r="AT678" s="618"/>
      <c r="AU678" s="618"/>
      <c r="AV678" s="618"/>
      <c r="AW678" s="619"/>
      <c r="AX678" s="614"/>
      <c r="AY678" s="616"/>
      <c r="AZ678" s="616"/>
      <c r="BA678" s="616"/>
      <c r="BB678" s="616"/>
      <c r="BC678" s="616"/>
      <c r="BD678" s="612"/>
      <c r="BE678" s="614"/>
      <c r="BF678" s="616"/>
      <c r="BG678" s="616"/>
      <c r="BH678" s="616"/>
      <c r="BI678" s="616"/>
      <c r="BJ678" s="616"/>
      <c r="BK678" s="1023"/>
      <c r="BL678" s="658"/>
    </row>
    <row r="679" spans="2:64">
      <c r="B679" s="1022"/>
      <c r="C679" s="607"/>
      <c r="D679" s="607"/>
      <c r="E679" s="1021"/>
      <c r="F679" s="1019">
        <v>676</v>
      </c>
      <c r="G679" s="609"/>
      <c r="H679" s="610"/>
      <c r="I679" s="611"/>
      <c r="J679" s="166">
        <f t="shared" si="461"/>
        <v>0</v>
      </c>
      <c r="K679" s="167">
        <f t="shared" si="462"/>
        <v>0</v>
      </c>
      <c r="L679" s="168">
        <f t="shared" si="463"/>
        <v>0</v>
      </c>
      <c r="M679" s="166">
        <f t="shared" si="464"/>
        <v>0</v>
      </c>
      <c r="N679" s="167">
        <f t="shared" si="465"/>
        <v>0</v>
      </c>
      <c r="O679" s="168">
        <f t="shared" si="466"/>
        <v>0</v>
      </c>
      <c r="P679" s="169">
        <f t="shared" si="467"/>
        <v>0</v>
      </c>
      <c r="Q679" s="169">
        <f t="shared" si="468"/>
        <v>0</v>
      </c>
      <c r="R679" s="169">
        <f t="shared" si="469"/>
        <v>0</v>
      </c>
      <c r="S679" s="584">
        <f t="shared" si="470"/>
        <v>0</v>
      </c>
      <c r="T679" s="594">
        <f t="shared" si="471"/>
        <v>0</v>
      </c>
      <c r="U679" s="595">
        <f t="shared" si="472"/>
        <v>0</v>
      </c>
      <c r="V679" s="166">
        <f t="shared" si="473"/>
        <v>0</v>
      </c>
      <c r="W679" s="167">
        <f t="shared" si="474"/>
        <v>0</v>
      </c>
      <c r="X679" s="168">
        <f t="shared" si="475"/>
        <v>0</v>
      </c>
      <c r="Y679" s="166">
        <f t="shared" si="476"/>
        <v>0</v>
      </c>
      <c r="Z679" s="167">
        <f t="shared" si="477"/>
        <v>0</v>
      </c>
      <c r="AA679" s="168">
        <f t="shared" si="478"/>
        <v>0</v>
      </c>
      <c r="AB679" s="166">
        <f t="shared" si="479"/>
        <v>0</v>
      </c>
      <c r="AC679" s="167">
        <f t="shared" si="480"/>
        <v>0</v>
      </c>
      <c r="AD679" s="168">
        <f t="shared" si="481"/>
        <v>0</v>
      </c>
      <c r="AE679" s="166">
        <f t="shared" si="482"/>
        <v>0</v>
      </c>
      <c r="AF679" s="167">
        <f t="shared" si="483"/>
        <v>0</v>
      </c>
      <c r="AG679" s="168">
        <f t="shared" si="484"/>
        <v>0</v>
      </c>
      <c r="AH679" s="166">
        <f t="shared" si="485"/>
        <v>0</v>
      </c>
      <c r="AI679" s="167">
        <f t="shared" si="486"/>
        <v>0</v>
      </c>
      <c r="AJ679" s="168">
        <f t="shared" si="487"/>
        <v>0</v>
      </c>
      <c r="AK679" s="169">
        <f t="shared" si="488"/>
        <v>0</v>
      </c>
      <c r="AL679" s="167">
        <f t="shared" si="489"/>
        <v>0</v>
      </c>
      <c r="AM679" s="585">
        <f t="shared" si="490"/>
        <v>0</v>
      </c>
      <c r="AN679" s="614"/>
      <c r="AO679" s="615"/>
      <c r="AP679" s="615"/>
      <c r="AQ679" s="616"/>
      <c r="AR679" s="612"/>
      <c r="AS679" s="617"/>
      <c r="AT679" s="618"/>
      <c r="AU679" s="618"/>
      <c r="AV679" s="618"/>
      <c r="AW679" s="619"/>
      <c r="AX679" s="614"/>
      <c r="AY679" s="616"/>
      <c r="AZ679" s="616"/>
      <c r="BA679" s="616"/>
      <c r="BB679" s="616"/>
      <c r="BC679" s="616"/>
      <c r="BD679" s="612"/>
      <c r="BE679" s="614"/>
      <c r="BF679" s="616"/>
      <c r="BG679" s="616"/>
      <c r="BH679" s="616"/>
      <c r="BI679" s="616"/>
      <c r="BJ679" s="616"/>
      <c r="BK679" s="1023"/>
      <c r="BL679" s="658"/>
    </row>
    <row r="680" spans="2:64">
      <c r="B680" s="1022"/>
      <c r="C680" s="607"/>
      <c r="D680" s="607"/>
      <c r="E680" s="1021"/>
      <c r="F680" s="608">
        <v>677</v>
      </c>
      <c r="G680" s="609"/>
      <c r="H680" s="610"/>
      <c r="I680" s="611"/>
      <c r="J680" s="166">
        <f t="shared" si="461"/>
        <v>0</v>
      </c>
      <c r="K680" s="167">
        <f t="shared" si="462"/>
        <v>0</v>
      </c>
      <c r="L680" s="168">
        <f t="shared" si="463"/>
        <v>0</v>
      </c>
      <c r="M680" s="166">
        <f t="shared" si="464"/>
        <v>0</v>
      </c>
      <c r="N680" s="167">
        <f t="shared" si="465"/>
        <v>0</v>
      </c>
      <c r="O680" s="168">
        <f t="shared" si="466"/>
        <v>0</v>
      </c>
      <c r="P680" s="169">
        <f t="shared" si="467"/>
        <v>0</v>
      </c>
      <c r="Q680" s="169">
        <f t="shared" si="468"/>
        <v>0</v>
      </c>
      <c r="R680" s="169">
        <f t="shared" si="469"/>
        <v>0</v>
      </c>
      <c r="S680" s="584">
        <f t="shared" si="470"/>
        <v>0</v>
      </c>
      <c r="T680" s="594">
        <f t="shared" si="471"/>
        <v>0</v>
      </c>
      <c r="U680" s="595">
        <f t="shared" si="472"/>
        <v>0</v>
      </c>
      <c r="V680" s="166">
        <f t="shared" si="473"/>
        <v>0</v>
      </c>
      <c r="W680" s="167">
        <f t="shared" si="474"/>
        <v>0</v>
      </c>
      <c r="X680" s="168">
        <f t="shared" si="475"/>
        <v>0</v>
      </c>
      <c r="Y680" s="166">
        <f t="shared" si="476"/>
        <v>0</v>
      </c>
      <c r="Z680" s="167">
        <f t="shared" si="477"/>
        <v>0</v>
      </c>
      <c r="AA680" s="168">
        <f t="shared" si="478"/>
        <v>0</v>
      </c>
      <c r="AB680" s="166">
        <f t="shared" si="479"/>
        <v>0</v>
      </c>
      <c r="AC680" s="167">
        <f t="shared" si="480"/>
        <v>0</v>
      </c>
      <c r="AD680" s="168">
        <f t="shared" si="481"/>
        <v>0</v>
      </c>
      <c r="AE680" s="166">
        <f t="shared" si="482"/>
        <v>0</v>
      </c>
      <c r="AF680" s="167">
        <f t="shared" si="483"/>
        <v>0</v>
      </c>
      <c r="AG680" s="168">
        <f t="shared" si="484"/>
        <v>0</v>
      </c>
      <c r="AH680" s="166">
        <f t="shared" si="485"/>
        <v>0</v>
      </c>
      <c r="AI680" s="167">
        <f t="shared" si="486"/>
        <v>0</v>
      </c>
      <c r="AJ680" s="168">
        <f t="shared" si="487"/>
        <v>0</v>
      </c>
      <c r="AK680" s="169">
        <f t="shared" si="488"/>
        <v>0</v>
      </c>
      <c r="AL680" s="167">
        <f t="shared" si="489"/>
        <v>0</v>
      </c>
      <c r="AM680" s="585">
        <f t="shared" si="490"/>
        <v>0</v>
      </c>
      <c r="AN680" s="614"/>
      <c r="AO680" s="615"/>
      <c r="AP680" s="615"/>
      <c r="AQ680" s="616"/>
      <c r="AR680" s="612"/>
      <c r="AS680" s="617"/>
      <c r="AT680" s="618"/>
      <c r="AU680" s="618"/>
      <c r="AV680" s="618"/>
      <c r="AW680" s="619"/>
      <c r="AX680" s="614"/>
      <c r="AY680" s="616"/>
      <c r="AZ680" s="616"/>
      <c r="BA680" s="616"/>
      <c r="BB680" s="616"/>
      <c r="BC680" s="616"/>
      <c r="BD680" s="612"/>
      <c r="BE680" s="614"/>
      <c r="BF680" s="616"/>
      <c r="BG680" s="616"/>
      <c r="BH680" s="616"/>
      <c r="BI680" s="616"/>
      <c r="BJ680" s="616"/>
      <c r="BK680" s="1023"/>
      <c r="BL680" s="658"/>
    </row>
    <row r="681" spans="2:64">
      <c r="B681" s="1022"/>
      <c r="C681" s="607"/>
      <c r="D681" s="607"/>
      <c r="E681" s="1021"/>
      <c r="F681" s="1019">
        <v>678</v>
      </c>
      <c r="G681" s="609"/>
      <c r="H681" s="610"/>
      <c r="I681" s="611"/>
      <c r="J681" s="166">
        <f t="shared" si="461"/>
        <v>0</v>
      </c>
      <c r="K681" s="167">
        <f t="shared" si="462"/>
        <v>0</v>
      </c>
      <c r="L681" s="168">
        <f t="shared" si="463"/>
        <v>0</v>
      </c>
      <c r="M681" s="166">
        <f t="shared" si="464"/>
        <v>0</v>
      </c>
      <c r="N681" s="167">
        <f t="shared" si="465"/>
        <v>0</v>
      </c>
      <c r="O681" s="168">
        <f t="shared" si="466"/>
        <v>0</v>
      </c>
      <c r="P681" s="169">
        <f t="shared" si="467"/>
        <v>0</v>
      </c>
      <c r="Q681" s="169">
        <f t="shared" si="468"/>
        <v>0</v>
      </c>
      <c r="R681" s="169">
        <f t="shared" si="469"/>
        <v>0</v>
      </c>
      <c r="S681" s="584">
        <f t="shared" si="470"/>
        <v>0</v>
      </c>
      <c r="T681" s="594">
        <f t="shared" si="471"/>
        <v>0</v>
      </c>
      <c r="U681" s="595">
        <f t="shared" si="472"/>
        <v>0</v>
      </c>
      <c r="V681" s="166">
        <f t="shared" si="473"/>
        <v>0</v>
      </c>
      <c r="W681" s="167">
        <f t="shared" si="474"/>
        <v>0</v>
      </c>
      <c r="X681" s="168">
        <f t="shared" si="475"/>
        <v>0</v>
      </c>
      <c r="Y681" s="166">
        <f t="shared" si="476"/>
        <v>0</v>
      </c>
      <c r="Z681" s="167">
        <f t="shared" si="477"/>
        <v>0</v>
      </c>
      <c r="AA681" s="168">
        <f t="shared" si="478"/>
        <v>0</v>
      </c>
      <c r="AB681" s="166">
        <f t="shared" si="479"/>
        <v>0</v>
      </c>
      <c r="AC681" s="167">
        <f t="shared" si="480"/>
        <v>0</v>
      </c>
      <c r="AD681" s="168">
        <f t="shared" si="481"/>
        <v>0</v>
      </c>
      <c r="AE681" s="166">
        <f t="shared" si="482"/>
        <v>0</v>
      </c>
      <c r="AF681" s="167">
        <f t="shared" si="483"/>
        <v>0</v>
      </c>
      <c r="AG681" s="168">
        <f t="shared" si="484"/>
        <v>0</v>
      </c>
      <c r="AH681" s="166">
        <f t="shared" si="485"/>
        <v>0</v>
      </c>
      <c r="AI681" s="167">
        <f t="shared" si="486"/>
        <v>0</v>
      </c>
      <c r="AJ681" s="168">
        <f t="shared" si="487"/>
        <v>0</v>
      </c>
      <c r="AK681" s="169">
        <f t="shared" si="488"/>
        <v>0</v>
      </c>
      <c r="AL681" s="167">
        <f t="shared" si="489"/>
        <v>0</v>
      </c>
      <c r="AM681" s="585">
        <f t="shared" si="490"/>
        <v>0</v>
      </c>
      <c r="AN681" s="614"/>
      <c r="AO681" s="615"/>
      <c r="AP681" s="615"/>
      <c r="AQ681" s="616"/>
      <c r="AR681" s="612"/>
      <c r="AS681" s="617"/>
      <c r="AT681" s="618"/>
      <c r="AU681" s="618"/>
      <c r="AV681" s="618"/>
      <c r="AW681" s="619"/>
      <c r="AX681" s="614"/>
      <c r="AY681" s="616"/>
      <c r="AZ681" s="616"/>
      <c r="BA681" s="616"/>
      <c r="BB681" s="616"/>
      <c r="BC681" s="616"/>
      <c r="BD681" s="612"/>
      <c r="BE681" s="614"/>
      <c r="BF681" s="616"/>
      <c r="BG681" s="616"/>
      <c r="BH681" s="616"/>
      <c r="BI681" s="616"/>
      <c r="BJ681" s="616"/>
      <c r="BK681" s="1023"/>
      <c r="BL681" s="658"/>
    </row>
    <row r="682" spans="2:64">
      <c r="B682" s="1022"/>
      <c r="C682" s="607"/>
      <c r="D682" s="607"/>
      <c r="E682" s="1021"/>
      <c r="F682" s="608">
        <v>679</v>
      </c>
      <c r="G682" s="609"/>
      <c r="H682" s="610"/>
      <c r="I682" s="611"/>
      <c r="J682" s="166">
        <f t="shared" si="461"/>
        <v>0</v>
      </c>
      <c r="K682" s="167">
        <f t="shared" si="462"/>
        <v>0</v>
      </c>
      <c r="L682" s="168">
        <f t="shared" si="463"/>
        <v>0</v>
      </c>
      <c r="M682" s="166">
        <f t="shared" si="464"/>
        <v>0</v>
      </c>
      <c r="N682" s="167">
        <f t="shared" si="465"/>
        <v>0</v>
      </c>
      <c r="O682" s="168">
        <f t="shared" si="466"/>
        <v>0</v>
      </c>
      <c r="P682" s="169">
        <f t="shared" si="467"/>
        <v>0</v>
      </c>
      <c r="Q682" s="169">
        <f t="shared" si="468"/>
        <v>0</v>
      </c>
      <c r="R682" s="169">
        <f t="shared" si="469"/>
        <v>0</v>
      </c>
      <c r="S682" s="584">
        <f t="shared" si="470"/>
        <v>0</v>
      </c>
      <c r="T682" s="594">
        <f t="shared" si="471"/>
        <v>0</v>
      </c>
      <c r="U682" s="595">
        <f t="shared" si="472"/>
        <v>0</v>
      </c>
      <c r="V682" s="166">
        <f t="shared" si="473"/>
        <v>0</v>
      </c>
      <c r="W682" s="167">
        <f t="shared" si="474"/>
        <v>0</v>
      </c>
      <c r="X682" s="168">
        <f t="shared" si="475"/>
        <v>0</v>
      </c>
      <c r="Y682" s="166">
        <f t="shared" si="476"/>
        <v>0</v>
      </c>
      <c r="Z682" s="167">
        <f t="shared" si="477"/>
        <v>0</v>
      </c>
      <c r="AA682" s="168">
        <f t="shared" si="478"/>
        <v>0</v>
      </c>
      <c r="AB682" s="166">
        <f t="shared" si="479"/>
        <v>0</v>
      </c>
      <c r="AC682" s="167">
        <f t="shared" si="480"/>
        <v>0</v>
      </c>
      <c r="AD682" s="168">
        <f t="shared" si="481"/>
        <v>0</v>
      </c>
      <c r="AE682" s="166">
        <f t="shared" si="482"/>
        <v>0</v>
      </c>
      <c r="AF682" s="167">
        <f t="shared" si="483"/>
        <v>0</v>
      </c>
      <c r="AG682" s="168">
        <f t="shared" si="484"/>
        <v>0</v>
      </c>
      <c r="AH682" s="166">
        <f t="shared" si="485"/>
        <v>0</v>
      </c>
      <c r="AI682" s="167">
        <f t="shared" si="486"/>
        <v>0</v>
      </c>
      <c r="AJ682" s="168">
        <f t="shared" si="487"/>
        <v>0</v>
      </c>
      <c r="AK682" s="169">
        <f t="shared" si="488"/>
        <v>0</v>
      </c>
      <c r="AL682" s="167">
        <f t="shared" si="489"/>
        <v>0</v>
      </c>
      <c r="AM682" s="585">
        <f t="shared" si="490"/>
        <v>0</v>
      </c>
      <c r="AN682" s="614"/>
      <c r="AO682" s="615"/>
      <c r="AP682" s="615"/>
      <c r="AQ682" s="616"/>
      <c r="AR682" s="612"/>
      <c r="AS682" s="617"/>
      <c r="AT682" s="618"/>
      <c r="AU682" s="618"/>
      <c r="AV682" s="618"/>
      <c r="AW682" s="619"/>
      <c r="AX682" s="614"/>
      <c r="AY682" s="616"/>
      <c r="AZ682" s="616"/>
      <c r="BA682" s="616"/>
      <c r="BB682" s="616"/>
      <c r="BC682" s="616"/>
      <c r="BD682" s="612"/>
      <c r="BE682" s="614"/>
      <c r="BF682" s="616"/>
      <c r="BG682" s="616"/>
      <c r="BH682" s="616"/>
      <c r="BI682" s="616"/>
      <c r="BJ682" s="616"/>
      <c r="BK682" s="1023"/>
      <c r="BL682" s="658"/>
    </row>
    <row r="683" spans="2:64">
      <c r="B683" s="1022"/>
      <c r="C683" s="607"/>
      <c r="D683" s="607"/>
      <c r="E683" s="1021"/>
      <c r="F683" s="1019">
        <v>680</v>
      </c>
      <c r="G683" s="609"/>
      <c r="H683" s="610"/>
      <c r="I683" s="611"/>
      <c r="J683" s="166">
        <f t="shared" si="461"/>
        <v>0</v>
      </c>
      <c r="K683" s="167">
        <f t="shared" si="462"/>
        <v>0</v>
      </c>
      <c r="L683" s="168">
        <f t="shared" si="463"/>
        <v>0</v>
      </c>
      <c r="M683" s="166">
        <f t="shared" si="464"/>
        <v>0</v>
      </c>
      <c r="N683" s="167">
        <f t="shared" si="465"/>
        <v>0</v>
      </c>
      <c r="O683" s="168">
        <f t="shared" si="466"/>
        <v>0</v>
      </c>
      <c r="P683" s="169">
        <f t="shared" si="467"/>
        <v>0</v>
      </c>
      <c r="Q683" s="169">
        <f t="shared" si="468"/>
        <v>0</v>
      </c>
      <c r="R683" s="169">
        <f t="shared" si="469"/>
        <v>0</v>
      </c>
      <c r="S683" s="584">
        <f t="shared" si="470"/>
        <v>0</v>
      </c>
      <c r="T683" s="594">
        <f t="shared" si="471"/>
        <v>0</v>
      </c>
      <c r="U683" s="595">
        <f t="shared" si="472"/>
        <v>0</v>
      </c>
      <c r="V683" s="166">
        <f t="shared" si="473"/>
        <v>0</v>
      </c>
      <c r="W683" s="167">
        <f t="shared" si="474"/>
        <v>0</v>
      </c>
      <c r="X683" s="168">
        <f t="shared" si="475"/>
        <v>0</v>
      </c>
      <c r="Y683" s="166">
        <f t="shared" si="476"/>
        <v>0</v>
      </c>
      <c r="Z683" s="167">
        <f t="shared" si="477"/>
        <v>0</v>
      </c>
      <c r="AA683" s="168">
        <f t="shared" si="478"/>
        <v>0</v>
      </c>
      <c r="AB683" s="166">
        <f t="shared" si="479"/>
        <v>0</v>
      </c>
      <c r="AC683" s="167">
        <f t="shared" si="480"/>
        <v>0</v>
      </c>
      <c r="AD683" s="168">
        <f t="shared" si="481"/>
        <v>0</v>
      </c>
      <c r="AE683" s="166">
        <f t="shared" si="482"/>
        <v>0</v>
      </c>
      <c r="AF683" s="167">
        <f t="shared" si="483"/>
        <v>0</v>
      </c>
      <c r="AG683" s="168">
        <f t="shared" si="484"/>
        <v>0</v>
      </c>
      <c r="AH683" s="166">
        <f t="shared" si="485"/>
        <v>0</v>
      </c>
      <c r="AI683" s="167">
        <f t="shared" si="486"/>
        <v>0</v>
      </c>
      <c r="AJ683" s="168">
        <f t="shared" si="487"/>
        <v>0</v>
      </c>
      <c r="AK683" s="169">
        <f t="shared" si="488"/>
        <v>0</v>
      </c>
      <c r="AL683" s="167">
        <f t="shared" si="489"/>
        <v>0</v>
      </c>
      <c r="AM683" s="585">
        <f t="shared" si="490"/>
        <v>0</v>
      </c>
      <c r="AN683" s="614"/>
      <c r="AO683" s="615"/>
      <c r="AP683" s="615"/>
      <c r="AQ683" s="616"/>
      <c r="AR683" s="612"/>
      <c r="AS683" s="617"/>
      <c r="AT683" s="618"/>
      <c r="AU683" s="618"/>
      <c r="AV683" s="618"/>
      <c r="AW683" s="619"/>
      <c r="AX683" s="614"/>
      <c r="AY683" s="616"/>
      <c r="AZ683" s="616"/>
      <c r="BA683" s="616"/>
      <c r="BB683" s="616"/>
      <c r="BC683" s="616"/>
      <c r="BD683" s="612"/>
      <c r="BE683" s="614"/>
      <c r="BF683" s="616"/>
      <c r="BG683" s="616"/>
      <c r="BH683" s="616"/>
      <c r="BI683" s="616"/>
      <c r="BJ683" s="616"/>
      <c r="BK683" s="1023"/>
      <c r="BL683" s="658"/>
    </row>
    <row r="684" spans="2:64">
      <c r="B684" s="1022"/>
      <c r="C684" s="607"/>
      <c r="D684" s="607"/>
      <c r="E684" s="1021"/>
      <c r="F684" s="608">
        <v>681</v>
      </c>
      <c r="G684" s="609"/>
      <c r="H684" s="610"/>
      <c r="I684" s="611"/>
      <c r="J684" s="166">
        <f t="shared" si="461"/>
        <v>0</v>
      </c>
      <c r="K684" s="167">
        <f t="shared" si="462"/>
        <v>0</v>
      </c>
      <c r="L684" s="168">
        <f t="shared" si="463"/>
        <v>0</v>
      </c>
      <c r="M684" s="166">
        <f t="shared" si="464"/>
        <v>0</v>
      </c>
      <c r="N684" s="167">
        <f t="shared" si="465"/>
        <v>0</v>
      </c>
      <c r="O684" s="168">
        <f t="shared" si="466"/>
        <v>0</v>
      </c>
      <c r="P684" s="169">
        <f t="shared" si="467"/>
        <v>0</v>
      </c>
      <c r="Q684" s="169">
        <f t="shared" si="468"/>
        <v>0</v>
      </c>
      <c r="R684" s="169">
        <f t="shared" si="469"/>
        <v>0</v>
      </c>
      <c r="S684" s="584">
        <f t="shared" si="470"/>
        <v>0</v>
      </c>
      <c r="T684" s="594">
        <f t="shared" si="471"/>
        <v>0</v>
      </c>
      <c r="U684" s="595">
        <f t="shared" si="472"/>
        <v>0</v>
      </c>
      <c r="V684" s="166">
        <f t="shared" si="473"/>
        <v>0</v>
      </c>
      <c r="W684" s="167">
        <f t="shared" si="474"/>
        <v>0</v>
      </c>
      <c r="X684" s="168">
        <f t="shared" si="475"/>
        <v>0</v>
      </c>
      <c r="Y684" s="166">
        <f t="shared" si="476"/>
        <v>0</v>
      </c>
      <c r="Z684" s="167">
        <f t="shared" si="477"/>
        <v>0</v>
      </c>
      <c r="AA684" s="168">
        <f t="shared" si="478"/>
        <v>0</v>
      </c>
      <c r="AB684" s="166">
        <f t="shared" si="479"/>
        <v>0</v>
      </c>
      <c r="AC684" s="167">
        <f t="shared" si="480"/>
        <v>0</v>
      </c>
      <c r="AD684" s="168">
        <f t="shared" si="481"/>
        <v>0</v>
      </c>
      <c r="AE684" s="166">
        <f t="shared" si="482"/>
        <v>0</v>
      </c>
      <c r="AF684" s="167">
        <f t="shared" si="483"/>
        <v>0</v>
      </c>
      <c r="AG684" s="168">
        <f t="shared" si="484"/>
        <v>0</v>
      </c>
      <c r="AH684" s="166">
        <f t="shared" si="485"/>
        <v>0</v>
      </c>
      <c r="AI684" s="167">
        <f t="shared" si="486"/>
        <v>0</v>
      </c>
      <c r="AJ684" s="168">
        <f t="shared" si="487"/>
        <v>0</v>
      </c>
      <c r="AK684" s="169">
        <f t="shared" si="488"/>
        <v>0</v>
      </c>
      <c r="AL684" s="167">
        <f t="shared" si="489"/>
        <v>0</v>
      </c>
      <c r="AM684" s="585">
        <f t="shared" si="490"/>
        <v>0</v>
      </c>
      <c r="AN684" s="614"/>
      <c r="AO684" s="615"/>
      <c r="AP684" s="615"/>
      <c r="AQ684" s="616"/>
      <c r="AR684" s="612"/>
      <c r="AS684" s="617"/>
      <c r="AT684" s="618"/>
      <c r="AU684" s="618"/>
      <c r="AV684" s="618"/>
      <c r="AW684" s="619"/>
      <c r="AX684" s="614"/>
      <c r="AY684" s="616"/>
      <c r="AZ684" s="616"/>
      <c r="BA684" s="616"/>
      <c r="BB684" s="616"/>
      <c r="BC684" s="616"/>
      <c r="BD684" s="612"/>
      <c r="BE684" s="614"/>
      <c r="BF684" s="616"/>
      <c r="BG684" s="616"/>
      <c r="BH684" s="616"/>
      <c r="BI684" s="616"/>
      <c r="BJ684" s="616"/>
      <c r="BK684" s="1023"/>
      <c r="BL684" s="658"/>
    </row>
    <row r="685" spans="2:64">
      <c r="B685" s="1022"/>
      <c r="C685" s="607"/>
      <c r="D685" s="607"/>
      <c r="E685" s="1021"/>
      <c r="F685" s="1019">
        <v>682</v>
      </c>
      <c r="G685" s="609"/>
      <c r="H685" s="610"/>
      <c r="I685" s="611"/>
      <c r="J685" s="166">
        <f t="shared" si="461"/>
        <v>0</v>
      </c>
      <c r="K685" s="167">
        <f t="shared" si="462"/>
        <v>0</v>
      </c>
      <c r="L685" s="168">
        <f t="shared" si="463"/>
        <v>0</v>
      </c>
      <c r="M685" s="166">
        <f t="shared" si="464"/>
        <v>0</v>
      </c>
      <c r="N685" s="167">
        <f t="shared" si="465"/>
        <v>0</v>
      </c>
      <c r="O685" s="168">
        <f t="shared" si="466"/>
        <v>0</v>
      </c>
      <c r="P685" s="169">
        <f t="shared" si="467"/>
        <v>0</v>
      </c>
      <c r="Q685" s="169">
        <f t="shared" si="468"/>
        <v>0</v>
      </c>
      <c r="R685" s="169">
        <f t="shared" si="469"/>
        <v>0</v>
      </c>
      <c r="S685" s="584">
        <f t="shared" si="470"/>
        <v>0</v>
      </c>
      <c r="T685" s="594">
        <f t="shared" si="471"/>
        <v>0</v>
      </c>
      <c r="U685" s="595">
        <f t="shared" si="472"/>
        <v>0</v>
      </c>
      <c r="V685" s="166">
        <f t="shared" si="473"/>
        <v>0</v>
      </c>
      <c r="W685" s="167">
        <f t="shared" si="474"/>
        <v>0</v>
      </c>
      <c r="X685" s="168">
        <f t="shared" si="475"/>
        <v>0</v>
      </c>
      <c r="Y685" s="166">
        <f t="shared" si="476"/>
        <v>0</v>
      </c>
      <c r="Z685" s="167">
        <f t="shared" si="477"/>
        <v>0</v>
      </c>
      <c r="AA685" s="168">
        <f t="shared" si="478"/>
        <v>0</v>
      </c>
      <c r="AB685" s="166">
        <f t="shared" si="479"/>
        <v>0</v>
      </c>
      <c r="AC685" s="167">
        <f t="shared" si="480"/>
        <v>0</v>
      </c>
      <c r="AD685" s="168">
        <f t="shared" si="481"/>
        <v>0</v>
      </c>
      <c r="AE685" s="166">
        <f t="shared" si="482"/>
        <v>0</v>
      </c>
      <c r="AF685" s="167">
        <f t="shared" si="483"/>
        <v>0</v>
      </c>
      <c r="AG685" s="168">
        <f t="shared" si="484"/>
        <v>0</v>
      </c>
      <c r="AH685" s="166">
        <f t="shared" si="485"/>
        <v>0</v>
      </c>
      <c r="AI685" s="167">
        <f t="shared" si="486"/>
        <v>0</v>
      </c>
      <c r="AJ685" s="168">
        <f t="shared" si="487"/>
        <v>0</v>
      </c>
      <c r="AK685" s="169">
        <f t="shared" si="488"/>
        <v>0</v>
      </c>
      <c r="AL685" s="167">
        <f t="shared" si="489"/>
        <v>0</v>
      </c>
      <c r="AM685" s="585">
        <f t="shared" si="490"/>
        <v>0</v>
      </c>
      <c r="AN685" s="614"/>
      <c r="AO685" s="615"/>
      <c r="AP685" s="615"/>
      <c r="AQ685" s="616"/>
      <c r="AR685" s="612"/>
      <c r="AS685" s="617"/>
      <c r="AT685" s="618"/>
      <c r="AU685" s="618"/>
      <c r="AV685" s="618"/>
      <c r="AW685" s="619"/>
      <c r="AX685" s="614"/>
      <c r="AY685" s="616"/>
      <c r="AZ685" s="616"/>
      <c r="BA685" s="616"/>
      <c r="BB685" s="616"/>
      <c r="BC685" s="616"/>
      <c r="BD685" s="612"/>
      <c r="BE685" s="614"/>
      <c r="BF685" s="616"/>
      <c r="BG685" s="616"/>
      <c r="BH685" s="616"/>
      <c r="BI685" s="616"/>
      <c r="BJ685" s="616"/>
      <c r="BK685" s="1023"/>
      <c r="BL685" s="658"/>
    </row>
    <row r="686" spans="2:64">
      <c r="B686" s="1022"/>
      <c r="C686" s="607"/>
      <c r="D686" s="607"/>
      <c r="E686" s="1021"/>
      <c r="F686" s="608">
        <v>683</v>
      </c>
      <c r="G686" s="609"/>
      <c r="H686" s="610"/>
      <c r="I686" s="611"/>
      <c r="J686" s="166">
        <f t="shared" si="461"/>
        <v>0</v>
      </c>
      <c r="K686" s="167">
        <f t="shared" si="462"/>
        <v>0</v>
      </c>
      <c r="L686" s="168">
        <f t="shared" si="463"/>
        <v>0</v>
      </c>
      <c r="M686" s="166">
        <f t="shared" si="464"/>
        <v>0</v>
      </c>
      <c r="N686" s="167">
        <f t="shared" si="465"/>
        <v>0</v>
      </c>
      <c r="O686" s="168">
        <f t="shared" si="466"/>
        <v>0</v>
      </c>
      <c r="P686" s="169">
        <f t="shared" si="467"/>
        <v>0</v>
      </c>
      <c r="Q686" s="169">
        <f t="shared" si="468"/>
        <v>0</v>
      </c>
      <c r="R686" s="169">
        <f t="shared" si="469"/>
        <v>0</v>
      </c>
      <c r="S686" s="584">
        <f t="shared" si="470"/>
        <v>0</v>
      </c>
      <c r="T686" s="594">
        <f t="shared" si="471"/>
        <v>0</v>
      </c>
      <c r="U686" s="595">
        <f t="shared" si="472"/>
        <v>0</v>
      </c>
      <c r="V686" s="166">
        <f t="shared" si="473"/>
        <v>0</v>
      </c>
      <c r="W686" s="167">
        <f t="shared" si="474"/>
        <v>0</v>
      </c>
      <c r="X686" s="168">
        <f t="shared" si="475"/>
        <v>0</v>
      </c>
      <c r="Y686" s="166">
        <f t="shared" si="476"/>
        <v>0</v>
      </c>
      <c r="Z686" s="167">
        <f t="shared" si="477"/>
        <v>0</v>
      </c>
      <c r="AA686" s="168">
        <f t="shared" si="478"/>
        <v>0</v>
      </c>
      <c r="AB686" s="166">
        <f t="shared" si="479"/>
        <v>0</v>
      </c>
      <c r="AC686" s="167">
        <f t="shared" si="480"/>
        <v>0</v>
      </c>
      <c r="AD686" s="168">
        <f t="shared" si="481"/>
        <v>0</v>
      </c>
      <c r="AE686" s="166">
        <f t="shared" si="482"/>
        <v>0</v>
      </c>
      <c r="AF686" s="167">
        <f t="shared" si="483"/>
        <v>0</v>
      </c>
      <c r="AG686" s="168">
        <f t="shared" si="484"/>
        <v>0</v>
      </c>
      <c r="AH686" s="166">
        <f t="shared" si="485"/>
        <v>0</v>
      </c>
      <c r="AI686" s="167">
        <f t="shared" si="486"/>
        <v>0</v>
      </c>
      <c r="AJ686" s="168">
        <f t="shared" si="487"/>
        <v>0</v>
      </c>
      <c r="AK686" s="169">
        <f t="shared" si="488"/>
        <v>0</v>
      </c>
      <c r="AL686" s="167">
        <f t="shared" si="489"/>
        <v>0</v>
      </c>
      <c r="AM686" s="585">
        <f t="shared" si="490"/>
        <v>0</v>
      </c>
      <c r="AN686" s="614"/>
      <c r="AO686" s="615"/>
      <c r="AP686" s="615"/>
      <c r="AQ686" s="616"/>
      <c r="AR686" s="612"/>
      <c r="AS686" s="617"/>
      <c r="AT686" s="618"/>
      <c r="AU686" s="618"/>
      <c r="AV686" s="618"/>
      <c r="AW686" s="619"/>
      <c r="AX686" s="614"/>
      <c r="AY686" s="616"/>
      <c r="AZ686" s="616"/>
      <c r="BA686" s="616"/>
      <c r="BB686" s="616"/>
      <c r="BC686" s="616"/>
      <c r="BD686" s="612"/>
      <c r="BE686" s="614"/>
      <c r="BF686" s="616"/>
      <c r="BG686" s="616"/>
      <c r="BH686" s="616"/>
      <c r="BI686" s="616"/>
      <c r="BJ686" s="616"/>
      <c r="BK686" s="1023"/>
      <c r="BL686" s="658"/>
    </row>
    <row r="687" spans="2:64">
      <c r="B687" s="1022"/>
      <c r="C687" s="607"/>
      <c r="D687" s="607"/>
      <c r="E687" s="1021"/>
      <c r="F687" s="1019">
        <v>684</v>
      </c>
      <c r="G687" s="609"/>
      <c r="H687" s="610"/>
      <c r="I687" s="611"/>
      <c r="J687" s="166">
        <f t="shared" si="461"/>
        <v>0</v>
      </c>
      <c r="K687" s="167">
        <f t="shared" si="462"/>
        <v>0</v>
      </c>
      <c r="L687" s="168">
        <f t="shared" si="463"/>
        <v>0</v>
      </c>
      <c r="M687" s="166">
        <f t="shared" si="464"/>
        <v>0</v>
      </c>
      <c r="N687" s="167">
        <f t="shared" si="465"/>
        <v>0</v>
      </c>
      <c r="O687" s="168">
        <f t="shared" si="466"/>
        <v>0</v>
      </c>
      <c r="P687" s="169">
        <f t="shared" si="467"/>
        <v>0</v>
      </c>
      <c r="Q687" s="169">
        <f t="shared" si="468"/>
        <v>0</v>
      </c>
      <c r="R687" s="169">
        <f t="shared" si="469"/>
        <v>0</v>
      </c>
      <c r="S687" s="584">
        <f t="shared" si="470"/>
        <v>0</v>
      </c>
      <c r="T687" s="594">
        <f t="shared" si="471"/>
        <v>0</v>
      </c>
      <c r="U687" s="595">
        <f t="shared" si="472"/>
        <v>0</v>
      </c>
      <c r="V687" s="166">
        <f t="shared" si="473"/>
        <v>0</v>
      </c>
      <c r="W687" s="167">
        <f t="shared" si="474"/>
        <v>0</v>
      </c>
      <c r="X687" s="168">
        <f t="shared" si="475"/>
        <v>0</v>
      </c>
      <c r="Y687" s="166">
        <f t="shared" si="476"/>
        <v>0</v>
      </c>
      <c r="Z687" s="167">
        <f t="shared" si="477"/>
        <v>0</v>
      </c>
      <c r="AA687" s="168">
        <f t="shared" si="478"/>
        <v>0</v>
      </c>
      <c r="AB687" s="166">
        <f t="shared" si="479"/>
        <v>0</v>
      </c>
      <c r="AC687" s="167">
        <f t="shared" si="480"/>
        <v>0</v>
      </c>
      <c r="AD687" s="168">
        <f t="shared" si="481"/>
        <v>0</v>
      </c>
      <c r="AE687" s="166">
        <f t="shared" si="482"/>
        <v>0</v>
      </c>
      <c r="AF687" s="167">
        <f t="shared" si="483"/>
        <v>0</v>
      </c>
      <c r="AG687" s="168">
        <f t="shared" si="484"/>
        <v>0</v>
      </c>
      <c r="AH687" s="166">
        <f t="shared" si="485"/>
        <v>0</v>
      </c>
      <c r="AI687" s="167">
        <f t="shared" si="486"/>
        <v>0</v>
      </c>
      <c r="AJ687" s="168">
        <f t="shared" si="487"/>
        <v>0</v>
      </c>
      <c r="AK687" s="169">
        <f t="shared" si="488"/>
        <v>0</v>
      </c>
      <c r="AL687" s="167">
        <f t="shared" si="489"/>
        <v>0</v>
      </c>
      <c r="AM687" s="585">
        <f t="shared" si="490"/>
        <v>0</v>
      </c>
      <c r="AN687" s="614"/>
      <c r="AO687" s="615"/>
      <c r="AP687" s="615"/>
      <c r="AQ687" s="616"/>
      <c r="AR687" s="612"/>
      <c r="AS687" s="617"/>
      <c r="AT687" s="618"/>
      <c r="AU687" s="618"/>
      <c r="AV687" s="618"/>
      <c r="AW687" s="619"/>
      <c r="AX687" s="614"/>
      <c r="AY687" s="616"/>
      <c r="AZ687" s="616"/>
      <c r="BA687" s="616"/>
      <c r="BB687" s="616"/>
      <c r="BC687" s="616"/>
      <c r="BD687" s="612"/>
      <c r="BE687" s="614"/>
      <c r="BF687" s="616"/>
      <c r="BG687" s="616"/>
      <c r="BH687" s="616"/>
      <c r="BI687" s="616"/>
      <c r="BJ687" s="616"/>
      <c r="BK687" s="1023"/>
      <c r="BL687" s="658"/>
    </row>
    <row r="688" spans="2:64">
      <c r="B688" s="1022"/>
      <c r="C688" s="607"/>
      <c r="D688" s="607"/>
      <c r="E688" s="1021"/>
      <c r="F688" s="608">
        <v>685</v>
      </c>
      <c r="G688" s="609"/>
      <c r="H688" s="610"/>
      <c r="I688" s="611"/>
      <c r="J688" s="166">
        <f t="shared" si="461"/>
        <v>0</v>
      </c>
      <c r="K688" s="167">
        <f t="shared" si="462"/>
        <v>0</v>
      </c>
      <c r="L688" s="168">
        <f t="shared" si="463"/>
        <v>0</v>
      </c>
      <c r="M688" s="166">
        <f t="shared" si="464"/>
        <v>0</v>
      </c>
      <c r="N688" s="167">
        <f t="shared" si="465"/>
        <v>0</v>
      </c>
      <c r="O688" s="168">
        <f t="shared" si="466"/>
        <v>0</v>
      </c>
      <c r="P688" s="169">
        <f t="shared" si="467"/>
        <v>0</v>
      </c>
      <c r="Q688" s="169">
        <f t="shared" si="468"/>
        <v>0</v>
      </c>
      <c r="R688" s="169">
        <f t="shared" si="469"/>
        <v>0</v>
      </c>
      <c r="S688" s="584">
        <f t="shared" si="470"/>
        <v>0</v>
      </c>
      <c r="T688" s="594">
        <f t="shared" si="471"/>
        <v>0</v>
      </c>
      <c r="U688" s="595">
        <f t="shared" si="472"/>
        <v>0</v>
      </c>
      <c r="V688" s="166">
        <f t="shared" si="473"/>
        <v>0</v>
      </c>
      <c r="W688" s="167">
        <f t="shared" si="474"/>
        <v>0</v>
      </c>
      <c r="X688" s="168">
        <f t="shared" si="475"/>
        <v>0</v>
      </c>
      <c r="Y688" s="166">
        <f t="shared" si="476"/>
        <v>0</v>
      </c>
      <c r="Z688" s="167">
        <f t="shared" si="477"/>
        <v>0</v>
      </c>
      <c r="AA688" s="168">
        <f t="shared" si="478"/>
        <v>0</v>
      </c>
      <c r="AB688" s="166">
        <f t="shared" si="479"/>
        <v>0</v>
      </c>
      <c r="AC688" s="167">
        <f t="shared" si="480"/>
        <v>0</v>
      </c>
      <c r="AD688" s="168">
        <f t="shared" si="481"/>
        <v>0</v>
      </c>
      <c r="AE688" s="166">
        <f t="shared" si="482"/>
        <v>0</v>
      </c>
      <c r="AF688" s="167">
        <f t="shared" si="483"/>
        <v>0</v>
      </c>
      <c r="AG688" s="168">
        <f t="shared" si="484"/>
        <v>0</v>
      </c>
      <c r="AH688" s="166">
        <f t="shared" si="485"/>
        <v>0</v>
      </c>
      <c r="AI688" s="167">
        <f t="shared" si="486"/>
        <v>0</v>
      </c>
      <c r="AJ688" s="168">
        <f t="shared" si="487"/>
        <v>0</v>
      </c>
      <c r="AK688" s="169">
        <f t="shared" si="488"/>
        <v>0</v>
      </c>
      <c r="AL688" s="167">
        <f t="shared" si="489"/>
        <v>0</v>
      </c>
      <c r="AM688" s="585">
        <f t="shared" si="490"/>
        <v>0</v>
      </c>
      <c r="AN688" s="614"/>
      <c r="AO688" s="615"/>
      <c r="AP688" s="615"/>
      <c r="AQ688" s="616"/>
      <c r="AR688" s="612"/>
      <c r="AS688" s="617"/>
      <c r="AT688" s="618"/>
      <c r="AU688" s="618"/>
      <c r="AV688" s="618"/>
      <c r="AW688" s="619"/>
      <c r="AX688" s="614"/>
      <c r="AY688" s="616"/>
      <c r="AZ688" s="616"/>
      <c r="BA688" s="616"/>
      <c r="BB688" s="616"/>
      <c r="BC688" s="616"/>
      <c r="BD688" s="612"/>
      <c r="BE688" s="614"/>
      <c r="BF688" s="616"/>
      <c r="BG688" s="616"/>
      <c r="BH688" s="616"/>
      <c r="BI688" s="616"/>
      <c r="BJ688" s="616"/>
      <c r="BK688" s="1023"/>
      <c r="BL688" s="658"/>
    </row>
    <row r="689" spans="2:64">
      <c r="B689" s="1022"/>
      <c r="C689" s="607"/>
      <c r="D689" s="607"/>
      <c r="E689" s="1021"/>
      <c r="F689" s="1019">
        <v>686</v>
      </c>
      <c r="G689" s="609"/>
      <c r="H689" s="610"/>
      <c r="I689" s="611"/>
      <c r="J689" s="166">
        <f t="shared" si="461"/>
        <v>0</v>
      </c>
      <c r="K689" s="167">
        <f t="shared" si="462"/>
        <v>0</v>
      </c>
      <c r="L689" s="168">
        <f t="shared" si="463"/>
        <v>0</v>
      </c>
      <c r="M689" s="166">
        <f t="shared" si="464"/>
        <v>0</v>
      </c>
      <c r="N689" s="167">
        <f t="shared" si="465"/>
        <v>0</v>
      </c>
      <c r="O689" s="168">
        <f t="shared" si="466"/>
        <v>0</v>
      </c>
      <c r="P689" s="169">
        <f t="shared" si="467"/>
        <v>0</v>
      </c>
      <c r="Q689" s="169">
        <f t="shared" si="468"/>
        <v>0</v>
      </c>
      <c r="R689" s="169">
        <f t="shared" si="469"/>
        <v>0</v>
      </c>
      <c r="S689" s="584">
        <f t="shared" si="470"/>
        <v>0</v>
      </c>
      <c r="T689" s="594">
        <f t="shared" si="471"/>
        <v>0</v>
      </c>
      <c r="U689" s="595">
        <f t="shared" si="472"/>
        <v>0</v>
      </c>
      <c r="V689" s="166">
        <f t="shared" si="473"/>
        <v>0</v>
      </c>
      <c r="W689" s="167">
        <f t="shared" si="474"/>
        <v>0</v>
      </c>
      <c r="X689" s="168">
        <f t="shared" si="475"/>
        <v>0</v>
      </c>
      <c r="Y689" s="166">
        <f t="shared" si="476"/>
        <v>0</v>
      </c>
      <c r="Z689" s="167">
        <f t="shared" si="477"/>
        <v>0</v>
      </c>
      <c r="AA689" s="168">
        <f t="shared" si="478"/>
        <v>0</v>
      </c>
      <c r="AB689" s="166">
        <f t="shared" si="479"/>
        <v>0</v>
      </c>
      <c r="AC689" s="167">
        <f t="shared" si="480"/>
        <v>0</v>
      </c>
      <c r="AD689" s="168">
        <f t="shared" si="481"/>
        <v>0</v>
      </c>
      <c r="AE689" s="166">
        <f t="shared" si="482"/>
        <v>0</v>
      </c>
      <c r="AF689" s="167">
        <f t="shared" si="483"/>
        <v>0</v>
      </c>
      <c r="AG689" s="168">
        <f t="shared" si="484"/>
        <v>0</v>
      </c>
      <c r="AH689" s="166">
        <f t="shared" si="485"/>
        <v>0</v>
      </c>
      <c r="AI689" s="167">
        <f t="shared" si="486"/>
        <v>0</v>
      </c>
      <c r="AJ689" s="168">
        <f t="shared" si="487"/>
        <v>0</v>
      </c>
      <c r="AK689" s="169">
        <f t="shared" si="488"/>
        <v>0</v>
      </c>
      <c r="AL689" s="167">
        <f t="shared" si="489"/>
        <v>0</v>
      </c>
      <c r="AM689" s="585">
        <f t="shared" si="490"/>
        <v>0</v>
      </c>
      <c r="AN689" s="614"/>
      <c r="AO689" s="615"/>
      <c r="AP689" s="615"/>
      <c r="AQ689" s="616"/>
      <c r="AR689" s="612"/>
      <c r="AS689" s="617"/>
      <c r="AT689" s="618"/>
      <c r="AU689" s="618"/>
      <c r="AV689" s="618"/>
      <c r="AW689" s="619"/>
      <c r="AX689" s="614"/>
      <c r="AY689" s="616"/>
      <c r="AZ689" s="616"/>
      <c r="BA689" s="616"/>
      <c r="BB689" s="616"/>
      <c r="BC689" s="616"/>
      <c r="BD689" s="612"/>
      <c r="BE689" s="614"/>
      <c r="BF689" s="616"/>
      <c r="BG689" s="616"/>
      <c r="BH689" s="616"/>
      <c r="BI689" s="616"/>
      <c r="BJ689" s="616"/>
      <c r="BK689" s="1023"/>
      <c r="BL689" s="658"/>
    </row>
    <row r="690" spans="2:64">
      <c r="B690" s="1022"/>
      <c r="C690" s="607"/>
      <c r="D690" s="607"/>
      <c r="E690" s="1021"/>
      <c r="F690" s="608">
        <v>687</v>
      </c>
      <c r="G690" s="609"/>
      <c r="H690" s="610"/>
      <c r="I690" s="611"/>
      <c r="J690" s="166">
        <f t="shared" si="461"/>
        <v>0</v>
      </c>
      <c r="K690" s="167">
        <f t="shared" si="462"/>
        <v>0</v>
      </c>
      <c r="L690" s="168">
        <f t="shared" si="463"/>
        <v>0</v>
      </c>
      <c r="M690" s="166">
        <f t="shared" si="464"/>
        <v>0</v>
      </c>
      <c r="N690" s="167">
        <f t="shared" si="465"/>
        <v>0</v>
      </c>
      <c r="O690" s="168">
        <f t="shared" si="466"/>
        <v>0</v>
      </c>
      <c r="P690" s="169">
        <f t="shared" si="467"/>
        <v>0</v>
      </c>
      <c r="Q690" s="169">
        <f t="shared" si="468"/>
        <v>0</v>
      </c>
      <c r="R690" s="169">
        <f t="shared" si="469"/>
        <v>0</v>
      </c>
      <c r="S690" s="584">
        <f t="shared" si="470"/>
        <v>0</v>
      </c>
      <c r="T690" s="594">
        <f t="shared" si="471"/>
        <v>0</v>
      </c>
      <c r="U690" s="595">
        <f t="shared" si="472"/>
        <v>0</v>
      </c>
      <c r="V690" s="166">
        <f t="shared" si="473"/>
        <v>0</v>
      </c>
      <c r="W690" s="167">
        <f t="shared" si="474"/>
        <v>0</v>
      </c>
      <c r="X690" s="168">
        <f t="shared" si="475"/>
        <v>0</v>
      </c>
      <c r="Y690" s="166">
        <f t="shared" si="476"/>
        <v>0</v>
      </c>
      <c r="Z690" s="167">
        <f t="shared" si="477"/>
        <v>0</v>
      </c>
      <c r="AA690" s="168">
        <f t="shared" si="478"/>
        <v>0</v>
      </c>
      <c r="AB690" s="166">
        <f t="shared" si="479"/>
        <v>0</v>
      </c>
      <c r="AC690" s="167">
        <f t="shared" si="480"/>
        <v>0</v>
      </c>
      <c r="AD690" s="168">
        <f t="shared" si="481"/>
        <v>0</v>
      </c>
      <c r="AE690" s="166">
        <f t="shared" si="482"/>
        <v>0</v>
      </c>
      <c r="AF690" s="167">
        <f t="shared" si="483"/>
        <v>0</v>
      </c>
      <c r="AG690" s="168">
        <f t="shared" si="484"/>
        <v>0</v>
      </c>
      <c r="AH690" s="166">
        <f t="shared" si="485"/>
        <v>0</v>
      </c>
      <c r="AI690" s="167">
        <f t="shared" si="486"/>
        <v>0</v>
      </c>
      <c r="AJ690" s="168">
        <f t="shared" si="487"/>
        <v>0</v>
      </c>
      <c r="AK690" s="169">
        <f t="shared" si="488"/>
        <v>0</v>
      </c>
      <c r="AL690" s="167">
        <f t="shared" si="489"/>
        <v>0</v>
      </c>
      <c r="AM690" s="585">
        <f t="shared" si="490"/>
        <v>0</v>
      </c>
      <c r="AN690" s="614"/>
      <c r="AO690" s="615"/>
      <c r="AP690" s="615"/>
      <c r="AQ690" s="616"/>
      <c r="AR690" s="612"/>
      <c r="AS690" s="617"/>
      <c r="AT690" s="618"/>
      <c r="AU690" s="618"/>
      <c r="AV690" s="618"/>
      <c r="AW690" s="619"/>
      <c r="AX690" s="614"/>
      <c r="AY690" s="616"/>
      <c r="AZ690" s="616"/>
      <c r="BA690" s="616"/>
      <c r="BB690" s="616"/>
      <c r="BC690" s="616"/>
      <c r="BD690" s="612"/>
      <c r="BE690" s="614"/>
      <c r="BF690" s="616"/>
      <c r="BG690" s="616"/>
      <c r="BH690" s="616"/>
      <c r="BI690" s="616"/>
      <c r="BJ690" s="616"/>
      <c r="BK690" s="1023"/>
      <c r="BL690" s="658"/>
    </row>
    <row r="691" spans="2:64">
      <c r="B691" s="1022"/>
      <c r="C691" s="607"/>
      <c r="D691" s="607"/>
      <c r="E691" s="1021"/>
      <c r="F691" s="1019">
        <v>688</v>
      </c>
      <c r="G691" s="609"/>
      <c r="H691" s="610"/>
      <c r="I691" s="611"/>
      <c r="J691" s="166">
        <f t="shared" si="461"/>
        <v>0</v>
      </c>
      <c r="K691" s="167">
        <f t="shared" si="462"/>
        <v>0</v>
      </c>
      <c r="L691" s="168">
        <f t="shared" si="463"/>
        <v>0</v>
      </c>
      <c r="M691" s="166">
        <f t="shared" si="464"/>
        <v>0</v>
      </c>
      <c r="N691" s="167">
        <f t="shared" si="465"/>
        <v>0</v>
      </c>
      <c r="O691" s="168">
        <f t="shared" si="466"/>
        <v>0</v>
      </c>
      <c r="P691" s="169">
        <f t="shared" si="467"/>
        <v>0</v>
      </c>
      <c r="Q691" s="169">
        <f t="shared" si="468"/>
        <v>0</v>
      </c>
      <c r="R691" s="169">
        <f t="shared" si="469"/>
        <v>0</v>
      </c>
      <c r="S691" s="584">
        <f t="shared" si="470"/>
        <v>0</v>
      </c>
      <c r="T691" s="594">
        <f t="shared" si="471"/>
        <v>0</v>
      </c>
      <c r="U691" s="595">
        <f t="shared" si="472"/>
        <v>0</v>
      </c>
      <c r="V691" s="166">
        <f t="shared" si="473"/>
        <v>0</v>
      </c>
      <c r="W691" s="167">
        <f t="shared" si="474"/>
        <v>0</v>
      </c>
      <c r="X691" s="168">
        <f t="shared" si="475"/>
        <v>0</v>
      </c>
      <c r="Y691" s="166">
        <f t="shared" si="476"/>
        <v>0</v>
      </c>
      <c r="Z691" s="167">
        <f t="shared" si="477"/>
        <v>0</v>
      </c>
      <c r="AA691" s="168">
        <f t="shared" si="478"/>
        <v>0</v>
      </c>
      <c r="AB691" s="166">
        <f t="shared" si="479"/>
        <v>0</v>
      </c>
      <c r="AC691" s="167">
        <f t="shared" si="480"/>
        <v>0</v>
      </c>
      <c r="AD691" s="168">
        <f t="shared" si="481"/>
        <v>0</v>
      </c>
      <c r="AE691" s="166">
        <f t="shared" si="482"/>
        <v>0</v>
      </c>
      <c r="AF691" s="167">
        <f t="shared" si="483"/>
        <v>0</v>
      </c>
      <c r="AG691" s="168">
        <f t="shared" si="484"/>
        <v>0</v>
      </c>
      <c r="AH691" s="166">
        <f t="shared" si="485"/>
        <v>0</v>
      </c>
      <c r="AI691" s="167">
        <f t="shared" si="486"/>
        <v>0</v>
      </c>
      <c r="AJ691" s="168">
        <f t="shared" si="487"/>
        <v>0</v>
      </c>
      <c r="AK691" s="169">
        <f t="shared" si="488"/>
        <v>0</v>
      </c>
      <c r="AL691" s="167">
        <f t="shared" si="489"/>
        <v>0</v>
      </c>
      <c r="AM691" s="585">
        <f t="shared" si="490"/>
        <v>0</v>
      </c>
      <c r="AN691" s="614"/>
      <c r="AO691" s="615"/>
      <c r="AP691" s="615"/>
      <c r="AQ691" s="616"/>
      <c r="AR691" s="612"/>
      <c r="AS691" s="617"/>
      <c r="AT691" s="618"/>
      <c r="AU691" s="618"/>
      <c r="AV691" s="618"/>
      <c r="AW691" s="619"/>
      <c r="AX691" s="614"/>
      <c r="AY691" s="616"/>
      <c r="AZ691" s="616"/>
      <c r="BA691" s="616"/>
      <c r="BB691" s="616"/>
      <c r="BC691" s="616"/>
      <c r="BD691" s="612"/>
      <c r="BE691" s="614"/>
      <c r="BF691" s="616"/>
      <c r="BG691" s="616"/>
      <c r="BH691" s="616"/>
      <c r="BI691" s="616"/>
      <c r="BJ691" s="616"/>
      <c r="BK691" s="1023"/>
      <c r="BL691" s="658"/>
    </row>
    <row r="692" spans="2:64">
      <c r="B692" s="1022"/>
      <c r="C692" s="607"/>
      <c r="D692" s="607"/>
      <c r="E692" s="1021"/>
      <c r="F692" s="608">
        <v>689</v>
      </c>
      <c r="G692" s="609"/>
      <c r="H692" s="610"/>
      <c r="I692" s="611"/>
      <c r="J692" s="166">
        <f t="shared" si="461"/>
        <v>0</v>
      </c>
      <c r="K692" s="167">
        <f t="shared" si="462"/>
        <v>0</v>
      </c>
      <c r="L692" s="168">
        <f t="shared" si="463"/>
        <v>0</v>
      </c>
      <c r="M692" s="166">
        <f t="shared" si="464"/>
        <v>0</v>
      </c>
      <c r="N692" s="167">
        <f t="shared" si="465"/>
        <v>0</v>
      </c>
      <c r="O692" s="168">
        <f t="shared" si="466"/>
        <v>0</v>
      </c>
      <c r="P692" s="169">
        <f t="shared" si="467"/>
        <v>0</v>
      </c>
      <c r="Q692" s="169">
        <f t="shared" si="468"/>
        <v>0</v>
      </c>
      <c r="R692" s="169">
        <f t="shared" si="469"/>
        <v>0</v>
      </c>
      <c r="S692" s="584">
        <f t="shared" si="470"/>
        <v>0</v>
      </c>
      <c r="T692" s="594">
        <f t="shared" si="471"/>
        <v>0</v>
      </c>
      <c r="U692" s="595">
        <f t="shared" si="472"/>
        <v>0</v>
      </c>
      <c r="V692" s="166">
        <f t="shared" si="473"/>
        <v>0</v>
      </c>
      <c r="W692" s="167">
        <f t="shared" si="474"/>
        <v>0</v>
      </c>
      <c r="X692" s="168">
        <f t="shared" si="475"/>
        <v>0</v>
      </c>
      <c r="Y692" s="166">
        <f t="shared" si="476"/>
        <v>0</v>
      </c>
      <c r="Z692" s="167">
        <f t="shared" si="477"/>
        <v>0</v>
      </c>
      <c r="AA692" s="168">
        <f t="shared" si="478"/>
        <v>0</v>
      </c>
      <c r="AB692" s="166">
        <f t="shared" si="479"/>
        <v>0</v>
      </c>
      <c r="AC692" s="167">
        <f t="shared" si="480"/>
        <v>0</v>
      </c>
      <c r="AD692" s="168">
        <f t="shared" si="481"/>
        <v>0</v>
      </c>
      <c r="AE692" s="166">
        <f t="shared" si="482"/>
        <v>0</v>
      </c>
      <c r="AF692" s="167">
        <f t="shared" si="483"/>
        <v>0</v>
      </c>
      <c r="AG692" s="168">
        <f t="shared" si="484"/>
        <v>0</v>
      </c>
      <c r="AH692" s="166">
        <f t="shared" si="485"/>
        <v>0</v>
      </c>
      <c r="AI692" s="167">
        <f t="shared" si="486"/>
        <v>0</v>
      </c>
      <c r="AJ692" s="168">
        <f t="shared" si="487"/>
        <v>0</v>
      </c>
      <c r="AK692" s="169">
        <f t="shared" si="488"/>
        <v>0</v>
      </c>
      <c r="AL692" s="167">
        <f t="shared" si="489"/>
        <v>0</v>
      </c>
      <c r="AM692" s="585">
        <f t="shared" si="490"/>
        <v>0</v>
      </c>
      <c r="AN692" s="614"/>
      <c r="AO692" s="615"/>
      <c r="AP692" s="615"/>
      <c r="AQ692" s="616"/>
      <c r="AR692" s="612"/>
      <c r="AS692" s="617"/>
      <c r="AT692" s="618"/>
      <c r="AU692" s="618"/>
      <c r="AV692" s="618"/>
      <c r="AW692" s="619"/>
      <c r="AX692" s="614"/>
      <c r="AY692" s="616"/>
      <c r="AZ692" s="616"/>
      <c r="BA692" s="616"/>
      <c r="BB692" s="616"/>
      <c r="BC692" s="616"/>
      <c r="BD692" s="612"/>
      <c r="BE692" s="614"/>
      <c r="BF692" s="616"/>
      <c r="BG692" s="616"/>
      <c r="BH692" s="616"/>
      <c r="BI692" s="616"/>
      <c r="BJ692" s="616"/>
      <c r="BK692" s="1023"/>
      <c r="BL692" s="658"/>
    </row>
    <row r="693" spans="2:64">
      <c r="B693" s="1022"/>
      <c r="C693" s="607"/>
      <c r="D693" s="607"/>
      <c r="E693" s="1021"/>
      <c r="F693" s="1019">
        <v>690</v>
      </c>
      <c r="G693" s="609"/>
      <c r="H693" s="610"/>
      <c r="I693" s="611"/>
      <c r="J693" s="166">
        <f t="shared" si="461"/>
        <v>0</v>
      </c>
      <c r="K693" s="167">
        <f t="shared" si="462"/>
        <v>0</v>
      </c>
      <c r="L693" s="168">
        <f t="shared" si="463"/>
        <v>0</v>
      </c>
      <c r="M693" s="166">
        <f t="shared" si="464"/>
        <v>0</v>
      </c>
      <c r="N693" s="167">
        <f t="shared" si="465"/>
        <v>0</v>
      </c>
      <c r="O693" s="168">
        <f t="shared" si="466"/>
        <v>0</v>
      </c>
      <c r="P693" s="169">
        <f t="shared" si="467"/>
        <v>0</v>
      </c>
      <c r="Q693" s="169">
        <f t="shared" si="468"/>
        <v>0</v>
      </c>
      <c r="R693" s="169">
        <f t="shared" si="469"/>
        <v>0</v>
      </c>
      <c r="S693" s="584">
        <f t="shared" si="470"/>
        <v>0</v>
      </c>
      <c r="T693" s="594">
        <f t="shared" si="471"/>
        <v>0</v>
      </c>
      <c r="U693" s="595">
        <f t="shared" si="472"/>
        <v>0</v>
      </c>
      <c r="V693" s="166">
        <f t="shared" si="473"/>
        <v>0</v>
      </c>
      <c r="W693" s="167">
        <f t="shared" si="474"/>
        <v>0</v>
      </c>
      <c r="X693" s="168">
        <f t="shared" si="475"/>
        <v>0</v>
      </c>
      <c r="Y693" s="166">
        <f t="shared" si="476"/>
        <v>0</v>
      </c>
      <c r="Z693" s="167">
        <f t="shared" si="477"/>
        <v>0</v>
      </c>
      <c r="AA693" s="168">
        <f t="shared" si="478"/>
        <v>0</v>
      </c>
      <c r="AB693" s="166">
        <f t="shared" si="479"/>
        <v>0</v>
      </c>
      <c r="AC693" s="167">
        <f t="shared" si="480"/>
        <v>0</v>
      </c>
      <c r="AD693" s="168">
        <f t="shared" si="481"/>
        <v>0</v>
      </c>
      <c r="AE693" s="166">
        <f t="shared" si="482"/>
        <v>0</v>
      </c>
      <c r="AF693" s="167">
        <f t="shared" si="483"/>
        <v>0</v>
      </c>
      <c r="AG693" s="168">
        <f t="shared" si="484"/>
        <v>0</v>
      </c>
      <c r="AH693" s="166">
        <f t="shared" si="485"/>
        <v>0</v>
      </c>
      <c r="AI693" s="167">
        <f t="shared" si="486"/>
        <v>0</v>
      </c>
      <c r="AJ693" s="168">
        <f t="shared" si="487"/>
        <v>0</v>
      </c>
      <c r="AK693" s="169">
        <f t="shared" si="488"/>
        <v>0</v>
      </c>
      <c r="AL693" s="167">
        <f t="shared" si="489"/>
        <v>0</v>
      </c>
      <c r="AM693" s="585">
        <f t="shared" si="490"/>
        <v>0</v>
      </c>
      <c r="AN693" s="614"/>
      <c r="AO693" s="615"/>
      <c r="AP693" s="615"/>
      <c r="AQ693" s="616"/>
      <c r="AR693" s="612"/>
      <c r="AS693" s="617"/>
      <c r="AT693" s="618"/>
      <c r="AU693" s="618"/>
      <c r="AV693" s="618"/>
      <c r="AW693" s="619"/>
      <c r="AX693" s="614"/>
      <c r="AY693" s="616"/>
      <c r="AZ693" s="616"/>
      <c r="BA693" s="616"/>
      <c r="BB693" s="616"/>
      <c r="BC693" s="616"/>
      <c r="BD693" s="612"/>
      <c r="BE693" s="614"/>
      <c r="BF693" s="616"/>
      <c r="BG693" s="616"/>
      <c r="BH693" s="616"/>
      <c r="BI693" s="616"/>
      <c r="BJ693" s="616"/>
      <c r="BK693" s="1023"/>
      <c r="BL693" s="658"/>
    </row>
    <row r="694" spans="2:64">
      <c r="B694" s="1022"/>
      <c r="C694" s="607"/>
      <c r="D694" s="607"/>
      <c r="E694" s="1021"/>
      <c r="F694" s="608">
        <v>691</v>
      </c>
      <c r="G694" s="609"/>
      <c r="H694" s="610"/>
      <c r="I694" s="611"/>
      <c r="J694" s="166">
        <f t="shared" si="461"/>
        <v>0</v>
      </c>
      <c r="K694" s="167">
        <f t="shared" si="462"/>
        <v>0</v>
      </c>
      <c r="L694" s="168">
        <f t="shared" si="463"/>
        <v>0</v>
      </c>
      <c r="M694" s="166">
        <f t="shared" si="464"/>
        <v>0</v>
      </c>
      <c r="N694" s="167">
        <f t="shared" si="465"/>
        <v>0</v>
      </c>
      <c r="O694" s="168">
        <f t="shared" si="466"/>
        <v>0</v>
      </c>
      <c r="P694" s="169">
        <f t="shared" si="467"/>
        <v>0</v>
      </c>
      <c r="Q694" s="169">
        <f t="shared" si="468"/>
        <v>0</v>
      </c>
      <c r="R694" s="169">
        <f t="shared" si="469"/>
        <v>0</v>
      </c>
      <c r="S694" s="584">
        <f t="shared" si="470"/>
        <v>0</v>
      </c>
      <c r="T694" s="594">
        <f t="shared" si="471"/>
        <v>0</v>
      </c>
      <c r="U694" s="595">
        <f t="shared" si="472"/>
        <v>0</v>
      </c>
      <c r="V694" s="166">
        <f t="shared" si="473"/>
        <v>0</v>
      </c>
      <c r="W694" s="167">
        <f t="shared" si="474"/>
        <v>0</v>
      </c>
      <c r="X694" s="168">
        <f t="shared" si="475"/>
        <v>0</v>
      </c>
      <c r="Y694" s="166">
        <f t="shared" si="476"/>
        <v>0</v>
      </c>
      <c r="Z694" s="167">
        <f t="shared" si="477"/>
        <v>0</v>
      </c>
      <c r="AA694" s="168">
        <f t="shared" si="478"/>
        <v>0</v>
      </c>
      <c r="AB694" s="166">
        <f t="shared" si="479"/>
        <v>0</v>
      </c>
      <c r="AC694" s="167">
        <f t="shared" si="480"/>
        <v>0</v>
      </c>
      <c r="AD694" s="168">
        <f t="shared" si="481"/>
        <v>0</v>
      </c>
      <c r="AE694" s="166">
        <f t="shared" si="482"/>
        <v>0</v>
      </c>
      <c r="AF694" s="167">
        <f t="shared" si="483"/>
        <v>0</v>
      </c>
      <c r="AG694" s="168">
        <f t="shared" si="484"/>
        <v>0</v>
      </c>
      <c r="AH694" s="166">
        <f t="shared" si="485"/>
        <v>0</v>
      </c>
      <c r="AI694" s="167">
        <f t="shared" si="486"/>
        <v>0</v>
      </c>
      <c r="AJ694" s="168">
        <f t="shared" si="487"/>
        <v>0</v>
      </c>
      <c r="AK694" s="169">
        <f t="shared" si="488"/>
        <v>0</v>
      </c>
      <c r="AL694" s="167">
        <f t="shared" si="489"/>
        <v>0</v>
      </c>
      <c r="AM694" s="585">
        <f t="shared" si="490"/>
        <v>0</v>
      </c>
      <c r="AN694" s="614"/>
      <c r="AO694" s="615"/>
      <c r="AP694" s="615"/>
      <c r="AQ694" s="616"/>
      <c r="AR694" s="612"/>
      <c r="AS694" s="617"/>
      <c r="AT694" s="618"/>
      <c r="AU694" s="618"/>
      <c r="AV694" s="618"/>
      <c r="AW694" s="619"/>
      <c r="AX694" s="614"/>
      <c r="AY694" s="616"/>
      <c r="AZ694" s="616"/>
      <c r="BA694" s="616"/>
      <c r="BB694" s="616"/>
      <c r="BC694" s="616"/>
      <c r="BD694" s="612"/>
      <c r="BE694" s="614"/>
      <c r="BF694" s="616"/>
      <c r="BG694" s="616"/>
      <c r="BH694" s="616"/>
      <c r="BI694" s="616"/>
      <c r="BJ694" s="616"/>
      <c r="BK694" s="1023"/>
      <c r="BL694" s="658"/>
    </row>
    <row r="695" spans="2:64">
      <c r="B695" s="1022"/>
      <c r="C695" s="607"/>
      <c r="D695" s="607"/>
      <c r="E695" s="1021"/>
      <c r="F695" s="1019">
        <v>692</v>
      </c>
      <c r="G695" s="609"/>
      <c r="H695" s="610"/>
      <c r="I695" s="611"/>
      <c r="J695" s="166">
        <f t="shared" si="461"/>
        <v>0</v>
      </c>
      <c r="K695" s="167">
        <f t="shared" si="462"/>
        <v>0</v>
      </c>
      <c r="L695" s="168">
        <f t="shared" si="463"/>
        <v>0</v>
      </c>
      <c r="M695" s="166">
        <f t="shared" si="464"/>
        <v>0</v>
      </c>
      <c r="N695" s="167">
        <f t="shared" si="465"/>
        <v>0</v>
      </c>
      <c r="O695" s="168">
        <f t="shared" si="466"/>
        <v>0</v>
      </c>
      <c r="P695" s="169">
        <f t="shared" si="467"/>
        <v>0</v>
      </c>
      <c r="Q695" s="169">
        <f t="shared" si="468"/>
        <v>0</v>
      </c>
      <c r="R695" s="169">
        <f t="shared" si="469"/>
        <v>0</v>
      </c>
      <c r="S695" s="584">
        <f t="shared" si="470"/>
        <v>0</v>
      </c>
      <c r="T695" s="594">
        <f t="shared" si="471"/>
        <v>0</v>
      </c>
      <c r="U695" s="595">
        <f t="shared" si="472"/>
        <v>0</v>
      </c>
      <c r="V695" s="166">
        <f t="shared" si="473"/>
        <v>0</v>
      </c>
      <c r="W695" s="167">
        <f t="shared" si="474"/>
        <v>0</v>
      </c>
      <c r="X695" s="168">
        <f t="shared" si="475"/>
        <v>0</v>
      </c>
      <c r="Y695" s="166">
        <f t="shared" si="476"/>
        <v>0</v>
      </c>
      <c r="Z695" s="167">
        <f t="shared" si="477"/>
        <v>0</v>
      </c>
      <c r="AA695" s="168">
        <f t="shared" si="478"/>
        <v>0</v>
      </c>
      <c r="AB695" s="166">
        <f t="shared" si="479"/>
        <v>0</v>
      </c>
      <c r="AC695" s="167">
        <f t="shared" si="480"/>
        <v>0</v>
      </c>
      <c r="AD695" s="168">
        <f t="shared" si="481"/>
        <v>0</v>
      </c>
      <c r="AE695" s="166">
        <f t="shared" si="482"/>
        <v>0</v>
      </c>
      <c r="AF695" s="167">
        <f t="shared" si="483"/>
        <v>0</v>
      </c>
      <c r="AG695" s="168">
        <f t="shared" si="484"/>
        <v>0</v>
      </c>
      <c r="AH695" s="166">
        <f t="shared" si="485"/>
        <v>0</v>
      </c>
      <c r="AI695" s="167">
        <f t="shared" si="486"/>
        <v>0</v>
      </c>
      <c r="AJ695" s="168">
        <f t="shared" si="487"/>
        <v>0</v>
      </c>
      <c r="AK695" s="169">
        <f t="shared" si="488"/>
        <v>0</v>
      </c>
      <c r="AL695" s="167">
        <f t="shared" si="489"/>
        <v>0</v>
      </c>
      <c r="AM695" s="585">
        <f t="shared" si="490"/>
        <v>0</v>
      </c>
      <c r="AN695" s="614"/>
      <c r="AO695" s="615"/>
      <c r="AP695" s="615"/>
      <c r="AQ695" s="616"/>
      <c r="AR695" s="612"/>
      <c r="AS695" s="617"/>
      <c r="AT695" s="618"/>
      <c r="AU695" s="618"/>
      <c r="AV695" s="618"/>
      <c r="AW695" s="619"/>
      <c r="AX695" s="614"/>
      <c r="AY695" s="616"/>
      <c r="AZ695" s="616"/>
      <c r="BA695" s="616"/>
      <c r="BB695" s="616"/>
      <c r="BC695" s="616"/>
      <c r="BD695" s="612"/>
      <c r="BE695" s="614"/>
      <c r="BF695" s="616"/>
      <c r="BG695" s="616"/>
      <c r="BH695" s="616"/>
      <c r="BI695" s="616"/>
      <c r="BJ695" s="616"/>
      <c r="BK695" s="1023"/>
      <c r="BL695" s="658"/>
    </row>
    <row r="696" spans="2:64">
      <c r="B696" s="1022"/>
      <c r="C696" s="607"/>
      <c r="D696" s="607"/>
      <c r="E696" s="1021"/>
      <c r="F696" s="608">
        <v>693</v>
      </c>
      <c r="G696" s="609"/>
      <c r="H696" s="610"/>
      <c r="I696" s="611"/>
      <c r="J696" s="166">
        <f t="shared" si="461"/>
        <v>0</v>
      </c>
      <c r="K696" s="167">
        <f t="shared" si="462"/>
        <v>0</v>
      </c>
      <c r="L696" s="168">
        <f t="shared" si="463"/>
        <v>0</v>
      </c>
      <c r="M696" s="166">
        <f t="shared" si="464"/>
        <v>0</v>
      </c>
      <c r="N696" s="167">
        <f t="shared" si="465"/>
        <v>0</v>
      </c>
      <c r="O696" s="168">
        <f t="shared" si="466"/>
        <v>0</v>
      </c>
      <c r="P696" s="169">
        <f t="shared" si="467"/>
        <v>0</v>
      </c>
      <c r="Q696" s="169">
        <f t="shared" si="468"/>
        <v>0</v>
      </c>
      <c r="R696" s="169">
        <f t="shared" si="469"/>
        <v>0</v>
      </c>
      <c r="S696" s="584">
        <f t="shared" si="470"/>
        <v>0</v>
      </c>
      <c r="T696" s="594">
        <f t="shared" si="471"/>
        <v>0</v>
      </c>
      <c r="U696" s="595">
        <f t="shared" si="472"/>
        <v>0</v>
      </c>
      <c r="V696" s="166">
        <f t="shared" si="473"/>
        <v>0</v>
      </c>
      <c r="W696" s="167">
        <f t="shared" si="474"/>
        <v>0</v>
      </c>
      <c r="X696" s="168">
        <f t="shared" si="475"/>
        <v>0</v>
      </c>
      <c r="Y696" s="166">
        <f t="shared" si="476"/>
        <v>0</v>
      </c>
      <c r="Z696" s="167">
        <f t="shared" si="477"/>
        <v>0</v>
      </c>
      <c r="AA696" s="168">
        <f t="shared" si="478"/>
        <v>0</v>
      </c>
      <c r="AB696" s="166">
        <f t="shared" si="479"/>
        <v>0</v>
      </c>
      <c r="AC696" s="167">
        <f t="shared" si="480"/>
        <v>0</v>
      </c>
      <c r="AD696" s="168">
        <f t="shared" si="481"/>
        <v>0</v>
      </c>
      <c r="AE696" s="166">
        <f t="shared" si="482"/>
        <v>0</v>
      </c>
      <c r="AF696" s="167">
        <f t="shared" si="483"/>
        <v>0</v>
      </c>
      <c r="AG696" s="168">
        <f t="shared" si="484"/>
        <v>0</v>
      </c>
      <c r="AH696" s="166">
        <f t="shared" si="485"/>
        <v>0</v>
      </c>
      <c r="AI696" s="167">
        <f t="shared" si="486"/>
        <v>0</v>
      </c>
      <c r="AJ696" s="168">
        <f t="shared" si="487"/>
        <v>0</v>
      </c>
      <c r="AK696" s="169">
        <f t="shared" si="488"/>
        <v>0</v>
      </c>
      <c r="AL696" s="167">
        <f t="shared" si="489"/>
        <v>0</v>
      </c>
      <c r="AM696" s="585">
        <f t="shared" si="490"/>
        <v>0</v>
      </c>
      <c r="AN696" s="614"/>
      <c r="AO696" s="615"/>
      <c r="AP696" s="615"/>
      <c r="AQ696" s="616"/>
      <c r="AR696" s="612"/>
      <c r="AS696" s="617"/>
      <c r="AT696" s="618"/>
      <c r="AU696" s="618"/>
      <c r="AV696" s="618"/>
      <c r="AW696" s="619"/>
      <c r="AX696" s="614"/>
      <c r="AY696" s="616"/>
      <c r="AZ696" s="616"/>
      <c r="BA696" s="616"/>
      <c r="BB696" s="616"/>
      <c r="BC696" s="616"/>
      <c r="BD696" s="612"/>
      <c r="BE696" s="614"/>
      <c r="BF696" s="616"/>
      <c r="BG696" s="616"/>
      <c r="BH696" s="616"/>
      <c r="BI696" s="616"/>
      <c r="BJ696" s="616"/>
      <c r="BK696" s="1023"/>
      <c r="BL696" s="658"/>
    </row>
    <row r="697" spans="2:64">
      <c r="B697" s="1022"/>
      <c r="C697" s="607"/>
      <c r="D697" s="607"/>
      <c r="E697" s="1021"/>
      <c r="F697" s="1019">
        <v>694</v>
      </c>
      <c r="G697" s="609"/>
      <c r="H697" s="610"/>
      <c r="I697" s="611"/>
      <c r="J697" s="166">
        <f t="shared" si="461"/>
        <v>0</v>
      </c>
      <c r="K697" s="167">
        <f t="shared" si="462"/>
        <v>0</v>
      </c>
      <c r="L697" s="168">
        <f t="shared" si="463"/>
        <v>0</v>
      </c>
      <c r="M697" s="166">
        <f t="shared" si="464"/>
        <v>0</v>
      </c>
      <c r="N697" s="167">
        <f t="shared" si="465"/>
        <v>0</v>
      </c>
      <c r="O697" s="168">
        <f t="shared" si="466"/>
        <v>0</v>
      </c>
      <c r="P697" s="169">
        <f t="shared" si="467"/>
        <v>0</v>
      </c>
      <c r="Q697" s="169">
        <f t="shared" si="468"/>
        <v>0</v>
      </c>
      <c r="R697" s="169">
        <f t="shared" si="469"/>
        <v>0</v>
      </c>
      <c r="S697" s="584">
        <f t="shared" si="470"/>
        <v>0</v>
      </c>
      <c r="T697" s="594">
        <f t="shared" si="471"/>
        <v>0</v>
      </c>
      <c r="U697" s="595">
        <f t="shared" si="472"/>
        <v>0</v>
      </c>
      <c r="V697" s="166">
        <f t="shared" si="473"/>
        <v>0</v>
      </c>
      <c r="W697" s="167">
        <f t="shared" si="474"/>
        <v>0</v>
      </c>
      <c r="X697" s="168">
        <f t="shared" si="475"/>
        <v>0</v>
      </c>
      <c r="Y697" s="166">
        <f t="shared" si="476"/>
        <v>0</v>
      </c>
      <c r="Z697" s="167">
        <f t="shared" si="477"/>
        <v>0</v>
      </c>
      <c r="AA697" s="168">
        <f t="shared" si="478"/>
        <v>0</v>
      </c>
      <c r="AB697" s="166">
        <f t="shared" si="479"/>
        <v>0</v>
      </c>
      <c r="AC697" s="167">
        <f t="shared" si="480"/>
        <v>0</v>
      </c>
      <c r="AD697" s="168">
        <f t="shared" si="481"/>
        <v>0</v>
      </c>
      <c r="AE697" s="166">
        <f t="shared" si="482"/>
        <v>0</v>
      </c>
      <c r="AF697" s="167">
        <f t="shared" si="483"/>
        <v>0</v>
      </c>
      <c r="AG697" s="168">
        <f t="shared" si="484"/>
        <v>0</v>
      </c>
      <c r="AH697" s="166">
        <f t="shared" si="485"/>
        <v>0</v>
      </c>
      <c r="AI697" s="167">
        <f t="shared" si="486"/>
        <v>0</v>
      </c>
      <c r="AJ697" s="168">
        <f t="shared" si="487"/>
        <v>0</v>
      </c>
      <c r="AK697" s="169">
        <f t="shared" si="488"/>
        <v>0</v>
      </c>
      <c r="AL697" s="167">
        <f t="shared" si="489"/>
        <v>0</v>
      </c>
      <c r="AM697" s="585">
        <f t="shared" si="490"/>
        <v>0</v>
      </c>
      <c r="AN697" s="614"/>
      <c r="AO697" s="615"/>
      <c r="AP697" s="615"/>
      <c r="AQ697" s="616"/>
      <c r="AR697" s="612"/>
      <c r="AS697" s="617"/>
      <c r="AT697" s="618"/>
      <c r="AU697" s="618"/>
      <c r="AV697" s="618"/>
      <c r="AW697" s="619"/>
      <c r="AX697" s="614"/>
      <c r="AY697" s="616"/>
      <c r="AZ697" s="616"/>
      <c r="BA697" s="616"/>
      <c r="BB697" s="616"/>
      <c r="BC697" s="616"/>
      <c r="BD697" s="612"/>
      <c r="BE697" s="614"/>
      <c r="BF697" s="616"/>
      <c r="BG697" s="616"/>
      <c r="BH697" s="616"/>
      <c r="BI697" s="616"/>
      <c r="BJ697" s="616"/>
      <c r="BK697" s="1023"/>
      <c r="BL697" s="658"/>
    </row>
    <row r="698" spans="2:64">
      <c r="B698" s="1022"/>
      <c r="C698" s="607"/>
      <c r="D698" s="607"/>
      <c r="E698" s="1021"/>
      <c r="F698" s="608">
        <v>695</v>
      </c>
      <c r="G698" s="609"/>
      <c r="H698" s="610"/>
      <c r="I698" s="611"/>
      <c r="J698" s="166">
        <f t="shared" si="461"/>
        <v>0</v>
      </c>
      <c r="K698" s="167">
        <f t="shared" si="462"/>
        <v>0</v>
      </c>
      <c r="L698" s="168">
        <f t="shared" si="463"/>
        <v>0</v>
      </c>
      <c r="M698" s="166">
        <f t="shared" si="464"/>
        <v>0</v>
      </c>
      <c r="N698" s="167">
        <f t="shared" si="465"/>
        <v>0</v>
      </c>
      <c r="O698" s="168">
        <f t="shared" si="466"/>
        <v>0</v>
      </c>
      <c r="P698" s="169">
        <f t="shared" si="467"/>
        <v>0</v>
      </c>
      <c r="Q698" s="169">
        <f t="shared" si="468"/>
        <v>0</v>
      </c>
      <c r="R698" s="169">
        <f t="shared" si="469"/>
        <v>0</v>
      </c>
      <c r="S698" s="584">
        <f t="shared" si="470"/>
        <v>0</v>
      </c>
      <c r="T698" s="594">
        <f t="shared" si="471"/>
        <v>0</v>
      </c>
      <c r="U698" s="595">
        <f t="shared" si="472"/>
        <v>0</v>
      </c>
      <c r="V698" s="166">
        <f t="shared" si="473"/>
        <v>0</v>
      </c>
      <c r="W698" s="167">
        <f t="shared" si="474"/>
        <v>0</v>
      </c>
      <c r="X698" s="168">
        <f t="shared" si="475"/>
        <v>0</v>
      </c>
      <c r="Y698" s="166">
        <f t="shared" si="476"/>
        <v>0</v>
      </c>
      <c r="Z698" s="167">
        <f t="shared" si="477"/>
        <v>0</v>
      </c>
      <c r="AA698" s="168">
        <f t="shared" si="478"/>
        <v>0</v>
      </c>
      <c r="AB698" s="166">
        <f t="shared" si="479"/>
        <v>0</v>
      </c>
      <c r="AC698" s="167">
        <f t="shared" si="480"/>
        <v>0</v>
      </c>
      <c r="AD698" s="168">
        <f t="shared" si="481"/>
        <v>0</v>
      </c>
      <c r="AE698" s="166">
        <f t="shared" si="482"/>
        <v>0</v>
      </c>
      <c r="AF698" s="167">
        <f t="shared" si="483"/>
        <v>0</v>
      </c>
      <c r="AG698" s="168">
        <f t="shared" si="484"/>
        <v>0</v>
      </c>
      <c r="AH698" s="166">
        <f t="shared" si="485"/>
        <v>0</v>
      </c>
      <c r="AI698" s="167">
        <f t="shared" si="486"/>
        <v>0</v>
      </c>
      <c r="AJ698" s="168">
        <f t="shared" si="487"/>
        <v>0</v>
      </c>
      <c r="AK698" s="169">
        <f t="shared" si="488"/>
        <v>0</v>
      </c>
      <c r="AL698" s="167">
        <f t="shared" si="489"/>
        <v>0</v>
      </c>
      <c r="AM698" s="585">
        <f t="shared" si="490"/>
        <v>0</v>
      </c>
      <c r="AN698" s="614"/>
      <c r="AO698" s="615"/>
      <c r="AP698" s="615"/>
      <c r="AQ698" s="616"/>
      <c r="AR698" s="612"/>
      <c r="AS698" s="617"/>
      <c r="AT698" s="618"/>
      <c r="AU698" s="618"/>
      <c r="AV698" s="618"/>
      <c r="AW698" s="619"/>
      <c r="AX698" s="614"/>
      <c r="AY698" s="616"/>
      <c r="AZ698" s="616"/>
      <c r="BA698" s="616"/>
      <c r="BB698" s="616"/>
      <c r="BC698" s="616"/>
      <c r="BD698" s="612"/>
      <c r="BE698" s="614"/>
      <c r="BF698" s="616"/>
      <c r="BG698" s="616"/>
      <c r="BH698" s="616"/>
      <c r="BI698" s="616"/>
      <c r="BJ698" s="616"/>
      <c r="BK698" s="1023"/>
      <c r="BL698" s="658"/>
    </row>
    <row r="699" spans="2:64">
      <c r="B699" s="1022"/>
      <c r="C699" s="607"/>
      <c r="D699" s="607"/>
      <c r="E699" s="1021"/>
      <c r="F699" s="1019">
        <v>696</v>
      </c>
      <c r="G699" s="609"/>
      <c r="H699" s="610"/>
      <c r="I699" s="611"/>
      <c r="J699" s="166">
        <f t="shared" si="461"/>
        <v>0</v>
      </c>
      <c r="K699" s="167">
        <f t="shared" si="462"/>
        <v>0</v>
      </c>
      <c r="L699" s="168">
        <f t="shared" si="463"/>
        <v>0</v>
      </c>
      <c r="M699" s="166">
        <f t="shared" si="464"/>
        <v>0</v>
      </c>
      <c r="N699" s="167">
        <f t="shared" si="465"/>
        <v>0</v>
      </c>
      <c r="O699" s="168">
        <f t="shared" si="466"/>
        <v>0</v>
      </c>
      <c r="P699" s="169">
        <f t="shared" si="467"/>
        <v>0</v>
      </c>
      <c r="Q699" s="169">
        <f t="shared" si="468"/>
        <v>0</v>
      </c>
      <c r="R699" s="169">
        <f t="shared" si="469"/>
        <v>0</v>
      </c>
      <c r="S699" s="584">
        <f t="shared" si="470"/>
        <v>0</v>
      </c>
      <c r="T699" s="594">
        <f t="shared" si="471"/>
        <v>0</v>
      </c>
      <c r="U699" s="595">
        <f t="shared" si="472"/>
        <v>0</v>
      </c>
      <c r="V699" s="166">
        <f t="shared" si="473"/>
        <v>0</v>
      </c>
      <c r="W699" s="167">
        <f t="shared" si="474"/>
        <v>0</v>
      </c>
      <c r="X699" s="168">
        <f t="shared" si="475"/>
        <v>0</v>
      </c>
      <c r="Y699" s="166">
        <f t="shared" si="476"/>
        <v>0</v>
      </c>
      <c r="Z699" s="167">
        <f t="shared" si="477"/>
        <v>0</v>
      </c>
      <c r="AA699" s="168">
        <f t="shared" si="478"/>
        <v>0</v>
      </c>
      <c r="AB699" s="166">
        <f t="shared" si="479"/>
        <v>0</v>
      </c>
      <c r="AC699" s="167">
        <f t="shared" si="480"/>
        <v>0</v>
      </c>
      <c r="AD699" s="168">
        <f t="shared" si="481"/>
        <v>0</v>
      </c>
      <c r="AE699" s="166">
        <f t="shared" si="482"/>
        <v>0</v>
      </c>
      <c r="AF699" s="167">
        <f t="shared" si="483"/>
        <v>0</v>
      </c>
      <c r="AG699" s="168">
        <f t="shared" si="484"/>
        <v>0</v>
      </c>
      <c r="AH699" s="166">
        <f t="shared" si="485"/>
        <v>0</v>
      </c>
      <c r="AI699" s="167">
        <f t="shared" si="486"/>
        <v>0</v>
      </c>
      <c r="AJ699" s="168">
        <f t="shared" si="487"/>
        <v>0</v>
      </c>
      <c r="AK699" s="169">
        <f t="shared" si="488"/>
        <v>0</v>
      </c>
      <c r="AL699" s="167">
        <f t="shared" si="489"/>
        <v>0</v>
      </c>
      <c r="AM699" s="585">
        <f t="shared" si="490"/>
        <v>0</v>
      </c>
      <c r="AN699" s="614"/>
      <c r="AO699" s="615"/>
      <c r="AP699" s="615"/>
      <c r="AQ699" s="616"/>
      <c r="AR699" s="612"/>
      <c r="AS699" s="617"/>
      <c r="AT699" s="618"/>
      <c r="AU699" s="618"/>
      <c r="AV699" s="618"/>
      <c r="AW699" s="619"/>
      <c r="AX699" s="614"/>
      <c r="AY699" s="616"/>
      <c r="AZ699" s="616"/>
      <c r="BA699" s="616"/>
      <c r="BB699" s="616"/>
      <c r="BC699" s="616"/>
      <c r="BD699" s="612"/>
      <c r="BE699" s="614"/>
      <c r="BF699" s="616"/>
      <c r="BG699" s="616"/>
      <c r="BH699" s="616"/>
      <c r="BI699" s="616"/>
      <c r="BJ699" s="616"/>
      <c r="BK699" s="1023"/>
      <c r="BL699" s="658"/>
    </row>
    <row r="700" spans="2:64">
      <c r="B700" s="1022"/>
      <c r="C700" s="607"/>
      <c r="D700" s="607"/>
      <c r="E700" s="1021"/>
      <c r="F700" s="608">
        <v>697</v>
      </c>
      <c r="G700" s="609"/>
      <c r="H700" s="610"/>
      <c r="I700" s="611"/>
      <c r="J700" s="166">
        <f t="shared" si="461"/>
        <v>0</v>
      </c>
      <c r="K700" s="167">
        <f t="shared" si="462"/>
        <v>0</v>
      </c>
      <c r="L700" s="168">
        <f t="shared" si="463"/>
        <v>0</v>
      </c>
      <c r="M700" s="166">
        <f t="shared" si="464"/>
        <v>0</v>
      </c>
      <c r="N700" s="167">
        <f t="shared" si="465"/>
        <v>0</v>
      </c>
      <c r="O700" s="168">
        <f t="shared" si="466"/>
        <v>0</v>
      </c>
      <c r="P700" s="169">
        <f t="shared" si="467"/>
        <v>0</v>
      </c>
      <c r="Q700" s="169">
        <f t="shared" si="468"/>
        <v>0</v>
      </c>
      <c r="R700" s="169">
        <f t="shared" si="469"/>
        <v>0</v>
      </c>
      <c r="S700" s="584">
        <f t="shared" si="470"/>
        <v>0</v>
      </c>
      <c r="T700" s="594">
        <f t="shared" si="471"/>
        <v>0</v>
      </c>
      <c r="U700" s="595">
        <f t="shared" si="472"/>
        <v>0</v>
      </c>
      <c r="V700" s="166">
        <f t="shared" si="473"/>
        <v>0</v>
      </c>
      <c r="W700" s="167">
        <f t="shared" si="474"/>
        <v>0</v>
      </c>
      <c r="X700" s="168">
        <f t="shared" si="475"/>
        <v>0</v>
      </c>
      <c r="Y700" s="166">
        <f t="shared" si="476"/>
        <v>0</v>
      </c>
      <c r="Z700" s="167">
        <f t="shared" si="477"/>
        <v>0</v>
      </c>
      <c r="AA700" s="168">
        <f t="shared" si="478"/>
        <v>0</v>
      </c>
      <c r="AB700" s="166">
        <f t="shared" si="479"/>
        <v>0</v>
      </c>
      <c r="AC700" s="167">
        <f t="shared" si="480"/>
        <v>0</v>
      </c>
      <c r="AD700" s="168">
        <f t="shared" si="481"/>
        <v>0</v>
      </c>
      <c r="AE700" s="166">
        <f t="shared" si="482"/>
        <v>0</v>
      </c>
      <c r="AF700" s="167">
        <f t="shared" si="483"/>
        <v>0</v>
      </c>
      <c r="AG700" s="168">
        <f t="shared" si="484"/>
        <v>0</v>
      </c>
      <c r="AH700" s="166">
        <f t="shared" si="485"/>
        <v>0</v>
      </c>
      <c r="AI700" s="167">
        <f t="shared" si="486"/>
        <v>0</v>
      </c>
      <c r="AJ700" s="168">
        <f t="shared" si="487"/>
        <v>0</v>
      </c>
      <c r="AK700" s="169">
        <f t="shared" si="488"/>
        <v>0</v>
      </c>
      <c r="AL700" s="167">
        <f t="shared" si="489"/>
        <v>0</v>
      </c>
      <c r="AM700" s="585">
        <f t="shared" si="490"/>
        <v>0</v>
      </c>
      <c r="AN700" s="614"/>
      <c r="AO700" s="615"/>
      <c r="AP700" s="615"/>
      <c r="AQ700" s="616"/>
      <c r="AR700" s="612"/>
      <c r="AS700" s="617"/>
      <c r="AT700" s="618"/>
      <c r="AU700" s="618"/>
      <c r="AV700" s="618"/>
      <c r="AW700" s="619"/>
      <c r="AX700" s="614"/>
      <c r="AY700" s="616"/>
      <c r="AZ700" s="616"/>
      <c r="BA700" s="616"/>
      <c r="BB700" s="616"/>
      <c r="BC700" s="616"/>
      <c r="BD700" s="612"/>
      <c r="BE700" s="614"/>
      <c r="BF700" s="616"/>
      <c r="BG700" s="616"/>
      <c r="BH700" s="616"/>
      <c r="BI700" s="616"/>
      <c r="BJ700" s="616"/>
      <c r="BK700" s="1023"/>
      <c r="BL700" s="658"/>
    </row>
    <row r="701" spans="2:64">
      <c r="B701" s="1022"/>
      <c r="C701" s="607"/>
      <c r="D701" s="607"/>
      <c r="E701" s="1021"/>
      <c r="F701" s="1019">
        <v>698</v>
      </c>
      <c r="G701" s="609"/>
      <c r="H701" s="610"/>
      <c r="I701" s="611"/>
      <c r="J701" s="166">
        <f t="shared" si="461"/>
        <v>0</v>
      </c>
      <c r="K701" s="167">
        <f t="shared" si="462"/>
        <v>0</v>
      </c>
      <c r="L701" s="168">
        <f t="shared" si="463"/>
        <v>0</v>
      </c>
      <c r="M701" s="166">
        <f t="shared" si="464"/>
        <v>0</v>
      </c>
      <c r="N701" s="167">
        <f t="shared" si="465"/>
        <v>0</v>
      </c>
      <c r="O701" s="168">
        <f t="shared" si="466"/>
        <v>0</v>
      </c>
      <c r="P701" s="169">
        <f t="shared" si="467"/>
        <v>0</v>
      </c>
      <c r="Q701" s="169">
        <f t="shared" si="468"/>
        <v>0</v>
      </c>
      <c r="R701" s="169">
        <f t="shared" si="469"/>
        <v>0</v>
      </c>
      <c r="S701" s="584">
        <f t="shared" si="470"/>
        <v>0</v>
      </c>
      <c r="T701" s="594">
        <f t="shared" si="471"/>
        <v>0</v>
      </c>
      <c r="U701" s="595">
        <f t="shared" si="472"/>
        <v>0</v>
      </c>
      <c r="V701" s="166">
        <f t="shared" si="473"/>
        <v>0</v>
      </c>
      <c r="W701" s="167">
        <f t="shared" si="474"/>
        <v>0</v>
      </c>
      <c r="X701" s="168">
        <f t="shared" si="475"/>
        <v>0</v>
      </c>
      <c r="Y701" s="166">
        <f t="shared" si="476"/>
        <v>0</v>
      </c>
      <c r="Z701" s="167">
        <f t="shared" si="477"/>
        <v>0</v>
      </c>
      <c r="AA701" s="168">
        <f t="shared" si="478"/>
        <v>0</v>
      </c>
      <c r="AB701" s="166">
        <f t="shared" si="479"/>
        <v>0</v>
      </c>
      <c r="AC701" s="167">
        <f t="shared" si="480"/>
        <v>0</v>
      </c>
      <c r="AD701" s="168">
        <f t="shared" si="481"/>
        <v>0</v>
      </c>
      <c r="AE701" s="166">
        <f t="shared" si="482"/>
        <v>0</v>
      </c>
      <c r="AF701" s="167">
        <f t="shared" si="483"/>
        <v>0</v>
      </c>
      <c r="AG701" s="168">
        <f t="shared" si="484"/>
        <v>0</v>
      </c>
      <c r="AH701" s="166">
        <f t="shared" si="485"/>
        <v>0</v>
      </c>
      <c r="AI701" s="167">
        <f t="shared" si="486"/>
        <v>0</v>
      </c>
      <c r="AJ701" s="168">
        <f t="shared" si="487"/>
        <v>0</v>
      </c>
      <c r="AK701" s="169">
        <f t="shared" si="488"/>
        <v>0</v>
      </c>
      <c r="AL701" s="167">
        <f t="shared" si="489"/>
        <v>0</v>
      </c>
      <c r="AM701" s="585">
        <f t="shared" si="490"/>
        <v>0</v>
      </c>
      <c r="AN701" s="614"/>
      <c r="AO701" s="615"/>
      <c r="AP701" s="615"/>
      <c r="AQ701" s="616"/>
      <c r="AR701" s="612"/>
      <c r="AS701" s="617"/>
      <c r="AT701" s="618"/>
      <c r="AU701" s="618"/>
      <c r="AV701" s="618"/>
      <c r="AW701" s="619"/>
      <c r="AX701" s="614"/>
      <c r="AY701" s="616"/>
      <c r="AZ701" s="616"/>
      <c r="BA701" s="616"/>
      <c r="BB701" s="616"/>
      <c r="BC701" s="616"/>
      <c r="BD701" s="612"/>
      <c r="BE701" s="614"/>
      <c r="BF701" s="616"/>
      <c r="BG701" s="616"/>
      <c r="BH701" s="616"/>
      <c r="BI701" s="616"/>
      <c r="BJ701" s="616"/>
      <c r="BK701" s="1023"/>
      <c r="BL701" s="658"/>
    </row>
    <row r="702" spans="2:64">
      <c r="B702" s="1022"/>
      <c r="C702" s="607"/>
      <c r="D702" s="607"/>
      <c r="E702" s="1021"/>
      <c r="F702" s="608">
        <v>699</v>
      </c>
      <c r="G702" s="609"/>
      <c r="H702" s="610"/>
      <c r="I702" s="611"/>
      <c r="J702" s="166">
        <f t="shared" si="461"/>
        <v>0</v>
      </c>
      <c r="K702" s="167">
        <f t="shared" si="462"/>
        <v>0</v>
      </c>
      <c r="L702" s="168">
        <f t="shared" si="463"/>
        <v>0</v>
      </c>
      <c r="M702" s="166">
        <f t="shared" si="464"/>
        <v>0</v>
      </c>
      <c r="N702" s="167">
        <f t="shared" si="465"/>
        <v>0</v>
      </c>
      <c r="O702" s="168">
        <f t="shared" si="466"/>
        <v>0</v>
      </c>
      <c r="P702" s="169">
        <f t="shared" si="467"/>
        <v>0</v>
      </c>
      <c r="Q702" s="169">
        <f t="shared" si="468"/>
        <v>0</v>
      </c>
      <c r="R702" s="169">
        <f t="shared" si="469"/>
        <v>0</v>
      </c>
      <c r="S702" s="584">
        <f t="shared" si="470"/>
        <v>0</v>
      </c>
      <c r="T702" s="594">
        <f t="shared" si="471"/>
        <v>0</v>
      </c>
      <c r="U702" s="595">
        <f t="shared" si="472"/>
        <v>0</v>
      </c>
      <c r="V702" s="166">
        <f t="shared" si="473"/>
        <v>0</v>
      </c>
      <c r="W702" s="167">
        <f t="shared" si="474"/>
        <v>0</v>
      </c>
      <c r="X702" s="168">
        <f t="shared" si="475"/>
        <v>0</v>
      </c>
      <c r="Y702" s="166">
        <f t="shared" si="476"/>
        <v>0</v>
      </c>
      <c r="Z702" s="167">
        <f t="shared" si="477"/>
        <v>0</v>
      </c>
      <c r="AA702" s="168">
        <f t="shared" si="478"/>
        <v>0</v>
      </c>
      <c r="AB702" s="166">
        <f t="shared" si="479"/>
        <v>0</v>
      </c>
      <c r="AC702" s="167">
        <f t="shared" si="480"/>
        <v>0</v>
      </c>
      <c r="AD702" s="168">
        <f t="shared" si="481"/>
        <v>0</v>
      </c>
      <c r="AE702" s="166">
        <f t="shared" si="482"/>
        <v>0</v>
      </c>
      <c r="AF702" s="167">
        <f t="shared" si="483"/>
        <v>0</v>
      </c>
      <c r="AG702" s="168">
        <f t="shared" si="484"/>
        <v>0</v>
      </c>
      <c r="AH702" s="166">
        <f t="shared" si="485"/>
        <v>0</v>
      </c>
      <c r="AI702" s="167">
        <f t="shared" si="486"/>
        <v>0</v>
      </c>
      <c r="AJ702" s="168">
        <f t="shared" si="487"/>
        <v>0</v>
      </c>
      <c r="AK702" s="169">
        <f t="shared" si="488"/>
        <v>0</v>
      </c>
      <c r="AL702" s="167">
        <f t="shared" si="489"/>
        <v>0</v>
      </c>
      <c r="AM702" s="585">
        <f t="shared" si="490"/>
        <v>0</v>
      </c>
      <c r="AN702" s="614"/>
      <c r="AO702" s="615"/>
      <c r="AP702" s="615"/>
      <c r="AQ702" s="616"/>
      <c r="AR702" s="612"/>
      <c r="AS702" s="617"/>
      <c r="AT702" s="618"/>
      <c r="AU702" s="618"/>
      <c r="AV702" s="618"/>
      <c r="AW702" s="619"/>
      <c r="AX702" s="614"/>
      <c r="AY702" s="616"/>
      <c r="AZ702" s="616"/>
      <c r="BA702" s="616"/>
      <c r="BB702" s="616"/>
      <c r="BC702" s="616"/>
      <c r="BD702" s="612"/>
      <c r="BE702" s="614"/>
      <c r="BF702" s="616"/>
      <c r="BG702" s="616"/>
      <c r="BH702" s="616"/>
      <c r="BI702" s="616"/>
      <c r="BJ702" s="616"/>
      <c r="BK702" s="1023"/>
      <c r="BL702" s="658"/>
    </row>
    <row r="703" spans="2:64">
      <c r="B703" s="1022"/>
      <c r="C703" s="607"/>
      <c r="D703" s="607"/>
      <c r="E703" s="1021"/>
      <c r="F703" s="1019">
        <v>700</v>
      </c>
      <c r="G703" s="609"/>
      <c r="H703" s="610"/>
      <c r="I703" s="611"/>
      <c r="J703" s="166">
        <f t="shared" si="461"/>
        <v>0</v>
      </c>
      <c r="K703" s="167">
        <f t="shared" si="462"/>
        <v>0</v>
      </c>
      <c r="L703" s="168">
        <f t="shared" si="463"/>
        <v>0</v>
      </c>
      <c r="M703" s="166">
        <f t="shared" si="464"/>
        <v>0</v>
      </c>
      <c r="N703" s="167">
        <f t="shared" si="465"/>
        <v>0</v>
      </c>
      <c r="O703" s="168">
        <f t="shared" si="466"/>
        <v>0</v>
      </c>
      <c r="P703" s="169">
        <f t="shared" si="467"/>
        <v>0</v>
      </c>
      <c r="Q703" s="169">
        <f t="shared" si="468"/>
        <v>0</v>
      </c>
      <c r="R703" s="169">
        <f t="shared" si="469"/>
        <v>0</v>
      </c>
      <c r="S703" s="584">
        <f t="shared" si="470"/>
        <v>0</v>
      </c>
      <c r="T703" s="594">
        <f t="shared" si="471"/>
        <v>0</v>
      </c>
      <c r="U703" s="595">
        <f t="shared" si="472"/>
        <v>0</v>
      </c>
      <c r="V703" s="166">
        <f t="shared" si="473"/>
        <v>0</v>
      </c>
      <c r="W703" s="167">
        <f t="shared" si="474"/>
        <v>0</v>
      </c>
      <c r="X703" s="168">
        <f t="shared" si="475"/>
        <v>0</v>
      </c>
      <c r="Y703" s="166">
        <f t="shared" si="476"/>
        <v>0</v>
      </c>
      <c r="Z703" s="167">
        <f t="shared" si="477"/>
        <v>0</v>
      </c>
      <c r="AA703" s="168">
        <f t="shared" si="478"/>
        <v>0</v>
      </c>
      <c r="AB703" s="166">
        <f t="shared" si="479"/>
        <v>0</v>
      </c>
      <c r="AC703" s="167">
        <f t="shared" si="480"/>
        <v>0</v>
      </c>
      <c r="AD703" s="168">
        <f t="shared" si="481"/>
        <v>0</v>
      </c>
      <c r="AE703" s="166">
        <f t="shared" si="482"/>
        <v>0</v>
      </c>
      <c r="AF703" s="167">
        <f t="shared" si="483"/>
        <v>0</v>
      </c>
      <c r="AG703" s="168">
        <f t="shared" si="484"/>
        <v>0</v>
      </c>
      <c r="AH703" s="166">
        <f t="shared" si="485"/>
        <v>0</v>
      </c>
      <c r="AI703" s="167">
        <f t="shared" si="486"/>
        <v>0</v>
      </c>
      <c r="AJ703" s="168">
        <f t="shared" si="487"/>
        <v>0</v>
      </c>
      <c r="AK703" s="169">
        <f t="shared" si="488"/>
        <v>0</v>
      </c>
      <c r="AL703" s="167">
        <f t="shared" si="489"/>
        <v>0</v>
      </c>
      <c r="AM703" s="585">
        <f t="shared" si="490"/>
        <v>0</v>
      </c>
      <c r="AN703" s="614"/>
      <c r="AO703" s="615"/>
      <c r="AP703" s="615"/>
      <c r="AQ703" s="616"/>
      <c r="AR703" s="612"/>
      <c r="AS703" s="617"/>
      <c r="AT703" s="618"/>
      <c r="AU703" s="618"/>
      <c r="AV703" s="618"/>
      <c r="AW703" s="619"/>
      <c r="AX703" s="614"/>
      <c r="AY703" s="616"/>
      <c r="AZ703" s="616"/>
      <c r="BA703" s="616"/>
      <c r="BB703" s="616"/>
      <c r="BC703" s="616"/>
      <c r="BD703" s="612"/>
      <c r="BE703" s="614"/>
      <c r="BF703" s="616"/>
      <c r="BG703" s="616"/>
      <c r="BH703" s="616"/>
      <c r="BI703" s="616"/>
      <c r="BJ703" s="616"/>
      <c r="BK703" s="1023"/>
      <c r="BL703" s="658"/>
    </row>
    <row r="704" spans="2:64">
      <c r="B704" s="1022"/>
      <c r="C704" s="607"/>
      <c r="D704" s="607"/>
      <c r="E704" s="1021"/>
      <c r="F704" s="608">
        <v>701</v>
      </c>
      <c r="G704" s="609"/>
      <c r="H704" s="610"/>
      <c r="I704" s="611"/>
      <c r="J704" s="166">
        <f t="shared" si="461"/>
        <v>0</v>
      </c>
      <c r="K704" s="167">
        <f t="shared" si="462"/>
        <v>0</v>
      </c>
      <c r="L704" s="168">
        <f t="shared" si="463"/>
        <v>0</v>
      </c>
      <c r="M704" s="166">
        <f t="shared" si="464"/>
        <v>0</v>
      </c>
      <c r="N704" s="167">
        <f t="shared" si="465"/>
        <v>0</v>
      </c>
      <c r="O704" s="168">
        <f t="shared" si="466"/>
        <v>0</v>
      </c>
      <c r="P704" s="169">
        <f t="shared" si="467"/>
        <v>0</v>
      </c>
      <c r="Q704" s="169">
        <f t="shared" si="468"/>
        <v>0</v>
      </c>
      <c r="R704" s="169">
        <f t="shared" si="469"/>
        <v>0</v>
      </c>
      <c r="S704" s="584">
        <f t="shared" si="470"/>
        <v>0</v>
      </c>
      <c r="T704" s="594">
        <f t="shared" si="471"/>
        <v>0</v>
      </c>
      <c r="U704" s="595">
        <f t="shared" si="472"/>
        <v>0</v>
      </c>
      <c r="V704" s="166">
        <f t="shared" si="473"/>
        <v>0</v>
      </c>
      <c r="W704" s="167">
        <f t="shared" si="474"/>
        <v>0</v>
      </c>
      <c r="X704" s="168">
        <f t="shared" si="475"/>
        <v>0</v>
      </c>
      <c r="Y704" s="166">
        <f t="shared" si="476"/>
        <v>0</v>
      </c>
      <c r="Z704" s="167">
        <f t="shared" si="477"/>
        <v>0</v>
      </c>
      <c r="AA704" s="168">
        <f t="shared" si="478"/>
        <v>0</v>
      </c>
      <c r="AB704" s="166">
        <f t="shared" si="479"/>
        <v>0</v>
      </c>
      <c r="AC704" s="167">
        <f t="shared" si="480"/>
        <v>0</v>
      </c>
      <c r="AD704" s="168">
        <f t="shared" si="481"/>
        <v>0</v>
      </c>
      <c r="AE704" s="166">
        <f t="shared" si="482"/>
        <v>0</v>
      </c>
      <c r="AF704" s="167">
        <f t="shared" si="483"/>
        <v>0</v>
      </c>
      <c r="AG704" s="168">
        <f t="shared" si="484"/>
        <v>0</v>
      </c>
      <c r="AH704" s="166">
        <f t="shared" si="485"/>
        <v>0</v>
      </c>
      <c r="AI704" s="167">
        <f t="shared" si="486"/>
        <v>0</v>
      </c>
      <c r="AJ704" s="168">
        <f t="shared" si="487"/>
        <v>0</v>
      </c>
      <c r="AK704" s="169">
        <f t="shared" si="488"/>
        <v>0</v>
      </c>
      <c r="AL704" s="167">
        <f t="shared" si="489"/>
        <v>0</v>
      </c>
      <c r="AM704" s="585">
        <f t="shared" si="490"/>
        <v>0</v>
      </c>
      <c r="AN704" s="614"/>
      <c r="AO704" s="615"/>
      <c r="AP704" s="615"/>
      <c r="AQ704" s="616"/>
      <c r="AR704" s="612"/>
      <c r="AS704" s="617"/>
      <c r="AT704" s="618"/>
      <c r="AU704" s="618"/>
      <c r="AV704" s="618"/>
      <c r="AW704" s="619"/>
      <c r="AX704" s="614"/>
      <c r="AY704" s="616"/>
      <c r="AZ704" s="616"/>
      <c r="BA704" s="616"/>
      <c r="BB704" s="616"/>
      <c r="BC704" s="616"/>
      <c r="BD704" s="612"/>
      <c r="BE704" s="614"/>
      <c r="BF704" s="616"/>
      <c r="BG704" s="616"/>
      <c r="BH704" s="616"/>
      <c r="BI704" s="616"/>
      <c r="BJ704" s="616"/>
      <c r="BK704" s="1023"/>
      <c r="BL704" s="658"/>
    </row>
    <row r="705" spans="2:64">
      <c r="B705" s="1022"/>
      <c r="C705" s="607"/>
      <c r="D705" s="607"/>
      <c r="E705" s="1021"/>
      <c r="F705" s="1019">
        <v>702</v>
      </c>
      <c r="G705" s="609"/>
      <c r="H705" s="610"/>
      <c r="I705" s="611"/>
      <c r="J705" s="166">
        <f t="shared" si="461"/>
        <v>0</v>
      </c>
      <c r="K705" s="167">
        <f t="shared" si="462"/>
        <v>0</v>
      </c>
      <c r="L705" s="168">
        <f t="shared" si="463"/>
        <v>0</v>
      </c>
      <c r="M705" s="166">
        <f t="shared" si="464"/>
        <v>0</v>
      </c>
      <c r="N705" s="167">
        <f t="shared" si="465"/>
        <v>0</v>
      </c>
      <c r="O705" s="168">
        <f t="shared" si="466"/>
        <v>0</v>
      </c>
      <c r="P705" s="169">
        <f t="shared" si="467"/>
        <v>0</v>
      </c>
      <c r="Q705" s="169">
        <f t="shared" si="468"/>
        <v>0</v>
      </c>
      <c r="R705" s="169">
        <f t="shared" si="469"/>
        <v>0</v>
      </c>
      <c r="S705" s="584">
        <f t="shared" si="470"/>
        <v>0</v>
      </c>
      <c r="T705" s="594">
        <f t="shared" si="471"/>
        <v>0</v>
      </c>
      <c r="U705" s="595">
        <f t="shared" si="472"/>
        <v>0</v>
      </c>
      <c r="V705" s="166">
        <f t="shared" si="473"/>
        <v>0</v>
      </c>
      <c r="W705" s="167">
        <f t="shared" si="474"/>
        <v>0</v>
      </c>
      <c r="X705" s="168">
        <f t="shared" si="475"/>
        <v>0</v>
      </c>
      <c r="Y705" s="166">
        <f t="shared" si="476"/>
        <v>0</v>
      </c>
      <c r="Z705" s="167">
        <f t="shared" si="477"/>
        <v>0</v>
      </c>
      <c r="AA705" s="168">
        <f t="shared" si="478"/>
        <v>0</v>
      </c>
      <c r="AB705" s="166">
        <f t="shared" si="479"/>
        <v>0</v>
      </c>
      <c r="AC705" s="167">
        <f t="shared" si="480"/>
        <v>0</v>
      </c>
      <c r="AD705" s="168">
        <f t="shared" si="481"/>
        <v>0</v>
      </c>
      <c r="AE705" s="166">
        <f t="shared" si="482"/>
        <v>0</v>
      </c>
      <c r="AF705" s="167">
        <f t="shared" si="483"/>
        <v>0</v>
      </c>
      <c r="AG705" s="168">
        <f t="shared" si="484"/>
        <v>0</v>
      </c>
      <c r="AH705" s="166">
        <f t="shared" si="485"/>
        <v>0</v>
      </c>
      <c r="AI705" s="167">
        <f t="shared" si="486"/>
        <v>0</v>
      </c>
      <c r="AJ705" s="168">
        <f t="shared" si="487"/>
        <v>0</v>
      </c>
      <c r="AK705" s="169">
        <f t="shared" si="488"/>
        <v>0</v>
      </c>
      <c r="AL705" s="167">
        <f t="shared" si="489"/>
        <v>0</v>
      </c>
      <c r="AM705" s="585">
        <f t="shared" si="490"/>
        <v>0</v>
      </c>
      <c r="AN705" s="614"/>
      <c r="AO705" s="615"/>
      <c r="AP705" s="615"/>
      <c r="AQ705" s="616"/>
      <c r="AR705" s="612"/>
      <c r="AS705" s="617"/>
      <c r="AT705" s="618"/>
      <c r="AU705" s="618"/>
      <c r="AV705" s="618"/>
      <c r="AW705" s="619"/>
      <c r="AX705" s="614"/>
      <c r="AY705" s="616"/>
      <c r="AZ705" s="616"/>
      <c r="BA705" s="616"/>
      <c r="BB705" s="616"/>
      <c r="BC705" s="616"/>
      <c r="BD705" s="612"/>
      <c r="BE705" s="614"/>
      <c r="BF705" s="616"/>
      <c r="BG705" s="616"/>
      <c r="BH705" s="616"/>
      <c r="BI705" s="616"/>
      <c r="BJ705" s="616"/>
      <c r="BK705" s="1023"/>
      <c r="BL705" s="658"/>
    </row>
    <row r="706" spans="2:64">
      <c r="B706" s="1022"/>
      <c r="C706" s="607"/>
      <c r="D706" s="607"/>
      <c r="E706" s="1021"/>
      <c r="F706" s="608">
        <v>703</v>
      </c>
      <c r="G706" s="609"/>
      <c r="H706" s="610"/>
      <c r="I706" s="611"/>
      <c r="J706" s="166">
        <f t="shared" si="461"/>
        <v>0</v>
      </c>
      <c r="K706" s="167">
        <f t="shared" si="462"/>
        <v>0</v>
      </c>
      <c r="L706" s="168">
        <f t="shared" si="463"/>
        <v>0</v>
      </c>
      <c r="M706" s="166">
        <f t="shared" si="464"/>
        <v>0</v>
      </c>
      <c r="N706" s="167">
        <f t="shared" si="465"/>
        <v>0</v>
      </c>
      <c r="O706" s="168">
        <f t="shared" si="466"/>
        <v>0</v>
      </c>
      <c r="P706" s="169">
        <f t="shared" si="467"/>
        <v>0</v>
      </c>
      <c r="Q706" s="169">
        <f t="shared" si="468"/>
        <v>0</v>
      </c>
      <c r="R706" s="169">
        <f t="shared" si="469"/>
        <v>0</v>
      </c>
      <c r="S706" s="584">
        <f t="shared" si="470"/>
        <v>0</v>
      </c>
      <c r="T706" s="594">
        <f t="shared" si="471"/>
        <v>0</v>
      </c>
      <c r="U706" s="595">
        <f t="shared" si="472"/>
        <v>0</v>
      </c>
      <c r="V706" s="166">
        <f t="shared" si="473"/>
        <v>0</v>
      </c>
      <c r="W706" s="167">
        <f t="shared" si="474"/>
        <v>0</v>
      </c>
      <c r="X706" s="168">
        <f t="shared" si="475"/>
        <v>0</v>
      </c>
      <c r="Y706" s="166">
        <f t="shared" si="476"/>
        <v>0</v>
      </c>
      <c r="Z706" s="167">
        <f t="shared" si="477"/>
        <v>0</v>
      </c>
      <c r="AA706" s="168">
        <f t="shared" si="478"/>
        <v>0</v>
      </c>
      <c r="AB706" s="166">
        <f t="shared" si="479"/>
        <v>0</v>
      </c>
      <c r="AC706" s="167">
        <f t="shared" si="480"/>
        <v>0</v>
      </c>
      <c r="AD706" s="168">
        <f t="shared" si="481"/>
        <v>0</v>
      </c>
      <c r="AE706" s="166">
        <f t="shared" si="482"/>
        <v>0</v>
      </c>
      <c r="AF706" s="167">
        <f t="shared" si="483"/>
        <v>0</v>
      </c>
      <c r="AG706" s="168">
        <f t="shared" si="484"/>
        <v>0</v>
      </c>
      <c r="AH706" s="166">
        <f t="shared" si="485"/>
        <v>0</v>
      </c>
      <c r="AI706" s="167">
        <f t="shared" si="486"/>
        <v>0</v>
      </c>
      <c r="AJ706" s="168">
        <f t="shared" si="487"/>
        <v>0</v>
      </c>
      <c r="AK706" s="169">
        <f t="shared" si="488"/>
        <v>0</v>
      </c>
      <c r="AL706" s="167">
        <f t="shared" si="489"/>
        <v>0</v>
      </c>
      <c r="AM706" s="585">
        <f t="shared" si="490"/>
        <v>0</v>
      </c>
      <c r="AN706" s="614"/>
      <c r="AO706" s="615"/>
      <c r="AP706" s="615"/>
      <c r="AQ706" s="616"/>
      <c r="AR706" s="612"/>
      <c r="AS706" s="617"/>
      <c r="AT706" s="618"/>
      <c r="AU706" s="618"/>
      <c r="AV706" s="618"/>
      <c r="AW706" s="619"/>
      <c r="AX706" s="614"/>
      <c r="AY706" s="616"/>
      <c r="AZ706" s="616"/>
      <c r="BA706" s="616"/>
      <c r="BB706" s="616"/>
      <c r="BC706" s="616"/>
      <c r="BD706" s="612"/>
      <c r="BE706" s="614"/>
      <c r="BF706" s="616"/>
      <c r="BG706" s="616"/>
      <c r="BH706" s="616"/>
      <c r="BI706" s="616"/>
      <c r="BJ706" s="616"/>
      <c r="BK706" s="1023"/>
      <c r="BL706" s="658"/>
    </row>
    <row r="707" spans="2:64">
      <c r="B707" s="1022"/>
      <c r="C707" s="607"/>
      <c r="D707" s="607"/>
      <c r="E707" s="1021"/>
      <c r="F707" s="1019">
        <v>704</v>
      </c>
      <c r="G707" s="609"/>
      <c r="H707" s="610"/>
      <c r="I707" s="611"/>
      <c r="J707" s="166">
        <f t="shared" si="461"/>
        <v>0</v>
      </c>
      <c r="K707" s="167">
        <f t="shared" si="462"/>
        <v>0</v>
      </c>
      <c r="L707" s="168">
        <f t="shared" si="463"/>
        <v>0</v>
      </c>
      <c r="M707" s="166">
        <f t="shared" si="464"/>
        <v>0</v>
      </c>
      <c r="N707" s="167">
        <f t="shared" si="465"/>
        <v>0</v>
      </c>
      <c r="O707" s="168">
        <f t="shared" si="466"/>
        <v>0</v>
      </c>
      <c r="P707" s="169">
        <f t="shared" si="467"/>
        <v>0</v>
      </c>
      <c r="Q707" s="169">
        <f t="shared" si="468"/>
        <v>0</v>
      </c>
      <c r="R707" s="169">
        <f t="shared" si="469"/>
        <v>0</v>
      </c>
      <c r="S707" s="584">
        <f t="shared" si="470"/>
        <v>0</v>
      </c>
      <c r="T707" s="594">
        <f t="shared" si="471"/>
        <v>0</v>
      </c>
      <c r="U707" s="595">
        <f t="shared" si="472"/>
        <v>0</v>
      </c>
      <c r="V707" s="166">
        <f t="shared" si="473"/>
        <v>0</v>
      </c>
      <c r="W707" s="167">
        <f t="shared" si="474"/>
        <v>0</v>
      </c>
      <c r="X707" s="168">
        <f t="shared" si="475"/>
        <v>0</v>
      </c>
      <c r="Y707" s="166">
        <f t="shared" si="476"/>
        <v>0</v>
      </c>
      <c r="Z707" s="167">
        <f t="shared" si="477"/>
        <v>0</v>
      </c>
      <c r="AA707" s="168">
        <f t="shared" si="478"/>
        <v>0</v>
      </c>
      <c r="AB707" s="166">
        <f t="shared" si="479"/>
        <v>0</v>
      </c>
      <c r="AC707" s="167">
        <f t="shared" si="480"/>
        <v>0</v>
      </c>
      <c r="AD707" s="168">
        <f t="shared" si="481"/>
        <v>0</v>
      </c>
      <c r="AE707" s="166">
        <f t="shared" si="482"/>
        <v>0</v>
      </c>
      <c r="AF707" s="167">
        <f t="shared" si="483"/>
        <v>0</v>
      </c>
      <c r="AG707" s="168">
        <f t="shared" si="484"/>
        <v>0</v>
      </c>
      <c r="AH707" s="166">
        <f t="shared" si="485"/>
        <v>0</v>
      </c>
      <c r="AI707" s="167">
        <f t="shared" si="486"/>
        <v>0</v>
      </c>
      <c r="AJ707" s="168">
        <f t="shared" si="487"/>
        <v>0</v>
      </c>
      <c r="AK707" s="169">
        <f t="shared" si="488"/>
        <v>0</v>
      </c>
      <c r="AL707" s="167">
        <f t="shared" si="489"/>
        <v>0</v>
      </c>
      <c r="AM707" s="585">
        <f t="shared" si="490"/>
        <v>0</v>
      </c>
      <c r="AN707" s="614"/>
      <c r="AO707" s="615"/>
      <c r="AP707" s="615"/>
      <c r="AQ707" s="616"/>
      <c r="AR707" s="612"/>
      <c r="AS707" s="617"/>
      <c r="AT707" s="618"/>
      <c r="AU707" s="618"/>
      <c r="AV707" s="618"/>
      <c r="AW707" s="619"/>
      <c r="AX707" s="614"/>
      <c r="AY707" s="616"/>
      <c r="AZ707" s="616"/>
      <c r="BA707" s="616"/>
      <c r="BB707" s="616"/>
      <c r="BC707" s="616"/>
      <c r="BD707" s="612"/>
      <c r="BE707" s="614"/>
      <c r="BF707" s="616"/>
      <c r="BG707" s="616"/>
      <c r="BH707" s="616"/>
      <c r="BI707" s="616"/>
      <c r="BJ707" s="616"/>
      <c r="BK707" s="1023"/>
      <c r="BL707" s="658"/>
    </row>
    <row r="708" spans="2:64">
      <c r="B708" s="1022"/>
      <c r="C708" s="607"/>
      <c r="D708" s="607"/>
      <c r="E708" s="1021"/>
      <c r="F708" s="608">
        <v>705</v>
      </c>
      <c r="G708" s="609"/>
      <c r="H708" s="610"/>
      <c r="I708" s="611"/>
      <c r="J708" s="166">
        <f t="shared" ref="J708:J771" si="491">INT(G708/50+0.05)</f>
        <v>0</v>
      </c>
      <c r="K708" s="167">
        <f t="shared" ref="K708:K771" si="492">INT(H708/50+0.05)</f>
        <v>0</v>
      </c>
      <c r="L708" s="168">
        <f t="shared" ref="L708:L771" si="493">INT(I708/50+0.05)</f>
        <v>0</v>
      </c>
      <c r="M708" s="166">
        <f t="shared" ref="M708:M771" si="494">INT(IF($C708="UR",IF($E708="party卡",G708*0.0270833333333333,G708*0.025),0)+IF($C708="SR",G708*0.03,0)+IF($C708="R",G708*0.0375,0)+0.05)</f>
        <v>0</v>
      </c>
      <c r="N708" s="167">
        <f t="shared" ref="N708:N771" si="495">INT(IF($C708="UR",IF($E708="party卡",H708*0.0270833333333333,H708*0.025),0)+IF($C708="SR",H708*0.03,0)+IF($C708="R",H708*0.0375,0)+0.05)</f>
        <v>0</v>
      </c>
      <c r="O708" s="168">
        <f t="shared" ref="O708:O771" si="496">INT(IF($C708="UR",IF($E708="party卡",I708*0.0270833333333333,I708*0.025),0)+IF($C708="SR",I708*0.03,0)+IF($C708="R",I708*0.0375,0)+0.05)</f>
        <v>0</v>
      </c>
      <c r="P708" s="169">
        <f t="shared" ref="P708:P771" si="497">INT(IF($C708="UR",IF($E708="party卡",G708*0.04375,G708*0.0375),0)+IF($C708="SR",G708*0.04,0)+IF($C708="R",G708*0.05,0)+0.05)</f>
        <v>0</v>
      </c>
      <c r="Q708" s="169">
        <f t="shared" ref="Q708:Q771" si="498">INT(IF($C708="UR",IF($E708="party卡",H708*0.04375,H708*0.0375),0)+IF($C708="SR",H708*0.04,0)+IF($C708="R",H708*0.05,0)+0.05)</f>
        <v>0</v>
      </c>
      <c r="R708" s="169">
        <f t="shared" ref="R708:R771" si="499">INT(IF($C708="UR",IF($E708="party卡",I708*0.04375,I708*0.0375),0)+IF($C708="SR",I708*0.04,0)+IF($C708="R",I708*0.05,0)+0.05)</f>
        <v>0</v>
      </c>
      <c r="S708" s="584">
        <f t="shared" si="470"/>
        <v>0</v>
      </c>
      <c r="T708" s="594">
        <f t="shared" si="471"/>
        <v>0</v>
      </c>
      <c r="U708" s="595">
        <f t="shared" si="472"/>
        <v>0</v>
      </c>
      <c r="V708" s="166">
        <f t="shared" si="473"/>
        <v>0</v>
      </c>
      <c r="W708" s="167">
        <f t="shared" si="474"/>
        <v>0</v>
      </c>
      <c r="X708" s="168">
        <f t="shared" si="475"/>
        <v>0</v>
      </c>
      <c r="Y708" s="166">
        <f t="shared" si="476"/>
        <v>0</v>
      </c>
      <c r="Z708" s="167">
        <f t="shared" si="477"/>
        <v>0</v>
      </c>
      <c r="AA708" s="168">
        <f t="shared" si="478"/>
        <v>0</v>
      </c>
      <c r="AB708" s="166">
        <f t="shared" si="479"/>
        <v>0</v>
      </c>
      <c r="AC708" s="167">
        <f t="shared" si="480"/>
        <v>0</v>
      </c>
      <c r="AD708" s="168">
        <f t="shared" si="481"/>
        <v>0</v>
      </c>
      <c r="AE708" s="166">
        <f t="shared" si="482"/>
        <v>0</v>
      </c>
      <c r="AF708" s="167">
        <f t="shared" si="483"/>
        <v>0</v>
      </c>
      <c r="AG708" s="168">
        <f t="shared" si="484"/>
        <v>0</v>
      </c>
      <c r="AH708" s="166">
        <f t="shared" si="485"/>
        <v>0</v>
      </c>
      <c r="AI708" s="167">
        <f t="shared" si="486"/>
        <v>0</v>
      </c>
      <c r="AJ708" s="168">
        <f t="shared" si="487"/>
        <v>0</v>
      </c>
      <c r="AK708" s="169">
        <f t="shared" si="488"/>
        <v>0</v>
      </c>
      <c r="AL708" s="167">
        <f t="shared" si="489"/>
        <v>0</v>
      </c>
      <c r="AM708" s="585">
        <f t="shared" si="490"/>
        <v>0</v>
      </c>
      <c r="AN708" s="614"/>
      <c r="AO708" s="615"/>
      <c r="AP708" s="615"/>
      <c r="AQ708" s="616"/>
      <c r="AR708" s="612"/>
      <c r="AS708" s="617"/>
      <c r="AT708" s="618"/>
      <c r="AU708" s="618"/>
      <c r="AV708" s="618"/>
      <c r="AW708" s="619"/>
      <c r="AX708" s="614"/>
      <c r="AY708" s="616"/>
      <c r="AZ708" s="616"/>
      <c r="BA708" s="616"/>
      <c r="BB708" s="616"/>
      <c r="BC708" s="616"/>
      <c r="BD708" s="612"/>
      <c r="BE708" s="614"/>
      <c r="BF708" s="616"/>
      <c r="BG708" s="616"/>
      <c r="BH708" s="616"/>
      <c r="BI708" s="616"/>
      <c r="BJ708" s="616"/>
      <c r="BK708" s="1023"/>
      <c r="BL708" s="658"/>
    </row>
    <row r="709" spans="2:64">
      <c r="B709" s="1022"/>
      <c r="C709" s="607"/>
      <c r="D709" s="607"/>
      <c r="E709" s="1021"/>
      <c r="F709" s="1019">
        <v>706</v>
      </c>
      <c r="G709" s="609"/>
      <c r="H709" s="610"/>
      <c r="I709" s="611"/>
      <c r="J709" s="166">
        <f t="shared" si="491"/>
        <v>0</v>
      </c>
      <c r="K709" s="167">
        <f t="shared" si="492"/>
        <v>0</v>
      </c>
      <c r="L709" s="168">
        <f t="shared" si="493"/>
        <v>0</v>
      </c>
      <c r="M709" s="166">
        <f t="shared" si="494"/>
        <v>0</v>
      </c>
      <c r="N709" s="167">
        <f t="shared" si="495"/>
        <v>0</v>
      </c>
      <c r="O709" s="168">
        <f t="shared" si="496"/>
        <v>0</v>
      </c>
      <c r="P709" s="169">
        <f t="shared" si="497"/>
        <v>0</v>
      </c>
      <c r="Q709" s="169">
        <f t="shared" si="498"/>
        <v>0</v>
      </c>
      <c r="R709" s="169">
        <f t="shared" si="499"/>
        <v>0</v>
      </c>
      <c r="S709" s="584">
        <f t="shared" si="470"/>
        <v>0</v>
      </c>
      <c r="T709" s="594">
        <f t="shared" si="471"/>
        <v>0</v>
      </c>
      <c r="U709" s="595">
        <f t="shared" si="472"/>
        <v>0</v>
      </c>
      <c r="V709" s="166">
        <f t="shared" si="473"/>
        <v>0</v>
      </c>
      <c r="W709" s="167">
        <f t="shared" si="474"/>
        <v>0</v>
      </c>
      <c r="X709" s="168">
        <f t="shared" si="475"/>
        <v>0</v>
      </c>
      <c r="Y709" s="166">
        <f t="shared" si="476"/>
        <v>0</v>
      </c>
      <c r="Z709" s="167">
        <f t="shared" si="477"/>
        <v>0</v>
      </c>
      <c r="AA709" s="168">
        <f t="shared" si="478"/>
        <v>0</v>
      </c>
      <c r="AB709" s="166">
        <f t="shared" si="479"/>
        <v>0</v>
      </c>
      <c r="AC709" s="167">
        <f t="shared" si="480"/>
        <v>0</v>
      </c>
      <c r="AD709" s="168">
        <f t="shared" si="481"/>
        <v>0</v>
      </c>
      <c r="AE709" s="166">
        <f t="shared" si="482"/>
        <v>0</v>
      </c>
      <c r="AF709" s="167">
        <f t="shared" si="483"/>
        <v>0</v>
      </c>
      <c r="AG709" s="168">
        <f t="shared" si="484"/>
        <v>0</v>
      </c>
      <c r="AH709" s="166">
        <f t="shared" si="485"/>
        <v>0</v>
      </c>
      <c r="AI709" s="167">
        <f t="shared" si="486"/>
        <v>0</v>
      </c>
      <c r="AJ709" s="168">
        <f t="shared" si="487"/>
        <v>0</v>
      </c>
      <c r="AK709" s="169">
        <f t="shared" si="488"/>
        <v>0</v>
      </c>
      <c r="AL709" s="167">
        <f t="shared" si="489"/>
        <v>0</v>
      </c>
      <c r="AM709" s="585">
        <f t="shared" si="490"/>
        <v>0</v>
      </c>
      <c r="AN709" s="614"/>
      <c r="AO709" s="615"/>
      <c r="AP709" s="615"/>
      <c r="AQ709" s="616"/>
      <c r="AR709" s="612"/>
      <c r="AS709" s="617"/>
      <c r="AT709" s="618"/>
      <c r="AU709" s="618"/>
      <c r="AV709" s="618"/>
      <c r="AW709" s="619"/>
      <c r="AX709" s="614"/>
      <c r="AY709" s="616"/>
      <c r="AZ709" s="616"/>
      <c r="BA709" s="616"/>
      <c r="BB709" s="616"/>
      <c r="BC709" s="616"/>
      <c r="BD709" s="612"/>
      <c r="BE709" s="614"/>
      <c r="BF709" s="616"/>
      <c r="BG709" s="616"/>
      <c r="BH709" s="616"/>
      <c r="BI709" s="616"/>
      <c r="BJ709" s="616"/>
      <c r="BK709" s="1023"/>
      <c r="BL709" s="658"/>
    </row>
    <row r="710" spans="2:64">
      <c r="B710" s="1022"/>
      <c r="C710" s="607"/>
      <c r="D710" s="607"/>
      <c r="E710" s="1021"/>
      <c r="F710" s="608">
        <v>707</v>
      </c>
      <c r="G710" s="609"/>
      <c r="H710" s="610"/>
      <c r="I710" s="611"/>
      <c r="J710" s="166">
        <f t="shared" si="491"/>
        <v>0</v>
      </c>
      <c r="K710" s="167">
        <f t="shared" si="492"/>
        <v>0</v>
      </c>
      <c r="L710" s="168">
        <f t="shared" si="493"/>
        <v>0</v>
      </c>
      <c r="M710" s="166">
        <f t="shared" si="494"/>
        <v>0</v>
      </c>
      <c r="N710" s="167">
        <f t="shared" si="495"/>
        <v>0</v>
      </c>
      <c r="O710" s="168">
        <f t="shared" si="496"/>
        <v>0</v>
      </c>
      <c r="P710" s="169">
        <f t="shared" si="497"/>
        <v>0</v>
      </c>
      <c r="Q710" s="169">
        <f t="shared" si="498"/>
        <v>0</v>
      </c>
      <c r="R710" s="169">
        <f t="shared" si="499"/>
        <v>0</v>
      </c>
      <c r="S710" s="584">
        <f t="shared" si="470"/>
        <v>0</v>
      </c>
      <c r="T710" s="594">
        <f t="shared" si="471"/>
        <v>0</v>
      </c>
      <c r="U710" s="595">
        <f t="shared" si="472"/>
        <v>0</v>
      </c>
      <c r="V710" s="166">
        <f t="shared" si="473"/>
        <v>0</v>
      </c>
      <c r="W710" s="167">
        <f t="shared" si="474"/>
        <v>0</v>
      </c>
      <c r="X710" s="168">
        <f t="shared" si="475"/>
        <v>0</v>
      </c>
      <c r="Y710" s="166">
        <f t="shared" si="476"/>
        <v>0</v>
      </c>
      <c r="Z710" s="167">
        <f t="shared" si="477"/>
        <v>0</v>
      </c>
      <c r="AA710" s="168">
        <f t="shared" si="478"/>
        <v>0</v>
      </c>
      <c r="AB710" s="166">
        <f t="shared" si="479"/>
        <v>0</v>
      </c>
      <c r="AC710" s="167">
        <f t="shared" si="480"/>
        <v>0</v>
      </c>
      <c r="AD710" s="168">
        <f t="shared" si="481"/>
        <v>0</v>
      </c>
      <c r="AE710" s="166">
        <f t="shared" si="482"/>
        <v>0</v>
      </c>
      <c r="AF710" s="167">
        <f t="shared" si="483"/>
        <v>0</v>
      </c>
      <c r="AG710" s="168">
        <f t="shared" si="484"/>
        <v>0</v>
      </c>
      <c r="AH710" s="166">
        <f t="shared" si="485"/>
        <v>0</v>
      </c>
      <c r="AI710" s="167">
        <f t="shared" si="486"/>
        <v>0</v>
      </c>
      <c r="AJ710" s="168">
        <f t="shared" si="487"/>
        <v>0</v>
      </c>
      <c r="AK710" s="169">
        <f t="shared" si="488"/>
        <v>0</v>
      </c>
      <c r="AL710" s="167">
        <f t="shared" si="489"/>
        <v>0</v>
      </c>
      <c r="AM710" s="585">
        <f t="shared" si="490"/>
        <v>0</v>
      </c>
      <c r="AN710" s="614"/>
      <c r="AO710" s="615"/>
      <c r="AP710" s="615"/>
      <c r="AQ710" s="616"/>
      <c r="AR710" s="612"/>
      <c r="AS710" s="617"/>
      <c r="AT710" s="618"/>
      <c r="AU710" s="618"/>
      <c r="AV710" s="618"/>
      <c r="AW710" s="619"/>
      <c r="AX710" s="614"/>
      <c r="AY710" s="616"/>
      <c r="AZ710" s="616"/>
      <c r="BA710" s="616"/>
      <c r="BB710" s="616"/>
      <c r="BC710" s="616"/>
      <c r="BD710" s="612"/>
      <c r="BE710" s="614"/>
      <c r="BF710" s="616"/>
      <c r="BG710" s="616"/>
      <c r="BH710" s="616"/>
      <c r="BI710" s="616"/>
      <c r="BJ710" s="616"/>
      <c r="BK710" s="1023"/>
      <c r="BL710" s="658"/>
    </row>
    <row r="711" spans="2:64">
      <c r="B711" s="1022"/>
      <c r="C711" s="607"/>
      <c r="D711" s="607"/>
      <c r="E711" s="1021"/>
      <c r="F711" s="1019">
        <v>708</v>
      </c>
      <c r="G711" s="609"/>
      <c r="H711" s="610"/>
      <c r="I711" s="611"/>
      <c r="J711" s="166">
        <f t="shared" si="491"/>
        <v>0</v>
      </c>
      <c r="K711" s="167">
        <f t="shared" si="492"/>
        <v>0</v>
      </c>
      <c r="L711" s="168">
        <f t="shared" si="493"/>
        <v>0</v>
      </c>
      <c r="M711" s="166">
        <f t="shared" si="494"/>
        <v>0</v>
      </c>
      <c r="N711" s="167">
        <f t="shared" si="495"/>
        <v>0</v>
      </c>
      <c r="O711" s="168">
        <f t="shared" si="496"/>
        <v>0</v>
      </c>
      <c r="P711" s="169">
        <f t="shared" si="497"/>
        <v>0</v>
      </c>
      <c r="Q711" s="169">
        <f t="shared" si="498"/>
        <v>0</v>
      </c>
      <c r="R711" s="169">
        <f t="shared" si="499"/>
        <v>0</v>
      </c>
      <c r="S711" s="584">
        <f t="shared" si="470"/>
        <v>0</v>
      </c>
      <c r="T711" s="594">
        <f t="shared" si="471"/>
        <v>0</v>
      </c>
      <c r="U711" s="595">
        <f t="shared" si="472"/>
        <v>0</v>
      </c>
      <c r="V711" s="166">
        <f t="shared" si="473"/>
        <v>0</v>
      </c>
      <c r="W711" s="167">
        <f t="shared" si="474"/>
        <v>0</v>
      </c>
      <c r="X711" s="168">
        <f t="shared" si="475"/>
        <v>0</v>
      </c>
      <c r="Y711" s="166">
        <f t="shared" si="476"/>
        <v>0</v>
      </c>
      <c r="Z711" s="167">
        <f t="shared" si="477"/>
        <v>0</v>
      </c>
      <c r="AA711" s="168">
        <f t="shared" si="478"/>
        <v>0</v>
      </c>
      <c r="AB711" s="166">
        <f t="shared" si="479"/>
        <v>0</v>
      </c>
      <c r="AC711" s="167">
        <f t="shared" si="480"/>
        <v>0</v>
      </c>
      <c r="AD711" s="168">
        <f t="shared" si="481"/>
        <v>0</v>
      </c>
      <c r="AE711" s="166">
        <f t="shared" si="482"/>
        <v>0</v>
      </c>
      <c r="AF711" s="167">
        <f t="shared" si="483"/>
        <v>0</v>
      </c>
      <c r="AG711" s="168">
        <f t="shared" si="484"/>
        <v>0</v>
      </c>
      <c r="AH711" s="166">
        <f t="shared" si="485"/>
        <v>0</v>
      </c>
      <c r="AI711" s="167">
        <f t="shared" si="486"/>
        <v>0</v>
      </c>
      <c r="AJ711" s="168">
        <f t="shared" si="487"/>
        <v>0</v>
      </c>
      <c r="AK711" s="169">
        <f t="shared" si="488"/>
        <v>0</v>
      </c>
      <c r="AL711" s="167">
        <f t="shared" si="489"/>
        <v>0</v>
      </c>
      <c r="AM711" s="585">
        <f t="shared" si="490"/>
        <v>0</v>
      </c>
      <c r="AN711" s="614"/>
      <c r="AO711" s="615"/>
      <c r="AP711" s="615"/>
      <c r="AQ711" s="616"/>
      <c r="AR711" s="612"/>
      <c r="AS711" s="617"/>
      <c r="AT711" s="618"/>
      <c r="AU711" s="618"/>
      <c r="AV711" s="618"/>
      <c r="AW711" s="619"/>
      <c r="AX711" s="614"/>
      <c r="AY711" s="616"/>
      <c r="AZ711" s="616"/>
      <c r="BA711" s="616"/>
      <c r="BB711" s="616"/>
      <c r="BC711" s="616"/>
      <c r="BD711" s="612"/>
      <c r="BE711" s="614"/>
      <c r="BF711" s="616"/>
      <c r="BG711" s="616"/>
      <c r="BH711" s="616"/>
      <c r="BI711" s="616"/>
      <c r="BJ711" s="616"/>
      <c r="BK711" s="1023"/>
      <c r="BL711" s="658"/>
    </row>
    <row r="712" spans="2:64">
      <c r="B712" s="1022"/>
      <c r="C712" s="607"/>
      <c r="D712" s="607"/>
      <c r="E712" s="1021"/>
      <c r="F712" s="608">
        <v>709</v>
      </c>
      <c r="G712" s="609"/>
      <c r="H712" s="610"/>
      <c r="I712" s="611"/>
      <c r="J712" s="166">
        <f t="shared" si="491"/>
        <v>0</v>
      </c>
      <c r="K712" s="167">
        <f t="shared" si="492"/>
        <v>0</v>
      </c>
      <c r="L712" s="168">
        <f t="shared" si="493"/>
        <v>0</v>
      </c>
      <c r="M712" s="166">
        <f t="shared" si="494"/>
        <v>0</v>
      </c>
      <c r="N712" s="167">
        <f t="shared" si="495"/>
        <v>0</v>
      </c>
      <c r="O712" s="168">
        <f t="shared" si="496"/>
        <v>0</v>
      </c>
      <c r="P712" s="169">
        <f t="shared" si="497"/>
        <v>0</v>
      </c>
      <c r="Q712" s="169">
        <f t="shared" si="498"/>
        <v>0</v>
      </c>
      <c r="R712" s="169">
        <f t="shared" si="499"/>
        <v>0</v>
      </c>
      <c r="S712" s="584">
        <f t="shared" si="470"/>
        <v>0</v>
      </c>
      <c r="T712" s="594">
        <f t="shared" si="471"/>
        <v>0</v>
      </c>
      <c r="U712" s="595">
        <f t="shared" si="472"/>
        <v>0</v>
      </c>
      <c r="V712" s="166">
        <f t="shared" si="473"/>
        <v>0</v>
      </c>
      <c r="W712" s="167">
        <f t="shared" si="474"/>
        <v>0</v>
      </c>
      <c r="X712" s="168">
        <f t="shared" si="475"/>
        <v>0</v>
      </c>
      <c r="Y712" s="166">
        <f t="shared" si="476"/>
        <v>0</v>
      </c>
      <c r="Z712" s="167">
        <f t="shared" si="477"/>
        <v>0</v>
      </c>
      <c r="AA712" s="168">
        <f t="shared" si="478"/>
        <v>0</v>
      </c>
      <c r="AB712" s="166">
        <f t="shared" si="479"/>
        <v>0</v>
      </c>
      <c r="AC712" s="167">
        <f t="shared" si="480"/>
        <v>0</v>
      </c>
      <c r="AD712" s="168">
        <f t="shared" si="481"/>
        <v>0</v>
      </c>
      <c r="AE712" s="166">
        <f t="shared" si="482"/>
        <v>0</v>
      </c>
      <c r="AF712" s="167">
        <f t="shared" si="483"/>
        <v>0</v>
      </c>
      <c r="AG712" s="168">
        <f t="shared" si="484"/>
        <v>0</v>
      </c>
      <c r="AH712" s="166">
        <f t="shared" si="485"/>
        <v>0</v>
      </c>
      <c r="AI712" s="167">
        <f t="shared" si="486"/>
        <v>0</v>
      </c>
      <c r="AJ712" s="168">
        <f t="shared" si="487"/>
        <v>0</v>
      </c>
      <c r="AK712" s="169">
        <f t="shared" si="488"/>
        <v>0</v>
      </c>
      <c r="AL712" s="167">
        <f t="shared" si="489"/>
        <v>0</v>
      </c>
      <c r="AM712" s="585">
        <f t="shared" si="490"/>
        <v>0</v>
      </c>
      <c r="AN712" s="614"/>
      <c r="AO712" s="615"/>
      <c r="AP712" s="615"/>
      <c r="AQ712" s="616"/>
      <c r="AR712" s="612"/>
      <c r="AS712" s="617"/>
      <c r="AT712" s="618"/>
      <c r="AU712" s="618"/>
      <c r="AV712" s="618"/>
      <c r="AW712" s="619"/>
      <c r="AX712" s="614"/>
      <c r="AY712" s="616"/>
      <c r="AZ712" s="616"/>
      <c r="BA712" s="616"/>
      <c r="BB712" s="616"/>
      <c r="BC712" s="616"/>
      <c r="BD712" s="612"/>
      <c r="BE712" s="614"/>
      <c r="BF712" s="616"/>
      <c r="BG712" s="616"/>
      <c r="BH712" s="616"/>
      <c r="BI712" s="616"/>
      <c r="BJ712" s="616"/>
      <c r="BK712" s="1023"/>
      <c r="BL712" s="658"/>
    </row>
    <row r="713" spans="2:64">
      <c r="B713" s="1022"/>
      <c r="C713" s="607"/>
      <c r="D713" s="607"/>
      <c r="E713" s="1021"/>
      <c r="F713" s="1019">
        <v>710</v>
      </c>
      <c r="G713" s="609"/>
      <c r="H713" s="610"/>
      <c r="I713" s="611"/>
      <c r="J713" s="166">
        <f t="shared" si="491"/>
        <v>0</v>
      </c>
      <c r="K713" s="167">
        <f t="shared" si="492"/>
        <v>0</v>
      </c>
      <c r="L713" s="168">
        <f t="shared" si="493"/>
        <v>0</v>
      </c>
      <c r="M713" s="166">
        <f t="shared" si="494"/>
        <v>0</v>
      </c>
      <c r="N713" s="167">
        <f t="shared" si="495"/>
        <v>0</v>
      </c>
      <c r="O713" s="168">
        <f t="shared" si="496"/>
        <v>0</v>
      </c>
      <c r="P713" s="169">
        <f t="shared" si="497"/>
        <v>0</v>
      </c>
      <c r="Q713" s="169">
        <f t="shared" si="498"/>
        <v>0</v>
      </c>
      <c r="R713" s="169">
        <f t="shared" si="499"/>
        <v>0</v>
      </c>
      <c r="S713" s="584">
        <f t="shared" si="470"/>
        <v>0</v>
      </c>
      <c r="T713" s="594">
        <f t="shared" si="471"/>
        <v>0</v>
      </c>
      <c r="U713" s="595">
        <f t="shared" si="472"/>
        <v>0</v>
      </c>
      <c r="V713" s="166">
        <f t="shared" si="473"/>
        <v>0</v>
      </c>
      <c r="W713" s="167">
        <f t="shared" si="474"/>
        <v>0</v>
      </c>
      <c r="X713" s="168">
        <f t="shared" si="475"/>
        <v>0</v>
      </c>
      <c r="Y713" s="166">
        <f t="shared" si="476"/>
        <v>0</v>
      </c>
      <c r="Z713" s="167">
        <f t="shared" si="477"/>
        <v>0</v>
      </c>
      <c r="AA713" s="168">
        <f t="shared" si="478"/>
        <v>0</v>
      </c>
      <c r="AB713" s="166">
        <f t="shared" si="479"/>
        <v>0</v>
      </c>
      <c r="AC713" s="167">
        <f t="shared" si="480"/>
        <v>0</v>
      </c>
      <c r="AD713" s="168">
        <f t="shared" si="481"/>
        <v>0</v>
      </c>
      <c r="AE713" s="166">
        <f t="shared" si="482"/>
        <v>0</v>
      </c>
      <c r="AF713" s="167">
        <f t="shared" si="483"/>
        <v>0</v>
      </c>
      <c r="AG713" s="168">
        <f t="shared" si="484"/>
        <v>0</v>
      </c>
      <c r="AH713" s="166">
        <f t="shared" si="485"/>
        <v>0</v>
      </c>
      <c r="AI713" s="167">
        <f t="shared" si="486"/>
        <v>0</v>
      </c>
      <c r="AJ713" s="168">
        <f t="shared" si="487"/>
        <v>0</v>
      </c>
      <c r="AK713" s="169">
        <f t="shared" si="488"/>
        <v>0</v>
      </c>
      <c r="AL713" s="167">
        <f t="shared" si="489"/>
        <v>0</v>
      </c>
      <c r="AM713" s="585">
        <f t="shared" si="490"/>
        <v>0</v>
      </c>
      <c r="AN713" s="614"/>
      <c r="AO713" s="615"/>
      <c r="AP713" s="615"/>
      <c r="AQ713" s="616"/>
      <c r="AR713" s="612"/>
      <c r="AS713" s="617"/>
      <c r="AT713" s="618"/>
      <c r="AU713" s="618"/>
      <c r="AV713" s="618"/>
      <c r="AW713" s="619"/>
      <c r="AX713" s="614"/>
      <c r="AY713" s="616"/>
      <c r="AZ713" s="616"/>
      <c r="BA713" s="616"/>
      <c r="BB713" s="616"/>
      <c r="BC713" s="616"/>
      <c r="BD713" s="612"/>
      <c r="BE713" s="614"/>
      <c r="BF713" s="616"/>
      <c r="BG713" s="616"/>
      <c r="BH713" s="616"/>
      <c r="BI713" s="616"/>
      <c r="BJ713" s="616"/>
      <c r="BK713" s="1023"/>
      <c r="BL713" s="658"/>
    </row>
    <row r="714" spans="2:64">
      <c r="B714" s="1022"/>
      <c r="C714" s="607"/>
      <c r="D714" s="607"/>
      <c r="E714" s="1021"/>
      <c r="F714" s="608">
        <v>711</v>
      </c>
      <c r="G714" s="609"/>
      <c r="H714" s="610"/>
      <c r="I714" s="611"/>
      <c r="J714" s="166">
        <f t="shared" si="491"/>
        <v>0</v>
      </c>
      <c r="K714" s="167">
        <f t="shared" si="492"/>
        <v>0</v>
      </c>
      <c r="L714" s="168">
        <f t="shared" si="493"/>
        <v>0</v>
      </c>
      <c r="M714" s="166">
        <f t="shared" si="494"/>
        <v>0</v>
      </c>
      <c r="N714" s="167">
        <f t="shared" si="495"/>
        <v>0</v>
      </c>
      <c r="O714" s="168">
        <f t="shared" si="496"/>
        <v>0</v>
      </c>
      <c r="P714" s="169">
        <f t="shared" si="497"/>
        <v>0</v>
      </c>
      <c r="Q714" s="169">
        <f t="shared" si="498"/>
        <v>0</v>
      </c>
      <c r="R714" s="169">
        <f t="shared" si="499"/>
        <v>0</v>
      </c>
      <c r="S714" s="584">
        <f t="shared" si="470"/>
        <v>0</v>
      </c>
      <c r="T714" s="594">
        <f t="shared" si="471"/>
        <v>0</v>
      </c>
      <c r="U714" s="595">
        <f t="shared" si="472"/>
        <v>0</v>
      </c>
      <c r="V714" s="166">
        <f t="shared" si="473"/>
        <v>0</v>
      </c>
      <c r="W714" s="167">
        <f t="shared" si="474"/>
        <v>0</v>
      </c>
      <c r="X714" s="168">
        <f t="shared" si="475"/>
        <v>0</v>
      </c>
      <c r="Y714" s="166">
        <f t="shared" si="476"/>
        <v>0</v>
      </c>
      <c r="Z714" s="167">
        <f t="shared" si="477"/>
        <v>0</v>
      </c>
      <c r="AA714" s="168">
        <f t="shared" si="478"/>
        <v>0</v>
      </c>
      <c r="AB714" s="166">
        <f t="shared" si="479"/>
        <v>0</v>
      </c>
      <c r="AC714" s="167">
        <f t="shared" si="480"/>
        <v>0</v>
      </c>
      <c r="AD714" s="168">
        <f t="shared" si="481"/>
        <v>0</v>
      </c>
      <c r="AE714" s="166">
        <f t="shared" si="482"/>
        <v>0</v>
      </c>
      <c r="AF714" s="167">
        <f t="shared" si="483"/>
        <v>0</v>
      </c>
      <c r="AG714" s="168">
        <f t="shared" si="484"/>
        <v>0</v>
      </c>
      <c r="AH714" s="166">
        <f t="shared" si="485"/>
        <v>0</v>
      </c>
      <c r="AI714" s="167">
        <f t="shared" si="486"/>
        <v>0</v>
      </c>
      <c r="AJ714" s="168">
        <f t="shared" si="487"/>
        <v>0</v>
      </c>
      <c r="AK714" s="169">
        <f t="shared" si="488"/>
        <v>0</v>
      </c>
      <c r="AL714" s="167">
        <f t="shared" si="489"/>
        <v>0</v>
      </c>
      <c r="AM714" s="585">
        <f t="shared" si="490"/>
        <v>0</v>
      </c>
      <c r="AN714" s="614"/>
      <c r="AO714" s="615"/>
      <c r="AP714" s="615"/>
      <c r="AQ714" s="616"/>
      <c r="AR714" s="612"/>
      <c r="AS714" s="617"/>
      <c r="AT714" s="618"/>
      <c r="AU714" s="618"/>
      <c r="AV714" s="618"/>
      <c r="AW714" s="619"/>
      <c r="AX714" s="614"/>
      <c r="AY714" s="616"/>
      <c r="AZ714" s="616"/>
      <c r="BA714" s="616"/>
      <c r="BB714" s="616"/>
      <c r="BC714" s="616"/>
      <c r="BD714" s="612"/>
      <c r="BE714" s="614"/>
      <c r="BF714" s="616"/>
      <c r="BG714" s="616"/>
      <c r="BH714" s="616"/>
      <c r="BI714" s="616"/>
      <c r="BJ714" s="616"/>
      <c r="BK714" s="1023"/>
      <c r="BL714" s="658"/>
    </row>
    <row r="715" spans="2:64">
      <c r="B715" s="1022"/>
      <c r="C715" s="607"/>
      <c r="D715" s="607"/>
      <c r="E715" s="1021"/>
      <c r="F715" s="1019">
        <v>712</v>
      </c>
      <c r="G715" s="609"/>
      <c r="H715" s="610"/>
      <c r="I715" s="611"/>
      <c r="J715" s="166">
        <f t="shared" si="491"/>
        <v>0</v>
      </c>
      <c r="K715" s="167">
        <f t="shared" si="492"/>
        <v>0</v>
      </c>
      <c r="L715" s="168">
        <f t="shared" si="493"/>
        <v>0</v>
      </c>
      <c r="M715" s="166">
        <f t="shared" si="494"/>
        <v>0</v>
      </c>
      <c r="N715" s="167">
        <f t="shared" si="495"/>
        <v>0</v>
      </c>
      <c r="O715" s="168">
        <f t="shared" si="496"/>
        <v>0</v>
      </c>
      <c r="P715" s="169">
        <f t="shared" si="497"/>
        <v>0</v>
      </c>
      <c r="Q715" s="169">
        <f t="shared" si="498"/>
        <v>0</v>
      </c>
      <c r="R715" s="169">
        <f t="shared" si="499"/>
        <v>0</v>
      </c>
      <c r="S715" s="584">
        <f t="shared" si="470"/>
        <v>0</v>
      </c>
      <c r="T715" s="594">
        <f t="shared" si="471"/>
        <v>0</v>
      </c>
      <c r="U715" s="595">
        <f t="shared" si="472"/>
        <v>0</v>
      </c>
      <c r="V715" s="166">
        <f t="shared" si="473"/>
        <v>0</v>
      </c>
      <c r="W715" s="167">
        <f t="shared" si="474"/>
        <v>0</v>
      </c>
      <c r="X715" s="168">
        <f t="shared" si="475"/>
        <v>0</v>
      </c>
      <c r="Y715" s="166">
        <f t="shared" si="476"/>
        <v>0</v>
      </c>
      <c r="Z715" s="167">
        <f t="shared" si="477"/>
        <v>0</v>
      </c>
      <c r="AA715" s="168">
        <f t="shared" si="478"/>
        <v>0</v>
      </c>
      <c r="AB715" s="166">
        <f t="shared" si="479"/>
        <v>0</v>
      </c>
      <c r="AC715" s="167">
        <f t="shared" si="480"/>
        <v>0</v>
      </c>
      <c r="AD715" s="168">
        <f t="shared" si="481"/>
        <v>0</v>
      </c>
      <c r="AE715" s="166">
        <f t="shared" si="482"/>
        <v>0</v>
      </c>
      <c r="AF715" s="167">
        <f t="shared" si="483"/>
        <v>0</v>
      </c>
      <c r="AG715" s="168">
        <f t="shared" si="484"/>
        <v>0</v>
      </c>
      <c r="AH715" s="166">
        <f t="shared" si="485"/>
        <v>0</v>
      </c>
      <c r="AI715" s="167">
        <f t="shared" si="486"/>
        <v>0</v>
      </c>
      <c r="AJ715" s="168">
        <f t="shared" si="487"/>
        <v>0</v>
      </c>
      <c r="AK715" s="169">
        <f t="shared" si="488"/>
        <v>0</v>
      </c>
      <c r="AL715" s="167">
        <f t="shared" si="489"/>
        <v>0</v>
      </c>
      <c r="AM715" s="585">
        <f t="shared" si="490"/>
        <v>0</v>
      </c>
      <c r="AN715" s="614"/>
      <c r="AO715" s="615"/>
      <c r="AP715" s="615"/>
      <c r="AQ715" s="616"/>
      <c r="AR715" s="612"/>
      <c r="AS715" s="617"/>
      <c r="AT715" s="618"/>
      <c r="AU715" s="618"/>
      <c r="AV715" s="618"/>
      <c r="AW715" s="619"/>
      <c r="AX715" s="614"/>
      <c r="AY715" s="616"/>
      <c r="AZ715" s="616"/>
      <c r="BA715" s="616"/>
      <c r="BB715" s="616"/>
      <c r="BC715" s="616"/>
      <c r="BD715" s="612"/>
      <c r="BE715" s="614"/>
      <c r="BF715" s="616"/>
      <c r="BG715" s="616"/>
      <c r="BH715" s="616"/>
      <c r="BI715" s="616"/>
      <c r="BJ715" s="616"/>
      <c r="BK715" s="1023"/>
      <c r="BL715" s="658"/>
    </row>
    <row r="716" spans="2:64">
      <c r="B716" s="1022"/>
      <c r="C716" s="607"/>
      <c r="D716" s="607"/>
      <c r="E716" s="1021"/>
      <c r="F716" s="608">
        <v>713</v>
      </c>
      <c r="G716" s="609"/>
      <c r="H716" s="610"/>
      <c r="I716" s="611"/>
      <c r="J716" s="166">
        <f t="shared" si="491"/>
        <v>0</v>
      </c>
      <c r="K716" s="167">
        <f t="shared" si="492"/>
        <v>0</v>
      </c>
      <c r="L716" s="168">
        <f t="shared" si="493"/>
        <v>0</v>
      </c>
      <c r="M716" s="166">
        <f t="shared" si="494"/>
        <v>0</v>
      </c>
      <c r="N716" s="167">
        <f t="shared" si="495"/>
        <v>0</v>
      </c>
      <c r="O716" s="168">
        <f t="shared" si="496"/>
        <v>0</v>
      </c>
      <c r="P716" s="169">
        <f t="shared" si="497"/>
        <v>0</v>
      </c>
      <c r="Q716" s="169">
        <f t="shared" si="498"/>
        <v>0</v>
      </c>
      <c r="R716" s="169">
        <f t="shared" si="499"/>
        <v>0</v>
      </c>
      <c r="S716" s="584">
        <f t="shared" si="470"/>
        <v>0</v>
      </c>
      <c r="T716" s="594">
        <f t="shared" si="471"/>
        <v>0</v>
      </c>
      <c r="U716" s="595">
        <f t="shared" si="472"/>
        <v>0</v>
      </c>
      <c r="V716" s="166">
        <f t="shared" si="473"/>
        <v>0</v>
      </c>
      <c r="W716" s="167">
        <f t="shared" si="474"/>
        <v>0</v>
      </c>
      <c r="X716" s="168">
        <f t="shared" si="475"/>
        <v>0</v>
      </c>
      <c r="Y716" s="166">
        <f t="shared" si="476"/>
        <v>0</v>
      </c>
      <c r="Z716" s="167">
        <f t="shared" si="477"/>
        <v>0</v>
      </c>
      <c r="AA716" s="168">
        <f t="shared" si="478"/>
        <v>0</v>
      </c>
      <c r="AB716" s="166">
        <f t="shared" si="479"/>
        <v>0</v>
      </c>
      <c r="AC716" s="167">
        <f t="shared" si="480"/>
        <v>0</v>
      </c>
      <c r="AD716" s="168">
        <f t="shared" si="481"/>
        <v>0</v>
      </c>
      <c r="AE716" s="166">
        <f t="shared" si="482"/>
        <v>0</v>
      </c>
      <c r="AF716" s="167">
        <f t="shared" si="483"/>
        <v>0</v>
      </c>
      <c r="AG716" s="168">
        <f t="shared" si="484"/>
        <v>0</v>
      </c>
      <c r="AH716" s="166">
        <f t="shared" si="485"/>
        <v>0</v>
      </c>
      <c r="AI716" s="167">
        <f t="shared" si="486"/>
        <v>0</v>
      </c>
      <c r="AJ716" s="168">
        <f t="shared" si="487"/>
        <v>0</v>
      </c>
      <c r="AK716" s="169">
        <f t="shared" si="488"/>
        <v>0</v>
      </c>
      <c r="AL716" s="167">
        <f t="shared" si="489"/>
        <v>0</v>
      </c>
      <c r="AM716" s="585">
        <f t="shared" si="490"/>
        <v>0</v>
      </c>
      <c r="AN716" s="614"/>
      <c r="AO716" s="615"/>
      <c r="AP716" s="615"/>
      <c r="AQ716" s="616"/>
      <c r="AR716" s="612"/>
      <c r="AS716" s="617"/>
      <c r="AT716" s="618"/>
      <c r="AU716" s="618"/>
      <c r="AV716" s="618"/>
      <c r="AW716" s="619"/>
      <c r="AX716" s="614"/>
      <c r="AY716" s="616"/>
      <c r="AZ716" s="616"/>
      <c r="BA716" s="616"/>
      <c r="BB716" s="616"/>
      <c r="BC716" s="616"/>
      <c r="BD716" s="612"/>
      <c r="BE716" s="614"/>
      <c r="BF716" s="616"/>
      <c r="BG716" s="616"/>
      <c r="BH716" s="616"/>
      <c r="BI716" s="616"/>
      <c r="BJ716" s="616"/>
      <c r="BK716" s="1023"/>
      <c r="BL716" s="658"/>
    </row>
    <row r="717" spans="2:64">
      <c r="B717" s="1022"/>
      <c r="C717" s="607"/>
      <c r="D717" s="607"/>
      <c r="E717" s="1021"/>
      <c r="F717" s="1019">
        <v>714</v>
      </c>
      <c r="G717" s="609"/>
      <c r="H717" s="610"/>
      <c r="I717" s="611"/>
      <c r="J717" s="166">
        <f t="shared" si="491"/>
        <v>0</v>
      </c>
      <c r="K717" s="167">
        <f t="shared" si="492"/>
        <v>0</v>
      </c>
      <c r="L717" s="168">
        <f t="shared" si="493"/>
        <v>0</v>
      </c>
      <c r="M717" s="166">
        <f t="shared" si="494"/>
        <v>0</v>
      </c>
      <c r="N717" s="167">
        <f t="shared" si="495"/>
        <v>0</v>
      </c>
      <c r="O717" s="168">
        <f t="shared" si="496"/>
        <v>0</v>
      </c>
      <c r="P717" s="169">
        <f t="shared" si="497"/>
        <v>0</v>
      </c>
      <c r="Q717" s="169">
        <f t="shared" si="498"/>
        <v>0</v>
      </c>
      <c r="R717" s="169">
        <f t="shared" si="499"/>
        <v>0</v>
      </c>
      <c r="S717" s="584">
        <f t="shared" si="470"/>
        <v>0</v>
      </c>
      <c r="T717" s="594">
        <f t="shared" si="471"/>
        <v>0</v>
      </c>
      <c r="U717" s="595">
        <f t="shared" si="472"/>
        <v>0</v>
      </c>
      <c r="V717" s="166">
        <f t="shared" si="473"/>
        <v>0</v>
      </c>
      <c r="W717" s="167">
        <f t="shared" si="474"/>
        <v>0</v>
      </c>
      <c r="X717" s="168">
        <f t="shared" si="475"/>
        <v>0</v>
      </c>
      <c r="Y717" s="166">
        <f t="shared" si="476"/>
        <v>0</v>
      </c>
      <c r="Z717" s="167">
        <f t="shared" si="477"/>
        <v>0</v>
      </c>
      <c r="AA717" s="168">
        <f t="shared" si="478"/>
        <v>0</v>
      </c>
      <c r="AB717" s="166">
        <f t="shared" si="479"/>
        <v>0</v>
      </c>
      <c r="AC717" s="167">
        <f t="shared" si="480"/>
        <v>0</v>
      </c>
      <c r="AD717" s="168">
        <f t="shared" si="481"/>
        <v>0</v>
      </c>
      <c r="AE717" s="166">
        <f t="shared" si="482"/>
        <v>0</v>
      </c>
      <c r="AF717" s="167">
        <f t="shared" si="483"/>
        <v>0</v>
      </c>
      <c r="AG717" s="168">
        <f t="shared" si="484"/>
        <v>0</v>
      </c>
      <c r="AH717" s="166">
        <f t="shared" si="485"/>
        <v>0</v>
      </c>
      <c r="AI717" s="167">
        <f t="shared" si="486"/>
        <v>0</v>
      </c>
      <c r="AJ717" s="168">
        <f t="shared" si="487"/>
        <v>0</v>
      </c>
      <c r="AK717" s="169">
        <f t="shared" si="488"/>
        <v>0</v>
      </c>
      <c r="AL717" s="167">
        <f t="shared" si="489"/>
        <v>0</v>
      </c>
      <c r="AM717" s="585">
        <f t="shared" si="490"/>
        <v>0</v>
      </c>
      <c r="AN717" s="614"/>
      <c r="AO717" s="615"/>
      <c r="AP717" s="615"/>
      <c r="AQ717" s="616"/>
      <c r="AR717" s="612"/>
      <c r="AS717" s="617"/>
      <c r="AT717" s="618"/>
      <c r="AU717" s="618"/>
      <c r="AV717" s="618"/>
      <c r="AW717" s="619"/>
      <c r="AX717" s="614"/>
      <c r="AY717" s="616"/>
      <c r="AZ717" s="616"/>
      <c r="BA717" s="616"/>
      <c r="BB717" s="616"/>
      <c r="BC717" s="616"/>
      <c r="BD717" s="612"/>
      <c r="BE717" s="614"/>
      <c r="BF717" s="616"/>
      <c r="BG717" s="616"/>
      <c r="BH717" s="616"/>
      <c r="BI717" s="616"/>
      <c r="BJ717" s="616"/>
      <c r="BK717" s="1023"/>
      <c r="BL717" s="658"/>
    </row>
    <row r="718" spans="2:64">
      <c r="B718" s="1022"/>
      <c r="C718" s="607"/>
      <c r="D718" s="607"/>
      <c r="E718" s="1021"/>
      <c r="F718" s="608">
        <v>715</v>
      </c>
      <c r="G718" s="609"/>
      <c r="H718" s="610"/>
      <c r="I718" s="611"/>
      <c r="J718" s="166">
        <f t="shared" si="491"/>
        <v>0</v>
      </c>
      <c r="K718" s="167">
        <f t="shared" si="492"/>
        <v>0</v>
      </c>
      <c r="L718" s="168">
        <f t="shared" si="493"/>
        <v>0</v>
      </c>
      <c r="M718" s="166">
        <f t="shared" si="494"/>
        <v>0</v>
      </c>
      <c r="N718" s="167">
        <f t="shared" si="495"/>
        <v>0</v>
      </c>
      <c r="O718" s="168">
        <f t="shared" si="496"/>
        <v>0</v>
      </c>
      <c r="P718" s="169">
        <f t="shared" si="497"/>
        <v>0</v>
      </c>
      <c r="Q718" s="169">
        <f t="shared" si="498"/>
        <v>0</v>
      </c>
      <c r="R718" s="169">
        <f t="shared" si="499"/>
        <v>0</v>
      </c>
      <c r="S718" s="584">
        <f t="shared" si="470"/>
        <v>0</v>
      </c>
      <c r="T718" s="594">
        <f t="shared" si="471"/>
        <v>0</v>
      </c>
      <c r="U718" s="595">
        <f t="shared" si="472"/>
        <v>0</v>
      </c>
      <c r="V718" s="166">
        <f t="shared" si="473"/>
        <v>0</v>
      </c>
      <c r="W718" s="167">
        <f t="shared" si="474"/>
        <v>0</v>
      </c>
      <c r="X718" s="168">
        <f t="shared" si="475"/>
        <v>0</v>
      </c>
      <c r="Y718" s="166">
        <f t="shared" si="476"/>
        <v>0</v>
      </c>
      <c r="Z718" s="167">
        <f t="shared" si="477"/>
        <v>0</v>
      </c>
      <c r="AA718" s="168">
        <f t="shared" si="478"/>
        <v>0</v>
      </c>
      <c r="AB718" s="166">
        <f t="shared" si="479"/>
        <v>0</v>
      </c>
      <c r="AC718" s="167">
        <f t="shared" si="480"/>
        <v>0</v>
      </c>
      <c r="AD718" s="168">
        <f t="shared" si="481"/>
        <v>0</v>
      </c>
      <c r="AE718" s="166">
        <f t="shared" si="482"/>
        <v>0</v>
      </c>
      <c r="AF718" s="167">
        <f t="shared" si="483"/>
        <v>0</v>
      </c>
      <c r="AG718" s="168">
        <f t="shared" si="484"/>
        <v>0</v>
      </c>
      <c r="AH718" s="166">
        <f t="shared" si="485"/>
        <v>0</v>
      </c>
      <c r="AI718" s="167">
        <f t="shared" si="486"/>
        <v>0</v>
      </c>
      <c r="AJ718" s="168">
        <f t="shared" si="487"/>
        <v>0</v>
      </c>
      <c r="AK718" s="169">
        <f t="shared" si="488"/>
        <v>0</v>
      </c>
      <c r="AL718" s="167">
        <f t="shared" si="489"/>
        <v>0</v>
      </c>
      <c r="AM718" s="585">
        <f t="shared" si="490"/>
        <v>0</v>
      </c>
      <c r="AN718" s="614"/>
      <c r="AO718" s="615"/>
      <c r="AP718" s="615"/>
      <c r="AQ718" s="616"/>
      <c r="AR718" s="612"/>
      <c r="AS718" s="617"/>
      <c r="AT718" s="618"/>
      <c r="AU718" s="618"/>
      <c r="AV718" s="618"/>
      <c r="AW718" s="619"/>
      <c r="AX718" s="614"/>
      <c r="AY718" s="616"/>
      <c r="AZ718" s="616"/>
      <c r="BA718" s="616"/>
      <c r="BB718" s="616"/>
      <c r="BC718" s="616"/>
      <c r="BD718" s="612"/>
      <c r="BE718" s="614"/>
      <c r="BF718" s="616"/>
      <c r="BG718" s="616"/>
      <c r="BH718" s="616"/>
      <c r="BI718" s="616"/>
      <c r="BJ718" s="616"/>
      <c r="BK718" s="1023"/>
      <c r="BL718" s="658"/>
    </row>
    <row r="719" spans="2:64">
      <c r="B719" s="1022"/>
      <c r="C719" s="607"/>
      <c r="D719" s="607"/>
      <c r="E719" s="1021"/>
      <c r="F719" s="1019">
        <v>716</v>
      </c>
      <c r="G719" s="609"/>
      <c r="H719" s="610"/>
      <c r="I719" s="611"/>
      <c r="J719" s="166">
        <f t="shared" si="491"/>
        <v>0</v>
      </c>
      <c r="K719" s="167">
        <f t="shared" si="492"/>
        <v>0</v>
      </c>
      <c r="L719" s="168">
        <f t="shared" si="493"/>
        <v>0</v>
      </c>
      <c r="M719" s="166">
        <f t="shared" si="494"/>
        <v>0</v>
      </c>
      <c r="N719" s="167">
        <f t="shared" si="495"/>
        <v>0</v>
      </c>
      <c r="O719" s="168">
        <f t="shared" si="496"/>
        <v>0</v>
      </c>
      <c r="P719" s="169">
        <f t="shared" si="497"/>
        <v>0</v>
      </c>
      <c r="Q719" s="169">
        <f t="shared" si="498"/>
        <v>0</v>
      </c>
      <c r="R719" s="169">
        <f t="shared" si="499"/>
        <v>0</v>
      </c>
      <c r="S719" s="584">
        <f t="shared" si="470"/>
        <v>0</v>
      </c>
      <c r="T719" s="594">
        <f t="shared" si="471"/>
        <v>0</v>
      </c>
      <c r="U719" s="595">
        <f t="shared" si="472"/>
        <v>0</v>
      </c>
      <c r="V719" s="166">
        <f t="shared" si="473"/>
        <v>0</v>
      </c>
      <c r="W719" s="167">
        <f t="shared" si="474"/>
        <v>0</v>
      </c>
      <c r="X719" s="168">
        <f t="shared" si="475"/>
        <v>0</v>
      </c>
      <c r="Y719" s="166">
        <f t="shared" si="476"/>
        <v>0</v>
      </c>
      <c r="Z719" s="167">
        <f t="shared" si="477"/>
        <v>0</v>
      </c>
      <c r="AA719" s="168">
        <f t="shared" si="478"/>
        <v>0</v>
      </c>
      <c r="AB719" s="166">
        <f t="shared" si="479"/>
        <v>0</v>
      </c>
      <c r="AC719" s="167">
        <f t="shared" si="480"/>
        <v>0</v>
      </c>
      <c r="AD719" s="168">
        <f t="shared" si="481"/>
        <v>0</v>
      </c>
      <c r="AE719" s="166">
        <f t="shared" si="482"/>
        <v>0</v>
      </c>
      <c r="AF719" s="167">
        <f t="shared" si="483"/>
        <v>0</v>
      </c>
      <c r="AG719" s="168">
        <f t="shared" si="484"/>
        <v>0</v>
      </c>
      <c r="AH719" s="166">
        <f t="shared" si="485"/>
        <v>0</v>
      </c>
      <c r="AI719" s="167">
        <f t="shared" si="486"/>
        <v>0</v>
      </c>
      <c r="AJ719" s="168">
        <f t="shared" si="487"/>
        <v>0</v>
      </c>
      <c r="AK719" s="169">
        <f t="shared" si="488"/>
        <v>0</v>
      </c>
      <c r="AL719" s="167">
        <f t="shared" si="489"/>
        <v>0</v>
      </c>
      <c r="AM719" s="585">
        <f t="shared" si="490"/>
        <v>0</v>
      </c>
      <c r="AN719" s="614"/>
      <c r="AO719" s="615"/>
      <c r="AP719" s="615"/>
      <c r="AQ719" s="616"/>
      <c r="AR719" s="612"/>
      <c r="AS719" s="617"/>
      <c r="AT719" s="618"/>
      <c r="AU719" s="618"/>
      <c r="AV719" s="618"/>
      <c r="AW719" s="619"/>
      <c r="AX719" s="614"/>
      <c r="AY719" s="616"/>
      <c r="AZ719" s="616"/>
      <c r="BA719" s="616"/>
      <c r="BB719" s="616"/>
      <c r="BC719" s="616"/>
      <c r="BD719" s="612"/>
      <c r="BE719" s="614"/>
      <c r="BF719" s="616"/>
      <c r="BG719" s="616"/>
      <c r="BH719" s="616"/>
      <c r="BI719" s="616"/>
      <c r="BJ719" s="616"/>
      <c r="BK719" s="1023"/>
      <c r="BL719" s="658"/>
    </row>
    <row r="720" spans="2:64">
      <c r="B720" s="1022"/>
      <c r="C720" s="607"/>
      <c r="D720" s="607"/>
      <c r="E720" s="1021"/>
      <c r="F720" s="608">
        <v>717</v>
      </c>
      <c r="G720" s="609"/>
      <c r="H720" s="610"/>
      <c r="I720" s="611"/>
      <c r="J720" s="166">
        <f t="shared" si="491"/>
        <v>0</v>
      </c>
      <c r="K720" s="167">
        <f t="shared" si="492"/>
        <v>0</v>
      </c>
      <c r="L720" s="168">
        <f t="shared" si="493"/>
        <v>0</v>
      </c>
      <c r="M720" s="166">
        <f t="shared" si="494"/>
        <v>0</v>
      </c>
      <c r="N720" s="167">
        <f t="shared" si="495"/>
        <v>0</v>
      </c>
      <c r="O720" s="168">
        <f t="shared" si="496"/>
        <v>0</v>
      </c>
      <c r="P720" s="169">
        <f t="shared" si="497"/>
        <v>0</v>
      </c>
      <c r="Q720" s="169">
        <f t="shared" si="498"/>
        <v>0</v>
      </c>
      <c r="R720" s="169">
        <f t="shared" si="499"/>
        <v>0</v>
      </c>
      <c r="S720" s="584">
        <f t="shared" si="470"/>
        <v>0</v>
      </c>
      <c r="T720" s="594">
        <f t="shared" si="471"/>
        <v>0</v>
      </c>
      <c r="U720" s="595">
        <f t="shared" si="472"/>
        <v>0</v>
      </c>
      <c r="V720" s="166">
        <f t="shared" si="473"/>
        <v>0</v>
      </c>
      <c r="W720" s="167">
        <f t="shared" si="474"/>
        <v>0</v>
      </c>
      <c r="X720" s="168">
        <f t="shared" si="475"/>
        <v>0</v>
      </c>
      <c r="Y720" s="166">
        <f t="shared" si="476"/>
        <v>0</v>
      </c>
      <c r="Z720" s="167">
        <f t="shared" si="477"/>
        <v>0</v>
      </c>
      <c r="AA720" s="168">
        <f t="shared" si="478"/>
        <v>0</v>
      </c>
      <c r="AB720" s="166">
        <f t="shared" si="479"/>
        <v>0</v>
      </c>
      <c r="AC720" s="167">
        <f t="shared" si="480"/>
        <v>0</v>
      </c>
      <c r="AD720" s="168">
        <f t="shared" si="481"/>
        <v>0</v>
      </c>
      <c r="AE720" s="166">
        <f t="shared" si="482"/>
        <v>0</v>
      </c>
      <c r="AF720" s="167">
        <f t="shared" si="483"/>
        <v>0</v>
      </c>
      <c r="AG720" s="168">
        <f t="shared" si="484"/>
        <v>0</v>
      </c>
      <c r="AH720" s="166">
        <f t="shared" si="485"/>
        <v>0</v>
      </c>
      <c r="AI720" s="167">
        <f t="shared" si="486"/>
        <v>0</v>
      </c>
      <c r="AJ720" s="168">
        <f t="shared" si="487"/>
        <v>0</v>
      </c>
      <c r="AK720" s="169">
        <f t="shared" si="488"/>
        <v>0</v>
      </c>
      <c r="AL720" s="167">
        <f t="shared" si="489"/>
        <v>0</v>
      </c>
      <c r="AM720" s="585">
        <f t="shared" si="490"/>
        <v>0</v>
      </c>
      <c r="AN720" s="614"/>
      <c r="AO720" s="615"/>
      <c r="AP720" s="615"/>
      <c r="AQ720" s="616"/>
      <c r="AR720" s="612"/>
      <c r="AS720" s="617"/>
      <c r="AT720" s="618"/>
      <c r="AU720" s="618"/>
      <c r="AV720" s="618"/>
      <c r="AW720" s="619"/>
      <c r="AX720" s="614"/>
      <c r="AY720" s="616"/>
      <c r="AZ720" s="616"/>
      <c r="BA720" s="616"/>
      <c r="BB720" s="616"/>
      <c r="BC720" s="616"/>
      <c r="BD720" s="612"/>
      <c r="BE720" s="614"/>
      <c r="BF720" s="616"/>
      <c r="BG720" s="616"/>
      <c r="BH720" s="616"/>
      <c r="BI720" s="616"/>
      <c r="BJ720" s="616"/>
      <c r="BK720" s="1023"/>
      <c r="BL720" s="658"/>
    </row>
    <row r="721" spans="2:64">
      <c r="B721" s="1022"/>
      <c r="C721" s="607"/>
      <c r="D721" s="607"/>
      <c r="E721" s="1021"/>
      <c r="F721" s="1019">
        <v>718</v>
      </c>
      <c r="G721" s="609"/>
      <c r="H721" s="610"/>
      <c r="I721" s="611"/>
      <c r="J721" s="166">
        <f t="shared" si="491"/>
        <v>0</v>
      </c>
      <c r="K721" s="167">
        <f t="shared" si="492"/>
        <v>0</v>
      </c>
      <c r="L721" s="168">
        <f t="shared" si="493"/>
        <v>0</v>
      </c>
      <c r="M721" s="166">
        <f t="shared" si="494"/>
        <v>0</v>
      </c>
      <c r="N721" s="167">
        <f t="shared" si="495"/>
        <v>0</v>
      </c>
      <c r="O721" s="168">
        <f t="shared" si="496"/>
        <v>0</v>
      </c>
      <c r="P721" s="169">
        <f t="shared" si="497"/>
        <v>0</v>
      </c>
      <c r="Q721" s="169">
        <f t="shared" si="498"/>
        <v>0</v>
      </c>
      <c r="R721" s="169">
        <f t="shared" si="499"/>
        <v>0</v>
      </c>
      <c r="S721" s="584">
        <f t="shared" si="470"/>
        <v>0</v>
      </c>
      <c r="T721" s="594">
        <f t="shared" si="471"/>
        <v>0</v>
      </c>
      <c r="U721" s="595">
        <f t="shared" si="472"/>
        <v>0</v>
      </c>
      <c r="V721" s="166">
        <f t="shared" si="473"/>
        <v>0</v>
      </c>
      <c r="W721" s="167">
        <f t="shared" si="474"/>
        <v>0</v>
      </c>
      <c r="X721" s="168">
        <f t="shared" si="475"/>
        <v>0</v>
      </c>
      <c r="Y721" s="166">
        <f t="shared" si="476"/>
        <v>0</v>
      </c>
      <c r="Z721" s="167">
        <f t="shared" si="477"/>
        <v>0</v>
      </c>
      <c r="AA721" s="168">
        <f t="shared" si="478"/>
        <v>0</v>
      </c>
      <c r="AB721" s="166">
        <f t="shared" si="479"/>
        <v>0</v>
      </c>
      <c r="AC721" s="167">
        <f t="shared" si="480"/>
        <v>0</v>
      </c>
      <c r="AD721" s="168">
        <f t="shared" si="481"/>
        <v>0</v>
      </c>
      <c r="AE721" s="166">
        <f t="shared" si="482"/>
        <v>0</v>
      </c>
      <c r="AF721" s="167">
        <f t="shared" si="483"/>
        <v>0</v>
      </c>
      <c r="AG721" s="168">
        <f t="shared" si="484"/>
        <v>0</v>
      </c>
      <c r="AH721" s="166">
        <f t="shared" si="485"/>
        <v>0</v>
      </c>
      <c r="AI721" s="167">
        <f t="shared" si="486"/>
        <v>0</v>
      </c>
      <c r="AJ721" s="168">
        <f t="shared" si="487"/>
        <v>0</v>
      </c>
      <c r="AK721" s="169">
        <f t="shared" si="488"/>
        <v>0</v>
      </c>
      <c r="AL721" s="167">
        <f t="shared" si="489"/>
        <v>0</v>
      </c>
      <c r="AM721" s="585">
        <f t="shared" si="490"/>
        <v>0</v>
      </c>
      <c r="AN721" s="614"/>
      <c r="AO721" s="615"/>
      <c r="AP721" s="615"/>
      <c r="AQ721" s="616"/>
      <c r="AR721" s="612"/>
      <c r="AS721" s="617"/>
      <c r="AT721" s="618"/>
      <c r="AU721" s="618"/>
      <c r="AV721" s="618"/>
      <c r="AW721" s="619"/>
      <c r="AX721" s="614"/>
      <c r="AY721" s="616"/>
      <c r="AZ721" s="616"/>
      <c r="BA721" s="616"/>
      <c r="BB721" s="616"/>
      <c r="BC721" s="616"/>
      <c r="BD721" s="612"/>
      <c r="BE721" s="614"/>
      <c r="BF721" s="616"/>
      <c r="BG721" s="616"/>
      <c r="BH721" s="616"/>
      <c r="BI721" s="616"/>
      <c r="BJ721" s="616"/>
      <c r="BK721" s="1023"/>
      <c r="BL721" s="658"/>
    </row>
    <row r="722" spans="2:64">
      <c r="B722" s="1022"/>
      <c r="C722" s="607"/>
      <c r="D722" s="607"/>
      <c r="E722" s="1021"/>
      <c r="F722" s="608">
        <v>719</v>
      </c>
      <c r="G722" s="609"/>
      <c r="H722" s="610"/>
      <c r="I722" s="611"/>
      <c r="J722" s="166">
        <f t="shared" si="491"/>
        <v>0</v>
      </c>
      <c r="K722" s="167">
        <f t="shared" si="492"/>
        <v>0</v>
      </c>
      <c r="L722" s="168">
        <f t="shared" si="493"/>
        <v>0</v>
      </c>
      <c r="M722" s="166">
        <f t="shared" si="494"/>
        <v>0</v>
      </c>
      <c r="N722" s="167">
        <f t="shared" si="495"/>
        <v>0</v>
      </c>
      <c r="O722" s="168">
        <f t="shared" si="496"/>
        <v>0</v>
      </c>
      <c r="P722" s="169">
        <f t="shared" si="497"/>
        <v>0</v>
      </c>
      <c r="Q722" s="169">
        <f t="shared" si="498"/>
        <v>0</v>
      </c>
      <c r="R722" s="169">
        <f t="shared" si="499"/>
        <v>0</v>
      </c>
      <c r="S722" s="584">
        <f t="shared" si="470"/>
        <v>0</v>
      </c>
      <c r="T722" s="594">
        <f t="shared" si="471"/>
        <v>0</v>
      </c>
      <c r="U722" s="595">
        <f t="shared" si="472"/>
        <v>0</v>
      </c>
      <c r="V722" s="166">
        <f t="shared" si="473"/>
        <v>0</v>
      </c>
      <c r="W722" s="167">
        <f t="shared" si="474"/>
        <v>0</v>
      </c>
      <c r="X722" s="168">
        <f t="shared" si="475"/>
        <v>0</v>
      </c>
      <c r="Y722" s="166">
        <f t="shared" si="476"/>
        <v>0</v>
      </c>
      <c r="Z722" s="167">
        <f t="shared" si="477"/>
        <v>0</v>
      </c>
      <c r="AA722" s="168">
        <f t="shared" si="478"/>
        <v>0</v>
      </c>
      <c r="AB722" s="166">
        <f t="shared" si="479"/>
        <v>0</v>
      </c>
      <c r="AC722" s="167">
        <f t="shared" si="480"/>
        <v>0</v>
      </c>
      <c r="AD722" s="168">
        <f t="shared" si="481"/>
        <v>0</v>
      </c>
      <c r="AE722" s="166">
        <f t="shared" si="482"/>
        <v>0</v>
      </c>
      <c r="AF722" s="167">
        <f t="shared" si="483"/>
        <v>0</v>
      </c>
      <c r="AG722" s="168">
        <f t="shared" si="484"/>
        <v>0</v>
      </c>
      <c r="AH722" s="166">
        <f t="shared" si="485"/>
        <v>0</v>
      </c>
      <c r="AI722" s="167">
        <f t="shared" si="486"/>
        <v>0</v>
      </c>
      <c r="AJ722" s="168">
        <f t="shared" si="487"/>
        <v>0</v>
      </c>
      <c r="AK722" s="169">
        <f t="shared" si="488"/>
        <v>0</v>
      </c>
      <c r="AL722" s="167">
        <f t="shared" si="489"/>
        <v>0</v>
      </c>
      <c r="AM722" s="585">
        <f t="shared" si="490"/>
        <v>0</v>
      </c>
      <c r="AN722" s="614"/>
      <c r="AO722" s="615"/>
      <c r="AP722" s="615"/>
      <c r="AQ722" s="616"/>
      <c r="AR722" s="612"/>
      <c r="AS722" s="617"/>
      <c r="AT722" s="618"/>
      <c r="AU722" s="618"/>
      <c r="AV722" s="618"/>
      <c r="AW722" s="619"/>
      <c r="AX722" s="614"/>
      <c r="AY722" s="616"/>
      <c r="AZ722" s="616"/>
      <c r="BA722" s="616"/>
      <c r="BB722" s="616"/>
      <c r="BC722" s="616"/>
      <c r="BD722" s="612"/>
      <c r="BE722" s="614"/>
      <c r="BF722" s="616"/>
      <c r="BG722" s="616"/>
      <c r="BH722" s="616"/>
      <c r="BI722" s="616"/>
      <c r="BJ722" s="616"/>
      <c r="BK722" s="1023"/>
      <c r="BL722" s="658"/>
    </row>
    <row r="723" spans="2:64">
      <c r="B723" s="1022"/>
      <c r="C723" s="607"/>
      <c r="D723" s="607"/>
      <c r="E723" s="1021"/>
      <c r="F723" s="1019">
        <v>720</v>
      </c>
      <c r="G723" s="609"/>
      <c r="H723" s="610"/>
      <c r="I723" s="611"/>
      <c r="J723" s="166">
        <f t="shared" si="491"/>
        <v>0</v>
      </c>
      <c r="K723" s="167">
        <f t="shared" si="492"/>
        <v>0</v>
      </c>
      <c r="L723" s="168">
        <f t="shared" si="493"/>
        <v>0</v>
      </c>
      <c r="M723" s="166">
        <f t="shared" si="494"/>
        <v>0</v>
      </c>
      <c r="N723" s="167">
        <f t="shared" si="495"/>
        <v>0</v>
      </c>
      <c r="O723" s="168">
        <f t="shared" si="496"/>
        <v>0</v>
      </c>
      <c r="P723" s="169">
        <f t="shared" si="497"/>
        <v>0</v>
      </c>
      <c r="Q723" s="169">
        <f t="shared" si="498"/>
        <v>0</v>
      </c>
      <c r="R723" s="169">
        <f t="shared" si="499"/>
        <v>0</v>
      </c>
      <c r="S723" s="584">
        <f t="shared" si="470"/>
        <v>0</v>
      </c>
      <c r="T723" s="594">
        <f t="shared" si="471"/>
        <v>0</v>
      </c>
      <c r="U723" s="595">
        <f t="shared" si="472"/>
        <v>0</v>
      </c>
      <c r="V723" s="166">
        <f t="shared" si="473"/>
        <v>0</v>
      </c>
      <c r="W723" s="167">
        <f t="shared" si="474"/>
        <v>0</v>
      </c>
      <c r="X723" s="168">
        <f t="shared" si="475"/>
        <v>0</v>
      </c>
      <c r="Y723" s="166">
        <f t="shared" si="476"/>
        <v>0</v>
      </c>
      <c r="Z723" s="167">
        <f t="shared" si="477"/>
        <v>0</v>
      </c>
      <c r="AA723" s="168">
        <f t="shared" si="478"/>
        <v>0</v>
      </c>
      <c r="AB723" s="166">
        <f t="shared" si="479"/>
        <v>0</v>
      </c>
      <c r="AC723" s="167">
        <f t="shared" si="480"/>
        <v>0</v>
      </c>
      <c r="AD723" s="168">
        <f t="shared" si="481"/>
        <v>0</v>
      </c>
      <c r="AE723" s="166">
        <f t="shared" si="482"/>
        <v>0</v>
      </c>
      <c r="AF723" s="167">
        <f t="shared" si="483"/>
        <v>0</v>
      </c>
      <c r="AG723" s="168">
        <f t="shared" si="484"/>
        <v>0</v>
      </c>
      <c r="AH723" s="166">
        <f t="shared" si="485"/>
        <v>0</v>
      </c>
      <c r="AI723" s="167">
        <f t="shared" si="486"/>
        <v>0</v>
      </c>
      <c r="AJ723" s="168">
        <f t="shared" si="487"/>
        <v>0</v>
      </c>
      <c r="AK723" s="169">
        <f t="shared" si="488"/>
        <v>0</v>
      </c>
      <c r="AL723" s="167">
        <f t="shared" si="489"/>
        <v>0</v>
      </c>
      <c r="AM723" s="585">
        <f t="shared" si="490"/>
        <v>0</v>
      </c>
      <c r="AN723" s="614"/>
      <c r="AO723" s="615"/>
      <c r="AP723" s="615"/>
      <c r="AQ723" s="616"/>
      <c r="AR723" s="612"/>
      <c r="AS723" s="617"/>
      <c r="AT723" s="618"/>
      <c r="AU723" s="618"/>
      <c r="AV723" s="618"/>
      <c r="AW723" s="619"/>
      <c r="AX723" s="614"/>
      <c r="AY723" s="616"/>
      <c r="AZ723" s="616"/>
      <c r="BA723" s="616"/>
      <c r="BB723" s="616"/>
      <c r="BC723" s="616"/>
      <c r="BD723" s="612"/>
      <c r="BE723" s="614"/>
      <c r="BF723" s="616"/>
      <c r="BG723" s="616"/>
      <c r="BH723" s="616"/>
      <c r="BI723" s="616"/>
      <c r="BJ723" s="616"/>
      <c r="BK723" s="1023"/>
      <c r="BL723" s="658"/>
    </row>
    <row r="724" spans="2:64">
      <c r="B724" s="1022"/>
      <c r="C724" s="607"/>
      <c r="D724" s="607"/>
      <c r="E724" s="1021"/>
      <c r="F724" s="608">
        <v>721</v>
      </c>
      <c r="G724" s="609"/>
      <c r="H724" s="610"/>
      <c r="I724" s="611"/>
      <c r="J724" s="166">
        <f t="shared" si="491"/>
        <v>0</v>
      </c>
      <c r="K724" s="167">
        <f t="shared" si="492"/>
        <v>0</v>
      </c>
      <c r="L724" s="168">
        <f t="shared" si="493"/>
        <v>0</v>
      </c>
      <c r="M724" s="166">
        <f t="shared" si="494"/>
        <v>0</v>
      </c>
      <c r="N724" s="167">
        <f t="shared" si="495"/>
        <v>0</v>
      </c>
      <c r="O724" s="168">
        <f t="shared" si="496"/>
        <v>0</v>
      </c>
      <c r="P724" s="169">
        <f t="shared" si="497"/>
        <v>0</v>
      </c>
      <c r="Q724" s="169">
        <f t="shared" si="498"/>
        <v>0</v>
      </c>
      <c r="R724" s="169">
        <f t="shared" si="499"/>
        <v>0</v>
      </c>
      <c r="S724" s="584">
        <f t="shared" si="470"/>
        <v>0</v>
      </c>
      <c r="T724" s="594">
        <f t="shared" si="471"/>
        <v>0</v>
      </c>
      <c r="U724" s="595">
        <f t="shared" si="472"/>
        <v>0</v>
      </c>
      <c r="V724" s="166">
        <f t="shared" si="473"/>
        <v>0</v>
      </c>
      <c r="W724" s="167">
        <f t="shared" si="474"/>
        <v>0</v>
      </c>
      <c r="X724" s="168">
        <f t="shared" si="475"/>
        <v>0</v>
      </c>
      <c r="Y724" s="166">
        <f t="shared" si="476"/>
        <v>0</v>
      </c>
      <c r="Z724" s="167">
        <f t="shared" si="477"/>
        <v>0</v>
      </c>
      <c r="AA724" s="168">
        <f t="shared" si="478"/>
        <v>0</v>
      </c>
      <c r="AB724" s="166">
        <f t="shared" si="479"/>
        <v>0</v>
      </c>
      <c r="AC724" s="167">
        <f t="shared" si="480"/>
        <v>0</v>
      </c>
      <c r="AD724" s="168">
        <f t="shared" si="481"/>
        <v>0</v>
      </c>
      <c r="AE724" s="166">
        <f t="shared" si="482"/>
        <v>0</v>
      </c>
      <c r="AF724" s="167">
        <f t="shared" si="483"/>
        <v>0</v>
      </c>
      <c r="AG724" s="168">
        <f t="shared" si="484"/>
        <v>0</v>
      </c>
      <c r="AH724" s="166">
        <f t="shared" si="485"/>
        <v>0</v>
      </c>
      <c r="AI724" s="167">
        <f t="shared" si="486"/>
        <v>0</v>
      </c>
      <c r="AJ724" s="168">
        <f t="shared" si="487"/>
        <v>0</v>
      </c>
      <c r="AK724" s="169">
        <f t="shared" si="488"/>
        <v>0</v>
      </c>
      <c r="AL724" s="167">
        <f t="shared" si="489"/>
        <v>0</v>
      </c>
      <c r="AM724" s="585">
        <f t="shared" si="490"/>
        <v>0</v>
      </c>
      <c r="AN724" s="614"/>
      <c r="AO724" s="615"/>
      <c r="AP724" s="615"/>
      <c r="AQ724" s="616"/>
      <c r="AR724" s="612"/>
      <c r="AS724" s="617"/>
      <c r="AT724" s="618"/>
      <c r="AU724" s="618"/>
      <c r="AV724" s="618"/>
      <c r="AW724" s="619"/>
      <c r="AX724" s="614"/>
      <c r="AY724" s="616"/>
      <c r="AZ724" s="616"/>
      <c r="BA724" s="616"/>
      <c r="BB724" s="616"/>
      <c r="BC724" s="616"/>
      <c r="BD724" s="612"/>
      <c r="BE724" s="614"/>
      <c r="BF724" s="616"/>
      <c r="BG724" s="616"/>
      <c r="BH724" s="616"/>
      <c r="BI724" s="616"/>
      <c r="BJ724" s="616"/>
      <c r="BK724" s="1023"/>
      <c r="BL724" s="658"/>
    </row>
    <row r="725" spans="2:64">
      <c r="B725" s="1022"/>
      <c r="C725" s="607"/>
      <c r="D725" s="607"/>
      <c r="E725" s="1021"/>
      <c r="F725" s="1019">
        <v>722</v>
      </c>
      <c r="G725" s="609"/>
      <c r="H725" s="610"/>
      <c r="I725" s="611"/>
      <c r="J725" s="166">
        <f t="shared" si="491"/>
        <v>0</v>
      </c>
      <c r="K725" s="167">
        <f t="shared" si="492"/>
        <v>0</v>
      </c>
      <c r="L725" s="168">
        <f t="shared" si="493"/>
        <v>0</v>
      </c>
      <c r="M725" s="166">
        <f t="shared" si="494"/>
        <v>0</v>
      </c>
      <c r="N725" s="167">
        <f t="shared" si="495"/>
        <v>0</v>
      </c>
      <c r="O725" s="168">
        <f t="shared" si="496"/>
        <v>0</v>
      </c>
      <c r="P725" s="169">
        <f t="shared" si="497"/>
        <v>0</v>
      </c>
      <c r="Q725" s="169">
        <f t="shared" si="498"/>
        <v>0</v>
      </c>
      <c r="R725" s="169">
        <f t="shared" si="499"/>
        <v>0</v>
      </c>
      <c r="S725" s="584">
        <f t="shared" si="470"/>
        <v>0</v>
      </c>
      <c r="T725" s="594">
        <f t="shared" si="471"/>
        <v>0</v>
      </c>
      <c r="U725" s="595">
        <f t="shared" si="472"/>
        <v>0</v>
      </c>
      <c r="V725" s="166">
        <f t="shared" si="473"/>
        <v>0</v>
      </c>
      <c r="W725" s="167">
        <f t="shared" si="474"/>
        <v>0</v>
      </c>
      <c r="X725" s="168">
        <f t="shared" si="475"/>
        <v>0</v>
      </c>
      <c r="Y725" s="166">
        <f t="shared" si="476"/>
        <v>0</v>
      </c>
      <c r="Z725" s="167">
        <f t="shared" si="477"/>
        <v>0</v>
      </c>
      <c r="AA725" s="168">
        <f t="shared" si="478"/>
        <v>0</v>
      </c>
      <c r="AB725" s="166">
        <f t="shared" si="479"/>
        <v>0</v>
      </c>
      <c r="AC725" s="167">
        <f t="shared" si="480"/>
        <v>0</v>
      </c>
      <c r="AD725" s="168">
        <f t="shared" si="481"/>
        <v>0</v>
      </c>
      <c r="AE725" s="166">
        <f t="shared" si="482"/>
        <v>0</v>
      </c>
      <c r="AF725" s="167">
        <f t="shared" si="483"/>
        <v>0</v>
      </c>
      <c r="AG725" s="168">
        <f t="shared" si="484"/>
        <v>0</v>
      </c>
      <c r="AH725" s="166">
        <f t="shared" si="485"/>
        <v>0</v>
      </c>
      <c r="AI725" s="167">
        <f t="shared" si="486"/>
        <v>0</v>
      </c>
      <c r="AJ725" s="168">
        <f t="shared" si="487"/>
        <v>0</v>
      </c>
      <c r="AK725" s="169">
        <f t="shared" si="488"/>
        <v>0</v>
      </c>
      <c r="AL725" s="167">
        <f t="shared" si="489"/>
        <v>0</v>
      </c>
      <c r="AM725" s="585">
        <f t="shared" si="490"/>
        <v>0</v>
      </c>
      <c r="AN725" s="614"/>
      <c r="AO725" s="615"/>
      <c r="AP725" s="615"/>
      <c r="AQ725" s="616"/>
      <c r="AR725" s="612"/>
      <c r="AS725" s="617"/>
      <c r="AT725" s="618"/>
      <c r="AU725" s="618"/>
      <c r="AV725" s="618"/>
      <c r="AW725" s="619"/>
      <c r="AX725" s="614"/>
      <c r="AY725" s="616"/>
      <c r="AZ725" s="616"/>
      <c r="BA725" s="616"/>
      <c r="BB725" s="616"/>
      <c r="BC725" s="616"/>
      <c r="BD725" s="612"/>
      <c r="BE725" s="614"/>
      <c r="BF725" s="616"/>
      <c r="BG725" s="616"/>
      <c r="BH725" s="616"/>
      <c r="BI725" s="616"/>
      <c r="BJ725" s="616"/>
      <c r="BK725" s="1023"/>
      <c r="BL725" s="658"/>
    </row>
    <row r="726" spans="2:64">
      <c r="B726" s="1022"/>
      <c r="C726" s="607"/>
      <c r="D726" s="607"/>
      <c r="E726" s="1021"/>
      <c r="F726" s="608">
        <v>723</v>
      </c>
      <c r="G726" s="609"/>
      <c r="H726" s="610"/>
      <c r="I726" s="611"/>
      <c r="J726" s="166">
        <f t="shared" si="491"/>
        <v>0</v>
      </c>
      <c r="K726" s="167">
        <f t="shared" si="492"/>
        <v>0</v>
      </c>
      <c r="L726" s="168">
        <f t="shared" si="493"/>
        <v>0</v>
      </c>
      <c r="M726" s="166">
        <f t="shared" si="494"/>
        <v>0</v>
      </c>
      <c r="N726" s="167">
        <f t="shared" si="495"/>
        <v>0</v>
      </c>
      <c r="O726" s="168">
        <f t="shared" si="496"/>
        <v>0</v>
      </c>
      <c r="P726" s="169">
        <f t="shared" si="497"/>
        <v>0</v>
      </c>
      <c r="Q726" s="169">
        <f t="shared" si="498"/>
        <v>0</v>
      </c>
      <c r="R726" s="169">
        <f t="shared" si="499"/>
        <v>0</v>
      </c>
      <c r="S726" s="584">
        <f t="shared" si="470"/>
        <v>0</v>
      </c>
      <c r="T726" s="594">
        <f t="shared" si="471"/>
        <v>0</v>
      </c>
      <c r="U726" s="595">
        <f t="shared" si="472"/>
        <v>0</v>
      </c>
      <c r="V726" s="166">
        <f t="shared" si="473"/>
        <v>0</v>
      </c>
      <c r="W726" s="167">
        <f t="shared" si="474"/>
        <v>0</v>
      </c>
      <c r="X726" s="168">
        <f t="shared" si="475"/>
        <v>0</v>
      </c>
      <c r="Y726" s="166">
        <f t="shared" si="476"/>
        <v>0</v>
      </c>
      <c r="Z726" s="167">
        <f t="shared" si="477"/>
        <v>0</v>
      </c>
      <c r="AA726" s="168">
        <f t="shared" si="478"/>
        <v>0</v>
      </c>
      <c r="AB726" s="166">
        <f t="shared" si="479"/>
        <v>0</v>
      </c>
      <c r="AC726" s="167">
        <f t="shared" si="480"/>
        <v>0</v>
      </c>
      <c r="AD726" s="168">
        <f t="shared" si="481"/>
        <v>0</v>
      </c>
      <c r="AE726" s="166">
        <f t="shared" si="482"/>
        <v>0</v>
      </c>
      <c r="AF726" s="167">
        <f t="shared" si="483"/>
        <v>0</v>
      </c>
      <c r="AG726" s="168">
        <f t="shared" si="484"/>
        <v>0</v>
      </c>
      <c r="AH726" s="166">
        <f t="shared" si="485"/>
        <v>0</v>
      </c>
      <c r="AI726" s="167">
        <f t="shared" si="486"/>
        <v>0</v>
      </c>
      <c r="AJ726" s="168">
        <f t="shared" si="487"/>
        <v>0</v>
      </c>
      <c r="AK726" s="169">
        <f t="shared" si="488"/>
        <v>0</v>
      </c>
      <c r="AL726" s="167">
        <f t="shared" si="489"/>
        <v>0</v>
      </c>
      <c r="AM726" s="585">
        <f t="shared" si="490"/>
        <v>0</v>
      </c>
      <c r="AN726" s="614"/>
      <c r="AO726" s="615"/>
      <c r="AP726" s="615"/>
      <c r="AQ726" s="616"/>
      <c r="AR726" s="612"/>
      <c r="AS726" s="617"/>
      <c r="AT726" s="618"/>
      <c r="AU726" s="618"/>
      <c r="AV726" s="618"/>
      <c r="AW726" s="619"/>
      <c r="AX726" s="614"/>
      <c r="AY726" s="616"/>
      <c r="AZ726" s="616"/>
      <c r="BA726" s="616"/>
      <c r="BB726" s="616"/>
      <c r="BC726" s="616"/>
      <c r="BD726" s="612"/>
      <c r="BE726" s="614"/>
      <c r="BF726" s="616"/>
      <c r="BG726" s="616"/>
      <c r="BH726" s="616"/>
      <c r="BI726" s="616"/>
      <c r="BJ726" s="616"/>
      <c r="BK726" s="1023"/>
      <c r="BL726" s="658"/>
    </row>
    <row r="727" spans="2:64">
      <c r="B727" s="1022"/>
      <c r="C727" s="607"/>
      <c r="D727" s="607"/>
      <c r="E727" s="1021"/>
      <c r="F727" s="1019">
        <v>724</v>
      </c>
      <c r="G727" s="609"/>
      <c r="H727" s="610"/>
      <c r="I727" s="611"/>
      <c r="J727" s="166">
        <f t="shared" si="491"/>
        <v>0</v>
      </c>
      <c r="K727" s="167">
        <f t="shared" si="492"/>
        <v>0</v>
      </c>
      <c r="L727" s="168">
        <f t="shared" si="493"/>
        <v>0</v>
      </c>
      <c r="M727" s="166">
        <f t="shared" si="494"/>
        <v>0</v>
      </c>
      <c r="N727" s="167">
        <f t="shared" si="495"/>
        <v>0</v>
      </c>
      <c r="O727" s="168">
        <f t="shared" si="496"/>
        <v>0</v>
      </c>
      <c r="P727" s="169">
        <f t="shared" si="497"/>
        <v>0</v>
      </c>
      <c r="Q727" s="169">
        <f t="shared" si="498"/>
        <v>0</v>
      </c>
      <c r="R727" s="169">
        <f t="shared" si="499"/>
        <v>0</v>
      </c>
      <c r="S727" s="584">
        <f t="shared" si="470"/>
        <v>0</v>
      </c>
      <c r="T727" s="594">
        <f t="shared" si="471"/>
        <v>0</v>
      </c>
      <c r="U727" s="595">
        <f t="shared" si="472"/>
        <v>0</v>
      </c>
      <c r="V727" s="166">
        <f t="shared" si="473"/>
        <v>0</v>
      </c>
      <c r="W727" s="167">
        <f t="shared" si="474"/>
        <v>0</v>
      </c>
      <c r="X727" s="168">
        <f t="shared" si="475"/>
        <v>0</v>
      </c>
      <c r="Y727" s="166">
        <f t="shared" si="476"/>
        <v>0</v>
      </c>
      <c r="Z727" s="167">
        <f t="shared" si="477"/>
        <v>0</v>
      </c>
      <c r="AA727" s="168">
        <f t="shared" si="478"/>
        <v>0</v>
      </c>
      <c r="AB727" s="166">
        <f t="shared" si="479"/>
        <v>0</v>
      </c>
      <c r="AC727" s="167">
        <f t="shared" si="480"/>
        <v>0</v>
      </c>
      <c r="AD727" s="168">
        <f t="shared" si="481"/>
        <v>0</v>
      </c>
      <c r="AE727" s="166">
        <f t="shared" si="482"/>
        <v>0</v>
      </c>
      <c r="AF727" s="167">
        <f t="shared" si="483"/>
        <v>0</v>
      </c>
      <c r="AG727" s="168">
        <f t="shared" si="484"/>
        <v>0</v>
      </c>
      <c r="AH727" s="166">
        <f t="shared" si="485"/>
        <v>0</v>
      </c>
      <c r="AI727" s="167">
        <f t="shared" si="486"/>
        <v>0</v>
      </c>
      <c r="AJ727" s="168">
        <f t="shared" si="487"/>
        <v>0</v>
      </c>
      <c r="AK727" s="169">
        <f t="shared" si="488"/>
        <v>0</v>
      </c>
      <c r="AL727" s="167">
        <f t="shared" si="489"/>
        <v>0</v>
      </c>
      <c r="AM727" s="585">
        <f t="shared" si="490"/>
        <v>0</v>
      </c>
      <c r="AN727" s="614"/>
      <c r="AO727" s="615"/>
      <c r="AP727" s="615"/>
      <c r="AQ727" s="616"/>
      <c r="AR727" s="612"/>
      <c r="AS727" s="617"/>
      <c r="AT727" s="618"/>
      <c r="AU727" s="618"/>
      <c r="AV727" s="618"/>
      <c r="AW727" s="619"/>
      <c r="AX727" s="614"/>
      <c r="AY727" s="616"/>
      <c r="AZ727" s="616"/>
      <c r="BA727" s="616"/>
      <c r="BB727" s="616"/>
      <c r="BC727" s="616"/>
      <c r="BD727" s="612"/>
      <c r="BE727" s="614"/>
      <c r="BF727" s="616"/>
      <c r="BG727" s="616"/>
      <c r="BH727" s="616"/>
      <c r="BI727" s="616"/>
      <c r="BJ727" s="616"/>
      <c r="BK727" s="1023"/>
      <c r="BL727" s="658"/>
    </row>
    <row r="728" spans="2:64">
      <c r="B728" s="1022"/>
      <c r="C728" s="607"/>
      <c r="D728" s="607"/>
      <c r="E728" s="1021"/>
      <c r="F728" s="608">
        <v>725</v>
      </c>
      <c r="G728" s="609"/>
      <c r="H728" s="610"/>
      <c r="I728" s="611"/>
      <c r="J728" s="166">
        <f t="shared" si="491"/>
        <v>0</v>
      </c>
      <c r="K728" s="167">
        <f t="shared" si="492"/>
        <v>0</v>
      </c>
      <c r="L728" s="168">
        <f t="shared" si="493"/>
        <v>0</v>
      </c>
      <c r="M728" s="166">
        <f t="shared" si="494"/>
        <v>0</v>
      </c>
      <c r="N728" s="167">
        <f t="shared" si="495"/>
        <v>0</v>
      </c>
      <c r="O728" s="168">
        <f t="shared" si="496"/>
        <v>0</v>
      </c>
      <c r="P728" s="169">
        <f t="shared" si="497"/>
        <v>0</v>
      </c>
      <c r="Q728" s="169">
        <f t="shared" si="498"/>
        <v>0</v>
      </c>
      <c r="R728" s="169">
        <f t="shared" si="499"/>
        <v>0</v>
      </c>
      <c r="S728" s="584">
        <f t="shared" si="470"/>
        <v>0</v>
      </c>
      <c r="T728" s="594">
        <f t="shared" si="471"/>
        <v>0</v>
      </c>
      <c r="U728" s="595">
        <f t="shared" si="472"/>
        <v>0</v>
      </c>
      <c r="V728" s="166">
        <f t="shared" si="473"/>
        <v>0</v>
      </c>
      <c r="W728" s="167">
        <f t="shared" si="474"/>
        <v>0</v>
      </c>
      <c r="X728" s="168">
        <f t="shared" si="475"/>
        <v>0</v>
      </c>
      <c r="Y728" s="166">
        <f t="shared" si="476"/>
        <v>0</v>
      </c>
      <c r="Z728" s="167">
        <f t="shared" si="477"/>
        <v>0</v>
      </c>
      <c r="AA728" s="168">
        <f t="shared" si="478"/>
        <v>0</v>
      </c>
      <c r="AB728" s="166">
        <f t="shared" si="479"/>
        <v>0</v>
      </c>
      <c r="AC728" s="167">
        <f t="shared" si="480"/>
        <v>0</v>
      </c>
      <c r="AD728" s="168">
        <f t="shared" si="481"/>
        <v>0</v>
      </c>
      <c r="AE728" s="166">
        <f t="shared" si="482"/>
        <v>0</v>
      </c>
      <c r="AF728" s="167">
        <f t="shared" si="483"/>
        <v>0</v>
      </c>
      <c r="AG728" s="168">
        <f t="shared" si="484"/>
        <v>0</v>
      </c>
      <c r="AH728" s="166">
        <f t="shared" si="485"/>
        <v>0</v>
      </c>
      <c r="AI728" s="167">
        <f t="shared" si="486"/>
        <v>0</v>
      </c>
      <c r="AJ728" s="168">
        <f t="shared" si="487"/>
        <v>0</v>
      </c>
      <c r="AK728" s="169">
        <f t="shared" si="488"/>
        <v>0</v>
      </c>
      <c r="AL728" s="167">
        <f t="shared" si="489"/>
        <v>0</v>
      </c>
      <c r="AM728" s="585">
        <f t="shared" si="490"/>
        <v>0</v>
      </c>
      <c r="AN728" s="614"/>
      <c r="AO728" s="615"/>
      <c r="AP728" s="615"/>
      <c r="AQ728" s="616"/>
      <c r="AR728" s="612"/>
      <c r="AS728" s="617"/>
      <c r="AT728" s="618"/>
      <c r="AU728" s="618"/>
      <c r="AV728" s="618"/>
      <c r="AW728" s="619"/>
      <c r="AX728" s="614"/>
      <c r="AY728" s="616"/>
      <c r="AZ728" s="616"/>
      <c r="BA728" s="616"/>
      <c r="BB728" s="616"/>
      <c r="BC728" s="616"/>
      <c r="BD728" s="612"/>
      <c r="BE728" s="614"/>
      <c r="BF728" s="616"/>
      <c r="BG728" s="616"/>
      <c r="BH728" s="616"/>
      <c r="BI728" s="616"/>
      <c r="BJ728" s="616"/>
      <c r="BK728" s="1023"/>
      <c r="BL728" s="658"/>
    </row>
    <row r="729" spans="2:64">
      <c r="B729" s="1022"/>
      <c r="C729" s="607"/>
      <c r="D729" s="607"/>
      <c r="E729" s="1021"/>
      <c r="F729" s="1019">
        <v>726</v>
      </c>
      <c r="G729" s="609"/>
      <c r="H729" s="610"/>
      <c r="I729" s="611"/>
      <c r="J729" s="166">
        <f t="shared" si="491"/>
        <v>0</v>
      </c>
      <c r="K729" s="167">
        <f t="shared" si="492"/>
        <v>0</v>
      </c>
      <c r="L729" s="168">
        <f t="shared" si="493"/>
        <v>0</v>
      </c>
      <c r="M729" s="166">
        <f t="shared" si="494"/>
        <v>0</v>
      </c>
      <c r="N729" s="167">
        <f t="shared" si="495"/>
        <v>0</v>
      </c>
      <c r="O729" s="168">
        <f t="shared" si="496"/>
        <v>0</v>
      </c>
      <c r="P729" s="169">
        <f t="shared" si="497"/>
        <v>0</v>
      </c>
      <c r="Q729" s="169">
        <f t="shared" si="498"/>
        <v>0</v>
      </c>
      <c r="R729" s="169">
        <f t="shared" si="499"/>
        <v>0</v>
      </c>
      <c r="S729" s="584">
        <f t="shared" ref="S729:S792" si="500">ROUND(IF($C729="UR",G729*0.25,G729*0.3),0)</f>
        <v>0</v>
      </c>
      <c r="T729" s="594">
        <f t="shared" ref="T729:T792" si="501">ROUND(IF($C729="UR",H729*0.25,H729*0.3),0)</f>
        <v>0</v>
      </c>
      <c r="U729" s="595">
        <f t="shared" ref="U729:U792" si="502">ROUND(IF($C729="UR",I729*0.25,I729*0.3),0)</f>
        <v>0</v>
      </c>
      <c r="V729" s="166">
        <f t="shared" ref="V729:V792" si="503">(IF($C729="UR",IF($E729="party卡",18,12))+IF($C729="SR",10)+IF($C729="R",8))*M729+J729+S729</f>
        <v>0</v>
      </c>
      <c r="W729" s="167">
        <f t="shared" ref="W729:W792" si="504">(IF($C729="UR",IF($E729="party卡",18,12))+IF($C729="SR",10)+IF($C729="R",8))*N729+K729+T729</f>
        <v>0</v>
      </c>
      <c r="X729" s="168">
        <f t="shared" ref="X729:X792" si="505">(IF($C729="UR",IF($E729="party卡",18,12))+IF($C729="SR",10)+IF($C729="R",8))*O729+L729+U729</f>
        <v>0</v>
      </c>
      <c r="Y729" s="166">
        <f t="shared" ref="Y729:Y792" si="506">V729+(IF(C729="UR",IF(E729="party卡",IF(D729="gd",1,2),IF(D729="vo",2)+IF(D729="sp",1)+IF(D729="gd",3)+IF(D729="sk",1)))+IF(C729="SR",2)+IF(C729="R",IF(D729="vo",1)+IF(D729="sp",2)+IF(D729="gd",1)+IF(D729="sk",2)))*P729</f>
        <v>0</v>
      </c>
      <c r="Z729" s="167">
        <f t="shared" ref="Z729:Z792" si="507">W729+(IF(C729="UR",IF(E729="party卡",IF(D729="sp",1,2),IF(D729="vo",1)+IF(D729="sp",3)+IF(D729="gd",2)+IF(D729="sk",2)))+IF(C729="SR",2)+IF(C729="R",IF(D729="vo",2)+IF(D729="sp",1)+IF(D729="gd",1)+IF(D729="sk",1)))*Q729</f>
        <v>0</v>
      </c>
      <c r="AA729" s="168">
        <f t="shared" ref="AA729:AA792" si="508">X729+(IF(C729="UR",IF(E729="party卡",IF(OR(D729="vo",D729="sk"),1,2),IF(D729="vo",3)+IF(D729="sp",2)+IF(D729="gd",1)+IF(D729="sk",3)))+IF(C729="SR",2)+IF(C729="R",IF(D729="vo",1)+IF(D729="sp",1)+IF(D729="gd",2)+IF(D729="sk",1)))*R729</f>
        <v>0</v>
      </c>
      <c r="AB729" s="166">
        <f t="shared" ref="AB729:AB792" si="509">V729+(IF(C729="UR",IF(E729="party卡",IF(OR(D729="sp",D729="sk"),3,2),IF(D729="vo",5)+IF(D729="sp",4)+IF(D729="gd",4)+IF(D729="sk",4)))+IF(C729="SR",4)+IF(C729="R",IF(D729="vo",3)+IF(D729="sp",3)+IF(D729="gd",2)+IF(D729="sk",3)))*P729</f>
        <v>0</v>
      </c>
      <c r="AC729" s="167">
        <f t="shared" ref="AC729:AC792" si="510">W729+(IF(C729="UR",IF(E729="party卡",IF(D729="vo",3,2),IF(D729="vo",4)+IF(D729="sp",4)+IF(D729="gd",5)+IF(D729="sk",5)))+IF(C729="SR",4)+IF(C729="R",IF(D729="vo",3)+IF(D729="sp",2)+IF(D729="gd",3)+IF(D729="sk",3)))*Q729</f>
        <v>0</v>
      </c>
      <c r="AD729" s="168">
        <f t="shared" ref="AD729:AD792" si="511">X729+(IF(C729="UR",IF(E729="party卡",IF(D729="gd",3,2),IF(D729="vo",4)+IF(D729="sp",5)+IF(D729="gd",4)+IF(D729="sk",4)))+IF(C729="SR",4)+IF(C729="R",IF(D729="vo",2)+IF(D729="sp",3)+IF(D729="gd",3)+IF(D729="sk",2)))*R729</f>
        <v>0</v>
      </c>
      <c r="AE729" s="166">
        <f t="shared" ref="AE729:AE792" si="512">V729+(IF(C729="UR",IF(E729="party卡",3,IF(D729="vo",7)+IF(D729="sp",8)+IF(D729="gd",6)+IF(D729="sk",8)))+IF(C729="SR",IF(D729="vo",5)+IF(D729="sp",6)+IF(D729="gd",6)+IF(D729="sk",6))+IF(C729="R",IF(D729="vo",5)+IF(D729="sp",4)+IF(D729="gd",4)+IF(D729="sk",4)))*P729</f>
        <v>0</v>
      </c>
      <c r="AF729" s="167">
        <f t="shared" ref="AF729:AF792" si="513">W729+(IF(C729="UR",IF(E729="party卡",3,IF(D729="vo",8)+IF(D729="sp",6)+IF(D729="gd",7)+IF(D729="sk",7)))+IF(C729="SR",IF(D729="vo",6)+IF(D729="sp",6)+IF(D729="gd",5)+IF(D729="sk",5))+IF(C729="R",IF(D729="vo",4)+IF(D729="sp",4)+IF(D729="gd",5)+IF(D729="sk",5)))*Q729</f>
        <v>0</v>
      </c>
      <c r="AG729" s="168">
        <f t="shared" ref="AG729:AG792" si="514">X729+(IF(C729="UR",IF(E729="party卡",3,IF(D729="vo",6)+IF(D729="sp",7)+IF(D729="gd",8)+IF(D729="sk",6)))+IF(C729="SR",IF(D729="vo",6)+IF(D729="sp",5)+IF(D729="gd",6)+IF(D729="sk",6))+IF(C729="R",IF(D729="vo",4)+IF(D729="sp",5)+IF(D729="gd",4)+IF(D729="sk",4)))*R729</f>
        <v>0</v>
      </c>
      <c r="AH729" s="166">
        <f t="shared" ref="AH729:AH792" si="515">V729+(IF(C729="UR",IF(E729="party卡",4,IF(D729="vo",9)+IF(D729="sp",10)+IF(D729="gd",10)+IF(D729="sk",10)))+IF(C729="SR",IF(D729="vo",7)+IF(D729="sp",7)+IF(D729="gd",9)+IF(D729="sk",7))+IF(C729="R",IF(D729="vo",7)+IF(D729="sp",6)+IF(D729="gd",6)+IF(D729="sk",6)))*P729</f>
        <v>0</v>
      </c>
      <c r="AI729" s="167">
        <f t="shared" ref="AI729:AI792" si="516">W729+(IF(C729="UR",IF(E729="party卡",4,IF(D729="vo",10)+IF(D729="sp",10)+IF(D729="gd",9)+IF(D729="sk",9)))+IF(C729="SR",IF(D729="vo",7)+IF(D729="sp",9)+IF(D729="gd",7)+IF(D729="sk",7))+IF(C729="R",IF(D729="vo",6)+IF(D729="sp",6)+IF(D729="gd",7)+IF(D729="sk",7)))*Q729</f>
        <v>0</v>
      </c>
      <c r="AJ729" s="168">
        <f t="shared" ref="AJ729:AJ792" si="517">X729+(IF(C729="UR",IF(E729="party卡",4,IF(D729="vo",10)+IF(D729="sp",9)+IF(D729="gd",10)+IF(D729="sk",10)))+IF(C729="SR",IF(D729="vo",9)+IF(D729="sp",7)+IF(D729="gd",7)+IF(D729="sk",9))+IF(C729="R",IF(D729="vo",6)+IF(D729="sp",7)+IF(D729="gd",6)+IF(D729="sk",6)))*R729</f>
        <v>0</v>
      </c>
      <c r="AK729" s="169">
        <f t="shared" ref="AK729:AK792" si="518">G729+J729</f>
        <v>0</v>
      </c>
      <c r="AL729" s="167">
        <f t="shared" ref="AL729:AL792" si="519">H729+K729</f>
        <v>0</v>
      </c>
      <c r="AM729" s="585">
        <f t="shared" ref="AM729:AM792" si="520">I729+L729</f>
        <v>0</v>
      </c>
      <c r="AN729" s="614"/>
      <c r="AO729" s="615"/>
      <c r="AP729" s="615"/>
      <c r="AQ729" s="616"/>
      <c r="AR729" s="612"/>
      <c r="AS729" s="617"/>
      <c r="AT729" s="618"/>
      <c r="AU729" s="618"/>
      <c r="AV729" s="618"/>
      <c r="AW729" s="619"/>
      <c r="AX729" s="614"/>
      <c r="AY729" s="616"/>
      <c r="AZ729" s="616"/>
      <c r="BA729" s="616"/>
      <c r="BB729" s="616"/>
      <c r="BC729" s="616"/>
      <c r="BD729" s="612"/>
      <c r="BE729" s="614"/>
      <c r="BF729" s="616"/>
      <c r="BG729" s="616"/>
      <c r="BH729" s="616"/>
      <c r="BI729" s="616"/>
      <c r="BJ729" s="616"/>
      <c r="BK729" s="1023"/>
      <c r="BL729" s="658"/>
    </row>
    <row r="730" spans="2:64">
      <c r="B730" s="1022"/>
      <c r="C730" s="607"/>
      <c r="D730" s="607"/>
      <c r="E730" s="1021"/>
      <c r="F730" s="608">
        <v>727</v>
      </c>
      <c r="G730" s="609"/>
      <c r="H730" s="610"/>
      <c r="I730" s="611"/>
      <c r="J730" s="166">
        <f t="shared" si="491"/>
        <v>0</v>
      </c>
      <c r="K730" s="167">
        <f t="shared" si="492"/>
        <v>0</v>
      </c>
      <c r="L730" s="168">
        <f t="shared" si="493"/>
        <v>0</v>
      </c>
      <c r="M730" s="166">
        <f t="shared" si="494"/>
        <v>0</v>
      </c>
      <c r="N730" s="167">
        <f t="shared" si="495"/>
        <v>0</v>
      </c>
      <c r="O730" s="168">
        <f t="shared" si="496"/>
        <v>0</v>
      </c>
      <c r="P730" s="169">
        <f t="shared" si="497"/>
        <v>0</v>
      </c>
      <c r="Q730" s="169">
        <f t="shared" si="498"/>
        <v>0</v>
      </c>
      <c r="R730" s="169">
        <f t="shared" si="499"/>
        <v>0</v>
      </c>
      <c r="S730" s="584">
        <f t="shared" si="500"/>
        <v>0</v>
      </c>
      <c r="T730" s="594">
        <f t="shared" si="501"/>
        <v>0</v>
      </c>
      <c r="U730" s="595">
        <f t="shared" si="502"/>
        <v>0</v>
      </c>
      <c r="V730" s="166">
        <f t="shared" si="503"/>
        <v>0</v>
      </c>
      <c r="W730" s="167">
        <f t="shared" si="504"/>
        <v>0</v>
      </c>
      <c r="X730" s="168">
        <f t="shared" si="505"/>
        <v>0</v>
      </c>
      <c r="Y730" s="166">
        <f t="shared" si="506"/>
        <v>0</v>
      </c>
      <c r="Z730" s="167">
        <f t="shared" si="507"/>
        <v>0</v>
      </c>
      <c r="AA730" s="168">
        <f t="shared" si="508"/>
        <v>0</v>
      </c>
      <c r="AB730" s="166">
        <f t="shared" si="509"/>
        <v>0</v>
      </c>
      <c r="AC730" s="167">
        <f t="shared" si="510"/>
        <v>0</v>
      </c>
      <c r="AD730" s="168">
        <f t="shared" si="511"/>
        <v>0</v>
      </c>
      <c r="AE730" s="166">
        <f t="shared" si="512"/>
        <v>0</v>
      </c>
      <c r="AF730" s="167">
        <f t="shared" si="513"/>
        <v>0</v>
      </c>
      <c r="AG730" s="168">
        <f t="shared" si="514"/>
        <v>0</v>
      </c>
      <c r="AH730" s="166">
        <f t="shared" si="515"/>
        <v>0</v>
      </c>
      <c r="AI730" s="167">
        <f t="shared" si="516"/>
        <v>0</v>
      </c>
      <c r="AJ730" s="168">
        <f t="shared" si="517"/>
        <v>0</v>
      </c>
      <c r="AK730" s="169">
        <f t="shared" si="518"/>
        <v>0</v>
      </c>
      <c r="AL730" s="167">
        <f t="shared" si="519"/>
        <v>0</v>
      </c>
      <c r="AM730" s="585">
        <f t="shared" si="520"/>
        <v>0</v>
      </c>
      <c r="AN730" s="614"/>
      <c r="AO730" s="615"/>
      <c r="AP730" s="615"/>
      <c r="AQ730" s="616"/>
      <c r="AR730" s="612"/>
      <c r="AS730" s="617"/>
      <c r="AT730" s="618"/>
      <c r="AU730" s="618"/>
      <c r="AV730" s="618"/>
      <c r="AW730" s="619"/>
      <c r="AX730" s="614"/>
      <c r="AY730" s="616"/>
      <c r="AZ730" s="616"/>
      <c r="BA730" s="616"/>
      <c r="BB730" s="616"/>
      <c r="BC730" s="616"/>
      <c r="BD730" s="612"/>
      <c r="BE730" s="614"/>
      <c r="BF730" s="616"/>
      <c r="BG730" s="616"/>
      <c r="BH730" s="616"/>
      <c r="BI730" s="616"/>
      <c r="BJ730" s="616"/>
      <c r="BK730" s="1023"/>
      <c r="BL730" s="658"/>
    </row>
    <row r="731" spans="2:64">
      <c r="B731" s="1022"/>
      <c r="C731" s="607"/>
      <c r="D731" s="607"/>
      <c r="E731" s="1021"/>
      <c r="F731" s="1019">
        <v>728</v>
      </c>
      <c r="G731" s="609"/>
      <c r="H731" s="610"/>
      <c r="I731" s="611"/>
      <c r="J731" s="166">
        <f t="shared" si="491"/>
        <v>0</v>
      </c>
      <c r="K731" s="167">
        <f t="shared" si="492"/>
        <v>0</v>
      </c>
      <c r="L731" s="168">
        <f t="shared" si="493"/>
        <v>0</v>
      </c>
      <c r="M731" s="166">
        <f t="shared" si="494"/>
        <v>0</v>
      </c>
      <c r="N731" s="167">
        <f t="shared" si="495"/>
        <v>0</v>
      </c>
      <c r="O731" s="168">
        <f t="shared" si="496"/>
        <v>0</v>
      </c>
      <c r="P731" s="169">
        <f t="shared" si="497"/>
        <v>0</v>
      </c>
      <c r="Q731" s="169">
        <f t="shared" si="498"/>
        <v>0</v>
      </c>
      <c r="R731" s="169">
        <f t="shared" si="499"/>
        <v>0</v>
      </c>
      <c r="S731" s="584">
        <f t="shared" si="500"/>
        <v>0</v>
      </c>
      <c r="T731" s="594">
        <f t="shared" si="501"/>
        <v>0</v>
      </c>
      <c r="U731" s="595">
        <f t="shared" si="502"/>
        <v>0</v>
      </c>
      <c r="V731" s="166">
        <f t="shared" si="503"/>
        <v>0</v>
      </c>
      <c r="W731" s="167">
        <f t="shared" si="504"/>
        <v>0</v>
      </c>
      <c r="X731" s="168">
        <f t="shared" si="505"/>
        <v>0</v>
      </c>
      <c r="Y731" s="166">
        <f t="shared" si="506"/>
        <v>0</v>
      </c>
      <c r="Z731" s="167">
        <f t="shared" si="507"/>
        <v>0</v>
      </c>
      <c r="AA731" s="168">
        <f t="shared" si="508"/>
        <v>0</v>
      </c>
      <c r="AB731" s="166">
        <f t="shared" si="509"/>
        <v>0</v>
      </c>
      <c r="AC731" s="167">
        <f t="shared" si="510"/>
        <v>0</v>
      </c>
      <c r="AD731" s="168">
        <f t="shared" si="511"/>
        <v>0</v>
      </c>
      <c r="AE731" s="166">
        <f t="shared" si="512"/>
        <v>0</v>
      </c>
      <c r="AF731" s="167">
        <f t="shared" si="513"/>
        <v>0</v>
      </c>
      <c r="AG731" s="168">
        <f t="shared" si="514"/>
        <v>0</v>
      </c>
      <c r="AH731" s="166">
        <f t="shared" si="515"/>
        <v>0</v>
      </c>
      <c r="AI731" s="167">
        <f t="shared" si="516"/>
        <v>0</v>
      </c>
      <c r="AJ731" s="168">
        <f t="shared" si="517"/>
        <v>0</v>
      </c>
      <c r="AK731" s="169">
        <f t="shared" si="518"/>
        <v>0</v>
      </c>
      <c r="AL731" s="167">
        <f t="shared" si="519"/>
        <v>0</v>
      </c>
      <c r="AM731" s="585">
        <f t="shared" si="520"/>
        <v>0</v>
      </c>
      <c r="AN731" s="614"/>
      <c r="AO731" s="615"/>
      <c r="AP731" s="615"/>
      <c r="AQ731" s="616"/>
      <c r="AR731" s="612"/>
      <c r="AS731" s="617"/>
      <c r="AT731" s="618"/>
      <c r="AU731" s="618"/>
      <c r="AV731" s="618"/>
      <c r="AW731" s="619"/>
      <c r="AX731" s="614"/>
      <c r="AY731" s="616"/>
      <c r="AZ731" s="616"/>
      <c r="BA731" s="616"/>
      <c r="BB731" s="616"/>
      <c r="BC731" s="616"/>
      <c r="BD731" s="612"/>
      <c r="BE731" s="614"/>
      <c r="BF731" s="616"/>
      <c r="BG731" s="616"/>
      <c r="BH731" s="616"/>
      <c r="BI731" s="616"/>
      <c r="BJ731" s="616"/>
      <c r="BK731" s="1023"/>
      <c r="BL731" s="658"/>
    </row>
    <row r="732" spans="2:64">
      <c r="B732" s="1022"/>
      <c r="C732" s="607"/>
      <c r="D732" s="607"/>
      <c r="E732" s="1021"/>
      <c r="F732" s="608">
        <v>729</v>
      </c>
      <c r="G732" s="609"/>
      <c r="H732" s="610"/>
      <c r="I732" s="611"/>
      <c r="J732" s="166">
        <f t="shared" si="491"/>
        <v>0</v>
      </c>
      <c r="K732" s="167">
        <f t="shared" si="492"/>
        <v>0</v>
      </c>
      <c r="L732" s="168">
        <f t="shared" si="493"/>
        <v>0</v>
      </c>
      <c r="M732" s="166">
        <f t="shared" si="494"/>
        <v>0</v>
      </c>
      <c r="N732" s="167">
        <f t="shared" si="495"/>
        <v>0</v>
      </c>
      <c r="O732" s="168">
        <f t="shared" si="496"/>
        <v>0</v>
      </c>
      <c r="P732" s="169">
        <f t="shared" si="497"/>
        <v>0</v>
      </c>
      <c r="Q732" s="169">
        <f t="shared" si="498"/>
        <v>0</v>
      </c>
      <c r="R732" s="169">
        <f t="shared" si="499"/>
        <v>0</v>
      </c>
      <c r="S732" s="584">
        <f t="shared" si="500"/>
        <v>0</v>
      </c>
      <c r="T732" s="594">
        <f t="shared" si="501"/>
        <v>0</v>
      </c>
      <c r="U732" s="595">
        <f t="shared" si="502"/>
        <v>0</v>
      </c>
      <c r="V732" s="166">
        <f t="shared" si="503"/>
        <v>0</v>
      </c>
      <c r="W732" s="167">
        <f t="shared" si="504"/>
        <v>0</v>
      </c>
      <c r="X732" s="168">
        <f t="shared" si="505"/>
        <v>0</v>
      </c>
      <c r="Y732" s="166">
        <f t="shared" si="506"/>
        <v>0</v>
      </c>
      <c r="Z732" s="167">
        <f t="shared" si="507"/>
        <v>0</v>
      </c>
      <c r="AA732" s="168">
        <f t="shared" si="508"/>
        <v>0</v>
      </c>
      <c r="AB732" s="166">
        <f t="shared" si="509"/>
        <v>0</v>
      </c>
      <c r="AC732" s="167">
        <f t="shared" si="510"/>
        <v>0</v>
      </c>
      <c r="AD732" s="168">
        <f t="shared" si="511"/>
        <v>0</v>
      </c>
      <c r="AE732" s="166">
        <f t="shared" si="512"/>
        <v>0</v>
      </c>
      <c r="AF732" s="167">
        <f t="shared" si="513"/>
        <v>0</v>
      </c>
      <c r="AG732" s="168">
        <f t="shared" si="514"/>
        <v>0</v>
      </c>
      <c r="AH732" s="166">
        <f t="shared" si="515"/>
        <v>0</v>
      </c>
      <c r="AI732" s="167">
        <f t="shared" si="516"/>
        <v>0</v>
      </c>
      <c r="AJ732" s="168">
        <f t="shared" si="517"/>
        <v>0</v>
      </c>
      <c r="AK732" s="169">
        <f t="shared" si="518"/>
        <v>0</v>
      </c>
      <c r="AL732" s="167">
        <f t="shared" si="519"/>
        <v>0</v>
      </c>
      <c r="AM732" s="585">
        <f t="shared" si="520"/>
        <v>0</v>
      </c>
      <c r="AN732" s="614"/>
      <c r="AO732" s="615"/>
      <c r="AP732" s="615"/>
      <c r="AQ732" s="616"/>
      <c r="AR732" s="612"/>
      <c r="AS732" s="617"/>
      <c r="AT732" s="618"/>
      <c r="AU732" s="618"/>
      <c r="AV732" s="618"/>
      <c r="AW732" s="619"/>
      <c r="AX732" s="614"/>
      <c r="AY732" s="616"/>
      <c r="AZ732" s="616"/>
      <c r="BA732" s="616"/>
      <c r="BB732" s="616"/>
      <c r="BC732" s="616"/>
      <c r="BD732" s="612"/>
      <c r="BE732" s="614"/>
      <c r="BF732" s="616"/>
      <c r="BG732" s="616"/>
      <c r="BH732" s="616"/>
      <c r="BI732" s="616"/>
      <c r="BJ732" s="616"/>
      <c r="BK732" s="1023"/>
      <c r="BL732" s="658"/>
    </row>
    <row r="733" spans="2:64">
      <c r="B733" s="1022"/>
      <c r="C733" s="607"/>
      <c r="D733" s="607"/>
      <c r="E733" s="1021"/>
      <c r="F733" s="1019">
        <v>730</v>
      </c>
      <c r="G733" s="609"/>
      <c r="H733" s="610"/>
      <c r="I733" s="611"/>
      <c r="J733" s="166">
        <f t="shared" si="491"/>
        <v>0</v>
      </c>
      <c r="K733" s="167">
        <f t="shared" si="492"/>
        <v>0</v>
      </c>
      <c r="L733" s="168">
        <f t="shared" si="493"/>
        <v>0</v>
      </c>
      <c r="M733" s="166">
        <f t="shared" si="494"/>
        <v>0</v>
      </c>
      <c r="N733" s="167">
        <f t="shared" si="495"/>
        <v>0</v>
      </c>
      <c r="O733" s="168">
        <f t="shared" si="496"/>
        <v>0</v>
      </c>
      <c r="P733" s="169">
        <f t="shared" si="497"/>
        <v>0</v>
      </c>
      <c r="Q733" s="169">
        <f t="shared" si="498"/>
        <v>0</v>
      </c>
      <c r="R733" s="169">
        <f t="shared" si="499"/>
        <v>0</v>
      </c>
      <c r="S733" s="584">
        <f t="shared" si="500"/>
        <v>0</v>
      </c>
      <c r="T733" s="594">
        <f t="shared" si="501"/>
        <v>0</v>
      </c>
      <c r="U733" s="595">
        <f t="shared" si="502"/>
        <v>0</v>
      </c>
      <c r="V733" s="166">
        <f t="shared" si="503"/>
        <v>0</v>
      </c>
      <c r="W733" s="167">
        <f t="shared" si="504"/>
        <v>0</v>
      </c>
      <c r="X733" s="168">
        <f t="shared" si="505"/>
        <v>0</v>
      </c>
      <c r="Y733" s="166">
        <f t="shared" si="506"/>
        <v>0</v>
      </c>
      <c r="Z733" s="167">
        <f t="shared" si="507"/>
        <v>0</v>
      </c>
      <c r="AA733" s="168">
        <f t="shared" si="508"/>
        <v>0</v>
      </c>
      <c r="AB733" s="166">
        <f t="shared" si="509"/>
        <v>0</v>
      </c>
      <c r="AC733" s="167">
        <f t="shared" si="510"/>
        <v>0</v>
      </c>
      <c r="AD733" s="168">
        <f t="shared" si="511"/>
        <v>0</v>
      </c>
      <c r="AE733" s="166">
        <f t="shared" si="512"/>
        <v>0</v>
      </c>
      <c r="AF733" s="167">
        <f t="shared" si="513"/>
        <v>0</v>
      </c>
      <c r="AG733" s="168">
        <f t="shared" si="514"/>
        <v>0</v>
      </c>
      <c r="AH733" s="166">
        <f t="shared" si="515"/>
        <v>0</v>
      </c>
      <c r="AI733" s="167">
        <f t="shared" si="516"/>
        <v>0</v>
      </c>
      <c r="AJ733" s="168">
        <f t="shared" si="517"/>
        <v>0</v>
      </c>
      <c r="AK733" s="169">
        <f t="shared" si="518"/>
        <v>0</v>
      </c>
      <c r="AL733" s="167">
        <f t="shared" si="519"/>
        <v>0</v>
      </c>
      <c r="AM733" s="585">
        <f t="shared" si="520"/>
        <v>0</v>
      </c>
      <c r="AN733" s="614"/>
      <c r="AO733" s="615"/>
      <c r="AP733" s="615"/>
      <c r="AQ733" s="616"/>
      <c r="AR733" s="612"/>
      <c r="AS733" s="617"/>
      <c r="AT733" s="618"/>
      <c r="AU733" s="618"/>
      <c r="AV733" s="618"/>
      <c r="AW733" s="619"/>
      <c r="AX733" s="614"/>
      <c r="AY733" s="616"/>
      <c r="AZ733" s="616"/>
      <c r="BA733" s="616"/>
      <c r="BB733" s="616"/>
      <c r="BC733" s="616"/>
      <c r="BD733" s="612"/>
      <c r="BE733" s="614"/>
      <c r="BF733" s="616"/>
      <c r="BG733" s="616"/>
      <c r="BH733" s="616"/>
      <c r="BI733" s="616"/>
      <c r="BJ733" s="616"/>
      <c r="BK733" s="1023"/>
      <c r="BL733" s="658"/>
    </row>
    <row r="734" spans="2:64">
      <c r="B734" s="1022"/>
      <c r="C734" s="607"/>
      <c r="D734" s="607"/>
      <c r="E734" s="1021"/>
      <c r="F734" s="608">
        <v>731</v>
      </c>
      <c r="G734" s="609"/>
      <c r="H734" s="610"/>
      <c r="I734" s="611"/>
      <c r="J734" s="166">
        <f t="shared" si="491"/>
        <v>0</v>
      </c>
      <c r="K734" s="167">
        <f t="shared" si="492"/>
        <v>0</v>
      </c>
      <c r="L734" s="168">
        <f t="shared" si="493"/>
        <v>0</v>
      </c>
      <c r="M734" s="166">
        <f t="shared" si="494"/>
        <v>0</v>
      </c>
      <c r="N734" s="167">
        <f t="shared" si="495"/>
        <v>0</v>
      </c>
      <c r="O734" s="168">
        <f t="shared" si="496"/>
        <v>0</v>
      </c>
      <c r="P734" s="169">
        <f t="shared" si="497"/>
        <v>0</v>
      </c>
      <c r="Q734" s="169">
        <f t="shared" si="498"/>
        <v>0</v>
      </c>
      <c r="R734" s="169">
        <f t="shared" si="499"/>
        <v>0</v>
      </c>
      <c r="S734" s="584">
        <f t="shared" si="500"/>
        <v>0</v>
      </c>
      <c r="T734" s="594">
        <f t="shared" si="501"/>
        <v>0</v>
      </c>
      <c r="U734" s="595">
        <f t="shared" si="502"/>
        <v>0</v>
      </c>
      <c r="V734" s="166">
        <f t="shared" si="503"/>
        <v>0</v>
      </c>
      <c r="W734" s="167">
        <f t="shared" si="504"/>
        <v>0</v>
      </c>
      <c r="X734" s="168">
        <f t="shared" si="505"/>
        <v>0</v>
      </c>
      <c r="Y734" s="166">
        <f t="shared" si="506"/>
        <v>0</v>
      </c>
      <c r="Z734" s="167">
        <f t="shared" si="507"/>
        <v>0</v>
      </c>
      <c r="AA734" s="168">
        <f t="shared" si="508"/>
        <v>0</v>
      </c>
      <c r="AB734" s="166">
        <f t="shared" si="509"/>
        <v>0</v>
      </c>
      <c r="AC734" s="167">
        <f t="shared" si="510"/>
        <v>0</v>
      </c>
      <c r="AD734" s="168">
        <f t="shared" si="511"/>
        <v>0</v>
      </c>
      <c r="AE734" s="166">
        <f t="shared" si="512"/>
        <v>0</v>
      </c>
      <c r="AF734" s="167">
        <f t="shared" si="513"/>
        <v>0</v>
      </c>
      <c r="AG734" s="168">
        <f t="shared" si="514"/>
        <v>0</v>
      </c>
      <c r="AH734" s="166">
        <f t="shared" si="515"/>
        <v>0</v>
      </c>
      <c r="AI734" s="167">
        <f t="shared" si="516"/>
        <v>0</v>
      </c>
      <c r="AJ734" s="168">
        <f t="shared" si="517"/>
        <v>0</v>
      </c>
      <c r="AK734" s="169">
        <f t="shared" si="518"/>
        <v>0</v>
      </c>
      <c r="AL734" s="167">
        <f t="shared" si="519"/>
        <v>0</v>
      </c>
      <c r="AM734" s="585">
        <f t="shared" si="520"/>
        <v>0</v>
      </c>
      <c r="AN734" s="614"/>
      <c r="AO734" s="615"/>
      <c r="AP734" s="615"/>
      <c r="AQ734" s="616"/>
      <c r="AR734" s="612"/>
      <c r="AS734" s="617"/>
      <c r="AT734" s="618"/>
      <c r="AU734" s="618"/>
      <c r="AV734" s="618"/>
      <c r="AW734" s="619"/>
      <c r="AX734" s="614"/>
      <c r="AY734" s="616"/>
      <c r="AZ734" s="616"/>
      <c r="BA734" s="616"/>
      <c r="BB734" s="616"/>
      <c r="BC734" s="616"/>
      <c r="BD734" s="612"/>
      <c r="BE734" s="614"/>
      <c r="BF734" s="616"/>
      <c r="BG734" s="616"/>
      <c r="BH734" s="616"/>
      <c r="BI734" s="616"/>
      <c r="BJ734" s="616"/>
      <c r="BK734" s="1023"/>
      <c r="BL734" s="658"/>
    </row>
    <row r="735" spans="2:64">
      <c r="B735" s="1022"/>
      <c r="C735" s="607"/>
      <c r="D735" s="607"/>
      <c r="E735" s="1021"/>
      <c r="F735" s="1019">
        <v>732</v>
      </c>
      <c r="G735" s="609"/>
      <c r="H735" s="610"/>
      <c r="I735" s="611"/>
      <c r="J735" s="166">
        <f t="shared" si="491"/>
        <v>0</v>
      </c>
      <c r="K735" s="167">
        <f t="shared" si="492"/>
        <v>0</v>
      </c>
      <c r="L735" s="168">
        <f t="shared" si="493"/>
        <v>0</v>
      </c>
      <c r="M735" s="166">
        <f t="shared" si="494"/>
        <v>0</v>
      </c>
      <c r="N735" s="167">
        <f t="shared" si="495"/>
        <v>0</v>
      </c>
      <c r="O735" s="168">
        <f t="shared" si="496"/>
        <v>0</v>
      </c>
      <c r="P735" s="169">
        <f t="shared" si="497"/>
        <v>0</v>
      </c>
      <c r="Q735" s="169">
        <f t="shared" si="498"/>
        <v>0</v>
      </c>
      <c r="R735" s="169">
        <f t="shared" si="499"/>
        <v>0</v>
      </c>
      <c r="S735" s="584">
        <f t="shared" si="500"/>
        <v>0</v>
      </c>
      <c r="T735" s="594">
        <f t="shared" si="501"/>
        <v>0</v>
      </c>
      <c r="U735" s="595">
        <f t="shared" si="502"/>
        <v>0</v>
      </c>
      <c r="V735" s="166">
        <f t="shared" si="503"/>
        <v>0</v>
      </c>
      <c r="W735" s="167">
        <f t="shared" si="504"/>
        <v>0</v>
      </c>
      <c r="X735" s="168">
        <f t="shared" si="505"/>
        <v>0</v>
      </c>
      <c r="Y735" s="166">
        <f t="shared" si="506"/>
        <v>0</v>
      </c>
      <c r="Z735" s="167">
        <f t="shared" si="507"/>
        <v>0</v>
      </c>
      <c r="AA735" s="168">
        <f t="shared" si="508"/>
        <v>0</v>
      </c>
      <c r="AB735" s="166">
        <f t="shared" si="509"/>
        <v>0</v>
      </c>
      <c r="AC735" s="167">
        <f t="shared" si="510"/>
        <v>0</v>
      </c>
      <c r="AD735" s="168">
        <f t="shared" si="511"/>
        <v>0</v>
      </c>
      <c r="AE735" s="166">
        <f t="shared" si="512"/>
        <v>0</v>
      </c>
      <c r="AF735" s="167">
        <f t="shared" si="513"/>
        <v>0</v>
      </c>
      <c r="AG735" s="168">
        <f t="shared" si="514"/>
        <v>0</v>
      </c>
      <c r="AH735" s="166">
        <f t="shared" si="515"/>
        <v>0</v>
      </c>
      <c r="AI735" s="167">
        <f t="shared" si="516"/>
        <v>0</v>
      </c>
      <c r="AJ735" s="168">
        <f t="shared" si="517"/>
        <v>0</v>
      </c>
      <c r="AK735" s="169">
        <f t="shared" si="518"/>
        <v>0</v>
      </c>
      <c r="AL735" s="167">
        <f t="shared" si="519"/>
        <v>0</v>
      </c>
      <c r="AM735" s="585">
        <f t="shared" si="520"/>
        <v>0</v>
      </c>
      <c r="AN735" s="614"/>
      <c r="AO735" s="615"/>
      <c r="AP735" s="615"/>
      <c r="AQ735" s="616"/>
      <c r="AR735" s="612"/>
      <c r="AS735" s="617"/>
      <c r="AT735" s="618"/>
      <c r="AU735" s="618"/>
      <c r="AV735" s="618"/>
      <c r="AW735" s="619"/>
      <c r="AX735" s="614"/>
      <c r="AY735" s="616"/>
      <c r="AZ735" s="616"/>
      <c r="BA735" s="616"/>
      <c r="BB735" s="616"/>
      <c r="BC735" s="616"/>
      <c r="BD735" s="612"/>
      <c r="BE735" s="614"/>
      <c r="BF735" s="616"/>
      <c r="BG735" s="616"/>
      <c r="BH735" s="616"/>
      <c r="BI735" s="616"/>
      <c r="BJ735" s="616"/>
      <c r="BK735" s="1023"/>
      <c r="BL735" s="658"/>
    </row>
    <row r="736" spans="2:64">
      <c r="B736" s="1022"/>
      <c r="C736" s="607"/>
      <c r="D736" s="607"/>
      <c r="E736" s="1021"/>
      <c r="F736" s="608">
        <v>733</v>
      </c>
      <c r="G736" s="609"/>
      <c r="H736" s="610"/>
      <c r="I736" s="611"/>
      <c r="J736" s="166">
        <f t="shared" si="491"/>
        <v>0</v>
      </c>
      <c r="K736" s="167">
        <f t="shared" si="492"/>
        <v>0</v>
      </c>
      <c r="L736" s="168">
        <f t="shared" si="493"/>
        <v>0</v>
      </c>
      <c r="M736" s="166">
        <f t="shared" si="494"/>
        <v>0</v>
      </c>
      <c r="N736" s="167">
        <f t="shared" si="495"/>
        <v>0</v>
      </c>
      <c r="O736" s="168">
        <f t="shared" si="496"/>
        <v>0</v>
      </c>
      <c r="P736" s="169">
        <f t="shared" si="497"/>
        <v>0</v>
      </c>
      <c r="Q736" s="169">
        <f t="shared" si="498"/>
        <v>0</v>
      </c>
      <c r="R736" s="169">
        <f t="shared" si="499"/>
        <v>0</v>
      </c>
      <c r="S736" s="584">
        <f t="shared" si="500"/>
        <v>0</v>
      </c>
      <c r="T736" s="594">
        <f t="shared" si="501"/>
        <v>0</v>
      </c>
      <c r="U736" s="595">
        <f t="shared" si="502"/>
        <v>0</v>
      </c>
      <c r="V736" s="166">
        <f t="shared" si="503"/>
        <v>0</v>
      </c>
      <c r="W736" s="167">
        <f t="shared" si="504"/>
        <v>0</v>
      </c>
      <c r="X736" s="168">
        <f t="shared" si="505"/>
        <v>0</v>
      </c>
      <c r="Y736" s="166">
        <f t="shared" si="506"/>
        <v>0</v>
      </c>
      <c r="Z736" s="167">
        <f t="shared" si="507"/>
        <v>0</v>
      </c>
      <c r="AA736" s="168">
        <f t="shared" si="508"/>
        <v>0</v>
      </c>
      <c r="AB736" s="166">
        <f t="shared" si="509"/>
        <v>0</v>
      </c>
      <c r="AC736" s="167">
        <f t="shared" si="510"/>
        <v>0</v>
      </c>
      <c r="AD736" s="168">
        <f t="shared" si="511"/>
        <v>0</v>
      </c>
      <c r="AE736" s="166">
        <f t="shared" si="512"/>
        <v>0</v>
      </c>
      <c r="AF736" s="167">
        <f t="shared" si="513"/>
        <v>0</v>
      </c>
      <c r="AG736" s="168">
        <f t="shared" si="514"/>
        <v>0</v>
      </c>
      <c r="AH736" s="166">
        <f t="shared" si="515"/>
        <v>0</v>
      </c>
      <c r="AI736" s="167">
        <f t="shared" si="516"/>
        <v>0</v>
      </c>
      <c r="AJ736" s="168">
        <f t="shared" si="517"/>
        <v>0</v>
      </c>
      <c r="AK736" s="169">
        <f t="shared" si="518"/>
        <v>0</v>
      </c>
      <c r="AL736" s="167">
        <f t="shared" si="519"/>
        <v>0</v>
      </c>
      <c r="AM736" s="585">
        <f t="shared" si="520"/>
        <v>0</v>
      </c>
      <c r="AN736" s="614"/>
      <c r="AO736" s="615"/>
      <c r="AP736" s="615"/>
      <c r="AQ736" s="616"/>
      <c r="AR736" s="612"/>
      <c r="AS736" s="617"/>
      <c r="AT736" s="618"/>
      <c r="AU736" s="618"/>
      <c r="AV736" s="618"/>
      <c r="AW736" s="619"/>
      <c r="AX736" s="614"/>
      <c r="AY736" s="616"/>
      <c r="AZ736" s="616"/>
      <c r="BA736" s="616"/>
      <c r="BB736" s="616"/>
      <c r="BC736" s="616"/>
      <c r="BD736" s="612"/>
      <c r="BE736" s="614"/>
      <c r="BF736" s="616"/>
      <c r="BG736" s="616"/>
      <c r="BH736" s="616"/>
      <c r="BI736" s="616"/>
      <c r="BJ736" s="616"/>
      <c r="BK736" s="1023"/>
      <c r="BL736" s="658"/>
    </row>
    <row r="737" spans="2:64">
      <c r="B737" s="1022"/>
      <c r="C737" s="607"/>
      <c r="D737" s="607"/>
      <c r="E737" s="1021"/>
      <c r="F737" s="1019">
        <v>734</v>
      </c>
      <c r="G737" s="609"/>
      <c r="H737" s="610"/>
      <c r="I737" s="611"/>
      <c r="J737" s="166">
        <f t="shared" si="491"/>
        <v>0</v>
      </c>
      <c r="K737" s="167">
        <f t="shared" si="492"/>
        <v>0</v>
      </c>
      <c r="L737" s="168">
        <f t="shared" si="493"/>
        <v>0</v>
      </c>
      <c r="M737" s="166">
        <f t="shared" si="494"/>
        <v>0</v>
      </c>
      <c r="N737" s="167">
        <f t="shared" si="495"/>
        <v>0</v>
      </c>
      <c r="O737" s="168">
        <f t="shared" si="496"/>
        <v>0</v>
      </c>
      <c r="P737" s="169">
        <f t="shared" si="497"/>
        <v>0</v>
      </c>
      <c r="Q737" s="169">
        <f t="shared" si="498"/>
        <v>0</v>
      </c>
      <c r="R737" s="169">
        <f t="shared" si="499"/>
        <v>0</v>
      </c>
      <c r="S737" s="584">
        <f t="shared" si="500"/>
        <v>0</v>
      </c>
      <c r="T737" s="594">
        <f t="shared" si="501"/>
        <v>0</v>
      </c>
      <c r="U737" s="595">
        <f t="shared" si="502"/>
        <v>0</v>
      </c>
      <c r="V737" s="166">
        <f t="shared" si="503"/>
        <v>0</v>
      </c>
      <c r="W737" s="167">
        <f t="shared" si="504"/>
        <v>0</v>
      </c>
      <c r="X737" s="168">
        <f t="shared" si="505"/>
        <v>0</v>
      </c>
      <c r="Y737" s="166">
        <f t="shared" si="506"/>
        <v>0</v>
      </c>
      <c r="Z737" s="167">
        <f t="shared" si="507"/>
        <v>0</v>
      </c>
      <c r="AA737" s="168">
        <f t="shared" si="508"/>
        <v>0</v>
      </c>
      <c r="AB737" s="166">
        <f t="shared" si="509"/>
        <v>0</v>
      </c>
      <c r="AC737" s="167">
        <f t="shared" si="510"/>
        <v>0</v>
      </c>
      <c r="AD737" s="168">
        <f t="shared" si="511"/>
        <v>0</v>
      </c>
      <c r="AE737" s="166">
        <f t="shared" si="512"/>
        <v>0</v>
      </c>
      <c r="AF737" s="167">
        <f t="shared" si="513"/>
        <v>0</v>
      </c>
      <c r="AG737" s="168">
        <f t="shared" si="514"/>
        <v>0</v>
      </c>
      <c r="AH737" s="166">
        <f t="shared" si="515"/>
        <v>0</v>
      </c>
      <c r="AI737" s="167">
        <f t="shared" si="516"/>
        <v>0</v>
      </c>
      <c r="AJ737" s="168">
        <f t="shared" si="517"/>
        <v>0</v>
      </c>
      <c r="AK737" s="169">
        <f t="shared" si="518"/>
        <v>0</v>
      </c>
      <c r="AL737" s="167">
        <f t="shared" si="519"/>
        <v>0</v>
      </c>
      <c r="AM737" s="585">
        <f t="shared" si="520"/>
        <v>0</v>
      </c>
      <c r="AN737" s="614"/>
      <c r="AO737" s="615"/>
      <c r="AP737" s="615"/>
      <c r="AQ737" s="616"/>
      <c r="AR737" s="612"/>
      <c r="AS737" s="617"/>
      <c r="AT737" s="618"/>
      <c r="AU737" s="618"/>
      <c r="AV737" s="618"/>
      <c r="AW737" s="619"/>
      <c r="AX737" s="614"/>
      <c r="AY737" s="616"/>
      <c r="AZ737" s="616"/>
      <c r="BA737" s="616"/>
      <c r="BB737" s="616"/>
      <c r="BC737" s="616"/>
      <c r="BD737" s="612"/>
      <c r="BE737" s="614"/>
      <c r="BF737" s="616"/>
      <c r="BG737" s="616"/>
      <c r="BH737" s="616"/>
      <c r="BI737" s="616"/>
      <c r="BJ737" s="616"/>
      <c r="BK737" s="1023"/>
      <c r="BL737" s="658"/>
    </row>
    <row r="738" spans="2:64">
      <c r="B738" s="1022"/>
      <c r="C738" s="607"/>
      <c r="D738" s="607"/>
      <c r="E738" s="1021"/>
      <c r="F738" s="608">
        <v>735</v>
      </c>
      <c r="G738" s="609"/>
      <c r="H738" s="610"/>
      <c r="I738" s="611"/>
      <c r="J738" s="166">
        <f t="shared" si="491"/>
        <v>0</v>
      </c>
      <c r="K738" s="167">
        <f t="shared" si="492"/>
        <v>0</v>
      </c>
      <c r="L738" s="168">
        <f t="shared" si="493"/>
        <v>0</v>
      </c>
      <c r="M738" s="166">
        <f t="shared" si="494"/>
        <v>0</v>
      </c>
      <c r="N738" s="167">
        <f t="shared" si="495"/>
        <v>0</v>
      </c>
      <c r="O738" s="168">
        <f t="shared" si="496"/>
        <v>0</v>
      </c>
      <c r="P738" s="169">
        <f t="shared" si="497"/>
        <v>0</v>
      </c>
      <c r="Q738" s="169">
        <f t="shared" si="498"/>
        <v>0</v>
      </c>
      <c r="R738" s="169">
        <f t="shared" si="499"/>
        <v>0</v>
      </c>
      <c r="S738" s="584">
        <f t="shared" si="500"/>
        <v>0</v>
      </c>
      <c r="T738" s="594">
        <f t="shared" si="501"/>
        <v>0</v>
      </c>
      <c r="U738" s="595">
        <f t="shared" si="502"/>
        <v>0</v>
      </c>
      <c r="V738" s="166">
        <f t="shared" si="503"/>
        <v>0</v>
      </c>
      <c r="W738" s="167">
        <f t="shared" si="504"/>
        <v>0</v>
      </c>
      <c r="X738" s="168">
        <f t="shared" si="505"/>
        <v>0</v>
      </c>
      <c r="Y738" s="166">
        <f t="shared" si="506"/>
        <v>0</v>
      </c>
      <c r="Z738" s="167">
        <f t="shared" si="507"/>
        <v>0</v>
      </c>
      <c r="AA738" s="168">
        <f t="shared" si="508"/>
        <v>0</v>
      </c>
      <c r="AB738" s="166">
        <f t="shared" si="509"/>
        <v>0</v>
      </c>
      <c r="AC738" s="167">
        <f t="shared" si="510"/>
        <v>0</v>
      </c>
      <c r="AD738" s="168">
        <f t="shared" si="511"/>
        <v>0</v>
      </c>
      <c r="AE738" s="166">
        <f t="shared" si="512"/>
        <v>0</v>
      </c>
      <c r="AF738" s="167">
        <f t="shared" si="513"/>
        <v>0</v>
      </c>
      <c r="AG738" s="168">
        <f t="shared" si="514"/>
        <v>0</v>
      </c>
      <c r="AH738" s="166">
        <f t="shared" si="515"/>
        <v>0</v>
      </c>
      <c r="AI738" s="167">
        <f t="shared" si="516"/>
        <v>0</v>
      </c>
      <c r="AJ738" s="168">
        <f t="shared" si="517"/>
        <v>0</v>
      </c>
      <c r="AK738" s="169">
        <f t="shared" si="518"/>
        <v>0</v>
      </c>
      <c r="AL738" s="167">
        <f t="shared" si="519"/>
        <v>0</v>
      </c>
      <c r="AM738" s="585">
        <f t="shared" si="520"/>
        <v>0</v>
      </c>
      <c r="AN738" s="614"/>
      <c r="AO738" s="615"/>
      <c r="AP738" s="615"/>
      <c r="AQ738" s="616"/>
      <c r="AR738" s="612"/>
      <c r="AS738" s="617"/>
      <c r="AT738" s="618"/>
      <c r="AU738" s="618"/>
      <c r="AV738" s="618"/>
      <c r="AW738" s="619"/>
      <c r="AX738" s="614"/>
      <c r="AY738" s="616"/>
      <c r="AZ738" s="616"/>
      <c r="BA738" s="616"/>
      <c r="BB738" s="616"/>
      <c r="BC738" s="616"/>
      <c r="BD738" s="612"/>
      <c r="BE738" s="614"/>
      <c r="BF738" s="616"/>
      <c r="BG738" s="616"/>
      <c r="BH738" s="616"/>
      <c r="BI738" s="616"/>
      <c r="BJ738" s="616"/>
      <c r="BK738" s="1023"/>
      <c r="BL738" s="658"/>
    </row>
    <row r="739" spans="2:64">
      <c r="B739" s="1022"/>
      <c r="C739" s="607"/>
      <c r="D739" s="607"/>
      <c r="E739" s="1021"/>
      <c r="F739" s="1019">
        <v>736</v>
      </c>
      <c r="G739" s="609"/>
      <c r="H739" s="610"/>
      <c r="I739" s="611"/>
      <c r="J739" s="166">
        <f t="shared" si="491"/>
        <v>0</v>
      </c>
      <c r="K739" s="167">
        <f t="shared" si="492"/>
        <v>0</v>
      </c>
      <c r="L739" s="168">
        <f t="shared" si="493"/>
        <v>0</v>
      </c>
      <c r="M739" s="166">
        <f t="shared" si="494"/>
        <v>0</v>
      </c>
      <c r="N739" s="167">
        <f t="shared" si="495"/>
        <v>0</v>
      </c>
      <c r="O739" s="168">
        <f t="shared" si="496"/>
        <v>0</v>
      </c>
      <c r="P739" s="169">
        <f t="shared" si="497"/>
        <v>0</v>
      </c>
      <c r="Q739" s="169">
        <f t="shared" si="498"/>
        <v>0</v>
      </c>
      <c r="R739" s="169">
        <f t="shared" si="499"/>
        <v>0</v>
      </c>
      <c r="S739" s="584">
        <f t="shared" si="500"/>
        <v>0</v>
      </c>
      <c r="T739" s="594">
        <f t="shared" si="501"/>
        <v>0</v>
      </c>
      <c r="U739" s="595">
        <f t="shared" si="502"/>
        <v>0</v>
      </c>
      <c r="V739" s="166">
        <f t="shared" si="503"/>
        <v>0</v>
      </c>
      <c r="W739" s="167">
        <f t="shared" si="504"/>
        <v>0</v>
      </c>
      <c r="X739" s="168">
        <f t="shared" si="505"/>
        <v>0</v>
      </c>
      <c r="Y739" s="166">
        <f t="shared" si="506"/>
        <v>0</v>
      </c>
      <c r="Z739" s="167">
        <f t="shared" si="507"/>
        <v>0</v>
      </c>
      <c r="AA739" s="168">
        <f t="shared" si="508"/>
        <v>0</v>
      </c>
      <c r="AB739" s="166">
        <f t="shared" si="509"/>
        <v>0</v>
      </c>
      <c r="AC739" s="167">
        <f t="shared" si="510"/>
        <v>0</v>
      </c>
      <c r="AD739" s="168">
        <f t="shared" si="511"/>
        <v>0</v>
      </c>
      <c r="AE739" s="166">
        <f t="shared" si="512"/>
        <v>0</v>
      </c>
      <c r="AF739" s="167">
        <f t="shared" si="513"/>
        <v>0</v>
      </c>
      <c r="AG739" s="168">
        <f t="shared" si="514"/>
        <v>0</v>
      </c>
      <c r="AH739" s="166">
        <f t="shared" si="515"/>
        <v>0</v>
      </c>
      <c r="AI739" s="167">
        <f t="shared" si="516"/>
        <v>0</v>
      </c>
      <c r="AJ739" s="168">
        <f t="shared" si="517"/>
        <v>0</v>
      </c>
      <c r="AK739" s="169">
        <f t="shared" si="518"/>
        <v>0</v>
      </c>
      <c r="AL739" s="167">
        <f t="shared" si="519"/>
        <v>0</v>
      </c>
      <c r="AM739" s="585">
        <f t="shared" si="520"/>
        <v>0</v>
      </c>
      <c r="AN739" s="614"/>
      <c r="AO739" s="615"/>
      <c r="AP739" s="615"/>
      <c r="AQ739" s="616"/>
      <c r="AR739" s="612"/>
      <c r="AS739" s="617"/>
      <c r="AT739" s="618"/>
      <c r="AU739" s="618"/>
      <c r="AV739" s="618"/>
      <c r="AW739" s="619"/>
      <c r="AX739" s="614"/>
      <c r="AY739" s="616"/>
      <c r="AZ739" s="616"/>
      <c r="BA739" s="616"/>
      <c r="BB739" s="616"/>
      <c r="BC739" s="616"/>
      <c r="BD739" s="612"/>
      <c r="BE739" s="614"/>
      <c r="BF739" s="616"/>
      <c r="BG739" s="616"/>
      <c r="BH739" s="616"/>
      <c r="BI739" s="616"/>
      <c r="BJ739" s="616"/>
      <c r="BK739" s="1023"/>
      <c r="BL739" s="658"/>
    </row>
    <row r="740" spans="2:64">
      <c r="B740" s="1022"/>
      <c r="C740" s="607"/>
      <c r="D740" s="607"/>
      <c r="E740" s="1021"/>
      <c r="F740" s="608">
        <v>737</v>
      </c>
      <c r="G740" s="609"/>
      <c r="H740" s="610"/>
      <c r="I740" s="611"/>
      <c r="J740" s="166">
        <f t="shared" si="491"/>
        <v>0</v>
      </c>
      <c r="K740" s="167">
        <f t="shared" si="492"/>
        <v>0</v>
      </c>
      <c r="L740" s="168">
        <f t="shared" si="493"/>
        <v>0</v>
      </c>
      <c r="M740" s="166">
        <f t="shared" si="494"/>
        <v>0</v>
      </c>
      <c r="N740" s="167">
        <f t="shared" si="495"/>
        <v>0</v>
      </c>
      <c r="O740" s="168">
        <f t="shared" si="496"/>
        <v>0</v>
      </c>
      <c r="P740" s="169">
        <f t="shared" si="497"/>
        <v>0</v>
      </c>
      <c r="Q740" s="169">
        <f t="shared" si="498"/>
        <v>0</v>
      </c>
      <c r="R740" s="169">
        <f t="shared" si="499"/>
        <v>0</v>
      </c>
      <c r="S740" s="584">
        <f t="shared" si="500"/>
        <v>0</v>
      </c>
      <c r="T740" s="594">
        <f t="shared" si="501"/>
        <v>0</v>
      </c>
      <c r="U740" s="595">
        <f t="shared" si="502"/>
        <v>0</v>
      </c>
      <c r="V740" s="166">
        <f t="shared" si="503"/>
        <v>0</v>
      </c>
      <c r="W740" s="167">
        <f t="shared" si="504"/>
        <v>0</v>
      </c>
      <c r="X740" s="168">
        <f t="shared" si="505"/>
        <v>0</v>
      </c>
      <c r="Y740" s="166">
        <f t="shared" si="506"/>
        <v>0</v>
      </c>
      <c r="Z740" s="167">
        <f t="shared" si="507"/>
        <v>0</v>
      </c>
      <c r="AA740" s="168">
        <f t="shared" si="508"/>
        <v>0</v>
      </c>
      <c r="AB740" s="166">
        <f t="shared" si="509"/>
        <v>0</v>
      </c>
      <c r="AC740" s="167">
        <f t="shared" si="510"/>
        <v>0</v>
      </c>
      <c r="AD740" s="168">
        <f t="shared" si="511"/>
        <v>0</v>
      </c>
      <c r="AE740" s="166">
        <f t="shared" si="512"/>
        <v>0</v>
      </c>
      <c r="AF740" s="167">
        <f t="shared" si="513"/>
        <v>0</v>
      </c>
      <c r="AG740" s="168">
        <f t="shared" si="514"/>
        <v>0</v>
      </c>
      <c r="AH740" s="166">
        <f t="shared" si="515"/>
        <v>0</v>
      </c>
      <c r="AI740" s="167">
        <f t="shared" si="516"/>
        <v>0</v>
      </c>
      <c r="AJ740" s="168">
        <f t="shared" si="517"/>
        <v>0</v>
      </c>
      <c r="AK740" s="169">
        <f t="shared" si="518"/>
        <v>0</v>
      </c>
      <c r="AL740" s="167">
        <f t="shared" si="519"/>
        <v>0</v>
      </c>
      <c r="AM740" s="585">
        <f t="shared" si="520"/>
        <v>0</v>
      </c>
      <c r="AN740" s="614"/>
      <c r="AO740" s="615"/>
      <c r="AP740" s="615"/>
      <c r="AQ740" s="616"/>
      <c r="AR740" s="612"/>
      <c r="AS740" s="617"/>
      <c r="AT740" s="618"/>
      <c r="AU740" s="618"/>
      <c r="AV740" s="618"/>
      <c r="AW740" s="619"/>
      <c r="AX740" s="614"/>
      <c r="AY740" s="616"/>
      <c r="AZ740" s="616"/>
      <c r="BA740" s="616"/>
      <c r="BB740" s="616"/>
      <c r="BC740" s="616"/>
      <c r="BD740" s="612"/>
      <c r="BE740" s="614"/>
      <c r="BF740" s="616"/>
      <c r="BG740" s="616"/>
      <c r="BH740" s="616"/>
      <c r="BI740" s="616"/>
      <c r="BJ740" s="616"/>
      <c r="BK740" s="1023"/>
      <c r="BL740" s="658"/>
    </row>
    <row r="741" spans="2:64">
      <c r="B741" s="1022"/>
      <c r="C741" s="607"/>
      <c r="D741" s="607"/>
      <c r="E741" s="1021"/>
      <c r="F741" s="1019">
        <v>738</v>
      </c>
      <c r="G741" s="609"/>
      <c r="H741" s="610"/>
      <c r="I741" s="611"/>
      <c r="J741" s="166">
        <f t="shared" si="491"/>
        <v>0</v>
      </c>
      <c r="K741" s="167">
        <f t="shared" si="492"/>
        <v>0</v>
      </c>
      <c r="L741" s="168">
        <f t="shared" si="493"/>
        <v>0</v>
      </c>
      <c r="M741" s="166">
        <f t="shared" si="494"/>
        <v>0</v>
      </c>
      <c r="N741" s="167">
        <f t="shared" si="495"/>
        <v>0</v>
      </c>
      <c r="O741" s="168">
        <f t="shared" si="496"/>
        <v>0</v>
      </c>
      <c r="P741" s="169">
        <f t="shared" si="497"/>
        <v>0</v>
      </c>
      <c r="Q741" s="169">
        <f t="shared" si="498"/>
        <v>0</v>
      </c>
      <c r="R741" s="169">
        <f t="shared" si="499"/>
        <v>0</v>
      </c>
      <c r="S741" s="584">
        <f t="shared" si="500"/>
        <v>0</v>
      </c>
      <c r="T741" s="594">
        <f t="shared" si="501"/>
        <v>0</v>
      </c>
      <c r="U741" s="595">
        <f t="shared" si="502"/>
        <v>0</v>
      </c>
      <c r="V741" s="166">
        <f t="shared" si="503"/>
        <v>0</v>
      </c>
      <c r="W741" s="167">
        <f t="shared" si="504"/>
        <v>0</v>
      </c>
      <c r="X741" s="168">
        <f t="shared" si="505"/>
        <v>0</v>
      </c>
      <c r="Y741" s="166">
        <f t="shared" si="506"/>
        <v>0</v>
      </c>
      <c r="Z741" s="167">
        <f t="shared" si="507"/>
        <v>0</v>
      </c>
      <c r="AA741" s="168">
        <f t="shared" si="508"/>
        <v>0</v>
      </c>
      <c r="AB741" s="166">
        <f t="shared" si="509"/>
        <v>0</v>
      </c>
      <c r="AC741" s="167">
        <f t="shared" si="510"/>
        <v>0</v>
      </c>
      <c r="AD741" s="168">
        <f t="shared" si="511"/>
        <v>0</v>
      </c>
      <c r="AE741" s="166">
        <f t="shared" si="512"/>
        <v>0</v>
      </c>
      <c r="AF741" s="167">
        <f t="shared" si="513"/>
        <v>0</v>
      </c>
      <c r="AG741" s="168">
        <f t="shared" si="514"/>
        <v>0</v>
      </c>
      <c r="AH741" s="166">
        <f t="shared" si="515"/>
        <v>0</v>
      </c>
      <c r="AI741" s="167">
        <f t="shared" si="516"/>
        <v>0</v>
      </c>
      <c r="AJ741" s="168">
        <f t="shared" si="517"/>
        <v>0</v>
      </c>
      <c r="AK741" s="169">
        <f t="shared" si="518"/>
        <v>0</v>
      </c>
      <c r="AL741" s="167">
        <f t="shared" si="519"/>
        <v>0</v>
      </c>
      <c r="AM741" s="585">
        <f t="shared" si="520"/>
        <v>0</v>
      </c>
      <c r="AN741" s="614"/>
      <c r="AO741" s="615"/>
      <c r="AP741" s="615"/>
      <c r="AQ741" s="616"/>
      <c r="AR741" s="612"/>
      <c r="AS741" s="617"/>
      <c r="AT741" s="618"/>
      <c r="AU741" s="618"/>
      <c r="AV741" s="618"/>
      <c r="AW741" s="619"/>
      <c r="AX741" s="614"/>
      <c r="AY741" s="616"/>
      <c r="AZ741" s="616"/>
      <c r="BA741" s="616"/>
      <c r="BB741" s="616"/>
      <c r="BC741" s="616"/>
      <c r="BD741" s="612"/>
      <c r="BE741" s="614"/>
      <c r="BF741" s="616"/>
      <c r="BG741" s="616"/>
      <c r="BH741" s="616"/>
      <c r="BI741" s="616"/>
      <c r="BJ741" s="616"/>
      <c r="BK741" s="1023"/>
      <c r="BL741" s="658"/>
    </row>
    <row r="742" spans="2:64">
      <c r="B742" s="1022"/>
      <c r="C742" s="607"/>
      <c r="D742" s="607"/>
      <c r="E742" s="1021"/>
      <c r="F742" s="608">
        <v>739</v>
      </c>
      <c r="G742" s="609"/>
      <c r="H742" s="610"/>
      <c r="I742" s="611"/>
      <c r="J742" s="166">
        <f t="shared" si="491"/>
        <v>0</v>
      </c>
      <c r="K742" s="167">
        <f t="shared" si="492"/>
        <v>0</v>
      </c>
      <c r="L742" s="168">
        <f t="shared" si="493"/>
        <v>0</v>
      </c>
      <c r="M742" s="166">
        <f t="shared" si="494"/>
        <v>0</v>
      </c>
      <c r="N742" s="167">
        <f t="shared" si="495"/>
        <v>0</v>
      </c>
      <c r="O742" s="168">
        <f t="shared" si="496"/>
        <v>0</v>
      </c>
      <c r="P742" s="169">
        <f t="shared" si="497"/>
        <v>0</v>
      </c>
      <c r="Q742" s="169">
        <f t="shared" si="498"/>
        <v>0</v>
      </c>
      <c r="R742" s="169">
        <f t="shared" si="499"/>
        <v>0</v>
      </c>
      <c r="S742" s="584">
        <f t="shared" si="500"/>
        <v>0</v>
      </c>
      <c r="T742" s="594">
        <f t="shared" si="501"/>
        <v>0</v>
      </c>
      <c r="U742" s="595">
        <f t="shared" si="502"/>
        <v>0</v>
      </c>
      <c r="V742" s="166">
        <f t="shared" si="503"/>
        <v>0</v>
      </c>
      <c r="W742" s="167">
        <f t="shared" si="504"/>
        <v>0</v>
      </c>
      <c r="X742" s="168">
        <f t="shared" si="505"/>
        <v>0</v>
      </c>
      <c r="Y742" s="166">
        <f t="shared" si="506"/>
        <v>0</v>
      </c>
      <c r="Z742" s="167">
        <f t="shared" si="507"/>
        <v>0</v>
      </c>
      <c r="AA742" s="168">
        <f t="shared" si="508"/>
        <v>0</v>
      </c>
      <c r="AB742" s="166">
        <f t="shared" si="509"/>
        <v>0</v>
      </c>
      <c r="AC742" s="167">
        <f t="shared" si="510"/>
        <v>0</v>
      </c>
      <c r="AD742" s="168">
        <f t="shared" si="511"/>
        <v>0</v>
      </c>
      <c r="AE742" s="166">
        <f t="shared" si="512"/>
        <v>0</v>
      </c>
      <c r="AF742" s="167">
        <f t="shared" si="513"/>
        <v>0</v>
      </c>
      <c r="AG742" s="168">
        <f t="shared" si="514"/>
        <v>0</v>
      </c>
      <c r="AH742" s="166">
        <f t="shared" si="515"/>
        <v>0</v>
      </c>
      <c r="AI742" s="167">
        <f t="shared" si="516"/>
        <v>0</v>
      </c>
      <c r="AJ742" s="168">
        <f t="shared" si="517"/>
        <v>0</v>
      </c>
      <c r="AK742" s="169">
        <f t="shared" si="518"/>
        <v>0</v>
      </c>
      <c r="AL742" s="167">
        <f t="shared" si="519"/>
        <v>0</v>
      </c>
      <c r="AM742" s="585">
        <f t="shared" si="520"/>
        <v>0</v>
      </c>
      <c r="AN742" s="614"/>
      <c r="AO742" s="615"/>
      <c r="AP742" s="615"/>
      <c r="AQ742" s="616"/>
      <c r="AR742" s="612"/>
      <c r="AS742" s="617"/>
      <c r="AT742" s="618"/>
      <c r="AU742" s="618"/>
      <c r="AV742" s="618"/>
      <c r="AW742" s="619"/>
      <c r="AX742" s="614"/>
      <c r="AY742" s="616"/>
      <c r="AZ742" s="616"/>
      <c r="BA742" s="616"/>
      <c r="BB742" s="616"/>
      <c r="BC742" s="616"/>
      <c r="BD742" s="612"/>
      <c r="BE742" s="614"/>
      <c r="BF742" s="616"/>
      <c r="BG742" s="616"/>
      <c r="BH742" s="616"/>
      <c r="BI742" s="616"/>
      <c r="BJ742" s="616"/>
      <c r="BK742" s="1023"/>
      <c r="BL742" s="658"/>
    </row>
    <row r="743" spans="2:64">
      <c r="B743" s="1022"/>
      <c r="C743" s="607"/>
      <c r="D743" s="607"/>
      <c r="E743" s="1021"/>
      <c r="F743" s="1019">
        <v>740</v>
      </c>
      <c r="G743" s="609"/>
      <c r="H743" s="610"/>
      <c r="I743" s="611"/>
      <c r="J743" s="166">
        <f t="shared" si="491"/>
        <v>0</v>
      </c>
      <c r="K743" s="167">
        <f t="shared" si="492"/>
        <v>0</v>
      </c>
      <c r="L743" s="168">
        <f t="shared" si="493"/>
        <v>0</v>
      </c>
      <c r="M743" s="166">
        <f t="shared" si="494"/>
        <v>0</v>
      </c>
      <c r="N743" s="167">
        <f t="shared" si="495"/>
        <v>0</v>
      </c>
      <c r="O743" s="168">
        <f t="shared" si="496"/>
        <v>0</v>
      </c>
      <c r="P743" s="169">
        <f t="shared" si="497"/>
        <v>0</v>
      </c>
      <c r="Q743" s="169">
        <f t="shared" si="498"/>
        <v>0</v>
      </c>
      <c r="R743" s="169">
        <f t="shared" si="499"/>
        <v>0</v>
      </c>
      <c r="S743" s="584">
        <f t="shared" si="500"/>
        <v>0</v>
      </c>
      <c r="T743" s="594">
        <f t="shared" si="501"/>
        <v>0</v>
      </c>
      <c r="U743" s="595">
        <f t="shared" si="502"/>
        <v>0</v>
      </c>
      <c r="V743" s="166">
        <f t="shared" si="503"/>
        <v>0</v>
      </c>
      <c r="W743" s="167">
        <f t="shared" si="504"/>
        <v>0</v>
      </c>
      <c r="X743" s="168">
        <f t="shared" si="505"/>
        <v>0</v>
      </c>
      <c r="Y743" s="166">
        <f t="shared" si="506"/>
        <v>0</v>
      </c>
      <c r="Z743" s="167">
        <f t="shared" si="507"/>
        <v>0</v>
      </c>
      <c r="AA743" s="168">
        <f t="shared" si="508"/>
        <v>0</v>
      </c>
      <c r="AB743" s="166">
        <f t="shared" si="509"/>
        <v>0</v>
      </c>
      <c r="AC743" s="167">
        <f t="shared" si="510"/>
        <v>0</v>
      </c>
      <c r="AD743" s="168">
        <f t="shared" si="511"/>
        <v>0</v>
      </c>
      <c r="AE743" s="166">
        <f t="shared" si="512"/>
        <v>0</v>
      </c>
      <c r="AF743" s="167">
        <f t="shared" si="513"/>
        <v>0</v>
      </c>
      <c r="AG743" s="168">
        <f t="shared" si="514"/>
        <v>0</v>
      </c>
      <c r="AH743" s="166">
        <f t="shared" si="515"/>
        <v>0</v>
      </c>
      <c r="AI743" s="167">
        <f t="shared" si="516"/>
        <v>0</v>
      </c>
      <c r="AJ743" s="168">
        <f t="shared" si="517"/>
        <v>0</v>
      </c>
      <c r="AK743" s="169">
        <f t="shared" si="518"/>
        <v>0</v>
      </c>
      <c r="AL743" s="167">
        <f t="shared" si="519"/>
        <v>0</v>
      </c>
      <c r="AM743" s="585">
        <f t="shared" si="520"/>
        <v>0</v>
      </c>
      <c r="AN743" s="614"/>
      <c r="AO743" s="615"/>
      <c r="AP743" s="615"/>
      <c r="AQ743" s="616"/>
      <c r="AR743" s="612"/>
      <c r="AS743" s="617"/>
      <c r="AT743" s="618"/>
      <c r="AU743" s="618"/>
      <c r="AV743" s="618"/>
      <c r="AW743" s="619"/>
      <c r="AX743" s="614"/>
      <c r="AY743" s="616"/>
      <c r="AZ743" s="616"/>
      <c r="BA743" s="616"/>
      <c r="BB743" s="616"/>
      <c r="BC743" s="616"/>
      <c r="BD743" s="612"/>
      <c r="BE743" s="614"/>
      <c r="BF743" s="616"/>
      <c r="BG743" s="616"/>
      <c r="BH743" s="616"/>
      <c r="BI743" s="616"/>
      <c r="BJ743" s="616"/>
      <c r="BK743" s="1023"/>
      <c r="BL743" s="658"/>
    </row>
    <row r="744" spans="2:64">
      <c r="B744" s="1022"/>
      <c r="C744" s="607"/>
      <c r="D744" s="607"/>
      <c r="E744" s="1021"/>
      <c r="F744" s="608">
        <v>741</v>
      </c>
      <c r="G744" s="609"/>
      <c r="H744" s="610"/>
      <c r="I744" s="611"/>
      <c r="J744" s="166">
        <f t="shared" si="491"/>
        <v>0</v>
      </c>
      <c r="K744" s="167">
        <f t="shared" si="492"/>
        <v>0</v>
      </c>
      <c r="L744" s="168">
        <f t="shared" si="493"/>
        <v>0</v>
      </c>
      <c r="M744" s="166">
        <f t="shared" si="494"/>
        <v>0</v>
      </c>
      <c r="N744" s="167">
        <f t="shared" si="495"/>
        <v>0</v>
      </c>
      <c r="O744" s="168">
        <f t="shared" si="496"/>
        <v>0</v>
      </c>
      <c r="P744" s="169">
        <f t="shared" si="497"/>
        <v>0</v>
      </c>
      <c r="Q744" s="169">
        <f t="shared" si="498"/>
        <v>0</v>
      </c>
      <c r="R744" s="169">
        <f t="shared" si="499"/>
        <v>0</v>
      </c>
      <c r="S744" s="584">
        <f t="shared" si="500"/>
        <v>0</v>
      </c>
      <c r="T744" s="594">
        <f t="shared" si="501"/>
        <v>0</v>
      </c>
      <c r="U744" s="595">
        <f t="shared" si="502"/>
        <v>0</v>
      </c>
      <c r="V744" s="166">
        <f t="shared" si="503"/>
        <v>0</v>
      </c>
      <c r="W744" s="167">
        <f t="shared" si="504"/>
        <v>0</v>
      </c>
      <c r="X744" s="168">
        <f t="shared" si="505"/>
        <v>0</v>
      </c>
      <c r="Y744" s="166">
        <f t="shared" si="506"/>
        <v>0</v>
      </c>
      <c r="Z744" s="167">
        <f t="shared" si="507"/>
        <v>0</v>
      </c>
      <c r="AA744" s="168">
        <f t="shared" si="508"/>
        <v>0</v>
      </c>
      <c r="AB744" s="166">
        <f t="shared" si="509"/>
        <v>0</v>
      </c>
      <c r="AC744" s="167">
        <f t="shared" si="510"/>
        <v>0</v>
      </c>
      <c r="AD744" s="168">
        <f t="shared" si="511"/>
        <v>0</v>
      </c>
      <c r="AE744" s="166">
        <f t="shared" si="512"/>
        <v>0</v>
      </c>
      <c r="AF744" s="167">
        <f t="shared" si="513"/>
        <v>0</v>
      </c>
      <c r="AG744" s="168">
        <f t="shared" si="514"/>
        <v>0</v>
      </c>
      <c r="AH744" s="166">
        <f t="shared" si="515"/>
        <v>0</v>
      </c>
      <c r="AI744" s="167">
        <f t="shared" si="516"/>
        <v>0</v>
      </c>
      <c r="AJ744" s="168">
        <f t="shared" si="517"/>
        <v>0</v>
      </c>
      <c r="AK744" s="169">
        <f t="shared" si="518"/>
        <v>0</v>
      </c>
      <c r="AL744" s="167">
        <f t="shared" si="519"/>
        <v>0</v>
      </c>
      <c r="AM744" s="585">
        <f t="shared" si="520"/>
        <v>0</v>
      </c>
      <c r="AN744" s="614"/>
      <c r="AO744" s="615"/>
      <c r="AP744" s="615"/>
      <c r="AQ744" s="616"/>
      <c r="AR744" s="612"/>
      <c r="AS744" s="617"/>
      <c r="AT744" s="618"/>
      <c r="AU744" s="618"/>
      <c r="AV744" s="618"/>
      <c r="AW744" s="619"/>
      <c r="AX744" s="614"/>
      <c r="AY744" s="616"/>
      <c r="AZ744" s="616"/>
      <c r="BA744" s="616"/>
      <c r="BB744" s="616"/>
      <c r="BC744" s="616"/>
      <c r="BD744" s="612"/>
      <c r="BE744" s="614"/>
      <c r="BF744" s="616"/>
      <c r="BG744" s="616"/>
      <c r="BH744" s="616"/>
      <c r="BI744" s="616"/>
      <c r="BJ744" s="616"/>
      <c r="BK744" s="1023"/>
      <c r="BL744" s="658"/>
    </row>
    <row r="745" spans="2:64">
      <c r="B745" s="1022"/>
      <c r="C745" s="607"/>
      <c r="D745" s="607"/>
      <c r="E745" s="1021"/>
      <c r="F745" s="1019">
        <v>742</v>
      </c>
      <c r="G745" s="609"/>
      <c r="H745" s="610"/>
      <c r="I745" s="611"/>
      <c r="J745" s="166">
        <f t="shared" si="491"/>
        <v>0</v>
      </c>
      <c r="K745" s="167">
        <f t="shared" si="492"/>
        <v>0</v>
      </c>
      <c r="L745" s="168">
        <f t="shared" si="493"/>
        <v>0</v>
      </c>
      <c r="M745" s="166">
        <f t="shared" si="494"/>
        <v>0</v>
      </c>
      <c r="N745" s="167">
        <f t="shared" si="495"/>
        <v>0</v>
      </c>
      <c r="O745" s="168">
        <f t="shared" si="496"/>
        <v>0</v>
      </c>
      <c r="P745" s="169">
        <f t="shared" si="497"/>
        <v>0</v>
      </c>
      <c r="Q745" s="169">
        <f t="shared" si="498"/>
        <v>0</v>
      </c>
      <c r="R745" s="169">
        <f t="shared" si="499"/>
        <v>0</v>
      </c>
      <c r="S745" s="584">
        <f t="shared" si="500"/>
        <v>0</v>
      </c>
      <c r="T745" s="594">
        <f t="shared" si="501"/>
        <v>0</v>
      </c>
      <c r="U745" s="595">
        <f t="shared" si="502"/>
        <v>0</v>
      </c>
      <c r="V745" s="166">
        <f t="shared" si="503"/>
        <v>0</v>
      </c>
      <c r="W745" s="167">
        <f t="shared" si="504"/>
        <v>0</v>
      </c>
      <c r="X745" s="168">
        <f t="shared" si="505"/>
        <v>0</v>
      </c>
      <c r="Y745" s="166">
        <f t="shared" si="506"/>
        <v>0</v>
      </c>
      <c r="Z745" s="167">
        <f t="shared" si="507"/>
        <v>0</v>
      </c>
      <c r="AA745" s="168">
        <f t="shared" si="508"/>
        <v>0</v>
      </c>
      <c r="AB745" s="166">
        <f t="shared" si="509"/>
        <v>0</v>
      </c>
      <c r="AC745" s="167">
        <f t="shared" si="510"/>
        <v>0</v>
      </c>
      <c r="AD745" s="168">
        <f t="shared" si="511"/>
        <v>0</v>
      </c>
      <c r="AE745" s="166">
        <f t="shared" si="512"/>
        <v>0</v>
      </c>
      <c r="AF745" s="167">
        <f t="shared" si="513"/>
        <v>0</v>
      </c>
      <c r="AG745" s="168">
        <f t="shared" si="514"/>
        <v>0</v>
      </c>
      <c r="AH745" s="166">
        <f t="shared" si="515"/>
        <v>0</v>
      </c>
      <c r="AI745" s="167">
        <f t="shared" si="516"/>
        <v>0</v>
      </c>
      <c r="AJ745" s="168">
        <f t="shared" si="517"/>
        <v>0</v>
      </c>
      <c r="AK745" s="169">
        <f t="shared" si="518"/>
        <v>0</v>
      </c>
      <c r="AL745" s="167">
        <f t="shared" si="519"/>
        <v>0</v>
      </c>
      <c r="AM745" s="585">
        <f t="shared" si="520"/>
        <v>0</v>
      </c>
      <c r="AN745" s="614"/>
      <c r="AO745" s="615"/>
      <c r="AP745" s="615"/>
      <c r="AQ745" s="616"/>
      <c r="AR745" s="612"/>
      <c r="AS745" s="617"/>
      <c r="AT745" s="618"/>
      <c r="AU745" s="618"/>
      <c r="AV745" s="618"/>
      <c r="AW745" s="619"/>
      <c r="AX745" s="614"/>
      <c r="AY745" s="616"/>
      <c r="AZ745" s="616"/>
      <c r="BA745" s="616"/>
      <c r="BB745" s="616"/>
      <c r="BC745" s="616"/>
      <c r="BD745" s="612"/>
      <c r="BE745" s="614"/>
      <c r="BF745" s="616"/>
      <c r="BG745" s="616"/>
      <c r="BH745" s="616"/>
      <c r="BI745" s="616"/>
      <c r="BJ745" s="616"/>
      <c r="BK745" s="1023"/>
      <c r="BL745" s="658"/>
    </row>
    <row r="746" spans="2:64">
      <c r="B746" s="1022"/>
      <c r="C746" s="607"/>
      <c r="D746" s="607"/>
      <c r="E746" s="1021"/>
      <c r="F746" s="608">
        <v>743</v>
      </c>
      <c r="G746" s="609"/>
      <c r="H746" s="610"/>
      <c r="I746" s="611"/>
      <c r="J746" s="166">
        <f t="shared" si="491"/>
        <v>0</v>
      </c>
      <c r="K746" s="167">
        <f t="shared" si="492"/>
        <v>0</v>
      </c>
      <c r="L746" s="168">
        <f t="shared" si="493"/>
        <v>0</v>
      </c>
      <c r="M746" s="166">
        <f t="shared" si="494"/>
        <v>0</v>
      </c>
      <c r="N746" s="167">
        <f t="shared" si="495"/>
        <v>0</v>
      </c>
      <c r="O746" s="168">
        <f t="shared" si="496"/>
        <v>0</v>
      </c>
      <c r="P746" s="169">
        <f t="shared" si="497"/>
        <v>0</v>
      </c>
      <c r="Q746" s="169">
        <f t="shared" si="498"/>
        <v>0</v>
      </c>
      <c r="R746" s="169">
        <f t="shared" si="499"/>
        <v>0</v>
      </c>
      <c r="S746" s="584">
        <f t="shared" si="500"/>
        <v>0</v>
      </c>
      <c r="T746" s="594">
        <f t="shared" si="501"/>
        <v>0</v>
      </c>
      <c r="U746" s="595">
        <f t="shared" si="502"/>
        <v>0</v>
      </c>
      <c r="V746" s="166">
        <f t="shared" si="503"/>
        <v>0</v>
      </c>
      <c r="W746" s="167">
        <f t="shared" si="504"/>
        <v>0</v>
      </c>
      <c r="X746" s="168">
        <f t="shared" si="505"/>
        <v>0</v>
      </c>
      <c r="Y746" s="166">
        <f t="shared" si="506"/>
        <v>0</v>
      </c>
      <c r="Z746" s="167">
        <f t="shared" si="507"/>
        <v>0</v>
      </c>
      <c r="AA746" s="168">
        <f t="shared" si="508"/>
        <v>0</v>
      </c>
      <c r="AB746" s="166">
        <f t="shared" si="509"/>
        <v>0</v>
      </c>
      <c r="AC746" s="167">
        <f t="shared" si="510"/>
        <v>0</v>
      </c>
      <c r="AD746" s="168">
        <f t="shared" si="511"/>
        <v>0</v>
      </c>
      <c r="AE746" s="166">
        <f t="shared" si="512"/>
        <v>0</v>
      </c>
      <c r="AF746" s="167">
        <f t="shared" si="513"/>
        <v>0</v>
      </c>
      <c r="AG746" s="168">
        <f t="shared" si="514"/>
        <v>0</v>
      </c>
      <c r="AH746" s="166">
        <f t="shared" si="515"/>
        <v>0</v>
      </c>
      <c r="AI746" s="167">
        <f t="shared" si="516"/>
        <v>0</v>
      </c>
      <c r="AJ746" s="168">
        <f t="shared" si="517"/>
        <v>0</v>
      </c>
      <c r="AK746" s="169">
        <f t="shared" si="518"/>
        <v>0</v>
      </c>
      <c r="AL746" s="167">
        <f t="shared" si="519"/>
        <v>0</v>
      </c>
      <c r="AM746" s="585">
        <f t="shared" si="520"/>
        <v>0</v>
      </c>
      <c r="AN746" s="614"/>
      <c r="AO746" s="615"/>
      <c r="AP746" s="615"/>
      <c r="AQ746" s="616"/>
      <c r="AR746" s="612"/>
      <c r="AS746" s="617"/>
      <c r="AT746" s="618"/>
      <c r="AU746" s="618"/>
      <c r="AV746" s="618"/>
      <c r="AW746" s="619"/>
      <c r="AX746" s="614"/>
      <c r="AY746" s="616"/>
      <c r="AZ746" s="616"/>
      <c r="BA746" s="616"/>
      <c r="BB746" s="616"/>
      <c r="BC746" s="616"/>
      <c r="BD746" s="612"/>
      <c r="BE746" s="614"/>
      <c r="BF746" s="616"/>
      <c r="BG746" s="616"/>
      <c r="BH746" s="616"/>
      <c r="BI746" s="616"/>
      <c r="BJ746" s="616"/>
      <c r="BK746" s="1023"/>
      <c r="BL746" s="658"/>
    </row>
    <row r="747" spans="2:64">
      <c r="B747" s="1022"/>
      <c r="C747" s="607"/>
      <c r="D747" s="607"/>
      <c r="E747" s="1021"/>
      <c r="F747" s="1019">
        <v>744</v>
      </c>
      <c r="G747" s="609"/>
      <c r="H747" s="610"/>
      <c r="I747" s="611"/>
      <c r="J747" s="166">
        <f t="shared" si="491"/>
        <v>0</v>
      </c>
      <c r="K747" s="167">
        <f t="shared" si="492"/>
        <v>0</v>
      </c>
      <c r="L747" s="168">
        <f t="shared" si="493"/>
        <v>0</v>
      </c>
      <c r="M747" s="166">
        <f t="shared" si="494"/>
        <v>0</v>
      </c>
      <c r="N747" s="167">
        <f t="shared" si="495"/>
        <v>0</v>
      </c>
      <c r="O747" s="168">
        <f t="shared" si="496"/>
        <v>0</v>
      </c>
      <c r="P747" s="169">
        <f t="shared" si="497"/>
        <v>0</v>
      </c>
      <c r="Q747" s="169">
        <f t="shared" si="498"/>
        <v>0</v>
      </c>
      <c r="R747" s="169">
        <f t="shared" si="499"/>
        <v>0</v>
      </c>
      <c r="S747" s="584">
        <f t="shared" si="500"/>
        <v>0</v>
      </c>
      <c r="T747" s="594">
        <f t="shared" si="501"/>
        <v>0</v>
      </c>
      <c r="U747" s="595">
        <f t="shared" si="502"/>
        <v>0</v>
      </c>
      <c r="V747" s="166">
        <f t="shared" si="503"/>
        <v>0</v>
      </c>
      <c r="W747" s="167">
        <f t="shared" si="504"/>
        <v>0</v>
      </c>
      <c r="X747" s="168">
        <f t="shared" si="505"/>
        <v>0</v>
      </c>
      <c r="Y747" s="166">
        <f t="shared" si="506"/>
        <v>0</v>
      </c>
      <c r="Z747" s="167">
        <f t="shared" si="507"/>
        <v>0</v>
      </c>
      <c r="AA747" s="168">
        <f t="shared" si="508"/>
        <v>0</v>
      </c>
      <c r="AB747" s="166">
        <f t="shared" si="509"/>
        <v>0</v>
      </c>
      <c r="AC747" s="167">
        <f t="shared" si="510"/>
        <v>0</v>
      </c>
      <c r="AD747" s="168">
        <f t="shared" si="511"/>
        <v>0</v>
      </c>
      <c r="AE747" s="166">
        <f t="shared" si="512"/>
        <v>0</v>
      </c>
      <c r="AF747" s="167">
        <f t="shared" si="513"/>
        <v>0</v>
      </c>
      <c r="AG747" s="168">
        <f t="shared" si="514"/>
        <v>0</v>
      </c>
      <c r="AH747" s="166">
        <f t="shared" si="515"/>
        <v>0</v>
      </c>
      <c r="AI747" s="167">
        <f t="shared" si="516"/>
        <v>0</v>
      </c>
      <c r="AJ747" s="168">
        <f t="shared" si="517"/>
        <v>0</v>
      </c>
      <c r="AK747" s="169">
        <f t="shared" si="518"/>
        <v>0</v>
      </c>
      <c r="AL747" s="167">
        <f t="shared" si="519"/>
        <v>0</v>
      </c>
      <c r="AM747" s="585">
        <f t="shared" si="520"/>
        <v>0</v>
      </c>
      <c r="AN747" s="614"/>
      <c r="AO747" s="615"/>
      <c r="AP747" s="615"/>
      <c r="AQ747" s="616"/>
      <c r="AR747" s="612"/>
      <c r="AS747" s="617"/>
      <c r="AT747" s="618"/>
      <c r="AU747" s="618"/>
      <c r="AV747" s="618"/>
      <c r="AW747" s="619"/>
      <c r="AX747" s="614"/>
      <c r="AY747" s="616"/>
      <c r="AZ747" s="616"/>
      <c r="BA747" s="616"/>
      <c r="BB747" s="616"/>
      <c r="BC747" s="616"/>
      <c r="BD747" s="612"/>
      <c r="BE747" s="614"/>
      <c r="BF747" s="616"/>
      <c r="BG747" s="616"/>
      <c r="BH747" s="616"/>
      <c r="BI747" s="616"/>
      <c r="BJ747" s="616"/>
      <c r="BK747" s="1023"/>
      <c r="BL747" s="658"/>
    </row>
    <row r="748" spans="2:64">
      <c r="B748" s="1022"/>
      <c r="C748" s="607"/>
      <c r="D748" s="607"/>
      <c r="E748" s="1021"/>
      <c r="F748" s="608">
        <v>745</v>
      </c>
      <c r="G748" s="609"/>
      <c r="H748" s="610"/>
      <c r="I748" s="611"/>
      <c r="J748" s="166">
        <f t="shared" si="491"/>
        <v>0</v>
      </c>
      <c r="K748" s="167">
        <f t="shared" si="492"/>
        <v>0</v>
      </c>
      <c r="L748" s="168">
        <f t="shared" si="493"/>
        <v>0</v>
      </c>
      <c r="M748" s="166">
        <f t="shared" si="494"/>
        <v>0</v>
      </c>
      <c r="N748" s="167">
        <f t="shared" si="495"/>
        <v>0</v>
      </c>
      <c r="O748" s="168">
        <f t="shared" si="496"/>
        <v>0</v>
      </c>
      <c r="P748" s="169">
        <f t="shared" si="497"/>
        <v>0</v>
      </c>
      <c r="Q748" s="169">
        <f t="shared" si="498"/>
        <v>0</v>
      </c>
      <c r="R748" s="169">
        <f t="shared" si="499"/>
        <v>0</v>
      </c>
      <c r="S748" s="584">
        <f t="shared" si="500"/>
        <v>0</v>
      </c>
      <c r="T748" s="594">
        <f t="shared" si="501"/>
        <v>0</v>
      </c>
      <c r="U748" s="595">
        <f t="shared" si="502"/>
        <v>0</v>
      </c>
      <c r="V748" s="166">
        <f t="shared" si="503"/>
        <v>0</v>
      </c>
      <c r="W748" s="167">
        <f t="shared" si="504"/>
        <v>0</v>
      </c>
      <c r="X748" s="168">
        <f t="shared" si="505"/>
        <v>0</v>
      </c>
      <c r="Y748" s="166">
        <f t="shared" si="506"/>
        <v>0</v>
      </c>
      <c r="Z748" s="167">
        <f t="shared" si="507"/>
        <v>0</v>
      </c>
      <c r="AA748" s="168">
        <f t="shared" si="508"/>
        <v>0</v>
      </c>
      <c r="AB748" s="166">
        <f t="shared" si="509"/>
        <v>0</v>
      </c>
      <c r="AC748" s="167">
        <f t="shared" si="510"/>
        <v>0</v>
      </c>
      <c r="AD748" s="168">
        <f t="shared" si="511"/>
        <v>0</v>
      </c>
      <c r="AE748" s="166">
        <f t="shared" si="512"/>
        <v>0</v>
      </c>
      <c r="AF748" s="167">
        <f t="shared" si="513"/>
        <v>0</v>
      </c>
      <c r="AG748" s="168">
        <f t="shared" si="514"/>
        <v>0</v>
      </c>
      <c r="AH748" s="166">
        <f t="shared" si="515"/>
        <v>0</v>
      </c>
      <c r="AI748" s="167">
        <f t="shared" si="516"/>
        <v>0</v>
      </c>
      <c r="AJ748" s="168">
        <f t="shared" si="517"/>
        <v>0</v>
      </c>
      <c r="AK748" s="169">
        <f t="shared" si="518"/>
        <v>0</v>
      </c>
      <c r="AL748" s="167">
        <f t="shared" si="519"/>
        <v>0</v>
      </c>
      <c r="AM748" s="585">
        <f t="shared" si="520"/>
        <v>0</v>
      </c>
      <c r="AN748" s="614"/>
      <c r="AO748" s="615"/>
      <c r="AP748" s="615"/>
      <c r="AQ748" s="616"/>
      <c r="AR748" s="612"/>
      <c r="AS748" s="617"/>
      <c r="AT748" s="618"/>
      <c r="AU748" s="618"/>
      <c r="AV748" s="618"/>
      <c r="AW748" s="619"/>
      <c r="AX748" s="614"/>
      <c r="AY748" s="616"/>
      <c r="AZ748" s="616"/>
      <c r="BA748" s="616"/>
      <c r="BB748" s="616"/>
      <c r="BC748" s="616"/>
      <c r="BD748" s="612"/>
      <c r="BE748" s="614"/>
      <c r="BF748" s="616"/>
      <c r="BG748" s="616"/>
      <c r="BH748" s="616"/>
      <c r="BI748" s="616"/>
      <c r="BJ748" s="616"/>
      <c r="BK748" s="1023"/>
      <c r="BL748" s="658"/>
    </row>
    <row r="749" spans="2:64">
      <c r="B749" s="1022"/>
      <c r="C749" s="607"/>
      <c r="D749" s="607"/>
      <c r="E749" s="1021"/>
      <c r="F749" s="1019">
        <v>746</v>
      </c>
      <c r="G749" s="609"/>
      <c r="H749" s="610"/>
      <c r="I749" s="611"/>
      <c r="J749" s="166">
        <f t="shared" si="491"/>
        <v>0</v>
      </c>
      <c r="K749" s="167">
        <f t="shared" si="492"/>
        <v>0</v>
      </c>
      <c r="L749" s="168">
        <f t="shared" si="493"/>
        <v>0</v>
      </c>
      <c r="M749" s="166">
        <f t="shared" si="494"/>
        <v>0</v>
      </c>
      <c r="N749" s="167">
        <f t="shared" si="495"/>
        <v>0</v>
      </c>
      <c r="O749" s="168">
        <f t="shared" si="496"/>
        <v>0</v>
      </c>
      <c r="P749" s="169">
        <f t="shared" si="497"/>
        <v>0</v>
      </c>
      <c r="Q749" s="169">
        <f t="shared" si="498"/>
        <v>0</v>
      </c>
      <c r="R749" s="169">
        <f t="shared" si="499"/>
        <v>0</v>
      </c>
      <c r="S749" s="584">
        <f t="shared" si="500"/>
        <v>0</v>
      </c>
      <c r="T749" s="594">
        <f t="shared" si="501"/>
        <v>0</v>
      </c>
      <c r="U749" s="595">
        <f t="shared" si="502"/>
        <v>0</v>
      </c>
      <c r="V749" s="166">
        <f t="shared" si="503"/>
        <v>0</v>
      </c>
      <c r="W749" s="167">
        <f t="shared" si="504"/>
        <v>0</v>
      </c>
      <c r="X749" s="168">
        <f t="shared" si="505"/>
        <v>0</v>
      </c>
      <c r="Y749" s="166">
        <f t="shared" si="506"/>
        <v>0</v>
      </c>
      <c r="Z749" s="167">
        <f t="shared" si="507"/>
        <v>0</v>
      </c>
      <c r="AA749" s="168">
        <f t="shared" si="508"/>
        <v>0</v>
      </c>
      <c r="AB749" s="166">
        <f t="shared" si="509"/>
        <v>0</v>
      </c>
      <c r="AC749" s="167">
        <f t="shared" si="510"/>
        <v>0</v>
      </c>
      <c r="AD749" s="168">
        <f t="shared" si="511"/>
        <v>0</v>
      </c>
      <c r="AE749" s="166">
        <f t="shared" si="512"/>
        <v>0</v>
      </c>
      <c r="AF749" s="167">
        <f t="shared" si="513"/>
        <v>0</v>
      </c>
      <c r="AG749" s="168">
        <f t="shared" si="514"/>
        <v>0</v>
      </c>
      <c r="AH749" s="166">
        <f t="shared" si="515"/>
        <v>0</v>
      </c>
      <c r="AI749" s="167">
        <f t="shared" si="516"/>
        <v>0</v>
      </c>
      <c r="AJ749" s="168">
        <f t="shared" si="517"/>
        <v>0</v>
      </c>
      <c r="AK749" s="169">
        <f t="shared" si="518"/>
        <v>0</v>
      </c>
      <c r="AL749" s="167">
        <f t="shared" si="519"/>
        <v>0</v>
      </c>
      <c r="AM749" s="585">
        <f t="shared" si="520"/>
        <v>0</v>
      </c>
      <c r="AN749" s="614"/>
      <c r="AO749" s="615"/>
      <c r="AP749" s="615"/>
      <c r="AQ749" s="616"/>
      <c r="AR749" s="612"/>
      <c r="AS749" s="617"/>
      <c r="AT749" s="618"/>
      <c r="AU749" s="618"/>
      <c r="AV749" s="618"/>
      <c r="AW749" s="619"/>
      <c r="AX749" s="614"/>
      <c r="AY749" s="616"/>
      <c r="AZ749" s="616"/>
      <c r="BA749" s="616"/>
      <c r="BB749" s="616"/>
      <c r="BC749" s="616"/>
      <c r="BD749" s="612"/>
      <c r="BE749" s="614"/>
      <c r="BF749" s="616"/>
      <c r="BG749" s="616"/>
      <c r="BH749" s="616"/>
      <c r="BI749" s="616"/>
      <c r="BJ749" s="616"/>
      <c r="BK749" s="1023"/>
      <c r="BL749" s="658"/>
    </row>
    <row r="750" spans="2:64">
      <c r="B750" s="1022"/>
      <c r="C750" s="607"/>
      <c r="D750" s="607"/>
      <c r="E750" s="1021"/>
      <c r="F750" s="608">
        <v>747</v>
      </c>
      <c r="G750" s="609"/>
      <c r="H750" s="610"/>
      <c r="I750" s="611"/>
      <c r="J750" s="166">
        <f t="shared" si="491"/>
        <v>0</v>
      </c>
      <c r="K750" s="167">
        <f t="shared" si="492"/>
        <v>0</v>
      </c>
      <c r="L750" s="168">
        <f t="shared" si="493"/>
        <v>0</v>
      </c>
      <c r="M750" s="166">
        <f t="shared" si="494"/>
        <v>0</v>
      </c>
      <c r="N750" s="167">
        <f t="shared" si="495"/>
        <v>0</v>
      </c>
      <c r="O750" s="168">
        <f t="shared" si="496"/>
        <v>0</v>
      </c>
      <c r="P750" s="169">
        <f t="shared" si="497"/>
        <v>0</v>
      </c>
      <c r="Q750" s="169">
        <f t="shared" si="498"/>
        <v>0</v>
      </c>
      <c r="R750" s="169">
        <f t="shared" si="499"/>
        <v>0</v>
      </c>
      <c r="S750" s="584">
        <f t="shared" si="500"/>
        <v>0</v>
      </c>
      <c r="T750" s="594">
        <f t="shared" si="501"/>
        <v>0</v>
      </c>
      <c r="U750" s="595">
        <f t="shared" si="502"/>
        <v>0</v>
      </c>
      <c r="V750" s="166">
        <f t="shared" si="503"/>
        <v>0</v>
      </c>
      <c r="W750" s="167">
        <f t="shared" si="504"/>
        <v>0</v>
      </c>
      <c r="X750" s="168">
        <f t="shared" si="505"/>
        <v>0</v>
      </c>
      <c r="Y750" s="166">
        <f t="shared" si="506"/>
        <v>0</v>
      </c>
      <c r="Z750" s="167">
        <f t="shared" si="507"/>
        <v>0</v>
      </c>
      <c r="AA750" s="168">
        <f t="shared" si="508"/>
        <v>0</v>
      </c>
      <c r="AB750" s="166">
        <f t="shared" si="509"/>
        <v>0</v>
      </c>
      <c r="AC750" s="167">
        <f t="shared" si="510"/>
        <v>0</v>
      </c>
      <c r="AD750" s="168">
        <f t="shared" si="511"/>
        <v>0</v>
      </c>
      <c r="AE750" s="166">
        <f t="shared" si="512"/>
        <v>0</v>
      </c>
      <c r="AF750" s="167">
        <f t="shared" si="513"/>
        <v>0</v>
      </c>
      <c r="AG750" s="168">
        <f t="shared" si="514"/>
        <v>0</v>
      </c>
      <c r="AH750" s="166">
        <f t="shared" si="515"/>
        <v>0</v>
      </c>
      <c r="AI750" s="167">
        <f t="shared" si="516"/>
        <v>0</v>
      </c>
      <c r="AJ750" s="168">
        <f t="shared" si="517"/>
        <v>0</v>
      </c>
      <c r="AK750" s="169">
        <f t="shared" si="518"/>
        <v>0</v>
      </c>
      <c r="AL750" s="167">
        <f t="shared" si="519"/>
        <v>0</v>
      </c>
      <c r="AM750" s="585">
        <f t="shared" si="520"/>
        <v>0</v>
      </c>
      <c r="AN750" s="614"/>
      <c r="AO750" s="615"/>
      <c r="AP750" s="615"/>
      <c r="AQ750" s="616"/>
      <c r="AR750" s="612"/>
      <c r="AS750" s="617"/>
      <c r="AT750" s="618"/>
      <c r="AU750" s="618"/>
      <c r="AV750" s="618"/>
      <c r="AW750" s="619"/>
      <c r="AX750" s="614"/>
      <c r="AY750" s="616"/>
      <c r="AZ750" s="616"/>
      <c r="BA750" s="616"/>
      <c r="BB750" s="616"/>
      <c r="BC750" s="616"/>
      <c r="BD750" s="612"/>
      <c r="BE750" s="614"/>
      <c r="BF750" s="616"/>
      <c r="BG750" s="616"/>
      <c r="BH750" s="616"/>
      <c r="BI750" s="616"/>
      <c r="BJ750" s="616"/>
      <c r="BK750" s="1023"/>
      <c r="BL750" s="658"/>
    </row>
    <row r="751" spans="2:64">
      <c r="B751" s="1022"/>
      <c r="C751" s="607"/>
      <c r="D751" s="607"/>
      <c r="E751" s="1021"/>
      <c r="F751" s="1019">
        <v>748</v>
      </c>
      <c r="G751" s="609"/>
      <c r="H751" s="610"/>
      <c r="I751" s="611"/>
      <c r="J751" s="166">
        <f t="shared" si="491"/>
        <v>0</v>
      </c>
      <c r="K751" s="167">
        <f t="shared" si="492"/>
        <v>0</v>
      </c>
      <c r="L751" s="168">
        <f t="shared" si="493"/>
        <v>0</v>
      </c>
      <c r="M751" s="166">
        <f t="shared" si="494"/>
        <v>0</v>
      </c>
      <c r="N751" s="167">
        <f t="shared" si="495"/>
        <v>0</v>
      </c>
      <c r="O751" s="168">
        <f t="shared" si="496"/>
        <v>0</v>
      </c>
      <c r="P751" s="169">
        <f t="shared" si="497"/>
        <v>0</v>
      </c>
      <c r="Q751" s="169">
        <f t="shared" si="498"/>
        <v>0</v>
      </c>
      <c r="R751" s="169">
        <f t="shared" si="499"/>
        <v>0</v>
      </c>
      <c r="S751" s="584">
        <f t="shared" si="500"/>
        <v>0</v>
      </c>
      <c r="T751" s="594">
        <f t="shared" si="501"/>
        <v>0</v>
      </c>
      <c r="U751" s="595">
        <f t="shared" si="502"/>
        <v>0</v>
      </c>
      <c r="V751" s="166">
        <f t="shared" si="503"/>
        <v>0</v>
      </c>
      <c r="W751" s="167">
        <f t="shared" si="504"/>
        <v>0</v>
      </c>
      <c r="X751" s="168">
        <f t="shared" si="505"/>
        <v>0</v>
      </c>
      <c r="Y751" s="166">
        <f t="shared" si="506"/>
        <v>0</v>
      </c>
      <c r="Z751" s="167">
        <f t="shared" si="507"/>
        <v>0</v>
      </c>
      <c r="AA751" s="168">
        <f t="shared" si="508"/>
        <v>0</v>
      </c>
      <c r="AB751" s="166">
        <f t="shared" si="509"/>
        <v>0</v>
      </c>
      <c r="AC751" s="167">
        <f t="shared" si="510"/>
        <v>0</v>
      </c>
      <c r="AD751" s="168">
        <f t="shared" si="511"/>
        <v>0</v>
      </c>
      <c r="AE751" s="166">
        <f t="shared" si="512"/>
        <v>0</v>
      </c>
      <c r="AF751" s="167">
        <f t="shared" si="513"/>
        <v>0</v>
      </c>
      <c r="AG751" s="168">
        <f t="shared" si="514"/>
        <v>0</v>
      </c>
      <c r="AH751" s="166">
        <f t="shared" si="515"/>
        <v>0</v>
      </c>
      <c r="AI751" s="167">
        <f t="shared" si="516"/>
        <v>0</v>
      </c>
      <c r="AJ751" s="168">
        <f t="shared" si="517"/>
        <v>0</v>
      </c>
      <c r="AK751" s="169">
        <f t="shared" si="518"/>
        <v>0</v>
      </c>
      <c r="AL751" s="167">
        <f t="shared" si="519"/>
        <v>0</v>
      </c>
      <c r="AM751" s="585">
        <f t="shared" si="520"/>
        <v>0</v>
      </c>
      <c r="AN751" s="614"/>
      <c r="AO751" s="615"/>
      <c r="AP751" s="615"/>
      <c r="AQ751" s="616"/>
      <c r="AR751" s="612"/>
      <c r="AS751" s="617"/>
      <c r="AT751" s="618"/>
      <c r="AU751" s="618"/>
      <c r="AV751" s="618"/>
      <c r="AW751" s="619"/>
      <c r="AX751" s="614"/>
      <c r="AY751" s="616"/>
      <c r="AZ751" s="616"/>
      <c r="BA751" s="616"/>
      <c r="BB751" s="616"/>
      <c r="BC751" s="616"/>
      <c r="BD751" s="612"/>
      <c r="BE751" s="614"/>
      <c r="BF751" s="616"/>
      <c r="BG751" s="616"/>
      <c r="BH751" s="616"/>
      <c r="BI751" s="616"/>
      <c r="BJ751" s="616"/>
      <c r="BK751" s="1023"/>
      <c r="BL751" s="658"/>
    </row>
    <row r="752" spans="2:64">
      <c r="B752" s="1022"/>
      <c r="C752" s="607"/>
      <c r="D752" s="607"/>
      <c r="E752" s="1021"/>
      <c r="F752" s="608">
        <v>749</v>
      </c>
      <c r="G752" s="609"/>
      <c r="H752" s="610"/>
      <c r="I752" s="611"/>
      <c r="J752" s="166">
        <f t="shared" si="491"/>
        <v>0</v>
      </c>
      <c r="K752" s="167">
        <f t="shared" si="492"/>
        <v>0</v>
      </c>
      <c r="L752" s="168">
        <f t="shared" si="493"/>
        <v>0</v>
      </c>
      <c r="M752" s="166">
        <f t="shared" si="494"/>
        <v>0</v>
      </c>
      <c r="N752" s="167">
        <f t="shared" si="495"/>
        <v>0</v>
      </c>
      <c r="O752" s="168">
        <f t="shared" si="496"/>
        <v>0</v>
      </c>
      <c r="P752" s="169">
        <f t="shared" si="497"/>
        <v>0</v>
      </c>
      <c r="Q752" s="169">
        <f t="shared" si="498"/>
        <v>0</v>
      </c>
      <c r="R752" s="169">
        <f t="shared" si="499"/>
        <v>0</v>
      </c>
      <c r="S752" s="584">
        <f t="shared" si="500"/>
        <v>0</v>
      </c>
      <c r="T752" s="594">
        <f t="shared" si="501"/>
        <v>0</v>
      </c>
      <c r="U752" s="595">
        <f t="shared" si="502"/>
        <v>0</v>
      </c>
      <c r="V752" s="166">
        <f t="shared" si="503"/>
        <v>0</v>
      </c>
      <c r="W752" s="167">
        <f t="shared" si="504"/>
        <v>0</v>
      </c>
      <c r="X752" s="168">
        <f t="shared" si="505"/>
        <v>0</v>
      </c>
      <c r="Y752" s="166">
        <f t="shared" si="506"/>
        <v>0</v>
      </c>
      <c r="Z752" s="167">
        <f t="shared" si="507"/>
        <v>0</v>
      </c>
      <c r="AA752" s="168">
        <f t="shared" si="508"/>
        <v>0</v>
      </c>
      <c r="AB752" s="166">
        <f t="shared" si="509"/>
        <v>0</v>
      </c>
      <c r="AC752" s="167">
        <f t="shared" si="510"/>
        <v>0</v>
      </c>
      <c r="AD752" s="168">
        <f t="shared" si="511"/>
        <v>0</v>
      </c>
      <c r="AE752" s="166">
        <f t="shared" si="512"/>
        <v>0</v>
      </c>
      <c r="AF752" s="167">
        <f t="shared" si="513"/>
        <v>0</v>
      </c>
      <c r="AG752" s="168">
        <f t="shared" si="514"/>
        <v>0</v>
      </c>
      <c r="AH752" s="166">
        <f t="shared" si="515"/>
        <v>0</v>
      </c>
      <c r="AI752" s="167">
        <f t="shared" si="516"/>
        <v>0</v>
      </c>
      <c r="AJ752" s="168">
        <f t="shared" si="517"/>
        <v>0</v>
      </c>
      <c r="AK752" s="169">
        <f t="shared" si="518"/>
        <v>0</v>
      </c>
      <c r="AL752" s="167">
        <f t="shared" si="519"/>
        <v>0</v>
      </c>
      <c r="AM752" s="585">
        <f t="shared" si="520"/>
        <v>0</v>
      </c>
      <c r="AN752" s="614"/>
      <c r="AO752" s="615"/>
      <c r="AP752" s="615"/>
      <c r="AQ752" s="616"/>
      <c r="AR752" s="612"/>
      <c r="AS752" s="617"/>
      <c r="AT752" s="618"/>
      <c r="AU752" s="618"/>
      <c r="AV752" s="618"/>
      <c r="AW752" s="619"/>
      <c r="AX752" s="614"/>
      <c r="AY752" s="616"/>
      <c r="AZ752" s="616"/>
      <c r="BA752" s="616"/>
      <c r="BB752" s="616"/>
      <c r="BC752" s="616"/>
      <c r="BD752" s="612"/>
      <c r="BE752" s="614"/>
      <c r="BF752" s="616"/>
      <c r="BG752" s="616"/>
      <c r="BH752" s="616"/>
      <c r="BI752" s="616"/>
      <c r="BJ752" s="616"/>
      <c r="BK752" s="1023"/>
      <c r="BL752" s="658"/>
    </row>
    <row r="753" spans="2:64">
      <c r="B753" s="1022"/>
      <c r="C753" s="607"/>
      <c r="D753" s="607"/>
      <c r="E753" s="1021"/>
      <c r="F753" s="1019">
        <v>750</v>
      </c>
      <c r="G753" s="609"/>
      <c r="H753" s="610"/>
      <c r="I753" s="611"/>
      <c r="J753" s="166">
        <f t="shared" si="491"/>
        <v>0</v>
      </c>
      <c r="K753" s="167">
        <f t="shared" si="492"/>
        <v>0</v>
      </c>
      <c r="L753" s="168">
        <f t="shared" si="493"/>
        <v>0</v>
      </c>
      <c r="M753" s="166">
        <f t="shared" si="494"/>
        <v>0</v>
      </c>
      <c r="N753" s="167">
        <f t="shared" si="495"/>
        <v>0</v>
      </c>
      <c r="O753" s="168">
        <f t="shared" si="496"/>
        <v>0</v>
      </c>
      <c r="P753" s="169">
        <f t="shared" si="497"/>
        <v>0</v>
      </c>
      <c r="Q753" s="169">
        <f t="shared" si="498"/>
        <v>0</v>
      </c>
      <c r="R753" s="169">
        <f t="shared" si="499"/>
        <v>0</v>
      </c>
      <c r="S753" s="584">
        <f t="shared" si="500"/>
        <v>0</v>
      </c>
      <c r="T753" s="594">
        <f t="shared" si="501"/>
        <v>0</v>
      </c>
      <c r="U753" s="595">
        <f t="shared" si="502"/>
        <v>0</v>
      </c>
      <c r="V753" s="166">
        <f t="shared" si="503"/>
        <v>0</v>
      </c>
      <c r="W753" s="167">
        <f t="shared" si="504"/>
        <v>0</v>
      </c>
      <c r="X753" s="168">
        <f t="shared" si="505"/>
        <v>0</v>
      </c>
      <c r="Y753" s="166">
        <f t="shared" si="506"/>
        <v>0</v>
      </c>
      <c r="Z753" s="167">
        <f t="shared" si="507"/>
        <v>0</v>
      </c>
      <c r="AA753" s="168">
        <f t="shared" si="508"/>
        <v>0</v>
      </c>
      <c r="AB753" s="166">
        <f t="shared" si="509"/>
        <v>0</v>
      </c>
      <c r="AC753" s="167">
        <f t="shared" si="510"/>
        <v>0</v>
      </c>
      <c r="AD753" s="168">
        <f t="shared" si="511"/>
        <v>0</v>
      </c>
      <c r="AE753" s="166">
        <f t="shared" si="512"/>
        <v>0</v>
      </c>
      <c r="AF753" s="167">
        <f t="shared" si="513"/>
        <v>0</v>
      </c>
      <c r="AG753" s="168">
        <f t="shared" si="514"/>
        <v>0</v>
      </c>
      <c r="AH753" s="166">
        <f t="shared" si="515"/>
        <v>0</v>
      </c>
      <c r="AI753" s="167">
        <f t="shared" si="516"/>
        <v>0</v>
      </c>
      <c r="AJ753" s="168">
        <f t="shared" si="517"/>
        <v>0</v>
      </c>
      <c r="AK753" s="169">
        <f t="shared" si="518"/>
        <v>0</v>
      </c>
      <c r="AL753" s="167">
        <f t="shared" si="519"/>
        <v>0</v>
      </c>
      <c r="AM753" s="585">
        <f t="shared" si="520"/>
        <v>0</v>
      </c>
      <c r="AN753" s="614"/>
      <c r="AO753" s="615"/>
      <c r="AP753" s="615"/>
      <c r="AQ753" s="616"/>
      <c r="AR753" s="612"/>
      <c r="AS753" s="617"/>
      <c r="AT753" s="618"/>
      <c r="AU753" s="618"/>
      <c r="AV753" s="618"/>
      <c r="AW753" s="619"/>
      <c r="AX753" s="614"/>
      <c r="AY753" s="616"/>
      <c r="AZ753" s="616"/>
      <c r="BA753" s="616"/>
      <c r="BB753" s="616"/>
      <c r="BC753" s="616"/>
      <c r="BD753" s="612"/>
      <c r="BE753" s="614"/>
      <c r="BF753" s="616"/>
      <c r="BG753" s="616"/>
      <c r="BH753" s="616"/>
      <c r="BI753" s="616"/>
      <c r="BJ753" s="616"/>
      <c r="BK753" s="1023"/>
      <c r="BL753" s="658"/>
    </row>
    <row r="754" spans="2:64">
      <c r="B754" s="1022"/>
      <c r="C754" s="607"/>
      <c r="D754" s="607"/>
      <c r="E754" s="1021"/>
      <c r="F754" s="608">
        <v>751</v>
      </c>
      <c r="G754" s="609"/>
      <c r="H754" s="610"/>
      <c r="I754" s="611"/>
      <c r="J754" s="166">
        <f t="shared" si="491"/>
        <v>0</v>
      </c>
      <c r="K754" s="167">
        <f t="shared" si="492"/>
        <v>0</v>
      </c>
      <c r="L754" s="168">
        <f t="shared" si="493"/>
        <v>0</v>
      </c>
      <c r="M754" s="166">
        <f t="shared" si="494"/>
        <v>0</v>
      </c>
      <c r="N754" s="167">
        <f t="shared" si="495"/>
        <v>0</v>
      </c>
      <c r="O754" s="168">
        <f t="shared" si="496"/>
        <v>0</v>
      </c>
      <c r="P754" s="169">
        <f t="shared" si="497"/>
        <v>0</v>
      </c>
      <c r="Q754" s="169">
        <f t="shared" si="498"/>
        <v>0</v>
      </c>
      <c r="R754" s="169">
        <f t="shared" si="499"/>
        <v>0</v>
      </c>
      <c r="S754" s="584">
        <f t="shared" si="500"/>
        <v>0</v>
      </c>
      <c r="T754" s="594">
        <f t="shared" si="501"/>
        <v>0</v>
      </c>
      <c r="U754" s="595">
        <f t="shared" si="502"/>
        <v>0</v>
      </c>
      <c r="V754" s="166">
        <f t="shared" si="503"/>
        <v>0</v>
      </c>
      <c r="W754" s="167">
        <f t="shared" si="504"/>
        <v>0</v>
      </c>
      <c r="X754" s="168">
        <f t="shared" si="505"/>
        <v>0</v>
      </c>
      <c r="Y754" s="166">
        <f t="shared" si="506"/>
        <v>0</v>
      </c>
      <c r="Z754" s="167">
        <f t="shared" si="507"/>
        <v>0</v>
      </c>
      <c r="AA754" s="168">
        <f t="shared" si="508"/>
        <v>0</v>
      </c>
      <c r="AB754" s="166">
        <f t="shared" si="509"/>
        <v>0</v>
      </c>
      <c r="AC754" s="167">
        <f t="shared" si="510"/>
        <v>0</v>
      </c>
      <c r="AD754" s="168">
        <f t="shared" si="511"/>
        <v>0</v>
      </c>
      <c r="AE754" s="166">
        <f t="shared" si="512"/>
        <v>0</v>
      </c>
      <c r="AF754" s="167">
        <f t="shared" si="513"/>
        <v>0</v>
      </c>
      <c r="AG754" s="168">
        <f t="shared" si="514"/>
        <v>0</v>
      </c>
      <c r="AH754" s="166">
        <f t="shared" si="515"/>
        <v>0</v>
      </c>
      <c r="AI754" s="167">
        <f t="shared" si="516"/>
        <v>0</v>
      </c>
      <c r="AJ754" s="168">
        <f t="shared" si="517"/>
        <v>0</v>
      </c>
      <c r="AK754" s="169">
        <f t="shared" si="518"/>
        <v>0</v>
      </c>
      <c r="AL754" s="167">
        <f t="shared" si="519"/>
        <v>0</v>
      </c>
      <c r="AM754" s="585">
        <f t="shared" si="520"/>
        <v>0</v>
      </c>
      <c r="AN754" s="614"/>
      <c r="AO754" s="615"/>
      <c r="AP754" s="615"/>
      <c r="AQ754" s="616"/>
      <c r="AR754" s="612"/>
      <c r="AS754" s="617"/>
      <c r="AT754" s="618"/>
      <c r="AU754" s="618"/>
      <c r="AV754" s="618"/>
      <c r="AW754" s="619"/>
      <c r="AX754" s="614"/>
      <c r="AY754" s="616"/>
      <c r="AZ754" s="616"/>
      <c r="BA754" s="616"/>
      <c r="BB754" s="616"/>
      <c r="BC754" s="616"/>
      <c r="BD754" s="612"/>
      <c r="BE754" s="614"/>
      <c r="BF754" s="616"/>
      <c r="BG754" s="616"/>
      <c r="BH754" s="616"/>
      <c r="BI754" s="616"/>
      <c r="BJ754" s="616"/>
      <c r="BK754" s="1023"/>
      <c r="BL754" s="658"/>
    </row>
    <row r="755" spans="2:64">
      <c r="B755" s="1022"/>
      <c r="C755" s="607"/>
      <c r="D755" s="607"/>
      <c r="E755" s="1021"/>
      <c r="F755" s="1019">
        <v>752</v>
      </c>
      <c r="G755" s="609"/>
      <c r="H755" s="610"/>
      <c r="I755" s="611"/>
      <c r="J755" s="166">
        <f t="shared" si="491"/>
        <v>0</v>
      </c>
      <c r="K755" s="167">
        <f t="shared" si="492"/>
        <v>0</v>
      </c>
      <c r="L755" s="168">
        <f t="shared" si="493"/>
        <v>0</v>
      </c>
      <c r="M755" s="166">
        <f t="shared" si="494"/>
        <v>0</v>
      </c>
      <c r="N755" s="167">
        <f t="shared" si="495"/>
        <v>0</v>
      </c>
      <c r="O755" s="168">
        <f t="shared" si="496"/>
        <v>0</v>
      </c>
      <c r="P755" s="169">
        <f t="shared" si="497"/>
        <v>0</v>
      </c>
      <c r="Q755" s="169">
        <f t="shared" si="498"/>
        <v>0</v>
      </c>
      <c r="R755" s="169">
        <f t="shared" si="499"/>
        <v>0</v>
      </c>
      <c r="S755" s="584">
        <f t="shared" si="500"/>
        <v>0</v>
      </c>
      <c r="T755" s="594">
        <f t="shared" si="501"/>
        <v>0</v>
      </c>
      <c r="U755" s="595">
        <f t="shared" si="502"/>
        <v>0</v>
      </c>
      <c r="V755" s="166">
        <f t="shared" si="503"/>
        <v>0</v>
      </c>
      <c r="W755" s="167">
        <f t="shared" si="504"/>
        <v>0</v>
      </c>
      <c r="X755" s="168">
        <f t="shared" si="505"/>
        <v>0</v>
      </c>
      <c r="Y755" s="166">
        <f t="shared" si="506"/>
        <v>0</v>
      </c>
      <c r="Z755" s="167">
        <f t="shared" si="507"/>
        <v>0</v>
      </c>
      <c r="AA755" s="168">
        <f t="shared" si="508"/>
        <v>0</v>
      </c>
      <c r="AB755" s="166">
        <f t="shared" si="509"/>
        <v>0</v>
      </c>
      <c r="AC755" s="167">
        <f t="shared" si="510"/>
        <v>0</v>
      </c>
      <c r="AD755" s="168">
        <f t="shared" si="511"/>
        <v>0</v>
      </c>
      <c r="AE755" s="166">
        <f t="shared" si="512"/>
        <v>0</v>
      </c>
      <c r="AF755" s="167">
        <f t="shared" si="513"/>
        <v>0</v>
      </c>
      <c r="AG755" s="168">
        <f t="shared" si="514"/>
        <v>0</v>
      </c>
      <c r="AH755" s="166">
        <f t="shared" si="515"/>
        <v>0</v>
      </c>
      <c r="AI755" s="167">
        <f t="shared" si="516"/>
        <v>0</v>
      </c>
      <c r="AJ755" s="168">
        <f t="shared" si="517"/>
        <v>0</v>
      </c>
      <c r="AK755" s="169">
        <f t="shared" si="518"/>
        <v>0</v>
      </c>
      <c r="AL755" s="167">
        <f t="shared" si="519"/>
        <v>0</v>
      </c>
      <c r="AM755" s="585">
        <f t="shared" si="520"/>
        <v>0</v>
      </c>
      <c r="AN755" s="614"/>
      <c r="AO755" s="615"/>
      <c r="AP755" s="615"/>
      <c r="AQ755" s="616"/>
      <c r="AR755" s="612"/>
      <c r="AS755" s="617"/>
      <c r="AT755" s="618"/>
      <c r="AU755" s="618"/>
      <c r="AV755" s="618"/>
      <c r="AW755" s="619"/>
      <c r="AX755" s="614"/>
      <c r="AY755" s="616"/>
      <c r="AZ755" s="616"/>
      <c r="BA755" s="616"/>
      <c r="BB755" s="616"/>
      <c r="BC755" s="616"/>
      <c r="BD755" s="612"/>
      <c r="BE755" s="614"/>
      <c r="BF755" s="616"/>
      <c r="BG755" s="616"/>
      <c r="BH755" s="616"/>
      <c r="BI755" s="616"/>
      <c r="BJ755" s="616"/>
      <c r="BK755" s="1023"/>
      <c r="BL755" s="658"/>
    </row>
    <row r="756" spans="2:64">
      <c r="B756" s="1022"/>
      <c r="C756" s="607"/>
      <c r="D756" s="607"/>
      <c r="E756" s="1021"/>
      <c r="F756" s="608">
        <v>753</v>
      </c>
      <c r="G756" s="609"/>
      <c r="H756" s="610"/>
      <c r="I756" s="611"/>
      <c r="J756" s="166">
        <f t="shared" si="491"/>
        <v>0</v>
      </c>
      <c r="K756" s="167">
        <f t="shared" si="492"/>
        <v>0</v>
      </c>
      <c r="L756" s="168">
        <f t="shared" si="493"/>
        <v>0</v>
      </c>
      <c r="M756" s="166">
        <f t="shared" si="494"/>
        <v>0</v>
      </c>
      <c r="N756" s="167">
        <f t="shared" si="495"/>
        <v>0</v>
      </c>
      <c r="O756" s="168">
        <f t="shared" si="496"/>
        <v>0</v>
      </c>
      <c r="P756" s="169">
        <f t="shared" si="497"/>
        <v>0</v>
      </c>
      <c r="Q756" s="169">
        <f t="shared" si="498"/>
        <v>0</v>
      </c>
      <c r="R756" s="169">
        <f t="shared" si="499"/>
        <v>0</v>
      </c>
      <c r="S756" s="584">
        <f t="shared" si="500"/>
        <v>0</v>
      </c>
      <c r="T756" s="594">
        <f t="shared" si="501"/>
        <v>0</v>
      </c>
      <c r="U756" s="595">
        <f t="shared" si="502"/>
        <v>0</v>
      </c>
      <c r="V756" s="166">
        <f t="shared" si="503"/>
        <v>0</v>
      </c>
      <c r="W756" s="167">
        <f t="shared" si="504"/>
        <v>0</v>
      </c>
      <c r="X756" s="168">
        <f t="shared" si="505"/>
        <v>0</v>
      </c>
      <c r="Y756" s="166">
        <f t="shared" si="506"/>
        <v>0</v>
      </c>
      <c r="Z756" s="167">
        <f t="shared" si="507"/>
        <v>0</v>
      </c>
      <c r="AA756" s="168">
        <f t="shared" si="508"/>
        <v>0</v>
      </c>
      <c r="AB756" s="166">
        <f t="shared" si="509"/>
        <v>0</v>
      </c>
      <c r="AC756" s="167">
        <f t="shared" si="510"/>
        <v>0</v>
      </c>
      <c r="AD756" s="168">
        <f t="shared" si="511"/>
        <v>0</v>
      </c>
      <c r="AE756" s="166">
        <f t="shared" si="512"/>
        <v>0</v>
      </c>
      <c r="AF756" s="167">
        <f t="shared" si="513"/>
        <v>0</v>
      </c>
      <c r="AG756" s="168">
        <f t="shared" si="514"/>
        <v>0</v>
      </c>
      <c r="AH756" s="166">
        <f t="shared" si="515"/>
        <v>0</v>
      </c>
      <c r="AI756" s="167">
        <f t="shared" si="516"/>
        <v>0</v>
      </c>
      <c r="AJ756" s="168">
        <f t="shared" si="517"/>
        <v>0</v>
      </c>
      <c r="AK756" s="169">
        <f t="shared" si="518"/>
        <v>0</v>
      </c>
      <c r="AL756" s="167">
        <f t="shared" si="519"/>
        <v>0</v>
      </c>
      <c r="AM756" s="585">
        <f t="shared" si="520"/>
        <v>0</v>
      </c>
      <c r="AN756" s="614"/>
      <c r="AO756" s="615"/>
      <c r="AP756" s="615"/>
      <c r="AQ756" s="616"/>
      <c r="AR756" s="612"/>
      <c r="AS756" s="617"/>
      <c r="AT756" s="618"/>
      <c r="AU756" s="618"/>
      <c r="AV756" s="618"/>
      <c r="AW756" s="619"/>
      <c r="AX756" s="614"/>
      <c r="AY756" s="616"/>
      <c r="AZ756" s="616"/>
      <c r="BA756" s="616"/>
      <c r="BB756" s="616"/>
      <c r="BC756" s="616"/>
      <c r="BD756" s="612"/>
      <c r="BE756" s="614"/>
      <c r="BF756" s="616"/>
      <c r="BG756" s="616"/>
      <c r="BH756" s="616"/>
      <c r="BI756" s="616"/>
      <c r="BJ756" s="616"/>
      <c r="BK756" s="1023"/>
      <c r="BL756" s="658"/>
    </row>
    <row r="757" spans="2:64">
      <c r="B757" s="1022"/>
      <c r="C757" s="607"/>
      <c r="D757" s="607"/>
      <c r="E757" s="1021"/>
      <c r="F757" s="1019">
        <v>754</v>
      </c>
      <c r="G757" s="609"/>
      <c r="H757" s="610"/>
      <c r="I757" s="611"/>
      <c r="J757" s="166">
        <f t="shared" si="491"/>
        <v>0</v>
      </c>
      <c r="K757" s="167">
        <f t="shared" si="492"/>
        <v>0</v>
      </c>
      <c r="L757" s="168">
        <f t="shared" si="493"/>
        <v>0</v>
      </c>
      <c r="M757" s="166">
        <f t="shared" si="494"/>
        <v>0</v>
      </c>
      <c r="N757" s="167">
        <f t="shared" si="495"/>
        <v>0</v>
      </c>
      <c r="O757" s="168">
        <f t="shared" si="496"/>
        <v>0</v>
      </c>
      <c r="P757" s="169">
        <f t="shared" si="497"/>
        <v>0</v>
      </c>
      <c r="Q757" s="169">
        <f t="shared" si="498"/>
        <v>0</v>
      </c>
      <c r="R757" s="169">
        <f t="shared" si="499"/>
        <v>0</v>
      </c>
      <c r="S757" s="584">
        <f t="shared" si="500"/>
        <v>0</v>
      </c>
      <c r="T757" s="594">
        <f t="shared" si="501"/>
        <v>0</v>
      </c>
      <c r="U757" s="595">
        <f t="shared" si="502"/>
        <v>0</v>
      </c>
      <c r="V757" s="166">
        <f t="shared" si="503"/>
        <v>0</v>
      </c>
      <c r="W757" s="167">
        <f t="shared" si="504"/>
        <v>0</v>
      </c>
      <c r="X757" s="168">
        <f t="shared" si="505"/>
        <v>0</v>
      </c>
      <c r="Y757" s="166">
        <f t="shared" si="506"/>
        <v>0</v>
      </c>
      <c r="Z757" s="167">
        <f t="shared" si="507"/>
        <v>0</v>
      </c>
      <c r="AA757" s="168">
        <f t="shared" si="508"/>
        <v>0</v>
      </c>
      <c r="AB757" s="166">
        <f t="shared" si="509"/>
        <v>0</v>
      </c>
      <c r="AC757" s="167">
        <f t="shared" si="510"/>
        <v>0</v>
      </c>
      <c r="AD757" s="168">
        <f t="shared" si="511"/>
        <v>0</v>
      </c>
      <c r="AE757" s="166">
        <f t="shared" si="512"/>
        <v>0</v>
      </c>
      <c r="AF757" s="167">
        <f t="shared" si="513"/>
        <v>0</v>
      </c>
      <c r="AG757" s="168">
        <f t="shared" si="514"/>
        <v>0</v>
      </c>
      <c r="AH757" s="166">
        <f t="shared" si="515"/>
        <v>0</v>
      </c>
      <c r="AI757" s="167">
        <f t="shared" si="516"/>
        <v>0</v>
      </c>
      <c r="AJ757" s="168">
        <f t="shared" si="517"/>
        <v>0</v>
      </c>
      <c r="AK757" s="169">
        <f t="shared" si="518"/>
        <v>0</v>
      </c>
      <c r="AL757" s="167">
        <f t="shared" si="519"/>
        <v>0</v>
      </c>
      <c r="AM757" s="585">
        <f t="shared" si="520"/>
        <v>0</v>
      </c>
      <c r="AN757" s="614"/>
      <c r="AO757" s="615"/>
      <c r="AP757" s="615"/>
      <c r="AQ757" s="616"/>
      <c r="AR757" s="612"/>
      <c r="AS757" s="617"/>
      <c r="AT757" s="618"/>
      <c r="AU757" s="618"/>
      <c r="AV757" s="618"/>
      <c r="AW757" s="619"/>
      <c r="AX757" s="614"/>
      <c r="AY757" s="616"/>
      <c r="AZ757" s="616"/>
      <c r="BA757" s="616"/>
      <c r="BB757" s="616"/>
      <c r="BC757" s="616"/>
      <c r="BD757" s="612"/>
      <c r="BE757" s="614"/>
      <c r="BF757" s="616"/>
      <c r="BG757" s="616"/>
      <c r="BH757" s="616"/>
      <c r="BI757" s="616"/>
      <c r="BJ757" s="616"/>
      <c r="BK757" s="1023"/>
      <c r="BL757" s="658"/>
    </row>
    <row r="758" spans="2:64">
      <c r="B758" s="1022"/>
      <c r="C758" s="607"/>
      <c r="D758" s="607"/>
      <c r="E758" s="1021"/>
      <c r="F758" s="608">
        <v>755</v>
      </c>
      <c r="G758" s="609"/>
      <c r="H758" s="610"/>
      <c r="I758" s="611"/>
      <c r="J758" s="166">
        <f t="shared" si="491"/>
        <v>0</v>
      </c>
      <c r="K758" s="167">
        <f t="shared" si="492"/>
        <v>0</v>
      </c>
      <c r="L758" s="168">
        <f t="shared" si="493"/>
        <v>0</v>
      </c>
      <c r="M758" s="166">
        <f t="shared" si="494"/>
        <v>0</v>
      </c>
      <c r="N758" s="167">
        <f t="shared" si="495"/>
        <v>0</v>
      </c>
      <c r="O758" s="168">
        <f t="shared" si="496"/>
        <v>0</v>
      </c>
      <c r="P758" s="169">
        <f t="shared" si="497"/>
        <v>0</v>
      </c>
      <c r="Q758" s="169">
        <f t="shared" si="498"/>
        <v>0</v>
      </c>
      <c r="R758" s="169">
        <f t="shared" si="499"/>
        <v>0</v>
      </c>
      <c r="S758" s="584">
        <f t="shared" si="500"/>
        <v>0</v>
      </c>
      <c r="T758" s="594">
        <f t="shared" si="501"/>
        <v>0</v>
      </c>
      <c r="U758" s="595">
        <f t="shared" si="502"/>
        <v>0</v>
      </c>
      <c r="V758" s="166">
        <f t="shared" si="503"/>
        <v>0</v>
      </c>
      <c r="W758" s="167">
        <f t="shared" si="504"/>
        <v>0</v>
      </c>
      <c r="X758" s="168">
        <f t="shared" si="505"/>
        <v>0</v>
      </c>
      <c r="Y758" s="166">
        <f t="shared" si="506"/>
        <v>0</v>
      </c>
      <c r="Z758" s="167">
        <f t="shared" si="507"/>
        <v>0</v>
      </c>
      <c r="AA758" s="168">
        <f t="shared" si="508"/>
        <v>0</v>
      </c>
      <c r="AB758" s="166">
        <f t="shared" si="509"/>
        <v>0</v>
      </c>
      <c r="AC758" s="167">
        <f t="shared" si="510"/>
        <v>0</v>
      </c>
      <c r="AD758" s="168">
        <f t="shared" si="511"/>
        <v>0</v>
      </c>
      <c r="AE758" s="166">
        <f t="shared" si="512"/>
        <v>0</v>
      </c>
      <c r="AF758" s="167">
        <f t="shared" si="513"/>
        <v>0</v>
      </c>
      <c r="AG758" s="168">
        <f t="shared" si="514"/>
        <v>0</v>
      </c>
      <c r="AH758" s="166">
        <f t="shared" si="515"/>
        <v>0</v>
      </c>
      <c r="AI758" s="167">
        <f t="shared" si="516"/>
        <v>0</v>
      </c>
      <c r="AJ758" s="168">
        <f t="shared" si="517"/>
        <v>0</v>
      </c>
      <c r="AK758" s="169">
        <f t="shared" si="518"/>
        <v>0</v>
      </c>
      <c r="AL758" s="167">
        <f t="shared" si="519"/>
        <v>0</v>
      </c>
      <c r="AM758" s="585">
        <f t="shared" si="520"/>
        <v>0</v>
      </c>
      <c r="AN758" s="614"/>
      <c r="AO758" s="615"/>
      <c r="AP758" s="615"/>
      <c r="AQ758" s="616"/>
      <c r="AR758" s="612"/>
      <c r="AS758" s="617"/>
      <c r="AT758" s="618"/>
      <c r="AU758" s="618"/>
      <c r="AV758" s="618"/>
      <c r="AW758" s="619"/>
      <c r="AX758" s="614"/>
      <c r="AY758" s="616"/>
      <c r="AZ758" s="616"/>
      <c r="BA758" s="616"/>
      <c r="BB758" s="616"/>
      <c r="BC758" s="616"/>
      <c r="BD758" s="612"/>
      <c r="BE758" s="614"/>
      <c r="BF758" s="616"/>
      <c r="BG758" s="616"/>
      <c r="BH758" s="616"/>
      <c r="BI758" s="616"/>
      <c r="BJ758" s="616"/>
      <c r="BK758" s="1023"/>
      <c r="BL758" s="658"/>
    </row>
    <row r="759" spans="2:64">
      <c r="B759" s="1022"/>
      <c r="C759" s="607"/>
      <c r="D759" s="607"/>
      <c r="E759" s="1021"/>
      <c r="F759" s="1019">
        <v>756</v>
      </c>
      <c r="G759" s="609"/>
      <c r="H759" s="610"/>
      <c r="I759" s="611"/>
      <c r="J759" s="166">
        <f t="shared" si="491"/>
        <v>0</v>
      </c>
      <c r="K759" s="167">
        <f t="shared" si="492"/>
        <v>0</v>
      </c>
      <c r="L759" s="168">
        <f t="shared" si="493"/>
        <v>0</v>
      </c>
      <c r="M759" s="166">
        <f t="shared" si="494"/>
        <v>0</v>
      </c>
      <c r="N759" s="167">
        <f t="shared" si="495"/>
        <v>0</v>
      </c>
      <c r="O759" s="168">
        <f t="shared" si="496"/>
        <v>0</v>
      </c>
      <c r="P759" s="169">
        <f t="shared" si="497"/>
        <v>0</v>
      </c>
      <c r="Q759" s="169">
        <f t="shared" si="498"/>
        <v>0</v>
      </c>
      <c r="R759" s="169">
        <f t="shared" si="499"/>
        <v>0</v>
      </c>
      <c r="S759" s="584">
        <f t="shared" si="500"/>
        <v>0</v>
      </c>
      <c r="T759" s="594">
        <f t="shared" si="501"/>
        <v>0</v>
      </c>
      <c r="U759" s="595">
        <f t="shared" si="502"/>
        <v>0</v>
      </c>
      <c r="V759" s="166">
        <f t="shared" si="503"/>
        <v>0</v>
      </c>
      <c r="W759" s="167">
        <f t="shared" si="504"/>
        <v>0</v>
      </c>
      <c r="X759" s="168">
        <f t="shared" si="505"/>
        <v>0</v>
      </c>
      <c r="Y759" s="166">
        <f t="shared" si="506"/>
        <v>0</v>
      </c>
      <c r="Z759" s="167">
        <f t="shared" si="507"/>
        <v>0</v>
      </c>
      <c r="AA759" s="168">
        <f t="shared" si="508"/>
        <v>0</v>
      </c>
      <c r="AB759" s="166">
        <f t="shared" si="509"/>
        <v>0</v>
      </c>
      <c r="AC759" s="167">
        <f t="shared" si="510"/>
        <v>0</v>
      </c>
      <c r="AD759" s="168">
        <f t="shared" si="511"/>
        <v>0</v>
      </c>
      <c r="AE759" s="166">
        <f t="shared" si="512"/>
        <v>0</v>
      </c>
      <c r="AF759" s="167">
        <f t="shared" si="513"/>
        <v>0</v>
      </c>
      <c r="AG759" s="168">
        <f t="shared" si="514"/>
        <v>0</v>
      </c>
      <c r="AH759" s="166">
        <f t="shared" si="515"/>
        <v>0</v>
      </c>
      <c r="AI759" s="167">
        <f t="shared" si="516"/>
        <v>0</v>
      </c>
      <c r="AJ759" s="168">
        <f t="shared" si="517"/>
        <v>0</v>
      </c>
      <c r="AK759" s="169">
        <f t="shared" si="518"/>
        <v>0</v>
      </c>
      <c r="AL759" s="167">
        <f t="shared" si="519"/>
        <v>0</v>
      </c>
      <c r="AM759" s="585">
        <f t="shared" si="520"/>
        <v>0</v>
      </c>
      <c r="AN759" s="614"/>
      <c r="AO759" s="615"/>
      <c r="AP759" s="615"/>
      <c r="AQ759" s="616"/>
      <c r="AR759" s="612"/>
      <c r="AS759" s="617"/>
      <c r="AT759" s="618"/>
      <c r="AU759" s="618"/>
      <c r="AV759" s="618"/>
      <c r="AW759" s="619"/>
      <c r="AX759" s="614"/>
      <c r="AY759" s="616"/>
      <c r="AZ759" s="616"/>
      <c r="BA759" s="616"/>
      <c r="BB759" s="616"/>
      <c r="BC759" s="616"/>
      <c r="BD759" s="612"/>
      <c r="BE759" s="614"/>
      <c r="BF759" s="616"/>
      <c r="BG759" s="616"/>
      <c r="BH759" s="616"/>
      <c r="BI759" s="616"/>
      <c r="BJ759" s="616"/>
      <c r="BK759" s="1023"/>
      <c r="BL759" s="658"/>
    </row>
    <row r="760" spans="2:64">
      <c r="B760" s="1022"/>
      <c r="C760" s="607"/>
      <c r="D760" s="607"/>
      <c r="E760" s="1021"/>
      <c r="F760" s="608">
        <v>757</v>
      </c>
      <c r="G760" s="609"/>
      <c r="H760" s="610"/>
      <c r="I760" s="611"/>
      <c r="J760" s="166">
        <f t="shared" si="491"/>
        <v>0</v>
      </c>
      <c r="K760" s="167">
        <f t="shared" si="492"/>
        <v>0</v>
      </c>
      <c r="L760" s="168">
        <f t="shared" si="493"/>
        <v>0</v>
      </c>
      <c r="M760" s="166">
        <f t="shared" si="494"/>
        <v>0</v>
      </c>
      <c r="N760" s="167">
        <f t="shared" si="495"/>
        <v>0</v>
      </c>
      <c r="O760" s="168">
        <f t="shared" si="496"/>
        <v>0</v>
      </c>
      <c r="P760" s="169">
        <f t="shared" si="497"/>
        <v>0</v>
      </c>
      <c r="Q760" s="169">
        <f t="shared" si="498"/>
        <v>0</v>
      </c>
      <c r="R760" s="169">
        <f t="shared" si="499"/>
        <v>0</v>
      </c>
      <c r="S760" s="584">
        <f t="shared" si="500"/>
        <v>0</v>
      </c>
      <c r="T760" s="594">
        <f t="shared" si="501"/>
        <v>0</v>
      </c>
      <c r="U760" s="595">
        <f t="shared" si="502"/>
        <v>0</v>
      </c>
      <c r="V760" s="166">
        <f t="shared" si="503"/>
        <v>0</v>
      </c>
      <c r="W760" s="167">
        <f t="shared" si="504"/>
        <v>0</v>
      </c>
      <c r="X760" s="168">
        <f t="shared" si="505"/>
        <v>0</v>
      </c>
      <c r="Y760" s="166">
        <f t="shared" si="506"/>
        <v>0</v>
      </c>
      <c r="Z760" s="167">
        <f t="shared" si="507"/>
        <v>0</v>
      </c>
      <c r="AA760" s="168">
        <f t="shared" si="508"/>
        <v>0</v>
      </c>
      <c r="AB760" s="166">
        <f t="shared" si="509"/>
        <v>0</v>
      </c>
      <c r="AC760" s="167">
        <f t="shared" si="510"/>
        <v>0</v>
      </c>
      <c r="AD760" s="168">
        <f t="shared" si="511"/>
        <v>0</v>
      </c>
      <c r="AE760" s="166">
        <f t="shared" si="512"/>
        <v>0</v>
      </c>
      <c r="AF760" s="167">
        <f t="shared" si="513"/>
        <v>0</v>
      </c>
      <c r="AG760" s="168">
        <f t="shared" si="514"/>
        <v>0</v>
      </c>
      <c r="AH760" s="166">
        <f t="shared" si="515"/>
        <v>0</v>
      </c>
      <c r="AI760" s="167">
        <f t="shared" si="516"/>
        <v>0</v>
      </c>
      <c r="AJ760" s="168">
        <f t="shared" si="517"/>
        <v>0</v>
      </c>
      <c r="AK760" s="169">
        <f t="shared" si="518"/>
        <v>0</v>
      </c>
      <c r="AL760" s="167">
        <f t="shared" si="519"/>
        <v>0</v>
      </c>
      <c r="AM760" s="585">
        <f t="shared" si="520"/>
        <v>0</v>
      </c>
      <c r="AN760" s="614"/>
      <c r="AO760" s="615"/>
      <c r="AP760" s="615"/>
      <c r="AQ760" s="616"/>
      <c r="AR760" s="612"/>
      <c r="AS760" s="617"/>
      <c r="AT760" s="618"/>
      <c r="AU760" s="618"/>
      <c r="AV760" s="618"/>
      <c r="AW760" s="619"/>
      <c r="AX760" s="614"/>
      <c r="AY760" s="616"/>
      <c r="AZ760" s="616"/>
      <c r="BA760" s="616"/>
      <c r="BB760" s="616"/>
      <c r="BC760" s="616"/>
      <c r="BD760" s="612"/>
      <c r="BE760" s="614"/>
      <c r="BF760" s="616"/>
      <c r="BG760" s="616"/>
      <c r="BH760" s="616"/>
      <c r="BI760" s="616"/>
      <c r="BJ760" s="616"/>
      <c r="BK760" s="1023"/>
      <c r="BL760" s="658"/>
    </row>
    <row r="761" spans="2:64">
      <c r="B761" s="1022"/>
      <c r="C761" s="607"/>
      <c r="D761" s="607"/>
      <c r="E761" s="1021"/>
      <c r="F761" s="1019">
        <v>758</v>
      </c>
      <c r="G761" s="609"/>
      <c r="H761" s="610"/>
      <c r="I761" s="611"/>
      <c r="J761" s="166">
        <f t="shared" si="491"/>
        <v>0</v>
      </c>
      <c r="K761" s="167">
        <f t="shared" si="492"/>
        <v>0</v>
      </c>
      <c r="L761" s="168">
        <f t="shared" si="493"/>
        <v>0</v>
      </c>
      <c r="M761" s="166">
        <f t="shared" si="494"/>
        <v>0</v>
      </c>
      <c r="N761" s="167">
        <f t="shared" si="495"/>
        <v>0</v>
      </c>
      <c r="O761" s="168">
        <f t="shared" si="496"/>
        <v>0</v>
      </c>
      <c r="P761" s="169">
        <f t="shared" si="497"/>
        <v>0</v>
      </c>
      <c r="Q761" s="169">
        <f t="shared" si="498"/>
        <v>0</v>
      </c>
      <c r="R761" s="169">
        <f t="shared" si="499"/>
        <v>0</v>
      </c>
      <c r="S761" s="584">
        <f t="shared" si="500"/>
        <v>0</v>
      </c>
      <c r="T761" s="594">
        <f t="shared" si="501"/>
        <v>0</v>
      </c>
      <c r="U761" s="595">
        <f t="shared" si="502"/>
        <v>0</v>
      </c>
      <c r="V761" s="166">
        <f t="shared" si="503"/>
        <v>0</v>
      </c>
      <c r="W761" s="167">
        <f t="shared" si="504"/>
        <v>0</v>
      </c>
      <c r="X761" s="168">
        <f t="shared" si="505"/>
        <v>0</v>
      </c>
      <c r="Y761" s="166">
        <f t="shared" si="506"/>
        <v>0</v>
      </c>
      <c r="Z761" s="167">
        <f t="shared" si="507"/>
        <v>0</v>
      </c>
      <c r="AA761" s="168">
        <f t="shared" si="508"/>
        <v>0</v>
      </c>
      <c r="AB761" s="166">
        <f t="shared" si="509"/>
        <v>0</v>
      </c>
      <c r="AC761" s="167">
        <f t="shared" si="510"/>
        <v>0</v>
      </c>
      <c r="AD761" s="168">
        <f t="shared" si="511"/>
        <v>0</v>
      </c>
      <c r="AE761" s="166">
        <f t="shared" si="512"/>
        <v>0</v>
      </c>
      <c r="AF761" s="167">
        <f t="shared" si="513"/>
        <v>0</v>
      </c>
      <c r="AG761" s="168">
        <f t="shared" si="514"/>
        <v>0</v>
      </c>
      <c r="AH761" s="166">
        <f t="shared" si="515"/>
        <v>0</v>
      </c>
      <c r="AI761" s="167">
        <f t="shared" si="516"/>
        <v>0</v>
      </c>
      <c r="AJ761" s="168">
        <f t="shared" si="517"/>
        <v>0</v>
      </c>
      <c r="AK761" s="169">
        <f t="shared" si="518"/>
        <v>0</v>
      </c>
      <c r="AL761" s="167">
        <f t="shared" si="519"/>
        <v>0</v>
      </c>
      <c r="AM761" s="585">
        <f t="shared" si="520"/>
        <v>0</v>
      </c>
      <c r="AN761" s="614"/>
      <c r="AO761" s="615"/>
      <c r="AP761" s="615"/>
      <c r="AQ761" s="616"/>
      <c r="AR761" s="612"/>
      <c r="AS761" s="617"/>
      <c r="AT761" s="618"/>
      <c r="AU761" s="618"/>
      <c r="AV761" s="618"/>
      <c r="AW761" s="619"/>
      <c r="AX761" s="614"/>
      <c r="AY761" s="616"/>
      <c r="AZ761" s="616"/>
      <c r="BA761" s="616"/>
      <c r="BB761" s="616"/>
      <c r="BC761" s="616"/>
      <c r="BD761" s="612"/>
      <c r="BE761" s="614"/>
      <c r="BF761" s="616"/>
      <c r="BG761" s="616"/>
      <c r="BH761" s="616"/>
      <c r="BI761" s="616"/>
      <c r="BJ761" s="616"/>
      <c r="BK761" s="1023"/>
      <c r="BL761" s="658"/>
    </row>
    <row r="762" spans="2:64">
      <c r="B762" s="1022"/>
      <c r="C762" s="607"/>
      <c r="D762" s="607"/>
      <c r="E762" s="1021"/>
      <c r="F762" s="608">
        <v>759</v>
      </c>
      <c r="G762" s="609"/>
      <c r="H762" s="610"/>
      <c r="I762" s="611"/>
      <c r="J762" s="166">
        <f t="shared" si="491"/>
        <v>0</v>
      </c>
      <c r="K762" s="167">
        <f t="shared" si="492"/>
        <v>0</v>
      </c>
      <c r="L762" s="168">
        <f t="shared" si="493"/>
        <v>0</v>
      </c>
      <c r="M762" s="166">
        <f t="shared" si="494"/>
        <v>0</v>
      </c>
      <c r="N762" s="167">
        <f t="shared" si="495"/>
        <v>0</v>
      </c>
      <c r="O762" s="168">
        <f t="shared" si="496"/>
        <v>0</v>
      </c>
      <c r="P762" s="169">
        <f t="shared" si="497"/>
        <v>0</v>
      </c>
      <c r="Q762" s="169">
        <f t="shared" si="498"/>
        <v>0</v>
      </c>
      <c r="R762" s="169">
        <f t="shared" si="499"/>
        <v>0</v>
      </c>
      <c r="S762" s="584">
        <f t="shared" si="500"/>
        <v>0</v>
      </c>
      <c r="T762" s="594">
        <f t="shared" si="501"/>
        <v>0</v>
      </c>
      <c r="U762" s="595">
        <f t="shared" si="502"/>
        <v>0</v>
      </c>
      <c r="V762" s="166">
        <f t="shared" si="503"/>
        <v>0</v>
      </c>
      <c r="W762" s="167">
        <f t="shared" si="504"/>
        <v>0</v>
      </c>
      <c r="X762" s="168">
        <f t="shared" si="505"/>
        <v>0</v>
      </c>
      <c r="Y762" s="166">
        <f t="shared" si="506"/>
        <v>0</v>
      </c>
      <c r="Z762" s="167">
        <f t="shared" si="507"/>
        <v>0</v>
      </c>
      <c r="AA762" s="168">
        <f t="shared" si="508"/>
        <v>0</v>
      </c>
      <c r="AB762" s="166">
        <f t="shared" si="509"/>
        <v>0</v>
      </c>
      <c r="AC762" s="167">
        <f t="shared" si="510"/>
        <v>0</v>
      </c>
      <c r="AD762" s="168">
        <f t="shared" si="511"/>
        <v>0</v>
      </c>
      <c r="AE762" s="166">
        <f t="shared" si="512"/>
        <v>0</v>
      </c>
      <c r="AF762" s="167">
        <f t="shared" si="513"/>
        <v>0</v>
      </c>
      <c r="AG762" s="168">
        <f t="shared" si="514"/>
        <v>0</v>
      </c>
      <c r="AH762" s="166">
        <f t="shared" si="515"/>
        <v>0</v>
      </c>
      <c r="AI762" s="167">
        <f t="shared" si="516"/>
        <v>0</v>
      </c>
      <c r="AJ762" s="168">
        <f t="shared" si="517"/>
        <v>0</v>
      </c>
      <c r="AK762" s="169">
        <f t="shared" si="518"/>
        <v>0</v>
      </c>
      <c r="AL762" s="167">
        <f t="shared" si="519"/>
        <v>0</v>
      </c>
      <c r="AM762" s="585">
        <f t="shared" si="520"/>
        <v>0</v>
      </c>
      <c r="AN762" s="614"/>
      <c r="AO762" s="615"/>
      <c r="AP762" s="615"/>
      <c r="AQ762" s="616"/>
      <c r="AR762" s="612"/>
      <c r="AS762" s="617"/>
      <c r="AT762" s="618"/>
      <c r="AU762" s="618"/>
      <c r="AV762" s="618"/>
      <c r="AW762" s="619"/>
      <c r="AX762" s="614"/>
      <c r="AY762" s="616"/>
      <c r="AZ762" s="616"/>
      <c r="BA762" s="616"/>
      <c r="BB762" s="616"/>
      <c r="BC762" s="616"/>
      <c r="BD762" s="612"/>
      <c r="BE762" s="614"/>
      <c r="BF762" s="616"/>
      <c r="BG762" s="616"/>
      <c r="BH762" s="616"/>
      <c r="BI762" s="616"/>
      <c r="BJ762" s="616"/>
      <c r="BK762" s="1023"/>
      <c r="BL762" s="658"/>
    </row>
    <row r="763" spans="2:64">
      <c r="B763" s="1022"/>
      <c r="C763" s="607"/>
      <c r="D763" s="607"/>
      <c r="E763" s="1021"/>
      <c r="F763" s="1019">
        <v>760</v>
      </c>
      <c r="G763" s="609"/>
      <c r="H763" s="610"/>
      <c r="I763" s="611"/>
      <c r="J763" s="166">
        <f t="shared" si="491"/>
        <v>0</v>
      </c>
      <c r="K763" s="167">
        <f t="shared" si="492"/>
        <v>0</v>
      </c>
      <c r="L763" s="168">
        <f t="shared" si="493"/>
        <v>0</v>
      </c>
      <c r="M763" s="166">
        <f t="shared" si="494"/>
        <v>0</v>
      </c>
      <c r="N763" s="167">
        <f t="shared" si="495"/>
        <v>0</v>
      </c>
      <c r="O763" s="168">
        <f t="shared" si="496"/>
        <v>0</v>
      </c>
      <c r="P763" s="169">
        <f t="shared" si="497"/>
        <v>0</v>
      </c>
      <c r="Q763" s="169">
        <f t="shared" si="498"/>
        <v>0</v>
      </c>
      <c r="R763" s="169">
        <f t="shared" si="499"/>
        <v>0</v>
      </c>
      <c r="S763" s="584">
        <f t="shared" si="500"/>
        <v>0</v>
      </c>
      <c r="T763" s="594">
        <f t="shared" si="501"/>
        <v>0</v>
      </c>
      <c r="U763" s="595">
        <f t="shared" si="502"/>
        <v>0</v>
      </c>
      <c r="V763" s="166">
        <f t="shared" si="503"/>
        <v>0</v>
      </c>
      <c r="W763" s="167">
        <f t="shared" si="504"/>
        <v>0</v>
      </c>
      <c r="X763" s="168">
        <f t="shared" si="505"/>
        <v>0</v>
      </c>
      <c r="Y763" s="166">
        <f t="shared" si="506"/>
        <v>0</v>
      </c>
      <c r="Z763" s="167">
        <f t="shared" si="507"/>
        <v>0</v>
      </c>
      <c r="AA763" s="168">
        <f t="shared" si="508"/>
        <v>0</v>
      </c>
      <c r="AB763" s="166">
        <f t="shared" si="509"/>
        <v>0</v>
      </c>
      <c r="AC763" s="167">
        <f t="shared" si="510"/>
        <v>0</v>
      </c>
      <c r="AD763" s="168">
        <f t="shared" si="511"/>
        <v>0</v>
      </c>
      <c r="AE763" s="166">
        <f t="shared" si="512"/>
        <v>0</v>
      </c>
      <c r="AF763" s="167">
        <f t="shared" si="513"/>
        <v>0</v>
      </c>
      <c r="AG763" s="168">
        <f t="shared" si="514"/>
        <v>0</v>
      </c>
      <c r="AH763" s="166">
        <f t="shared" si="515"/>
        <v>0</v>
      </c>
      <c r="AI763" s="167">
        <f t="shared" si="516"/>
        <v>0</v>
      </c>
      <c r="AJ763" s="168">
        <f t="shared" si="517"/>
        <v>0</v>
      </c>
      <c r="AK763" s="169">
        <f t="shared" si="518"/>
        <v>0</v>
      </c>
      <c r="AL763" s="167">
        <f t="shared" si="519"/>
        <v>0</v>
      </c>
      <c r="AM763" s="585">
        <f t="shared" si="520"/>
        <v>0</v>
      </c>
      <c r="AN763" s="614"/>
      <c r="AO763" s="615"/>
      <c r="AP763" s="615"/>
      <c r="AQ763" s="616"/>
      <c r="AR763" s="612"/>
      <c r="AS763" s="617"/>
      <c r="AT763" s="618"/>
      <c r="AU763" s="618"/>
      <c r="AV763" s="618"/>
      <c r="AW763" s="619"/>
      <c r="AX763" s="614"/>
      <c r="AY763" s="616"/>
      <c r="AZ763" s="616"/>
      <c r="BA763" s="616"/>
      <c r="BB763" s="616"/>
      <c r="BC763" s="616"/>
      <c r="BD763" s="612"/>
      <c r="BE763" s="614"/>
      <c r="BF763" s="616"/>
      <c r="BG763" s="616"/>
      <c r="BH763" s="616"/>
      <c r="BI763" s="616"/>
      <c r="BJ763" s="616"/>
      <c r="BK763" s="1023"/>
      <c r="BL763" s="658"/>
    </row>
    <row r="764" spans="2:64">
      <c r="B764" s="1022"/>
      <c r="C764" s="607"/>
      <c r="D764" s="607"/>
      <c r="E764" s="1021"/>
      <c r="F764" s="608">
        <v>761</v>
      </c>
      <c r="G764" s="609"/>
      <c r="H764" s="610"/>
      <c r="I764" s="611"/>
      <c r="J764" s="166">
        <f t="shared" si="491"/>
        <v>0</v>
      </c>
      <c r="K764" s="167">
        <f t="shared" si="492"/>
        <v>0</v>
      </c>
      <c r="L764" s="168">
        <f t="shared" si="493"/>
        <v>0</v>
      </c>
      <c r="M764" s="166">
        <f t="shared" si="494"/>
        <v>0</v>
      </c>
      <c r="N764" s="167">
        <f t="shared" si="495"/>
        <v>0</v>
      </c>
      <c r="O764" s="168">
        <f t="shared" si="496"/>
        <v>0</v>
      </c>
      <c r="P764" s="169">
        <f t="shared" si="497"/>
        <v>0</v>
      </c>
      <c r="Q764" s="169">
        <f t="shared" si="498"/>
        <v>0</v>
      </c>
      <c r="R764" s="169">
        <f t="shared" si="499"/>
        <v>0</v>
      </c>
      <c r="S764" s="584">
        <f t="shared" si="500"/>
        <v>0</v>
      </c>
      <c r="T764" s="594">
        <f t="shared" si="501"/>
        <v>0</v>
      </c>
      <c r="U764" s="595">
        <f t="shared" si="502"/>
        <v>0</v>
      </c>
      <c r="V764" s="166">
        <f t="shared" si="503"/>
        <v>0</v>
      </c>
      <c r="W764" s="167">
        <f t="shared" si="504"/>
        <v>0</v>
      </c>
      <c r="X764" s="168">
        <f t="shared" si="505"/>
        <v>0</v>
      </c>
      <c r="Y764" s="166">
        <f t="shared" si="506"/>
        <v>0</v>
      </c>
      <c r="Z764" s="167">
        <f t="shared" si="507"/>
        <v>0</v>
      </c>
      <c r="AA764" s="168">
        <f t="shared" si="508"/>
        <v>0</v>
      </c>
      <c r="AB764" s="166">
        <f t="shared" si="509"/>
        <v>0</v>
      </c>
      <c r="AC764" s="167">
        <f t="shared" si="510"/>
        <v>0</v>
      </c>
      <c r="AD764" s="168">
        <f t="shared" si="511"/>
        <v>0</v>
      </c>
      <c r="AE764" s="166">
        <f t="shared" si="512"/>
        <v>0</v>
      </c>
      <c r="AF764" s="167">
        <f t="shared" si="513"/>
        <v>0</v>
      </c>
      <c r="AG764" s="168">
        <f t="shared" si="514"/>
        <v>0</v>
      </c>
      <c r="AH764" s="166">
        <f t="shared" si="515"/>
        <v>0</v>
      </c>
      <c r="AI764" s="167">
        <f t="shared" si="516"/>
        <v>0</v>
      </c>
      <c r="AJ764" s="168">
        <f t="shared" si="517"/>
        <v>0</v>
      </c>
      <c r="AK764" s="169">
        <f t="shared" si="518"/>
        <v>0</v>
      </c>
      <c r="AL764" s="167">
        <f t="shared" si="519"/>
        <v>0</v>
      </c>
      <c r="AM764" s="585">
        <f t="shared" si="520"/>
        <v>0</v>
      </c>
      <c r="AN764" s="614"/>
      <c r="AO764" s="615"/>
      <c r="AP764" s="615"/>
      <c r="AQ764" s="616"/>
      <c r="AR764" s="612"/>
      <c r="AS764" s="617"/>
      <c r="AT764" s="618"/>
      <c r="AU764" s="618"/>
      <c r="AV764" s="618"/>
      <c r="AW764" s="619"/>
      <c r="AX764" s="614"/>
      <c r="AY764" s="616"/>
      <c r="AZ764" s="616"/>
      <c r="BA764" s="616"/>
      <c r="BB764" s="616"/>
      <c r="BC764" s="616"/>
      <c r="BD764" s="612"/>
      <c r="BE764" s="614"/>
      <c r="BF764" s="616"/>
      <c r="BG764" s="616"/>
      <c r="BH764" s="616"/>
      <c r="BI764" s="616"/>
      <c r="BJ764" s="616"/>
      <c r="BK764" s="1023"/>
      <c r="BL764" s="658"/>
    </row>
    <row r="765" spans="2:64">
      <c r="B765" s="1022"/>
      <c r="C765" s="607"/>
      <c r="D765" s="607"/>
      <c r="E765" s="1021"/>
      <c r="F765" s="1019">
        <v>762</v>
      </c>
      <c r="G765" s="609"/>
      <c r="H765" s="610"/>
      <c r="I765" s="611"/>
      <c r="J765" s="166">
        <f t="shared" si="491"/>
        <v>0</v>
      </c>
      <c r="K765" s="167">
        <f t="shared" si="492"/>
        <v>0</v>
      </c>
      <c r="L765" s="168">
        <f t="shared" si="493"/>
        <v>0</v>
      </c>
      <c r="M765" s="166">
        <f t="shared" si="494"/>
        <v>0</v>
      </c>
      <c r="N765" s="167">
        <f t="shared" si="495"/>
        <v>0</v>
      </c>
      <c r="O765" s="168">
        <f t="shared" si="496"/>
        <v>0</v>
      </c>
      <c r="P765" s="169">
        <f t="shared" si="497"/>
        <v>0</v>
      </c>
      <c r="Q765" s="169">
        <f t="shared" si="498"/>
        <v>0</v>
      </c>
      <c r="R765" s="169">
        <f t="shared" si="499"/>
        <v>0</v>
      </c>
      <c r="S765" s="584">
        <f t="shared" si="500"/>
        <v>0</v>
      </c>
      <c r="T765" s="594">
        <f t="shared" si="501"/>
        <v>0</v>
      </c>
      <c r="U765" s="595">
        <f t="shared" si="502"/>
        <v>0</v>
      </c>
      <c r="V765" s="166">
        <f t="shared" si="503"/>
        <v>0</v>
      </c>
      <c r="W765" s="167">
        <f t="shared" si="504"/>
        <v>0</v>
      </c>
      <c r="X765" s="168">
        <f t="shared" si="505"/>
        <v>0</v>
      </c>
      <c r="Y765" s="166">
        <f t="shared" si="506"/>
        <v>0</v>
      </c>
      <c r="Z765" s="167">
        <f t="shared" si="507"/>
        <v>0</v>
      </c>
      <c r="AA765" s="168">
        <f t="shared" si="508"/>
        <v>0</v>
      </c>
      <c r="AB765" s="166">
        <f t="shared" si="509"/>
        <v>0</v>
      </c>
      <c r="AC765" s="167">
        <f t="shared" si="510"/>
        <v>0</v>
      </c>
      <c r="AD765" s="168">
        <f t="shared" si="511"/>
        <v>0</v>
      </c>
      <c r="AE765" s="166">
        <f t="shared" si="512"/>
        <v>0</v>
      </c>
      <c r="AF765" s="167">
        <f t="shared" si="513"/>
        <v>0</v>
      </c>
      <c r="AG765" s="168">
        <f t="shared" si="514"/>
        <v>0</v>
      </c>
      <c r="AH765" s="166">
        <f t="shared" si="515"/>
        <v>0</v>
      </c>
      <c r="AI765" s="167">
        <f t="shared" si="516"/>
        <v>0</v>
      </c>
      <c r="AJ765" s="168">
        <f t="shared" si="517"/>
        <v>0</v>
      </c>
      <c r="AK765" s="169">
        <f t="shared" si="518"/>
        <v>0</v>
      </c>
      <c r="AL765" s="167">
        <f t="shared" si="519"/>
        <v>0</v>
      </c>
      <c r="AM765" s="585">
        <f t="shared" si="520"/>
        <v>0</v>
      </c>
      <c r="AN765" s="614"/>
      <c r="AO765" s="615"/>
      <c r="AP765" s="615"/>
      <c r="AQ765" s="616"/>
      <c r="AR765" s="612"/>
      <c r="AS765" s="617"/>
      <c r="AT765" s="618"/>
      <c r="AU765" s="618"/>
      <c r="AV765" s="618"/>
      <c r="AW765" s="619"/>
      <c r="AX765" s="614"/>
      <c r="AY765" s="616"/>
      <c r="AZ765" s="616"/>
      <c r="BA765" s="616"/>
      <c r="BB765" s="616"/>
      <c r="BC765" s="616"/>
      <c r="BD765" s="612"/>
      <c r="BE765" s="614"/>
      <c r="BF765" s="616"/>
      <c r="BG765" s="616"/>
      <c r="BH765" s="616"/>
      <c r="BI765" s="616"/>
      <c r="BJ765" s="616"/>
      <c r="BK765" s="1023"/>
      <c r="BL765" s="658"/>
    </row>
    <row r="766" spans="2:64">
      <c r="B766" s="1022"/>
      <c r="C766" s="607"/>
      <c r="D766" s="607"/>
      <c r="E766" s="1021"/>
      <c r="F766" s="608">
        <v>763</v>
      </c>
      <c r="G766" s="609"/>
      <c r="H766" s="610"/>
      <c r="I766" s="611"/>
      <c r="J766" s="166">
        <f t="shared" si="491"/>
        <v>0</v>
      </c>
      <c r="K766" s="167">
        <f t="shared" si="492"/>
        <v>0</v>
      </c>
      <c r="L766" s="168">
        <f t="shared" si="493"/>
        <v>0</v>
      </c>
      <c r="M766" s="166">
        <f t="shared" si="494"/>
        <v>0</v>
      </c>
      <c r="N766" s="167">
        <f t="shared" si="495"/>
        <v>0</v>
      </c>
      <c r="O766" s="168">
        <f t="shared" si="496"/>
        <v>0</v>
      </c>
      <c r="P766" s="169">
        <f t="shared" si="497"/>
        <v>0</v>
      </c>
      <c r="Q766" s="169">
        <f t="shared" si="498"/>
        <v>0</v>
      </c>
      <c r="R766" s="169">
        <f t="shared" si="499"/>
        <v>0</v>
      </c>
      <c r="S766" s="584">
        <f t="shared" si="500"/>
        <v>0</v>
      </c>
      <c r="T766" s="594">
        <f t="shared" si="501"/>
        <v>0</v>
      </c>
      <c r="U766" s="595">
        <f t="shared" si="502"/>
        <v>0</v>
      </c>
      <c r="V766" s="166">
        <f t="shared" si="503"/>
        <v>0</v>
      </c>
      <c r="W766" s="167">
        <f t="shared" si="504"/>
        <v>0</v>
      </c>
      <c r="X766" s="168">
        <f t="shared" si="505"/>
        <v>0</v>
      </c>
      <c r="Y766" s="166">
        <f t="shared" si="506"/>
        <v>0</v>
      </c>
      <c r="Z766" s="167">
        <f t="shared" si="507"/>
        <v>0</v>
      </c>
      <c r="AA766" s="168">
        <f t="shared" si="508"/>
        <v>0</v>
      </c>
      <c r="AB766" s="166">
        <f t="shared" si="509"/>
        <v>0</v>
      </c>
      <c r="AC766" s="167">
        <f t="shared" si="510"/>
        <v>0</v>
      </c>
      <c r="AD766" s="168">
        <f t="shared" si="511"/>
        <v>0</v>
      </c>
      <c r="AE766" s="166">
        <f t="shared" si="512"/>
        <v>0</v>
      </c>
      <c r="AF766" s="167">
        <f t="shared" si="513"/>
        <v>0</v>
      </c>
      <c r="AG766" s="168">
        <f t="shared" si="514"/>
        <v>0</v>
      </c>
      <c r="AH766" s="166">
        <f t="shared" si="515"/>
        <v>0</v>
      </c>
      <c r="AI766" s="167">
        <f t="shared" si="516"/>
        <v>0</v>
      </c>
      <c r="AJ766" s="168">
        <f t="shared" si="517"/>
        <v>0</v>
      </c>
      <c r="AK766" s="169">
        <f t="shared" si="518"/>
        <v>0</v>
      </c>
      <c r="AL766" s="167">
        <f t="shared" si="519"/>
        <v>0</v>
      </c>
      <c r="AM766" s="585">
        <f t="shared" si="520"/>
        <v>0</v>
      </c>
      <c r="AN766" s="614"/>
      <c r="AO766" s="615"/>
      <c r="AP766" s="615"/>
      <c r="AQ766" s="616"/>
      <c r="AR766" s="612"/>
      <c r="AS766" s="617"/>
      <c r="AT766" s="618"/>
      <c r="AU766" s="618"/>
      <c r="AV766" s="618"/>
      <c r="AW766" s="619"/>
      <c r="AX766" s="614"/>
      <c r="AY766" s="616"/>
      <c r="AZ766" s="616"/>
      <c r="BA766" s="616"/>
      <c r="BB766" s="616"/>
      <c r="BC766" s="616"/>
      <c r="BD766" s="612"/>
      <c r="BE766" s="614"/>
      <c r="BF766" s="616"/>
      <c r="BG766" s="616"/>
      <c r="BH766" s="616"/>
      <c r="BI766" s="616"/>
      <c r="BJ766" s="616"/>
      <c r="BK766" s="1023"/>
      <c r="BL766" s="658"/>
    </row>
    <row r="767" spans="2:64">
      <c r="B767" s="1022"/>
      <c r="C767" s="607"/>
      <c r="D767" s="607"/>
      <c r="E767" s="1021"/>
      <c r="F767" s="1019">
        <v>764</v>
      </c>
      <c r="G767" s="609"/>
      <c r="H767" s="610"/>
      <c r="I767" s="611"/>
      <c r="J767" s="166">
        <f t="shared" si="491"/>
        <v>0</v>
      </c>
      <c r="K767" s="167">
        <f t="shared" si="492"/>
        <v>0</v>
      </c>
      <c r="L767" s="168">
        <f t="shared" si="493"/>
        <v>0</v>
      </c>
      <c r="M767" s="166">
        <f t="shared" si="494"/>
        <v>0</v>
      </c>
      <c r="N767" s="167">
        <f t="shared" si="495"/>
        <v>0</v>
      </c>
      <c r="O767" s="168">
        <f t="shared" si="496"/>
        <v>0</v>
      </c>
      <c r="P767" s="169">
        <f t="shared" si="497"/>
        <v>0</v>
      </c>
      <c r="Q767" s="169">
        <f t="shared" si="498"/>
        <v>0</v>
      </c>
      <c r="R767" s="169">
        <f t="shared" si="499"/>
        <v>0</v>
      </c>
      <c r="S767" s="584">
        <f t="shared" si="500"/>
        <v>0</v>
      </c>
      <c r="T767" s="594">
        <f t="shared" si="501"/>
        <v>0</v>
      </c>
      <c r="U767" s="595">
        <f t="shared" si="502"/>
        <v>0</v>
      </c>
      <c r="V767" s="166">
        <f t="shared" si="503"/>
        <v>0</v>
      </c>
      <c r="W767" s="167">
        <f t="shared" si="504"/>
        <v>0</v>
      </c>
      <c r="X767" s="168">
        <f t="shared" si="505"/>
        <v>0</v>
      </c>
      <c r="Y767" s="166">
        <f t="shared" si="506"/>
        <v>0</v>
      </c>
      <c r="Z767" s="167">
        <f t="shared" si="507"/>
        <v>0</v>
      </c>
      <c r="AA767" s="168">
        <f t="shared" si="508"/>
        <v>0</v>
      </c>
      <c r="AB767" s="166">
        <f t="shared" si="509"/>
        <v>0</v>
      </c>
      <c r="AC767" s="167">
        <f t="shared" si="510"/>
        <v>0</v>
      </c>
      <c r="AD767" s="168">
        <f t="shared" si="511"/>
        <v>0</v>
      </c>
      <c r="AE767" s="166">
        <f t="shared" si="512"/>
        <v>0</v>
      </c>
      <c r="AF767" s="167">
        <f t="shared" si="513"/>
        <v>0</v>
      </c>
      <c r="AG767" s="168">
        <f t="shared" si="514"/>
        <v>0</v>
      </c>
      <c r="AH767" s="166">
        <f t="shared" si="515"/>
        <v>0</v>
      </c>
      <c r="AI767" s="167">
        <f t="shared" si="516"/>
        <v>0</v>
      </c>
      <c r="AJ767" s="168">
        <f t="shared" si="517"/>
        <v>0</v>
      </c>
      <c r="AK767" s="169">
        <f t="shared" si="518"/>
        <v>0</v>
      </c>
      <c r="AL767" s="167">
        <f t="shared" si="519"/>
        <v>0</v>
      </c>
      <c r="AM767" s="585">
        <f t="shared" si="520"/>
        <v>0</v>
      </c>
      <c r="AN767" s="614"/>
      <c r="AO767" s="615"/>
      <c r="AP767" s="615"/>
      <c r="AQ767" s="616"/>
      <c r="AR767" s="612"/>
      <c r="AS767" s="617"/>
      <c r="AT767" s="618"/>
      <c r="AU767" s="618"/>
      <c r="AV767" s="618"/>
      <c r="AW767" s="619"/>
      <c r="AX767" s="614"/>
      <c r="AY767" s="616"/>
      <c r="AZ767" s="616"/>
      <c r="BA767" s="616"/>
      <c r="BB767" s="616"/>
      <c r="BC767" s="616"/>
      <c r="BD767" s="612"/>
      <c r="BE767" s="614"/>
      <c r="BF767" s="616"/>
      <c r="BG767" s="616"/>
      <c r="BH767" s="616"/>
      <c r="BI767" s="616"/>
      <c r="BJ767" s="616"/>
      <c r="BK767" s="1023"/>
      <c r="BL767" s="658"/>
    </row>
    <row r="768" spans="2:64">
      <c r="B768" s="1022"/>
      <c r="C768" s="607"/>
      <c r="D768" s="607"/>
      <c r="E768" s="1021"/>
      <c r="F768" s="608">
        <v>765</v>
      </c>
      <c r="G768" s="609"/>
      <c r="H768" s="610"/>
      <c r="I768" s="611"/>
      <c r="J768" s="166">
        <f t="shared" si="491"/>
        <v>0</v>
      </c>
      <c r="K768" s="167">
        <f t="shared" si="492"/>
        <v>0</v>
      </c>
      <c r="L768" s="168">
        <f t="shared" si="493"/>
        <v>0</v>
      </c>
      <c r="M768" s="166">
        <f t="shared" si="494"/>
        <v>0</v>
      </c>
      <c r="N768" s="167">
        <f t="shared" si="495"/>
        <v>0</v>
      </c>
      <c r="O768" s="168">
        <f t="shared" si="496"/>
        <v>0</v>
      </c>
      <c r="P768" s="169">
        <f t="shared" si="497"/>
        <v>0</v>
      </c>
      <c r="Q768" s="169">
        <f t="shared" si="498"/>
        <v>0</v>
      </c>
      <c r="R768" s="169">
        <f t="shared" si="499"/>
        <v>0</v>
      </c>
      <c r="S768" s="584">
        <f t="shared" si="500"/>
        <v>0</v>
      </c>
      <c r="T768" s="594">
        <f t="shared" si="501"/>
        <v>0</v>
      </c>
      <c r="U768" s="595">
        <f t="shared" si="502"/>
        <v>0</v>
      </c>
      <c r="V768" s="166">
        <f t="shared" si="503"/>
        <v>0</v>
      </c>
      <c r="W768" s="167">
        <f t="shared" si="504"/>
        <v>0</v>
      </c>
      <c r="X768" s="168">
        <f t="shared" si="505"/>
        <v>0</v>
      </c>
      <c r="Y768" s="166">
        <f t="shared" si="506"/>
        <v>0</v>
      </c>
      <c r="Z768" s="167">
        <f t="shared" si="507"/>
        <v>0</v>
      </c>
      <c r="AA768" s="168">
        <f t="shared" si="508"/>
        <v>0</v>
      </c>
      <c r="AB768" s="166">
        <f t="shared" si="509"/>
        <v>0</v>
      </c>
      <c r="AC768" s="167">
        <f t="shared" si="510"/>
        <v>0</v>
      </c>
      <c r="AD768" s="168">
        <f t="shared" si="511"/>
        <v>0</v>
      </c>
      <c r="AE768" s="166">
        <f t="shared" si="512"/>
        <v>0</v>
      </c>
      <c r="AF768" s="167">
        <f t="shared" si="513"/>
        <v>0</v>
      </c>
      <c r="AG768" s="168">
        <f t="shared" si="514"/>
        <v>0</v>
      </c>
      <c r="AH768" s="166">
        <f t="shared" si="515"/>
        <v>0</v>
      </c>
      <c r="AI768" s="167">
        <f t="shared" si="516"/>
        <v>0</v>
      </c>
      <c r="AJ768" s="168">
        <f t="shared" si="517"/>
        <v>0</v>
      </c>
      <c r="AK768" s="169">
        <f t="shared" si="518"/>
        <v>0</v>
      </c>
      <c r="AL768" s="167">
        <f t="shared" si="519"/>
        <v>0</v>
      </c>
      <c r="AM768" s="585">
        <f t="shared" si="520"/>
        <v>0</v>
      </c>
      <c r="AN768" s="614"/>
      <c r="AO768" s="615"/>
      <c r="AP768" s="615"/>
      <c r="AQ768" s="616"/>
      <c r="AR768" s="612"/>
      <c r="AS768" s="617"/>
      <c r="AT768" s="618"/>
      <c r="AU768" s="618"/>
      <c r="AV768" s="618"/>
      <c r="AW768" s="619"/>
      <c r="AX768" s="614"/>
      <c r="AY768" s="616"/>
      <c r="AZ768" s="616"/>
      <c r="BA768" s="616"/>
      <c r="BB768" s="616"/>
      <c r="BC768" s="616"/>
      <c r="BD768" s="612"/>
      <c r="BE768" s="614"/>
      <c r="BF768" s="616"/>
      <c r="BG768" s="616"/>
      <c r="BH768" s="616"/>
      <c r="BI768" s="616"/>
      <c r="BJ768" s="616"/>
      <c r="BK768" s="1023"/>
      <c r="BL768" s="658"/>
    </row>
    <row r="769" spans="2:64">
      <c r="B769" s="1022"/>
      <c r="C769" s="607"/>
      <c r="D769" s="607"/>
      <c r="E769" s="1021"/>
      <c r="F769" s="1019">
        <v>766</v>
      </c>
      <c r="G769" s="609"/>
      <c r="H769" s="610"/>
      <c r="I769" s="611"/>
      <c r="J769" s="166">
        <f t="shared" si="491"/>
        <v>0</v>
      </c>
      <c r="K769" s="167">
        <f t="shared" si="492"/>
        <v>0</v>
      </c>
      <c r="L769" s="168">
        <f t="shared" si="493"/>
        <v>0</v>
      </c>
      <c r="M769" s="166">
        <f t="shared" si="494"/>
        <v>0</v>
      </c>
      <c r="N769" s="167">
        <f t="shared" si="495"/>
        <v>0</v>
      </c>
      <c r="O769" s="168">
        <f t="shared" si="496"/>
        <v>0</v>
      </c>
      <c r="P769" s="169">
        <f t="shared" si="497"/>
        <v>0</v>
      </c>
      <c r="Q769" s="169">
        <f t="shared" si="498"/>
        <v>0</v>
      </c>
      <c r="R769" s="169">
        <f t="shared" si="499"/>
        <v>0</v>
      </c>
      <c r="S769" s="584">
        <f t="shared" si="500"/>
        <v>0</v>
      </c>
      <c r="T769" s="594">
        <f t="shared" si="501"/>
        <v>0</v>
      </c>
      <c r="U769" s="595">
        <f t="shared" si="502"/>
        <v>0</v>
      </c>
      <c r="V769" s="166">
        <f t="shared" si="503"/>
        <v>0</v>
      </c>
      <c r="W769" s="167">
        <f t="shared" si="504"/>
        <v>0</v>
      </c>
      <c r="X769" s="168">
        <f t="shared" si="505"/>
        <v>0</v>
      </c>
      <c r="Y769" s="166">
        <f t="shared" si="506"/>
        <v>0</v>
      </c>
      <c r="Z769" s="167">
        <f t="shared" si="507"/>
        <v>0</v>
      </c>
      <c r="AA769" s="168">
        <f t="shared" si="508"/>
        <v>0</v>
      </c>
      <c r="AB769" s="166">
        <f t="shared" si="509"/>
        <v>0</v>
      </c>
      <c r="AC769" s="167">
        <f t="shared" si="510"/>
        <v>0</v>
      </c>
      <c r="AD769" s="168">
        <f t="shared" si="511"/>
        <v>0</v>
      </c>
      <c r="AE769" s="166">
        <f t="shared" si="512"/>
        <v>0</v>
      </c>
      <c r="AF769" s="167">
        <f t="shared" si="513"/>
        <v>0</v>
      </c>
      <c r="AG769" s="168">
        <f t="shared" si="514"/>
        <v>0</v>
      </c>
      <c r="AH769" s="166">
        <f t="shared" si="515"/>
        <v>0</v>
      </c>
      <c r="AI769" s="167">
        <f t="shared" si="516"/>
        <v>0</v>
      </c>
      <c r="AJ769" s="168">
        <f t="shared" si="517"/>
        <v>0</v>
      </c>
      <c r="AK769" s="169">
        <f t="shared" si="518"/>
        <v>0</v>
      </c>
      <c r="AL769" s="167">
        <f t="shared" si="519"/>
        <v>0</v>
      </c>
      <c r="AM769" s="585">
        <f t="shared" si="520"/>
        <v>0</v>
      </c>
      <c r="AN769" s="614"/>
      <c r="AO769" s="615"/>
      <c r="AP769" s="615"/>
      <c r="AQ769" s="616"/>
      <c r="AR769" s="612"/>
      <c r="AS769" s="617"/>
      <c r="AT769" s="618"/>
      <c r="AU769" s="618"/>
      <c r="AV769" s="618"/>
      <c r="AW769" s="619"/>
      <c r="AX769" s="614"/>
      <c r="AY769" s="616"/>
      <c r="AZ769" s="616"/>
      <c r="BA769" s="616"/>
      <c r="BB769" s="616"/>
      <c r="BC769" s="616"/>
      <c r="BD769" s="612"/>
      <c r="BE769" s="614"/>
      <c r="BF769" s="616"/>
      <c r="BG769" s="616"/>
      <c r="BH769" s="616"/>
      <c r="BI769" s="616"/>
      <c r="BJ769" s="616"/>
      <c r="BK769" s="1023"/>
      <c r="BL769" s="658"/>
    </row>
    <row r="770" spans="2:64">
      <c r="B770" s="1022"/>
      <c r="C770" s="607"/>
      <c r="D770" s="607"/>
      <c r="E770" s="1021"/>
      <c r="F770" s="608">
        <v>767</v>
      </c>
      <c r="G770" s="609"/>
      <c r="H770" s="610"/>
      <c r="I770" s="611"/>
      <c r="J770" s="166">
        <f t="shared" si="491"/>
        <v>0</v>
      </c>
      <c r="K770" s="167">
        <f t="shared" si="492"/>
        <v>0</v>
      </c>
      <c r="L770" s="168">
        <f t="shared" si="493"/>
        <v>0</v>
      </c>
      <c r="M770" s="166">
        <f t="shared" si="494"/>
        <v>0</v>
      </c>
      <c r="N770" s="167">
        <f t="shared" si="495"/>
        <v>0</v>
      </c>
      <c r="O770" s="168">
        <f t="shared" si="496"/>
        <v>0</v>
      </c>
      <c r="P770" s="169">
        <f t="shared" si="497"/>
        <v>0</v>
      </c>
      <c r="Q770" s="169">
        <f t="shared" si="498"/>
        <v>0</v>
      </c>
      <c r="R770" s="169">
        <f t="shared" si="499"/>
        <v>0</v>
      </c>
      <c r="S770" s="584">
        <f t="shared" si="500"/>
        <v>0</v>
      </c>
      <c r="T770" s="594">
        <f t="shared" si="501"/>
        <v>0</v>
      </c>
      <c r="U770" s="595">
        <f t="shared" si="502"/>
        <v>0</v>
      </c>
      <c r="V770" s="166">
        <f t="shared" si="503"/>
        <v>0</v>
      </c>
      <c r="W770" s="167">
        <f t="shared" si="504"/>
        <v>0</v>
      </c>
      <c r="X770" s="168">
        <f t="shared" si="505"/>
        <v>0</v>
      </c>
      <c r="Y770" s="166">
        <f t="shared" si="506"/>
        <v>0</v>
      </c>
      <c r="Z770" s="167">
        <f t="shared" si="507"/>
        <v>0</v>
      </c>
      <c r="AA770" s="168">
        <f t="shared" si="508"/>
        <v>0</v>
      </c>
      <c r="AB770" s="166">
        <f t="shared" si="509"/>
        <v>0</v>
      </c>
      <c r="AC770" s="167">
        <f t="shared" si="510"/>
        <v>0</v>
      </c>
      <c r="AD770" s="168">
        <f t="shared" si="511"/>
        <v>0</v>
      </c>
      <c r="AE770" s="166">
        <f t="shared" si="512"/>
        <v>0</v>
      </c>
      <c r="AF770" s="167">
        <f t="shared" si="513"/>
        <v>0</v>
      </c>
      <c r="AG770" s="168">
        <f t="shared" si="514"/>
        <v>0</v>
      </c>
      <c r="AH770" s="166">
        <f t="shared" si="515"/>
        <v>0</v>
      </c>
      <c r="AI770" s="167">
        <f t="shared" si="516"/>
        <v>0</v>
      </c>
      <c r="AJ770" s="168">
        <f t="shared" si="517"/>
        <v>0</v>
      </c>
      <c r="AK770" s="169">
        <f t="shared" si="518"/>
        <v>0</v>
      </c>
      <c r="AL770" s="167">
        <f t="shared" si="519"/>
        <v>0</v>
      </c>
      <c r="AM770" s="585">
        <f t="shared" si="520"/>
        <v>0</v>
      </c>
      <c r="AN770" s="614"/>
      <c r="AO770" s="615"/>
      <c r="AP770" s="615"/>
      <c r="AQ770" s="616"/>
      <c r="AR770" s="612"/>
      <c r="AS770" s="617"/>
      <c r="AT770" s="618"/>
      <c r="AU770" s="618"/>
      <c r="AV770" s="618"/>
      <c r="AW770" s="619"/>
      <c r="AX770" s="614"/>
      <c r="AY770" s="616"/>
      <c r="AZ770" s="616"/>
      <c r="BA770" s="616"/>
      <c r="BB770" s="616"/>
      <c r="BC770" s="616"/>
      <c r="BD770" s="612"/>
      <c r="BE770" s="614"/>
      <c r="BF770" s="616"/>
      <c r="BG770" s="616"/>
      <c r="BH770" s="616"/>
      <c r="BI770" s="616"/>
      <c r="BJ770" s="616"/>
      <c r="BK770" s="1023"/>
      <c r="BL770" s="658"/>
    </row>
    <row r="771" spans="2:64">
      <c r="B771" s="1022"/>
      <c r="C771" s="607"/>
      <c r="D771" s="607"/>
      <c r="E771" s="1021"/>
      <c r="F771" s="1019">
        <v>768</v>
      </c>
      <c r="G771" s="609"/>
      <c r="H771" s="610"/>
      <c r="I771" s="611"/>
      <c r="J771" s="166">
        <f t="shared" si="491"/>
        <v>0</v>
      </c>
      <c r="K771" s="167">
        <f t="shared" si="492"/>
        <v>0</v>
      </c>
      <c r="L771" s="168">
        <f t="shared" si="493"/>
        <v>0</v>
      </c>
      <c r="M771" s="166">
        <f t="shared" si="494"/>
        <v>0</v>
      </c>
      <c r="N771" s="167">
        <f t="shared" si="495"/>
        <v>0</v>
      </c>
      <c r="O771" s="168">
        <f t="shared" si="496"/>
        <v>0</v>
      </c>
      <c r="P771" s="169">
        <f t="shared" si="497"/>
        <v>0</v>
      </c>
      <c r="Q771" s="169">
        <f t="shared" si="498"/>
        <v>0</v>
      </c>
      <c r="R771" s="169">
        <f t="shared" si="499"/>
        <v>0</v>
      </c>
      <c r="S771" s="584">
        <f t="shared" si="500"/>
        <v>0</v>
      </c>
      <c r="T771" s="594">
        <f t="shared" si="501"/>
        <v>0</v>
      </c>
      <c r="U771" s="595">
        <f t="shared" si="502"/>
        <v>0</v>
      </c>
      <c r="V771" s="166">
        <f t="shared" si="503"/>
        <v>0</v>
      </c>
      <c r="W771" s="167">
        <f t="shared" si="504"/>
        <v>0</v>
      </c>
      <c r="X771" s="168">
        <f t="shared" si="505"/>
        <v>0</v>
      </c>
      <c r="Y771" s="166">
        <f t="shared" si="506"/>
        <v>0</v>
      </c>
      <c r="Z771" s="167">
        <f t="shared" si="507"/>
        <v>0</v>
      </c>
      <c r="AA771" s="168">
        <f t="shared" si="508"/>
        <v>0</v>
      </c>
      <c r="AB771" s="166">
        <f t="shared" si="509"/>
        <v>0</v>
      </c>
      <c r="AC771" s="167">
        <f t="shared" si="510"/>
        <v>0</v>
      </c>
      <c r="AD771" s="168">
        <f t="shared" si="511"/>
        <v>0</v>
      </c>
      <c r="AE771" s="166">
        <f t="shared" si="512"/>
        <v>0</v>
      </c>
      <c r="AF771" s="167">
        <f t="shared" si="513"/>
        <v>0</v>
      </c>
      <c r="AG771" s="168">
        <f t="shared" si="514"/>
        <v>0</v>
      </c>
      <c r="AH771" s="166">
        <f t="shared" si="515"/>
        <v>0</v>
      </c>
      <c r="AI771" s="167">
        <f t="shared" si="516"/>
        <v>0</v>
      </c>
      <c r="AJ771" s="168">
        <f t="shared" si="517"/>
        <v>0</v>
      </c>
      <c r="AK771" s="169">
        <f t="shared" si="518"/>
        <v>0</v>
      </c>
      <c r="AL771" s="167">
        <f t="shared" si="519"/>
        <v>0</v>
      </c>
      <c r="AM771" s="585">
        <f t="shared" si="520"/>
        <v>0</v>
      </c>
      <c r="AN771" s="614"/>
      <c r="AO771" s="615"/>
      <c r="AP771" s="615"/>
      <c r="AQ771" s="616"/>
      <c r="AR771" s="612"/>
      <c r="AS771" s="617"/>
      <c r="AT771" s="618"/>
      <c r="AU771" s="618"/>
      <c r="AV771" s="618"/>
      <c r="AW771" s="619"/>
      <c r="AX771" s="614"/>
      <c r="AY771" s="616"/>
      <c r="AZ771" s="616"/>
      <c r="BA771" s="616"/>
      <c r="BB771" s="616"/>
      <c r="BC771" s="616"/>
      <c r="BD771" s="612"/>
      <c r="BE771" s="614"/>
      <c r="BF771" s="616"/>
      <c r="BG771" s="616"/>
      <c r="BH771" s="616"/>
      <c r="BI771" s="616"/>
      <c r="BJ771" s="616"/>
      <c r="BK771" s="1023"/>
      <c r="BL771" s="658"/>
    </row>
    <row r="772" spans="2:64">
      <c r="B772" s="1022"/>
      <c r="C772" s="607"/>
      <c r="D772" s="607"/>
      <c r="E772" s="1021"/>
      <c r="F772" s="608">
        <v>769</v>
      </c>
      <c r="G772" s="609"/>
      <c r="H772" s="610"/>
      <c r="I772" s="611"/>
      <c r="J772" s="166">
        <f t="shared" ref="J772:J835" si="521">INT(G772/50+0.05)</f>
        <v>0</v>
      </c>
      <c r="K772" s="167">
        <f t="shared" ref="K772:K835" si="522">INT(H772/50+0.05)</f>
        <v>0</v>
      </c>
      <c r="L772" s="168">
        <f t="shared" ref="L772:L835" si="523">INT(I772/50+0.05)</f>
        <v>0</v>
      </c>
      <c r="M772" s="166">
        <f t="shared" ref="M772:M835" si="524">INT(IF($C772="UR",IF($E772="party卡",G772*0.0270833333333333,G772*0.025),0)+IF($C772="SR",G772*0.03,0)+IF($C772="R",G772*0.0375,0)+0.05)</f>
        <v>0</v>
      </c>
      <c r="N772" s="167">
        <f t="shared" ref="N772:N835" si="525">INT(IF($C772="UR",IF($E772="party卡",H772*0.0270833333333333,H772*0.025),0)+IF($C772="SR",H772*0.03,0)+IF($C772="R",H772*0.0375,0)+0.05)</f>
        <v>0</v>
      </c>
      <c r="O772" s="168">
        <f t="shared" ref="O772:O835" si="526">INT(IF($C772="UR",IF($E772="party卡",I772*0.0270833333333333,I772*0.025),0)+IF($C772="SR",I772*0.03,0)+IF($C772="R",I772*0.0375,0)+0.05)</f>
        <v>0</v>
      </c>
      <c r="P772" s="169">
        <f t="shared" ref="P772:P835" si="527">INT(IF($C772="UR",IF($E772="party卡",G772*0.04375,G772*0.0375),0)+IF($C772="SR",G772*0.04,0)+IF($C772="R",G772*0.05,0)+0.05)</f>
        <v>0</v>
      </c>
      <c r="Q772" s="169">
        <f t="shared" ref="Q772:Q835" si="528">INT(IF($C772="UR",IF($E772="party卡",H772*0.04375,H772*0.0375),0)+IF($C772="SR",H772*0.04,0)+IF($C772="R",H772*0.05,0)+0.05)</f>
        <v>0</v>
      </c>
      <c r="R772" s="169">
        <f t="shared" ref="R772:R835" si="529">INT(IF($C772="UR",IF($E772="party卡",I772*0.04375,I772*0.0375),0)+IF($C772="SR",I772*0.04,0)+IF($C772="R",I772*0.05,0)+0.05)</f>
        <v>0</v>
      </c>
      <c r="S772" s="584">
        <f t="shared" si="500"/>
        <v>0</v>
      </c>
      <c r="T772" s="594">
        <f t="shared" si="501"/>
        <v>0</v>
      </c>
      <c r="U772" s="595">
        <f t="shared" si="502"/>
        <v>0</v>
      </c>
      <c r="V772" s="166">
        <f t="shared" si="503"/>
        <v>0</v>
      </c>
      <c r="W772" s="167">
        <f t="shared" si="504"/>
        <v>0</v>
      </c>
      <c r="X772" s="168">
        <f t="shared" si="505"/>
        <v>0</v>
      </c>
      <c r="Y772" s="166">
        <f t="shared" si="506"/>
        <v>0</v>
      </c>
      <c r="Z772" s="167">
        <f t="shared" si="507"/>
        <v>0</v>
      </c>
      <c r="AA772" s="168">
        <f t="shared" si="508"/>
        <v>0</v>
      </c>
      <c r="AB772" s="166">
        <f t="shared" si="509"/>
        <v>0</v>
      </c>
      <c r="AC772" s="167">
        <f t="shared" si="510"/>
        <v>0</v>
      </c>
      <c r="AD772" s="168">
        <f t="shared" si="511"/>
        <v>0</v>
      </c>
      <c r="AE772" s="166">
        <f t="shared" si="512"/>
        <v>0</v>
      </c>
      <c r="AF772" s="167">
        <f t="shared" si="513"/>
        <v>0</v>
      </c>
      <c r="AG772" s="168">
        <f t="shared" si="514"/>
        <v>0</v>
      </c>
      <c r="AH772" s="166">
        <f t="shared" si="515"/>
        <v>0</v>
      </c>
      <c r="AI772" s="167">
        <f t="shared" si="516"/>
        <v>0</v>
      </c>
      <c r="AJ772" s="168">
        <f t="shared" si="517"/>
        <v>0</v>
      </c>
      <c r="AK772" s="169">
        <f t="shared" si="518"/>
        <v>0</v>
      </c>
      <c r="AL772" s="167">
        <f t="shared" si="519"/>
        <v>0</v>
      </c>
      <c r="AM772" s="585">
        <f t="shared" si="520"/>
        <v>0</v>
      </c>
      <c r="AN772" s="614"/>
      <c r="AO772" s="615"/>
      <c r="AP772" s="615"/>
      <c r="AQ772" s="616"/>
      <c r="AR772" s="612"/>
      <c r="AS772" s="617"/>
      <c r="AT772" s="618"/>
      <c r="AU772" s="618"/>
      <c r="AV772" s="618"/>
      <c r="AW772" s="619"/>
      <c r="AX772" s="614"/>
      <c r="AY772" s="616"/>
      <c r="AZ772" s="616"/>
      <c r="BA772" s="616"/>
      <c r="BB772" s="616"/>
      <c r="BC772" s="616"/>
      <c r="BD772" s="612"/>
      <c r="BE772" s="614"/>
      <c r="BF772" s="616"/>
      <c r="BG772" s="616"/>
      <c r="BH772" s="616"/>
      <c r="BI772" s="616"/>
      <c r="BJ772" s="616"/>
      <c r="BK772" s="1023"/>
      <c r="BL772" s="658"/>
    </row>
    <row r="773" spans="2:64">
      <c r="B773" s="1022"/>
      <c r="C773" s="607"/>
      <c r="D773" s="607"/>
      <c r="E773" s="1021"/>
      <c r="F773" s="1019">
        <v>770</v>
      </c>
      <c r="G773" s="609"/>
      <c r="H773" s="610"/>
      <c r="I773" s="611"/>
      <c r="J773" s="166">
        <f t="shared" si="521"/>
        <v>0</v>
      </c>
      <c r="K773" s="167">
        <f t="shared" si="522"/>
        <v>0</v>
      </c>
      <c r="L773" s="168">
        <f t="shared" si="523"/>
        <v>0</v>
      </c>
      <c r="M773" s="166">
        <f t="shared" si="524"/>
        <v>0</v>
      </c>
      <c r="N773" s="167">
        <f t="shared" si="525"/>
        <v>0</v>
      </c>
      <c r="O773" s="168">
        <f t="shared" si="526"/>
        <v>0</v>
      </c>
      <c r="P773" s="169">
        <f t="shared" si="527"/>
        <v>0</v>
      </c>
      <c r="Q773" s="169">
        <f t="shared" si="528"/>
        <v>0</v>
      </c>
      <c r="R773" s="169">
        <f t="shared" si="529"/>
        <v>0</v>
      </c>
      <c r="S773" s="584">
        <f t="shared" si="500"/>
        <v>0</v>
      </c>
      <c r="T773" s="594">
        <f t="shared" si="501"/>
        <v>0</v>
      </c>
      <c r="U773" s="595">
        <f t="shared" si="502"/>
        <v>0</v>
      </c>
      <c r="V773" s="166">
        <f t="shared" si="503"/>
        <v>0</v>
      </c>
      <c r="W773" s="167">
        <f t="shared" si="504"/>
        <v>0</v>
      </c>
      <c r="X773" s="168">
        <f t="shared" si="505"/>
        <v>0</v>
      </c>
      <c r="Y773" s="166">
        <f t="shared" si="506"/>
        <v>0</v>
      </c>
      <c r="Z773" s="167">
        <f t="shared" si="507"/>
        <v>0</v>
      </c>
      <c r="AA773" s="168">
        <f t="shared" si="508"/>
        <v>0</v>
      </c>
      <c r="AB773" s="166">
        <f t="shared" si="509"/>
        <v>0</v>
      </c>
      <c r="AC773" s="167">
        <f t="shared" si="510"/>
        <v>0</v>
      </c>
      <c r="AD773" s="168">
        <f t="shared" si="511"/>
        <v>0</v>
      </c>
      <c r="AE773" s="166">
        <f t="shared" si="512"/>
        <v>0</v>
      </c>
      <c r="AF773" s="167">
        <f t="shared" si="513"/>
        <v>0</v>
      </c>
      <c r="AG773" s="168">
        <f t="shared" si="514"/>
        <v>0</v>
      </c>
      <c r="AH773" s="166">
        <f t="shared" si="515"/>
        <v>0</v>
      </c>
      <c r="AI773" s="167">
        <f t="shared" si="516"/>
        <v>0</v>
      </c>
      <c r="AJ773" s="168">
        <f t="shared" si="517"/>
        <v>0</v>
      </c>
      <c r="AK773" s="169">
        <f t="shared" si="518"/>
        <v>0</v>
      </c>
      <c r="AL773" s="167">
        <f t="shared" si="519"/>
        <v>0</v>
      </c>
      <c r="AM773" s="585">
        <f t="shared" si="520"/>
        <v>0</v>
      </c>
      <c r="AN773" s="614"/>
      <c r="AO773" s="615"/>
      <c r="AP773" s="615"/>
      <c r="AQ773" s="616"/>
      <c r="AR773" s="612"/>
      <c r="AS773" s="617"/>
      <c r="AT773" s="618"/>
      <c r="AU773" s="618"/>
      <c r="AV773" s="618"/>
      <c r="AW773" s="619"/>
      <c r="AX773" s="614"/>
      <c r="AY773" s="616"/>
      <c r="AZ773" s="616"/>
      <c r="BA773" s="616"/>
      <c r="BB773" s="616"/>
      <c r="BC773" s="616"/>
      <c r="BD773" s="612"/>
      <c r="BE773" s="614"/>
      <c r="BF773" s="616"/>
      <c r="BG773" s="616"/>
      <c r="BH773" s="616"/>
      <c r="BI773" s="616"/>
      <c r="BJ773" s="616"/>
      <c r="BK773" s="1023"/>
      <c r="BL773" s="658"/>
    </row>
    <row r="774" spans="2:64">
      <c r="B774" s="1022"/>
      <c r="C774" s="607"/>
      <c r="D774" s="607"/>
      <c r="E774" s="1021"/>
      <c r="F774" s="608">
        <v>771</v>
      </c>
      <c r="G774" s="609"/>
      <c r="H774" s="610"/>
      <c r="I774" s="611"/>
      <c r="J774" s="166">
        <f t="shared" si="521"/>
        <v>0</v>
      </c>
      <c r="K774" s="167">
        <f t="shared" si="522"/>
        <v>0</v>
      </c>
      <c r="L774" s="168">
        <f t="shared" si="523"/>
        <v>0</v>
      </c>
      <c r="M774" s="166">
        <f t="shared" si="524"/>
        <v>0</v>
      </c>
      <c r="N774" s="167">
        <f t="shared" si="525"/>
        <v>0</v>
      </c>
      <c r="O774" s="168">
        <f t="shared" si="526"/>
        <v>0</v>
      </c>
      <c r="P774" s="169">
        <f t="shared" si="527"/>
        <v>0</v>
      </c>
      <c r="Q774" s="169">
        <f t="shared" si="528"/>
        <v>0</v>
      </c>
      <c r="R774" s="169">
        <f t="shared" si="529"/>
        <v>0</v>
      </c>
      <c r="S774" s="584">
        <f t="shared" si="500"/>
        <v>0</v>
      </c>
      <c r="T774" s="594">
        <f t="shared" si="501"/>
        <v>0</v>
      </c>
      <c r="U774" s="595">
        <f t="shared" si="502"/>
        <v>0</v>
      </c>
      <c r="V774" s="166">
        <f t="shared" si="503"/>
        <v>0</v>
      </c>
      <c r="W774" s="167">
        <f t="shared" si="504"/>
        <v>0</v>
      </c>
      <c r="X774" s="168">
        <f t="shared" si="505"/>
        <v>0</v>
      </c>
      <c r="Y774" s="166">
        <f t="shared" si="506"/>
        <v>0</v>
      </c>
      <c r="Z774" s="167">
        <f t="shared" si="507"/>
        <v>0</v>
      </c>
      <c r="AA774" s="168">
        <f t="shared" si="508"/>
        <v>0</v>
      </c>
      <c r="AB774" s="166">
        <f t="shared" si="509"/>
        <v>0</v>
      </c>
      <c r="AC774" s="167">
        <f t="shared" si="510"/>
        <v>0</v>
      </c>
      <c r="AD774" s="168">
        <f t="shared" si="511"/>
        <v>0</v>
      </c>
      <c r="AE774" s="166">
        <f t="shared" si="512"/>
        <v>0</v>
      </c>
      <c r="AF774" s="167">
        <f t="shared" si="513"/>
        <v>0</v>
      </c>
      <c r="AG774" s="168">
        <f t="shared" si="514"/>
        <v>0</v>
      </c>
      <c r="AH774" s="166">
        <f t="shared" si="515"/>
        <v>0</v>
      </c>
      <c r="AI774" s="167">
        <f t="shared" si="516"/>
        <v>0</v>
      </c>
      <c r="AJ774" s="168">
        <f t="shared" si="517"/>
        <v>0</v>
      </c>
      <c r="AK774" s="169">
        <f t="shared" si="518"/>
        <v>0</v>
      </c>
      <c r="AL774" s="167">
        <f t="shared" si="519"/>
        <v>0</v>
      </c>
      <c r="AM774" s="585">
        <f t="shared" si="520"/>
        <v>0</v>
      </c>
      <c r="AN774" s="614"/>
      <c r="AO774" s="615"/>
      <c r="AP774" s="615"/>
      <c r="AQ774" s="616"/>
      <c r="AR774" s="612"/>
      <c r="AS774" s="617"/>
      <c r="AT774" s="618"/>
      <c r="AU774" s="618"/>
      <c r="AV774" s="618"/>
      <c r="AW774" s="619"/>
      <c r="AX774" s="614"/>
      <c r="AY774" s="616"/>
      <c r="AZ774" s="616"/>
      <c r="BA774" s="616"/>
      <c r="BB774" s="616"/>
      <c r="BC774" s="616"/>
      <c r="BD774" s="612"/>
      <c r="BE774" s="614"/>
      <c r="BF774" s="616"/>
      <c r="BG774" s="616"/>
      <c r="BH774" s="616"/>
      <c r="BI774" s="616"/>
      <c r="BJ774" s="616"/>
      <c r="BK774" s="1023"/>
      <c r="BL774" s="658"/>
    </row>
    <row r="775" spans="2:64">
      <c r="B775" s="1022"/>
      <c r="C775" s="607"/>
      <c r="D775" s="607"/>
      <c r="E775" s="1021"/>
      <c r="F775" s="1019">
        <v>772</v>
      </c>
      <c r="G775" s="609"/>
      <c r="H775" s="610"/>
      <c r="I775" s="611"/>
      <c r="J775" s="166">
        <f t="shared" si="521"/>
        <v>0</v>
      </c>
      <c r="K775" s="167">
        <f t="shared" si="522"/>
        <v>0</v>
      </c>
      <c r="L775" s="168">
        <f t="shared" si="523"/>
        <v>0</v>
      </c>
      <c r="M775" s="166">
        <f t="shared" si="524"/>
        <v>0</v>
      </c>
      <c r="N775" s="167">
        <f t="shared" si="525"/>
        <v>0</v>
      </c>
      <c r="O775" s="168">
        <f t="shared" si="526"/>
        <v>0</v>
      </c>
      <c r="P775" s="169">
        <f t="shared" si="527"/>
        <v>0</v>
      </c>
      <c r="Q775" s="169">
        <f t="shared" si="528"/>
        <v>0</v>
      </c>
      <c r="R775" s="169">
        <f t="shared" si="529"/>
        <v>0</v>
      </c>
      <c r="S775" s="584">
        <f t="shared" si="500"/>
        <v>0</v>
      </c>
      <c r="T775" s="594">
        <f t="shared" si="501"/>
        <v>0</v>
      </c>
      <c r="U775" s="595">
        <f t="shared" si="502"/>
        <v>0</v>
      </c>
      <c r="V775" s="166">
        <f t="shared" si="503"/>
        <v>0</v>
      </c>
      <c r="W775" s="167">
        <f t="shared" si="504"/>
        <v>0</v>
      </c>
      <c r="X775" s="168">
        <f t="shared" si="505"/>
        <v>0</v>
      </c>
      <c r="Y775" s="166">
        <f t="shared" si="506"/>
        <v>0</v>
      </c>
      <c r="Z775" s="167">
        <f t="shared" si="507"/>
        <v>0</v>
      </c>
      <c r="AA775" s="168">
        <f t="shared" si="508"/>
        <v>0</v>
      </c>
      <c r="AB775" s="166">
        <f t="shared" si="509"/>
        <v>0</v>
      </c>
      <c r="AC775" s="167">
        <f t="shared" si="510"/>
        <v>0</v>
      </c>
      <c r="AD775" s="168">
        <f t="shared" si="511"/>
        <v>0</v>
      </c>
      <c r="AE775" s="166">
        <f t="shared" si="512"/>
        <v>0</v>
      </c>
      <c r="AF775" s="167">
        <f t="shared" si="513"/>
        <v>0</v>
      </c>
      <c r="AG775" s="168">
        <f t="shared" si="514"/>
        <v>0</v>
      </c>
      <c r="AH775" s="166">
        <f t="shared" si="515"/>
        <v>0</v>
      </c>
      <c r="AI775" s="167">
        <f t="shared" si="516"/>
        <v>0</v>
      </c>
      <c r="AJ775" s="168">
        <f t="shared" si="517"/>
        <v>0</v>
      </c>
      <c r="AK775" s="169">
        <f t="shared" si="518"/>
        <v>0</v>
      </c>
      <c r="AL775" s="167">
        <f t="shared" si="519"/>
        <v>0</v>
      </c>
      <c r="AM775" s="585">
        <f t="shared" si="520"/>
        <v>0</v>
      </c>
      <c r="AN775" s="614"/>
      <c r="AO775" s="615"/>
      <c r="AP775" s="615"/>
      <c r="AQ775" s="616"/>
      <c r="AR775" s="612"/>
      <c r="AS775" s="617"/>
      <c r="AT775" s="618"/>
      <c r="AU775" s="618"/>
      <c r="AV775" s="618"/>
      <c r="AW775" s="619"/>
      <c r="AX775" s="614"/>
      <c r="AY775" s="616"/>
      <c r="AZ775" s="616"/>
      <c r="BA775" s="616"/>
      <c r="BB775" s="616"/>
      <c r="BC775" s="616"/>
      <c r="BD775" s="612"/>
      <c r="BE775" s="614"/>
      <c r="BF775" s="616"/>
      <c r="BG775" s="616"/>
      <c r="BH775" s="616"/>
      <c r="BI775" s="616"/>
      <c r="BJ775" s="616"/>
      <c r="BK775" s="1023"/>
      <c r="BL775" s="658"/>
    </row>
    <row r="776" spans="2:64">
      <c r="B776" s="1022"/>
      <c r="C776" s="607"/>
      <c r="D776" s="607"/>
      <c r="E776" s="1021"/>
      <c r="F776" s="608">
        <v>773</v>
      </c>
      <c r="G776" s="609"/>
      <c r="H776" s="610"/>
      <c r="I776" s="611"/>
      <c r="J776" s="166">
        <f t="shared" si="521"/>
        <v>0</v>
      </c>
      <c r="K776" s="167">
        <f t="shared" si="522"/>
        <v>0</v>
      </c>
      <c r="L776" s="168">
        <f t="shared" si="523"/>
        <v>0</v>
      </c>
      <c r="M776" s="166">
        <f t="shared" si="524"/>
        <v>0</v>
      </c>
      <c r="N776" s="167">
        <f t="shared" si="525"/>
        <v>0</v>
      </c>
      <c r="O776" s="168">
        <f t="shared" si="526"/>
        <v>0</v>
      </c>
      <c r="P776" s="169">
        <f t="shared" si="527"/>
        <v>0</v>
      </c>
      <c r="Q776" s="169">
        <f t="shared" si="528"/>
        <v>0</v>
      </c>
      <c r="R776" s="169">
        <f t="shared" si="529"/>
        <v>0</v>
      </c>
      <c r="S776" s="584">
        <f t="shared" si="500"/>
        <v>0</v>
      </c>
      <c r="T776" s="594">
        <f t="shared" si="501"/>
        <v>0</v>
      </c>
      <c r="U776" s="595">
        <f t="shared" si="502"/>
        <v>0</v>
      </c>
      <c r="V776" s="166">
        <f t="shared" si="503"/>
        <v>0</v>
      </c>
      <c r="W776" s="167">
        <f t="shared" si="504"/>
        <v>0</v>
      </c>
      <c r="X776" s="168">
        <f t="shared" si="505"/>
        <v>0</v>
      </c>
      <c r="Y776" s="166">
        <f t="shared" si="506"/>
        <v>0</v>
      </c>
      <c r="Z776" s="167">
        <f t="shared" si="507"/>
        <v>0</v>
      </c>
      <c r="AA776" s="168">
        <f t="shared" si="508"/>
        <v>0</v>
      </c>
      <c r="AB776" s="166">
        <f t="shared" si="509"/>
        <v>0</v>
      </c>
      <c r="AC776" s="167">
        <f t="shared" si="510"/>
        <v>0</v>
      </c>
      <c r="AD776" s="168">
        <f t="shared" si="511"/>
        <v>0</v>
      </c>
      <c r="AE776" s="166">
        <f t="shared" si="512"/>
        <v>0</v>
      </c>
      <c r="AF776" s="167">
        <f t="shared" si="513"/>
        <v>0</v>
      </c>
      <c r="AG776" s="168">
        <f t="shared" si="514"/>
        <v>0</v>
      </c>
      <c r="AH776" s="166">
        <f t="shared" si="515"/>
        <v>0</v>
      </c>
      <c r="AI776" s="167">
        <f t="shared" si="516"/>
        <v>0</v>
      </c>
      <c r="AJ776" s="168">
        <f t="shared" si="517"/>
        <v>0</v>
      </c>
      <c r="AK776" s="169">
        <f t="shared" si="518"/>
        <v>0</v>
      </c>
      <c r="AL776" s="167">
        <f t="shared" si="519"/>
        <v>0</v>
      </c>
      <c r="AM776" s="585">
        <f t="shared" si="520"/>
        <v>0</v>
      </c>
      <c r="AN776" s="614"/>
      <c r="AO776" s="615"/>
      <c r="AP776" s="615"/>
      <c r="AQ776" s="616"/>
      <c r="AR776" s="612"/>
      <c r="AS776" s="617"/>
      <c r="AT776" s="618"/>
      <c r="AU776" s="618"/>
      <c r="AV776" s="618"/>
      <c r="AW776" s="619"/>
      <c r="AX776" s="614"/>
      <c r="AY776" s="616"/>
      <c r="AZ776" s="616"/>
      <c r="BA776" s="616"/>
      <c r="BB776" s="616"/>
      <c r="BC776" s="616"/>
      <c r="BD776" s="612"/>
      <c r="BE776" s="614"/>
      <c r="BF776" s="616"/>
      <c r="BG776" s="616"/>
      <c r="BH776" s="616"/>
      <c r="BI776" s="616"/>
      <c r="BJ776" s="616"/>
      <c r="BK776" s="1023"/>
      <c r="BL776" s="658"/>
    </row>
    <row r="777" spans="2:64">
      <c r="B777" s="1022"/>
      <c r="C777" s="607"/>
      <c r="D777" s="607"/>
      <c r="E777" s="1021"/>
      <c r="F777" s="1019">
        <v>774</v>
      </c>
      <c r="G777" s="609"/>
      <c r="H777" s="610"/>
      <c r="I777" s="611"/>
      <c r="J777" s="166">
        <f t="shared" si="521"/>
        <v>0</v>
      </c>
      <c r="K777" s="167">
        <f t="shared" si="522"/>
        <v>0</v>
      </c>
      <c r="L777" s="168">
        <f t="shared" si="523"/>
        <v>0</v>
      </c>
      <c r="M777" s="166">
        <f t="shared" si="524"/>
        <v>0</v>
      </c>
      <c r="N777" s="167">
        <f t="shared" si="525"/>
        <v>0</v>
      </c>
      <c r="O777" s="168">
        <f t="shared" si="526"/>
        <v>0</v>
      </c>
      <c r="P777" s="169">
        <f t="shared" si="527"/>
        <v>0</v>
      </c>
      <c r="Q777" s="169">
        <f t="shared" si="528"/>
        <v>0</v>
      </c>
      <c r="R777" s="169">
        <f t="shared" si="529"/>
        <v>0</v>
      </c>
      <c r="S777" s="584">
        <f t="shared" si="500"/>
        <v>0</v>
      </c>
      <c r="T777" s="594">
        <f t="shared" si="501"/>
        <v>0</v>
      </c>
      <c r="U777" s="595">
        <f t="shared" si="502"/>
        <v>0</v>
      </c>
      <c r="V777" s="166">
        <f t="shared" si="503"/>
        <v>0</v>
      </c>
      <c r="W777" s="167">
        <f t="shared" si="504"/>
        <v>0</v>
      </c>
      <c r="X777" s="168">
        <f t="shared" si="505"/>
        <v>0</v>
      </c>
      <c r="Y777" s="166">
        <f t="shared" si="506"/>
        <v>0</v>
      </c>
      <c r="Z777" s="167">
        <f t="shared" si="507"/>
        <v>0</v>
      </c>
      <c r="AA777" s="168">
        <f t="shared" si="508"/>
        <v>0</v>
      </c>
      <c r="AB777" s="166">
        <f t="shared" si="509"/>
        <v>0</v>
      </c>
      <c r="AC777" s="167">
        <f t="shared" si="510"/>
        <v>0</v>
      </c>
      <c r="AD777" s="168">
        <f t="shared" si="511"/>
        <v>0</v>
      </c>
      <c r="AE777" s="166">
        <f t="shared" si="512"/>
        <v>0</v>
      </c>
      <c r="AF777" s="167">
        <f t="shared" si="513"/>
        <v>0</v>
      </c>
      <c r="AG777" s="168">
        <f t="shared" si="514"/>
        <v>0</v>
      </c>
      <c r="AH777" s="166">
        <f t="shared" si="515"/>
        <v>0</v>
      </c>
      <c r="AI777" s="167">
        <f t="shared" si="516"/>
        <v>0</v>
      </c>
      <c r="AJ777" s="168">
        <f t="shared" si="517"/>
        <v>0</v>
      </c>
      <c r="AK777" s="169">
        <f t="shared" si="518"/>
        <v>0</v>
      </c>
      <c r="AL777" s="167">
        <f t="shared" si="519"/>
        <v>0</v>
      </c>
      <c r="AM777" s="585">
        <f t="shared" si="520"/>
        <v>0</v>
      </c>
      <c r="AN777" s="614"/>
      <c r="AO777" s="615"/>
      <c r="AP777" s="615"/>
      <c r="AQ777" s="616"/>
      <c r="AR777" s="612"/>
      <c r="AS777" s="617"/>
      <c r="AT777" s="618"/>
      <c r="AU777" s="618"/>
      <c r="AV777" s="618"/>
      <c r="AW777" s="619"/>
      <c r="AX777" s="614"/>
      <c r="AY777" s="616"/>
      <c r="AZ777" s="616"/>
      <c r="BA777" s="616"/>
      <c r="BB777" s="616"/>
      <c r="BC777" s="616"/>
      <c r="BD777" s="612"/>
      <c r="BE777" s="614"/>
      <c r="BF777" s="616"/>
      <c r="BG777" s="616"/>
      <c r="BH777" s="616"/>
      <c r="BI777" s="616"/>
      <c r="BJ777" s="616"/>
      <c r="BK777" s="1023"/>
      <c r="BL777" s="658"/>
    </row>
    <row r="778" spans="2:64">
      <c r="B778" s="1022"/>
      <c r="C778" s="607"/>
      <c r="D778" s="607"/>
      <c r="E778" s="1021"/>
      <c r="F778" s="608">
        <v>775</v>
      </c>
      <c r="G778" s="609"/>
      <c r="H778" s="610"/>
      <c r="I778" s="611"/>
      <c r="J778" s="166">
        <f t="shared" si="521"/>
        <v>0</v>
      </c>
      <c r="K778" s="167">
        <f t="shared" si="522"/>
        <v>0</v>
      </c>
      <c r="L778" s="168">
        <f t="shared" si="523"/>
        <v>0</v>
      </c>
      <c r="M778" s="166">
        <f t="shared" si="524"/>
        <v>0</v>
      </c>
      <c r="N778" s="167">
        <f t="shared" si="525"/>
        <v>0</v>
      </c>
      <c r="O778" s="168">
        <f t="shared" si="526"/>
        <v>0</v>
      </c>
      <c r="P778" s="169">
        <f t="shared" si="527"/>
        <v>0</v>
      </c>
      <c r="Q778" s="169">
        <f t="shared" si="528"/>
        <v>0</v>
      </c>
      <c r="R778" s="169">
        <f t="shared" si="529"/>
        <v>0</v>
      </c>
      <c r="S778" s="584">
        <f t="shared" si="500"/>
        <v>0</v>
      </c>
      <c r="T778" s="594">
        <f t="shared" si="501"/>
        <v>0</v>
      </c>
      <c r="U778" s="595">
        <f t="shared" si="502"/>
        <v>0</v>
      </c>
      <c r="V778" s="166">
        <f t="shared" si="503"/>
        <v>0</v>
      </c>
      <c r="W778" s="167">
        <f t="shared" si="504"/>
        <v>0</v>
      </c>
      <c r="X778" s="168">
        <f t="shared" si="505"/>
        <v>0</v>
      </c>
      <c r="Y778" s="166">
        <f t="shared" si="506"/>
        <v>0</v>
      </c>
      <c r="Z778" s="167">
        <f t="shared" si="507"/>
        <v>0</v>
      </c>
      <c r="AA778" s="168">
        <f t="shared" si="508"/>
        <v>0</v>
      </c>
      <c r="AB778" s="166">
        <f t="shared" si="509"/>
        <v>0</v>
      </c>
      <c r="AC778" s="167">
        <f t="shared" si="510"/>
        <v>0</v>
      </c>
      <c r="AD778" s="168">
        <f t="shared" si="511"/>
        <v>0</v>
      </c>
      <c r="AE778" s="166">
        <f t="shared" si="512"/>
        <v>0</v>
      </c>
      <c r="AF778" s="167">
        <f t="shared" si="513"/>
        <v>0</v>
      </c>
      <c r="AG778" s="168">
        <f t="shared" si="514"/>
        <v>0</v>
      </c>
      <c r="AH778" s="166">
        <f t="shared" si="515"/>
        <v>0</v>
      </c>
      <c r="AI778" s="167">
        <f t="shared" si="516"/>
        <v>0</v>
      </c>
      <c r="AJ778" s="168">
        <f t="shared" si="517"/>
        <v>0</v>
      </c>
      <c r="AK778" s="169">
        <f t="shared" si="518"/>
        <v>0</v>
      </c>
      <c r="AL778" s="167">
        <f t="shared" si="519"/>
        <v>0</v>
      </c>
      <c r="AM778" s="585">
        <f t="shared" si="520"/>
        <v>0</v>
      </c>
      <c r="AN778" s="614"/>
      <c r="AO778" s="615"/>
      <c r="AP778" s="615"/>
      <c r="AQ778" s="616"/>
      <c r="AR778" s="612"/>
      <c r="AS778" s="617"/>
      <c r="AT778" s="618"/>
      <c r="AU778" s="618"/>
      <c r="AV778" s="618"/>
      <c r="AW778" s="619"/>
      <c r="AX778" s="614"/>
      <c r="AY778" s="616"/>
      <c r="AZ778" s="616"/>
      <c r="BA778" s="616"/>
      <c r="BB778" s="616"/>
      <c r="BC778" s="616"/>
      <c r="BD778" s="612"/>
      <c r="BE778" s="614"/>
      <c r="BF778" s="616"/>
      <c r="BG778" s="616"/>
      <c r="BH778" s="616"/>
      <c r="BI778" s="616"/>
      <c r="BJ778" s="616"/>
      <c r="BK778" s="1023"/>
      <c r="BL778" s="658"/>
    </row>
    <row r="779" spans="2:64">
      <c r="B779" s="1022"/>
      <c r="C779" s="607"/>
      <c r="D779" s="607"/>
      <c r="E779" s="1021"/>
      <c r="F779" s="1019">
        <v>776</v>
      </c>
      <c r="G779" s="609"/>
      <c r="H779" s="610"/>
      <c r="I779" s="611"/>
      <c r="J779" s="166">
        <f t="shared" si="521"/>
        <v>0</v>
      </c>
      <c r="K779" s="167">
        <f t="shared" si="522"/>
        <v>0</v>
      </c>
      <c r="L779" s="168">
        <f t="shared" si="523"/>
        <v>0</v>
      </c>
      <c r="M779" s="166">
        <f t="shared" si="524"/>
        <v>0</v>
      </c>
      <c r="N779" s="167">
        <f t="shared" si="525"/>
        <v>0</v>
      </c>
      <c r="O779" s="168">
        <f t="shared" si="526"/>
        <v>0</v>
      </c>
      <c r="P779" s="169">
        <f t="shared" si="527"/>
        <v>0</v>
      </c>
      <c r="Q779" s="169">
        <f t="shared" si="528"/>
        <v>0</v>
      </c>
      <c r="R779" s="169">
        <f t="shared" si="529"/>
        <v>0</v>
      </c>
      <c r="S779" s="584">
        <f t="shared" si="500"/>
        <v>0</v>
      </c>
      <c r="T779" s="594">
        <f t="shared" si="501"/>
        <v>0</v>
      </c>
      <c r="U779" s="595">
        <f t="shared" si="502"/>
        <v>0</v>
      </c>
      <c r="V779" s="166">
        <f t="shared" si="503"/>
        <v>0</v>
      </c>
      <c r="W779" s="167">
        <f t="shared" si="504"/>
        <v>0</v>
      </c>
      <c r="X779" s="168">
        <f t="shared" si="505"/>
        <v>0</v>
      </c>
      <c r="Y779" s="166">
        <f t="shared" si="506"/>
        <v>0</v>
      </c>
      <c r="Z779" s="167">
        <f t="shared" si="507"/>
        <v>0</v>
      </c>
      <c r="AA779" s="168">
        <f t="shared" si="508"/>
        <v>0</v>
      </c>
      <c r="AB779" s="166">
        <f t="shared" si="509"/>
        <v>0</v>
      </c>
      <c r="AC779" s="167">
        <f t="shared" si="510"/>
        <v>0</v>
      </c>
      <c r="AD779" s="168">
        <f t="shared" si="511"/>
        <v>0</v>
      </c>
      <c r="AE779" s="166">
        <f t="shared" si="512"/>
        <v>0</v>
      </c>
      <c r="AF779" s="167">
        <f t="shared" si="513"/>
        <v>0</v>
      </c>
      <c r="AG779" s="168">
        <f t="shared" si="514"/>
        <v>0</v>
      </c>
      <c r="AH779" s="166">
        <f t="shared" si="515"/>
        <v>0</v>
      </c>
      <c r="AI779" s="167">
        <f t="shared" si="516"/>
        <v>0</v>
      </c>
      <c r="AJ779" s="168">
        <f t="shared" si="517"/>
        <v>0</v>
      </c>
      <c r="AK779" s="169">
        <f t="shared" si="518"/>
        <v>0</v>
      </c>
      <c r="AL779" s="167">
        <f t="shared" si="519"/>
        <v>0</v>
      </c>
      <c r="AM779" s="585">
        <f t="shared" si="520"/>
        <v>0</v>
      </c>
      <c r="AN779" s="614"/>
      <c r="AO779" s="615"/>
      <c r="AP779" s="615"/>
      <c r="AQ779" s="616"/>
      <c r="AR779" s="612"/>
      <c r="AS779" s="617"/>
      <c r="AT779" s="618"/>
      <c r="AU779" s="618"/>
      <c r="AV779" s="618"/>
      <c r="AW779" s="619"/>
      <c r="AX779" s="614"/>
      <c r="AY779" s="616"/>
      <c r="AZ779" s="616"/>
      <c r="BA779" s="616"/>
      <c r="BB779" s="616"/>
      <c r="BC779" s="616"/>
      <c r="BD779" s="612"/>
      <c r="BE779" s="614"/>
      <c r="BF779" s="616"/>
      <c r="BG779" s="616"/>
      <c r="BH779" s="616"/>
      <c r="BI779" s="616"/>
      <c r="BJ779" s="616"/>
      <c r="BK779" s="1023"/>
      <c r="BL779" s="658"/>
    </row>
    <row r="780" spans="2:64">
      <c r="B780" s="1022"/>
      <c r="C780" s="607"/>
      <c r="D780" s="607"/>
      <c r="E780" s="1021"/>
      <c r="F780" s="608">
        <v>777</v>
      </c>
      <c r="G780" s="609"/>
      <c r="H780" s="610"/>
      <c r="I780" s="611"/>
      <c r="J780" s="166">
        <f t="shared" si="521"/>
        <v>0</v>
      </c>
      <c r="K780" s="167">
        <f t="shared" si="522"/>
        <v>0</v>
      </c>
      <c r="L780" s="168">
        <f t="shared" si="523"/>
        <v>0</v>
      </c>
      <c r="M780" s="166">
        <f t="shared" si="524"/>
        <v>0</v>
      </c>
      <c r="N780" s="167">
        <f t="shared" si="525"/>
        <v>0</v>
      </c>
      <c r="O780" s="168">
        <f t="shared" si="526"/>
        <v>0</v>
      </c>
      <c r="P780" s="169">
        <f t="shared" si="527"/>
        <v>0</v>
      </c>
      <c r="Q780" s="169">
        <f t="shared" si="528"/>
        <v>0</v>
      </c>
      <c r="R780" s="169">
        <f t="shared" si="529"/>
        <v>0</v>
      </c>
      <c r="S780" s="584">
        <f t="shared" si="500"/>
        <v>0</v>
      </c>
      <c r="T780" s="594">
        <f t="shared" si="501"/>
        <v>0</v>
      </c>
      <c r="U780" s="595">
        <f t="shared" si="502"/>
        <v>0</v>
      </c>
      <c r="V780" s="166">
        <f t="shared" si="503"/>
        <v>0</v>
      </c>
      <c r="W780" s="167">
        <f t="shared" si="504"/>
        <v>0</v>
      </c>
      <c r="X780" s="168">
        <f t="shared" si="505"/>
        <v>0</v>
      </c>
      <c r="Y780" s="166">
        <f t="shared" si="506"/>
        <v>0</v>
      </c>
      <c r="Z780" s="167">
        <f t="shared" si="507"/>
        <v>0</v>
      </c>
      <c r="AA780" s="168">
        <f t="shared" si="508"/>
        <v>0</v>
      </c>
      <c r="AB780" s="166">
        <f t="shared" si="509"/>
        <v>0</v>
      </c>
      <c r="AC780" s="167">
        <f t="shared" si="510"/>
        <v>0</v>
      </c>
      <c r="AD780" s="168">
        <f t="shared" si="511"/>
        <v>0</v>
      </c>
      <c r="AE780" s="166">
        <f t="shared" si="512"/>
        <v>0</v>
      </c>
      <c r="AF780" s="167">
        <f t="shared" si="513"/>
        <v>0</v>
      </c>
      <c r="AG780" s="168">
        <f t="shared" si="514"/>
        <v>0</v>
      </c>
      <c r="AH780" s="166">
        <f t="shared" si="515"/>
        <v>0</v>
      </c>
      <c r="AI780" s="167">
        <f t="shared" si="516"/>
        <v>0</v>
      </c>
      <c r="AJ780" s="168">
        <f t="shared" si="517"/>
        <v>0</v>
      </c>
      <c r="AK780" s="169">
        <f t="shared" si="518"/>
        <v>0</v>
      </c>
      <c r="AL780" s="167">
        <f t="shared" si="519"/>
        <v>0</v>
      </c>
      <c r="AM780" s="585">
        <f t="shared" si="520"/>
        <v>0</v>
      </c>
      <c r="AN780" s="614"/>
      <c r="AO780" s="615"/>
      <c r="AP780" s="615"/>
      <c r="AQ780" s="616"/>
      <c r="AR780" s="612"/>
      <c r="AS780" s="617"/>
      <c r="AT780" s="618"/>
      <c r="AU780" s="618"/>
      <c r="AV780" s="618"/>
      <c r="AW780" s="619"/>
      <c r="AX780" s="614"/>
      <c r="AY780" s="616"/>
      <c r="AZ780" s="616"/>
      <c r="BA780" s="616"/>
      <c r="BB780" s="616"/>
      <c r="BC780" s="616"/>
      <c r="BD780" s="612"/>
      <c r="BE780" s="614"/>
      <c r="BF780" s="616"/>
      <c r="BG780" s="616"/>
      <c r="BH780" s="616"/>
      <c r="BI780" s="616"/>
      <c r="BJ780" s="616"/>
      <c r="BK780" s="1023"/>
      <c r="BL780" s="658"/>
    </row>
    <row r="781" spans="2:64">
      <c r="B781" s="1022"/>
      <c r="C781" s="607"/>
      <c r="D781" s="607"/>
      <c r="E781" s="1021"/>
      <c r="F781" s="1019">
        <v>778</v>
      </c>
      <c r="G781" s="609"/>
      <c r="H781" s="610"/>
      <c r="I781" s="611"/>
      <c r="J781" s="166">
        <f t="shared" si="521"/>
        <v>0</v>
      </c>
      <c r="K781" s="167">
        <f t="shared" si="522"/>
        <v>0</v>
      </c>
      <c r="L781" s="168">
        <f t="shared" si="523"/>
        <v>0</v>
      </c>
      <c r="M781" s="166">
        <f t="shared" si="524"/>
        <v>0</v>
      </c>
      <c r="N781" s="167">
        <f t="shared" si="525"/>
        <v>0</v>
      </c>
      <c r="O781" s="168">
        <f t="shared" si="526"/>
        <v>0</v>
      </c>
      <c r="P781" s="169">
        <f t="shared" si="527"/>
        <v>0</v>
      </c>
      <c r="Q781" s="169">
        <f t="shared" si="528"/>
        <v>0</v>
      </c>
      <c r="R781" s="169">
        <f t="shared" si="529"/>
        <v>0</v>
      </c>
      <c r="S781" s="584">
        <f t="shared" si="500"/>
        <v>0</v>
      </c>
      <c r="T781" s="594">
        <f t="shared" si="501"/>
        <v>0</v>
      </c>
      <c r="U781" s="595">
        <f t="shared" si="502"/>
        <v>0</v>
      </c>
      <c r="V781" s="166">
        <f t="shared" si="503"/>
        <v>0</v>
      </c>
      <c r="W781" s="167">
        <f t="shared" si="504"/>
        <v>0</v>
      </c>
      <c r="X781" s="168">
        <f t="shared" si="505"/>
        <v>0</v>
      </c>
      <c r="Y781" s="166">
        <f t="shared" si="506"/>
        <v>0</v>
      </c>
      <c r="Z781" s="167">
        <f t="shared" si="507"/>
        <v>0</v>
      </c>
      <c r="AA781" s="168">
        <f t="shared" si="508"/>
        <v>0</v>
      </c>
      <c r="AB781" s="166">
        <f t="shared" si="509"/>
        <v>0</v>
      </c>
      <c r="AC781" s="167">
        <f t="shared" si="510"/>
        <v>0</v>
      </c>
      <c r="AD781" s="168">
        <f t="shared" si="511"/>
        <v>0</v>
      </c>
      <c r="AE781" s="166">
        <f t="shared" si="512"/>
        <v>0</v>
      </c>
      <c r="AF781" s="167">
        <f t="shared" si="513"/>
        <v>0</v>
      </c>
      <c r="AG781" s="168">
        <f t="shared" si="514"/>
        <v>0</v>
      </c>
      <c r="AH781" s="166">
        <f t="shared" si="515"/>
        <v>0</v>
      </c>
      <c r="AI781" s="167">
        <f t="shared" si="516"/>
        <v>0</v>
      </c>
      <c r="AJ781" s="168">
        <f t="shared" si="517"/>
        <v>0</v>
      </c>
      <c r="AK781" s="169">
        <f t="shared" si="518"/>
        <v>0</v>
      </c>
      <c r="AL781" s="167">
        <f t="shared" si="519"/>
        <v>0</v>
      </c>
      <c r="AM781" s="585">
        <f t="shared" si="520"/>
        <v>0</v>
      </c>
      <c r="AN781" s="614"/>
      <c r="AO781" s="615"/>
      <c r="AP781" s="615"/>
      <c r="AQ781" s="616"/>
      <c r="AR781" s="612"/>
      <c r="AS781" s="617"/>
      <c r="AT781" s="618"/>
      <c r="AU781" s="618"/>
      <c r="AV781" s="618"/>
      <c r="AW781" s="619"/>
      <c r="AX781" s="614"/>
      <c r="AY781" s="616"/>
      <c r="AZ781" s="616"/>
      <c r="BA781" s="616"/>
      <c r="BB781" s="616"/>
      <c r="BC781" s="616"/>
      <c r="BD781" s="612"/>
      <c r="BE781" s="614"/>
      <c r="BF781" s="616"/>
      <c r="BG781" s="616"/>
      <c r="BH781" s="616"/>
      <c r="BI781" s="616"/>
      <c r="BJ781" s="616"/>
      <c r="BK781" s="1023"/>
      <c r="BL781" s="658"/>
    </row>
    <row r="782" spans="2:64">
      <c r="B782" s="1022"/>
      <c r="C782" s="607"/>
      <c r="D782" s="607"/>
      <c r="E782" s="1021"/>
      <c r="F782" s="608">
        <v>779</v>
      </c>
      <c r="G782" s="609"/>
      <c r="H782" s="610"/>
      <c r="I782" s="611"/>
      <c r="J782" s="166">
        <f t="shared" si="521"/>
        <v>0</v>
      </c>
      <c r="K782" s="167">
        <f t="shared" si="522"/>
        <v>0</v>
      </c>
      <c r="L782" s="168">
        <f t="shared" si="523"/>
        <v>0</v>
      </c>
      <c r="M782" s="166">
        <f t="shared" si="524"/>
        <v>0</v>
      </c>
      <c r="N782" s="167">
        <f t="shared" si="525"/>
        <v>0</v>
      </c>
      <c r="O782" s="168">
        <f t="shared" si="526"/>
        <v>0</v>
      </c>
      <c r="P782" s="169">
        <f t="shared" si="527"/>
        <v>0</v>
      </c>
      <c r="Q782" s="169">
        <f t="shared" si="528"/>
        <v>0</v>
      </c>
      <c r="R782" s="169">
        <f t="shared" si="529"/>
        <v>0</v>
      </c>
      <c r="S782" s="584">
        <f t="shared" si="500"/>
        <v>0</v>
      </c>
      <c r="T782" s="594">
        <f t="shared" si="501"/>
        <v>0</v>
      </c>
      <c r="U782" s="595">
        <f t="shared" si="502"/>
        <v>0</v>
      </c>
      <c r="V782" s="166">
        <f t="shared" si="503"/>
        <v>0</v>
      </c>
      <c r="W782" s="167">
        <f t="shared" si="504"/>
        <v>0</v>
      </c>
      <c r="X782" s="168">
        <f t="shared" si="505"/>
        <v>0</v>
      </c>
      <c r="Y782" s="166">
        <f t="shared" si="506"/>
        <v>0</v>
      </c>
      <c r="Z782" s="167">
        <f t="shared" si="507"/>
        <v>0</v>
      </c>
      <c r="AA782" s="168">
        <f t="shared" si="508"/>
        <v>0</v>
      </c>
      <c r="AB782" s="166">
        <f t="shared" si="509"/>
        <v>0</v>
      </c>
      <c r="AC782" s="167">
        <f t="shared" si="510"/>
        <v>0</v>
      </c>
      <c r="AD782" s="168">
        <f t="shared" si="511"/>
        <v>0</v>
      </c>
      <c r="AE782" s="166">
        <f t="shared" si="512"/>
        <v>0</v>
      </c>
      <c r="AF782" s="167">
        <f t="shared" si="513"/>
        <v>0</v>
      </c>
      <c r="AG782" s="168">
        <f t="shared" si="514"/>
        <v>0</v>
      </c>
      <c r="AH782" s="166">
        <f t="shared" si="515"/>
        <v>0</v>
      </c>
      <c r="AI782" s="167">
        <f t="shared" si="516"/>
        <v>0</v>
      </c>
      <c r="AJ782" s="168">
        <f t="shared" si="517"/>
        <v>0</v>
      </c>
      <c r="AK782" s="169">
        <f t="shared" si="518"/>
        <v>0</v>
      </c>
      <c r="AL782" s="167">
        <f t="shared" si="519"/>
        <v>0</v>
      </c>
      <c r="AM782" s="585">
        <f t="shared" si="520"/>
        <v>0</v>
      </c>
      <c r="AN782" s="614"/>
      <c r="AO782" s="615"/>
      <c r="AP782" s="615"/>
      <c r="AQ782" s="616"/>
      <c r="AR782" s="612"/>
      <c r="AS782" s="617"/>
      <c r="AT782" s="618"/>
      <c r="AU782" s="618"/>
      <c r="AV782" s="618"/>
      <c r="AW782" s="619"/>
      <c r="AX782" s="614"/>
      <c r="AY782" s="616"/>
      <c r="AZ782" s="616"/>
      <c r="BA782" s="616"/>
      <c r="BB782" s="616"/>
      <c r="BC782" s="616"/>
      <c r="BD782" s="612"/>
      <c r="BE782" s="614"/>
      <c r="BF782" s="616"/>
      <c r="BG782" s="616"/>
      <c r="BH782" s="616"/>
      <c r="BI782" s="616"/>
      <c r="BJ782" s="616"/>
      <c r="BK782" s="1023"/>
      <c r="BL782" s="658"/>
    </row>
    <row r="783" spans="2:64">
      <c r="B783" s="1022"/>
      <c r="C783" s="607"/>
      <c r="D783" s="607"/>
      <c r="E783" s="1021"/>
      <c r="F783" s="1019">
        <v>780</v>
      </c>
      <c r="G783" s="609"/>
      <c r="H783" s="610"/>
      <c r="I783" s="611"/>
      <c r="J783" s="166">
        <f t="shared" si="521"/>
        <v>0</v>
      </c>
      <c r="K783" s="167">
        <f t="shared" si="522"/>
        <v>0</v>
      </c>
      <c r="L783" s="168">
        <f t="shared" si="523"/>
        <v>0</v>
      </c>
      <c r="M783" s="166">
        <f t="shared" si="524"/>
        <v>0</v>
      </c>
      <c r="N783" s="167">
        <f t="shared" si="525"/>
        <v>0</v>
      </c>
      <c r="O783" s="168">
        <f t="shared" si="526"/>
        <v>0</v>
      </c>
      <c r="P783" s="169">
        <f t="shared" si="527"/>
        <v>0</v>
      </c>
      <c r="Q783" s="169">
        <f t="shared" si="528"/>
        <v>0</v>
      </c>
      <c r="R783" s="169">
        <f t="shared" si="529"/>
        <v>0</v>
      </c>
      <c r="S783" s="584">
        <f t="shared" si="500"/>
        <v>0</v>
      </c>
      <c r="T783" s="594">
        <f t="shared" si="501"/>
        <v>0</v>
      </c>
      <c r="U783" s="595">
        <f t="shared" si="502"/>
        <v>0</v>
      </c>
      <c r="V783" s="166">
        <f t="shared" si="503"/>
        <v>0</v>
      </c>
      <c r="W783" s="167">
        <f t="shared" si="504"/>
        <v>0</v>
      </c>
      <c r="X783" s="168">
        <f t="shared" si="505"/>
        <v>0</v>
      </c>
      <c r="Y783" s="166">
        <f t="shared" si="506"/>
        <v>0</v>
      </c>
      <c r="Z783" s="167">
        <f t="shared" si="507"/>
        <v>0</v>
      </c>
      <c r="AA783" s="168">
        <f t="shared" si="508"/>
        <v>0</v>
      </c>
      <c r="AB783" s="166">
        <f t="shared" si="509"/>
        <v>0</v>
      </c>
      <c r="AC783" s="167">
        <f t="shared" si="510"/>
        <v>0</v>
      </c>
      <c r="AD783" s="168">
        <f t="shared" si="511"/>
        <v>0</v>
      </c>
      <c r="AE783" s="166">
        <f t="shared" si="512"/>
        <v>0</v>
      </c>
      <c r="AF783" s="167">
        <f t="shared" si="513"/>
        <v>0</v>
      </c>
      <c r="AG783" s="168">
        <f t="shared" si="514"/>
        <v>0</v>
      </c>
      <c r="AH783" s="166">
        <f t="shared" si="515"/>
        <v>0</v>
      </c>
      <c r="AI783" s="167">
        <f t="shared" si="516"/>
        <v>0</v>
      </c>
      <c r="AJ783" s="168">
        <f t="shared" si="517"/>
        <v>0</v>
      </c>
      <c r="AK783" s="169">
        <f t="shared" si="518"/>
        <v>0</v>
      </c>
      <c r="AL783" s="167">
        <f t="shared" si="519"/>
        <v>0</v>
      </c>
      <c r="AM783" s="585">
        <f t="shared" si="520"/>
        <v>0</v>
      </c>
      <c r="AN783" s="614"/>
      <c r="AO783" s="615"/>
      <c r="AP783" s="615"/>
      <c r="AQ783" s="616"/>
      <c r="AR783" s="612"/>
      <c r="AS783" s="617"/>
      <c r="AT783" s="618"/>
      <c r="AU783" s="618"/>
      <c r="AV783" s="618"/>
      <c r="AW783" s="619"/>
      <c r="AX783" s="614"/>
      <c r="AY783" s="616"/>
      <c r="AZ783" s="616"/>
      <c r="BA783" s="616"/>
      <c r="BB783" s="616"/>
      <c r="BC783" s="616"/>
      <c r="BD783" s="612"/>
      <c r="BE783" s="614"/>
      <c r="BF783" s="616"/>
      <c r="BG783" s="616"/>
      <c r="BH783" s="616"/>
      <c r="BI783" s="616"/>
      <c r="BJ783" s="616"/>
      <c r="BK783" s="1023"/>
      <c r="BL783" s="658"/>
    </row>
    <row r="784" spans="2:64">
      <c r="B784" s="1022"/>
      <c r="C784" s="607"/>
      <c r="D784" s="607"/>
      <c r="E784" s="1021"/>
      <c r="F784" s="608">
        <v>781</v>
      </c>
      <c r="G784" s="609"/>
      <c r="H784" s="610"/>
      <c r="I784" s="611"/>
      <c r="J784" s="166">
        <f t="shared" si="521"/>
        <v>0</v>
      </c>
      <c r="K784" s="167">
        <f t="shared" si="522"/>
        <v>0</v>
      </c>
      <c r="L784" s="168">
        <f t="shared" si="523"/>
        <v>0</v>
      </c>
      <c r="M784" s="166">
        <f t="shared" si="524"/>
        <v>0</v>
      </c>
      <c r="N784" s="167">
        <f t="shared" si="525"/>
        <v>0</v>
      </c>
      <c r="O784" s="168">
        <f t="shared" si="526"/>
        <v>0</v>
      </c>
      <c r="P784" s="169">
        <f t="shared" si="527"/>
        <v>0</v>
      </c>
      <c r="Q784" s="169">
        <f t="shared" si="528"/>
        <v>0</v>
      </c>
      <c r="R784" s="169">
        <f t="shared" si="529"/>
        <v>0</v>
      </c>
      <c r="S784" s="584">
        <f t="shared" si="500"/>
        <v>0</v>
      </c>
      <c r="T784" s="594">
        <f t="shared" si="501"/>
        <v>0</v>
      </c>
      <c r="U784" s="595">
        <f t="shared" si="502"/>
        <v>0</v>
      </c>
      <c r="V784" s="166">
        <f t="shared" si="503"/>
        <v>0</v>
      </c>
      <c r="W784" s="167">
        <f t="shared" si="504"/>
        <v>0</v>
      </c>
      <c r="X784" s="168">
        <f t="shared" si="505"/>
        <v>0</v>
      </c>
      <c r="Y784" s="166">
        <f t="shared" si="506"/>
        <v>0</v>
      </c>
      <c r="Z784" s="167">
        <f t="shared" si="507"/>
        <v>0</v>
      </c>
      <c r="AA784" s="168">
        <f t="shared" si="508"/>
        <v>0</v>
      </c>
      <c r="AB784" s="166">
        <f t="shared" si="509"/>
        <v>0</v>
      </c>
      <c r="AC784" s="167">
        <f t="shared" si="510"/>
        <v>0</v>
      </c>
      <c r="AD784" s="168">
        <f t="shared" si="511"/>
        <v>0</v>
      </c>
      <c r="AE784" s="166">
        <f t="shared" si="512"/>
        <v>0</v>
      </c>
      <c r="AF784" s="167">
        <f t="shared" si="513"/>
        <v>0</v>
      </c>
      <c r="AG784" s="168">
        <f t="shared" si="514"/>
        <v>0</v>
      </c>
      <c r="AH784" s="166">
        <f t="shared" si="515"/>
        <v>0</v>
      </c>
      <c r="AI784" s="167">
        <f t="shared" si="516"/>
        <v>0</v>
      </c>
      <c r="AJ784" s="168">
        <f t="shared" si="517"/>
        <v>0</v>
      </c>
      <c r="AK784" s="169">
        <f t="shared" si="518"/>
        <v>0</v>
      </c>
      <c r="AL784" s="167">
        <f t="shared" si="519"/>
        <v>0</v>
      </c>
      <c r="AM784" s="585">
        <f t="shared" si="520"/>
        <v>0</v>
      </c>
      <c r="AN784" s="614"/>
      <c r="AO784" s="615"/>
      <c r="AP784" s="615"/>
      <c r="AQ784" s="616"/>
      <c r="AR784" s="612"/>
      <c r="AS784" s="617"/>
      <c r="AT784" s="618"/>
      <c r="AU784" s="618"/>
      <c r="AV784" s="618"/>
      <c r="AW784" s="619"/>
      <c r="AX784" s="614"/>
      <c r="AY784" s="616"/>
      <c r="AZ784" s="616"/>
      <c r="BA784" s="616"/>
      <c r="BB784" s="616"/>
      <c r="BC784" s="616"/>
      <c r="BD784" s="612"/>
      <c r="BE784" s="614"/>
      <c r="BF784" s="616"/>
      <c r="BG784" s="616"/>
      <c r="BH784" s="616"/>
      <c r="BI784" s="616"/>
      <c r="BJ784" s="616"/>
      <c r="BK784" s="1023"/>
      <c r="BL784" s="658"/>
    </row>
    <row r="785" spans="2:64">
      <c r="B785" s="1022"/>
      <c r="C785" s="607"/>
      <c r="D785" s="607"/>
      <c r="E785" s="1021"/>
      <c r="F785" s="1019">
        <v>782</v>
      </c>
      <c r="G785" s="609"/>
      <c r="H785" s="610"/>
      <c r="I785" s="611"/>
      <c r="J785" s="166">
        <f t="shared" si="521"/>
        <v>0</v>
      </c>
      <c r="K785" s="167">
        <f t="shared" si="522"/>
        <v>0</v>
      </c>
      <c r="L785" s="168">
        <f t="shared" si="523"/>
        <v>0</v>
      </c>
      <c r="M785" s="166">
        <f t="shared" si="524"/>
        <v>0</v>
      </c>
      <c r="N785" s="167">
        <f t="shared" si="525"/>
        <v>0</v>
      </c>
      <c r="O785" s="168">
        <f t="shared" si="526"/>
        <v>0</v>
      </c>
      <c r="P785" s="169">
        <f t="shared" si="527"/>
        <v>0</v>
      </c>
      <c r="Q785" s="169">
        <f t="shared" si="528"/>
        <v>0</v>
      </c>
      <c r="R785" s="169">
        <f t="shared" si="529"/>
        <v>0</v>
      </c>
      <c r="S785" s="584">
        <f t="shared" si="500"/>
        <v>0</v>
      </c>
      <c r="T785" s="594">
        <f t="shared" si="501"/>
        <v>0</v>
      </c>
      <c r="U785" s="595">
        <f t="shared" si="502"/>
        <v>0</v>
      </c>
      <c r="V785" s="166">
        <f t="shared" si="503"/>
        <v>0</v>
      </c>
      <c r="W785" s="167">
        <f t="shared" si="504"/>
        <v>0</v>
      </c>
      <c r="X785" s="168">
        <f t="shared" si="505"/>
        <v>0</v>
      </c>
      <c r="Y785" s="166">
        <f t="shared" si="506"/>
        <v>0</v>
      </c>
      <c r="Z785" s="167">
        <f t="shared" si="507"/>
        <v>0</v>
      </c>
      <c r="AA785" s="168">
        <f t="shared" si="508"/>
        <v>0</v>
      </c>
      <c r="AB785" s="166">
        <f t="shared" si="509"/>
        <v>0</v>
      </c>
      <c r="AC785" s="167">
        <f t="shared" si="510"/>
        <v>0</v>
      </c>
      <c r="AD785" s="168">
        <f t="shared" si="511"/>
        <v>0</v>
      </c>
      <c r="AE785" s="166">
        <f t="shared" si="512"/>
        <v>0</v>
      </c>
      <c r="AF785" s="167">
        <f t="shared" si="513"/>
        <v>0</v>
      </c>
      <c r="AG785" s="168">
        <f t="shared" si="514"/>
        <v>0</v>
      </c>
      <c r="AH785" s="166">
        <f t="shared" si="515"/>
        <v>0</v>
      </c>
      <c r="AI785" s="167">
        <f t="shared" si="516"/>
        <v>0</v>
      </c>
      <c r="AJ785" s="168">
        <f t="shared" si="517"/>
        <v>0</v>
      </c>
      <c r="AK785" s="169">
        <f t="shared" si="518"/>
        <v>0</v>
      </c>
      <c r="AL785" s="167">
        <f t="shared" si="519"/>
        <v>0</v>
      </c>
      <c r="AM785" s="585">
        <f t="shared" si="520"/>
        <v>0</v>
      </c>
      <c r="AN785" s="614"/>
      <c r="AO785" s="615"/>
      <c r="AP785" s="615"/>
      <c r="AQ785" s="616"/>
      <c r="AR785" s="612"/>
      <c r="AS785" s="617"/>
      <c r="AT785" s="618"/>
      <c r="AU785" s="618"/>
      <c r="AV785" s="618"/>
      <c r="AW785" s="619"/>
      <c r="AX785" s="614"/>
      <c r="AY785" s="616"/>
      <c r="AZ785" s="616"/>
      <c r="BA785" s="616"/>
      <c r="BB785" s="616"/>
      <c r="BC785" s="616"/>
      <c r="BD785" s="612"/>
      <c r="BE785" s="614"/>
      <c r="BF785" s="616"/>
      <c r="BG785" s="616"/>
      <c r="BH785" s="616"/>
      <c r="BI785" s="616"/>
      <c r="BJ785" s="616"/>
      <c r="BK785" s="1023"/>
      <c r="BL785" s="658"/>
    </row>
    <row r="786" spans="2:64">
      <c r="B786" s="1022"/>
      <c r="C786" s="607"/>
      <c r="D786" s="607"/>
      <c r="E786" s="1021"/>
      <c r="F786" s="608">
        <v>783</v>
      </c>
      <c r="G786" s="609"/>
      <c r="H786" s="610"/>
      <c r="I786" s="611"/>
      <c r="J786" s="166">
        <f t="shared" si="521"/>
        <v>0</v>
      </c>
      <c r="K786" s="167">
        <f t="shared" si="522"/>
        <v>0</v>
      </c>
      <c r="L786" s="168">
        <f t="shared" si="523"/>
        <v>0</v>
      </c>
      <c r="M786" s="166">
        <f t="shared" si="524"/>
        <v>0</v>
      </c>
      <c r="N786" s="167">
        <f t="shared" si="525"/>
        <v>0</v>
      </c>
      <c r="O786" s="168">
        <f t="shared" si="526"/>
        <v>0</v>
      </c>
      <c r="P786" s="169">
        <f t="shared" si="527"/>
        <v>0</v>
      </c>
      <c r="Q786" s="169">
        <f t="shared" si="528"/>
        <v>0</v>
      </c>
      <c r="R786" s="169">
        <f t="shared" si="529"/>
        <v>0</v>
      </c>
      <c r="S786" s="584">
        <f t="shared" si="500"/>
        <v>0</v>
      </c>
      <c r="T786" s="594">
        <f t="shared" si="501"/>
        <v>0</v>
      </c>
      <c r="U786" s="595">
        <f t="shared" si="502"/>
        <v>0</v>
      </c>
      <c r="V786" s="166">
        <f t="shared" si="503"/>
        <v>0</v>
      </c>
      <c r="W786" s="167">
        <f t="shared" si="504"/>
        <v>0</v>
      </c>
      <c r="X786" s="168">
        <f t="shared" si="505"/>
        <v>0</v>
      </c>
      <c r="Y786" s="166">
        <f t="shared" si="506"/>
        <v>0</v>
      </c>
      <c r="Z786" s="167">
        <f t="shared" si="507"/>
        <v>0</v>
      </c>
      <c r="AA786" s="168">
        <f t="shared" si="508"/>
        <v>0</v>
      </c>
      <c r="AB786" s="166">
        <f t="shared" si="509"/>
        <v>0</v>
      </c>
      <c r="AC786" s="167">
        <f t="shared" si="510"/>
        <v>0</v>
      </c>
      <c r="AD786" s="168">
        <f t="shared" si="511"/>
        <v>0</v>
      </c>
      <c r="AE786" s="166">
        <f t="shared" si="512"/>
        <v>0</v>
      </c>
      <c r="AF786" s="167">
        <f t="shared" si="513"/>
        <v>0</v>
      </c>
      <c r="AG786" s="168">
        <f t="shared" si="514"/>
        <v>0</v>
      </c>
      <c r="AH786" s="166">
        <f t="shared" si="515"/>
        <v>0</v>
      </c>
      <c r="AI786" s="167">
        <f t="shared" si="516"/>
        <v>0</v>
      </c>
      <c r="AJ786" s="168">
        <f t="shared" si="517"/>
        <v>0</v>
      </c>
      <c r="AK786" s="169">
        <f t="shared" si="518"/>
        <v>0</v>
      </c>
      <c r="AL786" s="167">
        <f t="shared" si="519"/>
        <v>0</v>
      </c>
      <c r="AM786" s="585">
        <f t="shared" si="520"/>
        <v>0</v>
      </c>
      <c r="AN786" s="614"/>
      <c r="AO786" s="615"/>
      <c r="AP786" s="615"/>
      <c r="AQ786" s="616"/>
      <c r="AR786" s="612"/>
      <c r="AS786" s="617"/>
      <c r="AT786" s="618"/>
      <c r="AU786" s="618"/>
      <c r="AV786" s="618"/>
      <c r="AW786" s="619"/>
      <c r="AX786" s="614"/>
      <c r="AY786" s="616"/>
      <c r="AZ786" s="616"/>
      <c r="BA786" s="616"/>
      <c r="BB786" s="616"/>
      <c r="BC786" s="616"/>
      <c r="BD786" s="612"/>
      <c r="BE786" s="614"/>
      <c r="BF786" s="616"/>
      <c r="BG786" s="616"/>
      <c r="BH786" s="616"/>
      <c r="BI786" s="616"/>
      <c r="BJ786" s="616"/>
      <c r="BK786" s="1023"/>
      <c r="BL786" s="658"/>
    </row>
    <row r="787" spans="2:64">
      <c r="B787" s="1022"/>
      <c r="C787" s="607"/>
      <c r="D787" s="607"/>
      <c r="E787" s="1021"/>
      <c r="F787" s="1019">
        <v>784</v>
      </c>
      <c r="G787" s="609"/>
      <c r="H787" s="610"/>
      <c r="I787" s="611"/>
      <c r="J787" s="166">
        <f t="shared" si="521"/>
        <v>0</v>
      </c>
      <c r="K787" s="167">
        <f t="shared" si="522"/>
        <v>0</v>
      </c>
      <c r="L787" s="168">
        <f t="shared" si="523"/>
        <v>0</v>
      </c>
      <c r="M787" s="166">
        <f t="shared" si="524"/>
        <v>0</v>
      </c>
      <c r="N787" s="167">
        <f t="shared" si="525"/>
        <v>0</v>
      </c>
      <c r="O787" s="168">
        <f t="shared" si="526"/>
        <v>0</v>
      </c>
      <c r="P787" s="169">
        <f t="shared" si="527"/>
        <v>0</v>
      </c>
      <c r="Q787" s="169">
        <f t="shared" si="528"/>
        <v>0</v>
      </c>
      <c r="R787" s="169">
        <f t="shared" si="529"/>
        <v>0</v>
      </c>
      <c r="S787" s="584">
        <f t="shared" si="500"/>
        <v>0</v>
      </c>
      <c r="T787" s="594">
        <f t="shared" si="501"/>
        <v>0</v>
      </c>
      <c r="U787" s="595">
        <f t="shared" si="502"/>
        <v>0</v>
      </c>
      <c r="V787" s="166">
        <f t="shared" si="503"/>
        <v>0</v>
      </c>
      <c r="W787" s="167">
        <f t="shared" si="504"/>
        <v>0</v>
      </c>
      <c r="X787" s="168">
        <f t="shared" si="505"/>
        <v>0</v>
      </c>
      <c r="Y787" s="166">
        <f t="shared" si="506"/>
        <v>0</v>
      </c>
      <c r="Z787" s="167">
        <f t="shared" si="507"/>
        <v>0</v>
      </c>
      <c r="AA787" s="168">
        <f t="shared" si="508"/>
        <v>0</v>
      </c>
      <c r="AB787" s="166">
        <f t="shared" si="509"/>
        <v>0</v>
      </c>
      <c r="AC787" s="167">
        <f t="shared" si="510"/>
        <v>0</v>
      </c>
      <c r="AD787" s="168">
        <f t="shared" si="511"/>
        <v>0</v>
      </c>
      <c r="AE787" s="166">
        <f t="shared" si="512"/>
        <v>0</v>
      </c>
      <c r="AF787" s="167">
        <f t="shared" si="513"/>
        <v>0</v>
      </c>
      <c r="AG787" s="168">
        <f t="shared" si="514"/>
        <v>0</v>
      </c>
      <c r="AH787" s="166">
        <f t="shared" si="515"/>
        <v>0</v>
      </c>
      <c r="AI787" s="167">
        <f t="shared" si="516"/>
        <v>0</v>
      </c>
      <c r="AJ787" s="168">
        <f t="shared" si="517"/>
        <v>0</v>
      </c>
      <c r="AK787" s="169">
        <f t="shared" si="518"/>
        <v>0</v>
      </c>
      <c r="AL787" s="167">
        <f t="shared" si="519"/>
        <v>0</v>
      </c>
      <c r="AM787" s="585">
        <f t="shared" si="520"/>
        <v>0</v>
      </c>
      <c r="AN787" s="614"/>
      <c r="AO787" s="615"/>
      <c r="AP787" s="615"/>
      <c r="AQ787" s="616"/>
      <c r="AR787" s="612"/>
      <c r="AS787" s="617"/>
      <c r="AT787" s="618"/>
      <c r="AU787" s="618"/>
      <c r="AV787" s="618"/>
      <c r="AW787" s="619"/>
      <c r="AX787" s="614"/>
      <c r="AY787" s="616"/>
      <c r="AZ787" s="616"/>
      <c r="BA787" s="616"/>
      <c r="BB787" s="616"/>
      <c r="BC787" s="616"/>
      <c r="BD787" s="612"/>
      <c r="BE787" s="614"/>
      <c r="BF787" s="616"/>
      <c r="BG787" s="616"/>
      <c r="BH787" s="616"/>
      <c r="BI787" s="616"/>
      <c r="BJ787" s="616"/>
      <c r="BK787" s="1023"/>
      <c r="BL787" s="658"/>
    </row>
    <row r="788" spans="2:64">
      <c r="B788" s="1022"/>
      <c r="C788" s="607"/>
      <c r="D788" s="607"/>
      <c r="E788" s="1021"/>
      <c r="F788" s="608">
        <v>785</v>
      </c>
      <c r="G788" s="609"/>
      <c r="H788" s="610"/>
      <c r="I788" s="611"/>
      <c r="J788" s="166">
        <f t="shared" si="521"/>
        <v>0</v>
      </c>
      <c r="K788" s="167">
        <f t="shared" si="522"/>
        <v>0</v>
      </c>
      <c r="L788" s="168">
        <f t="shared" si="523"/>
        <v>0</v>
      </c>
      <c r="M788" s="166">
        <f t="shared" si="524"/>
        <v>0</v>
      </c>
      <c r="N788" s="167">
        <f t="shared" si="525"/>
        <v>0</v>
      </c>
      <c r="O788" s="168">
        <f t="shared" si="526"/>
        <v>0</v>
      </c>
      <c r="P788" s="169">
        <f t="shared" si="527"/>
        <v>0</v>
      </c>
      <c r="Q788" s="169">
        <f t="shared" si="528"/>
        <v>0</v>
      </c>
      <c r="R788" s="169">
        <f t="shared" si="529"/>
        <v>0</v>
      </c>
      <c r="S788" s="584">
        <f t="shared" si="500"/>
        <v>0</v>
      </c>
      <c r="T788" s="594">
        <f t="shared" si="501"/>
        <v>0</v>
      </c>
      <c r="U788" s="595">
        <f t="shared" si="502"/>
        <v>0</v>
      </c>
      <c r="V788" s="166">
        <f t="shared" si="503"/>
        <v>0</v>
      </c>
      <c r="W788" s="167">
        <f t="shared" si="504"/>
        <v>0</v>
      </c>
      <c r="X788" s="168">
        <f t="shared" si="505"/>
        <v>0</v>
      </c>
      <c r="Y788" s="166">
        <f t="shared" si="506"/>
        <v>0</v>
      </c>
      <c r="Z788" s="167">
        <f t="shared" si="507"/>
        <v>0</v>
      </c>
      <c r="AA788" s="168">
        <f t="shared" si="508"/>
        <v>0</v>
      </c>
      <c r="AB788" s="166">
        <f t="shared" si="509"/>
        <v>0</v>
      </c>
      <c r="AC788" s="167">
        <f t="shared" si="510"/>
        <v>0</v>
      </c>
      <c r="AD788" s="168">
        <f t="shared" si="511"/>
        <v>0</v>
      </c>
      <c r="AE788" s="166">
        <f t="shared" si="512"/>
        <v>0</v>
      </c>
      <c r="AF788" s="167">
        <f t="shared" si="513"/>
        <v>0</v>
      </c>
      <c r="AG788" s="168">
        <f t="shared" si="514"/>
        <v>0</v>
      </c>
      <c r="AH788" s="166">
        <f t="shared" si="515"/>
        <v>0</v>
      </c>
      <c r="AI788" s="167">
        <f t="shared" si="516"/>
        <v>0</v>
      </c>
      <c r="AJ788" s="168">
        <f t="shared" si="517"/>
        <v>0</v>
      </c>
      <c r="AK788" s="169">
        <f t="shared" si="518"/>
        <v>0</v>
      </c>
      <c r="AL788" s="167">
        <f t="shared" si="519"/>
        <v>0</v>
      </c>
      <c r="AM788" s="585">
        <f t="shared" si="520"/>
        <v>0</v>
      </c>
      <c r="AN788" s="614"/>
      <c r="AO788" s="615"/>
      <c r="AP788" s="615"/>
      <c r="AQ788" s="616"/>
      <c r="AR788" s="612"/>
      <c r="AS788" s="617"/>
      <c r="AT788" s="618"/>
      <c r="AU788" s="618"/>
      <c r="AV788" s="618"/>
      <c r="AW788" s="619"/>
      <c r="AX788" s="614"/>
      <c r="AY788" s="616"/>
      <c r="AZ788" s="616"/>
      <c r="BA788" s="616"/>
      <c r="BB788" s="616"/>
      <c r="BC788" s="616"/>
      <c r="BD788" s="612"/>
      <c r="BE788" s="614"/>
      <c r="BF788" s="616"/>
      <c r="BG788" s="616"/>
      <c r="BH788" s="616"/>
      <c r="BI788" s="616"/>
      <c r="BJ788" s="616"/>
      <c r="BK788" s="1023"/>
      <c r="BL788" s="658"/>
    </row>
    <row r="789" spans="2:64">
      <c r="B789" s="1022"/>
      <c r="C789" s="607"/>
      <c r="D789" s="607"/>
      <c r="E789" s="1021"/>
      <c r="F789" s="1019">
        <v>786</v>
      </c>
      <c r="G789" s="609"/>
      <c r="H789" s="610"/>
      <c r="I789" s="611"/>
      <c r="J789" s="166">
        <f t="shared" si="521"/>
        <v>0</v>
      </c>
      <c r="K789" s="167">
        <f t="shared" si="522"/>
        <v>0</v>
      </c>
      <c r="L789" s="168">
        <f t="shared" si="523"/>
        <v>0</v>
      </c>
      <c r="M789" s="166">
        <f t="shared" si="524"/>
        <v>0</v>
      </c>
      <c r="N789" s="167">
        <f t="shared" si="525"/>
        <v>0</v>
      </c>
      <c r="O789" s="168">
        <f t="shared" si="526"/>
        <v>0</v>
      </c>
      <c r="P789" s="169">
        <f t="shared" si="527"/>
        <v>0</v>
      </c>
      <c r="Q789" s="169">
        <f t="shared" si="528"/>
        <v>0</v>
      </c>
      <c r="R789" s="169">
        <f t="shared" si="529"/>
        <v>0</v>
      </c>
      <c r="S789" s="584">
        <f t="shared" si="500"/>
        <v>0</v>
      </c>
      <c r="T789" s="594">
        <f t="shared" si="501"/>
        <v>0</v>
      </c>
      <c r="U789" s="595">
        <f t="shared" si="502"/>
        <v>0</v>
      </c>
      <c r="V789" s="166">
        <f t="shared" si="503"/>
        <v>0</v>
      </c>
      <c r="W789" s="167">
        <f t="shared" si="504"/>
        <v>0</v>
      </c>
      <c r="X789" s="168">
        <f t="shared" si="505"/>
        <v>0</v>
      </c>
      <c r="Y789" s="166">
        <f t="shared" si="506"/>
        <v>0</v>
      </c>
      <c r="Z789" s="167">
        <f t="shared" si="507"/>
        <v>0</v>
      </c>
      <c r="AA789" s="168">
        <f t="shared" si="508"/>
        <v>0</v>
      </c>
      <c r="AB789" s="166">
        <f t="shared" si="509"/>
        <v>0</v>
      </c>
      <c r="AC789" s="167">
        <f t="shared" si="510"/>
        <v>0</v>
      </c>
      <c r="AD789" s="168">
        <f t="shared" si="511"/>
        <v>0</v>
      </c>
      <c r="AE789" s="166">
        <f t="shared" si="512"/>
        <v>0</v>
      </c>
      <c r="AF789" s="167">
        <f t="shared" si="513"/>
        <v>0</v>
      </c>
      <c r="AG789" s="168">
        <f t="shared" si="514"/>
        <v>0</v>
      </c>
      <c r="AH789" s="166">
        <f t="shared" si="515"/>
        <v>0</v>
      </c>
      <c r="AI789" s="167">
        <f t="shared" si="516"/>
        <v>0</v>
      </c>
      <c r="AJ789" s="168">
        <f t="shared" si="517"/>
        <v>0</v>
      </c>
      <c r="AK789" s="169">
        <f t="shared" si="518"/>
        <v>0</v>
      </c>
      <c r="AL789" s="167">
        <f t="shared" si="519"/>
        <v>0</v>
      </c>
      <c r="AM789" s="585">
        <f t="shared" si="520"/>
        <v>0</v>
      </c>
      <c r="AN789" s="614"/>
      <c r="AO789" s="615"/>
      <c r="AP789" s="615"/>
      <c r="AQ789" s="616"/>
      <c r="AR789" s="612"/>
      <c r="AS789" s="617"/>
      <c r="AT789" s="618"/>
      <c r="AU789" s="618"/>
      <c r="AV789" s="618"/>
      <c r="AW789" s="619"/>
      <c r="AX789" s="614"/>
      <c r="AY789" s="616"/>
      <c r="AZ789" s="616"/>
      <c r="BA789" s="616"/>
      <c r="BB789" s="616"/>
      <c r="BC789" s="616"/>
      <c r="BD789" s="612"/>
      <c r="BE789" s="614"/>
      <c r="BF789" s="616"/>
      <c r="BG789" s="616"/>
      <c r="BH789" s="616"/>
      <c r="BI789" s="616"/>
      <c r="BJ789" s="616"/>
      <c r="BK789" s="1023"/>
      <c r="BL789" s="658"/>
    </row>
    <row r="790" spans="2:64">
      <c r="B790" s="1022"/>
      <c r="C790" s="607"/>
      <c r="D790" s="607"/>
      <c r="E790" s="1021"/>
      <c r="F790" s="608">
        <v>787</v>
      </c>
      <c r="G790" s="609"/>
      <c r="H790" s="610"/>
      <c r="I790" s="611"/>
      <c r="J790" s="166">
        <f t="shared" si="521"/>
        <v>0</v>
      </c>
      <c r="K790" s="167">
        <f t="shared" si="522"/>
        <v>0</v>
      </c>
      <c r="L790" s="168">
        <f t="shared" si="523"/>
        <v>0</v>
      </c>
      <c r="M790" s="166">
        <f t="shared" si="524"/>
        <v>0</v>
      </c>
      <c r="N790" s="167">
        <f t="shared" si="525"/>
        <v>0</v>
      </c>
      <c r="O790" s="168">
        <f t="shared" si="526"/>
        <v>0</v>
      </c>
      <c r="P790" s="169">
        <f t="shared" si="527"/>
        <v>0</v>
      </c>
      <c r="Q790" s="169">
        <f t="shared" si="528"/>
        <v>0</v>
      </c>
      <c r="R790" s="169">
        <f t="shared" si="529"/>
        <v>0</v>
      </c>
      <c r="S790" s="584">
        <f t="shared" si="500"/>
        <v>0</v>
      </c>
      <c r="T790" s="594">
        <f t="shared" si="501"/>
        <v>0</v>
      </c>
      <c r="U790" s="595">
        <f t="shared" si="502"/>
        <v>0</v>
      </c>
      <c r="V790" s="166">
        <f t="shared" si="503"/>
        <v>0</v>
      </c>
      <c r="W790" s="167">
        <f t="shared" si="504"/>
        <v>0</v>
      </c>
      <c r="X790" s="168">
        <f t="shared" si="505"/>
        <v>0</v>
      </c>
      <c r="Y790" s="166">
        <f t="shared" si="506"/>
        <v>0</v>
      </c>
      <c r="Z790" s="167">
        <f t="shared" si="507"/>
        <v>0</v>
      </c>
      <c r="AA790" s="168">
        <f t="shared" si="508"/>
        <v>0</v>
      </c>
      <c r="AB790" s="166">
        <f t="shared" si="509"/>
        <v>0</v>
      </c>
      <c r="AC790" s="167">
        <f t="shared" si="510"/>
        <v>0</v>
      </c>
      <c r="AD790" s="168">
        <f t="shared" si="511"/>
        <v>0</v>
      </c>
      <c r="AE790" s="166">
        <f t="shared" si="512"/>
        <v>0</v>
      </c>
      <c r="AF790" s="167">
        <f t="shared" si="513"/>
        <v>0</v>
      </c>
      <c r="AG790" s="168">
        <f t="shared" si="514"/>
        <v>0</v>
      </c>
      <c r="AH790" s="166">
        <f t="shared" si="515"/>
        <v>0</v>
      </c>
      <c r="AI790" s="167">
        <f t="shared" si="516"/>
        <v>0</v>
      </c>
      <c r="AJ790" s="168">
        <f t="shared" si="517"/>
        <v>0</v>
      </c>
      <c r="AK790" s="169">
        <f t="shared" si="518"/>
        <v>0</v>
      </c>
      <c r="AL790" s="167">
        <f t="shared" si="519"/>
        <v>0</v>
      </c>
      <c r="AM790" s="585">
        <f t="shared" si="520"/>
        <v>0</v>
      </c>
      <c r="AN790" s="614"/>
      <c r="AO790" s="615"/>
      <c r="AP790" s="615"/>
      <c r="AQ790" s="616"/>
      <c r="AR790" s="612"/>
      <c r="AS790" s="617"/>
      <c r="AT790" s="618"/>
      <c r="AU790" s="618"/>
      <c r="AV790" s="618"/>
      <c r="AW790" s="619"/>
      <c r="AX790" s="614"/>
      <c r="AY790" s="616"/>
      <c r="AZ790" s="616"/>
      <c r="BA790" s="616"/>
      <c r="BB790" s="616"/>
      <c r="BC790" s="616"/>
      <c r="BD790" s="612"/>
      <c r="BE790" s="614"/>
      <c r="BF790" s="616"/>
      <c r="BG790" s="616"/>
      <c r="BH790" s="616"/>
      <c r="BI790" s="616"/>
      <c r="BJ790" s="616"/>
      <c r="BK790" s="1023"/>
      <c r="BL790" s="658"/>
    </row>
    <row r="791" spans="2:64">
      <c r="B791" s="1022"/>
      <c r="C791" s="607"/>
      <c r="D791" s="607"/>
      <c r="E791" s="1021"/>
      <c r="F791" s="1019">
        <v>788</v>
      </c>
      <c r="G791" s="609"/>
      <c r="H791" s="610"/>
      <c r="I791" s="611"/>
      <c r="J791" s="166">
        <f t="shared" si="521"/>
        <v>0</v>
      </c>
      <c r="K791" s="167">
        <f t="shared" si="522"/>
        <v>0</v>
      </c>
      <c r="L791" s="168">
        <f t="shared" si="523"/>
        <v>0</v>
      </c>
      <c r="M791" s="166">
        <f t="shared" si="524"/>
        <v>0</v>
      </c>
      <c r="N791" s="167">
        <f t="shared" si="525"/>
        <v>0</v>
      </c>
      <c r="O791" s="168">
        <f t="shared" si="526"/>
        <v>0</v>
      </c>
      <c r="P791" s="169">
        <f t="shared" si="527"/>
        <v>0</v>
      </c>
      <c r="Q791" s="169">
        <f t="shared" si="528"/>
        <v>0</v>
      </c>
      <c r="R791" s="169">
        <f t="shared" si="529"/>
        <v>0</v>
      </c>
      <c r="S791" s="584">
        <f t="shared" si="500"/>
        <v>0</v>
      </c>
      <c r="T791" s="594">
        <f t="shared" si="501"/>
        <v>0</v>
      </c>
      <c r="U791" s="595">
        <f t="shared" si="502"/>
        <v>0</v>
      </c>
      <c r="V791" s="166">
        <f t="shared" si="503"/>
        <v>0</v>
      </c>
      <c r="W791" s="167">
        <f t="shared" si="504"/>
        <v>0</v>
      </c>
      <c r="X791" s="168">
        <f t="shared" si="505"/>
        <v>0</v>
      </c>
      <c r="Y791" s="166">
        <f t="shared" si="506"/>
        <v>0</v>
      </c>
      <c r="Z791" s="167">
        <f t="shared" si="507"/>
        <v>0</v>
      </c>
      <c r="AA791" s="168">
        <f t="shared" si="508"/>
        <v>0</v>
      </c>
      <c r="AB791" s="166">
        <f t="shared" si="509"/>
        <v>0</v>
      </c>
      <c r="AC791" s="167">
        <f t="shared" si="510"/>
        <v>0</v>
      </c>
      <c r="AD791" s="168">
        <f t="shared" si="511"/>
        <v>0</v>
      </c>
      <c r="AE791" s="166">
        <f t="shared" si="512"/>
        <v>0</v>
      </c>
      <c r="AF791" s="167">
        <f t="shared" si="513"/>
        <v>0</v>
      </c>
      <c r="AG791" s="168">
        <f t="shared" si="514"/>
        <v>0</v>
      </c>
      <c r="AH791" s="166">
        <f t="shared" si="515"/>
        <v>0</v>
      </c>
      <c r="AI791" s="167">
        <f t="shared" si="516"/>
        <v>0</v>
      </c>
      <c r="AJ791" s="168">
        <f t="shared" si="517"/>
        <v>0</v>
      </c>
      <c r="AK791" s="169">
        <f t="shared" si="518"/>
        <v>0</v>
      </c>
      <c r="AL791" s="167">
        <f t="shared" si="519"/>
        <v>0</v>
      </c>
      <c r="AM791" s="585">
        <f t="shared" si="520"/>
        <v>0</v>
      </c>
      <c r="AN791" s="614"/>
      <c r="AO791" s="615"/>
      <c r="AP791" s="615"/>
      <c r="AQ791" s="616"/>
      <c r="AR791" s="612"/>
      <c r="AS791" s="617"/>
      <c r="AT791" s="618"/>
      <c r="AU791" s="618"/>
      <c r="AV791" s="618"/>
      <c r="AW791" s="619"/>
      <c r="AX791" s="614"/>
      <c r="AY791" s="616"/>
      <c r="AZ791" s="616"/>
      <c r="BA791" s="616"/>
      <c r="BB791" s="616"/>
      <c r="BC791" s="616"/>
      <c r="BD791" s="612"/>
      <c r="BE791" s="614"/>
      <c r="BF791" s="616"/>
      <c r="BG791" s="616"/>
      <c r="BH791" s="616"/>
      <c r="BI791" s="616"/>
      <c r="BJ791" s="616"/>
      <c r="BK791" s="1023"/>
      <c r="BL791" s="658"/>
    </row>
    <row r="792" spans="2:64">
      <c r="B792" s="1022"/>
      <c r="C792" s="607"/>
      <c r="D792" s="607"/>
      <c r="E792" s="1021"/>
      <c r="F792" s="608">
        <v>789</v>
      </c>
      <c r="G792" s="609"/>
      <c r="H792" s="610"/>
      <c r="I792" s="611"/>
      <c r="J792" s="166">
        <f t="shared" si="521"/>
        <v>0</v>
      </c>
      <c r="K792" s="167">
        <f t="shared" si="522"/>
        <v>0</v>
      </c>
      <c r="L792" s="168">
        <f t="shared" si="523"/>
        <v>0</v>
      </c>
      <c r="M792" s="166">
        <f t="shared" si="524"/>
        <v>0</v>
      </c>
      <c r="N792" s="167">
        <f t="shared" si="525"/>
        <v>0</v>
      </c>
      <c r="O792" s="168">
        <f t="shared" si="526"/>
        <v>0</v>
      </c>
      <c r="P792" s="169">
        <f t="shared" si="527"/>
        <v>0</v>
      </c>
      <c r="Q792" s="169">
        <f t="shared" si="528"/>
        <v>0</v>
      </c>
      <c r="R792" s="169">
        <f t="shared" si="529"/>
        <v>0</v>
      </c>
      <c r="S792" s="584">
        <f t="shared" si="500"/>
        <v>0</v>
      </c>
      <c r="T792" s="594">
        <f t="shared" si="501"/>
        <v>0</v>
      </c>
      <c r="U792" s="595">
        <f t="shared" si="502"/>
        <v>0</v>
      </c>
      <c r="V792" s="166">
        <f t="shared" si="503"/>
        <v>0</v>
      </c>
      <c r="W792" s="167">
        <f t="shared" si="504"/>
        <v>0</v>
      </c>
      <c r="X792" s="168">
        <f t="shared" si="505"/>
        <v>0</v>
      </c>
      <c r="Y792" s="166">
        <f t="shared" si="506"/>
        <v>0</v>
      </c>
      <c r="Z792" s="167">
        <f t="shared" si="507"/>
        <v>0</v>
      </c>
      <c r="AA792" s="168">
        <f t="shared" si="508"/>
        <v>0</v>
      </c>
      <c r="AB792" s="166">
        <f t="shared" si="509"/>
        <v>0</v>
      </c>
      <c r="AC792" s="167">
        <f t="shared" si="510"/>
        <v>0</v>
      </c>
      <c r="AD792" s="168">
        <f t="shared" si="511"/>
        <v>0</v>
      </c>
      <c r="AE792" s="166">
        <f t="shared" si="512"/>
        <v>0</v>
      </c>
      <c r="AF792" s="167">
        <f t="shared" si="513"/>
        <v>0</v>
      </c>
      <c r="AG792" s="168">
        <f t="shared" si="514"/>
        <v>0</v>
      </c>
      <c r="AH792" s="166">
        <f t="shared" si="515"/>
        <v>0</v>
      </c>
      <c r="AI792" s="167">
        <f t="shared" si="516"/>
        <v>0</v>
      </c>
      <c r="AJ792" s="168">
        <f t="shared" si="517"/>
        <v>0</v>
      </c>
      <c r="AK792" s="169">
        <f t="shared" si="518"/>
        <v>0</v>
      </c>
      <c r="AL792" s="167">
        <f t="shared" si="519"/>
        <v>0</v>
      </c>
      <c r="AM792" s="585">
        <f t="shared" si="520"/>
        <v>0</v>
      </c>
      <c r="AN792" s="614"/>
      <c r="AO792" s="615"/>
      <c r="AP792" s="615"/>
      <c r="AQ792" s="616"/>
      <c r="AR792" s="612"/>
      <c r="AS792" s="617"/>
      <c r="AT792" s="618"/>
      <c r="AU792" s="618"/>
      <c r="AV792" s="618"/>
      <c r="AW792" s="619"/>
      <c r="AX792" s="614"/>
      <c r="AY792" s="616"/>
      <c r="AZ792" s="616"/>
      <c r="BA792" s="616"/>
      <c r="BB792" s="616"/>
      <c r="BC792" s="616"/>
      <c r="BD792" s="612"/>
      <c r="BE792" s="614"/>
      <c r="BF792" s="616"/>
      <c r="BG792" s="616"/>
      <c r="BH792" s="616"/>
      <c r="BI792" s="616"/>
      <c r="BJ792" s="616"/>
      <c r="BK792" s="1023"/>
      <c r="BL792" s="658"/>
    </row>
    <row r="793" spans="2:64">
      <c r="B793" s="1022"/>
      <c r="C793" s="607"/>
      <c r="D793" s="607"/>
      <c r="E793" s="1021"/>
      <c r="F793" s="1019">
        <v>790</v>
      </c>
      <c r="G793" s="609"/>
      <c r="H793" s="610"/>
      <c r="I793" s="611"/>
      <c r="J793" s="166">
        <f t="shared" si="521"/>
        <v>0</v>
      </c>
      <c r="K793" s="167">
        <f t="shared" si="522"/>
        <v>0</v>
      </c>
      <c r="L793" s="168">
        <f t="shared" si="523"/>
        <v>0</v>
      </c>
      <c r="M793" s="166">
        <f t="shared" si="524"/>
        <v>0</v>
      </c>
      <c r="N793" s="167">
        <f t="shared" si="525"/>
        <v>0</v>
      </c>
      <c r="O793" s="168">
        <f t="shared" si="526"/>
        <v>0</v>
      </c>
      <c r="P793" s="169">
        <f t="shared" si="527"/>
        <v>0</v>
      </c>
      <c r="Q793" s="169">
        <f t="shared" si="528"/>
        <v>0</v>
      </c>
      <c r="R793" s="169">
        <f t="shared" si="529"/>
        <v>0</v>
      </c>
      <c r="S793" s="584">
        <f t="shared" ref="S793:S856" si="530">ROUND(IF($C793="UR",G793*0.25,G793*0.3),0)</f>
        <v>0</v>
      </c>
      <c r="T793" s="594">
        <f t="shared" ref="T793:T856" si="531">ROUND(IF($C793="UR",H793*0.25,H793*0.3),0)</f>
        <v>0</v>
      </c>
      <c r="U793" s="595">
        <f t="shared" ref="U793:U856" si="532">ROUND(IF($C793="UR",I793*0.25,I793*0.3),0)</f>
        <v>0</v>
      </c>
      <c r="V793" s="166">
        <f t="shared" ref="V793:V856" si="533">(IF($C793="UR",IF($E793="party卡",18,12))+IF($C793="SR",10)+IF($C793="R",8))*M793+J793+S793</f>
        <v>0</v>
      </c>
      <c r="W793" s="167">
        <f t="shared" ref="W793:W856" si="534">(IF($C793="UR",IF($E793="party卡",18,12))+IF($C793="SR",10)+IF($C793="R",8))*N793+K793+T793</f>
        <v>0</v>
      </c>
      <c r="X793" s="168">
        <f t="shared" ref="X793:X856" si="535">(IF($C793="UR",IF($E793="party卡",18,12))+IF($C793="SR",10)+IF($C793="R",8))*O793+L793+U793</f>
        <v>0</v>
      </c>
      <c r="Y793" s="166">
        <f t="shared" ref="Y793:Y856" si="536">V793+(IF(C793="UR",IF(E793="party卡",IF(D793="gd",1,2),IF(D793="vo",2)+IF(D793="sp",1)+IF(D793="gd",3)+IF(D793="sk",1)))+IF(C793="SR",2)+IF(C793="R",IF(D793="vo",1)+IF(D793="sp",2)+IF(D793="gd",1)+IF(D793="sk",2)))*P793</f>
        <v>0</v>
      </c>
      <c r="Z793" s="167">
        <f t="shared" ref="Z793:Z856" si="537">W793+(IF(C793="UR",IF(E793="party卡",IF(D793="sp",1,2),IF(D793="vo",1)+IF(D793="sp",3)+IF(D793="gd",2)+IF(D793="sk",2)))+IF(C793="SR",2)+IF(C793="R",IF(D793="vo",2)+IF(D793="sp",1)+IF(D793="gd",1)+IF(D793="sk",1)))*Q793</f>
        <v>0</v>
      </c>
      <c r="AA793" s="168">
        <f t="shared" ref="AA793:AA856" si="538">X793+(IF(C793="UR",IF(E793="party卡",IF(OR(D793="vo",D793="sk"),1,2),IF(D793="vo",3)+IF(D793="sp",2)+IF(D793="gd",1)+IF(D793="sk",3)))+IF(C793="SR",2)+IF(C793="R",IF(D793="vo",1)+IF(D793="sp",1)+IF(D793="gd",2)+IF(D793="sk",1)))*R793</f>
        <v>0</v>
      </c>
      <c r="AB793" s="166">
        <f t="shared" ref="AB793:AB856" si="539">V793+(IF(C793="UR",IF(E793="party卡",IF(OR(D793="sp",D793="sk"),3,2),IF(D793="vo",5)+IF(D793="sp",4)+IF(D793="gd",4)+IF(D793="sk",4)))+IF(C793="SR",4)+IF(C793="R",IF(D793="vo",3)+IF(D793="sp",3)+IF(D793="gd",2)+IF(D793="sk",3)))*P793</f>
        <v>0</v>
      </c>
      <c r="AC793" s="167">
        <f t="shared" ref="AC793:AC856" si="540">W793+(IF(C793="UR",IF(E793="party卡",IF(D793="vo",3,2),IF(D793="vo",4)+IF(D793="sp",4)+IF(D793="gd",5)+IF(D793="sk",5)))+IF(C793="SR",4)+IF(C793="R",IF(D793="vo",3)+IF(D793="sp",2)+IF(D793="gd",3)+IF(D793="sk",3)))*Q793</f>
        <v>0</v>
      </c>
      <c r="AD793" s="168">
        <f t="shared" ref="AD793:AD856" si="541">X793+(IF(C793="UR",IF(E793="party卡",IF(D793="gd",3,2),IF(D793="vo",4)+IF(D793="sp",5)+IF(D793="gd",4)+IF(D793="sk",4)))+IF(C793="SR",4)+IF(C793="R",IF(D793="vo",2)+IF(D793="sp",3)+IF(D793="gd",3)+IF(D793="sk",2)))*R793</f>
        <v>0</v>
      </c>
      <c r="AE793" s="166">
        <f t="shared" ref="AE793:AE856" si="542">V793+(IF(C793="UR",IF(E793="party卡",3,IF(D793="vo",7)+IF(D793="sp",8)+IF(D793="gd",6)+IF(D793="sk",8)))+IF(C793="SR",IF(D793="vo",5)+IF(D793="sp",6)+IF(D793="gd",6)+IF(D793="sk",6))+IF(C793="R",IF(D793="vo",5)+IF(D793="sp",4)+IF(D793="gd",4)+IF(D793="sk",4)))*P793</f>
        <v>0</v>
      </c>
      <c r="AF793" s="167">
        <f t="shared" ref="AF793:AF856" si="543">W793+(IF(C793="UR",IF(E793="party卡",3,IF(D793="vo",8)+IF(D793="sp",6)+IF(D793="gd",7)+IF(D793="sk",7)))+IF(C793="SR",IF(D793="vo",6)+IF(D793="sp",6)+IF(D793="gd",5)+IF(D793="sk",5))+IF(C793="R",IF(D793="vo",4)+IF(D793="sp",4)+IF(D793="gd",5)+IF(D793="sk",5)))*Q793</f>
        <v>0</v>
      </c>
      <c r="AG793" s="168">
        <f t="shared" ref="AG793:AG856" si="544">X793+(IF(C793="UR",IF(E793="party卡",3,IF(D793="vo",6)+IF(D793="sp",7)+IF(D793="gd",8)+IF(D793="sk",6)))+IF(C793="SR",IF(D793="vo",6)+IF(D793="sp",5)+IF(D793="gd",6)+IF(D793="sk",6))+IF(C793="R",IF(D793="vo",4)+IF(D793="sp",5)+IF(D793="gd",4)+IF(D793="sk",4)))*R793</f>
        <v>0</v>
      </c>
      <c r="AH793" s="166">
        <f t="shared" ref="AH793:AH856" si="545">V793+(IF(C793="UR",IF(E793="party卡",4,IF(D793="vo",9)+IF(D793="sp",10)+IF(D793="gd",10)+IF(D793="sk",10)))+IF(C793="SR",IF(D793="vo",7)+IF(D793="sp",7)+IF(D793="gd",9)+IF(D793="sk",7))+IF(C793="R",IF(D793="vo",7)+IF(D793="sp",6)+IF(D793="gd",6)+IF(D793="sk",6)))*P793</f>
        <v>0</v>
      </c>
      <c r="AI793" s="167">
        <f t="shared" ref="AI793:AI856" si="546">W793+(IF(C793="UR",IF(E793="party卡",4,IF(D793="vo",10)+IF(D793="sp",10)+IF(D793="gd",9)+IF(D793="sk",9)))+IF(C793="SR",IF(D793="vo",7)+IF(D793="sp",9)+IF(D793="gd",7)+IF(D793="sk",7))+IF(C793="R",IF(D793="vo",6)+IF(D793="sp",6)+IF(D793="gd",7)+IF(D793="sk",7)))*Q793</f>
        <v>0</v>
      </c>
      <c r="AJ793" s="168">
        <f t="shared" ref="AJ793:AJ856" si="547">X793+(IF(C793="UR",IF(E793="party卡",4,IF(D793="vo",10)+IF(D793="sp",9)+IF(D793="gd",10)+IF(D793="sk",10)))+IF(C793="SR",IF(D793="vo",9)+IF(D793="sp",7)+IF(D793="gd",7)+IF(D793="sk",9))+IF(C793="R",IF(D793="vo",6)+IF(D793="sp",7)+IF(D793="gd",6)+IF(D793="sk",6)))*R793</f>
        <v>0</v>
      </c>
      <c r="AK793" s="169">
        <f t="shared" ref="AK793:AK856" si="548">G793+J793</f>
        <v>0</v>
      </c>
      <c r="AL793" s="167">
        <f t="shared" ref="AL793:AL856" si="549">H793+K793</f>
        <v>0</v>
      </c>
      <c r="AM793" s="585">
        <f t="shared" ref="AM793:AM856" si="550">I793+L793</f>
        <v>0</v>
      </c>
      <c r="AN793" s="614"/>
      <c r="AO793" s="615"/>
      <c r="AP793" s="615"/>
      <c r="AQ793" s="616"/>
      <c r="AR793" s="612"/>
      <c r="AS793" s="617"/>
      <c r="AT793" s="618"/>
      <c r="AU793" s="618"/>
      <c r="AV793" s="618"/>
      <c r="AW793" s="619"/>
      <c r="AX793" s="614"/>
      <c r="AY793" s="616"/>
      <c r="AZ793" s="616"/>
      <c r="BA793" s="616"/>
      <c r="BB793" s="616"/>
      <c r="BC793" s="616"/>
      <c r="BD793" s="612"/>
      <c r="BE793" s="614"/>
      <c r="BF793" s="616"/>
      <c r="BG793" s="616"/>
      <c r="BH793" s="616"/>
      <c r="BI793" s="616"/>
      <c r="BJ793" s="616"/>
      <c r="BK793" s="1023"/>
      <c r="BL793" s="658"/>
    </row>
    <row r="794" spans="2:64">
      <c r="B794" s="1022"/>
      <c r="C794" s="607"/>
      <c r="D794" s="607"/>
      <c r="E794" s="1021"/>
      <c r="F794" s="608">
        <v>791</v>
      </c>
      <c r="G794" s="609"/>
      <c r="H794" s="610"/>
      <c r="I794" s="611"/>
      <c r="J794" s="166">
        <f t="shared" si="521"/>
        <v>0</v>
      </c>
      <c r="K794" s="167">
        <f t="shared" si="522"/>
        <v>0</v>
      </c>
      <c r="L794" s="168">
        <f t="shared" si="523"/>
        <v>0</v>
      </c>
      <c r="M794" s="166">
        <f t="shared" si="524"/>
        <v>0</v>
      </c>
      <c r="N794" s="167">
        <f t="shared" si="525"/>
        <v>0</v>
      </c>
      <c r="O794" s="168">
        <f t="shared" si="526"/>
        <v>0</v>
      </c>
      <c r="P794" s="169">
        <f t="shared" si="527"/>
        <v>0</v>
      </c>
      <c r="Q794" s="169">
        <f t="shared" si="528"/>
        <v>0</v>
      </c>
      <c r="R794" s="169">
        <f t="shared" si="529"/>
        <v>0</v>
      </c>
      <c r="S794" s="584">
        <f t="shared" si="530"/>
        <v>0</v>
      </c>
      <c r="T794" s="594">
        <f t="shared" si="531"/>
        <v>0</v>
      </c>
      <c r="U794" s="595">
        <f t="shared" si="532"/>
        <v>0</v>
      </c>
      <c r="V794" s="166">
        <f t="shared" si="533"/>
        <v>0</v>
      </c>
      <c r="W794" s="167">
        <f t="shared" si="534"/>
        <v>0</v>
      </c>
      <c r="X794" s="168">
        <f t="shared" si="535"/>
        <v>0</v>
      </c>
      <c r="Y794" s="166">
        <f t="shared" si="536"/>
        <v>0</v>
      </c>
      <c r="Z794" s="167">
        <f t="shared" si="537"/>
        <v>0</v>
      </c>
      <c r="AA794" s="168">
        <f t="shared" si="538"/>
        <v>0</v>
      </c>
      <c r="AB794" s="166">
        <f t="shared" si="539"/>
        <v>0</v>
      </c>
      <c r="AC794" s="167">
        <f t="shared" si="540"/>
        <v>0</v>
      </c>
      <c r="AD794" s="168">
        <f t="shared" si="541"/>
        <v>0</v>
      </c>
      <c r="AE794" s="166">
        <f t="shared" si="542"/>
        <v>0</v>
      </c>
      <c r="AF794" s="167">
        <f t="shared" si="543"/>
        <v>0</v>
      </c>
      <c r="AG794" s="168">
        <f t="shared" si="544"/>
        <v>0</v>
      </c>
      <c r="AH794" s="166">
        <f t="shared" si="545"/>
        <v>0</v>
      </c>
      <c r="AI794" s="167">
        <f t="shared" si="546"/>
        <v>0</v>
      </c>
      <c r="AJ794" s="168">
        <f t="shared" si="547"/>
        <v>0</v>
      </c>
      <c r="AK794" s="169">
        <f t="shared" si="548"/>
        <v>0</v>
      </c>
      <c r="AL794" s="167">
        <f t="shared" si="549"/>
        <v>0</v>
      </c>
      <c r="AM794" s="585">
        <f t="shared" si="550"/>
        <v>0</v>
      </c>
      <c r="AN794" s="614"/>
      <c r="AO794" s="615"/>
      <c r="AP794" s="615"/>
      <c r="AQ794" s="616"/>
      <c r="AR794" s="612"/>
      <c r="AS794" s="617"/>
      <c r="AT794" s="618"/>
      <c r="AU794" s="618"/>
      <c r="AV794" s="618"/>
      <c r="AW794" s="619"/>
      <c r="AX794" s="614"/>
      <c r="AY794" s="616"/>
      <c r="AZ794" s="616"/>
      <c r="BA794" s="616"/>
      <c r="BB794" s="616"/>
      <c r="BC794" s="616"/>
      <c r="BD794" s="612"/>
      <c r="BE794" s="614"/>
      <c r="BF794" s="616"/>
      <c r="BG794" s="616"/>
      <c r="BH794" s="616"/>
      <c r="BI794" s="616"/>
      <c r="BJ794" s="616"/>
      <c r="BK794" s="1023"/>
      <c r="BL794" s="658"/>
    </row>
    <row r="795" spans="2:64">
      <c r="B795" s="1022"/>
      <c r="C795" s="607"/>
      <c r="D795" s="607"/>
      <c r="E795" s="1021"/>
      <c r="F795" s="1019">
        <v>792</v>
      </c>
      <c r="G795" s="609"/>
      <c r="H795" s="610"/>
      <c r="I795" s="611"/>
      <c r="J795" s="166">
        <f t="shared" si="521"/>
        <v>0</v>
      </c>
      <c r="K795" s="167">
        <f t="shared" si="522"/>
        <v>0</v>
      </c>
      <c r="L795" s="168">
        <f t="shared" si="523"/>
        <v>0</v>
      </c>
      <c r="M795" s="166">
        <f t="shared" si="524"/>
        <v>0</v>
      </c>
      <c r="N795" s="167">
        <f t="shared" si="525"/>
        <v>0</v>
      </c>
      <c r="O795" s="168">
        <f t="shared" si="526"/>
        <v>0</v>
      </c>
      <c r="P795" s="169">
        <f t="shared" si="527"/>
        <v>0</v>
      </c>
      <c r="Q795" s="169">
        <f t="shared" si="528"/>
        <v>0</v>
      </c>
      <c r="R795" s="169">
        <f t="shared" si="529"/>
        <v>0</v>
      </c>
      <c r="S795" s="584">
        <f t="shared" si="530"/>
        <v>0</v>
      </c>
      <c r="T795" s="594">
        <f t="shared" si="531"/>
        <v>0</v>
      </c>
      <c r="U795" s="595">
        <f t="shared" si="532"/>
        <v>0</v>
      </c>
      <c r="V795" s="166">
        <f t="shared" si="533"/>
        <v>0</v>
      </c>
      <c r="W795" s="167">
        <f t="shared" si="534"/>
        <v>0</v>
      </c>
      <c r="X795" s="168">
        <f t="shared" si="535"/>
        <v>0</v>
      </c>
      <c r="Y795" s="166">
        <f t="shared" si="536"/>
        <v>0</v>
      </c>
      <c r="Z795" s="167">
        <f t="shared" si="537"/>
        <v>0</v>
      </c>
      <c r="AA795" s="168">
        <f t="shared" si="538"/>
        <v>0</v>
      </c>
      <c r="AB795" s="166">
        <f t="shared" si="539"/>
        <v>0</v>
      </c>
      <c r="AC795" s="167">
        <f t="shared" si="540"/>
        <v>0</v>
      </c>
      <c r="AD795" s="168">
        <f t="shared" si="541"/>
        <v>0</v>
      </c>
      <c r="AE795" s="166">
        <f t="shared" si="542"/>
        <v>0</v>
      </c>
      <c r="AF795" s="167">
        <f t="shared" si="543"/>
        <v>0</v>
      </c>
      <c r="AG795" s="168">
        <f t="shared" si="544"/>
        <v>0</v>
      </c>
      <c r="AH795" s="166">
        <f t="shared" si="545"/>
        <v>0</v>
      </c>
      <c r="AI795" s="167">
        <f t="shared" si="546"/>
        <v>0</v>
      </c>
      <c r="AJ795" s="168">
        <f t="shared" si="547"/>
        <v>0</v>
      </c>
      <c r="AK795" s="169">
        <f t="shared" si="548"/>
        <v>0</v>
      </c>
      <c r="AL795" s="167">
        <f t="shared" si="549"/>
        <v>0</v>
      </c>
      <c r="AM795" s="585">
        <f t="shared" si="550"/>
        <v>0</v>
      </c>
      <c r="AN795" s="614"/>
      <c r="AO795" s="615"/>
      <c r="AP795" s="615"/>
      <c r="AQ795" s="616"/>
      <c r="AR795" s="612"/>
      <c r="AS795" s="617"/>
      <c r="AT795" s="618"/>
      <c r="AU795" s="618"/>
      <c r="AV795" s="618"/>
      <c r="AW795" s="619"/>
      <c r="AX795" s="614"/>
      <c r="AY795" s="616"/>
      <c r="AZ795" s="616"/>
      <c r="BA795" s="616"/>
      <c r="BB795" s="616"/>
      <c r="BC795" s="616"/>
      <c r="BD795" s="612"/>
      <c r="BE795" s="614"/>
      <c r="BF795" s="616"/>
      <c r="BG795" s="616"/>
      <c r="BH795" s="616"/>
      <c r="BI795" s="616"/>
      <c r="BJ795" s="616"/>
      <c r="BK795" s="1023"/>
      <c r="BL795" s="658"/>
    </row>
    <row r="796" spans="2:64">
      <c r="B796" s="1022"/>
      <c r="C796" s="607"/>
      <c r="D796" s="607"/>
      <c r="E796" s="1021"/>
      <c r="F796" s="608">
        <v>793</v>
      </c>
      <c r="G796" s="609"/>
      <c r="H796" s="610"/>
      <c r="I796" s="611"/>
      <c r="J796" s="166">
        <f t="shared" si="521"/>
        <v>0</v>
      </c>
      <c r="K796" s="167">
        <f t="shared" si="522"/>
        <v>0</v>
      </c>
      <c r="L796" s="168">
        <f t="shared" si="523"/>
        <v>0</v>
      </c>
      <c r="M796" s="166">
        <f t="shared" si="524"/>
        <v>0</v>
      </c>
      <c r="N796" s="167">
        <f t="shared" si="525"/>
        <v>0</v>
      </c>
      <c r="O796" s="168">
        <f t="shared" si="526"/>
        <v>0</v>
      </c>
      <c r="P796" s="169">
        <f t="shared" si="527"/>
        <v>0</v>
      </c>
      <c r="Q796" s="169">
        <f t="shared" si="528"/>
        <v>0</v>
      </c>
      <c r="R796" s="169">
        <f t="shared" si="529"/>
        <v>0</v>
      </c>
      <c r="S796" s="584">
        <f t="shared" si="530"/>
        <v>0</v>
      </c>
      <c r="T796" s="594">
        <f t="shared" si="531"/>
        <v>0</v>
      </c>
      <c r="U796" s="595">
        <f t="shared" si="532"/>
        <v>0</v>
      </c>
      <c r="V796" s="166">
        <f t="shared" si="533"/>
        <v>0</v>
      </c>
      <c r="W796" s="167">
        <f t="shared" si="534"/>
        <v>0</v>
      </c>
      <c r="X796" s="168">
        <f t="shared" si="535"/>
        <v>0</v>
      </c>
      <c r="Y796" s="166">
        <f t="shared" si="536"/>
        <v>0</v>
      </c>
      <c r="Z796" s="167">
        <f t="shared" si="537"/>
        <v>0</v>
      </c>
      <c r="AA796" s="168">
        <f t="shared" si="538"/>
        <v>0</v>
      </c>
      <c r="AB796" s="166">
        <f t="shared" si="539"/>
        <v>0</v>
      </c>
      <c r="AC796" s="167">
        <f t="shared" si="540"/>
        <v>0</v>
      </c>
      <c r="AD796" s="168">
        <f t="shared" si="541"/>
        <v>0</v>
      </c>
      <c r="AE796" s="166">
        <f t="shared" si="542"/>
        <v>0</v>
      </c>
      <c r="AF796" s="167">
        <f t="shared" si="543"/>
        <v>0</v>
      </c>
      <c r="AG796" s="168">
        <f t="shared" si="544"/>
        <v>0</v>
      </c>
      <c r="AH796" s="166">
        <f t="shared" si="545"/>
        <v>0</v>
      </c>
      <c r="AI796" s="167">
        <f t="shared" si="546"/>
        <v>0</v>
      </c>
      <c r="AJ796" s="168">
        <f t="shared" si="547"/>
        <v>0</v>
      </c>
      <c r="AK796" s="169">
        <f t="shared" si="548"/>
        <v>0</v>
      </c>
      <c r="AL796" s="167">
        <f t="shared" si="549"/>
        <v>0</v>
      </c>
      <c r="AM796" s="585">
        <f t="shared" si="550"/>
        <v>0</v>
      </c>
      <c r="AN796" s="614"/>
      <c r="AO796" s="615"/>
      <c r="AP796" s="615"/>
      <c r="AQ796" s="616"/>
      <c r="AR796" s="612"/>
      <c r="AS796" s="617"/>
      <c r="AT796" s="618"/>
      <c r="AU796" s="618"/>
      <c r="AV796" s="618"/>
      <c r="AW796" s="619"/>
      <c r="AX796" s="614"/>
      <c r="AY796" s="616"/>
      <c r="AZ796" s="616"/>
      <c r="BA796" s="616"/>
      <c r="BB796" s="616"/>
      <c r="BC796" s="616"/>
      <c r="BD796" s="612"/>
      <c r="BE796" s="614"/>
      <c r="BF796" s="616"/>
      <c r="BG796" s="616"/>
      <c r="BH796" s="616"/>
      <c r="BI796" s="616"/>
      <c r="BJ796" s="616"/>
      <c r="BK796" s="1023"/>
      <c r="BL796" s="658"/>
    </row>
    <row r="797" spans="2:64">
      <c r="B797" s="1022"/>
      <c r="C797" s="607"/>
      <c r="D797" s="607"/>
      <c r="E797" s="1021"/>
      <c r="F797" s="1019">
        <v>794</v>
      </c>
      <c r="G797" s="609"/>
      <c r="H797" s="610"/>
      <c r="I797" s="611"/>
      <c r="J797" s="166">
        <f t="shared" si="521"/>
        <v>0</v>
      </c>
      <c r="K797" s="167">
        <f t="shared" si="522"/>
        <v>0</v>
      </c>
      <c r="L797" s="168">
        <f t="shared" si="523"/>
        <v>0</v>
      </c>
      <c r="M797" s="166">
        <f t="shared" si="524"/>
        <v>0</v>
      </c>
      <c r="N797" s="167">
        <f t="shared" si="525"/>
        <v>0</v>
      </c>
      <c r="O797" s="168">
        <f t="shared" si="526"/>
        <v>0</v>
      </c>
      <c r="P797" s="169">
        <f t="shared" si="527"/>
        <v>0</v>
      </c>
      <c r="Q797" s="169">
        <f t="shared" si="528"/>
        <v>0</v>
      </c>
      <c r="R797" s="169">
        <f t="shared" si="529"/>
        <v>0</v>
      </c>
      <c r="S797" s="584">
        <f t="shared" si="530"/>
        <v>0</v>
      </c>
      <c r="T797" s="594">
        <f t="shared" si="531"/>
        <v>0</v>
      </c>
      <c r="U797" s="595">
        <f t="shared" si="532"/>
        <v>0</v>
      </c>
      <c r="V797" s="166">
        <f t="shared" si="533"/>
        <v>0</v>
      </c>
      <c r="W797" s="167">
        <f t="shared" si="534"/>
        <v>0</v>
      </c>
      <c r="X797" s="168">
        <f t="shared" si="535"/>
        <v>0</v>
      </c>
      <c r="Y797" s="166">
        <f t="shared" si="536"/>
        <v>0</v>
      </c>
      <c r="Z797" s="167">
        <f t="shared" si="537"/>
        <v>0</v>
      </c>
      <c r="AA797" s="168">
        <f t="shared" si="538"/>
        <v>0</v>
      </c>
      <c r="AB797" s="166">
        <f t="shared" si="539"/>
        <v>0</v>
      </c>
      <c r="AC797" s="167">
        <f t="shared" si="540"/>
        <v>0</v>
      </c>
      <c r="AD797" s="168">
        <f t="shared" si="541"/>
        <v>0</v>
      </c>
      <c r="AE797" s="166">
        <f t="shared" si="542"/>
        <v>0</v>
      </c>
      <c r="AF797" s="167">
        <f t="shared" si="543"/>
        <v>0</v>
      </c>
      <c r="AG797" s="168">
        <f t="shared" si="544"/>
        <v>0</v>
      </c>
      <c r="AH797" s="166">
        <f t="shared" si="545"/>
        <v>0</v>
      </c>
      <c r="AI797" s="167">
        <f t="shared" si="546"/>
        <v>0</v>
      </c>
      <c r="AJ797" s="168">
        <f t="shared" si="547"/>
        <v>0</v>
      </c>
      <c r="AK797" s="169">
        <f t="shared" si="548"/>
        <v>0</v>
      </c>
      <c r="AL797" s="167">
        <f t="shared" si="549"/>
        <v>0</v>
      </c>
      <c r="AM797" s="585">
        <f t="shared" si="550"/>
        <v>0</v>
      </c>
      <c r="AN797" s="614"/>
      <c r="AO797" s="615"/>
      <c r="AP797" s="615"/>
      <c r="AQ797" s="616"/>
      <c r="AR797" s="612"/>
      <c r="AS797" s="617"/>
      <c r="AT797" s="618"/>
      <c r="AU797" s="618"/>
      <c r="AV797" s="618"/>
      <c r="AW797" s="619"/>
      <c r="AX797" s="614"/>
      <c r="AY797" s="616"/>
      <c r="AZ797" s="616"/>
      <c r="BA797" s="616"/>
      <c r="BB797" s="616"/>
      <c r="BC797" s="616"/>
      <c r="BD797" s="612"/>
      <c r="BE797" s="614"/>
      <c r="BF797" s="616"/>
      <c r="BG797" s="616"/>
      <c r="BH797" s="616"/>
      <c r="BI797" s="616"/>
      <c r="BJ797" s="616"/>
      <c r="BK797" s="1023"/>
      <c r="BL797" s="658"/>
    </row>
    <row r="798" spans="2:64">
      <c r="B798" s="1022"/>
      <c r="C798" s="607"/>
      <c r="D798" s="607"/>
      <c r="E798" s="1021"/>
      <c r="F798" s="608">
        <v>795</v>
      </c>
      <c r="G798" s="609"/>
      <c r="H798" s="610"/>
      <c r="I798" s="611"/>
      <c r="J798" s="166">
        <f t="shared" si="521"/>
        <v>0</v>
      </c>
      <c r="K798" s="167">
        <f t="shared" si="522"/>
        <v>0</v>
      </c>
      <c r="L798" s="168">
        <f t="shared" si="523"/>
        <v>0</v>
      </c>
      <c r="M798" s="166">
        <f t="shared" si="524"/>
        <v>0</v>
      </c>
      <c r="N798" s="167">
        <f t="shared" si="525"/>
        <v>0</v>
      </c>
      <c r="O798" s="168">
        <f t="shared" si="526"/>
        <v>0</v>
      </c>
      <c r="P798" s="169">
        <f t="shared" si="527"/>
        <v>0</v>
      </c>
      <c r="Q798" s="169">
        <f t="shared" si="528"/>
        <v>0</v>
      </c>
      <c r="R798" s="169">
        <f t="shared" si="529"/>
        <v>0</v>
      </c>
      <c r="S798" s="584">
        <f t="shared" si="530"/>
        <v>0</v>
      </c>
      <c r="T798" s="594">
        <f t="shared" si="531"/>
        <v>0</v>
      </c>
      <c r="U798" s="595">
        <f t="shared" si="532"/>
        <v>0</v>
      </c>
      <c r="V798" s="166">
        <f t="shared" si="533"/>
        <v>0</v>
      </c>
      <c r="W798" s="167">
        <f t="shared" si="534"/>
        <v>0</v>
      </c>
      <c r="X798" s="168">
        <f t="shared" si="535"/>
        <v>0</v>
      </c>
      <c r="Y798" s="166">
        <f t="shared" si="536"/>
        <v>0</v>
      </c>
      <c r="Z798" s="167">
        <f t="shared" si="537"/>
        <v>0</v>
      </c>
      <c r="AA798" s="168">
        <f t="shared" si="538"/>
        <v>0</v>
      </c>
      <c r="AB798" s="166">
        <f t="shared" si="539"/>
        <v>0</v>
      </c>
      <c r="AC798" s="167">
        <f t="shared" si="540"/>
        <v>0</v>
      </c>
      <c r="AD798" s="168">
        <f t="shared" si="541"/>
        <v>0</v>
      </c>
      <c r="AE798" s="166">
        <f t="shared" si="542"/>
        <v>0</v>
      </c>
      <c r="AF798" s="167">
        <f t="shared" si="543"/>
        <v>0</v>
      </c>
      <c r="AG798" s="168">
        <f t="shared" si="544"/>
        <v>0</v>
      </c>
      <c r="AH798" s="166">
        <f t="shared" si="545"/>
        <v>0</v>
      </c>
      <c r="AI798" s="167">
        <f t="shared" si="546"/>
        <v>0</v>
      </c>
      <c r="AJ798" s="168">
        <f t="shared" si="547"/>
        <v>0</v>
      </c>
      <c r="AK798" s="169">
        <f t="shared" si="548"/>
        <v>0</v>
      </c>
      <c r="AL798" s="167">
        <f t="shared" si="549"/>
        <v>0</v>
      </c>
      <c r="AM798" s="585">
        <f t="shared" si="550"/>
        <v>0</v>
      </c>
      <c r="AN798" s="614"/>
      <c r="AO798" s="615"/>
      <c r="AP798" s="615"/>
      <c r="AQ798" s="616"/>
      <c r="AR798" s="612"/>
      <c r="AS798" s="617"/>
      <c r="AT798" s="618"/>
      <c r="AU798" s="618"/>
      <c r="AV798" s="618"/>
      <c r="AW798" s="619"/>
      <c r="AX798" s="614"/>
      <c r="AY798" s="616"/>
      <c r="AZ798" s="616"/>
      <c r="BA798" s="616"/>
      <c r="BB798" s="616"/>
      <c r="BC798" s="616"/>
      <c r="BD798" s="612"/>
      <c r="BE798" s="614"/>
      <c r="BF798" s="616"/>
      <c r="BG798" s="616"/>
      <c r="BH798" s="616"/>
      <c r="BI798" s="616"/>
      <c r="BJ798" s="616"/>
      <c r="BK798" s="1023"/>
      <c r="BL798" s="658"/>
    </row>
    <row r="799" spans="2:64">
      <c r="B799" s="1022"/>
      <c r="C799" s="607"/>
      <c r="D799" s="607"/>
      <c r="E799" s="1021"/>
      <c r="F799" s="1019">
        <v>796</v>
      </c>
      <c r="G799" s="609"/>
      <c r="H799" s="610"/>
      <c r="I799" s="611"/>
      <c r="J799" s="166">
        <f t="shared" si="521"/>
        <v>0</v>
      </c>
      <c r="K799" s="167">
        <f t="shared" si="522"/>
        <v>0</v>
      </c>
      <c r="L799" s="168">
        <f t="shared" si="523"/>
        <v>0</v>
      </c>
      <c r="M799" s="166">
        <f t="shared" si="524"/>
        <v>0</v>
      </c>
      <c r="N799" s="167">
        <f t="shared" si="525"/>
        <v>0</v>
      </c>
      <c r="O799" s="168">
        <f t="shared" si="526"/>
        <v>0</v>
      </c>
      <c r="P799" s="169">
        <f t="shared" si="527"/>
        <v>0</v>
      </c>
      <c r="Q799" s="169">
        <f t="shared" si="528"/>
        <v>0</v>
      </c>
      <c r="R799" s="169">
        <f t="shared" si="529"/>
        <v>0</v>
      </c>
      <c r="S799" s="584">
        <f t="shared" si="530"/>
        <v>0</v>
      </c>
      <c r="T799" s="594">
        <f t="shared" si="531"/>
        <v>0</v>
      </c>
      <c r="U799" s="595">
        <f t="shared" si="532"/>
        <v>0</v>
      </c>
      <c r="V799" s="166">
        <f t="shared" si="533"/>
        <v>0</v>
      </c>
      <c r="W799" s="167">
        <f t="shared" si="534"/>
        <v>0</v>
      </c>
      <c r="X799" s="168">
        <f t="shared" si="535"/>
        <v>0</v>
      </c>
      <c r="Y799" s="166">
        <f t="shared" si="536"/>
        <v>0</v>
      </c>
      <c r="Z799" s="167">
        <f t="shared" si="537"/>
        <v>0</v>
      </c>
      <c r="AA799" s="168">
        <f t="shared" si="538"/>
        <v>0</v>
      </c>
      <c r="AB799" s="166">
        <f t="shared" si="539"/>
        <v>0</v>
      </c>
      <c r="AC799" s="167">
        <f t="shared" si="540"/>
        <v>0</v>
      </c>
      <c r="AD799" s="168">
        <f t="shared" si="541"/>
        <v>0</v>
      </c>
      <c r="AE799" s="166">
        <f t="shared" si="542"/>
        <v>0</v>
      </c>
      <c r="AF799" s="167">
        <f t="shared" si="543"/>
        <v>0</v>
      </c>
      <c r="AG799" s="168">
        <f t="shared" si="544"/>
        <v>0</v>
      </c>
      <c r="AH799" s="166">
        <f t="shared" si="545"/>
        <v>0</v>
      </c>
      <c r="AI799" s="167">
        <f t="shared" si="546"/>
        <v>0</v>
      </c>
      <c r="AJ799" s="168">
        <f t="shared" si="547"/>
        <v>0</v>
      </c>
      <c r="AK799" s="169">
        <f t="shared" si="548"/>
        <v>0</v>
      </c>
      <c r="AL799" s="167">
        <f t="shared" si="549"/>
        <v>0</v>
      </c>
      <c r="AM799" s="585">
        <f t="shared" si="550"/>
        <v>0</v>
      </c>
      <c r="AN799" s="614"/>
      <c r="AO799" s="615"/>
      <c r="AP799" s="615"/>
      <c r="AQ799" s="616"/>
      <c r="AR799" s="612"/>
      <c r="AS799" s="617"/>
      <c r="AT799" s="618"/>
      <c r="AU799" s="618"/>
      <c r="AV799" s="618"/>
      <c r="AW799" s="619"/>
      <c r="AX799" s="614"/>
      <c r="AY799" s="616"/>
      <c r="AZ799" s="616"/>
      <c r="BA799" s="616"/>
      <c r="BB799" s="616"/>
      <c r="BC799" s="616"/>
      <c r="BD799" s="612"/>
      <c r="BE799" s="614"/>
      <c r="BF799" s="616"/>
      <c r="BG799" s="616"/>
      <c r="BH799" s="616"/>
      <c r="BI799" s="616"/>
      <c r="BJ799" s="616"/>
      <c r="BK799" s="1023"/>
      <c r="BL799" s="658"/>
    </row>
    <row r="800" spans="2:64">
      <c r="B800" s="1022"/>
      <c r="C800" s="607"/>
      <c r="D800" s="607"/>
      <c r="E800" s="1021"/>
      <c r="F800" s="608">
        <v>797</v>
      </c>
      <c r="G800" s="609"/>
      <c r="H800" s="610"/>
      <c r="I800" s="611"/>
      <c r="J800" s="166">
        <f t="shared" si="521"/>
        <v>0</v>
      </c>
      <c r="K800" s="167">
        <f t="shared" si="522"/>
        <v>0</v>
      </c>
      <c r="L800" s="168">
        <f t="shared" si="523"/>
        <v>0</v>
      </c>
      <c r="M800" s="166">
        <f t="shared" si="524"/>
        <v>0</v>
      </c>
      <c r="N800" s="167">
        <f t="shared" si="525"/>
        <v>0</v>
      </c>
      <c r="O800" s="168">
        <f t="shared" si="526"/>
        <v>0</v>
      </c>
      <c r="P800" s="169">
        <f t="shared" si="527"/>
        <v>0</v>
      </c>
      <c r="Q800" s="169">
        <f t="shared" si="528"/>
        <v>0</v>
      </c>
      <c r="R800" s="169">
        <f t="shared" si="529"/>
        <v>0</v>
      </c>
      <c r="S800" s="584">
        <f t="shared" si="530"/>
        <v>0</v>
      </c>
      <c r="T800" s="594">
        <f t="shared" si="531"/>
        <v>0</v>
      </c>
      <c r="U800" s="595">
        <f t="shared" si="532"/>
        <v>0</v>
      </c>
      <c r="V800" s="166">
        <f t="shared" si="533"/>
        <v>0</v>
      </c>
      <c r="W800" s="167">
        <f t="shared" si="534"/>
        <v>0</v>
      </c>
      <c r="X800" s="168">
        <f t="shared" si="535"/>
        <v>0</v>
      </c>
      <c r="Y800" s="166">
        <f t="shared" si="536"/>
        <v>0</v>
      </c>
      <c r="Z800" s="167">
        <f t="shared" si="537"/>
        <v>0</v>
      </c>
      <c r="AA800" s="168">
        <f t="shared" si="538"/>
        <v>0</v>
      </c>
      <c r="AB800" s="166">
        <f t="shared" si="539"/>
        <v>0</v>
      </c>
      <c r="AC800" s="167">
        <f t="shared" si="540"/>
        <v>0</v>
      </c>
      <c r="AD800" s="168">
        <f t="shared" si="541"/>
        <v>0</v>
      </c>
      <c r="AE800" s="166">
        <f t="shared" si="542"/>
        <v>0</v>
      </c>
      <c r="AF800" s="167">
        <f t="shared" si="543"/>
        <v>0</v>
      </c>
      <c r="AG800" s="168">
        <f t="shared" si="544"/>
        <v>0</v>
      </c>
      <c r="AH800" s="166">
        <f t="shared" si="545"/>
        <v>0</v>
      </c>
      <c r="AI800" s="167">
        <f t="shared" si="546"/>
        <v>0</v>
      </c>
      <c r="AJ800" s="168">
        <f t="shared" si="547"/>
        <v>0</v>
      </c>
      <c r="AK800" s="169">
        <f t="shared" si="548"/>
        <v>0</v>
      </c>
      <c r="AL800" s="167">
        <f t="shared" si="549"/>
        <v>0</v>
      </c>
      <c r="AM800" s="585">
        <f t="shared" si="550"/>
        <v>0</v>
      </c>
      <c r="AN800" s="614"/>
      <c r="AO800" s="615"/>
      <c r="AP800" s="615"/>
      <c r="AQ800" s="616"/>
      <c r="AR800" s="612"/>
      <c r="AS800" s="617"/>
      <c r="AT800" s="618"/>
      <c r="AU800" s="618"/>
      <c r="AV800" s="618"/>
      <c r="AW800" s="619"/>
      <c r="AX800" s="614"/>
      <c r="AY800" s="616"/>
      <c r="AZ800" s="616"/>
      <c r="BA800" s="616"/>
      <c r="BB800" s="616"/>
      <c r="BC800" s="616"/>
      <c r="BD800" s="612"/>
      <c r="BE800" s="614"/>
      <c r="BF800" s="616"/>
      <c r="BG800" s="616"/>
      <c r="BH800" s="616"/>
      <c r="BI800" s="616"/>
      <c r="BJ800" s="616"/>
      <c r="BK800" s="1023"/>
      <c r="BL800" s="658"/>
    </row>
    <row r="801" spans="2:64">
      <c r="B801" s="1022"/>
      <c r="C801" s="607"/>
      <c r="D801" s="607"/>
      <c r="E801" s="1021"/>
      <c r="F801" s="1019">
        <v>798</v>
      </c>
      <c r="G801" s="609"/>
      <c r="H801" s="610"/>
      <c r="I801" s="611"/>
      <c r="J801" s="166">
        <f t="shared" si="521"/>
        <v>0</v>
      </c>
      <c r="K801" s="167">
        <f t="shared" si="522"/>
        <v>0</v>
      </c>
      <c r="L801" s="168">
        <f t="shared" si="523"/>
        <v>0</v>
      </c>
      <c r="M801" s="166">
        <f t="shared" si="524"/>
        <v>0</v>
      </c>
      <c r="N801" s="167">
        <f t="shared" si="525"/>
        <v>0</v>
      </c>
      <c r="O801" s="168">
        <f t="shared" si="526"/>
        <v>0</v>
      </c>
      <c r="P801" s="169">
        <f t="shared" si="527"/>
        <v>0</v>
      </c>
      <c r="Q801" s="169">
        <f t="shared" si="528"/>
        <v>0</v>
      </c>
      <c r="R801" s="169">
        <f t="shared" si="529"/>
        <v>0</v>
      </c>
      <c r="S801" s="584">
        <f t="shared" si="530"/>
        <v>0</v>
      </c>
      <c r="T801" s="594">
        <f t="shared" si="531"/>
        <v>0</v>
      </c>
      <c r="U801" s="595">
        <f t="shared" si="532"/>
        <v>0</v>
      </c>
      <c r="V801" s="166">
        <f t="shared" si="533"/>
        <v>0</v>
      </c>
      <c r="W801" s="167">
        <f t="shared" si="534"/>
        <v>0</v>
      </c>
      <c r="X801" s="168">
        <f t="shared" si="535"/>
        <v>0</v>
      </c>
      <c r="Y801" s="166">
        <f t="shared" si="536"/>
        <v>0</v>
      </c>
      <c r="Z801" s="167">
        <f t="shared" si="537"/>
        <v>0</v>
      </c>
      <c r="AA801" s="168">
        <f t="shared" si="538"/>
        <v>0</v>
      </c>
      <c r="AB801" s="166">
        <f t="shared" si="539"/>
        <v>0</v>
      </c>
      <c r="AC801" s="167">
        <f t="shared" si="540"/>
        <v>0</v>
      </c>
      <c r="AD801" s="168">
        <f t="shared" si="541"/>
        <v>0</v>
      </c>
      <c r="AE801" s="166">
        <f t="shared" si="542"/>
        <v>0</v>
      </c>
      <c r="AF801" s="167">
        <f t="shared" si="543"/>
        <v>0</v>
      </c>
      <c r="AG801" s="168">
        <f t="shared" si="544"/>
        <v>0</v>
      </c>
      <c r="AH801" s="166">
        <f t="shared" si="545"/>
        <v>0</v>
      </c>
      <c r="AI801" s="167">
        <f t="shared" si="546"/>
        <v>0</v>
      </c>
      <c r="AJ801" s="168">
        <f t="shared" si="547"/>
        <v>0</v>
      </c>
      <c r="AK801" s="169">
        <f t="shared" si="548"/>
        <v>0</v>
      </c>
      <c r="AL801" s="167">
        <f t="shared" si="549"/>
        <v>0</v>
      </c>
      <c r="AM801" s="585">
        <f t="shared" si="550"/>
        <v>0</v>
      </c>
      <c r="AN801" s="614"/>
      <c r="AO801" s="615"/>
      <c r="AP801" s="615"/>
      <c r="AQ801" s="616"/>
      <c r="AR801" s="612"/>
      <c r="AS801" s="617"/>
      <c r="AT801" s="618"/>
      <c r="AU801" s="618"/>
      <c r="AV801" s="618"/>
      <c r="AW801" s="619"/>
      <c r="AX801" s="614"/>
      <c r="AY801" s="616"/>
      <c r="AZ801" s="616"/>
      <c r="BA801" s="616"/>
      <c r="BB801" s="616"/>
      <c r="BC801" s="616"/>
      <c r="BD801" s="612"/>
      <c r="BE801" s="614"/>
      <c r="BF801" s="616"/>
      <c r="BG801" s="616"/>
      <c r="BH801" s="616"/>
      <c r="BI801" s="616"/>
      <c r="BJ801" s="616"/>
      <c r="BK801" s="1023"/>
      <c r="BL801" s="658"/>
    </row>
    <row r="802" spans="2:64">
      <c r="B802" s="1022"/>
      <c r="C802" s="607"/>
      <c r="D802" s="607"/>
      <c r="E802" s="1021"/>
      <c r="F802" s="608">
        <v>799</v>
      </c>
      <c r="G802" s="609"/>
      <c r="H802" s="610"/>
      <c r="I802" s="611"/>
      <c r="J802" s="166">
        <f t="shared" si="521"/>
        <v>0</v>
      </c>
      <c r="K802" s="167">
        <f t="shared" si="522"/>
        <v>0</v>
      </c>
      <c r="L802" s="168">
        <f t="shared" si="523"/>
        <v>0</v>
      </c>
      <c r="M802" s="166">
        <f t="shared" si="524"/>
        <v>0</v>
      </c>
      <c r="N802" s="167">
        <f t="shared" si="525"/>
        <v>0</v>
      </c>
      <c r="O802" s="168">
        <f t="shared" si="526"/>
        <v>0</v>
      </c>
      <c r="P802" s="169">
        <f t="shared" si="527"/>
        <v>0</v>
      </c>
      <c r="Q802" s="169">
        <f t="shared" si="528"/>
        <v>0</v>
      </c>
      <c r="R802" s="169">
        <f t="shared" si="529"/>
        <v>0</v>
      </c>
      <c r="S802" s="584">
        <f t="shared" si="530"/>
        <v>0</v>
      </c>
      <c r="T802" s="594">
        <f t="shared" si="531"/>
        <v>0</v>
      </c>
      <c r="U802" s="595">
        <f t="shared" si="532"/>
        <v>0</v>
      </c>
      <c r="V802" s="166">
        <f t="shared" si="533"/>
        <v>0</v>
      </c>
      <c r="W802" s="167">
        <f t="shared" si="534"/>
        <v>0</v>
      </c>
      <c r="X802" s="168">
        <f t="shared" si="535"/>
        <v>0</v>
      </c>
      <c r="Y802" s="166">
        <f t="shared" si="536"/>
        <v>0</v>
      </c>
      <c r="Z802" s="167">
        <f t="shared" si="537"/>
        <v>0</v>
      </c>
      <c r="AA802" s="168">
        <f t="shared" si="538"/>
        <v>0</v>
      </c>
      <c r="AB802" s="166">
        <f t="shared" si="539"/>
        <v>0</v>
      </c>
      <c r="AC802" s="167">
        <f t="shared" si="540"/>
        <v>0</v>
      </c>
      <c r="AD802" s="168">
        <f t="shared" si="541"/>
        <v>0</v>
      </c>
      <c r="AE802" s="166">
        <f t="shared" si="542"/>
        <v>0</v>
      </c>
      <c r="AF802" s="167">
        <f t="shared" si="543"/>
        <v>0</v>
      </c>
      <c r="AG802" s="168">
        <f t="shared" si="544"/>
        <v>0</v>
      </c>
      <c r="AH802" s="166">
        <f t="shared" si="545"/>
        <v>0</v>
      </c>
      <c r="AI802" s="167">
        <f t="shared" si="546"/>
        <v>0</v>
      </c>
      <c r="AJ802" s="168">
        <f t="shared" si="547"/>
        <v>0</v>
      </c>
      <c r="AK802" s="169">
        <f t="shared" si="548"/>
        <v>0</v>
      </c>
      <c r="AL802" s="167">
        <f t="shared" si="549"/>
        <v>0</v>
      </c>
      <c r="AM802" s="585">
        <f t="shared" si="550"/>
        <v>0</v>
      </c>
      <c r="AN802" s="614"/>
      <c r="AO802" s="615"/>
      <c r="AP802" s="615"/>
      <c r="AQ802" s="616"/>
      <c r="AR802" s="612"/>
      <c r="AS802" s="617"/>
      <c r="AT802" s="618"/>
      <c r="AU802" s="618"/>
      <c r="AV802" s="618"/>
      <c r="AW802" s="619"/>
      <c r="AX802" s="614"/>
      <c r="AY802" s="616"/>
      <c r="AZ802" s="616"/>
      <c r="BA802" s="616"/>
      <c r="BB802" s="616"/>
      <c r="BC802" s="616"/>
      <c r="BD802" s="612"/>
      <c r="BE802" s="614"/>
      <c r="BF802" s="616"/>
      <c r="BG802" s="616"/>
      <c r="BH802" s="616"/>
      <c r="BI802" s="616"/>
      <c r="BJ802" s="616"/>
      <c r="BK802" s="1023"/>
      <c r="BL802" s="658"/>
    </row>
    <row r="803" spans="2:64">
      <c r="B803" s="1022"/>
      <c r="C803" s="607"/>
      <c r="D803" s="607"/>
      <c r="E803" s="1021"/>
      <c r="F803" s="1019">
        <v>800</v>
      </c>
      <c r="G803" s="609"/>
      <c r="H803" s="610"/>
      <c r="I803" s="611"/>
      <c r="J803" s="166">
        <f t="shared" si="521"/>
        <v>0</v>
      </c>
      <c r="K803" s="167">
        <f t="shared" si="522"/>
        <v>0</v>
      </c>
      <c r="L803" s="168">
        <f t="shared" si="523"/>
        <v>0</v>
      </c>
      <c r="M803" s="166">
        <f t="shared" si="524"/>
        <v>0</v>
      </c>
      <c r="N803" s="167">
        <f t="shared" si="525"/>
        <v>0</v>
      </c>
      <c r="O803" s="168">
        <f t="shared" si="526"/>
        <v>0</v>
      </c>
      <c r="P803" s="169">
        <f t="shared" si="527"/>
        <v>0</v>
      </c>
      <c r="Q803" s="169">
        <f t="shared" si="528"/>
        <v>0</v>
      </c>
      <c r="R803" s="169">
        <f t="shared" si="529"/>
        <v>0</v>
      </c>
      <c r="S803" s="584">
        <f t="shared" si="530"/>
        <v>0</v>
      </c>
      <c r="T803" s="594">
        <f t="shared" si="531"/>
        <v>0</v>
      </c>
      <c r="U803" s="595">
        <f t="shared" si="532"/>
        <v>0</v>
      </c>
      <c r="V803" s="166">
        <f t="shared" si="533"/>
        <v>0</v>
      </c>
      <c r="W803" s="167">
        <f t="shared" si="534"/>
        <v>0</v>
      </c>
      <c r="X803" s="168">
        <f t="shared" si="535"/>
        <v>0</v>
      </c>
      <c r="Y803" s="166">
        <f t="shared" si="536"/>
        <v>0</v>
      </c>
      <c r="Z803" s="167">
        <f t="shared" si="537"/>
        <v>0</v>
      </c>
      <c r="AA803" s="168">
        <f t="shared" si="538"/>
        <v>0</v>
      </c>
      <c r="AB803" s="166">
        <f t="shared" si="539"/>
        <v>0</v>
      </c>
      <c r="AC803" s="167">
        <f t="shared" si="540"/>
        <v>0</v>
      </c>
      <c r="AD803" s="168">
        <f t="shared" si="541"/>
        <v>0</v>
      </c>
      <c r="AE803" s="166">
        <f t="shared" si="542"/>
        <v>0</v>
      </c>
      <c r="AF803" s="167">
        <f t="shared" si="543"/>
        <v>0</v>
      </c>
      <c r="AG803" s="168">
        <f t="shared" si="544"/>
        <v>0</v>
      </c>
      <c r="AH803" s="166">
        <f t="shared" si="545"/>
        <v>0</v>
      </c>
      <c r="AI803" s="167">
        <f t="shared" si="546"/>
        <v>0</v>
      </c>
      <c r="AJ803" s="168">
        <f t="shared" si="547"/>
        <v>0</v>
      </c>
      <c r="AK803" s="169">
        <f t="shared" si="548"/>
        <v>0</v>
      </c>
      <c r="AL803" s="167">
        <f t="shared" si="549"/>
        <v>0</v>
      </c>
      <c r="AM803" s="585">
        <f t="shared" si="550"/>
        <v>0</v>
      </c>
      <c r="AN803" s="614"/>
      <c r="AO803" s="615"/>
      <c r="AP803" s="615"/>
      <c r="AQ803" s="616"/>
      <c r="AR803" s="612"/>
      <c r="AS803" s="617"/>
      <c r="AT803" s="618"/>
      <c r="AU803" s="618"/>
      <c r="AV803" s="618"/>
      <c r="AW803" s="619"/>
      <c r="AX803" s="614"/>
      <c r="AY803" s="616"/>
      <c r="AZ803" s="616"/>
      <c r="BA803" s="616"/>
      <c r="BB803" s="616"/>
      <c r="BC803" s="616"/>
      <c r="BD803" s="612"/>
      <c r="BE803" s="614"/>
      <c r="BF803" s="616"/>
      <c r="BG803" s="616"/>
      <c r="BH803" s="616"/>
      <c r="BI803" s="616"/>
      <c r="BJ803" s="616"/>
      <c r="BK803" s="1023"/>
      <c r="BL803" s="658"/>
    </row>
    <row r="804" spans="2:64">
      <c r="B804" s="1022"/>
      <c r="C804" s="607"/>
      <c r="D804" s="607"/>
      <c r="E804" s="1021"/>
      <c r="F804" s="608">
        <v>801</v>
      </c>
      <c r="G804" s="609"/>
      <c r="H804" s="610"/>
      <c r="I804" s="611"/>
      <c r="J804" s="166">
        <f t="shared" si="521"/>
        <v>0</v>
      </c>
      <c r="K804" s="167">
        <f t="shared" si="522"/>
        <v>0</v>
      </c>
      <c r="L804" s="168">
        <f t="shared" si="523"/>
        <v>0</v>
      </c>
      <c r="M804" s="166">
        <f t="shared" si="524"/>
        <v>0</v>
      </c>
      <c r="N804" s="167">
        <f t="shared" si="525"/>
        <v>0</v>
      </c>
      <c r="O804" s="168">
        <f t="shared" si="526"/>
        <v>0</v>
      </c>
      <c r="P804" s="169">
        <f t="shared" si="527"/>
        <v>0</v>
      </c>
      <c r="Q804" s="169">
        <f t="shared" si="528"/>
        <v>0</v>
      </c>
      <c r="R804" s="169">
        <f t="shared" si="529"/>
        <v>0</v>
      </c>
      <c r="S804" s="584">
        <f t="shared" si="530"/>
        <v>0</v>
      </c>
      <c r="T804" s="594">
        <f t="shared" si="531"/>
        <v>0</v>
      </c>
      <c r="U804" s="595">
        <f t="shared" si="532"/>
        <v>0</v>
      </c>
      <c r="V804" s="166">
        <f t="shared" si="533"/>
        <v>0</v>
      </c>
      <c r="W804" s="167">
        <f t="shared" si="534"/>
        <v>0</v>
      </c>
      <c r="X804" s="168">
        <f t="shared" si="535"/>
        <v>0</v>
      </c>
      <c r="Y804" s="166">
        <f t="shared" si="536"/>
        <v>0</v>
      </c>
      <c r="Z804" s="167">
        <f t="shared" si="537"/>
        <v>0</v>
      </c>
      <c r="AA804" s="168">
        <f t="shared" si="538"/>
        <v>0</v>
      </c>
      <c r="AB804" s="166">
        <f t="shared" si="539"/>
        <v>0</v>
      </c>
      <c r="AC804" s="167">
        <f t="shared" si="540"/>
        <v>0</v>
      </c>
      <c r="AD804" s="168">
        <f t="shared" si="541"/>
        <v>0</v>
      </c>
      <c r="AE804" s="166">
        <f t="shared" si="542"/>
        <v>0</v>
      </c>
      <c r="AF804" s="167">
        <f t="shared" si="543"/>
        <v>0</v>
      </c>
      <c r="AG804" s="168">
        <f t="shared" si="544"/>
        <v>0</v>
      </c>
      <c r="AH804" s="166">
        <f t="shared" si="545"/>
        <v>0</v>
      </c>
      <c r="AI804" s="167">
        <f t="shared" si="546"/>
        <v>0</v>
      </c>
      <c r="AJ804" s="168">
        <f t="shared" si="547"/>
        <v>0</v>
      </c>
      <c r="AK804" s="169">
        <f t="shared" si="548"/>
        <v>0</v>
      </c>
      <c r="AL804" s="167">
        <f t="shared" si="549"/>
        <v>0</v>
      </c>
      <c r="AM804" s="585">
        <f t="shared" si="550"/>
        <v>0</v>
      </c>
      <c r="AN804" s="614"/>
      <c r="AO804" s="615"/>
      <c r="AP804" s="615"/>
      <c r="AQ804" s="616"/>
      <c r="AR804" s="612"/>
      <c r="AS804" s="617"/>
      <c r="AT804" s="618"/>
      <c r="AU804" s="618"/>
      <c r="AV804" s="618"/>
      <c r="AW804" s="619"/>
      <c r="AX804" s="614"/>
      <c r="AY804" s="616"/>
      <c r="AZ804" s="616"/>
      <c r="BA804" s="616"/>
      <c r="BB804" s="616"/>
      <c r="BC804" s="616"/>
      <c r="BD804" s="612"/>
      <c r="BE804" s="614"/>
      <c r="BF804" s="616"/>
      <c r="BG804" s="616"/>
      <c r="BH804" s="616"/>
      <c r="BI804" s="616"/>
      <c r="BJ804" s="616"/>
      <c r="BK804" s="1023"/>
      <c r="BL804" s="658"/>
    </row>
    <row r="805" spans="2:64">
      <c r="B805" s="1022"/>
      <c r="C805" s="607"/>
      <c r="D805" s="607"/>
      <c r="E805" s="1021"/>
      <c r="F805" s="1019">
        <v>802</v>
      </c>
      <c r="G805" s="609"/>
      <c r="H805" s="610"/>
      <c r="I805" s="611"/>
      <c r="J805" s="166">
        <f t="shared" si="521"/>
        <v>0</v>
      </c>
      <c r="K805" s="167">
        <f t="shared" si="522"/>
        <v>0</v>
      </c>
      <c r="L805" s="168">
        <f t="shared" si="523"/>
        <v>0</v>
      </c>
      <c r="M805" s="166">
        <f t="shared" si="524"/>
        <v>0</v>
      </c>
      <c r="N805" s="167">
        <f t="shared" si="525"/>
        <v>0</v>
      </c>
      <c r="O805" s="168">
        <f t="shared" si="526"/>
        <v>0</v>
      </c>
      <c r="P805" s="169">
        <f t="shared" si="527"/>
        <v>0</v>
      </c>
      <c r="Q805" s="169">
        <f t="shared" si="528"/>
        <v>0</v>
      </c>
      <c r="R805" s="169">
        <f t="shared" si="529"/>
        <v>0</v>
      </c>
      <c r="S805" s="584">
        <f t="shared" si="530"/>
        <v>0</v>
      </c>
      <c r="T805" s="594">
        <f t="shared" si="531"/>
        <v>0</v>
      </c>
      <c r="U805" s="595">
        <f t="shared" si="532"/>
        <v>0</v>
      </c>
      <c r="V805" s="166">
        <f t="shared" si="533"/>
        <v>0</v>
      </c>
      <c r="W805" s="167">
        <f t="shared" si="534"/>
        <v>0</v>
      </c>
      <c r="X805" s="168">
        <f t="shared" si="535"/>
        <v>0</v>
      </c>
      <c r="Y805" s="166">
        <f t="shared" si="536"/>
        <v>0</v>
      </c>
      <c r="Z805" s="167">
        <f t="shared" si="537"/>
        <v>0</v>
      </c>
      <c r="AA805" s="168">
        <f t="shared" si="538"/>
        <v>0</v>
      </c>
      <c r="AB805" s="166">
        <f t="shared" si="539"/>
        <v>0</v>
      </c>
      <c r="AC805" s="167">
        <f t="shared" si="540"/>
        <v>0</v>
      </c>
      <c r="AD805" s="168">
        <f t="shared" si="541"/>
        <v>0</v>
      </c>
      <c r="AE805" s="166">
        <f t="shared" si="542"/>
        <v>0</v>
      </c>
      <c r="AF805" s="167">
        <f t="shared" si="543"/>
        <v>0</v>
      </c>
      <c r="AG805" s="168">
        <f t="shared" si="544"/>
        <v>0</v>
      </c>
      <c r="AH805" s="166">
        <f t="shared" si="545"/>
        <v>0</v>
      </c>
      <c r="AI805" s="167">
        <f t="shared" si="546"/>
        <v>0</v>
      </c>
      <c r="AJ805" s="168">
        <f t="shared" si="547"/>
        <v>0</v>
      </c>
      <c r="AK805" s="169">
        <f t="shared" si="548"/>
        <v>0</v>
      </c>
      <c r="AL805" s="167">
        <f t="shared" si="549"/>
        <v>0</v>
      </c>
      <c r="AM805" s="585">
        <f t="shared" si="550"/>
        <v>0</v>
      </c>
      <c r="AN805" s="614"/>
      <c r="AO805" s="615"/>
      <c r="AP805" s="615"/>
      <c r="AQ805" s="616"/>
      <c r="AR805" s="612"/>
      <c r="AS805" s="617"/>
      <c r="AT805" s="618"/>
      <c r="AU805" s="618"/>
      <c r="AV805" s="618"/>
      <c r="AW805" s="619"/>
      <c r="AX805" s="614"/>
      <c r="AY805" s="616"/>
      <c r="AZ805" s="616"/>
      <c r="BA805" s="616"/>
      <c r="BB805" s="616"/>
      <c r="BC805" s="616"/>
      <c r="BD805" s="612"/>
      <c r="BE805" s="614"/>
      <c r="BF805" s="616"/>
      <c r="BG805" s="616"/>
      <c r="BH805" s="616"/>
      <c r="BI805" s="616"/>
      <c r="BJ805" s="616"/>
      <c r="BK805" s="1023"/>
      <c r="BL805" s="658"/>
    </row>
    <row r="806" spans="2:64">
      <c r="B806" s="1022"/>
      <c r="C806" s="607"/>
      <c r="D806" s="607"/>
      <c r="E806" s="1021"/>
      <c r="F806" s="608">
        <v>803</v>
      </c>
      <c r="G806" s="609"/>
      <c r="H806" s="610"/>
      <c r="I806" s="611"/>
      <c r="J806" s="166">
        <f t="shared" si="521"/>
        <v>0</v>
      </c>
      <c r="K806" s="167">
        <f t="shared" si="522"/>
        <v>0</v>
      </c>
      <c r="L806" s="168">
        <f t="shared" si="523"/>
        <v>0</v>
      </c>
      <c r="M806" s="166">
        <f t="shared" si="524"/>
        <v>0</v>
      </c>
      <c r="N806" s="167">
        <f t="shared" si="525"/>
        <v>0</v>
      </c>
      <c r="O806" s="168">
        <f t="shared" si="526"/>
        <v>0</v>
      </c>
      <c r="P806" s="169">
        <f t="shared" si="527"/>
        <v>0</v>
      </c>
      <c r="Q806" s="169">
        <f t="shared" si="528"/>
        <v>0</v>
      </c>
      <c r="R806" s="169">
        <f t="shared" si="529"/>
        <v>0</v>
      </c>
      <c r="S806" s="584">
        <f t="shared" si="530"/>
        <v>0</v>
      </c>
      <c r="T806" s="594">
        <f t="shared" si="531"/>
        <v>0</v>
      </c>
      <c r="U806" s="595">
        <f t="shared" si="532"/>
        <v>0</v>
      </c>
      <c r="V806" s="166">
        <f t="shared" si="533"/>
        <v>0</v>
      </c>
      <c r="W806" s="167">
        <f t="shared" si="534"/>
        <v>0</v>
      </c>
      <c r="X806" s="168">
        <f t="shared" si="535"/>
        <v>0</v>
      </c>
      <c r="Y806" s="166">
        <f t="shared" si="536"/>
        <v>0</v>
      </c>
      <c r="Z806" s="167">
        <f t="shared" si="537"/>
        <v>0</v>
      </c>
      <c r="AA806" s="168">
        <f t="shared" si="538"/>
        <v>0</v>
      </c>
      <c r="AB806" s="166">
        <f t="shared" si="539"/>
        <v>0</v>
      </c>
      <c r="AC806" s="167">
        <f t="shared" si="540"/>
        <v>0</v>
      </c>
      <c r="AD806" s="168">
        <f t="shared" si="541"/>
        <v>0</v>
      </c>
      <c r="AE806" s="166">
        <f t="shared" si="542"/>
        <v>0</v>
      </c>
      <c r="AF806" s="167">
        <f t="shared" si="543"/>
        <v>0</v>
      </c>
      <c r="AG806" s="168">
        <f t="shared" si="544"/>
        <v>0</v>
      </c>
      <c r="AH806" s="166">
        <f t="shared" si="545"/>
        <v>0</v>
      </c>
      <c r="AI806" s="167">
        <f t="shared" si="546"/>
        <v>0</v>
      </c>
      <c r="AJ806" s="168">
        <f t="shared" si="547"/>
        <v>0</v>
      </c>
      <c r="AK806" s="169">
        <f t="shared" si="548"/>
        <v>0</v>
      </c>
      <c r="AL806" s="167">
        <f t="shared" si="549"/>
        <v>0</v>
      </c>
      <c r="AM806" s="585">
        <f t="shared" si="550"/>
        <v>0</v>
      </c>
      <c r="AN806" s="614"/>
      <c r="AO806" s="615"/>
      <c r="AP806" s="615"/>
      <c r="AQ806" s="616"/>
      <c r="AR806" s="612"/>
      <c r="AS806" s="617"/>
      <c r="AT806" s="618"/>
      <c r="AU806" s="618"/>
      <c r="AV806" s="618"/>
      <c r="AW806" s="619"/>
      <c r="AX806" s="614"/>
      <c r="AY806" s="616"/>
      <c r="AZ806" s="616"/>
      <c r="BA806" s="616"/>
      <c r="BB806" s="616"/>
      <c r="BC806" s="616"/>
      <c r="BD806" s="612"/>
      <c r="BE806" s="614"/>
      <c r="BF806" s="616"/>
      <c r="BG806" s="616"/>
      <c r="BH806" s="616"/>
      <c r="BI806" s="616"/>
      <c r="BJ806" s="616"/>
      <c r="BK806" s="1023"/>
      <c r="BL806" s="658"/>
    </row>
    <row r="807" spans="2:64">
      <c r="B807" s="1022"/>
      <c r="C807" s="607"/>
      <c r="D807" s="607"/>
      <c r="E807" s="1021"/>
      <c r="F807" s="1019">
        <v>804</v>
      </c>
      <c r="G807" s="609"/>
      <c r="H807" s="610"/>
      <c r="I807" s="611"/>
      <c r="J807" s="166">
        <f t="shared" si="521"/>
        <v>0</v>
      </c>
      <c r="K807" s="167">
        <f t="shared" si="522"/>
        <v>0</v>
      </c>
      <c r="L807" s="168">
        <f t="shared" si="523"/>
        <v>0</v>
      </c>
      <c r="M807" s="166">
        <f t="shared" si="524"/>
        <v>0</v>
      </c>
      <c r="N807" s="167">
        <f t="shared" si="525"/>
        <v>0</v>
      </c>
      <c r="O807" s="168">
        <f t="shared" si="526"/>
        <v>0</v>
      </c>
      <c r="P807" s="169">
        <f t="shared" si="527"/>
        <v>0</v>
      </c>
      <c r="Q807" s="169">
        <f t="shared" si="528"/>
        <v>0</v>
      </c>
      <c r="R807" s="169">
        <f t="shared" si="529"/>
        <v>0</v>
      </c>
      <c r="S807" s="584">
        <f t="shared" si="530"/>
        <v>0</v>
      </c>
      <c r="T807" s="594">
        <f t="shared" si="531"/>
        <v>0</v>
      </c>
      <c r="U807" s="595">
        <f t="shared" si="532"/>
        <v>0</v>
      </c>
      <c r="V807" s="166">
        <f t="shared" si="533"/>
        <v>0</v>
      </c>
      <c r="W807" s="167">
        <f t="shared" si="534"/>
        <v>0</v>
      </c>
      <c r="X807" s="168">
        <f t="shared" si="535"/>
        <v>0</v>
      </c>
      <c r="Y807" s="166">
        <f t="shared" si="536"/>
        <v>0</v>
      </c>
      <c r="Z807" s="167">
        <f t="shared" si="537"/>
        <v>0</v>
      </c>
      <c r="AA807" s="168">
        <f t="shared" si="538"/>
        <v>0</v>
      </c>
      <c r="AB807" s="166">
        <f t="shared" si="539"/>
        <v>0</v>
      </c>
      <c r="AC807" s="167">
        <f t="shared" si="540"/>
        <v>0</v>
      </c>
      <c r="AD807" s="168">
        <f t="shared" si="541"/>
        <v>0</v>
      </c>
      <c r="AE807" s="166">
        <f t="shared" si="542"/>
        <v>0</v>
      </c>
      <c r="AF807" s="167">
        <f t="shared" si="543"/>
        <v>0</v>
      </c>
      <c r="AG807" s="168">
        <f t="shared" si="544"/>
        <v>0</v>
      </c>
      <c r="AH807" s="166">
        <f t="shared" si="545"/>
        <v>0</v>
      </c>
      <c r="AI807" s="167">
        <f t="shared" si="546"/>
        <v>0</v>
      </c>
      <c r="AJ807" s="168">
        <f t="shared" si="547"/>
        <v>0</v>
      </c>
      <c r="AK807" s="169">
        <f t="shared" si="548"/>
        <v>0</v>
      </c>
      <c r="AL807" s="167">
        <f t="shared" si="549"/>
        <v>0</v>
      </c>
      <c r="AM807" s="585">
        <f t="shared" si="550"/>
        <v>0</v>
      </c>
      <c r="AN807" s="614"/>
      <c r="AO807" s="615"/>
      <c r="AP807" s="615"/>
      <c r="AQ807" s="616"/>
      <c r="AR807" s="612"/>
      <c r="AS807" s="617"/>
      <c r="AT807" s="618"/>
      <c r="AU807" s="618"/>
      <c r="AV807" s="618"/>
      <c r="AW807" s="619"/>
      <c r="AX807" s="614"/>
      <c r="AY807" s="616"/>
      <c r="AZ807" s="616"/>
      <c r="BA807" s="616"/>
      <c r="BB807" s="616"/>
      <c r="BC807" s="616"/>
      <c r="BD807" s="612"/>
      <c r="BE807" s="614"/>
      <c r="BF807" s="616"/>
      <c r="BG807" s="616"/>
      <c r="BH807" s="616"/>
      <c r="BI807" s="616"/>
      <c r="BJ807" s="616"/>
      <c r="BK807" s="1023"/>
      <c r="BL807" s="658"/>
    </row>
    <row r="808" spans="2:64">
      <c r="B808" s="1022"/>
      <c r="C808" s="607"/>
      <c r="D808" s="607"/>
      <c r="E808" s="1021"/>
      <c r="F808" s="608">
        <v>805</v>
      </c>
      <c r="G808" s="609"/>
      <c r="H808" s="610"/>
      <c r="I808" s="611"/>
      <c r="J808" s="166">
        <f t="shared" si="521"/>
        <v>0</v>
      </c>
      <c r="K808" s="167">
        <f t="shared" si="522"/>
        <v>0</v>
      </c>
      <c r="L808" s="168">
        <f t="shared" si="523"/>
        <v>0</v>
      </c>
      <c r="M808" s="166">
        <f t="shared" si="524"/>
        <v>0</v>
      </c>
      <c r="N808" s="167">
        <f t="shared" si="525"/>
        <v>0</v>
      </c>
      <c r="O808" s="168">
        <f t="shared" si="526"/>
        <v>0</v>
      </c>
      <c r="P808" s="169">
        <f t="shared" si="527"/>
        <v>0</v>
      </c>
      <c r="Q808" s="169">
        <f t="shared" si="528"/>
        <v>0</v>
      </c>
      <c r="R808" s="169">
        <f t="shared" si="529"/>
        <v>0</v>
      </c>
      <c r="S808" s="584">
        <f t="shared" si="530"/>
        <v>0</v>
      </c>
      <c r="T808" s="594">
        <f t="shared" si="531"/>
        <v>0</v>
      </c>
      <c r="U808" s="595">
        <f t="shared" si="532"/>
        <v>0</v>
      </c>
      <c r="V808" s="166">
        <f t="shared" si="533"/>
        <v>0</v>
      </c>
      <c r="W808" s="167">
        <f t="shared" si="534"/>
        <v>0</v>
      </c>
      <c r="X808" s="168">
        <f t="shared" si="535"/>
        <v>0</v>
      </c>
      <c r="Y808" s="166">
        <f t="shared" si="536"/>
        <v>0</v>
      </c>
      <c r="Z808" s="167">
        <f t="shared" si="537"/>
        <v>0</v>
      </c>
      <c r="AA808" s="168">
        <f t="shared" si="538"/>
        <v>0</v>
      </c>
      <c r="AB808" s="166">
        <f t="shared" si="539"/>
        <v>0</v>
      </c>
      <c r="AC808" s="167">
        <f t="shared" si="540"/>
        <v>0</v>
      </c>
      <c r="AD808" s="168">
        <f t="shared" si="541"/>
        <v>0</v>
      </c>
      <c r="AE808" s="166">
        <f t="shared" si="542"/>
        <v>0</v>
      </c>
      <c r="AF808" s="167">
        <f t="shared" si="543"/>
        <v>0</v>
      </c>
      <c r="AG808" s="168">
        <f t="shared" si="544"/>
        <v>0</v>
      </c>
      <c r="AH808" s="166">
        <f t="shared" si="545"/>
        <v>0</v>
      </c>
      <c r="AI808" s="167">
        <f t="shared" si="546"/>
        <v>0</v>
      </c>
      <c r="AJ808" s="168">
        <f t="shared" si="547"/>
        <v>0</v>
      </c>
      <c r="AK808" s="169">
        <f t="shared" si="548"/>
        <v>0</v>
      </c>
      <c r="AL808" s="167">
        <f t="shared" si="549"/>
        <v>0</v>
      </c>
      <c r="AM808" s="585">
        <f t="shared" si="550"/>
        <v>0</v>
      </c>
      <c r="AN808" s="614"/>
      <c r="AO808" s="615"/>
      <c r="AP808" s="615"/>
      <c r="AQ808" s="616"/>
      <c r="AR808" s="612"/>
      <c r="AS808" s="617"/>
      <c r="AT808" s="618"/>
      <c r="AU808" s="618"/>
      <c r="AV808" s="618"/>
      <c r="AW808" s="619"/>
      <c r="AX808" s="614"/>
      <c r="AY808" s="616"/>
      <c r="AZ808" s="616"/>
      <c r="BA808" s="616"/>
      <c r="BB808" s="616"/>
      <c r="BC808" s="616"/>
      <c r="BD808" s="612"/>
      <c r="BE808" s="614"/>
      <c r="BF808" s="616"/>
      <c r="BG808" s="616"/>
      <c r="BH808" s="616"/>
      <c r="BI808" s="616"/>
      <c r="BJ808" s="616"/>
      <c r="BK808" s="1023"/>
      <c r="BL808" s="658"/>
    </row>
    <row r="809" spans="2:64">
      <c r="B809" s="1022"/>
      <c r="C809" s="607"/>
      <c r="D809" s="607"/>
      <c r="E809" s="1021"/>
      <c r="F809" s="1019">
        <v>806</v>
      </c>
      <c r="G809" s="609"/>
      <c r="H809" s="610"/>
      <c r="I809" s="611"/>
      <c r="J809" s="166">
        <f t="shared" si="521"/>
        <v>0</v>
      </c>
      <c r="K809" s="167">
        <f t="shared" si="522"/>
        <v>0</v>
      </c>
      <c r="L809" s="168">
        <f t="shared" si="523"/>
        <v>0</v>
      </c>
      <c r="M809" s="166">
        <f t="shared" si="524"/>
        <v>0</v>
      </c>
      <c r="N809" s="167">
        <f t="shared" si="525"/>
        <v>0</v>
      </c>
      <c r="O809" s="168">
        <f t="shared" si="526"/>
        <v>0</v>
      </c>
      <c r="P809" s="169">
        <f t="shared" si="527"/>
        <v>0</v>
      </c>
      <c r="Q809" s="169">
        <f t="shared" si="528"/>
        <v>0</v>
      </c>
      <c r="R809" s="169">
        <f t="shared" si="529"/>
        <v>0</v>
      </c>
      <c r="S809" s="584">
        <f t="shared" si="530"/>
        <v>0</v>
      </c>
      <c r="T809" s="594">
        <f t="shared" si="531"/>
        <v>0</v>
      </c>
      <c r="U809" s="595">
        <f t="shared" si="532"/>
        <v>0</v>
      </c>
      <c r="V809" s="166">
        <f t="shared" si="533"/>
        <v>0</v>
      </c>
      <c r="W809" s="167">
        <f t="shared" si="534"/>
        <v>0</v>
      </c>
      <c r="X809" s="168">
        <f t="shared" si="535"/>
        <v>0</v>
      </c>
      <c r="Y809" s="166">
        <f t="shared" si="536"/>
        <v>0</v>
      </c>
      <c r="Z809" s="167">
        <f t="shared" si="537"/>
        <v>0</v>
      </c>
      <c r="AA809" s="168">
        <f t="shared" si="538"/>
        <v>0</v>
      </c>
      <c r="AB809" s="166">
        <f t="shared" si="539"/>
        <v>0</v>
      </c>
      <c r="AC809" s="167">
        <f t="shared" si="540"/>
        <v>0</v>
      </c>
      <c r="AD809" s="168">
        <f t="shared" si="541"/>
        <v>0</v>
      </c>
      <c r="AE809" s="166">
        <f t="shared" si="542"/>
        <v>0</v>
      </c>
      <c r="AF809" s="167">
        <f t="shared" si="543"/>
        <v>0</v>
      </c>
      <c r="AG809" s="168">
        <f t="shared" si="544"/>
        <v>0</v>
      </c>
      <c r="AH809" s="166">
        <f t="shared" si="545"/>
        <v>0</v>
      </c>
      <c r="AI809" s="167">
        <f t="shared" si="546"/>
        <v>0</v>
      </c>
      <c r="AJ809" s="168">
        <f t="shared" si="547"/>
        <v>0</v>
      </c>
      <c r="AK809" s="169">
        <f t="shared" si="548"/>
        <v>0</v>
      </c>
      <c r="AL809" s="167">
        <f t="shared" si="549"/>
        <v>0</v>
      </c>
      <c r="AM809" s="585">
        <f t="shared" si="550"/>
        <v>0</v>
      </c>
      <c r="AN809" s="614"/>
      <c r="AO809" s="615"/>
      <c r="AP809" s="615"/>
      <c r="AQ809" s="616"/>
      <c r="AR809" s="612"/>
      <c r="AS809" s="617"/>
      <c r="AT809" s="618"/>
      <c r="AU809" s="618"/>
      <c r="AV809" s="618"/>
      <c r="AW809" s="619"/>
      <c r="AX809" s="614"/>
      <c r="AY809" s="616"/>
      <c r="AZ809" s="616"/>
      <c r="BA809" s="616"/>
      <c r="BB809" s="616"/>
      <c r="BC809" s="616"/>
      <c r="BD809" s="612"/>
      <c r="BE809" s="614"/>
      <c r="BF809" s="616"/>
      <c r="BG809" s="616"/>
      <c r="BH809" s="616"/>
      <c r="BI809" s="616"/>
      <c r="BJ809" s="616"/>
      <c r="BK809" s="1023"/>
      <c r="BL809" s="658"/>
    </row>
    <row r="810" spans="2:64">
      <c r="B810" s="1022"/>
      <c r="C810" s="607"/>
      <c r="D810" s="607"/>
      <c r="E810" s="1021"/>
      <c r="F810" s="608">
        <v>807</v>
      </c>
      <c r="G810" s="609"/>
      <c r="H810" s="610"/>
      <c r="I810" s="611"/>
      <c r="J810" s="166">
        <f t="shared" si="521"/>
        <v>0</v>
      </c>
      <c r="K810" s="167">
        <f t="shared" si="522"/>
        <v>0</v>
      </c>
      <c r="L810" s="168">
        <f t="shared" si="523"/>
        <v>0</v>
      </c>
      <c r="M810" s="166">
        <f t="shared" si="524"/>
        <v>0</v>
      </c>
      <c r="N810" s="167">
        <f t="shared" si="525"/>
        <v>0</v>
      </c>
      <c r="O810" s="168">
        <f t="shared" si="526"/>
        <v>0</v>
      </c>
      <c r="P810" s="169">
        <f t="shared" si="527"/>
        <v>0</v>
      </c>
      <c r="Q810" s="169">
        <f t="shared" si="528"/>
        <v>0</v>
      </c>
      <c r="R810" s="169">
        <f t="shared" si="529"/>
        <v>0</v>
      </c>
      <c r="S810" s="584">
        <f t="shared" si="530"/>
        <v>0</v>
      </c>
      <c r="T810" s="594">
        <f t="shared" si="531"/>
        <v>0</v>
      </c>
      <c r="U810" s="595">
        <f t="shared" si="532"/>
        <v>0</v>
      </c>
      <c r="V810" s="166">
        <f t="shared" si="533"/>
        <v>0</v>
      </c>
      <c r="W810" s="167">
        <f t="shared" si="534"/>
        <v>0</v>
      </c>
      <c r="X810" s="168">
        <f t="shared" si="535"/>
        <v>0</v>
      </c>
      <c r="Y810" s="166">
        <f t="shared" si="536"/>
        <v>0</v>
      </c>
      <c r="Z810" s="167">
        <f t="shared" si="537"/>
        <v>0</v>
      </c>
      <c r="AA810" s="168">
        <f t="shared" si="538"/>
        <v>0</v>
      </c>
      <c r="AB810" s="166">
        <f t="shared" si="539"/>
        <v>0</v>
      </c>
      <c r="AC810" s="167">
        <f t="shared" si="540"/>
        <v>0</v>
      </c>
      <c r="AD810" s="168">
        <f t="shared" si="541"/>
        <v>0</v>
      </c>
      <c r="AE810" s="166">
        <f t="shared" si="542"/>
        <v>0</v>
      </c>
      <c r="AF810" s="167">
        <f t="shared" si="543"/>
        <v>0</v>
      </c>
      <c r="AG810" s="168">
        <f t="shared" si="544"/>
        <v>0</v>
      </c>
      <c r="AH810" s="166">
        <f t="shared" si="545"/>
        <v>0</v>
      </c>
      <c r="AI810" s="167">
        <f t="shared" si="546"/>
        <v>0</v>
      </c>
      <c r="AJ810" s="168">
        <f t="shared" si="547"/>
        <v>0</v>
      </c>
      <c r="AK810" s="169">
        <f t="shared" si="548"/>
        <v>0</v>
      </c>
      <c r="AL810" s="167">
        <f t="shared" si="549"/>
        <v>0</v>
      </c>
      <c r="AM810" s="585">
        <f t="shared" si="550"/>
        <v>0</v>
      </c>
      <c r="AN810" s="614"/>
      <c r="AO810" s="615"/>
      <c r="AP810" s="615"/>
      <c r="AQ810" s="616"/>
      <c r="AR810" s="612"/>
      <c r="AS810" s="617"/>
      <c r="AT810" s="618"/>
      <c r="AU810" s="618"/>
      <c r="AV810" s="618"/>
      <c r="AW810" s="619"/>
      <c r="AX810" s="614"/>
      <c r="AY810" s="616"/>
      <c r="AZ810" s="616"/>
      <c r="BA810" s="616"/>
      <c r="BB810" s="616"/>
      <c r="BC810" s="616"/>
      <c r="BD810" s="612"/>
      <c r="BE810" s="614"/>
      <c r="BF810" s="616"/>
      <c r="BG810" s="616"/>
      <c r="BH810" s="616"/>
      <c r="BI810" s="616"/>
      <c r="BJ810" s="616"/>
      <c r="BK810" s="1023"/>
      <c r="BL810" s="658"/>
    </row>
    <row r="811" spans="2:64">
      <c r="B811" s="1022"/>
      <c r="C811" s="607"/>
      <c r="D811" s="607"/>
      <c r="E811" s="1021"/>
      <c r="F811" s="1019">
        <v>808</v>
      </c>
      <c r="G811" s="609"/>
      <c r="H811" s="610"/>
      <c r="I811" s="611"/>
      <c r="J811" s="166">
        <f t="shared" si="521"/>
        <v>0</v>
      </c>
      <c r="K811" s="167">
        <f t="shared" si="522"/>
        <v>0</v>
      </c>
      <c r="L811" s="168">
        <f t="shared" si="523"/>
        <v>0</v>
      </c>
      <c r="M811" s="166">
        <f t="shared" si="524"/>
        <v>0</v>
      </c>
      <c r="N811" s="167">
        <f t="shared" si="525"/>
        <v>0</v>
      </c>
      <c r="O811" s="168">
        <f t="shared" si="526"/>
        <v>0</v>
      </c>
      <c r="P811" s="169">
        <f t="shared" si="527"/>
        <v>0</v>
      </c>
      <c r="Q811" s="169">
        <f t="shared" si="528"/>
        <v>0</v>
      </c>
      <c r="R811" s="169">
        <f t="shared" si="529"/>
        <v>0</v>
      </c>
      <c r="S811" s="584">
        <f t="shared" si="530"/>
        <v>0</v>
      </c>
      <c r="T811" s="594">
        <f t="shared" si="531"/>
        <v>0</v>
      </c>
      <c r="U811" s="595">
        <f t="shared" si="532"/>
        <v>0</v>
      </c>
      <c r="V811" s="166">
        <f t="shared" si="533"/>
        <v>0</v>
      </c>
      <c r="W811" s="167">
        <f t="shared" si="534"/>
        <v>0</v>
      </c>
      <c r="X811" s="168">
        <f t="shared" si="535"/>
        <v>0</v>
      </c>
      <c r="Y811" s="166">
        <f t="shared" si="536"/>
        <v>0</v>
      </c>
      <c r="Z811" s="167">
        <f t="shared" si="537"/>
        <v>0</v>
      </c>
      <c r="AA811" s="168">
        <f t="shared" si="538"/>
        <v>0</v>
      </c>
      <c r="AB811" s="166">
        <f t="shared" si="539"/>
        <v>0</v>
      </c>
      <c r="AC811" s="167">
        <f t="shared" si="540"/>
        <v>0</v>
      </c>
      <c r="AD811" s="168">
        <f t="shared" si="541"/>
        <v>0</v>
      </c>
      <c r="AE811" s="166">
        <f t="shared" si="542"/>
        <v>0</v>
      </c>
      <c r="AF811" s="167">
        <f t="shared" si="543"/>
        <v>0</v>
      </c>
      <c r="AG811" s="168">
        <f t="shared" si="544"/>
        <v>0</v>
      </c>
      <c r="AH811" s="166">
        <f t="shared" si="545"/>
        <v>0</v>
      </c>
      <c r="AI811" s="167">
        <f t="shared" si="546"/>
        <v>0</v>
      </c>
      <c r="AJ811" s="168">
        <f t="shared" si="547"/>
        <v>0</v>
      </c>
      <c r="AK811" s="169">
        <f t="shared" si="548"/>
        <v>0</v>
      </c>
      <c r="AL811" s="167">
        <f t="shared" si="549"/>
        <v>0</v>
      </c>
      <c r="AM811" s="585">
        <f t="shared" si="550"/>
        <v>0</v>
      </c>
      <c r="AN811" s="614"/>
      <c r="AO811" s="615"/>
      <c r="AP811" s="615"/>
      <c r="AQ811" s="616"/>
      <c r="AR811" s="612"/>
      <c r="AS811" s="617"/>
      <c r="AT811" s="618"/>
      <c r="AU811" s="618"/>
      <c r="AV811" s="618"/>
      <c r="AW811" s="619"/>
      <c r="AX811" s="614"/>
      <c r="AY811" s="616"/>
      <c r="AZ811" s="616"/>
      <c r="BA811" s="616"/>
      <c r="BB811" s="616"/>
      <c r="BC811" s="616"/>
      <c r="BD811" s="612"/>
      <c r="BE811" s="614"/>
      <c r="BF811" s="616"/>
      <c r="BG811" s="616"/>
      <c r="BH811" s="616"/>
      <c r="BI811" s="616"/>
      <c r="BJ811" s="616"/>
      <c r="BK811" s="1023"/>
      <c r="BL811" s="658"/>
    </row>
    <row r="812" spans="2:64">
      <c r="B812" s="1022"/>
      <c r="C812" s="607"/>
      <c r="D812" s="607"/>
      <c r="E812" s="1021"/>
      <c r="F812" s="608">
        <v>809</v>
      </c>
      <c r="G812" s="609"/>
      <c r="H812" s="610"/>
      <c r="I812" s="611"/>
      <c r="J812" s="166">
        <f t="shared" si="521"/>
        <v>0</v>
      </c>
      <c r="K812" s="167">
        <f t="shared" si="522"/>
        <v>0</v>
      </c>
      <c r="L812" s="168">
        <f t="shared" si="523"/>
        <v>0</v>
      </c>
      <c r="M812" s="166">
        <f t="shared" si="524"/>
        <v>0</v>
      </c>
      <c r="N812" s="167">
        <f t="shared" si="525"/>
        <v>0</v>
      </c>
      <c r="O812" s="168">
        <f t="shared" si="526"/>
        <v>0</v>
      </c>
      <c r="P812" s="169">
        <f t="shared" si="527"/>
        <v>0</v>
      </c>
      <c r="Q812" s="169">
        <f t="shared" si="528"/>
        <v>0</v>
      </c>
      <c r="R812" s="169">
        <f t="shared" si="529"/>
        <v>0</v>
      </c>
      <c r="S812" s="584">
        <f t="shared" si="530"/>
        <v>0</v>
      </c>
      <c r="T812" s="594">
        <f t="shared" si="531"/>
        <v>0</v>
      </c>
      <c r="U812" s="595">
        <f t="shared" si="532"/>
        <v>0</v>
      </c>
      <c r="V812" s="166">
        <f t="shared" si="533"/>
        <v>0</v>
      </c>
      <c r="W812" s="167">
        <f t="shared" si="534"/>
        <v>0</v>
      </c>
      <c r="X812" s="168">
        <f t="shared" si="535"/>
        <v>0</v>
      </c>
      <c r="Y812" s="166">
        <f t="shared" si="536"/>
        <v>0</v>
      </c>
      <c r="Z812" s="167">
        <f t="shared" si="537"/>
        <v>0</v>
      </c>
      <c r="AA812" s="168">
        <f t="shared" si="538"/>
        <v>0</v>
      </c>
      <c r="AB812" s="166">
        <f t="shared" si="539"/>
        <v>0</v>
      </c>
      <c r="AC812" s="167">
        <f t="shared" si="540"/>
        <v>0</v>
      </c>
      <c r="AD812" s="168">
        <f t="shared" si="541"/>
        <v>0</v>
      </c>
      <c r="AE812" s="166">
        <f t="shared" si="542"/>
        <v>0</v>
      </c>
      <c r="AF812" s="167">
        <f t="shared" si="543"/>
        <v>0</v>
      </c>
      <c r="AG812" s="168">
        <f t="shared" si="544"/>
        <v>0</v>
      </c>
      <c r="AH812" s="166">
        <f t="shared" si="545"/>
        <v>0</v>
      </c>
      <c r="AI812" s="167">
        <f t="shared" si="546"/>
        <v>0</v>
      </c>
      <c r="AJ812" s="168">
        <f t="shared" si="547"/>
        <v>0</v>
      </c>
      <c r="AK812" s="169">
        <f t="shared" si="548"/>
        <v>0</v>
      </c>
      <c r="AL812" s="167">
        <f t="shared" si="549"/>
        <v>0</v>
      </c>
      <c r="AM812" s="585">
        <f t="shared" si="550"/>
        <v>0</v>
      </c>
      <c r="AN812" s="614"/>
      <c r="AO812" s="615"/>
      <c r="AP812" s="615"/>
      <c r="AQ812" s="616"/>
      <c r="AR812" s="612"/>
      <c r="AS812" s="617"/>
      <c r="AT812" s="618"/>
      <c r="AU812" s="618"/>
      <c r="AV812" s="618"/>
      <c r="AW812" s="619"/>
      <c r="AX812" s="614"/>
      <c r="AY812" s="616"/>
      <c r="AZ812" s="616"/>
      <c r="BA812" s="616"/>
      <c r="BB812" s="616"/>
      <c r="BC812" s="616"/>
      <c r="BD812" s="612"/>
      <c r="BE812" s="614"/>
      <c r="BF812" s="616"/>
      <c r="BG812" s="616"/>
      <c r="BH812" s="616"/>
      <c r="BI812" s="616"/>
      <c r="BJ812" s="616"/>
      <c r="BK812" s="1023"/>
      <c r="BL812" s="658"/>
    </row>
    <row r="813" spans="2:64">
      <c r="B813" s="1022"/>
      <c r="C813" s="607"/>
      <c r="D813" s="607"/>
      <c r="E813" s="1021"/>
      <c r="F813" s="1019">
        <v>810</v>
      </c>
      <c r="G813" s="609"/>
      <c r="H813" s="610"/>
      <c r="I813" s="611"/>
      <c r="J813" s="166">
        <f t="shared" si="521"/>
        <v>0</v>
      </c>
      <c r="K813" s="167">
        <f t="shared" si="522"/>
        <v>0</v>
      </c>
      <c r="L813" s="168">
        <f t="shared" si="523"/>
        <v>0</v>
      </c>
      <c r="M813" s="166">
        <f t="shared" si="524"/>
        <v>0</v>
      </c>
      <c r="N813" s="167">
        <f t="shared" si="525"/>
        <v>0</v>
      </c>
      <c r="O813" s="168">
        <f t="shared" si="526"/>
        <v>0</v>
      </c>
      <c r="P813" s="169">
        <f t="shared" si="527"/>
        <v>0</v>
      </c>
      <c r="Q813" s="169">
        <f t="shared" si="528"/>
        <v>0</v>
      </c>
      <c r="R813" s="169">
        <f t="shared" si="529"/>
        <v>0</v>
      </c>
      <c r="S813" s="584">
        <f t="shared" si="530"/>
        <v>0</v>
      </c>
      <c r="T813" s="594">
        <f t="shared" si="531"/>
        <v>0</v>
      </c>
      <c r="U813" s="595">
        <f t="shared" si="532"/>
        <v>0</v>
      </c>
      <c r="V813" s="166">
        <f t="shared" si="533"/>
        <v>0</v>
      </c>
      <c r="W813" s="167">
        <f t="shared" si="534"/>
        <v>0</v>
      </c>
      <c r="X813" s="168">
        <f t="shared" si="535"/>
        <v>0</v>
      </c>
      <c r="Y813" s="166">
        <f t="shared" si="536"/>
        <v>0</v>
      </c>
      <c r="Z813" s="167">
        <f t="shared" si="537"/>
        <v>0</v>
      </c>
      <c r="AA813" s="168">
        <f t="shared" si="538"/>
        <v>0</v>
      </c>
      <c r="AB813" s="166">
        <f t="shared" si="539"/>
        <v>0</v>
      </c>
      <c r="AC813" s="167">
        <f t="shared" si="540"/>
        <v>0</v>
      </c>
      <c r="AD813" s="168">
        <f t="shared" si="541"/>
        <v>0</v>
      </c>
      <c r="AE813" s="166">
        <f t="shared" si="542"/>
        <v>0</v>
      </c>
      <c r="AF813" s="167">
        <f t="shared" si="543"/>
        <v>0</v>
      </c>
      <c r="AG813" s="168">
        <f t="shared" si="544"/>
        <v>0</v>
      </c>
      <c r="AH813" s="166">
        <f t="shared" si="545"/>
        <v>0</v>
      </c>
      <c r="AI813" s="167">
        <f t="shared" si="546"/>
        <v>0</v>
      </c>
      <c r="AJ813" s="168">
        <f t="shared" si="547"/>
        <v>0</v>
      </c>
      <c r="AK813" s="169">
        <f t="shared" si="548"/>
        <v>0</v>
      </c>
      <c r="AL813" s="167">
        <f t="shared" si="549"/>
        <v>0</v>
      </c>
      <c r="AM813" s="585">
        <f t="shared" si="550"/>
        <v>0</v>
      </c>
      <c r="AN813" s="614"/>
      <c r="AO813" s="615"/>
      <c r="AP813" s="615"/>
      <c r="AQ813" s="616"/>
      <c r="AR813" s="612"/>
      <c r="AS813" s="617"/>
      <c r="AT813" s="618"/>
      <c r="AU813" s="618"/>
      <c r="AV813" s="618"/>
      <c r="AW813" s="619"/>
      <c r="AX813" s="614"/>
      <c r="AY813" s="616"/>
      <c r="AZ813" s="616"/>
      <c r="BA813" s="616"/>
      <c r="BB813" s="616"/>
      <c r="BC813" s="616"/>
      <c r="BD813" s="612"/>
      <c r="BE813" s="614"/>
      <c r="BF813" s="616"/>
      <c r="BG813" s="616"/>
      <c r="BH813" s="616"/>
      <c r="BI813" s="616"/>
      <c r="BJ813" s="616"/>
      <c r="BK813" s="1023"/>
      <c r="BL813" s="658"/>
    </row>
    <row r="814" spans="2:64">
      <c r="B814" s="1022"/>
      <c r="C814" s="607"/>
      <c r="D814" s="607"/>
      <c r="E814" s="1021"/>
      <c r="F814" s="608">
        <v>811</v>
      </c>
      <c r="G814" s="609"/>
      <c r="H814" s="610"/>
      <c r="I814" s="611"/>
      <c r="J814" s="166">
        <f t="shared" si="521"/>
        <v>0</v>
      </c>
      <c r="K814" s="167">
        <f t="shared" si="522"/>
        <v>0</v>
      </c>
      <c r="L814" s="168">
        <f t="shared" si="523"/>
        <v>0</v>
      </c>
      <c r="M814" s="166">
        <f t="shared" si="524"/>
        <v>0</v>
      </c>
      <c r="N814" s="167">
        <f t="shared" si="525"/>
        <v>0</v>
      </c>
      <c r="O814" s="168">
        <f t="shared" si="526"/>
        <v>0</v>
      </c>
      <c r="P814" s="169">
        <f t="shared" si="527"/>
        <v>0</v>
      </c>
      <c r="Q814" s="169">
        <f t="shared" si="528"/>
        <v>0</v>
      </c>
      <c r="R814" s="169">
        <f t="shared" si="529"/>
        <v>0</v>
      </c>
      <c r="S814" s="584">
        <f t="shared" si="530"/>
        <v>0</v>
      </c>
      <c r="T814" s="594">
        <f t="shared" si="531"/>
        <v>0</v>
      </c>
      <c r="U814" s="595">
        <f t="shared" si="532"/>
        <v>0</v>
      </c>
      <c r="V814" s="166">
        <f t="shared" si="533"/>
        <v>0</v>
      </c>
      <c r="W814" s="167">
        <f t="shared" si="534"/>
        <v>0</v>
      </c>
      <c r="X814" s="168">
        <f t="shared" si="535"/>
        <v>0</v>
      </c>
      <c r="Y814" s="166">
        <f t="shared" si="536"/>
        <v>0</v>
      </c>
      <c r="Z814" s="167">
        <f t="shared" si="537"/>
        <v>0</v>
      </c>
      <c r="AA814" s="168">
        <f t="shared" si="538"/>
        <v>0</v>
      </c>
      <c r="AB814" s="166">
        <f t="shared" si="539"/>
        <v>0</v>
      </c>
      <c r="AC814" s="167">
        <f t="shared" si="540"/>
        <v>0</v>
      </c>
      <c r="AD814" s="168">
        <f t="shared" si="541"/>
        <v>0</v>
      </c>
      <c r="AE814" s="166">
        <f t="shared" si="542"/>
        <v>0</v>
      </c>
      <c r="AF814" s="167">
        <f t="shared" si="543"/>
        <v>0</v>
      </c>
      <c r="AG814" s="168">
        <f t="shared" si="544"/>
        <v>0</v>
      </c>
      <c r="AH814" s="166">
        <f t="shared" si="545"/>
        <v>0</v>
      </c>
      <c r="AI814" s="167">
        <f t="shared" si="546"/>
        <v>0</v>
      </c>
      <c r="AJ814" s="168">
        <f t="shared" si="547"/>
        <v>0</v>
      </c>
      <c r="AK814" s="169">
        <f t="shared" si="548"/>
        <v>0</v>
      </c>
      <c r="AL814" s="167">
        <f t="shared" si="549"/>
        <v>0</v>
      </c>
      <c r="AM814" s="585">
        <f t="shared" si="550"/>
        <v>0</v>
      </c>
      <c r="AN814" s="614"/>
      <c r="AO814" s="615"/>
      <c r="AP814" s="615"/>
      <c r="AQ814" s="616"/>
      <c r="AR814" s="612"/>
      <c r="AS814" s="617"/>
      <c r="AT814" s="618"/>
      <c r="AU814" s="618"/>
      <c r="AV814" s="618"/>
      <c r="AW814" s="619"/>
      <c r="AX814" s="614"/>
      <c r="AY814" s="616"/>
      <c r="AZ814" s="616"/>
      <c r="BA814" s="616"/>
      <c r="BB814" s="616"/>
      <c r="BC814" s="616"/>
      <c r="BD814" s="612"/>
      <c r="BE814" s="614"/>
      <c r="BF814" s="616"/>
      <c r="BG814" s="616"/>
      <c r="BH814" s="616"/>
      <c r="BI814" s="616"/>
      <c r="BJ814" s="616"/>
      <c r="BK814" s="1023"/>
      <c r="BL814" s="658"/>
    </row>
    <row r="815" spans="2:64">
      <c r="B815" s="1022"/>
      <c r="C815" s="607"/>
      <c r="D815" s="607"/>
      <c r="E815" s="1021"/>
      <c r="F815" s="1019">
        <v>812</v>
      </c>
      <c r="G815" s="609"/>
      <c r="H815" s="610"/>
      <c r="I815" s="611"/>
      <c r="J815" s="166">
        <f t="shared" si="521"/>
        <v>0</v>
      </c>
      <c r="K815" s="167">
        <f t="shared" si="522"/>
        <v>0</v>
      </c>
      <c r="L815" s="168">
        <f t="shared" si="523"/>
        <v>0</v>
      </c>
      <c r="M815" s="166">
        <f t="shared" si="524"/>
        <v>0</v>
      </c>
      <c r="N815" s="167">
        <f t="shared" si="525"/>
        <v>0</v>
      </c>
      <c r="O815" s="168">
        <f t="shared" si="526"/>
        <v>0</v>
      </c>
      <c r="P815" s="169">
        <f t="shared" si="527"/>
        <v>0</v>
      </c>
      <c r="Q815" s="169">
        <f t="shared" si="528"/>
        <v>0</v>
      </c>
      <c r="R815" s="169">
        <f t="shared" si="529"/>
        <v>0</v>
      </c>
      <c r="S815" s="584">
        <f t="shared" si="530"/>
        <v>0</v>
      </c>
      <c r="T815" s="594">
        <f t="shared" si="531"/>
        <v>0</v>
      </c>
      <c r="U815" s="595">
        <f t="shared" si="532"/>
        <v>0</v>
      </c>
      <c r="V815" s="166">
        <f t="shared" si="533"/>
        <v>0</v>
      </c>
      <c r="W815" s="167">
        <f t="shared" si="534"/>
        <v>0</v>
      </c>
      <c r="X815" s="168">
        <f t="shared" si="535"/>
        <v>0</v>
      </c>
      <c r="Y815" s="166">
        <f t="shared" si="536"/>
        <v>0</v>
      </c>
      <c r="Z815" s="167">
        <f t="shared" si="537"/>
        <v>0</v>
      </c>
      <c r="AA815" s="168">
        <f t="shared" si="538"/>
        <v>0</v>
      </c>
      <c r="AB815" s="166">
        <f t="shared" si="539"/>
        <v>0</v>
      </c>
      <c r="AC815" s="167">
        <f t="shared" si="540"/>
        <v>0</v>
      </c>
      <c r="AD815" s="168">
        <f t="shared" si="541"/>
        <v>0</v>
      </c>
      <c r="AE815" s="166">
        <f t="shared" si="542"/>
        <v>0</v>
      </c>
      <c r="AF815" s="167">
        <f t="shared" si="543"/>
        <v>0</v>
      </c>
      <c r="AG815" s="168">
        <f t="shared" si="544"/>
        <v>0</v>
      </c>
      <c r="AH815" s="166">
        <f t="shared" si="545"/>
        <v>0</v>
      </c>
      <c r="AI815" s="167">
        <f t="shared" si="546"/>
        <v>0</v>
      </c>
      <c r="AJ815" s="168">
        <f t="shared" si="547"/>
        <v>0</v>
      </c>
      <c r="AK815" s="169">
        <f t="shared" si="548"/>
        <v>0</v>
      </c>
      <c r="AL815" s="167">
        <f t="shared" si="549"/>
        <v>0</v>
      </c>
      <c r="AM815" s="585">
        <f t="shared" si="550"/>
        <v>0</v>
      </c>
      <c r="AN815" s="614"/>
      <c r="AO815" s="615"/>
      <c r="AP815" s="615"/>
      <c r="AQ815" s="616"/>
      <c r="AR815" s="612"/>
      <c r="AS815" s="617"/>
      <c r="AT815" s="618"/>
      <c r="AU815" s="618"/>
      <c r="AV815" s="618"/>
      <c r="AW815" s="619"/>
      <c r="AX815" s="614"/>
      <c r="AY815" s="616"/>
      <c r="AZ815" s="616"/>
      <c r="BA815" s="616"/>
      <c r="BB815" s="616"/>
      <c r="BC815" s="616"/>
      <c r="BD815" s="612"/>
      <c r="BE815" s="614"/>
      <c r="BF815" s="616"/>
      <c r="BG815" s="616"/>
      <c r="BH815" s="616"/>
      <c r="BI815" s="616"/>
      <c r="BJ815" s="616"/>
      <c r="BK815" s="1023"/>
      <c r="BL815" s="658"/>
    </row>
    <row r="816" spans="2:64">
      <c r="B816" s="1022"/>
      <c r="C816" s="607"/>
      <c r="D816" s="607"/>
      <c r="E816" s="1021"/>
      <c r="F816" s="608">
        <v>813</v>
      </c>
      <c r="G816" s="609"/>
      <c r="H816" s="610"/>
      <c r="I816" s="611"/>
      <c r="J816" s="166">
        <f t="shared" si="521"/>
        <v>0</v>
      </c>
      <c r="K816" s="167">
        <f t="shared" si="522"/>
        <v>0</v>
      </c>
      <c r="L816" s="168">
        <f t="shared" si="523"/>
        <v>0</v>
      </c>
      <c r="M816" s="166">
        <f t="shared" si="524"/>
        <v>0</v>
      </c>
      <c r="N816" s="167">
        <f t="shared" si="525"/>
        <v>0</v>
      </c>
      <c r="O816" s="168">
        <f t="shared" si="526"/>
        <v>0</v>
      </c>
      <c r="P816" s="169">
        <f t="shared" si="527"/>
        <v>0</v>
      </c>
      <c r="Q816" s="169">
        <f t="shared" si="528"/>
        <v>0</v>
      </c>
      <c r="R816" s="169">
        <f t="shared" si="529"/>
        <v>0</v>
      </c>
      <c r="S816" s="584">
        <f t="shared" si="530"/>
        <v>0</v>
      </c>
      <c r="T816" s="594">
        <f t="shared" si="531"/>
        <v>0</v>
      </c>
      <c r="U816" s="595">
        <f t="shared" si="532"/>
        <v>0</v>
      </c>
      <c r="V816" s="166">
        <f t="shared" si="533"/>
        <v>0</v>
      </c>
      <c r="W816" s="167">
        <f t="shared" si="534"/>
        <v>0</v>
      </c>
      <c r="X816" s="168">
        <f t="shared" si="535"/>
        <v>0</v>
      </c>
      <c r="Y816" s="166">
        <f t="shared" si="536"/>
        <v>0</v>
      </c>
      <c r="Z816" s="167">
        <f t="shared" si="537"/>
        <v>0</v>
      </c>
      <c r="AA816" s="168">
        <f t="shared" si="538"/>
        <v>0</v>
      </c>
      <c r="AB816" s="166">
        <f t="shared" si="539"/>
        <v>0</v>
      </c>
      <c r="AC816" s="167">
        <f t="shared" si="540"/>
        <v>0</v>
      </c>
      <c r="AD816" s="168">
        <f t="shared" si="541"/>
        <v>0</v>
      </c>
      <c r="AE816" s="166">
        <f t="shared" si="542"/>
        <v>0</v>
      </c>
      <c r="AF816" s="167">
        <f t="shared" si="543"/>
        <v>0</v>
      </c>
      <c r="AG816" s="168">
        <f t="shared" si="544"/>
        <v>0</v>
      </c>
      <c r="AH816" s="166">
        <f t="shared" si="545"/>
        <v>0</v>
      </c>
      <c r="AI816" s="167">
        <f t="shared" si="546"/>
        <v>0</v>
      </c>
      <c r="AJ816" s="168">
        <f t="shared" si="547"/>
        <v>0</v>
      </c>
      <c r="AK816" s="169">
        <f t="shared" si="548"/>
        <v>0</v>
      </c>
      <c r="AL816" s="167">
        <f t="shared" si="549"/>
        <v>0</v>
      </c>
      <c r="AM816" s="585">
        <f t="shared" si="550"/>
        <v>0</v>
      </c>
      <c r="AN816" s="614"/>
      <c r="AO816" s="615"/>
      <c r="AP816" s="615"/>
      <c r="AQ816" s="616"/>
      <c r="AR816" s="612"/>
      <c r="AS816" s="617"/>
      <c r="AT816" s="618"/>
      <c r="AU816" s="618"/>
      <c r="AV816" s="618"/>
      <c r="AW816" s="619"/>
      <c r="AX816" s="614"/>
      <c r="AY816" s="616"/>
      <c r="AZ816" s="616"/>
      <c r="BA816" s="616"/>
      <c r="BB816" s="616"/>
      <c r="BC816" s="616"/>
      <c r="BD816" s="612"/>
      <c r="BE816" s="614"/>
      <c r="BF816" s="616"/>
      <c r="BG816" s="616"/>
      <c r="BH816" s="616"/>
      <c r="BI816" s="616"/>
      <c r="BJ816" s="616"/>
      <c r="BK816" s="1023"/>
      <c r="BL816" s="658"/>
    </row>
    <row r="817" spans="2:64">
      <c r="B817" s="1022"/>
      <c r="C817" s="607"/>
      <c r="D817" s="607"/>
      <c r="E817" s="1021"/>
      <c r="F817" s="1019">
        <v>814</v>
      </c>
      <c r="G817" s="609"/>
      <c r="H817" s="610"/>
      <c r="I817" s="611"/>
      <c r="J817" s="166">
        <f t="shared" si="521"/>
        <v>0</v>
      </c>
      <c r="K817" s="167">
        <f t="shared" si="522"/>
        <v>0</v>
      </c>
      <c r="L817" s="168">
        <f t="shared" si="523"/>
        <v>0</v>
      </c>
      <c r="M817" s="166">
        <f t="shared" si="524"/>
        <v>0</v>
      </c>
      <c r="N817" s="167">
        <f t="shared" si="525"/>
        <v>0</v>
      </c>
      <c r="O817" s="168">
        <f t="shared" si="526"/>
        <v>0</v>
      </c>
      <c r="P817" s="169">
        <f t="shared" si="527"/>
        <v>0</v>
      </c>
      <c r="Q817" s="169">
        <f t="shared" si="528"/>
        <v>0</v>
      </c>
      <c r="R817" s="169">
        <f t="shared" si="529"/>
        <v>0</v>
      </c>
      <c r="S817" s="584">
        <f t="shared" si="530"/>
        <v>0</v>
      </c>
      <c r="T817" s="594">
        <f t="shared" si="531"/>
        <v>0</v>
      </c>
      <c r="U817" s="595">
        <f t="shared" si="532"/>
        <v>0</v>
      </c>
      <c r="V817" s="166">
        <f t="shared" si="533"/>
        <v>0</v>
      </c>
      <c r="W817" s="167">
        <f t="shared" si="534"/>
        <v>0</v>
      </c>
      <c r="X817" s="168">
        <f t="shared" si="535"/>
        <v>0</v>
      </c>
      <c r="Y817" s="166">
        <f t="shared" si="536"/>
        <v>0</v>
      </c>
      <c r="Z817" s="167">
        <f t="shared" si="537"/>
        <v>0</v>
      </c>
      <c r="AA817" s="168">
        <f t="shared" si="538"/>
        <v>0</v>
      </c>
      <c r="AB817" s="166">
        <f t="shared" si="539"/>
        <v>0</v>
      </c>
      <c r="AC817" s="167">
        <f t="shared" si="540"/>
        <v>0</v>
      </c>
      <c r="AD817" s="168">
        <f t="shared" si="541"/>
        <v>0</v>
      </c>
      <c r="AE817" s="166">
        <f t="shared" si="542"/>
        <v>0</v>
      </c>
      <c r="AF817" s="167">
        <f t="shared" si="543"/>
        <v>0</v>
      </c>
      <c r="AG817" s="168">
        <f t="shared" si="544"/>
        <v>0</v>
      </c>
      <c r="AH817" s="166">
        <f t="shared" si="545"/>
        <v>0</v>
      </c>
      <c r="AI817" s="167">
        <f t="shared" si="546"/>
        <v>0</v>
      </c>
      <c r="AJ817" s="168">
        <f t="shared" si="547"/>
        <v>0</v>
      </c>
      <c r="AK817" s="169">
        <f t="shared" si="548"/>
        <v>0</v>
      </c>
      <c r="AL817" s="167">
        <f t="shared" si="549"/>
        <v>0</v>
      </c>
      <c r="AM817" s="585">
        <f t="shared" si="550"/>
        <v>0</v>
      </c>
      <c r="AN817" s="614"/>
      <c r="AO817" s="615"/>
      <c r="AP817" s="615"/>
      <c r="AQ817" s="616"/>
      <c r="AR817" s="612"/>
      <c r="AS817" s="617"/>
      <c r="AT817" s="618"/>
      <c r="AU817" s="618"/>
      <c r="AV817" s="618"/>
      <c r="AW817" s="619"/>
      <c r="AX817" s="614"/>
      <c r="AY817" s="616"/>
      <c r="AZ817" s="616"/>
      <c r="BA817" s="616"/>
      <c r="BB817" s="616"/>
      <c r="BC817" s="616"/>
      <c r="BD817" s="612"/>
      <c r="BE817" s="614"/>
      <c r="BF817" s="616"/>
      <c r="BG817" s="616"/>
      <c r="BH817" s="616"/>
      <c r="BI817" s="616"/>
      <c r="BJ817" s="616"/>
      <c r="BK817" s="1023"/>
      <c r="BL817" s="658"/>
    </row>
    <row r="818" spans="2:64">
      <c r="B818" s="1022"/>
      <c r="C818" s="607"/>
      <c r="D818" s="607"/>
      <c r="E818" s="1021"/>
      <c r="F818" s="608">
        <v>815</v>
      </c>
      <c r="G818" s="609"/>
      <c r="H818" s="610"/>
      <c r="I818" s="611"/>
      <c r="J818" s="166">
        <f t="shared" si="521"/>
        <v>0</v>
      </c>
      <c r="K818" s="167">
        <f t="shared" si="522"/>
        <v>0</v>
      </c>
      <c r="L818" s="168">
        <f t="shared" si="523"/>
        <v>0</v>
      </c>
      <c r="M818" s="166">
        <f t="shared" si="524"/>
        <v>0</v>
      </c>
      <c r="N818" s="167">
        <f t="shared" si="525"/>
        <v>0</v>
      </c>
      <c r="O818" s="168">
        <f t="shared" si="526"/>
        <v>0</v>
      </c>
      <c r="P818" s="169">
        <f t="shared" si="527"/>
        <v>0</v>
      </c>
      <c r="Q818" s="169">
        <f t="shared" si="528"/>
        <v>0</v>
      </c>
      <c r="R818" s="169">
        <f t="shared" si="529"/>
        <v>0</v>
      </c>
      <c r="S818" s="584">
        <f t="shared" si="530"/>
        <v>0</v>
      </c>
      <c r="T818" s="594">
        <f t="shared" si="531"/>
        <v>0</v>
      </c>
      <c r="U818" s="595">
        <f t="shared" si="532"/>
        <v>0</v>
      </c>
      <c r="V818" s="166">
        <f t="shared" si="533"/>
        <v>0</v>
      </c>
      <c r="W818" s="167">
        <f t="shared" si="534"/>
        <v>0</v>
      </c>
      <c r="X818" s="168">
        <f t="shared" si="535"/>
        <v>0</v>
      </c>
      <c r="Y818" s="166">
        <f t="shared" si="536"/>
        <v>0</v>
      </c>
      <c r="Z818" s="167">
        <f t="shared" si="537"/>
        <v>0</v>
      </c>
      <c r="AA818" s="168">
        <f t="shared" si="538"/>
        <v>0</v>
      </c>
      <c r="AB818" s="166">
        <f t="shared" si="539"/>
        <v>0</v>
      </c>
      <c r="AC818" s="167">
        <f t="shared" si="540"/>
        <v>0</v>
      </c>
      <c r="AD818" s="168">
        <f t="shared" si="541"/>
        <v>0</v>
      </c>
      <c r="AE818" s="166">
        <f t="shared" si="542"/>
        <v>0</v>
      </c>
      <c r="AF818" s="167">
        <f t="shared" si="543"/>
        <v>0</v>
      </c>
      <c r="AG818" s="168">
        <f t="shared" si="544"/>
        <v>0</v>
      </c>
      <c r="AH818" s="166">
        <f t="shared" si="545"/>
        <v>0</v>
      </c>
      <c r="AI818" s="167">
        <f t="shared" si="546"/>
        <v>0</v>
      </c>
      <c r="AJ818" s="168">
        <f t="shared" si="547"/>
        <v>0</v>
      </c>
      <c r="AK818" s="169">
        <f t="shared" si="548"/>
        <v>0</v>
      </c>
      <c r="AL818" s="167">
        <f t="shared" si="549"/>
        <v>0</v>
      </c>
      <c r="AM818" s="585">
        <f t="shared" si="550"/>
        <v>0</v>
      </c>
      <c r="AN818" s="614"/>
      <c r="AO818" s="615"/>
      <c r="AP818" s="615"/>
      <c r="AQ818" s="616"/>
      <c r="AR818" s="612"/>
      <c r="AS818" s="617"/>
      <c r="AT818" s="618"/>
      <c r="AU818" s="618"/>
      <c r="AV818" s="618"/>
      <c r="AW818" s="619"/>
      <c r="AX818" s="614"/>
      <c r="AY818" s="616"/>
      <c r="AZ818" s="616"/>
      <c r="BA818" s="616"/>
      <c r="BB818" s="616"/>
      <c r="BC818" s="616"/>
      <c r="BD818" s="612"/>
      <c r="BE818" s="614"/>
      <c r="BF818" s="616"/>
      <c r="BG818" s="616"/>
      <c r="BH818" s="616"/>
      <c r="BI818" s="616"/>
      <c r="BJ818" s="616"/>
      <c r="BK818" s="1023"/>
      <c r="BL818" s="658"/>
    </row>
    <row r="819" spans="2:64">
      <c r="B819" s="1022"/>
      <c r="C819" s="607"/>
      <c r="D819" s="607"/>
      <c r="E819" s="1021"/>
      <c r="F819" s="1019">
        <v>816</v>
      </c>
      <c r="G819" s="609"/>
      <c r="H819" s="610"/>
      <c r="I819" s="611"/>
      <c r="J819" s="166">
        <f t="shared" si="521"/>
        <v>0</v>
      </c>
      <c r="K819" s="167">
        <f t="shared" si="522"/>
        <v>0</v>
      </c>
      <c r="L819" s="168">
        <f t="shared" si="523"/>
        <v>0</v>
      </c>
      <c r="M819" s="166">
        <f t="shared" si="524"/>
        <v>0</v>
      </c>
      <c r="N819" s="167">
        <f t="shared" si="525"/>
        <v>0</v>
      </c>
      <c r="O819" s="168">
        <f t="shared" si="526"/>
        <v>0</v>
      </c>
      <c r="P819" s="169">
        <f t="shared" si="527"/>
        <v>0</v>
      </c>
      <c r="Q819" s="169">
        <f t="shared" si="528"/>
        <v>0</v>
      </c>
      <c r="R819" s="169">
        <f t="shared" si="529"/>
        <v>0</v>
      </c>
      <c r="S819" s="584">
        <f t="shared" si="530"/>
        <v>0</v>
      </c>
      <c r="T819" s="594">
        <f t="shared" si="531"/>
        <v>0</v>
      </c>
      <c r="U819" s="595">
        <f t="shared" si="532"/>
        <v>0</v>
      </c>
      <c r="V819" s="166">
        <f t="shared" si="533"/>
        <v>0</v>
      </c>
      <c r="W819" s="167">
        <f t="shared" si="534"/>
        <v>0</v>
      </c>
      <c r="X819" s="168">
        <f t="shared" si="535"/>
        <v>0</v>
      </c>
      <c r="Y819" s="166">
        <f t="shared" si="536"/>
        <v>0</v>
      </c>
      <c r="Z819" s="167">
        <f t="shared" si="537"/>
        <v>0</v>
      </c>
      <c r="AA819" s="168">
        <f t="shared" si="538"/>
        <v>0</v>
      </c>
      <c r="AB819" s="166">
        <f t="shared" si="539"/>
        <v>0</v>
      </c>
      <c r="AC819" s="167">
        <f t="shared" si="540"/>
        <v>0</v>
      </c>
      <c r="AD819" s="168">
        <f t="shared" si="541"/>
        <v>0</v>
      </c>
      <c r="AE819" s="166">
        <f t="shared" si="542"/>
        <v>0</v>
      </c>
      <c r="AF819" s="167">
        <f t="shared" si="543"/>
        <v>0</v>
      </c>
      <c r="AG819" s="168">
        <f t="shared" si="544"/>
        <v>0</v>
      </c>
      <c r="AH819" s="166">
        <f t="shared" si="545"/>
        <v>0</v>
      </c>
      <c r="AI819" s="167">
        <f t="shared" si="546"/>
        <v>0</v>
      </c>
      <c r="AJ819" s="168">
        <f t="shared" si="547"/>
        <v>0</v>
      </c>
      <c r="AK819" s="169">
        <f t="shared" si="548"/>
        <v>0</v>
      </c>
      <c r="AL819" s="167">
        <f t="shared" si="549"/>
        <v>0</v>
      </c>
      <c r="AM819" s="585">
        <f t="shared" si="550"/>
        <v>0</v>
      </c>
      <c r="AN819" s="614"/>
      <c r="AO819" s="615"/>
      <c r="AP819" s="615"/>
      <c r="AQ819" s="616"/>
      <c r="AR819" s="612"/>
      <c r="AS819" s="617"/>
      <c r="AT819" s="618"/>
      <c r="AU819" s="618"/>
      <c r="AV819" s="618"/>
      <c r="AW819" s="619"/>
      <c r="AX819" s="614"/>
      <c r="AY819" s="616"/>
      <c r="AZ819" s="616"/>
      <c r="BA819" s="616"/>
      <c r="BB819" s="616"/>
      <c r="BC819" s="616"/>
      <c r="BD819" s="612"/>
      <c r="BE819" s="614"/>
      <c r="BF819" s="616"/>
      <c r="BG819" s="616"/>
      <c r="BH819" s="616"/>
      <c r="BI819" s="616"/>
      <c r="BJ819" s="616"/>
      <c r="BK819" s="1023"/>
      <c r="BL819" s="658"/>
    </row>
    <row r="820" spans="2:64">
      <c r="B820" s="1022"/>
      <c r="C820" s="607"/>
      <c r="D820" s="607"/>
      <c r="E820" s="1021"/>
      <c r="F820" s="608">
        <v>817</v>
      </c>
      <c r="G820" s="609"/>
      <c r="H820" s="610"/>
      <c r="I820" s="611"/>
      <c r="J820" s="166">
        <f t="shared" si="521"/>
        <v>0</v>
      </c>
      <c r="K820" s="167">
        <f t="shared" si="522"/>
        <v>0</v>
      </c>
      <c r="L820" s="168">
        <f t="shared" si="523"/>
        <v>0</v>
      </c>
      <c r="M820" s="166">
        <f t="shared" si="524"/>
        <v>0</v>
      </c>
      <c r="N820" s="167">
        <f t="shared" si="525"/>
        <v>0</v>
      </c>
      <c r="O820" s="168">
        <f t="shared" si="526"/>
        <v>0</v>
      </c>
      <c r="P820" s="169">
        <f t="shared" si="527"/>
        <v>0</v>
      </c>
      <c r="Q820" s="169">
        <f t="shared" si="528"/>
        <v>0</v>
      </c>
      <c r="R820" s="169">
        <f t="shared" si="529"/>
        <v>0</v>
      </c>
      <c r="S820" s="584">
        <f t="shared" si="530"/>
        <v>0</v>
      </c>
      <c r="T820" s="594">
        <f t="shared" si="531"/>
        <v>0</v>
      </c>
      <c r="U820" s="595">
        <f t="shared" si="532"/>
        <v>0</v>
      </c>
      <c r="V820" s="166">
        <f t="shared" si="533"/>
        <v>0</v>
      </c>
      <c r="W820" s="167">
        <f t="shared" si="534"/>
        <v>0</v>
      </c>
      <c r="X820" s="168">
        <f t="shared" si="535"/>
        <v>0</v>
      </c>
      <c r="Y820" s="166">
        <f t="shared" si="536"/>
        <v>0</v>
      </c>
      <c r="Z820" s="167">
        <f t="shared" si="537"/>
        <v>0</v>
      </c>
      <c r="AA820" s="168">
        <f t="shared" si="538"/>
        <v>0</v>
      </c>
      <c r="AB820" s="166">
        <f t="shared" si="539"/>
        <v>0</v>
      </c>
      <c r="AC820" s="167">
        <f t="shared" si="540"/>
        <v>0</v>
      </c>
      <c r="AD820" s="168">
        <f t="shared" si="541"/>
        <v>0</v>
      </c>
      <c r="AE820" s="166">
        <f t="shared" si="542"/>
        <v>0</v>
      </c>
      <c r="AF820" s="167">
        <f t="shared" si="543"/>
        <v>0</v>
      </c>
      <c r="AG820" s="168">
        <f t="shared" si="544"/>
        <v>0</v>
      </c>
      <c r="AH820" s="166">
        <f t="shared" si="545"/>
        <v>0</v>
      </c>
      <c r="AI820" s="167">
        <f t="shared" si="546"/>
        <v>0</v>
      </c>
      <c r="AJ820" s="168">
        <f t="shared" si="547"/>
        <v>0</v>
      </c>
      <c r="AK820" s="169">
        <f t="shared" si="548"/>
        <v>0</v>
      </c>
      <c r="AL820" s="167">
        <f t="shared" si="549"/>
        <v>0</v>
      </c>
      <c r="AM820" s="585">
        <f t="shared" si="550"/>
        <v>0</v>
      </c>
      <c r="AN820" s="614"/>
      <c r="AO820" s="615"/>
      <c r="AP820" s="615"/>
      <c r="AQ820" s="616"/>
      <c r="AR820" s="612"/>
      <c r="AS820" s="617"/>
      <c r="AT820" s="618"/>
      <c r="AU820" s="618"/>
      <c r="AV820" s="618"/>
      <c r="AW820" s="619"/>
      <c r="AX820" s="614"/>
      <c r="AY820" s="616"/>
      <c r="AZ820" s="616"/>
      <c r="BA820" s="616"/>
      <c r="BB820" s="616"/>
      <c r="BC820" s="616"/>
      <c r="BD820" s="612"/>
      <c r="BE820" s="614"/>
      <c r="BF820" s="616"/>
      <c r="BG820" s="616"/>
      <c r="BH820" s="616"/>
      <c r="BI820" s="616"/>
      <c r="BJ820" s="616"/>
      <c r="BK820" s="1023"/>
      <c r="BL820" s="658"/>
    </row>
    <row r="821" spans="2:64">
      <c r="B821" s="1022"/>
      <c r="C821" s="607"/>
      <c r="D821" s="607"/>
      <c r="E821" s="1021"/>
      <c r="F821" s="1019">
        <v>818</v>
      </c>
      <c r="G821" s="609"/>
      <c r="H821" s="610"/>
      <c r="I821" s="611"/>
      <c r="J821" s="166">
        <f t="shared" si="521"/>
        <v>0</v>
      </c>
      <c r="K821" s="167">
        <f t="shared" si="522"/>
        <v>0</v>
      </c>
      <c r="L821" s="168">
        <f t="shared" si="523"/>
        <v>0</v>
      </c>
      <c r="M821" s="166">
        <f t="shared" si="524"/>
        <v>0</v>
      </c>
      <c r="N821" s="167">
        <f t="shared" si="525"/>
        <v>0</v>
      </c>
      <c r="O821" s="168">
        <f t="shared" si="526"/>
        <v>0</v>
      </c>
      <c r="P821" s="169">
        <f t="shared" si="527"/>
        <v>0</v>
      </c>
      <c r="Q821" s="169">
        <f t="shared" si="528"/>
        <v>0</v>
      </c>
      <c r="R821" s="169">
        <f t="shared" si="529"/>
        <v>0</v>
      </c>
      <c r="S821" s="584">
        <f t="shared" si="530"/>
        <v>0</v>
      </c>
      <c r="T821" s="594">
        <f t="shared" si="531"/>
        <v>0</v>
      </c>
      <c r="U821" s="595">
        <f t="shared" si="532"/>
        <v>0</v>
      </c>
      <c r="V821" s="166">
        <f t="shared" si="533"/>
        <v>0</v>
      </c>
      <c r="W821" s="167">
        <f t="shared" si="534"/>
        <v>0</v>
      </c>
      <c r="X821" s="168">
        <f t="shared" si="535"/>
        <v>0</v>
      </c>
      <c r="Y821" s="166">
        <f t="shared" si="536"/>
        <v>0</v>
      </c>
      <c r="Z821" s="167">
        <f t="shared" si="537"/>
        <v>0</v>
      </c>
      <c r="AA821" s="168">
        <f t="shared" si="538"/>
        <v>0</v>
      </c>
      <c r="AB821" s="166">
        <f t="shared" si="539"/>
        <v>0</v>
      </c>
      <c r="AC821" s="167">
        <f t="shared" si="540"/>
        <v>0</v>
      </c>
      <c r="AD821" s="168">
        <f t="shared" si="541"/>
        <v>0</v>
      </c>
      <c r="AE821" s="166">
        <f t="shared" si="542"/>
        <v>0</v>
      </c>
      <c r="AF821" s="167">
        <f t="shared" si="543"/>
        <v>0</v>
      </c>
      <c r="AG821" s="168">
        <f t="shared" si="544"/>
        <v>0</v>
      </c>
      <c r="AH821" s="166">
        <f t="shared" si="545"/>
        <v>0</v>
      </c>
      <c r="AI821" s="167">
        <f t="shared" si="546"/>
        <v>0</v>
      </c>
      <c r="AJ821" s="168">
        <f t="shared" si="547"/>
        <v>0</v>
      </c>
      <c r="AK821" s="169">
        <f t="shared" si="548"/>
        <v>0</v>
      </c>
      <c r="AL821" s="167">
        <f t="shared" si="549"/>
        <v>0</v>
      </c>
      <c r="AM821" s="585">
        <f t="shared" si="550"/>
        <v>0</v>
      </c>
      <c r="AN821" s="614"/>
      <c r="AO821" s="615"/>
      <c r="AP821" s="615"/>
      <c r="AQ821" s="616"/>
      <c r="AR821" s="612"/>
      <c r="AS821" s="617"/>
      <c r="AT821" s="618"/>
      <c r="AU821" s="618"/>
      <c r="AV821" s="618"/>
      <c r="AW821" s="619"/>
      <c r="AX821" s="614"/>
      <c r="AY821" s="616"/>
      <c r="AZ821" s="616"/>
      <c r="BA821" s="616"/>
      <c r="BB821" s="616"/>
      <c r="BC821" s="616"/>
      <c r="BD821" s="612"/>
      <c r="BE821" s="614"/>
      <c r="BF821" s="616"/>
      <c r="BG821" s="616"/>
      <c r="BH821" s="616"/>
      <c r="BI821" s="616"/>
      <c r="BJ821" s="616"/>
      <c r="BK821" s="1023"/>
      <c r="BL821" s="658"/>
    </row>
    <row r="822" spans="2:64">
      <c r="B822" s="1022"/>
      <c r="C822" s="607"/>
      <c r="D822" s="607"/>
      <c r="E822" s="1021"/>
      <c r="F822" s="608">
        <v>819</v>
      </c>
      <c r="G822" s="609"/>
      <c r="H822" s="610"/>
      <c r="I822" s="611"/>
      <c r="J822" s="166">
        <f t="shared" si="521"/>
        <v>0</v>
      </c>
      <c r="K822" s="167">
        <f t="shared" si="522"/>
        <v>0</v>
      </c>
      <c r="L822" s="168">
        <f t="shared" si="523"/>
        <v>0</v>
      </c>
      <c r="M822" s="166">
        <f t="shared" si="524"/>
        <v>0</v>
      </c>
      <c r="N822" s="167">
        <f t="shared" si="525"/>
        <v>0</v>
      </c>
      <c r="O822" s="168">
        <f t="shared" si="526"/>
        <v>0</v>
      </c>
      <c r="P822" s="169">
        <f t="shared" si="527"/>
        <v>0</v>
      </c>
      <c r="Q822" s="169">
        <f t="shared" si="528"/>
        <v>0</v>
      </c>
      <c r="R822" s="169">
        <f t="shared" si="529"/>
        <v>0</v>
      </c>
      <c r="S822" s="584">
        <f t="shared" si="530"/>
        <v>0</v>
      </c>
      <c r="T822" s="594">
        <f t="shared" si="531"/>
        <v>0</v>
      </c>
      <c r="U822" s="595">
        <f t="shared" si="532"/>
        <v>0</v>
      </c>
      <c r="V822" s="166">
        <f t="shared" si="533"/>
        <v>0</v>
      </c>
      <c r="W822" s="167">
        <f t="shared" si="534"/>
        <v>0</v>
      </c>
      <c r="X822" s="168">
        <f t="shared" si="535"/>
        <v>0</v>
      </c>
      <c r="Y822" s="166">
        <f t="shared" si="536"/>
        <v>0</v>
      </c>
      <c r="Z822" s="167">
        <f t="shared" si="537"/>
        <v>0</v>
      </c>
      <c r="AA822" s="168">
        <f t="shared" si="538"/>
        <v>0</v>
      </c>
      <c r="AB822" s="166">
        <f t="shared" si="539"/>
        <v>0</v>
      </c>
      <c r="AC822" s="167">
        <f t="shared" si="540"/>
        <v>0</v>
      </c>
      <c r="AD822" s="168">
        <f t="shared" si="541"/>
        <v>0</v>
      </c>
      <c r="AE822" s="166">
        <f t="shared" si="542"/>
        <v>0</v>
      </c>
      <c r="AF822" s="167">
        <f t="shared" si="543"/>
        <v>0</v>
      </c>
      <c r="AG822" s="168">
        <f t="shared" si="544"/>
        <v>0</v>
      </c>
      <c r="AH822" s="166">
        <f t="shared" si="545"/>
        <v>0</v>
      </c>
      <c r="AI822" s="167">
        <f t="shared" si="546"/>
        <v>0</v>
      </c>
      <c r="AJ822" s="168">
        <f t="shared" si="547"/>
        <v>0</v>
      </c>
      <c r="AK822" s="169">
        <f t="shared" si="548"/>
        <v>0</v>
      </c>
      <c r="AL822" s="167">
        <f t="shared" si="549"/>
        <v>0</v>
      </c>
      <c r="AM822" s="585">
        <f t="shared" si="550"/>
        <v>0</v>
      </c>
      <c r="AN822" s="614"/>
      <c r="AO822" s="615"/>
      <c r="AP822" s="615"/>
      <c r="AQ822" s="616"/>
      <c r="AR822" s="612"/>
      <c r="AS822" s="617"/>
      <c r="AT822" s="618"/>
      <c r="AU822" s="618"/>
      <c r="AV822" s="618"/>
      <c r="AW822" s="619"/>
      <c r="AX822" s="614"/>
      <c r="AY822" s="616"/>
      <c r="AZ822" s="616"/>
      <c r="BA822" s="616"/>
      <c r="BB822" s="616"/>
      <c r="BC822" s="616"/>
      <c r="BD822" s="612"/>
      <c r="BE822" s="614"/>
      <c r="BF822" s="616"/>
      <c r="BG822" s="616"/>
      <c r="BH822" s="616"/>
      <c r="BI822" s="616"/>
      <c r="BJ822" s="616"/>
      <c r="BK822" s="1023"/>
      <c r="BL822" s="658"/>
    </row>
    <row r="823" spans="2:64">
      <c r="B823" s="1022"/>
      <c r="C823" s="607"/>
      <c r="D823" s="607"/>
      <c r="E823" s="1021"/>
      <c r="F823" s="1019">
        <v>820</v>
      </c>
      <c r="G823" s="609"/>
      <c r="H823" s="610"/>
      <c r="I823" s="611"/>
      <c r="J823" s="166">
        <f t="shared" si="521"/>
        <v>0</v>
      </c>
      <c r="K823" s="167">
        <f t="shared" si="522"/>
        <v>0</v>
      </c>
      <c r="L823" s="168">
        <f t="shared" si="523"/>
        <v>0</v>
      </c>
      <c r="M823" s="166">
        <f t="shared" si="524"/>
        <v>0</v>
      </c>
      <c r="N823" s="167">
        <f t="shared" si="525"/>
        <v>0</v>
      </c>
      <c r="O823" s="168">
        <f t="shared" si="526"/>
        <v>0</v>
      </c>
      <c r="P823" s="169">
        <f t="shared" si="527"/>
        <v>0</v>
      </c>
      <c r="Q823" s="169">
        <f t="shared" si="528"/>
        <v>0</v>
      </c>
      <c r="R823" s="169">
        <f t="shared" si="529"/>
        <v>0</v>
      </c>
      <c r="S823" s="584">
        <f t="shared" si="530"/>
        <v>0</v>
      </c>
      <c r="T823" s="594">
        <f t="shared" si="531"/>
        <v>0</v>
      </c>
      <c r="U823" s="595">
        <f t="shared" si="532"/>
        <v>0</v>
      </c>
      <c r="V823" s="166">
        <f t="shared" si="533"/>
        <v>0</v>
      </c>
      <c r="W823" s="167">
        <f t="shared" si="534"/>
        <v>0</v>
      </c>
      <c r="X823" s="168">
        <f t="shared" si="535"/>
        <v>0</v>
      </c>
      <c r="Y823" s="166">
        <f t="shared" si="536"/>
        <v>0</v>
      </c>
      <c r="Z823" s="167">
        <f t="shared" si="537"/>
        <v>0</v>
      </c>
      <c r="AA823" s="168">
        <f t="shared" si="538"/>
        <v>0</v>
      </c>
      <c r="AB823" s="166">
        <f t="shared" si="539"/>
        <v>0</v>
      </c>
      <c r="AC823" s="167">
        <f t="shared" si="540"/>
        <v>0</v>
      </c>
      <c r="AD823" s="168">
        <f t="shared" si="541"/>
        <v>0</v>
      </c>
      <c r="AE823" s="166">
        <f t="shared" si="542"/>
        <v>0</v>
      </c>
      <c r="AF823" s="167">
        <f t="shared" si="543"/>
        <v>0</v>
      </c>
      <c r="AG823" s="168">
        <f t="shared" si="544"/>
        <v>0</v>
      </c>
      <c r="AH823" s="166">
        <f t="shared" si="545"/>
        <v>0</v>
      </c>
      <c r="AI823" s="167">
        <f t="shared" si="546"/>
        <v>0</v>
      </c>
      <c r="AJ823" s="168">
        <f t="shared" si="547"/>
        <v>0</v>
      </c>
      <c r="AK823" s="169">
        <f t="shared" si="548"/>
        <v>0</v>
      </c>
      <c r="AL823" s="167">
        <f t="shared" si="549"/>
        <v>0</v>
      </c>
      <c r="AM823" s="585">
        <f t="shared" si="550"/>
        <v>0</v>
      </c>
      <c r="AN823" s="614"/>
      <c r="AO823" s="615"/>
      <c r="AP823" s="615"/>
      <c r="AQ823" s="616"/>
      <c r="AR823" s="612"/>
      <c r="AS823" s="617"/>
      <c r="AT823" s="618"/>
      <c r="AU823" s="618"/>
      <c r="AV823" s="618"/>
      <c r="AW823" s="619"/>
      <c r="AX823" s="614"/>
      <c r="AY823" s="616"/>
      <c r="AZ823" s="616"/>
      <c r="BA823" s="616"/>
      <c r="BB823" s="616"/>
      <c r="BC823" s="616"/>
      <c r="BD823" s="612"/>
      <c r="BE823" s="614"/>
      <c r="BF823" s="616"/>
      <c r="BG823" s="616"/>
      <c r="BH823" s="616"/>
      <c r="BI823" s="616"/>
      <c r="BJ823" s="616"/>
      <c r="BK823" s="1023"/>
      <c r="BL823" s="658"/>
    </row>
    <row r="824" spans="2:64">
      <c r="B824" s="1022"/>
      <c r="C824" s="607"/>
      <c r="D824" s="607"/>
      <c r="E824" s="1021"/>
      <c r="F824" s="608">
        <v>821</v>
      </c>
      <c r="G824" s="609"/>
      <c r="H824" s="610"/>
      <c r="I824" s="611"/>
      <c r="J824" s="166">
        <f t="shared" si="521"/>
        <v>0</v>
      </c>
      <c r="K824" s="167">
        <f t="shared" si="522"/>
        <v>0</v>
      </c>
      <c r="L824" s="168">
        <f t="shared" si="523"/>
        <v>0</v>
      </c>
      <c r="M824" s="166">
        <f t="shared" si="524"/>
        <v>0</v>
      </c>
      <c r="N824" s="167">
        <f t="shared" si="525"/>
        <v>0</v>
      </c>
      <c r="O824" s="168">
        <f t="shared" si="526"/>
        <v>0</v>
      </c>
      <c r="P824" s="169">
        <f t="shared" si="527"/>
        <v>0</v>
      </c>
      <c r="Q824" s="169">
        <f t="shared" si="528"/>
        <v>0</v>
      </c>
      <c r="R824" s="169">
        <f t="shared" si="529"/>
        <v>0</v>
      </c>
      <c r="S824" s="584">
        <f t="shared" si="530"/>
        <v>0</v>
      </c>
      <c r="T824" s="594">
        <f t="shared" si="531"/>
        <v>0</v>
      </c>
      <c r="U824" s="595">
        <f t="shared" si="532"/>
        <v>0</v>
      </c>
      <c r="V824" s="166">
        <f t="shared" si="533"/>
        <v>0</v>
      </c>
      <c r="W824" s="167">
        <f t="shared" si="534"/>
        <v>0</v>
      </c>
      <c r="X824" s="168">
        <f t="shared" si="535"/>
        <v>0</v>
      </c>
      <c r="Y824" s="166">
        <f t="shared" si="536"/>
        <v>0</v>
      </c>
      <c r="Z824" s="167">
        <f t="shared" si="537"/>
        <v>0</v>
      </c>
      <c r="AA824" s="168">
        <f t="shared" si="538"/>
        <v>0</v>
      </c>
      <c r="AB824" s="166">
        <f t="shared" si="539"/>
        <v>0</v>
      </c>
      <c r="AC824" s="167">
        <f t="shared" si="540"/>
        <v>0</v>
      </c>
      <c r="AD824" s="168">
        <f t="shared" si="541"/>
        <v>0</v>
      </c>
      <c r="AE824" s="166">
        <f t="shared" si="542"/>
        <v>0</v>
      </c>
      <c r="AF824" s="167">
        <f t="shared" si="543"/>
        <v>0</v>
      </c>
      <c r="AG824" s="168">
        <f t="shared" si="544"/>
        <v>0</v>
      </c>
      <c r="AH824" s="166">
        <f t="shared" si="545"/>
        <v>0</v>
      </c>
      <c r="AI824" s="167">
        <f t="shared" si="546"/>
        <v>0</v>
      </c>
      <c r="AJ824" s="168">
        <f t="shared" si="547"/>
        <v>0</v>
      </c>
      <c r="AK824" s="169">
        <f t="shared" si="548"/>
        <v>0</v>
      </c>
      <c r="AL824" s="167">
        <f t="shared" si="549"/>
        <v>0</v>
      </c>
      <c r="AM824" s="585">
        <f t="shared" si="550"/>
        <v>0</v>
      </c>
      <c r="AN824" s="614"/>
      <c r="AO824" s="615"/>
      <c r="AP824" s="615"/>
      <c r="AQ824" s="616"/>
      <c r="AR824" s="612"/>
      <c r="AS824" s="617"/>
      <c r="AT824" s="618"/>
      <c r="AU824" s="618"/>
      <c r="AV824" s="618"/>
      <c r="AW824" s="619"/>
      <c r="AX824" s="614"/>
      <c r="AY824" s="616"/>
      <c r="AZ824" s="616"/>
      <c r="BA824" s="616"/>
      <c r="BB824" s="616"/>
      <c r="BC824" s="616"/>
      <c r="BD824" s="612"/>
      <c r="BE824" s="614"/>
      <c r="BF824" s="616"/>
      <c r="BG824" s="616"/>
      <c r="BH824" s="616"/>
      <c r="BI824" s="616"/>
      <c r="BJ824" s="616"/>
      <c r="BK824" s="1023"/>
      <c r="BL824" s="658"/>
    </row>
    <row r="825" spans="2:64">
      <c r="B825" s="1022"/>
      <c r="C825" s="607"/>
      <c r="D825" s="607"/>
      <c r="E825" s="1021"/>
      <c r="F825" s="1019">
        <v>822</v>
      </c>
      <c r="G825" s="609"/>
      <c r="H825" s="610"/>
      <c r="I825" s="611"/>
      <c r="J825" s="166">
        <f t="shared" si="521"/>
        <v>0</v>
      </c>
      <c r="K825" s="167">
        <f t="shared" si="522"/>
        <v>0</v>
      </c>
      <c r="L825" s="168">
        <f t="shared" si="523"/>
        <v>0</v>
      </c>
      <c r="M825" s="166">
        <f t="shared" si="524"/>
        <v>0</v>
      </c>
      <c r="N825" s="167">
        <f t="shared" si="525"/>
        <v>0</v>
      </c>
      <c r="O825" s="168">
        <f t="shared" si="526"/>
        <v>0</v>
      </c>
      <c r="P825" s="169">
        <f t="shared" si="527"/>
        <v>0</v>
      </c>
      <c r="Q825" s="169">
        <f t="shared" si="528"/>
        <v>0</v>
      </c>
      <c r="R825" s="169">
        <f t="shared" si="529"/>
        <v>0</v>
      </c>
      <c r="S825" s="584">
        <f t="shared" si="530"/>
        <v>0</v>
      </c>
      <c r="T825" s="594">
        <f t="shared" si="531"/>
        <v>0</v>
      </c>
      <c r="U825" s="595">
        <f t="shared" si="532"/>
        <v>0</v>
      </c>
      <c r="V825" s="166">
        <f t="shared" si="533"/>
        <v>0</v>
      </c>
      <c r="W825" s="167">
        <f t="shared" si="534"/>
        <v>0</v>
      </c>
      <c r="X825" s="168">
        <f t="shared" si="535"/>
        <v>0</v>
      </c>
      <c r="Y825" s="166">
        <f t="shared" si="536"/>
        <v>0</v>
      </c>
      <c r="Z825" s="167">
        <f t="shared" si="537"/>
        <v>0</v>
      </c>
      <c r="AA825" s="168">
        <f t="shared" si="538"/>
        <v>0</v>
      </c>
      <c r="AB825" s="166">
        <f t="shared" si="539"/>
        <v>0</v>
      </c>
      <c r="AC825" s="167">
        <f t="shared" si="540"/>
        <v>0</v>
      </c>
      <c r="AD825" s="168">
        <f t="shared" si="541"/>
        <v>0</v>
      </c>
      <c r="AE825" s="166">
        <f t="shared" si="542"/>
        <v>0</v>
      </c>
      <c r="AF825" s="167">
        <f t="shared" si="543"/>
        <v>0</v>
      </c>
      <c r="AG825" s="168">
        <f t="shared" si="544"/>
        <v>0</v>
      </c>
      <c r="AH825" s="166">
        <f t="shared" si="545"/>
        <v>0</v>
      </c>
      <c r="AI825" s="167">
        <f t="shared" si="546"/>
        <v>0</v>
      </c>
      <c r="AJ825" s="168">
        <f t="shared" si="547"/>
        <v>0</v>
      </c>
      <c r="AK825" s="169">
        <f t="shared" si="548"/>
        <v>0</v>
      </c>
      <c r="AL825" s="167">
        <f t="shared" si="549"/>
        <v>0</v>
      </c>
      <c r="AM825" s="585">
        <f t="shared" si="550"/>
        <v>0</v>
      </c>
      <c r="AN825" s="614"/>
      <c r="AO825" s="615"/>
      <c r="AP825" s="615"/>
      <c r="AQ825" s="616"/>
      <c r="AR825" s="612"/>
      <c r="AS825" s="617"/>
      <c r="AT825" s="618"/>
      <c r="AU825" s="618"/>
      <c r="AV825" s="618"/>
      <c r="AW825" s="619"/>
      <c r="AX825" s="614"/>
      <c r="AY825" s="616"/>
      <c r="AZ825" s="616"/>
      <c r="BA825" s="616"/>
      <c r="BB825" s="616"/>
      <c r="BC825" s="616"/>
      <c r="BD825" s="612"/>
      <c r="BE825" s="614"/>
      <c r="BF825" s="616"/>
      <c r="BG825" s="616"/>
      <c r="BH825" s="616"/>
      <c r="BI825" s="616"/>
      <c r="BJ825" s="616"/>
      <c r="BK825" s="1023"/>
      <c r="BL825" s="658"/>
    </row>
    <row r="826" spans="2:64">
      <c r="B826" s="1022"/>
      <c r="C826" s="607"/>
      <c r="D826" s="607"/>
      <c r="E826" s="1021"/>
      <c r="F826" s="608">
        <v>823</v>
      </c>
      <c r="G826" s="609"/>
      <c r="H826" s="610"/>
      <c r="I826" s="611"/>
      <c r="J826" s="166">
        <f t="shared" si="521"/>
        <v>0</v>
      </c>
      <c r="K826" s="167">
        <f t="shared" si="522"/>
        <v>0</v>
      </c>
      <c r="L826" s="168">
        <f t="shared" si="523"/>
        <v>0</v>
      </c>
      <c r="M826" s="166">
        <f t="shared" si="524"/>
        <v>0</v>
      </c>
      <c r="N826" s="167">
        <f t="shared" si="525"/>
        <v>0</v>
      </c>
      <c r="O826" s="168">
        <f t="shared" si="526"/>
        <v>0</v>
      </c>
      <c r="P826" s="169">
        <f t="shared" si="527"/>
        <v>0</v>
      </c>
      <c r="Q826" s="169">
        <f t="shared" si="528"/>
        <v>0</v>
      </c>
      <c r="R826" s="169">
        <f t="shared" si="529"/>
        <v>0</v>
      </c>
      <c r="S826" s="584">
        <f t="shared" si="530"/>
        <v>0</v>
      </c>
      <c r="T826" s="594">
        <f t="shared" si="531"/>
        <v>0</v>
      </c>
      <c r="U826" s="595">
        <f t="shared" si="532"/>
        <v>0</v>
      </c>
      <c r="V826" s="166">
        <f t="shared" si="533"/>
        <v>0</v>
      </c>
      <c r="W826" s="167">
        <f t="shared" si="534"/>
        <v>0</v>
      </c>
      <c r="X826" s="168">
        <f t="shared" si="535"/>
        <v>0</v>
      </c>
      <c r="Y826" s="166">
        <f t="shared" si="536"/>
        <v>0</v>
      </c>
      <c r="Z826" s="167">
        <f t="shared" si="537"/>
        <v>0</v>
      </c>
      <c r="AA826" s="168">
        <f t="shared" si="538"/>
        <v>0</v>
      </c>
      <c r="AB826" s="166">
        <f t="shared" si="539"/>
        <v>0</v>
      </c>
      <c r="AC826" s="167">
        <f t="shared" si="540"/>
        <v>0</v>
      </c>
      <c r="AD826" s="168">
        <f t="shared" si="541"/>
        <v>0</v>
      </c>
      <c r="AE826" s="166">
        <f t="shared" si="542"/>
        <v>0</v>
      </c>
      <c r="AF826" s="167">
        <f t="shared" si="543"/>
        <v>0</v>
      </c>
      <c r="AG826" s="168">
        <f t="shared" si="544"/>
        <v>0</v>
      </c>
      <c r="AH826" s="166">
        <f t="shared" si="545"/>
        <v>0</v>
      </c>
      <c r="AI826" s="167">
        <f t="shared" si="546"/>
        <v>0</v>
      </c>
      <c r="AJ826" s="168">
        <f t="shared" si="547"/>
        <v>0</v>
      </c>
      <c r="AK826" s="169">
        <f t="shared" si="548"/>
        <v>0</v>
      </c>
      <c r="AL826" s="167">
        <f t="shared" si="549"/>
        <v>0</v>
      </c>
      <c r="AM826" s="585">
        <f t="shared" si="550"/>
        <v>0</v>
      </c>
      <c r="AN826" s="614"/>
      <c r="AO826" s="615"/>
      <c r="AP826" s="615"/>
      <c r="AQ826" s="616"/>
      <c r="AR826" s="612"/>
      <c r="AS826" s="617"/>
      <c r="AT826" s="618"/>
      <c r="AU826" s="618"/>
      <c r="AV826" s="618"/>
      <c r="AW826" s="619"/>
      <c r="AX826" s="614"/>
      <c r="AY826" s="616"/>
      <c r="AZ826" s="616"/>
      <c r="BA826" s="616"/>
      <c r="BB826" s="616"/>
      <c r="BC826" s="616"/>
      <c r="BD826" s="612"/>
      <c r="BE826" s="614"/>
      <c r="BF826" s="616"/>
      <c r="BG826" s="616"/>
      <c r="BH826" s="616"/>
      <c r="BI826" s="616"/>
      <c r="BJ826" s="616"/>
      <c r="BK826" s="1023"/>
      <c r="BL826" s="658"/>
    </row>
    <row r="827" spans="2:64">
      <c r="B827" s="1022"/>
      <c r="C827" s="607"/>
      <c r="D827" s="607"/>
      <c r="E827" s="1021"/>
      <c r="F827" s="1019">
        <v>824</v>
      </c>
      <c r="G827" s="609"/>
      <c r="H827" s="610"/>
      <c r="I827" s="611"/>
      <c r="J827" s="166">
        <f t="shared" si="521"/>
        <v>0</v>
      </c>
      <c r="K827" s="167">
        <f t="shared" si="522"/>
        <v>0</v>
      </c>
      <c r="L827" s="168">
        <f t="shared" si="523"/>
        <v>0</v>
      </c>
      <c r="M827" s="166">
        <f t="shared" si="524"/>
        <v>0</v>
      </c>
      <c r="N827" s="167">
        <f t="shared" si="525"/>
        <v>0</v>
      </c>
      <c r="O827" s="168">
        <f t="shared" si="526"/>
        <v>0</v>
      </c>
      <c r="P827" s="169">
        <f t="shared" si="527"/>
        <v>0</v>
      </c>
      <c r="Q827" s="169">
        <f t="shared" si="528"/>
        <v>0</v>
      </c>
      <c r="R827" s="169">
        <f t="shared" si="529"/>
        <v>0</v>
      </c>
      <c r="S827" s="584">
        <f t="shared" si="530"/>
        <v>0</v>
      </c>
      <c r="T827" s="594">
        <f t="shared" si="531"/>
        <v>0</v>
      </c>
      <c r="U827" s="595">
        <f t="shared" si="532"/>
        <v>0</v>
      </c>
      <c r="V827" s="166">
        <f t="shared" si="533"/>
        <v>0</v>
      </c>
      <c r="W827" s="167">
        <f t="shared" si="534"/>
        <v>0</v>
      </c>
      <c r="X827" s="168">
        <f t="shared" si="535"/>
        <v>0</v>
      </c>
      <c r="Y827" s="166">
        <f t="shared" si="536"/>
        <v>0</v>
      </c>
      <c r="Z827" s="167">
        <f t="shared" si="537"/>
        <v>0</v>
      </c>
      <c r="AA827" s="168">
        <f t="shared" si="538"/>
        <v>0</v>
      </c>
      <c r="AB827" s="166">
        <f t="shared" si="539"/>
        <v>0</v>
      </c>
      <c r="AC827" s="167">
        <f t="shared" si="540"/>
        <v>0</v>
      </c>
      <c r="AD827" s="168">
        <f t="shared" si="541"/>
        <v>0</v>
      </c>
      <c r="AE827" s="166">
        <f t="shared" si="542"/>
        <v>0</v>
      </c>
      <c r="AF827" s="167">
        <f t="shared" si="543"/>
        <v>0</v>
      </c>
      <c r="AG827" s="168">
        <f t="shared" si="544"/>
        <v>0</v>
      </c>
      <c r="AH827" s="166">
        <f t="shared" si="545"/>
        <v>0</v>
      </c>
      <c r="AI827" s="167">
        <f t="shared" si="546"/>
        <v>0</v>
      </c>
      <c r="AJ827" s="168">
        <f t="shared" si="547"/>
        <v>0</v>
      </c>
      <c r="AK827" s="169">
        <f t="shared" si="548"/>
        <v>0</v>
      </c>
      <c r="AL827" s="167">
        <f t="shared" si="549"/>
        <v>0</v>
      </c>
      <c r="AM827" s="585">
        <f t="shared" si="550"/>
        <v>0</v>
      </c>
      <c r="AN827" s="614"/>
      <c r="AO827" s="615"/>
      <c r="AP827" s="615"/>
      <c r="AQ827" s="616"/>
      <c r="AR827" s="612"/>
      <c r="AS827" s="617"/>
      <c r="AT827" s="618"/>
      <c r="AU827" s="618"/>
      <c r="AV827" s="618"/>
      <c r="AW827" s="619"/>
      <c r="AX827" s="614"/>
      <c r="AY827" s="616"/>
      <c r="AZ827" s="616"/>
      <c r="BA827" s="616"/>
      <c r="BB827" s="616"/>
      <c r="BC827" s="616"/>
      <c r="BD827" s="612"/>
      <c r="BE827" s="614"/>
      <c r="BF827" s="616"/>
      <c r="BG827" s="616"/>
      <c r="BH827" s="616"/>
      <c r="BI827" s="616"/>
      <c r="BJ827" s="616"/>
      <c r="BK827" s="1023"/>
      <c r="BL827" s="658"/>
    </row>
    <row r="828" spans="2:64">
      <c r="B828" s="1022"/>
      <c r="C828" s="607"/>
      <c r="D828" s="607"/>
      <c r="E828" s="1021"/>
      <c r="F828" s="608">
        <v>825</v>
      </c>
      <c r="G828" s="609"/>
      <c r="H828" s="610"/>
      <c r="I828" s="611"/>
      <c r="J828" s="166">
        <f t="shared" si="521"/>
        <v>0</v>
      </c>
      <c r="K828" s="167">
        <f t="shared" si="522"/>
        <v>0</v>
      </c>
      <c r="L828" s="168">
        <f t="shared" si="523"/>
        <v>0</v>
      </c>
      <c r="M828" s="166">
        <f t="shared" si="524"/>
        <v>0</v>
      </c>
      <c r="N828" s="167">
        <f t="shared" si="525"/>
        <v>0</v>
      </c>
      <c r="O828" s="168">
        <f t="shared" si="526"/>
        <v>0</v>
      </c>
      <c r="P828" s="169">
        <f t="shared" si="527"/>
        <v>0</v>
      </c>
      <c r="Q828" s="169">
        <f t="shared" si="528"/>
        <v>0</v>
      </c>
      <c r="R828" s="169">
        <f t="shared" si="529"/>
        <v>0</v>
      </c>
      <c r="S828" s="584">
        <f t="shared" si="530"/>
        <v>0</v>
      </c>
      <c r="T828" s="594">
        <f t="shared" si="531"/>
        <v>0</v>
      </c>
      <c r="U828" s="595">
        <f t="shared" si="532"/>
        <v>0</v>
      </c>
      <c r="V828" s="166">
        <f t="shared" si="533"/>
        <v>0</v>
      </c>
      <c r="W828" s="167">
        <f t="shared" si="534"/>
        <v>0</v>
      </c>
      <c r="X828" s="168">
        <f t="shared" si="535"/>
        <v>0</v>
      </c>
      <c r="Y828" s="166">
        <f t="shared" si="536"/>
        <v>0</v>
      </c>
      <c r="Z828" s="167">
        <f t="shared" si="537"/>
        <v>0</v>
      </c>
      <c r="AA828" s="168">
        <f t="shared" si="538"/>
        <v>0</v>
      </c>
      <c r="AB828" s="166">
        <f t="shared" si="539"/>
        <v>0</v>
      </c>
      <c r="AC828" s="167">
        <f t="shared" si="540"/>
        <v>0</v>
      </c>
      <c r="AD828" s="168">
        <f t="shared" si="541"/>
        <v>0</v>
      </c>
      <c r="AE828" s="166">
        <f t="shared" si="542"/>
        <v>0</v>
      </c>
      <c r="AF828" s="167">
        <f t="shared" si="543"/>
        <v>0</v>
      </c>
      <c r="AG828" s="168">
        <f t="shared" si="544"/>
        <v>0</v>
      </c>
      <c r="AH828" s="166">
        <f t="shared" si="545"/>
        <v>0</v>
      </c>
      <c r="AI828" s="167">
        <f t="shared" si="546"/>
        <v>0</v>
      </c>
      <c r="AJ828" s="168">
        <f t="shared" si="547"/>
        <v>0</v>
      </c>
      <c r="AK828" s="169">
        <f t="shared" si="548"/>
        <v>0</v>
      </c>
      <c r="AL828" s="167">
        <f t="shared" si="549"/>
        <v>0</v>
      </c>
      <c r="AM828" s="585">
        <f t="shared" si="550"/>
        <v>0</v>
      </c>
      <c r="AN828" s="614"/>
      <c r="AO828" s="615"/>
      <c r="AP828" s="615"/>
      <c r="AQ828" s="616"/>
      <c r="AR828" s="612"/>
      <c r="AS828" s="617"/>
      <c r="AT828" s="618"/>
      <c r="AU828" s="618"/>
      <c r="AV828" s="618"/>
      <c r="AW828" s="619"/>
      <c r="AX828" s="614"/>
      <c r="AY828" s="616"/>
      <c r="AZ828" s="616"/>
      <c r="BA828" s="616"/>
      <c r="BB828" s="616"/>
      <c r="BC828" s="616"/>
      <c r="BD828" s="612"/>
      <c r="BE828" s="614"/>
      <c r="BF828" s="616"/>
      <c r="BG828" s="616"/>
      <c r="BH828" s="616"/>
      <c r="BI828" s="616"/>
      <c r="BJ828" s="616"/>
      <c r="BK828" s="1023"/>
      <c r="BL828" s="658"/>
    </row>
    <row r="829" spans="2:64">
      <c r="B829" s="1022"/>
      <c r="C829" s="607"/>
      <c r="D829" s="607"/>
      <c r="E829" s="1021"/>
      <c r="F829" s="1019">
        <v>826</v>
      </c>
      <c r="G829" s="609"/>
      <c r="H829" s="610"/>
      <c r="I829" s="611"/>
      <c r="J829" s="166">
        <f t="shared" si="521"/>
        <v>0</v>
      </c>
      <c r="K829" s="167">
        <f t="shared" si="522"/>
        <v>0</v>
      </c>
      <c r="L829" s="168">
        <f t="shared" si="523"/>
        <v>0</v>
      </c>
      <c r="M829" s="166">
        <f t="shared" si="524"/>
        <v>0</v>
      </c>
      <c r="N829" s="167">
        <f t="shared" si="525"/>
        <v>0</v>
      </c>
      <c r="O829" s="168">
        <f t="shared" si="526"/>
        <v>0</v>
      </c>
      <c r="P829" s="169">
        <f t="shared" si="527"/>
        <v>0</v>
      </c>
      <c r="Q829" s="169">
        <f t="shared" si="528"/>
        <v>0</v>
      </c>
      <c r="R829" s="169">
        <f t="shared" si="529"/>
        <v>0</v>
      </c>
      <c r="S829" s="584">
        <f t="shared" si="530"/>
        <v>0</v>
      </c>
      <c r="T829" s="594">
        <f t="shared" si="531"/>
        <v>0</v>
      </c>
      <c r="U829" s="595">
        <f t="shared" si="532"/>
        <v>0</v>
      </c>
      <c r="V829" s="166">
        <f t="shared" si="533"/>
        <v>0</v>
      </c>
      <c r="W829" s="167">
        <f t="shared" si="534"/>
        <v>0</v>
      </c>
      <c r="X829" s="168">
        <f t="shared" si="535"/>
        <v>0</v>
      </c>
      <c r="Y829" s="166">
        <f t="shared" si="536"/>
        <v>0</v>
      </c>
      <c r="Z829" s="167">
        <f t="shared" si="537"/>
        <v>0</v>
      </c>
      <c r="AA829" s="168">
        <f t="shared" si="538"/>
        <v>0</v>
      </c>
      <c r="AB829" s="166">
        <f t="shared" si="539"/>
        <v>0</v>
      </c>
      <c r="AC829" s="167">
        <f t="shared" si="540"/>
        <v>0</v>
      </c>
      <c r="AD829" s="168">
        <f t="shared" si="541"/>
        <v>0</v>
      </c>
      <c r="AE829" s="166">
        <f t="shared" si="542"/>
        <v>0</v>
      </c>
      <c r="AF829" s="167">
        <f t="shared" si="543"/>
        <v>0</v>
      </c>
      <c r="AG829" s="168">
        <f t="shared" si="544"/>
        <v>0</v>
      </c>
      <c r="AH829" s="166">
        <f t="shared" si="545"/>
        <v>0</v>
      </c>
      <c r="AI829" s="167">
        <f t="shared" si="546"/>
        <v>0</v>
      </c>
      <c r="AJ829" s="168">
        <f t="shared" si="547"/>
        <v>0</v>
      </c>
      <c r="AK829" s="169">
        <f t="shared" si="548"/>
        <v>0</v>
      </c>
      <c r="AL829" s="167">
        <f t="shared" si="549"/>
        <v>0</v>
      </c>
      <c r="AM829" s="585">
        <f t="shared" si="550"/>
        <v>0</v>
      </c>
      <c r="AN829" s="614"/>
      <c r="AO829" s="615"/>
      <c r="AP829" s="615"/>
      <c r="AQ829" s="616"/>
      <c r="AR829" s="612"/>
      <c r="AS829" s="617"/>
      <c r="AT829" s="618"/>
      <c r="AU829" s="618"/>
      <c r="AV829" s="618"/>
      <c r="AW829" s="619"/>
      <c r="AX829" s="614"/>
      <c r="AY829" s="616"/>
      <c r="AZ829" s="616"/>
      <c r="BA829" s="616"/>
      <c r="BB829" s="616"/>
      <c r="BC829" s="616"/>
      <c r="BD829" s="612"/>
      <c r="BE829" s="614"/>
      <c r="BF829" s="616"/>
      <c r="BG829" s="616"/>
      <c r="BH829" s="616"/>
      <c r="BI829" s="616"/>
      <c r="BJ829" s="616"/>
      <c r="BK829" s="1023"/>
      <c r="BL829" s="658"/>
    </row>
    <row r="830" spans="2:64">
      <c r="B830" s="1022"/>
      <c r="C830" s="607"/>
      <c r="D830" s="607"/>
      <c r="E830" s="1021"/>
      <c r="F830" s="608">
        <v>827</v>
      </c>
      <c r="G830" s="609"/>
      <c r="H830" s="610"/>
      <c r="I830" s="611"/>
      <c r="J830" s="166">
        <f t="shared" si="521"/>
        <v>0</v>
      </c>
      <c r="K830" s="167">
        <f t="shared" si="522"/>
        <v>0</v>
      </c>
      <c r="L830" s="168">
        <f t="shared" si="523"/>
        <v>0</v>
      </c>
      <c r="M830" s="166">
        <f t="shared" si="524"/>
        <v>0</v>
      </c>
      <c r="N830" s="167">
        <f t="shared" si="525"/>
        <v>0</v>
      </c>
      <c r="O830" s="168">
        <f t="shared" si="526"/>
        <v>0</v>
      </c>
      <c r="P830" s="169">
        <f t="shared" si="527"/>
        <v>0</v>
      </c>
      <c r="Q830" s="169">
        <f t="shared" si="528"/>
        <v>0</v>
      </c>
      <c r="R830" s="169">
        <f t="shared" si="529"/>
        <v>0</v>
      </c>
      <c r="S830" s="584">
        <f t="shared" si="530"/>
        <v>0</v>
      </c>
      <c r="T830" s="594">
        <f t="shared" si="531"/>
        <v>0</v>
      </c>
      <c r="U830" s="595">
        <f t="shared" si="532"/>
        <v>0</v>
      </c>
      <c r="V830" s="166">
        <f t="shared" si="533"/>
        <v>0</v>
      </c>
      <c r="W830" s="167">
        <f t="shared" si="534"/>
        <v>0</v>
      </c>
      <c r="X830" s="168">
        <f t="shared" si="535"/>
        <v>0</v>
      </c>
      <c r="Y830" s="166">
        <f t="shared" si="536"/>
        <v>0</v>
      </c>
      <c r="Z830" s="167">
        <f t="shared" si="537"/>
        <v>0</v>
      </c>
      <c r="AA830" s="168">
        <f t="shared" si="538"/>
        <v>0</v>
      </c>
      <c r="AB830" s="166">
        <f t="shared" si="539"/>
        <v>0</v>
      </c>
      <c r="AC830" s="167">
        <f t="shared" si="540"/>
        <v>0</v>
      </c>
      <c r="AD830" s="168">
        <f t="shared" si="541"/>
        <v>0</v>
      </c>
      <c r="AE830" s="166">
        <f t="shared" si="542"/>
        <v>0</v>
      </c>
      <c r="AF830" s="167">
        <f t="shared" si="543"/>
        <v>0</v>
      </c>
      <c r="AG830" s="168">
        <f t="shared" si="544"/>
        <v>0</v>
      </c>
      <c r="AH830" s="166">
        <f t="shared" si="545"/>
        <v>0</v>
      </c>
      <c r="AI830" s="167">
        <f t="shared" si="546"/>
        <v>0</v>
      </c>
      <c r="AJ830" s="168">
        <f t="shared" si="547"/>
        <v>0</v>
      </c>
      <c r="AK830" s="169">
        <f t="shared" si="548"/>
        <v>0</v>
      </c>
      <c r="AL830" s="167">
        <f t="shared" si="549"/>
        <v>0</v>
      </c>
      <c r="AM830" s="585">
        <f t="shared" si="550"/>
        <v>0</v>
      </c>
      <c r="AN830" s="614"/>
      <c r="AO830" s="615"/>
      <c r="AP830" s="615"/>
      <c r="AQ830" s="616"/>
      <c r="AR830" s="612"/>
      <c r="AS830" s="617"/>
      <c r="AT830" s="618"/>
      <c r="AU830" s="618"/>
      <c r="AV830" s="618"/>
      <c r="AW830" s="619"/>
      <c r="AX830" s="614"/>
      <c r="AY830" s="616"/>
      <c r="AZ830" s="616"/>
      <c r="BA830" s="616"/>
      <c r="BB830" s="616"/>
      <c r="BC830" s="616"/>
      <c r="BD830" s="612"/>
      <c r="BE830" s="614"/>
      <c r="BF830" s="616"/>
      <c r="BG830" s="616"/>
      <c r="BH830" s="616"/>
      <c r="BI830" s="616"/>
      <c r="BJ830" s="616"/>
      <c r="BK830" s="1023"/>
      <c r="BL830" s="658"/>
    </row>
    <row r="831" spans="2:64">
      <c r="B831" s="1022"/>
      <c r="C831" s="607"/>
      <c r="D831" s="607"/>
      <c r="E831" s="1021"/>
      <c r="F831" s="1019">
        <v>828</v>
      </c>
      <c r="G831" s="609"/>
      <c r="H831" s="610"/>
      <c r="I831" s="611"/>
      <c r="J831" s="166">
        <f t="shared" si="521"/>
        <v>0</v>
      </c>
      <c r="K831" s="167">
        <f t="shared" si="522"/>
        <v>0</v>
      </c>
      <c r="L831" s="168">
        <f t="shared" si="523"/>
        <v>0</v>
      </c>
      <c r="M831" s="166">
        <f t="shared" si="524"/>
        <v>0</v>
      </c>
      <c r="N831" s="167">
        <f t="shared" si="525"/>
        <v>0</v>
      </c>
      <c r="O831" s="168">
        <f t="shared" si="526"/>
        <v>0</v>
      </c>
      <c r="P831" s="169">
        <f t="shared" si="527"/>
        <v>0</v>
      </c>
      <c r="Q831" s="169">
        <f t="shared" si="528"/>
        <v>0</v>
      </c>
      <c r="R831" s="169">
        <f t="shared" si="529"/>
        <v>0</v>
      </c>
      <c r="S831" s="584">
        <f t="shared" si="530"/>
        <v>0</v>
      </c>
      <c r="T831" s="594">
        <f t="shared" si="531"/>
        <v>0</v>
      </c>
      <c r="U831" s="595">
        <f t="shared" si="532"/>
        <v>0</v>
      </c>
      <c r="V831" s="166">
        <f t="shared" si="533"/>
        <v>0</v>
      </c>
      <c r="W831" s="167">
        <f t="shared" si="534"/>
        <v>0</v>
      </c>
      <c r="X831" s="168">
        <f t="shared" si="535"/>
        <v>0</v>
      </c>
      <c r="Y831" s="166">
        <f t="shared" si="536"/>
        <v>0</v>
      </c>
      <c r="Z831" s="167">
        <f t="shared" si="537"/>
        <v>0</v>
      </c>
      <c r="AA831" s="168">
        <f t="shared" si="538"/>
        <v>0</v>
      </c>
      <c r="AB831" s="166">
        <f t="shared" si="539"/>
        <v>0</v>
      </c>
      <c r="AC831" s="167">
        <f t="shared" si="540"/>
        <v>0</v>
      </c>
      <c r="AD831" s="168">
        <f t="shared" si="541"/>
        <v>0</v>
      </c>
      <c r="AE831" s="166">
        <f t="shared" si="542"/>
        <v>0</v>
      </c>
      <c r="AF831" s="167">
        <f t="shared" si="543"/>
        <v>0</v>
      </c>
      <c r="AG831" s="168">
        <f t="shared" si="544"/>
        <v>0</v>
      </c>
      <c r="AH831" s="166">
        <f t="shared" si="545"/>
        <v>0</v>
      </c>
      <c r="AI831" s="167">
        <f t="shared" si="546"/>
        <v>0</v>
      </c>
      <c r="AJ831" s="168">
        <f t="shared" si="547"/>
        <v>0</v>
      </c>
      <c r="AK831" s="169">
        <f t="shared" si="548"/>
        <v>0</v>
      </c>
      <c r="AL831" s="167">
        <f t="shared" si="549"/>
        <v>0</v>
      </c>
      <c r="AM831" s="585">
        <f t="shared" si="550"/>
        <v>0</v>
      </c>
      <c r="AN831" s="614"/>
      <c r="AO831" s="615"/>
      <c r="AP831" s="615"/>
      <c r="AQ831" s="616"/>
      <c r="AR831" s="612"/>
      <c r="AS831" s="617"/>
      <c r="AT831" s="618"/>
      <c r="AU831" s="618"/>
      <c r="AV831" s="618"/>
      <c r="AW831" s="619"/>
      <c r="AX831" s="614"/>
      <c r="AY831" s="616"/>
      <c r="AZ831" s="616"/>
      <c r="BA831" s="616"/>
      <c r="BB831" s="616"/>
      <c r="BC831" s="616"/>
      <c r="BD831" s="612"/>
      <c r="BE831" s="614"/>
      <c r="BF831" s="616"/>
      <c r="BG831" s="616"/>
      <c r="BH831" s="616"/>
      <c r="BI831" s="616"/>
      <c r="BJ831" s="616"/>
      <c r="BK831" s="1023"/>
      <c r="BL831" s="658"/>
    </row>
    <row r="832" spans="2:64">
      <c r="B832" s="1022"/>
      <c r="C832" s="607"/>
      <c r="D832" s="607"/>
      <c r="E832" s="1021"/>
      <c r="F832" s="608">
        <v>829</v>
      </c>
      <c r="G832" s="609"/>
      <c r="H832" s="610"/>
      <c r="I832" s="611"/>
      <c r="J832" s="166">
        <f t="shared" si="521"/>
        <v>0</v>
      </c>
      <c r="K832" s="167">
        <f t="shared" si="522"/>
        <v>0</v>
      </c>
      <c r="L832" s="168">
        <f t="shared" si="523"/>
        <v>0</v>
      </c>
      <c r="M832" s="166">
        <f t="shared" si="524"/>
        <v>0</v>
      </c>
      <c r="N832" s="167">
        <f t="shared" si="525"/>
        <v>0</v>
      </c>
      <c r="O832" s="168">
        <f t="shared" si="526"/>
        <v>0</v>
      </c>
      <c r="P832" s="169">
        <f t="shared" si="527"/>
        <v>0</v>
      </c>
      <c r="Q832" s="169">
        <f t="shared" si="528"/>
        <v>0</v>
      </c>
      <c r="R832" s="169">
        <f t="shared" si="529"/>
        <v>0</v>
      </c>
      <c r="S832" s="584">
        <f t="shared" si="530"/>
        <v>0</v>
      </c>
      <c r="T832" s="594">
        <f t="shared" si="531"/>
        <v>0</v>
      </c>
      <c r="U832" s="595">
        <f t="shared" si="532"/>
        <v>0</v>
      </c>
      <c r="V832" s="166">
        <f t="shared" si="533"/>
        <v>0</v>
      </c>
      <c r="W832" s="167">
        <f t="shared" si="534"/>
        <v>0</v>
      </c>
      <c r="X832" s="168">
        <f t="shared" si="535"/>
        <v>0</v>
      </c>
      <c r="Y832" s="166">
        <f t="shared" si="536"/>
        <v>0</v>
      </c>
      <c r="Z832" s="167">
        <f t="shared" si="537"/>
        <v>0</v>
      </c>
      <c r="AA832" s="168">
        <f t="shared" si="538"/>
        <v>0</v>
      </c>
      <c r="AB832" s="166">
        <f t="shared" si="539"/>
        <v>0</v>
      </c>
      <c r="AC832" s="167">
        <f t="shared" si="540"/>
        <v>0</v>
      </c>
      <c r="AD832" s="168">
        <f t="shared" si="541"/>
        <v>0</v>
      </c>
      <c r="AE832" s="166">
        <f t="shared" si="542"/>
        <v>0</v>
      </c>
      <c r="AF832" s="167">
        <f t="shared" si="543"/>
        <v>0</v>
      </c>
      <c r="AG832" s="168">
        <f t="shared" si="544"/>
        <v>0</v>
      </c>
      <c r="AH832" s="166">
        <f t="shared" si="545"/>
        <v>0</v>
      </c>
      <c r="AI832" s="167">
        <f t="shared" si="546"/>
        <v>0</v>
      </c>
      <c r="AJ832" s="168">
        <f t="shared" si="547"/>
        <v>0</v>
      </c>
      <c r="AK832" s="169">
        <f t="shared" si="548"/>
        <v>0</v>
      </c>
      <c r="AL832" s="167">
        <f t="shared" si="549"/>
        <v>0</v>
      </c>
      <c r="AM832" s="585">
        <f t="shared" si="550"/>
        <v>0</v>
      </c>
      <c r="AN832" s="614"/>
      <c r="AO832" s="615"/>
      <c r="AP832" s="615"/>
      <c r="AQ832" s="616"/>
      <c r="AR832" s="612"/>
      <c r="AS832" s="617"/>
      <c r="AT832" s="618"/>
      <c r="AU832" s="618"/>
      <c r="AV832" s="618"/>
      <c r="AW832" s="619"/>
      <c r="AX832" s="614"/>
      <c r="AY832" s="616"/>
      <c r="AZ832" s="616"/>
      <c r="BA832" s="616"/>
      <c r="BB832" s="616"/>
      <c r="BC832" s="616"/>
      <c r="BD832" s="612"/>
      <c r="BE832" s="614"/>
      <c r="BF832" s="616"/>
      <c r="BG832" s="616"/>
      <c r="BH832" s="616"/>
      <c r="BI832" s="616"/>
      <c r="BJ832" s="616"/>
      <c r="BK832" s="1023"/>
      <c r="BL832" s="658"/>
    </row>
    <row r="833" spans="2:64">
      <c r="B833" s="1022"/>
      <c r="C833" s="607"/>
      <c r="D833" s="607"/>
      <c r="E833" s="1021"/>
      <c r="F833" s="1019">
        <v>830</v>
      </c>
      <c r="G833" s="609"/>
      <c r="H833" s="610"/>
      <c r="I833" s="611"/>
      <c r="J833" s="166">
        <f t="shared" si="521"/>
        <v>0</v>
      </c>
      <c r="K833" s="167">
        <f t="shared" si="522"/>
        <v>0</v>
      </c>
      <c r="L833" s="168">
        <f t="shared" si="523"/>
        <v>0</v>
      </c>
      <c r="M833" s="166">
        <f t="shared" si="524"/>
        <v>0</v>
      </c>
      <c r="N833" s="167">
        <f t="shared" si="525"/>
        <v>0</v>
      </c>
      <c r="O833" s="168">
        <f t="shared" si="526"/>
        <v>0</v>
      </c>
      <c r="P833" s="169">
        <f t="shared" si="527"/>
        <v>0</v>
      </c>
      <c r="Q833" s="169">
        <f t="shared" si="528"/>
        <v>0</v>
      </c>
      <c r="R833" s="169">
        <f t="shared" si="529"/>
        <v>0</v>
      </c>
      <c r="S833" s="584">
        <f t="shared" si="530"/>
        <v>0</v>
      </c>
      <c r="T833" s="594">
        <f t="shared" si="531"/>
        <v>0</v>
      </c>
      <c r="U833" s="595">
        <f t="shared" si="532"/>
        <v>0</v>
      </c>
      <c r="V833" s="166">
        <f t="shared" si="533"/>
        <v>0</v>
      </c>
      <c r="W833" s="167">
        <f t="shared" si="534"/>
        <v>0</v>
      </c>
      <c r="X833" s="168">
        <f t="shared" si="535"/>
        <v>0</v>
      </c>
      <c r="Y833" s="166">
        <f t="shared" si="536"/>
        <v>0</v>
      </c>
      <c r="Z833" s="167">
        <f t="shared" si="537"/>
        <v>0</v>
      </c>
      <c r="AA833" s="168">
        <f t="shared" si="538"/>
        <v>0</v>
      </c>
      <c r="AB833" s="166">
        <f t="shared" si="539"/>
        <v>0</v>
      </c>
      <c r="AC833" s="167">
        <f t="shared" si="540"/>
        <v>0</v>
      </c>
      <c r="AD833" s="168">
        <f t="shared" si="541"/>
        <v>0</v>
      </c>
      <c r="AE833" s="166">
        <f t="shared" si="542"/>
        <v>0</v>
      </c>
      <c r="AF833" s="167">
        <f t="shared" si="543"/>
        <v>0</v>
      </c>
      <c r="AG833" s="168">
        <f t="shared" si="544"/>
        <v>0</v>
      </c>
      <c r="AH833" s="166">
        <f t="shared" si="545"/>
        <v>0</v>
      </c>
      <c r="AI833" s="167">
        <f t="shared" si="546"/>
        <v>0</v>
      </c>
      <c r="AJ833" s="168">
        <f t="shared" si="547"/>
        <v>0</v>
      </c>
      <c r="AK833" s="169">
        <f t="shared" si="548"/>
        <v>0</v>
      </c>
      <c r="AL833" s="167">
        <f t="shared" si="549"/>
        <v>0</v>
      </c>
      <c r="AM833" s="585">
        <f t="shared" si="550"/>
        <v>0</v>
      </c>
      <c r="AN833" s="614"/>
      <c r="AO833" s="615"/>
      <c r="AP833" s="615"/>
      <c r="AQ833" s="616"/>
      <c r="AR833" s="612"/>
      <c r="AS833" s="617"/>
      <c r="AT833" s="618"/>
      <c r="AU833" s="618"/>
      <c r="AV833" s="618"/>
      <c r="AW833" s="619"/>
      <c r="AX833" s="614"/>
      <c r="AY833" s="616"/>
      <c r="AZ833" s="616"/>
      <c r="BA833" s="616"/>
      <c r="BB833" s="616"/>
      <c r="BC833" s="616"/>
      <c r="BD833" s="612"/>
      <c r="BE833" s="614"/>
      <c r="BF833" s="616"/>
      <c r="BG833" s="616"/>
      <c r="BH833" s="616"/>
      <c r="BI833" s="616"/>
      <c r="BJ833" s="616"/>
      <c r="BK833" s="1023"/>
      <c r="BL833" s="658"/>
    </row>
    <row r="834" spans="2:64">
      <c r="B834" s="1022"/>
      <c r="C834" s="607"/>
      <c r="D834" s="607"/>
      <c r="E834" s="1021"/>
      <c r="F834" s="608">
        <v>831</v>
      </c>
      <c r="G834" s="609"/>
      <c r="H834" s="610"/>
      <c r="I834" s="611"/>
      <c r="J834" s="166">
        <f t="shared" si="521"/>
        <v>0</v>
      </c>
      <c r="K834" s="167">
        <f t="shared" si="522"/>
        <v>0</v>
      </c>
      <c r="L834" s="168">
        <f t="shared" si="523"/>
        <v>0</v>
      </c>
      <c r="M834" s="166">
        <f t="shared" si="524"/>
        <v>0</v>
      </c>
      <c r="N834" s="167">
        <f t="shared" si="525"/>
        <v>0</v>
      </c>
      <c r="O834" s="168">
        <f t="shared" si="526"/>
        <v>0</v>
      </c>
      <c r="P834" s="169">
        <f t="shared" si="527"/>
        <v>0</v>
      </c>
      <c r="Q834" s="169">
        <f t="shared" si="528"/>
        <v>0</v>
      </c>
      <c r="R834" s="169">
        <f t="shared" si="529"/>
        <v>0</v>
      </c>
      <c r="S834" s="584">
        <f t="shared" si="530"/>
        <v>0</v>
      </c>
      <c r="T834" s="594">
        <f t="shared" si="531"/>
        <v>0</v>
      </c>
      <c r="U834" s="595">
        <f t="shared" si="532"/>
        <v>0</v>
      </c>
      <c r="V834" s="166">
        <f t="shared" si="533"/>
        <v>0</v>
      </c>
      <c r="W834" s="167">
        <f t="shared" si="534"/>
        <v>0</v>
      </c>
      <c r="X834" s="168">
        <f t="shared" si="535"/>
        <v>0</v>
      </c>
      <c r="Y834" s="166">
        <f t="shared" si="536"/>
        <v>0</v>
      </c>
      <c r="Z834" s="167">
        <f t="shared" si="537"/>
        <v>0</v>
      </c>
      <c r="AA834" s="168">
        <f t="shared" si="538"/>
        <v>0</v>
      </c>
      <c r="AB834" s="166">
        <f t="shared" si="539"/>
        <v>0</v>
      </c>
      <c r="AC834" s="167">
        <f t="shared" si="540"/>
        <v>0</v>
      </c>
      <c r="AD834" s="168">
        <f t="shared" si="541"/>
        <v>0</v>
      </c>
      <c r="AE834" s="166">
        <f t="shared" si="542"/>
        <v>0</v>
      </c>
      <c r="AF834" s="167">
        <f t="shared" si="543"/>
        <v>0</v>
      </c>
      <c r="AG834" s="168">
        <f t="shared" si="544"/>
        <v>0</v>
      </c>
      <c r="AH834" s="166">
        <f t="shared" si="545"/>
        <v>0</v>
      </c>
      <c r="AI834" s="167">
        <f t="shared" si="546"/>
        <v>0</v>
      </c>
      <c r="AJ834" s="168">
        <f t="shared" si="547"/>
        <v>0</v>
      </c>
      <c r="AK834" s="169">
        <f t="shared" si="548"/>
        <v>0</v>
      </c>
      <c r="AL834" s="167">
        <f t="shared" si="549"/>
        <v>0</v>
      </c>
      <c r="AM834" s="585">
        <f t="shared" si="550"/>
        <v>0</v>
      </c>
      <c r="AN834" s="614"/>
      <c r="AO834" s="615"/>
      <c r="AP834" s="615"/>
      <c r="AQ834" s="616"/>
      <c r="AR834" s="612"/>
      <c r="AS834" s="617"/>
      <c r="AT834" s="618"/>
      <c r="AU834" s="618"/>
      <c r="AV834" s="618"/>
      <c r="AW834" s="619"/>
      <c r="AX834" s="614"/>
      <c r="AY834" s="616"/>
      <c r="AZ834" s="616"/>
      <c r="BA834" s="616"/>
      <c r="BB834" s="616"/>
      <c r="BC834" s="616"/>
      <c r="BD834" s="612"/>
      <c r="BE834" s="614"/>
      <c r="BF834" s="616"/>
      <c r="BG834" s="616"/>
      <c r="BH834" s="616"/>
      <c r="BI834" s="616"/>
      <c r="BJ834" s="616"/>
      <c r="BK834" s="1023"/>
      <c r="BL834" s="658"/>
    </row>
    <row r="835" spans="2:64">
      <c r="B835" s="1022"/>
      <c r="C835" s="607"/>
      <c r="D835" s="607"/>
      <c r="E835" s="1021"/>
      <c r="F835" s="1019">
        <v>832</v>
      </c>
      <c r="G835" s="609"/>
      <c r="H835" s="610"/>
      <c r="I835" s="611"/>
      <c r="J835" s="166">
        <f t="shared" si="521"/>
        <v>0</v>
      </c>
      <c r="K835" s="167">
        <f t="shared" si="522"/>
        <v>0</v>
      </c>
      <c r="L835" s="168">
        <f t="shared" si="523"/>
        <v>0</v>
      </c>
      <c r="M835" s="166">
        <f t="shared" si="524"/>
        <v>0</v>
      </c>
      <c r="N835" s="167">
        <f t="shared" si="525"/>
        <v>0</v>
      </c>
      <c r="O835" s="168">
        <f t="shared" si="526"/>
        <v>0</v>
      </c>
      <c r="P835" s="169">
        <f t="shared" si="527"/>
        <v>0</v>
      </c>
      <c r="Q835" s="169">
        <f t="shared" si="528"/>
        <v>0</v>
      </c>
      <c r="R835" s="169">
        <f t="shared" si="529"/>
        <v>0</v>
      </c>
      <c r="S835" s="584">
        <f t="shared" si="530"/>
        <v>0</v>
      </c>
      <c r="T835" s="594">
        <f t="shared" si="531"/>
        <v>0</v>
      </c>
      <c r="U835" s="595">
        <f t="shared" si="532"/>
        <v>0</v>
      </c>
      <c r="V835" s="166">
        <f t="shared" si="533"/>
        <v>0</v>
      </c>
      <c r="W835" s="167">
        <f t="shared" si="534"/>
        <v>0</v>
      </c>
      <c r="X835" s="168">
        <f t="shared" si="535"/>
        <v>0</v>
      </c>
      <c r="Y835" s="166">
        <f t="shared" si="536"/>
        <v>0</v>
      </c>
      <c r="Z835" s="167">
        <f t="shared" si="537"/>
        <v>0</v>
      </c>
      <c r="AA835" s="168">
        <f t="shared" si="538"/>
        <v>0</v>
      </c>
      <c r="AB835" s="166">
        <f t="shared" si="539"/>
        <v>0</v>
      </c>
      <c r="AC835" s="167">
        <f t="shared" si="540"/>
        <v>0</v>
      </c>
      <c r="AD835" s="168">
        <f t="shared" si="541"/>
        <v>0</v>
      </c>
      <c r="AE835" s="166">
        <f t="shared" si="542"/>
        <v>0</v>
      </c>
      <c r="AF835" s="167">
        <f t="shared" si="543"/>
        <v>0</v>
      </c>
      <c r="AG835" s="168">
        <f t="shared" si="544"/>
        <v>0</v>
      </c>
      <c r="AH835" s="166">
        <f t="shared" si="545"/>
        <v>0</v>
      </c>
      <c r="AI835" s="167">
        <f t="shared" si="546"/>
        <v>0</v>
      </c>
      <c r="AJ835" s="168">
        <f t="shared" si="547"/>
        <v>0</v>
      </c>
      <c r="AK835" s="169">
        <f t="shared" si="548"/>
        <v>0</v>
      </c>
      <c r="AL835" s="167">
        <f t="shared" si="549"/>
        <v>0</v>
      </c>
      <c r="AM835" s="585">
        <f t="shared" si="550"/>
        <v>0</v>
      </c>
      <c r="AN835" s="614"/>
      <c r="AO835" s="615"/>
      <c r="AP835" s="615"/>
      <c r="AQ835" s="616"/>
      <c r="AR835" s="612"/>
      <c r="AS835" s="617"/>
      <c r="AT835" s="618"/>
      <c r="AU835" s="618"/>
      <c r="AV835" s="618"/>
      <c r="AW835" s="619"/>
      <c r="AX835" s="614"/>
      <c r="AY835" s="616"/>
      <c r="AZ835" s="616"/>
      <c r="BA835" s="616"/>
      <c r="BB835" s="616"/>
      <c r="BC835" s="616"/>
      <c r="BD835" s="612"/>
      <c r="BE835" s="614"/>
      <c r="BF835" s="616"/>
      <c r="BG835" s="616"/>
      <c r="BH835" s="616"/>
      <c r="BI835" s="616"/>
      <c r="BJ835" s="616"/>
      <c r="BK835" s="1023"/>
      <c r="BL835" s="658"/>
    </row>
    <row r="836" spans="2:64">
      <c r="B836" s="1022"/>
      <c r="C836" s="607"/>
      <c r="D836" s="607"/>
      <c r="E836" s="1021"/>
      <c r="F836" s="608">
        <v>833</v>
      </c>
      <c r="G836" s="609"/>
      <c r="H836" s="610"/>
      <c r="I836" s="611"/>
      <c r="J836" s="166">
        <f t="shared" ref="J836:J899" si="551">INT(G836/50+0.05)</f>
        <v>0</v>
      </c>
      <c r="K836" s="167">
        <f t="shared" ref="K836:K899" si="552">INT(H836/50+0.05)</f>
        <v>0</v>
      </c>
      <c r="L836" s="168">
        <f t="shared" ref="L836:L899" si="553">INT(I836/50+0.05)</f>
        <v>0</v>
      </c>
      <c r="M836" s="166">
        <f t="shared" ref="M836:M899" si="554">INT(IF($C836="UR",IF($E836="party卡",G836*0.0270833333333333,G836*0.025),0)+IF($C836="SR",G836*0.03,0)+IF($C836="R",G836*0.0375,0)+0.05)</f>
        <v>0</v>
      </c>
      <c r="N836" s="167">
        <f t="shared" ref="N836:N899" si="555">INT(IF($C836="UR",IF($E836="party卡",H836*0.0270833333333333,H836*0.025),0)+IF($C836="SR",H836*0.03,0)+IF($C836="R",H836*0.0375,0)+0.05)</f>
        <v>0</v>
      </c>
      <c r="O836" s="168">
        <f t="shared" ref="O836:O899" si="556">INT(IF($C836="UR",IF($E836="party卡",I836*0.0270833333333333,I836*0.025),0)+IF($C836="SR",I836*0.03,0)+IF($C836="R",I836*0.0375,0)+0.05)</f>
        <v>0</v>
      </c>
      <c r="P836" s="169">
        <f t="shared" ref="P836:P899" si="557">INT(IF($C836="UR",IF($E836="party卡",G836*0.04375,G836*0.0375),0)+IF($C836="SR",G836*0.04,0)+IF($C836="R",G836*0.05,0)+0.05)</f>
        <v>0</v>
      </c>
      <c r="Q836" s="169">
        <f t="shared" ref="Q836:Q899" si="558">INT(IF($C836="UR",IF($E836="party卡",H836*0.04375,H836*0.0375),0)+IF($C836="SR",H836*0.04,0)+IF($C836="R",H836*0.05,0)+0.05)</f>
        <v>0</v>
      </c>
      <c r="R836" s="169">
        <f t="shared" ref="R836:R899" si="559">INT(IF($C836="UR",IF($E836="party卡",I836*0.04375,I836*0.0375),0)+IF($C836="SR",I836*0.04,0)+IF($C836="R",I836*0.05,0)+0.05)</f>
        <v>0</v>
      </c>
      <c r="S836" s="584">
        <f t="shared" si="530"/>
        <v>0</v>
      </c>
      <c r="T836" s="594">
        <f t="shared" si="531"/>
        <v>0</v>
      </c>
      <c r="U836" s="595">
        <f t="shared" si="532"/>
        <v>0</v>
      </c>
      <c r="V836" s="166">
        <f t="shared" si="533"/>
        <v>0</v>
      </c>
      <c r="W836" s="167">
        <f t="shared" si="534"/>
        <v>0</v>
      </c>
      <c r="X836" s="168">
        <f t="shared" si="535"/>
        <v>0</v>
      </c>
      <c r="Y836" s="166">
        <f t="shared" si="536"/>
        <v>0</v>
      </c>
      <c r="Z836" s="167">
        <f t="shared" si="537"/>
        <v>0</v>
      </c>
      <c r="AA836" s="168">
        <f t="shared" si="538"/>
        <v>0</v>
      </c>
      <c r="AB836" s="166">
        <f t="shared" si="539"/>
        <v>0</v>
      </c>
      <c r="AC836" s="167">
        <f t="shared" si="540"/>
        <v>0</v>
      </c>
      <c r="AD836" s="168">
        <f t="shared" si="541"/>
        <v>0</v>
      </c>
      <c r="AE836" s="166">
        <f t="shared" si="542"/>
        <v>0</v>
      </c>
      <c r="AF836" s="167">
        <f t="shared" si="543"/>
        <v>0</v>
      </c>
      <c r="AG836" s="168">
        <f t="shared" si="544"/>
        <v>0</v>
      </c>
      <c r="AH836" s="166">
        <f t="shared" si="545"/>
        <v>0</v>
      </c>
      <c r="AI836" s="167">
        <f t="shared" si="546"/>
        <v>0</v>
      </c>
      <c r="AJ836" s="168">
        <f t="shared" si="547"/>
        <v>0</v>
      </c>
      <c r="AK836" s="169">
        <f t="shared" si="548"/>
        <v>0</v>
      </c>
      <c r="AL836" s="167">
        <f t="shared" si="549"/>
        <v>0</v>
      </c>
      <c r="AM836" s="585">
        <f t="shared" si="550"/>
        <v>0</v>
      </c>
      <c r="AN836" s="614"/>
      <c r="AO836" s="615"/>
      <c r="AP836" s="615"/>
      <c r="AQ836" s="616"/>
      <c r="AR836" s="612"/>
      <c r="AS836" s="617"/>
      <c r="AT836" s="618"/>
      <c r="AU836" s="618"/>
      <c r="AV836" s="618"/>
      <c r="AW836" s="619"/>
      <c r="AX836" s="614"/>
      <c r="AY836" s="616"/>
      <c r="AZ836" s="616"/>
      <c r="BA836" s="616"/>
      <c r="BB836" s="616"/>
      <c r="BC836" s="616"/>
      <c r="BD836" s="612"/>
      <c r="BE836" s="614"/>
      <c r="BF836" s="616"/>
      <c r="BG836" s="616"/>
      <c r="BH836" s="616"/>
      <c r="BI836" s="616"/>
      <c r="BJ836" s="616"/>
      <c r="BK836" s="1023"/>
      <c r="BL836" s="658"/>
    </row>
    <row r="837" spans="2:64">
      <c r="B837" s="1022"/>
      <c r="C837" s="607"/>
      <c r="D837" s="607"/>
      <c r="E837" s="1021"/>
      <c r="F837" s="1019">
        <v>834</v>
      </c>
      <c r="G837" s="609"/>
      <c r="H837" s="610"/>
      <c r="I837" s="611"/>
      <c r="J837" s="166">
        <f t="shared" si="551"/>
        <v>0</v>
      </c>
      <c r="K837" s="167">
        <f t="shared" si="552"/>
        <v>0</v>
      </c>
      <c r="L837" s="168">
        <f t="shared" si="553"/>
        <v>0</v>
      </c>
      <c r="M837" s="166">
        <f t="shared" si="554"/>
        <v>0</v>
      </c>
      <c r="N837" s="167">
        <f t="shared" si="555"/>
        <v>0</v>
      </c>
      <c r="O837" s="168">
        <f t="shared" si="556"/>
        <v>0</v>
      </c>
      <c r="P837" s="169">
        <f t="shared" si="557"/>
        <v>0</v>
      </c>
      <c r="Q837" s="169">
        <f t="shared" si="558"/>
        <v>0</v>
      </c>
      <c r="R837" s="169">
        <f t="shared" si="559"/>
        <v>0</v>
      </c>
      <c r="S837" s="584">
        <f t="shared" si="530"/>
        <v>0</v>
      </c>
      <c r="T837" s="594">
        <f t="shared" si="531"/>
        <v>0</v>
      </c>
      <c r="U837" s="595">
        <f t="shared" si="532"/>
        <v>0</v>
      </c>
      <c r="V837" s="166">
        <f t="shared" si="533"/>
        <v>0</v>
      </c>
      <c r="W837" s="167">
        <f t="shared" si="534"/>
        <v>0</v>
      </c>
      <c r="X837" s="168">
        <f t="shared" si="535"/>
        <v>0</v>
      </c>
      <c r="Y837" s="166">
        <f t="shared" si="536"/>
        <v>0</v>
      </c>
      <c r="Z837" s="167">
        <f t="shared" si="537"/>
        <v>0</v>
      </c>
      <c r="AA837" s="168">
        <f t="shared" si="538"/>
        <v>0</v>
      </c>
      <c r="AB837" s="166">
        <f t="shared" si="539"/>
        <v>0</v>
      </c>
      <c r="AC837" s="167">
        <f t="shared" si="540"/>
        <v>0</v>
      </c>
      <c r="AD837" s="168">
        <f t="shared" si="541"/>
        <v>0</v>
      </c>
      <c r="AE837" s="166">
        <f t="shared" si="542"/>
        <v>0</v>
      </c>
      <c r="AF837" s="167">
        <f t="shared" si="543"/>
        <v>0</v>
      </c>
      <c r="AG837" s="168">
        <f t="shared" si="544"/>
        <v>0</v>
      </c>
      <c r="AH837" s="166">
        <f t="shared" si="545"/>
        <v>0</v>
      </c>
      <c r="AI837" s="167">
        <f t="shared" si="546"/>
        <v>0</v>
      </c>
      <c r="AJ837" s="168">
        <f t="shared" si="547"/>
        <v>0</v>
      </c>
      <c r="AK837" s="169">
        <f t="shared" si="548"/>
        <v>0</v>
      </c>
      <c r="AL837" s="167">
        <f t="shared" si="549"/>
        <v>0</v>
      </c>
      <c r="AM837" s="585">
        <f t="shared" si="550"/>
        <v>0</v>
      </c>
      <c r="AN837" s="614"/>
      <c r="AO837" s="615"/>
      <c r="AP837" s="615"/>
      <c r="AQ837" s="616"/>
      <c r="AR837" s="612"/>
      <c r="AS837" s="617"/>
      <c r="AT837" s="618"/>
      <c r="AU837" s="618"/>
      <c r="AV837" s="618"/>
      <c r="AW837" s="619"/>
      <c r="AX837" s="614"/>
      <c r="AY837" s="616"/>
      <c r="AZ837" s="616"/>
      <c r="BA837" s="616"/>
      <c r="BB837" s="616"/>
      <c r="BC837" s="616"/>
      <c r="BD837" s="612"/>
      <c r="BE837" s="614"/>
      <c r="BF837" s="616"/>
      <c r="BG837" s="616"/>
      <c r="BH837" s="616"/>
      <c r="BI837" s="616"/>
      <c r="BJ837" s="616"/>
      <c r="BK837" s="1023"/>
      <c r="BL837" s="658"/>
    </row>
    <row r="838" spans="2:64">
      <c r="B838" s="1022"/>
      <c r="C838" s="607"/>
      <c r="D838" s="607"/>
      <c r="E838" s="1021"/>
      <c r="F838" s="608">
        <v>835</v>
      </c>
      <c r="G838" s="609"/>
      <c r="H838" s="610"/>
      <c r="I838" s="611"/>
      <c r="J838" s="166">
        <f t="shared" si="551"/>
        <v>0</v>
      </c>
      <c r="K838" s="167">
        <f t="shared" si="552"/>
        <v>0</v>
      </c>
      <c r="L838" s="168">
        <f t="shared" si="553"/>
        <v>0</v>
      </c>
      <c r="M838" s="166">
        <f t="shared" si="554"/>
        <v>0</v>
      </c>
      <c r="N838" s="167">
        <f t="shared" si="555"/>
        <v>0</v>
      </c>
      <c r="O838" s="168">
        <f t="shared" si="556"/>
        <v>0</v>
      </c>
      <c r="P838" s="169">
        <f t="shared" si="557"/>
        <v>0</v>
      </c>
      <c r="Q838" s="169">
        <f t="shared" si="558"/>
        <v>0</v>
      </c>
      <c r="R838" s="169">
        <f t="shared" si="559"/>
        <v>0</v>
      </c>
      <c r="S838" s="584">
        <f t="shared" si="530"/>
        <v>0</v>
      </c>
      <c r="T838" s="594">
        <f t="shared" si="531"/>
        <v>0</v>
      </c>
      <c r="U838" s="595">
        <f t="shared" si="532"/>
        <v>0</v>
      </c>
      <c r="V838" s="166">
        <f t="shared" si="533"/>
        <v>0</v>
      </c>
      <c r="W838" s="167">
        <f t="shared" si="534"/>
        <v>0</v>
      </c>
      <c r="X838" s="168">
        <f t="shared" si="535"/>
        <v>0</v>
      </c>
      <c r="Y838" s="166">
        <f t="shared" si="536"/>
        <v>0</v>
      </c>
      <c r="Z838" s="167">
        <f t="shared" si="537"/>
        <v>0</v>
      </c>
      <c r="AA838" s="168">
        <f t="shared" si="538"/>
        <v>0</v>
      </c>
      <c r="AB838" s="166">
        <f t="shared" si="539"/>
        <v>0</v>
      </c>
      <c r="AC838" s="167">
        <f t="shared" si="540"/>
        <v>0</v>
      </c>
      <c r="AD838" s="168">
        <f t="shared" si="541"/>
        <v>0</v>
      </c>
      <c r="AE838" s="166">
        <f t="shared" si="542"/>
        <v>0</v>
      </c>
      <c r="AF838" s="167">
        <f t="shared" si="543"/>
        <v>0</v>
      </c>
      <c r="AG838" s="168">
        <f t="shared" si="544"/>
        <v>0</v>
      </c>
      <c r="AH838" s="166">
        <f t="shared" si="545"/>
        <v>0</v>
      </c>
      <c r="AI838" s="167">
        <f t="shared" si="546"/>
        <v>0</v>
      </c>
      <c r="AJ838" s="168">
        <f t="shared" si="547"/>
        <v>0</v>
      </c>
      <c r="AK838" s="169">
        <f t="shared" si="548"/>
        <v>0</v>
      </c>
      <c r="AL838" s="167">
        <f t="shared" si="549"/>
        <v>0</v>
      </c>
      <c r="AM838" s="585">
        <f t="shared" si="550"/>
        <v>0</v>
      </c>
      <c r="AN838" s="614"/>
      <c r="AO838" s="615"/>
      <c r="AP838" s="615"/>
      <c r="AQ838" s="616"/>
      <c r="AR838" s="612"/>
      <c r="AS838" s="617"/>
      <c r="AT838" s="618"/>
      <c r="AU838" s="618"/>
      <c r="AV838" s="618"/>
      <c r="AW838" s="619"/>
      <c r="AX838" s="614"/>
      <c r="AY838" s="616"/>
      <c r="AZ838" s="616"/>
      <c r="BA838" s="616"/>
      <c r="BB838" s="616"/>
      <c r="BC838" s="616"/>
      <c r="BD838" s="612"/>
      <c r="BE838" s="614"/>
      <c r="BF838" s="616"/>
      <c r="BG838" s="616"/>
      <c r="BH838" s="616"/>
      <c r="BI838" s="616"/>
      <c r="BJ838" s="616"/>
      <c r="BK838" s="1023"/>
      <c r="BL838" s="658"/>
    </row>
    <row r="839" spans="2:64">
      <c r="B839" s="1022"/>
      <c r="C839" s="607"/>
      <c r="D839" s="607"/>
      <c r="E839" s="1021"/>
      <c r="F839" s="1019">
        <v>836</v>
      </c>
      <c r="G839" s="609"/>
      <c r="H839" s="610"/>
      <c r="I839" s="611"/>
      <c r="J839" s="166">
        <f t="shared" si="551"/>
        <v>0</v>
      </c>
      <c r="K839" s="167">
        <f t="shared" si="552"/>
        <v>0</v>
      </c>
      <c r="L839" s="168">
        <f t="shared" si="553"/>
        <v>0</v>
      </c>
      <c r="M839" s="166">
        <f t="shared" si="554"/>
        <v>0</v>
      </c>
      <c r="N839" s="167">
        <f t="shared" si="555"/>
        <v>0</v>
      </c>
      <c r="O839" s="168">
        <f t="shared" si="556"/>
        <v>0</v>
      </c>
      <c r="P839" s="169">
        <f t="shared" si="557"/>
        <v>0</v>
      </c>
      <c r="Q839" s="169">
        <f t="shared" si="558"/>
        <v>0</v>
      </c>
      <c r="R839" s="169">
        <f t="shared" si="559"/>
        <v>0</v>
      </c>
      <c r="S839" s="584">
        <f t="shared" si="530"/>
        <v>0</v>
      </c>
      <c r="T839" s="594">
        <f t="shared" si="531"/>
        <v>0</v>
      </c>
      <c r="U839" s="595">
        <f t="shared" si="532"/>
        <v>0</v>
      </c>
      <c r="V839" s="166">
        <f t="shared" si="533"/>
        <v>0</v>
      </c>
      <c r="W839" s="167">
        <f t="shared" si="534"/>
        <v>0</v>
      </c>
      <c r="X839" s="168">
        <f t="shared" si="535"/>
        <v>0</v>
      </c>
      <c r="Y839" s="166">
        <f t="shared" si="536"/>
        <v>0</v>
      </c>
      <c r="Z839" s="167">
        <f t="shared" si="537"/>
        <v>0</v>
      </c>
      <c r="AA839" s="168">
        <f t="shared" si="538"/>
        <v>0</v>
      </c>
      <c r="AB839" s="166">
        <f t="shared" si="539"/>
        <v>0</v>
      </c>
      <c r="AC839" s="167">
        <f t="shared" si="540"/>
        <v>0</v>
      </c>
      <c r="AD839" s="168">
        <f t="shared" si="541"/>
        <v>0</v>
      </c>
      <c r="AE839" s="166">
        <f t="shared" si="542"/>
        <v>0</v>
      </c>
      <c r="AF839" s="167">
        <f t="shared" si="543"/>
        <v>0</v>
      </c>
      <c r="AG839" s="168">
        <f t="shared" si="544"/>
        <v>0</v>
      </c>
      <c r="AH839" s="166">
        <f t="shared" si="545"/>
        <v>0</v>
      </c>
      <c r="AI839" s="167">
        <f t="shared" si="546"/>
        <v>0</v>
      </c>
      <c r="AJ839" s="168">
        <f t="shared" si="547"/>
        <v>0</v>
      </c>
      <c r="AK839" s="169">
        <f t="shared" si="548"/>
        <v>0</v>
      </c>
      <c r="AL839" s="167">
        <f t="shared" si="549"/>
        <v>0</v>
      </c>
      <c r="AM839" s="585">
        <f t="shared" si="550"/>
        <v>0</v>
      </c>
      <c r="AN839" s="614"/>
      <c r="AO839" s="615"/>
      <c r="AP839" s="615"/>
      <c r="AQ839" s="616"/>
      <c r="AR839" s="612"/>
      <c r="AS839" s="617"/>
      <c r="AT839" s="618"/>
      <c r="AU839" s="618"/>
      <c r="AV839" s="618"/>
      <c r="AW839" s="619"/>
      <c r="AX839" s="614"/>
      <c r="AY839" s="616"/>
      <c r="AZ839" s="616"/>
      <c r="BA839" s="616"/>
      <c r="BB839" s="616"/>
      <c r="BC839" s="616"/>
      <c r="BD839" s="612"/>
      <c r="BE839" s="614"/>
      <c r="BF839" s="616"/>
      <c r="BG839" s="616"/>
      <c r="BH839" s="616"/>
      <c r="BI839" s="616"/>
      <c r="BJ839" s="616"/>
      <c r="BK839" s="1023"/>
      <c r="BL839" s="658"/>
    </row>
    <row r="840" spans="2:64">
      <c r="B840" s="1022"/>
      <c r="C840" s="607"/>
      <c r="D840" s="607"/>
      <c r="E840" s="1021"/>
      <c r="F840" s="608">
        <v>837</v>
      </c>
      <c r="G840" s="609"/>
      <c r="H840" s="610"/>
      <c r="I840" s="611"/>
      <c r="J840" s="166">
        <f t="shared" si="551"/>
        <v>0</v>
      </c>
      <c r="K840" s="167">
        <f t="shared" si="552"/>
        <v>0</v>
      </c>
      <c r="L840" s="168">
        <f t="shared" si="553"/>
        <v>0</v>
      </c>
      <c r="M840" s="166">
        <f t="shared" si="554"/>
        <v>0</v>
      </c>
      <c r="N840" s="167">
        <f t="shared" si="555"/>
        <v>0</v>
      </c>
      <c r="O840" s="168">
        <f t="shared" si="556"/>
        <v>0</v>
      </c>
      <c r="P840" s="169">
        <f t="shared" si="557"/>
        <v>0</v>
      </c>
      <c r="Q840" s="169">
        <f t="shared" si="558"/>
        <v>0</v>
      </c>
      <c r="R840" s="169">
        <f t="shared" si="559"/>
        <v>0</v>
      </c>
      <c r="S840" s="584">
        <f t="shared" si="530"/>
        <v>0</v>
      </c>
      <c r="T840" s="594">
        <f t="shared" si="531"/>
        <v>0</v>
      </c>
      <c r="U840" s="595">
        <f t="shared" si="532"/>
        <v>0</v>
      </c>
      <c r="V840" s="166">
        <f t="shared" si="533"/>
        <v>0</v>
      </c>
      <c r="W840" s="167">
        <f t="shared" si="534"/>
        <v>0</v>
      </c>
      <c r="X840" s="168">
        <f t="shared" si="535"/>
        <v>0</v>
      </c>
      <c r="Y840" s="166">
        <f t="shared" si="536"/>
        <v>0</v>
      </c>
      <c r="Z840" s="167">
        <f t="shared" si="537"/>
        <v>0</v>
      </c>
      <c r="AA840" s="168">
        <f t="shared" si="538"/>
        <v>0</v>
      </c>
      <c r="AB840" s="166">
        <f t="shared" si="539"/>
        <v>0</v>
      </c>
      <c r="AC840" s="167">
        <f t="shared" si="540"/>
        <v>0</v>
      </c>
      <c r="AD840" s="168">
        <f t="shared" si="541"/>
        <v>0</v>
      </c>
      <c r="AE840" s="166">
        <f t="shared" si="542"/>
        <v>0</v>
      </c>
      <c r="AF840" s="167">
        <f t="shared" si="543"/>
        <v>0</v>
      </c>
      <c r="AG840" s="168">
        <f t="shared" si="544"/>
        <v>0</v>
      </c>
      <c r="AH840" s="166">
        <f t="shared" si="545"/>
        <v>0</v>
      </c>
      <c r="AI840" s="167">
        <f t="shared" si="546"/>
        <v>0</v>
      </c>
      <c r="AJ840" s="168">
        <f t="shared" si="547"/>
        <v>0</v>
      </c>
      <c r="AK840" s="169">
        <f t="shared" si="548"/>
        <v>0</v>
      </c>
      <c r="AL840" s="167">
        <f t="shared" si="549"/>
        <v>0</v>
      </c>
      <c r="AM840" s="585">
        <f t="shared" si="550"/>
        <v>0</v>
      </c>
      <c r="AN840" s="614"/>
      <c r="AO840" s="615"/>
      <c r="AP840" s="615"/>
      <c r="AQ840" s="616"/>
      <c r="AR840" s="612"/>
      <c r="AS840" s="617"/>
      <c r="AT840" s="618"/>
      <c r="AU840" s="618"/>
      <c r="AV840" s="618"/>
      <c r="AW840" s="619"/>
      <c r="AX840" s="614"/>
      <c r="AY840" s="616"/>
      <c r="AZ840" s="616"/>
      <c r="BA840" s="616"/>
      <c r="BB840" s="616"/>
      <c r="BC840" s="616"/>
      <c r="BD840" s="612"/>
      <c r="BE840" s="614"/>
      <c r="BF840" s="616"/>
      <c r="BG840" s="616"/>
      <c r="BH840" s="616"/>
      <c r="BI840" s="616"/>
      <c r="BJ840" s="616"/>
      <c r="BK840" s="1023"/>
      <c r="BL840" s="658"/>
    </row>
    <row r="841" spans="2:64">
      <c r="B841" s="1022"/>
      <c r="C841" s="607"/>
      <c r="D841" s="607"/>
      <c r="E841" s="1021"/>
      <c r="F841" s="1019">
        <v>838</v>
      </c>
      <c r="G841" s="609"/>
      <c r="H841" s="610"/>
      <c r="I841" s="611"/>
      <c r="J841" s="166">
        <f t="shared" si="551"/>
        <v>0</v>
      </c>
      <c r="K841" s="167">
        <f t="shared" si="552"/>
        <v>0</v>
      </c>
      <c r="L841" s="168">
        <f t="shared" si="553"/>
        <v>0</v>
      </c>
      <c r="M841" s="166">
        <f t="shared" si="554"/>
        <v>0</v>
      </c>
      <c r="N841" s="167">
        <f t="shared" si="555"/>
        <v>0</v>
      </c>
      <c r="O841" s="168">
        <f t="shared" si="556"/>
        <v>0</v>
      </c>
      <c r="P841" s="169">
        <f t="shared" si="557"/>
        <v>0</v>
      </c>
      <c r="Q841" s="169">
        <f t="shared" si="558"/>
        <v>0</v>
      </c>
      <c r="R841" s="169">
        <f t="shared" si="559"/>
        <v>0</v>
      </c>
      <c r="S841" s="584">
        <f t="shared" si="530"/>
        <v>0</v>
      </c>
      <c r="T841" s="594">
        <f t="shared" si="531"/>
        <v>0</v>
      </c>
      <c r="U841" s="595">
        <f t="shared" si="532"/>
        <v>0</v>
      </c>
      <c r="V841" s="166">
        <f t="shared" si="533"/>
        <v>0</v>
      </c>
      <c r="W841" s="167">
        <f t="shared" si="534"/>
        <v>0</v>
      </c>
      <c r="X841" s="168">
        <f t="shared" si="535"/>
        <v>0</v>
      </c>
      <c r="Y841" s="166">
        <f t="shared" si="536"/>
        <v>0</v>
      </c>
      <c r="Z841" s="167">
        <f t="shared" si="537"/>
        <v>0</v>
      </c>
      <c r="AA841" s="168">
        <f t="shared" si="538"/>
        <v>0</v>
      </c>
      <c r="AB841" s="166">
        <f t="shared" si="539"/>
        <v>0</v>
      </c>
      <c r="AC841" s="167">
        <f t="shared" si="540"/>
        <v>0</v>
      </c>
      <c r="AD841" s="168">
        <f t="shared" si="541"/>
        <v>0</v>
      </c>
      <c r="AE841" s="166">
        <f t="shared" si="542"/>
        <v>0</v>
      </c>
      <c r="AF841" s="167">
        <f t="shared" si="543"/>
        <v>0</v>
      </c>
      <c r="AG841" s="168">
        <f t="shared" si="544"/>
        <v>0</v>
      </c>
      <c r="AH841" s="166">
        <f t="shared" si="545"/>
        <v>0</v>
      </c>
      <c r="AI841" s="167">
        <f t="shared" si="546"/>
        <v>0</v>
      </c>
      <c r="AJ841" s="168">
        <f t="shared" si="547"/>
        <v>0</v>
      </c>
      <c r="AK841" s="169">
        <f t="shared" si="548"/>
        <v>0</v>
      </c>
      <c r="AL841" s="167">
        <f t="shared" si="549"/>
        <v>0</v>
      </c>
      <c r="AM841" s="585">
        <f t="shared" si="550"/>
        <v>0</v>
      </c>
      <c r="AN841" s="614"/>
      <c r="AO841" s="615"/>
      <c r="AP841" s="615"/>
      <c r="AQ841" s="616"/>
      <c r="AR841" s="612"/>
      <c r="AS841" s="617"/>
      <c r="AT841" s="618"/>
      <c r="AU841" s="618"/>
      <c r="AV841" s="618"/>
      <c r="AW841" s="619"/>
      <c r="AX841" s="614"/>
      <c r="AY841" s="616"/>
      <c r="AZ841" s="616"/>
      <c r="BA841" s="616"/>
      <c r="BB841" s="616"/>
      <c r="BC841" s="616"/>
      <c r="BD841" s="612"/>
      <c r="BE841" s="614"/>
      <c r="BF841" s="616"/>
      <c r="BG841" s="616"/>
      <c r="BH841" s="616"/>
      <c r="BI841" s="616"/>
      <c r="BJ841" s="616"/>
      <c r="BK841" s="1023"/>
      <c r="BL841" s="658"/>
    </row>
    <row r="842" spans="2:64">
      <c r="B842" s="1022"/>
      <c r="C842" s="607"/>
      <c r="D842" s="607"/>
      <c r="E842" s="1021"/>
      <c r="F842" s="608">
        <v>839</v>
      </c>
      <c r="G842" s="609"/>
      <c r="H842" s="610"/>
      <c r="I842" s="611"/>
      <c r="J842" s="166">
        <f t="shared" si="551"/>
        <v>0</v>
      </c>
      <c r="K842" s="167">
        <f t="shared" si="552"/>
        <v>0</v>
      </c>
      <c r="L842" s="168">
        <f t="shared" si="553"/>
        <v>0</v>
      </c>
      <c r="M842" s="166">
        <f t="shared" si="554"/>
        <v>0</v>
      </c>
      <c r="N842" s="167">
        <f t="shared" si="555"/>
        <v>0</v>
      </c>
      <c r="O842" s="168">
        <f t="shared" si="556"/>
        <v>0</v>
      </c>
      <c r="P842" s="169">
        <f t="shared" si="557"/>
        <v>0</v>
      </c>
      <c r="Q842" s="169">
        <f t="shared" si="558"/>
        <v>0</v>
      </c>
      <c r="R842" s="169">
        <f t="shared" si="559"/>
        <v>0</v>
      </c>
      <c r="S842" s="584">
        <f t="shared" si="530"/>
        <v>0</v>
      </c>
      <c r="T842" s="594">
        <f t="shared" si="531"/>
        <v>0</v>
      </c>
      <c r="U842" s="595">
        <f t="shared" si="532"/>
        <v>0</v>
      </c>
      <c r="V842" s="166">
        <f t="shared" si="533"/>
        <v>0</v>
      </c>
      <c r="W842" s="167">
        <f t="shared" si="534"/>
        <v>0</v>
      </c>
      <c r="X842" s="168">
        <f t="shared" si="535"/>
        <v>0</v>
      </c>
      <c r="Y842" s="166">
        <f t="shared" si="536"/>
        <v>0</v>
      </c>
      <c r="Z842" s="167">
        <f t="shared" si="537"/>
        <v>0</v>
      </c>
      <c r="AA842" s="168">
        <f t="shared" si="538"/>
        <v>0</v>
      </c>
      <c r="AB842" s="166">
        <f t="shared" si="539"/>
        <v>0</v>
      </c>
      <c r="AC842" s="167">
        <f t="shared" si="540"/>
        <v>0</v>
      </c>
      <c r="AD842" s="168">
        <f t="shared" si="541"/>
        <v>0</v>
      </c>
      <c r="AE842" s="166">
        <f t="shared" si="542"/>
        <v>0</v>
      </c>
      <c r="AF842" s="167">
        <f t="shared" si="543"/>
        <v>0</v>
      </c>
      <c r="AG842" s="168">
        <f t="shared" si="544"/>
        <v>0</v>
      </c>
      <c r="AH842" s="166">
        <f t="shared" si="545"/>
        <v>0</v>
      </c>
      <c r="AI842" s="167">
        <f t="shared" si="546"/>
        <v>0</v>
      </c>
      <c r="AJ842" s="168">
        <f t="shared" si="547"/>
        <v>0</v>
      </c>
      <c r="AK842" s="169">
        <f t="shared" si="548"/>
        <v>0</v>
      </c>
      <c r="AL842" s="167">
        <f t="shared" si="549"/>
        <v>0</v>
      </c>
      <c r="AM842" s="585">
        <f t="shared" si="550"/>
        <v>0</v>
      </c>
      <c r="AN842" s="614"/>
      <c r="AO842" s="615"/>
      <c r="AP842" s="615"/>
      <c r="AQ842" s="616"/>
      <c r="AR842" s="612"/>
      <c r="AS842" s="617"/>
      <c r="AT842" s="618"/>
      <c r="AU842" s="618"/>
      <c r="AV842" s="618"/>
      <c r="AW842" s="619"/>
      <c r="AX842" s="614"/>
      <c r="AY842" s="616"/>
      <c r="AZ842" s="616"/>
      <c r="BA842" s="616"/>
      <c r="BB842" s="616"/>
      <c r="BC842" s="616"/>
      <c r="BD842" s="612"/>
      <c r="BE842" s="614"/>
      <c r="BF842" s="616"/>
      <c r="BG842" s="616"/>
      <c r="BH842" s="616"/>
      <c r="BI842" s="616"/>
      <c r="BJ842" s="616"/>
      <c r="BK842" s="1023"/>
      <c r="BL842" s="658"/>
    </row>
    <row r="843" spans="2:64">
      <c r="B843" s="1022"/>
      <c r="C843" s="607"/>
      <c r="D843" s="607"/>
      <c r="E843" s="1021"/>
      <c r="F843" s="1019">
        <v>840</v>
      </c>
      <c r="G843" s="609"/>
      <c r="H843" s="610"/>
      <c r="I843" s="611"/>
      <c r="J843" s="166">
        <f t="shared" si="551"/>
        <v>0</v>
      </c>
      <c r="K843" s="167">
        <f t="shared" si="552"/>
        <v>0</v>
      </c>
      <c r="L843" s="168">
        <f t="shared" si="553"/>
        <v>0</v>
      </c>
      <c r="M843" s="166">
        <f t="shared" si="554"/>
        <v>0</v>
      </c>
      <c r="N843" s="167">
        <f t="shared" si="555"/>
        <v>0</v>
      </c>
      <c r="O843" s="168">
        <f t="shared" si="556"/>
        <v>0</v>
      </c>
      <c r="P843" s="169">
        <f t="shared" si="557"/>
        <v>0</v>
      </c>
      <c r="Q843" s="169">
        <f t="shared" si="558"/>
        <v>0</v>
      </c>
      <c r="R843" s="169">
        <f t="shared" si="559"/>
        <v>0</v>
      </c>
      <c r="S843" s="584">
        <f t="shared" si="530"/>
        <v>0</v>
      </c>
      <c r="T843" s="594">
        <f t="shared" si="531"/>
        <v>0</v>
      </c>
      <c r="U843" s="595">
        <f t="shared" si="532"/>
        <v>0</v>
      </c>
      <c r="V843" s="166">
        <f t="shared" si="533"/>
        <v>0</v>
      </c>
      <c r="W843" s="167">
        <f t="shared" si="534"/>
        <v>0</v>
      </c>
      <c r="X843" s="168">
        <f t="shared" si="535"/>
        <v>0</v>
      </c>
      <c r="Y843" s="166">
        <f t="shared" si="536"/>
        <v>0</v>
      </c>
      <c r="Z843" s="167">
        <f t="shared" si="537"/>
        <v>0</v>
      </c>
      <c r="AA843" s="168">
        <f t="shared" si="538"/>
        <v>0</v>
      </c>
      <c r="AB843" s="166">
        <f t="shared" si="539"/>
        <v>0</v>
      </c>
      <c r="AC843" s="167">
        <f t="shared" si="540"/>
        <v>0</v>
      </c>
      <c r="AD843" s="168">
        <f t="shared" si="541"/>
        <v>0</v>
      </c>
      <c r="AE843" s="166">
        <f t="shared" si="542"/>
        <v>0</v>
      </c>
      <c r="AF843" s="167">
        <f t="shared" si="543"/>
        <v>0</v>
      </c>
      <c r="AG843" s="168">
        <f t="shared" si="544"/>
        <v>0</v>
      </c>
      <c r="AH843" s="166">
        <f t="shared" si="545"/>
        <v>0</v>
      </c>
      <c r="AI843" s="167">
        <f t="shared" si="546"/>
        <v>0</v>
      </c>
      <c r="AJ843" s="168">
        <f t="shared" si="547"/>
        <v>0</v>
      </c>
      <c r="AK843" s="169">
        <f t="shared" si="548"/>
        <v>0</v>
      </c>
      <c r="AL843" s="167">
        <f t="shared" si="549"/>
        <v>0</v>
      </c>
      <c r="AM843" s="585">
        <f t="shared" si="550"/>
        <v>0</v>
      </c>
      <c r="AN843" s="614"/>
      <c r="AO843" s="615"/>
      <c r="AP843" s="615"/>
      <c r="AQ843" s="616"/>
      <c r="AR843" s="612"/>
      <c r="AS843" s="617"/>
      <c r="AT843" s="618"/>
      <c r="AU843" s="618"/>
      <c r="AV843" s="618"/>
      <c r="AW843" s="619"/>
      <c r="AX843" s="614"/>
      <c r="AY843" s="616"/>
      <c r="AZ843" s="616"/>
      <c r="BA843" s="616"/>
      <c r="BB843" s="616"/>
      <c r="BC843" s="616"/>
      <c r="BD843" s="612"/>
      <c r="BE843" s="614"/>
      <c r="BF843" s="616"/>
      <c r="BG843" s="616"/>
      <c r="BH843" s="616"/>
      <c r="BI843" s="616"/>
      <c r="BJ843" s="616"/>
      <c r="BK843" s="1023"/>
      <c r="BL843" s="658"/>
    </row>
    <row r="844" spans="2:64">
      <c r="B844" s="1022"/>
      <c r="C844" s="607"/>
      <c r="D844" s="607"/>
      <c r="E844" s="1021"/>
      <c r="F844" s="608">
        <v>841</v>
      </c>
      <c r="G844" s="609"/>
      <c r="H844" s="610"/>
      <c r="I844" s="611"/>
      <c r="J844" s="166">
        <f t="shared" si="551"/>
        <v>0</v>
      </c>
      <c r="K844" s="167">
        <f t="shared" si="552"/>
        <v>0</v>
      </c>
      <c r="L844" s="168">
        <f t="shared" si="553"/>
        <v>0</v>
      </c>
      <c r="M844" s="166">
        <f t="shared" si="554"/>
        <v>0</v>
      </c>
      <c r="N844" s="167">
        <f t="shared" si="555"/>
        <v>0</v>
      </c>
      <c r="O844" s="168">
        <f t="shared" si="556"/>
        <v>0</v>
      </c>
      <c r="P844" s="169">
        <f t="shared" si="557"/>
        <v>0</v>
      </c>
      <c r="Q844" s="169">
        <f t="shared" si="558"/>
        <v>0</v>
      </c>
      <c r="R844" s="169">
        <f t="shared" si="559"/>
        <v>0</v>
      </c>
      <c r="S844" s="584">
        <f t="shared" si="530"/>
        <v>0</v>
      </c>
      <c r="T844" s="594">
        <f t="shared" si="531"/>
        <v>0</v>
      </c>
      <c r="U844" s="595">
        <f t="shared" si="532"/>
        <v>0</v>
      </c>
      <c r="V844" s="166">
        <f t="shared" si="533"/>
        <v>0</v>
      </c>
      <c r="W844" s="167">
        <f t="shared" si="534"/>
        <v>0</v>
      </c>
      <c r="X844" s="168">
        <f t="shared" si="535"/>
        <v>0</v>
      </c>
      <c r="Y844" s="166">
        <f t="shared" si="536"/>
        <v>0</v>
      </c>
      <c r="Z844" s="167">
        <f t="shared" si="537"/>
        <v>0</v>
      </c>
      <c r="AA844" s="168">
        <f t="shared" si="538"/>
        <v>0</v>
      </c>
      <c r="AB844" s="166">
        <f t="shared" si="539"/>
        <v>0</v>
      </c>
      <c r="AC844" s="167">
        <f t="shared" si="540"/>
        <v>0</v>
      </c>
      <c r="AD844" s="168">
        <f t="shared" si="541"/>
        <v>0</v>
      </c>
      <c r="AE844" s="166">
        <f t="shared" si="542"/>
        <v>0</v>
      </c>
      <c r="AF844" s="167">
        <f t="shared" si="543"/>
        <v>0</v>
      </c>
      <c r="AG844" s="168">
        <f t="shared" si="544"/>
        <v>0</v>
      </c>
      <c r="AH844" s="166">
        <f t="shared" si="545"/>
        <v>0</v>
      </c>
      <c r="AI844" s="167">
        <f t="shared" si="546"/>
        <v>0</v>
      </c>
      <c r="AJ844" s="168">
        <f t="shared" si="547"/>
        <v>0</v>
      </c>
      <c r="AK844" s="169">
        <f t="shared" si="548"/>
        <v>0</v>
      </c>
      <c r="AL844" s="167">
        <f t="shared" si="549"/>
        <v>0</v>
      </c>
      <c r="AM844" s="585">
        <f t="shared" si="550"/>
        <v>0</v>
      </c>
      <c r="AN844" s="614"/>
      <c r="AO844" s="615"/>
      <c r="AP844" s="615"/>
      <c r="AQ844" s="616"/>
      <c r="AR844" s="612"/>
      <c r="AS844" s="617"/>
      <c r="AT844" s="618"/>
      <c r="AU844" s="618"/>
      <c r="AV844" s="618"/>
      <c r="AW844" s="619"/>
      <c r="AX844" s="614"/>
      <c r="AY844" s="616"/>
      <c r="AZ844" s="616"/>
      <c r="BA844" s="616"/>
      <c r="BB844" s="616"/>
      <c r="BC844" s="616"/>
      <c r="BD844" s="612"/>
      <c r="BE844" s="614"/>
      <c r="BF844" s="616"/>
      <c r="BG844" s="616"/>
      <c r="BH844" s="616"/>
      <c r="BI844" s="616"/>
      <c r="BJ844" s="616"/>
      <c r="BK844" s="1023"/>
      <c r="BL844" s="658"/>
    </row>
    <row r="845" spans="2:64">
      <c r="B845" s="1022"/>
      <c r="C845" s="607"/>
      <c r="D845" s="607"/>
      <c r="E845" s="1021"/>
      <c r="F845" s="1019">
        <v>842</v>
      </c>
      <c r="G845" s="609"/>
      <c r="H845" s="610"/>
      <c r="I845" s="611"/>
      <c r="J845" s="166">
        <f t="shared" si="551"/>
        <v>0</v>
      </c>
      <c r="K845" s="167">
        <f t="shared" si="552"/>
        <v>0</v>
      </c>
      <c r="L845" s="168">
        <f t="shared" si="553"/>
        <v>0</v>
      </c>
      <c r="M845" s="166">
        <f t="shared" si="554"/>
        <v>0</v>
      </c>
      <c r="N845" s="167">
        <f t="shared" si="555"/>
        <v>0</v>
      </c>
      <c r="O845" s="168">
        <f t="shared" si="556"/>
        <v>0</v>
      </c>
      <c r="P845" s="169">
        <f t="shared" si="557"/>
        <v>0</v>
      </c>
      <c r="Q845" s="169">
        <f t="shared" si="558"/>
        <v>0</v>
      </c>
      <c r="R845" s="169">
        <f t="shared" si="559"/>
        <v>0</v>
      </c>
      <c r="S845" s="584">
        <f t="shared" si="530"/>
        <v>0</v>
      </c>
      <c r="T845" s="594">
        <f t="shared" si="531"/>
        <v>0</v>
      </c>
      <c r="U845" s="595">
        <f t="shared" si="532"/>
        <v>0</v>
      </c>
      <c r="V845" s="166">
        <f t="shared" si="533"/>
        <v>0</v>
      </c>
      <c r="W845" s="167">
        <f t="shared" si="534"/>
        <v>0</v>
      </c>
      <c r="X845" s="168">
        <f t="shared" si="535"/>
        <v>0</v>
      </c>
      <c r="Y845" s="166">
        <f t="shared" si="536"/>
        <v>0</v>
      </c>
      <c r="Z845" s="167">
        <f t="shared" si="537"/>
        <v>0</v>
      </c>
      <c r="AA845" s="168">
        <f t="shared" si="538"/>
        <v>0</v>
      </c>
      <c r="AB845" s="166">
        <f t="shared" si="539"/>
        <v>0</v>
      </c>
      <c r="AC845" s="167">
        <f t="shared" si="540"/>
        <v>0</v>
      </c>
      <c r="AD845" s="168">
        <f t="shared" si="541"/>
        <v>0</v>
      </c>
      <c r="AE845" s="166">
        <f t="shared" si="542"/>
        <v>0</v>
      </c>
      <c r="AF845" s="167">
        <f t="shared" si="543"/>
        <v>0</v>
      </c>
      <c r="AG845" s="168">
        <f t="shared" si="544"/>
        <v>0</v>
      </c>
      <c r="AH845" s="166">
        <f t="shared" si="545"/>
        <v>0</v>
      </c>
      <c r="AI845" s="167">
        <f t="shared" si="546"/>
        <v>0</v>
      </c>
      <c r="AJ845" s="168">
        <f t="shared" si="547"/>
        <v>0</v>
      </c>
      <c r="AK845" s="169">
        <f t="shared" si="548"/>
        <v>0</v>
      </c>
      <c r="AL845" s="167">
        <f t="shared" si="549"/>
        <v>0</v>
      </c>
      <c r="AM845" s="585">
        <f t="shared" si="550"/>
        <v>0</v>
      </c>
      <c r="AN845" s="614"/>
      <c r="AO845" s="615"/>
      <c r="AP845" s="615"/>
      <c r="AQ845" s="616"/>
      <c r="AR845" s="612"/>
      <c r="AS845" s="617"/>
      <c r="AT845" s="618"/>
      <c r="AU845" s="618"/>
      <c r="AV845" s="618"/>
      <c r="AW845" s="619"/>
      <c r="AX845" s="614"/>
      <c r="AY845" s="616"/>
      <c r="AZ845" s="616"/>
      <c r="BA845" s="616"/>
      <c r="BB845" s="616"/>
      <c r="BC845" s="616"/>
      <c r="BD845" s="612"/>
      <c r="BE845" s="614"/>
      <c r="BF845" s="616"/>
      <c r="BG845" s="616"/>
      <c r="BH845" s="616"/>
      <c r="BI845" s="616"/>
      <c r="BJ845" s="616"/>
      <c r="BK845" s="1023"/>
      <c r="BL845" s="658"/>
    </row>
    <row r="846" spans="2:64">
      <c r="B846" s="1022"/>
      <c r="C846" s="607"/>
      <c r="D846" s="607"/>
      <c r="E846" s="1021"/>
      <c r="F846" s="608">
        <v>843</v>
      </c>
      <c r="G846" s="609"/>
      <c r="H846" s="610"/>
      <c r="I846" s="611"/>
      <c r="J846" s="166">
        <f t="shared" si="551"/>
        <v>0</v>
      </c>
      <c r="K846" s="167">
        <f t="shared" si="552"/>
        <v>0</v>
      </c>
      <c r="L846" s="168">
        <f t="shared" si="553"/>
        <v>0</v>
      </c>
      <c r="M846" s="166">
        <f t="shared" si="554"/>
        <v>0</v>
      </c>
      <c r="N846" s="167">
        <f t="shared" si="555"/>
        <v>0</v>
      </c>
      <c r="O846" s="168">
        <f t="shared" si="556"/>
        <v>0</v>
      </c>
      <c r="P846" s="169">
        <f t="shared" si="557"/>
        <v>0</v>
      </c>
      <c r="Q846" s="169">
        <f t="shared" si="558"/>
        <v>0</v>
      </c>
      <c r="R846" s="169">
        <f t="shared" si="559"/>
        <v>0</v>
      </c>
      <c r="S846" s="584">
        <f t="shared" si="530"/>
        <v>0</v>
      </c>
      <c r="T846" s="594">
        <f t="shared" si="531"/>
        <v>0</v>
      </c>
      <c r="U846" s="595">
        <f t="shared" si="532"/>
        <v>0</v>
      </c>
      <c r="V846" s="166">
        <f t="shared" si="533"/>
        <v>0</v>
      </c>
      <c r="W846" s="167">
        <f t="shared" si="534"/>
        <v>0</v>
      </c>
      <c r="X846" s="168">
        <f t="shared" si="535"/>
        <v>0</v>
      </c>
      <c r="Y846" s="166">
        <f t="shared" si="536"/>
        <v>0</v>
      </c>
      <c r="Z846" s="167">
        <f t="shared" si="537"/>
        <v>0</v>
      </c>
      <c r="AA846" s="168">
        <f t="shared" si="538"/>
        <v>0</v>
      </c>
      <c r="AB846" s="166">
        <f t="shared" si="539"/>
        <v>0</v>
      </c>
      <c r="AC846" s="167">
        <f t="shared" si="540"/>
        <v>0</v>
      </c>
      <c r="AD846" s="168">
        <f t="shared" si="541"/>
        <v>0</v>
      </c>
      <c r="AE846" s="166">
        <f t="shared" si="542"/>
        <v>0</v>
      </c>
      <c r="AF846" s="167">
        <f t="shared" si="543"/>
        <v>0</v>
      </c>
      <c r="AG846" s="168">
        <f t="shared" si="544"/>
        <v>0</v>
      </c>
      <c r="AH846" s="166">
        <f t="shared" si="545"/>
        <v>0</v>
      </c>
      <c r="AI846" s="167">
        <f t="shared" si="546"/>
        <v>0</v>
      </c>
      <c r="AJ846" s="168">
        <f t="shared" si="547"/>
        <v>0</v>
      </c>
      <c r="AK846" s="169">
        <f t="shared" si="548"/>
        <v>0</v>
      </c>
      <c r="AL846" s="167">
        <f t="shared" si="549"/>
        <v>0</v>
      </c>
      <c r="AM846" s="585">
        <f t="shared" si="550"/>
        <v>0</v>
      </c>
      <c r="AN846" s="614"/>
      <c r="AO846" s="615"/>
      <c r="AP846" s="615"/>
      <c r="AQ846" s="616"/>
      <c r="AR846" s="612"/>
      <c r="AS846" s="617"/>
      <c r="AT846" s="618"/>
      <c r="AU846" s="618"/>
      <c r="AV846" s="618"/>
      <c r="AW846" s="619"/>
      <c r="AX846" s="614"/>
      <c r="AY846" s="616"/>
      <c r="AZ846" s="616"/>
      <c r="BA846" s="616"/>
      <c r="BB846" s="616"/>
      <c r="BC846" s="616"/>
      <c r="BD846" s="612"/>
      <c r="BE846" s="614"/>
      <c r="BF846" s="616"/>
      <c r="BG846" s="616"/>
      <c r="BH846" s="616"/>
      <c r="BI846" s="616"/>
      <c r="BJ846" s="616"/>
      <c r="BK846" s="1023"/>
      <c r="BL846" s="658"/>
    </row>
    <row r="847" spans="2:64">
      <c r="B847" s="1022"/>
      <c r="C847" s="607"/>
      <c r="D847" s="607"/>
      <c r="E847" s="1021"/>
      <c r="F847" s="1019">
        <v>844</v>
      </c>
      <c r="G847" s="609"/>
      <c r="H847" s="610"/>
      <c r="I847" s="611"/>
      <c r="J847" s="166">
        <f t="shared" si="551"/>
        <v>0</v>
      </c>
      <c r="K847" s="167">
        <f t="shared" si="552"/>
        <v>0</v>
      </c>
      <c r="L847" s="168">
        <f t="shared" si="553"/>
        <v>0</v>
      </c>
      <c r="M847" s="166">
        <f t="shared" si="554"/>
        <v>0</v>
      </c>
      <c r="N847" s="167">
        <f t="shared" si="555"/>
        <v>0</v>
      </c>
      <c r="O847" s="168">
        <f t="shared" si="556"/>
        <v>0</v>
      </c>
      <c r="P847" s="169">
        <f t="shared" si="557"/>
        <v>0</v>
      </c>
      <c r="Q847" s="169">
        <f t="shared" si="558"/>
        <v>0</v>
      </c>
      <c r="R847" s="169">
        <f t="shared" si="559"/>
        <v>0</v>
      </c>
      <c r="S847" s="584">
        <f t="shared" si="530"/>
        <v>0</v>
      </c>
      <c r="T847" s="594">
        <f t="shared" si="531"/>
        <v>0</v>
      </c>
      <c r="U847" s="595">
        <f t="shared" si="532"/>
        <v>0</v>
      </c>
      <c r="V847" s="166">
        <f t="shared" si="533"/>
        <v>0</v>
      </c>
      <c r="W847" s="167">
        <f t="shared" si="534"/>
        <v>0</v>
      </c>
      <c r="X847" s="168">
        <f t="shared" si="535"/>
        <v>0</v>
      </c>
      <c r="Y847" s="166">
        <f t="shared" si="536"/>
        <v>0</v>
      </c>
      <c r="Z847" s="167">
        <f t="shared" si="537"/>
        <v>0</v>
      </c>
      <c r="AA847" s="168">
        <f t="shared" si="538"/>
        <v>0</v>
      </c>
      <c r="AB847" s="166">
        <f t="shared" si="539"/>
        <v>0</v>
      </c>
      <c r="AC847" s="167">
        <f t="shared" si="540"/>
        <v>0</v>
      </c>
      <c r="AD847" s="168">
        <f t="shared" si="541"/>
        <v>0</v>
      </c>
      <c r="AE847" s="166">
        <f t="shared" si="542"/>
        <v>0</v>
      </c>
      <c r="AF847" s="167">
        <f t="shared" si="543"/>
        <v>0</v>
      </c>
      <c r="AG847" s="168">
        <f t="shared" si="544"/>
        <v>0</v>
      </c>
      <c r="AH847" s="166">
        <f t="shared" si="545"/>
        <v>0</v>
      </c>
      <c r="AI847" s="167">
        <f t="shared" si="546"/>
        <v>0</v>
      </c>
      <c r="AJ847" s="168">
        <f t="shared" si="547"/>
        <v>0</v>
      </c>
      <c r="AK847" s="169">
        <f t="shared" si="548"/>
        <v>0</v>
      </c>
      <c r="AL847" s="167">
        <f t="shared" si="549"/>
        <v>0</v>
      </c>
      <c r="AM847" s="585">
        <f t="shared" si="550"/>
        <v>0</v>
      </c>
      <c r="AN847" s="614"/>
      <c r="AO847" s="615"/>
      <c r="AP847" s="615"/>
      <c r="AQ847" s="616"/>
      <c r="AR847" s="612"/>
      <c r="AS847" s="617"/>
      <c r="AT847" s="618"/>
      <c r="AU847" s="618"/>
      <c r="AV847" s="618"/>
      <c r="AW847" s="619"/>
      <c r="AX847" s="614"/>
      <c r="AY847" s="616"/>
      <c r="AZ847" s="616"/>
      <c r="BA847" s="616"/>
      <c r="BB847" s="616"/>
      <c r="BC847" s="616"/>
      <c r="BD847" s="612"/>
      <c r="BE847" s="614"/>
      <c r="BF847" s="616"/>
      <c r="BG847" s="616"/>
      <c r="BH847" s="616"/>
      <c r="BI847" s="616"/>
      <c r="BJ847" s="616"/>
      <c r="BK847" s="1023"/>
      <c r="BL847" s="658"/>
    </row>
    <row r="848" spans="2:64">
      <c r="B848" s="1022"/>
      <c r="C848" s="607"/>
      <c r="D848" s="607"/>
      <c r="E848" s="1021"/>
      <c r="F848" s="608">
        <v>845</v>
      </c>
      <c r="G848" s="609"/>
      <c r="H848" s="610"/>
      <c r="I848" s="611"/>
      <c r="J848" s="166">
        <f t="shared" si="551"/>
        <v>0</v>
      </c>
      <c r="K848" s="167">
        <f t="shared" si="552"/>
        <v>0</v>
      </c>
      <c r="L848" s="168">
        <f t="shared" si="553"/>
        <v>0</v>
      </c>
      <c r="M848" s="166">
        <f t="shared" si="554"/>
        <v>0</v>
      </c>
      <c r="N848" s="167">
        <f t="shared" si="555"/>
        <v>0</v>
      </c>
      <c r="O848" s="168">
        <f t="shared" si="556"/>
        <v>0</v>
      </c>
      <c r="P848" s="169">
        <f t="shared" si="557"/>
        <v>0</v>
      </c>
      <c r="Q848" s="169">
        <f t="shared" si="558"/>
        <v>0</v>
      </c>
      <c r="R848" s="169">
        <f t="shared" si="559"/>
        <v>0</v>
      </c>
      <c r="S848" s="584">
        <f t="shared" si="530"/>
        <v>0</v>
      </c>
      <c r="T848" s="594">
        <f t="shared" si="531"/>
        <v>0</v>
      </c>
      <c r="U848" s="595">
        <f t="shared" si="532"/>
        <v>0</v>
      </c>
      <c r="V848" s="166">
        <f t="shared" si="533"/>
        <v>0</v>
      </c>
      <c r="W848" s="167">
        <f t="shared" si="534"/>
        <v>0</v>
      </c>
      <c r="X848" s="168">
        <f t="shared" si="535"/>
        <v>0</v>
      </c>
      <c r="Y848" s="166">
        <f t="shared" si="536"/>
        <v>0</v>
      </c>
      <c r="Z848" s="167">
        <f t="shared" si="537"/>
        <v>0</v>
      </c>
      <c r="AA848" s="168">
        <f t="shared" si="538"/>
        <v>0</v>
      </c>
      <c r="AB848" s="166">
        <f t="shared" si="539"/>
        <v>0</v>
      </c>
      <c r="AC848" s="167">
        <f t="shared" si="540"/>
        <v>0</v>
      </c>
      <c r="AD848" s="168">
        <f t="shared" si="541"/>
        <v>0</v>
      </c>
      <c r="AE848" s="166">
        <f t="shared" si="542"/>
        <v>0</v>
      </c>
      <c r="AF848" s="167">
        <f t="shared" si="543"/>
        <v>0</v>
      </c>
      <c r="AG848" s="168">
        <f t="shared" si="544"/>
        <v>0</v>
      </c>
      <c r="AH848" s="166">
        <f t="shared" si="545"/>
        <v>0</v>
      </c>
      <c r="AI848" s="167">
        <f t="shared" si="546"/>
        <v>0</v>
      </c>
      <c r="AJ848" s="168">
        <f t="shared" si="547"/>
        <v>0</v>
      </c>
      <c r="AK848" s="169">
        <f t="shared" si="548"/>
        <v>0</v>
      </c>
      <c r="AL848" s="167">
        <f t="shared" si="549"/>
        <v>0</v>
      </c>
      <c r="AM848" s="585">
        <f t="shared" si="550"/>
        <v>0</v>
      </c>
      <c r="AN848" s="614"/>
      <c r="AO848" s="615"/>
      <c r="AP848" s="615"/>
      <c r="AQ848" s="616"/>
      <c r="AR848" s="612"/>
      <c r="AS848" s="617"/>
      <c r="AT848" s="618"/>
      <c r="AU848" s="618"/>
      <c r="AV848" s="618"/>
      <c r="AW848" s="619"/>
      <c r="AX848" s="614"/>
      <c r="AY848" s="616"/>
      <c r="AZ848" s="616"/>
      <c r="BA848" s="616"/>
      <c r="BB848" s="616"/>
      <c r="BC848" s="616"/>
      <c r="BD848" s="612"/>
      <c r="BE848" s="614"/>
      <c r="BF848" s="616"/>
      <c r="BG848" s="616"/>
      <c r="BH848" s="616"/>
      <c r="BI848" s="616"/>
      <c r="BJ848" s="616"/>
      <c r="BK848" s="1023"/>
      <c r="BL848" s="658"/>
    </row>
    <row r="849" spans="2:64">
      <c r="B849" s="1022"/>
      <c r="C849" s="607"/>
      <c r="D849" s="607"/>
      <c r="E849" s="1021"/>
      <c r="F849" s="1019">
        <v>846</v>
      </c>
      <c r="G849" s="609"/>
      <c r="H849" s="610"/>
      <c r="I849" s="611"/>
      <c r="J849" s="166">
        <f t="shared" si="551"/>
        <v>0</v>
      </c>
      <c r="K849" s="167">
        <f t="shared" si="552"/>
        <v>0</v>
      </c>
      <c r="L849" s="168">
        <f t="shared" si="553"/>
        <v>0</v>
      </c>
      <c r="M849" s="166">
        <f t="shared" si="554"/>
        <v>0</v>
      </c>
      <c r="N849" s="167">
        <f t="shared" si="555"/>
        <v>0</v>
      </c>
      <c r="O849" s="168">
        <f t="shared" si="556"/>
        <v>0</v>
      </c>
      <c r="P849" s="169">
        <f t="shared" si="557"/>
        <v>0</v>
      </c>
      <c r="Q849" s="169">
        <f t="shared" si="558"/>
        <v>0</v>
      </c>
      <c r="R849" s="169">
        <f t="shared" si="559"/>
        <v>0</v>
      </c>
      <c r="S849" s="584">
        <f t="shared" si="530"/>
        <v>0</v>
      </c>
      <c r="T849" s="594">
        <f t="shared" si="531"/>
        <v>0</v>
      </c>
      <c r="U849" s="595">
        <f t="shared" si="532"/>
        <v>0</v>
      </c>
      <c r="V849" s="166">
        <f t="shared" si="533"/>
        <v>0</v>
      </c>
      <c r="W849" s="167">
        <f t="shared" si="534"/>
        <v>0</v>
      </c>
      <c r="X849" s="168">
        <f t="shared" si="535"/>
        <v>0</v>
      </c>
      <c r="Y849" s="166">
        <f t="shared" si="536"/>
        <v>0</v>
      </c>
      <c r="Z849" s="167">
        <f t="shared" si="537"/>
        <v>0</v>
      </c>
      <c r="AA849" s="168">
        <f t="shared" si="538"/>
        <v>0</v>
      </c>
      <c r="AB849" s="166">
        <f t="shared" si="539"/>
        <v>0</v>
      </c>
      <c r="AC849" s="167">
        <f t="shared" si="540"/>
        <v>0</v>
      </c>
      <c r="AD849" s="168">
        <f t="shared" si="541"/>
        <v>0</v>
      </c>
      <c r="AE849" s="166">
        <f t="shared" si="542"/>
        <v>0</v>
      </c>
      <c r="AF849" s="167">
        <f t="shared" si="543"/>
        <v>0</v>
      </c>
      <c r="AG849" s="168">
        <f t="shared" si="544"/>
        <v>0</v>
      </c>
      <c r="AH849" s="166">
        <f t="shared" si="545"/>
        <v>0</v>
      </c>
      <c r="AI849" s="167">
        <f t="shared" si="546"/>
        <v>0</v>
      </c>
      <c r="AJ849" s="168">
        <f t="shared" si="547"/>
        <v>0</v>
      </c>
      <c r="AK849" s="169">
        <f t="shared" si="548"/>
        <v>0</v>
      </c>
      <c r="AL849" s="167">
        <f t="shared" si="549"/>
        <v>0</v>
      </c>
      <c r="AM849" s="585">
        <f t="shared" si="550"/>
        <v>0</v>
      </c>
      <c r="AN849" s="614"/>
      <c r="AO849" s="615"/>
      <c r="AP849" s="615"/>
      <c r="AQ849" s="616"/>
      <c r="AR849" s="612"/>
      <c r="AS849" s="617"/>
      <c r="AT849" s="618"/>
      <c r="AU849" s="618"/>
      <c r="AV849" s="618"/>
      <c r="AW849" s="619"/>
      <c r="AX849" s="614"/>
      <c r="AY849" s="616"/>
      <c r="AZ849" s="616"/>
      <c r="BA849" s="616"/>
      <c r="BB849" s="616"/>
      <c r="BC849" s="616"/>
      <c r="BD849" s="612"/>
      <c r="BE849" s="614"/>
      <c r="BF849" s="616"/>
      <c r="BG849" s="616"/>
      <c r="BH849" s="616"/>
      <c r="BI849" s="616"/>
      <c r="BJ849" s="616"/>
      <c r="BK849" s="1023"/>
      <c r="BL849" s="658"/>
    </row>
    <row r="850" spans="2:64">
      <c r="B850" s="1022"/>
      <c r="C850" s="607"/>
      <c r="D850" s="607"/>
      <c r="E850" s="1021"/>
      <c r="F850" s="608">
        <v>847</v>
      </c>
      <c r="G850" s="609"/>
      <c r="H850" s="610"/>
      <c r="I850" s="611"/>
      <c r="J850" s="166">
        <f t="shared" si="551"/>
        <v>0</v>
      </c>
      <c r="K850" s="167">
        <f t="shared" si="552"/>
        <v>0</v>
      </c>
      <c r="L850" s="168">
        <f t="shared" si="553"/>
        <v>0</v>
      </c>
      <c r="M850" s="166">
        <f t="shared" si="554"/>
        <v>0</v>
      </c>
      <c r="N850" s="167">
        <f t="shared" si="555"/>
        <v>0</v>
      </c>
      <c r="O850" s="168">
        <f t="shared" si="556"/>
        <v>0</v>
      </c>
      <c r="P850" s="169">
        <f t="shared" si="557"/>
        <v>0</v>
      </c>
      <c r="Q850" s="169">
        <f t="shared" si="558"/>
        <v>0</v>
      </c>
      <c r="R850" s="169">
        <f t="shared" si="559"/>
        <v>0</v>
      </c>
      <c r="S850" s="584">
        <f t="shared" si="530"/>
        <v>0</v>
      </c>
      <c r="T850" s="594">
        <f t="shared" si="531"/>
        <v>0</v>
      </c>
      <c r="U850" s="595">
        <f t="shared" si="532"/>
        <v>0</v>
      </c>
      <c r="V850" s="166">
        <f t="shared" si="533"/>
        <v>0</v>
      </c>
      <c r="W850" s="167">
        <f t="shared" si="534"/>
        <v>0</v>
      </c>
      <c r="X850" s="168">
        <f t="shared" si="535"/>
        <v>0</v>
      </c>
      <c r="Y850" s="166">
        <f t="shared" si="536"/>
        <v>0</v>
      </c>
      <c r="Z850" s="167">
        <f t="shared" si="537"/>
        <v>0</v>
      </c>
      <c r="AA850" s="168">
        <f t="shared" si="538"/>
        <v>0</v>
      </c>
      <c r="AB850" s="166">
        <f t="shared" si="539"/>
        <v>0</v>
      </c>
      <c r="AC850" s="167">
        <f t="shared" si="540"/>
        <v>0</v>
      </c>
      <c r="AD850" s="168">
        <f t="shared" si="541"/>
        <v>0</v>
      </c>
      <c r="AE850" s="166">
        <f t="shared" si="542"/>
        <v>0</v>
      </c>
      <c r="AF850" s="167">
        <f t="shared" si="543"/>
        <v>0</v>
      </c>
      <c r="AG850" s="168">
        <f t="shared" si="544"/>
        <v>0</v>
      </c>
      <c r="AH850" s="166">
        <f t="shared" si="545"/>
        <v>0</v>
      </c>
      <c r="AI850" s="167">
        <f t="shared" si="546"/>
        <v>0</v>
      </c>
      <c r="AJ850" s="168">
        <f t="shared" si="547"/>
        <v>0</v>
      </c>
      <c r="AK850" s="169">
        <f t="shared" si="548"/>
        <v>0</v>
      </c>
      <c r="AL850" s="167">
        <f t="shared" si="549"/>
        <v>0</v>
      </c>
      <c r="AM850" s="585">
        <f t="shared" si="550"/>
        <v>0</v>
      </c>
      <c r="AN850" s="614"/>
      <c r="AO850" s="615"/>
      <c r="AP850" s="615"/>
      <c r="AQ850" s="616"/>
      <c r="AR850" s="612"/>
      <c r="AS850" s="617"/>
      <c r="AT850" s="618"/>
      <c r="AU850" s="618"/>
      <c r="AV850" s="618"/>
      <c r="AW850" s="619"/>
      <c r="AX850" s="614"/>
      <c r="AY850" s="616"/>
      <c r="AZ850" s="616"/>
      <c r="BA850" s="616"/>
      <c r="BB850" s="616"/>
      <c r="BC850" s="616"/>
      <c r="BD850" s="612"/>
      <c r="BE850" s="614"/>
      <c r="BF850" s="616"/>
      <c r="BG850" s="616"/>
      <c r="BH850" s="616"/>
      <c r="BI850" s="616"/>
      <c r="BJ850" s="616"/>
      <c r="BK850" s="1023"/>
      <c r="BL850" s="658"/>
    </row>
    <row r="851" spans="2:64">
      <c r="B851" s="1022"/>
      <c r="C851" s="607"/>
      <c r="D851" s="607"/>
      <c r="E851" s="1021"/>
      <c r="F851" s="1019">
        <v>848</v>
      </c>
      <c r="G851" s="609"/>
      <c r="H851" s="610"/>
      <c r="I851" s="611"/>
      <c r="J851" s="166">
        <f t="shared" si="551"/>
        <v>0</v>
      </c>
      <c r="K851" s="167">
        <f t="shared" si="552"/>
        <v>0</v>
      </c>
      <c r="L851" s="168">
        <f t="shared" si="553"/>
        <v>0</v>
      </c>
      <c r="M851" s="166">
        <f t="shared" si="554"/>
        <v>0</v>
      </c>
      <c r="N851" s="167">
        <f t="shared" si="555"/>
        <v>0</v>
      </c>
      <c r="O851" s="168">
        <f t="shared" si="556"/>
        <v>0</v>
      </c>
      <c r="P851" s="169">
        <f t="shared" si="557"/>
        <v>0</v>
      </c>
      <c r="Q851" s="169">
        <f t="shared" si="558"/>
        <v>0</v>
      </c>
      <c r="R851" s="169">
        <f t="shared" si="559"/>
        <v>0</v>
      </c>
      <c r="S851" s="584">
        <f t="shared" si="530"/>
        <v>0</v>
      </c>
      <c r="T851" s="594">
        <f t="shared" si="531"/>
        <v>0</v>
      </c>
      <c r="U851" s="595">
        <f t="shared" si="532"/>
        <v>0</v>
      </c>
      <c r="V851" s="166">
        <f t="shared" si="533"/>
        <v>0</v>
      </c>
      <c r="W851" s="167">
        <f t="shared" si="534"/>
        <v>0</v>
      </c>
      <c r="X851" s="168">
        <f t="shared" si="535"/>
        <v>0</v>
      </c>
      <c r="Y851" s="166">
        <f t="shared" si="536"/>
        <v>0</v>
      </c>
      <c r="Z851" s="167">
        <f t="shared" si="537"/>
        <v>0</v>
      </c>
      <c r="AA851" s="168">
        <f t="shared" si="538"/>
        <v>0</v>
      </c>
      <c r="AB851" s="166">
        <f t="shared" si="539"/>
        <v>0</v>
      </c>
      <c r="AC851" s="167">
        <f t="shared" si="540"/>
        <v>0</v>
      </c>
      <c r="AD851" s="168">
        <f t="shared" si="541"/>
        <v>0</v>
      </c>
      <c r="AE851" s="166">
        <f t="shared" si="542"/>
        <v>0</v>
      </c>
      <c r="AF851" s="167">
        <f t="shared" si="543"/>
        <v>0</v>
      </c>
      <c r="AG851" s="168">
        <f t="shared" si="544"/>
        <v>0</v>
      </c>
      <c r="AH851" s="166">
        <f t="shared" si="545"/>
        <v>0</v>
      </c>
      <c r="AI851" s="167">
        <f t="shared" si="546"/>
        <v>0</v>
      </c>
      <c r="AJ851" s="168">
        <f t="shared" si="547"/>
        <v>0</v>
      </c>
      <c r="AK851" s="169">
        <f t="shared" si="548"/>
        <v>0</v>
      </c>
      <c r="AL851" s="167">
        <f t="shared" si="549"/>
        <v>0</v>
      </c>
      <c r="AM851" s="585">
        <f t="shared" si="550"/>
        <v>0</v>
      </c>
      <c r="AN851" s="614"/>
      <c r="AO851" s="615"/>
      <c r="AP851" s="615"/>
      <c r="AQ851" s="616"/>
      <c r="AR851" s="612"/>
      <c r="AS851" s="617"/>
      <c r="AT851" s="618"/>
      <c r="AU851" s="618"/>
      <c r="AV851" s="618"/>
      <c r="AW851" s="619"/>
      <c r="AX851" s="614"/>
      <c r="AY851" s="616"/>
      <c r="AZ851" s="616"/>
      <c r="BA851" s="616"/>
      <c r="BB851" s="616"/>
      <c r="BC851" s="616"/>
      <c r="BD851" s="612"/>
      <c r="BE851" s="614"/>
      <c r="BF851" s="616"/>
      <c r="BG851" s="616"/>
      <c r="BH851" s="616"/>
      <c r="BI851" s="616"/>
      <c r="BJ851" s="616"/>
      <c r="BK851" s="1023"/>
      <c r="BL851" s="658"/>
    </row>
    <row r="852" spans="2:64">
      <c r="B852" s="1022"/>
      <c r="C852" s="607"/>
      <c r="D852" s="607"/>
      <c r="E852" s="1021"/>
      <c r="F852" s="608">
        <v>849</v>
      </c>
      <c r="G852" s="609"/>
      <c r="H852" s="610"/>
      <c r="I852" s="611"/>
      <c r="J852" s="166">
        <f t="shared" si="551"/>
        <v>0</v>
      </c>
      <c r="K852" s="167">
        <f t="shared" si="552"/>
        <v>0</v>
      </c>
      <c r="L852" s="168">
        <f t="shared" si="553"/>
        <v>0</v>
      </c>
      <c r="M852" s="166">
        <f t="shared" si="554"/>
        <v>0</v>
      </c>
      <c r="N852" s="167">
        <f t="shared" si="555"/>
        <v>0</v>
      </c>
      <c r="O852" s="168">
        <f t="shared" si="556"/>
        <v>0</v>
      </c>
      <c r="P852" s="169">
        <f t="shared" si="557"/>
        <v>0</v>
      </c>
      <c r="Q852" s="169">
        <f t="shared" si="558"/>
        <v>0</v>
      </c>
      <c r="R852" s="169">
        <f t="shared" si="559"/>
        <v>0</v>
      </c>
      <c r="S852" s="584">
        <f t="shared" si="530"/>
        <v>0</v>
      </c>
      <c r="T852" s="594">
        <f t="shared" si="531"/>
        <v>0</v>
      </c>
      <c r="U852" s="595">
        <f t="shared" si="532"/>
        <v>0</v>
      </c>
      <c r="V852" s="166">
        <f t="shared" si="533"/>
        <v>0</v>
      </c>
      <c r="W852" s="167">
        <f t="shared" si="534"/>
        <v>0</v>
      </c>
      <c r="X852" s="168">
        <f t="shared" si="535"/>
        <v>0</v>
      </c>
      <c r="Y852" s="166">
        <f t="shared" si="536"/>
        <v>0</v>
      </c>
      <c r="Z852" s="167">
        <f t="shared" si="537"/>
        <v>0</v>
      </c>
      <c r="AA852" s="168">
        <f t="shared" si="538"/>
        <v>0</v>
      </c>
      <c r="AB852" s="166">
        <f t="shared" si="539"/>
        <v>0</v>
      </c>
      <c r="AC852" s="167">
        <f t="shared" si="540"/>
        <v>0</v>
      </c>
      <c r="AD852" s="168">
        <f t="shared" si="541"/>
        <v>0</v>
      </c>
      <c r="AE852" s="166">
        <f t="shared" si="542"/>
        <v>0</v>
      </c>
      <c r="AF852" s="167">
        <f t="shared" si="543"/>
        <v>0</v>
      </c>
      <c r="AG852" s="168">
        <f t="shared" si="544"/>
        <v>0</v>
      </c>
      <c r="AH852" s="166">
        <f t="shared" si="545"/>
        <v>0</v>
      </c>
      <c r="AI852" s="167">
        <f t="shared" si="546"/>
        <v>0</v>
      </c>
      <c r="AJ852" s="168">
        <f t="shared" si="547"/>
        <v>0</v>
      </c>
      <c r="AK852" s="169">
        <f t="shared" si="548"/>
        <v>0</v>
      </c>
      <c r="AL852" s="167">
        <f t="shared" si="549"/>
        <v>0</v>
      </c>
      <c r="AM852" s="585">
        <f t="shared" si="550"/>
        <v>0</v>
      </c>
      <c r="AN852" s="614"/>
      <c r="AO852" s="615"/>
      <c r="AP852" s="615"/>
      <c r="AQ852" s="616"/>
      <c r="AR852" s="612"/>
      <c r="AS852" s="617"/>
      <c r="AT852" s="618"/>
      <c r="AU852" s="618"/>
      <c r="AV852" s="618"/>
      <c r="AW852" s="619"/>
      <c r="AX852" s="614"/>
      <c r="AY852" s="616"/>
      <c r="AZ852" s="616"/>
      <c r="BA852" s="616"/>
      <c r="BB852" s="616"/>
      <c r="BC852" s="616"/>
      <c r="BD852" s="612"/>
      <c r="BE852" s="614"/>
      <c r="BF852" s="616"/>
      <c r="BG852" s="616"/>
      <c r="BH852" s="616"/>
      <c r="BI852" s="616"/>
      <c r="BJ852" s="616"/>
      <c r="BK852" s="1023"/>
      <c r="BL852" s="658"/>
    </row>
    <row r="853" spans="2:64">
      <c r="B853" s="1022"/>
      <c r="C853" s="607"/>
      <c r="D853" s="607"/>
      <c r="E853" s="1021"/>
      <c r="F853" s="1019">
        <v>850</v>
      </c>
      <c r="G853" s="609"/>
      <c r="H853" s="610"/>
      <c r="I853" s="611"/>
      <c r="J853" s="166">
        <f t="shared" si="551"/>
        <v>0</v>
      </c>
      <c r="K853" s="167">
        <f t="shared" si="552"/>
        <v>0</v>
      </c>
      <c r="L853" s="168">
        <f t="shared" si="553"/>
        <v>0</v>
      </c>
      <c r="M853" s="166">
        <f t="shared" si="554"/>
        <v>0</v>
      </c>
      <c r="N853" s="167">
        <f t="shared" si="555"/>
        <v>0</v>
      </c>
      <c r="O853" s="168">
        <f t="shared" si="556"/>
        <v>0</v>
      </c>
      <c r="P853" s="169">
        <f t="shared" si="557"/>
        <v>0</v>
      </c>
      <c r="Q853" s="169">
        <f t="shared" si="558"/>
        <v>0</v>
      </c>
      <c r="R853" s="169">
        <f t="shared" si="559"/>
        <v>0</v>
      </c>
      <c r="S853" s="584">
        <f t="shared" si="530"/>
        <v>0</v>
      </c>
      <c r="T853" s="594">
        <f t="shared" si="531"/>
        <v>0</v>
      </c>
      <c r="U853" s="595">
        <f t="shared" si="532"/>
        <v>0</v>
      </c>
      <c r="V853" s="166">
        <f t="shared" si="533"/>
        <v>0</v>
      </c>
      <c r="W853" s="167">
        <f t="shared" si="534"/>
        <v>0</v>
      </c>
      <c r="X853" s="168">
        <f t="shared" si="535"/>
        <v>0</v>
      </c>
      <c r="Y853" s="166">
        <f t="shared" si="536"/>
        <v>0</v>
      </c>
      <c r="Z853" s="167">
        <f t="shared" si="537"/>
        <v>0</v>
      </c>
      <c r="AA853" s="168">
        <f t="shared" si="538"/>
        <v>0</v>
      </c>
      <c r="AB853" s="166">
        <f t="shared" si="539"/>
        <v>0</v>
      </c>
      <c r="AC853" s="167">
        <f t="shared" si="540"/>
        <v>0</v>
      </c>
      <c r="AD853" s="168">
        <f t="shared" si="541"/>
        <v>0</v>
      </c>
      <c r="AE853" s="166">
        <f t="shared" si="542"/>
        <v>0</v>
      </c>
      <c r="AF853" s="167">
        <f t="shared" si="543"/>
        <v>0</v>
      </c>
      <c r="AG853" s="168">
        <f t="shared" si="544"/>
        <v>0</v>
      </c>
      <c r="AH853" s="166">
        <f t="shared" si="545"/>
        <v>0</v>
      </c>
      <c r="AI853" s="167">
        <f t="shared" si="546"/>
        <v>0</v>
      </c>
      <c r="AJ853" s="168">
        <f t="shared" si="547"/>
        <v>0</v>
      </c>
      <c r="AK853" s="169">
        <f t="shared" si="548"/>
        <v>0</v>
      </c>
      <c r="AL853" s="167">
        <f t="shared" si="549"/>
        <v>0</v>
      </c>
      <c r="AM853" s="585">
        <f t="shared" si="550"/>
        <v>0</v>
      </c>
      <c r="AN853" s="614"/>
      <c r="AO853" s="615"/>
      <c r="AP853" s="615"/>
      <c r="AQ853" s="616"/>
      <c r="AR853" s="612"/>
      <c r="AS853" s="617"/>
      <c r="AT853" s="618"/>
      <c r="AU853" s="618"/>
      <c r="AV853" s="618"/>
      <c r="AW853" s="619"/>
      <c r="AX853" s="614"/>
      <c r="AY853" s="616"/>
      <c r="AZ853" s="616"/>
      <c r="BA853" s="616"/>
      <c r="BB853" s="616"/>
      <c r="BC853" s="616"/>
      <c r="BD853" s="612"/>
      <c r="BE853" s="614"/>
      <c r="BF853" s="616"/>
      <c r="BG853" s="616"/>
      <c r="BH853" s="616"/>
      <c r="BI853" s="616"/>
      <c r="BJ853" s="616"/>
      <c r="BK853" s="1023"/>
      <c r="BL853" s="658"/>
    </row>
    <row r="854" spans="2:64">
      <c r="B854" s="1022"/>
      <c r="C854" s="607"/>
      <c r="D854" s="607"/>
      <c r="E854" s="1021"/>
      <c r="F854" s="608">
        <v>851</v>
      </c>
      <c r="G854" s="609"/>
      <c r="H854" s="610"/>
      <c r="I854" s="611"/>
      <c r="J854" s="166">
        <f t="shared" si="551"/>
        <v>0</v>
      </c>
      <c r="K854" s="167">
        <f t="shared" si="552"/>
        <v>0</v>
      </c>
      <c r="L854" s="168">
        <f t="shared" si="553"/>
        <v>0</v>
      </c>
      <c r="M854" s="166">
        <f t="shared" si="554"/>
        <v>0</v>
      </c>
      <c r="N854" s="167">
        <f t="shared" si="555"/>
        <v>0</v>
      </c>
      <c r="O854" s="168">
        <f t="shared" si="556"/>
        <v>0</v>
      </c>
      <c r="P854" s="169">
        <f t="shared" si="557"/>
        <v>0</v>
      </c>
      <c r="Q854" s="169">
        <f t="shared" si="558"/>
        <v>0</v>
      </c>
      <c r="R854" s="169">
        <f t="shared" si="559"/>
        <v>0</v>
      </c>
      <c r="S854" s="584">
        <f t="shared" si="530"/>
        <v>0</v>
      </c>
      <c r="T854" s="594">
        <f t="shared" si="531"/>
        <v>0</v>
      </c>
      <c r="U854" s="595">
        <f t="shared" si="532"/>
        <v>0</v>
      </c>
      <c r="V854" s="166">
        <f t="shared" si="533"/>
        <v>0</v>
      </c>
      <c r="W854" s="167">
        <f t="shared" si="534"/>
        <v>0</v>
      </c>
      <c r="X854" s="168">
        <f t="shared" si="535"/>
        <v>0</v>
      </c>
      <c r="Y854" s="166">
        <f t="shared" si="536"/>
        <v>0</v>
      </c>
      <c r="Z854" s="167">
        <f t="shared" si="537"/>
        <v>0</v>
      </c>
      <c r="AA854" s="168">
        <f t="shared" si="538"/>
        <v>0</v>
      </c>
      <c r="AB854" s="166">
        <f t="shared" si="539"/>
        <v>0</v>
      </c>
      <c r="AC854" s="167">
        <f t="shared" si="540"/>
        <v>0</v>
      </c>
      <c r="AD854" s="168">
        <f t="shared" si="541"/>
        <v>0</v>
      </c>
      <c r="AE854" s="166">
        <f t="shared" si="542"/>
        <v>0</v>
      </c>
      <c r="AF854" s="167">
        <f t="shared" si="543"/>
        <v>0</v>
      </c>
      <c r="AG854" s="168">
        <f t="shared" si="544"/>
        <v>0</v>
      </c>
      <c r="AH854" s="166">
        <f t="shared" si="545"/>
        <v>0</v>
      </c>
      <c r="AI854" s="167">
        <f t="shared" si="546"/>
        <v>0</v>
      </c>
      <c r="AJ854" s="168">
        <f t="shared" si="547"/>
        <v>0</v>
      </c>
      <c r="AK854" s="169">
        <f t="shared" si="548"/>
        <v>0</v>
      </c>
      <c r="AL854" s="167">
        <f t="shared" si="549"/>
        <v>0</v>
      </c>
      <c r="AM854" s="585">
        <f t="shared" si="550"/>
        <v>0</v>
      </c>
      <c r="AN854" s="614"/>
      <c r="AO854" s="615"/>
      <c r="AP854" s="615"/>
      <c r="AQ854" s="616"/>
      <c r="AR854" s="612"/>
      <c r="AS854" s="617"/>
      <c r="AT854" s="618"/>
      <c r="AU854" s="618"/>
      <c r="AV854" s="618"/>
      <c r="AW854" s="619"/>
      <c r="AX854" s="614"/>
      <c r="AY854" s="616"/>
      <c r="AZ854" s="616"/>
      <c r="BA854" s="616"/>
      <c r="BB854" s="616"/>
      <c r="BC854" s="616"/>
      <c r="BD854" s="612"/>
      <c r="BE854" s="614"/>
      <c r="BF854" s="616"/>
      <c r="BG854" s="616"/>
      <c r="BH854" s="616"/>
      <c r="BI854" s="616"/>
      <c r="BJ854" s="616"/>
      <c r="BK854" s="1023"/>
      <c r="BL854" s="658"/>
    </row>
    <row r="855" spans="2:64">
      <c r="B855" s="1022"/>
      <c r="C855" s="607"/>
      <c r="D855" s="607"/>
      <c r="E855" s="1021"/>
      <c r="F855" s="1019">
        <v>852</v>
      </c>
      <c r="G855" s="609"/>
      <c r="H855" s="610"/>
      <c r="I855" s="611"/>
      <c r="J855" s="166">
        <f t="shared" si="551"/>
        <v>0</v>
      </c>
      <c r="K855" s="167">
        <f t="shared" si="552"/>
        <v>0</v>
      </c>
      <c r="L855" s="168">
        <f t="shared" si="553"/>
        <v>0</v>
      </c>
      <c r="M855" s="166">
        <f t="shared" si="554"/>
        <v>0</v>
      </c>
      <c r="N855" s="167">
        <f t="shared" si="555"/>
        <v>0</v>
      </c>
      <c r="O855" s="168">
        <f t="shared" si="556"/>
        <v>0</v>
      </c>
      <c r="P855" s="169">
        <f t="shared" si="557"/>
        <v>0</v>
      </c>
      <c r="Q855" s="169">
        <f t="shared" si="558"/>
        <v>0</v>
      </c>
      <c r="R855" s="169">
        <f t="shared" si="559"/>
        <v>0</v>
      </c>
      <c r="S855" s="584">
        <f t="shared" si="530"/>
        <v>0</v>
      </c>
      <c r="T855" s="594">
        <f t="shared" si="531"/>
        <v>0</v>
      </c>
      <c r="U855" s="595">
        <f t="shared" si="532"/>
        <v>0</v>
      </c>
      <c r="V855" s="166">
        <f t="shared" si="533"/>
        <v>0</v>
      </c>
      <c r="W855" s="167">
        <f t="shared" si="534"/>
        <v>0</v>
      </c>
      <c r="X855" s="168">
        <f t="shared" si="535"/>
        <v>0</v>
      </c>
      <c r="Y855" s="166">
        <f t="shared" si="536"/>
        <v>0</v>
      </c>
      <c r="Z855" s="167">
        <f t="shared" si="537"/>
        <v>0</v>
      </c>
      <c r="AA855" s="168">
        <f t="shared" si="538"/>
        <v>0</v>
      </c>
      <c r="AB855" s="166">
        <f t="shared" si="539"/>
        <v>0</v>
      </c>
      <c r="AC855" s="167">
        <f t="shared" si="540"/>
        <v>0</v>
      </c>
      <c r="AD855" s="168">
        <f t="shared" si="541"/>
        <v>0</v>
      </c>
      <c r="AE855" s="166">
        <f t="shared" si="542"/>
        <v>0</v>
      </c>
      <c r="AF855" s="167">
        <f t="shared" si="543"/>
        <v>0</v>
      </c>
      <c r="AG855" s="168">
        <f t="shared" si="544"/>
        <v>0</v>
      </c>
      <c r="AH855" s="166">
        <f t="shared" si="545"/>
        <v>0</v>
      </c>
      <c r="AI855" s="167">
        <f t="shared" si="546"/>
        <v>0</v>
      </c>
      <c r="AJ855" s="168">
        <f t="shared" si="547"/>
        <v>0</v>
      </c>
      <c r="AK855" s="169">
        <f t="shared" si="548"/>
        <v>0</v>
      </c>
      <c r="AL855" s="167">
        <f t="shared" si="549"/>
        <v>0</v>
      </c>
      <c r="AM855" s="585">
        <f t="shared" si="550"/>
        <v>0</v>
      </c>
      <c r="AN855" s="614"/>
      <c r="AO855" s="615"/>
      <c r="AP855" s="615"/>
      <c r="AQ855" s="616"/>
      <c r="AR855" s="612"/>
      <c r="AS855" s="617"/>
      <c r="AT855" s="618"/>
      <c r="AU855" s="618"/>
      <c r="AV855" s="618"/>
      <c r="AW855" s="619"/>
      <c r="AX855" s="614"/>
      <c r="AY855" s="616"/>
      <c r="AZ855" s="616"/>
      <c r="BA855" s="616"/>
      <c r="BB855" s="616"/>
      <c r="BC855" s="616"/>
      <c r="BD855" s="612"/>
      <c r="BE855" s="614"/>
      <c r="BF855" s="616"/>
      <c r="BG855" s="616"/>
      <c r="BH855" s="616"/>
      <c r="BI855" s="616"/>
      <c r="BJ855" s="616"/>
      <c r="BK855" s="1023"/>
      <c r="BL855" s="658"/>
    </row>
    <row r="856" spans="2:64">
      <c r="B856" s="1022"/>
      <c r="C856" s="607"/>
      <c r="D856" s="607"/>
      <c r="E856" s="1021"/>
      <c r="F856" s="608">
        <v>853</v>
      </c>
      <c r="G856" s="609"/>
      <c r="H856" s="610"/>
      <c r="I856" s="611"/>
      <c r="J856" s="166">
        <f t="shared" si="551"/>
        <v>0</v>
      </c>
      <c r="K856" s="167">
        <f t="shared" si="552"/>
        <v>0</v>
      </c>
      <c r="L856" s="168">
        <f t="shared" si="553"/>
        <v>0</v>
      </c>
      <c r="M856" s="166">
        <f t="shared" si="554"/>
        <v>0</v>
      </c>
      <c r="N856" s="167">
        <f t="shared" si="555"/>
        <v>0</v>
      </c>
      <c r="O856" s="168">
        <f t="shared" si="556"/>
        <v>0</v>
      </c>
      <c r="P856" s="169">
        <f t="shared" si="557"/>
        <v>0</v>
      </c>
      <c r="Q856" s="169">
        <f t="shared" si="558"/>
        <v>0</v>
      </c>
      <c r="R856" s="169">
        <f t="shared" si="559"/>
        <v>0</v>
      </c>
      <c r="S856" s="584">
        <f t="shared" si="530"/>
        <v>0</v>
      </c>
      <c r="T856" s="594">
        <f t="shared" si="531"/>
        <v>0</v>
      </c>
      <c r="U856" s="595">
        <f t="shared" si="532"/>
        <v>0</v>
      </c>
      <c r="V856" s="166">
        <f t="shared" si="533"/>
        <v>0</v>
      </c>
      <c r="W856" s="167">
        <f t="shared" si="534"/>
        <v>0</v>
      </c>
      <c r="X856" s="168">
        <f t="shared" si="535"/>
        <v>0</v>
      </c>
      <c r="Y856" s="166">
        <f t="shared" si="536"/>
        <v>0</v>
      </c>
      <c r="Z856" s="167">
        <f t="shared" si="537"/>
        <v>0</v>
      </c>
      <c r="AA856" s="168">
        <f t="shared" si="538"/>
        <v>0</v>
      </c>
      <c r="AB856" s="166">
        <f t="shared" si="539"/>
        <v>0</v>
      </c>
      <c r="AC856" s="167">
        <f t="shared" si="540"/>
        <v>0</v>
      </c>
      <c r="AD856" s="168">
        <f t="shared" si="541"/>
        <v>0</v>
      </c>
      <c r="AE856" s="166">
        <f t="shared" si="542"/>
        <v>0</v>
      </c>
      <c r="AF856" s="167">
        <f t="shared" si="543"/>
        <v>0</v>
      </c>
      <c r="AG856" s="168">
        <f t="shared" si="544"/>
        <v>0</v>
      </c>
      <c r="AH856" s="166">
        <f t="shared" si="545"/>
        <v>0</v>
      </c>
      <c r="AI856" s="167">
        <f t="shared" si="546"/>
        <v>0</v>
      </c>
      <c r="AJ856" s="168">
        <f t="shared" si="547"/>
        <v>0</v>
      </c>
      <c r="AK856" s="169">
        <f t="shared" si="548"/>
        <v>0</v>
      </c>
      <c r="AL856" s="167">
        <f t="shared" si="549"/>
        <v>0</v>
      </c>
      <c r="AM856" s="585">
        <f t="shared" si="550"/>
        <v>0</v>
      </c>
      <c r="AN856" s="614"/>
      <c r="AO856" s="615"/>
      <c r="AP856" s="615"/>
      <c r="AQ856" s="616"/>
      <c r="AR856" s="612"/>
      <c r="AS856" s="617"/>
      <c r="AT856" s="618"/>
      <c r="AU856" s="618"/>
      <c r="AV856" s="618"/>
      <c r="AW856" s="619"/>
      <c r="AX856" s="614"/>
      <c r="AY856" s="616"/>
      <c r="AZ856" s="616"/>
      <c r="BA856" s="616"/>
      <c r="BB856" s="616"/>
      <c r="BC856" s="616"/>
      <c r="BD856" s="612"/>
      <c r="BE856" s="614"/>
      <c r="BF856" s="616"/>
      <c r="BG856" s="616"/>
      <c r="BH856" s="616"/>
      <c r="BI856" s="616"/>
      <c r="BJ856" s="616"/>
      <c r="BK856" s="1023"/>
      <c r="BL856" s="658"/>
    </row>
    <row r="857" spans="2:64">
      <c r="B857" s="1022"/>
      <c r="C857" s="607"/>
      <c r="D857" s="607"/>
      <c r="E857" s="1021"/>
      <c r="F857" s="1019">
        <v>854</v>
      </c>
      <c r="G857" s="609"/>
      <c r="H857" s="610"/>
      <c r="I857" s="611"/>
      <c r="J857" s="166">
        <f t="shared" si="551"/>
        <v>0</v>
      </c>
      <c r="K857" s="167">
        <f t="shared" si="552"/>
        <v>0</v>
      </c>
      <c r="L857" s="168">
        <f t="shared" si="553"/>
        <v>0</v>
      </c>
      <c r="M857" s="166">
        <f t="shared" si="554"/>
        <v>0</v>
      </c>
      <c r="N857" s="167">
        <f t="shared" si="555"/>
        <v>0</v>
      </c>
      <c r="O857" s="168">
        <f t="shared" si="556"/>
        <v>0</v>
      </c>
      <c r="P857" s="169">
        <f t="shared" si="557"/>
        <v>0</v>
      </c>
      <c r="Q857" s="169">
        <f t="shared" si="558"/>
        <v>0</v>
      </c>
      <c r="R857" s="169">
        <f t="shared" si="559"/>
        <v>0</v>
      </c>
      <c r="S857" s="584">
        <f t="shared" ref="S857:S920" si="560">ROUND(IF($C857="UR",G857*0.25,G857*0.3),0)</f>
        <v>0</v>
      </c>
      <c r="T857" s="594">
        <f t="shared" ref="T857:T920" si="561">ROUND(IF($C857="UR",H857*0.25,H857*0.3),0)</f>
        <v>0</v>
      </c>
      <c r="U857" s="595">
        <f t="shared" ref="U857:U920" si="562">ROUND(IF($C857="UR",I857*0.25,I857*0.3),0)</f>
        <v>0</v>
      </c>
      <c r="V857" s="166">
        <f t="shared" ref="V857:V920" si="563">(IF($C857="UR",IF($E857="party卡",18,12))+IF($C857="SR",10)+IF($C857="R",8))*M857+J857+S857</f>
        <v>0</v>
      </c>
      <c r="W857" s="167">
        <f t="shared" ref="W857:W920" si="564">(IF($C857="UR",IF($E857="party卡",18,12))+IF($C857="SR",10)+IF($C857="R",8))*N857+K857+T857</f>
        <v>0</v>
      </c>
      <c r="X857" s="168">
        <f t="shared" ref="X857:X920" si="565">(IF($C857="UR",IF($E857="party卡",18,12))+IF($C857="SR",10)+IF($C857="R",8))*O857+L857+U857</f>
        <v>0</v>
      </c>
      <c r="Y857" s="166">
        <f t="shared" ref="Y857:Y920" si="566">V857+(IF(C857="UR",IF(E857="party卡",IF(D857="gd",1,2),IF(D857="vo",2)+IF(D857="sp",1)+IF(D857="gd",3)+IF(D857="sk",1)))+IF(C857="SR",2)+IF(C857="R",IF(D857="vo",1)+IF(D857="sp",2)+IF(D857="gd",1)+IF(D857="sk",2)))*P857</f>
        <v>0</v>
      </c>
      <c r="Z857" s="167">
        <f t="shared" ref="Z857:Z920" si="567">W857+(IF(C857="UR",IF(E857="party卡",IF(D857="sp",1,2),IF(D857="vo",1)+IF(D857="sp",3)+IF(D857="gd",2)+IF(D857="sk",2)))+IF(C857="SR",2)+IF(C857="R",IF(D857="vo",2)+IF(D857="sp",1)+IF(D857="gd",1)+IF(D857="sk",1)))*Q857</f>
        <v>0</v>
      </c>
      <c r="AA857" s="168">
        <f t="shared" ref="AA857:AA920" si="568">X857+(IF(C857="UR",IF(E857="party卡",IF(OR(D857="vo",D857="sk"),1,2),IF(D857="vo",3)+IF(D857="sp",2)+IF(D857="gd",1)+IF(D857="sk",3)))+IF(C857="SR",2)+IF(C857="R",IF(D857="vo",1)+IF(D857="sp",1)+IF(D857="gd",2)+IF(D857="sk",1)))*R857</f>
        <v>0</v>
      </c>
      <c r="AB857" s="166">
        <f t="shared" ref="AB857:AB920" si="569">V857+(IF(C857="UR",IF(E857="party卡",IF(OR(D857="sp",D857="sk"),3,2),IF(D857="vo",5)+IF(D857="sp",4)+IF(D857="gd",4)+IF(D857="sk",4)))+IF(C857="SR",4)+IF(C857="R",IF(D857="vo",3)+IF(D857="sp",3)+IF(D857="gd",2)+IF(D857="sk",3)))*P857</f>
        <v>0</v>
      </c>
      <c r="AC857" s="167">
        <f t="shared" ref="AC857:AC920" si="570">W857+(IF(C857="UR",IF(E857="party卡",IF(D857="vo",3,2),IF(D857="vo",4)+IF(D857="sp",4)+IF(D857="gd",5)+IF(D857="sk",5)))+IF(C857="SR",4)+IF(C857="R",IF(D857="vo",3)+IF(D857="sp",2)+IF(D857="gd",3)+IF(D857="sk",3)))*Q857</f>
        <v>0</v>
      </c>
      <c r="AD857" s="168">
        <f t="shared" ref="AD857:AD920" si="571">X857+(IF(C857="UR",IF(E857="party卡",IF(D857="gd",3,2),IF(D857="vo",4)+IF(D857="sp",5)+IF(D857="gd",4)+IF(D857="sk",4)))+IF(C857="SR",4)+IF(C857="R",IF(D857="vo",2)+IF(D857="sp",3)+IF(D857="gd",3)+IF(D857="sk",2)))*R857</f>
        <v>0</v>
      </c>
      <c r="AE857" s="166">
        <f t="shared" ref="AE857:AE920" si="572">V857+(IF(C857="UR",IF(E857="party卡",3,IF(D857="vo",7)+IF(D857="sp",8)+IF(D857="gd",6)+IF(D857="sk",8)))+IF(C857="SR",IF(D857="vo",5)+IF(D857="sp",6)+IF(D857="gd",6)+IF(D857="sk",6))+IF(C857="R",IF(D857="vo",5)+IF(D857="sp",4)+IF(D857="gd",4)+IF(D857="sk",4)))*P857</f>
        <v>0</v>
      </c>
      <c r="AF857" s="167">
        <f t="shared" ref="AF857:AF920" si="573">W857+(IF(C857="UR",IF(E857="party卡",3,IF(D857="vo",8)+IF(D857="sp",6)+IF(D857="gd",7)+IF(D857="sk",7)))+IF(C857="SR",IF(D857="vo",6)+IF(D857="sp",6)+IF(D857="gd",5)+IF(D857="sk",5))+IF(C857="R",IF(D857="vo",4)+IF(D857="sp",4)+IF(D857="gd",5)+IF(D857="sk",5)))*Q857</f>
        <v>0</v>
      </c>
      <c r="AG857" s="168">
        <f t="shared" ref="AG857:AG920" si="574">X857+(IF(C857="UR",IF(E857="party卡",3,IF(D857="vo",6)+IF(D857="sp",7)+IF(D857="gd",8)+IF(D857="sk",6)))+IF(C857="SR",IF(D857="vo",6)+IF(D857="sp",5)+IF(D857="gd",6)+IF(D857="sk",6))+IF(C857="R",IF(D857="vo",4)+IF(D857="sp",5)+IF(D857="gd",4)+IF(D857="sk",4)))*R857</f>
        <v>0</v>
      </c>
      <c r="AH857" s="166">
        <f t="shared" ref="AH857:AH920" si="575">V857+(IF(C857="UR",IF(E857="party卡",4,IF(D857="vo",9)+IF(D857="sp",10)+IF(D857="gd",10)+IF(D857="sk",10)))+IF(C857="SR",IF(D857="vo",7)+IF(D857="sp",7)+IF(D857="gd",9)+IF(D857="sk",7))+IF(C857="R",IF(D857="vo",7)+IF(D857="sp",6)+IF(D857="gd",6)+IF(D857="sk",6)))*P857</f>
        <v>0</v>
      </c>
      <c r="AI857" s="167">
        <f t="shared" ref="AI857:AI920" si="576">W857+(IF(C857="UR",IF(E857="party卡",4,IF(D857="vo",10)+IF(D857="sp",10)+IF(D857="gd",9)+IF(D857="sk",9)))+IF(C857="SR",IF(D857="vo",7)+IF(D857="sp",9)+IF(D857="gd",7)+IF(D857="sk",7))+IF(C857="R",IF(D857="vo",6)+IF(D857="sp",6)+IF(D857="gd",7)+IF(D857="sk",7)))*Q857</f>
        <v>0</v>
      </c>
      <c r="AJ857" s="168">
        <f t="shared" ref="AJ857:AJ920" si="577">X857+(IF(C857="UR",IF(E857="party卡",4,IF(D857="vo",10)+IF(D857="sp",9)+IF(D857="gd",10)+IF(D857="sk",10)))+IF(C857="SR",IF(D857="vo",9)+IF(D857="sp",7)+IF(D857="gd",7)+IF(D857="sk",9))+IF(C857="R",IF(D857="vo",6)+IF(D857="sp",7)+IF(D857="gd",6)+IF(D857="sk",6)))*R857</f>
        <v>0</v>
      </c>
      <c r="AK857" s="169">
        <f t="shared" ref="AK857:AK920" si="578">G857+J857</f>
        <v>0</v>
      </c>
      <c r="AL857" s="167">
        <f t="shared" ref="AL857:AL920" si="579">H857+K857</f>
        <v>0</v>
      </c>
      <c r="AM857" s="585">
        <f t="shared" ref="AM857:AM920" si="580">I857+L857</f>
        <v>0</v>
      </c>
      <c r="AN857" s="614"/>
      <c r="AO857" s="615"/>
      <c r="AP857" s="615"/>
      <c r="AQ857" s="616"/>
      <c r="AR857" s="612"/>
      <c r="AS857" s="617"/>
      <c r="AT857" s="618"/>
      <c r="AU857" s="618"/>
      <c r="AV857" s="618"/>
      <c r="AW857" s="619"/>
      <c r="AX857" s="614"/>
      <c r="AY857" s="616"/>
      <c r="AZ857" s="616"/>
      <c r="BA857" s="616"/>
      <c r="BB857" s="616"/>
      <c r="BC857" s="616"/>
      <c r="BD857" s="612"/>
      <c r="BE857" s="614"/>
      <c r="BF857" s="616"/>
      <c r="BG857" s="616"/>
      <c r="BH857" s="616"/>
      <c r="BI857" s="616"/>
      <c r="BJ857" s="616"/>
      <c r="BK857" s="1023"/>
      <c r="BL857" s="658"/>
    </row>
    <row r="858" spans="2:64">
      <c r="B858" s="1022"/>
      <c r="C858" s="607"/>
      <c r="D858" s="607"/>
      <c r="E858" s="1021"/>
      <c r="F858" s="608">
        <v>855</v>
      </c>
      <c r="G858" s="609"/>
      <c r="H858" s="610"/>
      <c r="I858" s="611"/>
      <c r="J858" s="166">
        <f t="shared" si="551"/>
        <v>0</v>
      </c>
      <c r="K858" s="167">
        <f t="shared" si="552"/>
        <v>0</v>
      </c>
      <c r="L858" s="168">
        <f t="shared" si="553"/>
        <v>0</v>
      </c>
      <c r="M858" s="166">
        <f t="shared" si="554"/>
        <v>0</v>
      </c>
      <c r="N858" s="167">
        <f t="shared" si="555"/>
        <v>0</v>
      </c>
      <c r="O858" s="168">
        <f t="shared" si="556"/>
        <v>0</v>
      </c>
      <c r="P858" s="169">
        <f t="shared" si="557"/>
        <v>0</v>
      </c>
      <c r="Q858" s="169">
        <f t="shared" si="558"/>
        <v>0</v>
      </c>
      <c r="R858" s="169">
        <f t="shared" si="559"/>
        <v>0</v>
      </c>
      <c r="S858" s="584">
        <f t="shared" si="560"/>
        <v>0</v>
      </c>
      <c r="T858" s="594">
        <f t="shared" si="561"/>
        <v>0</v>
      </c>
      <c r="U858" s="595">
        <f t="shared" si="562"/>
        <v>0</v>
      </c>
      <c r="V858" s="166">
        <f t="shared" si="563"/>
        <v>0</v>
      </c>
      <c r="W858" s="167">
        <f t="shared" si="564"/>
        <v>0</v>
      </c>
      <c r="X858" s="168">
        <f t="shared" si="565"/>
        <v>0</v>
      </c>
      <c r="Y858" s="166">
        <f t="shared" si="566"/>
        <v>0</v>
      </c>
      <c r="Z858" s="167">
        <f t="shared" si="567"/>
        <v>0</v>
      </c>
      <c r="AA858" s="168">
        <f t="shared" si="568"/>
        <v>0</v>
      </c>
      <c r="AB858" s="166">
        <f t="shared" si="569"/>
        <v>0</v>
      </c>
      <c r="AC858" s="167">
        <f t="shared" si="570"/>
        <v>0</v>
      </c>
      <c r="AD858" s="168">
        <f t="shared" si="571"/>
        <v>0</v>
      </c>
      <c r="AE858" s="166">
        <f t="shared" si="572"/>
        <v>0</v>
      </c>
      <c r="AF858" s="167">
        <f t="shared" si="573"/>
        <v>0</v>
      </c>
      <c r="AG858" s="168">
        <f t="shared" si="574"/>
        <v>0</v>
      </c>
      <c r="AH858" s="166">
        <f t="shared" si="575"/>
        <v>0</v>
      </c>
      <c r="AI858" s="167">
        <f t="shared" si="576"/>
        <v>0</v>
      </c>
      <c r="AJ858" s="168">
        <f t="shared" si="577"/>
        <v>0</v>
      </c>
      <c r="AK858" s="169">
        <f t="shared" si="578"/>
        <v>0</v>
      </c>
      <c r="AL858" s="167">
        <f t="shared" si="579"/>
        <v>0</v>
      </c>
      <c r="AM858" s="585">
        <f t="shared" si="580"/>
        <v>0</v>
      </c>
      <c r="AN858" s="614"/>
      <c r="AO858" s="615"/>
      <c r="AP858" s="615"/>
      <c r="AQ858" s="616"/>
      <c r="AR858" s="612"/>
      <c r="AS858" s="617"/>
      <c r="AT858" s="618"/>
      <c r="AU858" s="618"/>
      <c r="AV858" s="618"/>
      <c r="AW858" s="619"/>
      <c r="AX858" s="614"/>
      <c r="AY858" s="616"/>
      <c r="AZ858" s="616"/>
      <c r="BA858" s="616"/>
      <c r="BB858" s="616"/>
      <c r="BC858" s="616"/>
      <c r="BD858" s="612"/>
      <c r="BE858" s="614"/>
      <c r="BF858" s="616"/>
      <c r="BG858" s="616"/>
      <c r="BH858" s="616"/>
      <c r="BI858" s="616"/>
      <c r="BJ858" s="616"/>
      <c r="BK858" s="1023"/>
      <c r="BL858" s="658"/>
    </row>
    <row r="859" spans="2:64">
      <c r="B859" s="1022"/>
      <c r="C859" s="607"/>
      <c r="D859" s="607"/>
      <c r="E859" s="1021"/>
      <c r="F859" s="1019">
        <v>856</v>
      </c>
      <c r="G859" s="609"/>
      <c r="H859" s="610"/>
      <c r="I859" s="611"/>
      <c r="J859" s="166">
        <f t="shared" si="551"/>
        <v>0</v>
      </c>
      <c r="K859" s="167">
        <f t="shared" si="552"/>
        <v>0</v>
      </c>
      <c r="L859" s="168">
        <f t="shared" si="553"/>
        <v>0</v>
      </c>
      <c r="M859" s="166">
        <f t="shared" si="554"/>
        <v>0</v>
      </c>
      <c r="N859" s="167">
        <f t="shared" si="555"/>
        <v>0</v>
      </c>
      <c r="O859" s="168">
        <f t="shared" si="556"/>
        <v>0</v>
      </c>
      <c r="P859" s="169">
        <f t="shared" si="557"/>
        <v>0</v>
      </c>
      <c r="Q859" s="169">
        <f t="shared" si="558"/>
        <v>0</v>
      </c>
      <c r="R859" s="169">
        <f t="shared" si="559"/>
        <v>0</v>
      </c>
      <c r="S859" s="584">
        <f t="shared" si="560"/>
        <v>0</v>
      </c>
      <c r="T859" s="594">
        <f t="shared" si="561"/>
        <v>0</v>
      </c>
      <c r="U859" s="595">
        <f t="shared" si="562"/>
        <v>0</v>
      </c>
      <c r="V859" s="166">
        <f t="shared" si="563"/>
        <v>0</v>
      </c>
      <c r="W859" s="167">
        <f t="shared" si="564"/>
        <v>0</v>
      </c>
      <c r="X859" s="168">
        <f t="shared" si="565"/>
        <v>0</v>
      </c>
      <c r="Y859" s="166">
        <f t="shared" si="566"/>
        <v>0</v>
      </c>
      <c r="Z859" s="167">
        <f t="shared" si="567"/>
        <v>0</v>
      </c>
      <c r="AA859" s="168">
        <f t="shared" si="568"/>
        <v>0</v>
      </c>
      <c r="AB859" s="166">
        <f t="shared" si="569"/>
        <v>0</v>
      </c>
      <c r="AC859" s="167">
        <f t="shared" si="570"/>
        <v>0</v>
      </c>
      <c r="AD859" s="168">
        <f t="shared" si="571"/>
        <v>0</v>
      </c>
      <c r="AE859" s="166">
        <f t="shared" si="572"/>
        <v>0</v>
      </c>
      <c r="AF859" s="167">
        <f t="shared" si="573"/>
        <v>0</v>
      </c>
      <c r="AG859" s="168">
        <f t="shared" si="574"/>
        <v>0</v>
      </c>
      <c r="AH859" s="166">
        <f t="shared" si="575"/>
        <v>0</v>
      </c>
      <c r="AI859" s="167">
        <f t="shared" si="576"/>
        <v>0</v>
      </c>
      <c r="AJ859" s="168">
        <f t="shared" si="577"/>
        <v>0</v>
      </c>
      <c r="AK859" s="169">
        <f t="shared" si="578"/>
        <v>0</v>
      </c>
      <c r="AL859" s="167">
        <f t="shared" si="579"/>
        <v>0</v>
      </c>
      <c r="AM859" s="585">
        <f t="shared" si="580"/>
        <v>0</v>
      </c>
      <c r="AN859" s="614"/>
      <c r="AO859" s="615"/>
      <c r="AP859" s="615"/>
      <c r="AQ859" s="616"/>
      <c r="AR859" s="612"/>
      <c r="AS859" s="617"/>
      <c r="AT859" s="618"/>
      <c r="AU859" s="618"/>
      <c r="AV859" s="618"/>
      <c r="AW859" s="619"/>
      <c r="AX859" s="614"/>
      <c r="AY859" s="616"/>
      <c r="AZ859" s="616"/>
      <c r="BA859" s="616"/>
      <c r="BB859" s="616"/>
      <c r="BC859" s="616"/>
      <c r="BD859" s="612"/>
      <c r="BE859" s="614"/>
      <c r="BF859" s="616"/>
      <c r="BG859" s="616"/>
      <c r="BH859" s="616"/>
      <c r="BI859" s="616"/>
      <c r="BJ859" s="616"/>
      <c r="BK859" s="1023"/>
      <c r="BL859" s="658"/>
    </row>
    <row r="860" spans="2:64">
      <c r="B860" s="1022"/>
      <c r="C860" s="607"/>
      <c r="D860" s="607"/>
      <c r="E860" s="1021"/>
      <c r="F860" s="608">
        <v>857</v>
      </c>
      <c r="G860" s="609"/>
      <c r="H860" s="610"/>
      <c r="I860" s="611"/>
      <c r="J860" s="166">
        <f t="shared" si="551"/>
        <v>0</v>
      </c>
      <c r="K860" s="167">
        <f t="shared" si="552"/>
        <v>0</v>
      </c>
      <c r="L860" s="168">
        <f t="shared" si="553"/>
        <v>0</v>
      </c>
      <c r="M860" s="166">
        <f t="shared" si="554"/>
        <v>0</v>
      </c>
      <c r="N860" s="167">
        <f t="shared" si="555"/>
        <v>0</v>
      </c>
      <c r="O860" s="168">
        <f t="shared" si="556"/>
        <v>0</v>
      </c>
      <c r="P860" s="169">
        <f t="shared" si="557"/>
        <v>0</v>
      </c>
      <c r="Q860" s="169">
        <f t="shared" si="558"/>
        <v>0</v>
      </c>
      <c r="R860" s="169">
        <f t="shared" si="559"/>
        <v>0</v>
      </c>
      <c r="S860" s="584">
        <f t="shared" si="560"/>
        <v>0</v>
      </c>
      <c r="T860" s="594">
        <f t="shared" si="561"/>
        <v>0</v>
      </c>
      <c r="U860" s="595">
        <f t="shared" si="562"/>
        <v>0</v>
      </c>
      <c r="V860" s="166">
        <f t="shared" si="563"/>
        <v>0</v>
      </c>
      <c r="W860" s="167">
        <f t="shared" si="564"/>
        <v>0</v>
      </c>
      <c r="X860" s="168">
        <f t="shared" si="565"/>
        <v>0</v>
      </c>
      <c r="Y860" s="166">
        <f t="shared" si="566"/>
        <v>0</v>
      </c>
      <c r="Z860" s="167">
        <f t="shared" si="567"/>
        <v>0</v>
      </c>
      <c r="AA860" s="168">
        <f t="shared" si="568"/>
        <v>0</v>
      </c>
      <c r="AB860" s="166">
        <f t="shared" si="569"/>
        <v>0</v>
      </c>
      <c r="AC860" s="167">
        <f t="shared" si="570"/>
        <v>0</v>
      </c>
      <c r="AD860" s="168">
        <f t="shared" si="571"/>
        <v>0</v>
      </c>
      <c r="AE860" s="166">
        <f t="shared" si="572"/>
        <v>0</v>
      </c>
      <c r="AF860" s="167">
        <f t="shared" si="573"/>
        <v>0</v>
      </c>
      <c r="AG860" s="168">
        <f t="shared" si="574"/>
        <v>0</v>
      </c>
      <c r="AH860" s="166">
        <f t="shared" si="575"/>
        <v>0</v>
      </c>
      <c r="AI860" s="167">
        <f t="shared" si="576"/>
        <v>0</v>
      </c>
      <c r="AJ860" s="168">
        <f t="shared" si="577"/>
        <v>0</v>
      </c>
      <c r="AK860" s="169">
        <f t="shared" si="578"/>
        <v>0</v>
      </c>
      <c r="AL860" s="167">
        <f t="shared" si="579"/>
        <v>0</v>
      </c>
      <c r="AM860" s="585">
        <f t="shared" si="580"/>
        <v>0</v>
      </c>
      <c r="AN860" s="614"/>
      <c r="AO860" s="615"/>
      <c r="AP860" s="615"/>
      <c r="AQ860" s="616"/>
      <c r="AR860" s="612"/>
      <c r="AS860" s="617"/>
      <c r="AT860" s="618"/>
      <c r="AU860" s="618"/>
      <c r="AV860" s="618"/>
      <c r="AW860" s="619"/>
      <c r="AX860" s="614"/>
      <c r="AY860" s="616"/>
      <c r="AZ860" s="616"/>
      <c r="BA860" s="616"/>
      <c r="BB860" s="616"/>
      <c r="BC860" s="616"/>
      <c r="BD860" s="612"/>
      <c r="BE860" s="614"/>
      <c r="BF860" s="616"/>
      <c r="BG860" s="616"/>
      <c r="BH860" s="616"/>
      <c r="BI860" s="616"/>
      <c r="BJ860" s="616"/>
      <c r="BK860" s="1023"/>
      <c r="BL860" s="658"/>
    </row>
    <row r="861" spans="2:64">
      <c r="B861" s="1022"/>
      <c r="C861" s="607"/>
      <c r="D861" s="607"/>
      <c r="E861" s="1021"/>
      <c r="F861" s="1019">
        <v>858</v>
      </c>
      <c r="G861" s="609"/>
      <c r="H861" s="610"/>
      <c r="I861" s="611"/>
      <c r="J861" s="166">
        <f t="shared" si="551"/>
        <v>0</v>
      </c>
      <c r="K861" s="167">
        <f t="shared" si="552"/>
        <v>0</v>
      </c>
      <c r="L861" s="168">
        <f t="shared" si="553"/>
        <v>0</v>
      </c>
      <c r="M861" s="166">
        <f t="shared" si="554"/>
        <v>0</v>
      </c>
      <c r="N861" s="167">
        <f t="shared" si="555"/>
        <v>0</v>
      </c>
      <c r="O861" s="168">
        <f t="shared" si="556"/>
        <v>0</v>
      </c>
      <c r="P861" s="169">
        <f t="shared" si="557"/>
        <v>0</v>
      </c>
      <c r="Q861" s="169">
        <f t="shared" si="558"/>
        <v>0</v>
      </c>
      <c r="R861" s="169">
        <f t="shared" si="559"/>
        <v>0</v>
      </c>
      <c r="S861" s="584">
        <f t="shared" si="560"/>
        <v>0</v>
      </c>
      <c r="T861" s="594">
        <f t="shared" si="561"/>
        <v>0</v>
      </c>
      <c r="U861" s="595">
        <f t="shared" si="562"/>
        <v>0</v>
      </c>
      <c r="V861" s="166">
        <f t="shared" si="563"/>
        <v>0</v>
      </c>
      <c r="W861" s="167">
        <f t="shared" si="564"/>
        <v>0</v>
      </c>
      <c r="X861" s="168">
        <f t="shared" si="565"/>
        <v>0</v>
      </c>
      <c r="Y861" s="166">
        <f t="shared" si="566"/>
        <v>0</v>
      </c>
      <c r="Z861" s="167">
        <f t="shared" si="567"/>
        <v>0</v>
      </c>
      <c r="AA861" s="168">
        <f t="shared" si="568"/>
        <v>0</v>
      </c>
      <c r="AB861" s="166">
        <f t="shared" si="569"/>
        <v>0</v>
      </c>
      <c r="AC861" s="167">
        <f t="shared" si="570"/>
        <v>0</v>
      </c>
      <c r="AD861" s="168">
        <f t="shared" si="571"/>
        <v>0</v>
      </c>
      <c r="AE861" s="166">
        <f t="shared" si="572"/>
        <v>0</v>
      </c>
      <c r="AF861" s="167">
        <f t="shared" si="573"/>
        <v>0</v>
      </c>
      <c r="AG861" s="168">
        <f t="shared" si="574"/>
        <v>0</v>
      </c>
      <c r="AH861" s="166">
        <f t="shared" si="575"/>
        <v>0</v>
      </c>
      <c r="AI861" s="167">
        <f t="shared" si="576"/>
        <v>0</v>
      </c>
      <c r="AJ861" s="168">
        <f t="shared" si="577"/>
        <v>0</v>
      </c>
      <c r="AK861" s="169">
        <f t="shared" si="578"/>
        <v>0</v>
      </c>
      <c r="AL861" s="167">
        <f t="shared" si="579"/>
        <v>0</v>
      </c>
      <c r="AM861" s="585">
        <f t="shared" si="580"/>
        <v>0</v>
      </c>
      <c r="AN861" s="614"/>
      <c r="AO861" s="615"/>
      <c r="AP861" s="615"/>
      <c r="AQ861" s="616"/>
      <c r="AR861" s="612"/>
      <c r="AS861" s="617"/>
      <c r="AT861" s="618"/>
      <c r="AU861" s="618"/>
      <c r="AV861" s="618"/>
      <c r="AW861" s="619"/>
      <c r="AX861" s="614"/>
      <c r="AY861" s="616"/>
      <c r="AZ861" s="616"/>
      <c r="BA861" s="616"/>
      <c r="BB861" s="616"/>
      <c r="BC861" s="616"/>
      <c r="BD861" s="612"/>
      <c r="BE861" s="614"/>
      <c r="BF861" s="616"/>
      <c r="BG861" s="616"/>
      <c r="BH861" s="616"/>
      <c r="BI861" s="616"/>
      <c r="BJ861" s="616"/>
      <c r="BK861" s="1023"/>
      <c r="BL861" s="658"/>
    </row>
    <row r="862" spans="2:64">
      <c r="B862" s="1022"/>
      <c r="C862" s="607"/>
      <c r="D862" s="607"/>
      <c r="E862" s="1021"/>
      <c r="F862" s="608">
        <v>859</v>
      </c>
      <c r="G862" s="609"/>
      <c r="H862" s="610"/>
      <c r="I862" s="611"/>
      <c r="J862" s="166">
        <f t="shared" si="551"/>
        <v>0</v>
      </c>
      <c r="K862" s="167">
        <f t="shared" si="552"/>
        <v>0</v>
      </c>
      <c r="L862" s="168">
        <f t="shared" si="553"/>
        <v>0</v>
      </c>
      <c r="M862" s="166">
        <f t="shared" si="554"/>
        <v>0</v>
      </c>
      <c r="N862" s="167">
        <f t="shared" si="555"/>
        <v>0</v>
      </c>
      <c r="O862" s="168">
        <f t="shared" si="556"/>
        <v>0</v>
      </c>
      <c r="P862" s="169">
        <f t="shared" si="557"/>
        <v>0</v>
      </c>
      <c r="Q862" s="169">
        <f t="shared" si="558"/>
        <v>0</v>
      </c>
      <c r="R862" s="169">
        <f t="shared" si="559"/>
        <v>0</v>
      </c>
      <c r="S862" s="584">
        <f t="shared" si="560"/>
        <v>0</v>
      </c>
      <c r="T862" s="594">
        <f t="shared" si="561"/>
        <v>0</v>
      </c>
      <c r="U862" s="595">
        <f t="shared" si="562"/>
        <v>0</v>
      </c>
      <c r="V862" s="166">
        <f t="shared" si="563"/>
        <v>0</v>
      </c>
      <c r="W862" s="167">
        <f t="shared" si="564"/>
        <v>0</v>
      </c>
      <c r="X862" s="168">
        <f t="shared" si="565"/>
        <v>0</v>
      </c>
      <c r="Y862" s="166">
        <f t="shared" si="566"/>
        <v>0</v>
      </c>
      <c r="Z862" s="167">
        <f t="shared" si="567"/>
        <v>0</v>
      </c>
      <c r="AA862" s="168">
        <f t="shared" si="568"/>
        <v>0</v>
      </c>
      <c r="AB862" s="166">
        <f t="shared" si="569"/>
        <v>0</v>
      </c>
      <c r="AC862" s="167">
        <f t="shared" si="570"/>
        <v>0</v>
      </c>
      <c r="AD862" s="168">
        <f t="shared" si="571"/>
        <v>0</v>
      </c>
      <c r="AE862" s="166">
        <f t="shared" si="572"/>
        <v>0</v>
      </c>
      <c r="AF862" s="167">
        <f t="shared" si="573"/>
        <v>0</v>
      </c>
      <c r="AG862" s="168">
        <f t="shared" si="574"/>
        <v>0</v>
      </c>
      <c r="AH862" s="166">
        <f t="shared" si="575"/>
        <v>0</v>
      </c>
      <c r="AI862" s="167">
        <f t="shared" si="576"/>
        <v>0</v>
      </c>
      <c r="AJ862" s="168">
        <f t="shared" si="577"/>
        <v>0</v>
      </c>
      <c r="AK862" s="169">
        <f t="shared" si="578"/>
        <v>0</v>
      </c>
      <c r="AL862" s="167">
        <f t="shared" si="579"/>
        <v>0</v>
      </c>
      <c r="AM862" s="585">
        <f t="shared" si="580"/>
        <v>0</v>
      </c>
      <c r="AN862" s="614"/>
      <c r="AO862" s="615"/>
      <c r="AP862" s="615"/>
      <c r="AQ862" s="616"/>
      <c r="AR862" s="612"/>
      <c r="AS862" s="617"/>
      <c r="AT862" s="618"/>
      <c r="AU862" s="618"/>
      <c r="AV862" s="618"/>
      <c r="AW862" s="619"/>
      <c r="AX862" s="614"/>
      <c r="AY862" s="616"/>
      <c r="AZ862" s="616"/>
      <c r="BA862" s="616"/>
      <c r="BB862" s="616"/>
      <c r="BC862" s="616"/>
      <c r="BD862" s="612"/>
      <c r="BE862" s="614"/>
      <c r="BF862" s="616"/>
      <c r="BG862" s="616"/>
      <c r="BH862" s="616"/>
      <c r="BI862" s="616"/>
      <c r="BJ862" s="616"/>
      <c r="BK862" s="1023"/>
      <c r="BL862" s="658"/>
    </row>
    <row r="863" spans="2:64">
      <c r="B863" s="1022"/>
      <c r="C863" s="607"/>
      <c r="D863" s="607"/>
      <c r="E863" s="1021"/>
      <c r="F863" s="1019">
        <v>860</v>
      </c>
      <c r="G863" s="609"/>
      <c r="H863" s="610"/>
      <c r="I863" s="611"/>
      <c r="J863" s="166">
        <f t="shared" si="551"/>
        <v>0</v>
      </c>
      <c r="K863" s="167">
        <f t="shared" si="552"/>
        <v>0</v>
      </c>
      <c r="L863" s="168">
        <f t="shared" si="553"/>
        <v>0</v>
      </c>
      <c r="M863" s="166">
        <f t="shared" si="554"/>
        <v>0</v>
      </c>
      <c r="N863" s="167">
        <f t="shared" si="555"/>
        <v>0</v>
      </c>
      <c r="O863" s="168">
        <f t="shared" si="556"/>
        <v>0</v>
      </c>
      <c r="P863" s="169">
        <f t="shared" si="557"/>
        <v>0</v>
      </c>
      <c r="Q863" s="169">
        <f t="shared" si="558"/>
        <v>0</v>
      </c>
      <c r="R863" s="169">
        <f t="shared" si="559"/>
        <v>0</v>
      </c>
      <c r="S863" s="584">
        <f t="shared" si="560"/>
        <v>0</v>
      </c>
      <c r="T863" s="594">
        <f t="shared" si="561"/>
        <v>0</v>
      </c>
      <c r="U863" s="595">
        <f t="shared" si="562"/>
        <v>0</v>
      </c>
      <c r="V863" s="166">
        <f t="shared" si="563"/>
        <v>0</v>
      </c>
      <c r="W863" s="167">
        <f t="shared" si="564"/>
        <v>0</v>
      </c>
      <c r="X863" s="168">
        <f t="shared" si="565"/>
        <v>0</v>
      </c>
      <c r="Y863" s="166">
        <f t="shared" si="566"/>
        <v>0</v>
      </c>
      <c r="Z863" s="167">
        <f t="shared" si="567"/>
        <v>0</v>
      </c>
      <c r="AA863" s="168">
        <f t="shared" si="568"/>
        <v>0</v>
      </c>
      <c r="AB863" s="166">
        <f t="shared" si="569"/>
        <v>0</v>
      </c>
      <c r="AC863" s="167">
        <f t="shared" si="570"/>
        <v>0</v>
      </c>
      <c r="AD863" s="168">
        <f t="shared" si="571"/>
        <v>0</v>
      </c>
      <c r="AE863" s="166">
        <f t="shared" si="572"/>
        <v>0</v>
      </c>
      <c r="AF863" s="167">
        <f t="shared" si="573"/>
        <v>0</v>
      </c>
      <c r="AG863" s="168">
        <f t="shared" si="574"/>
        <v>0</v>
      </c>
      <c r="AH863" s="166">
        <f t="shared" si="575"/>
        <v>0</v>
      </c>
      <c r="AI863" s="167">
        <f t="shared" si="576"/>
        <v>0</v>
      </c>
      <c r="AJ863" s="168">
        <f t="shared" si="577"/>
        <v>0</v>
      </c>
      <c r="AK863" s="169">
        <f t="shared" si="578"/>
        <v>0</v>
      </c>
      <c r="AL863" s="167">
        <f t="shared" si="579"/>
        <v>0</v>
      </c>
      <c r="AM863" s="585">
        <f t="shared" si="580"/>
        <v>0</v>
      </c>
      <c r="AN863" s="614"/>
      <c r="AO863" s="615"/>
      <c r="AP863" s="615"/>
      <c r="AQ863" s="616"/>
      <c r="AR863" s="612"/>
      <c r="AS863" s="617"/>
      <c r="AT863" s="618"/>
      <c r="AU863" s="618"/>
      <c r="AV863" s="618"/>
      <c r="AW863" s="619"/>
      <c r="AX863" s="614"/>
      <c r="AY863" s="616"/>
      <c r="AZ863" s="616"/>
      <c r="BA863" s="616"/>
      <c r="BB863" s="616"/>
      <c r="BC863" s="616"/>
      <c r="BD863" s="612"/>
      <c r="BE863" s="614"/>
      <c r="BF863" s="616"/>
      <c r="BG863" s="616"/>
      <c r="BH863" s="616"/>
      <c r="BI863" s="616"/>
      <c r="BJ863" s="616"/>
      <c r="BK863" s="1023"/>
      <c r="BL863" s="658"/>
    </row>
    <row r="864" spans="2:64">
      <c r="B864" s="1022"/>
      <c r="C864" s="607"/>
      <c r="D864" s="607"/>
      <c r="E864" s="1021"/>
      <c r="F864" s="608">
        <v>861</v>
      </c>
      <c r="G864" s="609"/>
      <c r="H864" s="610"/>
      <c r="I864" s="611"/>
      <c r="J864" s="166">
        <f t="shared" si="551"/>
        <v>0</v>
      </c>
      <c r="K864" s="167">
        <f t="shared" si="552"/>
        <v>0</v>
      </c>
      <c r="L864" s="168">
        <f t="shared" si="553"/>
        <v>0</v>
      </c>
      <c r="M864" s="166">
        <f t="shared" si="554"/>
        <v>0</v>
      </c>
      <c r="N864" s="167">
        <f t="shared" si="555"/>
        <v>0</v>
      </c>
      <c r="O864" s="168">
        <f t="shared" si="556"/>
        <v>0</v>
      </c>
      <c r="P864" s="169">
        <f t="shared" si="557"/>
        <v>0</v>
      </c>
      <c r="Q864" s="169">
        <f t="shared" si="558"/>
        <v>0</v>
      </c>
      <c r="R864" s="169">
        <f t="shared" si="559"/>
        <v>0</v>
      </c>
      <c r="S864" s="584">
        <f t="shared" si="560"/>
        <v>0</v>
      </c>
      <c r="T864" s="594">
        <f t="shared" si="561"/>
        <v>0</v>
      </c>
      <c r="U864" s="595">
        <f t="shared" si="562"/>
        <v>0</v>
      </c>
      <c r="V864" s="166">
        <f t="shared" si="563"/>
        <v>0</v>
      </c>
      <c r="W864" s="167">
        <f t="shared" si="564"/>
        <v>0</v>
      </c>
      <c r="X864" s="168">
        <f t="shared" si="565"/>
        <v>0</v>
      </c>
      <c r="Y864" s="166">
        <f t="shared" si="566"/>
        <v>0</v>
      </c>
      <c r="Z864" s="167">
        <f t="shared" si="567"/>
        <v>0</v>
      </c>
      <c r="AA864" s="168">
        <f t="shared" si="568"/>
        <v>0</v>
      </c>
      <c r="AB864" s="166">
        <f t="shared" si="569"/>
        <v>0</v>
      </c>
      <c r="AC864" s="167">
        <f t="shared" si="570"/>
        <v>0</v>
      </c>
      <c r="AD864" s="168">
        <f t="shared" si="571"/>
        <v>0</v>
      </c>
      <c r="AE864" s="166">
        <f t="shared" si="572"/>
        <v>0</v>
      </c>
      <c r="AF864" s="167">
        <f t="shared" si="573"/>
        <v>0</v>
      </c>
      <c r="AG864" s="168">
        <f t="shared" si="574"/>
        <v>0</v>
      </c>
      <c r="AH864" s="166">
        <f t="shared" si="575"/>
        <v>0</v>
      </c>
      <c r="AI864" s="167">
        <f t="shared" si="576"/>
        <v>0</v>
      </c>
      <c r="AJ864" s="168">
        <f t="shared" si="577"/>
        <v>0</v>
      </c>
      <c r="AK864" s="169">
        <f t="shared" si="578"/>
        <v>0</v>
      </c>
      <c r="AL864" s="167">
        <f t="shared" si="579"/>
        <v>0</v>
      </c>
      <c r="AM864" s="585">
        <f t="shared" si="580"/>
        <v>0</v>
      </c>
      <c r="AN864" s="614"/>
      <c r="AO864" s="615"/>
      <c r="AP864" s="615"/>
      <c r="AQ864" s="616"/>
      <c r="AR864" s="612"/>
      <c r="AS864" s="617"/>
      <c r="AT864" s="618"/>
      <c r="AU864" s="618"/>
      <c r="AV864" s="618"/>
      <c r="AW864" s="619"/>
      <c r="AX864" s="614"/>
      <c r="AY864" s="616"/>
      <c r="AZ864" s="616"/>
      <c r="BA864" s="616"/>
      <c r="BB864" s="616"/>
      <c r="BC864" s="616"/>
      <c r="BD864" s="612"/>
      <c r="BE864" s="614"/>
      <c r="BF864" s="616"/>
      <c r="BG864" s="616"/>
      <c r="BH864" s="616"/>
      <c r="BI864" s="616"/>
      <c r="BJ864" s="616"/>
      <c r="BK864" s="1023"/>
      <c r="BL864" s="658"/>
    </row>
    <row r="865" spans="2:64">
      <c r="B865" s="1022"/>
      <c r="C865" s="607"/>
      <c r="D865" s="607"/>
      <c r="E865" s="1021"/>
      <c r="F865" s="1019">
        <v>862</v>
      </c>
      <c r="G865" s="609"/>
      <c r="H865" s="610"/>
      <c r="I865" s="611"/>
      <c r="J865" s="166">
        <f t="shared" si="551"/>
        <v>0</v>
      </c>
      <c r="K865" s="167">
        <f t="shared" si="552"/>
        <v>0</v>
      </c>
      <c r="L865" s="168">
        <f t="shared" si="553"/>
        <v>0</v>
      </c>
      <c r="M865" s="166">
        <f t="shared" si="554"/>
        <v>0</v>
      </c>
      <c r="N865" s="167">
        <f t="shared" si="555"/>
        <v>0</v>
      </c>
      <c r="O865" s="168">
        <f t="shared" si="556"/>
        <v>0</v>
      </c>
      <c r="P865" s="169">
        <f t="shared" si="557"/>
        <v>0</v>
      </c>
      <c r="Q865" s="169">
        <f t="shared" si="558"/>
        <v>0</v>
      </c>
      <c r="R865" s="169">
        <f t="shared" si="559"/>
        <v>0</v>
      </c>
      <c r="S865" s="584">
        <f t="shared" si="560"/>
        <v>0</v>
      </c>
      <c r="T865" s="594">
        <f t="shared" si="561"/>
        <v>0</v>
      </c>
      <c r="U865" s="595">
        <f t="shared" si="562"/>
        <v>0</v>
      </c>
      <c r="V865" s="166">
        <f t="shared" si="563"/>
        <v>0</v>
      </c>
      <c r="W865" s="167">
        <f t="shared" si="564"/>
        <v>0</v>
      </c>
      <c r="X865" s="168">
        <f t="shared" si="565"/>
        <v>0</v>
      </c>
      <c r="Y865" s="166">
        <f t="shared" si="566"/>
        <v>0</v>
      </c>
      <c r="Z865" s="167">
        <f t="shared" si="567"/>
        <v>0</v>
      </c>
      <c r="AA865" s="168">
        <f t="shared" si="568"/>
        <v>0</v>
      </c>
      <c r="AB865" s="166">
        <f t="shared" si="569"/>
        <v>0</v>
      </c>
      <c r="AC865" s="167">
        <f t="shared" si="570"/>
        <v>0</v>
      </c>
      <c r="AD865" s="168">
        <f t="shared" si="571"/>
        <v>0</v>
      </c>
      <c r="AE865" s="166">
        <f t="shared" si="572"/>
        <v>0</v>
      </c>
      <c r="AF865" s="167">
        <f t="shared" si="573"/>
        <v>0</v>
      </c>
      <c r="AG865" s="168">
        <f t="shared" si="574"/>
        <v>0</v>
      </c>
      <c r="AH865" s="166">
        <f t="shared" si="575"/>
        <v>0</v>
      </c>
      <c r="AI865" s="167">
        <f t="shared" si="576"/>
        <v>0</v>
      </c>
      <c r="AJ865" s="168">
        <f t="shared" si="577"/>
        <v>0</v>
      </c>
      <c r="AK865" s="169">
        <f t="shared" si="578"/>
        <v>0</v>
      </c>
      <c r="AL865" s="167">
        <f t="shared" si="579"/>
        <v>0</v>
      </c>
      <c r="AM865" s="585">
        <f t="shared" si="580"/>
        <v>0</v>
      </c>
      <c r="AN865" s="614"/>
      <c r="AO865" s="615"/>
      <c r="AP865" s="615"/>
      <c r="AQ865" s="616"/>
      <c r="AR865" s="612"/>
      <c r="AS865" s="617"/>
      <c r="AT865" s="618"/>
      <c r="AU865" s="618"/>
      <c r="AV865" s="618"/>
      <c r="AW865" s="619"/>
      <c r="AX865" s="614"/>
      <c r="AY865" s="616"/>
      <c r="AZ865" s="616"/>
      <c r="BA865" s="616"/>
      <c r="BB865" s="616"/>
      <c r="BC865" s="616"/>
      <c r="BD865" s="612"/>
      <c r="BE865" s="614"/>
      <c r="BF865" s="616"/>
      <c r="BG865" s="616"/>
      <c r="BH865" s="616"/>
      <c r="BI865" s="616"/>
      <c r="BJ865" s="616"/>
      <c r="BK865" s="1023"/>
      <c r="BL865" s="658"/>
    </row>
    <row r="866" spans="2:64">
      <c r="B866" s="1022"/>
      <c r="C866" s="607"/>
      <c r="D866" s="607"/>
      <c r="E866" s="1021"/>
      <c r="F866" s="608">
        <v>863</v>
      </c>
      <c r="G866" s="609"/>
      <c r="H866" s="610"/>
      <c r="I866" s="611"/>
      <c r="J866" s="166">
        <f t="shared" si="551"/>
        <v>0</v>
      </c>
      <c r="K866" s="167">
        <f t="shared" si="552"/>
        <v>0</v>
      </c>
      <c r="L866" s="168">
        <f t="shared" si="553"/>
        <v>0</v>
      </c>
      <c r="M866" s="166">
        <f t="shared" si="554"/>
        <v>0</v>
      </c>
      <c r="N866" s="167">
        <f t="shared" si="555"/>
        <v>0</v>
      </c>
      <c r="O866" s="168">
        <f t="shared" si="556"/>
        <v>0</v>
      </c>
      <c r="P866" s="169">
        <f t="shared" si="557"/>
        <v>0</v>
      </c>
      <c r="Q866" s="169">
        <f t="shared" si="558"/>
        <v>0</v>
      </c>
      <c r="R866" s="169">
        <f t="shared" si="559"/>
        <v>0</v>
      </c>
      <c r="S866" s="584">
        <f t="shared" si="560"/>
        <v>0</v>
      </c>
      <c r="T866" s="594">
        <f t="shared" si="561"/>
        <v>0</v>
      </c>
      <c r="U866" s="595">
        <f t="shared" si="562"/>
        <v>0</v>
      </c>
      <c r="V866" s="166">
        <f t="shared" si="563"/>
        <v>0</v>
      </c>
      <c r="W866" s="167">
        <f t="shared" si="564"/>
        <v>0</v>
      </c>
      <c r="X866" s="168">
        <f t="shared" si="565"/>
        <v>0</v>
      </c>
      <c r="Y866" s="166">
        <f t="shared" si="566"/>
        <v>0</v>
      </c>
      <c r="Z866" s="167">
        <f t="shared" si="567"/>
        <v>0</v>
      </c>
      <c r="AA866" s="168">
        <f t="shared" si="568"/>
        <v>0</v>
      </c>
      <c r="AB866" s="166">
        <f t="shared" si="569"/>
        <v>0</v>
      </c>
      <c r="AC866" s="167">
        <f t="shared" si="570"/>
        <v>0</v>
      </c>
      <c r="AD866" s="168">
        <f t="shared" si="571"/>
        <v>0</v>
      </c>
      <c r="AE866" s="166">
        <f t="shared" si="572"/>
        <v>0</v>
      </c>
      <c r="AF866" s="167">
        <f t="shared" si="573"/>
        <v>0</v>
      </c>
      <c r="AG866" s="168">
        <f t="shared" si="574"/>
        <v>0</v>
      </c>
      <c r="AH866" s="166">
        <f t="shared" si="575"/>
        <v>0</v>
      </c>
      <c r="AI866" s="167">
        <f t="shared" si="576"/>
        <v>0</v>
      </c>
      <c r="AJ866" s="168">
        <f t="shared" si="577"/>
        <v>0</v>
      </c>
      <c r="AK866" s="169">
        <f t="shared" si="578"/>
        <v>0</v>
      </c>
      <c r="AL866" s="167">
        <f t="shared" si="579"/>
        <v>0</v>
      </c>
      <c r="AM866" s="585">
        <f t="shared" si="580"/>
        <v>0</v>
      </c>
      <c r="AN866" s="614"/>
      <c r="AO866" s="615"/>
      <c r="AP866" s="615"/>
      <c r="AQ866" s="616"/>
      <c r="AR866" s="612"/>
      <c r="AS866" s="617"/>
      <c r="AT866" s="618"/>
      <c r="AU866" s="618"/>
      <c r="AV866" s="618"/>
      <c r="AW866" s="619"/>
      <c r="AX866" s="614"/>
      <c r="AY866" s="616"/>
      <c r="AZ866" s="616"/>
      <c r="BA866" s="616"/>
      <c r="BB866" s="616"/>
      <c r="BC866" s="616"/>
      <c r="BD866" s="612"/>
      <c r="BE866" s="614"/>
      <c r="BF866" s="616"/>
      <c r="BG866" s="616"/>
      <c r="BH866" s="616"/>
      <c r="BI866" s="616"/>
      <c r="BJ866" s="616"/>
      <c r="BK866" s="1023"/>
      <c r="BL866" s="658"/>
    </row>
    <row r="867" spans="2:64">
      <c r="B867" s="1022"/>
      <c r="C867" s="607"/>
      <c r="D867" s="607"/>
      <c r="E867" s="1021"/>
      <c r="F867" s="1019">
        <v>864</v>
      </c>
      <c r="G867" s="609"/>
      <c r="H867" s="610"/>
      <c r="I867" s="611"/>
      <c r="J867" s="166">
        <f t="shared" si="551"/>
        <v>0</v>
      </c>
      <c r="K867" s="167">
        <f t="shared" si="552"/>
        <v>0</v>
      </c>
      <c r="L867" s="168">
        <f t="shared" si="553"/>
        <v>0</v>
      </c>
      <c r="M867" s="166">
        <f t="shared" si="554"/>
        <v>0</v>
      </c>
      <c r="N867" s="167">
        <f t="shared" si="555"/>
        <v>0</v>
      </c>
      <c r="O867" s="168">
        <f t="shared" si="556"/>
        <v>0</v>
      </c>
      <c r="P867" s="169">
        <f t="shared" si="557"/>
        <v>0</v>
      </c>
      <c r="Q867" s="169">
        <f t="shared" si="558"/>
        <v>0</v>
      </c>
      <c r="R867" s="169">
        <f t="shared" si="559"/>
        <v>0</v>
      </c>
      <c r="S867" s="584">
        <f t="shared" si="560"/>
        <v>0</v>
      </c>
      <c r="T867" s="594">
        <f t="shared" si="561"/>
        <v>0</v>
      </c>
      <c r="U867" s="595">
        <f t="shared" si="562"/>
        <v>0</v>
      </c>
      <c r="V867" s="166">
        <f t="shared" si="563"/>
        <v>0</v>
      </c>
      <c r="W867" s="167">
        <f t="shared" si="564"/>
        <v>0</v>
      </c>
      <c r="X867" s="168">
        <f t="shared" si="565"/>
        <v>0</v>
      </c>
      <c r="Y867" s="166">
        <f t="shared" si="566"/>
        <v>0</v>
      </c>
      <c r="Z867" s="167">
        <f t="shared" si="567"/>
        <v>0</v>
      </c>
      <c r="AA867" s="168">
        <f t="shared" si="568"/>
        <v>0</v>
      </c>
      <c r="AB867" s="166">
        <f t="shared" si="569"/>
        <v>0</v>
      </c>
      <c r="AC867" s="167">
        <f t="shared" si="570"/>
        <v>0</v>
      </c>
      <c r="AD867" s="168">
        <f t="shared" si="571"/>
        <v>0</v>
      </c>
      <c r="AE867" s="166">
        <f t="shared" si="572"/>
        <v>0</v>
      </c>
      <c r="AF867" s="167">
        <f t="shared" si="573"/>
        <v>0</v>
      </c>
      <c r="AG867" s="168">
        <f t="shared" si="574"/>
        <v>0</v>
      </c>
      <c r="AH867" s="166">
        <f t="shared" si="575"/>
        <v>0</v>
      </c>
      <c r="AI867" s="167">
        <f t="shared" si="576"/>
        <v>0</v>
      </c>
      <c r="AJ867" s="168">
        <f t="shared" si="577"/>
        <v>0</v>
      </c>
      <c r="AK867" s="169">
        <f t="shared" si="578"/>
        <v>0</v>
      </c>
      <c r="AL867" s="167">
        <f t="shared" si="579"/>
        <v>0</v>
      </c>
      <c r="AM867" s="585">
        <f t="shared" si="580"/>
        <v>0</v>
      </c>
      <c r="AN867" s="614"/>
      <c r="AO867" s="615"/>
      <c r="AP867" s="615"/>
      <c r="AQ867" s="616"/>
      <c r="AR867" s="612"/>
      <c r="AS867" s="617"/>
      <c r="AT867" s="618"/>
      <c r="AU867" s="618"/>
      <c r="AV867" s="618"/>
      <c r="AW867" s="619"/>
      <c r="AX867" s="614"/>
      <c r="AY867" s="616"/>
      <c r="AZ867" s="616"/>
      <c r="BA867" s="616"/>
      <c r="BB867" s="616"/>
      <c r="BC867" s="616"/>
      <c r="BD867" s="612"/>
      <c r="BE867" s="614"/>
      <c r="BF867" s="616"/>
      <c r="BG867" s="616"/>
      <c r="BH867" s="616"/>
      <c r="BI867" s="616"/>
      <c r="BJ867" s="616"/>
      <c r="BK867" s="1023"/>
      <c r="BL867" s="658"/>
    </row>
    <row r="868" spans="2:64">
      <c r="B868" s="1022"/>
      <c r="C868" s="607"/>
      <c r="D868" s="607"/>
      <c r="E868" s="1021"/>
      <c r="F868" s="608">
        <v>865</v>
      </c>
      <c r="G868" s="609"/>
      <c r="H868" s="610"/>
      <c r="I868" s="611"/>
      <c r="J868" s="166">
        <f t="shared" si="551"/>
        <v>0</v>
      </c>
      <c r="K868" s="167">
        <f t="shared" si="552"/>
        <v>0</v>
      </c>
      <c r="L868" s="168">
        <f t="shared" si="553"/>
        <v>0</v>
      </c>
      <c r="M868" s="166">
        <f t="shared" si="554"/>
        <v>0</v>
      </c>
      <c r="N868" s="167">
        <f t="shared" si="555"/>
        <v>0</v>
      </c>
      <c r="O868" s="168">
        <f t="shared" si="556"/>
        <v>0</v>
      </c>
      <c r="P868" s="169">
        <f t="shared" si="557"/>
        <v>0</v>
      </c>
      <c r="Q868" s="169">
        <f t="shared" si="558"/>
        <v>0</v>
      </c>
      <c r="R868" s="169">
        <f t="shared" si="559"/>
        <v>0</v>
      </c>
      <c r="S868" s="584">
        <f t="shared" si="560"/>
        <v>0</v>
      </c>
      <c r="T868" s="594">
        <f t="shared" si="561"/>
        <v>0</v>
      </c>
      <c r="U868" s="595">
        <f t="shared" si="562"/>
        <v>0</v>
      </c>
      <c r="V868" s="166">
        <f t="shared" si="563"/>
        <v>0</v>
      </c>
      <c r="W868" s="167">
        <f t="shared" si="564"/>
        <v>0</v>
      </c>
      <c r="X868" s="168">
        <f t="shared" si="565"/>
        <v>0</v>
      </c>
      <c r="Y868" s="166">
        <f t="shared" si="566"/>
        <v>0</v>
      </c>
      <c r="Z868" s="167">
        <f t="shared" si="567"/>
        <v>0</v>
      </c>
      <c r="AA868" s="168">
        <f t="shared" si="568"/>
        <v>0</v>
      </c>
      <c r="AB868" s="166">
        <f t="shared" si="569"/>
        <v>0</v>
      </c>
      <c r="AC868" s="167">
        <f t="shared" si="570"/>
        <v>0</v>
      </c>
      <c r="AD868" s="168">
        <f t="shared" si="571"/>
        <v>0</v>
      </c>
      <c r="AE868" s="166">
        <f t="shared" si="572"/>
        <v>0</v>
      </c>
      <c r="AF868" s="167">
        <f t="shared" si="573"/>
        <v>0</v>
      </c>
      <c r="AG868" s="168">
        <f t="shared" si="574"/>
        <v>0</v>
      </c>
      <c r="AH868" s="166">
        <f t="shared" si="575"/>
        <v>0</v>
      </c>
      <c r="AI868" s="167">
        <f t="shared" si="576"/>
        <v>0</v>
      </c>
      <c r="AJ868" s="168">
        <f t="shared" si="577"/>
        <v>0</v>
      </c>
      <c r="AK868" s="169">
        <f t="shared" si="578"/>
        <v>0</v>
      </c>
      <c r="AL868" s="167">
        <f t="shared" si="579"/>
        <v>0</v>
      </c>
      <c r="AM868" s="585">
        <f t="shared" si="580"/>
        <v>0</v>
      </c>
      <c r="AN868" s="614"/>
      <c r="AO868" s="615"/>
      <c r="AP868" s="615"/>
      <c r="AQ868" s="616"/>
      <c r="AR868" s="612"/>
      <c r="AS868" s="617"/>
      <c r="AT868" s="618"/>
      <c r="AU868" s="618"/>
      <c r="AV868" s="618"/>
      <c r="AW868" s="619"/>
      <c r="AX868" s="614"/>
      <c r="AY868" s="616"/>
      <c r="AZ868" s="616"/>
      <c r="BA868" s="616"/>
      <c r="BB868" s="616"/>
      <c r="BC868" s="616"/>
      <c r="BD868" s="612"/>
      <c r="BE868" s="614"/>
      <c r="BF868" s="616"/>
      <c r="BG868" s="616"/>
      <c r="BH868" s="616"/>
      <c r="BI868" s="616"/>
      <c r="BJ868" s="616"/>
      <c r="BK868" s="1023"/>
      <c r="BL868" s="658"/>
    </row>
    <row r="869" spans="2:64">
      <c r="B869" s="1022"/>
      <c r="C869" s="607"/>
      <c r="D869" s="607"/>
      <c r="E869" s="1021"/>
      <c r="F869" s="1019">
        <v>866</v>
      </c>
      <c r="G869" s="609"/>
      <c r="H869" s="610"/>
      <c r="I869" s="611"/>
      <c r="J869" s="166">
        <f t="shared" si="551"/>
        <v>0</v>
      </c>
      <c r="K869" s="167">
        <f t="shared" si="552"/>
        <v>0</v>
      </c>
      <c r="L869" s="168">
        <f t="shared" si="553"/>
        <v>0</v>
      </c>
      <c r="M869" s="166">
        <f t="shared" si="554"/>
        <v>0</v>
      </c>
      <c r="N869" s="167">
        <f t="shared" si="555"/>
        <v>0</v>
      </c>
      <c r="O869" s="168">
        <f t="shared" si="556"/>
        <v>0</v>
      </c>
      <c r="P869" s="169">
        <f t="shared" si="557"/>
        <v>0</v>
      </c>
      <c r="Q869" s="169">
        <f t="shared" si="558"/>
        <v>0</v>
      </c>
      <c r="R869" s="169">
        <f t="shared" si="559"/>
        <v>0</v>
      </c>
      <c r="S869" s="584">
        <f t="shared" si="560"/>
        <v>0</v>
      </c>
      <c r="T869" s="594">
        <f t="shared" si="561"/>
        <v>0</v>
      </c>
      <c r="U869" s="595">
        <f t="shared" si="562"/>
        <v>0</v>
      </c>
      <c r="V869" s="166">
        <f t="shared" si="563"/>
        <v>0</v>
      </c>
      <c r="W869" s="167">
        <f t="shared" si="564"/>
        <v>0</v>
      </c>
      <c r="X869" s="168">
        <f t="shared" si="565"/>
        <v>0</v>
      </c>
      <c r="Y869" s="166">
        <f t="shared" si="566"/>
        <v>0</v>
      </c>
      <c r="Z869" s="167">
        <f t="shared" si="567"/>
        <v>0</v>
      </c>
      <c r="AA869" s="168">
        <f t="shared" si="568"/>
        <v>0</v>
      </c>
      <c r="AB869" s="166">
        <f t="shared" si="569"/>
        <v>0</v>
      </c>
      <c r="AC869" s="167">
        <f t="shared" si="570"/>
        <v>0</v>
      </c>
      <c r="AD869" s="168">
        <f t="shared" si="571"/>
        <v>0</v>
      </c>
      <c r="AE869" s="166">
        <f t="shared" si="572"/>
        <v>0</v>
      </c>
      <c r="AF869" s="167">
        <f t="shared" si="573"/>
        <v>0</v>
      </c>
      <c r="AG869" s="168">
        <f t="shared" si="574"/>
        <v>0</v>
      </c>
      <c r="AH869" s="166">
        <f t="shared" si="575"/>
        <v>0</v>
      </c>
      <c r="AI869" s="167">
        <f t="shared" si="576"/>
        <v>0</v>
      </c>
      <c r="AJ869" s="168">
        <f t="shared" si="577"/>
        <v>0</v>
      </c>
      <c r="AK869" s="169">
        <f t="shared" si="578"/>
        <v>0</v>
      </c>
      <c r="AL869" s="167">
        <f t="shared" si="579"/>
        <v>0</v>
      </c>
      <c r="AM869" s="585">
        <f t="shared" si="580"/>
        <v>0</v>
      </c>
      <c r="AN869" s="614"/>
      <c r="AO869" s="615"/>
      <c r="AP869" s="615"/>
      <c r="AQ869" s="616"/>
      <c r="AR869" s="612"/>
      <c r="AS869" s="617"/>
      <c r="AT869" s="618"/>
      <c r="AU869" s="618"/>
      <c r="AV869" s="618"/>
      <c r="AW869" s="619"/>
      <c r="AX869" s="614"/>
      <c r="AY869" s="616"/>
      <c r="AZ869" s="616"/>
      <c r="BA869" s="616"/>
      <c r="BB869" s="616"/>
      <c r="BC869" s="616"/>
      <c r="BD869" s="612"/>
      <c r="BE869" s="614"/>
      <c r="BF869" s="616"/>
      <c r="BG869" s="616"/>
      <c r="BH869" s="616"/>
      <c r="BI869" s="616"/>
      <c r="BJ869" s="616"/>
      <c r="BK869" s="1023"/>
      <c r="BL869" s="658"/>
    </row>
    <row r="870" spans="2:64">
      <c r="B870" s="1022"/>
      <c r="C870" s="607"/>
      <c r="D870" s="607"/>
      <c r="E870" s="1021"/>
      <c r="F870" s="608">
        <v>867</v>
      </c>
      <c r="G870" s="609"/>
      <c r="H870" s="610"/>
      <c r="I870" s="611"/>
      <c r="J870" s="166">
        <f t="shared" si="551"/>
        <v>0</v>
      </c>
      <c r="K870" s="167">
        <f t="shared" si="552"/>
        <v>0</v>
      </c>
      <c r="L870" s="168">
        <f t="shared" si="553"/>
        <v>0</v>
      </c>
      <c r="M870" s="166">
        <f t="shared" si="554"/>
        <v>0</v>
      </c>
      <c r="N870" s="167">
        <f t="shared" si="555"/>
        <v>0</v>
      </c>
      <c r="O870" s="168">
        <f t="shared" si="556"/>
        <v>0</v>
      </c>
      <c r="P870" s="169">
        <f t="shared" si="557"/>
        <v>0</v>
      </c>
      <c r="Q870" s="169">
        <f t="shared" si="558"/>
        <v>0</v>
      </c>
      <c r="R870" s="169">
        <f t="shared" si="559"/>
        <v>0</v>
      </c>
      <c r="S870" s="584">
        <f t="shared" si="560"/>
        <v>0</v>
      </c>
      <c r="T870" s="594">
        <f t="shared" si="561"/>
        <v>0</v>
      </c>
      <c r="U870" s="595">
        <f t="shared" si="562"/>
        <v>0</v>
      </c>
      <c r="V870" s="166">
        <f t="shared" si="563"/>
        <v>0</v>
      </c>
      <c r="W870" s="167">
        <f t="shared" si="564"/>
        <v>0</v>
      </c>
      <c r="X870" s="168">
        <f t="shared" si="565"/>
        <v>0</v>
      </c>
      <c r="Y870" s="166">
        <f t="shared" si="566"/>
        <v>0</v>
      </c>
      <c r="Z870" s="167">
        <f t="shared" si="567"/>
        <v>0</v>
      </c>
      <c r="AA870" s="168">
        <f t="shared" si="568"/>
        <v>0</v>
      </c>
      <c r="AB870" s="166">
        <f t="shared" si="569"/>
        <v>0</v>
      </c>
      <c r="AC870" s="167">
        <f t="shared" si="570"/>
        <v>0</v>
      </c>
      <c r="AD870" s="168">
        <f t="shared" si="571"/>
        <v>0</v>
      </c>
      <c r="AE870" s="166">
        <f t="shared" si="572"/>
        <v>0</v>
      </c>
      <c r="AF870" s="167">
        <f t="shared" si="573"/>
        <v>0</v>
      </c>
      <c r="AG870" s="168">
        <f t="shared" si="574"/>
        <v>0</v>
      </c>
      <c r="AH870" s="166">
        <f t="shared" si="575"/>
        <v>0</v>
      </c>
      <c r="AI870" s="167">
        <f t="shared" si="576"/>
        <v>0</v>
      </c>
      <c r="AJ870" s="168">
        <f t="shared" si="577"/>
        <v>0</v>
      </c>
      <c r="AK870" s="169">
        <f t="shared" si="578"/>
        <v>0</v>
      </c>
      <c r="AL870" s="167">
        <f t="shared" si="579"/>
        <v>0</v>
      </c>
      <c r="AM870" s="585">
        <f t="shared" si="580"/>
        <v>0</v>
      </c>
      <c r="AN870" s="614"/>
      <c r="AO870" s="615"/>
      <c r="AP870" s="615"/>
      <c r="AQ870" s="616"/>
      <c r="AR870" s="612"/>
      <c r="AS870" s="617"/>
      <c r="AT870" s="618"/>
      <c r="AU870" s="618"/>
      <c r="AV870" s="618"/>
      <c r="AW870" s="619"/>
      <c r="AX870" s="614"/>
      <c r="AY870" s="616"/>
      <c r="AZ870" s="616"/>
      <c r="BA870" s="616"/>
      <c r="BB870" s="616"/>
      <c r="BC870" s="616"/>
      <c r="BD870" s="612"/>
      <c r="BE870" s="614"/>
      <c r="BF870" s="616"/>
      <c r="BG870" s="616"/>
      <c r="BH870" s="616"/>
      <c r="BI870" s="616"/>
      <c r="BJ870" s="616"/>
      <c r="BK870" s="1023"/>
      <c r="BL870" s="658"/>
    </row>
    <row r="871" spans="2:64">
      <c r="B871" s="1022"/>
      <c r="C871" s="607"/>
      <c r="D871" s="607"/>
      <c r="E871" s="1021"/>
      <c r="F871" s="1019">
        <v>868</v>
      </c>
      <c r="G871" s="609"/>
      <c r="H871" s="610"/>
      <c r="I871" s="611"/>
      <c r="J871" s="166">
        <f t="shared" si="551"/>
        <v>0</v>
      </c>
      <c r="K871" s="167">
        <f t="shared" si="552"/>
        <v>0</v>
      </c>
      <c r="L871" s="168">
        <f t="shared" si="553"/>
        <v>0</v>
      </c>
      <c r="M871" s="166">
        <f t="shared" si="554"/>
        <v>0</v>
      </c>
      <c r="N871" s="167">
        <f t="shared" si="555"/>
        <v>0</v>
      </c>
      <c r="O871" s="168">
        <f t="shared" si="556"/>
        <v>0</v>
      </c>
      <c r="P871" s="169">
        <f t="shared" si="557"/>
        <v>0</v>
      </c>
      <c r="Q871" s="169">
        <f t="shared" si="558"/>
        <v>0</v>
      </c>
      <c r="R871" s="169">
        <f t="shared" si="559"/>
        <v>0</v>
      </c>
      <c r="S871" s="584">
        <f t="shared" si="560"/>
        <v>0</v>
      </c>
      <c r="T871" s="594">
        <f t="shared" si="561"/>
        <v>0</v>
      </c>
      <c r="U871" s="595">
        <f t="shared" si="562"/>
        <v>0</v>
      </c>
      <c r="V871" s="166">
        <f t="shared" si="563"/>
        <v>0</v>
      </c>
      <c r="W871" s="167">
        <f t="shared" si="564"/>
        <v>0</v>
      </c>
      <c r="X871" s="168">
        <f t="shared" si="565"/>
        <v>0</v>
      </c>
      <c r="Y871" s="166">
        <f t="shared" si="566"/>
        <v>0</v>
      </c>
      <c r="Z871" s="167">
        <f t="shared" si="567"/>
        <v>0</v>
      </c>
      <c r="AA871" s="168">
        <f t="shared" si="568"/>
        <v>0</v>
      </c>
      <c r="AB871" s="166">
        <f t="shared" si="569"/>
        <v>0</v>
      </c>
      <c r="AC871" s="167">
        <f t="shared" si="570"/>
        <v>0</v>
      </c>
      <c r="AD871" s="168">
        <f t="shared" si="571"/>
        <v>0</v>
      </c>
      <c r="AE871" s="166">
        <f t="shared" si="572"/>
        <v>0</v>
      </c>
      <c r="AF871" s="167">
        <f t="shared" si="573"/>
        <v>0</v>
      </c>
      <c r="AG871" s="168">
        <f t="shared" si="574"/>
        <v>0</v>
      </c>
      <c r="AH871" s="166">
        <f t="shared" si="575"/>
        <v>0</v>
      </c>
      <c r="AI871" s="167">
        <f t="shared" si="576"/>
        <v>0</v>
      </c>
      <c r="AJ871" s="168">
        <f t="shared" si="577"/>
        <v>0</v>
      </c>
      <c r="AK871" s="169">
        <f t="shared" si="578"/>
        <v>0</v>
      </c>
      <c r="AL871" s="167">
        <f t="shared" si="579"/>
        <v>0</v>
      </c>
      <c r="AM871" s="585">
        <f t="shared" si="580"/>
        <v>0</v>
      </c>
      <c r="AN871" s="614"/>
      <c r="AO871" s="615"/>
      <c r="AP871" s="615"/>
      <c r="AQ871" s="616"/>
      <c r="AR871" s="612"/>
      <c r="AS871" s="617"/>
      <c r="AT871" s="618"/>
      <c r="AU871" s="618"/>
      <c r="AV871" s="618"/>
      <c r="AW871" s="619"/>
      <c r="AX871" s="614"/>
      <c r="AY871" s="616"/>
      <c r="AZ871" s="616"/>
      <c r="BA871" s="616"/>
      <c r="BB871" s="616"/>
      <c r="BC871" s="616"/>
      <c r="BD871" s="612"/>
      <c r="BE871" s="614"/>
      <c r="BF871" s="616"/>
      <c r="BG871" s="616"/>
      <c r="BH871" s="616"/>
      <c r="BI871" s="616"/>
      <c r="BJ871" s="616"/>
      <c r="BK871" s="1023"/>
      <c r="BL871" s="658"/>
    </row>
    <row r="872" spans="2:64">
      <c r="B872" s="1022"/>
      <c r="C872" s="607"/>
      <c r="D872" s="607"/>
      <c r="E872" s="1021"/>
      <c r="F872" s="608">
        <v>869</v>
      </c>
      <c r="G872" s="609"/>
      <c r="H872" s="610"/>
      <c r="I872" s="611"/>
      <c r="J872" s="166">
        <f t="shared" si="551"/>
        <v>0</v>
      </c>
      <c r="K872" s="167">
        <f t="shared" si="552"/>
        <v>0</v>
      </c>
      <c r="L872" s="168">
        <f t="shared" si="553"/>
        <v>0</v>
      </c>
      <c r="M872" s="166">
        <f t="shared" si="554"/>
        <v>0</v>
      </c>
      <c r="N872" s="167">
        <f t="shared" si="555"/>
        <v>0</v>
      </c>
      <c r="O872" s="168">
        <f t="shared" si="556"/>
        <v>0</v>
      </c>
      <c r="P872" s="169">
        <f t="shared" si="557"/>
        <v>0</v>
      </c>
      <c r="Q872" s="169">
        <f t="shared" si="558"/>
        <v>0</v>
      </c>
      <c r="R872" s="169">
        <f t="shared" si="559"/>
        <v>0</v>
      </c>
      <c r="S872" s="584">
        <f t="shared" si="560"/>
        <v>0</v>
      </c>
      <c r="T872" s="594">
        <f t="shared" si="561"/>
        <v>0</v>
      </c>
      <c r="U872" s="595">
        <f t="shared" si="562"/>
        <v>0</v>
      </c>
      <c r="V872" s="166">
        <f t="shared" si="563"/>
        <v>0</v>
      </c>
      <c r="W872" s="167">
        <f t="shared" si="564"/>
        <v>0</v>
      </c>
      <c r="X872" s="168">
        <f t="shared" si="565"/>
        <v>0</v>
      </c>
      <c r="Y872" s="166">
        <f t="shared" si="566"/>
        <v>0</v>
      </c>
      <c r="Z872" s="167">
        <f t="shared" si="567"/>
        <v>0</v>
      </c>
      <c r="AA872" s="168">
        <f t="shared" si="568"/>
        <v>0</v>
      </c>
      <c r="AB872" s="166">
        <f t="shared" si="569"/>
        <v>0</v>
      </c>
      <c r="AC872" s="167">
        <f t="shared" si="570"/>
        <v>0</v>
      </c>
      <c r="AD872" s="168">
        <f t="shared" si="571"/>
        <v>0</v>
      </c>
      <c r="AE872" s="166">
        <f t="shared" si="572"/>
        <v>0</v>
      </c>
      <c r="AF872" s="167">
        <f t="shared" si="573"/>
        <v>0</v>
      </c>
      <c r="AG872" s="168">
        <f t="shared" si="574"/>
        <v>0</v>
      </c>
      <c r="AH872" s="166">
        <f t="shared" si="575"/>
        <v>0</v>
      </c>
      <c r="AI872" s="167">
        <f t="shared" si="576"/>
        <v>0</v>
      </c>
      <c r="AJ872" s="168">
        <f t="shared" si="577"/>
        <v>0</v>
      </c>
      <c r="AK872" s="169">
        <f t="shared" si="578"/>
        <v>0</v>
      </c>
      <c r="AL872" s="167">
        <f t="shared" si="579"/>
        <v>0</v>
      </c>
      <c r="AM872" s="585">
        <f t="shared" si="580"/>
        <v>0</v>
      </c>
      <c r="AN872" s="614"/>
      <c r="AO872" s="615"/>
      <c r="AP872" s="615"/>
      <c r="AQ872" s="616"/>
      <c r="AR872" s="612"/>
      <c r="AS872" s="617"/>
      <c r="AT872" s="618"/>
      <c r="AU872" s="618"/>
      <c r="AV872" s="618"/>
      <c r="AW872" s="619"/>
      <c r="AX872" s="614"/>
      <c r="AY872" s="616"/>
      <c r="AZ872" s="616"/>
      <c r="BA872" s="616"/>
      <c r="BB872" s="616"/>
      <c r="BC872" s="616"/>
      <c r="BD872" s="612"/>
      <c r="BE872" s="614"/>
      <c r="BF872" s="616"/>
      <c r="BG872" s="616"/>
      <c r="BH872" s="616"/>
      <c r="BI872" s="616"/>
      <c r="BJ872" s="616"/>
      <c r="BK872" s="1023"/>
      <c r="BL872" s="658"/>
    </row>
    <row r="873" spans="2:64">
      <c r="B873" s="1022"/>
      <c r="C873" s="607"/>
      <c r="D873" s="607"/>
      <c r="E873" s="1021"/>
      <c r="F873" s="1019">
        <v>870</v>
      </c>
      <c r="G873" s="609"/>
      <c r="H873" s="610"/>
      <c r="I873" s="611"/>
      <c r="J873" s="166">
        <f t="shared" si="551"/>
        <v>0</v>
      </c>
      <c r="K873" s="167">
        <f t="shared" si="552"/>
        <v>0</v>
      </c>
      <c r="L873" s="168">
        <f t="shared" si="553"/>
        <v>0</v>
      </c>
      <c r="M873" s="166">
        <f t="shared" si="554"/>
        <v>0</v>
      </c>
      <c r="N873" s="167">
        <f t="shared" si="555"/>
        <v>0</v>
      </c>
      <c r="O873" s="168">
        <f t="shared" si="556"/>
        <v>0</v>
      </c>
      <c r="P873" s="169">
        <f t="shared" si="557"/>
        <v>0</v>
      </c>
      <c r="Q873" s="169">
        <f t="shared" si="558"/>
        <v>0</v>
      </c>
      <c r="R873" s="169">
        <f t="shared" si="559"/>
        <v>0</v>
      </c>
      <c r="S873" s="584">
        <f t="shared" si="560"/>
        <v>0</v>
      </c>
      <c r="T873" s="594">
        <f t="shared" si="561"/>
        <v>0</v>
      </c>
      <c r="U873" s="595">
        <f t="shared" si="562"/>
        <v>0</v>
      </c>
      <c r="V873" s="166">
        <f t="shared" si="563"/>
        <v>0</v>
      </c>
      <c r="W873" s="167">
        <f t="shared" si="564"/>
        <v>0</v>
      </c>
      <c r="X873" s="168">
        <f t="shared" si="565"/>
        <v>0</v>
      </c>
      <c r="Y873" s="166">
        <f t="shared" si="566"/>
        <v>0</v>
      </c>
      <c r="Z873" s="167">
        <f t="shared" si="567"/>
        <v>0</v>
      </c>
      <c r="AA873" s="168">
        <f t="shared" si="568"/>
        <v>0</v>
      </c>
      <c r="AB873" s="166">
        <f t="shared" si="569"/>
        <v>0</v>
      </c>
      <c r="AC873" s="167">
        <f t="shared" si="570"/>
        <v>0</v>
      </c>
      <c r="AD873" s="168">
        <f t="shared" si="571"/>
        <v>0</v>
      </c>
      <c r="AE873" s="166">
        <f t="shared" si="572"/>
        <v>0</v>
      </c>
      <c r="AF873" s="167">
        <f t="shared" si="573"/>
        <v>0</v>
      </c>
      <c r="AG873" s="168">
        <f t="shared" si="574"/>
        <v>0</v>
      </c>
      <c r="AH873" s="166">
        <f t="shared" si="575"/>
        <v>0</v>
      </c>
      <c r="AI873" s="167">
        <f t="shared" si="576"/>
        <v>0</v>
      </c>
      <c r="AJ873" s="168">
        <f t="shared" si="577"/>
        <v>0</v>
      </c>
      <c r="AK873" s="169">
        <f t="shared" si="578"/>
        <v>0</v>
      </c>
      <c r="AL873" s="167">
        <f t="shared" si="579"/>
        <v>0</v>
      </c>
      <c r="AM873" s="585">
        <f t="shared" si="580"/>
        <v>0</v>
      </c>
      <c r="AN873" s="614"/>
      <c r="AO873" s="615"/>
      <c r="AP873" s="615"/>
      <c r="AQ873" s="616"/>
      <c r="AR873" s="612"/>
      <c r="AS873" s="617"/>
      <c r="AT873" s="618"/>
      <c r="AU873" s="618"/>
      <c r="AV873" s="618"/>
      <c r="AW873" s="619"/>
      <c r="AX873" s="614"/>
      <c r="AY873" s="616"/>
      <c r="AZ873" s="616"/>
      <c r="BA873" s="616"/>
      <c r="BB873" s="616"/>
      <c r="BC873" s="616"/>
      <c r="BD873" s="612"/>
      <c r="BE873" s="614"/>
      <c r="BF873" s="616"/>
      <c r="BG873" s="616"/>
      <c r="BH873" s="616"/>
      <c r="BI873" s="616"/>
      <c r="BJ873" s="616"/>
      <c r="BK873" s="1023"/>
      <c r="BL873" s="658"/>
    </row>
    <row r="874" spans="2:64">
      <c r="B874" s="1022"/>
      <c r="C874" s="607"/>
      <c r="D874" s="607"/>
      <c r="E874" s="1021"/>
      <c r="F874" s="608">
        <v>871</v>
      </c>
      <c r="G874" s="609"/>
      <c r="H874" s="610"/>
      <c r="I874" s="611"/>
      <c r="J874" s="166">
        <f t="shared" si="551"/>
        <v>0</v>
      </c>
      <c r="K874" s="167">
        <f t="shared" si="552"/>
        <v>0</v>
      </c>
      <c r="L874" s="168">
        <f t="shared" si="553"/>
        <v>0</v>
      </c>
      <c r="M874" s="166">
        <f t="shared" si="554"/>
        <v>0</v>
      </c>
      <c r="N874" s="167">
        <f t="shared" si="555"/>
        <v>0</v>
      </c>
      <c r="O874" s="168">
        <f t="shared" si="556"/>
        <v>0</v>
      </c>
      <c r="P874" s="169">
        <f t="shared" si="557"/>
        <v>0</v>
      </c>
      <c r="Q874" s="169">
        <f t="shared" si="558"/>
        <v>0</v>
      </c>
      <c r="R874" s="169">
        <f t="shared" si="559"/>
        <v>0</v>
      </c>
      <c r="S874" s="584">
        <f t="shared" si="560"/>
        <v>0</v>
      </c>
      <c r="T874" s="594">
        <f t="shared" si="561"/>
        <v>0</v>
      </c>
      <c r="U874" s="595">
        <f t="shared" si="562"/>
        <v>0</v>
      </c>
      <c r="V874" s="166">
        <f t="shared" si="563"/>
        <v>0</v>
      </c>
      <c r="W874" s="167">
        <f t="shared" si="564"/>
        <v>0</v>
      </c>
      <c r="X874" s="168">
        <f t="shared" si="565"/>
        <v>0</v>
      </c>
      <c r="Y874" s="166">
        <f t="shared" si="566"/>
        <v>0</v>
      </c>
      <c r="Z874" s="167">
        <f t="shared" si="567"/>
        <v>0</v>
      </c>
      <c r="AA874" s="168">
        <f t="shared" si="568"/>
        <v>0</v>
      </c>
      <c r="AB874" s="166">
        <f t="shared" si="569"/>
        <v>0</v>
      </c>
      <c r="AC874" s="167">
        <f t="shared" si="570"/>
        <v>0</v>
      </c>
      <c r="AD874" s="168">
        <f t="shared" si="571"/>
        <v>0</v>
      </c>
      <c r="AE874" s="166">
        <f t="shared" si="572"/>
        <v>0</v>
      </c>
      <c r="AF874" s="167">
        <f t="shared" si="573"/>
        <v>0</v>
      </c>
      <c r="AG874" s="168">
        <f t="shared" si="574"/>
        <v>0</v>
      </c>
      <c r="AH874" s="166">
        <f t="shared" si="575"/>
        <v>0</v>
      </c>
      <c r="AI874" s="167">
        <f t="shared" si="576"/>
        <v>0</v>
      </c>
      <c r="AJ874" s="168">
        <f t="shared" si="577"/>
        <v>0</v>
      </c>
      <c r="AK874" s="169">
        <f t="shared" si="578"/>
        <v>0</v>
      </c>
      <c r="AL874" s="167">
        <f t="shared" si="579"/>
        <v>0</v>
      </c>
      <c r="AM874" s="585">
        <f t="shared" si="580"/>
        <v>0</v>
      </c>
      <c r="AN874" s="614"/>
      <c r="AO874" s="615"/>
      <c r="AP874" s="615"/>
      <c r="AQ874" s="616"/>
      <c r="AR874" s="612"/>
      <c r="AS874" s="617"/>
      <c r="AT874" s="618"/>
      <c r="AU874" s="618"/>
      <c r="AV874" s="618"/>
      <c r="AW874" s="619"/>
      <c r="AX874" s="614"/>
      <c r="AY874" s="616"/>
      <c r="AZ874" s="616"/>
      <c r="BA874" s="616"/>
      <c r="BB874" s="616"/>
      <c r="BC874" s="616"/>
      <c r="BD874" s="612"/>
      <c r="BE874" s="614"/>
      <c r="BF874" s="616"/>
      <c r="BG874" s="616"/>
      <c r="BH874" s="616"/>
      <c r="BI874" s="616"/>
      <c r="BJ874" s="616"/>
      <c r="BK874" s="1023"/>
      <c r="BL874" s="658"/>
    </row>
    <row r="875" spans="2:64">
      <c r="B875" s="1022"/>
      <c r="C875" s="607"/>
      <c r="D875" s="607"/>
      <c r="E875" s="1021"/>
      <c r="F875" s="1019">
        <v>872</v>
      </c>
      <c r="G875" s="609"/>
      <c r="H875" s="610"/>
      <c r="I875" s="611"/>
      <c r="J875" s="166">
        <f t="shared" si="551"/>
        <v>0</v>
      </c>
      <c r="K875" s="167">
        <f t="shared" si="552"/>
        <v>0</v>
      </c>
      <c r="L875" s="168">
        <f t="shared" si="553"/>
        <v>0</v>
      </c>
      <c r="M875" s="166">
        <f t="shared" si="554"/>
        <v>0</v>
      </c>
      <c r="N875" s="167">
        <f t="shared" si="555"/>
        <v>0</v>
      </c>
      <c r="O875" s="168">
        <f t="shared" si="556"/>
        <v>0</v>
      </c>
      <c r="P875" s="169">
        <f t="shared" si="557"/>
        <v>0</v>
      </c>
      <c r="Q875" s="169">
        <f t="shared" si="558"/>
        <v>0</v>
      </c>
      <c r="R875" s="169">
        <f t="shared" si="559"/>
        <v>0</v>
      </c>
      <c r="S875" s="584">
        <f t="shared" si="560"/>
        <v>0</v>
      </c>
      <c r="T875" s="594">
        <f t="shared" si="561"/>
        <v>0</v>
      </c>
      <c r="U875" s="595">
        <f t="shared" si="562"/>
        <v>0</v>
      </c>
      <c r="V875" s="166">
        <f t="shared" si="563"/>
        <v>0</v>
      </c>
      <c r="W875" s="167">
        <f t="shared" si="564"/>
        <v>0</v>
      </c>
      <c r="X875" s="168">
        <f t="shared" si="565"/>
        <v>0</v>
      </c>
      <c r="Y875" s="166">
        <f t="shared" si="566"/>
        <v>0</v>
      </c>
      <c r="Z875" s="167">
        <f t="shared" si="567"/>
        <v>0</v>
      </c>
      <c r="AA875" s="168">
        <f t="shared" si="568"/>
        <v>0</v>
      </c>
      <c r="AB875" s="166">
        <f t="shared" si="569"/>
        <v>0</v>
      </c>
      <c r="AC875" s="167">
        <f t="shared" si="570"/>
        <v>0</v>
      </c>
      <c r="AD875" s="168">
        <f t="shared" si="571"/>
        <v>0</v>
      </c>
      <c r="AE875" s="166">
        <f t="shared" si="572"/>
        <v>0</v>
      </c>
      <c r="AF875" s="167">
        <f t="shared" si="573"/>
        <v>0</v>
      </c>
      <c r="AG875" s="168">
        <f t="shared" si="574"/>
        <v>0</v>
      </c>
      <c r="AH875" s="166">
        <f t="shared" si="575"/>
        <v>0</v>
      </c>
      <c r="AI875" s="167">
        <f t="shared" si="576"/>
        <v>0</v>
      </c>
      <c r="AJ875" s="168">
        <f t="shared" si="577"/>
        <v>0</v>
      </c>
      <c r="AK875" s="169">
        <f t="shared" si="578"/>
        <v>0</v>
      </c>
      <c r="AL875" s="167">
        <f t="shared" si="579"/>
        <v>0</v>
      </c>
      <c r="AM875" s="585">
        <f t="shared" si="580"/>
        <v>0</v>
      </c>
      <c r="AN875" s="614"/>
      <c r="AO875" s="615"/>
      <c r="AP875" s="615"/>
      <c r="AQ875" s="616"/>
      <c r="AR875" s="612"/>
      <c r="AS875" s="617"/>
      <c r="AT875" s="618"/>
      <c r="AU875" s="618"/>
      <c r="AV875" s="618"/>
      <c r="AW875" s="619"/>
      <c r="AX875" s="614"/>
      <c r="AY875" s="616"/>
      <c r="AZ875" s="616"/>
      <c r="BA875" s="616"/>
      <c r="BB875" s="616"/>
      <c r="BC875" s="616"/>
      <c r="BD875" s="612"/>
      <c r="BE875" s="614"/>
      <c r="BF875" s="616"/>
      <c r="BG875" s="616"/>
      <c r="BH875" s="616"/>
      <c r="BI875" s="616"/>
      <c r="BJ875" s="616"/>
      <c r="BK875" s="1023"/>
      <c r="BL875" s="658"/>
    </row>
    <row r="876" spans="2:64">
      <c r="B876" s="1022"/>
      <c r="C876" s="607"/>
      <c r="D876" s="607"/>
      <c r="E876" s="1021"/>
      <c r="F876" s="608">
        <v>873</v>
      </c>
      <c r="G876" s="609"/>
      <c r="H876" s="610"/>
      <c r="I876" s="611"/>
      <c r="J876" s="166">
        <f t="shared" si="551"/>
        <v>0</v>
      </c>
      <c r="K876" s="167">
        <f t="shared" si="552"/>
        <v>0</v>
      </c>
      <c r="L876" s="168">
        <f t="shared" si="553"/>
        <v>0</v>
      </c>
      <c r="M876" s="166">
        <f t="shared" si="554"/>
        <v>0</v>
      </c>
      <c r="N876" s="167">
        <f t="shared" si="555"/>
        <v>0</v>
      </c>
      <c r="O876" s="168">
        <f t="shared" si="556"/>
        <v>0</v>
      </c>
      <c r="P876" s="169">
        <f t="shared" si="557"/>
        <v>0</v>
      </c>
      <c r="Q876" s="169">
        <f t="shared" si="558"/>
        <v>0</v>
      </c>
      <c r="R876" s="169">
        <f t="shared" si="559"/>
        <v>0</v>
      </c>
      <c r="S876" s="584">
        <f t="shared" si="560"/>
        <v>0</v>
      </c>
      <c r="T876" s="594">
        <f t="shared" si="561"/>
        <v>0</v>
      </c>
      <c r="U876" s="595">
        <f t="shared" si="562"/>
        <v>0</v>
      </c>
      <c r="V876" s="166">
        <f t="shared" si="563"/>
        <v>0</v>
      </c>
      <c r="W876" s="167">
        <f t="shared" si="564"/>
        <v>0</v>
      </c>
      <c r="X876" s="168">
        <f t="shared" si="565"/>
        <v>0</v>
      </c>
      <c r="Y876" s="166">
        <f t="shared" si="566"/>
        <v>0</v>
      </c>
      <c r="Z876" s="167">
        <f t="shared" si="567"/>
        <v>0</v>
      </c>
      <c r="AA876" s="168">
        <f t="shared" si="568"/>
        <v>0</v>
      </c>
      <c r="AB876" s="166">
        <f t="shared" si="569"/>
        <v>0</v>
      </c>
      <c r="AC876" s="167">
        <f t="shared" si="570"/>
        <v>0</v>
      </c>
      <c r="AD876" s="168">
        <f t="shared" si="571"/>
        <v>0</v>
      </c>
      <c r="AE876" s="166">
        <f t="shared" si="572"/>
        <v>0</v>
      </c>
      <c r="AF876" s="167">
        <f t="shared" si="573"/>
        <v>0</v>
      </c>
      <c r="AG876" s="168">
        <f t="shared" si="574"/>
        <v>0</v>
      </c>
      <c r="AH876" s="166">
        <f t="shared" si="575"/>
        <v>0</v>
      </c>
      <c r="AI876" s="167">
        <f t="shared" si="576"/>
        <v>0</v>
      </c>
      <c r="AJ876" s="168">
        <f t="shared" si="577"/>
        <v>0</v>
      </c>
      <c r="AK876" s="169">
        <f t="shared" si="578"/>
        <v>0</v>
      </c>
      <c r="AL876" s="167">
        <f t="shared" si="579"/>
        <v>0</v>
      </c>
      <c r="AM876" s="585">
        <f t="shared" si="580"/>
        <v>0</v>
      </c>
      <c r="AN876" s="614"/>
      <c r="AO876" s="615"/>
      <c r="AP876" s="615"/>
      <c r="AQ876" s="616"/>
      <c r="AR876" s="612"/>
      <c r="AS876" s="617"/>
      <c r="AT876" s="618"/>
      <c r="AU876" s="618"/>
      <c r="AV876" s="618"/>
      <c r="AW876" s="619"/>
      <c r="AX876" s="614"/>
      <c r="AY876" s="616"/>
      <c r="AZ876" s="616"/>
      <c r="BA876" s="616"/>
      <c r="BB876" s="616"/>
      <c r="BC876" s="616"/>
      <c r="BD876" s="612"/>
      <c r="BE876" s="614"/>
      <c r="BF876" s="616"/>
      <c r="BG876" s="616"/>
      <c r="BH876" s="616"/>
      <c r="BI876" s="616"/>
      <c r="BJ876" s="616"/>
      <c r="BK876" s="1023"/>
      <c r="BL876" s="658"/>
    </row>
    <row r="877" spans="2:64">
      <c r="B877" s="1022"/>
      <c r="C877" s="607"/>
      <c r="D877" s="607"/>
      <c r="E877" s="1021"/>
      <c r="F877" s="1019">
        <v>874</v>
      </c>
      <c r="G877" s="609"/>
      <c r="H877" s="610"/>
      <c r="I877" s="611"/>
      <c r="J877" s="166">
        <f t="shared" si="551"/>
        <v>0</v>
      </c>
      <c r="K877" s="167">
        <f t="shared" si="552"/>
        <v>0</v>
      </c>
      <c r="L877" s="168">
        <f t="shared" si="553"/>
        <v>0</v>
      </c>
      <c r="M877" s="166">
        <f t="shared" si="554"/>
        <v>0</v>
      </c>
      <c r="N877" s="167">
        <f t="shared" si="555"/>
        <v>0</v>
      </c>
      <c r="O877" s="168">
        <f t="shared" si="556"/>
        <v>0</v>
      </c>
      <c r="P877" s="169">
        <f t="shared" si="557"/>
        <v>0</v>
      </c>
      <c r="Q877" s="169">
        <f t="shared" si="558"/>
        <v>0</v>
      </c>
      <c r="R877" s="169">
        <f t="shared" si="559"/>
        <v>0</v>
      </c>
      <c r="S877" s="584">
        <f t="shared" si="560"/>
        <v>0</v>
      </c>
      <c r="T877" s="594">
        <f t="shared" si="561"/>
        <v>0</v>
      </c>
      <c r="U877" s="595">
        <f t="shared" si="562"/>
        <v>0</v>
      </c>
      <c r="V877" s="166">
        <f t="shared" si="563"/>
        <v>0</v>
      </c>
      <c r="W877" s="167">
        <f t="shared" si="564"/>
        <v>0</v>
      </c>
      <c r="X877" s="168">
        <f t="shared" si="565"/>
        <v>0</v>
      </c>
      <c r="Y877" s="166">
        <f t="shared" si="566"/>
        <v>0</v>
      </c>
      <c r="Z877" s="167">
        <f t="shared" si="567"/>
        <v>0</v>
      </c>
      <c r="AA877" s="168">
        <f t="shared" si="568"/>
        <v>0</v>
      </c>
      <c r="AB877" s="166">
        <f t="shared" si="569"/>
        <v>0</v>
      </c>
      <c r="AC877" s="167">
        <f t="shared" si="570"/>
        <v>0</v>
      </c>
      <c r="AD877" s="168">
        <f t="shared" si="571"/>
        <v>0</v>
      </c>
      <c r="AE877" s="166">
        <f t="shared" si="572"/>
        <v>0</v>
      </c>
      <c r="AF877" s="167">
        <f t="shared" si="573"/>
        <v>0</v>
      </c>
      <c r="AG877" s="168">
        <f t="shared" si="574"/>
        <v>0</v>
      </c>
      <c r="AH877" s="166">
        <f t="shared" si="575"/>
        <v>0</v>
      </c>
      <c r="AI877" s="167">
        <f t="shared" si="576"/>
        <v>0</v>
      </c>
      <c r="AJ877" s="168">
        <f t="shared" si="577"/>
        <v>0</v>
      </c>
      <c r="AK877" s="169">
        <f t="shared" si="578"/>
        <v>0</v>
      </c>
      <c r="AL877" s="167">
        <f t="shared" si="579"/>
        <v>0</v>
      </c>
      <c r="AM877" s="585">
        <f t="shared" si="580"/>
        <v>0</v>
      </c>
      <c r="AN877" s="614"/>
      <c r="AO877" s="615"/>
      <c r="AP877" s="615"/>
      <c r="AQ877" s="616"/>
      <c r="AR877" s="612"/>
      <c r="AS877" s="617"/>
      <c r="AT877" s="618"/>
      <c r="AU877" s="618"/>
      <c r="AV877" s="618"/>
      <c r="AW877" s="619"/>
      <c r="AX877" s="614"/>
      <c r="AY877" s="616"/>
      <c r="AZ877" s="616"/>
      <c r="BA877" s="616"/>
      <c r="BB877" s="616"/>
      <c r="BC877" s="616"/>
      <c r="BD877" s="612"/>
      <c r="BE877" s="614"/>
      <c r="BF877" s="616"/>
      <c r="BG877" s="616"/>
      <c r="BH877" s="616"/>
      <c r="BI877" s="616"/>
      <c r="BJ877" s="616"/>
      <c r="BK877" s="1023"/>
      <c r="BL877" s="658"/>
    </row>
    <row r="878" spans="2:64">
      <c r="B878" s="1022"/>
      <c r="C878" s="607"/>
      <c r="D878" s="607"/>
      <c r="E878" s="1021"/>
      <c r="F878" s="608">
        <v>875</v>
      </c>
      <c r="G878" s="609"/>
      <c r="H878" s="610"/>
      <c r="I878" s="611"/>
      <c r="J878" s="166">
        <f t="shared" si="551"/>
        <v>0</v>
      </c>
      <c r="K878" s="167">
        <f t="shared" si="552"/>
        <v>0</v>
      </c>
      <c r="L878" s="168">
        <f t="shared" si="553"/>
        <v>0</v>
      </c>
      <c r="M878" s="166">
        <f t="shared" si="554"/>
        <v>0</v>
      </c>
      <c r="N878" s="167">
        <f t="shared" si="555"/>
        <v>0</v>
      </c>
      <c r="O878" s="168">
        <f t="shared" si="556"/>
        <v>0</v>
      </c>
      <c r="P878" s="169">
        <f t="shared" si="557"/>
        <v>0</v>
      </c>
      <c r="Q878" s="169">
        <f t="shared" si="558"/>
        <v>0</v>
      </c>
      <c r="R878" s="169">
        <f t="shared" si="559"/>
        <v>0</v>
      </c>
      <c r="S878" s="584">
        <f t="shared" si="560"/>
        <v>0</v>
      </c>
      <c r="T878" s="594">
        <f t="shared" si="561"/>
        <v>0</v>
      </c>
      <c r="U878" s="595">
        <f t="shared" si="562"/>
        <v>0</v>
      </c>
      <c r="V878" s="166">
        <f t="shared" si="563"/>
        <v>0</v>
      </c>
      <c r="W878" s="167">
        <f t="shared" si="564"/>
        <v>0</v>
      </c>
      <c r="X878" s="168">
        <f t="shared" si="565"/>
        <v>0</v>
      </c>
      <c r="Y878" s="166">
        <f t="shared" si="566"/>
        <v>0</v>
      </c>
      <c r="Z878" s="167">
        <f t="shared" si="567"/>
        <v>0</v>
      </c>
      <c r="AA878" s="168">
        <f t="shared" si="568"/>
        <v>0</v>
      </c>
      <c r="AB878" s="166">
        <f t="shared" si="569"/>
        <v>0</v>
      </c>
      <c r="AC878" s="167">
        <f t="shared" si="570"/>
        <v>0</v>
      </c>
      <c r="AD878" s="168">
        <f t="shared" si="571"/>
        <v>0</v>
      </c>
      <c r="AE878" s="166">
        <f t="shared" si="572"/>
        <v>0</v>
      </c>
      <c r="AF878" s="167">
        <f t="shared" si="573"/>
        <v>0</v>
      </c>
      <c r="AG878" s="168">
        <f t="shared" si="574"/>
        <v>0</v>
      </c>
      <c r="AH878" s="166">
        <f t="shared" si="575"/>
        <v>0</v>
      </c>
      <c r="AI878" s="167">
        <f t="shared" si="576"/>
        <v>0</v>
      </c>
      <c r="AJ878" s="168">
        <f t="shared" si="577"/>
        <v>0</v>
      </c>
      <c r="AK878" s="169">
        <f t="shared" si="578"/>
        <v>0</v>
      </c>
      <c r="AL878" s="167">
        <f t="shared" si="579"/>
        <v>0</v>
      </c>
      <c r="AM878" s="585">
        <f t="shared" si="580"/>
        <v>0</v>
      </c>
      <c r="AN878" s="614"/>
      <c r="AO878" s="615"/>
      <c r="AP878" s="615"/>
      <c r="AQ878" s="616"/>
      <c r="AR878" s="612"/>
      <c r="AS878" s="617"/>
      <c r="AT878" s="618"/>
      <c r="AU878" s="618"/>
      <c r="AV878" s="618"/>
      <c r="AW878" s="619"/>
      <c r="AX878" s="614"/>
      <c r="AY878" s="616"/>
      <c r="AZ878" s="616"/>
      <c r="BA878" s="616"/>
      <c r="BB878" s="616"/>
      <c r="BC878" s="616"/>
      <c r="BD878" s="612"/>
      <c r="BE878" s="614"/>
      <c r="BF878" s="616"/>
      <c r="BG878" s="616"/>
      <c r="BH878" s="616"/>
      <c r="BI878" s="616"/>
      <c r="BJ878" s="616"/>
      <c r="BK878" s="1023"/>
      <c r="BL878" s="658"/>
    </row>
    <row r="879" spans="2:64">
      <c r="B879" s="1022"/>
      <c r="C879" s="607"/>
      <c r="D879" s="607"/>
      <c r="E879" s="1021"/>
      <c r="F879" s="1019">
        <v>876</v>
      </c>
      <c r="G879" s="609"/>
      <c r="H879" s="610"/>
      <c r="I879" s="611"/>
      <c r="J879" s="166">
        <f t="shared" si="551"/>
        <v>0</v>
      </c>
      <c r="K879" s="167">
        <f t="shared" si="552"/>
        <v>0</v>
      </c>
      <c r="L879" s="168">
        <f t="shared" si="553"/>
        <v>0</v>
      </c>
      <c r="M879" s="166">
        <f t="shared" si="554"/>
        <v>0</v>
      </c>
      <c r="N879" s="167">
        <f t="shared" si="555"/>
        <v>0</v>
      </c>
      <c r="O879" s="168">
        <f t="shared" si="556"/>
        <v>0</v>
      </c>
      <c r="P879" s="169">
        <f t="shared" si="557"/>
        <v>0</v>
      </c>
      <c r="Q879" s="169">
        <f t="shared" si="558"/>
        <v>0</v>
      </c>
      <c r="R879" s="169">
        <f t="shared" si="559"/>
        <v>0</v>
      </c>
      <c r="S879" s="584">
        <f t="shared" si="560"/>
        <v>0</v>
      </c>
      <c r="T879" s="594">
        <f t="shared" si="561"/>
        <v>0</v>
      </c>
      <c r="U879" s="595">
        <f t="shared" si="562"/>
        <v>0</v>
      </c>
      <c r="V879" s="166">
        <f t="shared" si="563"/>
        <v>0</v>
      </c>
      <c r="W879" s="167">
        <f t="shared" si="564"/>
        <v>0</v>
      </c>
      <c r="X879" s="168">
        <f t="shared" si="565"/>
        <v>0</v>
      </c>
      <c r="Y879" s="166">
        <f t="shared" si="566"/>
        <v>0</v>
      </c>
      <c r="Z879" s="167">
        <f t="shared" si="567"/>
        <v>0</v>
      </c>
      <c r="AA879" s="168">
        <f t="shared" si="568"/>
        <v>0</v>
      </c>
      <c r="AB879" s="166">
        <f t="shared" si="569"/>
        <v>0</v>
      </c>
      <c r="AC879" s="167">
        <f t="shared" si="570"/>
        <v>0</v>
      </c>
      <c r="AD879" s="168">
        <f t="shared" si="571"/>
        <v>0</v>
      </c>
      <c r="AE879" s="166">
        <f t="shared" si="572"/>
        <v>0</v>
      </c>
      <c r="AF879" s="167">
        <f t="shared" si="573"/>
        <v>0</v>
      </c>
      <c r="AG879" s="168">
        <f t="shared" si="574"/>
        <v>0</v>
      </c>
      <c r="AH879" s="166">
        <f t="shared" si="575"/>
        <v>0</v>
      </c>
      <c r="AI879" s="167">
        <f t="shared" si="576"/>
        <v>0</v>
      </c>
      <c r="AJ879" s="168">
        <f t="shared" si="577"/>
        <v>0</v>
      </c>
      <c r="AK879" s="169">
        <f t="shared" si="578"/>
        <v>0</v>
      </c>
      <c r="AL879" s="167">
        <f t="shared" si="579"/>
        <v>0</v>
      </c>
      <c r="AM879" s="585">
        <f t="shared" si="580"/>
        <v>0</v>
      </c>
      <c r="AN879" s="614"/>
      <c r="AO879" s="615"/>
      <c r="AP879" s="615"/>
      <c r="AQ879" s="616"/>
      <c r="AR879" s="612"/>
      <c r="AS879" s="617"/>
      <c r="AT879" s="618"/>
      <c r="AU879" s="618"/>
      <c r="AV879" s="618"/>
      <c r="AW879" s="619"/>
      <c r="AX879" s="614"/>
      <c r="AY879" s="616"/>
      <c r="AZ879" s="616"/>
      <c r="BA879" s="616"/>
      <c r="BB879" s="616"/>
      <c r="BC879" s="616"/>
      <c r="BD879" s="612"/>
      <c r="BE879" s="614"/>
      <c r="BF879" s="616"/>
      <c r="BG879" s="616"/>
      <c r="BH879" s="616"/>
      <c r="BI879" s="616"/>
      <c r="BJ879" s="616"/>
      <c r="BK879" s="1023"/>
      <c r="BL879" s="658"/>
    </row>
    <row r="880" spans="2:64">
      <c r="B880" s="1022"/>
      <c r="C880" s="607"/>
      <c r="D880" s="607"/>
      <c r="E880" s="1021"/>
      <c r="F880" s="608">
        <v>877</v>
      </c>
      <c r="G880" s="609"/>
      <c r="H880" s="610"/>
      <c r="I880" s="611"/>
      <c r="J880" s="166">
        <f t="shared" si="551"/>
        <v>0</v>
      </c>
      <c r="K880" s="167">
        <f t="shared" si="552"/>
        <v>0</v>
      </c>
      <c r="L880" s="168">
        <f t="shared" si="553"/>
        <v>0</v>
      </c>
      <c r="M880" s="166">
        <f t="shared" si="554"/>
        <v>0</v>
      </c>
      <c r="N880" s="167">
        <f t="shared" si="555"/>
        <v>0</v>
      </c>
      <c r="O880" s="168">
        <f t="shared" si="556"/>
        <v>0</v>
      </c>
      <c r="P880" s="169">
        <f t="shared" si="557"/>
        <v>0</v>
      </c>
      <c r="Q880" s="169">
        <f t="shared" si="558"/>
        <v>0</v>
      </c>
      <c r="R880" s="169">
        <f t="shared" si="559"/>
        <v>0</v>
      </c>
      <c r="S880" s="584">
        <f t="shared" si="560"/>
        <v>0</v>
      </c>
      <c r="T880" s="594">
        <f t="shared" si="561"/>
        <v>0</v>
      </c>
      <c r="U880" s="595">
        <f t="shared" si="562"/>
        <v>0</v>
      </c>
      <c r="V880" s="166">
        <f t="shared" si="563"/>
        <v>0</v>
      </c>
      <c r="W880" s="167">
        <f t="shared" si="564"/>
        <v>0</v>
      </c>
      <c r="X880" s="168">
        <f t="shared" si="565"/>
        <v>0</v>
      </c>
      <c r="Y880" s="166">
        <f t="shared" si="566"/>
        <v>0</v>
      </c>
      <c r="Z880" s="167">
        <f t="shared" si="567"/>
        <v>0</v>
      </c>
      <c r="AA880" s="168">
        <f t="shared" si="568"/>
        <v>0</v>
      </c>
      <c r="AB880" s="166">
        <f t="shared" si="569"/>
        <v>0</v>
      </c>
      <c r="AC880" s="167">
        <f t="shared" si="570"/>
        <v>0</v>
      </c>
      <c r="AD880" s="168">
        <f t="shared" si="571"/>
        <v>0</v>
      </c>
      <c r="AE880" s="166">
        <f t="shared" si="572"/>
        <v>0</v>
      </c>
      <c r="AF880" s="167">
        <f t="shared" si="573"/>
        <v>0</v>
      </c>
      <c r="AG880" s="168">
        <f t="shared" si="574"/>
        <v>0</v>
      </c>
      <c r="AH880" s="166">
        <f t="shared" si="575"/>
        <v>0</v>
      </c>
      <c r="AI880" s="167">
        <f t="shared" si="576"/>
        <v>0</v>
      </c>
      <c r="AJ880" s="168">
        <f t="shared" si="577"/>
        <v>0</v>
      </c>
      <c r="AK880" s="169">
        <f t="shared" si="578"/>
        <v>0</v>
      </c>
      <c r="AL880" s="167">
        <f t="shared" si="579"/>
        <v>0</v>
      </c>
      <c r="AM880" s="585">
        <f t="shared" si="580"/>
        <v>0</v>
      </c>
      <c r="AN880" s="614"/>
      <c r="AO880" s="615"/>
      <c r="AP880" s="615"/>
      <c r="AQ880" s="616"/>
      <c r="AR880" s="612"/>
      <c r="AS880" s="617"/>
      <c r="AT880" s="618"/>
      <c r="AU880" s="618"/>
      <c r="AV880" s="618"/>
      <c r="AW880" s="619"/>
      <c r="AX880" s="614"/>
      <c r="AY880" s="616"/>
      <c r="AZ880" s="616"/>
      <c r="BA880" s="616"/>
      <c r="BB880" s="616"/>
      <c r="BC880" s="616"/>
      <c r="BD880" s="612"/>
      <c r="BE880" s="614"/>
      <c r="BF880" s="616"/>
      <c r="BG880" s="616"/>
      <c r="BH880" s="616"/>
      <c r="BI880" s="616"/>
      <c r="BJ880" s="616"/>
      <c r="BK880" s="1023"/>
      <c r="BL880" s="658"/>
    </row>
    <row r="881" spans="2:64">
      <c r="B881" s="1022"/>
      <c r="C881" s="607"/>
      <c r="D881" s="607"/>
      <c r="E881" s="1021"/>
      <c r="F881" s="1019">
        <v>878</v>
      </c>
      <c r="G881" s="609"/>
      <c r="H881" s="610"/>
      <c r="I881" s="611"/>
      <c r="J881" s="166">
        <f t="shared" si="551"/>
        <v>0</v>
      </c>
      <c r="K881" s="167">
        <f t="shared" si="552"/>
        <v>0</v>
      </c>
      <c r="L881" s="168">
        <f t="shared" si="553"/>
        <v>0</v>
      </c>
      <c r="M881" s="166">
        <f t="shared" si="554"/>
        <v>0</v>
      </c>
      <c r="N881" s="167">
        <f t="shared" si="555"/>
        <v>0</v>
      </c>
      <c r="O881" s="168">
        <f t="shared" si="556"/>
        <v>0</v>
      </c>
      <c r="P881" s="169">
        <f t="shared" si="557"/>
        <v>0</v>
      </c>
      <c r="Q881" s="169">
        <f t="shared" si="558"/>
        <v>0</v>
      </c>
      <c r="R881" s="169">
        <f t="shared" si="559"/>
        <v>0</v>
      </c>
      <c r="S881" s="584">
        <f t="shared" si="560"/>
        <v>0</v>
      </c>
      <c r="T881" s="594">
        <f t="shared" si="561"/>
        <v>0</v>
      </c>
      <c r="U881" s="595">
        <f t="shared" si="562"/>
        <v>0</v>
      </c>
      <c r="V881" s="166">
        <f t="shared" si="563"/>
        <v>0</v>
      </c>
      <c r="W881" s="167">
        <f t="shared" si="564"/>
        <v>0</v>
      </c>
      <c r="X881" s="168">
        <f t="shared" si="565"/>
        <v>0</v>
      </c>
      <c r="Y881" s="166">
        <f t="shared" si="566"/>
        <v>0</v>
      </c>
      <c r="Z881" s="167">
        <f t="shared" si="567"/>
        <v>0</v>
      </c>
      <c r="AA881" s="168">
        <f t="shared" si="568"/>
        <v>0</v>
      </c>
      <c r="AB881" s="166">
        <f t="shared" si="569"/>
        <v>0</v>
      </c>
      <c r="AC881" s="167">
        <f t="shared" si="570"/>
        <v>0</v>
      </c>
      <c r="AD881" s="168">
        <f t="shared" si="571"/>
        <v>0</v>
      </c>
      <c r="AE881" s="166">
        <f t="shared" si="572"/>
        <v>0</v>
      </c>
      <c r="AF881" s="167">
        <f t="shared" si="573"/>
        <v>0</v>
      </c>
      <c r="AG881" s="168">
        <f t="shared" si="574"/>
        <v>0</v>
      </c>
      <c r="AH881" s="166">
        <f t="shared" si="575"/>
        <v>0</v>
      </c>
      <c r="AI881" s="167">
        <f t="shared" si="576"/>
        <v>0</v>
      </c>
      <c r="AJ881" s="168">
        <f t="shared" si="577"/>
        <v>0</v>
      </c>
      <c r="AK881" s="169">
        <f t="shared" si="578"/>
        <v>0</v>
      </c>
      <c r="AL881" s="167">
        <f t="shared" si="579"/>
        <v>0</v>
      </c>
      <c r="AM881" s="585">
        <f t="shared" si="580"/>
        <v>0</v>
      </c>
      <c r="AN881" s="614"/>
      <c r="AO881" s="615"/>
      <c r="AP881" s="615"/>
      <c r="AQ881" s="616"/>
      <c r="AR881" s="612"/>
      <c r="AS881" s="617"/>
      <c r="AT881" s="618"/>
      <c r="AU881" s="618"/>
      <c r="AV881" s="618"/>
      <c r="AW881" s="619"/>
      <c r="AX881" s="614"/>
      <c r="AY881" s="616"/>
      <c r="AZ881" s="616"/>
      <c r="BA881" s="616"/>
      <c r="BB881" s="616"/>
      <c r="BC881" s="616"/>
      <c r="BD881" s="612"/>
      <c r="BE881" s="614"/>
      <c r="BF881" s="616"/>
      <c r="BG881" s="616"/>
      <c r="BH881" s="616"/>
      <c r="BI881" s="616"/>
      <c r="BJ881" s="616"/>
      <c r="BK881" s="1023"/>
      <c r="BL881" s="658"/>
    </row>
    <row r="882" spans="2:64">
      <c r="B882" s="1022"/>
      <c r="C882" s="607"/>
      <c r="D882" s="607"/>
      <c r="E882" s="1021"/>
      <c r="F882" s="608">
        <v>879</v>
      </c>
      <c r="G882" s="609"/>
      <c r="H882" s="610"/>
      <c r="I882" s="611"/>
      <c r="J882" s="166">
        <f t="shared" si="551"/>
        <v>0</v>
      </c>
      <c r="K882" s="167">
        <f t="shared" si="552"/>
        <v>0</v>
      </c>
      <c r="L882" s="168">
        <f t="shared" si="553"/>
        <v>0</v>
      </c>
      <c r="M882" s="166">
        <f t="shared" si="554"/>
        <v>0</v>
      </c>
      <c r="N882" s="167">
        <f t="shared" si="555"/>
        <v>0</v>
      </c>
      <c r="O882" s="168">
        <f t="shared" si="556"/>
        <v>0</v>
      </c>
      <c r="P882" s="169">
        <f t="shared" si="557"/>
        <v>0</v>
      </c>
      <c r="Q882" s="169">
        <f t="shared" si="558"/>
        <v>0</v>
      </c>
      <c r="R882" s="169">
        <f t="shared" si="559"/>
        <v>0</v>
      </c>
      <c r="S882" s="584">
        <f t="shared" si="560"/>
        <v>0</v>
      </c>
      <c r="T882" s="594">
        <f t="shared" si="561"/>
        <v>0</v>
      </c>
      <c r="U882" s="595">
        <f t="shared" si="562"/>
        <v>0</v>
      </c>
      <c r="V882" s="166">
        <f t="shared" si="563"/>
        <v>0</v>
      </c>
      <c r="W882" s="167">
        <f t="shared" si="564"/>
        <v>0</v>
      </c>
      <c r="X882" s="168">
        <f t="shared" si="565"/>
        <v>0</v>
      </c>
      <c r="Y882" s="166">
        <f t="shared" si="566"/>
        <v>0</v>
      </c>
      <c r="Z882" s="167">
        <f t="shared" si="567"/>
        <v>0</v>
      </c>
      <c r="AA882" s="168">
        <f t="shared" si="568"/>
        <v>0</v>
      </c>
      <c r="AB882" s="166">
        <f t="shared" si="569"/>
        <v>0</v>
      </c>
      <c r="AC882" s="167">
        <f t="shared" si="570"/>
        <v>0</v>
      </c>
      <c r="AD882" s="168">
        <f t="shared" si="571"/>
        <v>0</v>
      </c>
      <c r="AE882" s="166">
        <f t="shared" si="572"/>
        <v>0</v>
      </c>
      <c r="AF882" s="167">
        <f t="shared" si="573"/>
        <v>0</v>
      </c>
      <c r="AG882" s="168">
        <f t="shared" si="574"/>
        <v>0</v>
      </c>
      <c r="AH882" s="166">
        <f t="shared" si="575"/>
        <v>0</v>
      </c>
      <c r="AI882" s="167">
        <f t="shared" si="576"/>
        <v>0</v>
      </c>
      <c r="AJ882" s="168">
        <f t="shared" si="577"/>
        <v>0</v>
      </c>
      <c r="AK882" s="169">
        <f t="shared" si="578"/>
        <v>0</v>
      </c>
      <c r="AL882" s="167">
        <f t="shared" si="579"/>
        <v>0</v>
      </c>
      <c r="AM882" s="585">
        <f t="shared" si="580"/>
        <v>0</v>
      </c>
      <c r="AN882" s="614"/>
      <c r="AO882" s="615"/>
      <c r="AP882" s="615"/>
      <c r="AQ882" s="616"/>
      <c r="AR882" s="612"/>
      <c r="AS882" s="617"/>
      <c r="AT882" s="618"/>
      <c r="AU882" s="618"/>
      <c r="AV882" s="618"/>
      <c r="AW882" s="619"/>
      <c r="AX882" s="614"/>
      <c r="AY882" s="616"/>
      <c r="AZ882" s="616"/>
      <c r="BA882" s="616"/>
      <c r="BB882" s="616"/>
      <c r="BC882" s="616"/>
      <c r="BD882" s="612"/>
      <c r="BE882" s="614"/>
      <c r="BF882" s="616"/>
      <c r="BG882" s="616"/>
      <c r="BH882" s="616"/>
      <c r="BI882" s="616"/>
      <c r="BJ882" s="616"/>
      <c r="BK882" s="1023"/>
      <c r="BL882" s="658"/>
    </row>
    <row r="883" spans="2:64">
      <c r="B883" s="1022"/>
      <c r="C883" s="607"/>
      <c r="D883" s="607"/>
      <c r="E883" s="1021"/>
      <c r="F883" s="1019">
        <v>880</v>
      </c>
      <c r="G883" s="609"/>
      <c r="H883" s="610"/>
      <c r="I883" s="611"/>
      <c r="J883" s="166">
        <f t="shared" si="551"/>
        <v>0</v>
      </c>
      <c r="K883" s="167">
        <f t="shared" si="552"/>
        <v>0</v>
      </c>
      <c r="L883" s="168">
        <f t="shared" si="553"/>
        <v>0</v>
      </c>
      <c r="M883" s="166">
        <f t="shared" si="554"/>
        <v>0</v>
      </c>
      <c r="N883" s="167">
        <f t="shared" si="555"/>
        <v>0</v>
      </c>
      <c r="O883" s="168">
        <f t="shared" si="556"/>
        <v>0</v>
      </c>
      <c r="P883" s="169">
        <f t="shared" si="557"/>
        <v>0</v>
      </c>
      <c r="Q883" s="169">
        <f t="shared" si="558"/>
        <v>0</v>
      </c>
      <c r="R883" s="169">
        <f t="shared" si="559"/>
        <v>0</v>
      </c>
      <c r="S883" s="584">
        <f t="shared" si="560"/>
        <v>0</v>
      </c>
      <c r="T883" s="594">
        <f t="shared" si="561"/>
        <v>0</v>
      </c>
      <c r="U883" s="595">
        <f t="shared" si="562"/>
        <v>0</v>
      </c>
      <c r="V883" s="166">
        <f t="shared" si="563"/>
        <v>0</v>
      </c>
      <c r="W883" s="167">
        <f t="shared" si="564"/>
        <v>0</v>
      </c>
      <c r="X883" s="168">
        <f t="shared" si="565"/>
        <v>0</v>
      </c>
      <c r="Y883" s="166">
        <f t="shared" si="566"/>
        <v>0</v>
      </c>
      <c r="Z883" s="167">
        <f t="shared" si="567"/>
        <v>0</v>
      </c>
      <c r="AA883" s="168">
        <f t="shared" si="568"/>
        <v>0</v>
      </c>
      <c r="AB883" s="166">
        <f t="shared" si="569"/>
        <v>0</v>
      </c>
      <c r="AC883" s="167">
        <f t="shared" si="570"/>
        <v>0</v>
      </c>
      <c r="AD883" s="168">
        <f t="shared" si="571"/>
        <v>0</v>
      </c>
      <c r="AE883" s="166">
        <f t="shared" si="572"/>
        <v>0</v>
      </c>
      <c r="AF883" s="167">
        <f t="shared" si="573"/>
        <v>0</v>
      </c>
      <c r="AG883" s="168">
        <f t="shared" si="574"/>
        <v>0</v>
      </c>
      <c r="AH883" s="166">
        <f t="shared" si="575"/>
        <v>0</v>
      </c>
      <c r="AI883" s="167">
        <f t="shared" si="576"/>
        <v>0</v>
      </c>
      <c r="AJ883" s="168">
        <f t="shared" si="577"/>
        <v>0</v>
      </c>
      <c r="AK883" s="169">
        <f t="shared" si="578"/>
        <v>0</v>
      </c>
      <c r="AL883" s="167">
        <f t="shared" si="579"/>
        <v>0</v>
      </c>
      <c r="AM883" s="585">
        <f t="shared" si="580"/>
        <v>0</v>
      </c>
      <c r="AN883" s="614"/>
      <c r="AO883" s="615"/>
      <c r="AP883" s="615"/>
      <c r="AQ883" s="616"/>
      <c r="AR883" s="612"/>
      <c r="AS883" s="617"/>
      <c r="AT883" s="618"/>
      <c r="AU883" s="618"/>
      <c r="AV883" s="618"/>
      <c r="AW883" s="619"/>
      <c r="AX883" s="614"/>
      <c r="AY883" s="616"/>
      <c r="AZ883" s="616"/>
      <c r="BA883" s="616"/>
      <c r="BB883" s="616"/>
      <c r="BC883" s="616"/>
      <c r="BD883" s="612"/>
      <c r="BE883" s="614"/>
      <c r="BF883" s="616"/>
      <c r="BG883" s="616"/>
      <c r="BH883" s="616"/>
      <c r="BI883" s="616"/>
      <c r="BJ883" s="616"/>
      <c r="BK883" s="1023"/>
      <c r="BL883" s="658"/>
    </row>
    <row r="884" spans="2:64">
      <c r="B884" s="1022"/>
      <c r="C884" s="607"/>
      <c r="D884" s="607"/>
      <c r="E884" s="1021"/>
      <c r="F884" s="608">
        <v>881</v>
      </c>
      <c r="G884" s="609"/>
      <c r="H884" s="610"/>
      <c r="I884" s="611"/>
      <c r="J884" s="166">
        <f t="shared" si="551"/>
        <v>0</v>
      </c>
      <c r="K884" s="167">
        <f t="shared" si="552"/>
        <v>0</v>
      </c>
      <c r="L884" s="168">
        <f t="shared" si="553"/>
        <v>0</v>
      </c>
      <c r="M884" s="166">
        <f t="shared" si="554"/>
        <v>0</v>
      </c>
      <c r="N884" s="167">
        <f t="shared" si="555"/>
        <v>0</v>
      </c>
      <c r="O884" s="168">
        <f t="shared" si="556"/>
        <v>0</v>
      </c>
      <c r="P884" s="169">
        <f t="shared" si="557"/>
        <v>0</v>
      </c>
      <c r="Q884" s="169">
        <f t="shared" si="558"/>
        <v>0</v>
      </c>
      <c r="R884" s="169">
        <f t="shared" si="559"/>
        <v>0</v>
      </c>
      <c r="S884" s="584">
        <f t="shared" si="560"/>
        <v>0</v>
      </c>
      <c r="T884" s="594">
        <f t="shared" si="561"/>
        <v>0</v>
      </c>
      <c r="U884" s="595">
        <f t="shared" si="562"/>
        <v>0</v>
      </c>
      <c r="V884" s="166">
        <f t="shared" si="563"/>
        <v>0</v>
      </c>
      <c r="W884" s="167">
        <f t="shared" si="564"/>
        <v>0</v>
      </c>
      <c r="X884" s="168">
        <f t="shared" si="565"/>
        <v>0</v>
      </c>
      <c r="Y884" s="166">
        <f t="shared" si="566"/>
        <v>0</v>
      </c>
      <c r="Z884" s="167">
        <f t="shared" si="567"/>
        <v>0</v>
      </c>
      <c r="AA884" s="168">
        <f t="shared" si="568"/>
        <v>0</v>
      </c>
      <c r="AB884" s="166">
        <f t="shared" si="569"/>
        <v>0</v>
      </c>
      <c r="AC884" s="167">
        <f t="shared" si="570"/>
        <v>0</v>
      </c>
      <c r="AD884" s="168">
        <f t="shared" si="571"/>
        <v>0</v>
      </c>
      <c r="AE884" s="166">
        <f t="shared" si="572"/>
        <v>0</v>
      </c>
      <c r="AF884" s="167">
        <f t="shared" si="573"/>
        <v>0</v>
      </c>
      <c r="AG884" s="168">
        <f t="shared" si="574"/>
        <v>0</v>
      </c>
      <c r="AH884" s="166">
        <f t="shared" si="575"/>
        <v>0</v>
      </c>
      <c r="AI884" s="167">
        <f t="shared" si="576"/>
        <v>0</v>
      </c>
      <c r="AJ884" s="168">
        <f t="shared" si="577"/>
        <v>0</v>
      </c>
      <c r="AK884" s="169">
        <f t="shared" si="578"/>
        <v>0</v>
      </c>
      <c r="AL884" s="167">
        <f t="shared" si="579"/>
        <v>0</v>
      </c>
      <c r="AM884" s="585">
        <f t="shared" si="580"/>
        <v>0</v>
      </c>
      <c r="AN884" s="614"/>
      <c r="AO884" s="615"/>
      <c r="AP884" s="615"/>
      <c r="AQ884" s="616"/>
      <c r="AR884" s="612"/>
      <c r="AS884" s="617"/>
      <c r="AT884" s="618"/>
      <c r="AU884" s="618"/>
      <c r="AV884" s="618"/>
      <c r="AW884" s="619"/>
      <c r="AX884" s="614"/>
      <c r="AY884" s="616"/>
      <c r="AZ884" s="616"/>
      <c r="BA884" s="616"/>
      <c r="BB884" s="616"/>
      <c r="BC884" s="616"/>
      <c r="BD884" s="612"/>
      <c r="BE884" s="614"/>
      <c r="BF884" s="616"/>
      <c r="BG884" s="616"/>
      <c r="BH884" s="616"/>
      <c r="BI884" s="616"/>
      <c r="BJ884" s="616"/>
      <c r="BK884" s="1023"/>
      <c r="BL884" s="658"/>
    </row>
    <row r="885" spans="2:64">
      <c r="B885" s="1022"/>
      <c r="C885" s="607"/>
      <c r="D885" s="607"/>
      <c r="E885" s="1021"/>
      <c r="F885" s="1019">
        <v>882</v>
      </c>
      <c r="G885" s="609"/>
      <c r="H885" s="610"/>
      <c r="I885" s="611"/>
      <c r="J885" s="166">
        <f t="shared" si="551"/>
        <v>0</v>
      </c>
      <c r="K885" s="167">
        <f t="shared" si="552"/>
        <v>0</v>
      </c>
      <c r="L885" s="168">
        <f t="shared" si="553"/>
        <v>0</v>
      </c>
      <c r="M885" s="166">
        <f t="shared" si="554"/>
        <v>0</v>
      </c>
      <c r="N885" s="167">
        <f t="shared" si="555"/>
        <v>0</v>
      </c>
      <c r="O885" s="168">
        <f t="shared" si="556"/>
        <v>0</v>
      </c>
      <c r="P885" s="169">
        <f t="shared" si="557"/>
        <v>0</v>
      </c>
      <c r="Q885" s="169">
        <f t="shared" si="558"/>
        <v>0</v>
      </c>
      <c r="R885" s="169">
        <f t="shared" si="559"/>
        <v>0</v>
      </c>
      <c r="S885" s="584">
        <f t="shared" si="560"/>
        <v>0</v>
      </c>
      <c r="T885" s="594">
        <f t="shared" si="561"/>
        <v>0</v>
      </c>
      <c r="U885" s="595">
        <f t="shared" si="562"/>
        <v>0</v>
      </c>
      <c r="V885" s="166">
        <f t="shared" si="563"/>
        <v>0</v>
      </c>
      <c r="W885" s="167">
        <f t="shared" si="564"/>
        <v>0</v>
      </c>
      <c r="X885" s="168">
        <f t="shared" si="565"/>
        <v>0</v>
      </c>
      <c r="Y885" s="166">
        <f t="shared" si="566"/>
        <v>0</v>
      </c>
      <c r="Z885" s="167">
        <f t="shared" si="567"/>
        <v>0</v>
      </c>
      <c r="AA885" s="168">
        <f t="shared" si="568"/>
        <v>0</v>
      </c>
      <c r="AB885" s="166">
        <f t="shared" si="569"/>
        <v>0</v>
      </c>
      <c r="AC885" s="167">
        <f t="shared" si="570"/>
        <v>0</v>
      </c>
      <c r="AD885" s="168">
        <f t="shared" si="571"/>
        <v>0</v>
      </c>
      <c r="AE885" s="166">
        <f t="shared" si="572"/>
        <v>0</v>
      </c>
      <c r="AF885" s="167">
        <f t="shared" si="573"/>
        <v>0</v>
      </c>
      <c r="AG885" s="168">
        <f t="shared" si="574"/>
        <v>0</v>
      </c>
      <c r="AH885" s="166">
        <f t="shared" si="575"/>
        <v>0</v>
      </c>
      <c r="AI885" s="167">
        <f t="shared" si="576"/>
        <v>0</v>
      </c>
      <c r="AJ885" s="168">
        <f t="shared" si="577"/>
        <v>0</v>
      </c>
      <c r="AK885" s="169">
        <f t="shared" si="578"/>
        <v>0</v>
      </c>
      <c r="AL885" s="167">
        <f t="shared" si="579"/>
        <v>0</v>
      </c>
      <c r="AM885" s="585">
        <f t="shared" si="580"/>
        <v>0</v>
      </c>
      <c r="AN885" s="614"/>
      <c r="AO885" s="615"/>
      <c r="AP885" s="615"/>
      <c r="AQ885" s="616"/>
      <c r="AR885" s="612"/>
      <c r="AS885" s="617"/>
      <c r="AT885" s="618"/>
      <c r="AU885" s="618"/>
      <c r="AV885" s="618"/>
      <c r="AW885" s="619"/>
      <c r="AX885" s="614"/>
      <c r="AY885" s="616"/>
      <c r="AZ885" s="616"/>
      <c r="BA885" s="616"/>
      <c r="BB885" s="616"/>
      <c r="BC885" s="616"/>
      <c r="BD885" s="612"/>
      <c r="BE885" s="614"/>
      <c r="BF885" s="616"/>
      <c r="BG885" s="616"/>
      <c r="BH885" s="616"/>
      <c r="BI885" s="616"/>
      <c r="BJ885" s="616"/>
      <c r="BK885" s="1023"/>
      <c r="BL885" s="658"/>
    </row>
    <row r="886" spans="2:64">
      <c r="B886" s="1022"/>
      <c r="C886" s="607"/>
      <c r="D886" s="607"/>
      <c r="E886" s="1021"/>
      <c r="F886" s="608">
        <v>883</v>
      </c>
      <c r="G886" s="609"/>
      <c r="H886" s="610"/>
      <c r="I886" s="611"/>
      <c r="J886" s="166">
        <f t="shared" si="551"/>
        <v>0</v>
      </c>
      <c r="K886" s="167">
        <f t="shared" si="552"/>
        <v>0</v>
      </c>
      <c r="L886" s="168">
        <f t="shared" si="553"/>
        <v>0</v>
      </c>
      <c r="M886" s="166">
        <f t="shared" si="554"/>
        <v>0</v>
      </c>
      <c r="N886" s="167">
        <f t="shared" si="555"/>
        <v>0</v>
      </c>
      <c r="O886" s="168">
        <f t="shared" si="556"/>
        <v>0</v>
      </c>
      <c r="P886" s="169">
        <f t="shared" si="557"/>
        <v>0</v>
      </c>
      <c r="Q886" s="169">
        <f t="shared" si="558"/>
        <v>0</v>
      </c>
      <c r="R886" s="169">
        <f t="shared" si="559"/>
        <v>0</v>
      </c>
      <c r="S886" s="584">
        <f t="shared" si="560"/>
        <v>0</v>
      </c>
      <c r="T886" s="594">
        <f t="shared" si="561"/>
        <v>0</v>
      </c>
      <c r="U886" s="595">
        <f t="shared" si="562"/>
        <v>0</v>
      </c>
      <c r="V886" s="166">
        <f t="shared" si="563"/>
        <v>0</v>
      </c>
      <c r="W886" s="167">
        <f t="shared" si="564"/>
        <v>0</v>
      </c>
      <c r="X886" s="168">
        <f t="shared" si="565"/>
        <v>0</v>
      </c>
      <c r="Y886" s="166">
        <f t="shared" si="566"/>
        <v>0</v>
      </c>
      <c r="Z886" s="167">
        <f t="shared" si="567"/>
        <v>0</v>
      </c>
      <c r="AA886" s="168">
        <f t="shared" si="568"/>
        <v>0</v>
      </c>
      <c r="AB886" s="166">
        <f t="shared" si="569"/>
        <v>0</v>
      </c>
      <c r="AC886" s="167">
        <f t="shared" si="570"/>
        <v>0</v>
      </c>
      <c r="AD886" s="168">
        <f t="shared" si="571"/>
        <v>0</v>
      </c>
      <c r="AE886" s="166">
        <f t="shared" si="572"/>
        <v>0</v>
      </c>
      <c r="AF886" s="167">
        <f t="shared" si="573"/>
        <v>0</v>
      </c>
      <c r="AG886" s="168">
        <f t="shared" si="574"/>
        <v>0</v>
      </c>
      <c r="AH886" s="166">
        <f t="shared" si="575"/>
        <v>0</v>
      </c>
      <c r="AI886" s="167">
        <f t="shared" si="576"/>
        <v>0</v>
      </c>
      <c r="AJ886" s="168">
        <f t="shared" si="577"/>
        <v>0</v>
      </c>
      <c r="AK886" s="169">
        <f t="shared" si="578"/>
        <v>0</v>
      </c>
      <c r="AL886" s="167">
        <f t="shared" si="579"/>
        <v>0</v>
      </c>
      <c r="AM886" s="585">
        <f t="shared" si="580"/>
        <v>0</v>
      </c>
      <c r="AN886" s="614"/>
      <c r="AO886" s="615"/>
      <c r="AP886" s="615"/>
      <c r="AQ886" s="616"/>
      <c r="AR886" s="612"/>
      <c r="AS886" s="617"/>
      <c r="AT886" s="618"/>
      <c r="AU886" s="618"/>
      <c r="AV886" s="618"/>
      <c r="AW886" s="619"/>
      <c r="AX886" s="614"/>
      <c r="AY886" s="616"/>
      <c r="AZ886" s="616"/>
      <c r="BA886" s="616"/>
      <c r="BB886" s="616"/>
      <c r="BC886" s="616"/>
      <c r="BD886" s="612"/>
      <c r="BE886" s="614"/>
      <c r="BF886" s="616"/>
      <c r="BG886" s="616"/>
      <c r="BH886" s="616"/>
      <c r="BI886" s="616"/>
      <c r="BJ886" s="616"/>
      <c r="BK886" s="1023"/>
      <c r="BL886" s="658"/>
    </row>
    <row r="887" spans="2:64">
      <c r="B887" s="1022"/>
      <c r="C887" s="607"/>
      <c r="D887" s="607"/>
      <c r="E887" s="1021"/>
      <c r="F887" s="1019">
        <v>884</v>
      </c>
      <c r="G887" s="609"/>
      <c r="H887" s="610"/>
      <c r="I887" s="611"/>
      <c r="J887" s="166">
        <f t="shared" si="551"/>
        <v>0</v>
      </c>
      <c r="K887" s="167">
        <f t="shared" si="552"/>
        <v>0</v>
      </c>
      <c r="L887" s="168">
        <f t="shared" si="553"/>
        <v>0</v>
      </c>
      <c r="M887" s="166">
        <f t="shared" si="554"/>
        <v>0</v>
      </c>
      <c r="N887" s="167">
        <f t="shared" si="555"/>
        <v>0</v>
      </c>
      <c r="O887" s="168">
        <f t="shared" si="556"/>
        <v>0</v>
      </c>
      <c r="P887" s="169">
        <f t="shared" si="557"/>
        <v>0</v>
      </c>
      <c r="Q887" s="169">
        <f t="shared" si="558"/>
        <v>0</v>
      </c>
      <c r="R887" s="169">
        <f t="shared" si="559"/>
        <v>0</v>
      </c>
      <c r="S887" s="584">
        <f t="shared" si="560"/>
        <v>0</v>
      </c>
      <c r="T887" s="594">
        <f t="shared" si="561"/>
        <v>0</v>
      </c>
      <c r="U887" s="595">
        <f t="shared" si="562"/>
        <v>0</v>
      </c>
      <c r="V887" s="166">
        <f t="shared" si="563"/>
        <v>0</v>
      </c>
      <c r="W887" s="167">
        <f t="shared" si="564"/>
        <v>0</v>
      </c>
      <c r="X887" s="168">
        <f t="shared" si="565"/>
        <v>0</v>
      </c>
      <c r="Y887" s="166">
        <f t="shared" si="566"/>
        <v>0</v>
      </c>
      <c r="Z887" s="167">
        <f t="shared" si="567"/>
        <v>0</v>
      </c>
      <c r="AA887" s="168">
        <f t="shared" si="568"/>
        <v>0</v>
      </c>
      <c r="AB887" s="166">
        <f t="shared" si="569"/>
        <v>0</v>
      </c>
      <c r="AC887" s="167">
        <f t="shared" si="570"/>
        <v>0</v>
      </c>
      <c r="AD887" s="168">
        <f t="shared" si="571"/>
        <v>0</v>
      </c>
      <c r="AE887" s="166">
        <f t="shared" si="572"/>
        <v>0</v>
      </c>
      <c r="AF887" s="167">
        <f t="shared" si="573"/>
        <v>0</v>
      </c>
      <c r="AG887" s="168">
        <f t="shared" si="574"/>
        <v>0</v>
      </c>
      <c r="AH887" s="166">
        <f t="shared" si="575"/>
        <v>0</v>
      </c>
      <c r="AI887" s="167">
        <f t="shared" si="576"/>
        <v>0</v>
      </c>
      <c r="AJ887" s="168">
        <f t="shared" si="577"/>
        <v>0</v>
      </c>
      <c r="AK887" s="169">
        <f t="shared" si="578"/>
        <v>0</v>
      </c>
      <c r="AL887" s="167">
        <f t="shared" si="579"/>
        <v>0</v>
      </c>
      <c r="AM887" s="585">
        <f t="shared" si="580"/>
        <v>0</v>
      </c>
      <c r="AN887" s="614"/>
      <c r="AO887" s="615"/>
      <c r="AP887" s="615"/>
      <c r="AQ887" s="616"/>
      <c r="AR887" s="612"/>
      <c r="AS887" s="617"/>
      <c r="AT887" s="618"/>
      <c r="AU887" s="618"/>
      <c r="AV887" s="618"/>
      <c r="AW887" s="619"/>
      <c r="AX887" s="614"/>
      <c r="AY887" s="616"/>
      <c r="AZ887" s="616"/>
      <c r="BA887" s="616"/>
      <c r="BB887" s="616"/>
      <c r="BC887" s="616"/>
      <c r="BD887" s="612"/>
      <c r="BE887" s="614"/>
      <c r="BF887" s="616"/>
      <c r="BG887" s="616"/>
      <c r="BH887" s="616"/>
      <c r="BI887" s="616"/>
      <c r="BJ887" s="616"/>
      <c r="BK887" s="1023"/>
      <c r="BL887" s="658"/>
    </row>
    <row r="888" spans="2:64">
      <c r="B888" s="1022"/>
      <c r="C888" s="607"/>
      <c r="D888" s="607"/>
      <c r="E888" s="1021"/>
      <c r="F888" s="608">
        <v>885</v>
      </c>
      <c r="G888" s="609"/>
      <c r="H888" s="610"/>
      <c r="I888" s="611"/>
      <c r="J888" s="166">
        <f t="shared" si="551"/>
        <v>0</v>
      </c>
      <c r="K888" s="167">
        <f t="shared" si="552"/>
        <v>0</v>
      </c>
      <c r="L888" s="168">
        <f t="shared" si="553"/>
        <v>0</v>
      </c>
      <c r="M888" s="166">
        <f t="shared" si="554"/>
        <v>0</v>
      </c>
      <c r="N888" s="167">
        <f t="shared" si="555"/>
        <v>0</v>
      </c>
      <c r="O888" s="168">
        <f t="shared" si="556"/>
        <v>0</v>
      </c>
      <c r="P888" s="169">
        <f t="shared" si="557"/>
        <v>0</v>
      </c>
      <c r="Q888" s="169">
        <f t="shared" si="558"/>
        <v>0</v>
      </c>
      <c r="R888" s="169">
        <f t="shared" si="559"/>
        <v>0</v>
      </c>
      <c r="S888" s="584">
        <f t="shared" si="560"/>
        <v>0</v>
      </c>
      <c r="T888" s="594">
        <f t="shared" si="561"/>
        <v>0</v>
      </c>
      <c r="U888" s="595">
        <f t="shared" si="562"/>
        <v>0</v>
      </c>
      <c r="V888" s="166">
        <f t="shared" si="563"/>
        <v>0</v>
      </c>
      <c r="W888" s="167">
        <f t="shared" si="564"/>
        <v>0</v>
      </c>
      <c r="X888" s="168">
        <f t="shared" si="565"/>
        <v>0</v>
      </c>
      <c r="Y888" s="166">
        <f t="shared" si="566"/>
        <v>0</v>
      </c>
      <c r="Z888" s="167">
        <f t="shared" si="567"/>
        <v>0</v>
      </c>
      <c r="AA888" s="168">
        <f t="shared" si="568"/>
        <v>0</v>
      </c>
      <c r="AB888" s="166">
        <f t="shared" si="569"/>
        <v>0</v>
      </c>
      <c r="AC888" s="167">
        <f t="shared" si="570"/>
        <v>0</v>
      </c>
      <c r="AD888" s="168">
        <f t="shared" si="571"/>
        <v>0</v>
      </c>
      <c r="AE888" s="166">
        <f t="shared" si="572"/>
        <v>0</v>
      </c>
      <c r="AF888" s="167">
        <f t="shared" si="573"/>
        <v>0</v>
      </c>
      <c r="AG888" s="168">
        <f t="shared" si="574"/>
        <v>0</v>
      </c>
      <c r="AH888" s="166">
        <f t="shared" si="575"/>
        <v>0</v>
      </c>
      <c r="AI888" s="167">
        <f t="shared" si="576"/>
        <v>0</v>
      </c>
      <c r="AJ888" s="168">
        <f t="shared" si="577"/>
        <v>0</v>
      </c>
      <c r="AK888" s="169">
        <f t="shared" si="578"/>
        <v>0</v>
      </c>
      <c r="AL888" s="167">
        <f t="shared" si="579"/>
        <v>0</v>
      </c>
      <c r="AM888" s="585">
        <f t="shared" si="580"/>
        <v>0</v>
      </c>
      <c r="AN888" s="614"/>
      <c r="AO888" s="615"/>
      <c r="AP888" s="615"/>
      <c r="AQ888" s="616"/>
      <c r="AR888" s="612"/>
      <c r="AS888" s="617"/>
      <c r="AT888" s="618"/>
      <c r="AU888" s="618"/>
      <c r="AV888" s="618"/>
      <c r="AW888" s="619"/>
      <c r="AX888" s="614"/>
      <c r="AY888" s="616"/>
      <c r="AZ888" s="616"/>
      <c r="BA888" s="616"/>
      <c r="BB888" s="616"/>
      <c r="BC888" s="616"/>
      <c r="BD888" s="612"/>
      <c r="BE888" s="614"/>
      <c r="BF888" s="616"/>
      <c r="BG888" s="616"/>
      <c r="BH888" s="616"/>
      <c r="BI888" s="616"/>
      <c r="BJ888" s="616"/>
      <c r="BK888" s="1023"/>
      <c r="BL888" s="658"/>
    </row>
    <row r="889" spans="2:64">
      <c r="B889" s="1022"/>
      <c r="C889" s="607"/>
      <c r="D889" s="607"/>
      <c r="E889" s="1021"/>
      <c r="F889" s="1019">
        <v>886</v>
      </c>
      <c r="G889" s="609"/>
      <c r="H889" s="610"/>
      <c r="I889" s="611"/>
      <c r="J889" s="166">
        <f t="shared" si="551"/>
        <v>0</v>
      </c>
      <c r="K889" s="167">
        <f t="shared" si="552"/>
        <v>0</v>
      </c>
      <c r="L889" s="168">
        <f t="shared" si="553"/>
        <v>0</v>
      </c>
      <c r="M889" s="166">
        <f t="shared" si="554"/>
        <v>0</v>
      </c>
      <c r="N889" s="167">
        <f t="shared" si="555"/>
        <v>0</v>
      </c>
      <c r="O889" s="168">
        <f t="shared" si="556"/>
        <v>0</v>
      </c>
      <c r="P889" s="169">
        <f t="shared" si="557"/>
        <v>0</v>
      </c>
      <c r="Q889" s="169">
        <f t="shared" si="558"/>
        <v>0</v>
      </c>
      <c r="R889" s="169">
        <f t="shared" si="559"/>
        <v>0</v>
      </c>
      <c r="S889" s="584">
        <f t="shared" si="560"/>
        <v>0</v>
      </c>
      <c r="T889" s="594">
        <f t="shared" si="561"/>
        <v>0</v>
      </c>
      <c r="U889" s="595">
        <f t="shared" si="562"/>
        <v>0</v>
      </c>
      <c r="V889" s="166">
        <f t="shared" si="563"/>
        <v>0</v>
      </c>
      <c r="W889" s="167">
        <f t="shared" si="564"/>
        <v>0</v>
      </c>
      <c r="X889" s="168">
        <f t="shared" si="565"/>
        <v>0</v>
      </c>
      <c r="Y889" s="166">
        <f t="shared" si="566"/>
        <v>0</v>
      </c>
      <c r="Z889" s="167">
        <f t="shared" si="567"/>
        <v>0</v>
      </c>
      <c r="AA889" s="168">
        <f t="shared" si="568"/>
        <v>0</v>
      </c>
      <c r="AB889" s="166">
        <f t="shared" si="569"/>
        <v>0</v>
      </c>
      <c r="AC889" s="167">
        <f t="shared" si="570"/>
        <v>0</v>
      </c>
      <c r="AD889" s="168">
        <f t="shared" si="571"/>
        <v>0</v>
      </c>
      <c r="AE889" s="166">
        <f t="shared" si="572"/>
        <v>0</v>
      </c>
      <c r="AF889" s="167">
        <f t="shared" si="573"/>
        <v>0</v>
      </c>
      <c r="AG889" s="168">
        <f t="shared" si="574"/>
        <v>0</v>
      </c>
      <c r="AH889" s="166">
        <f t="shared" si="575"/>
        <v>0</v>
      </c>
      <c r="AI889" s="167">
        <f t="shared" si="576"/>
        <v>0</v>
      </c>
      <c r="AJ889" s="168">
        <f t="shared" si="577"/>
        <v>0</v>
      </c>
      <c r="AK889" s="169">
        <f t="shared" si="578"/>
        <v>0</v>
      </c>
      <c r="AL889" s="167">
        <f t="shared" si="579"/>
        <v>0</v>
      </c>
      <c r="AM889" s="585">
        <f t="shared" si="580"/>
        <v>0</v>
      </c>
      <c r="AN889" s="614"/>
      <c r="AO889" s="615"/>
      <c r="AP889" s="615"/>
      <c r="AQ889" s="616"/>
      <c r="AR889" s="612"/>
      <c r="AS889" s="617"/>
      <c r="AT889" s="618"/>
      <c r="AU889" s="618"/>
      <c r="AV889" s="618"/>
      <c r="AW889" s="619"/>
      <c r="AX889" s="614"/>
      <c r="AY889" s="616"/>
      <c r="AZ889" s="616"/>
      <c r="BA889" s="616"/>
      <c r="BB889" s="616"/>
      <c r="BC889" s="616"/>
      <c r="BD889" s="612"/>
      <c r="BE889" s="614"/>
      <c r="BF889" s="616"/>
      <c r="BG889" s="616"/>
      <c r="BH889" s="616"/>
      <c r="BI889" s="616"/>
      <c r="BJ889" s="616"/>
      <c r="BK889" s="1023"/>
      <c r="BL889" s="658"/>
    </row>
    <row r="890" spans="2:64">
      <c r="B890" s="1022"/>
      <c r="C890" s="607"/>
      <c r="D890" s="607"/>
      <c r="E890" s="1021"/>
      <c r="F890" s="608">
        <v>887</v>
      </c>
      <c r="G890" s="609"/>
      <c r="H890" s="610"/>
      <c r="I890" s="611"/>
      <c r="J890" s="166">
        <f t="shared" si="551"/>
        <v>0</v>
      </c>
      <c r="K890" s="167">
        <f t="shared" si="552"/>
        <v>0</v>
      </c>
      <c r="L890" s="168">
        <f t="shared" si="553"/>
        <v>0</v>
      </c>
      <c r="M890" s="166">
        <f t="shared" si="554"/>
        <v>0</v>
      </c>
      <c r="N890" s="167">
        <f t="shared" si="555"/>
        <v>0</v>
      </c>
      <c r="O890" s="168">
        <f t="shared" si="556"/>
        <v>0</v>
      </c>
      <c r="P890" s="169">
        <f t="shared" si="557"/>
        <v>0</v>
      </c>
      <c r="Q890" s="169">
        <f t="shared" si="558"/>
        <v>0</v>
      </c>
      <c r="R890" s="169">
        <f t="shared" si="559"/>
        <v>0</v>
      </c>
      <c r="S890" s="584">
        <f t="shared" si="560"/>
        <v>0</v>
      </c>
      <c r="T890" s="594">
        <f t="shared" si="561"/>
        <v>0</v>
      </c>
      <c r="U890" s="595">
        <f t="shared" si="562"/>
        <v>0</v>
      </c>
      <c r="V890" s="166">
        <f t="shared" si="563"/>
        <v>0</v>
      </c>
      <c r="W890" s="167">
        <f t="shared" si="564"/>
        <v>0</v>
      </c>
      <c r="X890" s="168">
        <f t="shared" si="565"/>
        <v>0</v>
      </c>
      <c r="Y890" s="166">
        <f t="shared" si="566"/>
        <v>0</v>
      </c>
      <c r="Z890" s="167">
        <f t="shared" si="567"/>
        <v>0</v>
      </c>
      <c r="AA890" s="168">
        <f t="shared" si="568"/>
        <v>0</v>
      </c>
      <c r="AB890" s="166">
        <f t="shared" si="569"/>
        <v>0</v>
      </c>
      <c r="AC890" s="167">
        <f t="shared" si="570"/>
        <v>0</v>
      </c>
      <c r="AD890" s="168">
        <f t="shared" si="571"/>
        <v>0</v>
      </c>
      <c r="AE890" s="166">
        <f t="shared" si="572"/>
        <v>0</v>
      </c>
      <c r="AF890" s="167">
        <f t="shared" si="573"/>
        <v>0</v>
      </c>
      <c r="AG890" s="168">
        <f t="shared" si="574"/>
        <v>0</v>
      </c>
      <c r="AH890" s="166">
        <f t="shared" si="575"/>
        <v>0</v>
      </c>
      <c r="AI890" s="167">
        <f t="shared" si="576"/>
        <v>0</v>
      </c>
      <c r="AJ890" s="168">
        <f t="shared" si="577"/>
        <v>0</v>
      </c>
      <c r="AK890" s="169">
        <f t="shared" si="578"/>
        <v>0</v>
      </c>
      <c r="AL890" s="167">
        <f t="shared" si="579"/>
        <v>0</v>
      </c>
      <c r="AM890" s="585">
        <f t="shared" si="580"/>
        <v>0</v>
      </c>
      <c r="AN890" s="614"/>
      <c r="AO890" s="615"/>
      <c r="AP890" s="615"/>
      <c r="AQ890" s="616"/>
      <c r="AR890" s="612"/>
      <c r="AS890" s="617"/>
      <c r="AT890" s="618"/>
      <c r="AU890" s="618"/>
      <c r="AV890" s="618"/>
      <c r="AW890" s="619"/>
      <c r="AX890" s="614"/>
      <c r="AY890" s="616"/>
      <c r="AZ890" s="616"/>
      <c r="BA890" s="616"/>
      <c r="BB890" s="616"/>
      <c r="BC890" s="616"/>
      <c r="BD890" s="612"/>
      <c r="BE890" s="614"/>
      <c r="BF890" s="616"/>
      <c r="BG890" s="616"/>
      <c r="BH890" s="616"/>
      <c r="BI890" s="616"/>
      <c r="BJ890" s="616"/>
      <c r="BK890" s="1023"/>
      <c r="BL890" s="658"/>
    </row>
    <row r="891" spans="2:64">
      <c r="B891" s="1022"/>
      <c r="C891" s="607"/>
      <c r="D891" s="607"/>
      <c r="E891" s="1021"/>
      <c r="F891" s="1019">
        <v>888</v>
      </c>
      <c r="G891" s="609"/>
      <c r="H891" s="610"/>
      <c r="I891" s="611"/>
      <c r="J891" s="166">
        <f t="shared" si="551"/>
        <v>0</v>
      </c>
      <c r="K891" s="167">
        <f t="shared" si="552"/>
        <v>0</v>
      </c>
      <c r="L891" s="168">
        <f t="shared" si="553"/>
        <v>0</v>
      </c>
      <c r="M891" s="166">
        <f t="shared" si="554"/>
        <v>0</v>
      </c>
      <c r="N891" s="167">
        <f t="shared" si="555"/>
        <v>0</v>
      </c>
      <c r="O891" s="168">
        <f t="shared" si="556"/>
        <v>0</v>
      </c>
      <c r="P891" s="169">
        <f t="shared" si="557"/>
        <v>0</v>
      </c>
      <c r="Q891" s="169">
        <f t="shared" si="558"/>
        <v>0</v>
      </c>
      <c r="R891" s="169">
        <f t="shared" si="559"/>
        <v>0</v>
      </c>
      <c r="S891" s="584">
        <f t="shared" si="560"/>
        <v>0</v>
      </c>
      <c r="T891" s="594">
        <f t="shared" si="561"/>
        <v>0</v>
      </c>
      <c r="U891" s="595">
        <f t="shared" si="562"/>
        <v>0</v>
      </c>
      <c r="V891" s="166">
        <f t="shared" si="563"/>
        <v>0</v>
      </c>
      <c r="W891" s="167">
        <f t="shared" si="564"/>
        <v>0</v>
      </c>
      <c r="X891" s="168">
        <f t="shared" si="565"/>
        <v>0</v>
      </c>
      <c r="Y891" s="166">
        <f t="shared" si="566"/>
        <v>0</v>
      </c>
      <c r="Z891" s="167">
        <f t="shared" si="567"/>
        <v>0</v>
      </c>
      <c r="AA891" s="168">
        <f t="shared" si="568"/>
        <v>0</v>
      </c>
      <c r="AB891" s="166">
        <f t="shared" si="569"/>
        <v>0</v>
      </c>
      <c r="AC891" s="167">
        <f t="shared" si="570"/>
        <v>0</v>
      </c>
      <c r="AD891" s="168">
        <f t="shared" si="571"/>
        <v>0</v>
      </c>
      <c r="AE891" s="166">
        <f t="shared" si="572"/>
        <v>0</v>
      </c>
      <c r="AF891" s="167">
        <f t="shared" si="573"/>
        <v>0</v>
      </c>
      <c r="AG891" s="168">
        <f t="shared" si="574"/>
        <v>0</v>
      </c>
      <c r="AH891" s="166">
        <f t="shared" si="575"/>
        <v>0</v>
      </c>
      <c r="AI891" s="167">
        <f t="shared" si="576"/>
        <v>0</v>
      </c>
      <c r="AJ891" s="168">
        <f t="shared" si="577"/>
        <v>0</v>
      </c>
      <c r="AK891" s="169">
        <f t="shared" si="578"/>
        <v>0</v>
      </c>
      <c r="AL891" s="167">
        <f t="shared" si="579"/>
        <v>0</v>
      </c>
      <c r="AM891" s="585">
        <f t="shared" si="580"/>
        <v>0</v>
      </c>
      <c r="AN891" s="614"/>
      <c r="AO891" s="615"/>
      <c r="AP891" s="615"/>
      <c r="AQ891" s="616"/>
      <c r="AR891" s="612"/>
      <c r="AS891" s="617"/>
      <c r="AT891" s="618"/>
      <c r="AU891" s="618"/>
      <c r="AV891" s="618"/>
      <c r="AW891" s="619"/>
      <c r="AX891" s="614"/>
      <c r="AY891" s="616"/>
      <c r="AZ891" s="616"/>
      <c r="BA891" s="616"/>
      <c r="BB891" s="616"/>
      <c r="BC891" s="616"/>
      <c r="BD891" s="612"/>
      <c r="BE891" s="614"/>
      <c r="BF891" s="616"/>
      <c r="BG891" s="616"/>
      <c r="BH891" s="616"/>
      <c r="BI891" s="616"/>
      <c r="BJ891" s="616"/>
      <c r="BK891" s="1023"/>
      <c r="BL891" s="658"/>
    </row>
    <row r="892" spans="2:64">
      <c r="B892" s="1022"/>
      <c r="C892" s="607"/>
      <c r="D892" s="607"/>
      <c r="E892" s="1021"/>
      <c r="F892" s="608">
        <v>889</v>
      </c>
      <c r="G892" s="609"/>
      <c r="H892" s="610"/>
      <c r="I892" s="611"/>
      <c r="J892" s="166">
        <f t="shared" si="551"/>
        <v>0</v>
      </c>
      <c r="K892" s="167">
        <f t="shared" si="552"/>
        <v>0</v>
      </c>
      <c r="L892" s="168">
        <f t="shared" si="553"/>
        <v>0</v>
      </c>
      <c r="M892" s="166">
        <f t="shared" si="554"/>
        <v>0</v>
      </c>
      <c r="N892" s="167">
        <f t="shared" si="555"/>
        <v>0</v>
      </c>
      <c r="O892" s="168">
        <f t="shared" si="556"/>
        <v>0</v>
      </c>
      <c r="P892" s="169">
        <f t="shared" si="557"/>
        <v>0</v>
      </c>
      <c r="Q892" s="169">
        <f t="shared" si="558"/>
        <v>0</v>
      </c>
      <c r="R892" s="169">
        <f t="shared" si="559"/>
        <v>0</v>
      </c>
      <c r="S892" s="584">
        <f t="shared" si="560"/>
        <v>0</v>
      </c>
      <c r="T892" s="594">
        <f t="shared" si="561"/>
        <v>0</v>
      </c>
      <c r="U892" s="595">
        <f t="shared" si="562"/>
        <v>0</v>
      </c>
      <c r="V892" s="166">
        <f t="shared" si="563"/>
        <v>0</v>
      </c>
      <c r="W892" s="167">
        <f t="shared" si="564"/>
        <v>0</v>
      </c>
      <c r="X892" s="168">
        <f t="shared" si="565"/>
        <v>0</v>
      </c>
      <c r="Y892" s="166">
        <f t="shared" si="566"/>
        <v>0</v>
      </c>
      <c r="Z892" s="167">
        <f t="shared" si="567"/>
        <v>0</v>
      </c>
      <c r="AA892" s="168">
        <f t="shared" si="568"/>
        <v>0</v>
      </c>
      <c r="AB892" s="166">
        <f t="shared" si="569"/>
        <v>0</v>
      </c>
      <c r="AC892" s="167">
        <f t="shared" si="570"/>
        <v>0</v>
      </c>
      <c r="AD892" s="168">
        <f t="shared" si="571"/>
        <v>0</v>
      </c>
      <c r="AE892" s="166">
        <f t="shared" si="572"/>
        <v>0</v>
      </c>
      <c r="AF892" s="167">
        <f t="shared" si="573"/>
        <v>0</v>
      </c>
      <c r="AG892" s="168">
        <f t="shared" si="574"/>
        <v>0</v>
      </c>
      <c r="AH892" s="166">
        <f t="shared" si="575"/>
        <v>0</v>
      </c>
      <c r="AI892" s="167">
        <f t="shared" si="576"/>
        <v>0</v>
      </c>
      <c r="AJ892" s="168">
        <f t="shared" si="577"/>
        <v>0</v>
      </c>
      <c r="AK892" s="169">
        <f t="shared" si="578"/>
        <v>0</v>
      </c>
      <c r="AL892" s="167">
        <f t="shared" si="579"/>
        <v>0</v>
      </c>
      <c r="AM892" s="585">
        <f t="shared" si="580"/>
        <v>0</v>
      </c>
      <c r="AN892" s="614"/>
      <c r="AO892" s="615"/>
      <c r="AP892" s="615"/>
      <c r="AQ892" s="616"/>
      <c r="AR892" s="612"/>
      <c r="AS892" s="617"/>
      <c r="AT892" s="618"/>
      <c r="AU892" s="618"/>
      <c r="AV892" s="618"/>
      <c r="AW892" s="619"/>
      <c r="AX892" s="614"/>
      <c r="AY892" s="616"/>
      <c r="AZ892" s="616"/>
      <c r="BA892" s="616"/>
      <c r="BB892" s="616"/>
      <c r="BC892" s="616"/>
      <c r="BD892" s="612"/>
      <c r="BE892" s="614"/>
      <c r="BF892" s="616"/>
      <c r="BG892" s="616"/>
      <c r="BH892" s="616"/>
      <c r="BI892" s="616"/>
      <c r="BJ892" s="616"/>
      <c r="BK892" s="1023"/>
      <c r="BL892" s="658"/>
    </row>
    <row r="893" spans="2:64">
      <c r="B893" s="1022"/>
      <c r="C893" s="607"/>
      <c r="D893" s="607"/>
      <c r="E893" s="1021"/>
      <c r="F893" s="1019">
        <v>890</v>
      </c>
      <c r="G893" s="609"/>
      <c r="H893" s="610"/>
      <c r="I893" s="611"/>
      <c r="J893" s="166">
        <f t="shared" si="551"/>
        <v>0</v>
      </c>
      <c r="K893" s="167">
        <f t="shared" si="552"/>
        <v>0</v>
      </c>
      <c r="L893" s="168">
        <f t="shared" si="553"/>
        <v>0</v>
      </c>
      <c r="M893" s="166">
        <f t="shared" si="554"/>
        <v>0</v>
      </c>
      <c r="N893" s="167">
        <f t="shared" si="555"/>
        <v>0</v>
      </c>
      <c r="O893" s="168">
        <f t="shared" si="556"/>
        <v>0</v>
      </c>
      <c r="P893" s="169">
        <f t="shared" si="557"/>
        <v>0</v>
      </c>
      <c r="Q893" s="169">
        <f t="shared" si="558"/>
        <v>0</v>
      </c>
      <c r="R893" s="169">
        <f t="shared" si="559"/>
        <v>0</v>
      </c>
      <c r="S893" s="584">
        <f t="shared" si="560"/>
        <v>0</v>
      </c>
      <c r="T893" s="594">
        <f t="shared" si="561"/>
        <v>0</v>
      </c>
      <c r="U893" s="595">
        <f t="shared" si="562"/>
        <v>0</v>
      </c>
      <c r="V893" s="166">
        <f t="shared" si="563"/>
        <v>0</v>
      </c>
      <c r="W893" s="167">
        <f t="shared" si="564"/>
        <v>0</v>
      </c>
      <c r="X893" s="168">
        <f t="shared" si="565"/>
        <v>0</v>
      </c>
      <c r="Y893" s="166">
        <f t="shared" si="566"/>
        <v>0</v>
      </c>
      <c r="Z893" s="167">
        <f t="shared" si="567"/>
        <v>0</v>
      </c>
      <c r="AA893" s="168">
        <f t="shared" si="568"/>
        <v>0</v>
      </c>
      <c r="AB893" s="166">
        <f t="shared" si="569"/>
        <v>0</v>
      </c>
      <c r="AC893" s="167">
        <f t="shared" si="570"/>
        <v>0</v>
      </c>
      <c r="AD893" s="168">
        <f t="shared" si="571"/>
        <v>0</v>
      </c>
      <c r="AE893" s="166">
        <f t="shared" si="572"/>
        <v>0</v>
      </c>
      <c r="AF893" s="167">
        <f t="shared" si="573"/>
        <v>0</v>
      </c>
      <c r="AG893" s="168">
        <f t="shared" si="574"/>
        <v>0</v>
      </c>
      <c r="AH893" s="166">
        <f t="shared" si="575"/>
        <v>0</v>
      </c>
      <c r="AI893" s="167">
        <f t="shared" si="576"/>
        <v>0</v>
      </c>
      <c r="AJ893" s="168">
        <f t="shared" si="577"/>
        <v>0</v>
      </c>
      <c r="AK893" s="169">
        <f t="shared" si="578"/>
        <v>0</v>
      </c>
      <c r="AL893" s="167">
        <f t="shared" si="579"/>
        <v>0</v>
      </c>
      <c r="AM893" s="585">
        <f t="shared" si="580"/>
        <v>0</v>
      </c>
      <c r="AN893" s="614"/>
      <c r="AO893" s="615"/>
      <c r="AP893" s="615"/>
      <c r="AQ893" s="616"/>
      <c r="AR893" s="612"/>
      <c r="AS893" s="617"/>
      <c r="AT893" s="618"/>
      <c r="AU893" s="618"/>
      <c r="AV893" s="618"/>
      <c r="AW893" s="619"/>
      <c r="AX893" s="614"/>
      <c r="AY893" s="616"/>
      <c r="AZ893" s="616"/>
      <c r="BA893" s="616"/>
      <c r="BB893" s="616"/>
      <c r="BC893" s="616"/>
      <c r="BD893" s="612"/>
      <c r="BE893" s="614"/>
      <c r="BF893" s="616"/>
      <c r="BG893" s="616"/>
      <c r="BH893" s="616"/>
      <c r="BI893" s="616"/>
      <c r="BJ893" s="616"/>
      <c r="BK893" s="1023"/>
      <c r="BL893" s="658"/>
    </row>
    <row r="894" spans="2:64">
      <c r="B894" s="1022"/>
      <c r="C894" s="607"/>
      <c r="D894" s="607"/>
      <c r="E894" s="1021"/>
      <c r="F894" s="608">
        <v>891</v>
      </c>
      <c r="G894" s="609"/>
      <c r="H894" s="610"/>
      <c r="I894" s="611"/>
      <c r="J894" s="166">
        <f t="shared" si="551"/>
        <v>0</v>
      </c>
      <c r="K894" s="167">
        <f t="shared" si="552"/>
        <v>0</v>
      </c>
      <c r="L894" s="168">
        <f t="shared" si="553"/>
        <v>0</v>
      </c>
      <c r="M894" s="166">
        <f t="shared" si="554"/>
        <v>0</v>
      </c>
      <c r="N894" s="167">
        <f t="shared" si="555"/>
        <v>0</v>
      </c>
      <c r="O894" s="168">
        <f t="shared" si="556"/>
        <v>0</v>
      </c>
      <c r="P894" s="169">
        <f t="shared" si="557"/>
        <v>0</v>
      </c>
      <c r="Q894" s="169">
        <f t="shared" si="558"/>
        <v>0</v>
      </c>
      <c r="R894" s="169">
        <f t="shared" si="559"/>
        <v>0</v>
      </c>
      <c r="S894" s="584">
        <f t="shared" si="560"/>
        <v>0</v>
      </c>
      <c r="T894" s="594">
        <f t="shared" si="561"/>
        <v>0</v>
      </c>
      <c r="U894" s="595">
        <f t="shared" si="562"/>
        <v>0</v>
      </c>
      <c r="V894" s="166">
        <f t="shared" si="563"/>
        <v>0</v>
      </c>
      <c r="W894" s="167">
        <f t="shared" si="564"/>
        <v>0</v>
      </c>
      <c r="X894" s="168">
        <f t="shared" si="565"/>
        <v>0</v>
      </c>
      <c r="Y894" s="166">
        <f t="shared" si="566"/>
        <v>0</v>
      </c>
      <c r="Z894" s="167">
        <f t="shared" si="567"/>
        <v>0</v>
      </c>
      <c r="AA894" s="168">
        <f t="shared" si="568"/>
        <v>0</v>
      </c>
      <c r="AB894" s="166">
        <f t="shared" si="569"/>
        <v>0</v>
      </c>
      <c r="AC894" s="167">
        <f t="shared" si="570"/>
        <v>0</v>
      </c>
      <c r="AD894" s="168">
        <f t="shared" si="571"/>
        <v>0</v>
      </c>
      <c r="AE894" s="166">
        <f t="shared" si="572"/>
        <v>0</v>
      </c>
      <c r="AF894" s="167">
        <f t="shared" si="573"/>
        <v>0</v>
      </c>
      <c r="AG894" s="168">
        <f t="shared" si="574"/>
        <v>0</v>
      </c>
      <c r="AH894" s="166">
        <f t="shared" si="575"/>
        <v>0</v>
      </c>
      <c r="AI894" s="167">
        <f t="shared" si="576"/>
        <v>0</v>
      </c>
      <c r="AJ894" s="168">
        <f t="shared" si="577"/>
        <v>0</v>
      </c>
      <c r="AK894" s="169">
        <f t="shared" si="578"/>
        <v>0</v>
      </c>
      <c r="AL894" s="167">
        <f t="shared" si="579"/>
        <v>0</v>
      </c>
      <c r="AM894" s="585">
        <f t="shared" si="580"/>
        <v>0</v>
      </c>
      <c r="AN894" s="614"/>
      <c r="AO894" s="615"/>
      <c r="AP894" s="615"/>
      <c r="AQ894" s="616"/>
      <c r="AR894" s="612"/>
      <c r="AS894" s="617"/>
      <c r="AT894" s="618"/>
      <c r="AU894" s="618"/>
      <c r="AV894" s="618"/>
      <c r="AW894" s="619"/>
      <c r="AX894" s="614"/>
      <c r="AY894" s="616"/>
      <c r="AZ894" s="616"/>
      <c r="BA894" s="616"/>
      <c r="BB894" s="616"/>
      <c r="BC894" s="616"/>
      <c r="BD894" s="612"/>
      <c r="BE894" s="614"/>
      <c r="BF894" s="616"/>
      <c r="BG894" s="616"/>
      <c r="BH894" s="616"/>
      <c r="BI894" s="616"/>
      <c r="BJ894" s="616"/>
      <c r="BK894" s="1023"/>
      <c r="BL894" s="658"/>
    </row>
    <row r="895" spans="2:64">
      <c r="B895" s="1022"/>
      <c r="C895" s="607"/>
      <c r="D895" s="607"/>
      <c r="E895" s="1021"/>
      <c r="F895" s="1019">
        <v>892</v>
      </c>
      <c r="G895" s="609"/>
      <c r="H895" s="610"/>
      <c r="I895" s="611"/>
      <c r="J895" s="166">
        <f t="shared" si="551"/>
        <v>0</v>
      </c>
      <c r="K895" s="167">
        <f t="shared" si="552"/>
        <v>0</v>
      </c>
      <c r="L895" s="168">
        <f t="shared" si="553"/>
        <v>0</v>
      </c>
      <c r="M895" s="166">
        <f t="shared" si="554"/>
        <v>0</v>
      </c>
      <c r="N895" s="167">
        <f t="shared" si="555"/>
        <v>0</v>
      </c>
      <c r="O895" s="168">
        <f t="shared" si="556"/>
        <v>0</v>
      </c>
      <c r="P895" s="169">
        <f t="shared" si="557"/>
        <v>0</v>
      </c>
      <c r="Q895" s="169">
        <f t="shared" si="558"/>
        <v>0</v>
      </c>
      <c r="R895" s="169">
        <f t="shared" si="559"/>
        <v>0</v>
      </c>
      <c r="S895" s="584">
        <f t="shared" si="560"/>
        <v>0</v>
      </c>
      <c r="T895" s="594">
        <f t="shared" si="561"/>
        <v>0</v>
      </c>
      <c r="U895" s="595">
        <f t="shared" si="562"/>
        <v>0</v>
      </c>
      <c r="V895" s="166">
        <f t="shared" si="563"/>
        <v>0</v>
      </c>
      <c r="W895" s="167">
        <f t="shared" si="564"/>
        <v>0</v>
      </c>
      <c r="X895" s="168">
        <f t="shared" si="565"/>
        <v>0</v>
      </c>
      <c r="Y895" s="166">
        <f t="shared" si="566"/>
        <v>0</v>
      </c>
      <c r="Z895" s="167">
        <f t="shared" si="567"/>
        <v>0</v>
      </c>
      <c r="AA895" s="168">
        <f t="shared" si="568"/>
        <v>0</v>
      </c>
      <c r="AB895" s="166">
        <f t="shared" si="569"/>
        <v>0</v>
      </c>
      <c r="AC895" s="167">
        <f t="shared" si="570"/>
        <v>0</v>
      </c>
      <c r="AD895" s="168">
        <f t="shared" si="571"/>
        <v>0</v>
      </c>
      <c r="AE895" s="166">
        <f t="shared" si="572"/>
        <v>0</v>
      </c>
      <c r="AF895" s="167">
        <f t="shared" si="573"/>
        <v>0</v>
      </c>
      <c r="AG895" s="168">
        <f t="shared" si="574"/>
        <v>0</v>
      </c>
      <c r="AH895" s="166">
        <f t="shared" si="575"/>
        <v>0</v>
      </c>
      <c r="AI895" s="167">
        <f t="shared" si="576"/>
        <v>0</v>
      </c>
      <c r="AJ895" s="168">
        <f t="shared" si="577"/>
        <v>0</v>
      </c>
      <c r="AK895" s="169">
        <f t="shared" si="578"/>
        <v>0</v>
      </c>
      <c r="AL895" s="167">
        <f t="shared" si="579"/>
        <v>0</v>
      </c>
      <c r="AM895" s="585">
        <f t="shared" si="580"/>
        <v>0</v>
      </c>
      <c r="AN895" s="614"/>
      <c r="AO895" s="615"/>
      <c r="AP895" s="615"/>
      <c r="AQ895" s="616"/>
      <c r="AR895" s="612"/>
      <c r="AS895" s="617"/>
      <c r="AT895" s="618"/>
      <c r="AU895" s="618"/>
      <c r="AV895" s="618"/>
      <c r="AW895" s="619"/>
      <c r="AX895" s="614"/>
      <c r="AY895" s="616"/>
      <c r="AZ895" s="616"/>
      <c r="BA895" s="616"/>
      <c r="BB895" s="616"/>
      <c r="BC895" s="616"/>
      <c r="BD895" s="612"/>
      <c r="BE895" s="614"/>
      <c r="BF895" s="616"/>
      <c r="BG895" s="616"/>
      <c r="BH895" s="616"/>
      <c r="BI895" s="616"/>
      <c r="BJ895" s="616"/>
      <c r="BK895" s="1023"/>
      <c r="BL895" s="658"/>
    </row>
    <row r="896" spans="2:64">
      <c r="B896" s="1022"/>
      <c r="C896" s="607"/>
      <c r="D896" s="607"/>
      <c r="E896" s="1021"/>
      <c r="F896" s="608">
        <v>893</v>
      </c>
      <c r="G896" s="609"/>
      <c r="H896" s="610"/>
      <c r="I896" s="611"/>
      <c r="J896" s="166">
        <f t="shared" si="551"/>
        <v>0</v>
      </c>
      <c r="K896" s="167">
        <f t="shared" si="552"/>
        <v>0</v>
      </c>
      <c r="L896" s="168">
        <f t="shared" si="553"/>
        <v>0</v>
      </c>
      <c r="M896" s="166">
        <f t="shared" si="554"/>
        <v>0</v>
      </c>
      <c r="N896" s="167">
        <f t="shared" si="555"/>
        <v>0</v>
      </c>
      <c r="O896" s="168">
        <f t="shared" si="556"/>
        <v>0</v>
      </c>
      <c r="P896" s="169">
        <f t="shared" si="557"/>
        <v>0</v>
      </c>
      <c r="Q896" s="169">
        <f t="shared" si="558"/>
        <v>0</v>
      </c>
      <c r="R896" s="169">
        <f t="shared" si="559"/>
        <v>0</v>
      </c>
      <c r="S896" s="584">
        <f t="shared" si="560"/>
        <v>0</v>
      </c>
      <c r="T896" s="594">
        <f t="shared" si="561"/>
        <v>0</v>
      </c>
      <c r="U896" s="595">
        <f t="shared" si="562"/>
        <v>0</v>
      </c>
      <c r="V896" s="166">
        <f t="shared" si="563"/>
        <v>0</v>
      </c>
      <c r="W896" s="167">
        <f t="shared" si="564"/>
        <v>0</v>
      </c>
      <c r="X896" s="168">
        <f t="shared" si="565"/>
        <v>0</v>
      </c>
      <c r="Y896" s="166">
        <f t="shared" si="566"/>
        <v>0</v>
      </c>
      <c r="Z896" s="167">
        <f t="shared" si="567"/>
        <v>0</v>
      </c>
      <c r="AA896" s="168">
        <f t="shared" si="568"/>
        <v>0</v>
      </c>
      <c r="AB896" s="166">
        <f t="shared" si="569"/>
        <v>0</v>
      </c>
      <c r="AC896" s="167">
        <f t="shared" si="570"/>
        <v>0</v>
      </c>
      <c r="AD896" s="168">
        <f t="shared" si="571"/>
        <v>0</v>
      </c>
      <c r="AE896" s="166">
        <f t="shared" si="572"/>
        <v>0</v>
      </c>
      <c r="AF896" s="167">
        <f t="shared" si="573"/>
        <v>0</v>
      </c>
      <c r="AG896" s="168">
        <f t="shared" si="574"/>
        <v>0</v>
      </c>
      <c r="AH896" s="166">
        <f t="shared" si="575"/>
        <v>0</v>
      </c>
      <c r="AI896" s="167">
        <f t="shared" si="576"/>
        <v>0</v>
      </c>
      <c r="AJ896" s="168">
        <f t="shared" si="577"/>
        <v>0</v>
      </c>
      <c r="AK896" s="169">
        <f t="shared" si="578"/>
        <v>0</v>
      </c>
      <c r="AL896" s="167">
        <f t="shared" si="579"/>
        <v>0</v>
      </c>
      <c r="AM896" s="585">
        <f t="shared" si="580"/>
        <v>0</v>
      </c>
      <c r="AN896" s="614"/>
      <c r="AO896" s="615"/>
      <c r="AP896" s="615"/>
      <c r="AQ896" s="616"/>
      <c r="AR896" s="612"/>
      <c r="AS896" s="617"/>
      <c r="AT896" s="618"/>
      <c r="AU896" s="618"/>
      <c r="AV896" s="618"/>
      <c r="AW896" s="619"/>
      <c r="AX896" s="614"/>
      <c r="AY896" s="616"/>
      <c r="AZ896" s="616"/>
      <c r="BA896" s="616"/>
      <c r="BB896" s="616"/>
      <c r="BC896" s="616"/>
      <c r="BD896" s="612"/>
      <c r="BE896" s="614"/>
      <c r="BF896" s="616"/>
      <c r="BG896" s="616"/>
      <c r="BH896" s="616"/>
      <c r="BI896" s="616"/>
      <c r="BJ896" s="616"/>
      <c r="BK896" s="1023"/>
      <c r="BL896" s="658"/>
    </row>
    <row r="897" spans="2:64">
      <c r="B897" s="1022"/>
      <c r="C897" s="607"/>
      <c r="D897" s="607"/>
      <c r="E897" s="1021"/>
      <c r="F897" s="1019">
        <v>894</v>
      </c>
      <c r="G897" s="609"/>
      <c r="H897" s="610"/>
      <c r="I897" s="611"/>
      <c r="J897" s="166">
        <f t="shared" si="551"/>
        <v>0</v>
      </c>
      <c r="K897" s="167">
        <f t="shared" si="552"/>
        <v>0</v>
      </c>
      <c r="L897" s="168">
        <f t="shared" si="553"/>
        <v>0</v>
      </c>
      <c r="M897" s="166">
        <f t="shared" si="554"/>
        <v>0</v>
      </c>
      <c r="N897" s="167">
        <f t="shared" si="555"/>
        <v>0</v>
      </c>
      <c r="O897" s="168">
        <f t="shared" si="556"/>
        <v>0</v>
      </c>
      <c r="P897" s="169">
        <f t="shared" si="557"/>
        <v>0</v>
      </c>
      <c r="Q897" s="169">
        <f t="shared" si="558"/>
        <v>0</v>
      </c>
      <c r="R897" s="169">
        <f t="shared" si="559"/>
        <v>0</v>
      </c>
      <c r="S897" s="584">
        <f t="shared" si="560"/>
        <v>0</v>
      </c>
      <c r="T897" s="594">
        <f t="shared" si="561"/>
        <v>0</v>
      </c>
      <c r="U897" s="595">
        <f t="shared" si="562"/>
        <v>0</v>
      </c>
      <c r="V897" s="166">
        <f t="shared" si="563"/>
        <v>0</v>
      </c>
      <c r="W897" s="167">
        <f t="shared" si="564"/>
        <v>0</v>
      </c>
      <c r="X897" s="168">
        <f t="shared" si="565"/>
        <v>0</v>
      </c>
      <c r="Y897" s="166">
        <f t="shared" si="566"/>
        <v>0</v>
      </c>
      <c r="Z897" s="167">
        <f t="shared" si="567"/>
        <v>0</v>
      </c>
      <c r="AA897" s="168">
        <f t="shared" si="568"/>
        <v>0</v>
      </c>
      <c r="AB897" s="166">
        <f t="shared" si="569"/>
        <v>0</v>
      </c>
      <c r="AC897" s="167">
        <f t="shared" si="570"/>
        <v>0</v>
      </c>
      <c r="AD897" s="168">
        <f t="shared" si="571"/>
        <v>0</v>
      </c>
      <c r="AE897" s="166">
        <f t="shared" si="572"/>
        <v>0</v>
      </c>
      <c r="AF897" s="167">
        <f t="shared" si="573"/>
        <v>0</v>
      </c>
      <c r="AG897" s="168">
        <f t="shared" si="574"/>
        <v>0</v>
      </c>
      <c r="AH897" s="166">
        <f t="shared" si="575"/>
        <v>0</v>
      </c>
      <c r="AI897" s="167">
        <f t="shared" si="576"/>
        <v>0</v>
      </c>
      <c r="AJ897" s="168">
        <f t="shared" si="577"/>
        <v>0</v>
      </c>
      <c r="AK897" s="169">
        <f t="shared" si="578"/>
        <v>0</v>
      </c>
      <c r="AL897" s="167">
        <f t="shared" si="579"/>
        <v>0</v>
      </c>
      <c r="AM897" s="585">
        <f t="shared" si="580"/>
        <v>0</v>
      </c>
      <c r="AN897" s="614"/>
      <c r="AO897" s="615"/>
      <c r="AP897" s="615"/>
      <c r="AQ897" s="616"/>
      <c r="AR897" s="612"/>
      <c r="AS897" s="617"/>
      <c r="AT897" s="618"/>
      <c r="AU897" s="618"/>
      <c r="AV897" s="618"/>
      <c r="AW897" s="619"/>
      <c r="AX897" s="614"/>
      <c r="AY897" s="616"/>
      <c r="AZ897" s="616"/>
      <c r="BA897" s="616"/>
      <c r="BB897" s="616"/>
      <c r="BC897" s="616"/>
      <c r="BD897" s="612"/>
      <c r="BE897" s="614"/>
      <c r="BF897" s="616"/>
      <c r="BG897" s="616"/>
      <c r="BH897" s="616"/>
      <c r="BI897" s="616"/>
      <c r="BJ897" s="616"/>
      <c r="BK897" s="1023"/>
      <c r="BL897" s="658"/>
    </row>
    <row r="898" spans="2:64">
      <c r="B898" s="1022"/>
      <c r="C898" s="607"/>
      <c r="D898" s="607"/>
      <c r="E898" s="1021"/>
      <c r="F898" s="608">
        <v>895</v>
      </c>
      <c r="G898" s="609"/>
      <c r="H898" s="610"/>
      <c r="I898" s="611"/>
      <c r="J898" s="166">
        <f t="shared" si="551"/>
        <v>0</v>
      </c>
      <c r="K898" s="167">
        <f t="shared" si="552"/>
        <v>0</v>
      </c>
      <c r="L898" s="168">
        <f t="shared" si="553"/>
        <v>0</v>
      </c>
      <c r="M898" s="166">
        <f t="shared" si="554"/>
        <v>0</v>
      </c>
      <c r="N898" s="167">
        <f t="shared" si="555"/>
        <v>0</v>
      </c>
      <c r="O898" s="168">
        <f t="shared" si="556"/>
        <v>0</v>
      </c>
      <c r="P898" s="169">
        <f t="shared" si="557"/>
        <v>0</v>
      </c>
      <c r="Q898" s="169">
        <f t="shared" si="558"/>
        <v>0</v>
      </c>
      <c r="R898" s="169">
        <f t="shared" si="559"/>
        <v>0</v>
      </c>
      <c r="S898" s="584">
        <f t="shared" si="560"/>
        <v>0</v>
      </c>
      <c r="T898" s="594">
        <f t="shared" si="561"/>
        <v>0</v>
      </c>
      <c r="U898" s="595">
        <f t="shared" si="562"/>
        <v>0</v>
      </c>
      <c r="V898" s="166">
        <f t="shared" si="563"/>
        <v>0</v>
      </c>
      <c r="W898" s="167">
        <f t="shared" si="564"/>
        <v>0</v>
      </c>
      <c r="X898" s="168">
        <f t="shared" si="565"/>
        <v>0</v>
      </c>
      <c r="Y898" s="166">
        <f t="shared" si="566"/>
        <v>0</v>
      </c>
      <c r="Z898" s="167">
        <f t="shared" si="567"/>
        <v>0</v>
      </c>
      <c r="AA898" s="168">
        <f t="shared" si="568"/>
        <v>0</v>
      </c>
      <c r="AB898" s="166">
        <f t="shared" si="569"/>
        <v>0</v>
      </c>
      <c r="AC898" s="167">
        <f t="shared" si="570"/>
        <v>0</v>
      </c>
      <c r="AD898" s="168">
        <f t="shared" si="571"/>
        <v>0</v>
      </c>
      <c r="AE898" s="166">
        <f t="shared" si="572"/>
        <v>0</v>
      </c>
      <c r="AF898" s="167">
        <f t="shared" si="573"/>
        <v>0</v>
      </c>
      <c r="AG898" s="168">
        <f t="shared" si="574"/>
        <v>0</v>
      </c>
      <c r="AH898" s="166">
        <f t="shared" si="575"/>
        <v>0</v>
      </c>
      <c r="AI898" s="167">
        <f t="shared" si="576"/>
        <v>0</v>
      </c>
      <c r="AJ898" s="168">
        <f t="shared" si="577"/>
        <v>0</v>
      </c>
      <c r="AK898" s="169">
        <f t="shared" si="578"/>
        <v>0</v>
      </c>
      <c r="AL898" s="167">
        <f t="shared" si="579"/>
        <v>0</v>
      </c>
      <c r="AM898" s="585">
        <f t="shared" si="580"/>
        <v>0</v>
      </c>
      <c r="AN898" s="614"/>
      <c r="AO898" s="615"/>
      <c r="AP898" s="615"/>
      <c r="AQ898" s="616"/>
      <c r="AR898" s="612"/>
      <c r="AS898" s="617"/>
      <c r="AT898" s="618"/>
      <c r="AU898" s="618"/>
      <c r="AV898" s="618"/>
      <c r="AW898" s="619"/>
      <c r="AX898" s="614"/>
      <c r="AY898" s="616"/>
      <c r="AZ898" s="616"/>
      <c r="BA898" s="616"/>
      <c r="BB898" s="616"/>
      <c r="BC898" s="616"/>
      <c r="BD898" s="612"/>
      <c r="BE898" s="614"/>
      <c r="BF898" s="616"/>
      <c r="BG898" s="616"/>
      <c r="BH898" s="616"/>
      <c r="BI898" s="616"/>
      <c r="BJ898" s="616"/>
      <c r="BK898" s="1023"/>
      <c r="BL898" s="658"/>
    </row>
    <row r="899" spans="2:64">
      <c r="B899" s="1022"/>
      <c r="C899" s="607"/>
      <c r="D899" s="607"/>
      <c r="E899" s="1021"/>
      <c r="F899" s="1019">
        <v>896</v>
      </c>
      <c r="G899" s="609"/>
      <c r="H899" s="610"/>
      <c r="I899" s="611"/>
      <c r="J899" s="166">
        <f t="shared" si="551"/>
        <v>0</v>
      </c>
      <c r="K899" s="167">
        <f t="shared" si="552"/>
        <v>0</v>
      </c>
      <c r="L899" s="168">
        <f t="shared" si="553"/>
        <v>0</v>
      </c>
      <c r="M899" s="166">
        <f t="shared" si="554"/>
        <v>0</v>
      </c>
      <c r="N899" s="167">
        <f t="shared" si="555"/>
        <v>0</v>
      </c>
      <c r="O899" s="168">
        <f t="shared" si="556"/>
        <v>0</v>
      </c>
      <c r="P899" s="169">
        <f t="shared" si="557"/>
        <v>0</v>
      </c>
      <c r="Q899" s="169">
        <f t="shared" si="558"/>
        <v>0</v>
      </c>
      <c r="R899" s="169">
        <f t="shared" si="559"/>
        <v>0</v>
      </c>
      <c r="S899" s="584">
        <f t="shared" si="560"/>
        <v>0</v>
      </c>
      <c r="T899" s="594">
        <f t="shared" si="561"/>
        <v>0</v>
      </c>
      <c r="U899" s="595">
        <f t="shared" si="562"/>
        <v>0</v>
      </c>
      <c r="V899" s="166">
        <f t="shared" si="563"/>
        <v>0</v>
      </c>
      <c r="W899" s="167">
        <f t="shared" si="564"/>
        <v>0</v>
      </c>
      <c r="X899" s="168">
        <f t="shared" si="565"/>
        <v>0</v>
      </c>
      <c r="Y899" s="166">
        <f t="shared" si="566"/>
        <v>0</v>
      </c>
      <c r="Z899" s="167">
        <f t="shared" si="567"/>
        <v>0</v>
      </c>
      <c r="AA899" s="168">
        <f t="shared" si="568"/>
        <v>0</v>
      </c>
      <c r="AB899" s="166">
        <f t="shared" si="569"/>
        <v>0</v>
      </c>
      <c r="AC899" s="167">
        <f t="shared" si="570"/>
        <v>0</v>
      </c>
      <c r="AD899" s="168">
        <f t="shared" si="571"/>
        <v>0</v>
      </c>
      <c r="AE899" s="166">
        <f t="shared" si="572"/>
        <v>0</v>
      </c>
      <c r="AF899" s="167">
        <f t="shared" si="573"/>
        <v>0</v>
      </c>
      <c r="AG899" s="168">
        <f t="shared" si="574"/>
        <v>0</v>
      </c>
      <c r="AH899" s="166">
        <f t="shared" si="575"/>
        <v>0</v>
      </c>
      <c r="AI899" s="167">
        <f t="shared" si="576"/>
        <v>0</v>
      </c>
      <c r="AJ899" s="168">
        <f t="shared" si="577"/>
        <v>0</v>
      </c>
      <c r="AK899" s="169">
        <f t="shared" si="578"/>
        <v>0</v>
      </c>
      <c r="AL899" s="167">
        <f t="shared" si="579"/>
        <v>0</v>
      </c>
      <c r="AM899" s="585">
        <f t="shared" si="580"/>
        <v>0</v>
      </c>
      <c r="AN899" s="614"/>
      <c r="AO899" s="615"/>
      <c r="AP899" s="615"/>
      <c r="AQ899" s="616"/>
      <c r="AR899" s="612"/>
      <c r="AS899" s="617"/>
      <c r="AT899" s="618"/>
      <c r="AU899" s="618"/>
      <c r="AV899" s="618"/>
      <c r="AW899" s="619"/>
      <c r="AX899" s="614"/>
      <c r="AY899" s="616"/>
      <c r="AZ899" s="616"/>
      <c r="BA899" s="616"/>
      <c r="BB899" s="616"/>
      <c r="BC899" s="616"/>
      <c r="BD899" s="612"/>
      <c r="BE899" s="614"/>
      <c r="BF899" s="616"/>
      <c r="BG899" s="616"/>
      <c r="BH899" s="616"/>
      <c r="BI899" s="616"/>
      <c r="BJ899" s="616"/>
      <c r="BK899" s="1023"/>
      <c r="BL899" s="658"/>
    </row>
    <row r="900" spans="2:64">
      <c r="B900" s="1022"/>
      <c r="C900" s="607"/>
      <c r="D900" s="607"/>
      <c r="E900" s="1021"/>
      <c r="F900" s="608">
        <v>897</v>
      </c>
      <c r="G900" s="609"/>
      <c r="H900" s="610"/>
      <c r="I900" s="611"/>
      <c r="J900" s="166">
        <f t="shared" ref="J900:J963" si="581">INT(G900/50+0.05)</f>
        <v>0</v>
      </c>
      <c r="K900" s="167">
        <f t="shared" ref="K900:K963" si="582">INT(H900/50+0.05)</f>
        <v>0</v>
      </c>
      <c r="L900" s="168">
        <f t="shared" ref="L900:L963" si="583">INT(I900/50+0.05)</f>
        <v>0</v>
      </c>
      <c r="M900" s="166">
        <f t="shared" ref="M900:M963" si="584">INT(IF($C900="UR",IF($E900="party卡",G900*0.0270833333333333,G900*0.025),0)+IF($C900="SR",G900*0.03,0)+IF($C900="R",G900*0.0375,0)+0.05)</f>
        <v>0</v>
      </c>
      <c r="N900" s="167">
        <f t="shared" ref="N900:N963" si="585">INT(IF($C900="UR",IF($E900="party卡",H900*0.0270833333333333,H900*0.025),0)+IF($C900="SR",H900*0.03,0)+IF($C900="R",H900*0.0375,0)+0.05)</f>
        <v>0</v>
      </c>
      <c r="O900" s="168">
        <f t="shared" ref="O900:O963" si="586">INT(IF($C900="UR",IF($E900="party卡",I900*0.0270833333333333,I900*0.025),0)+IF($C900="SR",I900*0.03,0)+IF($C900="R",I900*0.0375,0)+0.05)</f>
        <v>0</v>
      </c>
      <c r="P900" s="169">
        <f t="shared" ref="P900:P963" si="587">INT(IF($C900="UR",IF($E900="party卡",G900*0.04375,G900*0.0375),0)+IF($C900="SR",G900*0.04,0)+IF($C900="R",G900*0.05,0)+0.05)</f>
        <v>0</v>
      </c>
      <c r="Q900" s="169">
        <f t="shared" ref="Q900:Q963" si="588">INT(IF($C900="UR",IF($E900="party卡",H900*0.04375,H900*0.0375),0)+IF($C900="SR",H900*0.04,0)+IF($C900="R",H900*0.05,0)+0.05)</f>
        <v>0</v>
      </c>
      <c r="R900" s="169">
        <f t="shared" ref="R900:R963" si="589">INT(IF($C900="UR",IF($E900="party卡",I900*0.04375,I900*0.0375),0)+IF($C900="SR",I900*0.04,0)+IF($C900="R",I900*0.05,0)+0.05)</f>
        <v>0</v>
      </c>
      <c r="S900" s="584">
        <f t="shared" si="560"/>
        <v>0</v>
      </c>
      <c r="T900" s="594">
        <f t="shared" si="561"/>
        <v>0</v>
      </c>
      <c r="U900" s="595">
        <f t="shared" si="562"/>
        <v>0</v>
      </c>
      <c r="V900" s="166">
        <f t="shared" si="563"/>
        <v>0</v>
      </c>
      <c r="W900" s="167">
        <f t="shared" si="564"/>
        <v>0</v>
      </c>
      <c r="X900" s="168">
        <f t="shared" si="565"/>
        <v>0</v>
      </c>
      <c r="Y900" s="166">
        <f t="shared" si="566"/>
        <v>0</v>
      </c>
      <c r="Z900" s="167">
        <f t="shared" si="567"/>
        <v>0</v>
      </c>
      <c r="AA900" s="168">
        <f t="shared" si="568"/>
        <v>0</v>
      </c>
      <c r="AB900" s="166">
        <f t="shared" si="569"/>
        <v>0</v>
      </c>
      <c r="AC900" s="167">
        <f t="shared" si="570"/>
        <v>0</v>
      </c>
      <c r="AD900" s="168">
        <f t="shared" si="571"/>
        <v>0</v>
      </c>
      <c r="AE900" s="166">
        <f t="shared" si="572"/>
        <v>0</v>
      </c>
      <c r="AF900" s="167">
        <f t="shared" si="573"/>
        <v>0</v>
      </c>
      <c r="AG900" s="168">
        <f t="shared" si="574"/>
        <v>0</v>
      </c>
      <c r="AH900" s="166">
        <f t="shared" si="575"/>
        <v>0</v>
      </c>
      <c r="AI900" s="167">
        <f t="shared" si="576"/>
        <v>0</v>
      </c>
      <c r="AJ900" s="168">
        <f t="shared" si="577"/>
        <v>0</v>
      </c>
      <c r="AK900" s="169">
        <f t="shared" si="578"/>
        <v>0</v>
      </c>
      <c r="AL900" s="167">
        <f t="shared" si="579"/>
        <v>0</v>
      </c>
      <c r="AM900" s="585">
        <f t="shared" si="580"/>
        <v>0</v>
      </c>
      <c r="AN900" s="614"/>
      <c r="AO900" s="615"/>
      <c r="AP900" s="615"/>
      <c r="AQ900" s="616"/>
      <c r="AR900" s="612"/>
      <c r="AS900" s="617"/>
      <c r="AT900" s="618"/>
      <c r="AU900" s="618"/>
      <c r="AV900" s="618"/>
      <c r="AW900" s="619"/>
      <c r="AX900" s="614"/>
      <c r="AY900" s="616"/>
      <c r="AZ900" s="616"/>
      <c r="BA900" s="616"/>
      <c r="BB900" s="616"/>
      <c r="BC900" s="616"/>
      <c r="BD900" s="612"/>
      <c r="BE900" s="614"/>
      <c r="BF900" s="616"/>
      <c r="BG900" s="616"/>
      <c r="BH900" s="616"/>
      <c r="BI900" s="616"/>
      <c r="BJ900" s="616"/>
      <c r="BK900" s="1023"/>
      <c r="BL900" s="658"/>
    </row>
    <row r="901" spans="2:64">
      <c r="B901" s="1022"/>
      <c r="C901" s="607"/>
      <c r="D901" s="607"/>
      <c r="E901" s="1021"/>
      <c r="F901" s="1019">
        <v>898</v>
      </c>
      <c r="G901" s="609"/>
      <c r="H901" s="610"/>
      <c r="I901" s="611"/>
      <c r="J901" s="166">
        <f t="shared" si="581"/>
        <v>0</v>
      </c>
      <c r="K901" s="167">
        <f t="shared" si="582"/>
        <v>0</v>
      </c>
      <c r="L901" s="168">
        <f t="shared" si="583"/>
        <v>0</v>
      </c>
      <c r="M901" s="166">
        <f t="shared" si="584"/>
        <v>0</v>
      </c>
      <c r="N901" s="167">
        <f t="shared" si="585"/>
        <v>0</v>
      </c>
      <c r="O901" s="168">
        <f t="shared" si="586"/>
        <v>0</v>
      </c>
      <c r="P901" s="169">
        <f t="shared" si="587"/>
        <v>0</v>
      </c>
      <c r="Q901" s="169">
        <f t="shared" si="588"/>
        <v>0</v>
      </c>
      <c r="R901" s="169">
        <f t="shared" si="589"/>
        <v>0</v>
      </c>
      <c r="S901" s="584">
        <f t="shared" si="560"/>
        <v>0</v>
      </c>
      <c r="T901" s="594">
        <f t="shared" si="561"/>
        <v>0</v>
      </c>
      <c r="U901" s="595">
        <f t="shared" si="562"/>
        <v>0</v>
      </c>
      <c r="V901" s="166">
        <f t="shared" si="563"/>
        <v>0</v>
      </c>
      <c r="W901" s="167">
        <f t="shared" si="564"/>
        <v>0</v>
      </c>
      <c r="X901" s="168">
        <f t="shared" si="565"/>
        <v>0</v>
      </c>
      <c r="Y901" s="166">
        <f t="shared" si="566"/>
        <v>0</v>
      </c>
      <c r="Z901" s="167">
        <f t="shared" si="567"/>
        <v>0</v>
      </c>
      <c r="AA901" s="168">
        <f t="shared" si="568"/>
        <v>0</v>
      </c>
      <c r="AB901" s="166">
        <f t="shared" si="569"/>
        <v>0</v>
      </c>
      <c r="AC901" s="167">
        <f t="shared" si="570"/>
        <v>0</v>
      </c>
      <c r="AD901" s="168">
        <f t="shared" si="571"/>
        <v>0</v>
      </c>
      <c r="AE901" s="166">
        <f t="shared" si="572"/>
        <v>0</v>
      </c>
      <c r="AF901" s="167">
        <f t="shared" si="573"/>
        <v>0</v>
      </c>
      <c r="AG901" s="168">
        <f t="shared" si="574"/>
        <v>0</v>
      </c>
      <c r="AH901" s="166">
        <f t="shared" si="575"/>
        <v>0</v>
      </c>
      <c r="AI901" s="167">
        <f t="shared" si="576"/>
        <v>0</v>
      </c>
      <c r="AJ901" s="168">
        <f t="shared" si="577"/>
        <v>0</v>
      </c>
      <c r="AK901" s="169">
        <f t="shared" si="578"/>
        <v>0</v>
      </c>
      <c r="AL901" s="167">
        <f t="shared" si="579"/>
        <v>0</v>
      </c>
      <c r="AM901" s="585">
        <f t="shared" si="580"/>
        <v>0</v>
      </c>
      <c r="AN901" s="614"/>
      <c r="AO901" s="615"/>
      <c r="AP901" s="615"/>
      <c r="AQ901" s="616"/>
      <c r="AR901" s="612"/>
      <c r="AS901" s="617"/>
      <c r="AT901" s="618"/>
      <c r="AU901" s="618"/>
      <c r="AV901" s="618"/>
      <c r="AW901" s="619"/>
      <c r="AX901" s="614"/>
      <c r="AY901" s="616"/>
      <c r="AZ901" s="616"/>
      <c r="BA901" s="616"/>
      <c r="BB901" s="616"/>
      <c r="BC901" s="616"/>
      <c r="BD901" s="612"/>
      <c r="BE901" s="614"/>
      <c r="BF901" s="616"/>
      <c r="BG901" s="616"/>
      <c r="BH901" s="616"/>
      <c r="BI901" s="616"/>
      <c r="BJ901" s="616"/>
      <c r="BK901" s="1023"/>
      <c r="BL901" s="658"/>
    </row>
    <row r="902" spans="2:64">
      <c r="B902" s="1022"/>
      <c r="C902" s="607"/>
      <c r="D902" s="607"/>
      <c r="E902" s="1021"/>
      <c r="F902" s="608">
        <v>899</v>
      </c>
      <c r="G902" s="609"/>
      <c r="H902" s="610"/>
      <c r="I902" s="611"/>
      <c r="J902" s="166">
        <f t="shared" si="581"/>
        <v>0</v>
      </c>
      <c r="K902" s="167">
        <f t="shared" si="582"/>
        <v>0</v>
      </c>
      <c r="L902" s="168">
        <f t="shared" si="583"/>
        <v>0</v>
      </c>
      <c r="M902" s="166">
        <f t="shared" si="584"/>
        <v>0</v>
      </c>
      <c r="N902" s="167">
        <f t="shared" si="585"/>
        <v>0</v>
      </c>
      <c r="O902" s="168">
        <f t="shared" si="586"/>
        <v>0</v>
      </c>
      <c r="P902" s="169">
        <f t="shared" si="587"/>
        <v>0</v>
      </c>
      <c r="Q902" s="169">
        <f t="shared" si="588"/>
        <v>0</v>
      </c>
      <c r="R902" s="169">
        <f t="shared" si="589"/>
        <v>0</v>
      </c>
      <c r="S902" s="584">
        <f t="shared" si="560"/>
        <v>0</v>
      </c>
      <c r="T902" s="594">
        <f t="shared" si="561"/>
        <v>0</v>
      </c>
      <c r="U902" s="595">
        <f t="shared" si="562"/>
        <v>0</v>
      </c>
      <c r="V902" s="166">
        <f t="shared" si="563"/>
        <v>0</v>
      </c>
      <c r="W902" s="167">
        <f t="shared" si="564"/>
        <v>0</v>
      </c>
      <c r="X902" s="168">
        <f t="shared" si="565"/>
        <v>0</v>
      </c>
      <c r="Y902" s="166">
        <f t="shared" si="566"/>
        <v>0</v>
      </c>
      <c r="Z902" s="167">
        <f t="shared" si="567"/>
        <v>0</v>
      </c>
      <c r="AA902" s="168">
        <f t="shared" si="568"/>
        <v>0</v>
      </c>
      <c r="AB902" s="166">
        <f t="shared" si="569"/>
        <v>0</v>
      </c>
      <c r="AC902" s="167">
        <f t="shared" si="570"/>
        <v>0</v>
      </c>
      <c r="AD902" s="168">
        <f t="shared" si="571"/>
        <v>0</v>
      </c>
      <c r="AE902" s="166">
        <f t="shared" si="572"/>
        <v>0</v>
      </c>
      <c r="AF902" s="167">
        <f t="shared" si="573"/>
        <v>0</v>
      </c>
      <c r="AG902" s="168">
        <f t="shared" si="574"/>
        <v>0</v>
      </c>
      <c r="AH902" s="166">
        <f t="shared" si="575"/>
        <v>0</v>
      </c>
      <c r="AI902" s="167">
        <f t="shared" si="576"/>
        <v>0</v>
      </c>
      <c r="AJ902" s="168">
        <f t="shared" si="577"/>
        <v>0</v>
      </c>
      <c r="AK902" s="169">
        <f t="shared" si="578"/>
        <v>0</v>
      </c>
      <c r="AL902" s="167">
        <f t="shared" si="579"/>
        <v>0</v>
      </c>
      <c r="AM902" s="585">
        <f t="shared" si="580"/>
        <v>0</v>
      </c>
      <c r="AN902" s="614"/>
      <c r="AO902" s="615"/>
      <c r="AP902" s="615"/>
      <c r="AQ902" s="616"/>
      <c r="AR902" s="612"/>
      <c r="AS902" s="617"/>
      <c r="AT902" s="618"/>
      <c r="AU902" s="618"/>
      <c r="AV902" s="618"/>
      <c r="AW902" s="619"/>
      <c r="AX902" s="614"/>
      <c r="AY902" s="616"/>
      <c r="AZ902" s="616"/>
      <c r="BA902" s="616"/>
      <c r="BB902" s="616"/>
      <c r="BC902" s="616"/>
      <c r="BD902" s="612"/>
      <c r="BE902" s="614"/>
      <c r="BF902" s="616"/>
      <c r="BG902" s="616"/>
      <c r="BH902" s="616"/>
      <c r="BI902" s="616"/>
      <c r="BJ902" s="616"/>
      <c r="BK902" s="1023"/>
      <c r="BL902" s="658"/>
    </row>
    <row r="903" spans="2:64">
      <c r="B903" s="1022"/>
      <c r="C903" s="607"/>
      <c r="D903" s="607"/>
      <c r="E903" s="1021"/>
      <c r="F903" s="1019">
        <v>900</v>
      </c>
      <c r="G903" s="609"/>
      <c r="H903" s="610"/>
      <c r="I903" s="611"/>
      <c r="J903" s="166">
        <f t="shared" si="581"/>
        <v>0</v>
      </c>
      <c r="K903" s="167">
        <f t="shared" si="582"/>
        <v>0</v>
      </c>
      <c r="L903" s="168">
        <f t="shared" si="583"/>
        <v>0</v>
      </c>
      <c r="M903" s="166">
        <f t="shared" si="584"/>
        <v>0</v>
      </c>
      <c r="N903" s="167">
        <f t="shared" si="585"/>
        <v>0</v>
      </c>
      <c r="O903" s="168">
        <f t="shared" si="586"/>
        <v>0</v>
      </c>
      <c r="P903" s="169">
        <f t="shared" si="587"/>
        <v>0</v>
      </c>
      <c r="Q903" s="169">
        <f t="shared" si="588"/>
        <v>0</v>
      </c>
      <c r="R903" s="169">
        <f t="shared" si="589"/>
        <v>0</v>
      </c>
      <c r="S903" s="584">
        <f t="shared" si="560"/>
        <v>0</v>
      </c>
      <c r="T903" s="594">
        <f t="shared" si="561"/>
        <v>0</v>
      </c>
      <c r="U903" s="595">
        <f t="shared" si="562"/>
        <v>0</v>
      </c>
      <c r="V903" s="166">
        <f t="shared" si="563"/>
        <v>0</v>
      </c>
      <c r="W903" s="167">
        <f t="shared" si="564"/>
        <v>0</v>
      </c>
      <c r="X903" s="168">
        <f t="shared" si="565"/>
        <v>0</v>
      </c>
      <c r="Y903" s="166">
        <f t="shared" si="566"/>
        <v>0</v>
      </c>
      <c r="Z903" s="167">
        <f t="shared" si="567"/>
        <v>0</v>
      </c>
      <c r="AA903" s="168">
        <f t="shared" si="568"/>
        <v>0</v>
      </c>
      <c r="AB903" s="166">
        <f t="shared" si="569"/>
        <v>0</v>
      </c>
      <c r="AC903" s="167">
        <f t="shared" si="570"/>
        <v>0</v>
      </c>
      <c r="AD903" s="168">
        <f t="shared" si="571"/>
        <v>0</v>
      </c>
      <c r="AE903" s="166">
        <f t="shared" si="572"/>
        <v>0</v>
      </c>
      <c r="AF903" s="167">
        <f t="shared" si="573"/>
        <v>0</v>
      </c>
      <c r="AG903" s="168">
        <f t="shared" si="574"/>
        <v>0</v>
      </c>
      <c r="AH903" s="166">
        <f t="shared" si="575"/>
        <v>0</v>
      </c>
      <c r="AI903" s="167">
        <f t="shared" si="576"/>
        <v>0</v>
      </c>
      <c r="AJ903" s="168">
        <f t="shared" si="577"/>
        <v>0</v>
      </c>
      <c r="AK903" s="169">
        <f t="shared" si="578"/>
        <v>0</v>
      </c>
      <c r="AL903" s="167">
        <f t="shared" si="579"/>
        <v>0</v>
      </c>
      <c r="AM903" s="585">
        <f t="shared" si="580"/>
        <v>0</v>
      </c>
      <c r="AN903" s="614"/>
      <c r="AO903" s="615"/>
      <c r="AP903" s="615"/>
      <c r="AQ903" s="616"/>
      <c r="AR903" s="612"/>
      <c r="AS903" s="617"/>
      <c r="AT903" s="618"/>
      <c r="AU903" s="618"/>
      <c r="AV903" s="618"/>
      <c r="AW903" s="619"/>
      <c r="AX903" s="614"/>
      <c r="AY903" s="616"/>
      <c r="AZ903" s="616"/>
      <c r="BA903" s="616"/>
      <c r="BB903" s="616"/>
      <c r="BC903" s="616"/>
      <c r="BD903" s="612"/>
      <c r="BE903" s="614"/>
      <c r="BF903" s="616"/>
      <c r="BG903" s="616"/>
      <c r="BH903" s="616"/>
      <c r="BI903" s="616"/>
      <c r="BJ903" s="616"/>
      <c r="BK903" s="1023"/>
      <c r="BL903" s="658"/>
    </row>
    <row r="904" spans="2:64">
      <c r="B904" s="1022"/>
      <c r="C904" s="607"/>
      <c r="D904" s="607"/>
      <c r="E904" s="1021"/>
      <c r="F904" s="608">
        <v>901</v>
      </c>
      <c r="G904" s="609"/>
      <c r="H904" s="610"/>
      <c r="I904" s="611"/>
      <c r="J904" s="166">
        <f t="shared" si="581"/>
        <v>0</v>
      </c>
      <c r="K904" s="167">
        <f t="shared" si="582"/>
        <v>0</v>
      </c>
      <c r="L904" s="168">
        <f t="shared" si="583"/>
        <v>0</v>
      </c>
      <c r="M904" s="166">
        <f t="shared" si="584"/>
        <v>0</v>
      </c>
      <c r="N904" s="167">
        <f t="shared" si="585"/>
        <v>0</v>
      </c>
      <c r="O904" s="168">
        <f t="shared" si="586"/>
        <v>0</v>
      </c>
      <c r="P904" s="169">
        <f t="shared" si="587"/>
        <v>0</v>
      </c>
      <c r="Q904" s="169">
        <f t="shared" si="588"/>
        <v>0</v>
      </c>
      <c r="R904" s="169">
        <f t="shared" si="589"/>
        <v>0</v>
      </c>
      <c r="S904" s="584">
        <f t="shared" si="560"/>
        <v>0</v>
      </c>
      <c r="T904" s="594">
        <f t="shared" si="561"/>
        <v>0</v>
      </c>
      <c r="U904" s="595">
        <f t="shared" si="562"/>
        <v>0</v>
      </c>
      <c r="V904" s="166">
        <f t="shared" si="563"/>
        <v>0</v>
      </c>
      <c r="W904" s="167">
        <f t="shared" si="564"/>
        <v>0</v>
      </c>
      <c r="X904" s="168">
        <f t="shared" si="565"/>
        <v>0</v>
      </c>
      <c r="Y904" s="166">
        <f t="shared" si="566"/>
        <v>0</v>
      </c>
      <c r="Z904" s="167">
        <f t="shared" si="567"/>
        <v>0</v>
      </c>
      <c r="AA904" s="168">
        <f t="shared" si="568"/>
        <v>0</v>
      </c>
      <c r="AB904" s="166">
        <f t="shared" si="569"/>
        <v>0</v>
      </c>
      <c r="AC904" s="167">
        <f t="shared" si="570"/>
        <v>0</v>
      </c>
      <c r="AD904" s="168">
        <f t="shared" si="571"/>
        <v>0</v>
      </c>
      <c r="AE904" s="166">
        <f t="shared" si="572"/>
        <v>0</v>
      </c>
      <c r="AF904" s="167">
        <f t="shared" si="573"/>
        <v>0</v>
      </c>
      <c r="AG904" s="168">
        <f t="shared" si="574"/>
        <v>0</v>
      </c>
      <c r="AH904" s="166">
        <f t="shared" si="575"/>
        <v>0</v>
      </c>
      <c r="AI904" s="167">
        <f t="shared" si="576"/>
        <v>0</v>
      </c>
      <c r="AJ904" s="168">
        <f t="shared" si="577"/>
        <v>0</v>
      </c>
      <c r="AK904" s="169">
        <f t="shared" si="578"/>
        <v>0</v>
      </c>
      <c r="AL904" s="167">
        <f t="shared" si="579"/>
        <v>0</v>
      </c>
      <c r="AM904" s="585">
        <f t="shared" si="580"/>
        <v>0</v>
      </c>
      <c r="AN904" s="614"/>
      <c r="AO904" s="615"/>
      <c r="AP904" s="615"/>
      <c r="AQ904" s="616"/>
      <c r="AR904" s="612"/>
      <c r="AS904" s="617"/>
      <c r="AT904" s="618"/>
      <c r="AU904" s="618"/>
      <c r="AV904" s="618"/>
      <c r="AW904" s="619"/>
      <c r="AX904" s="614"/>
      <c r="AY904" s="616"/>
      <c r="AZ904" s="616"/>
      <c r="BA904" s="616"/>
      <c r="BB904" s="616"/>
      <c r="BC904" s="616"/>
      <c r="BD904" s="612"/>
      <c r="BE904" s="614"/>
      <c r="BF904" s="616"/>
      <c r="BG904" s="616"/>
      <c r="BH904" s="616"/>
      <c r="BI904" s="616"/>
      <c r="BJ904" s="616"/>
      <c r="BK904" s="1023"/>
      <c r="BL904" s="658"/>
    </row>
    <row r="905" spans="2:64">
      <c r="B905" s="1022"/>
      <c r="C905" s="607"/>
      <c r="D905" s="607"/>
      <c r="E905" s="1021"/>
      <c r="F905" s="1019">
        <v>902</v>
      </c>
      <c r="G905" s="609"/>
      <c r="H905" s="610"/>
      <c r="I905" s="611"/>
      <c r="J905" s="166">
        <f t="shared" si="581"/>
        <v>0</v>
      </c>
      <c r="K905" s="167">
        <f t="shared" si="582"/>
        <v>0</v>
      </c>
      <c r="L905" s="168">
        <f t="shared" si="583"/>
        <v>0</v>
      </c>
      <c r="M905" s="166">
        <f t="shared" si="584"/>
        <v>0</v>
      </c>
      <c r="N905" s="167">
        <f t="shared" si="585"/>
        <v>0</v>
      </c>
      <c r="O905" s="168">
        <f t="shared" si="586"/>
        <v>0</v>
      </c>
      <c r="P905" s="169">
        <f t="shared" si="587"/>
        <v>0</v>
      </c>
      <c r="Q905" s="169">
        <f t="shared" si="588"/>
        <v>0</v>
      </c>
      <c r="R905" s="169">
        <f t="shared" si="589"/>
        <v>0</v>
      </c>
      <c r="S905" s="584">
        <f t="shared" si="560"/>
        <v>0</v>
      </c>
      <c r="T905" s="594">
        <f t="shared" si="561"/>
        <v>0</v>
      </c>
      <c r="U905" s="595">
        <f t="shared" si="562"/>
        <v>0</v>
      </c>
      <c r="V905" s="166">
        <f t="shared" si="563"/>
        <v>0</v>
      </c>
      <c r="W905" s="167">
        <f t="shared" si="564"/>
        <v>0</v>
      </c>
      <c r="X905" s="168">
        <f t="shared" si="565"/>
        <v>0</v>
      </c>
      <c r="Y905" s="166">
        <f t="shared" si="566"/>
        <v>0</v>
      </c>
      <c r="Z905" s="167">
        <f t="shared" si="567"/>
        <v>0</v>
      </c>
      <c r="AA905" s="168">
        <f t="shared" si="568"/>
        <v>0</v>
      </c>
      <c r="AB905" s="166">
        <f t="shared" si="569"/>
        <v>0</v>
      </c>
      <c r="AC905" s="167">
        <f t="shared" si="570"/>
        <v>0</v>
      </c>
      <c r="AD905" s="168">
        <f t="shared" si="571"/>
        <v>0</v>
      </c>
      <c r="AE905" s="166">
        <f t="shared" si="572"/>
        <v>0</v>
      </c>
      <c r="AF905" s="167">
        <f t="shared" si="573"/>
        <v>0</v>
      </c>
      <c r="AG905" s="168">
        <f t="shared" si="574"/>
        <v>0</v>
      </c>
      <c r="AH905" s="166">
        <f t="shared" si="575"/>
        <v>0</v>
      </c>
      <c r="AI905" s="167">
        <f t="shared" si="576"/>
        <v>0</v>
      </c>
      <c r="AJ905" s="168">
        <f t="shared" si="577"/>
        <v>0</v>
      </c>
      <c r="AK905" s="169">
        <f t="shared" si="578"/>
        <v>0</v>
      </c>
      <c r="AL905" s="167">
        <f t="shared" si="579"/>
        <v>0</v>
      </c>
      <c r="AM905" s="585">
        <f t="shared" si="580"/>
        <v>0</v>
      </c>
      <c r="AN905" s="614"/>
      <c r="AO905" s="615"/>
      <c r="AP905" s="615"/>
      <c r="AQ905" s="616"/>
      <c r="AR905" s="612"/>
      <c r="AS905" s="617"/>
      <c r="AT905" s="618"/>
      <c r="AU905" s="618"/>
      <c r="AV905" s="618"/>
      <c r="AW905" s="619"/>
      <c r="AX905" s="614"/>
      <c r="AY905" s="616"/>
      <c r="AZ905" s="616"/>
      <c r="BA905" s="616"/>
      <c r="BB905" s="616"/>
      <c r="BC905" s="616"/>
      <c r="BD905" s="612"/>
      <c r="BE905" s="614"/>
      <c r="BF905" s="616"/>
      <c r="BG905" s="616"/>
      <c r="BH905" s="616"/>
      <c r="BI905" s="616"/>
      <c r="BJ905" s="616"/>
      <c r="BK905" s="1023"/>
      <c r="BL905" s="658"/>
    </row>
    <row r="906" spans="2:64">
      <c r="B906" s="1022"/>
      <c r="C906" s="607"/>
      <c r="D906" s="607"/>
      <c r="E906" s="1021"/>
      <c r="F906" s="608">
        <v>903</v>
      </c>
      <c r="G906" s="609"/>
      <c r="H906" s="610"/>
      <c r="I906" s="611"/>
      <c r="J906" s="166">
        <f t="shared" si="581"/>
        <v>0</v>
      </c>
      <c r="K906" s="167">
        <f t="shared" si="582"/>
        <v>0</v>
      </c>
      <c r="L906" s="168">
        <f t="shared" si="583"/>
        <v>0</v>
      </c>
      <c r="M906" s="166">
        <f t="shared" si="584"/>
        <v>0</v>
      </c>
      <c r="N906" s="167">
        <f t="shared" si="585"/>
        <v>0</v>
      </c>
      <c r="O906" s="168">
        <f t="shared" si="586"/>
        <v>0</v>
      </c>
      <c r="P906" s="169">
        <f t="shared" si="587"/>
        <v>0</v>
      </c>
      <c r="Q906" s="169">
        <f t="shared" si="588"/>
        <v>0</v>
      </c>
      <c r="R906" s="169">
        <f t="shared" si="589"/>
        <v>0</v>
      </c>
      <c r="S906" s="584">
        <f t="shared" si="560"/>
        <v>0</v>
      </c>
      <c r="T906" s="594">
        <f t="shared" si="561"/>
        <v>0</v>
      </c>
      <c r="U906" s="595">
        <f t="shared" si="562"/>
        <v>0</v>
      </c>
      <c r="V906" s="166">
        <f t="shared" si="563"/>
        <v>0</v>
      </c>
      <c r="W906" s="167">
        <f t="shared" si="564"/>
        <v>0</v>
      </c>
      <c r="X906" s="168">
        <f t="shared" si="565"/>
        <v>0</v>
      </c>
      <c r="Y906" s="166">
        <f t="shared" si="566"/>
        <v>0</v>
      </c>
      <c r="Z906" s="167">
        <f t="shared" si="567"/>
        <v>0</v>
      </c>
      <c r="AA906" s="168">
        <f t="shared" si="568"/>
        <v>0</v>
      </c>
      <c r="AB906" s="166">
        <f t="shared" si="569"/>
        <v>0</v>
      </c>
      <c r="AC906" s="167">
        <f t="shared" si="570"/>
        <v>0</v>
      </c>
      <c r="AD906" s="168">
        <f t="shared" si="571"/>
        <v>0</v>
      </c>
      <c r="AE906" s="166">
        <f t="shared" si="572"/>
        <v>0</v>
      </c>
      <c r="AF906" s="167">
        <f t="shared" si="573"/>
        <v>0</v>
      </c>
      <c r="AG906" s="168">
        <f t="shared" si="574"/>
        <v>0</v>
      </c>
      <c r="AH906" s="166">
        <f t="shared" si="575"/>
        <v>0</v>
      </c>
      <c r="AI906" s="167">
        <f t="shared" si="576"/>
        <v>0</v>
      </c>
      <c r="AJ906" s="168">
        <f t="shared" si="577"/>
        <v>0</v>
      </c>
      <c r="AK906" s="169">
        <f t="shared" si="578"/>
        <v>0</v>
      </c>
      <c r="AL906" s="167">
        <f t="shared" si="579"/>
        <v>0</v>
      </c>
      <c r="AM906" s="585">
        <f t="shared" si="580"/>
        <v>0</v>
      </c>
      <c r="AN906" s="614"/>
      <c r="AO906" s="615"/>
      <c r="AP906" s="615"/>
      <c r="AQ906" s="616"/>
      <c r="AR906" s="612"/>
      <c r="AS906" s="617"/>
      <c r="AT906" s="618"/>
      <c r="AU906" s="618"/>
      <c r="AV906" s="618"/>
      <c r="AW906" s="619"/>
      <c r="AX906" s="614"/>
      <c r="AY906" s="616"/>
      <c r="AZ906" s="616"/>
      <c r="BA906" s="616"/>
      <c r="BB906" s="616"/>
      <c r="BC906" s="616"/>
      <c r="BD906" s="612"/>
      <c r="BE906" s="614"/>
      <c r="BF906" s="616"/>
      <c r="BG906" s="616"/>
      <c r="BH906" s="616"/>
      <c r="BI906" s="616"/>
      <c r="BJ906" s="616"/>
      <c r="BK906" s="1023"/>
      <c r="BL906" s="658"/>
    </row>
    <row r="907" spans="2:64">
      <c r="B907" s="1022"/>
      <c r="C907" s="607"/>
      <c r="D907" s="607"/>
      <c r="E907" s="1021"/>
      <c r="F907" s="1019">
        <v>904</v>
      </c>
      <c r="G907" s="609"/>
      <c r="H907" s="610"/>
      <c r="I907" s="611"/>
      <c r="J907" s="166">
        <f t="shared" si="581"/>
        <v>0</v>
      </c>
      <c r="K907" s="167">
        <f t="shared" si="582"/>
        <v>0</v>
      </c>
      <c r="L907" s="168">
        <f t="shared" si="583"/>
        <v>0</v>
      </c>
      <c r="M907" s="166">
        <f t="shared" si="584"/>
        <v>0</v>
      </c>
      <c r="N907" s="167">
        <f t="shared" si="585"/>
        <v>0</v>
      </c>
      <c r="O907" s="168">
        <f t="shared" si="586"/>
        <v>0</v>
      </c>
      <c r="P907" s="169">
        <f t="shared" si="587"/>
        <v>0</v>
      </c>
      <c r="Q907" s="169">
        <f t="shared" si="588"/>
        <v>0</v>
      </c>
      <c r="R907" s="169">
        <f t="shared" si="589"/>
        <v>0</v>
      </c>
      <c r="S907" s="584">
        <f t="shared" si="560"/>
        <v>0</v>
      </c>
      <c r="T907" s="594">
        <f t="shared" si="561"/>
        <v>0</v>
      </c>
      <c r="U907" s="595">
        <f t="shared" si="562"/>
        <v>0</v>
      </c>
      <c r="V907" s="166">
        <f t="shared" si="563"/>
        <v>0</v>
      </c>
      <c r="W907" s="167">
        <f t="shared" si="564"/>
        <v>0</v>
      </c>
      <c r="X907" s="168">
        <f t="shared" si="565"/>
        <v>0</v>
      </c>
      <c r="Y907" s="166">
        <f t="shared" si="566"/>
        <v>0</v>
      </c>
      <c r="Z907" s="167">
        <f t="shared" si="567"/>
        <v>0</v>
      </c>
      <c r="AA907" s="168">
        <f t="shared" si="568"/>
        <v>0</v>
      </c>
      <c r="AB907" s="166">
        <f t="shared" si="569"/>
        <v>0</v>
      </c>
      <c r="AC907" s="167">
        <f t="shared" si="570"/>
        <v>0</v>
      </c>
      <c r="AD907" s="168">
        <f t="shared" si="571"/>
        <v>0</v>
      </c>
      <c r="AE907" s="166">
        <f t="shared" si="572"/>
        <v>0</v>
      </c>
      <c r="AF907" s="167">
        <f t="shared" si="573"/>
        <v>0</v>
      </c>
      <c r="AG907" s="168">
        <f t="shared" si="574"/>
        <v>0</v>
      </c>
      <c r="AH907" s="166">
        <f t="shared" si="575"/>
        <v>0</v>
      </c>
      <c r="AI907" s="167">
        <f t="shared" si="576"/>
        <v>0</v>
      </c>
      <c r="AJ907" s="168">
        <f t="shared" si="577"/>
        <v>0</v>
      </c>
      <c r="AK907" s="169">
        <f t="shared" si="578"/>
        <v>0</v>
      </c>
      <c r="AL907" s="167">
        <f t="shared" si="579"/>
        <v>0</v>
      </c>
      <c r="AM907" s="585">
        <f t="shared" si="580"/>
        <v>0</v>
      </c>
      <c r="AN907" s="614"/>
      <c r="AO907" s="615"/>
      <c r="AP907" s="615"/>
      <c r="AQ907" s="616"/>
      <c r="AR907" s="612"/>
      <c r="AS907" s="617"/>
      <c r="AT907" s="618"/>
      <c r="AU907" s="618"/>
      <c r="AV907" s="618"/>
      <c r="AW907" s="619"/>
      <c r="AX907" s="614"/>
      <c r="AY907" s="616"/>
      <c r="AZ907" s="616"/>
      <c r="BA907" s="616"/>
      <c r="BB907" s="616"/>
      <c r="BC907" s="616"/>
      <c r="BD907" s="612"/>
      <c r="BE907" s="614"/>
      <c r="BF907" s="616"/>
      <c r="BG907" s="616"/>
      <c r="BH907" s="616"/>
      <c r="BI907" s="616"/>
      <c r="BJ907" s="616"/>
      <c r="BK907" s="1023"/>
      <c r="BL907" s="658"/>
    </row>
    <row r="908" spans="2:64">
      <c r="B908" s="1022"/>
      <c r="C908" s="607"/>
      <c r="D908" s="607"/>
      <c r="E908" s="1021"/>
      <c r="F908" s="608">
        <v>905</v>
      </c>
      <c r="G908" s="609"/>
      <c r="H908" s="610"/>
      <c r="I908" s="611"/>
      <c r="J908" s="166">
        <f t="shared" si="581"/>
        <v>0</v>
      </c>
      <c r="K908" s="167">
        <f t="shared" si="582"/>
        <v>0</v>
      </c>
      <c r="L908" s="168">
        <f t="shared" si="583"/>
        <v>0</v>
      </c>
      <c r="M908" s="166">
        <f t="shared" si="584"/>
        <v>0</v>
      </c>
      <c r="N908" s="167">
        <f t="shared" si="585"/>
        <v>0</v>
      </c>
      <c r="O908" s="168">
        <f t="shared" si="586"/>
        <v>0</v>
      </c>
      <c r="P908" s="169">
        <f t="shared" si="587"/>
        <v>0</v>
      </c>
      <c r="Q908" s="169">
        <f t="shared" si="588"/>
        <v>0</v>
      </c>
      <c r="R908" s="169">
        <f t="shared" si="589"/>
        <v>0</v>
      </c>
      <c r="S908" s="584">
        <f t="shared" si="560"/>
        <v>0</v>
      </c>
      <c r="T908" s="594">
        <f t="shared" si="561"/>
        <v>0</v>
      </c>
      <c r="U908" s="595">
        <f t="shared" si="562"/>
        <v>0</v>
      </c>
      <c r="V908" s="166">
        <f t="shared" si="563"/>
        <v>0</v>
      </c>
      <c r="W908" s="167">
        <f t="shared" si="564"/>
        <v>0</v>
      </c>
      <c r="X908" s="168">
        <f t="shared" si="565"/>
        <v>0</v>
      </c>
      <c r="Y908" s="166">
        <f t="shared" si="566"/>
        <v>0</v>
      </c>
      <c r="Z908" s="167">
        <f t="shared" si="567"/>
        <v>0</v>
      </c>
      <c r="AA908" s="168">
        <f t="shared" si="568"/>
        <v>0</v>
      </c>
      <c r="AB908" s="166">
        <f t="shared" si="569"/>
        <v>0</v>
      </c>
      <c r="AC908" s="167">
        <f t="shared" si="570"/>
        <v>0</v>
      </c>
      <c r="AD908" s="168">
        <f t="shared" si="571"/>
        <v>0</v>
      </c>
      <c r="AE908" s="166">
        <f t="shared" si="572"/>
        <v>0</v>
      </c>
      <c r="AF908" s="167">
        <f t="shared" si="573"/>
        <v>0</v>
      </c>
      <c r="AG908" s="168">
        <f t="shared" si="574"/>
        <v>0</v>
      </c>
      <c r="AH908" s="166">
        <f t="shared" si="575"/>
        <v>0</v>
      </c>
      <c r="AI908" s="167">
        <f t="shared" si="576"/>
        <v>0</v>
      </c>
      <c r="AJ908" s="168">
        <f t="shared" si="577"/>
        <v>0</v>
      </c>
      <c r="AK908" s="169">
        <f t="shared" si="578"/>
        <v>0</v>
      </c>
      <c r="AL908" s="167">
        <f t="shared" si="579"/>
        <v>0</v>
      </c>
      <c r="AM908" s="585">
        <f t="shared" si="580"/>
        <v>0</v>
      </c>
      <c r="AN908" s="614"/>
      <c r="AO908" s="615"/>
      <c r="AP908" s="615"/>
      <c r="AQ908" s="616"/>
      <c r="AR908" s="612"/>
      <c r="AS908" s="617"/>
      <c r="AT908" s="618"/>
      <c r="AU908" s="618"/>
      <c r="AV908" s="618"/>
      <c r="AW908" s="619"/>
      <c r="AX908" s="614"/>
      <c r="AY908" s="616"/>
      <c r="AZ908" s="616"/>
      <c r="BA908" s="616"/>
      <c r="BB908" s="616"/>
      <c r="BC908" s="616"/>
      <c r="BD908" s="612"/>
      <c r="BE908" s="614"/>
      <c r="BF908" s="616"/>
      <c r="BG908" s="616"/>
      <c r="BH908" s="616"/>
      <c r="BI908" s="616"/>
      <c r="BJ908" s="616"/>
      <c r="BK908" s="1023"/>
      <c r="BL908" s="658"/>
    </row>
    <row r="909" spans="2:64">
      <c r="B909" s="1022"/>
      <c r="C909" s="607"/>
      <c r="D909" s="607"/>
      <c r="E909" s="1021"/>
      <c r="F909" s="1019">
        <v>906</v>
      </c>
      <c r="G909" s="609"/>
      <c r="H909" s="610"/>
      <c r="I909" s="611"/>
      <c r="J909" s="166">
        <f t="shared" si="581"/>
        <v>0</v>
      </c>
      <c r="K909" s="167">
        <f t="shared" si="582"/>
        <v>0</v>
      </c>
      <c r="L909" s="168">
        <f t="shared" si="583"/>
        <v>0</v>
      </c>
      <c r="M909" s="166">
        <f t="shared" si="584"/>
        <v>0</v>
      </c>
      <c r="N909" s="167">
        <f t="shared" si="585"/>
        <v>0</v>
      </c>
      <c r="O909" s="168">
        <f t="shared" si="586"/>
        <v>0</v>
      </c>
      <c r="P909" s="169">
        <f t="shared" si="587"/>
        <v>0</v>
      </c>
      <c r="Q909" s="169">
        <f t="shared" si="588"/>
        <v>0</v>
      </c>
      <c r="R909" s="169">
        <f t="shared" si="589"/>
        <v>0</v>
      </c>
      <c r="S909" s="584">
        <f t="shared" si="560"/>
        <v>0</v>
      </c>
      <c r="T909" s="594">
        <f t="shared" si="561"/>
        <v>0</v>
      </c>
      <c r="U909" s="595">
        <f t="shared" si="562"/>
        <v>0</v>
      </c>
      <c r="V909" s="166">
        <f t="shared" si="563"/>
        <v>0</v>
      </c>
      <c r="W909" s="167">
        <f t="shared" si="564"/>
        <v>0</v>
      </c>
      <c r="X909" s="168">
        <f t="shared" si="565"/>
        <v>0</v>
      </c>
      <c r="Y909" s="166">
        <f t="shared" si="566"/>
        <v>0</v>
      </c>
      <c r="Z909" s="167">
        <f t="shared" si="567"/>
        <v>0</v>
      </c>
      <c r="AA909" s="168">
        <f t="shared" si="568"/>
        <v>0</v>
      </c>
      <c r="AB909" s="166">
        <f t="shared" si="569"/>
        <v>0</v>
      </c>
      <c r="AC909" s="167">
        <f t="shared" si="570"/>
        <v>0</v>
      </c>
      <c r="AD909" s="168">
        <f t="shared" si="571"/>
        <v>0</v>
      </c>
      <c r="AE909" s="166">
        <f t="shared" si="572"/>
        <v>0</v>
      </c>
      <c r="AF909" s="167">
        <f t="shared" si="573"/>
        <v>0</v>
      </c>
      <c r="AG909" s="168">
        <f t="shared" si="574"/>
        <v>0</v>
      </c>
      <c r="AH909" s="166">
        <f t="shared" si="575"/>
        <v>0</v>
      </c>
      <c r="AI909" s="167">
        <f t="shared" si="576"/>
        <v>0</v>
      </c>
      <c r="AJ909" s="168">
        <f t="shared" si="577"/>
        <v>0</v>
      </c>
      <c r="AK909" s="169">
        <f t="shared" si="578"/>
        <v>0</v>
      </c>
      <c r="AL909" s="167">
        <f t="shared" si="579"/>
        <v>0</v>
      </c>
      <c r="AM909" s="585">
        <f t="shared" si="580"/>
        <v>0</v>
      </c>
      <c r="AN909" s="614"/>
      <c r="AO909" s="615"/>
      <c r="AP909" s="615"/>
      <c r="AQ909" s="616"/>
      <c r="AR909" s="612"/>
      <c r="AS909" s="617"/>
      <c r="AT909" s="618"/>
      <c r="AU909" s="618"/>
      <c r="AV909" s="618"/>
      <c r="AW909" s="619"/>
      <c r="AX909" s="614"/>
      <c r="AY909" s="616"/>
      <c r="AZ909" s="616"/>
      <c r="BA909" s="616"/>
      <c r="BB909" s="616"/>
      <c r="BC909" s="616"/>
      <c r="BD909" s="612"/>
      <c r="BE909" s="614"/>
      <c r="BF909" s="616"/>
      <c r="BG909" s="616"/>
      <c r="BH909" s="616"/>
      <c r="BI909" s="616"/>
      <c r="BJ909" s="616"/>
      <c r="BK909" s="1023"/>
      <c r="BL909" s="658"/>
    </row>
    <row r="910" spans="2:64">
      <c r="B910" s="1022"/>
      <c r="C910" s="607"/>
      <c r="D910" s="607"/>
      <c r="E910" s="1021"/>
      <c r="F910" s="608">
        <v>907</v>
      </c>
      <c r="G910" s="609"/>
      <c r="H910" s="610"/>
      <c r="I910" s="611"/>
      <c r="J910" s="166">
        <f t="shared" si="581"/>
        <v>0</v>
      </c>
      <c r="K910" s="167">
        <f t="shared" si="582"/>
        <v>0</v>
      </c>
      <c r="L910" s="168">
        <f t="shared" si="583"/>
        <v>0</v>
      </c>
      <c r="M910" s="166">
        <f t="shared" si="584"/>
        <v>0</v>
      </c>
      <c r="N910" s="167">
        <f t="shared" si="585"/>
        <v>0</v>
      </c>
      <c r="O910" s="168">
        <f t="shared" si="586"/>
        <v>0</v>
      </c>
      <c r="P910" s="169">
        <f t="shared" si="587"/>
        <v>0</v>
      </c>
      <c r="Q910" s="169">
        <f t="shared" si="588"/>
        <v>0</v>
      </c>
      <c r="R910" s="169">
        <f t="shared" si="589"/>
        <v>0</v>
      </c>
      <c r="S910" s="584">
        <f t="shared" si="560"/>
        <v>0</v>
      </c>
      <c r="T910" s="594">
        <f t="shared" si="561"/>
        <v>0</v>
      </c>
      <c r="U910" s="595">
        <f t="shared" si="562"/>
        <v>0</v>
      </c>
      <c r="V910" s="166">
        <f t="shared" si="563"/>
        <v>0</v>
      </c>
      <c r="W910" s="167">
        <f t="shared" si="564"/>
        <v>0</v>
      </c>
      <c r="X910" s="168">
        <f t="shared" si="565"/>
        <v>0</v>
      </c>
      <c r="Y910" s="166">
        <f t="shared" si="566"/>
        <v>0</v>
      </c>
      <c r="Z910" s="167">
        <f t="shared" si="567"/>
        <v>0</v>
      </c>
      <c r="AA910" s="168">
        <f t="shared" si="568"/>
        <v>0</v>
      </c>
      <c r="AB910" s="166">
        <f t="shared" si="569"/>
        <v>0</v>
      </c>
      <c r="AC910" s="167">
        <f t="shared" si="570"/>
        <v>0</v>
      </c>
      <c r="AD910" s="168">
        <f t="shared" si="571"/>
        <v>0</v>
      </c>
      <c r="AE910" s="166">
        <f t="shared" si="572"/>
        <v>0</v>
      </c>
      <c r="AF910" s="167">
        <f t="shared" si="573"/>
        <v>0</v>
      </c>
      <c r="AG910" s="168">
        <f t="shared" si="574"/>
        <v>0</v>
      </c>
      <c r="AH910" s="166">
        <f t="shared" si="575"/>
        <v>0</v>
      </c>
      <c r="AI910" s="167">
        <f t="shared" si="576"/>
        <v>0</v>
      </c>
      <c r="AJ910" s="168">
        <f t="shared" si="577"/>
        <v>0</v>
      </c>
      <c r="AK910" s="169">
        <f t="shared" si="578"/>
        <v>0</v>
      </c>
      <c r="AL910" s="167">
        <f t="shared" si="579"/>
        <v>0</v>
      </c>
      <c r="AM910" s="585">
        <f t="shared" si="580"/>
        <v>0</v>
      </c>
      <c r="AN910" s="614"/>
      <c r="AO910" s="615"/>
      <c r="AP910" s="615"/>
      <c r="AQ910" s="616"/>
      <c r="AR910" s="612"/>
      <c r="AS910" s="617"/>
      <c r="AT910" s="618"/>
      <c r="AU910" s="618"/>
      <c r="AV910" s="618"/>
      <c r="AW910" s="619"/>
      <c r="AX910" s="614"/>
      <c r="AY910" s="616"/>
      <c r="AZ910" s="616"/>
      <c r="BA910" s="616"/>
      <c r="BB910" s="616"/>
      <c r="BC910" s="616"/>
      <c r="BD910" s="612"/>
      <c r="BE910" s="614"/>
      <c r="BF910" s="616"/>
      <c r="BG910" s="616"/>
      <c r="BH910" s="616"/>
      <c r="BI910" s="616"/>
      <c r="BJ910" s="616"/>
      <c r="BK910" s="1023"/>
      <c r="BL910" s="658"/>
    </row>
    <row r="911" spans="2:64">
      <c r="B911" s="1022"/>
      <c r="C911" s="607"/>
      <c r="D911" s="607"/>
      <c r="E911" s="1021"/>
      <c r="F911" s="1019">
        <v>908</v>
      </c>
      <c r="G911" s="609"/>
      <c r="H911" s="610"/>
      <c r="I911" s="611"/>
      <c r="J911" s="166">
        <f t="shared" si="581"/>
        <v>0</v>
      </c>
      <c r="K911" s="167">
        <f t="shared" si="582"/>
        <v>0</v>
      </c>
      <c r="L911" s="168">
        <f t="shared" si="583"/>
        <v>0</v>
      </c>
      <c r="M911" s="166">
        <f t="shared" si="584"/>
        <v>0</v>
      </c>
      <c r="N911" s="167">
        <f t="shared" si="585"/>
        <v>0</v>
      </c>
      <c r="O911" s="168">
        <f t="shared" si="586"/>
        <v>0</v>
      </c>
      <c r="P911" s="169">
        <f t="shared" si="587"/>
        <v>0</v>
      </c>
      <c r="Q911" s="169">
        <f t="shared" si="588"/>
        <v>0</v>
      </c>
      <c r="R911" s="169">
        <f t="shared" si="589"/>
        <v>0</v>
      </c>
      <c r="S911" s="584">
        <f t="shared" si="560"/>
        <v>0</v>
      </c>
      <c r="T911" s="594">
        <f t="shared" si="561"/>
        <v>0</v>
      </c>
      <c r="U911" s="595">
        <f t="shared" si="562"/>
        <v>0</v>
      </c>
      <c r="V911" s="166">
        <f t="shared" si="563"/>
        <v>0</v>
      </c>
      <c r="W911" s="167">
        <f t="shared" si="564"/>
        <v>0</v>
      </c>
      <c r="X911" s="168">
        <f t="shared" si="565"/>
        <v>0</v>
      </c>
      <c r="Y911" s="166">
        <f t="shared" si="566"/>
        <v>0</v>
      </c>
      <c r="Z911" s="167">
        <f t="shared" si="567"/>
        <v>0</v>
      </c>
      <c r="AA911" s="168">
        <f t="shared" si="568"/>
        <v>0</v>
      </c>
      <c r="AB911" s="166">
        <f t="shared" si="569"/>
        <v>0</v>
      </c>
      <c r="AC911" s="167">
        <f t="shared" si="570"/>
        <v>0</v>
      </c>
      <c r="AD911" s="168">
        <f t="shared" si="571"/>
        <v>0</v>
      </c>
      <c r="AE911" s="166">
        <f t="shared" si="572"/>
        <v>0</v>
      </c>
      <c r="AF911" s="167">
        <f t="shared" si="573"/>
        <v>0</v>
      </c>
      <c r="AG911" s="168">
        <f t="shared" si="574"/>
        <v>0</v>
      </c>
      <c r="AH911" s="166">
        <f t="shared" si="575"/>
        <v>0</v>
      </c>
      <c r="AI911" s="167">
        <f t="shared" si="576"/>
        <v>0</v>
      </c>
      <c r="AJ911" s="168">
        <f t="shared" si="577"/>
        <v>0</v>
      </c>
      <c r="AK911" s="169">
        <f t="shared" si="578"/>
        <v>0</v>
      </c>
      <c r="AL911" s="167">
        <f t="shared" si="579"/>
        <v>0</v>
      </c>
      <c r="AM911" s="585">
        <f t="shared" si="580"/>
        <v>0</v>
      </c>
      <c r="AN911" s="614"/>
      <c r="AO911" s="615"/>
      <c r="AP911" s="615"/>
      <c r="AQ911" s="616"/>
      <c r="AR911" s="612"/>
      <c r="AS911" s="617"/>
      <c r="AT911" s="618"/>
      <c r="AU911" s="618"/>
      <c r="AV911" s="618"/>
      <c r="AW911" s="619"/>
      <c r="AX911" s="614"/>
      <c r="AY911" s="616"/>
      <c r="AZ911" s="616"/>
      <c r="BA911" s="616"/>
      <c r="BB911" s="616"/>
      <c r="BC911" s="616"/>
      <c r="BD911" s="612"/>
      <c r="BE911" s="614"/>
      <c r="BF911" s="616"/>
      <c r="BG911" s="616"/>
      <c r="BH911" s="616"/>
      <c r="BI911" s="616"/>
      <c r="BJ911" s="616"/>
      <c r="BK911" s="1023"/>
      <c r="BL911" s="658"/>
    </row>
    <row r="912" spans="2:64">
      <c r="B912" s="1022"/>
      <c r="C912" s="607"/>
      <c r="D912" s="607"/>
      <c r="E912" s="1021"/>
      <c r="F912" s="608">
        <v>909</v>
      </c>
      <c r="G912" s="609"/>
      <c r="H912" s="610"/>
      <c r="I912" s="611"/>
      <c r="J912" s="166">
        <f t="shared" si="581"/>
        <v>0</v>
      </c>
      <c r="K912" s="167">
        <f t="shared" si="582"/>
        <v>0</v>
      </c>
      <c r="L912" s="168">
        <f t="shared" si="583"/>
        <v>0</v>
      </c>
      <c r="M912" s="166">
        <f t="shared" si="584"/>
        <v>0</v>
      </c>
      <c r="N912" s="167">
        <f t="shared" si="585"/>
        <v>0</v>
      </c>
      <c r="O912" s="168">
        <f t="shared" si="586"/>
        <v>0</v>
      </c>
      <c r="P912" s="169">
        <f t="shared" si="587"/>
        <v>0</v>
      </c>
      <c r="Q912" s="169">
        <f t="shared" si="588"/>
        <v>0</v>
      </c>
      <c r="R912" s="169">
        <f t="shared" si="589"/>
        <v>0</v>
      </c>
      <c r="S912" s="584">
        <f t="shared" si="560"/>
        <v>0</v>
      </c>
      <c r="T912" s="594">
        <f t="shared" si="561"/>
        <v>0</v>
      </c>
      <c r="U912" s="595">
        <f t="shared" si="562"/>
        <v>0</v>
      </c>
      <c r="V912" s="166">
        <f t="shared" si="563"/>
        <v>0</v>
      </c>
      <c r="W912" s="167">
        <f t="shared" si="564"/>
        <v>0</v>
      </c>
      <c r="X912" s="168">
        <f t="shared" si="565"/>
        <v>0</v>
      </c>
      <c r="Y912" s="166">
        <f t="shared" si="566"/>
        <v>0</v>
      </c>
      <c r="Z912" s="167">
        <f t="shared" si="567"/>
        <v>0</v>
      </c>
      <c r="AA912" s="168">
        <f t="shared" si="568"/>
        <v>0</v>
      </c>
      <c r="AB912" s="166">
        <f t="shared" si="569"/>
        <v>0</v>
      </c>
      <c r="AC912" s="167">
        <f t="shared" si="570"/>
        <v>0</v>
      </c>
      <c r="AD912" s="168">
        <f t="shared" si="571"/>
        <v>0</v>
      </c>
      <c r="AE912" s="166">
        <f t="shared" si="572"/>
        <v>0</v>
      </c>
      <c r="AF912" s="167">
        <f t="shared" si="573"/>
        <v>0</v>
      </c>
      <c r="AG912" s="168">
        <f t="shared" si="574"/>
        <v>0</v>
      </c>
      <c r="AH912" s="166">
        <f t="shared" si="575"/>
        <v>0</v>
      </c>
      <c r="AI912" s="167">
        <f t="shared" si="576"/>
        <v>0</v>
      </c>
      <c r="AJ912" s="168">
        <f t="shared" si="577"/>
        <v>0</v>
      </c>
      <c r="AK912" s="169">
        <f t="shared" si="578"/>
        <v>0</v>
      </c>
      <c r="AL912" s="167">
        <f t="shared" si="579"/>
        <v>0</v>
      </c>
      <c r="AM912" s="585">
        <f t="shared" si="580"/>
        <v>0</v>
      </c>
      <c r="AN912" s="614"/>
      <c r="AO912" s="615"/>
      <c r="AP912" s="615"/>
      <c r="AQ912" s="616"/>
      <c r="AR912" s="612"/>
      <c r="AS912" s="617"/>
      <c r="AT912" s="618"/>
      <c r="AU912" s="618"/>
      <c r="AV912" s="618"/>
      <c r="AW912" s="619"/>
      <c r="AX912" s="614"/>
      <c r="AY912" s="616"/>
      <c r="AZ912" s="616"/>
      <c r="BA912" s="616"/>
      <c r="BB912" s="616"/>
      <c r="BC912" s="616"/>
      <c r="BD912" s="612"/>
      <c r="BE912" s="614"/>
      <c r="BF912" s="616"/>
      <c r="BG912" s="616"/>
      <c r="BH912" s="616"/>
      <c r="BI912" s="616"/>
      <c r="BJ912" s="616"/>
      <c r="BK912" s="1023"/>
      <c r="BL912" s="658"/>
    </row>
    <row r="913" spans="2:64">
      <c r="B913" s="1022"/>
      <c r="C913" s="607"/>
      <c r="D913" s="607"/>
      <c r="E913" s="1021"/>
      <c r="F913" s="1019">
        <v>910</v>
      </c>
      <c r="G913" s="609"/>
      <c r="H913" s="610"/>
      <c r="I913" s="611"/>
      <c r="J913" s="166">
        <f t="shared" si="581"/>
        <v>0</v>
      </c>
      <c r="K913" s="167">
        <f t="shared" si="582"/>
        <v>0</v>
      </c>
      <c r="L913" s="168">
        <f t="shared" si="583"/>
        <v>0</v>
      </c>
      <c r="M913" s="166">
        <f t="shared" si="584"/>
        <v>0</v>
      </c>
      <c r="N913" s="167">
        <f t="shared" si="585"/>
        <v>0</v>
      </c>
      <c r="O913" s="168">
        <f t="shared" si="586"/>
        <v>0</v>
      </c>
      <c r="P913" s="169">
        <f t="shared" si="587"/>
        <v>0</v>
      </c>
      <c r="Q913" s="169">
        <f t="shared" si="588"/>
        <v>0</v>
      </c>
      <c r="R913" s="169">
        <f t="shared" si="589"/>
        <v>0</v>
      </c>
      <c r="S913" s="584">
        <f t="shared" si="560"/>
        <v>0</v>
      </c>
      <c r="T913" s="594">
        <f t="shared" si="561"/>
        <v>0</v>
      </c>
      <c r="U913" s="595">
        <f t="shared" si="562"/>
        <v>0</v>
      </c>
      <c r="V913" s="166">
        <f t="shared" si="563"/>
        <v>0</v>
      </c>
      <c r="W913" s="167">
        <f t="shared" si="564"/>
        <v>0</v>
      </c>
      <c r="X913" s="168">
        <f t="shared" si="565"/>
        <v>0</v>
      </c>
      <c r="Y913" s="166">
        <f t="shared" si="566"/>
        <v>0</v>
      </c>
      <c r="Z913" s="167">
        <f t="shared" si="567"/>
        <v>0</v>
      </c>
      <c r="AA913" s="168">
        <f t="shared" si="568"/>
        <v>0</v>
      </c>
      <c r="AB913" s="166">
        <f t="shared" si="569"/>
        <v>0</v>
      </c>
      <c r="AC913" s="167">
        <f t="shared" si="570"/>
        <v>0</v>
      </c>
      <c r="AD913" s="168">
        <f t="shared" si="571"/>
        <v>0</v>
      </c>
      <c r="AE913" s="166">
        <f t="shared" si="572"/>
        <v>0</v>
      </c>
      <c r="AF913" s="167">
        <f t="shared" si="573"/>
        <v>0</v>
      </c>
      <c r="AG913" s="168">
        <f t="shared" si="574"/>
        <v>0</v>
      </c>
      <c r="AH913" s="166">
        <f t="shared" si="575"/>
        <v>0</v>
      </c>
      <c r="AI913" s="167">
        <f t="shared" si="576"/>
        <v>0</v>
      </c>
      <c r="AJ913" s="168">
        <f t="shared" si="577"/>
        <v>0</v>
      </c>
      <c r="AK913" s="169">
        <f t="shared" si="578"/>
        <v>0</v>
      </c>
      <c r="AL913" s="167">
        <f t="shared" si="579"/>
        <v>0</v>
      </c>
      <c r="AM913" s="585">
        <f t="shared" si="580"/>
        <v>0</v>
      </c>
      <c r="AN913" s="614"/>
      <c r="AO913" s="615"/>
      <c r="AP913" s="615"/>
      <c r="AQ913" s="616"/>
      <c r="AR913" s="612"/>
      <c r="AS913" s="617"/>
      <c r="AT913" s="618"/>
      <c r="AU913" s="618"/>
      <c r="AV913" s="618"/>
      <c r="AW913" s="619"/>
      <c r="AX913" s="614"/>
      <c r="AY913" s="616"/>
      <c r="AZ913" s="616"/>
      <c r="BA913" s="616"/>
      <c r="BB913" s="616"/>
      <c r="BC913" s="616"/>
      <c r="BD913" s="612"/>
      <c r="BE913" s="614"/>
      <c r="BF913" s="616"/>
      <c r="BG913" s="616"/>
      <c r="BH913" s="616"/>
      <c r="BI913" s="616"/>
      <c r="BJ913" s="616"/>
      <c r="BK913" s="1023"/>
      <c r="BL913" s="658"/>
    </row>
    <row r="914" spans="2:64">
      <c r="B914" s="1022"/>
      <c r="C914" s="607"/>
      <c r="D914" s="607"/>
      <c r="E914" s="1021"/>
      <c r="F914" s="608">
        <v>911</v>
      </c>
      <c r="G914" s="609"/>
      <c r="H914" s="610"/>
      <c r="I914" s="611"/>
      <c r="J914" s="166">
        <f t="shared" si="581"/>
        <v>0</v>
      </c>
      <c r="K914" s="167">
        <f t="shared" si="582"/>
        <v>0</v>
      </c>
      <c r="L914" s="168">
        <f t="shared" si="583"/>
        <v>0</v>
      </c>
      <c r="M914" s="166">
        <f t="shared" si="584"/>
        <v>0</v>
      </c>
      <c r="N914" s="167">
        <f t="shared" si="585"/>
        <v>0</v>
      </c>
      <c r="O914" s="168">
        <f t="shared" si="586"/>
        <v>0</v>
      </c>
      <c r="P914" s="169">
        <f t="shared" si="587"/>
        <v>0</v>
      </c>
      <c r="Q914" s="169">
        <f t="shared" si="588"/>
        <v>0</v>
      </c>
      <c r="R914" s="169">
        <f t="shared" si="589"/>
        <v>0</v>
      </c>
      <c r="S914" s="584">
        <f t="shared" si="560"/>
        <v>0</v>
      </c>
      <c r="T914" s="594">
        <f t="shared" si="561"/>
        <v>0</v>
      </c>
      <c r="U914" s="595">
        <f t="shared" si="562"/>
        <v>0</v>
      </c>
      <c r="V914" s="166">
        <f t="shared" si="563"/>
        <v>0</v>
      </c>
      <c r="W914" s="167">
        <f t="shared" si="564"/>
        <v>0</v>
      </c>
      <c r="X914" s="168">
        <f t="shared" si="565"/>
        <v>0</v>
      </c>
      <c r="Y914" s="166">
        <f t="shared" si="566"/>
        <v>0</v>
      </c>
      <c r="Z914" s="167">
        <f t="shared" si="567"/>
        <v>0</v>
      </c>
      <c r="AA914" s="168">
        <f t="shared" si="568"/>
        <v>0</v>
      </c>
      <c r="AB914" s="166">
        <f t="shared" si="569"/>
        <v>0</v>
      </c>
      <c r="AC914" s="167">
        <f t="shared" si="570"/>
        <v>0</v>
      </c>
      <c r="AD914" s="168">
        <f t="shared" si="571"/>
        <v>0</v>
      </c>
      <c r="AE914" s="166">
        <f t="shared" si="572"/>
        <v>0</v>
      </c>
      <c r="AF914" s="167">
        <f t="shared" si="573"/>
        <v>0</v>
      </c>
      <c r="AG914" s="168">
        <f t="shared" si="574"/>
        <v>0</v>
      </c>
      <c r="AH914" s="166">
        <f t="shared" si="575"/>
        <v>0</v>
      </c>
      <c r="AI914" s="167">
        <f t="shared" si="576"/>
        <v>0</v>
      </c>
      <c r="AJ914" s="168">
        <f t="shared" si="577"/>
        <v>0</v>
      </c>
      <c r="AK914" s="169">
        <f t="shared" si="578"/>
        <v>0</v>
      </c>
      <c r="AL914" s="167">
        <f t="shared" si="579"/>
        <v>0</v>
      </c>
      <c r="AM914" s="585">
        <f t="shared" si="580"/>
        <v>0</v>
      </c>
      <c r="AN914" s="614"/>
      <c r="AO914" s="615"/>
      <c r="AP914" s="615"/>
      <c r="AQ914" s="616"/>
      <c r="AR914" s="612"/>
      <c r="AS914" s="617"/>
      <c r="AT914" s="618"/>
      <c r="AU914" s="618"/>
      <c r="AV914" s="618"/>
      <c r="AW914" s="619"/>
      <c r="AX914" s="614"/>
      <c r="AY914" s="616"/>
      <c r="AZ914" s="616"/>
      <c r="BA914" s="616"/>
      <c r="BB914" s="616"/>
      <c r="BC914" s="616"/>
      <c r="BD914" s="612"/>
      <c r="BE914" s="614"/>
      <c r="BF914" s="616"/>
      <c r="BG914" s="616"/>
      <c r="BH914" s="616"/>
      <c r="BI914" s="616"/>
      <c r="BJ914" s="616"/>
      <c r="BK914" s="1023"/>
      <c r="BL914" s="658"/>
    </row>
    <row r="915" spans="2:64">
      <c r="B915" s="1022"/>
      <c r="C915" s="607"/>
      <c r="D915" s="607"/>
      <c r="E915" s="1021"/>
      <c r="F915" s="1019">
        <v>912</v>
      </c>
      <c r="G915" s="609"/>
      <c r="H915" s="610"/>
      <c r="I915" s="611"/>
      <c r="J915" s="166">
        <f t="shared" si="581"/>
        <v>0</v>
      </c>
      <c r="K915" s="167">
        <f t="shared" si="582"/>
        <v>0</v>
      </c>
      <c r="L915" s="168">
        <f t="shared" si="583"/>
        <v>0</v>
      </c>
      <c r="M915" s="166">
        <f t="shared" si="584"/>
        <v>0</v>
      </c>
      <c r="N915" s="167">
        <f t="shared" si="585"/>
        <v>0</v>
      </c>
      <c r="O915" s="168">
        <f t="shared" si="586"/>
        <v>0</v>
      </c>
      <c r="P915" s="169">
        <f t="shared" si="587"/>
        <v>0</v>
      </c>
      <c r="Q915" s="169">
        <f t="shared" si="588"/>
        <v>0</v>
      </c>
      <c r="R915" s="169">
        <f t="shared" si="589"/>
        <v>0</v>
      </c>
      <c r="S915" s="584">
        <f t="shared" si="560"/>
        <v>0</v>
      </c>
      <c r="T915" s="594">
        <f t="shared" si="561"/>
        <v>0</v>
      </c>
      <c r="U915" s="595">
        <f t="shared" si="562"/>
        <v>0</v>
      </c>
      <c r="V915" s="166">
        <f t="shared" si="563"/>
        <v>0</v>
      </c>
      <c r="W915" s="167">
        <f t="shared" si="564"/>
        <v>0</v>
      </c>
      <c r="X915" s="168">
        <f t="shared" si="565"/>
        <v>0</v>
      </c>
      <c r="Y915" s="166">
        <f t="shared" si="566"/>
        <v>0</v>
      </c>
      <c r="Z915" s="167">
        <f t="shared" si="567"/>
        <v>0</v>
      </c>
      <c r="AA915" s="168">
        <f t="shared" si="568"/>
        <v>0</v>
      </c>
      <c r="AB915" s="166">
        <f t="shared" si="569"/>
        <v>0</v>
      </c>
      <c r="AC915" s="167">
        <f t="shared" si="570"/>
        <v>0</v>
      </c>
      <c r="AD915" s="168">
        <f t="shared" si="571"/>
        <v>0</v>
      </c>
      <c r="AE915" s="166">
        <f t="shared" si="572"/>
        <v>0</v>
      </c>
      <c r="AF915" s="167">
        <f t="shared" si="573"/>
        <v>0</v>
      </c>
      <c r="AG915" s="168">
        <f t="shared" si="574"/>
        <v>0</v>
      </c>
      <c r="AH915" s="166">
        <f t="shared" si="575"/>
        <v>0</v>
      </c>
      <c r="AI915" s="167">
        <f t="shared" si="576"/>
        <v>0</v>
      </c>
      <c r="AJ915" s="168">
        <f t="shared" si="577"/>
        <v>0</v>
      </c>
      <c r="AK915" s="169">
        <f t="shared" si="578"/>
        <v>0</v>
      </c>
      <c r="AL915" s="167">
        <f t="shared" si="579"/>
        <v>0</v>
      </c>
      <c r="AM915" s="585">
        <f t="shared" si="580"/>
        <v>0</v>
      </c>
      <c r="AN915" s="614"/>
      <c r="AO915" s="615"/>
      <c r="AP915" s="615"/>
      <c r="AQ915" s="616"/>
      <c r="AR915" s="612"/>
      <c r="AS915" s="617"/>
      <c r="AT915" s="618"/>
      <c r="AU915" s="618"/>
      <c r="AV915" s="618"/>
      <c r="AW915" s="619"/>
      <c r="AX915" s="614"/>
      <c r="AY915" s="616"/>
      <c r="AZ915" s="616"/>
      <c r="BA915" s="616"/>
      <c r="BB915" s="616"/>
      <c r="BC915" s="616"/>
      <c r="BD915" s="612"/>
      <c r="BE915" s="614"/>
      <c r="BF915" s="616"/>
      <c r="BG915" s="616"/>
      <c r="BH915" s="616"/>
      <c r="BI915" s="616"/>
      <c r="BJ915" s="616"/>
      <c r="BK915" s="1023"/>
      <c r="BL915" s="658"/>
    </row>
    <row r="916" spans="2:64">
      <c r="B916" s="1022"/>
      <c r="C916" s="607"/>
      <c r="D916" s="607"/>
      <c r="E916" s="1021"/>
      <c r="F916" s="608">
        <v>913</v>
      </c>
      <c r="G916" s="609"/>
      <c r="H916" s="610"/>
      <c r="I916" s="611"/>
      <c r="J916" s="166">
        <f t="shared" si="581"/>
        <v>0</v>
      </c>
      <c r="K916" s="167">
        <f t="shared" si="582"/>
        <v>0</v>
      </c>
      <c r="L916" s="168">
        <f t="shared" si="583"/>
        <v>0</v>
      </c>
      <c r="M916" s="166">
        <f t="shared" si="584"/>
        <v>0</v>
      </c>
      <c r="N916" s="167">
        <f t="shared" si="585"/>
        <v>0</v>
      </c>
      <c r="O916" s="168">
        <f t="shared" si="586"/>
        <v>0</v>
      </c>
      <c r="P916" s="169">
        <f t="shared" si="587"/>
        <v>0</v>
      </c>
      <c r="Q916" s="169">
        <f t="shared" si="588"/>
        <v>0</v>
      </c>
      <c r="R916" s="169">
        <f t="shared" si="589"/>
        <v>0</v>
      </c>
      <c r="S916" s="584">
        <f t="shared" si="560"/>
        <v>0</v>
      </c>
      <c r="T916" s="594">
        <f t="shared" si="561"/>
        <v>0</v>
      </c>
      <c r="U916" s="595">
        <f t="shared" si="562"/>
        <v>0</v>
      </c>
      <c r="V916" s="166">
        <f t="shared" si="563"/>
        <v>0</v>
      </c>
      <c r="W916" s="167">
        <f t="shared" si="564"/>
        <v>0</v>
      </c>
      <c r="X916" s="168">
        <f t="shared" si="565"/>
        <v>0</v>
      </c>
      <c r="Y916" s="166">
        <f t="shared" si="566"/>
        <v>0</v>
      </c>
      <c r="Z916" s="167">
        <f t="shared" si="567"/>
        <v>0</v>
      </c>
      <c r="AA916" s="168">
        <f t="shared" si="568"/>
        <v>0</v>
      </c>
      <c r="AB916" s="166">
        <f t="shared" si="569"/>
        <v>0</v>
      </c>
      <c r="AC916" s="167">
        <f t="shared" si="570"/>
        <v>0</v>
      </c>
      <c r="AD916" s="168">
        <f t="shared" si="571"/>
        <v>0</v>
      </c>
      <c r="AE916" s="166">
        <f t="shared" si="572"/>
        <v>0</v>
      </c>
      <c r="AF916" s="167">
        <f t="shared" si="573"/>
        <v>0</v>
      </c>
      <c r="AG916" s="168">
        <f t="shared" si="574"/>
        <v>0</v>
      </c>
      <c r="AH916" s="166">
        <f t="shared" si="575"/>
        <v>0</v>
      </c>
      <c r="AI916" s="167">
        <f t="shared" si="576"/>
        <v>0</v>
      </c>
      <c r="AJ916" s="168">
        <f t="shared" si="577"/>
        <v>0</v>
      </c>
      <c r="AK916" s="169">
        <f t="shared" si="578"/>
        <v>0</v>
      </c>
      <c r="AL916" s="167">
        <f t="shared" si="579"/>
        <v>0</v>
      </c>
      <c r="AM916" s="585">
        <f t="shared" si="580"/>
        <v>0</v>
      </c>
      <c r="AN916" s="614"/>
      <c r="AO916" s="615"/>
      <c r="AP916" s="615"/>
      <c r="AQ916" s="616"/>
      <c r="AR916" s="612"/>
      <c r="AS916" s="617"/>
      <c r="AT916" s="618"/>
      <c r="AU916" s="618"/>
      <c r="AV916" s="618"/>
      <c r="AW916" s="619"/>
      <c r="AX916" s="614"/>
      <c r="AY916" s="616"/>
      <c r="AZ916" s="616"/>
      <c r="BA916" s="616"/>
      <c r="BB916" s="616"/>
      <c r="BC916" s="616"/>
      <c r="BD916" s="612"/>
      <c r="BE916" s="614"/>
      <c r="BF916" s="616"/>
      <c r="BG916" s="616"/>
      <c r="BH916" s="616"/>
      <c r="BI916" s="616"/>
      <c r="BJ916" s="616"/>
      <c r="BK916" s="1023"/>
      <c r="BL916" s="658"/>
    </row>
    <row r="917" spans="2:64">
      <c r="B917" s="1022"/>
      <c r="C917" s="607"/>
      <c r="D917" s="607"/>
      <c r="E917" s="1021"/>
      <c r="F917" s="1019">
        <v>914</v>
      </c>
      <c r="G917" s="609"/>
      <c r="H917" s="610"/>
      <c r="I917" s="611"/>
      <c r="J917" s="166">
        <f t="shared" si="581"/>
        <v>0</v>
      </c>
      <c r="K917" s="167">
        <f t="shared" si="582"/>
        <v>0</v>
      </c>
      <c r="L917" s="168">
        <f t="shared" si="583"/>
        <v>0</v>
      </c>
      <c r="M917" s="166">
        <f t="shared" si="584"/>
        <v>0</v>
      </c>
      <c r="N917" s="167">
        <f t="shared" si="585"/>
        <v>0</v>
      </c>
      <c r="O917" s="168">
        <f t="shared" si="586"/>
        <v>0</v>
      </c>
      <c r="P917" s="169">
        <f t="shared" si="587"/>
        <v>0</v>
      </c>
      <c r="Q917" s="169">
        <f t="shared" si="588"/>
        <v>0</v>
      </c>
      <c r="R917" s="169">
        <f t="shared" si="589"/>
        <v>0</v>
      </c>
      <c r="S917" s="584">
        <f t="shared" si="560"/>
        <v>0</v>
      </c>
      <c r="T917" s="594">
        <f t="shared" si="561"/>
        <v>0</v>
      </c>
      <c r="U917" s="595">
        <f t="shared" si="562"/>
        <v>0</v>
      </c>
      <c r="V917" s="166">
        <f t="shared" si="563"/>
        <v>0</v>
      </c>
      <c r="W917" s="167">
        <f t="shared" si="564"/>
        <v>0</v>
      </c>
      <c r="X917" s="168">
        <f t="shared" si="565"/>
        <v>0</v>
      </c>
      <c r="Y917" s="166">
        <f t="shared" si="566"/>
        <v>0</v>
      </c>
      <c r="Z917" s="167">
        <f t="shared" si="567"/>
        <v>0</v>
      </c>
      <c r="AA917" s="168">
        <f t="shared" si="568"/>
        <v>0</v>
      </c>
      <c r="AB917" s="166">
        <f t="shared" si="569"/>
        <v>0</v>
      </c>
      <c r="AC917" s="167">
        <f t="shared" si="570"/>
        <v>0</v>
      </c>
      <c r="AD917" s="168">
        <f t="shared" si="571"/>
        <v>0</v>
      </c>
      <c r="AE917" s="166">
        <f t="shared" si="572"/>
        <v>0</v>
      </c>
      <c r="AF917" s="167">
        <f t="shared" si="573"/>
        <v>0</v>
      </c>
      <c r="AG917" s="168">
        <f t="shared" si="574"/>
        <v>0</v>
      </c>
      <c r="AH917" s="166">
        <f t="shared" si="575"/>
        <v>0</v>
      </c>
      <c r="AI917" s="167">
        <f t="shared" si="576"/>
        <v>0</v>
      </c>
      <c r="AJ917" s="168">
        <f t="shared" si="577"/>
        <v>0</v>
      </c>
      <c r="AK917" s="169">
        <f t="shared" si="578"/>
        <v>0</v>
      </c>
      <c r="AL917" s="167">
        <f t="shared" si="579"/>
        <v>0</v>
      </c>
      <c r="AM917" s="585">
        <f t="shared" si="580"/>
        <v>0</v>
      </c>
      <c r="AN917" s="614"/>
      <c r="AO917" s="615"/>
      <c r="AP917" s="615"/>
      <c r="AQ917" s="616"/>
      <c r="AR917" s="612"/>
      <c r="AS917" s="617"/>
      <c r="AT917" s="618"/>
      <c r="AU917" s="618"/>
      <c r="AV917" s="618"/>
      <c r="AW917" s="619"/>
      <c r="AX917" s="614"/>
      <c r="AY917" s="616"/>
      <c r="AZ917" s="616"/>
      <c r="BA917" s="616"/>
      <c r="BB917" s="616"/>
      <c r="BC917" s="616"/>
      <c r="BD917" s="612"/>
      <c r="BE917" s="614"/>
      <c r="BF917" s="616"/>
      <c r="BG917" s="616"/>
      <c r="BH917" s="616"/>
      <c r="BI917" s="616"/>
      <c r="BJ917" s="616"/>
      <c r="BK917" s="1023"/>
      <c r="BL917" s="658"/>
    </row>
    <row r="918" spans="2:64">
      <c r="B918" s="1022"/>
      <c r="C918" s="607"/>
      <c r="D918" s="607"/>
      <c r="E918" s="1021"/>
      <c r="F918" s="608">
        <v>915</v>
      </c>
      <c r="G918" s="609"/>
      <c r="H918" s="610"/>
      <c r="I918" s="611"/>
      <c r="J918" s="166">
        <f t="shared" si="581"/>
        <v>0</v>
      </c>
      <c r="K918" s="167">
        <f t="shared" si="582"/>
        <v>0</v>
      </c>
      <c r="L918" s="168">
        <f t="shared" si="583"/>
        <v>0</v>
      </c>
      <c r="M918" s="166">
        <f t="shared" si="584"/>
        <v>0</v>
      </c>
      <c r="N918" s="167">
        <f t="shared" si="585"/>
        <v>0</v>
      </c>
      <c r="O918" s="168">
        <f t="shared" si="586"/>
        <v>0</v>
      </c>
      <c r="P918" s="169">
        <f t="shared" si="587"/>
        <v>0</v>
      </c>
      <c r="Q918" s="169">
        <f t="shared" si="588"/>
        <v>0</v>
      </c>
      <c r="R918" s="169">
        <f t="shared" si="589"/>
        <v>0</v>
      </c>
      <c r="S918" s="584">
        <f t="shared" si="560"/>
        <v>0</v>
      </c>
      <c r="T918" s="594">
        <f t="shared" si="561"/>
        <v>0</v>
      </c>
      <c r="U918" s="595">
        <f t="shared" si="562"/>
        <v>0</v>
      </c>
      <c r="V918" s="166">
        <f t="shared" si="563"/>
        <v>0</v>
      </c>
      <c r="W918" s="167">
        <f t="shared" si="564"/>
        <v>0</v>
      </c>
      <c r="X918" s="168">
        <f t="shared" si="565"/>
        <v>0</v>
      </c>
      <c r="Y918" s="166">
        <f t="shared" si="566"/>
        <v>0</v>
      </c>
      <c r="Z918" s="167">
        <f t="shared" si="567"/>
        <v>0</v>
      </c>
      <c r="AA918" s="168">
        <f t="shared" si="568"/>
        <v>0</v>
      </c>
      <c r="AB918" s="166">
        <f t="shared" si="569"/>
        <v>0</v>
      </c>
      <c r="AC918" s="167">
        <f t="shared" si="570"/>
        <v>0</v>
      </c>
      <c r="AD918" s="168">
        <f t="shared" si="571"/>
        <v>0</v>
      </c>
      <c r="AE918" s="166">
        <f t="shared" si="572"/>
        <v>0</v>
      </c>
      <c r="AF918" s="167">
        <f t="shared" si="573"/>
        <v>0</v>
      </c>
      <c r="AG918" s="168">
        <f t="shared" si="574"/>
        <v>0</v>
      </c>
      <c r="AH918" s="166">
        <f t="shared" si="575"/>
        <v>0</v>
      </c>
      <c r="AI918" s="167">
        <f t="shared" si="576"/>
        <v>0</v>
      </c>
      <c r="AJ918" s="168">
        <f t="shared" si="577"/>
        <v>0</v>
      </c>
      <c r="AK918" s="169">
        <f t="shared" si="578"/>
        <v>0</v>
      </c>
      <c r="AL918" s="167">
        <f t="shared" si="579"/>
        <v>0</v>
      </c>
      <c r="AM918" s="585">
        <f t="shared" si="580"/>
        <v>0</v>
      </c>
      <c r="AN918" s="614"/>
      <c r="AO918" s="615"/>
      <c r="AP918" s="615"/>
      <c r="AQ918" s="616"/>
      <c r="AR918" s="612"/>
      <c r="AS918" s="617"/>
      <c r="AT918" s="618"/>
      <c r="AU918" s="618"/>
      <c r="AV918" s="618"/>
      <c r="AW918" s="619"/>
      <c r="AX918" s="614"/>
      <c r="AY918" s="616"/>
      <c r="AZ918" s="616"/>
      <c r="BA918" s="616"/>
      <c r="BB918" s="616"/>
      <c r="BC918" s="616"/>
      <c r="BD918" s="612"/>
      <c r="BE918" s="614"/>
      <c r="BF918" s="616"/>
      <c r="BG918" s="616"/>
      <c r="BH918" s="616"/>
      <c r="BI918" s="616"/>
      <c r="BJ918" s="616"/>
      <c r="BK918" s="1023"/>
      <c r="BL918" s="658"/>
    </row>
    <row r="919" spans="2:64">
      <c r="B919" s="1022"/>
      <c r="C919" s="607"/>
      <c r="D919" s="607"/>
      <c r="E919" s="1021"/>
      <c r="F919" s="1019">
        <v>916</v>
      </c>
      <c r="G919" s="609"/>
      <c r="H919" s="610"/>
      <c r="I919" s="611"/>
      <c r="J919" s="166">
        <f t="shared" si="581"/>
        <v>0</v>
      </c>
      <c r="K919" s="167">
        <f t="shared" si="582"/>
        <v>0</v>
      </c>
      <c r="L919" s="168">
        <f t="shared" si="583"/>
        <v>0</v>
      </c>
      <c r="M919" s="166">
        <f t="shared" si="584"/>
        <v>0</v>
      </c>
      <c r="N919" s="167">
        <f t="shared" si="585"/>
        <v>0</v>
      </c>
      <c r="O919" s="168">
        <f t="shared" si="586"/>
        <v>0</v>
      </c>
      <c r="P919" s="169">
        <f t="shared" si="587"/>
        <v>0</v>
      </c>
      <c r="Q919" s="169">
        <f t="shared" si="588"/>
        <v>0</v>
      </c>
      <c r="R919" s="169">
        <f t="shared" si="589"/>
        <v>0</v>
      </c>
      <c r="S919" s="584">
        <f t="shared" si="560"/>
        <v>0</v>
      </c>
      <c r="T919" s="594">
        <f t="shared" si="561"/>
        <v>0</v>
      </c>
      <c r="U919" s="595">
        <f t="shared" si="562"/>
        <v>0</v>
      </c>
      <c r="V919" s="166">
        <f t="shared" si="563"/>
        <v>0</v>
      </c>
      <c r="W919" s="167">
        <f t="shared" si="564"/>
        <v>0</v>
      </c>
      <c r="X919" s="168">
        <f t="shared" si="565"/>
        <v>0</v>
      </c>
      <c r="Y919" s="166">
        <f t="shared" si="566"/>
        <v>0</v>
      </c>
      <c r="Z919" s="167">
        <f t="shared" si="567"/>
        <v>0</v>
      </c>
      <c r="AA919" s="168">
        <f t="shared" si="568"/>
        <v>0</v>
      </c>
      <c r="AB919" s="166">
        <f t="shared" si="569"/>
        <v>0</v>
      </c>
      <c r="AC919" s="167">
        <f t="shared" si="570"/>
        <v>0</v>
      </c>
      <c r="AD919" s="168">
        <f t="shared" si="571"/>
        <v>0</v>
      </c>
      <c r="AE919" s="166">
        <f t="shared" si="572"/>
        <v>0</v>
      </c>
      <c r="AF919" s="167">
        <f t="shared" si="573"/>
        <v>0</v>
      </c>
      <c r="AG919" s="168">
        <f t="shared" si="574"/>
        <v>0</v>
      </c>
      <c r="AH919" s="166">
        <f t="shared" si="575"/>
        <v>0</v>
      </c>
      <c r="AI919" s="167">
        <f t="shared" si="576"/>
        <v>0</v>
      </c>
      <c r="AJ919" s="168">
        <f t="shared" si="577"/>
        <v>0</v>
      </c>
      <c r="AK919" s="169">
        <f t="shared" si="578"/>
        <v>0</v>
      </c>
      <c r="AL919" s="167">
        <f t="shared" si="579"/>
        <v>0</v>
      </c>
      <c r="AM919" s="585">
        <f t="shared" si="580"/>
        <v>0</v>
      </c>
      <c r="AN919" s="614"/>
      <c r="AO919" s="615"/>
      <c r="AP919" s="615"/>
      <c r="AQ919" s="616"/>
      <c r="AR919" s="612"/>
      <c r="AS919" s="617"/>
      <c r="AT919" s="618"/>
      <c r="AU919" s="618"/>
      <c r="AV919" s="618"/>
      <c r="AW919" s="619"/>
      <c r="AX919" s="614"/>
      <c r="AY919" s="616"/>
      <c r="AZ919" s="616"/>
      <c r="BA919" s="616"/>
      <c r="BB919" s="616"/>
      <c r="BC919" s="616"/>
      <c r="BD919" s="612"/>
      <c r="BE919" s="614"/>
      <c r="BF919" s="616"/>
      <c r="BG919" s="616"/>
      <c r="BH919" s="616"/>
      <c r="BI919" s="616"/>
      <c r="BJ919" s="616"/>
      <c r="BK919" s="1023"/>
      <c r="BL919" s="658"/>
    </row>
    <row r="920" spans="2:64">
      <c r="B920" s="1022"/>
      <c r="C920" s="607"/>
      <c r="D920" s="607"/>
      <c r="E920" s="1021"/>
      <c r="F920" s="608">
        <v>917</v>
      </c>
      <c r="G920" s="609"/>
      <c r="H920" s="610"/>
      <c r="I920" s="611"/>
      <c r="J920" s="166">
        <f t="shared" si="581"/>
        <v>0</v>
      </c>
      <c r="K920" s="167">
        <f t="shared" si="582"/>
        <v>0</v>
      </c>
      <c r="L920" s="168">
        <f t="shared" si="583"/>
        <v>0</v>
      </c>
      <c r="M920" s="166">
        <f t="shared" si="584"/>
        <v>0</v>
      </c>
      <c r="N920" s="167">
        <f t="shared" si="585"/>
        <v>0</v>
      </c>
      <c r="O920" s="168">
        <f t="shared" si="586"/>
        <v>0</v>
      </c>
      <c r="P920" s="169">
        <f t="shared" si="587"/>
        <v>0</v>
      </c>
      <c r="Q920" s="169">
        <f t="shared" si="588"/>
        <v>0</v>
      </c>
      <c r="R920" s="169">
        <f t="shared" si="589"/>
        <v>0</v>
      </c>
      <c r="S920" s="584">
        <f t="shared" si="560"/>
        <v>0</v>
      </c>
      <c r="T920" s="594">
        <f t="shared" si="561"/>
        <v>0</v>
      </c>
      <c r="U920" s="595">
        <f t="shared" si="562"/>
        <v>0</v>
      </c>
      <c r="V920" s="166">
        <f t="shared" si="563"/>
        <v>0</v>
      </c>
      <c r="W920" s="167">
        <f t="shared" si="564"/>
        <v>0</v>
      </c>
      <c r="X920" s="168">
        <f t="shared" si="565"/>
        <v>0</v>
      </c>
      <c r="Y920" s="166">
        <f t="shared" si="566"/>
        <v>0</v>
      </c>
      <c r="Z920" s="167">
        <f t="shared" si="567"/>
        <v>0</v>
      </c>
      <c r="AA920" s="168">
        <f t="shared" si="568"/>
        <v>0</v>
      </c>
      <c r="AB920" s="166">
        <f t="shared" si="569"/>
        <v>0</v>
      </c>
      <c r="AC920" s="167">
        <f t="shared" si="570"/>
        <v>0</v>
      </c>
      <c r="AD920" s="168">
        <f t="shared" si="571"/>
        <v>0</v>
      </c>
      <c r="AE920" s="166">
        <f t="shared" si="572"/>
        <v>0</v>
      </c>
      <c r="AF920" s="167">
        <f t="shared" si="573"/>
        <v>0</v>
      </c>
      <c r="AG920" s="168">
        <f t="shared" si="574"/>
        <v>0</v>
      </c>
      <c r="AH920" s="166">
        <f t="shared" si="575"/>
        <v>0</v>
      </c>
      <c r="AI920" s="167">
        <f t="shared" si="576"/>
        <v>0</v>
      </c>
      <c r="AJ920" s="168">
        <f t="shared" si="577"/>
        <v>0</v>
      </c>
      <c r="AK920" s="169">
        <f t="shared" si="578"/>
        <v>0</v>
      </c>
      <c r="AL920" s="167">
        <f t="shared" si="579"/>
        <v>0</v>
      </c>
      <c r="AM920" s="585">
        <f t="shared" si="580"/>
        <v>0</v>
      </c>
      <c r="AN920" s="614"/>
      <c r="AO920" s="615"/>
      <c r="AP920" s="615"/>
      <c r="AQ920" s="616"/>
      <c r="AR920" s="612"/>
      <c r="AS920" s="617"/>
      <c r="AT920" s="618"/>
      <c r="AU920" s="618"/>
      <c r="AV920" s="618"/>
      <c r="AW920" s="619"/>
      <c r="AX920" s="614"/>
      <c r="AY920" s="616"/>
      <c r="AZ920" s="616"/>
      <c r="BA920" s="616"/>
      <c r="BB920" s="616"/>
      <c r="BC920" s="616"/>
      <c r="BD920" s="612"/>
      <c r="BE920" s="614"/>
      <c r="BF920" s="616"/>
      <c r="BG920" s="616"/>
      <c r="BH920" s="616"/>
      <c r="BI920" s="616"/>
      <c r="BJ920" s="616"/>
      <c r="BK920" s="1023"/>
      <c r="BL920" s="658"/>
    </row>
    <row r="921" spans="2:64">
      <c r="B921" s="1022"/>
      <c r="C921" s="607"/>
      <c r="D921" s="607"/>
      <c r="E921" s="1021"/>
      <c r="F921" s="1019">
        <v>918</v>
      </c>
      <c r="G921" s="609"/>
      <c r="H921" s="610"/>
      <c r="I921" s="611"/>
      <c r="J921" s="166">
        <f t="shared" si="581"/>
        <v>0</v>
      </c>
      <c r="K921" s="167">
        <f t="shared" si="582"/>
        <v>0</v>
      </c>
      <c r="L921" s="168">
        <f t="shared" si="583"/>
        <v>0</v>
      </c>
      <c r="M921" s="166">
        <f t="shared" si="584"/>
        <v>0</v>
      </c>
      <c r="N921" s="167">
        <f t="shared" si="585"/>
        <v>0</v>
      </c>
      <c r="O921" s="168">
        <f t="shared" si="586"/>
        <v>0</v>
      </c>
      <c r="P921" s="169">
        <f t="shared" si="587"/>
        <v>0</v>
      </c>
      <c r="Q921" s="169">
        <f t="shared" si="588"/>
        <v>0</v>
      </c>
      <c r="R921" s="169">
        <f t="shared" si="589"/>
        <v>0</v>
      </c>
      <c r="S921" s="584">
        <f t="shared" ref="S921:S984" si="590">ROUND(IF($C921="UR",G921*0.25,G921*0.3),0)</f>
        <v>0</v>
      </c>
      <c r="T921" s="594">
        <f t="shared" ref="T921:T984" si="591">ROUND(IF($C921="UR",H921*0.25,H921*0.3),0)</f>
        <v>0</v>
      </c>
      <c r="U921" s="595">
        <f t="shared" ref="U921:U984" si="592">ROUND(IF($C921="UR",I921*0.25,I921*0.3),0)</f>
        <v>0</v>
      </c>
      <c r="V921" s="166">
        <f t="shared" ref="V921:V984" si="593">(IF($C921="UR",IF($E921="party卡",18,12))+IF($C921="SR",10)+IF($C921="R",8))*M921+J921+S921</f>
        <v>0</v>
      </c>
      <c r="W921" s="167">
        <f t="shared" ref="W921:W984" si="594">(IF($C921="UR",IF($E921="party卡",18,12))+IF($C921="SR",10)+IF($C921="R",8))*N921+K921+T921</f>
        <v>0</v>
      </c>
      <c r="X921" s="168">
        <f t="shared" ref="X921:X984" si="595">(IF($C921="UR",IF($E921="party卡",18,12))+IF($C921="SR",10)+IF($C921="R",8))*O921+L921+U921</f>
        <v>0</v>
      </c>
      <c r="Y921" s="166">
        <f t="shared" ref="Y921:Y984" si="596">V921+(IF(C921="UR",IF(E921="party卡",IF(D921="gd",1,2),IF(D921="vo",2)+IF(D921="sp",1)+IF(D921="gd",3)+IF(D921="sk",1)))+IF(C921="SR",2)+IF(C921="R",IF(D921="vo",1)+IF(D921="sp",2)+IF(D921="gd",1)+IF(D921="sk",2)))*P921</f>
        <v>0</v>
      </c>
      <c r="Z921" s="167">
        <f t="shared" ref="Z921:Z984" si="597">W921+(IF(C921="UR",IF(E921="party卡",IF(D921="sp",1,2),IF(D921="vo",1)+IF(D921="sp",3)+IF(D921="gd",2)+IF(D921="sk",2)))+IF(C921="SR",2)+IF(C921="R",IF(D921="vo",2)+IF(D921="sp",1)+IF(D921="gd",1)+IF(D921="sk",1)))*Q921</f>
        <v>0</v>
      </c>
      <c r="AA921" s="168">
        <f t="shared" ref="AA921:AA984" si="598">X921+(IF(C921="UR",IF(E921="party卡",IF(OR(D921="vo",D921="sk"),1,2),IF(D921="vo",3)+IF(D921="sp",2)+IF(D921="gd",1)+IF(D921="sk",3)))+IF(C921="SR",2)+IF(C921="R",IF(D921="vo",1)+IF(D921="sp",1)+IF(D921="gd",2)+IF(D921="sk",1)))*R921</f>
        <v>0</v>
      </c>
      <c r="AB921" s="166">
        <f t="shared" ref="AB921:AB984" si="599">V921+(IF(C921="UR",IF(E921="party卡",IF(OR(D921="sp",D921="sk"),3,2),IF(D921="vo",5)+IF(D921="sp",4)+IF(D921="gd",4)+IF(D921="sk",4)))+IF(C921="SR",4)+IF(C921="R",IF(D921="vo",3)+IF(D921="sp",3)+IF(D921="gd",2)+IF(D921="sk",3)))*P921</f>
        <v>0</v>
      </c>
      <c r="AC921" s="167">
        <f t="shared" ref="AC921:AC984" si="600">W921+(IF(C921="UR",IF(E921="party卡",IF(D921="vo",3,2),IF(D921="vo",4)+IF(D921="sp",4)+IF(D921="gd",5)+IF(D921="sk",5)))+IF(C921="SR",4)+IF(C921="R",IF(D921="vo",3)+IF(D921="sp",2)+IF(D921="gd",3)+IF(D921="sk",3)))*Q921</f>
        <v>0</v>
      </c>
      <c r="AD921" s="168">
        <f t="shared" ref="AD921:AD984" si="601">X921+(IF(C921="UR",IF(E921="party卡",IF(D921="gd",3,2),IF(D921="vo",4)+IF(D921="sp",5)+IF(D921="gd",4)+IF(D921="sk",4)))+IF(C921="SR",4)+IF(C921="R",IF(D921="vo",2)+IF(D921="sp",3)+IF(D921="gd",3)+IF(D921="sk",2)))*R921</f>
        <v>0</v>
      </c>
      <c r="AE921" s="166">
        <f t="shared" ref="AE921:AE984" si="602">V921+(IF(C921="UR",IF(E921="party卡",3,IF(D921="vo",7)+IF(D921="sp",8)+IF(D921="gd",6)+IF(D921="sk",8)))+IF(C921="SR",IF(D921="vo",5)+IF(D921="sp",6)+IF(D921="gd",6)+IF(D921="sk",6))+IF(C921="R",IF(D921="vo",5)+IF(D921="sp",4)+IF(D921="gd",4)+IF(D921="sk",4)))*P921</f>
        <v>0</v>
      </c>
      <c r="AF921" s="167">
        <f t="shared" ref="AF921:AF984" si="603">W921+(IF(C921="UR",IF(E921="party卡",3,IF(D921="vo",8)+IF(D921="sp",6)+IF(D921="gd",7)+IF(D921="sk",7)))+IF(C921="SR",IF(D921="vo",6)+IF(D921="sp",6)+IF(D921="gd",5)+IF(D921="sk",5))+IF(C921="R",IF(D921="vo",4)+IF(D921="sp",4)+IF(D921="gd",5)+IF(D921="sk",5)))*Q921</f>
        <v>0</v>
      </c>
      <c r="AG921" s="168">
        <f t="shared" ref="AG921:AG984" si="604">X921+(IF(C921="UR",IF(E921="party卡",3,IF(D921="vo",6)+IF(D921="sp",7)+IF(D921="gd",8)+IF(D921="sk",6)))+IF(C921="SR",IF(D921="vo",6)+IF(D921="sp",5)+IF(D921="gd",6)+IF(D921="sk",6))+IF(C921="R",IF(D921="vo",4)+IF(D921="sp",5)+IF(D921="gd",4)+IF(D921="sk",4)))*R921</f>
        <v>0</v>
      </c>
      <c r="AH921" s="166">
        <f t="shared" ref="AH921:AH984" si="605">V921+(IF(C921="UR",IF(E921="party卡",4,IF(D921="vo",9)+IF(D921="sp",10)+IF(D921="gd",10)+IF(D921="sk",10)))+IF(C921="SR",IF(D921="vo",7)+IF(D921="sp",7)+IF(D921="gd",9)+IF(D921="sk",7))+IF(C921="R",IF(D921="vo",7)+IF(D921="sp",6)+IF(D921="gd",6)+IF(D921="sk",6)))*P921</f>
        <v>0</v>
      </c>
      <c r="AI921" s="167">
        <f t="shared" ref="AI921:AI984" si="606">W921+(IF(C921="UR",IF(E921="party卡",4,IF(D921="vo",10)+IF(D921="sp",10)+IF(D921="gd",9)+IF(D921="sk",9)))+IF(C921="SR",IF(D921="vo",7)+IF(D921="sp",9)+IF(D921="gd",7)+IF(D921="sk",7))+IF(C921="R",IF(D921="vo",6)+IF(D921="sp",6)+IF(D921="gd",7)+IF(D921="sk",7)))*Q921</f>
        <v>0</v>
      </c>
      <c r="AJ921" s="168">
        <f t="shared" ref="AJ921:AJ984" si="607">X921+(IF(C921="UR",IF(E921="party卡",4,IF(D921="vo",10)+IF(D921="sp",9)+IF(D921="gd",10)+IF(D921="sk",10)))+IF(C921="SR",IF(D921="vo",9)+IF(D921="sp",7)+IF(D921="gd",7)+IF(D921="sk",9))+IF(C921="R",IF(D921="vo",6)+IF(D921="sp",7)+IF(D921="gd",6)+IF(D921="sk",6)))*R921</f>
        <v>0</v>
      </c>
      <c r="AK921" s="169">
        <f t="shared" ref="AK921:AK984" si="608">G921+J921</f>
        <v>0</v>
      </c>
      <c r="AL921" s="167">
        <f t="shared" ref="AL921:AL984" si="609">H921+K921</f>
        <v>0</v>
      </c>
      <c r="AM921" s="585">
        <f t="shared" ref="AM921:AM984" si="610">I921+L921</f>
        <v>0</v>
      </c>
      <c r="AN921" s="614"/>
      <c r="AO921" s="615"/>
      <c r="AP921" s="615"/>
      <c r="AQ921" s="616"/>
      <c r="AR921" s="612"/>
      <c r="AS921" s="617"/>
      <c r="AT921" s="618"/>
      <c r="AU921" s="618"/>
      <c r="AV921" s="618"/>
      <c r="AW921" s="619"/>
      <c r="AX921" s="614"/>
      <c r="AY921" s="616"/>
      <c r="AZ921" s="616"/>
      <c r="BA921" s="616"/>
      <c r="BB921" s="616"/>
      <c r="BC921" s="616"/>
      <c r="BD921" s="612"/>
      <c r="BE921" s="614"/>
      <c r="BF921" s="616"/>
      <c r="BG921" s="616"/>
      <c r="BH921" s="616"/>
      <c r="BI921" s="616"/>
      <c r="BJ921" s="616"/>
      <c r="BK921" s="1023"/>
      <c r="BL921" s="658"/>
    </row>
    <row r="922" spans="2:64">
      <c r="B922" s="1022"/>
      <c r="C922" s="607"/>
      <c r="D922" s="607"/>
      <c r="E922" s="1021"/>
      <c r="F922" s="608">
        <v>919</v>
      </c>
      <c r="G922" s="609"/>
      <c r="H922" s="610"/>
      <c r="I922" s="611"/>
      <c r="J922" s="166">
        <f t="shared" si="581"/>
        <v>0</v>
      </c>
      <c r="K922" s="167">
        <f t="shared" si="582"/>
        <v>0</v>
      </c>
      <c r="L922" s="168">
        <f t="shared" si="583"/>
        <v>0</v>
      </c>
      <c r="M922" s="166">
        <f t="shared" si="584"/>
        <v>0</v>
      </c>
      <c r="N922" s="167">
        <f t="shared" si="585"/>
        <v>0</v>
      </c>
      <c r="O922" s="168">
        <f t="shared" si="586"/>
        <v>0</v>
      </c>
      <c r="P922" s="169">
        <f t="shared" si="587"/>
        <v>0</v>
      </c>
      <c r="Q922" s="169">
        <f t="shared" si="588"/>
        <v>0</v>
      </c>
      <c r="R922" s="169">
        <f t="shared" si="589"/>
        <v>0</v>
      </c>
      <c r="S922" s="584">
        <f t="shared" si="590"/>
        <v>0</v>
      </c>
      <c r="T922" s="594">
        <f t="shared" si="591"/>
        <v>0</v>
      </c>
      <c r="U922" s="595">
        <f t="shared" si="592"/>
        <v>0</v>
      </c>
      <c r="V922" s="166">
        <f t="shared" si="593"/>
        <v>0</v>
      </c>
      <c r="W922" s="167">
        <f t="shared" si="594"/>
        <v>0</v>
      </c>
      <c r="X922" s="168">
        <f t="shared" si="595"/>
        <v>0</v>
      </c>
      <c r="Y922" s="166">
        <f t="shared" si="596"/>
        <v>0</v>
      </c>
      <c r="Z922" s="167">
        <f t="shared" si="597"/>
        <v>0</v>
      </c>
      <c r="AA922" s="168">
        <f t="shared" si="598"/>
        <v>0</v>
      </c>
      <c r="AB922" s="166">
        <f t="shared" si="599"/>
        <v>0</v>
      </c>
      <c r="AC922" s="167">
        <f t="shared" si="600"/>
        <v>0</v>
      </c>
      <c r="AD922" s="168">
        <f t="shared" si="601"/>
        <v>0</v>
      </c>
      <c r="AE922" s="166">
        <f t="shared" si="602"/>
        <v>0</v>
      </c>
      <c r="AF922" s="167">
        <f t="shared" si="603"/>
        <v>0</v>
      </c>
      <c r="AG922" s="168">
        <f t="shared" si="604"/>
        <v>0</v>
      </c>
      <c r="AH922" s="166">
        <f t="shared" si="605"/>
        <v>0</v>
      </c>
      <c r="AI922" s="167">
        <f t="shared" si="606"/>
        <v>0</v>
      </c>
      <c r="AJ922" s="168">
        <f t="shared" si="607"/>
        <v>0</v>
      </c>
      <c r="AK922" s="169">
        <f t="shared" si="608"/>
        <v>0</v>
      </c>
      <c r="AL922" s="167">
        <f t="shared" si="609"/>
        <v>0</v>
      </c>
      <c r="AM922" s="585">
        <f t="shared" si="610"/>
        <v>0</v>
      </c>
      <c r="AN922" s="614"/>
      <c r="AO922" s="615"/>
      <c r="AP922" s="615"/>
      <c r="AQ922" s="616"/>
      <c r="AR922" s="612"/>
      <c r="AS922" s="617"/>
      <c r="AT922" s="618"/>
      <c r="AU922" s="618"/>
      <c r="AV922" s="618"/>
      <c r="AW922" s="619"/>
      <c r="AX922" s="614"/>
      <c r="AY922" s="616"/>
      <c r="AZ922" s="616"/>
      <c r="BA922" s="616"/>
      <c r="BB922" s="616"/>
      <c r="BC922" s="616"/>
      <c r="BD922" s="612"/>
      <c r="BE922" s="614"/>
      <c r="BF922" s="616"/>
      <c r="BG922" s="616"/>
      <c r="BH922" s="616"/>
      <c r="BI922" s="616"/>
      <c r="BJ922" s="616"/>
      <c r="BK922" s="1023"/>
      <c r="BL922" s="658"/>
    </row>
    <row r="923" spans="2:64">
      <c r="B923" s="1022"/>
      <c r="C923" s="607"/>
      <c r="D923" s="607"/>
      <c r="E923" s="1021"/>
      <c r="F923" s="1019">
        <v>920</v>
      </c>
      <c r="G923" s="609"/>
      <c r="H923" s="610"/>
      <c r="I923" s="611"/>
      <c r="J923" s="166">
        <f t="shared" si="581"/>
        <v>0</v>
      </c>
      <c r="K923" s="167">
        <f t="shared" si="582"/>
        <v>0</v>
      </c>
      <c r="L923" s="168">
        <f t="shared" si="583"/>
        <v>0</v>
      </c>
      <c r="M923" s="166">
        <f t="shared" si="584"/>
        <v>0</v>
      </c>
      <c r="N923" s="167">
        <f t="shared" si="585"/>
        <v>0</v>
      </c>
      <c r="O923" s="168">
        <f t="shared" si="586"/>
        <v>0</v>
      </c>
      <c r="P923" s="169">
        <f t="shared" si="587"/>
        <v>0</v>
      </c>
      <c r="Q923" s="169">
        <f t="shared" si="588"/>
        <v>0</v>
      </c>
      <c r="R923" s="169">
        <f t="shared" si="589"/>
        <v>0</v>
      </c>
      <c r="S923" s="584">
        <f t="shared" si="590"/>
        <v>0</v>
      </c>
      <c r="T923" s="594">
        <f t="shared" si="591"/>
        <v>0</v>
      </c>
      <c r="U923" s="595">
        <f t="shared" si="592"/>
        <v>0</v>
      </c>
      <c r="V923" s="166">
        <f t="shared" si="593"/>
        <v>0</v>
      </c>
      <c r="W923" s="167">
        <f t="shared" si="594"/>
        <v>0</v>
      </c>
      <c r="X923" s="168">
        <f t="shared" si="595"/>
        <v>0</v>
      </c>
      <c r="Y923" s="166">
        <f t="shared" si="596"/>
        <v>0</v>
      </c>
      <c r="Z923" s="167">
        <f t="shared" si="597"/>
        <v>0</v>
      </c>
      <c r="AA923" s="168">
        <f t="shared" si="598"/>
        <v>0</v>
      </c>
      <c r="AB923" s="166">
        <f t="shared" si="599"/>
        <v>0</v>
      </c>
      <c r="AC923" s="167">
        <f t="shared" si="600"/>
        <v>0</v>
      </c>
      <c r="AD923" s="168">
        <f t="shared" si="601"/>
        <v>0</v>
      </c>
      <c r="AE923" s="166">
        <f t="shared" si="602"/>
        <v>0</v>
      </c>
      <c r="AF923" s="167">
        <f t="shared" si="603"/>
        <v>0</v>
      </c>
      <c r="AG923" s="168">
        <f t="shared" si="604"/>
        <v>0</v>
      </c>
      <c r="AH923" s="166">
        <f t="shared" si="605"/>
        <v>0</v>
      </c>
      <c r="AI923" s="167">
        <f t="shared" si="606"/>
        <v>0</v>
      </c>
      <c r="AJ923" s="168">
        <f t="shared" si="607"/>
        <v>0</v>
      </c>
      <c r="AK923" s="169">
        <f t="shared" si="608"/>
        <v>0</v>
      </c>
      <c r="AL923" s="167">
        <f t="shared" si="609"/>
        <v>0</v>
      </c>
      <c r="AM923" s="585">
        <f t="shared" si="610"/>
        <v>0</v>
      </c>
      <c r="AN923" s="614"/>
      <c r="AO923" s="615"/>
      <c r="AP923" s="615"/>
      <c r="AQ923" s="616"/>
      <c r="AR923" s="612"/>
      <c r="AS923" s="617"/>
      <c r="AT923" s="618"/>
      <c r="AU923" s="618"/>
      <c r="AV923" s="618"/>
      <c r="AW923" s="619"/>
      <c r="AX923" s="614"/>
      <c r="AY923" s="616"/>
      <c r="AZ923" s="616"/>
      <c r="BA923" s="616"/>
      <c r="BB923" s="616"/>
      <c r="BC923" s="616"/>
      <c r="BD923" s="612"/>
      <c r="BE923" s="614"/>
      <c r="BF923" s="616"/>
      <c r="BG923" s="616"/>
      <c r="BH923" s="616"/>
      <c r="BI923" s="616"/>
      <c r="BJ923" s="616"/>
      <c r="BK923" s="1023"/>
      <c r="BL923" s="658"/>
    </row>
    <row r="924" spans="2:64">
      <c r="B924" s="1022"/>
      <c r="C924" s="607"/>
      <c r="D924" s="607"/>
      <c r="E924" s="1021"/>
      <c r="F924" s="608">
        <v>921</v>
      </c>
      <c r="G924" s="609"/>
      <c r="H924" s="610"/>
      <c r="I924" s="611"/>
      <c r="J924" s="166">
        <f t="shared" si="581"/>
        <v>0</v>
      </c>
      <c r="K924" s="167">
        <f t="shared" si="582"/>
        <v>0</v>
      </c>
      <c r="L924" s="168">
        <f t="shared" si="583"/>
        <v>0</v>
      </c>
      <c r="M924" s="166">
        <f t="shared" si="584"/>
        <v>0</v>
      </c>
      <c r="N924" s="167">
        <f t="shared" si="585"/>
        <v>0</v>
      </c>
      <c r="O924" s="168">
        <f t="shared" si="586"/>
        <v>0</v>
      </c>
      <c r="P924" s="169">
        <f t="shared" si="587"/>
        <v>0</v>
      </c>
      <c r="Q924" s="169">
        <f t="shared" si="588"/>
        <v>0</v>
      </c>
      <c r="R924" s="169">
        <f t="shared" si="589"/>
        <v>0</v>
      </c>
      <c r="S924" s="584">
        <f t="shared" si="590"/>
        <v>0</v>
      </c>
      <c r="T924" s="594">
        <f t="shared" si="591"/>
        <v>0</v>
      </c>
      <c r="U924" s="595">
        <f t="shared" si="592"/>
        <v>0</v>
      </c>
      <c r="V924" s="166">
        <f t="shared" si="593"/>
        <v>0</v>
      </c>
      <c r="W924" s="167">
        <f t="shared" si="594"/>
        <v>0</v>
      </c>
      <c r="X924" s="168">
        <f t="shared" si="595"/>
        <v>0</v>
      </c>
      <c r="Y924" s="166">
        <f t="shared" si="596"/>
        <v>0</v>
      </c>
      <c r="Z924" s="167">
        <f t="shared" si="597"/>
        <v>0</v>
      </c>
      <c r="AA924" s="168">
        <f t="shared" si="598"/>
        <v>0</v>
      </c>
      <c r="AB924" s="166">
        <f t="shared" si="599"/>
        <v>0</v>
      </c>
      <c r="AC924" s="167">
        <f t="shared" si="600"/>
        <v>0</v>
      </c>
      <c r="AD924" s="168">
        <f t="shared" si="601"/>
        <v>0</v>
      </c>
      <c r="AE924" s="166">
        <f t="shared" si="602"/>
        <v>0</v>
      </c>
      <c r="AF924" s="167">
        <f t="shared" si="603"/>
        <v>0</v>
      </c>
      <c r="AG924" s="168">
        <f t="shared" si="604"/>
        <v>0</v>
      </c>
      <c r="AH924" s="166">
        <f t="shared" si="605"/>
        <v>0</v>
      </c>
      <c r="AI924" s="167">
        <f t="shared" si="606"/>
        <v>0</v>
      </c>
      <c r="AJ924" s="168">
        <f t="shared" si="607"/>
        <v>0</v>
      </c>
      <c r="AK924" s="169">
        <f t="shared" si="608"/>
        <v>0</v>
      </c>
      <c r="AL924" s="167">
        <f t="shared" si="609"/>
        <v>0</v>
      </c>
      <c r="AM924" s="585">
        <f t="shared" si="610"/>
        <v>0</v>
      </c>
      <c r="AN924" s="614"/>
      <c r="AO924" s="615"/>
      <c r="AP924" s="615"/>
      <c r="AQ924" s="616"/>
      <c r="AR924" s="612"/>
      <c r="AS924" s="617"/>
      <c r="AT924" s="618"/>
      <c r="AU924" s="618"/>
      <c r="AV924" s="618"/>
      <c r="AW924" s="619"/>
      <c r="AX924" s="614"/>
      <c r="AY924" s="616"/>
      <c r="AZ924" s="616"/>
      <c r="BA924" s="616"/>
      <c r="BB924" s="616"/>
      <c r="BC924" s="616"/>
      <c r="BD924" s="612"/>
      <c r="BE924" s="614"/>
      <c r="BF924" s="616"/>
      <c r="BG924" s="616"/>
      <c r="BH924" s="616"/>
      <c r="BI924" s="616"/>
      <c r="BJ924" s="616"/>
      <c r="BK924" s="1023"/>
      <c r="BL924" s="658"/>
    </row>
    <row r="925" spans="2:64">
      <c r="B925" s="1022"/>
      <c r="C925" s="607"/>
      <c r="D925" s="607"/>
      <c r="E925" s="1021"/>
      <c r="F925" s="1019">
        <v>922</v>
      </c>
      <c r="G925" s="609"/>
      <c r="H925" s="610"/>
      <c r="I925" s="611"/>
      <c r="J925" s="166">
        <f t="shared" si="581"/>
        <v>0</v>
      </c>
      <c r="K925" s="167">
        <f t="shared" si="582"/>
        <v>0</v>
      </c>
      <c r="L925" s="168">
        <f t="shared" si="583"/>
        <v>0</v>
      </c>
      <c r="M925" s="166">
        <f t="shared" si="584"/>
        <v>0</v>
      </c>
      <c r="N925" s="167">
        <f t="shared" si="585"/>
        <v>0</v>
      </c>
      <c r="O925" s="168">
        <f t="shared" si="586"/>
        <v>0</v>
      </c>
      <c r="P925" s="169">
        <f t="shared" si="587"/>
        <v>0</v>
      </c>
      <c r="Q925" s="169">
        <f t="shared" si="588"/>
        <v>0</v>
      </c>
      <c r="R925" s="169">
        <f t="shared" si="589"/>
        <v>0</v>
      </c>
      <c r="S925" s="584">
        <f t="shared" si="590"/>
        <v>0</v>
      </c>
      <c r="T925" s="594">
        <f t="shared" si="591"/>
        <v>0</v>
      </c>
      <c r="U925" s="595">
        <f t="shared" si="592"/>
        <v>0</v>
      </c>
      <c r="V925" s="166">
        <f t="shared" si="593"/>
        <v>0</v>
      </c>
      <c r="W925" s="167">
        <f t="shared" si="594"/>
        <v>0</v>
      </c>
      <c r="X925" s="168">
        <f t="shared" si="595"/>
        <v>0</v>
      </c>
      <c r="Y925" s="166">
        <f t="shared" si="596"/>
        <v>0</v>
      </c>
      <c r="Z925" s="167">
        <f t="shared" si="597"/>
        <v>0</v>
      </c>
      <c r="AA925" s="168">
        <f t="shared" si="598"/>
        <v>0</v>
      </c>
      <c r="AB925" s="166">
        <f t="shared" si="599"/>
        <v>0</v>
      </c>
      <c r="AC925" s="167">
        <f t="shared" si="600"/>
        <v>0</v>
      </c>
      <c r="AD925" s="168">
        <f t="shared" si="601"/>
        <v>0</v>
      </c>
      <c r="AE925" s="166">
        <f t="shared" si="602"/>
        <v>0</v>
      </c>
      <c r="AF925" s="167">
        <f t="shared" si="603"/>
        <v>0</v>
      </c>
      <c r="AG925" s="168">
        <f t="shared" si="604"/>
        <v>0</v>
      </c>
      <c r="AH925" s="166">
        <f t="shared" si="605"/>
        <v>0</v>
      </c>
      <c r="AI925" s="167">
        <f t="shared" si="606"/>
        <v>0</v>
      </c>
      <c r="AJ925" s="168">
        <f t="shared" si="607"/>
        <v>0</v>
      </c>
      <c r="AK925" s="169">
        <f t="shared" si="608"/>
        <v>0</v>
      </c>
      <c r="AL925" s="167">
        <f t="shared" si="609"/>
        <v>0</v>
      </c>
      <c r="AM925" s="585">
        <f t="shared" si="610"/>
        <v>0</v>
      </c>
      <c r="AN925" s="614"/>
      <c r="AO925" s="615"/>
      <c r="AP925" s="615"/>
      <c r="AQ925" s="616"/>
      <c r="AR925" s="612"/>
      <c r="AS925" s="617"/>
      <c r="AT925" s="618"/>
      <c r="AU925" s="618"/>
      <c r="AV925" s="618"/>
      <c r="AW925" s="619"/>
      <c r="AX925" s="614"/>
      <c r="AY925" s="616"/>
      <c r="AZ925" s="616"/>
      <c r="BA925" s="616"/>
      <c r="BB925" s="616"/>
      <c r="BC925" s="616"/>
      <c r="BD925" s="612"/>
      <c r="BE925" s="614"/>
      <c r="BF925" s="616"/>
      <c r="BG925" s="616"/>
      <c r="BH925" s="616"/>
      <c r="BI925" s="616"/>
      <c r="BJ925" s="616"/>
      <c r="BK925" s="1023"/>
      <c r="BL925" s="658"/>
    </row>
    <row r="926" spans="2:64">
      <c r="B926" s="1022"/>
      <c r="C926" s="607"/>
      <c r="D926" s="607"/>
      <c r="E926" s="1021"/>
      <c r="F926" s="608">
        <v>923</v>
      </c>
      <c r="G926" s="609"/>
      <c r="H926" s="610"/>
      <c r="I926" s="611"/>
      <c r="J926" s="166">
        <f t="shared" si="581"/>
        <v>0</v>
      </c>
      <c r="K926" s="167">
        <f t="shared" si="582"/>
        <v>0</v>
      </c>
      <c r="L926" s="168">
        <f t="shared" si="583"/>
        <v>0</v>
      </c>
      <c r="M926" s="166">
        <f t="shared" si="584"/>
        <v>0</v>
      </c>
      <c r="N926" s="167">
        <f t="shared" si="585"/>
        <v>0</v>
      </c>
      <c r="O926" s="168">
        <f t="shared" si="586"/>
        <v>0</v>
      </c>
      <c r="P926" s="169">
        <f t="shared" si="587"/>
        <v>0</v>
      </c>
      <c r="Q926" s="169">
        <f t="shared" si="588"/>
        <v>0</v>
      </c>
      <c r="R926" s="169">
        <f t="shared" si="589"/>
        <v>0</v>
      </c>
      <c r="S926" s="584">
        <f t="shared" si="590"/>
        <v>0</v>
      </c>
      <c r="T926" s="594">
        <f t="shared" si="591"/>
        <v>0</v>
      </c>
      <c r="U926" s="595">
        <f t="shared" si="592"/>
        <v>0</v>
      </c>
      <c r="V926" s="166">
        <f t="shared" si="593"/>
        <v>0</v>
      </c>
      <c r="W926" s="167">
        <f t="shared" si="594"/>
        <v>0</v>
      </c>
      <c r="X926" s="168">
        <f t="shared" si="595"/>
        <v>0</v>
      </c>
      <c r="Y926" s="166">
        <f t="shared" si="596"/>
        <v>0</v>
      </c>
      <c r="Z926" s="167">
        <f t="shared" si="597"/>
        <v>0</v>
      </c>
      <c r="AA926" s="168">
        <f t="shared" si="598"/>
        <v>0</v>
      </c>
      <c r="AB926" s="166">
        <f t="shared" si="599"/>
        <v>0</v>
      </c>
      <c r="AC926" s="167">
        <f t="shared" si="600"/>
        <v>0</v>
      </c>
      <c r="AD926" s="168">
        <f t="shared" si="601"/>
        <v>0</v>
      </c>
      <c r="AE926" s="166">
        <f t="shared" si="602"/>
        <v>0</v>
      </c>
      <c r="AF926" s="167">
        <f t="shared" si="603"/>
        <v>0</v>
      </c>
      <c r="AG926" s="168">
        <f t="shared" si="604"/>
        <v>0</v>
      </c>
      <c r="AH926" s="166">
        <f t="shared" si="605"/>
        <v>0</v>
      </c>
      <c r="AI926" s="167">
        <f t="shared" si="606"/>
        <v>0</v>
      </c>
      <c r="AJ926" s="168">
        <f t="shared" si="607"/>
        <v>0</v>
      </c>
      <c r="AK926" s="169">
        <f t="shared" si="608"/>
        <v>0</v>
      </c>
      <c r="AL926" s="167">
        <f t="shared" si="609"/>
        <v>0</v>
      </c>
      <c r="AM926" s="585">
        <f t="shared" si="610"/>
        <v>0</v>
      </c>
      <c r="AN926" s="614"/>
      <c r="AO926" s="615"/>
      <c r="AP926" s="615"/>
      <c r="AQ926" s="616"/>
      <c r="AR926" s="612"/>
      <c r="AS926" s="617"/>
      <c r="AT926" s="618"/>
      <c r="AU926" s="618"/>
      <c r="AV926" s="618"/>
      <c r="AW926" s="619"/>
      <c r="AX926" s="614"/>
      <c r="AY926" s="616"/>
      <c r="AZ926" s="616"/>
      <c r="BA926" s="616"/>
      <c r="BB926" s="616"/>
      <c r="BC926" s="616"/>
      <c r="BD926" s="612"/>
      <c r="BE926" s="614"/>
      <c r="BF926" s="616"/>
      <c r="BG926" s="616"/>
      <c r="BH926" s="616"/>
      <c r="BI926" s="616"/>
      <c r="BJ926" s="616"/>
      <c r="BK926" s="1023"/>
      <c r="BL926" s="658"/>
    </row>
    <row r="927" spans="2:64">
      <c r="B927" s="1022"/>
      <c r="C927" s="607"/>
      <c r="D927" s="607"/>
      <c r="E927" s="1021"/>
      <c r="F927" s="1019">
        <v>924</v>
      </c>
      <c r="G927" s="609"/>
      <c r="H927" s="610"/>
      <c r="I927" s="611"/>
      <c r="J927" s="166">
        <f t="shared" si="581"/>
        <v>0</v>
      </c>
      <c r="K927" s="167">
        <f t="shared" si="582"/>
        <v>0</v>
      </c>
      <c r="L927" s="168">
        <f t="shared" si="583"/>
        <v>0</v>
      </c>
      <c r="M927" s="166">
        <f t="shared" si="584"/>
        <v>0</v>
      </c>
      <c r="N927" s="167">
        <f t="shared" si="585"/>
        <v>0</v>
      </c>
      <c r="O927" s="168">
        <f t="shared" si="586"/>
        <v>0</v>
      </c>
      <c r="P927" s="169">
        <f t="shared" si="587"/>
        <v>0</v>
      </c>
      <c r="Q927" s="169">
        <f t="shared" si="588"/>
        <v>0</v>
      </c>
      <c r="R927" s="169">
        <f t="shared" si="589"/>
        <v>0</v>
      </c>
      <c r="S927" s="584">
        <f t="shared" si="590"/>
        <v>0</v>
      </c>
      <c r="T927" s="594">
        <f t="shared" si="591"/>
        <v>0</v>
      </c>
      <c r="U927" s="595">
        <f t="shared" si="592"/>
        <v>0</v>
      </c>
      <c r="V927" s="166">
        <f t="shared" si="593"/>
        <v>0</v>
      </c>
      <c r="W927" s="167">
        <f t="shared" si="594"/>
        <v>0</v>
      </c>
      <c r="X927" s="168">
        <f t="shared" si="595"/>
        <v>0</v>
      </c>
      <c r="Y927" s="166">
        <f t="shared" si="596"/>
        <v>0</v>
      </c>
      <c r="Z927" s="167">
        <f t="shared" si="597"/>
        <v>0</v>
      </c>
      <c r="AA927" s="168">
        <f t="shared" si="598"/>
        <v>0</v>
      </c>
      <c r="AB927" s="166">
        <f t="shared" si="599"/>
        <v>0</v>
      </c>
      <c r="AC927" s="167">
        <f t="shared" si="600"/>
        <v>0</v>
      </c>
      <c r="AD927" s="168">
        <f t="shared" si="601"/>
        <v>0</v>
      </c>
      <c r="AE927" s="166">
        <f t="shared" si="602"/>
        <v>0</v>
      </c>
      <c r="AF927" s="167">
        <f t="shared" si="603"/>
        <v>0</v>
      </c>
      <c r="AG927" s="168">
        <f t="shared" si="604"/>
        <v>0</v>
      </c>
      <c r="AH927" s="166">
        <f t="shared" si="605"/>
        <v>0</v>
      </c>
      <c r="AI927" s="167">
        <f t="shared" si="606"/>
        <v>0</v>
      </c>
      <c r="AJ927" s="168">
        <f t="shared" si="607"/>
        <v>0</v>
      </c>
      <c r="AK927" s="169">
        <f t="shared" si="608"/>
        <v>0</v>
      </c>
      <c r="AL927" s="167">
        <f t="shared" si="609"/>
        <v>0</v>
      </c>
      <c r="AM927" s="585">
        <f t="shared" si="610"/>
        <v>0</v>
      </c>
      <c r="AN927" s="614"/>
      <c r="AO927" s="615"/>
      <c r="AP927" s="615"/>
      <c r="AQ927" s="616"/>
      <c r="AR927" s="612"/>
      <c r="AS927" s="617"/>
      <c r="AT927" s="618"/>
      <c r="AU927" s="618"/>
      <c r="AV927" s="618"/>
      <c r="AW927" s="619"/>
      <c r="AX927" s="614"/>
      <c r="AY927" s="616"/>
      <c r="AZ927" s="616"/>
      <c r="BA927" s="616"/>
      <c r="BB927" s="616"/>
      <c r="BC927" s="616"/>
      <c r="BD927" s="612"/>
      <c r="BE927" s="614"/>
      <c r="BF927" s="616"/>
      <c r="BG927" s="616"/>
      <c r="BH927" s="616"/>
      <c r="BI927" s="616"/>
      <c r="BJ927" s="616"/>
      <c r="BK927" s="1023"/>
      <c r="BL927" s="658"/>
    </row>
    <row r="928" spans="2:64">
      <c r="B928" s="1022"/>
      <c r="C928" s="607"/>
      <c r="D928" s="607"/>
      <c r="E928" s="1021"/>
      <c r="F928" s="608">
        <v>925</v>
      </c>
      <c r="G928" s="609"/>
      <c r="H928" s="610"/>
      <c r="I928" s="611"/>
      <c r="J928" s="166">
        <f t="shared" si="581"/>
        <v>0</v>
      </c>
      <c r="K928" s="167">
        <f t="shared" si="582"/>
        <v>0</v>
      </c>
      <c r="L928" s="168">
        <f t="shared" si="583"/>
        <v>0</v>
      </c>
      <c r="M928" s="166">
        <f t="shared" si="584"/>
        <v>0</v>
      </c>
      <c r="N928" s="167">
        <f t="shared" si="585"/>
        <v>0</v>
      </c>
      <c r="O928" s="168">
        <f t="shared" si="586"/>
        <v>0</v>
      </c>
      <c r="P928" s="169">
        <f t="shared" si="587"/>
        <v>0</v>
      </c>
      <c r="Q928" s="169">
        <f t="shared" si="588"/>
        <v>0</v>
      </c>
      <c r="R928" s="169">
        <f t="shared" si="589"/>
        <v>0</v>
      </c>
      <c r="S928" s="584">
        <f t="shared" si="590"/>
        <v>0</v>
      </c>
      <c r="T928" s="594">
        <f t="shared" si="591"/>
        <v>0</v>
      </c>
      <c r="U928" s="595">
        <f t="shared" si="592"/>
        <v>0</v>
      </c>
      <c r="V928" s="166">
        <f t="shared" si="593"/>
        <v>0</v>
      </c>
      <c r="W928" s="167">
        <f t="shared" si="594"/>
        <v>0</v>
      </c>
      <c r="X928" s="168">
        <f t="shared" si="595"/>
        <v>0</v>
      </c>
      <c r="Y928" s="166">
        <f t="shared" si="596"/>
        <v>0</v>
      </c>
      <c r="Z928" s="167">
        <f t="shared" si="597"/>
        <v>0</v>
      </c>
      <c r="AA928" s="168">
        <f t="shared" si="598"/>
        <v>0</v>
      </c>
      <c r="AB928" s="166">
        <f t="shared" si="599"/>
        <v>0</v>
      </c>
      <c r="AC928" s="167">
        <f t="shared" si="600"/>
        <v>0</v>
      </c>
      <c r="AD928" s="168">
        <f t="shared" si="601"/>
        <v>0</v>
      </c>
      <c r="AE928" s="166">
        <f t="shared" si="602"/>
        <v>0</v>
      </c>
      <c r="AF928" s="167">
        <f t="shared" si="603"/>
        <v>0</v>
      </c>
      <c r="AG928" s="168">
        <f t="shared" si="604"/>
        <v>0</v>
      </c>
      <c r="AH928" s="166">
        <f t="shared" si="605"/>
        <v>0</v>
      </c>
      <c r="AI928" s="167">
        <f t="shared" si="606"/>
        <v>0</v>
      </c>
      <c r="AJ928" s="168">
        <f t="shared" si="607"/>
        <v>0</v>
      </c>
      <c r="AK928" s="169">
        <f t="shared" si="608"/>
        <v>0</v>
      </c>
      <c r="AL928" s="167">
        <f t="shared" si="609"/>
        <v>0</v>
      </c>
      <c r="AM928" s="585">
        <f t="shared" si="610"/>
        <v>0</v>
      </c>
      <c r="AN928" s="614"/>
      <c r="AO928" s="615"/>
      <c r="AP928" s="615"/>
      <c r="AQ928" s="616"/>
      <c r="AR928" s="612"/>
      <c r="AS928" s="617"/>
      <c r="AT928" s="618"/>
      <c r="AU928" s="618"/>
      <c r="AV928" s="618"/>
      <c r="AW928" s="619"/>
      <c r="AX928" s="614"/>
      <c r="AY928" s="616"/>
      <c r="AZ928" s="616"/>
      <c r="BA928" s="616"/>
      <c r="BB928" s="616"/>
      <c r="BC928" s="616"/>
      <c r="BD928" s="612"/>
      <c r="BE928" s="614"/>
      <c r="BF928" s="616"/>
      <c r="BG928" s="616"/>
      <c r="BH928" s="616"/>
      <c r="BI928" s="616"/>
      <c r="BJ928" s="616"/>
      <c r="BK928" s="1023"/>
      <c r="BL928" s="658"/>
    </row>
    <row r="929" spans="2:64">
      <c r="B929" s="1022"/>
      <c r="C929" s="607"/>
      <c r="D929" s="607"/>
      <c r="E929" s="1021"/>
      <c r="F929" s="1019">
        <v>926</v>
      </c>
      <c r="G929" s="609"/>
      <c r="H929" s="610"/>
      <c r="I929" s="611"/>
      <c r="J929" s="166">
        <f t="shared" si="581"/>
        <v>0</v>
      </c>
      <c r="K929" s="167">
        <f t="shared" si="582"/>
        <v>0</v>
      </c>
      <c r="L929" s="168">
        <f t="shared" si="583"/>
        <v>0</v>
      </c>
      <c r="M929" s="166">
        <f t="shared" si="584"/>
        <v>0</v>
      </c>
      <c r="N929" s="167">
        <f t="shared" si="585"/>
        <v>0</v>
      </c>
      <c r="O929" s="168">
        <f t="shared" si="586"/>
        <v>0</v>
      </c>
      <c r="P929" s="169">
        <f t="shared" si="587"/>
        <v>0</v>
      </c>
      <c r="Q929" s="169">
        <f t="shared" si="588"/>
        <v>0</v>
      </c>
      <c r="R929" s="169">
        <f t="shared" si="589"/>
        <v>0</v>
      </c>
      <c r="S929" s="584">
        <f t="shared" si="590"/>
        <v>0</v>
      </c>
      <c r="T929" s="594">
        <f t="shared" si="591"/>
        <v>0</v>
      </c>
      <c r="U929" s="595">
        <f t="shared" si="592"/>
        <v>0</v>
      </c>
      <c r="V929" s="166">
        <f t="shared" si="593"/>
        <v>0</v>
      </c>
      <c r="W929" s="167">
        <f t="shared" si="594"/>
        <v>0</v>
      </c>
      <c r="X929" s="168">
        <f t="shared" si="595"/>
        <v>0</v>
      </c>
      <c r="Y929" s="166">
        <f t="shared" si="596"/>
        <v>0</v>
      </c>
      <c r="Z929" s="167">
        <f t="shared" si="597"/>
        <v>0</v>
      </c>
      <c r="AA929" s="168">
        <f t="shared" si="598"/>
        <v>0</v>
      </c>
      <c r="AB929" s="166">
        <f t="shared" si="599"/>
        <v>0</v>
      </c>
      <c r="AC929" s="167">
        <f t="shared" si="600"/>
        <v>0</v>
      </c>
      <c r="AD929" s="168">
        <f t="shared" si="601"/>
        <v>0</v>
      </c>
      <c r="AE929" s="166">
        <f t="shared" si="602"/>
        <v>0</v>
      </c>
      <c r="AF929" s="167">
        <f t="shared" si="603"/>
        <v>0</v>
      </c>
      <c r="AG929" s="168">
        <f t="shared" si="604"/>
        <v>0</v>
      </c>
      <c r="AH929" s="166">
        <f t="shared" si="605"/>
        <v>0</v>
      </c>
      <c r="AI929" s="167">
        <f t="shared" si="606"/>
        <v>0</v>
      </c>
      <c r="AJ929" s="168">
        <f t="shared" si="607"/>
        <v>0</v>
      </c>
      <c r="AK929" s="169">
        <f t="shared" si="608"/>
        <v>0</v>
      </c>
      <c r="AL929" s="167">
        <f t="shared" si="609"/>
        <v>0</v>
      </c>
      <c r="AM929" s="585">
        <f t="shared" si="610"/>
        <v>0</v>
      </c>
      <c r="AN929" s="614"/>
      <c r="AO929" s="615"/>
      <c r="AP929" s="615"/>
      <c r="AQ929" s="616"/>
      <c r="AR929" s="612"/>
      <c r="AS929" s="617"/>
      <c r="AT929" s="618"/>
      <c r="AU929" s="618"/>
      <c r="AV929" s="618"/>
      <c r="AW929" s="619"/>
      <c r="AX929" s="614"/>
      <c r="AY929" s="616"/>
      <c r="AZ929" s="616"/>
      <c r="BA929" s="616"/>
      <c r="BB929" s="616"/>
      <c r="BC929" s="616"/>
      <c r="BD929" s="612"/>
      <c r="BE929" s="614"/>
      <c r="BF929" s="616"/>
      <c r="BG929" s="616"/>
      <c r="BH929" s="616"/>
      <c r="BI929" s="616"/>
      <c r="BJ929" s="616"/>
      <c r="BK929" s="1023"/>
      <c r="BL929" s="658"/>
    </row>
    <row r="930" spans="2:64">
      <c r="B930" s="1022"/>
      <c r="C930" s="607"/>
      <c r="D930" s="607"/>
      <c r="E930" s="1021"/>
      <c r="F930" s="608">
        <v>927</v>
      </c>
      <c r="G930" s="609"/>
      <c r="H930" s="610"/>
      <c r="I930" s="611"/>
      <c r="J930" s="166">
        <f t="shared" si="581"/>
        <v>0</v>
      </c>
      <c r="K930" s="167">
        <f t="shared" si="582"/>
        <v>0</v>
      </c>
      <c r="L930" s="168">
        <f t="shared" si="583"/>
        <v>0</v>
      </c>
      <c r="M930" s="166">
        <f t="shared" si="584"/>
        <v>0</v>
      </c>
      <c r="N930" s="167">
        <f t="shared" si="585"/>
        <v>0</v>
      </c>
      <c r="O930" s="168">
        <f t="shared" si="586"/>
        <v>0</v>
      </c>
      <c r="P930" s="169">
        <f t="shared" si="587"/>
        <v>0</v>
      </c>
      <c r="Q930" s="169">
        <f t="shared" si="588"/>
        <v>0</v>
      </c>
      <c r="R930" s="169">
        <f t="shared" si="589"/>
        <v>0</v>
      </c>
      <c r="S930" s="584">
        <f t="shared" si="590"/>
        <v>0</v>
      </c>
      <c r="T930" s="594">
        <f t="shared" si="591"/>
        <v>0</v>
      </c>
      <c r="U930" s="595">
        <f t="shared" si="592"/>
        <v>0</v>
      </c>
      <c r="V930" s="166">
        <f t="shared" si="593"/>
        <v>0</v>
      </c>
      <c r="W930" s="167">
        <f t="shared" si="594"/>
        <v>0</v>
      </c>
      <c r="X930" s="168">
        <f t="shared" si="595"/>
        <v>0</v>
      </c>
      <c r="Y930" s="166">
        <f t="shared" si="596"/>
        <v>0</v>
      </c>
      <c r="Z930" s="167">
        <f t="shared" si="597"/>
        <v>0</v>
      </c>
      <c r="AA930" s="168">
        <f t="shared" si="598"/>
        <v>0</v>
      </c>
      <c r="AB930" s="166">
        <f t="shared" si="599"/>
        <v>0</v>
      </c>
      <c r="AC930" s="167">
        <f t="shared" si="600"/>
        <v>0</v>
      </c>
      <c r="AD930" s="168">
        <f t="shared" si="601"/>
        <v>0</v>
      </c>
      <c r="AE930" s="166">
        <f t="shared" si="602"/>
        <v>0</v>
      </c>
      <c r="AF930" s="167">
        <f t="shared" si="603"/>
        <v>0</v>
      </c>
      <c r="AG930" s="168">
        <f t="shared" si="604"/>
        <v>0</v>
      </c>
      <c r="AH930" s="166">
        <f t="shared" si="605"/>
        <v>0</v>
      </c>
      <c r="AI930" s="167">
        <f t="shared" si="606"/>
        <v>0</v>
      </c>
      <c r="AJ930" s="168">
        <f t="shared" si="607"/>
        <v>0</v>
      </c>
      <c r="AK930" s="169">
        <f t="shared" si="608"/>
        <v>0</v>
      </c>
      <c r="AL930" s="167">
        <f t="shared" si="609"/>
        <v>0</v>
      </c>
      <c r="AM930" s="585">
        <f t="shared" si="610"/>
        <v>0</v>
      </c>
      <c r="AN930" s="614"/>
      <c r="AO930" s="615"/>
      <c r="AP930" s="615"/>
      <c r="AQ930" s="616"/>
      <c r="AR930" s="612"/>
      <c r="AS930" s="617"/>
      <c r="AT930" s="618"/>
      <c r="AU930" s="618"/>
      <c r="AV930" s="618"/>
      <c r="AW930" s="619"/>
      <c r="AX930" s="614"/>
      <c r="AY930" s="616"/>
      <c r="AZ930" s="616"/>
      <c r="BA930" s="616"/>
      <c r="BB930" s="616"/>
      <c r="BC930" s="616"/>
      <c r="BD930" s="612"/>
      <c r="BE930" s="614"/>
      <c r="BF930" s="616"/>
      <c r="BG930" s="616"/>
      <c r="BH930" s="616"/>
      <c r="BI930" s="616"/>
      <c r="BJ930" s="616"/>
      <c r="BK930" s="1023"/>
      <c r="BL930" s="658"/>
    </row>
    <row r="931" spans="2:64">
      <c r="B931" s="1022"/>
      <c r="C931" s="607"/>
      <c r="D931" s="607"/>
      <c r="E931" s="1021"/>
      <c r="F931" s="1019">
        <v>928</v>
      </c>
      <c r="G931" s="609"/>
      <c r="H931" s="610"/>
      <c r="I931" s="611"/>
      <c r="J931" s="166">
        <f t="shared" si="581"/>
        <v>0</v>
      </c>
      <c r="K931" s="167">
        <f t="shared" si="582"/>
        <v>0</v>
      </c>
      <c r="L931" s="168">
        <f t="shared" si="583"/>
        <v>0</v>
      </c>
      <c r="M931" s="166">
        <f t="shared" si="584"/>
        <v>0</v>
      </c>
      <c r="N931" s="167">
        <f t="shared" si="585"/>
        <v>0</v>
      </c>
      <c r="O931" s="168">
        <f t="shared" si="586"/>
        <v>0</v>
      </c>
      <c r="P931" s="169">
        <f t="shared" si="587"/>
        <v>0</v>
      </c>
      <c r="Q931" s="169">
        <f t="shared" si="588"/>
        <v>0</v>
      </c>
      <c r="R931" s="169">
        <f t="shared" si="589"/>
        <v>0</v>
      </c>
      <c r="S931" s="584">
        <f t="shared" si="590"/>
        <v>0</v>
      </c>
      <c r="T931" s="594">
        <f t="shared" si="591"/>
        <v>0</v>
      </c>
      <c r="U931" s="595">
        <f t="shared" si="592"/>
        <v>0</v>
      </c>
      <c r="V931" s="166">
        <f t="shared" si="593"/>
        <v>0</v>
      </c>
      <c r="W931" s="167">
        <f t="shared" si="594"/>
        <v>0</v>
      </c>
      <c r="X931" s="168">
        <f t="shared" si="595"/>
        <v>0</v>
      </c>
      <c r="Y931" s="166">
        <f t="shared" si="596"/>
        <v>0</v>
      </c>
      <c r="Z931" s="167">
        <f t="shared" si="597"/>
        <v>0</v>
      </c>
      <c r="AA931" s="168">
        <f t="shared" si="598"/>
        <v>0</v>
      </c>
      <c r="AB931" s="166">
        <f t="shared" si="599"/>
        <v>0</v>
      </c>
      <c r="AC931" s="167">
        <f t="shared" si="600"/>
        <v>0</v>
      </c>
      <c r="AD931" s="168">
        <f t="shared" si="601"/>
        <v>0</v>
      </c>
      <c r="AE931" s="166">
        <f t="shared" si="602"/>
        <v>0</v>
      </c>
      <c r="AF931" s="167">
        <f t="shared" si="603"/>
        <v>0</v>
      </c>
      <c r="AG931" s="168">
        <f t="shared" si="604"/>
        <v>0</v>
      </c>
      <c r="AH931" s="166">
        <f t="shared" si="605"/>
        <v>0</v>
      </c>
      <c r="AI931" s="167">
        <f t="shared" si="606"/>
        <v>0</v>
      </c>
      <c r="AJ931" s="168">
        <f t="shared" si="607"/>
        <v>0</v>
      </c>
      <c r="AK931" s="169">
        <f t="shared" si="608"/>
        <v>0</v>
      </c>
      <c r="AL931" s="167">
        <f t="shared" si="609"/>
        <v>0</v>
      </c>
      <c r="AM931" s="585">
        <f t="shared" si="610"/>
        <v>0</v>
      </c>
      <c r="AN931" s="614"/>
      <c r="AO931" s="615"/>
      <c r="AP931" s="615"/>
      <c r="AQ931" s="616"/>
      <c r="AR931" s="612"/>
      <c r="AS931" s="617"/>
      <c r="AT931" s="618"/>
      <c r="AU931" s="618"/>
      <c r="AV931" s="618"/>
      <c r="AW931" s="619"/>
      <c r="AX931" s="614"/>
      <c r="AY931" s="616"/>
      <c r="AZ931" s="616"/>
      <c r="BA931" s="616"/>
      <c r="BB931" s="616"/>
      <c r="BC931" s="616"/>
      <c r="BD931" s="612"/>
      <c r="BE931" s="614"/>
      <c r="BF931" s="616"/>
      <c r="BG931" s="616"/>
      <c r="BH931" s="616"/>
      <c r="BI931" s="616"/>
      <c r="BJ931" s="616"/>
      <c r="BK931" s="1023"/>
      <c r="BL931" s="658"/>
    </row>
    <row r="932" spans="2:64">
      <c r="B932" s="1022"/>
      <c r="C932" s="607"/>
      <c r="D932" s="607"/>
      <c r="E932" s="1021"/>
      <c r="F932" s="608">
        <v>929</v>
      </c>
      <c r="G932" s="609"/>
      <c r="H932" s="610"/>
      <c r="I932" s="611"/>
      <c r="J932" s="166">
        <f t="shared" si="581"/>
        <v>0</v>
      </c>
      <c r="K932" s="167">
        <f t="shared" si="582"/>
        <v>0</v>
      </c>
      <c r="L932" s="168">
        <f t="shared" si="583"/>
        <v>0</v>
      </c>
      <c r="M932" s="166">
        <f t="shared" si="584"/>
        <v>0</v>
      </c>
      <c r="N932" s="167">
        <f t="shared" si="585"/>
        <v>0</v>
      </c>
      <c r="O932" s="168">
        <f t="shared" si="586"/>
        <v>0</v>
      </c>
      <c r="P932" s="169">
        <f t="shared" si="587"/>
        <v>0</v>
      </c>
      <c r="Q932" s="169">
        <f t="shared" si="588"/>
        <v>0</v>
      </c>
      <c r="R932" s="169">
        <f t="shared" si="589"/>
        <v>0</v>
      </c>
      <c r="S932" s="584">
        <f t="shared" si="590"/>
        <v>0</v>
      </c>
      <c r="T932" s="594">
        <f t="shared" si="591"/>
        <v>0</v>
      </c>
      <c r="U932" s="595">
        <f t="shared" si="592"/>
        <v>0</v>
      </c>
      <c r="V932" s="166">
        <f t="shared" si="593"/>
        <v>0</v>
      </c>
      <c r="W932" s="167">
        <f t="shared" si="594"/>
        <v>0</v>
      </c>
      <c r="X932" s="168">
        <f t="shared" si="595"/>
        <v>0</v>
      </c>
      <c r="Y932" s="166">
        <f t="shared" si="596"/>
        <v>0</v>
      </c>
      <c r="Z932" s="167">
        <f t="shared" si="597"/>
        <v>0</v>
      </c>
      <c r="AA932" s="168">
        <f t="shared" si="598"/>
        <v>0</v>
      </c>
      <c r="AB932" s="166">
        <f t="shared" si="599"/>
        <v>0</v>
      </c>
      <c r="AC932" s="167">
        <f t="shared" si="600"/>
        <v>0</v>
      </c>
      <c r="AD932" s="168">
        <f t="shared" si="601"/>
        <v>0</v>
      </c>
      <c r="AE932" s="166">
        <f t="shared" si="602"/>
        <v>0</v>
      </c>
      <c r="AF932" s="167">
        <f t="shared" si="603"/>
        <v>0</v>
      </c>
      <c r="AG932" s="168">
        <f t="shared" si="604"/>
        <v>0</v>
      </c>
      <c r="AH932" s="166">
        <f t="shared" si="605"/>
        <v>0</v>
      </c>
      <c r="AI932" s="167">
        <f t="shared" si="606"/>
        <v>0</v>
      </c>
      <c r="AJ932" s="168">
        <f t="shared" si="607"/>
        <v>0</v>
      </c>
      <c r="AK932" s="169">
        <f t="shared" si="608"/>
        <v>0</v>
      </c>
      <c r="AL932" s="167">
        <f t="shared" si="609"/>
        <v>0</v>
      </c>
      <c r="AM932" s="585">
        <f t="shared" si="610"/>
        <v>0</v>
      </c>
      <c r="AN932" s="614"/>
      <c r="AO932" s="615"/>
      <c r="AP932" s="615"/>
      <c r="AQ932" s="616"/>
      <c r="AR932" s="612"/>
      <c r="AS932" s="617"/>
      <c r="AT932" s="618"/>
      <c r="AU932" s="618"/>
      <c r="AV932" s="618"/>
      <c r="AW932" s="619"/>
      <c r="AX932" s="614"/>
      <c r="AY932" s="616"/>
      <c r="AZ932" s="616"/>
      <c r="BA932" s="616"/>
      <c r="BB932" s="616"/>
      <c r="BC932" s="616"/>
      <c r="BD932" s="612"/>
      <c r="BE932" s="614"/>
      <c r="BF932" s="616"/>
      <c r="BG932" s="616"/>
      <c r="BH932" s="616"/>
      <c r="BI932" s="616"/>
      <c r="BJ932" s="616"/>
      <c r="BK932" s="1023"/>
      <c r="BL932" s="658"/>
    </row>
    <row r="933" spans="2:64">
      <c r="B933" s="1022"/>
      <c r="C933" s="607"/>
      <c r="D933" s="607"/>
      <c r="E933" s="1021"/>
      <c r="F933" s="1019">
        <v>930</v>
      </c>
      <c r="G933" s="609"/>
      <c r="H933" s="610"/>
      <c r="I933" s="611"/>
      <c r="J933" s="166">
        <f t="shared" si="581"/>
        <v>0</v>
      </c>
      <c r="K933" s="167">
        <f t="shared" si="582"/>
        <v>0</v>
      </c>
      <c r="L933" s="168">
        <f t="shared" si="583"/>
        <v>0</v>
      </c>
      <c r="M933" s="166">
        <f t="shared" si="584"/>
        <v>0</v>
      </c>
      <c r="N933" s="167">
        <f t="shared" si="585"/>
        <v>0</v>
      </c>
      <c r="O933" s="168">
        <f t="shared" si="586"/>
        <v>0</v>
      </c>
      <c r="P933" s="169">
        <f t="shared" si="587"/>
        <v>0</v>
      </c>
      <c r="Q933" s="169">
        <f t="shared" si="588"/>
        <v>0</v>
      </c>
      <c r="R933" s="169">
        <f t="shared" si="589"/>
        <v>0</v>
      </c>
      <c r="S933" s="584">
        <f t="shared" si="590"/>
        <v>0</v>
      </c>
      <c r="T933" s="594">
        <f t="shared" si="591"/>
        <v>0</v>
      </c>
      <c r="U933" s="595">
        <f t="shared" si="592"/>
        <v>0</v>
      </c>
      <c r="V933" s="166">
        <f t="shared" si="593"/>
        <v>0</v>
      </c>
      <c r="W933" s="167">
        <f t="shared" si="594"/>
        <v>0</v>
      </c>
      <c r="X933" s="168">
        <f t="shared" si="595"/>
        <v>0</v>
      </c>
      <c r="Y933" s="166">
        <f t="shared" si="596"/>
        <v>0</v>
      </c>
      <c r="Z933" s="167">
        <f t="shared" si="597"/>
        <v>0</v>
      </c>
      <c r="AA933" s="168">
        <f t="shared" si="598"/>
        <v>0</v>
      </c>
      <c r="AB933" s="166">
        <f t="shared" si="599"/>
        <v>0</v>
      </c>
      <c r="AC933" s="167">
        <f t="shared" si="600"/>
        <v>0</v>
      </c>
      <c r="AD933" s="168">
        <f t="shared" si="601"/>
        <v>0</v>
      </c>
      <c r="AE933" s="166">
        <f t="shared" si="602"/>
        <v>0</v>
      </c>
      <c r="AF933" s="167">
        <f t="shared" si="603"/>
        <v>0</v>
      </c>
      <c r="AG933" s="168">
        <f t="shared" si="604"/>
        <v>0</v>
      </c>
      <c r="AH933" s="166">
        <f t="shared" si="605"/>
        <v>0</v>
      </c>
      <c r="AI933" s="167">
        <f t="shared" si="606"/>
        <v>0</v>
      </c>
      <c r="AJ933" s="168">
        <f t="shared" si="607"/>
        <v>0</v>
      </c>
      <c r="AK933" s="169">
        <f t="shared" si="608"/>
        <v>0</v>
      </c>
      <c r="AL933" s="167">
        <f t="shared" si="609"/>
        <v>0</v>
      </c>
      <c r="AM933" s="585">
        <f t="shared" si="610"/>
        <v>0</v>
      </c>
      <c r="AN933" s="614"/>
      <c r="AO933" s="615"/>
      <c r="AP933" s="615"/>
      <c r="AQ933" s="616"/>
      <c r="AR933" s="612"/>
      <c r="AS933" s="617"/>
      <c r="AT933" s="618"/>
      <c r="AU933" s="618"/>
      <c r="AV933" s="618"/>
      <c r="AW933" s="619"/>
      <c r="AX933" s="614"/>
      <c r="AY933" s="616"/>
      <c r="AZ933" s="616"/>
      <c r="BA933" s="616"/>
      <c r="BB933" s="616"/>
      <c r="BC933" s="616"/>
      <c r="BD933" s="612"/>
      <c r="BE933" s="614"/>
      <c r="BF933" s="616"/>
      <c r="BG933" s="616"/>
      <c r="BH933" s="616"/>
      <c r="BI933" s="616"/>
      <c r="BJ933" s="616"/>
      <c r="BK933" s="1023"/>
      <c r="BL933" s="658"/>
    </row>
    <row r="934" spans="2:64">
      <c r="B934" s="1022"/>
      <c r="C934" s="607"/>
      <c r="D934" s="607"/>
      <c r="E934" s="1021"/>
      <c r="F934" s="608">
        <v>931</v>
      </c>
      <c r="G934" s="609"/>
      <c r="H934" s="610"/>
      <c r="I934" s="611"/>
      <c r="J934" s="166">
        <f t="shared" si="581"/>
        <v>0</v>
      </c>
      <c r="K934" s="167">
        <f t="shared" si="582"/>
        <v>0</v>
      </c>
      <c r="L934" s="168">
        <f t="shared" si="583"/>
        <v>0</v>
      </c>
      <c r="M934" s="166">
        <f t="shared" si="584"/>
        <v>0</v>
      </c>
      <c r="N934" s="167">
        <f t="shared" si="585"/>
        <v>0</v>
      </c>
      <c r="O934" s="168">
        <f t="shared" si="586"/>
        <v>0</v>
      </c>
      <c r="P934" s="169">
        <f t="shared" si="587"/>
        <v>0</v>
      </c>
      <c r="Q934" s="169">
        <f t="shared" si="588"/>
        <v>0</v>
      </c>
      <c r="R934" s="169">
        <f t="shared" si="589"/>
        <v>0</v>
      </c>
      <c r="S934" s="584">
        <f t="shared" si="590"/>
        <v>0</v>
      </c>
      <c r="T934" s="594">
        <f t="shared" si="591"/>
        <v>0</v>
      </c>
      <c r="U934" s="595">
        <f t="shared" si="592"/>
        <v>0</v>
      </c>
      <c r="V934" s="166">
        <f t="shared" si="593"/>
        <v>0</v>
      </c>
      <c r="W934" s="167">
        <f t="shared" si="594"/>
        <v>0</v>
      </c>
      <c r="X934" s="168">
        <f t="shared" si="595"/>
        <v>0</v>
      </c>
      <c r="Y934" s="166">
        <f t="shared" si="596"/>
        <v>0</v>
      </c>
      <c r="Z934" s="167">
        <f t="shared" si="597"/>
        <v>0</v>
      </c>
      <c r="AA934" s="168">
        <f t="shared" si="598"/>
        <v>0</v>
      </c>
      <c r="AB934" s="166">
        <f t="shared" si="599"/>
        <v>0</v>
      </c>
      <c r="AC934" s="167">
        <f t="shared" si="600"/>
        <v>0</v>
      </c>
      <c r="AD934" s="168">
        <f t="shared" si="601"/>
        <v>0</v>
      </c>
      <c r="AE934" s="166">
        <f t="shared" si="602"/>
        <v>0</v>
      </c>
      <c r="AF934" s="167">
        <f t="shared" si="603"/>
        <v>0</v>
      </c>
      <c r="AG934" s="168">
        <f t="shared" si="604"/>
        <v>0</v>
      </c>
      <c r="AH934" s="166">
        <f t="shared" si="605"/>
        <v>0</v>
      </c>
      <c r="AI934" s="167">
        <f t="shared" si="606"/>
        <v>0</v>
      </c>
      <c r="AJ934" s="168">
        <f t="shared" si="607"/>
        <v>0</v>
      </c>
      <c r="AK934" s="169">
        <f t="shared" si="608"/>
        <v>0</v>
      </c>
      <c r="AL934" s="167">
        <f t="shared" si="609"/>
        <v>0</v>
      </c>
      <c r="AM934" s="585">
        <f t="shared" si="610"/>
        <v>0</v>
      </c>
      <c r="AN934" s="614"/>
      <c r="AO934" s="615"/>
      <c r="AP934" s="615"/>
      <c r="AQ934" s="616"/>
      <c r="AR934" s="612"/>
      <c r="AS934" s="617"/>
      <c r="AT934" s="618"/>
      <c r="AU934" s="618"/>
      <c r="AV934" s="618"/>
      <c r="AW934" s="619"/>
      <c r="AX934" s="614"/>
      <c r="AY934" s="616"/>
      <c r="AZ934" s="616"/>
      <c r="BA934" s="616"/>
      <c r="BB934" s="616"/>
      <c r="BC934" s="616"/>
      <c r="BD934" s="612"/>
      <c r="BE934" s="614"/>
      <c r="BF934" s="616"/>
      <c r="BG934" s="616"/>
      <c r="BH934" s="616"/>
      <c r="BI934" s="616"/>
      <c r="BJ934" s="616"/>
      <c r="BK934" s="1023"/>
      <c r="BL934" s="658"/>
    </row>
    <row r="935" spans="2:64">
      <c r="B935" s="1022"/>
      <c r="C935" s="607"/>
      <c r="D935" s="607"/>
      <c r="E935" s="1021"/>
      <c r="F935" s="1019">
        <v>932</v>
      </c>
      <c r="G935" s="609"/>
      <c r="H935" s="610"/>
      <c r="I935" s="611"/>
      <c r="J935" s="166">
        <f t="shared" si="581"/>
        <v>0</v>
      </c>
      <c r="K935" s="167">
        <f t="shared" si="582"/>
        <v>0</v>
      </c>
      <c r="L935" s="168">
        <f t="shared" si="583"/>
        <v>0</v>
      </c>
      <c r="M935" s="166">
        <f t="shared" si="584"/>
        <v>0</v>
      </c>
      <c r="N935" s="167">
        <f t="shared" si="585"/>
        <v>0</v>
      </c>
      <c r="O935" s="168">
        <f t="shared" si="586"/>
        <v>0</v>
      </c>
      <c r="P935" s="169">
        <f t="shared" si="587"/>
        <v>0</v>
      </c>
      <c r="Q935" s="169">
        <f t="shared" si="588"/>
        <v>0</v>
      </c>
      <c r="R935" s="169">
        <f t="shared" si="589"/>
        <v>0</v>
      </c>
      <c r="S935" s="584">
        <f t="shared" si="590"/>
        <v>0</v>
      </c>
      <c r="T935" s="594">
        <f t="shared" si="591"/>
        <v>0</v>
      </c>
      <c r="U935" s="595">
        <f t="shared" si="592"/>
        <v>0</v>
      </c>
      <c r="V935" s="166">
        <f t="shared" si="593"/>
        <v>0</v>
      </c>
      <c r="W935" s="167">
        <f t="shared" si="594"/>
        <v>0</v>
      </c>
      <c r="X935" s="168">
        <f t="shared" si="595"/>
        <v>0</v>
      </c>
      <c r="Y935" s="166">
        <f t="shared" si="596"/>
        <v>0</v>
      </c>
      <c r="Z935" s="167">
        <f t="shared" si="597"/>
        <v>0</v>
      </c>
      <c r="AA935" s="168">
        <f t="shared" si="598"/>
        <v>0</v>
      </c>
      <c r="AB935" s="166">
        <f t="shared" si="599"/>
        <v>0</v>
      </c>
      <c r="AC935" s="167">
        <f t="shared" si="600"/>
        <v>0</v>
      </c>
      <c r="AD935" s="168">
        <f t="shared" si="601"/>
        <v>0</v>
      </c>
      <c r="AE935" s="166">
        <f t="shared" si="602"/>
        <v>0</v>
      </c>
      <c r="AF935" s="167">
        <f t="shared" si="603"/>
        <v>0</v>
      </c>
      <c r="AG935" s="168">
        <f t="shared" si="604"/>
        <v>0</v>
      </c>
      <c r="AH935" s="166">
        <f t="shared" si="605"/>
        <v>0</v>
      </c>
      <c r="AI935" s="167">
        <f t="shared" si="606"/>
        <v>0</v>
      </c>
      <c r="AJ935" s="168">
        <f t="shared" si="607"/>
        <v>0</v>
      </c>
      <c r="AK935" s="169">
        <f t="shared" si="608"/>
        <v>0</v>
      </c>
      <c r="AL935" s="167">
        <f t="shared" si="609"/>
        <v>0</v>
      </c>
      <c r="AM935" s="585">
        <f t="shared" si="610"/>
        <v>0</v>
      </c>
      <c r="AN935" s="614"/>
      <c r="AO935" s="615"/>
      <c r="AP935" s="615"/>
      <c r="AQ935" s="616"/>
      <c r="AR935" s="612"/>
      <c r="AS935" s="617"/>
      <c r="AT935" s="618"/>
      <c r="AU935" s="618"/>
      <c r="AV935" s="618"/>
      <c r="AW935" s="619"/>
      <c r="AX935" s="614"/>
      <c r="AY935" s="616"/>
      <c r="AZ935" s="616"/>
      <c r="BA935" s="616"/>
      <c r="BB935" s="616"/>
      <c r="BC935" s="616"/>
      <c r="BD935" s="612"/>
      <c r="BE935" s="614"/>
      <c r="BF935" s="616"/>
      <c r="BG935" s="616"/>
      <c r="BH935" s="616"/>
      <c r="BI935" s="616"/>
      <c r="BJ935" s="616"/>
      <c r="BK935" s="1023"/>
      <c r="BL935" s="658"/>
    </row>
    <row r="936" spans="2:64">
      <c r="B936" s="1022"/>
      <c r="C936" s="607"/>
      <c r="D936" s="607"/>
      <c r="E936" s="1021"/>
      <c r="F936" s="608">
        <v>933</v>
      </c>
      <c r="G936" s="609"/>
      <c r="H936" s="610"/>
      <c r="I936" s="611"/>
      <c r="J936" s="166">
        <f t="shared" si="581"/>
        <v>0</v>
      </c>
      <c r="K936" s="167">
        <f t="shared" si="582"/>
        <v>0</v>
      </c>
      <c r="L936" s="168">
        <f t="shared" si="583"/>
        <v>0</v>
      </c>
      <c r="M936" s="166">
        <f t="shared" si="584"/>
        <v>0</v>
      </c>
      <c r="N936" s="167">
        <f t="shared" si="585"/>
        <v>0</v>
      </c>
      <c r="O936" s="168">
        <f t="shared" si="586"/>
        <v>0</v>
      </c>
      <c r="P936" s="169">
        <f t="shared" si="587"/>
        <v>0</v>
      </c>
      <c r="Q936" s="169">
        <f t="shared" si="588"/>
        <v>0</v>
      </c>
      <c r="R936" s="169">
        <f t="shared" si="589"/>
        <v>0</v>
      </c>
      <c r="S936" s="584">
        <f t="shared" si="590"/>
        <v>0</v>
      </c>
      <c r="T936" s="594">
        <f t="shared" si="591"/>
        <v>0</v>
      </c>
      <c r="U936" s="595">
        <f t="shared" si="592"/>
        <v>0</v>
      </c>
      <c r="V936" s="166">
        <f t="shared" si="593"/>
        <v>0</v>
      </c>
      <c r="W936" s="167">
        <f t="shared" si="594"/>
        <v>0</v>
      </c>
      <c r="X936" s="168">
        <f t="shared" si="595"/>
        <v>0</v>
      </c>
      <c r="Y936" s="166">
        <f t="shared" si="596"/>
        <v>0</v>
      </c>
      <c r="Z936" s="167">
        <f t="shared" si="597"/>
        <v>0</v>
      </c>
      <c r="AA936" s="168">
        <f t="shared" si="598"/>
        <v>0</v>
      </c>
      <c r="AB936" s="166">
        <f t="shared" si="599"/>
        <v>0</v>
      </c>
      <c r="AC936" s="167">
        <f t="shared" si="600"/>
        <v>0</v>
      </c>
      <c r="AD936" s="168">
        <f t="shared" si="601"/>
        <v>0</v>
      </c>
      <c r="AE936" s="166">
        <f t="shared" si="602"/>
        <v>0</v>
      </c>
      <c r="AF936" s="167">
        <f t="shared" si="603"/>
        <v>0</v>
      </c>
      <c r="AG936" s="168">
        <f t="shared" si="604"/>
        <v>0</v>
      </c>
      <c r="AH936" s="166">
        <f t="shared" si="605"/>
        <v>0</v>
      </c>
      <c r="AI936" s="167">
        <f t="shared" si="606"/>
        <v>0</v>
      </c>
      <c r="AJ936" s="168">
        <f t="shared" si="607"/>
        <v>0</v>
      </c>
      <c r="AK936" s="169">
        <f t="shared" si="608"/>
        <v>0</v>
      </c>
      <c r="AL936" s="167">
        <f t="shared" si="609"/>
        <v>0</v>
      </c>
      <c r="AM936" s="585">
        <f t="shared" si="610"/>
        <v>0</v>
      </c>
      <c r="AN936" s="614"/>
      <c r="AO936" s="615"/>
      <c r="AP936" s="615"/>
      <c r="AQ936" s="616"/>
      <c r="AR936" s="612"/>
      <c r="AS936" s="617"/>
      <c r="AT936" s="618"/>
      <c r="AU936" s="618"/>
      <c r="AV936" s="618"/>
      <c r="AW936" s="619"/>
      <c r="AX936" s="614"/>
      <c r="AY936" s="616"/>
      <c r="AZ936" s="616"/>
      <c r="BA936" s="616"/>
      <c r="BB936" s="616"/>
      <c r="BC936" s="616"/>
      <c r="BD936" s="612"/>
      <c r="BE936" s="614"/>
      <c r="BF936" s="616"/>
      <c r="BG936" s="616"/>
      <c r="BH936" s="616"/>
      <c r="BI936" s="616"/>
      <c r="BJ936" s="616"/>
      <c r="BK936" s="1023"/>
      <c r="BL936" s="658"/>
    </row>
    <row r="937" spans="2:64">
      <c r="B937" s="1022"/>
      <c r="C937" s="607"/>
      <c r="D937" s="607"/>
      <c r="E937" s="1021"/>
      <c r="F937" s="1019">
        <v>934</v>
      </c>
      <c r="G937" s="609"/>
      <c r="H937" s="610"/>
      <c r="I937" s="611"/>
      <c r="J937" s="166">
        <f t="shared" si="581"/>
        <v>0</v>
      </c>
      <c r="K937" s="167">
        <f t="shared" si="582"/>
        <v>0</v>
      </c>
      <c r="L937" s="168">
        <f t="shared" si="583"/>
        <v>0</v>
      </c>
      <c r="M937" s="166">
        <f t="shared" si="584"/>
        <v>0</v>
      </c>
      <c r="N937" s="167">
        <f t="shared" si="585"/>
        <v>0</v>
      </c>
      <c r="O937" s="168">
        <f t="shared" si="586"/>
        <v>0</v>
      </c>
      <c r="P937" s="169">
        <f t="shared" si="587"/>
        <v>0</v>
      </c>
      <c r="Q937" s="169">
        <f t="shared" si="588"/>
        <v>0</v>
      </c>
      <c r="R937" s="169">
        <f t="shared" si="589"/>
        <v>0</v>
      </c>
      <c r="S937" s="584">
        <f t="shared" si="590"/>
        <v>0</v>
      </c>
      <c r="T937" s="594">
        <f t="shared" si="591"/>
        <v>0</v>
      </c>
      <c r="U937" s="595">
        <f t="shared" si="592"/>
        <v>0</v>
      </c>
      <c r="V937" s="166">
        <f t="shared" si="593"/>
        <v>0</v>
      </c>
      <c r="W937" s="167">
        <f t="shared" si="594"/>
        <v>0</v>
      </c>
      <c r="X937" s="168">
        <f t="shared" si="595"/>
        <v>0</v>
      </c>
      <c r="Y937" s="166">
        <f t="shared" si="596"/>
        <v>0</v>
      </c>
      <c r="Z937" s="167">
        <f t="shared" si="597"/>
        <v>0</v>
      </c>
      <c r="AA937" s="168">
        <f t="shared" si="598"/>
        <v>0</v>
      </c>
      <c r="AB937" s="166">
        <f t="shared" si="599"/>
        <v>0</v>
      </c>
      <c r="AC937" s="167">
        <f t="shared" si="600"/>
        <v>0</v>
      </c>
      <c r="AD937" s="168">
        <f t="shared" si="601"/>
        <v>0</v>
      </c>
      <c r="AE937" s="166">
        <f t="shared" si="602"/>
        <v>0</v>
      </c>
      <c r="AF937" s="167">
        <f t="shared" si="603"/>
        <v>0</v>
      </c>
      <c r="AG937" s="168">
        <f t="shared" si="604"/>
        <v>0</v>
      </c>
      <c r="AH937" s="166">
        <f t="shared" si="605"/>
        <v>0</v>
      </c>
      <c r="AI937" s="167">
        <f t="shared" si="606"/>
        <v>0</v>
      </c>
      <c r="AJ937" s="168">
        <f t="shared" si="607"/>
        <v>0</v>
      </c>
      <c r="AK937" s="169">
        <f t="shared" si="608"/>
        <v>0</v>
      </c>
      <c r="AL937" s="167">
        <f t="shared" si="609"/>
        <v>0</v>
      </c>
      <c r="AM937" s="585">
        <f t="shared" si="610"/>
        <v>0</v>
      </c>
      <c r="AN937" s="614"/>
      <c r="AO937" s="615"/>
      <c r="AP937" s="615"/>
      <c r="AQ937" s="616"/>
      <c r="AR937" s="612"/>
      <c r="AS937" s="617"/>
      <c r="AT937" s="618"/>
      <c r="AU937" s="618"/>
      <c r="AV937" s="618"/>
      <c r="AW937" s="619"/>
      <c r="AX937" s="614"/>
      <c r="AY937" s="616"/>
      <c r="AZ937" s="616"/>
      <c r="BA937" s="616"/>
      <c r="BB937" s="616"/>
      <c r="BC937" s="616"/>
      <c r="BD937" s="612"/>
      <c r="BE937" s="614"/>
      <c r="BF937" s="616"/>
      <c r="BG937" s="616"/>
      <c r="BH937" s="616"/>
      <c r="BI937" s="616"/>
      <c r="BJ937" s="616"/>
      <c r="BK937" s="1023"/>
      <c r="BL937" s="658"/>
    </row>
    <row r="938" spans="2:64">
      <c r="B938" s="1022"/>
      <c r="C938" s="607"/>
      <c r="D938" s="607"/>
      <c r="E938" s="1021"/>
      <c r="F938" s="608">
        <v>935</v>
      </c>
      <c r="G938" s="609"/>
      <c r="H938" s="610"/>
      <c r="I938" s="611"/>
      <c r="J938" s="166">
        <f t="shared" si="581"/>
        <v>0</v>
      </c>
      <c r="K938" s="167">
        <f t="shared" si="582"/>
        <v>0</v>
      </c>
      <c r="L938" s="168">
        <f t="shared" si="583"/>
        <v>0</v>
      </c>
      <c r="M938" s="166">
        <f t="shared" si="584"/>
        <v>0</v>
      </c>
      <c r="N938" s="167">
        <f t="shared" si="585"/>
        <v>0</v>
      </c>
      <c r="O938" s="168">
        <f t="shared" si="586"/>
        <v>0</v>
      </c>
      <c r="P938" s="169">
        <f t="shared" si="587"/>
        <v>0</v>
      </c>
      <c r="Q938" s="169">
        <f t="shared" si="588"/>
        <v>0</v>
      </c>
      <c r="R938" s="169">
        <f t="shared" si="589"/>
        <v>0</v>
      </c>
      <c r="S938" s="584">
        <f t="shared" si="590"/>
        <v>0</v>
      </c>
      <c r="T938" s="594">
        <f t="shared" si="591"/>
        <v>0</v>
      </c>
      <c r="U938" s="595">
        <f t="shared" si="592"/>
        <v>0</v>
      </c>
      <c r="V938" s="166">
        <f t="shared" si="593"/>
        <v>0</v>
      </c>
      <c r="W938" s="167">
        <f t="shared" si="594"/>
        <v>0</v>
      </c>
      <c r="X938" s="168">
        <f t="shared" si="595"/>
        <v>0</v>
      </c>
      <c r="Y938" s="166">
        <f t="shared" si="596"/>
        <v>0</v>
      </c>
      <c r="Z938" s="167">
        <f t="shared" si="597"/>
        <v>0</v>
      </c>
      <c r="AA938" s="168">
        <f t="shared" si="598"/>
        <v>0</v>
      </c>
      <c r="AB938" s="166">
        <f t="shared" si="599"/>
        <v>0</v>
      </c>
      <c r="AC938" s="167">
        <f t="shared" si="600"/>
        <v>0</v>
      </c>
      <c r="AD938" s="168">
        <f t="shared" si="601"/>
        <v>0</v>
      </c>
      <c r="AE938" s="166">
        <f t="shared" si="602"/>
        <v>0</v>
      </c>
      <c r="AF938" s="167">
        <f t="shared" si="603"/>
        <v>0</v>
      </c>
      <c r="AG938" s="168">
        <f t="shared" si="604"/>
        <v>0</v>
      </c>
      <c r="AH938" s="166">
        <f t="shared" si="605"/>
        <v>0</v>
      </c>
      <c r="AI938" s="167">
        <f t="shared" si="606"/>
        <v>0</v>
      </c>
      <c r="AJ938" s="168">
        <f t="shared" si="607"/>
        <v>0</v>
      </c>
      <c r="AK938" s="169">
        <f t="shared" si="608"/>
        <v>0</v>
      </c>
      <c r="AL938" s="167">
        <f t="shared" si="609"/>
        <v>0</v>
      </c>
      <c r="AM938" s="585">
        <f t="shared" si="610"/>
        <v>0</v>
      </c>
      <c r="AN938" s="614"/>
      <c r="AO938" s="615"/>
      <c r="AP938" s="615"/>
      <c r="AQ938" s="616"/>
      <c r="AR938" s="612"/>
      <c r="AS938" s="617"/>
      <c r="AT938" s="618"/>
      <c r="AU938" s="618"/>
      <c r="AV938" s="618"/>
      <c r="AW938" s="619"/>
      <c r="AX938" s="614"/>
      <c r="AY938" s="616"/>
      <c r="AZ938" s="616"/>
      <c r="BA938" s="616"/>
      <c r="BB938" s="616"/>
      <c r="BC938" s="616"/>
      <c r="BD938" s="612"/>
      <c r="BE938" s="614"/>
      <c r="BF938" s="616"/>
      <c r="BG938" s="616"/>
      <c r="BH938" s="616"/>
      <c r="BI938" s="616"/>
      <c r="BJ938" s="616"/>
      <c r="BK938" s="1023"/>
      <c r="BL938" s="658"/>
    </row>
    <row r="939" spans="2:64">
      <c r="B939" s="1022"/>
      <c r="C939" s="607"/>
      <c r="D939" s="607"/>
      <c r="E939" s="1021"/>
      <c r="F939" s="1019">
        <v>936</v>
      </c>
      <c r="G939" s="609"/>
      <c r="H939" s="610"/>
      <c r="I939" s="611"/>
      <c r="J939" s="166">
        <f t="shared" si="581"/>
        <v>0</v>
      </c>
      <c r="K939" s="167">
        <f t="shared" si="582"/>
        <v>0</v>
      </c>
      <c r="L939" s="168">
        <f t="shared" si="583"/>
        <v>0</v>
      </c>
      <c r="M939" s="166">
        <f t="shared" si="584"/>
        <v>0</v>
      </c>
      <c r="N939" s="167">
        <f t="shared" si="585"/>
        <v>0</v>
      </c>
      <c r="O939" s="168">
        <f t="shared" si="586"/>
        <v>0</v>
      </c>
      <c r="P939" s="169">
        <f t="shared" si="587"/>
        <v>0</v>
      </c>
      <c r="Q939" s="169">
        <f t="shared" si="588"/>
        <v>0</v>
      </c>
      <c r="R939" s="169">
        <f t="shared" si="589"/>
        <v>0</v>
      </c>
      <c r="S939" s="584">
        <f t="shared" si="590"/>
        <v>0</v>
      </c>
      <c r="T939" s="594">
        <f t="shared" si="591"/>
        <v>0</v>
      </c>
      <c r="U939" s="595">
        <f t="shared" si="592"/>
        <v>0</v>
      </c>
      <c r="V939" s="166">
        <f t="shared" si="593"/>
        <v>0</v>
      </c>
      <c r="W939" s="167">
        <f t="shared" si="594"/>
        <v>0</v>
      </c>
      <c r="X939" s="168">
        <f t="shared" si="595"/>
        <v>0</v>
      </c>
      <c r="Y939" s="166">
        <f t="shared" si="596"/>
        <v>0</v>
      </c>
      <c r="Z939" s="167">
        <f t="shared" si="597"/>
        <v>0</v>
      </c>
      <c r="AA939" s="168">
        <f t="shared" si="598"/>
        <v>0</v>
      </c>
      <c r="AB939" s="166">
        <f t="shared" si="599"/>
        <v>0</v>
      </c>
      <c r="AC939" s="167">
        <f t="shared" si="600"/>
        <v>0</v>
      </c>
      <c r="AD939" s="168">
        <f t="shared" si="601"/>
        <v>0</v>
      </c>
      <c r="AE939" s="166">
        <f t="shared" si="602"/>
        <v>0</v>
      </c>
      <c r="AF939" s="167">
        <f t="shared" si="603"/>
        <v>0</v>
      </c>
      <c r="AG939" s="168">
        <f t="shared" si="604"/>
        <v>0</v>
      </c>
      <c r="AH939" s="166">
        <f t="shared" si="605"/>
        <v>0</v>
      </c>
      <c r="AI939" s="167">
        <f t="shared" si="606"/>
        <v>0</v>
      </c>
      <c r="AJ939" s="168">
        <f t="shared" si="607"/>
        <v>0</v>
      </c>
      <c r="AK939" s="169">
        <f t="shared" si="608"/>
        <v>0</v>
      </c>
      <c r="AL939" s="167">
        <f t="shared" si="609"/>
        <v>0</v>
      </c>
      <c r="AM939" s="585">
        <f t="shared" si="610"/>
        <v>0</v>
      </c>
      <c r="AN939" s="614"/>
      <c r="AO939" s="615"/>
      <c r="AP939" s="615"/>
      <c r="AQ939" s="616"/>
      <c r="AR939" s="612"/>
      <c r="AS939" s="617"/>
      <c r="AT939" s="618"/>
      <c r="AU939" s="618"/>
      <c r="AV939" s="618"/>
      <c r="AW939" s="619"/>
      <c r="AX939" s="614"/>
      <c r="AY939" s="616"/>
      <c r="AZ939" s="616"/>
      <c r="BA939" s="616"/>
      <c r="BB939" s="616"/>
      <c r="BC939" s="616"/>
      <c r="BD939" s="612"/>
      <c r="BE939" s="614"/>
      <c r="BF939" s="616"/>
      <c r="BG939" s="616"/>
      <c r="BH939" s="616"/>
      <c r="BI939" s="616"/>
      <c r="BJ939" s="616"/>
      <c r="BK939" s="1023"/>
      <c r="BL939" s="658"/>
    </row>
    <row r="940" spans="2:64">
      <c r="B940" s="1022"/>
      <c r="C940" s="607"/>
      <c r="D940" s="607"/>
      <c r="E940" s="1021"/>
      <c r="F940" s="608">
        <v>937</v>
      </c>
      <c r="G940" s="609"/>
      <c r="H940" s="610"/>
      <c r="I940" s="611"/>
      <c r="J940" s="166">
        <f t="shared" si="581"/>
        <v>0</v>
      </c>
      <c r="K940" s="167">
        <f t="shared" si="582"/>
        <v>0</v>
      </c>
      <c r="L940" s="168">
        <f t="shared" si="583"/>
        <v>0</v>
      </c>
      <c r="M940" s="166">
        <f t="shared" si="584"/>
        <v>0</v>
      </c>
      <c r="N940" s="167">
        <f t="shared" si="585"/>
        <v>0</v>
      </c>
      <c r="O940" s="168">
        <f t="shared" si="586"/>
        <v>0</v>
      </c>
      <c r="P940" s="169">
        <f t="shared" si="587"/>
        <v>0</v>
      </c>
      <c r="Q940" s="169">
        <f t="shared" si="588"/>
        <v>0</v>
      </c>
      <c r="R940" s="169">
        <f t="shared" si="589"/>
        <v>0</v>
      </c>
      <c r="S940" s="584">
        <f t="shared" si="590"/>
        <v>0</v>
      </c>
      <c r="T940" s="594">
        <f t="shared" si="591"/>
        <v>0</v>
      </c>
      <c r="U940" s="595">
        <f t="shared" si="592"/>
        <v>0</v>
      </c>
      <c r="V940" s="166">
        <f t="shared" si="593"/>
        <v>0</v>
      </c>
      <c r="W940" s="167">
        <f t="shared" si="594"/>
        <v>0</v>
      </c>
      <c r="X940" s="168">
        <f t="shared" si="595"/>
        <v>0</v>
      </c>
      <c r="Y940" s="166">
        <f t="shared" si="596"/>
        <v>0</v>
      </c>
      <c r="Z940" s="167">
        <f t="shared" si="597"/>
        <v>0</v>
      </c>
      <c r="AA940" s="168">
        <f t="shared" si="598"/>
        <v>0</v>
      </c>
      <c r="AB940" s="166">
        <f t="shared" si="599"/>
        <v>0</v>
      </c>
      <c r="AC940" s="167">
        <f t="shared" si="600"/>
        <v>0</v>
      </c>
      <c r="AD940" s="168">
        <f t="shared" si="601"/>
        <v>0</v>
      </c>
      <c r="AE940" s="166">
        <f t="shared" si="602"/>
        <v>0</v>
      </c>
      <c r="AF940" s="167">
        <f t="shared" si="603"/>
        <v>0</v>
      </c>
      <c r="AG940" s="168">
        <f t="shared" si="604"/>
        <v>0</v>
      </c>
      <c r="AH940" s="166">
        <f t="shared" si="605"/>
        <v>0</v>
      </c>
      <c r="AI940" s="167">
        <f t="shared" si="606"/>
        <v>0</v>
      </c>
      <c r="AJ940" s="168">
        <f t="shared" si="607"/>
        <v>0</v>
      </c>
      <c r="AK940" s="169">
        <f t="shared" si="608"/>
        <v>0</v>
      </c>
      <c r="AL940" s="167">
        <f t="shared" si="609"/>
        <v>0</v>
      </c>
      <c r="AM940" s="585">
        <f t="shared" si="610"/>
        <v>0</v>
      </c>
      <c r="AN940" s="614"/>
      <c r="AO940" s="615"/>
      <c r="AP940" s="615"/>
      <c r="AQ940" s="616"/>
      <c r="AR940" s="612"/>
      <c r="AS940" s="617"/>
      <c r="AT940" s="618"/>
      <c r="AU940" s="618"/>
      <c r="AV940" s="618"/>
      <c r="AW940" s="619"/>
      <c r="AX940" s="614"/>
      <c r="AY940" s="616"/>
      <c r="AZ940" s="616"/>
      <c r="BA940" s="616"/>
      <c r="BB940" s="616"/>
      <c r="BC940" s="616"/>
      <c r="BD940" s="612"/>
      <c r="BE940" s="614"/>
      <c r="BF940" s="616"/>
      <c r="BG940" s="616"/>
      <c r="BH940" s="616"/>
      <c r="BI940" s="616"/>
      <c r="BJ940" s="616"/>
      <c r="BK940" s="1023"/>
      <c r="BL940" s="658"/>
    </row>
    <row r="941" spans="2:64">
      <c r="B941" s="1022"/>
      <c r="C941" s="607"/>
      <c r="D941" s="607"/>
      <c r="E941" s="1021"/>
      <c r="F941" s="1019">
        <v>938</v>
      </c>
      <c r="G941" s="609"/>
      <c r="H941" s="610"/>
      <c r="I941" s="611"/>
      <c r="J941" s="166">
        <f t="shared" si="581"/>
        <v>0</v>
      </c>
      <c r="K941" s="167">
        <f t="shared" si="582"/>
        <v>0</v>
      </c>
      <c r="L941" s="168">
        <f t="shared" si="583"/>
        <v>0</v>
      </c>
      <c r="M941" s="166">
        <f t="shared" si="584"/>
        <v>0</v>
      </c>
      <c r="N941" s="167">
        <f t="shared" si="585"/>
        <v>0</v>
      </c>
      <c r="O941" s="168">
        <f t="shared" si="586"/>
        <v>0</v>
      </c>
      <c r="P941" s="169">
        <f t="shared" si="587"/>
        <v>0</v>
      </c>
      <c r="Q941" s="169">
        <f t="shared" si="588"/>
        <v>0</v>
      </c>
      <c r="R941" s="169">
        <f t="shared" si="589"/>
        <v>0</v>
      </c>
      <c r="S941" s="584">
        <f t="shared" si="590"/>
        <v>0</v>
      </c>
      <c r="T941" s="594">
        <f t="shared" si="591"/>
        <v>0</v>
      </c>
      <c r="U941" s="595">
        <f t="shared" si="592"/>
        <v>0</v>
      </c>
      <c r="V941" s="166">
        <f t="shared" si="593"/>
        <v>0</v>
      </c>
      <c r="W941" s="167">
        <f t="shared" si="594"/>
        <v>0</v>
      </c>
      <c r="X941" s="168">
        <f t="shared" si="595"/>
        <v>0</v>
      </c>
      <c r="Y941" s="166">
        <f t="shared" si="596"/>
        <v>0</v>
      </c>
      <c r="Z941" s="167">
        <f t="shared" si="597"/>
        <v>0</v>
      </c>
      <c r="AA941" s="168">
        <f t="shared" si="598"/>
        <v>0</v>
      </c>
      <c r="AB941" s="166">
        <f t="shared" si="599"/>
        <v>0</v>
      </c>
      <c r="AC941" s="167">
        <f t="shared" si="600"/>
        <v>0</v>
      </c>
      <c r="AD941" s="168">
        <f t="shared" si="601"/>
        <v>0</v>
      </c>
      <c r="AE941" s="166">
        <f t="shared" si="602"/>
        <v>0</v>
      </c>
      <c r="AF941" s="167">
        <f t="shared" si="603"/>
        <v>0</v>
      </c>
      <c r="AG941" s="168">
        <f t="shared" si="604"/>
        <v>0</v>
      </c>
      <c r="AH941" s="166">
        <f t="shared" si="605"/>
        <v>0</v>
      </c>
      <c r="AI941" s="167">
        <f t="shared" si="606"/>
        <v>0</v>
      </c>
      <c r="AJ941" s="168">
        <f t="shared" si="607"/>
        <v>0</v>
      </c>
      <c r="AK941" s="169">
        <f t="shared" si="608"/>
        <v>0</v>
      </c>
      <c r="AL941" s="167">
        <f t="shared" si="609"/>
        <v>0</v>
      </c>
      <c r="AM941" s="585">
        <f t="shared" si="610"/>
        <v>0</v>
      </c>
      <c r="AN941" s="614"/>
      <c r="AO941" s="615"/>
      <c r="AP941" s="615"/>
      <c r="AQ941" s="616"/>
      <c r="AR941" s="612"/>
      <c r="AS941" s="617"/>
      <c r="AT941" s="618"/>
      <c r="AU941" s="618"/>
      <c r="AV941" s="618"/>
      <c r="AW941" s="619"/>
      <c r="AX941" s="614"/>
      <c r="AY941" s="616"/>
      <c r="AZ941" s="616"/>
      <c r="BA941" s="616"/>
      <c r="BB941" s="616"/>
      <c r="BC941" s="616"/>
      <c r="BD941" s="612"/>
      <c r="BE941" s="614"/>
      <c r="BF941" s="616"/>
      <c r="BG941" s="616"/>
      <c r="BH941" s="616"/>
      <c r="BI941" s="616"/>
      <c r="BJ941" s="616"/>
      <c r="BK941" s="1023"/>
      <c r="BL941" s="658"/>
    </row>
    <row r="942" spans="2:64">
      <c r="B942" s="1022"/>
      <c r="C942" s="607"/>
      <c r="D942" s="607"/>
      <c r="E942" s="1021"/>
      <c r="F942" s="608">
        <v>939</v>
      </c>
      <c r="G942" s="609"/>
      <c r="H942" s="610"/>
      <c r="I942" s="611"/>
      <c r="J942" s="166">
        <f t="shared" si="581"/>
        <v>0</v>
      </c>
      <c r="K942" s="167">
        <f t="shared" si="582"/>
        <v>0</v>
      </c>
      <c r="L942" s="168">
        <f t="shared" si="583"/>
        <v>0</v>
      </c>
      <c r="M942" s="166">
        <f t="shared" si="584"/>
        <v>0</v>
      </c>
      <c r="N942" s="167">
        <f t="shared" si="585"/>
        <v>0</v>
      </c>
      <c r="O942" s="168">
        <f t="shared" si="586"/>
        <v>0</v>
      </c>
      <c r="P942" s="169">
        <f t="shared" si="587"/>
        <v>0</v>
      </c>
      <c r="Q942" s="169">
        <f t="shared" si="588"/>
        <v>0</v>
      </c>
      <c r="R942" s="169">
        <f t="shared" si="589"/>
        <v>0</v>
      </c>
      <c r="S942" s="584">
        <f t="shared" si="590"/>
        <v>0</v>
      </c>
      <c r="T942" s="594">
        <f t="shared" si="591"/>
        <v>0</v>
      </c>
      <c r="U942" s="595">
        <f t="shared" si="592"/>
        <v>0</v>
      </c>
      <c r="V942" s="166">
        <f t="shared" si="593"/>
        <v>0</v>
      </c>
      <c r="W942" s="167">
        <f t="shared" si="594"/>
        <v>0</v>
      </c>
      <c r="X942" s="168">
        <f t="shared" si="595"/>
        <v>0</v>
      </c>
      <c r="Y942" s="166">
        <f t="shared" si="596"/>
        <v>0</v>
      </c>
      <c r="Z942" s="167">
        <f t="shared" si="597"/>
        <v>0</v>
      </c>
      <c r="AA942" s="168">
        <f t="shared" si="598"/>
        <v>0</v>
      </c>
      <c r="AB942" s="166">
        <f t="shared" si="599"/>
        <v>0</v>
      </c>
      <c r="AC942" s="167">
        <f t="shared" si="600"/>
        <v>0</v>
      </c>
      <c r="AD942" s="168">
        <f t="shared" si="601"/>
        <v>0</v>
      </c>
      <c r="AE942" s="166">
        <f t="shared" si="602"/>
        <v>0</v>
      </c>
      <c r="AF942" s="167">
        <f t="shared" si="603"/>
        <v>0</v>
      </c>
      <c r="AG942" s="168">
        <f t="shared" si="604"/>
        <v>0</v>
      </c>
      <c r="AH942" s="166">
        <f t="shared" si="605"/>
        <v>0</v>
      </c>
      <c r="AI942" s="167">
        <f t="shared" si="606"/>
        <v>0</v>
      </c>
      <c r="AJ942" s="168">
        <f t="shared" si="607"/>
        <v>0</v>
      </c>
      <c r="AK942" s="169">
        <f t="shared" si="608"/>
        <v>0</v>
      </c>
      <c r="AL942" s="167">
        <f t="shared" si="609"/>
        <v>0</v>
      </c>
      <c r="AM942" s="585">
        <f t="shared" si="610"/>
        <v>0</v>
      </c>
      <c r="AN942" s="614"/>
      <c r="AO942" s="615"/>
      <c r="AP942" s="615"/>
      <c r="AQ942" s="616"/>
      <c r="AR942" s="612"/>
      <c r="AS942" s="617"/>
      <c r="AT942" s="618"/>
      <c r="AU942" s="618"/>
      <c r="AV942" s="618"/>
      <c r="AW942" s="619"/>
      <c r="AX942" s="614"/>
      <c r="AY942" s="616"/>
      <c r="AZ942" s="616"/>
      <c r="BA942" s="616"/>
      <c r="BB942" s="616"/>
      <c r="BC942" s="616"/>
      <c r="BD942" s="612"/>
      <c r="BE942" s="614"/>
      <c r="BF942" s="616"/>
      <c r="BG942" s="616"/>
      <c r="BH942" s="616"/>
      <c r="BI942" s="616"/>
      <c r="BJ942" s="616"/>
      <c r="BK942" s="1023"/>
      <c r="BL942" s="658"/>
    </row>
    <row r="943" spans="2:64">
      <c r="B943" s="1022"/>
      <c r="C943" s="607"/>
      <c r="D943" s="607"/>
      <c r="E943" s="1021"/>
      <c r="F943" s="1019">
        <v>940</v>
      </c>
      <c r="G943" s="609"/>
      <c r="H943" s="610"/>
      <c r="I943" s="611"/>
      <c r="J943" s="166">
        <f t="shared" si="581"/>
        <v>0</v>
      </c>
      <c r="K943" s="167">
        <f t="shared" si="582"/>
        <v>0</v>
      </c>
      <c r="L943" s="168">
        <f t="shared" si="583"/>
        <v>0</v>
      </c>
      <c r="M943" s="166">
        <f t="shared" si="584"/>
        <v>0</v>
      </c>
      <c r="N943" s="167">
        <f t="shared" si="585"/>
        <v>0</v>
      </c>
      <c r="O943" s="168">
        <f t="shared" si="586"/>
        <v>0</v>
      </c>
      <c r="P943" s="169">
        <f t="shared" si="587"/>
        <v>0</v>
      </c>
      <c r="Q943" s="169">
        <f t="shared" si="588"/>
        <v>0</v>
      </c>
      <c r="R943" s="169">
        <f t="shared" si="589"/>
        <v>0</v>
      </c>
      <c r="S943" s="584">
        <f t="shared" si="590"/>
        <v>0</v>
      </c>
      <c r="T943" s="594">
        <f t="shared" si="591"/>
        <v>0</v>
      </c>
      <c r="U943" s="595">
        <f t="shared" si="592"/>
        <v>0</v>
      </c>
      <c r="V943" s="166">
        <f t="shared" si="593"/>
        <v>0</v>
      </c>
      <c r="W943" s="167">
        <f t="shared" si="594"/>
        <v>0</v>
      </c>
      <c r="X943" s="168">
        <f t="shared" si="595"/>
        <v>0</v>
      </c>
      <c r="Y943" s="166">
        <f t="shared" si="596"/>
        <v>0</v>
      </c>
      <c r="Z943" s="167">
        <f t="shared" si="597"/>
        <v>0</v>
      </c>
      <c r="AA943" s="168">
        <f t="shared" si="598"/>
        <v>0</v>
      </c>
      <c r="AB943" s="166">
        <f t="shared" si="599"/>
        <v>0</v>
      </c>
      <c r="AC943" s="167">
        <f t="shared" si="600"/>
        <v>0</v>
      </c>
      <c r="AD943" s="168">
        <f t="shared" si="601"/>
        <v>0</v>
      </c>
      <c r="AE943" s="166">
        <f t="shared" si="602"/>
        <v>0</v>
      </c>
      <c r="AF943" s="167">
        <f t="shared" si="603"/>
        <v>0</v>
      </c>
      <c r="AG943" s="168">
        <f t="shared" si="604"/>
        <v>0</v>
      </c>
      <c r="AH943" s="166">
        <f t="shared" si="605"/>
        <v>0</v>
      </c>
      <c r="AI943" s="167">
        <f t="shared" si="606"/>
        <v>0</v>
      </c>
      <c r="AJ943" s="168">
        <f t="shared" si="607"/>
        <v>0</v>
      </c>
      <c r="AK943" s="169">
        <f t="shared" si="608"/>
        <v>0</v>
      </c>
      <c r="AL943" s="167">
        <f t="shared" si="609"/>
        <v>0</v>
      </c>
      <c r="AM943" s="585">
        <f t="shared" si="610"/>
        <v>0</v>
      </c>
      <c r="AN943" s="614"/>
      <c r="AO943" s="615"/>
      <c r="AP943" s="615"/>
      <c r="AQ943" s="616"/>
      <c r="AR943" s="612"/>
      <c r="AS943" s="617"/>
      <c r="AT943" s="618"/>
      <c r="AU943" s="618"/>
      <c r="AV943" s="618"/>
      <c r="AW943" s="619"/>
      <c r="AX943" s="614"/>
      <c r="AY943" s="616"/>
      <c r="AZ943" s="616"/>
      <c r="BA943" s="616"/>
      <c r="BB943" s="616"/>
      <c r="BC943" s="616"/>
      <c r="BD943" s="612"/>
      <c r="BE943" s="614"/>
      <c r="BF943" s="616"/>
      <c r="BG943" s="616"/>
      <c r="BH943" s="616"/>
      <c r="BI943" s="616"/>
      <c r="BJ943" s="616"/>
      <c r="BK943" s="1023"/>
      <c r="BL943" s="658"/>
    </row>
    <row r="944" spans="2:64">
      <c r="B944" s="1022"/>
      <c r="C944" s="607"/>
      <c r="D944" s="607"/>
      <c r="E944" s="1021"/>
      <c r="F944" s="608">
        <v>941</v>
      </c>
      <c r="G944" s="609"/>
      <c r="H944" s="610"/>
      <c r="I944" s="611"/>
      <c r="J944" s="166">
        <f t="shared" si="581"/>
        <v>0</v>
      </c>
      <c r="K944" s="167">
        <f t="shared" si="582"/>
        <v>0</v>
      </c>
      <c r="L944" s="168">
        <f t="shared" si="583"/>
        <v>0</v>
      </c>
      <c r="M944" s="166">
        <f t="shared" si="584"/>
        <v>0</v>
      </c>
      <c r="N944" s="167">
        <f t="shared" si="585"/>
        <v>0</v>
      </c>
      <c r="O944" s="168">
        <f t="shared" si="586"/>
        <v>0</v>
      </c>
      <c r="P944" s="169">
        <f t="shared" si="587"/>
        <v>0</v>
      </c>
      <c r="Q944" s="169">
        <f t="shared" si="588"/>
        <v>0</v>
      </c>
      <c r="R944" s="169">
        <f t="shared" si="589"/>
        <v>0</v>
      </c>
      <c r="S944" s="584">
        <f t="shared" si="590"/>
        <v>0</v>
      </c>
      <c r="T944" s="594">
        <f t="shared" si="591"/>
        <v>0</v>
      </c>
      <c r="U944" s="595">
        <f t="shared" si="592"/>
        <v>0</v>
      </c>
      <c r="V944" s="166">
        <f t="shared" si="593"/>
        <v>0</v>
      </c>
      <c r="W944" s="167">
        <f t="shared" si="594"/>
        <v>0</v>
      </c>
      <c r="X944" s="168">
        <f t="shared" si="595"/>
        <v>0</v>
      </c>
      <c r="Y944" s="166">
        <f t="shared" si="596"/>
        <v>0</v>
      </c>
      <c r="Z944" s="167">
        <f t="shared" si="597"/>
        <v>0</v>
      </c>
      <c r="AA944" s="168">
        <f t="shared" si="598"/>
        <v>0</v>
      </c>
      <c r="AB944" s="166">
        <f t="shared" si="599"/>
        <v>0</v>
      </c>
      <c r="AC944" s="167">
        <f t="shared" si="600"/>
        <v>0</v>
      </c>
      <c r="AD944" s="168">
        <f t="shared" si="601"/>
        <v>0</v>
      </c>
      <c r="AE944" s="166">
        <f t="shared" si="602"/>
        <v>0</v>
      </c>
      <c r="AF944" s="167">
        <f t="shared" si="603"/>
        <v>0</v>
      </c>
      <c r="AG944" s="168">
        <f t="shared" si="604"/>
        <v>0</v>
      </c>
      <c r="AH944" s="166">
        <f t="shared" si="605"/>
        <v>0</v>
      </c>
      <c r="AI944" s="167">
        <f t="shared" si="606"/>
        <v>0</v>
      </c>
      <c r="AJ944" s="168">
        <f t="shared" si="607"/>
        <v>0</v>
      </c>
      <c r="AK944" s="169">
        <f t="shared" si="608"/>
        <v>0</v>
      </c>
      <c r="AL944" s="167">
        <f t="shared" si="609"/>
        <v>0</v>
      </c>
      <c r="AM944" s="585">
        <f t="shared" si="610"/>
        <v>0</v>
      </c>
      <c r="AN944" s="614"/>
      <c r="AO944" s="615"/>
      <c r="AP944" s="615"/>
      <c r="AQ944" s="616"/>
      <c r="AR944" s="612"/>
      <c r="AS944" s="617"/>
      <c r="AT944" s="618"/>
      <c r="AU944" s="618"/>
      <c r="AV944" s="618"/>
      <c r="AW944" s="619"/>
      <c r="AX944" s="614"/>
      <c r="AY944" s="616"/>
      <c r="AZ944" s="616"/>
      <c r="BA944" s="616"/>
      <c r="BB944" s="616"/>
      <c r="BC944" s="616"/>
      <c r="BD944" s="612"/>
      <c r="BE944" s="614"/>
      <c r="BF944" s="616"/>
      <c r="BG944" s="616"/>
      <c r="BH944" s="616"/>
      <c r="BI944" s="616"/>
      <c r="BJ944" s="616"/>
      <c r="BK944" s="1023"/>
      <c r="BL944" s="658"/>
    </row>
    <row r="945" spans="2:64">
      <c r="B945" s="1022"/>
      <c r="C945" s="607"/>
      <c r="D945" s="607"/>
      <c r="E945" s="1021"/>
      <c r="F945" s="1019">
        <v>942</v>
      </c>
      <c r="G945" s="609"/>
      <c r="H945" s="610"/>
      <c r="I945" s="611"/>
      <c r="J945" s="166">
        <f t="shared" si="581"/>
        <v>0</v>
      </c>
      <c r="K945" s="167">
        <f t="shared" si="582"/>
        <v>0</v>
      </c>
      <c r="L945" s="168">
        <f t="shared" si="583"/>
        <v>0</v>
      </c>
      <c r="M945" s="166">
        <f t="shared" si="584"/>
        <v>0</v>
      </c>
      <c r="N945" s="167">
        <f t="shared" si="585"/>
        <v>0</v>
      </c>
      <c r="O945" s="168">
        <f t="shared" si="586"/>
        <v>0</v>
      </c>
      <c r="P945" s="169">
        <f t="shared" si="587"/>
        <v>0</v>
      </c>
      <c r="Q945" s="169">
        <f t="shared" si="588"/>
        <v>0</v>
      </c>
      <c r="R945" s="169">
        <f t="shared" si="589"/>
        <v>0</v>
      </c>
      <c r="S945" s="584">
        <f t="shared" si="590"/>
        <v>0</v>
      </c>
      <c r="T945" s="594">
        <f t="shared" si="591"/>
        <v>0</v>
      </c>
      <c r="U945" s="595">
        <f t="shared" si="592"/>
        <v>0</v>
      </c>
      <c r="V945" s="166">
        <f t="shared" si="593"/>
        <v>0</v>
      </c>
      <c r="W945" s="167">
        <f t="shared" si="594"/>
        <v>0</v>
      </c>
      <c r="X945" s="168">
        <f t="shared" si="595"/>
        <v>0</v>
      </c>
      <c r="Y945" s="166">
        <f t="shared" si="596"/>
        <v>0</v>
      </c>
      <c r="Z945" s="167">
        <f t="shared" si="597"/>
        <v>0</v>
      </c>
      <c r="AA945" s="168">
        <f t="shared" si="598"/>
        <v>0</v>
      </c>
      <c r="AB945" s="166">
        <f t="shared" si="599"/>
        <v>0</v>
      </c>
      <c r="AC945" s="167">
        <f t="shared" si="600"/>
        <v>0</v>
      </c>
      <c r="AD945" s="168">
        <f t="shared" si="601"/>
        <v>0</v>
      </c>
      <c r="AE945" s="166">
        <f t="shared" si="602"/>
        <v>0</v>
      </c>
      <c r="AF945" s="167">
        <f t="shared" si="603"/>
        <v>0</v>
      </c>
      <c r="AG945" s="168">
        <f t="shared" si="604"/>
        <v>0</v>
      </c>
      <c r="AH945" s="166">
        <f t="shared" si="605"/>
        <v>0</v>
      </c>
      <c r="AI945" s="167">
        <f t="shared" si="606"/>
        <v>0</v>
      </c>
      <c r="AJ945" s="168">
        <f t="shared" si="607"/>
        <v>0</v>
      </c>
      <c r="AK945" s="169">
        <f t="shared" si="608"/>
        <v>0</v>
      </c>
      <c r="AL945" s="167">
        <f t="shared" si="609"/>
        <v>0</v>
      </c>
      <c r="AM945" s="585">
        <f t="shared" si="610"/>
        <v>0</v>
      </c>
      <c r="AN945" s="614"/>
      <c r="AO945" s="615"/>
      <c r="AP945" s="615"/>
      <c r="AQ945" s="616"/>
      <c r="AR945" s="612"/>
      <c r="AS945" s="617"/>
      <c r="AT945" s="618"/>
      <c r="AU945" s="618"/>
      <c r="AV945" s="618"/>
      <c r="AW945" s="619"/>
      <c r="AX945" s="614"/>
      <c r="AY945" s="616"/>
      <c r="AZ945" s="616"/>
      <c r="BA945" s="616"/>
      <c r="BB945" s="616"/>
      <c r="BC945" s="616"/>
      <c r="BD945" s="612"/>
      <c r="BE945" s="614"/>
      <c r="BF945" s="616"/>
      <c r="BG945" s="616"/>
      <c r="BH945" s="616"/>
      <c r="BI945" s="616"/>
      <c r="BJ945" s="616"/>
      <c r="BK945" s="1023"/>
      <c r="BL945" s="658"/>
    </row>
    <row r="946" spans="2:64">
      <c r="B946" s="1022"/>
      <c r="C946" s="607"/>
      <c r="D946" s="607"/>
      <c r="E946" s="1021"/>
      <c r="F946" s="608">
        <v>943</v>
      </c>
      <c r="G946" s="609"/>
      <c r="H946" s="610"/>
      <c r="I946" s="611"/>
      <c r="J946" s="166">
        <f t="shared" si="581"/>
        <v>0</v>
      </c>
      <c r="K946" s="167">
        <f t="shared" si="582"/>
        <v>0</v>
      </c>
      <c r="L946" s="168">
        <f t="shared" si="583"/>
        <v>0</v>
      </c>
      <c r="M946" s="166">
        <f t="shared" si="584"/>
        <v>0</v>
      </c>
      <c r="N946" s="167">
        <f t="shared" si="585"/>
        <v>0</v>
      </c>
      <c r="O946" s="168">
        <f t="shared" si="586"/>
        <v>0</v>
      </c>
      <c r="P946" s="169">
        <f t="shared" si="587"/>
        <v>0</v>
      </c>
      <c r="Q946" s="169">
        <f t="shared" si="588"/>
        <v>0</v>
      </c>
      <c r="R946" s="169">
        <f t="shared" si="589"/>
        <v>0</v>
      </c>
      <c r="S946" s="584">
        <f t="shared" si="590"/>
        <v>0</v>
      </c>
      <c r="T946" s="594">
        <f t="shared" si="591"/>
        <v>0</v>
      </c>
      <c r="U946" s="595">
        <f t="shared" si="592"/>
        <v>0</v>
      </c>
      <c r="V946" s="166">
        <f t="shared" si="593"/>
        <v>0</v>
      </c>
      <c r="W946" s="167">
        <f t="shared" si="594"/>
        <v>0</v>
      </c>
      <c r="X946" s="168">
        <f t="shared" si="595"/>
        <v>0</v>
      </c>
      <c r="Y946" s="166">
        <f t="shared" si="596"/>
        <v>0</v>
      </c>
      <c r="Z946" s="167">
        <f t="shared" si="597"/>
        <v>0</v>
      </c>
      <c r="AA946" s="168">
        <f t="shared" si="598"/>
        <v>0</v>
      </c>
      <c r="AB946" s="166">
        <f t="shared" si="599"/>
        <v>0</v>
      </c>
      <c r="AC946" s="167">
        <f t="shared" si="600"/>
        <v>0</v>
      </c>
      <c r="AD946" s="168">
        <f t="shared" si="601"/>
        <v>0</v>
      </c>
      <c r="AE946" s="166">
        <f t="shared" si="602"/>
        <v>0</v>
      </c>
      <c r="AF946" s="167">
        <f t="shared" si="603"/>
        <v>0</v>
      </c>
      <c r="AG946" s="168">
        <f t="shared" si="604"/>
        <v>0</v>
      </c>
      <c r="AH946" s="166">
        <f t="shared" si="605"/>
        <v>0</v>
      </c>
      <c r="AI946" s="167">
        <f t="shared" si="606"/>
        <v>0</v>
      </c>
      <c r="AJ946" s="168">
        <f t="shared" si="607"/>
        <v>0</v>
      </c>
      <c r="AK946" s="169">
        <f t="shared" si="608"/>
        <v>0</v>
      </c>
      <c r="AL946" s="167">
        <f t="shared" si="609"/>
        <v>0</v>
      </c>
      <c r="AM946" s="585">
        <f t="shared" si="610"/>
        <v>0</v>
      </c>
      <c r="AN946" s="614"/>
      <c r="AO946" s="615"/>
      <c r="AP946" s="615"/>
      <c r="AQ946" s="616"/>
      <c r="AR946" s="612"/>
      <c r="AS946" s="617"/>
      <c r="AT946" s="618"/>
      <c r="AU946" s="618"/>
      <c r="AV946" s="618"/>
      <c r="AW946" s="619"/>
      <c r="AX946" s="614"/>
      <c r="AY946" s="616"/>
      <c r="AZ946" s="616"/>
      <c r="BA946" s="616"/>
      <c r="BB946" s="616"/>
      <c r="BC946" s="616"/>
      <c r="BD946" s="612"/>
      <c r="BE946" s="614"/>
      <c r="BF946" s="616"/>
      <c r="BG946" s="616"/>
      <c r="BH946" s="616"/>
      <c r="BI946" s="616"/>
      <c r="BJ946" s="616"/>
      <c r="BK946" s="1023"/>
      <c r="BL946" s="658"/>
    </row>
    <row r="947" spans="2:64">
      <c r="B947" s="1022"/>
      <c r="C947" s="607"/>
      <c r="D947" s="607"/>
      <c r="E947" s="1021"/>
      <c r="F947" s="1019">
        <v>944</v>
      </c>
      <c r="G947" s="609"/>
      <c r="H947" s="610"/>
      <c r="I947" s="611"/>
      <c r="J947" s="166">
        <f t="shared" si="581"/>
        <v>0</v>
      </c>
      <c r="K947" s="167">
        <f t="shared" si="582"/>
        <v>0</v>
      </c>
      <c r="L947" s="168">
        <f t="shared" si="583"/>
        <v>0</v>
      </c>
      <c r="M947" s="166">
        <f t="shared" si="584"/>
        <v>0</v>
      </c>
      <c r="N947" s="167">
        <f t="shared" si="585"/>
        <v>0</v>
      </c>
      <c r="O947" s="168">
        <f t="shared" si="586"/>
        <v>0</v>
      </c>
      <c r="P947" s="169">
        <f t="shared" si="587"/>
        <v>0</v>
      </c>
      <c r="Q947" s="169">
        <f t="shared" si="588"/>
        <v>0</v>
      </c>
      <c r="R947" s="169">
        <f t="shared" si="589"/>
        <v>0</v>
      </c>
      <c r="S947" s="584">
        <f t="shared" si="590"/>
        <v>0</v>
      </c>
      <c r="T947" s="594">
        <f t="shared" si="591"/>
        <v>0</v>
      </c>
      <c r="U947" s="595">
        <f t="shared" si="592"/>
        <v>0</v>
      </c>
      <c r="V947" s="166">
        <f t="shared" si="593"/>
        <v>0</v>
      </c>
      <c r="W947" s="167">
        <f t="shared" si="594"/>
        <v>0</v>
      </c>
      <c r="X947" s="168">
        <f t="shared" si="595"/>
        <v>0</v>
      </c>
      <c r="Y947" s="166">
        <f t="shared" si="596"/>
        <v>0</v>
      </c>
      <c r="Z947" s="167">
        <f t="shared" si="597"/>
        <v>0</v>
      </c>
      <c r="AA947" s="168">
        <f t="shared" si="598"/>
        <v>0</v>
      </c>
      <c r="AB947" s="166">
        <f t="shared" si="599"/>
        <v>0</v>
      </c>
      <c r="AC947" s="167">
        <f t="shared" si="600"/>
        <v>0</v>
      </c>
      <c r="AD947" s="168">
        <f t="shared" si="601"/>
        <v>0</v>
      </c>
      <c r="AE947" s="166">
        <f t="shared" si="602"/>
        <v>0</v>
      </c>
      <c r="AF947" s="167">
        <f t="shared" si="603"/>
        <v>0</v>
      </c>
      <c r="AG947" s="168">
        <f t="shared" si="604"/>
        <v>0</v>
      </c>
      <c r="AH947" s="166">
        <f t="shared" si="605"/>
        <v>0</v>
      </c>
      <c r="AI947" s="167">
        <f t="shared" si="606"/>
        <v>0</v>
      </c>
      <c r="AJ947" s="168">
        <f t="shared" si="607"/>
        <v>0</v>
      </c>
      <c r="AK947" s="169">
        <f t="shared" si="608"/>
        <v>0</v>
      </c>
      <c r="AL947" s="167">
        <f t="shared" si="609"/>
        <v>0</v>
      </c>
      <c r="AM947" s="585">
        <f t="shared" si="610"/>
        <v>0</v>
      </c>
      <c r="AN947" s="614"/>
      <c r="AO947" s="615"/>
      <c r="AP947" s="615"/>
      <c r="AQ947" s="616"/>
      <c r="AR947" s="612"/>
      <c r="AS947" s="617"/>
      <c r="AT947" s="618"/>
      <c r="AU947" s="618"/>
      <c r="AV947" s="618"/>
      <c r="AW947" s="619"/>
      <c r="AX947" s="614"/>
      <c r="AY947" s="616"/>
      <c r="AZ947" s="616"/>
      <c r="BA947" s="616"/>
      <c r="BB947" s="616"/>
      <c r="BC947" s="616"/>
      <c r="BD947" s="612"/>
      <c r="BE947" s="614"/>
      <c r="BF947" s="616"/>
      <c r="BG947" s="616"/>
      <c r="BH947" s="616"/>
      <c r="BI947" s="616"/>
      <c r="BJ947" s="616"/>
      <c r="BK947" s="1023"/>
      <c r="BL947" s="658"/>
    </row>
    <row r="948" spans="2:64">
      <c r="B948" s="1022"/>
      <c r="C948" s="607"/>
      <c r="D948" s="607"/>
      <c r="E948" s="1021"/>
      <c r="F948" s="608">
        <v>945</v>
      </c>
      <c r="G948" s="609"/>
      <c r="H948" s="610"/>
      <c r="I948" s="611"/>
      <c r="J948" s="166">
        <f t="shared" si="581"/>
        <v>0</v>
      </c>
      <c r="K948" s="167">
        <f t="shared" si="582"/>
        <v>0</v>
      </c>
      <c r="L948" s="168">
        <f t="shared" si="583"/>
        <v>0</v>
      </c>
      <c r="M948" s="166">
        <f t="shared" si="584"/>
        <v>0</v>
      </c>
      <c r="N948" s="167">
        <f t="shared" si="585"/>
        <v>0</v>
      </c>
      <c r="O948" s="168">
        <f t="shared" si="586"/>
        <v>0</v>
      </c>
      <c r="P948" s="169">
        <f t="shared" si="587"/>
        <v>0</v>
      </c>
      <c r="Q948" s="169">
        <f t="shared" si="588"/>
        <v>0</v>
      </c>
      <c r="R948" s="169">
        <f t="shared" si="589"/>
        <v>0</v>
      </c>
      <c r="S948" s="584">
        <f t="shared" si="590"/>
        <v>0</v>
      </c>
      <c r="T948" s="594">
        <f t="shared" si="591"/>
        <v>0</v>
      </c>
      <c r="U948" s="595">
        <f t="shared" si="592"/>
        <v>0</v>
      </c>
      <c r="V948" s="166">
        <f t="shared" si="593"/>
        <v>0</v>
      </c>
      <c r="W948" s="167">
        <f t="shared" si="594"/>
        <v>0</v>
      </c>
      <c r="X948" s="168">
        <f t="shared" si="595"/>
        <v>0</v>
      </c>
      <c r="Y948" s="166">
        <f t="shared" si="596"/>
        <v>0</v>
      </c>
      <c r="Z948" s="167">
        <f t="shared" si="597"/>
        <v>0</v>
      </c>
      <c r="AA948" s="168">
        <f t="shared" si="598"/>
        <v>0</v>
      </c>
      <c r="AB948" s="166">
        <f t="shared" si="599"/>
        <v>0</v>
      </c>
      <c r="AC948" s="167">
        <f t="shared" si="600"/>
        <v>0</v>
      </c>
      <c r="AD948" s="168">
        <f t="shared" si="601"/>
        <v>0</v>
      </c>
      <c r="AE948" s="166">
        <f t="shared" si="602"/>
        <v>0</v>
      </c>
      <c r="AF948" s="167">
        <f t="shared" si="603"/>
        <v>0</v>
      </c>
      <c r="AG948" s="168">
        <f t="shared" si="604"/>
        <v>0</v>
      </c>
      <c r="AH948" s="166">
        <f t="shared" si="605"/>
        <v>0</v>
      </c>
      <c r="AI948" s="167">
        <f t="shared" si="606"/>
        <v>0</v>
      </c>
      <c r="AJ948" s="168">
        <f t="shared" si="607"/>
        <v>0</v>
      </c>
      <c r="AK948" s="169">
        <f t="shared" si="608"/>
        <v>0</v>
      </c>
      <c r="AL948" s="167">
        <f t="shared" si="609"/>
        <v>0</v>
      </c>
      <c r="AM948" s="585">
        <f t="shared" si="610"/>
        <v>0</v>
      </c>
      <c r="AN948" s="614"/>
      <c r="AO948" s="615"/>
      <c r="AP948" s="615"/>
      <c r="AQ948" s="616"/>
      <c r="AR948" s="612"/>
      <c r="AS948" s="617"/>
      <c r="AT948" s="618"/>
      <c r="AU948" s="618"/>
      <c r="AV948" s="618"/>
      <c r="AW948" s="619"/>
      <c r="AX948" s="614"/>
      <c r="AY948" s="616"/>
      <c r="AZ948" s="616"/>
      <c r="BA948" s="616"/>
      <c r="BB948" s="616"/>
      <c r="BC948" s="616"/>
      <c r="BD948" s="612"/>
      <c r="BE948" s="614"/>
      <c r="BF948" s="616"/>
      <c r="BG948" s="616"/>
      <c r="BH948" s="616"/>
      <c r="BI948" s="616"/>
      <c r="BJ948" s="616"/>
      <c r="BK948" s="1023"/>
      <c r="BL948" s="658"/>
    </row>
    <row r="949" spans="2:64">
      <c r="B949" s="1022"/>
      <c r="C949" s="607"/>
      <c r="D949" s="607"/>
      <c r="E949" s="1021"/>
      <c r="F949" s="1019">
        <v>946</v>
      </c>
      <c r="G949" s="609"/>
      <c r="H949" s="610"/>
      <c r="I949" s="611"/>
      <c r="J949" s="166">
        <f t="shared" si="581"/>
        <v>0</v>
      </c>
      <c r="K949" s="167">
        <f t="shared" si="582"/>
        <v>0</v>
      </c>
      <c r="L949" s="168">
        <f t="shared" si="583"/>
        <v>0</v>
      </c>
      <c r="M949" s="166">
        <f t="shared" si="584"/>
        <v>0</v>
      </c>
      <c r="N949" s="167">
        <f t="shared" si="585"/>
        <v>0</v>
      </c>
      <c r="O949" s="168">
        <f t="shared" si="586"/>
        <v>0</v>
      </c>
      <c r="P949" s="169">
        <f t="shared" si="587"/>
        <v>0</v>
      </c>
      <c r="Q949" s="169">
        <f t="shared" si="588"/>
        <v>0</v>
      </c>
      <c r="R949" s="169">
        <f t="shared" si="589"/>
        <v>0</v>
      </c>
      <c r="S949" s="584">
        <f t="shared" si="590"/>
        <v>0</v>
      </c>
      <c r="T949" s="594">
        <f t="shared" si="591"/>
        <v>0</v>
      </c>
      <c r="U949" s="595">
        <f t="shared" si="592"/>
        <v>0</v>
      </c>
      <c r="V949" s="166">
        <f t="shared" si="593"/>
        <v>0</v>
      </c>
      <c r="W949" s="167">
        <f t="shared" si="594"/>
        <v>0</v>
      </c>
      <c r="X949" s="168">
        <f t="shared" si="595"/>
        <v>0</v>
      </c>
      <c r="Y949" s="166">
        <f t="shared" si="596"/>
        <v>0</v>
      </c>
      <c r="Z949" s="167">
        <f t="shared" si="597"/>
        <v>0</v>
      </c>
      <c r="AA949" s="168">
        <f t="shared" si="598"/>
        <v>0</v>
      </c>
      <c r="AB949" s="166">
        <f t="shared" si="599"/>
        <v>0</v>
      </c>
      <c r="AC949" s="167">
        <f t="shared" si="600"/>
        <v>0</v>
      </c>
      <c r="AD949" s="168">
        <f t="shared" si="601"/>
        <v>0</v>
      </c>
      <c r="AE949" s="166">
        <f t="shared" si="602"/>
        <v>0</v>
      </c>
      <c r="AF949" s="167">
        <f t="shared" si="603"/>
        <v>0</v>
      </c>
      <c r="AG949" s="168">
        <f t="shared" si="604"/>
        <v>0</v>
      </c>
      <c r="AH949" s="166">
        <f t="shared" si="605"/>
        <v>0</v>
      </c>
      <c r="AI949" s="167">
        <f t="shared" si="606"/>
        <v>0</v>
      </c>
      <c r="AJ949" s="168">
        <f t="shared" si="607"/>
        <v>0</v>
      </c>
      <c r="AK949" s="169">
        <f t="shared" si="608"/>
        <v>0</v>
      </c>
      <c r="AL949" s="167">
        <f t="shared" si="609"/>
        <v>0</v>
      </c>
      <c r="AM949" s="585">
        <f t="shared" si="610"/>
        <v>0</v>
      </c>
      <c r="AN949" s="614"/>
      <c r="AO949" s="615"/>
      <c r="AP949" s="615"/>
      <c r="AQ949" s="616"/>
      <c r="AR949" s="612"/>
      <c r="AS949" s="617"/>
      <c r="AT949" s="618"/>
      <c r="AU949" s="618"/>
      <c r="AV949" s="618"/>
      <c r="AW949" s="619"/>
      <c r="AX949" s="614"/>
      <c r="AY949" s="616"/>
      <c r="AZ949" s="616"/>
      <c r="BA949" s="616"/>
      <c r="BB949" s="616"/>
      <c r="BC949" s="616"/>
      <c r="BD949" s="612"/>
      <c r="BE949" s="614"/>
      <c r="BF949" s="616"/>
      <c r="BG949" s="616"/>
      <c r="BH949" s="616"/>
      <c r="BI949" s="616"/>
      <c r="BJ949" s="616"/>
      <c r="BK949" s="1023"/>
      <c r="BL949" s="658"/>
    </row>
    <row r="950" spans="2:64">
      <c r="B950" s="1022"/>
      <c r="C950" s="607"/>
      <c r="D950" s="607"/>
      <c r="E950" s="1021"/>
      <c r="F950" s="608">
        <v>947</v>
      </c>
      <c r="G950" s="609"/>
      <c r="H950" s="610"/>
      <c r="I950" s="611"/>
      <c r="J950" s="166">
        <f t="shared" si="581"/>
        <v>0</v>
      </c>
      <c r="K950" s="167">
        <f t="shared" si="582"/>
        <v>0</v>
      </c>
      <c r="L950" s="168">
        <f t="shared" si="583"/>
        <v>0</v>
      </c>
      <c r="M950" s="166">
        <f t="shared" si="584"/>
        <v>0</v>
      </c>
      <c r="N950" s="167">
        <f t="shared" si="585"/>
        <v>0</v>
      </c>
      <c r="O950" s="168">
        <f t="shared" si="586"/>
        <v>0</v>
      </c>
      <c r="P950" s="169">
        <f t="shared" si="587"/>
        <v>0</v>
      </c>
      <c r="Q950" s="169">
        <f t="shared" si="588"/>
        <v>0</v>
      </c>
      <c r="R950" s="169">
        <f t="shared" si="589"/>
        <v>0</v>
      </c>
      <c r="S950" s="584">
        <f t="shared" si="590"/>
        <v>0</v>
      </c>
      <c r="T950" s="594">
        <f t="shared" si="591"/>
        <v>0</v>
      </c>
      <c r="U950" s="595">
        <f t="shared" si="592"/>
        <v>0</v>
      </c>
      <c r="V950" s="166">
        <f t="shared" si="593"/>
        <v>0</v>
      </c>
      <c r="W950" s="167">
        <f t="shared" si="594"/>
        <v>0</v>
      </c>
      <c r="X950" s="168">
        <f t="shared" si="595"/>
        <v>0</v>
      </c>
      <c r="Y950" s="166">
        <f t="shared" si="596"/>
        <v>0</v>
      </c>
      <c r="Z950" s="167">
        <f t="shared" si="597"/>
        <v>0</v>
      </c>
      <c r="AA950" s="168">
        <f t="shared" si="598"/>
        <v>0</v>
      </c>
      <c r="AB950" s="166">
        <f t="shared" si="599"/>
        <v>0</v>
      </c>
      <c r="AC950" s="167">
        <f t="shared" si="600"/>
        <v>0</v>
      </c>
      <c r="AD950" s="168">
        <f t="shared" si="601"/>
        <v>0</v>
      </c>
      <c r="AE950" s="166">
        <f t="shared" si="602"/>
        <v>0</v>
      </c>
      <c r="AF950" s="167">
        <f t="shared" si="603"/>
        <v>0</v>
      </c>
      <c r="AG950" s="168">
        <f t="shared" si="604"/>
        <v>0</v>
      </c>
      <c r="AH950" s="166">
        <f t="shared" si="605"/>
        <v>0</v>
      </c>
      <c r="AI950" s="167">
        <f t="shared" si="606"/>
        <v>0</v>
      </c>
      <c r="AJ950" s="168">
        <f t="shared" si="607"/>
        <v>0</v>
      </c>
      <c r="AK950" s="169">
        <f t="shared" si="608"/>
        <v>0</v>
      </c>
      <c r="AL950" s="167">
        <f t="shared" si="609"/>
        <v>0</v>
      </c>
      <c r="AM950" s="585">
        <f t="shared" si="610"/>
        <v>0</v>
      </c>
      <c r="AN950" s="614"/>
      <c r="AO950" s="615"/>
      <c r="AP950" s="615"/>
      <c r="AQ950" s="616"/>
      <c r="AR950" s="612"/>
      <c r="AS950" s="617"/>
      <c r="AT950" s="618"/>
      <c r="AU950" s="618"/>
      <c r="AV950" s="618"/>
      <c r="AW950" s="619"/>
      <c r="AX950" s="614"/>
      <c r="AY950" s="616"/>
      <c r="AZ950" s="616"/>
      <c r="BA950" s="616"/>
      <c r="BB950" s="616"/>
      <c r="BC950" s="616"/>
      <c r="BD950" s="612"/>
      <c r="BE950" s="614"/>
      <c r="BF950" s="616"/>
      <c r="BG950" s="616"/>
      <c r="BH950" s="616"/>
      <c r="BI950" s="616"/>
      <c r="BJ950" s="616"/>
      <c r="BK950" s="1023"/>
      <c r="BL950" s="658"/>
    </row>
    <row r="951" spans="2:64">
      <c r="B951" s="1022"/>
      <c r="C951" s="607"/>
      <c r="D951" s="607"/>
      <c r="E951" s="1021"/>
      <c r="F951" s="1019">
        <v>948</v>
      </c>
      <c r="G951" s="609"/>
      <c r="H951" s="610"/>
      <c r="I951" s="611"/>
      <c r="J951" s="166">
        <f t="shared" si="581"/>
        <v>0</v>
      </c>
      <c r="K951" s="167">
        <f t="shared" si="582"/>
        <v>0</v>
      </c>
      <c r="L951" s="168">
        <f t="shared" si="583"/>
        <v>0</v>
      </c>
      <c r="M951" s="166">
        <f t="shared" si="584"/>
        <v>0</v>
      </c>
      <c r="N951" s="167">
        <f t="shared" si="585"/>
        <v>0</v>
      </c>
      <c r="O951" s="168">
        <f t="shared" si="586"/>
        <v>0</v>
      </c>
      <c r="P951" s="169">
        <f t="shared" si="587"/>
        <v>0</v>
      </c>
      <c r="Q951" s="169">
        <f t="shared" si="588"/>
        <v>0</v>
      </c>
      <c r="R951" s="169">
        <f t="shared" si="589"/>
        <v>0</v>
      </c>
      <c r="S951" s="584">
        <f t="shared" si="590"/>
        <v>0</v>
      </c>
      <c r="T951" s="594">
        <f t="shared" si="591"/>
        <v>0</v>
      </c>
      <c r="U951" s="595">
        <f t="shared" si="592"/>
        <v>0</v>
      </c>
      <c r="V951" s="166">
        <f t="shared" si="593"/>
        <v>0</v>
      </c>
      <c r="W951" s="167">
        <f t="shared" si="594"/>
        <v>0</v>
      </c>
      <c r="X951" s="168">
        <f t="shared" si="595"/>
        <v>0</v>
      </c>
      <c r="Y951" s="166">
        <f t="shared" si="596"/>
        <v>0</v>
      </c>
      <c r="Z951" s="167">
        <f t="shared" si="597"/>
        <v>0</v>
      </c>
      <c r="AA951" s="168">
        <f t="shared" si="598"/>
        <v>0</v>
      </c>
      <c r="AB951" s="166">
        <f t="shared" si="599"/>
        <v>0</v>
      </c>
      <c r="AC951" s="167">
        <f t="shared" si="600"/>
        <v>0</v>
      </c>
      <c r="AD951" s="168">
        <f t="shared" si="601"/>
        <v>0</v>
      </c>
      <c r="AE951" s="166">
        <f t="shared" si="602"/>
        <v>0</v>
      </c>
      <c r="AF951" s="167">
        <f t="shared" si="603"/>
        <v>0</v>
      </c>
      <c r="AG951" s="168">
        <f t="shared" si="604"/>
        <v>0</v>
      </c>
      <c r="AH951" s="166">
        <f t="shared" si="605"/>
        <v>0</v>
      </c>
      <c r="AI951" s="167">
        <f t="shared" si="606"/>
        <v>0</v>
      </c>
      <c r="AJ951" s="168">
        <f t="shared" si="607"/>
        <v>0</v>
      </c>
      <c r="AK951" s="169">
        <f t="shared" si="608"/>
        <v>0</v>
      </c>
      <c r="AL951" s="167">
        <f t="shared" si="609"/>
        <v>0</v>
      </c>
      <c r="AM951" s="585">
        <f t="shared" si="610"/>
        <v>0</v>
      </c>
      <c r="AN951" s="614"/>
      <c r="AO951" s="615"/>
      <c r="AP951" s="615"/>
      <c r="AQ951" s="616"/>
      <c r="AR951" s="612"/>
      <c r="AS951" s="617"/>
      <c r="AT951" s="618"/>
      <c r="AU951" s="618"/>
      <c r="AV951" s="618"/>
      <c r="AW951" s="619"/>
      <c r="AX951" s="614"/>
      <c r="AY951" s="616"/>
      <c r="AZ951" s="616"/>
      <c r="BA951" s="616"/>
      <c r="BB951" s="616"/>
      <c r="BC951" s="616"/>
      <c r="BD951" s="612"/>
      <c r="BE951" s="614"/>
      <c r="BF951" s="616"/>
      <c r="BG951" s="616"/>
      <c r="BH951" s="616"/>
      <c r="BI951" s="616"/>
      <c r="BJ951" s="616"/>
      <c r="BK951" s="1023"/>
      <c r="BL951" s="658"/>
    </row>
    <row r="952" spans="2:64">
      <c r="B952" s="1022"/>
      <c r="C952" s="607"/>
      <c r="D952" s="607"/>
      <c r="E952" s="1021"/>
      <c r="F952" s="608">
        <v>949</v>
      </c>
      <c r="G952" s="609"/>
      <c r="H952" s="610"/>
      <c r="I952" s="611"/>
      <c r="J952" s="166">
        <f t="shared" si="581"/>
        <v>0</v>
      </c>
      <c r="K952" s="167">
        <f t="shared" si="582"/>
        <v>0</v>
      </c>
      <c r="L952" s="168">
        <f t="shared" si="583"/>
        <v>0</v>
      </c>
      <c r="M952" s="166">
        <f t="shared" si="584"/>
        <v>0</v>
      </c>
      <c r="N952" s="167">
        <f t="shared" si="585"/>
        <v>0</v>
      </c>
      <c r="O952" s="168">
        <f t="shared" si="586"/>
        <v>0</v>
      </c>
      <c r="P952" s="169">
        <f t="shared" si="587"/>
        <v>0</v>
      </c>
      <c r="Q952" s="169">
        <f t="shared" si="588"/>
        <v>0</v>
      </c>
      <c r="R952" s="169">
        <f t="shared" si="589"/>
        <v>0</v>
      </c>
      <c r="S952" s="584">
        <f t="shared" si="590"/>
        <v>0</v>
      </c>
      <c r="T952" s="594">
        <f t="shared" si="591"/>
        <v>0</v>
      </c>
      <c r="U952" s="595">
        <f t="shared" si="592"/>
        <v>0</v>
      </c>
      <c r="V952" s="166">
        <f t="shared" si="593"/>
        <v>0</v>
      </c>
      <c r="W952" s="167">
        <f t="shared" si="594"/>
        <v>0</v>
      </c>
      <c r="X952" s="168">
        <f t="shared" si="595"/>
        <v>0</v>
      </c>
      <c r="Y952" s="166">
        <f t="shared" si="596"/>
        <v>0</v>
      </c>
      <c r="Z952" s="167">
        <f t="shared" si="597"/>
        <v>0</v>
      </c>
      <c r="AA952" s="168">
        <f t="shared" si="598"/>
        <v>0</v>
      </c>
      <c r="AB952" s="166">
        <f t="shared" si="599"/>
        <v>0</v>
      </c>
      <c r="AC952" s="167">
        <f t="shared" si="600"/>
        <v>0</v>
      </c>
      <c r="AD952" s="168">
        <f t="shared" si="601"/>
        <v>0</v>
      </c>
      <c r="AE952" s="166">
        <f t="shared" si="602"/>
        <v>0</v>
      </c>
      <c r="AF952" s="167">
        <f t="shared" si="603"/>
        <v>0</v>
      </c>
      <c r="AG952" s="168">
        <f t="shared" si="604"/>
        <v>0</v>
      </c>
      <c r="AH952" s="166">
        <f t="shared" si="605"/>
        <v>0</v>
      </c>
      <c r="AI952" s="167">
        <f t="shared" si="606"/>
        <v>0</v>
      </c>
      <c r="AJ952" s="168">
        <f t="shared" si="607"/>
        <v>0</v>
      </c>
      <c r="AK952" s="169">
        <f t="shared" si="608"/>
        <v>0</v>
      </c>
      <c r="AL952" s="167">
        <f t="shared" si="609"/>
        <v>0</v>
      </c>
      <c r="AM952" s="585">
        <f t="shared" si="610"/>
        <v>0</v>
      </c>
      <c r="AN952" s="614"/>
      <c r="AO952" s="615"/>
      <c r="AP952" s="615"/>
      <c r="AQ952" s="616"/>
      <c r="AR952" s="612"/>
      <c r="AS952" s="617"/>
      <c r="AT952" s="618"/>
      <c r="AU952" s="618"/>
      <c r="AV952" s="618"/>
      <c r="AW952" s="619"/>
      <c r="AX952" s="614"/>
      <c r="AY952" s="616"/>
      <c r="AZ952" s="616"/>
      <c r="BA952" s="616"/>
      <c r="BB952" s="616"/>
      <c r="BC952" s="616"/>
      <c r="BD952" s="612"/>
      <c r="BE952" s="614"/>
      <c r="BF952" s="616"/>
      <c r="BG952" s="616"/>
      <c r="BH952" s="616"/>
      <c r="BI952" s="616"/>
      <c r="BJ952" s="616"/>
      <c r="BK952" s="1023"/>
      <c r="BL952" s="658"/>
    </row>
    <row r="953" spans="2:64">
      <c r="B953" s="1022"/>
      <c r="C953" s="607"/>
      <c r="D953" s="607"/>
      <c r="E953" s="1021"/>
      <c r="F953" s="1019">
        <v>950</v>
      </c>
      <c r="G953" s="609"/>
      <c r="H953" s="610"/>
      <c r="I953" s="611"/>
      <c r="J953" s="166">
        <f t="shared" si="581"/>
        <v>0</v>
      </c>
      <c r="K953" s="167">
        <f t="shared" si="582"/>
        <v>0</v>
      </c>
      <c r="L953" s="168">
        <f t="shared" si="583"/>
        <v>0</v>
      </c>
      <c r="M953" s="166">
        <f t="shared" si="584"/>
        <v>0</v>
      </c>
      <c r="N953" s="167">
        <f t="shared" si="585"/>
        <v>0</v>
      </c>
      <c r="O953" s="168">
        <f t="shared" si="586"/>
        <v>0</v>
      </c>
      <c r="P953" s="169">
        <f t="shared" si="587"/>
        <v>0</v>
      </c>
      <c r="Q953" s="169">
        <f t="shared" si="588"/>
        <v>0</v>
      </c>
      <c r="R953" s="169">
        <f t="shared" si="589"/>
        <v>0</v>
      </c>
      <c r="S953" s="584">
        <f t="shared" si="590"/>
        <v>0</v>
      </c>
      <c r="T953" s="594">
        <f t="shared" si="591"/>
        <v>0</v>
      </c>
      <c r="U953" s="595">
        <f t="shared" si="592"/>
        <v>0</v>
      </c>
      <c r="V953" s="166">
        <f t="shared" si="593"/>
        <v>0</v>
      </c>
      <c r="W953" s="167">
        <f t="shared" si="594"/>
        <v>0</v>
      </c>
      <c r="X953" s="168">
        <f t="shared" si="595"/>
        <v>0</v>
      </c>
      <c r="Y953" s="166">
        <f t="shared" si="596"/>
        <v>0</v>
      </c>
      <c r="Z953" s="167">
        <f t="shared" si="597"/>
        <v>0</v>
      </c>
      <c r="AA953" s="168">
        <f t="shared" si="598"/>
        <v>0</v>
      </c>
      <c r="AB953" s="166">
        <f t="shared" si="599"/>
        <v>0</v>
      </c>
      <c r="AC953" s="167">
        <f t="shared" si="600"/>
        <v>0</v>
      </c>
      <c r="AD953" s="168">
        <f t="shared" si="601"/>
        <v>0</v>
      </c>
      <c r="AE953" s="166">
        <f t="shared" si="602"/>
        <v>0</v>
      </c>
      <c r="AF953" s="167">
        <f t="shared" si="603"/>
        <v>0</v>
      </c>
      <c r="AG953" s="168">
        <f t="shared" si="604"/>
        <v>0</v>
      </c>
      <c r="AH953" s="166">
        <f t="shared" si="605"/>
        <v>0</v>
      </c>
      <c r="AI953" s="167">
        <f t="shared" si="606"/>
        <v>0</v>
      </c>
      <c r="AJ953" s="168">
        <f t="shared" si="607"/>
        <v>0</v>
      </c>
      <c r="AK953" s="169">
        <f t="shared" si="608"/>
        <v>0</v>
      </c>
      <c r="AL953" s="167">
        <f t="shared" si="609"/>
        <v>0</v>
      </c>
      <c r="AM953" s="585">
        <f t="shared" si="610"/>
        <v>0</v>
      </c>
      <c r="AN953" s="614"/>
      <c r="AO953" s="615"/>
      <c r="AP953" s="615"/>
      <c r="AQ953" s="616"/>
      <c r="AR953" s="612"/>
      <c r="AS953" s="617"/>
      <c r="AT953" s="618"/>
      <c r="AU953" s="618"/>
      <c r="AV953" s="618"/>
      <c r="AW953" s="619"/>
      <c r="AX953" s="614"/>
      <c r="AY953" s="616"/>
      <c r="AZ953" s="616"/>
      <c r="BA953" s="616"/>
      <c r="BB953" s="616"/>
      <c r="BC953" s="616"/>
      <c r="BD953" s="612"/>
      <c r="BE953" s="614"/>
      <c r="BF953" s="616"/>
      <c r="BG953" s="616"/>
      <c r="BH953" s="616"/>
      <c r="BI953" s="616"/>
      <c r="BJ953" s="616"/>
      <c r="BK953" s="1023"/>
      <c r="BL953" s="658"/>
    </row>
    <row r="954" spans="2:64">
      <c r="B954" s="1022"/>
      <c r="C954" s="607"/>
      <c r="D954" s="607"/>
      <c r="E954" s="1021"/>
      <c r="F954" s="608">
        <v>951</v>
      </c>
      <c r="G954" s="609"/>
      <c r="H954" s="610"/>
      <c r="I954" s="611"/>
      <c r="J954" s="166">
        <f t="shared" si="581"/>
        <v>0</v>
      </c>
      <c r="K954" s="167">
        <f t="shared" si="582"/>
        <v>0</v>
      </c>
      <c r="L954" s="168">
        <f t="shared" si="583"/>
        <v>0</v>
      </c>
      <c r="M954" s="166">
        <f t="shared" si="584"/>
        <v>0</v>
      </c>
      <c r="N954" s="167">
        <f t="shared" si="585"/>
        <v>0</v>
      </c>
      <c r="O954" s="168">
        <f t="shared" si="586"/>
        <v>0</v>
      </c>
      <c r="P954" s="169">
        <f t="shared" si="587"/>
        <v>0</v>
      </c>
      <c r="Q954" s="169">
        <f t="shared" si="588"/>
        <v>0</v>
      </c>
      <c r="R954" s="169">
        <f t="shared" si="589"/>
        <v>0</v>
      </c>
      <c r="S954" s="584">
        <f t="shared" si="590"/>
        <v>0</v>
      </c>
      <c r="T954" s="594">
        <f t="shared" si="591"/>
        <v>0</v>
      </c>
      <c r="U954" s="595">
        <f t="shared" si="592"/>
        <v>0</v>
      </c>
      <c r="V954" s="166">
        <f t="shared" si="593"/>
        <v>0</v>
      </c>
      <c r="W954" s="167">
        <f t="shared" si="594"/>
        <v>0</v>
      </c>
      <c r="X954" s="168">
        <f t="shared" si="595"/>
        <v>0</v>
      </c>
      <c r="Y954" s="166">
        <f t="shared" si="596"/>
        <v>0</v>
      </c>
      <c r="Z954" s="167">
        <f t="shared" si="597"/>
        <v>0</v>
      </c>
      <c r="AA954" s="168">
        <f t="shared" si="598"/>
        <v>0</v>
      </c>
      <c r="AB954" s="166">
        <f t="shared" si="599"/>
        <v>0</v>
      </c>
      <c r="AC954" s="167">
        <f t="shared" si="600"/>
        <v>0</v>
      </c>
      <c r="AD954" s="168">
        <f t="shared" si="601"/>
        <v>0</v>
      </c>
      <c r="AE954" s="166">
        <f t="shared" si="602"/>
        <v>0</v>
      </c>
      <c r="AF954" s="167">
        <f t="shared" si="603"/>
        <v>0</v>
      </c>
      <c r="AG954" s="168">
        <f t="shared" si="604"/>
        <v>0</v>
      </c>
      <c r="AH954" s="166">
        <f t="shared" si="605"/>
        <v>0</v>
      </c>
      <c r="AI954" s="167">
        <f t="shared" si="606"/>
        <v>0</v>
      </c>
      <c r="AJ954" s="168">
        <f t="shared" si="607"/>
        <v>0</v>
      </c>
      <c r="AK954" s="169">
        <f t="shared" si="608"/>
        <v>0</v>
      </c>
      <c r="AL954" s="167">
        <f t="shared" si="609"/>
        <v>0</v>
      </c>
      <c r="AM954" s="585">
        <f t="shared" si="610"/>
        <v>0</v>
      </c>
      <c r="AN954" s="614"/>
      <c r="AO954" s="615"/>
      <c r="AP954" s="615"/>
      <c r="AQ954" s="616"/>
      <c r="AR954" s="612"/>
      <c r="AS954" s="617"/>
      <c r="AT954" s="618"/>
      <c r="AU954" s="618"/>
      <c r="AV954" s="618"/>
      <c r="AW954" s="619"/>
      <c r="AX954" s="614"/>
      <c r="AY954" s="616"/>
      <c r="AZ954" s="616"/>
      <c r="BA954" s="616"/>
      <c r="BB954" s="616"/>
      <c r="BC954" s="616"/>
      <c r="BD954" s="612"/>
      <c r="BE954" s="614"/>
      <c r="BF954" s="616"/>
      <c r="BG954" s="616"/>
      <c r="BH954" s="616"/>
      <c r="BI954" s="616"/>
      <c r="BJ954" s="616"/>
      <c r="BK954" s="1023"/>
      <c r="BL954" s="658"/>
    </row>
    <row r="955" spans="2:64">
      <c r="B955" s="1022"/>
      <c r="C955" s="607"/>
      <c r="D955" s="607"/>
      <c r="E955" s="1021"/>
      <c r="F955" s="1019">
        <v>952</v>
      </c>
      <c r="G955" s="609"/>
      <c r="H955" s="610"/>
      <c r="I955" s="611"/>
      <c r="J955" s="166">
        <f t="shared" si="581"/>
        <v>0</v>
      </c>
      <c r="K955" s="167">
        <f t="shared" si="582"/>
        <v>0</v>
      </c>
      <c r="L955" s="168">
        <f t="shared" si="583"/>
        <v>0</v>
      </c>
      <c r="M955" s="166">
        <f t="shared" si="584"/>
        <v>0</v>
      </c>
      <c r="N955" s="167">
        <f t="shared" si="585"/>
        <v>0</v>
      </c>
      <c r="O955" s="168">
        <f t="shared" si="586"/>
        <v>0</v>
      </c>
      <c r="P955" s="169">
        <f t="shared" si="587"/>
        <v>0</v>
      </c>
      <c r="Q955" s="169">
        <f t="shared" si="588"/>
        <v>0</v>
      </c>
      <c r="R955" s="169">
        <f t="shared" si="589"/>
        <v>0</v>
      </c>
      <c r="S955" s="584">
        <f t="shared" si="590"/>
        <v>0</v>
      </c>
      <c r="T955" s="594">
        <f t="shared" si="591"/>
        <v>0</v>
      </c>
      <c r="U955" s="595">
        <f t="shared" si="592"/>
        <v>0</v>
      </c>
      <c r="V955" s="166">
        <f t="shared" si="593"/>
        <v>0</v>
      </c>
      <c r="W955" s="167">
        <f t="shared" si="594"/>
        <v>0</v>
      </c>
      <c r="X955" s="168">
        <f t="shared" si="595"/>
        <v>0</v>
      </c>
      <c r="Y955" s="166">
        <f t="shared" si="596"/>
        <v>0</v>
      </c>
      <c r="Z955" s="167">
        <f t="shared" si="597"/>
        <v>0</v>
      </c>
      <c r="AA955" s="168">
        <f t="shared" si="598"/>
        <v>0</v>
      </c>
      <c r="AB955" s="166">
        <f t="shared" si="599"/>
        <v>0</v>
      </c>
      <c r="AC955" s="167">
        <f t="shared" si="600"/>
        <v>0</v>
      </c>
      <c r="AD955" s="168">
        <f t="shared" si="601"/>
        <v>0</v>
      </c>
      <c r="AE955" s="166">
        <f t="shared" si="602"/>
        <v>0</v>
      </c>
      <c r="AF955" s="167">
        <f t="shared" si="603"/>
        <v>0</v>
      </c>
      <c r="AG955" s="168">
        <f t="shared" si="604"/>
        <v>0</v>
      </c>
      <c r="AH955" s="166">
        <f t="shared" si="605"/>
        <v>0</v>
      </c>
      <c r="AI955" s="167">
        <f t="shared" si="606"/>
        <v>0</v>
      </c>
      <c r="AJ955" s="168">
        <f t="shared" si="607"/>
        <v>0</v>
      </c>
      <c r="AK955" s="169">
        <f t="shared" si="608"/>
        <v>0</v>
      </c>
      <c r="AL955" s="167">
        <f t="shared" si="609"/>
        <v>0</v>
      </c>
      <c r="AM955" s="585">
        <f t="shared" si="610"/>
        <v>0</v>
      </c>
      <c r="AN955" s="614"/>
      <c r="AO955" s="615"/>
      <c r="AP955" s="615"/>
      <c r="AQ955" s="616"/>
      <c r="AR955" s="612"/>
      <c r="AS955" s="617"/>
      <c r="AT955" s="618"/>
      <c r="AU955" s="618"/>
      <c r="AV955" s="618"/>
      <c r="AW955" s="619"/>
      <c r="AX955" s="614"/>
      <c r="AY955" s="616"/>
      <c r="AZ955" s="616"/>
      <c r="BA955" s="616"/>
      <c r="BB955" s="616"/>
      <c r="BC955" s="616"/>
      <c r="BD955" s="612"/>
      <c r="BE955" s="614"/>
      <c r="BF955" s="616"/>
      <c r="BG955" s="616"/>
      <c r="BH955" s="616"/>
      <c r="BI955" s="616"/>
      <c r="BJ955" s="616"/>
      <c r="BK955" s="1023"/>
      <c r="BL955" s="658"/>
    </row>
    <row r="956" spans="2:64">
      <c r="B956" s="1022"/>
      <c r="C956" s="607"/>
      <c r="D956" s="607"/>
      <c r="E956" s="1021"/>
      <c r="F956" s="608">
        <v>953</v>
      </c>
      <c r="G956" s="609"/>
      <c r="H956" s="610"/>
      <c r="I956" s="611"/>
      <c r="J956" s="166">
        <f t="shared" si="581"/>
        <v>0</v>
      </c>
      <c r="K956" s="167">
        <f t="shared" si="582"/>
        <v>0</v>
      </c>
      <c r="L956" s="168">
        <f t="shared" si="583"/>
        <v>0</v>
      </c>
      <c r="M956" s="166">
        <f t="shared" si="584"/>
        <v>0</v>
      </c>
      <c r="N956" s="167">
        <f t="shared" si="585"/>
        <v>0</v>
      </c>
      <c r="O956" s="168">
        <f t="shared" si="586"/>
        <v>0</v>
      </c>
      <c r="P956" s="169">
        <f t="shared" si="587"/>
        <v>0</v>
      </c>
      <c r="Q956" s="169">
        <f t="shared" si="588"/>
        <v>0</v>
      </c>
      <c r="R956" s="169">
        <f t="shared" si="589"/>
        <v>0</v>
      </c>
      <c r="S956" s="584">
        <f t="shared" si="590"/>
        <v>0</v>
      </c>
      <c r="T956" s="594">
        <f t="shared" si="591"/>
        <v>0</v>
      </c>
      <c r="U956" s="595">
        <f t="shared" si="592"/>
        <v>0</v>
      </c>
      <c r="V956" s="166">
        <f t="shared" si="593"/>
        <v>0</v>
      </c>
      <c r="W956" s="167">
        <f t="shared" si="594"/>
        <v>0</v>
      </c>
      <c r="X956" s="168">
        <f t="shared" si="595"/>
        <v>0</v>
      </c>
      <c r="Y956" s="166">
        <f t="shared" si="596"/>
        <v>0</v>
      </c>
      <c r="Z956" s="167">
        <f t="shared" si="597"/>
        <v>0</v>
      </c>
      <c r="AA956" s="168">
        <f t="shared" si="598"/>
        <v>0</v>
      </c>
      <c r="AB956" s="166">
        <f t="shared" si="599"/>
        <v>0</v>
      </c>
      <c r="AC956" s="167">
        <f t="shared" si="600"/>
        <v>0</v>
      </c>
      <c r="AD956" s="168">
        <f t="shared" si="601"/>
        <v>0</v>
      </c>
      <c r="AE956" s="166">
        <f t="shared" si="602"/>
        <v>0</v>
      </c>
      <c r="AF956" s="167">
        <f t="shared" si="603"/>
        <v>0</v>
      </c>
      <c r="AG956" s="168">
        <f t="shared" si="604"/>
        <v>0</v>
      </c>
      <c r="AH956" s="166">
        <f t="shared" si="605"/>
        <v>0</v>
      </c>
      <c r="AI956" s="167">
        <f t="shared" si="606"/>
        <v>0</v>
      </c>
      <c r="AJ956" s="168">
        <f t="shared" si="607"/>
        <v>0</v>
      </c>
      <c r="AK956" s="169">
        <f t="shared" si="608"/>
        <v>0</v>
      </c>
      <c r="AL956" s="167">
        <f t="shared" si="609"/>
        <v>0</v>
      </c>
      <c r="AM956" s="585">
        <f t="shared" si="610"/>
        <v>0</v>
      </c>
      <c r="AN956" s="614"/>
      <c r="AO956" s="615"/>
      <c r="AP956" s="615"/>
      <c r="AQ956" s="616"/>
      <c r="AR956" s="612"/>
      <c r="AS956" s="617"/>
      <c r="AT956" s="618"/>
      <c r="AU956" s="618"/>
      <c r="AV956" s="618"/>
      <c r="AW956" s="619"/>
      <c r="AX956" s="614"/>
      <c r="AY956" s="616"/>
      <c r="AZ956" s="616"/>
      <c r="BA956" s="616"/>
      <c r="BB956" s="616"/>
      <c r="BC956" s="616"/>
      <c r="BD956" s="612"/>
      <c r="BE956" s="614"/>
      <c r="BF956" s="616"/>
      <c r="BG956" s="616"/>
      <c r="BH956" s="616"/>
      <c r="BI956" s="616"/>
      <c r="BJ956" s="616"/>
      <c r="BK956" s="1023"/>
      <c r="BL956" s="658"/>
    </row>
    <row r="957" spans="2:64">
      <c r="B957" s="1022"/>
      <c r="C957" s="607"/>
      <c r="D957" s="607"/>
      <c r="E957" s="1021"/>
      <c r="F957" s="1019">
        <v>954</v>
      </c>
      <c r="G957" s="609"/>
      <c r="H957" s="610"/>
      <c r="I957" s="611"/>
      <c r="J957" s="166">
        <f t="shared" si="581"/>
        <v>0</v>
      </c>
      <c r="K957" s="167">
        <f t="shared" si="582"/>
        <v>0</v>
      </c>
      <c r="L957" s="168">
        <f t="shared" si="583"/>
        <v>0</v>
      </c>
      <c r="M957" s="166">
        <f t="shared" si="584"/>
        <v>0</v>
      </c>
      <c r="N957" s="167">
        <f t="shared" si="585"/>
        <v>0</v>
      </c>
      <c r="O957" s="168">
        <f t="shared" si="586"/>
        <v>0</v>
      </c>
      <c r="P957" s="169">
        <f t="shared" si="587"/>
        <v>0</v>
      </c>
      <c r="Q957" s="169">
        <f t="shared" si="588"/>
        <v>0</v>
      </c>
      <c r="R957" s="169">
        <f t="shared" si="589"/>
        <v>0</v>
      </c>
      <c r="S957" s="584">
        <f t="shared" si="590"/>
        <v>0</v>
      </c>
      <c r="T957" s="594">
        <f t="shared" si="591"/>
        <v>0</v>
      </c>
      <c r="U957" s="595">
        <f t="shared" si="592"/>
        <v>0</v>
      </c>
      <c r="V957" s="166">
        <f t="shared" si="593"/>
        <v>0</v>
      </c>
      <c r="W957" s="167">
        <f t="shared" si="594"/>
        <v>0</v>
      </c>
      <c r="X957" s="168">
        <f t="shared" si="595"/>
        <v>0</v>
      </c>
      <c r="Y957" s="166">
        <f t="shared" si="596"/>
        <v>0</v>
      </c>
      <c r="Z957" s="167">
        <f t="shared" si="597"/>
        <v>0</v>
      </c>
      <c r="AA957" s="168">
        <f t="shared" si="598"/>
        <v>0</v>
      </c>
      <c r="AB957" s="166">
        <f t="shared" si="599"/>
        <v>0</v>
      </c>
      <c r="AC957" s="167">
        <f t="shared" si="600"/>
        <v>0</v>
      </c>
      <c r="AD957" s="168">
        <f t="shared" si="601"/>
        <v>0</v>
      </c>
      <c r="AE957" s="166">
        <f t="shared" si="602"/>
        <v>0</v>
      </c>
      <c r="AF957" s="167">
        <f t="shared" si="603"/>
        <v>0</v>
      </c>
      <c r="AG957" s="168">
        <f t="shared" si="604"/>
        <v>0</v>
      </c>
      <c r="AH957" s="166">
        <f t="shared" si="605"/>
        <v>0</v>
      </c>
      <c r="AI957" s="167">
        <f t="shared" si="606"/>
        <v>0</v>
      </c>
      <c r="AJ957" s="168">
        <f t="shared" si="607"/>
        <v>0</v>
      </c>
      <c r="AK957" s="169">
        <f t="shared" si="608"/>
        <v>0</v>
      </c>
      <c r="AL957" s="167">
        <f t="shared" si="609"/>
        <v>0</v>
      </c>
      <c r="AM957" s="585">
        <f t="shared" si="610"/>
        <v>0</v>
      </c>
      <c r="AN957" s="614"/>
      <c r="AO957" s="615"/>
      <c r="AP957" s="615"/>
      <c r="AQ957" s="616"/>
      <c r="AR957" s="612"/>
      <c r="AS957" s="617"/>
      <c r="AT957" s="618"/>
      <c r="AU957" s="618"/>
      <c r="AV957" s="618"/>
      <c r="AW957" s="619"/>
      <c r="AX957" s="614"/>
      <c r="AY957" s="616"/>
      <c r="AZ957" s="616"/>
      <c r="BA957" s="616"/>
      <c r="BB957" s="616"/>
      <c r="BC957" s="616"/>
      <c r="BD957" s="612"/>
      <c r="BE957" s="614"/>
      <c r="BF957" s="616"/>
      <c r="BG957" s="616"/>
      <c r="BH957" s="616"/>
      <c r="BI957" s="616"/>
      <c r="BJ957" s="616"/>
      <c r="BK957" s="1023"/>
      <c r="BL957" s="658"/>
    </row>
    <row r="958" spans="2:64">
      <c r="B958" s="1022"/>
      <c r="C958" s="607"/>
      <c r="D958" s="607"/>
      <c r="E958" s="1021"/>
      <c r="F958" s="608">
        <v>955</v>
      </c>
      <c r="G958" s="609"/>
      <c r="H958" s="610"/>
      <c r="I958" s="611"/>
      <c r="J958" s="166">
        <f t="shared" si="581"/>
        <v>0</v>
      </c>
      <c r="K958" s="167">
        <f t="shared" si="582"/>
        <v>0</v>
      </c>
      <c r="L958" s="168">
        <f t="shared" si="583"/>
        <v>0</v>
      </c>
      <c r="M958" s="166">
        <f t="shared" si="584"/>
        <v>0</v>
      </c>
      <c r="N958" s="167">
        <f t="shared" si="585"/>
        <v>0</v>
      </c>
      <c r="O958" s="168">
        <f t="shared" si="586"/>
        <v>0</v>
      </c>
      <c r="P958" s="169">
        <f t="shared" si="587"/>
        <v>0</v>
      </c>
      <c r="Q958" s="169">
        <f t="shared" si="588"/>
        <v>0</v>
      </c>
      <c r="R958" s="169">
        <f t="shared" si="589"/>
        <v>0</v>
      </c>
      <c r="S958" s="584">
        <f t="shared" si="590"/>
        <v>0</v>
      </c>
      <c r="T958" s="594">
        <f t="shared" si="591"/>
        <v>0</v>
      </c>
      <c r="U958" s="595">
        <f t="shared" si="592"/>
        <v>0</v>
      </c>
      <c r="V958" s="166">
        <f t="shared" si="593"/>
        <v>0</v>
      </c>
      <c r="W958" s="167">
        <f t="shared" si="594"/>
        <v>0</v>
      </c>
      <c r="X958" s="168">
        <f t="shared" si="595"/>
        <v>0</v>
      </c>
      <c r="Y958" s="166">
        <f t="shared" si="596"/>
        <v>0</v>
      </c>
      <c r="Z958" s="167">
        <f t="shared" si="597"/>
        <v>0</v>
      </c>
      <c r="AA958" s="168">
        <f t="shared" si="598"/>
        <v>0</v>
      </c>
      <c r="AB958" s="166">
        <f t="shared" si="599"/>
        <v>0</v>
      </c>
      <c r="AC958" s="167">
        <f t="shared" si="600"/>
        <v>0</v>
      </c>
      <c r="AD958" s="168">
        <f t="shared" si="601"/>
        <v>0</v>
      </c>
      <c r="AE958" s="166">
        <f t="shared" si="602"/>
        <v>0</v>
      </c>
      <c r="AF958" s="167">
        <f t="shared" si="603"/>
        <v>0</v>
      </c>
      <c r="AG958" s="168">
        <f t="shared" si="604"/>
        <v>0</v>
      </c>
      <c r="AH958" s="166">
        <f t="shared" si="605"/>
        <v>0</v>
      </c>
      <c r="AI958" s="167">
        <f t="shared" si="606"/>
        <v>0</v>
      </c>
      <c r="AJ958" s="168">
        <f t="shared" si="607"/>
        <v>0</v>
      </c>
      <c r="AK958" s="169">
        <f t="shared" si="608"/>
        <v>0</v>
      </c>
      <c r="AL958" s="167">
        <f t="shared" si="609"/>
        <v>0</v>
      </c>
      <c r="AM958" s="585">
        <f t="shared" si="610"/>
        <v>0</v>
      </c>
      <c r="AN958" s="614"/>
      <c r="AO958" s="615"/>
      <c r="AP958" s="615"/>
      <c r="AQ958" s="616"/>
      <c r="AR958" s="612"/>
      <c r="AS958" s="617"/>
      <c r="AT958" s="618"/>
      <c r="AU958" s="618"/>
      <c r="AV958" s="618"/>
      <c r="AW958" s="619"/>
      <c r="AX958" s="614"/>
      <c r="AY958" s="616"/>
      <c r="AZ958" s="616"/>
      <c r="BA958" s="616"/>
      <c r="BB958" s="616"/>
      <c r="BC958" s="616"/>
      <c r="BD958" s="612"/>
      <c r="BE958" s="614"/>
      <c r="BF958" s="616"/>
      <c r="BG958" s="616"/>
      <c r="BH958" s="616"/>
      <c r="BI958" s="616"/>
      <c r="BJ958" s="616"/>
      <c r="BK958" s="1023"/>
      <c r="BL958" s="658"/>
    </row>
    <row r="959" spans="2:64">
      <c r="B959" s="1022"/>
      <c r="C959" s="607"/>
      <c r="D959" s="607"/>
      <c r="E959" s="1021"/>
      <c r="F959" s="1019">
        <v>956</v>
      </c>
      <c r="G959" s="609"/>
      <c r="H959" s="610"/>
      <c r="I959" s="611"/>
      <c r="J959" s="166">
        <f t="shared" si="581"/>
        <v>0</v>
      </c>
      <c r="K959" s="167">
        <f t="shared" si="582"/>
        <v>0</v>
      </c>
      <c r="L959" s="168">
        <f t="shared" si="583"/>
        <v>0</v>
      </c>
      <c r="M959" s="166">
        <f t="shared" si="584"/>
        <v>0</v>
      </c>
      <c r="N959" s="167">
        <f t="shared" si="585"/>
        <v>0</v>
      </c>
      <c r="O959" s="168">
        <f t="shared" si="586"/>
        <v>0</v>
      </c>
      <c r="P959" s="169">
        <f t="shared" si="587"/>
        <v>0</v>
      </c>
      <c r="Q959" s="169">
        <f t="shared" si="588"/>
        <v>0</v>
      </c>
      <c r="R959" s="169">
        <f t="shared" si="589"/>
        <v>0</v>
      </c>
      <c r="S959" s="584">
        <f t="shared" si="590"/>
        <v>0</v>
      </c>
      <c r="T959" s="594">
        <f t="shared" si="591"/>
        <v>0</v>
      </c>
      <c r="U959" s="595">
        <f t="shared" si="592"/>
        <v>0</v>
      </c>
      <c r="V959" s="166">
        <f t="shared" si="593"/>
        <v>0</v>
      </c>
      <c r="W959" s="167">
        <f t="shared" si="594"/>
        <v>0</v>
      </c>
      <c r="X959" s="168">
        <f t="shared" si="595"/>
        <v>0</v>
      </c>
      <c r="Y959" s="166">
        <f t="shared" si="596"/>
        <v>0</v>
      </c>
      <c r="Z959" s="167">
        <f t="shared" si="597"/>
        <v>0</v>
      </c>
      <c r="AA959" s="168">
        <f t="shared" si="598"/>
        <v>0</v>
      </c>
      <c r="AB959" s="166">
        <f t="shared" si="599"/>
        <v>0</v>
      </c>
      <c r="AC959" s="167">
        <f t="shared" si="600"/>
        <v>0</v>
      </c>
      <c r="AD959" s="168">
        <f t="shared" si="601"/>
        <v>0</v>
      </c>
      <c r="AE959" s="166">
        <f t="shared" si="602"/>
        <v>0</v>
      </c>
      <c r="AF959" s="167">
        <f t="shared" si="603"/>
        <v>0</v>
      </c>
      <c r="AG959" s="168">
        <f t="shared" si="604"/>
        <v>0</v>
      </c>
      <c r="AH959" s="166">
        <f t="shared" si="605"/>
        <v>0</v>
      </c>
      <c r="AI959" s="167">
        <f t="shared" si="606"/>
        <v>0</v>
      </c>
      <c r="AJ959" s="168">
        <f t="shared" si="607"/>
        <v>0</v>
      </c>
      <c r="AK959" s="169">
        <f t="shared" si="608"/>
        <v>0</v>
      </c>
      <c r="AL959" s="167">
        <f t="shared" si="609"/>
        <v>0</v>
      </c>
      <c r="AM959" s="585">
        <f t="shared" si="610"/>
        <v>0</v>
      </c>
      <c r="AN959" s="614"/>
      <c r="AO959" s="615"/>
      <c r="AP959" s="615"/>
      <c r="AQ959" s="616"/>
      <c r="AR959" s="612"/>
      <c r="AS959" s="617"/>
      <c r="AT959" s="618"/>
      <c r="AU959" s="618"/>
      <c r="AV959" s="618"/>
      <c r="AW959" s="619"/>
      <c r="AX959" s="614"/>
      <c r="AY959" s="616"/>
      <c r="AZ959" s="616"/>
      <c r="BA959" s="616"/>
      <c r="BB959" s="616"/>
      <c r="BC959" s="616"/>
      <c r="BD959" s="612"/>
      <c r="BE959" s="614"/>
      <c r="BF959" s="616"/>
      <c r="BG959" s="616"/>
      <c r="BH959" s="616"/>
      <c r="BI959" s="616"/>
      <c r="BJ959" s="616"/>
      <c r="BK959" s="1023"/>
      <c r="BL959" s="658"/>
    </row>
    <row r="960" spans="2:64">
      <c r="B960" s="1022"/>
      <c r="C960" s="607"/>
      <c r="D960" s="607"/>
      <c r="E960" s="1021"/>
      <c r="F960" s="608">
        <v>957</v>
      </c>
      <c r="G960" s="609"/>
      <c r="H960" s="610"/>
      <c r="I960" s="611"/>
      <c r="J960" s="166">
        <f t="shared" si="581"/>
        <v>0</v>
      </c>
      <c r="K960" s="167">
        <f t="shared" si="582"/>
        <v>0</v>
      </c>
      <c r="L960" s="168">
        <f t="shared" si="583"/>
        <v>0</v>
      </c>
      <c r="M960" s="166">
        <f t="shared" si="584"/>
        <v>0</v>
      </c>
      <c r="N960" s="167">
        <f t="shared" si="585"/>
        <v>0</v>
      </c>
      <c r="O960" s="168">
        <f t="shared" si="586"/>
        <v>0</v>
      </c>
      <c r="P960" s="169">
        <f t="shared" si="587"/>
        <v>0</v>
      </c>
      <c r="Q960" s="169">
        <f t="shared" si="588"/>
        <v>0</v>
      </c>
      <c r="R960" s="169">
        <f t="shared" si="589"/>
        <v>0</v>
      </c>
      <c r="S960" s="584">
        <f t="shared" si="590"/>
        <v>0</v>
      </c>
      <c r="T960" s="594">
        <f t="shared" si="591"/>
        <v>0</v>
      </c>
      <c r="U960" s="595">
        <f t="shared" si="592"/>
        <v>0</v>
      </c>
      <c r="V960" s="166">
        <f t="shared" si="593"/>
        <v>0</v>
      </c>
      <c r="W960" s="167">
        <f t="shared" si="594"/>
        <v>0</v>
      </c>
      <c r="X960" s="168">
        <f t="shared" si="595"/>
        <v>0</v>
      </c>
      <c r="Y960" s="166">
        <f t="shared" si="596"/>
        <v>0</v>
      </c>
      <c r="Z960" s="167">
        <f t="shared" si="597"/>
        <v>0</v>
      </c>
      <c r="AA960" s="168">
        <f t="shared" si="598"/>
        <v>0</v>
      </c>
      <c r="AB960" s="166">
        <f t="shared" si="599"/>
        <v>0</v>
      </c>
      <c r="AC960" s="167">
        <f t="shared" si="600"/>
        <v>0</v>
      </c>
      <c r="AD960" s="168">
        <f t="shared" si="601"/>
        <v>0</v>
      </c>
      <c r="AE960" s="166">
        <f t="shared" si="602"/>
        <v>0</v>
      </c>
      <c r="AF960" s="167">
        <f t="shared" si="603"/>
        <v>0</v>
      </c>
      <c r="AG960" s="168">
        <f t="shared" si="604"/>
        <v>0</v>
      </c>
      <c r="AH960" s="166">
        <f t="shared" si="605"/>
        <v>0</v>
      </c>
      <c r="AI960" s="167">
        <f t="shared" si="606"/>
        <v>0</v>
      </c>
      <c r="AJ960" s="168">
        <f t="shared" si="607"/>
        <v>0</v>
      </c>
      <c r="AK960" s="169">
        <f t="shared" si="608"/>
        <v>0</v>
      </c>
      <c r="AL960" s="167">
        <f t="shared" si="609"/>
        <v>0</v>
      </c>
      <c r="AM960" s="585">
        <f t="shared" si="610"/>
        <v>0</v>
      </c>
      <c r="AN960" s="614"/>
      <c r="AO960" s="615"/>
      <c r="AP960" s="615"/>
      <c r="AQ960" s="616"/>
      <c r="AR960" s="612"/>
      <c r="AS960" s="617"/>
      <c r="AT960" s="618"/>
      <c r="AU960" s="618"/>
      <c r="AV960" s="618"/>
      <c r="AW960" s="619"/>
      <c r="AX960" s="614"/>
      <c r="AY960" s="616"/>
      <c r="AZ960" s="616"/>
      <c r="BA960" s="616"/>
      <c r="BB960" s="616"/>
      <c r="BC960" s="616"/>
      <c r="BD960" s="612"/>
      <c r="BE960" s="614"/>
      <c r="BF960" s="616"/>
      <c r="BG960" s="616"/>
      <c r="BH960" s="616"/>
      <c r="BI960" s="616"/>
      <c r="BJ960" s="616"/>
      <c r="BK960" s="1023"/>
      <c r="BL960" s="658"/>
    </row>
    <row r="961" spans="2:64">
      <c r="B961" s="1022"/>
      <c r="C961" s="607"/>
      <c r="D961" s="607"/>
      <c r="E961" s="1021"/>
      <c r="F961" s="1019">
        <v>958</v>
      </c>
      <c r="G961" s="609"/>
      <c r="H961" s="610"/>
      <c r="I961" s="611"/>
      <c r="J961" s="166">
        <f t="shared" si="581"/>
        <v>0</v>
      </c>
      <c r="K961" s="167">
        <f t="shared" si="582"/>
        <v>0</v>
      </c>
      <c r="L961" s="168">
        <f t="shared" si="583"/>
        <v>0</v>
      </c>
      <c r="M961" s="166">
        <f t="shared" si="584"/>
        <v>0</v>
      </c>
      <c r="N961" s="167">
        <f t="shared" si="585"/>
        <v>0</v>
      </c>
      <c r="O961" s="168">
        <f t="shared" si="586"/>
        <v>0</v>
      </c>
      <c r="P961" s="169">
        <f t="shared" si="587"/>
        <v>0</v>
      </c>
      <c r="Q961" s="169">
        <f t="shared" si="588"/>
        <v>0</v>
      </c>
      <c r="R961" s="169">
        <f t="shared" si="589"/>
        <v>0</v>
      </c>
      <c r="S961" s="584">
        <f t="shared" si="590"/>
        <v>0</v>
      </c>
      <c r="T961" s="594">
        <f t="shared" si="591"/>
        <v>0</v>
      </c>
      <c r="U961" s="595">
        <f t="shared" si="592"/>
        <v>0</v>
      </c>
      <c r="V961" s="166">
        <f t="shared" si="593"/>
        <v>0</v>
      </c>
      <c r="W961" s="167">
        <f t="shared" si="594"/>
        <v>0</v>
      </c>
      <c r="X961" s="168">
        <f t="shared" si="595"/>
        <v>0</v>
      </c>
      <c r="Y961" s="166">
        <f t="shared" si="596"/>
        <v>0</v>
      </c>
      <c r="Z961" s="167">
        <f t="shared" si="597"/>
        <v>0</v>
      </c>
      <c r="AA961" s="168">
        <f t="shared" si="598"/>
        <v>0</v>
      </c>
      <c r="AB961" s="166">
        <f t="shared" si="599"/>
        <v>0</v>
      </c>
      <c r="AC961" s="167">
        <f t="shared" si="600"/>
        <v>0</v>
      </c>
      <c r="AD961" s="168">
        <f t="shared" si="601"/>
        <v>0</v>
      </c>
      <c r="AE961" s="166">
        <f t="shared" si="602"/>
        <v>0</v>
      </c>
      <c r="AF961" s="167">
        <f t="shared" si="603"/>
        <v>0</v>
      </c>
      <c r="AG961" s="168">
        <f t="shared" si="604"/>
        <v>0</v>
      </c>
      <c r="AH961" s="166">
        <f t="shared" si="605"/>
        <v>0</v>
      </c>
      <c r="AI961" s="167">
        <f t="shared" si="606"/>
        <v>0</v>
      </c>
      <c r="AJ961" s="168">
        <f t="shared" si="607"/>
        <v>0</v>
      </c>
      <c r="AK961" s="169">
        <f t="shared" si="608"/>
        <v>0</v>
      </c>
      <c r="AL961" s="167">
        <f t="shared" si="609"/>
        <v>0</v>
      </c>
      <c r="AM961" s="585">
        <f t="shared" si="610"/>
        <v>0</v>
      </c>
      <c r="AN961" s="614"/>
      <c r="AO961" s="615"/>
      <c r="AP961" s="615"/>
      <c r="AQ961" s="616"/>
      <c r="AR961" s="612"/>
      <c r="AS961" s="617"/>
      <c r="AT961" s="618"/>
      <c r="AU961" s="618"/>
      <c r="AV961" s="618"/>
      <c r="AW961" s="619"/>
      <c r="AX961" s="614"/>
      <c r="AY961" s="616"/>
      <c r="AZ961" s="616"/>
      <c r="BA961" s="616"/>
      <c r="BB961" s="616"/>
      <c r="BC961" s="616"/>
      <c r="BD961" s="612"/>
      <c r="BE961" s="614"/>
      <c r="BF961" s="616"/>
      <c r="BG961" s="616"/>
      <c r="BH961" s="616"/>
      <c r="BI961" s="616"/>
      <c r="BJ961" s="616"/>
      <c r="BK961" s="1023"/>
      <c r="BL961" s="658"/>
    </row>
    <row r="962" spans="2:64">
      <c r="B962" s="1022"/>
      <c r="C962" s="607"/>
      <c r="D962" s="607"/>
      <c r="E962" s="1021"/>
      <c r="F962" s="608">
        <v>959</v>
      </c>
      <c r="G962" s="609"/>
      <c r="H962" s="610"/>
      <c r="I962" s="611"/>
      <c r="J962" s="166">
        <f t="shared" si="581"/>
        <v>0</v>
      </c>
      <c r="K962" s="167">
        <f t="shared" si="582"/>
        <v>0</v>
      </c>
      <c r="L962" s="168">
        <f t="shared" si="583"/>
        <v>0</v>
      </c>
      <c r="M962" s="166">
        <f t="shared" si="584"/>
        <v>0</v>
      </c>
      <c r="N962" s="167">
        <f t="shared" si="585"/>
        <v>0</v>
      </c>
      <c r="O962" s="168">
        <f t="shared" si="586"/>
        <v>0</v>
      </c>
      <c r="P962" s="169">
        <f t="shared" si="587"/>
        <v>0</v>
      </c>
      <c r="Q962" s="169">
        <f t="shared" si="588"/>
        <v>0</v>
      </c>
      <c r="R962" s="169">
        <f t="shared" si="589"/>
        <v>0</v>
      </c>
      <c r="S962" s="584">
        <f t="shared" si="590"/>
        <v>0</v>
      </c>
      <c r="T962" s="594">
        <f t="shared" si="591"/>
        <v>0</v>
      </c>
      <c r="U962" s="595">
        <f t="shared" si="592"/>
        <v>0</v>
      </c>
      <c r="V962" s="166">
        <f t="shared" si="593"/>
        <v>0</v>
      </c>
      <c r="W962" s="167">
        <f t="shared" si="594"/>
        <v>0</v>
      </c>
      <c r="X962" s="168">
        <f t="shared" si="595"/>
        <v>0</v>
      </c>
      <c r="Y962" s="166">
        <f t="shared" si="596"/>
        <v>0</v>
      </c>
      <c r="Z962" s="167">
        <f t="shared" si="597"/>
        <v>0</v>
      </c>
      <c r="AA962" s="168">
        <f t="shared" si="598"/>
        <v>0</v>
      </c>
      <c r="AB962" s="166">
        <f t="shared" si="599"/>
        <v>0</v>
      </c>
      <c r="AC962" s="167">
        <f t="shared" si="600"/>
        <v>0</v>
      </c>
      <c r="AD962" s="168">
        <f t="shared" si="601"/>
        <v>0</v>
      </c>
      <c r="AE962" s="166">
        <f t="shared" si="602"/>
        <v>0</v>
      </c>
      <c r="AF962" s="167">
        <f t="shared" si="603"/>
        <v>0</v>
      </c>
      <c r="AG962" s="168">
        <f t="shared" si="604"/>
        <v>0</v>
      </c>
      <c r="AH962" s="166">
        <f t="shared" si="605"/>
        <v>0</v>
      </c>
      <c r="AI962" s="167">
        <f t="shared" si="606"/>
        <v>0</v>
      </c>
      <c r="AJ962" s="168">
        <f t="shared" si="607"/>
        <v>0</v>
      </c>
      <c r="AK962" s="169">
        <f t="shared" si="608"/>
        <v>0</v>
      </c>
      <c r="AL962" s="167">
        <f t="shared" si="609"/>
        <v>0</v>
      </c>
      <c r="AM962" s="585">
        <f t="shared" si="610"/>
        <v>0</v>
      </c>
      <c r="AN962" s="614"/>
      <c r="AO962" s="615"/>
      <c r="AP962" s="615"/>
      <c r="AQ962" s="616"/>
      <c r="AR962" s="612"/>
      <c r="AS962" s="617"/>
      <c r="AT962" s="618"/>
      <c r="AU962" s="618"/>
      <c r="AV962" s="618"/>
      <c r="AW962" s="619"/>
      <c r="AX962" s="614"/>
      <c r="AY962" s="616"/>
      <c r="AZ962" s="616"/>
      <c r="BA962" s="616"/>
      <c r="BB962" s="616"/>
      <c r="BC962" s="616"/>
      <c r="BD962" s="612"/>
      <c r="BE962" s="614"/>
      <c r="BF962" s="616"/>
      <c r="BG962" s="616"/>
      <c r="BH962" s="616"/>
      <c r="BI962" s="616"/>
      <c r="BJ962" s="616"/>
      <c r="BK962" s="1023"/>
      <c r="BL962" s="658"/>
    </row>
    <row r="963" spans="2:64">
      <c r="B963" s="1022"/>
      <c r="C963" s="607"/>
      <c r="D963" s="607"/>
      <c r="E963" s="1021"/>
      <c r="F963" s="1019">
        <v>960</v>
      </c>
      <c r="G963" s="609"/>
      <c r="H963" s="610"/>
      <c r="I963" s="611"/>
      <c r="J963" s="166">
        <f t="shared" si="581"/>
        <v>0</v>
      </c>
      <c r="K963" s="167">
        <f t="shared" si="582"/>
        <v>0</v>
      </c>
      <c r="L963" s="168">
        <f t="shared" si="583"/>
        <v>0</v>
      </c>
      <c r="M963" s="166">
        <f t="shared" si="584"/>
        <v>0</v>
      </c>
      <c r="N963" s="167">
        <f t="shared" si="585"/>
        <v>0</v>
      </c>
      <c r="O963" s="168">
        <f t="shared" si="586"/>
        <v>0</v>
      </c>
      <c r="P963" s="169">
        <f t="shared" si="587"/>
        <v>0</v>
      </c>
      <c r="Q963" s="169">
        <f t="shared" si="588"/>
        <v>0</v>
      </c>
      <c r="R963" s="169">
        <f t="shared" si="589"/>
        <v>0</v>
      </c>
      <c r="S963" s="584">
        <f t="shared" si="590"/>
        <v>0</v>
      </c>
      <c r="T963" s="594">
        <f t="shared" si="591"/>
        <v>0</v>
      </c>
      <c r="U963" s="595">
        <f t="shared" si="592"/>
        <v>0</v>
      </c>
      <c r="V963" s="166">
        <f t="shared" si="593"/>
        <v>0</v>
      </c>
      <c r="W963" s="167">
        <f t="shared" si="594"/>
        <v>0</v>
      </c>
      <c r="X963" s="168">
        <f t="shared" si="595"/>
        <v>0</v>
      </c>
      <c r="Y963" s="166">
        <f t="shared" si="596"/>
        <v>0</v>
      </c>
      <c r="Z963" s="167">
        <f t="shared" si="597"/>
        <v>0</v>
      </c>
      <c r="AA963" s="168">
        <f t="shared" si="598"/>
        <v>0</v>
      </c>
      <c r="AB963" s="166">
        <f t="shared" si="599"/>
        <v>0</v>
      </c>
      <c r="AC963" s="167">
        <f t="shared" si="600"/>
        <v>0</v>
      </c>
      <c r="AD963" s="168">
        <f t="shared" si="601"/>
        <v>0</v>
      </c>
      <c r="AE963" s="166">
        <f t="shared" si="602"/>
        <v>0</v>
      </c>
      <c r="AF963" s="167">
        <f t="shared" si="603"/>
        <v>0</v>
      </c>
      <c r="AG963" s="168">
        <f t="shared" si="604"/>
        <v>0</v>
      </c>
      <c r="AH963" s="166">
        <f t="shared" si="605"/>
        <v>0</v>
      </c>
      <c r="AI963" s="167">
        <f t="shared" si="606"/>
        <v>0</v>
      </c>
      <c r="AJ963" s="168">
        <f t="shared" si="607"/>
        <v>0</v>
      </c>
      <c r="AK963" s="169">
        <f t="shared" si="608"/>
        <v>0</v>
      </c>
      <c r="AL963" s="167">
        <f t="shared" si="609"/>
        <v>0</v>
      </c>
      <c r="AM963" s="585">
        <f t="shared" si="610"/>
        <v>0</v>
      </c>
      <c r="AN963" s="614"/>
      <c r="AO963" s="615"/>
      <c r="AP963" s="615"/>
      <c r="AQ963" s="616"/>
      <c r="AR963" s="612"/>
      <c r="AS963" s="617"/>
      <c r="AT963" s="618"/>
      <c r="AU963" s="618"/>
      <c r="AV963" s="618"/>
      <c r="AW963" s="619"/>
      <c r="AX963" s="614"/>
      <c r="AY963" s="616"/>
      <c r="AZ963" s="616"/>
      <c r="BA963" s="616"/>
      <c r="BB963" s="616"/>
      <c r="BC963" s="616"/>
      <c r="BD963" s="612"/>
      <c r="BE963" s="614"/>
      <c r="BF963" s="616"/>
      <c r="BG963" s="616"/>
      <c r="BH963" s="616"/>
      <c r="BI963" s="616"/>
      <c r="BJ963" s="616"/>
      <c r="BK963" s="1023"/>
      <c r="BL963" s="658"/>
    </row>
    <row r="964" spans="2:64">
      <c r="B964" s="1022"/>
      <c r="C964" s="607"/>
      <c r="D964" s="607"/>
      <c r="E964" s="1021"/>
      <c r="F964" s="608">
        <v>961</v>
      </c>
      <c r="G964" s="609"/>
      <c r="H964" s="610"/>
      <c r="I964" s="611"/>
      <c r="J964" s="166">
        <f t="shared" ref="J964:J999" si="611">INT(G964/50+0.05)</f>
        <v>0</v>
      </c>
      <c r="K964" s="167">
        <f t="shared" ref="K964:K999" si="612">INT(H964/50+0.05)</f>
        <v>0</v>
      </c>
      <c r="L964" s="168">
        <f t="shared" ref="L964:L999" si="613">INT(I964/50+0.05)</f>
        <v>0</v>
      </c>
      <c r="M964" s="166">
        <f t="shared" ref="M964:M999" si="614">INT(IF($C964="UR",IF($E964="party卡",G964*0.0270833333333333,G964*0.025),0)+IF($C964="SR",G964*0.03,0)+IF($C964="R",G964*0.0375,0)+0.05)</f>
        <v>0</v>
      </c>
      <c r="N964" s="167">
        <f t="shared" ref="N964:N999" si="615">INT(IF($C964="UR",IF($E964="party卡",H964*0.0270833333333333,H964*0.025),0)+IF($C964="SR",H964*0.03,0)+IF($C964="R",H964*0.0375,0)+0.05)</f>
        <v>0</v>
      </c>
      <c r="O964" s="168">
        <f t="shared" ref="O964:O999" si="616">INT(IF($C964="UR",IF($E964="party卡",I964*0.0270833333333333,I964*0.025),0)+IF($C964="SR",I964*0.03,0)+IF($C964="R",I964*0.0375,0)+0.05)</f>
        <v>0</v>
      </c>
      <c r="P964" s="169">
        <f t="shared" ref="P964:P999" si="617">INT(IF($C964="UR",IF($E964="party卡",G964*0.04375,G964*0.0375),0)+IF($C964="SR",G964*0.04,0)+IF($C964="R",G964*0.05,0)+0.05)</f>
        <v>0</v>
      </c>
      <c r="Q964" s="169">
        <f t="shared" ref="Q964:Q999" si="618">INT(IF($C964="UR",IF($E964="party卡",H964*0.04375,H964*0.0375),0)+IF($C964="SR",H964*0.04,0)+IF($C964="R",H964*0.05,0)+0.05)</f>
        <v>0</v>
      </c>
      <c r="R964" s="169">
        <f t="shared" ref="R964:R999" si="619">INT(IF($C964="UR",IF($E964="party卡",I964*0.04375,I964*0.0375),0)+IF($C964="SR",I964*0.04,0)+IF($C964="R",I964*0.05,0)+0.05)</f>
        <v>0</v>
      </c>
      <c r="S964" s="584">
        <f t="shared" si="590"/>
        <v>0</v>
      </c>
      <c r="T964" s="594">
        <f t="shared" si="591"/>
        <v>0</v>
      </c>
      <c r="U964" s="595">
        <f t="shared" si="592"/>
        <v>0</v>
      </c>
      <c r="V964" s="166">
        <f t="shared" si="593"/>
        <v>0</v>
      </c>
      <c r="W964" s="167">
        <f t="shared" si="594"/>
        <v>0</v>
      </c>
      <c r="X964" s="168">
        <f t="shared" si="595"/>
        <v>0</v>
      </c>
      <c r="Y964" s="166">
        <f t="shared" si="596"/>
        <v>0</v>
      </c>
      <c r="Z964" s="167">
        <f t="shared" si="597"/>
        <v>0</v>
      </c>
      <c r="AA964" s="168">
        <f t="shared" si="598"/>
        <v>0</v>
      </c>
      <c r="AB964" s="166">
        <f t="shared" si="599"/>
        <v>0</v>
      </c>
      <c r="AC964" s="167">
        <f t="shared" si="600"/>
        <v>0</v>
      </c>
      <c r="AD964" s="168">
        <f t="shared" si="601"/>
        <v>0</v>
      </c>
      <c r="AE964" s="166">
        <f t="shared" si="602"/>
        <v>0</v>
      </c>
      <c r="AF964" s="167">
        <f t="shared" si="603"/>
        <v>0</v>
      </c>
      <c r="AG964" s="168">
        <f t="shared" si="604"/>
        <v>0</v>
      </c>
      <c r="AH964" s="166">
        <f t="shared" si="605"/>
        <v>0</v>
      </c>
      <c r="AI964" s="167">
        <f t="shared" si="606"/>
        <v>0</v>
      </c>
      <c r="AJ964" s="168">
        <f t="shared" si="607"/>
        <v>0</v>
      </c>
      <c r="AK964" s="169">
        <f t="shared" si="608"/>
        <v>0</v>
      </c>
      <c r="AL964" s="167">
        <f t="shared" si="609"/>
        <v>0</v>
      </c>
      <c r="AM964" s="585">
        <f t="shared" si="610"/>
        <v>0</v>
      </c>
      <c r="AN964" s="614"/>
      <c r="AO964" s="615"/>
      <c r="AP964" s="615"/>
      <c r="AQ964" s="616"/>
      <c r="AR964" s="612"/>
      <c r="AS964" s="617"/>
      <c r="AT964" s="618"/>
      <c r="AU964" s="618"/>
      <c r="AV964" s="618"/>
      <c r="AW964" s="619"/>
      <c r="AX964" s="614"/>
      <c r="AY964" s="616"/>
      <c r="AZ964" s="616"/>
      <c r="BA964" s="616"/>
      <c r="BB964" s="616"/>
      <c r="BC964" s="616"/>
      <c r="BD964" s="612"/>
      <c r="BE964" s="614"/>
      <c r="BF964" s="616"/>
      <c r="BG964" s="616"/>
      <c r="BH964" s="616"/>
      <c r="BI964" s="616"/>
      <c r="BJ964" s="616"/>
      <c r="BK964" s="1023"/>
      <c r="BL964" s="658"/>
    </row>
    <row r="965" spans="2:64">
      <c r="B965" s="1022"/>
      <c r="C965" s="607"/>
      <c r="D965" s="607"/>
      <c r="E965" s="1021"/>
      <c r="F965" s="1019">
        <v>962</v>
      </c>
      <c r="G965" s="609"/>
      <c r="H965" s="610"/>
      <c r="I965" s="611"/>
      <c r="J965" s="166">
        <f t="shared" si="611"/>
        <v>0</v>
      </c>
      <c r="K965" s="167">
        <f t="shared" si="612"/>
        <v>0</v>
      </c>
      <c r="L965" s="168">
        <f t="shared" si="613"/>
        <v>0</v>
      </c>
      <c r="M965" s="166">
        <f t="shared" si="614"/>
        <v>0</v>
      </c>
      <c r="N965" s="167">
        <f t="shared" si="615"/>
        <v>0</v>
      </c>
      <c r="O965" s="168">
        <f t="shared" si="616"/>
        <v>0</v>
      </c>
      <c r="P965" s="169">
        <f t="shared" si="617"/>
        <v>0</v>
      </c>
      <c r="Q965" s="169">
        <f t="shared" si="618"/>
        <v>0</v>
      </c>
      <c r="R965" s="169">
        <f t="shared" si="619"/>
        <v>0</v>
      </c>
      <c r="S965" s="584">
        <f t="shared" si="590"/>
        <v>0</v>
      </c>
      <c r="T965" s="594">
        <f t="shared" si="591"/>
        <v>0</v>
      </c>
      <c r="U965" s="595">
        <f t="shared" si="592"/>
        <v>0</v>
      </c>
      <c r="V965" s="166">
        <f t="shared" si="593"/>
        <v>0</v>
      </c>
      <c r="W965" s="167">
        <f t="shared" si="594"/>
        <v>0</v>
      </c>
      <c r="X965" s="168">
        <f t="shared" si="595"/>
        <v>0</v>
      </c>
      <c r="Y965" s="166">
        <f t="shared" si="596"/>
        <v>0</v>
      </c>
      <c r="Z965" s="167">
        <f t="shared" si="597"/>
        <v>0</v>
      </c>
      <c r="AA965" s="168">
        <f t="shared" si="598"/>
        <v>0</v>
      </c>
      <c r="AB965" s="166">
        <f t="shared" si="599"/>
        <v>0</v>
      </c>
      <c r="AC965" s="167">
        <f t="shared" si="600"/>
        <v>0</v>
      </c>
      <c r="AD965" s="168">
        <f t="shared" si="601"/>
        <v>0</v>
      </c>
      <c r="AE965" s="166">
        <f t="shared" si="602"/>
        <v>0</v>
      </c>
      <c r="AF965" s="167">
        <f t="shared" si="603"/>
        <v>0</v>
      </c>
      <c r="AG965" s="168">
        <f t="shared" si="604"/>
        <v>0</v>
      </c>
      <c r="AH965" s="166">
        <f t="shared" si="605"/>
        <v>0</v>
      </c>
      <c r="AI965" s="167">
        <f t="shared" si="606"/>
        <v>0</v>
      </c>
      <c r="AJ965" s="168">
        <f t="shared" si="607"/>
        <v>0</v>
      </c>
      <c r="AK965" s="169">
        <f t="shared" si="608"/>
        <v>0</v>
      </c>
      <c r="AL965" s="167">
        <f t="shared" si="609"/>
        <v>0</v>
      </c>
      <c r="AM965" s="585">
        <f t="shared" si="610"/>
        <v>0</v>
      </c>
      <c r="AN965" s="614"/>
      <c r="AO965" s="615"/>
      <c r="AP965" s="615"/>
      <c r="AQ965" s="616"/>
      <c r="AR965" s="612"/>
      <c r="AS965" s="617"/>
      <c r="AT965" s="618"/>
      <c r="AU965" s="618"/>
      <c r="AV965" s="618"/>
      <c r="AW965" s="619"/>
      <c r="AX965" s="614"/>
      <c r="AY965" s="616"/>
      <c r="AZ965" s="616"/>
      <c r="BA965" s="616"/>
      <c r="BB965" s="616"/>
      <c r="BC965" s="616"/>
      <c r="BD965" s="612"/>
      <c r="BE965" s="614"/>
      <c r="BF965" s="616"/>
      <c r="BG965" s="616"/>
      <c r="BH965" s="616"/>
      <c r="BI965" s="616"/>
      <c r="BJ965" s="616"/>
      <c r="BK965" s="1023"/>
      <c r="BL965" s="658"/>
    </row>
    <row r="966" spans="2:64">
      <c r="B966" s="1022"/>
      <c r="C966" s="607"/>
      <c r="D966" s="607"/>
      <c r="E966" s="1021"/>
      <c r="F966" s="608">
        <v>963</v>
      </c>
      <c r="G966" s="609"/>
      <c r="H966" s="610"/>
      <c r="I966" s="611"/>
      <c r="J966" s="166">
        <f t="shared" si="611"/>
        <v>0</v>
      </c>
      <c r="K966" s="167">
        <f t="shared" si="612"/>
        <v>0</v>
      </c>
      <c r="L966" s="168">
        <f t="shared" si="613"/>
        <v>0</v>
      </c>
      <c r="M966" s="166">
        <f t="shared" si="614"/>
        <v>0</v>
      </c>
      <c r="N966" s="167">
        <f t="shared" si="615"/>
        <v>0</v>
      </c>
      <c r="O966" s="168">
        <f t="shared" si="616"/>
        <v>0</v>
      </c>
      <c r="P966" s="169">
        <f t="shared" si="617"/>
        <v>0</v>
      </c>
      <c r="Q966" s="169">
        <f t="shared" si="618"/>
        <v>0</v>
      </c>
      <c r="R966" s="169">
        <f t="shared" si="619"/>
        <v>0</v>
      </c>
      <c r="S966" s="584">
        <f t="shared" si="590"/>
        <v>0</v>
      </c>
      <c r="T966" s="594">
        <f t="shared" si="591"/>
        <v>0</v>
      </c>
      <c r="U966" s="595">
        <f t="shared" si="592"/>
        <v>0</v>
      </c>
      <c r="V966" s="166">
        <f t="shared" si="593"/>
        <v>0</v>
      </c>
      <c r="W966" s="167">
        <f t="shared" si="594"/>
        <v>0</v>
      </c>
      <c r="X966" s="168">
        <f t="shared" si="595"/>
        <v>0</v>
      </c>
      <c r="Y966" s="166">
        <f t="shared" si="596"/>
        <v>0</v>
      </c>
      <c r="Z966" s="167">
        <f t="shared" si="597"/>
        <v>0</v>
      </c>
      <c r="AA966" s="168">
        <f t="shared" si="598"/>
        <v>0</v>
      </c>
      <c r="AB966" s="166">
        <f t="shared" si="599"/>
        <v>0</v>
      </c>
      <c r="AC966" s="167">
        <f t="shared" si="600"/>
        <v>0</v>
      </c>
      <c r="AD966" s="168">
        <f t="shared" si="601"/>
        <v>0</v>
      </c>
      <c r="AE966" s="166">
        <f t="shared" si="602"/>
        <v>0</v>
      </c>
      <c r="AF966" s="167">
        <f t="shared" si="603"/>
        <v>0</v>
      </c>
      <c r="AG966" s="168">
        <f t="shared" si="604"/>
        <v>0</v>
      </c>
      <c r="AH966" s="166">
        <f t="shared" si="605"/>
        <v>0</v>
      </c>
      <c r="AI966" s="167">
        <f t="shared" si="606"/>
        <v>0</v>
      </c>
      <c r="AJ966" s="168">
        <f t="shared" si="607"/>
        <v>0</v>
      </c>
      <c r="AK966" s="169">
        <f t="shared" si="608"/>
        <v>0</v>
      </c>
      <c r="AL966" s="167">
        <f t="shared" si="609"/>
        <v>0</v>
      </c>
      <c r="AM966" s="585">
        <f t="shared" si="610"/>
        <v>0</v>
      </c>
      <c r="AN966" s="614"/>
      <c r="AO966" s="615"/>
      <c r="AP966" s="615"/>
      <c r="AQ966" s="616"/>
      <c r="AR966" s="612"/>
      <c r="AS966" s="617"/>
      <c r="AT966" s="618"/>
      <c r="AU966" s="618"/>
      <c r="AV966" s="618"/>
      <c r="AW966" s="619"/>
      <c r="AX966" s="614"/>
      <c r="AY966" s="616"/>
      <c r="AZ966" s="616"/>
      <c r="BA966" s="616"/>
      <c r="BB966" s="616"/>
      <c r="BC966" s="616"/>
      <c r="BD966" s="612"/>
      <c r="BE966" s="614"/>
      <c r="BF966" s="616"/>
      <c r="BG966" s="616"/>
      <c r="BH966" s="616"/>
      <c r="BI966" s="616"/>
      <c r="BJ966" s="616"/>
      <c r="BK966" s="1023"/>
      <c r="BL966" s="658"/>
    </row>
    <row r="967" spans="2:64">
      <c r="B967" s="1022"/>
      <c r="C967" s="607"/>
      <c r="D967" s="607"/>
      <c r="E967" s="1021"/>
      <c r="F967" s="1019">
        <v>964</v>
      </c>
      <c r="G967" s="609"/>
      <c r="H967" s="610"/>
      <c r="I967" s="611"/>
      <c r="J967" s="166">
        <f t="shared" si="611"/>
        <v>0</v>
      </c>
      <c r="K967" s="167">
        <f t="shared" si="612"/>
        <v>0</v>
      </c>
      <c r="L967" s="168">
        <f t="shared" si="613"/>
        <v>0</v>
      </c>
      <c r="M967" s="166">
        <f t="shared" si="614"/>
        <v>0</v>
      </c>
      <c r="N967" s="167">
        <f t="shared" si="615"/>
        <v>0</v>
      </c>
      <c r="O967" s="168">
        <f t="shared" si="616"/>
        <v>0</v>
      </c>
      <c r="P967" s="169">
        <f t="shared" si="617"/>
        <v>0</v>
      </c>
      <c r="Q967" s="169">
        <f t="shared" si="618"/>
        <v>0</v>
      </c>
      <c r="R967" s="169">
        <f t="shared" si="619"/>
        <v>0</v>
      </c>
      <c r="S967" s="584">
        <f t="shared" si="590"/>
        <v>0</v>
      </c>
      <c r="T967" s="594">
        <f t="shared" si="591"/>
        <v>0</v>
      </c>
      <c r="U967" s="595">
        <f t="shared" si="592"/>
        <v>0</v>
      </c>
      <c r="V967" s="166">
        <f t="shared" si="593"/>
        <v>0</v>
      </c>
      <c r="W967" s="167">
        <f t="shared" si="594"/>
        <v>0</v>
      </c>
      <c r="X967" s="168">
        <f t="shared" si="595"/>
        <v>0</v>
      </c>
      <c r="Y967" s="166">
        <f t="shared" si="596"/>
        <v>0</v>
      </c>
      <c r="Z967" s="167">
        <f t="shared" si="597"/>
        <v>0</v>
      </c>
      <c r="AA967" s="168">
        <f t="shared" si="598"/>
        <v>0</v>
      </c>
      <c r="AB967" s="166">
        <f t="shared" si="599"/>
        <v>0</v>
      </c>
      <c r="AC967" s="167">
        <f t="shared" si="600"/>
        <v>0</v>
      </c>
      <c r="AD967" s="168">
        <f t="shared" si="601"/>
        <v>0</v>
      </c>
      <c r="AE967" s="166">
        <f t="shared" si="602"/>
        <v>0</v>
      </c>
      <c r="AF967" s="167">
        <f t="shared" si="603"/>
        <v>0</v>
      </c>
      <c r="AG967" s="168">
        <f t="shared" si="604"/>
        <v>0</v>
      </c>
      <c r="AH967" s="166">
        <f t="shared" si="605"/>
        <v>0</v>
      </c>
      <c r="AI967" s="167">
        <f t="shared" si="606"/>
        <v>0</v>
      </c>
      <c r="AJ967" s="168">
        <f t="shared" si="607"/>
        <v>0</v>
      </c>
      <c r="AK967" s="169">
        <f t="shared" si="608"/>
        <v>0</v>
      </c>
      <c r="AL967" s="167">
        <f t="shared" si="609"/>
        <v>0</v>
      </c>
      <c r="AM967" s="585">
        <f t="shared" si="610"/>
        <v>0</v>
      </c>
      <c r="AN967" s="614"/>
      <c r="AO967" s="615"/>
      <c r="AP967" s="615"/>
      <c r="AQ967" s="616"/>
      <c r="AR967" s="612"/>
      <c r="AS967" s="617"/>
      <c r="AT967" s="618"/>
      <c r="AU967" s="618"/>
      <c r="AV967" s="618"/>
      <c r="AW967" s="619"/>
      <c r="AX967" s="614"/>
      <c r="AY967" s="616"/>
      <c r="AZ967" s="616"/>
      <c r="BA967" s="616"/>
      <c r="BB967" s="616"/>
      <c r="BC967" s="616"/>
      <c r="BD967" s="612"/>
      <c r="BE967" s="614"/>
      <c r="BF967" s="616"/>
      <c r="BG967" s="616"/>
      <c r="BH967" s="616"/>
      <c r="BI967" s="616"/>
      <c r="BJ967" s="616"/>
      <c r="BK967" s="1023"/>
      <c r="BL967" s="658"/>
    </row>
    <row r="968" spans="2:64">
      <c r="B968" s="1022"/>
      <c r="C968" s="607"/>
      <c r="D968" s="607"/>
      <c r="E968" s="1021"/>
      <c r="F968" s="608">
        <v>965</v>
      </c>
      <c r="G968" s="609"/>
      <c r="H968" s="610"/>
      <c r="I968" s="611"/>
      <c r="J968" s="166">
        <f t="shared" si="611"/>
        <v>0</v>
      </c>
      <c r="K968" s="167">
        <f t="shared" si="612"/>
        <v>0</v>
      </c>
      <c r="L968" s="168">
        <f t="shared" si="613"/>
        <v>0</v>
      </c>
      <c r="M968" s="166">
        <f t="shared" si="614"/>
        <v>0</v>
      </c>
      <c r="N968" s="167">
        <f t="shared" si="615"/>
        <v>0</v>
      </c>
      <c r="O968" s="168">
        <f t="shared" si="616"/>
        <v>0</v>
      </c>
      <c r="P968" s="169">
        <f t="shared" si="617"/>
        <v>0</v>
      </c>
      <c r="Q968" s="169">
        <f t="shared" si="618"/>
        <v>0</v>
      </c>
      <c r="R968" s="169">
        <f t="shared" si="619"/>
        <v>0</v>
      </c>
      <c r="S968" s="584">
        <f t="shared" si="590"/>
        <v>0</v>
      </c>
      <c r="T968" s="594">
        <f t="shared" si="591"/>
        <v>0</v>
      </c>
      <c r="U968" s="595">
        <f t="shared" si="592"/>
        <v>0</v>
      </c>
      <c r="V968" s="166">
        <f t="shared" si="593"/>
        <v>0</v>
      </c>
      <c r="W968" s="167">
        <f t="shared" si="594"/>
        <v>0</v>
      </c>
      <c r="X968" s="168">
        <f t="shared" si="595"/>
        <v>0</v>
      </c>
      <c r="Y968" s="166">
        <f t="shared" si="596"/>
        <v>0</v>
      </c>
      <c r="Z968" s="167">
        <f t="shared" si="597"/>
        <v>0</v>
      </c>
      <c r="AA968" s="168">
        <f t="shared" si="598"/>
        <v>0</v>
      </c>
      <c r="AB968" s="166">
        <f t="shared" si="599"/>
        <v>0</v>
      </c>
      <c r="AC968" s="167">
        <f t="shared" si="600"/>
        <v>0</v>
      </c>
      <c r="AD968" s="168">
        <f t="shared" si="601"/>
        <v>0</v>
      </c>
      <c r="AE968" s="166">
        <f t="shared" si="602"/>
        <v>0</v>
      </c>
      <c r="AF968" s="167">
        <f t="shared" si="603"/>
        <v>0</v>
      </c>
      <c r="AG968" s="168">
        <f t="shared" si="604"/>
        <v>0</v>
      </c>
      <c r="AH968" s="166">
        <f t="shared" si="605"/>
        <v>0</v>
      </c>
      <c r="AI968" s="167">
        <f t="shared" si="606"/>
        <v>0</v>
      </c>
      <c r="AJ968" s="168">
        <f t="shared" si="607"/>
        <v>0</v>
      </c>
      <c r="AK968" s="169">
        <f t="shared" si="608"/>
        <v>0</v>
      </c>
      <c r="AL968" s="167">
        <f t="shared" si="609"/>
        <v>0</v>
      </c>
      <c r="AM968" s="585">
        <f t="shared" si="610"/>
        <v>0</v>
      </c>
      <c r="AN968" s="614"/>
      <c r="AO968" s="615"/>
      <c r="AP968" s="615"/>
      <c r="AQ968" s="616"/>
      <c r="AR968" s="612"/>
      <c r="AS968" s="617"/>
      <c r="AT968" s="618"/>
      <c r="AU968" s="618"/>
      <c r="AV968" s="618"/>
      <c r="AW968" s="619"/>
      <c r="AX968" s="614"/>
      <c r="AY968" s="616"/>
      <c r="AZ968" s="616"/>
      <c r="BA968" s="616"/>
      <c r="BB968" s="616"/>
      <c r="BC968" s="616"/>
      <c r="BD968" s="612"/>
      <c r="BE968" s="614"/>
      <c r="BF968" s="616"/>
      <c r="BG968" s="616"/>
      <c r="BH968" s="616"/>
      <c r="BI968" s="616"/>
      <c r="BJ968" s="616"/>
      <c r="BK968" s="1023"/>
      <c r="BL968" s="658"/>
    </row>
    <row r="969" spans="2:64">
      <c r="B969" s="1022"/>
      <c r="C969" s="607"/>
      <c r="D969" s="607"/>
      <c r="E969" s="1021"/>
      <c r="F969" s="1019">
        <v>966</v>
      </c>
      <c r="G969" s="609"/>
      <c r="H969" s="610"/>
      <c r="I969" s="611"/>
      <c r="J969" s="166">
        <f t="shared" si="611"/>
        <v>0</v>
      </c>
      <c r="K969" s="167">
        <f t="shared" si="612"/>
        <v>0</v>
      </c>
      <c r="L969" s="168">
        <f t="shared" si="613"/>
        <v>0</v>
      </c>
      <c r="M969" s="166">
        <f t="shared" si="614"/>
        <v>0</v>
      </c>
      <c r="N969" s="167">
        <f t="shared" si="615"/>
        <v>0</v>
      </c>
      <c r="O969" s="168">
        <f t="shared" si="616"/>
        <v>0</v>
      </c>
      <c r="P969" s="169">
        <f t="shared" si="617"/>
        <v>0</v>
      </c>
      <c r="Q969" s="169">
        <f t="shared" si="618"/>
        <v>0</v>
      </c>
      <c r="R969" s="169">
        <f t="shared" si="619"/>
        <v>0</v>
      </c>
      <c r="S969" s="584">
        <f t="shared" si="590"/>
        <v>0</v>
      </c>
      <c r="T969" s="594">
        <f t="shared" si="591"/>
        <v>0</v>
      </c>
      <c r="U969" s="595">
        <f t="shared" si="592"/>
        <v>0</v>
      </c>
      <c r="V969" s="166">
        <f t="shared" si="593"/>
        <v>0</v>
      </c>
      <c r="W969" s="167">
        <f t="shared" si="594"/>
        <v>0</v>
      </c>
      <c r="X969" s="168">
        <f t="shared" si="595"/>
        <v>0</v>
      </c>
      <c r="Y969" s="166">
        <f t="shared" si="596"/>
        <v>0</v>
      </c>
      <c r="Z969" s="167">
        <f t="shared" si="597"/>
        <v>0</v>
      </c>
      <c r="AA969" s="168">
        <f t="shared" si="598"/>
        <v>0</v>
      </c>
      <c r="AB969" s="166">
        <f t="shared" si="599"/>
        <v>0</v>
      </c>
      <c r="AC969" s="167">
        <f t="shared" si="600"/>
        <v>0</v>
      </c>
      <c r="AD969" s="168">
        <f t="shared" si="601"/>
        <v>0</v>
      </c>
      <c r="AE969" s="166">
        <f t="shared" si="602"/>
        <v>0</v>
      </c>
      <c r="AF969" s="167">
        <f t="shared" si="603"/>
        <v>0</v>
      </c>
      <c r="AG969" s="168">
        <f t="shared" si="604"/>
        <v>0</v>
      </c>
      <c r="AH969" s="166">
        <f t="shared" si="605"/>
        <v>0</v>
      </c>
      <c r="AI969" s="167">
        <f t="shared" si="606"/>
        <v>0</v>
      </c>
      <c r="AJ969" s="168">
        <f t="shared" si="607"/>
        <v>0</v>
      </c>
      <c r="AK969" s="169">
        <f t="shared" si="608"/>
        <v>0</v>
      </c>
      <c r="AL969" s="167">
        <f t="shared" si="609"/>
        <v>0</v>
      </c>
      <c r="AM969" s="585">
        <f t="shared" si="610"/>
        <v>0</v>
      </c>
      <c r="AN969" s="614"/>
      <c r="AO969" s="615"/>
      <c r="AP969" s="615"/>
      <c r="AQ969" s="616"/>
      <c r="AR969" s="612"/>
      <c r="AS969" s="617"/>
      <c r="AT969" s="618"/>
      <c r="AU969" s="618"/>
      <c r="AV969" s="618"/>
      <c r="AW969" s="619"/>
      <c r="AX969" s="614"/>
      <c r="AY969" s="616"/>
      <c r="AZ969" s="616"/>
      <c r="BA969" s="616"/>
      <c r="BB969" s="616"/>
      <c r="BC969" s="616"/>
      <c r="BD969" s="612"/>
      <c r="BE969" s="614"/>
      <c r="BF969" s="616"/>
      <c r="BG969" s="616"/>
      <c r="BH969" s="616"/>
      <c r="BI969" s="616"/>
      <c r="BJ969" s="616"/>
      <c r="BK969" s="1023"/>
      <c r="BL969" s="658"/>
    </row>
    <row r="970" spans="2:64">
      <c r="B970" s="1022"/>
      <c r="C970" s="607"/>
      <c r="D970" s="607"/>
      <c r="E970" s="1021"/>
      <c r="F970" s="608">
        <v>967</v>
      </c>
      <c r="G970" s="609"/>
      <c r="H970" s="610"/>
      <c r="I970" s="611"/>
      <c r="J970" s="166">
        <f t="shared" si="611"/>
        <v>0</v>
      </c>
      <c r="K970" s="167">
        <f t="shared" si="612"/>
        <v>0</v>
      </c>
      <c r="L970" s="168">
        <f t="shared" si="613"/>
        <v>0</v>
      </c>
      <c r="M970" s="166">
        <f t="shared" si="614"/>
        <v>0</v>
      </c>
      <c r="N970" s="167">
        <f t="shared" si="615"/>
        <v>0</v>
      </c>
      <c r="O970" s="168">
        <f t="shared" si="616"/>
        <v>0</v>
      </c>
      <c r="P970" s="169">
        <f t="shared" si="617"/>
        <v>0</v>
      </c>
      <c r="Q970" s="169">
        <f t="shared" si="618"/>
        <v>0</v>
      </c>
      <c r="R970" s="169">
        <f t="shared" si="619"/>
        <v>0</v>
      </c>
      <c r="S970" s="584">
        <f t="shared" si="590"/>
        <v>0</v>
      </c>
      <c r="T970" s="594">
        <f t="shared" si="591"/>
        <v>0</v>
      </c>
      <c r="U970" s="595">
        <f t="shared" si="592"/>
        <v>0</v>
      </c>
      <c r="V970" s="166">
        <f t="shared" si="593"/>
        <v>0</v>
      </c>
      <c r="W970" s="167">
        <f t="shared" si="594"/>
        <v>0</v>
      </c>
      <c r="X970" s="168">
        <f t="shared" si="595"/>
        <v>0</v>
      </c>
      <c r="Y970" s="166">
        <f t="shared" si="596"/>
        <v>0</v>
      </c>
      <c r="Z970" s="167">
        <f t="shared" si="597"/>
        <v>0</v>
      </c>
      <c r="AA970" s="168">
        <f t="shared" si="598"/>
        <v>0</v>
      </c>
      <c r="AB970" s="166">
        <f t="shared" si="599"/>
        <v>0</v>
      </c>
      <c r="AC970" s="167">
        <f t="shared" si="600"/>
        <v>0</v>
      </c>
      <c r="AD970" s="168">
        <f t="shared" si="601"/>
        <v>0</v>
      </c>
      <c r="AE970" s="166">
        <f t="shared" si="602"/>
        <v>0</v>
      </c>
      <c r="AF970" s="167">
        <f t="shared" si="603"/>
        <v>0</v>
      </c>
      <c r="AG970" s="168">
        <f t="shared" si="604"/>
        <v>0</v>
      </c>
      <c r="AH970" s="166">
        <f t="shared" si="605"/>
        <v>0</v>
      </c>
      <c r="AI970" s="167">
        <f t="shared" si="606"/>
        <v>0</v>
      </c>
      <c r="AJ970" s="168">
        <f t="shared" si="607"/>
        <v>0</v>
      </c>
      <c r="AK970" s="169">
        <f t="shared" si="608"/>
        <v>0</v>
      </c>
      <c r="AL970" s="167">
        <f t="shared" si="609"/>
        <v>0</v>
      </c>
      <c r="AM970" s="585">
        <f t="shared" si="610"/>
        <v>0</v>
      </c>
      <c r="AN970" s="614"/>
      <c r="AO970" s="615"/>
      <c r="AP970" s="615"/>
      <c r="AQ970" s="616"/>
      <c r="AR970" s="612"/>
      <c r="AS970" s="617"/>
      <c r="AT970" s="618"/>
      <c r="AU970" s="618"/>
      <c r="AV970" s="618"/>
      <c r="AW970" s="619"/>
      <c r="AX970" s="614"/>
      <c r="AY970" s="616"/>
      <c r="AZ970" s="616"/>
      <c r="BA970" s="616"/>
      <c r="BB970" s="616"/>
      <c r="BC970" s="616"/>
      <c r="BD970" s="612"/>
      <c r="BE970" s="614"/>
      <c r="BF970" s="616"/>
      <c r="BG970" s="616"/>
      <c r="BH970" s="616"/>
      <c r="BI970" s="616"/>
      <c r="BJ970" s="616"/>
      <c r="BK970" s="1023"/>
      <c r="BL970" s="658"/>
    </row>
    <row r="971" spans="2:64">
      <c r="B971" s="1022"/>
      <c r="C971" s="607"/>
      <c r="D971" s="607"/>
      <c r="E971" s="1021"/>
      <c r="F971" s="1019">
        <v>968</v>
      </c>
      <c r="G971" s="609"/>
      <c r="H971" s="610"/>
      <c r="I971" s="611"/>
      <c r="J971" s="166">
        <f t="shared" si="611"/>
        <v>0</v>
      </c>
      <c r="K971" s="167">
        <f t="shared" si="612"/>
        <v>0</v>
      </c>
      <c r="L971" s="168">
        <f t="shared" si="613"/>
        <v>0</v>
      </c>
      <c r="M971" s="166">
        <f t="shared" si="614"/>
        <v>0</v>
      </c>
      <c r="N971" s="167">
        <f t="shared" si="615"/>
        <v>0</v>
      </c>
      <c r="O971" s="168">
        <f t="shared" si="616"/>
        <v>0</v>
      </c>
      <c r="P971" s="169">
        <f t="shared" si="617"/>
        <v>0</v>
      </c>
      <c r="Q971" s="169">
        <f t="shared" si="618"/>
        <v>0</v>
      </c>
      <c r="R971" s="169">
        <f t="shared" si="619"/>
        <v>0</v>
      </c>
      <c r="S971" s="584">
        <f t="shared" si="590"/>
        <v>0</v>
      </c>
      <c r="T971" s="594">
        <f t="shared" si="591"/>
        <v>0</v>
      </c>
      <c r="U971" s="595">
        <f t="shared" si="592"/>
        <v>0</v>
      </c>
      <c r="V971" s="166">
        <f t="shared" si="593"/>
        <v>0</v>
      </c>
      <c r="W971" s="167">
        <f t="shared" si="594"/>
        <v>0</v>
      </c>
      <c r="X971" s="168">
        <f t="shared" si="595"/>
        <v>0</v>
      </c>
      <c r="Y971" s="166">
        <f t="shared" si="596"/>
        <v>0</v>
      </c>
      <c r="Z971" s="167">
        <f t="shared" si="597"/>
        <v>0</v>
      </c>
      <c r="AA971" s="168">
        <f t="shared" si="598"/>
        <v>0</v>
      </c>
      <c r="AB971" s="166">
        <f t="shared" si="599"/>
        <v>0</v>
      </c>
      <c r="AC971" s="167">
        <f t="shared" si="600"/>
        <v>0</v>
      </c>
      <c r="AD971" s="168">
        <f t="shared" si="601"/>
        <v>0</v>
      </c>
      <c r="AE971" s="166">
        <f t="shared" si="602"/>
        <v>0</v>
      </c>
      <c r="AF971" s="167">
        <f t="shared" si="603"/>
        <v>0</v>
      </c>
      <c r="AG971" s="168">
        <f t="shared" si="604"/>
        <v>0</v>
      </c>
      <c r="AH971" s="166">
        <f t="shared" si="605"/>
        <v>0</v>
      </c>
      <c r="AI971" s="167">
        <f t="shared" si="606"/>
        <v>0</v>
      </c>
      <c r="AJ971" s="168">
        <f t="shared" si="607"/>
        <v>0</v>
      </c>
      <c r="AK971" s="169">
        <f t="shared" si="608"/>
        <v>0</v>
      </c>
      <c r="AL971" s="167">
        <f t="shared" si="609"/>
        <v>0</v>
      </c>
      <c r="AM971" s="585">
        <f t="shared" si="610"/>
        <v>0</v>
      </c>
      <c r="AN971" s="614"/>
      <c r="AO971" s="615"/>
      <c r="AP971" s="615"/>
      <c r="AQ971" s="616"/>
      <c r="AR971" s="612"/>
      <c r="AS971" s="617"/>
      <c r="AT971" s="618"/>
      <c r="AU971" s="618"/>
      <c r="AV971" s="618"/>
      <c r="AW971" s="619"/>
      <c r="AX971" s="614"/>
      <c r="AY971" s="616"/>
      <c r="AZ971" s="616"/>
      <c r="BA971" s="616"/>
      <c r="BB971" s="616"/>
      <c r="BC971" s="616"/>
      <c r="BD971" s="612"/>
      <c r="BE971" s="614"/>
      <c r="BF971" s="616"/>
      <c r="BG971" s="616"/>
      <c r="BH971" s="616"/>
      <c r="BI971" s="616"/>
      <c r="BJ971" s="616"/>
      <c r="BK971" s="1023"/>
      <c r="BL971" s="658"/>
    </row>
    <row r="972" spans="2:64">
      <c r="B972" s="1022"/>
      <c r="C972" s="607"/>
      <c r="D972" s="607"/>
      <c r="E972" s="1021"/>
      <c r="F972" s="608">
        <v>969</v>
      </c>
      <c r="G972" s="609"/>
      <c r="H972" s="610"/>
      <c r="I972" s="611"/>
      <c r="J972" s="166">
        <f t="shared" si="611"/>
        <v>0</v>
      </c>
      <c r="K972" s="167">
        <f t="shared" si="612"/>
        <v>0</v>
      </c>
      <c r="L972" s="168">
        <f t="shared" si="613"/>
        <v>0</v>
      </c>
      <c r="M972" s="166">
        <f t="shared" si="614"/>
        <v>0</v>
      </c>
      <c r="N972" s="167">
        <f t="shared" si="615"/>
        <v>0</v>
      </c>
      <c r="O972" s="168">
        <f t="shared" si="616"/>
        <v>0</v>
      </c>
      <c r="P972" s="169">
        <f t="shared" si="617"/>
        <v>0</v>
      </c>
      <c r="Q972" s="169">
        <f t="shared" si="618"/>
        <v>0</v>
      </c>
      <c r="R972" s="169">
        <f t="shared" si="619"/>
        <v>0</v>
      </c>
      <c r="S972" s="584">
        <f t="shared" si="590"/>
        <v>0</v>
      </c>
      <c r="T972" s="594">
        <f t="shared" si="591"/>
        <v>0</v>
      </c>
      <c r="U972" s="595">
        <f t="shared" si="592"/>
        <v>0</v>
      </c>
      <c r="V972" s="166">
        <f t="shared" si="593"/>
        <v>0</v>
      </c>
      <c r="W972" s="167">
        <f t="shared" si="594"/>
        <v>0</v>
      </c>
      <c r="X972" s="168">
        <f t="shared" si="595"/>
        <v>0</v>
      </c>
      <c r="Y972" s="166">
        <f t="shared" si="596"/>
        <v>0</v>
      </c>
      <c r="Z972" s="167">
        <f t="shared" si="597"/>
        <v>0</v>
      </c>
      <c r="AA972" s="168">
        <f t="shared" si="598"/>
        <v>0</v>
      </c>
      <c r="AB972" s="166">
        <f t="shared" si="599"/>
        <v>0</v>
      </c>
      <c r="AC972" s="167">
        <f t="shared" si="600"/>
        <v>0</v>
      </c>
      <c r="AD972" s="168">
        <f t="shared" si="601"/>
        <v>0</v>
      </c>
      <c r="AE972" s="166">
        <f t="shared" si="602"/>
        <v>0</v>
      </c>
      <c r="AF972" s="167">
        <f t="shared" si="603"/>
        <v>0</v>
      </c>
      <c r="AG972" s="168">
        <f t="shared" si="604"/>
        <v>0</v>
      </c>
      <c r="AH972" s="166">
        <f t="shared" si="605"/>
        <v>0</v>
      </c>
      <c r="AI972" s="167">
        <f t="shared" si="606"/>
        <v>0</v>
      </c>
      <c r="AJ972" s="168">
        <f t="shared" si="607"/>
        <v>0</v>
      </c>
      <c r="AK972" s="169">
        <f t="shared" si="608"/>
        <v>0</v>
      </c>
      <c r="AL972" s="167">
        <f t="shared" si="609"/>
        <v>0</v>
      </c>
      <c r="AM972" s="585">
        <f t="shared" si="610"/>
        <v>0</v>
      </c>
      <c r="AN972" s="614"/>
      <c r="AO972" s="615"/>
      <c r="AP972" s="615"/>
      <c r="AQ972" s="616"/>
      <c r="AR972" s="612"/>
      <c r="AS972" s="617"/>
      <c r="AT972" s="618"/>
      <c r="AU972" s="618"/>
      <c r="AV972" s="618"/>
      <c r="AW972" s="619"/>
      <c r="AX972" s="614"/>
      <c r="AY972" s="616"/>
      <c r="AZ972" s="616"/>
      <c r="BA972" s="616"/>
      <c r="BB972" s="616"/>
      <c r="BC972" s="616"/>
      <c r="BD972" s="612"/>
      <c r="BE972" s="614"/>
      <c r="BF972" s="616"/>
      <c r="BG972" s="616"/>
      <c r="BH972" s="616"/>
      <c r="BI972" s="616"/>
      <c r="BJ972" s="616"/>
      <c r="BK972" s="1023"/>
      <c r="BL972" s="658"/>
    </row>
    <row r="973" spans="2:64">
      <c r="B973" s="1022"/>
      <c r="C973" s="607"/>
      <c r="D973" s="607"/>
      <c r="E973" s="1021"/>
      <c r="F973" s="1019">
        <v>970</v>
      </c>
      <c r="G973" s="609"/>
      <c r="H973" s="610"/>
      <c r="I973" s="611"/>
      <c r="J973" s="166">
        <f t="shared" si="611"/>
        <v>0</v>
      </c>
      <c r="K973" s="167">
        <f t="shared" si="612"/>
        <v>0</v>
      </c>
      <c r="L973" s="168">
        <f t="shared" si="613"/>
        <v>0</v>
      </c>
      <c r="M973" s="166">
        <f t="shared" si="614"/>
        <v>0</v>
      </c>
      <c r="N973" s="167">
        <f t="shared" si="615"/>
        <v>0</v>
      </c>
      <c r="O973" s="168">
        <f t="shared" si="616"/>
        <v>0</v>
      </c>
      <c r="P973" s="169">
        <f t="shared" si="617"/>
        <v>0</v>
      </c>
      <c r="Q973" s="169">
        <f t="shared" si="618"/>
        <v>0</v>
      </c>
      <c r="R973" s="169">
        <f t="shared" si="619"/>
        <v>0</v>
      </c>
      <c r="S973" s="584">
        <f t="shared" si="590"/>
        <v>0</v>
      </c>
      <c r="T973" s="594">
        <f t="shared" si="591"/>
        <v>0</v>
      </c>
      <c r="U973" s="595">
        <f t="shared" si="592"/>
        <v>0</v>
      </c>
      <c r="V973" s="166">
        <f t="shared" si="593"/>
        <v>0</v>
      </c>
      <c r="W973" s="167">
        <f t="shared" si="594"/>
        <v>0</v>
      </c>
      <c r="X973" s="168">
        <f t="shared" si="595"/>
        <v>0</v>
      </c>
      <c r="Y973" s="166">
        <f t="shared" si="596"/>
        <v>0</v>
      </c>
      <c r="Z973" s="167">
        <f t="shared" si="597"/>
        <v>0</v>
      </c>
      <c r="AA973" s="168">
        <f t="shared" si="598"/>
        <v>0</v>
      </c>
      <c r="AB973" s="166">
        <f t="shared" si="599"/>
        <v>0</v>
      </c>
      <c r="AC973" s="167">
        <f t="shared" si="600"/>
        <v>0</v>
      </c>
      <c r="AD973" s="168">
        <f t="shared" si="601"/>
        <v>0</v>
      </c>
      <c r="AE973" s="166">
        <f t="shared" si="602"/>
        <v>0</v>
      </c>
      <c r="AF973" s="167">
        <f t="shared" si="603"/>
        <v>0</v>
      </c>
      <c r="AG973" s="168">
        <f t="shared" si="604"/>
        <v>0</v>
      </c>
      <c r="AH973" s="166">
        <f t="shared" si="605"/>
        <v>0</v>
      </c>
      <c r="AI973" s="167">
        <f t="shared" si="606"/>
        <v>0</v>
      </c>
      <c r="AJ973" s="168">
        <f t="shared" si="607"/>
        <v>0</v>
      </c>
      <c r="AK973" s="169">
        <f t="shared" si="608"/>
        <v>0</v>
      </c>
      <c r="AL973" s="167">
        <f t="shared" si="609"/>
        <v>0</v>
      </c>
      <c r="AM973" s="585">
        <f t="shared" si="610"/>
        <v>0</v>
      </c>
      <c r="AN973" s="614"/>
      <c r="AO973" s="615"/>
      <c r="AP973" s="615"/>
      <c r="AQ973" s="616"/>
      <c r="AR973" s="612"/>
      <c r="AS973" s="617"/>
      <c r="AT973" s="618"/>
      <c r="AU973" s="618"/>
      <c r="AV973" s="618"/>
      <c r="AW973" s="619"/>
      <c r="AX973" s="614"/>
      <c r="AY973" s="616"/>
      <c r="AZ973" s="616"/>
      <c r="BA973" s="616"/>
      <c r="BB973" s="616"/>
      <c r="BC973" s="616"/>
      <c r="BD973" s="612"/>
      <c r="BE973" s="614"/>
      <c r="BF973" s="616"/>
      <c r="BG973" s="616"/>
      <c r="BH973" s="616"/>
      <c r="BI973" s="616"/>
      <c r="BJ973" s="616"/>
      <c r="BK973" s="1023"/>
      <c r="BL973" s="658"/>
    </row>
    <row r="974" spans="2:64">
      <c r="B974" s="1022"/>
      <c r="C974" s="607"/>
      <c r="D974" s="607"/>
      <c r="E974" s="1021"/>
      <c r="F974" s="608">
        <v>971</v>
      </c>
      <c r="G974" s="609"/>
      <c r="H974" s="610"/>
      <c r="I974" s="611"/>
      <c r="J974" s="166">
        <f t="shared" si="611"/>
        <v>0</v>
      </c>
      <c r="K974" s="167">
        <f t="shared" si="612"/>
        <v>0</v>
      </c>
      <c r="L974" s="168">
        <f t="shared" si="613"/>
        <v>0</v>
      </c>
      <c r="M974" s="166">
        <f t="shared" si="614"/>
        <v>0</v>
      </c>
      <c r="N974" s="167">
        <f t="shared" si="615"/>
        <v>0</v>
      </c>
      <c r="O974" s="168">
        <f t="shared" si="616"/>
        <v>0</v>
      </c>
      <c r="P974" s="169">
        <f t="shared" si="617"/>
        <v>0</v>
      </c>
      <c r="Q974" s="169">
        <f t="shared" si="618"/>
        <v>0</v>
      </c>
      <c r="R974" s="169">
        <f t="shared" si="619"/>
        <v>0</v>
      </c>
      <c r="S974" s="584">
        <f t="shared" si="590"/>
        <v>0</v>
      </c>
      <c r="T974" s="594">
        <f t="shared" si="591"/>
        <v>0</v>
      </c>
      <c r="U974" s="595">
        <f t="shared" si="592"/>
        <v>0</v>
      </c>
      <c r="V974" s="166">
        <f t="shared" si="593"/>
        <v>0</v>
      </c>
      <c r="W974" s="167">
        <f t="shared" si="594"/>
        <v>0</v>
      </c>
      <c r="X974" s="168">
        <f t="shared" si="595"/>
        <v>0</v>
      </c>
      <c r="Y974" s="166">
        <f t="shared" si="596"/>
        <v>0</v>
      </c>
      <c r="Z974" s="167">
        <f t="shared" si="597"/>
        <v>0</v>
      </c>
      <c r="AA974" s="168">
        <f t="shared" si="598"/>
        <v>0</v>
      </c>
      <c r="AB974" s="166">
        <f t="shared" si="599"/>
        <v>0</v>
      </c>
      <c r="AC974" s="167">
        <f t="shared" si="600"/>
        <v>0</v>
      </c>
      <c r="AD974" s="168">
        <f t="shared" si="601"/>
        <v>0</v>
      </c>
      <c r="AE974" s="166">
        <f t="shared" si="602"/>
        <v>0</v>
      </c>
      <c r="AF974" s="167">
        <f t="shared" si="603"/>
        <v>0</v>
      </c>
      <c r="AG974" s="168">
        <f t="shared" si="604"/>
        <v>0</v>
      </c>
      <c r="AH974" s="166">
        <f t="shared" si="605"/>
        <v>0</v>
      </c>
      <c r="AI974" s="167">
        <f t="shared" si="606"/>
        <v>0</v>
      </c>
      <c r="AJ974" s="168">
        <f t="shared" si="607"/>
        <v>0</v>
      </c>
      <c r="AK974" s="169">
        <f t="shared" si="608"/>
        <v>0</v>
      </c>
      <c r="AL974" s="167">
        <f t="shared" si="609"/>
        <v>0</v>
      </c>
      <c r="AM974" s="585">
        <f t="shared" si="610"/>
        <v>0</v>
      </c>
      <c r="AN974" s="614"/>
      <c r="AO974" s="615"/>
      <c r="AP974" s="615"/>
      <c r="AQ974" s="616"/>
      <c r="AR974" s="612"/>
      <c r="AS974" s="617"/>
      <c r="AT974" s="618"/>
      <c r="AU974" s="618"/>
      <c r="AV974" s="618"/>
      <c r="AW974" s="619"/>
      <c r="AX974" s="614"/>
      <c r="AY974" s="616"/>
      <c r="AZ974" s="616"/>
      <c r="BA974" s="616"/>
      <c r="BB974" s="616"/>
      <c r="BC974" s="616"/>
      <c r="BD974" s="612"/>
      <c r="BE974" s="614"/>
      <c r="BF974" s="616"/>
      <c r="BG974" s="616"/>
      <c r="BH974" s="616"/>
      <c r="BI974" s="616"/>
      <c r="BJ974" s="616"/>
      <c r="BK974" s="1023"/>
      <c r="BL974" s="658"/>
    </row>
    <row r="975" spans="2:64">
      <c r="B975" s="1022"/>
      <c r="C975" s="607"/>
      <c r="D975" s="607"/>
      <c r="E975" s="1021"/>
      <c r="F975" s="1019">
        <v>972</v>
      </c>
      <c r="G975" s="609"/>
      <c r="H975" s="610"/>
      <c r="I975" s="611"/>
      <c r="J975" s="166">
        <f t="shared" si="611"/>
        <v>0</v>
      </c>
      <c r="K975" s="167">
        <f t="shared" si="612"/>
        <v>0</v>
      </c>
      <c r="L975" s="168">
        <f t="shared" si="613"/>
        <v>0</v>
      </c>
      <c r="M975" s="166">
        <f t="shared" si="614"/>
        <v>0</v>
      </c>
      <c r="N975" s="167">
        <f t="shared" si="615"/>
        <v>0</v>
      </c>
      <c r="O975" s="168">
        <f t="shared" si="616"/>
        <v>0</v>
      </c>
      <c r="P975" s="169">
        <f t="shared" si="617"/>
        <v>0</v>
      </c>
      <c r="Q975" s="169">
        <f t="shared" si="618"/>
        <v>0</v>
      </c>
      <c r="R975" s="169">
        <f t="shared" si="619"/>
        <v>0</v>
      </c>
      <c r="S975" s="584">
        <f t="shared" si="590"/>
        <v>0</v>
      </c>
      <c r="T975" s="594">
        <f t="shared" si="591"/>
        <v>0</v>
      </c>
      <c r="U975" s="595">
        <f t="shared" si="592"/>
        <v>0</v>
      </c>
      <c r="V975" s="166">
        <f t="shared" si="593"/>
        <v>0</v>
      </c>
      <c r="W975" s="167">
        <f t="shared" si="594"/>
        <v>0</v>
      </c>
      <c r="X975" s="168">
        <f t="shared" si="595"/>
        <v>0</v>
      </c>
      <c r="Y975" s="166">
        <f t="shared" si="596"/>
        <v>0</v>
      </c>
      <c r="Z975" s="167">
        <f t="shared" si="597"/>
        <v>0</v>
      </c>
      <c r="AA975" s="168">
        <f t="shared" si="598"/>
        <v>0</v>
      </c>
      <c r="AB975" s="166">
        <f t="shared" si="599"/>
        <v>0</v>
      </c>
      <c r="AC975" s="167">
        <f t="shared" si="600"/>
        <v>0</v>
      </c>
      <c r="AD975" s="168">
        <f t="shared" si="601"/>
        <v>0</v>
      </c>
      <c r="AE975" s="166">
        <f t="shared" si="602"/>
        <v>0</v>
      </c>
      <c r="AF975" s="167">
        <f t="shared" si="603"/>
        <v>0</v>
      </c>
      <c r="AG975" s="168">
        <f t="shared" si="604"/>
        <v>0</v>
      </c>
      <c r="AH975" s="166">
        <f t="shared" si="605"/>
        <v>0</v>
      </c>
      <c r="AI975" s="167">
        <f t="shared" si="606"/>
        <v>0</v>
      </c>
      <c r="AJ975" s="168">
        <f t="shared" si="607"/>
        <v>0</v>
      </c>
      <c r="AK975" s="169">
        <f t="shared" si="608"/>
        <v>0</v>
      </c>
      <c r="AL975" s="167">
        <f t="shared" si="609"/>
        <v>0</v>
      </c>
      <c r="AM975" s="585">
        <f t="shared" si="610"/>
        <v>0</v>
      </c>
      <c r="AN975" s="614"/>
      <c r="AO975" s="615"/>
      <c r="AP975" s="615"/>
      <c r="AQ975" s="616"/>
      <c r="AR975" s="612"/>
      <c r="AS975" s="617"/>
      <c r="AT975" s="618"/>
      <c r="AU975" s="618"/>
      <c r="AV975" s="618"/>
      <c r="AW975" s="619"/>
      <c r="AX975" s="614"/>
      <c r="AY975" s="616"/>
      <c r="AZ975" s="616"/>
      <c r="BA975" s="616"/>
      <c r="BB975" s="616"/>
      <c r="BC975" s="616"/>
      <c r="BD975" s="612"/>
      <c r="BE975" s="614"/>
      <c r="BF975" s="616"/>
      <c r="BG975" s="616"/>
      <c r="BH975" s="616"/>
      <c r="BI975" s="616"/>
      <c r="BJ975" s="616"/>
      <c r="BK975" s="1023"/>
      <c r="BL975" s="658"/>
    </row>
    <row r="976" spans="2:64">
      <c r="B976" s="1022"/>
      <c r="C976" s="607"/>
      <c r="D976" s="607"/>
      <c r="E976" s="1021"/>
      <c r="F976" s="608">
        <v>973</v>
      </c>
      <c r="G976" s="609"/>
      <c r="H976" s="610"/>
      <c r="I976" s="611"/>
      <c r="J976" s="166">
        <f t="shared" si="611"/>
        <v>0</v>
      </c>
      <c r="K976" s="167">
        <f t="shared" si="612"/>
        <v>0</v>
      </c>
      <c r="L976" s="168">
        <f t="shared" si="613"/>
        <v>0</v>
      </c>
      <c r="M976" s="166">
        <f t="shared" si="614"/>
        <v>0</v>
      </c>
      <c r="N976" s="167">
        <f t="shared" si="615"/>
        <v>0</v>
      </c>
      <c r="O976" s="168">
        <f t="shared" si="616"/>
        <v>0</v>
      </c>
      <c r="P976" s="169">
        <f t="shared" si="617"/>
        <v>0</v>
      </c>
      <c r="Q976" s="169">
        <f t="shared" si="618"/>
        <v>0</v>
      </c>
      <c r="R976" s="169">
        <f t="shared" si="619"/>
        <v>0</v>
      </c>
      <c r="S976" s="584">
        <f t="shared" si="590"/>
        <v>0</v>
      </c>
      <c r="T976" s="594">
        <f t="shared" si="591"/>
        <v>0</v>
      </c>
      <c r="U976" s="595">
        <f t="shared" si="592"/>
        <v>0</v>
      </c>
      <c r="V976" s="166">
        <f t="shared" si="593"/>
        <v>0</v>
      </c>
      <c r="W976" s="167">
        <f t="shared" si="594"/>
        <v>0</v>
      </c>
      <c r="X976" s="168">
        <f t="shared" si="595"/>
        <v>0</v>
      </c>
      <c r="Y976" s="166">
        <f t="shared" si="596"/>
        <v>0</v>
      </c>
      <c r="Z976" s="167">
        <f t="shared" si="597"/>
        <v>0</v>
      </c>
      <c r="AA976" s="168">
        <f t="shared" si="598"/>
        <v>0</v>
      </c>
      <c r="AB976" s="166">
        <f t="shared" si="599"/>
        <v>0</v>
      </c>
      <c r="AC976" s="167">
        <f t="shared" si="600"/>
        <v>0</v>
      </c>
      <c r="AD976" s="168">
        <f t="shared" si="601"/>
        <v>0</v>
      </c>
      <c r="AE976" s="166">
        <f t="shared" si="602"/>
        <v>0</v>
      </c>
      <c r="AF976" s="167">
        <f t="shared" si="603"/>
        <v>0</v>
      </c>
      <c r="AG976" s="168">
        <f t="shared" si="604"/>
        <v>0</v>
      </c>
      <c r="AH976" s="166">
        <f t="shared" si="605"/>
        <v>0</v>
      </c>
      <c r="AI976" s="167">
        <f t="shared" si="606"/>
        <v>0</v>
      </c>
      <c r="AJ976" s="168">
        <f t="shared" si="607"/>
        <v>0</v>
      </c>
      <c r="AK976" s="169">
        <f t="shared" si="608"/>
        <v>0</v>
      </c>
      <c r="AL976" s="167">
        <f t="shared" si="609"/>
        <v>0</v>
      </c>
      <c r="AM976" s="585">
        <f t="shared" si="610"/>
        <v>0</v>
      </c>
      <c r="AN976" s="614"/>
      <c r="AO976" s="615"/>
      <c r="AP976" s="615"/>
      <c r="AQ976" s="616"/>
      <c r="AR976" s="612"/>
      <c r="AS976" s="617"/>
      <c r="AT976" s="618"/>
      <c r="AU976" s="618"/>
      <c r="AV976" s="618"/>
      <c r="AW976" s="619"/>
      <c r="AX976" s="614"/>
      <c r="AY976" s="616"/>
      <c r="AZ976" s="616"/>
      <c r="BA976" s="616"/>
      <c r="BB976" s="616"/>
      <c r="BC976" s="616"/>
      <c r="BD976" s="612"/>
      <c r="BE976" s="614"/>
      <c r="BF976" s="616"/>
      <c r="BG976" s="616"/>
      <c r="BH976" s="616"/>
      <c r="BI976" s="616"/>
      <c r="BJ976" s="616"/>
      <c r="BK976" s="1023"/>
      <c r="BL976" s="658"/>
    </row>
    <row r="977" spans="2:64">
      <c r="B977" s="1022"/>
      <c r="C977" s="607"/>
      <c r="D977" s="607"/>
      <c r="E977" s="1021"/>
      <c r="F977" s="1019">
        <v>974</v>
      </c>
      <c r="G977" s="609"/>
      <c r="H977" s="610"/>
      <c r="I977" s="611"/>
      <c r="J977" s="166">
        <f t="shared" si="611"/>
        <v>0</v>
      </c>
      <c r="K977" s="167">
        <f t="shared" si="612"/>
        <v>0</v>
      </c>
      <c r="L977" s="168">
        <f t="shared" si="613"/>
        <v>0</v>
      </c>
      <c r="M977" s="166">
        <f t="shared" si="614"/>
        <v>0</v>
      </c>
      <c r="N977" s="167">
        <f t="shared" si="615"/>
        <v>0</v>
      </c>
      <c r="O977" s="168">
        <f t="shared" si="616"/>
        <v>0</v>
      </c>
      <c r="P977" s="169">
        <f t="shared" si="617"/>
        <v>0</v>
      </c>
      <c r="Q977" s="169">
        <f t="shared" si="618"/>
        <v>0</v>
      </c>
      <c r="R977" s="169">
        <f t="shared" si="619"/>
        <v>0</v>
      </c>
      <c r="S977" s="584">
        <f t="shared" si="590"/>
        <v>0</v>
      </c>
      <c r="T977" s="594">
        <f t="shared" si="591"/>
        <v>0</v>
      </c>
      <c r="U977" s="595">
        <f t="shared" si="592"/>
        <v>0</v>
      </c>
      <c r="V977" s="166">
        <f t="shared" si="593"/>
        <v>0</v>
      </c>
      <c r="W977" s="167">
        <f t="shared" si="594"/>
        <v>0</v>
      </c>
      <c r="X977" s="168">
        <f t="shared" si="595"/>
        <v>0</v>
      </c>
      <c r="Y977" s="166">
        <f t="shared" si="596"/>
        <v>0</v>
      </c>
      <c r="Z977" s="167">
        <f t="shared" si="597"/>
        <v>0</v>
      </c>
      <c r="AA977" s="168">
        <f t="shared" si="598"/>
        <v>0</v>
      </c>
      <c r="AB977" s="166">
        <f t="shared" si="599"/>
        <v>0</v>
      </c>
      <c r="AC977" s="167">
        <f t="shared" si="600"/>
        <v>0</v>
      </c>
      <c r="AD977" s="168">
        <f t="shared" si="601"/>
        <v>0</v>
      </c>
      <c r="AE977" s="166">
        <f t="shared" si="602"/>
        <v>0</v>
      </c>
      <c r="AF977" s="167">
        <f t="shared" si="603"/>
        <v>0</v>
      </c>
      <c r="AG977" s="168">
        <f t="shared" si="604"/>
        <v>0</v>
      </c>
      <c r="AH977" s="166">
        <f t="shared" si="605"/>
        <v>0</v>
      </c>
      <c r="AI977" s="167">
        <f t="shared" si="606"/>
        <v>0</v>
      </c>
      <c r="AJ977" s="168">
        <f t="shared" si="607"/>
        <v>0</v>
      </c>
      <c r="AK977" s="169">
        <f t="shared" si="608"/>
        <v>0</v>
      </c>
      <c r="AL977" s="167">
        <f t="shared" si="609"/>
        <v>0</v>
      </c>
      <c r="AM977" s="585">
        <f t="shared" si="610"/>
        <v>0</v>
      </c>
      <c r="AN977" s="614"/>
      <c r="AO977" s="615"/>
      <c r="AP977" s="615"/>
      <c r="AQ977" s="616"/>
      <c r="AR977" s="612"/>
      <c r="AS977" s="617"/>
      <c r="AT977" s="618"/>
      <c r="AU977" s="618"/>
      <c r="AV977" s="618"/>
      <c r="AW977" s="619"/>
      <c r="AX977" s="614"/>
      <c r="AY977" s="616"/>
      <c r="AZ977" s="616"/>
      <c r="BA977" s="616"/>
      <c r="BB977" s="616"/>
      <c r="BC977" s="616"/>
      <c r="BD977" s="612"/>
      <c r="BE977" s="614"/>
      <c r="BF977" s="616"/>
      <c r="BG977" s="616"/>
      <c r="BH977" s="616"/>
      <c r="BI977" s="616"/>
      <c r="BJ977" s="616"/>
      <c r="BK977" s="1023"/>
      <c r="BL977" s="658"/>
    </row>
    <row r="978" spans="2:64">
      <c r="B978" s="1022"/>
      <c r="C978" s="607"/>
      <c r="D978" s="607"/>
      <c r="E978" s="1021"/>
      <c r="F978" s="608">
        <v>975</v>
      </c>
      <c r="G978" s="609"/>
      <c r="H978" s="610"/>
      <c r="I978" s="611"/>
      <c r="J978" s="166">
        <f t="shared" si="611"/>
        <v>0</v>
      </c>
      <c r="K978" s="167">
        <f t="shared" si="612"/>
        <v>0</v>
      </c>
      <c r="L978" s="168">
        <f t="shared" si="613"/>
        <v>0</v>
      </c>
      <c r="M978" s="166">
        <f t="shared" si="614"/>
        <v>0</v>
      </c>
      <c r="N978" s="167">
        <f t="shared" si="615"/>
        <v>0</v>
      </c>
      <c r="O978" s="168">
        <f t="shared" si="616"/>
        <v>0</v>
      </c>
      <c r="P978" s="169">
        <f t="shared" si="617"/>
        <v>0</v>
      </c>
      <c r="Q978" s="169">
        <f t="shared" si="618"/>
        <v>0</v>
      </c>
      <c r="R978" s="169">
        <f t="shared" si="619"/>
        <v>0</v>
      </c>
      <c r="S978" s="584">
        <f t="shared" si="590"/>
        <v>0</v>
      </c>
      <c r="T978" s="594">
        <f t="shared" si="591"/>
        <v>0</v>
      </c>
      <c r="U978" s="595">
        <f t="shared" si="592"/>
        <v>0</v>
      </c>
      <c r="V978" s="166">
        <f t="shared" si="593"/>
        <v>0</v>
      </c>
      <c r="W978" s="167">
        <f t="shared" si="594"/>
        <v>0</v>
      </c>
      <c r="X978" s="168">
        <f t="shared" si="595"/>
        <v>0</v>
      </c>
      <c r="Y978" s="166">
        <f t="shared" si="596"/>
        <v>0</v>
      </c>
      <c r="Z978" s="167">
        <f t="shared" si="597"/>
        <v>0</v>
      </c>
      <c r="AA978" s="168">
        <f t="shared" si="598"/>
        <v>0</v>
      </c>
      <c r="AB978" s="166">
        <f t="shared" si="599"/>
        <v>0</v>
      </c>
      <c r="AC978" s="167">
        <f t="shared" si="600"/>
        <v>0</v>
      </c>
      <c r="AD978" s="168">
        <f t="shared" si="601"/>
        <v>0</v>
      </c>
      <c r="AE978" s="166">
        <f t="shared" si="602"/>
        <v>0</v>
      </c>
      <c r="AF978" s="167">
        <f t="shared" si="603"/>
        <v>0</v>
      </c>
      <c r="AG978" s="168">
        <f t="shared" si="604"/>
        <v>0</v>
      </c>
      <c r="AH978" s="166">
        <f t="shared" si="605"/>
        <v>0</v>
      </c>
      <c r="AI978" s="167">
        <f t="shared" si="606"/>
        <v>0</v>
      </c>
      <c r="AJ978" s="168">
        <f t="shared" si="607"/>
        <v>0</v>
      </c>
      <c r="AK978" s="169">
        <f t="shared" si="608"/>
        <v>0</v>
      </c>
      <c r="AL978" s="167">
        <f t="shared" si="609"/>
        <v>0</v>
      </c>
      <c r="AM978" s="585">
        <f t="shared" si="610"/>
        <v>0</v>
      </c>
      <c r="AN978" s="614"/>
      <c r="AO978" s="615"/>
      <c r="AP978" s="615"/>
      <c r="AQ978" s="616"/>
      <c r="AR978" s="612"/>
      <c r="AS978" s="617"/>
      <c r="AT978" s="618"/>
      <c r="AU978" s="618"/>
      <c r="AV978" s="618"/>
      <c r="AW978" s="619"/>
      <c r="AX978" s="614"/>
      <c r="AY978" s="616"/>
      <c r="AZ978" s="616"/>
      <c r="BA978" s="616"/>
      <c r="BB978" s="616"/>
      <c r="BC978" s="616"/>
      <c r="BD978" s="612"/>
      <c r="BE978" s="614"/>
      <c r="BF978" s="616"/>
      <c r="BG978" s="616"/>
      <c r="BH978" s="616"/>
      <c r="BI978" s="616"/>
      <c r="BJ978" s="616"/>
      <c r="BK978" s="1023"/>
      <c r="BL978" s="658"/>
    </row>
    <row r="979" spans="2:64">
      <c r="B979" s="1022"/>
      <c r="C979" s="607"/>
      <c r="D979" s="607"/>
      <c r="E979" s="1021"/>
      <c r="F979" s="1019">
        <v>976</v>
      </c>
      <c r="G979" s="609"/>
      <c r="H979" s="610"/>
      <c r="I979" s="611"/>
      <c r="J979" s="166">
        <f t="shared" si="611"/>
        <v>0</v>
      </c>
      <c r="K979" s="167">
        <f t="shared" si="612"/>
        <v>0</v>
      </c>
      <c r="L979" s="168">
        <f t="shared" si="613"/>
        <v>0</v>
      </c>
      <c r="M979" s="166">
        <f t="shared" si="614"/>
        <v>0</v>
      </c>
      <c r="N979" s="167">
        <f t="shared" si="615"/>
        <v>0</v>
      </c>
      <c r="O979" s="168">
        <f t="shared" si="616"/>
        <v>0</v>
      </c>
      <c r="P979" s="169">
        <f t="shared" si="617"/>
        <v>0</v>
      </c>
      <c r="Q979" s="169">
        <f t="shared" si="618"/>
        <v>0</v>
      </c>
      <c r="R979" s="169">
        <f t="shared" si="619"/>
        <v>0</v>
      </c>
      <c r="S979" s="584">
        <f t="shared" si="590"/>
        <v>0</v>
      </c>
      <c r="T979" s="594">
        <f t="shared" si="591"/>
        <v>0</v>
      </c>
      <c r="U979" s="595">
        <f t="shared" si="592"/>
        <v>0</v>
      </c>
      <c r="V979" s="166">
        <f t="shared" si="593"/>
        <v>0</v>
      </c>
      <c r="W979" s="167">
        <f t="shared" si="594"/>
        <v>0</v>
      </c>
      <c r="X979" s="168">
        <f t="shared" si="595"/>
        <v>0</v>
      </c>
      <c r="Y979" s="166">
        <f t="shared" si="596"/>
        <v>0</v>
      </c>
      <c r="Z979" s="167">
        <f t="shared" si="597"/>
        <v>0</v>
      </c>
      <c r="AA979" s="168">
        <f t="shared" si="598"/>
        <v>0</v>
      </c>
      <c r="AB979" s="166">
        <f t="shared" si="599"/>
        <v>0</v>
      </c>
      <c r="AC979" s="167">
        <f t="shared" si="600"/>
        <v>0</v>
      </c>
      <c r="AD979" s="168">
        <f t="shared" si="601"/>
        <v>0</v>
      </c>
      <c r="AE979" s="166">
        <f t="shared" si="602"/>
        <v>0</v>
      </c>
      <c r="AF979" s="167">
        <f t="shared" si="603"/>
        <v>0</v>
      </c>
      <c r="AG979" s="168">
        <f t="shared" si="604"/>
        <v>0</v>
      </c>
      <c r="AH979" s="166">
        <f t="shared" si="605"/>
        <v>0</v>
      </c>
      <c r="AI979" s="167">
        <f t="shared" si="606"/>
        <v>0</v>
      </c>
      <c r="AJ979" s="168">
        <f t="shared" si="607"/>
        <v>0</v>
      </c>
      <c r="AK979" s="169">
        <f t="shared" si="608"/>
        <v>0</v>
      </c>
      <c r="AL979" s="167">
        <f t="shared" si="609"/>
        <v>0</v>
      </c>
      <c r="AM979" s="585">
        <f t="shared" si="610"/>
        <v>0</v>
      </c>
      <c r="AN979" s="614"/>
      <c r="AO979" s="615"/>
      <c r="AP979" s="615"/>
      <c r="AQ979" s="616"/>
      <c r="AR979" s="612"/>
      <c r="AS979" s="617"/>
      <c r="AT979" s="618"/>
      <c r="AU979" s="618"/>
      <c r="AV979" s="618"/>
      <c r="AW979" s="619"/>
      <c r="AX979" s="614"/>
      <c r="AY979" s="616"/>
      <c r="AZ979" s="616"/>
      <c r="BA979" s="616"/>
      <c r="BB979" s="616"/>
      <c r="BC979" s="616"/>
      <c r="BD979" s="612"/>
      <c r="BE979" s="614"/>
      <c r="BF979" s="616"/>
      <c r="BG979" s="616"/>
      <c r="BH979" s="616"/>
      <c r="BI979" s="616"/>
      <c r="BJ979" s="616"/>
      <c r="BK979" s="1023"/>
      <c r="BL979" s="658"/>
    </row>
    <row r="980" spans="2:64">
      <c r="B980" s="1022"/>
      <c r="C980" s="607"/>
      <c r="D980" s="607"/>
      <c r="E980" s="1021"/>
      <c r="F980" s="608">
        <v>977</v>
      </c>
      <c r="G980" s="609"/>
      <c r="H980" s="610"/>
      <c r="I980" s="611"/>
      <c r="J980" s="166">
        <f t="shared" si="611"/>
        <v>0</v>
      </c>
      <c r="K980" s="167">
        <f t="shared" si="612"/>
        <v>0</v>
      </c>
      <c r="L980" s="168">
        <f t="shared" si="613"/>
        <v>0</v>
      </c>
      <c r="M980" s="166">
        <f t="shared" si="614"/>
        <v>0</v>
      </c>
      <c r="N980" s="167">
        <f t="shared" si="615"/>
        <v>0</v>
      </c>
      <c r="O980" s="168">
        <f t="shared" si="616"/>
        <v>0</v>
      </c>
      <c r="P980" s="169">
        <f t="shared" si="617"/>
        <v>0</v>
      </c>
      <c r="Q980" s="169">
        <f t="shared" si="618"/>
        <v>0</v>
      </c>
      <c r="R980" s="169">
        <f t="shared" si="619"/>
        <v>0</v>
      </c>
      <c r="S980" s="584">
        <f t="shared" si="590"/>
        <v>0</v>
      </c>
      <c r="T980" s="594">
        <f t="shared" si="591"/>
        <v>0</v>
      </c>
      <c r="U980" s="595">
        <f t="shared" si="592"/>
        <v>0</v>
      </c>
      <c r="V980" s="166">
        <f t="shared" si="593"/>
        <v>0</v>
      </c>
      <c r="W980" s="167">
        <f t="shared" si="594"/>
        <v>0</v>
      </c>
      <c r="X980" s="168">
        <f t="shared" si="595"/>
        <v>0</v>
      </c>
      <c r="Y980" s="166">
        <f t="shared" si="596"/>
        <v>0</v>
      </c>
      <c r="Z980" s="167">
        <f t="shared" si="597"/>
        <v>0</v>
      </c>
      <c r="AA980" s="168">
        <f t="shared" si="598"/>
        <v>0</v>
      </c>
      <c r="AB980" s="166">
        <f t="shared" si="599"/>
        <v>0</v>
      </c>
      <c r="AC980" s="167">
        <f t="shared" si="600"/>
        <v>0</v>
      </c>
      <c r="AD980" s="168">
        <f t="shared" si="601"/>
        <v>0</v>
      </c>
      <c r="AE980" s="166">
        <f t="shared" si="602"/>
        <v>0</v>
      </c>
      <c r="AF980" s="167">
        <f t="shared" si="603"/>
        <v>0</v>
      </c>
      <c r="AG980" s="168">
        <f t="shared" si="604"/>
        <v>0</v>
      </c>
      <c r="AH980" s="166">
        <f t="shared" si="605"/>
        <v>0</v>
      </c>
      <c r="AI980" s="167">
        <f t="shared" si="606"/>
        <v>0</v>
      </c>
      <c r="AJ980" s="168">
        <f t="shared" si="607"/>
        <v>0</v>
      </c>
      <c r="AK980" s="169">
        <f t="shared" si="608"/>
        <v>0</v>
      </c>
      <c r="AL980" s="167">
        <f t="shared" si="609"/>
        <v>0</v>
      </c>
      <c r="AM980" s="585">
        <f t="shared" si="610"/>
        <v>0</v>
      </c>
      <c r="AN980" s="614"/>
      <c r="AO980" s="615"/>
      <c r="AP980" s="615"/>
      <c r="AQ980" s="616"/>
      <c r="AR980" s="612"/>
      <c r="AS980" s="617"/>
      <c r="AT980" s="618"/>
      <c r="AU980" s="618"/>
      <c r="AV980" s="618"/>
      <c r="AW980" s="619"/>
      <c r="AX980" s="614"/>
      <c r="AY980" s="616"/>
      <c r="AZ980" s="616"/>
      <c r="BA980" s="616"/>
      <c r="BB980" s="616"/>
      <c r="BC980" s="616"/>
      <c r="BD980" s="612"/>
      <c r="BE980" s="614"/>
      <c r="BF980" s="616"/>
      <c r="BG980" s="616"/>
      <c r="BH980" s="616"/>
      <c r="BI980" s="616"/>
      <c r="BJ980" s="616"/>
      <c r="BK980" s="1023"/>
      <c r="BL980" s="658"/>
    </row>
    <row r="981" spans="2:64">
      <c r="B981" s="1022"/>
      <c r="C981" s="607"/>
      <c r="D981" s="607"/>
      <c r="E981" s="1021"/>
      <c r="F981" s="1019">
        <v>978</v>
      </c>
      <c r="G981" s="609"/>
      <c r="H981" s="610"/>
      <c r="I981" s="611"/>
      <c r="J981" s="166">
        <f t="shared" si="611"/>
        <v>0</v>
      </c>
      <c r="K981" s="167">
        <f t="shared" si="612"/>
        <v>0</v>
      </c>
      <c r="L981" s="168">
        <f t="shared" si="613"/>
        <v>0</v>
      </c>
      <c r="M981" s="166">
        <f t="shared" si="614"/>
        <v>0</v>
      </c>
      <c r="N981" s="167">
        <f t="shared" si="615"/>
        <v>0</v>
      </c>
      <c r="O981" s="168">
        <f t="shared" si="616"/>
        <v>0</v>
      </c>
      <c r="P981" s="169">
        <f t="shared" si="617"/>
        <v>0</v>
      </c>
      <c r="Q981" s="169">
        <f t="shared" si="618"/>
        <v>0</v>
      </c>
      <c r="R981" s="169">
        <f t="shared" si="619"/>
        <v>0</v>
      </c>
      <c r="S981" s="584">
        <f t="shared" si="590"/>
        <v>0</v>
      </c>
      <c r="T981" s="594">
        <f t="shared" si="591"/>
        <v>0</v>
      </c>
      <c r="U981" s="595">
        <f t="shared" si="592"/>
        <v>0</v>
      </c>
      <c r="V981" s="166">
        <f t="shared" si="593"/>
        <v>0</v>
      </c>
      <c r="W981" s="167">
        <f t="shared" si="594"/>
        <v>0</v>
      </c>
      <c r="X981" s="168">
        <f t="shared" si="595"/>
        <v>0</v>
      </c>
      <c r="Y981" s="166">
        <f t="shared" si="596"/>
        <v>0</v>
      </c>
      <c r="Z981" s="167">
        <f t="shared" si="597"/>
        <v>0</v>
      </c>
      <c r="AA981" s="168">
        <f t="shared" si="598"/>
        <v>0</v>
      </c>
      <c r="AB981" s="166">
        <f t="shared" si="599"/>
        <v>0</v>
      </c>
      <c r="AC981" s="167">
        <f t="shared" si="600"/>
        <v>0</v>
      </c>
      <c r="AD981" s="168">
        <f t="shared" si="601"/>
        <v>0</v>
      </c>
      <c r="AE981" s="166">
        <f t="shared" si="602"/>
        <v>0</v>
      </c>
      <c r="AF981" s="167">
        <f t="shared" si="603"/>
        <v>0</v>
      </c>
      <c r="AG981" s="168">
        <f t="shared" si="604"/>
        <v>0</v>
      </c>
      <c r="AH981" s="166">
        <f t="shared" si="605"/>
        <v>0</v>
      </c>
      <c r="AI981" s="167">
        <f t="shared" si="606"/>
        <v>0</v>
      </c>
      <c r="AJ981" s="168">
        <f t="shared" si="607"/>
        <v>0</v>
      </c>
      <c r="AK981" s="169">
        <f t="shared" si="608"/>
        <v>0</v>
      </c>
      <c r="AL981" s="167">
        <f t="shared" si="609"/>
        <v>0</v>
      </c>
      <c r="AM981" s="585">
        <f t="shared" si="610"/>
        <v>0</v>
      </c>
      <c r="AN981" s="614"/>
      <c r="AO981" s="615"/>
      <c r="AP981" s="615"/>
      <c r="AQ981" s="616"/>
      <c r="AR981" s="612"/>
      <c r="AS981" s="617"/>
      <c r="AT981" s="618"/>
      <c r="AU981" s="618"/>
      <c r="AV981" s="618"/>
      <c r="AW981" s="619"/>
      <c r="AX981" s="614"/>
      <c r="AY981" s="616"/>
      <c r="AZ981" s="616"/>
      <c r="BA981" s="616"/>
      <c r="BB981" s="616"/>
      <c r="BC981" s="616"/>
      <c r="BD981" s="612"/>
      <c r="BE981" s="614"/>
      <c r="BF981" s="616"/>
      <c r="BG981" s="616"/>
      <c r="BH981" s="616"/>
      <c r="BI981" s="616"/>
      <c r="BJ981" s="616"/>
      <c r="BK981" s="1023"/>
      <c r="BL981" s="658"/>
    </row>
    <row r="982" spans="2:64">
      <c r="B982" s="1022"/>
      <c r="C982" s="607"/>
      <c r="D982" s="607"/>
      <c r="E982" s="1021"/>
      <c r="F982" s="608">
        <v>979</v>
      </c>
      <c r="G982" s="609"/>
      <c r="H982" s="610"/>
      <c r="I982" s="611"/>
      <c r="J982" s="166">
        <f t="shared" si="611"/>
        <v>0</v>
      </c>
      <c r="K982" s="167">
        <f t="shared" si="612"/>
        <v>0</v>
      </c>
      <c r="L982" s="168">
        <f t="shared" si="613"/>
        <v>0</v>
      </c>
      <c r="M982" s="166">
        <f t="shared" si="614"/>
        <v>0</v>
      </c>
      <c r="N982" s="167">
        <f t="shared" si="615"/>
        <v>0</v>
      </c>
      <c r="O982" s="168">
        <f t="shared" si="616"/>
        <v>0</v>
      </c>
      <c r="P982" s="169">
        <f t="shared" si="617"/>
        <v>0</v>
      </c>
      <c r="Q982" s="169">
        <f t="shared" si="618"/>
        <v>0</v>
      </c>
      <c r="R982" s="169">
        <f t="shared" si="619"/>
        <v>0</v>
      </c>
      <c r="S982" s="584">
        <f t="shared" si="590"/>
        <v>0</v>
      </c>
      <c r="T982" s="594">
        <f t="shared" si="591"/>
        <v>0</v>
      </c>
      <c r="U982" s="595">
        <f t="shared" si="592"/>
        <v>0</v>
      </c>
      <c r="V982" s="166">
        <f t="shared" si="593"/>
        <v>0</v>
      </c>
      <c r="W982" s="167">
        <f t="shared" si="594"/>
        <v>0</v>
      </c>
      <c r="X982" s="168">
        <f t="shared" si="595"/>
        <v>0</v>
      </c>
      <c r="Y982" s="166">
        <f t="shared" si="596"/>
        <v>0</v>
      </c>
      <c r="Z982" s="167">
        <f t="shared" si="597"/>
        <v>0</v>
      </c>
      <c r="AA982" s="168">
        <f t="shared" si="598"/>
        <v>0</v>
      </c>
      <c r="AB982" s="166">
        <f t="shared" si="599"/>
        <v>0</v>
      </c>
      <c r="AC982" s="167">
        <f t="shared" si="600"/>
        <v>0</v>
      </c>
      <c r="AD982" s="168">
        <f t="shared" si="601"/>
        <v>0</v>
      </c>
      <c r="AE982" s="166">
        <f t="shared" si="602"/>
        <v>0</v>
      </c>
      <c r="AF982" s="167">
        <f t="shared" si="603"/>
        <v>0</v>
      </c>
      <c r="AG982" s="168">
        <f t="shared" si="604"/>
        <v>0</v>
      </c>
      <c r="AH982" s="166">
        <f t="shared" si="605"/>
        <v>0</v>
      </c>
      <c r="AI982" s="167">
        <f t="shared" si="606"/>
        <v>0</v>
      </c>
      <c r="AJ982" s="168">
        <f t="shared" si="607"/>
        <v>0</v>
      </c>
      <c r="AK982" s="169">
        <f t="shared" si="608"/>
        <v>0</v>
      </c>
      <c r="AL982" s="167">
        <f t="shared" si="609"/>
        <v>0</v>
      </c>
      <c r="AM982" s="585">
        <f t="shared" si="610"/>
        <v>0</v>
      </c>
      <c r="AN982" s="614"/>
      <c r="AO982" s="615"/>
      <c r="AP982" s="615"/>
      <c r="AQ982" s="616"/>
      <c r="AR982" s="612"/>
      <c r="AS982" s="617"/>
      <c r="AT982" s="618"/>
      <c r="AU982" s="618"/>
      <c r="AV982" s="618"/>
      <c r="AW982" s="619"/>
      <c r="AX982" s="614"/>
      <c r="AY982" s="616"/>
      <c r="AZ982" s="616"/>
      <c r="BA982" s="616"/>
      <c r="BB982" s="616"/>
      <c r="BC982" s="616"/>
      <c r="BD982" s="612"/>
      <c r="BE982" s="614"/>
      <c r="BF982" s="616"/>
      <c r="BG982" s="616"/>
      <c r="BH982" s="616"/>
      <c r="BI982" s="616"/>
      <c r="BJ982" s="616"/>
      <c r="BK982" s="1023"/>
      <c r="BL982" s="658"/>
    </row>
    <row r="983" spans="2:64">
      <c r="B983" s="1022"/>
      <c r="C983" s="607"/>
      <c r="D983" s="607"/>
      <c r="E983" s="1021"/>
      <c r="F983" s="1019">
        <v>980</v>
      </c>
      <c r="G983" s="609"/>
      <c r="H983" s="610"/>
      <c r="I983" s="611"/>
      <c r="J983" s="166">
        <f t="shared" si="611"/>
        <v>0</v>
      </c>
      <c r="K983" s="167">
        <f t="shared" si="612"/>
        <v>0</v>
      </c>
      <c r="L983" s="168">
        <f t="shared" si="613"/>
        <v>0</v>
      </c>
      <c r="M983" s="166">
        <f t="shared" si="614"/>
        <v>0</v>
      </c>
      <c r="N983" s="167">
        <f t="shared" si="615"/>
        <v>0</v>
      </c>
      <c r="O983" s="168">
        <f t="shared" si="616"/>
        <v>0</v>
      </c>
      <c r="P983" s="169">
        <f t="shared" si="617"/>
        <v>0</v>
      </c>
      <c r="Q983" s="169">
        <f t="shared" si="618"/>
        <v>0</v>
      </c>
      <c r="R983" s="169">
        <f t="shared" si="619"/>
        <v>0</v>
      </c>
      <c r="S983" s="584">
        <f t="shared" si="590"/>
        <v>0</v>
      </c>
      <c r="T983" s="594">
        <f t="shared" si="591"/>
        <v>0</v>
      </c>
      <c r="U983" s="595">
        <f t="shared" si="592"/>
        <v>0</v>
      </c>
      <c r="V983" s="166">
        <f t="shared" si="593"/>
        <v>0</v>
      </c>
      <c r="W983" s="167">
        <f t="shared" si="594"/>
        <v>0</v>
      </c>
      <c r="X983" s="168">
        <f t="shared" si="595"/>
        <v>0</v>
      </c>
      <c r="Y983" s="166">
        <f t="shared" si="596"/>
        <v>0</v>
      </c>
      <c r="Z983" s="167">
        <f t="shared" si="597"/>
        <v>0</v>
      </c>
      <c r="AA983" s="168">
        <f t="shared" si="598"/>
        <v>0</v>
      </c>
      <c r="AB983" s="166">
        <f t="shared" si="599"/>
        <v>0</v>
      </c>
      <c r="AC983" s="167">
        <f t="shared" si="600"/>
        <v>0</v>
      </c>
      <c r="AD983" s="168">
        <f t="shared" si="601"/>
        <v>0</v>
      </c>
      <c r="AE983" s="166">
        <f t="shared" si="602"/>
        <v>0</v>
      </c>
      <c r="AF983" s="167">
        <f t="shared" si="603"/>
        <v>0</v>
      </c>
      <c r="AG983" s="168">
        <f t="shared" si="604"/>
        <v>0</v>
      </c>
      <c r="AH983" s="166">
        <f t="shared" si="605"/>
        <v>0</v>
      </c>
      <c r="AI983" s="167">
        <f t="shared" si="606"/>
        <v>0</v>
      </c>
      <c r="AJ983" s="168">
        <f t="shared" si="607"/>
        <v>0</v>
      </c>
      <c r="AK983" s="169">
        <f t="shared" si="608"/>
        <v>0</v>
      </c>
      <c r="AL983" s="167">
        <f t="shared" si="609"/>
        <v>0</v>
      </c>
      <c r="AM983" s="585">
        <f t="shared" si="610"/>
        <v>0</v>
      </c>
      <c r="AN983" s="614"/>
      <c r="AO983" s="615"/>
      <c r="AP983" s="615"/>
      <c r="AQ983" s="616"/>
      <c r="AR983" s="612"/>
      <c r="AS983" s="617"/>
      <c r="AT983" s="618"/>
      <c r="AU983" s="618"/>
      <c r="AV983" s="618"/>
      <c r="AW983" s="619"/>
      <c r="AX983" s="614"/>
      <c r="AY983" s="616"/>
      <c r="AZ983" s="616"/>
      <c r="BA983" s="616"/>
      <c r="BB983" s="616"/>
      <c r="BC983" s="616"/>
      <c r="BD983" s="612"/>
      <c r="BE983" s="614"/>
      <c r="BF983" s="616"/>
      <c r="BG983" s="616"/>
      <c r="BH983" s="616"/>
      <c r="BI983" s="616"/>
      <c r="BJ983" s="616"/>
      <c r="BK983" s="1023"/>
      <c r="BL983" s="658"/>
    </row>
    <row r="984" spans="2:64">
      <c r="B984" s="1022"/>
      <c r="C984" s="607"/>
      <c r="D984" s="607"/>
      <c r="E984" s="1021"/>
      <c r="F984" s="608">
        <v>981</v>
      </c>
      <c r="G984" s="609"/>
      <c r="H984" s="610"/>
      <c r="I984" s="611"/>
      <c r="J984" s="166">
        <f t="shared" si="611"/>
        <v>0</v>
      </c>
      <c r="K984" s="167">
        <f t="shared" si="612"/>
        <v>0</v>
      </c>
      <c r="L984" s="168">
        <f t="shared" si="613"/>
        <v>0</v>
      </c>
      <c r="M984" s="166">
        <f t="shared" si="614"/>
        <v>0</v>
      </c>
      <c r="N984" s="167">
        <f t="shared" si="615"/>
        <v>0</v>
      </c>
      <c r="O984" s="168">
        <f t="shared" si="616"/>
        <v>0</v>
      </c>
      <c r="P984" s="169">
        <f t="shared" si="617"/>
        <v>0</v>
      </c>
      <c r="Q984" s="169">
        <f t="shared" si="618"/>
        <v>0</v>
      </c>
      <c r="R984" s="169">
        <f t="shared" si="619"/>
        <v>0</v>
      </c>
      <c r="S984" s="584">
        <f t="shared" si="590"/>
        <v>0</v>
      </c>
      <c r="T984" s="594">
        <f t="shared" si="591"/>
        <v>0</v>
      </c>
      <c r="U984" s="595">
        <f t="shared" si="592"/>
        <v>0</v>
      </c>
      <c r="V984" s="166">
        <f t="shared" si="593"/>
        <v>0</v>
      </c>
      <c r="W984" s="167">
        <f t="shared" si="594"/>
        <v>0</v>
      </c>
      <c r="X984" s="168">
        <f t="shared" si="595"/>
        <v>0</v>
      </c>
      <c r="Y984" s="166">
        <f t="shared" si="596"/>
        <v>0</v>
      </c>
      <c r="Z984" s="167">
        <f t="shared" si="597"/>
        <v>0</v>
      </c>
      <c r="AA984" s="168">
        <f t="shared" si="598"/>
        <v>0</v>
      </c>
      <c r="AB984" s="166">
        <f t="shared" si="599"/>
        <v>0</v>
      </c>
      <c r="AC984" s="167">
        <f t="shared" si="600"/>
        <v>0</v>
      </c>
      <c r="AD984" s="168">
        <f t="shared" si="601"/>
        <v>0</v>
      </c>
      <c r="AE984" s="166">
        <f t="shared" si="602"/>
        <v>0</v>
      </c>
      <c r="AF984" s="167">
        <f t="shared" si="603"/>
        <v>0</v>
      </c>
      <c r="AG984" s="168">
        <f t="shared" si="604"/>
        <v>0</v>
      </c>
      <c r="AH984" s="166">
        <f t="shared" si="605"/>
        <v>0</v>
      </c>
      <c r="AI984" s="167">
        <f t="shared" si="606"/>
        <v>0</v>
      </c>
      <c r="AJ984" s="168">
        <f t="shared" si="607"/>
        <v>0</v>
      </c>
      <c r="AK984" s="169">
        <f t="shared" si="608"/>
        <v>0</v>
      </c>
      <c r="AL984" s="167">
        <f t="shared" si="609"/>
        <v>0</v>
      </c>
      <c r="AM984" s="585">
        <f t="shared" si="610"/>
        <v>0</v>
      </c>
      <c r="AN984" s="614"/>
      <c r="AO984" s="615"/>
      <c r="AP984" s="615"/>
      <c r="AQ984" s="616"/>
      <c r="AR984" s="612"/>
      <c r="AS984" s="617"/>
      <c r="AT984" s="618"/>
      <c r="AU984" s="618"/>
      <c r="AV984" s="618"/>
      <c r="AW984" s="619"/>
      <c r="AX984" s="614"/>
      <c r="AY984" s="616"/>
      <c r="AZ984" s="616"/>
      <c r="BA984" s="616"/>
      <c r="BB984" s="616"/>
      <c r="BC984" s="616"/>
      <c r="BD984" s="612"/>
      <c r="BE984" s="614"/>
      <c r="BF984" s="616"/>
      <c r="BG984" s="616"/>
      <c r="BH984" s="616"/>
      <c r="BI984" s="616"/>
      <c r="BJ984" s="616"/>
      <c r="BK984" s="1023"/>
      <c r="BL984" s="658"/>
    </row>
    <row r="985" spans="2:64">
      <c r="B985" s="1022"/>
      <c r="C985" s="607"/>
      <c r="D985" s="607"/>
      <c r="E985" s="1021"/>
      <c r="F985" s="1019">
        <v>982</v>
      </c>
      <c r="G985" s="609"/>
      <c r="H985" s="610"/>
      <c r="I985" s="611"/>
      <c r="J985" s="166">
        <f t="shared" si="611"/>
        <v>0</v>
      </c>
      <c r="K985" s="167">
        <f t="shared" si="612"/>
        <v>0</v>
      </c>
      <c r="L985" s="168">
        <f t="shared" si="613"/>
        <v>0</v>
      </c>
      <c r="M985" s="166">
        <f t="shared" si="614"/>
        <v>0</v>
      </c>
      <c r="N985" s="167">
        <f t="shared" si="615"/>
        <v>0</v>
      </c>
      <c r="O985" s="168">
        <f t="shared" si="616"/>
        <v>0</v>
      </c>
      <c r="P985" s="169">
        <f t="shared" si="617"/>
        <v>0</v>
      </c>
      <c r="Q985" s="169">
        <f t="shared" si="618"/>
        <v>0</v>
      </c>
      <c r="R985" s="169">
        <f t="shared" si="619"/>
        <v>0</v>
      </c>
      <c r="S985" s="584">
        <f t="shared" ref="S985:S999" si="620">ROUND(IF($C985="UR",G985*0.25,G985*0.3),0)</f>
        <v>0</v>
      </c>
      <c r="T985" s="594">
        <f t="shared" ref="T985:T999" si="621">ROUND(IF($C985="UR",H985*0.25,H985*0.3),0)</f>
        <v>0</v>
      </c>
      <c r="U985" s="595">
        <f t="shared" ref="U985:U999" si="622">ROUND(IF($C985="UR",I985*0.25,I985*0.3),0)</f>
        <v>0</v>
      </c>
      <c r="V985" s="166">
        <f t="shared" ref="V985:V999" si="623">(IF($C985="UR",IF($E985="party卡",18,12))+IF($C985="SR",10)+IF($C985="R",8))*M985+J985+S985</f>
        <v>0</v>
      </c>
      <c r="W985" s="167">
        <f t="shared" ref="W985:W999" si="624">(IF($C985="UR",IF($E985="party卡",18,12))+IF($C985="SR",10)+IF($C985="R",8))*N985+K985+T985</f>
        <v>0</v>
      </c>
      <c r="X985" s="168">
        <f t="shared" ref="X985:X999" si="625">(IF($C985="UR",IF($E985="party卡",18,12))+IF($C985="SR",10)+IF($C985="R",8))*O985+L985+U985</f>
        <v>0</v>
      </c>
      <c r="Y985" s="166">
        <f t="shared" ref="Y985:Y999" si="626">V985+(IF(C985="UR",IF(E985="party卡",IF(D985="gd",1,2),IF(D985="vo",2)+IF(D985="sp",1)+IF(D985="gd",3)+IF(D985="sk",1)))+IF(C985="SR",2)+IF(C985="R",IF(D985="vo",1)+IF(D985="sp",2)+IF(D985="gd",1)+IF(D985="sk",2)))*P985</f>
        <v>0</v>
      </c>
      <c r="Z985" s="167">
        <f t="shared" ref="Z985:Z999" si="627">W985+(IF(C985="UR",IF(E985="party卡",IF(D985="sp",1,2),IF(D985="vo",1)+IF(D985="sp",3)+IF(D985="gd",2)+IF(D985="sk",2)))+IF(C985="SR",2)+IF(C985="R",IF(D985="vo",2)+IF(D985="sp",1)+IF(D985="gd",1)+IF(D985="sk",1)))*Q985</f>
        <v>0</v>
      </c>
      <c r="AA985" s="168">
        <f t="shared" ref="AA985:AA999" si="628">X985+(IF(C985="UR",IF(E985="party卡",IF(OR(D985="vo",D985="sk"),1,2),IF(D985="vo",3)+IF(D985="sp",2)+IF(D985="gd",1)+IF(D985="sk",3)))+IF(C985="SR",2)+IF(C985="R",IF(D985="vo",1)+IF(D985="sp",1)+IF(D985="gd",2)+IF(D985="sk",1)))*R985</f>
        <v>0</v>
      </c>
      <c r="AB985" s="166">
        <f t="shared" ref="AB985:AB999" si="629">V985+(IF(C985="UR",IF(E985="party卡",IF(OR(D985="sp",D985="sk"),3,2),IF(D985="vo",5)+IF(D985="sp",4)+IF(D985="gd",4)+IF(D985="sk",4)))+IF(C985="SR",4)+IF(C985="R",IF(D985="vo",3)+IF(D985="sp",3)+IF(D985="gd",2)+IF(D985="sk",3)))*P985</f>
        <v>0</v>
      </c>
      <c r="AC985" s="167">
        <f t="shared" ref="AC985:AC999" si="630">W985+(IF(C985="UR",IF(E985="party卡",IF(D985="vo",3,2),IF(D985="vo",4)+IF(D985="sp",4)+IF(D985="gd",5)+IF(D985="sk",5)))+IF(C985="SR",4)+IF(C985="R",IF(D985="vo",3)+IF(D985="sp",2)+IF(D985="gd",3)+IF(D985="sk",3)))*Q985</f>
        <v>0</v>
      </c>
      <c r="AD985" s="168">
        <f t="shared" ref="AD985:AD999" si="631">X985+(IF(C985="UR",IF(E985="party卡",IF(D985="gd",3,2),IF(D985="vo",4)+IF(D985="sp",5)+IF(D985="gd",4)+IF(D985="sk",4)))+IF(C985="SR",4)+IF(C985="R",IF(D985="vo",2)+IF(D985="sp",3)+IF(D985="gd",3)+IF(D985="sk",2)))*R985</f>
        <v>0</v>
      </c>
      <c r="AE985" s="166">
        <f t="shared" ref="AE985:AE999" si="632">V985+(IF(C985="UR",IF(E985="party卡",3,IF(D985="vo",7)+IF(D985="sp",8)+IF(D985="gd",6)+IF(D985="sk",8)))+IF(C985="SR",IF(D985="vo",5)+IF(D985="sp",6)+IF(D985="gd",6)+IF(D985="sk",6))+IF(C985="R",IF(D985="vo",5)+IF(D985="sp",4)+IF(D985="gd",4)+IF(D985="sk",4)))*P985</f>
        <v>0</v>
      </c>
      <c r="AF985" s="167">
        <f t="shared" ref="AF985:AF999" si="633">W985+(IF(C985="UR",IF(E985="party卡",3,IF(D985="vo",8)+IF(D985="sp",6)+IF(D985="gd",7)+IF(D985="sk",7)))+IF(C985="SR",IF(D985="vo",6)+IF(D985="sp",6)+IF(D985="gd",5)+IF(D985="sk",5))+IF(C985="R",IF(D985="vo",4)+IF(D985="sp",4)+IF(D985="gd",5)+IF(D985="sk",5)))*Q985</f>
        <v>0</v>
      </c>
      <c r="AG985" s="168">
        <f t="shared" ref="AG985:AG999" si="634">X985+(IF(C985="UR",IF(E985="party卡",3,IF(D985="vo",6)+IF(D985="sp",7)+IF(D985="gd",8)+IF(D985="sk",6)))+IF(C985="SR",IF(D985="vo",6)+IF(D985="sp",5)+IF(D985="gd",6)+IF(D985="sk",6))+IF(C985="R",IF(D985="vo",4)+IF(D985="sp",5)+IF(D985="gd",4)+IF(D985="sk",4)))*R985</f>
        <v>0</v>
      </c>
      <c r="AH985" s="166">
        <f t="shared" ref="AH985:AH999" si="635">V985+(IF(C985="UR",IF(E985="party卡",4,IF(D985="vo",9)+IF(D985="sp",10)+IF(D985="gd",10)+IF(D985="sk",10)))+IF(C985="SR",IF(D985="vo",7)+IF(D985="sp",7)+IF(D985="gd",9)+IF(D985="sk",7))+IF(C985="R",IF(D985="vo",7)+IF(D985="sp",6)+IF(D985="gd",6)+IF(D985="sk",6)))*P985</f>
        <v>0</v>
      </c>
      <c r="AI985" s="167">
        <f t="shared" ref="AI985:AI999" si="636">W985+(IF(C985="UR",IF(E985="party卡",4,IF(D985="vo",10)+IF(D985="sp",10)+IF(D985="gd",9)+IF(D985="sk",9)))+IF(C985="SR",IF(D985="vo",7)+IF(D985="sp",9)+IF(D985="gd",7)+IF(D985="sk",7))+IF(C985="R",IF(D985="vo",6)+IF(D985="sp",6)+IF(D985="gd",7)+IF(D985="sk",7)))*Q985</f>
        <v>0</v>
      </c>
      <c r="AJ985" s="168">
        <f t="shared" ref="AJ985:AJ999" si="637">X985+(IF(C985="UR",IF(E985="party卡",4,IF(D985="vo",10)+IF(D985="sp",9)+IF(D985="gd",10)+IF(D985="sk",10)))+IF(C985="SR",IF(D985="vo",9)+IF(D985="sp",7)+IF(D985="gd",7)+IF(D985="sk",9))+IF(C985="R",IF(D985="vo",6)+IF(D985="sp",7)+IF(D985="gd",6)+IF(D985="sk",6)))*R985</f>
        <v>0</v>
      </c>
      <c r="AK985" s="169">
        <f t="shared" ref="AK985:AK999" si="638">G985+J985</f>
        <v>0</v>
      </c>
      <c r="AL985" s="167">
        <f t="shared" ref="AL985:AL999" si="639">H985+K985</f>
        <v>0</v>
      </c>
      <c r="AM985" s="585">
        <f t="shared" ref="AM985:AM999" si="640">I985+L985</f>
        <v>0</v>
      </c>
      <c r="AN985" s="614"/>
      <c r="AO985" s="615"/>
      <c r="AP985" s="615"/>
      <c r="AQ985" s="616"/>
      <c r="AR985" s="612"/>
      <c r="AS985" s="617"/>
      <c r="AT985" s="618"/>
      <c r="AU985" s="618"/>
      <c r="AV985" s="618"/>
      <c r="AW985" s="619"/>
      <c r="AX985" s="614"/>
      <c r="AY985" s="616"/>
      <c r="AZ985" s="616"/>
      <c r="BA985" s="616"/>
      <c r="BB985" s="616"/>
      <c r="BC985" s="616"/>
      <c r="BD985" s="612"/>
      <c r="BE985" s="614"/>
      <c r="BF985" s="616"/>
      <c r="BG985" s="616"/>
      <c r="BH985" s="616"/>
      <c r="BI985" s="616"/>
      <c r="BJ985" s="616"/>
      <c r="BK985" s="1023"/>
      <c r="BL985" s="658"/>
    </row>
    <row r="986" spans="2:64">
      <c r="B986" s="1022"/>
      <c r="C986" s="607"/>
      <c r="D986" s="607"/>
      <c r="E986" s="1021"/>
      <c r="F986" s="608">
        <v>983</v>
      </c>
      <c r="G986" s="609"/>
      <c r="H986" s="610"/>
      <c r="I986" s="611"/>
      <c r="J986" s="166">
        <f t="shared" si="611"/>
        <v>0</v>
      </c>
      <c r="K986" s="167">
        <f t="shared" si="612"/>
        <v>0</v>
      </c>
      <c r="L986" s="168">
        <f t="shared" si="613"/>
        <v>0</v>
      </c>
      <c r="M986" s="166">
        <f t="shared" si="614"/>
        <v>0</v>
      </c>
      <c r="N986" s="167">
        <f t="shared" si="615"/>
        <v>0</v>
      </c>
      <c r="O986" s="168">
        <f t="shared" si="616"/>
        <v>0</v>
      </c>
      <c r="P986" s="169">
        <f t="shared" si="617"/>
        <v>0</v>
      </c>
      <c r="Q986" s="169">
        <f t="shared" si="618"/>
        <v>0</v>
      </c>
      <c r="R986" s="169">
        <f t="shared" si="619"/>
        <v>0</v>
      </c>
      <c r="S986" s="584">
        <f t="shared" si="620"/>
        <v>0</v>
      </c>
      <c r="T986" s="594">
        <f t="shared" si="621"/>
        <v>0</v>
      </c>
      <c r="U986" s="595">
        <f t="shared" si="622"/>
        <v>0</v>
      </c>
      <c r="V986" s="166">
        <f t="shared" si="623"/>
        <v>0</v>
      </c>
      <c r="W986" s="167">
        <f t="shared" si="624"/>
        <v>0</v>
      </c>
      <c r="X986" s="168">
        <f t="shared" si="625"/>
        <v>0</v>
      </c>
      <c r="Y986" s="166">
        <f t="shared" si="626"/>
        <v>0</v>
      </c>
      <c r="Z986" s="167">
        <f t="shared" si="627"/>
        <v>0</v>
      </c>
      <c r="AA986" s="168">
        <f t="shared" si="628"/>
        <v>0</v>
      </c>
      <c r="AB986" s="166">
        <f t="shared" si="629"/>
        <v>0</v>
      </c>
      <c r="AC986" s="167">
        <f t="shared" si="630"/>
        <v>0</v>
      </c>
      <c r="AD986" s="168">
        <f t="shared" si="631"/>
        <v>0</v>
      </c>
      <c r="AE986" s="166">
        <f t="shared" si="632"/>
        <v>0</v>
      </c>
      <c r="AF986" s="167">
        <f t="shared" si="633"/>
        <v>0</v>
      </c>
      <c r="AG986" s="168">
        <f t="shared" si="634"/>
        <v>0</v>
      </c>
      <c r="AH986" s="166">
        <f t="shared" si="635"/>
        <v>0</v>
      </c>
      <c r="AI986" s="167">
        <f t="shared" si="636"/>
        <v>0</v>
      </c>
      <c r="AJ986" s="168">
        <f t="shared" si="637"/>
        <v>0</v>
      </c>
      <c r="AK986" s="169">
        <f t="shared" si="638"/>
        <v>0</v>
      </c>
      <c r="AL986" s="167">
        <f t="shared" si="639"/>
        <v>0</v>
      </c>
      <c r="AM986" s="585">
        <f t="shared" si="640"/>
        <v>0</v>
      </c>
      <c r="AN986" s="614"/>
      <c r="AO986" s="615"/>
      <c r="AP986" s="615"/>
      <c r="AQ986" s="616"/>
      <c r="AR986" s="612"/>
      <c r="AS986" s="617"/>
      <c r="AT986" s="618"/>
      <c r="AU986" s="618"/>
      <c r="AV986" s="618"/>
      <c r="AW986" s="619"/>
      <c r="AX986" s="614"/>
      <c r="AY986" s="616"/>
      <c r="AZ986" s="616"/>
      <c r="BA986" s="616"/>
      <c r="BB986" s="616"/>
      <c r="BC986" s="616"/>
      <c r="BD986" s="612"/>
      <c r="BE986" s="614"/>
      <c r="BF986" s="616"/>
      <c r="BG986" s="616"/>
      <c r="BH986" s="616"/>
      <c r="BI986" s="616"/>
      <c r="BJ986" s="616"/>
      <c r="BK986" s="1023"/>
      <c r="BL986" s="658"/>
    </row>
    <row r="987" spans="2:64">
      <c r="B987" s="1022"/>
      <c r="C987" s="607"/>
      <c r="D987" s="607"/>
      <c r="E987" s="1021"/>
      <c r="F987" s="1019">
        <v>984</v>
      </c>
      <c r="G987" s="609"/>
      <c r="H987" s="610"/>
      <c r="I987" s="611"/>
      <c r="J987" s="166">
        <f t="shared" si="611"/>
        <v>0</v>
      </c>
      <c r="K987" s="167">
        <f t="shared" si="612"/>
        <v>0</v>
      </c>
      <c r="L987" s="168">
        <f t="shared" si="613"/>
        <v>0</v>
      </c>
      <c r="M987" s="166">
        <f t="shared" si="614"/>
        <v>0</v>
      </c>
      <c r="N987" s="167">
        <f t="shared" si="615"/>
        <v>0</v>
      </c>
      <c r="O987" s="168">
        <f t="shared" si="616"/>
        <v>0</v>
      </c>
      <c r="P987" s="169">
        <f t="shared" si="617"/>
        <v>0</v>
      </c>
      <c r="Q987" s="169">
        <f t="shared" si="618"/>
        <v>0</v>
      </c>
      <c r="R987" s="169">
        <f t="shared" si="619"/>
        <v>0</v>
      </c>
      <c r="S987" s="584">
        <f t="shared" si="620"/>
        <v>0</v>
      </c>
      <c r="T987" s="594">
        <f t="shared" si="621"/>
        <v>0</v>
      </c>
      <c r="U987" s="595">
        <f t="shared" si="622"/>
        <v>0</v>
      </c>
      <c r="V987" s="166">
        <f t="shared" si="623"/>
        <v>0</v>
      </c>
      <c r="W987" s="167">
        <f t="shared" si="624"/>
        <v>0</v>
      </c>
      <c r="X987" s="168">
        <f t="shared" si="625"/>
        <v>0</v>
      </c>
      <c r="Y987" s="166">
        <f t="shared" si="626"/>
        <v>0</v>
      </c>
      <c r="Z987" s="167">
        <f t="shared" si="627"/>
        <v>0</v>
      </c>
      <c r="AA987" s="168">
        <f t="shared" si="628"/>
        <v>0</v>
      </c>
      <c r="AB987" s="166">
        <f t="shared" si="629"/>
        <v>0</v>
      </c>
      <c r="AC987" s="167">
        <f t="shared" si="630"/>
        <v>0</v>
      </c>
      <c r="AD987" s="168">
        <f t="shared" si="631"/>
        <v>0</v>
      </c>
      <c r="AE987" s="166">
        <f t="shared" si="632"/>
        <v>0</v>
      </c>
      <c r="AF987" s="167">
        <f t="shared" si="633"/>
        <v>0</v>
      </c>
      <c r="AG987" s="168">
        <f t="shared" si="634"/>
        <v>0</v>
      </c>
      <c r="AH987" s="166">
        <f t="shared" si="635"/>
        <v>0</v>
      </c>
      <c r="AI987" s="167">
        <f t="shared" si="636"/>
        <v>0</v>
      </c>
      <c r="AJ987" s="168">
        <f t="shared" si="637"/>
        <v>0</v>
      </c>
      <c r="AK987" s="169">
        <f t="shared" si="638"/>
        <v>0</v>
      </c>
      <c r="AL987" s="167">
        <f t="shared" si="639"/>
        <v>0</v>
      </c>
      <c r="AM987" s="585">
        <f t="shared" si="640"/>
        <v>0</v>
      </c>
      <c r="AN987" s="614"/>
      <c r="AO987" s="615"/>
      <c r="AP987" s="615"/>
      <c r="AQ987" s="616"/>
      <c r="AR987" s="612"/>
      <c r="AS987" s="617"/>
      <c r="AT987" s="618"/>
      <c r="AU987" s="618"/>
      <c r="AV987" s="618"/>
      <c r="AW987" s="619"/>
      <c r="AX987" s="614"/>
      <c r="AY987" s="616"/>
      <c r="AZ987" s="616"/>
      <c r="BA987" s="616"/>
      <c r="BB987" s="616"/>
      <c r="BC987" s="616"/>
      <c r="BD987" s="612"/>
      <c r="BE987" s="614"/>
      <c r="BF987" s="616"/>
      <c r="BG987" s="616"/>
      <c r="BH987" s="616"/>
      <c r="BI987" s="616"/>
      <c r="BJ987" s="616"/>
      <c r="BK987" s="1023"/>
      <c r="BL987" s="658"/>
    </row>
    <row r="988" spans="2:64">
      <c r="B988" s="1022"/>
      <c r="C988" s="607"/>
      <c r="D988" s="607"/>
      <c r="E988" s="1021"/>
      <c r="F988" s="608">
        <v>985</v>
      </c>
      <c r="G988" s="609"/>
      <c r="H988" s="610"/>
      <c r="I988" s="611"/>
      <c r="J988" s="166">
        <f t="shared" si="611"/>
        <v>0</v>
      </c>
      <c r="K988" s="167">
        <f t="shared" si="612"/>
        <v>0</v>
      </c>
      <c r="L988" s="168">
        <f t="shared" si="613"/>
        <v>0</v>
      </c>
      <c r="M988" s="166">
        <f t="shared" si="614"/>
        <v>0</v>
      </c>
      <c r="N988" s="167">
        <f t="shared" si="615"/>
        <v>0</v>
      </c>
      <c r="O988" s="168">
        <f t="shared" si="616"/>
        <v>0</v>
      </c>
      <c r="P988" s="169">
        <f t="shared" si="617"/>
        <v>0</v>
      </c>
      <c r="Q988" s="169">
        <f t="shared" si="618"/>
        <v>0</v>
      </c>
      <c r="R988" s="169">
        <f t="shared" si="619"/>
        <v>0</v>
      </c>
      <c r="S988" s="584">
        <f t="shared" si="620"/>
        <v>0</v>
      </c>
      <c r="T988" s="594">
        <f t="shared" si="621"/>
        <v>0</v>
      </c>
      <c r="U988" s="595">
        <f t="shared" si="622"/>
        <v>0</v>
      </c>
      <c r="V988" s="166">
        <f t="shared" si="623"/>
        <v>0</v>
      </c>
      <c r="W988" s="167">
        <f t="shared" si="624"/>
        <v>0</v>
      </c>
      <c r="X988" s="168">
        <f t="shared" si="625"/>
        <v>0</v>
      </c>
      <c r="Y988" s="166">
        <f t="shared" si="626"/>
        <v>0</v>
      </c>
      <c r="Z988" s="167">
        <f t="shared" si="627"/>
        <v>0</v>
      </c>
      <c r="AA988" s="168">
        <f t="shared" si="628"/>
        <v>0</v>
      </c>
      <c r="AB988" s="166">
        <f t="shared" si="629"/>
        <v>0</v>
      </c>
      <c r="AC988" s="167">
        <f t="shared" si="630"/>
        <v>0</v>
      </c>
      <c r="AD988" s="168">
        <f t="shared" si="631"/>
        <v>0</v>
      </c>
      <c r="AE988" s="166">
        <f t="shared" si="632"/>
        <v>0</v>
      </c>
      <c r="AF988" s="167">
        <f t="shared" si="633"/>
        <v>0</v>
      </c>
      <c r="AG988" s="168">
        <f t="shared" si="634"/>
        <v>0</v>
      </c>
      <c r="AH988" s="166">
        <f t="shared" si="635"/>
        <v>0</v>
      </c>
      <c r="AI988" s="167">
        <f t="shared" si="636"/>
        <v>0</v>
      </c>
      <c r="AJ988" s="168">
        <f t="shared" si="637"/>
        <v>0</v>
      </c>
      <c r="AK988" s="169">
        <f t="shared" si="638"/>
        <v>0</v>
      </c>
      <c r="AL988" s="167">
        <f t="shared" si="639"/>
        <v>0</v>
      </c>
      <c r="AM988" s="585">
        <f t="shared" si="640"/>
        <v>0</v>
      </c>
      <c r="AN988" s="614"/>
      <c r="AO988" s="615"/>
      <c r="AP988" s="615"/>
      <c r="AQ988" s="616"/>
      <c r="AR988" s="612"/>
      <c r="AS988" s="617"/>
      <c r="AT988" s="618"/>
      <c r="AU988" s="618"/>
      <c r="AV988" s="618"/>
      <c r="AW988" s="619"/>
      <c r="AX988" s="614"/>
      <c r="AY988" s="616"/>
      <c r="AZ988" s="616"/>
      <c r="BA988" s="616"/>
      <c r="BB988" s="616"/>
      <c r="BC988" s="616"/>
      <c r="BD988" s="612"/>
      <c r="BE988" s="614"/>
      <c r="BF988" s="616"/>
      <c r="BG988" s="616"/>
      <c r="BH988" s="616"/>
      <c r="BI988" s="616"/>
      <c r="BJ988" s="616"/>
      <c r="BK988" s="1023"/>
      <c r="BL988" s="658"/>
    </row>
    <row r="989" spans="2:64">
      <c r="B989" s="1022"/>
      <c r="C989" s="607"/>
      <c r="D989" s="607"/>
      <c r="E989" s="1021"/>
      <c r="F989" s="1019">
        <v>986</v>
      </c>
      <c r="G989" s="609"/>
      <c r="H989" s="610"/>
      <c r="I989" s="611"/>
      <c r="J989" s="166">
        <f t="shared" si="611"/>
        <v>0</v>
      </c>
      <c r="K989" s="167">
        <f t="shared" si="612"/>
        <v>0</v>
      </c>
      <c r="L989" s="168">
        <f t="shared" si="613"/>
        <v>0</v>
      </c>
      <c r="M989" s="166">
        <f t="shared" si="614"/>
        <v>0</v>
      </c>
      <c r="N989" s="167">
        <f t="shared" si="615"/>
        <v>0</v>
      </c>
      <c r="O989" s="168">
        <f t="shared" si="616"/>
        <v>0</v>
      </c>
      <c r="P989" s="169">
        <f t="shared" si="617"/>
        <v>0</v>
      </c>
      <c r="Q989" s="169">
        <f t="shared" si="618"/>
        <v>0</v>
      </c>
      <c r="R989" s="169">
        <f t="shared" si="619"/>
        <v>0</v>
      </c>
      <c r="S989" s="584">
        <f t="shared" si="620"/>
        <v>0</v>
      </c>
      <c r="T989" s="594">
        <f t="shared" si="621"/>
        <v>0</v>
      </c>
      <c r="U989" s="595">
        <f t="shared" si="622"/>
        <v>0</v>
      </c>
      <c r="V989" s="166">
        <f t="shared" si="623"/>
        <v>0</v>
      </c>
      <c r="W989" s="167">
        <f t="shared" si="624"/>
        <v>0</v>
      </c>
      <c r="X989" s="168">
        <f t="shared" si="625"/>
        <v>0</v>
      </c>
      <c r="Y989" s="166">
        <f t="shared" si="626"/>
        <v>0</v>
      </c>
      <c r="Z989" s="167">
        <f t="shared" si="627"/>
        <v>0</v>
      </c>
      <c r="AA989" s="168">
        <f t="shared" si="628"/>
        <v>0</v>
      </c>
      <c r="AB989" s="166">
        <f t="shared" si="629"/>
        <v>0</v>
      </c>
      <c r="AC989" s="167">
        <f t="shared" si="630"/>
        <v>0</v>
      </c>
      <c r="AD989" s="168">
        <f t="shared" si="631"/>
        <v>0</v>
      </c>
      <c r="AE989" s="166">
        <f t="shared" si="632"/>
        <v>0</v>
      </c>
      <c r="AF989" s="167">
        <f t="shared" si="633"/>
        <v>0</v>
      </c>
      <c r="AG989" s="168">
        <f t="shared" si="634"/>
        <v>0</v>
      </c>
      <c r="AH989" s="166">
        <f t="shared" si="635"/>
        <v>0</v>
      </c>
      <c r="AI989" s="167">
        <f t="shared" si="636"/>
        <v>0</v>
      </c>
      <c r="AJ989" s="168">
        <f t="shared" si="637"/>
        <v>0</v>
      </c>
      <c r="AK989" s="169">
        <f t="shared" si="638"/>
        <v>0</v>
      </c>
      <c r="AL989" s="167">
        <f t="shared" si="639"/>
        <v>0</v>
      </c>
      <c r="AM989" s="585">
        <f t="shared" si="640"/>
        <v>0</v>
      </c>
      <c r="AN989" s="614"/>
      <c r="AO989" s="615"/>
      <c r="AP989" s="615"/>
      <c r="AQ989" s="616"/>
      <c r="AR989" s="612"/>
      <c r="AS989" s="617"/>
      <c r="AT989" s="618"/>
      <c r="AU989" s="618"/>
      <c r="AV989" s="618"/>
      <c r="AW989" s="619"/>
      <c r="AX989" s="614"/>
      <c r="AY989" s="616"/>
      <c r="AZ989" s="616"/>
      <c r="BA989" s="616"/>
      <c r="BB989" s="616"/>
      <c r="BC989" s="616"/>
      <c r="BD989" s="612"/>
      <c r="BE989" s="614"/>
      <c r="BF989" s="616"/>
      <c r="BG989" s="616"/>
      <c r="BH989" s="616"/>
      <c r="BI989" s="616"/>
      <c r="BJ989" s="616"/>
      <c r="BK989" s="1023"/>
      <c r="BL989" s="658"/>
    </row>
    <row r="990" spans="2:64">
      <c r="B990" s="1022"/>
      <c r="C990" s="607"/>
      <c r="D990" s="607"/>
      <c r="E990" s="1021"/>
      <c r="F990" s="608">
        <v>987</v>
      </c>
      <c r="G990" s="609"/>
      <c r="H990" s="610"/>
      <c r="I990" s="611"/>
      <c r="J990" s="166">
        <f t="shared" si="611"/>
        <v>0</v>
      </c>
      <c r="K990" s="167">
        <f t="shared" si="612"/>
        <v>0</v>
      </c>
      <c r="L990" s="168">
        <f t="shared" si="613"/>
        <v>0</v>
      </c>
      <c r="M990" s="166">
        <f t="shared" si="614"/>
        <v>0</v>
      </c>
      <c r="N990" s="167">
        <f t="shared" si="615"/>
        <v>0</v>
      </c>
      <c r="O990" s="168">
        <f t="shared" si="616"/>
        <v>0</v>
      </c>
      <c r="P990" s="169">
        <f t="shared" si="617"/>
        <v>0</v>
      </c>
      <c r="Q990" s="169">
        <f t="shared" si="618"/>
        <v>0</v>
      </c>
      <c r="R990" s="169">
        <f t="shared" si="619"/>
        <v>0</v>
      </c>
      <c r="S990" s="584">
        <f t="shared" si="620"/>
        <v>0</v>
      </c>
      <c r="T990" s="594">
        <f t="shared" si="621"/>
        <v>0</v>
      </c>
      <c r="U990" s="595">
        <f t="shared" si="622"/>
        <v>0</v>
      </c>
      <c r="V990" s="166">
        <f t="shared" si="623"/>
        <v>0</v>
      </c>
      <c r="W990" s="167">
        <f t="shared" si="624"/>
        <v>0</v>
      </c>
      <c r="X990" s="168">
        <f t="shared" si="625"/>
        <v>0</v>
      </c>
      <c r="Y990" s="166">
        <f t="shared" si="626"/>
        <v>0</v>
      </c>
      <c r="Z990" s="167">
        <f t="shared" si="627"/>
        <v>0</v>
      </c>
      <c r="AA990" s="168">
        <f t="shared" si="628"/>
        <v>0</v>
      </c>
      <c r="AB990" s="166">
        <f t="shared" si="629"/>
        <v>0</v>
      </c>
      <c r="AC990" s="167">
        <f t="shared" si="630"/>
        <v>0</v>
      </c>
      <c r="AD990" s="168">
        <f t="shared" si="631"/>
        <v>0</v>
      </c>
      <c r="AE990" s="166">
        <f t="shared" si="632"/>
        <v>0</v>
      </c>
      <c r="AF990" s="167">
        <f t="shared" si="633"/>
        <v>0</v>
      </c>
      <c r="AG990" s="168">
        <f t="shared" si="634"/>
        <v>0</v>
      </c>
      <c r="AH990" s="166">
        <f t="shared" si="635"/>
        <v>0</v>
      </c>
      <c r="AI990" s="167">
        <f t="shared" si="636"/>
        <v>0</v>
      </c>
      <c r="AJ990" s="168">
        <f t="shared" si="637"/>
        <v>0</v>
      </c>
      <c r="AK990" s="169">
        <f t="shared" si="638"/>
        <v>0</v>
      </c>
      <c r="AL990" s="167">
        <f t="shared" si="639"/>
        <v>0</v>
      </c>
      <c r="AM990" s="585">
        <f t="shared" si="640"/>
        <v>0</v>
      </c>
      <c r="AN990" s="614"/>
      <c r="AO990" s="615"/>
      <c r="AP990" s="615"/>
      <c r="AQ990" s="616"/>
      <c r="AR990" s="612"/>
      <c r="AS990" s="617"/>
      <c r="AT990" s="618"/>
      <c r="AU990" s="618"/>
      <c r="AV990" s="618"/>
      <c r="AW990" s="619"/>
      <c r="AX990" s="614"/>
      <c r="AY990" s="616"/>
      <c r="AZ990" s="616"/>
      <c r="BA990" s="616"/>
      <c r="BB990" s="616"/>
      <c r="BC990" s="616"/>
      <c r="BD990" s="612"/>
      <c r="BE990" s="614"/>
      <c r="BF990" s="616"/>
      <c r="BG990" s="616"/>
      <c r="BH990" s="616"/>
      <c r="BI990" s="616"/>
      <c r="BJ990" s="616"/>
      <c r="BK990" s="1023"/>
      <c r="BL990" s="658"/>
    </row>
    <row r="991" spans="2:64">
      <c r="B991" s="1022"/>
      <c r="C991" s="607"/>
      <c r="D991" s="607"/>
      <c r="E991" s="1021"/>
      <c r="F991" s="1019">
        <v>988</v>
      </c>
      <c r="G991" s="609"/>
      <c r="H991" s="610"/>
      <c r="I991" s="611"/>
      <c r="J991" s="166">
        <f t="shared" si="611"/>
        <v>0</v>
      </c>
      <c r="K991" s="167">
        <f t="shared" si="612"/>
        <v>0</v>
      </c>
      <c r="L991" s="168">
        <f t="shared" si="613"/>
        <v>0</v>
      </c>
      <c r="M991" s="166">
        <f t="shared" si="614"/>
        <v>0</v>
      </c>
      <c r="N991" s="167">
        <f t="shared" si="615"/>
        <v>0</v>
      </c>
      <c r="O991" s="168">
        <f t="shared" si="616"/>
        <v>0</v>
      </c>
      <c r="P991" s="169">
        <f t="shared" si="617"/>
        <v>0</v>
      </c>
      <c r="Q991" s="169">
        <f t="shared" si="618"/>
        <v>0</v>
      </c>
      <c r="R991" s="169">
        <f t="shared" si="619"/>
        <v>0</v>
      </c>
      <c r="S991" s="584">
        <f t="shared" si="620"/>
        <v>0</v>
      </c>
      <c r="T991" s="594">
        <f t="shared" si="621"/>
        <v>0</v>
      </c>
      <c r="U991" s="595">
        <f t="shared" si="622"/>
        <v>0</v>
      </c>
      <c r="V991" s="166">
        <f t="shared" si="623"/>
        <v>0</v>
      </c>
      <c r="W991" s="167">
        <f t="shared" si="624"/>
        <v>0</v>
      </c>
      <c r="X991" s="168">
        <f t="shared" si="625"/>
        <v>0</v>
      </c>
      <c r="Y991" s="166">
        <f t="shared" si="626"/>
        <v>0</v>
      </c>
      <c r="Z991" s="167">
        <f t="shared" si="627"/>
        <v>0</v>
      </c>
      <c r="AA991" s="168">
        <f t="shared" si="628"/>
        <v>0</v>
      </c>
      <c r="AB991" s="166">
        <f t="shared" si="629"/>
        <v>0</v>
      </c>
      <c r="AC991" s="167">
        <f t="shared" si="630"/>
        <v>0</v>
      </c>
      <c r="AD991" s="168">
        <f t="shared" si="631"/>
        <v>0</v>
      </c>
      <c r="AE991" s="166">
        <f t="shared" si="632"/>
        <v>0</v>
      </c>
      <c r="AF991" s="167">
        <f t="shared" si="633"/>
        <v>0</v>
      </c>
      <c r="AG991" s="168">
        <f t="shared" si="634"/>
        <v>0</v>
      </c>
      <c r="AH991" s="166">
        <f t="shared" si="635"/>
        <v>0</v>
      </c>
      <c r="AI991" s="167">
        <f t="shared" si="636"/>
        <v>0</v>
      </c>
      <c r="AJ991" s="168">
        <f t="shared" si="637"/>
        <v>0</v>
      </c>
      <c r="AK991" s="169">
        <f t="shared" si="638"/>
        <v>0</v>
      </c>
      <c r="AL991" s="167">
        <f t="shared" si="639"/>
        <v>0</v>
      </c>
      <c r="AM991" s="585">
        <f t="shared" si="640"/>
        <v>0</v>
      </c>
      <c r="AN991" s="614"/>
      <c r="AO991" s="615"/>
      <c r="AP991" s="615"/>
      <c r="AQ991" s="616"/>
      <c r="AR991" s="612"/>
      <c r="AS991" s="617"/>
      <c r="AT991" s="618"/>
      <c r="AU991" s="618"/>
      <c r="AV991" s="618"/>
      <c r="AW991" s="619"/>
      <c r="AX991" s="614"/>
      <c r="AY991" s="616"/>
      <c r="AZ991" s="616"/>
      <c r="BA991" s="616"/>
      <c r="BB991" s="616"/>
      <c r="BC991" s="616"/>
      <c r="BD991" s="612"/>
      <c r="BE991" s="614"/>
      <c r="BF991" s="616"/>
      <c r="BG991" s="616"/>
      <c r="BH991" s="616"/>
      <c r="BI991" s="616"/>
      <c r="BJ991" s="616"/>
      <c r="BK991" s="1023"/>
      <c r="BL991" s="658"/>
    </row>
    <row r="992" spans="2:64">
      <c r="B992" s="1022"/>
      <c r="C992" s="607"/>
      <c r="D992" s="607"/>
      <c r="E992" s="1021"/>
      <c r="F992" s="608">
        <v>989</v>
      </c>
      <c r="G992" s="609"/>
      <c r="H992" s="610"/>
      <c r="I992" s="611"/>
      <c r="J992" s="166">
        <f t="shared" si="611"/>
        <v>0</v>
      </c>
      <c r="K992" s="167">
        <f t="shared" si="612"/>
        <v>0</v>
      </c>
      <c r="L992" s="168">
        <f t="shared" si="613"/>
        <v>0</v>
      </c>
      <c r="M992" s="166">
        <f t="shared" si="614"/>
        <v>0</v>
      </c>
      <c r="N992" s="167">
        <f t="shared" si="615"/>
        <v>0</v>
      </c>
      <c r="O992" s="168">
        <f t="shared" si="616"/>
        <v>0</v>
      </c>
      <c r="P992" s="169">
        <f t="shared" si="617"/>
        <v>0</v>
      </c>
      <c r="Q992" s="169">
        <f t="shared" si="618"/>
        <v>0</v>
      </c>
      <c r="R992" s="169">
        <f t="shared" si="619"/>
        <v>0</v>
      </c>
      <c r="S992" s="584">
        <f t="shared" si="620"/>
        <v>0</v>
      </c>
      <c r="T992" s="594">
        <f t="shared" si="621"/>
        <v>0</v>
      </c>
      <c r="U992" s="595">
        <f t="shared" si="622"/>
        <v>0</v>
      </c>
      <c r="V992" s="166">
        <f t="shared" si="623"/>
        <v>0</v>
      </c>
      <c r="W992" s="167">
        <f t="shared" si="624"/>
        <v>0</v>
      </c>
      <c r="X992" s="168">
        <f t="shared" si="625"/>
        <v>0</v>
      </c>
      <c r="Y992" s="166">
        <f t="shared" si="626"/>
        <v>0</v>
      </c>
      <c r="Z992" s="167">
        <f t="shared" si="627"/>
        <v>0</v>
      </c>
      <c r="AA992" s="168">
        <f t="shared" si="628"/>
        <v>0</v>
      </c>
      <c r="AB992" s="166">
        <f t="shared" si="629"/>
        <v>0</v>
      </c>
      <c r="AC992" s="167">
        <f t="shared" si="630"/>
        <v>0</v>
      </c>
      <c r="AD992" s="168">
        <f t="shared" si="631"/>
        <v>0</v>
      </c>
      <c r="AE992" s="166">
        <f t="shared" si="632"/>
        <v>0</v>
      </c>
      <c r="AF992" s="167">
        <f t="shared" si="633"/>
        <v>0</v>
      </c>
      <c r="AG992" s="168">
        <f t="shared" si="634"/>
        <v>0</v>
      </c>
      <c r="AH992" s="166">
        <f t="shared" si="635"/>
        <v>0</v>
      </c>
      <c r="AI992" s="167">
        <f t="shared" si="636"/>
        <v>0</v>
      </c>
      <c r="AJ992" s="168">
        <f t="shared" si="637"/>
        <v>0</v>
      </c>
      <c r="AK992" s="169">
        <f t="shared" si="638"/>
        <v>0</v>
      </c>
      <c r="AL992" s="167">
        <f t="shared" si="639"/>
        <v>0</v>
      </c>
      <c r="AM992" s="585">
        <f t="shared" si="640"/>
        <v>0</v>
      </c>
      <c r="AN992" s="614"/>
      <c r="AO992" s="615"/>
      <c r="AP992" s="615"/>
      <c r="AQ992" s="616"/>
      <c r="AR992" s="612"/>
      <c r="AS992" s="617"/>
      <c r="AT992" s="618"/>
      <c r="AU992" s="618"/>
      <c r="AV992" s="618"/>
      <c r="AW992" s="619"/>
      <c r="AX992" s="614"/>
      <c r="AY992" s="616"/>
      <c r="AZ992" s="616"/>
      <c r="BA992" s="616"/>
      <c r="BB992" s="616"/>
      <c r="BC992" s="616"/>
      <c r="BD992" s="612"/>
      <c r="BE992" s="614"/>
      <c r="BF992" s="616"/>
      <c r="BG992" s="616"/>
      <c r="BH992" s="616"/>
      <c r="BI992" s="616"/>
      <c r="BJ992" s="616"/>
      <c r="BK992" s="1023"/>
      <c r="BL992" s="658"/>
    </row>
    <row r="993" spans="2:64">
      <c r="B993" s="1022"/>
      <c r="C993" s="607"/>
      <c r="D993" s="607"/>
      <c r="E993" s="1021"/>
      <c r="F993" s="1019">
        <v>990</v>
      </c>
      <c r="G993" s="609"/>
      <c r="H993" s="610"/>
      <c r="I993" s="611"/>
      <c r="J993" s="166">
        <f t="shared" si="611"/>
        <v>0</v>
      </c>
      <c r="K993" s="167">
        <f t="shared" si="612"/>
        <v>0</v>
      </c>
      <c r="L993" s="168">
        <f t="shared" si="613"/>
        <v>0</v>
      </c>
      <c r="M993" s="166">
        <f t="shared" si="614"/>
        <v>0</v>
      </c>
      <c r="N993" s="167">
        <f t="shared" si="615"/>
        <v>0</v>
      </c>
      <c r="O993" s="168">
        <f t="shared" si="616"/>
        <v>0</v>
      </c>
      <c r="P993" s="169">
        <f t="shared" si="617"/>
        <v>0</v>
      </c>
      <c r="Q993" s="169">
        <f t="shared" si="618"/>
        <v>0</v>
      </c>
      <c r="R993" s="169">
        <f t="shared" si="619"/>
        <v>0</v>
      </c>
      <c r="S993" s="584">
        <f t="shared" si="620"/>
        <v>0</v>
      </c>
      <c r="T993" s="594">
        <f t="shared" si="621"/>
        <v>0</v>
      </c>
      <c r="U993" s="595">
        <f t="shared" si="622"/>
        <v>0</v>
      </c>
      <c r="V993" s="166">
        <f t="shared" si="623"/>
        <v>0</v>
      </c>
      <c r="W993" s="167">
        <f t="shared" si="624"/>
        <v>0</v>
      </c>
      <c r="X993" s="168">
        <f t="shared" si="625"/>
        <v>0</v>
      </c>
      <c r="Y993" s="166">
        <f t="shared" si="626"/>
        <v>0</v>
      </c>
      <c r="Z993" s="167">
        <f t="shared" si="627"/>
        <v>0</v>
      </c>
      <c r="AA993" s="168">
        <f t="shared" si="628"/>
        <v>0</v>
      </c>
      <c r="AB993" s="166">
        <f t="shared" si="629"/>
        <v>0</v>
      </c>
      <c r="AC993" s="167">
        <f t="shared" si="630"/>
        <v>0</v>
      </c>
      <c r="AD993" s="168">
        <f t="shared" si="631"/>
        <v>0</v>
      </c>
      <c r="AE993" s="166">
        <f t="shared" si="632"/>
        <v>0</v>
      </c>
      <c r="AF993" s="167">
        <f t="shared" si="633"/>
        <v>0</v>
      </c>
      <c r="AG993" s="168">
        <f t="shared" si="634"/>
        <v>0</v>
      </c>
      <c r="AH993" s="166">
        <f t="shared" si="635"/>
        <v>0</v>
      </c>
      <c r="AI993" s="167">
        <f t="shared" si="636"/>
        <v>0</v>
      </c>
      <c r="AJ993" s="168">
        <f t="shared" si="637"/>
        <v>0</v>
      </c>
      <c r="AK993" s="169">
        <f t="shared" si="638"/>
        <v>0</v>
      </c>
      <c r="AL993" s="167">
        <f t="shared" si="639"/>
        <v>0</v>
      </c>
      <c r="AM993" s="585">
        <f t="shared" si="640"/>
        <v>0</v>
      </c>
      <c r="AN993" s="614"/>
      <c r="AO993" s="615"/>
      <c r="AP993" s="615"/>
      <c r="AQ993" s="616"/>
      <c r="AR993" s="612"/>
      <c r="AS993" s="617"/>
      <c r="AT993" s="618"/>
      <c r="AU993" s="618"/>
      <c r="AV993" s="618"/>
      <c r="AW993" s="619"/>
      <c r="AX993" s="614"/>
      <c r="AY993" s="616"/>
      <c r="AZ993" s="616"/>
      <c r="BA993" s="616"/>
      <c r="BB993" s="616"/>
      <c r="BC993" s="616"/>
      <c r="BD993" s="612"/>
      <c r="BE993" s="614"/>
      <c r="BF993" s="616"/>
      <c r="BG993" s="616"/>
      <c r="BH993" s="616"/>
      <c r="BI993" s="616"/>
      <c r="BJ993" s="616"/>
      <c r="BK993" s="1023"/>
      <c r="BL993" s="658"/>
    </row>
    <row r="994" spans="2:64">
      <c r="B994" s="1022"/>
      <c r="C994" s="607"/>
      <c r="D994" s="607"/>
      <c r="E994" s="1021"/>
      <c r="F994" s="608">
        <v>991</v>
      </c>
      <c r="G994" s="609"/>
      <c r="H994" s="610"/>
      <c r="I994" s="611"/>
      <c r="J994" s="166">
        <f t="shared" si="611"/>
        <v>0</v>
      </c>
      <c r="K994" s="167">
        <f t="shared" si="612"/>
        <v>0</v>
      </c>
      <c r="L994" s="168">
        <f t="shared" si="613"/>
        <v>0</v>
      </c>
      <c r="M994" s="166">
        <f t="shared" si="614"/>
        <v>0</v>
      </c>
      <c r="N994" s="167">
        <f t="shared" si="615"/>
        <v>0</v>
      </c>
      <c r="O994" s="168">
        <f t="shared" si="616"/>
        <v>0</v>
      </c>
      <c r="P994" s="169">
        <f t="shared" si="617"/>
        <v>0</v>
      </c>
      <c r="Q994" s="169">
        <f t="shared" si="618"/>
        <v>0</v>
      </c>
      <c r="R994" s="169">
        <f t="shared" si="619"/>
        <v>0</v>
      </c>
      <c r="S994" s="584">
        <f t="shared" si="620"/>
        <v>0</v>
      </c>
      <c r="T994" s="594">
        <f t="shared" si="621"/>
        <v>0</v>
      </c>
      <c r="U994" s="595">
        <f t="shared" si="622"/>
        <v>0</v>
      </c>
      <c r="V994" s="166">
        <f t="shared" si="623"/>
        <v>0</v>
      </c>
      <c r="W994" s="167">
        <f t="shared" si="624"/>
        <v>0</v>
      </c>
      <c r="X994" s="168">
        <f t="shared" si="625"/>
        <v>0</v>
      </c>
      <c r="Y994" s="166">
        <f t="shared" si="626"/>
        <v>0</v>
      </c>
      <c r="Z994" s="167">
        <f t="shared" si="627"/>
        <v>0</v>
      </c>
      <c r="AA994" s="168">
        <f t="shared" si="628"/>
        <v>0</v>
      </c>
      <c r="AB994" s="166">
        <f t="shared" si="629"/>
        <v>0</v>
      </c>
      <c r="AC994" s="167">
        <f t="shared" si="630"/>
        <v>0</v>
      </c>
      <c r="AD994" s="168">
        <f t="shared" si="631"/>
        <v>0</v>
      </c>
      <c r="AE994" s="166">
        <f t="shared" si="632"/>
        <v>0</v>
      </c>
      <c r="AF994" s="167">
        <f t="shared" si="633"/>
        <v>0</v>
      </c>
      <c r="AG994" s="168">
        <f t="shared" si="634"/>
        <v>0</v>
      </c>
      <c r="AH994" s="166">
        <f t="shared" si="635"/>
        <v>0</v>
      </c>
      <c r="AI994" s="167">
        <f t="shared" si="636"/>
        <v>0</v>
      </c>
      <c r="AJ994" s="168">
        <f t="shared" si="637"/>
        <v>0</v>
      </c>
      <c r="AK994" s="169">
        <f t="shared" si="638"/>
        <v>0</v>
      </c>
      <c r="AL994" s="167">
        <f t="shared" si="639"/>
        <v>0</v>
      </c>
      <c r="AM994" s="585">
        <f t="shared" si="640"/>
        <v>0</v>
      </c>
      <c r="AN994" s="614"/>
      <c r="AO994" s="615"/>
      <c r="AP994" s="615"/>
      <c r="AQ994" s="616"/>
      <c r="AR994" s="612"/>
      <c r="AS994" s="617"/>
      <c r="AT994" s="618"/>
      <c r="AU994" s="618"/>
      <c r="AV994" s="618"/>
      <c r="AW994" s="619"/>
      <c r="AX994" s="614"/>
      <c r="AY994" s="616"/>
      <c r="AZ994" s="616"/>
      <c r="BA994" s="616"/>
      <c r="BB994" s="616"/>
      <c r="BC994" s="616"/>
      <c r="BD994" s="612"/>
      <c r="BE994" s="614"/>
      <c r="BF994" s="616"/>
      <c r="BG994" s="616"/>
      <c r="BH994" s="616"/>
      <c r="BI994" s="616"/>
      <c r="BJ994" s="616"/>
      <c r="BK994" s="1023"/>
      <c r="BL994" s="658"/>
    </row>
    <row r="995" spans="2:64">
      <c r="B995" s="1022"/>
      <c r="C995" s="607"/>
      <c r="D995" s="607"/>
      <c r="E995" s="1021"/>
      <c r="F995" s="1019">
        <v>992</v>
      </c>
      <c r="G995" s="609"/>
      <c r="H995" s="610"/>
      <c r="I995" s="611"/>
      <c r="J995" s="166">
        <f t="shared" si="611"/>
        <v>0</v>
      </c>
      <c r="K995" s="167">
        <f t="shared" si="612"/>
        <v>0</v>
      </c>
      <c r="L995" s="168">
        <f t="shared" si="613"/>
        <v>0</v>
      </c>
      <c r="M995" s="166">
        <f t="shared" si="614"/>
        <v>0</v>
      </c>
      <c r="N995" s="167">
        <f t="shared" si="615"/>
        <v>0</v>
      </c>
      <c r="O995" s="168">
        <f t="shared" si="616"/>
        <v>0</v>
      </c>
      <c r="P995" s="169">
        <f t="shared" si="617"/>
        <v>0</v>
      </c>
      <c r="Q995" s="169">
        <f t="shared" si="618"/>
        <v>0</v>
      </c>
      <c r="R995" s="169">
        <f t="shared" si="619"/>
        <v>0</v>
      </c>
      <c r="S995" s="584">
        <f t="shared" si="620"/>
        <v>0</v>
      </c>
      <c r="T995" s="594">
        <f t="shared" si="621"/>
        <v>0</v>
      </c>
      <c r="U995" s="595">
        <f t="shared" si="622"/>
        <v>0</v>
      </c>
      <c r="V995" s="166">
        <f t="shared" si="623"/>
        <v>0</v>
      </c>
      <c r="W995" s="167">
        <f t="shared" si="624"/>
        <v>0</v>
      </c>
      <c r="X995" s="168">
        <f t="shared" si="625"/>
        <v>0</v>
      </c>
      <c r="Y995" s="166">
        <f t="shared" si="626"/>
        <v>0</v>
      </c>
      <c r="Z995" s="167">
        <f t="shared" si="627"/>
        <v>0</v>
      </c>
      <c r="AA995" s="168">
        <f t="shared" si="628"/>
        <v>0</v>
      </c>
      <c r="AB995" s="166">
        <f t="shared" si="629"/>
        <v>0</v>
      </c>
      <c r="AC995" s="167">
        <f t="shared" si="630"/>
        <v>0</v>
      </c>
      <c r="AD995" s="168">
        <f t="shared" si="631"/>
        <v>0</v>
      </c>
      <c r="AE995" s="166">
        <f t="shared" si="632"/>
        <v>0</v>
      </c>
      <c r="AF995" s="167">
        <f t="shared" si="633"/>
        <v>0</v>
      </c>
      <c r="AG995" s="168">
        <f t="shared" si="634"/>
        <v>0</v>
      </c>
      <c r="AH995" s="166">
        <f t="shared" si="635"/>
        <v>0</v>
      </c>
      <c r="AI995" s="167">
        <f t="shared" si="636"/>
        <v>0</v>
      </c>
      <c r="AJ995" s="168">
        <f t="shared" si="637"/>
        <v>0</v>
      </c>
      <c r="AK995" s="169">
        <f t="shared" si="638"/>
        <v>0</v>
      </c>
      <c r="AL995" s="167">
        <f t="shared" si="639"/>
        <v>0</v>
      </c>
      <c r="AM995" s="585">
        <f t="shared" si="640"/>
        <v>0</v>
      </c>
      <c r="AN995" s="614"/>
      <c r="AO995" s="615"/>
      <c r="AP995" s="615"/>
      <c r="AQ995" s="616"/>
      <c r="AR995" s="612"/>
      <c r="AS995" s="617"/>
      <c r="AT995" s="618"/>
      <c r="AU995" s="618"/>
      <c r="AV995" s="618"/>
      <c r="AW995" s="619"/>
      <c r="AX995" s="614"/>
      <c r="AY995" s="616"/>
      <c r="AZ995" s="616"/>
      <c r="BA995" s="616"/>
      <c r="BB995" s="616"/>
      <c r="BC995" s="616"/>
      <c r="BD995" s="612"/>
      <c r="BE995" s="614"/>
      <c r="BF995" s="616"/>
      <c r="BG995" s="616"/>
      <c r="BH995" s="616"/>
      <c r="BI995" s="616"/>
      <c r="BJ995" s="616"/>
      <c r="BK995" s="1023"/>
      <c r="BL995" s="658"/>
    </row>
    <row r="996" spans="2:64">
      <c r="B996" s="1022"/>
      <c r="C996" s="607"/>
      <c r="D996" s="607"/>
      <c r="E996" s="1021"/>
      <c r="F996" s="608">
        <v>993</v>
      </c>
      <c r="G996" s="609"/>
      <c r="H996" s="610"/>
      <c r="I996" s="611"/>
      <c r="J996" s="166">
        <f t="shared" si="611"/>
        <v>0</v>
      </c>
      <c r="K996" s="167">
        <f t="shared" si="612"/>
        <v>0</v>
      </c>
      <c r="L996" s="168">
        <f t="shared" si="613"/>
        <v>0</v>
      </c>
      <c r="M996" s="166">
        <f t="shared" si="614"/>
        <v>0</v>
      </c>
      <c r="N996" s="167">
        <f t="shared" si="615"/>
        <v>0</v>
      </c>
      <c r="O996" s="168">
        <f t="shared" si="616"/>
        <v>0</v>
      </c>
      <c r="P996" s="169">
        <f t="shared" si="617"/>
        <v>0</v>
      </c>
      <c r="Q996" s="169">
        <f t="shared" si="618"/>
        <v>0</v>
      </c>
      <c r="R996" s="169">
        <f t="shared" si="619"/>
        <v>0</v>
      </c>
      <c r="S996" s="584">
        <f t="shared" si="620"/>
        <v>0</v>
      </c>
      <c r="T996" s="594">
        <f t="shared" si="621"/>
        <v>0</v>
      </c>
      <c r="U996" s="595">
        <f t="shared" si="622"/>
        <v>0</v>
      </c>
      <c r="V996" s="166">
        <f t="shared" si="623"/>
        <v>0</v>
      </c>
      <c r="W996" s="167">
        <f t="shared" si="624"/>
        <v>0</v>
      </c>
      <c r="X996" s="168">
        <f t="shared" si="625"/>
        <v>0</v>
      </c>
      <c r="Y996" s="166">
        <f t="shared" si="626"/>
        <v>0</v>
      </c>
      <c r="Z996" s="167">
        <f t="shared" si="627"/>
        <v>0</v>
      </c>
      <c r="AA996" s="168">
        <f t="shared" si="628"/>
        <v>0</v>
      </c>
      <c r="AB996" s="166">
        <f t="shared" si="629"/>
        <v>0</v>
      </c>
      <c r="AC996" s="167">
        <f t="shared" si="630"/>
        <v>0</v>
      </c>
      <c r="AD996" s="168">
        <f t="shared" si="631"/>
        <v>0</v>
      </c>
      <c r="AE996" s="166">
        <f t="shared" si="632"/>
        <v>0</v>
      </c>
      <c r="AF996" s="167">
        <f t="shared" si="633"/>
        <v>0</v>
      </c>
      <c r="AG996" s="168">
        <f t="shared" si="634"/>
        <v>0</v>
      </c>
      <c r="AH996" s="166">
        <f t="shared" si="635"/>
        <v>0</v>
      </c>
      <c r="AI996" s="167">
        <f t="shared" si="636"/>
        <v>0</v>
      </c>
      <c r="AJ996" s="168">
        <f t="shared" si="637"/>
        <v>0</v>
      </c>
      <c r="AK996" s="169">
        <f t="shared" si="638"/>
        <v>0</v>
      </c>
      <c r="AL996" s="167">
        <f t="shared" si="639"/>
        <v>0</v>
      </c>
      <c r="AM996" s="585">
        <f t="shared" si="640"/>
        <v>0</v>
      </c>
      <c r="AN996" s="614"/>
      <c r="AO996" s="615"/>
      <c r="AP996" s="615"/>
      <c r="AQ996" s="616"/>
      <c r="AR996" s="612"/>
      <c r="AS996" s="617"/>
      <c r="AT996" s="618"/>
      <c r="AU996" s="618"/>
      <c r="AV996" s="618"/>
      <c r="AW996" s="619"/>
      <c r="AX996" s="614"/>
      <c r="AY996" s="616"/>
      <c r="AZ996" s="616"/>
      <c r="BA996" s="616"/>
      <c r="BB996" s="616"/>
      <c r="BC996" s="616"/>
      <c r="BD996" s="612"/>
      <c r="BE996" s="614"/>
      <c r="BF996" s="616"/>
      <c r="BG996" s="616"/>
      <c r="BH996" s="616"/>
      <c r="BI996" s="616"/>
      <c r="BJ996" s="616"/>
      <c r="BK996" s="1023"/>
      <c r="BL996" s="658"/>
    </row>
    <row r="997" spans="2:64">
      <c r="B997" s="1022"/>
      <c r="C997" s="607"/>
      <c r="D997" s="607"/>
      <c r="E997" s="1021"/>
      <c r="F997" s="1019">
        <v>994</v>
      </c>
      <c r="G997" s="609"/>
      <c r="H997" s="610"/>
      <c r="I997" s="611"/>
      <c r="J997" s="166">
        <f t="shared" si="611"/>
        <v>0</v>
      </c>
      <c r="K997" s="167">
        <f t="shared" si="612"/>
        <v>0</v>
      </c>
      <c r="L997" s="168">
        <f t="shared" si="613"/>
        <v>0</v>
      </c>
      <c r="M997" s="166">
        <f t="shared" si="614"/>
        <v>0</v>
      </c>
      <c r="N997" s="167">
        <f t="shared" si="615"/>
        <v>0</v>
      </c>
      <c r="O997" s="168">
        <f t="shared" si="616"/>
        <v>0</v>
      </c>
      <c r="P997" s="169">
        <f t="shared" si="617"/>
        <v>0</v>
      </c>
      <c r="Q997" s="169">
        <f t="shared" si="618"/>
        <v>0</v>
      </c>
      <c r="R997" s="169">
        <f t="shared" si="619"/>
        <v>0</v>
      </c>
      <c r="S997" s="584">
        <f t="shared" si="620"/>
        <v>0</v>
      </c>
      <c r="T997" s="594">
        <f t="shared" si="621"/>
        <v>0</v>
      </c>
      <c r="U997" s="595">
        <f t="shared" si="622"/>
        <v>0</v>
      </c>
      <c r="V997" s="166">
        <f t="shared" si="623"/>
        <v>0</v>
      </c>
      <c r="W997" s="167">
        <f t="shared" si="624"/>
        <v>0</v>
      </c>
      <c r="X997" s="168">
        <f t="shared" si="625"/>
        <v>0</v>
      </c>
      <c r="Y997" s="166">
        <f t="shared" si="626"/>
        <v>0</v>
      </c>
      <c r="Z997" s="167">
        <f t="shared" si="627"/>
        <v>0</v>
      </c>
      <c r="AA997" s="168">
        <f t="shared" si="628"/>
        <v>0</v>
      </c>
      <c r="AB997" s="166">
        <f t="shared" si="629"/>
        <v>0</v>
      </c>
      <c r="AC997" s="167">
        <f t="shared" si="630"/>
        <v>0</v>
      </c>
      <c r="AD997" s="168">
        <f t="shared" si="631"/>
        <v>0</v>
      </c>
      <c r="AE997" s="166">
        <f t="shared" si="632"/>
        <v>0</v>
      </c>
      <c r="AF997" s="167">
        <f t="shared" si="633"/>
        <v>0</v>
      </c>
      <c r="AG997" s="168">
        <f t="shared" si="634"/>
        <v>0</v>
      </c>
      <c r="AH997" s="166">
        <f t="shared" si="635"/>
        <v>0</v>
      </c>
      <c r="AI997" s="167">
        <f t="shared" si="636"/>
        <v>0</v>
      </c>
      <c r="AJ997" s="168">
        <f t="shared" si="637"/>
        <v>0</v>
      </c>
      <c r="AK997" s="169">
        <f t="shared" si="638"/>
        <v>0</v>
      </c>
      <c r="AL997" s="167">
        <f t="shared" si="639"/>
        <v>0</v>
      </c>
      <c r="AM997" s="585">
        <f t="shared" si="640"/>
        <v>0</v>
      </c>
      <c r="AN997" s="614"/>
      <c r="AO997" s="615"/>
      <c r="AP997" s="615"/>
      <c r="AQ997" s="616"/>
      <c r="AR997" s="612"/>
      <c r="AS997" s="617"/>
      <c r="AT997" s="618"/>
      <c r="AU997" s="618"/>
      <c r="AV997" s="618"/>
      <c r="AW997" s="619"/>
      <c r="AX997" s="614"/>
      <c r="AY997" s="616"/>
      <c r="AZ997" s="616"/>
      <c r="BA997" s="616"/>
      <c r="BB997" s="616"/>
      <c r="BC997" s="616"/>
      <c r="BD997" s="612"/>
      <c r="BE997" s="614"/>
      <c r="BF997" s="616"/>
      <c r="BG997" s="616"/>
      <c r="BH997" s="616"/>
      <c r="BI997" s="616"/>
      <c r="BJ997" s="616"/>
      <c r="BK997" s="1023"/>
      <c r="BL997" s="658"/>
    </row>
    <row r="998" spans="2:64">
      <c r="B998" s="1022"/>
      <c r="C998" s="607"/>
      <c r="D998" s="607"/>
      <c r="E998" s="1021"/>
      <c r="F998" s="608">
        <v>995</v>
      </c>
      <c r="G998" s="609"/>
      <c r="H998" s="610"/>
      <c r="I998" s="611"/>
      <c r="J998" s="166">
        <f t="shared" si="611"/>
        <v>0</v>
      </c>
      <c r="K998" s="167">
        <f t="shared" si="612"/>
        <v>0</v>
      </c>
      <c r="L998" s="168">
        <f t="shared" si="613"/>
        <v>0</v>
      </c>
      <c r="M998" s="166">
        <f t="shared" si="614"/>
        <v>0</v>
      </c>
      <c r="N998" s="167">
        <f t="shared" si="615"/>
        <v>0</v>
      </c>
      <c r="O998" s="168">
        <f t="shared" si="616"/>
        <v>0</v>
      </c>
      <c r="P998" s="169">
        <f t="shared" si="617"/>
        <v>0</v>
      </c>
      <c r="Q998" s="169">
        <f t="shared" si="618"/>
        <v>0</v>
      </c>
      <c r="R998" s="169">
        <f t="shared" si="619"/>
        <v>0</v>
      </c>
      <c r="S998" s="584">
        <f t="shared" si="620"/>
        <v>0</v>
      </c>
      <c r="T998" s="594">
        <f t="shared" si="621"/>
        <v>0</v>
      </c>
      <c r="U998" s="595">
        <f t="shared" si="622"/>
        <v>0</v>
      </c>
      <c r="V998" s="166">
        <f t="shared" si="623"/>
        <v>0</v>
      </c>
      <c r="W998" s="167">
        <f t="shared" si="624"/>
        <v>0</v>
      </c>
      <c r="X998" s="168">
        <f t="shared" si="625"/>
        <v>0</v>
      </c>
      <c r="Y998" s="166">
        <f t="shared" si="626"/>
        <v>0</v>
      </c>
      <c r="Z998" s="167">
        <f t="shared" si="627"/>
        <v>0</v>
      </c>
      <c r="AA998" s="168">
        <f t="shared" si="628"/>
        <v>0</v>
      </c>
      <c r="AB998" s="166">
        <f t="shared" si="629"/>
        <v>0</v>
      </c>
      <c r="AC998" s="167">
        <f t="shared" si="630"/>
        <v>0</v>
      </c>
      <c r="AD998" s="168">
        <f t="shared" si="631"/>
        <v>0</v>
      </c>
      <c r="AE998" s="166">
        <f t="shared" si="632"/>
        <v>0</v>
      </c>
      <c r="AF998" s="167">
        <f t="shared" si="633"/>
        <v>0</v>
      </c>
      <c r="AG998" s="168">
        <f t="shared" si="634"/>
        <v>0</v>
      </c>
      <c r="AH998" s="166">
        <f t="shared" si="635"/>
        <v>0</v>
      </c>
      <c r="AI998" s="167">
        <f t="shared" si="636"/>
        <v>0</v>
      </c>
      <c r="AJ998" s="168">
        <f t="shared" si="637"/>
        <v>0</v>
      </c>
      <c r="AK998" s="169">
        <f t="shared" si="638"/>
        <v>0</v>
      </c>
      <c r="AL998" s="167">
        <f t="shared" si="639"/>
        <v>0</v>
      </c>
      <c r="AM998" s="585">
        <f t="shared" si="640"/>
        <v>0</v>
      </c>
      <c r="AN998" s="614"/>
      <c r="AO998" s="615"/>
      <c r="AP998" s="615"/>
      <c r="AQ998" s="616"/>
      <c r="AR998" s="612"/>
      <c r="AS998" s="617"/>
      <c r="AT998" s="618"/>
      <c r="AU998" s="618"/>
      <c r="AV998" s="618"/>
      <c r="AW998" s="619"/>
      <c r="AX998" s="614"/>
      <c r="AY998" s="616"/>
      <c r="AZ998" s="616"/>
      <c r="BA998" s="616"/>
      <c r="BB998" s="616"/>
      <c r="BC998" s="616"/>
      <c r="BD998" s="612"/>
      <c r="BE998" s="614"/>
      <c r="BF998" s="616"/>
      <c r="BG998" s="616"/>
      <c r="BH998" s="616"/>
      <c r="BI998" s="616"/>
      <c r="BJ998" s="616"/>
      <c r="BK998" s="1023"/>
      <c r="BL998" s="658"/>
    </row>
    <row r="999" spans="2:64">
      <c r="B999" s="1022"/>
      <c r="C999" s="607"/>
      <c r="D999" s="607"/>
      <c r="E999" s="1021"/>
      <c r="F999" s="1019">
        <v>996</v>
      </c>
      <c r="G999" s="609"/>
      <c r="H999" s="610"/>
      <c r="I999" s="611"/>
      <c r="J999" s="166">
        <f t="shared" si="611"/>
        <v>0</v>
      </c>
      <c r="K999" s="167">
        <f t="shared" si="612"/>
        <v>0</v>
      </c>
      <c r="L999" s="168">
        <f t="shared" si="613"/>
        <v>0</v>
      </c>
      <c r="M999" s="166">
        <f t="shared" si="614"/>
        <v>0</v>
      </c>
      <c r="N999" s="167">
        <f t="shared" si="615"/>
        <v>0</v>
      </c>
      <c r="O999" s="168">
        <f t="shared" si="616"/>
        <v>0</v>
      </c>
      <c r="P999" s="169">
        <f t="shared" si="617"/>
        <v>0</v>
      </c>
      <c r="Q999" s="169">
        <f t="shared" si="618"/>
        <v>0</v>
      </c>
      <c r="R999" s="169">
        <f t="shared" si="619"/>
        <v>0</v>
      </c>
      <c r="S999" s="584">
        <f t="shared" si="620"/>
        <v>0</v>
      </c>
      <c r="T999" s="594">
        <f t="shared" si="621"/>
        <v>0</v>
      </c>
      <c r="U999" s="595">
        <f t="shared" si="622"/>
        <v>0</v>
      </c>
      <c r="V999" s="166">
        <f t="shared" si="623"/>
        <v>0</v>
      </c>
      <c r="W999" s="167">
        <f t="shared" si="624"/>
        <v>0</v>
      </c>
      <c r="X999" s="168">
        <f t="shared" si="625"/>
        <v>0</v>
      </c>
      <c r="Y999" s="166">
        <f t="shared" si="626"/>
        <v>0</v>
      </c>
      <c r="Z999" s="167">
        <f t="shared" si="627"/>
        <v>0</v>
      </c>
      <c r="AA999" s="168">
        <f t="shared" si="628"/>
        <v>0</v>
      </c>
      <c r="AB999" s="166">
        <f t="shared" si="629"/>
        <v>0</v>
      </c>
      <c r="AC999" s="167">
        <f t="shared" si="630"/>
        <v>0</v>
      </c>
      <c r="AD999" s="168">
        <f t="shared" si="631"/>
        <v>0</v>
      </c>
      <c r="AE999" s="166">
        <f t="shared" si="632"/>
        <v>0</v>
      </c>
      <c r="AF999" s="167">
        <f t="shared" si="633"/>
        <v>0</v>
      </c>
      <c r="AG999" s="168">
        <f t="shared" si="634"/>
        <v>0</v>
      </c>
      <c r="AH999" s="166">
        <f t="shared" si="635"/>
        <v>0</v>
      </c>
      <c r="AI999" s="167">
        <f t="shared" si="636"/>
        <v>0</v>
      </c>
      <c r="AJ999" s="168">
        <f t="shared" si="637"/>
        <v>0</v>
      </c>
      <c r="AK999" s="169">
        <f t="shared" si="638"/>
        <v>0</v>
      </c>
      <c r="AL999" s="167">
        <f t="shared" si="639"/>
        <v>0</v>
      </c>
      <c r="AM999" s="585">
        <f t="shared" si="640"/>
        <v>0</v>
      </c>
      <c r="AN999" s="614"/>
      <c r="AO999" s="615"/>
      <c r="AP999" s="615"/>
      <c r="AQ999" s="616"/>
      <c r="AR999" s="612"/>
      <c r="AS999" s="617"/>
      <c r="AT999" s="618"/>
      <c r="AU999" s="618"/>
      <c r="AV999" s="618"/>
      <c r="AW999" s="619"/>
      <c r="AX999" s="614"/>
      <c r="AY999" s="616"/>
      <c r="AZ999" s="616"/>
      <c r="BA999" s="616"/>
      <c r="BB999" s="616"/>
      <c r="BC999" s="616"/>
      <c r="BD999" s="612"/>
      <c r="BE999" s="614"/>
      <c r="BF999" s="616"/>
      <c r="BG999" s="616"/>
      <c r="BH999" s="616"/>
      <c r="BI999" s="616"/>
      <c r="BJ999" s="616"/>
      <c r="BK999" s="1023"/>
      <c r="BL999" s="658"/>
    </row>
    <row r="1000" spans="2:64" ht="17.25" thickBot="1">
      <c r="B1000" s="212"/>
      <c r="C1000" s="214"/>
      <c r="D1000" s="214"/>
      <c r="E1000" s="620"/>
      <c r="F1000" s="621"/>
      <c r="G1000" s="622"/>
      <c r="H1000" s="171"/>
      <c r="I1000" s="623"/>
      <c r="J1000" s="170"/>
      <c r="K1000" s="171"/>
      <c r="L1000" s="172"/>
      <c r="M1000" s="170"/>
      <c r="N1000" s="171"/>
      <c r="O1000" s="172"/>
      <c r="P1000" s="173"/>
      <c r="Q1000" s="171"/>
      <c r="R1000" s="174"/>
      <c r="S1000" s="624"/>
      <c r="T1000" s="171"/>
      <c r="U1000" s="623"/>
      <c r="V1000" s="170"/>
      <c r="W1000" s="171"/>
      <c r="X1000" s="172"/>
      <c r="Y1000" s="170"/>
      <c r="Z1000" s="171"/>
      <c r="AA1000" s="172"/>
      <c r="AB1000" s="170"/>
      <c r="AC1000" s="171"/>
      <c r="AD1000" s="172"/>
      <c r="AE1000" s="170"/>
      <c r="AF1000" s="171"/>
      <c r="AG1000" s="172"/>
      <c r="AH1000" s="170"/>
      <c r="AI1000" s="171"/>
      <c r="AJ1000" s="172"/>
      <c r="AK1000" s="173"/>
      <c r="AL1000" s="171"/>
      <c r="AM1000" s="625"/>
      <c r="AN1000" s="626"/>
      <c r="AO1000" s="627"/>
      <c r="AP1000" s="627"/>
      <c r="AQ1000" s="628"/>
      <c r="AR1000" s="629"/>
      <c r="AS1000" s="626"/>
      <c r="AT1000" s="628"/>
      <c r="AU1000" s="628"/>
      <c r="AV1000" s="628"/>
      <c r="AW1000" s="629"/>
      <c r="AX1000" s="626"/>
      <c r="AY1000" s="628"/>
      <c r="AZ1000" s="628"/>
      <c r="BA1000" s="628"/>
      <c r="BB1000" s="628"/>
      <c r="BC1000" s="628"/>
      <c r="BD1000" s="629"/>
      <c r="BE1000" s="626"/>
      <c r="BF1000" s="628"/>
      <c r="BG1000" s="628"/>
      <c r="BH1000" s="628"/>
      <c r="BI1000" s="628"/>
      <c r="BJ1000" s="628"/>
      <c r="BK1000" s="630"/>
      <c r="BL1000" s="658"/>
    </row>
    <row r="1001" spans="2:64" ht="17.25" thickTop="1"/>
  </sheetData>
  <autoFilter ref="B3:BO999" xr:uid="{890108D0-9FA1-42E6-AEE4-5F775EB23640}">
    <sortState ref="B7:BO601">
      <sortCondition ref="F3:F559"/>
    </sortState>
  </autoFilter>
  <mergeCells count="14">
    <mergeCell ref="B2:F2"/>
    <mergeCell ref="AN2:AR2"/>
    <mergeCell ref="AX2:BD2"/>
    <mergeCell ref="BE2:BK2"/>
    <mergeCell ref="AK3:AM3"/>
    <mergeCell ref="S3:U3"/>
    <mergeCell ref="G3:I3"/>
    <mergeCell ref="AS2:AW2"/>
    <mergeCell ref="V3:X3"/>
    <mergeCell ref="Y3:AA3"/>
    <mergeCell ref="AB3:AD3"/>
    <mergeCell ref="AE3:AG3"/>
    <mergeCell ref="AH3:AJ3"/>
    <mergeCell ref="G2:AM2"/>
  </mergeCells>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6A26D-46A7-4EB3-9C59-C31D3AB2C9DE}">
  <dimension ref="C4:AQ52"/>
  <sheetViews>
    <sheetView workbookViewId="0">
      <selection activeCell="C45" sqref="C45"/>
    </sheetView>
  </sheetViews>
  <sheetFormatPr defaultColWidth="8.875" defaultRowHeight="16.5"/>
  <cols>
    <col min="1" max="2" width="8.875" style="3"/>
    <col min="3" max="3" width="9.5" style="3" bestFit="1" customWidth="1"/>
    <col min="4" max="4" width="11.5" style="3" bestFit="1" customWidth="1"/>
    <col min="5" max="11" width="9" style="3" customWidth="1"/>
    <col min="12" max="12" width="10.75" style="3" customWidth="1"/>
    <col min="13" max="13" width="8.875" style="3"/>
    <col min="14" max="15" width="9.5" style="1" bestFit="1" customWidth="1"/>
    <col min="16" max="16" width="8.5" style="1" bestFit="1" customWidth="1"/>
    <col min="17" max="18" width="10.125" style="1" bestFit="1" customWidth="1"/>
    <col min="19" max="19" width="9.5" style="1" bestFit="1" customWidth="1"/>
    <col min="20" max="23" width="15.25" style="1" customWidth="1"/>
    <col min="24" max="25" width="9.5" style="1" bestFit="1" customWidth="1"/>
    <col min="26" max="26" width="9.75" style="1" bestFit="1" customWidth="1"/>
    <col min="27" max="28" width="10.125" style="1" bestFit="1" customWidth="1"/>
    <col min="29" max="29" width="9.5" style="1" bestFit="1" customWidth="1"/>
    <col min="30" max="33" width="15.25" style="1" customWidth="1"/>
    <col min="34" max="34" width="9.5" style="1" bestFit="1" customWidth="1"/>
    <col min="35" max="38" width="18.5" style="1" customWidth="1"/>
    <col min="39" max="39" width="9.5" style="1" bestFit="1" customWidth="1"/>
    <col min="40" max="43" width="18.875" style="1" customWidth="1"/>
    <col min="44" max="16384" width="8.875" style="3"/>
  </cols>
  <sheetData>
    <row r="4" spans="3:12" ht="17.25" thickBot="1"/>
    <row r="5" spans="3:12" ht="17.25" thickTop="1">
      <c r="C5" s="1552" t="s">
        <v>1344</v>
      </c>
      <c r="D5" s="223" t="s">
        <v>1348</v>
      </c>
      <c r="E5" s="224" t="s">
        <v>195</v>
      </c>
      <c r="F5" s="224" t="s">
        <v>20</v>
      </c>
      <c r="G5" s="224" t="s">
        <v>21</v>
      </c>
      <c r="H5" s="224" t="s">
        <v>264</v>
      </c>
      <c r="I5" s="224" t="s">
        <v>878</v>
      </c>
      <c r="J5" s="224" t="s">
        <v>1349</v>
      </c>
      <c r="K5" s="1558" t="s">
        <v>1371</v>
      </c>
      <c r="L5" s="1559"/>
    </row>
    <row r="6" spans="3:12" ht="17.25" thickBot="1">
      <c r="C6" s="1553"/>
      <c r="D6" s="225">
        <v>329</v>
      </c>
      <c r="E6" s="226" t="str">
        <f>INDEX(卡片强度!G:G,MATCH($D$6,卡片强度!$D:$D,))</f>
        <v>露比</v>
      </c>
      <c r="F6" s="226" t="str">
        <f>IF(INDEX(卡片强度!I:I,MATCH($D$6,卡片强度!$D:$D,))="缪","μ's",IF(INDEX(卡片强度!I:I,MATCH($D$6,卡片强度!$D:$D,))="水","Aqours",IF(INDEX(卡片强度!I:I,MATCH($D$6,卡片强度!$D:$D,))="虹","虹咲学园")))</f>
        <v>Aqours</v>
      </c>
      <c r="G6" s="226" t="str">
        <f>INDEX(卡片强度!J:J,MATCH($D$6,卡片强度!$D:$D,))</f>
        <v>1年级</v>
      </c>
      <c r="H6" s="226" t="str">
        <f>INDEX(卡片强度!F:F,MATCH($D$6,卡片强度!$D:$D,))</f>
        <v>UR</v>
      </c>
      <c r="I6" s="226" t="str">
        <f>IF(INDEX(卡片强度!C:C,MATCH($D$6,卡片强度!$D:$D,))="粉","Smile",IF(INDEX(卡片强度!C:C,MATCH($D$6,卡片强度!$D:$D,))="绿","Pure",IF(INDEX(卡片强度!C:C,MATCH($D$6,卡片强度!$D:$D,))="蓝","Cool",IF(INDEX(卡片强度!C:C,MATCH($D$6,卡片强度!$D:$D,))="红","Active",IF(INDEX(卡片强度!C:C,MATCH($D$6,卡片强度!$D:$D,))="黄","Natural",IF(INDEX(卡片强度!C:C,MATCH($D$6,卡片强度!$D:$D,))="紫","Elegant"))))))</f>
        <v>Cool</v>
      </c>
      <c r="J6" s="226" t="str">
        <f>IF(INDEX(卡片强度!O:O,MATCH($D$6,卡片强度!$D:$D,))="vo","Vo",IF(INDEX(卡片强度!O:O,MATCH($D$6,卡片强度!$D:$D,))="sp","Sp",IF(INDEX(卡片强度!O:O,MATCH($D$6,卡片强度!$D:$D,))="gd","Gd","Sk")))</f>
        <v>Sp</v>
      </c>
      <c r="K6" s="1560" t="str">
        <f>CONCATENATE(TEXT(INDEX(卡片强度!M:M,MATCH($D$6,卡片强度!$D:$D,)),"yyyy/mm/dd"),", ",INDEX(卡片强度!L:L,MATCH($D$6,卡片强度!$D:$D,)))</f>
        <v>2020/10/12, 卡池卡</v>
      </c>
      <c r="L6" s="1561"/>
    </row>
    <row r="7" spans="3:12" ht="17.25" thickTop="1">
      <c r="C7" s="1554" t="s">
        <v>1345</v>
      </c>
      <c r="D7" s="232" t="s">
        <v>1365</v>
      </c>
      <c r="E7" s="228" t="s">
        <v>1364</v>
      </c>
      <c r="F7" s="227" t="s">
        <v>1366</v>
      </c>
      <c r="G7" s="227" t="s">
        <v>1367</v>
      </c>
      <c r="H7" s="227" t="s">
        <v>1368</v>
      </c>
      <c r="I7" s="227" t="s">
        <v>880</v>
      </c>
      <c r="J7" s="236" t="s">
        <v>879</v>
      </c>
      <c r="K7" s="1565" t="s">
        <v>1369</v>
      </c>
      <c r="L7" s="1567" t="s">
        <v>1370</v>
      </c>
    </row>
    <row r="8" spans="3:12">
      <c r="C8" s="1555"/>
      <c r="D8" s="233" t="s">
        <v>1350</v>
      </c>
      <c r="E8" s="229">
        <f>INDEX('卡片raw data'!V:V,MATCH($D$6,卡片强度!$D:$D,))</f>
        <v>5842</v>
      </c>
      <c r="F8" s="221">
        <f>INDEX('卡片raw data'!Y:Y,MATCH($D$6,卡片强度!$D:$D,))</f>
        <v>6226</v>
      </c>
      <c r="G8" s="221">
        <f>INDEX('卡片raw data'!AB:AB,MATCH($D$6,卡片强度!$D:$D,))</f>
        <v>7378</v>
      </c>
      <c r="H8" s="221">
        <f>INDEX('卡片raw data'!AE:AE,MATCH($D$6,卡片强度!$D:$D,))</f>
        <v>8914</v>
      </c>
      <c r="I8" s="221">
        <f>INDEX('卡片raw data'!AH:AH,MATCH($D$6,卡片强度!$D:$D,))</f>
        <v>9682</v>
      </c>
      <c r="J8" s="237">
        <f>INDEX('卡片raw data'!AK:AK,MATCH($D$6,卡片强度!$D:$D,))</f>
        <v>10465</v>
      </c>
      <c r="K8" s="1566"/>
      <c r="L8" s="1568"/>
    </row>
    <row r="9" spans="3:12">
      <c r="C9" s="1555"/>
      <c r="D9" s="234" t="s">
        <v>1351</v>
      </c>
      <c r="E9" s="230">
        <f>INDEX('卡片raw data'!W:W,MATCH($D$6,卡片强度!$D:$D,))</f>
        <v>3403</v>
      </c>
      <c r="F9" s="220">
        <f>INDEX('卡片raw data'!Z:Z,MATCH($D$6,卡片强度!$D:$D,))</f>
        <v>4075</v>
      </c>
      <c r="G9" s="220">
        <f>INDEX('卡片raw data'!AC:AC,MATCH($D$6,卡片强度!$D:$D,))</f>
        <v>4299</v>
      </c>
      <c r="H9" s="220">
        <f>INDEX('卡片raw data'!AF:AF,MATCH($D$6,卡片强度!$D:$D,))</f>
        <v>4747</v>
      </c>
      <c r="I9" s="220">
        <f>INDEX('卡片raw data'!AI:AI,MATCH($D$6,卡片强度!$D:$D,))</f>
        <v>5643</v>
      </c>
      <c r="J9" s="238">
        <f>INDEX('卡片raw data'!AL:AL,MATCH($D$6,卡片强度!$D:$D,))</f>
        <v>6103</v>
      </c>
      <c r="K9" s="1566" t="str">
        <f>IF(INDEX(卡片强度!AT:AT,MATCH($D$6,卡片强度!$D:$D,)),"是","否")</f>
        <v>是</v>
      </c>
      <c r="L9" s="1568">
        <f>INDEX(卡片强度!BN:BN,MATCH($D$6,卡片强度!$D:$D,))</f>
        <v>3</v>
      </c>
    </row>
    <row r="10" spans="3:12" ht="17.25" thickBot="1">
      <c r="C10" s="1553"/>
      <c r="D10" s="235" t="s">
        <v>1352</v>
      </c>
      <c r="E10" s="231">
        <f>INDEX('卡片raw data'!X:X,MATCH($D$6,卡片强度!$D:$D,))</f>
        <v>6980</v>
      </c>
      <c r="F10" s="222">
        <f>INDEX('卡片raw data'!AA:AA,MATCH($D$6,卡片强度!$D:$D,))</f>
        <v>7898</v>
      </c>
      <c r="G10" s="222">
        <f>INDEX('卡片raw data'!AD:AD,MATCH($D$6,卡片强度!$D:$D,))</f>
        <v>9275</v>
      </c>
      <c r="H10" s="222">
        <f>INDEX('卡片raw data'!AG:AG,MATCH($D$6,卡片强度!$D:$D,))</f>
        <v>10193</v>
      </c>
      <c r="I10" s="222">
        <f>INDEX('卡片raw data'!AJ:AJ,MATCH($D$6,卡片强度!$D:$D,))</f>
        <v>11111</v>
      </c>
      <c r="J10" s="239">
        <f>INDEX('卡片raw data'!AM:AM,MATCH($D$6,卡片强度!$D:$D,))</f>
        <v>12498</v>
      </c>
      <c r="K10" s="1569"/>
      <c r="L10" s="1561"/>
    </row>
    <row r="11" spans="3:12" ht="32.450000000000003" customHeight="1" thickTop="1">
      <c r="C11" s="1554" t="s">
        <v>1346</v>
      </c>
      <c r="D11" s="241" t="s">
        <v>1163</v>
      </c>
      <c r="E11" s="1570" t="s">
        <v>1372</v>
      </c>
      <c r="F11" s="1571"/>
      <c r="G11" s="1571"/>
      <c r="H11" s="1571"/>
      <c r="I11" s="1571"/>
      <c r="J11" s="1571"/>
      <c r="K11" s="1571"/>
      <c r="L11" s="1572"/>
    </row>
    <row r="12" spans="3:12" ht="32.450000000000003" customHeight="1">
      <c r="C12" s="1555"/>
      <c r="D12" s="234" t="s">
        <v>1353</v>
      </c>
      <c r="E12" s="1573" t="s">
        <v>1374</v>
      </c>
      <c r="F12" s="1574"/>
      <c r="G12" s="1574"/>
      <c r="H12" s="1574"/>
      <c r="I12" s="1574"/>
      <c r="J12" s="1574"/>
      <c r="K12" s="1574"/>
      <c r="L12" s="1575"/>
    </row>
    <row r="13" spans="3:12" ht="32.450000000000003" customHeight="1" thickBot="1">
      <c r="C13" s="1553"/>
      <c r="D13" s="235" t="s">
        <v>1354</v>
      </c>
      <c r="E13" s="1576" t="s">
        <v>1373</v>
      </c>
      <c r="F13" s="1577"/>
      <c r="G13" s="1577"/>
      <c r="H13" s="1577"/>
      <c r="I13" s="1577"/>
      <c r="J13" s="1577"/>
      <c r="K13" s="1577"/>
      <c r="L13" s="1578"/>
    </row>
    <row r="14" spans="3:12" ht="17.25" thickTop="1">
      <c r="C14" s="1556" t="s">
        <v>1347</v>
      </c>
      <c r="D14" s="232" t="s">
        <v>1355</v>
      </c>
      <c r="E14" s="243" t="s">
        <v>174</v>
      </c>
      <c r="F14" s="227" t="s">
        <v>175</v>
      </c>
      <c r="G14" s="227" t="s">
        <v>127</v>
      </c>
      <c r="H14" s="227" t="s">
        <v>1359</v>
      </c>
      <c r="I14" s="227" t="s">
        <v>1360</v>
      </c>
      <c r="J14" s="227" t="s">
        <v>1361</v>
      </c>
      <c r="K14" s="227" t="s">
        <v>1362</v>
      </c>
      <c r="L14" s="240" t="s">
        <v>1363</v>
      </c>
    </row>
    <row r="15" spans="3:12" ht="15.6" customHeight="1">
      <c r="C15" s="1555"/>
      <c r="D15" s="233" t="s">
        <v>1356</v>
      </c>
      <c r="E15" s="244">
        <f>INDEX(卡片强度!Q:Q,MATCH($D$6,卡片强度!$D:$D,))</f>
        <v>60066.065901088987</v>
      </c>
      <c r="F15" s="221">
        <f>_xlfn.FLOOR.MATH(INDEX(卡片强度!W:W,MATCH($D$6,卡片强度!$D:$D,)))</f>
        <v>6729</v>
      </c>
      <c r="G15" s="221">
        <f>_xlfn.FLOOR.MATH(INDEX(卡片强度!AB:AB,MATCH($D$6,卡片强度!$D:$D,)))</f>
        <v>8606</v>
      </c>
      <c r="H15" s="1579">
        <f>_xlfn.FLOOR.MATH(INDEX(卡片强度!U:U,MATCH($D$6,卡片强度!$D:$D,))*10)/10</f>
        <v>13.2</v>
      </c>
      <c r="I15" s="1579">
        <f>_xlfn.FLOOR.MATH(INDEX(卡片强度!Z:Z,MATCH($D$6,卡片强度!$D:$D,))*10)/10</f>
        <v>13.2</v>
      </c>
      <c r="J15" s="1579">
        <f>_xlfn.FLOOR.MATH(INDEX(卡片强度!AE:AE,MATCH($D$6,卡片强度!$D:$D,))*10)/10</f>
        <v>78.7</v>
      </c>
      <c r="K15" s="1579">
        <f>_xlfn.FLOOR.MATH(INDEX(卡片强度!AD:AD,MATCH($D$6,卡片强度!$D:$D,))*1000)/10</f>
        <v>-1.7</v>
      </c>
      <c r="L15" s="1562">
        <v>8.5</v>
      </c>
    </row>
    <row r="16" spans="3:12" ht="15.6" customHeight="1">
      <c r="C16" s="1555"/>
      <c r="D16" s="234" t="s">
        <v>1357</v>
      </c>
      <c r="E16" s="242">
        <f>INDEX(卡片强度!R:R,MATCH($D$6,卡片强度!$D:$D,))*100</f>
        <v>69.8</v>
      </c>
      <c r="F16" s="220">
        <f>INDEX(卡片强度!X:X,MATCH($D$6,卡片强度!$D:$D,))*100</f>
        <v>7.8</v>
      </c>
      <c r="G16" s="220">
        <f>INDEX(卡片强度!AC:AC,MATCH($D$6,卡片强度!$D:$D,))*100</f>
        <v>10</v>
      </c>
      <c r="H16" s="1580"/>
      <c r="I16" s="1580"/>
      <c r="J16" s="1580"/>
      <c r="K16" s="1580"/>
      <c r="L16" s="1563"/>
    </row>
    <row r="17" spans="3:43" ht="17.25" thickBot="1">
      <c r="C17" s="1557"/>
      <c r="D17" s="245" t="s">
        <v>1358</v>
      </c>
      <c r="E17" s="246" t="str">
        <f>_xlfn.IFS(E16&gt;=105,"SSS",E16&gt;=95,"SS",E16&gt;=90,"S",E16&gt;=85,"A+",E16&gt;=80,"A-",E16&gt;=75,"B+",E16&gt;=70,"B-",E16&gt;=65,"C+",E16&gt;=60,"C-",E16&gt;=55,"D+",E16&gt;=50,"D-",E16&gt;=45,"E",TRUE(),"F")</f>
        <v>C+</v>
      </c>
      <c r="F17" s="214" t="str">
        <f>_xlfn.IFS(F16&gt;=14.5,"SS",F16&gt;=12,"S",F16&gt;=9.5,"A",F16&gt;=8.5,"B",F16&gt;=7.5,"C",F16&gt;=7,"D",F16&gt;=6,"E",TRUE(),"F")</f>
        <v>C</v>
      </c>
      <c r="G17" s="214" t="str">
        <f>_xlfn.IFS(G16&gt;=17,"SS",G16&gt;=15,"S",G16&gt;=13,"A",G16&gt;=11,"B",G16&gt;=9,"C",G16&gt;=8,"D",G16&gt;=7,"E",TRUE(),"F")</f>
        <v>C</v>
      </c>
      <c r="H17" s="214" t="str">
        <f>_xlfn.IFS(H15&gt;=800,"SS",H15&gt;=700,"S",H15&gt;=600,"A",H15&gt;=500,"B",H15&gt;=400,"C",H15&gt;=250,"D",H15&gt;=100,"E",TRUE(),"F")</f>
        <v>F</v>
      </c>
      <c r="I17" s="214" t="str">
        <f>_xlfn.IFS(I15&gt;=50,"S",I15&gt;=40,"A",I15&gt;=30,"B",I15&gt;=25,"C",I15&gt;=20,"D",I15&gt;=15,"E",TRUE(),"F")</f>
        <v>F</v>
      </c>
      <c r="J17" s="214" t="str">
        <f>_xlfn.IFS(J15&gt;=120,"SS",J15&gt;=90,"S",J15&gt;=56,"A",J15&gt;=40,"B",J15&gt;=16,"C",J15&gt;=6,"D",J15&gt;=0,"E",TRUE(),"F")</f>
        <v>A</v>
      </c>
      <c r="K17" s="214" t="str">
        <f>_xlfn.IFS(K15&gt;=7,"S",K15&gt;=5,"A",K15&gt;=3,"B",K15&gt;=2,"C",K15&gt;=1,"D",K15&gt;=0,"E",TRUE(),"F")</f>
        <v>F</v>
      </c>
      <c r="L17" s="1564"/>
    </row>
    <row r="18" spans="3:43" ht="17.25" thickTop="1"/>
    <row r="21" spans="3:43" ht="17.25" thickBot="1"/>
    <row r="22" spans="3:43" ht="17.25" thickTop="1">
      <c r="N22" s="248" t="s">
        <v>1384</v>
      </c>
      <c r="O22" s="1472" t="s">
        <v>1393</v>
      </c>
      <c r="P22" s="1472"/>
      <c r="Q22" s="1472"/>
      <c r="R22" s="249" t="s">
        <v>1392</v>
      </c>
      <c r="S22" s="270" t="s">
        <v>1417</v>
      </c>
      <c r="T22" s="1447" t="s">
        <v>1418</v>
      </c>
      <c r="U22" s="1447"/>
      <c r="V22" s="1447"/>
      <c r="W22" s="271" t="s">
        <v>1406</v>
      </c>
      <c r="X22" s="303" t="s">
        <v>1437</v>
      </c>
      <c r="Y22" s="1500" t="s">
        <v>1438</v>
      </c>
      <c r="Z22" s="1500"/>
      <c r="AA22" s="1500"/>
      <c r="AB22" s="304" t="s">
        <v>1409</v>
      </c>
      <c r="AC22" s="281" t="s">
        <v>1459</v>
      </c>
      <c r="AD22" s="1479" t="s">
        <v>1460</v>
      </c>
      <c r="AE22" s="1479"/>
      <c r="AF22" s="1479"/>
      <c r="AG22" s="282" t="s">
        <v>1403</v>
      </c>
      <c r="AH22" s="314" t="s">
        <v>1477</v>
      </c>
      <c r="AI22" s="1423" t="s">
        <v>1478</v>
      </c>
      <c r="AJ22" s="1423"/>
      <c r="AK22" s="1423"/>
      <c r="AL22" s="315" t="s">
        <v>1409</v>
      </c>
      <c r="AM22" s="270" t="s">
        <v>1498</v>
      </c>
      <c r="AN22" s="1447" t="s">
        <v>1499</v>
      </c>
      <c r="AO22" s="1447"/>
      <c r="AP22" s="1447"/>
      <c r="AQ22" s="271" t="s">
        <v>1406</v>
      </c>
    </row>
    <row r="23" spans="3:43">
      <c r="N23" s="1473" t="s">
        <v>1385</v>
      </c>
      <c r="O23" s="250" t="s">
        <v>1390</v>
      </c>
      <c r="P23" s="251" t="s">
        <v>1386</v>
      </c>
      <c r="Q23" s="251" t="s">
        <v>1388</v>
      </c>
      <c r="R23" s="252" t="s">
        <v>1389</v>
      </c>
      <c r="S23" s="1448" t="s">
        <v>1385</v>
      </c>
      <c r="T23" s="272" t="s">
        <v>1390</v>
      </c>
      <c r="U23" s="273" t="s">
        <v>1386</v>
      </c>
      <c r="V23" s="273" t="s">
        <v>1388</v>
      </c>
      <c r="W23" s="274" t="s">
        <v>1389</v>
      </c>
      <c r="X23" s="1501" t="s">
        <v>1385</v>
      </c>
      <c r="Y23" s="305" t="s">
        <v>1390</v>
      </c>
      <c r="Z23" s="306" t="s">
        <v>1386</v>
      </c>
      <c r="AA23" s="306" t="s">
        <v>1388</v>
      </c>
      <c r="AB23" s="307" t="s">
        <v>1389</v>
      </c>
      <c r="AC23" s="1480" t="s">
        <v>1385</v>
      </c>
      <c r="AD23" s="283" t="s">
        <v>1390</v>
      </c>
      <c r="AE23" s="284" t="s">
        <v>1386</v>
      </c>
      <c r="AF23" s="284" t="s">
        <v>1388</v>
      </c>
      <c r="AG23" s="285" t="s">
        <v>1389</v>
      </c>
      <c r="AH23" s="1424" t="s">
        <v>1385</v>
      </c>
      <c r="AI23" s="316" t="s">
        <v>1390</v>
      </c>
      <c r="AJ23" s="317" t="s">
        <v>1386</v>
      </c>
      <c r="AK23" s="317" t="s">
        <v>1388</v>
      </c>
      <c r="AL23" s="318" t="s">
        <v>1389</v>
      </c>
      <c r="AM23" s="1448" t="s">
        <v>1385</v>
      </c>
      <c r="AN23" s="272" t="s">
        <v>1390</v>
      </c>
      <c r="AO23" s="273" t="s">
        <v>1386</v>
      </c>
      <c r="AP23" s="273" t="s">
        <v>1388</v>
      </c>
      <c r="AQ23" s="274" t="s">
        <v>1389</v>
      </c>
    </row>
    <row r="24" spans="3:43">
      <c r="N24" s="1474"/>
      <c r="O24" s="253">
        <v>49</v>
      </c>
      <c r="P24" s="254" t="s">
        <v>1387</v>
      </c>
      <c r="Q24" s="254">
        <v>350000</v>
      </c>
      <c r="R24" s="255">
        <v>1064960</v>
      </c>
      <c r="S24" s="1449"/>
      <c r="T24" s="275">
        <v>99</v>
      </c>
      <c r="U24" s="276" t="s">
        <v>1233</v>
      </c>
      <c r="V24" s="276">
        <v>1900000</v>
      </c>
      <c r="W24" s="277">
        <v>2439200</v>
      </c>
      <c r="X24" s="1502"/>
      <c r="Y24" s="308">
        <v>188</v>
      </c>
      <c r="Z24" s="309" t="s">
        <v>1439</v>
      </c>
      <c r="AA24" s="309">
        <v>476000</v>
      </c>
      <c r="AB24" s="310">
        <v>5938520</v>
      </c>
      <c r="AC24" s="1481"/>
      <c r="AD24" s="286">
        <v>255</v>
      </c>
      <c r="AE24" s="287" t="s">
        <v>1461</v>
      </c>
      <c r="AF24" s="287">
        <v>1640000</v>
      </c>
      <c r="AG24" s="288">
        <v>9079820</v>
      </c>
      <c r="AH24" s="1425"/>
      <c r="AI24" s="319">
        <v>371</v>
      </c>
      <c r="AJ24" s="320" t="s">
        <v>1479</v>
      </c>
      <c r="AK24" s="320">
        <v>1750000</v>
      </c>
      <c r="AL24" s="321">
        <v>12605920</v>
      </c>
      <c r="AM24" s="1449"/>
      <c r="AN24" s="275">
        <v>565</v>
      </c>
      <c r="AO24" s="276" t="s">
        <v>1513</v>
      </c>
      <c r="AP24" s="276">
        <v>1818000</v>
      </c>
      <c r="AQ24" s="277">
        <v>18810240</v>
      </c>
    </row>
    <row r="25" spans="3:43" ht="15.6" customHeight="1">
      <c r="N25" s="1475" t="s">
        <v>1394</v>
      </c>
      <c r="O25" s="256" t="s">
        <v>1391</v>
      </c>
      <c r="P25" s="251"/>
      <c r="Q25" s="251"/>
      <c r="R25" s="252"/>
      <c r="S25" s="1450" t="s">
        <v>1394</v>
      </c>
      <c r="T25" s="278" t="s">
        <v>1391</v>
      </c>
      <c r="U25" s="273"/>
      <c r="V25" s="273"/>
      <c r="W25" s="274"/>
      <c r="X25" s="1503" t="s">
        <v>1394</v>
      </c>
      <c r="Y25" s="311" t="s">
        <v>1391</v>
      </c>
      <c r="Z25" s="306" t="s">
        <v>1431</v>
      </c>
      <c r="AA25" s="306"/>
      <c r="AB25" s="307"/>
      <c r="AC25" s="1482" t="s">
        <v>1394</v>
      </c>
      <c r="AD25" s="289" t="s">
        <v>1391</v>
      </c>
      <c r="AE25" s="284" t="s">
        <v>1431</v>
      </c>
      <c r="AF25" s="284"/>
      <c r="AG25" s="285"/>
      <c r="AH25" s="1426" t="s">
        <v>1394</v>
      </c>
      <c r="AI25" s="322" t="s">
        <v>1391</v>
      </c>
      <c r="AJ25" s="317" t="s">
        <v>1431</v>
      </c>
      <c r="AK25" s="317" t="s">
        <v>1453</v>
      </c>
      <c r="AL25" s="318"/>
      <c r="AM25" s="1450" t="s">
        <v>1394</v>
      </c>
      <c r="AN25" s="278" t="s">
        <v>1431</v>
      </c>
      <c r="AO25" s="273" t="s">
        <v>1453</v>
      </c>
      <c r="AP25" s="273" t="s">
        <v>1490</v>
      </c>
      <c r="AQ25" s="274"/>
    </row>
    <row r="26" spans="3:43">
      <c r="N26" s="1474"/>
      <c r="O26" s="257">
        <v>6163</v>
      </c>
      <c r="P26" s="254"/>
      <c r="Q26" s="254"/>
      <c r="R26" s="255"/>
      <c r="S26" s="1449"/>
      <c r="T26" s="279">
        <v>2946</v>
      </c>
      <c r="U26" s="276"/>
      <c r="V26" s="276"/>
      <c r="W26" s="277"/>
      <c r="X26" s="1502"/>
      <c r="Y26" s="312">
        <v>34573</v>
      </c>
      <c r="Z26" s="309">
        <v>15780</v>
      </c>
      <c r="AA26" s="309"/>
      <c r="AB26" s="310"/>
      <c r="AC26" s="1481"/>
      <c r="AD26" s="290">
        <v>44550</v>
      </c>
      <c r="AE26" s="287">
        <v>17365</v>
      </c>
      <c r="AF26" s="287"/>
      <c r="AG26" s="288"/>
      <c r="AH26" s="1425"/>
      <c r="AI26" s="323">
        <v>60988</v>
      </c>
      <c r="AJ26" s="320">
        <v>25578</v>
      </c>
      <c r="AK26" s="320">
        <v>13775</v>
      </c>
      <c r="AL26" s="321"/>
      <c r="AM26" s="1449"/>
      <c r="AN26" s="279">
        <v>45161</v>
      </c>
      <c r="AO26" s="276">
        <v>26500</v>
      </c>
      <c r="AP26" s="276">
        <v>17170</v>
      </c>
      <c r="AQ26" s="277"/>
    </row>
    <row r="27" spans="3:43" ht="94.15" customHeight="1" thickBot="1">
      <c r="N27" s="258" t="s">
        <v>1395</v>
      </c>
      <c r="O27" s="1469" t="s">
        <v>1396</v>
      </c>
      <c r="P27" s="1470"/>
      <c r="Q27" s="1470"/>
      <c r="R27" s="1471"/>
      <c r="S27" s="280" t="s">
        <v>1395</v>
      </c>
      <c r="T27" s="1451" t="s">
        <v>1419</v>
      </c>
      <c r="U27" s="1452"/>
      <c r="V27" s="1452"/>
      <c r="W27" s="1453"/>
      <c r="X27" s="313" t="s">
        <v>1395</v>
      </c>
      <c r="Y27" s="1476" t="s">
        <v>1440</v>
      </c>
      <c r="Z27" s="1477"/>
      <c r="AA27" s="1477"/>
      <c r="AB27" s="1478"/>
      <c r="AC27" s="291" t="s">
        <v>1395</v>
      </c>
      <c r="AD27" s="1483" t="s">
        <v>1480</v>
      </c>
      <c r="AE27" s="1484"/>
      <c r="AF27" s="1484"/>
      <c r="AG27" s="1485"/>
      <c r="AH27" s="324" t="s">
        <v>1395</v>
      </c>
      <c r="AI27" s="1427" t="s">
        <v>1481</v>
      </c>
      <c r="AJ27" s="1428"/>
      <c r="AK27" s="1428"/>
      <c r="AL27" s="1429"/>
      <c r="AM27" s="280" t="s">
        <v>1395</v>
      </c>
      <c r="AN27" s="1451" t="s">
        <v>1501</v>
      </c>
      <c r="AO27" s="1452"/>
      <c r="AP27" s="1452"/>
      <c r="AQ27" s="1453"/>
    </row>
    <row r="28" spans="3:43" ht="17.25" thickTop="1">
      <c r="N28" s="270" t="s">
        <v>1397</v>
      </c>
      <c r="O28" s="1549" t="s">
        <v>1398</v>
      </c>
      <c r="P28" s="1550"/>
      <c r="Q28" s="1551"/>
      <c r="R28" s="271" t="s">
        <v>1406</v>
      </c>
      <c r="S28" s="248" t="s">
        <v>1420</v>
      </c>
      <c r="T28" s="1472" t="s">
        <v>1421</v>
      </c>
      <c r="U28" s="1472"/>
      <c r="V28" s="1472"/>
      <c r="W28" s="249" t="s">
        <v>1392</v>
      </c>
      <c r="X28" s="325" t="s">
        <v>1441</v>
      </c>
      <c r="Y28" s="1493" t="s">
        <v>1442</v>
      </c>
      <c r="Z28" s="1493"/>
      <c r="AA28" s="1493"/>
      <c r="AB28" s="326" t="s">
        <v>1414</v>
      </c>
      <c r="AC28" s="358" t="s">
        <v>1462</v>
      </c>
      <c r="AD28" s="1486" t="s">
        <v>1463</v>
      </c>
      <c r="AE28" s="1486"/>
      <c r="AF28" s="1486"/>
      <c r="AG28" s="359" t="s">
        <v>1425</v>
      </c>
      <c r="AH28" s="270" t="s">
        <v>1482</v>
      </c>
      <c r="AI28" s="1447" t="s">
        <v>1483</v>
      </c>
      <c r="AJ28" s="1447"/>
      <c r="AK28" s="1447"/>
      <c r="AL28" s="271" t="s">
        <v>1406</v>
      </c>
      <c r="AM28" s="347" t="s">
        <v>1502</v>
      </c>
      <c r="AN28" s="1454" t="s">
        <v>1503</v>
      </c>
      <c r="AO28" s="1454"/>
      <c r="AP28" s="1454"/>
      <c r="AQ28" s="348" t="s">
        <v>1414</v>
      </c>
    </row>
    <row r="29" spans="3:43">
      <c r="N29" s="1542" t="s">
        <v>1385</v>
      </c>
      <c r="O29" s="272" t="s">
        <v>1390</v>
      </c>
      <c r="P29" s="273" t="s">
        <v>1386</v>
      </c>
      <c r="Q29" s="273" t="s">
        <v>1388</v>
      </c>
      <c r="R29" s="274" t="s">
        <v>1389</v>
      </c>
      <c r="S29" s="1473" t="s">
        <v>1385</v>
      </c>
      <c r="T29" s="250" t="s">
        <v>1390</v>
      </c>
      <c r="U29" s="251" t="s">
        <v>1386</v>
      </c>
      <c r="V29" s="251" t="s">
        <v>1388</v>
      </c>
      <c r="W29" s="252" t="s">
        <v>1389</v>
      </c>
      <c r="X29" s="1494" t="s">
        <v>1385</v>
      </c>
      <c r="Y29" s="327" t="s">
        <v>1390</v>
      </c>
      <c r="Z29" s="328" t="s">
        <v>1386</v>
      </c>
      <c r="AA29" s="328" t="s">
        <v>1388</v>
      </c>
      <c r="AB29" s="329" t="s">
        <v>1389</v>
      </c>
      <c r="AC29" s="1487" t="s">
        <v>1385</v>
      </c>
      <c r="AD29" s="360" t="s">
        <v>1390</v>
      </c>
      <c r="AE29" s="361" t="s">
        <v>1386</v>
      </c>
      <c r="AF29" s="361" t="s">
        <v>1388</v>
      </c>
      <c r="AG29" s="362" t="s">
        <v>1389</v>
      </c>
      <c r="AH29" s="1448" t="s">
        <v>1385</v>
      </c>
      <c r="AI29" s="272" t="s">
        <v>1390</v>
      </c>
      <c r="AJ29" s="273" t="s">
        <v>1386</v>
      </c>
      <c r="AK29" s="273" t="s">
        <v>1388</v>
      </c>
      <c r="AL29" s="274" t="s">
        <v>1389</v>
      </c>
      <c r="AM29" s="1439" t="s">
        <v>1385</v>
      </c>
      <c r="AN29" s="349" t="s">
        <v>1390</v>
      </c>
      <c r="AO29" s="350" t="s">
        <v>1386</v>
      </c>
      <c r="AP29" s="350" t="s">
        <v>1388</v>
      </c>
      <c r="AQ29" s="351" t="s">
        <v>1389</v>
      </c>
    </row>
    <row r="30" spans="3:43">
      <c r="N30" s="1543"/>
      <c r="O30" s="275">
        <v>72</v>
      </c>
      <c r="P30" s="276" t="s">
        <v>1399</v>
      </c>
      <c r="Q30" s="276">
        <v>243000</v>
      </c>
      <c r="R30" s="277">
        <v>1101700</v>
      </c>
      <c r="S30" s="1474"/>
      <c r="T30" s="253">
        <v>155</v>
      </c>
      <c r="U30" s="254" t="s">
        <v>1422</v>
      </c>
      <c r="V30" s="254">
        <v>476000</v>
      </c>
      <c r="W30" s="255">
        <v>3635850</v>
      </c>
      <c r="X30" s="1495"/>
      <c r="Y30" s="330">
        <v>201</v>
      </c>
      <c r="Z30" s="331" t="s">
        <v>1443</v>
      </c>
      <c r="AA30" s="331">
        <v>1600000</v>
      </c>
      <c r="AB30" s="332">
        <v>5989100</v>
      </c>
      <c r="AC30" s="1488"/>
      <c r="AD30" s="363">
        <v>254</v>
      </c>
      <c r="AE30" s="364" t="s">
        <v>1464</v>
      </c>
      <c r="AF30" s="364">
        <v>2100000</v>
      </c>
      <c r="AG30" s="365">
        <v>9742400</v>
      </c>
      <c r="AH30" s="1449"/>
      <c r="AI30" s="275">
        <v>413</v>
      </c>
      <c r="AJ30" s="276" t="s">
        <v>1485</v>
      </c>
      <c r="AK30" s="276">
        <v>1600000</v>
      </c>
      <c r="AL30" s="277">
        <v>13873000</v>
      </c>
      <c r="AM30" s="1440"/>
      <c r="AN30" s="352">
        <v>650</v>
      </c>
      <c r="AO30" s="353" t="s">
        <v>1504</v>
      </c>
      <c r="AP30" s="353">
        <v>2051000</v>
      </c>
      <c r="AQ30" s="354">
        <v>20082400</v>
      </c>
    </row>
    <row r="31" spans="3:43" ht="15.6" customHeight="1">
      <c r="N31" s="1544" t="s">
        <v>1394</v>
      </c>
      <c r="O31" s="278" t="s">
        <v>1391</v>
      </c>
      <c r="P31" s="273"/>
      <c r="Q31" s="273"/>
      <c r="R31" s="274"/>
      <c r="S31" s="1475" t="s">
        <v>1394</v>
      </c>
      <c r="T31" s="256" t="s">
        <v>1391</v>
      </c>
      <c r="U31" s="251"/>
      <c r="V31" s="251"/>
      <c r="W31" s="252"/>
      <c r="X31" s="1496" t="s">
        <v>1394</v>
      </c>
      <c r="Y31" s="333" t="s">
        <v>1391</v>
      </c>
      <c r="Z31" s="328" t="s">
        <v>1431</v>
      </c>
      <c r="AA31" s="328"/>
      <c r="AB31" s="329"/>
      <c r="AC31" s="1489" t="s">
        <v>1394</v>
      </c>
      <c r="AD31" s="366" t="s">
        <v>1391</v>
      </c>
      <c r="AE31" s="361" t="s">
        <v>1431</v>
      </c>
      <c r="AF31" s="361"/>
      <c r="AG31" s="362"/>
      <c r="AH31" s="1450" t="s">
        <v>1394</v>
      </c>
      <c r="AI31" s="278" t="s">
        <v>1391</v>
      </c>
      <c r="AJ31" s="273" t="s">
        <v>1431</v>
      </c>
      <c r="AK31" s="273" t="s">
        <v>1453</v>
      </c>
      <c r="AL31" s="274"/>
      <c r="AM31" s="1441" t="s">
        <v>1394</v>
      </c>
      <c r="AN31" s="355" t="s">
        <v>1431</v>
      </c>
      <c r="AO31" s="350" t="s">
        <v>1453</v>
      </c>
      <c r="AP31" s="350" t="s">
        <v>1490</v>
      </c>
      <c r="AQ31" s="351"/>
    </row>
    <row r="32" spans="3:43">
      <c r="N32" s="1545"/>
      <c r="O32" s="279">
        <v>7599</v>
      </c>
      <c r="P32" s="276"/>
      <c r="Q32" s="276"/>
      <c r="R32" s="277"/>
      <c r="S32" s="1474"/>
      <c r="T32" s="257">
        <v>21207</v>
      </c>
      <c r="U32" s="254"/>
      <c r="V32" s="254"/>
      <c r="W32" s="255"/>
      <c r="X32" s="1495"/>
      <c r="Y32" s="334">
        <v>27956</v>
      </c>
      <c r="Z32" s="331">
        <v>8882</v>
      </c>
      <c r="AA32" s="331"/>
      <c r="AB32" s="332"/>
      <c r="AC32" s="1488"/>
      <c r="AD32" s="367">
        <v>43423</v>
      </c>
      <c r="AE32" s="364">
        <v>15745</v>
      </c>
      <c r="AF32" s="364"/>
      <c r="AG32" s="365"/>
      <c r="AH32" s="1449"/>
      <c r="AI32" s="279">
        <v>72194</v>
      </c>
      <c r="AJ32" s="276">
        <v>31391</v>
      </c>
      <c r="AK32" s="276">
        <v>17790</v>
      </c>
      <c r="AL32" s="277"/>
      <c r="AM32" s="1440"/>
      <c r="AN32" s="356">
        <v>49322</v>
      </c>
      <c r="AO32" s="353">
        <v>28661</v>
      </c>
      <c r="AP32" s="353">
        <v>18331</v>
      </c>
      <c r="AQ32" s="354"/>
    </row>
    <row r="33" spans="14:43" ht="63" customHeight="1" thickBot="1">
      <c r="N33" s="280" t="s">
        <v>1395</v>
      </c>
      <c r="O33" s="1546" t="s">
        <v>1400</v>
      </c>
      <c r="P33" s="1547"/>
      <c r="Q33" s="1547"/>
      <c r="R33" s="1548"/>
      <c r="S33" s="258" t="s">
        <v>1395</v>
      </c>
      <c r="T33" s="1469" t="s">
        <v>1516</v>
      </c>
      <c r="U33" s="1470"/>
      <c r="V33" s="1470"/>
      <c r="W33" s="1471"/>
      <c r="X33" s="335" t="s">
        <v>1395</v>
      </c>
      <c r="Y33" s="1497" t="s">
        <v>1444</v>
      </c>
      <c r="Z33" s="1498"/>
      <c r="AA33" s="1498"/>
      <c r="AB33" s="1499"/>
      <c r="AC33" s="368" t="s">
        <v>1395</v>
      </c>
      <c r="AD33" s="1490" t="s">
        <v>1465</v>
      </c>
      <c r="AE33" s="1491"/>
      <c r="AF33" s="1491"/>
      <c r="AG33" s="1492"/>
      <c r="AH33" s="280" t="s">
        <v>1395</v>
      </c>
      <c r="AI33" s="1451" t="s">
        <v>1486</v>
      </c>
      <c r="AJ33" s="1452"/>
      <c r="AK33" s="1452"/>
      <c r="AL33" s="1453"/>
      <c r="AM33" s="357" t="s">
        <v>1395</v>
      </c>
      <c r="AN33" s="1442" t="s">
        <v>1505</v>
      </c>
      <c r="AO33" s="1443"/>
      <c r="AP33" s="1443"/>
      <c r="AQ33" s="1444"/>
    </row>
    <row r="34" spans="14:43" ht="17.25" thickTop="1">
      <c r="N34" s="281" t="s">
        <v>1401</v>
      </c>
      <c r="O34" s="1527" t="s">
        <v>1402</v>
      </c>
      <c r="P34" s="1528"/>
      <c r="Q34" s="1529"/>
      <c r="R34" s="282" t="s">
        <v>1403</v>
      </c>
      <c r="S34" s="358" t="s">
        <v>1423</v>
      </c>
      <c r="T34" s="1486" t="s">
        <v>1424</v>
      </c>
      <c r="U34" s="1486"/>
      <c r="V34" s="1486"/>
      <c r="W34" s="359" t="s">
        <v>1425</v>
      </c>
      <c r="X34" s="281" t="s">
        <v>1445</v>
      </c>
      <c r="Y34" s="1479" t="s">
        <v>1446</v>
      </c>
      <c r="Z34" s="1479"/>
      <c r="AA34" s="1479"/>
      <c r="AB34" s="282" t="s">
        <v>1403</v>
      </c>
      <c r="AC34" s="325" t="s">
        <v>1466</v>
      </c>
      <c r="AD34" s="1493" t="s">
        <v>1467</v>
      </c>
      <c r="AE34" s="1493"/>
      <c r="AF34" s="1493"/>
      <c r="AG34" s="326" t="s">
        <v>1414</v>
      </c>
      <c r="AH34" s="314" t="s">
        <v>1487</v>
      </c>
      <c r="AI34" s="1423" t="s">
        <v>1488</v>
      </c>
      <c r="AJ34" s="1423"/>
      <c r="AK34" s="1423"/>
      <c r="AL34" s="315" t="s">
        <v>1409</v>
      </c>
      <c r="AM34" s="369" t="s">
        <v>1506</v>
      </c>
      <c r="AN34" s="1445" t="s">
        <v>1509</v>
      </c>
      <c r="AO34" s="1445"/>
      <c r="AP34" s="1445"/>
      <c r="AQ34" s="370" t="s">
        <v>1425</v>
      </c>
    </row>
    <row r="35" spans="14:43">
      <c r="N35" s="1530" t="s">
        <v>1385</v>
      </c>
      <c r="O35" s="283" t="s">
        <v>1390</v>
      </c>
      <c r="P35" s="284" t="s">
        <v>1386</v>
      </c>
      <c r="Q35" s="284" t="s">
        <v>1388</v>
      </c>
      <c r="R35" s="285" t="s">
        <v>1389</v>
      </c>
      <c r="S35" s="1487" t="s">
        <v>1385</v>
      </c>
      <c r="T35" s="360" t="s">
        <v>1390</v>
      </c>
      <c r="U35" s="361" t="s">
        <v>1386</v>
      </c>
      <c r="V35" s="361" t="s">
        <v>1388</v>
      </c>
      <c r="W35" s="362" t="s">
        <v>1389</v>
      </c>
      <c r="X35" s="1480" t="s">
        <v>1385</v>
      </c>
      <c r="Y35" s="283" t="s">
        <v>1390</v>
      </c>
      <c r="Z35" s="284" t="s">
        <v>1386</v>
      </c>
      <c r="AA35" s="284" t="s">
        <v>1388</v>
      </c>
      <c r="AB35" s="285" t="s">
        <v>1389</v>
      </c>
      <c r="AC35" s="1494" t="s">
        <v>1385</v>
      </c>
      <c r="AD35" s="327" t="s">
        <v>1390</v>
      </c>
      <c r="AE35" s="328" t="s">
        <v>1386</v>
      </c>
      <c r="AF35" s="328" t="s">
        <v>1388</v>
      </c>
      <c r="AG35" s="329" t="s">
        <v>1389</v>
      </c>
      <c r="AH35" s="1424" t="s">
        <v>1385</v>
      </c>
      <c r="AI35" s="316" t="s">
        <v>1390</v>
      </c>
      <c r="AJ35" s="317" t="s">
        <v>1386</v>
      </c>
      <c r="AK35" s="317" t="s">
        <v>1388</v>
      </c>
      <c r="AL35" s="318" t="s">
        <v>1389</v>
      </c>
      <c r="AM35" s="1446" t="s">
        <v>1385</v>
      </c>
      <c r="AN35" s="371" t="s">
        <v>1390</v>
      </c>
      <c r="AO35" s="372" t="s">
        <v>1386</v>
      </c>
      <c r="AP35" s="372" t="s">
        <v>1388</v>
      </c>
      <c r="AQ35" s="373" t="s">
        <v>1389</v>
      </c>
    </row>
    <row r="36" spans="14:43">
      <c r="N36" s="1531"/>
      <c r="O36" s="286">
        <v>100</v>
      </c>
      <c r="P36" s="287" t="s">
        <v>1404</v>
      </c>
      <c r="Q36" s="287">
        <v>280000</v>
      </c>
      <c r="R36" s="288">
        <v>1653400</v>
      </c>
      <c r="S36" s="1488"/>
      <c r="T36" s="363">
        <v>139</v>
      </c>
      <c r="U36" s="364" t="s">
        <v>1523</v>
      </c>
      <c r="V36" s="364">
        <v>2500000</v>
      </c>
      <c r="W36" s="365">
        <v>3708750</v>
      </c>
      <c r="X36" s="1481"/>
      <c r="Y36" s="286">
        <v>276</v>
      </c>
      <c r="Z36" s="287" t="s">
        <v>1447</v>
      </c>
      <c r="AA36" s="287">
        <v>477000</v>
      </c>
      <c r="AB36" s="288">
        <v>6984200</v>
      </c>
      <c r="AC36" s="1495"/>
      <c r="AD36" s="330">
        <v>360</v>
      </c>
      <c r="AE36" s="331" t="s">
        <v>1468</v>
      </c>
      <c r="AF36" s="331">
        <v>450000</v>
      </c>
      <c r="AG36" s="332">
        <v>9455300</v>
      </c>
      <c r="AH36" s="1425"/>
      <c r="AI36" s="319">
        <v>504</v>
      </c>
      <c r="AJ36" s="320" t="s">
        <v>1489</v>
      </c>
      <c r="AK36" s="320">
        <v>1444000</v>
      </c>
      <c r="AL36" s="321">
        <v>14655120</v>
      </c>
      <c r="AM36" s="1431"/>
      <c r="AN36" s="374">
        <v>900</v>
      </c>
      <c r="AO36" s="375" t="s">
        <v>1510</v>
      </c>
      <c r="AP36" s="375">
        <v>1371000</v>
      </c>
      <c r="AQ36" s="376">
        <v>21900000</v>
      </c>
    </row>
    <row r="37" spans="14:43" ht="15.6" customHeight="1">
      <c r="N37" s="1511" t="s">
        <v>1394</v>
      </c>
      <c r="O37" s="289" t="s">
        <v>1391</v>
      </c>
      <c r="P37" s="284"/>
      <c r="Q37" s="284"/>
      <c r="R37" s="285"/>
      <c r="S37" s="1489" t="s">
        <v>1394</v>
      </c>
      <c r="T37" s="366" t="s">
        <v>1391</v>
      </c>
      <c r="U37" s="361"/>
      <c r="V37" s="1523" t="s">
        <v>1426</v>
      </c>
      <c r="W37" s="1524"/>
      <c r="X37" s="1482" t="s">
        <v>1394</v>
      </c>
      <c r="Y37" s="289" t="s">
        <v>1391</v>
      </c>
      <c r="Z37" s="284" t="s">
        <v>1431</v>
      </c>
      <c r="AA37" s="284"/>
      <c r="AB37" s="285"/>
      <c r="AC37" s="1496" t="s">
        <v>1394</v>
      </c>
      <c r="AD37" s="333" t="s">
        <v>1391</v>
      </c>
      <c r="AE37" s="328" t="s">
        <v>1431</v>
      </c>
      <c r="AF37" s="328" t="s">
        <v>1453</v>
      </c>
      <c r="AG37" s="329"/>
      <c r="AH37" s="1426" t="s">
        <v>1394</v>
      </c>
      <c r="AI37" s="322" t="s">
        <v>1391</v>
      </c>
      <c r="AJ37" s="317" t="s">
        <v>1431</v>
      </c>
      <c r="AK37" s="317" t="s">
        <v>1453</v>
      </c>
      <c r="AL37" s="318" t="s">
        <v>1490</v>
      </c>
      <c r="AM37" s="1430" t="s">
        <v>1394</v>
      </c>
      <c r="AN37" s="377" t="s">
        <v>1453</v>
      </c>
      <c r="AO37" s="372" t="s">
        <v>1490</v>
      </c>
      <c r="AP37" s="372" t="s">
        <v>1507</v>
      </c>
      <c r="AQ37" s="373" t="s">
        <v>1508</v>
      </c>
    </row>
    <row r="38" spans="14:43">
      <c r="N38" s="1512"/>
      <c r="O38" s="290">
        <v>11639</v>
      </c>
      <c r="P38" s="287"/>
      <c r="Q38" s="287"/>
      <c r="R38" s="288"/>
      <c r="S38" s="1488"/>
      <c r="T38" s="367">
        <v>6907</v>
      </c>
      <c r="U38" s="364"/>
      <c r="V38" s="1525"/>
      <c r="W38" s="1526"/>
      <c r="X38" s="1481"/>
      <c r="Y38" s="290">
        <v>48926</v>
      </c>
      <c r="Z38" s="287">
        <v>22670</v>
      </c>
      <c r="AA38" s="287"/>
      <c r="AB38" s="288"/>
      <c r="AC38" s="1495"/>
      <c r="AD38" s="334">
        <v>66706</v>
      </c>
      <c r="AE38" s="331">
        <v>31686</v>
      </c>
      <c r="AF38" s="331">
        <v>20013</v>
      </c>
      <c r="AG38" s="332"/>
      <c r="AH38" s="1425"/>
      <c r="AI38" s="323">
        <v>89264</v>
      </c>
      <c r="AJ38" s="320">
        <v>39754</v>
      </c>
      <c r="AK38" s="320">
        <v>23250</v>
      </c>
      <c r="AL38" s="321">
        <v>14999</v>
      </c>
      <c r="AM38" s="1431"/>
      <c r="AN38" s="378">
        <v>45608</v>
      </c>
      <c r="AO38" s="375">
        <v>31569</v>
      </c>
      <c r="AP38" s="375">
        <v>23146</v>
      </c>
      <c r="AQ38" s="376">
        <v>17531</v>
      </c>
    </row>
    <row r="39" spans="14:43" ht="109.9" customHeight="1" thickBot="1">
      <c r="N39" s="291" t="s">
        <v>1395</v>
      </c>
      <c r="O39" s="1513" t="s">
        <v>1405</v>
      </c>
      <c r="P39" s="1514"/>
      <c r="Q39" s="1514"/>
      <c r="R39" s="1515"/>
      <c r="S39" s="368" t="s">
        <v>1395</v>
      </c>
      <c r="T39" s="1490" t="s">
        <v>1427</v>
      </c>
      <c r="U39" s="1491"/>
      <c r="V39" s="1491"/>
      <c r="W39" s="1492"/>
      <c r="X39" s="291" t="s">
        <v>1395</v>
      </c>
      <c r="Y39" s="1483" t="s">
        <v>1448</v>
      </c>
      <c r="Z39" s="1484"/>
      <c r="AA39" s="1484"/>
      <c r="AB39" s="1485"/>
      <c r="AC39" s="335" t="s">
        <v>1395</v>
      </c>
      <c r="AD39" s="1497" t="s">
        <v>1473</v>
      </c>
      <c r="AE39" s="1498"/>
      <c r="AF39" s="1498"/>
      <c r="AG39" s="1499"/>
      <c r="AH39" s="324" t="s">
        <v>1395</v>
      </c>
      <c r="AI39" s="1427" t="s">
        <v>1520</v>
      </c>
      <c r="AJ39" s="1428"/>
      <c r="AK39" s="1428"/>
      <c r="AL39" s="1429"/>
      <c r="AM39" s="379" t="s">
        <v>1395</v>
      </c>
      <c r="AN39" s="1432" t="s">
        <v>1521</v>
      </c>
      <c r="AO39" s="1433"/>
      <c r="AP39" s="1433"/>
      <c r="AQ39" s="1434"/>
    </row>
    <row r="40" spans="14:43" ht="17.25" thickTop="1">
      <c r="N40" s="303" t="s">
        <v>1407</v>
      </c>
      <c r="O40" s="1535" t="s">
        <v>1408</v>
      </c>
      <c r="P40" s="1536"/>
      <c r="Q40" s="1537"/>
      <c r="R40" s="304" t="s">
        <v>1409</v>
      </c>
      <c r="S40" s="281" t="s">
        <v>1428</v>
      </c>
      <c r="T40" s="1527" t="s">
        <v>1429</v>
      </c>
      <c r="U40" s="1528"/>
      <c r="V40" s="1529"/>
      <c r="W40" s="282" t="s">
        <v>1403</v>
      </c>
      <c r="X40" s="358" t="s">
        <v>1449</v>
      </c>
      <c r="Y40" s="1486" t="s">
        <v>1451</v>
      </c>
      <c r="Z40" s="1486"/>
      <c r="AA40" s="1486"/>
      <c r="AB40" s="359" t="s">
        <v>1425</v>
      </c>
      <c r="AC40" s="248" t="s">
        <v>1469</v>
      </c>
      <c r="AD40" s="1472" t="s">
        <v>1470</v>
      </c>
      <c r="AE40" s="1472"/>
      <c r="AF40" s="1472"/>
      <c r="AG40" s="249" t="s">
        <v>1392</v>
      </c>
      <c r="AH40" s="292" t="s">
        <v>1491</v>
      </c>
      <c r="AI40" s="1465" t="s">
        <v>1492</v>
      </c>
      <c r="AJ40" s="1465"/>
      <c r="AK40" s="1465"/>
      <c r="AL40" s="293" t="s">
        <v>1403</v>
      </c>
      <c r="AM40" s="259" t="s">
        <v>1511</v>
      </c>
      <c r="AN40" s="1435" t="s">
        <v>1512</v>
      </c>
      <c r="AO40" s="1435"/>
      <c r="AP40" s="1435"/>
      <c r="AQ40" s="260" t="s">
        <v>1392</v>
      </c>
    </row>
    <row r="41" spans="14:43">
      <c r="N41" s="1538" t="s">
        <v>1385</v>
      </c>
      <c r="O41" s="305" t="s">
        <v>1390</v>
      </c>
      <c r="P41" s="306" t="s">
        <v>1386</v>
      </c>
      <c r="Q41" s="306" t="s">
        <v>1388</v>
      </c>
      <c r="R41" s="307" t="s">
        <v>1389</v>
      </c>
      <c r="S41" s="1530" t="s">
        <v>1385</v>
      </c>
      <c r="T41" s="283" t="s">
        <v>1390</v>
      </c>
      <c r="U41" s="284" t="s">
        <v>1386</v>
      </c>
      <c r="V41" s="284" t="s">
        <v>1388</v>
      </c>
      <c r="W41" s="285" t="s">
        <v>1389</v>
      </c>
      <c r="X41" s="1487" t="s">
        <v>1385</v>
      </c>
      <c r="Y41" s="360" t="s">
        <v>1390</v>
      </c>
      <c r="Z41" s="361" t="s">
        <v>1386</v>
      </c>
      <c r="AA41" s="361" t="s">
        <v>1388</v>
      </c>
      <c r="AB41" s="362" t="s">
        <v>1389</v>
      </c>
      <c r="AC41" s="1473" t="s">
        <v>1385</v>
      </c>
      <c r="AD41" s="250" t="s">
        <v>1390</v>
      </c>
      <c r="AE41" s="251" t="s">
        <v>1386</v>
      </c>
      <c r="AF41" s="251" t="s">
        <v>1388</v>
      </c>
      <c r="AG41" s="252" t="s">
        <v>1389</v>
      </c>
      <c r="AH41" s="1466" t="s">
        <v>1385</v>
      </c>
      <c r="AI41" s="294" t="s">
        <v>1390</v>
      </c>
      <c r="AJ41" s="295" t="s">
        <v>1386</v>
      </c>
      <c r="AK41" s="295" t="s">
        <v>1388</v>
      </c>
      <c r="AL41" s="296" t="s">
        <v>1389</v>
      </c>
      <c r="AM41" s="1436" t="s">
        <v>1385</v>
      </c>
      <c r="AN41" s="261" t="s">
        <v>1390</v>
      </c>
      <c r="AO41" s="262" t="s">
        <v>1386</v>
      </c>
      <c r="AP41" s="262" t="s">
        <v>1388</v>
      </c>
      <c r="AQ41" s="263" t="s">
        <v>1389</v>
      </c>
    </row>
    <row r="42" spans="14:43">
      <c r="N42" s="1539"/>
      <c r="O42" s="308">
        <v>115</v>
      </c>
      <c r="P42" s="309" t="s">
        <v>1410</v>
      </c>
      <c r="Q42" s="309">
        <v>1000000</v>
      </c>
      <c r="R42" s="310">
        <v>1677000</v>
      </c>
      <c r="S42" s="1531"/>
      <c r="T42" s="286">
        <v>139</v>
      </c>
      <c r="U42" s="287" t="s">
        <v>1430</v>
      </c>
      <c r="V42" s="287">
        <v>680000</v>
      </c>
      <c r="W42" s="288">
        <v>4887400</v>
      </c>
      <c r="X42" s="1488"/>
      <c r="Y42" s="363">
        <v>295</v>
      </c>
      <c r="Z42" s="364" t="s">
        <v>1452</v>
      </c>
      <c r="AA42" s="364">
        <v>450000</v>
      </c>
      <c r="AB42" s="365">
        <v>7521800</v>
      </c>
      <c r="AC42" s="1474"/>
      <c r="AD42" s="253">
        <v>418</v>
      </c>
      <c r="AE42" s="254" t="s">
        <v>1471</v>
      </c>
      <c r="AF42" s="254">
        <v>476000</v>
      </c>
      <c r="AG42" s="255">
        <v>10742640</v>
      </c>
      <c r="AH42" s="1467"/>
      <c r="AI42" s="297">
        <v>424</v>
      </c>
      <c r="AJ42" s="298" t="s">
        <v>1493</v>
      </c>
      <c r="AK42" s="298">
        <v>2430000</v>
      </c>
      <c r="AL42" s="299">
        <v>15530280</v>
      </c>
      <c r="AM42" s="1437"/>
      <c r="AN42" s="264">
        <v>744</v>
      </c>
      <c r="AO42" s="265" t="s">
        <v>1514</v>
      </c>
      <c r="AP42" s="265">
        <v>2100000</v>
      </c>
      <c r="AQ42" s="266">
        <v>24709000</v>
      </c>
    </row>
    <row r="43" spans="14:43" ht="15.6" customHeight="1">
      <c r="N43" s="1540" t="s">
        <v>1394</v>
      </c>
      <c r="O43" s="311" t="s">
        <v>1391</v>
      </c>
      <c r="P43" s="306"/>
      <c r="Q43" s="306"/>
      <c r="R43" s="307"/>
      <c r="S43" s="1511" t="s">
        <v>1394</v>
      </c>
      <c r="T43" s="289" t="s">
        <v>1391</v>
      </c>
      <c r="U43" s="284" t="s">
        <v>1431</v>
      </c>
      <c r="V43" s="284"/>
      <c r="W43" s="285"/>
      <c r="X43" s="1489" t="s">
        <v>1394</v>
      </c>
      <c r="Y43" s="366" t="s">
        <v>1391</v>
      </c>
      <c r="Z43" s="361" t="s">
        <v>1431</v>
      </c>
      <c r="AA43" s="361" t="s">
        <v>1453</v>
      </c>
      <c r="AB43" s="362"/>
      <c r="AC43" s="1475" t="s">
        <v>1394</v>
      </c>
      <c r="AD43" s="256" t="s">
        <v>1391</v>
      </c>
      <c r="AE43" s="251" t="s">
        <v>1431</v>
      </c>
      <c r="AF43" s="251" t="s">
        <v>1453</v>
      </c>
      <c r="AG43" s="252"/>
      <c r="AH43" s="1468" t="s">
        <v>1394</v>
      </c>
      <c r="AI43" s="300" t="s">
        <v>1391</v>
      </c>
      <c r="AJ43" s="295" t="s">
        <v>1431</v>
      </c>
      <c r="AK43" s="295" t="s">
        <v>1453</v>
      </c>
      <c r="AL43" s="296"/>
      <c r="AM43" s="1438" t="s">
        <v>1394</v>
      </c>
      <c r="AN43" s="267" t="s">
        <v>1431</v>
      </c>
      <c r="AO43" s="262" t="s">
        <v>1453</v>
      </c>
      <c r="AP43" s="262" t="s">
        <v>1490</v>
      </c>
      <c r="AQ43" s="263" t="s">
        <v>1507</v>
      </c>
    </row>
    <row r="44" spans="14:43">
      <c r="N44" s="1541"/>
      <c r="O44" s="312">
        <v>5737</v>
      </c>
      <c r="P44" s="309"/>
      <c r="Q44" s="309"/>
      <c r="R44" s="310"/>
      <c r="S44" s="1512"/>
      <c r="T44" s="290">
        <v>24749</v>
      </c>
      <c r="U44" s="287">
        <v>10375</v>
      </c>
      <c r="V44" s="287"/>
      <c r="W44" s="288"/>
      <c r="X44" s="1488"/>
      <c r="Y44" s="367">
        <v>54820</v>
      </c>
      <c r="Z44" s="364">
        <v>25666</v>
      </c>
      <c r="AA44" s="364">
        <v>15948</v>
      </c>
      <c r="AB44" s="365"/>
      <c r="AC44" s="1474"/>
      <c r="AD44" s="257">
        <v>74939</v>
      </c>
      <c r="AE44" s="254">
        <v>35732</v>
      </c>
      <c r="AF44" s="254">
        <v>22663</v>
      </c>
      <c r="AG44" s="255"/>
      <c r="AH44" s="1467"/>
      <c r="AI44" s="301">
        <v>70432</v>
      </c>
      <c r="AJ44" s="298">
        <v>28684</v>
      </c>
      <c r="AK44" s="298">
        <v>14768</v>
      </c>
      <c r="AL44" s="299"/>
      <c r="AM44" s="1437"/>
      <c r="AN44" s="268">
        <v>59275</v>
      </c>
      <c r="AO44" s="265">
        <v>35470</v>
      </c>
      <c r="AP44" s="265">
        <v>23568</v>
      </c>
      <c r="AQ44" s="266">
        <v>16427</v>
      </c>
    </row>
    <row r="45" spans="14:43" ht="109.9" customHeight="1" thickBot="1">
      <c r="N45" s="313" t="s">
        <v>1395</v>
      </c>
      <c r="O45" s="1532" t="s">
        <v>1411</v>
      </c>
      <c r="P45" s="1533"/>
      <c r="Q45" s="1533"/>
      <c r="R45" s="1534"/>
      <c r="S45" s="291" t="s">
        <v>1395</v>
      </c>
      <c r="T45" s="1513" t="s">
        <v>1450</v>
      </c>
      <c r="U45" s="1514"/>
      <c r="V45" s="1514"/>
      <c r="W45" s="1515"/>
      <c r="X45" s="368" t="s">
        <v>1395</v>
      </c>
      <c r="Y45" s="1490" t="s">
        <v>1454</v>
      </c>
      <c r="Z45" s="1491"/>
      <c r="AA45" s="1491"/>
      <c r="AB45" s="1492"/>
      <c r="AC45" s="258" t="s">
        <v>1395</v>
      </c>
      <c r="AD45" s="1469" t="s">
        <v>1472</v>
      </c>
      <c r="AE45" s="1470"/>
      <c r="AF45" s="1470"/>
      <c r="AG45" s="1471"/>
      <c r="AH45" s="302" t="s">
        <v>1395</v>
      </c>
      <c r="AI45" s="1455" t="s">
        <v>1500</v>
      </c>
      <c r="AJ45" s="1456"/>
      <c r="AK45" s="1456"/>
      <c r="AL45" s="1457"/>
      <c r="AM45" s="269" t="s">
        <v>1395</v>
      </c>
      <c r="AN45" s="1420" t="s">
        <v>1519</v>
      </c>
      <c r="AO45" s="1421"/>
      <c r="AP45" s="1421"/>
      <c r="AQ45" s="1422"/>
    </row>
    <row r="46" spans="14:43" ht="17.25" thickTop="1">
      <c r="N46" s="325" t="s">
        <v>1412</v>
      </c>
      <c r="O46" s="1516" t="s">
        <v>1413</v>
      </c>
      <c r="P46" s="1517"/>
      <c r="Q46" s="1518"/>
      <c r="R46" s="326" t="s">
        <v>1414</v>
      </c>
      <c r="S46" s="325" t="s">
        <v>1432</v>
      </c>
      <c r="T46" s="1516" t="s">
        <v>1433</v>
      </c>
      <c r="U46" s="1517"/>
      <c r="V46" s="1518"/>
      <c r="W46" s="326" t="s">
        <v>1414</v>
      </c>
      <c r="X46" s="303" t="s">
        <v>1455</v>
      </c>
      <c r="Y46" s="1500" t="s">
        <v>1456</v>
      </c>
      <c r="Z46" s="1500"/>
      <c r="AA46" s="1500"/>
      <c r="AB46" s="304" t="s">
        <v>1409</v>
      </c>
      <c r="AC46" s="248" t="s">
        <v>1474</v>
      </c>
      <c r="AD46" s="1472" t="s">
        <v>1475</v>
      </c>
      <c r="AE46" s="1472"/>
      <c r="AF46" s="1472"/>
      <c r="AG46" s="249" t="s">
        <v>1392</v>
      </c>
      <c r="AH46" s="336" t="s">
        <v>1494</v>
      </c>
      <c r="AI46" s="1458" t="s">
        <v>1495</v>
      </c>
      <c r="AJ46" s="1458"/>
      <c r="AK46" s="1458"/>
      <c r="AL46" s="337" t="s">
        <v>1414</v>
      </c>
      <c r="AM46" s="314" t="s">
        <v>1515</v>
      </c>
      <c r="AN46" s="1423" t="s">
        <v>1517</v>
      </c>
      <c r="AO46" s="1423"/>
      <c r="AP46" s="1423"/>
      <c r="AQ46" s="315" t="s">
        <v>1409</v>
      </c>
    </row>
    <row r="47" spans="14:43">
      <c r="N47" s="1519" t="s">
        <v>1385</v>
      </c>
      <c r="O47" s="327" t="s">
        <v>1390</v>
      </c>
      <c r="P47" s="328" t="s">
        <v>1386</v>
      </c>
      <c r="Q47" s="328" t="s">
        <v>1388</v>
      </c>
      <c r="R47" s="329" t="s">
        <v>1389</v>
      </c>
      <c r="S47" s="1519" t="s">
        <v>1385</v>
      </c>
      <c r="T47" s="327" t="s">
        <v>1390</v>
      </c>
      <c r="U47" s="328" t="s">
        <v>1386</v>
      </c>
      <c r="V47" s="328" t="s">
        <v>1388</v>
      </c>
      <c r="W47" s="329" t="s">
        <v>1389</v>
      </c>
      <c r="X47" s="1501" t="s">
        <v>1385</v>
      </c>
      <c r="Y47" s="305" t="s">
        <v>1390</v>
      </c>
      <c r="Z47" s="306" t="s">
        <v>1386</v>
      </c>
      <c r="AA47" s="306" t="s">
        <v>1388</v>
      </c>
      <c r="AB47" s="307" t="s">
        <v>1389</v>
      </c>
      <c r="AC47" s="1473" t="s">
        <v>1385</v>
      </c>
      <c r="AD47" s="250" t="s">
        <v>1390</v>
      </c>
      <c r="AE47" s="251" t="s">
        <v>1386</v>
      </c>
      <c r="AF47" s="251" t="s">
        <v>1388</v>
      </c>
      <c r="AG47" s="252" t="s">
        <v>1389</v>
      </c>
      <c r="AH47" s="1459" t="s">
        <v>1385</v>
      </c>
      <c r="AI47" s="338" t="s">
        <v>1390</v>
      </c>
      <c r="AJ47" s="339" t="s">
        <v>1386</v>
      </c>
      <c r="AK47" s="339" t="s">
        <v>1388</v>
      </c>
      <c r="AL47" s="340" t="s">
        <v>1389</v>
      </c>
      <c r="AM47" s="1424" t="s">
        <v>1385</v>
      </c>
      <c r="AN47" s="316" t="s">
        <v>1390</v>
      </c>
      <c r="AO47" s="317" t="s">
        <v>1386</v>
      </c>
      <c r="AP47" s="317" t="s">
        <v>1388</v>
      </c>
      <c r="AQ47" s="318" t="s">
        <v>1389</v>
      </c>
    </row>
    <row r="48" spans="14:43">
      <c r="N48" s="1520"/>
      <c r="O48" s="330">
        <v>146</v>
      </c>
      <c r="P48" s="331" t="s">
        <v>1415</v>
      </c>
      <c r="Q48" s="331">
        <v>243000</v>
      </c>
      <c r="R48" s="332">
        <v>2239760</v>
      </c>
      <c r="S48" s="1520"/>
      <c r="T48" s="330">
        <v>177</v>
      </c>
      <c r="U48" s="331" t="s">
        <v>1434</v>
      </c>
      <c r="V48" s="331">
        <v>1784000</v>
      </c>
      <c r="W48" s="332">
        <v>4881600</v>
      </c>
      <c r="X48" s="1502"/>
      <c r="Y48" s="308">
        <v>290</v>
      </c>
      <c r="Z48" s="309" t="s">
        <v>1458</v>
      </c>
      <c r="AA48" s="309">
        <v>476000</v>
      </c>
      <c r="AB48" s="310">
        <v>8262800</v>
      </c>
      <c r="AC48" s="1474"/>
      <c r="AD48" s="253">
        <v>350</v>
      </c>
      <c r="AE48" s="254" t="s">
        <v>1476</v>
      </c>
      <c r="AF48" s="254">
        <v>3200000</v>
      </c>
      <c r="AG48" s="255">
        <v>11907680</v>
      </c>
      <c r="AH48" s="1460"/>
      <c r="AI48" s="341">
        <v>470</v>
      </c>
      <c r="AJ48" s="342" t="s">
        <v>1496</v>
      </c>
      <c r="AK48" s="342">
        <v>1900000</v>
      </c>
      <c r="AL48" s="343">
        <v>15816120</v>
      </c>
      <c r="AM48" s="1425"/>
      <c r="AN48" s="319">
        <v>969</v>
      </c>
      <c r="AO48" s="320" t="s">
        <v>1518</v>
      </c>
      <c r="AP48" s="320">
        <v>1574000</v>
      </c>
      <c r="AQ48" s="321">
        <v>25220000</v>
      </c>
    </row>
    <row r="49" spans="14:43" ht="15.6" customHeight="1">
      <c r="N49" s="1521" t="s">
        <v>1394</v>
      </c>
      <c r="O49" s="333" t="s">
        <v>1391</v>
      </c>
      <c r="P49" s="328"/>
      <c r="Q49" s="328"/>
      <c r="R49" s="329"/>
      <c r="S49" s="1521" t="s">
        <v>1394</v>
      </c>
      <c r="T49" s="333" t="s">
        <v>1391</v>
      </c>
      <c r="U49" s="328"/>
      <c r="V49" s="1507" t="s">
        <v>1435</v>
      </c>
      <c r="W49" s="1508"/>
      <c r="X49" s="1503" t="s">
        <v>1394</v>
      </c>
      <c r="Y49" s="311" t="s">
        <v>1391</v>
      </c>
      <c r="Z49" s="306" t="s">
        <v>1431</v>
      </c>
      <c r="AA49" s="306" t="s">
        <v>1453</v>
      </c>
      <c r="AB49" s="307"/>
      <c r="AC49" s="1475" t="s">
        <v>1394</v>
      </c>
      <c r="AD49" s="256" t="s">
        <v>1391</v>
      </c>
      <c r="AE49" s="251" t="s">
        <v>1431</v>
      </c>
      <c r="AF49" s="251"/>
      <c r="AG49" s="252"/>
      <c r="AH49" s="1461" t="s">
        <v>1394</v>
      </c>
      <c r="AI49" s="344" t="s">
        <v>1391</v>
      </c>
      <c r="AJ49" s="339" t="s">
        <v>1431</v>
      </c>
      <c r="AK49" s="339" t="s">
        <v>1453</v>
      </c>
      <c r="AL49" s="340"/>
      <c r="AM49" s="1426" t="s">
        <v>1394</v>
      </c>
      <c r="AN49" s="322" t="s">
        <v>1453</v>
      </c>
      <c r="AO49" s="317" t="s">
        <v>1490</v>
      </c>
      <c r="AP49" s="317" t="s">
        <v>1507</v>
      </c>
      <c r="AQ49" s="318" t="s">
        <v>1508</v>
      </c>
    </row>
    <row r="50" spans="14:43">
      <c r="N50" s="1522"/>
      <c r="O50" s="334">
        <v>19017</v>
      </c>
      <c r="P50" s="331"/>
      <c r="Q50" s="331"/>
      <c r="R50" s="332"/>
      <c r="S50" s="1522"/>
      <c r="T50" s="334">
        <v>21814</v>
      </c>
      <c r="U50" s="331"/>
      <c r="V50" s="1509"/>
      <c r="W50" s="1510"/>
      <c r="X50" s="1502"/>
      <c r="Y50" s="312">
        <v>55620</v>
      </c>
      <c r="Z50" s="309">
        <v>26110</v>
      </c>
      <c r="AA50" s="309">
        <v>16273</v>
      </c>
      <c r="AB50" s="310"/>
      <c r="AC50" s="1474"/>
      <c r="AD50" s="257">
        <v>49475</v>
      </c>
      <c r="AE50" s="254">
        <v>15647</v>
      </c>
      <c r="AF50" s="254"/>
      <c r="AG50" s="255"/>
      <c r="AH50" s="1460"/>
      <c r="AI50" s="345">
        <v>79521</v>
      </c>
      <c r="AJ50" s="342">
        <v>34332</v>
      </c>
      <c r="AK50" s="342">
        <v>19269</v>
      </c>
      <c r="AL50" s="343"/>
      <c r="AM50" s="1425"/>
      <c r="AN50" s="323">
        <v>47112</v>
      </c>
      <c r="AO50" s="320">
        <v>32628</v>
      </c>
      <c r="AP50" s="320">
        <v>23931</v>
      </c>
      <c r="AQ50" s="321">
        <v>18133</v>
      </c>
    </row>
    <row r="51" spans="14:43" ht="78.599999999999994" customHeight="1" thickBot="1">
      <c r="N51" s="335" t="s">
        <v>1395</v>
      </c>
      <c r="O51" s="1504" t="s">
        <v>1416</v>
      </c>
      <c r="P51" s="1505"/>
      <c r="Q51" s="1505"/>
      <c r="R51" s="1506"/>
      <c r="S51" s="335" t="s">
        <v>1395</v>
      </c>
      <c r="T51" s="1504" t="s">
        <v>1436</v>
      </c>
      <c r="U51" s="1505"/>
      <c r="V51" s="1505"/>
      <c r="W51" s="1506"/>
      <c r="X51" s="313" t="s">
        <v>1395</v>
      </c>
      <c r="Y51" s="1476" t="s">
        <v>1457</v>
      </c>
      <c r="Z51" s="1477"/>
      <c r="AA51" s="1477"/>
      <c r="AB51" s="1478"/>
      <c r="AC51" s="258" t="s">
        <v>1395</v>
      </c>
      <c r="AD51" s="1469" t="s">
        <v>1484</v>
      </c>
      <c r="AE51" s="1470"/>
      <c r="AF51" s="1470"/>
      <c r="AG51" s="1471"/>
      <c r="AH51" s="346" t="s">
        <v>1395</v>
      </c>
      <c r="AI51" s="1462" t="s">
        <v>1497</v>
      </c>
      <c r="AJ51" s="1463"/>
      <c r="AK51" s="1463"/>
      <c r="AL51" s="1464"/>
      <c r="AM51" s="324" t="s">
        <v>1395</v>
      </c>
      <c r="AN51" s="1427" t="s">
        <v>1522</v>
      </c>
      <c r="AO51" s="1428"/>
      <c r="AP51" s="1428"/>
      <c r="AQ51" s="1429"/>
    </row>
    <row r="52" spans="14:43" ht="17.25" thickTop="1"/>
  </sheetData>
  <mergeCells count="140">
    <mergeCell ref="C5:C6"/>
    <mergeCell ref="C7:C10"/>
    <mergeCell ref="C11:C13"/>
    <mergeCell ref="C14:C17"/>
    <mergeCell ref="K5:L5"/>
    <mergeCell ref="K6:L6"/>
    <mergeCell ref="L15:L17"/>
    <mergeCell ref="K7:K8"/>
    <mergeCell ref="L7:L8"/>
    <mergeCell ref="K9:K10"/>
    <mergeCell ref="L9:L10"/>
    <mergeCell ref="E11:L11"/>
    <mergeCell ref="E12:L12"/>
    <mergeCell ref="E13:L13"/>
    <mergeCell ref="H15:H16"/>
    <mergeCell ref="I15:I16"/>
    <mergeCell ref="J15:J16"/>
    <mergeCell ref="K15:K16"/>
    <mergeCell ref="N29:N30"/>
    <mergeCell ref="N31:N32"/>
    <mergeCell ref="O33:R33"/>
    <mergeCell ref="O34:Q34"/>
    <mergeCell ref="N35:N36"/>
    <mergeCell ref="O22:Q22"/>
    <mergeCell ref="N25:N26"/>
    <mergeCell ref="N23:N24"/>
    <mergeCell ref="O27:R27"/>
    <mergeCell ref="O28:Q28"/>
    <mergeCell ref="O45:R45"/>
    <mergeCell ref="O46:Q46"/>
    <mergeCell ref="N47:N48"/>
    <mergeCell ref="N49:N50"/>
    <mergeCell ref="O51:R51"/>
    <mergeCell ref="N37:N38"/>
    <mergeCell ref="O39:R39"/>
    <mergeCell ref="O40:Q40"/>
    <mergeCell ref="N41:N42"/>
    <mergeCell ref="N43:N44"/>
    <mergeCell ref="S29:S30"/>
    <mergeCell ref="S31:S32"/>
    <mergeCell ref="T33:W33"/>
    <mergeCell ref="T34:V34"/>
    <mergeCell ref="S35:S36"/>
    <mergeCell ref="T22:V22"/>
    <mergeCell ref="S23:S24"/>
    <mergeCell ref="S25:S26"/>
    <mergeCell ref="T27:W27"/>
    <mergeCell ref="T28:V28"/>
    <mergeCell ref="S43:S44"/>
    <mergeCell ref="T45:W45"/>
    <mergeCell ref="T46:V46"/>
    <mergeCell ref="S47:S48"/>
    <mergeCell ref="S49:S50"/>
    <mergeCell ref="S37:S38"/>
    <mergeCell ref="T39:W39"/>
    <mergeCell ref="V37:W38"/>
    <mergeCell ref="T40:V40"/>
    <mergeCell ref="S41:S42"/>
    <mergeCell ref="X43:X44"/>
    <mergeCell ref="Y45:AB45"/>
    <mergeCell ref="Y46:AA46"/>
    <mergeCell ref="X47:X48"/>
    <mergeCell ref="X49:X50"/>
    <mergeCell ref="T51:W51"/>
    <mergeCell ref="V49:W50"/>
    <mergeCell ref="Y22:AA22"/>
    <mergeCell ref="X23:X24"/>
    <mergeCell ref="X25:X26"/>
    <mergeCell ref="Y27:AB27"/>
    <mergeCell ref="Y28:AA28"/>
    <mergeCell ref="X29:X30"/>
    <mergeCell ref="X31:X32"/>
    <mergeCell ref="Y33:AB33"/>
    <mergeCell ref="Y34:AA34"/>
    <mergeCell ref="X35:X36"/>
    <mergeCell ref="X37:X38"/>
    <mergeCell ref="Y39:AB39"/>
    <mergeCell ref="Y40:AA40"/>
    <mergeCell ref="X41:X42"/>
    <mergeCell ref="AD45:AG45"/>
    <mergeCell ref="AD46:AF46"/>
    <mergeCell ref="AC47:AC48"/>
    <mergeCell ref="AC49:AC50"/>
    <mergeCell ref="AD51:AG51"/>
    <mergeCell ref="Y51:AB51"/>
    <mergeCell ref="AD22:AF22"/>
    <mergeCell ref="AC23:AC24"/>
    <mergeCell ref="AC25:AC26"/>
    <mergeCell ref="AD27:AG27"/>
    <mergeCell ref="AD28:AF28"/>
    <mergeCell ref="AC29:AC30"/>
    <mergeCell ref="AC31:AC32"/>
    <mergeCell ref="AD33:AG33"/>
    <mergeCell ref="AD34:AF34"/>
    <mergeCell ref="AC35:AC36"/>
    <mergeCell ref="AC37:AC38"/>
    <mergeCell ref="AD39:AG39"/>
    <mergeCell ref="AD40:AF40"/>
    <mergeCell ref="AC41:AC42"/>
    <mergeCell ref="AC43:AC44"/>
    <mergeCell ref="AH29:AH30"/>
    <mergeCell ref="AH31:AH32"/>
    <mergeCell ref="AI33:AL33"/>
    <mergeCell ref="AI34:AK34"/>
    <mergeCell ref="AH35:AH36"/>
    <mergeCell ref="AI22:AK22"/>
    <mergeCell ref="AH23:AH24"/>
    <mergeCell ref="AH25:AH26"/>
    <mergeCell ref="AI27:AL27"/>
    <mergeCell ref="AI28:AK28"/>
    <mergeCell ref="AI45:AL45"/>
    <mergeCell ref="AI46:AK46"/>
    <mergeCell ref="AH47:AH48"/>
    <mergeCell ref="AH49:AH50"/>
    <mergeCell ref="AI51:AL51"/>
    <mergeCell ref="AH37:AH38"/>
    <mergeCell ref="AI39:AL39"/>
    <mergeCell ref="AI40:AK40"/>
    <mergeCell ref="AH41:AH42"/>
    <mergeCell ref="AH43:AH44"/>
    <mergeCell ref="AM29:AM30"/>
    <mergeCell ref="AM31:AM32"/>
    <mergeCell ref="AN33:AQ33"/>
    <mergeCell ref="AN34:AP34"/>
    <mergeCell ref="AM35:AM36"/>
    <mergeCell ref="AN22:AP22"/>
    <mergeCell ref="AM23:AM24"/>
    <mergeCell ref="AM25:AM26"/>
    <mergeCell ref="AN27:AQ27"/>
    <mergeCell ref="AN28:AP28"/>
    <mergeCell ref="AN45:AQ45"/>
    <mergeCell ref="AN46:AP46"/>
    <mergeCell ref="AM47:AM48"/>
    <mergeCell ref="AM49:AM50"/>
    <mergeCell ref="AN51:AQ51"/>
    <mergeCell ref="AM37:AM38"/>
    <mergeCell ref="AN39:AQ39"/>
    <mergeCell ref="AN40:AP40"/>
    <mergeCell ref="AM41:AM42"/>
    <mergeCell ref="AM43:AM44"/>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dimension ref="B1:Z34"/>
  <sheetViews>
    <sheetView workbookViewId="0">
      <selection activeCell="AA22" sqref="AA22"/>
    </sheetView>
  </sheetViews>
  <sheetFormatPr defaultColWidth="9" defaultRowHeight="16.5"/>
  <cols>
    <col min="1" max="1" width="2.875" style="3" customWidth="1"/>
    <col min="2" max="2" width="7.375" style="3" bestFit="1" customWidth="1"/>
    <col min="3" max="3" width="7.375" style="3" customWidth="1"/>
    <col min="4" max="4" width="5.5" style="3" bestFit="1" customWidth="1"/>
    <col min="5" max="5" width="6.625" style="3" bestFit="1" customWidth="1"/>
    <col min="6" max="6" width="11.125" style="16" bestFit="1" customWidth="1"/>
    <col min="7" max="7" width="7.375" style="1" bestFit="1" customWidth="1"/>
    <col min="8" max="8" width="9.25" style="1" bestFit="1" customWidth="1"/>
    <col min="9" max="9" width="8.375" style="1" bestFit="1" customWidth="1"/>
    <col min="10" max="12" width="7.25" style="1" bestFit="1" customWidth="1"/>
    <col min="13" max="20" width="7.25" style="1" customWidth="1"/>
    <col min="21" max="21" width="10.625" style="1" bestFit="1" customWidth="1"/>
    <col min="22" max="22" width="10.5" style="1" bestFit="1" customWidth="1"/>
    <col min="23" max="23" width="10.375" style="1" bestFit="1" customWidth="1"/>
    <col min="24" max="24" width="10.875" style="1" bestFit="1" customWidth="1"/>
    <col min="25" max="25" width="7.375" style="1" bestFit="1" customWidth="1"/>
    <col min="26" max="26" width="10.75" style="3" bestFit="1" customWidth="1"/>
    <col min="27" max="16384" width="9" style="3"/>
  </cols>
  <sheetData>
    <row r="1" spans="2:26" ht="17.25" thickBot="1"/>
    <row r="2" spans="2:26">
      <c r="B2" s="17" t="s">
        <v>195</v>
      </c>
      <c r="C2" s="189" t="s">
        <v>706</v>
      </c>
      <c r="D2" s="18" t="s">
        <v>196</v>
      </c>
      <c r="E2" s="18" t="s">
        <v>197</v>
      </c>
      <c r="F2" s="73" t="s">
        <v>198</v>
      </c>
      <c r="G2" s="74" t="s">
        <v>199</v>
      </c>
      <c r="H2" s="81" t="s">
        <v>202</v>
      </c>
      <c r="I2" s="82" t="s">
        <v>301</v>
      </c>
      <c r="J2" s="50" t="s">
        <v>265</v>
      </c>
      <c r="K2" s="51" t="s">
        <v>266</v>
      </c>
      <c r="L2" s="52" t="s">
        <v>267</v>
      </c>
      <c r="M2" s="44" t="s">
        <v>268</v>
      </c>
      <c r="N2" s="34" t="s">
        <v>269</v>
      </c>
      <c r="O2" s="34" t="s">
        <v>270</v>
      </c>
      <c r="P2" s="45" t="s">
        <v>271</v>
      </c>
      <c r="Q2" s="50" t="s">
        <v>272</v>
      </c>
      <c r="R2" s="51" t="s">
        <v>273</v>
      </c>
      <c r="S2" s="52" t="s">
        <v>274</v>
      </c>
      <c r="T2" s="46" t="s">
        <v>275</v>
      </c>
      <c r="U2" s="179" t="s">
        <v>639</v>
      </c>
      <c r="V2" s="180" t="s">
        <v>640</v>
      </c>
      <c r="W2" s="180" t="s">
        <v>641</v>
      </c>
      <c r="X2" s="181" t="s">
        <v>642</v>
      </c>
      <c r="Y2" s="88" t="s">
        <v>201</v>
      </c>
      <c r="Z2" s="19" t="s">
        <v>200</v>
      </c>
    </row>
    <row r="3" spans="2:26">
      <c r="B3" s="27" t="s">
        <v>24</v>
      </c>
      <c r="C3" s="190">
        <v>1</v>
      </c>
      <c r="D3" s="28" t="s">
        <v>51</v>
      </c>
      <c r="E3" s="28" t="s">
        <v>54</v>
      </c>
      <c r="F3" s="75" t="s">
        <v>18</v>
      </c>
      <c r="G3" s="76">
        <v>160</v>
      </c>
      <c r="H3" s="83">
        <f t="shared" ref="H3:H32" si="0">IFERROR(1+0.0001*ROUND(100*(5*G3-9)^0.35,0),1)</f>
        <v>1.1033999999999999</v>
      </c>
      <c r="I3" s="84">
        <v>13</v>
      </c>
      <c r="J3" s="53">
        <f>INDEX(绊面板数据!S$4:S$35,$I3+1)</f>
        <v>3.3000000000000008E-2</v>
      </c>
      <c r="K3" s="54">
        <f>INDEX(绊面板数据!T$4:T$35,$I3+1)</f>
        <v>3.3000000000000008E-2</v>
      </c>
      <c r="L3" s="55">
        <f>INDEX(绊面板数据!U$4:U$35,$I3+1)</f>
        <v>3.3000000000000002E-2</v>
      </c>
      <c r="M3" s="38">
        <f>INDEX(绊面板数据!V$4:V$35,$I3+1)</f>
        <v>3.0000000000000002E-2</v>
      </c>
      <c r="N3" s="35">
        <f>INDEX(绊面板数据!W$4:W$35,$I3+1)</f>
        <v>0.4</v>
      </c>
      <c r="O3" s="35">
        <f>INDEX(绊面板数据!X$4:X$35,$I3+1)</f>
        <v>0.04</v>
      </c>
      <c r="P3" s="39">
        <f>INDEX(绊面板数据!Y$4:Y$35,$I3+1)</f>
        <v>2.8000000000000004E-2</v>
      </c>
      <c r="Q3" s="62">
        <f>INDEX(绊面板数据!Z$4:Z$35,$I3+1)</f>
        <v>58</v>
      </c>
      <c r="R3" s="63">
        <f>INDEX(绊面板数据!AA$4:AA$35,$I3+1)</f>
        <v>68</v>
      </c>
      <c r="S3" s="64">
        <f>INDEX(绊面板数据!AB$4:AB$35,$I3+1)</f>
        <v>84</v>
      </c>
      <c r="T3" s="47">
        <f>INDEX(绊面板数据!AC$4:AC$35,$I3+1)</f>
        <v>0.1</v>
      </c>
      <c r="U3" s="53">
        <f>INDEX(绊面板数据!AD$4:AD$35,$I3+1)</f>
        <v>5.0000000000000001E-3</v>
      </c>
      <c r="V3" s="54">
        <f>INDEX(绊面板数据!AE$4:AE$35,$I3+1)</f>
        <v>5.0000000000000001E-3</v>
      </c>
      <c r="W3" s="54">
        <f>INDEX(绊面板数据!AF$4:AF$35,$I3+1)</f>
        <v>5.0000000000000001E-3</v>
      </c>
      <c r="X3" s="89">
        <f>INDEX(绊面板数据!AG$4:AG$35,$I3+1)</f>
        <v>5.0000000000000001E-3</v>
      </c>
      <c r="Y3" s="90">
        <v>250</v>
      </c>
      <c r="Z3" s="29">
        <f t="shared" ref="Z3:Z32" si="1">kizuna(Y3)-kizuna(G3)</f>
        <v>1594350</v>
      </c>
    </row>
    <row r="4" spans="2:26">
      <c r="B4" s="20" t="s">
        <v>25</v>
      </c>
      <c r="C4" s="191">
        <v>2</v>
      </c>
      <c r="D4" s="21" t="s">
        <v>51</v>
      </c>
      <c r="E4" s="21" t="s">
        <v>55</v>
      </c>
      <c r="F4" s="77" t="s">
        <v>64</v>
      </c>
      <c r="G4" s="78">
        <v>160</v>
      </c>
      <c r="H4" s="83">
        <f t="shared" si="0"/>
        <v>1.1033999999999999</v>
      </c>
      <c r="I4" s="85">
        <v>13</v>
      </c>
      <c r="J4" s="56">
        <f>INDEX(绊面板数据!S$4:S$35,$I4+1)</f>
        <v>3.3000000000000008E-2</v>
      </c>
      <c r="K4" s="57">
        <f>INDEX(绊面板数据!T$4:T$35,$I4+1)</f>
        <v>3.3000000000000008E-2</v>
      </c>
      <c r="L4" s="58">
        <f>INDEX(绊面板数据!U$4:U$35,$I4+1)</f>
        <v>3.3000000000000002E-2</v>
      </c>
      <c r="M4" s="40">
        <f>INDEX(绊面板数据!V$4:V$35,$I4+1)</f>
        <v>3.0000000000000002E-2</v>
      </c>
      <c r="N4" s="36">
        <f>INDEX(绊面板数据!W$4:W$35,$I4+1)</f>
        <v>0.4</v>
      </c>
      <c r="O4" s="36">
        <f>INDEX(绊面板数据!X$4:X$35,$I4+1)</f>
        <v>0.04</v>
      </c>
      <c r="P4" s="41">
        <f>INDEX(绊面板数据!Y$4:Y$35,$I4+1)</f>
        <v>2.8000000000000004E-2</v>
      </c>
      <c r="Q4" s="65">
        <f>INDEX(绊面板数据!Z$4:Z$35,$I4+1)</f>
        <v>58</v>
      </c>
      <c r="R4" s="66">
        <f>INDEX(绊面板数据!AA$4:AA$35,$I4+1)</f>
        <v>68</v>
      </c>
      <c r="S4" s="67">
        <f>INDEX(绊面板数据!AB$4:AB$35,$I4+1)</f>
        <v>84</v>
      </c>
      <c r="T4" s="48">
        <f>INDEX(绊面板数据!AC$4:AC$35,$I4+1)</f>
        <v>0.1</v>
      </c>
      <c r="U4" s="56">
        <f>INDEX(绊面板数据!AD$4:AD$35,$I4+1)</f>
        <v>5.0000000000000001E-3</v>
      </c>
      <c r="V4" s="57">
        <f>INDEX(绊面板数据!AE$4:AE$35,$I4+1)</f>
        <v>5.0000000000000001E-3</v>
      </c>
      <c r="W4" s="57">
        <f>INDEX(绊面板数据!AF$4:AF$35,$I4+1)</f>
        <v>5.0000000000000001E-3</v>
      </c>
      <c r="X4" s="91">
        <f>INDEX(绊面板数据!AG$4:AG$35,$I4+1)</f>
        <v>5.0000000000000001E-3</v>
      </c>
      <c r="Y4" s="92">
        <v>250</v>
      </c>
      <c r="Z4" s="24">
        <f t="shared" si="1"/>
        <v>1594350</v>
      </c>
    </row>
    <row r="5" spans="2:26">
      <c r="B5" s="20" t="s">
        <v>26</v>
      </c>
      <c r="C5" s="191">
        <v>3</v>
      </c>
      <c r="D5" s="21" t="s">
        <v>51</v>
      </c>
      <c r="E5" s="21" t="s">
        <v>54</v>
      </c>
      <c r="F5" s="77" t="s">
        <v>18</v>
      </c>
      <c r="G5" s="78">
        <v>160</v>
      </c>
      <c r="H5" s="83">
        <f t="shared" si="0"/>
        <v>1.1033999999999999</v>
      </c>
      <c r="I5" s="85">
        <v>13</v>
      </c>
      <c r="J5" s="56">
        <f>INDEX(绊面板数据!S$4:S$35,$I5+1)</f>
        <v>3.3000000000000008E-2</v>
      </c>
      <c r="K5" s="57">
        <f>INDEX(绊面板数据!T$4:T$35,$I5+1)</f>
        <v>3.3000000000000008E-2</v>
      </c>
      <c r="L5" s="58">
        <f>INDEX(绊面板数据!U$4:U$35,$I5+1)</f>
        <v>3.3000000000000002E-2</v>
      </c>
      <c r="M5" s="40">
        <f>INDEX(绊面板数据!V$4:V$35,$I5+1)</f>
        <v>3.0000000000000002E-2</v>
      </c>
      <c r="N5" s="36">
        <f>INDEX(绊面板数据!W$4:W$35,$I5+1)</f>
        <v>0.4</v>
      </c>
      <c r="O5" s="36">
        <f>INDEX(绊面板数据!X$4:X$35,$I5+1)</f>
        <v>0.04</v>
      </c>
      <c r="P5" s="41">
        <f>INDEX(绊面板数据!Y$4:Y$35,$I5+1)</f>
        <v>2.8000000000000004E-2</v>
      </c>
      <c r="Q5" s="65">
        <f>INDEX(绊面板数据!Z$4:Z$35,$I5+1)</f>
        <v>58</v>
      </c>
      <c r="R5" s="66">
        <f>INDEX(绊面板数据!AA$4:AA$35,$I5+1)</f>
        <v>68</v>
      </c>
      <c r="S5" s="67">
        <f>INDEX(绊面板数据!AB$4:AB$35,$I5+1)</f>
        <v>84</v>
      </c>
      <c r="T5" s="48">
        <f>INDEX(绊面板数据!AC$4:AC$35,$I5+1)</f>
        <v>0.1</v>
      </c>
      <c r="U5" s="56">
        <f>INDEX(绊面板数据!AD$4:AD$35,$I5+1)</f>
        <v>5.0000000000000001E-3</v>
      </c>
      <c r="V5" s="57">
        <f>INDEX(绊面板数据!AE$4:AE$35,$I5+1)</f>
        <v>5.0000000000000001E-3</v>
      </c>
      <c r="W5" s="57">
        <f>INDEX(绊面板数据!AF$4:AF$35,$I5+1)</f>
        <v>5.0000000000000001E-3</v>
      </c>
      <c r="X5" s="91">
        <f>INDEX(绊面板数据!AG$4:AG$35,$I5+1)</f>
        <v>5.0000000000000001E-3</v>
      </c>
      <c r="Y5" s="92">
        <v>250</v>
      </c>
      <c r="Z5" s="24">
        <f t="shared" si="1"/>
        <v>1594350</v>
      </c>
    </row>
    <row r="6" spans="2:26">
      <c r="B6" s="20" t="s">
        <v>27</v>
      </c>
      <c r="C6" s="191">
        <v>4</v>
      </c>
      <c r="D6" s="21" t="s">
        <v>51</v>
      </c>
      <c r="E6" s="21" t="s">
        <v>54</v>
      </c>
      <c r="F6" s="77" t="s">
        <v>61</v>
      </c>
      <c r="G6" s="78">
        <v>160</v>
      </c>
      <c r="H6" s="83">
        <f t="shared" si="0"/>
        <v>1.1033999999999999</v>
      </c>
      <c r="I6" s="85">
        <v>13</v>
      </c>
      <c r="J6" s="56">
        <f>INDEX(绊面板数据!S$4:S$35,$I6+1)</f>
        <v>3.3000000000000008E-2</v>
      </c>
      <c r="K6" s="57">
        <f>INDEX(绊面板数据!T$4:T$35,$I6+1)</f>
        <v>3.3000000000000008E-2</v>
      </c>
      <c r="L6" s="58">
        <f>INDEX(绊面板数据!U$4:U$35,$I6+1)</f>
        <v>3.3000000000000002E-2</v>
      </c>
      <c r="M6" s="40">
        <f>INDEX(绊面板数据!V$4:V$35,$I6+1)</f>
        <v>3.0000000000000002E-2</v>
      </c>
      <c r="N6" s="36">
        <f>INDEX(绊面板数据!W$4:W$35,$I6+1)</f>
        <v>0.4</v>
      </c>
      <c r="O6" s="36">
        <f>INDEX(绊面板数据!X$4:X$35,$I6+1)</f>
        <v>0.04</v>
      </c>
      <c r="P6" s="41">
        <f>INDEX(绊面板数据!Y$4:Y$35,$I6+1)</f>
        <v>2.8000000000000004E-2</v>
      </c>
      <c r="Q6" s="65">
        <f>INDEX(绊面板数据!Z$4:Z$35,$I6+1)</f>
        <v>58</v>
      </c>
      <c r="R6" s="66">
        <f>INDEX(绊面板数据!AA$4:AA$35,$I6+1)</f>
        <v>68</v>
      </c>
      <c r="S6" s="67">
        <f>INDEX(绊面板数据!AB$4:AB$35,$I6+1)</f>
        <v>84</v>
      </c>
      <c r="T6" s="48">
        <f>INDEX(绊面板数据!AC$4:AC$35,$I6+1)</f>
        <v>0.1</v>
      </c>
      <c r="U6" s="56">
        <f>INDEX(绊面板数据!AD$4:AD$35,$I6+1)</f>
        <v>5.0000000000000001E-3</v>
      </c>
      <c r="V6" s="57">
        <f>INDEX(绊面板数据!AE$4:AE$35,$I6+1)</f>
        <v>5.0000000000000001E-3</v>
      </c>
      <c r="W6" s="57">
        <f>INDEX(绊面板数据!AF$4:AF$35,$I6+1)</f>
        <v>5.0000000000000001E-3</v>
      </c>
      <c r="X6" s="91">
        <f>INDEX(绊面板数据!AG$4:AG$35,$I6+1)</f>
        <v>5.0000000000000001E-3</v>
      </c>
      <c r="Y6" s="92">
        <v>250</v>
      </c>
      <c r="Z6" s="24">
        <f t="shared" si="1"/>
        <v>1594350</v>
      </c>
    </row>
    <row r="7" spans="2:26">
      <c r="B7" s="20" t="s">
        <v>28</v>
      </c>
      <c r="C7" s="191">
        <v>5</v>
      </c>
      <c r="D7" s="21" t="s">
        <v>51</v>
      </c>
      <c r="E7" s="21" t="s">
        <v>56</v>
      </c>
      <c r="F7" s="77" t="s">
        <v>61</v>
      </c>
      <c r="G7" s="78">
        <v>160</v>
      </c>
      <c r="H7" s="83">
        <f t="shared" si="0"/>
        <v>1.1033999999999999</v>
      </c>
      <c r="I7" s="85">
        <v>13</v>
      </c>
      <c r="J7" s="56">
        <f>INDEX(绊面板数据!S$4:S$35,$I7+1)</f>
        <v>3.3000000000000008E-2</v>
      </c>
      <c r="K7" s="57">
        <f>INDEX(绊面板数据!T$4:T$35,$I7+1)</f>
        <v>3.3000000000000008E-2</v>
      </c>
      <c r="L7" s="58">
        <f>INDEX(绊面板数据!U$4:U$35,$I7+1)</f>
        <v>3.3000000000000002E-2</v>
      </c>
      <c r="M7" s="40">
        <f>INDEX(绊面板数据!V$4:V$35,$I7+1)</f>
        <v>3.0000000000000002E-2</v>
      </c>
      <c r="N7" s="36">
        <f>INDEX(绊面板数据!W$4:W$35,$I7+1)</f>
        <v>0.4</v>
      </c>
      <c r="O7" s="36">
        <f>INDEX(绊面板数据!X$4:X$35,$I7+1)</f>
        <v>0.04</v>
      </c>
      <c r="P7" s="41">
        <f>INDEX(绊面板数据!Y$4:Y$35,$I7+1)</f>
        <v>2.8000000000000004E-2</v>
      </c>
      <c r="Q7" s="65">
        <f>INDEX(绊面板数据!Z$4:Z$35,$I7+1)</f>
        <v>58</v>
      </c>
      <c r="R7" s="66">
        <f>INDEX(绊面板数据!AA$4:AA$35,$I7+1)</f>
        <v>68</v>
      </c>
      <c r="S7" s="67">
        <f>INDEX(绊面板数据!AB$4:AB$35,$I7+1)</f>
        <v>84</v>
      </c>
      <c r="T7" s="48">
        <f>INDEX(绊面板数据!AC$4:AC$35,$I7+1)</f>
        <v>0.1</v>
      </c>
      <c r="U7" s="56">
        <f>INDEX(绊面板数据!AD$4:AD$35,$I7+1)</f>
        <v>5.0000000000000001E-3</v>
      </c>
      <c r="V7" s="57">
        <f>INDEX(绊面板数据!AE$4:AE$35,$I7+1)</f>
        <v>5.0000000000000001E-3</v>
      </c>
      <c r="W7" s="57">
        <f>INDEX(绊面板数据!AF$4:AF$35,$I7+1)</f>
        <v>5.0000000000000001E-3</v>
      </c>
      <c r="X7" s="91">
        <f>INDEX(绊面板数据!AG$4:AG$35,$I7+1)</f>
        <v>5.0000000000000001E-3</v>
      </c>
      <c r="Y7" s="92">
        <v>250</v>
      </c>
      <c r="Z7" s="24">
        <f t="shared" si="1"/>
        <v>1594350</v>
      </c>
    </row>
    <row r="8" spans="2:26">
      <c r="B8" s="20" t="s">
        <v>29</v>
      </c>
      <c r="C8" s="191">
        <v>6</v>
      </c>
      <c r="D8" s="21" t="s">
        <v>51</v>
      </c>
      <c r="E8" s="21" t="s">
        <v>56</v>
      </c>
      <c r="F8" s="77" t="s">
        <v>64</v>
      </c>
      <c r="G8" s="78">
        <v>160</v>
      </c>
      <c r="H8" s="83">
        <f t="shared" si="0"/>
        <v>1.1033999999999999</v>
      </c>
      <c r="I8" s="85">
        <v>13</v>
      </c>
      <c r="J8" s="56">
        <f>INDEX(绊面板数据!S$4:S$35,$I8+1)</f>
        <v>3.3000000000000008E-2</v>
      </c>
      <c r="K8" s="57">
        <f>INDEX(绊面板数据!T$4:T$35,$I8+1)</f>
        <v>3.3000000000000008E-2</v>
      </c>
      <c r="L8" s="58">
        <f>INDEX(绊面板数据!U$4:U$35,$I8+1)</f>
        <v>3.3000000000000002E-2</v>
      </c>
      <c r="M8" s="40">
        <f>INDEX(绊面板数据!V$4:V$35,$I8+1)</f>
        <v>3.0000000000000002E-2</v>
      </c>
      <c r="N8" s="36">
        <f>INDEX(绊面板数据!W$4:W$35,$I8+1)</f>
        <v>0.4</v>
      </c>
      <c r="O8" s="36">
        <f>INDEX(绊面板数据!X$4:X$35,$I8+1)</f>
        <v>0.04</v>
      </c>
      <c r="P8" s="41">
        <f>INDEX(绊面板数据!Y$4:Y$35,$I8+1)</f>
        <v>2.8000000000000004E-2</v>
      </c>
      <c r="Q8" s="65">
        <f>INDEX(绊面板数据!Z$4:Z$35,$I8+1)</f>
        <v>58</v>
      </c>
      <c r="R8" s="66">
        <f>INDEX(绊面板数据!AA$4:AA$35,$I8+1)</f>
        <v>68</v>
      </c>
      <c r="S8" s="67">
        <f>INDEX(绊面板数据!AB$4:AB$35,$I8+1)</f>
        <v>84</v>
      </c>
      <c r="T8" s="48">
        <f>INDEX(绊面板数据!AC$4:AC$35,$I8+1)</f>
        <v>0.1</v>
      </c>
      <c r="U8" s="56">
        <f>INDEX(绊面板数据!AD$4:AD$35,$I8+1)</f>
        <v>5.0000000000000001E-3</v>
      </c>
      <c r="V8" s="57">
        <f>INDEX(绊面板数据!AE$4:AE$35,$I8+1)</f>
        <v>5.0000000000000001E-3</v>
      </c>
      <c r="W8" s="57">
        <f>INDEX(绊面板数据!AF$4:AF$35,$I8+1)</f>
        <v>5.0000000000000001E-3</v>
      </c>
      <c r="X8" s="91">
        <f>INDEX(绊面板数据!AG$4:AG$35,$I8+1)</f>
        <v>5.0000000000000001E-3</v>
      </c>
      <c r="Y8" s="92">
        <v>250</v>
      </c>
      <c r="Z8" s="24">
        <f t="shared" si="1"/>
        <v>1594350</v>
      </c>
    </row>
    <row r="9" spans="2:26">
      <c r="B9" s="20" t="s">
        <v>30</v>
      </c>
      <c r="C9" s="191">
        <v>7</v>
      </c>
      <c r="D9" s="21" t="s">
        <v>51</v>
      </c>
      <c r="E9" s="21" t="s">
        <v>55</v>
      </c>
      <c r="F9" s="77" t="s">
        <v>61</v>
      </c>
      <c r="G9" s="78">
        <v>160</v>
      </c>
      <c r="H9" s="83">
        <f t="shared" si="0"/>
        <v>1.1033999999999999</v>
      </c>
      <c r="I9" s="85">
        <v>13</v>
      </c>
      <c r="J9" s="56">
        <f>INDEX(绊面板数据!S$4:S$35,$I9+1)</f>
        <v>3.3000000000000008E-2</v>
      </c>
      <c r="K9" s="57">
        <f>INDEX(绊面板数据!T$4:T$35,$I9+1)</f>
        <v>3.3000000000000008E-2</v>
      </c>
      <c r="L9" s="58">
        <f>INDEX(绊面板数据!U$4:U$35,$I9+1)</f>
        <v>3.3000000000000002E-2</v>
      </c>
      <c r="M9" s="40">
        <f>INDEX(绊面板数据!V$4:V$35,$I9+1)</f>
        <v>3.0000000000000002E-2</v>
      </c>
      <c r="N9" s="36">
        <f>INDEX(绊面板数据!W$4:W$35,$I9+1)</f>
        <v>0.4</v>
      </c>
      <c r="O9" s="36">
        <f>INDEX(绊面板数据!X$4:X$35,$I9+1)</f>
        <v>0.04</v>
      </c>
      <c r="P9" s="41">
        <f>INDEX(绊面板数据!Y$4:Y$35,$I9+1)</f>
        <v>2.8000000000000004E-2</v>
      </c>
      <c r="Q9" s="65">
        <f>INDEX(绊面板数据!Z$4:Z$35,$I9+1)</f>
        <v>58</v>
      </c>
      <c r="R9" s="66">
        <f>INDEX(绊面板数据!AA$4:AA$35,$I9+1)</f>
        <v>68</v>
      </c>
      <c r="S9" s="67">
        <f>INDEX(绊面板数据!AB$4:AB$35,$I9+1)</f>
        <v>84</v>
      </c>
      <c r="T9" s="48">
        <f>INDEX(绊面板数据!AC$4:AC$35,$I9+1)</f>
        <v>0.1</v>
      </c>
      <c r="U9" s="56">
        <f>INDEX(绊面板数据!AD$4:AD$35,$I9+1)</f>
        <v>5.0000000000000001E-3</v>
      </c>
      <c r="V9" s="57">
        <f>INDEX(绊面板数据!AE$4:AE$35,$I9+1)</f>
        <v>5.0000000000000001E-3</v>
      </c>
      <c r="W9" s="57">
        <f>INDEX(绊面板数据!AF$4:AF$35,$I9+1)</f>
        <v>5.0000000000000001E-3</v>
      </c>
      <c r="X9" s="91">
        <f>INDEX(绊面板数据!AG$4:AG$35,$I9+1)</f>
        <v>5.0000000000000001E-3</v>
      </c>
      <c r="Y9" s="92">
        <v>250</v>
      </c>
      <c r="Z9" s="24">
        <f t="shared" si="1"/>
        <v>1594350</v>
      </c>
    </row>
    <row r="10" spans="2:26">
      <c r="B10" s="20" t="s">
        <v>31</v>
      </c>
      <c r="C10" s="191">
        <v>8</v>
      </c>
      <c r="D10" s="21" t="s">
        <v>51</v>
      </c>
      <c r="E10" s="21" t="s">
        <v>56</v>
      </c>
      <c r="F10" s="77" t="s">
        <v>18</v>
      </c>
      <c r="G10" s="78">
        <v>160</v>
      </c>
      <c r="H10" s="83">
        <f t="shared" si="0"/>
        <v>1.1033999999999999</v>
      </c>
      <c r="I10" s="85">
        <v>13</v>
      </c>
      <c r="J10" s="56">
        <f>INDEX(绊面板数据!S$4:S$35,$I10+1)</f>
        <v>3.3000000000000008E-2</v>
      </c>
      <c r="K10" s="57">
        <f>INDEX(绊面板数据!T$4:T$35,$I10+1)</f>
        <v>3.3000000000000008E-2</v>
      </c>
      <c r="L10" s="58">
        <f>INDEX(绊面板数据!U$4:U$35,$I10+1)</f>
        <v>3.3000000000000002E-2</v>
      </c>
      <c r="M10" s="40">
        <f>INDEX(绊面板数据!V$4:V$35,$I10+1)</f>
        <v>3.0000000000000002E-2</v>
      </c>
      <c r="N10" s="36">
        <f>INDEX(绊面板数据!W$4:W$35,$I10+1)</f>
        <v>0.4</v>
      </c>
      <c r="O10" s="36">
        <f>INDEX(绊面板数据!X$4:X$35,$I10+1)</f>
        <v>0.04</v>
      </c>
      <c r="P10" s="41">
        <f>INDEX(绊面板数据!Y$4:Y$35,$I10+1)</f>
        <v>2.8000000000000004E-2</v>
      </c>
      <c r="Q10" s="65">
        <f>INDEX(绊面板数据!Z$4:Z$35,$I10+1)</f>
        <v>58</v>
      </c>
      <c r="R10" s="66">
        <f>INDEX(绊面板数据!AA$4:AA$35,$I10+1)</f>
        <v>68</v>
      </c>
      <c r="S10" s="67">
        <f>INDEX(绊面板数据!AB$4:AB$35,$I10+1)</f>
        <v>84</v>
      </c>
      <c r="T10" s="48">
        <f>INDEX(绊面板数据!AC$4:AC$35,$I10+1)</f>
        <v>0.1</v>
      </c>
      <c r="U10" s="56">
        <f>INDEX(绊面板数据!AD$4:AD$35,$I10+1)</f>
        <v>5.0000000000000001E-3</v>
      </c>
      <c r="V10" s="57">
        <f>INDEX(绊面板数据!AE$4:AE$35,$I10+1)</f>
        <v>5.0000000000000001E-3</v>
      </c>
      <c r="W10" s="57">
        <f>INDEX(绊面板数据!AF$4:AF$35,$I10+1)</f>
        <v>5.0000000000000001E-3</v>
      </c>
      <c r="X10" s="91">
        <f>INDEX(绊面板数据!AG$4:AG$35,$I10+1)</f>
        <v>5.0000000000000001E-3</v>
      </c>
      <c r="Y10" s="92">
        <v>250</v>
      </c>
      <c r="Z10" s="24">
        <f t="shared" si="1"/>
        <v>1594350</v>
      </c>
    </row>
    <row r="11" spans="2:26">
      <c r="B11" s="20" t="s">
        <v>32</v>
      </c>
      <c r="C11" s="191">
        <v>9</v>
      </c>
      <c r="D11" s="21" t="s">
        <v>51</v>
      </c>
      <c r="E11" s="21" t="s">
        <v>55</v>
      </c>
      <c r="F11" s="77" t="s">
        <v>64</v>
      </c>
      <c r="G11" s="78">
        <v>160</v>
      </c>
      <c r="H11" s="83">
        <f t="shared" si="0"/>
        <v>1.1033999999999999</v>
      </c>
      <c r="I11" s="85">
        <v>13</v>
      </c>
      <c r="J11" s="56">
        <f>INDEX(绊面板数据!S$4:S$35,$I11+1)</f>
        <v>3.3000000000000008E-2</v>
      </c>
      <c r="K11" s="57">
        <f>INDEX(绊面板数据!T$4:T$35,$I11+1)</f>
        <v>3.3000000000000008E-2</v>
      </c>
      <c r="L11" s="58">
        <f>INDEX(绊面板数据!U$4:U$35,$I11+1)</f>
        <v>3.3000000000000002E-2</v>
      </c>
      <c r="M11" s="40">
        <f>INDEX(绊面板数据!V$4:V$35,$I11+1)</f>
        <v>3.0000000000000002E-2</v>
      </c>
      <c r="N11" s="36">
        <f>INDEX(绊面板数据!W$4:W$35,$I11+1)</f>
        <v>0.4</v>
      </c>
      <c r="O11" s="36">
        <f>INDEX(绊面板数据!X$4:X$35,$I11+1)</f>
        <v>0.04</v>
      </c>
      <c r="P11" s="41">
        <f>INDEX(绊面板数据!Y$4:Y$35,$I11+1)</f>
        <v>2.8000000000000004E-2</v>
      </c>
      <c r="Q11" s="65">
        <f>INDEX(绊面板数据!Z$4:Z$35,$I11+1)</f>
        <v>58</v>
      </c>
      <c r="R11" s="66">
        <f>INDEX(绊面板数据!AA$4:AA$35,$I11+1)</f>
        <v>68</v>
      </c>
      <c r="S11" s="67">
        <f>INDEX(绊面板数据!AB$4:AB$35,$I11+1)</f>
        <v>84</v>
      </c>
      <c r="T11" s="48">
        <f>INDEX(绊面板数据!AC$4:AC$35,$I11+1)</f>
        <v>0.1</v>
      </c>
      <c r="U11" s="56">
        <f>INDEX(绊面板数据!AD$4:AD$35,$I11+1)</f>
        <v>5.0000000000000001E-3</v>
      </c>
      <c r="V11" s="57">
        <f>INDEX(绊面板数据!AE$4:AE$35,$I11+1)</f>
        <v>5.0000000000000001E-3</v>
      </c>
      <c r="W11" s="57">
        <f>INDEX(绊面板数据!AF$4:AF$35,$I11+1)</f>
        <v>5.0000000000000001E-3</v>
      </c>
      <c r="X11" s="91">
        <f>INDEX(绊面板数据!AG$4:AG$35,$I11+1)</f>
        <v>5.0000000000000001E-3</v>
      </c>
      <c r="Y11" s="92">
        <v>250</v>
      </c>
      <c r="Z11" s="24">
        <f t="shared" si="1"/>
        <v>1594350</v>
      </c>
    </row>
    <row r="12" spans="2:26">
      <c r="B12" s="20" t="s">
        <v>33</v>
      </c>
      <c r="C12" s="191">
        <v>101</v>
      </c>
      <c r="D12" s="21" t="s">
        <v>52</v>
      </c>
      <c r="E12" s="21" t="s">
        <v>54</v>
      </c>
      <c r="F12" s="77" t="s">
        <v>60</v>
      </c>
      <c r="G12" s="78">
        <v>160</v>
      </c>
      <c r="H12" s="83">
        <f t="shared" si="0"/>
        <v>1.1033999999999999</v>
      </c>
      <c r="I12" s="85">
        <v>13</v>
      </c>
      <c r="J12" s="56">
        <f>INDEX(绊面板数据!S$4:S$35,$I12+1)</f>
        <v>3.3000000000000008E-2</v>
      </c>
      <c r="K12" s="57">
        <f>INDEX(绊面板数据!T$4:T$35,$I12+1)</f>
        <v>3.3000000000000008E-2</v>
      </c>
      <c r="L12" s="58">
        <f>INDEX(绊面板数据!U$4:U$35,$I12+1)</f>
        <v>3.3000000000000002E-2</v>
      </c>
      <c r="M12" s="40">
        <f>INDEX(绊面板数据!V$4:V$35,$I12+1)</f>
        <v>3.0000000000000002E-2</v>
      </c>
      <c r="N12" s="36">
        <f>INDEX(绊面板数据!W$4:W$35,$I12+1)</f>
        <v>0.4</v>
      </c>
      <c r="O12" s="36">
        <f>INDEX(绊面板数据!X$4:X$35,$I12+1)</f>
        <v>0.04</v>
      </c>
      <c r="P12" s="41">
        <f>INDEX(绊面板数据!Y$4:Y$35,$I12+1)</f>
        <v>2.8000000000000004E-2</v>
      </c>
      <c r="Q12" s="65">
        <f>INDEX(绊面板数据!Z$4:Z$35,$I12+1)</f>
        <v>58</v>
      </c>
      <c r="R12" s="66">
        <f>INDEX(绊面板数据!AA$4:AA$35,$I12+1)</f>
        <v>68</v>
      </c>
      <c r="S12" s="67">
        <f>INDEX(绊面板数据!AB$4:AB$35,$I12+1)</f>
        <v>84</v>
      </c>
      <c r="T12" s="48">
        <f>INDEX(绊面板数据!AC$4:AC$35,$I12+1)</f>
        <v>0.1</v>
      </c>
      <c r="U12" s="56">
        <f>INDEX(绊面板数据!AD$4:AD$35,$I12+1)</f>
        <v>5.0000000000000001E-3</v>
      </c>
      <c r="V12" s="57">
        <f>INDEX(绊面板数据!AE$4:AE$35,$I12+1)</f>
        <v>5.0000000000000001E-3</v>
      </c>
      <c r="W12" s="57">
        <f>INDEX(绊面板数据!AF$4:AF$35,$I12+1)</f>
        <v>5.0000000000000001E-3</v>
      </c>
      <c r="X12" s="91">
        <f>INDEX(绊面板数据!AG$4:AG$35,$I12+1)</f>
        <v>5.0000000000000001E-3</v>
      </c>
      <c r="Y12" s="92">
        <v>250</v>
      </c>
      <c r="Z12" s="24">
        <f t="shared" si="1"/>
        <v>1594350</v>
      </c>
    </row>
    <row r="13" spans="2:26">
      <c r="B13" s="20" t="s">
        <v>34</v>
      </c>
      <c r="C13" s="191">
        <v>102</v>
      </c>
      <c r="D13" s="21" t="s">
        <v>52</v>
      </c>
      <c r="E13" s="21" t="s">
        <v>54</v>
      </c>
      <c r="F13" s="77" t="s">
        <v>63</v>
      </c>
      <c r="G13" s="78">
        <v>160</v>
      </c>
      <c r="H13" s="83">
        <f t="shared" si="0"/>
        <v>1.1033999999999999</v>
      </c>
      <c r="I13" s="85">
        <v>13</v>
      </c>
      <c r="J13" s="56">
        <f>INDEX(绊面板数据!S$4:S$35,$I13+1)</f>
        <v>3.3000000000000008E-2</v>
      </c>
      <c r="K13" s="57">
        <f>INDEX(绊面板数据!T$4:T$35,$I13+1)</f>
        <v>3.3000000000000008E-2</v>
      </c>
      <c r="L13" s="58">
        <f>INDEX(绊面板数据!U$4:U$35,$I13+1)</f>
        <v>3.3000000000000002E-2</v>
      </c>
      <c r="M13" s="40">
        <f>INDEX(绊面板数据!V$4:V$35,$I13+1)</f>
        <v>3.0000000000000002E-2</v>
      </c>
      <c r="N13" s="36">
        <f>INDEX(绊面板数据!W$4:W$35,$I13+1)</f>
        <v>0.4</v>
      </c>
      <c r="O13" s="36">
        <f>INDEX(绊面板数据!X$4:X$35,$I13+1)</f>
        <v>0.04</v>
      </c>
      <c r="P13" s="41">
        <f>INDEX(绊面板数据!Y$4:Y$35,$I13+1)</f>
        <v>2.8000000000000004E-2</v>
      </c>
      <c r="Q13" s="65">
        <f>INDEX(绊面板数据!Z$4:Z$35,$I13+1)</f>
        <v>58</v>
      </c>
      <c r="R13" s="66">
        <f>INDEX(绊面板数据!AA$4:AA$35,$I13+1)</f>
        <v>68</v>
      </c>
      <c r="S13" s="67">
        <f>INDEX(绊面板数据!AB$4:AB$35,$I13+1)</f>
        <v>84</v>
      </c>
      <c r="T13" s="48">
        <f>INDEX(绊面板数据!AC$4:AC$35,$I13+1)</f>
        <v>0.1</v>
      </c>
      <c r="U13" s="56">
        <f>INDEX(绊面板数据!AD$4:AD$35,$I13+1)</f>
        <v>5.0000000000000001E-3</v>
      </c>
      <c r="V13" s="57">
        <f>INDEX(绊面板数据!AE$4:AE$35,$I13+1)</f>
        <v>5.0000000000000001E-3</v>
      </c>
      <c r="W13" s="57">
        <f>INDEX(绊面板数据!AF$4:AF$35,$I13+1)</f>
        <v>5.0000000000000001E-3</v>
      </c>
      <c r="X13" s="91">
        <f>INDEX(绊面板数据!AG$4:AG$35,$I13+1)</f>
        <v>5.0000000000000001E-3</v>
      </c>
      <c r="Y13" s="92">
        <v>250</v>
      </c>
      <c r="Z13" s="24">
        <f t="shared" si="1"/>
        <v>1594350</v>
      </c>
    </row>
    <row r="14" spans="2:26">
      <c r="B14" s="20" t="s">
        <v>35</v>
      </c>
      <c r="C14" s="191">
        <v>103</v>
      </c>
      <c r="D14" s="21" t="s">
        <v>52</v>
      </c>
      <c r="E14" s="21" t="s">
        <v>55</v>
      </c>
      <c r="F14" s="77" t="s">
        <v>62</v>
      </c>
      <c r="G14" s="78">
        <v>160</v>
      </c>
      <c r="H14" s="83">
        <f t="shared" si="0"/>
        <v>1.1033999999999999</v>
      </c>
      <c r="I14" s="85">
        <v>13</v>
      </c>
      <c r="J14" s="56">
        <f>INDEX(绊面板数据!S$4:S$35,$I14+1)</f>
        <v>3.3000000000000008E-2</v>
      </c>
      <c r="K14" s="57">
        <f>INDEX(绊面板数据!T$4:T$35,$I14+1)</f>
        <v>3.3000000000000008E-2</v>
      </c>
      <c r="L14" s="58">
        <f>INDEX(绊面板数据!U$4:U$35,$I14+1)</f>
        <v>3.3000000000000002E-2</v>
      </c>
      <c r="M14" s="40">
        <f>INDEX(绊面板数据!V$4:V$35,$I14+1)</f>
        <v>3.0000000000000002E-2</v>
      </c>
      <c r="N14" s="36">
        <f>INDEX(绊面板数据!W$4:W$35,$I14+1)</f>
        <v>0.4</v>
      </c>
      <c r="O14" s="36">
        <f>INDEX(绊面板数据!X$4:X$35,$I14+1)</f>
        <v>0.04</v>
      </c>
      <c r="P14" s="41">
        <f>INDEX(绊面板数据!Y$4:Y$35,$I14+1)</f>
        <v>2.8000000000000004E-2</v>
      </c>
      <c r="Q14" s="65">
        <f>INDEX(绊面板数据!Z$4:Z$35,$I14+1)</f>
        <v>58</v>
      </c>
      <c r="R14" s="66">
        <f>INDEX(绊面板数据!AA$4:AA$35,$I14+1)</f>
        <v>68</v>
      </c>
      <c r="S14" s="67">
        <f>INDEX(绊面板数据!AB$4:AB$35,$I14+1)</f>
        <v>84</v>
      </c>
      <c r="T14" s="48">
        <f>INDEX(绊面板数据!AC$4:AC$35,$I14+1)</f>
        <v>0.1</v>
      </c>
      <c r="U14" s="56">
        <f>INDEX(绊面板数据!AD$4:AD$35,$I14+1)</f>
        <v>5.0000000000000001E-3</v>
      </c>
      <c r="V14" s="57">
        <f>INDEX(绊面板数据!AE$4:AE$35,$I14+1)</f>
        <v>5.0000000000000001E-3</v>
      </c>
      <c r="W14" s="57">
        <f>INDEX(绊面板数据!AF$4:AF$35,$I14+1)</f>
        <v>5.0000000000000001E-3</v>
      </c>
      <c r="X14" s="91">
        <f>INDEX(绊面板数据!AG$4:AG$35,$I14+1)</f>
        <v>5.0000000000000001E-3</v>
      </c>
      <c r="Y14" s="92">
        <v>250</v>
      </c>
      <c r="Z14" s="24">
        <f t="shared" si="1"/>
        <v>1594350</v>
      </c>
    </row>
    <row r="15" spans="2:26">
      <c r="B15" s="20" t="s">
        <v>36</v>
      </c>
      <c r="C15" s="191">
        <v>104</v>
      </c>
      <c r="D15" s="21" t="s">
        <v>52</v>
      </c>
      <c r="E15" s="21" t="s">
        <v>55</v>
      </c>
      <c r="F15" s="77" t="s">
        <v>62</v>
      </c>
      <c r="G15" s="78">
        <v>160</v>
      </c>
      <c r="H15" s="83">
        <f t="shared" si="0"/>
        <v>1.1033999999999999</v>
      </c>
      <c r="I15" s="85">
        <v>13</v>
      </c>
      <c r="J15" s="56">
        <f>INDEX(绊面板数据!S$4:S$35,$I15+1)</f>
        <v>3.3000000000000008E-2</v>
      </c>
      <c r="K15" s="57">
        <f>INDEX(绊面板数据!T$4:T$35,$I15+1)</f>
        <v>3.3000000000000008E-2</v>
      </c>
      <c r="L15" s="58">
        <f>INDEX(绊面板数据!U$4:U$35,$I15+1)</f>
        <v>3.3000000000000002E-2</v>
      </c>
      <c r="M15" s="40">
        <f>INDEX(绊面板数据!V$4:V$35,$I15+1)</f>
        <v>3.0000000000000002E-2</v>
      </c>
      <c r="N15" s="36">
        <f>INDEX(绊面板数据!W$4:W$35,$I15+1)</f>
        <v>0.4</v>
      </c>
      <c r="O15" s="36">
        <f>INDEX(绊面板数据!X$4:X$35,$I15+1)</f>
        <v>0.04</v>
      </c>
      <c r="P15" s="41">
        <f>INDEX(绊面板数据!Y$4:Y$35,$I15+1)</f>
        <v>2.8000000000000004E-2</v>
      </c>
      <c r="Q15" s="65">
        <f>INDEX(绊面板数据!Z$4:Z$35,$I15+1)</f>
        <v>58</v>
      </c>
      <c r="R15" s="66">
        <f>INDEX(绊面板数据!AA$4:AA$35,$I15+1)</f>
        <v>68</v>
      </c>
      <c r="S15" s="67">
        <f>INDEX(绊面板数据!AB$4:AB$35,$I15+1)</f>
        <v>84</v>
      </c>
      <c r="T15" s="48">
        <f>INDEX(绊面板数据!AC$4:AC$35,$I15+1)</f>
        <v>0.1</v>
      </c>
      <c r="U15" s="56">
        <f>INDEX(绊面板数据!AD$4:AD$35,$I15+1)</f>
        <v>5.0000000000000001E-3</v>
      </c>
      <c r="V15" s="57">
        <f>INDEX(绊面板数据!AE$4:AE$35,$I15+1)</f>
        <v>5.0000000000000001E-3</v>
      </c>
      <c r="W15" s="57">
        <f>INDEX(绊面板数据!AF$4:AF$35,$I15+1)</f>
        <v>5.0000000000000001E-3</v>
      </c>
      <c r="X15" s="91">
        <f>INDEX(绊面板数据!AG$4:AG$35,$I15+1)</f>
        <v>5.0000000000000001E-3</v>
      </c>
      <c r="Y15" s="92">
        <v>250</v>
      </c>
      <c r="Z15" s="24">
        <f t="shared" si="1"/>
        <v>1594350</v>
      </c>
    </row>
    <row r="16" spans="2:26">
      <c r="B16" s="20" t="s">
        <v>37</v>
      </c>
      <c r="C16" s="191">
        <v>105</v>
      </c>
      <c r="D16" s="21" t="s">
        <v>52</v>
      </c>
      <c r="E16" s="21" t="s">
        <v>54</v>
      </c>
      <c r="F16" s="77" t="s">
        <v>60</v>
      </c>
      <c r="G16" s="78">
        <v>160</v>
      </c>
      <c r="H16" s="83">
        <f t="shared" si="0"/>
        <v>1.1033999999999999</v>
      </c>
      <c r="I16" s="85">
        <v>13</v>
      </c>
      <c r="J16" s="56">
        <f>INDEX(绊面板数据!S$4:S$35,$I16+1)</f>
        <v>3.3000000000000008E-2</v>
      </c>
      <c r="K16" s="57">
        <f>INDEX(绊面板数据!T$4:T$35,$I16+1)</f>
        <v>3.3000000000000008E-2</v>
      </c>
      <c r="L16" s="58">
        <f>INDEX(绊面板数据!U$4:U$35,$I16+1)</f>
        <v>3.3000000000000002E-2</v>
      </c>
      <c r="M16" s="40">
        <f>INDEX(绊面板数据!V$4:V$35,$I16+1)</f>
        <v>3.0000000000000002E-2</v>
      </c>
      <c r="N16" s="36">
        <f>INDEX(绊面板数据!W$4:W$35,$I16+1)</f>
        <v>0.4</v>
      </c>
      <c r="O16" s="36">
        <f>INDEX(绊面板数据!X$4:X$35,$I16+1)</f>
        <v>0.04</v>
      </c>
      <c r="P16" s="41">
        <f>INDEX(绊面板数据!Y$4:Y$35,$I16+1)</f>
        <v>2.8000000000000004E-2</v>
      </c>
      <c r="Q16" s="65">
        <f>INDEX(绊面板数据!Z$4:Z$35,$I16+1)</f>
        <v>58</v>
      </c>
      <c r="R16" s="66">
        <f>INDEX(绊面板数据!AA$4:AA$35,$I16+1)</f>
        <v>68</v>
      </c>
      <c r="S16" s="67">
        <f>INDEX(绊面板数据!AB$4:AB$35,$I16+1)</f>
        <v>84</v>
      </c>
      <c r="T16" s="48">
        <f>INDEX(绊面板数据!AC$4:AC$35,$I16+1)</f>
        <v>0.1</v>
      </c>
      <c r="U16" s="56">
        <f>INDEX(绊面板数据!AD$4:AD$35,$I16+1)</f>
        <v>5.0000000000000001E-3</v>
      </c>
      <c r="V16" s="57">
        <f>INDEX(绊面板数据!AE$4:AE$35,$I16+1)</f>
        <v>5.0000000000000001E-3</v>
      </c>
      <c r="W16" s="57">
        <f>INDEX(绊面板数据!AF$4:AF$35,$I16+1)</f>
        <v>5.0000000000000001E-3</v>
      </c>
      <c r="X16" s="91">
        <f>INDEX(绊面板数据!AG$4:AG$35,$I16+1)</f>
        <v>5.0000000000000001E-3</v>
      </c>
      <c r="Y16" s="92">
        <v>250</v>
      </c>
      <c r="Z16" s="24">
        <f t="shared" si="1"/>
        <v>1594350</v>
      </c>
    </row>
    <row r="17" spans="2:26">
      <c r="B17" s="20" t="s">
        <v>38</v>
      </c>
      <c r="C17" s="191">
        <v>106</v>
      </c>
      <c r="D17" s="21" t="s">
        <v>52</v>
      </c>
      <c r="E17" s="21" t="s">
        <v>56</v>
      </c>
      <c r="F17" s="77" t="s">
        <v>63</v>
      </c>
      <c r="G17" s="78">
        <v>160</v>
      </c>
      <c r="H17" s="83">
        <f t="shared" si="0"/>
        <v>1.1033999999999999</v>
      </c>
      <c r="I17" s="85">
        <v>13</v>
      </c>
      <c r="J17" s="56">
        <f>INDEX(绊面板数据!S$4:S$35,$I17+1)</f>
        <v>3.3000000000000008E-2</v>
      </c>
      <c r="K17" s="57">
        <f>INDEX(绊面板数据!T$4:T$35,$I17+1)</f>
        <v>3.3000000000000008E-2</v>
      </c>
      <c r="L17" s="58">
        <f>INDEX(绊面板数据!U$4:U$35,$I17+1)</f>
        <v>3.3000000000000002E-2</v>
      </c>
      <c r="M17" s="40">
        <f>INDEX(绊面板数据!V$4:V$35,$I17+1)</f>
        <v>3.0000000000000002E-2</v>
      </c>
      <c r="N17" s="36">
        <f>INDEX(绊面板数据!W$4:W$35,$I17+1)</f>
        <v>0.4</v>
      </c>
      <c r="O17" s="36">
        <f>INDEX(绊面板数据!X$4:X$35,$I17+1)</f>
        <v>0.04</v>
      </c>
      <c r="P17" s="41">
        <f>INDEX(绊面板数据!Y$4:Y$35,$I17+1)</f>
        <v>2.8000000000000004E-2</v>
      </c>
      <c r="Q17" s="65">
        <f>INDEX(绊面板数据!Z$4:Z$35,$I17+1)</f>
        <v>58</v>
      </c>
      <c r="R17" s="66">
        <f>INDEX(绊面板数据!AA$4:AA$35,$I17+1)</f>
        <v>68</v>
      </c>
      <c r="S17" s="67">
        <f>INDEX(绊面板数据!AB$4:AB$35,$I17+1)</f>
        <v>84</v>
      </c>
      <c r="T17" s="48">
        <f>INDEX(绊面板数据!AC$4:AC$35,$I17+1)</f>
        <v>0.1</v>
      </c>
      <c r="U17" s="56">
        <f>INDEX(绊面板数据!AD$4:AD$35,$I17+1)</f>
        <v>5.0000000000000001E-3</v>
      </c>
      <c r="V17" s="57">
        <f>INDEX(绊面板数据!AE$4:AE$35,$I17+1)</f>
        <v>5.0000000000000001E-3</v>
      </c>
      <c r="W17" s="57">
        <f>INDEX(绊面板数据!AF$4:AF$35,$I17+1)</f>
        <v>5.0000000000000001E-3</v>
      </c>
      <c r="X17" s="91">
        <f>INDEX(绊面板数据!AG$4:AG$35,$I17+1)</f>
        <v>5.0000000000000001E-3</v>
      </c>
      <c r="Y17" s="92">
        <v>250</v>
      </c>
      <c r="Z17" s="24">
        <f t="shared" si="1"/>
        <v>1594350</v>
      </c>
    </row>
    <row r="18" spans="2:26">
      <c r="B18" s="20" t="s">
        <v>39</v>
      </c>
      <c r="C18" s="191">
        <v>107</v>
      </c>
      <c r="D18" s="21" t="s">
        <v>52</v>
      </c>
      <c r="E18" s="21" t="s">
        <v>56</v>
      </c>
      <c r="F18" s="77" t="s">
        <v>62</v>
      </c>
      <c r="G18" s="78">
        <v>160</v>
      </c>
      <c r="H18" s="83">
        <f t="shared" si="0"/>
        <v>1.1033999999999999</v>
      </c>
      <c r="I18" s="85">
        <v>13</v>
      </c>
      <c r="J18" s="56">
        <f>INDEX(绊面板数据!S$4:S$35,$I18+1)</f>
        <v>3.3000000000000008E-2</v>
      </c>
      <c r="K18" s="57">
        <f>INDEX(绊面板数据!T$4:T$35,$I18+1)</f>
        <v>3.3000000000000008E-2</v>
      </c>
      <c r="L18" s="58">
        <f>INDEX(绊面板数据!U$4:U$35,$I18+1)</f>
        <v>3.3000000000000002E-2</v>
      </c>
      <c r="M18" s="40">
        <f>INDEX(绊面板数据!V$4:V$35,$I18+1)</f>
        <v>3.0000000000000002E-2</v>
      </c>
      <c r="N18" s="36">
        <f>INDEX(绊面板数据!W$4:W$35,$I18+1)</f>
        <v>0.4</v>
      </c>
      <c r="O18" s="36">
        <f>INDEX(绊面板数据!X$4:X$35,$I18+1)</f>
        <v>0.04</v>
      </c>
      <c r="P18" s="41">
        <f>INDEX(绊面板数据!Y$4:Y$35,$I18+1)</f>
        <v>2.8000000000000004E-2</v>
      </c>
      <c r="Q18" s="65">
        <f>INDEX(绊面板数据!Z$4:Z$35,$I18+1)</f>
        <v>58</v>
      </c>
      <c r="R18" s="66">
        <f>INDEX(绊面板数据!AA$4:AA$35,$I18+1)</f>
        <v>68</v>
      </c>
      <c r="S18" s="67">
        <f>INDEX(绊面板数据!AB$4:AB$35,$I18+1)</f>
        <v>84</v>
      </c>
      <c r="T18" s="48">
        <f>INDEX(绊面板数据!AC$4:AC$35,$I18+1)</f>
        <v>0.1</v>
      </c>
      <c r="U18" s="56">
        <f>INDEX(绊面板数据!AD$4:AD$35,$I18+1)</f>
        <v>5.0000000000000001E-3</v>
      </c>
      <c r="V18" s="57">
        <f>INDEX(绊面板数据!AE$4:AE$35,$I18+1)</f>
        <v>5.0000000000000001E-3</v>
      </c>
      <c r="W18" s="57">
        <f>INDEX(绊面板数据!AF$4:AF$35,$I18+1)</f>
        <v>5.0000000000000001E-3</v>
      </c>
      <c r="X18" s="91">
        <f>INDEX(绊面板数据!AG$4:AG$35,$I18+1)</f>
        <v>5.0000000000000001E-3</v>
      </c>
      <c r="Y18" s="92">
        <v>250</v>
      </c>
      <c r="Z18" s="24">
        <f t="shared" si="1"/>
        <v>1594350</v>
      </c>
    </row>
    <row r="19" spans="2:26">
      <c r="B19" s="20" t="s">
        <v>40</v>
      </c>
      <c r="C19" s="191">
        <v>108</v>
      </c>
      <c r="D19" s="21" t="s">
        <v>52</v>
      </c>
      <c r="E19" s="21" t="s">
        <v>55</v>
      </c>
      <c r="F19" s="77" t="s">
        <v>63</v>
      </c>
      <c r="G19" s="78">
        <v>160</v>
      </c>
      <c r="H19" s="83">
        <f t="shared" si="0"/>
        <v>1.1033999999999999</v>
      </c>
      <c r="I19" s="85">
        <v>13</v>
      </c>
      <c r="J19" s="56">
        <f>INDEX(绊面板数据!S$4:S$35,$I19+1)</f>
        <v>3.3000000000000008E-2</v>
      </c>
      <c r="K19" s="57">
        <f>INDEX(绊面板数据!T$4:T$35,$I19+1)</f>
        <v>3.3000000000000008E-2</v>
      </c>
      <c r="L19" s="58">
        <f>INDEX(绊面板数据!U$4:U$35,$I19+1)</f>
        <v>3.3000000000000002E-2</v>
      </c>
      <c r="M19" s="40">
        <f>INDEX(绊面板数据!V$4:V$35,$I19+1)</f>
        <v>3.0000000000000002E-2</v>
      </c>
      <c r="N19" s="36">
        <f>INDEX(绊面板数据!W$4:W$35,$I19+1)</f>
        <v>0.4</v>
      </c>
      <c r="O19" s="36">
        <f>INDEX(绊面板数据!X$4:X$35,$I19+1)</f>
        <v>0.04</v>
      </c>
      <c r="P19" s="41">
        <f>INDEX(绊面板数据!Y$4:Y$35,$I19+1)</f>
        <v>2.8000000000000004E-2</v>
      </c>
      <c r="Q19" s="65">
        <f>INDEX(绊面板数据!Z$4:Z$35,$I19+1)</f>
        <v>58</v>
      </c>
      <c r="R19" s="66">
        <f>INDEX(绊面板数据!AA$4:AA$35,$I19+1)</f>
        <v>68</v>
      </c>
      <c r="S19" s="67">
        <f>INDEX(绊面板数据!AB$4:AB$35,$I19+1)</f>
        <v>84</v>
      </c>
      <c r="T19" s="48">
        <f>INDEX(绊面板数据!AC$4:AC$35,$I19+1)</f>
        <v>0.1</v>
      </c>
      <c r="U19" s="56">
        <f>INDEX(绊面板数据!AD$4:AD$35,$I19+1)</f>
        <v>5.0000000000000001E-3</v>
      </c>
      <c r="V19" s="57">
        <f>INDEX(绊面板数据!AE$4:AE$35,$I19+1)</f>
        <v>5.0000000000000001E-3</v>
      </c>
      <c r="W19" s="57">
        <f>INDEX(绊面板数据!AF$4:AF$35,$I19+1)</f>
        <v>5.0000000000000001E-3</v>
      </c>
      <c r="X19" s="91">
        <f>INDEX(绊面板数据!AG$4:AG$35,$I19+1)</f>
        <v>5.0000000000000001E-3</v>
      </c>
      <c r="Y19" s="92">
        <v>250</v>
      </c>
      <c r="Z19" s="24">
        <f t="shared" si="1"/>
        <v>1594350</v>
      </c>
    </row>
    <row r="20" spans="2:26">
      <c r="B20" s="20" t="s">
        <v>41</v>
      </c>
      <c r="C20" s="191">
        <v>109</v>
      </c>
      <c r="D20" s="21" t="s">
        <v>52</v>
      </c>
      <c r="E20" s="21" t="s">
        <v>56</v>
      </c>
      <c r="F20" s="77" t="s">
        <v>60</v>
      </c>
      <c r="G20" s="78">
        <v>160</v>
      </c>
      <c r="H20" s="83">
        <f t="shared" si="0"/>
        <v>1.1033999999999999</v>
      </c>
      <c r="I20" s="85">
        <v>13</v>
      </c>
      <c r="J20" s="56">
        <f>INDEX(绊面板数据!S$4:S$35,$I20+1)</f>
        <v>3.3000000000000008E-2</v>
      </c>
      <c r="K20" s="57">
        <f>INDEX(绊面板数据!T$4:T$35,$I20+1)</f>
        <v>3.3000000000000008E-2</v>
      </c>
      <c r="L20" s="58">
        <f>INDEX(绊面板数据!U$4:U$35,$I20+1)</f>
        <v>3.3000000000000002E-2</v>
      </c>
      <c r="M20" s="40">
        <f>INDEX(绊面板数据!V$4:V$35,$I20+1)</f>
        <v>3.0000000000000002E-2</v>
      </c>
      <c r="N20" s="36">
        <f>INDEX(绊面板数据!W$4:W$35,$I20+1)</f>
        <v>0.4</v>
      </c>
      <c r="O20" s="36">
        <f>INDEX(绊面板数据!X$4:X$35,$I20+1)</f>
        <v>0.04</v>
      </c>
      <c r="P20" s="41">
        <f>INDEX(绊面板数据!Y$4:Y$35,$I20+1)</f>
        <v>2.8000000000000004E-2</v>
      </c>
      <c r="Q20" s="65">
        <f>INDEX(绊面板数据!Z$4:Z$35,$I20+1)</f>
        <v>58</v>
      </c>
      <c r="R20" s="66">
        <f>INDEX(绊面板数据!AA$4:AA$35,$I20+1)</f>
        <v>68</v>
      </c>
      <c r="S20" s="67">
        <f>INDEX(绊面板数据!AB$4:AB$35,$I20+1)</f>
        <v>84</v>
      </c>
      <c r="T20" s="48">
        <f>INDEX(绊面板数据!AC$4:AC$35,$I20+1)</f>
        <v>0.1</v>
      </c>
      <c r="U20" s="56">
        <f>INDEX(绊面板数据!AD$4:AD$35,$I20+1)</f>
        <v>5.0000000000000001E-3</v>
      </c>
      <c r="V20" s="57">
        <f>INDEX(绊面板数据!AE$4:AE$35,$I20+1)</f>
        <v>5.0000000000000001E-3</v>
      </c>
      <c r="W20" s="57">
        <f>INDEX(绊面板数据!AF$4:AF$35,$I20+1)</f>
        <v>5.0000000000000001E-3</v>
      </c>
      <c r="X20" s="91">
        <f>INDEX(绊面板数据!AG$4:AG$35,$I20+1)</f>
        <v>5.0000000000000001E-3</v>
      </c>
      <c r="Y20" s="92">
        <v>250</v>
      </c>
      <c r="Z20" s="24">
        <f t="shared" si="1"/>
        <v>1594350</v>
      </c>
    </row>
    <row r="21" spans="2:26">
      <c r="B21" s="20" t="s">
        <v>42</v>
      </c>
      <c r="C21" s="191">
        <v>201</v>
      </c>
      <c r="D21" s="21" t="s">
        <v>53</v>
      </c>
      <c r="E21" s="21" t="s">
        <v>54</v>
      </c>
      <c r="F21" s="77" t="s">
        <v>57</v>
      </c>
      <c r="G21" s="78">
        <v>160</v>
      </c>
      <c r="H21" s="83">
        <f t="shared" si="0"/>
        <v>1.1033999999999999</v>
      </c>
      <c r="I21" s="85">
        <v>13</v>
      </c>
      <c r="J21" s="56">
        <f>INDEX(绊面板数据!S$4:S$35,$I21+1)</f>
        <v>3.3000000000000008E-2</v>
      </c>
      <c r="K21" s="57">
        <f>INDEX(绊面板数据!T$4:T$35,$I21+1)</f>
        <v>3.3000000000000008E-2</v>
      </c>
      <c r="L21" s="58">
        <f>INDEX(绊面板数据!U$4:U$35,$I21+1)</f>
        <v>3.3000000000000002E-2</v>
      </c>
      <c r="M21" s="40">
        <f>INDEX(绊面板数据!V$4:V$35,$I21+1)</f>
        <v>3.0000000000000002E-2</v>
      </c>
      <c r="N21" s="36">
        <f>INDEX(绊面板数据!W$4:W$35,$I21+1)</f>
        <v>0.4</v>
      </c>
      <c r="O21" s="36">
        <f>INDEX(绊面板数据!X$4:X$35,$I21+1)</f>
        <v>0.04</v>
      </c>
      <c r="P21" s="41">
        <f>INDEX(绊面板数据!Y$4:Y$35,$I21+1)</f>
        <v>2.8000000000000004E-2</v>
      </c>
      <c r="Q21" s="65">
        <f>INDEX(绊面板数据!Z$4:Z$35,$I21+1)</f>
        <v>58</v>
      </c>
      <c r="R21" s="66">
        <f>INDEX(绊面板数据!AA$4:AA$35,$I21+1)</f>
        <v>68</v>
      </c>
      <c r="S21" s="67">
        <f>INDEX(绊面板数据!AB$4:AB$35,$I21+1)</f>
        <v>84</v>
      </c>
      <c r="T21" s="48">
        <f>INDEX(绊面板数据!AC$4:AC$35,$I21+1)</f>
        <v>0.1</v>
      </c>
      <c r="U21" s="56">
        <f>INDEX(绊面板数据!AD$4:AD$35,$I21+1)</f>
        <v>5.0000000000000001E-3</v>
      </c>
      <c r="V21" s="57">
        <f>INDEX(绊面板数据!AE$4:AE$35,$I21+1)</f>
        <v>5.0000000000000001E-3</v>
      </c>
      <c r="W21" s="57">
        <f>INDEX(绊面板数据!AF$4:AF$35,$I21+1)</f>
        <v>5.0000000000000001E-3</v>
      </c>
      <c r="X21" s="91">
        <f>INDEX(绊面板数据!AG$4:AG$35,$I21+1)</f>
        <v>5.0000000000000001E-3</v>
      </c>
      <c r="Y21" s="92">
        <v>250</v>
      </c>
      <c r="Z21" s="24">
        <f t="shared" si="1"/>
        <v>1594350</v>
      </c>
    </row>
    <row r="22" spans="2:26">
      <c r="B22" s="20" t="s">
        <v>43</v>
      </c>
      <c r="C22" s="191">
        <v>202</v>
      </c>
      <c r="D22" s="21" t="s">
        <v>53</v>
      </c>
      <c r="E22" s="21" t="s">
        <v>56</v>
      </c>
      <c r="F22" s="77" t="s">
        <v>58</v>
      </c>
      <c r="G22" s="78">
        <v>160</v>
      </c>
      <c r="H22" s="83">
        <f t="shared" si="0"/>
        <v>1.1033999999999999</v>
      </c>
      <c r="I22" s="85">
        <v>13</v>
      </c>
      <c r="J22" s="56">
        <f>INDEX(绊面板数据!S$4:S$35,$I22+1)</f>
        <v>3.3000000000000008E-2</v>
      </c>
      <c r="K22" s="57">
        <f>INDEX(绊面板数据!T$4:T$35,$I22+1)</f>
        <v>3.3000000000000008E-2</v>
      </c>
      <c r="L22" s="58">
        <f>INDEX(绊面板数据!U$4:U$35,$I22+1)</f>
        <v>3.3000000000000002E-2</v>
      </c>
      <c r="M22" s="40">
        <f>INDEX(绊面板数据!V$4:V$35,$I22+1)</f>
        <v>3.0000000000000002E-2</v>
      </c>
      <c r="N22" s="36">
        <f>INDEX(绊面板数据!W$4:W$35,$I22+1)</f>
        <v>0.4</v>
      </c>
      <c r="O22" s="36">
        <f>INDEX(绊面板数据!X$4:X$35,$I22+1)</f>
        <v>0.04</v>
      </c>
      <c r="P22" s="41">
        <f>INDEX(绊面板数据!Y$4:Y$35,$I22+1)</f>
        <v>2.8000000000000004E-2</v>
      </c>
      <c r="Q22" s="65">
        <f>INDEX(绊面板数据!Z$4:Z$35,$I22+1)</f>
        <v>58</v>
      </c>
      <c r="R22" s="66">
        <f>INDEX(绊面板数据!AA$4:AA$35,$I22+1)</f>
        <v>68</v>
      </c>
      <c r="S22" s="67">
        <f>INDEX(绊面板数据!AB$4:AB$35,$I22+1)</f>
        <v>84</v>
      </c>
      <c r="T22" s="48">
        <f>INDEX(绊面板数据!AC$4:AC$35,$I22+1)</f>
        <v>0.1</v>
      </c>
      <c r="U22" s="56">
        <f>INDEX(绊面板数据!AD$4:AD$35,$I22+1)</f>
        <v>5.0000000000000001E-3</v>
      </c>
      <c r="V22" s="57">
        <f>INDEX(绊面板数据!AE$4:AE$35,$I22+1)</f>
        <v>5.0000000000000001E-3</v>
      </c>
      <c r="W22" s="57">
        <f>INDEX(绊面板数据!AF$4:AF$35,$I22+1)</f>
        <v>5.0000000000000001E-3</v>
      </c>
      <c r="X22" s="91">
        <f>INDEX(绊面板数据!AG$4:AG$35,$I22+1)</f>
        <v>5.0000000000000001E-3</v>
      </c>
      <c r="Y22" s="92">
        <v>250</v>
      </c>
      <c r="Z22" s="24">
        <f t="shared" si="1"/>
        <v>1594350</v>
      </c>
    </row>
    <row r="23" spans="2:26">
      <c r="B23" s="20" t="s">
        <v>44</v>
      </c>
      <c r="C23" s="191">
        <v>203</v>
      </c>
      <c r="D23" s="21" t="s">
        <v>53</v>
      </c>
      <c r="E23" s="21" t="s">
        <v>56</v>
      </c>
      <c r="F23" s="77" t="s">
        <v>57</v>
      </c>
      <c r="G23" s="78">
        <v>160</v>
      </c>
      <c r="H23" s="83">
        <f t="shared" si="0"/>
        <v>1.1033999999999999</v>
      </c>
      <c r="I23" s="85">
        <v>13</v>
      </c>
      <c r="J23" s="56">
        <f>INDEX(绊面板数据!S$4:S$35,$I23+1)</f>
        <v>3.3000000000000008E-2</v>
      </c>
      <c r="K23" s="57">
        <f>INDEX(绊面板数据!T$4:T$35,$I23+1)</f>
        <v>3.3000000000000008E-2</v>
      </c>
      <c r="L23" s="58">
        <f>INDEX(绊面板数据!U$4:U$35,$I23+1)</f>
        <v>3.3000000000000002E-2</v>
      </c>
      <c r="M23" s="40">
        <f>INDEX(绊面板数据!V$4:V$35,$I23+1)</f>
        <v>3.0000000000000002E-2</v>
      </c>
      <c r="N23" s="36">
        <f>INDEX(绊面板数据!W$4:W$35,$I23+1)</f>
        <v>0.4</v>
      </c>
      <c r="O23" s="36">
        <f>INDEX(绊面板数据!X$4:X$35,$I23+1)</f>
        <v>0.04</v>
      </c>
      <c r="P23" s="41">
        <f>INDEX(绊面板数据!Y$4:Y$35,$I23+1)</f>
        <v>2.8000000000000004E-2</v>
      </c>
      <c r="Q23" s="65">
        <f>INDEX(绊面板数据!Z$4:Z$35,$I23+1)</f>
        <v>58</v>
      </c>
      <c r="R23" s="66">
        <f>INDEX(绊面板数据!AA$4:AA$35,$I23+1)</f>
        <v>68</v>
      </c>
      <c r="S23" s="67">
        <f>INDEX(绊面板数据!AB$4:AB$35,$I23+1)</f>
        <v>84</v>
      </c>
      <c r="T23" s="48">
        <f>INDEX(绊面板数据!AC$4:AC$35,$I23+1)</f>
        <v>0.1</v>
      </c>
      <c r="U23" s="56">
        <f>INDEX(绊面板数据!AD$4:AD$35,$I23+1)</f>
        <v>5.0000000000000001E-3</v>
      </c>
      <c r="V23" s="57">
        <f>INDEX(绊面板数据!AE$4:AE$35,$I23+1)</f>
        <v>5.0000000000000001E-3</v>
      </c>
      <c r="W23" s="57">
        <f>INDEX(绊面板数据!AF$4:AF$35,$I23+1)</f>
        <v>5.0000000000000001E-3</v>
      </c>
      <c r="X23" s="91">
        <f>INDEX(绊面板数据!AG$4:AG$35,$I23+1)</f>
        <v>5.0000000000000001E-3</v>
      </c>
      <c r="Y23" s="92">
        <v>250</v>
      </c>
      <c r="Z23" s="24">
        <f t="shared" si="1"/>
        <v>1594350</v>
      </c>
    </row>
    <row r="24" spans="2:26">
      <c r="B24" s="20" t="s">
        <v>46</v>
      </c>
      <c r="C24" s="191">
        <v>204</v>
      </c>
      <c r="D24" s="21" t="s">
        <v>53</v>
      </c>
      <c r="E24" s="21" t="s">
        <v>55</v>
      </c>
      <c r="F24" s="77" t="s">
        <v>59</v>
      </c>
      <c r="G24" s="78">
        <v>160</v>
      </c>
      <c r="H24" s="83">
        <f t="shared" si="0"/>
        <v>1.1033999999999999</v>
      </c>
      <c r="I24" s="85">
        <v>13</v>
      </c>
      <c r="J24" s="56">
        <f>INDEX(绊面板数据!S$4:S$35,$I24+1)</f>
        <v>3.3000000000000008E-2</v>
      </c>
      <c r="K24" s="57">
        <f>INDEX(绊面板数据!T$4:T$35,$I24+1)</f>
        <v>3.3000000000000008E-2</v>
      </c>
      <c r="L24" s="58">
        <f>INDEX(绊面板数据!U$4:U$35,$I24+1)</f>
        <v>3.3000000000000002E-2</v>
      </c>
      <c r="M24" s="40">
        <f>INDEX(绊面板数据!V$4:V$35,$I24+1)</f>
        <v>3.0000000000000002E-2</v>
      </c>
      <c r="N24" s="36">
        <f>INDEX(绊面板数据!W$4:W$35,$I24+1)</f>
        <v>0.4</v>
      </c>
      <c r="O24" s="36">
        <f>INDEX(绊面板数据!X$4:X$35,$I24+1)</f>
        <v>0.04</v>
      </c>
      <c r="P24" s="41">
        <f>INDEX(绊面板数据!Y$4:Y$35,$I24+1)</f>
        <v>2.8000000000000004E-2</v>
      </c>
      <c r="Q24" s="65">
        <f>INDEX(绊面板数据!Z$4:Z$35,$I24+1)</f>
        <v>58</v>
      </c>
      <c r="R24" s="66">
        <f>INDEX(绊面板数据!AA$4:AA$35,$I24+1)</f>
        <v>68</v>
      </c>
      <c r="S24" s="67">
        <f>INDEX(绊面板数据!AB$4:AB$35,$I24+1)</f>
        <v>84</v>
      </c>
      <c r="T24" s="48">
        <f>INDEX(绊面板数据!AC$4:AC$35,$I24+1)</f>
        <v>0.1</v>
      </c>
      <c r="U24" s="56">
        <f>INDEX(绊面板数据!AD$4:AD$35,$I24+1)</f>
        <v>5.0000000000000001E-3</v>
      </c>
      <c r="V24" s="57">
        <f>INDEX(绊面板数据!AE$4:AE$35,$I24+1)</f>
        <v>5.0000000000000001E-3</v>
      </c>
      <c r="W24" s="57">
        <f>INDEX(绊面板数据!AF$4:AF$35,$I24+1)</f>
        <v>5.0000000000000001E-3</v>
      </c>
      <c r="X24" s="91">
        <f>INDEX(绊面板数据!AG$4:AG$35,$I24+1)</f>
        <v>5.0000000000000001E-3</v>
      </c>
      <c r="Y24" s="92">
        <v>250</v>
      </c>
      <c r="Z24" s="24">
        <f t="shared" si="1"/>
        <v>1594350</v>
      </c>
    </row>
    <row r="25" spans="2:26">
      <c r="B25" s="20" t="s">
        <v>47</v>
      </c>
      <c r="C25" s="191">
        <v>205</v>
      </c>
      <c r="D25" s="21" t="s">
        <v>53</v>
      </c>
      <c r="E25" s="21" t="s">
        <v>54</v>
      </c>
      <c r="F25" s="77" t="s">
        <v>59</v>
      </c>
      <c r="G25" s="78">
        <v>160</v>
      </c>
      <c r="H25" s="83">
        <f t="shared" si="0"/>
        <v>1.1033999999999999</v>
      </c>
      <c r="I25" s="85">
        <v>13</v>
      </c>
      <c r="J25" s="56">
        <f>INDEX(绊面板数据!S$4:S$35,$I25+1)</f>
        <v>3.3000000000000008E-2</v>
      </c>
      <c r="K25" s="57">
        <f>INDEX(绊面板数据!T$4:T$35,$I25+1)</f>
        <v>3.3000000000000008E-2</v>
      </c>
      <c r="L25" s="58">
        <f>INDEX(绊面板数据!U$4:U$35,$I25+1)</f>
        <v>3.3000000000000002E-2</v>
      </c>
      <c r="M25" s="40">
        <f>INDEX(绊面板数据!V$4:V$35,$I25+1)</f>
        <v>3.0000000000000002E-2</v>
      </c>
      <c r="N25" s="36">
        <f>INDEX(绊面板数据!W$4:W$35,$I25+1)</f>
        <v>0.4</v>
      </c>
      <c r="O25" s="36">
        <f>INDEX(绊面板数据!X$4:X$35,$I25+1)</f>
        <v>0.04</v>
      </c>
      <c r="P25" s="41">
        <f>INDEX(绊面板数据!Y$4:Y$35,$I25+1)</f>
        <v>2.8000000000000004E-2</v>
      </c>
      <c r="Q25" s="65">
        <f>INDEX(绊面板数据!Z$4:Z$35,$I25+1)</f>
        <v>58</v>
      </c>
      <c r="R25" s="66">
        <f>INDEX(绊面板数据!AA$4:AA$35,$I25+1)</f>
        <v>68</v>
      </c>
      <c r="S25" s="67">
        <f>INDEX(绊面板数据!AB$4:AB$35,$I25+1)</f>
        <v>84</v>
      </c>
      <c r="T25" s="48">
        <f>INDEX(绊面板数据!AC$4:AC$35,$I25+1)</f>
        <v>0.1</v>
      </c>
      <c r="U25" s="56">
        <f>INDEX(绊面板数据!AD$4:AD$35,$I25+1)</f>
        <v>5.0000000000000001E-3</v>
      </c>
      <c r="V25" s="57">
        <f>INDEX(绊面板数据!AE$4:AE$35,$I25+1)</f>
        <v>5.0000000000000001E-3</v>
      </c>
      <c r="W25" s="57">
        <f>INDEX(绊面板数据!AF$4:AF$35,$I25+1)</f>
        <v>5.0000000000000001E-3</v>
      </c>
      <c r="X25" s="91">
        <f>INDEX(绊面板数据!AG$4:AG$35,$I25+1)</f>
        <v>5.0000000000000001E-3</v>
      </c>
      <c r="Y25" s="92">
        <v>250</v>
      </c>
      <c r="Z25" s="24">
        <f t="shared" si="1"/>
        <v>1594350</v>
      </c>
    </row>
    <row r="26" spans="2:26">
      <c r="B26" s="20" t="s">
        <v>50</v>
      </c>
      <c r="C26" s="191">
        <v>206</v>
      </c>
      <c r="D26" s="21" t="s">
        <v>53</v>
      </c>
      <c r="E26" s="21" t="s">
        <v>55</v>
      </c>
      <c r="F26" s="77" t="s">
        <v>58</v>
      </c>
      <c r="G26" s="78">
        <v>160</v>
      </c>
      <c r="H26" s="83">
        <f t="shared" si="0"/>
        <v>1.1033999999999999</v>
      </c>
      <c r="I26" s="85">
        <v>13</v>
      </c>
      <c r="J26" s="56">
        <f>INDEX(绊面板数据!S$4:S$35,$I26+1)</f>
        <v>3.3000000000000008E-2</v>
      </c>
      <c r="K26" s="57">
        <f>INDEX(绊面板数据!T$4:T$35,$I26+1)</f>
        <v>3.3000000000000008E-2</v>
      </c>
      <c r="L26" s="58">
        <f>INDEX(绊面板数据!U$4:U$35,$I26+1)</f>
        <v>3.3000000000000002E-2</v>
      </c>
      <c r="M26" s="40">
        <f>INDEX(绊面板数据!V$4:V$35,$I26+1)</f>
        <v>3.0000000000000002E-2</v>
      </c>
      <c r="N26" s="36">
        <f>INDEX(绊面板数据!W$4:W$35,$I26+1)</f>
        <v>0.4</v>
      </c>
      <c r="O26" s="36">
        <f>INDEX(绊面板数据!X$4:X$35,$I26+1)</f>
        <v>0.04</v>
      </c>
      <c r="P26" s="41">
        <f>INDEX(绊面板数据!Y$4:Y$35,$I26+1)</f>
        <v>2.8000000000000004E-2</v>
      </c>
      <c r="Q26" s="65">
        <f>INDEX(绊面板数据!Z$4:Z$35,$I26+1)</f>
        <v>58</v>
      </c>
      <c r="R26" s="66">
        <f>INDEX(绊面板数据!AA$4:AA$35,$I26+1)</f>
        <v>68</v>
      </c>
      <c r="S26" s="67">
        <f>INDEX(绊面板数据!AB$4:AB$35,$I26+1)</f>
        <v>84</v>
      </c>
      <c r="T26" s="48">
        <f>INDEX(绊面板数据!AC$4:AC$35,$I26+1)</f>
        <v>0.1</v>
      </c>
      <c r="U26" s="56">
        <f>INDEX(绊面板数据!AD$4:AD$35,$I26+1)</f>
        <v>5.0000000000000001E-3</v>
      </c>
      <c r="V26" s="57">
        <f>INDEX(绊面板数据!AE$4:AE$35,$I26+1)</f>
        <v>5.0000000000000001E-3</v>
      </c>
      <c r="W26" s="57">
        <f>INDEX(绊面板数据!AF$4:AF$35,$I26+1)</f>
        <v>5.0000000000000001E-3</v>
      </c>
      <c r="X26" s="91">
        <f>INDEX(绊面板数据!AG$4:AG$35,$I26+1)</f>
        <v>5.0000000000000001E-3</v>
      </c>
      <c r="Y26" s="92">
        <v>250</v>
      </c>
      <c r="Z26" s="24">
        <f t="shared" si="1"/>
        <v>1594350</v>
      </c>
    </row>
    <row r="27" spans="2:26">
      <c r="B27" s="20" t="s">
        <v>48</v>
      </c>
      <c r="C27" s="191">
        <v>207</v>
      </c>
      <c r="D27" s="21" t="s">
        <v>53</v>
      </c>
      <c r="E27" s="21" t="s">
        <v>54</v>
      </c>
      <c r="F27" s="77" t="s">
        <v>57</v>
      </c>
      <c r="G27" s="78">
        <v>160</v>
      </c>
      <c r="H27" s="83">
        <f t="shared" si="0"/>
        <v>1.1033999999999999</v>
      </c>
      <c r="I27" s="85">
        <v>13</v>
      </c>
      <c r="J27" s="56">
        <f>INDEX(绊面板数据!S$4:S$35,$I27+1)</f>
        <v>3.3000000000000008E-2</v>
      </c>
      <c r="K27" s="57">
        <f>INDEX(绊面板数据!T$4:T$35,$I27+1)</f>
        <v>3.3000000000000008E-2</v>
      </c>
      <c r="L27" s="58">
        <f>INDEX(绊面板数据!U$4:U$35,$I27+1)</f>
        <v>3.3000000000000002E-2</v>
      </c>
      <c r="M27" s="40">
        <f>INDEX(绊面板数据!V$4:V$35,$I27+1)</f>
        <v>3.0000000000000002E-2</v>
      </c>
      <c r="N27" s="36">
        <f>INDEX(绊面板数据!W$4:W$35,$I27+1)</f>
        <v>0.4</v>
      </c>
      <c r="O27" s="36">
        <f>INDEX(绊面板数据!X$4:X$35,$I27+1)</f>
        <v>0.04</v>
      </c>
      <c r="P27" s="41">
        <f>INDEX(绊面板数据!Y$4:Y$35,$I27+1)</f>
        <v>2.8000000000000004E-2</v>
      </c>
      <c r="Q27" s="65">
        <f>INDEX(绊面板数据!Z$4:Z$35,$I27+1)</f>
        <v>58</v>
      </c>
      <c r="R27" s="66">
        <f>INDEX(绊面板数据!AA$4:AA$35,$I27+1)</f>
        <v>68</v>
      </c>
      <c r="S27" s="67">
        <f>INDEX(绊面板数据!AB$4:AB$35,$I27+1)</f>
        <v>84</v>
      </c>
      <c r="T27" s="48">
        <f>INDEX(绊面板数据!AC$4:AC$35,$I27+1)</f>
        <v>0.1</v>
      </c>
      <c r="U27" s="56">
        <f>INDEX(绊面板数据!AD$4:AD$35,$I27+1)</f>
        <v>5.0000000000000001E-3</v>
      </c>
      <c r="V27" s="57">
        <f>INDEX(绊面板数据!AE$4:AE$35,$I27+1)</f>
        <v>5.0000000000000001E-3</v>
      </c>
      <c r="W27" s="57">
        <f>INDEX(绊面板数据!AF$4:AF$35,$I27+1)</f>
        <v>5.0000000000000001E-3</v>
      </c>
      <c r="X27" s="91">
        <f>INDEX(绊面板数据!AG$4:AG$35,$I27+1)</f>
        <v>5.0000000000000001E-3</v>
      </c>
      <c r="Y27" s="92">
        <v>250</v>
      </c>
      <c r="Z27" s="24">
        <f t="shared" si="1"/>
        <v>1594350</v>
      </c>
    </row>
    <row r="28" spans="2:26">
      <c r="B28" s="20" t="s">
        <v>49</v>
      </c>
      <c r="C28" s="191">
        <v>208</v>
      </c>
      <c r="D28" s="21" t="s">
        <v>53</v>
      </c>
      <c r="E28" s="21" t="s">
        <v>55</v>
      </c>
      <c r="F28" s="77" t="s">
        <v>58</v>
      </c>
      <c r="G28" s="78">
        <v>160</v>
      </c>
      <c r="H28" s="83">
        <f t="shared" si="0"/>
        <v>1.1033999999999999</v>
      </c>
      <c r="I28" s="85">
        <v>13</v>
      </c>
      <c r="J28" s="56">
        <f>INDEX(绊面板数据!S$4:S$35,$I28+1)</f>
        <v>3.3000000000000008E-2</v>
      </c>
      <c r="K28" s="57">
        <f>INDEX(绊面板数据!T$4:T$35,$I28+1)</f>
        <v>3.3000000000000008E-2</v>
      </c>
      <c r="L28" s="58">
        <f>INDEX(绊面板数据!U$4:U$35,$I28+1)</f>
        <v>3.3000000000000002E-2</v>
      </c>
      <c r="M28" s="40">
        <f>INDEX(绊面板数据!V$4:V$35,$I28+1)</f>
        <v>3.0000000000000002E-2</v>
      </c>
      <c r="N28" s="36">
        <f>INDEX(绊面板数据!W$4:W$35,$I28+1)</f>
        <v>0.4</v>
      </c>
      <c r="O28" s="36">
        <f>INDEX(绊面板数据!X$4:X$35,$I28+1)</f>
        <v>0.04</v>
      </c>
      <c r="P28" s="41">
        <f>INDEX(绊面板数据!Y$4:Y$35,$I28+1)</f>
        <v>2.8000000000000004E-2</v>
      </c>
      <c r="Q28" s="65">
        <f>INDEX(绊面板数据!Z$4:Z$35,$I28+1)</f>
        <v>58</v>
      </c>
      <c r="R28" s="66">
        <f>INDEX(绊面板数据!AA$4:AA$35,$I28+1)</f>
        <v>68</v>
      </c>
      <c r="S28" s="67">
        <f>INDEX(绊面板数据!AB$4:AB$35,$I28+1)</f>
        <v>84</v>
      </c>
      <c r="T28" s="48">
        <f>INDEX(绊面板数据!AC$4:AC$35,$I28+1)</f>
        <v>0.1</v>
      </c>
      <c r="U28" s="56">
        <f>INDEX(绊面板数据!AD$4:AD$35,$I28+1)</f>
        <v>5.0000000000000001E-3</v>
      </c>
      <c r="V28" s="57">
        <f>INDEX(绊面板数据!AE$4:AE$35,$I28+1)</f>
        <v>5.0000000000000001E-3</v>
      </c>
      <c r="W28" s="57">
        <f>INDEX(绊面板数据!AF$4:AF$35,$I28+1)</f>
        <v>5.0000000000000001E-3</v>
      </c>
      <c r="X28" s="91">
        <f>INDEX(绊面板数据!AG$4:AG$35,$I28+1)</f>
        <v>5.0000000000000001E-3</v>
      </c>
      <c r="Y28" s="92">
        <v>250</v>
      </c>
      <c r="Z28" s="24">
        <f t="shared" si="1"/>
        <v>1594350</v>
      </c>
    </row>
    <row r="29" spans="2:26">
      <c r="B29" s="20" t="s">
        <v>45</v>
      </c>
      <c r="C29" s="191">
        <v>209</v>
      </c>
      <c r="D29" s="21" t="s">
        <v>53</v>
      </c>
      <c r="E29" s="21" t="s">
        <v>56</v>
      </c>
      <c r="F29" s="77" t="s">
        <v>58</v>
      </c>
      <c r="G29" s="78">
        <v>160</v>
      </c>
      <c r="H29" s="83">
        <f t="shared" si="0"/>
        <v>1.1033999999999999</v>
      </c>
      <c r="I29" s="85">
        <v>13</v>
      </c>
      <c r="J29" s="56">
        <f>INDEX(绊面板数据!S$4:S$35,$I29+1)</f>
        <v>3.3000000000000008E-2</v>
      </c>
      <c r="K29" s="57">
        <f>INDEX(绊面板数据!T$4:T$35,$I29+1)</f>
        <v>3.3000000000000008E-2</v>
      </c>
      <c r="L29" s="58">
        <f>INDEX(绊面板数据!U$4:U$35,$I29+1)</f>
        <v>3.3000000000000002E-2</v>
      </c>
      <c r="M29" s="40">
        <f>INDEX(绊面板数据!V$4:V$35,$I29+1)</f>
        <v>3.0000000000000002E-2</v>
      </c>
      <c r="N29" s="36">
        <f>INDEX(绊面板数据!W$4:W$35,$I29+1)</f>
        <v>0.4</v>
      </c>
      <c r="O29" s="36">
        <f>INDEX(绊面板数据!X$4:X$35,$I29+1)</f>
        <v>0.04</v>
      </c>
      <c r="P29" s="41">
        <f>INDEX(绊面板数据!Y$4:Y$35,$I29+1)</f>
        <v>2.8000000000000004E-2</v>
      </c>
      <c r="Q29" s="65">
        <f>INDEX(绊面板数据!Z$4:Z$35,$I29+1)</f>
        <v>58</v>
      </c>
      <c r="R29" s="66">
        <f>INDEX(绊面板数据!AA$4:AA$35,$I29+1)</f>
        <v>68</v>
      </c>
      <c r="S29" s="67">
        <f>INDEX(绊面板数据!AB$4:AB$35,$I29+1)</f>
        <v>84</v>
      </c>
      <c r="T29" s="48">
        <f>INDEX(绊面板数据!AC$4:AC$35,$I29+1)</f>
        <v>0.1</v>
      </c>
      <c r="U29" s="56">
        <f>INDEX(绊面板数据!AD$4:AD$35,$I29+1)</f>
        <v>5.0000000000000001E-3</v>
      </c>
      <c r="V29" s="57">
        <f>INDEX(绊面板数据!AE$4:AE$35,$I29+1)</f>
        <v>5.0000000000000001E-3</v>
      </c>
      <c r="W29" s="57">
        <f>INDEX(绊面板数据!AF$4:AF$35,$I29+1)</f>
        <v>5.0000000000000001E-3</v>
      </c>
      <c r="X29" s="91">
        <f>INDEX(绊面板数据!AG$4:AG$35,$I29+1)</f>
        <v>5.0000000000000001E-3</v>
      </c>
      <c r="Y29" s="92">
        <v>250</v>
      </c>
      <c r="Z29" s="24">
        <f t="shared" si="1"/>
        <v>1594350</v>
      </c>
    </row>
    <row r="30" spans="2:26">
      <c r="B30" s="933" t="s">
        <v>785</v>
      </c>
      <c r="C30" s="934">
        <v>210</v>
      </c>
      <c r="D30" s="935" t="s">
        <v>53</v>
      </c>
      <c r="E30" s="935" t="s">
        <v>56</v>
      </c>
      <c r="F30" s="936" t="s">
        <v>4365</v>
      </c>
      <c r="G30" s="78">
        <v>160</v>
      </c>
      <c r="H30" s="83">
        <f t="shared" si="0"/>
        <v>1.1033999999999999</v>
      </c>
      <c r="I30" s="85">
        <v>13</v>
      </c>
      <c r="J30" s="56">
        <f>INDEX(绊面板数据!S$4:S$35,$I30+1)</f>
        <v>3.3000000000000008E-2</v>
      </c>
      <c r="K30" s="57">
        <f>INDEX(绊面板数据!T$4:T$35,$I30+1)</f>
        <v>3.3000000000000008E-2</v>
      </c>
      <c r="L30" s="58">
        <f>INDEX(绊面板数据!U$4:U$35,$I30+1)</f>
        <v>3.3000000000000002E-2</v>
      </c>
      <c r="M30" s="40">
        <f>INDEX(绊面板数据!V$4:V$35,$I30+1)</f>
        <v>3.0000000000000002E-2</v>
      </c>
      <c r="N30" s="36">
        <f>INDEX(绊面板数据!W$4:W$35,$I30+1)</f>
        <v>0.4</v>
      </c>
      <c r="O30" s="36">
        <f>INDEX(绊面板数据!X$4:X$35,$I30+1)</f>
        <v>0.04</v>
      </c>
      <c r="P30" s="41">
        <f>INDEX(绊面板数据!Y$4:Y$35,$I30+1)</f>
        <v>2.8000000000000004E-2</v>
      </c>
      <c r="Q30" s="65">
        <f>INDEX(绊面板数据!Z$4:Z$35,$I30+1)</f>
        <v>58</v>
      </c>
      <c r="R30" s="66">
        <f>INDEX(绊面板数据!AA$4:AA$35,$I30+1)</f>
        <v>68</v>
      </c>
      <c r="S30" s="67">
        <f>INDEX(绊面板数据!AB$4:AB$35,$I30+1)</f>
        <v>84</v>
      </c>
      <c r="T30" s="48">
        <f>INDEX(绊面板数据!AC$4:AC$35,$I30+1)</f>
        <v>0.1</v>
      </c>
      <c r="U30" s="56">
        <f>INDEX(绊面板数据!AD$4:AD$35,$I30+1)</f>
        <v>5.0000000000000001E-3</v>
      </c>
      <c r="V30" s="57">
        <f>INDEX(绊面板数据!AE$4:AE$35,$I30+1)</f>
        <v>5.0000000000000001E-3</v>
      </c>
      <c r="W30" s="57">
        <f>INDEX(绊面板数据!AF$4:AF$35,$I30+1)</f>
        <v>5.0000000000000001E-3</v>
      </c>
      <c r="X30" s="91">
        <f>INDEX(绊面板数据!AG$4:AG$35,$I30+1)</f>
        <v>5.0000000000000001E-3</v>
      </c>
      <c r="Y30" s="92">
        <v>250</v>
      </c>
      <c r="Z30" s="24">
        <f t="shared" si="1"/>
        <v>1594350</v>
      </c>
    </row>
    <row r="31" spans="2:26">
      <c r="B31" s="933" t="s">
        <v>4363</v>
      </c>
      <c r="C31" s="934">
        <v>211</v>
      </c>
      <c r="D31" s="935" t="s">
        <v>4364</v>
      </c>
      <c r="E31" s="935" t="s">
        <v>4368</v>
      </c>
      <c r="F31" s="936" t="s">
        <v>4366</v>
      </c>
      <c r="G31" s="78">
        <v>100</v>
      </c>
      <c r="H31" s="83">
        <f t="shared" si="0"/>
        <v>1.0874999999999999</v>
      </c>
      <c r="I31" s="85">
        <v>10</v>
      </c>
      <c r="J31" s="56">
        <f>INDEX(绊面板数据!S$4:S$35,$I31+1)</f>
        <v>2.0000000000000007E-2</v>
      </c>
      <c r="K31" s="57">
        <f>INDEX(绊面板数据!T$4:T$35,$I31+1)</f>
        <v>2.0000000000000007E-2</v>
      </c>
      <c r="L31" s="58">
        <f>INDEX(绊面板数据!U$4:U$35,$I31+1)</f>
        <v>2.0000000000000004E-2</v>
      </c>
      <c r="M31" s="40">
        <f>INDEX(绊面板数据!V$4:V$35,$I31+1)</f>
        <v>2.5000000000000001E-2</v>
      </c>
      <c r="N31" s="36">
        <f>INDEX(绊面板数据!W$4:W$35,$I31+1)</f>
        <v>0.35000000000000003</v>
      </c>
      <c r="O31" s="36">
        <f>INDEX(绊面板数据!X$4:X$35,$I31+1)</f>
        <v>3.5000000000000003E-2</v>
      </c>
      <c r="P31" s="41">
        <f>INDEX(绊面板数据!Y$4:Y$35,$I31+1)</f>
        <v>2.6000000000000002E-2</v>
      </c>
      <c r="Q31" s="65">
        <f>INDEX(绊面板数据!Z$4:Z$35,$I31+1)</f>
        <v>52</v>
      </c>
      <c r="R31" s="66">
        <f>INDEX(绊面板数据!AA$4:AA$35,$I31+1)</f>
        <v>68</v>
      </c>
      <c r="S31" s="67">
        <f>INDEX(绊面板数据!AB$4:AB$35,$I31+1)</f>
        <v>84</v>
      </c>
      <c r="T31" s="48">
        <f>INDEX(绊面板数据!AC$4:AC$35,$I31+1)</f>
        <v>7.5000000000000011E-2</v>
      </c>
      <c r="U31" s="56">
        <f>INDEX(绊面板数据!AD$4:AD$35,$I31+1)</f>
        <v>5.0000000000000001E-3</v>
      </c>
      <c r="V31" s="57">
        <f>INDEX(绊面板数据!AE$4:AE$35,$I31+1)</f>
        <v>5.0000000000000001E-3</v>
      </c>
      <c r="W31" s="57">
        <f>INDEX(绊面板数据!AF$4:AF$35,$I31+1)</f>
        <v>5.0000000000000001E-3</v>
      </c>
      <c r="X31" s="91">
        <f>INDEX(绊面板数据!AG$4:AG$35,$I31+1)</f>
        <v>5.0000000000000001E-3</v>
      </c>
      <c r="Y31" s="92">
        <v>250</v>
      </c>
      <c r="Z31" s="24">
        <f t="shared" si="1"/>
        <v>2092490</v>
      </c>
    </row>
    <row r="32" spans="2:26" ht="17.25" thickBot="1">
      <c r="B32" s="22" t="s">
        <v>4362</v>
      </c>
      <c r="C32" s="192">
        <v>212</v>
      </c>
      <c r="D32" s="23" t="s">
        <v>4364</v>
      </c>
      <c r="E32" s="23" t="s">
        <v>4367</v>
      </c>
      <c r="F32" s="79" t="s">
        <v>4366</v>
      </c>
      <c r="G32" s="80">
        <v>100</v>
      </c>
      <c r="H32" s="86">
        <f t="shared" si="0"/>
        <v>1.0874999999999999</v>
      </c>
      <c r="I32" s="87">
        <v>10</v>
      </c>
      <c r="J32" s="59">
        <f>INDEX(绊面板数据!S$4:S$35,$I32+1)</f>
        <v>2.0000000000000007E-2</v>
      </c>
      <c r="K32" s="60">
        <f>INDEX(绊面板数据!T$4:T$35,$I32+1)</f>
        <v>2.0000000000000007E-2</v>
      </c>
      <c r="L32" s="61">
        <f>INDEX(绊面板数据!U$4:U$35,$I32+1)</f>
        <v>2.0000000000000004E-2</v>
      </c>
      <c r="M32" s="42">
        <f>INDEX(绊面板数据!V$4:V$35,$I32+1)</f>
        <v>2.5000000000000001E-2</v>
      </c>
      <c r="N32" s="37">
        <f>INDEX(绊面板数据!W$4:W$35,$I32+1)</f>
        <v>0.35000000000000003</v>
      </c>
      <c r="O32" s="37">
        <f>INDEX(绊面板数据!X$4:X$35,$I32+1)</f>
        <v>3.5000000000000003E-2</v>
      </c>
      <c r="P32" s="43">
        <f>INDEX(绊面板数据!Y$4:Y$35,$I32+1)</f>
        <v>2.6000000000000002E-2</v>
      </c>
      <c r="Q32" s="68">
        <f>INDEX(绊面板数据!Z$4:Z$35,$I32+1)</f>
        <v>52</v>
      </c>
      <c r="R32" s="69">
        <f>INDEX(绊面板数据!AA$4:AA$35,$I32+1)</f>
        <v>68</v>
      </c>
      <c r="S32" s="70">
        <f>INDEX(绊面板数据!AB$4:AB$35,$I32+1)</f>
        <v>84</v>
      </c>
      <c r="T32" s="49">
        <f>INDEX(绊面板数据!AC$4:AC$35,$I32+1)</f>
        <v>7.5000000000000011E-2</v>
      </c>
      <c r="U32" s="59">
        <f>INDEX(绊面板数据!AD$4:AD$35,$I32+1)</f>
        <v>5.0000000000000001E-3</v>
      </c>
      <c r="V32" s="60">
        <f>INDEX(绊面板数据!AE$4:AE$35,$I32+1)</f>
        <v>5.0000000000000001E-3</v>
      </c>
      <c r="W32" s="60">
        <f>INDEX(绊面板数据!AF$4:AF$35,$I32+1)</f>
        <v>5.0000000000000001E-3</v>
      </c>
      <c r="X32" s="93">
        <f>INDEX(绊面板数据!AG$4:AG$35,$I32+1)</f>
        <v>5.0000000000000001E-3</v>
      </c>
      <c r="Y32" s="94">
        <v>250</v>
      </c>
      <c r="Z32" s="25">
        <f t="shared" si="1"/>
        <v>2092490</v>
      </c>
    </row>
    <row r="33" spans="8:26" ht="17.25" thickBot="1">
      <c r="Y33" s="71" t="s">
        <v>205</v>
      </c>
      <c r="Z33" s="26">
        <f>SUM(Z3:Z32)</f>
        <v>48826780</v>
      </c>
    </row>
    <row r="34" spans="8:26">
      <c r="H34" s="3"/>
      <c r="I34" s="3"/>
      <c r="J34" s="3"/>
      <c r="K34" s="3"/>
      <c r="L34" s="3"/>
      <c r="M34" s="3"/>
      <c r="N34" s="3"/>
      <c r="O34" s="3"/>
      <c r="P34" s="3"/>
      <c r="Q34" s="3"/>
      <c r="R34" s="3"/>
      <c r="S34" s="3"/>
      <c r="T34" s="3"/>
      <c r="U34" s="3"/>
      <c r="V34" s="3"/>
      <c r="W34" s="3"/>
      <c r="X34" s="3"/>
      <c r="Y34" s="3"/>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1"/>
  <dimension ref="B1:AG35"/>
  <sheetViews>
    <sheetView zoomScaleNormal="100" workbookViewId="0">
      <selection activeCell="I68" sqref="I68"/>
    </sheetView>
  </sheetViews>
  <sheetFormatPr defaultColWidth="9" defaultRowHeight="16.5"/>
  <cols>
    <col min="1" max="1" width="2.75" style="72" customWidth="1"/>
    <col min="2" max="2" width="11.25" style="72" bestFit="1" customWidth="1"/>
    <col min="3" max="3" width="9.25" style="72" bestFit="1" customWidth="1"/>
    <col min="4" max="6" width="7.25" style="1" bestFit="1" customWidth="1"/>
    <col min="7" max="14" width="7.25" style="1" customWidth="1"/>
    <col min="15" max="15" width="10.625" style="1" bestFit="1" customWidth="1"/>
    <col min="16" max="16" width="10.5" style="1" bestFit="1" customWidth="1"/>
    <col min="17" max="17" width="10.375" style="1" bestFit="1" customWidth="1"/>
    <col min="18" max="18" width="10.875" style="1" bestFit="1" customWidth="1"/>
    <col min="19" max="21" width="7.25" style="1" bestFit="1" customWidth="1"/>
    <col min="22" max="29" width="7.25" style="1" customWidth="1"/>
    <col min="30" max="30" width="10.625" style="1" bestFit="1" customWidth="1"/>
    <col min="31" max="31" width="10.5" style="1" bestFit="1" customWidth="1"/>
    <col min="32" max="32" width="10.375" style="1" bestFit="1" customWidth="1"/>
    <col min="33" max="33" width="10.875" style="1" bestFit="1" customWidth="1"/>
    <col min="34" max="16384" width="9" style="72"/>
  </cols>
  <sheetData>
    <row r="1" spans="2:33" ht="17.25" thickBot="1"/>
    <row r="2" spans="2:33">
      <c r="B2" s="1581" t="s">
        <v>301</v>
      </c>
      <c r="C2" s="1583" t="s">
        <v>302</v>
      </c>
      <c r="D2" s="1585" t="s">
        <v>303</v>
      </c>
      <c r="E2" s="1586"/>
      <c r="F2" s="1586"/>
      <c r="G2" s="1586"/>
      <c r="H2" s="1586"/>
      <c r="I2" s="1586"/>
      <c r="J2" s="1586"/>
      <c r="K2" s="1586"/>
      <c r="L2" s="1586"/>
      <c r="M2" s="1586"/>
      <c r="N2" s="1586"/>
      <c r="O2" s="1586"/>
      <c r="P2" s="1586"/>
      <c r="Q2" s="1586"/>
      <c r="R2" s="1587"/>
      <c r="S2" s="1588" t="s">
        <v>304</v>
      </c>
      <c r="T2" s="1589"/>
      <c r="U2" s="1589"/>
      <c r="V2" s="1589"/>
      <c r="W2" s="1589"/>
      <c r="X2" s="1589"/>
      <c r="Y2" s="1589"/>
      <c r="Z2" s="1589"/>
      <c r="AA2" s="1589"/>
      <c r="AB2" s="1589"/>
      <c r="AC2" s="1589"/>
      <c r="AD2" s="1589"/>
      <c r="AE2" s="1589"/>
      <c r="AF2" s="1589"/>
      <c r="AG2" s="1590"/>
    </row>
    <row r="3" spans="2:33" ht="17.25" thickBot="1">
      <c r="B3" s="1582"/>
      <c r="C3" s="1584"/>
      <c r="D3" s="103" t="s">
        <v>265</v>
      </c>
      <c r="E3" s="104" t="s">
        <v>266</v>
      </c>
      <c r="F3" s="95" t="s">
        <v>267</v>
      </c>
      <c r="G3" s="105" t="s">
        <v>268</v>
      </c>
      <c r="H3" s="106" t="s">
        <v>269</v>
      </c>
      <c r="I3" s="106" t="s">
        <v>270</v>
      </c>
      <c r="J3" s="96" t="s">
        <v>271</v>
      </c>
      <c r="K3" s="112" t="s">
        <v>272</v>
      </c>
      <c r="L3" s="104" t="s">
        <v>273</v>
      </c>
      <c r="M3" s="95" t="s">
        <v>274</v>
      </c>
      <c r="N3" s="97" t="s">
        <v>275</v>
      </c>
      <c r="O3" s="183" t="s">
        <v>639</v>
      </c>
      <c r="P3" s="184" t="s">
        <v>640</v>
      </c>
      <c r="Q3" s="184" t="s">
        <v>641</v>
      </c>
      <c r="R3" s="185" t="s">
        <v>642</v>
      </c>
      <c r="S3" s="107" t="s">
        <v>265</v>
      </c>
      <c r="T3" s="108" t="s">
        <v>266</v>
      </c>
      <c r="U3" s="98" t="s">
        <v>267</v>
      </c>
      <c r="V3" s="109" t="s">
        <v>268</v>
      </c>
      <c r="W3" s="110" t="s">
        <v>269</v>
      </c>
      <c r="X3" s="110" t="s">
        <v>270</v>
      </c>
      <c r="Y3" s="99" t="s">
        <v>271</v>
      </c>
      <c r="Z3" s="111" t="s">
        <v>272</v>
      </c>
      <c r="AA3" s="108" t="s">
        <v>273</v>
      </c>
      <c r="AB3" s="98" t="s">
        <v>274</v>
      </c>
      <c r="AC3" s="100" t="s">
        <v>275</v>
      </c>
      <c r="AD3" s="186" t="s">
        <v>639</v>
      </c>
      <c r="AE3" s="182" t="s">
        <v>640</v>
      </c>
      <c r="AF3" s="187" t="s">
        <v>641</v>
      </c>
      <c r="AG3" s="188" t="s">
        <v>642</v>
      </c>
    </row>
    <row r="4" spans="2:33">
      <c r="B4" s="101">
        <v>0</v>
      </c>
      <c r="C4" s="102">
        <v>0</v>
      </c>
      <c r="D4" s="113"/>
      <c r="E4" s="114"/>
      <c r="F4" s="115"/>
      <c r="G4" s="116"/>
      <c r="H4" s="117"/>
      <c r="I4" s="117"/>
      <c r="J4" s="118"/>
      <c r="K4" s="119"/>
      <c r="L4" s="120"/>
      <c r="M4" s="121"/>
      <c r="N4" s="122"/>
      <c r="O4" s="123"/>
      <c r="P4" s="114"/>
      <c r="Q4" s="114"/>
      <c r="R4" s="124"/>
      <c r="S4" s="125">
        <f>SUM(D$4:D4)</f>
        <v>0</v>
      </c>
      <c r="T4" s="117">
        <f>SUM(E$4:E4)</f>
        <v>0</v>
      </c>
      <c r="U4" s="126">
        <f>SUM(F$4:F4)</f>
        <v>0</v>
      </c>
      <c r="V4" s="127">
        <f>SUM(G$4:G4)</f>
        <v>0</v>
      </c>
      <c r="W4" s="114">
        <f>SUM(H$4:H4)</f>
        <v>0</v>
      </c>
      <c r="X4" s="114">
        <f>SUM(I$4:I4)</f>
        <v>0</v>
      </c>
      <c r="Y4" s="128">
        <f>SUM(J$4:J4)</f>
        <v>0</v>
      </c>
      <c r="Z4" s="129">
        <f>SUM(K$4:K4)+40</f>
        <v>40</v>
      </c>
      <c r="AA4" s="130">
        <f>SUM(L$4:L4)+60</f>
        <v>60</v>
      </c>
      <c r="AB4" s="131">
        <f>SUM(M$4:M4)+80</f>
        <v>80</v>
      </c>
      <c r="AC4" s="132">
        <f>SUM(N$4:N4)</f>
        <v>0</v>
      </c>
      <c r="AD4" s="133">
        <f>SUM(O$4:O4)</f>
        <v>0</v>
      </c>
      <c r="AE4" s="117">
        <f>SUM(P$4:P4)</f>
        <v>0</v>
      </c>
      <c r="AF4" s="117">
        <f>SUM(Q$4:Q4)</f>
        <v>0</v>
      </c>
      <c r="AG4" s="134">
        <f>SUM(R$4:R4)</f>
        <v>0</v>
      </c>
    </row>
    <row r="5" spans="2:33">
      <c r="B5" s="20">
        <v>1</v>
      </c>
      <c r="C5" s="77">
        <v>1</v>
      </c>
      <c r="D5" s="135">
        <v>1.0999999999999999E-2</v>
      </c>
      <c r="E5" s="136">
        <v>1E-3</v>
      </c>
      <c r="F5" s="57">
        <v>1E-3</v>
      </c>
      <c r="G5" s="137">
        <v>5.0000000000000001E-3</v>
      </c>
      <c r="H5" s="138"/>
      <c r="I5" s="138">
        <v>5.0000000000000001E-3</v>
      </c>
      <c r="J5" s="41"/>
      <c r="K5" s="139"/>
      <c r="L5" s="140"/>
      <c r="M5" s="66"/>
      <c r="N5" s="48"/>
      <c r="O5" s="141"/>
      <c r="P5" s="136"/>
      <c r="Q5" s="136"/>
      <c r="R5" s="91"/>
      <c r="S5" s="142">
        <f>SUM(D$4:D5)</f>
        <v>1.0999999999999999E-2</v>
      </c>
      <c r="T5" s="138">
        <f>SUM(E$4:E5)</f>
        <v>1E-3</v>
      </c>
      <c r="U5" s="36">
        <f>SUM(F$4:F5)</f>
        <v>1E-3</v>
      </c>
      <c r="V5" s="143">
        <f>SUM(G$4:G5)</f>
        <v>5.0000000000000001E-3</v>
      </c>
      <c r="W5" s="136">
        <f>SUM(H$4:H5)</f>
        <v>0</v>
      </c>
      <c r="X5" s="136">
        <f>SUM(I$4:I5)</f>
        <v>5.0000000000000001E-3</v>
      </c>
      <c r="Y5" s="58">
        <f>SUM(J$4:J5)</f>
        <v>0</v>
      </c>
      <c r="Z5" s="144">
        <f>SUM(K$4:K5)+40</f>
        <v>40</v>
      </c>
      <c r="AA5" s="145">
        <f>SUM(L$4:L5)+60</f>
        <v>60</v>
      </c>
      <c r="AB5" s="146">
        <f>SUM(M$4:M5)+80</f>
        <v>80</v>
      </c>
      <c r="AC5" s="147">
        <f>SUM(N$4:N5)</f>
        <v>0</v>
      </c>
      <c r="AD5" s="148">
        <f>SUM(O$4:O5)</f>
        <v>0</v>
      </c>
      <c r="AE5" s="138">
        <f>SUM(P$4:P5)</f>
        <v>0</v>
      </c>
      <c r="AF5" s="138">
        <f>SUM(Q$4:Q5)</f>
        <v>0</v>
      </c>
      <c r="AG5" s="149">
        <f>SUM(R$4:R5)</f>
        <v>0</v>
      </c>
    </row>
    <row r="6" spans="2:33">
      <c r="B6" s="20">
        <v>2</v>
      </c>
      <c r="C6" s="77">
        <v>3</v>
      </c>
      <c r="D6" s="135">
        <v>1E-3</v>
      </c>
      <c r="E6" s="136">
        <v>1.0999999999999999E-2</v>
      </c>
      <c r="F6" s="57">
        <v>1E-3</v>
      </c>
      <c r="G6" s="137"/>
      <c r="H6" s="138">
        <v>0.05</v>
      </c>
      <c r="I6" s="138"/>
      <c r="J6" s="41"/>
      <c r="K6" s="139">
        <v>6</v>
      </c>
      <c r="L6" s="140"/>
      <c r="M6" s="66"/>
      <c r="N6" s="48"/>
      <c r="O6" s="141"/>
      <c r="P6" s="136"/>
      <c r="Q6" s="136"/>
      <c r="R6" s="91"/>
      <c r="S6" s="142">
        <f>SUM(D$5:D6)</f>
        <v>1.2E-2</v>
      </c>
      <c r="T6" s="138">
        <f>SUM(E$5:E6)</f>
        <v>1.2E-2</v>
      </c>
      <c r="U6" s="36">
        <f>SUM(F$5:F6)</f>
        <v>2E-3</v>
      </c>
      <c r="V6" s="143">
        <f>SUM(G$5:G6)</f>
        <v>5.0000000000000001E-3</v>
      </c>
      <c r="W6" s="136">
        <f>SUM(H$5:H6)</f>
        <v>0.05</v>
      </c>
      <c r="X6" s="136">
        <f>SUM(I$5:I6)</f>
        <v>5.0000000000000001E-3</v>
      </c>
      <c r="Y6" s="58">
        <f>SUM(J$5:J6)</f>
        <v>0</v>
      </c>
      <c r="Z6" s="144">
        <f>SUM(K$5:K6)+40</f>
        <v>46</v>
      </c>
      <c r="AA6" s="145">
        <f>SUM(L$5:L6)+60</f>
        <v>60</v>
      </c>
      <c r="AB6" s="146">
        <f>SUM(M$5:M6)+80</f>
        <v>80</v>
      </c>
      <c r="AC6" s="147">
        <f>SUM(N$5:N6)</f>
        <v>0</v>
      </c>
      <c r="AD6" s="148">
        <f>SUM(O$5:O6)</f>
        <v>0</v>
      </c>
      <c r="AE6" s="138">
        <f>SUM(P$5:P6)</f>
        <v>0</v>
      </c>
      <c r="AF6" s="138">
        <f>SUM(Q$5:Q6)</f>
        <v>0</v>
      </c>
      <c r="AG6" s="149">
        <f>SUM(R$5:R6)</f>
        <v>0</v>
      </c>
    </row>
    <row r="7" spans="2:33">
      <c r="B7" s="20">
        <v>3</v>
      </c>
      <c r="C7" s="77">
        <v>5</v>
      </c>
      <c r="D7" s="135">
        <v>1E-3</v>
      </c>
      <c r="E7" s="136">
        <v>1E-3</v>
      </c>
      <c r="F7" s="57">
        <v>1.0999999999999999E-2</v>
      </c>
      <c r="G7" s="137"/>
      <c r="H7" s="138"/>
      <c r="I7" s="138"/>
      <c r="J7" s="41">
        <v>2E-3</v>
      </c>
      <c r="K7" s="139"/>
      <c r="L7" s="140"/>
      <c r="M7" s="66"/>
      <c r="N7" s="48">
        <v>2.5000000000000001E-2</v>
      </c>
      <c r="O7" s="141"/>
      <c r="P7" s="136"/>
      <c r="Q7" s="136"/>
      <c r="R7" s="91"/>
      <c r="S7" s="142">
        <f>SUM(D$5:D7)</f>
        <v>1.3000000000000001E-2</v>
      </c>
      <c r="T7" s="138">
        <f>SUM(E$5:E7)</f>
        <v>1.3000000000000001E-2</v>
      </c>
      <c r="U7" s="36">
        <f>SUM(F$5:F7)</f>
        <v>1.2999999999999999E-2</v>
      </c>
      <c r="V7" s="143">
        <f>SUM(G$5:G7)</f>
        <v>5.0000000000000001E-3</v>
      </c>
      <c r="W7" s="136">
        <f>SUM(H$5:H7)</f>
        <v>0.05</v>
      </c>
      <c r="X7" s="136">
        <f>SUM(I$5:I7)</f>
        <v>5.0000000000000001E-3</v>
      </c>
      <c r="Y7" s="58">
        <f>SUM(J$5:J7)</f>
        <v>2E-3</v>
      </c>
      <c r="Z7" s="144">
        <f>SUM(K$5:K7)+40</f>
        <v>46</v>
      </c>
      <c r="AA7" s="145">
        <f>SUM(L$5:L7)+60</f>
        <v>60</v>
      </c>
      <c r="AB7" s="146">
        <f>SUM(M$5:M7)+80</f>
        <v>80</v>
      </c>
      <c r="AC7" s="147">
        <f>SUM(N$5:N7)</f>
        <v>2.5000000000000001E-2</v>
      </c>
      <c r="AD7" s="148">
        <f>SUM(O$5:O7)</f>
        <v>0</v>
      </c>
      <c r="AE7" s="138">
        <f>SUM(P$5:P7)</f>
        <v>0</v>
      </c>
      <c r="AF7" s="138">
        <f>SUM(Q$5:Q7)</f>
        <v>0</v>
      </c>
      <c r="AG7" s="149">
        <f>SUM(R$5:R7)</f>
        <v>0</v>
      </c>
    </row>
    <row r="8" spans="2:33">
      <c r="B8" s="20">
        <v>4</v>
      </c>
      <c r="C8" s="77">
        <v>7</v>
      </c>
      <c r="D8" s="135">
        <v>1E-3</v>
      </c>
      <c r="E8" s="136">
        <v>1E-3</v>
      </c>
      <c r="F8" s="57">
        <v>1E-3</v>
      </c>
      <c r="G8" s="137"/>
      <c r="H8" s="138"/>
      <c r="I8" s="138"/>
      <c r="J8" s="41">
        <v>0.01</v>
      </c>
      <c r="K8" s="139"/>
      <c r="L8" s="140">
        <v>4</v>
      </c>
      <c r="M8" s="66"/>
      <c r="N8" s="48"/>
      <c r="O8" s="141"/>
      <c r="P8" s="136"/>
      <c r="Q8" s="136"/>
      <c r="R8" s="91">
        <v>5.0000000000000001E-3</v>
      </c>
      <c r="S8" s="142">
        <f>SUM(D$5:D8)</f>
        <v>1.4000000000000002E-2</v>
      </c>
      <c r="T8" s="138">
        <f>SUM(E$5:E8)</f>
        <v>1.4000000000000002E-2</v>
      </c>
      <c r="U8" s="36">
        <f>SUM(F$5:F8)</f>
        <v>1.3999999999999999E-2</v>
      </c>
      <c r="V8" s="143">
        <f>SUM(G$5:G8)</f>
        <v>5.0000000000000001E-3</v>
      </c>
      <c r="W8" s="136">
        <f>SUM(H$5:H8)</f>
        <v>0.05</v>
      </c>
      <c r="X8" s="136">
        <f>SUM(I$5:I8)</f>
        <v>5.0000000000000001E-3</v>
      </c>
      <c r="Y8" s="58">
        <f>SUM(J$5:J8)</f>
        <v>1.2E-2</v>
      </c>
      <c r="Z8" s="144">
        <f>SUM(K$5:K8)+40</f>
        <v>46</v>
      </c>
      <c r="AA8" s="145">
        <f>SUM(L$5:L8)+60</f>
        <v>64</v>
      </c>
      <c r="AB8" s="146">
        <f>SUM(M$5:M8)+80</f>
        <v>80</v>
      </c>
      <c r="AC8" s="147">
        <f>SUM(N$5:N8)</f>
        <v>2.5000000000000001E-2</v>
      </c>
      <c r="AD8" s="148">
        <f>SUM(O$5:O8)</f>
        <v>0</v>
      </c>
      <c r="AE8" s="138">
        <f>SUM(P$5:P8)</f>
        <v>0</v>
      </c>
      <c r="AF8" s="138">
        <f>SUM(Q$5:Q8)</f>
        <v>0</v>
      </c>
      <c r="AG8" s="149">
        <f>SUM(R$5:R8)</f>
        <v>5.0000000000000001E-3</v>
      </c>
    </row>
    <row r="9" spans="2:33">
      <c r="B9" s="20">
        <v>5</v>
      </c>
      <c r="C9" s="77">
        <v>10</v>
      </c>
      <c r="D9" s="135">
        <v>1E-3</v>
      </c>
      <c r="E9" s="136">
        <v>1E-3</v>
      </c>
      <c r="F9" s="57">
        <v>1E-3</v>
      </c>
      <c r="G9" s="137"/>
      <c r="H9" s="138">
        <v>0.05</v>
      </c>
      <c r="I9" s="138">
        <v>0.02</v>
      </c>
      <c r="J9" s="41">
        <v>2E-3</v>
      </c>
      <c r="K9" s="139"/>
      <c r="L9" s="140"/>
      <c r="M9" s="66"/>
      <c r="N9" s="48"/>
      <c r="O9" s="141"/>
      <c r="P9" s="136"/>
      <c r="Q9" s="136"/>
      <c r="R9" s="91"/>
      <c r="S9" s="142">
        <f>SUM(D$5:D9)</f>
        <v>1.5000000000000003E-2</v>
      </c>
      <c r="T9" s="138">
        <f>SUM(E$5:E9)</f>
        <v>1.5000000000000003E-2</v>
      </c>
      <c r="U9" s="36">
        <f>SUM(F$5:F9)</f>
        <v>1.4999999999999999E-2</v>
      </c>
      <c r="V9" s="143">
        <f>SUM(G$5:G9)</f>
        <v>5.0000000000000001E-3</v>
      </c>
      <c r="W9" s="136">
        <f>SUM(H$5:H9)</f>
        <v>0.1</v>
      </c>
      <c r="X9" s="136">
        <f>SUM(I$5:I9)</f>
        <v>2.5000000000000001E-2</v>
      </c>
      <c r="Y9" s="58">
        <f>SUM(J$5:J9)</f>
        <v>1.4E-2</v>
      </c>
      <c r="Z9" s="144">
        <f>SUM(K$5:K9)+40</f>
        <v>46</v>
      </c>
      <c r="AA9" s="145">
        <f>SUM(L$5:L9)+60</f>
        <v>64</v>
      </c>
      <c r="AB9" s="146">
        <f>SUM(M$5:M9)+80</f>
        <v>80</v>
      </c>
      <c r="AC9" s="147">
        <f>SUM(N$5:N9)</f>
        <v>2.5000000000000001E-2</v>
      </c>
      <c r="AD9" s="148">
        <f>SUM(O$5:O9)</f>
        <v>0</v>
      </c>
      <c r="AE9" s="138">
        <f>SUM(P$5:P9)</f>
        <v>0</v>
      </c>
      <c r="AF9" s="138">
        <f>SUM(Q$5:Q9)</f>
        <v>0</v>
      </c>
      <c r="AG9" s="149">
        <f>SUM(R$5:R9)</f>
        <v>5.0000000000000001E-3</v>
      </c>
    </row>
    <row r="10" spans="2:33">
      <c r="B10" s="20">
        <v>6</v>
      </c>
      <c r="C10" s="77">
        <v>15</v>
      </c>
      <c r="D10" s="135">
        <v>1E-3</v>
      </c>
      <c r="E10" s="136">
        <v>1E-3</v>
      </c>
      <c r="F10" s="57">
        <v>1E-3</v>
      </c>
      <c r="G10" s="137">
        <v>0.01</v>
      </c>
      <c r="H10" s="138"/>
      <c r="I10" s="138">
        <v>5.0000000000000001E-3</v>
      </c>
      <c r="J10" s="41"/>
      <c r="K10" s="139"/>
      <c r="L10" s="140"/>
      <c r="M10" s="66"/>
      <c r="N10" s="48"/>
      <c r="O10" s="141"/>
      <c r="P10" s="136"/>
      <c r="Q10" s="136">
        <v>5.0000000000000001E-3</v>
      </c>
      <c r="R10" s="91"/>
      <c r="S10" s="142">
        <f>SUM(D$5:D10)</f>
        <v>1.6000000000000004E-2</v>
      </c>
      <c r="T10" s="138">
        <f>SUM(E$5:E10)</f>
        <v>1.6000000000000004E-2</v>
      </c>
      <c r="U10" s="36">
        <f>SUM(F$5:F10)</f>
        <v>1.6E-2</v>
      </c>
      <c r="V10" s="143">
        <f>SUM(G$5:G10)</f>
        <v>1.4999999999999999E-2</v>
      </c>
      <c r="W10" s="136">
        <f>SUM(H$5:H10)</f>
        <v>0.1</v>
      </c>
      <c r="X10" s="136">
        <f>SUM(I$5:I10)</f>
        <v>3.0000000000000002E-2</v>
      </c>
      <c r="Y10" s="58">
        <f>SUM(J$5:J10)</f>
        <v>1.4E-2</v>
      </c>
      <c r="Z10" s="144">
        <f>SUM(K$5:K10)+40</f>
        <v>46</v>
      </c>
      <c r="AA10" s="145">
        <f>SUM(L$5:L10)+60</f>
        <v>64</v>
      </c>
      <c r="AB10" s="146">
        <f>SUM(M$5:M10)+80</f>
        <v>80</v>
      </c>
      <c r="AC10" s="147">
        <f>SUM(N$5:N10)</f>
        <v>2.5000000000000001E-2</v>
      </c>
      <c r="AD10" s="148">
        <f>SUM(O$5:O10)</f>
        <v>0</v>
      </c>
      <c r="AE10" s="138">
        <f>SUM(P$5:P10)</f>
        <v>0</v>
      </c>
      <c r="AF10" s="138">
        <f>SUM(Q$5:Q10)</f>
        <v>5.0000000000000001E-3</v>
      </c>
      <c r="AG10" s="149">
        <f>SUM(R$5:R10)</f>
        <v>5.0000000000000001E-3</v>
      </c>
    </row>
    <row r="11" spans="2:33">
      <c r="B11" s="20">
        <v>7</v>
      </c>
      <c r="C11" s="77">
        <v>20</v>
      </c>
      <c r="D11" s="135">
        <v>1E-3</v>
      </c>
      <c r="E11" s="136">
        <v>1E-3</v>
      </c>
      <c r="F11" s="57">
        <v>1E-3</v>
      </c>
      <c r="G11" s="137">
        <v>5.0000000000000001E-3</v>
      </c>
      <c r="H11" s="138">
        <v>0.2</v>
      </c>
      <c r="I11" s="138"/>
      <c r="J11" s="41"/>
      <c r="K11" s="139"/>
      <c r="L11" s="140"/>
      <c r="M11" s="66">
        <v>2</v>
      </c>
      <c r="N11" s="48"/>
      <c r="O11" s="141"/>
      <c r="P11" s="136"/>
      <c r="Q11" s="136"/>
      <c r="R11" s="91"/>
      <c r="S11" s="142">
        <f>SUM(D$5:D11)</f>
        <v>1.7000000000000005E-2</v>
      </c>
      <c r="T11" s="138">
        <f>SUM(E$5:E11)</f>
        <v>1.7000000000000005E-2</v>
      </c>
      <c r="U11" s="36">
        <f>SUM(F$5:F11)</f>
        <v>1.7000000000000001E-2</v>
      </c>
      <c r="V11" s="143">
        <f>SUM(G$5:G11)</f>
        <v>0.02</v>
      </c>
      <c r="W11" s="136">
        <f>SUM(H$5:H11)</f>
        <v>0.30000000000000004</v>
      </c>
      <c r="X11" s="136">
        <f>SUM(I$5:I11)</f>
        <v>3.0000000000000002E-2</v>
      </c>
      <c r="Y11" s="58">
        <f>SUM(J$5:J11)</f>
        <v>1.4E-2</v>
      </c>
      <c r="Z11" s="144">
        <f>SUM(K$5:K11)+40</f>
        <v>46</v>
      </c>
      <c r="AA11" s="145">
        <f>SUM(L$5:L11)+60</f>
        <v>64</v>
      </c>
      <c r="AB11" s="146">
        <f>SUM(M$5:M11)+80</f>
        <v>82</v>
      </c>
      <c r="AC11" s="147">
        <f>SUM(N$5:N11)</f>
        <v>2.5000000000000001E-2</v>
      </c>
      <c r="AD11" s="148">
        <f>SUM(O$5:O11)</f>
        <v>0</v>
      </c>
      <c r="AE11" s="138">
        <f>SUM(P$5:P11)</f>
        <v>0</v>
      </c>
      <c r="AF11" s="138">
        <f>SUM(Q$5:Q11)</f>
        <v>5.0000000000000001E-3</v>
      </c>
      <c r="AG11" s="149">
        <f>SUM(R$5:R11)</f>
        <v>5.0000000000000001E-3</v>
      </c>
    </row>
    <row r="12" spans="2:33">
      <c r="B12" s="20">
        <v>8</v>
      </c>
      <c r="C12" s="77">
        <v>25</v>
      </c>
      <c r="D12" s="135">
        <v>1E-3</v>
      </c>
      <c r="E12" s="136">
        <v>1E-3</v>
      </c>
      <c r="F12" s="57">
        <v>1E-3</v>
      </c>
      <c r="G12" s="137"/>
      <c r="H12" s="138"/>
      <c r="I12" s="138">
        <v>5.0000000000000001E-3</v>
      </c>
      <c r="J12" s="41"/>
      <c r="K12" s="139"/>
      <c r="L12" s="140"/>
      <c r="M12" s="66"/>
      <c r="N12" s="48">
        <v>0.05</v>
      </c>
      <c r="O12" s="141"/>
      <c r="P12" s="136">
        <v>5.0000000000000001E-3</v>
      </c>
      <c r="Q12" s="136"/>
      <c r="R12" s="91"/>
      <c r="S12" s="142">
        <f>SUM(D$5:D12)</f>
        <v>1.8000000000000006E-2</v>
      </c>
      <c r="T12" s="138">
        <f>SUM(E$5:E12)</f>
        <v>1.8000000000000006E-2</v>
      </c>
      <c r="U12" s="36">
        <f>SUM(F$5:F12)</f>
        <v>1.8000000000000002E-2</v>
      </c>
      <c r="V12" s="143">
        <f>SUM(G$5:G12)</f>
        <v>0.02</v>
      </c>
      <c r="W12" s="136">
        <f>SUM(H$5:H12)</f>
        <v>0.30000000000000004</v>
      </c>
      <c r="X12" s="136">
        <f>SUM(I$5:I12)</f>
        <v>3.5000000000000003E-2</v>
      </c>
      <c r="Y12" s="58">
        <f>SUM(J$5:J12)</f>
        <v>1.4E-2</v>
      </c>
      <c r="Z12" s="144">
        <f>SUM(K$5:K12)+40</f>
        <v>46</v>
      </c>
      <c r="AA12" s="145">
        <f>SUM(L$5:L12)+60</f>
        <v>64</v>
      </c>
      <c r="AB12" s="146">
        <f>SUM(M$5:M12)+80</f>
        <v>82</v>
      </c>
      <c r="AC12" s="147">
        <f>SUM(N$5:N12)</f>
        <v>7.5000000000000011E-2</v>
      </c>
      <c r="AD12" s="148">
        <f>SUM(O$5:O12)</f>
        <v>0</v>
      </c>
      <c r="AE12" s="138">
        <f>SUM(P$5:P12)</f>
        <v>5.0000000000000001E-3</v>
      </c>
      <c r="AF12" s="138">
        <f>SUM(Q$5:Q12)</f>
        <v>5.0000000000000001E-3</v>
      </c>
      <c r="AG12" s="149">
        <f>SUM(R$5:R12)</f>
        <v>5.0000000000000001E-3</v>
      </c>
    </row>
    <row r="13" spans="2:33">
      <c r="B13" s="20">
        <v>9</v>
      </c>
      <c r="C13" s="77">
        <v>30</v>
      </c>
      <c r="D13" s="135">
        <v>1E-3</v>
      </c>
      <c r="E13" s="136">
        <v>1E-3</v>
      </c>
      <c r="F13" s="57">
        <v>1E-3</v>
      </c>
      <c r="G13" s="137">
        <v>5.0000000000000001E-3</v>
      </c>
      <c r="H13" s="138"/>
      <c r="I13" s="138"/>
      <c r="J13" s="41">
        <v>0.01</v>
      </c>
      <c r="K13" s="139"/>
      <c r="L13" s="140"/>
      <c r="M13" s="66"/>
      <c r="N13" s="48"/>
      <c r="O13" s="141">
        <v>5.0000000000000001E-3</v>
      </c>
      <c r="P13" s="136"/>
      <c r="Q13" s="136"/>
      <c r="R13" s="91"/>
      <c r="S13" s="142">
        <f>SUM(D$5:D13)</f>
        <v>1.9000000000000006E-2</v>
      </c>
      <c r="T13" s="138">
        <f>SUM(E$5:E13)</f>
        <v>1.9000000000000006E-2</v>
      </c>
      <c r="U13" s="36">
        <f>SUM(F$5:F13)</f>
        <v>1.9000000000000003E-2</v>
      </c>
      <c r="V13" s="143">
        <f>SUM(G$5:G13)</f>
        <v>2.5000000000000001E-2</v>
      </c>
      <c r="W13" s="136">
        <f>SUM(H$5:H13)</f>
        <v>0.30000000000000004</v>
      </c>
      <c r="X13" s="136">
        <f>SUM(I$5:I13)</f>
        <v>3.5000000000000003E-2</v>
      </c>
      <c r="Y13" s="58">
        <f>SUM(J$5:J13)</f>
        <v>2.4E-2</v>
      </c>
      <c r="Z13" s="144">
        <f>SUM(K$5:K13)+40</f>
        <v>46</v>
      </c>
      <c r="AA13" s="145">
        <f>SUM(L$5:L13)+60</f>
        <v>64</v>
      </c>
      <c r="AB13" s="146">
        <f>SUM(M$5:M13)+80</f>
        <v>82</v>
      </c>
      <c r="AC13" s="147">
        <f>SUM(N$5:N13)</f>
        <v>7.5000000000000011E-2</v>
      </c>
      <c r="AD13" s="148">
        <f>SUM(O$5:O13)</f>
        <v>5.0000000000000001E-3</v>
      </c>
      <c r="AE13" s="138">
        <f>SUM(P$5:P13)</f>
        <v>5.0000000000000001E-3</v>
      </c>
      <c r="AF13" s="138">
        <f>SUM(Q$5:Q13)</f>
        <v>5.0000000000000001E-3</v>
      </c>
      <c r="AG13" s="149">
        <f>SUM(R$5:R13)</f>
        <v>5.0000000000000001E-3</v>
      </c>
    </row>
    <row r="14" spans="2:33">
      <c r="B14" s="20">
        <v>10</v>
      </c>
      <c r="C14" s="77">
        <v>35</v>
      </c>
      <c r="D14" s="135">
        <v>1E-3</v>
      </c>
      <c r="E14" s="136">
        <v>1E-3</v>
      </c>
      <c r="F14" s="57">
        <v>1E-3</v>
      </c>
      <c r="G14" s="137"/>
      <c r="H14" s="138">
        <v>0.05</v>
      </c>
      <c r="I14" s="138"/>
      <c r="J14" s="41">
        <v>2E-3</v>
      </c>
      <c r="K14" s="139">
        <v>6</v>
      </c>
      <c r="L14" s="140">
        <v>4</v>
      </c>
      <c r="M14" s="66">
        <v>2</v>
      </c>
      <c r="N14" s="48"/>
      <c r="O14" s="141"/>
      <c r="P14" s="136"/>
      <c r="Q14" s="136"/>
      <c r="R14" s="91"/>
      <c r="S14" s="142">
        <f>SUM(D$5:D14)</f>
        <v>2.0000000000000007E-2</v>
      </c>
      <c r="T14" s="138">
        <f>SUM(E$5:E14)</f>
        <v>2.0000000000000007E-2</v>
      </c>
      <c r="U14" s="36">
        <f>SUM(F$5:F14)</f>
        <v>2.0000000000000004E-2</v>
      </c>
      <c r="V14" s="143">
        <f>SUM(G$5:G14)</f>
        <v>2.5000000000000001E-2</v>
      </c>
      <c r="W14" s="136">
        <f>SUM(H$5:H14)</f>
        <v>0.35000000000000003</v>
      </c>
      <c r="X14" s="136">
        <f>SUM(I$5:I14)</f>
        <v>3.5000000000000003E-2</v>
      </c>
      <c r="Y14" s="58">
        <f>SUM(J$5:J14)</f>
        <v>2.6000000000000002E-2</v>
      </c>
      <c r="Z14" s="144">
        <f>SUM(K$5:K14)+40</f>
        <v>52</v>
      </c>
      <c r="AA14" s="145">
        <f>SUM(L$5:L14)+60</f>
        <v>68</v>
      </c>
      <c r="AB14" s="146">
        <f>SUM(M$5:M14)+80</f>
        <v>84</v>
      </c>
      <c r="AC14" s="147">
        <f>SUM(N$5:N14)</f>
        <v>7.5000000000000011E-2</v>
      </c>
      <c r="AD14" s="148">
        <f>SUM(O$5:O14)</f>
        <v>5.0000000000000001E-3</v>
      </c>
      <c r="AE14" s="138">
        <f>SUM(P$5:P14)</f>
        <v>5.0000000000000001E-3</v>
      </c>
      <c r="AF14" s="138">
        <f>SUM(Q$5:Q14)</f>
        <v>5.0000000000000001E-3</v>
      </c>
      <c r="AG14" s="149">
        <f>SUM(R$5:R14)</f>
        <v>5.0000000000000001E-3</v>
      </c>
    </row>
    <row r="15" spans="2:33">
      <c r="B15" s="20">
        <v>11</v>
      </c>
      <c r="C15" s="77">
        <v>40</v>
      </c>
      <c r="D15" s="135">
        <v>1.0999999999999999E-2</v>
      </c>
      <c r="E15" s="136">
        <v>1E-3</v>
      </c>
      <c r="F15" s="57">
        <v>1E-3</v>
      </c>
      <c r="G15" s="137">
        <v>5.0000000000000001E-3</v>
      </c>
      <c r="H15" s="138"/>
      <c r="I15" s="138">
        <v>5.0000000000000001E-3</v>
      </c>
      <c r="J15" s="41"/>
      <c r="K15" s="139"/>
      <c r="L15" s="140"/>
      <c r="M15" s="66"/>
      <c r="N15" s="48"/>
      <c r="O15" s="141"/>
      <c r="P15" s="136"/>
      <c r="Q15" s="136"/>
      <c r="R15" s="91"/>
      <c r="S15" s="142">
        <f>SUM(D$5:D15)</f>
        <v>3.1000000000000007E-2</v>
      </c>
      <c r="T15" s="138">
        <f>SUM(E$5:E15)</f>
        <v>2.1000000000000008E-2</v>
      </c>
      <c r="U15" s="36">
        <f>SUM(F$5:F15)</f>
        <v>2.1000000000000005E-2</v>
      </c>
      <c r="V15" s="143">
        <f>SUM(G$5:G15)</f>
        <v>3.0000000000000002E-2</v>
      </c>
      <c r="W15" s="136">
        <f>SUM(H$5:H15)</f>
        <v>0.35000000000000003</v>
      </c>
      <c r="X15" s="136">
        <f>SUM(I$5:I15)</f>
        <v>0.04</v>
      </c>
      <c r="Y15" s="58">
        <f>SUM(J$5:J15)</f>
        <v>2.6000000000000002E-2</v>
      </c>
      <c r="Z15" s="144">
        <f>SUM(K$5:K15)+40</f>
        <v>52</v>
      </c>
      <c r="AA15" s="145">
        <f>SUM(L$5:L15)+60</f>
        <v>68</v>
      </c>
      <c r="AB15" s="146">
        <f>SUM(M$5:M15)+80</f>
        <v>84</v>
      </c>
      <c r="AC15" s="147">
        <f>SUM(N$5:N15)</f>
        <v>7.5000000000000011E-2</v>
      </c>
      <c r="AD15" s="148">
        <f>SUM(O$5:O15)</f>
        <v>5.0000000000000001E-3</v>
      </c>
      <c r="AE15" s="138">
        <f>SUM(P$5:P15)</f>
        <v>5.0000000000000001E-3</v>
      </c>
      <c r="AF15" s="138">
        <f>SUM(Q$5:Q15)</f>
        <v>5.0000000000000001E-3</v>
      </c>
      <c r="AG15" s="149">
        <f>SUM(R$5:R15)</f>
        <v>5.0000000000000001E-3</v>
      </c>
    </row>
    <row r="16" spans="2:33">
      <c r="B16" s="20">
        <v>12</v>
      </c>
      <c r="C16" s="77">
        <v>50</v>
      </c>
      <c r="D16" s="135">
        <v>1E-3</v>
      </c>
      <c r="E16" s="136">
        <v>1.0999999999999999E-2</v>
      </c>
      <c r="F16" s="57">
        <v>1E-3</v>
      </c>
      <c r="G16" s="137"/>
      <c r="H16" s="138">
        <v>0.05</v>
      </c>
      <c r="I16" s="138"/>
      <c r="J16" s="41"/>
      <c r="K16" s="139">
        <v>6</v>
      </c>
      <c r="L16" s="140"/>
      <c r="M16" s="66"/>
      <c r="N16" s="48"/>
      <c r="O16" s="141"/>
      <c r="P16" s="136"/>
      <c r="Q16" s="136"/>
      <c r="R16" s="91"/>
      <c r="S16" s="142">
        <f>SUM(D$5:D16)</f>
        <v>3.2000000000000008E-2</v>
      </c>
      <c r="T16" s="138">
        <f>SUM(E$5:E16)</f>
        <v>3.2000000000000008E-2</v>
      </c>
      <c r="U16" s="36">
        <f>SUM(F$5:F16)</f>
        <v>2.2000000000000006E-2</v>
      </c>
      <c r="V16" s="143">
        <f>SUM(G$5:G16)</f>
        <v>3.0000000000000002E-2</v>
      </c>
      <c r="W16" s="136">
        <f>SUM(H$5:H16)</f>
        <v>0.4</v>
      </c>
      <c r="X16" s="136">
        <f>SUM(I$5:I16)</f>
        <v>0.04</v>
      </c>
      <c r="Y16" s="58">
        <f>SUM(J$5:J16)</f>
        <v>2.6000000000000002E-2</v>
      </c>
      <c r="Z16" s="144">
        <f>SUM(K$5:K16)+40</f>
        <v>58</v>
      </c>
      <c r="AA16" s="145">
        <f>SUM(L$5:L16)+60</f>
        <v>68</v>
      </c>
      <c r="AB16" s="146">
        <f>SUM(M$5:M16)+80</f>
        <v>84</v>
      </c>
      <c r="AC16" s="147">
        <f>SUM(N$5:N16)</f>
        <v>7.5000000000000011E-2</v>
      </c>
      <c r="AD16" s="148">
        <f>SUM(O$5:O16)</f>
        <v>5.0000000000000001E-3</v>
      </c>
      <c r="AE16" s="138">
        <f>SUM(P$5:P16)</f>
        <v>5.0000000000000001E-3</v>
      </c>
      <c r="AF16" s="138">
        <f>SUM(Q$5:Q16)</f>
        <v>5.0000000000000001E-3</v>
      </c>
      <c r="AG16" s="149">
        <f>SUM(R$5:R16)</f>
        <v>5.0000000000000001E-3</v>
      </c>
    </row>
    <row r="17" spans="2:33">
      <c r="B17" s="20">
        <v>13</v>
      </c>
      <c r="C17" s="77">
        <v>60</v>
      </c>
      <c r="D17" s="135">
        <v>1E-3</v>
      </c>
      <c r="E17" s="136">
        <v>1E-3</v>
      </c>
      <c r="F17" s="57">
        <v>1.0999999999999999E-2</v>
      </c>
      <c r="G17" s="137"/>
      <c r="H17" s="138"/>
      <c r="I17" s="138"/>
      <c r="J17" s="41">
        <v>2E-3</v>
      </c>
      <c r="K17" s="139"/>
      <c r="L17" s="140"/>
      <c r="M17" s="66"/>
      <c r="N17" s="48">
        <v>2.5000000000000001E-2</v>
      </c>
      <c r="O17" s="141"/>
      <c r="P17" s="136"/>
      <c r="Q17" s="136"/>
      <c r="R17" s="91"/>
      <c r="S17" s="142">
        <f>SUM(D$5:D17)</f>
        <v>3.3000000000000008E-2</v>
      </c>
      <c r="T17" s="138">
        <f>SUM(E$5:E17)</f>
        <v>3.3000000000000008E-2</v>
      </c>
      <c r="U17" s="36">
        <f>SUM(F$5:F17)</f>
        <v>3.3000000000000002E-2</v>
      </c>
      <c r="V17" s="143">
        <f>SUM(G$5:G17)</f>
        <v>3.0000000000000002E-2</v>
      </c>
      <c r="W17" s="136">
        <f>SUM(H$5:H17)</f>
        <v>0.4</v>
      </c>
      <c r="X17" s="136">
        <f>SUM(I$5:I17)</f>
        <v>0.04</v>
      </c>
      <c r="Y17" s="58">
        <f>SUM(J$5:J17)</f>
        <v>2.8000000000000004E-2</v>
      </c>
      <c r="Z17" s="144">
        <f>SUM(K$5:K17)+40</f>
        <v>58</v>
      </c>
      <c r="AA17" s="145">
        <f>SUM(L$5:L17)+60</f>
        <v>68</v>
      </c>
      <c r="AB17" s="146">
        <f>SUM(M$5:M17)+80</f>
        <v>84</v>
      </c>
      <c r="AC17" s="147">
        <f>SUM(N$5:N17)</f>
        <v>0.1</v>
      </c>
      <c r="AD17" s="148">
        <f>SUM(O$5:O17)</f>
        <v>5.0000000000000001E-3</v>
      </c>
      <c r="AE17" s="138">
        <f>SUM(P$5:P17)</f>
        <v>5.0000000000000001E-3</v>
      </c>
      <c r="AF17" s="138">
        <f>SUM(Q$5:Q17)</f>
        <v>5.0000000000000001E-3</v>
      </c>
      <c r="AG17" s="149">
        <f>SUM(R$5:R17)</f>
        <v>5.0000000000000001E-3</v>
      </c>
    </row>
    <row r="18" spans="2:33">
      <c r="B18" s="20">
        <v>14</v>
      </c>
      <c r="C18" s="77">
        <v>70</v>
      </c>
      <c r="D18" s="135">
        <v>1E-3</v>
      </c>
      <c r="E18" s="136">
        <v>1E-3</v>
      </c>
      <c r="F18" s="57">
        <v>1E-3</v>
      </c>
      <c r="G18" s="137"/>
      <c r="H18" s="138"/>
      <c r="I18" s="138"/>
      <c r="J18" s="41">
        <v>0.01</v>
      </c>
      <c r="K18" s="139"/>
      <c r="L18" s="140">
        <v>4</v>
      </c>
      <c r="M18" s="66"/>
      <c r="N18" s="48"/>
      <c r="O18" s="141"/>
      <c r="P18" s="136"/>
      <c r="Q18" s="136"/>
      <c r="R18" s="91">
        <v>5.0000000000000001E-3</v>
      </c>
      <c r="S18" s="142">
        <f>SUM(D$5:D18)</f>
        <v>3.4000000000000009E-2</v>
      </c>
      <c r="T18" s="138">
        <f>SUM(E$5:E18)</f>
        <v>3.4000000000000009E-2</v>
      </c>
      <c r="U18" s="36">
        <f>SUM(F$5:F18)</f>
        <v>3.4000000000000002E-2</v>
      </c>
      <c r="V18" s="143">
        <f>SUM(G$5:G18)</f>
        <v>3.0000000000000002E-2</v>
      </c>
      <c r="W18" s="136">
        <f>SUM(H$5:H18)</f>
        <v>0.4</v>
      </c>
      <c r="X18" s="136">
        <f>SUM(I$5:I18)</f>
        <v>0.04</v>
      </c>
      <c r="Y18" s="58">
        <f>SUM(J$5:J18)</f>
        <v>3.8000000000000006E-2</v>
      </c>
      <c r="Z18" s="144">
        <f>SUM(K$5:K18)+40</f>
        <v>58</v>
      </c>
      <c r="AA18" s="145">
        <f>SUM(L$5:L18)+60</f>
        <v>72</v>
      </c>
      <c r="AB18" s="146">
        <f>SUM(M$5:M18)+80</f>
        <v>84</v>
      </c>
      <c r="AC18" s="147">
        <f>SUM(N$5:N18)</f>
        <v>0.1</v>
      </c>
      <c r="AD18" s="148">
        <f>SUM(O$5:O18)</f>
        <v>5.0000000000000001E-3</v>
      </c>
      <c r="AE18" s="138">
        <f>SUM(P$5:P18)</f>
        <v>5.0000000000000001E-3</v>
      </c>
      <c r="AF18" s="138">
        <f>SUM(Q$5:Q18)</f>
        <v>5.0000000000000001E-3</v>
      </c>
      <c r="AG18" s="149">
        <f>SUM(R$5:R18)</f>
        <v>0.01</v>
      </c>
    </row>
    <row r="19" spans="2:33">
      <c r="B19" s="20">
        <v>15</v>
      </c>
      <c r="C19" s="77">
        <v>80</v>
      </c>
      <c r="D19" s="135">
        <v>1E-3</v>
      </c>
      <c r="E19" s="136">
        <v>1E-3</v>
      </c>
      <c r="F19" s="57">
        <v>1E-3</v>
      </c>
      <c r="G19" s="137"/>
      <c r="H19" s="138">
        <v>0.05</v>
      </c>
      <c r="I19" s="138">
        <v>0.02</v>
      </c>
      <c r="J19" s="41">
        <v>2E-3</v>
      </c>
      <c r="K19" s="139"/>
      <c r="L19" s="140"/>
      <c r="M19" s="66"/>
      <c r="N19" s="48"/>
      <c r="O19" s="141"/>
      <c r="P19" s="136"/>
      <c r="Q19" s="136"/>
      <c r="R19" s="91"/>
      <c r="S19" s="142">
        <f>SUM(D$5:D19)</f>
        <v>3.500000000000001E-2</v>
      </c>
      <c r="T19" s="138">
        <f>SUM(E$5:E19)</f>
        <v>3.500000000000001E-2</v>
      </c>
      <c r="U19" s="36">
        <f>SUM(F$5:F19)</f>
        <v>3.5000000000000003E-2</v>
      </c>
      <c r="V19" s="143">
        <f>SUM(G$5:G19)</f>
        <v>3.0000000000000002E-2</v>
      </c>
      <c r="W19" s="136">
        <f>SUM(H$5:H19)</f>
        <v>0.45</v>
      </c>
      <c r="X19" s="136">
        <f>SUM(I$5:I19)</f>
        <v>0.06</v>
      </c>
      <c r="Y19" s="58">
        <f>SUM(J$5:J19)</f>
        <v>4.0000000000000008E-2</v>
      </c>
      <c r="Z19" s="144">
        <f>SUM(K$5:K19)+40</f>
        <v>58</v>
      </c>
      <c r="AA19" s="145">
        <f>SUM(L$5:L19)+60</f>
        <v>72</v>
      </c>
      <c r="AB19" s="146">
        <f>SUM(M$5:M19)+80</f>
        <v>84</v>
      </c>
      <c r="AC19" s="147">
        <f>SUM(N$5:N19)</f>
        <v>0.1</v>
      </c>
      <c r="AD19" s="148">
        <f>SUM(O$5:O19)</f>
        <v>5.0000000000000001E-3</v>
      </c>
      <c r="AE19" s="138">
        <f>SUM(P$5:P19)</f>
        <v>5.0000000000000001E-3</v>
      </c>
      <c r="AF19" s="138">
        <f>SUM(Q$5:Q19)</f>
        <v>5.0000000000000001E-3</v>
      </c>
      <c r="AG19" s="149">
        <f>SUM(R$5:R19)</f>
        <v>0.01</v>
      </c>
    </row>
    <row r="20" spans="2:33">
      <c r="B20" s="20">
        <v>16</v>
      </c>
      <c r="C20" s="77">
        <v>90</v>
      </c>
      <c r="D20" s="135">
        <v>1E-3</v>
      </c>
      <c r="E20" s="136">
        <v>1E-3</v>
      </c>
      <c r="F20" s="57">
        <v>1E-3</v>
      </c>
      <c r="G20" s="137">
        <v>0.01</v>
      </c>
      <c r="H20" s="138"/>
      <c r="I20" s="138">
        <v>5.0000000000000001E-3</v>
      </c>
      <c r="J20" s="41"/>
      <c r="K20" s="139"/>
      <c r="L20" s="140"/>
      <c r="M20" s="66"/>
      <c r="N20" s="48"/>
      <c r="O20" s="141"/>
      <c r="P20" s="136"/>
      <c r="Q20" s="136">
        <v>5.0000000000000001E-3</v>
      </c>
      <c r="R20" s="91"/>
      <c r="S20" s="142">
        <f>SUM(D$5:D20)</f>
        <v>3.6000000000000011E-2</v>
      </c>
      <c r="T20" s="138">
        <f>SUM(E$5:E20)</f>
        <v>3.6000000000000011E-2</v>
      </c>
      <c r="U20" s="36">
        <f>SUM(F$5:F20)</f>
        <v>3.6000000000000004E-2</v>
      </c>
      <c r="V20" s="143">
        <f>SUM(G$5:G20)</f>
        <v>0.04</v>
      </c>
      <c r="W20" s="136">
        <f>SUM(H$5:H20)</f>
        <v>0.45</v>
      </c>
      <c r="X20" s="136">
        <f>SUM(I$5:I20)</f>
        <v>6.5000000000000002E-2</v>
      </c>
      <c r="Y20" s="58">
        <f>SUM(J$5:J20)</f>
        <v>4.0000000000000008E-2</v>
      </c>
      <c r="Z20" s="144">
        <f>SUM(K$5:K20)+40</f>
        <v>58</v>
      </c>
      <c r="AA20" s="145">
        <f>SUM(L$5:L20)+60</f>
        <v>72</v>
      </c>
      <c r="AB20" s="146">
        <f>SUM(M$5:M20)+80</f>
        <v>84</v>
      </c>
      <c r="AC20" s="147">
        <f>SUM(N$5:N20)</f>
        <v>0.1</v>
      </c>
      <c r="AD20" s="148">
        <f>SUM(O$5:O20)</f>
        <v>5.0000000000000001E-3</v>
      </c>
      <c r="AE20" s="138">
        <f>SUM(P$5:P20)</f>
        <v>5.0000000000000001E-3</v>
      </c>
      <c r="AF20" s="138">
        <f>SUM(Q$5:Q20)</f>
        <v>0.01</v>
      </c>
      <c r="AG20" s="149">
        <f>SUM(R$5:R20)</f>
        <v>0.01</v>
      </c>
    </row>
    <row r="21" spans="2:33">
      <c r="B21" s="20">
        <v>17</v>
      </c>
      <c r="C21" s="77">
        <v>100</v>
      </c>
      <c r="D21" s="135">
        <v>1E-3</v>
      </c>
      <c r="E21" s="136">
        <v>1E-3</v>
      </c>
      <c r="F21" s="57">
        <v>1E-3</v>
      </c>
      <c r="G21" s="137">
        <v>5.0000000000000001E-3</v>
      </c>
      <c r="H21" s="138">
        <v>0.2</v>
      </c>
      <c r="I21" s="138"/>
      <c r="J21" s="41"/>
      <c r="K21" s="139"/>
      <c r="L21" s="140"/>
      <c r="M21" s="66">
        <v>2</v>
      </c>
      <c r="N21" s="48"/>
      <c r="O21" s="141"/>
      <c r="P21" s="136"/>
      <c r="Q21" s="136"/>
      <c r="R21" s="91"/>
      <c r="S21" s="142">
        <f>SUM(D$5:D21)</f>
        <v>3.7000000000000012E-2</v>
      </c>
      <c r="T21" s="138">
        <f>SUM(E$5:E21)</f>
        <v>3.7000000000000012E-2</v>
      </c>
      <c r="U21" s="36">
        <f>SUM(F$5:F21)</f>
        <v>3.7000000000000005E-2</v>
      </c>
      <c r="V21" s="143">
        <f>SUM(G$5:G21)</f>
        <v>4.4999999999999998E-2</v>
      </c>
      <c r="W21" s="136">
        <f>SUM(H$5:H21)</f>
        <v>0.65</v>
      </c>
      <c r="X21" s="136">
        <f>SUM(I$5:I21)</f>
        <v>6.5000000000000002E-2</v>
      </c>
      <c r="Y21" s="58">
        <f>SUM(J$5:J21)</f>
        <v>4.0000000000000008E-2</v>
      </c>
      <c r="Z21" s="144">
        <f>SUM(K$5:K21)+40</f>
        <v>58</v>
      </c>
      <c r="AA21" s="145">
        <f>SUM(L$5:L21)+60</f>
        <v>72</v>
      </c>
      <c r="AB21" s="146">
        <f>SUM(M$5:M21)+80</f>
        <v>86</v>
      </c>
      <c r="AC21" s="147">
        <f>SUM(N$5:N21)</f>
        <v>0.1</v>
      </c>
      <c r="AD21" s="148">
        <f>SUM(O$5:O21)</f>
        <v>5.0000000000000001E-3</v>
      </c>
      <c r="AE21" s="138">
        <f>SUM(P$5:P21)</f>
        <v>5.0000000000000001E-3</v>
      </c>
      <c r="AF21" s="138">
        <f>SUM(Q$5:Q21)</f>
        <v>0.01</v>
      </c>
      <c r="AG21" s="149">
        <f>SUM(R$5:R21)</f>
        <v>0.01</v>
      </c>
    </row>
    <row r="22" spans="2:33">
      <c r="B22" s="20">
        <v>18</v>
      </c>
      <c r="C22" s="77">
        <v>120</v>
      </c>
      <c r="D22" s="135">
        <v>1E-3</v>
      </c>
      <c r="E22" s="136">
        <v>1E-3</v>
      </c>
      <c r="F22" s="57">
        <v>1E-3</v>
      </c>
      <c r="G22" s="137"/>
      <c r="H22" s="138"/>
      <c r="I22" s="138">
        <v>5.0000000000000001E-3</v>
      </c>
      <c r="J22" s="41"/>
      <c r="K22" s="139"/>
      <c r="L22" s="140"/>
      <c r="M22" s="66"/>
      <c r="N22" s="48">
        <v>0.05</v>
      </c>
      <c r="O22" s="141"/>
      <c r="P22" s="136">
        <v>5.0000000000000001E-3</v>
      </c>
      <c r="Q22" s="136"/>
      <c r="R22" s="91"/>
      <c r="S22" s="142">
        <f>SUM(D$5:D22)</f>
        <v>3.8000000000000013E-2</v>
      </c>
      <c r="T22" s="138">
        <f>SUM(E$5:E22)</f>
        <v>3.8000000000000013E-2</v>
      </c>
      <c r="U22" s="36">
        <f>SUM(F$5:F22)</f>
        <v>3.8000000000000006E-2</v>
      </c>
      <c r="V22" s="143">
        <f>SUM(G$5:G22)</f>
        <v>4.4999999999999998E-2</v>
      </c>
      <c r="W22" s="136">
        <f>SUM(H$5:H22)</f>
        <v>0.65</v>
      </c>
      <c r="X22" s="136">
        <f>SUM(I$5:I22)</f>
        <v>7.0000000000000007E-2</v>
      </c>
      <c r="Y22" s="58">
        <f>SUM(J$5:J22)</f>
        <v>4.0000000000000008E-2</v>
      </c>
      <c r="Z22" s="144">
        <f>SUM(K$5:K22)+40</f>
        <v>58</v>
      </c>
      <c r="AA22" s="145">
        <f>SUM(L$5:L22)+60</f>
        <v>72</v>
      </c>
      <c r="AB22" s="146">
        <f>SUM(M$5:M22)+80</f>
        <v>86</v>
      </c>
      <c r="AC22" s="147">
        <f>SUM(N$5:N22)</f>
        <v>0.15000000000000002</v>
      </c>
      <c r="AD22" s="148">
        <f>SUM(O$5:O22)</f>
        <v>5.0000000000000001E-3</v>
      </c>
      <c r="AE22" s="138">
        <f>SUM(P$5:P22)</f>
        <v>0.01</v>
      </c>
      <c r="AF22" s="138">
        <f>SUM(Q$5:Q22)</f>
        <v>0.01</v>
      </c>
      <c r="AG22" s="149">
        <f>SUM(R$5:R22)</f>
        <v>0.01</v>
      </c>
    </row>
    <row r="23" spans="2:33">
      <c r="B23" s="20">
        <v>19</v>
      </c>
      <c r="C23" s="77">
        <v>140</v>
      </c>
      <c r="D23" s="135">
        <v>1E-3</v>
      </c>
      <c r="E23" s="136">
        <v>1E-3</v>
      </c>
      <c r="F23" s="57">
        <v>1E-3</v>
      </c>
      <c r="G23" s="137">
        <v>5.0000000000000001E-3</v>
      </c>
      <c r="H23" s="138"/>
      <c r="I23" s="138"/>
      <c r="J23" s="41">
        <v>0.01</v>
      </c>
      <c r="K23" s="139"/>
      <c r="L23" s="140"/>
      <c r="M23" s="66"/>
      <c r="N23" s="48"/>
      <c r="O23" s="141">
        <v>5.0000000000000001E-3</v>
      </c>
      <c r="P23" s="136"/>
      <c r="Q23" s="136"/>
      <c r="R23" s="91"/>
      <c r="S23" s="142">
        <f>SUM(D$5:D23)</f>
        <v>3.9000000000000014E-2</v>
      </c>
      <c r="T23" s="138">
        <f>SUM(E$5:E23)</f>
        <v>3.9000000000000014E-2</v>
      </c>
      <c r="U23" s="36">
        <f>SUM(F$5:F23)</f>
        <v>3.9000000000000007E-2</v>
      </c>
      <c r="V23" s="143">
        <f>SUM(G$5:G23)</f>
        <v>4.9999999999999996E-2</v>
      </c>
      <c r="W23" s="136">
        <f>SUM(H$5:H23)</f>
        <v>0.65</v>
      </c>
      <c r="X23" s="136">
        <f>SUM(I$5:I23)</f>
        <v>7.0000000000000007E-2</v>
      </c>
      <c r="Y23" s="58">
        <f>SUM(J$5:J23)</f>
        <v>5.000000000000001E-2</v>
      </c>
      <c r="Z23" s="144">
        <f>SUM(K$5:K23)+40</f>
        <v>58</v>
      </c>
      <c r="AA23" s="145">
        <f>SUM(L$5:L23)+60</f>
        <v>72</v>
      </c>
      <c r="AB23" s="146">
        <f>SUM(M$5:M23)+80</f>
        <v>86</v>
      </c>
      <c r="AC23" s="147">
        <f>SUM(N$5:N23)</f>
        <v>0.15000000000000002</v>
      </c>
      <c r="AD23" s="148">
        <f>SUM(O$5:O23)</f>
        <v>0.01</v>
      </c>
      <c r="AE23" s="138">
        <f>SUM(P$5:P23)</f>
        <v>0.01</v>
      </c>
      <c r="AF23" s="138">
        <f>SUM(Q$5:Q23)</f>
        <v>0.01</v>
      </c>
      <c r="AG23" s="149">
        <f>SUM(R$5:R23)</f>
        <v>0.01</v>
      </c>
    </row>
    <row r="24" spans="2:33">
      <c r="B24" s="20">
        <v>20</v>
      </c>
      <c r="C24" s="77">
        <v>160</v>
      </c>
      <c r="D24" s="135">
        <v>1E-3</v>
      </c>
      <c r="E24" s="136">
        <v>1E-3</v>
      </c>
      <c r="F24" s="57">
        <v>1E-3</v>
      </c>
      <c r="G24" s="137"/>
      <c r="H24" s="138">
        <v>0.05</v>
      </c>
      <c r="I24" s="138"/>
      <c r="J24" s="41">
        <v>2E-3</v>
      </c>
      <c r="K24" s="139">
        <v>6</v>
      </c>
      <c r="L24" s="140">
        <v>4</v>
      </c>
      <c r="M24" s="66">
        <v>2</v>
      </c>
      <c r="N24" s="48"/>
      <c r="O24" s="141"/>
      <c r="P24" s="136"/>
      <c r="Q24" s="136"/>
      <c r="R24" s="91"/>
      <c r="S24" s="142">
        <f>SUM(D$5:D24)</f>
        <v>4.0000000000000015E-2</v>
      </c>
      <c r="T24" s="138">
        <f>SUM(E$5:E24)</f>
        <v>4.0000000000000015E-2</v>
      </c>
      <c r="U24" s="36">
        <f>SUM(F$5:F24)</f>
        <v>4.0000000000000008E-2</v>
      </c>
      <c r="V24" s="143">
        <f>SUM(G$5:G24)</f>
        <v>4.9999999999999996E-2</v>
      </c>
      <c r="W24" s="136">
        <f>SUM(H$5:H24)</f>
        <v>0.70000000000000007</v>
      </c>
      <c r="X24" s="136">
        <f>SUM(I$5:I24)</f>
        <v>7.0000000000000007E-2</v>
      </c>
      <c r="Y24" s="58">
        <f>SUM(J$5:J24)</f>
        <v>5.2000000000000011E-2</v>
      </c>
      <c r="Z24" s="144">
        <f>SUM(K$5:K24)+40</f>
        <v>64</v>
      </c>
      <c r="AA24" s="145">
        <f>SUM(L$5:L24)+60</f>
        <v>76</v>
      </c>
      <c r="AB24" s="146">
        <f>SUM(M$5:M24)+80</f>
        <v>88</v>
      </c>
      <c r="AC24" s="147">
        <f>SUM(N$5:N24)</f>
        <v>0.15000000000000002</v>
      </c>
      <c r="AD24" s="148">
        <f>SUM(O$5:O24)</f>
        <v>0.01</v>
      </c>
      <c r="AE24" s="138">
        <f>SUM(P$5:P24)</f>
        <v>0.01</v>
      </c>
      <c r="AF24" s="138">
        <f>SUM(Q$5:Q24)</f>
        <v>0.01</v>
      </c>
      <c r="AG24" s="149">
        <f>SUM(R$5:R24)</f>
        <v>0.01</v>
      </c>
    </row>
    <row r="25" spans="2:33">
      <c r="B25" s="20">
        <v>21</v>
      </c>
      <c r="C25" s="77">
        <v>180</v>
      </c>
      <c r="D25" s="135">
        <v>1.0999999999999999E-2</v>
      </c>
      <c r="E25" s="136">
        <v>1E-3</v>
      </c>
      <c r="F25" s="57">
        <v>1E-3</v>
      </c>
      <c r="G25" s="137">
        <v>5.0000000000000001E-3</v>
      </c>
      <c r="H25" s="138"/>
      <c r="I25" s="138">
        <v>5.0000000000000001E-3</v>
      </c>
      <c r="J25" s="41"/>
      <c r="K25" s="139"/>
      <c r="L25" s="140"/>
      <c r="M25" s="66"/>
      <c r="N25" s="48"/>
      <c r="O25" s="141"/>
      <c r="P25" s="136"/>
      <c r="Q25" s="136"/>
      <c r="R25" s="91"/>
      <c r="S25" s="142">
        <f>SUM(D$5:D25)</f>
        <v>5.1000000000000018E-2</v>
      </c>
      <c r="T25" s="138">
        <f>SUM(E$5:E25)</f>
        <v>4.1000000000000016E-2</v>
      </c>
      <c r="U25" s="36">
        <f>SUM(F$5:F25)</f>
        <v>4.1000000000000009E-2</v>
      </c>
      <c r="V25" s="143">
        <f>SUM(G$5:G25)</f>
        <v>5.4999999999999993E-2</v>
      </c>
      <c r="W25" s="136">
        <f>SUM(H$5:H25)</f>
        <v>0.70000000000000007</v>
      </c>
      <c r="X25" s="136">
        <f>SUM(I$5:I25)</f>
        <v>7.5000000000000011E-2</v>
      </c>
      <c r="Y25" s="58">
        <f>SUM(J$5:J25)</f>
        <v>5.2000000000000011E-2</v>
      </c>
      <c r="Z25" s="144">
        <f>SUM(K$5:K25)+40</f>
        <v>64</v>
      </c>
      <c r="AA25" s="145">
        <f>SUM(L$5:L25)+60</f>
        <v>76</v>
      </c>
      <c r="AB25" s="146">
        <f>SUM(M$5:M25)+80</f>
        <v>88</v>
      </c>
      <c r="AC25" s="147">
        <f>SUM(N$5:N25)</f>
        <v>0.15000000000000002</v>
      </c>
      <c r="AD25" s="148">
        <f>SUM(O$5:O25)</f>
        <v>0.01</v>
      </c>
      <c r="AE25" s="138">
        <f>SUM(P$5:P25)</f>
        <v>0.01</v>
      </c>
      <c r="AF25" s="138">
        <f>SUM(Q$5:Q25)</f>
        <v>0.01</v>
      </c>
      <c r="AG25" s="149">
        <f>SUM(R$5:R25)</f>
        <v>0.01</v>
      </c>
    </row>
    <row r="26" spans="2:33">
      <c r="B26" s="20">
        <v>22</v>
      </c>
      <c r="C26" s="77">
        <v>200</v>
      </c>
      <c r="D26" s="135">
        <v>1E-3</v>
      </c>
      <c r="E26" s="136">
        <v>1.0999999999999999E-2</v>
      </c>
      <c r="F26" s="57">
        <v>1E-3</v>
      </c>
      <c r="G26" s="137"/>
      <c r="H26" s="138">
        <v>0.05</v>
      </c>
      <c r="I26" s="138"/>
      <c r="J26" s="41"/>
      <c r="K26" s="139">
        <v>6</v>
      </c>
      <c r="L26" s="140"/>
      <c r="M26" s="66"/>
      <c r="N26" s="48"/>
      <c r="O26" s="141"/>
      <c r="P26" s="136"/>
      <c r="Q26" s="136"/>
      <c r="R26" s="91"/>
      <c r="S26" s="142">
        <f>SUM(D$5:D26)</f>
        <v>5.2000000000000018E-2</v>
      </c>
      <c r="T26" s="138">
        <f>SUM(E$5:E26)</f>
        <v>5.2000000000000018E-2</v>
      </c>
      <c r="U26" s="36">
        <f>SUM(F$5:F26)</f>
        <v>4.200000000000001E-2</v>
      </c>
      <c r="V26" s="143">
        <f>SUM(G$5:G26)</f>
        <v>5.4999999999999993E-2</v>
      </c>
      <c r="W26" s="136">
        <f>SUM(H$5:H26)</f>
        <v>0.75000000000000011</v>
      </c>
      <c r="X26" s="136">
        <f>SUM(I$5:I26)</f>
        <v>7.5000000000000011E-2</v>
      </c>
      <c r="Y26" s="58">
        <f>SUM(J$5:J26)</f>
        <v>5.2000000000000011E-2</v>
      </c>
      <c r="Z26" s="144">
        <f>SUM(K$5:K26)+40</f>
        <v>70</v>
      </c>
      <c r="AA26" s="145">
        <f>SUM(L$5:L26)+60</f>
        <v>76</v>
      </c>
      <c r="AB26" s="146">
        <f>SUM(M$5:M26)+80</f>
        <v>88</v>
      </c>
      <c r="AC26" s="147">
        <f>SUM(N$5:N26)</f>
        <v>0.15000000000000002</v>
      </c>
      <c r="AD26" s="148">
        <f>SUM(O$5:O26)</f>
        <v>0.01</v>
      </c>
      <c r="AE26" s="138">
        <f>SUM(P$5:P26)</f>
        <v>0.01</v>
      </c>
      <c r="AF26" s="138">
        <f>SUM(Q$5:Q26)</f>
        <v>0.01</v>
      </c>
      <c r="AG26" s="149">
        <f>SUM(R$5:R26)</f>
        <v>0.01</v>
      </c>
    </row>
    <row r="27" spans="2:33">
      <c r="B27" s="20"/>
      <c r="C27" s="77"/>
      <c r="D27" s="135"/>
      <c r="E27" s="136"/>
      <c r="F27" s="57"/>
      <c r="G27" s="137"/>
      <c r="H27" s="138"/>
      <c r="I27" s="138"/>
      <c r="J27" s="41"/>
      <c r="K27" s="139"/>
      <c r="L27" s="140"/>
      <c r="M27" s="66"/>
      <c r="N27" s="48"/>
      <c r="O27" s="141"/>
      <c r="P27" s="136"/>
      <c r="Q27" s="136"/>
      <c r="R27" s="91"/>
      <c r="S27" s="142"/>
      <c r="T27" s="138"/>
      <c r="U27" s="36"/>
      <c r="V27" s="143"/>
      <c r="W27" s="136"/>
      <c r="X27" s="136"/>
      <c r="Y27" s="58"/>
      <c r="Z27" s="144"/>
      <c r="AA27" s="145"/>
      <c r="AB27" s="146"/>
      <c r="AC27" s="147"/>
      <c r="AD27" s="148"/>
      <c r="AE27" s="138"/>
      <c r="AF27" s="138"/>
      <c r="AG27" s="149"/>
    </row>
    <row r="28" spans="2:33">
      <c r="B28" s="20"/>
      <c r="C28" s="77"/>
      <c r="D28" s="135"/>
      <c r="E28" s="136"/>
      <c r="F28" s="57"/>
      <c r="G28" s="137"/>
      <c r="H28" s="138"/>
      <c r="I28" s="138"/>
      <c r="J28" s="41"/>
      <c r="K28" s="139"/>
      <c r="L28" s="140"/>
      <c r="M28" s="66"/>
      <c r="N28" s="48"/>
      <c r="O28" s="141"/>
      <c r="P28" s="136"/>
      <c r="Q28" s="136"/>
      <c r="R28" s="91"/>
      <c r="S28" s="142"/>
      <c r="T28" s="138"/>
      <c r="U28" s="36"/>
      <c r="V28" s="143"/>
      <c r="W28" s="136"/>
      <c r="X28" s="136"/>
      <c r="Y28" s="58"/>
      <c r="Z28" s="144"/>
      <c r="AA28" s="145"/>
      <c r="AB28" s="146"/>
      <c r="AC28" s="147"/>
      <c r="AD28" s="148"/>
      <c r="AE28" s="138"/>
      <c r="AF28" s="138"/>
      <c r="AG28" s="149"/>
    </row>
    <row r="29" spans="2:33">
      <c r="B29" s="20"/>
      <c r="C29" s="77"/>
      <c r="D29" s="135"/>
      <c r="E29" s="136"/>
      <c r="F29" s="57"/>
      <c r="G29" s="137"/>
      <c r="H29" s="138"/>
      <c r="I29" s="138"/>
      <c r="J29" s="41"/>
      <c r="K29" s="139"/>
      <c r="L29" s="140"/>
      <c r="M29" s="66"/>
      <c r="N29" s="48"/>
      <c r="O29" s="141"/>
      <c r="P29" s="136"/>
      <c r="Q29" s="136"/>
      <c r="R29" s="91"/>
      <c r="S29" s="142"/>
      <c r="T29" s="138"/>
      <c r="U29" s="36"/>
      <c r="V29" s="143"/>
      <c r="W29" s="136"/>
      <c r="X29" s="136"/>
      <c r="Y29" s="58"/>
      <c r="Z29" s="144"/>
      <c r="AA29" s="145"/>
      <c r="AB29" s="146"/>
      <c r="AC29" s="147"/>
      <c r="AD29" s="148"/>
      <c r="AE29" s="138"/>
      <c r="AF29" s="138"/>
      <c r="AG29" s="149"/>
    </row>
    <row r="30" spans="2:33">
      <c r="B30" s="20"/>
      <c r="C30" s="77"/>
      <c r="D30" s="135"/>
      <c r="E30" s="136"/>
      <c r="F30" s="57"/>
      <c r="G30" s="137"/>
      <c r="H30" s="138"/>
      <c r="I30" s="138"/>
      <c r="J30" s="41"/>
      <c r="K30" s="139"/>
      <c r="L30" s="140"/>
      <c r="M30" s="66"/>
      <c r="N30" s="48"/>
      <c r="O30" s="141"/>
      <c r="P30" s="136"/>
      <c r="Q30" s="136"/>
      <c r="R30" s="91"/>
      <c r="S30" s="142"/>
      <c r="T30" s="138"/>
      <c r="U30" s="36"/>
      <c r="V30" s="143"/>
      <c r="W30" s="136"/>
      <c r="X30" s="136"/>
      <c r="Y30" s="58"/>
      <c r="Z30" s="144"/>
      <c r="AA30" s="145"/>
      <c r="AB30" s="146"/>
      <c r="AC30" s="147"/>
      <c r="AD30" s="148"/>
      <c r="AE30" s="138"/>
      <c r="AF30" s="138"/>
      <c r="AG30" s="149"/>
    </row>
    <row r="31" spans="2:33">
      <c r="B31" s="20"/>
      <c r="C31" s="77"/>
      <c r="D31" s="135"/>
      <c r="E31" s="136"/>
      <c r="F31" s="57"/>
      <c r="G31" s="137"/>
      <c r="H31" s="138"/>
      <c r="I31" s="138"/>
      <c r="J31" s="41"/>
      <c r="K31" s="139"/>
      <c r="L31" s="140"/>
      <c r="M31" s="66"/>
      <c r="N31" s="48"/>
      <c r="O31" s="141"/>
      <c r="P31" s="136"/>
      <c r="Q31" s="136"/>
      <c r="R31" s="91"/>
      <c r="S31" s="142"/>
      <c r="T31" s="138"/>
      <c r="U31" s="36"/>
      <c r="V31" s="143"/>
      <c r="W31" s="136"/>
      <c r="X31" s="136"/>
      <c r="Y31" s="58"/>
      <c r="Z31" s="144"/>
      <c r="AA31" s="145"/>
      <c r="AB31" s="146"/>
      <c r="AC31" s="147"/>
      <c r="AD31" s="148"/>
      <c r="AE31" s="138"/>
      <c r="AF31" s="138"/>
      <c r="AG31" s="149"/>
    </row>
    <row r="32" spans="2:33">
      <c r="B32" s="20"/>
      <c r="C32" s="77"/>
      <c r="D32" s="135"/>
      <c r="E32" s="136"/>
      <c r="F32" s="57"/>
      <c r="G32" s="137"/>
      <c r="H32" s="138"/>
      <c r="I32" s="138"/>
      <c r="J32" s="41"/>
      <c r="K32" s="139"/>
      <c r="L32" s="140"/>
      <c r="M32" s="66"/>
      <c r="N32" s="48"/>
      <c r="O32" s="141"/>
      <c r="P32" s="136"/>
      <c r="Q32" s="136"/>
      <c r="R32" s="91"/>
      <c r="S32" s="142"/>
      <c r="T32" s="138"/>
      <c r="U32" s="36"/>
      <c r="V32" s="143"/>
      <c r="W32" s="136"/>
      <c r="X32" s="136"/>
      <c r="Y32" s="58"/>
      <c r="Z32" s="144"/>
      <c r="AA32" s="145"/>
      <c r="AB32" s="146"/>
      <c r="AC32" s="147"/>
      <c r="AD32" s="148"/>
      <c r="AE32" s="138"/>
      <c r="AF32" s="138"/>
      <c r="AG32" s="149"/>
    </row>
    <row r="33" spans="2:33">
      <c r="B33" s="20"/>
      <c r="C33" s="77"/>
      <c r="D33" s="135"/>
      <c r="E33" s="136"/>
      <c r="F33" s="57"/>
      <c r="G33" s="137"/>
      <c r="H33" s="138"/>
      <c r="I33" s="138"/>
      <c r="J33" s="41"/>
      <c r="K33" s="139"/>
      <c r="L33" s="140"/>
      <c r="M33" s="66"/>
      <c r="N33" s="48"/>
      <c r="O33" s="141"/>
      <c r="P33" s="136"/>
      <c r="Q33" s="136"/>
      <c r="R33" s="91"/>
      <c r="S33" s="142"/>
      <c r="T33" s="138"/>
      <c r="U33" s="36"/>
      <c r="V33" s="143"/>
      <c r="W33" s="136"/>
      <c r="X33" s="136"/>
      <c r="Y33" s="58"/>
      <c r="Z33" s="144"/>
      <c r="AA33" s="145"/>
      <c r="AB33" s="146"/>
      <c r="AC33" s="147"/>
      <c r="AD33" s="148"/>
      <c r="AE33" s="138"/>
      <c r="AF33" s="138"/>
      <c r="AG33" s="149"/>
    </row>
    <row r="34" spans="2:33">
      <c r="B34" s="20"/>
      <c r="C34" s="77"/>
      <c r="D34" s="135"/>
      <c r="E34" s="136"/>
      <c r="F34" s="57"/>
      <c r="G34" s="137"/>
      <c r="H34" s="138"/>
      <c r="I34" s="138"/>
      <c r="J34" s="41"/>
      <c r="K34" s="139"/>
      <c r="L34" s="140"/>
      <c r="M34" s="66"/>
      <c r="N34" s="48"/>
      <c r="O34" s="141"/>
      <c r="P34" s="136"/>
      <c r="Q34" s="136"/>
      <c r="R34" s="91"/>
      <c r="S34" s="142"/>
      <c r="T34" s="138"/>
      <c r="U34" s="36"/>
      <c r="V34" s="143"/>
      <c r="W34" s="136"/>
      <c r="X34" s="136"/>
      <c r="Y34" s="58"/>
      <c r="Z34" s="144"/>
      <c r="AA34" s="145"/>
      <c r="AB34" s="146"/>
      <c r="AC34" s="147"/>
      <c r="AD34" s="148"/>
      <c r="AE34" s="138"/>
      <c r="AF34" s="138"/>
      <c r="AG34" s="149"/>
    </row>
    <row r="35" spans="2:33" ht="17.25" thickBot="1">
      <c r="B35" s="22"/>
      <c r="C35" s="79"/>
      <c r="D35" s="150"/>
      <c r="E35" s="151"/>
      <c r="F35" s="60"/>
      <c r="G35" s="152"/>
      <c r="H35" s="153"/>
      <c r="I35" s="153"/>
      <c r="J35" s="43"/>
      <c r="K35" s="154"/>
      <c r="L35" s="155"/>
      <c r="M35" s="69"/>
      <c r="N35" s="49"/>
      <c r="O35" s="156"/>
      <c r="P35" s="151"/>
      <c r="Q35" s="151"/>
      <c r="R35" s="93"/>
      <c r="S35" s="157"/>
      <c r="T35" s="153"/>
      <c r="U35" s="37"/>
      <c r="V35" s="158"/>
      <c r="W35" s="151"/>
      <c r="X35" s="151"/>
      <c r="Y35" s="61"/>
      <c r="Z35" s="159"/>
      <c r="AA35" s="160"/>
      <c r="AB35" s="161"/>
      <c r="AC35" s="162"/>
      <c r="AD35" s="163"/>
      <c r="AE35" s="153"/>
      <c r="AF35" s="153"/>
      <c r="AG35" s="164"/>
    </row>
  </sheetData>
  <mergeCells count="4">
    <mergeCell ref="B2:B3"/>
    <mergeCell ref="C2:C3"/>
    <mergeCell ref="D2:R2"/>
    <mergeCell ref="S2:AG2"/>
  </mergeCells>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M126"/>
  <sheetViews>
    <sheetView topLeftCell="A71" workbookViewId="0">
      <selection activeCell="M80" sqref="M80"/>
    </sheetView>
  </sheetViews>
  <sheetFormatPr defaultColWidth="7.125" defaultRowHeight="16.5"/>
  <cols>
    <col min="1" max="2" width="7.125" style="1076"/>
    <col min="3" max="4" width="5.875" style="1076" customWidth="1"/>
    <col min="5" max="5" width="7.125" style="1076" customWidth="1"/>
    <col min="6" max="7" width="5.875" style="1076" customWidth="1"/>
    <col min="8" max="13" width="7.875" style="194" customWidth="1"/>
    <col min="14" max="17" width="7.125" style="1076"/>
    <col min="18" max="18" width="8.875" style="1076" bestFit="1" customWidth="1"/>
    <col min="19" max="16384" width="7.125" style="1076"/>
  </cols>
  <sheetData>
    <row r="1" spans="2:13" ht="17.25" thickBot="1"/>
    <row r="2" spans="2:13">
      <c r="B2" s="197" t="s">
        <v>877</v>
      </c>
      <c r="C2" s="198" t="s">
        <v>878</v>
      </c>
      <c r="D2" s="198" t="s">
        <v>264</v>
      </c>
      <c r="E2" s="198" t="s">
        <v>2366</v>
      </c>
      <c r="F2" s="198" t="s">
        <v>19</v>
      </c>
      <c r="G2" s="198" t="s">
        <v>1163</v>
      </c>
      <c r="H2" s="199" t="s">
        <v>879</v>
      </c>
      <c r="I2" s="195" t="s">
        <v>880</v>
      </c>
      <c r="J2" s="195" t="s">
        <v>881</v>
      </c>
      <c r="K2" s="195" t="s">
        <v>882</v>
      </c>
      <c r="L2" s="195" t="s">
        <v>883</v>
      </c>
      <c r="M2" s="196" t="s">
        <v>884</v>
      </c>
    </row>
    <row r="3" spans="2:13">
      <c r="B3" s="1085" t="s">
        <v>1993</v>
      </c>
      <c r="C3" s="1084" t="s">
        <v>67</v>
      </c>
      <c r="D3" s="391" t="s">
        <v>873</v>
      </c>
      <c r="E3" s="391" t="s">
        <v>126</v>
      </c>
      <c r="F3" s="391" t="s">
        <v>70</v>
      </c>
      <c r="G3" s="1083" t="s">
        <v>1164</v>
      </c>
      <c r="H3" s="383">
        <v>1258.0630546080695</v>
      </c>
      <c r="I3" s="384">
        <v>1096.8564496680444</v>
      </c>
      <c r="J3" s="384">
        <v>943.31407188531898</v>
      </c>
      <c r="K3" s="384">
        <v>806.49635873833381</v>
      </c>
      <c r="L3" s="384">
        <v>770.58042457348427</v>
      </c>
      <c r="M3" s="385">
        <v>667.91922303241813</v>
      </c>
    </row>
    <row r="4" spans="2:13">
      <c r="B4" s="1085" t="s">
        <v>1972</v>
      </c>
      <c r="C4" s="1084" t="s">
        <v>124</v>
      </c>
      <c r="D4" s="1083" t="s">
        <v>873</v>
      </c>
      <c r="E4" s="1083" t="s">
        <v>126</v>
      </c>
      <c r="F4" s="1083" t="s">
        <v>23</v>
      </c>
      <c r="G4" s="1083" t="s">
        <v>942</v>
      </c>
      <c r="H4" s="383">
        <v>1237.303886083866</v>
      </c>
      <c r="I4" s="384">
        <v>1044.5294192349588</v>
      </c>
      <c r="J4" s="384">
        <v>972.03901836635885</v>
      </c>
      <c r="K4" s="384">
        <v>835.50863931729509</v>
      </c>
      <c r="L4" s="384">
        <v>734.74318680099498</v>
      </c>
      <c r="M4" s="385">
        <v>667.51354434965197</v>
      </c>
    </row>
    <row r="5" spans="2:13">
      <c r="B5" s="1085" t="s">
        <v>2048</v>
      </c>
      <c r="C5" s="1084" t="s">
        <v>124</v>
      </c>
      <c r="D5" s="1083" t="s">
        <v>873</v>
      </c>
      <c r="E5" s="1083" t="s">
        <v>126</v>
      </c>
      <c r="F5" s="1083" t="s">
        <v>70</v>
      </c>
      <c r="G5" s="1083" t="s">
        <v>942</v>
      </c>
      <c r="H5" s="1086">
        <v>1232.9705202471428</v>
      </c>
      <c r="I5" s="1081">
        <v>1071.2560911181629</v>
      </c>
      <c r="J5" s="1081">
        <v>933.16067606992283</v>
      </c>
      <c r="K5" s="1081">
        <v>794.67240754066279</v>
      </c>
      <c r="L5" s="1081">
        <v>761.65152670174291</v>
      </c>
      <c r="M5" s="1082">
        <v>666.160489949983</v>
      </c>
    </row>
    <row r="6" spans="2:13">
      <c r="B6" s="1085" t="s">
        <v>1994</v>
      </c>
      <c r="C6" s="1084" t="s">
        <v>22</v>
      </c>
      <c r="D6" s="1083" t="s">
        <v>873</v>
      </c>
      <c r="E6" s="1083" t="s">
        <v>126</v>
      </c>
      <c r="F6" s="1083" t="s">
        <v>23</v>
      </c>
      <c r="G6" s="1083" t="s">
        <v>942</v>
      </c>
      <c r="H6" s="1086">
        <v>1226.3273712003768</v>
      </c>
      <c r="I6" s="1081">
        <v>1030.3388987917303</v>
      </c>
      <c r="J6" s="1081">
        <v>958.41616551973004</v>
      </c>
      <c r="K6" s="1081">
        <v>818.66136272422636</v>
      </c>
      <c r="L6" s="1081">
        <v>719.30025429322632</v>
      </c>
      <c r="M6" s="1082">
        <v>652.88393498208347</v>
      </c>
    </row>
    <row r="7" spans="2:13">
      <c r="B7" s="1085" t="s">
        <v>1978</v>
      </c>
      <c r="C7" s="1084" t="s">
        <v>22</v>
      </c>
      <c r="D7" s="1083" t="s">
        <v>873</v>
      </c>
      <c r="E7" s="1083" t="s">
        <v>126</v>
      </c>
      <c r="F7" s="1083" t="s">
        <v>23</v>
      </c>
      <c r="G7" s="1083" t="s">
        <v>942</v>
      </c>
      <c r="H7" s="1086">
        <v>1200.6951306582857</v>
      </c>
      <c r="I7" s="1081">
        <v>1010.0022998797715</v>
      </c>
      <c r="J7" s="1081">
        <v>940.0234242637714</v>
      </c>
      <c r="K7" s="1081">
        <v>803.80998974297142</v>
      </c>
      <c r="L7" s="1081">
        <v>707.1343166749715</v>
      </c>
      <c r="M7" s="1082">
        <v>642.54340367725706</v>
      </c>
    </row>
    <row r="8" spans="2:13">
      <c r="B8" s="1085" t="s">
        <v>1983</v>
      </c>
      <c r="C8" s="1084" t="s">
        <v>66</v>
      </c>
      <c r="D8" s="1083" t="s">
        <v>873</v>
      </c>
      <c r="E8" s="1083" t="s">
        <v>126</v>
      </c>
      <c r="F8" s="1083" t="s">
        <v>23</v>
      </c>
      <c r="G8" s="1083" t="s">
        <v>1164</v>
      </c>
      <c r="H8" s="1086">
        <v>1196.3424520868571</v>
      </c>
      <c r="I8" s="1081">
        <v>1005.6496213083429</v>
      </c>
      <c r="J8" s="1081">
        <v>935.67074569234285</v>
      </c>
      <c r="K8" s="1081">
        <v>799.45731117154287</v>
      </c>
      <c r="L8" s="1081">
        <v>702.78163810354295</v>
      </c>
      <c r="M8" s="1082">
        <v>638.19072510582851</v>
      </c>
    </row>
    <row r="9" spans="2:13">
      <c r="B9" s="1085" t="s">
        <v>2587</v>
      </c>
      <c r="C9" s="1084" t="s">
        <v>69</v>
      </c>
      <c r="D9" s="1083" t="s">
        <v>873</v>
      </c>
      <c r="E9" s="1083" t="s">
        <v>126</v>
      </c>
      <c r="F9" s="1083" t="s">
        <v>23</v>
      </c>
      <c r="G9" s="1083" t="s">
        <v>942</v>
      </c>
      <c r="H9" s="1086">
        <v>1194.2559520868572</v>
      </c>
      <c r="I9" s="1081">
        <v>1003.7035855940571</v>
      </c>
      <c r="J9" s="1081">
        <v>933.72470997805715</v>
      </c>
      <c r="K9" s="1081">
        <v>797.51127545725706</v>
      </c>
      <c r="L9" s="1081">
        <v>700.83560238925725</v>
      </c>
      <c r="M9" s="1082">
        <v>636.38515367725711</v>
      </c>
    </row>
    <row r="10" spans="2:13">
      <c r="B10" s="1085" t="s">
        <v>1990</v>
      </c>
      <c r="C10" s="1084" t="s">
        <v>67</v>
      </c>
      <c r="D10" s="1083" t="s">
        <v>873</v>
      </c>
      <c r="E10" s="1083" t="s">
        <v>126</v>
      </c>
      <c r="F10" s="1083" t="s">
        <v>23</v>
      </c>
      <c r="G10" s="1083" t="s">
        <v>1164</v>
      </c>
      <c r="H10" s="1086">
        <v>1191.4467018703031</v>
      </c>
      <c r="I10" s="1081">
        <v>1001.0141265401277</v>
      </c>
      <c r="J10" s="1081">
        <v>931.42402245532799</v>
      </c>
      <c r="K10" s="1081">
        <v>795.90321818889595</v>
      </c>
      <c r="L10" s="1081">
        <v>699.76463219349614</v>
      </c>
      <c r="M10" s="1082">
        <v>635.49666117275319</v>
      </c>
    </row>
    <row r="11" spans="2:13">
      <c r="B11" s="1085" t="s">
        <v>2260</v>
      </c>
      <c r="C11" s="1084" t="s">
        <v>66</v>
      </c>
      <c r="D11" s="1083" t="s">
        <v>873</v>
      </c>
      <c r="E11" s="1083" t="s">
        <v>126</v>
      </c>
      <c r="F11" s="1083" t="s">
        <v>23</v>
      </c>
      <c r="G11" s="1083" t="s">
        <v>942</v>
      </c>
      <c r="H11" s="1086">
        <v>1179.8035562682171</v>
      </c>
      <c r="I11" s="1081">
        <v>991.42317507663086</v>
      </c>
      <c r="J11" s="1081">
        <v>922.61061405423084</v>
      </c>
      <c r="K11" s="1081">
        <v>788.50312194415903</v>
      </c>
      <c r="L11" s="1081">
        <v>693.438710093959</v>
      </c>
      <c r="M11" s="1082">
        <v>629.92197124144457</v>
      </c>
    </row>
    <row r="12" spans="2:13">
      <c r="B12" s="1085" t="s">
        <v>4626</v>
      </c>
      <c r="C12" s="1084" t="s">
        <v>69</v>
      </c>
      <c r="D12" s="1083" t="s">
        <v>873</v>
      </c>
      <c r="E12" s="1083" t="s">
        <v>65</v>
      </c>
      <c r="F12" s="1083" t="s">
        <v>23</v>
      </c>
      <c r="G12" s="1083" t="s">
        <v>942</v>
      </c>
      <c r="H12" s="1086">
        <v>1156.4997114137796</v>
      </c>
      <c r="I12" s="1081">
        <v>967.76423626864141</v>
      </c>
      <c r="J12" s="1081">
        <v>900.37551626224149</v>
      </c>
      <c r="K12" s="1081">
        <v>765.91027840921743</v>
      </c>
      <c r="L12" s="1081">
        <v>673.24269268681746</v>
      </c>
      <c r="M12" s="1082">
        <v>611.32383791950315</v>
      </c>
    </row>
    <row r="13" spans="2:13">
      <c r="B13" s="1085" t="s">
        <v>4823</v>
      </c>
      <c r="C13" s="1084" t="s">
        <v>69</v>
      </c>
      <c r="D13" s="1083" t="s">
        <v>873</v>
      </c>
      <c r="E13" s="1083" t="s">
        <v>4130</v>
      </c>
      <c r="F13" s="1083" t="s">
        <v>70</v>
      </c>
      <c r="G13" s="1083" t="s">
        <v>942</v>
      </c>
      <c r="H13" s="1086">
        <v>1117.8877084274372</v>
      </c>
      <c r="I13" s="1081">
        <v>1036.3935503569171</v>
      </c>
      <c r="J13" s="1081">
        <v>995.84565025199731</v>
      </c>
      <c r="K13" s="1081">
        <v>955.29775014707718</v>
      </c>
      <c r="L13" s="1081">
        <v>830.43457288064963</v>
      </c>
      <c r="M13" s="1082">
        <v>793.22450040665967</v>
      </c>
    </row>
    <row r="14" spans="2:13">
      <c r="B14" s="1085" t="s">
        <v>1976</v>
      </c>
      <c r="C14" s="1084" t="s">
        <v>69</v>
      </c>
      <c r="D14" s="1083" t="s">
        <v>873</v>
      </c>
      <c r="E14" s="1083" t="s">
        <v>126</v>
      </c>
      <c r="F14" s="1083" t="s">
        <v>23</v>
      </c>
      <c r="G14" s="1083" t="s">
        <v>1164</v>
      </c>
      <c r="H14" s="1086">
        <v>1104.8745781022496</v>
      </c>
      <c r="I14" s="1081">
        <v>940.7653968481842</v>
      </c>
      <c r="J14" s="1081">
        <v>877.65074088018434</v>
      </c>
      <c r="K14" s="1081">
        <v>761.02632668797651</v>
      </c>
      <c r="L14" s="1081">
        <v>672.8041741239764</v>
      </c>
      <c r="M14" s="1082">
        <v>613.67336110511928</v>
      </c>
    </row>
    <row r="15" spans="2:13">
      <c r="B15" s="1085" t="s">
        <v>1973</v>
      </c>
      <c r="C15" s="1084" t="s">
        <v>66</v>
      </c>
      <c r="D15" s="1083" t="s">
        <v>873</v>
      </c>
      <c r="E15" s="1083" t="s">
        <v>126</v>
      </c>
      <c r="F15" s="1083" t="s">
        <v>70</v>
      </c>
      <c r="G15" s="1083" t="s">
        <v>942</v>
      </c>
      <c r="H15" s="1086">
        <v>1073.4748013201829</v>
      </c>
      <c r="I15" s="1081">
        <v>934.19447705390451</v>
      </c>
      <c r="J15" s="1081">
        <v>817.43340059174488</v>
      </c>
      <c r="K15" s="1081">
        <v>698.19124388994703</v>
      </c>
      <c r="L15" s="1081">
        <v>669.87304489566702</v>
      </c>
      <c r="M15" s="1082">
        <v>589.03684674282692</v>
      </c>
    </row>
    <row r="16" spans="2:13">
      <c r="B16" s="1085" t="s">
        <v>2620</v>
      </c>
      <c r="C16" s="1084" t="s">
        <v>123</v>
      </c>
      <c r="D16" s="1083" t="s">
        <v>873</v>
      </c>
      <c r="E16" s="1083" t="s">
        <v>4130</v>
      </c>
      <c r="F16" s="1083" t="s">
        <v>70</v>
      </c>
      <c r="G16" s="1083" t="s">
        <v>942</v>
      </c>
      <c r="H16" s="1086">
        <v>1068.7928087409189</v>
      </c>
      <c r="I16" s="1081">
        <v>991.18474388503898</v>
      </c>
      <c r="J16" s="1081">
        <v>952.67574038635883</v>
      </c>
      <c r="K16" s="1081">
        <v>914.16673688767889</v>
      </c>
      <c r="L16" s="1081">
        <v>795.09777076757473</v>
      </c>
      <c r="M16" s="1082">
        <v>759.69909242111464</v>
      </c>
    </row>
    <row r="17" spans="2:13">
      <c r="B17" s="1085" t="s">
        <v>1986</v>
      </c>
      <c r="C17" s="1084" t="s">
        <v>67</v>
      </c>
      <c r="D17" s="1083" t="s">
        <v>873</v>
      </c>
      <c r="E17" s="1083" t="s">
        <v>126</v>
      </c>
      <c r="F17" s="1083" t="s">
        <v>23</v>
      </c>
      <c r="G17" s="1083" t="s">
        <v>942</v>
      </c>
      <c r="H17" s="1086">
        <v>1058.4773039523773</v>
      </c>
      <c r="I17" s="1081">
        <v>890.70802220395888</v>
      </c>
      <c r="J17" s="1081">
        <v>830.05966333675883</v>
      </c>
      <c r="K17" s="1081">
        <v>710.7830419584551</v>
      </c>
      <c r="L17" s="1081">
        <v>626.997458632855</v>
      </c>
      <c r="M17" s="1082">
        <v>570.99993879674071</v>
      </c>
    </row>
    <row r="18" spans="2:13">
      <c r="B18" s="1085" t="s">
        <v>4319</v>
      </c>
      <c r="C18" s="1084" t="s">
        <v>67</v>
      </c>
      <c r="D18" s="1083" t="s">
        <v>873</v>
      </c>
      <c r="E18" s="1083" t="s">
        <v>125</v>
      </c>
      <c r="F18" s="1083" t="s">
        <v>70</v>
      </c>
      <c r="G18" s="1083" t="s">
        <v>942</v>
      </c>
      <c r="H18" s="1086">
        <v>1013.6143202221917</v>
      </c>
      <c r="I18" s="1081">
        <v>865.90833475247393</v>
      </c>
      <c r="J18" s="1081">
        <v>754.82502768415964</v>
      </c>
      <c r="K18" s="1081">
        <v>630.59237702218456</v>
      </c>
      <c r="L18" s="1081">
        <v>604.08803268465601</v>
      </c>
      <c r="M18" s="1082">
        <v>528.69339850207018</v>
      </c>
    </row>
    <row r="19" spans="2:13">
      <c r="B19" s="1085" t="s">
        <v>2579</v>
      </c>
      <c r="C19" s="1084" t="s">
        <v>69</v>
      </c>
      <c r="D19" s="1083" t="s">
        <v>873</v>
      </c>
      <c r="E19" s="1083" t="s">
        <v>65</v>
      </c>
      <c r="F19" s="1083" t="s">
        <v>23</v>
      </c>
      <c r="G19" s="1083" t="s">
        <v>1164</v>
      </c>
      <c r="H19" s="1086">
        <v>1004.8137913212902</v>
      </c>
      <c r="I19" s="1081">
        <v>836.46312562370338</v>
      </c>
      <c r="J19" s="1081">
        <v>779.04094555910342</v>
      </c>
      <c r="K19" s="1081">
        <v>658.85544441575951</v>
      </c>
      <c r="L19" s="1081">
        <v>580.50804220865939</v>
      </c>
      <c r="M19" s="1082">
        <v>528.10086038011661</v>
      </c>
    </row>
    <row r="20" spans="2:13">
      <c r="B20" s="1085" t="s">
        <v>2364</v>
      </c>
      <c r="C20" s="1084" t="s">
        <v>124</v>
      </c>
      <c r="D20" s="1083" t="s">
        <v>873</v>
      </c>
      <c r="E20" s="1083" t="s">
        <v>65</v>
      </c>
      <c r="F20" s="1083" t="s">
        <v>23</v>
      </c>
      <c r="G20" s="1083" t="s">
        <v>1164</v>
      </c>
      <c r="H20" s="1086">
        <v>989.89896916273722</v>
      </c>
      <c r="I20" s="1081">
        <v>824.10308585650273</v>
      </c>
      <c r="J20" s="1081">
        <v>767.57979591910282</v>
      </c>
      <c r="K20" s="1081">
        <v>648.76146313738286</v>
      </c>
      <c r="L20" s="1081">
        <v>571.70096915548288</v>
      </c>
      <c r="M20" s="1082">
        <v>520.18684221516855</v>
      </c>
    </row>
    <row r="21" spans="2:13">
      <c r="B21" s="1085" t="s">
        <v>2638</v>
      </c>
      <c r="C21" s="1084" t="s">
        <v>22</v>
      </c>
      <c r="D21" s="1083" t="s">
        <v>873</v>
      </c>
      <c r="E21" s="1083" t="s">
        <v>65</v>
      </c>
      <c r="F21" s="1083" t="s">
        <v>23</v>
      </c>
      <c r="G21" s="1083" t="s">
        <v>1164</v>
      </c>
      <c r="H21" s="1086">
        <v>973.0169719990173</v>
      </c>
      <c r="I21" s="1081">
        <v>807.85611321746273</v>
      </c>
      <c r="J21" s="1081">
        <v>752.41548462866274</v>
      </c>
      <c r="K21" s="1081">
        <v>633.78195571502283</v>
      </c>
      <c r="L21" s="1081">
        <v>558.46830768722282</v>
      </c>
      <c r="M21" s="1082">
        <v>508.1187447163087</v>
      </c>
    </row>
    <row r="22" spans="2:13">
      <c r="B22" s="1085" t="s">
        <v>1645</v>
      </c>
      <c r="C22" s="1084" t="s">
        <v>22</v>
      </c>
      <c r="D22" s="1083" t="s">
        <v>873</v>
      </c>
      <c r="E22" s="1083" t="s">
        <v>65</v>
      </c>
      <c r="F22" s="1083" t="s">
        <v>70</v>
      </c>
      <c r="G22" s="1083" t="s">
        <v>4781</v>
      </c>
      <c r="H22" s="1086">
        <v>967.07256681301158</v>
      </c>
      <c r="I22" s="1081">
        <v>768.23401360814603</v>
      </c>
      <c r="J22" s="1081">
        <v>673.37642803526603</v>
      </c>
      <c r="K22" s="1081">
        <v>510.54442973056052</v>
      </c>
      <c r="L22" s="1081">
        <v>490.08239837560046</v>
      </c>
      <c r="M22" s="1082">
        <v>431.91889322572052</v>
      </c>
    </row>
    <row r="23" spans="2:13">
      <c r="B23" s="1085" t="s">
        <v>2756</v>
      </c>
      <c r="C23" s="1084" t="s">
        <v>67</v>
      </c>
      <c r="D23" s="1083" t="s">
        <v>873</v>
      </c>
      <c r="E23" s="1083" t="s">
        <v>65</v>
      </c>
      <c r="F23" s="1083" t="s">
        <v>23</v>
      </c>
      <c r="G23" s="1083" t="s">
        <v>942</v>
      </c>
      <c r="H23" s="1086">
        <v>939.29365533325472</v>
      </c>
      <c r="I23" s="1081">
        <v>775.35290933960664</v>
      </c>
      <c r="J23" s="1081">
        <v>721.85542929320673</v>
      </c>
      <c r="K23" s="1081">
        <v>603.96640406655877</v>
      </c>
      <c r="L23" s="1081">
        <v>531.75175974915885</v>
      </c>
      <c r="M23" s="1082">
        <v>483.60866353755881</v>
      </c>
    </row>
    <row r="24" spans="2:13">
      <c r="B24" s="1085" t="s">
        <v>1849</v>
      </c>
      <c r="C24" s="1084" t="s">
        <v>22</v>
      </c>
      <c r="D24" s="1083" t="s">
        <v>873</v>
      </c>
      <c r="E24" s="1083" t="s">
        <v>65</v>
      </c>
      <c r="F24" s="1083" t="s">
        <v>70</v>
      </c>
      <c r="G24" s="1083" t="s">
        <v>942</v>
      </c>
      <c r="H24" s="1086">
        <v>898.72732791058297</v>
      </c>
      <c r="I24" s="1081">
        <v>766.73342088742277</v>
      </c>
      <c r="J24" s="1081">
        <v>670.08553620862267</v>
      </c>
      <c r="K24" s="1081">
        <v>558.39463738366271</v>
      </c>
      <c r="L24" s="1081">
        <v>535.39628839186287</v>
      </c>
      <c r="M24" s="1082">
        <v>470.06591834146275</v>
      </c>
    </row>
    <row r="25" spans="2:13">
      <c r="B25" s="1085" t="s">
        <v>2818</v>
      </c>
      <c r="C25" s="1084" t="s">
        <v>66</v>
      </c>
      <c r="D25" s="1083" t="s">
        <v>873</v>
      </c>
      <c r="E25" s="1083" t="s">
        <v>125</v>
      </c>
      <c r="F25" s="1083" t="s">
        <v>14</v>
      </c>
      <c r="G25" s="1083" t="s">
        <v>942</v>
      </c>
      <c r="H25" s="1086">
        <v>894.13986674709395</v>
      </c>
      <c r="I25" s="1081">
        <v>738.68805462968214</v>
      </c>
      <c r="J25" s="1081">
        <v>688.09412811902223</v>
      </c>
      <c r="K25" s="1081">
        <v>574.49149270750513</v>
      </c>
      <c r="L25" s="1081">
        <v>509.19532187644523</v>
      </c>
      <c r="M25" s="1082">
        <v>464.0620842316909</v>
      </c>
    </row>
    <row r="26" spans="2:13">
      <c r="B26" s="1085" t="s">
        <v>4316</v>
      </c>
      <c r="C26" s="1084" t="s">
        <v>69</v>
      </c>
      <c r="D26" s="1083" t="s">
        <v>873</v>
      </c>
      <c r="E26" s="1083" t="s">
        <v>65</v>
      </c>
      <c r="F26" s="1083" t="s">
        <v>23</v>
      </c>
      <c r="G26" s="1083" t="s">
        <v>942</v>
      </c>
      <c r="H26" s="1086">
        <v>893.77788191539412</v>
      </c>
      <c r="I26" s="1081">
        <v>739.37995821855986</v>
      </c>
      <c r="J26" s="1081">
        <v>689.05345691295986</v>
      </c>
      <c r="K26" s="1081">
        <v>577.58878728184004</v>
      </c>
      <c r="L26" s="1081">
        <v>509.65455209224007</v>
      </c>
      <c r="M26" s="1082">
        <v>464.22459768012573</v>
      </c>
    </row>
    <row r="27" spans="2:13">
      <c r="B27" s="1085" t="s">
        <v>2220</v>
      </c>
      <c r="C27" s="1084" t="s">
        <v>123</v>
      </c>
      <c r="D27" s="1083" t="s">
        <v>873</v>
      </c>
      <c r="E27" s="1083" t="s">
        <v>65</v>
      </c>
      <c r="F27" s="1083" t="s">
        <v>23</v>
      </c>
      <c r="G27" s="1083" t="s">
        <v>942</v>
      </c>
      <c r="H27" s="1086">
        <v>889.57623056548334</v>
      </c>
      <c r="I27" s="1081">
        <v>735.65652953492111</v>
      </c>
      <c r="J27" s="1081">
        <v>685.6368971397211</v>
      </c>
      <c r="K27" s="1081">
        <v>574.78336465527309</v>
      </c>
      <c r="L27" s="1081">
        <v>507.26336260707313</v>
      </c>
      <c r="M27" s="1082">
        <v>462.10956362255888</v>
      </c>
    </row>
    <row r="28" spans="2:13">
      <c r="B28" s="1085" t="s">
        <v>121</v>
      </c>
      <c r="C28" s="1084" t="s">
        <v>67</v>
      </c>
      <c r="D28" s="1083" t="s">
        <v>873</v>
      </c>
      <c r="E28" s="1083" t="s">
        <v>65</v>
      </c>
      <c r="F28" s="1083" t="s">
        <v>23</v>
      </c>
      <c r="G28" s="1083" t="s">
        <v>942</v>
      </c>
      <c r="H28" s="1086">
        <v>871.47405924036582</v>
      </c>
      <c r="I28" s="1081">
        <v>721.31345107190293</v>
      </c>
      <c r="J28" s="1081">
        <v>672.41559207230284</v>
      </c>
      <c r="K28" s="1081">
        <v>563.9715469389829</v>
      </c>
      <c r="L28" s="1081">
        <v>497.94992408738284</v>
      </c>
      <c r="M28" s="1082">
        <v>453.75992849583997</v>
      </c>
    </row>
    <row r="29" spans="2:13">
      <c r="B29" s="1085" t="s">
        <v>849</v>
      </c>
      <c r="C29" s="1084" t="s">
        <v>22</v>
      </c>
      <c r="D29" s="1083" t="s">
        <v>873</v>
      </c>
      <c r="E29" s="1083" t="s">
        <v>65</v>
      </c>
      <c r="F29" s="1083" t="s">
        <v>23</v>
      </c>
      <c r="G29" s="1083" t="s">
        <v>942</v>
      </c>
      <c r="H29" s="1086">
        <v>864.46106755908568</v>
      </c>
      <c r="I29" s="1081">
        <v>715.39855282394285</v>
      </c>
      <c r="J29" s="1081">
        <v>667.01324999834299</v>
      </c>
      <c r="K29" s="1081">
        <v>559.57010541554291</v>
      </c>
      <c r="L29" s="1081">
        <v>494.24053311794279</v>
      </c>
      <c r="M29" s="1082">
        <v>450.51190456239999</v>
      </c>
    </row>
    <row r="30" spans="2:13">
      <c r="B30" s="1085" t="s">
        <v>4182</v>
      </c>
      <c r="C30" s="1084" t="s">
        <v>66</v>
      </c>
      <c r="D30" s="1083" t="s">
        <v>873</v>
      </c>
      <c r="E30" s="1083" t="s">
        <v>65</v>
      </c>
      <c r="F30" s="1083" t="s">
        <v>23</v>
      </c>
      <c r="G30" s="1083" t="s">
        <v>1164</v>
      </c>
      <c r="H30" s="1086">
        <v>855.73713187377723</v>
      </c>
      <c r="I30" s="1081">
        <v>708.42980790978277</v>
      </c>
      <c r="J30" s="1081">
        <v>660.55825788738275</v>
      </c>
      <c r="K30" s="1081">
        <v>554.09673482910284</v>
      </c>
      <c r="L30" s="1081">
        <v>489.4763647707029</v>
      </c>
      <c r="M30" s="1082">
        <v>446.25565377938858</v>
      </c>
    </row>
    <row r="31" spans="2:13">
      <c r="B31" s="1085" t="s">
        <v>1294</v>
      </c>
      <c r="C31" s="1084" t="s">
        <v>66</v>
      </c>
      <c r="D31" s="1083" t="s">
        <v>873</v>
      </c>
      <c r="E31" s="1083" t="s">
        <v>65</v>
      </c>
      <c r="F31" s="1083" t="s">
        <v>70</v>
      </c>
      <c r="G31" s="1083" t="s">
        <v>942</v>
      </c>
      <c r="H31" s="1086">
        <v>854.11960991382921</v>
      </c>
      <c r="I31" s="1081">
        <v>728.47732044956376</v>
      </c>
      <c r="J31" s="1081">
        <v>637.6462724717635</v>
      </c>
      <c r="K31" s="1081">
        <v>531.84159551805806</v>
      </c>
      <c r="L31" s="1081">
        <v>510.30817550475808</v>
      </c>
      <c r="M31" s="1082">
        <v>448.93050437985806</v>
      </c>
    </row>
    <row r="32" spans="2:13">
      <c r="B32" s="1085" t="s">
        <v>118</v>
      </c>
      <c r="C32" s="1084" t="s">
        <v>124</v>
      </c>
      <c r="D32" s="1083" t="s">
        <v>873</v>
      </c>
      <c r="E32" s="1083" t="s">
        <v>65</v>
      </c>
      <c r="F32" s="1083" t="s">
        <v>23</v>
      </c>
      <c r="G32" s="1083" t="s">
        <v>942</v>
      </c>
      <c r="H32" s="1086">
        <v>844.76490881558607</v>
      </c>
      <c r="I32" s="1081">
        <v>699.60534517988117</v>
      </c>
      <c r="J32" s="1081">
        <v>652.66025207588109</v>
      </c>
      <c r="K32" s="1081">
        <v>548.50033093923309</v>
      </c>
      <c r="L32" s="1081">
        <v>485.07000862023312</v>
      </c>
      <c r="M32" s="1082">
        <v>442.46708243137601</v>
      </c>
    </row>
    <row r="33" spans="2:13">
      <c r="B33" s="1085" t="s">
        <v>2387</v>
      </c>
      <c r="C33" s="1084" t="s">
        <v>67</v>
      </c>
      <c r="D33" s="1083" t="s">
        <v>873</v>
      </c>
      <c r="E33" s="1083" t="s">
        <v>65</v>
      </c>
      <c r="F33" s="1083" t="s">
        <v>70</v>
      </c>
      <c r="G33" s="1083" t="s">
        <v>1164</v>
      </c>
      <c r="H33" s="1086">
        <v>820.67377926322308</v>
      </c>
      <c r="I33" s="1081">
        <v>674.6435310558727</v>
      </c>
      <c r="J33" s="1081">
        <v>627.67332203455305</v>
      </c>
      <c r="K33" s="1081">
        <v>522.49240482760297</v>
      </c>
      <c r="L33" s="1081">
        <v>459.09965666548288</v>
      </c>
      <c r="M33" s="1082">
        <v>416.83782455740288</v>
      </c>
    </row>
    <row r="34" spans="2:13">
      <c r="B34" s="1085" t="s">
        <v>850</v>
      </c>
      <c r="C34" s="1084" t="s">
        <v>66</v>
      </c>
      <c r="D34" s="1083" t="s">
        <v>873</v>
      </c>
      <c r="E34" s="1083" t="s">
        <v>65</v>
      </c>
      <c r="F34" s="1083" t="s">
        <v>23</v>
      </c>
      <c r="G34" s="1083" t="s">
        <v>942</v>
      </c>
      <c r="H34" s="1086">
        <v>817.3819255797988</v>
      </c>
      <c r="I34" s="1081">
        <v>676.75332258483195</v>
      </c>
      <c r="J34" s="1081">
        <v>631.43901348243196</v>
      </c>
      <c r="K34" s="1081">
        <v>530.19206187600798</v>
      </c>
      <c r="L34" s="1081">
        <v>469.02363466260795</v>
      </c>
      <c r="M34" s="1082">
        <v>428.06910282986519</v>
      </c>
    </row>
    <row r="35" spans="2:13">
      <c r="B35" s="1085" t="s">
        <v>851</v>
      </c>
      <c r="C35" s="1084" t="s">
        <v>123</v>
      </c>
      <c r="D35" s="1083" t="s">
        <v>873</v>
      </c>
      <c r="E35" s="1083" t="s">
        <v>65</v>
      </c>
      <c r="F35" s="1083" t="s">
        <v>23</v>
      </c>
      <c r="G35" s="1083" t="s">
        <v>1164</v>
      </c>
      <c r="H35" s="1086">
        <v>817.35851486551314</v>
      </c>
      <c r="I35" s="1081">
        <v>676.76502794197484</v>
      </c>
      <c r="J35" s="1081">
        <v>631.45071883957473</v>
      </c>
      <c r="K35" s="1081">
        <v>530.20376723315087</v>
      </c>
      <c r="L35" s="1081">
        <v>469.03534001975078</v>
      </c>
      <c r="M35" s="1082">
        <v>428.11592425843662</v>
      </c>
    </row>
    <row r="36" spans="2:13">
      <c r="B36" s="1085" t="s">
        <v>107</v>
      </c>
      <c r="C36" s="1084" t="s">
        <v>67</v>
      </c>
      <c r="D36" s="1083" t="s">
        <v>873</v>
      </c>
      <c r="E36" s="1083" t="s">
        <v>65</v>
      </c>
      <c r="F36" s="1083" t="s">
        <v>23</v>
      </c>
      <c r="G36" s="1083" t="s">
        <v>1164</v>
      </c>
      <c r="H36" s="1086">
        <v>814.95937114636422</v>
      </c>
      <c r="I36" s="1081">
        <v>677.33005738003499</v>
      </c>
      <c r="J36" s="1081">
        <v>632.41822933843491</v>
      </c>
      <c r="K36" s="1081">
        <v>533.79045322476304</v>
      </c>
      <c r="L36" s="1081">
        <v>472.90325603316302</v>
      </c>
      <c r="M36" s="1082">
        <v>431.99574659590598</v>
      </c>
    </row>
    <row r="37" spans="2:13">
      <c r="B37" s="1085" t="s">
        <v>4100</v>
      </c>
      <c r="C37" s="1084" t="s">
        <v>22</v>
      </c>
      <c r="D37" s="1083" t="s">
        <v>873</v>
      </c>
      <c r="E37" s="1083" t="s">
        <v>65</v>
      </c>
      <c r="F37" s="1083" t="s">
        <v>23</v>
      </c>
      <c r="G37" s="1083" t="s">
        <v>1164</v>
      </c>
      <c r="H37" s="1086">
        <v>803.11152578097699</v>
      </c>
      <c r="I37" s="1081">
        <v>671.06926143789701</v>
      </c>
      <c r="J37" s="1081">
        <v>626.73574508349702</v>
      </c>
      <c r="K37" s="1081">
        <v>527.58083992041725</v>
      </c>
      <c r="L37" s="1081">
        <v>467.34611588001718</v>
      </c>
      <c r="M37" s="1082">
        <v>428.48930545641713</v>
      </c>
    </row>
    <row r="38" spans="2:13">
      <c r="B38" s="1085" t="s">
        <v>110</v>
      </c>
      <c r="C38" s="1084" t="s">
        <v>66</v>
      </c>
      <c r="D38" s="1083" t="s">
        <v>873</v>
      </c>
      <c r="E38" s="1083" t="s">
        <v>65</v>
      </c>
      <c r="F38" s="1083" t="s">
        <v>23</v>
      </c>
      <c r="G38" s="1083" t="s">
        <v>942</v>
      </c>
      <c r="H38" s="1086">
        <v>773.66139379794299</v>
      </c>
      <c r="I38" s="1081">
        <v>644.41873661651425</v>
      </c>
      <c r="J38" s="1081">
        <v>602.22621149891438</v>
      </c>
      <c r="K38" s="1081">
        <v>508.9357555831142</v>
      </c>
      <c r="L38" s="1081">
        <v>451.74359424251429</v>
      </c>
      <c r="M38" s="1082">
        <v>413.3345581106858</v>
      </c>
    </row>
    <row r="39" spans="2:13">
      <c r="B39" s="1085" t="s">
        <v>4467</v>
      </c>
      <c r="C39" s="1084" t="s">
        <v>67</v>
      </c>
      <c r="D39" s="1083" t="s">
        <v>873</v>
      </c>
      <c r="E39" s="1083" t="s">
        <v>125</v>
      </c>
      <c r="F39" s="1083" t="s">
        <v>23</v>
      </c>
      <c r="G39" s="1083" t="s">
        <v>942</v>
      </c>
      <c r="H39" s="1086">
        <v>768.93412040288217</v>
      </c>
      <c r="I39" s="1081">
        <v>653.23507922779311</v>
      </c>
      <c r="J39" s="1081">
        <v>609.53661842179315</v>
      </c>
      <c r="K39" s="1081">
        <v>527.69493892736114</v>
      </c>
      <c r="L39" s="1081">
        <v>466.80545927636115</v>
      </c>
      <c r="M39" s="1082">
        <v>425.89642819950393</v>
      </c>
    </row>
    <row r="40" spans="2:13">
      <c r="B40" s="1085" t="s">
        <v>119</v>
      </c>
      <c r="C40" s="1084" t="s">
        <v>124</v>
      </c>
      <c r="D40" s="1083" t="s">
        <v>873</v>
      </c>
      <c r="E40" s="1083" t="s">
        <v>65</v>
      </c>
      <c r="F40" s="1083" t="s">
        <v>70</v>
      </c>
      <c r="G40" s="1083" t="s">
        <v>1164</v>
      </c>
      <c r="H40" s="1086">
        <v>758.05427825801144</v>
      </c>
      <c r="I40" s="1081">
        <v>624.96964346503285</v>
      </c>
      <c r="J40" s="1081">
        <v>582.39618916945301</v>
      </c>
      <c r="K40" s="1081">
        <v>486.16990753576283</v>
      </c>
      <c r="L40" s="1081">
        <v>428.71118374498286</v>
      </c>
      <c r="M40" s="1082">
        <v>390.12443931303437</v>
      </c>
    </row>
    <row r="41" spans="2:13">
      <c r="B41" s="1085" t="s">
        <v>4907</v>
      </c>
      <c r="C41" s="1084" t="s">
        <v>66</v>
      </c>
      <c r="D41" s="1083" t="s">
        <v>873</v>
      </c>
      <c r="E41" s="1083" t="s">
        <v>125</v>
      </c>
      <c r="F41" s="1083" t="s">
        <v>23</v>
      </c>
      <c r="G41" s="1083" t="s">
        <v>942</v>
      </c>
      <c r="H41" s="1086">
        <v>736.0589435712867</v>
      </c>
      <c r="I41" s="1081">
        <v>604.63224675962169</v>
      </c>
      <c r="J41" s="1081">
        <v>564.58970975762179</v>
      </c>
      <c r="K41" s="1081">
        <v>469.44543233961372</v>
      </c>
      <c r="L41" s="1081">
        <v>416.06180934561371</v>
      </c>
      <c r="M41" s="1082">
        <v>380.15668270675661</v>
      </c>
    </row>
    <row r="42" spans="2:13">
      <c r="B42" s="1085" t="s">
        <v>4564</v>
      </c>
      <c r="C42" s="1084" t="s">
        <v>67</v>
      </c>
      <c r="D42" s="1083" t="s">
        <v>873</v>
      </c>
      <c r="E42" s="1083" t="s">
        <v>65</v>
      </c>
      <c r="F42" s="1083" t="s">
        <v>23</v>
      </c>
      <c r="G42" s="1083" t="s">
        <v>942</v>
      </c>
      <c r="H42" s="1086">
        <v>734.06118461805727</v>
      </c>
      <c r="I42" s="1081">
        <v>609.79191114354285</v>
      </c>
      <c r="J42" s="1081">
        <v>569.8989527915428</v>
      </c>
      <c r="K42" s="1081">
        <v>479.69125745274283</v>
      </c>
      <c r="L42" s="1081">
        <v>425.84094907074285</v>
      </c>
      <c r="M42" s="1082">
        <v>389.8002791970286</v>
      </c>
    </row>
    <row r="43" spans="2:13">
      <c r="B43" s="1085" t="s">
        <v>105</v>
      </c>
      <c r="C43" s="1084" t="s">
        <v>123</v>
      </c>
      <c r="D43" s="1083" t="s">
        <v>873</v>
      </c>
      <c r="E43" s="1083" t="s">
        <v>65</v>
      </c>
      <c r="F43" s="1083" t="s">
        <v>23</v>
      </c>
      <c r="G43" s="1083" t="s">
        <v>1164</v>
      </c>
      <c r="H43" s="1086">
        <v>732.45980612862297</v>
      </c>
      <c r="I43" s="1081">
        <v>608.46965306294862</v>
      </c>
      <c r="J43" s="1081">
        <v>568.78198309814854</v>
      </c>
      <c r="K43" s="1081">
        <v>479.38770310598863</v>
      </c>
      <c r="L43" s="1081">
        <v>425.75318685638854</v>
      </c>
      <c r="M43" s="1082">
        <v>389.85637840427438</v>
      </c>
    </row>
    <row r="44" spans="2:13">
      <c r="B44" s="1085" t="s">
        <v>120</v>
      </c>
      <c r="C44" s="1084" t="s">
        <v>69</v>
      </c>
      <c r="D44" s="1083" t="s">
        <v>873</v>
      </c>
      <c r="E44" s="1083" t="s">
        <v>125</v>
      </c>
      <c r="F44" s="1083" t="s">
        <v>23</v>
      </c>
      <c r="G44" s="1083" t="s">
        <v>1164</v>
      </c>
      <c r="H44" s="1086">
        <v>732.45729888587437</v>
      </c>
      <c r="I44" s="1081">
        <v>608.16955578169143</v>
      </c>
      <c r="J44" s="1081">
        <v>568.58346634009126</v>
      </c>
      <c r="K44" s="1081">
        <v>478.97544178105153</v>
      </c>
      <c r="L44" s="1081">
        <v>425.5393665404514</v>
      </c>
      <c r="M44" s="1082">
        <v>389.73973602290863</v>
      </c>
    </row>
    <row r="45" spans="2:13">
      <c r="B45" s="1085" t="s">
        <v>4855</v>
      </c>
      <c r="C45" s="1084" t="s">
        <v>124</v>
      </c>
      <c r="D45" s="1083" t="s">
        <v>873</v>
      </c>
      <c r="E45" s="1083" t="s">
        <v>125</v>
      </c>
      <c r="F45" s="1083" t="s">
        <v>23</v>
      </c>
      <c r="G45" s="1083" t="s">
        <v>942</v>
      </c>
      <c r="H45" s="1086">
        <v>719.97619983305299</v>
      </c>
      <c r="I45" s="1081">
        <v>618.33459240985906</v>
      </c>
      <c r="J45" s="1081">
        <v>576.60943224745915</v>
      </c>
      <c r="K45" s="1081">
        <v>504.9780079785798</v>
      </c>
      <c r="L45" s="1081">
        <v>446.07442312417976</v>
      </c>
      <c r="M45" s="1082">
        <v>406.66490226886549</v>
      </c>
    </row>
    <row r="46" spans="2:13">
      <c r="B46" s="1085" t="s">
        <v>1295</v>
      </c>
      <c r="C46" s="1084" t="s">
        <v>123</v>
      </c>
      <c r="D46" s="1083" t="s">
        <v>873</v>
      </c>
      <c r="E46" s="1083" t="s">
        <v>125</v>
      </c>
      <c r="F46" s="1083" t="s">
        <v>23</v>
      </c>
      <c r="G46" s="1083" t="s">
        <v>1164</v>
      </c>
      <c r="H46" s="1086">
        <v>705.30064955728574</v>
      </c>
      <c r="I46" s="1081">
        <v>580.02047304172731</v>
      </c>
      <c r="J46" s="1081">
        <v>541.82845661812735</v>
      </c>
      <c r="K46" s="1081">
        <v>450.77309840498344</v>
      </c>
      <c r="L46" s="1081">
        <v>399.84276470918348</v>
      </c>
      <c r="M46" s="1082">
        <v>365.74874462626912</v>
      </c>
    </row>
    <row r="47" spans="2:13">
      <c r="B47" s="1085" t="s">
        <v>1562</v>
      </c>
      <c r="C47" s="1084" t="s">
        <v>124</v>
      </c>
      <c r="D47" s="1083" t="s">
        <v>873</v>
      </c>
      <c r="E47" s="1083" t="s">
        <v>125</v>
      </c>
      <c r="F47" s="1083" t="s">
        <v>23</v>
      </c>
      <c r="G47" s="1083" t="s">
        <v>942</v>
      </c>
      <c r="H47" s="1086">
        <v>700.82680436809812</v>
      </c>
      <c r="I47" s="1081">
        <v>597.00517196582337</v>
      </c>
      <c r="J47" s="1081">
        <v>557.61470219822229</v>
      </c>
      <c r="K47" s="1081">
        <v>483.61238174234927</v>
      </c>
      <c r="L47" s="1081">
        <v>428.67299726894771</v>
      </c>
      <c r="M47" s="1082">
        <v>391.99358310968643</v>
      </c>
    </row>
    <row r="48" spans="2:13">
      <c r="B48" s="1085" t="s">
        <v>1861</v>
      </c>
      <c r="C48" s="1084" t="s">
        <v>123</v>
      </c>
      <c r="D48" s="1083" t="s">
        <v>873</v>
      </c>
      <c r="E48" s="1083" t="s">
        <v>125</v>
      </c>
      <c r="F48" s="1083" t="s">
        <v>23</v>
      </c>
      <c r="G48" s="1083" t="s">
        <v>942</v>
      </c>
      <c r="H48" s="1086">
        <v>695.54839783942293</v>
      </c>
      <c r="I48" s="1081">
        <v>590.84472677764563</v>
      </c>
      <c r="J48" s="1081">
        <v>551.90681148604574</v>
      </c>
      <c r="K48" s="1081">
        <v>477.09287855412572</v>
      </c>
      <c r="L48" s="1081">
        <v>423.01660669152568</v>
      </c>
      <c r="M48" s="1082">
        <v>386.6497141402686</v>
      </c>
    </row>
    <row r="49" spans="2:13">
      <c r="B49" s="1085" t="s">
        <v>100</v>
      </c>
      <c r="C49" s="1084" t="s">
        <v>22</v>
      </c>
      <c r="D49" s="1083" t="s">
        <v>873</v>
      </c>
      <c r="E49" s="1083" t="s">
        <v>65</v>
      </c>
      <c r="F49" s="1083" t="s">
        <v>23</v>
      </c>
      <c r="G49" s="1083" t="s">
        <v>1164</v>
      </c>
      <c r="H49" s="1086">
        <v>670.00654707533931</v>
      </c>
      <c r="I49" s="1081">
        <v>557.5059014758674</v>
      </c>
      <c r="J49" s="1081">
        <v>522.01139750626726</v>
      </c>
      <c r="K49" s="1081">
        <v>440.76085642359538</v>
      </c>
      <c r="L49" s="1081">
        <v>392.84788973499542</v>
      </c>
      <c r="M49" s="1082">
        <v>360.90591194259537</v>
      </c>
    </row>
    <row r="50" spans="2:13">
      <c r="B50" s="1085" t="s">
        <v>99</v>
      </c>
      <c r="C50" s="1084" t="s">
        <v>22</v>
      </c>
      <c r="D50" s="1083" t="s">
        <v>873</v>
      </c>
      <c r="E50" s="1083" t="s">
        <v>65</v>
      </c>
      <c r="F50" s="1083" t="s">
        <v>14</v>
      </c>
      <c r="G50" s="1083" t="s">
        <v>942</v>
      </c>
      <c r="H50" s="1086">
        <v>669.76920670655238</v>
      </c>
      <c r="I50" s="1081">
        <v>556.13273969200395</v>
      </c>
      <c r="J50" s="1081">
        <v>520.34704043854401</v>
      </c>
      <c r="K50" s="1081">
        <v>436.76047436505559</v>
      </c>
      <c r="L50" s="1081">
        <v>390.94939351419566</v>
      </c>
      <c r="M50" s="1082">
        <v>359.17548007695564</v>
      </c>
    </row>
    <row r="51" spans="2:13">
      <c r="B51" s="1085" t="s">
        <v>1848</v>
      </c>
      <c r="C51" s="1084" t="s">
        <v>69</v>
      </c>
      <c r="D51" s="1083" t="s">
        <v>873</v>
      </c>
      <c r="E51" s="1083" t="s">
        <v>125</v>
      </c>
      <c r="F51" s="1083" t="s">
        <v>23</v>
      </c>
      <c r="G51" s="1083" t="s">
        <v>1164</v>
      </c>
      <c r="H51" s="1086">
        <v>656.84789462610286</v>
      </c>
      <c r="I51" s="1081">
        <v>541.1275446287259</v>
      </c>
      <c r="J51" s="1081">
        <v>506.23990894192571</v>
      </c>
      <c r="K51" s="1081">
        <v>422.1667686526057</v>
      </c>
      <c r="L51" s="1081">
        <v>375.65552011300565</v>
      </c>
      <c r="M51" s="1082">
        <v>344.3319764437486</v>
      </c>
    </row>
    <row r="52" spans="2:13">
      <c r="B52" s="1085" t="s">
        <v>1563</v>
      </c>
      <c r="C52" s="1084" t="s">
        <v>123</v>
      </c>
      <c r="D52" s="1083" t="s">
        <v>873</v>
      </c>
      <c r="E52" s="1083" t="s">
        <v>65</v>
      </c>
      <c r="F52" s="1083" t="s">
        <v>70</v>
      </c>
      <c r="G52" s="1083" t="s">
        <v>1164</v>
      </c>
      <c r="H52" s="1086">
        <v>644.73297156026115</v>
      </c>
      <c r="I52" s="1081">
        <v>532.05141340411751</v>
      </c>
      <c r="J52" s="1081">
        <v>496.55566183777768</v>
      </c>
      <c r="K52" s="1081">
        <v>414.84244855741417</v>
      </c>
      <c r="L52" s="1081">
        <v>366.9360566814741</v>
      </c>
      <c r="M52" s="1082">
        <v>334.99846209751405</v>
      </c>
    </row>
    <row r="53" spans="2:13">
      <c r="B53" s="1085" t="s">
        <v>2687</v>
      </c>
      <c r="C53" s="1084" t="s">
        <v>66</v>
      </c>
      <c r="D53" s="1083" t="s">
        <v>873</v>
      </c>
      <c r="E53" s="1083" t="s">
        <v>65</v>
      </c>
      <c r="F53" s="1083" t="s">
        <v>23</v>
      </c>
      <c r="G53" s="1083" t="s">
        <v>1164</v>
      </c>
      <c r="H53" s="1086">
        <v>633.62645127159203</v>
      </c>
      <c r="I53" s="1081">
        <v>530.72509601448962</v>
      </c>
      <c r="J53" s="1081">
        <v>497.58739757388969</v>
      </c>
      <c r="K53" s="1081">
        <v>422.98679264600173</v>
      </c>
      <c r="L53" s="1081">
        <v>377.99476459490177</v>
      </c>
      <c r="M53" s="1082">
        <v>347.85961494178747</v>
      </c>
    </row>
    <row r="54" spans="2:13">
      <c r="B54" s="1085" t="s">
        <v>122</v>
      </c>
      <c r="C54" s="1084" t="s">
        <v>66</v>
      </c>
      <c r="D54" s="1083" t="s">
        <v>873</v>
      </c>
      <c r="E54" s="1083" t="s">
        <v>125</v>
      </c>
      <c r="F54" s="1083" t="s">
        <v>23</v>
      </c>
      <c r="G54" s="1083" t="s">
        <v>1164</v>
      </c>
      <c r="H54" s="1086">
        <v>617.71046511289592</v>
      </c>
      <c r="I54" s="1081">
        <v>530.15696129152684</v>
      </c>
      <c r="J54" s="1081">
        <v>500.6671785252982</v>
      </c>
      <c r="K54" s="1081">
        <v>398.81424770712903</v>
      </c>
      <c r="L54" s="1081">
        <v>359.25533567738626</v>
      </c>
      <c r="M54" s="1082">
        <v>345.29867506675771</v>
      </c>
    </row>
    <row r="55" spans="2:13">
      <c r="B55" s="1085" t="s">
        <v>4761</v>
      </c>
      <c r="C55" s="1084" t="s">
        <v>66</v>
      </c>
      <c r="D55" s="1083" t="s">
        <v>874</v>
      </c>
      <c r="E55" s="1083" t="s">
        <v>65</v>
      </c>
      <c r="F55" s="1083" t="s">
        <v>70</v>
      </c>
      <c r="G55" s="1083" t="s">
        <v>942</v>
      </c>
      <c r="H55" s="1086">
        <v>615.60516060092834</v>
      </c>
      <c r="I55" s="1081">
        <v>535.14952589721929</v>
      </c>
      <c r="J55" s="1081">
        <v>484.75521560361921</v>
      </c>
      <c r="K55" s="1081">
        <v>400.19279380511</v>
      </c>
      <c r="L55" s="1081">
        <v>370.23442834990993</v>
      </c>
      <c r="M55" s="1082">
        <v>340.27606289471009</v>
      </c>
    </row>
    <row r="56" spans="2:13">
      <c r="B56" s="1085" t="s">
        <v>1622</v>
      </c>
      <c r="C56" s="1084" t="s">
        <v>66</v>
      </c>
      <c r="D56" s="1083" t="s">
        <v>873</v>
      </c>
      <c r="E56" s="1083" t="s">
        <v>65</v>
      </c>
      <c r="F56" s="1083" t="s">
        <v>23</v>
      </c>
      <c r="G56" s="1083" t="s">
        <v>942</v>
      </c>
      <c r="H56" s="1086">
        <v>594.59920446349145</v>
      </c>
      <c r="I56" s="1081">
        <v>496.71851664669714</v>
      </c>
      <c r="J56" s="1081">
        <v>466.1339152434972</v>
      </c>
      <c r="K56" s="1081">
        <v>394.90625258721712</v>
      </c>
      <c r="L56" s="1081">
        <v>353.62101616101722</v>
      </c>
      <c r="M56" s="1082">
        <v>325.95706092450285</v>
      </c>
    </row>
    <row r="57" spans="2:13">
      <c r="B57" s="1085" t="s">
        <v>2780</v>
      </c>
      <c r="C57" s="1084" t="s">
        <v>67</v>
      </c>
      <c r="D57" s="1083" t="s">
        <v>874</v>
      </c>
      <c r="E57" s="1083" t="s">
        <v>65</v>
      </c>
      <c r="F57" s="1083" t="s">
        <v>23</v>
      </c>
      <c r="G57" s="1083" t="s">
        <v>942</v>
      </c>
      <c r="H57" s="1086">
        <v>591.94250831049146</v>
      </c>
      <c r="I57" s="1081">
        <v>492.30720771986114</v>
      </c>
      <c r="J57" s="1081">
        <v>459.19355266226114</v>
      </c>
      <c r="K57" s="1081">
        <v>402.83266294483099</v>
      </c>
      <c r="L57" s="1081">
        <v>372.87412021123089</v>
      </c>
      <c r="M57" s="1082">
        <v>342.9155774776309</v>
      </c>
    </row>
    <row r="58" spans="2:13">
      <c r="B58" s="1085" t="s">
        <v>2388</v>
      </c>
      <c r="C58" s="1084" t="s">
        <v>67</v>
      </c>
      <c r="D58" s="1083" t="s">
        <v>873</v>
      </c>
      <c r="E58" s="1083" t="s">
        <v>65</v>
      </c>
      <c r="F58" s="1083" t="s">
        <v>23</v>
      </c>
      <c r="G58" s="1083" t="s">
        <v>1164</v>
      </c>
      <c r="H58" s="1086">
        <v>583.91396346354281</v>
      </c>
      <c r="I58" s="1081">
        <v>488.04036024628567</v>
      </c>
      <c r="J58" s="1081">
        <v>458.17178630068577</v>
      </c>
      <c r="K58" s="1081">
        <v>388.34915689948582</v>
      </c>
      <c r="L58" s="1081">
        <v>348.03046446988571</v>
      </c>
      <c r="M58" s="1082">
        <v>320.83529154062853</v>
      </c>
    </row>
    <row r="59" spans="2:13">
      <c r="B59" s="1085" t="s">
        <v>1898</v>
      </c>
      <c r="C59" s="1084" t="s">
        <v>123</v>
      </c>
      <c r="D59" s="1083" t="s">
        <v>873</v>
      </c>
      <c r="E59" s="1083" t="s">
        <v>125</v>
      </c>
      <c r="F59" s="1083" t="s">
        <v>14</v>
      </c>
      <c r="G59" s="1083" t="s">
        <v>1164</v>
      </c>
      <c r="H59" s="1086">
        <v>581.07161734680676</v>
      </c>
      <c r="I59" s="1081">
        <v>476.43318095434284</v>
      </c>
      <c r="J59" s="1081">
        <v>445.81742287234277</v>
      </c>
      <c r="K59" s="1081">
        <v>367.63909067611883</v>
      </c>
      <c r="L59" s="1081">
        <v>329.2108995360789</v>
      </c>
      <c r="M59" s="1082">
        <v>302.51015320771882</v>
      </c>
    </row>
    <row r="60" spans="2:13">
      <c r="B60" s="1085" t="s">
        <v>3198</v>
      </c>
      <c r="C60" s="1084" t="s">
        <v>67</v>
      </c>
      <c r="D60" s="1083" t="s">
        <v>874</v>
      </c>
      <c r="E60" s="1083" t="s">
        <v>125</v>
      </c>
      <c r="F60" s="1083" t="s">
        <v>70</v>
      </c>
      <c r="G60" s="1083" t="s">
        <v>942</v>
      </c>
      <c r="H60" s="1086">
        <v>579.52047640990293</v>
      </c>
      <c r="I60" s="1081">
        <v>509.98435691836272</v>
      </c>
      <c r="J60" s="1081">
        <v>464.12297775346281</v>
      </c>
      <c r="K60" s="1081">
        <v>389.45968993642288</v>
      </c>
      <c r="L60" s="1081">
        <v>361.89183506602285</v>
      </c>
      <c r="M60" s="1082">
        <v>334.32398019562277</v>
      </c>
    </row>
    <row r="61" spans="2:13">
      <c r="B61" s="1085" t="s">
        <v>4567</v>
      </c>
      <c r="C61" s="1084" t="s">
        <v>124</v>
      </c>
      <c r="D61" s="1083" t="s">
        <v>874</v>
      </c>
      <c r="E61" s="1083" t="s">
        <v>65</v>
      </c>
      <c r="F61" s="1083" t="s">
        <v>23</v>
      </c>
      <c r="G61" s="1083" t="s">
        <v>942</v>
      </c>
      <c r="H61" s="1086">
        <v>578.31065179042594</v>
      </c>
      <c r="I61" s="1081">
        <v>481.31980660363672</v>
      </c>
      <c r="J61" s="1081">
        <v>449.18295553003674</v>
      </c>
      <c r="K61" s="1081">
        <v>394.10351623804769</v>
      </c>
      <c r="L61" s="1081">
        <v>365.02870632844758</v>
      </c>
      <c r="M61" s="1082">
        <v>335.95389641884771</v>
      </c>
    </row>
    <row r="62" spans="2:13">
      <c r="B62" s="1085" t="s">
        <v>4568</v>
      </c>
      <c r="C62" s="1084" t="s">
        <v>69</v>
      </c>
      <c r="D62" s="1083" t="s">
        <v>874</v>
      </c>
      <c r="E62" s="1083" t="s">
        <v>65</v>
      </c>
      <c r="F62" s="1083" t="s">
        <v>70</v>
      </c>
      <c r="G62" s="1083" t="s">
        <v>942</v>
      </c>
      <c r="H62" s="1086">
        <v>567.03015490496352</v>
      </c>
      <c r="I62" s="1081">
        <v>488.63757675104239</v>
      </c>
      <c r="J62" s="1081">
        <v>442.8556072294424</v>
      </c>
      <c r="K62" s="1081">
        <v>361.95316580792121</v>
      </c>
      <c r="L62" s="1081">
        <v>335.00879907032123</v>
      </c>
      <c r="M62" s="1082">
        <v>308.0644323327212</v>
      </c>
    </row>
    <row r="63" spans="2:13">
      <c r="B63" s="1085" t="s">
        <v>116</v>
      </c>
      <c r="C63" s="1084" t="s">
        <v>123</v>
      </c>
      <c r="D63" s="1083" t="s">
        <v>873</v>
      </c>
      <c r="E63" s="1083" t="s">
        <v>125</v>
      </c>
      <c r="F63" s="1083" t="s">
        <v>23</v>
      </c>
      <c r="G63" s="1083" t="s">
        <v>942</v>
      </c>
      <c r="H63" s="1086">
        <v>558.42814242719999</v>
      </c>
      <c r="I63" s="1081">
        <v>477.04420611405709</v>
      </c>
      <c r="J63" s="1081">
        <v>447.40352355165714</v>
      </c>
      <c r="K63" s="1081">
        <v>389.0041610964571</v>
      </c>
      <c r="L63" s="1081">
        <v>347.83971774005715</v>
      </c>
      <c r="M63" s="1082">
        <v>320.22117514531425</v>
      </c>
    </row>
    <row r="64" spans="2:13">
      <c r="B64" s="1085" t="s">
        <v>4898</v>
      </c>
      <c r="C64" s="1084" t="s">
        <v>22</v>
      </c>
      <c r="D64" s="1083" t="s">
        <v>874</v>
      </c>
      <c r="E64" s="1083" t="s">
        <v>65</v>
      </c>
      <c r="F64" s="1083" t="s">
        <v>23</v>
      </c>
      <c r="G64" s="1083" t="s">
        <v>942</v>
      </c>
      <c r="H64" s="1086">
        <v>551.84332183680272</v>
      </c>
      <c r="I64" s="1081">
        <v>457.85949325782934</v>
      </c>
      <c r="J64" s="1081">
        <v>427.44605414982931</v>
      </c>
      <c r="K64" s="1081">
        <v>373.49102349685631</v>
      </c>
      <c r="L64" s="1081">
        <v>346.11170420485627</v>
      </c>
      <c r="M64" s="1082">
        <v>318.73238491285622</v>
      </c>
    </row>
    <row r="65" spans="2:13">
      <c r="B65" s="1085" t="s">
        <v>4641</v>
      </c>
      <c r="C65" s="1084" t="s">
        <v>69</v>
      </c>
      <c r="D65" s="1083" t="s">
        <v>874</v>
      </c>
      <c r="E65" s="1083" t="s">
        <v>65</v>
      </c>
      <c r="F65" s="1083" t="s">
        <v>23</v>
      </c>
      <c r="G65" s="1083" t="s">
        <v>942</v>
      </c>
      <c r="H65" s="1086">
        <v>540.7704154022673</v>
      </c>
      <c r="I65" s="1081">
        <v>448.90675755986058</v>
      </c>
      <c r="J65" s="1081">
        <v>419.23966051586046</v>
      </c>
      <c r="K65" s="1081">
        <v>366.53768762545371</v>
      </c>
      <c r="L65" s="1081">
        <v>339.83025346945374</v>
      </c>
      <c r="M65" s="1082">
        <v>313.1228193134537</v>
      </c>
    </row>
    <row r="66" spans="2:13">
      <c r="B66" s="1085" t="s">
        <v>103</v>
      </c>
      <c r="C66" s="1084" t="s">
        <v>66</v>
      </c>
      <c r="D66" s="1083" t="s">
        <v>873</v>
      </c>
      <c r="E66" s="1083" t="s">
        <v>65</v>
      </c>
      <c r="F66" s="1083" t="s">
        <v>14</v>
      </c>
      <c r="G66" s="1083" t="s">
        <v>1164</v>
      </c>
      <c r="H66" s="1086">
        <v>535.73701993206134</v>
      </c>
      <c r="I66" s="1081">
        <v>467.58693622553568</v>
      </c>
      <c r="J66" s="1081">
        <v>406.78183666097561</v>
      </c>
      <c r="K66" s="1081">
        <v>348.52542999653002</v>
      </c>
      <c r="L66" s="1081">
        <v>334.44912172817004</v>
      </c>
      <c r="M66" s="1082">
        <v>292.22019692308999</v>
      </c>
    </row>
    <row r="67" spans="2:13">
      <c r="B67" s="1085" t="s">
        <v>852</v>
      </c>
      <c r="C67" s="1084" t="s">
        <v>67</v>
      </c>
      <c r="D67" s="1083" t="s">
        <v>874</v>
      </c>
      <c r="E67" s="1083" t="s">
        <v>65</v>
      </c>
      <c r="F67" s="1083" t="s">
        <v>23</v>
      </c>
      <c r="G67" s="1083" t="s">
        <v>942</v>
      </c>
      <c r="H67" s="1086">
        <v>525.8142265695393</v>
      </c>
      <c r="I67" s="1081">
        <v>437.12649442168458</v>
      </c>
      <c r="J67" s="1081">
        <v>408.4856177156845</v>
      </c>
      <c r="K67" s="1081">
        <v>357.3184157318297</v>
      </c>
      <c r="L67" s="1081">
        <v>331.53482363782979</v>
      </c>
      <c r="M67" s="1082">
        <v>305.75123154382976</v>
      </c>
    </row>
    <row r="68" spans="2:13">
      <c r="B68" s="1085" t="s">
        <v>1158</v>
      </c>
      <c r="C68" s="1084" t="s">
        <v>123</v>
      </c>
      <c r="D68" s="1083" t="s">
        <v>874</v>
      </c>
      <c r="E68" s="1083" t="s">
        <v>65</v>
      </c>
      <c r="F68" s="1083" t="s">
        <v>23</v>
      </c>
      <c r="G68" s="1083" t="s">
        <v>942</v>
      </c>
      <c r="H68" s="1086">
        <v>521.7444684346583</v>
      </c>
      <c r="I68" s="1081">
        <v>435.52918982323951</v>
      </c>
      <c r="J68" s="1081">
        <v>407.39723508403944</v>
      </c>
      <c r="K68" s="1081">
        <v>358.21115955102061</v>
      </c>
      <c r="L68" s="1081">
        <v>332.75965421982073</v>
      </c>
      <c r="M68" s="1082">
        <v>307.30814888862062</v>
      </c>
    </row>
    <row r="69" spans="2:13">
      <c r="B69" s="1085" t="s">
        <v>4106</v>
      </c>
      <c r="C69" s="1084" t="s">
        <v>22</v>
      </c>
      <c r="D69" s="1083" t="s">
        <v>874</v>
      </c>
      <c r="E69" s="1083" t="s">
        <v>125</v>
      </c>
      <c r="F69" s="1083" t="s">
        <v>70</v>
      </c>
      <c r="G69" s="1083" t="s">
        <v>942</v>
      </c>
      <c r="H69" s="1086">
        <v>516.57768867834136</v>
      </c>
      <c r="I69" s="1081">
        <v>449.85786705488118</v>
      </c>
      <c r="J69" s="1081">
        <v>409.71727293788115</v>
      </c>
      <c r="K69" s="1081">
        <v>339.734243486021</v>
      </c>
      <c r="L69" s="1081">
        <v>315.86248813702105</v>
      </c>
      <c r="M69" s="1082">
        <v>291.99073278802103</v>
      </c>
    </row>
    <row r="70" spans="2:13">
      <c r="B70" s="1085" t="s">
        <v>1293</v>
      </c>
      <c r="C70" s="1084" t="s">
        <v>124</v>
      </c>
      <c r="D70" s="1083" t="s">
        <v>874</v>
      </c>
      <c r="E70" s="1083" t="s">
        <v>65</v>
      </c>
      <c r="F70" s="1083" t="s">
        <v>23</v>
      </c>
      <c r="G70" s="1083" t="s">
        <v>942</v>
      </c>
      <c r="H70" s="1086">
        <v>509.10731829877716</v>
      </c>
      <c r="I70" s="1081">
        <v>425.95769942626276</v>
      </c>
      <c r="J70" s="1081">
        <v>398.60718787426288</v>
      </c>
      <c r="K70" s="1081">
        <v>350.62605799374853</v>
      </c>
      <c r="L70" s="1081">
        <v>325.88153892174864</v>
      </c>
      <c r="M70" s="1082">
        <v>301.13701984974858</v>
      </c>
    </row>
    <row r="71" spans="2:13">
      <c r="B71" s="1085" t="s">
        <v>4598</v>
      </c>
      <c r="C71" s="1084" t="s">
        <v>69</v>
      </c>
      <c r="D71" s="1083" t="s">
        <v>874</v>
      </c>
      <c r="E71" s="1083" t="s">
        <v>65</v>
      </c>
      <c r="F71" s="1083" t="s">
        <v>70</v>
      </c>
      <c r="G71" s="1083" t="s">
        <v>942</v>
      </c>
      <c r="H71" s="1086">
        <v>508.23034681323008</v>
      </c>
      <c r="I71" s="1081">
        <v>442.60956353257228</v>
      </c>
      <c r="J71" s="1081">
        <v>403.01972254694732</v>
      </c>
      <c r="K71" s="1081">
        <v>334.13308228457072</v>
      </c>
      <c r="L71" s="1081">
        <v>310.58449722894568</v>
      </c>
      <c r="M71" s="1082">
        <v>287.03591217332075</v>
      </c>
    </row>
    <row r="72" spans="2:13">
      <c r="B72" s="1085" t="s">
        <v>2751</v>
      </c>
      <c r="C72" s="1084" t="s">
        <v>22</v>
      </c>
      <c r="D72" s="1083" t="s">
        <v>874</v>
      </c>
      <c r="E72" s="1083" t="s">
        <v>125</v>
      </c>
      <c r="F72" s="1083" t="s">
        <v>23</v>
      </c>
      <c r="G72" s="1083" t="s">
        <v>942</v>
      </c>
      <c r="H72" s="1086">
        <v>499.69627056061398</v>
      </c>
      <c r="I72" s="1081">
        <v>417.80584974426824</v>
      </c>
      <c r="J72" s="1081">
        <v>391.0926184798094</v>
      </c>
      <c r="K72" s="1081">
        <v>344.13812348826474</v>
      </c>
      <c r="L72" s="1081">
        <v>319.96931046882588</v>
      </c>
      <c r="M72" s="1082">
        <v>295.80049744938697</v>
      </c>
    </row>
    <row r="73" spans="2:13">
      <c r="B73" s="1085" t="s">
        <v>2691</v>
      </c>
      <c r="C73" s="1084" t="s">
        <v>69</v>
      </c>
      <c r="D73" s="1083" t="s">
        <v>874</v>
      </c>
      <c r="E73" s="1083" t="s">
        <v>65</v>
      </c>
      <c r="F73" s="1083" t="s">
        <v>23</v>
      </c>
      <c r="G73" s="1083" t="s">
        <v>942</v>
      </c>
      <c r="H73" s="1086">
        <v>498.60736204813873</v>
      </c>
      <c r="I73" s="1081">
        <v>422.12816230778037</v>
      </c>
      <c r="J73" s="1081">
        <v>409.16494522538039</v>
      </c>
      <c r="K73" s="1081">
        <v>352.39393294502213</v>
      </c>
      <c r="L73" s="1081">
        <v>330.99049123862216</v>
      </c>
      <c r="M73" s="1082">
        <v>309.58704953222212</v>
      </c>
    </row>
    <row r="74" spans="2:13">
      <c r="B74" s="1085" t="s">
        <v>2007</v>
      </c>
      <c r="C74" s="1084" t="s">
        <v>22</v>
      </c>
      <c r="D74" s="1083" t="s">
        <v>874</v>
      </c>
      <c r="E74" s="1083" t="s">
        <v>65</v>
      </c>
      <c r="F74" s="1083" t="s">
        <v>70</v>
      </c>
      <c r="G74" s="1083" t="s">
        <v>942</v>
      </c>
      <c r="H74" s="1086">
        <v>492.8801405583398</v>
      </c>
      <c r="I74" s="1081">
        <v>429.51467210370078</v>
      </c>
      <c r="J74" s="1081">
        <v>391.82829799650079</v>
      </c>
      <c r="K74" s="1081">
        <v>325.60351730816194</v>
      </c>
      <c r="L74" s="1081">
        <v>303.10139271776188</v>
      </c>
      <c r="M74" s="1082">
        <v>280.59926812736182</v>
      </c>
    </row>
    <row r="75" spans="2:13">
      <c r="B75" s="1085" t="s">
        <v>2597</v>
      </c>
      <c r="C75" s="1084" t="s">
        <v>123</v>
      </c>
      <c r="D75" s="1083" t="s">
        <v>874</v>
      </c>
      <c r="E75" s="1083" t="s">
        <v>125</v>
      </c>
      <c r="F75" s="1083" t="s">
        <v>70</v>
      </c>
      <c r="G75" s="1083" t="s">
        <v>942</v>
      </c>
      <c r="H75" s="1086">
        <v>492.50350468649123</v>
      </c>
      <c r="I75" s="1081">
        <v>429.05584661948239</v>
      </c>
      <c r="J75" s="1081">
        <v>391.38655771808243</v>
      </c>
      <c r="K75" s="1081">
        <v>325.0208639473737</v>
      </c>
      <c r="L75" s="1081">
        <v>302.59290820757366</v>
      </c>
      <c r="M75" s="1082">
        <v>280.16495246777362</v>
      </c>
    </row>
    <row r="76" spans="2:13">
      <c r="B76" s="1085" t="s">
        <v>853</v>
      </c>
      <c r="C76" s="1084" t="s">
        <v>22</v>
      </c>
      <c r="D76" s="1083" t="s">
        <v>874</v>
      </c>
      <c r="E76" s="1083" t="s">
        <v>65</v>
      </c>
      <c r="F76" s="1083" t="s">
        <v>23</v>
      </c>
      <c r="G76" s="1083" t="s">
        <v>942</v>
      </c>
      <c r="H76" s="1086">
        <v>489.29785198828097</v>
      </c>
      <c r="I76" s="1081">
        <v>408.34283066489536</v>
      </c>
      <c r="J76" s="1081">
        <v>382.20173514249188</v>
      </c>
      <c r="K76" s="1081">
        <v>335.39012158425237</v>
      </c>
      <c r="L76" s="1081">
        <v>311.81208473357202</v>
      </c>
      <c r="M76" s="1082">
        <v>288.23404788289184</v>
      </c>
    </row>
    <row r="77" spans="2:13">
      <c r="B77" s="1085" t="s">
        <v>4288</v>
      </c>
      <c r="C77" s="1084" t="s">
        <v>66</v>
      </c>
      <c r="D77" s="1083" t="s">
        <v>874</v>
      </c>
      <c r="E77" s="1083" t="s">
        <v>65</v>
      </c>
      <c r="F77" s="1083" t="s">
        <v>23</v>
      </c>
      <c r="G77" s="1083" t="s">
        <v>942</v>
      </c>
      <c r="H77" s="1086">
        <v>488.85626076035646</v>
      </c>
      <c r="I77" s="1081">
        <v>402.72878374704339</v>
      </c>
      <c r="J77" s="1081">
        <v>376.4412778010435</v>
      </c>
      <c r="K77" s="1081">
        <v>325.71385968973027</v>
      </c>
      <c r="L77" s="1081">
        <v>302.33948105173033</v>
      </c>
      <c r="M77" s="1082">
        <v>278.96510241373028</v>
      </c>
    </row>
    <row r="78" spans="2:13">
      <c r="B78" s="1085" t="s">
        <v>4385</v>
      </c>
      <c r="C78" s="1084" t="s">
        <v>67</v>
      </c>
      <c r="D78" s="1083" t="s">
        <v>874</v>
      </c>
      <c r="E78" s="1083" t="s">
        <v>125</v>
      </c>
      <c r="F78" s="1083" t="s">
        <v>23</v>
      </c>
      <c r="G78" s="1083" t="s">
        <v>942</v>
      </c>
      <c r="H78" s="1086">
        <v>487.69437981005052</v>
      </c>
      <c r="I78" s="1081">
        <v>406.39465527998823</v>
      </c>
      <c r="J78" s="1081">
        <v>380.45926855598822</v>
      </c>
      <c r="K78" s="1081">
        <v>333.31876492692601</v>
      </c>
      <c r="L78" s="1081">
        <v>309.97075645092599</v>
      </c>
      <c r="M78" s="1082">
        <v>286.62274797492603</v>
      </c>
    </row>
    <row r="79" spans="2:13">
      <c r="B79" s="1085" t="s">
        <v>860</v>
      </c>
      <c r="C79" s="1084" t="s">
        <v>123</v>
      </c>
      <c r="D79" s="1083" t="s">
        <v>874</v>
      </c>
      <c r="E79" s="1083" t="s">
        <v>65</v>
      </c>
      <c r="F79" s="1083" t="s">
        <v>70</v>
      </c>
      <c r="G79" s="1083" t="s">
        <v>1164</v>
      </c>
      <c r="H79" s="1086">
        <v>480.27158362690705</v>
      </c>
      <c r="I79" s="1081">
        <v>414.30073594257323</v>
      </c>
      <c r="J79" s="1081">
        <v>377.41424197617317</v>
      </c>
      <c r="K79" s="1081">
        <v>309.83313026503942</v>
      </c>
      <c r="L79" s="1081">
        <v>288.09164080963939</v>
      </c>
      <c r="M79" s="1082">
        <v>266.35015135423947</v>
      </c>
    </row>
    <row r="80" spans="2:13">
      <c r="B80" s="1085" t="s">
        <v>5004</v>
      </c>
      <c r="C80" s="1084" t="s">
        <v>123</v>
      </c>
      <c r="D80" s="1083" t="s">
        <v>874</v>
      </c>
      <c r="E80" s="1083" t="s">
        <v>125</v>
      </c>
      <c r="F80" s="1083" t="s">
        <v>70</v>
      </c>
      <c r="G80" s="1083" t="s">
        <v>942</v>
      </c>
      <c r="H80" s="1086">
        <v>476.38538103383416</v>
      </c>
      <c r="I80" s="1081">
        <v>414.87046094598441</v>
      </c>
      <c r="J80" s="1081">
        <v>378.93688269918442</v>
      </c>
      <c r="K80" s="1081">
        <v>315.12802443493462</v>
      </c>
      <c r="L80" s="1081">
        <v>293.69369196733464</v>
      </c>
      <c r="M80" s="1082">
        <v>272.25935949973467</v>
      </c>
    </row>
    <row r="81" spans="2:13">
      <c r="B81" s="1085" t="s">
        <v>431</v>
      </c>
      <c r="C81" s="1084" t="s">
        <v>69</v>
      </c>
      <c r="D81" s="1083" t="s">
        <v>874</v>
      </c>
      <c r="E81" s="1083" t="s">
        <v>65</v>
      </c>
      <c r="F81" s="1083" t="s">
        <v>23</v>
      </c>
      <c r="G81" s="1083" t="s">
        <v>942</v>
      </c>
      <c r="H81" s="1086">
        <v>473.33041678363134</v>
      </c>
      <c r="I81" s="1081">
        <v>396.77380972191889</v>
      </c>
      <c r="J81" s="1081">
        <v>371.82615210339054</v>
      </c>
      <c r="K81" s="1081">
        <v>327.37512651432849</v>
      </c>
      <c r="L81" s="1081">
        <v>304.8134435138407</v>
      </c>
      <c r="M81" s="1082">
        <v>282.25176051335291</v>
      </c>
    </row>
    <row r="82" spans="2:13">
      <c r="B82" s="1085" t="s">
        <v>4098</v>
      </c>
      <c r="C82" s="1084" t="s">
        <v>123</v>
      </c>
      <c r="D82" s="1083" t="s">
        <v>874</v>
      </c>
      <c r="E82" s="1083" t="s">
        <v>65</v>
      </c>
      <c r="F82" s="1083" t="s">
        <v>23</v>
      </c>
      <c r="G82" s="1083" t="s">
        <v>1164</v>
      </c>
      <c r="H82" s="1086">
        <v>465.23402856093071</v>
      </c>
      <c r="I82" s="1081">
        <v>381.46460628716034</v>
      </c>
      <c r="J82" s="1081">
        <v>356.61979196036049</v>
      </c>
      <c r="K82" s="1081">
        <v>306.78930001579016</v>
      </c>
      <c r="L82" s="1081">
        <v>284.85761299699016</v>
      </c>
      <c r="M82" s="1082">
        <v>262.92592597819015</v>
      </c>
    </row>
    <row r="83" spans="2:13">
      <c r="B83" s="1085" t="s">
        <v>3252</v>
      </c>
      <c r="C83" s="1084" t="s">
        <v>124</v>
      </c>
      <c r="D83" s="1083" t="s">
        <v>874</v>
      </c>
      <c r="E83" s="1083" t="s">
        <v>65</v>
      </c>
      <c r="F83" s="1083" t="s">
        <v>23</v>
      </c>
      <c r="G83" s="1083" t="s">
        <v>1164</v>
      </c>
      <c r="H83" s="1086">
        <v>464.38495349916161</v>
      </c>
      <c r="I83" s="1081">
        <v>382.2553822511947</v>
      </c>
      <c r="J83" s="1081">
        <v>357.52265219279474</v>
      </c>
      <c r="K83" s="1081">
        <v>308.89603936882781</v>
      </c>
      <c r="L83" s="1081">
        <v>286.96475122642784</v>
      </c>
      <c r="M83" s="1082">
        <v>265.03346308402786</v>
      </c>
    </row>
    <row r="84" spans="2:13">
      <c r="B84" s="1085" t="s">
        <v>2365</v>
      </c>
      <c r="C84" s="1084" t="s">
        <v>66</v>
      </c>
      <c r="D84" s="1083" t="s">
        <v>874</v>
      </c>
      <c r="E84" s="1083" t="s">
        <v>125</v>
      </c>
      <c r="F84" s="1083" t="s">
        <v>23</v>
      </c>
      <c r="G84" s="1083" t="s">
        <v>942</v>
      </c>
      <c r="H84" s="1086">
        <v>462.65137328499844</v>
      </c>
      <c r="I84" s="1081">
        <v>384.1356213346395</v>
      </c>
      <c r="J84" s="1081">
        <v>359.74459539223955</v>
      </c>
      <c r="K84" s="1081">
        <v>313.5703624282807</v>
      </c>
      <c r="L84" s="1081">
        <v>291.74810050188069</v>
      </c>
      <c r="M84" s="1082">
        <v>269.92583857548067</v>
      </c>
    </row>
    <row r="85" spans="2:13">
      <c r="B85" s="1085" t="s">
        <v>854</v>
      </c>
      <c r="C85" s="1084" t="s">
        <v>124</v>
      </c>
      <c r="D85" s="1083" t="s">
        <v>874</v>
      </c>
      <c r="E85" s="1083" t="s">
        <v>65</v>
      </c>
      <c r="F85" s="1083" t="s">
        <v>23</v>
      </c>
      <c r="G85" s="1083" t="s">
        <v>942</v>
      </c>
      <c r="H85" s="1086">
        <v>456.58179157201994</v>
      </c>
      <c r="I85" s="1081">
        <v>381.55686988630748</v>
      </c>
      <c r="J85" s="1081">
        <v>357.63033585177914</v>
      </c>
      <c r="K85" s="1081">
        <v>313.68987205471706</v>
      </c>
      <c r="L85" s="1081">
        <v>292.14931263822928</v>
      </c>
      <c r="M85" s="1082">
        <v>270.60875322174149</v>
      </c>
    </row>
    <row r="86" spans="2:13">
      <c r="B86" s="1085" t="s">
        <v>4376</v>
      </c>
      <c r="C86" s="1084" t="s">
        <v>22</v>
      </c>
      <c r="D86" s="1083" t="s">
        <v>874</v>
      </c>
      <c r="E86" s="1083" t="s">
        <v>65</v>
      </c>
      <c r="F86" s="1083" t="s">
        <v>23</v>
      </c>
      <c r="G86" s="1083" t="s">
        <v>942</v>
      </c>
      <c r="H86" s="1086">
        <v>451.80875157695704</v>
      </c>
      <c r="I86" s="1081">
        <v>377.99673500308205</v>
      </c>
      <c r="J86" s="1081">
        <v>354.358046239332</v>
      </c>
      <c r="K86" s="1081">
        <v>311.34921290045708</v>
      </c>
      <c r="L86" s="1081">
        <v>290.03237850545707</v>
      </c>
      <c r="M86" s="1082">
        <v>268.71554411045707</v>
      </c>
    </row>
    <row r="87" spans="2:13">
      <c r="B87" s="1085" t="s">
        <v>2221</v>
      </c>
      <c r="C87" s="1084" t="s">
        <v>67</v>
      </c>
      <c r="D87" s="1083" t="s">
        <v>874</v>
      </c>
      <c r="E87" s="1083" t="s">
        <v>65</v>
      </c>
      <c r="F87" s="1083" t="s">
        <v>23</v>
      </c>
      <c r="G87" s="1083" t="s">
        <v>1164</v>
      </c>
      <c r="H87" s="1086">
        <v>448.37263097938279</v>
      </c>
      <c r="I87" s="1081">
        <v>368.27780435709241</v>
      </c>
      <c r="J87" s="1081">
        <v>344.54425968069251</v>
      </c>
      <c r="K87" s="1081">
        <v>296.6201443064021</v>
      </c>
      <c r="L87" s="1081">
        <v>275.66942731400218</v>
      </c>
      <c r="M87" s="1082">
        <v>254.71871032160217</v>
      </c>
    </row>
    <row r="88" spans="2:13">
      <c r="B88" s="1085" t="s">
        <v>1689</v>
      </c>
      <c r="C88" s="1084" t="s">
        <v>124</v>
      </c>
      <c r="D88" s="1083" t="s">
        <v>874</v>
      </c>
      <c r="E88" s="1083" t="s">
        <v>65</v>
      </c>
      <c r="F88" s="1083" t="s">
        <v>23</v>
      </c>
      <c r="G88" s="1083" t="s">
        <v>1164</v>
      </c>
      <c r="H88" s="1086">
        <v>447.64509169527037</v>
      </c>
      <c r="I88" s="1081">
        <v>369.19074898267155</v>
      </c>
      <c r="J88" s="1081">
        <v>345.60837846187155</v>
      </c>
      <c r="K88" s="1081">
        <v>298.84130880047263</v>
      </c>
      <c r="L88" s="1081">
        <v>277.93008057167265</v>
      </c>
      <c r="M88" s="1082">
        <v>257.01885234287266</v>
      </c>
    </row>
    <row r="89" spans="2:13">
      <c r="B89" s="1085" t="s">
        <v>1159</v>
      </c>
      <c r="C89" s="1084" t="s">
        <v>124</v>
      </c>
      <c r="D89" s="1083" t="s">
        <v>874</v>
      </c>
      <c r="E89" s="1083" t="s">
        <v>65</v>
      </c>
      <c r="F89" s="1083" t="s">
        <v>70</v>
      </c>
      <c r="G89" s="1083" t="s">
        <v>1164</v>
      </c>
      <c r="H89" s="1086">
        <v>445.74957644098106</v>
      </c>
      <c r="I89" s="1081">
        <v>385.01297500853121</v>
      </c>
      <c r="J89" s="1081">
        <v>351.68166639533126</v>
      </c>
      <c r="K89" s="1081">
        <v>289.62704437848146</v>
      </c>
      <c r="L89" s="1081">
        <v>269.88877868328143</v>
      </c>
      <c r="M89" s="1082">
        <v>250.15051298808137</v>
      </c>
    </row>
    <row r="90" spans="2:13">
      <c r="B90" s="1085" t="s">
        <v>855</v>
      </c>
      <c r="C90" s="1084" t="s">
        <v>66</v>
      </c>
      <c r="D90" s="1083" t="s">
        <v>874</v>
      </c>
      <c r="E90" s="1083" t="s">
        <v>65</v>
      </c>
      <c r="F90" s="1083" t="s">
        <v>23</v>
      </c>
      <c r="G90" s="1083" t="s">
        <v>942</v>
      </c>
      <c r="H90" s="1086">
        <v>443.9819842921068</v>
      </c>
      <c r="I90" s="1081">
        <v>371.50540214593076</v>
      </c>
      <c r="J90" s="1081">
        <v>348.64867643593084</v>
      </c>
      <c r="K90" s="1081">
        <v>306.27994975575484</v>
      </c>
      <c r="L90" s="1081">
        <v>285.7034674657549</v>
      </c>
      <c r="M90" s="1082">
        <v>265.12698517575484</v>
      </c>
    </row>
    <row r="91" spans="2:13">
      <c r="B91" s="1085" t="s">
        <v>856</v>
      </c>
      <c r="C91" s="1084" t="s">
        <v>66</v>
      </c>
      <c r="D91" s="1083" t="s">
        <v>874</v>
      </c>
      <c r="E91" s="1083" t="s">
        <v>125</v>
      </c>
      <c r="F91" s="1083" t="s">
        <v>23</v>
      </c>
      <c r="G91" s="1083" t="s">
        <v>942</v>
      </c>
      <c r="H91" s="1086">
        <v>442.10856012845903</v>
      </c>
      <c r="I91" s="1081">
        <v>366.20444955242647</v>
      </c>
      <c r="J91" s="1081">
        <v>343.36035492842655</v>
      </c>
      <c r="K91" s="1081">
        <v>298.22147028539393</v>
      </c>
      <c r="L91" s="1081">
        <v>277.90891121339399</v>
      </c>
      <c r="M91" s="1082">
        <v>257.59635214139399</v>
      </c>
    </row>
    <row r="92" spans="2:13">
      <c r="B92" s="1085" t="s">
        <v>2389</v>
      </c>
      <c r="C92" s="1084" t="s">
        <v>123</v>
      </c>
      <c r="D92" s="1083" t="s">
        <v>873</v>
      </c>
      <c r="E92" s="1083" t="s">
        <v>65</v>
      </c>
      <c r="F92" s="1083" t="s">
        <v>23</v>
      </c>
      <c r="G92" s="1083" t="s">
        <v>942</v>
      </c>
      <c r="H92" s="1086">
        <v>429.81033159474293</v>
      </c>
      <c r="I92" s="1081">
        <v>363.10874664319999</v>
      </c>
      <c r="J92" s="1081">
        <v>343.16226746719997</v>
      </c>
      <c r="K92" s="1081">
        <v>293.59681979779998</v>
      </c>
      <c r="L92" s="1081">
        <v>266.67166560679999</v>
      </c>
      <c r="M92" s="1082">
        <v>248.54598245565717</v>
      </c>
    </row>
    <row r="93" spans="2:13">
      <c r="B93" s="1085" t="s">
        <v>2390</v>
      </c>
      <c r="C93" s="1084" t="s">
        <v>66</v>
      </c>
      <c r="D93" s="1083" t="s">
        <v>873</v>
      </c>
      <c r="E93" s="1083" t="s">
        <v>65</v>
      </c>
      <c r="F93" s="1083" t="s">
        <v>23</v>
      </c>
      <c r="G93" s="1083" t="s">
        <v>942</v>
      </c>
      <c r="H93" s="1086">
        <v>429.81033159474293</v>
      </c>
      <c r="I93" s="1081">
        <v>363.10874664319999</v>
      </c>
      <c r="J93" s="1081">
        <v>343.16226746719997</v>
      </c>
      <c r="K93" s="1081">
        <v>293.59681979779998</v>
      </c>
      <c r="L93" s="1081">
        <v>266.67166560679999</v>
      </c>
      <c r="M93" s="1082">
        <v>248.54598245565717</v>
      </c>
    </row>
    <row r="94" spans="2:13">
      <c r="B94" s="1085" t="s">
        <v>857</v>
      </c>
      <c r="C94" s="1084" t="s">
        <v>123</v>
      </c>
      <c r="D94" s="1083" t="s">
        <v>874</v>
      </c>
      <c r="E94" s="1083" t="s">
        <v>125</v>
      </c>
      <c r="F94" s="1083" t="s">
        <v>23</v>
      </c>
      <c r="G94" s="1083" t="s">
        <v>942</v>
      </c>
      <c r="H94" s="1086">
        <v>423.61762744542591</v>
      </c>
      <c r="I94" s="1081">
        <v>350.46963367723117</v>
      </c>
      <c r="J94" s="1081">
        <v>328.54938111523109</v>
      </c>
      <c r="K94" s="1081">
        <v>285.1688682850363</v>
      </c>
      <c r="L94" s="1081">
        <v>265.67777299903622</v>
      </c>
      <c r="M94" s="1082">
        <v>246.18667771303626</v>
      </c>
    </row>
    <row r="95" spans="2:13">
      <c r="B95" s="1085" t="s">
        <v>858</v>
      </c>
      <c r="C95" s="1084" t="s">
        <v>67</v>
      </c>
      <c r="D95" s="1083" t="s">
        <v>874</v>
      </c>
      <c r="E95" s="1083" t="s">
        <v>65</v>
      </c>
      <c r="F95" s="1083" t="s">
        <v>23</v>
      </c>
      <c r="G95" s="1083" t="s">
        <v>1164</v>
      </c>
      <c r="H95" s="1086">
        <v>423.45525290108799</v>
      </c>
      <c r="I95" s="1081">
        <v>349.67401478443765</v>
      </c>
      <c r="J95" s="1081">
        <v>327.75974536843768</v>
      </c>
      <c r="K95" s="1081">
        <v>283.60338987678745</v>
      </c>
      <c r="L95" s="1081">
        <v>264.18342754878745</v>
      </c>
      <c r="M95" s="1082">
        <v>244.76346522078742</v>
      </c>
    </row>
    <row r="96" spans="2:13">
      <c r="B96" s="1085" t="s">
        <v>867</v>
      </c>
      <c r="C96" s="1084" t="s">
        <v>22</v>
      </c>
      <c r="D96" s="1083" t="s">
        <v>874</v>
      </c>
      <c r="E96" s="1083" t="s">
        <v>65</v>
      </c>
      <c r="F96" s="1083" t="s">
        <v>70</v>
      </c>
      <c r="G96" s="1083" t="s">
        <v>1164</v>
      </c>
      <c r="H96" s="1086">
        <v>413.39012273068829</v>
      </c>
      <c r="I96" s="1081">
        <v>357.45142056814757</v>
      </c>
      <c r="J96" s="1081">
        <v>327.43411004494754</v>
      </c>
      <c r="K96" s="1081">
        <v>270.20075480710699</v>
      </c>
      <c r="L96" s="1081">
        <v>252.43858927690701</v>
      </c>
      <c r="M96" s="1082">
        <v>234.67642374670703</v>
      </c>
    </row>
    <row r="97" spans="2:13">
      <c r="B97" s="1085" t="s">
        <v>859</v>
      </c>
      <c r="C97" s="1084" t="s">
        <v>66</v>
      </c>
      <c r="D97" s="1083" t="s">
        <v>874</v>
      </c>
      <c r="E97" s="1083" t="s">
        <v>65</v>
      </c>
      <c r="F97" s="1083" t="s">
        <v>23</v>
      </c>
      <c r="G97" s="1083" t="s">
        <v>1164</v>
      </c>
      <c r="H97" s="1086">
        <v>410.81443865679307</v>
      </c>
      <c r="I97" s="1081">
        <v>337.84975738046626</v>
      </c>
      <c r="J97" s="1081">
        <v>316.84891492046626</v>
      </c>
      <c r="K97" s="1081">
        <v>272.94636814813941</v>
      </c>
      <c r="L97" s="1081">
        <v>254.45844700813939</v>
      </c>
      <c r="M97" s="1082">
        <v>235.97052586813939</v>
      </c>
    </row>
    <row r="98" spans="2:13">
      <c r="B98" s="1085" t="s">
        <v>2268</v>
      </c>
      <c r="C98" s="1084" t="s">
        <v>123</v>
      </c>
      <c r="D98" s="1083" t="s">
        <v>874</v>
      </c>
      <c r="E98" s="1083" t="s">
        <v>65</v>
      </c>
      <c r="F98" s="1083" t="s">
        <v>23</v>
      </c>
      <c r="G98" s="1083" t="s">
        <v>1164</v>
      </c>
      <c r="H98" s="1086">
        <v>409.17205172511228</v>
      </c>
      <c r="I98" s="1081">
        <v>336.11532174195742</v>
      </c>
      <c r="J98" s="1081">
        <v>315.11447928195741</v>
      </c>
      <c r="K98" s="1081">
        <v>271.20697181680254</v>
      </c>
      <c r="L98" s="1081">
        <v>252.71905067680257</v>
      </c>
      <c r="M98" s="1082">
        <v>234.23112953680254</v>
      </c>
    </row>
    <row r="99" spans="2:13">
      <c r="B99" s="1085" t="s">
        <v>115</v>
      </c>
      <c r="C99" s="1084" t="s">
        <v>22</v>
      </c>
      <c r="D99" s="1083" t="s">
        <v>873</v>
      </c>
      <c r="E99" s="1083" t="s">
        <v>125</v>
      </c>
      <c r="F99" s="1083" t="s">
        <v>70</v>
      </c>
      <c r="G99" s="1083" t="s">
        <v>1164</v>
      </c>
      <c r="H99" s="1086">
        <v>407.05703844733642</v>
      </c>
      <c r="I99" s="1081">
        <v>334.9907430414213</v>
      </c>
      <c r="J99" s="1081">
        <v>314.72822079782122</v>
      </c>
      <c r="K99" s="1081">
        <v>261.65937124526602</v>
      </c>
      <c r="L99" s="1081">
        <v>234.65174935856612</v>
      </c>
      <c r="M99" s="1082">
        <v>216.64666810076608</v>
      </c>
    </row>
    <row r="100" spans="2:13">
      <c r="B100" s="1085" t="s">
        <v>861</v>
      </c>
      <c r="C100" s="1084" t="s">
        <v>69</v>
      </c>
      <c r="D100" s="1083" t="s">
        <v>874</v>
      </c>
      <c r="E100" s="1083" t="s">
        <v>65</v>
      </c>
      <c r="F100" s="1083" t="s">
        <v>23</v>
      </c>
      <c r="G100" s="1083" t="s">
        <v>1164</v>
      </c>
      <c r="H100" s="1086">
        <v>402.11409441558959</v>
      </c>
      <c r="I100" s="1081">
        <v>330.8036252793911</v>
      </c>
      <c r="J100" s="1081">
        <v>310.30246925985591</v>
      </c>
      <c r="K100" s="1081">
        <v>267.41406842770732</v>
      </c>
      <c r="L100" s="1081">
        <v>249.36412851967492</v>
      </c>
      <c r="M100" s="1082">
        <v>231.31418861164258</v>
      </c>
    </row>
    <row r="101" spans="2:13">
      <c r="B101" s="1085" t="s">
        <v>862</v>
      </c>
      <c r="C101" s="1084" t="s">
        <v>124</v>
      </c>
      <c r="D101" s="1083" t="s">
        <v>874</v>
      </c>
      <c r="E101" s="1083" t="s">
        <v>125</v>
      </c>
      <c r="F101" s="1083" t="s">
        <v>23</v>
      </c>
      <c r="G101" s="1083" t="s">
        <v>942</v>
      </c>
      <c r="H101" s="1086">
        <v>398.84926965764959</v>
      </c>
      <c r="I101" s="1081">
        <v>334.5737556406624</v>
      </c>
      <c r="J101" s="1081">
        <v>314.75959464331856</v>
      </c>
      <c r="K101" s="1081">
        <v>276.94537997383867</v>
      </c>
      <c r="L101" s="1081">
        <v>259.10710420705971</v>
      </c>
      <c r="M101" s="1082">
        <v>241.26882844028077</v>
      </c>
    </row>
    <row r="102" spans="2:13">
      <c r="B102" s="1085" t="s">
        <v>863</v>
      </c>
      <c r="C102" s="1084" t="s">
        <v>123</v>
      </c>
      <c r="D102" s="1083" t="s">
        <v>874</v>
      </c>
      <c r="E102" s="1083" t="s">
        <v>125</v>
      </c>
      <c r="F102" s="1083" t="s">
        <v>23</v>
      </c>
      <c r="G102" s="1083" t="s">
        <v>1164</v>
      </c>
      <c r="H102" s="1086">
        <v>397.89634695135311</v>
      </c>
      <c r="I102" s="1081">
        <v>328.7698847373108</v>
      </c>
      <c r="J102" s="1081">
        <v>308.5767669873108</v>
      </c>
      <c r="K102" s="1081">
        <v>266.98407787126854</v>
      </c>
      <c r="L102" s="1081">
        <v>249.11773912126856</v>
      </c>
      <c r="M102" s="1082">
        <v>231.25140037126852</v>
      </c>
    </row>
    <row r="103" spans="2:13">
      <c r="B103" s="1085" t="s">
        <v>4174</v>
      </c>
      <c r="C103" s="1084" t="s">
        <v>66</v>
      </c>
      <c r="D103" s="1083" t="s">
        <v>874</v>
      </c>
      <c r="E103" s="1083" t="s">
        <v>125</v>
      </c>
      <c r="F103" s="1083" t="s">
        <v>23</v>
      </c>
      <c r="G103" s="1083" t="s">
        <v>1164</v>
      </c>
      <c r="H103" s="1086">
        <v>397.33976361977426</v>
      </c>
      <c r="I103" s="1081">
        <v>327.06509668708395</v>
      </c>
      <c r="J103" s="1081">
        <v>306.88328043508392</v>
      </c>
      <c r="K103" s="1081">
        <v>264.47555919339368</v>
      </c>
      <c r="L103" s="1081">
        <v>246.69497886939368</v>
      </c>
      <c r="M103" s="1082">
        <v>228.91439854539371</v>
      </c>
    </row>
    <row r="104" spans="2:13">
      <c r="B104" s="1085" t="s">
        <v>1868</v>
      </c>
      <c r="C104" s="1084" t="s">
        <v>123</v>
      </c>
      <c r="D104" s="1083" t="s">
        <v>874</v>
      </c>
      <c r="E104" s="1083" t="s">
        <v>125</v>
      </c>
      <c r="F104" s="1083" t="s">
        <v>23</v>
      </c>
      <c r="G104" s="1083" t="s">
        <v>942</v>
      </c>
      <c r="H104" s="1086">
        <v>395.18748479143534</v>
      </c>
      <c r="I104" s="1081">
        <v>327.93743301376458</v>
      </c>
      <c r="J104" s="1081">
        <v>308.1168215017646</v>
      </c>
      <c r="K104" s="1081">
        <v>267.92986867009375</v>
      </c>
      <c r="L104" s="1081">
        <v>250.30573653409374</v>
      </c>
      <c r="M104" s="1082">
        <v>232.6816043980937</v>
      </c>
    </row>
    <row r="105" spans="2:13">
      <c r="B105" s="1085" t="s">
        <v>1770</v>
      </c>
      <c r="C105" s="1084" t="s">
        <v>66</v>
      </c>
      <c r="D105" s="1083" t="s">
        <v>874</v>
      </c>
      <c r="E105" s="1083" t="s">
        <v>65</v>
      </c>
      <c r="F105" s="1083" t="s">
        <v>23</v>
      </c>
      <c r="G105" s="1083" t="s">
        <v>1164</v>
      </c>
      <c r="H105" s="1086">
        <v>394.99789628308599</v>
      </c>
      <c r="I105" s="1081">
        <v>327.88937769799168</v>
      </c>
      <c r="J105" s="1081">
        <v>307.98517942039172</v>
      </c>
      <c r="K105" s="1081">
        <v>267.65848543989745</v>
      </c>
      <c r="L105" s="1081">
        <v>249.96938077029742</v>
      </c>
      <c r="M105" s="1082">
        <v>232.28027610069739</v>
      </c>
    </row>
    <row r="106" spans="2:13">
      <c r="B106" s="1085" t="s">
        <v>893</v>
      </c>
      <c r="C106" s="1084" t="s">
        <v>67</v>
      </c>
      <c r="D106" s="1083" t="s">
        <v>874</v>
      </c>
      <c r="E106" s="1083" t="s">
        <v>125</v>
      </c>
      <c r="F106" s="1083" t="s">
        <v>23</v>
      </c>
      <c r="G106" s="1083" t="s">
        <v>942</v>
      </c>
      <c r="H106" s="1086">
        <v>383.8044226291417</v>
      </c>
      <c r="I106" s="1081">
        <v>319.18635500408686</v>
      </c>
      <c r="J106" s="1081">
        <v>300.12161427008687</v>
      </c>
      <c r="K106" s="1081">
        <v>261.18631164903201</v>
      </c>
      <c r="L106" s="1081">
        <v>244.234286247032</v>
      </c>
      <c r="M106" s="1082">
        <v>227.28226084503197</v>
      </c>
    </row>
    <row r="107" spans="2:13">
      <c r="B107" s="1085" t="s">
        <v>1633</v>
      </c>
      <c r="C107" s="1084" t="s">
        <v>22</v>
      </c>
      <c r="D107" s="1083" t="s">
        <v>874</v>
      </c>
      <c r="E107" s="1083" t="s">
        <v>125</v>
      </c>
      <c r="F107" s="1083" t="s">
        <v>23</v>
      </c>
      <c r="G107" s="1083" t="s">
        <v>1164</v>
      </c>
      <c r="H107" s="1086">
        <v>382.06517493370512</v>
      </c>
      <c r="I107" s="1081">
        <v>317.15319555607078</v>
      </c>
      <c r="J107" s="1081">
        <v>298.0900946472708</v>
      </c>
      <c r="K107" s="1081">
        <v>258.71896891443657</v>
      </c>
      <c r="L107" s="1081">
        <v>241.8151189176366</v>
      </c>
      <c r="M107" s="1082">
        <v>224.91126892083659</v>
      </c>
    </row>
    <row r="108" spans="2:13">
      <c r="B108" s="1085" t="s">
        <v>868</v>
      </c>
      <c r="C108" s="1084" t="s">
        <v>67</v>
      </c>
      <c r="D108" s="1083" t="s">
        <v>874</v>
      </c>
      <c r="E108" s="1083" t="s">
        <v>65</v>
      </c>
      <c r="F108" s="1083" t="s">
        <v>70</v>
      </c>
      <c r="G108" s="1083" t="s">
        <v>1164</v>
      </c>
      <c r="H108" s="1086">
        <v>371.85770711512941</v>
      </c>
      <c r="I108" s="1081">
        <v>321.95121712828063</v>
      </c>
      <c r="J108" s="1081">
        <v>296.30080543228064</v>
      </c>
      <c r="K108" s="1081">
        <v>245.56156124133179</v>
      </c>
      <c r="L108" s="1081">
        <v>230.3467533603318</v>
      </c>
      <c r="M108" s="1082">
        <v>215.13194547933182</v>
      </c>
    </row>
    <row r="109" spans="2:13">
      <c r="B109" s="1085" t="s">
        <v>864</v>
      </c>
      <c r="C109" s="1084" t="s">
        <v>123</v>
      </c>
      <c r="D109" s="1083" t="s">
        <v>874</v>
      </c>
      <c r="E109" s="1083" t="s">
        <v>125</v>
      </c>
      <c r="F109" s="1083" t="s">
        <v>23</v>
      </c>
      <c r="G109" s="1083" t="s">
        <v>942</v>
      </c>
      <c r="H109" s="1086">
        <v>370.80996977218933</v>
      </c>
      <c r="I109" s="1081">
        <v>308.6009614432096</v>
      </c>
      <c r="J109" s="1081">
        <v>290.33912950000399</v>
      </c>
      <c r="K109" s="1081">
        <v>252.83331648989687</v>
      </c>
      <c r="L109" s="1081">
        <v>236.59397084401468</v>
      </c>
      <c r="M109" s="1082">
        <v>220.35462519813245</v>
      </c>
    </row>
    <row r="110" spans="2:13">
      <c r="B110" s="1085" t="s">
        <v>2311</v>
      </c>
      <c r="C110" s="1084" t="s">
        <v>69</v>
      </c>
      <c r="D110" s="1083" t="s">
        <v>874</v>
      </c>
      <c r="E110" s="1083" t="s">
        <v>125</v>
      </c>
      <c r="F110" s="1083" t="s">
        <v>23</v>
      </c>
      <c r="G110" s="1083" t="s">
        <v>1164</v>
      </c>
      <c r="H110" s="1086">
        <v>370.68371501908337</v>
      </c>
      <c r="I110" s="1081">
        <v>305.67357582541257</v>
      </c>
      <c r="J110" s="1081">
        <v>287.31728389741255</v>
      </c>
      <c r="K110" s="1081">
        <v>247.8624908577417</v>
      </c>
      <c r="L110" s="1081">
        <v>231.70267830574173</v>
      </c>
      <c r="M110" s="1082">
        <v>215.54286575374169</v>
      </c>
    </row>
    <row r="111" spans="2:13">
      <c r="B111" s="1085" t="s">
        <v>865</v>
      </c>
      <c r="C111" s="1084" t="s">
        <v>69</v>
      </c>
      <c r="D111" s="1083" t="s">
        <v>874</v>
      </c>
      <c r="E111" s="1083" t="s">
        <v>125</v>
      </c>
      <c r="F111" s="1083" t="s">
        <v>23</v>
      </c>
      <c r="G111" s="1083" t="s">
        <v>942</v>
      </c>
      <c r="H111" s="1086">
        <v>368.88311059737595</v>
      </c>
      <c r="I111" s="1081">
        <v>310.53863128784911</v>
      </c>
      <c r="J111" s="1081">
        <v>292.81300726784912</v>
      </c>
      <c r="K111" s="1081">
        <v>258.11480734232225</v>
      </c>
      <c r="L111" s="1081">
        <v>242.15753536232231</v>
      </c>
      <c r="M111" s="1082">
        <v>226.20026338232231</v>
      </c>
    </row>
    <row r="112" spans="2:13">
      <c r="B112" s="1085" t="s">
        <v>866</v>
      </c>
      <c r="C112" s="1084" t="s">
        <v>66</v>
      </c>
      <c r="D112" s="1083" t="s">
        <v>874</v>
      </c>
      <c r="E112" s="1083" t="s">
        <v>125</v>
      </c>
      <c r="F112" s="1083" t="s">
        <v>23</v>
      </c>
      <c r="G112" s="1083" t="s">
        <v>942</v>
      </c>
      <c r="H112" s="1086">
        <v>349.56676832321483</v>
      </c>
      <c r="I112" s="1081">
        <v>295.22810125356682</v>
      </c>
      <c r="J112" s="1081">
        <v>278.90186860356687</v>
      </c>
      <c r="K112" s="1081">
        <v>246.33996939091884</v>
      </c>
      <c r="L112" s="1081">
        <v>231.64248204091882</v>
      </c>
      <c r="M112" s="1082">
        <v>216.94499469091886</v>
      </c>
    </row>
    <row r="113" spans="2:13">
      <c r="B113" s="1085" t="s">
        <v>430</v>
      </c>
      <c r="C113" s="1084" t="s">
        <v>124</v>
      </c>
      <c r="D113" s="1083" t="s">
        <v>874</v>
      </c>
      <c r="E113" s="1083" t="s">
        <v>65</v>
      </c>
      <c r="F113" s="1083" t="s">
        <v>23</v>
      </c>
      <c r="G113" s="1083" t="s">
        <v>1164</v>
      </c>
      <c r="H113" s="1086">
        <v>341.44017093423656</v>
      </c>
      <c r="I113" s="1081">
        <v>282.79079833997025</v>
      </c>
      <c r="J113" s="1081">
        <v>266.37902886197026</v>
      </c>
      <c r="K113" s="1081">
        <v>230.29409421570398</v>
      </c>
      <c r="L113" s="1081">
        <v>215.84612621370397</v>
      </c>
      <c r="M113" s="1082">
        <v>201.39815821170401</v>
      </c>
    </row>
    <row r="114" spans="2:13">
      <c r="B114" s="1085" t="s">
        <v>1682</v>
      </c>
      <c r="C114" s="1084" t="s">
        <v>69</v>
      </c>
      <c r="D114" s="1083" t="s">
        <v>874</v>
      </c>
      <c r="E114" s="1083" t="s">
        <v>125</v>
      </c>
      <c r="F114" s="1083" t="s">
        <v>23</v>
      </c>
      <c r="G114" s="1083" t="s">
        <v>942</v>
      </c>
      <c r="H114" s="1086">
        <v>333.0945544166309</v>
      </c>
      <c r="I114" s="1081">
        <v>278.75196377134057</v>
      </c>
      <c r="J114" s="1081">
        <v>263.21462000134056</v>
      </c>
      <c r="K114" s="1081">
        <v>229.94799353805027</v>
      </c>
      <c r="L114" s="1081">
        <v>216.13246622805028</v>
      </c>
      <c r="M114" s="1082">
        <v>202.31693891805028</v>
      </c>
    </row>
    <row r="115" spans="2:13">
      <c r="B115" s="1085" t="s">
        <v>869</v>
      </c>
      <c r="C115" s="1084" t="s">
        <v>124</v>
      </c>
      <c r="D115" s="1083" t="s">
        <v>874</v>
      </c>
      <c r="E115" s="1083" t="s">
        <v>125</v>
      </c>
      <c r="F115" s="1083" t="s">
        <v>23</v>
      </c>
      <c r="G115" s="1083" t="s">
        <v>1164</v>
      </c>
      <c r="H115" s="1086">
        <v>304.03079429499491</v>
      </c>
      <c r="I115" s="1081">
        <v>252.89874335650688</v>
      </c>
      <c r="J115" s="1081">
        <v>238.97596261450678</v>
      </c>
      <c r="K115" s="1081">
        <v>207.24359778701884</v>
      </c>
      <c r="L115" s="1081">
        <v>194.98679080901886</v>
      </c>
      <c r="M115" s="1082">
        <v>182.72998383101884</v>
      </c>
    </row>
    <row r="116" spans="2:13">
      <c r="B116" s="1085" t="s">
        <v>870</v>
      </c>
      <c r="C116" s="1084" t="s">
        <v>123</v>
      </c>
      <c r="D116" s="1083" t="s">
        <v>874</v>
      </c>
      <c r="E116" s="1083" t="s">
        <v>125</v>
      </c>
      <c r="F116" s="1083" t="s">
        <v>23</v>
      </c>
      <c r="G116" s="1083" t="s">
        <v>1164</v>
      </c>
      <c r="H116" s="1086">
        <v>301.00137416142059</v>
      </c>
      <c r="I116" s="1081">
        <v>250.67942128605827</v>
      </c>
      <c r="J116" s="1081">
        <v>237.06776413605832</v>
      </c>
      <c r="K116" s="1081">
        <v>205.722688387696</v>
      </c>
      <c r="L116" s="1081">
        <v>193.73977653769597</v>
      </c>
      <c r="M116" s="1082">
        <v>181.75686468769601</v>
      </c>
    </row>
    <row r="117" spans="2:13">
      <c r="B117" s="1085" t="s">
        <v>871</v>
      </c>
      <c r="C117" s="1084" t="s">
        <v>123</v>
      </c>
      <c r="D117" s="1083" t="s">
        <v>874</v>
      </c>
      <c r="E117" s="1083" t="s">
        <v>125</v>
      </c>
      <c r="F117" s="1083" t="s">
        <v>14</v>
      </c>
      <c r="G117" s="1083" t="s">
        <v>1164</v>
      </c>
      <c r="H117" s="1086">
        <v>284.28825469649723</v>
      </c>
      <c r="I117" s="1081">
        <v>246.19111848087564</v>
      </c>
      <c r="J117" s="1081">
        <v>224.41805131047565</v>
      </c>
      <c r="K117" s="1081">
        <v>184.842479718254</v>
      </c>
      <c r="L117" s="1081">
        <v>172.06008660385402</v>
      </c>
      <c r="M117" s="1082">
        <v>159.27769348945404</v>
      </c>
    </row>
    <row r="118" spans="2:13">
      <c r="B118" s="1085" t="s">
        <v>872</v>
      </c>
      <c r="C118" s="1084" t="s">
        <v>67</v>
      </c>
      <c r="D118" s="1083" t="s">
        <v>874</v>
      </c>
      <c r="E118" s="1083" t="s">
        <v>125</v>
      </c>
      <c r="F118" s="1083" t="s">
        <v>23</v>
      </c>
      <c r="G118" s="1083" t="s">
        <v>1164</v>
      </c>
      <c r="H118" s="1086">
        <v>270.19798515679861</v>
      </c>
      <c r="I118" s="1081">
        <v>222.85403151754429</v>
      </c>
      <c r="J118" s="1081">
        <v>210.93959344954428</v>
      </c>
      <c r="K118" s="1081">
        <v>180.56284467528999</v>
      </c>
      <c r="L118" s="1081">
        <v>170.26784479129</v>
      </c>
      <c r="M118" s="1082">
        <v>159.97284490729001</v>
      </c>
    </row>
    <row r="119" spans="2:13" ht="17.25" thickBot="1">
      <c r="B119" s="691" t="s">
        <v>2701</v>
      </c>
      <c r="C119" s="692" t="s">
        <v>66</v>
      </c>
      <c r="D119" s="1083" t="s">
        <v>874</v>
      </c>
      <c r="E119" s="1083" t="s">
        <v>125</v>
      </c>
      <c r="F119" s="693" t="s">
        <v>70</v>
      </c>
      <c r="G119" s="1083" t="s">
        <v>1164</v>
      </c>
      <c r="H119" s="694">
        <v>249.60085173233782</v>
      </c>
      <c r="I119" s="695">
        <v>205.02806105713285</v>
      </c>
      <c r="J119" s="695">
        <v>193.37302560793279</v>
      </c>
      <c r="K119" s="695">
        <v>165.05840375702783</v>
      </c>
      <c r="L119" s="695">
        <v>154.80083177522786</v>
      </c>
      <c r="M119" s="696">
        <v>144.54325979342784</v>
      </c>
    </row>
    <row r="120" spans="2:13">
      <c r="B120" s="218"/>
      <c r="C120" s="218"/>
      <c r="D120" s="217"/>
      <c r="E120" s="217"/>
      <c r="F120" s="217"/>
      <c r="G120" s="217"/>
      <c r="H120" s="219"/>
      <c r="I120" s="219"/>
      <c r="J120" s="219"/>
      <c r="K120" s="219"/>
      <c r="L120" s="219"/>
      <c r="M120" s="219"/>
    </row>
    <row r="121" spans="2:13">
      <c r="B121" s="1591" t="s">
        <v>2006</v>
      </c>
      <c r="C121" s="1591"/>
      <c r="D121" s="1591"/>
      <c r="E121" s="1591"/>
      <c r="F121" s="1591"/>
      <c r="G121" s="1591"/>
      <c r="H121" s="1591"/>
      <c r="I121" s="1591"/>
      <c r="J121" s="1591"/>
      <c r="K121" s="1591"/>
      <c r="L121" s="1591"/>
      <c r="M121" s="1591"/>
    </row>
    <row r="122" spans="2:13">
      <c r="B122" s="1591" t="s">
        <v>2403</v>
      </c>
      <c r="C122" s="1591"/>
      <c r="D122" s="1591"/>
      <c r="E122" s="1591"/>
      <c r="F122" s="1591"/>
      <c r="G122" s="1591"/>
      <c r="H122" s="1591"/>
      <c r="I122" s="1591"/>
      <c r="J122" s="1591"/>
      <c r="K122" s="1591"/>
      <c r="L122" s="1591"/>
      <c r="M122" s="1591"/>
    </row>
    <row r="123" spans="2:13">
      <c r="B123" s="1592" t="s">
        <v>1102</v>
      </c>
      <c r="C123" s="1592"/>
      <c r="D123" s="1592"/>
      <c r="E123" s="1592"/>
      <c r="F123" s="1592"/>
      <c r="G123" s="1592"/>
      <c r="H123" s="1592"/>
      <c r="I123" s="1592"/>
      <c r="J123" s="1592"/>
      <c r="K123" s="1592"/>
      <c r="L123" s="1592"/>
      <c r="M123" s="1592"/>
    </row>
    <row r="124" spans="2:13">
      <c r="B124" s="1592" t="s">
        <v>1103</v>
      </c>
      <c r="C124" s="1592"/>
      <c r="D124" s="1592"/>
      <c r="E124" s="1592"/>
      <c r="F124" s="1592"/>
      <c r="G124" s="1592"/>
      <c r="H124" s="1592"/>
      <c r="I124" s="1592"/>
      <c r="J124" s="1592"/>
      <c r="K124" s="1592"/>
      <c r="L124" s="1592"/>
      <c r="M124" s="1592"/>
    </row>
    <row r="125" spans="2:13">
      <c r="B125" s="1592" t="s">
        <v>1104</v>
      </c>
      <c r="C125" s="1592"/>
      <c r="D125" s="1592"/>
      <c r="E125" s="1592"/>
      <c r="F125" s="1592"/>
      <c r="G125" s="1592"/>
      <c r="H125" s="1592"/>
      <c r="I125" s="1592"/>
      <c r="J125" s="1592"/>
      <c r="K125" s="1592"/>
      <c r="L125" s="1592"/>
      <c r="M125" s="1592"/>
    </row>
    <row r="126" spans="2:13">
      <c r="B126" s="1592" t="s">
        <v>1105</v>
      </c>
      <c r="C126" s="1592"/>
      <c r="D126" s="1592"/>
      <c r="E126" s="1592"/>
      <c r="F126" s="1592"/>
      <c r="G126" s="1592"/>
      <c r="H126" s="1592"/>
      <c r="I126" s="1592"/>
      <c r="J126" s="1592"/>
      <c r="K126" s="1592"/>
      <c r="L126" s="1592"/>
      <c r="M126" s="1592"/>
    </row>
  </sheetData>
  <autoFilter ref="B2:M119" xr:uid="{D9B3F745-AA3F-4186-9F26-C4EFD2BF09C4}">
    <sortState ref="B3:M119">
      <sortCondition descending="1" ref="H2:H119"/>
    </sortState>
  </autoFilter>
  <mergeCells count="6">
    <mergeCell ref="B121:M121"/>
    <mergeCell ref="B123:M123"/>
    <mergeCell ref="B124:M124"/>
    <mergeCell ref="B125:M125"/>
    <mergeCell ref="B126:M126"/>
    <mergeCell ref="B122:M122"/>
  </mergeCells>
  <phoneticPr fontId="1" type="noConversion"/>
  <conditionalFormatting sqref="B3:C17 B22:C120">
    <cfRule type="expression" dxfId="12" priority="7">
      <formula>$C3="紫"</formula>
    </cfRule>
    <cfRule type="expression" dxfId="11" priority="8">
      <formula>$C3="黄"</formula>
    </cfRule>
    <cfRule type="expression" dxfId="10" priority="9">
      <formula>$C3="红"</formula>
    </cfRule>
    <cfRule type="expression" dxfId="9" priority="10">
      <formula>$C3="蓝"</formula>
    </cfRule>
    <cfRule type="expression" dxfId="8" priority="11">
      <formula>$C3="绿"</formula>
    </cfRule>
    <cfRule type="expression" dxfId="7" priority="12">
      <formula>$C3="粉"</formula>
    </cfRule>
  </conditionalFormatting>
  <conditionalFormatting sqref="B18:C21">
    <cfRule type="expression" dxfId="6" priority="1">
      <formula>$C18="紫"</formula>
    </cfRule>
    <cfRule type="expression" dxfId="5" priority="2">
      <formula>$C18="黄"</formula>
    </cfRule>
    <cfRule type="expression" dxfId="4" priority="3">
      <formula>$C18="红"</formula>
    </cfRule>
    <cfRule type="expression" dxfId="3" priority="4">
      <formula>$C18="蓝"</formula>
    </cfRule>
    <cfRule type="expression" dxfId="2" priority="5">
      <formula>$C18="绿"</formula>
    </cfRule>
    <cfRule type="expression" dxfId="1" priority="6">
      <formula>$C18="粉"</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629F4-C1D7-4942-9667-BED1BD184D2F}">
  <dimension ref="B1:R119"/>
  <sheetViews>
    <sheetView topLeftCell="A29" zoomScaleNormal="100" workbookViewId="0">
      <selection activeCell="W45" sqref="W45"/>
    </sheetView>
  </sheetViews>
  <sheetFormatPr defaultColWidth="9" defaultRowHeight="16.5"/>
  <cols>
    <col min="1" max="1" width="9" style="1076"/>
    <col min="2" max="2" width="7.375" style="1076" bestFit="1" customWidth="1"/>
    <col min="3" max="3" width="12.75" style="1076" bestFit="1" customWidth="1"/>
    <col min="4" max="7" width="8.875" style="201" bestFit="1" customWidth="1"/>
    <col min="8" max="8" width="8.875" style="201" customWidth="1"/>
    <col min="9" max="9" width="10.875" style="1076" bestFit="1" customWidth="1"/>
    <col min="10" max="10" width="9" style="1076"/>
    <col min="11" max="11" width="7.375" style="1076" bestFit="1" customWidth="1"/>
    <col min="12" max="12" width="12.75" style="1076" bestFit="1" customWidth="1"/>
    <col min="13" max="13" width="8.875" style="1076" bestFit="1" customWidth="1"/>
    <col min="14" max="16" width="8.875" style="201" bestFit="1" customWidth="1"/>
    <col min="17" max="17" width="8.875" style="201" customWidth="1"/>
    <col min="18" max="18" width="10.875" style="201" bestFit="1" customWidth="1"/>
    <col min="19" max="19" width="7.75" style="1076" bestFit="1" customWidth="1"/>
    <col min="20" max="16384" width="9" style="1076"/>
  </cols>
  <sheetData>
    <row r="1" spans="2:18" ht="17.25" thickBot="1">
      <c r="D1" s="759"/>
      <c r="E1" s="759"/>
      <c r="F1" s="759"/>
      <c r="G1" s="759"/>
      <c r="H1" s="759"/>
      <c r="N1" s="759"/>
      <c r="O1" s="759"/>
      <c r="P1" s="759"/>
      <c r="Q1" s="759"/>
      <c r="R1" s="759"/>
    </row>
    <row r="2" spans="2:18" ht="17.25" thickTop="1">
      <c r="B2" s="1399" t="s">
        <v>3205</v>
      </c>
      <c r="C2" s="1558"/>
      <c r="D2" s="1558"/>
      <c r="E2" s="1558"/>
      <c r="F2" s="1558"/>
      <c r="G2" s="1558"/>
      <c r="H2" s="1558"/>
      <c r="I2" s="1559"/>
      <c r="K2" s="1399" t="s">
        <v>3206</v>
      </c>
      <c r="L2" s="1558"/>
      <c r="M2" s="1558"/>
      <c r="N2" s="1558"/>
      <c r="O2" s="1558"/>
      <c r="P2" s="1558"/>
      <c r="Q2" s="1558"/>
      <c r="R2" s="1559"/>
    </row>
    <row r="3" spans="2:18" ht="17.25" thickBot="1">
      <c r="B3" s="570" t="s">
        <v>204</v>
      </c>
      <c r="C3" s="573" t="s">
        <v>203</v>
      </c>
      <c r="D3" s="763" t="s">
        <v>1999</v>
      </c>
      <c r="E3" s="761" t="s">
        <v>2000</v>
      </c>
      <c r="F3" s="761" t="s">
        <v>2001</v>
      </c>
      <c r="G3" s="767" t="s">
        <v>2002</v>
      </c>
      <c r="H3" s="771" t="s">
        <v>2003</v>
      </c>
      <c r="I3" s="762" t="s">
        <v>2004</v>
      </c>
      <c r="K3" s="570" t="s">
        <v>204</v>
      </c>
      <c r="L3" s="573" t="s">
        <v>203</v>
      </c>
      <c r="M3" s="763" t="s">
        <v>2005</v>
      </c>
      <c r="N3" s="761" t="s">
        <v>2001</v>
      </c>
      <c r="O3" s="761" t="s">
        <v>4776</v>
      </c>
      <c r="P3" s="767" t="s">
        <v>4777</v>
      </c>
      <c r="Q3" s="771" t="s">
        <v>2003</v>
      </c>
      <c r="R3" s="762" t="s">
        <v>2004</v>
      </c>
    </row>
    <row r="4" spans="2:18">
      <c r="B4" s="1279" t="s">
        <v>4823</v>
      </c>
      <c r="C4" s="1276">
        <v>300023002</v>
      </c>
      <c r="D4" s="764">
        <v>118268.81817826239</v>
      </c>
      <c r="E4" s="760">
        <v>123830.66346063701</v>
      </c>
      <c r="F4" s="760">
        <v>126941.579516381</v>
      </c>
      <c r="G4" s="768">
        <v>128378.51066193523</v>
      </c>
      <c r="H4" s="772">
        <f>AVERAGE(D4:G4)</f>
        <v>124354.89295430391</v>
      </c>
      <c r="I4" s="1250">
        <v>9</v>
      </c>
      <c r="K4" s="1279" t="s">
        <v>4823</v>
      </c>
      <c r="L4" s="1276">
        <v>300023002</v>
      </c>
      <c r="M4" s="764">
        <v>81382.931525326698</v>
      </c>
      <c r="N4" s="760">
        <v>113526.35154616814</v>
      </c>
      <c r="O4" s="760">
        <v>120155.92781756676</v>
      </c>
      <c r="P4" s="768">
        <v>123914.86365552626</v>
      </c>
      <c r="Q4" s="772">
        <f>AVERAGE(M4:P4)</f>
        <v>109745.01863614695</v>
      </c>
      <c r="R4" s="1598">
        <v>8</v>
      </c>
    </row>
    <row r="5" spans="2:18">
      <c r="B5" s="1279" t="s">
        <v>2620</v>
      </c>
      <c r="C5" s="1276">
        <v>300013002</v>
      </c>
      <c r="D5" s="764">
        <v>112707.89428120972</v>
      </c>
      <c r="E5" s="760">
        <v>118264.32659033487</v>
      </c>
      <c r="F5" s="760">
        <v>121254.64196168026</v>
      </c>
      <c r="G5" s="768">
        <v>122492.35612121063</v>
      </c>
      <c r="H5" s="773">
        <f t="shared" ref="H5:H36" si="0">AVERAGE(D5:G5)</f>
        <v>118679.80473860886</v>
      </c>
      <c r="I5" s="1594">
        <v>8</v>
      </c>
      <c r="K5" s="1279" t="s">
        <v>2048</v>
      </c>
      <c r="L5" s="1276">
        <v>201053002</v>
      </c>
      <c r="M5" s="764">
        <v>76126.639206106702</v>
      </c>
      <c r="N5" s="760">
        <v>109653.12240328707</v>
      </c>
      <c r="O5" s="760">
        <v>116356.58150607045</v>
      </c>
      <c r="P5" s="768">
        <v>120182.02553302233</v>
      </c>
      <c r="Q5" s="772">
        <f>AVERAGE(M5:P5)</f>
        <v>105579.59216212164</v>
      </c>
      <c r="R5" s="1594"/>
    </row>
    <row r="6" spans="2:18">
      <c r="B6" s="1280" t="s">
        <v>1972</v>
      </c>
      <c r="C6" s="1277">
        <v>200093001</v>
      </c>
      <c r="D6" s="765">
        <v>113262.84995976747</v>
      </c>
      <c r="E6" s="1087">
        <v>118249.3980211868</v>
      </c>
      <c r="F6" s="1087">
        <v>120617.44437033166</v>
      </c>
      <c r="G6" s="769">
        <v>121198.18756013742</v>
      </c>
      <c r="H6" s="773">
        <f t="shared" si="0"/>
        <v>118331.96997785584</v>
      </c>
      <c r="I6" s="1594"/>
      <c r="K6" s="1280" t="s">
        <v>2620</v>
      </c>
      <c r="L6" s="1277">
        <v>300013002</v>
      </c>
      <c r="M6" s="765">
        <v>74340.308575163028</v>
      </c>
      <c r="N6" s="1087">
        <v>108093.17548393193</v>
      </c>
      <c r="O6" s="1087">
        <v>115045.74438285813</v>
      </c>
      <c r="P6" s="769">
        <v>118988.95696138233</v>
      </c>
      <c r="Q6" s="773">
        <f t="shared" ref="Q6:Q36" si="1">AVERAGE(M6:P6)</f>
        <v>104117.04635083384</v>
      </c>
      <c r="R6" s="1594"/>
    </row>
    <row r="7" spans="2:18">
      <c r="B7" s="1280" t="s">
        <v>2048</v>
      </c>
      <c r="C7" s="1277">
        <v>201053002</v>
      </c>
      <c r="D7" s="765">
        <v>111441.24010313582</v>
      </c>
      <c r="E7" s="1087">
        <v>117490.43260139902</v>
      </c>
      <c r="F7" s="1087">
        <v>120925.92681135678</v>
      </c>
      <c r="G7" s="769">
        <v>122576.73388868099</v>
      </c>
      <c r="H7" s="773">
        <f t="shared" si="0"/>
        <v>118108.58335114316</v>
      </c>
      <c r="I7" s="1594"/>
      <c r="K7" s="1280" t="s">
        <v>1993</v>
      </c>
      <c r="L7" s="1277">
        <v>200023002</v>
      </c>
      <c r="M7" s="765">
        <v>69673.096644067904</v>
      </c>
      <c r="N7" s="1087">
        <v>104567.44631411083</v>
      </c>
      <c r="O7" s="1087">
        <v>111631.1711197924</v>
      </c>
      <c r="P7" s="769">
        <v>115651.91002003975</v>
      </c>
      <c r="Q7" s="773">
        <f t="shared" si="1"/>
        <v>100380.90602450272</v>
      </c>
      <c r="R7" s="1595"/>
    </row>
    <row r="8" spans="2:18">
      <c r="B8" s="1280" t="s">
        <v>1973</v>
      </c>
      <c r="C8" s="1277">
        <v>201083001</v>
      </c>
      <c r="D8" s="765">
        <v>112755.12276679528</v>
      </c>
      <c r="E8" s="1087">
        <v>117869.83571536404</v>
      </c>
      <c r="F8" s="1087">
        <v>120428.28725129506</v>
      </c>
      <c r="G8" s="769">
        <v>121241.20553046405</v>
      </c>
      <c r="H8" s="773">
        <f t="shared" si="0"/>
        <v>118073.61281597961</v>
      </c>
      <c r="I8" s="1595"/>
      <c r="K8" s="1280" t="s">
        <v>1973</v>
      </c>
      <c r="L8" s="1277">
        <v>201083001</v>
      </c>
      <c r="M8" s="765">
        <v>63737.288918889128</v>
      </c>
      <c r="N8" s="1087">
        <v>100192.48067343576</v>
      </c>
      <c r="O8" s="1087">
        <v>107436.14097300287</v>
      </c>
      <c r="P8" s="769">
        <v>111575.70359444615</v>
      </c>
      <c r="Q8" s="773">
        <f t="shared" si="1"/>
        <v>95735.40353994348</v>
      </c>
      <c r="R8" s="1274">
        <v>7.5</v>
      </c>
    </row>
    <row r="9" spans="2:18">
      <c r="B9" s="1280" t="s">
        <v>1990</v>
      </c>
      <c r="C9" s="1277">
        <v>202093001</v>
      </c>
      <c r="D9" s="765">
        <v>112771.39692932709</v>
      </c>
      <c r="E9" s="1087">
        <v>117848.20539817098</v>
      </c>
      <c r="F9" s="1087">
        <v>120306.65088626406</v>
      </c>
      <c r="G9" s="769">
        <v>120977.89446754099</v>
      </c>
      <c r="H9" s="773">
        <f t="shared" si="0"/>
        <v>117976.03692032577</v>
      </c>
      <c r="I9" s="1596">
        <v>7.5</v>
      </c>
      <c r="K9" s="1280" t="s">
        <v>4100</v>
      </c>
      <c r="L9" s="1277">
        <v>400053004</v>
      </c>
      <c r="M9" s="765">
        <v>64748.786756068926</v>
      </c>
      <c r="N9" s="1087">
        <v>102056.50120141315</v>
      </c>
      <c r="O9" s="1087">
        <v>108445.44590712569</v>
      </c>
      <c r="P9" s="769">
        <v>100790.21639504112</v>
      </c>
      <c r="Q9" s="773">
        <f t="shared" si="1"/>
        <v>94010.237564912211</v>
      </c>
      <c r="R9" s="1596">
        <v>7</v>
      </c>
    </row>
    <row r="10" spans="2:18">
      <c r="B10" s="1280" t="s">
        <v>1993</v>
      </c>
      <c r="C10" s="1277">
        <v>200023002</v>
      </c>
      <c r="D10" s="765">
        <v>110875.39742577627</v>
      </c>
      <c r="E10" s="1087">
        <v>116604.84866214317</v>
      </c>
      <c r="F10" s="1087">
        <v>119720.71255046777</v>
      </c>
      <c r="G10" s="769">
        <v>121051.94104690998</v>
      </c>
      <c r="H10" s="773">
        <f t="shared" si="0"/>
        <v>117063.22492132429</v>
      </c>
      <c r="I10" s="1596"/>
      <c r="K10" s="1280" t="s">
        <v>4564</v>
      </c>
      <c r="L10" s="1277">
        <v>401063005</v>
      </c>
      <c r="M10" s="765">
        <v>65370.986138704655</v>
      </c>
      <c r="N10" s="1087">
        <v>102660.83286897294</v>
      </c>
      <c r="O10" s="1087">
        <v>108960.0216149445</v>
      </c>
      <c r="P10" s="769">
        <v>96198.64710935828</v>
      </c>
      <c r="Q10" s="773">
        <f t="shared" si="1"/>
        <v>93297.621932995098</v>
      </c>
      <c r="R10" s="1596"/>
    </row>
    <row r="11" spans="2:18">
      <c r="B11" s="1280" t="s">
        <v>2587</v>
      </c>
      <c r="C11" s="1277">
        <v>200083002</v>
      </c>
      <c r="D11" s="765">
        <v>111277.10205091056</v>
      </c>
      <c r="E11" s="1087">
        <v>116603.09277463274</v>
      </c>
      <c r="F11" s="1087">
        <v>119310.97331122226</v>
      </c>
      <c r="G11" s="769">
        <v>120231.86837618554</v>
      </c>
      <c r="H11" s="773">
        <f t="shared" si="0"/>
        <v>116855.75912823777</v>
      </c>
      <c r="I11" s="1596"/>
      <c r="K11" s="1280" t="s">
        <v>2687</v>
      </c>
      <c r="L11" s="1277">
        <v>401033004</v>
      </c>
      <c r="M11" s="765">
        <v>69724.187434789084</v>
      </c>
      <c r="N11" s="1087">
        <v>105727.08258366169</v>
      </c>
      <c r="O11" s="1087">
        <v>111241.94604296533</v>
      </c>
      <c r="P11" s="769">
        <v>86203.451658798149</v>
      </c>
      <c r="Q11" s="773">
        <f t="shared" si="1"/>
        <v>93224.166930053558</v>
      </c>
      <c r="R11" s="1596"/>
    </row>
    <row r="12" spans="2:18">
      <c r="B12" s="1280" t="s">
        <v>1994</v>
      </c>
      <c r="C12" s="1277">
        <v>201033002</v>
      </c>
      <c r="D12" s="765">
        <v>111369.10037069647</v>
      </c>
      <c r="E12" s="1087">
        <v>116535.38905108927</v>
      </c>
      <c r="F12" s="1087">
        <v>119083.57599876563</v>
      </c>
      <c r="G12" s="769">
        <v>119844.76903519634</v>
      </c>
      <c r="H12" s="773">
        <f t="shared" si="0"/>
        <v>116708.20861393693</v>
      </c>
      <c r="I12" s="1596"/>
      <c r="K12" s="1280" t="s">
        <v>1294</v>
      </c>
      <c r="L12" s="1277">
        <v>401023003</v>
      </c>
      <c r="M12" s="765">
        <v>57533.419659441286</v>
      </c>
      <c r="N12" s="1087">
        <v>95070.982990019605</v>
      </c>
      <c r="O12" s="1087">
        <v>102777.33108802172</v>
      </c>
      <c r="P12" s="769">
        <v>107151.3473911008</v>
      </c>
      <c r="Q12" s="773">
        <f t="shared" si="1"/>
        <v>90633.270282145852</v>
      </c>
      <c r="R12" s="1596"/>
    </row>
    <row r="13" spans="2:18">
      <c r="B13" s="1280" t="s">
        <v>1983</v>
      </c>
      <c r="C13" s="1277">
        <v>202033001</v>
      </c>
      <c r="D13" s="765">
        <v>111645.6691131727</v>
      </c>
      <c r="E13" s="1087">
        <v>116577.7560919422</v>
      </c>
      <c r="F13" s="1087">
        <v>118905.95219192715</v>
      </c>
      <c r="G13" s="769">
        <v>119456.86602216051</v>
      </c>
      <c r="H13" s="773">
        <f t="shared" si="0"/>
        <v>116646.56085480063</v>
      </c>
      <c r="I13" s="1596"/>
      <c r="K13" s="1280" t="s">
        <v>1849</v>
      </c>
      <c r="L13" s="1277">
        <v>402073002</v>
      </c>
      <c r="M13" s="765">
        <v>56775.990799546693</v>
      </c>
      <c r="N13" s="1087">
        <v>94624.210117648268</v>
      </c>
      <c r="O13" s="1087">
        <v>102297.83783324849</v>
      </c>
      <c r="P13" s="769">
        <v>106664.61612821449</v>
      </c>
      <c r="Q13" s="773">
        <f t="shared" si="1"/>
        <v>90090.663719664473</v>
      </c>
      <c r="R13" s="1596"/>
    </row>
    <row r="14" spans="2:18">
      <c r="B14" s="1280" t="s">
        <v>2260</v>
      </c>
      <c r="C14" s="1277">
        <v>202103002</v>
      </c>
      <c r="D14" s="765">
        <v>111199.04331526002</v>
      </c>
      <c r="E14" s="1087">
        <v>116325.03685005626</v>
      </c>
      <c r="F14" s="1087">
        <v>118832.85832106347</v>
      </c>
      <c r="G14" s="769">
        <v>119553.65350400186</v>
      </c>
      <c r="H14" s="773">
        <f t="shared" si="0"/>
        <v>116477.6479975954</v>
      </c>
      <c r="I14" s="1596">
        <v>7</v>
      </c>
      <c r="K14" s="1280" t="s">
        <v>1645</v>
      </c>
      <c r="L14" s="1277">
        <v>301013002</v>
      </c>
      <c r="M14" s="765">
        <v>55932.598030538582</v>
      </c>
      <c r="N14" s="1087">
        <v>93825.156706932321</v>
      </c>
      <c r="O14" s="1087">
        <v>101613.02860657606</v>
      </c>
      <c r="P14" s="769">
        <v>106032.33591056714</v>
      </c>
      <c r="Q14" s="773">
        <f t="shared" si="1"/>
        <v>89350.779813653528</v>
      </c>
      <c r="R14" s="1593">
        <v>6.5</v>
      </c>
    </row>
    <row r="15" spans="2:18">
      <c r="B15" s="1280" t="s">
        <v>1978</v>
      </c>
      <c r="C15" s="1277">
        <v>201093001</v>
      </c>
      <c r="D15" s="765">
        <v>111242.43217336482</v>
      </c>
      <c r="E15" s="1087">
        <v>116310.59664380914</v>
      </c>
      <c r="F15" s="1087">
        <v>118760.63142292017</v>
      </c>
      <c r="G15" s="769">
        <v>119423.65788569332</v>
      </c>
      <c r="H15" s="773">
        <f t="shared" si="0"/>
        <v>116434.32953144686</v>
      </c>
      <c r="I15" s="1596"/>
      <c r="K15" s="1280" t="s">
        <v>2587</v>
      </c>
      <c r="L15" s="1277">
        <v>200083002</v>
      </c>
      <c r="M15" s="765">
        <v>51234.970454456154</v>
      </c>
      <c r="N15" s="1087">
        <v>92063.926169979401</v>
      </c>
      <c r="O15" s="1087">
        <v>98876.417278343899</v>
      </c>
      <c r="P15" s="769">
        <v>102860.55184309935</v>
      </c>
      <c r="Q15" s="773">
        <f t="shared" si="1"/>
        <v>86258.966436469695</v>
      </c>
      <c r="R15" s="1594"/>
    </row>
    <row r="16" spans="2:18">
      <c r="B16" s="1280" t="s">
        <v>4100</v>
      </c>
      <c r="C16" s="1277">
        <v>400053004</v>
      </c>
      <c r="D16" s="765">
        <v>112011.30852319286</v>
      </c>
      <c r="E16" s="1087">
        <v>116376.79278995891</v>
      </c>
      <c r="F16" s="1087">
        <v>118148.08719659167</v>
      </c>
      <c r="G16" s="769">
        <v>118148.8702921619</v>
      </c>
      <c r="H16" s="773">
        <f t="shared" si="0"/>
        <v>116171.26470047633</v>
      </c>
      <c r="I16" s="1596"/>
      <c r="K16" s="1280" t="s">
        <v>1976</v>
      </c>
      <c r="L16" s="1277">
        <v>201073001</v>
      </c>
      <c r="M16" s="765">
        <v>50521.804393397666</v>
      </c>
      <c r="N16" s="1087">
        <v>91380.550271990825</v>
      </c>
      <c r="O16" s="1087">
        <v>98298.933500088548</v>
      </c>
      <c r="P16" s="769">
        <v>102328.64050222965</v>
      </c>
      <c r="Q16" s="773">
        <f t="shared" si="1"/>
        <v>85632.482166926668</v>
      </c>
      <c r="R16" s="1594"/>
    </row>
    <row r="17" spans="2:18">
      <c r="B17" s="1280" t="s">
        <v>2579</v>
      </c>
      <c r="C17" s="1277">
        <v>401043004</v>
      </c>
      <c r="D17" s="765">
        <v>111568.30912025961</v>
      </c>
      <c r="E17" s="1087">
        <v>115971.22365479438</v>
      </c>
      <c r="F17" s="1087">
        <v>117712.98530282622</v>
      </c>
      <c r="G17" s="769">
        <v>117638.38070939871</v>
      </c>
      <c r="H17" s="773">
        <f t="shared" si="0"/>
        <v>115722.72469681973</v>
      </c>
      <c r="I17" s="1596"/>
      <c r="K17" s="1280" t="s">
        <v>1986</v>
      </c>
      <c r="L17" s="1277">
        <v>201023001</v>
      </c>
      <c r="M17" s="765">
        <v>50420.054612409214</v>
      </c>
      <c r="N17" s="1087">
        <v>91336.104891898518</v>
      </c>
      <c r="O17" s="1087">
        <v>98240.281357394444</v>
      </c>
      <c r="P17" s="769">
        <v>102266.03298873134</v>
      </c>
      <c r="Q17" s="773">
        <f t="shared" si="1"/>
        <v>85565.61846260837</v>
      </c>
      <c r="R17" s="1595"/>
    </row>
    <row r="18" spans="2:18">
      <c r="B18" s="1280" t="s">
        <v>1986</v>
      </c>
      <c r="C18" s="1277">
        <v>201023001</v>
      </c>
      <c r="D18" s="765">
        <v>110676.41588083879</v>
      </c>
      <c r="E18" s="1087">
        <v>115604.08121058103</v>
      </c>
      <c r="F18" s="1087">
        <v>117913.37230517554</v>
      </c>
      <c r="G18" s="769">
        <v>118435.54224674488</v>
      </c>
      <c r="H18" s="773">
        <f t="shared" si="0"/>
        <v>115657.35291083506</v>
      </c>
      <c r="I18" s="1596"/>
      <c r="K18" s="1280" t="s">
        <v>4626</v>
      </c>
      <c r="L18" s="1277">
        <v>401023006</v>
      </c>
      <c r="M18" s="765">
        <v>49164.905925753417</v>
      </c>
      <c r="N18" s="1087">
        <v>90677.1681572456</v>
      </c>
      <c r="O18" s="1087">
        <v>97484.537201374391</v>
      </c>
      <c r="P18" s="769">
        <v>101482.08687999657</v>
      </c>
      <c r="Q18" s="773">
        <f t="shared" si="1"/>
        <v>84702.174541092492</v>
      </c>
      <c r="R18" s="1596">
        <v>6</v>
      </c>
    </row>
    <row r="19" spans="2:18">
      <c r="B19" s="1280" t="s">
        <v>1976</v>
      </c>
      <c r="C19" s="1277">
        <v>201073001</v>
      </c>
      <c r="D19" s="765">
        <v>110529.26147065348</v>
      </c>
      <c r="E19" s="1087">
        <v>115360.64177511795</v>
      </c>
      <c r="F19" s="1087">
        <v>117573.57715322847</v>
      </c>
      <c r="G19" s="769">
        <v>117999.35501296446</v>
      </c>
      <c r="H19" s="773">
        <f t="shared" si="0"/>
        <v>115365.70885299108</v>
      </c>
      <c r="I19" s="1596"/>
      <c r="K19" s="1280" t="s">
        <v>4316</v>
      </c>
      <c r="L19" s="1277">
        <v>400073004</v>
      </c>
      <c r="M19" s="765">
        <v>49226.045844256143</v>
      </c>
      <c r="N19" s="1087">
        <v>90498.705007418801</v>
      </c>
      <c r="O19" s="1087">
        <v>97417.330740428471</v>
      </c>
      <c r="P19" s="769">
        <v>101458.45197967262</v>
      </c>
      <c r="Q19" s="773">
        <f t="shared" si="1"/>
        <v>84650.133392944001</v>
      </c>
      <c r="R19" s="1596"/>
    </row>
    <row r="20" spans="2:18">
      <c r="B20" s="1280" t="s">
        <v>2364</v>
      </c>
      <c r="C20" s="1277">
        <v>400063003</v>
      </c>
      <c r="D20" s="765">
        <v>111194.98644280367</v>
      </c>
      <c r="E20" s="1087">
        <v>115451.27461266071</v>
      </c>
      <c r="F20" s="1087">
        <v>117046.42627285232</v>
      </c>
      <c r="G20" s="769">
        <v>116825.23356358003</v>
      </c>
      <c r="H20" s="773">
        <f t="shared" si="0"/>
        <v>115129.48022297419</v>
      </c>
      <c r="I20" s="1596"/>
      <c r="K20" s="1280" t="s">
        <v>4182</v>
      </c>
      <c r="L20" s="1277">
        <v>400083005</v>
      </c>
      <c r="M20" s="765">
        <v>48747.847612713624</v>
      </c>
      <c r="N20" s="1087">
        <v>90064.989490228327</v>
      </c>
      <c r="O20" s="1087">
        <v>97063.951971087095</v>
      </c>
      <c r="P20" s="769">
        <v>101142.07180735041</v>
      </c>
      <c r="Q20" s="773">
        <f t="shared" si="1"/>
        <v>84254.715220344864</v>
      </c>
      <c r="R20" s="1596"/>
    </row>
    <row r="21" spans="2:18">
      <c r="B21" s="1280" t="s">
        <v>4626</v>
      </c>
      <c r="C21" s="1277">
        <v>401023006</v>
      </c>
      <c r="D21" s="765">
        <v>109329.93685457365</v>
      </c>
      <c r="E21" s="1087">
        <v>114384.75053013046</v>
      </c>
      <c r="F21" s="1087">
        <v>116779.16055891488</v>
      </c>
      <c r="G21" s="769">
        <v>117357.74274727945</v>
      </c>
      <c r="H21" s="773">
        <f t="shared" si="0"/>
        <v>114462.89767272462</v>
      </c>
      <c r="I21" s="1596">
        <v>6.5</v>
      </c>
      <c r="K21" s="1280" t="s">
        <v>2260</v>
      </c>
      <c r="L21" s="1277">
        <v>202103002</v>
      </c>
      <c r="M21" s="765">
        <v>46438.334112479657</v>
      </c>
      <c r="N21" s="1087">
        <v>88487.188158144534</v>
      </c>
      <c r="O21" s="1087">
        <v>95467.879272550359</v>
      </c>
      <c r="P21" s="769">
        <v>99556.204245704532</v>
      </c>
      <c r="Q21" s="773">
        <f t="shared" si="1"/>
        <v>82487.40144721976</v>
      </c>
      <c r="R21" s="1596"/>
    </row>
    <row r="22" spans="2:18">
      <c r="B22" s="1280" t="s">
        <v>2638</v>
      </c>
      <c r="C22" s="1277">
        <v>402043004</v>
      </c>
      <c r="D22" s="765">
        <v>110160.7334443006</v>
      </c>
      <c r="E22" s="1087">
        <v>114501.6048173055</v>
      </c>
      <c r="F22" s="1087">
        <v>116181.51982320882</v>
      </c>
      <c r="G22" s="769">
        <v>116045.23637538201</v>
      </c>
      <c r="H22" s="773">
        <f t="shared" si="0"/>
        <v>114222.27361504923</v>
      </c>
      <c r="I22" s="1596"/>
      <c r="K22" s="1280" t="s">
        <v>1563</v>
      </c>
      <c r="L22" s="1277">
        <v>400043003</v>
      </c>
      <c r="M22" s="765">
        <v>53398.102035423552</v>
      </c>
      <c r="N22" s="1087">
        <v>92057.953389294154</v>
      </c>
      <c r="O22" s="1087">
        <v>99872.301465965473</v>
      </c>
      <c r="P22" s="769">
        <v>79894.861978147528</v>
      </c>
      <c r="Q22" s="773">
        <f t="shared" si="1"/>
        <v>81305.804717207677</v>
      </c>
      <c r="R22" s="1596"/>
    </row>
    <row r="23" spans="2:18">
      <c r="B23" s="1280" t="s">
        <v>2756</v>
      </c>
      <c r="C23" s="1277">
        <v>402023002</v>
      </c>
      <c r="D23" s="765">
        <v>109493.20112998167</v>
      </c>
      <c r="E23" s="1087">
        <v>113641.66428135298</v>
      </c>
      <c r="F23" s="1087">
        <v>115166.80319642526</v>
      </c>
      <c r="G23" s="769">
        <v>114901.47959983737</v>
      </c>
      <c r="H23" s="773">
        <f t="shared" si="0"/>
        <v>113300.78705189931</v>
      </c>
      <c r="I23" s="1596">
        <v>6</v>
      </c>
      <c r="K23" s="1280" t="s">
        <v>1622</v>
      </c>
      <c r="L23" s="1277">
        <v>400013003</v>
      </c>
      <c r="M23" s="765">
        <v>56932.953869876124</v>
      </c>
      <c r="N23" s="1087">
        <v>95742.312112515065</v>
      </c>
      <c r="O23" s="1087">
        <v>97646.029702998276</v>
      </c>
      <c r="P23" s="769">
        <v>74748.10494751879</v>
      </c>
      <c r="Q23" s="773">
        <f t="shared" si="1"/>
        <v>81267.350158227069</v>
      </c>
      <c r="R23" s="1596"/>
    </row>
    <row r="24" spans="2:18">
      <c r="B24" s="1280" t="s">
        <v>1294</v>
      </c>
      <c r="C24" s="1277">
        <v>401023003</v>
      </c>
      <c r="D24" s="765">
        <v>109304.95916175062</v>
      </c>
      <c r="E24" s="1087">
        <v>113549.32029084164</v>
      </c>
      <c r="F24" s="1087">
        <v>115200.78104371818</v>
      </c>
      <c r="G24" s="769">
        <v>115081.5583427009</v>
      </c>
      <c r="H24" s="773">
        <f t="shared" si="0"/>
        <v>113284.15470975282</v>
      </c>
      <c r="I24" s="1596"/>
      <c r="K24" s="1280" t="s">
        <v>2579</v>
      </c>
      <c r="L24" s="1277">
        <v>401043004</v>
      </c>
      <c r="M24" s="765">
        <v>44703.227616665114</v>
      </c>
      <c r="N24" s="1087">
        <v>87044.107943950628</v>
      </c>
      <c r="O24" s="1087">
        <v>94160.114047155017</v>
      </c>
      <c r="P24" s="769">
        <v>98316.114909375159</v>
      </c>
      <c r="Q24" s="773">
        <f t="shared" si="1"/>
        <v>81055.89112928648</v>
      </c>
      <c r="R24" s="1596"/>
    </row>
    <row r="25" spans="2:18">
      <c r="B25" s="1280" t="s">
        <v>1849</v>
      </c>
      <c r="C25" s="1277">
        <v>402073002</v>
      </c>
      <c r="D25" s="765">
        <v>108707.92570908123</v>
      </c>
      <c r="E25" s="1087">
        <v>113173.93296857714</v>
      </c>
      <c r="F25" s="1087">
        <v>115021.56358145429</v>
      </c>
      <c r="G25" s="769">
        <v>115081.15643074649</v>
      </c>
      <c r="H25" s="773">
        <f t="shared" si="0"/>
        <v>112996.14467246478</v>
      </c>
      <c r="I25" s="1596"/>
      <c r="K25" s="1280" t="s">
        <v>1990</v>
      </c>
      <c r="L25" s="1277">
        <v>202093001</v>
      </c>
      <c r="M25" s="765">
        <v>43861.169176949013</v>
      </c>
      <c r="N25" s="1087">
        <v>86507.457910508849</v>
      </c>
      <c r="O25" s="1087">
        <v>93606.293427308323</v>
      </c>
      <c r="P25" s="769">
        <v>97762.335262218578</v>
      </c>
      <c r="Q25" s="773">
        <f t="shared" si="1"/>
        <v>80434.313944246183</v>
      </c>
      <c r="R25" s="1596"/>
    </row>
    <row r="26" spans="2:18">
      <c r="B26" s="1280" t="s">
        <v>4564</v>
      </c>
      <c r="C26" s="1277">
        <v>401063005</v>
      </c>
      <c r="D26" s="765">
        <v>108806.67387908018</v>
      </c>
      <c r="E26" s="1087">
        <v>113189.3566779526</v>
      </c>
      <c r="F26" s="1087">
        <v>114936.08205764143</v>
      </c>
      <c r="G26" s="769">
        <v>114883.84698464797</v>
      </c>
      <c r="H26" s="773">
        <f t="shared" si="0"/>
        <v>112953.98989983054</v>
      </c>
      <c r="I26" s="1596"/>
      <c r="K26" s="1280" t="s">
        <v>1994</v>
      </c>
      <c r="L26" s="1277">
        <v>201033002</v>
      </c>
      <c r="M26" s="765">
        <v>43764.256435870971</v>
      </c>
      <c r="N26" s="1087">
        <v>86503.277627547912</v>
      </c>
      <c r="O26" s="1087">
        <v>93570.949920592815</v>
      </c>
      <c r="P26" s="769">
        <v>97715.46073734088</v>
      </c>
      <c r="Q26" s="773">
        <f t="shared" si="1"/>
        <v>80388.486180338135</v>
      </c>
      <c r="R26" s="1596"/>
    </row>
    <row r="27" spans="2:18">
      <c r="B27" s="1280" t="s">
        <v>4316</v>
      </c>
      <c r="C27" s="1277">
        <v>400073004</v>
      </c>
      <c r="D27" s="765">
        <v>108380.03887961987</v>
      </c>
      <c r="E27" s="1087">
        <v>112864.26929476563</v>
      </c>
      <c r="F27" s="1087">
        <v>114687.70760398271</v>
      </c>
      <c r="G27" s="769">
        <v>114695.12241652395</v>
      </c>
      <c r="H27" s="773">
        <f t="shared" si="0"/>
        <v>112656.78454872305</v>
      </c>
      <c r="I27" s="1596"/>
      <c r="K27" s="1280" t="s">
        <v>1972</v>
      </c>
      <c r="L27" s="1277">
        <v>200093001</v>
      </c>
      <c r="M27" s="765">
        <v>43759.141494773023</v>
      </c>
      <c r="N27" s="1087">
        <v>86236.386043578299</v>
      </c>
      <c r="O27" s="1087">
        <v>93435.57343294844</v>
      </c>
      <c r="P27" s="769">
        <v>97633.045288723952</v>
      </c>
      <c r="Q27" s="773">
        <f t="shared" si="1"/>
        <v>80266.036565005925</v>
      </c>
      <c r="R27" s="1596"/>
    </row>
    <row r="28" spans="2:18">
      <c r="B28" s="1280" t="s">
        <v>4319</v>
      </c>
      <c r="C28" s="1277">
        <v>401053004</v>
      </c>
      <c r="D28" s="765">
        <v>109121.41251617466</v>
      </c>
      <c r="E28" s="1087">
        <v>113019.92588316932</v>
      </c>
      <c r="F28" s="1087">
        <v>114293.02472059011</v>
      </c>
      <c r="G28" s="769">
        <v>113773.3768967776</v>
      </c>
      <c r="H28" s="773">
        <f t="shared" si="0"/>
        <v>112551.93500417793</v>
      </c>
      <c r="I28" s="1596"/>
      <c r="K28" s="1280" t="s">
        <v>99</v>
      </c>
      <c r="L28" s="1277">
        <v>302093001</v>
      </c>
      <c r="M28" s="765">
        <v>50035.430877429899</v>
      </c>
      <c r="N28" s="1087">
        <v>88443.970018253502</v>
      </c>
      <c r="O28" s="1087">
        <v>96237.897031815228</v>
      </c>
      <c r="P28" s="769">
        <v>84346.742700553252</v>
      </c>
      <c r="Q28" s="773">
        <f t="shared" si="1"/>
        <v>79766.010157012963</v>
      </c>
      <c r="R28" s="1596">
        <v>5</v>
      </c>
    </row>
    <row r="29" spans="2:18">
      <c r="B29" s="1280" t="s">
        <v>1645</v>
      </c>
      <c r="C29" s="1277">
        <v>301013002</v>
      </c>
      <c r="D29" s="765">
        <v>107386.3010224982</v>
      </c>
      <c r="E29" s="1087">
        <v>112187.89791194188</v>
      </c>
      <c r="F29" s="1087">
        <v>114334.42973520109</v>
      </c>
      <c r="G29" s="769">
        <v>114667.91333241496</v>
      </c>
      <c r="H29" s="773">
        <f t="shared" si="0"/>
        <v>112144.13550051404</v>
      </c>
      <c r="I29" s="1596"/>
      <c r="K29" s="1280" t="s">
        <v>100</v>
      </c>
      <c r="L29" s="1277">
        <v>402053001</v>
      </c>
      <c r="M29" s="765">
        <v>50531.220115753837</v>
      </c>
      <c r="N29" s="1087">
        <v>90756.837536128005</v>
      </c>
      <c r="O29" s="1087">
        <v>97987.760775589675</v>
      </c>
      <c r="P29" s="769">
        <v>79740.199272327824</v>
      </c>
      <c r="Q29" s="773">
        <f t="shared" si="1"/>
        <v>79754.004424949831</v>
      </c>
      <c r="R29" s="1596"/>
    </row>
    <row r="30" spans="2:18">
      <c r="B30" s="1280" t="s">
        <v>4182</v>
      </c>
      <c r="C30" s="1277">
        <v>400083005</v>
      </c>
      <c r="D30" s="765">
        <v>108149.11893878855</v>
      </c>
      <c r="E30" s="1087">
        <v>112444.82936168133</v>
      </c>
      <c r="F30" s="1087">
        <v>114080.36931804336</v>
      </c>
      <c r="G30" s="769">
        <v>113900.22365714968</v>
      </c>
      <c r="H30" s="773">
        <f t="shared" si="0"/>
        <v>112143.63531891574</v>
      </c>
      <c r="I30" s="1596"/>
      <c r="K30" s="1280" t="s">
        <v>851</v>
      </c>
      <c r="L30" s="1277">
        <v>400073002</v>
      </c>
      <c r="M30" s="765">
        <v>43134.774011133886</v>
      </c>
      <c r="N30" s="1087">
        <v>85582.661221705348</v>
      </c>
      <c r="O30" s="1087">
        <v>92912.731861312961</v>
      </c>
      <c r="P30" s="769">
        <v>97167.060251601215</v>
      </c>
      <c r="Q30" s="773">
        <f t="shared" si="1"/>
        <v>79699.306836438351</v>
      </c>
      <c r="R30" s="1596"/>
    </row>
    <row r="31" spans="2:18">
      <c r="B31" s="1280" t="s">
        <v>2220</v>
      </c>
      <c r="C31" s="1277">
        <v>401013003</v>
      </c>
      <c r="D31" s="765">
        <v>108003.2731077184</v>
      </c>
      <c r="E31" s="1087">
        <v>112184.36192876197</v>
      </c>
      <c r="F31" s="1087">
        <v>113704.65029674163</v>
      </c>
      <c r="G31" s="769">
        <v>113408.91099076621</v>
      </c>
      <c r="H31" s="773">
        <f t="shared" si="0"/>
        <v>111825.29908099705</v>
      </c>
      <c r="I31" s="1593">
        <v>5</v>
      </c>
      <c r="K31" s="1280" t="s">
        <v>2638</v>
      </c>
      <c r="L31" s="1277">
        <v>402043004</v>
      </c>
      <c r="M31" s="765">
        <v>42537.584583822383</v>
      </c>
      <c r="N31" s="1087">
        <v>85371.284338565398</v>
      </c>
      <c r="O31" s="1087">
        <v>92591.195591510244</v>
      </c>
      <c r="P31" s="769">
        <v>96805.949979730169</v>
      </c>
      <c r="Q31" s="773">
        <f t="shared" si="1"/>
        <v>79326.503623407043</v>
      </c>
      <c r="R31" s="1596"/>
    </row>
    <row r="32" spans="2:18">
      <c r="B32" s="1280" t="s">
        <v>849</v>
      </c>
      <c r="C32" s="1277">
        <v>400043002</v>
      </c>
      <c r="D32" s="765">
        <v>107798.00711567771</v>
      </c>
      <c r="E32" s="1087">
        <v>111911.32435597251</v>
      </c>
      <c r="F32" s="1087">
        <v>113363.96910202823</v>
      </c>
      <c r="G32" s="769">
        <v>113000.65970221933</v>
      </c>
      <c r="H32" s="773">
        <f t="shared" si="0"/>
        <v>111518.49006897444</v>
      </c>
      <c r="I32" s="1594"/>
      <c r="K32" s="1280" t="s">
        <v>2220</v>
      </c>
      <c r="L32" s="1277">
        <v>401013003</v>
      </c>
      <c r="M32" s="765">
        <v>42038.120068477881</v>
      </c>
      <c r="N32" s="1087">
        <v>84894.207951709584</v>
      </c>
      <c r="O32" s="1087">
        <v>92184.218049823598</v>
      </c>
      <c r="P32" s="769">
        <v>96430.818206582058</v>
      </c>
      <c r="Q32" s="773">
        <f t="shared" si="1"/>
        <v>78886.841069148286</v>
      </c>
      <c r="R32" s="1596"/>
    </row>
    <row r="33" spans="2:18">
      <c r="B33" s="1280" t="s">
        <v>121</v>
      </c>
      <c r="C33" s="1277">
        <v>402013001</v>
      </c>
      <c r="D33" s="765">
        <v>107721.46148202884</v>
      </c>
      <c r="E33" s="1087">
        <v>111751.42609518448</v>
      </c>
      <c r="F33" s="1087">
        <v>113120.73618619815</v>
      </c>
      <c r="G33" s="769">
        <v>112674.10056568215</v>
      </c>
      <c r="H33" s="773">
        <f t="shared" si="0"/>
        <v>111316.93108227341</v>
      </c>
      <c r="I33" s="1594"/>
      <c r="K33" s="1280" t="s">
        <v>1978</v>
      </c>
      <c r="L33" s="1277">
        <v>201093001</v>
      </c>
      <c r="M33" s="765">
        <v>41902.300086204436</v>
      </c>
      <c r="N33" s="1087">
        <v>84991.348758353779</v>
      </c>
      <c r="O33" s="1087">
        <v>92185.677363591734</v>
      </c>
      <c r="P33" s="769">
        <v>96395.466274758233</v>
      </c>
      <c r="Q33" s="773">
        <f t="shared" si="1"/>
        <v>78868.698120727044</v>
      </c>
      <c r="R33" s="1596"/>
    </row>
    <row r="34" spans="2:18">
      <c r="B34" s="1280" t="s">
        <v>2387</v>
      </c>
      <c r="C34" s="1277">
        <v>101093001</v>
      </c>
      <c r="D34" s="765">
        <v>108712.84104602828</v>
      </c>
      <c r="E34" s="1087">
        <v>112028.51451764588</v>
      </c>
      <c r="F34" s="1087">
        <v>112746.9200067713</v>
      </c>
      <c r="G34" s="769">
        <v>111691.66531645913</v>
      </c>
      <c r="H34" s="773">
        <f t="shared" si="0"/>
        <v>111294.98522172615</v>
      </c>
      <c r="I34" s="1594"/>
      <c r="K34" s="1280" t="s">
        <v>2364</v>
      </c>
      <c r="L34" s="1277">
        <v>400063003</v>
      </c>
      <c r="M34" s="765">
        <v>41767.855783223735</v>
      </c>
      <c r="N34" s="1087">
        <v>84739.322887907474</v>
      </c>
      <c r="O34" s="1087">
        <v>92015.080896198473</v>
      </c>
      <c r="P34" s="769">
        <v>96258.212460384806</v>
      </c>
      <c r="Q34" s="773">
        <f t="shared" si="1"/>
        <v>78695.11800692862</v>
      </c>
      <c r="R34" s="1596"/>
    </row>
    <row r="35" spans="2:18">
      <c r="B35" s="1280" t="s">
        <v>2687</v>
      </c>
      <c r="C35" s="1277">
        <v>401033004</v>
      </c>
      <c r="D35" s="765">
        <v>107689.19466116937</v>
      </c>
      <c r="E35" s="1087">
        <v>111596.72514193665</v>
      </c>
      <c r="F35" s="1087">
        <v>112842.11705199492</v>
      </c>
      <c r="G35" s="769">
        <v>112270.7645520223</v>
      </c>
      <c r="H35" s="773">
        <f t="shared" si="0"/>
        <v>111099.7003517808</v>
      </c>
      <c r="I35" s="1594"/>
      <c r="K35" s="1280" t="s">
        <v>850</v>
      </c>
      <c r="L35" s="1277">
        <v>302023002</v>
      </c>
      <c r="M35" s="765">
        <v>41788.290654926881</v>
      </c>
      <c r="N35" s="1087">
        <v>84519.346971861058</v>
      </c>
      <c r="O35" s="1087">
        <v>91913.119747904566</v>
      </c>
      <c r="P35" s="769">
        <v>96202.969693834937</v>
      </c>
      <c r="Q35" s="773">
        <f t="shared" si="1"/>
        <v>78605.931767131857</v>
      </c>
      <c r="R35" s="1596"/>
    </row>
    <row r="36" spans="2:18">
      <c r="B36" s="1280" t="s">
        <v>850</v>
      </c>
      <c r="C36" s="1277">
        <v>302023002</v>
      </c>
      <c r="D36" s="765">
        <v>107509.0252670701</v>
      </c>
      <c r="E36" s="1087">
        <v>111287.50847034551</v>
      </c>
      <c r="F36" s="1087">
        <v>112412.18715560962</v>
      </c>
      <c r="G36" s="769">
        <v>111725.65962676924</v>
      </c>
      <c r="H36" s="773">
        <f t="shared" si="0"/>
        <v>110733.59512994862</v>
      </c>
      <c r="I36" s="1594"/>
      <c r="K36" s="1280" t="s">
        <v>2387</v>
      </c>
      <c r="L36" s="1277">
        <v>101093001</v>
      </c>
      <c r="M36" s="765">
        <v>42341.334894478983</v>
      </c>
      <c r="N36" s="1087">
        <v>83873.007526047004</v>
      </c>
      <c r="O36" s="1087">
        <v>92039.594881448778</v>
      </c>
      <c r="P36" s="769">
        <v>94620.091568998294</v>
      </c>
      <c r="Q36" s="773">
        <f t="shared" si="1"/>
        <v>78218.507217743259</v>
      </c>
      <c r="R36" s="1596"/>
    </row>
    <row r="37" spans="2:18">
      <c r="B37" s="1280" t="s">
        <v>851</v>
      </c>
      <c r="C37" s="1277">
        <v>400073002</v>
      </c>
      <c r="D37" s="765">
        <v>107366.98905735146</v>
      </c>
      <c r="E37" s="1087">
        <v>111228.17975920235</v>
      </c>
      <c r="F37" s="1087">
        <v>112428.74399378114</v>
      </c>
      <c r="G37" s="769">
        <v>111813.38613617563</v>
      </c>
      <c r="H37" s="773">
        <f t="shared" ref="H37:H63" si="2">AVERAGE(D37:G37)</f>
        <v>110709.32473662763</v>
      </c>
      <c r="I37" s="1594"/>
      <c r="K37" s="1280" t="s">
        <v>107</v>
      </c>
      <c r="L37" s="1277">
        <v>300053002</v>
      </c>
      <c r="M37" s="765">
        <v>42802.011867357367</v>
      </c>
      <c r="N37" s="1087">
        <v>85382.082519363626</v>
      </c>
      <c r="O37" s="1087">
        <v>92688.877307248913</v>
      </c>
      <c r="P37" s="769">
        <v>89399.087672549533</v>
      </c>
      <c r="Q37" s="773">
        <f t="shared" ref="Q37:Q63" si="3">AVERAGE(M37:P37)</f>
        <v>77568.014841629862</v>
      </c>
      <c r="R37" s="1596"/>
    </row>
    <row r="38" spans="2:18">
      <c r="B38" s="1280" t="s">
        <v>118</v>
      </c>
      <c r="C38" s="1277">
        <v>302073001</v>
      </c>
      <c r="D38" s="765">
        <v>107611.99953249548</v>
      </c>
      <c r="E38" s="1087">
        <v>111205.69756560582</v>
      </c>
      <c r="F38" s="1087">
        <v>112138.37276989441</v>
      </c>
      <c r="G38" s="769">
        <v>111254.88791752899</v>
      </c>
      <c r="H38" s="773">
        <f t="shared" si="2"/>
        <v>110552.73944638118</v>
      </c>
      <c r="I38" s="1594"/>
      <c r="K38" s="1280" t="s">
        <v>1983</v>
      </c>
      <c r="L38" s="1277">
        <v>202033001</v>
      </c>
      <c r="M38" s="765">
        <v>40150.928505315533</v>
      </c>
      <c r="N38" s="1087">
        <v>83628.358211793544</v>
      </c>
      <c r="O38" s="1087">
        <v>90911.877559324887</v>
      </c>
      <c r="P38" s="769">
        <v>95171.216882876615</v>
      </c>
      <c r="Q38" s="773">
        <f t="shared" si="3"/>
        <v>77465.595289827645</v>
      </c>
      <c r="R38" s="1596"/>
    </row>
    <row r="39" spans="2:18">
      <c r="B39" s="1280" t="s">
        <v>110</v>
      </c>
      <c r="C39" s="1277">
        <v>301063001</v>
      </c>
      <c r="D39" s="765">
        <v>107896.09022179736</v>
      </c>
      <c r="E39" s="1087">
        <v>111256.92351550875</v>
      </c>
      <c r="F39" s="1087">
        <v>111956.29745603391</v>
      </c>
      <c r="G39" s="769">
        <v>110839.25187989608</v>
      </c>
      <c r="H39" s="773">
        <f t="shared" si="2"/>
        <v>110487.14076830902</v>
      </c>
      <c r="I39" s="1594"/>
      <c r="K39" s="1280" t="s">
        <v>1898</v>
      </c>
      <c r="L39" s="1277">
        <v>401033003</v>
      </c>
      <c r="M39" s="765">
        <v>49305.767706738094</v>
      </c>
      <c r="N39" s="1087">
        <v>87715.948850179979</v>
      </c>
      <c r="O39" s="1087">
        <v>95619.51060621973</v>
      </c>
      <c r="P39" s="769">
        <v>75571.169793507899</v>
      </c>
      <c r="Q39" s="773">
        <f t="shared" si="3"/>
        <v>77053.099239161427</v>
      </c>
      <c r="R39" s="1596"/>
    </row>
    <row r="40" spans="2:18">
      <c r="B40" s="1280" t="s">
        <v>107</v>
      </c>
      <c r="C40" s="1277">
        <v>300053002</v>
      </c>
      <c r="D40" s="765">
        <v>107276.29153005355</v>
      </c>
      <c r="E40" s="1087">
        <v>111010.72300525929</v>
      </c>
      <c r="F40" s="1087">
        <v>112084.04792594512</v>
      </c>
      <c r="G40" s="769">
        <v>111341.18956567252</v>
      </c>
      <c r="H40" s="773">
        <f t="shared" si="2"/>
        <v>110428.06300673263</v>
      </c>
      <c r="I40" s="1594"/>
      <c r="K40" s="1280" t="s">
        <v>105</v>
      </c>
      <c r="L40" s="1277">
        <v>302083001</v>
      </c>
      <c r="M40" s="765">
        <v>44605.003361315583</v>
      </c>
      <c r="N40" s="1087">
        <v>86479.340990872355</v>
      </c>
      <c r="O40" s="1087">
        <v>93846.375986060943</v>
      </c>
      <c r="P40" s="769">
        <v>80859.966199508766</v>
      </c>
      <c r="Q40" s="773">
        <f t="shared" si="3"/>
        <v>76447.671634439408</v>
      </c>
      <c r="R40" s="1596"/>
    </row>
    <row r="41" spans="2:18">
      <c r="B41" s="1280" t="s">
        <v>4467</v>
      </c>
      <c r="C41" s="1277">
        <v>402093004</v>
      </c>
      <c r="D41" s="765">
        <v>108156.54214544174</v>
      </c>
      <c r="E41" s="1087">
        <v>111254.42890110606</v>
      </c>
      <c r="F41" s="1087">
        <v>111690.79084149099</v>
      </c>
      <c r="G41" s="769">
        <v>110310.6759960749</v>
      </c>
      <c r="H41" s="773">
        <f t="shared" si="2"/>
        <v>110353.10947102844</v>
      </c>
      <c r="I41" s="1594"/>
      <c r="K41" s="1280" t="s">
        <v>2756</v>
      </c>
      <c r="L41" s="1277">
        <v>402023002</v>
      </c>
      <c r="M41" s="765">
        <v>38559.555157963128</v>
      </c>
      <c r="N41" s="1087">
        <v>82131.451672939234</v>
      </c>
      <c r="O41" s="1087">
        <v>89623.849236937604</v>
      </c>
      <c r="P41" s="769">
        <v>93980.214318227678</v>
      </c>
      <c r="Q41" s="773">
        <f t="shared" si="3"/>
        <v>76073.767596516904</v>
      </c>
      <c r="R41" s="1596"/>
    </row>
    <row r="42" spans="2:18">
      <c r="B42" s="1280" t="s">
        <v>2818</v>
      </c>
      <c r="C42" s="1277">
        <v>400023004</v>
      </c>
      <c r="D42" s="765">
        <v>106729.9348950174</v>
      </c>
      <c r="E42" s="1087">
        <v>110478.28042043922</v>
      </c>
      <c r="F42" s="1087">
        <v>111568.9132831085</v>
      </c>
      <c r="G42" s="769">
        <v>110845.1650715892</v>
      </c>
      <c r="H42" s="773">
        <f t="shared" si="2"/>
        <v>109905.57341753857</v>
      </c>
      <c r="I42" s="1594"/>
      <c r="K42" s="1280" t="s">
        <v>110</v>
      </c>
      <c r="L42" s="1277">
        <v>301063001</v>
      </c>
      <c r="M42" s="765">
        <v>41550.253222491207</v>
      </c>
      <c r="N42" s="1087">
        <v>84344.24664725372</v>
      </c>
      <c r="O42" s="1087">
        <v>91747.165430386871</v>
      </c>
      <c r="P42" s="769">
        <v>81770.537182988744</v>
      </c>
      <c r="Q42" s="773">
        <f t="shared" si="3"/>
        <v>74853.050620780137</v>
      </c>
      <c r="R42" s="1593">
        <v>4</v>
      </c>
    </row>
    <row r="43" spans="2:18">
      <c r="B43" s="1280" t="s">
        <v>4855</v>
      </c>
      <c r="C43" s="1277">
        <v>400043006</v>
      </c>
      <c r="D43" s="765">
        <v>106951.94293993847</v>
      </c>
      <c r="E43" s="1087">
        <v>110381.5018832424</v>
      </c>
      <c r="F43" s="1087">
        <v>111150.05764755628</v>
      </c>
      <c r="G43" s="769">
        <v>110102.48264595959</v>
      </c>
      <c r="H43" s="773">
        <f>AVERAGE(D43:G43)</f>
        <v>109646.49627917419</v>
      </c>
      <c r="I43" s="1594"/>
      <c r="K43" s="1280" t="s">
        <v>2388</v>
      </c>
      <c r="L43" s="1277">
        <v>100083001</v>
      </c>
      <c r="M43" s="765">
        <v>49643.548922172442</v>
      </c>
      <c r="N43" s="1087">
        <v>90241.41116668022</v>
      </c>
      <c r="O43" s="1087">
        <v>89851.245261447999</v>
      </c>
      <c r="P43" s="769">
        <v>68044.393393659673</v>
      </c>
      <c r="Q43" s="773">
        <f t="shared" si="3"/>
        <v>74445.149685990094</v>
      </c>
      <c r="R43" s="1594"/>
    </row>
    <row r="44" spans="2:18">
      <c r="B44" s="1280" t="s">
        <v>99</v>
      </c>
      <c r="C44" s="1277">
        <v>302093001</v>
      </c>
      <c r="D44" s="765">
        <v>106896.99600364434</v>
      </c>
      <c r="E44" s="1087">
        <v>110122.61878596502</v>
      </c>
      <c r="F44" s="1087">
        <v>110725.77414772238</v>
      </c>
      <c r="G44" s="769">
        <v>109538.43863692394</v>
      </c>
      <c r="H44" s="773">
        <f t="shared" si="2"/>
        <v>109320.95689356391</v>
      </c>
      <c r="I44" s="1594"/>
      <c r="K44" s="1280" t="s">
        <v>849</v>
      </c>
      <c r="L44" s="1277">
        <v>400043002</v>
      </c>
      <c r="M44" s="765">
        <v>36016.556092250001</v>
      </c>
      <c r="N44" s="1087">
        <v>80142.843579532011</v>
      </c>
      <c r="O44" s="1087">
        <v>87772.415375360375</v>
      </c>
      <c r="P44" s="769">
        <v>92202.436930730357</v>
      </c>
      <c r="Q44" s="773">
        <f t="shared" si="3"/>
        <v>74033.562994468186</v>
      </c>
      <c r="R44" s="1594"/>
    </row>
    <row r="45" spans="2:18">
      <c r="B45" s="1280" t="s">
        <v>105</v>
      </c>
      <c r="C45" s="1277">
        <v>302083001</v>
      </c>
      <c r="D45" s="765">
        <v>106549.44266994009</v>
      </c>
      <c r="E45" s="1087">
        <v>109927.28966689193</v>
      </c>
      <c r="F45" s="1087">
        <v>110643.76052731878</v>
      </c>
      <c r="G45" s="769">
        <v>109543.91734752095</v>
      </c>
      <c r="H45" s="773">
        <f t="shared" si="2"/>
        <v>109166.10255291793</v>
      </c>
      <c r="I45" s="1594"/>
      <c r="K45" s="1280" t="s">
        <v>103</v>
      </c>
      <c r="L45" s="1277">
        <v>301043001</v>
      </c>
      <c r="M45" s="765">
        <v>48915.9488492577</v>
      </c>
      <c r="N45" s="1087">
        <v>87646.428952021961</v>
      </c>
      <c r="O45" s="1087">
        <v>89183.896105779684</v>
      </c>
      <c r="P45" s="769">
        <v>67182.29178625904</v>
      </c>
      <c r="Q45" s="773">
        <f t="shared" si="3"/>
        <v>73232.141423329595</v>
      </c>
      <c r="R45" s="1594"/>
    </row>
    <row r="46" spans="2:18">
      <c r="B46" s="1257" t="s">
        <v>4907</v>
      </c>
      <c r="C46" s="1258">
        <v>402083004</v>
      </c>
      <c r="D46" s="1259">
        <v>106896.09256612073</v>
      </c>
      <c r="E46" s="1260">
        <v>110040.72592993693</v>
      </c>
      <c r="F46" s="1260">
        <v>110525.51009164118</v>
      </c>
      <c r="G46" s="1261">
        <v>109194.77781897222</v>
      </c>
      <c r="H46" s="1262">
        <f t="shared" ref="H46" si="4">AVERAGE(D46:G46)</f>
        <v>109164.27660166775</v>
      </c>
      <c r="I46" s="1595"/>
      <c r="K46" s="1280" t="s">
        <v>4319</v>
      </c>
      <c r="L46" s="1277">
        <v>401053004</v>
      </c>
      <c r="M46" s="765">
        <v>35422.564379906908</v>
      </c>
      <c r="N46" s="1087">
        <v>78158.200852012873</v>
      </c>
      <c r="O46" s="1087">
        <v>86843.110402586753</v>
      </c>
      <c r="P46" s="769">
        <v>91783.477523687528</v>
      </c>
      <c r="Q46" s="773">
        <f t="shared" si="3"/>
        <v>73051.838289548512</v>
      </c>
      <c r="R46" s="1594"/>
    </row>
    <row r="47" spans="2:18">
      <c r="B47" s="1280" t="s">
        <v>1563</v>
      </c>
      <c r="C47" s="1277">
        <v>400043003</v>
      </c>
      <c r="D47" s="765">
        <v>106504.84060930798</v>
      </c>
      <c r="E47" s="1087">
        <v>109303.97553460377</v>
      </c>
      <c r="F47" s="1087">
        <v>109492.7310812777</v>
      </c>
      <c r="G47" s="769">
        <v>107898.6793967946</v>
      </c>
      <c r="H47" s="773">
        <f t="shared" si="2"/>
        <v>108300.05665549601</v>
      </c>
      <c r="I47" s="1593">
        <v>4</v>
      </c>
      <c r="K47" s="1280" t="s">
        <v>118</v>
      </c>
      <c r="L47" s="1277">
        <v>302073001</v>
      </c>
      <c r="M47" s="765">
        <v>34653.104460078022</v>
      </c>
      <c r="N47" s="1087">
        <v>79169.941311564646</v>
      </c>
      <c r="O47" s="1087">
        <v>86826.415767926359</v>
      </c>
      <c r="P47" s="769">
        <v>91277.186732757502</v>
      </c>
      <c r="Q47" s="773">
        <f t="shared" si="3"/>
        <v>72981.662068081627</v>
      </c>
      <c r="R47" s="1594"/>
    </row>
    <row r="48" spans="2:18">
      <c r="B48" s="1280" t="s">
        <v>1848</v>
      </c>
      <c r="C48" s="1277">
        <v>401013002</v>
      </c>
      <c r="D48" s="765">
        <v>107347.75599617571</v>
      </c>
      <c r="E48" s="1087">
        <v>109546.97353569376</v>
      </c>
      <c r="F48" s="1087">
        <v>109084.1997918617</v>
      </c>
      <c r="G48" s="769">
        <v>106804.6904221919</v>
      </c>
      <c r="H48" s="773">
        <f t="shared" si="2"/>
        <v>108195.90493648077</v>
      </c>
      <c r="I48" s="1594"/>
      <c r="K48" s="1280" t="s">
        <v>2389</v>
      </c>
      <c r="L48" s="1277">
        <v>100023001</v>
      </c>
      <c r="M48" s="765">
        <v>58365.024626997176</v>
      </c>
      <c r="N48" s="1087">
        <v>96462.257085146935</v>
      </c>
      <c r="O48" s="1087">
        <v>78674.031718182378</v>
      </c>
      <c r="P48" s="769">
        <v>58340.878883285441</v>
      </c>
      <c r="Q48" s="773">
        <f t="shared" si="3"/>
        <v>72960.548078402979</v>
      </c>
      <c r="R48" s="1594"/>
    </row>
    <row r="49" spans="2:18">
      <c r="B49" s="1280" t="s">
        <v>100</v>
      </c>
      <c r="C49" s="1277">
        <v>402053001</v>
      </c>
      <c r="D49" s="765">
        <v>105624.52966532821</v>
      </c>
      <c r="E49" s="1087">
        <v>108963.90746196326</v>
      </c>
      <c r="F49" s="1087">
        <v>109641.78493034746</v>
      </c>
      <c r="G49" s="769">
        <v>108503.32605022259</v>
      </c>
      <c r="H49" s="773">
        <f t="shared" si="2"/>
        <v>108183.38702696539</v>
      </c>
      <c r="I49" s="1594"/>
      <c r="K49" s="1280" t="s">
        <v>2390</v>
      </c>
      <c r="L49" s="1277">
        <v>101053001</v>
      </c>
      <c r="M49" s="765">
        <v>58365.024626997176</v>
      </c>
      <c r="N49" s="1087">
        <v>96462.257085146935</v>
      </c>
      <c r="O49" s="1087">
        <v>78674.031718182378</v>
      </c>
      <c r="P49" s="769">
        <v>58340.878883285441</v>
      </c>
      <c r="Q49" s="773">
        <f t="shared" si="3"/>
        <v>72960.548078402979</v>
      </c>
      <c r="R49" s="1594"/>
    </row>
    <row r="50" spans="2:18">
      <c r="B50" s="1280" t="s">
        <v>119</v>
      </c>
      <c r="C50" s="1277">
        <v>301023001</v>
      </c>
      <c r="D50" s="765">
        <v>106347.20539646684</v>
      </c>
      <c r="E50" s="1087">
        <v>109107.35121297353</v>
      </c>
      <c r="F50" s="1087">
        <v>109216.37792354067</v>
      </c>
      <c r="G50" s="769">
        <v>107514.52467065159</v>
      </c>
      <c r="H50" s="773">
        <f t="shared" si="2"/>
        <v>108046.36480090815</v>
      </c>
      <c r="I50" s="1594"/>
      <c r="K50" s="1280" t="s">
        <v>121</v>
      </c>
      <c r="L50" s="1277">
        <v>402013001</v>
      </c>
      <c r="M50" s="765">
        <v>32983.862272895232</v>
      </c>
      <c r="N50" s="1087">
        <v>77800.494864939261</v>
      </c>
      <c r="O50" s="1087">
        <v>85575.517010724492</v>
      </c>
      <c r="P50" s="769">
        <v>90087.767325655077</v>
      </c>
      <c r="Q50" s="773">
        <f t="shared" si="3"/>
        <v>71611.910368553523</v>
      </c>
      <c r="R50" s="1594"/>
    </row>
    <row r="51" spans="2:18">
      <c r="B51" s="1280" t="s">
        <v>1295</v>
      </c>
      <c r="C51" s="1277">
        <v>400053002</v>
      </c>
      <c r="D51" s="765">
        <v>105964.72565947572</v>
      </c>
      <c r="E51" s="1087">
        <v>108981.17364044912</v>
      </c>
      <c r="F51" s="1087">
        <v>109336.42114938461</v>
      </c>
      <c r="G51" s="769">
        <v>107875.4517439638</v>
      </c>
      <c r="H51" s="773">
        <f t="shared" si="2"/>
        <v>108039.44304831831</v>
      </c>
      <c r="I51" s="1594"/>
      <c r="K51" s="1257" t="s">
        <v>4907</v>
      </c>
      <c r="L51" s="1258">
        <v>402083004</v>
      </c>
      <c r="M51" s="1259">
        <v>37955.725219196625</v>
      </c>
      <c r="N51" s="1260">
        <v>81720.635424300039</v>
      </c>
      <c r="O51" s="1260">
        <v>89263.126996423307</v>
      </c>
      <c r="P51" s="1261">
        <v>76955.49976154427</v>
      </c>
      <c r="Q51" s="1262">
        <f t="shared" ref="Q51" si="5">AVERAGE(M51:P51)</f>
        <v>71473.746850366064</v>
      </c>
      <c r="R51" s="1594"/>
    </row>
    <row r="52" spans="2:18">
      <c r="B52" s="1280" t="s">
        <v>1562</v>
      </c>
      <c r="C52" s="1277">
        <v>402043002</v>
      </c>
      <c r="D52" s="765">
        <v>106592.25517925511</v>
      </c>
      <c r="E52" s="1087">
        <v>108861.69282908393</v>
      </c>
      <c r="F52" s="1087">
        <v>108469.33069439554</v>
      </c>
      <c r="G52" s="769">
        <v>106260.36970042002</v>
      </c>
      <c r="H52" s="773">
        <f t="shared" si="2"/>
        <v>107545.91210078864</v>
      </c>
      <c r="I52" s="1594"/>
      <c r="K52" s="1280" t="s">
        <v>119</v>
      </c>
      <c r="L52" s="1277">
        <v>301023001</v>
      </c>
      <c r="M52" s="765">
        <v>36354.692952036661</v>
      </c>
      <c r="N52" s="1087">
        <v>79535.524694311607</v>
      </c>
      <c r="O52" s="1087">
        <v>87923.606292479963</v>
      </c>
      <c r="P52" s="769">
        <v>77838.814253836725</v>
      </c>
      <c r="Q52" s="773">
        <f t="shared" si="3"/>
        <v>70413.159548166237</v>
      </c>
      <c r="R52" s="1594"/>
    </row>
    <row r="53" spans="2:18">
      <c r="B53" s="1280" t="s">
        <v>1622</v>
      </c>
      <c r="C53" s="1277">
        <v>400013003</v>
      </c>
      <c r="D53" s="765">
        <v>105185.52062636869</v>
      </c>
      <c r="E53" s="1087">
        <v>108243.8909887327</v>
      </c>
      <c r="F53" s="1087">
        <v>108640.28440794769</v>
      </c>
      <c r="G53" s="769">
        <v>107220.09675948785</v>
      </c>
      <c r="H53" s="773">
        <f t="shared" si="2"/>
        <v>107322.44819563424</v>
      </c>
      <c r="I53" s="1594"/>
      <c r="K53" s="1280" t="s">
        <v>4467</v>
      </c>
      <c r="L53" s="1277">
        <v>402093004</v>
      </c>
      <c r="M53" s="765">
        <v>36189.043023070728</v>
      </c>
      <c r="N53" s="1087">
        <v>80365.272881575511</v>
      </c>
      <c r="O53" s="1087">
        <v>87943.527785875733</v>
      </c>
      <c r="P53" s="769">
        <v>76787.683394389271</v>
      </c>
      <c r="Q53" s="773">
        <f t="shared" si="3"/>
        <v>70321.381771227811</v>
      </c>
      <c r="R53" s="1595"/>
    </row>
    <row r="54" spans="2:18">
      <c r="B54" s="1280" t="s">
        <v>120</v>
      </c>
      <c r="C54" s="1277">
        <v>400043001</v>
      </c>
      <c r="D54" s="765">
        <v>105480.75356902488</v>
      </c>
      <c r="E54" s="1087">
        <v>108218.53100761013</v>
      </c>
      <c r="F54" s="1087">
        <v>108294.97920611135</v>
      </c>
      <c r="G54" s="769">
        <v>106555.14712340108</v>
      </c>
      <c r="H54" s="773">
        <f t="shared" si="2"/>
        <v>107137.35272653686</v>
      </c>
      <c r="I54" s="1594"/>
      <c r="K54" s="1280" t="s">
        <v>2818</v>
      </c>
      <c r="L54" s="1277">
        <v>400023004</v>
      </c>
      <c r="M54" s="765">
        <v>31068.158168879007</v>
      </c>
      <c r="N54" s="1087">
        <v>74072.276694995831</v>
      </c>
      <c r="O54" s="1087">
        <v>82615.556766740672</v>
      </c>
      <c r="P54" s="769">
        <v>87497.804783757019</v>
      </c>
      <c r="Q54" s="773">
        <f t="shared" si="3"/>
        <v>68813.449103593128</v>
      </c>
      <c r="R54" s="1593">
        <v>3</v>
      </c>
    </row>
    <row r="55" spans="2:18">
      <c r="B55" s="1280" t="s">
        <v>1861</v>
      </c>
      <c r="C55" s="1277">
        <v>402063003</v>
      </c>
      <c r="D55" s="765">
        <v>105888.59521900334</v>
      </c>
      <c r="E55" s="1087">
        <v>108310.54446926351</v>
      </c>
      <c r="F55" s="1087">
        <v>108072.55069732184</v>
      </c>
      <c r="G55" s="769">
        <v>106018.9927160833</v>
      </c>
      <c r="H55" s="773">
        <f t="shared" si="2"/>
        <v>107072.670775418</v>
      </c>
      <c r="I55" s="1594"/>
      <c r="K55" s="1280" t="s">
        <v>4855</v>
      </c>
      <c r="L55" s="1277">
        <v>400043006</v>
      </c>
      <c r="M55" s="765">
        <v>32139.695712114531</v>
      </c>
      <c r="N55" s="1087">
        <v>77135.326116893528</v>
      </c>
      <c r="O55" s="1087">
        <v>84956.948740831649</v>
      </c>
      <c r="P55" s="769">
        <v>70958.151780679138</v>
      </c>
      <c r="Q55" s="773">
        <f>AVERAGE(M55:P55)</f>
        <v>66297.530587629706</v>
      </c>
      <c r="R55" s="1594"/>
    </row>
    <row r="56" spans="2:18">
      <c r="B56" s="1280" t="s">
        <v>1898</v>
      </c>
      <c r="C56" s="1277">
        <v>401033003</v>
      </c>
      <c r="D56" s="765">
        <v>105289.31312273766</v>
      </c>
      <c r="E56" s="1087">
        <v>107734.18462304091</v>
      </c>
      <c r="F56" s="1087">
        <v>107556.46948367581</v>
      </c>
      <c r="G56" s="769">
        <v>105588.19700892246</v>
      </c>
      <c r="H56" s="773">
        <f t="shared" si="2"/>
        <v>106542.04105959422</v>
      </c>
      <c r="I56" s="1595"/>
      <c r="K56" s="1280" t="s">
        <v>1295</v>
      </c>
      <c r="L56" s="1277">
        <v>400053002</v>
      </c>
      <c r="M56" s="765">
        <v>32023.032971160319</v>
      </c>
      <c r="N56" s="1087">
        <v>76802.542825419514</v>
      </c>
      <c r="O56" s="1087">
        <v>84752.530557959428</v>
      </c>
      <c r="P56" s="769">
        <v>69483.59100506283</v>
      </c>
      <c r="Q56" s="773">
        <f t="shared" si="3"/>
        <v>65765.424339900521</v>
      </c>
      <c r="R56" s="1594"/>
    </row>
    <row r="57" spans="2:18">
      <c r="B57" s="1280" t="s">
        <v>2388</v>
      </c>
      <c r="C57" s="1277">
        <v>100083001</v>
      </c>
      <c r="D57" s="765">
        <v>104739.61522964448</v>
      </c>
      <c r="E57" s="1087">
        <v>107212.43886463816</v>
      </c>
      <c r="F57" s="1087">
        <v>107024.40555086041</v>
      </c>
      <c r="G57" s="769">
        <v>105020.35914815456</v>
      </c>
      <c r="H57" s="773">
        <f t="shared" si="2"/>
        <v>105999.20469832439</v>
      </c>
      <c r="I57" s="1596">
        <v>3</v>
      </c>
      <c r="K57" s="1280" t="s">
        <v>120</v>
      </c>
      <c r="L57" s="1277">
        <v>400043001</v>
      </c>
      <c r="M57" s="765">
        <v>31107.112485691949</v>
      </c>
      <c r="N57" s="1087">
        <v>75988.190943694965</v>
      </c>
      <c r="O57" s="1087">
        <v>84035.877287283482</v>
      </c>
      <c r="P57" s="769">
        <v>71859.717234991273</v>
      </c>
      <c r="Q57" s="773">
        <f t="shared" si="3"/>
        <v>65747.724487915417</v>
      </c>
      <c r="R57" s="1595"/>
    </row>
    <row r="58" spans="2:18">
      <c r="B58" s="1280" t="s">
        <v>122</v>
      </c>
      <c r="C58" s="1277">
        <v>400033001</v>
      </c>
      <c r="D58" s="765">
        <v>104953.62349366375</v>
      </c>
      <c r="E58" s="1087">
        <v>106385.09597931667</v>
      </c>
      <c r="F58" s="1087">
        <v>105154.39763972354</v>
      </c>
      <c r="G58" s="769">
        <v>102106.92661860365</v>
      </c>
      <c r="H58" s="773">
        <f t="shared" si="2"/>
        <v>104650.0109328269</v>
      </c>
      <c r="I58" s="1596"/>
      <c r="K58" s="1280" t="s">
        <v>1848</v>
      </c>
      <c r="L58" s="1277">
        <v>401013002</v>
      </c>
      <c r="M58" s="765">
        <v>32251.029708107992</v>
      </c>
      <c r="N58" s="1087">
        <v>77001.531316289256</v>
      </c>
      <c r="O58" s="1087">
        <v>84930.752379942278</v>
      </c>
      <c r="P58" s="769">
        <v>65759.366603269809</v>
      </c>
      <c r="Q58" s="773">
        <f t="shared" si="3"/>
        <v>64985.670001902341</v>
      </c>
      <c r="R58" s="1596">
        <v>2</v>
      </c>
    </row>
    <row r="59" spans="2:18">
      <c r="B59" s="1280" t="s">
        <v>103</v>
      </c>
      <c r="C59" s="1277">
        <v>301043001</v>
      </c>
      <c r="D59" s="765">
        <v>103496.17777391785</v>
      </c>
      <c r="E59" s="1087">
        <v>105493.86665106364</v>
      </c>
      <c r="F59" s="1087">
        <v>104833.796346503</v>
      </c>
      <c r="G59" s="769">
        <v>102359.31742193627</v>
      </c>
      <c r="H59" s="773">
        <f t="shared" si="2"/>
        <v>104045.78954835518</v>
      </c>
      <c r="I59" s="1596"/>
      <c r="K59" s="1280" t="s">
        <v>1562</v>
      </c>
      <c r="L59" s="1277">
        <v>402043002</v>
      </c>
      <c r="M59" s="765">
        <v>30793.745970566466</v>
      </c>
      <c r="N59" s="1087">
        <v>75740.422382456221</v>
      </c>
      <c r="O59" s="1087">
        <v>83805.187418921632</v>
      </c>
      <c r="P59" s="769">
        <v>66456.426578566461</v>
      </c>
      <c r="Q59" s="773">
        <f t="shared" si="3"/>
        <v>64198.945587627699</v>
      </c>
      <c r="R59" s="1596"/>
    </row>
    <row r="60" spans="2:18">
      <c r="B60" s="1280" t="s">
        <v>116</v>
      </c>
      <c r="C60" s="1277">
        <v>401083001</v>
      </c>
      <c r="D60" s="765">
        <v>102709.95096604002</v>
      </c>
      <c r="E60" s="1087">
        <v>103953.37373496749</v>
      </c>
      <c r="F60" s="1087">
        <v>102534.56755741277</v>
      </c>
      <c r="G60" s="769">
        <v>99299.03905560603</v>
      </c>
      <c r="H60" s="773">
        <f t="shared" si="2"/>
        <v>102124.23282850659</v>
      </c>
      <c r="I60" s="1596">
        <v>2</v>
      </c>
      <c r="K60" s="1280" t="s">
        <v>1861</v>
      </c>
      <c r="L60" s="1277">
        <v>402063003</v>
      </c>
      <c r="M60" s="765">
        <v>29572.043765613511</v>
      </c>
      <c r="N60" s="1087">
        <v>75147.463456641475</v>
      </c>
      <c r="O60" s="1087">
        <v>83141.388586887915</v>
      </c>
      <c r="P60" s="769">
        <v>66873.526001921651</v>
      </c>
      <c r="Q60" s="773">
        <f t="shared" si="3"/>
        <v>63683.60545276614</v>
      </c>
      <c r="R60" s="1596"/>
    </row>
    <row r="61" spans="2:18">
      <c r="B61" s="1280" t="s">
        <v>2389</v>
      </c>
      <c r="C61" s="1277">
        <v>100023001</v>
      </c>
      <c r="D61" s="765">
        <v>101042.09025188448</v>
      </c>
      <c r="E61" s="1087">
        <v>102137.71068817089</v>
      </c>
      <c r="F61" s="1087">
        <v>100569.9386622475</v>
      </c>
      <c r="G61" s="769">
        <v>97184.922966900675</v>
      </c>
      <c r="H61" s="773">
        <f t="shared" si="2"/>
        <v>100233.6656423009</v>
      </c>
      <c r="I61" s="1596"/>
      <c r="K61" s="1280" t="s">
        <v>115</v>
      </c>
      <c r="L61" s="1277">
        <v>401053001</v>
      </c>
      <c r="M61" s="765">
        <v>43505.901237231708</v>
      </c>
      <c r="N61" s="1087">
        <v>83899.709064703638</v>
      </c>
      <c r="O61" s="1087">
        <v>65096.03325372134</v>
      </c>
      <c r="P61" s="769">
        <v>47026.834043864059</v>
      </c>
      <c r="Q61" s="773">
        <f t="shared" si="3"/>
        <v>59882.11939988019</v>
      </c>
      <c r="R61" s="1596">
        <v>1</v>
      </c>
    </row>
    <row r="62" spans="2:18">
      <c r="B62" s="1280" t="s">
        <v>2390</v>
      </c>
      <c r="C62" s="1277">
        <v>101053001</v>
      </c>
      <c r="D62" s="765">
        <v>101042.09025188448</v>
      </c>
      <c r="E62" s="1087">
        <v>102137.71068817089</v>
      </c>
      <c r="F62" s="1087">
        <v>100569.9386622475</v>
      </c>
      <c r="G62" s="769">
        <v>97184.922966900675</v>
      </c>
      <c r="H62" s="773">
        <f t="shared" si="2"/>
        <v>100233.6656423009</v>
      </c>
      <c r="I62" s="1596"/>
      <c r="K62" s="1280" t="s">
        <v>116</v>
      </c>
      <c r="L62" s="1277">
        <v>401083001</v>
      </c>
      <c r="M62" s="765">
        <v>33442.320964560568</v>
      </c>
      <c r="N62" s="1087">
        <v>77552.344163091839</v>
      </c>
      <c r="O62" s="1087">
        <v>72981.911419247976</v>
      </c>
      <c r="P62" s="769">
        <v>53025.723309421744</v>
      </c>
      <c r="Q62" s="773">
        <f t="shared" si="3"/>
        <v>59250.57496408053</v>
      </c>
      <c r="R62" s="1596"/>
    </row>
    <row r="63" spans="2:18" ht="17.25" thickBot="1">
      <c r="B63" s="212" t="s">
        <v>115</v>
      </c>
      <c r="C63" s="620">
        <v>401053001</v>
      </c>
      <c r="D63" s="766">
        <v>98117.973541892628</v>
      </c>
      <c r="E63" s="213">
        <v>96911.753739546097</v>
      </c>
      <c r="F63" s="213">
        <v>93087.771548064717</v>
      </c>
      <c r="G63" s="770">
        <v>87475.41453836624</v>
      </c>
      <c r="H63" s="774">
        <f t="shared" si="2"/>
        <v>93898.22834196742</v>
      </c>
      <c r="I63" s="1275">
        <v>1</v>
      </c>
      <c r="K63" s="212" t="s">
        <v>122</v>
      </c>
      <c r="L63" s="620">
        <v>400033001</v>
      </c>
      <c r="M63" s="766">
        <v>28857.29342486339</v>
      </c>
      <c r="N63" s="213">
        <v>74203.873298528677</v>
      </c>
      <c r="O63" s="213">
        <v>77973.911595177051</v>
      </c>
      <c r="P63" s="770">
        <v>55535.381741291581</v>
      </c>
      <c r="Q63" s="774">
        <f t="shared" si="3"/>
        <v>59142.615014965173</v>
      </c>
      <c r="R63" s="1597"/>
    </row>
    <row r="64" spans="2:18" ht="17.25" thickTop="1">
      <c r="D64" s="1076"/>
      <c r="F64" s="1076"/>
    </row>
    <row r="65" spans="4:13">
      <c r="D65" s="1076"/>
      <c r="E65" s="1076"/>
      <c r="F65" s="1076"/>
      <c r="G65" s="1076"/>
      <c r="M65" s="201"/>
    </row>
    <row r="66" spans="4:13">
      <c r="M66" s="201"/>
    </row>
    <row r="68" spans="4:13">
      <c r="D68" s="1076"/>
      <c r="E68" s="1076"/>
      <c r="F68" s="1076"/>
      <c r="G68" s="1076"/>
      <c r="H68" s="1076"/>
    </row>
    <row r="69" spans="4:13">
      <c r="D69" s="1076"/>
      <c r="E69" s="1076"/>
      <c r="F69" s="1076"/>
      <c r="G69" s="1076"/>
      <c r="H69" s="1076"/>
    </row>
    <row r="72" spans="4:13">
      <c r="D72" s="1076"/>
      <c r="E72" s="1076"/>
      <c r="F72" s="1076"/>
      <c r="G72" s="1076"/>
      <c r="H72" s="1076"/>
    </row>
    <row r="77" spans="4:13">
      <c r="D77" s="1076"/>
      <c r="E77" s="1076"/>
      <c r="F77" s="1076"/>
      <c r="G77" s="1076"/>
      <c r="H77" s="1076"/>
    </row>
    <row r="82" spans="4:8">
      <c r="D82" s="1076"/>
      <c r="E82" s="1076"/>
      <c r="F82" s="1076"/>
      <c r="G82" s="1076"/>
      <c r="H82" s="1076"/>
    </row>
    <row r="87" spans="4:8">
      <c r="D87" s="1076"/>
      <c r="E87" s="1076"/>
      <c r="F87" s="1076"/>
      <c r="G87" s="1076"/>
      <c r="H87" s="1076"/>
    </row>
    <row r="93" spans="4:8">
      <c r="D93" s="1076"/>
      <c r="E93" s="1076"/>
      <c r="F93" s="1076"/>
      <c r="G93" s="1076"/>
      <c r="H93" s="1076"/>
    </row>
    <row r="98" spans="4:8">
      <c r="D98" s="1076"/>
      <c r="E98" s="1076"/>
      <c r="F98" s="1076"/>
      <c r="G98" s="1076"/>
      <c r="H98" s="1076"/>
    </row>
    <row r="100" spans="4:8">
      <c r="D100" s="1076"/>
      <c r="E100" s="1076"/>
      <c r="F100" s="1076"/>
      <c r="G100" s="1076"/>
      <c r="H100" s="1076"/>
    </row>
    <row r="105" spans="4:8">
      <c r="D105" s="1076"/>
      <c r="E105" s="1076"/>
      <c r="F105" s="1076"/>
      <c r="G105" s="1076"/>
      <c r="H105" s="1076"/>
    </row>
    <row r="113" spans="4:8">
      <c r="D113" s="1076"/>
      <c r="E113" s="1076"/>
      <c r="F113" s="1076"/>
      <c r="G113" s="1076"/>
      <c r="H113" s="1076"/>
    </row>
    <row r="119" spans="4:8">
      <c r="D119" s="1076"/>
      <c r="E119" s="1076"/>
      <c r="F119" s="1076"/>
      <c r="G119" s="1076"/>
    </row>
  </sheetData>
  <mergeCells count="20">
    <mergeCell ref="R18:R27"/>
    <mergeCell ref="R28:R41"/>
    <mergeCell ref="R54:R57"/>
    <mergeCell ref="B2:I2"/>
    <mergeCell ref="K2:R2"/>
    <mergeCell ref="R9:R13"/>
    <mergeCell ref="I57:I59"/>
    <mergeCell ref="I23:I30"/>
    <mergeCell ref="I9:I13"/>
    <mergeCell ref="I14:I20"/>
    <mergeCell ref="I21:I22"/>
    <mergeCell ref="R14:R17"/>
    <mergeCell ref="I5:I8"/>
    <mergeCell ref="R4:R7"/>
    <mergeCell ref="R42:R53"/>
    <mergeCell ref="I47:I56"/>
    <mergeCell ref="I31:I46"/>
    <mergeCell ref="R58:R60"/>
    <mergeCell ref="I60:I62"/>
    <mergeCell ref="R61:R63"/>
  </mergeCells>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80A8F-2A90-4F95-8E30-E34E241A6F6B}">
  <dimension ref="B1:J89"/>
  <sheetViews>
    <sheetView workbookViewId="0">
      <pane ySplit="3" topLeftCell="A4" activePane="bottomLeft" state="frozen"/>
      <selection pane="bottomLeft" activeCell="F26" sqref="F26"/>
    </sheetView>
  </sheetViews>
  <sheetFormatPr defaultColWidth="8.875" defaultRowHeight="14.25"/>
  <cols>
    <col min="1" max="1" width="8.875" style="775"/>
    <col min="2" max="3" width="9.5" style="775" bestFit="1" customWidth="1"/>
    <col min="4" max="4" width="5.5" style="775" bestFit="1" customWidth="1"/>
    <col min="5" max="5" width="9.5" style="775" bestFit="1" customWidth="1"/>
    <col min="6" max="6" width="5.5" style="775" bestFit="1" customWidth="1"/>
    <col min="7" max="7" width="7.5" style="775" bestFit="1" customWidth="1"/>
    <col min="8" max="8" width="8.875" style="775"/>
    <col min="9" max="10" width="18.5" style="775" customWidth="1"/>
    <col min="11" max="16384" width="8.875" style="775"/>
  </cols>
  <sheetData>
    <row r="1" spans="2:10" ht="15" thickBot="1"/>
    <row r="2" spans="2:10" ht="15" thickTop="1">
      <c r="B2" s="1601" t="s">
        <v>3215</v>
      </c>
      <c r="C2" s="1602"/>
      <c r="D2" s="1602"/>
      <c r="E2" s="1602"/>
      <c r="F2" s="1602"/>
      <c r="G2" s="1603"/>
      <c r="I2" s="1604" t="s">
        <v>2033</v>
      </c>
      <c r="J2" s="1605"/>
    </row>
    <row r="3" spans="2:10" ht="15" thickBot="1">
      <c r="B3" s="1599" t="s">
        <v>3210</v>
      </c>
      <c r="C3" s="1600"/>
      <c r="D3" s="776" t="s">
        <v>3212</v>
      </c>
      <c r="E3" s="777" t="s">
        <v>3214</v>
      </c>
      <c r="F3" s="777" t="s">
        <v>3211</v>
      </c>
      <c r="G3" s="778" t="s">
        <v>3213</v>
      </c>
      <c r="I3" s="779" t="s">
        <v>3216</v>
      </c>
      <c r="J3" s="780" t="s">
        <v>3213</v>
      </c>
    </row>
    <row r="4" spans="2:10">
      <c r="B4" s="1616" t="s">
        <v>174</v>
      </c>
      <c r="C4" s="1617"/>
      <c r="D4" s="1192" t="s">
        <v>4778</v>
      </c>
      <c r="E4" s="782">
        <v>100</v>
      </c>
      <c r="F4" s="782">
        <v>9.5</v>
      </c>
      <c r="G4" s="1193" t="s">
        <v>2415</v>
      </c>
      <c r="I4" s="784">
        <v>10</v>
      </c>
      <c r="J4" s="785" t="s">
        <v>2423</v>
      </c>
    </row>
    <row r="5" spans="2:10">
      <c r="B5" s="1618"/>
      <c r="C5" s="1619"/>
      <c r="D5" s="1191" t="s">
        <v>4779</v>
      </c>
      <c r="E5" s="795">
        <v>95</v>
      </c>
      <c r="F5" s="1640">
        <v>9</v>
      </c>
      <c r="G5" s="1642" t="s">
        <v>2424</v>
      </c>
      <c r="I5" s="789">
        <v>9.5</v>
      </c>
      <c r="J5" s="790" t="s">
        <v>2424</v>
      </c>
    </row>
    <row r="6" spans="2:10">
      <c r="B6" s="1618"/>
      <c r="C6" s="1619"/>
      <c r="D6" s="786" t="s">
        <v>2391</v>
      </c>
      <c r="E6" s="787">
        <v>90</v>
      </c>
      <c r="F6" s="1641"/>
      <c r="G6" s="1643"/>
      <c r="I6" s="789">
        <v>9</v>
      </c>
      <c r="J6" s="790" t="s">
        <v>2021</v>
      </c>
    </row>
    <row r="7" spans="2:10">
      <c r="B7" s="1618"/>
      <c r="C7" s="1619"/>
      <c r="D7" s="786" t="s">
        <v>2393</v>
      </c>
      <c r="E7" s="787">
        <v>85</v>
      </c>
      <c r="F7" s="787">
        <v>8.5</v>
      </c>
      <c r="G7" s="788" t="s">
        <v>2021</v>
      </c>
      <c r="I7" s="789">
        <v>8.5</v>
      </c>
      <c r="J7" s="790" t="s">
        <v>2019</v>
      </c>
    </row>
    <row r="8" spans="2:10">
      <c r="B8" s="1618"/>
      <c r="C8" s="1619"/>
      <c r="D8" s="786" t="s">
        <v>2010</v>
      </c>
      <c r="E8" s="787">
        <v>80</v>
      </c>
      <c r="F8" s="787">
        <v>8</v>
      </c>
      <c r="G8" s="788" t="s">
        <v>2398</v>
      </c>
      <c r="I8" s="789">
        <v>8</v>
      </c>
      <c r="J8" s="790" t="s">
        <v>2401</v>
      </c>
    </row>
    <row r="9" spans="2:10">
      <c r="B9" s="1618"/>
      <c r="C9" s="1619"/>
      <c r="D9" s="786" t="s">
        <v>2011</v>
      </c>
      <c r="E9" s="787">
        <v>75</v>
      </c>
      <c r="F9" s="787">
        <v>7.5</v>
      </c>
      <c r="G9" s="788" t="s">
        <v>2401</v>
      </c>
      <c r="I9" s="789">
        <v>7.5</v>
      </c>
      <c r="J9" s="1624" t="s">
        <v>2020</v>
      </c>
    </row>
    <row r="10" spans="2:10">
      <c r="B10" s="1618"/>
      <c r="C10" s="1619"/>
      <c r="D10" s="786" t="s">
        <v>2012</v>
      </c>
      <c r="E10" s="787">
        <v>70</v>
      </c>
      <c r="F10" s="787">
        <v>7</v>
      </c>
      <c r="G10" s="788" t="s">
        <v>2399</v>
      </c>
      <c r="I10" s="789">
        <v>7</v>
      </c>
      <c r="J10" s="1624"/>
    </row>
    <row r="11" spans="2:10">
      <c r="B11" s="1618"/>
      <c r="C11" s="1619"/>
      <c r="D11" s="786" t="s">
        <v>2013</v>
      </c>
      <c r="E11" s="787">
        <v>65</v>
      </c>
      <c r="F11" s="787">
        <v>6.5</v>
      </c>
      <c r="G11" s="788" t="s">
        <v>2400</v>
      </c>
      <c r="I11" s="789">
        <v>6.5</v>
      </c>
      <c r="J11" s="1624" t="s">
        <v>2425</v>
      </c>
    </row>
    <row r="12" spans="2:10">
      <c r="B12" s="1618"/>
      <c r="C12" s="1619"/>
      <c r="D12" s="786" t="s">
        <v>2014</v>
      </c>
      <c r="E12" s="787">
        <v>60</v>
      </c>
      <c r="F12" s="787">
        <v>6</v>
      </c>
      <c r="G12" s="1615" t="s">
        <v>2402</v>
      </c>
      <c r="I12" s="789">
        <v>6</v>
      </c>
      <c r="J12" s="1624"/>
    </row>
    <row r="13" spans="2:10">
      <c r="B13" s="1618"/>
      <c r="C13" s="1619"/>
      <c r="D13" s="786" t="s">
        <v>2392</v>
      </c>
      <c r="E13" s="787">
        <v>55</v>
      </c>
      <c r="F13" s="787">
        <v>5</v>
      </c>
      <c r="G13" s="1615"/>
      <c r="I13" s="789">
        <v>5</v>
      </c>
      <c r="J13" s="1624" t="s">
        <v>2426</v>
      </c>
    </row>
    <row r="14" spans="2:10">
      <c r="B14" s="1618"/>
      <c r="C14" s="1619"/>
      <c r="D14" s="786" t="s">
        <v>2015</v>
      </c>
      <c r="E14" s="787">
        <v>50</v>
      </c>
      <c r="F14" s="787">
        <v>4</v>
      </c>
      <c r="G14" s="1615" t="s">
        <v>2416</v>
      </c>
      <c r="I14" s="789">
        <v>4</v>
      </c>
      <c r="J14" s="1624"/>
    </row>
    <row r="15" spans="2:10">
      <c r="B15" s="1618"/>
      <c r="C15" s="1619"/>
      <c r="D15" s="786" t="s">
        <v>2016</v>
      </c>
      <c r="E15" s="787">
        <v>45</v>
      </c>
      <c r="F15" s="787">
        <v>3</v>
      </c>
      <c r="G15" s="1615"/>
      <c r="I15" s="789">
        <v>3</v>
      </c>
      <c r="J15" s="1624"/>
    </row>
    <row r="16" spans="2:10">
      <c r="B16" s="1618"/>
      <c r="C16" s="1619"/>
      <c r="D16" s="786" t="s">
        <v>2395</v>
      </c>
      <c r="E16" s="787">
        <v>40</v>
      </c>
      <c r="F16" s="787">
        <v>2</v>
      </c>
      <c r="G16" s="1615" t="s">
        <v>2417</v>
      </c>
      <c r="I16" s="789">
        <v>2</v>
      </c>
      <c r="J16" s="1624"/>
    </row>
    <row r="17" spans="2:10">
      <c r="B17" s="1618"/>
      <c r="C17" s="1619"/>
      <c r="D17" s="786" t="s">
        <v>2396</v>
      </c>
      <c r="E17" s="787">
        <v>35</v>
      </c>
      <c r="F17" s="787">
        <v>1</v>
      </c>
      <c r="G17" s="1615"/>
      <c r="I17" s="789">
        <v>1</v>
      </c>
      <c r="J17" s="1624"/>
    </row>
    <row r="18" spans="2:10" ht="15" thickBot="1">
      <c r="B18" s="1626"/>
      <c r="C18" s="1627"/>
      <c r="D18" s="786" t="s">
        <v>2394</v>
      </c>
      <c r="E18" s="787"/>
      <c r="F18" s="787">
        <v>0</v>
      </c>
      <c r="G18" s="891" t="s">
        <v>2418</v>
      </c>
      <c r="I18" s="793">
        <v>0</v>
      </c>
      <c r="J18" s="1625"/>
    </row>
    <row r="19" spans="2:10" ht="15" thickTop="1">
      <c r="B19" s="1616" t="s">
        <v>2397</v>
      </c>
      <c r="C19" s="1617"/>
      <c r="D19" s="781" t="s">
        <v>4778</v>
      </c>
      <c r="E19" s="782">
        <v>124</v>
      </c>
      <c r="F19" s="782">
        <v>9.5</v>
      </c>
      <c r="G19" s="783" t="s">
        <v>2415</v>
      </c>
      <c r="I19" s="1606" t="s">
        <v>4131</v>
      </c>
      <c r="J19" s="1607"/>
    </row>
    <row r="20" spans="2:10">
      <c r="B20" s="1618"/>
      <c r="C20" s="1619"/>
      <c r="D20" s="794" t="s">
        <v>4779</v>
      </c>
      <c r="E20" s="795">
        <v>121.5</v>
      </c>
      <c r="F20" s="1640">
        <v>9</v>
      </c>
      <c r="G20" s="788" t="s">
        <v>2424</v>
      </c>
      <c r="I20" s="1608"/>
      <c r="J20" s="1608"/>
    </row>
    <row r="21" spans="2:10">
      <c r="B21" s="1618"/>
      <c r="C21" s="1619"/>
      <c r="D21" s="794" t="s">
        <v>2391</v>
      </c>
      <c r="E21" s="795">
        <v>119</v>
      </c>
      <c r="F21" s="1641"/>
      <c r="G21" s="788" t="s">
        <v>2021</v>
      </c>
      <c r="I21" s="1608"/>
      <c r="J21" s="1608"/>
    </row>
    <row r="22" spans="2:10">
      <c r="B22" s="1618"/>
      <c r="C22" s="1619"/>
      <c r="D22" s="786" t="s">
        <v>2393</v>
      </c>
      <c r="E22" s="787">
        <v>117</v>
      </c>
      <c r="F22" s="787">
        <v>8.5</v>
      </c>
      <c r="G22" s="788" t="s">
        <v>2019</v>
      </c>
    </row>
    <row r="23" spans="2:10">
      <c r="B23" s="1618"/>
      <c r="C23" s="1619"/>
      <c r="D23" s="786" t="s">
        <v>2010</v>
      </c>
      <c r="E23" s="787">
        <v>115</v>
      </c>
      <c r="F23" s="787">
        <v>8</v>
      </c>
      <c r="G23" s="788" t="s">
        <v>2401</v>
      </c>
    </row>
    <row r="24" spans="2:10">
      <c r="B24" s="1618"/>
      <c r="C24" s="1619"/>
      <c r="D24" s="786" t="s">
        <v>2011</v>
      </c>
      <c r="E24" s="787">
        <v>113</v>
      </c>
      <c r="F24" s="787">
        <v>7.5</v>
      </c>
      <c r="G24" s="788" t="s">
        <v>2018</v>
      </c>
    </row>
    <row r="25" spans="2:10" ht="15" thickBot="1">
      <c r="B25" s="1618"/>
      <c r="C25" s="1619"/>
      <c r="D25" s="786" t="s">
        <v>2012</v>
      </c>
      <c r="E25" s="787">
        <v>111</v>
      </c>
      <c r="F25" s="787">
        <v>7</v>
      </c>
      <c r="G25" s="788" t="s">
        <v>2020</v>
      </c>
    </row>
    <row r="26" spans="2:10">
      <c r="B26" s="1616" t="s">
        <v>2036</v>
      </c>
      <c r="C26" s="1617"/>
      <c r="D26" s="781" t="s">
        <v>4120</v>
      </c>
      <c r="E26" s="782">
        <v>65</v>
      </c>
      <c r="F26" s="782"/>
      <c r="G26" s="783" t="s">
        <v>2026</v>
      </c>
    </row>
    <row r="27" spans="2:10">
      <c r="B27" s="1618"/>
      <c r="C27" s="1619"/>
      <c r="D27" s="786" t="s">
        <v>4121</v>
      </c>
      <c r="E27" s="787">
        <v>60</v>
      </c>
      <c r="F27" s="787"/>
      <c r="G27" s="788" t="s">
        <v>2027</v>
      </c>
    </row>
    <row r="28" spans="2:10">
      <c r="B28" s="1618"/>
      <c r="C28" s="1619"/>
      <c r="D28" s="786" t="s">
        <v>4122</v>
      </c>
      <c r="E28" s="787">
        <v>55</v>
      </c>
      <c r="F28" s="787"/>
      <c r="G28" s="891" t="s">
        <v>2419</v>
      </c>
    </row>
    <row r="29" spans="2:10">
      <c r="B29" s="1618"/>
      <c r="C29" s="1619"/>
      <c r="D29" s="786" t="s">
        <v>4123</v>
      </c>
      <c r="E29" s="787">
        <v>50</v>
      </c>
      <c r="F29" s="787"/>
      <c r="G29" s="891" t="s">
        <v>2028</v>
      </c>
    </row>
    <row r="30" spans="2:10">
      <c r="B30" s="1618"/>
      <c r="C30" s="1619"/>
      <c r="D30" s="786" t="s">
        <v>4124</v>
      </c>
      <c r="E30" s="787">
        <v>45</v>
      </c>
      <c r="F30" s="787"/>
      <c r="G30" s="788" t="s">
        <v>2029</v>
      </c>
    </row>
    <row r="31" spans="2:10">
      <c r="B31" s="1618"/>
      <c r="C31" s="1619"/>
      <c r="D31" s="786" t="s">
        <v>4125</v>
      </c>
      <c r="E31" s="787">
        <v>40</v>
      </c>
      <c r="F31" s="787"/>
      <c r="G31" s="788" t="s">
        <v>2421</v>
      </c>
    </row>
    <row r="32" spans="2:10">
      <c r="B32" s="1618"/>
      <c r="C32" s="1619"/>
      <c r="D32" s="786" t="s">
        <v>4126</v>
      </c>
      <c r="E32" s="787">
        <v>35</v>
      </c>
      <c r="F32" s="787"/>
      <c r="G32" s="891" t="s">
        <v>2030</v>
      </c>
    </row>
    <row r="33" spans="2:7" ht="15" thickBot="1">
      <c r="B33" s="1626"/>
      <c r="C33" s="1627"/>
      <c r="D33" s="791" t="s">
        <v>4119</v>
      </c>
      <c r="E33" s="792"/>
      <c r="F33" s="792"/>
      <c r="G33" s="796" t="s">
        <v>2422</v>
      </c>
    </row>
    <row r="34" spans="2:7">
      <c r="B34" s="1616" t="s">
        <v>1359</v>
      </c>
      <c r="C34" s="1617"/>
      <c r="D34" s="781" t="s">
        <v>2008</v>
      </c>
      <c r="E34" s="782">
        <v>1150</v>
      </c>
      <c r="F34" s="782"/>
      <c r="G34" s="783" t="s">
        <v>2026</v>
      </c>
    </row>
    <row r="35" spans="2:7">
      <c r="B35" s="1618"/>
      <c r="C35" s="1619"/>
      <c r="D35" s="794" t="s">
        <v>2009</v>
      </c>
      <c r="E35" s="795">
        <v>1025</v>
      </c>
      <c r="F35" s="795"/>
      <c r="G35" s="897" t="s">
        <v>2027</v>
      </c>
    </row>
    <row r="36" spans="2:7">
      <c r="B36" s="1618"/>
      <c r="C36" s="1619"/>
      <c r="D36" s="794" t="s">
        <v>2022</v>
      </c>
      <c r="E36" s="795">
        <v>900</v>
      </c>
      <c r="F36" s="795"/>
      <c r="G36" s="897" t="s">
        <v>2419</v>
      </c>
    </row>
    <row r="37" spans="2:7">
      <c r="B37" s="1618"/>
      <c r="C37" s="1619"/>
      <c r="D37" s="794" t="s">
        <v>2023</v>
      </c>
      <c r="E37" s="795">
        <v>775</v>
      </c>
      <c r="F37" s="795"/>
      <c r="G37" s="897" t="s">
        <v>2420</v>
      </c>
    </row>
    <row r="38" spans="2:7">
      <c r="B38" s="1618"/>
      <c r="C38" s="1619"/>
      <c r="D38" s="794" t="s">
        <v>2024</v>
      </c>
      <c r="E38" s="795">
        <v>650</v>
      </c>
      <c r="F38" s="795"/>
      <c r="G38" s="897" t="s">
        <v>2421</v>
      </c>
    </row>
    <row r="39" spans="2:7">
      <c r="B39" s="1618"/>
      <c r="C39" s="1619"/>
      <c r="D39" s="786" t="s">
        <v>2025</v>
      </c>
      <c r="E39" s="787">
        <v>525</v>
      </c>
      <c r="F39" s="787"/>
      <c r="G39" s="788" t="s">
        <v>2030</v>
      </c>
    </row>
    <row r="40" spans="2:7" ht="15" thickBot="1">
      <c r="B40" s="1626"/>
      <c r="C40" s="1627"/>
      <c r="D40" s="791" t="s">
        <v>2017</v>
      </c>
      <c r="E40" s="792"/>
      <c r="F40" s="792"/>
      <c r="G40" s="796" t="s">
        <v>2422</v>
      </c>
    </row>
    <row r="41" spans="2:7">
      <c r="B41" s="1611" t="s">
        <v>2031</v>
      </c>
      <c r="C41" s="1620"/>
      <c r="D41" s="781" t="s">
        <v>2010</v>
      </c>
      <c r="E41" s="782">
        <v>100000</v>
      </c>
      <c r="F41" s="782">
        <v>8</v>
      </c>
      <c r="G41" s="783"/>
    </row>
    <row r="42" spans="2:7">
      <c r="B42" s="1613"/>
      <c r="C42" s="1622"/>
      <c r="D42" s="786" t="s">
        <v>2011</v>
      </c>
      <c r="E42" s="787">
        <v>95000</v>
      </c>
      <c r="F42" s="787">
        <v>7.5</v>
      </c>
      <c r="G42" s="788"/>
    </row>
    <row r="43" spans="2:7">
      <c r="B43" s="1613"/>
      <c r="C43" s="1622"/>
      <c r="D43" s="786" t="s">
        <v>2012</v>
      </c>
      <c r="E43" s="787">
        <v>90000</v>
      </c>
      <c r="F43" s="787">
        <v>7</v>
      </c>
      <c r="G43" s="788"/>
    </row>
    <row r="44" spans="2:7">
      <c r="B44" s="1613"/>
      <c r="C44" s="1622"/>
      <c r="D44" s="786" t="s">
        <v>2013</v>
      </c>
      <c r="E44" s="787">
        <v>85000</v>
      </c>
      <c r="F44" s="787">
        <v>6.5</v>
      </c>
      <c r="G44" s="788"/>
    </row>
    <row r="45" spans="2:7">
      <c r="B45" s="1613"/>
      <c r="C45" s="1622"/>
      <c r="D45" s="786" t="s">
        <v>2014</v>
      </c>
      <c r="E45" s="787">
        <v>80000</v>
      </c>
      <c r="F45" s="787">
        <v>6</v>
      </c>
      <c r="G45" s="788"/>
    </row>
    <row r="46" spans="2:7">
      <c r="B46" s="1613"/>
      <c r="C46" s="1622"/>
      <c r="D46" s="786" t="s">
        <v>2392</v>
      </c>
      <c r="E46" s="787">
        <v>75000</v>
      </c>
      <c r="F46" s="787">
        <v>5</v>
      </c>
      <c r="G46" s="788"/>
    </row>
    <row r="47" spans="2:7">
      <c r="B47" s="1613"/>
      <c r="C47" s="1622"/>
      <c r="D47" s="786" t="s">
        <v>2015</v>
      </c>
      <c r="E47" s="787">
        <v>70000</v>
      </c>
      <c r="F47" s="787">
        <v>4</v>
      </c>
      <c r="G47" s="788"/>
    </row>
    <row r="48" spans="2:7">
      <c r="B48" s="1613"/>
      <c r="C48" s="1622"/>
      <c r="D48" s="786" t="s">
        <v>2016</v>
      </c>
      <c r="E48" s="787">
        <v>65000</v>
      </c>
      <c r="F48" s="787">
        <v>3</v>
      </c>
      <c r="G48" s="788"/>
    </row>
    <row r="49" spans="2:7">
      <c r="B49" s="1613"/>
      <c r="C49" s="1622"/>
      <c r="D49" s="786" t="s">
        <v>2395</v>
      </c>
      <c r="E49" s="787">
        <v>60000</v>
      </c>
      <c r="F49" s="787">
        <v>2</v>
      </c>
      <c r="G49" s="788"/>
    </row>
    <row r="50" spans="2:7" ht="15" thickBot="1">
      <c r="B50" s="1613"/>
      <c r="C50" s="1622"/>
      <c r="D50" s="786" t="s">
        <v>2396</v>
      </c>
      <c r="E50" s="787"/>
      <c r="F50" s="787">
        <v>1</v>
      </c>
      <c r="G50" s="788"/>
    </row>
    <row r="51" spans="2:7">
      <c r="B51" s="1611" t="s">
        <v>2032</v>
      </c>
      <c r="C51" s="1620"/>
      <c r="D51" s="781" t="s">
        <v>2391</v>
      </c>
      <c r="E51" s="782">
        <v>124000</v>
      </c>
      <c r="F51" s="782">
        <v>9</v>
      </c>
      <c r="G51" s="783"/>
    </row>
    <row r="52" spans="2:7">
      <c r="B52" s="1612"/>
      <c r="C52" s="1621"/>
      <c r="D52" s="794" t="s">
        <v>4835</v>
      </c>
      <c r="E52" s="1251">
        <v>121000</v>
      </c>
      <c r="F52" s="1251">
        <v>8.5</v>
      </c>
      <c r="G52" s="1252"/>
    </row>
    <row r="53" spans="2:7">
      <c r="B53" s="1612"/>
      <c r="C53" s="1621"/>
      <c r="D53" s="794" t="s">
        <v>4834</v>
      </c>
      <c r="E53" s="1251">
        <v>118000</v>
      </c>
      <c r="F53" s="1251">
        <v>8</v>
      </c>
      <c r="G53" s="1252"/>
    </row>
    <row r="54" spans="2:7">
      <c r="B54" s="1612"/>
      <c r="C54" s="1621"/>
      <c r="D54" s="794" t="s">
        <v>4780</v>
      </c>
      <c r="E54" s="795">
        <v>116500</v>
      </c>
      <c r="F54" s="795">
        <v>7.5</v>
      </c>
      <c r="G54" s="1194"/>
    </row>
    <row r="55" spans="2:7">
      <c r="B55" s="1613"/>
      <c r="C55" s="1622"/>
      <c r="D55" s="786" t="s">
        <v>2012</v>
      </c>
      <c r="E55" s="787">
        <v>115000</v>
      </c>
      <c r="F55" s="787">
        <v>7</v>
      </c>
      <c r="G55" s="788"/>
    </row>
    <row r="56" spans="2:7">
      <c r="B56" s="1613"/>
      <c r="C56" s="1622"/>
      <c r="D56" s="786" t="s">
        <v>2013</v>
      </c>
      <c r="E56" s="787">
        <v>113500</v>
      </c>
      <c r="F56" s="787">
        <v>6.5</v>
      </c>
      <c r="G56" s="788"/>
    </row>
    <row r="57" spans="2:7">
      <c r="B57" s="1613"/>
      <c r="C57" s="1622"/>
      <c r="D57" s="786" t="s">
        <v>2014</v>
      </c>
      <c r="E57" s="787">
        <v>112000</v>
      </c>
      <c r="F57" s="787">
        <v>6</v>
      </c>
      <c r="G57" s="788"/>
    </row>
    <row r="58" spans="2:7">
      <c r="B58" s="1613"/>
      <c r="C58" s="1622"/>
      <c r="D58" s="786" t="s">
        <v>2392</v>
      </c>
      <c r="E58" s="787">
        <v>109000</v>
      </c>
      <c r="F58" s="787">
        <v>5</v>
      </c>
      <c r="G58" s="788"/>
    </row>
    <row r="59" spans="2:7">
      <c r="B59" s="1613"/>
      <c r="C59" s="1622"/>
      <c r="D59" s="786" t="s">
        <v>2015</v>
      </c>
      <c r="E59" s="787">
        <v>106000</v>
      </c>
      <c r="F59" s="787">
        <v>4</v>
      </c>
      <c r="G59" s="788"/>
    </row>
    <row r="60" spans="2:7">
      <c r="B60" s="1613"/>
      <c r="C60" s="1622"/>
      <c r="D60" s="786" t="s">
        <v>2016</v>
      </c>
      <c r="E60" s="787">
        <v>103000</v>
      </c>
      <c r="F60" s="787">
        <v>3</v>
      </c>
      <c r="G60" s="788"/>
    </row>
    <row r="61" spans="2:7">
      <c r="B61" s="1613"/>
      <c r="C61" s="1622"/>
      <c r="D61" s="786" t="s">
        <v>2395</v>
      </c>
      <c r="E61" s="787">
        <v>100000</v>
      </c>
      <c r="F61" s="787">
        <v>2</v>
      </c>
      <c r="G61" s="788"/>
    </row>
    <row r="62" spans="2:7" ht="15" thickBot="1">
      <c r="B62" s="1614"/>
      <c r="C62" s="1623"/>
      <c r="D62" s="791" t="s">
        <v>2396</v>
      </c>
      <c r="E62" s="792"/>
      <c r="F62" s="792">
        <v>1</v>
      </c>
      <c r="G62" s="796"/>
    </row>
    <row r="63" spans="2:7">
      <c r="B63" s="1611" t="s">
        <v>175</v>
      </c>
      <c r="C63" s="1620" t="s">
        <v>3207</v>
      </c>
      <c r="D63" s="895" t="s">
        <v>2008</v>
      </c>
      <c r="E63" s="782">
        <v>18</v>
      </c>
      <c r="F63" s="782">
        <v>9.5</v>
      </c>
      <c r="G63" s="1649" t="s">
        <v>2021</v>
      </c>
    </row>
    <row r="64" spans="2:7">
      <c r="B64" s="1612"/>
      <c r="C64" s="1621"/>
      <c r="D64" s="794" t="s">
        <v>2391</v>
      </c>
      <c r="E64" s="795">
        <v>15</v>
      </c>
      <c r="F64" s="795">
        <v>9</v>
      </c>
      <c r="G64" s="1643"/>
    </row>
    <row r="65" spans="2:7">
      <c r="B65" s="1612"/>
      <c r="C65" s="1621"/>
      <c r="D65" s="794" t="s">
        <v>2393</v>
      </c>
      <c r="E65" s="795">
        <v>14</v>
      </c>
      <c r="F65" s="795">
        <v>8.5</v>
      </c>
      <c r="G65" s="1642" t="s">
        <v>2019</v>
      </c>
    </row>
    <row r="66" spans="2:7">
      <c r="B66" s="1612"/>
      <c r="C66" s="1621"/>
      <c r="D66" s="893" t="s">
        <v>2010</v>
      </c>
      <c r="E66" s="795">
        <v>13</v>
      </c>
      <c r="F66" s="795">
        <v>8</v>
      </c>
      <c r="G66" s="1643"/>
    </row>
    <row r="67" spans="2:7">
      <c r="B67" s="1612"/>
      <c r="C67" s="1621"/>
      <c r="D67" s="893" t="s">
        <v>2011</v>
      </c>
      <c r="E67" s="795">
        <v>12</v>
      </c>
      <c r="F67" s="795">
        <v>7.5</v>
      </c>
      <c r="G67" s="1642" t="s">
        <v>2018</v>
      </c>
    </row>
    <row r="68" spans="2:7">
      <c r="B68" s="1613"/>
      <c r="C68" s="1622"/>
      <c r="D68" s="893" t="s">
        <v>2023</v>
      </c>
      <c r="E68" s="787">
        <v>11</v>
      </c>
      <c r="F68" s="787">
        <v>7</v>
      </c>
      <c r="G68" s="1643"/>
    </row>
    <row r="69" spans="2:7">
      <c r="B69" s="1613"/>
      <c r="C69" s="1622"/>
      <c r="D69" s="786" t="s">
        <v>2024</v>
      </c>
      <c r="E69" s="787">
        <v>10</v>
      </c>
      <c r="F69" s="787">
        <v>6</v>
      </c>
      <c r="G69" s="1642" t="s">
        <v>2020</v>
      </c>
    </row>
    <row r="70" spans="2:7">
      <c r="B70" s="1613"/>
      <c r="C70" s="1635"/>
      <c r="D70" s="797" t="s">
        <v>2025</v>
      </c>
      <c r="E70" s="798">
        <v>8.9</v>
      </c>
      <c r="F70" s="798">
        <v>4</v>
      </c>
      <c r="G70" s="1647"/>
    </row>
    <row r="71" spans="2:7">
      <c r="B71" s="1613"/>
      <c r="C71" s="1638" t="s">
        <v>3208</v>
      </c>
      <c r="D71" s="901" t="s">
        <v>4118</v>
      </c>
      <c r="E71" s="892">
        <v>18</v>
      </c>
      <c r="F71" s="892">
        <v>7.5</v>
      </c>
      <c r="G71" s="1648" t="s">
        <v>2019</v>
      </c>
    </row>
    <row r="72" spans="2:7">
      <c r="B72" s="1613"/>
      <c r="C72" s="1634"/>
      <c r="D72" s="902" t="s">
        <v>4127</v>
      </c>
      <c r="E72" s="894">
        <v>15</v>
      </c>
      <c r="F72" s="894">
        <v>7</v>
      </c>
      <c r="G72" s="1643"/>
    </row>
    <row r="73" spans="2:7">
      <c r="B73" s="1613"/>
      <c r="C73" s="1634"/>
      <c r="D73" s="902" t="s">
        <v>4128</v>
      </c>
      <c r="E73" s="894">
        <v>14</v>
      </c>
      <c r="F73" s="894">
        <v>6.5</v>
      </c>
      <c r="G73" s="1642" t="s">
        <v>2018</v>
      </c>
    </row>
    <row r="74" spans="2:7">
      <c r="B74" s="1613"/>
      <c r="C74" s="1635"/>
      <c r="D74" s="903" t="s">
        <v>4129</v>
      </c>
      <c r="E74" s="904">
        <v>13</v>
      </c>
      <c r="F74" s="904">
        <v>6</v>
      </c>
      <c r="G74" s="1647"/>
    </row>
    <row r="75" spans="2:7">
      <c r="B75" s="1613"/>
      <c r="C75" s="1638" t="s">
        <v>3209</v>
      </c>
      <c r="D75" s="1609" t="s">
        <v>2408</v>
      </c>
      <c r="E75" s="1610"/>
      <c r="F75" s="801">
        <v>7</v>
      </c>
      <c r="G75" s="800"/>
    </row>
    <row r="76" spans="2:7">
      <c r="B76" s="1613"/>
      <c r="C76" s="1622"/>
      <c r="D76" s="1644" t="s">
        <v>2407</v>
      </c>
      <c r="E76" s="1631"/>
      <c r="F76" s="802">
        <v>4</v>
      </c>
      <c r="G76" s="788"/>
    </row>
    <row r="77" spans="2:7" ht="15" thickBot="1">
      <c r="B77" s="1614"/>
      <c r="C77" s="1623"/>
      <c r="D77" s="1645" t="s">
        <v>2409</v>
      </c>
      <c r="E77" s="1646"/>
      <c r="F77" s="803">
        <v>7</v>
      </c>
      <c r="G77" s="796"/>
    </row>
    <row r="78" spans="2:7">
      <c r="B78" s="1611" t="s">
        <v>1360</v>
      </c>
      <c r="C78" s="1620" t="s">
        <v>3207</v>
      </c>
      <c r="D78" s="781" t="s">
        <v>2009</v>
      </c>
      <c r="E78" s="782">
        <v>130</v>
      </c>
      <c r="F78" s="782">
        <v>7.5</v>
      </c>
      <c r="G78" s="783" t="s">
        <v>2019</v>
      </c>
    </row>
    <row r="79" spans="2:7">
      <c r="B79" s="1612"/>
      <c r="C79" s="1634"/>
      <c r="D79" s="899" t="s">
        <v>2010</v>
      </c>
      <c r="E79" s="900">
        <v>100</v>
      </c>
      <c r="F79" s="900">
        <v>6</v>
      </c>
      <c r="G79" s="898" t="s">
        <v>2018</v>
      </c>
    </row>
    <row r="80" spans="2:7">
      <c r="B80" s="1613"/>
      <c r="C80" s="1635"/>
      <c r="D80" s="797" t="s">
        <v>2011</v>
      </c>
      <c r="E80" s="798">
        <v>70</v>
      </c>
      <c r="F80" s="798">
        <v>5</v>
      </c>
      <c r="G80" s="799" t="s">
        <v>2020</v>
      </c>
    </row>
    <row r="81" spans="2:7" ht="15" thickBot="1">
      <c r="B81" s="1613"/>
      <c r="C81" s="1195" t="s">
        <v>3209</v>
      </c>
      <c r="D81" s="1609" t="s">
        <v>2410</v>
      </c>
      <c r="E81" s="1610"/>
      <c r="F81" s="801">
        <v>6</v>
      </c>
      <c r="G81" s="800"/>
    </row>
    <row r="82" spans="2:7">
      <c r="B82" s="1611" t="s">
        <v>2034</v>
      </c>
      <c r="C82" s="1620"/>
      <c r="D82" s="781" t="s">
        <v>2035</v>
      </c>
      <c r="E82" s="782">
        <v>20</v>
      </c>
      <c r="F82" s="782"/>
      <c r="G82" s="783"/>
    </row>
    <row r="83" spans="2:7">
      <c r="B83" s="1639"/>
      <c r="C83" s="1634"/>
      <c r="D83" s="899" t="s">
        <v>2010</v>
      </c>
      <c r="E83" s="900">
        <v>18</v>
      </c>
      <c r="F83" s="900"/>
      <c r="G83" s="898"/>
    </row>
    <row r="84" spans="2:7" ht="15" thickBot="1">
      <c r="B84" s="1614"/>
      <c r="C84" s="1623"/>
      <c r="D84" s="791" t="s">
        <v>2011</v>
      </c>
      <c r="E84" s="792">
        <v>16</v>
      </c>
      <c r="F84" s="792"/>
      <c r="G84" s="796"/>
    </row>
    <row r="85" spans="2:7">
      <c r="B85" s="1616" t="s">
        <v>2413</v>
      </c>
      <c r="C85" s="1617"/>
      <c r="D85" s="1632" t="s">
        <v>2411</v>
      </c>
      <c r="E85" s="1633"/>
      <c r="F85" s="1185">
        <v>4</v>
      </c>
      <c r="G85" s="783"/>
    </row>
    <row r="86" spans="2:7">
      <c r="B86" s="1618"/>
      <c r="C86" s="1619"/>
      <c r="D86" s="1630" t="s">
        <v>2412</v>
      </c>
      <c r="E86" s="1631"/>
      <c r="F86" s="1184">
        <v>4</v>
      </c>
      <c r="G86" s="1183"/>
    </row>
    <row r="87" spans="2:7">
      <c r="B87" s="1618"/>
      <c r="C87" s="1619"/>
      <c r="D87" s="1630" t="s">
        <v>2406</v>
      </c>
      <c r="E87" s="1631"/>
      <c r="F87" s="1184">
        <v>6</v>
      </c>
      <c r="G87" s="1183"/>
    </row>
    <row r="88" spans="2:7" ht="15" thickBot="1">
      <c r="B88" s="1636"/>
      <c r="C88" s="1637"/>
      <c r="D88" s="1628" t="s">
        <v>4766</v>
      </c>
      <c r="E88" s="1629"/>
      <c r="F88" s="1189">
        <v>8.5</v>
      </c>
      <c r="G88" s="1190"/>
    </row>
    <row r="89" spans="2:7" ht="15" thickTop="1"/>
  </sheetData>
  <mergeCells count="41">
    <mergeCell ref="F5:F6"/>
    <mergeCell ref="G5:G6"/>
    <mergeCell ref="F20:F21"/>
    <mergeCell ref="D76:E76"/>
    <mergeCell ref="D77:E77"/>
    <mergeCell ref="G69:G70"/>
    <mergeCell ref="G71:G72"/>
    <mergeCell ref="G73:G74"/>
    <mergeCell ref="G63:G64"/>
    <mergeCell ref="G65:G66"/>
    <mergeCell ref="G67:G68"/>
    <mergeCell ref="D88:E88"/>
    <mergeCell ref="B4:C18"/>
    <mergeCell ref="D87:E87"/>
    <mergeCell ref="D86:E86"/>
    <mergeCell ref="D85:E85"/>
    <mergeCell ref="B78:B81"/>
    <mergeCell ref="C78:C80"/>
    <mergeCell ref="B85:C88"/>
    <mergeCell ref="B34:C40"/>
    <mergeCell ref="C63:C70"/>
    <mergeCell ref="C71:C74"/>
    <mergeCell ref="C75:C77"/>
    <mergeCell ref="D75:E75"/>
    <mergeCell ref="B82:C84"/>
    <mergeCell ref="B3:C3"/>
    <mergeCell ref="B2:G2"/>
    <mergeCell ref="I2:J2"/>
    <mergeCell ref="I19:J21"/>
    <mergeCell ref="D81:E81"/>
    <mergeCell ref="B63:B77"/>
    <mergeCell ref="G14:G15"/>
    <mergeCell ref="G16:G17"/>
    <mergeCell ref="B19:C25"/>
    <mergeCell ref="B51:C62"/>
    <mergeCell ref="J9:J10"/>
    <mergeCell ref="J11:J12"/>
    <mergeCell ref="J13:J18"/>
    <mergeCell ref="G12:G13"/>
    <mergeCell ref="B26:C33"/>
    <mergeCell ref="B41:C50"/>
  </mergeCells>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1B819-BF53-4E63-9F25-6EEFDFC25FE6}">
  <dimension ref="B1:BG82"/>
  <sheetViews>
    <sheetView zoomScaleNormal="100" workbookViewId="0">
      <selection activeCell="O3" sqref="O3"/>
    </sheetView>
  </sheetViews>
  <sheetFormatPr defaultColWidth="7.5" defaultRowHeight="14.25"/>
  <cols>
    <col min="1" max="16" width="7.5" style="805"/>
    <col min="17" max="17" width="7.5" style="805" customWidth="1"/>
    <col min="18" max="16384" width="7.5" style="805"/>
  </cols>
  <sheetData>
    <row r="1" spans="2:22" ht="15" thickBot="1"/>
    <row r="2" spans="2:22" ht="15.75" thickTop="1" thickBot="1">
      <c r="B2" s="1664" t="s">
        <v>3218</v>
      </c>
      <c r="C2" s="806" t="s">
        <v>3220</v>
      </c>
      <c r="D2" s="810" t="s">
        <v>2763</v>
      </c>
      <c r="E2" s="811" t="s">
        <v>2446</v>
      </c>
      <c r="F2" s="1650" t="s">
        <v>3219</v>
      </c>
      <c r="G2" s="1651"/>
      <c r="H2" s="1651"/>
      <c r="I2" s="1651"/>
      <c r="J2" s="1651"/>
      <c r="K2" s="1651"/>
      <c r="L2" s="1651"/>
      <c r="M2" s="1651"/>
      <c r="N2" s="1651"/>
      <c r="O2" s="1651"/>
      <c r="P2" s="1651"/>
      <c r="Q2" s="1651"/>
      <c r="R2" s="1651"/>
      <c r="S2" s="1651"/>
      <c r="T2" s="1651"/>
      <c r="U2" s="1652"/>
    </row>
    <row r="3" spans="2:22">
      <c r="B3" s="1665"/>
      <c r="C3" s="807">
        <f t="array" ref="C3">LN(AVERAGE(IF(F3:U3&lt;&gt;"",EXP(F3:U3),"")))</f>
        <v>7.3959465301770964</v>
      </c>
      <c r="D3" s="812" t="s">
        <v>331</v>
      </c>
      <c r="E3" s="813">
        <v>1</v>
      </c>
      <c r="F3" s="818">
        <v>0</v>
      </c>
      <c r="G3" s="819">
        <v>2</v>
      </c>
      <c r="H3" s="819">
        <v>6</v>
      </c>
      <c r="I3" s="819">
        <v>6</v>
      </c>
      <c r="J3" s="819">
        <v>8.5</v>
      </c>
      <c r="K3" s="819">
        <v>6</v>
      </c>
      <c r="L3" s="819">
        <v>7.5</v>
      </c>
      <c r="M3" s="819">
        <v>8.5</v>
      </c>
      <c r="N3" s="819">
        <v>7.5</v>
      </c>
      <c r="O3" s="819"/>
      <c r="P3" s="1209"/>
      <c r="Q3" s="1209"/>
      <c r="R3" s="1209"/>
      <c r="S3" s="1209"/>
      <c r="T3" s="1209"/>
      <c r="U3" s="820"/>
      <c r="V3" s="896"/>
    </row>
    <row r="4" spans="2:22">
      <c r="B4" s="1665"/>
      <c r="C4" s="808">
        <f t="array" ref="C4">LN(AVERAGE(IF(F4:U4&lt;&gt;"",EXP(F4:U4),"")))</f>
        <v>7.4814379479874598</v>
      </c>
      <c r="D4" s="814" t="s">
        <v>332</v>
      </c>
      <c r="E4" s="815">
        <v>2</v>
      </c>
      <c r="F4" s="821">
        <v>5</v>
      </c>
      <c r="G4" s="822">
        <v>6.5</v>
      </c>
      <c r="H4" s="822">
        <v>2</v>
      </c>
      <c r="I4" s="822">
        <v>8.5</v>
      </c>
      <c r="J4" s="822">
        <v>7</v>
      </c>
      <c r="K4" s="822">
        <v>8</v>
      </c>
      <c r="L4" s="822">
        <v>7</v>
      </c>
      <c r="M4" s="822">
        <v>5</v>
      </c>
      <c r="N4" s="822">
        <v>8.5</v>
      </c>
      <c r="O4" s="822"/>
      <c r="P4" s="1210"/>
      <c r="Q4" s="1210"/>
      <c r="R4" s="1210"/>
      <c r="S4" s="1210"/>
      <c r="T4" s="1210"/>
      <c r="U4" s="823"/>
      <c r="V4" s="896"/>
    </row>
    <row r="5" spans="2:22">
      <c r="B5" s="1665"/>
      <c r="C5" s="808">
        <f t="array" ref="C5">LN(AVERAGE(IF(F5:U5&lt;&gt;"",EXP(F5:U5),"")))</f>
        <v>8.2331024372371715</v>
      </c>
      <c r="D5" s="814" t="s">
        <v>333</v>
      </c>
      <c r="E5" s="815">
        <v>3</v>
      </c>
      <c r="F5" s="821">
        <v>9</v>
      </c>
      <c r="G5" s="822">
        <v>3</v>
      </c>
      <c r="H5" s="822">
        <v>6.5</v>
      </c>
      <c r="I5" s="822">
        <v>3</v>
      </c>
      <c r="J5" s="822">
        <v>7.5</v>
      </c>
      <c r="K5" s="822">
        <v>7.5</v>
      </c>
      <c r="L5" s="822">
        <v>4</v>
      </c>
      <c r="M5" s="822">
        <v>8</v>
      </c>
      <c r="N5" s="822">
        <v>10</v>
      </c>
      <c r="O5" s="822">
        <v>5</v>
      </c>
      <c r="P5" s="1210"/>
      <c r="Q5" s="1210"/>
      <c r="R5" s="1210"/>
      <c r="S5" s="1210"/>
      <c r="T5" s="1210"/>
      <c r="U5" s="823"/>
      <c r="V5" s="896"/>
    </row>
    <row r="6" spans="2:22">
      <c r="B6" s="1665"/>
      <c r="C6" s="808">
        <f t="array" ref="C6">LN(AVERAGE(IF(F6:U6&lt;&gt;"",EXP(F6:U6),"")))</f>
        <v>7.1732284388251131</v>
      </c>
      <c r="D6" s="814" t="s">
        <v>334</v>
      </c>
      <c r="E6" s="815">
        <v>4</v>
      </c>
      <c r="F6" s="821">
        <v>5</v>
      </c>
      <c r="G6" s="822">
        <v>7</v>
      </c>
      <c r="H6" s="822">
        <v>4</v>
      </c>
      <c r="I6" s="822">
        <v>7</v>
      </c>
      <c r="J6" s="822">
        <v>5</v>
      </c>
      <c r="K6" s="822">
        <v>6</v>
      </c>
      <c r="L6" s="822">
        <v>6.5</v>
      </c>
      <c r="M6" s="822">
        <v>3</v>
      </c>
      <c r="N6" s="822">
        <v>9</v>
      </c>
      <c r="O6" s="822"/>
      <c r="P6" s="1210"/>
      <c r="Q6" s="1210"/>
      <c r="R6" s="1210"/>
      <c r="S6" s="1210"/>
      <c r="T6" s="1210"/>
      <c r="U6" s="823"/>
      <c r="V6" s="896"/>
    </row>
    <row r="7" spans="2:22">
      <c r="B7" s="1665"/>
      <c r="C7" s="808">
        <f t="array" ref="C7">LN(AVERAGE(IF(F7:U7&lt;&gt;"",EXP(F7:U7),"")))</f>
        <v>7.4899605983826181</v>
      </c>
      <c r="D7" s="814" t="s">
        <v>335</v>
      </c>
      <c r="E7" s="815">
        <v>5</v>
      </c>
      <c r="F7" s="821">
        <v>4</v>
      </c>
      <c r="G7" s="822">
        <v>7</v>
      </c>
      <c r="H7" s="822">
        <v>2</v>
      </c>
      <c r="I7" s="822">
        <v>5</v>
      </c>
      <c r="J7" s="822">
        <v>6.5</v>
      </c>
      <c r="K7" s="822">
        <v>4</v>
      </c>
      <c r="L7" s="822">
        <v>9</v>
      </c>
      <c r="M7" s="822">
        <v>8</v>
      </c>
      <c r="N7" s="822">
        <v>7.5</v>
      </c>
      <c r="O7" s="822">
        <v>8</v>
      </c>
      <c r="P7" s="1210"/>
      <c r="Q7" s="1210"/>
      <c r="R7" s="1210"/>
      <c r="S7" s="1210"/>
      <c r="T7" s="1210"/>
      <c r="U7" s="823"/>
      <c r="V7" s="896"/>
    </row>
    <row r="8" spans="2:22">
      <c r="B8" s="1665"/>
      <c r="C8" s="808">
        <f t="array" ref="C8">LN(AVERAGE(IF(F8:U8&lt;&gt;"",EXP(F8:U8),"")))</f>
        <v>7.2052678261956782</v>
      </c>
      <c r="D8" s="814" t="s">
        <v>336</v>
      </c>
      <c r="E8" s="815">
        <v>6</v>
      </c>
      <c r="F8" s="821">
        <v>5</v>
      </c>
      <c r="G8" s="822">
        <v>0</v>
      </c>
      <c r="H8" s="822">
        <v>4</v>
      </c>
      <c r="I8" s="822">
        <v>7</v>
      </c>
      <c r="J8" s="822">
        <v>5</v>
      </c>
      <c r="K8" s="822">
        <v>5</v>
      </c>
      <c r="L8" s="822">
        <v>7.5</v>
      </c>
      <c r="M8" s="822">
        <v>5</v>
      </c>
      <c r="N8" s="822">
        <v>9</v>
      </c>
      <c r="O8" s="822">
        <v>7.5</v>
      </c>
      <c r="P8" s="1210"/>
      <c r="Q8" s="1210"/>
      <c r="R8" s="1210"/>
      <c r="S8" s="1210"/>
      <c r="T8" s="1210"/>
      <c r="U8" s="823"/>
      <c r="V8" s="896"/>
    </row>
    <row r="9" spans="2:22">
      <c r="B9" s="1665"/>
      <c r="C9" s="808">
        <f t="array" ref="C9">LN(AVERAGE(IF(F9:U9&lt;&gt;"",EXP(F9:U9),"")))</f>
        <v>7.1396564462103349</v>
      </c>
      <c r="D9" s="814" t="s">
        <v>140</v>
      </c>
      <c r="E9" s="815">
        <v>7</v>
      </c>
      <c r="F9" s="821">
        <v>4</v>
      </c>
      <c r="G9" s="822">
        <v>1</v>
      </c>
      <c r="H9" s="822">
        <v>8.5</v>
      </c>
      <c r="I9" s="822">
        <v>5</v>
      </c>
      <c r="J9" s="822">
        <v>3</v>
      </c>
      <c r="K9" s="822">
        <v>7</v>
      </c>
      <c r="L9" s="822">
        <v>2</v>
      </c>
      <c r="M9" s="822">
        <v>8</v>
      </c>
      <c r="N9" s="822">
        <v>6</v>
      </c>
      <c r="O9" s="822">
        <v>8</v>
      </c>
      <c r="P9" s="1210"/>
      <c r="Q9" s="1210"/>
      <c r="R9" s="1210"/>
      <c r="S9" s="1210"/>
      <c r="T9" s="1210"/>
      <c r="U9" s="823"/>
      <c r="V9" s="896"/>
    </row>
    <row r="10" spans="2:22">
      <c r="B10" s="1665"/>
      <c r="C10" s="808">
        <f t="array" ref="C10">LN(AVERAGE(IF(F10:U10&lt;&gt;"",EXP(F10:U10),"")))</f>
        <v>6.9205686141451181</v>
      </c>
      <c r="D10" s="814" t="s">
        <v>337</v>
      </c>
      <c r="E10" s="815">
        <v>8</v>
      </c>
      <c r="F10" s="821">
        <v>4</v>
      </c>
      <c r="G10" s="822">
        <v>4</v>
      </c>
      <c r="H10" s="822">
        <v>7</v>
      </c>
      <c r="I10" s="822">
        <v>7</v>
      </c>
      <c r="J10" s="822">
        <v>8.5</v>
      </c>
      <c r="K10" s="822">
        <v>5</v>
      </c>
      <c r="L10" s="822">
        <v>6</v>
      </c>
      <c r="M10" s="822">
        <v>7.5</v>
      </c>
      <c r="N10" s="822">
        <v>6</v>
      </c>
      <c r="O10" s="822">
        <v>5</v>
      </c>
      <c r="P10" s="1210"/>
      <c r="Q10" s="1210"/>
      <c r="R10" s="1210"/>
      <c r="S10" s="1210"/>
      <c r="T10" s="1210"/>
      <c r="U10" s="823"/>
      <c r="V10" s="896"/>
    </row>
    <row r="11" spans="2:22">
      <c r="B11" s="1665"/>
      <c r="C11" s="808">
        <f t="array" ref="C11">LN(AVERAGE(IF(F11:U11&lt;&gt;"",EXP(F11:U11),"")))</f>
        <v>6.9859166779242621</v>
      </c>
      <c r="D11" s="814" t="s">
        <v>338</v>
      </c>
      <c r="E11" s="815">
        <v>9</v>
      </c>
      <c r="F11" s="821">
        <v>6</v>
      </c>
      <c r="G11" s="822">
        <v>7</v>
      </c>
      <c r="H11" s="822">
        <v>8</v>
      </c>
      <c r="I11" s="822">
        <v>3</v>
      </c>
      <c r="J11" s="822">
        <v>1</v>
      </c>
      <c r="K11" s="822">
        <v>7.5</v>
      </c>
      <c r="L11" s="822">
        <v>8</v>
      </c>
      <c r="M11" s="822">
        <v>3</v>
      </c>
      <c r="N11" s="822">
        <v>6</v>
      </c>
      <c r="O11" s="822">
        <v>7</v>
      </c>
      <c r="P11" s="1210"/>
      <c r="Q11" s="1210"/>
      <c r="R11" s="1210"/>
      <c r="S11" s="1210"/>
      <c r="T11" s="1210"/>
      <c r="U11" s="823"/>
      <c r="V11" s="896"/>
    </row>
    <row r="12" spans="2:22">
      <c r="B12" s="1665"/>
      <c r="C12" s="808">
        <f t="array" ref="C12">LN(AVERAGE(IF(F12:U12&lt;&gt;"",EXP(F12:U12),"")))</f>
        <v>6.8029611819523588</v>
      </c>
      <c r="D12" s="814" t="s">
        <v>339</v>
      </c>
      <c r="E12" s="815">
        <v>101</v>
      </c>
      <c r="F12" s="821">
        <v>0</v>
      </c>
      <c r="G12" s="822">
        <v>6</v>
      </c>
      <c r="H12" s="822">
        <v>4</v>
      </c>
      <c r="I12" s="822">
        <v>8.5</v>
      </c>
      <c r="J12" s="822">
        <v>4</v>
      </c>
      <c r="K12" s="822">
        <v>6.5</v>
      </c>
      <c r="L12" s="822">
        <v>5</v>
      </c>
      <c r="M12" s="822">
        <v>4</v>
      </c>
      <c r="N12" s="822">
        <v>7.5</v>
      </c>
      <c r="O12" s="822"/>
      <c r="P12" s="1210"/>
      <c r="Q12" s="1210"/>
      <c r="R12" s="1210"/>
      <c r="S12" s="1210"/>
      <c r="T12" s="1210"/>
      <c r="U12" s="823"/>
      <c r="V12" s="896"/>
    </row>
    <row r="13" spans="2:22">
      <c r="B13" s="1665"/>
      <c r="C13" s="808">
        <f t="array" ref="C13">LN(AVERAGE(IF(F13:U13&lt;&gt;"",EXP(F13:U13),"")))</f>
        <v>7.4320260505555904</v>
      </c>
      <c r="D13" s="814" t="s">
        <v>340</v>
      </c>
      <c r="E13" s="815">
        <v>102</v>
      </c>
      <c r="F13" s="821">
        <v>7</v>
      </c>
      <c r="G13" s="822">
        <v>4</v>
      </c>
      <c r="H13" s="822">
        <v>5</v>
      </c>
      <c r="I13" s="822">
        <v>7.5</v>
      </c>
      <c r="J13" s="822">
        <v>7</v>
      </c>
      <c r="K13" s="822">
        <v>7</v>
      </c>
      <c r="L13" s="822">
        <v>7</v>
      </c>
      <c r="M13" s="822">
        <v>8.5</v>
      </c>
      <c r="N13" s="822">
        <v>8.5</v>
      </c>
      <c r="O13" s="822">
        <v>6.5</v>
      </c>
      <c r="P13" s="1210"/>
      <c r="Q13" s="1210"/>
      <c r="R13" s="1210"/>
      <c r="S13" s="1210"/>
      <c r="T13" s="1210"/>
      <c r="U13" s="823"/>
      <c r="V13" s="896"/>
    </row>
    <row r="14" spans="2:22">
      <c r="B14" s="1665"/>
      <c r="C14" s="808">
        <f t="array" ref="C14">LN(AVERAGE(IF(F14:U14&lt;&gt;"",EXP(F14:U14),"")))</f>
        <v>7.9419228564070634</v>
      </c>
      <c r="D14" s="814" t="s">
        <v>290</v>
      </c>
      <c r="E14" s="815">
        <v>103</v>
      </c>
      <c r="F14" s="821">
        <v>8.5</v>
      </c>
      <c r="G14" s="822">
        <v>5</v>
      </c>
      <c r="H14" s="822">
        <v>4</v>
      </c>
      <c r="I14" s="822">
        <v>7</v>
      </c>
      <c r="J14" s="822">
        <v>9.5</v>
      </c>
      <c r="K14" s="822">
        <v>7.5</v>
      </c>
      <c r="L14" s="822">
        <v>5</v>
      </c>
      <c r="M14" s="822">
        <v>7.5</v>
      </c>
      <c r="N14" s="822">
        <v>7.5</v>
      </c>
      <c r="O14" s="822">
        <v>8</v>
      </c>
      <c r="P14" s="1210"/>
      <c r="Q14" s="1210"/>
      <c r="R14" s="1210"/>
      <c r="S14" s="1210"/>
      <c r="T14" s="1210"/>
      <c r="U14" s="823"/>
      <c r="V14" s="896"/>
    </row>
    <row r="15" spans="2:22">
      <c r="B15" s="1665"/>
      <c r="C15" s="808">
        <f t="array" ref="C15">LN(AVERAGE(IF(F15:U15&lt;&gt;"",EXP(F15:U15),"")))</f>
        <v>7.4510624526189364</v>
      </c>
      <c r="D15" s="814" t="s">
        <v>341</v>
      </c>
      <c r="E15" s="815">
        <v>104</v>
      </c>
      <c r="F15" s="821">
        <v>7</v>
      </c>
      <c r="G15" s="822">
        <v>5</v>
      </c>
      <c r="H15" s="822">
        <v>1</v>
      </c>
      <c r="I15" s="822">
        <v>4</v>
      </c>
      <c r="J15" s="822">
        <v>6.5</v>
      </c>
      <c r="K15" s="822">
        <v>3</v>
      </c>
      <c r="L15" s="822">
        <v>8.5</v>
      </c>
      <c r="M15" s="822">
        <v>7.5</v>
      </c>
      <c r="N15" s="822">
        <v>9</v>
      </c>
      <c r="O15" s="822">
        <v>6</v>
      </c>
      <c r="P15" s="1210"/>
      <c r="Q15" s="1210"/>
      <c r="R15" s="1210"/>
      <c r="S15" s="1210"/>
      <c r="T15" s="1210"/>
      <c r="U15" s="823"/>
      <c r="V15" s="896"/>
    </row>
    <row r="16" spans="2:22">
      <c r="B16" s="1665"/>
      <c r="C16" s="808">
        <f t="array" ref="C16">LN(AVERAGE(IF(F16:U16&lt;&gt;"",EXP(F16:U16),"")))</f>
        <v>7.557772432414632</v>
      </c>
      <c r="D16" s="814" t="s">
        <v>342</v>
      </c>
      <c r="E16" s="815">
        <v>105</v>
      </c>
      <c r="F16" s="821">
        <v>6</v>
      </c>
      <c r="G16" s="822">
        <v>7</v>
      </c>
      <c r="H16" s="822">
        <v>5</v>
      </c>
      <c r="I16" s="822">
        <v>2</v>
      </c>
      <c r="J16" s="822">
        <v>7</v>
      </c>
      <c r="K16" s="822">
        <v>0</v>
      </c>
      <c r="L16" s="822">
        <v>8</v>
      </c>
      <c r="M16" s="822">
        <v>9</v>
      </c>
      <c r="N16" s="822">
        <v>6</v>
      </c>
      <c r="O16" s="822">
        <v>8.5</v>
      </c>
      <c r="P16" s="1210"/>
      <c r="Q16" s="1210"/>
      <c r="R16" s="1210"/>
      <c r="S16" s="1210"/>
      <c r="T16" s="1210"/>
      <c r="U16" s="823"/>
      <c r="V16" s="896"/>
    </row>
    <row r="17" spans="2:22">
      <c r="B17" s="1665"/>
      <c r="C17" s="808">
        <f t="array" ref="C17">LN(AVERAGE(IF(F17:U17&lt;&gt;"",EXP(F17:U17),"")))</f>
        <v>6.9774289632256874</v>
      </c>
      <c r="D17" s="814" t="s">
        <v>343</v>
      </c>
      <c r="E17" s="815">
        <v>106</v>
      </c>
      <c r="F17" s="821">
        <v>8</v>
      </c>
      <c r="G17" s="822">
        <v>5</v>
      </c>
      <c r="H17" s="822">
        <v>3</v>
      </c>
      <c r="I17" s="822">
        <v>6.5</v>
      </c>
      <c r="J17" s="822">
        <v>0</v>
      </c>
      <c r="K17" s="822">
        <v>7</v>
      </c>
      <c r="L17" s="822">
        <v>7</v>
      </c>
      <c r="M17" s="822">
        <v>7.5</v>
      </c>
      <c r="N17" s="822">
        <v>7.5</v>
      </c>
      <c r="O17" s="822">
        <v>7</v>
      </c>
      <c r="P17" s="1210"/>
      <c r="Q17" s="1210"/>
      <c r="R17" s="1210"/>
      <c r="S17" s="1210"/>
      <c r="T17" s="1210"/>
      <c r="U17" s="823"/>
      <c r="V17" s="896"/>
    </row>
    <row r="18" spans="2:22">
      <c r="B18" s="1665"/>
      <c r="C18" s="808">
        <f t="array" ref="C18">LN(AVERAGE(IF(F18:U18&lt;&gt;"",EXP(F18:U18),"")))</f>
        <v>7.9816902248035575</v>
      </c>
      <c r="D18" s="814" t="s">
        <v>344</v>
      </c>
      <c r="E18" s="815">
        <v>107</v>
      </c>
      <c r="F18" s="821">
        <v>5</v>
      </c>
      <c r="G18" s="822">
        <v>7</v>
      </c>
      <c r="H18" s="822">
        <v>7</v>
      </c>
      <c r="I18" s="822">
        <v>7.5</v>
      </c>
      <c r="J18" s="822">
        <v>1</v>
      </c>
      <c r="K18" s="822">
        <v>2</v>
      </c>
      <c r="L18" s="822">
        <v>8</v>
      </c>
      <c r="M18" s="822">
        <v>9.5</v>
      </c>
      <c r="N18" s="822">
        <v>9</v>
      </c>
      <c r="O18" s="822">
        <v>6.5</v>
      </c>
      <c r="P18" s="1210"/>
      <c r="Q18" s="1210"/>
      <c r="R18" s="1210"/>
      <c r="S18" s="1210"/>
      <c r="T18" s="1210"/>
      <c r="U18" s="823"/>
      <c r="V18" s="896"/>
    </row>
    <row r="19" spans="2:22">
      <c r="B19" s="1665"/>
      <c r="C19" s="808">
        <f t="array" ref="C19">LN(AVERAGE(IF(F19:U19&lt;&gt;"",EXP(F19:U19),"")))</f>
        <v>6.6800628741822923</v>
      </c>
      <c r="D19" s="814" t="s">
        <v>345</v>
      </c>
      <c r="E19" s="815">
        <v>108</v>
      </c>
      <c r="F19" s="821">
        <v>6</v>
      </c>
      <c r="G19" s="822">
        <v>2</v>
      </c>
      <c r="H19" s="822">
        <v>8</v>
      </c>
      <c r="I19" s="822">
        <v>5</v>
      </c>
      <c r="J19" s="822">
        <v>4</v>
      </c>
      <c r="K19" s="822">
        <v>7</v>
      </c>
      <c r="L19" s="822">
        <v>1</v>
      </c>
      <c r="M19" s="822">
        <v>6.5</v>
      </c>
      <c r="N19" s="822">
        <v>7.5</v>
      </c>
      <c r="O19" s="822"/>
      <c r="P19" s="1210"/>
      <c r="Q19" s="1210"/>
      <c r="R19" s="1210"/>
      <c r="S19" s="1210"/>
      <c r="T19" s="1210"/>
      <c r="U19" s="823"/>
      <c r="V19" s="896"/>
    </row>
    <row r="20" spans="2:22">
      <c r="B20" s="1665"/>
      <c r="C20" s="808">
        <f t="array" ref="C20">LN(AVERAGE(IF(F20:U20&lt;&gt;"",EXP(F20:U20),"")))</f>
        <v>7.6129094148449745</v>
      </c>
      <c r="D20" s="814" t="s">
        <v>346</v>
      </c>
      <c r="E20" s="815">
        <v>109</v>
      </c>
      <c r="F20" s="821">
        <v>5</v>
      </c>
      <c r="G20" s="822">
        <v>6</v>
      </c>
      <c r="H20" s="822">
        <v>5</v>
      </c>
      <c r="I20" s="822">
        <v>7</v>
      </c>
      <c r="J20" s="822">
        <v>1</v>
      </c>
      <c r="K20" s="822">
        <v>8.5</v>
      </c>
      <c r="L20" s="822">
        <v>7.5</v>
      </c>
      <c r="M20" s="822">
        <v>7.5</v>
      </c>
      <c r="N20" s="822">
        <v>9</v>
      </c>
      <c r="O20" s="822">
        <v>7.5</v>
      </c>
      <c r="P20" s="1210"/>
      <c r="Q20" s="1210"/>
      <c r="R20" s="1210"/>
      <c r="S20" s="1210"/>
      <c r="T20" s="1210"/>
      <c r="U20" s="823"/>
      <c r="V20" s="896"/>
    </row>
    <row r="21" spans="2:22">
      <c r="B21" s="1665"/>
      <c r="C21" s="808">
        <f t="array" ref="C21">LN(AVERAGE(IF(F21:U21&lt;&gt;"",EXP(F21:U21),"")))</f>
        <v>6.3832524780775239</v>
      </c>
      <c r="D21" s="814" t="s">
        <v>350</v>
      </c>
      <c r="E21" s="815">
        <v>201</v>
      </c>
      <c r="F21" s="821">
        <v>5</v>
      </c>
      <c r="G21" s="822">
        <v>5</v>
      </c>
      <c r="H21" s="822">
        <v>5</v>
      </c>
      <c r="I21" s="822">
        <v>6.5</v>
      </c>
      <c r="J21" s="822">
        <v>7.5</v>
      </c>
      <c r="K21" s="822">
        <v>4</v>
      </c>
      <c r="L21" s="822">
        <v>6.5</v>
      </c>
      <c r="M21" s="822">
        <v>7</v>
      </c>
      <c r="N21" s="822"/>
      <c r="O21" s="822"/>
      <c r="P21" s="1210"/>
      <c r="Q21" s="1210"/>
      <c r="R21" s="1210"/>
      <c r="S21" s="1210"/>
      <c r="T21" s="1210"/>
      <c r="U21" s="823"/>
      <c r="V21" s="896"/>
    </row>
    <row r="22" spans="2:22">
      <c r="B22" s="1665"/>
      <c r="C22" s="808">
        <f t="array" ref="C22">LN(AVERAGE(IF(F22:U22&lt;&gt;"",EXP(F22:U22),"")))</f>
        <v>7.399168842837704</v>
      </c>
      <c r="D22" s="814" t="s">
        <v>4112</v>
      </c>
      <c r="E22" s="815">
        <v>202</v>
      </c>
      <c r="F22" s="821">
        <v>7</v>
      </c>
      <c r="G22" s="822">
        <v>6</v>
      </c>
      <c r="H22" s="822">
        <v>5</v>
      </c>
      <c r="I22" s="822">
        <v>8.5</v>
      </c>
      <c r="J22" s="822">
        <v>8</v>
      </c>
      <c r="K22" s="822">
        <v>6</v>
      </c>
      <c r="L22" s="822">
        <v>5</v>
      </c>
      <c r="M22" s="822">
        <v>8</v>
      </c>
      <c r="N22" s="822"/>
      <c r="O22" s="822"/>
      <c r="P22" s="1210"/>
      <c r="Q22" s="1210"/>
      <c r="R22" s="1210"/>
      <c r="S22" s="1210"/>
      <c r="T22" s="1210"/>
      <c r="U22" s="823"/>
      <c r="V22" s="896"/>
    </row>
    <row r="23" spans="2:22">
      <c r="B23" s="1665"/>
      <c r="C23" s="808">
        <f t="array" ref="C23">LN(AVERAGE(IF(F23:U23&lt;&gt;"",EXP(F23:U23),"")))</f>
        <v>7.8278153809023028</v>
      </c>
      <c r="D23" s="814" t="s">
        <v>349</v>
      </c>
      <c r="E23" s="815">
        <v>203</v>
      </c>
      <c r="F23" s="821">
        <v>6.5</v>
      </c>
      <c r="G23" s="822">
        <v>5</v>
      </c>
      <c r="H23" s="822">
        <v>7.5</v>
      </c>
      <c r="I23" s="822">
        <v>7</v>
      </c>
      <c r="J23" s="822">
        <v>1</v>
      </c>
      <c r="K23" s="822">
        <v>5</v>
      </c>
      <c r="L23" s="822">
        <v>9</v>
      </c>
      <c r="M23" s="822">
        <v>9</v>
      </c>
      <c r="N23" s="822"/>
      <c r="O23" s="822"/>
      <c r="P23" s="1210"/>
      <c r="Q23" s="1210"/>
      <c r="R23" s="1210"/>
      <c r="S23" s="1210"/>
      <c r="T23" s="1210"/>
      <c r="U23" s="823"/>
      <c r="V23" s="896"/>
    </row>
    <row r="24" spans="2:22">
      <c r="B24" s="1665"/>
      <c r="C24" s="808">
        <f t="array" ref="C24">LN(AVERAGE(IF(F24:U24&lt;&gt;"",EXP(F24:U24),"")))</f>
        <v>7.7246295035380808</v>
      </c>
      <c r="D24" s="814" t="s">
        <v>347</v>
      </c>
      <c r="E24" s="815">
        <v>204</v>
      </c>
      <c r="F24" s="821">
        <v>7</v>
      </c>
      <c r="G24" s="822">
        <v>6</v>
      </c>
      <c r="H24" s="822">
        <v>6.5</v>
      </c>
      <c r="I24" s="822">
        <v>4</v>
      </c>
      <c r="J24" s="822">
        <v>4</v>
      </c>
      <c r="K24" s="822">
        <v>6.5</v>
      </c>
      <c r="L24" s="822">
        <v>7.5</v>
      </c>
      <c r="M24" s="822">
        <v>9.5</v>
      </c>
      <c r="N24" s="822"/>
      <c r="O24" s="822"/>
      <c r="P24" s="1210"/>
      <c r="Q24" s="1210"/>
      <c r="R24" s="1210"/>
      <c r="S24" s="1210"/>
      <c r="T24" s="1210"/>
      <c r="U24" s="823"/>
      <c r="V24" s="896"/>
    </row>
    <row r="25" spans="2:22">
      <c r="B25" s="1665"/>
      <c r="C25" s="808">
        <f t="array" ref="C25">LN(AVERAGE(IF(F25:U25&lt;&gt;"",EXP(F25:U25),"")))</f>
        <v>7.781707875819647</v>
      </c>
      <c r="D25" s="814" t="s">
        <v>354</v>
      </c>
      <c r="E25" s="815">
        <v>205</v>
      </c>
      <c r="F25" s="821">
        <v>5</v>
      </c>
      <c r="G25" s="822">
        <v>8</v>
      </c>
      <c r="H25" s="822">
        <v>3</v>
      </c>
      <c r="I25" s="822">
        <v>5</v>
      </c>
      <c r="J25" s="822">
        <v>8</v>
      </c>
      <c r="K25" s="822">
        <v>8</v>
      </c>
      <c r="L25" s="822">
        <v>9</v>
      </c>
      <c r="M25" s="822">
        <v>7.5</v>
      </c>
      <c r="N25" s="822"/>
      <c r="O25" s="822"/>
      <c r="P25" s="1210"/>
      <c r="Q25" s="1210"/>
      <c r="R25" s="1210"/>
      <c r="S25" s="1210"/>
      <c r="T25" s="1210"/>
      <c r="U25" s="823"/>
      <c r="V25" s="896"/>
    </row>
    <row r="26" spans="2:22">
      <c r="B26" s="1665"/>
      <c r="C26" s="808">
        <f t="array" ref="C26">LN(AVERAGE(IF(F26:U26&lt;&gt;"",EXP(F26:U26),"")))</f>
        <v>8.4333588920983207</v>
      </c>
      <c r="D26" s="814" t="s">
        <v>355</v>
      </c>
      <c r="E26" s="815">
        <v>206</v>
      </c>
      <c r="F26" s="821">
        <v>9.5</v>
      </c>
      <c r="G26" s="822">
        <v>1</v>
      </c>
      <c r="H26" s="822">
        <v>6</v>
      </c>
      <c r="I26" s="822">
        <v>6</v>
      </c>
      <c r="J26" s="822">
        <v>4</v>
      </c>
      <c r="K26" s="822">
        <v>9.5</v>
      </c>
      <c r="L26" s="822">
        <v>7</v>
      </c>
      <c r="M26" s="822">
        <v>9</v>
      </c>
      <c r="N26" s="822"/>
      <c r="O26" s="822"/>
      <c r="P26" s="1210"/>
      <c r="Q26" s="1210"/>
      <c r="R26" s="1210"/>
      <c r="S26" s="1210"/>
      <c r="T26" s="1210"/>
      <c r="U26" s="823"/>
      <c r="V26" s="896"/>
    </row>
    <row r="27" spans="2:22">
      <c r="B27" s="1665"/>
      <c r="C27" s="808">
        <f t="array" ref="C27">LN(AVERAGE(IF(F27:U27&lt;&gt;"",EXP(F27:U27),"")))</f>
        <v>8.585112077911953</v>
      </c>
      <c r="D27" s="814" t="s">
        <v>348</v>
      </c>
      <c r="E27" s="815">
        <v>207</v>
      </c>
      <c r="F27" s="821">
        <v>8.5</v>
      </c>
      <c r="G27" s="822">
        <v>5</v>
      </c>
      <c r="H27" s="822">
        <v>3</v>
      </c>
      <c r="I27" s="822">
        <v>7</v>
      </c>
      <c r="J27" s="822">
        <v>7</v>
      </c>
      <c r="K27" s="822">
        <v>5</v>
      </c>
      <c r="L27" s="822">
        <v>10</v>
      </c>
      <c r="M27" s="822">
        <v>9.5</v>
      </c>
      <c r="N27" s="822"/>
      <c r="O27" s="822"/>
      <c r="P27" s="1210"/>
      <c r="Q27" s="1210"/>
      <c r="R27" s="1210"/>
      <c r="S27" s="1210"/>
      <c r="T27" s="1210"/>
      <c r="U27" s="823"/>
      <c r="V27" s="896"/>
    </row>
    <row r="28" spans="2:22">
      <c r="B28" s="1665"/>
      <c r="C28" s="808">
        <f t="array" ref="C28">LN(AVERAGE(IF(F28:U28&lt;&gt;"",EXP(F28:U28),"")))</f>
        <v>7.5118526983489291</v>
      </c>
      <c r="D28" s="814" t="s">
        <v>351</v>
      </c>
      <c r="E28" s="815">
        <v>208</v>
      </c>
      <c r="F28" s="821">
        <v>9</v>
      </c>
      <c r="G28" s="822">
        <v>5</v>
      </c>
      <c r="H28" s="822">
        <v>4</v>
      </c>
      <c r="I28" s="822">
        <v>3</v>
      </c>
      <c r="J28" s="822">
        <v>6</v>
      </c>
      <c r="K28" s="822">
        <v>8</v>
      </c>
      <c r="L28" s="822">
        <v>7</v>
      </c>
      <c r="M28" s="822"/>
      <c r="N28" s="822"/>
      <c r="O28" s="822"/>
      <c r="P28" s="1210"/>
      <c r="Q28" s="1210"/>
      <c r="R28" s="1210"/>
      <c r="S28" s="1210"/>
      <c r="T28" s="1210"/>
      <c r="U28" s="823"/>
      <c r="V28" s="896"/>
    </row>
    <row r="29" spans="2:22">
      <c r="B29" s="1665"/>
      <c r="C29" s="808">
        <f t="array" ref="C29">LN(AVERAGE(IF(F29:U29&lt;&gt;"",EXP(F29:U29),"")))</f>
        <v>8.3209043990801845</v>
      </c>
      <c r="D29" s="814" t="s">
        <v>353</v>
      </c>
      <c r="E29" s="815">
        <v>209</v>
      </c>
      <c r="F29" s="821">
        <v>5</v>
      </c>
      <c r="G29" s="822">
        <v>6.5</v>
      </c>
      <c r="H29" s="822">
        <v>7</v>
      </c>
      <c r="I29" s="822">
        <v>7.5</v>
      </c>
      <c r="J29" s="822">
        <v>1</v>
      </c>
      <c r="K29" s="822">
        <v>9</v>
      </c>
      <c r="L29" s="822">
        <v>10</v>
      </c>
      <c r="M29" s="822">
        <v>5</v>
      </c>
      <c r="N29" s="822">
        <v>8</v>
      </c>
      <c r="O29" s="822"/>
      <c r="P29" s="1210"/>
      <c r="Q29" s="1210"/>
      <c r="R29" s="1210"/>
      <c r="S29" s="1210"/>
      <c r="T29" s="1210"/>
      <c r="U29" s="823"/>
      <c r="V29" s="896"/>
    </row>
    <row r="30" spans="2:22">
      <c r="B30" s="1665"/>
      <c r="C30" s="808">
        <f t="array" ref="C30">LN(AVERAGE(IF(F30:U30&lt;&gt;"",EXP(F30:U30),"")))</f>
        <v>8.4029459033658842</v>
      </c>
      <c r="D30" s="814" t="s">
        <v>2762</v>
      </c>
      <c r="E30" s="815">
        <v>210</v>
      </c>
      <c r="F30" s="821">
        <v>8</v>
      </c>
      <c r="G30" s="822">
        <v>7</v>
      </c>
      <c r="H30" s="822">
        <v>9.5</v>
      </c>
      <c r="I30" s="822">
        <v>6</v>
      </c>
      <c r="J30" s="822"/>
      <c r="K30" s="822"/>
      <c r="L30" s="822"/>
      <c r="M30" s="822"/>
      <c r="N30" s="822"/>
      <c r="O30" s="822"/>
      <c r="P30" s="1210"/>
      <c r="Q30" s="1210"/>
      <c r="R30" s="1210"/>
      <c r="S30" s="1210"/>
      <c r="T30" s="1210"/>
      <c r="U30" s="823"/>
      <c r="V30" s="896"/>
    </row>
    <row r="31" spans="2:22">
      <c r="B31" s="1665"/>
      <c r="C31" s="808">
        <f t="array" ref="C31">LN(AVERAGE(IF(F31:U31&lt;&gt;"",EXP(F31:U31),"")))</f>
        <v>8.5</v>
      </c>
      <c r="D31" s="814" t="s">
        <v>4783</v>
      </c>
      <c r="E31" s="815">
        <v>211</v>
      </c>
      <c r="F31" s="821">
        <v>8.5</v>
      </c>
      <c r="G31" s="822"/>
      <c r="H31" s="822"/>
      <c r="I31" s="822"/>
      <c r="J31" s="822"/>
      <c r="K31" s="822"/>
      <c r="L31" s="822"/>
      <c r="M31" s="822"/>
      <c r="N31" s="822"/>
      <c r="O31" s="822"/>
      <c r="P31" s="1210"/>
      <c r="Q31" s="1210"/>
      <c r="R31" s="1210"/>
      <c r="S31" s="1210"/>
      <c r="T31" s="1210"/>
      <c r="U31" s="823"/>
      <c r="V31" s="896"/>
    </row>
    <row r="32" spans="2:22" ht="15" thickBot="1">
      <c r="B32" s="1666"/>
      <c r="C32" s="809" t="e">
        <f t="array" ref="C32">LN(AVERAGE(IF(F32:U32&lt;&gt;"",EXP(F32:U32),"")))</f>
        <v>#DIV/0!</v>
      </c>
      <c r="D32" s="816" t="s">
        <v>4784</v>
      </c>
      <c r="E32" s="817">
        <v>212</v>
      </c>
      <c r="F32" s="824"/>
      <c r="G32" s="825"/>
      <c r="H32" s="825"/>
      <c r="I32" s="825"/>
      <c r="J32" s="825"/>
      <c r="K32" s="825"/>
      <c r="L32" s="825"/>
      <c r="M32" s="825"/>
      <c r="N32" s="825"/>
      <c r="O32" s="825"/>
      <c r="P32" s="1211"/>
      <c r="Q32" s="1211"/>
      <c r="R32" s="1211"/>
      <c r="S32" s="1211"/>
      <c r="T32" s="1211"/>
      <c r="U32" s="826"/>
      <c r="V32" s="896"/>
    </row>
    <row r="33" spans="2:59" ht="15.75" thickTop="1" thickBot="1"/>
    <row r="34" spans="2:59" s="804" customFormat="1" ht="15" thickTop="1">
      <c r="B34" s="1656" t="s">
        <v>3221</v>
      </c>
      <c r="C34" s="1667">
        <v>211130</v>
      </c>
      <c r="D34" s="1668"/>
      <c r="E34" s="1659"/>
      <c r="F34" s="1660"/>
      <c r="G34" s="1661"/>
      <c r="H34" s="1662"/>
      <c r="I34" s="1659"/>
      <c r="J34" s="1660"/>
      <c r="K34" s="1661"/>
      <c r="L34" s="1662"/>
      <c r="M34" s="1659"/>
      <c r="N34" s="1660"/>
      <c r="O34" s="1653"/>
      <c r="P34" s="1663"/>
      <c r="Q34" s="1659"/>
      <c r="R34" s="1660"/>
      <c r="S34" s="1661"/>
      <c r="T34" s="1662"/>
      <c r="U34" s="1659"/>
      <c r="V34" s="1660"/>
      <c r="W34" s="1659"/>
      <c r="X34" s="1660"/>
      <c r="Y34" s="1653"/>
      <c r="Z34" s="1655"/>
      <c r="AA34" s="1659"/>
      <c r="AB34" s="1662"/>
      <c r="AC34" s="1659"/>
      <c r="AD34" s="1662"/>
      <c r="AE34" s="1659"/>
      <c r="AF34" s="1660"/>
      <c r="AG34" s="1653"/>
      <c r="AH34" s="1655"/>
      <c r="AI34" s="1653"/>
      <c r="AJ34" s="1655"/>
      <c r="AK34" s="1653"/>
      <c r="AL34" s="1655"/>
      <c r="AM34" s="1653"/>
      <c r="AN34" s="1663"/>
      <c r="AO34" s="1653"/>
      <c r="AP34" s="1655"/>
      <c r="AQ34" s="1653"/>
      <c r="AR34" s="1655"/>
      <c r="AS34" s="1653"/>
      <c r="AT34" s="1655"/>
      <c r="AU34" s="1653"/>
      <c r="AV34" s="1655"/>
      <c r="AW34" s="1653"/>
      <c r="AX34" s="1655"/>
      <c r="AY34" s="1653"/>
      <c r="AZ34" s="1655"/>
      <c r="BA34" s="1653"/>
      <c r="BB34" s="1655"/>
      <c r="BC34" s="1653"/>
      <c r="BD34" s="1655"/>
      <c r="BE34" s="1653"/>
      <c r="BF34" s="1654"/>
      <c r="BG34" s="1196"/>
    </row>
    <row r="35" spans="2:59" s="804" customFormat="1">
      <c r="B35" s="1657"/>
      <c r="C35" s="829" t="s">
        <v>348</v>
      </c>
      <c r="D35" s="831"/>
      <c r="E35" s="1197"/>
      <c r="F35" s="928"/>
      <c r="G35" s="1198"/>
      <c r="H35" s="905"/>
      <c r="I35" s="1197"/>
      <c r="J35" s="928"/>
      <c r="K35" s="1198"/>
      <c r="L35" s="905"/>
      <c r="M35" s="1197"/>
      <c r="N35" s="928"/>
      <c r="O35" s="1198"/>
      <c r="P35" s="905"/>
      <c r="Q35" s="1197"/>
      <c r="R35" s="928"/>
      <c r="S35" s="1199"/>
      <c r="T35" s="905"/>
      <c r="U35" s="884"/>
      <c r="V35" s="928"/>
      <c r="W35" s="884"/>
      <c r="X35" s="928"/>
      <c r="Y35" s="1199"/>
      <c r="Z35" s="905"/>
      <c r="AA35" s="884"/>
      <c r="AB35" s="905"/>
      <c r="AC35" s="884"/>
      <c r="AD35" s="905"/>
      <c r="AE35" s="884"/>
      <c r="AF35" s="928"/>
      <c r="AG35" s="884"/>
      <c r="AH35" s="905"/>
      <c r="AI35" s="884"/>
      <c r="AJ35" s="905"/>
      <c r="AK35" s="884"/>
      <c r="AL35" s="905"/>
      <c r="AM35" s="884"/>
      <c r="AN35" s="928"/>
      <c r="AO35" s="884"/>
      <c r="AP35" s="905"/>
      <c r="AQ35" s="884"/>
      <c r="AR35" s="905"/>
      <c r="AS35" s="884"/>
      <c r="AT35" s="905"/>
      <c r="AU35" s="884"/>
      <c r="AV35" s="905"/>
      <c r="AW35" s="884"/>
      <c r="AX35" s="905"/>
      <c r="AY35" s="884"/>
      <c r="AZ35" s="905"/>
      <c r="BA35" s="884"/>
      <c r="BB35" s="905"/>
      <c r="BC35" s="884"/>
      <c r="BD35" s="905"/>
      <c r="BE35" s="884"/>
      <c r="BF35" s="885"/>
      <c r="BG35" s="1200">
        <v>1</v>
      </c>
    </row>
    <row r="36" spans="2:59" s="804" customFormat="1">
      <c r="B36" s="1657"/>
      <c r="C36" s="827" t="s">
        <v>4782</v>
      </c>
      <c r="D36" s="832"/>
      <c r="E36" s="1201"/>
      <c r="F36" s="929"/>
      <c r="G36" s="1202"/>
      <c r="H36" s="906"/>
      <c r="I36" s="1201"/>
      <c r="J36" s="929"/>
      <c r="K36" s="1202"/>
      <c r="L36" s="906"/>
      <c r="M36" s="1201"/>
      <c r="N36" s="929"/>
      <c r="O36" s="1202"/>
      <c r="P36" s="906"/>
      <c r="Q36" s="1201"/>
      <c r="R36" s="929"/>
      <c r="S36" s="1203"/>
      <c r="T36" s="906"/>
      <c r="U36" s="878"/>
      <c r="V36" s="929"/>
      <c r="W36" s="878"/>
      <c r="X36" s="929"/>
      <c r="Y36" s="1203"/>
      <c r="Z36" s="906"/>
      <c r="AA36" s="878"/>
      <c r="AB36" s="906"/>
      <c r="AC36" s="878"/>
      <c r="AD36" s="906"/>
      <c r="AE36" s="878"/>
      <c r="AF36" s="929"/>
      <c r="AG36" s="878"/>
      <c r="AH36" s="906"/>
      <c r="AI36" s="878"/>
      <c r="AJ36" s="906"/>
      <c r="AK36" s="878"/>
      <c r="AL36" s="906"/>
      <c r="AM36" s="878"/>
      <c r="AN36" s="929"/>
      <c r="AO36" s="878"/>
      <c r="AP36" s="906"/>
      <c r="AQ36" s="878"/>
      <c r="AR36" s="906"/>
      <c r="AS36" s="878"/>
      <c r="AT36" s="906"/>
      <c r="AU36" s="878"/>
      <c r="AV36" s="906"/>
      <c r="AW36" s="878"/>
      <c r="AX36" s="906"/>
      <c r="AY36" s="878"/>
      <c r="AZ36" s="906"/>
      <c r="BA36" s="878"/>
      <c r="BB36" s="906"/>
      <c r="BC36" s="878"/>
      <c r="BD36" s="906"/>
      <c r="BE36" s="878"/>
      <c r="BF36" s="886"/>
      <c r="BG36" s="1204">
        <v>2</v>
      </c>
    </row>
    <row r="37" spans="2:59" s="804" customFormat="1">
      <c r="B37" s="1657"/>
      <c r="C37" s="827" t="s">
        <v>355</v>
      </c>
      <c r="D37" s="832"/>
      <c r="E37" s="1201"/>
      <c r="F37" s="929"/>
      <c r="G37" s="1202"/>
      <c r="H37" s="906"/>
      <c r="I37" s="1201"/>
      <c r="J37" s="929"/>
      <c r="K37" s="1202"/>
      <c r="L37" s="906"/>
      <c r="M37" s="1201"/>
      <c r="N37" s="929"/>
      <c r="O37" s="1202"/>
      <c r="P37" s="906"/>
      <c r="Q37" s="1201"/>
      <c r="R37" s="929"/>
      <c r="S37" s="1203"/>
      <c r="T37" s="906"/>
      <c r="U37" s="878"/>
      <c r="V37" s="929"/>
      <c r="W37" s="878"/>
      <c r="X37" s="929"/>
      <c r="Y37" s="1203"/>
      <c r="Z37" s="906"/>
      <c r="AA37" s="878"/>
      <c r="AB37" s="906"/>
      <c r="AC37" s="878"/>
      <c r="AD37" s="906"/>
      <c r="AE37" s="878"/>
      <c r="AF37" s="929"/>
      <c r="AG37" s="878"/>
      <c r="AH37" s="906"/>
      <c r="AI37" s="878"/>
      <c r="AJ37" s="906"/>
      <c r="AK37" s="878"/>
      <c r="AL37" s="906"/>
      <c r="AM37" s="878"/>
      <c r="AN37" s="929"/>
      <c r="AO37" s="878"/>
      <c r="AP37" s="906"/>
      <c r="AQ37" s="878"/>
      <c r="AR37" s="906"/>
      <c r="AS37" s="878"/>
      <c r="AT37" s="906"/>
      <c r="AU37" s="878"/>
      <c r="AV37" s="906"/>
      <c r="AW37" s="878"/>
      <c r="AX37" s="906"/>
      <c r="AY37" s="878"/>
      <c r="AZ37" s="906"/>
      <c r="BA37" s="878"/>
      <c r="BB37" s="906"/>
      <c r="BC37" s="878"/>
      <c r="BD37" s="906"/>
      <c r="BE37" s="878"/>
      <c r="BF37" s="886"/>
      <c r="BG37" s="1204">
        <v>3</v>
      </c>
    </row>
    <row r="38" spans="2:59" s="804" customFormat="1">
      <c r="B38" s="1657"/>
      <c r="C38" s="827" t="s">
        <v>2762</v>
      </c>
      <c r="D38" s="832"/>
      <c r="E38" s="1201"/>
      <c r="F38" s="929"/>
      <c r="G38" s="1202"/>
      <c r="H38" s="906"/>
      <c r="I38" s="1201"/>
      <c r="J38" s="929"/>
      <c r="K38" s="1202"/>
      <c r="L38" s="906"/>
      <c r="M38" s="1201"/>
      <c r="N38" s="929"/>
      <c r="O38" s="1202"/>
      <c r="P38" s="906"/>
      <c r="Q38" s="1201"/>
      <c r="R38" s="929"/>
      <c r="S38" s="1203"/>
      <c r="T38" s="906"/>
      <c r="U38" s="878"/>
      <c r="V38" s="929"/>
      <c r="W38" s="878"/>
      <c r="X38" s="929"/>
      <c r="Y38" s="1203"/>
      <c r="Z38" s="906"/>
      <c r="AA38" s="878"/>
      <c r="AB38" s="906"/>
      <c r="AC38" s="878"/>
      <c r="AD38" s="906"/>
      <c r="AE38" s="878"/>
      <c r="AF38" s="929"/>
      <c r="AG38" s="878"/>
      <c r="AH38" s="906"/>
      <c r="AI38" s="878"/>
      <c r="AJ38" s="906"/>
      <c r="AK38" s="878"/>
      <c r="AL38" s="906"/>
      <c r="AM38" s="878"/>
      <c r="AN38" s="929"/>
      <c r="AO38" s="878"/>
      <c r="AP38" s="906"/>
      <c r="AQ38" s="878"/>
      <c r="AR38" s="906"/>
      <c r="AS38" s="878"/>
      <c r="AT38" s="906"/>
      <c r="AU38" s="878"/>
      <c r="AV38" s="906"/>
      <c r="AW38" s="878"/>
      <c r="AX38" s="906"/>
      <c r="AY38" s="878"/>
      <c r="AZ38" s="906"/>
      <c r="BA38" s="878"/>
      <c r="BB38" s="906"/>
      <c r="BC38" s="878"/>
      <c r="BD38" s="906"/>
      <c r="BE38" s="878"/>
      <c r="BF38" s="886"/>
      <c r="BG38" s="1204">
        <v>4</v>
      </c>
    </row>
    <row r="39" spans="2:59" s="804" customFormat="1">
      <c r="B39" s="1657"/>
      <c r="C39" s="827" t="s">
        <v>353</v>
      </c>
      <c r="D39" s="832"/>
      <c r="E39" s="1201"/>
      <c r="F39" s="929"/>
      <c r="G39" s="1202"/>
      <c r="H39" s="906"/>
      <c r="I39" s="1201"/>
      <c r="J39" s="929"/>
      <c r="K39" s="1202"/>
      <c r="L39" s="906"/>
      <c r="M39" s="1201"/>
      <c r="N39" s="929"/>
      <c r="O39" s="1202"/>
      <c r="P39" s="906"/>
      <c r="Q39" s="1201"/>
      <c r="R39" s="929"/>
      <c r="S39" s="1203"/>
      <c r="T39" s="906"/>
      <c r="U39" s="878"/>
      <c r="V39" s="929"/>
      <c r="W39" s="878"/>
      <c r="X39" s="929"/>
      <c r="Y39" s="1203"/>
      <c r="Z39" s="906"/>
      <c r="AA39" s="878"/>
      <c r="AB39" s="906"/>
      <c r="AC39" s="878"/>
      <c r="AD39" s="906"/>
      <c r="AE39" s="878"/>
      <c r="AF39" s="929"/>
      <c r="AG39" s="878"/>
      <c r="AH39" s="906"/>
      <c r="AI39" s="878"/>
      <c r="AJ39" s="906"/>
      <c r="AK39" s="878"/>
      <c r="AL39" s="906"/>
      <c r="AM39" s="878"/>
      <c r="AN39" s="929"/>
      <c r="AO39" s="878"/>
      <c r="AP39" s="906"/>
      <c r="AQ39" s="878"/>
      <c r="AR39" s="906"/>
      <c r="AS39" s="878"/>
      <c r="AT39" s="906"/>
      <c r="AU39" s="878"/>
      <c r="AV39" s="906"/>
      <c r="AW39" s="878"/>
      <c r="AX39" s="906"/>
      <c r="AY39" s="878"/>
      <c r="AZ39" s="906"/>
      <c r="BA39" s="878"/>
      <c r="BB39" s="906"/>
      <c r="BC39" s="878"/>
      <c r="BD39" s="906"/>
      <c r="BE39" s="878"/>
      <c r="BF39" s="886"/>
      <c r="BG39" s="1204">
        <v>5</v>
      </c>
    </row>
    <row r="40" spans="2:59" s="804" customFormat="1">
      <c r="B40" s="1657"/>
      <c r="C40" s="827" t="s">
        <v>333</v>
      </c>
      <c r="D40" s="832"/>
      <c r="E40" s="1201"/>
      <c r="F40" s="929"/>
      <c r="G40" s="1202"/>
      <c r="H40" s="906"/>
      <c r="I40" s="1201"/>
      <c r="J40" s="929"/>
      <c r="K40" s="1202"/>
      <c r="L40" s="906"/>
      <c r="M40" s="1201"/>
      <c r="N40" s="929"/>
      <c r="O40" s="1202"/>
      <c r="P40" s="906"/>
      <c r="Q40" s="1201"/>
      <c r="R40" s="929"/>
      <c r="S40" s="1203"/>
      <c r="T40" s="906"/>
      <c r="U40" s="878"/>
      <c r="V40" s="929"/>
      <c r="W40" s="878"/>
      <c r="X40" s="929"/>
      <c r="Y40" s="1203"/>
      <c r="Z40" s="906"/>
      <c r="AA40" s="878"/>
      <c r="AB40" s="906"/>
      <c r="AC40" s="878"/>
      <c r="AD40" s="906"/>
      <c r="AE40" s="878"/>
      <c r="AF40" s="929"/>
      <c r="AG40" s="878"/>
      <c r="AH40" s="906"/>
      <c r="AI40" s="878"/>
      <c r="AJ40" s="906"/>
      <c r="AK40" s="878"/>
      <c r="AL40" s="906"/>
      <c r="AM40" s="878"/>
      <c r="AN40" s="929"/>
      <c r="AO40" s="878"/>
      <c r="AP40" s="906"/>
      <c r="AQ40" s="878"/>
      <c r="AR40" s="906"/>
      <c r="AS40" s="878"/>
      <c r="AT40" s="906"/>
      <c r="AU40" s="878"/>
      <c r="AV40" s="906"/>
      <c r="AW40" s="878"/>
      <c r="AX40" s="906"/>
      <c r="AY40" s="878"/>
      <c r="AZ40" s="906"/>
      <c r="BA40" s="878"/>
      <c r="BB40" s="906"/>
      <c r="BC40" s="878"/>
      <c r="BD40" s="906"/>
      <c r="BE40" s="878"/>
      <c r="BF40" s="886"/>
      <c r="BG40" s="1204">
        <v>6</v>
      </c>
    </row>
    <row r="41" spans="2:59" s="804" customFormat="1">
      <c r="B41" s="1657"/>
      <c r="C41" s="827" t="s">
        <v>344</v>
      </c>
      <c r="D41" s="832"/>
      <c r="E41" s="1201"/>
      <c r="F41" s="929"/>
      <c r="G41" s="1202"/>
      <c r="H41" s="906"/>
      <c r="I41" s="1201"/>
      <c r="J41" s="929"/>
      <c r="K41" s="1202"/>
      <c r="L41" s="906"/>
      <c r="M41" s="1201"/>
      <c r="N41" s="929"/>
      <c r="O41" s="1202"/>
      <c r="P41" s="906"/>
      <c r="Q41" s="1201"/>
      <c r="R41" s="929"/>
      <c r="S41" s="1203"/>
      <c r="T41" s="906"/>
      <c r="U41" s="878"/>
      <c r="V41" s="929"/>
      <c r="W41" s="878"/>
      <c r="X41" s="929"/>
      <c r="Y41" s="1203"/>
      <c r="Z41" s="906"/>
      <c r="AA41" s="878"/>
      <c r="AB41" s="906"/>
      <c r="AC41" s="878"/>
      <c r="AD41" s="906"/>
      <c r="AE41" s="878"/>
      <c r="AF41" s="929"/>
      <c r="AG41" s="878"/>
      <c r="AH41" s="906"/>
      <c r="AI41" s="878"/>
      <c r="AJ41" s="906"/>
      <c r="AK41" s="878"/>
      <c r="AL41" s="906"/>
      <c r="AM41" s="878"/>
      <c r="AN41" s="929"/>
      <c r="AO41" s="878"/>
      <c r="AP41" s="906"/>
      <c r="AQ41" s="878"/>
      <c r="AR41" s="906"/>
      <c r="AS41" s="878"/>
      <c r="AT41" s="906"/>
      <c r="AU41" s="878"/>
      <c r="AV41" s="906"/>
      <c r="AW41" s="878"/>
      <c r="AX41" s="906"/>
      <c r="AY41" s="878"/>
      <c r="AZ41" s="906"/>
      <c r="BA41" s="878"/>
      <c r="BB41" s="906"/>
      <c r="BC41" s="878"/>
      <c r="BD41" s="906"/>
      <c r="BE41" s="878"/>
      <c r="BF41" s="886"/>
      <c r="BG41" s="1204">
        <v>7</v>
      </c>
    </row>
    <row r="42" spans="2:59" s="804" customFormat="1">
      <c r="B42" s="1657"/>
      <c r="C42" s="827" t="s">
        <v>290</v>
      </c>
      <c r="D42" s="832"/>
      <c r="E42" s="1201"/>
      <c r="F42" s="929"/>
      <c r="G42" s="1202"/>
      <c r="H42" s="906"/>
      <c r="I42" s="1201"/>
      <c r="J42" s="929"/>
      <c r="K42" s="1202"/>
      <c r="L42" s="906"/>
      <c r="M42" s="1201"/>
      <c r="N42" s="929"/>
      <c r="O42" s="1202"/>
      <c r="P42" s="906"/>
      <c r="Q42" s="1201"/>
      <c r="R42" s="929"/>
      <c r="S42" s="1203"/>
      <c r="T42" s="906"/>
      <c r="U42" s="878"/>
      <c r="V42" s="929"/>
      <c r="W42" s="878"/>
      <c r="X42" s="929"/>
      <c r="Y42" s="1203"/>
      <c r="Z42" s="906"/>
      <c r="AA42" s="878"/>
      <c r="AB42" s="906"/>
      <c r="AC42" s="878"/>
      <c r="AD42" s="906"/>
      <c r="AE42" s="878"/>
      <c r="AF42" s="929"/>
      <c r="AG42" s="878"/>
      <c r="AH42" s="906"/>
      <c r="AI42" s="878"/>
      <c r="AJ42" s="906"/>
      <c r="AK42" s="878"/>
      <c r="AL42" s="906"/>
      <c r="AM42" s="878"/>
      <c r="AN42" s="929"/>
      <c r="AO42" s="878"/>
      <c r="AP42" s="906"/>
      <c r="AQ42" s="878"/>
      <c r="AR42" s="906"/>
      <c r="AS42" s="878"/>
      <c r="AT42" s="906"/>
      <c r="AU42" s="878"/>
      <c r="AV42" s="906"/>
      <c r="AW42" s="878"/>
      <c r="AX42" s="906"/>
      <c r="AY42" s="878"/>
      <c r="AZ42" s="906"/>
      <c r="BA42" s="878"/>
      <c r="BB42" s="906"/>
      <c r="BC42" s="878"/>
      <c r="BD42" s="906"/>
      <c r="BE42" s="878"/>
      <c r="BF42" s="886"/>
      <c r="BG42" s="1204">
        <v>8</v>
      </c>
    </row>
    <row r="43" spans="2:59" s="804" customFormat="1">
      <c r="B43" s="1657"/>
      <c r="C43" s="827" t="s">
        <v>349</v>
      </c>
      <c r="D43" s="832"/>
      <c r="E43" s="1201"/>
      <c r="F43" s="929"/>
      <c r="G43" s="1202"/>
      <c r="H43" s="906"/>
      <c r="I43" s="1201"/>
      <c r="J43" s="929"/>
      <c r="K43" s="1202"/>
      <c r="L43" s="906"/>
      <c r="M43" s="1201"/>
      <c r="N43" s="929"/>
      <c r="O43" s="1202"/>
      <c r="P43" s="906"/>
      <c r="Q43" s="1201"/>
      <c r="R43" s="929"/>
      <c r="S43" s="1203"/>
      <c r="T43" s="906"/>
      <c r="U43" s="878"/>
      <c r="V43" s="929"/>
      <c r="W43" s="878"/>
      <c r="X43" s="929"/>
      <c r="Y43" s="1203"/>
      <c r="Z43" s="906"/>
      <c r="AA43" s="878"/>
      <c r="AB43" s="906"/>
      <c r="AC43" s="878"/>
      <c r="AD43" s="906"/>
      <c r="AE43" s="878"/>
      <c r="AF43" s="929"/>
      <c r="AG43" s="878"/>
      <c r="AH43" s="906"/>
      <c r="AI43" s="878"/>
      <c r="AJ43" s="906"/>
      <c r="AK43" s="878"/>
      <c r="AL43" s="906"/>
      <c r="AM43" s="878"/>
      <c r="AN43" s="929"/>
      <c r="AO43" s="878"/>
      <c r="AP43" s="906"/>
      <c r="AQ43" s="878"/>
      <c r="AR43" s="906"/>
      <c r="AS43" s="878"/>
      <c r="AT43" s="906"/>
      <c r="AU43" s="878"/>
      <c r="AV43" s="906"/>
      <c r="AW43" s="878"/>
      <c r="AX43" s="906"/>
      <c r="AY43" s="878"/>
      <c r="AZ43" s="906"/>
      <c r="BA43" s="878"/>
      <c r="BB43" s="906"/>
      <c r="BC43" s="878"/>
      <c r="BD43" s="906"/>
      <c r="BE43" s="878"/>
      <c r="BF43" s="886"/>
      <c r="BG43" s="1204">
        <v>9</v>
      </c>
    </row>
    <row r="44" spans="2:59" s="804" customFormat="1">
      <c r="B44" s="1657"/>
      <c r="C44" s="827" t="s">
        <v>354</v>
      </c>
      <c r="D44" s="832"/>
      <c r="E44" s="1201"/>
      <c r="F44" s="929"/>
      <c r="G44" s="1202"/>
      <c r="H44" s="906"/>
      <c r="I44" s="1201"/>
      <c r="J44" s="929"/>
      <c r="K44" s="1202"/>
      <c r="L44" s="906"/>
      <c r="M44" s="1201"/>
      <c r="N44" s="929"/>
      <c r="O44" s="1202"/>
      <c r="P44" s="906"/>
      <c r="Q44" s="1201"/>
      <c r="R44" s="929"/>
      <c r="S44" s="1203"/>
      <c r="T44" s="906"/>
      <c r="U44" s="878"/>
      <c r="V44" s="929"/>
      <c r="W44" s="878"/>
      <c r="X44" s="929"/>
      <c r="Y44" s="1203"/>
      <c r="Z44" s="906"/>
      <c r="AA44" s="878"/>
      <c r="AB44" s="906"/>
      <c r="AC44" s="878"/>
      <c r="AD44" s="906"/>
      <c r="AE44" s="878"/>
      <c r="AF44" s="929"/>
      <c r="AG44" s="878"/>
      <c r="AH44" s="906"/>
      <c r="AI44" s="878"/>
      <c r="AJ44" s="906"/>
      <c r="AK44" s="878"/>
      <c r="AL44" s="906"/>
      <c r="AM44" s="878"/>
      <c r="AN44" s="929"/>
      <c r="AO44" s="878"/>
      <c r="AP44" s="906"/>
      <c r="AQ44" s="878"/>
      <c r="AR44" s="906"/>
      <c r="AS44" s="878"/>
      <c r="AT44" s="906"/>
      <c r="AU44" s="878"/>
      <c r="AV44" s="906"/>
      <c r="AW44" s="878"/>
      <c r="AX44" s="906"/>
      <c r="AY44" s="878"/>
      <c r="AZ44" s="906"/>
      <c r="BA44" s="878"/>
      <c r="BB44" s="906"/>
      <c r="BC44" s="878"/>
      <c r="BD44" s="906"/>
      <c r="BE44" s="878"/>
      <c r="BF44" s="886"/>
      <c r="BG44" s="1204">
        <v>10</v>
      </c>
    </row>
    <row r="45" spans="2:59" s="804" customFormat="1">
      <c r="B45" s="1657"/>
      <c r="C45" s="827" t="s">
        <v>347</v>
      </c>
      <c r="D45" s="832"/>
      <c r="E45" s="1201"/>
      <c r="F45" s="929"/>
      <c r="G45" s="1202"/>
      <c r="H45" s="906"/>
      <c r="I45" s="1201"/>
      <c r="J45" s="929"/>
      <c r="K45" s="1202"/>
      <c r="L45" s="906"/>
      <c r="M45" s="1201"/>
      <c r="N45" s="929"/>
      <c r="O45" s="1202"/>
      <c r="P45" s="906"/>
      <c r="Q45" s="1201"/>
      <c r="R45" s="929"/>
      <c r="S45" s="1203"/>
      <c r="T45" s="906"/>
      <c r="U45" s="878"/>
      <c r="V45" s="929"/>
      <c r="W45" s="878"/>
      <c r="X45" s="929"/>
      <c r="Y45" s="1203"/>
      <c r="Z45" s="906"/>
      <c r="AA45" s="878"/>
      <c r="AB45" s="906"/>
      <c r="AC45" s="878"/>
      <c r="AD45" s="906"/>
      <c r="AE45" s="878"/>
      <c r="AF45" s="929"/>
      <c r="AG45" s="878"/>
      <c r="AH45" s="906"/>
      <c r="AI45" s="878"/>
      <c r="AJ45" s="906"/>
      <c r="AK45" s="878"/>
      <c r="AL45" s="906"/>
      <c r="AM45" s="878"/>
      <c r="AN45" s="929"/>
      <c r="AO45" s="878"/>
      <c r="AP45" s="906"/>
      <c r="AQ45" s="878"/>
      <c r="AR45" s="906"/>
      <c r="AS45" s="878"/>
      <c r="AT45" s="906"/>
      <c r="AU45" s="878"/>
      <c r="AV45" s="906"/>
      <c r="AW45" s="878"/>
      <c r="AX45" s="906"/>
      <c r="AY45" s="878"/>
      <c r="AZ45" s="906"/>
      <c r="BA45" s="878"/>
      <c r="BB45" s="906"/>
      <c r="BC45" s="878"/>
      <c r="BD45" s="906"/>
      <c r="BE45" s="878"/>
      <c r="BF45" s="886"/>
      <c r="BG45" s="1204">
        <v>11</v>
      </c>
    </row>
    <row r="46" spans="2:59" s="804" customFormat="1">
      <c r="B46" s="1657"/>
      <c r="C46" s="877" t="s">
        <v>346</v>
      </c>
      <c r="D46" s="832"/>
      <c r="E46" s="1201"/>
      <c r="F46" s="929"/>
      <c r="G46" s="1202"/>
      <c r="H46" s="906"/>
      <c r="I46" s="1201"/>
      <c r="J46" s="929"/>
      <c r="K46" s="1202"/>
      <c r="L46" s="906"/>
      <c r="M46" s="1201"/>
      <c r="N46" s="929"/>
      <c r="O46" s="1202"/>
      <c r="P46" s="906"/>
      <c r="Q46" s="1201"/>
      <c r="R46" s="929"/>
      <c r="S46" s="1203"/>
      <c r="T46" s="906"/>
      <c r="U46" s="878"/>
      <c r="V46" s="929"/>
      <c r="W46" s="878"/>
      <c r="X46" s="929"/>
      <c r="Y46" s="1203"/>
      <c r="Z46" s="906"/>
      <c r="AA46" s="878"/>
      <c r="AB46" s="906"/>
      <c r="AC46" s="878"/>
      <c r="AD46" s="906"/>
      <c r="AE46" s="878"/>
      <c r="AF46" s="929"/>
      <c r="AG46" s="878"/>
      <c r="AH46" s="906"/>
      <c r="AI46" s="878"/>
      <c r="AJ46" s="906"/>
      <c r="AK46" s="878"/>
      <c r="AL46" s="906"/>
      <c r="AM46" s="878"/>
      <c r="AN46" s="929"/>
      <c r="AO46" s="878"/>
      <c r="AP46" s="906"/>
      <c r="AQ46" s="878"/>
      <c r="AR46" s="906"/>
      <c r="AS46" s="878"/>
      <c r="AT46" s="906"/>
      <c r="AU46" s="878"/>
      <c r="AV46" s="906"/>
      <c r="AW46" s="878"/>
      <c r="AX46" s="906"/>
      <c r="AY46" s="878"/>
      <c r="AZ46" s="906"/>
      <c r="BA46" s="878"/>
      <c r="BB46" s="906"/>
      <c r="BC46" s="878"/>
      <c r="BD46" s="906"/>
      <c r="BE46" s="878"/>
      <c r="BF46" s="886"/>
      <c r="BG46" s="1204">
        <v>12</v>
      </c>
    </row>
    <row r="47" spans="2:59" s="804" customFormat="1">
      <c r="B47" s="1657"/>
      <c r="C47" s="877" t="s">
        <v>351</v>
      </c>
      <c r="D47" s="832"/>
      <c r="E47" s="1201"/>
      <c r="F47" s="929"/>
      <c r="G47" s="1202"/>
      <c r="H47" s="906"/>
      <c r="I47" s="1201"/>
      <c r="J47" s="929"/>
      <c r="K47" s="1202"/>
      <c r="L47" s="906"/>
      <c r="M47" s="1201"/>
      <c r="N47" s="929"/>
      <c r="O47" s="1202"/>
      <c r="P47" s="906"/>
      <c r="Q47" s="1201"/>
      <c r="R47" s="929"/>
      <c r="S47" s="1203"/>
      <c r="T47" s="906"/>
      <c r="U47" s="878"/>
      <c r="V47" s="929"/>
      <c r="W47" s="878"/>
      <c r="X47" s="929"/>
      <c r="Y47" s="1203"/>
      <c r="Z47" s="906"/>
      <c r="AA47" s="878"/>
      <c r="AB47" s="906"/>
      <c r="AC47" s="878"/>
      <c r="AD47" s="906"/>
      <c r="AE47" s="878"/>
      <c r="AF47" s="929"/>
      <c r="AG47" s="878"/>
      <c r="AH47" s="906"/>
      <c r="AI47" s="878"/>
      <c r="AJ47" s="906"/>
      <c r="AK47" s="878"/>
      <c r="AL47" s="906"/>
      <c r="AM47" s="878"/>
      <c r="AN47" s="929"/>
      <c r="AO47" s="878"/>
      <c r="AP47" s="906"/>
      <c r="AQ47" s="878"/>
      <c r="AR47" s="906"/>
      <c r="AS47" s="878"/>
      <c r="AT47" s="906"/>
      <c r="AU47" s="878"/>
      <c r="AV47" s="906"/>
      <c r="AW47" s="878"/>
      <c r="AX47" s="906"/>
      <c r="AY47" s="878"/>
      <c r="AZ47" s="906"/>
      <c r="BA47" s="878"/>
      <c r="BB47" s="906"/>
      <c r="BC47" s="878"/>
      <c r="BD47" s="906"/>
      <c r="BE47" s="878"/>
      <c r="BF47" s="886"/>
      <c r="BG47" s="1204">
        <v>13</v>
      </c>
    </row>
    <row r="48" spans="2:59" s="804" customFormat="1">
      <c r="B48" s="1657"/>
      <c r="C48" s="827" t="s">
        <v>335</v>
      </c>
      <c r="D48" s="832"/>
      <c r="E48" s="1201"/>
      <c r="F48" s="929"/>
      <c r="G48" s="1202"/>
      <c r="H48" s="906"/>
      <c r="I48" s="1201"/>
      <c r="J48" s="929"/>
      <c r="K48" s="1202"/>
      <c r="L48" s="906"/>
      <c r="M48" s="1201"/>
      <c r="N48" s="929"/>
      <c r="O48" s="1202"/>
      <c r="P48" s="906"/>
      <c r="Q48" s="1201"/>
      <c r="R48" s="929"/>
      <c r="S48" s="1203"/>
      <c r="T48" s="906"/>
      <c r="U48" s="878"/>
      <c r="V48" s="929"/>
      <c r="W48" s="878"/>
      <c r="X48" s="929"/>
      <c r="Y48" s="1203"/>
      <c r="Z48" s="906"/>
      <c r="AA48" s="878"/>
      <c r="AB48" s="906"/>
      <c r="AC48" s="878"/>
      <c r="AD48" s="906"/>
      <c r="AE48" s="878"/>
      <c r="AF48" s="929"/>
      <c r="AG48" s="878"/>
      <c r="AH48" s="906"/>
      <c r="AI48" s="878"/>
      <c r="AJ48" s="906"/>
      <c r="AK48" s="878"/>
      <c r="AL48" s="906"/>
      <c r="AM48" s="878"/>
      <c r="AN48" s="929"/>
      <c r="AO48" s="878"/>
      <c r="AP48" s="906"/>
      <c r="AQ48" s="878"/>
      <c r="AR48" s="906"/>
      <c r="AS48" s="878"/>
      <c r="AT48" s="906"/>
      <c r="AU48" s="878"/>
      <c r="AV48" s="906"/>
      <c r="AW48" s="878"/>
      <c r="AX48" s="906"/>
      <c r="AY48" s="878"/>
      <c r="AZ48" s="906"/>
      <c r="BA48" s="878"/>
      <c r="BB48" s="906"/>
      <c r="BC48" s="878"/>
      <c r="BD48" s="906"/>
      <c r="BE48" s="878"/>
      <c r="BF48" s="886"/>
      <c r="BG48" s="1204">
        <v>14</v>
      </c>
    </row>
    <row r="49" spans="2:59" s="804" customFormat="1">
      <c r="B49" s="1657"/>
      <c r="C49" s="827" t="s">
        <v>332</v>
      </c>
      <c r="D49" s="832"/>
      <c r="E49" s="1201"/>
      <c r="F49" s="929"/>
      <c r="G49" s="1202"/>
      <c r="H49" s="906"/>
      <c r="I49" s="1201"/>
      <c r="J49" s="929"/>
      <c r="K49" s="1202"/>
      <c r="L49" s="906"/>
      <c r="M49" s="1201"/>
      <c r="N49" s="929"/>
      <c r="O49" s="1202"/>
      <c r="P49" s="906"/>
      <c r="Q49" s="1201"/>
      <c r="R49" s="929"/>
      <c r="S49" s="1203"/>
      <c r="T49" s="906"/>
      <c r="U49" s="878"/>
      <c r="V49" s="929"/>
      <c r="W49" s="878"/>
      <c r="X49" s="929"/>
      <c r="Y49" s="1203"/>
      <c r="Z49" s="906"/>
      <c r="AA49" s="878"/>
      <c r="AB49" s="906"/>
      <c r="AC49" s="878"/>
      <c r="AD49" s="906"/>
      <c r="AE49" s="878"/>
      <c r="AF49" s="929"/>
      <c r="AG49" s="878"/>
      <c r="AH49" s="906"/>
      <c r="AI49" s="878"/>
      <c r="AJ49" s="906"/>
      <c r="AK49" s="878"/>
      <c r="AL49" s="906"/>
      <c r="AM49" s="878"/>
      <c r="AN49" s="929"/>
      <c r="AO49" s="878"/>
      <c r="AP49" s="906"/>
      <c r="AQ49" s="878"/>
      <c r="AR49" s="906"/>
      <c r="AS49" s="878"/>
      <c r="AT49" s="906"/>
      <c r="AU49" s="878"/>
      <c r="AV49" s="906"/>
      <c r="AW49" s="878"/>
      <c r="AX49" s="906"/>
      <c r="AY49" s="878"/>
      <c r="AZ49" s="906"/>
      <c r="BA49" s="878"/>
      <c r="BB49" s="906"/>
      <c r="BC49" s="878"/>
      <c r="BD49" s="906"/>
      <c r="BE49" s="878"/>
      <c r="BF49" s="886"/>
      <c r="BG49" s="1204">
        <v>15</v>
      </c>
    </row>
    <row r="50" spans="2:59" s="804" customFormat="1">
      <c r="B50" s="1657"/>
      <c r="C50" s="827" t="s">
        <v>341</v>
      </c>
      <c r="D50" s="832"/>
      <c r="E50" s="1201"/>
      <c r="F50" s="929"/>
      <c r="G50" s="1202"/>
      <c r="H50" s="906"/>
      <c r="I50" s="1201"/>
      <c r="J50" s="929"/>
      <c r="K50" s="1202"/>
      <c r="L50" s="906"/>
      <c r="M50" s="1201"/>
      <c r="N50" s="929"/>
      <c r="O50" s="1202"/>
      <c r="P50" s="906"/>
      <c r="Q50" s="1201"/>
      <c r="R50" s="929"/>
      <c r="S50" s="1203"/>
      <c r="T50" s="906"/>
      <c r="U50" s="878"/>
      <c r="V50" s="929"/>
      <c r="W50" s="878"/>
      <c r="X50" s="929"/>
      <c r="Y50" s="1203"/>
      <c r="Z50" s="906"/>
      <c r="AA50" s="878"/>
      <c r="AB50" s="906"/>
      <c r="AC50" s="878"/>
      <c r="AD50" s="906"/>
      <c r="AE50" s="878"/>
      <c r="AF50" s="929"/>
      <c r="AG50" s="878"/>
      <c r="AH50" s="906"/>
      <c r="AI50" s="878"/>
      <c r="AJ50" s="906"/>
      <c r="AK50" s="878"/>
      <c r="AL50" s="906"/>
      <c r="AM50" s="878"/>
      <c r="AN50" s="929"/>
      <c r="AO50" s="878"/>
      <c r="AP50" s="906"/>
      <c r="AQ50" s="878"/>
      <c r="AR50" s="906"/>
      <c r="AS50" s="878"/>
      <c r="AT50" s="906"/>
      <c r="AU50" s="878"/>
      <c r="AV50" s="906"/>
      <c r="AW50" s="878"/>
      <c r="AX50" s="906"/>
      <c r="AY50" s="878"/>
      <c r="AZ50" s="906"/>
      <c r="BA50" s="878"/>
      <c r="BB50" s="906"/>
      <c r="BC50" s="878"/>
      <c r="BD50" s="906"/>
      <c r="BE50" s="878"/>
      <c r="BF50" s="886"/>
      <c r="BG50" s="1204">
        <v>16</v>
      </c>
    </row>
    <row r="51" spans="2:59" s="804" customFormat="1">
      <c r="B51" s="1657"/>
      <c r="C51" s="827" t="s">
        <v>340</v>
      </c>
      <c r="D51" s="832"/>
      <c r="E51" s="1201"/>
      <c r="F51" s="929"/>
      <c r="G51" s="1202"/>
      <c r="H51" s="906"/>
      <c r="I51" s="1201"/>
      <c r="J51" s="929"/>
      <c r="K51" s="1202"/>
      <c r="L51" s="906"/>
      <c r="M51" s="1201"/>
      <c r="N51" s="929"/>
      <c r="O51" s="1202"/>
      <c r="P51" s="906"/>
      <c r="Q51" s="1201"/>
      <c r="R51" s="929"/>
      <c r="S51" s="1203"/>
      <c r="T51" s="906"/>
      <c r="U51" s="878"/>
      <c r="V51" s="929"/>
      <c r="W51" s="878"/>
      <c r="X51" s="929"/>
      <c r="Y51" s="1203"/>
      <c r="Z51" s="906"/>
      <c r="AA51" s="878"/>
      <c r="AB51" s="906"/>
      <c r="AC51" s="878"/>
      <c r="AD51" s="906"/>
      <c r="AE51" s="878"/>
      <c r="AF51" s="929"/>
      <c r="AG51" s="878"/>
      <c r="AH51" s="906"/>
      <c r="AI51" s="878"/>
      <c r="AJ51" s="906"/>
      <c r="AK51" s="878"/>
      <c r="AL51" s="906"/>
      <c r="AM51" s="878"/>
      <c r="AN51" s="929"/>
      <c r="AO51" s="878"/>
      <c r="AP51" s="906"/>
      <c r="AQ51" s="878"/>
      <c r="AR51" s="906"/>
      <c r="AS51" s="878"/>
      <c r="AT51" s="906"/>
      <c r="AU51" s="878"/>
      <c r="AV51" s="906"/>
      <c r="AW51" s="878"/>
      <c r="AX51" s="906"/>
      <c r="AY51" s="878"/>
      <c r="AZ51" s="906"/>
      <c r="BA51" s="878"/>
      <c r="BB51" s="906"/>
      <c r="BC51" s="878"/>
      <c r="BD51" s="906"/>
      <c r="BE51" s="878"/>
      <c r="BF51" s="886"/>
      <c r="BG51" s="1204">
        <v>17</v>
      </c>
    </row>
    <row r="52" spans="2:59" s="804" customFormat="1">
      <c r="B52" s="1657"/>
      <c r="C52" s="827" t="s">
        <v>352</v>
      </c>
      <c r="D52" s="832"/>
      <c r="E52" s="1201"/>
      <c r="F52" s="929"/>
      <c r="G52" s="1202"/>
      <c r="H52" s="906"/>
      <c r="I52" s="1201"/>
      <c r="J52" s="929"/>
      <c r="K52" s="1202"/>
      <c r="L52" s="906"/>
      <c r="M52" s="1201"/>
      <c r="N52" s="929"/>
      <c r="O52" s="1202"/>
      <c r="P52" s="906"/>
      <c r="Q52" s="1201"/>
      <c r="R52" s="929"/>
      <c r="S52" s="1203"/>
      <c r="T52" s="906"/>
      <c r="U52" s="878"/>
      <c r="V52" s="929"/>
      <c r="W52" s="878"/>
      <c r="X52" s="929"/>
      <c r="Y52" s="1203"/>
      <c r="Z52" s="906"/>
      <c r="AA52" s="878"/>
      <c r="AB52" s="906"/>
      <c r="AC52" s="878"/>
      <c r="AD52" s="906"/>
      <c r="AE52" s="878"/>
      <c r="AF52" s="929"/>
      <c r="AG52" s="878"/>
      <c r="AH52" s="906"/>
      <c r="AI52" s="878"/>
      <c r="AJ52" s="906"/>
      <c r="AK52" s="878"/>
      <c r="AL52" s="906"/>
      <c r="AM52" s="878"/>
      <c r="AN52" s="929"/>
      <c r="AO52" s="878"/>
      <c r="AP52" s="906"/>
      <c r="AQ52" s="878"/>
      <c r="AR52" s="906"/>
      <c r="AS52" s="878"/>
      <c r="AT52" s="906"/>
      <c r="AU52" s="878"/>
      <c r="AV52" s="906"/>
      <c r="AW52" s="878"/>
      <c r="AX52" s="906"/>
      <c r="AY52" s="878"/>
      <c r="AZ52" s="906"/>
      <c r="BA52" s="878"/>
      <c r="BB52" s="906"/>
      <c r="BC52" s="878"/>
      <c r="BD52" s="906"/>
      <c r="BE52" s="878"/>
      <c r="BF52" s="886"/>
      <c r="BG52" s="1204">
        <v>18</v>
      </c>
    </row>
    <row r="53" spans="2:59" s="804" customFormat="1">
      <c r="B53" s="1657"/>
      <c r="C53" s="827" t="s">
        <v>331</v>
      </c>
      <c r="D53" s="832"/>
      <c r="E53" s="1201"/>
      <c r="F53" s="929"/>
      <c r="G53" s="1202"/>
      <c r="H53" s="906"/>
      <c r="I53" s="1201"/>
      <c r="J53" s="929"/>
      <c r="K53" s="1202"/>
      <c r="L53" s="906"/>
      <c r="M53" s="1201"/>
      <c r="N53" s="929"/>
      <c r="O53" s="1202"/>
      <c r="P53" s="906"/>
      <c r="Q53" s="1201"/>
      <c r="R53" s="929"/>
      <c r="S53" s="1203"/>
      <c r="T53" s="906"/>
      <c r="U53" s="878"/>
      <c r="V53" s="929"/>
      <c r="W53" s="878"/>
      <c r="X53" s="929"/>
      <c r="Y53" s="1203"/>
      <c r="Z53" s="906"/>
      <c r="AA53" s="878"/>
      <c r="AB53" s="906"/>
      <c r="AC53" s="878"/>
      <c r="AD53" s="906"/>
      <c r="AE53" s="878"/>
      <c r="AF53" s="929"/>
      <c r="AG53" s="878"/>
      <c r="AH53" s="906"/>
      <c r="AI53" s="878"/>
      <c r="AJ53" s="906"/>
      <c r="AK53" s="878"/>
      <c r="AL53" s="906"/>
      <c r="AM53" s="878"/>
      <c r="AN53" s="929"/>
      <c r="AO53" s="878"/>
      <c r="AP53" s="906"/>
      <c r="AQ53" s="878"/>
      <c r="AR53" s="906"/>
      <c r="AS53" s="878"/>
      <c r="AT53" s="906"/>
      <c r="AU53" s="878"/>
      <c r="AV53" s="906"/>
      <c r="AW53" s="878"/>
      <c r="AX53" s="906"/>
      <c r="AY53" s="878"/>
      <c r="AZ53" s="906"/>
      <c r="BA53" s="878"/>
      <c r="BB53" s="906"/>
      <c r="BC53" s="878"/>
      <c r="BD53" s="906"/>
      <c r="BE53" s="878"/>
      <c r="BF53" s="886"/>
      <c r="BG53" s="1204">
        <v>19</v>
      </c>
    </row>
    <row r="54" spans="2:59" s="804" customFormat="1">
      <c r="B54" s="1657"/>
      <c r="C54" s="827" t="s">
        <v>342</v>
      </c>
      <c r="D54" s="832"/>
      <c r="E54" s="1201"/>
      <c r="F54" s="929"/>
      <c r="G54" s="1202"/>
      <c r="H54" s="906"/>
      <c r="I54" s="1201"/>
      <c r="J54" s="929"/>
      <c r="K54" s="1202"/>
      <c r="L54" s="906"/>
      <c r="M54" s="1201"/>
      <c r="N54" s="929"/>
      <c r="O54" s="1202"/>
      <c r="P54" s="906"/>
      <c r="Q54" s="1201"/>
      <c r="R54" s="929"/>
      <c r="S54" s="1203"/>
      <c r="T54" s="906"/>
      <c r="U54" s="878"/>
      <c r="V54" s="929"/>
      <c r="W54" s="878"/>
      <c r="X54" s="929"/>
      <c r="Y54" s="1203"/>
      <c r="Z54" s="906"/>
      <c r="AA54" s="878"/>
      <c r="AB54" s="906"/>
      <c r="AC54" s="878"/>
      <c r="AD54" s="906"/>
      <c r="AE54" s="878"/>
      <c r="AF54" s="929"/>
      <c r="AG54" s="878"/>
      <c r="AH54" s="906"/>
      <c r="AI54" s="878"/>
      <c r="AJ54" s="906"/>
      <c r="AK54" s="878"/>
      <c r="AL54" s="906"/>
      <c r="AM54" s="878"/>
      <c r="AN54" s="929"/>
      <c r="AO54" s="878"/>
      <c r="AP54" s="906"/>
      <c r="AQ54" s="878"/>
      <c r="AR54" s="906"/>
      <c r="AS54" s="878"/>
      <c r="AT54" s="906"/>
      <c r="AU54" s="878"/>
      <c r="AV54" s="906"/>
      <c r="AW54" s="878"/>
      <c r="AX54" s="906"/>
      <c r="AY54" s="878"/>
      <c r="AZ54" s="906"/>
      <c r="BA54" s="878"/>
      <c r="BB54" s="906"/>
      <c r="BC54" s="878"/>
      <c r="BD54" s="906"/>
      <c r="BE54" s="878"/>
      <c r="BF54" s="886"/>
      <c r="BG54" s="1204">
        <v>20</v>
      </c>
    </row>
    <row r="55" spans="2:59" s="804" customFormat="1">
      <c r="B55" s="1657"/>
      <c r="C55" s="827" t="s">
        <v>336</v>
      </c>
      <c r="D55" s="832"/>
      <c r="E55" s="1201"/>
      <c r="F55" s="929"/>
      <c r="G55" s="1202"/>
      <c r="H55" s="906"/>
      <c r="I55" s="1201"/>
      <c r="J55" s="929"/>
      <c r="K55" s="1202"/>
      <c r="L55" s="906"/>
      <c r="M55" s="1201"/>
      <c r="N55" s="929"/>
      <c r="O55" s="1202"/>
      <c r="P55" s="906"/>
      <c r="Q55" s="1201"/>
      <c r="R55" s="929"/>
      <c r="S55" s="1203"/>
      <c r="T55" s="906"/>
      <c r="U55" s="878"/>
      <c r="V55" s="929"/>
      <c r="W55" s="878"/>
      <c r="X55" s="929"/>
      <c r="Y55" s="1203"/>
      <c r="Z55" s="906"/>
      <c r="AA55" s="878"/>
      <c r="AB55" s="906"/>
      <c r="AC55" s="878"/>
      <c r="AD55" s="906"/>
      <c r="AE55" s="878"/>
      <c r="AF55" s="929"/>
      <c r="AG55" s="878"/>
      <c r="AH55" s="906"/>
      <c r="AI55" s="878"/>
      <c r="AJ55" s="906"/>
      <c r="AK55" s="878"/>
      <c r="AL55" s="906"/>
      <c r="AM55" s="878"/>
      <c r="AN55" s="929"/>
      <c r="AO55" s="878"/>
      <c r="AP55" s="906"/>
      <c r="AQ55" s="878"/>
      <c r="AR55" s="906"/>
      <c r="AS55" s="878"/>
      <c r="AT55" s="906"/>
      <c r="AU55" s="878"/>
      <c r="AV55" s="906"/>
      <c r="AW55" s="878"/>
      <c r="AX55" s="906"/>
      <c r="AY55" s="878"/>
      <c r="AZ55" s="906"/>
      <c r="BA55" s="878"/>
      <c r="BB55" s="906"/>
      <c r="BC55" s="878"/>
      <c r="BD55" s="906"/>
      <c r="BE55" s="878"/>
      <c r="BF55" s="886"/>
      <c r="BG55" s="1204">
        <v>21</v>
      </c>
    </row>
    <row r="56" spans="2:59" s="804" customFormat="1">
      <c r="B56" s="1657"/>
      <c r="C56" s="827" t="s">
        <v>334</v>
      </c>
      <c r="D56" s="832"/>
      <c r="E56" s="1201"/>
      <c r="F56" s="929"/>
      <c r="G56" s="1202"/>
      <c r="H56" s="906"/>
      <c r="I56" s="1201"/>
      <c r="J56" s="929"/>
      <c r="K56" s="1202"/>
      <c r="L56" s="906"/>
      <c r="M56" s="1201"/>
      <c r="N56" s="929"/>
      <c r="O56" s="1202"/>
      <c r="P56" s="906"/>
      <c r="Q56" s="1201"/>
      <c r="R56" s="929"/>
      <c r="S56" s="1203"/>
      <c r="T56" s="906"/>
      <c r="U56" s="878"/>
      <c r="V56" s="929"/>
      <c r="W56" s="878"/>
      <c r="X56" s="929"/>
      <c r="Y56" s="1203"/>
      <c r="Z56" s="906"/>
      <c r="AA56" s="878"/>
      <c r="AB56" s="906"/>
      <c r="AC56" s="878"/>
      <c r="AD56" s="906"/>
      <c r="AE56" s="878"/>
      <c r="AF56" s="929"/>
      <c r="AG56" s="878"/>
      <c r="AH56" s="906"/>
      <c r="AI56" s="878"/>
      <c r="AJ56" s="906"/>
      <c r="AK56" s="878"/>
      <c r="AL56" s="906"/>
      <c r="AM56" s="878"/>
      <c r="AN56" s="929"/>
      <c r="AO56" s="878"/>
      <c r="AP56" s="906"/>
      <c r="AQ56" s="878"/>
      <c r="AR56" s="906"/>
      <c r="AS56" s="878"/>
      <c r="AT56" s="906"/>
      <c r="AU56" s="878"/>
      <c r="AV56" s="906"/>
      <c r="AW56" s="878"/>
      <c r="AX56" s="906"/>
      <c r="AY56" s="878"/>
      <c r="AZ56" s="906"/>
      <c r="BA56" s="878"/>
      <c r="BB56" s="906"/>
      <c r="BC56" s="878"/>
      <c r="BD56" s="906"/>
      <c r="BE56" s="878"/>
      <c r="BF56" s="886"/>
      <c r="BG56" s="1204">
        <v>22</v>
      </c>
    </row>
    <row r="57" spans="2:59" s="804" customFormat="1">
      <c r="B57" s="1657"/>
      <c r="C57" s="827" t="s">
        <v>140</v>
      </c>
      <c r="D57" s="832"/>
      <c r="E57" s="1201"/>
      <c r="F57" s="929"/>
      <c r="G57" s="1202"/>
      <c r="H57" s="906"/>
      <c r="I57" s="1201"/>
      <c r="J57" s="929"/>
      <c r="K57" s="1202"/>
      <c r="L57" s="906"/>
      <c r="M57" s="1201"/>
      <c r="N57" s="929"/>
      <c r="O57" s="1202"/>
      <c r="P57" s="906"/>
      <c r="Q57" s="1201"/>
      <c r="R57" s="929"/>
      <c r="S57" s="1203"/>
      <c r="T57" s="906"/>
      <c r="U57" s="878"/>
      <c r="V57" s="929"/>
      <c r="W57" s="878"/>
      <c r="X57" s="929"/>
      <c r="Y57" s="1203"/>
      <c r="Z57" s="906"/>
      <c r="AA57" s="878"/>
      <c r="AB57" s="906"/>
      <c r="AC57" s="878"/>
      <c r="AD57" s="906"/>
      <c r="AE57" s="878"/>
      <c r="AF57" s="929"/>
      <c r="AG57" s="878"/>
      <c r="AH57" s="906"/>
      <c r="AI57" s="878"/>
      <c r="AJ57" s="906"/>
      <c r="AK57" s="878"/>
      <c r="AL57" s="906"/>
      <c r="AM57" s="878"/>
      <c r="AN57" s="929"/>
      <c r="AO57" s="878"/>
      <c r="AP57" s="906"/>
      <c r="AQ57" s="878"/>
      <c r="AR57" s="906"/>
      <c r="AS57" s="878"/>
      <c r="AT57" s="906"/>
      <c r="AU57" s="878"/>
      <c r="AV57" s="906"/>
      <c r="AW57" s="878"/>
      <c r="AX57" s="906"/>
      <c r="AY57" s="878"/>
      <c r="AZ57" s="906"/>
      <c r="BA57" s="878"/>
      <c r="BB57" s="906"/>
      <c r="BC57" s="878"/>
      <c r="BD57" s="906"/>
      <c r="BE57" s="878"/>
      <c r="BF57" s="886"/>
      <c r="BG57" s="1204">
        <v>23</v>
      </c>
    </row>
    <row r="58" spans="2:59" s="804" customFormat="1">
      <c r="B58" s="1657"/>
      <c r="C58" s="827" t="s">
        <v>337</v>
      </c>
      <c r="D58" s="832"/>
      <c r="E58" s="1201"/>
      <c r="F58" s="929"/>
      <c r="G58" s="1202"/>
      <c r="H58" s="906"/>
      <c r="I58" s="1201"/>
      <c r="J58" s="929"/>
      <c r="K58" s="1202"/>
      <c r="L58" s="906"/>
      <c r="M58" s="1201"/>
      <c r="N58" s="929"/>
      <c r="O58" s="1202"/>
      <c r="P58" s="906"/>
      <c r="Q58" s="1201"/>
      <c r="R58" s="929"/>
      <c r="S58" s="1203"/>
      <c r="T58" s="906"/>
      <c r="U58" s="878"/>
      <c r="V58" s="929"/>
      <c r="W58" s="878"/>
      <c r="X58" s="929"/>
      <c r="Y58" s="1203"/>
      <c r="Z58" s="906"/>
      <c r="AA58" s="878"/>
      <c r="AB58" s="906"/>
      <c r="AC58" s="878"/>
      <c r="AD58" s="906"/>
      <c r="AE58" s="878"/>
      <c r="AF58" s="929"/>
      <c r="AG58" s="878"/>
      <c r="AH58" s="906"/>
      <c r="AI58" s="878"/>
      <c r="AJ58" s="906"/>
      <c r="AK58" s="878"/>
      <c r="AL58" s="906"/>
      <c r="AM58" s="878"/>
      <c r="AN58" s="929"/>
      <c r="AO58" s="878"/>
      <c r="AP58" s="906"/>
      <c r="AQ58" s="878"/>
      <c r="AR58" s="906"/>
      <c r="AS58" s="878"/>
      <c r="AT58" s="906"/>
      <c r="AU58" s="878"/>
      <c r="AV58" s="906"/>
      <c r="AW58" s="878"/>
      <c r="AX58" s="906"/>
      <c r="AY58" s="878"/>
      <c r="AZ58" s="906"/>
      <c r="BA58" s="878"/>
      <c r="BB58" s="906"/>
      <c r="BC58" s="878"/>
      <c r="BD58" s="906"/>
      <c r="BE58" s="878"/>
      <c r="BF58" s="886"/>
      <c r="BG58" s="1204">
        <v>24</v>
      </c>
    </row>
    <row r="59" spans="2:59" s="804" customFormat="1">
      <c r="B59" s="1657"/>
      <c r="C59" s="827" t="s">
        <v>338</v>
      </c>
      <c r="D59" s="832"/>
      <c r="E59" s="1201"/>
      <c r="F59" s="929"/>
      <c r="G59" s="1202"/>
      <c r="H59" s="906"/>
      <c r="I59" s="1201"/>
      <c r="J59" s="929"/>
      <c r="K59" s="1202"/>
      <c r="L59" s="906"/>
      <c r="M59" s="1201"/>
      <c r="N59" s="929"/>
      <c r="O59" s="1202"/>
      <c r="P59" s="906"/>
      <c r="Q59" s="1201"/>
      <c r="R59" s="929"/>
      <c r="S59" s="1203"/>
      <c r="T59" s="906"/>
      <c r="U59" s="878"/>
      <c r="V59" s="929"/>
      <c r="W59" s="878"/>
      <c r="X59" s="929"/>
      <c r="Y59" s="1203"/>
      <c r="Z59" s="906"/>
      <c r="AA59" s="878"/>
      <c r="AB59" s="906"/>
      <c r="AC59" s="878"/>
      <c r="AD59" s="906"/>
      <c r="AE59" s="878"/>
      <c r="AF59" s="929"/>
      <c r="AG59" s="878"/>
      <c r="AH59" s="906"/>
      <c r="AI59" s="878"/>
      <c r="AJ59" s="906"/>
      <c r="AK59" s="878"/>
      <c r="AL59" s="906"/>
      <c r="AM59" s="878"/>
      <c r="AN59" s="929"/>
      <c r="AO59" s="878"/>
      <c r="AP59" s="906"/>
      <c r="AQ59" s="878"/>
      <c r="AR59" s="906"/>
      <c r="AS59" s="878"/>
      <c r="AT59" s="906"/>
      <c r="AU59" s="878"/>
      <c r="AV59" s="906"/>
      <c r="AW59" s="878"/>
      <c r="AX59" s="906"/>
      <c r="AY59" s="878"/>
      <c r="AZ59" s="906"/>
      <c r="BA59" s="878"/>
      <c r="BB59" s="906"/>
      <c r="BC59" s="878"/>
      <c r="BD59" s="906"/>
      <c r="BE59" s="878"/>
      <c r="BF59" s="886"/>
      <c r="BG59" s="1204">
        <v>25</v>
      </c>
    </row>
    <row r="60" spans="2:59" s="804" customFormat="1">
      <c r="B60" s="1657"/>
      <c r="C60" s="827" t="s">
        <v>343</v>
      </c>
      <c r="D60" s="832"/>
      <c r="E60" s="1201"/>
      <c r="F60" s="929"/>
      <c r="G60" s="1202"/>
      <c r="H60" s="906"/>
      <c r="I60" s="1201"/>
      <c r="J60" s="929"/>
      <c r="K60" s="1202"/>
      <c r="L60" s="906"/>
      <c r="M60" s="1201"/>
      <c r="N60" s="929"/>
      <c r="O60" s="1202"/>
      <c r="P60" s="906"/>
      <c r="Q60" s="1201"/>
      <c r="R60" s="929"/>
      <c r="S60" s="1203"/>
      <c r="T60" s="906"/>
      <c r="U60" s="878"/>
      <c r="V60" s="929"/>
      <c r="W60" s="878"/>
      <c r="X60" s="929"/>
      <c r="Y60" s="1203"/>
      <c r="Z60" s="906"/>
      <c r="AA60" s="878"/>
      <c r="AB60" s="906"/>
      <c r="AC60" s="878"/>
      <c r="AD60" s="906"/>
      <c r="AE60" s="878"/>
      <c r="AF60" s="929"/>
      <c r="AG60" s="878"/>
      <c r="AH60" s="906"/>
      <c r="AI60" s="878"/>
      <c r="AJ60" s="906"/>
      <c r="AK60" s="878"/>
      <c r="AL60" s="906"/>
      <c r="AM60" s="878"/>
      <c r="AN60" s="929"/>
      <c r="AO60" s="878"/>
      <c r="AP60" s="906"/>
      <c r="AQ60" s="878"/>
      <c r="AR60" s="906"/>
      <c r="AS60" s="878"/>
      <c r="AT60" s="906"/>
      <c r="AU60" s="878"/>
      <c r="AV60" s="906"/>
      <c r="AW60" s="878"/>
      <c r="AX60" s="906"/>
      <c r="AY60" s="878"/>
      <c r="AZ60" s="906"/>
      <c r="BA60" s="878"/>
      <c r="BB60" s="906"/>
      <c r="BC60" s="878"/>
      <c r="BD60" s="906"/>
      <c r="BE60" s="878"/>
      <c r="BF60" s="886"/>
      <c r="BG60" s="1204">
        <v>26</v>
      </c>
    </row>
    <row r="61" spans="2:59" s="804" customFormat="1">
      <c r="B61" s="1657"/>
      <c r="C61" s="827" t="s">
        <v>339</v>
      </c>
      <c r="D61" s="832"/>
      <c r="E61" s="1201"/>
      <c r="F61" s="929"/>
      <c r="G61" s="1202"/>
      <c r="H61" s="906"/>
      <c r="I61" s="1201"/>
      <c r="J61" s="929"/>
      <c r="K61" s="1202"/>
      <c r="L61" s="906"/>
      <c r="M61" s="1201"/>
      <c r="N61" s="929"/>
      <c r="O61" s="1202"/>
      <c r="P61" s="906"/>
      <c r="Q61" s="1201"/>
      <c r="R61" s="929"/>
      <c r="S61" s="1203"/>
      <c r="T61" s="906"/>
      <c r="U61" s="878"/>
      <c r="V61" s="929"/>
      <c r="W61" s="878"/>
      <c r="X61" s="929"/>
      <c r="Y61" s="1203"/>
      <c r="Z61" s="906"/>
      <c r="AA61" s="878"/>
      <c r="AB61" s="906"/>
      <c r="AC61" s="878"/>
      <c r="AD61" s="906"/>
      <c r="AE61" s="878"/>
      <c r="AF61" s="929"/>
      <c r="AG61" s="878"/>
      <c r="AH61" s="906"/>
      <c r="AI61" s="878"/>
      <c r="AJ61" s="906"/>
      <c r="AK61" s="878"/>
      <c r="AL61" s="906"/>
      <c r="AM61" s="878"/>
      <c r="AN61" s="929"/>
      <c r="AO61" s="878"/>
      <c r="AP61" s="906"/>
      <c r="AQ61" s="878"/>
      <c r="AR61" s="906"/>
      <c r="AS61" s="878"/>
      <c r="AT61" s="906"/>
      <c r="AU61" s="878"/>
      <c r="AV61" s="906"/>
      <c r="AW61" s="878"/>
      <c r="AX61" s="906"/>
      <c r="AY61" s="878"/>
      <c r="AZ61" s="906"/>
      <c r="BA61" s="878"/>
      <c r="BB61" s="906"/>
      <c r="BC61" s="878"/>
      <c r="BD61" s="906"/>
      <c r="BE61" s="878"/>
      <c r="BF61" s="886"/>
      <c r="BG61" s="1204">
        <v>27</v>
      </c>
    </row>
    <row r="62" spans="2:59" s="804" customFormat="1">
      <c r="B62" s="1657"/>
      <c r="C62" s="827" t="s">
        <v>345</v>
      </c>
      <c r="D62" s="832"/>
      <c r="E62" s="1201"/>
      <c r="F62" s="929"/>
      <c r="G62" s="1202"/>
      <c r="H62" s="906"/>
      <c r="I62" s="1201"/>
      <c r="J62" s="929"/>
      <c r="K62" s="1202"/>
      <c r="L62" s="906"/>
      <c r="M62" s="1201"/>
      <c r="N62" s="929"/>
      <c r="O62" s="1202"/>
      <c r="P62" s="906"/>
      <c r="Q62" s="1201"/>
      <c r="R62" s="929"/>
      <c r="S62" s="1203"/>
      <c r="T62" s="906"/>
      <c r="U62" s="878"/>
      <c r="V62" s="929"/>
      <c r="W62" s="878"/>
      <c r="X62" s="929"/>
      <c r="Y62" s="1203"/>
      <c r="Z62" s="906"/>
      <c r="AA62" s="878"/>
      <c r="AB62" s="906"/>
      <c r="AC62" s="878"/>
      <c r="AD62" s="906"/>
      <c r="AE62" s="878"/>
      <c r="AF62" s="929"/>
      <c r="AG62" s="878"/>
      <c r="AH62" s="906"/>
      <c r="AI62" s="878"/>
      <c r="AJ62" s="906"/>
      <c r="AK62" s="878"/>
      <c r="AL62" s="906"/>
      <c r="AM62" s="878"/>
      <c r="AN62" s="929"/>
      <c r="AO62" s="878"/>
      <c r="AP62" s="906"/>
      <c r="AQ62" s="878"/>
      <c r="AR62" s="906"/>
      <c r="AS62" s="878"/>
      <c r="AT62" s="906"/>
      <c r="AU62" s="878"/>
      <c r="AV62" s="906"/>
      <c r="AW62" s="878"/>
      <c r="AX62" s="906"/>
      <c r="AY62" s="878"/>
      <c r="AZ62" s="906"/>
      <c r="BA62" s="878"/>
      <c r="BB62" s="906"/>
      <c r="BC62" s="878"/>
      <c r="BD62" s="906"/>
      <c r="BE62" s="878"/>
      <c r="BF62" s="886"/>
      <c r="BG62" s="1204">
        <v>28</v>
      </c>
    </row>
    <row r="63" spans="2:59" s="804" customFormat="1">
      <c r="B63" s="1657"/>
      <c r="C63" s="827" t="s">
        <v>350</v>
      </c>
      <c r="D63" s="832"/>
      <c r="E63" s="1201"/>
      <c r="F63" s="929"/>
      <c r="G63" s="1202"/>
      <c r="H63" s="906"/>
      <c r="I63" s="1201"/>
      <c r="J63" s="929"/>
      <c r="K63" s="1202"/>
      <c r="L63" s="906"/>
      <c r="M63" s="1201"/>
      <c r="N63" s="929"/>
      <c r="O63" s="1202"/>
      <c r="P63" s="906"/>
      <c r="Q63" s="1201"/>
      <c r="R63" s="929"/>
      <c r="S63" s="1203"/>
      <c r="T63" s="906"/>
      <c r="U63" s="878"/>
      <c r="V63" s="929"/>
      <c r="W63" s="878"/>
      <c r="X63" s="929"/>
      <c r="Y63" s="1203"/>
      <c r="Z63" s="906"/>
      <c r="AA63" s="878"/>
      <c r="AB63" s="906"/>
      <c r="AC63" s="878"/>
      <c r="AD63" s="906"/>
      <c r="AE63" s="878"/>
      <c r="AF63" s="929"/>
      <c r="AG63" s="878"/>
      <c r="AH63" s="906"/>
      <c r="AI63" s="878"/>
      <c r="AJ63" s="906"/>
      <c r="AK63" s="878"/>
      <c r="AL63" s="906"/>
      <c r="AM63" s="878"/>
      <c r="AN63" s="929"/>
      <c r="AO63" s="878"/>
      <c r="AP63" s="906"/>
      <c r="AQ63" s="878"/>
      <c r="AR63" s="906"/>
      <c r="AS63" s="878"/>
      <c r="AT63" s="906"/>
      <c r="AU63" s="878"/>
      <c r="AV63" s="906"/>
      <c r="AW63" s="878"/>
      <c r="AX63" s="906"/>
      <c r="AY63" s="878"/>
      <c r="AZ63" s="906"/>
      <c r="BA63" s="878"/>
      <c r="BB63" s="906"/>
      <c r="BC63" s="878"/>
      <c r="BD63" s="906"/>
      <c r="BE63" s="878"/>
      <c r="BF63" s="886"/>
      <c r="BG63" s="1204">
        <v>29</v>
      </c>
    </row>
    <row r="64" spans="2:59" s="804" customFormat="1" ht="15" thickBot="1">
      <c r="B64" s="1658"/>
      <c r="C64" s="828"/>
      <c r="D64" s="833"/>
      <c r="E64" s="1205"/>
      <c r="F64" s="930"/>
      <c r="G64" s="1206"/>
      <c r="H64" s="907"/>
      <c r="I64" s="1205"/>
      <c r="J64" s="930"/>
      <c r="K64" s="1206"/>
      <c r="L64" s="907"/>
      <c r="M64" s="1205"/>
      <c r="N64" s="930"/>
      <c r="O64" s="1206"/>
      <c r="P64" s="907"/>
      <c r="Q64" s="1205"/>
      <c r="R64" s="930"/>
      <c r="S64" s="1207"/>
      <c r="T64" s="907"/>
      <c r="U64" s="887"/>
      <c r="V64" s="930"/>
      <c r="W64" s="887"/>
      <c r="X64" s="930"/>
      <c r="Y64" s="1207"/>
      <c r="Z64" s="907"/>
      <c r="AA64" s="887"/>
      <c r="AB64" s="907"/>
      <c r="AC64" s="887"/>
      <c r="AD64" s="907"/>
      <c r="AE64" s="887"/>
      <c r="AF64" s="930"/>
      <c r="AG64" s="887"/>
      <c r="AH64" s="907"/>
      <c r="AI64" s="887"/>
      <c r="AJ64" s="907"/>
      <c r="AK64" s="887"/>
      <c r="AL64" s="907"/>
      <c r="AM64" s="887"/>
      <c r="AN64" s="930"/>
      <c r="AO64" s="887"/>
      <c r="AP64" s="907"/>
      <c r="AQ64" s="887"/>
      <c r="AR64" s="907"/>
      <c r="AS64" s="887"/>
      <c r="AT64" s="907"/>
      <c r="AU64" s="887"/>
      <c r="AV64" s="907"/>
      <c r="AW64" s="887"/>
      <c r="AX64" s="907"/>
      <c r="AY64" s="887"/>
      <c r="AZ64" s="907"/>
      <c r="BA64" s="887"/>
      <c r="BB64" s="907"/>
      <c r="BC64" s="887"/>
      <c r="BD64" s="907"/>
      <c r="BE64" s="887"/>
      <c r="BF64" s="888"/>
      <c r="BG64" s="1208">
        <v>30</v>
      </c>
    </row>
    <row r="65" spans="2:4" ht="15.75" thickTop="1" thickBot="1"/>
    <row r="66" spans="2:4" ht="15" thickTop="1">
      <c r="B66" s="1656" t="s">
        <v>3224</v>
      </c>
      <c r="C66" s="835" t="s">
        <v>3222</v>
      </c>
      <c r="D66" s="830" t="s">
        <v>3223</v>
      </c>
    </row>
    <row r="67" spans="2:4">
      <c r="B67" s="1657"/>
      <c r="C67" s="829">
        <f>10</f>
        <v>10</v>
      </c>
      <c r="D67" s="834">
        <f>COUNTIF(F$3:U$32,"=10")</f>
        <v>3</v>
      </c>
    </row>
    <row r="68" spans="2:4">
      <c r="B68" s="1657"/>
      <c r="C68" s="827">
        <v>9.5</v>
      </c>
      <c r="D68" s="823">
        <f>COUNTIF(F$3:U$32,"=9.5")</f>
        <v>7</v>
      </c>
    </row>
    <row r="69" spans="2:4">
      <c r="B69" s="1657"/>
      <c r="C69" s="827">
        <v>9</v>
      </c>
      <c r="D69" s="823">
        <f>COUNTIF(F$3:U$32,"=9")</f>
        <v>14</v>
      </c>
    </row>
    <row r="70" spans="2:4">
      <c r="B70" s="1657"/>
      <c r="C70" s="827">
        <v>8.5</v>
      </c>
      <c r="D70" s="823">
        <f>COUNTIF(F$3:U$32,"=8.5")</f>
        <v>16</v>
      </c>
    </row>
    <row r="71" spans="2:4">
      <c r="B71" s="1657"/>
      <c r="C71" s="827">
        <v>8</v>
      </c>
      <c r="D71" s="823">
        <f>COUNTIF(F$3:U$32,"=8")</f>
        <v>21</v>
      </c>
    </row>
    <row r="72" spans="2:4">
      <c r="B72" s="1657"/>
      <c r="C72" s="827">
        <v>7.5</v>
      </c>
      <c r="D72" s="823">
        <f>COUNTIF(F$3:U$32,"=7.5")</f>
        <v>27</v>
      </c>
    </row>
    <row r="73" spans="2:4">
      <c r="B73" s="1657"/>
      <c r="C73" s="827">
        <v>7</v>
      </c>
      <c r="D73" s="823">
        <f>COUNTIF(F$3:U$32,"=7")</f>
        <v>36</v>
      </c>
    </row>
    <row r="74" spans="2:4">
      <c r="B74" s="1657"/>
      <c r="C74" s="827">
        <v>6.5</v>
      </c>
      <c r="D74" s="823">
        <f>COUNTIF(F$3:U$32,"=6.5")</f>
        <v>16</v>
      </c>
    </row>
    <row r="75" spans="2:4">
      <c r="B75" s="1657"/>
      <c r="C75" s="827">
        <v>6</v>
      </c>
      <c r="D75" s="823">
        <f>COUNTIF(F$3:U$32,"=6")</f>
        <v>22</v>
      </c>
    </row>
    <row r="76" spans="2:4">
      <c r="B76" s="1657"/>
      <c r="C76" s="827">
        <v>5</v>
      </c>
      <c r="D76" s="823">
        <f>COUNTIF(F$3:U$32,"=5")</f>
        <v>38</v>
      </c>
    </row>
    <row r="77" spans="2:4">
      <c r="B77" s="1657"/>
      <c r="C77" s="827">
        <v>4</v>
      </c>
      <c r="D77" s="823">
        <f>COUNTIF(F$3:U$32,"=4")</f>
        <v>20</v>
      </c>
    </row>
    <row r="78" spans="2:4">
      <c r="B78" s="1657"/>
      <c r="C78" s="827">
        <v>3</v>
      </c>
      <c r="D78" s="823">
        <f>COUNTIF(F$3:U$32,"=3")</f>
        <v>11</v>
      </c>
    </row>
    <row r="79" spans="2:4">
      <c r="B79" s="1657"/>
      <c r="C79" s="827">
        <v>2</v>
      </c>
      <c r="D79" s="823">
        <f>COUNTIF(F$3:U$32,"=2")</f>
        <v>7</v>
      </c>
    </row>
    <row r="80" spans="2:4">
      <c r="B80" s="1657"/>
      <c r="C80" s="827">
        <v>1</v>
      </c>
      <c r="D80" s="823">
        <f>COUNTIF(F$3:U$32,"=1")</f>
        <v>9</v>
      </c>
    </row>
    <row r="81" spans="2:4" ht="15" thickBot="1">
      <c r="B81" s="1658"/>
      <c r="C81" s="828">
        <v>0</v>
      </c>
      <c r="D81" s="826">
        <f>COUNTIF(F$3:U$32,"=0")</f>
        <v>5</v>
      </c>
    </row>
    <row r="82" spans="2:4" ht="15" thickTop="1"/>
  </sheetData>
  <autoFilter ref="C2:U32" xr:uid="{F68CEE93-A82A-4F03-BFD6-920F1193B283}">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sortState ref="C3:U32">
      <sortCondition ref="E2:E32"/>
    </sortState>
  </autoFilter>
  <mergeCells count="32">
    <mergeCell ref="AK34:AL34"/>
    <mergeCell ref="BA34:BB34"/>
    <mergeCell ref="B2:B32"/>
    <mergeCell ref="B34:B64"/>
    <mergeCell ref="C34:D34"/>
    <mergeCell ref="E34:F34"/>
    <mergeCell ref="G34:H34"/>
    <mergeCell ref="I34:J34"/>
    <mergeCell ref="K34:L34"/>
    <mergeCell ref="M34:N34"/>
    <mergeCell ref="O34:P34"/>
    <mergeCell ref="AY34:AZ34"/>
    <mergeCell ref="AW34:AX34"/>
    <mergeCell ref="AU34:AV34"/>
    <mergeCell ref="U34:V34"/>
    <mergeCell ref="AI34:AJ34"/>
    <mergeCell ref="F2:U2"/>
    <mergeCell ref="BE34:BF34"/>
    <mergeCell ref="BC34:BD34"/>
    <mergeCell ref="B66:B81"/>
    <mergeCell ref="Q34:R34"/>
    <mergeCell ref="S34:T34"/>
    <mergeCell ref="AS34:AT34"/>
    <mergeCell ref="AQ34:AR34"/>
    <mergeCell ref="AO34:AP34"/>
    <mergeCell ref="AM34:AN34"/>
    <mergeCell ref="W34:X34"/>
    <mergeCell ref="Y34:Z34"/>
    <mergeCell ref="AA34:AB34"/>
    <mergeCell ref="AG34:AH34"/>
    <mergeCell ref="AE34:AF34"/>
    <mergeCell ref="AC34:AD34"/>
  </mergeCells>
  <phoneticPr fontId="1" type="noConversion"/>
  <conditionalFormatting sqref="F3:U32">
    <cfRule type="cellIs" dxfId="0" priority="1" operator="greaterThan">
      <formula>8.9</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B82B0-E681-4437-9DCC-C193DEBB5F21}">
  <dimension ref="W1:AN30"/>
  <sheetViews>
    <sheetView topLeftCell="A37" zoomScaleNormal="100" workbookViewId="0">
      <selection activeCell="V33" sqref="V33"/>
    </sheetView>
  </sheetViews>
  <sheetFormatPr defaultColWidth="8.875" defaultRowHeight="14.25"/>
  <cols>
    <col min="1" max="16384" width="8.875" style="805"/>
  </cols>
  <sheetData>
    <row r="1" spans="23:40" ht="15" thickBot="1"/>
    <row r="2" spans="23:40" ht="15" thickTop="1">
      <c r="W2" s="1672" t="s">
        <v>3226</v>
      </c>
      <c r="X2" s="1669" t="s">
        <v>3225</v>
      </c>
      <c r="Y2" s="1670"/>
      <c r="Z2" s="1670"/>
      <c r="AA2" s="1670"/>
      <c r="AB2" s="1670"/>
      <c r="AC2" s="1670"/>
      <c r="AD2" s="1670"/>
      <c r="AE2" s="1670"/>
      <c r="AF2" s="1670"/>
      <c r="AG2" s="1670"/>
      <c r="AH2" s="1670"/>
      <c r="AI2" s="1670"/>
      <c r="AJ2" s="1670"/>
      <c r="AK2" s="1670"/>
      <c r="AL2" s="1670"/>
      <c r="AM2" s="1668"/>
      <c r="AN2" s="1671"/>
    </row>
    <row r="3" spans="23:40" ht="15" thickBot="1">
      <c r="W3" s="1673"/>
      <c r="X3" s="842">
        <v>0.2</v>
      </c>
      <c r="Y3" s="840">
        <v>0.25</v>
      </c>
      <c r="Z3" s="840">
        <v>0.3</v>
      </c>
      <c r="AA3" s="840">
        <v>0.35</v>
      </c>
      <c r="AB3" s="840">
        <v>0.4</v>
      </c>
      <c r="AC3" s="840">
        <v>0.45</v>
      </c>
      <c r="AD3" s="840">
        <v>0.5</v>
      </c>
      <c r="AE3" s="840">
        <v>0.55000000000000004</v>
      </c>
      <c r="AF3" s="840">
        <v>0.6</v>
      </c>
      <c r="AG3" s="840">
        <v>0.65</v>
      </c>
      <c r="AH3" s="840">
        <v>0.7</v>
      </c>
      <c r="AI3" s="840">
        <v>0.75</v>
      </c>
      <c r="AJ3" s="840">
        <v>0.8</v>
      </c>
      <c r="AK3" s="840">
        <v>0.85</v>
      </c>
      <c r="AL3" s="840">
        <v>0.9</v>
      </c>
      <c r="AM3" s="1283">
        <v>0.95</v>
      </c>
      <c r="AN3" s="841">
        <v>1</v>
      </c>
    </row>
    <row r="4" spans="23:40">
      <c r="W4" s="845" t="s">
        <v>3239</v>
      </c>
      <c r="X4" s="843">
        <v>17967.000911918483</v>
      </c>
      <c r="Y4" s="838">
        <v>18286.254903756129</v>
      </c>
      <c r="Z4" s="838">
        <v>18555.074721015375</v>
      </c>
      <c r="AA4" s="838">
        <v>18750.598227004299</v>
      </c>
      <c r="AB4" s="838">
        <v>18900.467746047714</v>
      </c>
      <c r="AC4" s="838">
        <v>19032.540140320918</v>
      </c>
      <c r="AD4" s="838">
        <v>19127.182735192691</v>
      </c>
      <c r="AE4" s="838">
        <v>19221.825330064468</v>
      </c>
      <c r="AF4" s="838">
        <v>19283.536031540749</v>
      </c>
      <c r="AG4" s="838">
        <v>19327.199927177167</v>
      </c>
      <c r="AH4" s="838">
        <v>19370.863822813582</v>
      </c>
      <c r="AI4" s="838">
        <v>19414.527718450001</v>
      </c>
      <c r="AJ4" s="838">
        <v>19458.19161408642</v>
      </c>
      <c r="AK4" s="838">
        <v>19501.855509722838</v>
      </c>
      <c r="AL4" s="838">
        <v>19545.519405359257</v>
      </c>
      <c r="AM4" s="1284">
        <v>19585.45430068484</v>
      </c>
      <c r="AN4" s="839">
        <v>19623.695882484055</v>
      </c>
    </row>
    <row r="5" spans="23:40">
      <c r="W5" s="845" t="s">
        <v>4923</v>
      </c>
      <c r="X5" s="843">
        <v>18089.930822252049</v>
      </c>
      <c r="Y5" s="838">
        <v>18351.657870593786</v>
      </c>
      <c r="Z5" s="838">
        <v>18523.804381877002</v>
      </c>
      <c r="AA5" s="838">
        <v>18690.010340786586</v>
      </c>
      <c r="AB5" s="838">
        <v>18806.155073859907</v>
      </c>
      <c r="AC5" s="838">
        <v>18922.299806933235</v>
      </c>
      <c r="AD5" s="838">
        <v>19007.620141288444</v>
      </c>
      <c r="AE5" s="838">
        <v>19072.070925244949</v>
      </c>
      <c r="AF5" s="838">
        <v>19136.521709201457</v>
      </c>
      <c r="AG5" s="838">
        <v>19200.972493157966</v>
      </c>
      <c r="AH5" s="838">
        <v>19265.423277114471</v>
      </c>
      <c r="AI5" s="838">
        <v>19329.874061070979</v>
      </c>
      <c r="AJ5" s="838">
        <v>19393.757956076672</v>
      </c>
      <c r="AK5" s="838">
        <v>19450.205047907861</v>
      </c>
      <c r="AL5" s="838">
        <v>19506.65213973905</v>
      </c>
      <c r="AM5" s="1284">
        <v>19556.307819118356</v>
      </c>
      <c r="AN5" s="839">
        <v>19605.172465778192</v>
      </c>
    </row>
    <row r="6" spans="23:40">
      <c r="W6" s="846" t="s">
        <v>4922</v>
      </c>
      <c r="X6" s="844">
        <v>17841.678658456003</v>
      </c>
      <c r="Y6" s="836">
        <v>18188.859016516868</v>
      </c>
      <c r="Z6" s="836">
        <v>18455.482248944099</v>
      </c>
      <c r="AA6" s="836">
        <v>18680.962045964789</v>
      </c>
      <c r="AB6" s="836">
        <v>18830.308049337775</v>
      </c>
      <c r="AC6" s="836">
        <v>18977.813031345639</v>
      </c>
      <c r="AD6" s="836">
        <v>19072.708892657727</v>
      </c>
      <c r="AE6" s="836">
        <v>19167.604753969812</v>
      </c>
      <c r="AF6" s="836">
        <v>19245.882510525142</v>
      </c>
      <c r="AG6" s="836">
        <v>19290.516702242552</v>
      </c>
      <c r="AH6" s="836">
        <v>19335.150893959963</v>
      </c>
      <c r="AI6" s="836">
        <v>19379.785085677373</v>
      </c>
      <c r="AJ6" s="836">
        <v>19424.419277394783</v>
      </c>
      <c r="AK6" s="836">
        <v>19469.05346911219</v>
      </c>
      <c r="AL6" s="836">
        <v>19513.687660829601</v>
      </c>
      <c r="AM6" s="1285">
        <v>19556.645899114585</v>
      </c>
      <c r="AN6" s="837">
        <v>19595.737282710226</v>
      </c>
    </row>
    <row r="7" spans="23:40">
      <c r="W7" s="846" t="s">
        <v>4921</v>
      </c>
      <c r="X7" s="844">
        <v>17864.535544674585</v>
      </c>
      <c r="Y7" s="836">
        <v>18144.144188755487</v>
      </c>
      <c r="Z7" s="836">
        <v>18418.622137790666</v>
      </c>
      <c r="AA7" s="836">
        <v>18578.976150308215</v>
      </c>
      <c r="AB7" s="836">
        <v>18739.330162825765</v>
      </c>
      <c r="AC7" s="836">
        <v>18858.317803759044</v>
      </c>
      <c r="AD7" s="836">
        <v>18964.488385834735</v>
      </c>
      <c r="AE7" s="836">
        <v>19064.238854493811</v>
      </c>
      <c r="AF7" s="836">
        <v>19120.393962315469</v>
      </c>
      <c r="AG7" s="836">
        <v>19176.549070137127</v>
      </c>
      <c r="AH7" s="836">
        <v>19232.704177958785</v>
      </c>
      <c r="AI7" s="836">
        <v>19288.859285780443</v>
      </c>
      <c r="AJ7" s="836">
        <v>19345.014393602101</v>
      </c>
      <c r="AK7" s="836">
        <v>19401.169501423759</v>
      </c>
      <c r="AL7" s="836">
        <v>19455.392015041085</v>
      </c>
      <c r="AM7" s="1285">
        <v>19504.5736127411</v>
      </c>
      <c r="AN7" s="837">
        <v>19553.755210441115</v>
      </c>
    </row>
    <row r="8" spans="23:40">
      <c r="W8" s="846" t="s">
        <v>4917</v>
      </c>
      <c r="X8" s="844">
        <v>17220.161240586811</v>
      </c>
      <c r="Y8" s="836">
        <v>17623.890102788126</v>
      </c>
      <c r="Z8" s="836">
        <v>17988.627568571956</v>
      </c>
      <c r="AA8" s="836">
        <v>18295.429502210856</v>
      </c>
      <c r="AB8" s="836">
        <v>18542.078383901451</v>
      </c>
      <c r="AC8" s="836">
        <v>18752.324853924871</v>
      </c>
      <c r="AD8" s="836">
        <v>18888.757723795108</v>
      </c>
      <c r="AE8" s="836">
        <v>19025.190593665349</v>
      </c>
      <c r="AF8" s="836">
        <v>19118.762242712906</v>
      </c>
      <c r="AG8" s="836">
        <v>19204.023392809413</v>
      </c>
      <c r="AH8" s="836">
        <v>19289.284542905913</v>
      </c>
      <c r="AI8" s="836">
        <v>19330.642174009292</v>
      </c>
      <c r="AJ8" s="836">
        <v>19368.6678904685</v>
      </c>
      <c r="AK8" s="836">
        <v>19406.693606927707</v>
      </c>
      <c r="AL8" s="836">
        <v>19444.719323386915</v>
      </c>
      <c r="AM8" s="1285">
        <v>19482.745039846126</v>
      </c>
      <c r="AN8" s="837">
        <v>19520.770756305334</v>
      </c>
    </row>
    <row r="9" spans="23:40">
      <c r="W9" s="846" t="s">
        <v>4920</v>
      </c>
      <c r="X9" s="844">
        <v>17643.43607730346</v>
      </c>
      <c r="Y9" s="836">
        <v>17926.520516110046</v>
      </c>
      <c r="Z9" s="836">
        <v>18204.633234555575</v>
      </c>
      <c r="AA9" s="836">
        <v>18372.158148851413</v>
      </c>
      <c r="AB9" s="836">
        <v>18539.683063147251</v>
      </c>
      <c r="AC9" s="836">
        <v>18667.123343677955</v>
      </c>
      <c r="AD9" s="836">
        <v>18782.143702166282</v>
      </c>
      <c r="AE9" s="836">
        <v>18890.942874575685</v>
      </c>
      <c r="AF9" s="836">
        <v>18957.497489241687</v>
      </c>
      <c r="AG9" s="836">
        <v>19024.052103907688</v>
      </c>
      <c r="AH9" s="836">
        <v>19090.60671857369</v>
      </c>
      <c r="AI9" s="836">
        <v>19157.161333239692</v>
      </c>
      <c r="AJ9" s="836">
        <v>19223.715947905694</v>
      </c>
      <c r="AK9" s="836">
        <v>19290.270562571695</v>
      </c>
      <c r="AL9" s="836">
        <v>19354.534681011002</v>
      </c>
      <c r="AM9" s="1285">
        <v>19412.824343528941</v>
      </c>
      <c r="AN9" s="837">
        <v>19471.114006046875</v>
      </c>
    </row>
    <row r="10" spans="23:40">
      <c r="W10" s="846" t="s">
        <v>4924</v>
      </c>
      <c r="X10" s="844">
        <v>17202.864754301914</v>
      </c>
      <c r="Y10" s="836">
        <v>17436.895141445173</v>
      </c>
      <c r="Z10" s="836">
        <v>17627.455457895816</v>
      </c>
      <c r="AA10" s="836">
        <v>17813.096323679634</v>
      </c>
      <c r="AB10" s="836">
        <v>17973.911048278689</v>
      </c>
      <c r="AC10" s="836">
        <v>18114.884663576868</v>
      </c>
      <c r="AD10" s="836">
        <v>18255.85827887505</v>
      </c>
      <c r="AE10" s="836">
        <v>18396.831894173232</v>
      </c>
      <c r="AF10" s="836">
        <v>18537.805509471411</v>
      </c>
      <c r="AG10" s="836">
        <v>18678.77912476959</v>
      </c>
      <c r="AH10" s="836">
        <v>18811.608494208584</v>
      </c>
      <c r="AI10" s="836">
        <v>18935.075582116795</v>
      </c>
      <c r="AJ10" s="836">
        <v>19051.327883864989</v>
      </c>
      <c r="AK10" s="836">
        <v>19158.209840561653</v>
      </c>
      <c r="AL10" s="836">
        <v>19262.492055511146</v>
      </c>
      <c r="AM10" s="1285">
        <v>19353.710277174672</v>
      </c>
      <c r="AN10" s="837">
        <v>19444.928498838202</v>
      </c>
    </row>
    <row r="11" spans="23:40">
      <c r="W11" s="846" t="s">
        <v>4916</v>
      </c>
      <c r="X11" s="844">
        <v>17294.88459612017</v>
      </c>
      <c r="Y11" s="836">
        <v>17680.623933530933</v>
      </c>
      <c r="Z11" s="836">
        <v>17952.039222458963</v>
      </c>
      <c r="AA11" s="836">
        <v>18220.833104385969</v>
      </c>
      <c r="AB11" s="836">
        <v>18387.197781268744</v>
      </c>
      <c r="AC11" s="836">
        <v>18546.842571410911</v>
      </c>
      <c r="AD11" s="836">
        <v>18676.812908148047</v>
      </c>
      <c r="AE11" s="836">
        <v>18785.781334247255</v>
      </c>
      <c r="AF11" s="836">
        <v>18894.749760346462</v>
      </c>
      <c r="AG11" s="836">
        <v>18964.398427362048</v>
      </c>
      <c r="AH11" s="836">
        <v>19026.588671267749</v>
      </c>
      <c r="AI11" s="836">
        <v>19088.778915173454</v>
      </c>
      <c r="AJ11" s="836">
        <v>19150.969159079159</v>
      </c>
      <c r="AK11" s="836">
        <v>19213.15940298486</v>
      </c>
      <c r="AL11" s="836">
        <v>19275.349646890565</v>
      </c>
      <c r="AM11" s="1285">
        <v>19337.53989079627</v>
      </c>
      <c r="AN11" s="837">
        <v>19394.296785280418</v>
      </c>
    </row>
    <row r="12" spans="23:40">
      <c r="W12" s="846" t="s">
        <v>3159</v>
      </c>
      <c r="X12" s="844">
        <v>17183.324878235893</v>
      </c>
      <c r="Y12" s="836">
        <v>17563.049839408828</v>
      </c>
      <c r="Z12" s="836">
        <v>17875.899317134841</v>
      </c>
      <c r="AA12" s="836">
        <v>18139.953945493886</v>
      </c>
      <c r="AB12" s="836">
        <v>18349.332232679215</v>
      </c>
      <c r="AC12" s="836">
        <v>18505.427883745298</v>
      </c>
      <c r="AD12" s="836">
        <v>18655.707646402981</v>
      </c>
      <c r="AE12" s="836">
        <v>18761.679486583049</v>
      </c>
      <c r="AF12" s="836">
        <v>18867.651326763116</v>
      </c>
      <c r="AG12" s="836">
        <v>18958.484138629527</v>
      </c>
      <c r="AH12" s="836">
        <v>19018.187845684039</v>
      </c>
      <c r="AI12" s="836">
        <v>19077.891552738551</v>
      </c>
      <c r="AJ12" s="836">
        <v>19137.595259793063</v>
      </c>
      <c r="AK12" s="836">
        <v>19197.298966847575</v>
      </c>
      <c r="AL12" s="836">
        <v>19257.002673902087</v>
      </c>
      <c r="AM12" s="1285">
        <v>19316.706380956599</v>
      </c>
      <c r="AN12" s="837">
        <v>19375.844769464893</v>
      </c>
    </row>
    <row r="13" spans="23:40">
      <c r="W13" s="846" t="s">
        <v>2774</v>
      </c>
      <c r="X13" s="844">
        <v>17049.404277902639</v>
      </c>
      <c r="Y13" s="836">
        <v>17282.41671930777</v>
      </c>
      <c r="Z13" s="836">
        <v>17491.495904452448</v>
      </c>
      <c r="AA13" s="836">
        <v>17677.457753247789</v>
      </c>
      <c r="AB13" s="836">
        <v>17857.783444590779</v>
      </c>
      <c r="AC13" s="836">
        <v>18000.313977130929</v>
      </c>
      <c r="AD13" s="836">
        <v>18142.844509671082</v>
      </c>
      <c r="AE13" s="836">
        <v>18285.375042211232</v>
      </c>
      <c r="AF13" s="836">
        <v>18427.905574751381</v>
      </c>
      <c r="AG13" s="836">
        <v>18570.436107291531</v>
      </c>
      <c r="AH13" s="836">
        <v>18712.96663983168</v>
      </c>
      <c r="AI13" s="836">
        <v>18838.77726392409</v>
      </c>
      <c r="AJ13" s="836">
        <v>18963.607926410234</v>
      </c>
      <c r="AK13" s="836">
        <v>19073.633487586718</v>
      </c>
      <c r="AL13" s="836">
        <v>19181.695852126963</v>
      </c>
      <c r="AM13" s="1285">
        <v>19280.594210928</v>
      </c>
      <c r="AN13" s="837">
        <v>19372.819849630498</v>
      </c>
    </row>
    <row r="14" spans="23:40">
      <c r="W14" s="846" t="s">
        <v>4918</v>
      </c>
      <c r="X14" s="844">
        <v>16889.036089495174</v>
      </c>
      <c r="Y14" s="836">
        <v>17121.497842749741</v>
      </c>
      <c r="Z14" s="836">
        <v>17348.102976260194</v>
      </c>
      <c r="AA14" s="836">
        <v>17534.879419599285</v>
      </c>
      <c r="AB14" s="836">
        <v>17721.655862938373</v>
      </c>
      <c r="AC14" s="836">
        <v>17878.331064040041</v>
      </c>
      <c r="AD14" s="836">
        <v>18022.936452072539</v>
      </c>
      <c r="AE14" s="836">
        <v>18167.541840105037</v>
      </c>
      <c r="AF14" s="836">
        <v>18312.147228137535</v>
      </c>
      <c r="AG14" s="836">
        <v>18456.752616170033</v>
      </c>
      <c r="AH14" s="836">
        <v>18601.358004202531</v>
      </c>
      <c r="AI14" s="836">
        <v>18738.127902072509</v>
      </c>
      <c r="AJ14" s="836">
        <v>18864.775758257834</v>
      </c>
      <c r="AK14" s="836">
        <v>18985.573908431394</v>
      </c>
      <c r="AL14" s="836">
        <v>19095.209366024657</v>
      </c>
      <c r="AM14" s="1285">
        <v>19204.761434777367</v>
      </c>
      <c r="AN14" s="837">
        <v>19298.32962703369</v>
      </c>
    </row>
    <row r="15" spans="23:40">
      <c r="W15" s="846" t="s">
        <v>4925</v>
      </c>
      <c r="X15" s="844">
        <v>16430.773030994871</v>
      </c>
      <c r="Y15" s="836">
        <v>16687.207589450987</v>
      </c>
      <c r="Z15" s="836">
        <v>16922.498269405882</v>
      </c>
      <c r="AA15" s="836">
        <v>17137.365896779782</v>
      </c>
      <c r="AB15" s="836">
        <v>17347.254250665381</v>
      </c>
      <c r="AC15" s="836">
        <v>17523.752403194158</v>
      </c>
      <c r="AD15" s="836">
        <v>17700.250555722934</v>
      </c>
      <c r="AE15" s="836">
        <v>17876.748708251707</v>
      </c>
      <c r="AF15" s="836">
        <v>18053.246860780484</v>
      </c>
      <c r="AG15" s="836">
        <v>18229.745013309257</v>
      </c>
      <c r="AH15" s="836">
        <v>18406.243165838034</v>
      </c>
      <c r="AI15" s="836">
        <v>18562.036751430278</v>
      </c>
      <c r="AJ15" s="836">
        <v>18716.616832729986</v>
      </c>
      <c r="AK15" s="836">
        <v>18852.863487622129</v>
      </c>
      <c r="AL15" s="836">
        <v>18986.679080389044</v>
      </c>
      <c r="AM15" s="1285">
        <v>19109.146718062413</v>
      </c>
      <c r="AN15" s="837">
        <v>19223.351404992794</v>
      </c>
    </row>
    <row r="16" spans="23:40">
      <c r="W16" s="846" t="s">
        <v>3151</v>
      </c>
      <c r="X16" s="844">
        <v>16171.393493678346</v>
      </c>
      <c r="Y16" s="836">
        <v>16429.734680976806</v>
      </c>
      <c r="Z16" s="836">
        <v>16684.142141126154</v>
      </c>
      <c r="AA16" s="836">
        <v>16902.967717553853</v>
      </c>
      <c r="AB16" s="836">
        <v>17121.793293981547</v>
      </c>
      <c r="AC16" s="836">
        <v>17315.725139857794</v>
      </c>
      <c r="AD16" s="836">
        <v>17498.0747677894</v>
      </c>
      <c r="AE16" s="836">
        <v>17680.424395721002</v>
      </c>
      <c r="AF16" s="836">
        <v>17862.774023652612</v>
      </c>
      <c r="AG16" s="836">
        <v>18045.123651584217</v>
      </c>
      <c r="AH16" s="836">
        <v>18227.473279515823</v>
      </c>
      <c r="AI16" s="836">
        <v>18400.808847952754</v>
      </c>
      <c r="AJ16" s="836">
        <v>18560.513750847105</v>
      </c>
      <c r="AK16" s="836">
        <v>18713.712790993377</v>
      </c>
      <c r="AL16" s="836">
        <v>18851.964796484008</v>
      </c>
      <c r="AM16" s="1285">
        <v>18990.216801974635</v>
      </c>
      <c r="AN16" s="837">
        <v>19108.977382227768</v>
      </c>
    </row>
    <row r="17" spans="23:40">
      <c r="W17" s="846" t="s">
        <v>3193</v>
      </c>
      <c r="X17" s="844">
        <v>16182.436540112678</v>
      </c>
      <c r="Y17" s="836">
        <v>16587.906220173416</v>
      </c>
      <c r="Z17" s="836">
        <v>16969.905618731889</v>
      </c>
      <c r="AA17" s="836">
        <v>17320.174127332157</v>
      </c>
      <c r="AB17" s="836">
        <v>17622.675501600923</v>
      </c>
      <c r="AC17" s="836">
        <v>17869.441813712812</v>
      </c>
      <c r="AD17" s="836">
        <v>18095.215005896458</v>
      </c>
      <c r="AE17" s="836">
        <v>18245.379267952529</v>
      </c>
      <c r="AF17" s="836">
        <v>18395.543530008599</v>
      </c>
      <c r="AG17" s="836">
        <v>18517.547580355666</v>
      </c>
      <c r="AH17" s="836">
        <v>18622.860890600106</v>
      </c>
      <c r="AI17" s="836">
        <v>18728.174200844547</v>
      </c>
      <c r="AJ17" s="836">
        <v>18808.364086932776</v>
      </c>
      <c r="AK17" s="836">
        <v>18872.276518581864</v>
      </c>
      <c r="AL17" s="836">
        <v>18936.188950230953</v>
      </c>
      <c r="AM17" s="1285">
        <v>19000.101381880046</v>
      </c>
      <c r="AN17" s="837">
        <v>19064.013813529134</v>
      </c>
    </row>
    <row r="18" spans="23:40">
      <c r="W18" s="1291" t="s">
        <v>4928</v>
      </c>
      <c r="X18" s="1292">
        <v>16064.735405481273</v>
      </c>
      <c r="Y18" s="1293">
        <v>16471.422109080992</v>
      </c>
      <c r="Z18" s="1293">
        <v>16864.206234333062</v>
      </c>
      <c r="AA18" s="1293">
        <v>17210.767789471804</v>
      </c>
      <c r="AB18" s="1293">
        <v>17540.157822312409</v>
      </c>
      <c r="AC18" s="1293">
        <v>17784.454995164273</v>
      </c>
      <c r="AD18" s="1293">
        <v>18028.752168016141</v>
      </c>
      <c r="AE18" s="1293">
        <v>18187.166908959825</v>
      </c>
      <c r="AF18" s="1293">
        <v>18336.017325010609</v>
      </c>
      <c r="AG18" s="1293">
        <v>18472.338512417296</v>
      </c>
      <c r="AH18" s="1293">
        <v>18576.874362810431</v>
      </c>
      <c r="AI18" s="1293">
        <v>18681.410213203566</v>
      </c>
      <c r="AJ18" s="1293">
        <v>18776.558320319444</v>
      </c>
      <c r="AK18" s="1293">
        <v>18840.188417797825</v>
      </c>
      <c r="AL18" s="1293">
        <v>18903.818515276213</v>
      </c>
      <c r="AM18" s="1294">
        <v>18967.448612754593</v>
      </c>
      <c r="AN18" s="1295">
        <v>19031.078710232981</v>
      </c>
    </row>
    <row r="19" spans="23:40">
      <c r="W19" s="846" t="s">
        <v>1987</v>
      </c>
      <c r="X19" s="844">
        <v>15886.43570841138</v>
      </c>
      <c r="Y19" s="836">
        <v>16155.835298837999</v>
      </c>
      <c r="Z19" s="836">
        <v>16419.33432875658</v>
      </c>
      <c r="AA19" s="836">
        <v>16651.752246763142</v>
      </c>
      <c r="AB19" s="836">
        <v>16877.960092847283</v>
      </c>
      <c r="AC19" s="836">
        <v>17090.689381701057</v>
      </c>
      <c r="AD19" s="836">
        <v>17282.474596553406</v>
      </c>
      <c r="AE19" s="836">
        <v>17474.259811405758</v>
      </c>
      <c r="AF19" s="836">
        <v>17666.045026258103</v>
      </c>
      <c r="AG19" s="836">
        <v>17857.830241110456</v>
      </c>
      <c r="AH19" s="836">
        <v>18049.615455962805</v>
      </c>
      <c r="AI19" s="836">
        <v>18240.386201276749</v>
      </c>
      <c r="AJ19" s="836">
        <v>18408.354951539593</v>
      </c>
      <c r="AK19" s="836">
        <v>18576.323701802434</v>
      </c>
      <c r="AL19" s="836">
        <v>18723.392975723138</v>
      </c>
      <c r="AM19" s="1285">
        <v>18868.798759532761</v>
      </c>
      <c r="AN19" s="837">
        <v>19002.250517331177</v>
      </c>
    </row>
    <row r="20" spans="23:40">
      <c r="W20" s="846" t="s">
        <v>2337</v>
      </c>
      <c r="X20" s="844">
        <v>16135.838183050166</v>
      </c>
      <c r="Y20" s="836">
        <v>16453.110303721031</v>
      </c>
      <c r="Z20" s="836">
        <v>16689.133712688821</v>
      </c>
      <c r="AA20" s="836">
        <v>16925.157121656612</v>
      </c>
      <c r="AB20" s="836">
        <v>17125.076304539736</v>
      </c>
      <c r="AC20" s="836">
        <v>17320.799834853398</v>
      </c>
      <c r="AD20" s="836">
        <v>17502.89025844866</v>
      </c>
      <c r="AE20" s="836">
        <v>17661.413900773889</v>
      </c>
      <c r="AF20" s="836">
        <v>17819.937543099124</v>
      </c>
      <c r="AG20" s="836">
        <v>17978.461185424356</v>
      </c>
      <c r="AH20" s="836">
        <v>18136.984827749588</v>
      </c>
      <c r="AI20" s="836">
        <v>18295.508470074816</v>
      </c>
      <c r="AJ20" s="836">
        <v>18454.032112400051</v>
      </c>
      <c r="AK20" s="836">
        <v>18597.003368811111</v>
      </c>
      <c r="AL20" s="836">
        <v>18735.841068625363</v>
      </c>
      <c r="AM20" s="1285">
        <v>18863.528542638236</v>
      </c>
      <c r="AN20" s="837">
        <v>18983.716402178936</v>
      </c>
    </row>
    <row r="21" spans="23:40">
      <c r="W21" s="846" t="s">
        <v>1980</v>
      </c>
      <c r="X21" s="844">
        <v>15114.440133786245</v>
      </c>
      <c r="Y21" s="836">
        <v>15578.329903836937</v>
      </c>
      <c r="Z21" s="836">
        <v>15997.321001208593</v>
      </c>
      <c r="AA21" s="836">
        <v>16389.845622343128</v>
      </c>
      <c r="AB21" s="836">
        <v>16755.359444310856</v>
      </c>
      <c r="AC21" s="836">
        <v>17092.247526942145</v>
      </c>
      <c r="AD21" s="836">
        <v>17407.429795588538</v>
      </c>
      <c r="AE21" s="836">
        <v>17686.207836024081</v>
      </c>
      <c r="AF21" s="836">
        <v>17907.018442192963</v>
      </c>
      <c r="AG21" s="836">
        <v>18127.829048361837</v>
      </c>
      <c r="AH21" s="836">
        <v>18270.16823513023</v>
      </c>
      <c r="AI21" s="836">
        <v>18402.89862298677</v>
      </c>
      <c r="AJ21" s="836">
        <v>18535.128425117331</v>
      </c>
      <c r="AK21" s="836">
        <v>18626.964425900278</v>
      </c>
      <c r="AL21" s="836">
        <v>18718.800426683225</v>
      </c>
      <c r="AM21" s="1285">
        <v>18810.636427466172</v>
      </c>
      <c r="AN21" s="837">
        <v>18877.79252484574</v>
      </c>
    </row>
    <row r="22" spans="23:40">
      <c r="W22" s="846" t="s">
        <v>1988</v>
      </c>
      <c r="X22" s="844">
        <v>15599.479139850293</v>
      </c>
      <c r="Y22" s="836">
        <v>16023.962795435515</v>
      </c>
      <c r="Z22" s="836">
        <v>16414.323979477187</v>
      </c>
      <c r="AA22" s="836">
        <v>16774.447111272963</v>
      </c>
      <c r="AB22" s="836">
        <v>17113.300900173355</v>
      </c>
      <c r="AC22" s="836">
        <v>17398.164449248925</v>
      </c>
      <c r="AD22" s="836">
        <v>17640.441872259431</v>
      </c>
      <c r="AE22" s="836">
        <v>17860.968617682705</v>
      </c>
      <c r="AF22" s="836">
        <v>18013.108099195979</v>
      </c>
      <c r="AG22" s="836">
        <v>18165.247580709252</v>
      </c>
      <c r="AH22" s="836">
        <v>18293.65859478074</v>
      </c>
      <c r="AI22" s="836">
        <v>18403.948317741731</v>
      </c>
      <c r="AJ22" s="836">
        <v>18514.238040702716</v>
      </c>
      <c r="AK22" s="836">
        <v>18607.261440751725</v>
      </c>
      <c r="AL22" s="836">
        <v>18678.920617356758</v>
      </c>
      <c r="AM22" s="1285">
        <v>18750.579793961791</v>
      </c>
      <c r="AN22" s="837">
        <v>18822.238970566821</v>
      </c>
    </row>
    <row r="23" spans="23:40">
      <c r="W23" s="846" t="s">
        <v>1970</v>
      </c>
      <c r="X23" s="844">
        <v>15384.418725300638</v>
      </c>
      <c r="Y23" s="836">
        <v>15706.874041836476</v>
      </c>
      <c r="Z23" s="836">
        <v>15972.097932048049</v>
      </c>
      <c r="AA23" s="836">
        <v>16235.091516256012</v>
      </c>
      <c r="AB23" s="836">
        <v>16466.250391826296</v>
      </c>
      <c r="AC23" s="836">
        <v>16697.409267396575</v>
      </c>
      <c r="AD23" s="836">
        <v>16911.214132247322</v>
      </c>
      <c r="AE23" s="836">
        <v>17110.92837891795</v>
      </c>
      <c r="AF23" s="836">
        <v>17310.642625588578</v>
      </c>
      <c r="AG23" s="836">
        <v>17510.356872259203</v>
      </c>
      <c r="AH23" s="836">
        <v>17710.071118929831</v>
      </c>
      <c r="AI23" s="836">
        <v>17909.785365600459</v>
      </c>
      <c r="AJ23" s="836">
        <v>18109.088393830312</v>
      </c>
      <c r="AK23" s="836">
        <v>18284.001524901319</v>
      </c>
      <c r="AL23" s="836">
        <v>18458.914655972319</v>
      </c>
      <c r="AM23" s="1285">
        <v>18614.134932617566</v>
      </c>
      <c r="AN23" s="837">
        <v>18765.55226996262</v>
      </c>
    </row>
    <row r="24" spans="23:40">
      <c r="W24" s="846" t="s">
        <v>1971</v>
      </c>
      <c r="X24" s="844">
        <v>14122.704382432263</v>
      </c>
      <c r="Y24" s="836">
        <v>14614.0737748928</v>
      </c>
      <c r="Z24" s="836">
        <v>15081.502158892219</v>
      </c>
      <c r="AA24" s="836">
        <v>15517.368161686723</v>
      </c>
      <c r="AB24" s="836">
        <v>15913.931927952932</v>
      </c>
      <c r="AC24" s="836">
        <v>16297.215772116449</v>
      </c>
      <c r="AD24" s="836">
        <v>16637.52107582473</v>
      </c>
      <c r="AE24" s="836">
        <v>16971.143992392317</v>
      </c>
      <c r="AF24" s="836">
        <v>17269.796988717935</v>
      </c>
      <c r="AG24" s="836">
        <v>17556.680208724651</v>
      </c>
      <c r="AH24" s="836">
        <v>17813.010676954396</v>
      </c>
      <c r="AI24" s="836">
        <v>18012.25696590947</v>
      </c>
      <c r="AJ24" s="836">
        <v>18211.503254864547</v>
      </c>
      <c r="AK24" s="836">
        <v>18361.159260048535</v>
      </c>
      <c r="AL24" s="836">
        <v>18478.611080022081</v>
      </c>
      <c r="AM24" s="1285">
        <v>18596.062899995628</v>
      </c>
      <c r="AN24" s="837">
        <v>18696.7281982969</v>
      </c>
    </row>
    <row r="25" spans="23:40">
      <c r="W25" s="846" t="s">
        <v>1995</v>
      </c>
      <c r="X25" s="844">
        <v>15219.058908040281</v>
      </c>
      <c r="Y25" s="836">
        <v>15549.975156016846</v>
      </c>
      <c r="Z25" s="836">
        <v>15833.222204045749</v>
      </c>
      <c r="AA25" s="836">
        <v>16092.153857513302</v>
      </c>
      <c r="AB25" s="836">
        <v>16335.737663579355</v>
      </c>
      <c r="AC25" s="836">
        <v>16561.247898167723</v>
      </c>
      <c r="AD25" s="836">
        <v>16786.758132756087</v>
      </c>
      <c r="AE25" s="836">
        <v>16984.840245512718</v>
      </c>
      <c r="AF25" s="836">
        <v>17179.499939597226</v>
      </c>
      <c r="AG25" s="836">
        <v>17374.159633681731</v>
      </c>
      <c r="AH25" s="836">
        <v>17568.819327766236</v>
      </c>
      <c r="AI25" s="836">
        <v>17763.479021850737</v>
      </c>
      <c r="AJ25" s="836">
        <v>17958.138715935245</v>
      </c>
      <c r="AK25" s="836">
        <v>18147.802840097505</v>
      </c>
      <c r="AL25" s="836">
        <v>18318.289108119225</v>
      </c>
      <c r="AM25" s="1285">
        <v>18488.775376140951</v>
      </c>
      <c r="AN25" s="837">
        <v>18636.837174128643</v>
      </c>
    </row>
    <row r="26" spans="23:40">
      <c r="W26" s="846" t="s">
        <v>2335</v>
      </c>
      <c r="X26" s="844">
        <v>14784.32699775631</v>
      </c>
      <c r="Y26" s="836">
        <v>15233.50038774848</v>
      </c>
      <c r="Z26" s="836">
        <v>15648.022129924742</v>
      </c>
      <c r="AA26" s="836">
        <v>16029.766707576217</v>
      </c>
      <c r="AB26" s="836">
        <v>16393.816799204676</v>
      </c>
      <c r="AC26" s="836">
        <v>16722.977167617748</v>
      </c>
      <c r="AD26" s="836">
        <v>17039.524529318882</v>
      </c>
      <c r="AE26" s="836">
        <v>17305.818692171651</v>
      </c>
      <c r="AF26" s="836">
        <v>17533.298435259039</v>
      </c>
      <c r="AG26" s="836">
        <v>17753.802592044161</v>
      </c>
      <c r="AH26" s="836">
        <v>17898.152557758713</v>
      </c>
      <c r="AI26" s="836">
        <v>18042.502523473271</v>
      </c>
      <c r="AJ26" s="836">
        <v>18178.283216725617</v>
      </c>
      <c r="AK26" s="836">
        <v>18284.037214374221</v>
      </c>
      <c r="AL26" s="836">
        <v>18389.791212022817</v>
      </c>
      <c r="AM26" s="1285">
        <v>18495.545209671418</v>
      </c>
      <c r="AN26" s="837">
        <v>18569.834931823982</v>
      </c>
    </row>
    <row r="27" spans="23:40">
      <c r="W27" s="846" t="s">
        <v>4919</v>
      </c>
      <c r="X27" s="844">
        <v>14871.887411194688</v>
      </c>
      <c r="Y27" s="836">
        <v>15219.021942417714</v>
      </c>
      <c r="Z27" s="836">
        <v>15536.865930733764</v>
      </c>
      <c r="AA27" s="836">
        <v>15812.1417840871</v>
      </c>
      <c r="AB27" s="836">
        <v>16060.903273426738</v>
      </c>
      <c r="AC27" s="836">
        <v>16299.328766369881</v>
      </c>
      <c r="AD27" s="836">
        <v>16516.016238327618</v>
      </c>
      <c r="AE27" s="836">
        <v>16732.703710285354</v>
      </c>
      <c r="AF27" s="836">
        <v>16930.265400081054</v>
      </c>
      <c r="AG27" s="836">
        <v>17117.346086763191</v>
      </c>
      <c r="AH27" s="836">
        <v>17304.426773445321</v>
      </c>
      <c r="AI27" s="836">
        <v>17491.507460127454</v>
      </c>
      <c r="AJ27" s="836">
        <v>17678.588146809587</v>
      </c>
      <c r="AK27" s="836">
        <v>17865.66883349172</v>
      </c>
      <c r="AL27" s="836">
        <v>18052.749520173849</v>
      </c>
      <c r="AM27" s="1285">
        <v>18223.853072232039</v>
      </c>
      <c r="AN27" s="837">
        <v>18387.701516777175</v>
      </c>
    </row>
    <row r="28" spans="23:40">
      <c r="W28" s="846" t="s">
        <v>4926</v>
      </c>
      <c r="X28" s="844">
        <v>14795.922591347664</v>
      </c>
      <c r="Y28" s="836">
        <v>15132.242757572365</v>
      </c>
      <c r="Z28" s="836">
        <v>15455.422564319495</v>
      </c>
      <c r="AA28" s="836">
        <v>15721.791210021858</v>
      </c>
      <c r="AB28" s="836">
        <v>15977.860289088863</v>
      </c>
      <c r="AC28" s="836">
        <v>16216.087449726687</v>
      </c>
      <c r="AD28" s="836">
        <v>16440.997976656494</v>
      </c>
      <c r="AE28" s="836">
        <v>16665.908503586295</v>
      </c>
      <c r="AF28" s="836">
        <v>16864.366280557228</v>
      </c>
      <c r="AG28" s="836">
        <v>17060.515067052696</v>
      </c>
      <c r="AH28" s="836">
        <v>17256.663853548162</v>
      </c>
      <c r="AI28" s="836">
        <v>17452.812640043627</v>
      </c>
      <c r="AJ28" s="836">
        <v>17648.961426539096</v>
      </c>
      <c r="AK28" s="836">
        <v>17845.110213034564</v>
      </c>
      <c r="AL28" s="836">
        <v>18040.718538798115</v>
      </c>
      <c r="AM28" s="1285">
        <v>18212.5089792582</v>
      </c>
      <c r="AN28" s="837">
        <v>18384.299419718282</v>
      </c>
    </row>
    <row r="29" spans="23:40">
      <c r="W29" s="846" t="s">
        <v>2336</v>
      </c>
      <c r="X29" s="844">
        <v>13250.557448932233</v>
      </c>
      <c r="Y29" s="836">
        <v>13710.087631032367</v>
      </c>
      <c r="Z29" s="836">
        <v>14169.617813132505</v>
      </c>
      <c r="AA29" s="836">
        <v>14584.109764124592</v>
      </c>
      <c r="AB29" s="836">
        <v>14985.397309891567</v>
      </c>
      <c r="AC29" s="836">
        <v>15350.336214139859</v>
      </c>
      <c r="AD29" s="836">
        <v>15702.628060359404</v>
      </c>
      <c r="AE29" s="836">
        <v>16024.106107216299</v>
      </c>
      <c r="AF29" s="836">
        <v>16340.184859003532</v>
      </c>
      <c r="AG29" s="836">
        <v>16620.75856949206</v>
      </c>
      <c r="AH29" s="836">
        <v>16901.332279980594</v>
      </c>
      <c r="AI29" s="836">
        <v>17129.359463741432</v>
      </c>
      <c r="AJ29" s="836">
        <v>17333.237543539279</v>
      </c>
      <c r="AK29" s="836">
        <v>17537.115623337118</v>
      </c>
      <c r="AL29" s="836">
        <v>17677.377492095187</v>
      </c>
      <c r="AM29" s="1285">
        <v>17809.672983248387</v>
      </c>
      <c r="AN29" s="837">
        <v>17941.968474401587</v>
      </c>
    </row>
    <row r="30" spans="23:40">
      <c r="W30" s="846" t="s">
        <v>4927</v>
      </c>
      <c r="X30" s="844">
        <v>13189.948913820879</v>
      </c>
      <c r="Y30" s="836">
        <v>13648.535961312875</v>
      </c>
      <c r="Z30" s="836">
        <v>14092.005071186628</v>
      </c>
      <c r="AA30" s="836">
        <v>14503.365527335956</v>
      </c>
      <c r="AB30" s="836">
        <v>14886.588790262953</v>
      </c>
      <c r="AC30" s="836">
        <v>15253.208265140289</v>
      </c>
      <c r="AD30" s="836">
        <v>15588.613731473864</v>
      </c>
      <c r="AE30" s="836">
        <v>15912.977835149861</v>
      </c>
      <c r="AF30" s="836">
        <v>16212.993555243347</v>
      </c>
      <c r="AG30" s="836">
        <v>16497.587897788679</v>
      </c>
      <c r="AH30" s="836">
        <v>16767.101603656807</v>
      </c>
      <c r="AI30" s="836">
        <v>16977.127644082142</v>
      </c>
      <c r="AJ30" s="836">
        <v>17187.153684507477</v>
      </c>
      <c r="AK30" s="836">
        <v>17366.003017330091</v>
      </c>
      <c r="AL30" s="836">
        <v>17506.431975776763</v>
      </c>
      <c r="AM30" s="1285">
        <v>17646.860934223434</v>
      </c>
      <c r="AN30" s="837">
        <v>17778.567163829986</v>
      </c>
    </row>
  </sheetData>
  <autoFilter ref="W3:AN30" xr:uid="{ECDB2633-C732-4FD5-8A55-1E5A58E8D0D9}">
    <sortState ref="W5:AN30">
      <sortCondition descending="1" ref="AN3:AN30"/>
    </sortState>
  </autoFilter>
  <mergeCells count="2">
    <mergeCell ref="X2:AN2"/>
    <mergeCell ref="W2:W3"/>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2FBB-04DA-43B3-89C2-18032DE75DD7}">
  <dimension ref="Q1:AB1584"/>
  <sheetViews>
    <sheetView topLeftCell="A13" workbookViewId="0">
      <selection activeCell="R24" sqref="R24"/>
    </sheetView>
  </sheetViews>
  <sheetFormatPr defaultRowHeight="16.5"/>
  <cols>
    <col min="1" max="16" width="9" style="1077"/>
    <col min="17" max="17" width="13.25" style="1077" bestFit="1" customWidth="1"/>
    <col min="18" max="19" width="9" style="1077"/>
    <col min="20" max="22" width="6.25" style="1077" bestFit="1" customWidth="1"/>
    <col min="23" max="23" width="6.375" style="1077" customWidth="1"/>
    <col min="24" max="24" width="9" style="1077"/>
    <col min="25" max="28" width="9" style="1307"/>
    <col min="29" max="16384" width="9" style="1077"/>
  </cols>
  <sheetData>
    <row r="1" spans="17:28" ht="17.25" thickBot="1"/>
    <row r="2" spans="17:28">
      <c r="Q2" s="1674" t="s">
        <v>4986</v>
      </c>
      <c r="R2" s="1675"/>
      <c r="S2" s="1299"/>
      <c r="T2" s="2" t="s">
        <v>132</v>
      </c>
      <c r="U2" s="2" t="s">
        <v>133</v>
      </c>
      <c r="V2" s="2" t="s">
        <v>134</v>
      </c>
      <c r="W2" s="2" t="s">
        <v>3223</v>
      </c>
    </row>
    <row r="3" spans="17:28">
      <c r="Q3" s="1301" t="s">
        <v>264</v>
      </c>
      <c r="R3" s="581"/>
      <c r="S3" s="1299"/>
      <c r="T3" s="1077">
        <v>10</v>
      </c>
      <c r="U3" s="1077">
        <f>100-T3-V3</f>
        <v>55</v>
      </c>
      <c r="V3" s="1077">
        <v>35</v>
      </c>
      <c r="W3" s="1077">
        <f t="array" ref="W3">SUMPRODUCT(IF('卡片raw data'!BM$1:BM$1000=T3,1,0),IF('卡片raw data'!BO$1:BO$1000=V3,1,0),IF(IF('卡片raw data'!C$1:C$1000=R$3,1,0)+IF(R$3="",1,0)&gt;=1,1,0),IF(IF('卡片raw data'!D$1:D$1000=R$4,1,0)+IF(R$4="",1,0)&gt;=1,1,0),IF(IF('卡片raw data'!E$1:E$1000=R$5,1,0)+IF(R$5="",1,0)&gt;=1,1,0))</f>
        <v>0</v>
      </c>
      <c r="Y3" s="1307">
        <f>V3</f>
        <v>35</v>
      </c>
      <c r="Z3" s="1307">
        <f>IF(AND(V3&gt;U3,V3&gt;T3),W3,0)</f>
        <v>0</v>
      </c>
      <c r="AA3" s="1307">
        <f>V3</f>
        <v>35</v>
      </c>
      <c r="AB3" s="1307">
        <f>W3-Z3</f>
        <v>0</v>
      </c>
    </row>
    <row r="4" spans="17:28">
      <c r="Q4" s="9" t="s">
        <v>19</v>
      </c>
      <c r="R4" s="1300"/>
      <c r="S4" s="1299"/>
      <c r="T4" s="1077">
        <v>10</v>
      </c>
      <c r="U4" s="1077">
        <f t="shared" ref="U4:U67" si="0">100-T4-V4</f>
        <v>54</v>
      </c>
      <c r="V4" s="1077">
        <v>36</v>
      </c>
      <c r="W4" s="1077">
        <f t="array" ref="W4">SUMPRODUCT(IF('卡片raw data'!BM$1:BM$1000=T4,1,0),IF('卡片raw data'!BO$1:BO$1000=V4,1,0),IF(IF('卡片raw data'!C$1:C$1000=R$3,1,0)+IF(R$3="",1,0)&gt;=1,1,0),IF(IF('卡片raw data'!D$1:D$1000=R$4,1,0)+IF(R$4="",1,0)&gt;=1,1,0),IF(IF('卡片raw data'!E$1:E$1000=R$5,1,0)+IF(R$5="",1,0)&gt;=1,1,0))</f>
        <v>0</v>
      </c>
      <c r="Y4" s="1307">
        <f t="shared" ref="Y4:Y67" si="1">V4</f>
        <v>36</v>
      </c>
      <c r="Z4" s="1307">
        <f t="shared" ref="Z4:Z67" si="2">IF(AND(V4&gt;U4,V4&gt;T4),W4,0)</f>
        <v>0</v>
      </c>
      <c r="AA4" s="1307">
        <f t="shared" ref="AA4:AA67" si="3">V4</f>
        <v>36</v>
      </c>
      <c r="AB4" s="1307">
        <f t="shared" ref="AB4:AB67" si="4">W4-Z4</f>
        <v>0</v>
      </c>
    </row>
    <row r="5" spans="17:28" ht="17.25" thickBot="1">
      <c r="Q5" s="10" t="s">
        <v>4987</v>
      </c>
      <c r="R5" s="1304"/>
      <c r="S5" s="1299"/>
      <c r="T5" s="1077">
        <v>10</v>
      </c>
      <c r="U5" s="1077">
        <f t="shared" si="0"/>
        <v>53</v>
      </c>
      <c r="V5" s="1077">
        <v>37</v>
      </c>
      <c r="W5" s="1077">
        <f t="array" ref="W5">SUMPRODUCT(IF('卡片raw data'!BM$1:BM$1000=T5,1,0),IF('卡片raw data'!BO$1:BO$1000=V5,1,0),IF(IF('卡片raw data'!C$1:C$1000=R$3,1,0)+IF(R$3="",1,0)&gt;=1,1,0),IF(IF('卡片raw data'!D$1:D$1000=R$4,1,0)+IF(R$4="",1,0)&gt;=1,1,0),IF(IF('卡片raw data'!E$1:E$1000=R$5,1,0)+IF(R$5="",1,0)&gt;=1,1,0))</f>
        <v>0</v>
      </c>
      <c r="Y5" s="1307">
        <f t="shared" si="1"/>
        <v>37</v>
      </c>
      <c r="Z5" s="1307">
        <f t="shared" si="2"/>
        <v>0</v>
      </c>
      <c r="AA5" s="1307">
        <f t="shared" si="3"/>
        <v>37</v>
      </c>
      <c r="AB5" s="1307">
        <f t="shared" si="4"/>
        <v>0</v>
      </c>
    </row>
    <row r="6" spans="17:28" ht="17.25" thickBot="1">
      <c r="Q6" s="1305" t="s">
        <v>4988</v>
      </c>
      <c r="R6" s="1306">
        <v>26</v>
      </c>
      <c r="S6" s="1299"/>
      <c r="T6" s="1077">
        <v>10</v>
      </c>
      <c r="U6" s="1077">
        <f t="shared" si="0"/>
        <v>52</v>
      </c>
      <c r="V6" s="1077">
        <v>38</v>
      </c>
      <c r="W6" s="1077">
        <f t="array" ref="W6">SUMPRODUCT(IF('卡片raw data'!BM$1:BM$1000=T6,1,0),IF('卡片raw data'!BO$1:BO$1000=V6,1,0),IF(IF('卡片raw data'!C$1:C$1000=R$3,1,0)+IF(R$3="",1,0)&gt;=1,1,0),IF(IF('卡片raw data'!D$1:D$1000=R$4,1,0)+IF(R$4="",1,0)&gt;=1,1,0),IF(IF('卡片raw data'!E$1:E$1000=R$5,1,0)+IF(R$5="",1,0)&gt;=1,1,0))</f>
        <v>0</v>
      </c>
      <c r="Y6" s="1307">
        <f t="shared" si="1"/>
        <v>38</v>
      </c>
      <c r="Z6" s="1307">
        <f t="shared" si="2"/>
        <v>0</v>
      </c>
      <c r="AA6" s="1307">
        <f t="shared" si="3"/>
        <v>38</v>
      </c>
      <c r="AB6" s="1307">
        <f t="shared" si="4"/>
        <v>0</v>
      </c>
    </row>
    <row r="7" spans="17:28">
      <c r="T7" s="1077">
        <v>10</v>
      </c>
      <c r="U7" s="1077">
        <f t="shared" si="0"/>
        <v>51</v>
      </c>
      <c r="V7" s="1077">
        <v>39</v>
      </c>
      <c r="W7" s="1077">
        <f t="array" ref="W7">SUMPRODUCT(IF('卡片raw data'!BM$1:BM$1000=T7,1,0),IF('卡片raw data'!BO$1:BO$1000=V7,1,0),IF(IF('卡片raw data'!C$1:C$1000=R$3,1,0)+IF(R$3="",1,0)&gt;=1,1,0),IF(IF('卡片raw data'!D$1:D$1000=R$4,1,0)+IF(R$4="",1,0)&gt;=1,1,0),IF(IF('卡片raw data'!E$1:E$1000=R$5,1,0)+IF(R$5="",1,0)&gt;=1,1,0))</f>
        <v>0</v>
      </c>
      <c r="Y7" s="1307">
        <f t="shared" si="1"/>
        <v>39</v>
      </c>
      <c r="Z7" s="1307">
        <f t="shared" si="2"/>
        <v>0</v>
      </c>
      <c r="AA7" s="1307">
        <f t="shared" si="3"/>
        <v>39</v>
      </c>
      <c r="AB7" s="1307">
        <f t="shared" si="4"/>
        <v>0</v>
      </c>
    </row>
    <row r="8" spans="17:28">
      <c r="T8" s="1077">
        <v>10</v>
      </c>
      <c r="U8" s="1077">
        <f t="shared" si="0"/>
        <v>50</v>
      </c>
      <c r="V8" s="1077">
        <v>40</v>
      </c>
      <c r="W8" s="1077">
        <f t="array" ref="W8">SUMPRODUCT(IF('卡片raw data'!BM$1:BM$1000=T8,1,0),IF('卡片raw data'!BO$1:BO$1000=V8,1,0),IF(IF('卡片raw data'!C$1:C$1000=R$3,1,0)+IF(R$3="",1,0)&gt;=1,1,0),IF(IF('卡片raw data'!D$1:D$1000=R$4,1,0)+IF(R$4="",1,0)&gt;=1,1,0),IF(IF('卡片raw data'!E$1:E$1000=R$5,1,0)+IF(R$5="",1,0)&gt;=1,1,0))</f>
        <v>0</v>
      </c>
      <c r="Y8" s="1307">
        <f t="shared" si="1"/>
        <v>40</v>
      </c>
      <c r="Z8" s="1307">
        <f t="shared" si="2"/>
        <v>0</v>
      </c>
      <c r="AA8" s="1307">
        <f t="shared" si="3"/>
        <v>40</v>
      </c>
      <c r="AB8" s="1307">
        <f t="shared" si="4"/>
        <v>0</v>
      </c>
    </row>
    <row r="9" spans="17:28">
      <c r="T9" s="1077">
        <v>10</v>
      </c>
      <c r="U9" s="1077">
        <f t="shared" si="0"/>
        <v>49</v>
      </c>
      <c r="V9" s="1077">
        <v>41</v>
      </c>
      <c r="W9" s="1077">
        <f t="array" ref="W9">SUMPRODUCT(IF('卡片raw data'!BM$1:BM$1000=T9,1,0),IF('卡片raw data'!BO$1:BO$1000=V9,1,0),IF(IF('卡片raw data'!C$1:C$1000=R$3,1,0)+IF(R$3="",1,0)&gt;=1,1,0),IF(IF('卡片raw data'!D$1:D$1000=R$4,1,0)+IF(R$4="",1,0)&gt;=1,1,0),IF(IF('卡片raw data'!E$1:E$1000=R$5,1,0)+IF(R$5="",1,0)&gt;=1,1,0))</f>
        <v>0</v>
      </c>
      <c r="Y9" s="1307">
        <f t="shared" si="1"/>
        <v>41</v>
      </c>
      <c r="Z9" s="1307">
        <f t="shared" si="2"/>
        <v>0</v>
      </c>
      <c r="AA9" s="1307">
        <f t="shared" si="3"/>
        <v>41</v>
      </c>
      <c r="AB9" s="1307">
        <f t="shared" si="4"/>
        <v>0</v>
      </c>
    </row>
    <row r="10" spans="17:28">
      <c r="T10" s="1077">
        <v>10</v>
      </c>
      <c r="U10" s="1077">
        <f t="shared" si="0"/>
        <v>48</v>
      </c>
      <c r="V10" s="1077">
        <v>42</v>
      </c>
      <c r="W10" s="1077">
        <f t="array" ref="W10">SUMPRODUCT(IF('卡片raw data'!BM$1:BM$1000=T10,1,0),IF('卡片raw data'!BO$1:BO$1000=V10,1,0),IF(IF('卡片raw data'!C$1:C$1000=R$3,1,0)+IF(R$3="",1,0)&gt;=1,1,0),IF(IF('卡片raw data'!D$1:D$1000=R$4,1,0)+IF(R$4="",1,0)&gt;=1,1,0),IF(IF('卡片raw data'!E$1:E$1000=R$5,1,0)+IF(R$5="",1,0)&gt;=1,1,0))</f>
        <v>0</v>
      </c>
      <c r="Y10" s="1307">
        <f t="shared" si="1"/>
        <v>42</v>
      </c>
      <c r="Z10" s="1307">
        <f t="shared" si="2"/>
        <v>0</v>
      </c>
      <c r="AA10" s="1307">
        <f t="shared" si="3"/>
        <v>42</v>
      </c>
      <c r="AB10" s="1307">
        <f t="shared" si="4"/>
        <v>0</v>
      </c>
    </row>
    <row r="11" spans="17:28">
      <c r="T11" s="1077">
        <v>10</v>
      </c>
      <c r="U11" s="1077">
        <f t="shared" si="0"/>
        <v>47</v>
      </c>
      <c r="V11" s="1077">
        <v>43</v>
      </c>
      <c r="W11" s="1077">
        <f t="array" ref="W11">SUMPRODUCT(IF('卡片raw data'!BM$1:BM$1000=T11,1,0),IF('卡片raw data'!BO$1:BO$1000=V11,1,0),IF(IF('卡片raw data'!C$1:C$1000=R$3,1,0)+IF(R$3="",1,0)&gt;=1,1,0),IF(IF('卡片raw data'!D$1:D$1000=R$4,1,0)+IF(R$4="",1,0)&gt;=1,1,0),IF(IF('卡片raw data'!E$1:E$1000=R$5,1,0)+IF(R$5="",1,0)&gt;=1,1,0))</f>
        <v>0</v>
      </c>
      <c r="Y11" s="1307">
        <f t="shared" si="1"/>
        <v>43</v>
      </c>
      <c r="Z11" s="1307">
        <f t="shared" si="2"/>
        <v>0</v>
      </c>
      <c r="AA11" s="1307">
        <f t="shared" si="3"/>
        <v>43</v>
      </c>
      <c r="AB11" s="1307">
        <f t="shared" si="4"/>
        <v>0</v>
      </c>
    </row>
    <row r="12" spans="17:28">
      <c r="T12" s="1077">
        <v>10</v>
      </c>
      <c r="U12" s="1077">
        <f t="shared" si="0"/>
        <v>46</v>
      </c>
      <c r="V12" s="1077">
        <v>44</v>
      </c>
      <c r="W12" s="1077">
        <f t="array" ref="W12">SUMPRODUCT(IF('卡片raw data'!BM$1:BM$1000=T12,1,0),IF('卡片raw data'!BO$1:BO$1000=V12,1,0),IF(IF('卡片raw data'!C$1:C$1000=R$3,1,0)+IF(R$3="",1,0)&gt;=1,1,0),IF(IF('卡片raw data'!D$1:D$1000=R$4,1,0)+IF(R$4="",1,0)&gt;=1,1,0),IF(IF('卡片raw data'!E$1:E$1000=R$5,1,0)+IF(R$5="",1,0)&gt;=1,1,0))</f>
        <v>0</v>
      </c>
      <c r="Y12" s="1307">
        <f t="shared" si="1"/>
        <v>44</v>
      </c>
      <c r="Z12" s="1307">
        <f t="shared" si="2"/>
        <v>0</v>
      </c>
      <c r="AA12" s="1307">
        <f t="shared" si="3"/>
        <v>44</v>
      </c>
      <c r="AB12" s="1307">
        <f t="shared" si="4"/>
        <v>0</v>
      </c>
    </row>
    <row r="13" spans="17:28">
      <c r="T13" s="1077">
        <v>10</v>
      </c>
      <c r="U13" s="1077">
        <f t="shared" si="0"/>
        <v>45</v>
      </c>
      <c r="V13" s="1077">
        <v>45</v>
      </c>
      <c r="W13" s="1077">
        <f t="array" ref="W13">SUMPRODUCT(IF('卡片raw data'!BM$1:BM$1000=T13,1,0),IF('卡片raw data'!BO$1:BO$1000=V13,1,0),IF(IF('卡片raw data'!C$1:C$1000=R$3,1,0)+IF(R$3="",1,0)&gt;=1,1,0),IF(IF('卡片raw data'!D$1:D$1000=R$4,1,0)+IF(R$4="",1,0)&gt;=1,1,0),IF(IF('卡片raw data'!E$1:E$1000=R$5,1,0)+IF(R$5="",1,0)&gt;=1,1,0))</f>
        <v>0</v>
      </c>
      <c r="Y13" s="1307">
        <f t="shared" si="1"/>
        <v>45</v>
      </c>
      <c r="Z13" s="1307">
        <f t="shared" si="2"/>
        <v>0</v>
      </c>
      <c r="AA13" s="1307">
        <f t="shared" si="3"/>
        <v>45</v>
      </c>
      <c r="AB13" s="1307">
        <f t="shared" si="4"/>
        <v>0</v>
      </c>
    </row>
    <row r="14" spans="17:28">
      <c r="T14" s="1077">
        <v>10</v>
      </c>
      <c r="U14" s="1077">
        <f t="shared" si="0"/>
        <v>44</v>
      </c>
      <c r="V14" s="1077">
        <v>46</v>
      </c>
      <c r="W14" s="1077">
        <f t="array" ref="W14">SUMPRODUCT(IF('卡片raw data'!BM$1:BM$1000=T14,1,0),IF('卡片raw data'!BO$1:BO$1000=V14,1,0),IF(IF('卡片raw data'!C$1:C$1000=R$3,1,0)+IF(R$3="",1,0)&gt;=1,1,0),IF(IF('卡片raw data'!D$1:D$1000=R$4,1,0)+IF(R$4="",1,0)&gt;=1,1,0),IF(IF('卡片raw data'!E$1:E$1000=R$5,1,0)+IF(R$5="",1,0)&gt;=1,1,0))</f>
        <v>0</v>
      </c>
      <c r="Y14" s="1307">
        <f t="shared" si="1"/>
        <v>46</v>
      </c>
      <c r="Z14" s="1307">
        <f t="shared" si="2"/>
        <v>0</v>
      </c>
      <c r="AA14" s="1307">
        <f t="shared" si="3"/>
        <v>46</v>
      </c>
      <c r="AB14" s="1307">
        <f t="shared" si="4"/>
        <v>0</v>
      </c>
    </row>
    <row r="15" spans="17:28">
      <c r="T15" s="1077">
        <v>10</v>
      </c>
      <c r="U15" s="1077">
        <f t="shared" si="0"/>
        <v>43</v>
      </c>
      <c r="V15" s="1077">
        <v>47</v>
      </c>
      <c r="W15" s="1077">
        <f t="array" ref="W15">SUMPRODUCT(IF('卡片raw data'!BM$1:BM$1000=T15,1,0),IF('卡片raw data'!BO$1:BO$1000=V15,1,0),IF(IF('卡片raw data'!C$1:C$1000=R$3,1,0)+IF(R$3="",1,0)&gt;=1,1,0),IF(IF('卡片raw data'!D$1:D$1000=R$4,1,0)+IF(R$4="",1,0)&gt;=1,1,0),IF(IF('卡片raw data'!E$1:E$1000=R$5,1,0)+IF(R$5="",1,0)&gt;=1,1,0))</f>
        <v>0</v>
      </c>
      <c r="Y15" s="1307">
        <f t="shared" si="1"/>
        <v>47</v>
      </c>
      <c r="Z15" s="1307">
        <f t="shared" si="2"/>
        <v>0</v>
      </c>
      <c r="AA15" s="1307">
        <f t="shared" si="3"/>
        <v>47</v>
      </c>
      <c r="AB15" s="1307">
        <f t="shared" si="4"/>
        <v>0</v>
      </c>
    </row>
    <row r="16" spans="17:28">
      <c r="T16" s="1077">
        <v>10</v>
      </c>
      <c r="U16" s="1077">
        <f t="shared" si="0"/>
        <v>42</v>
      </c>
      <c r="V16" s="1077">
        <v>48</v>
      </c>
      <c r="W16" s="1077">
        <f t="array" ref="W16">SUMPRODUCT(IF('卡片raw data'!BM$1:BM$1000=T16,1,0),IF('卡片raw data'!BO$1:BO$1000=V16,1,0),IF(IF('卡片raw data'!C$1:C$1000=R$3,1,0)+IF(R$3="",1,0)&gt;=1,1,0),IF(IF('卡片raw data'!D$1:D$1000=R$4,1,0)+IF(R$4="",1,0)&gt;=1,1,0),IF(IF('卡片raw data'!E$1:E$1000=R$5,1,0)+IF(R$5="",1,0)&gt;=1,1,0))</f>
        <v>0</v>
      </c>
      <c r="Y16" s="1307">
        <f t="shared" si="1"/>
        <v>48</v>
      </c>
      <c r="Z16" s="1307">
        <f t="shared" si="2"/>
        <v>0</v>
      </c>
      <c r="AA16" s="1307">
        <f t="shared" si="3"/>
        <v>48</v>
      </c>
      <c r="AB16" s="1307">
        <f t="shared" si="4"/>
        <v>0</v>
      </c>
    </row>
    <row r="17" spans="20:28">
      <c r="T17" s="1077">
        <v>10</v>
      </c>
      <c r="U17" s="1077">
        <f t="shared" si="0"/>
        <v>41</v>
      </c>
      <c r="V17" s="1077">
        <v>49</v>
      </c>
      <c r="W17" s="1077">
        <f t="array" ref="W17">SUMPRODUCT(IF('卡片raw data'!BM$1:BM$1000=T17,1,0),IF('卡片raw data'!BO$1:BO$1000=V17,1,0),IF(IF('卡片raw data'!C$1:C$1000=R$3,1,0)+IF(R$3="",1,0)&gt;=1,1,0),IF(IF('卡片raw data'!D$1:D$1000=R$4,1,0)+IF(R$4="",1,0)&gt;=1,1,0),IF(IF('卡片raw data'!E$1:E$1000=R$5,1,0)+IF(R$5="",1,0)&gt;=1,1,0))</f>
        <v>0</v>
      </c>
      <c r="Y17" s="1307">
        <f t="shared" si="1"/>
        <v>49</v>
      </c>
      <c r="Z17" s="1307">
        <f t="shared" si="2"/>
        <v>0</v>
      </c>
      <c r="AA17" s="1307">
        <f t="shared" si="3"/>
        <v>49</v>
      </c>
      <c r="AB17" s="1307">
        <f t="shared" si="4"/>
        <v>0</v>
      </c>
    </row>
    <row r="18" spans="20:28">
      <c r="T18" s="1077">
        <v>10</v>
      </c>
      <c r="U18" s="1077">
        <f t="shared" si="0"/>
        <v>40</v>
      </c>
      <c r="V18" s="1077">
        <v>50</v>
      </c>
      <c r="W18" s="1077">
        <f t="array" ref="W18">SUMPRODUCT(IF('卡片raw data'!BM$1:BM$1000=T18,1,0),IF('卡片raw data'!BO$1:BO$1000=V18,1,0),IF(IF('卡片raw data'!C$1:C$1000=R$3,1,0)+IF(R$3="",1,0)&gt;=1,1,0),IF(IF('卡片raw data'!D$1:D$1000=R$4,1,0)+IF(R$4="",1,0)&gt;=1,1,0),IF(IF('卡片raw data'!E$1:E$1000=R$5,1,0)+IF(R$5="",1,0)&gt;=1,1,0))</f>
        <v>0</v>
      </c>
      <c r="Y18" s="1307">
        <f t="shared" si="1"/>
        <v>50</v>
      </c>
      <c r="Z18" s="1307">
        <f t="shared" si="2"/>
        <v>0</v>
      </c>
      <c r="AA18" s="1307">
        <f t="shared" si="3"/>
        <v>50</v>
      </c>
      <c r="AB18" s="1307">
        <f t="shared" si="4"/>
        <v>0</v>
      </c>
    </row>
    <row r="19" spans="20:28">
      <c r="T19" s="1077">
        <v>10</v>
      </c>
      <c r="U19" s="1077">
        <f t="shared" si="0"/>
        <v>39</v>
      </c>
      <c r="V19" s="1077">
        <v>51</v>
      </c>
      <c r="W19" s="1077">
        <f t="array" ref="W19">SUMPRODUCT(IF('卡片raw data'!BM$1:BM$1000=T19,1,0),IF('卡片raw data'!BO$1:BO$1000=V19,1,0),IF(IF('卡片raw data'!C$1:C$1000=R$3,1,0)+IF(R$3="",1,0)&gt;=1,1,0),IF(IF('卡片raw data'!D$1:D$1000=R$4,1,0)+IF(R$4="",1,0)&gt;=1,1,0),IF(IF('卡片raw data'!E$1:E$1000=R$5,1,0)+IF(R$5="",1,0)&gt;=1,1,0))</f>
        <v>0</v>
      </c>
      <c r="Y19" s="1307">
        <f t="shared" si="1"/>
        <v>51</v>
      </c>
      <c r="Z19" s="1307">
        <f t="shared" si="2"/>
        <v>0</v>
      </c>
      <c r="AA19" s="1307">
        <f t="shared" si="3"/>
        <v>51</v>
      </c>
      <c r="AB19" s="1307">
        <f t="shared" si="4"/>
        <v>0</v>
      </c>
    </row>
    <row r="20" spans="20:28">
      <c r="T20" s="1077">
        <v>10</v>
      </c>
      <c r="U20" s="1077">
        <f t="shared" si="0"/>
        <v>38</v>
      </c>
      <c r="V20" s="1077">
        <v>52</v>
      </c>
      <c r="W20" s="1077">
        <f t="array" ref="W20">SUMPRODUCT(IF('卡片raw data'!BM$1:BM$1000=T20,1,0),IF('卡片raw data'!BO$1:BO$1000=V20,1,0),IF(IF('卡片raw data'!C$1:C$1000=R$3,1,0)+IF(R$3="",1,0)&gt;=1,1,0),IF(IF('卡片raw data'!D$1:D$1000=R$4,1,0)+IF(R$4="",1,0)&gt;=1,1,0),IF(IF('卡片raw data'!E$1:E$1000=R$5,1,0)+IF(R$5="",1,0)&gt;=1,1,0))</f>
        <v>0</v>
      </c>
      <c r="Y20" s="1307">
        <f t="shared" si="1"/>
        <v>52</v>
      </c>
      <c r="Z20" s="1307">
        <f t="shared" si="2"/>
        <v>0</v>
      </c>
      <c r="AA20" s="1307">
        <f t="shared" si="3"/>
        <v>52</v>
      </c>
      <c r="AB20" s="1307">
        <f t="shared" si="4"/>
        <v>0</v>
      </c>
    </row>
    <row r="21" spans="20:28">
      <c r="T21" s="1077">
        <v>10</v>
      </c>
      <c r="U21" s="1077">
        <f t="shared" si="0"/>
        <v>37</v>
      </c>
      <c r="V21" s="1077">
        <v>53</v>
      </c>
      <c r="W21" s="1077">
        <f t="array" ref="W21">SUMPRODUCT(IF('卡片raw data'!BM$1:BM$1000=T21,1,0),IF('卡片raw data'!BO$1:BO$1000=V21,1,0),IF(IF('卡片raw data'!C$1:C$1000=R$3,1,0)+IF(R$3="",1,0)&gt;=1,1,0),IF(IF('卡片raw data'!D$1:D$1000=R$4,1,0)+IF(R$4="",1,0)&gt;=1,1,0),IF(IF('卡片raw data'!E$1:E$1000=R$5,1,0)+IF(R$5="",1,0)&gt;=1,1,0))</f>
        <v>0</v>
      </c>
      <c r="Y21" s="1307">
        <f t="shared" si="1"/>
        <v>53</v>
      </c>
      <c r="Z21" s="1307">
        <f t="shared" si="2"/>
        <v>0</v>
      </c>
      <c r="AA21" s="1307">
        <f t="shared" si="3"/>
        <v>53</v>
      </c>
      <c r="AB21" s="1307">
        <f t="shared" si="4"/>
        <v>0</v>
      </c>
    </row>
    <row r="22" spans="20:28">
      <c r="T22" s="1077">
        <v>10</v>
      </c>
      <c r="U22" s="1077">
        <f t="shared" si="0"/>
        <v>36</v>
      </c>
      <c r="V22" s="1077">
        <v>54</v>
      </c>
      <c r="W22" s="1077">
        <f t="array" ref="W22">SUMPRODUCT(IF('卡片raw data'!BM$1:BM$1000=T22,1,0),IF('卡片raw data'!BO$1:BO$1000=V22,1,0),IF(IF('卡片raw data'!C$1:C$1000=R$3,1,0)+IF(R$3="",1,0)&gt;=1,1,0),IF(IF('卡片raw data'!D$1:D$1000=R$4,1,0)+IF(R$4="",1,0)&gt;=1,1,0),IF(IF('卡片raw data'!E$1:E$1000=R$5,1,0)+IF(R$5="",1,0)&gt;=1,1,0))</f>
        <v>0</v>
      </c>
      <c r="Y22" s="1307">
        <f t="shared" si="1"/>
        <v>54</v>
      </c>
      <c r="Z22" s="1307">
        <f t="shared" si="2"/>
        <v>0</v>
      </c>
      <c r="AA22" s="1307">
        <f t="shared" si="3"/>
        <v>54</v>
      </c>
      <c r="AB22" s="1307">
        <f t="shared" si="4"/>
        <v>0</v>
      </c>
    </row>
    <row r="23" spans="20:28">
      <c r="T23" s="1077">
        <v>10</v>
      </c>
      <c r="U23" s="1077">
        <f t="shared" si="0"/>
        <v>35</v>
      </c>
      <c r="V23" s="1077">
        <v>55</v>
      </c>
      <c r="W23" s="1077">
        <f t="array" ref="W23">SUMPRODUCT(IF('卡片raw data'!BM$1:BM$1000=T23,1,0),IF('卡片raw data'!BO$1:BO$1000=V23,1,0),IF(IF('卡片raw data'!C$1:C$1000=R$3,1,0)+IF(R$3="",1,0)&gt;=1,1,0),IF(IF('卡片raw data'!D$1:D$1000=R$4,1,0)+IF(R$4="",1,0)&gt;=1,1,0),IF(IF('卡片raw data'!E$1:E$1000=R$5,1,0)+IF(R$5="",1,0)&gt;=1,1,0))</f>
        <v>0</v>
      </c>
      <c r="Y23" s="1307">
        <f t="shared" si="1"/>
        <v>55</v>
      </c>
      <c r="Z23" s="1307">
        <f t="shared" si="2"/>
        <v>0</v>
      </c>
      <c r="AA23" s="1307">
        <f t="shared" si="3"/>
        <v>55</v>
      </c>
      <c r="AB23" s="1307">
        <f t="shared" si="4"/>
        <v>0</v>
      </c>
    </row>
    <row r="24" spans="20:28">
      <c r="T24" s="1077">
        <v>11</v>
      </c>
      <c r="U24" s="1077">
        <f t="shared" si="0"/>
        <v>55</v>
      </c>
      <c r="V24" s="1077">
        <v>34</v>
      </c>
      <c r="W24" s="1077">
        <f t="array" ref="W24">SUMPRODUCT(IF('卡片raw data'!BM$1:BM$1000=T24,1,0),IF('卡片raw data'!BO$1:BO$1000=V24,1,0),IF(IF('卡片raw data'!C$1:C$1000=R$3,1,0)+IF(R$3="",1,0)&gt;=1,1,0),IF(IF('卡片raw data'!D$1:D$1000=R$4,1,0)+IF(R$4="",1,0)&gt;=1,1,0),IF(IF('卡片raw data'!E$1:E$1000=R$5,1,0)+IF(R$5="",1,0)&gt;=1,1,0))</f>
        <v>0</v>
      </c>
      <c r="Y24" s="1307">
        <f t="shared" si="1"/>
        <v>34</v>
      </c>
      <c r="Z24" s="1307">
        <f t="shared" si="2"/>
        <v>0</v>
      </c>
      <c r="AA24" s="1307">
        <f t="shared" si="3"/>
        <v>34</v>
      </c>
      <c r="AB24" s="1307">
        <f t="shared" si="4"/>
        <v>0</v>
      </c>
    </row>
    <row r="25" spans="20:28">
      <c r="T25" s="1077">
        <v>11</v>
      </c>
      <c r="U25" s="1077">
        <f t="shared" si="0"/>
        <v>54</v>
      </c>
      <c r="V25" s="1077">
        <v>35</v>
      </c>
      <c r="W25" s="1077">
        <f t="array" ref="W25">SUMPRODUCT(IF('卡片raw data'!BM$1:BM$1000=T25,1,0),IF('卡片raw data'!BO$1:BO$1000=V25,1,0),IF(IF('卡片raw data'!C$1:C$1000=R$3,1,0)+IF(R$3="",1,0)&gt;=1,1,0),IF(IF('卡片raw data'!D$1:D$1000=R$4,1,0)+IF(R$4="",1,0)&gt;=1,1,0),IF(IF('卡片raw data'!E$1:E$1000=R$5,1,0)+IF(R$5="",1,0)&gt;=1,1,0))</f>
        <v>0</v>
      </c>
      <c r="Y25" s="1307">
        <f t="shared" si="1"/>
        <v>35</v>
      </c>
      <c r="Z25" s="1307">
        <f t="shared" si="2"/>
        <v>0</v>
      </c>
      <c r="AA25" s="1307">
        <f t="shared" si="3"/>
        <v>35</v>
      </c>
      <c r="AB25" s="1307">
        <f t="shared" si="4"/>
        <v>0</v>
      </c>
    </row>
    <row r="26" spans="20:28">
      <c r="T26" s="1077">
        <v>11</v>
      </c>
      <c r="U26" s="1077">
        <f t="shared" si="0"/>
        <v>53</v>
      </c>
      <c r="V26" s="1077">
        <v>36</v>
      </c>
      <c r="W26" s="1077">
        <f t="array" ref="W26">SUMPRODUCT(IF('卡片raw data'!BM$1:BM$1000=T26,1,0),IF('卡片raw data'!BO$1:BO$1000=V26,1,0),IF(IF('卡片raw data'!C$1:C$1000=R$3,1,0)+IF(R$3="",1,0)&gt;=1,1,0),IF(IF('卡片raw data'!D$1:D$1000=R$4,1,0)+IF(R$4="",1,0)&gt;=1,1,0),IF(IF('卡片raw data'!E$1:E$1000=R$5,1,0)+IF(R$5="",1,0)&gt;=1,1,0))</f>
        <v>0</v>
      </c>
      <c r="Y26" s="1307">
        <f t="shared" si="1"/>
        <v>36</v>
      </c>
      <c r="Z26" s="1307">
        <f t="shared" si="2"/>
        <v>0</v>
      </c>
      <c r="AA26" s="1307">
        <f t="shared" si="3"/>
        <v>36</v>
      </c>
      <c r="AB26" s="1307">
        <f t="shared" si="4"/>
        <v>0</v>
      </c>
    </row>
    <row r="27" spans="20:28">
      <c r="T27" s="1077">
        <v>11</v>
      </c>
      <c r="U27" s="1077">
        <f t="shared" si="0"/>
        <v>52</v>
      </c>
      <c r="V27" s="1077">
        <v>37</v>
      </c>
      <c r="W27" s="1077">
        <f t="array" ref="W27">SUMPRODUCT(IF('卡片raw data'!BM$1:BM$1000=T27,1,0),IF('卡片raw data'!BO$1:BO$1000=V27,1,0),IF(IF('卡片raw data'!C$1:C$1000=R$3,1,0)+IF(R$3="",1,0)&gt;=1,1,0),IF(IF('卡片raw data'!D$1:D$1000=R$4,1,0)+IF(R$4="",1,0)&gt;=1,1,0),IF(IF('卡片raw data'!E$1:E$1000=R$5,1,0)+IF(R$5="",1,0)&gt;=1,1,0))</f>
        <v>0</v>
      </c>
      <c r="Y27" s="1307">
        <f t="shared" si="1"/>
        <v>37</v>
      </c>
      <c r="Z27" s="1307">
        <f t="shared" si="2"/>
        <v>0</v>
      </c>
      <c r="AA27" s="1307">
        <f t="shared" si="3"/>
        <v>37</v>
      </c>
      <c r="AB27" s="1307">
        <f t="shared" si="4"/>
        <v>0</v>
      </c>
    </row>
    <row r="28" spans="20:28">
      <c r="T28" s="1077">
        <v>11</v>
      </c>
      <c r="U28" s="1077">
        <f t="shared" si="0"/>
        <v>51</v>
      </c>
      <c r="V28" s="1077">
        <v>38</v>
      </c>
      <c r="W28" s="1077">
        <f t="array" ref="W28">SUMPRODUCT(IF('卡片raw data'!BM$1:BM$1000=T28,1,0),IF('卡片raw data'!BO$1:BO$1000=V28,1,0),IF(IF('卡片raw data'!C$1:C$1000=R$3,1,0)+IF(R$3="",1,0)&gt;=1,1,0),IF(IF('卡片raw data'!D$1:D$1000=R$4,1,0)+IF(R$4="",1,0)&gt;=1,1,0),IF(IF('卡片raw data'!E$1:E$1000=R$5,1,0)+IF(R$5="",1,0)&gt;=1,1,0))</f>
        <v>0</v>
      </c>
      <c r="Y28" s="1307">
        <f t="shared" si="1"/>
        <v>38</v>
      </c>
      <c r="Z28" s="1307">
        <f t="shared" si="2"/>
        <v>0</v>
      </c>
      <c r="AA28" s="1307">
        <f t="shared" si="3"/>
        <v>38</v>
      </c>
      <c r="AB28" s="1307">
        <f t="shared" si="4"/>
        <v>0</v>
      </c>
    </row>
    <row r="29" spans="20:28">
      <c r="T29" s="1077">
        <v>11</v>
      </c>
      <c r="U29" s="1077">
        <f t="shared" si="0"/>
        <v>50</v>
      </c>
      <c r="V29" s="1077">
        <v>39</v>
      </c>
      <c r="W29" s="1077">
        <f t="array" ref="W29">SUMPRODUCT(IF('卡片raw data'!BM$1:BM$1000=T29,1,0),IF('卡片raw data'!BO$1:BO$1000=V29,1,0),IF(IF('卡片raw data'!C$1:C$1000=R$3,1,0)+IF(R$3="",1,0)&gt;=1,1,0),IF(IF('卡片raw data'!D$1:D$1000=R$4,1,0)+IF(R$4="",1,0)&gt;=1,1,0),IF(IF('卡片raw data'!E$1:E$1000=R$5,1,0)+IF(R$5="",1,0)&gt;=1,1,0))</f>
        <v>0</v>
      </c>
      <c r="Y29" s="1307">
        <f t="shared" si="1"/>
        <v>39</v>
      </c>
      <c r="Z29" s="1307">
        <f t="shared" si="2"/>
        <v>0</v>
      </c>
      <c r="AA29" s="1307">
        <f t="shared" si="3"/>
        <v>39</v>
      </c>
      <c r="AB29" s="1307">
        <f t="shared" si="4"/>
        <v>0</v>
      </c>
    </row>
    <row r="30" spans="20:28">
      <c r="T30" s="1077">
        <v>11</v>
      </c>
      <c r="U30" s="1077">
        <f t="shared" si="0"/>
        <v>49</v>
      </c>
      <c r="V30" s="1077">
        <v>40</v>
      </c>
      <c r="W30" s="1077">
        <f t="array" ref="W30">SUMPRODUCT(IF('卡片raw data'!BM$1:BM$1000=T30,1,0),IF('卡片raw data'!BO$1:BO$1000=V30,1,0),IF(IF('卡片raw data'!C$1:C$1000=R$3,1,0)+IF(R$3="",1,0)&gt;=1,1,0),IF(IF('卡片raw data'!D$1:D$1000=R$4,1,0)+IF(R$4="",1,0)&gt;=1,1,0),IF(IF('卡片raw data'!E$1:E$1000=R$5,1,0)+IF(R$5="",1,0)&gt;=1,1,0))</f>
        <v>0</v>
      </c>
      <c r="Y30" s="1307">
        <f t="shared" si="1"/>
        <v>40</v>
      </c>
      <c r="Z30" s="1307">
        <f t="shared" si="2"/>
        <v>0</v>
      </c>
      <c r="AA30" s="1307">
        <f t="shared" si="3"/>
        <v>40</v>
      </c>
      <c r="AB30" s="1307">
        <f t="shared" si="4"/>
        <v>0</v>
      </c>
    </row>
    <row r="31" spans="20:28">
      <c r="T31" s="1077">
        <v>11</v>
      </c>
      <c r="U31" s="1077">
        <f t="shared" si="0"/>
        <v>48</v>
      </c>
      <c r="V31" s="1077">
        <v>41</v>
      </c>
      <c r="W31" s="1077">
        <f t="array" ref="W31">SUMPRODUCT(IF('卡片raw data'!BM$1:BM$1000=T31,1,0),IF('卡片raw data'!BO$1:BO$1000=V31,1,0),IF(IF('卡片raw data'!C$1:C$1000=R$3,1,0)+IF(R$3="",1,0)&gt;=1,1,0),IF(IF('卡片raw data'!D$1:D$1000=R$4,1,0)+IF(R$4="",1,0)&gt;=1,1,0),IF(IF('卡片raw data'!E$1:E$1000=R$5,1,0)+IF(R$5="",1,0)&gt;=1,1,0))</f>
        <v>0</v>
      </c>
      <c r="Y31" s="1307">
        <f t="shared" si="1"/>
        <v>41</v>
      </c>
      <c r="Z31" s="1307">
        <f t="shared" si="2"/>
        <v>0</v>
      </c>
      <c r="AA31" s="1307">
        <f t="shared" si="3"/>
        <v>41</v>
      </c>
      <c r="AB31" s="1307">
        <f t="shared" si="4"/>
        <v>0</v>
      </c>
    </row>
    <row r="32" spans="20:28">
      <c r="T32" s="1077">
        <v>11</v>
      </c>
      <c r="U32" s="1077">
        <f t="shared" si="0"/>
        <v>47</v>
      </c>
      <c r="V32" s="1077">
        <v>42</v>
      </c>
      <c r="W32" s="1077">
        <f t="array" ref="W32">SUMPRODUCT(IF('卡片raw data'!BM$1:BM$1000=T32,1,0),IF('卡片raw data'!BO$1:BO$1000=V32,1,0),IF(IF('卡片raw data'!C$1:C$1000=R$3,1,0)+IF(R$3="",1,0)&gt;=1,1,0),IF(IF('卡片raw data'!D$1:D$1000=R$4,1,0)+IF(R$4="",1,0)&gt;=1,1,0),IF(IF('卡片raw data'!E$1:E$1000=R$5,1,0)+IF(R$5="",1,0)&gt;=1,1,0))</f>
        <v>0</v>
      </c>
      <c r="Y32" s="1307">
        <f t="shared" si="1"/>
        <v>42</v>
      </c>
      <c r="Z32" s="1307">
        <f t="shared" si="2"/>
        <v>0</v>
      </c>
      <c r="AA32" s="1307">
        <f t="shared" si="3"/>
        <v>42</v>
      </c>
      <c r="AB32" s="1307">
        <f t="shared" si="4"/>
        <v>0</v>
      </c>
    </row>
    <row r="33" spans="20:28">
      <c r="T33" s="1077">
        <v>11</v>
      </c>
      <c r="U33" s="1077">
        <f t="shared" si="0"/>
        <v>46</v>
      </c>
      <c r="V33" s="1077">
        <v>43</v>
      </c>
      <c r="W33" s="1077">
        <f t="array" ref="W33">SUMPRODUCT(IF('卡片raw data'!BM$1:BM$1000=T33,1,0),IF('卡片raw data'!BO$1:BO$1000=V33,1,0),IF(IF('卡片raw data'!C$1:C$1000=R$3,1,0)+IF(R$3="",1,0)&gt;=1,1,0),IF(IF('卡片raw data'!D$1:D$1000=R$4,1,0)+IF(R$4="",1,0)&gt;=1,1,0),IF(IF('卡片raw data'!E$1:E$1000=R$5,1,0)+IF(R$5="",1,0)&gt;=1,1,0))</f>
        <v>0</v>
      </c>
      <c r="Y33" s="1307">
        <f t="shared" si="1"/>
        <v>43</v>
      </c>
      <c r="Z33" s="1307">
        <f t="shared" si="2"/>
        <v>0</v>
      </c>
      <c r="AA33" s="1307">
        <f t="shared" si="3"/>
        <v>43</v>
      </c>
      <c r="AB33" s="1307">
        <f t="shared" si="4"/>
        <v>0</v>
      </c>
    </row>
    <row r="34" spans="20:28">
      <c r="T34" s="1077">
        <v>11</v>
      </c>
      <c r="U34" s="1077">
        <f t="shared" si="0"/>
        <v>45</v>
      </c>
      <c r="V34" s="1077">
        <v>44</v>
      </c>
      <c r="W34" s="1077">
        <f t="array" ref="W34">SUMPRODUCT(IF('卡片raw data'!BM$1:BM$1000=T34,1,0),IF('卡片raw data'!BO$1:BO$1000=V34,1,0),IF(IF('卡片raw data'!C$1:C$1000=R$3,1,0)+IF(R$3="",1,0)&gt;=1,1,0),IF(IF('卡片raw data'!D$1:D$1000=R$4,1,0)+IF(R$4="",1,0)&gt;=1,1,0),IF(IF('卡片raw data'!E$1:E$1000=R$5,1,0)+IF(R$5="",1,0)&gt;=1,1,0))</f>
        <v>0</v>
      </c>
      <c r="Y34" s="1307">
        <f t="shared" si="1"/>
        <v>44</v>
      </c>
      <c r="Z34" s="1307">
        <f t="shared" si="2"/>
        <v>0</v>
      </c>
      <c r="AA34" s="1307">
        <f t="shared" si="3"/>
        <v>44</v>
      </c>
      <c r="AB34" s="1307">
        <f t="shared" si="4"/>
        <v>0</v>
      </c>
    </row>
    <row r="35" spans="20:28">
      <c r="T35" s="1077">
        <v>11</v>
      </c>
      <c r="U35" s="1077">
        <f t="shared" si="0"/>
        <v>44</v>
      </c>
      <c r="V35" s="1077">
        <v>45</v>
      </c>
      <c r="W35" s="1077">
        <f t="array" ref="W35">SUMPRODUCT(IF('卡片raw data'!BM$1:BM$1000=T35,1,0),IF('卡片raw data'!BO$1:BO$1000=V35,1,0),IF(IF('卡片raw data'!C$1:C$1000=R$3,1,0)+IF(R$3="",1,0)&gt;=1,1,0),IF(IF('卡片raw data'!D$1:D$1000=R$4,1,0)+IF(R$4="",1,0)&gt;=1,1,0),IF(IF('卡片raw data'!E$1:E$1000=R$5,1,0)+IF(R$5="",1,0)&gt;=1,1,0))</f>
        <v>0</v>
      </c>
      <c r="Y35" s="1307">
        <f t="shared" si="1"/>
        <v>45</v>
      </c>
      <c r="Z35" s="1307">
        <f t="shared" si="2"/>
        <v>0</v>
      </c>
      <c r="AA35" s="1307">
        <f t="shared" si="3"/>
        <v>45</v>
      </c>
      <c r="AB35" s="1307">
        <f t="shared" si="4"/>
        <v>0</v>
      </c>
    </row>
    <row r="36" spans="20:28">
      <c r="T36" s="1077">
        <v>11</v>
      </c>
      <c r="U36" s="1077">
        <f t="shared" si="0"/>
        <v>43</v>
      </c>
      <c r="V36" s="1077">
        <v>46</v>
      </c>
      <c r="W36" s="1077">
        <f t="array" ref="W36">SUMPRODUCT(IF('卡片raw data'!BM$1:BM$1000=T36,1,0),IF('卡片raw data'!BO$1:BO$1000=V36,1,0),IF(IF('卡片raw data'!C$1:C$1000=R$3,1,0)+IF(R$3="",1,0)&gt;=1,1,0),IF(IF('卡片raw data'!D$1:D$1000=R$4,1,0)+IF(R$4="",1,0)&gt;=1,1,0),IF(IF('卡片raw data'!E$1:E$1000=R$5,1,0)+IF(R$5="",1,0)&gt;=1,1,0))</f>
        <v>0</v>
      </c>
      <c r="Y36" s="1307">
        <f t="shared" si="1"/>
        <v>46</v>
      </c>
      <c r="Z36" s="1307">
        <f t="shared" si="2"/>
        <v>0</v>
      </c>
      <c r="AA36" s="1307">
        <f t="shared" si="3"/>
        <v>46</v>
      </c>
      <c r="AB36" s="1307">
        <f t="shared" si="4"/>
        <v>0</v>
      </c>
    </row>
    <row r="37" spans="20:28">
      <c r="T37" s="1077">
        <v>11</v>
      </c>
      <c r="U37" s="1077">
        <f t="shared" si="0"/>
        <v>42</v>
      </c>
      <c r="V37" s="1077">
        <v>47</v>
      </c>
      <c r="W37" s="1077">
        <f t="array" ref="W37">SUMPRODUCT(IF('卡片raw data'!BM$1:BM$1000=T37,1,0),IF('卡片raw data'!BO$1:BO$1000=V37,1,0),IF(IF('卡片raw data'!C$1:C$1000=R$3,1,0)+IF(R$3="",1,0)&gt;=1,1,0),IF(IF('卡片raw data'!D$1:D$1000=R$4,1,0)+IF(R$4="",1,0)&gt;=1,1,0),IF(IF('卡片raw data'!E$1:E$1000=R$5,1,0)+IF(R$5="",1,0)&gt;=1,1,0))</f>
        <v>0</v>
      </c>
      <c r="Y37" s="1307">
        <f t="shared" si="1"/>
        <v>47</v>
      </c>
      <c r="Z37" s="1307">
        <f t="shared" si="2"/>
        <v>0</v>
      </c>
      <c r="AA37" s="1307">
        <f t="shared" si="3"/>
        <v>47</v>
      </c>
      <c r="AB37" s="1307">
        <f t="shared" si="4"/>
        <v>0</v>
      </c>
    </row>
    <row r="38" spans="20:28">
      <c r="T38" s="1077">
        <v>11</v>
      </c>
      <c r="U38" s="1077">
        <f t="shared" si="0"/>
        <v>41</v>
      </c>
      <c r="V38" s="1077">
        <v>48</v>
      </c>
      <c r="W38" s="1077">
        <f t="array" ref="W38">SUMPRODUCT(IF('卡片raw data'!BM$1:BM$1000=T38,1,0),IF('卡片raw data'!BO$1:BO$1000=V38,1,0),IF(IF('卡片raw data'!C$1:C$1000=R$3,1,0)+IF(R$3="",1,0)&gt;=1,1,0),IF(IF('卡片raw data'!D$1:D$1000=R$4,1,0)+IF(R$4="",1,0)&gt;=1,1,0),IF(IF('卡片raw data'!E$1:E$1000=R$5,1,0)+IF(R$5="",1,0)&gt;=1,1,0))</f>
        <v>0</v>
      </c>
      <c r="Y38" s="1307">
        <f t="shared" si="1"/>
        <v>48</v>
      </c>
      <c r="Z38" s="1307">
        <f t="shared" si="2"/>
        <v>0</v>
      </c>
      <c r="AA38" s="1307">
        <f t="shared" si="3"/>
        <v>48</v>
      </c>
      <c r="AB38" s="1307">
        <f t="shared" si="4"/>
        <v>0</v>
      </c>
    </row>
    <row r="39" spans="20:28">
      <c r="T39" s="1077">
        <v>11</v>
      </c>
      <c r="U39" s="1077">
        <f t="shared" si="0"/>
        <v>40</v>
      </c>
      <c r="V39" s="1077">
        <v>49</v>
      </c>
      <c r="W39" s="1077">
        <f t="array" ref="W39">SUMPRODUCT(IF('卡片raw data'!BM$1:BM$1000=T39,1,0),IF('卡片raw data'!BO$1:BO$1000=V39,1,0),IF(IF('卡片raw data'!C$1:C$1000=R$3,1,0)+IF(R$3="",1,0)&gt;=1,1,0),IF(IF('卡片raw data'!D$1:D$1000=R$4,1,0)+IF(R$4="",1,0)&gt;=1,1,0),IF(IF('卡片raw data'!E$1:E$1000=R$5,1,0)+IF(R$5="",1,0)&gt;=1,1,0))</f>
        <v>0</v>
      </c>
      <c r="Y39" s="1307">
        <f t="shared" si="1"/>
        <v>49</v>
      </c>
      <c r="Z39" s="1307">
        <f t="shared" si="2"/>
        <v>0</v>
      </c>
      <c r="AA39" s="1307">
        <f t="shared" si="3"/>
        <v>49</v>
      </c>
      <c r="AB39" s="1307">
        <f t="shared" si="4"/>
        <v>0</v>
      </c>
    </row>
    <row r="40" spans="20:28">
      <c r="T40" s="1077">
        <v>11</v>
      </c>
      <c r="U40" s="1077">
        <f t="shared" si="0"/>
        <v>39</v>
      </c>
      <c r="V40" s="1077">
        <v>50</v>
      </c>
      <c r="W40" s="1077">
        <f t="array" ref="W40">SUMPRODUCT(IF('卡片raw data'!BM$1:BM$1000=T40,1,0),IF('卡片raw data'!BO$1:BO$1000=V40,1,0),IF(IF('卡片raw data'!C$1:C$1000=R$3,1,0)+IF(R$3="",1,0)&gt;=1,1,0),IF(IF('卡片raw data'!D$1:D$1000=R$4,1,0)+IF(R$4="",1,0)&gt;=1,1,0),IF(IF('卡片raw data'!E$1:E$1000=R$5,1,0)+IF(R$5="",1,0)&gt;=1,1,0))</f>
        <v>0</v>
      </c>
      <c r="Y40" s="1307">
        <f t="shared" si="1"/>
        <v>50</v>
      </c>
      <c r="Z40" s="1307">
        <f t="shared" si="2"/>
        <v>0</v>
      </c>
      <c r="AA40" s="1307">
        <f t="shared" si="3"/>
        <v>50</v>
      </c>
      <c r="AB40" s="1307">
        <f t="shared" si="4"/>
        <v>0</v>
      </c>
    </row>
    <row r="41" spans="20:28">
      <c r="T41" s="1077">
        <v>11</v>
      </c>
      <c r="U41" s="1077">
        <f t="shared" si="0"/>
        <v>38</v>
      </c>
      <c r="V41" s="1077">
        <v>51</v>
      </c>
      <c r="W41" s="1077">
        <f t="array" ref="W41">SUMPRODUCT(IF('卡片raw data'!BM$1:BM$1000=T41,1,0),IF('卡片raw data'!BO$1:BO$1000=V41,1,0),IF(IF('卡片raw data'!C$1:C$1000=R$3,1,0)+IF(R$3="",1,0)&gt;=1,1,0),IF(IF('卡片raw data'!D$1:D$1000=R$4,1,0)+IF(R$4="",1,0)&gt;=1,1,0),IF(IF('卡片raw data'!E$1:E$1000=R$5,1,0)+IF(R$5="",1,0)&gt;=1,1,0))</f>
        <v>0</v>
      </c>
      <c r="Y41" s="1307">
        <f t="shared" si="1"/>
        <v>51</v>
      </c>
      <c r="Z41" s="1307">
        <f t="shared" si="2"/>
        <v>0</v>
      </c>
      <c r="AA41" s="1307">
        <f t="shared" si="3"/>
        <v>51</v>
      </c>
      <c r="AB41" s="1307">
        <f t="shared" si="4"/>
        <v>0</v>
      </c>
    </row>
    <row r="42" spans="20:28">
      <c r="T42" s="1077">
        <v>11</v>
      </c>
      <c r="U42" s="1077">
        <f t="shared" si="0"/>
        <v>37</v>
      </c>
      <c r="V42" s="1077">
        <v>52</v>
      </c>
      <c r="W42" s="1077">
        <f t="array" ref="W42">SUMPRODUCT(IF('卡片raw data'!BM$1:BM$1000=T42,1,0),IF('卡片raw data'!BO$1:BO$1000=V42,1,0),IF(IF('卡片raw data'!C$1:C$1000=R$3,1,0)+IF(R$3="",1,0)&gt;=1,1,0),IF(IF('卡片raw data'!D$1:D$1000=R$4,1,0)+IF(R$4="",1,0)&gt;=1,1,0),IF(IF('卡片raw data'!E$1:E$1000=R$5,1,0)+IF(R$5="",1,0)&gt;=1,1,0))</f>
        <v>0</v>
      </c>
      <c r="Y42" s="1307">
        <f t="shared" si="1"/>
        <v>52</v>
      </c>
      <c r="Z42" s="1307">
        <f t="shared" si="2"/>
        <v>0</v>
      </c>
      <c r="AA42" s="1307">
        <f t="shared" si="3"/>
        <v>52</v>
      </c>
      <c r="AB42" s="1307">
        <f t="shared" si="4"/>
        <v>0</v>
      </c>
    </row>
    <row r="43" spans="20:28">
      <c r="T43" s="1077">
        <v>11</v>
      </c>
      <c r="U43" s="1077">
        <f t="shared" si="0"/>
        <v>36</v>
      </c>
      <c r="V43" s="1077">
        <v>53</v>
      </c>
      <c r="W43" s="1077">
        <f t="array" ref="W43">SUMPRODUCT(IF('卡片raw data'!BM$1:BM$1000=T43,1,0),IF('卡片raw data'!BO$1:BO$1000=V43,1,0),IF(IF('卡片raw data'!C$1:C$1000=R$3,1,0)+IF(R$3="",1,0)&gt;=1,1,0),IF(IF('卡片raw data'!D$1:D$1000=R$4,1,0)+IF(R$4="",1,0)&gt;=1,1,0),IF(IF('卡片raw data'!E$1:E$1000=R$5,1,0)+IF(R$5="",1,0)&gt;=1,1,0))</f>
        <v>0</v>
      </c>
      <c r="Y43" s="1307">
        <f t="shared" si="1"/>
        <v>53</v>
      </c>
      <c r="Z43" s="1307">
        <f t="shared" si="2"/>
        <v>0</v>
      </c>
      <c r="AA43" s="1307">
        <f t="shared" si="3"/>
        <v>53</v>
      </c>
      <c r="AB43" s="1307">
        <f t="shared" si="4"/>
        <v>0</v>
      </c>
    </row>
    <row r="44" spans="20:28">
      <c r="T44" s="1077">
        <v>11</v>
      </c>
      <c r="U44" s="1077">
        <f t="shared" si="0"/>
        <v>35</v>
      </c>
      <c r="V44" s="1077">
        <v>54</v>
      </c>
      <c r="W44" s="1077">
        <f t="array" ref="W44">SUMPRODUCT(IF('卡片raw data'!BM$1:BM$1000=T44,1,0),IF('卡片raw data'!BO$1:BO$1000=V44,1,0),IF(IF('卡片raw data'!C$1:C$1000=R$3,1,0)+IF(R$3="",1,0)&gt;=1,1,0),IF(IF('卡片raw data'!D$1:D$1000=R$4,1,0)+IF(R$4="",1,0)&gt;=1,1,0),IF(IF('卡片raw data'!E$1:E$1000=R$5,1,0)+IF(R$5="",1,0)&gt;=1,1,0))</f>
        <v>0</v>
      </c>
      <c r="Y44" s="1307">
        <f t="shared" si="1"/>
        <v>54</v>
      </c>
      <c r="Z44" s="1307">
        <f t="shared" si="2"/>
        <v>0</v>
      </c>
      <c r="AA44" s="1307">
        <f t="shared" si="3"/>
        <v>54</v>
      </c>
      <c r="AB44" s="1307">
        <f t="shared" si="4"/>
        <v>0</v>
      </c>
    </row>
    <row r="45" spans="20:28">
      <c r="T45" s="1077">
        <v>11</v>
      </c>
      <c r="U45" s="1077">
        <f t="shared" si="0"/>
        <v>34</v>
      </c>
      <c r="V45" s="1077">
        <v>55</v>
      </c>
      <c r="W45" s="1077">
        <f t="array" ref="W45">SUMPRODUCT(IF('卡片raw data'!BM$1:BM$1000=T45,1,0),IF('卡片raw data'!BO$1:BO$1000=V45,1,0),IF(IF('卡片raw data'!C$1:C$1000=R$3,1,0)+IF(R$3="",1,0)&gt;=1,1,0),IF(IF('卡片raw data'!D$1:D$1000=R$4,1,0)+IF(R$4="",1,0)&gt;=1,1,0),IF(IF('卡片raw data'!E$1:E$1000=R$5,1,0)+IF(R$5="",1,0)&gt;=1,1,0))</f>
        <v>0</v>
      </c>
      <c r="Y45" s="1307">
        <f t="shared" si="1"/>
        <v>55</v>
      </c>
      <c r="Z45" s="1307">
        <f t="shared" si="2"/>
        <v>0</v>
      </c>
      <c r="AA45" s="1307">
        <f t="shared" si="3"/>
        <v>55</v>
      </c>
      <c r="AB45" s="1307">
        <f t="shared" si="4"/>
        <v>0</v>
      </c>
    </row>
    <row r="46" spans="20:28">
      <c r="T46" s="1077">
        <v>12</v>
      </c>
      <c r="U46" s="1077">
        <f t="shared" si="0"/>
        <v>55</v>
      </c>
      <c r="V46" s="1077">
        <v>33</v>
      </c>
      <c r="W46" s="1077">
        <f t="array" ref="W46">SUMPRODUCT(IF('卡片raw data'!BM$1:BM$1000=T46,1,0),IF('卡片raw data'!BO$1:BO$1000=V46,1,0),IF(IF('卡片raw data'!C$1:C$1000=R$3,1,0)+IF(R$3="",1,0)&gt;=1,1,0),IF(IF('卡片raw data'!D$1:D$1000=R$4,1,0)+IF(R$4="",1,0)&gt;=1,1,0),IF(IF('卡片raw data'!E$1:E$1000=R$5,1,0)+IF(R$5="",1,0)&gt;=1,1,0))</f>
        <v>0</v>
      </c>
      <c r="Y46" s="1307">
        <f t="shared" si="1"/>
        <v>33</v>
      </c>
      <c r="Z46" s="1307">
        <f t="shared" si="2"/>
        <v>0</v>
      </c>
      <c r="AA46" s="1307">
        <f t="shared" si="3"/>
        <v>33</v>
      </c>
      <c r="AB46" s="1307">
        <f t="shared" si="4"/>
        <v>0</v>
      </c>
    </row>
    <row r="47" spans="20:28">
      <c r="T47" s="1077">
        <v>12</v>
      </c>
      <c r="U47" s="1077">
        <f t="shared" si="0"/>
        <v>54</v>
      </c>
      <c r="V47" s="1077">
        <v>34</v>
      </c>
      <c r="W47" s="1077">
        <f t="array" ref="W47">SUMPRODUCT(IF('卡片raw data'!BM$1:BM$1000=T47,1,0),IF('卡片raw data'!BO$1:BO$1000=V47,1,0),IF(IF('卡片raw data'!C$1:C$1000=R$3,1,0)+IF(R$3="",1,0)&gt;=1,1,0),IF(IF('卡片raw data'!D$1:D$1000=R$4,1,0)+IF(R$4="",1,0)&gt;=1,1,0),IF(IF('卡片raw data'!E$1:E$1000=R$5,1,0)+IF(R$5="",1,0)&gt;=1,1,0))</f>
        <v>0</v>
      </c>
      <c r="Y47" s="1307">
        <f t="shared" si="1"/>
        <v>34</v>
      </c>
      <c r="Z47" s="1307">
        <f t="shared" si="2"/>
        <v>0</v>
      </c>
      <c r="AA47" s="1307">
        <f t="shared" si="3"/>
        <v>34</v>
      </c>
      <c r="AB47" s="1307">
        <f t="shared" si="4"/>
        <v>0</v>
      </c>
    </row>
    <row r="48" spans="20:28">
      <c r="T48" s="1077">
        <v>12</v>
      </c>
      <c r="U48" s="1077">
        <f t="shared" si="0"/>
        <v>53</v>
      </c>
      <c r="V48" s="1077">
        <v>35</v>
      </c>
      <c r="W48" s="1077">
        <f t="array" ref="W48">SUMPRODUCT(IF('卡片raw data'!BM$1:BM$1000=T48,1,0),IF('卡片raw data'!BO$1:BO$1000=V48,1,0),IF(IF('卡片raw data'!C$1:C$1000=R$3,1,0)+IF(R$3="",1,0)&gt;=1,1,0),IF(IF('卡片raw data'!D$1:D$1000=R$4,1,0)+IF(R$4="",1,0)&gt;=1,1,0),IF(IF('卡片raw data'!E$1:E$1000=R$5,1,0)+IF(R$5="",1,0)&gt;=1,1,0))</f>
        <v>0</v>
      </c>
      <c r="Y48" s="1307">
        <f t="shared" si="1"/>
        <v>35</v>
      </c>
      <c r="Z48" s="1307">
        <f t="shared" si="2"/>
        <v>0</v>
      </c>
      <c r="AA48" s="1307">
        <f t="shared" si="3"/>
        <v>35</v>
      </c>
      <c r="AB48" s="1307">
        <f t="shared" si="4"/>
        <v>0</v>
      </c>
    </row>
    <row r="49" spans="20:28">
      <c r="T49" s="1077">
        <v>12</v>
      </c>
      <c r="U49" s="1077">
        <f t="shared" si="0"/>
        <v>52</v>
      </c>
      <c r="V49" s="1077">
        <v>36</v>
      </c>
      <c r="W49" s="1077">
        <f t="array" ref="W49">SUMPRODUCT(IF('卡片raw data'!BM$1:BM$1000=T49,1,0),IF('卡片raw data'!BO$1:BO$1000=V49,1,0),IF(IF('卡片raw data'!C$1:C$1000=R$3,1,0)+IF(R$3="",1,0)&gt;=1,1,0),IF(IF('卡片raw data'!D$1:D$1000=R$4,1,0)+IF(R$4="",1,0)&gt;=1,1,0),IF(IF('卡片raw data'!E$1:E$1000=R$5,1,0)+IF(R$5="",1,0)&gt;=1,1,0))</f>
        <v>0</v>
      </c>
      <c r="Y49" s="1307">
        <f t="shared" si="1"/>
        <v>36</v>
      </c>
      <c r="Z49" s="1307">
        <f t="shared" si="2"/>
        <v>0</v>
      </c>
      <c r="AA49" s="1307">
        <f t="shared" si="3"/>
        <v>36</v>
      </c>
      <c r="AB49" s="1307">
        <f t="shared" si="4"/>
        <v>0</v>
      </c>
    </row>
    <row r="50" spans="20:28">
      <c r="T50" s="1077">
        <v>12</v>
      </c>
      <c r="U50" s="1077">
        <f t="shared" si="0"/>
        <v>51</v>
      </c>
      <c r="V50" s="1077">
        <v>37</v>
      </c>
      <c r="W50" s="1077">
        <f t="array" ref="W50">SUMPRODUCT(IF('卡片raw data'!BM$1:BM$1000=T50,1,0),IF('卡片raw data'!BO$1:BO$1000=V50,1,0),IF(IF('卡片raw data'!C$1:C$1000=R$3,1,0)+IF(R$3="",1,0)&gt;=1,1,0),IF(IF('卡片raw data'!D$1:D$1000=R$4,1,0)+IF(R$4="",1,0)&gt;=1,1,0),IF(IF('卡片raw data'!E$1:E$1000=R$5,1,0)+IF(R$5="",1,0)&gt;=1,1,0))</f>
        <v>0</v>
      </c>
      <c r="Y50" s="1307">
        <f t="shared" si="1"/>
        <v>37</v>
      </c>
      <c r="Z50" s="1307">
        <f t="shared" si="2"/>
        <v>0</v>
      </c>
      <c r="AA50" s="1307">
        <f t="shared" si="3"/>
        <v>37</v>
      </c>
      <c r="AB50" s="1307">
        <f t="shared" si="4"/>
        <v>0</v>
      </c>
    </row>
    <row r="51" spans="20:28">
      <c r="T51" s="1077">
        <v>12</v>
      </c>
      <c r="U51" s="1077">
        <f t="shared" si="0"/>
        <v>50</v>
      </c>
      <c r="V51" s="1077">
        <v>38</v>
      </c>
      <c r="W51" s="1077">
        <f t="array" ref="W51">SUMPRODUCT(IF('卡片raw data'!BM$1:BM$1000=T51,1,0),IF('卡片raw data'!BO$1:BO$1000=V51,1,0),IF(IF('卡片raw data'!C$1:C$1000=R$3,1,0)+IF(R$3="",1,0)&gt;=1,1,0),IF(IF('卡片raw data'!D$1:D$1000=R$4,1,0)+IF(R$4="",1,0)&gt;=1,1,0),IF(IF('卡片raw data'!E$1:E$1000=R$5,1,0)+IF(R$5="",1,0)&gt;=1,1,0))</f>
        <v>0</v>
      </c>
      <c r="Y51" s="1307">
        <f t="shared" si="1"/>
        <v>38</v>
      </c>
      <c r="Z51" s="1307">
        <f t="shared" si="2"/>
        <v>0</v>
      </c>
      <c r="AA51" s="1307">
        <f t="shared" si="3"/>
        <v>38</v>
      </c>
      <c r="AB51" s="1307">
        <f t="shared" si="4"/>
        <v>0</v>
      </c>
    </row>
    <row r="52" spans="20:28">
      <c r="T52" s="1077">
        <v>12</v>
      </c>
      <c r="U52" s="1077">
        <f t="shared" si="0"/>
        <v>49</v>
      </c>
      <c r="V52" s="1077">
        <v>39</v>
      </c>
      <c r="W52" s="1077">
        <f t="array" ref="W52">SUMPRODUCT(IF('卡片raw data'!BM$1:BM$1000=T52,1,0),IF('卡片raw data'!BO$1:BO$1000=V52,1,0),IF(IF('卡片raw data'!C$1:C$1000=R$3,1,0)+IF(R$3="",1,0)&gt;=1,1,0),IF(IF('卡片raw data'!D$1:D$1000=R$4,1,0)+IF(R$4="",1,0)&gt;=1,1,0),IF(IF('卡片raw data'!E$1:E$1000=R$5,1,0)+IF(R$5="",1,0)&gt;=1,1,0))</f>
        <v>0</v>
      </c>
      <c r="Y52" s="1307">
        <f t="shared" si="1"/>
        <v>39</v>
      </c>
      <c r="Z52" s="1307">
        <f t="shared" si="2"/>
        <v>0</v>
      </c>
      <c r="AA52" s="1307">
        <f t="shared" si="3"/>
        <v>39</v>
      </c>
      <c r="AB52" s="1307">
        <f t="shared" si="4"/>
        <v>0</v>
      </c>
    </row>
    <row r="53" spans="20:28">
      <c r="T53" s="1077">
        <v>12</v>
      </c>
      <c r="U53" s="1077">
        <f t="shared" si="0"/>
        <v>48</v>
      </c>
      <c r="V53" s="1077">
        <v>40</v>
      </c>
      <c r="W53" s="1077">
        <f t="array" ref="W53">SUMPRODUCT(IF('卡片raw data'!BM$1:BM$1000=T53,1,0),IF('卡片raw data'!BO$1:BO$1000=V53,1,0),IF(IF('卡片raw data'!C$1:C$1000=R$3,1,0)+IF(R$3="",1,0)&gt;=1,1,0),IF(IF('卡片raw data'!D$1:D$1000=R$4,1,0)+IF(R$4="",1,0)&gt;=1,1,0),IF(IF('卡片raw data'!E$1:E$1000=R$5,1,0)+IF(R$5="",1,0)&gt;=1,1,0))</f>
        <v>0</v>
      </c>
      <c r="Y53" s="1307">
        <f t="shared" si="1"/>
        <v>40</v>
      </c>
      <c r="Z53" s="1307">
        <f t="shared" si="2"/>
        <v>0</v>
      </c>
      <c r="AA53" s="1307">
        <f t="shared" si="3"/>
        <v>40</v>
      </c>
      <c r="AB53" s="1307">
        <f t="shared" si="4"/>
        <v>0</v>
      </c>
    </row>
    <row r="54" spans="20:28">
      <c r="T54" s="1077">
        <v>12</v>
      </c>
      <c r="U54" s="1077">
        <f t="shared" si="0"/>
        <v>47</v>
      </c>
      <c r="V54" s="1077">
        <v>41</v>
      </c>
      <c r="W54" s="1077">
        <f t="array" ref="W54">SUMPRODUCT(IF('卡片raw data'!BM$1:BM$1000=T54,1,0),IF('卡片raw data'!BO$1:BO$1000=V54,1,0),IF(IF('卡片raw data'!C$1:C$1000=R$3,1,0)+IF(R$3="",1,0)&gt;=1,1,0),IF(IF('卡片raw data'!D$1:D$1000=R$4,1,0)+IF(R$4="",1,0)&gt;=1,1,0),IF(IF('卡片raw data'!E$1:E$1000=R$5,1,0)+IF(R$5="",1,0)&gt;=1,1,0))</f>
        <v>0</v>
      </c>
      <c r="Y54" s="1307">
        <f t="shared" si="1"/>
        <v>41</v>
      </c>
      <c r="Z54" s="1307">
        <f t="shared" si="2"/>
        <v>0</v>
      </c>
      <c r="AA54" s="1307">
        <f t="shared" si="3"/>
        <v>41</v>
      </c>
      <c r="AB54" s="1307">
        <f t="shared" si="4"/>
        <v>0</v>
      </c>
    </row>
    <row r="55" spans="20:28">
      <c r="T55" s="1077">
        <v>12</v>
      </c>
      <c r="U55" s="1077">
        <f t="shared" si="0"/>
        <v>46</v>
      </c>
      <c r="V55" s="1077">
        <v>42</v>
      </c>
      <c r="W55" s="1077">
        <f t="array" ref="W55">SUMPRODUCT(IF('卡片raw data'!BM$1:BM$1000=T55,1,0),IF('卡片raw data'!BO$1:BO$1000=V55,1,0),IF(IF('卡片raw data'!C$1:C$1000=R$3,1,0)+IF(R$3="",1,0)&gt;=1,1,0),IF(IF('卡片raw data'!D$1:D$1000=R$4,1,0)+IF(R$4="",1,0)&gt;=1,1,0),IF(IF('卡片raw data'!E$1:E$1000=R$5,1,0)+IF(R$5="",1,0)&gt;=1,1,0))</f>
        <v>0</v>
      </c>
      <c r="Y55" s="1307">
        <f t="shared" si="1"/>
        <v>42</v>
      </c>
      <c r="Z55" s="1307">
        <f t="shared" si="2"/>
        <v>0</v>
      </c>
      <c r="AA55" s="1307">
        <f t="shared" si="3"/>
        <v>42</v>
      </c>
      <c r="AB55" s="1307">
        <f t="shared" si="4"/>
        <v>0</v>
      </c>
    </row>
    <row r="56" spans="20:28">
      <c r="T56" s="1077">
        <v>12</v>
      </c>
      <c r="U56" s="1077">
        <f t="shared" si="0"/>
        <v>45</v>
      </c>
      <c r="V56" s="1077">
        <v>43</v>
      </c>
      <c r="W56" s="1077">
        <f t="array" ref="W56">SUMPRODUCT(IF('卡片raw data'!BM$1:BM$1000=T56,1,0),IF('卡片raw data'!BO$1:BO$1000=V56,1,0),IF(IF('卡片raw data'!C$1:C$1000=R$3,1,0)+IF(R$3="",1,0)&gt;=1,1,0),IF(IF('卡片raw data'!D$1:D$1000=R$4,1,0)+IF(R$4="",1,0)&gt;=1,1,0),IF(IF('卡片raw data'!E$1:E$1000=R$5,1,0)+IF(R$5="",1,0)&gt;=1,1,0))</f>
        <v>0</v>
      </c>
      <c r="Y56" s="1307">
        <f t="shared" si="1"/>
        <v>43</v>
      </c>
      <c r="Z56" s="1307">
        <f t="shared" si="2"/>
        <v>0</v>
      </c>
      <c r="AA56" s="1307">
        <f t="shared" si="3"/>
        <v>43</v>
      </c>
      <c r="AB56" s="1307">
        <f t="shared" si="4"/>
        <v>0</v>
      </c>
    </row>
    <row r="57" spans="20:28">
      <c r="T57" s="1077">
        <v>12</v>
      </c>
      <c r="U57" s="1077">
        <f t="shared" si="0"/>
        <v>44</v>
      </c>
      <c r="V57" s="1077">
        <v>44</v>
      </c>
      <c r="W57" s="1077">
        <f t="array" ref="W57">SUMPRODUCT(IF('卡片raw data'!BM$1:BM$1000=T57,1,0),IF('卡片raw data'!BO$1:BO$1000=V57,1,0),IF(IF('卡片raw data'!C$1:C$1000=R$3,1,0)+IF(R$3="",1,0)&gt;=1,1,0),IF(IF('卡片raw data'!D$1:D$1000=R$4,1,0)+IF(R$4="",1,0)&gt;=1,1,0),IF(IF('卡片raw data'!E$1:E$1000=R$5,1,0)+IF(R$5="",1,0)&gt;=1,1,0))</f>
        <v>0</v>
      </c>
      <c r="Y57" s="1307">
        <f t="shared" si="1"/>
        <v>44</v>
      </c>
      <c r="Z57" s="1307">
        <f t="shared" si="2"/>
        <v>0</v>
      </c>
      <c r="AA57" s="1307">
        <f t="shared" si="3"/>
        <v>44</v>
      </c>
      <c r="AB57" s="1307">
        <f t="shared" si="4"/>
        <v>0</v>
      </c>
    </row>
    <row r="58" spans="20:28">
      <c r="T58" s="1077">
        <v>12</v>
      </c>
      <c r="U58" s="1077">
        <f t="shared" si="0"/>
        <v>43</v>
      </c>
      <c r="V58" s="1077">
        <v>45</v>
      </c>
      <c r="W58" s="1077">
        <f t="array" ref="W58">SUMPRODUCT(IF('卡片raw data'!BM$1:BM$1000=T58,1,0),IF('卡片raw data'!BO$1:BO$1000=V58,1,0),IF(IF('卡片raw data'!C$1:C$1000=R$3,1,0)+IF(R$3="",1,0)&gt;=1,1,0),IF(IF('卡片raw data'!D$1:D$1000=R$4,1,0)+IF(R$4="",1,0)&gt;=1,1,0),IF(IF('卡片raw data'!E$1:E$1000=R$5,1,0)+IF(R$5="",1,0)&gt;=1,1,0))</f>
        <v>0</v>
      </c>
      <c r="Y58" s="1307">
        <f t="shared" si="1"/>
        <v>45</v>
      </c>
      <c r="Z58" s="1307">
        <f t="shared" si="2"/>
        <v>0</v>
      </c>
      <c r="AA58" s="1307">
        <f t="shared" si="3"/>
        <v>45</v>
      </c>
      <c r="AB58" s="1307">
        <f t="shared" si="4"/>
        <v>0</v>
      </c>
    </row>
    <row r="59" spans="20:28">
      <c r="T59" s="1077">
        <v>12</v>
      </c>
      <c r="U59" s="1077">
        <f t="shared" si="0"/>
        <v>42</v>
      </c>
      <c r="V59" s="1077">
        <v>46</v>
      </c>
      <c r="W59" s="1077">
        <f t="array" ref="W59">SUMPRODUCT(IF('卡片raw data'!BM$1:BM$1000=T59,1,0),IF('卡片raw data'!BO$1:BO$1000=V59,1,0),IF(IF('卡片raw data'!C$1:C$1000=R$3,1,0)+IF(R$3="",1,0)&gt;=1,1,0),IF(IF('卡片raw data'!D$1:D$1000=R$4,1,0)+IF(R$4="",1,0)&gt;=1,1,0),IF(IF('卡片raw data'!E$1:E$1000=R$5,1,0)+IF(R$5="",1,0)&gt;=1,1,0))</f>
        <v>0</v>
      </c>
      <c r="Y59" s="1307">
        <f t="shared" si="1"/>
        <v>46</v>
      </c>
      <c r="Z59" s="1307">
        <f t="shared" si="2"/>
        <v>0</v>
      </c>
      <c r="AA59" s="1307">
        <f t="shared" si="3"/>
        <v>46</v>
      </c>
      <c r="AB59" s="1307">
        <f t="shared" si="4"/>
        <v>0</v>
      </c>
    </row>
    <row r="60" spans="20:28">
      <c r="T60" s="1077">
        <v>12</v>
      </c>
      <c r="U60" s="1077">
        <f t="shared" si="0"/>
        <v>41</v>
      </c>
      <c r="V60" s="1077">
        <v>47</v>
      </c>
      <c r="W60" s="1077">
        <f t="array" ref="W60">SUMPRODUCT(IF('卡片raw data'!BM$1:BM$1000=T60,1,0),IF('卡片raw data'!BO$1:BO$1000=V60,1,0),IF(IF('卡片raw data'!C$1:C$1000=R$3,1,0)+IF(R$3="",1,0)&gt;=1,1,0),IF(IF('卡片raw data'!D$1:D$1000=R$4,1,0)+IF(R$4="",1,0)&gt;=1,1,0),IF(IF('卡片raw data'!E$1:E$1000=R$5,1,0)+IF(R$5="",1,0)&gt;=1,1,0))</f>
        <v>0</v>
      </c>
      <c r="Y60" s="1307">
        <f t="shared" si="1"/>
        <v>47</v>
      </c>
      <c r="Z60" s="1307">
        <f t="shared" si="2"/>
        <v>0</v>
      </c>
      <c r="AA60" s="1307">
        <f t="shared" si="3"/>
        <v>47</v>
      </c>
      <c r="AB60" s="1307">
        <f t="shared" si="4"/>
        <v>0</v>
      </c>
    </row>
    <row r="61" spans="20:28">
      <c r="T61" s="1077">
        <v>12</v>
      </c>
      <c r="U61" s="1077">
        <f t="shared" si="0"/>
        <v>40</v>
      </c>
      <c r="V61" s="1077">
        <v>48</v>
      </c>
      <c r="W61" s="1077">
        <f t="array" ref="W61">SUMPRODUCT(IF('卡片raw data'!BM$1:BM$1000=T61,1,0),IF('卡片raw data'!BO$1:BO$1000=V61,1,0),IF(IF('卡片raw data'!C$1:C$1000=R$3,1,0)+IF(R$3="",1,0)&gt;=1,1,0),IF(IF('卡片raw data'!D$1:D$1000=R$4,1,0)+IF(R$4="",1,0)&gt;=1,1,0),IF(IF('卡片raw data'!E$1:E$1000=R$5,1,0)+IF(R$5="",1,0)&gt;=1,1,0))</f>
        <v>0</v>
      </c>
      <c r="Y61" s="1307">
        <f t="shared" si="1"/>
        <v>48</v>
      </c>
      <c r="Z61" s="1307">
        <f t="shared" si="2"/>
        <v>0</v>
      </c>
      <c r="AA61" s="1307">
        <f t="shared" si="3"/>
        <v>48</v>
      </c>
      <c r="AB61" s="1307">
        <f t="shared" si="4"/>
        <v>0</v>
      </c>
    </row>
    <row r="62" spans="20:28">
      <c r="T62" s="1077">
        <v>12</v>
      </c>
      <c r="U62" s="1077">
        <f t="shared" si="0"/>
        <v>39</v>
      </c>
      <c r="V62" s="1077">
        <v>49</v>
      </c>
      <c r="W62" s="1077">
        <f t="array" ref="W62">SUMPRODUCT(IF('卡片raw data'!BM$1:BM$1000=T62,1,0),IF('卡片raw data'!BO$1:BO$1000=V62,1,0),IF(IF('卡片raw data'!C$1:C$1000=R$3,1,0)+IF(R$3="",1,0)&gt;=1,1,0),IF(IF('卡片raw data'!D$1:D$1000=R$4,1,0)+IF(R$4="",1,0)&gt;=1,1,0),IF(IF('卡片raw data'!E$1:E$1000=R$5,1,0)+IF(R$5="",1,0)&gt;=1,1,0))</f>
        <v>0</v>
      </c>
      <c r="Y62" s="1307">
        <f t="shared" si="1"/>
        <v>49</v>
      </c>
      <c r="Z62" s="1307">
        <f t="shared" si="2"/>
        <v>0</v>
      </c>
      <c r="AA62" s="1307">
        <f t="shared" si="3"/>
        <v>49</v>
      </c>
      <c r="AB62" s="1307">
        <f t="shared" si="4"/>
        <v>0</v>
      </c>
    </row>
    <row r="63" spans="20:28">
      <c r="T63" s="1077">
        <v>12</v>
      </c>
      <c r="U63" s="1077">
        <f t="shared" si="0"/>
        <v>38</v>
      </c>
      <c r="V63" s="1077">
        <v>50</v>
      </c>
      <c r="W63" s="1077">
        <f t="array" ref="W63">SUMPRODUCT(IF('卡片raw data'!BM$1:BM$1000=T63,1,0),IF('卡片raw data'!BO$1:BO$1000=V63,1,0),IF(IF('卡片raw data'!C$1:C$1000=R$3,1,0)+IF(R$3="",1,0)&gt;=1,1,0),IF(IF('卡片raw data'!D$1:D$1000=R$4,1,0)+IF(R$4="",1,0)&gt;=1,1,0),IF(IF('卡片raw data'!E$1:E$1000=R$5,1,0)+IF(R$5="",1,0)&gt;=1,1,0))</f>
        <v>0</v>
      </c>
      <c r="Y63" s="1307">
        <f t="shared" si="1"/>
        <v>50</v>
      </c>
      <c r="Z63" s="1307">
        <f t="shared" si="2"/>
        <v>0</v>
      </c>
      <c r="AA63" s="1307">
        <f t="shared" si="3"/>
        <v>50</v>
      </c>
      <c r="AB63" s="1307">
        <f t="shared" si="4"/>
        <v>0</v>
      </c>
    </row>
    <row r="64" spans="20:28">
      <c r="T64" s="1077">
        <v>12</v>
      </c>
      <c r="U64" s="1077">
        <f t="shared" si="0"/>
        <v>37</v>
      </c>
      <c r="V64" s="1077">
        <v>51</v>
      </c>
      <c r="W64" s="1077">
        <f t="array" ref="W64">SUMPRODUCT(IF('卡片raw data'!BM$1:BM$1000=T64,1,0),IF('卡片raw data'!BO$1:BO$1000=V64,1,0),IF(IF('卡片raw data'!C$1:C$1000=R$3,1,0)+IF(R$3="",1,0)&gt;=1,1,0),IF(IF('卡片raw data'!D$1:D$1000=R$4,1,0)+IF(R$4="",1,0)&gt;=1,1,0),IF(IF('卡片raw data'!E$1:E$1000=R$5,1,0)+IF(R$5="",1,0)&gt;=1,1,0))</f>
        <v>0</v>
      </c>
      <c r="Y64" s="1307">
        <f t="shared" si="1"/>
        <v>51</v>
      </c>
      <c r="Z64" s="1307">
        <f t="shared" si="2"/>
        <v>0</v>
      </c>
      <c r="AA64" s="1307">
        <f t="shared" si="3"/>
        <v>51</v>
      </c>
      <c r="AB64" s="1307">
        <f t="shared" si="4"/>
        <v>0</v>
      </c>
    </row>
    <row r="65" spans="20:28">
      <c r="T65" s="1077">
        <v>12</v>
      </c>
      <c r="U65" s="1077">
        <f t="shared" si="0"/>
        <v>36</v>
      </c>
      <c r="V65" s="1077">
        <v>52</v>
      </c>
      <c r="W65" s="1077">
        <f t="array" ref="W65">SUMPRODUCT(IF('卡片raw data'!BM$1:BM$1000=T65,1,0),IF('卡片raw data'!BO$1:BO$1000=V65,1,0),IF(IF('卡片raw data'!C$1:C$1000=R$3,1,0)+IF(R$3="",1,0)&gt;=1,1,0),IF(IF('卡片raw data'!D$1:D$1000=R$4,1,0)+IF(R$4="",1,0)&gt;=1,1,0),IF(IF('卡片raw data'!E$1:E$1000=R$5,1,0)+IF(R$5="",1,0)&gt;=1,1,0))</f>
        <v>0</v>
      </c>
      <c r="Y65" s="1307">
        <f t="shared" si="1"/>
        <v>52</v>
      </c>
      <c r="Z65" s="1307">
        <f t="shared" si="2"/>
        <v>0</v>
      </c>
      <c r="AA65" s="1307">
        <f t="shared" si="3"/>
        <v>52</v>
      </c>
      <c r="AB65" s="1307">
        <f t="shared" si="4"/>
        <v>0</v>
      </c>
    </row>
    <row r="66" spans="20:28">
      <c r="T66" s="1077">
        <v>12</v>
      </c>
      <c r="U66" s="1077">
        <f t="shared" si="0"/>
        <v>35</v>
      </c>
      <c r="V66" s="1077">
        <v>53</v>
      </c>
      <c r="W66" s="1077">
        <f t="array" ref="W66">SUMPRODUCT(IF('卡片raw data'!BM$1:BM$1000=T66,1,0),IF('卡片raw data'!BO$1:BO$1000=V66,1,0),IF(IF('卡片raw data'!C$1:C$1000=R$3,1,0)+IF(R$3="",1,0)&gt;=1,1,0),IF(IF('卡片raw data'!D$1:D$1000=R$4,1,0)+IF(R$4="",1,0)&gt;=1,1,0),IF(IF('卡片raw data'!E$1:E$1000=R$5,1,0)+IF(R$5="",1,0)&gt;=1,1,0))</f>
        <v>0</v>
      </c>
      <c r="Y66" s="1307">
        <f t="shared" si="1"/>
        <v>53</v>
      </c>
      <c r="Z66" s="1307">
        <f t="shared" si="2"/>
        <v>0</v>
      </c>
      <c r="AA66" s="1307">
        <f t="shared" si="3"/>
        <v>53</v>
      </c>
      <c r="AB66" s="1307">
        <f t="shared" si="4"/>
        <v>0</v>
      </c>
    </row>
    <row r="67" spans="20:28">
      <c r="T67" s="1077">
        <v>12</v>
      </c>
      <c r="U67" s="1077">
        <f t="shared" si="0"/>
        <v>34</v>
      </c>
      <c r="V67" s="1077">
        <v>54</v>
      </c>
      <c r="W67" s="1077">
        <f t="array" ref="W67">SUMPRODUCT(IF('卡片raw data'!BM$1:BM$1000=T67,1,0),IF('卡片raw data'!BO$1:BO$1000=V67,1,0),IF(IF('卡片raw data'!C$1:C$1000=R$3,1,0)+IF(R$3="",1,0)&gt;=1,1,0),IF(IF('卡片raw data'!D$1:D$1000=R$4,1,0)+IF(R$4="",1,0)&gt;=1,1,0),IF(IF('卡片raw data'!E$1:E$1000=R$5,1,0)+IF(R$5="",1,0)&gt;=1,1,0))</f>
        <v>0</v>
      </c>
      <c r="Y67" s="1307">
        <f t="shared" si="1"/>
        <v>54</v>
      </c>
      <c r="Z67" s="1307">
        <f t="shared" si="2"/>
        <v>0</v>
      </c>
      <c r="AA67" s="1307">
        <f t="shared" si="3"/>
        <v>54</v>
      </c>
      <c r="AB67" s="1307">
        <f t="shared" si="4"/>
        <v>0</v>
      </c>
    </row>
    <row r="68" spans="20:28">
      <c r="T68" s="1077">
        <v>12</v>
      </c>
      <c r="U68" s="1077">
        <f t="shared" ref="U68:U131" si="5">100-T68-V68</f>
        <v>33</v>
      </c>
      <c r="V68" s="1077">
        <v>55</v>
      </c>
      <c r="W68" s="1077">
        <f t="array" ref="W68">SUMPRODUCT(IF('卡片raw data'!BM$1:BM$1000=T68,1,0),IF('卡片raw data'!BO$1:BO$1000=V68,1,0),IF(IF('卡片raw data'!C$1:C$1000=R$3,1,0)+IF(R$3="",1,0)&gt;=1,1,0),IF(IF('卡片raw data'!D$1:D$1000=R$4,1,0)+IF(R$4="",1,0)&gt;=1,1,0),IF(IF('卡片raw data'!E$1:E$1000=R$5,1,0)+IF(R$5="",1,0)&gt;=1,1,0))</f>
        <v>0</v>
      </c>
      <c r="Y68" s="1307">
        <f t="shared" ref="Y68:Y131" si="6">V68</f>
        <v>55</v>
      </c>
      <c r="Z68" s="1307">
        <f t="shared" ref="Z68:Z131" si="7">IF(AND(V68&gt;U68,V68&gt;T68),W68,0)</f>
        <v>0</v>
      </c>
      <c r="AA68" s="1307">
        <f t="shared" ref="AA68:AA131" si="8">V68</f>
        <v>55</v>
      </c>
      <c r="AB68" s="1307">
        <f t="shared" ref="AB68:AB131" si="9">W68-Z68</f>
        <v>0</v>
      </c>
    </row>
    <row r="69" spans="20:28">
      <c r="T69" s="1077">
        <v>13</v>
      </c>
      <c r="U69" s="1077">
        <f t="shared" si="5"/>
        <v>55</v>
      </c>
      <c r="V69" s="1077">
        <v>32</v>
      </c>
      <c r="W69" s="1077">
        <f t="array" ref="W69">SUMPRODUCT(IF('卡片raw data'!BM$1:BM$1000=T69,1,0),IF('卡片raw data'!BO$1:BO$1000=V69,1,0),IF(IF('卡片raw data'!C$1:C$1000=R$3,1,0)+IF(R$3="",1,0)&gt;=1,1,0),IF(IF('卡片raw data'!D$1:D$1000=R$4,1,0)+IF(R$4="",1,0)&gt;=1,1,0),IF(IF('卡片raw data'!E$1:E$1000=R$5,1,0)+IF(R$5="",1,0)&gt;=1,1,0))</f>
        <v>0</v>
      </c>
      <c r="Y69" s="1307">
        <f t="shared" si="6"/>
        <v>32</v>
      </c>
      <c r="Z69" s="1307">
        <f t="shared" si="7"/>
        <v>0</v>
      </c>
      <c r="AA69" s="1307">
        <f t="shared" si="8"/>
        <v>32</v>
      </c>
      <c r="AB69" s="1307">
        <f t="shared" si="9"/>
        <v>0</v>
      </c>
    </row>
    <row r="70" spans="20:28">
      <c r="T70" s="1077">
        <v>13</v>
      </c>
      <c r="U70" s="1077">
        <f t="shared" si="5"/>
        <v>54</v>
      </c>
      <c r="V70" s="1077">
        <v>33</v>
      </c>
      <c r="W70" s="1077">
        <f t="array" ref="W70">SUMPRODUCT(IF('卡片raw data'!BM$1:BM$1000=T70,1,0),IF('卡片raw data'!BO$1:BO$1000=V70,1,0),IF(IF('卡片raw data'!C$1:C$1000=R$3,1,0)+IF(R$3="",1,0)&gt;=1,1,0),IF(IF('卡片raw data'!D$1:D$1000=R$4,1,0)+IF(R$4="",1,0)&gt;=1,1,0),IF(IF('卡片raw data'!E$1:E$1000=R$5,1,0)+IF(R$5="",1,0)&gt;=1,1,0))</f>
        <v>0</v>
      </c>
      <c r="Y70" s="1307">
        <f t="shared" si="6"/>
        <v>33</v>
      </c>
      <c r="Z70" s="1307">
        <f t="shared" si="7"/>
        <v>0</v>
      </c>
      <c r="AA70" s="1307">
        <f t="shared" si="8"/>
        <v>33</v>
      </c>
      <c r="AB70" s="1307">
        <f t="shared" si="9"/>
        <v>0</v>
      </c>
    </row>
    <row r="71" spans="20:28">
      <c r="T71" s="1077">
        <v>13</v>
      </c>
      <c r="U71" s="1077">
        <f t="shared" si="5"/>
        <v>53</v>
      </c>
      <c r="V71" s="1077">
        <v>34</v>
      </c>
      <c r="W71" s="1077">
        <f t="array" ref="W71">SUMPRODUCT(IF('卡片raw data'!BM$1:BM$1000=T71,1,0),IF('卡片raw data'!BO$1:BO$1000=V71,1,0),IF(IF('卡片raw data'!C$1:C$1000=R$3,1,0)+IF(R$3="",1,0)&gt;=1,1,0),IF(IF('卡片raw data'!D$1:D$1000=R$4,1,0)+IF(R$4="",1,0)&gt;=1,1,0),IF(IF('卡片raw data'!E$1:E$1000=R$5,1,0)+IF(R$5="",1,0)&gt;=1,1,0))</f>
        <v>0</v>
      </c>
      <c r="Y71" s="1307">
        <f t="shared" si="6"/>
        <v>34</v>
      </c>
      <c r="Z71" s="1307">
        <f t="shared" si="7"/>
        <v>0</v>
      </c>
      <c r="AA71" s="1307">
        <f t="shared" si="8"/>
        <v>34</v>
      </c>
      <c r="AB71" s="1307">
        <f t="shared" si="9"/>
        <v>0</v>
      </c>
    </row>
    <row r="72" spans="20:28">
      <c r="T72" s="1077">
        <v>13</v>
      </c>
      <c r="U72" s="1077">
        <f t="shared" si="5"/>
        <v>52</v>
      </c>
      <c r="V72" s="1077">
        <v>35</v>
      </c>
      <c r="W72" s="1077">
        <f t="array" ref="W72">SUMPRODUCT(IF('卡片raw data'!BM$1:BM$1000=T72,1,0),IF('卡片raw data'!BO$1:BO$1000=V72,1,0),IF(IF('卡片raw data'!C$1:C$1000=R$3,1,0)+IF(R$3="",1,0)&gt;=1,1,0),IF(IF('卡片raw data'!D$1:D$1000=R$4,1,0)+IF(R$4="",1,0)&gt;=1,1,0),IF(IF('卡片raw data'!E$1:E$1000=R$5,1,0)+IF(R$5="",1,0)&gt;=1,1,0))</f>
        <v>1</v>
      </c>
      <c r="Y72" s="1307">
        <f t="shared" si="6"/>
        <v>35</v>
      </c>
      <c r="Z72" s="1307">
        <f t="shared" si="7"/>
        <v>0</v>
      </c>
      <c r="AA72" s="1307">
        <f t="shared" si="8"/>
        <v>35</v>
      </c>
      <c r="AB72" s="1307">
        <f t="shared" si="9"/>
        <v>1</v>
      </c>
    </row>
    <row r="73" spans="20:28">
      <c r="T73" s="1077">
        <v>13</v>
      </c>
      <c r="U73" s="1077">
        <f t="shared" si="5"/>
        <v>51</v>
      </c>
      <c r="V73" s="1077">
        <v>36</v>
      </c>
      <c r="W73" s="1077">
        <f t="array" ref="W73">SUMPRODUCT(IF('卡片raw data'!BM$1:BM$1000=T73,1,0),IF('卡片raw data'!BO$1:BO$1000=V73,1,0),IF(IF('卡片raw data'!C$1:C$1000=R$3,1,0)+IF(R$3="",1,0)&gt;=1,1,0),IF(IF('卡片raw data'!D$1:D$1000=R$4,1,0)+IF(R$4="",1,0)&gt;=1,1,0),IF(IF('卡片raw data'!E$1:E$1000=R$5,1,0)+IF(R$5="",1,0)&gt;=1,1,0))</f>
        <v>0</v>
      </c>
      <c r="Y73" s="1307">
        <f t="shared" si="6"/>
        <v>36</v>
      </c>
      <c r="Z73" s="1307">
        <f t="shared" si="7"/>
        <v>0</v>
      </c>
      <c r="AA73" s="1307">
        <f t="shared" si="8"/>
        <v>36</v>
      </c>
      <c r="AB73" s="1307">
        <f t="shared" si="9"/>
        <v>0</v>
      </c>
    </row>
    <row r="74" spans="20:28">
      <c r="T74" s="1077">
        <v>13</v>
      </c>
      <c r="U74" s="1077">
        <f t="shared" si="5"/>
        <v>50</v>
      </c>
      <c r="V74" s="1077">
        <v>37</v>
      </c>
      <c r="W74" s="1077">
        <f t="array" ref="W74">SUMPRODUCT(IF('卡片raw data'!BM$1:BM$1000=T74,1,0),IF('卡片raw data'!BO$1:BO$1000=V74,1,0),IF(IF('卡片raw data'!C$1:C$1000=R$3,1,0)+IF(R$3="",1,0)&gt;=1,1,0),IF(IF('卡片raw data'!D$1:D$1000=R$4,1,0)+IF(R$4="",1,0)&gt;=1,1,0),IF(IF('卡片raw data'!E$1:E$1000=R$5,1,0)+IF(R$5="",1,0)&gt;=1,1,0))</f>
        <v>0</v>
      </c>
      <c r="Y74" s="1307">
        <f t="shared" si="6"/>
        <v>37</v>
      </c>
      <c r="Z74" s="1307">
        <f t="shared" si="7"/>
        <v>0</v>
      </c>
      <c r="AA74" s="1307">
        <f t="shared" si="8"/>
        <v>37</v>
      </c>
      <c r="AB74" s="1307">
        <f t="shared" si="9"/>
        <v>0</v>
      </c>
    </row>
    <row r="75" spans="20:28">
      <c r="T75" s="1077">
        <v>13</v>
      </c>
      <c r="U75" s="1077">
        <f t="shared" si="5"/>
        <v>49</v>
      </c>
      <c r="V75" s="1077">
        <v>38</v>
      </c>
      <c r="W75" s="1077">
        <f t="array" ref="W75">SUMPRODUCT(IF('卡片raw data'!BM$1:BM$1000=T75,1,0),IF('卡片raw data'!BO$1:BO$1000=V75,1,0),IF(IF('卡片raw data'!C$1:C$1000=R$3,1,0)+IF(R$3="",1,0)&gt;=1,1,0),IF(IF('卡片raw data'!D$1:D$1000=R$4,1,0)+IF(R$4="",1,0)&gt;=1,1,0),IF(IF('卡片raw data'!E$1:E$1000=R$5,1,0)+IF(R$5="",1,0)&gt;=1,1,0))</f>
        <v>0</v>
      </c>
      <c r="Y75" s="1307">
        <f t="shared" si="6"/>
        <v>38</v>
      </c>
      <c r="Z75" s="1307">
        <f t="shared" si="7"/>
        <v>0</v>
      </c>
      <c r="AA75" s="1307">
        <f t="shared" si="8"/>
        <v>38</v>
      </c>
      <c r="AB75" s="1307">
        <f t="shared" si="9"/>
        <v>0</v>
      </c>
    </row>
    <row r="76" spans="20:28">
      <c r="T76" s="1077">
        <v>13</v>
      </c>
      <c r="U76" s="1077">
        <f t="shared" si="5"/>
        <v>48</v>
      </c>
      <c r="V76" s="1077">
        <v>39</v>
      </c>
      <c r="W76" s="1077">
        <f t="array" ref="W76">SUMPRODUCT(IF('卡片raw data'!BM$1:BM$1000=T76,1,0),IF('卡片raw data'!BO$1:BO$1000=V76,1,0),IF(IF('卡片raw data'!C$1:C$1000=R$3,1,0)+IF(R$3="",1,0)&gt;=1,1,0),IF(IF('卡片raw data'!D$1:D$1000=R$4,1,0)+IF(R$4="",1,0)&gt;=1,1,0),IF(IF('卡片raw data'!E$1:E$1000=R$5,1,0)+IF(R$5="",1,0)&gt;=1,1,0))</f>
        <v>0</v>
      </c>
      <c r="Y76" s="1307">
        <f t="shared" si="6"/>
        <v>39</v>
      </c>
      <c r="Z76" s="1307">
        <f t="shared" si="7"/>
        <v>0</v>
      </c>
      <c r="AA76" s="1307">
        <f t="shared" si="8"/>
        <v>39</v>
      </c>
      <c r="AB76" s="1307">
        <f t="shared" si="9"/>
        <v>0</v>
      </c>
    </row>
    <row r="77" spans="20:28">
      <c r="T77" s="1077">
        <v>13</v>
      </c>
      <c r="U77" s="1077">
        <f t="shared" si="5"/>
        <v>47</v>
      </c>
      <c r="V77" s="1077">
        <v>40</v>
      </c>
      <c r="W77" s="1077">
        <f t="array" ref="W77">SUMPRODUCT(IF('卡片raw data'!BM$1:BM$1000=T77,1,0),IF('卡片raw data'!BO$1:BO$1000=V77,1,0),IF(IF('卡片raw data'!C$1:C$1000=R$3,1,0)+IF(R$3="",1,0)&gt;=1,1,0),IF(IF('卡片raw data'!D$1:D$1000=R$4,1,0)+IF(R$4="",1,0)&gt;=1,1,0),IF(IF('卡片raw data'!E$1:E$1000=R$5,1,0)+IF(R$5="",1,0)&gt;=1,1,0))</f>
        <v>0</v>
      </c>
      <c r="Y77" s="1307">
        <f t="shared" si="6"/>
        <v>40</v>
      </c>
      <c r="Z77" s="1307">
        <f t="shared" si="7"/>
        <v>0</v>
      </c>
      <c r="AA77" s="1307">
        <f t="shared" si="8"/>
        <v>40</v>
      </c>
      <c r="AB77" s="1307">
        <f t="shared" si="9"/>
        <v>0</v>
      </c>
    </row>
    <row r="78" spans="20:28">
      <c r="T78" s="1077">
        <v>13</v>
      </c>
      <c r="U78" s="1077">
        <f t="shared" si="5"/>
        <v>46</v>
      </c>
      <c r="V78" s="1077">
        <v>41</v>
      </c>
      <c r="W78" s="1077">
        <f t="array" ref="W78">SUMPRODUCT(IF('卡片raw data'!BM$1:BM$1000=T78,1,0),IF('卡片raw data'!BO$1:BO$1000=V78,1,0),IF(IF('卡片raw data'!C$1:C$1000=R$3,1,0)+IF(R$3="",1,0)&gt;=1,1,0),IF(IF('卡片raw data'!D$1:D$1000=R$4,1,0)+IF(R$4="",1,0)&gt;=1,1,0),IF(IF('卡片raw data'!E$1:E$1000=R$5,1,0)+IF(R$5="",1,0)&gt;=1,1,0))</f>
        <v>0</v>
      </c>
      <c r="Y78" s="1307">
        <f t="shared" si="6"/>
        <v>41</v>
      </c>
      <c r="Z78" s="1307">
        <f t="shared" si="7"/>
        <v>0</v>
      </c>
      <c r="AA78" s="1307">
        <f t="shared" si="8"/>
        <v>41</v>
      </c>
      <c r="AB78" s="1307">
        <f t="shared" si="9"/>
        <v>0</v>
      </c>
    </row>
    <row r="79" spans="20:28">
      <c r="T79" s="1077">
        <v>13</v>
      </c>
      <c r="U79" s="1077">
        <f t="shared" si="5"/>
        <v>45</v>
      </c>
      <c r="V79" s="1077">
        <v>42</v>
      </c>
      <c r="W79" s="1077">
        <f t="array" ref="W79">SUMPRODUCT(IF('卡片raw data'!BM$1:BM$1000=T79,1,0),IF('卡片raw data'!BO$1:BO$1000=V79,1,0),IF(IF('卡片raw data'!C$1:C$1000=R$3,1,0)+IF(R$3="",1,0)&gt;=1,1,0),IF(IF('卡片raw data'!D$1:D$1000=R$4,1,0)+IF(R$4="",1,0)&gt;=1,1,0),IF(IF('卡片raw data'!E$1:E$1000=R$5,1,0)+IF(R$5="",1,0)&gt;=1,1,0))</f>
        <v>0</v>
      </c>
      <c r="Y79" s="1307">
        <f t="shared" si="6"/>
        <v>42</v>
      </c>
      <c r="Z79" s="1307">
        <f t="shared" si="7"/>
        <v>0</v>
      </c>
      <c r="AA79" s="1307">
        <f t="shared" si="8"/>
        <v>42</v>
      </c>
      <c r="AB79" s="1307">
        <f t="shared" si="9"/>
        <v>0</v>
      </c>
    </row>
    <row r="80" spans="20:28">
      <c r="T80" s="1077">
        <v>13</v>
      </c>
      <c r="U80" s="1077">
        <f t="shared" si="5"/>
        <v>44</v>
      </c>
      <c r="V80" s="1077">
        <v>43</v>
      </c>
      <c r="W80" s="1077">
        <f t="array" ref="W80">SUMPRODUCT(IF('卡片raw data'!BM$1:BM$1000=T80,1,0),IF('卡片raw data'!BO$1:BO$1000=V80,1,0),IF(IF('卡片raw data'!C$1:C$1000=R$3,1,0)+IF(R$3="",1,0)&gt;=1,1,0),IF(IF('卡片raw data'!D$1:D$1000=R$4,1,0)+IF(R$4="",1,0)&gt;=1,1,0),IF(IF('卡片raw data'!E$1:E$1000=R$5,1,0)+IF(R$5="",1,0)&gt;=1,1,0))</f>
        <v>0</v>
      </c>
      <c r="Y80" s="1307">
        <f t="shared" si="6"/>
        <v>43</v>
      </c>
      <c r="Z80" s="1307">
        <f t="shared" si="7"/>
        <v>0</v>
      </c>
      <c r="AA80" s="1307">
        <f t="shared" si="8"/>
        <v>43</v>
      </c>
      <c r="AB80" s="1307">
        <f t="shared" si="9"/>
        <v>0</v>
      </c>
    </row>
    <row r="81" spans="20:28">
      <c r="T81" s="1077">
        <v>13</v>
      </c>
      <c r="U81" s="1077">
        <f t="shared" si="5"/>
        <v>43</v>
      </c>
      <c r="V81" s="1077">
        <v>44</v>
      </c>
      <c r="W81" s="1077">
        <f t="array" ref="W81">SUMPRODUCT(IF('卡片raw data'!BM$1:BM$1000=T81,1,0),IF('卡片raw data'!BO$1:BO$1000=V81,1,0),IF(IF('卡片raw data'!C$1:C$1000=R$3,1,0)+IF(R$3="",1,0)&gt;=1,1,0),IF(IF('卡片raw data'!D$1:D$1000=R$4,1,0)+IF(R$4="",1,0)&gt;=1,1,0),IF(IF('卡片raw data'!E$1:E$1000=R$5,1,0)+IF(R$5="",1,0)&gt;=1,1,0))</f>
        <v>0</v>
      </c>
      <c r="Y81" s="1307">
        <f t="shared" si="6"/>
        <v>44</v>
      </c>
      <c r="Z81" s="1307">
        <f t="shared" si="7"/>
        <v>0</v>
      </c>
      <c r="AA81" s="1307">
        <f t="shared" si="8"/>
        <v>44</v>
      </c>
      <c r="AB81" s="1307">
        <f t="shared" si="9"/>
        <v>0</v>
      </c>
    </row>
    <row r="82" spans="20:28">
      <c r="T82" s="1077">
        <v>13</v>
      </c>
      <c r="U82" s="1077">
        <f t="shared" si="5"/>
        <v>42</v>
      </c>
      <c r="V82" s="1077">
        <v>45</v>
      </c>
      <c r="W82" s="1077">
        <f t="array" ref="W82">SUMPRODUCT(IF('卡片raw data'!BM$1:BM$1000=T82,1,0),IF('卡片raw data'!BO$1:BO$1000=V82,1,0),IF(IF('卡片raw data'!C$1:C$1000=R$3,1,0)+IF(R$3="",1,0)&gt;=1,1,0),IF(IF('卡片raw data'!D$1:D$1000=R$4,1,0)+IF(R$4="",1,0)&gt;=1,1,0),IF(IF('卡片raw data'!E$1:E$1000=R$5,1,0)+IF(R$5="",1,0)&gt;=1,1,0))</f>
        <v>0</v>
      </c>
      <c r="Y82" s="1307">
        <f t="shared" si="6"/>
        <v>45</v>
      </c>
      <c r="Z82" s="1307">
        <f t="shared" si="7"/>
        <v>0</v>
      </c>
      <c r="AA82" s="1307">
        <f t="shared" si="8"/>
        <v>45</v>
      </c>
      <c r="AB82" s="1307">
        <f t="shared" si="9"/>
        <v>0</v>
      </c>
    </row>
    <row r="83" spans="20:28">
      <c r="T83" s="1077">
        <v>13</v>
      </c>
      <c r="U83" s="1077">
        <f t="shared" si="5"/>
        <v>41</v>
      </c>
      <c r="V83" s="1077">
        <v>46</v>
      </c>
      <c r="W83" s="1077">
        <f t="array" ref="W83">SUMPRODUCT(IF('卡片raw data'!BM$1:BM$1000=T83,1,0),IF('卡片raw data'!BO$1:BO$1000=V83,1,0),IF(IF('卡片raw data'!C$1:C$1000=R$3,1,0)+IF(R$3="",1,0)&gt;=1,1,0),IF(IF('卡片raw data'!D$1:D$1000=R$4,1,0)+IF(R$4="",1,0)&gt;=1,1,0),IF(IF('卡片raw data'!E$1:E$1000=R$5,1,0)+IF(R$5="",1,0)&gt;=1,1,0))</f>
        <v>0</v>
      </c>
      <c r="Y83" s="1307">
        <f t="shared" si="6"/>
        <v>46</v>
      </c>
      <c r="Z83" s="1307">
        <f t="shared" si="7"/>
        <v>0</v>
      </c>
      <c r="AA83" s="1307">
        <f t="shared" si="8"/>
        <v>46</v>
      </c>
      <c r="AB83" s="1307">
        <f t="shared" si="9"/>
        <v>0</v>
      </c>
    </row>
    <row r="84" spans="20:28">
      <c r="T84" s="1077">
        <v>13</v>
      </c>
      <c r="U84" s="1077">
        <f t="shared" si="5"/>
        <v>40</v>
      </c>
      <c r="V84" s="1077">
        <v>47</v>
      </c>
      <c r="W84" s="1077">
        <f t="array" ref="W84">SUMPRODUCT(IF('卡片raw data'!BM$1:BM$1000=T84,1,0),IF('卡片raw data'!BO$1:BO$1000=V84,1,0),IF(IF('卡片raw data'!C$1:C$1000=R$3,1,0)+IF(R$3="",1,0)&gt;=1,1,0),IF(IF('卡片raw data'!D$1:D$1000=R$4,1,0)+IF(R$4="",1,0)&gt;=1,1,0),IF(IF('卡片raw data'!E$1:E$1000=R$5,1,0)+IF(R$5="",1,0)&gt;=1,1,0))</f>
        <v>0</v>
      </c>
      <c r="Y84" s="1307">
        <f t="shared" si="6"/>
        <v>47</v>
      </c>
      <c r="Z84" s="1307">
        <f t="shared" si="7"/>
        <v>0</v>
      </c>
      <c r="AA84" s="1307">
        <f t="shared" si="8"/>
        <v>47</v>
      </c>
      <c r="AB84" s="1307">
        <f t="shared" si="9"/>
        <v>0</v>
      </c>
    </row>
    <row r="85" spans="20:28">
      <c r="T85" s="1077">
        <v>13</v>
      </c>
      <c r="U85" s="1077">
        <f t="shared" si="5"/>
        <v>39</v>
      </c>
      <c r="V85" s="1077">
        <v>48</v>
      </c>
      <c r="W85" s="1077">
        <f t="array" ref="W85">SUMPRODUCT(IF('卡片raw data'!BM$1:BM$1000=T85,1,0),IF('卡片raw data'!BO$1:BO$1000=V85,1,0),IF(IF('卡片raw data'!C$1:C$1000=R$3,1,0)+IF(R$3="",1,0)&gt;=1,1,0),IF(IF('卡片raw data'!D$1:D$1000=R$4,1,0)+IF(R$4="",1,0)&gt;=1,1,0),IF(IF('卡片raw data'!E$1:E$1000=R$5,1,0)+IF(R$5="",1,0)&gt;=1,1,0))</f>
        <v>0</v>
      </c>
      <c r="Y85" s="1307">
        <f t="shared" si="6"/>
        <v>48</v>
      </c>
      <c r="Z85" s="1307">
        <f t="shared" si="7"/>
        <v>0</v>
      </c>
      <c r="AA85" s="1307">
        <f t="shared" si="8"/>
        <v>48</v>
      </c>
      <c r="AB85" s="1307">
        <f t="shared" si="9"/>
        <v>0</v>
      </c>
    </row>
    <row r="86" spans="20:28">
      <c r="T86" s="1077">
        <v>13</v>
      </c>
      <c r="U86" s="1077">
        <f t="shared" si="5"/>
        <v>38</v>
      </c>
      <c r="V86" s="1077">
        <v>49</v>
      </c>
      <c r="W86" s="1077">
        <f t="array" ref="W86">SUMPRODUCT(IF('卡片raw data'!BM$1:BM$1000=T86,1,0),IF('卡片raw data'!BO$1:BO$1000=V86,1,0),IF(IF('卡片raw data'!C$1:C$1000=R$3,1,0)+IF(R$3="",1,0)&gt;=1,1,0),IF(IF('卡片raw data'!D$1:D$1000=R$4,1,0)+IF(R$4="",1,0)&gt;=1,1,0),IF(IF('卡片raw data'!E$1:E$1000=R$5,1,0)+IF(R$5="",1,0)&gt;=1,1,0))</f>
        <v>0</v>
      </c>
      <c r="Y86" s="1307">
        <f t="shared" si="6"/>
        <v>49</v>
      </c>
      <c r="Z86" s="1307">
        <f t="shared" si="7"/>
        <v>0</v>
      </c>
      <c r="AA86" s="1307">
        <f t="shared" si="8"/>
        <v>49</v>
      </c>
      <c r="AB86" s="1307">
        <f t="shared" si="9"/>
        <v>0</v>
      </c>
    </row>
    <row r="87" spans="20:28">
      <c r="T87" s="1077">
        <v>13</v>
      </c>
      <c r="U87" s="1077">
        <f t="shared" si="5"/>
        <v>37</v>
      </c>
      <c r="V87" s="1077">
        <v>50</v>
      </c>
      <c r="W87" s="1077">
        <f t="array" ref="W87">SUMPRODUCT(IF('卡片raw data'!BM$1:BM$1000=T87,1,0),IF('卡片raw data'!BO$1:BO$1000=V87,1,0),IF(IF('卡片raw data'!C$1:C$1000=R$3,1,0)+IF(R$3="",1,0)&gt;=1,1,0),IF(IF('卡片raw data'!D$1:D$1000=R$4,1,0)+IF(R$4="",1,0)&gt;=1,1,0),IF(IF('卡片raw data'!E$1:E$1000=R$5,1,0)+IF(R$5="",1,0)&gt;=1,1,0))</f>
        <v>0</v>
      </c>
      <c r="Y87" s="1307">
        <f t="shared" si="6"/>
        <v>50</v>
      </c>
      <c r="Z87" s="1307">
        <f t="shared" si="7"/>
        <v>0</v>
      </c>
      <c r="AA87" s="1307">
        <f t="shared" si="8"/>
        <v>50</v>
      </c>
      <c r="AB87" s="1307">
        <f t="shared" si="9"/>
        <v>0</v>
      </c>
    </row>
    <row r="88" spans="20:28">
      <c r="T88" s="1077">
        <v>13</v>
      </c>
      <c r="U88" s="1077">
        <f t="shared" si="5"/>
        <v>36</v>
      </c>
      <c r="V88" s="1077">
        <v>51</v>
      </c>
      <c r="W88" s="1077">
        <f t="array" ref="W88">SUMPRODUCT(IF('卡片raw data'!BM$1:BM$1000=T88,1,0),IF('卡片raw data'!BO$1:BO$1000=V88,1,0),IF(IF('卡片raw data'!C$1:C$1000=R$3,1,0)+IF(R$3="",1,0)&gt;=1,1,0),IF(IF('卡片raw data'!D$1:D$1000=R$4,1,0)+IF(R$4="",1,0)&gt;=1,1,0),IF(IF('卡片raw data'!E$1:E$1000=R$5,1,0)+IF(R$5="",1,0)&gt;=1,1,0))</f>
        <v>0</v>
      </c>
      <c r="Y88" s="1307">
        <f t="shared" si="6"/>
        <v>51</v>
      </c>
      <c r="Z88" s="1307">
        <f t="shared" si="7"/>
        <v>0</v>
      </c>
      <c r="AA88" s="1307">
        <f t="shared" si="8"/>
        <v>51</v>
      </c>
      <c r="AB88" s="1307">
        <f t="shared" si="9"/>
        <v>0</v>
      </c>
    </row>
    <row r="89" spans="20:28">
      <c r="T89" s="1077">
        <v>13</v>
      </c>
      <c r="U89" s="1077">
        <f t="shared" si="5"/>
        <v>35</v>
      </c>
      <c r="V89" s="1077">
        <v>52</v>
      </c>
      <c r="W89" s="1077">
        <f t="array" ref="W89">SUMPRODUCT(IF('卡片raw data'!BM$1:BM$1000=T89,1,0),IF('卡片raw data'!BO$1:BO$1000=V89,1,0),IF(IF('卡片raw data'!C$1:C$1000=R$3,1,0)+IF(R$3="",1,0)&gt;=1,1,0),IF(IF('卡片raw data'!D$1:D$1000=R$4,1,0)+IF(R$4="",1,0)&gt;=1,1,0),IF(IF('卡片raw data'!E$1:E$1000=R$5,1,0)+IF(R$5="",1,0)&gt;=1,1,0))</f>
        <v>0</v>
      </c>
      <c r="Y89" s="1307">
        <f t="shared" si="6"/>
        <v>52</v>
      </c>
      <c r="Z89" s="1307">
        <f t="shared" si="7"/>
        <v>0</v>
      </c>
      <c r="AA89" s="1307">
        <f t="shared" si="8"/>
        <v>52</v>
      </c>
      <c r="AB89" s="1307">
        <f t="shared" si="9"/>
        <v>0</v>
      </c>
    </row>
    <row r="90" spans="20:28">
      <c r="T90" s="1077">
        <v>13</v>
      </c>
      <c r="U90" s="1077">
        <f t="shared" si="5"/>
        <v>34</v>
      </c>
      <c r="V90" s="1077">
        <v>53</v>
      </c>
      <c r="W90" s="1077">
        <f t="array" ref="W90">SUMPRODUCT(IF('卡片raw data'!BM$1:BM$1000=T90,1,0),IF('卡片raw data'!BO$1:BO$1000=V90,1,0),IF(IF('卡片raw data'!C$1:C$1000=R$3,1,0)+IF(R$3="",1,0)&gt;=1,1,0),IF(IF('卡片raw data'!D$1:D$1000=R$4,1,0)+IF(R$4="",1,0)&gt;=1,1,0),IF(IF('卡片raw data'!E$1:E$1000=R$5,1,0)+IF(R$5="",1,0)&gt;=1,1,0))</f>
        <v>0</v>
      </c>
      <c r="Y90" s="1307">
        <f t="shared" si="6"/>
        <v>53</v>
      </c>
      <c r="Z90" s="1307">
        <f t="shared" si="7"/>
        <v>0</v>
      </c>
      <c r="AA90" s="1307">
        <f t="shared" si="8"/>
        <v>53</v>
      </c>
      <c r="AB90" s="1307">
        <f t="shared" si="9"/>
        <v>0</v>
      </c>
    </row>
    <row r="91" spans="20:28">
      <c r="T91" s="1077">
        <v>13</v>
      </c>
      <c r="U91" s="1077">
        <f t="shared" si="5"/>
        <v>33</v>
      </c>
      <c r="V91" s="1077">
        <v>54</v>
      </c>
      <c r="W91" s="1077">
        <f t="array" ref="W91">SUMPRODUCT(IF('卡片raw data'!BM$1:BM$1000=T91,1,0),IF('卡片raw data'!BO$1:BO$1000=V91,1,0),IF(IF('卡片raw data'!C$1:C$1000=R$3,1,0)+IF(R$3="",1,0)&gt;=1,1,0),IF(IF('卡片raw data'!D$1:D$1000=R$4,1,0)+IF(R$4="",1,0)&gt;=1,1,0),IF(IF('卡片raw data'!E$1:E$1000=R$5,1,0)+IF(R$5="",1,0)&gt;=1,1,0))</f>
        <v>0</v>
      </c>
      <c r="Y91" s="1307">
        <f t="shared" si="6"/>
        <v>54</v>
      </c>
      <c r="Z91" s="1307">
        <f t="shared" si="7"/>
        <v>0</v>
      </c>
      <c r="AA91" s="1307">
        <f t="shared" si="8"/>
        <v>54</v>
      </c>
      <c r="AB91" s="1307">
        <f t="shared" si="9"/>
        <v>0</v>
      </c>
    </row>
    <row r="92" spans="20:28">
      <c r="T92" s="1077">
        <v>13</v>
      </c>
      <c r="U92" s="1077">
        <f t="shared" si="5"/>
        <v>32</v>
      </c>
      <c r="V92" s="1077">
        <v>55</v>
      </c>
      <c r="W92" s="1077">
        <f t="array" ref="W92">SUMPRODUCT(IF('卡片raw data'!BM$1:BM$1000=T92,1,0),IF('卡片raw data'!BO$1:BO$1000=V92,1,0),IF(IF('卡片raw data'!C$1:C$1000=R$3,1,0)+IF(R$3="",1,0)&gt;=1,1,0),IF(IF('卡片raw data'!D$1:D$1000=R$4,1,0)+IF(R$4="",1,0)&gt;=1,1,0),IF(IF('卡片raw data'!E$1:E$1000=R$5,1,0)+IF(R$5="",1,0)&gt;=1,1,0))</f>
        <v>0</v>
      </c>
      <c r="Y92" s="1307">
        <f t="shared" si="6"/>
        <v>55</v>
      </c>
      <c r="Z92" s="1307">
        <f t="shared" si="7"/>
        <v>0</v>
      </c>
      <c r="AA92" s="1307">
        <f t="shared" si="8"/>
        <v>55</v>
      </c>
      <c r="AB92" s="1307">
        <f t="shared" si="9"/>
        <v>0</v>
      </c>
    </row>
    <row r="93" spans="20:28">
      <c r="T93" s="1077">
        <v>14</v>
      </c>
      <c r="U93" s="1077">
        <f t="shared" si="5"/>
        <v>55</v>
      </c>
      <c r="V93" s="1077">
        <v>31</v>
      </c>
      <c r="W93" s="1077">
        <f t="array" ref="W93">SUMPRODUCT(IF('卡片raw data'!BM$1:BM$1000=T93,1,0),IF('卡片raw data'!BO$1:BO$1000=V93,1,0),IF(IF('卡片raw data'!C$1:C$1000=R$3,1,0)+IF(R$3="",1,0)&gt;=1,1,0),IF(IF('卡片raw data'!D$1:D$1000=R$4,1,0)+IF(R$4="",1,0)&gt;=1,1,0),IF(IF('卡片raw data'!E$1:E$1000=R$5,1,0)+IF(R$5="",1,0)&gt;=1,1,0))</f>
        <v>0</v>
      </c>
      <c r="Y93" s="1307">
        <f t="shared" si="6"/>
        <v>31</v>
      </c>
      <c r="Z93" s="1307">
        <f t="shared" si="7"/>
        <v>0</v>
      </c>
      <c r="AA93" s="1307">
        <f t="shared" si="8"/>
        <v>31</v>
      </c>
      <c r="AB93" s="1307">
        <f t="shared" si="9"/>
        <v>0</v>
      </c>
    </row>
    <row r="94" spans="20:28">
      <c r="T94" s="1077">
        <v>14</v>
      </c>
      <c r="U94" s="1077">
        <f t="shared" si="5"/>
        <v>54</v>
      </c>
      <c r="V94" s="1077">
        <v>32</v>
      </c>
      <c r="W94" s="1077">
        <f t="array" ref="W94">SUMPRODUCT(IF('卡片raw data'!BM$1:BM$1000=T94,1,0),IF('卡片raw data'!BO$1:BO$1000=V94,1,0),IF(IF('卡片raw data'!C$1:C$1000=R$3,1,0)+IF(R$3="",1,0)&gt;=1,1,0),IF(IF('卡片raw data'!D$1:D$1000=R$4,1,0)+IF(R$4="",1,0)&gt;=1,1,0),IF(IF('卡片raw data'!E$1:E$1000=R$5,1,0)+IF(R$5="",1,0)&gt;=1,1,0))</f>
        <v>0</v>
      </c>
      <c r="Y94" s="1307">
        <f t="shared" si="6"/>
        <v>32</v>
      </c>
      <c r="Z94" s="1307">
        <f t="shared" si="7"/>
        <v>0</v>
      </c>
      <c r="AA94" s="1307">
        <f t="shared" si="8"/>
        <v>32</v>
      </c>
      <c r="AB94" s="1307">
        <f t="shared" si="9"/>
        <v>0</v>
      </c>
    </row>
    <row r="95" spans="20:28">
      <c r="T95" s="1077">
        <v>14</v>
      </c>
      <c r="U95" s="1077">
        <f t="shared" si="5"/>
        <v>53</v>
      </c>
      <c r="V95" s="1077">
        <v>33</v>
      </c>
      <c r="W95" s="1077">
        <f t="array" ref="W95">SUMPRODUCT(IF('卡片raw data'!BM$1:BM$1000=T95,1,0),IF('卡片raw data'!BO$1:BO$1000=V95,1,0),IF(IF('卡片raw data'!C$1:C$1000=R$3,1,0)+IF(R$3="",1,0)&gt;=1,1,0),IF(IF('卡片raw data'!D$1:D$1000=R$4,1,0)+IF(R$4="",1,0)&gt;=1,1,0),IF(IF('卡片raw data'!E$1:E$1000=R$5,1,0)+IF(R$5="",1,0)&gt;=1,1,0))</f>
        <v>0</v>
      </c>
      <c r="Y95" s="1307">
        <f t="shared" si="6"/>
        <v>33</v>
      </c>
      <c r="Z95" s="1307">
        <f t="shared" si="7"/>
        <v>0</v>
      </c>
      <c r="AA95" s="1307">
        <f t="shared" si="8"/>
        <v>33</v>
      </c>
      <c r="AB95" s="1307">
        <f t="shared" si="9"/>
        <v>0</v>
      </c>
    </row>
    <row r="96" spans="20:28">
      <c r="T96" s="1077">
        <v>14</v>
      </c>
      <c r="U96" s="1077">
        <f t="shared" si="5"/>
        <v>52</v>
      </c>
      <c r="V96" s="1077">
        <v>34</v>
      </c>
      <c r="W96" s="1077">
        <f t="array" ref="W96">SUMPRODUCT(IF('卡片raw data'!BM$1:BM$1000=T96,1,0),IF('卡片raw data'!BO$1:BO$1000=V96,1,0),IF(IF('卡片raw data'!C$1:C$1000=R$3,1,0)+IF(R$3="",1,0)&gt;=1,1,0),IF(IF('卡片raw data'!D$1:D$1000=R$4,1,0)+IF(R$4="",1,0)&gt;=1,1,0),IF(IF('卡片raw data'!E$1:E$1000=R$5,1,0)+IF(R$5="",1,0)&gt;=1,1,0))</f>
        <v>0</v>
      </c>
      <c r="Y96" s="1307">
        <f t="shared" si="6"/>
        <v>34</v>
      </c>
      <c r="Z96" s="1307">
        <f t="shared" si="7"/>
        <v>0</v>
      </c>
      <c r="AA96" s="1307">
        <f t="shared" si="8"/>
        <v>34</v>
      </c>
      <c r="AB96" s="1307">
        <f t="shared" si="9"/>
        <v>0</v>
      </c>
    </row>
    <row r="97" spans="20:28">
      <c r="T97" s="1077">
        <v>14</v>
      </c>
      <c r="U97" s="1077">
        <f t="shared" si="5"/>
        <v>51</v>
      </c>
      <c r="V97" s="1077">
        <v>35</v>
      </c>
      <c r="W97" s="1077">
        <f t="array" ref="W97">SUMPRODUCT(IF('卡片raw data'!BM$1:BM$1000=T97,1,0),IF('卡片raw data'!BO$1:BO$1000=V97,1,0),IF(IF('卡片raw data'!C$1:C$1000=R$3,1,0)+IF(R$3="",1,0)&gt;=1,1,0),IF(IF('卡片raw data'!D$1:D$1000=R$4,1,0)+IF(R$4="",1,0)&gt;=1,1,0),IF(IF('卡片raw data'!E$1:E$1000=R$5,1,0)+IF(R$5="",1,0)&gt;=1,1,0))</f>
        <v>0</v>
      </c>
      <c r="Y97" s="1307">
        <f t="shared" si="6"/>
        <v>35</v>
      </c>
      <c r="Z97" s="1307">
        <f t="shared" si="7"/>
        <v>0</v>
      </c>
      <c r="AA97" s="1307">
        <f t="shared" si="8"/>
        <v>35</v>
      </c>
      <c r="AB97" s="1307">
        <f t="shared" si="9"/>
        <v>0</v>
      </c>
    </row>
    <row r="98" spans="20:28">
      <c r="T98" s="1077">
        <v>14</v>
      </c>
      <c r="U98" s="1077">
        <f t="shared" si="5"/>
        <v>50</v>
      </c>
      <c r="V98" s="1077">
        <v>36</v>
      </c>
      <c r="W98" s="1077">
        <f t="array" ref="W98">SUMPRODUCT(IF('卡片raw data'!BM$1:BM$1000=T98,1,0),IF('卡片raw data'!BO$1:BO$1000=V98,1,0),IF(IF('卡片raw data'!C$1:C$1000=R$3,1,0)+IF(R$3="",1,0)&gt;=1,1,0),IF(IF('卡片raw data'!D$1:D$1000=R$4,1,0)+IF(R$4="",1,0)&gt;=1,1,0),IF(IF('卡片raw data'!E$1:E$1000=R$5,1,0)+IF(R$5="",1,0)&gt;=1,1,0))</f>
        <v>0</v>
      </c>
      <c r="Y98" s="1307">
        <f t="shared" si="6"/>
        <v>36</v>
      </c>
      <c r="Z98" s="1307">
        <f t="shared" si="7"/>
        <v>0</v>
      </c>
      <c r="AA98" s="1307">
        <f t="shared" si="8"/>
        <v>36</v>
      </c>
      <c r="AB98" s="1307">
        <f t="shared" si="9"/>
        <v>0</v>
      </c>
    </row>
    <row r="99" spans="20:28">
      <c r="T99" s="1077">
        <v>14</v>
      </c>
      <c r="U99" s="1077">
        <f t="shared" si="5"/>
        <v>49</v>
      </c>
      <c r="V99" s="1077">
        <v>37</v>
      </c>
      <c r="W99" s="1077">
        <f t="array" ref="W99">SUMPRODUCT(IF('卡片raw data'!BM$1:BM$1000=T99,1,0),IF('卡片raw data'!BO$1:BO$1000=V99,1,0),IF(IF('卡片raw data'!C$1:C$1000=R$3,1,0)+IF(R$3="",1,0)&gt;=1,1,0),IF(IF('卡片raw data'!D$1:D$1000=R$4,1,0)+IF(R$4="",1,0)&gt;=1,1,0),IF(IF('卡片raw data'!E$1:E$1000=R$5,1,0)+IF(R$5="",1,0)&gt;=1,1,0))</f>
        <v>0</v>
      </c>
      <c r="Y99" s="1307">
        <f t="shared" si="6"/>
        <v>37</v>
      </c>
      <c r="Z99" s="1307">
        <f t="shared" si="7"/>
        <v>0</v>
      </c>
      <c r="AA99" s="1307">
        <f t="shared" si="8"/>
        <v>37</v>
      </c>
      <c r="AB99" s="1307">
        <f t="shared" si="9"/>
        <v>0</v>
      </c>
    </row>
    <row r="100" spans="20:28">
      <c r="T100" s="1077">
        <v>14</v>
      </c>
      <c r="U100" s="1077">
        <f t="shared" si="5"/>
        <v>48</v>
      </c>
      <c r="V100" s="1077">
        <v>38</v>
      </c>
      <c r="W100" s="1077">
        <f t="array" ref="W100">SUMPRODUCT(IF('卡片raw data'!BM$1:BM$1000=T100,1,0),IF('卡片raw data'!BO$1:BO$1000=V100,1,0),IF(IF('卡片raw data'!C$1:C$1000=R$3,1,0)+IF(R$3="",1,0)&gt;=1,1,0),IF(IF('卡片raw data'!D$1:D$1000=R$4,1,0)+IF(R$4="",1,0)&gt;=1,1,0),IF(IF('卡片raw data'!E$1:E$1000=R$5,1,0)+IF(R$5="",1,0)&gt;=1,1,0))</f>
        <v>0</v>
      </c>
      <c r="Y100" s="1307">
        <f t="shared" si="6"/>
        <v>38</v>
      </c>
      <c r="Z100" s="1307">
        <f t="shared" si="7"/>
        <v>0</v>
      </c>
      <c r="AA100" s="1307">
        <f t="shared" si="8"/>
        <v>38</v>
      </c>
      <c r="AB100" s="1307">
        <f t="shared" si="9"/>
        <v>0</v>
      </c>
    </row>
    <row r="101" spans="20:28">
      <c r="T101" s="1077">
        <v>14</v>
      </c>
      <c r="U101" s="1077">
        <f t="shared" si="5"/>
        <v>47</v>
      </c>
      <c r="V101" s="1077">
        <v>39</v>
      </c>
      <c r="W101" s="1077">
        <f t="array" ref="W101">SUMPRODUCT(IF('卡片raw data'!BM$1:BM$1000=T101,1,0),IF('卡片raw data'!BO$1:BO$1000=V101,1,0),IF(IF('卡片raw data'!C$1:C$1000=R$3,1,0)+IF(R$3="",1,0)&gt;=1,1,0),IF(IF('卡片raw data'!D$1:D$1000=R$4,1,0)+IF(R$4="",1,0)&gt;=1,1,0),IF(IF('卡片raw data'!E$1:E$1000=R$5,1,0)+IF(R$5="",1,0)&gt;=1,1,0))</f>
        <v>0</v>
      </c>
      <c r="Y101" s="1307">
        <f t="shared" si="6"/>
        <v>39</v>
      </c>
      <c r="Z101" s="1307">
        <f t="shared" si="7"/>
        <v>0</v>
      </c>
      <c r="AA101" s="1307">
        <f t="shared" si="8"/>
        <v>39</v>
      </c>
      <c r="AB101" s="1307">
        <f t="shared" si="9"/>
        <v>0</v>
      </c>
    </row>
    <row r="102" spans="20:28">
      <c r="T102" s="1077">
        <v>14</v>
      </c>
      <c r="U102" s="1077">
        <f t="shared" si="5"/>
        <v>46</v>
      </c>
      <c r="V102" s="1077">
        <v>40</v>
      </c>
      <c r="W102" s="1077">
        <f t="array" ref="W102">SUMPRODUCT(IF('卡片raw data'!BM$1:BM$1000=T102,1,0),IF('卡片raw data'!BO$1:BO$1000=V102,1,0),IF(IF('卡片raw data'!C$1:C$1000=R$3,1,0)+IF(R$3="",1,0)&gt;=1,1,0),IF(IF('卡片raw data'!D$1:D$1000=R$4,1,0)+IF(R$4="",1,0)&gt;=1,1,0),IF(IF('卡片raw data'!E$1:E$1000=R$5,1,0)+IF(R$5="",1,0)&gt;=1,1,0))</f>
        <v>0</v>
      </c>
      <c r="Y102" s="1307">
        <f t="shared" si="6"/>
        <v>40</v>
      </c>
      <c r="Z102" s="1307">
        <f t="shared" si="7"/>
        <v>0</v>
      </c>
      <c r="AA102" s="1307">
        <f t="shared" si="8"/>
        <v>40</v>
      </c>
      <c r="AB102" s="1307">
        <f t="shared" si="9"/>
        <v>0</v>
      </c>
    </row>
    <row r="103" spans="20:28">
      <c r="T103" s="1077">
        <v>14</v>
      </c>
      <c r="U103" s="1077">
        <f t="shared" si="5"/>
        <v>45</v>
      </c>
      <c r="V103" s="1077">
        <v>41</v>
      </c>
      <c r="W103" s="1077">
        <f t="array" ref="W103">SUMPRODUCT(IF('卡片raw data'!BM$1:BM$1000=T103,1,0),IF('卡片raw data'!BO$1:BO$1000=V103,1,0),IF(IF('卡片raw data'!C$1:C$1000=R$3,1,0)+IF(R$3="",1,0)&gt;=1,1,0),IF(IF('卡片raw data'!D$1:D$1000=R$4,1,0)+IF(R$4="",1,0)&gt;=1,1,0),IF(IF('卡片raw data'!E$1:E$1000=R$5,1,0)+IF(R$5="",1,0)&gt;=1,1,0))</f>
        <v>0</v>
      </c>
      <c r="Y103" s="1307">
        <f t="shared" si="6"/>
        <v>41</v>
      </c>
      <c r="Z103" s="1307">
        <f t="shared" si="7"/>
        <v>0</v>
      </c>
      <c r="AA103" s="1307">
        <f t="shared" si="8"/>
        <v>41</v>
      </c>
      <c r="AB103" s="1307">
        <f t="shared" si="9"/>
        <v>0</v>
      </c>
    </row>
    <row r="104" spans="20:28">
      <c r="T104" s="1077">
        <v>14</v>
      </c>
      <c r="U104" s="1077">
        <f t="shared" si="5"/>
        <v>44</v>
      </c>
      <c r="V104" s="1077">
        <v>42</v>
      </c>
      <c r="W104" s="1077">
        <f t="array" ref="W104">SUMPRODUCT(IF('卡片raw data'!BM$1:BM$1000=T104,1,0),IF('卡片raw data'!BO$1:BO$1000=V104,1,0),IF(IF('卡片raw data'!C$1:C$1000=R$3,1,0)+IF(R$3="",1,0)&gt;=1,1,0),IF(IF('卡片raw data'!D$1:D$1000=R$4,1,0)+IF(R$4="",1,0)&gt;=1,1,0),IF(IF('卡片raw data'!E$1:E$1000=R$5,1,0)+IF(R$5="",1,0)&gt;=1,1,0))</f>
        <v>0</v>
      </c>
      <c r="Y104" s="1307">
        <f t="shared" si="6"/>
        <v>42</v>
      </c>
      <c r="Z104" s="1307">
        <f t="shared" si="7"/>
        <v>0</v>
      </c>
      <c r="AA104" s="1307">
        <f t="shared" si="8"/>
        <v>42</v>
      </c>
      <c r="AB104" s="1307">
        <f t="shared" si="9"/>
        <v>0</v>
      </c>
    </row>
    <row r="105" spans="20:28">
      <c r="T105" s="1077">
        <v>14</v>
      </c>
      <c r="U105" s="1077">
        <f t="shared" si="5"/>
        <v>43</v>
      </c>
      <c r="V105" s="1077">
        <v>43</v>
      </c>
      <c r="W105" s="1077">
        <f t="array" ref="W105">SUMPRODUCT(IF('卡片raw data'!BM$1:BM$1000=T105,1,0),IF('卡片raw data'!BO$1:BO$1000=V105,1,0),IF(IF('卡片raw data'!C$1:C$1000=R$3,1,0)+IF(R$3="",1,0)&gt;=1,1,0),IF(IF('卡片raw data'!D$1:D$1000=R$4,1,0)+IF(R$4="",1,0)&gt;=1,1,0),IF(IF('卡片raw data'!E$1:E$1000=R$5,1,0)+IF(R$5="",1,0)&gt;=1,1,0))</f>
        <v>0</v>
      </c>
      <c r="Y105" s="1307">
        <f t="shared" si="6"/>
        <v>43</v>
      </c>
      <c r="Z105" s="1307">
        <f t="shared" si="7"/>
        <v>0</v>
      </c>
      <c r="AA105" s="1307">
        <f t="shared" si="8"/>
        <v>43</v>
      </c>
      <c r="AB105" s="1307">
        <f t="shared" si="9"/>
        <v>0</v>
      </c>
    </row>
    <row r="106" spans="20:28">
      <c r="T106" s="1077">
        <v>14</v>
      </c>
      <c r="U106" s="1077">
        <f t="shared" si="5"/>
        <v>42</v>
      </c>
      <c r="V106" s="1077">
        <v>44</v>
      </c>
      <c r="W106" s="1077">
        <f t="array" ref="W106">SUMPRODUCT(IF('卡片raw data'!BM$1:BM$1000=T106,1,0),IF('卡片raw data'!BO$1:BO$1000=V106,1,0),IF(IF('卡片raw data'!C$1:C$1000=R$3,1,0)+IF(R$3="",1,0)&gt;=1,1,0),IF(IF('卡片raw data'!D$1:D$1000=R$4,1,0)+IF(R$4="",1,0)&gt;=1,1,0),IF(IF('卡片raw data'!E$1:E$1000=R$5,1,0)+IF(R$5="",1,0)&gt;=1,1,0))</f>
        <v>0</v>
      </c>
      <c r="Y106" s="1307">
        <f t="shared" si="6"/>
        <v>44</v>
      </c>
      <c r="Z106" s="1307">
        <f t="shared" si="7"/>
        <v>0</v>
      </c>
      <c r="AA106" s="1307">
        <f t="shared" si="8"/>
        <v>44</v>
      </c>
      <c r="AB106" s="1307">
        <f t="shared" si="9"/>
        <v>0</v>
      </c>
    </row>
    <row r="107" spans="20:28">
      <c r="T107" s="1077">
        <v>14</v>
      </c>
      <c r="U107" s="1077">
        <f t="shared" si="5"/>
        <v>41</v>
      </c>
      <c r="V107" s="1077">
        <v>45</v>
      </c>
      <c r="W107" s="1077">
        <f t="array" ref="W107">SUMPRODUCT(IF('卡片raw data'!BM$1:BM$1000=T107,1,0),IF('卡片raw data'!BO$1:BO$1000=V107,1,0),IF(IF('卡片raw data'!C$1:C$1000=R$3,1,0)+IF(R$3="",1,0)&gt;=1,1,0),IF(IF('卡片raw data'!D$1:D$1000=R$4,1,0)+IF(R$4="",1,0)&gt;=1,1,0),IF(IF('卡片raw data'!E$1:E$1000=R$5,1,0)+IF(R$5="",1,0)&gt;=1,1,0))</f>
        <v>0</v>
      </c>
      <c r="Y107" s="1307">
        <f t="shared" si="6"/>
        <v>45</v>
      </c>
      <c r="Z107" s="1307">
        <f t="shared" si="7"/>
        <v>0</v>
      </c>
      <c r="AA107" s="1307">
        <f t="shared" si="8"/>
        <v>45</v>
      </c>
      <c r="AB107" s="1307">
        <f t="shared" si="9"/>
        <v>0</v>
      </c>
    </row>
    <row r="108" spans="20:28">
      <c r="T108" s="1077">
        <v>14</v>
      </c>
      <c r="U108" s="1077">
        <f t="shared" si="5"/>
        <v>40</v>
      </c>
      <c r="V108" s="1077">
        <v>46</v>
      </c>
      <c r="W108" s="1077">
        <f t="array" ref="W108">SUMPRODUCT(IF('卡片raw data'!BM$1:BM$1000=T108,1,0),IF('卡片raw data'!BO$1:BO$1000=V108,1,0),IF(IF('卡片raw data'!C$1:C$1000=R$3,1,0)+IF(R$3="",1,0)&gt;=1,1,0),IF(IF('卡片raw data'!D$1:D$1000=R$4,1,0)+IF(R$4="",1,0)&gt;=1,1,0),IF(IF('卡片raw data'!E$1:E$1000=R$5,1,0)+IF(R$5="",1,0)&gt;=1,1,0))</f>
        <v>0</v>
      </c>
      <c r="Y108" s="1307">
        <f t="shared" si="6"/>
        <v>46</v>
      </c>
      <c r="Z108" s="1307">
        <f t="shared" si="7"/>
        <v>0</v>
      </c>
      <c r="AA108" s="1307">
        <f t="shared" si="8"/>
        <v>46</v>
      </c>
      <c r="AB108" s="1307">
        <f t="shared" si="9"/>
        <v>0</v>
      </c>
    </row>
    <row r="109" spans="20:28">
      <c r="T109" s="1077">
        <v>14</v>
      </c>
      <c r="U109" s="1077">
        <f t="shared" si="5"/>
        <v>39</v>
      </c>
      <c r="V109" s="1077">
        <v>47</v>
      </c>
      <c r="W109" s="1077">
        <f t="array" ref="W109">SUMPRODUCT(IF('卡片raw data'!BM$1:BM$1000=T109,1,0),IF('卡片raw data'!BO$1:BO$1000=V109,1,0),IF(IF('卡片raw data'!C$1:C$1000=R$3,1,0)+IF(R$3="",1,0)&gt;=1,1,0),IF(IF('卡片raw data'!D$1:D$1000=R$4,1,0)+IF(R$4="",1,0)&gt;=1,1,0),IF(IF('卡片raw data'!E$1:E$1000=R$5,1,0)+IF(R$5="",1,0)&gt;=1,1,0))</f>
        <v>0</v>
      </c>
      <c r="Y109" s="1307">
        <f t="shared" si="6"/>
        <v>47</v>
      </c>
      <c r="Z109" s="1307">
        <f t="shared" si="7"/>
        <v>0</v>
      </c>
      <c r="AA109" s="1307">
        <f t="shared" si="8"/>
        <v>47</v>
      </c>
      <c r="AB109" s="1307">
        <f t="shared" si="9"/>
        <v>0</v>
      </c>
    </row>
    <row r="110" spans="20:28">
      <c r="T110" s="1077">
        <v>14</v>
      </c>
      <c r="U110" s="1077">
        <f t="shared" si="5"/>
        <v>38</v>
      </c>
      <c r="V110" s="1077">
        <v>48</v>
      </c>
      <c r="W110" s="1077">
        <f t="array" ref="W110">SUMPRODUCT(IF('卡片raw data'!BM$1:BM$1000=T110,1,0),IF('卡片raw data'!BO$1:BO$1000=V110,1,0),IF(IF('卡片raw data'!C$1:C$1000=R$3,1,0)+IF(R$3="",1,0)&gt;=1,1,0),IF(IF('卡片raw data'!D$1:D$1000=R$4,1,0)+IF(R$4="",1,0)&gt;=1,1,0),IF(IF('卡片raw data'!E$1:E$1000=R$5,1,0)+IF(R$5="",1,0)&gt;=1,1,0))</f>
        <v>0</v>
      </c>
      <c r="Y110" s="1307">
        <f t="shared" si="6"/>
        <v>48</v>
      </c>
      <c r="Z110" s="1307">
        <f t="shared" si="7"/>
        <v>0</v>
      </c>
      <c r="AA110" s="1307">
        <f t="shared" si="8"/>
        <v>48</v>
      </c>
      <c r="AB110" s="1307">
        <f t="shared" si="9"/>
        <v>0</v>
      </c>
    </row>
    <row r="111" spans="20:28">
      <c r="T111" s="1077">
        <v>14</v>
      </c>
      <c r="U111" s="1077">
        <f t="shared" si="5"/>
        <v>37</v>
      </c>
      <c r="V111" s="1077">
        <v>49</v>
      </c>
      <c r="W111" s="1077">
        <f t="array" ref="W111">SUMPRODUCT(IF('卡片raw data'!BM$1:BM$1000=T111,1,0),IF('卡片raw data'!BO$1:BO$1000=V111,1,0),IF(IF('卡片raw data'!C$1:C$1000=R$3,1,0)+IF(R$3="",1,0)&gt;=1,1,0),IF(IF('卡片raw data'!D$1:D$1000=R$4,1,0)+IF(R$4="",1,0)&gt;=1,1,0),IF(IF('卡片raw data'!E$1:E$1000=R$5,1,0)+IF(R$5="",1,0)&gt;=1,1,0))</f>
        <v>0</v>
      </c>
      <c r="Y111" s="1307">
        <f t="shared" si="6"/>
        <v>49</v>
      </c>
      <c r="Z111" s="1307">
        <f t="shared" si="7"/>
        <v>0</v>
      </c>
      <c r="AA111" s="1307">
        <f t="shared" si="8"/>
        <v>49</v>
      </c>
      <c r="AB111" s="1307">
        <f t="shared" si="9"/>
        <v>0</v>
      </c>
    </row>
    <row r="112" spans="20:28">
      <c r="T112" s="1077">
        <v>14</v>
      </c>
      <c r="U112" s="1077">
        <f t="shared" si="5"/>
        <v>36</v>
      </c>
      <c r="V112" s="1077">
        <v>50</v>
      </c>
      <c r="W112" s="1077">
        <f t="array" ref="W112">SUMPRODUCT(IF('卡片raw data'!BM$1:BM$1000=T112,1,0),IF('卡片raw data'!BO$1:BO$1000=V112,1,0),IF(IF('卡片raw data'!C$1:C$1000=R$3,1,0)+IF(R$3="",1,0)&gt;=1,1,0),IF(IF('卡片raw data'!D$1:D$1000=R$4,1,0)+IF(R$4="",1,0)&gt;=1,1,0),IF(IF('卡片raw data'!E$1:E$1000=R$5,1,0)+IF(R$5="",1,0)&gt;=1,1,0))</f>
        <v>0</v>
      </c>
      <c r="Y112" s="1307">
        <f t="shared" si="6"/>
        <v>50</v>
      </c>
      <c r="Z112" s="1307">
        <f t="shared" si="7"/>
        <v>0</v>
      </c>
      <c r="AA112" s="1307">
        <f t="shared" si="8"/>
        <v>50</v>
      </c>
      <c r="AB112" s="1307">
        <f t="shared" si="9"/>
        <v>0</v>
      </c>
    </row>
    <row r="113" spans="20:28">
      <c r="T113" s="1077">
        <v>14</v>
      </c>
      <c r="U113" s="1077">
        <f t="shared" si="5"/>
        <v>35</v>
      </c>
      <c r="V113" s="1077">
        <v>51</v>
      </c>
      <c r="W113" s="1077">
        <f t="array" ref="W113">SUMPRODUCT(IF('卡片raw data'!BM$1:BM$1000=T113,1,0),IF('卡片raw data'!BO$1:BO$1000=V113,1,0),IF(IF('卡片raw data'!C$1:C$1000=R$3,1,0)+IF(R$3="",1,0)&gt;=1,1,0),IF(IF('卡片raw data'!D$1:D$1000=R$4,1,0)+IF(R$4="",1,0)&gt;=1,1,0),IF(IF('卡片raw data'!E$1:E$1000=R$5,1,0)+IF(R$5="",1,0)&gt;=1,1,0))</f>
        <v>0</v>
      </c>
      <c r="Y113" s="1307">
        <f t="shared" si="6"/>
        <v>51</v>
      </c>
      <c r="Z113" s="1307">
        <f t="shared" si="7"/>
        <v>0</v>
      </c>
      <c r="AA113" s="1307">
        <f t="shared" si="8"/>
        <v>51</v>
      </c>
      <c r="AB113" s="1307">
        <f t="shared" si="9"/>
        <v>0</v>
      </c>
    </row>
    <row r="114" spans="20:28">
      <c r="T114" s="1077">
        <v>14</v>
      </c>
      <c r="U114" s="1077">
        <f t="shared" si="5"/>
        <v>34</v>
      </c>
      <c r="V114" s="1077">
        <v>52</v>
      </c>
      <c r="W114" s="1077">
        <f t="array" ref="W114">SUMPRODUCT(IF('卡片raw data'!BM$1:BM$1000=T114,1,0),IF('卡片raw data'!BO$1:BO$1000=V114,1,0),IF(IF('卡片raw data'!C$1:C$1000=R$3,1,0)+IF(R$3="",1,0)&gt;=1,1,0),IF(IF('卡片raw data'!D$1:D$1000=R$4,1,0)+IF(R$4="",1,0)&gt;=1,1,0),IF(IF('卡片raw data'!E$1:E$1000=R$5,1,0)+IF(R$5="",1,0)&gt;=1,1,0))</f>
        <v>0</v>
      </c>
      <c r="Y114" s="1307">
        <f t="shared" si="6"/>
        <v>52</v>
      </c>
      <c r="Z114" s="1307">
        <f t="shared" si="7"/>
        <v>0</v>
      </c>
      <c r="AA114" s="1307">
        <f t="shared" si="8"/>
        <v>52</v>
      </c>
      <c r="AB114" s="1307">
        <f t="shared" si="9"/>
        <v>0</v>
      </c>
    </row>
    <row r="115" spans="20:28">
      <c r="T115" s="1077">
        <v>14</v>
      </c>
      <c r="U115" s="1077">
        <f t="shared" si="5"/>
        <v>33</v>
      </c>
      <c r="V115" s="1077">
        <v>53</v>
      </c>
      <c r="W115" s="1077">
        <f t="array" ref="W115">SUMPRODUCT(IF('卡片raw data'!BM$1:BM$1000=T115,1,0),IF('卡片raw data'!BO$1:BO$1000=V115,1,0),IF(IF('卡片raw data'!C$1:C$1000=R$3,1,0)+IF(R$3="",1,0)&gt;=1,1,0),IF(IF('卡片raw data'!D$1:D$1000=R$4,1,0)+IF(R$4="",1,0)&gt;=1,1,0),IF(IF('卡片raw data'!E$1:E$1000=R$5,1,0)+IF(R$5="",1,0)&gt;=1,1,0))</f>
        <v>0</v>
      </c>
      <c r="Y115" s="1307">
        <f t="shared" si="6"/>
        <v>53</v>
      </c>
      <c r="Z115" s="1307">
        <f t="shared" si="7"/>
        <v>0</v>
      </c>
      <c r="AA115" s="1307">
        <f t="shared" si="8"/>
        <v>53</v>
      </c>
      <c r="AB115" s="1307">
        <f t="shared" si="9"/>
        <v>0</v>
      </c>
    </row>
    <row r="116" spans="20:28">
      <c r="T116" s="1077">
        <v>14</v>
      </c>
      <c r="U116" s="1077">
        <f t="shared" si="5"/>
        <v>32</v>
      </c>
      <c r="V116" s="1077">
        <v>54</v>
      </c>
      <c r="W116" s="1077">
        <f t="array" ref="W116">SUMPRODUCT(IF('卡片raw data'!BM$1:BM$1000=T116,1,0),IF('卡片raw data'!BO$1:BO$1000=V116,1,0),IF(IF('卡片raw data'!C$1:C$1000=R$3,1,0)+IF(R$3="",1,0)&gt;=1,1,0),IF(IF('卡片raw data'!D$1:D$1000=R$4,1,0)+IF(R$4="",1,0)&gt;=1,1,0),IF(IF('卡片raw data'!E$1:E$1000=R$5,1,0)+IF(R$5="",1,0)&gt;=1,1,0))</f>
        <v>0</v>
      </c>
      <c r="Y116" s="1307">
        <f t="shared" si="6"/>
        <v>54</v>
      </c>
      <c r="Z116" s="1307">
        <f t="shared" si="7"/>
        <v>0</v>
      </c>
      <c r="AA116" s="1307">
        <f t="shared" si="8"/>
        <v>54</v>
      </c>
      <c r="AB116" s="1307">
        <f t="shared" si="9"/>
        <v>0</v>
      </c>
    </row>
    <row r="117" spans="20:28">
      <c r="T117" s="1077">
        <v>14</v>
      </c>
      <c r="U117" s="1077">
        <f t="shared" si="5"/>
        <v>31</v>
      </c>
      <c r="V117" s="1077">
        <v>55</v>
      </c>
      <c r="W117" s="1077">
        <f t="array" ref="W117">SUMPRODUCT(IF('卡片raw data'!BM$1:BM$1000=T117,1,0),IF('卡片raw data'!BO$1:BO$1000=V117,1,0),IF(IF('卡片raw data'!C$1:C$1000=R$3,1,0)+IF(R$3="",1,0)&gt;=1,1,0),IF(IF('卡片raw data'!D$1:D$1000=R$4,1,0)+IF(R$4="",1,0)&gt;=1,1,0),IF(IF('卡片raw data'!E$1:E$1000=R$5,1,0)+IF(R$5="",1,0)&gt;=1,1,0))</f>
        <v>0</v>
      </c>
      <c r="Y117" s="1307">
        <f t="shared" si="6"/>
        <v>55</v>
      </c>
      <c r="Z117" s="1307">
        <f t="shared" si="7"/>
        <v>0</v>
      </c>
      <c r="AA117" s="1307">
        <f t="shared" si="8"/>
        <v>55</v>
      </c>
      <c r="AB117" s="1307">
        <f t="shared" si="9"/>
        <v>0</v>
      </c>
    </row>
    <row r="118" spans="20:28">
      <c r="T118" s="1077">
        <v>15</v>
      </c>
      <c r="U118" s="1077">
        <f t="shared" si="5"/>
        <v>55</v>
      </c>
      <c r="V118" s="1077">
        <v>30</v>
      </c>
      <c r="W118" s="1077">
        <f t="array" ref="W118">SUMPRODUCT(IF('卡片raw data'!BM$1:BM$1000=T118,1,0),IF('卡片raw data'!BO$1:BO$1000=V118,1,0),IF(IF('卡片raw data'!C$1:C$1000=R$3,1,0)+IF(R$3="",1,0)&gt;=1,1,0),IF(IF('卡片raw data'!D$1:D$1000=R$4,1,0)+IF(R$4="",1,0)&gt;=1,1,0),IF(IF('卡片raw data'!E$1:E$1000=R$5,1,0)+IF(R$5="",1,0)&gt;=1,1,0))</f>
        <v>0</v>
      </c>
      <c r="Y118" s="1307">
        <f t="shared" si="6"/>
        <v>30</v>
      </c>
      <c r="Z118" s="1307">
        <f t="shared" si="7"/>
        <v>0</v>
      </c>
      <c r="AA118" s="1307">
        <f t="shared" si="8"/>
        <v>30</v>
      </c>
      <c r="AB118" s="1307">
        <f t="shared" si="9"/>
        <v>0</v>
      </c>
    </row>
    <row r="119" spans="20:28">
      <c r="T119" s="1077">
        <v>15</v>
      </c>
      <c r="U119" s="1077">
        <f t="shared" si="5"/>
        <v>54</v>
      </c>
      <c r="V119" s="1077">
        <v>31</v>
      </c>
      <c r="W119" s="1077">
        <f t="array" ref="W119">SUMPRODUCT(IF('卡片raw data'!BM$1:BM$1000=T119,1,0),IF('卡片raw data'!BO$1:BO$1000=V119,1,0),IF(IF('卡片raw data'!C$1:C$1000=R$3,1,0)+IF(R$3="",1,0)&gt;=1,1,0),IF(IF('卡片raw data'!D$1:D$1000=R$4,1,0)+IF(R$4="",1,0)&gt;=1,1,0),IF(IF('卡片raw data'!E$1:E$1000=R$5,1,0)+IF(R$5="",1,0)&gt;=1,1,0))</f>
        <v>0</v>
      </c>
      <c r="Y119" s="1307">
        <f t="shared" si="6"/>
        <v>31</v>
      </c>
      <c r="Z119" s="1307">
        <f t="shared" si="7"/>
        <v>0</v>
      </c>
      <c r="AA119" s="1307">
        <f t="shared" si="8"/>
        <v>31</v>
      </c>
      <c r="AB119" s="1307">
        <f t="shared" si="9"/>
        <v>0</v>
      </c>
    </row>
    <row r="120" spans="20:28">
      <c r="T120" s="1077">
        <v>15</v>
      </c>
      <c r="U120" s="1077">
        <f t="shared" si="5"/>
        <v>53</v>
      </c>
      <c r="V120" s="1077">
        <v>32</v>
      </c>
      <c r="W120" s="1077">
        <f t="array" ref="W120">SUMPRODUCT(IF('卡片raw data'!BM$1:BM$1000=T120,1,0),IF('卡片raw data'!BO$1:BO$1000=V120,1,0),IF(IF('卡片raw data'!C$1:C$1000=R$3,1,0)+IF(R$3="",1,0)&gt;=1,1,0),IF(IF('卡片raw data'!D$1:D$1000=R$4,1,0)+IF(R$4="",1,0)&gt;=1,1,0),IF(IF('卡片raw data'!E$1:E$1000=R$5,1,0)+IF(R$5="",1,0)&gt;=1,1,0))</f>
        <v>0</v>
      </c>
      <c r="Y120" s="1307">
        <f t="shared" si="6"/>
        <v>32</v>
      </c>
      <c r="Z120" s="1307">
        <f t="shared" si="7"/>
        <v>0</v>
      </c>
      <c r="AA120" s="1307">
        <f t="shared" si="8"/>
        <v>32</v>
      </c>
      <c r="AB120" s="1307">
        <f t="shared" si="9"/>
        <v>0</v>
      </c>
    </row>
    <row r="121" spans="20:28">
      <c r="T121" s="1077">
        <v>15</v>
      </c>
      <c r="U121" s="1077">
        <f t="shared" si="5"/>
        <v>52</v>
      </c>
      <c r="V121" s="1077">
        <v>33</v>
      </c>
      <c r="W121" s="1077">
        <f t="array" ref="W121">SUMPRODUCT(IF('卡片raw data'!BM$1:BM$1000=T121,1,0),IF('卡片raw data'!BO$1:BO$1000=V121,1,0),IF(IF('卡片raw data'!C$1:C$1000=R$3,1,0)+IF(R$3="",1,0)&gt;=1,1,0),IF(IF('卡片raw data'!D$1:D$1000=R$4,1,0)+IF(R$4="",1,0)&gt;=1,1,0),IF(IF('卡片raw data'!E$1:E$1000=R$5,1,0)+IF(R$5="",1,0)&gt;=1,1,0))</f>
        <v>0</v>
      </c>
      <c r="Y121" s="1307">
        <f t="shared" si="6"/>
        <v>33</v>
      </c>
      <c r="Z121" s="1307">
        <f t="shared" si="7"/>
        <v>0</v>
      </c>
      <c r="AA121" s="1307">
        <f t="shared" si="8"/>
        <v>33</v>
      </c>
      <c r="AB121" s="1307">
        <f t="shared" si="9"/>
        <v>0</v>
      </c>
    </row>
    <row r="122" spans="20:28">
      <c r="T122" s="1077">
        <v>15</v>
      </c>
      <c r="U122" s="1077">
        <f t="shared" si="5"/>
        <v>51</v>
      </c>
      <c r="V122" s="1077">
        <v>34</v>
      </c>
      <c r="W122" s="1077">
        <f t="array" ref="W122">SUMPRODUCT(IF('卡片raw data'!BM$1:BM$1000=T122,1,0),IF('卡片raw data'!BO$1:BO$1000=V122,1,0),IF(IF('卡片raw data'!C$1:C$1000=R$3,1,0)+IF(R$3="",1,0)&gt;=1,1,0),IF(IF('卡片raw data'!D$1:D$1000=R$4,1,0)+IF(R$4="",1,0)&gt;=1,1,0),IF(IF('卡片raw data'!E$1:E$1000=R$5,1,0)+IF(R$5="",1,0)&gt;=1,1,0))</f>
        <v>0</v>
      </c>
      <c r="Y122" s="1307">
        <f t="shared" si="6"/>
        <v>34</v>
      </c>
      <c r="Z122" s="1307">
        <f t="shared" si="7"/>
        <v>0</v>
      </c>
      <c r="AA122" s="1307">
        <f t="shared" si="8"/>
        <v>34</v>
      </c>
      <c r="AB122" s="1307">
        <f t="shared" si="9"/>
        <v>0</v>
      </c>
    </row>
    <row r="123" spans="20:28">
      <c r="T123" s="1077">
        <v>15</v>
      </c>
      <c r="U123" s="1077">
        <f t="shared" si="5"/>
        <v>50</v>
      </c>
      <c r="V123" s="1077">
        <v>35</v>
      </c>
      <c r="W123" s="1077">
        <f t="array" ref="W123">SUMPRODUCT(IF('卡片raw data'!BM$1:BM$1000=T123,1,0),IF('卡片raw data'!BO$1:BO$1000=V123,1,0),IF(IF('卡片raw data'!C$1:C$1000=R$3,1,0)+IF(R$3="",1,0)&gt;=1,1,0),IF(IF('卡片raw data'!D$1:D$1000=R$4,1,0)+IF(R$4="",1,0)&gt;=1,1,0),IF(IF('卡片raw data'!E$1:E$1000=R$5,1,0)+IF(R$5="",1,0)&gt;=1,1,0))</f>
        <v>0</v>
      </c>
      <c r="Y123" s="1307">
        <f t="shared" si="6"/>
        <v>35</v>
      </c>
      <c r="Z123" s="1307">
        <f t="shared" si="7"/>
        <v>0</v>
      </c>
      <c r="AA123" s="1307">
        <f t="shared" si="8"/>
        <v>35</v>
      </c>
      <c r="AB123" s="1307">
        <f t="shared" si="9"/>
        <v>0</v>
      </c>
    </row>
    <row r="124" spans="20:28">
      <c r="T124" s="1077">
        <v>15</v>
      </c>
      <c r="U124" s="1077">
        <f t="shared" si="5"/>
        <v>49</v>
      </c>
      <c r="V124" s="1077">
        <v>36</v>
      </c>
      <c r="W124" s="1077">
        <f t="array" ref="W124">SUMPRODUCT(IF('卡片raw data'!BM$1:BM$1000=T124,1,0),IF('卡片raw data'!BO$1:BO$1000=V124,1,0),IF(IF('卡片raw data'!C$1:C$1000=R$3,1,0)+IF(R$3="",1,0)&gt;=1,1,0),IF(IF('卡片raw data'!D$1:D$1000=R$4,1,0)+IF(R$4="",1,0)&gt;=1,1,0),IF(IF('卡片raw data'!E$1:E$1000=R$5,1,0)+IF(R$5="",1,0)&gt;=1,1,0))</f>
        <v>0</v>
      </c>
      <c r="Y124" s="1307">
        <f t="shared" si="6"/>
        <v>36</v>
      </c>
      <c r="Z124" s="1307">
        <f t="shared" si="7"/>
        <v>0</v>
      </c>
      <c r="AA124" s="1307">
        <f t="shared" si="8"/>
        <v>36</v>
      </c>
      <c r="AB124" s="1307">
        <f t="shared" si="9"/>
        <v>0</v>
      </c>
    </row>
    <row r="125" spans="20:28">
      <c r="T125" s="1077">
        <v>15</v>
      </c>
      <c r="U125" s="1077">
        <f t="shared" si="5"/>
        <v>48</v>
      </c>
      <c r="V125" s="1077">
        <v>37</v>
      </c>
      <c r="W125" s="1077">
        <f t="array" ref="W125">SUMPRODUCT(IF('卡片raw data'!BM$1:BM$1000=T125,1,0),IF('卡片raw data'!BO$1:BO$1000=V125,1,0),IF(IF('卡片raw data'!C$1:C$1000=R$3,1,0)+IF(R$3="",1,0)&gt;=1,1,0),IF(IF('卡片raw data'!D$1:D$1000=R$4,1,0)+IF(R$4="",1,0)&gt;=1,1,0),IF(IF('卡片raw data'!E$1:E$1000=R$5,1,0)+IF(R$5="",1,0)&gt;=1,1,0))</f>
        <v>0</v>
      </c>
      <c r="Y125" s="1307">
        <f t="shared" si="6"/>
        <v>37</v>
      </c>
      <c r="Z125" s="1307">
        <f t="shared" si="7"/>
        <v>0</v>
      </c>
      <c r="AA125" s="1307">
        <f t="shared" si="8"/>
        <v>37</v>
      </c>
      <c r="AB125" s="1307">
        <f t="shared" si="9"/>
        <v>0</v>
      </c>
    </row>
    <row r="126" spans="20:28">
      <c r="T126" s="1077">
        <v>15</v>
      </c>
      <c r="U126" s="1077">
        <f t="shared" si="5"/>
        <v>47</v>
      </c>
      <c r="V126" s="1077">
        <v>38</v>
      </c>
      <c r="W126" s="1077">
        <f t="array" ref="W126">SUMPRODUCT(IF('卡片raw data'!BM$1:BM$1000=T126,1,0),IF('卡片raw data'!BO$1:BO$1000=V126,1,0),IF(IF('卡片raw data'!C$1:C$1000=R$3,1,0)+IF(R$3="",1,0)&gt;=1,1,0),IF(IF('卡片raw data'!D$1:D$1000=R$4,1,0)+IF(R$4="",1,0)&gt;=1,1,0),IF(IF('卡片raw data'!E$1:E$1000=R$5,1,0)+IF(R$5="",1,0)&gt;=1,1,0))</f>
        <v>0</v>
      </c>
      <c r="Y126" s="1307">
        <f t="shared" si="6"/>
        <v>38</v>
      </c>
      <c r="Z126" s="1307">
        <f t="shared" si="7"/>
        <v>0</v>
      </c>
      <c r="AA126" s="1307">
        <f t="shared" si="8"/>
        <v>38</v>
      </c>
      <c r="AB126" s="1307">
        <f t="shared" si="9"/>
        <v>0</v>
      </c>
    </row>
    <row r="127" spans="20:28">
      <c r="T127" s="1077">
        <v>15</v>
      </c>
      <c r="U127" s="1077">
        <f t="shared" si="5"/>
        <v>46</v>
      </c>
      <c r="V127" s="1077">
        <v>39</v>
      </c>
      <c r="W127" s="1077">
        <f t="array" ref="W127">SUMPRODUCT(IF('卡片raw data'!BM$1:BM$1000=T127,1,0),IF('卡片raw data'!BO$1:BO$1000=V127,1,0),IF(IF('卡片raw data'!C$1:C$1000=R$3,1,0)+IF(R$3="",1,0)&gt;=1,1,0),IF(IF('卡片raw data'!D$1:D$1000=R$4,1,0)+IF(R$4="",1,0)&gt;=1,1,0),IF(IF('卡片raw data'!E$1:E$1000=R$5,1,0)+IF(R$5="",1,0)&gt;=1,1,0))</f>
        <v>0</v>
      </c>
      <c r="Y127" s="1307">
        <f t="shared" si="6"/>
        <v>39</v>
      </c>
      <c r="Z127" s="1307">
        <f t="shared" si="7"/>
        <v>0</v>
      </c>
      <c r="AA127" s="1307">
        <f t="shared" si="8"/>
        <v>39</v>
      </c>
      <c r="AB127" s="1307">
        <f t="shared" si="9"/>
        <v>0</v>
      </c>
    </row>
    <row r="128" spans="20:28">
      <c r="T128" s="1077">
        <v>15</v>
      </c>
      <c r="U128" s="1077">
        <f t="shared" si="5"/>
        <v>45</v>
      </c>
      <c r="V128" s="1077">
        <v>40</v>
      </c>
      <c r="W128" s="1077">
        <f t="array" ref="W128">SUMPRODUCT(IF('卡片raw data'!BM$1:BM$1000=T128,1,0),IF('卡片raw data'!BO$1:BO$1000=V128,1,0),IF(IF('卡片raw data'!C$1:C$1000=R$3,1,0)+IF(R$3="",1,0)&gt;=1,1,0),IF(IF('卡片raw data'!D$1:D$1000=R$4,1,0)+IF(R$4="",1,0)&gt;=1,1,0),IF(IF('卡片raw data'!E$1:E$1000=R$5,1,0)+IF(R$5="",1,0)&gt;=1,1,0))</f>
        <v>0</v>
      </c>
      <c r="Y128" s="1307">
        <f t="shared" si="6"/>
        <v>40</v>
      </c>
      <c r="Z128" s="1307">
        <f t="shared" si="7"/>
        <v>0</v>
      </c>
      <c r="AA128" s="1307">
        <f t="shared" si="8"/>
        <v>40</v>
      </c>
      <c r="AB128" s="1307">
        <f t="shared" si="9"/>
        <v>0</v>
      </c>
    </row>
    <row r="129" spans="20:28">
      <c r="T129" s="1077">
        <v>15</v>
      </c>
      <c r="U129" s="1077">
        <f t="shared" si="5"/>
        <v>44</v>
      </c>
      <c r="V129" s="1077">
        <v>41</v>
      </c>
      <c r="W129" s="1077">
        <f t="array" ref="W129">SUMPRODUCT(IF('卡片raw data'!BM$1:BM$1000=T129,1,0),IF('卡片raw data'!BO$1:BO$1000=V129,1,0),IF(IF('卡片raw data'!C$1:C$1000=R$3,1,0)+IF(R$3="",1,0)&gt;=1,1,0),IF(IF('卡片raw data'!D$1:D$1000=R$4,1,0)+IF(R$4="",1,0)&gt;=1,1,0),IF(IF('卡片raw data'!E$1:E$1000=R$5,1,0)+IF(R$5="",1,0)&gt;=1,1,0))</f>
        <v>0</v>
      </c>
      <c r="Y129" s="1307">
        <f t="shared" si="6"/>
        <v>41</v>
      </c>
      <c r="Z129" s="1307">
        <f t="shared" si="7"/>
        <v>0</v>
      </c>
      <c r="AA129" s="1307">
        <f t="shared" si="8"/>
        <v>41</v>
      </c>
      <c r="AB129" s="1307">
        <f t="shared" si="9"/>
        <v>0</v>
      </c>
    </row>
    <row r="130" spans="20:28">
      <c r="T130" s="1077">
        <v>15</v>
      </c>
      <c r="U130" s="1077">
        <f t="shared" si="5"/>
        <v>43</v>
      </c>
      <c r="V130" s="1077">
        <v>42</v>
      </c>
      <c r="W130" s="1077">
        <f t="array" ref="W130">SUMPRODUCT(IF('卡片raw data'!BM$1:BM$1000=T130,1,0),IF('卡片raw data'!BO$1:BO$1000=V130,1,0),IF(IF('卡片raw data'!C$1:C$1000=R$3,1,0)+IF(R$3="",1,0)&gt;=1,1,0),IF(IF('卡片raw data'!D$1:D$1000=R$4,1,0)+IF(R$4="",1,0)&gt;=1,1,0),IF(IF('卡片raw data'!E$1:E$1000=R$5,1,0)+IF(R$5="",1,0)&gt;=1,1,0))</f>
        <v>0</v>
      </c>
      <c r="Y130" s="1307">
        <f t="shared" si="6"/>
        <v>42</v>
      </c>
      <c r="Z130" s="1307">
        <f t="shared" si="7"/>
        <v>0</v>
      </c>
      <c r="AA130" s="1307">
        <f t="shared" si="8"/>
        <v>42</v>
      </c>
      <c r="AB130" s="1307">
        <f t="shared" si="9"/>
        <v>0</v>
      </c>
    </row>
    <row r="131" spans="20:28">
      <c r="T131" s="1077">
        <v>15</v>
      </c>
      <c r="U131" s="1077">
        <f t="shared" si="5"/>
        <v>42</v>
      </c>
      <c r="V131" s="1077">
        <v>43</v>
      </c>
      <c r="W131" s="1077">
        <f t="array" ref="W131">SUMPRODUCT(IF('卡片raw data'!BM$1:BM$1000=T131,1,0),IF('卡片raw data'!BO$1:BO$1000=V131,1,0),IF(IF('卡片raw data'!C$1:C$1000=R$3,1,0)+IF(R$3="",1,0)&gt;=1,1,0),IF(IF('卡片raw data'!D$1:D$1000=R$4,1,0)+IF(R$4="",1,0)&gt;=1,1,0),IF(IF('卡片raw data'!E$1:E$1000=R$5,1,0)+IF(R$5="",1,0)&gt;=1,1,0))</f>
        <v>0</v>
      </c>
      <c r="Y131" s="1307">
        <f t="shared" si="6"/>
        <v>43</v>
      </c>
      <c r="Z131" s="1307">
        <f t="shared" si="7"/>
        <v>0</v>
      </c>
      <c r="AA131" s="1307">
        <f t="shared" si="8"/>
        <v>43</v>
      </c>
      <c r="AB131" s="1307">
        <f t="shared" si="9"/>
        <v>0</v>
      </c>
    </row>
    <row r="132" spans="20:28">
      <c r="T132" s="1077">
        <v>15</v>
      </c>
      <c r="U132" s="1077">
        <f t="shared" ref="U132:U195" si="10">100-T132-V132</f>
        <v>41</v>
      </c>
      <c r="V132" s="1077">
        <v>44</v>
      </c>
      <c r="W132" s="1077">
        <f t="array" ref="W132">SUMPRODUCT(IF('卡片raw data'!BM$1:BM$1000=T132,1,0),IF('卡片raw data'!BO$1:BO$1000=V132,1,0),IF(IF('卡片raw data'!C$1:C$1000=R$3,1,0)+IF(R$3="",1,0)&gt;=1,1,0),IF(IF('卡片raw data'!D$1:D$1000=R$4,1,0)+IF(R$4="",1,0)&gt;=1,1,0),IF(IF('卡片raw data'!E$1:E$1000=R$5,1,0)+IF(R$5="",1,0)&gt;=1,1,0))</f>
        <v>0</v>
      </c>
      <c r="Y132" s="1307">
        <f t="shared" ref="Y132:Y195" si="11">V132</f>
        <v>44</v>
      </c>
      <c r="Z132" s="1307">
        <f t="shared" ref="Z132:Z195" si="12">IF(AND(V132&gt;U132,V132&gt;T132),W132,0)</f>
        <v>0</v>
      </c>
      <c r="AA132" s="1307">
        <f t="shared" ref="AA132:AA195" si="13">V132</f>
        <v>44</v>
      </c>
      <c r="AB132" s="1307">
        <f t="shared" ref="AB132:AB195" si="14">W132-Z132</f>
        <v>0</v>
      </c>
    </row>
    <row r="133" spans="20:28">
      <c r="T133" s="1077">
        <v>15</v>
      </c>
      <c r="U133" s="1077">
        <f t="shared" si="10"/>
        <v>40</v>
      </c>
      <c r="V133" s="1077">
        <v>45</v>
      </c>
      <c r="W133" s="1077">
        <f t="array" ref="W133">SUMPRODUCT(IF('卡片raw data'!BM$1:BM$1000=T133,1,0),IF('卡片raw data'!BO$1:BO$1000=V133,1,0),IF(IF('卡片raw data'!C$1:C$1000=R$3,1,0)+IF(R$3="",1,0)&gt;=1,1,0),IF(IF('卡片raw data'!D$1:D$1000=R$4,1,0)+IF(R$4="",1,0)&gt;=1,1,0),IF(IF('卡片raw data'!E$1:E$1000=R$5,1,0)+IF(R$5="",1,0)&gt;=1,1,0))</f>
        <v>0</v>
      </c>
      <c r="Y133" s="1307">
        <f t="shared" si="11"/>
        <v>45</v>
      </c>
      <c r="Z133" s="1307">
        <f t="shared" si="12"/>
        <v>0</v>
      </c>
      <c r="AA133" s="1307">
        <f t="shared" si="13"/>
        <v>45</v>
      </c>
      <c r="AB133" s="1307">
        <f t="shared" si="14"/>
        <v>0</v>
      </c>
    </row>
    <row r="134" spans="20:28">
      <c r="T134" s="1077">
        <v>15</v>
      </c>
      <c r="U134" s="1077">
        <f t="shared" si="10"/>
        <v>39</v>
      </c>
      <c r="V134" s="1077">
        <v>46</v>
      </c>
      <c r="W134" s="1077">
        <f t="array" ref="W134">SUMPRODUCT(IF('卡片raw data'!BM$1:BM$1000=T134,1,0),IF('卡片raw data'!BO$1:BO$1000=V134,1,0),IF(IF('卡片raw data'!C$1:C$1000=R$3,1,0)+IF(R$3="",1,0)&gt;=1,1,0),IF(IF('卡片raw data'!D$1:D$1000=R$4,1,0)+IF(R$4="",1,0)&gt;=1,1,0),IF(IF('卡片raw data'!E$1:E$1000=R$5,1,0)+IF(R$5="",1,0)&gt;=1,1,0))</f>
        <v>0</v>
      </c>
      <c r="Y134" s="1307">
        <f t="shared" si="11"/>
        <v>46</v>
      </c>
      <c r="Z134" s="1307">
        <f t="shared" si="12"/>
        <v>0</v>
      </c>
      <c r="AA134" s="1307">
        <f t="shared" si="13"/>
        <v>46</v>
      </c>
      <c r="AB134" s="1307">
        <f t="shared" si="14"/>
        <v>0</v>
      </c>
    </row>
    <row r="135" spans="20:28">
      <c r="T135" s="1077">
        <v>15</v>
      </c>
      <c r="U135" s="1077">
        <f t="shared" si="10"/>
        <v>38</v>
      </c>
      <c r="V135" s="1077">
        <v>47</v>
      </c>
      <c r="W135" s="1077">
        <f t="array" ref="W135">SUMPRODUCT(IF('卡片raw data'!BM$1:BM$1000=T135,1,0),IF('卡片raw data'!BO$1:BO$1000=V135,1,0),IF(IF('卡片raw data'!C$1:C$1000=R$3,1,0)+IF(R$3="",1,0)&gt;=1,1,0),IF(IF('卡片raw data'!D$1:D$1000=R$4,1,0)+IF(R$4="",1,0)&gt;=1,1,0),IF(IF('卡片raw data'!E$1:E$1000=R$5,1,0)+IF(R$5="",1,0)&gt;=1,1,0))</f>
        <v>1</v>
      </c>
      <c r="Y135" s="1307">
        <f t="shared" si="11"/>
        <v>47</v>
      </c>
      <c r="Z135" s="1307">
        <f t="shared" si="12"/>
        <v>1</v>
      </c>
      <c r="AA135" s="1307">
        <f t="shared" si="13"/>
        <v>47</v>
      </c>
      <c r="AB135" s="1307">
        <f t="shared" si="14"/>
        <v>0</v>
      </c>
    </row>
    <row r="136" spans="20:28">
      <c r="T136" s="1077">
        <v>15</v>
      </c>
      <c r="U136" s="1077">
        <f t="shared" si="10"/>
        <v>37</v>
      </c>
      <c r="V136" s="1077">
        <v>48</v>
      </c>
      <c r="W136" s="1077">
        <f t="array" ref="W136">SUMPRODUCT(IF('卡片raw data'!BM$1:BM$1000=T136,1,0),IF('卡片raw data'!BO$1:BO$1000=V136,1,0),IF(IF('卡片raw data'!C$1:C$1000=R$3,1,0)+IF(R$3="",1,0)&gt;=1,1,0),IF(IF('卡片raw data'!D$1:D$1000=R$4,1,0)+IF(R$4="",1,0)&gt;=1,1,0),IF(IF('卡片raw data'!E$1:E$1000=R$5,1,0)+IF(R$5="",1,0)&gt;=1,1,0))</f>
        <v>0</v>
      </c>
      <c r="Y136" s="1307">
        <f t="shared" si="11"/>
        <v>48</v>
      </c>
      <c r="Z136" s="1307">
        <f t="shared" si="12"/>
        <v>0</v>
      </c>
      <c r="AA136" s="1307">
        <f t="shared" si="13"/>
        <v>48</v>
      </c>
      <c r="AB136" s="1307">
        <f t="shared" si="14"/>
        <v>0</v>
      </c>
    </row>
    <row r="137" spans="20:28">
      <c r="T137" s="1077">
        <v>15</v>
      </c>
      <c r="U137" s="1077">
        <f t="shared" si="10"/>
        <v>36</v>
      </c>
      <c r="V137" s="1077">
        <v>49</v>
      </c>
      <c r="W137" s="1077">
        <f t="array" ref="W137">SUMPRODUCT(IF('卡片raw data'!BM$1:BM$1000=T137,1,0),IF('卡片raw data'!BO$1:BO$1000=V137,1,0),IF(IF('卡片raw data'!C$1:C$1000=R$3,1,0)+IF(R$3="",1,0)&gt;=1,1,0),IF(IF('卡片raw data'!D$1:D$1000=R$4,1,0)+IF(R$4="",1,0)&gt;=1,1,0),IF(IF('卡片raw data'!E$1:E$1000=R$5,1,0)+IF(R$5="",1,0)&gt;=1,1,0))</f>
        <v>0</v>
      </c>
      <c r="Y137" s="1307">
        <f t="shared" si="11"/>
        <v>49</v>
      </c>
      <c r="Z137" s="1307">
        <f t="shared" si="12"/>
        <v>0</v>
      </c>
      <c r="AA137" s="1307">
        <f t="shared" si="13"/>
        <v>49</v>
      </c>
      <c r="AB137" s="1307">
        <f t="shared" si="14"/>
        <v>0</v>
      </c>
    </row>
    <row r="138" spans="20:28">
      <c r="T138" s="1077">
        <v>15</v>
      </c>
      <c r="U138" s="1077">
        <f t="shared" si="10"/>
        <v>35</v>
      </c>
      <c r="V138" s="1077">
        <v>50</v>
      </c>
      <c r="W138" s="1077">
        <f t="array" ref="W138">SUMPRODUCT(IF('卡片raw data'!BM$1:BM$1000=T138,1,0),IF('卡片raw data'!BO$1:BO$1000=V138,1,0),IF(IF('卡片raw data'!C$1:C$1000=R$3,1,0)+IF(R$3="",1,0)&gt;=1,1,0),IF(IF('卡片raw data'!D$1:D$1000=R$4,1,0)+IF(R$4="",1,0)&gt;=1,1,0),IF(IF('卡片raw data'!E$1:E$1000=R$5,1,0)+IF(R$5="",1,0)&gt;=1,1,0))</f>
        <v>0</v>
      </c>
      <c r="Y138" s="1307">
        <f t="shared" si="11"/>
        <v>50</v>
      </c>
      <c r="Z138" s="1307">
        <f t="shared" si="12"/>
        <v>0</v>
      </c>
      <c r="AA138" s="1307">
        <f t="shared" si="13"/>
        <v>50</v>
      </c>
      <c r="AB138" s="1307">
        <f t="shared" si="14"/>
        <v>0</v>
      </c>
    </row>
    <row r="139" spans="20:28">
      <c r="T139" s="1077">
        <v>15</v>
      </c>
      <c r="U139" s="1077">
        <f t="shared" si="10"/>
        <v>34</v>
      </c>
      <c r="V139" s="1077">
        <v>51</v>
      </c>
      <c r="W139" s="1077">
        <f t="array" ref="W139">SUMPRODUCT(IF('卡片raw data'!BM$1:BM$1000=T139,1,0),IF('卡片raw data'!BO$1:BO$1000=V139,1,0),IF(IF('卡片raw data'!C$1:C$1000=R$3,1,0)+IF(R$3="",1,0)&gt;=1,1,0),IF(IF('卡片raw data'!D$1:D$1000=R$4,1,0)+IF(R$4="",1,0)&gt;=1,1,0),IF(IF('卡片raw data'!E$1:E$1000=R$5,1,0)+IF(R$5="",1,0)&gt;=1,1,0))</f>
        <v>0</v>
      </c>
      <c r="Y139" s="1307">
        <f t="shared" si="11"/>
        <v>51</v>
      </c>
      <c r="Z139" s="1307">
        <f t="shared" si="12"/>
        <v>0</v>
      </c>
      <c r="AA139" s="1307">
        <f t="shared" si="13"/>
        <v>51</v>
      </c>
      <c r="AB139" s="1307">
        <f t="shared" si="14"/>
        <v>0</v>
      </c>
    </row>
    <row r="140" spans="20:28">
      <c r="T140" s="1077">
        <v>15</v>
      </c>
      <c r="U140" s="1077">
        <f t="shared" si="10"/>
        <v>33</v>
      </c>
      <c r="V140" s="1077">
        <v>52</v>
      </c>
      <c r="W140" s="1077">
        <f t="array" ref="W140">SUMPRODUCT(IF('卡片raw data'!BM$1:BM$1000=T140,1,0),IF('卡片raw data'!BO$1:BO$1000=V140,1,0),IF(IF('卡片raw data'!C$1:C$1000=R$3,1,0)+IF(R$3="",1,0)&gt;=1,1,0),IF(IF('卡片raw data'!D$1:D$1000=R$4,1,0)+IF(R$4="",1,0)&gt;=1,1,0),IF(IF('卡片raw data'!E$1:E$1000=R$5,1,0)+IF(R$5="",1,0)&gt;=1,1,0))</f>
        <v>0</v>
      </c>
      <c r="Y140" s="1307">
        <f t="shared" si="11"/>
        <v>52</v>
      </c>
      <c r="Z140" s="1307">
        <f t="shared" si="12"/>
        <v>0</v>
      </c>
      <c r="AA140" s="1307">
        <f t="shared" si="13"/>
        <v>52</v>
      </c>
      <c r="AB140" s="1307">
        <f t="shared" si="14"/>
        <v>0</v>
      </c>
    </row>
    <row r="141" spans="20:28">
      <c r="T141" s="1077">
        <v>15</v>
      </c>
      <c r="U141" s="1077">
        <f t="shared" si="10"/>
        <v>32</v>
      </c>
      <c r="V141" s="1077">
        <v>53</v>
      </c>
      <c r="W141" s="1077">
        <f t="array" ref="W141">SUMPRODUCT(IF('卡片raw data'!BM$1:BM$1000=T141,1,0),IF('卡片raw data'!BO$1:BO$1000=V141,1,0),IF(IF('卡片raw data'!C$1:C$1000=R$3,1,0)+IF(R$3="",1,0)&gt;=1,1,0),IF(IF('卡片raw data'!D$1:D$1000=R$4,1,0)+IF(R$4="",1,0)&gt;=1,1,0),IF(IF('卡片raw data'!E$1:E$1000=R$5,1,0)+IF(R$5="",1,0)&gt;=1,1,0))</f>
        <v>0</v>
      </c>
      <c r="Y141" s="1307">
        <f t="shared" si="11"/>
        <v>53</v>
      </c>
      <c r="Z141" s="1307">
        <f t="shared" si="12"/>
        <v>0</v>
      </c>
      <c r="AA141" s="1307">
        <f t="shared" si="13"/>
        <v>53</v>
      </c>
      <c r="AB141" s="1307">
        <f t="shared" si="14"/>
        <v>0</v>
      </c>
    </row>
    <row r="142" spans="20:28">
      <c r="T142" s="1077">
        <v>15</v>
      </c>
      <c r="U142" s="1077">
        <f t="shared" si="10"/>
        <v>31</v>
      </c>
      <c r="V142" s="1077">
        <v>54</v>
      </c>
      <c r="W142" s="1077">
        <f t="array" ref="W142">SUMPRODUCT(IF('卡片raw data'!BM$1:BM$1000=T142,1,0),IF('卡片raw data'!BO$1:BO$1000=V142,1,0),IF(IF('卡片raw data'!C$1:C$1000=R$3,1,0)+IF(R$3="",1,0)&gt;=1,1,0),IF(IF('卡片raw data'!D$1:D$1000=R$4,1,0)+IF(R$4="",1,0)&gt;=1,1,0),IF(IF('卡片raw data'!E$1:E$1000=R$5,1,0)+IF(R$5="",1,0)&gt;=1,1,0))</f>
        <v>0</v>
      </c>
      <c r="Y142" s="1307">
        <f t="shared" si="11"/>
        <v>54</v>
      </c>
      <c r="Z142" s="1307">
        <f t="shared" si="12"/>
        <v>0</v>
      </c>
      <c r="AA142" s="1307">
        <f t="shared" si="13"/>
        <v>54</v>
      </c>
      <c r="AB142" s="1307">
        <f t="shared" si="14"/>
        <v>0</v>
      </c>
    </row>
    <row r="143" spans="20:28">
      <c r="T143" s="1077">
        <v>15</v>
      </c>
      <c r="U143" s="1077">
        <f t="shared" si="10"/>
        <v>30</v>
      </c>
      <c r="V143" s="1077">
        <v>55</v>
      </c>
      <c r="W143" s="1077">
        <f t="array" ref="W143">SUMPRODUCT(IF('卡片raw data'!BM$1:BM$1000=T143,1,0),IF('卡片raw data'!BO$1:BO$1000=V143,1,0),IF(IF('卡片raw data'!C$1:C$1000=R$3,1,0)+IF(R$3="",1,0)&gt;=1,1,0),IF(IF('卡片raw data'!D$1:D$1000=R$4,1,0)+IF(R$4="",1,0)&gt;=1,1,0),IF(IF('卡片raw data'!E$1:E$1000=R$5,1,0)+IF(R$5="",1,0)&gt;=1,1,0))</f>
        <v>0</v>
      </c>
      <c r="Y143" s="1307">
        <f t="shared" si="11"/>
        <v>55</v>
      </c>
      <c r="Z143" s="1307">
        <f t="shared" si="12"/>
        <v>0</v>
      </c>
      <c r="AA143" s="1307">
        <f t="shared" si="13"/>
        <v>55</v>
      </c>
      <c r="AB143" s="1307">
        <f t="shared" si="14"/>
        <v>0</v>
      </c>
    </row>
    <row r="144" spans="20:28">
      <c r="T144" s="1077">
        <v>16</v>
      </c>
      <c r="U144" s="1077">
        <f t="shared" si="10"/>
        <v>55</v>
      </c>
      <c r="V144" s="1077">
        <v>29</v>
      </c>
      <c r="W144" s="1077">
        <f t="array" ref="W144">SUMPRODUCT(IF('卡片raw data'!BM$1:BM$1000=T144,1,0),IF('卡片raw data'!BO$1:BO$1000=V144,1,0),IF(IF('卡片raw data'!C$1:C$1000=R$3,1,0)+IF(R$3="",1,0)&gt;=1,1,0),IF(IF('卡片raw data'!D$1:D$1000=R$4,1,0)+IF(R$4="",1,0)&gt;=1,1,0),IF(IF('卡片raw data'!E$1:E$1000=R$5,1,0)+IF(R$5="",1,0)&gt;=1,1,0))</f>
        <v>0</v>
      </c>
      <c r="Y144" s="1307">
        <f t="shared" si="11"/>
        <v>29</v>
      </c>
      <c r="Z144" s="1307">
        <f t="shared" si="12"/>
        <v>0</v>
      </c>
      <c r="AA144" s="1307">
        <f t="shared" si="13"/>
        <v>29</v>
      </c>
      <c r="AB144" s="1307">
        <f t="shared" si="14"/>
        <v>0</v>
      </c>
    </row>
    <row r="145" spans="20:28">
      <c r="T145" s="1077">
        <v>16</v>
      </c>
      <c r="U145" s="1077">
        <f t="shared" si="10"/>
        <v>54</v>
      </c>
      <c r="V145" s="1077">
        <v>30</v>
      </c>
      <c r="W145" s="1077">
        <f t="array" ref="W145">SUMPRODUCT(IF('卡片raw data'!BM$1:BM$1000=T145,1,0),IF('卡片raw data'!BO$1:BO$1000=V145,1,0),IF(IF('卡片raw data'!C$1:C$1000=R$3,1,0)+IF(R$3="",1,0)&gt;=1,1,0),IF(IF('卡片raw data'!D$1:D$1000=R$4,1,0)+IF(R$4="",1,0)&gt;=1,1,0),IF(IF('卡片raw data'!E$1:E$1000=R$5,1,0)+IF(R$5="",1,0)&gt;=1,1,0))</f>
        <v>0</v>
      </c>
      <c r="Y145" s="1307">
        <f t="shared" si="11"/>
        <v>30</v>
      </c>
      <c r="Z145" s="1307">
        <f t="shared" si="12"/>
        <v>0</v>
      </c>
      <c r="AA145" s="1307">
        <f t="shared" si="13"/>
        <v>30</v>
      </c>
      <c r="AB145" s="1307">
        <f t="shared" si="14"/>
        <v>0</v>
      </c>
    </row>
    <row r="146" spans="20:28">
      <c r="T146" s="1077">
        <v>16</v>
      </c>
      <c r="U146" s="1077">
        <f t="shared" si="10"/>
        <v>53</v>
      </c>
      <c r="V146" s="1077">
        <v>31</v>
      </c>
      <c r="W146" s="1077">
        <f t="array" ref="W146">SUMPRODUCT(IF('卡片raw data'!BM$1:BM$1000=T146,1,0),IF('卡片raw data'!BO$1:BO$1000=V146,1,0),IF(IF('卡片raw data'!C$1:C$1000=R$3,1,0)+IF(R$3="",1,0)&gt;=1,1,0),IF(IF('卡片raw data'!D$1:D$1000=R$4,1,0)+IF(R$4="",1,0)&gt;=1,1,0),IF(IF('卡片raw data'!E$1:E$1000=R$5,1,0)+IF(R$5="",1,0)&gt;=1,1,0))</f>
        <v>0</v>
      </c>
      <c r="Y146" s="1307">
        <f t="shared" si="11"/>
        <v>31</v>
      </c>
      <c r="Z146" s="1307">
        <f t="shared" si="12"/>
        <v>0</v>
      </c>
      <c r="AA146" s="1307">
        <f t="shared" si="13"/>
        <v>31</v>
      </c>
      <c r="AB146" s="1307">
        <f t="shared" si="14"/>
        <v>0</v>
      </c>
    </row>
    <row r="147" spans="20:28">
      <c r="T147" s="1077">
        <v>16</v>
      </c>
      <c r="U147" s="1077">
        <f t="shared" si="10"/>
        <v>52</v>
      </c>
      <c r="V147" s="1077">
        <v>32</v>
      </c>
      <c r="W147" s="1077">
        <f t="array" ref="W147">SUMPRODUCT(IF('卡片raw data'!BM$1:BM$1000=T147,1,0),IF('卡片raw data'!BO$1:BO$1000=V147,1,0),IF(IF('卡片raw data'!C$1:C$1000=R$3,1,0)+IF(R$3="",1,0)&gt;=1,1,0),IF(IF('卡片raw data'!D$1:D$1000=R$4,1,0)+IF(R$4="",1,0)&gt;=1,1,0),IF(IF('卡片raw data'!E$1:E$1000=R$5,1,0)+IF(R$5="",1,0)&gt;=1,1,0))</f>
        <v>0</v>
      </c>
      <c r="Y147" s="1307">
        <f t="shared" si="11"/>
        <v>32</v>
      </c>
      <c r="Z147" s="1307">
        <f t="shared" si="12"/>
        <v>0</v>
      </c>
      <c r="AA147" s="1307">
        <f t="shared" si="13"/>
        <v>32</v>
      </c>
      <c r="AB147" s="1307">
        <f t="shared" si="14"/>
        <v>0</v>
      </c>
    </row>
    <row r="148" spans="20:28">
      <c r="T148" s="1077">
        <v>16</v>
      </c>
      <c r="U148" s="1077">
        <f t="shared" si="10"/>
        <v>51</v>
      </c>
      <c r="V148" s="1077">
        <v>33</v>
      </c>
      <c r="W148" s="1077">
        <f t="array" ref="W148">SUMPRODUCT(IF('卡片raw data'!BM$1:BM$1000=T148,1,0),IF('卡片raw data'!BO$1:BO$1000=V148,1,0),IF(IF('卡片raw data'!C$1:C$1000=R$3,1,0)+IF(R$3="",1,0)&gt;=1,1,0),IF(IF('卡片raw data'!D$1:D$1000=R$4,1,0)+IF(R$4="",1,0)&gt;=1,1,0),IF(IF('卡片raw data'!E$1:E$1000=R$5,1,0)+IF(R$5="",1,0)&gt;=1,1,0))</f>
        <v>0</v>
      </c>
      <c r="Y148" s="1307">
        <f t="shared" si="11"/>
        <v>33</v>
      </c>
      <c r="Z148" s="1307">
        <f t="shared" si="12"/>
        <v>0</v>
      </c>
      <c r="AA148" s="1307">
        <f t="shared" si="13"/>
        <v>33</v>
      </c>
      <c r="AB148" s="1307">
        <f t="shared" si="14"/>
        <v>0</v>
      </c>
    </row>
    <row r="149" spans="20:28">
      <c r="T149" s="1077">
        <v>16</v>
      </c>
      <c r="U149" s="1077">
        <f t="shared" si="10"/>
        <v>50</v>
      </c>
      <c r="V149" s="1077">
        <v>34</v>
      </c>
      <c r="W149" s="1077">
        <f t="array" ref="W149">SUMPRODUCT(IF('卡片raw data'!BM$1:BM$1000=T149,1,0),IF('卡片raw data'!BO$1:BO$1000=V149,1,0),IF(IF('卡片raw data'!C$1:C$1000=R$3,1,0)+IF(R$3="",1,0)&gt;=1,1,0),IF(IF('卡片raw data'!D$1:D$1000=R$4,1,0)+IF(R$4="",1,0)&gt;=1,1,0),IF(IF('卡片raw data'!E$1:E$1000=R$5,1,0)+IF(R$5="",1,0)&gt;=1,1,0))</f>
        <v>0</v>
      </c>
      <c r="Y149" s="1307">
        <f t="shared" si="11"/>
        <v>34</v>
      </c>
      <c r="Z149" s="1307">
        <f t="shared" si="12"/>
        <v>0</v>
      </c>
      <c r="AA149" s="1307">
        <f t="shared" si="13"/>
        <v>34</v>
      </c>
      <c r="AB149" s="1307">
        <f t="shared" si="14"/>
        <v>0</v>
      </c>
    </row>
    <row r="150" spans="20:28">
      <c r="T150" s="1077">
        <v>16</v>
      </c>
      <c r="U150" s="1077">
        <f t="shared" si="10"/>
        <v>49</v>
      </c>
      <c r="V150" s="1077">
        <v>35</v>
      </c>
      <c r="W150" s="1077">
        <f t="array" ref="W150">SUMPRODUCT(IF('卡片raw data'!BM$1:BM$1000=T150,1,0),IF('卡片raw data'!BO$1:BO$1000=V150,1,0),IF(IF('卡片raw data'!C$1:C$1000=R$3,1,0)+IF(R$3="",1,0)&gt;=1,1,0),IF(IF('卡片raw data'!D$1:D$1000=R$4,1,0)+IF(R$4="",1,0)&gt;=1,1,0),IF(IF('卡片raw data'!E$1:E$1000=R$5,1,0)+IF(R$5="",1,0)&gt;=1,1,0))</f>
        <v>0</v>
      </c>
      <c r="Y150" s="1307">
        <f t="shared" si="11"/>
        <v>35</v>
      </c>
      <c r="Z150" s="1307">
        <f t="shared" si="12"/>
        <v>0</v>
      </c>
      <c r="AA150" s="1307">
        <f t="shared" si="13"/>
        <v>35</v>
      </c>
      <c r="AB150" s="1307">
        <f t="shared" si="14"/>
        <v>0</v>
      </c>
    </row>
    <row r="151" spans="20:28">
      <c r="T151" s="1077">
        <v>16</v>
      </c>
      <c r="U151" s="1077">
        <f t="shared" si="10"/>
        <v>48</v>
      </c>
      <c r="V151" s="1077">
        <v>36</v>
      </c>
      <c r="W151" s="1077">
        <f t="array" ref="W151">SUMPRODUCT(IF('卡片raw data'!BM$1:BM$1000=T151,1,0),IF('卡片raw data'!BO$1:BO$1000=V151,1,0),IF(IF('卡片raw data'!C$1:C$1000=R$3,1,0)+IF(R$3="",1,0)&gt;=1,1,0),IF(IF('卡片raw data'!D$1:D$1000=R$4,1,0)+IF(R$4="",1,0)&gt;=1,1,0),IF(IF('卡片raw data'!E$1:E$1000=R$5,1,0)+IF(R$5="",1,0)&gt;=1,1,0))</f>
        <v>0</v>
      </c>
      <c r="Y151" s="1307">
        <f t="shared" si="11"/>
        <v>36</v>
      </c>
      <c r="Z151" s="1307">
        <f t="shared" si="12"/>
        <v>0</v>
      </c>
      <c r="AA151" s="1307">
        <f t="shared" si="13"/>
        <v>36</v>
      </c>
      <c r="AB151" s="1307">
        <f t="shared" si="14"/>
        <v>0</v>
      </c>
    </row>
    <row r="152" spans="20:28">
      <c r="T152" s="1077">
        <v>16</v>
      </c>
      <c r="U152" s="1077">
        <f t="shared" si="10"/>
        <v>47</v>
      </c>
      <c r="V152" s="1077">
        <v>37</v>
      </c>
      <c r="W152" s="1077">
        <f t="array" ref="W152">SUMPRODUCT(IF('卡片raw data'!BM$1:BM$1000=T152,1,0),IF('卡片raw data'!BO$1:BO$1000=V152,1,0),IF(IF('卡片raw data'!C$1:C$1000=R$3,1,0)+IF(R$3="",1,0)&gt;=1,1,0),IF(IF('卡片raw data'!D$1:D$1000=R$4,1,0)+IF(R$4="",1,0)&gt;=1,1,0),IF(IF('卡片raw data'!E$1:E$1000=R$5,1,0)+IF(R$5="",1,0)&gt;=1,1,0))</f>
        <v>0</v>
      </c>
      <c r="Y152" s="1307">
        <f t="shared" si="11"/>
        <v>37</v>
      </c>
      <c r="Z152" s="1307">
        <f t="shared" si="12"/>
        <v>0</v>
      </c>
      <c r="AA152" s="1307">
        <f t="shared" si="13"/>
        <v>37</v>
      </c>
      <c r="AB152" s="1307">
        <f t="shared" si="14"/>
        <v>0</v>
      </c>
    </row>
    <row r="153" spans="20:28">
      <c r="T153" s="1077">
        <v>16</v>
      </c>
      <c r="U153" s="1077">
        <f t="shared" si="10"/>
        <v>46</v>
      </c>
      <c r="V153" s="1077">
        <v>38</v>
      </c>
      <c r="W153" s="1077">
        <f t="array" ref="W153">SUMPRODUCT(IF('卡片raw data'!BM$1:BM$1000=T153,1,0),IF('卡片raw data'!BO$1:BO$1000=V153,1,0),IF(IF('卡片raw data'!C$1:C$1000=R$3,1,0)+IF(R$3="",1,0)&gt;=1,1,0),IF(IF('卡片raw data'!D$1:D$1000=R$4,1,0)+IF(R$4="",1,0)&gt;=1,1,0),IF(IF('卡片raw data'!E$1:E$1000=R$5,1,0)+IF(R$5="",1,0)&gt;=1,1,0))</f>
        <v>0</v>
      </c>
      <c r="Y153" s="1307">
        <f t="shared" si="11"/>
        <v>38</v>
      </c>
      <c r="Z153" s="1307">
        <f t="shared" si="12"/>
        <v>0</v>
      </c>
      <c r="AA153" s="1307">
        <f t="shared" si="13"/>
        <v>38</v>
      </c>
      <c r="AB153" s="1307">
        <f t="shared" si="14"/>
        <v>0</v>
      </c>
    </row>
    <row r="154" spans="20:28">
      <c r="T154" s="1077">
        <v>16</v>
      </c>
      <c r="U154" s="1077">
        <f t="shared" si="10"/>
        <v>45</v>
      </c>
      <c r="V154" s="1077">
        <v>39</v>
      </c>
      <c r="W154" s="1077">
        <f t="array" ref="W154">SUMPRODUCT(IF('卡片raw data'!BM$1:BM$1000=T154,1,0),IF('卡片raw data'!BO$1:BO$1000=V154,1,0),IF(IF('卡片raw data'!C$1:C$1000=R$3,1,0)+IF(R$3="",1,0)&gt;=1,1,0),IF(IF('卡片raw data'!D$1:D$1000=R$4,1,0)+IF(R$4="",1,0)&gt;=1,1,0),IF(IF('卡片raw data'!E$1:E$1000=R$5,1,0)+IF(R$5="",1,0)&gt;=1,1,0))</f>
        <v>0</v>
      </c>
      <c r="Y154" s="1307">
        <f t="shared" si="11"/>
        <v>39</v>
      </c>
      <c r="Z154" s="1307">
        <f t="shared" si="12"/>
        <v>0</v>
      </c>
      <c r="AA154" s="1307">
        <f t="shared" si="13"/>
        <v>39</v>
      </c>
      <c r="AB154" s="1307">
        <f t="shared" si="14"/>
        <v>0</v>
      </c>
    </row>
    <row r="155" spans="20:28">
      <c r="T155" s="1077">
        <v>16</v>
      </c>
      <c r="U155" s="1077">
        <f t="shared" si="10"/>
        <v>44</v>
      </c>
      <c r="V155" s="1077">
        <v>40</v>
      </c>
      <c r="W155" s="1077">
        <f t="array" ref="W155">SUMPRODUCT(IF('卡片raw data'!BM$1:BM$1000=T155,1,0),IF('卡片raw data'!BO$1:BO$1000=V155,1,0),IF(IF('卡片raw data'!C$1:C$1000=R$3,1,0)+IF(R$3="",1,0)&gt;=1,1,0),IF(IF('卡片raw data'!D$1:D$1000=R$4,1,0)+IF(R$4="",1,0)&gt;=1,1,0),IF(IF('卡片raw data'!E$1:E$1000=R$5,1,0)+IF(R$5="",1,0)&gt;=1,1,0))</f>
        <v>0</v>
      </c>
      <c r="Y155" s="1307">
        <f t="shared" si="11"/>
        <v>40</v>
      </c>
      <c r="Z155" s="1307">
        <f t="shared" si="12"/>
        <v>0</v>
      </c>
      <c r="AA155" s="1307">
        <f t="shared" si="13"/>
        <v>40</v>
      </c>
      <c r="AB155" s="1307">
        <f t="shared" si="14"/>
        <v>0</v>
      </c>
    </row>
    <row r="156" spans="20:28">
      <c r="T156" s="1077">
        <v>16</v>
      </c>
      <c r="U156" s="1077">
        <f t="shared" si="10"/>
        <v>43</v>
      </c>
      <c r="V156" s="1077">
        <v>41</v>
      </c>
      <c r="W156" s="1077">
        <f t="array" ref="W156">SUMPRODUCT(IF('卡片raw data'!BM$1:BM$1000=T156,1,0),IF('卡片raw data'!BO$1:BO$1000=V156,1,0),IF(IF('卡片raw data'!C$1:C$1000=R$3,1,0)+IF(R$3="",1,0)&gt;=1,1,0),IF(IF('卡片raw data'!D$1:D$1000=R$4,1,0)+IF(R$4="",1,0)&gt;=1,1,0),IF(IF('卡片raw data'!E$1:E$1000=R$5,1,0)+IF(R$5="",1,0)&gt;=1,1,0))</f>
        <v>0</v>
      </c>
      <c r="Y156" s="1307">
        <f t="shared" si="11"/>
        <v>41</v>
      </c>
      <c r="Z156" s="1307">
        <f t="shared" si="12"/>
        <v>0</v>
      </c>
      <c r="AA156" s="1307">
        <f t="shared" si="13"/>
        <v>41</v>
      </c>
      <c r="AB156" s="1307">
        <f t="shared" si="14"/>
        <v>0</v>
      </c>
    </row>
    <row r="157" spans="20:28">
      <c r="T157" s="1077">
        <v>16</v>
      </c>
      <c r="U157" s="1077">
        <f t="shared" si="10"/>
        <v>42</v>
      </c>
      <c r="V157" s="1077">
        <v>42</v>
      </c>
      <c r="W157" s="1077">
        <f t="array" ref="W157">SUMPRODUCT(IF('卡片raw data'!BM$1:BM$1000=T157,1,0),IF('卡片raw data'!BO$1:BO$1000=V157,1,0),IF(IF('卡片raw data'!C$1:C$1000=R$3,1,0)+IF(R$3="",1,0)&gt;=1,1,0),IF(IF('卡片raw data'!D$1:D$1000=R$4,1,0)+IF(R$4="",1,0)&gt;=1,1,0),IF(IF('卡片raw data'!E$1:E$1000=R$5,1,0)+IF(R$5="",1,0)&gt;=1,1,0))</f>
        <v>0</v>
      </c>
      <c r="Y157" s="1307">
        <f t="shared" si="11"/>
        <v>42</v>
      </c>
      <c r="Z157" s="1307">
        <f t="shared" si="12"/>
        <v>0</v>
      </c>
      <c r="AA157" s="1307">
        <f t="shared" si="13"/>
        <v>42</v>
      </c>
      <c r="AB157" s="1307">
        <f t="shared" si="14"/>
        <v>0</v>
      </c>
    </row>
    <row r="158" spans="20:28">
      <c r="T158" s="1077">
        <v>16</v>
      </c>
      <c r="U158" s="1077">
        <f t="shared" si="10"/>
        <v>41</v>
      </c>
      <c r="V158" s="1077">
        <v>43</v>
      </c>
      <c r="W158" s="1077">
        <f t="array" ref="W158">SUMPRODUCT(IF('卡片raw data'!BM$1:BM$1000=T158,1,0),IF('卡片raw data'!BO$1:BO$1000=V158,1,0),IF(IF('卡片raw data'!C$1:C$1000=R$3,1,0)+IF(R$3="",1,0)&gt;=1,1,0),IF(IF('卡片raw data'!D$1:D$1000=R$4,1,0)+IF(R$4="",1,0)&gt;=1,1,0),IF(IF('卡片raw data'!E$1:E$1000=R$5,1,0)+IF(R$5="",1,0)&gt;=1,1,0))</f>
        <v>0</v>
      </c>
      <c r="Y158" s="1307">
        <f t="shared" si="11"/>
        <v>43</v>
      </c>
      <c r="Z158" s="1307">
        <f t="shared" si="12"/>
        <v>0</v>
      </c>
      <c r="AA158" s="1307">
        <f t="shared" si="13"/>
        <v>43</v>
      </c>
      <c r="AB158" s="1307">
        <f t="shared" si="14"/>
        <v>0</v>
      </c>
    </row>
    <row r="159" spans="20:28">
      <c r="T159" s="1077">
        <v>16</v>
      </c>
      <c r="U159" s="1077">
        <f t="shared" si="10"/>
        <v>40</v>
      </c>
      <c r="V159" s="1077">
        <v>44</v>
      </c>
      <c r="W159" s="1077">
        <f t="array" ref="W159">SUMPRODUCT(IF('卡片raw data'!BM$1:BM$1000=T159,1,0),IF('卡片raw data'!BO$1:BO$1000=V159,1,0),IF(IF('卡片raw data'!C$1:C$1000=R$3,1,0)+IF(R$3="",1,0)&gt;=1,1,0),IF(IF('卡片raw data'!D$1:D$1000=R$4,1,0)+IF(R$4="",1,0)&gt;=1,1,0),IF(IF('卡片raw data'!E$1:E$1000=R$5,1,0)+IF(R$5="",1,0)&gt;=1,1,0))</f>
        <v>0</v>
      </c>
      <c r="Y159" s="1307">
        <f t="shared" si="11"/>
        <v>44</v>
      </c>
      <c r="Z159" s="1307">
        <f t="shared" si="12"/>
        <v>0</v>
      </c>
      <c r="AA159" s="1307">
        <f t="shared" si="13"/>
        <v>44</v>
      </c>
      <c r="AB159" s="1307">
        <f t="shared" si="14"/>
        <v>0</v>
      </c>
    </row>
    <row r="160" spans="20:28">
      <c r="T160" s="1077">
        <v>16</v>
      </c>
      <c r="U160" s="1077">
        <f t="shared" si="10"/>
        <v>39</v>
      </c>
      <c r="V160" s="1077">
        <v>45</v>
      </c>
      <c r="W160" s="1077">
        <f t="array" ref="W160">SUMPRODUCT(IF('卡片raw data'!BM$1:BM$1000=T160,1,0),IF('卡片raw data'!BO$1:BO$1000=V160,1,0),IF(IF('卡片raw data'!C$1:C$1000=R$3,1,0)+IF(R$3="",1,0)&gt;=1,1,0),IF(IF('卡片raw data'!D$1:D$1000=R$4,1,0)+IF(R$4="",1,0)&gt;=1,1,0),IF(IF('卡片raw data'!E$1:E$1000=R$5,1,0)+IF(R$5="",1,0)&gt;=1,1,0))</f>
        <v>0</v>
      </c>
      <c r="Y160" s="1307">
        <f t="shared" si="11"/>
        <v>45</v>
      </c>
      <c r="Z160" s="1307">
        <f t="shared" si="12"/>
        <v>0</v>
      </c>
      <c r="AA160" s="1307">
        <f t="shared" si="13"/>
        <v>45</v>
      </c>
      <c r="AB160" s="1307">
        <f t="shared" si="14"/>
        <v>0</v>
      </c>
    </row>
    <row r="161" spans="20:28">
      <c r="T161" s="1077">
        <v>16</v>
      </c>
      <c r="U161" s="1077">
        <f t="shared" si="10"/>
        <v>38</v>
      </c>
      <c r="V161" s="1077">
        <v>46</v>
      </c>
      <c r="W161" s="1077">
        <f t="array" ref="W161">SUMPRODUCT(IF('卡片raw data'!BM$1:BM$1000=T161,1,0),IF('卡片raw data'!BO$1:BO$1000=V161,1,0),IF(IF('卡片raw data'!C$1:C$1000=R$3,1,0)+IF(R$3="",1,0)&gt;=1,1,0),IF(IF('卡片raw data'!D$1:D$1000=R$4,1,0)+IF(R$4="",1,0)&gt;=1,1,0),IF(IF('卡片raw data'!E$1:E$1000=R$5,1,0)+IF(R$5="",1,0)&gt;=1,1,0))</f>
        <v>0</v>
      </c>
      <c r="Y161" s="1307">
        <f t="shared" si="11"/>
        <v>46</v>
      </c>
      <c r="Z161" s="1307">
        <f t="shared" si="12"/>
        <v>0</v>
      </c>
      <c r="AA161" s="1307">
        <f t="shared" si="13"/>
        <v>46</v>
      </c>
      <c r="AB161" s="1307">
        <f t="shared" si="14"/>
        <v>0</v>
      </c>
    </row>
    <row r="162" spans="20:28">
      <c r="T162" s="1077">
        <v>16</v>
      </c>
      <c r="U162" s="1077">
        <f t="shared" si="10"/>
        <v>37</v>
      </c>
      <c r="V162" s="1077">
        <v>47</v>
      </c>
      <c r="W162" s="1077">
        <f t="array" ref="W162">SUMPRODUCT(IF('卡片raw data'!BM$1:BM$1000=T162,1,0),IF('卡片raw data'!BO$1:BO$1000=V162,1,0),IF(IF('卡片raw data'!C$1:C$1000=R$3,1,0)+IF(R$3="",1,0)&gt;=1,1,0),IF(IF('卡片raw data'!D$1:D$1000=R$4,1,0)+IF(R$4="",1,0)&gt;=1,1,0),IF(IF('卡片raw data'!E$1:E$1000=R$5,1,0)+IF(R$5="",1,0)&gt;=1,1,0))</f>
        <v>0</v>
      </c>
      <c r="Y162" s="1307">
        <f t="shared" si="11"/>
        <v>47</v>
      </c>
      <c r="Z162" s="1307">
        <f t="shared" si="12"/>
        <v>0</v>
      </c>
      <c r="AA162" s="1307">
        <f t="shared" si="13"/>
        <v>47</v>
      </c>
      <c r="AB162" s="1307">
        <f t="shared" si="14"/>
        <v>0</v>
      </c>
    </row>
    <row r="163" spans="20:28">
      <c r="T163" s="1077">
        <v>16</v>
      </c>
      <c r="U163" s="1077">
        <f t="shared" si="10"/>
        <v>36</v>
      </c>
      <c r="V163" s="1077">
        <v>48</v>
      </c>
      <c r="W163" s="1077">
        <f t="array" ref="W163">SUMPRODUCT(IF('卡片raw data'!BM$1:BM$1000=T163,1,0),IF('卡片raw data'!BO$1:BO$1000=V163,1,0),IF(IF('卡片raw data'!C$1:C$1000=R$3,1,0)+IF(R$3="",1,0)&gt;=1,1,0),IF(IF('卡片raw data'!D$1:D$1000=R$4,1,0)+IF(R$4="",1,0)&gt;=1,1,0),IF(IF('卡片raw data'!E$1:E$1000=R$5,1,0)+IF(R$5="",1,0)&gt;=1,1,0))</f>
        <v>0</v>
      </c>
      <c r="Y163" s="1307">
        <f t="shared" si="11"/>
        <v>48</v>
      </c>
      <c r="Z163" s="1307">
        <f t="shared" si="12"/>
        <v>0</v>
      </c>
      <c r="AA163" s="1307">
        <f t="shared" si="13"/>
        <v>48</v>
      </c>
      <c r="AB163" s="1307">
        <f t="shared" si="14"/>
        <v>0</v>
      </c>
    </row>
    <row r="164" spans="20:28">
      <c r="T164" s="1077">
        <v>16</v>
      </c>
      <c r="U164" s="1077">
        <f t="shared" si="10"/>
        <v>35</v>
      </c>
      <c r="V164" s="1077">
        <v>49</v>
      </c>
      <c r="W164" s="1077">
        <f t="array" ref="W164">SUMPRODUCT(IF('卡片raw data'!BM$1:BM$1000=T164,1,0),IF('卡片raw data'!BO$1:BO$1000=V164,1,0),IF(IF('卡片raw data'!C$1:C$1000=R$3,1,0)+IF(R$3="",1,0)&gt;=1,1,0),IF(IF('卡片raw data'!D$1:D$1000=R$4,1,0)+IF(R$4="",1,0)&gt;=1,1,0),IF(IF('卡片raw data'!E$1:E$1000=R$5,1,0)+IF(R$5="",1,0)&gt;=1,1,0))</f>
        <v>0</v>
      </c>
      <c r="Y164" s="1307">
        <f t="shared" si="11"/>
        <v>49</v>
      </c>
      <c r="Z164" s="1307">
        <f t="shared" si="12"/>
        <v>0</v>
      </c>
      <c r="AA164" s="1307">
        <f t="shared" si="13"/>
        <v>49</v>
      </c>
      <c r="AB164" s="1307">
        <f t="shared" si="14"/>
        <v>0</v>
      </c>
    </row>
    <row r="165" spans="20:28">
      <c r="T165" s="1077">
        <v>16</v>
      </c>
      <c r="U165" s="1077">
        <f t="shared" si="10"/>
        <v>34</v>
      </c>
      <c r="V165" s="1077">
        <v>50</v>
      </c>
      <c r="W165" s="1077">
        <f t="array" ref="W165">SUMPRODUCT(IF('卡片raw data'!BM$1:BM$1000=T165,1,0),IF('卡片raw data'!BO$1:BO$1000=V165,1,0),IF(IF('卡片raw data'!C$1:C$1000=R$3,1,0)+IF(R$3="",1,0)&gt;=1,1,0),IF(IF('卡片raw data'!D$1:D$1000=R$4,1,0)+IF(R$4="",1,0)&gt;=1,1,0),IF(IF('卡片raw data'!E$1:E$1000=R$5,1,0)+IF(R$5="",1,0)&gt;=1,1,0))</f>
        <v>0</v>
      </c>
      <c r="Y165" s="1307">
        <f t="shared" si="11"/>
        <v>50</v>
      </c>
      <c r="Z165" s="1307">
        <f t="shared" si="12"/>
        <v>0</v>
      </c>
      <c r="AA165" s="1307">
        <f t="shared" si="13"/>
        <v>50</v>
      </c>
      <c r="AB165" s="1307">
        <f t="shared" si="14"/>
        <v>0</v>
      </c>
    </row>
    <row r="166" spans="20:28">
      <c r="T166" s="1077">
        <v>16</v>
      </c>
      <c r="U166" s="1077">
        <f t="shared" si="10"/>
        <v>33</v>
      </c>
      <c r="V166" s="1077">
        <v>51</v>
      </c>
      <c r="W166" s="1077">
        <f t="array" ref="W166">SUMPRODUCT(IF('卡片raw data'!BM$1:BM$1000=T166,1,0),IF('卡片raw data'!BO$1:BO$1000=V166,1,0),IF(IF('卡片raw data'!C$1:C$1000=R$3,1,0)+IF(R$3="",1,0)&gt;=1,1,0),IF(IF('卡片raw data'!D$1:D$1000=R$4,1,0)+IF(R$4="",1,0)&gt;=1,1,0),IF(IF('卡片raw data'!E$1:E$1000=R$5,1,0)+IF(R$5="",1,0)&gt;=1,1,0))</f>
        <v>0</v>
      </c>
      <c r="Y166" s="1307">
        <f t="shared" si="11"/>
        <v>51</v>
      </c>
      <c r="Z166" s="1307">
        <f t="shared" si="12"/>
        <v>0</v>
      </c>
      <c r="AA166" s="1307">
        <f t="shared" si="13"/>
        <v>51</v>
      </c>
      <c r="AB166" s="1307">
        <f t="shared" si="14"/>
        <v>0</v>
      </c>
    </row>
    <row r="167" spans="20:28">
      <c r="T167" s="1077">
        <v>16</v>
      </c>
      <c r="U167" s="1077">
        <f t="shared" si="10"/>
        <v>32</v>
      </c>
      <c r="V167" s="1077">
        <v>52</v>
      </c>
      <c r="W167" s="1077">
        <f t="array" ref="W167">SUMPRODUCT(IF('卡片raw data'!BM$1:BM$1000=T167,1,0),IF('卡片raw data'!BO$1:BO$1000=V167,1,0),IF(IF('卡片raw data'!C$1:C$1000=R$3,1,0)+IF(R$3="",1,0)&gt;=1,1,0),IF(IF('卡片raw data'!D$1:D$1000=R$4,1,0)+IF(R$4="",1,0)&gt;=1,1,0),IF(IF('卡片raw data'!E$1:E$1000=R$5,1,0)+IF(R$5="",1,0)&gt;=1,1,0))</f>
        <v>0</v>
      </c>
      <c r="Y167" s="1307">
        <f t="shared" si="11"/>
        <v>52</v>
      </c>
      <c r="Z167" s="1307">
        <f t="shared" si="12"/>
        <v>0</v>
      </c>
      <c r="AA167" s="1307">
        <f t="shared" si="13"/>
        <v>52</v>
      </c>
      <c r="AB167" s="1307">
        <f t="shared" si="14"/>
        <v>0</v>
      </c>
    </row>
    <row r="168" spans="20:28">
      <c r="T168" s="1077">
        <v>16</v>
      </c>
      <c r="U168" s="1077">
        <f t="shared" si="10"/>
        <v>31</v>
      </c>
      <c r="V168" s="1077">
        <v>53</v>
      </c>
      <c r="W168" s="1077">
        <f t="array" ref="W168">SUMPRODUCT(IF('卡片raw data'!BM$1:BM$1000=T168,1,0),IF('卡片raw data'!BO$1:BO$1000=V168,1,0),IF(IF('卡片raw data'!C$1:C$1000=R$3,1,0)+IF(R$3="",1,0)&gt;=1,1,0),IF(IF('卡片raw data'!D$1:D$1000=R$4,1,0)+IF(R$4="",1,0)&gt;=1,1,0),IF(IF('卡片raw data'!E$1:E$1000=R$5,1,0)+IF(R$5="",1,0)&gt;=1,1,0))</f>
        <v>0</v>
      </c>
      <c r="Y168" s="1307">
        <f t="shared" si="11"/>
        <v>53</v>
      </c>
      <c r="Z168" s="1307">
        <f t="shared" si="12"/>
        <v>0</v>
      </c>
      <c r="AA168" s="1307">
        <f t="shared" si="13"/>
        <v>53</v>
      </c>
      <c r="AB168" s="1307">
        <f t="shared" si="14"/>
        <v>0</v>
      </c>
    </row>
    <row r="169" spans="20:28">
      <c r="T169" s="1077">
        <v>16</v>
      </c>
      <c r="U169" s="1077">
        <f t="shared" si="10"/>
        <v>30</v>
      </c>
      <c r="V169" s="1077">
        <v>54</v>
      </c>
      <c r="W169" s="1077">
        <f t="array" ref="W169">SUMPRODUCT(IF('卡片raw data'!BM$1:BM$1000=T169,1,0),IF('卡片raw data'!BO$1:BO$1000=V169,1,0),IF(IF('卡片raw data'!C$1:C$1000=R$3,1,0)+IF(R$3="",1,0)&gt;=1,1,0),IF(IF('卡片raw data'!D$1:D$1000=R$4,1,0)+IF(R$4="",1,0)&gt;=1,1,0),IF(IF('卡片raw data'!E$1:E$1000=R$5,1,0)+IF(R$5="",1,0)&gt;=1,1,0))</f>
        <v>0</v>
      </c>
      <c r="Y169" s="1307">
        <f t="shared" si="11"/>
        <v>54</v>
      </c>
      <c r="Z169" s="1307">
        <f t="shared" si="12"/>
        <v>0</v>
      </c>
      <c r="AA169" s="1307">
        <f t="shared" si="13"/>
        <v>54</v>
      </c>
      <c r="AB169" s="1307">
        <f t="shared" si="14"/>
        <v>0</v>
      </c>
    </row>
    <row r="170" spans="20:28">
      <c r="T170" s="1077">
        <v>16</v>
      </c>
      <c r="U170" s="1077">
        <f t="shared" si="10"/>
        <v>29</v>
      </c>
      <c r="V170" s="1077">
        <v>55</v>
      </c>
      <c r="W170" s="1077">
        <f t="array" ref="W170">SUMPRODUCT(IF('卡片raw data'!BM$1:BM$1000=T170,1,0),IF('卡片raw data'!BO$1:BO$1000=V170,1,0),IF(IF('卡片raw data'!C$1:C$1000=R$3,1,0)+IF(R$3="",1,0)&gt;=1,1,0),IF(IF('卡片raw data'!D$1:D$1000=R$4,1,0)+IF(R$4="",1,0)&gt;=1,1,0),IF(IF('卡片raw data'!E$1:E$1000=R$5,1,0)+IF(R$5="",1,0)&gt;=1,1,0))</f>
        <v>0</v>
      </c>
      <c r="Y170" s="1307">
        <f t="shared" si="11"/>
        <v>55</v>
      </c>
      <c r="Z170" s="1307">
        <f t="shared" si="12"/>
        <v>0</v>
      </c>
      <c r="AA170" s="1307">
        <f t="shared" si="13"/>
        <v>55</v>
      </c>
      <c r="AB170" s="1307">
        <f t="shared" si="14"/>
        <v>0</v>
      </c>
    </row>
    <row r="171" spans="20:28">
      <c r="T171" s="1077">
        <v>17</v>
      </c>
      <c r="U171" s="1077">
        <f t="shared" si="10"/>
        <v>55</v>
      </c>
      <c r="V171" s="1077">
        <v>28</v>
      </c>
      <c r="W171" s="1077">
        <f t="array" ref="W171">SUMPRODUCT(IF('卡片raw data'!BM$1:BM$1000=T171,1,0),IF('卡片raw data'!BO$1:BO$1000=V171,1,0),IF(IF('卡片raw data'!C$1:C$1000=R$3,1,0)+IF(R$3="",1,0)&gt;=1,1,0),IF(IF('卡片raw data'!D$1:D$1000=R$4,1,0)+IF(R$4="",1,0)&gt;=1,1,0),IF(IF('卡片raw data'!E$1:E$1000=R$5,1,0)+IF(R$5="",1,0)&gt;=1,1,0))</f>
        <v>0</v>
      </c>
      <c r="Y171" s="1307">
        <f t="shared" si="11"/>
        <v>28</v>
      </c>
      <c r="Z171" s="1307">
        <f t="shared" si="12"/>
        <v>0</v>
      </c>
      <c r="AA171" s="1307">
        <f t="shared" si="13"/>
        <v>28</v>
      </c>
      <c r="AB171" s="1307">
        <f t="shared" si="14"/>
        <v>0</v>
      </c>
    </row>
    <row r="172" spans="20:28">
      <c r="T172" s="1077">
        <v>17</v>
      </c>
      <c r="U172" s="1077">
        <f t="shared" si="10"/>
        <v>54</v>
      </c>
      <c r="V172" s="1077">
        <v>29</v>
      </c>
      <c r="W172" s="1077">
        <f t="array" ref="W172">SUMPRODUCT(IF('卡片raw data'!BM$1:BM$1000=T172,1,0),IF('卡片raw data'!BO$1:BO$1000=V172,1,0),IF(IF('卡片raw data'!C$1:C$1000=R$3,1,0)+IF(R$3="",1,0)&gt;=1,1,0),IF(IF('卡片raw data'!D$1:D$1000=R$4,1,0)+IF(R$4="",1,0)&gt;=1,1,0),IF(IF('卡片raw data'!E$1:E$1000=R$5,1,0)+IF(R$5="",1,0)&gt;=1,1,0))</f>
        <v>0</v>
      </c>
      <c r="Y172" s="1307">
        <f t="shared" si="11"/>
        <v>29</v>
      </c>
      <c r="Z172" s="1307">
        <f t="shared" si="12"/>
        <v>0</v>
      </c>
      <c r="AA172" s="1307">
        <f t="shared" si="13"/>
        <v>29</v>
      </c>
      <c r="AB172" s="1307">
        <f t="shared" si="14"/>
        <v>0</v>
      </c>
    </row>
    <row r="173" spans="20:28">
      <c r="T173" s="1077">
        <v>17</v>
      </c>
      <c r="U173" s="1077">
        <f t="shared" si="10"/>
        <v>53</v>
      </c>
      <c r="V173" s="1077">
        <v>30</v>
      </c>
      <c r="W173" s="1077">
        <f t="array" ref="W173">SUMPRODUCT(IF('卡片raw data'!BM$1:BM$1000=T173,1,0),IF('卡片raw data'!BO$1:BO$1000=V173,1,0),IF(IF('卡片raw data'!C$1:C$1000=R$3,1,0)+IF(R$3="",1,0)&gt;=1,1,0),IF(IF('卡片raw data'!D$1:D$1000=R$4,1,0)+IF(R$4="",1,0)&gt;=1,1,0),IF(IF('卡片raw data'!E$1:E$1000=R$5,1,0)+IF(R$5="",1,0)&gt;=1,1,0))</f>
        <v>0</v>
      </c>
      <c r="Y173" s="1307">
        <f t="shared" si="11"/>
        <v>30</v>
      </c>
      <c r="Z173" s="1307">
        <f t="shared" si="12"/>
        <v>0</v>
      </c>
      <c r="AA173" s="1307">
        <f t="shared" si="13"/>
        <v>30</v>
      </c>
      <c r="AB173" s="1307">
        <f t="shared" si="14"/>
        <v>0</v>
      </c>
    </row>
    <row r="174" spans="20:28">
      <c r="T174" s="1077">
        <v>17</v>
      </c>
      <c r="U174" s="1077">
        <f t="shared" si="10"/>
        <v>52</v>
      </c>
      <c r="V174" s="1077">
        <v>31</v>
      </c>
      <c r="W174" s="1077">
        <f t="array" ref="W174">SUMPRODUCT(IF('卡片raw data'!BM$1:BM$1000=T174,1,0),IF('卡片raw data'!BO$1:BO$1000=V174,1,0),IF(IF('卡片raw data'!C$1:C$1000=R$3,1,0)+IF(R$3="",1,0)&gt;=1,1,0),IF(IF('卡片raw data'!D$1:D$1000=R$4,1,0)+IF(R$4="",1,0)&gt;=1,1,0),IF(IF('卡片raw data'!E$1:E$1000=R$5,1,0)+IF(R$5="",1,0)&gt;=1,1,0))</f>
        <v>0</v>
      </c>
      <c r="Y174" s="1307">
        <f t="shared" si="11"/>
        <v>31</v>
      </c>
      <c r="Z174" s="1307">
        <f t="shared" si="12"/>
        <v>0</v>
      </c>
      <c r="AA174" s="1307">
        <f t="shared" si="13"/>
        <v>31</v>
      </c>
      <c r="AB174" s="1307">
        <f t="shared" si="14"/>
        <v>0</v>
      </c>
    </row>
    <row r="175" spans="20:28">
      <c r="T175" s="1077">
        <v>17</v>
      </c>
      <c r="U175" s="1077">
        <f t="shared" si="10"/>
        <v>51</v>
      </c>
      <c r="V175" s="1077">
        <v>32</v>
      </c>
      <c r="W175" s="1077">
        <f t="array" ref="W175">SUMPRODUCT(IF('卡片raw data'!BM$1:BM$1000=T175,1,0),IF('卡片raw data'!BO$1:BO$1000=V175,1,0),IF(IF('卡片raw data'!C$1:C$1000=R$3,1,0)+IF(R$3="",1,0)&gt;=1,1,0),IF(IF('卡片raw data'!D$1:D$1000=R$4,1,0)+IF(R$4="",1,0)&gt;=1,1,0),IF(IF('卡片raw data'!E$1:E$1000=R$5,1,0)+IF(R$5="",1,0)&gt;=1,1,0))</f>
        <v>0</v>
      </c>
      <c r="Y175" s="1307">
        <f t="shared" si="11"/>
        <v>32</v>
      </c>
      <c r="Z175" s="1307">
        <f t="shared" si="12"/>
        <v>0</v>
      </c>
      <c r="AA175" s="1307">
        <f t="shared" si="13"/>
        <v>32</v>
      </c>
      <c r="AB175" s="1307">
        <f t="shared" si="14"/>
        <v>0</v>
      </c>
    </row>
    <row r="176" spans="20:28">
      <c r="T176" s="1077">
        <v>17</v>
      </c>
      <c r="U176" s="1077">
        <f t="shared" si="10"/>
        <v>50</v>
      </c>
      <c r="V176" s="1077">
        <v>33</v>
      </c>
      <c r="W176" s="1077">
        <f t="array" ref="W176">SUMPRODUCT(IF('卡片raw data'!BM$1:BM$1000=T176,1,0),IF('卡片raw data'!BO$1:BO$1000=V176,1,0),IF(IF('卡片raw data'!C$1:C$1000=R$3,1,0)+IF(R$3="",1,0)&gt;=1,1,0),IF(IF('卡片raw data'!D$1:D$1000=R$4,1,0)+IF(R$4="",1,0)&gt;=1,1,0),IF(IF('卡片raw data'!E$1:E$1000=R$5,1,0)+IF(R$5="",1,0)&gt;=1,1,0))</f>
        <v>0</v>
      </c>
      <c r="Y176" s="1307">
        <f t="shared" si="11"/>
        <v>33</v>
      </c>
      <c r="Z176" s="1307">
        <f t="shared" si="12"/>
        <v>0</v>
      </c>
      <c r="AA176" s="1307">
        <f t="shared" si="13"/>
        <v>33</v>
      </c>
      <c r="AB176" s="1307">
        <f t="shared" si="14"/>
        <v>0</v>
      </c>
    </row>
    <row r="177" spans="20:28">
      <c r="T177" s="1077">
        <v>17</v>
      </c>
      <c r="U177" s="1077">
        <f t="shared" si="10"/>
        <v>49</v>
      </c>
      <c r="V177" s="1077">
        <v>34</v>
      </c>
      <c r="W177" s="1077">
        <f t="array" ref="W177">SUMPRODUCT(IF('卡片raw data'!BM$1:BM$1000=T177,1,0),IF('卡片raw data'!BO$1:BO$1000=V177,1,0),IF(IF('卡片raw data'!C$1:C$1000=R$3,1,0)+IF(R$3="",1,0)&gt;=1,1,0),IF(IF('卡片raw data'!D$1:D$1000=R$4,1,0)+IF(R$4="",1,0)&gt;=1,1,0),IF(IF('卡片raw data'!E$1:E$1000=R$5,1,0)+IF(R$5="",1,0)&gt;=1,1,0))</f>
        <v>0</v>
      </c>
      <c r="Y177" s="1307">
        <f t="shared" si="11"/>
        <v>34</v>
      </c>
      <c r="Z177" s="1307">
        <f t="shared" si="12"/>
        <v>0</v>
      </c>
      <c r="AA177" s="1307">
        <f t="shared" si="13"/>
        <v>34</v>
      </c>
      <c r="AB177" s="1307">
        <f t="shared" si="14"/>
        <v>0</v>
      </c>
    </row>
    <row r="178" spans="20:28">
      <c r="T178" s="1077">
        <v>17</v>
      </c>
      <c r="U178" s="1077">
        <f t="shared" si="10"/>
        <v>48</v>
      </c>
      <c r="V178" s="1077">
        <v>35</v>
      </c>
      <c r="W178" s="1077">
        <f t="array" ref="W178">SUMPRODUCT(IF('卡片raw data'!BM$1:BM$1000=T178,1,0),IF('卡片raw data'!BO$1:BO$1000=V178,1,0),IF(IF('卡片raw data'!C$1:C$1000=R$3,1,0)+IF(R$3="",1,0)&gt;=1,1,0),IF(IF('卡片raw data'!D$1:D$1000=R$4,1,0)+IF(R$4="",1,0)&gt;=1,1,0),IF(IF('卡片raw data'!E$1:E$1000=R$5,1,0)+IF(R$5="",1,0)&gt;=1,1,0))</f>
        <v>1</v>
      </c>
      <c r="Y178" s="1307">
        <f t="shared" si="11"/>
        <v>35</v>
      </c>
      <c r="Z178" s="1307">
        <f t="shared" si="12"/>
        <v>0</v>
      </c>
      <c r="AA178" s="1307">
        <f t="shared" si="13"/>
        <v>35</v>
      </c>
      <c r="AB178" s="1307">
        <f t="shared" si="14"/>
        <v>1</v>
      </c>
    </row>
    <row r="179" spans="20:28">
      <c r="T179" s="1077">
        <v>17</v>
      </c>
      <c r="U179" s="1077">
        <f t="shared" si="10"/>
        <v>47</v>
      </c>
      <c r="V179" s="1077">
        <v>36</v>
      </c>
      <c r="W179" s="1077">
        <f t="array" ref="W179">SUMPRODUCT(IF('卡片raw data'!BM$1:BM$1000=T179,1,0),IF('卡片raw data'!BO$1:BO$1000=V179,1,0),IF(IF('卡片raw data'!C$1:C$1000=R$3,1,0)+IF(R$3="",1,0)&gt;=1,1,0),IF(IF('卡片raw data'!D$1:D$1000=R$4,1,0)+IF(R$4="",1,0)&gt;=1,1,0),IF(IF('卡片raw data'!E$1:E$1000=R$5,1,0)+IF(R$5="",1,0)&gt;=1,1,0))</f>
        <v>0</v>
      </c>
      <c r="Y179" s="1307">
        <f t="shared" si="11"/>
        <v>36</v>
      </c>
      <c r="Z179" s="1307">
        <f t="shared" si="12"/>
        <v>0</v>
      </c>
      <c r="AA179" s="1307">
        <f t="shared" si="13"/>
        <v>36</v>
      </c>
      <c r="AB179" s="1307">
        <f t="shared" si="14"/>
        <v>0</v>
      </c>
    </row>
    <row r="180" spans="20:28">
      <c r="T180" s="1077">
        <v>17</v>
      </c>
      <c r="U180" s="1077">
        <f t="shared" si="10"/>
        <v>46</v>
      </c>
      <c r="V180" s="1077">
        <v>37</v>
      </c>
      <c r="W180" s="1077">
        <f t="array" ref="W180">SUMPRODUCT(IF('卡片raw data'!BM$1:BM$1000=T180,1,0),IF('卡片raw data'!BO$1:BO$1000=V180,1,0),IF(IF('卡片raw data'!C$1:C$1000=R$3,1,0)+IF(R$3="",1,0)&gt;=1,1,0),IF(IF('卡片raw data'!D$1:D$1000=R$4,1,0)+IF(R$4="",1,0)&gt;=1,1,0),IF(IF('卡片raw data'!E$1:E$1000=R$5,1,0)+IF(R$5="",1,0)&gt;=1,1,0))</f>
        <v>0</v>
      </c>
      <c r="Y180" s="1307">
        <f t="shared" si="11"/>
        <v>37</v>
      </c>
      <c r="Z180" s="1307">
        <f t="shared" si="12"/>
        <v>0</v>
      </c>
      <c r="AA180" s="1307">
        <f t="shared" si="13"/>
        <v>37</v>
      </c>
      <c r="AB180" s="1307">
        <f t="shared" si="14"/>
        <v>0</v>
      </c>
    </row>
    <row r="181" spans="20:28">
      <c r="T181" s="1077">
        <v>17</v>
      </c>
      <c r="U181" s="1077">
        <f t="shared" si="10"/>
        <v>45</v>
      </c>
      <c r="V181" s="1077">
        <v>38</v>
      </c>
      <c r="W181" s="1077">
        <f t="array" ref="W181">SUMPRODUCT(IF('卡片raw data'!BM$1:BM$1000=T181,1,0),IF('卡片raw data'!BO$1:BO$1000=V181,1,0),IF(IF('卡片raw data'!C$1:C$1000=R$3,1,0)+IF(R$3="",1,0)&gt;=1,1,0),IF(IF('卡片raw data'!D$1:D$1000=R$4,1,0)+IF(R$4="",1,0)&gt;=1,1,0),IF(IF('卡片raw data'!E$1:E$1000=R$5,1,0)+IF(R$5="",1,0)&gt;=1,1,0))</f>
        <v>1</v>
      </c>
      <c r="Y181" s="1307">
        <f t="shared" si="11"/>
        <v>38</v>
      </c>
      <c r="Z181" s="1307">
        <f t="shared" si="12"/>
        <v>0</v>
      </c>
      <c r="AA181" s="1307">
        <f t="shared" si="13"/>
        <v>38</v>
      </c>
      <c r="AB181" s="1307">
        <f t="shared" si="14"/>
        <v>1</v>
      </c>
    </row>
    <row r="182" spans="20:28">
      <c r="T182" s="1077">
        <v>17</v>
      </c>
      <c r="U182" s="1077">
        <f t="shared" si="10"/>
        <v>44</v>
      </c>
      <c r="V182" s="1077">
        <v>39</v>
      </c>
      <c r="W182" s="1077">
        <f t="array" ref="W182">SUMPRODUCT(IF('卡片raw data'!BM$1:BM$1000=T182,1,0),IF('卡片raw data'!BO$1:BO$1000=V182,1,0),IF(IF('卡片raw data'!C$1:C$1000=R$3,1,0)+IF(R$3="",1,0)&gt;=1,1,0),IF(IF('卡片raw data'!D$1:D$1000=R$4,1,0)+IF(R$4="",1,0)&gt;=1,1,0),IF(IF('卡片raw data'!E$1:E$1000=R$5,1,0)+IF(R$5="",1,0)&gt;=1,1,0))</f>
        <v>0</v>
      </c>
      <c r="Y182" s="1307">
        <f t="shared" si="11"/>
        <v>39</v>
      </c>
      <c r="Z182" s="1307">
        <f t="shared" si="12"/>
        <v>0</v>
      </c>
      <c r="AA182" s="1307">
        <f t="shared" si="13"/>
        <v>39</v>
      </c>
      <c r="AB182" s="1307">
        <f t="shared" si="14"/>
        <v>0</v>
      </c>
    </row>
    <row r="183" spans="20:28">
      <c r="T183" s="1077">
        <v>17</v>
      </c>
      <c r="U183" s="1077">
        <f t="shared" si="10"/>
        <v>43</v>
      </c>
      <c r="V183" s="1077">
        <v>40</v>
      </c>
      <c r="W183" s="1077">
        <f t="array" ref="W183">SUMPRODUCT(IF('卡片raw data'!BM$1:BM$1000=T183,1,0),IF('卡片raw data'!BO$1:BO$1000=V183,1,0),IF(IF('卡片raw data'!C$1:C$1000=R$3,1,0)+IF(R$3="",1,0)&gt;=1,1,0),IF(IF('卡片raw data'!D$1:D$1000=R$4,1,0)+IF(R$4="",1,0)&gt;=1,1,0),IF(IF('卡片raw data'!E$1:E$1000=R$5,1,0)+IF(R$5="",1,0)&gt;=1,1,0))</f>
        <v>0</v>
      </c>
      <c r="Y183" s="1307">
        <f t="shared" si="11"/>
        <v>40</v>
      </c>
      <c r="Z183" s="1307">
        <f t="shared" si="12"/>
        <v>0</v>
      </c>
      <c r="AA183" s="1307">
        <f t="shared" si="13"/>
        <v>40</v>
      </c>
      <c r="AB183" s="1307">
        <f t="shared" si="14"/>
        <v>0</v>
      </c>
    </row>
    <row r="184" spans="20:28">
      <c r="T184" s="1077">
        <v>17</v>
      </c>
      <c r="U184" s="1077">
        <f t="shared" si="10"/>
        <v>42</v>
      </c>
      <c r="V184" s="1077">
        <v>41</v>
      </c>
      <c r="W184" s="1077">
        <f t="array" ref="W184">SUMPRODUCT(IF('卡片raw data'!BM$1:BM$1000=T184,1,0),IF('卡片raw data'!BO$1:BO$1000=V184,1,0),IF(IF('卡片raw data'!C$1:C$1000=R$3,1,0)+IF(R$3="",1,0)&gt;=1,1,0),IF(IF('卡片raw data'!D$1:D$1000=R$4,1,0)+IF(R$4="",1,0)&gt;=1,1,0),IF(IF('卡片raw data'!E$1:E$1000=R$5,1,0)+IF(R$5="",1,0)&gt;=1,1,0))</f>
        <v>0</v>
      </c>
      <c r="Y184" s="1307">
        <f t="shared" si="11"/>
        <v>41</v>
      </c>
      <c r="Z184" s="1307">
        <f t="shared" si="12"/>
        <v>0</v>
      </c>
      <c r="AA184" s="1307">
        <f t="shared" si="13"/>
        <v>41</v>
      </c>
      <c r="AB184" s="1307">
        <f t="shared" si="14"/>
        <v>0</v>
      </c>
    </row>
    <row r="185" spans="20:28">
      <c r="T185" s="1077">
        <v>17</v>
      </c>
      <c r="U185" s="1077">
        <f t="shared" si="10"/>
        <v>41</v>
      </c>
      <c r="V185" s="1077">
        <v>42</v>
      </c>
      <c r="W185" s="1077">
        <f t="array" ref="W185">SUMPRODUCT(IF('卡片raw data'!BM$1:BM$1000=T185,1,0),IF('卡片raw data'!BO$1:BO$1000=V185,1,0),IF(IF('卡片raw data'!C$1:C$1000=R$3,1,0)+IF(R$3="",1,0)&gt;=1,1,0),IF(IF('卡片raw data'!D$1:D$1000=R$4,1,0)+IF(R$4="",1,0)&gt;=1,1,0),IF(IF('卡片raw data'!E$1:E$1000=R$5,1,0)+IF(R$5="",1,0)&gt;=1,1,0))</f>
        <v>0</v>
      </c>
      <c r="Y185" s="1307">
        <f t="shared" si="11"/>
        <v>42</v>
      </c>
      <c r="Z185" s="1307">
        <f t="shared" si="12"/>
        <v>0</v>
      </c>
      <c r="AA185" s="1307">
        <f t="shared" si="13"/>
        <v>42</v>
      </c>
      <c r="AB185" s="1307">
        <f t="shared" si="14"/>
        <v>0</v>
      </c>
    </row>
    <row r="186" spans="20:28">
      <c r="T186" s="1077">
        <v>17</v>
      </c>
      <c r="U186" s="1077">
        <f t="shared" si="10"/>
        <v>40</v>
      </c>
      <c r="V186" s="1077">
        <v>43</v>
      </c>
      <c r="W186" s="1077">
        <f t="array" ref="W186">SUMPRODUCT(IF('卡片raw data'!BM$1:BM$1000=T186,1,0),IF('卡片raw data'!BO$1:BO$1000=V186,1,0),IF(IF('卡片raw data'!C$1:C$1000=R$3,1,0)+IF(R$3="",1,0)&gt;=1,1,0),IF(IF('卡片raw data'!D$1:D$1000=R$4,1,0)+IF(R$4="",1,0)&gt;=1,1,0),IF(IF('卡片raw data'!E$1:E$1000=R$5,1,0)+IF(R$5="",1,0)&gt;=1,1,0))</f>
        <v>0</v>
      </c>
      <c r="Y186" s="1307">
        <f t="shared" si="11"/>
        <v>43</v>
      </c>
      <c r="Z186" s="1307">
        <f t="shared" si="12"/>
        <v>0</v>
      </c>
      <c r="AA186" s="1307">
        <f t="shared" si="13"/>
        <v>43</v>
      </c>
      <c r="AB186" s="1307">
        <f t="shared" si="14"/>
        <v>0</v>
      </c>
    </row>
    <row r="187" spans="20:28">
      <c r="T187" s="1077">
        <v>17</v>
      </c>
      <c r="U187" s="1077">
        <f t="shared" si="10"/>
        <v>39</v>
      </c>
      <c r="V187" s="1077">
        <v>44</v>
      </c>
      <c r="W187" s="1077">
        <f t="array" ref="W187">SUMPRODUCT(IF('卡片raw data'!BM$1:BM$1000=T187,1,0),IF('卡片raw data'!BO$1:BO$1000=V187,1,0),IF(IF('卡片raw data'!C$1:C$1000=R$3,1,0)+IF(R$3="",1,0)&gt;=1,1,0),IF(IF('卡片raw data'!D$1:D$1000=R$4,1,0)+IF(R$4="",1,0)&gt;=1,1,0),IF(IF('卡片raw data'!E$1:E$1000=R$5,1,0)+IF(R$5="",1,0)&gt;=1,1,0))</f>
        <v>0</v>
      </c>
      <c r="Y187" s="1307">
        <f t="shared" si="11"/>
        <v>44</v>
      </c>
      <c r="Z187" s="1307">
        <f t="shared" si="12"/>
        <v>0</v>
      </c>
      <c r="AA187" s="1307">
        <f t="shared" si="13"/>
        <v>44</v>
      </c>
      <c r="AB187" s="1307">
        <f t="shared" si="14"/>
        <v>0</v>
      </c>
    </row>
    <row r="188" spans="20:28">
      <c r="T188" s="1077">
        <v>17</v>
      </c>
      <c r="U188" s="1077">
        <f t="shared" si="10"/>
        <v>38</v>
      </c>
      <c r="V188" s="1077">
        <v>45</v>
      </c>
      <c r="W188" s="1077">
        <f t="array" ref="W188">SUMPRODUCT(IF('卡片raw data'!BM$1:BM$1000=T188,1,0),IF('卡片raw data'!BO$1:BO$1000=V188,1,0),IF(IF('卡片raw data'!C$1:C$1000=R$3,1,0)+IF(R$3="",1,0)&gt;=1,1,0),IF(IF('卡片raw data'!D$1:D$1000=R$4,1,0)+IF(R$4="",1,0)&gt;=1,1,0),IF(IF('卡片raw data'!E$1:E$1000=R$5,1,0)+IF(R$5="",1,0)&gt;=1,1,0))</f>
        <v>0</v>
      </c>
      <c r="Y188" s="1307">
        <f t="shared" si="11"/>
        <v>45</v>
      </c>
      <c r="Z188" s="1307">
        <f t="shared" si="12"/>
        <v>0</v>
      </c>
      <c r="AA188" s="1307">
        <f t="shared" si="13"/>
        <v>45</v>
      </c>
      <c r="AB188" s="1307">
        <f t="shared" si="14"/>
        <v>0</v>
      </c>
    </row>
    <row r="189" spans="20:28">
      <c r="T189" s="1077">
        <v>17</v>
      </c>
      <c r="U189" s="1077">
        <f t="shared" si="10"/>
        <v>37</v>
      </c>
      <c r="V189" s="1077">
        <v>46</v>
      </c>
      <c r="W189" s="1077">
        <f t="array" ref="W189">SUMPRODUCT(IF('卡片raw data'!BM$1:BM$1000=T189,1,0),IF('卡片raw data'!BO$1:BO$1000=V189,1,0),IF(IF('卡片raw data'!C$1:C$1000=R$3,1,0)+IF(R$3="",1,0)&gt;=1,1,0),IF(IF('卡片raw data'!D$1:D$1000=R$4,1,0)+IF(R$4="",1,0)&gt;=1,1,0),IF(IF('卡片raw data'!E$1:E$1000=R$5,1,0)+IF(R$5="",1,0)&gt;=1,1,0))</f>
        <v>0</v>
      </c>
      <c r="Y189" s="1307">
        <f t="shared" si="11"/>
        <v>46</v>
      </c>
      <c r="Z189" s="1307">
        <f t="shared" si="12"/>
        <v>0</v>
      </c>
      <c r="AA189" s="1307">
        <f t="shared" si="13"/>
        <v>46</v>
      </c>
      <c r="AB189" s="1307">
        <f t="shared" si="14"/>
        <v>0</v>
      </c>
    </row>
    <row r="190" spans="20:28">
      <c r="T190" s="1077">
        <v>17</v>
      </c>
      <c r="U190" s="1077">
        <f t="shared" si="10"/>
        <v>36</v>
      </c>
      <c r="V190" s="1077">
        <v>47</v>
      </c>
      <c r="W190" s="1077">
        <f t="array" ref="W190">SUMPRODUCT(IF('卡片raw data'!BM$1:BM$1000=T190,1,0),IF('卡片raw data'!BO$1:BO$1000=V190,1,0),IF(IF('卡片raw data'!C$1:C$1000=R$3,1,0)+IF(R$3="",1,0)&gt;=1,1,0),IF(IF('卡片raw data'!D$1:D$1000=R$4,1,0)+IF(R$4="",1,0)&gt;=1,1,0),IF(IF('卡片raw data'!E$1:E$1000=R$5,1,0)+IF(R$5="",1,0)&gt;=1,1,0))</f>
        <v>0</v>
      </c>
      <c r="Y190" s="1307">
        <f t="shared" si="11"/>
        <v>47</v>
      </c>
      <c r="Z190" s="1307">
        <f t="shared" si="12"/>
        <v>0</v>
      </c>
      <c r="AA190" s="1307">
        <f t="shared" si="13"/>
        <v>47</v>
      </c>
      <c r="AB190" s="1307">
        <f t="shared" si="14"/>
        <v>0</v>
      </c>
    </row>
    <row r="191" spans="20:28">
      <c r="T191" s="1077">
        <v>17</v>
      </c>
      <c r="U191" s="1077">
        <f t="shared" si="10"/>
        <v>35</v>
      </c>
      <c r="V191" s="1077">
        <v>48</v>
      </c>
      <c r="W191" s="1077">
        <f t="array" ref="W191">SUMPRODUCT(IF('卡片raw data'!BM$1:BM$1000=T191,1,0),IF('卡片raw data'!BO$1:BO$1000=V191,1,0),IF(IF('卡片raw data'!C$1:C$1000=R$3,1,0)+IF(R$3="",1,0)&gt;=1,1,0),IF(IF('卡片raw data'!D$1:D$1000=R$4,1,0)+IF(R$4="",1,0)&gt;=1,1,0),IF(IF('卡片raw data'!E$1:E$1000=R$5,1,0)+IF(R$5="",1,0)&gt;=1,1,0))</f>
        <v>0</v>
      </c>
      <c r="Y191" s="1307">
        <f t="shared" si="11"/>
        <v>48</v>
      </c>
      <c r="Z191" s="1307">
        <f t="shared" si="12"/>
        <v>0</v>
      </c>
      <c r="AA191" s="1307">
        <f t="shared" si="13"/>
        <v>48</v>
      </c>
      <c r="AB191" s="1307">
        <f t="shared" si="14"/>
        <v>0</v>
      </c>
    </row>
    <row r="192" spans="20:28">
      <c r="T192" s="1077">
        <v>17</v>
      </c>
      <c r="U192" s="1077">
        <f t="shared" si="10"/>
        <v>34</v>
      </c>
      <c r="V192" s="1077">
        <v>49</v>
      </c>
      <c r="W192" s="1077">
        <f t="array" ref="W192">SUMPRODUCT(IF('卡片raw data'!BM$1:BM$1000=T192,1,0),IF('卡片raw data'!BO$1:BO$1000=V192,1,0),IF(IF('卡片raw data'!C$1:C$1000=R$3,1,0)+IF(R$3="",1,0)&gt;=1,1,0),IF(IF('卡片raw data'!D$1:D$1000=R$4,1,0)+IF(R$4="",1,0)&gt;=1,1,0),IF(IF('卡片raw data'!E$1:E$1000=R$5,1,0)+IF(R$5="",1,0)&gt;=1,1,0))</f>
        <v>0</v>
      </c>
      <c r="Y192" s="1307">
        <f t="shared" si="11"/>
        <v>49</v>
      </c>
      <c r="Z192" s="1307">
        <f t="shared" si="12"/>
        <v>0</v>
      </c>
      <c r="AA192" s="1307">
        <f t="shared" si="13"/>
        <v>49</v>
      </c>
      <c r="AB192" s="1307">
        <f t="shared" si="14"/>
        <v>0</v>
      </c>
    </row>
    <row r="193" spans="20:28">
      <c r="T193" s="1077">
        <v>17</v>
      </c>
      <c r="U193" s="1077">
        <f t="shared" si="10"/>
        <v>33</v>
      </c>
      <c r="V193" s="1077">
        <v>50</v>
      </c>
      <c r="W193" s="1077">
        <f t="array" ref="W193">SUMPRODUCT(IF('卡片raw data'!BM$1:BM$1000=T193,1,0),IF('卡片raw data'!BO$1:BO$1000=V193,1,0),IF(IF('卡片raw data'!C$1:C$1000=R$3,1,0)+IF(R$3="",1,0)&gt;=1,1,0),IF(IF('卡片raw data'!D$1:D$1000=R$4,1,0)+IF(R$4="",1,0)&gt;=1,1,0),IF(IF('卡片raw data'!E$1:E$1000=R$5,1,0)+IF(R$5="",1,0)&gt;=1,1,0))</f>
        <v>0</v>
      </c>
      <c r="Y193" s="1307">
        <f t="shared" si="11"/>
        <v>50</v>
      </c>
      <c r="Z193" s="1307">
        <f t="shared" si="12"/>
        <v>0</v>
      </c>
      <c r="AA193" s="1307">
        <f t="shared" si="13"/>
        <v>50</v>
      </c>
      <c r="AB193" s="1307">
        <f t="shared" si="14"/>
        <v>0</v>
      </c>
    </row>
    <row r="194" spans="20:28">
      <c r="T194" s="1077">
        <v>17</v>
      </c>
      <c r="U194" s="1077">
        <f t="shared" si="10"/>
        <v>32</v>
      </c>
      <c r="V194" s="1077">
        <v>51</v>
      </c>
      <c r="W194" s="1077">
        <f t="array" ref="W194">SUMPRODUCT(IF('卡片raw data'!BM$1:BM$1000=T194,1,0),IF('卡片raw data'!BO$1:BO$1000=V194,1,0),IF(IF('卡片raw data'!C$1:C$1000=R$3,1,0)+IF(R$3="",1,0)&gt;=1,1,0),IF(IF('卡片raw data'!D$1:D$1000=R$4,1,0)+IF(R$4="",1,0)&gt;=1,1,0),IF(IF('卡片raw data'!E$1:E$1000=R$5,1,0)+IF(R$5="",1,0)&gt;=1,1,0))</f>
        <v>0</v>
      </c>
      <c r="Y194" s="1307">
        <f t="shared" si="11"/>
        <v>51</v>
      </c>
      <c r="Z194" s="1307">
        <f t="shared" si="12"/>
        <v>0</v>
      </c>
      <c r="AA194" s="1307">
        <f t="shared" si="13"/>
        <v>51</v>
      </c>
      <c r="AB194" s="1307">
        <f t="shared" si="14"/>
        <v>0</v>
      </c>
    </row>
    <row r="195" spans="20:28">
      <c r="T195" s="1077">
        <v>17</v>
      </c>
      <c r="U195" s="1077">
        <f t="shared" si="10"/>
        <v>31</v>
      </c>
      <c r="V195" s="1077">
        <v>52</v>
      </c>
      <c r="W195" s="1077">
        <f t="array" ref="W195">SUMPRODUCT(IF('卡片raw data'!BM$1:BM$1000=T195,1,0),IF('卡片raw data'!BO$1:BO$1000=V195,1,0),IF(IF('卡片raw data'!C$1:C$1000=R$3,1,0)+IF(R$3="",1,0)&gt;=1,1,0),IF(IF('卡片raw data'!D$1:D$1000=R$4,1,0)+IF(R$4="",1,0)&gt;=1,1,0),IF(IF('卡片raw data'!E$1:E$1000=R$5,1,0)+IF(R$5="",1,0)&gt;=1,1,0))</f>
        <v>0</v>
      </c>
      <c r="Y195" s="1307">
        <f t="shared" si="11"/>
        <v>52</v>
      </c>
      <c r="Z195" s="1307">
        <f t="shared" si="12"/>
        <v>0</v>
      </c>
      <c r="AA195" s="1307">
        <f t="shared" si="13"/>
        <v>52</v>
      </c>
      <c r="AB195" s="1307">
        <f t="shared" si="14"/>
        <v>0</v>
      </c>
    </row>
    <row r="196" spans="20:28">
      <c r="T196" s="1077">
        <v>17</v>
      </c>
      <c r="U196" s="1077">
        <f t="shared" ref="U196:U259" si="15">100-T196-V196</f>
        <v>30</v>
      </c>
      <c r="V196" s="1077">
        <v>53</v>
      </c>
      <c r="W196" s="1077">
        <f t="array" ref="W196">SUMPRODUCT(IF('卡片raw data'!BM$1:BM$1000=T196,1,0),IF('卡片raw data'!BO$1:BO$1000=V196,1,0),IF(IF('卡片raw data'!C$1:C$1000=R$3,1,0)+IF(R$3="",1,0)&gt;=1,1,0),IF(IF('卡片raw data'!D$1:D$1000=R$4,1,0)+IF(R$4="",1,0)&gt;=1,1,0),IF(IF('卡片raw data'!E$1:E$1000=R$5,1,0)+IF(R$5="",1,0)&gt;=1,1,0))</f>
        <v>0</v>
      </c>
      <c r="Y196" s="1307">
        <f t="shared" ref="Y196:Y259" si="16">V196</f>
        <v>53</v>
      </c>
      <c r="Z196" s="1307">
        <f t="shared" ref="Z196:Z259" si="17">IF(AND(V196&gt;U196,V196&gt;T196),W196,0)</f>
        <v>0</v>
      </c>
      <c r="AA196" s="1307">
        <f t="shared" ref="AA196:AA259" si="18">V196</f>
        <v>53</v>
      </c>
      <c r="AB196" s="1307">
        <f t="shared" ref="AB196:AB259" si="19">W196-Z196</f>
        <v>0</v>
      </c>
    </row>
    <row r="197" spans="20:28">
      <c r="T197" s="1077">
        <v>17</v>
      </c>
      <c r="U197" s="1077">
        <f t="shared" si="15"/>
        <v>29</v>
      </c>
      <c r="V197" s="1077">
        <v>54</v>
      </c>
      <c r="W197" s="1077">
        <f t="array" ref="W197">SUMPRODUCT(IF('卡片raw data'!BM$1:BM$1000=T197,1,0),IF('卡片raw data'!BO$1:BO$1000=V197,1,0),IF(IF('卡片raw data'!C$1:C$1000=R$3,1,0)+IF(R$3="",1,0)&gt;=1,1,0),IF(IF('卡片raw data'!D$1:D$1000=R$4,1,0)+IF(R$4="",1,0)&gt;=1,1,0),IF(IF('卡片raw data'!E$1:E$1000=R$5,1,0)+IF(R$5="",1,0)&gt;=1,1,0))</f>
        <v>0</v>
      </c>
      <c r="Y197" s="1307">
        <f t="shared" si="16"/>
        <v>54</v>
      </c>
      <c r="Z197" s="1307">
        <f t="shared" si="17"/>
        <v>0</v>
      </c>
      <c r="AA197" s="1307">
        <f t="shared" si="18"/>
        <v>54</v>
      </c>
      <c r="AB197" s="1307">
        <f t="shared" si="19"/>
        <v>0</v>
      </c>
    </row>
    <row r="198" spans="20:28">
      <c r="T198" s="1077">
        <v>17</v>
      </c>
      <c r="U198" s="1077">
        <f t="shared" si="15"/>
        <v>28</v>
      </c>
      <c r="V198" s="1077">
        <v>55</v>
      </c>
      <c r="W198" s="1077">
        <f t="array" ref="W198">SUMPRODUCT(IF('卡片raw data'!BM$1:BM$1000=T198,1,0),IF('卡片raw data'!BO$1:BO$1000=V198,1,0),IF(IF('卡片raw data'!C$1:C$1000=R$3,1,0)+IF(R$3="",1,0)&gt;=1,1,0),IF(IF('卡片raw data'!D$1:D$1000=R$4,1,0)+IF(R$4="",1,0)&gt;=1,1,0),IF(IF('卡片raw data'!E$1:E$1000=R$5,1,0)+IF(R$5="",1,0)&gt;=1,1,0))</f>
        <v>1</v>
      </c>
      <c r="Y198" s="1307">
        <f t="shared" si="16"/>
        <v>55</v>
      </c>
      <c r="Z198" s="1307">
        <f t="shared" si="17"/>
        <v>1</v>
      </c>
      <c r="AA198" s="1307">
        <f t="shared" si="18"/>
        <v>55</v>
      </c>
      <c r="AB198" s="1307">
        <f t="shared" si="19"/>
        <v>0</v>
      </c>
    </row>
    <row r="199" spans="20:28">
      <c r="T199" s="1077">
        <v>18</v>
      </c>
      <c r="U199" s="1077">
        <f t="shared" si="15"/>
        <v>55</v>
      </c>
      <c r="V199" s="1077">
        <v>27</v>
      </c>
      <c r="W199" s="1077">
        <f t="array" ref="W199">SUMPRODUCT(IF('卡片raw data'!BM$1:BM$1000=T199,1,0),IF('卡片raw data'!BO$1:BO$1000=V199,1,0),IF(IF('卡片raw data'!C$1:C$1000=R$3,1,0)+IF(R$3="",1,0)&gt;=1,1,0),IF(IF('卡片raw data'!D$1:D$1000=R$4,1,0)+IF(R$4="",1,0)&gt;=1,1,0),IF(IF('卡片raw data'!E$1:E$1000=R$5,1,0)+IF(R$5="",1,0)&gt;=1,1,0))</f>
        <v>0</v>
      </c>
      <c r="Y199" s="1307">
        <f t="shared" si="16"/>
        <v>27</v>
      </c>
      <c r="Z199" s="1307">
        <f t="shared" si="17"/>
        <v>0</v>
      </c>
      <c r="AA199" s="1307">
        <f t="shared" si="18"/>
        <v>27</v>
      </c>
      <c r="AB199" s="1307">
        <f t="shared" si="19"/>
        <v>0</v>
      </c>
    </row>
    <row r="200" spans="20:28">
      <c r="T200" s="1077">
        <v>18</v>
      </c>
      <c r="U200" s="1077">
        <f t="shared" si="15"/>
        <v>54</v>
      </c>
      <c r="V200" s="1077">
        <v>28</v>
      </c>
      <c r="W200" s="1077">
        <f t="array" ref="W200">SUMPRODUCT(IF('卡片raw data'!BM$1:BM$1000=T200,1,0),IF('卡片raw data'!BO$1:BO$1000=V200,1,0),IF(IF('卡片raw data'!C$1:C$1000=R$3,1,0)+IF(R$3="",1,0)&gt;=1,1,0),IF(IF('卡片raw data'!D$1:D$1000=R$4,1,0)+IF(R$4="",1,0)&gt;=1,1,0),IF(IF('卡片raw data'!E$1:E$1000=R$5,1,0)+IF(R$5="",1,0)&gt;=1,1,0))</f>
        <v>0</v>
      </c>
      <c r="Y200" s="1307">
        <f t="shared" si="16"/>
        <v>28</v>
      </c>
      <c r="Z200" s="1307">
        <f t="shared" si="17"/>
        <v>0</v>
      </c>
      <c r="AA200" s="1307">
        <f t="shared" si="18"/>
        <v>28</v>
      </c>
      <c r="AB200" s="1307">
        <f t="shared" si="19"/>
        <v>0</v>
      </c>
    </row>
    <row r="201" spans="20:28">
      <c r="T201" s="1077">
        <v>18</v>
      </c>
      <c r="U201" s="1077">
        <f t="shared" si="15"/>
        <v>53</v>
      </c>
      <c r="V201" s="1077">
        <v>29</v>
      </c>
      <c r="W201" s="1077">
        <f t="array" ref="W201">SUMPRODUCT(IF('卡片raw data'!BM$1:BM$1000=T201,1,0),IF('卡片raw data'!BO$1:BO$1000=V201,1,0),IF(IF('卡片raw data'!C$1:C$1000=R$3,1,0)+IF(R$3="",1,0)&gt;=1,1,0),IF(IF('卡片raw data'!D$1:D$1000=R$4,1,0)+IF(R$4="",1,0)&gt;=1,1,0),IF(IF('卡片raw data'!E$1:E$1000=R$5,1,0)+IF(R$5="",1,0)&gt;=1,1,0))</f>
        <v>0</v>
      </c>
      <c r="Y201" s="1307">
        <f t="shared" si="16"/>
        <v>29</v>
      </c>
      <c r="Z201" s="1307">
        <f t="shared" si="17"/>
        <v>0</v>
      </c>
      <c r="AA201" s="1307">
        <f t="shared" si="18"/>
        <v>29</v>
      </c>
      <c r="AB201" s="1307">
        <f t="shared" si="19"/>
        <v>0</v>
      </c>
    </row>
    <row r="202" spans="20:28">
      <c r="T202" s="1077">
        <v>18</v>
      </c>
      <c r="U202" s="1077">
        <f t="shared" si="15"/>
        <v>52</v>
      </c>
      <c r="V202" s="1077">
        <v>30</v>
      </c>
      <c r="W202" s="1077">
        <f t="array" ref="W202">SUMPRODUCT(IF('卡片raw data'!BM$1:BM$1000=T202,1,0),IF('卡片raw data'!BO$1:BO$1000=V202,1,0),IF(IF('卡片raw data'!C$1:C$1000=R$3,1,0)+IF(R$3="",1,0)&gt;=1,1,0),IF(IF('卡片raw data'!D$1:D$1000=R$4,1,0)+IF(R$4="",1,0)&gt;=1,1,0),IF(IF('卡片raw data'!E$1:E$1000=R$5,1,0)+IF(R$5="",1,0)&gt;=1,1,0))</f>
        <v>0</v>
      </c>
      <c r="Y202" s="1307">
        <f t="shared" si="16"/>
        <v>30</v>
      </c>
      <c r="Z202" s="1307">
        <f t="shared" si="17"/>
        <v>0</v>
      </c>
      <c r="AA202" s="1307">
        <f t="shared" si="18"/>
        <v>30</v>
      </c>
      <c r="AB202" s="1307">
        <f t="shared" si="19"/>
        <v>0</v>
      </c>
    </row>
    <row r="203" spans="20:28">
      <c r="T203" s="1077">
        <v>18</v>
      </c>
      <c r="U203" s="1077">
        <f t="shared" si="15"/>
        <v>51</v>
      </c>
      <c r="V203" s="1077">
        <v>31</v>
      </c>
      <c r="W203" s="1077">
        <f t="array" ref="W203">SUMPRODUCT(IF('卡片raw data'!BM$1:BM$1000=T203,1,0),IF('卡片raw data'!BO$1:BO$1000=V203,1,0),IF(IF('卡片raw data'!C$1:C$1000=R$3,1,0)+IF(R$3="",1,0)&gt;=1,1,0),IF(IF('卡片raw data'!D$1:D$1000=R$4,1,0)+IF(R$4="",1,0)&gt;=1,1,0),IF(IF('卡片raw data'!E$1:E$1000=R$5,1,0)+IF(R$5="",1,0)&gt;=1,1,0))</f>
        <v>0</v>
      </c>
      <c r="Y203" s="1307">
        <f t="shared" si="16"/>
        <v>31</v>
      </c>
      <c r="Z203" s="1307">
        <f t="shared" si="17"/>
        <v>0</v>
      </c>
      <c r="AA203" s="1307">
        <f t="shared" si="18"/>
        <v>31</v>
      </c>
      <c r="AB203" s="1307">
        <f t="shared" si="19"/>
        <v>0</v>
      </c>
    </row>
    <row r="204" spans="20:28">
      <c r="T204" s="1077">
        <v>18</v>
      </c>
      <c r="U204" s="1077">
        <f t="shared" si="15"/>
        <v>50</v>
      </c>
      <c r="V204" s="1077">
        <v>32</v>
      </c>
      <c r="W204" s="1077">
        <f t="array" ref="W204">SUMPRODUCT(IF('卡片raw data'!BM$1:BM$1000=T204,1,0),IF('卡片raw data'!BO$1:BO$1000=V204,1,0),IF(IF('卡片raw data'!C$1:C$1000=R$3,1,0)+IF(R$3="",1,0)&gt;=1,1,0),IF(IF('卡片raw data'!D$1:D$1000=R$4,1,0)+IF(R$4="",1,0)&gt;=1,1,0),IF(IF('卡片raw data'!E$1:E$1000=R$5,1,0)+IF(R$5="",1,0)&gt;=1,1,0))</f>
        <v>0</v>
      </c>
      <c r="Y204" s="1307">
        <f t="shared" si="16"/>
        <v>32</v>
      </c>
      <c r="Z204" s="1307">
        <f t="shared" si="17"/>
        <v>0</v>
      </c>
      <c r="AA204" s="1307">
        <f t="shared" si="18"/>
        <v>32</v>
      </c>
      <c r="AB204" s="1307">
        <f t="shared" si="19"/>
        <v>0</v>
      </c>
    </row>
    <row r="205" spans="20:28">
      <c r="T205" s="1077">
        <v>18</v>
      </c>
      <c r="U205" s="1077">
        <f t="shared" si="15"/>
        <v>49</v>
      </c>
      <c r="V205" s="1077">
        <v>33</v>
      </c>
      <c r="W205" s="1077">
        <f t="array" ref="W205">SUMPRODUCT(IF('卡片raw data'!BM$1:BM$1000=T205,1,0),IF('卡片raw data'!BO$1:BO$1000=V205,1,0),IF(IF('卡片raw data'!C$1:C$1000=R$3,1,0)+IF(R$3="",1,0)&gt;=1,1,0),IF(IF('卡片raw data'!D$1:D$1000=R$4,1,0)+IF(R$4="",1,0)&gt;=1,1,0),IF(IF('卡片raw data'!E$1:E$1000=R$5,1,0)+IF(R$5="",1,0)&gt;=1,1,0))</f>
        <v>0</v>
      </c>
      <c r="Y205" s="1307">
        <f t="shared" si="16"/>
        <v>33</v>
      </c>
      <c r="Z205" s="1307">
        <f t="shared" si="17"/>
        <v>0</v>
      </c>
      <c r="AA205" s="1307">
        <f t="shared" si="18"/>
        <v>33</v>
      </c>
      <c r="AB205" s="1307">
        <f t="shared" si="19"/>
        <v>0</v>
      </c>
    </row>
    <row r="206" spans="20:28">
      <c r="T206" s="1077">
        <v>18</v>
      </c>
      <c r="U206" s="1077">
        <f t="shared" si="15"/>
        <v>48</v>
      </c>
      <c r="V206" s="1077">
        <v>34</v>
      </c>
      <c r="W206" s="1077">
        <f t="array" ref="W206">SUMPRODUCT(IF('卡片raw data'!BM$1:BM$1000=T206,1,0),IF('卡片raw data'!BO$1:BO$1000=V206,1,0),IF(IF('卡片raw data'!C$1:C$1000=R$3,1,0)+IF(R$3="",1,0)&gt;=1,1,0),IF(IF('卡片raw data'!D$1:D$1000=R$4,1,0)+IF(R$4="",1,0)&gt;=1,1,0),IF(IF('卡片raw data'!E$1:E$1000=R$5,1,0)+IF(R$5="",1,0)&gt;=1,1,0))</f>
        <v>0</v>
      </c>
      <c r="Y206" s="1307">
        <f t="shared" si="16"/>
        <v>34</v>
      </c>
      <c r="Z206" s="1307">
        <f t="shared" si="17"/>
        <v>0</v>
      </c>
      <c r="AA206" s="1307">
        <f t="shared" si="18"/>
        <v>34</v>
      </c>
      <c r="AB206" s="1307">
        <f t="shared" si="19"/>
        <v>0</v>
      </c>
    </row>
    <row r="207" spans="20:28">
      <c r="T207" s="1077">
        <v>18</v>
      </c>
      <c r="U207" s="1077">
        <f t="shared" si="15"/>
        <v>47</v>
      </c>
      <c r="V207" s="1077">
        <v>35</v>
      </c>
      <c r="W207" s="1077">
        <f t="array" ref="W207">SUMPRODUCT(IF('卡片raw data'!BM$1:BM$1000=T207,1,0),IF('卡片raw data'!BO$1:BO$1000=V207,1,0),IF(IF('卡片raw data'!C$1:C$1000=R$3,1,0)+IF(R$3="",1,0)&gt;=1,1,0),IF(IF('卡片raw data'!D$1:D$1000=R$4,1,0)+IF(R$4="",1,0)&gt;=1,1,0),IF(IF('卡片raw data'!E$1:E$1000=R$5,1,0)+IF(R$5="",1,0)&gt;=1,1,0))</f>
        <v>0</v>
      </c>
      <c r="Y207" s="1307">
        <f t="shared" si="16"/>
        <v>35</v>
      </c>
      <c r="Z207" s="1307">
        <f t="shared" si="17"/>
        <v>0</v>
      </c>
      <c r="AA207" s="1307">
        <f t="shared" si="18"/>
        <v>35</v>
      </c>
      <c r="AB207" s="1307">
        <f t="shared" si="19"/>
        <v>0</v>
      </c>
    </row>
    <row r="208" spans="20:28">
      <c r="T208" s="1077">
        <v>18</v>
      </c>
      <c r="U208" s="1077">
        <f t="shared" si="15"/>
        <v>46</v>
      </c>
      <c r="V208" s="1077">
        <v>36</v>
      </c>
      <c r="W208" s="1077">
        <f t="array" ref="W208">SUMPRODUCT(IF('卡片raw data'!BM$1:BM$1000=T208,1,0),IF('卡片raw data'!BO$1:BO$1000=V208,1,0),IF(IF('卡片raw data'!C$1:C$1000=R$3,1,0)+IF(R$3="",1,0)&gt;=1,1,0),IF(IF('卡片raw data'!D$1:D$1000=R$4,1,0)+IF(R$4="",1,0)&gt;=1,1,0),IF(IF('卡片raw data'!E$1:E$1000=R$5,1,0)+IF(R$5="",1,0)&gt;=1,1,0))</f>
        <v>0</v>
      </c>
      <c r="Y208" s="1307">
        <f t="shared" si="16"/>
        <v>36</v>
      </c>
      <c r="Z208" s="1307">
        <f t="shared" si="17"/>
        <v>0</v>
      </c>
      <c r="AA208" s="1307">
        <f t="shared" si="18"/>
        <v>36</v>
      </c>
      <c r="AB208" s="1307">
        <f t="shared" si="19"/>
        <v>0</v>
      </c>
    </row>
    <row r="209" spans="20:28">
      <c r="T209" s="1077">
        <v>18</v>
      </c>
      <c r="U209" s="1077">
        <f t="shared" si="15"/>
        <v>45</v>
      </c>
      <c r="V209" s="1077">
        <v>37</v>
      </c>
      <c r="W209" s="1077">
        <f t="array" ref="W209">SUMPRODUCT(IF('卡片raw data'!BM$1:BM$1000=T209,1,0),IF('卡片raw data'!BO$1:BO$1000=V209,1,0),IF(IF('卡片raw data'!C$1:C$1000=R$3,1,0)+IF(R$3="",1,0)&gt;=1,1,0),IF(IF('卡片raw data'!D$1:D$1000=R$4,1,0)+IF(R$4="",1,0)&gt;=1,1,0),IF(IF('卡片raw data'!E$1:E$1000=R$5,1,0)+IF(R$5="",1,0)&gt;=1,1,0))</f>
        <v>0</v>
      </c>
      <c r="Y209" s="1307">
        <f t="shared" si="16"/>
        <v>37</v>
      </c>
      <c r="Z209" s="1307">
        <f t="shared" si="17"/>
        <v>0</v>
      </c>
      <c r="AA209" s="1307">
        <f t="shared" si="18"/>
        <v>37</v>
      </c>
      <c r="AB209" s="1307">
        <f t="shared" si="19"/>
        <v>0</v>
      </c>
    </row>
    <row r="210" spans="20:28">
      <c r="T210" s="1077">
        <v>18</v>
      </c>
      <c r="U210" s="1077">
        <f t="shared" si="15"/>
        <v>44</v>
      </c>
      <c r="V210" s="1077">
        <v>38</v>
      </c>
      <c r="W210" s="1077">
        <f t="array" ref="W210">SUMPRODUCT(IF('卡片raw data'!BM$1:BM$1000=T210,1,0),IF('卡片raw data'!BO$1:BO$1000=V210,1,0),IF(IF('卡片raw data'!C$1:C$1000=R$3,1,0)+IF(R$3="",1,0)&gt;=1,1,0),IF(IF('卡片raw data'!D$1:D$1000=R$4,1,0)+IF(R$4="",1,0)&gt;=1,1,0),IF(IF('卡片raw data'!E$1:E$1000=R$5,1,0)+IF(R$5="",1,0)&gt;=1,1,0))</f>
        <v>0</v>
      </c>
      <c r="Y210" s="1307">
        <f t="shared" si="16"/>
        <v>38</v>
      </c>
      <c r="Z210" s="1307">
        <f t="shared" si="17"/>
        <v>0</v>
      </c>
      <c r="AA210" s="1307">
        <f t="shared" si="18"/>
        <v>38</v>
      </c>
      <c r="AB210" s="1307">
        <f t="shared" si="19"/>
        <v>0</v>
      </c>
    </row>
    <row r="211" spans="20:28">
      <c r="T211" s="1077">
        <v>18</v>
      </c>
      <c r="U211" s="1077">
        <f t="shared" si="15"/>
        <v>43</v>
      </c>
      <c r="V211" s="1077">
        <v>39</v>
      </c>
      <c r="W211" s="1077">
        <f t="array" ref="W211">SUMPRODUCT(IF('卡片raw data'!BM$1:BM$1000=T211,1,0),IF('卡片raw data'!BO$1:BO$1000=V211,1,0),IF(IF('卡片raw data'!C$1:C$1000=R$3,1,0)+IF(R$3="",1,0)&gt;=1,1,0),IF(IF('卡片raw data'!D$1:D$1000=R$4,1,0)+IF(R$4="",1,0)&gt;=1,1,0),IF(IF('卡片raw data'!E$1:E$1000=R$5,1,0)+IF(R$5="",1,0)&gt;=1,1,0))</f>
        <v>0</v>
      </c>
      <c r="Y211" s="1307">
        <f t="shared" si="16"/>
        <v>39</v>
      </c>
      <c r="Z211" s="1307">
        <f t="shared" si="17"/>
        <v>0</v>
      </c>
      <c r="AA211" s="1307">
        <f t="shared" si="18"/>
        <v>39</v>
      </c>
      <c r="AB211" s="1307">
        <f t="shared" si="19"/>
        <v>0</v>
      </c>
    </row>
    <row r="212" spans="20:28">
      <c r="T212" s="1077">
        <v>18</v>
      </c>
      <c r="U212" s="1077">
        <f t="shared" si="15"/>
        <v>42</v>
      </c>
      <c r="V212" s="1077">
        <v>40</v>
      </c>
      <c r="W212" s="1077">
        <f t="array" ref="W212">SUMPRODUCT(IF('卡片raw data'!BM$1:BM$1000=T212,1,0),IF('卡片raw data'!BO$1:BO$1000=V212,1,0),IF(IF('卡片raw data'!C$1:C$1000=R$3,1,0)+IF(R$3="",1,0)&gt;=1,1,0),IF(IF('卡片raw data'!D$1:D$1000=R$4,1,0)+IF(R$4="",1,0)&gt;=1,1,0),IF(IF('卡片raw data'!E$1:E$1000=R$5,1,0)+IF(R$5="",1,0)&gt;=1,1,0))</f>
        <v>0</v>
      </c>
      <c r="Y212" s="1307">
        <f t="shared" si="16"/>
        <v>40</v>
      </c>
      <c r="Z212" s="1307">
        <f t="shared" si="17"/>
        <v>0</v>
      </c>
      <c r="AA212" s="1307">
        <f t="shared" si="18"/>
        <v>40</v>
      </c>
      <c r="AB212" s="1307">
        <f t="shared" si="19"/>
        <v>0</v>
      </c>
    </row>
    <row r="213" spans="20:28">
      <c r="T213" s="1077">
        <v>18</v>
      </c>
      <c r="U213" s="1077">
        <f t="shared" si="15"/>
        <v>41</v>
      </c>
      <c r="V213" s="1077">
        <v>41</v>
      </c>
      <c r="W213" s="1077">
        <f t="array" ref="W213">SUMPRODUCT(IF('卡片raw data'!BM$1:BM$1000=T213,1,0),IF('卡片raw data'!BO$1:BO$1000=V213,1,0),IF(IF('卡片raw data'!C$1:C$1000=R$3,1,0)+IF(R$3="",1,0)&gt;=1,1,0),IF(IF('卡片raw data'!D$1:D$1000=R$4,1,0)+IF(R$4="",1,0)&gt;=1,1,0),IF(IF('卡片raw data'!E$1:E$1000=R$5,1,0)+IF(R$5="",1,0)&gt;=1,1,0))</f>
        <v>0</v>
      </c>
      <c r="Y213" s="1307">
        <f t="shared" si="16"/>
        <v>41</v>
      </c>
      <c r="Z213" s="1307">
        <f t="shared" si="17"/>
        <v>0</v>
      </c>
      <c r="AA213" s="1307">
        <f t="shared" si="18"/>
        <v>41</v>
      </c>
      <c r="AB213" s="1307">
        <f t="shared" si="19"/>
        <v>0</v>
      </c>
    </row>
    <row r="214" spans="20:28">
      <c r="T214" s="1077">
        <v>18</v>
      </c>
      <c r="U214" s="1077">
        <f t="shared" si="15"/>
        <v>40</v>
      </c>
      <c r="V214" s="1077">
        <v>42</v>
      </c>
      <c r="W214" s="1077">
        <f t="array" ref="W214">SUMPRODUCT(IF('卡片raw data'!BM$1:BM$1000=T214,1,0),IF('卡片raw data'!BO$1:BO$1000=V214,1,0),IF(IF('卡片raw data'!C$1:C$1000=R$3,1,0)+IF(R$3="",1,0)&gt;=1,1,0),IF(IF('卡片raw data'!D$1:D$1000=R$4,1,0)+IF(R$4="",1,0)&gt;=1,1,0),IF(IF('卡片raw data'!E$1:E$1000=R$5,1,0)+IF(R$5="",1,0)&gt;=1,1,0))</f>
        <v>0</v>
      </c>
      <c r="Y214" s="1307">
        <f t="shared" si="16"/>
        <v>42</v>
      </c>
      <c r="Z214" s="1307">
        <f t="shared" si="17"/>
        <v>0</v>
      </c>
      <c r="AA214" s="1307">
        <f t="shared" si="18"/>
        <v>42</v>
      </c>
      <c r="AB214" s="1307">
        <f t="shared" si="19"/>
        <v>0</v>
      </c>
    </row>
    <row r="215" spans="20:28">
      <c r="T215" s="1077">
        <v>18</v>
      </c>
      <c r="U215" s="1077">
        <f t="shared" si="15"/>
        <v>39</v>
      </c>
      <c r="V215" s="1077">
        <v>43</v>
      </c>
      <c r="W215" s="1077">
        <f t="array" ref="W215">SUMPRODUCT(IF('卡片raw data'!BM$1:BM$1000=T215,1,0),IF('卡片raw data'!BO$1:BO$1000=V215,1,0),IF(IF('卡片raw data'!C$1:C$1000=R$3,1,0)+IF(R$3="",1,0)&gt;=1,1,0),IF(IF('卡片raw data'!D$1:D$1000=R$4,1,0)+IF(R$4="",1,0)&gt;=1,1,0),IF(IF('卡片raw data'!E$1:E$1000=R$5,1,0)+IF(R$5="",1,0)&gt;=1,1,0))</f>
        <v>0</v>
      </c>
      <c r="Y215" s="1307">
        <f t="shared" si="16"/>
        <v>43</v>
      </c>
      <c r="Z215" s="1307">
        <f t="shared" si="17"/>
        <v>0</v>
      </c>
      <c r="AA215" s="1307">
        <f t="shared" si="18"/>
        <v>43</v>
      </c>
      <c r="AB215" s="1307">
        <f t="shared" si="19"/>
        <v>0</v>
      </c>
    </row>
    <row r="216" spans="20:28">
      <c r="T216" s="1077">
        <v>18</v>
      </c>
      <c r="U216" s="1077">
        <f t="shared" si="15"/>
        <v>38</v>
      </c>
      <c r="V216" s="1077">
        <v>44</v>
      </c>
      <c r="W216" s="1077">
        <f t="array" ref="W216">SUMPRODUCT(IF('卡片raw data'!BM$1:BM$1000=T216,1,0),IF('卡片raw data'!BO$1:BO$1000=V216,1,0),IF(IF('卡片raw data'!C$1:C$1000=R$3,1,0)+IF(R$3="",1,0)&gt;=1,1,0),IF(IF('卡片raw data'!D$1:D$1000=R$4,1,0)+IF(R$4="",1,0)&gt;=1,1,0),IF(IF('卡片raw data'!E$1:E$1000=R$5,1,0)+IF(R$5="",1,0)&gt;=1,1,0))</f>
        <v>0</v>
      </c>
      <c r="Y216" s="1307">
        <f t="shared" si="16"/>
        <v>44</v>
      </c>
      <c r="Z216" s="1307">
        <f t="shared" si="17"/>
        <v>0</v>
      </c>
      <c r="AA216" s="1307">
        <f t="shared" si="18"/>
        <v>44</v>
      </c>
      <c r="AB216" s="1307">
        <f t="shared" si="19"/>
        <v>0</v>
      </c>
    </row>
    <row r="217" spans="20:28">
      <c r="T217" s="1077">
        <v>18</v>
      </c>
      <c r="U217" s="1077">
        <f t="shared" si="15"/>
        <v>37</v>
      </c>
      <c r="V217" s="1077">
        <v>45</v>
      </c>
      <c r="W217" s="1077">
        <f t="array" ref="W217">SUMPRODUCT(IF('卡片raw data'!BM$1:BM$1000=T217,1,0),IF('卡片raw data'!BO$1:BO$1000=V217,1,0),IF(IF('卡片raw data'!C$1:C$1000=R$3,1,0)+IF(R$3="",1,0)&gt;=1,1,0),IF(IF('卡片raw data'!D$1:D$1000=R$4,1,0)+IF(R$4="",1,0)&gt;=1,1,0),IF(IF('卡片raw data'!E$1:E$1000=R$5,1,0)+IF(R$5="",1,0)&gt;=1,1,0))</f>
        <v>0</v>
      </c>
      <c r="Y217" s="1307">
        <f t="shared" si="16"/>
        <v>45</v>
      </c>
      <c r="Z217" s="1307">
        <f t="shared" si="17"/>
        <v>0</v>
      </c>
      <c r="AA217" s="1307">
        <f t="shared" si="18"/>
        <v>45</v>
      </c>
      <c r="AB217" s="1307">
        <f t="shared" si="19"/>
        <v>0</v>
      </c>
    </row>
    <row r="218" spans="20:28">
      <c r="T218" s="1077">
        <v>18</v>
      </c>
      <c r="U218" s="1077">
        <f t="shared" si="15"/>
        <v>36</v>
      </c>
      <c r="V218" s="1077">
        <v>46</v>
      </c>
      <c r="W218" s="1077">
        <f t="array" ref="W218">SUMPRODUCT(IF('卡片raw data'!BM$1:BM$1000=T218,1,0),IF('卡片raw data'!BO$1:BO$1000=V218,1,0),IF(IF('卡片raw data'!C$1:C$1000=R$3,1,0)+IF(R$3="",1,0)&gt;=1,1,0),IF(IF('卡片raw data'!D$1:D$1000=R$4,1,0)+IF(R$4="",1,0)&gt;=1,1,0),IF(IF('卡片raw data'!E$1:E$1000=R$5,1,0)+IF(R$5="",1,0)&gt;=1,1,0))</f>
        <v>0</v>
      </c>
      <c r="Y218" s="1307">
        <f t="shared" si="16"/>
        <v>46</v>
      </c>
      <c r="Z218" s="1307">
        <f t="shared" si="17"/>
        <v>0</v>
      </c>
      <c r="AA218" s="1307">
        <f t="shared" si="18"/>
        <v>46</v>
      </c>
      <c r="AB218" s="1307">
        <f t="shared" si="19"/>
        <v>0</v>
      </c>
    </row>
    <row r="219" spans="20:28">
      <c r="T219" s="1077">
        <v>18</v>
      </c>
      <c r="U219" s="1077">
        <f t="shared" si="15"/>
        <v>35</v>
      </c>
      <c r="V219" s="1077">
        <v>47</v>
      </c>
      <c r="W219" s="1077">
        <f t="array" ref="W219">SUMPRODUCT(IF('卡片raw data'!BM$1:BM$1000=T219,1,0),IF('卡片raw data'!BO$1:BO$1000=V219,1,0),IF(IF('卡片raw data'!C$1:C$1000=R$3,1,0)+IF(R$3="",1,0)&gt;=1,1,0),IF(IF('卡片raw data'!D$1:D$1000=R$4,1,0)+IF(R$4="",1,0)&gt;=1,1,0),IF(IF('卡片raw data'!E$1:E$1000=R$5,1,0)+IF(R$5="",1,0)&gt;=1,1,0))</f>
        <v>0</v>
      </c>
      <c r="Y219" s="1307">
        <f t="shared" si="16"/>
        <v>47</v>
      </c>
      <c r="Z219" s="1307">
        <f t="shared" si="17"/>
        <v>0</v>
      </c>
      <c r="AA219" s="1307">
        <f t="shared" si="18"/>
        <v>47</v>
      </c>
      <c r="AB219" s="1307">
        <f t="shared" si="19"/>
        <v>0</v>
      </c>
    </row>
    <row r="220" spans="20:28">
      <c r="T220" s="1077">
        <v>18</v>
      </c>
      <c r="U220" s="1077">
        <f t="shared" si="15"/>
        <v>34</v>
      </c>
      <c r="V220" s="1077">
        <v>48</v>
      </c>
      <c r="W220" s="1077">
        <f t="array" ref="W220">SUMPRODUCT(IF('卡片raw data'!BM$1:BM$1000=T220,1,0),IF('卡片raw data'!BO$1:BO$1000=V220,1,0),IF(IF('卡片raw data'!C$1:C$1000=R$3,1,0)+IF(R$3="",1,0)&gt;=1,1,0),IF(IF('卡片raw data'!D$1:D$1000=R$4,1,0)+IF(R$4="",1,0)&gt;=1,1,0),IF(IF('卡片raw data'!E$1:E$1000=R$5,1,0)+IF(R$5="",1,0)&gt;=1,1,0))</f>
        <v>0</v>
      </c>
      <c r="Y220" s="1307">
        <f t="shared" si="16"/>
        <v>48</v>
      </c>
      <c r="Z220" s="1307">
        <f t="shared" si="17"/>
        <v>0</v>
      </c>
      <c r="AA220" s="1307">
        <f t="shared" si="18"/>
        <v>48</v>
      </c>
      <c r="AB220" s="1307">
        <f t="shared" si="19"/>
        <v>0</v>
      </c>
    </row>
    <row r="221" spans="20:28">
      <c r="T221" s="1077">
        <v>18</v>
      </c>
      <c r="U221" s="1077">
        <f t="shared" si="15"/>
        <v>33</v>
      </c>
      <c r="V221" s="1077">
        <v>49</v>
      </c>
      <c r="W221" s="1077">
        <f t="array" ref="W221">SUMPRODUCT(IF('卡片raw data'!BM$1:BM$1000=T221,1,0),IF('卡片raw data'!BO$1:BO$1000=V221,1,0),IF(IF('卡片raw data'!C$1:C$1000=R$3,1,0)+IF(R$3="",1,0)&gt;=1,1,0),IF(IF('卡片raw data'!D$1:D$1000=R$4,1,0)+IF(R$4="",1,0)&gt;=1,1,0),IF(IF('卡片raw data'!E$1:E$1000=R$5,1,0)+IF(R$5="",1,0)&gt;=1,1,0))</f>
        <v>0</v>
      </c>
      <c r="Y221" s="1307">
        <f t="shared" si="16"/>
        <v>49</v>
      </c>
      <c r="Z221" s="1307">
        <f t="shared" si="17"/>
        <v>0</v>
      </c>
      <c r="AA221" s="1307">
        <f t="shared" si="18"/>
        <v>49</v>
      </c>
      <c r="AB221" s="1307">
        <f t="shared" si="19"/>
        <v>0</v>
      </c>
    </row>
    <row r="222" spans="20:28">
      <c r="T222" s="1077">
        <v>18</v>
      </c>
      <c r="U222" s="1077">
        <f t="shared" si="15"/>
        <v>32</v>
      </c>
      <c r="V222" s="1077">
        <v>50</v>
      </c>
      <c r="W222" s="1077">
        <f t="array" ref="W222">SUMPRODUCT(IF('卡片raw data'!BM$1:BM$1000=T222,1,0),IF('卡片raw data'!BO$1:BO$1000=V222,1,0),IF(IF('卡片raw data'!C$1:C$1000=R$3,1,0)+IF(R$3="",1,0)&gt;=1,1,0),IF(IF('卡片raw data'!D$1:D$1000=R$4,1,0)+IF(R$4="",1,0)&gt;=1,1,0),IF(IF('卡片raw data'!E$1:E$1000=R$5,1,0)+IF(R$5="",1,0)&gt;=1,1,0))</f>
        <v>0</v>
      </c>
      <c r="Y222" s="1307">
        <f t="shared" si="16"/>
        <v>50</v>
      </c>
      <c r="Z222" s="1307">
        <f t="shared" si="17"/>
        <v>0</v>
      </c>
      <c r="AA222" s="1307">
        <f t="shared" si="18"/>
        <v>50</v>
      </c>
      <c r="AB222" s="1307">
        <f t="shared" si="19"/>
        <v>0</v>
      </c>
    </row>
    <row r="223" spans="20:28">
      <c r="T223" s="1077">
        <v>18</v>
      </c>
      <c r="U223" s="1077">
        <f t="shared" si="15"/>
        <v>31</v>
      </c>
      <c r="V223" s="1077">
        <v>51</v>
      </c>
      <c r="W223" s="1077">
        <f t="array" ref="W223">SUMPRODUCT(IF('卡片raw data'!BM$1:BM$1000=T223,1,0),IF('卡片raw data'!BO$1:BO$1000=V223,1,0),IF(IF('卡片raw data'!C$1:C$1000=R$3,1,0)+IF(R$3="",1,0)&gt;=1,1,0),IF(IF('卡片raw data'!D$1:D$1000=R$4,1,0)+IF(R$4="",1,0)&gt;=1,1,0),IF(IF('卡片raw data'!E$1:E$1000=R$5,1,0)+IF(R$5="",1,0)&gt;=1,1,0))</f>
        <v>0</v>
      </c>
      <c r="Y223" s="1307">
        <f t="shared" si="16"/>
        <v>51</v>
      </c>
      <c r="Z223" s="1307">
        <f t="shared" si="17"/>
        <v>0</v>
      </c>
      <c r="AA223" s="1307">
        <f t="shared" si="18"/>
        <v>51</v>
      </c>
      <c r="AB223" s="1307">
        <f t="shared" si="19"/>
        <v>0</v>
      </c>
    </row>
    <row r="224" spans="20:28">
      <c r="T224" s="1077">
        <v>18</v>
      </c>
      <c r="U224" s="1077">
        <f t="shared" si="15"/>
        <v>30</v>
      </c>
      <c r="V224" s="1077">
        <v>52</v>
      </c>
      <c r="W224" s="1077">
        <f t="array" ref="W224">SUMPRODUCT(IF('卡片raw data'!BM$1:BM$1000=T224,1,0),IF('卡片raw data'!BO$1:BO$1000=V224,1,0),IF(IF('卡片raw data'!C$1:C$1000=R$3,1,0)+IF(R$3="",1,0)&gt;=1,1,0),IF(IF('卡片raw data'!D$1:D$1000=R$4,1,0)+IF(R$4="",1,0)&gt;=1,1,0),IF(IF('卡片raw data'!E$1:E$1000=R$5,1,0)+IF(R$5="",1,0)&gt;=1,1,0))</f>
        <v>0</v>
      </c>
      <c r="Y224" s="1307">
        <f t="shared" si="16"/>
        <v>52</v>
      </c>
      <c r="Z224" s="1307">
        <f t="shared" si="17"/>
        <v>0</v>
      </c>
      <c r="AA224" s="1307">
        <f t="shared" si="18"/>
        <v>52</v>
      </c>
      <c r="AB224" s="1307">
        <f t="shared" si="19"/>
        <v>0</v>
      </c>
    </row>
    <row r="225" spans="20:28">
      <c r="T225" s="1077">
        <v>18</v>
      </c>
      <c r="U225" s="1077">
        <f t="shared" si="15"/>
        <v>29</v>
      </c>
      <c r="V225" s="1077">
        <v>53</v>
      </c>
      <c r="W225" s="1077">
        <f t="array" ref="W225">SUMPRODUCT(IF('卡片raw data'!BM$1:BM$1000=T225,1,0),IF('卡片raw data'!BO$1:BO$1000=V225,1,0),IF(IF('卡片raw data'!C$1:C$1000=R$3,1,0)+IF(R$3="",1,0)&gt;=1,1,0),IF(IF('卡片raw data'!D$1:D$1000=R$4,1,0)+IF(R$4="",1,0)&gt;=1,1,0),IF(IF('卡片raw data'!E$1:E$1000=R$5,1,0)+IF(R$5="",1,0)&gt;=1,1,0))</f>
        <v>0</v>
      </c>
      <c r="Y225" s="1307">
        <f t="shared" si="16"/>
        <v>53</v>
      </c>
      <c r="Z225" s="1307">
        <f t="shared" si="17"/>
        <v>0</v>
      </c>
      <c r="AA225" s="1307">
        <f t="shared" si="18"/>
        <v>53</v>
      </c>
      <c r="AB225" s="1307">
        <f t="shared" si="19"/>
        <v>0</v>
      </c>
    </row>
    <row r="226" spans="20:28">
      <c r="T226" s="1077">
        <v>18</v>
      </c>
      <c r="U226" s="1077">
        <f t="shared" si="15"/>
        <v>28</v>
      </c>
      <c r="V226" s="1077">
        <v>54</v>
      </c>
      <c r="W226" s="1077">
        <f t="array" ref="W226">SUMPRODUCT(IF('卡片raw data'!BM$1:BM$1000=T226,1,0),IF('卡片raw data'!BO$1:BO$1000=V226,1,0),IF(IF('卡片raw data'!C$1:C$1000=R$3,1,0)+IF(R$3="",1,0)&gt;=1,1,0),IF(IF('卡片raw data'!D$1:D$1000=R$4,1,0)+IF(R$4="",1,0)&gt;=1,1,0),IF(IF('卡片raw data'!E$1:E$1000=R$5,1,0)+IF(R$5="",1,0)&gt;=1,1,0))</f>
        <v>0</v>
      </c>
      <c r="Y226" s="1307">
        <f t="shared" si="16"/>
        <v>54</v>
      </c>
      <c r="Z226" s="1307">
        <f t="shared" si="17"/>
        <v>0</v>
      </c>
      <c r="AA226" s="1307">
        <f t="shared" si="18"/>
        <v>54</v>
      </c>
      <c r="AB226" s="1307">
        <f t="shared" si="19"/>
        <v>0</v>
      </c>
    </row>
    <row r="227" spans="20:28">
      <c r="T227" s="1077">
        <v>18</v>
      </c>
      <c r="U227" s="1077">
        <f t="shared" si="15"/>
        <v>27</v>
      </c>
      <c r="V227" s="1077">
        <v>55</v>
      </c>
      <c r="W227" s="1077">
        <f t="array" ref="W227">SUMPRODUCT(IF('卡片raw data'!BM$1:BM$1000=T227,1,0),IF('卡片raw data'!BO$1:BO$1000=V227,1,0),IF(IF('卡片raw data'!C$1:C$1000=R$3,1,0)+IF(R$3="",1,0)&gt;=1,1,0),IF(IF('卡片raw data'!D$1:D$1000=R$4,1,0)+IF(R$4="",1,0)&gt;=1,1,0),IF(IF('卡片raw data'!E$1:E$1000=R$5,1,0)+IF(R$5="",1,0)&gt;=1,1,0))</f>
        <v>0</v>
      </c>
      <c r="Y227" s="1307">
        <f t="shared" si="16"/>
        <v>55</v>
      </c>
      <c r="Z227" s="1307">
        <f t="shared" si="17"/>
        <v>0</v>
      </c>
      <c r="AA227" s="1307">
        <f t="shared" si="18"/>
        <v>55</v>
      </c>
      <c r="AB227" s="1307">
        <f t="shared" si="19"/>
        <v>0</v>
      </c>
    </row>
    <row r="228" spans="20:28">
      <c r="T228" s="1077">
        <v>19</v>
      </c>
      <c r="U228" s="1077">
        <f t="shared" si="15"/>
        <v>55</v>
      </c>
      <c r="V228" s="1077">
        <v>26</v>
      </c>
      <c r="W228" s="1077">
        <f t="array" ref="W228">SUMPRODUCT(IF('卡片raw data'!BM$1:BM$1000=T228,1,0),IF('卡片raw data'!BO$1:BO$1000=V228,1,0),IF(IF('卡片raw data'!C$1:C$1000=R$3,1,0)+IF(R$3="",1,0)&gt;=1,1,0),IF(IF('卡片raw data'!D$1:D$1000=R$4,1,0)+IF(R$4="",1,0)&gt;=1,1,0),IF(IF('卡片raw data'!E$1:E$1000=R$5,1,0)+IF(R$5="",1,0)&gt;=1,1,0))</f>
        <v>0</v>
      </c>
      <c r="Y228" s="1307">
        <f t="shared" si="16"/>
        <v>26</v>
      </c>
      <c r="Z228" s="1307">
        <f t="shared" si="17"/>
        <v>0</v>
      </c>
      <c r="AA228" s="1307">
        <f t="shared" si="18"/>
        <v>26</v>
      </c>
      <c r="AB228" s="1307">
        <f t="shared" si="19"/>
        <v>0</v>
      </c>
    </row>
    <row r="229" spans="20:28">
      <c r="T229" s="1077">
        <v>19</v>
      </c>
      <c r="U229" s="1077">
        <f t="shared" si="15"/>
        <v>54</v>
      </c>
      <c r="V229" s="1077">
        <v>27</v>
      </c>
      <c r="W229" s="1077">
        <f t="array" ref="W229">SUMPRODUCT(IF('卡片raw data'!BM$1:BM$1000=T229,1,0),IF('卡片raw data'!BO$1:BO$1000=V229,1,0),IF(IF('卡片raw data'!C$1:C$1000=R$3,1,0)+IF(R$3="",1,0)&gt;=1,1,0),IF(IF('卡片raw data'!D$1:D$1000=R$4,1,0)+IF(R$4="",1,0)&gt;=1,1,0),IF(IF('卡片raw data'!E$1:E$1000=R$5,1,0)+IF(R$5="",1,0)&gt;=1,1,0))</f>
        <v>0</v>
      </c>
      <c r="Y229" s="1307">
        <f t="shared" si="16"/>
        <v>27</v>
      </c>
      <c r="Z229" s="1307">
        <f t="shared" si="17"/>
        <v>0</v>
      </c>
      <c r="AA229" s="1307">
        <f t="shared" si="18"/>
        <v>27</v>
      </c>
      <c r="AB229" s="1307">
        <f t="shared" si="19"/>
        <v>0</v>
      </c>
    </row>
    <row r="230" spans="20:28">
      <c r="T230" s="1077">
        <v>19</v>
      </c>
      <c r="U230" s="1077">
        <f t="shared" si="15"/>
        <v>53</v>
      </c>
      <c r="V230" s="1077">
        <v>28</v>
      </c>
      <c r="W230" s="1077">
        <f t="array" ref="W230">SUMPRODUCT(IF('卡片raw data'!BM$1:BM$1000=T230,1,0),IF('卡片raw data'!BO$1:BO$1000=V230,1,0),IF(IF('卡片raw data'!C$1:C$1000=R$3,1,0)+IF(R$3="",1,0)&gt;=1,1,0),IF(IF('卡片raw data'!D$1:D$1000=R$4,1,0)+IF(R$4="",1,0)&gt;=1,1,0),IF(IF('卡片raw data'!E$1:E$1000=R$5,1,0)+IF(R$5="",1,0)&gt;=1,1,0))</f>
        <v>0</v>
      </c>
      <c r="Y230" s="1307">
        <f t="shared" si="16"/>
        <v>28</v>
      </c>
      <c r="Z230" s="1307">
        <f t="shared" si="17"/>
        <v>0</v>
      </c>
      <c r="AA230" s="1307">
        <f t="shared" si="18"/>
        <v>28</v>
      </c>
      <c r="AB230" s="1307">
        <f t="shared" si="19"/>
        <v>0</v>
      </c>
    </row>
    <row r="231" spans="20:28">
      <c r="T231" s="1077">
        <v>19</v>
      </c>
      <c r="U231" s="1077">
        <f t="shared" si="15"/>
        <v>52</v>
      </c>
      <c r="V231" s="1077">
        <v>29</v>
      </c>
      <c r="W231" s="1077">
        <f t="array" ref="W231">SUMPRODUCT(IF('卡片raw data'!BM$1:BM$1000=T231,1,0),IF('卡片raw data'!BO$1:BO$1000=V231,1,0),IF(IF('卡片raw data'!C$1:C$1000=R$3,1,0)+IF(R$3="",1,0)&gt;=1,1,0),IF(IF('卡片raw data'!D$1:D$1000=R$4,1,0)+IF(R$4="",1,0)&gt;=1,1,0),IF(IF('卡片raw data'!E$1:E$1000=R$5,1,0)+IF(R$5="",1,0)&gt;=1,1,0))</f>
        <v>0</v>
      </c>
      <c r="Y231" s="1307">
        <f t="shared" si="16"/>
        <v>29</v>
      </c>
      <c r="Z231" s="1307">
        <f t="shared" si="17"/>
        <v>0</v>
      </c>
      <c r="AA231" s="1307">
        <f t="shared" si="18"/>
        <v>29</v>
      </c>
      <c r="AB231" s="1307">
        <f t="shared" si="19"/>
        <v>0</v>
      </c>
    </row>
    <row r="232" spans="20:28">
      <c r="T232" s="1077">
        <v>19</v>
      </c>
      <c r="U232" s="1077">
        <f t="shared" si="15"/>
        <v>51</v>
      </c>
      <c r="V232" s="1077">
        <v>30</v>
      </c>
      <c r="W232" s="1077">
        <f t="array" ref="W232">SUMPRODUCT(IF('卡片raw data'!BM$1:BM$1000=T232,1,0),IF('卡片raw data'!BO$1:BO$1000=V232,1,0),IF(IF('卡片raw data'!C$1:C$1000=R$3,1,0)+IF(R$3="",1,0)&gt;=1,1,0),IF(IF('卡片raw data'!D$1:D$1000=R$4,1,0)+IF(R$4="",1,0)&gt;=1,1,0),IF(IF('卡片raw data'!E$1:E$1000=R$5,1,0)+IF(R$5="",1,0)&gt;=1,1,0))</f>
        <v>0</v>
      </c>
      <c r="Y232" s="1307">
        <f t="shared" si="16"/>
        <v>30</v>
      </c>
      <c r="Z232" s="1307">
        <f t="shared" si="17"/>
        <v>0</v>
      </c>
      <c r="AA232" s="1307">
        <f t="shared" si="18"/>
        <v>30</v>
      </c>
      <c r="AB232" s="1307">
        <f t="shared" si="19"/>
        <v>0</v>
      </c>
    </row>
    <row r="233" spans="20:28">
      <c r="T233" s="1077">
        <v>19</v>
      </c>
      <c r="U233" s="1077">
        <f t="shared" si="15"/>
        <v>50</v>
      </c>
      <c r="V233" s="1077">
        <v>31</v>
      </c>
      <c r="W233" s="1077">
        <f t="array" ref="W233">SUMPRODUCT(IF('卡片raw data'!BM$1:BM$1000=T233,1,0),IF('卡片raw data'!BO$1:BO$1000=V233,1,0),IF(IF('卡片raw data'!C$1:C$1000=R$3,1,0)+IF(R$3="",1,0)&gt;=1,1,0),IF(IF('卡片raw data'!D$1:D$1000=R$4,1,0)+IF(R$4="",1,0)&gt;=1,1,0),IF(IF('卡片raw data'!E$1:E$1000=R$5,1,0)+IF(R$5="",1,0)&gt;=1,1,0))</f>
        <v>0</v>
      </c>
      <c r="Y233" s="1307">
        <f t="shared" si="16"/>
        <v>31</v>
      </c>
      <c r="Z233" s="1307">
        <f t="shared" si="17"/>
        <v>0</v>
      </c>
      <c r="AA233" s="1307">
        <f t="shared" si="18"/>
        <v>31</v>
      </c>
      <c r="AB233" s="1307">
        <f t="shared" si="19"/>
        <v>0</v>
      </c>
    </row>
    <row r="234" spans="20:28">
      <c r="T234" s="1077">
        <v>19</v>
      </c>
      <c r="U234" s="1077">
        <f t="shared" si="15"/>
        <v>49</v>
      </c>
      <c r="V234" s="1077">
        <v>32</v>
      </c>
      <c r="W234" s="1077">
        <f t="array" ref="W234">SUMPRODUCT(IF('卡片raw data'!BM$1:BM$1000=T234,1,0),IF('卡片raw data'!BO$1:BO$1000=V234,1,0),IF(IF('卡片raw data'!C$1:C$1000=R$3,1,0)+IF(R$3="",1,0)&gt;=1,1,0),IF(IF('卡片raw data'!D$1:D$1000=R$4,1,0)+IF(R$4="",1,0)&gt;=1,1,0),IF(IF('卡片raw data'!E$1:E$1000=R$5,1,0)+IF(R$5="",1,0)&gt;=1,1,0))</f>
        <v>0</v>
      </c>
      <c r="Y234" s="1307">
        <f t="shared" si="16"/>
        <v>32</v>
      </c>
      <c r="Z234" s="1307">
        <f t="shared" si="17"/>
        <v>0</v>
      </c>
      <c r="AA234" s="1307">
        <f t="shared" si="18"/>
        <v>32</v>
      </c>
      <c r="AB234" s="1307">
        <f t="shared" si="19"/>
        <v>0</v>
      </c>
    </row>
    <row r="235" spans="20:28">
      <c r="T235" s="1077">
        <v>19</v>
      </c>
      <c r="U235" s="1077">
        <f t="shared" si="15"/>
        <v>48</v>
      </c>
      <c r="V235" s="1077">
        <v>33</v>
      </c>
      <c r="W235" s="1077">
        <f t="array" ref="W235">SUMPRODUCT(IF('卡片raw data'!BM$1:BM$1000=T235,1,0),IF('卡片raw data'!BO$1:BO$1000=V235,1,0),IF(IF('卡片raw data'!C$1:C$1000=R$3,1,0)+IF(R$3="",1,0)&gt;=1,1,0),IF(IF('卡片raw data'!D$1:D$1000=R$4,1,0)+IF(R$4="",1,0)&gt;=1,1,0),IF(IF('卡片raw data'!E$1:E$1000=R$5,1,0)+IF(R$5="",1,0)&gt;=1,1,0))</f>
        <v>0</v>
      </c>
      <c r="Y235" s="1307">
        <f t="shared" si="16"/>
        <v>33</v>
      </c>
      <c r="Z235" s="1307">
        <f t="shared" si="17"/>
        <v>0</v>
      </c>
      <c r="AA235" s="1307">
        <f t="shared" si="18"/>
        <v>33</v>
      </c>
      <c r="AB235" s="1307">
        <f t="shared" si="19"/>
        <v>0</v>
      </c>
    </row>
    <row r="236" spans="20:28">
      <c r="T236" s="1077">
        <v>19</v>
      </c>
      <c r="U236" s="1077">
        <f t="shared" si="15"/>
        <v>47</v>
      </c>
      <c r="V236" s="1077">
        <v>34</v>
      </c>
      <c r="W236" s="1077">
        <f t="array" ref="W236">SUMPRODUCT(IF('卡片raw data'!BM$1:BM$1000=T236,1,0),IF('卡片raw data'!BO$1:BO$1000=V236,1,0),IF(IF('卡片raw data'!C$1:C$1000=R$3,1,0)+IF(R$3="",1,0)&gt;=1,1,0),IF(IF('卡片raw data'!D$1:D$1000=R$4,1,0)+IF(R$4="",1,0)&gt;=1,1,0),IF(IF('卡片raw data'!E$1:E$1000=R$5,1,0)+IF(R$5="",1,0)&gt;=1,1,0))</f>
        <v>1</v>
      </c>
      <c r="Y236" s="1307">
        <f t="shared" si="16"/>
        <v>34</v>
      </c>
      <c r="Z236" s="1307">
        <f t="shared" si="17"/>
        <v>0</v>
      </c>
      <c r="AA236" s="1307">
        <f t="shared" si="18"/>
        <v>34</v>
      </c>
      <c r="AB236" s="1307">
        <f t="shared" si="19"/>
        <v>1</v>
      </c>
    </row>
    <row r="237" spans="20:28">
      <c r="T237" s="1077">
        <v>19</v>
      </c>
      <c r="U237" s="1077">
        <f t="shared" si="15"/>
        <v>46</v>
      </c>
      <c r="V237" s="1077">
        <v>35</v>
      </c>
      <c r="W237" s="1077">
        <f t="array" ref="W237">SUMPRODUCT(IF('卡片raw data'!BM$1:BM$1000=T237,1,0),IF('卡片raw data'!BO$1:BO$1000=V237,1,0),IF(IF('卡片raw data'!C$1:C$1000=R$3,1,0)+IF(R$3="",1,0)&gt;=1,1,0),IF(IF('卡片raw data'!D$1:D$1000=R$4,1,0)+IF(R$4="",1,0)&gt;=1,1,0),IF(IF('卡片raw data'!E$1:E$1000=R$5,1,0)+IF(R$5="",1,0)&gt;=1,1,0))</f>
        <v>0</v>
      </c>
      <c r="Y237" s="1307">
        <f t="shared" si="16"/>
        <v>35</v>
      </c>
      <c r="Z237" s="1307">
        <f t="shared" si="17"/>
        <v>0</v>
      </c>
      <c r="AA237" s="1307">
        <f t="shared" si="18"/>
        <v>35</v>
      </c>
      <c r="AB237" s="1307">
        <f t="shared" si="19"/>
        <v>0</v>
      </c>
    </row>
    <row r="238" spans="20:28">
      <c r="T238" s="1077">
        <v>19</v>
      </c>
      <c r="U238" s="1077">
        <f t="shared" si="15"/>
        <v>45</v>
      </c>
      <c r="V238" s="1077">
        <v>36</v>
      </c>
      <c r="W238" s="1077">
        <f t="array" ref="W238">SUMPRODUCT(IF('卡片raw data'!BM$1:BM$1000=T238,1,0),IF('卡片raw data'!BO$1:BO$1000=V238,1,0),IF(IF('卡片raw data'!C$1:C$1000=R$3,1,0)+IF(R$3="",1,0)&gt;=1,1,0),IF(IF('卡片raw data'!D$1:D$1000=R$4,1,0)+IF(R$4="",1,0)&gt;=1,1,0),IF(IF('卡片raw data'!E$1:E$1000=R$5,1,0)+IF(R$5="",1,0)&gt;=1,1,0))</f>
        <v>0</v>
      </c>
      <c r="Y238" s="1307">
        <f t="shared" si="16"/>
        <v>36</v>
      </c>
      <c r="Z238" s="1307">
        <f t="shared" si="17"/>
        <v>0</v>
      </c>
      <c r="AA238" s="1307">
        <f t="shared" si="18"/>
        <v>36</v>
      </c>
      <c r="AB238" s="1307">
        <f t="shared" si="19"/>
        <v>0</v>
      </c>
    </row>
    <row r="239" spans="20:28">
      <c r="T239" s="1077">
        <v>19</v>
      </c>
      <c r="U239" s="1077">
        <f t="shared" si="15"/>
        <v>44</v>
      </c>
      <c r="V239" s="1077">
        <v>37</v>
      </c>
      <c r="W239" s="1077">
        <f t="array" ref="W239">SUMPRODUCT(IF('卡片raw data'!BM$1:BM$1000=T239,1,0),IF('卡片raw data'!BO$1:BO$1000=V239,1,0),IF(IF('卡片raw data'!C$1:C$1000=R$3,1,0)+IF(R$3="",1,0)&gt;=1,1,0),IF(IF('卡片raw data'!D$1:D$1000=R$4,1,0)+IF(R$4="",1,0)&gt;=1,1,0),IF(IF('卡片raw data'!E$1:E$1000=R$5,1,0)+IF(R$5="",1,0)&gt;=1,1,0))</f>
        <v>0</v>
      </c>
      <c r="Y239" s="1307">
        <f t="shared" si="16"/>
        <v>37</v>
      </c>
      <c r="Z239" s="1307">
        <f t="shared" si="17"/>
        <v>0</v>
      </c>
      <c r="AA239" s="1307">
        <f t="shared" si="18"/>
        <v>37</v>
      </c>
      <c r="AB239" s="1307">
        <f t="shared" si="19"/>
        <v>0</v>
      </c>
    </row>
    <row r="240" spans="20:28">
      <c r="T240" s="1077">
        <v>19</v>
      </c>
      <c r="U240" s="1077">
        <f t="shared" si="15"/>
        <v>43</v>
      </c>
      <c r="V240" s="1077">
        <v>38</v>
      </c>
      <c r="W240" s="1077">
        <f t="array" ref="W240">SUMPRODUCT(IF('卡片raw data'!BM$1:BM$1000=T240,1,0),IF('卡片raw data'!BO$1:BO$1000=V240,1,0),IF(IF('卡片raw data'!C$1:C$1000=R$3,1,0)+IF(R$3="",1,0)&gt;=1,1,0),IF(IF('卡片raw data'!D$1:D$1000=R$4,1,0)+IF(R$4="",1,0)&gt;=1,1,0),IF(IF('卡片raw data'!E$1:E$1000=R$5,1,0)+IF(R$5="",1,0)&gt;=1,1,0))</f>
        <v>0</v>
      </c>
      <c r="Y240" s="1307">
        <f t="shared" si="16"/>
        <v>38</v>
      </c>
      <c r="Z240" s="1307">
        <f t="shared" si="17"/>
        <v>0</v>
      </c>
      <c r="AA240" s="1307">
        <f t="shared" si="18"/>
        <v>38</v>
      </c>
      <c r="AB240" s="1307">
        <f t="shared" si="19"/>
        <v>0</v>
      </c>
    </row>
    <row r="241" spans="20:28">
      <c r="T241" s="1077">
        <v>19</v>
      </c>
      <c r="U241" s="1077">
        <f t="shared" si="15"/>
        <v>42</v>
      </c>
      <c r="V241" s="1077">
        <v>39</v>
      </c>
      <c r="W241" s="1077">
        <f t="array" ref="W241">SUMPRODUCT(IF('卡片raw data'!BM$1:BM$1000=T241,1,0),IF('卡片raw data'!BO$1:BO$1000=V241,1,0),IF(IF('卡片raw data'!C$1:C$1000=R$3,1,0)+IF(R$3="",1,0)&gt;=1,1,0),IF(IF('卡片raw data'!D$1:D$1000=R$4,1,0)+IF(R$4="",1,0)&gt;=1,1,0),IF(IF('卡片raw data'!E$1:E$1000=R$5,1,0)+IF(R$5="",1,0)&gt;=1,1,0))</f>
        <v>0</v>
      </c>
      <c r="Y241" s="1307">
        <f t="shared" si="16"/>
        <v>39</v>
      </c>
      <c r="Z241" s="1307">
        <f t="shared" si="17"/>
        <v>0</v>
      </c>
      <c r="AA241" s="1307">
        <f t="shared" si="18"/>
        <v>39</v>
      </c>
      <c r="AB241" s="1307">
        <f t="shared" si="19"/>
        <v>0</v>
      </c>
    </row>
    <row r="242" spans="20:28">
      <c r="T242" s="1077">
        <v>19</v>
      </c>
      <c r="U242" s="1077">
        <f t="shared" si="15"/>
        <v>41</v>
      </c>
      <c r="V242" s="1077">
        <v>40</v>
      </c>
      <c r="W242" s="1077">
        <f t="array" ref="W242">SUMPRODUCT(IF('卡片raw data'!BM$1:BM$1000=T242,1,0),IF('卡片raw data'!BO$1:BO$1000=V242,1,0),IF(IF('卡片raw data'!C$1:C$1000=R$3,1,0)+IF(R$3="",1,0)&gt;=1,1,0),IF(IF('卡片raw data'!D$1:D$1000=R$4,1,0)+IF(R$4="",1,0)&gt;=1,1,0),IF(IF('卡片raw data'!E$1:E$1000=R$5,1,0)+IF(R$5="",1,0)&gt;=1,1,0))</f>
        <v>0</v>
      </c>
      <c r="Y242" s="1307">
        <f t="shared" si="16"/>
        <v>40</v>
      </c>
      <c r="Z242" s="1307">
        <f t="shared" si="17"/>
        <v>0</v>
      </c>
      <c r="AA242" s="1307">
        <f t="shared" si="18"/>
        <v>40</v>
      </c>
      <c r="AB242" s="1307">
        <f t="shared" si="19"/>
        <v>0</v>
      </c>
    </row>
    <row r="243" spans="20:28">
      <c r="T243" s="1077">
        <v>19</v>
      </c>
      <c r="U243" s="1077">
        <f t="shared" si="15"/>
        <v>40</v>
      </c>
      <c r="V243" s="1077">
        <v>41</v>
      </c>
      <c r="W243" s="1077">
        <f t="array" ref="W243">SUMPRODUCT(IF('卡片raw data'!BM$1:BM$1000=T243,1,0),IF('卡片raw data'!BO$1:BO$1000=V243,1,0),IF(IF('卡片raw data'!C$1:C$1000=R$3,1,0)+IF(R$3="",1,0)&gt;=1,1,0),IF(IF('卡片raw data'!D$1:D$1000=R$4,1,0)+IF(R$4="",1,0)&gt;=1,1,0),IF(IF('卡片raw data'!E$1:E$1000=R$5,1,0)+IF(R$5="",1,0)&gt;=1,1,0))</f>
        <v>0</v>
      </c>
      <c r="Y243" s="1307">
        <f t="shared" si="16"/>
        <v>41</v>
      </c>
      <c r="Z243" s="1307">
        <f t="shared" si="17"/>
        <v>0</v>
      </c>
      <c r="AA243" s="1307">
        <f t="shared" si="18"/>
        <v>41</v>
      </c>
      <c r="AB243" s="1307">
        <f t="shared" si="19"/>
        <v>0</v>
      </c>
    </row>
    <row r="244" spans="20:28">
      <c r="T244" s="1077">
        <v>19</v>
      </c>
      <c r="U244" s="1077">
        <f t="shared" si="15"/>
        <v>39</v>
      </c>
      <c r="V244" s="1077">
        <v>42</v>
      </c>
      <c r="W244" s="1077">
        <f t="array" ref="W244">SUMPRODUCT(IF('卡片raw data'!BM$1:BM$1000=T244,1,0),IF('卡片raw data'!BO$1:BO$1000=V244,1,0),IF(IF('卡片raw data'!C$1:C$1000=R$3,1,0)+IF(R$3="",1,0)&gt;=1,1,0),IF(IF('卡片raw data'!D$1:D$1000=R$4,1,0)+IF(R$4="",1,0)&gt;=1,1,0),IF(IF('卡片raw data'!E$1:E$1000=R$5,1,0)+IF(R$5="",1,0)&gt;=1,1,0))</f>
        <v>0</v>
      </c>
      <c r="Y244" s="1307">
        <f t="shared" si="16"/>
        <v>42</v>
      </c>
      <c r="Z244" s="1307">
        <f t="shared" si="17"/>
        <v>0</v>
      </c>
      <c r="AA244" s="1307">
        <f t="shared" si="18"/>
        <v>42</v>
      </c>
      <c r="AB244" s="1307">
        <f t="shared" si="19"/>
        <v>0</v>
      </c>
    </row>
    <row r="245" spans="20:28">
      <c r="T245" s="1077">
        <v>19</v>
      </c>
      <c r="U245" s="1077">
        <f t="shared" si="15"/>
        <v>38</v>
      </c>
      <c r="V245" s="1077">
        <v>43</v>
      </c>
      <c r="W245" s="1077">
        <f t="array" ref="W245">SUMPRODUCT(IF('卡片raw data'!BM$1:BM$1000=T245,1,0),IF('卡片raw data'!BO$1:BO$1000=V245,1,0),IF(IF('卡片raw data'!C$1:C$1000=R$3,1,0)+IF(R$3="",1,0)&gt;=1,1,0),IF(IF('卡片raw data'!D$1:D$1000=R$4,1,0)+IF(R$4="",1,0)&gt;=1,1,0),IF(IF('卡片raw data'!E$1:E$1000=R$5,1,0)+IF(R$5="",1,0)&gt;=1,1,0))</f>
        <v>0</v>
      </c>
      <c r="Y245" s="1307">
        <f t="shared" si="16"/>
        <v>43</v>
      </c>
      <c r="Z245" s="1307">
        <f t="shared" si="17"/>
        <v>0</v>
      </c>
      <c r="AA245" s="1307">
        <f t="shared" si="18"/>
        <v>43</v>
      </c>
      <c r="AB245" s="1307">
        <f t="shared" si="19"/>
        <v>0</v>
      </c>
    </row>
    <row r="246" spans="20:28">
      <c r="T246" s="1077">
        <v>19</v>
      </c>
      <c r="U246" s="1077">
        <f t="shared" si="15"/>
        <v>37</v>
      </c>
      <c r="V246" s="1077">
        <v>44</v>
      </c>
      <c r="W246" s="1077">
        <f t="array" ref="W246">SUMPRODUCT(IF('卡片raw data'!BM$1:BM$1000=T246,1,0),IF('卡片raw data'!BO$1:BO$1000=V246,1,0),IF(IF('卡片raw data'!C$1:C$1000=R$3,1,0)+IF(R$3="",1,0)&gt;=1,1,0),IF(IF('卡片raw data'!D$1:D$1000=R$4,1,0)+IF(R$4="",1,0)&gt;=1,1,0),IF(IF('卡片raw data'!E$1:E$1000=R$5,1,0)+IF(R$5="",1,0)&gt;=1,1,0))</f>
        <v>0</v>
      </c>
      <c r="Y246" s="1307">
        <f t="shared" si="16"/>
        <v>44</v>
      </c>
      <c r="Z246" s="1307">
        <f t="shared" si="17"/>
        <v>0</v>
      </c>
      <c r="AA246" s="1307">
        <f t="shared" si="18"/>
        <v>44</v>
      </c>
      <c r="AB246" s="1307">
        <f t="shared" si="19"/>
        <v>0</v>
      </c>
    </row>
    <row r="247" spans="20:28">
      <c r="T247" s="1077">
        <v>19</v>
      </c>
      <c r="U247" s="1077">
        <f t="shared" si="15"/>
        <v>36</v>
      </c>
      <c r="V247" s="1077">
        <v>45</v>
      </c>
      <c r="W247" s="1077">
        <f t="array" ref="W247">SUMPRODUCT(IF('卡片raw data'!BM$1:BM$1000=T247,1,0),IF('卡片raw data'!BO$1:BO$1000=V247,1,0),IF(IF('卡片raw data'!C$1:C$1000=R$3,1,0)+IF(R$3="",1,0)&gt;=1,1,0),IF(IF('卡片raw data'!D$1:D$1000=R$4,1,0)+IF(R$4="",1,0)&gt;=1,1,0),IF(IF('卡片raw data'!E$1:E$1000=R$5,1,0)+IF(R$5="",1,0)&gt;=1,1,0))</f>
        <v>0</v>
      </c>
      <c r="Y247" s="1307">
        <f t="shared" si="16"/>
        <v>45</v>
      </c>
      <c r="Z247" s="1307">
        <f t="shared" si="17"/>
        <v>0</v>
      </c>
      <c r="AA247" s="1307">
        <f t="shared" si="18"/>
        <v>45</v>
      </c>
      <c r="AB247" s="1307">
        <f t="shared" si="19"/>
        <v>0</v>
      </c>
    </row>
    <row r="248" spans="20:28">
      <c r="T248" s="1077">
        <v>19</v>
      </c>
      <c r="U248" s="1077">
        <f t="shared" si="15"/>
        <v>35</v>
      </c>
      <c r="V248" s="1077">
        <v>46</v>
      </c>
      <c r="W248" s="1077">
        <f t="array" ref="W248">SUMPRODUCT(IF('卡片raw data'!BM$1:BM$1000=T248,1,0),IF('卡片raw data'!BO$1:BO$1000=V248,1,0),IF(IF('卡片raw data'!C$1:C$1000=R$3,1,0)+IF(R$3="",1,0)&gt;=1,1,0),IF(IF('卡片raw data'!D$1:D$1000=R$4,1,0)+IF(R$4="",1,0)&gt;=1,1,0),IF(IF('卡片raw data'!E$1:E$1000=R$5,1,0)+IF(R$5="",1,0)&gt;=1,1,0))</f>
        <v>1</v>
      </c>
      <c r="Y248" s="1307">
        <f t="shared" si="16"/>
        <v>46</v>
      </c>
      <c r="Z248" s="1307">
        <f t="shared" si="17"/>
        <v>1</v>
      </c>
      <c r="AA248" s="1307">
        <f t="shared" si="18"/>
        <v>46</v>
      </c>
      <c r="AB248" s="1307">
        <f t="shared" si="19"/>
        <v>0</v>
      </c>
    </row>
    <row r="249" spans="20:28">
      <c r="T249" s="1077">
        <v>19</v>
      </c>
      <c r="U249" s="1077">
        <f t="shared" si="15"/>
        <v>34</v>
      </c>
      <c r="V249" s="1077">
        <v>47</v>
      </c>
      <c r="W249" s="1077">
        <f t="array" ref="W249">SUMPRODUCT(IF('卡片raw data'!BM$1:BM$1000=T249,1,0),IF('卡片raw data'!BO$1:BO$1000=V249,1,0),IF(IF('卡片raw data'!C$1:C$1000=R$3,1,0)+IF(R$3="",1,0)&gt;=1,1,0),IF(IF('卡片raw data'!D$1:D$1000=R$4,1,0)+IF(R$4="",1,0)&gt;=1,1,0),IF(IF('卡片raw data'!E$1:E$1000=R$5,1,0)+IF(R$5="",1,0)&gt;=1,1,0))</f>
        <v>0</v>
      </c>
      <c r="Y249" s="1307">
        <f t="shared" si="16"/>
        <v>47</v>
      </c>
      <c r="Z249" s="1307">
        <f t="shared" si="17"/>
        <v>0</v>
      </c>
      <c r="AA249" s="1307">
        <f t="shared" si="18"/>
        <v>47</v>
      </c>
      <c r="AB249" s="1307">
        <f t="shared" si="19"/>
        <v>0</v>
      </c>
    </row>
    <row r="250" spans="20:28">
      <c r="T250" s="1077">
        <v>19</v>
      </c>
      <c r="U250" s="1077">
        <f t="shared" si="15"/>
        <v>33</v>
      </c>
      <c r="V250" s="1077">
        <v>48</v>
      </c>
      <c r="W250" s="1077">
        <f t="array" ref="W250">SUMPRODUCT(IF('卡片raw data'!BM$1:BM$1000=T250,1,0),IF('卡片raw data'!BO$1:BO$1000=V250,1,0),IF(IF('卡片raw data'!C$1:C$1000=R$3,1,0)+IF(R$3="",1,0)&gt;=1,1,0),IF(IF('卡片raw data'!D$1:D$1000=R$4,1,0)+IF(R$4="",1,0)&gt;=1,1,0),IF(IF('卡片raw data'!E$1:E$1000=R$5,1,0)+IF(R$5="",1,0)&gt;=1,1,0))</f>
        <v>0</v>
      </c>
      <c r="Y250" s="1307">
        <f t="shared" si="16"/>
        <v>48</v>
      </c>
      <c r="Z250" s="1307">
        <f t="shared" si="17"/>
        <v>0</v>
      </c>
      <c r="AA250" s="1307">
        <f t="shared" si="18"/>
        <v>48</v>
      </c>
      <c r="AB250" s="1307">
        <f t="shared" si="19"/>
        <v>0</v>
      </c>
    </row>
    <row r="251" spans="20:28">
      <c r="T251" s="1077">
        <v>19</v>
      </c>
      <c r="U251" s="1077">
        <f t="shared" si="15"/>
        <v>32</v>
      </c>
      <c r="V251" s="1077">
        <v>49</v>
      </c>
      <c r="W251" s="1077">
        <f t="array" ref="W251">SUMPRODUCT(IF('卡片raw data'!BM$1:BM$1000=T251,1,0),IF('卡片raw data'!BO$1:BO$1000=V251,1,0),IF(IF('卡片raw data'!C$1:C$1000=R$3,1,0)+IF(R$3="",1,0)&gt;=1,1,0),IF(IF('卡片raw data'!D$1:D$1000=R$4,1,0)+IF(R$4="",1,0)&gt;=1,1,0),IF(IF('卡片raw data'!E$1:E$1000=R$5,1,0)+IF(R$5="",1,0)&gt;=1,1,0))</f>
        <v>0</v>
      </c>
      <c r="Y251" s="1307">
        <f t="shared" si="16"/>
        <v>49</v>
      </c>
      <c r="Z251" s="1307">
        <f t="shared" si="17"/>
        <v>0</v>
      </c>
      <c r="AA251" s="1307">
        <f t="shared" si="18"/>
        <v>49</v>
      </c>
      <c r="AB251" s="1307">
        <f t="shared" si="19"/>
        <v>0</v>
      </c>
    </row>
    <row r="252" spans="20:28">
      <c r="T252" s="1077">
        <v>19</v>
      </c>
      <c r="U252" s="1077">
        <f t="shared" si="15"/>
        <v>31</v>
      </c>
      <c r="V252" s="1077">
        <v>50</v>
      </c>
      <c r="W252" s="1077">
        <f t="array" ref="W252">SUMPRODUCT(IF('卡片raw data'!BM$1:BM$1000=T252,1,0),IF('卡片raw data'!BO$1:BO$1000=V252,1,0),IF(IF('卡片raw data'!C$1:C$1000=R$3,1,0)+IF(R$3="",1,0)&gt;=1,1,0),IF(IF('卡片raw data'!D$1:D$1000=R$4,1,0)+IF(R$4="",1,0)&gt;=1,1,0),IF(IF('卡片raw data'!E$1:E$1000=R$5,1,0)+IF(R$5="",1,0)&gt;=1,1,0))</f>
        <v>0</v>
      </c>
      <c r="Y252" s="1307">
        <f t="shared" si="16"/>
        <v>50</v>
      </c>
      <c r="Z252" s="1307">
        <f t="shared" si="17"/>
        <v>0</v>
      </c>
      <c r="AA252" s="1307">
        <f t="shared" si="18"/>
        <v>50</v>
      </c>
      <c r="AB252" s="1307">
        <f t="shared" si="19"/>
        <v>0</v>
      </c>
    </row>
    <row r="253" spans="20:28">
      <c r="T253" s="1077">
        <v>19</v>
      </c>
      <c r="U253" s="1077">
        <f t="shared" si="15"/>
        <v>30</v>
      </c>
      <c r="V253" s="1077">
        <v>51</v>
      </c>
      <c r="W253" s="1077">
        <f t="array" ref="W253">SUMPRODUCT(IF('卡片raw data'!BM$1:BM$1000=T253,1,0),IF('卡片raw data'!BO$1:BO$1000=V253,1,0),IF(IF('卡片raw data'!C$1:C$1000=R$3,1,0)+IF(R$3="",1,0)&gt;=1,1,0),IF(IF('卡片raw data'!D$1:D$1000=R$4,1,0)+IF(R$4="",1,0)&gt;=1,1,0),IF(IF('卡片raw data'!E$1:E$1000=R$5,1,0)+IF(R$5="",1,0)&gt;=1,1,0))</f>
        <v>0</v>
      </c>
      <c r="Y253" s="1307">
        <f t="shared" si="16"/>
        <v>51</v>
      </c>
      <c r="Z253" s="1307">
        <f t="shared" si="17"/>
        <v>0</v>
      </c>
      <c r="AA253" s="1307">
        <f t="shared" si="18"/>
        <v>51</v>
      </c>
      <c r="AB253" s="1307">
        <f t="shared" si="19"/>
        <v>0</v>
      </c>
    </row>
    <row r="254" spans="20:28">
      <c r="T254" s="1077">
        <v>19</v>
      </c>
      <c r="U254" s="1077">
        <f t="shared" si="15"/>
        <v>29</v>
      </c>
      <c r="V254" s="1077">
        <v>52</v>
      </c>
      <c r="W254" s="1077">
        <f t="array" ref="W254">SUMPRODUCT(IF('卡片raw data'!BM$1:BM$1000=T254,1,0),IF('卡片raw data'!BO$1:BO$1000=V254,1,0),IF(IF('卡片raw data'!C$1:C$1000=R$3,1,0)+IF(R$3="",1,0)&gt;=1,1,0),IF(IF('卡片raw data'!D$1:D$1000=R$4,1,0)+IF(R$4="",1,0)&gt;=1,1,0),IF(IF('卡片raw data'!E$1:E$1000=R$5,1,0)+IF(R$5="",1,0)&gt;=1,1,0))</f>
        <v>0</v>
      </c>
      <c r="Y254" s="1307">
        <f t="shared" si="16"/>
        <v>52</v>
      </c>
      <c r="Z254" s="1307">
        <f t="shared" si="17"/>
        <v>0</v>
      </c>
      <c r="AA254" s="1307">
        <f t="shared" si="18"/>
        <v>52</v>
      </c>
      <c r="AB254" s="1307">
        <f t="shared" si="19"/>
        <v>0</v>
      </c>
    </row>
    <row r="255" spans="20:28">
      <c r="T255" s="1077">
        <v>19</v>
      </c>
      <c r="U255" s="1077">
        <f t="shared" si="15"/>
        <v>28</v>
      </c>
      <c r="V255" s="1077">
        <v>53</v>
      </c>
      <c r="W255" s="1077">
        <f t="array" ref="W255">SUMPRODUCT(IF('卡片raw data'!BM$1:BM$1000=T255,1,0),IF('卡片raw data'!BO$1:BO$1000=V255,1,0),IF(IF('卡片raw data'!C$1:C$1000=R$3,1,0)+IF(R$3="",1,0)&gt;=1,1,0),IF(IF('卡片raw data'!D$1:D$1000=R$4,1,0)+IF(R$4="",1,0)&gt;=1,1,0),IF(IF('卡片raw data'!E$1:E$1000=R$5,1,0)+IF(R$5="",1,0)&gt;=1,1,0))</f>
        <v>0</v>
      </c>
      <c r="Y255" s="1307">
        <f t="shared" si="16"/>
        <v>53</v>
      </c>
      <c r="Z255" s="1307">
        <f t="shared" si="17"/>
        <v>0</v>
      </c>
      <c r="AA255" s="1307">
        <f t="shared" si="18"/>
        <v>53</v>
      </c>
      <c r="AB255" s="1307">
        <f t="shared" si="19"/>
        <v>0</v>
      </c>
    </row>
    <row r="256" spans="20:28">
      <c r="T256" s="1077">
        <v>19</v>
      </c>
      <c r="U256" s="1077">
        <f t="shared" si="15"/>
        <v>27</v>
      </c>
      <c r="V256" s="1077">
        <v>54</v>
      </c>
      <c r="W256" s="1077">
        <f t="array" ref="W256">SUMPRODUCT(IF('卡片raw data'!BM$1:BM$1000=T256,1,0),IF('卡片raw data'!BO$1:BO$1000=V256,1,0),IF(IF('卡片raw data'!C$1:C$1000=R$3,1,0)+IF(R$3="",1,0)&gt;=1,1,0),IF(IF('卡片raw data'!D$1:D$1000=R$4,1,0)+IF(R$4="",1,0)&gt;=1,1,0),IF(IF('卡片raw data'!E$1:E$1000=R$5,1,0)+IF(R$5="",1,0)&gt;=1,1,0))</f>
        <v>0</v>
      </c>
      <c r="Y256" s="1307">
        <f t="shared" si="16"/>
        <v>54</v>
      </c>
      <c r="Z256" s="1307">
        <f t="shared" si="17"/>
        <v>0</v>
      </c>
      <c r="AA256" s="1307">
        <f t="shared" si="18"/>
        <v>54</v>
      </c>
      <c r="AB256" s="1307">
        <f t="shared" si="19"/>
        <v>0</v>
      </c>
    </row>
    <row r="257" spans="20:28">
      <c r="T257" s="1077">
        <v>19</v>
      </c>
      <c r="U257" s="1077">
        <f t="shared" si="15"/>
        <v>26</v>
      </c>
      <c r="V257" s="1077">
        <v>55</v>
      </c>
      <c r="W257" s="1077">
        <f t="array" ref="W257">SUMPRODUCT(IF('卡片raw data'!BM$1:BM$1000=T257,1,0),IF('卡片raw data'!BO$1:BO$1000=V257,1,0),IF(IF('卡片raw data'!C$1:C$1000=R$3,1,0)+IF(R$3="",1,0)&gt;=1,1,0),IF(IF('卡片raw data'!D$1:D$1000=R$4,1,0)+IF(R$4="",1,0)&gt;=1,1,0),IF(IF('卡片raw data'!E$1:E$1000=R$5,1,0)+IF(R$5="",1,0)&gt;=1,1,0))</f>
        <v>0</v>
      </c>
      <c r="Y257" s="1307">
        <f t="shared" si="16"/>
        <v>55</v>
      </c>
      <c r="Z257" s="1307">
        <f t="shared" si="17"/>
        <v>0</v>
      </c>
      <c r="AA257" s="1307">
        <f t="shared" si="18"/>
        <v>55</v>
      </c>
      <c r="AB257" s="1307">
        <f t="shared" si="19"/>
        <v>0</v>
      </c>
    </row>
    <row r="258" spans="20:28">
      <c r="T258" s="1077">
        <v>20</v>
      </c>
      <c r="U258" s="1077">
        <f t="shared" si="15"/>
        <v>55</v>
      </c>
      <c r="V258" s="1077">
        <v>25</v>
      </c>
      <c r="W258" s="1077">
        <f t="array" ref="W258">SUMPRODUCT(IF('卡片raw data'!BM$1:BM$1000=T258,1,0),IF('卡片raw data'!BO$1:BO$1000=V258,1,0),IF(IF('卡片raw data'!C$1:C$1000=R$3,1,0)+IF(R$3="",1,0)&gt;=1,1,0),IF(IF('卡片raw data'!D$1:D$1000=R$4,1,0)+IF(R$4="",1,0)&gt;=1,1,0),IF(IF('卡片raw data'!E$1:E$1000=R$5,1,0)+IF(R$5="",1,0)&gt;=1,1,0))</f>
        <v>0</v>
      </c>
      <c r="Y258" s="1307">
        <f t="shared" si="16"/>
        <v>25</v>
      </c>
      <c r="Z258" s="1307">
        <f t="shared" si="17"/>
        <v>0</v>
      </c>
      <c r="AA258" s="1307">
        <f t="shared" si="18"/>
        <v>25</v>
      </c>
      <c r="AB258" s="1307">
        <f t="shared" si="19"/>
        <v>0</v>
      </c>
    </row>
    <row r="259" spans="20:28">
      <c r="T259" s="1077">
        <v>20</v>
      </c>
      <c r="U259" s="1077">
        <f t="shared" si="15"/>
        <v>54</v>
      </c>
      <c r="V259" s="1077">
        <v>26</v>
      </c>
      <c r="W259" s="1077">
        <f t="array" ref="W259">SUMPRODUCT(IF('卡片raw data'!BM$1:BM$1000=T259,1,0),IF('卡片raw data'!BO$1:BO$1000=V259,1,0),IF(IF('卡片raw data'!C$1:C$1000=R$3,1,0)+IF(R$3="",1,0)&gt;=1,1,0),IF(IF('卡片raw data'!D$1:D$1000=R$4,1,0)+IF(R$4="",1,0)&gt;=1,1,0),IF(IF('卡片raw data'!E$1:E$1000=R$5,1,0)+IF(R$5="",1,0)&gt;=1,1,0))</f>
        <v>0</v>
      </c>
      <c r="Y259" s="1307">
        <f t="shared" si="16"/>
        <v>26</v>
      </c>
      <c r="Z259" s="1307">
        <f t="shared" si="17"/>
        <v>0</v>
      </c>
      <c r="AA259" s="1307">
        <f t="shared" si="18"/>
        <v>26</v>
      </c>
      <c r="AB259" s="1307">
        <f t="shared" si="19"/>
        <v>0</v>
      </c>
    </row>
    <row r="260" spans="20:28">
      <c r="T260" s="1077">
        <v>20</v>
      </c>
      <c r="U260" s="1077">
        <f t="shared" ref="U260:U323" si="20">100-T260-V260</f>
        <v>53</v>
      </c>
      <c r="V260" s="1077">
        <v>27</v>
      </c>
      <c r="W260" s="1077">
        <f t="array" ref="W260">SUMPRODUCT(IF('卡片raw data'!BM$1:BM$1000=T260,1,0),IF('卡片raw data'!BO$1:BO$1000=V260,1,0),IF(IF('卡片raw data'!C$1:C$1000=R$3,1,0)+IF(R$3="",1,0)&gt;=1,1,0),IF(IF('卡片raw data'!D$1:D$1000=R$4,1,0)+IF(R$4="",1,0)&gt;=1,1,0),IF(IF('卡片raw data'!E$1:E$1000=R$5,1,0)+IF(R$5="",1,0)&gt;=1,1,0))</f>
        <v>0</v>
      </c>
      <c r="Y260" s="1307">
        <f t="shared" ref="Y260:Y323" si="21">V260</f>
        <v>27</v>
      </c>
      <c r="Z260" s="1307">
        <f t="shared" ref="Z260:Z323" si="22">IF(AND(V260&gt;U260,V260&gt;T260),W260,0)</f>
        <v>0</v>
      </c>
      <c r="AA260" s="1307">
        <f t="shared" ref="AA260:AA323" si="23">V260</f>
        <v>27</v>
      </c>
      <c r="AB260" s="1307">
        <f t="shared" ref="AB260:AB323" si="24">W260-Z260</f>
        <v>0</v>
      </c>
    </row>
    <row r="261" spans="20:28">
      <c r="T261" s="1077">
        <v>20</v>
      </c>
      <c r="U261" s="1077">
        <f t="shared" si="20"/>
        <v>52</v>
      </c>
      <c r="V261" s="1077">
        <v>28</v>
      </c>
      <c r="W261" s="1077">
        <f t="array" ref="W261">SUMPRODUCT(IF('卡片raw data'!BM$1:BM$1000=T261,1,0),IF('卡片raw data'!BO$1:BO$1000=V261,1,0),IF(IF('卡片raw data'!C$1:C$1000=R$3,1,0)+IF(R$3="",1,0)&gt;=1,1,0),IF(IF('卡片raw data'!D$1:D$1000=R$4,1,0)+IF(R$4="",1,0)&gt;=1,1,0),IF(IF('卡片raw data'!E$1:E$1000=R$5,1,0)+IF(R$5="",1,0)&gt;=1,1,0))</f>
        <v>0</v>
      </c>
      <c r="Y261" s="1307">
        <f t="shared" si="21"/>
        <v>28</v>
      </c>
      <c r="Z261" s="1307">
        <f t="shared" si="22"/>
        <v>0</v>
      </c>
      <c r="AA261" s="1307">
        <f t="shared" si="23"/>
        <v>28</v>
      </c>
      <c r="AB261" s="1307">
        <f t="shared" si="24"/>
        <v>0</v>
      </c>
    </row>
    <row r="262" spans="20:28">
      <c r="T262" s="1077">
        <v>20</v>
      </c>
      <c r="U262" s="1077">
        <f t="shared" si="20"/>
        <v>51</v>
      </c>
      <c r="V262" s="1077">
        <v>29</v>
      </c>
      <c r="W262" s="1077">
        <f t="array" ref="W262">SUMPRODUCT(IF('卡片raw data'!BM$1:BM$1000=T262,1,0),IF('卡片raw data'!BO$1:BO$1000=V262,1,0),IF(IF('卡片raw data'!C$1:C$1000=R$3,1,0)+IF(R$3="",1,0)&gt;=1,1,0),IF(IF('卡片raw data'!D$1:D$1000=R$4,1,0)+IF(R$4="",1,0)&gt;=1,1,0),IF(IF('卡片raw data'!E$1:E$1000=R$5,1,0)+IF(R$5="",1,0)&gt;=1,1,0))</f>
        <v>0</v>
      </c>
      <c r="Y262" s="1307">
        <f t="shared" si="21"/>
        <v>29</v>
      </c>
      <c r="Z262" s="1307">
        <f t="shared" si="22"/>
        <v>0</v>
      </c>
      <c r="AA262" s="1307">
        <f t="shared" si="23"/>
        <v>29</v>
      </c>
      <c r="AB262" s="1307">
        <f t="shared" si="24"/>
        <v>0</v>
      </c>
    </row>
    <row r="263" spans="20:28">
      <c r="T263" s="1077">
        <v>20</v>
      </c>
      <c r="U263" s="1077">
        <f t="shared" si="20"/>
        <v>50</v>
      </c>
      <c r="V263" s="1077">
        <v>30</v>
      </c>
      <c r="W263" s="1077">
        <f t="array" ref="W263">SUMPRODUCT(IF('卡片raw data'!BM$1:BM$1000=T263,1,0),IF('卡片raw data'!BO$1:BO$1000=V263,1,0),IF(IF('卡片raw data'!C$1:C$1000=R$3,1,0)+IF(R$3="",1,0)&gt;=1,1,0),IF(IF('卡片raw data'!D$1:D$1000=R$4,1,0)+IF(R$4="",1,0)&gt;=1,1,0),IF(IF('卡片raw data'!E$1:E$1000=R$5,1,0)+IF(R$5="",1,0)&gt;=1,1,0))</f>
        <v>1</v>
      </c>
      <c r="Y263" s="1307">
        <f t="shared" si="21"/>
        <v>30</v>
      </c>
      <c r="Z263" s="1307">
        <f t="shared" si="22"/>
        <v>0</v>
      </c>
      <c r="AA263" s="1307">
        <f t="shared" si="23"/>
        <v>30</v>
      </c>
      <c r="AB263" s="1307">
        <f t="shared" si="24"/>
        <v>1</v>
      </c>
    </row>
    <row r="264" spans="20:28">
      <c r="T264" s="1077">
        <v>20</v>
      </c>
      <c r="U264" s="1077">
        <f t="shared" si="20"/>
        <v>49</v>
      </c>
      <c r="V264" s="1077">
        <v>31</v>
      </c>
      <c r="W264" s="1077">
        <f t="array" ref="W264">SUMPRODUCT(IF('卡片raw data'!BM$1:BM$1000=T264,1,0),IF('卡片raw data'!BO$1:BO$1000=V264,1,0),IF(IF('卡片raw data'!C$1:C$1000=R$3,1,0)+IF(R$3="",1,0)&gt;=1,1,0),IF(IF('卡片raw data'!D$1:D$1000=R$4,1,0)+IF(R$4="",1,0)&gt;=1,1,0),IF(IF('卡片raw data'!E$1:E$1000=R$5,1,0)+IF(R$5="",1,0)&gt;=1,1,0))</f>
        <v>1</v>
      </c>
      <c r="Y264" s="1307">
        <f t="shared" si="21"/>
        <v>31</v>
      </c>
      <c r="Z264" s="1307">
        <f t="shared" si="22"/>
        <v>0</v>
      </c>
      <c r="AA264" s="1307">
        <f t="shared" si="23"/>
        <v>31</v>
      </c>
      <c r="AB264" s="1307">
        <f t="shared" si="24"/>
        <v>1</v>
      </c>
    </row>
    <row r="265" spans="20:28">
      <c r="T265" s="1077">
        <v>20</v>
      </c>
      <c r="U265" s="1077">
        <f t="shared" si="20"/>
        <v>48</v>
      </c>
      <c r="V265" s="1077">
        <v>32</v>
      </c>
      <c r="W265" s="1077">
        <f t="array" ref="W265">SUMPRODUCT(IF('卡片raw data'!BM$1:BM$1000=T265,1,0),IF('卡片raw data'!BO$1:BO$1000=V265,1,0),IF(IF('卡片raw data'!C$1:C$1000=R$3,1,0)+IF(R$3="",1,0)&gt;=1,1,0),IF(IF('卡片raw data'!D$1:D$1000=R$4,1,0)+IF(R$4="",1,0)&gt;=1,1,0),IF(IF('卡片raw data'!E$1:E$1000=R$5,1,0)+IF(R$5="",1,0)&gt;=1,1,0))</f>
        <v>2</v>
      </c>
      <c r="Y265" s="1307">
        <f t="shared" si="21"/>
        <v>32</v>
      </c>
      <c r="Z265" s="1307">
        <f t="shared" si="22"/>
        <v>0</v>
      </c>
      <c r="AA265" s="1307">
        <f t="shared" si="23"/>
        <v>32</v>
      </c>
      <c r="AB265" s="1307">
        <f t="shared" si="24"/>
        <v>2</v>
      </c>
    </row>
    <row r="266" spans="20:28">
      <c r="T266" s="1077">
        <v>20</v>
      </c>
      <c r="U266" s="1077">
        <f t="shared" si="20"/>
        <v>47</v>
      </c>
      <c r="V266" s="1077">
        <v>33</v>
      </c>
      <c r="W266" s="1077">
        <f t="array" ref="W266">SUMPRODUCT(IF('卡片raw data'!BM$1:BM$1000=T266,1,0),IF('卡片raw data'!BO$1:BO$1000=V266,1,0),IF(IF('卡片raw data'!C$1:C$1000=R$3,1,0)+IF(R$3="",1,0)&gt;=1,1,0),IF(IF('卡片raw data'!D$1:D$1000=R$4,1,0)+IF(R$4="",1,0)&gt;=1,1,0),IF(IF('卡片raw data'!E$1:E$1000=R$5,1,0)+IF(R$5="",1,0)&gt;=1,1,0))</f>
        <v>0</v>
      </c>
      <c r="Y266" s="1307">
        <f t="shared" si="21"/>
        <v>33</v>
      </c>
      <c r="Z266" s="1307">
        <f t="shared" si="22"/>
        <v>0</v>
      </c>
      <c r="AA266" s="1307">
        <f t="shared" si="23"/>
        <v>33</v>
      </c>
      <c r="AB266" s="1307">
        <f t="shared" si="24"/>
        <v>0</v>
      </c>
    </row>
    <row r="267" spans="20:28">
      <c r="T267" s="1077">
        <v>20</v>
      </c>
      <c r="U267" s="1077">
        <f t="shared" si="20"/>
        <v>46</v>
      </c>
      <c r="V267" s="1077">
        <v>34</v>
      </c>
      <c r="W267" s="1077">
        <f t="array" ref="W267">SUMPRODUCT(IF('卡片raw data'!BM$1:BM$1000=T267,1,0),IF('卡片raw data'!BO$1:BO$1000=V267,1,0),IF(IF('卡片raw data'!C$1:C$1000=R$3,1,0)+IF(R$3="",1,0)&gt;=1,1,0),IF(IF('卡片raw data'!D$1:D$1000=R$4,1,0)+IF(R$4="",1,0)&gt;=1,1,0),IF(IF('卡片raw data'!E$1:E$1000=R$5,1,0)+IF(R$5="",1,0)&gt;=1,1,0))</f>
        <v>0</v>
      </c>
      <c r="Y267" s="1307">
        <f t="shared" si="21"/>
        <v>34</v>
      </c>
      <c r="Z267" s="1307">
        <f t="shared" si="22"/>
        <v>0</v>
      </c>
      <c r="AA267" s="1307">
        <f t="shared" si="23"/>
        <v>34</v>
      </c>
      <c r="AB267" s="1307">
        <f t="shared" si="24"/>
        <v>0</v>
      </c>
    </row>
    <row r="268" spans="20:28">
      <c r="T268" s="1077">
        <v>20</v>
      </c>
      <c r="U268" s="1077">
        <f t="shared" si="20"/>
        <v>45</v>
      </c>
      <c r="V268" s="1077">
        <v>35</v>
      </c>
      <c r="W268" s="1077">
        <f t="array" ref="W268">SUMPRODUCT(IF('卡片raw data'!BM$1:BM$1000=T268,1,0),IF('卡片raw data'!BO$1:BO$1000=V268,1,0),IF(IF('卡片raw data'!C$1:C$1000=R$3,1,0)+IF(R$3="",1,0)&gt;=1,1,0),IF(IF('卡片raw data'!D$1:D$1000=R$4,1,0)+IF(R$4="",1,0)&gt;=1,1,0),IF(IF('卡片raw data'!E$1:E$1000=R$5,1,0)+IF(R$5="",1,0)&gt;=1,1,0))</f>
        <v>0</v>
      </c>
      <c r="Y268" s="1307">
        <f t="shared" si="21"/>
        <v>35</v>
      </c>
      <c r="Z268" s="1307">
        <f t="shared" si="22"/>
        <v>0</v>
      </c>
      <c r="AA268" s="1307">
        <f t="shared" si="23"/>
        <v>35</v>
      </c>
      <c r="AB268" s="1307">
        <f t="shared" si="24"/>
        <v>0</v>
      </c>
    </row>
    <row r="269" spans="20:28">
      <c r="T269" s="1077">
        <v>20</v>
      </c>
      <c r="U269" s="1077">
        <f t="shared" si="20"/>
        <v>44</v>
      </c>
      <c r="V269" s="1077">
        <v>36</v>
      </c>
      <c r="W269" s="1077">
        <f t="array" ref="W269">SUMPRODUCT(IF('卡片raw data'!BM$1:BM$1000=T269,1,0),IF('卡片raw data'!BO$1:BO$1000=V269,1,0),IF(IF('卡片raw data'!C$1:C$1000=R$3,1,0)+IF(R$3="",1,0)&gt;=1,1,0),IF(IF('卡片raw data'!D$1:D$1000=R$4,1,0)+IF(R$4="",1,0)&gt;=1,1,0),IF(IF('卡片raw data'!E$1:E$1000=R$5,1,0)+IF(R$5="",1,0)&gt;=1,1,0))</f>
        <v>0</v>
      </c>
      <c r="Y269" s="1307">
        <f t="shared" si="21"/>
        <v>36</v>
      </c>
      <c r="Z269" s="1307">
        <f t="shared" si="22"/>
        <v>0</v>
      </c>
      <c r="AA269" s="1307">
        <f t="shared" si="23"/>
        <v>36</v>
      </c>
      <c r="AB269" s="1307">
        <f t="shared" si="24"/>
        <v>0</v>
      </c>
    </row>
    <row r="270" spans="20:28">
      <c r="T270" s="1077">
        <v>20</v>
      </c>
      <c r="U270" s="1077">
        <f t="shared" si="20"/>
        <v>43</v>
      </c>
      <c r="V270" s="1077">
        <v>37</v>
      </c>
      <c r="W270" s="1077">
        <f t="array" ref="W270">SUMPRODUCT(IF('卡片raw data'!BM$1:BM$1000=T270,1,0),IF('卡片raw data'!BO$1:BO$1000=V270,1,0),IF(IF('卡片raw data'!C$1:C$1000=R$3,1,0)+IF(R$3="",1,0)&gt;=1,1,0),IF(IF('卡片raw data'!D$1:D$1000=R$4,1,0)+IF(R$4="",1,0)&gt;=1,1,0),IF(IF('卡片raw data'!E$1:E$1000=R$5,1,0)+IF(R$5="",1,0)&gt;=1,1,0))</f>
        <v>0</v>
      </c>
      <c r="Y270" s="1307">
        <f t="shared" si="21"/>
        <v>37</v>
      </c>
      <c r="Z270" s="1307">
        <f t="shared" si="22"/>
        <v>0</v>
      </c>
      <c r="AA270" s="1307">
        <f t="shared" si="23"/>
        <v>37</v>
      </c>
      <c r="AB270" s="1307">
        <f t="shared" si="24"/>
        <v>0</v>
      </c>
    </row>
    <row r="271" spans="20:28">
      <c r="T271" s="1077">
        <v>20</v>
      </c>
      <c r="U271" s="1077">
        <f t="shared" si="20"/>
        <v>42</v>
      </c>
      <c r="V271" s="1077">
        <v>38</v>
      </c>
      <c r="W271" s="1077">
        <f t="array" ref="W271">SUMPRODUCT(IF('卡片raw data'!BM$1:BM$1000=T271,1,0),IF('卡片raw data'!BO$1:BO$1000=V271,1,0),IF(IF('卡片raw data'!C$1:C$1000=R$3,1,0)+IF(R$3="",1,0)&gt;=1,1,0),IF(IF('卡片raw data'!D$1:D$1000=R$4,1,0)+IF(R$4="",1,0)&gt;=1,1,0),IF(IF('卡片raw data'!E$1:E$1000=R$5,1,0)+IF(R$5="",1,0)&gt;=1,1,0))</f>
        <v>0</v>
      </c>
      <c r="Y271" s="1307">
        <f t="shared" si="21"/>
        <v>38</v>
      </c>
      <c r="Z271" s="1307">
        <f t="shared" si="22"/>
        <v>0</v>
      </c>
      <c r="AA271" s="1307">
        <f t="shared" si="23"/>
        <v>38</v>
      </c>
      <c r="AB271" s="1307">
        <f t="shared" si="24"/>
        <v>0</v>
      </c>
    </row>
    <row r="272" spans="20:28">
      <c r="T272" s="1077">
        <v>20</v>
      </c>
      <c r="U272" s="1077">
        <f t="shared" si="20"/>
        <v>41</v>
      </c>
      <c r="V272" s="1077">
        <v>39</v>
      </c>
      <c r="W272" s="1077">
        <f t="array" ref="W272">SUMPRODUCT(IF('卡片raw data'!BM$1:BM$1000=T272,1,0),IF('卡片raw data'!BO$1:BO$1000=V272,1,0),IF(IF('卡片raw data'!C$1:C$1000=R$3,1,0)+IF(R$3="",1,0)&gt;=1,1,0),IF(IF('卡片raw data'!D$1:D$1000=R$4,1,0)+IF(R$4="",1,0)&gt;=1,1,0),IF(IF('卡片raw data'!E$1:E$1000=R$5,1,0)+IF(R$5="",1,0)&gt;=1,1,0))</f>
        <v>0</v>
      </c>
      <c r="Y272" s="1307">
        <f t="shared" si="21"/>
        <v>39</v>
      </c>
      <c r="Z272" s="1307">
        <f t="shared" si="22"/>
        <v>0</v>
      </c>
      <c r="AA272" s="1307">
        <f t="shared" si="23"/>
        <v>39</v>
      </c>
      <c r="AB272" s="1307">
        <f t="shared" si="24"/>
        <v>0</v>
      </c>
    </row>
    <row r="273" spans="20:28">
      <c r="T273" s="1077">
        <v>20</v>
      </c>
      <c r="U273" s="1077">
        <f t="shared" si="20"/>
        <v>40</v>
      </c>
      <c r="V273" s="1077">
        <v>40</v>
      </c>
      <c r="W273" s="1077">
        <f t="array" ref="W273">SUMPRODUCT(IF('卡片raw data'!BM$1:BM$1000=T273,1,0),IF('卡片raw data'!BO$1:BO$1000=V273,1,0),IF(IF('卡片raw data'!C$1:C$1000=R$3,1,0)+IF(R$3="",1,0)&gt;=1,1,0),IF(IF('卡片raw data'!D$1:D$1000=R$4,1,0)+IF(R$4="",1,0)&gt;=1,1,0),IF(IF('卡片raw data'!E$1:E$1000=R$5,1,0)+IF(R$5="",1,0)&gt;=1,1,0))</f>
        <v>0</v>
      </c>
      <c r="Y273" s="1307">
        <f t="shared" si="21"/>
        <v>40</v>
      </c>
      <c r="Z273" s="1307">
        <f t="shared" si="22"/>
        <v>0</v>
      </c>
      <c r="AA273" s="1307">
        <f t="shared" si="23"/>
        <v>40</v>
      </c>
      <c r="AB273" s="1307">
        <f t="shared" si="24"/>
        <v>0</v>
      </c>
    </row>
    <row r="274" spans="20:28">
      <c r="T274" s="1077">
        <v>20</v>
      </c>
      <c r="U274" s="1077">
        <f t="shared" si="20"/>
        <v>39</v>
      </c>
      <c r="V274" s="1077">
        <v>41</v>
      </c>
      <c r="W274" s="1077">
        <f t="array" ref="W274">SUMPRODUCT(IF('卡片raw data'!BM$1:BM$1000=T274,1,0),IF('卡片raw data'!BO$1:BO$1000=V274,1,0),IF(IF('卡片raw data'!C$1:C$1000=R$3,1,0)+IF(R$3="",1,0)&gt;=1,1,0),IF(IF('卡片raw data'!D$1:D$1000=R$4,1,0)+IF(R$4="",1,0)&gt;=1,1,0),IF(IF('卡片raw data'!E$1:E$1000=R$5,1,0)+IF(R$5="",1,0)&gt;=1,1,0))</f>
        <v>0</v>
      </c>
      <c r="Y274" s="1307">
        <f t="shared" si="21"/>
        <v>41</v>
      </c>
      <c r="Z274" s="1307">
        <f t="shared" si="22"/>
        <v>0</v>
      </c>
      <c r="AA274" s="1307">
        <f t="shared" si="23"/>
        <v>41</v>
      </c>
      <c r="AB274" s="1307">
        <f t="shared" si="24"/>
        <v>0</v>
      </c>
    </row>
    <row r="275" spans="20:28">
      <c r="T275" s="1077">
        <v>20</v>
      </c>
      <c r="U275" s="1077">
        <f t="shared" si="20"/>
        <v>38</v>
      </c>
      <c r="V275" s="1077">
        <v>42</v>
      </c>
      <c r="W275" s="1077">
        <f t="array" ref="W275">SUMPRODUCT(IF('卡片raw data'!BM$1:BM$1000=T275,1,0),IF('卡片raw data'!BO$1:BO$1000=V275,1,0),IF(IF('卡片raw data'!C$1:C$1000=R$3,1,0)+IF(R$3="",1,0)&gt;=1,1,0),IF(IF('卡片raw data'!D$1:D$1000=R$4,1,0)+IF(R$4="",1,0)&gt;=1,1,0),IF(IF('卡片raw data'!E$1:E$1000=R$5,1,0)+IF(R$5="",1,0)&gt;=1,1,0))</f>
        <v>0</v>
      </c>
      <c r="Y275" s="1307">
        <f t="shared" si="21"/>
        <v>42</v>
      </c>
      <c r="Z275" s="1307">
        <f t="shared" si="22"/>
        <v>0</v>
      </c>
      <c r="AA275" s="1307">
        <f t="shared" si="23"/>
        <v>42</v>
      </c>
      <c r="AB275" s="1307">
        <f t="shared" si="24"/>
        <v>0</v>
      </c>
    </row>
    <row r="276" spans="20:28">
      <c r="T276" s="1077">
        <v>20</v>
      </c>
      <c r="U276" s="1077">
        <f t="shared" si="20"/>
        <v>37</v>
      </c>
      <c r="V276" s="1077">
        <v>43</v>
      </c>
      <c r="W276" s="1077">
        <f t="array" ref="W276">SUMPRODUCT(IF('卡片raw data'!BM$1:BM$1000=T276,1,0),IF('卡片raw data'!BO$1:BO$1000=V276,1,0),IF(IF('卡片raw data'!C$1:C$1000=R$3,1,0)+IF(R$3="",1,0)&gt;=1,1,0),IF(IF('卡片raw data'!D$1:D$1000=R$4,1,0)+IF(R$4="",1,0)&gt;=1,1,0),IF(IF('卡片raw data'!E$1:E$1000=R$5,1,0)+IF(R$5="",1,0)&gt;=1,1,0))</f>
        <v>0</v>
      </c>
      <c r="Y276" s="1307">
        <f t="shared" si="21"/>
        <v>43</v>
      </c>
      <c r="Z276" s="1307">
        <f t="shared" si="22"/>
        <v>0</v>
      </c>
      <c r="AA276" s="1307">
        <f t="shared" si="23"/>
        <v>43</v>
      </c>
      <c r="AB276" s="1307">
        <f t="shared" si="24"/>
        <v>0</v>
      </c>
    </row>
    <row r="277" spans="20:28">
      <c r="T277" s="1077">
        <v>20</v>
      </c>
      <c r="U277" s="1077">
        <f t="shared" si="20"/>
        <v>36</v>
      </c>
      <c r="V277" s="1077">
        <v>44</v>
      </c>
      <c r="W277" s="1077">
        <f t="array" ref="W277">SUMPRODUCT(IF('卡片raw data'!BM$1:BM$1000=T277,1,0),IF('卡片raw data'!BO$1:BO$1000=V277,1,0),IF(IF('卡片raw data'!C$1:C$1000=R$3,1,0)+IF(R$3="",1,0)&gt;=1,1,0),IF(IF('卡片raw data'!D$1:D$1000=R$4,1,0)+IF(R$4="",1,0)&gt;=1,1,0),IF(IF('卡片raw data'!E$1:E$1000=R$5,1,0)+IF(R$5="",1,0)&gt;=1,1,0))</f>
        <v>0</v>
      </c>
      <c r="Y277" s="1307">
        <f t="shared" si="21"/>
        <v>44</v>
      </c>
      <c r="Z277" s="1307">
        <f t="shared" si="22"/>
        <v>0</v>
      </c>
      <c r="AA277" s="1307">
        <f t="shared" si="23"/>
        <v>44</v>
      </c>
      <c r="AB277" s="1307">
        <f t="shared" si="24"/>
        <v>0</v>
      </c>
    </row>
    <row r="278" spans="20:28">
      <c r="T278" s="1077">
        <v>20</v>
      </c>
      <c r="U278" s="1077">
        <f t="shared" si="20"/>
        <v>35</v>
      </c>
      <c r="V278" s="1077">
        <v>45</v>
      </c>
      <c r="W278" s="1077">
        <f t="array" ref="W278">SUMPRODUCT(IF('卡片raw data'!BM$1:BM$1000=T278,1,0),IF('卡片raw data'!BO$1:BO$1000=V278,1,0),IF(IF('卡片raw data'!C$1:C$1000=R$3,1,0)+IF(R$3="",1,0)&gt;=1,1,0),IF(IF('卡片raw data'!D$1:D$1000=R$4,1,0)+IF(R$4="",1,0)&gt;=1,1,0),IF(IF('卡片raw data'!E$1:E$1000=R$5,1,0)+IF(R$5="",1,0)&gt;=1,1,0))</f>
        <v>0</v>
      </c>
      <c r="Y278" s="1307">
        <f t="shared" si="21"/>
        <v>45</v>
      </c>
      <c r="Z278" s="1307">
        <f t="shared" si="22"/>
        <v>0</v>
      </c>
      <c r="AA278" s="1307">
        <f t="shared" si="23"/>
        <v>45</v>
      </c>
      <c r="AB278" s="1307">
        <f t="shared" si="24"/>
        <v>0</v>
      </c>
    </row>
    <row r="279" spans="20:28">
      <c r="T279" s="1077">
        <v>20</v>
      </c>
      <c r="U279" s="1077">
        <f t="shared" si="20"/>
        <v>34</v>
      </c>
      <c r="V279" s="1077">
        <v>46</v>
      </c>
      <c r="W279" s="1077">
        <f t="array" ref="W279">SUMPRODUCT(IF('卡片raw data'!BM$1:BM$1000=T279,1,0),IF('卡片raw data'!BO$1:BO$1000=V279,1,0),IF(IF('卡片raw data'!C$1:C$1000=R$3,1,0)+IF(R$3="",1,0)&gt;=1,1,0),IF(IF('卡片raw data'!D$1:D$1000=R$4,1,0)+IF(R$4="",1,0)&gt;=1,1,0),IF(IF('卡片raw data'!E$1:E$1000=R$5,1,0)+IF(R$5="",1,0)&gt;=1,1,0))</f>
        <v>0</v>
      </c>
      <c r="Y279" s="1307">
        <f t="shared" si="21"/>
        <v>46</v>
      </c>
      <c r="Z279" s="1307">
        <f t="shared" si="22"/>
        <v>0</v>
      </c>
      <c r="AA279" s="1307">
        <f t="shared" si="23"/>
        <v>46</v>
      </c>
      <c r="AB279" s="1307">
        <f t="shared" si="24"/>
        <v>0</v>
      </c>
    </row>
    <row r="280" spans="20:28">
      <c r="T280" s="1077">
        <v>20</v>
      </c>
      <c r="U280" s="1077">
        <f t="shared" si="20"/>
        <v>33</v>
      </c>
      <c r="V280" s="1077">
        <v>47</v>
      </c>
      <c r="W280" s="1077">
        <f t="array" ref="W280">SUMPRODUCT(IF('卡片raw data'!BM$1:BM$1000=T280,1,0),IF('卡片raw data'!BO$1:BO$1000=V280,1,0),IF(IF('卡片raw data'!C$1:C$1000=R$3,1,0)+IF(R$3="",1,0)&gt;=1,1,0),IF(IF('卡片raw data'!D$1:D$1000=R$4,1,0)+IF(R$4="",1,0)&gt;=1,1,0),IF(IF('卡片raw data'!E$1:E$1000=R$5,1,0)+IF(R$5="",1,0)&gt;=1,1,0))</f>
        <v>0</v>
      </c>
      <c r="Y280" s="1307">
        <f t="shared" si="21"/>
        <v>47</v>
      </c>
      <c r="Z280" s="1307">
        <f t="shared" si="22"/>
        <v>0</v>
      </c>
      <c r="AA280" s="1307">
        <f t="shared" si="23"/>
        <v>47</v>
      </c>
      <c r="AB280" s="1307">
        <f t="shared" si="24"/>
        <v>0</v>
      </c>
    </row>
    <row r="281" spans="20:28">
      <c r="T281" s="1077">
        <v>20</v>
      </c>
      <c r="U281" s="1077">
        <f t="shared" si="20"/>
        <v>32</v>
      </c>
      <c r="V281" s="1077">
        <v>48</v>
      </c>
      <c r="W281" s="1077">
        <f t="array" ref="W281">SUMPRODUCT(IF('卡片raw data'!BM$1:BM$1000=T281,1,0),IF('卡片raw data'!BO$1:BO$1000=V281,1,0),IF(IF('卡片raw data'!C$1:C$1000=R$3,1,0)+IF(R$3="",1,0)&gt;=1,1,0),IF(IF('卡片raw data'!D$1:D$1000=R$4,1,0)+IF(R$4="",1,0)&gt;=1,1,0),IF(IF('卡片raw data'!E$1:E$1000=R$5,1,0)+IF(R$5="",1,0)&gt;=1,1,0))</f>
        <v>0</v>
      </c>
      <c r="Y281" s="1307">
        <f t="shared" si="21"/>
        <v>48</v>
      </c>
      <c r="Z281" s="1307">
        <f t="shared" si="22"/>
        <v>0</v>
      </c>
      <c r="AA281" s="1307">
        <f t="shared" si="23"/>
        <v>48</v>
      </c>
      <c r="AB281" s="1307">
        <f t="shared" si="24"/>
        <v>0</v>
      </c>
    </row>
    <row r="282" spans="20:28">
      <c r="T282" s="1077">
        <v>20</v>
      </c>
      <c r="U282" s="1077">
        <f t="shared" si="20"/>
        <v>31</v>
      </c>
      <c r="V282" s="1077">
        <v>49</v>
      </c>
      <c r="W282" s="1077">
        <f t="array" ref="W282">SUMPRODUCT(IF('卡片raw data'!BM$1:BM$1000=T282,1,0),IF('卡片raw data'!BO$1:BO$1000=V282,1,0),IF(IF('卡片raw data'!C$1:C$1000=R$3,1,0)+IF(R$3="",1,0)&gt;=1,1,0),IF(IF('卡片raw data'!D$1:D$1000=R$4,1,0)+IF(R$4="",1,0)&gt;=1,1,0),IF(IF('卡片raw data'!E$1:E$1000=R$5,1,0)+IF(R$5="",1,0)&gt;=1,1,0))</f>
        <v>0</v>
      </c>
      <c r="Y282" s="1307">
        <f t="shared" si="21"/>
        <v>49</v>
      </c>
      <c r="Z282" s="1307">
        <f t="shared" si="22"/>
        <v>0</v>
      </c>
      <c r="AA282" s="1307">
        <f t="shared" si="23"/>
        <v>49</v>
      </c>
      <c r="AB282" s="1307">
        <f t="shared" si="24"/>
        <v>0</v>
      </c>
    </row>
    <row r="283" spans="20:28">
      <c r="T283" s="1077">
        <v>20</v>
      </c>
      <c r="U283" s="1077">
        <f t="shared" si="20"/>
        <v>30</v>
      </c>
      <c r="V283" s="1077">
        <v>50</v>
      </c>
      <c r="W283" s="1077">
        <f t="array" ref="W283">SUMPRODUCT(IF('卡片raw data'!BM$1:BM$1000=T283,1,0),IF('卡片raw data'!BO$1:BO$1000=V283,1,0),IF(IF('卡片raw data'!C$1:C$1000=R$3,1,0)+IF(R$3="",1,0)&gt;=1,1,0),IF(IF('卡片raw data'!D$1:D$1000=R$4,1,0)+IF(R$4="",1,0)&gt;=1,1,0),IF(IF('卡片raw data'!E$1:E$1000=R$5,1,0)+IF(R$5="",1,0)&gt;=1,1,0))</f>
        <v>0</v>
      </c>
      <c r="Y283" s="1307">
        <f t="shared" si="21"/>
        <v>50</v>
      </c>
      <c r="Z283" s="1307">
        <f t="shared" si="22"/>
        <v>0</v>
      </c>
      <c r="AA283" s="1307">
        <f t="shared" si="23"/>
        <v>50</v>
      </c>
      <c r="AB283" s="1307">
        <f t="shared" si="24"/>
        <v>0</v>
      </c>
    </row>
    <row r="284" spans="20:28">
      <c r="T284" s="1077">
        <v>20</v>
      </c>
      <c r="U284" s="1077">
        <f t="shared" si="20"/>
        <v>29</v>
      </c>
      <c r="V284" s="1077">
        <v>51</v>
      </c>
      <c r="W284" s="1077">
        <f t="array" ref="W284">SUMPRODUCT(IF('卡片raw data'!BM$1:BM$1000=T284,1,0),IF('卡片raw data'!BO$1:BO$1000=V284,1,0),IF(IF('卡片raw data'!C$1:C$1000=R$3,1,0)+IF(R$3="",1,0)&gt;=1,1,0),IF(IF('卡片raw data'!D$1:D$1000=R$4,1,0)+IF(R$4="",1,0)&gt;=1,1,0),IF(IF('卡片raw data'!E$1:E$1000=R$5,1,0)+IF(R$5="",1,0)&gt;=1,1,0))</f>
        <v>0</v>
      </c>
      <c r="Y284" s="1307">
        <f t="shared" si="21"/>
        <v>51</v>
      </c>
      <c r="Z284" s="1307">
        <f t="shared" si="22"/>
        <v>0</v>
      </c>
      <c r="AA284" s="1307">
        <f t="shared" si="23"/>
        <v>51</v>
      </c>
      <c r="AB284" s="1307">
        <f t="shared" si="24"/>
        <v>0</v>
      </c>
    </row>
    <row r="285" spans="20:28">
      <c r="T285" s="1077">
        <v>20</v>
      </c>
      <c r="U285" s="1077">
        <f t="shared" si="20"/>
        <v>28</v>
      </c>
      <c r="V285" s="1077">
        <v>52</v>
      </c>
      <c r="W285" s="1077">
        <f t="array" ref="W285">SUMPRODUCT(IF('卡片raw data'!BM$1:BM$1000=T285,1,0),IF('卡片raw data'!BO$1:BO$1000=V285,1,0),IF(IF('卡片raw data'!C$1:C$1000=R$3,1,0)+IF(R$3="",1,0)&gt;=1,1,0),IF(IF('卡片raw data'!D$1:D$1000=R$4,1,0)+IF(R$4="",1,0)&gt;=1,1,0),IF(IF('卡片raw data'!E$1:E$1000=R$5,1,0)+IF(R$5="",1,0)&gt;=1,1,0))</f>
        <v>0</v>
      </c>
      <c r="Y285" s="1307">
        <f t="shared" si="21"/>
        <v>52</v>
      </c>
      <c r="Z285" s="1307">
        <f t="shared" si="22"/>
        <v>0</v>
      </c>
      <c r="AA285" s="1307">
        <f t="shared" si="23"/>
        <v>52</v>
      </c>
      <c r="AB285" s="1307">
        <f t="shared" si="24"/>
        <v>0</v>
      </c>
    </row>
    <row r="286" spans="20:28">
      <c r="T286" s="1077">
        <v>20</v>
      </c>
      <c r="U286" s="1077">
        <f t="shared" si="20"/>
        <v>27</v>
      </c>
      <c r="V286" s="1077">
        <v>53</v>
      </c>
      <c r="W286" s="1077">
        <f t="array" ref="W286">SUMPRODUCT(IF('卡片raw data'!BM$1:BM$1000=T286,1,0),IF('卡片raw data'!BO$1:BO$1000=V286,1,0),IF(IF('卡片raw data'!C$1:C$1000=R$3,1,0)+IF(R$3="",1,0)&gt;=1,1,0),IF(IF('卡片raw data'!D$1:D$1000=R$4,1,0)+IF(R$4="",1,0)&gt;=1,1,0),IF(IF('卡片raw data'!E$1:E$1000=R$5,1,0)+IF(R$5="",1,0)&gt;=1,1,0))</f>
        <v>0</v>
      </c>
      <c r="Y286" s="1307">
        <f t="shared" si="21"/>
        <v>53</v>
      </c>
      <c r="Z286" s="1307">
        <f t="shared" si="22"/>
        <v>0</v>
      </c>
      <c r="AA286" s="1307">
        <f t="shared" si="23"/>
        <v>53</v>
      </c>
      <c r="AB286" s="1307">
        <f t="shared" si="24"/>
        <v>0</v>
      </c>
    </row>
    <row r="287" spans="20:28">
      <c r="T287" s="1077">
        <v>20</v>
      </c>
      <c r="U287" s="1077">
        <f t="shared" si="20"/>
        <v>26</v>
      </c>
      <c r="V287" s="1077">
        <v>54</v>
      </c>
      <c r="W287" s="1077">
        <f t="array" ref="W287">SUMPRODUCT(IF('卡片raw data'!BM$1:BM$1000=T287,1,0),IF('卡片raw data'!BO$1:BO$1000=V287,1,0),IF(IF('卡片raw data'!C$1:C$1000=R$3,1,0)+IF(R$3="",1,0)&gt;=1,1,0),IF(IF('卡片raw data'!D$1:D$1000=R$4,1,0)+IF(R$4="",1,0)&gt;=1,1,0),IF(IF('卡片raw data'!E$1:E$1000=R$5,1,0)+IF(R$5="",1,0)&gt;=1,1,0))</f>
        <v>0</v>
      </c>
      <c r="Y287" s="1307">
        <f t="shared" si="21"/>
        <v>54</v>
      </c>
      <c r="Z287" s="1307">
        <f t="shared" si="22"/>
        <v>0</v>
      </c>
      <c r="AA287" s="1307">
        <f t="shared" si="23"/>
        <v>54</v>
      </c>
      <c r="AB287" s="1307">
        <f t="shared" si="24"/>
        <v>0</v>
      </c>
    </row>
    <row r="288" spans="20:28">
      <c r="T288" s="1077">
        <v>20</v>
      </c>
      <c r="U288" s="1077">
        <f t="shared" si="20"/>
        <v>25</v>
      </c>
      <c r="V288" s="1077">
        <v>55</v>
      </c>
      <c r="W288" s="1077">
        <f t="array" ref="W288">SUMPRODUCT(IF('卡片raw data'!BM$1:BM$1000=T288,1,0),IF('卡片raw data'!BO$1:BO$1000=V288,1,0),IF(IF('卡片raw data'!C$1:C$1000=R$3,1,0)+IF(R$3="",1,0)&gt;=1,1,0),IF(IF('卡片raw data'!D$1:D$1000=R$4,1,0)+IF(R$4="",1,0)&gt;=1,1,0),IF(IF('卡片raw data'!E$1:E$1000=R$5,1,0)+IF(R$5="",1,0)&gt;=1,1,0))</f>
        <v>0</v>
      </c>
      <c r="Y288" s="1307">
        <f t="shared" si="21"/>
        <v>55</v>
      </c>
      <c r="Z288" s="1307">
        <f t="shared" si="22"/>
        <v>0</v>
      </c>
      <c r="AA288" s="1307">
        <f t="shared" si="23"/>
        <v>55</v>
      </c>
      <c r="AB288" s="1307">
        <f t="shared" si="24"/>
        <v>0</v>
      </c>
    </row>
    <row r="289" spans="20:28">
      <c r="T289" s="1077">
        <v>21</v>
      </c>
      <c r="U289" s="1077">
        <f t="shared" si="20"/>
        <v>55</v>
      </c>
      <c r="V289" s="1077">
        <v>24</v>
      </c>
      <c r="W289" s="1077">
        <f t="array" ref="W289">SUMPRODUCT(IF('卡片raw data'!BM$1:BM$1000=T289,1,0),IF('卡片raw data'!BO$1:BO$1000=V289,1,0),IF(IF('卡片raw data'!C$1:C$1000=R$3,1,0)+IF(R$3="",1,0)&gt;=1,1,0),IF(IF('卡片raw data'!D$1:D$1000=R$4,1,0)+IF(R$4="",1,0)&gt;=1,1,0),IF(IF('卡片raw data'!E$1:E$1000=R$5,1,0)+IF(R$5="",1,0)&gt;=1,1,0))</f>
        <v>0</v>
      </c>
      <c r="Y289" s="1307">
        <f t="shared" si="21"/>
        <v>24</v>
      </c>
      <c r="Z289" s="1307">
        <f t="shared" si="22"/>
        <v>0</v>
      </c>
      <c r="AA289" s="1307">
        <f t="shared" si="23"/>
        <v>24</v>
      </c>
      <c r="AB289" s="1307">
        <f t="shared" si="24"/>
        <v>0</v>
      </c>
    </row>
    <row r="290" spans="20:28">
      <c r="T290" s="1077">
        <v>21</v>
      </c>
      <c r="U290" s="1077">
        <f t="shared" si="20"/>
        <v>54</v>
      </c>
      <c r="V290" s="1077">
        <v>25</v>
      </c>
      <c r="W290" s="1077">
        <f t="array" ref="W290">SUMPRODUCT(IF('卡片raw data'!BM$1:BM$1000=T290,1,0),IF('卡片raw data'!BO$1:BO$1000=V290,1,0),IF(IF('卡片raw data'!C$1:C$1000=R$3,1,0)+IF(R$3="",1,0)&gt;=1,1,0),IF(IF('卡片raw data'!D$1:D$1000=R$4,1,0)+IF(R$4="",1,0)&gt;=1,1,0),IF(IF('卡片raw data'!E$1:E$1000=R$5,1,0)+IF(R$5="",1,0)&gt;=1,1,0))</f>
        <v>0</v>
      </c>
      <c r="Y290" s="1307">
        <f t="shared" si="21"/>
        <v>25</v>
      </c>
      <c r="Z290" s="1307">
        <f t="shared" si="22"/>
        <v>0</v>
      </c>
      <c r="AA290" s="1307">
        <f t="shared" si="23"/>
        <v>25</v>
      </c>
      <c r="AB290" s="1307">
        <f t="shared" si="24"/>
        <v>0</v>
      </c>
    </row>
    <row r="291" spans="20:28">
      <c r="T291" s="1077">
        <v>21</v>
      </c>
      <c r="U291" s="1077">
        <f t="shared" si="20"/>
        <v>53</v>
      </c>
      <c r="V291" s="1077">
        <v>26</v>
      </c>
      <c r="W291" s="1077">
        <f t="array" ref="W291">SUMPRODUCT(IF('卡片raw data'!BM$1:BM$1000=T291,1,0),IF('卡片raw data'!BO$1:BO$1000=V291,1,0),IF(IF('卡片raw data'!C$1:C$1000=R$3,1,0)+IF(R$3="",1,0)&gt;=1,1,0),IF(IF('卡片raw data'!D$1:D$1000=R$4,1,0)+IF(R$4="",1,0)&gt;=1,1,0),IF(IF('卡片raw data'!E$1:E$1000=R$5,1,0)+IF(R$5="",1,0)&gt;=1,1,0))</f>
        <v>0</v>
      </c>
      <c r="Y291" s="1307">
        <f t="shared" si="21"/>
        <v>26</v>
      </c>
      <c r="Z291" s="1307">
        <f t="shared" si="22"/>
        <v>0</v>
      </c>
      <c r="AA291" s="1307">
        <f t="shared" si="23"/>
        <v>26</v>
      </c>
      <c r="AB291" s="1307">
        <f t="shared" si="24"/>
        <v>0</v>
      </c>
    </row>
    <row r="292" spans="20:28">
      <c r="T292" s="1077">
        <v>21</v>
      </c>
      <c r="U292" s="1077">
        <f t="shared" si="20"/>
        <v>52</v>
      </c>
      <c r="V292" s="1077">
        <v>27</v>
      </c>
      <c r="W292" s="1077">
        <f t="array" ref="W292">SUMPRODUCT(IF('卡片raw data'!BM$1:BM$1000=T292,1,0),IF('卡片raw data'!BO$1:BO$1000=V292,1,0),IF(IF('卡片raw data'!C$1:C$1000=R$3,1,0)+IF(R$3="",1,0)&gt;=1,1,0),IF(IF('卡片raw data'!D$1:D$1000=R$4,1,0)+IF(R$4="",1,0)&gt;=1,1,0),IF(IF('卡片raw data'!E$1:E$1000=R$5,1,0)+IF(R$5="",1,0)&gt;=1,1,0))</f>
        <v>0</v>
      </c>
      <c r="Y292" s="1307">
        <f t="shared" si="21"/>
        <v>27</v>
      </c>
      <c r="Z292" s="1307">
        <f t="shared" si="22"/>
        <v>0</v>
      </c>
      <c r="AA292" s="1307">
        <f t="shared" si="23"/>
        <v>27</v>
      </c>
      <c r="AB292" s="1307">
        <f t="shared" si="24"/>
        <v>0</v>
      </c>
    </row>
    <row r="293" spans="20:28">
      <c r="T293" s="1077">
        <v>21</v>
      </c>
      <c r="U293" s="1077">
        <f t="shared" si="20"/>
        <v>51</v>
      </c>
      <c r="V293" s="1077">
        <v>28</v>
      </c>
      <c r="W293" s="1077">
        <f t="array" ref="W293">SUMPRODUCT(IF('卡片raw data'!BM$1:BM$1000=T293,1,0),IF('卡片raw data'!BO$1:BO$1000=V293,1,0),IF(IF('卡片raw data'!C$1:C$1000=R$3,1,0)+IF(R$3="",1,0)&gt;=1,1,0),IF(IF('卡片raw data'!D$1:D$1000=R$4,1,0)+IF(R$4="",1,0)&gt;=1,1,0),IF(IF('卡片raw data'!E$1:E$1000=R$5,1,0)+IF(R$5="",1,0)&gt;=1,1,0))</f>
        <v>0</v>
      </c>
      <c r="Y293" s="1307">
        <f t="shared" si="21"/>
        <v>28</v>
      </c>
      <c r="Z293" s="1307">
        <f t="shared" si="22"/>
        <v>0</v>
      </c>
      <c r="AA293" s="1307">
        <f t="shared" si="23"/>
        <v>28</v>
      </c>
      <c r="AB293" s="1307">
        <f t="shared" si="24"/>
        <v>0</v>
      </c>
    </row>
    <row r="294" spans="20:28">
      <c r="T294" s="1077">
        <v>21</v>
      </c>
      <c r="U294" s="1077">
        <f t="shared" si="20"/>
        <v>50</v>
      </c>
      <c r="V294" s="1077">
        <v>29</v>
      </c>
      <c r="W294" s="1077">
        <f t="array" ref="W294">SUMPRODUCT(IF('卡片raw data'!BM$1:BM$1000=T294,1,0),IF('卡片raw data'!BO$1:BO$1000=V294,1,0),IF(IF('卡片raw data'!C$1:C$1000=R$3,1,0)+IF(R$3="",1,0)&gt;=1,1,0),IF(IF('卡片raw data'!D$1:D$1000=R$4,1,0)+IF(R$4="",1,0)&gt;=1,1,0),IF(IF('卡片raw data'!E$1:E$1000=R$5,1,0)+IF(R$5="",1,0)&gt;=1,1,0))</f>
        <v>0</v>
      </c>
      <c r="Y294" s="1307">
        <f t="shared" si="21"/>
        <v>29</v>
      </c>
      <c r="Z294" s="1307">
        <f t="shared" si="22"/>
        <v>0</v>
      </c>
      <c r="AA294" s="1307">
        <f t="shared" si="23"/>
        <v>29</v>
      </c>
      <c r="AB294" s="1307">
        <f t="shared" si="24"/>
        <v>0</v>
      </c>
    </row>
    <row r="295" spans="20:28">
      <c r="T295" s="1077">
        <v>21</v>
      </c>
      <c r="U295" s="1077">
        <f t="shared" si="20"/>
        <v>49</v>
      </c>
      <c r="V295" s="1077">
        <v>30</v>
      </c>
      <c r="W295" s="1077">
        <f t="array" ref="W295">SUMPRODUCT(IF('卡片raw data'!BM$1:BM$1000=T295,1,0),IF('卡片raw data'!BO$1:BO$1000=V295,1,0),IF(IF('卡片raw data'!C$1:C$1000=R$3,1,0)+IF(R$3="",1,0)&gt;=1,1,0),IF(IF('卡片raw data'!D$1:D$1000=R$4,1,0)+IF(R$4="",1,0)&gt;=1,1,0),IF(IF('卡片raw data'!E$1:E$1000=R$5,1,0)+IF(R$5="",1,0)&gt;=1,1,0))</f>
        <v>0</v>
      </c>
      <c r="Y295" s="1307">
        <f t="shared" si="21"/>
        <v>30</v>
      </c>
      <c r="Z295" s="1307">
        <f t="shared" si="22"/>
        <v>0</v>
      </c>
      <c r="AA295" s="1307">
        <f t="shared" si="23"/>
        <v>30</v>
      </c>
      <c r="AB295" s="1307">
        <f t="shared" si="24"/>
        <v>0</v>
      </c>
    </row>
    <row r="296" spans="20:28">
      <c r="T296" s="1077">
        <v>21</v>
      </c>
      <c r="U296" s="1077">
        <f t="shared" si="20"/>
        <v>48</v>
      </c>
      <c r="V296" s="1077">
        <v>31</v>
      </c>
      <c r="W296" s="1077">
        <f t="array" ref="W296">SUMPRODUCT(IF('卡片raw data'!BM$1:BM$1000=T296,1,0),IF('卡片raw data'!BO$1:BO$1000=V296,1,0),IF(IF('卡片raw data'!C$1:C$1000=R$3,1,0)+IF(R$3="",1,0)&gt;=1,1,0),IF(IF('卡片raw data'!D$1:D$1000=R$4,1,0)+IF(R$4="",1,0)&gt;=1,1,0),IF(IF('卡片raw data'!E$1:E$1000=R$5,1,0)+IF(R$5="",1,0)&gt;=1,1,0))</f>
        <v>0</v>
      </c>
      <c r="Y296" s="1307">
        <f t="shared" si="21"/>
        <v>31</v>
      </c>
      <c r="Z296" s="1307">
        <f t="shared" si="22"/>
        <v>0</v>
      </c>
      <c r="AA296" s="1307">
        <f t="shared" si="23"/>
        <v>31</v>
      </c>
      <c r="AB296" s="1307">
        <f t="shared" si="24"/>
        <v>0</v>
      </c>
    </row>
    <row r="297" spans="20:28">
      <c r="T297" s="1077">
        <v>21</v>
      </c>
      <c r="U297" s="1077">
        <f t="shared" si="20"/>
        <v>47</v>
      </c>
      <c r="V297" s="1077">
        <v>32</v>
      </c>
      <c r="W297" s="1077">
        <f t="array" ref="W297">SUMPRODUCT(IF('卡片raw data'!BM$1:BM$1000=T297,1,0),IF('卡片raw data'!BO$1:BO$1000=V297,1,0),IF(IF('卡片raw data'!C$1:C$1000=R$3,1,0)+IF(R$3="",1,0)&gt;=1,1,0),IF(IF('卡片raw data'!D$1:D$1000=R$4,1,0)+IF(R$4="",1,0)&gt;=1,1,0),IF(IF('卡片raw data'!E$1:E$1000=R$5,1,0)+IF(R$5="",1,0)&gt;=1,1,0))</f>
        <v>0</v>
      </c>
      <c r="Y297" s="1307">
        <f t="shared" si="21"/>
        <v>32</v>
      </c>
      <c r="Z297" s="1307">
        <f t="shared" si="22"/>
        <v>0</v>
      </c>
      <c r="AA297" s="1307">
        <f t="shared" si="23"/>
        <v>32</v>
      </c>
      <c r="AB297" s="1307">
        <f t="shared" si="24"/>
        <v>0</v>
      </c>
    </row>
    <row r="298" spans="20:28">
      <c r="T298" s="1077">
        <v>21</v>
      </c>
      <c r="U298" s="1077">
        <f t="shared" si="20"/>
        <v>46</v>
      </c>
      <c r="V298" s="1077">
        <v>33</v>
      </c>
      <c r="W298" s="1077">
        <f t="array" ref="W298">SUMPRODUCT(IF('卡片raw data'!BM$1:BM$1000=T298,1,0),IF('卡片raw data'!BO$1:BO$1000=V298,1,0),IF(IF('卡片raw data'!C$1:C$1000=R$3,1,0)+IF(R$3="",1,0)&gt;=1,1,0),IF(IF('卡片raw data'!D$1:D$1000=R$4,1,0)+IF(R$4="",1,0)&gt;=1,1,0),IF(IF('卡片raw data'!E$1:E$1000=R$5,1,0)+IF(R$5="",1,0)&gt;=1,1,0))</f>
        <v>0</v>
      </c>
      <c r="Y298" s="1307">
        <f t="shared" si="21"/>
        <v>33</v>
      </c>
      <c r="Z298" s="1307">
        <f t="shared" si="22"/>
        <v>0</v>
      </c>
      <c r="AA298" s="1307">
        <f t="shared" si="23"/>
        <v>33</v>
      </c>
      <c r="AB298" s="1307">
        <f t="shared" si="24"/>
        <v>0</v>
      </c>
    </row>
    <row r="299" spans="20:28">
      <c r="T299" s="1077">
        <v>21</v>
      </c>
      <c r="U299" s="1077">
        <f t="shared" si="20"/>
        <v>45</v>
      </c>
      <c r="V299" s="1077">
        <v>34</v>
      </c>
      <c r="W299" s="1077">
        <f t="array" ref="W299">SUMPRODUCT(IF('卡片raw data'!BM$1:BM$1000=T299,1,0),IF('卡片raw data'!BO$1:BO$1000=V299,1,0),IF(IF('卡片raw data'!C$1:C$1000=R$3,1,0)+IF(R$3="",1,0)&gt;=1,1,0),IF(IF('卡片raw data'!D$1:D$1000=R$4,1,0)+IF(R$4="",1,0)&gt;=1,1,0),IF(IF('卡片raw data'!E$1:E$1000=R$5,1,0)+IF(R$5="",1,0)&gt;=1,1,0))</f>
        <v>0</v>
      </c>
      <c r="Y299" s="1307">
        <f t="shared" si="21"/>
        <v>34</v>
      </c>
      <c r="Z299" s="1307">
        <f t="shared" si="22"/>
        <v>0</v>
      </c>
      <c r="AA299" s="1307">
        <f t="shared" si="23"/>
        <v>34</v>
      </c>
      <c r="AB299" s="1307">
        <f t="shared" si="24"/>
        <v>0</v>
      </c>
    </row>
    <row r="300" spans="20:28">
      <c r="T300" s="1077">
        <v>21</v>
      </c>
      <c r="U300" s="1077">
        <f t="shared" si="20"/>
        <v>44</v>
      </c>
      <c r="V300" s="1077">
        <v>35</v>
      </c>
      <c r="W300" s="1077">
        <f t="array" ref="W300">SUMPRODUCT(IF('卡片raw data'!BM$1:BM$1000=T300,1,0),IF('卡片raw data'!BO$1:BO$1000=V300,1,0),IF(IF('卡片raw data'!C$1:C$1000=R$3,1,0)+IF(R$3="",1,0)&gt;=1,1,0),IF(IF('卡片raw data'!D$1:D$1000=R$4,1,0)+IF(R$4="",1,0)&gt;=1,1,0),IF(IF('卡片raw data'!E$1:E$1000=R$5,1,0)+IF(R$5="",1,0)&gt;=1,1,0))</f>
        <v>0</v>
      </c>
      <c r="Y300" s="1307">
        <f t="shared" si="21"/>
        <v>35</v>
      </c>
      <c r="Z300" s="1307">
        <f t="shared" si="22"/>
        <v>0</v>
      </c>
      <c r="AA300" s="1307">
        <f t="shared" si="23"/>
        <v>35</v>
      </c>
      <c r="AB300" s="1307">
        <f t="shared" si="24"/>
        <v>0</v>
      </c>
    </row>
    <row r="301" spans="20:28">
      <c r="T301" s="1077">
        <v>21</v>
      </c>
      <c r="U301" s="1077">
        <f t="shared" si="20"/>
        <v>43</v>
      </c>
      <c r="V301" s="1077">
        <v>36</v>
      </c>
      <c r="W301" s="1077">
        <f t="array" ref="W301">SUMPRODUCT(IF('卡片raw data'!BM$1:BM$1000=T301,1,0),IF('卡片raw data'!BO$1:BO$1000=V301,1,0),IF(IF('卡片raw data'!C$1:C$1000=R$3,1,0)+IF(R$3="",1,0)&gt;=1,1,0),IF(IF('卡片raw data'!D$1:D$1000=R$4,1,0)+IF(R$4="",1,0)&gt;=1,1,0),IF(IF('卡片raw data'!E$1:E$1000=R$5,1,0)+IF(R$5="",1,0)&gt;=1,1,0))</f>
        <v>0</v>
      </c>
      <c r="Y301" s="1307">
        <f t="shared" si="21"/>
        <v>36</v>
      </c>
      <c r="Z301" s="1307">
        <f t="shared" si="22"/>
        <v>0</v>
      </c>
      <c r="AA301" s="1307">
        <f t="shared" si="23"/>
        <v>36</v>
      </c>
      <c r="AB301" s="1307">
        <f t="shared" si="24"/>
        <v>0</v>
      </c>
    </row>
    <row r="302" spans="20:28">
      <c r="T302" s="1077">
        <v>21</v>
      </c>
      <c r="U302" s="1077">
        <f t="shared" si="20"/>
        <v>42</v>
      </c>
      <c r="V302" s="1077">
        <v>37</v>
      </c>
      <c r="W302" s="1077">
        <f t="array" ref="W302">SUMPRODUCT(IF('卡片raw data'!BM$1:BM$1000=T302,1,0),IF('卡片raw data'!BO$1:BO$1000=V302,1,0),IF(IF('卡片raw data'!C$1:C$1000=R$3,1,0)+IF(R$3="",1,0)&gt;=1,1,0),IF(IF('卡片raw data'!D$1:D$1000=R$4,1,0)+IF(R$4="",1,0)&gt;=1,1,0),IF(IF('卡片raw data'!E$1:E$1000=R$5,1,0)+IF(R$5="",1,0)&gt;=1,1,0))</f>
        <v>0</v>
      </c>
      <c r="Y302" s="1307">
        <f t="shared" si="21"/>
        <v>37</v>
      </c>
      <c r="Z302" s="1307">
        <f t="shared" si="22"/>
        <v>0</v>
      </c>
      <c r="AA302" s="1307">
        <f t="shared" si="23"/>
        <v>37</v>
      </c>
      <c r="AB302" s="1307">
        <f t="shared" si="24"/>
        <v>0</v>
      </c>
    </row>
    <row r="303" spans="20:28">
      <c r="T303" s="1077">
        <v>21</v>
      </c>
      <c r="U303" s="1077">
        <f t="shared" si="20"/>
        <v>41</v>
      </c>
      <c r="V303" s="1077">
        <v>38</v>
      </c>
      <c r="W303" s="1077">
        <f t="array" ref="W303">SUMPRODUCT(IF('卡片raw data'!BM$1:BM$1000=T303,1,0),IF('卡片raw data'!BO$1:BO$1000=V303,1,0),IF(IF('卡片raw data'!C$1:C$1000=R$3,1,0)+IF(R$3="",1,0)&gt;=1,1,0),IF(IF('卡片raw data'!D$1:D$1000=R$4,1,0)+IF(R$4="",1,0)&gt;=1,1,0),IF(IF('卡片raw data'!E$1:E$1000=R$5,1,0)+IF(R$5="",1,0)&gt;=1,1,0))</f>
        <v>0</v>
      </c>
      <c r="Y303" s="1307">
        <f t="shared" si="21"/>
        <v>38</v>
      </c>
      <c r="Z303" s="1307">
        <f t="shared" si="22"/>
        <v>0</v>
      </c>
      <c r="AA303" s="1307">
        <f t="shared" si="23"/>
        <v>38</v>
      </c>
      <c r="AB303" s="1307">
        <f t="shared" si="24"/>
        <v>0</v>
      </c>
    </row>
    <row r="304" spans="20:28">
      <c r="T304" s="1077">
        <v>21</v>
      </c>
      <c r="U304" s="1077">
        <f t="shared" si="20"/>
        <v>40</v>
      </c>
      <c r="V304" s="1077">
        <v>39</v>
      </c>
      <c r="W304" s="1077">
        <f t="array" ref="W304">SUMPRODUCT(IF('卡片raw data'!BM$1:BM$1000=T304,1,0),IF('卡片raw data'!BO$1:BO$1000=V304,1,0),IF(IF('卡片raw data'!C$1:C$1000=R$3,1,0)+IF(R$3="",1,0)&gt;=1,1,0),IF(IF('卡片raw data'!D$1:D$1000=R$4,1,0)+IF(R$4="",1,0)&gt;=1,1,0),IF(IF('卡片raw data'!E$1:E$1000=R$5,1,0)+IF(R$5="",1,0)&gt;=1,1,0))</f>
        <v>0</v>
      </c>
      <c r="Y304" s="1307">
        <f t="shared" si="21"/>
        <v>39</v>
      </c>
      <c r="Z304" s="1307">
        <f t="shared" si="22"/>
        <v>0</v>
      </c>
      <c r="AA304" s="1307">
        <f t="shared" si="23"/>
        <v>39</v>
      </c>
      <c r="AB304" s="1307">
        <f t="shared" si="24"/>
        <v>0</v>
      </c>
    </row>
    <row r="305" spans="20:28">
      <c r="T305" s="1077">
        <v>21</v>
      </c>
      <c r="U305" s="1077">
        <f t="shared" si="20"/>
        <v>39</v>
      </c>
      <c r="V305" s="1077">
        <v>40</v>
      </c>
      <c r="W305" s="1077">
        <f t="array" ref="W305">SUMPRODUCT(IF('卡片raw data'!BM$1:BM$1000=T305,1,0),IF('卡片raw data'!BO$1:BO$1000=V305,1,0),IF(IF('卡片raw data'!C$1:C$1000=R$3,1,0)+IF(R$3="",1,0)&gt;=1,1,0),IF(IF('卡片raw data'!D$1:D$1000=R$4,1,0)+IF(R$4="",1,0)&gt;=1,1,0),IF(IF('卡片raw data'!E$1:E$1000=R$5,1,0)+IF(R$5="",1,0)&gt;=1,1,0))</f>
        <v>0</v>
      </c>
      <c r="Y305" s="1307">
        <f t="shared" si="21"/>
        <v>40</v>
      </c>
      <c r="Z305" s="1307">
        <f t="shared" si="22"/>
        <v>0</v>
      </c>
      <c r="AA305" s="1307">
        <f t="shared" si="23"/>
        <v>40</v>
      </c>
      <c r="AB305" s="1307">
        <f t="shared" si="24"/>
        <v>0</v>
      </c>
    </row>
    <row r="306" spans="20:28">
      <c r="T306" s="1077">
        <v>21</v>
      </c>
      <c r="U306" s="1077">
        <f t="shared" si="20"/>
        <v>38</v>
      </c>
      <c r="V306" s="1077">
        <v>41</v>
      </c>
      <c r="W306" s="1077">
        <f t="array" ref="W306">SUMPRODUCT(IF('卡片raw data'!BM$1:BM$1000=T306,1,0),IF('卡片raw data'!BO$1:BO$1000=V306,1,0),IF(IF('卡片raw data'!C$1:C$1000=R$3,1,0)+IF(R$3="",1,0)&gt;=1,1,0),IF(IF('卡片raw data'!D$1:D$1000=R$4,1,0)+IF(R$4="",1,0)&gt;=1,1,0),IF(IF('卡片raw data'!E$1:E$1000=R$5,1,0)+IF(R$5="",1,0)&gt;=1,1,0))</f>
        <v>0</v>
      </c>
      <c r="Y306" s="1307">
        <f t="shared" si="21"/>
        <v>41</v>
      </c>
      <c r="Z306" s="1307">
        <f t="shared" si="22"/>
        <v>0</v>
      </c>
      <c r="AA306" s="1307">
        <f t="shared" si="23"/>
        <v>41</v>
      </c>
      <c r="AB306" s="1307">
        <f t="shared" si="24"/>
        <v>0</v>
      </c>
    </row>
    <row r="307" spans="20:28">
      <c r="T307" s="1077">
        <v>21</v>
      </c>
      <c r="U307" s="1077">
        <f t="shared" si="20"/>
        <v>37</v>
      </c>
      <c r="V307" s="1077">
        <v>42</v>
      </c>
      <c r="W307" s="1077">
        <f t="array" ref="W307">SUMPRODUCT(IF('卡片raw data'!BM$1:BM$1000=T307,1,0),IF('卡片raw data'!BO$1:BO$1000=V307,1,0),IF(IF('卡片raw data'!C$1:C$1000=R$3,1,0)+IF(R$3="",1,0)&gt;=1,1,0),IF(IF('卡片raw data'!D$1:D$1000=R$4,1,0)+IF(R$4="",1,0)&gt;=1,1,0),IF(IF('卡片raw data'!E$1:E$1000=R$5,1,0)+IF(R$5="",1,0)&gt;=1,1,0))</f>
        <v>0</v>
      </c>
      <c r="Y307" s="1307">
        <f t="shared" si="21"/>
        <v>42</v>
      </c>
      <c r="Z307" s="1307">
        <f t="shared" si="22"/>
        <v>0</v>
      </c>
      <c r="AA307" s="1307">
        <f t="shared" si="23"/>
        <v>42</v>
      </c>
      <c r="AB307" s="1307">
        <f t="shared" si="24"/>
        <v>0</v>
      </c>
    </row>
    <row r="308" spans="20:28">
      <c r="T308" s="1077">
        <v>21</v>
      </c>
      <c r="U308" s="1077">
        <f t="shared" si="20"/>
        <v>36</v>
      </c>
      <c r="V308" s="1077">
        <v>43</v>
      </c>
      <c r="W308" s="1077">
        <f t="array" ref="W308">SUMPRODUCT(IF('卡片raw data'!BM$1:BM$1000=T308,1,0),IF('卡片raw data'!BO$1:BO$1000=V308,1,0),IF(IF('卡片raw data'!C$1:C$1000=R$3,1,0)+IF(R$3="",1,0)&gt;=1,1,0),IF(IF('卡片raw data'!D$1:D$1000=R$4,1,0)+IF(R$4="",1,0)&gt;=1,1,0),IF(IF('卡片raw data'!E$1:E$1000=R$5,1,0)+IF(R$5="",1,0)&gt;=1,1,0))</f>
        <v>0</v>
      </c>
      <c r="Y308" s="1307">
        <f t="shared" si="21"/>
        <v>43</v>
      </c>
      <c r="Z308" s="1307">
        <f t="shared" si="22"/>
        <v>0</v>
      </c>
      <c r="AA308" s="1307">
        <f t="shared" si="23"/>
        <v>43</v>
      </c>
      <c r="AB308" s="1307">
        <f t="shared" si="24"/>
        <v>0</v>
      </c>
    </row>
    <row r="309" spans="20:28">
      <c r="T309" s="1077">
        <v>21</v>
      </c>
      <c r="U309" s="1077">
        <f t="shared" si="20"/>
        <v>35</v>
      </c>
      <c r="V309" s="1077">
        <v>44</v>
      </c>
      <c r="W309" s="1077">
        <f t="array" ref="W309">SUMPRODUCT(IF('卡片raw data'!BM$1:BM$1000=T309,1,0),IF('卡片raw data'!BO$1:BO$1000=V309,1,0),IF(IF('卡片raw data'!C$1:C$1000=R$3,1,0)+IF(R$3="",1,0)&gt;=1,1,0),IF(IF('卡片raw data'!D$1:D$1000=R$4,1,0)+IF(R$4="",1,0)&gt;=1,1,0),IF(IF('卡片raw data'!E$1:E$1000=R$5,1,0)+IF(R$5="",1,0)&gt;=1,1,0))</f>
        <v>0</v>
      </c>
      <c r="Y309" s="1307">
        <f t="shared" si="21"/>
        <v>44</v>
      </c>
      <c r="Z309" s="1307">
        <f t="shared" si="22"/>
        <v>0</v>
      </c>
      <c r="AA309" s="1307">
        <f t="shared" si="23"/>
        <v>44</v>
      </c>
      <c r="AB309" s="1307">
        <f t="shared" si="24"/>
        <v>0</v>
      </c>
    </row>
    <row r="310" spans="20:28">
      <c r="T310" s="1077">
        <v>21</v>
      </c>
      <c r="U310" s="1077">
        <f t="shared" si="20"/>
        <v>34</v>
      </c>
      <c r="V310" s="1077">
        <v>45</v>
      </c>
      <c r="W310" s="1077">
        <f t="array" ref="W310">SUMPRODUCT(IF('卡片raw data'!BM$1:BM$1000=T310,1,0),IF('卡片raw data'!BO$1:BO$1000=V310,1,0),IF(IF('卡片raw data'!C$1:C$1000=R$3,1,0)+IF(R$3="",1,0)&gt;=1,1,0),IF(IF('卡片raw data'!D$1:D$1000=R$4,1,0)+IF(R$4="",1,0)&gt;=1,1,0),IF(IF('卡片raw data'!E$1:E$1000=R$5,1,0)+IF(R$5="",1,0)&gt;=1,1,0))</f>
        <v>0</v>
      </c>
      <c r="Y310" s="1307">
        <f t="shared" si="21"/>
        <v>45</v>
      </c>
      <c r="Z310" s="1307">
        <f t="shared" si="22"/>
        <v>0</v>
      </c>
      <c r="AA310" s="1307">
        <f t="shared" si="23"/>
        <v>45</v>
      </c>
      <c r="AB310" s="1307">
        <f t="shared" si="24"/>
        <v>0</v>
      </c>
    </row>
    <row r="311" spans="20:28">
      <c r="T311" s="1077">
        <v>21</v>
      </c>
      <c r="U311" s="1077">
        <f t="shared" si="20"/>
        <v>33</v>
      </c>
      <c r="V311" s="1077">
        <v>46</v>
      </c>
      <c r="W311" s="1077">
        <f t="array" ref="W311">SUMPRODUCT(IF('卡片raw data'!BM$1:BM$1000=T311,1,0),IF('卡片raw data'!BO$1:BO$1000=V311,1,0),IF(IF('卡片raw data'!C$1:C$1000=R$3,1,0)+IF(R$3="",1,0)&gt;=1,1,0),IF(IF('卡片raw data'!D$1:D$1000=R$4,1,0)+IF(R$4="",1,0)&gt;=1,1,0),IF(IF('卡片raw data'!E$1:E$1000=R$5,1,0)+IF(R$5="",1,0)&gt;=1,1,0))</f>
        <v>0</v>
      </c>
      <c r="Y311" s="1307">
        <f t="shared" si="21"/>
        <v>46</v>
      </c>
      <c r="Z311" s="1307">
        <f t="shared" si="22"/>
        <v>0</v>
      </c>
      <c r="AA311" s="1307">
        <f t="shared" si="23"/>
        <v>46</v>
      </c>
      <c r="AB311" s="1307">
        <f t="shared" si="24"/>
        <v>0</v>
      </c>
    </row>
    <row r="312" spans="20:28">
      <c r="T312" s="1077">
        <v>21</v>
      </c>
      <c r="U312" s="1077">
        <f t="shared" si="20"/>
        <v>32</v>
      </c>
      <c r="V312" s="1077">
        <v>47</v>
      </c>
      <c r="W312" s="1077">
        <f t="array" ref="W312">SUMPRODUCT(IF('卡片raw data'!BM$1:BM$1000=T312,1,0),IF('卡片raw data'!BO$1:BO$1000=V312,1,0),IF(IF('卡片raw data'!C$1:C$1000=R$3,1,0)+IF(R$3="",1,0)&gt;=1,1,0),IF(IF('卡片raw data'!D$1:D$1000=R$4,1,0)+IF(R$4="",1,0)&gt;=1,1,0),IF(IF('卡片raw data'!E$1:E$1000=R$5,1,0)+IF(R$5="",1,0)&gt;=1,1,0))</f>
        <v>0</v>
      </c>
      <c r="Y312" s="1307">
        <f t="shared" si="21"/>
        <v>47</v>
      </c>
      <c r="Z312" s="1307">
        <f t="shared" si="22"/>
        <v>0</v>
      </c>
      <c r="AA312" s="1307">
        <f t="shared" si="23"/>
        <v>47</v>
      </c>
      <c r="AB312" s="1307">
        <f t="shared" si="24"/>
        <v>0</v>
      </c>
    </row>
    <row r="313" spans="20:28">
      <c r="T313" s="1077">
        <v>21</v>
      </c>
      <c r="U313" s="1077">
        <f t="shared" si="20"/>
        <v>31</v>
      </c>
      <c r="V313" s="1077">
        <v>48</v>
      </c>
      <c r="W313" s="1077">
        <f t="array" ref="W313">SUMPRODUCT(IF('卡片raw data'!BM$1:BM$1000=T313,1,0),IF('卡片raw data'!BO$1:BO$1000=V313,1,0),IF(IF('卡片raw data'!C$1:C$1000=R$3,1,0)+IF(R$3="",1,0)&gt;=1,1,0),IF(IF('卡片raw data'!D$1:D$1000=R$4,1,0)+IF(R$4="",1,0)&gt;=1,1,0),IF(IF('卡片raw data'!E$1:E$1000=R$5,1,0)+IF(R$5="",1,0)&gt;=1,1,0))</f>
        <v>0</v>
      </c>
      <c r="Y313" s="1307">
        <f t="shared" si="21"/>
        <v>48</v>
      </c>
      <c r="Z313" s="1307">
        <f t="shared" si="22"/>
        <v>0</v>
      </c>
      <c r="AA313" s="1307">
        <f t="shared" si="23"/>
        <v>48</v>
      </c>
      <c r="AB313" s="1307">
        <f t="shared" si="24"/>
        <v>0</v>
      </c>
    </row>
    <row r="314" spans="20:28">
      <c r="T314" s="1077">
        <v>21</v>
      </c>
      <c r="U314" s="1077">
        <f t="shared" si="20"/>
        <v>30</v>
      </c>
      <c r="V314" s="1077">
        <v>49</v>
      </c>
      <c r="W314" s="1077">
        <f t="array" ref="W314">SUMPRODUCT(IF('卡片raw data'!BM$1:BM$1000=T314,1,0),IF('卡片raw data'!BO$1:BO$1000=V314,1,0),IF(IF('卡片raw data'!C$1:C$1000=R$3,1,0)+IF(R$3="",1,0)&gt;=1,1,0),IF(IF('卡片raw data'!D$1:D$1000=R$4,1,0)+IF(R$4="",1,0)&gt;=1,1,0),IF(IF('卡片raw data'!E$1:E$1000=R$5,1,0)+IF(R$5="",1,0)&gt;=1,1,0))</f>
        <v>0</v>
      </c>
      <c r="Y314" s="1307">
        <f t="shared" si="21"/>
        <v>49</v>
      </c>
      <c r="Z314" s="1307">
        <f t="shared" si="22"/>
        <v>0</v>
      </c>
      <c r="AA314" s="1307">
        <f t="shared" si="23"/>
        <v>49</v>
      </c>
      <c r="AB314" s="1307">
        <f t="shared" si="24"/>
        <v>0</v>
      </c>
    </row>
    <row r="315" spans="20:28">
      <c r="T315" s="1077">
        <v>21</v>
      </c>
      <c r="U315" s="1077">
        <f t="shared" si="20"/>
        <v>29</v>
      </c>
      <c r="V315" s="1077">
        <v>50</v>
      </c>
      <c r="W315" s="1077">
        <f t="array" ref="W315">SUMPRODUCT(IF('卡片raw data'!BM$1:BM$1000=T315,1,0),IF('卡片raw data'!BO$1:BO$1000=V315,1,0),IF(IF('卡片raw data'!C$1:C$1000=R$3,1,0)+IF(R$3="",1,0)&gt;=1,1,0),IF(IF('卡片raw data'!D$1:D$1000=R$4,1,0)+IF(R$4="",1,0)&gt;=1,1,0),IF(IF('卡片raw data'!E$1:E$1000=R$5,1,0)+IF(R$5="",1,0)&gt;=1,1,0))</f>
        <v>0</v>
      </c>
      <c r="Y315" s="1307">
        <f t="shared" si="21"/>
        <v>50</v>
      </c>
      <c r="Z315" s="1307">
        <f t="shared" si="22"/>
        <v>0</v>
      </c>
      <c r="AA315" s="1307">
        <f t="shared" si="23"/>
        <v>50</v>
      </c>
      <c r="AB315" s="1307">
        <f t="shared" si="24"/>
        <v>0</v>
      </c>
    </row>
    <row r="316" spans="20:28">
      <c r="T316" s="1077">
        <v>21</v>
      </c>
      <c r="U316" s="1077">
        <f t="shared" si="20"/>
        <v>28</v>
      </c>
      <c r="V316" s="1077">
        <v>51</v>
      </c>
      <c r="W316" s="1077">
        <f t="array" ref="W316">SUMPRODUCT(IF('卡片raw data'!BM$1:BM$1000=T316,1,0),IF('卡片raw data'!BO$1:BO$1000=V316,1,0),IF(IF('卡片raw data'!C$1:C$1000=R$3,1,0)+IF(R$3="",1,0)&gt;=1,1,0),IF(IF('卡片raw data'!D$1:D$1000=R$4,1,0)+IF(R$4="",1,0)&gt;=1,1,0),IF(IF('卡片raw data'!E$1:E$1000=R$5,1,0)+IF(R$5="",1,0)&gt;=1,1,0))</f>
        <v>0</v>
      </c>
      <c r="Y316" s="1307">
        <f t="shared" si="21"/>
        <v>51</v>
      </c>
      <c r="Z316" s="1307">
        <f t="shared" si="22"/>
        <v>0</v>
      </c>
      <c r="AA316" s="1307">
        <f t="shared" si="23"/>
        <v>51</v>
      </c>
      <c r="AB316" s="1307">
        <f t="shared" si="24"/>
        <v>0</v>
      </c>
    </row>
    <row r="317" spans="20:28">
      <c r="T317" s="1077">
        <v>21</v>
      </c>
      <c r="U317" s="1077">
        <f t="shared" si="20"/>
        <v>27</v>
      </c>
      <c r="V317" s="1077">
        <v>52</v>
      </c>
      <c r="W317" s="1077">
        <f t="array" ref="W317">SUMPRODUCT(IF('卡片raw data'!BM$1:BM$1000=T317,1,0),IF('卡片raw data'!BO$1:BO$1000=V317,1,0),IF(IF('卡片raw data'!C$1:C$1000=R$3,1,0)+IF(R$3="",1,0)&gt;=1,1,0),IF(IF('卡片raw data'!D$1:D$1000=R$4,1,0)+IF(R$4="",1,0)&gt;=1,1,0),IF(IF('卡片raw data'!E$1:E$1000=R$5,1,0)+IF(R$5="",1,0)&gt;=1,1,0))</f>
        <v>0</v>
      </c>
      <c r="Y317" s="1307">
        <f t="shared" si="21"/>
        <v>52</v>
      </c>
      <c r="Z317" s="1307">
        <f t="shared" si="22"/>
        <v>0</v>
      </c>
      <c r="AA317" s="1307">
        <f t="shared" si="23"/>
        <v>52</v>
      </c>
      <c r="AB317" s="1307">
        <f t="shared" si="24"/>
        <v>0</v>
      </c>
    </row>
    <row r="318" spans="20:28">
      <c r="T318" s="1077">
        <v>21</v>
      </c>
      <c r="U318" s="1077">
        <f t="shared" si="20"/>
        <v>26</v>
      </c>
      <c r="V318" s="1077">
        <v>53</v>
      </c>
      <c r="W318" s="1077">
        <f t="array" ref="W318">SUMPRODUCT(IF('卡片raw data'!BM$1:BM$1000=T318,1,0),IF('卡片raw data'!BO$1:BO$1000=V318,1,0),IF(IF('卡片raw data'!C$1:C$1000=R$3,1,0)+IF(R$3="",1,0)&gt;=1,1,0),IF(IF('卡片raw data'!D$1:D$1000=R$4,1,0)+IF(R$4="",1,0)&gt;=1,1,0),IF(IF('卡片raw data'!E$1:E$1000=R$5,1,0)+IF(R$5="",1,0)&gt;=1,1,0))</f>
        <v>0</v>
      </c>
      <c r="Y318" s="1307">
        <f t="shared" si="21"/>
        <v>53</v>
      </c>
      <c r="Z318" s="1307">
        <f t="shared" si="22"/>
        <v>0</v>
      </c>
      <c r="AA318" s="1307">
        <f t="shared" si="23"/>
        <v>53</v>
      </c>
      <c r="AB318" s="1307">
        <f t="shared" si="24"/>
        <v>0</v>
      </c>
    </row>
    <row r="319" spans="20:28">
      <c r="T319" s="1077">
        <v>21</v>
      </c>
      <c r="U319" s="1077">
        <f t="shared" si="20"/>
        <v>25</v>
      </c>
      <c r="V319" s="1077">
        <v>54</v>
      </c>
      <c r="W319" s="1077">
        <f t="array" ref="W319">SUMPRODUCT(IF('卡片raw data'!BM$1:BM$1000=T319,1,0),IF('卡片raw data'!BO$1:BO$1000=V319,1,0),IF(IF('卡片raw data'!C$1:C$1000=R$3,1,0)+IF(R$3="",1,0)&gt;=1,1,0),IF(IF('卡片raw data'!D$1:D$1000=R$4,1,0)+IF(R$4="",1,0)&gt;=1,1,0),IF(IF('卡片raw data'!E$1:E$1000=R$5,1,0)+IF(R$5="",1,0)&gt;=1,1,0))</f>
        <v>0</v>
      </c>
      <c r="Y319" s="1307">
        <f t="shared" si="21"/>
        <v>54</v>
      </c>
      <c r="Z319" s="1307">
        <f t="shared" si="22"/>
        <v>0</v>
      </c>
      <c r="AA319" s="1307">
        <f t="shared" si="23"/>
        <v>54</v>
      </c>
      <c r="AB319" s="1307">
        <f t="shared" si="24"/>
        <v>0</v>
      </c>
    </row>
    <row r="320" spans="20:28">
      <c r="T320" s="1077">
        <v>21</v>
      </c>
      <c r="U320" s="1077">
        <f t="shared" si="20"/>
        <v>24</v>
      </c>
      <c r="V320" s="1077">
        <v>55</v>
      </c>
      <c r="W320" s="1077">
        <f t="array" ref="W320">SUMPRODUCT(IF('卡片raw data'!BM$1:BM$1000=T320,1,0),IF('卡片raw data'!BO$1:BO$1000=V320,1,0),IF(IF('卡片raw data'!C$1:C$1000=R$3,1,0)+IF(R$3="",1,0)&gt;=1,1,0),IF(IF('卡片raw data'!D$1:D$1000=R$4,1,0)+IF(R$4="",1,0)&gt;=1,1,0),IF(IF('卡片raw data'!E$1:E$1000=R$5,1,0)+IF(R$5="",1,0)&gt;=1,1,0))</f>
        <v>0</v>
      </c>
      <c r="Y320" s="1307">
        <f t="shared" si="21"/>
        <v>55</v>
      </c>
      <c r="Z320" s="1307">
        <f t="shared" si="22"/>
        <v>0</v>
      </c>
      <c r="AA320" s="1307">
        <f t="shared" si="23"/>
        <v>55</v>
      </c>
      <c r="AB320" s="1307">
        <f t="shared" si="24"/>
        <v>0</v>
      </c>
    </row>
    <row r="321" spans="20:28">
      <c r="T321" s="1077">
        <v>22</v>
      </c>
      <c r="U321" s="1077">
        <f t="shared" si="20"/>
        <v>55</v>
      </c>
      <c r="V321" s="1077">
        <v>23</v>
      </c>
      <c r="W321" s="1077">
        <f t="array" ref="W321">SUMPRODUCT(IF('卡片raw data'!BM$1:BM$1000=T321,1,0),IF('卡片raw data'!BO$1:BO$1000=V321,1,0),IF(IF('卡片raw data'!C$1:C$1000=R$3,1,0)+IF(R$3="",1,0)&gt;=1,1,0),IF(IF('卡片raw data'!D$1:D$1000=R$4,1,0)+IF(R$4="",1,0)&gt;=1,1,0),IF(IF('卡片raw data'!E$1:E$1000=R$5,1,0)+IF(R$5="",1,0)&gt;=1,1,0))</f>
        <v>0</v>
      </c>
      <c r="Y321" s="1307">
        <f t="shared" si="21"/>
        <v>23</v>
      </c>
      <c r="Z321" s="1307">
        <f t="shared" si="22"/>
        <v>0</v>
      </c>
      <c r="AA321" s="1307">
        <f t="shared" si="23"/>
        <v>23</v>
      </c>
      <c r="AB321" s="1307">
        <f t="shared" si="24"/>
        <v>0</v>
      </c>
    </row>
    <row r="322" spans="20:28">
      <c r="T322" s="1077">
        <v>22</v>
      </c>
      <c r="U322" s="1077">
        <f t="shared" si="20"/>
        <v>54</v>
      </c>
      <c r="V322" s="1077">
        <v>24</v>
      </c>
      <c r="W322" s="1077">
        <f t="array" ref="W322">SUMPRODUCT(IF('卡片raw data'!BM$1:BM$1000=T322,1,0),IF('卡片raw data'!BO$1:BO$1000=V322,1,0),IF(IF('卡片raw data'!C$1:C$1000=R$3,1,0)+IF(R$3="",1,0)&gt;=1,1,0),IF(IF('卡片raw data'!D$1:D$1000=R$4,1,0)+IF(R$4="",1,0)&gt;=1,1,0),IF(IF('卡片raw data'!E$1:E$1000=R$5,1,0)+IF(R$5="",1,0)&gt;=1,1,0))</f>
        <v>0</v>
      </c>
      <c r="Y322" s="1307">
        <f t="shared" si="21"/>
        <v>24</v>
      </c>
      <c r="Z322" s="1307">
        <f t="shared" si="22"/>
        <v>0</v>
      </c>
      <c r="AA322" s="1307">
        <f t="shared" si="23"/>
        <v>24</v>
      </c>
      <c r="AB322" s="1307">
        <f t="shared" si="24"/>
        <v>0</v>
      </c>
    </row>
    <row r="323" spans="20:28">
      <c r="T323" s="1077">
        <v>22</v>
      </c>
      <c r="U323" s="1077">
        <f t="shared" si="20"/>
        <v>53</v>
      </c>
      <c r="V323" s="1077">
        <v>25</v>
      </c>
      <c r="W323" s="1077">
        <f t="array" ref="W323">SUMPRODUCT(IF('卡片raw data'!BM$1:BM$1000=T323,1,0),IF('卡片raw data'!BO$1:BO$1000=V323,1,0),IF(IF('卡片raw data'!C$1:C$1000=R$3,1,0)+IF(R$3="",1,0)&gt;=1,1,0),IF(IF('卡片raw data'!D$1:D$1000=R$4,1,0)+IF(R$4="",1,0)&gt;=1,1,0),IF(IF('卡片raw data'!E$1:E$1000=R$5,1,0)+IF(R$5="",1,0)&gt;=1,1,0))</f>
        <v>0</v>
      </c>
      <c r="Y323" s="1307">
        <f t="shared" si="21"/>
        <v>25</v>
      </c>
      <c r="Z323" s="1307">
        <f t="shared" si="22"/>
        <v>0</v>
      </c>
      <c r="AA323" s="1307">
        <f t="shared" si="23"/>
        <v>25</v>
      </c>
      <c r="AB323" s="1307">
        <f t="shared" si="24"/>
        <v>0</v>
      </c>
    </row>
    <row r="324" spans="20:28">
      <c r="T324" s="1077">
        <v>22</v>
      </c>
      <c r="U324" s="1077">
        <f t="shared" ref="U324:U387" si="25">100-T324-V324</f>
        <v>52</v>
      </c>
      <c r="V324" s="1077">
        <v>26</v>
      </c>
      <c r="W324" s="1077">
        <f t="array" ref="W324">SUMPRODUCT(IF('卡片raw data'!BM$1:BM$1000=T324,1,0),IF('卡片raw data'!BO$1:BO$1000=V324,1,0),IF(IF('卡片raw data'!C$1:C$1000=R$3,1,0)+IF(R$3="",1,0)&gt;=1,1,0),IF(IF('卡片raw data'!D$1:D$1000=R$4,1,0)+IF(R$4="",1,0)&gt;=1,1,0),IF(IF('卡片raw data'!E$1:E$1000=R$5,1,0)+IF(R$5="",1,0)&gt;=1,1,0))</f>
        <v>0</v>
      </c>
      <c r="Y324" s="1307">
        <f t="shared" ref="Y324:Y387" si="26">V324</f>
        <v>26</v>
      </c>
      <c r="Z324" s="1307">
        <f t="shared" ref="Z324:Z387" si="27">IF(AND(V324&gt;U324,V324&gt;T324),W324,0)</f>
        <v>0</v>
      </c>
      <c r="AA324" s="1307">
        <f t="shared" ref="AA324:AA387" si="28">V324</f>
        <v>26</v>
      </c>
      <c r="AB324" s="1307">
        <f t="shared" ref="AB324:AB387" si="29">W324-Z324</f>
        <v>0</v>
      </c>
    </row>
    <row r="325" spans="20:28">
      <c r="T325" s="1077">
        <v>22</v>
      </c>
      <c r="U325" s="1077">
        <f t="shared" si="25"/>
        <v>51</v>
      </c>
      <c r="V325" s="1077">
        <v>27</v>
      </c>
      <c r="W325" s="1077">
        <f t="array" ref="W325">SUMPRODUCT(IF('卡片raw data'!BM$1:BM$1000=T325,1,0),IF('卡片raw data'!BO$1:BO$1000=V325,1,0),IF(IF('卡片raw data'!C$1:C$1000=R$3,1,0)+IF(R$3="",1,0)&gt;=1,1,0),IF(IF('卡片raw data'!D$1:D$1000=R$4,1,0)+IF(R$4="",1,0)&gt;=1,1,0),IF(IF('卡片raw data'!E$1:E$1000=R$5,1,0)+IF(R$5="",1,0)&gt;=1,1,0))</f>
        <v>0</v>
      </c>
      <c r="Y325" s="1307">
        <f t="shared" si="26"/>
        <v>27</v>
      </c>
      <c r="Z325" s="1307">
        <f t="shared" si="27"/>
        <v>0</v>
      </c>
      <c r="AA325" s="1307">
        <f t="shared" si="28"/>
        <v>27</v>
      </c>
      <c r="AB325" s="1307">
        <f t="shared" si="29"/>
        <v>0</v>
      </c>
    </row>
    <row r="326" spans="20:28">
      <c r="T326" s="1077">
        <v>22</v>
      </c>
      <c r="U326" s="1077">
        <f t="shared" si="25"/>
        <v>50</v>
      </c>
      <c r="V326" s="1077">
        <v>28</v>
      </c>
      <c r="W326" s="1077">
        <f t="array" ref="W326">SUMPRODUCT(IF('卡片raw data'!BM$1:BM$1000=T326,1,0),IF('卡片raw data'!BO$1:BO$1000=V326,1,0),IF(IF('卡片raw data'!C$1:C$1000=R$3,1,0)+IF(R$3="",1,0)&gt;=1,1,0),IF(IF('卡片raw data'!D$1:D$1000=R$4,1,0)+IF(R$4="",1,0)&gt;=1,1,0),IF(IF('卡片raw data'!E$1:E$1000=R$5,1,0)+IF(R$5="",1,0)&gt;=1,1,0))</f>
        <v>0</v>
      </c>
      <c r="Y326" s="1307">
        <f t="shared" si="26"/>
        <v>28</v>
      </c>
      <c r="Z326" s="1307">
        <f t="shared" si="27"/>
        <v>0</v>
      </c>
      <c r="AA326" s="1307">
        <f t="shared" si="28"/>
        <v>28</v>
      </c>
      <c r="AB326" s="1307">
        <f t="shared" si="29"/>
        <v>0</v>
      </c>
    </row>
    <row r="327" spans="20:28">
      <c r="T327" s="1077">
        <v>22</v>
      </c>
      <c r="U327" s="1077">
        <f t="shared" si="25"/>
        <v>49</v>
      </c>
      <c r="V327" s="1077">
        <v>29</v>
      </c>
      <c r="W327" s="1077">
        <f t="array" ref="W327">SUMPRODUCT(IF('卡片raw data'!BM$1:BM$1000=T327,1,0),IF('卡片raw data'!BO$1:BO$1000=V327,1,0),IF(IF('卡片raw data'!C$1:C$1000=R$3,1,0)+IF(R$3="",1,0)&gt;=1,1,0),IF(IF('卡片raw data'!D$1:D$1000=R$4,1,0)+IF(R$4="",1,0)&gt;=1,1,0),IF(IF('卡片raw data'!E$1:E$1000=R$5,1,0)+IF(R$5="",1,0)&gt;=1,1,0))</f>
        <v>0</v>
      </c>
      <c r="Y327" s="1307">
        <f t="shared" si="26"/>
        <v>29</v>
      </c>
      <c r="Z327" s="1307">
        <f t="shared" si="27"/>
        <v>0</v>
      </c>
      <c r="AA327" s="1307">
        <f t="shared" si="28"/>
        <v>29</v>
      </c>
      <c r="AB327" s="1307">
        <f t="shared" si="29"/>
        <v>0</v>
      </c>
    </row>
    <row r="328" spans="20:28">
      <c r="T328" s="1077">
        <v>22</v>
      </c>
      <c r="U328" s="1077">
        <f t="shared" si="25"/>
        <v>48</v>
      </c>
      <c r="V328" s="1077">
        <v>30</v>
      </c>
      <c r="W328" s="1077">
        <f t="array" ref="W328">SUMPRODUCT(IF('卡片raw data'!BM$1:BM$1000=T328,1,0),IF('卡片raw data'!BO$1:BO$1000=V328,1,0),IF(IF('卡片raw data'!C$1:C$1000=R$3,1,0)+IF(R$3="",1,0)&gt;=1,1,0),IF(IF('卡片raw data'!D$1:D$1000=R$4,1,0)+IF(R$4="",1,0)&gt;=1,1,0),IF(IF('卡片raw data'!E$1:E$1000=R$5,1,0)+IF(R$5="",1,0)&gt;=1,1,0))</f>
        <v>3</v>
      </c>
      <c r="Y328" s="1307">
        <f t="shared" si="26"/>
        <v>30</v>
      </c>
      <c r="Z328" s="1307">
        <f t="shared" si="27"/>
        <v>0</v>
      </c>
      <c r="AA328" s="1307">
        <f t="shared" si="28"/>
        <v>30</v>
      </c>
      <c r="AB328" s="1307">
        <f t="shared" si="29"/>
        <v>3</v>
      </c>
    </row>
    <row r="329" spans="20:28">
      <c r="T329" s="1077">
        <v>22</v>
      </c>
      <c r="U329" s="1077">
        <f t="shared" si="25"/>
        <v>47</v>
      </c>
      <c r="V329" s="1077">
        <v>31</v>
      </c>
      <c r="W329" s="1077">
        <f t="array" ref="W329">SUMPRODUCT(IF('卡片raw data'!BM$1:BM$1000=T329,1,0),IF('卡片raw data'!BO$1:BO$1000=V329,1,0),IF(IF('卡片raw data'!C$1:C$1000=R$3,1,0)+IF(R$3="",1,0)&gt;=1,1,0),IF(IF('卡片raw data'!D$1:D$1000=R$4,1,0)+IF(R$4="",1,0)&gt;=1,1,0),IF(IF('卡片raw data'!E$1:E$1000=R$5,1,0)+IF(R$5="",1,0)&gt;=1,1,0))</f>
        <v>0</v>
      </c>
      <c r="Y329" s="1307">
        <f t="shared" si="26"/>
        <v>31</v>
      </c>
      <c r="Z329" s="1307">
        <f t="shared" si="27"/>
        <v>0</v>
      </c>
      <c r="AA329" s="1307">
        <f t="shared" si="28"/>
        <v>31</v>
      </c>
      <c r="AB329" s="1307">
        <f t="shared" si="29"/>
        <v>0</v>
      </c>
    </row>
    <row r="330" spans="20:28">
      <c r="T330" s="1077">
        <v>22</v>
      </c>
      <c r="U330" s="1077">
        <f t="shared" si="25"/>
        <v>46</v>
      </c>
      <c r="V330" s="1077">
        <v>32</v>
      </c>
      <c r="W330" s="1077">
        <f t="array" ref="W330">SUMPRODUCT(IF('卡片raw data'!BM$1:BM$1000=T330,1,0),IF('卡片raw data'!BO$1:BO$1000=V330,1,0),IF(IF('卡片raw data'!C$1:C$1000=R$3,1,0)+IF(R$3="",1,0)&gt;=1,1,0),IF(IF('卡片raw data'!D$1:D$1000=R$4,1,0)+IF(R$4="",1,0)&gt;=1,1,0),IF(IF('卡片raw data'!E$1:E$1000=R$5,1,0)+IF(R$5="",1,0)&gt;=1,1,0))</f>
        <v>0</v>
      </c>
      <c r="Y330" s="1307">
        <f t="shared" si="26"/>
        <v>32</v>
      </c>
      <c r="Z330" s="1307">
        <f t="shared" si="27"/>
        <v>0</v>
      </c>
      <c r="AA330" s="1307">
        <f t="shared" si="28"/>
        <v>32</v>
      </c>
      <c r="AB330" s="1307">
        <f t="shared" si="29"/>
        <v>0</v>
      </c>
    </row>
    <row r="331" spans="20:28">
      <c r="T331" s="1077">
        <v>22</v>
      </c>
      <c r="U331" s="1077">
        <f t="shared" si="25"/>
        <v>45</v>
      </c>
      <c r="V331" s="1077">
        <v>33</v>
      </c>
      <c r="W331" s="1077">
        <f t="array" ref="W331">SUMPRODUCT(IF('卡片raw data'!BM$1:BM$1000=T331,1,0),IF('卡片raw data'!BO$1:BO$1000=V331,1,0),IF(IF('卡片raw data'!C$1:C$1000=R$3,1,0)+IF(R$3="",1,0)&gt;=1,1,0),IF(IF('卡片raw data'!D$1:D$1000=R$4,1,0)+IF(R$4="",1,0)&gt;=1,1,0),IF(IF('卡片raw data'!E$1:E$1000=R$5,1,0)+IF(R$5="",1,0)&gt;=1,1,0))</f>
        <v>3</v>
      </c>
      <c r="Y331" s="1307">
        <f t="shared" si="26"/>
        <v>33</v>
      </c>
      <c r="Z331" s="1307">
        <f t="shared" si="27"/>
        <v>0</v>
      </c>
      <c r="AA331" s="1307">
        <f t="shared" si="28"/>
        <v>33</v>
      </c>
      <c r="AB331" s="1307">
        <f t="shared" si="29"/>
        <v>3</v>
      </c>
    </row>
    <row r="332" spans="20:28">
      <c r="T332" s="1077">
        <v>22</v>
      </c>
      <c r="U332" s="1077">
        <f t="shared" si="25"/>
        <v>44</v>
      </c>
      <c r="V332" s="1077">
        <v>34</v>
      </c>
      <c r="W332" s="1077">
        <f t="array" ref="W332">SUMPRODUCT(IF('卡片raw data'!BM$1:BM$1000=T332,1,0),IF('卡片raw data'!BO$1:BO$1000=V332,1,0),IF(IF('卡片raw data'!C$1:C$1000=R$3,1,0)+IF(R$3="",1,0)&gt;=1,1,0),IF(IF('卡片raw data'!D$1:D$1000=R$4,1,0)+IF(R$4="",1,0)&gt;=1,1,0),IF(IF('卡片raw data'!E$1:E$1000=R$5,1,0)+IF(R$5="",1,0)&gt;=1,1,0))</f>
        <v>0</v>
      </c>
      <c r="Y332" s="1307">
        <f t="shared" si="26"/>
        <v>34</v>
      </c>
      <c r="Z332" s="1307">
        <f t="shared" si="27"/>
        <v>0</v>
      </c>
      <c r="AA332" s="1307">
        <f t="shared" si="28"/>
        <v>34</v>
      </c>
      <c r="AB332" s="1307">
        <f t="shared" si="29"/>
        <v>0</v>
      </c>
    </row>
    <row r="333" spans="20:28">
      <c r="T333" s="1077">
        <v>22</v>
      </c>
      <c r="U333" s="1077">
        <f t="shared" si="25"/>
        <v>43</v>
      </c>
      <c r="V333" s="1077">
        <v>35</v>
      </c>
      <c r="W333" s="1077">
        <f t="array" ref="W333">SUMPRODUCT(IF('卡片raw data'!BM$1:BM$1000=T333,1,0),IF('卡片raw data'!BO$1:BO$1000=V333,1,0),IF(IF('卡片raw data'!C$1:C$1000=R$3,1,0)+IF(R$3="",1,0)&gt;=1,1,0),IF(IF('卡片raw data'!D$1:D$1000=R$4,1,0)+IF(R$4="",1,0)&gt;=1,1,0),IF(IF('卡片raw data'!E$1:E$1000=R$5,1,0)+IF(R$5="",1,0)&gt;=1,1,0))</f>
        <v>0</v>
      </c>
      <c r="Y333" s="1307">
        <f t="shared" si="26"/>
        <v>35</v>
      </c>
      <c r="Z333" s="1307">
        <f t="shared" si="27"/>
        <v>0</v>
      </c>
      <c r="AA333" s="1307">
        <f t="shared" si="28"/>
        <v>35</v>
      </c>
      <c r="AB333" s="1307">
        <f t="shared" si="29"/>
        <v>0</v>
      </c>
    </row>
    <row r="334" spans="20:28">
      <c r="T334" s="1077">
        <v>22</v>
      </c>
      <c r="U334" s="1077">
        <f t="shared" si="25"/>
        <v>42</v>
      </c>
      <c r="V334" s="1077">
        <v>36</v>
      </c>
      <c r="W334" s="1077">
        <f t="array" ref="W334">SUMPRODUCT(IF('卡片raw data'!BM$1:BM$1000=T334,1,0),IF('卡片raw data'!BO$1:BO$1000=V334,1,0),IF(IF('卡片raw data'!C$1:C$1000=R$3,1,0)+IF(R$3="",1,0)&gt;=1,1,0),IF(IF('卡片raw data'!D$1:D$1000=R$4,1,0)+IF(R$4="",1,0)&gt;=1,1,0),IF(IF('卡片raw data'!E$1:E$1000=R$5,1,0)+IF(R$5="",1,0)&gt;=1,1,0))</f>
        <v>0</v>
      </c>
      <c r="Y334" s="1307">
        <f t="shared" si="26"/>
        <v>36</v>
      </c>
      <c r="Z334" s="1307">
        <f t="shared" si="27"/>
        <v>0</v>
      </c>
      <c r="AA334" s="1307">
        <f t="shared" si="28"/>
        <v>36</v>
      </c>
      <c r="AB334" s="1307">
        <f t="shared" si="29"/>
        <v>0</v>
      </c>
    </row>
    <row r="335" spans="20:28">
      <c r="T335" s="1077">
        <v>22</v>
      </c>
      <c r="U335" s="1077">
        <f t="shared" si="25"/>
        <v>41</v>
      </c>
      <c r="V335" s="1077">
        <v>37</v>
      </c>
      <c r="W335" s="1077">
        <f t="array" ref="W335">SUMPRODUCT(IF('卡片raw data'!BM$1:BM$1000=T335,1,0),IF('卡片raw data'!BO$1:BO$1000=V335,1,0),IF(IF('卡片raw data'!C$1:C$1000=R$3,1,0)+IF(R$3="",1,0)&gt;=1,1,0),IF(IF('卡片raw data'!D$1:D$1000=R$4,1,0)+IF(R$4="",1,0)&gt;=1,1,0),IF(IF('卡片raw data'!E$1:E$1000=R$5,1,0)+IF(R$5="",1,0)&gt;=1,1,0))</f>
        <v>0</v>
      </c>
      <c r="Y335" s="1307">
        <f t="shared" si="26"/>
        <v>37</v>
      </c>
      <c r="Z335" s="1307">
        <f t="shared" si="27"/>
        <v>0</v>
      </c>
      <c r="AA335" s="1307">
        <f t="shared" si="28"/>
        <v>37</v>
      </c>
      <c r="AB335" s="1307">
        <f t="shared" si="29"/>
        <v>0</v>
      </c>
    </row>
    <row r="336" spans="20:28">
      <c r="T336" s="1077">
        <v>22</v>
      </c>
      <c r="U336" s="1077">
        <f t="shared" si="25"/>
        <v>40</v>
      </c>
      <c r="V336" s="1077">
        <v>38</v>
      </c>
      <c r="W336" s="1077">
        <f t="array" ref="W336">SUMPRODUCT(IF('卡片raw data'!BM$1:BM$1000=T336,1,0),IF('卡片raw data'!BO$1:BO$1000=V336,1,0),IF(IF('卡片raw data'!C$1:C$1000=R$3,1,0)+IF(R$3="",1,0)&gt;=1,1,0),IF(IF('卡片raw data'!D$1:D$1000=R$4,1,0)+IF(R$4="",1,0)&gt;=1,1,0),IF(IF('卡片raw data'!E$1:E$1000=R$5,1,0)+IF(R$5="",1,0)&gt;=1,1,0))</f>
        <v>0</v>
      </c>
      <c r="Y336" s="1307">
        <f t="shared" si="26"/>
        <v>38</v>
      </c>
      <c r="Z336" s="1307">
        <f t="shared" si="27"/>
        <v>0</v>
      </c>
      <c r="AA336" s="1307">
        <f t="shared" si="28"/>
        <v>38</v>
      </c>
      <c r="AB336" s="1307">
        <f t="shared" si="29"/>
        <v>0</v>
      </c>
    </row>
    <row r="337" spans="20:28">
      <c r="T337" s="1077">
        <v>22</v>
      </c>
      <c r="U337" s="1077">
        <f t="shared" si="25"/>
        <v>39</v>
      </c>
      <c r="V337" s="1077">
        <v>39</v>
      </c>
      <c r="W337" s="1077">
        <f t="array" ref="W337">SUMPRODUCT(IF('卡片raw data'!BM$1:BM$1000=T337,1,0),IF('卡片raw data'!BO$1:BO$1000=V337,1,0),IF(IF('卡片raw data'!C$1:C$1000=R$3,1,0)+IF(R$3="",1,0)&gt;=1,1,0),IF(IF('卡片raw data'!D$1:D$1000=R$4,1,0)+IF(R$4="",1,0)&gt;=1,1,0),IF(IF('卡片raw data'!E$1:E$1000=R$5,1,0)+IF(R$5="",1,0)&gt;=1,1,0))</f>
        <v>0</v>
      </c>
      <c r="Y337" s="1307">
        <f t="shared" si="26"/>
        <v>39</v>
      </c>
      <c r="Z337" s="1307">
        <f t="shared" si="27"/>
        <v>0</v>
      </c>
      <c r="AA337" s="1307">
        <f t="shared" si="28"/>
        <v>39</v>
      </c>
      <c r="AB337" s="1307">
        <f t="shared" si="29"/>
        <v>0</v>
      </c>
    </row>
    <row r="338" spans="20:28">
      <c r="T338" s="1077">
        <v>22</v>
      </c>
      <c r="U338" s="1077">
        <f t="shared" si="25"/>
        <v>38</v>
      </c>
      <c r="V338" s="1077">
        <v>40</v>
      </c>
      <c r="W338" s="1077">
        <f t="array" ref="W338">SUMPRODUCT(IF('卡片raw data'!BM$1:BM$1000=T338,1,0),IF('卡片raw data'!BO$1:BO$1000=V338,1,0),IF(IF('卡片raw data'!C$1:C$1000=R$3,1,0)+IF(R$3="",1,0)&gt;=1,1,0),IF(IF('卡片raw data'!D$1:D$1000=R$4,1,0)+IF(R$4="",1,0)&gt;=1,1,0),IF(IF('卡片raw data'!E$1:E$1000=R$5,1,0)+IF(R$5="",1,0)&gt;=1,1,0))</f>
        <v>0</v>
      </c>
      <c r="Y338" s="1307">
        <f t="shared" si="26"/>
        <v>40</v>
      </c>
      <c r="Z338" s="1307">
        <f t="shared" si="27"/>
        <v>0</v>
      </c>
      <c r="AA338" s="1307">
        <f t="shared" si="28"/>
        <v>40</v>
      </c>
      <c r="AB338" s="1307">
        <f t="shared" si="29"/>
        <v>0</v>
      </c>
    </row>
    <row r="339" spans="20:28">
      <c r="T339" s="1077">
        <v>22</v>
      </c>
      <c r="U339" s="1077">
        <f t="shared" si="25"/>
        <v>37</v>
      </c>
      <c r="V339" s="1077">
        <v>41</v>
      </c>
      <c r="W339" s="1077">
        <f t="array" ref="W339">SUMPRODUCT(IF('卡片raw data'!BM$1:BM$1000=T339,1,0),IF('卡片raw data'!BO$1:BO$1000=V339,1,0),IF(IF('卡片raw data'!C$1:C$1000=R$3,1,0)+IF(R$3="",1,0)&gt;=1,1,0),IF(IF('卡片raw data'!D$1:D$1000=R$4,1,0)+IF(R$4="",1,0)&gt;=1,1,0),IF(IF('卡片raw data'!E$1:E$1000=R$5,1,0)+IF(R$5="",1,0)&gt;=1,1,0))</f>
        <v>0</v>
      </c>
      <c r="Y339" s="1307">
        <f t="shared" si="26"/>
        <v>41</v>
      </c>
      <c r="Z339" s="1307">
        <f t="shared" si="27"/>
        <v>0</v>
      </c>
      <c r="AA339" s="1307">
        <f t="shared" si="28"/>
        <v>41</v>
      </c>
      <c r="AB339" s="1307">
        <f t="shared" si="29"/>
        <v>0</v>
      </c>
    </row>
    <row r="340" spans="20:28">
      <c r="T340" s="1077">
        <v>22</v>
      </c>
      <c r="U340" s="1077">
        <f t="shared" si="25"/>
        <v>36</v>
      </c>
      <c r="V340" s="1077">
        <v>42</v>
      </c>
      <c r="W340" s="1077">
        <f t="array" ref="W340">SUMPRODUCT(IF('卡片raw data'!BM$1:BM$1000=T340,1,0),IF('卡片raw data'!BO$1:BO$1000=V340,1,0),IF(IF('卡片raw data'!C$1:C$1000=R$3,1,0)+IF(R$3="",1,0)&gt;=1,1,0),IF(IF('卡片raw data'!D$1:D$1000=R$4,1,0)+IF(R$4="",1,0)&gt;=1,1,0),IF(IF('卡片raw data'!E$1:E$1000=R$5,1,0)+IF(R$5="",1,0)&gt;=1,1,0))</f>
        <v>0</v>
      </c>
      <c r="Y340" s="1307">
        <f t="shared" si="26"/>
        <v>42</v>
      </c>
      <c r="Z340" s="1307">
        <f t="shared" si="27"/>
        <v>0</v>
      </c>
      <c r="AA340" s="1307">
        <f t="shared" si="28"/>
        <v>42</v>
      </c>
      <c r="AB340" s="1307">
        <f t="shared" si="29"/>
        <v>0</v>
      </c>
    </row>
    <row r="341" spans="20:28">
      <c r="T341" s="1077">
        <v>22</v>
      </c>
      <c r="U341" s="1077">
        <f t="shared" si="25"/>
        <v>35</v>
      </c>
      <c r="V341" s="1077">
        <v>43</v>
      </c>
      <c r="W341" s="1077">
        <f t="array" ref="W341">SUMPRODUCT(IF('卡片raw data'!BM$1:BM$1000=T341,1,0),IF('卡片raw data'!BO$1:BO$1000=V341,1,0),IF(IF('卡片raw data'!C$1:C$1000=R$3,1,0)+IF(R$3="",1,0)&gt;=1,1,0),IF(IF('卡片raw data'!D$1:D$1000=R$4,1,0)+IF(R$4="",1,0)&gt;=1,1,0),IF(IF('卡片raw data'!E$1:E$1000=R$5,1,0)+IF(R$5="",1,0)&gt;=1,1,0))</f>
        <v>0</v>
      </c>
      <c r="Y341" s="1307">
        <f t="shared" si="26"/>
        <v>43</v>
      </c>
      <c r="Z341" s="1307">
        <f t="shared" si="27"/>
        <v>0</v>
      </c>
      <c r="AA341" s="1307">
        <f t="shared" si="28"/>
        <v>43</v>
      </c>
      <c r="AB341" s="1307">
        <f t="shared" si="29"/>
        <v>0</v>
      </c>
    </row>
    <row r="342" spans="20:28">
      <c r="T342" s="1077">
        <v>22</v>
      </c>
      <c r="U342" s="1077">
        <f t="shared" si="25"/>
        <v>34</v>
      </c>
      <c r="V342" s="1077">
        <v>44</v>
      </c>
      <c r="W342" s="1077">
        <f t="array" ref="W342">SUMPRODUCT(IF('卡片raw data'!BM$1:BM$1000=T342,1,0),IF('卡片raw data'!BO$1:BO$1000=V342,1,0),IF(IF('卡片raw data'!C$1:C$1000=R$3,1,0)+IF(R$3="",1,0)&gt;=1,1,0),IF(IF('卡片raw data'!D$1:D$1000=R$4,1,0)+IF(R$4="",1,0)&gt;=1,1,0),IF(IF('卡片raw data'!E$1:E$1000=R$5,1,0)+IF(R$5="",1,0)&gt;=1,1,0))</f>
        <v>0</v>
      </c>
      <c r="Y342" s="1307">
        <f t="shared" si="26"/>
        <v>44</v>
      </c>
      <c r="Z342" s="1307">
        <f t="shared" si="27"/>
        <v>0</v>
      </c>
      <c r="AA342" s="1307">
        <f t="shared" si="28"/>
        <v>44</v>
      </c>
      <c r="AB342" s="1307">
        <f t="shared" si="29"/>
        <v>0</v>
      </c>
    </row>
    <row r="343" spans="20:28">
      <c r="T343" s="1077">
        <v>22</v>
      </c>
      <c r="U343" s="1077">
        <f t="shared" si="25"/>
        <v>33</v>
      </c>
      <c r="V343" s="1077">
        <v>45</v>
      </c>
      <c r="W343" s="1077">
        <f t="array" ref="W343">SUMPRODUCT(IF('卡片raw data'!BM$1:BM$1000=T343,1,0),IF('卡片raw data'!BO$1:BO$1000=V343,1,0),IF(IF('卡片raw data'!C$1:C$1000=R$3,1,0)+IF(R$3="",1,0)&gt;=1,1,0),IF(IF('卡片raw data'!D$1:D$1000=R$4,1,0)+IF(R$4="",1,0)&gt;=1,1,0),IF(IF('卡片raw data'!E$1:E$1000=R$5,1,0)+IF(R$5="",1,0)&gt;=1,1,0))</f>
        <v>0</v>
      </c>
      <c r="Y343" s="1307">
        <f t="shared" si="26"/>
        <v>45</v>
      </c>
      <c r="Z343" s="1307">
        <f t="shared" si="27"/>
        <v>0</v>
      </c>
      <c r="AA343" s="1307">
        <f t="shared" si="28"/>
        <v>45</v>
      </c>
      <c r="AB343" s="1307">
        <f t="shared" si="29"/>
        <v>0</v>
      </c>
    </row>
    <row r="344" spans="20:28">
      <c r="T344" s="1077">
        <v>22</v>
      </c>
      <c r="U344" s="1077">
        <f t="shared" si="25"/>
        <v>32</v>
      </c>
      <c r="V344" s="1077">
        <v>46</v>
      </c>
      <c r="W344" s="1077">
        <f t="array" ref="W344">SUMPRODUCT(IF('卡片raw data'!BM$1:BM$1000=T344,1,0),IF('卡片raw data'!BO$1:BO$1000=V344,1,0),IF(IF('卡片raw data'!C$1:C$1000=R$3,1,0)+IF(R$3="",1,0)&gt;=1,1,0),IF(IF('卡片raw data'!D$1:D$1000=R$4,1,0)+IF(R$4="",1,0)&gt;=1,1,0),IF(IF('卡片raw data'!E$1:E$1000=R$5,1,0)+IF(R$5="",1,0)&gt;=1,1,0))</f>
        <v>0</v>
      </c>
      <c r="Y344" s="1307">
        <f t="shared" si="26"/>
        <v>46</v>
      </c>
      <c r="Z344" s="1307">
        <f t="shared" si="27"/>
        <v>0</v>
      </c>
      <c r="AA344" s="1307">
        <f t="shared" si="28"/>
        <v>46</v>
      </c>
      <c r="AB344" s="1307">
        <f t="shared" si="29"/>
        <v>0</v>
      </c>
    </row>
    <row r="345" spans="20:28">
      <c r="T345" s="1077">
        <v>22</v>
      </c>
      <c r="U345" s="1077">
        <f t="shared" si="25"/>
        <v>31</v>
      </c>
      <c r="V345" s="1077">
        <v>47</v>
      </c>
      <c r="W345" s="1077">
        <f t="array" ref="W345">SUMPRODUCT(IF('卡片raw data'!BM$1:BM$1000=T345,1,0),IF('卡片raw data'!BO$1:BO$1000=V345,1,0),IF(IF('卡片raw data'!C$1:C$1000=R$3,1,0)+IF(R$3="",1,0)&gt;=1,1,0),IF(IF('卡片raw data'!D$1:D$1000=R$4,1,0)+IF(R$4="",1,0)&gt;=1,1,0),IF(IF('卡片raw data'!E$1:E$1000=R$5,1,0)+IF(R$5="",1,0)&gt;=1,1,0))</f>
        <v>0</v>
      </c>
      <c r="Y345" s="1307">
        <f t="shared" si="26"/>
        <v>47</v>
      </c>
      <c r="Z345" s="1307">
        <f t="shared" si="27"/>
        <v>0</v>
      </c>
      <c r="AA345" s="1307">
        <f t="shared" si="28"/>
        <v>47</v>
      </c>
      <c r="AB345" s="1307">
        <f t="shared" si="29"/>
        <v>0</v>
      </c>
    </row>
    <row r="346" spans="20:28">
      <c r="T346" s="1077">
        <v>22</v>
      </c>
      <c r="U346" s="1077">
        <f t="shared" si="25"/>
        <v>30</v>
      </c>
      <c r="V346" s="1077">
        <v>48</v>
      </c>
      <c r="W346" s="1077">
        <f t="array" ref="W346">SUMPRODUCT(IF('卡片raw data'!BM$1:BM$1000=T346,1,0),IF('卡片raw data'!BO$1:BO$1000=V346,1,0),IF(IF('卡片raw data'!C$1:C$1000=R$3,1,0)+IF(R$3="",1,0)&gt;=1,1,0),IF(IF('卡片raw data'!D$1:D$1000=R$4,1,0)+IF(R$4="",1,0)&gt;=1,1,0),IF(IF('卡片raw data'!E$1:E$1000=R$5,1,0)+IF(R$5="",1,0)&gt;=1,1,0))</f>
        <v>0</v>
      </c>
      <c r="Y346" s="1307">
        <f t="shared" si="26"/>
        <v>48</v>
      </c>
      <c r="Z346" s="1307">
        <f t="shared" si="27"/>
        <v>0</v>
      </c>
      <c r="AA346" s="1307">
        <f t="shared" si="28"/>
        <v>48</v>
      </c>
      <c r="AB346" s="1307">
        <f t="shared" si="29"/>
        <v>0</v>
      </c>
    </row>
    <row r="347" spans="20:28">
      <c r="T347" s="1077">
        <v>22</v>
      </c>
      <c r="U347" s="1077">
        <f t="shared" si="25"/>
        <v>29</v>
      </c>
      <c r="V347" s="1077">
        <v>49</v>
      </c>
      <c r="W347" s="1077">
        <f t="array" ref="W347">SUMPRODUCT(IF('卡片raw data'!BM$1:BM$1000=T347,1,0),IF('卡片raw data'!BO$1:BO$1000=V347,1,0),IF(IF('卡片raw data'!C$1:C$1000=R$3,1,0)+IF(R$3="",1,0)&gt;=1,1,0),IF(IF('卡片raw data'!D$1:D$1000=R$4,1,0)+IF(R$4="",1,0)&gt;=1,1,0),IF(IF('卡片raw data'!E$1:E$1000=R$5,1,0)+IF(R$5="",1,0)&gt;=1,1,0))</f>
        <v>0</v>
      </c>
      <c r="Y347" s="1307">
        <f t="shared" si="26"/>
        <v>49</v>
      </c>
      <c r="Z347" s="1307">
        <f t="shared" si="27"/>
        <v>0</v>
      </c>
      <c r="AA347" s="1307">
        <f t="shared" si="28"/>
        <v>49</v>
      </c>
      <c r="AB347" s="1307">
        <f t="shared" si="29"/>
        <v>0</v>
      </c>
    </row>
    <row r="348" spans="20:28">
      <c r="T348" s="1077">
        <v>22</v>
      </c>
      <c r="U348" s="1077">
        <f t="shared" si="25"/>
        <v>28</v>
      </c>
      <c r="V348" s="1077">
        <v>50</v>
      </c>
      <c r="W348" s="1077">
        <f t="array" ref="W348">SUMPRODUCT(IF('卡片raw data'!BM$1:BM$1000=T348,1,0),IF('卡片raw data'!BO$1:BO$1000=V348,1,0),IF(IF('卡片raw data'!C$1:C$1000=R$3,1,0)+IF(R$3="",1,0)&gt;=1,1,0),IF(IF('卡片raw data'!D$1:D$1000=R$4,1,0)+IF(R$4="",1,0)&gt;=1,1,0),IF(IF('卡片raw data'!E$1:E$1000=R$5,1,0)+IF(R$5="",1,0)&gt;=1,1,0))</f>
        <v>0</v>
      </c>
      <c r="Y348" s="1307">
        <f t="shared" si="26"/>
        <v>50</v>
      </c>
      <c r="Z348" s="1307">
        <f t="shared" si="27"/>
        <v>0</v>
      </c>
      <c r="AA348" s="1307">
        <f t="shared" si="28"/>
        <v>50</v>
      </c>
      <c r="AB348" s="1307">
        <f t="shared" si="29"/>
        <v>0</v>
      </c>
    </row>
    <row r="349" spans="20:28">
      <c r="T349" s="1077">
        <v>22</v>
      </c>
      <c r="U349" s="1077">
        <f t="shared" si="25"/>
        <v>27</v>
      </c>
      <c r="V349" s="1077">
        <v>51</v>
      </c>
      <c r="W349" s="1077">
        <f t="array" ref="W349">SUMPRODUCT(IF('卡片raw data'!BM$1:BM$1000=T349,1,0),IF('卡片raw data'!BO$1:BO$1000=V349,1,0),IF(IF('卡片raw data'!C$1:C$1000=R$3,1,0)+IF(R$3="",1,0)&gt;=1,1,0),IF(IF('卡片raw data'!D$1:D$1000=R$4,1,0)+IF(R$4="",1,0)&gt;=1,1,0),IF(IF('卡片raw data'!E$1:E$1000=R$5,1,0)+IF(R$5="",1,0)&gt;=1,1,0))</f>
        <v>0</v>
      </c>
      <c r="Y349" s="1307">
        <f t="shared" si="26"/>
        <v>51</v>
      </c>
      <c r="Z349" s="1307">
        <f t="shared" si="27"/>
        <v>0</v>
      </c>
      <c r="AA349" s="1307">
        <f t="shared" si="28"/>
        <v>51</v>
      </c>
      <c r="AB349" s="1307">
        <f t="shared" si="29"/>
        <v>0</v>
      </c>
    </row>
    <row r="350" spans="20:28">
      <c r="T350" s="1077">
        <v>22</v>
      </c>
      <c r="U350" s="1077">
        <f t="shared" si="25"/>
        <v>26</v>
      </c>
      <c r="V350" s="1077">
        <v>52</v>
      </c>
      <c r="W350" s="1077">
        <f t="array" ref="W350">SUMPRODUCT(IF('卡片raw data'!BM$1:BM$1000=T350,1,0),IF('卡片raw data'!BO$1:BO$1000=V350,1,0),IF(IF('卡片raw data'!C$1:C$1000=R$3,1,0)+IF(R$3="",1,0)&gt;=1,1,0),IF(IF('卡片raw data'!D$1:D$1000=R$4,1,0)+IF(R$4="",1,0)&gt;=1,1,0),IF(IF('卡片raw data'!E$1:E$1000=R$5,1,0)+IF(R$5="",1,0)&gt;=1,1,0))</f>
        <v>0</v>
      </c>
      <c r="Y350" s="1307">
        <f t="shared" si="26"/>
        <v>52</v>
      </c>
      <c r="Z350" s="1307">
        <f t="shared" si="27"/>
        <v>0</v>
      </c>
      <c r="AA350" s="1307">
        <f t="shared" si="28"/>
        <v>52</v>
      </c>
      <c r="AB350" s="1307">
        <f t="shared" si="29"/>
        <v>0</v>
      </c>
    </row>
    <row r="351" spans="20:28">
      <c r="T351" s="1077">
        <v>22</v>
      </c>
      <c r="U351" s="1077">
        <f t="shared" si="25"/>
        <v>25</v>
      </c>
      <c r="V351" s="1077">
        <v>53</v>
      </c>
      <c r="W351" s="1077">
        <f t="array" ref="W351">SUMPRODUCT(IF('卡片raw data'!BM$1:BM$1000=T351,1,0),IF('卡片raw data'!BO$1:BO$1000=V351,1,0),IF(IF('卡片raw data'!C$1:C$1000=R$3,1,0)+IF(R$3="",1,0)&gt;=1,1,0),IF(IF('卡片raw data'!D$1:D$1000=R$4,1,0)+IF(R$4="",1,0)&gt;=1,1,0),IF(IF('卡片raw data'!E$1:E$1000=R$5,1,0)+IF(R$5="",1,0)&gt;=1,1,0))</f>
        <v>0</v>
      </c>
      <c r="Y351" s="1307">
        <f t="shared" si="26"/>
        <v>53</v>
      </c>
      <c r="Z351" s="1307">
        <f t="shared" si="27"/>
        <v>0</v>
      </c>
      <c r="AA351" s="1307">
        <f t="shared" si="28"/>
        <v>53</v>
      </c>
      <c r="AB351" s="1307">
        <f t="shared" si="29"/>
        <v>0</v>
      </c>
    </row>
    <row r="352" spans="20:28">
      <c r="T352" s="1077">
        <v>22</v>
      </c>
      <c r="U352" s="1077">
        <f t="shared" si="25"/>
        <v>24</v>
      </c>
      <c r="V352" s="1077">
        <v>54</v>
      </c>
      <c r="W352" s="1077">
        <f t="array" ref="W352">SUMPRODUCT(IF('卡片raw data'!BM$1:BM$1000=T352,1,0),IF('卡片raw data'!BO$1:BO$1000=V352,1,0),IF(IF('卡片raw data'!C$1:C$1000=R$3,1,0)+IF(R$3="",1,0)&gt;=1,1,0),IF(IF('卡片raw data'!D$1:D$1000=R$4,1,0)+IF(R$4="",1,0)&gt;=1,1,0),IF(IF('卡片raw data'!E$1:E$1000=R$5,1,0)+IF(R$5="",1,0)&gt;=1,1,0))</f>
        <v>0</v>
      </c>
      <c r="Y352" s="1307">
        <f t="shared" si="26"/>
        <v>54</v>
      </c>
      <c r="Z352" s="1307">
        <f t="shared" si="27"/>
        <v>0</v>
      </c>
      <c r="AA352" s="1307">
        <f t="shared" si="28"/>
        <v>54</v>
      </c>
      <c r="AB352" s="1307">
        <f t="shared" si="29"/>
        <v>0</v>
      </c>
    </row>
    <row r="353" spans="20:28">
      <c r="T353" s="1077">
        <v>22</v>
      </c>
      <c r="U353" s="1077">
        <f t="shared" si="25"/>
        <v>23</v>
      </c>
      <c r="V353" s="1077">
        <v>55</v>
      </c>
      <c r="W353" s="1077">
        <f t="array" ref="W353">SUMPRODUCT(IF('卡片raw data'!BM$1:BM$1000=T353,1,0),IF('卡片raw data'!BO$1:BO$1000=V353,1,0),IF(IF('卡片raw data'!C$1:C$1000=R$3,1,0)+IF(R$3="",1,0)&gt;=1,1,0),IF(IF('卡片raw data'!D$1:D$1000=R$4,1,0)+IF(R$4="",1,0)&gt;=1,1,0),IF(IF('卡片raw data'!E$1:E$1000=R$5,1,0)+IF(R$5="",1,0)&gt;=1,1,0))</f>
        <v>0</v>
      </c>
      <c r="Y353" s="1307">
        <f t="shared" si="26"/>
        <v>55</v>
      </c>
      <c r="Z353" s="1307">
        <f t="shared" si="27"/>
        <v>0</v>
      </c>
      <c r="AA353" s="1307">
        <f t="shared" si="28"/>
        <v>55</v>
      </c>
      <c r="AB353" s="1307">
        <f t="shared" si="29"/>
        <v>0</v>
      </c>
    </row>
    <row r="354" spans="20:28">
      <c r="T354" s="1077">
        <v>23</v>
      </c>
      <c r="U354" s="1077">
        <f t="shared" si="25"/>
        <v>55</v>
      </c>
      <c r="V354" s="1077">
        <v>22</v>
      </c>
      <c r="W354" s="1077">
        <f t="array" ref="W354">SUMPRODUCT(IF('卡片raw data'!BM$1:BM$1000=T354,1,0),IF('卡片raw data'!BO$1:BO$1000=V354,1,0),IF(IF('卡片raw data'!C$1:C$1000=R$3,1,0)+IF(R$3="",1,0)&gt;=1,1,0),IF(IF('卡片raw data'!D$1:D$1000=R$4,1,0)+IF(R$4="",1,0)&gt;=1,1,0),IF(IF('卡片raw data'!E$1:E$1000=R$5,1,0)+IF(R$5="",1,0)&gt;=1,1,0))</f>
        <v>0</v>
      </c>
      <c r="Y354" s="1307">
        <f t="shared" si="26"/>
        <v>22</v>
      </c>
      <c r="Z354" s="1307">
        <f t="shared" si="27"/>
        <v>0</v>
      </c>
      <c r="AA354" s="1307">
        <f t="shared" si="28"/>
        <v>22</v>
      </c>
      <c r="AB354" s="1307">
        <f t="shared" si="29"/>
        <v>0</v>
      </c>
    </row>
    <row r="355" spans="20:28">
      <c r="T355" s="1077">
        <v>23</v>
      </c>
      <c r="U355" s="1077">
        <f t="shared" si="25"/>
        <v>54</v>
      </c>
      <c r="V355" s="1077">
        <v>23</v>
      </c>
      <c r="W355" s="1077">
        <f t="array" ref="W355">SUMPRODUCT(IF('卡片raw data'!BM$1:BM$1000=T355,1,0),IF('卡片raw data'!BO$1:BO$1000=V355,1,0),IF(IF('卡片raw data'!C$1:C$1000=R$3,1,0)+IF(R$3="",1,0)&gt;=1,1,0),IF(IF('卡片raw data'!D$1:D$1000=R$4,1,0)+IF(R$4="",1,0)&gt;=1,1,0),IF(IF('卡片raw data'!E$1:E$1000=R$5,1,0)+IF(R$5="",1,0)&gt;=1,1,0))</f>
        <v>0</v>
      </c>
      <c r="Y355" s="1307">
        <f t="shared" si="26"/>
        <v>23</v>
      </c>
      <c r="Z355" s="1307">
        <f t="shared" si="27"/>
        <v>0</v>
      </c>
      <c r="AA355" s="1307">
        <f t="shared" si="28"/>
        <v>23</v>
      </c>
      <c r="AB355" s="1307">
        <f t="shared" si="29"/>
        <v>0</v>
      </c>
    </row>
    <row r="356" spans="20:28">
      <c r="T356" s="1077">
        <v>23</v>
      </c>
      <c r="U356" s="1077">
        <f t="shared" si="25"/>
        <v>53</v>
      </c>
      <c r="V356" s="1077">
        <v>24</v>
      </c>
      <c r="W356" s="1077">
        <f t="array" ref="W356">SUMPRODUCT(IF('卡片raw data'!BM$1:BM$1000=T356,1,0),IF('卡片raw data'!BO$1:BO$1000=V356,1,0),IF(IF('卡片raw data'!C$1:C$1000=R$3,1,0)+IF(R$3="",1,0)&gt;=1,1,0),IF(IF('卡片raw data'!D$1:D$1000=R$4,1,0)+IF(R$4="",1,0)&gt;=1,1,0),IF(IF('卡片raw data'!E$1:E$1000=R$5,1,0)+IF(R$5="",1,0)&gt;=1,1,0))</f>
        <v>0</v>
      </c>
      <c r="Y356" s="1307">
        <f t="shared" si="26"/>
        <v>24</v>
      </c>
      <c r="Z356" s="1307">
        <f t="shared" si="27"/>
        <v>0</v>
      </c>
      <c r="AA356" s="1307">
        <f t="shared" si="28"/>
        <v>24</v>
      </c>
      <c r="AB356" s="1307">
        <f t="shared" si="29"/>
        <v>0</v>
      </c>
    </row>
    <row r="357" spans="20:28">
      <c r="T357" s="1077">
        <v>23</v>
      </c>
      <c r="U357" s="1077">
        <f t="shared" si="25"/>
        <v>52</v>
      </c>
      <c r="V357" s="1077">
        <v>25</v>
      </c>
      <c r="W357" s="1077">
        <f t="array" ref="W357">SUMPRODUCT(IF('卡片raw data'!BM$1:BM$1000=T357,1,0),IF('卡片raw data'!BO$1:BO$1000=V357,1,0),IF(IF('卡片raw data'!C$1:C$1000=R$3,1,0)+IF(R$3="",1,0)&gt;=1,1,0),IF(IF('卡片raw data'!D$1:D$1000=R$4,1,0)+IF(R$4="",1,0)&gt;=1,1,0),IF(IF('卡片raw data'!E$1:E$1000=R$5,1,0)+IF(R$5="",1,0)&gt;=1,1,0))</f>
        <v>0</v>
      </c>
      <c r="Y357" s="1307">
        <f t="shared" si="26"/>
        <v>25</v>
      </c>
      <c r="Z357" s="1307">
        <f t="shared" si="27"/>
        <v>0</v>
      </c>
      <c r="AA357" s="1307">
        <f t="shared" si="28"/>
        <v>25</v>
      </c>
      <c r="AB357" s="1307">
        <f t="shared" si="29"/>
        <v>0</v>
      </c>
    </row>
    <row r="358" spans="20:28">
      <c r="T358" s="1077">
        <v>23</v>
      </c>
      <c r="U358" s="1077">
        <f t="shared" si="25"/>
        <v>51</v>
      </c>
      <c r="V358" s="1077">
        <v>26</v>
      </c>
      <c r="W358" s="1077">
        <f t="array" ref="W358">SUMPRODUCT(IF('卡片raw data'!BM$1:BM$1000=T358,1,0),IF('卡片raw data'!BO$1:BO$1000=V358,1,0),IF(IF('卡片raw data'!C$1:C$1000=R$3,1,0)+IF(R$3="",1,0)&gt;=1,1,0),IF(IF('卡片raw data'!D$1:D$1000=R$4,1,0)+IF(R$4="",1,0)&gt;=1,1,0),IF(IF('卡片raw data'!E$1:E$1000=R$5,1,0)+IF(R$5="",1,0)&gt;=1,1,0))</f>
        <v>0</v>
      </c>
      <c r="Y358" s="1307">
        <f t="shared" si="26"/>
        <v>26</v>
      </c>
      <c r="Z358" s="1307">
        <f t="shared" si="27"/>
        <v>0</v>
      </c>
      <c r="AA358" s="1307">
        <f t="shared" si="28"/>
        <v>26</v>
      </c>
      <c r="AB358" s="1307">
        <f t="shared" si="29"/>
        <v>0</v>
      </c>
    </row>
    <row r="359" spans="20:28">
      <c r="T359" s="1077">
        <v>23</v>
      </c>
      <c r="U359" s="1077">
        <f t="shared" si="25"/>
        <v>50</v>
      </c>
      <c r="V359" s="1077">
        <v>27</v>
      </c>
      <c r="W359" s="1077">
        <f t="array" ref="W359">SUMPRODUCT(IF('卡片raw data'!BM$1:BM$1000=T359,1,0),IF('卡片raw data'!BO$1:BO$1000=V359,1,0),IF(IF('卡片raw data'!C$1:C$1000=R$3,1,0)+IF(R$3="",1,0)&gt;=1,1,0),IF(IF('卡片raw data'!D$1:D$1000=R$4,1,0)+IF(R$4="",1,0)&gt;=1,1,0),IF(IF('卡片raw data'!E$1:E$1000=R$5,1,0)+IF(R$5="",1,0)&gt;=1,1,0))</f>
        <v>0</v>
      </c>
      <c r="Y359" s="1307">
        <f t="shared" si="26"/>
        <v>27</v>
      </c>
      <c r="Z359" s="1307">
        <f t="shared" si="27"/>
        <v>0</v>
      </c>
      <c r="AA359" s="1307">
        <f t="shared" si="28"/>
        <v>27</v>
      </c>
      <c r="AB359" s="1307">
        <f t="shared" si="29"/>
        <v>0</v>
      </c>
    </row>
    <row r="360" spans="20:28">
      <c r="T360" s="1077">
        <v>23</v>
      </c>
      <c r="U360" s="1077">
        <f t="shared" si="25"/>
        <v>49</v>
      </c>
      <c r="V360" s="1077">
        <v>28</v>
      </c>
      <c r="W360" s="1077">
        <f t="array" ref="W360">SUMPRODUCT(IF('卡片raw data'!BM$1:BM$1000=T360,1,0),IF('卡片raw data'!BO$1:BO$1000=V360,1,0),IF(IF('卡片raw data'!C$1:C$1000=R$3,1,0)+IF(R$3="",1,0)&gt;=1,1,0),IF(IF('卡片raw data'!D$1:D$1000=R$4,1,0)+IF(R$4="",1,0)&gt;=1,1,0),IF(IF('卡片raw data'!E$1:E$1000=R$5,1,0)+IF(R$5="",1,0)&gt;=1,1,0))</f>
        <v>0</v>
      </c>
      <c r="Y360" s="1307">
        <f t="shared" si="26"/>
        <v>28</v>
      </c>
      <c r="Z360" s="1307">
        <f t="shared" si="27"/>
        <v>0</v>
      </c>
      <c r="AA360" s="1307">
        <f t="shared" si="28"/>
        <v>28</v>
      </c>
      <c r="AB360" s="1307">
        <f t="shared" si="29"/>
        <v>0</v>
      </c>
    </row>
    <row r="361" spans="20:28">
      <c r="T361" s="1077">
        <v>23</v>
      </c>
      <c r="U361" s="1077">
        <f t="shared" si="25"/>
        <v>48</v>
      </c>
      <c r="V361" s="1077">
        <v>29</v>
      </c>
      <c r="W361" s="1077">
        <f t="array" ref="W361">SUMPRODUCT(IF('卡片raw data'!BM$1:BM$1000=T361,1,0),IF('卡片raw data'!BO$1:BO$1000=V361,1,0),IF(IF('卡片raw data'!C$1:C$1000=R$3,1,0)+IF(R$3="",1,0)&gt;=1,1,0),IF(IF('卡片raw data'!D$1:D$1000=R$4,1,0)+IF(R$4="",1,0)&gt;=1,1,0),IF(IF('卡片raw data'!E$1:E$1000=R$5,1,0)+IF(R$5="",1,0)&gt;=1,1,0))</f>
        <v>0</v>
      </c>
      <c r="Y361" s="1307">
        <f t="shared" si="26"/>
        <v>29</v>
      </c>
      <c r="Z361" s="1307">
        <f t="shared" si="27"/>
        <v>0</v>
      </c>
      <c r="AA361" s="1307">
        <f t="shared" si="28"/>
        <v>29</v>
      </c>
      <c r="AB361" s="1307">
        <f t="shared" si="29"/>
        <v>0</v>
      </c>
    </row>
    <row r="362" spans="20:28">
      <c r="T362" s="1077">
        <v>23</v>
      </c>
      <c r="U362" s="1077">
        <f t="shared" si="25"/>
        <v>47</v>
      </c>
      <c r="V362" s="1077">
        <v>30</v>
      </c>
      <c r="W362" s="1077">
        <f t="array" ref="W362">SUMPRODUCT(IF('卡片raw data'!BM$1:BM$1000=T362,1,0),IF('卡片raw data'!BO$1:BO$1000=V362,1,0),IF(IF('卡片raw data'!C$1:C$1000=R$3,1,0)+IF(R$3="",1,0)&gt;=1,1,0),IF(IF('卡片raw data'!D$1:D$1000=R$4,1,0)+IF(R$4="",1,0)&gt;=1,1,0),IF(IF('卡片raw data'!E$1:E$1000=R$5,1,0)+IF(R$5="",1,0)&gt;=1,1,0))</f>
        <v>0</v>
      </c>
      <c r="Y362" s="1307">
        <f t="shared" si="26"/>
        <v>30</v>
      </c>
      <c r="Z362" s="1307">
        <f t="shared" si="27"/>
        <v>0</v>
      </c>
      <c r="AA362" s="1307">
        <f t="shared" si="28"/>
        <v>30</v>
      </c>
      <c r="AB362" s="1307">
        <f t="shared" si="29"/>
        <v>0</v>
      </c>
    </row>
    <row r="363" spans="20:28">
      <c r="T363" s="1077">
        <v>23</v>
      </c>
      <c r="U363" s="1077">
        <f t="shared" si="25"/>
        <v>46</v>
      </c>
      <c r="V363" s="1077">
        <v>31</v>
      </c>
      <c r="W363" s="1077">
        <f t="array" ref="W363">SUMPRODUCT(IF('卡片raw data'!BM$1:BM$1000=T363,1,0),IF('卡片raw data'!BO$1:BO$1000=V363,1,0),IF(IF('卡片raw data'!C$1:C$1000=R$3,1,0)+IF(R$3="",1,0)&gt;=1,1,0),IF(IF('卡片raw data'!D$1:D$1000=R$4,1,0)+IF(R$4="",1,0)&gt;=1,1,0),IF(IF('卡片raw data'!E$1:E$1000=R$5,1,0)+IF(R$5="",1,0)&gt;=1,1,0))</f>
        <v>0</v>
      </c>
      <c r="Y363" s="1307">
        <f t="shared" si="26"/>
        <v>31</v>
      </c>
      <c r="Z363" s="1307">
        <f t="shared" si="27"/>
        <v>0</v>
      </c>
      <c r="AA363" s="1307">
        <f t="shared" si="28"/>
        <v>31</v>
      </c>
      <c r="AB363" s="1307">
        <f t="shared" si="29"/>
        <v>0</v>
      </c>
    </row>
    <row r="364" spans="20:28">
      <c r="T364" s="1077">
        <v>23</v>
      </c>
      <c r="U364" s="1077">
        <f t="shared" si="25"/>
        <v>45</v>
      </c>
      <c r="V364" s="1077">
        <v>32</v>
      </c>
      <c r="W364" s="1077">
        <f t="array" ref="W364">SUMPRODUCT(IF('卡片raw data'!BM$1:BM$1000=T364,1,0),IF('卡片raw data'!BO$1:BO$1000=V364,1,0),IF(IF('卡片raw data'!C$1:C$1000=R$3,1,0)+IF(R$3="",1,0)&gt;=1,1,0),IF(IF('卡片raw data'!D$1:D$1000=R$4,1,0)+IF(R$4="",1,0)&gt;=1,1,0),IF(IF('卡片raw data'!E$1:E$1000=R$5,1,0)+IF(R$5="",1,0)&gt;=1,1,0))</f>
        <v>0</v>
      </c>
      <c r="Y364" s="1307">
        <f t="shared" si="26"/>
        <v>32</v>
      </c>
      <c r="Z364" s="1307">
        <f t="shared" si="27"/>
        <v>0</v>
      </c>
      <c r="AA364" s="1307">
        <f t="shared" si="28"/>
        <v>32</v>
      </c>
      <c r="AB364" s="1307">
        <f t="shared" si="29"/>
        <v>0</v>
      </c>
    </row>
    <row r="365" spans="20:28">
      <c r="T365" s="1077">
        <v>23</v>
      </c>
      <c r="U365" s="1077">
        <f t="shared" si="25"/>
        <v>44</v>
      </c>
      <c r="V365" s="1077">
        <v>33</v>
      </c>
      <c r="W365" s="1077">
        <f t="array" ref="W365">SUMPRODUCT(IF('卡片raw data'!BM$1:BM$1000=T365,1,0),IF('卡片raw data'!BO$1:BO$1000=V365,1,0),IF(IF('卡片raw data'!C$1:C$1000=R$3,1,0)+IF(R$3="",1,0)&gt;=1,1,0),IF(IF('卡片raw data'!D$1:D$1000=R$4,1,0)+IF(R$4="",1,0)&gt;=1,1,0),IF(IF('卡片raw data'!E$1:E$1000=R$5,1,0)+IF(R$5="",1,0)&gt;=1,1,0))</f>
        <v>0</v>
      </c>
      <c r="Y365" s="1307">
        <f t="shared" si="26"/>
        <v>33</v>
      </c>
      <c r="Z365" s="1307">
        <f t="shared" si="27"/>
        <v>0</v>
      </c>
      <c r="AA365" s="1307">
        <f t="shared" si="28"/>
        <v>33</v>
      </c>
      <c r="AB365" s="1307">
        <f t="shared" si="29"/>
        <v>0</v>
      </c>
    </row>
    <row r="366" spans="20:28">
      <c r="T366" s="1077">
        <v>23</v>
      </c>
      <c r="U366" s="1077">
        <f t="shared" si="25"/>
        <v>43</v>
      </c>
      <c r="V366" s="1077">
        <v>34</v>
      </c>
      <c r="W366" s="1077">
        <f t="array" ref="W366">SUMPRODUCT(IF('卡片raw data'!BM$1:BM$1000=T366,1,0),IF('卡片raw data'!BO$1:BO$1000=V366,1,0),IF(IF('卡片raw data'!C$1:C$1000=R$3,1,0)+IF(R$3="",1,0)&gt;=1,1,0),IF(IF('卡片raw data'!D$1:D$1000=R$4,1,0)+IF(R$4="",1,0)&gt;=1,1,0),IF(IF('卡片raw data'!E$1:E$1000=R$5,1,0)+IF(R$5="",1,0)&gt;=1,1,0))</f>
        <v>0</v>
      </c>
      <c r="Y366" s="1307">
        <f t="shared" si="26"/>
        <v>34</v>
      </c>
      <c r="Z366" s="1307">
        <f t="shared" si="27"/>
        <v>0</v>
      </c>
      <c r="AA366" s="1307">
        <f t="shared" si="28"/>
        <v>34</v>
      </c>
      <c r="AB366" s="1307">
        <f t="shared" si="29"/>
        <v>0</v>
      </c>
    </row>
    <row r="367" spans="20:28">
      <c r="T367" s="1077">
        <v>23</v>
      </c>
      <c r="U367" s="1077">
        <f t="shared" si="25"/>
        <v>42</v>
      </c>
      <c r="V367" s="1077">
        <v>35</v>
      </c>
      <c r="W367" s="1077">
        <f t="array" ref="W367">SUMPRODUCT(IF('卡片raw data'!BM$1:BM$1000=T367,1,0),IF('卡片raw data'!BO$1:BO$1000=V367,1,0),IF(IF('卡片raw data'!C$1:C$1000=R$3,1,0)+IF(R$3="",1,0)&gt;=1,1,0),IF(IF('卡片raw data'!D$1:D$1000=R$4,1,0)+IF(R$4="",1,0)&gt;=1,1,0),IF(IF('卡片raw data'!E$1:E$1000=R$5,1,0)+IF(R$5="",1,0)&gt;=1,1,0))</f>
        <v>0</v>
      </c>
      <c r="Y367" s="1307">
        <f t="shared" si="26"/>
        <v>35</v>
      </c>
      <c r="Z367" s="1307">
        <f t="shared" si="27"/>
        <v>0</v>
      </c>
      <c r="AA367" s="1307">
        <f t="shared" si="28"/>
        <v>35</v>
      </c>
      <c r="AB367" s="1307">
        <f t="shared" si="29"/>
        <v>0</v>
      </c>
    </row>
    <row r="368" spans="20:28">
      <c r="T368" s="1077">
        <v>23</v>
      </c>
      <c r="U368" s="1077">
        <f t="shared" si="25"/>
        <v>41</v>
      </c>
      <c r="V368" s="1077">
        <v>36</v>
      </c>
      <c r="W368" s="1077">
        <f t="array" ref="W368">SUMPRODUCT(IF('卡片raw data'!BM$1:BM$1000=T368,1,0),IF('卡片raw data'!BO$1:BO$1000=V368,1,0),IF(IF('卡片raw data'!C$1:C$1000=R$3,1,0)+IF(R$3="",1,0)&gt;=1,1,0),IF(IF('卡片raw data'!D$1:D$1000=R$4,1,0)+IF(R$4="",1,0)&gt;=1,1,0),IF(IF('卡片raw data'!E$1:E$1000=R$5,1,0)+IF(R$5="",1,0)&gt;=1,1,0))</f>
        <v>1</v>
      </c>
      <c r="Y368" s="1307">
        <f t="shared" si="26"/>
        <v>36</v>
      </c>
      <c r="Z368" s="1307">
        <f t="shared" si="27"/>
        <v>0</v>
      </c>
      <c r="AA368" s="1307">
        <f t="shared" si="28"/>
        <v>36</v>
      </c>
      <c r="AB368" s="1307">
        <f t="shared" si="29"/>
        <v>1</v>
      </c>
    </row>
    <row r="369" spans="20:28">
      <c r="T369" s="1077">
        <v>23</v>
      </c>
      <c r="U369" s="1077">
        <f t="shared" si="25"/>
        <v>40</v>
      </c>
      <c r="V369" s="1077">
        <v>37</v>
      </c>
      <c r="W369" s="1077">
        <f t="array" ref="W369">SUMPRODUCT(IF('卡片raw data'!BM$1:BM$1000=T369,1,0),IF('卡片raw data'!BO$1:BO$1000=V369,1,0),IF(IF('卡片raw data'!C$1:C$1000=R$3,1,0)+IF(R$3="",1,0)&gt;=1,1,0),IF(IF('卡片raw data'!D$1:D$1000=R$4,1,0)+IF(R$4="",1,0)&gt;=1,1,0),IF(IF('卡片raw data'!E$1:E$1000=R$5,1,0)+IF(R$5="",1,0)&gt;=1,1,0))</f>
        <v>0</v>
      </c>
      <c r="Y369" s="1307">
        <f t="shared" si="26"/>
        <v>37</v>
      </c>
      <c r="Z369" s="1307">
        <f t="shared" si="27"/>
        <v>0</v>
      </c>
      <c r="AA369" s="1307">
        <f t="shared" si="28"/>
        <v>37</v>
      </c>
      <c r="AB369" s="1307">
        <f t="shared" si="29"/>
        <v>0</v>
      </c>
    </row>
    <row r="370" spans="20:28">
      <c r="T370" s="1077">
        <v>23</v>
      </c>
      <c r="U370" s="1077">
        <f t="shared" si="25"/>
        <v>39</v>
      </c>
      <c r="V370" s="1077">
        <v>38</v>
      </c>
      <c r="W370" s="1077">
        <f t="array" ref="W370">SUMPRODUCT(IF('卡片raw data'!BM$1:BM$1000=T370,1,0),IF('卡片raw data'!BO$1:BO$1000=V370,1,0),IF(IF('卡片raw data'!C$1:C$1000=R$3,1,0)+IF(R$3="",1,0)&gt;=1,1,0),IF(IF('卡片raw data'!D$1:D$1000=R$4,1,0)+IF(R$4="",1,0)&gt;=1,1,0),IF(IF('卡片raw data'!E$1:E$1000=R$5,1,0)+IF(R$5="",1,0)&gt;=1,1,0))</f>
        <v>0</v>
      </c>
      <c r="Y370" s="1307">
        <f t="shared" si="26"/>
        <v>38</v>
      </c>
      <c r="Z370" s="1307">
        <f t="shared" si="27"/>
        <v>0</v>
      </c>
      <c r="AA370" s="1307">
        <f t="shared" si="28"/>
        <v>38</v>
      </c>
      <c r="AB370" s="1307">
        <f t="shared" si="29"/>
        <v>0</v>
      </c>
    </row>
    <row r="371" spans="20:28">
      <c r="T371" s="1077">
        <v>23</v>
      </c>
      <c r="U371" s="1077">
        <f t="shared" si="25"/>
        <v>38</v>
      </c>
      <c r="V371" s="1077">
        <v>39</v>
      </c>
      <c r="W371" s="1077">
        <f t="array" ref="W371">SUMPRODUCT(IF('卡片raw data'!BM$1:BM$1000=T371,1,0),IF('卡片raw data'!BO$1:BO$1000=V371,1,0),IF(IF('卡片raw data'!C$1:C$1000=R$3,1,0)+IF(R$3="",1,0)&gt;=1,1,0),IF(IF('卡片raw data'!D$1:D$1000=R$4,1,0)+IF(R$4="",1,0)&gt;=1,1,0),IF(IF('卡片raw data'!E$1:E$1000=R$5,1,0)+IF(R$5="",1,0)&gt;=1,1,0))</f>
        <v>0</v>
      </c>
      <c r="Y371" s="1307">
        <f t="shared" si="26"/>
        <v>39</v>
      </c>
      <c r="Z371" s="1307">
        <f t="shared" si="27"/>
        <v>0</v>
      </c>
      <c r="AA371" s="1307">
        <f t="shared" si="28"/>
        <v>39</v>
      </c>
      <c r="AB371" s="1307">
        <f t="shared" si="29"/>
        <v>0</v>
      </c>
    </row>
    <row r="372" spans="20:28">
      <c r="T372" s="1077">
        <v>23</v>
      </c>
      <c r="U372" s="1077">
        <f t="shared" si="25"/>
        <v>37</v>
      </c>
      <c r="V372" s="1077">
        <v>40</v>
      </c>
      <c r="W372" s="1077">
        <f t="array" ref="W372">SUMPRODUCT(IF('卡片raw data'!BM$1:BM$1000=T372,1,0),IF('卡片raw data'!BO$1:BO$1000=V372,1,0),IF(IF('卡片raw data'!C$1:C$1000=R$3,1,0)+IF(R$3="",1,0)&gt;=1,1,0),IF(IF('卡片raw data'!D$1:D$1000=R$4,1,0)+IF(R$4="",1,0)&gt;=1,1,0),IF(IF('卡片raw data'!E$1:E$1000=R$5,1,0)+IF(R$5="",1,0)&gt;=1,1,0))</f>
        <v>3</v>
      </c>
      <c r="Y372" s="1307">
        <f t="shared" si="26"/>
        <v>40</v>
      </c>
      <c r="Z372" s="1307">
        <f t="shared" si="27"/>
        <v>3</v>
      </c>
      <c r="AA372" s="1307">
        <f t="shared" si="28"/>
        <v>40</v>
      </c>
      <c r="AB372" s="1307">
        <f t="shared" si="29"/>
        <v>0</v>
      </c>
    </row>
    <row r="373" spans="20:28">
      <c r="T373" s="1077">
        <v>23</v>
      </c>
      <c r="U373" s="1077">
        <f t="shared" si="25"/>
        <v>36</v>
      </c>
      <c r="V373" s="1077">
        <v>41</v>
      </c>
      <c r="W373" s="1077">
        <f t="array" ref="W373">SUMPRODUCT(IF('卡片raw data'!BM$1:BM$1000=T373,1,0),IF('卡片raw data'!BO$1:BO$1000=V373,1,0),IF(IF('卡片raw data'!C$1:C$1000=R$3,1,0)+IF(R$3="",1,0)&gt;=1,1,0),IF(IF('卡片raw data'!D$1:D$1000=R$4,1,0)+IF(R$4="",1,0)&gt;=1,1,0),IF(IF('卡片raw data'!E$1:E$1000=R$5,1,0)+IF(R$5="",1,0)&gt;=1,1,0))</f>
        <v>0</v>
      </c>
      <c r="Y373" s="1307">
        <f t="shared" si="26"/>
        <v>41</v>
      </c>
      <c r="Z373" s="1307">
        <f t="shared" si="27"/>
        <v>0</v>
      </c>
      <c r="AA373" s="1307">
        <f t="shared" si="28"/>
        <v>41</v>
      </c>
      <c r="AB373" s="1307">
        <f t="shared" si="29"/>
        <v>0</v>
      </c>
    </row>
    <row r="374" spans="20:28">
      <c r="T374" s="1077">
        <v>23</v>
      </c>
      <c r="U374" s="1077">
        <f t="shared" si="25"/>
        <v>35</v>
      </c>
      <c r="V374" s="1077">
        <v>42</v>
      </c>
      <c r="W374" s="1077">
        <f t="array" ref="W374">SUMPRODUCT(IF('卡片raw data'!BM$1:BM$1000=T374,1,0),IF('卡片raw data'!BO$1:BO$1000=V374,1,0),IF(IF('卡片raw data'!C$1:C$1000=R$3,1,0)+IF(R$3="",1,0)&gt;=1,1,0),IF(IF('卡片raw data'!D$1:D$1000=R$4,1,0)+IF(R$4="",1,0)&gt;=1,1,0),IF(IF('卡片raw data'!E$1:E$1000=R$5,1,0)+IF(R$5="",1,0)&gt;=1,1,0))</f>
        <v>1</v>
      </c>
      <c r="Y374" s="1307">
        <f t="shared" si="26"/>
        <v>42</v>
      </c>
      <c r="Z374" s="1307">
        <f t="shared" si="27"/>
        <v>1</v>
      </c>
      <c r="AA374" s="1307">
        <f t="shared" si="28"/>
        <v>42</v>
      </c>
      <c r="AB374" s="1307">
        <f t="shared" si="29"/>
        <v>0</v>
      </c>
    </row>
    <row r="375" spans="20:28">
      <c r="T375" s="1077">
        <v>23</v>
      </c>
      <c r="U375" s="1077">
        <f t="shared" si="25"/>
        <v>34</v>
      </c>
      <c r="V375" s="1077">
        <v>43</v>
      </c>
      <c r="W375" s="1077">
        <f t="array" ref="W375">SUMPRODUCT(IF('卡片raw data'!BM$1:BM$1000=T375,1,0),IF('卡片raw data'!BO$1:BO$1000=V375,1,0),IF(IF('卡片raw data'!C$1:C$1000=R$3,1,0)+IF(R$3="",1,0)&gt;=1,1,0),IF(IF('卡片raw data'!D$1:D$1000=R$4,1,0)+IF(R$4="",1,0)&gt;=1,1,0),IF(IF('卡片raw data'!E$1:E$1000=R$5,1,0)+IF(R$5="",1,0)&gt;=1,1,0))</f>
        <v>0</v>
      </c>
      <c r="Y375" s="1307">
        <f t="shared" si="26"/>
        <v>43</v>
      </c>
      <c r="Z375" s="1307">
        <f t="shared" si="27"/>
        <v>0</v>
      </c>
      <c r="AA375" s="1307">
        <f t="shared" si="28"/>
        <v>43</v>
      </c>
      <c r="AB375" s="1307">
        <f t="shared" si="29"/>
        <v>0</v>
      </c>
    </row>
    <row r="376" spans="20:28">
      <c r="T376" s="1077">
        <v>23</v>
      </c>
      <c r="U376" s="1077">
        <f t="shared" si="25"/>
        <v>33</v>
      </c>
      <c r="V376" s="1077">
        <v>44</v>
      </c>
      <c r="W376" s="1077">
        <f t="array" ref="W376">SUMPRODUCT(IF('卡片raw data'!BM$1:BM$1000=T376,1,0),IF('卡片raw data'!BO$1:BO$1000=V376,1,0),IF(IF('卡片raw data'!C$1:C$1000=R$3,1,0)+IF(R$3="",1,0)&gt;=1,1,0),IF(IF('卡片raw data'!D$1:D$1000=R$4,1,0)+IF(R$4="",1,0)&gt;=1,1,0),IF(IF('卡片raw data'!E$1:E$1000=R$5,1,0)+IF(R$5="",1,0)&gt;=1,1,0))</f>
        <v>0</v>
      </c>
      <c r="Y376" s="1307">
        <f t="shared" si="26"/>
        <v>44</v>
      </c>
      <c r="Z376" s="1307">
        <f t="shared" si="27"/>
        <v>0</v>
      </c>
      <c r="AA376" s="1307">
        <f t="shared" si="28"/>
        <v>44</v>
      </c>
      <c r="AB376" s="1307">
        <f t="shared" si="29"/>
        <v>0</v>
      </c>
    </row>
    <row r="377" spans="20:28">
      <c r="T377" s="1077">
        <v>23</v>
      </c>
      <c r="U377" s="1077">
        <f t="shared" si="25"/>
        <v>32</v>
      </c>
      <c r="V377" s="1077">
        <v>45</v>
      </c>
      <c r="W377" s="1077">
        <f t="array" ref="W377">SUMPRODUCT(IF('卡片raw data'!BM$1:BM$1000=T377,1,0),IF('卡片raw data'!BO$1:BO$1000=V377,1,0),IF(IF('卡片raw data'!C$1:C$1000=R$3,1,0)+IF(R$3="",1,0)&gt;=1,1,0),IF(IF('卡片raw data'!D$1:D$1000=R$4,1,0)+IF(R$4="",1,0)&gt;=1,1,0),IF(IF('卡片raw data'!E$1:E$1000=R$5,1,0)+IF(R$5="",1,0)&gt;=1,1,0))</f>
        <v>0</v>
      </c>
      <c r="Y377" s="1307">
        <f t="shared" si="26"/>
        <v>45</v>
      </c>
      <c r="Z377" s="1307">
        <f t="shared" si="27"/>
        <v>0</v>
      </c>
      <c r="AA377" s="1307">
        <f t="shared" si="28"/>
        <v>45</v>
      </c>
      <c r="AB377" s="1307">
        <f t="shared" si="29"/>
        <v>0</v>
      </c>
    </row>
    <row r="378" spans="20:28">
      <c r="T378" s="1077">
        <v>23</v>
      </c>
      <c r="U378" s="1077">
        <f t="shared" si="25"/>
        <v>31</v>
      </c>
      <c r="V378" s="1077">
        <v>46</v>
      </c>
      <c r="W378" s="1077">
        <f t="array" ref="W378">SUMPRODUCT(IF('卡片raw data'!BM$1:BM$1000=T378,1,0),IF('卡片raw data'!BO$1:BO$1000=V378,1,0),IF(IF('卡片raw data'!C$1:C$1000=R$3,1,0)+IF(R$3="",1,0)&gt;=1,1,0),IF(IF('卡片raw data'!D$1:D$1000=R$4,1,0)+IF(R$4="",1,0)&gt;=1,1,0),IF(IF('卡片raw data'!E$1:E$1000=R$5,1,0)+IF(R$5="",1,0)&gt;=1,1,0))</f>
        <v>0</v>
      </c>
      <c r="Y378" s="1307">
        <f t="shared" si="26"/>
        <v>46</v>
      </c>
      <c r="Z378" s="1307">
        <f t="shared" si="27"/>
        <v>0</v>
      </c>
      <c r="AA378" s="1307">
        <f t="shared" si="28"/>
        <v>46</v>
      </c>
      <c r="AB378" s="1307">
        <f t="shared" si="29"/>
        <v>0</v>
      </c>
    </row>
    <row r="379" spans="20:28">
      <c r="T379" s="1077">
        <v>23</v>
      </c>
      <c r="U379" s="1077">
        <f t="shared" si="25"/>
        <v>30</v>
      </c>
      <c r="V379" s="1077">
        <v>47</v>
      </c>
      <c r="W379" s="1077">
        <f t="array" ref="W379">SUMPRODUCT(IF('卡片raw data'!BM$1:BM$1000=T379,1,0),IF('卡片raw data'!BO$1:BO$1000=V379,1,0),IF(IF('卡片raw data'!C$1:C$1000=R$3,1,0)+IF(R$3="",1,0)&gt;=1,1,0),IF(IF('卡片raw data'!D$1:D$1000=R$4,1,0)+IF(R$4="",1,0)&gt;=1,1,0),IF(IF('卡片raw data'!E$1:E$1000=R$5,1,0)+IF(R$5="",1,0)&gt;=1,1,0))</f>
        <v>0</v>
      </c>
      <c r="Y379" s="1307">
        <f t="shared" si="26"/>
        <v>47</v>
      </c>
      <c r="Z379" s="1307">
        <f t="shared" si="27"/>
        <v>0</v>
      </c>
      <c r="AA379" s="1307">
        <f t="shared" si="28"/>
        <v>47</v>
      </c>
      <c r="AB379" s="1307">
        <f t="shared" si="29"/>
        <v>0</v>
      </c>
    </row>
    <row r="380" spans="20:28">
      <c r="T380" s="1077">
        <v>23</v>
      </c>
      <c r="U380" s="1077">
        <f t="shared" si="25"/>
        <v>29</v>
      </c>
      <c r="V380" s="1077">
        <v>48</v>
      </c>
      <c r="W380" s="1077">
        <f t="array" ref="W380">SUMPRODUCT(IF('卡片raw data'!BM$1:BM$1000=T380,1,0),IF('卡片raw data'!BO$1:BO$1000=V380,1,0),IF(IF('卡片raw data'!C$1:C$1000=R$3,1,0)+IF(R$3="",1,0)&gt;=1,1,0),IF(IF('卡片raw data'!D$1:D$1000=R$4,1,0)+IF(R$4="",1,0)&gt;=1,1,0),IF(IF('卡片raw data'!E$1:E$1000=R$5,1,0)+IF(R$5="",1,0)&gt;=1,1,0))</f>
        <v>0</v>
      </c>
      <c r="Y380" s="1307">
        <f t="shared" si="26"/>
        <v>48</v>
      </c>
      <c r="Z380" s="1307">
        <f t="shared" si="27"/>
        <v>0</v>
      </c>
      <c r="AA380" s="1307">
        <f t="shared" si="28"/>
        <v>48</v>
      </c>
      <c r="AB380" s="1307">
        <f t="shared" si="29"/>
        <v>0</v>
      </c>
    </row>
    <row r="381" spans="20:28">
      <c r="T381" s="1077">
        <v>23</v>
      </c>
      <c r="U381" s="1077">
        <f t="shared" si="25"/>
        <v>28</v>
      </c>
      <c r="V381" s="1077">
        <v>49</v>
      </c>
      <c r="W381" s="1077">
        <f t="array" ref="W381">SUMPRODUCT(IF('卡片raw data'!BM$1:BM$1000=T381,1,0),IF('卡片raw data'!BO$1:BO$1000=V381,1,0),IF(IF('卡片raw data'!C$1:C$1000=R$3,1,0)+IF(R$3="",1,0)&gt;=1,1,0),IF(IF('卡片raw data'!D$1:D$1000=R$4,1,0)+IF(R$4="",1,0)&gt;=1,1,0),IF(IF('卡片raw data'!E$1:E$1000=R$5,1,0)+IF(R$5="",1,0)&gt;=1,1,0))</f>
        <v>0</v>
      </c>
      <c r="Y381" s="1307">
        <f t="shared" si="26"/>
        <v>49</v>
      </c>
      <c r="Z381" s="1307">
        <f t="shared" si="27"/>
        <v>0</v>
      </c>
      <c r="AA381" s="1307">
        <f t="shared" si="28"/>
        <v>49</v>
      </c>
      <c r="AB381" s="1307">
        <f t="shared" si="29"/>
        <v>0</v>
      </c>
    </row>
    <row r="382" spans="20:28">
      <c r="T382" s="1077">
        <v>23</v>
      </c>
      <c r="U382" s="1077">
        <f t="shared" si="25"/>
        <v>27</v>
      </c>
      <c r="V382" s="1077">
        <v>50</v>
      </c>
      <c r="W382" s="1077">
        <f t="array" ref="W382">SUMPRODUCT(IF('卡片raw data'!BM$1:BM$1000=T382,1,0),IF('卡片raw data'!BO$1:BO$1000=V382,1,0),IF(IF('卡片raw data'!C$1:C$1000=R$3,1,0)+IF(R$3="",1,0)&gt;=1,1,0),IF(IF('卡片raw data'!D$1:D$1000=R$4,1,0)+IF(R$4="",1,0)&gt;=1,1,0),IF(IF('卡片raw data'!E$1:E$1000=R$5,1,0)+IF(R$5="",1,0)&gt;=1,1,0))</f>
        <v>0</v>
      </c>
      <c r="Y382" s="1307">
        <f t="shared" si="26"/>
        <v>50</v>
      </c>
      <c r="Z382" s="1307">
        <f t="shared" si="27"/>
        <v>0</v>
      </c>
      <c r="AA382" s="1307">
        <f t="shared" si="28"/>
        <v>50</v>
      </c>
      <c r="AB382" s="1307">
        <f t="shared" si="29"/>
        <v>0</v>
      </c>
    </row>
    <row r="383" spans="20:28">
      <c r="T383" s="1077">
        <v>23</v>
      </c>
      <c r="U383" s="1077">
        <f t="shared" si="25"/>
        <v>26</v>
      </c>
      <c r="V383" s="1077">
        <v>51</v>
      </c>
      <c r="W383" s="1077">
        <f t="array" ref="W383">SUMPRODUCT(IF('卡片raw data'!BM$1:BM$1000=T383,1,0),IF('卡片raw data'!BO$1:BO$1000=V383,1,0),IF(IF('卡片raw data'!C$1:C$1000=R$3,1,0)+IF(R$3="",1,0)&gt;=1,1,0),IF(IF('卡片raw data'!D$1:D$1000=R$4,1,0)+IF(R$4="",1,0)&gt;=1,1,0),IF(IF('卡片raw data'!E$1:E$1000=R$5,1,0)+IF(R$5="",1,0)&gt;=1,1,0))</f>
        <v>0</v>
      </c>
      <c r="Y383" s="1307">
        <f t="shared" si="26"/>
        <v>51</v>
      </c>
      <c r="Z383" s="1307">
        <f t="shared" si="27"/>
        <v>0</v>
      </c>
      <c r="AA383" s="1307">
        <f t="shared" si="28"/>
        <v>51</v>
      </c>
      <c r="AB383" s="1307">
        <f t="shared" si="29"/>
        <v>0</v>
      </c>
    </row>
    <row r="384" spans="20:28">
      <c r="T384" s="1077">
        <v>23</v>
      </c>
      <c r="U384" s="1077">
        <f t="shared" si="25"/>
        <v>25</v>
      </c>
      <c r="V384" s="1077">
        <v>52</v>
      </c>
      <c r="W384" s="1077">
        <f t="array" ref="W384">SUMPRODUCT(IF('卡片raw data'!BM$1:BM$1000=T384,1,0),IF('卡片raw data'!BO$1:BO$1000=V384,1,0),IF(IF('卡片raw data'!C$1:C$1000=R$3,1,0)+IF(R$3="",1,0)&gt;=1,1,0),IF(IF('卡片raw data'!D$1:D$1000=R$4,1,0)+IF(R$4="",1,0)&gt;=1,1,0),IF(IF('卡片raw data'!E$1:E$1000=R$5,1,0)+IF(R$5="",1,0)&gt;=1,1,0))</f>
        <v>0</v>
      </c>
      <c r="Y384" s="1307">
        <f t="shared" si="26"/>
        <v>52</v>
      </c>
      <c r="Z384" s="1307">
        <f t="shared" si="27"/>
        <v>0</v>
      </c>
      <c r="AA384" s="1307">
        <f t="shared" si="28"/>
        <v>52</v>
      </c>
      <c r="AB384" s="1307">
        <f t="shared" si="29"/>
        <v>0</v>
      </c>
    </row>
    <row r="385" spans="20:28">
      <c r="T385" s="1077">
        <v>23</v>
      </c>
      <c r="U385" s="1077">
        <f t="shared" si="25"/>
        <v>24</v>
      </c>
      <c r="V385" s="1077">
        <v>53</v>
      </c>
      <c r="W385" s="1077">
        <f t="array" ref="W385">SUMPRODUCT(IF('卡片raw data'!BM$1:BM$1000=T385,1,0),IF('卡片raw data'!BO$1:BO$1000=V385,1,0),IF(IF('卡片raw data'!C$1:C$1000=R$3,1,0)+IF(R$3="",1,0)&gt;=1,1,0),IF(IF('卡片raw data'!D$1:D$1000=R$4,1,0)+IF(R$4="",1,0)&gt;=1,1,0),IF(IF('卡片raw data'!E$1:E$1000=R$5,1,0)+IF(R$5="",1,0)&gt;=1,1,0))</f>
        <v>0</v>
      </c>
      <c r="Y385" s="1307">
        <f t="shared" si="26"/>
        <v>53</v>
      </c>
      <c r="Z385" s="1307">
        <f t="shared" si="27"/>
        <v>0</v>
      </c>
      <c r="AA385" s="1307">
        <f t="shared" si="28"/>
        <v>53</v>
      </c>
      <c r="AB385" s="1307">
        <f t="shared" si="29"/>
        <v>0</v>
      </c>
    </row>
    <row r="386" spans="20:28">
      <c r="T386" s="1077">
        <v>23</v>
      </c>
      <c r="U386" s="1077">
        <f t="shared" si="25"/>
        <v>23</v>
      </c>
      <c r="V386" s="1077">
        <v>54</v>
      </c>
      <c r="W386" s="1077">
        <f t="array" ref="W386">SUMPRODUCT(IF('卡片raw data'!BM$1:BM$1000=T386,1,0),IF('卡片raw data'!BO$1:BO$1000=V386,1,0),IF(IF('卡片raw data'!C$1:C$1000=R$3,1,0)+IF(R$3="",1,0)&gt;=1,1,0),IF(IF('卡片raw data'!D$1:D$1000=R$4,1,0)+IF(R$4="",1,0)&gt;=1,1,0),IF(IF('卡片raw data'!E$1:E$1000=R$5,1,0)+IF(R$5="",1,0)&gt;=1,1,0))</f>
        <v>0</v>
      </c>
      <c r="Y386" s="1307">
        <f t="shared" si="26"/>
        <v>54</v>
      </c>
      <c r="Z386" s="1307">
        <f t="shared" si="27"/>
        <v>0</v>
      </c>
      <c r="AA386" s="1307">
        <f t="shared" si="28"/>
        <v>54</v>
      </c>
      <c r="AB386" s="1307">
        <f t="shared" si="29"/>
        <v>0</v>
      </c>
    </row>
    <row r="387" spans="20:28">
      <c r="T387" s="1077">
        <v>23</v>
      </c>
      <c r="U387" s="1077">
        <f t="shared" si="25"/>
        <v>22</v>
      </c>
      <c r="V387" s="1077">
        <v>55</v>
      </c>
      <c r="W387" s="1077">
        <f t="array" ref="W387">SUMPRODUCT(IF('卡片raw data'!BM$1:BM$1000=T387,1,0),IF('卡片raw data'!BO$1:BO$1000=V387,1,0),IF(IF('卡片raw data'!C$1:C$1000=R$3,1,0)+IF(R$3="",1,0)&gt;=1,1,0),IF(IF('卡片raw data'!D$1:D$1000=R$4,1,0)+IF(R$4="",1,0)&gt;=1,1,0),IF(IF('卡片raw data'!E$1:E$1000=R$5,1,0)+IF(R$5="",1,0)&gt;=1,1,0))</f>
        <v>0</v>
      </c>
      <c r="Y387" s="1307">
        <f t="shared" si="26"/>
        <v>55</v>
      </c>
      <c r="Z387" s="1307">
        <f t="shared" si="27"/>
        <v>0</v>
      </c>
      <c r="AA387" s="1307">
        <f t="shared" si="28"/>
        <v>55</v>
      </c>
      <c r="AB387" s="1307">
        <f t="shared" si="29"/>
        <v>0</v>
      </c>
    </row>
    <row r="388" spans="20:28">
      <c r="T388" s="1077">
        <v>24</v>
      </c>
      <c r="U388" s="1077">
        <f t="shared" ref="U388:U451" si="30">100-T388-V388</f>
        <v>55</v>
      </c>
      <c r="V388" s="1077">
        <v>21</v>
      </c>
      <c r="W388" s="1077">
        <f t="array" ref="W388">SUMPRODUCT(IF('卡片raw data'!BM$1:BM$1000=T388,1,0),IF('卡片raw data'!BO$1:BO$1000=V388,1,0),IF(IF('卡片raw data'!C$1:C$1000=R$3,1,0)+IF(R$3="",1,0)&gt;=1,1,0),IF(IF('卡片raw data'!D$1:D$1000=R$4,1,0)+IF(R$4="",1,0)&gt;=1,1,0),IF(IF('卡片raw data'!E$1:E$1000=R$5,1,0)+IF(R$5="",1,0)&gt;=1,1,0))</f>
        <v>0</v>
      </c>
      <c r="Y388" s="1307">
        <f t="shared" ref="Y388:Y451" si="31">V388</f>
        <v>21</v>
      </c>
      <c r="Z388" s="1307">
        <f t="shared" ref="Z388:Z451" si="32">IF(AND(V388&gt;U388,V388&gt;T388),W388,0)</f>
        <v>0</v>
      </c>
      <c r="AA388" s="1307">
        <f t="shared" ref="AA388:AA451" si="33">V388</f>
        <v>21</v>
      </c>
      <c r="AB388" s="1307">
        <f t="shared" ref="AB388:AB451" si="34">W388-Z388</f>
        <v>0</v>
      </c>
    </row>
    <row r="389" spans="20:28">
      <c r="T389" s="1077">
        <v>24</v>
      </c>
      <c r="U389" s="1077">
        <f t="shared" si="30"/>
        <v>54</v>
      </c>
      <c r="V389" s="1077">
        <v>22</v>
      </c>
      <c r="W389" s="1077">
        <f t="array" ref="W389">SUMPRODUCT(IF('卡片raw data'!BM$1:BM$1000=T389,1,0),IF('卡片raw data'!BO$1:BO$1000=V389,1,0),IF(IF('卡片raw data'!C$1:C$1000=R$3,1,0)+IF(R$3="",1,0)&gt;=1,1,0),IF(IF('卡片raw data'!D$1:D$1000=R$4,1,0)+IF(R$4="",1,0)&gt;=1,1,0),IF(IF('卡片raw data'!E$1:E$1000=R$5,1,0)+IF(R$5="",1,0)&gt;=1,1,0))</f>
        <v>0</v>
      </c>
      <c r="Y389" s="1307">
        <f t="shared" si="31"/>
        <v>22</v>
      </c>
      <c r="Z389" s="1307">
        <f t="shared" si="32"/>
        <v>0</v>
      </c>
      <c r="AA389" s="1307">
        <f t="shared" si="33"/>
        <v>22</v>
      </c>
      <c r="AB389" s="1307">
        <f t="shared" si="34"/>
        <v>0</v>
      </c>
    </row>
    <row r="390" spans="20:28">
      <c r="T390" s="1077">
        <v>24</v>
      </c>
      <c r="U390" s="1077">
        <f t="shared" si="30"/>
        <v>53</v>
      </c>
      <c r="V390" s="1077">
        <v>23</v>
      </c>
      <c r="W390" s="1077">
        <f t="array" ref="W390">SUMPRODUCT(IF('卡片raw data'!BM$1:BM$1000=T390,1,0),IF('卡片raw data'!BO$1:BO$1000=V390,1,0),IF(IF('卡片raw data'!C$1:C$1000=R$3,1,0)+IF(R$3="",1,0)&gt;=1,1,0),IF(IF('卡片raw data'!D$1:D$1000=R$4,1,0)+IF(R$4="",1,0)&gt;=1,1,0),IF(IF('卡片raw data'!E$1:E$1000=R$5,1,0)+IF(R$5="",1,0)&gt;=1,1,0))</f>
        <v>0</v>
      </c>
      <c r="Y390" s="1307">
        <f t="shared" si="31"/>
        <v>23</v>
      </c>
      <c r="Z390" s="1307">
        <f t="shared" si="32"/>
        <v>0</v>
      </c>
      <c r="AA390" s="1307">
        <f t="shared" si="33"/>
        <v>23</v>
      </c>
      <c r="AB390" s="1307">
        <f t="shared" si="34"/>
        <v>0</v>
      </c>
    </row>
    <row r="391" spans="20:28">
      <c r="T391" s="1077">
        <v>24</v>
      </c>
      <c r="U391" s="1077">
        <f t="shared" si="30"/>
        <v>52</v>
      </c>
      <c r="V391" s="1077">
        <v>24</v>
      </c>
      <c r="W391" s="1077">
        <f t="array" ref="W391">SUMPRODUCT(IF('卡片raw data'!BM$1:BM$1000=T391,1,0),IF('卡片raw data'!BO$1:BO$1000=V391,1,0),IF(IF('卡片raw data'!C$1:C$1000=R$3,1,0)+IF(R$3="",1,0)&gt;=1,1,0),IF(IF('卡片raw data'!D$1:D$1000=R$4,1,0)+IF(R$4="",1,0)&gt;=1,1,0),IF(IF('卡片raw data'!E$1:E$1000=R$5,1,0)+IF(R$5="",1,0)&gt;=1,1,0))</f>
        <v>0</v>
      </c>
      <c r="Y391" s="1307">
        <f t="shared" si="31"/>
        <v>24</v>
      </c>
      <c r="Z391" s="1307">
        <f t="shared" si="32"/>
        <v>0</v>
      </c>
      <c r="AA391" s="1307">
        <f t="shared" si="33"/>
        <v>24</v>
      </c>
      <c r="AB391" s="1307">
        <f t="shared" si="34"/>
        <v>0</v>
      </c>
    </row>
    <row r="392" spans="20:28">
      <c r="T392" s="1077">
        <v>24</v>
      </c>
      <c r="U392" s="1077">
        <f t="shared" si="30"/>
        <v>51</v>
      </c>
      <c r="V392" s="1077">
        <v>25</v>
      </c>
      <c r="W392" s="1077">
        <f t="array" ref="W392">SUMPRODUCT(IF('卡片raw data'!BM$1:BM$1000=T392,1,0),IF('卡片raw data'!BO$1:BO$1000=V392,1,0),IF(IF('卡片raw data'!C$1:C$1000=R$3,1,0)+IF(R$3="",1,0)&gt;=1,1,0),IF(IF('卡片raw data'!D$1:D$1000=R$4,1,0)+IF(R$4="",1,0)&gt;=1,1,0),IF(IF('卡片raw data'!E$1:E$1000=R$5,1,0)+IF(R$5="",1,0)&gt;=1,1,0))</f>
        <v>0</v>
      </c>
      <c r="Y392" s="1307">
        <f t="shared" si="31"/>
        <v>25</v>
      </c>
      <c r="Z392" s="1307">
        <f t="shared" si="32"/>
        <v>0</v>
      </c>
      <c r="AA392" s="1307">
        <f t="shared" si="33"/>
        <v>25</v>
      </c>
      <c r="AB392" s="1307">
        <f t="shared" si="34"/>
        <v>0</v>
      </c>
    </row>
    <row r="393" spans="20:28">
      <c r="T393" s="1077">
        <v>24</v>
      </c>
      <c r="U393" s="1077">
        <f t="shared" si="30"/>
        <v>50</v>
      </c>
      <c r="V393" s="1077">
        <v>26</v>
      </c>
      <c r="W393" s="1077">
        <f t="array" ref="W393">SUMPRODUCT(IF('卡片raw data'!BM$1:BM$1000=T393,1,0),IF('卡片raw data'!BO$1:BO$1000=V393,1,0),IF(IF('卡片raw data'!C$1:C$1000=R$3,1,0)+IF(R$3="",1,0)&gt;=1,1,0),IF(IF('卡片raw data'!D$1:D$1000=R$4,1,0)+IF(R$4="",1,0)&gt;=1,1,0),IF(IF('卡片raw data'!E$1:E$1000=R$5,1,0)+IF(R$5="",1,0)&gt;=1,1,0))</f>
        <v>0</v>
      </c>
      <c r="Y393" s="1307">
        <f t="shared" si="31"/>
        <v>26</v>
      </c>
      <c r="Z393" s="1307">
        <f t="shared" si="32"/>
        <v>0</v>
      </c>
      <c r="AA393" s="1307">
        <f t="shared" si="33"/>
        <v>26</v>
      </c>
      <c r="AB393" s="1307">
        <f t="shared" si="34"/>
        <v>0</v>
      </c>
    </row>
    <row r="394" spans="20:28">
      <c r="T394" s="1077">
        <v>24</v>
      </c>
      <c r="U394" s="1077">
        <f t="shared" si="30"/>
        <v>49</v>
      </c>
      <c r="V394" s="1077">
        <v>27</v>
      </c>
      <c r="W394" s="1077">
        <f t="array" ref="W394">SUMPRODUCT(IF('卡片raw data'!BM$1:BM$1000=T394,1,0),IF('卡片raw data'!BO$1:BO$1000=V394,1,0),IF(IF('卡片raw data'!C$1:C$1000=R$3,1,0)+IF(R$3="",1,0)&gt;=1,1,0),IF(IF('卡片raw data'!D$1:D$1000=R$4,1,0)+IF(R$4="",1,0)&gt;=1,1,0),IF(IF('卡片raw data'!E$1:E$1000=R$5,1,0)+IF(R$5="",1,0)&gt;=1,1,0))</f>
        <v>0</v>
      </c>
      <c r="Y394" s="1307">
        <f t="shared" si="31"/>
        <v>27</v>
      </c>
      <c r="Z394" s="1307">
        <f t="shared" si="32"/>
        <v>0</v>
      </c>
      <c r="AA394" s="1307">
        <f t="shared" si="33"/>
        <v>27</v>
      </c>
      <c r="AB394" s="1307">
        <f t="shared" si="34"/>
        <v>0</v>
      </c>
    </row>
    <row r="395" spans="20:28">
      <c r="T395" s="1077">
        <v>24</v>
      </c>
      <c r="U395" s="1077">
        <f t="shared" si="30"/>
        <v>48</v>
      </c>
      <c r="V395" s="1077">
        <v>28</v>
      </c>
      <c r="W395" s="1077">
        <f t="array" ref="W395">SUMPRODUCT(IF('卡片raw data'!BM$1:BM$1000=T395,1,0),IF('卡片raw data'!BO$1:BO$1000=V395,1,0),IF(IF('卡片raw data'!C$1:C$1000=R$3,1,0)+IF(R$3="",1,0)&gt;=1,1,0),IF(IF('卡片raw data'!D$1:D$1000=R$4,1,0)+IF(R$4="",1,0)&gt;=1,1,0),IF(IF('卡片raw data'!E$1:E$1000=R$5,1,0)+IF(R$5="",1,0)&gt;=1,1,0))</f>
        <v>0</v>
      </c>
      <c r="Y395" s="1307">
        <f t="shared" si="31"/>
        <v>28</v>
      </c>
      <c r="Z395" s="1307">
        <f t="shared" si="32"/>
        <v>0</v>
      </c>
      <c r="AA395" s="1307">
        <f t="shared" si="33"/>
        <v>28</v>
      </c>
      <c r="AB395" s="1307">
        <f t="shared" si="34"/>
        <v>0</v>
      </c>
    </row>
    <row r="396" spans="20:28">
      <c r="T396" s="1077">
        <v>24</v>
      </c>
      <c r="U396" s="1077">
        <f t="shared" si="30"/>
        <v>47</v>
      </c>
      <c r="V396" s="1077">
        <v>29</v>
      </c>
      <c r="W396" s="1077">
        <f t="array" ref="W396">SUMPRODUCT(IF('卡片raw data'!BM$1:BM$1000=T396,1,0),IF('卡片raw data'!BO$1:BO$1000=V396,1,0),IF(IF('卡片raw data'!C$1:C$1000=R$3,1,0)+IF(R$3="",1,0)&gt;=1,1,0),IF(IF('卡片raw data'!D$1:D$1000=R$4,1,0)+IF(R$4="",1,0)&gt;=1,1,0),IF(IF('卡片raw data'!E$1:E$1000=R$5,1,0)+IF(R$5="",1,0)&gt;=1,1,0))</f>
        <v>1</v>
      </c>
      <c r="Y396" s="1307">
        <f t="shared" si="31"/>
        <v>29</v>
      </c>
      <c r="Z396" s="1307">
        <f t="shared" si="32"/>
        <v>0</v>
      </c>
      <c r="AA396" s="1307">
        <f t="shared" si="33"/>
        <v>29</v>
      </c>
      <c r="AB396" s="1307">
        <f t="shared" si="34"/>
        <v>1</v>
      </c>
    </row>
    <row r="397" spans="20:28">
      <c r="T397" s="1077">
        <v>24</v>
      </c>
      <c r="U397" s="1077">
        <f t="shared" si="30"/>
        <v>46</v>
      </c>
      <c r="V397" s="1077">
        <v>30</v>
      </c>
      <c r="W397" s="1077">
        <f t="array" ref="W397">SUMPRODUCT(IF('卡片raw data'!BM$1:BM$1000=T397,1,0),IF('卡片raw data'!BO$1:BO$1000=V397,1,0),IF(IF('卡片raw data'!C$1:C$1000=R$3,1,0)+IF(R$3="",1,0)&gt;=1,1,0),IF(IF('卡片raw data'!D$1:D$1000=R$4,1,0)+IF(R$4="",1,0)&gt;=1,1,0),IF(IF('卡片raw data'!E$1:E$1000=R$5,1,0)+IF(R$5="",1,0)&gt;=1,1,0))</f>
        <v>0</v>
      </c>
      <c r="Y397" s="1307">
        <f t="shared" si="31"/>
        <v>30</v>
      </c>
      <c r="Z397" s="1307">
        <f t="shared" si="32"/>
        <v>0</v>
      </c>
      <c r="AA397" s="1307">
        <f t="shared" si="33"/>
        <v>30</v>
      </c>
      <c r="AB397" s="1307">
        <f t="shared" si="34"/>
        <v>0</v>
      </c>
    </row>
    <row r="398" spans="20:28">
      <c r="T398" s="1077">
        <v>24</v>
      </c>
      <c r="U398" s="1077">
        <f t="shared" si="30"/>
        <v>45</v>
      </c>
      <c r="V398" s="1077">
        <v>31</v>
      </c>
      <c r="W398" s="1077">
        <f t="array" ref="W398">SUMPRODUCT(IF('卡片raw data'!BM$1:BM$1000=T398,1,0),IF('卡片raw data'!BO$1:BO$1000=V398,1,0),IF(IF('卡片raw data'!C$1:C$1000=R$3,1,0)+IF(R$3="",1,0)&gt;=1,1,0),IF(IF('卡片raw data'!D$1:D$1000=R$4,1,0)+IF(R$4="",1,0)&gt;=1,1,0),IF(IF('卡片raw data'!E$1:E$1000=R$5,1,0)+IF(R$5="",1,0)&gt;=1,1,0))</f>
        <v>2</v>
      </c>
      <c r="Y398" s="1307">
        <f t="shared" si="31"/>
        <v>31</v>
      </c>
      <c r="Z398" s="1307">
        <f t="shared" si="32"/>
        <v>0</v>
      </c>
      <c r="AA398" s="1307">
        <f t="shared" si="33"/>
        <v>31</v>
      </c>
      <c r="AB398" s="1307">
        <f t="shared" si="34"/>
        <v>2</v>
      </c>
    </row>
    <row r="399" spans="20:28">
      <c r="T399" s="1077">
        <v>24</v>
      </c>
      <c r="U399" s="1077">
        <f t="shared" si="30"/>
        <v>44</v>
      </c>
      <c r="V399" s="1077">
        <v>32</v>
      </c>
      <c r="W399" s="1077">
        <f t="array" ref="W399">SUMPRODUCT(IF('卡片raw data'!BM$1:BM$1000=T399,1,0),IF('卡片raw data'!BO$1:BO$1000=V399,1,0),IF(IF('卡片raw data'!C$1:C$1000=R$3,1,0)+IF(R$3="",1,0)&gt;=1,1,0),IF(IF('卡片raw data'!D$1:D$1000=R$4,1,0)+IF(R$4="",1,0)&gt;=1,1,0),IF(IF('卡片raw data'!E$1:E$1000=R$5,1,0)+IF(R$5="",1,0)&gt;=1,1,0))</f>
        <v>3</v>
      </c>
      <c r="Y399" s="1307">
        <f t="shared" si="31"/>
        <v>32</v>
      </c>
      <c r="Z399" s="1307">
        <f t="shared" si="32"/>
        <v>0</v>
      </c>
      <c r="AA399" s="1307">
        <f t="shared" si="33"/>
        <v>32</v>
      </c>
      <c r="AB399" s="1307">
        <f t="shared" si="34"/>
        <v>3</v>
      </c>
    </row>
    <row r="400" spans="20:28">
      <c r="T400" s="1077">
        <v>24</v>
      </c>
      <c r="U400" s="1077">
        <f t="shared" si="30"/>
        <v>43</v>
      </c>
      <c r="V400" s="1077">
        <v>33</v>
      </c>
      <c r="W400" s="1077">
        <f t="array" ref="W400">SUMPRODUCT(IF('卡片raw data'!BM$1:BM$1000=T400,1,0),IF('卡片raw data'!BO$1:BO$1000=V400,1,0),IF(IF('卡片raw data'!C$1:C$1000=R$3,1,0)+IF(R$3="",1,0)&gt;=1,1,0),IF(IF('卡片raw data'!D$1:D$1000=R$4,1,0)+IF(R$4="",1,0)&gt;=1,1,0),IF(IF('卡片raw data'!E$1:E$1000=R$5,1,0)+IF(R$5="",1,0)&gt;=1,1,0))</f>
        <v>0</v>
      </c>
      <c r="Y400" s="1307">
        <f t="shared" si="31"/>
        <v>33</v>
      </c>
      <c r="Z400" s="1307">
        <f t="shared" si="32"/>
        <v>0</v>
      </c>
      <c r="AA400" s="1307">
        <f t="shared" si="33"/>
        <v>33</v>
      </c>
      <c r="AB400" s="1307">
        <f t="shared" si="34"/>
        <v>0</v>
      </c>
    </row>
    <row r="401" spans="20:28">
      <c r="T401" s="1077">
        <v>24</v>
      </c>
      <c r="U401" s="1077">
        <f t="shared" si="30"/>
        <v>42</v>
      </c>
      <c r="V401" s="1077">
        <v>34</v>
      </c>
      <c r="W401" s="1077">
        <f t="array" ref="W401">SUMPRODUCT(IF('卡片raw data'!BM$1:BM$1000=T401,1,0),IF('卡片raw data'!BO$1:BO$1000=V401,1,0),IF(IF('卡片raw data'!C$1:C$1000=R$3,1,0)+IF(R$3="",1,0)&gt;=1,1,0),IF(IF('卡片raw data'!D$1:D$1000=R$4,1,0)+IF(R$4="",1,0)&gt;=1,1,0),IF(IF('卡片raw data'!E$1:E$1000=R$5,1,0)+IF(R$5="",1,0)&gt;=1,1,0))</f>
        <v>2</v>
      </c>
      <c r="Y401" s="1307">
        <f t="shared" si="31"/>
        <v>34</v>
      </c>
      <c r="Z401" s="1307">
        <f t="shared" si="32"/>
        <v>0</v>
      </c>
      <c r="AA401" s="1307">
        <f t="shared" si="33"/>
        <v>34</v>
      </c>
      <c r="AB401" s="1307">
        <f t="shared" si="34"/>
        <v>2</v>
      </c>
    </row>
    <row r="402" spans="20:28">
      <c r="T402" s="1077">
        <v>24</v>
      </c>
      <c r="U402" s="1077">
        <f t="shared" si="30"/>
        <v>41</v>
      </c>
      <c r="V402" s="1077">
        <v>35</v>
      </c>
      <c r="W402" s="1077">
        <f t="array" ref="W402">SUMPRODUCT(IF('卡片raw data'!BM$1:BM$1000=T402,1,0),IF('卡片raw data'!BO$1:BO$1000=V402,1,0),IF(IF('卡片raw data'!C$1:C$1000=R$3,1,0)+IF(R$3="",1,0)&gt;=1,1,0),IF(IF('卡片raw data'!D$1:D$1000=R$4,1,0)+IF(R$4="",1,0)&gt;=1,1,0),IF(IF('卡片raw data'!E$1:E$1000=R$5,1,0)+IF(R$5="",1,0)&gt;=1,1,0))</f>
        <v>0</v>
      </c>
      <c r="Y402" s="1307">
        <f t="shared" si="31"/>
        <v>35</v>
      </c>
      <c r="Z402" s="1307">
        <f t="shared" si="32"/>
        <v>0</v>
      </c>
      <c r="AA402" s="1307">
        <f t="shared" si="33"/>
        <v>35</v>
      </c>
      <c r="AB402" s="1307">
        <f t="shared" si="34"/>
        <v>0</v>
      </c>
    </row>
    <row r="403" spans="20:28">
      <c r="T403" s="1077">
        <v>24</v>
      </c>
      <c r="U403" s="1077">
        <f t="shared" si="30"/>
        <v>40</v>
      </c>
      <c r="V403" s="1077">
        <v>36</v>
      </c>
      <c r="W403" s="1077">
        <f t="array" ref="W403">SUMPRODUCT(IF('卡片raw data'!BM$1:BM$1000=T403,1,0),IF('卡片raw data'!BO$1:BO$1000=V403,1,0),IF(IF('卡片raw data'!C$1:C$1000=R$3,1,0)+IF(R$3="",1,0)&gt;=1,1,0),IF(IF('卡片raw data'!D$1:D$1000=R$4,1,0)+IF(R$4="",1,0)&gt;=1,1,0),IF(IF('卡片raw data'!E$1:E$1000=R$5,1,0)+IF(R$5="",1,0)&gt;=1,1,0))</f>
        <v>0</v>
      </c>
      <c r="Y403" s="1307">
        <f t="shared" si="31"/>
        <v>36</v>
      </c>
      <c r="Z403" s="1307">
        <f t="shared" si="32"/>
        <v>0</v>
      </c>
      <c r="AA403" s="1307">
        <f t="shared" si="33"/>
        <v>36</v>
      </c>
      <c r="AB403" s="1307">
        <f t="shared" si="34"/>
        <v>0</v>
      </c>
    </row>
    <row r="404" spans="20:28">
      <c r="T404" s="1077">
        <v>24</v>
      </c>
      <c r="U404" s="1077">
        <f t="shared" si="30"/>
        <v>39</v>
      </c>
      <c r="V404" s="1077">
        <v>37</v>
      </c>
      <c r="W404" s="1077">
        <f t="array" ref="W404">SUMPRODUCT(IF('卡片raw data'!BM$1:BM$1000=T404,1,0),IF('卡片raw data'!BO$1:BO$1000=V404,1,0),IF(IF('卡片raw data'!C$1:C$1000=R$3,1,0)+IF(R$3="",1,0)&gt;=1,1,0),IF(IF('卡片raw data'!D$1:D$1000=R$4,1,0)+IF(R$4="",1,0)&gt;=1,1,0),IF(IF('卡片raw data'!E$1:E$1000=R$5,1,0)+IF(R$5="",1,0)&gt;=1,1,0))</f>
        <v>0</v>
      </c>
      <c r="Y404" s="1307">
        <f t="shared" si="31"/>
        <v>37</v>
      </c>
      <c r="Z404" s="1307">
        <f t="shared" si="32"/>
        <v>0</v>
      </c>
      <c r="AA404" s="1307">
        <f t="shared" si="33"/>
        <v>37</v>
      </c>
      <c r="AB404" s="1307">
        <f t="shared" si="34"/>
        <v>0</v>
      </c>
    </row>
    <row r="405" spans="20:28">
      <c r="T405" s="1077">
        <v>24</v>
      </c>
      <c r="U405" s="1077">
        <f t="shared" si="30"/>
        <v>38</v>
      </c>
      <c r="V405" s="1077">
        <v>38</v>
      </c>
      <c r="W405" s="1077">
        <f t="array" ref="W405">SUMPRODUCT(IF('卡片raw data'!BM$1:BM$1000=T405,1,0),IF('卡片raw data'!BO$1:BO$1000=V405,1,0),IF(IF('卡片raw data'!C$1:C$1000=R$3,1,0)+IF(R$3="",1,0)&gt;=1,1,0),IF(IF('卡片raw data'!D$1:D$1000=R$4,1,0)+IF(R$4="",1,0)&gt;=1,1,0),IF(IF('卡片raw data'!E$1:E$1000=R$5,1,0)+IF(R$5="",1,0)&gt;=1,1,0))</f>
        <v>0</v>
      </c>
      <c r="Y405" s="1307">
        <f t="shared" si="31"/>
        <v>38</v>
      </c>
      <c r="Z405" s="1307">
        <f t="shared" si="32"/>
        <v>0</v>
      </c>
      <c r="AA405" s="1307">
        <f t="shared" si="33"/>
        <v>38</v>
      </c>
      <c r="AB405" s="1307">
        <f t="shared" si="34"/>
        <v>0</v>
      </c>
    </row>
    <row r="406" spans="20:28">
      <c r="T406" s="1077">
        <v>24</v>
      </c>
      <c r="U406" s="1077">
        <f t="shared" si="30"/>
        <v>37</v>
      </c>
      <c r="V406" s="1077">
        <v>39</v>
      </c>
      <c r="W406" s="1077">
        <f t="array" ref="W406">SUMPRODUCT(IF('卡片raw data'!BM$1:BM$1000=T406,1,0),IF('卡片raw data'!BO$1:BO$1000=V406,1,0),IF(IF('卡片raw data'!C$1:C$1000=R$3,1,0)+IF(R$3="",1,0)&gt;=1,1,0),IF(IF('卡片raw data'!D$1:D$1000=R$4,1,0)+IF(R$4="",1,0)&gt;=1,1,0),IF(IF('卡片raw data'!E$1:E$1000=R$5,1,0)+IF(R$5="",1,0)&gt;=1,1,0))</f>
        <v>0</v>
      </c>
      <c r="Y406" s="1307">
        <f t="shared" si="31"/>
        <v>39</v>
      </c>
      <c r="Z406" s="1307">
        <f t="shared" si="32"/>
        <v>0</v>
      </c>
      <c r="AA406" s="1307">
        <f t="shared" si="33"/>
        <v>39</v>
      </c>
      <c r="AB406" s="1307">
        <f t="shared" si="34"/>
        <v>0</v>
      </c>
    </row>
    <row r="407" spans="20:28">
      <c r="T407" s="1077">
        <v>24</v>
      </c>
      <c r="U407" s="1077">
        <f t="shared" si="30"/>
        <v>36</v>
      </c>
      <c r="V407" s="1077">
        <v>40</v>
      </c>
      <c r="W407" s="1077">
        <f t="array" ref="W407">SUMPRODUCT(IF('卡片raw data'!BM$1:BM$1000=T407,1,0),IF('卡片raw data'!BO$1:BO$1000=V407,1,0),IF(IF('卡片raw data'!C$1:C$1000=R$3,1,0)+IF(R$3="",1,0)&gt;=1,1,0),IF(IF('卡片raw data'!D$1:D$1000=R$4,1,0)+IF(R$4="",1,0)&gt;=1,1,0),IF(IF('卡片raw data'!E$1:E$1000=R$5,1,0)+IF(R$5="",1,0)&gt;=1,1,0))</f>
        <v>0</v>
      </c>
      <c r="Y407" s="1307">
        <f t="shared" si="31"/>
        <v>40</v>
      </c>
      <c r="Z407" s="1307">
        <f t="shared" si="32"/>
        <v>0</v>
      </c>
      <c r="AA407" s="1307">
        <f t="shared" si="33"/>
        <v>40</v>
      </c>
      <c r="AB407" s="1307">
        <f t="shared" si="34"/>
        <v>0</v>
      </c>
    </row>
    <row r="408" spans="20:28">
      <c r="T408" s="1077">
        <v>24</v>
      </c>
      <c r="U408" s="1077">
        <f t="shared" si="30"/>
        <v>35</v>
      </c>
      <c r="V408" s="1077">
        <v>41</v>
      </c>
      <c r="W408" s="1077">
        <f t="array" ref="W408">SUMPRODUCT(IF('卡片raw data'!BM$1:BM$1000=T408,1,0),IF('卡片raw data'!BO$1:BO$1000=V408,1,0),IF(IF('卡片raw data'!C$1:C$1000=R$3,1,0)+IF(R$3="",1,0)&gt;=1,1,0),IF(IF('卡片raw data'!D$1:D$1000=R$4,1,0)+IF(R$4="",1,0)&gt;=1,1,0),IF(IF('卡片raw data'!E$1:E$1000=R$5,1,0)+IF(R$5="",1,0)&gt;=1,1,0))</f>
        <v>0</v>
      </c>
      <c r="Y408" s="1307">
        <f t="shared" si="31"/>
        <v>41</v>
      </c>
      <c r="Z408" s="1307">
        <f t="shared" si="32"/>
        <v>0</v>
      </c>
      <c r="AA408" s="1307">
        <f t="shared" si="33"/>
        <v>41</v>
      </c>
      <c r="AB408" s="1307">
        <f t="shared" si="34"/>
        <v>0</v>
      </c>
    </row>
    <row r="409" spans="20:28">
      <c r="T409" s="1077">
        <v>24</v>
      </c>
      <c r="U409" s="1077">
        <f t="shared" si="30"/>
        <v>34</v>
      </c>
      <c r="V409" s="1077">
        <v>42</v>
      </c>
      <c r="W409" s="1077">
        <f t="array" ref="W409">SUMPRODUCT(IF('卡片raw data'!BM$1:BM$1000=T409,1,0),IF('卡片raw data'!BO$1:BO$1000=V409,1,0),IF(IF('卡片raw data'!C$1:C$1000=R$3,1,0)+IF(R$3="",1,0)&gt;=1,1,0),IF(IF('卡片raw data'!D$1:D$1000=R$4,1,0)+IF(R$4="",1,0)&gt;=1,1,0),IF(IF('卡片raw data'!E$1:E$1000=R$5,1,0)+IF(R$5="",1,0)&gt;=1,1,0))</f>
        <v>0</v>
      </c>
      <c r="Y409" s="1307">
        <f t="shared" si="31"/>
        <v>42</v>
      </c>
      <c r="Z409" s="1307">
        <f t="shared" si="32"/>
        <v>0</v>
      </c>
      <c r="AA409" s="1307">
        <f t="shared" si="33"/>
        <v>42</v>
      </c>
      <c r="AB409" s="1307">
        <f t="shared" si="34"/>
        <v>0</v>
      </c>
    </row>
    <row r="410" spans="20:28">
      <c r="T410" s="1077">
        <v>24</v>
      </c>
      <c r="U410" s="1077">
        <f t="shared" si="30"/>
        <v>33</v>
      </c>
      <c r="V410" s="1077">
        <v>43</v>
      </c>
      <c r="W410" s="1077">
        <f t="array" ref="W410">SUMPRODUCT(IF('卡片raw data'!BM$1:BM$1000=T410,1,0),IF('卡片raw data'!BO$1:BO$1000=V410,1,0),IF(IF('卡片raw data'!C$1:C$1000=R$3,1,0)+IF(R$3="",1,0)&gt;=1,1,0),IF(IF('卡片raw data'!D$1:D$1000=R$4,1,0)+IF(R$4="",1,0)&gt;=1,1,0),IF(IF('卡片raw data'!E$1:E$1000=R$5,1,0)+IF(R$5="",1,0)&gt;=1,1,0))</f>
        <v>0</v>
      </c>
      <c r="Y410" s="1307">
        <f t="shared" si="31"/>
        <v>43</v>
      </c>
      <c r="Z410" s="1307">
        <f t="shared" si="32"/>
        <v>0</v>
      </c>
      <c r="AA410" s="1307">
        <f t="shared" si="33"/>
        <v>43</v>
      </c>
      <c r="AB410" s="1307">
        <f t="shared" si="34"/>
        <v>0</v>
      </c>
    </row>
    <row r="411" spans="20:28">
      <c r="T411" s="1077">
        <v>24</v>
      </c>
      <c r="U411" s="1077">
        <f t="shared" si="30"/>
        <v>32</v>
      </c>
      <c r="V411" s="1077">
        <v>44</v>
      </c>
      <c r="W411" s="1077">
        <f t="array" ref="W411">SUMPRODUCT(IF('卡片raw data'!BM$1:BM$1000=T411,1,0),IF('卡片raw data'!BO$1:BO$1000=V411,1,0),IF(IF('卡片raw data'!C$1:C$1000=R$3,1,0)+IF(R$3="",1,0)&gt;=1,1,0),IF(IF('卡片raw data'!D$1:D$1000=R$4,1,0)+IF(R$4="",1,0)&gt;=1,1,0),IF(IF('卡片raw data'!E$1:E$1000=R$5,1,0)+IF(R$5="",1,0)&gt;=1,1,0))</f>
        <v>0</v>
      </c>
      <c r="Y411" s="1307">
        <f t="shared" si="31"/>
        <v>44</v>
      </c>
      <c r="Z411" s="1307">
        <f t="shared" si="32"/>
        <v>0</v>
      </c>
      <c r="AA411" s="1307">
        <f t="shared" si="33"/>
        <v>44</v>
      </c>
      <c r="AB411" s="1307">
        <f t="shared" si="34"/>
        <v>0</v>
      </c>
    </row>
    <row r="412" spans="20:28">
      <c r="T412" s="1077">
        <v>24</v>
      </c>
      <c r="U412" s="1077">
        <f t="shared" si="30"/>
        <v>31</v>
      </c>
      <c r="V412" s="1077">
        <v>45</v>
      </c>
      <c r="W412" s="1077">
        <f t="array" ref="W412">SUMPRODUCT(IF('卡片raw data'!BM$1:BM$1000=T412,1,0),IF('卡片raw data'!BO$1:BO$1000=V412,1,0),IF(IF('卡片raw data'!C$1:C$1000=R$3,1,0)+IF(R$3="",1,0)&gt;=1,1,0),IF(IF('卡片raw data'!D$1:D$1000=R$4,1,0)+IF(R$4="",1,0)&gt;=1,1,0),IF(IF('卡片raw data'!E$1:E$1000=R$5,1,0)+IF(R$5="",1,0)&gt;=1,1,0))</f>
        <v>0</v>
      </c>
      <c r="Y412" s="1307">
        <f t="shared" si="31"/>
        <v>45</v>
      </c>
      <c r="Z412" s="1307">
        <f t="shared" si="32"/>
        <v>0</v>
      </c>
      <c r="AA412" s="1307">
        <f t="shared" si="33"/>
        <v>45</v>
      </c>
      <c r="AB412" s="1307">
        <f t="shared" si="34"/>
        <v>0</v>
      </c>
    </row>
    <row r="413" spans="20:28">
      <c r="T413" s="1077">
        <v>24</v>
      </c>
      <c r="U413" s="1077">
        <f t="shared" si="30"/>
        <v>30</v>
      </c>
      <c r="V413" s="1077">
        <v>46</v>
      </c>
      <c r="W413" s="1077">
        <f t="array" ref="W413">SUMPRODUCT(IF('卡片raw data'!BM$1:BM$1000=T413,1,0),IF('卡片raw data'!BO$1:BO$1000=V413,1,0),IF(IF('卡片raw data'!C$1:C$1000=R$3,1,0)+IF(R$3="",1,0)&gt;=1,1,0),IF(IF('卡片raw data'!D$1:D$1000=R$4,1,0)+IF(R$4="",1,0)&gt;=1,1,0),IF(IF('卡片raw data'!E$1:E$1000=R$5,1,0)+IF(R$5="",1,0)&gt;=1,1,0))</f>
        <v>0</v>
      </c>
      <c r="Y413" s="1307">
        <f t="shared" si="31"/>
        <v>46</v>
      </c>
      <c r="Z413" s="1307">
        <f t="shared" si="32"/>
        <v>0</v>
      </c>
      <c r="AA413" s="1307">
        <f t="shared" si="33"/>
        <v>46</v>
      </c>
      <c r="AB413" s="1307">
        <f t="shared" si="34"/>
        <v>0</v>
      </c>
    </row>
    <row r="414" spans="20:28">
      <c r="T414" s="1077">
        <v>24</v>
      </c>
      <c r="U414" s="1077">
        <f t="shared" si="30"/>
        <v>29</v>
      </c>
      <c r="V414" s="1077">
        <v>47</v>
      </c>
      <c r="W414" s="1077">
        <f t="array" ref="W414">SUMPRODUCT(IF('卡片raw data'!BM$1:BM$1000=T414,1,0),IF('卡片raw data'!BO$1:BO$1000=V414,1,0),IF(IF('卡片raw data'!C$1:C$1000=R$3,1,0)+IF(R$3="",1,0)&gt;=1,1,0),IF(IF('卡片raw data'!D$1:D$1000=R$4,1,0)+IF(R$4="",1,0)&gt;=1,1,0),IF(IF('卡片raw data'!E$1:E$1000=R$5,1,0)+IF(R$5="",1,0)&gt;=1,1,0))</f>
        <v>0</v>
      </c>
      <c r="Y414" s="1307">
        <f t="shared" si="31"/>
        <v>47</v>
      </c>
      <c r="Z414" s="1307">
        <f t="shared" si="32"/>
        <v>0</v>
      </c>
      <c r="AA414" s="1307">
        <f t="shared" si="33"/>
        <v>47</v>
      </c>
      <c r="AB414" s="1307">
        <f t="shared" si="34"/>
        <v>0</v>
      </c>
    </row>
    <row r="415" spans="20:28">
      <c r="T415" s="1077">
        <v>24</v>
      </c>
      <c r="U415" s="1077">
        <f t="shared" si="30"/>
        <v>28</v>
      </c>
      <c r="V415" s="1077">
        <v>48</v>
      </c>
      <c r="W415" s="1077">
        <f t="array" ref="W415">SUMPRODUCT(IF('卡片raw data'!BM$1:BM$1000=T415,1,0),IF('卡片raw data'!BO$1:BO$1000=V415,1,0),IF(IF('卡片raw data'!C$1:C$1000=R$3,1,0)+IF(R$3="",1,0)&gt;=1,1,0),IF(IF('卡片raw data'!D$1:D$1000=R$4,1,0)+IF(R$4="",1,0)&gt;=1,1,0),IF(IF('卡片raw data'!E$1:E$1000=R$5,1,0)+IF(R$5="",1,0)&gt;=1,1,0))</f>
        <v>0</v>
      </c>
      <c r="Y415" s="1307">
        <f t="shared" si="31"/>
        <v>48</v>
      </c>
      <c r="Z415" s="1307">
        <f t="shared" si="32"/>
        <v>0</v>
      </c>
      <c r="AA415" s="1307">
        <f t="shared" si="33"/>
        <v>48</v>
      </c>
      <c r="AB415" s="1307">
        <f t="shared" si="34"/>
        <v>0</v>
      </c>
    </row>
    <row r="416" spans="20:28">
      <c r="T416" s="1077">
        <v>24</v>
      </c>
      <c r="U416" s="1077">
        <f t="shared" si="30"/>
        <v>27</v>
      </c>
      <c r="V416" s="1077">
        <v>49</v>
      </c>
      <c r="W416" s="1077">
        <f t="array" ref="W416">SUMPRODUCT(IF('卡片raw data'!BM$1:BM$1000=T416,1,0),IF('卡片raw data'!BO$1:BO$1000=V416,1,0),IF(IF('卡片raw data'!C$1:C$1000=R$3,1,0)+IF(R$3="",1,0)&gt;=1,1,0),IF(IF('卡片raw data'!D$1:D$1000=R$4,1,0)+IF(R$4="",1,0)&gt;=1,1,0),IF(IF('卡片raw data'!E$1:E$1000=R$5,1,0)+IF(R$5="",1,0)&gt;=1,1,0))</f>
        <v>0</v>
      </c>
      <c r="Y416" s="1307">
        <f t="shared" si="31"/>
        <v>49</v>
      </c>
      <c r="Z416" s="1307">
        <f t="shared" si="32"/>
        <v>0</v>
      </c>
      <c r="AA416" s="1307">
        <f t="shared" si="33"/>
        <v>49</v>
      </c>
      <c r="AB416" s="1307">
        <f t="shared" si="34"/>
        <v>0</v>
      </c>
    </row>
    <row r="417" spans="20:28">
      <c r="T417" s="1077">
        <v>24</v>
      </c>
      <c r="U417" s="1077">
        <f t="shared" si="30"/>
        <v>26</v>
      </c>
      <c r="V417" s="1077">
        <v>50</v>
      </c>
      <c r="W417" s="1077">
        <f t="array" ref="W417">SUMPRODUCT(IF('卡片raw data'!BM$1:BM$1000=T417,1,0),IF('卡片raw data'!BO$1:BO$1000=V417,1,0),IF(IF('卡片raw data'!C$1:C$1000=R$3,1,0)+IF(R$3="",1,0)&gt;=1,1,0),IF(IF('卡片raw data'!D$1:D$1000=R$4,1,0)+IF(R$4="",1,0)&gt;=1,1,0),IF(IF('卡片raw data'!E$1:E$1000=R$5,1,0)+IF(R$5="",1,0)&gt;=1,1,0))</f>
        <v>0</v>
      </c>
      <c r="Y417" s="1307">
        <f t="shared" si="31"/>
        <v>50</v>
      </c>
      <c r="Z417" s="1307">
        <f t="shared" si="32"/>
        <v>0</v>
      </c>
      <c r="AA417" s="1307">
        <f t="shared" si="33"/>
        <v>50</v>
      </c>
      <c r="AB417" s="1307">
        <f t="shared" si="34"/>
        <v>0</v>
      </c>
    </row>
    <row r="418" spans="20:28">
      <c r="T418" s="1077">
        <v>24</v>
      </c>
      <c r="U418" s="1077">
        <f t="shared" si="30"/>
        <v>25</v>
      </c>
      <c r="V418" s="1077">
        <v>51</v>
      </c>
      <c r="W418" s="1077">
        <f t="array" ref="W418">SUMPRODUCT(IF('卡片raw data'!BM$1:BM$1000=T418,1,0),IF('卡片raw data'!BO$1:BO$1000=V418,1,0),IF(IF('卡片raw data'!C$1:C$1000=R$3,1,0)+IF(R$3="",1,0)&gt;=1,1,0),IF(IF('卡片raw data'!D$1:D$1000=R$4,1,0)+IF(R$4="",1,0)&gt;=1,1,0),IF(IF('卡片raw data'!E$1:E$1000=R$5,1,0)+IF(R$5="",1,0)&gt;=1,1,0))</f>
        <v>0</v>
      </c>
      <c r="Y418" s="1307">
        <f t="shared" si="31"/>
        <v>51</v>
      </c>
      <c r="Z418" s="1307">
        <f t="shared" si="32"/>
        <v>0</v>
      </c>
      <c r="AA418" s="1307">
        <f t="shared" si="33"/>
        <v>51</v>
      </c>
      <c r="AB418" s="1307">
        <f t="shared" si="34"/>
        <v>0</v>
      </c>
    </row>
    <row r="419" spans="20:28">
      <c r="T419" s="1077">
        <v>24</v>
      </c>
      <c r="U419" s="1077">
        <f t="shared" si="30"/>
        <v>24</v>
      </c>
      <c r="V419" s="1077">
        <v>52</v>
      </c>
      <c r="W419" s="1077">
        <f t="array" ref="W419">SUMPRODUCT(IF('卡片raw data'!BM$1:BM$1000=T419,1,0),IF('卡片raw data'!BO$1:BO$1000=V419,1,0),IF(IF('卡片raw data'!C$1:C$1000=R$3,1,0)+IF(R$3="",1,0)&gt;=1,1,0),IF(IF('卡片raw data'!D$1:D$1000=R$4,1,0)+IF(R$4="",1,0)&gt;=1,1,0),IF(IF('卡片raw data'!E$1:E$1000=R$5,1,0)+IF(R$5="",1,0)&gt;=1,1,0))</f>
        <v>0</v>
      </c>
      <c r="Y419" s="1307">
        <f t="shared" si="31"/>
        <v>52</v>
      </c>
      <c r="Z419" s="1307">
        <f t="shared" si="32"/>
        <v>0</v>
      </c>
      <c r="AA419" s="1307">
        <f t="shared" si="33"/>
        <v>52</v>
      </c>
      <c r="AB419" s="1307">
        <f t="shared" si="34"/>
        <v>0</v>
      </c>
    </row>
    <row r="420" spans="20:28">
      <c r="T420" s="1077">
        <v>24</v>
      </c>
      <c r="U420" s="1077">
        <f t="shared" si="30"/>
        <v>23</v>
      </c>
      <c r="V420" s="1077">
        <v>53</v>
      </c>
      <c r="W420" s="1077">
        <f t="array" ref="W420">SUMPRODUCT(IF('卡片raw data'!BM$1:BM$1000=T420,1,0),IF('卡片raw data'!BO$1:BO$1000=V420,1,0),IF(IF('卡片raw data'!C$1:C$1000=R$3,1,0)+IF(R$3="",1,0)&gt;=1,1,0),IF(IF('卡片raw data'!D$1:D$1000=R$4,1,0)+IF(R$4="",1,0)&gt;=1,1,0),IF(IF('卡片raw data'!E$1:E$1000=R$5,1,0)+IF(R$5="",1,0)&gt;=1,1,0))</f>
        <v>0</v>
      </c>
      <c r="Y420" s="1307">
        <f t="shared" si="31"/>
        <v>53</v>
      </c>
      <c r="Z420" s="1307">
        <f t="shared" si="32"/>
        <v>0</v>
      </c>
      <c r="AA420" s="1307">
        <f t="shared" si="33"/>
        <v>53</v>
      </c>
      <c r="AB420" s="1307">
        <f t="shared" si="34"/>
        <v>0</v>
      </c>
    </row>
    <row r="421" spans="20:28">
      <c r="T421" s="1077">
        <v>24</v>
      </c>
      <c r="U421" s="1077">
        <f t="shared" si="30"/>
        <v>22</v>
      </c>
      <c r="V421" s="1077">
        <v>54</v>
      </c>
      <c r="W421" s="1077">
        <f t="array" ref="W421">SUMPRODUCT(IF('卡片raw data'!BM$1:BM$1000=T421,1,0),IF('卡片raw data'!BO$1:BO$1000=V421,1,0),IF(IF('卡片raw data'!C$1:C$1000=R$3,1,0)+IF(R$3="",1,0)&gt;=1,1,0),IF(IF('卡片raw data'!D$1:D$1000=R$4,1,0)+IF(R$4="",1,0)&gt;=1,1,0),IF(IF('卡片raw data'!E$1:E$1000=R$5,1,0)+IF(R$5="",1,0)&gt;=1,1,0))</f>
        <v>0</v>
      </c>
      <c r="Y421" s="1307">
        <f t="shared" si="31"/>
        <v>54</v>
      </c>
      <c r="Z421" s="1307">
        <f t="shared" si="32"/>
        <v>0</v>
      </c>
      <c r="AA421" s="1307">
        <f t="shared" si="33"/>
        <v>54</v>
      </c>
      <c r="AB421" s="1307">
        <f t="shared" si="34"/>
        <v>0</v>
      </c>
    </row>
    <row r="422" spans="20:28">
      <c r="T422" s="1077">
        <v>24</v>
      </c>
      <c r="U422" s="1077">
        <f t="shared" si="30"/>
        <v>21</v>
      </c>
      <c r="V422" s="1077">
        <v>55</v>
      </c>
      <c r="W422" s="1077">
        <f t="array" ref="W422">SUMPRODUCT(IF('卡片raw data'!BM$1:BM$1000=T422,1,0),IF('卡片raw data'!BO$1:BO$1000=V422,1,0),IF(IF('卡片raw data'!C$1:C$1000=R$3,1,0)+IF(R$3="",1,0)&gt;=1,1,0),IF(IF('卡片raw data'!D$1:D$1000=R$4,1,0)+IF(R$4="",1,0)&gt;=1,1,0),IF(IF('卡片raw data'!E$1:E$1000=R$5,1,0)+IF(R$5="",1,0)&gt;=1,1,0))</f>
        <v>0</v>
      </c>
      <c r="Y422" s="1307">
        <f t="shared" si="31"/>
        <v>55</v>
      </c>
      <c r="Z422" s="1307">
        <f t="shared" si="32"/>
        <v>0</v>
      </c>
      <c r="AA422" s="1307">
        <f t="shared" si="33"/>
        <v>55</v>
      </c>
      <c r="AB422" s="1307">
        <f t="shared" si="34"/>
        <v>0</v>
      </c>
    </row>
    <row r="423" spans="20:28">
      <c r="T423" s="1077">
        <v>25</v>
      </c>
      <c r="U423" s="1077">
        <f t="shared" si="30"/>
        <v>55</v>
      </c>
      <c r="V423" s="1077">
        <v>20</v>
      </c>
      <c r="W423" s="1077">
        <f t="array" ref="W423">SUMPRODUCT(IF('卡片raw data'!BM$1:BM$1000=T423,1,0),IF('卡片raw data'!BO$1:BO$1000=V423,1,0),IF(IF('卡片raw data'!C$1:C$1000=R$3,1,0)+IF(R$3="",1,0)&gt;=1,1,0),IF(IF('卡片raw data'!D$1:D$1000=R$4,1,0)+IF(R$4="",1,0)&gt;=1,1,0),IF(IF('卡片raw data'!E$1:E$1000=R$5,1,0)+IF(R$5="",1,0)&gt;=1,1,0))</f>
        <v>0</v>
      </c>
      <c r="Y423" s="1307">
        <f t="shared" si="31"/>
        <v>20</v>
      </c>
      <c r="Z423" s="1307">
        <f t="shared" si="32"/>
        <v>0</v>
      </c>
      <c r="AA423" s="1307">
        <f t="shared" si="33"/>
        <v>20</v>
      </c>
      <c r="AB423" s="1307">
        <f t="shared" si="34"/>
        <v>0</v>
      </c>
    </row>
    <row r="424" spans="20:28">
      <c r="T424" s="1077">
        <v>25</v>
      </c>
      <c r="U424" s="1077">
        <f t="shared" si="30"/>
        <v>54</v>
      </c>
      <c r="V424" s="1077">
        <v>21</v>
      </c>
      <c r="W424" s="1077">
        <f t="array" ref="W424">SUMPRODUCT(IF('卡片raw data'!BM$1:BM$1000=T424,1,0),IF('卡片raw data'!BO$1:BO$1000=V424,1,0),IF(IF('卡片raw data'!C$1:C$1000=R$3,1,0)+IF(R$3="",1,0)&gt;=1,1,0),IF(IF('卡片raw data'!D$1:D$1000=R$4,1,0)+IF(R$4="",1,0)&gt;=1,1,0),IF(IF('卡片raw data'!E$1:E$1000=R$5,1,0)+IF(R$5="",1,0)&gt;=1,1,0))</f>
        <v>0</v>
      </c>
      <c r="Y424" s="1307">
        <f t="shared" si="31"/>
        <v>21</v>
      </c>
      <c r="Z424" s="1307">
        <f t="shared" si="32"/>
        <v>0</v>
      </c>
      <c r="AA424" s="1307">
        <f t="shared" si="33"/>
        <v>21</v>
      </c>
      <c r="AB424" s="1307">
        <f t="shared" si="34"/>
        <v>0</v>
      </c>
    </row>
    <row r="425" spans="20:28">
      <c r="T425" s="1077">
        <v>25</v>
      </c>
      <c r="U425" s="1077">
        <f t="shared" si="30"/>
        <v>53</v>
      </c>
      <c r="V425" s="1077">
        <v>22</v>
      </c>
      <c r="W425" s="1077">
        <f t="array" ref="W425">SUMPRODUCT(IF('卡片raw data'!BM$1:BM$1000=T425,1,0),IF('卡片raw data'!BO$1:BO$1000=V425,1,0),IF(IF('卡片raw data'!C$1:C$1000=R$3,1,0)+IF(R$3="",1,0)&gt;=1,1,0),IF(IF('卡片raw data'!D$1:D$1000=R$4,1,0)+IF(R$4="",1,0)&gt;=1,1,0),IF(IF('卡片raw data'!E$1:E$1000=R$5,1,0)+IF(R$5="",1,0)&gt;=1,1,0))</f>
        <v>0</v>
      </c>
      <c r="Y425" s="1307">
        <f t="shared" si="31"/>
        <v>22</v>
      </c>
      <c r="Z425" s="1307">
        <f t="shared" si="32"/>
        <v>0</v>
      </c>
      <c r="AA425" s="1307">
        <f t="shared" si="33"/>
        <v>22</v>
      </c>
      <c r="AB425" s="1307">
        <f t="shared" si="34"/>
        <v>0</v>
      </c>
    </row>
    <row r="426" spans="20:28">
      <c r="T426" s="1077">
        <v>25</v>
      </c>
      <c r="U426" s="1077">
        <f t="shared" si="30"/>
        <v>52</v>
      </c>
      <c r="V426" s="1077">
        <v>23</v>
      </c>
      <c r="W426" s="1077">
        <f t="array" ref="W426">SUMPRODUCT(IF('卡片raw data'!BM$1:BM$1000=T426,1,0),IF('卡片raw data'!BO$1:BO$1000=V426,1,0),IF(IF('卡片raw data'!C$1:C$1000=R$3,1,0)+IF(R$3="",1,0)&gt;=1,1,0),IF(IF('卡片raw data'!D$1:D$1000=R$4,1,0)+IF(R$4="",1,0)&gt;=1,1,0),IF(IF('卡片raw data'!E$1:E$1000=R$5,1,0)+IF(R$5="",1,0)&gt;=1,1,0))</f>
        <v>0</v>
      </c>
      <c r="Y426" s="1307">
        <f t="shared" si="31"/>
        <v>23</v>
      </c>
      <c r="Z426" s="1307">
        <f t="shared" si="32"/>
        <v>0</v>
      </c>
      <c r="AA426" s="1307">
        <f t="shared" si="33"/>
        <v>23</v>
      </c>
      <c r="AB426" s="1307">
        <f t="shared" si="34"/>
        <v>0</v>
      </c>
    </row>
    <row r="427" spans="20:28">
      <c r="T427" s="1077">
        <v>25</v>
      </c>
      <c r="U427" s="1077">
        <f t="shared" si="30"/>
        <v>51</v>
      </c>
      <c r="V427" s="1077">
        <v>24</v>
      </c>
      <c r="W427" s="1077">
        <f t="array" ref="W427">SUMPRODUCT(IF('卡片raw data'!BM$1:BM$1000=T427,1,0),IF('卡片raw data'!BO$1:BO$1000=V427,1,0),IF(IF('卡片raw data'!C$1:C$1000=R$3,1,0)+IF(R$3="",1,0)&gt;=1,1,0),IF(IF('卡片raw data'!D$1:D$1000=R$4,1,0)+IF(R$4="",1,0)&gt;=1,1,0),IF(IF('卡片raw data'!E$1:E$1000=R$5,1,0)+IF(R$5="",1,0)&gt;=1,1,0))</f>
        <v>0</v>
      </c>
      <c r="Y427" s="1307">
        <f t="shared" si="31"/>
        <v>24</v>
      </c>
      <c r="Z427" s="1307">
        <f t="shared" si="32"/>
        <v>0</v>
      </c>
      <c r="AA427" s="1307">
        <f t="shared" si="33"/>
        <v>24</v>
      </c>
      <c r="AB427" s="1307">
        <f t="shared" si="34"/>
        <v>0</v>
      </c>
    </row>
    <row r="428" spans="20:28">
      <c r="T428" s="1077">
        <v>25</v>
      </c>
      <c r="U428" s="1077">
        <f t="shared" si="30"/>
        <v>50</v>
      </c>
      <c r="V428" s="1077">
        <v>25</v>
      </c>
      <c r="W428" s="1077">
        <f t="array" ref="W428">SUMPRODUCT(IF('卡片raw data'!BM$1:BM$1000=T428,1,0),IF('卡片raw data'!BO$1:BO$1000=V428,1,0),IF(IF('卡片raw data'!C$1:C$1000=R$3,1,0)+IF(R$3="",1,0)&gt;=1,1,0),IF(IF('卡片raw data'!D$1:D$1000=R$4,1,0)+IF(R$4="",1,0)&gt;=1,1,0),IF(IF('卡片raw data'!E$1:E$1000=R$5,1,0)+IF(R$5="",1,0)&gt;=1,1,0))</f>
        <v>0</v>
      </c>
      <c r="Y428" s="1307">
        <f t="shared" si="31"/>
        <v>25</v>
      </c>
      <c r="Z428" s="1307">
        <f t="shared" si="32"/>
        <v>0</v>
      </c>
      <c r="AA428" s="1307">
        <f t="shared" si="33"/>
        <v>25</v>
      </c>
      <c r="AB428" s="1307">
        <f t="shared" si="34"/>
        <v>0</v>
      </c>
    </row>
    <row r="429" spans="20:28">
      <c r="T429" s="1077">
        <v>25</v>
      </c>
      <c r="U429" s="1077">
        <f t="shared" si="30"/>
        <v>49</v>
      </c>
      <c r="V429" s="1077">
        <v>26</v>
      </c>
      <c r="W429" s="1077">
        <f t="array" ref="W429">SUMPRODUCT(IF('卡片raw data'!BM$1:BM$1000=T429,1,0),IF('卡片raw data'!BO$1:BO$1000=V429,1,0),IF(IF('卡片raw data'!C$1:C$1000=R$3,1,0)+IF(R$3="",1,0)&gt;=1,1,0),IF(IF('卡片raw data'!D$1:D$1000=R$4,1,0)+IF(R$4="",1,0)&gt;=1,1,0),IF(IF('卡片raw data'!E$1:E$1000=R$5,1,0)+IF(R$5="",1,0)&gt;=1,1,0))</f>
        <v>0</v>
      </c>
      <c r="Y429" s="1307">
        <f t="shared" si="31"/>
        <v>26</v>
      </c>
      <c r="Z429" s="1307">
        <f t="shared" si="32"/>
        <v>0</v>
      </c>
      <c r="AA429" s="1307">
        <f t="shared" si="33"/>
        <v>26</v>
      </c>
      <c r="AB429" s="1307">
        <f t="shared" si="34"/>
        <v>0</v>
      </c>
    </row>
    <row r="430" spans="20:28">
      <c r="T430" s="1077">
        <v>25</v>
      </c>
      <c r="U430" s="1077">
        <f t="shared" si="30"/>
        <v>48</v>
      </c>
      <c r="V430" s="1077">
        <v>27</v>
      </c>
      <c r="W430" s="1077">
        <f t="array" ref="W430">SUMPRODUCT(IF('卡片raw data'!BM$1:BM$1000=T430,1,0),IF('卡片raw data'!BO$1:BO$1000=V430,1,0),IF(IF('卡片raw data'!C$1:C$1000=R$3,1,0)+IF(R$3="",1,0)&gt;=1,1,0),IF(IF('卡片raw data'!D$1:D$1000=R$4,1,0)+IF(R$4="",1,0)&gt;=1,1,0),IF(IF('卡片raw data'!E$1:E$1000=R$5,1,0)+IF(R$5="",1,0)&gt;=1,1,0))</f>
        <v>2</v>
      </c>
      <c r="Y430" s="1307">
        <f t="shared" si="31"/>
        <v>27</v>
      </c>
      <c r="Z430" s="1307">
        <f t="shared" si="32"/>
        <v>0</v>
      </c>
      <c r="AA430" s="1307">
        <f t="shared" si="33"/>
        <v>27</v>
      </c>
      <c r="AB430" s="1307">
        <f t="shared" si="34"/>
        <v>2</v>
      </c>
    </row>
    <row r="431" spans="20:28">
      <c r="T431" s="1077">
        <v>25</v>
      </c>
      <c r="U431" s="1077">
        <f t="shared" si="30"/>
        <v>47</v>
      </c>
      <c r="V431" s="1077">
        <v>28</v>
      </c>
      <c r="W431" s="1077">
        <f t="array" ref="W431">SUMPRODUCT(IF('卡片raw data'!BM$1:BM$1000=T431,1,0),IF('卡片raw data'!BO$1:BO$1000=V431,1,0),IF(IF('卡片raw data'!C$1:C$1000=R$3,1,0)+IF(R$3="",1,0)&gt;=1,1,0),IF(IF('卡片raw data'!D$1:D$1000=R$4,1,0)+IF(R$4="",1,0)&gt;=1,1,0),IF(IF('卡片raw data'!E$1:E$1000=R$5,1,0)+IF(R$5="",1,0)&gt;=1,1,0))</f>
        <v>1</v>
      </c>
      <c r="Y431" s="1307">
        <f t="shared" si="31"/>
        <v>28</v>
      </c>
      <c r="Z431" s="1307">
        <f t="shared" si="32"/>
        <v>0</v>
      </c>
      <c r="AA431" s="1307">
        <f t="shared" si="33"/>
        <v>28</v>
      </c>
      <c r="AB431" s="1307">
        <f t="shared" si="34"/>
        <v>1</v>
      </c>
    </row>
    <row r="432" spans="20:28">
      <c r="T432" s="1077">
        <v>25</v>
      </c>
      <c r="U432" s="1077">
        <f t="shared" si="30"/>
        <v>46</v>
      </c>
      <c r="V432" s="1077">
        <v>29</v>
      </c>
      <c r="W432" s="1077">
        <f t="array" ref="W432">SUMPRODUCT(IF('卡片raw data'!BM$1:BM$1000=T432,1,0),IF('卡片raw data'!BO$1:BO$1000=V432,1,0),IF(IF('卡片raw data'!C$1:C$1000=R$3,1,0)+IF(R$3="",1,0)&gt;=1,1,0),IF(IF('卡片raw data'!D$1:D$1000=R$4,1,0)+IF(R$4="",1,0)&gt;=1,1,0),IF(IF('卡片raw data'!E$1:E$1000=R$5,1,0)+IF(R$5="",1,0)&gt;=1,1,0))</f>
        <v>0</v>
      </c>
      <c r="Y432" s="1307">
        <f t="shared" si="31"/>
        <v>29</v>
      </c>
      <c r="Z432" s="1307">
        <f t="shared" si="32"/>
        <v>0</v>
      </c>
      <c r="AA432" s="1307">
        <f t="shared" si="33"/>
        <v>29</v>
      </c>
      <c r="AB432" s="1307">
        <f t="shared" si="34"/>
        <v>0</v>
      </c>
    </row>
    <row r="433" spans="20:28">
      <c r="T433" s="1077">
        <v>25</v>
      </c>
      <c r="U433" s="1077">
        <f t="shared" si="30"/>
        <v>45</v>
      </c>
      <c r="V433" s="1077">
        <v>30</v>
      </c>
      <c r="W433" s="1077">
        <f t="array" ref="W433">SUMPRODUCT(IF('卡片raw data'!BM$1:BM$1000=T433,1,0),IF('卡片raw data'!BO$1:BO$1000=V433,1,0),IF(IF('卡片raw data'!C$1:C$1000=R$3,1,0)+IF(R$3="",1,0)&gt;=1,1,0),IF(IF('卡片raw data'!D$1:D$1000=R$4,1,0)+IF(R$4="",1,0)&gt;=1,1,0),IF(IF('卡片raw data'!E$1:E$1000=R$5,1,0)+IF(R$5="",1,0)&gt;=1,1,0))</f>
        <v>1</v>
      </c>
      <c r="Y433" s="1307">
        <f t="shared" si="31"/>
        <v>30</v>
      </c>
      <c r="Z433" s="1307">
        <f t="shared" si="32"/>
        <v>0</v>
      </c>
      <c r="AA433" s="1307">
        <f t="shared" si="33"/>
        <v>30</v>
      </c>
      <c r="AB433" s="1307">
        <f t="shared" si="34"/>
        <v>1</v>
      </c>
    </row>
    <row r="434" spans="20:28">
      <c r="T434" s="1077">
        <v>25</v>
      </c>
      <c r="U434" s="1077">
        <f t="shared" si="30"/>
        <v>44</v>
      </c>
      <c r="V434" s="1077">
        <v>31</v>
      </c>
      <c r="W434" s="1077">
        <f t="array" ref="W434">SUMPRODUCT(IF('卡片raw data'!BM$1:BM$1000=T434,1,0),IF('卡片raw data'!BO$1:BO$1000=V434,1,0),IF(IF('卡片raw data'!C$1:C$1000=R$3,1,0)+IF(R$3="",1,0)&gt;=1,1,0),IF(IF('卡片raw data'!D$1:D$1000=R$4,1,0)+IF(R$4="",1,0)&gt;=1,1,0),IF(IF('卡片raw data'!E$1:E$1000=R$5,1,0)+IF(R$5="",1,0)&gt;=1,1,0))</f>
        <v>0</v>
      </c>
      <c r="Y434" s="1307">
        <f t="shared" si="31"/>
        <v>31</v>
      </c>
      <c r="Z434" s="1307">
        <f t="shared" si="32"/>
        <v>0</v>
      </c>
      <c r="AA434" s="1307">
        <f t="shared" si="33"/>
        <v>31</v>
      </c>
      <c r="AB434" s="1307">
        <f t="shared" si="34"/>
        <v>0</v>
      </c>
    </row>
    <row r="435" spans="20:28">
      <c r="T435" s="1077">
        <v>25</v>
      </c>
      <c r="U435" s="1077">
        <f t="shared" si="30"/>
        <v>43</v>
      </c>
      <c r="V435" s="1077">
        <v>32</v>
      </c>
      <c r="W435" s="1077">
        <f t="array" ref="W435">SUMPRODUCT(IF('卡片raw data'!BM$1:BM$1000=T435,1,0),IF('卡片raw data'!BO$1:BO$1000=V435,1,0),IF(IF('卡片raw data'!C$1:C$1000=R$3,1,0)+IF(R$3="",1,0)&gt;=1,1,0),IF(IF('卡片raw data'!D$1:D$1000=R$4,1,0)+IF(R$4="",1,0)&gt;=1,1,0),IF(IF('卡片raw data'!E$1:E$1000=R$5,1,0)+IF(R$5="",1,0)&gt;=1,1,0))</f>
        <v>2</v>
      </c>
      <c r="Y435" s="1307">
        <f t="shared" si="31"/>
        <v>32</v>
      </c>
      <c r="Z435" s="1307">
        <f t="shared" si="32"/>
        <v>0</v>
      </c>
      <c r="AA435" s="1307">
        <f t="shared" si="33"/>
        <v>32</v>
      </c>
      <c r="AB435" s="1307">
        <f t="shared" si="34"/>
        <v>2</v>
      </c>
    </row>
    <row r="436" spans="20:28">
      <c r="T436" s="1077">
        <v>25</v>
      </c>
      <c r="U436" s="1077">
        <f t="shared" si="30"/>
        <v>42</v>
      </c>
      <c r="V436" s="1077">
        <v>33</v>
      </c>
      <c r="W436" s="1077">
        <f t="array" ref="W436">SUMPRODUCT(IF('卡片raw data'!BM$1:BM$1000=T436,1,0),IF('卡片raw data'!BO$1:BO$1000=V436,1,0),IF(IF('卡片raw data'!C$1:C$1000=R$3,1,0)+IF(R$3="",1,0)&gt;=1,1,0),IF(IF('卡片raw data'!D$1:D$1000=R$4,1,0)+IF(R$4="",1,0)&gt;=1,1,0),IF(IF('卡片raw data'!E$1:E$1000=R$5,1,0)+IF(R$5="",1,0)&gt;=1,1,0))</f>
        <v>0</v>
      </c>
      <c r="Y436" s="1307">
        <f t="shared" si="31"/>
        <v>33</v>
      </c>
      <c r="Z436" s="1307">
        <f t="shared" si="32"/>
        <v>0</v>
      </c>
      <c r="AA436" s="1307">
        <f t="shared" si="33"/>
        <v>33</v>
      </c>
      <c r="AB436" s="1307">
        <f t="shared" si="34"/>
        <v>0</v>
      </c>
    </row>
    <row r="437" spans="20:28">
      <c r="T437" s="1077">
        <v>25</v>
      </c>
      <c r="U437" s="1077">
        <f t="shared" si="30"/>
        <v>41</v>
      </c>
      <c r="V437" s="1077">
        <v>34</v>
      </c>
      <c r="W437" s="1077">
        <f t="array" ref="W437">SUMPRODUCT(IF('卡片raw data'!BM$1:BM$1000=T437,1,0),IF('卡片raw data'!BO$1:BO$1000=V437,1,0),IF(IF('卡片raw data'!C$1:C$1000=R$3,1,0)+IF(R$3="",1,0)&gt;=1,1,0),IF(IF('卡片raw data'!D$1:D$1000=R$4,1,0)+IF(R$4="",1,0)&gt;=1,1,0),IF(IF('卡片raw data'!E$1:E$1000=R$5,1,0)+IF(R$5="",1,0)&gt;=1,1,0))</f>
        <v>0</v>
      </c>
      <c r="Y437" s="1307">
        <f t="shared" si="31"/>
        <v>34</v>
      </c>
      <c r="Z437" s="1307">
        <f t="shared" si="32"/>
        <v>0</v>
      </c>
      <c r="AA437" s="1307">
        <f t="shared" si="33"/>
        <v>34</v>
      </c>
      <c r="AB437" s="1307">
        <f t="shared" si="34"/>
        <v>0</v>
      </c>
    </row>
    <row r="438" spans="20:28">
      <c r="T438" s="1077">
        <v>25</v>
      </c>
      <c r="U438" s="1077">
        <f t="shared" si="30"/>
        <v>40</v>
      </c>
      <c r="V438" s="1077">
        <v>35</v>
      </c>
      <c r="W438" s="1077">
        <f t="array" ref="W438">SUMPRODUCT(IF('卡片raw data'!BM$1:BM$1000=T438,1,0),IF('卡片raw data'!BO$1:BO$1000=V438,1,0),IF(IF('卡片raw data'!C$1:C$1000=R$3,1,0)+IF(R$3="",1,0)&gt;=1,1,0),IF(IF('卡片raw data'!D$1:D$1000=R$4,1,0)+IF(R$4="",1,0)&gt;=1,1,0),IF(IF('卡片raw data'!E$1:E$1000=R$5,1,0)+IF(R$5="",1,0)&gt;=1,1,0))</f>
        <v>1</v>
      </c>
      <c r="Y438" s="1307">
        <f t="shared" si="31"/>
        <v>35</v>
      </c>
      <c r="Z438" s="1307">
        <f t="shared" si="32"/>
        <v>0</v>
      </c>
      <c r="AA438" s="1307">
        <f t="shared" si="33"/>
        <v>35</v>
      </c>
      <c r="AB438" s="1307">
        <f t="shared" si="34"/>
        <v>1</v>
      </c>
    </row>
    <row r="439" spans="20:28">
      <c r="T439" s="1077">
        <v>25</v>
      </c>
      <c r="U439" s="1077">
        <f t="shared" si="30"/>
        <v>39</v>
      </c>
      <c r="V439" s="1077">
        <v>36</v>
      </c>
      <c r="W439" s="1077">
        <f t="array" ref="W439">SUMPRODUCT(IF('卡片raw data'!BM$1:BM$1000=T439,1,0),IF('卡片raw data'!BO$1:BO$1000=V439,1,0),IF(IF('卡片raw data'!C$1:C$1000=R$3,1,0)+IF(R$3="",1,0)&gt;=1,1,0),IF(IF('卡片raw data'!D$1:D$1000=R$4,1,0)+IF(R$4="",1,0)&gt;=1,1,0),IF(IF('卡片raw data'!E$1:E$1000=R$5,1,0)+IF(R$5="",1,0)&gt;=1,1,0))</f>
        <v>0</v>
      </c>
      <c r="Y439" s="1307">
        <f t="shared" si="31"/>
        <v>36</v>
      </c>
      <c r="Z439" s="1307">
        <f t="shared" si="32"/>
        <v>0</v>
      </c>
      <c r="AA439" s="1307">
        <f t="shared" si="33"/>
        <v>36</v>
      </c>
      <c r="AB439" s="1307">
        <f t="shared" si="34"/>
        <v>0</v>
      </c>
    </row>
    <row r="440" spans="20:28">
      <c r="T440" s="1077">
        <v>25</v>
      </c>
      <c r="U440" s="1077">
        <f t="shared" si="30"/>
        <v>38</v>
      </c>
      <c r="V440" s="1077">
        <v>37</v>
      </c>
      <c r="W440" s="1077">
        <f t="array" ref="W440">SUMPRODUCT(IF('卡片raw data'!BM$1:BM$1000=T440,1,0),IF('卡片raw data'!BO$1:BO$1000=V440,1,0),IF(IF('卡片raw data'!C$1:C$1000=R$3,1,0)+IF(R$3="",1,0)&gt;=1,1,0),IF(IF('卡片raw data'!D$1:D$1000=R$4,1,0)+IF(R$4="",1,0)&gt;=1,1,0),IF(IF('卡片raw data'!E$1:E$1000=R$5,1,0)+IF(R$5="",1,0)&gt;=1,1,0))</f>
        <v>0</v>
      </c>
      <c r="Y440" s="1307">
        <f t="shared" si="31"/>
        <v>37</v>
      </c>
      <c r="Z440" s="1307">
        <f t="shared" si="32"/>
        <v>0</v>
      </c>
      <c r="AA440" s="1307">
        <f t="shared" si="33"/>
        <v>37</v>
      </c>
      <c r="AB440" s="1307">
        <f t="shared" si="34"/>
        <v>0</v>
      </c>
    </row>
    <row r="441" spans="20:28">
      <c r="T441" s="1077">
        <v>25</v>
      </c>
      <c r="U441" s="1077">
        <f t="shared" si="30"/>
        <v>37</v>
      </c>
      <c r="V441" s="1077">
        <v>38</v>
      </c>
      <c r="W441" s="1077">
        <f t="array" ref="W441">SUMPRODUCT(IF('卡片raw data'!BM$1:BM$1000=T441,1,0),IF('卡片raw data'!BO$1:BO$1000=V441,1,0),IF(IF('卡片raw data'!C$1:C$1000=R$3,1,0)+IF(R$3="",1,0)&gt;=1,1,0),IF(IF('卡片raw data'!D$1:D$1000=R$4,1,0)+IF(R$4="",1,0)&gt;=1,1,0),IF(IF('卡片raw data'!E$1:E$1000=R$5,1,0)+IF(R$5="",1,0)&gt;=1,1,0))</f>
        <v>0</v>
      </c>
      <c r="Y441" s="1307">
        <f t="shared" si="31"/>
        <v>38</v>
      </c>
      <c r="Z441" s="1307">
        <f t="shared" si="32"/>
        <v>0</v>
      </c>
      <c r="AA441" s="1307">
        <f t="shared" si="33"/>
        <v>38</v>
      </c>
      <c r="AB441" s="1307">
        <f t="shared" si="34"/>
        <v>0</v>
      </c>
    </row>
    <row r="442" spans="20:28">
      <c r="T442" s="1077">
        <v>25</v>
      </c>
      <c r="U442" s="1077">
        <f t="shared" si="30"/>
        <v>36</v>
      </c>
      <c r="V442" s="1077">
        <v>39</v>
      </c>
      <c r="W442" s="1077">
        <f t="array" ref="W442">SUMPRODUCT(IF('卡片raw data'!BM$1:BM$1000=T442,1,0),IF('卡片raw data'!BO$1:BO$1000=V442,1,0),IF(IF('卡片raw data'!C$1:C$1000=R$3,1,0)+IF(R$3="",1,0)&gt;=1,1,0),IF(IF('卡片raw data'!D$1:D$1000=R$4,1,0)+IF(R$4="",1,0)&gt;=1,1,0),IF(IF('卡片raw data'!E$1:E$1000=R$5,1,0)+IF(R$5="",1,0)&gt;=1,1,0))</f>
        <v>0</v>
      </c>
      <c r="Y442" s="1307">
        <f t="shared" si="31"/>
        <v>39</v>
      </c>
      <c r="Z442" s="1307">
        <f t="shared" si="32"/>
        <v>0</v>
      </c>
      <c r="AA442" s="1307">
        <f t="shared" si="33"/>
        <v>39</v>
      </c>
      <c r="AB442" s="1307">
        <f t="shared" si="34"/>
        <v>0</v>
      </c>
    </row>
    <row r="443" spans="20:28">
      <c r="T443" s="1077">
        <v>25</v>
      </c>
      <c r="U443" s="1077">
        <f t="shared" si="30"/>
        <v>35</v>
      </c>
      <c r="V443" s="1077">
        <v>40</v>
      </c>
      <c r="W443" s="1077">
        <f t="array" ref="W443">SUMPRODUCT(IF('卡片raw data'!BM$1:BM$1000=T443,1,0),IF('卡片raw data'!BO$1:BO$1000=V443,1,0),IF(IF('卡片raw data'!C$1:C$1000=R$3,1,0)+IF(R$3="",1,0)&gt;=1,1,0),IF(IF('卡片raw data'!D$1:D$1000=R$4,1,0)+IF(R$4="",1,0)&gt;=1,1,0),IF(IF('卡片raw data'!E$1:E$1000=R$5,1,0)+IF(R$5="",1,0)&gt;=1,1,0))</f>
        <v>0</v>
      </c>
      <c r="Y443" s="1307">
        <f t="shared" si="31"/>
        <v>40</v>
      </c>
      <c r="Z443" s="1307">
        <f t="shared" si="32"/>
        <v>0</v>
      </c>
      <c r="AA443" s="1307">
        <f t="shared" si="33"/>
        <v>40</v>
      </c>
      <c r="AB443" s="1307">
        <f t="shared" si="34"/>
        <v>0</v>
      </c>
    </row>
    <row r="444" spans="20:28">
      <c r="T444" s="1077">
        <v>25</v>
      </c>
      <c r="U444" s="1077">
        <f t="shared" si="30"/>
        <v>34</v>
      </c>
      <c r="V444" s="1077">
        <v>41</v>
      </c>
      <c r="W444" s="1077">
        <f t="array" ref="W444">SUMPRODUCT(IF('卡片raw data'!BM$1:BM$1000=T444,1,0),IF('卡片raw data'!BO$1:BO$1000=V444,1,0),IF(IF('卡片raw data'!C$1:C$1000=R$3,1,0)+IF(R$3="",1,0)&gt;=1,1,0),IF(IF('卡片raw data'!D$1:D$1000=R$4,1,0)+IF(R$4="",1,0)&gt;=1,1,0),IF(IF('卡片raw data'!E$1:E$1000=R$5,1,0)+IF(R$5="",1,0)&gt;=1,1,0))</f>
        <v>0</v>
      </c>
      <c r="Y444" s="1307">
        <f t="shared" si="31"/>
        <v>41</v>
      </c>
      <c r="Z444" s="1307">
        <f t="shared" si="32"/>
        <v>0</v>
      </c>
      <c r="AA444" s="1307">
        <f t="shared" si="33"/>
        <v>41</v>
      </c>
      <c r="AB444" s="1307">
        <f t="shared" si="34"/>
        <v>0</v>
      </c>
    </row>
    <row r="445" spans="20:28">
      <c r="T445" s="1077">
        <v>25</v>
      </c>
      <c r="U445" s="1077">
        <f t="shared" si="30"/>
        <v>33</v>
      </c>
      <c r="V445" s="1077">
        <v>42</v>
      </c>
      <c r="W445" s="1077">
        <f t="array" ref="W445">SUMPRODUCT(IF('卡片raw data'!BM$1:BM$1000=T445,1,0),IF('卡片raw data'!BO$1:BO$1000=V445,1,0),IF(IF('卡片raw data'!C$1:C$1000=R$3,1,0)+IF(R$3="",1,0)&gt;=1,1,0),IF(IF('卡片raw data'!D$1:D$1000=R$4,1,0)+IF(R$4="",1,0)&gt;=1,1,0),IF(IF('卡片raw data'!E$1:E$1000=R$5,1,0)+IF(R$5="",1,0)&gt;=1,1,0))</f>
        <v>0</v>
      </c>
      <c r="Y445" s="1307">
        <f t="shared" si="31"/>
        <v>42</v>
      </c>
      <c r="Z445" s="1307">
        <f t="shared" si="32"/>
        <v>0</v>
      </c>
      <c r="AA445" s="1307">
        <f t="shared" si="33"/>
        <v>42</v>
      </c>
      <c r="AB445" s="1307">
        <f t="shared" si="34"/>
        <v>0</v>
      </c>
    </row>
    <row r="446" spans="20:28">
      <c r="T446" s="1077">
        <v>25</v>
      </c>
      <c r="U446" s="1077">
        <f t="shared" si="30"/>
        <v>32</v>
      </c>
      <c r="V446" s="1077">
        <v>43</v>
      </c>
      <c r="W446" s="1077">
        <f t="array" ref="W446">SUMPRODUCT(IF('卡片raw data'!BM$1:BM$1000=T446,1,0),IF('卡片raw data'!BO$1:BO$1000=V446,1,0),IF(IF('卡片raw data'!C$1:C$1000=R$3,1,0)+IF(R$3="",1,0)&gt;=1,1,0),IF(IF('卡片raw data'!D$1:D$1000=R$4,1,0)+IF(R$4="",1,0)&gt;=1,1,0),IF(IF('卡片raw data'!E$1:E$1000=R$5,1,0)+IF(R$5="",1,0)&gt;=1,1,0))</f>
        <v>0</v>
      </c>
      <c r="Y446" s="1307">
        <f t="shared" si="31"/>
        <v>43</v>
      </c>
      <c r="Z446" s="1307">
        <f t="shared" si="32"/>
        <v>0</v>
      </c>
      <c r="AA446" s="1307">
        <f t="shared" si="33"/>
        <v>43</v>
      </c>
      <c r="AB446" s="1307">
        <f t="shared" si="34"/>
        <v>0</v>
      </c>
    </row>
    <row r="447" spans="20:28">
      <c r="T447" s="1077">
        <v>25</v>
      </c>
      <c r="U447" s="1077">
        <f t="shared" si="30"/>
        <v>31</v>
      </c>
      <c r="V447" s="1077">
        <v>44</v>
      </c>
      <c r="W447" s="1077">
        <f t="array" ref="W447">SUMPRODUCT(IF('卡片raw data'!BM$1:BM$1000=T447,1,0),IF('卡片raw data'!BO$1:BO$1000=V447,1,0),IF(IF('卡片raw data'!C$1:C$1000=R$3,1,0)+IF(R$3="",1,0)&gt;=1,1,0),IF(IF('卡片raw data'!D$1:D$1000=R$4,1,0)+IF(R$4="",1,0)&gt;=1,1,0),IF(IF('卡片raw data'!E$1:E$1000=R$5,1,0)+IF(R$5="",1,0)&gt;=1,1,0))</f>
        <v>0</v>
      </c>
      <c r="Y447" s="1307">
        <f t="shared" si="31"/>
        <v>44</v>
      </c>
      <c r="Z447" s="1307">
        <f t="shared" si="32"/>
        <v>0</v>
      </c>
      <c r="AA447" s="1307">
        <f t="shared" si="33"/>
        <v>44</v>
      </c>
      <c r="AB447" s="1307">
        <f t="shared" si="34"/>
        <v>0</v>
      </c>
    </row>
    <row r="448" spans="20:28">
      <c r="T448" s="1077">
        <v>25</v>
      </c>
      <c r="U448" s="1077">
        <f t="shared" si="30"/>
        <v>30</v>
      </c>
      <c r="V448" s="1077">
        <v>45</v>
      </c>
      <c r="W448" s="1077">
        <f t="array" ref="W448">SUMPRODUCT(IF('卡片raw data'!BM$1:BM$1000=T448,1,0),IF('卡片raw data'!BO$1:BO$1000=V448,1,0),IF(IF('卡片raw data'!C$1:C$1000=R$3,1,0)+IF(R$3="",1,0)&gt;=1,1,0),IF(IF('卡片raw data'!D$1:D$1000=R$4,1,0)+IF(R$4="",1,0)&gt;=1,1,0),IF(IF('卡片raw data'!E$1:E$1000=R$5,1,0)+IF(R$5="",1,0)&gt;=1,1,0))</f>
        <v>0</v>
      </c>
      <c r="Y448" s="1307">
        <f t="shared" si="31"/>
        <v>45</v>
      </c>
      <c r="Z448" s="1307">
        <f t="shared" si="32"/>
        <v>0</v>
      </c>
      <c r="AA448" s="1307">
        <f t="shared" si="33"/>
        <v>45</v>
      </c>
      <c r="AB448" s="1307">
        <f t="shared" si="34"/>
        <v>0</v>
      </c>
    </row>
    <row r="449" spans="20:28">
      <c r="T449" s="1077">
        <v>25</v>
      </c>
      <c r="U449" s="1077">
        <f t="shared" si="30"/>
        <v>29</v>
      </c>
      <c r="V449" s="1077">
        <v>46</v>
      </c>
      <c r="W449" s="1077">
        <f t="array" ref="W449">SUMPRODUCT(IF('卡片raw data'!BM$1:BM$1000=T449,1,0),IF('卡片raw data'!BO$1:BO$1000=V449,1,0),IF(IF('卡片raw data'!C$1:C$1000=R$3,1,0)+IF(R$3="",1,0)&gt;=1,1,0),IF(IF('卡片raw data'!D$1:D$1000=R$4,1,0)+IF(R$4="",1,0)&gt;=1,1,0),IF(IF('卡片raw data'!E$1:E$1000=R$5,1,0)+IF(R$5="",1,0)&gt;=1,1,0))</f>
        <v>0</v>
      </c>
      <c r="Y449" s="1307">
        <f t="shared" si="31"/>
        <v>46</v>
      </c>
      <c r="Z449" s="1307">
        <f t="shared" si="32"/>
        <v>0</v>
      </c>
      <c r="AA449" s="1307">
        <f t="shared" si="33"/>
        <v>46</v>
      </c>
      <c r="AB449" s="1307">
        <f t="shared" si="34"/>
        <v>0</v>
      </c>
    </row>
    <row r="450" spans="20:28">
      <c r="T450" s="1077">
        <v>25</v>
      </c>
      <c r="U450" s="1077">
        <f t="shared" si="30"/>
        <v>28</v>
      </c>
      <c r="V450" s="1077">
        <v>47</v>
      </c>
      <c r="W450" s="1077">
        <f t="array" ref="W450">SUMPRODUCT(IF('卡片raw data'!BM$1:BM$1000=T450,1,0),IF('卡片raw data'!BO$1:BO$1000=V450,1,0),IF(IF('卡片raw data'!C$1:C$1000=R$3,1,0)+IF(R$3="",1,0)&gt;=1,1,0),IF(IF('卡片raw data'!D$1:D$1000=R$4,1,0)+IF(R$4="",1,0)&gt;=1,1,0),IF(IF('卡片raw data'!E$1:E$1000=R$5,1,0)+IF(R$5="",1,0)&gt;=1,1,0))</f>
        <v>0</v>
      </c>
      <c r="Y450" s="1307">
        <f t="shared" si="31"/>
        <v>47</v>
      </c>
      <c r="Z450" s="1307">
        <f t="shared" si="32"/>
        <v>0</v>
      </c>
      <c r="AA450" s="1307">
        <f t="shared" si="33"/>
        <v>47</v>
      </c>
      <c r="AB450" s="1307">
        <f t="shared" si="34"/>
        <v>0</v>
      </c>
    </row>
    <row r="451" spans="20:28">
      <c r="T451" s="1077">
        <v>25</v>
      </c>
      <c r="U451" s="1077">
        <f t="shared" si="30"/>
        <v>27</v>
      </c>
      <c r="V451" s="1077">
        <v>48</v>
      </c>
      <c r="W451" s="1077">
        <f t="array" ref="W451">SUMPRODUCT(IF('卡片raw data'!BM$1:BM$1000=T451,1,0),IF('卡片raw data'!BO$1:BO$1000=V451,1,0),IF(IF('卡片raw data'!C$1:C$1000=R$3,1,0)+IF(R$3="",1,0)&gt;=1,1,0),IF(IF('卡片raw data'!D$1:D$1000=R$4,1,0)+IF(R$4="",1,0)&gt;=1,1,0),IF(IF('卡片raw data'!E$1:E$1000=R$5,1,0)+IF(R$5="",1,0)&gt;=1,1,0))</f>
        <v>0</v>
      </c>
      <c r="Y451" s="1307">
        <f t="shared" si="31"/>
        <v>48</v>
      </c>
      <c r="Z451" s="1307">
        <f t="shared" si="32"/>
        <v>0</v>
      </c>
      <c r="AA451" s="1307">
        <f t="shared" si="33"/>
        <v>48</v>
      </c>
      <c r="AB451" s="1307">
        <f t="shared" si="34"/>
        <v>0</v>
      </c>
    </row>
    <row r="452" spans="20:28">
      <c r="T452" s="1077">
        <v>25</v>
      </c>
      <c r="U452" s="1077">
        <f t="shared" ref="U452:U515" si="35">100-T452-V452</f>
        <v>26</v>
      </c>
      <c r="V452" s="1077">
        <v>49</v>
      </c>
      <c r="W452" s="1077">
        <f t="array" ref="W452">SUMPRODUCT(IF('卡片raw data'!BM$1:BM$1000=T452,1,0),IF('卡片raw data'!BO$1:BO$1000=V452,1,0),IF(IF('卡片raw data'!C$1:C$1000=R$3,1,0)+IF(R$3="",1,0)&gt;=1,1,0),IF(IF('卡片raw data'!D$1:D$1000=R$4,1,0)+IF(R$4="",1,0)&gt;=1,1,0),IF(IF('卡片raw data'!E$1:E$1000=R$5,1,0)+IF(R$5="",1,0)&gt;=1,1,0))</f>
        <v>0</v>
      </c>
      <c r="Y452" s="1307">
        <f t="shared" ref="Y452:Y515" si="36">V452</f>
        <v>49</v>
      </c>
      <c r="Z452" s="1307">
        <f t="shared" ref="Z452:Z515" si="37">IF(AND(V452&gt;U452,V452&gt;T452),W452,0)</f>
        <v>0</v>
      </c>
      <c r="AA452" s="1307">
        <f t="shared" ref="AA452:AA515" si="38">V452</f>
        <v>49</v>
      </c>
      <c r="AB452" s="1307">
        <f t="shared" ref="AB452:AB515" si="39">W452-Z452</f>
        <v>0</v>
      </c>
    </row>
    <row r="453" spans="20:28">
      <c r="T453" s="1077">
        <v>25</v>
      </c>
      <c r="U453" s="1077">
        <f t="shared" si="35"/>
        <v>25</v>
      </c>
      <c r="V453" s="1077">
        <v>50</v>
      </c>
      <c r="W453" s="1077">
        <f t="array" ref="W453">SUMPRODUCT(IF('卡片raw data'!BM$1:BM$1000=T453,1,0),IF('卡片raw data'!BO$1:BO$1000=V453,1,0),IF(IF('卡片raw data'!C$1:C$1000=R$3,1,0)+IF(R$3="",1,0)&gt;=1,1,0),IF(IF('卡片raw data'!D$1:D$1000=R$4,1,0)+IF(R$4="",1,0)&gt;=1,1,0),IF(IF('卡片raw data'!E$1:E$1000=R$5,1,0)+IF(R$5="",1,0)&gt;=1,1,0))</f>
        <v>0</v>
      </c>
      <c r="Y453" s="1307">
        <f t="shared" si="36"/>
        <v>50</v>
      </c>
      <c r="Z453" s="1307">
        <f t="shared" si="37"/>
        <v>0</v>
      </c>
      <c r="AA453" s="1307">
        <f t="shared" si="38"/>
        <v>50</v>
      </c>
      <c r="AB453" s="1307">
        <f t="shared" si="39"/>
        <v>0</v>
      </c>
    </row>
    <row r="454" spans="20:28">
      <c r="T454" s="1077">
        <v>25</v>
      </c>
      <c r="U454" s="1077">
        <f t="shared" si="35"/>
        <v>24</v>
      </c>
      <c r="V454" s="1077">
        <v>51</v>
      </c>
      <c r="W454" s="1077">
        <f t="array" ref="W454">SUMPRODUCT(IF('卡片raw data'!BM$1:BM$1000=T454,1,0),IF('卡片raw data'!BO$1:BO$1000=V454,1,0),IF(IF('卡片raw data'!C$1:C$1000=R$3,1,0)+IF(R$3="",1,0)&gt;=1,1,0),IF(IF('卡片raw data'!D$1:D$1000=R$4,1,0)+IF(R$4="",1,0)&gt;=1,1,0),IF(IF('卡片raw data'!E$1:E$1000=R$5,1,0)+IF(R$5="",1,0)&gt;=1,1,0))</f>
        <v>0</v>
      </c>
      <c r="Y454" s="1307">
        <f t="shared" si="36"/>
        <v>51</v>
      </c>
      <c r="Z454" s="1307">
        <f t="shared" si="37"/>
        <v>0</v>
      </c>
      <c r="AA454" s="1307">
        <f t="shared" si="38"/>
        <v>51</v>
      </c>
      <c r="AB454" s="1307">
        <f t="shared" si="39"/>
        <v>0</v>
      </c>
    </row>
    <row r="455" spans="20:28">
      <c r="T455" s="1077">
        <v>25</v>
      </c>
      <c r="U455" s="1077">
        <f t="shared" si="35"/>
        <v>23</v>
      </c>
      <c r="V455" s="1077">
        <v>52</v>
      </c>
      <c r="W455" s="1077">
        <f t="array" ref="W455">SUMPRODUCT(IF('卡片raw data'!BM$1:BM$1000=T455,1,0),IF('卡片raw data'!BO$1:BO$1000=V455,1,0),IF(IF('卡片raw data'!C$1:C$1000=R$3,1,0)+IF(R$3="",1,0)&gt;=1,1,0),IF(IF('卡片raw data'!D$1:D$1000=R$4,1,0)+IF(R$4="",1,0)&gt;=1,1,0),IF(IF('卡片raw data'!E$1:E$1000=R$5,1,0)+IF(R$5="",1,0)&gt;=1,1,0))</f>
        <v>0</v>
      </c>
      <c r="Y455" s="1307">
        <f t="shared" si="36"/>
        <v>52</v>
      </c>
      <c r="Z455" s="1307">
        <f t="shared" si="37"/>
        <v>0</v>
      </c>
      <c r="AA455" s="1307">
        <f t="shared" si="38"/>
        <v>52</v>
      </c>
      <c r="AB455" s="1307">
        <f t="shared" si="39"/>
        <v>0</v>
      </c>
    </row>
    <row r="456" spans="20:28">
      <c r="T456" s="1077">
        <v>25</v>
      </c>
      <c r="U456" s="1077">
        <f t="shared" si="35"/>
        <v>22</v>
      </c>
      <c r="V456" s="1077">
        <v>53</v>
      </c>
      <c r="W456" s="1077">
        <f t="array" ref="W456">SUMPRODUCT(IF('卡片raw data'!BM$1:BM$1000=T456,1,0),IF('卡片raw data'!BO$1:BO$1000=V456,1,0),IF(IF('卡片raw data'!C$1:C$1000=R$3,1,0)+IF(R$3="",1,0)&gt;=1,1,0),IF(IF('卡片raw data'!D$1:D$1000=R$4,1,0)+IF(R$4="",1,0)&gt;=1,1,0),IF(IF('卡片raw data'!E$1:E$1000=R$5,1,0)+IF(R$5="",1,0)&gt;=1,1,0))</f>
        <v>0</v>
      </c>
      <c r="Y456" s="1307">
        <f t="shared" si="36"/>
        <v>53</v>
      </c>
      <c r="Z456" s="1307">
        <f t="shared" si="37"/>
        <v>0</v>
      </c>
      <c r="AA456" s="1307">
        <f t="shared" si="38"/>
        <v>53</v>
      </c>
      <c r="AB456" s="1307">
        <f t="shared" si="39"/>
        <v>0</v>
      </c>
    </row>
    <row r="457" spans="20:28">
      <c r="T457" s="1077">
        <v>25</v>
      </c>
      <c r="U457" s="1077">
        <f t="shared" si="35"/>
        <v>21</v>
      </c>
      <c r="V457" s="1077">
        <v>54</v>
      </c>
      <c r="W457" s="1077">
        <f t="array" ref="W457">SUMPRODUCT(IF('卡片raw data'!BM$1:BM$1000=T457,1,0),IF('卡片raw data'!BO$1:BO$1000=V457,1,0),IF(IF('卡片raw data'!C$1:C$1000=R$3,1,0)+IF(R$3="",1,0)&gt;=1,1,0),IF(IF('卡片raw data'!D$1:D$1000=R$4,1,0)+IF(R$4="",1,0)&gt;=1,1,0),IF(IF('卡片raw data'!E$1:E$1000=R$5,1,0)+IF(R$5="",1,0)&gt;=1,1,0))</f>
        <v>0</v>
      </c>
      <c r="Y457" s="1307">
        <f t="shared" si="36"/>
        <v>54</v>
      </c>
      <c r="Z457" s="1307">
        <f t="shared" si="37"/>
        <v>0</v>
      </c>
      <c r="AA457" s="1307">
        <f t="shared" si="38"/>
        <v>54</v>
      </c>
      <c r="AB457" s="1307">
        <f t="shared" si="39"/>
        <v>0</v>
      </c>
    </row>
    <row r="458" spans="20:28">
      <c r="T458" s="1077">
        <v>25</v>
      </c>
      <c r="U458" s="1077">
        <f t="shared" si="35"/>
        <v>20</v>
      </c>
      <c r="V458" s="1077">
        <v>55</v>
      </c>
      <c r="W458" s="1077">
        <f t="array" ref="W458">SUMPRODUCT(IF('卡片raw data'!BM$1:BM$1000=T458,1,0),IF('卡片raw data'!BO$1:BO$1000=V458,1,0),IF(IF('卡片raw data'!C$1:C$1000=R$3,1,0)+IF(R$3="",1,0)&gt;=1,1,0),IF(IF('卡片raw data'!D$1:D$1000=R$4,1,0)+IF(R$4="",1,0)&gt;=1,1,0),IF(IF('卡片raw data'!E$1:E$1000=R$5,1,0)+IF(R$5="",1,0)&gt;=1,1,0))</f>
        <v>0</v>
      </c>
      <c r="Y458" s="1307">
        <f t="shared" si="36"/>
        <v>55</v>
      </c>
      <c r="Z458" s="1307">
        <f t="shared" si="37"/>
        <v>0</v>
      </c>
      <c r="AA458" s="1307">
        <f t="shared" si="38"/>
        <v>55</v>
      </c>
      <c r="AB458" s="1307">
        <f t="shared" si="39"/>
        <v>0</v>
      </c>
    </row>
    <row r="459" spans="20:28">
      <c r="T459" s="1077">
        <v>26</v>
      </c>
      <c r="U459" s="1077">
        <f t="shared" si="35"/>
        <v>55</v>
      </c>
      <c r="V459" s="1077">
        <v>19</v>
      </c>
      <c r="W459" s="1077">
        <f t="array" ref="W459">SUMPRODUCT(IF('卡片raw data'!BM$1:BM$1000=T459,1,0),IF('卡片raw data'!BO$1:BO$1000=V459,1,0),IF(IF('卡片raw data'!C$1:C$1000=R$3,1,0)+IF(R$3="",1,0)&gt;=1,1,0),IF(IF('卡片raw data'!D$1:D$1000=R$4,1,0)+IF(R$4="",1,0)&gt;=1,1,0),IF(IF('卡片raw data'!E$1:E$1000=R$5,1,0)+IF(R$5="",1,0)&gt;=1,1,0))</f>
        <v>0</v>
      </c>
      <c r="Y459" s="1307">
        <f t="shared" si="36"/>
        <v>19</v>
      </c>
      <c r="Z459" s="1307">
        <f t="shared" si="37"/>
        <v>0</v>
      </c>
      <c r="AA459" s="1307">
        <f t="shared" si="38"/>
        <v>19</v>
      </c>
      <c r="AB459" s="1307">
        <f t="shared" si="39"/>
        <v>0</v>
      </c>
    </row>
    <row r="460" spans="20:28">
      <c r="T460" s="1077">
        <v>26</v>
      </c>
      <c r="U460" s="1077">
        <f t="shared" si="35"/>
        <v>54</v>
      </c>
      <c r="V460" s="1077">
        <v>20</v>
      </c>
      <c r="W460" s="1077">
        <f t="array" ref="W460">SUMPRODUCT(IF('卡片raw data'!BM$1:BM$1000=T460,1,0),IF('卡片raw data'!BO$1:BO$1000=V460,1,0),IF(IF('卡片raw data'!C$1:C$1000=R$3,1,0)+IF(R$3="",1,0)&gt;=1,1,0),IF(IF('卡片raw data'!D$1:D$1000=R$4,1,0)+IF(R$4="",1,0)&gt;=1,1,0),IF(IF('卡片raw data'!E$1:E$1000=R$5,1,0)+IF(R$5="",1,0)&gt;=1,1,0))</f>
        <v>0</v>
      </c>
      <c r="Y460" s="1307">
        <f t="shared" si="36"/>
        <v>20</v>
      </c>
      <c r="Z460" s="1307">
        <f t="shared" si="37"/>
        <v>0</v>
      </c>
      <c r="AA460" s="1307">
        <f t="shared" si="38"/>
        <v>20</v>
      </c>
      <c r="AB460" s="1307">
        <f t="shared" si="39"/>
        <v>0</v>
      </c>
    </row>
    <row r="461" spans="20:28">
      <c r="T461" s="1077">
        <v>26</v>
      </c>
      <c r="U461" s="1077">
        <f t="shared" si="35"/>
        <v>53</v>
      </c>
      <c r="V461" s="1077">
        <v>21</v>
      </c>
      <c r="W461" s="1077">
        <f t="array" ref="W461">SUMPRODUCT(IF('卡片raw data'!BM$1:BM$1000=T461,1,0),IF('卡片raw data'!BO$1:BO$1000=V461,1,0),IF(IF('卡片raw data'!C$1:C$1000=R$3,1,0)+IF(R$3="",1,0)&gt;=1,1,0),IF(IF('卡片raw data'!D$1:D$1000=R$4,1,0)+IF(R$4="",1,0)&gt;=1,1,0),IF(IF('卡片raw data'!E$1:E$1000=R$5,1,0)+IF(R$5="",1,0)&gt;=1,1,0))</f>
        <v>0</v>
      </c>
      <c r="Y461" s="1307">
        <f t="shared" si="36"/>
        <v>21</v>
      </c>
      <c r="Z461" s="1307">
        <f t="shared" si="37"/>
        <v>0</v>
      </c>
      <c r="AA461" s="1307">
        <f t="shared" si="38"/>
        <v>21</v>
      </c>
      <c r="AB461" s="1307">
        <f t="shared" si="39"/>
        <v>0</v>
      </c>
    </row>
    <row r="462" spans="20:28">
      <c r="T462" s="1077">
        <v>26</v>
      </c>
      <c r="U462" s="1077">
        <f t="shared" si="35"/>
        <v>52</v>
      </c>
      <c r="V462" s="1077">
        <v>22</v>
      </c>
      <c r="W462" s="1077">
        <f t="array" ref="W462">SUMPRODUCT(IF('卡片raw data'!BM$1:BM$1000=T462,1,0),IF('卡片raw data'!BO$1:BO$1000=V462,1,0),IF(IF('卡片raw data'!C$1:C$1000=R$3,1,0)+IF(R$3="",1,0)&gt;=1,1,0),IF(IF('卡片raw data'!D$1:D$1000=R$4,1,0)+IF(R$4="",1,0)&gt;=1,1,0),IF(IF('卡片raw data'!E$1:E$1000=R$5,1,0)+IF(R$5="",1,0)&gt;=1,1,0))</f>
        <v>0</v>
      </c>
      <c r="Y462" s="1307">
        <f t="shared" si="36"/>
        <v>22</v>
      </c>
      <c r="Z462" s="1307">
        <f t="shared" si="37"/>
        <v>0</v>
      </c>
      <c r="AA462" s="1307">
        <f t="shared" si="38"/>
        <v>22</v>
      </c>
      <c r="AB462" s="1307">
        <f t="shared" si="39"/>
        <v>0</v>
      </c>
    </row>
    <row r="463" spans="20:28">
      <c r="T463" s="1077">
        <v>26</v>
      </c>
      <c r="U463" s="1077">
        <f t="shared" si="35"/>
        <v>51</v>
      </c>
      <c r="V463" s="1077">
        <v>23</v>
      </c>
      <c r="W463" s="1077">
        <f t="array" ref="W463">SUMPRODUCT(IF('卡片raw data'!BM$1:BM$1000=T463,1,0),IF('卡片raw data'!BO$1:BO$1000=V463,1,0),IF(IF('卡片raw data'!C$1:C$1000=R$3,1,0)+IF(R$3="",1,0)&gt;=1,1,0),IF(IF('卡片raw data'!D$1:D$1000=R$4,1,0)+IF(R$4="",1,0)&gt;=1,1,0),IF(IF('卡片raw data'!E$1:E$1000=R$5,1,0)+IF(R$5="",1,0)&gt;=1,1,0))</f>
        <v>0</v>
      </c>
      <c r="Y463" s="1307">
        <f t="shared" si="36"/>
        <v>23</v>
      </c>
      <c r="Z463" s="1307">
        <f t="shared" si="37"/>
        <v>0</v>
      </c>
      <c r="AA463" s="1307">
        <f t="shared" si="38"/>
        <v>23</v>
      </c>
      <c r="AB463" s="1307">
        <f t="shared" si="39"/>
        <v>0</v>
      </c>
    </row>
    <row r="464" spans="20:28">
      <c r="T464" s="1077">
        <v>26</v>
      </c>
      <c r="U464" s="1077">
        <f t="shared" si="35"/>
        <v>50</v>
      </c>
      <c r="V464" s="1077">
        <v>24</v>
      </c>
      <c r="W464" s="1077">
        <f t="array" ref="W464">SUMPRODUCT(IF('卡片raw data'!BM$1:BM$1000=T464,1,0),IF('卡片raw data'!BO$1:BO$1000=V464,1,0),IF(IF('卡片raw data'!C$1:C$1000=R$3,1,0)+IF(R$3="",1,0)&gt;=1,1,0),IF(IF('卡片raw data'!D$1:D$1000=R$4,1,0)+IF(R$4="",1,0)&gt;=1,1,0),IF(IF('卡片raw data'!E$1:E$1000=R$5,1,0)+IF(R$5="",1,0)&gt;=1,1,0))</f>
        <v>0</v>
      </c>
      <c r="Y464" s="1307">
        <f t="shared" si="36"/>
        <v>24</v>
      </c>
      <c r="Z464" s="1307">
        <f t="shared" si="37"/>
        <v>0</v>
      </c>
      <c r="AA464" s="1307">
        <f t="shared" si="38"/>
        <v>24</v>
      </c>
      <c r="AB464" s="1307">
        <f t="shared" si="39"/>
        <v>0</v>
      </c>
    </row>
    <row r="465" spans="20:28">
      <c r="T465" s="1077">
        <v>26</v>
      </c>
      <c r="U465" s="1077">
        <f t="shared" si="35"/>
        <v>49</v>
      </c>
      <c r="V465" s="1077">
        <v>25</v>
      </c>
      <c r="W465" s="1077">
        <f t="array" ref="W465">SUMPRODUCT(IF('卡片raw data'!BM$1:BM$1000=T465,1,0),IF('卡片raw data'!BO$1:BO$1000=V465,1,0),IF(IF('卡片raw data'!C$1:C$1000=R$3,1,0)+IF(R$3="",1,0)&gt;=1,1,0),IF(IF('卡片raw data'!D$1:D$1000=R$4,1,0)+IF(R$4="",1,0)&gt;=1,1,0),IF(IF('卡片raw data'!E$1:E$1000=R$5,1,0)+IF(R$5="",1,0)&gt;=1,1,0))</f>
        <v>0</v>
      </c>
      <c r="Y465" s="1307">
        <f t="shared" si="36"/>
        <v>25</v>
      </c>
      <c r="Z465" s="1307">
        <f t="shared" si="37"/>
        <v>0</v>
      </c>
      <c r="AA465" s="1307">
        <f t="shared" si="38"/>
        <v>25</v>
      </c>
      <c r="AB465" s="1307">
        <f t="shared" si="39"/>
        <v>0</v>
      </c>
    </row>
    <row r="466" spans="20:28">
      <c r="T466" s="1077">
        <v>26</v>
      </c>
      <c r="U466" s="1077">
        <f t="shared" si="35"/>
        <v>48</v>
      </c>
      <c r="V466" s="1077">
        <v>26</v>
      </c>
      <c r="W466" s="1077">
        <f t="array" ref="W466">SUMPRODUCT(IF('卡片raw data'!BM$1:BM$1000=T466,1,0),IF('卡片raw data'!BO$1:BO$1000=V466,1,0),IF(IF('卡片raw data'!C$1:C$1000=R$3,1,0)+IF(R$3="",1,0)&gt;=1,1,0),IF(IF('卡片raw data'!D$1:D$1000=R$4,1,0)+IF(R$4="",1,0)&gt;=1,1,0),IF(IF('卡片raw data'!E$1:E$1000=R$5,1,0)+IF(R$5="",1,0)&gt;=1,1,0))</f>
        <v>0</v>
      </c>
      <c r="Y466" s="1307">
        <f t="shared" si="36"/>
        <v>26</v>
      </c>
      <c r="Z466" s="1307">
        <f t="shared" si="37"/>
        <v>0</v>
      </c>
      <c r="AA466" s="1307">
        <f t="shared" si="38"/>
        <v>26</v>
      </c>
      <c r="AB466" s="1307">
        <f t="shared" si="39"/>
        <v>0</v>
      </c>
    </row>
    <row r="467" spans="20:28">
      <c r="T467" s="1077">
        <v>26</v>
      </c>
      <c r="U467" s="1077">
        <f t="shared" si="35"/>
        <v>47</v>
      </c>
      <c r="V467" s="1077">
        <v>27</v>
      </c>
      <c r="W467" s="1077">
        <f t="array" ref="W467">SUMPRODUCT(IF('卡片raw data'!BM$1:BM$1000=T467,1,0),IF('卡片raw data'!BO$1:BO$1000=V467,1,0),IF(IF('卡片raw data'!C$1:C$1000=R$3,1,0)+IF(R$3="",1,0)&gt;=1,1,0),IF(IF('卡片raw data'!D$1:D$1000=R$4,1,0)+IF(R$4="",1,0)&gt;=1,1,0),IF(IF('卡片raw data'!E$1:E$1000=R$5,1,0)+IF(R$5="",1,0)&gt;=1,1,0))</f>
        <v>2</v>
      </c>
      <c r="Y467" s="1307">
        <f t="shared" si="36"/>
        <v>27</v>
      </c>
      <c r="Z467" s="1307">
        <f t="shared" si="37"/>
        <v>0</v>
      </c>
      <c r="AA467" s="1307">
        <f t="shared" si="38"/>
        <v>27</v>
      </c>
      <c r="AB467" s="1307">
        <f t="shared" si="39"/>
        <v>2</v>
      </c>
    </row>
    <row r="468" spans="20:28">
      <c r="T468" s="1077">
        <v>26</v>
      </c>
      <c r="U468" s="1077">
        <f t="shared" si="35"/>
        <v>46</v>
      </c>
      <c r="V468" s="1077">
        <v>28</v>
      </c>
      <c r="W468" s="1077">
        <f t="array" ref="W468">SUMPRODUCT(IF('卡片raw data'!BM$1:BM$1000=T468,1,0),IF('卡片raw data'!BO$1:BO$1000=V468,1,0),IF(IF('卡片raw data'!C$1:C$1000=R$3,1,0)+IF(R$3="",1,0)&gt;=1,1,0),IF(IF('卡片raw data'!D$1:D$1000=R$4,1,0)+IF(R$4="",1,0)&gt;=1,1,0),IF(IF('卡片raw data'!E$1:E$1000=R$5,1,0)+IF(R$5="",1,0)&gt;=1,1,0))</f>
        <v>1</v>
      </c>
      <c r="Y468" s="1307">
        <f t="shared" si="36"/>
        <v>28</v>
      </c>
      <c r="Z468" s="1307">
        <f t="shared" si="37"/>
        <v>0</v>
      </c>
      <c r="AA468" s="1307">
        <f t="shared" si="38"/>
        <v>28</v>
      </c>
      <c r="AB468" s="1307">
        <f t="shared" si="39"/>
        <v>1</v>
      </c>
    </row>
    <row r="469" spans="20:28">
      <c r="T469" s="1077">
        <v>26</v>
      </c>
      <c r="U469" s="1077">
        <f t="shared" si="35"/>
        <v>45</v>
      </c>
      <c r="V469" s="1077">
        <v>29</v>
      </c>
      <c r="W469" s="1077">
        <f t="array" ref="W469">SUMPRODUCT(IF('卡片raw data'!BM$1:BM$1000=T469,1,0),IF('卡片raw data'!BO$1:BO$1000=V469,1,0),IF(IF('卡片raw data'!C$1:C$1000=R$3,1,0)+IF(R$3="",1,0)&gt;=1,1,0),IF(IF('卡片raw data'!D$1:D$1000=R$4,1,0)+IF(R$4="",1,0)&gt;=1,1,0),IF(IF('卡片raw data'!E$1:E$1000=R$5,1,0)+IF(R$5="",1,0)&gt;=1,1,0))</f>
        <v>2</v>
      </c>
      <c r="Y469" s="1307">
        <f t="shared" si="36"/>
        <v>29</v>
      </c>
      <c r="Z469" s="1307">
        <f t="shared" si="37"/>
        <v>0</v>
      </c>
      <c r="AA469" s="1307">
        <f t="shared" si="38"/>
        <v>29</v>
      </c>
      <c r="AB469" s="1307">
        <f t="shared" si="39"/>
        <v>2</v>
      </c>
    </row>
    <row r="470" spans="20:28">
      <c r="T470" s="1077">
        <v>26</v>
      </c>
      <c r="U470" s="1077">
        <f t="shared" si="35"/>
        <v>44</v>
      </c>
      <c r="V470" s="1077">
        <v>30</v>
      </c>
      <c r="W470" s="1077">
        <f t="array" ref="W470">SUMPRODUCT(IF('卡片raw data'!BM$1:BM$1000=T470,1,0),IF('卡片raw data'!BO$1:BO$1000=V470,1,0),IF(IF('卡片raw data'!C$1:C$1000=R$3,1,0)+IF(R$3="",1,0)&gt;=1,1,0),IF(IF('卡片raw data'!D$1:D$1000=R$4,1,0)+IF(R$4="",1,0)&gt;=1,1,0),IF(IF('卡片raw data'!E$1:E$1000=R$5,1,0)+IF(R$5="",1,0)&gt;=1,1,0))</f>
        <v>3</v>
      </c>
      <c r="Y470" s="1307">
        <f t="shared" si="36"/>
        <v>30</v>
      </c>
      <c r="Z470" s="1307">
        <f t="shared" si="37"/>
        <v>0</v>
      </c>
      <c r="AA470" s="1307">
        <f t="shared" si="38"/>
        <v>30</v>
      </c>
      <c r="AB470" s="1307">
        <f t="shared" si="39"/>
        <v>3</v>
      </c>
    </row>
    <row r="471" spans="20:28">
      <c r="T471" s="1077">
        <v>26</v>
      </c>
      <c r="U471" s="1077">
        <f t="shared" si="35"/>
        <v>43</v>
      </c>
      <c r="V471" s="1077">
        <v>31</v>
      </c>
      <c r="W471" s="1077">
        <f t="array" ref="W471">SUMPRODUCT(IF('卡片raw data'!BM$1:BM$1000=T471,1,0),IF('卡片raw data'!BO$1:BO$1000=V471,1,0),IF(IF('卡片raw data'!C$1:C$1000=R$3,1,0)+IF(R$3="",1,0)&gt;=1,1,0),IF(IF('卡片raw data'!D$1:D$1000=R$4,1,0)+IF(R$4="",1,0)&gt;=1,1,0),IF(IF('卡片raw data'!E$1:E$1000=R$5,1,0)+IF(R$5="",1,0)&gt;=1,1,0))</f>
        <v>0</v>
      </c>
      <c r="Y471" s="1307">
        <f t="shared" si="36"/>
        <v>31</v>
      </c>
      <c r="Z471" s="1307">
        <f t="shared" si="37"/>
        <v>0</v>
      </c>
      <c r="AA471" s="1307">
        <f t="shared" si="38"/>
        <v>31</v>
      </c>
      <c r="AB471" s="1307">
        <f t="shared" si="39"/>
        <v>0</v>
      </c>
    </row>
    <row r="472" spans="20:28">
      <c r="T472" s="1077">
        <v>26</v>
      </c>
      <c r="U472" s="1077">
        <f t="shared" si="35"/>
        <v>42</v>
      </c>
      <c r="V472" s="1077">
        <v>32</v>
      </c>
      <c r="W472" s="1077">
        <f t="array" ref="W472">SUMPRODUCT(IF('卡片raw data'!BM$1:BM$1000=T472,1,0),IF('卡片raw data'!BO$1:BO$1000=V472,1,0),IF(IF('卡片raw data'!C$1:C$1000=R$3,1,0)+IF(R$3="",1,0)&gt;=1,1,0),IF(IF('卡片raw data'!D$1:D$1000=R$4,1,0)+IF(R$4="",1,0)&gt;=1,1,0),IF(IF('卡片raw data'!E$1:E$1000=R$5,1,0)+IF(R$5="",1,0)&gt;=1,1,0))</f>
        <v>0</v>
      </c>
      <c r="Y472" s="1307">
        <f t="shared" si="36"/>
        <v>32</v>
      </c>
      <c r="Z472" s="1307">
        <f t="shared" si="37"/>
        <v>0</v>
      </c>
      <c r="AA472" s="1307">
        <f t="shared" si="38"/>
        <v>32</v>
      </c>
      <c r="AB472" s="1307">
        <f t="shared" si="39"/>
        <v>0</v>
      </c>
    </row>
    <row r="473" spans="20:28">
      <c r="T473" s="1077">
        <v>26</v>
      </c>
      <c r="U473" s="1077">
        <f t="shared" si="35"/>
        <v>41</v>
      </c>
      <c r="V473" s="1077">
        <v>33</v>
      </c>
      <c r="W473" s="1077">
        <f t="array" ref="W473">SUMPRODUCT(IF('卡片raw data'!BM$1:BM$1000=T473,1,0),IF('卡片raw data'!BO$1:BO$1000=V473,1,0),IF(IF('卡片raw data'!C$1:C$1000=R$3,1,0)+IF(R$3="",1,0)&gt;=1,1,0),IF(IF('卡片raw data'!D$1:D$1000=R$4,1,0)+IF(R$4="",1,0)&gt;=1,1,0),IF(IF('卡片raw data'!E$1:E$1000=R$5,1,0)+IF(R$5="",1,0)&gt;=1,1,0))</f>
        <v>0</v>
      </c>
      <c r="Y473" s="1307">
        <f t="shared" si="36"/>
        <v>33</v>
      </c>
      <c r="Z473" s="1307">
        <f t="shared" si="37"/>
        <v>0</v>
      </c>
      <c r="AA473" s="1307">
        <f t="shared" si="38"/>
        <v>33</v>
      </c>
      <c r="AB473" s="1307">
        <f t="shared" si="39"/>
        <v>0</v>
      </c>
    </row>
    <row r="474" spans="20:28">
      <c r="T474" s="1077">
        <v>26</v>
      </c>
      <c r="U474" s="1077">
        <f t="shared" si="35"/>
        <v>40</v>
      </c>
      <c r="V474" s="1077">
        <v>34</v>
      </c>
      <c r="W474" s="1077">
        <f t="array" ref="W474">SUMPRODUCT(IF('卡片raw data'!BM$1:BM$1000=T474,1,0),IF('卡片raw data'!BO$1:BO$1000=V474,1,0),IF(IF('卡片raw data'!C$1:C$1000=R$3,1,0)+IF(R$3="",1,0)&gt;=1,1,0),IF(IF('卡片raw data'!D$1:D$1000=R$4,1,0)+IF(R$4="",1,0)&gt;=1,1,0),IF(IF('卡片raw data'!E$1:E$1000=R$5,1,0)+IF(R$5="",1,0)&gt;=1,1,0))</f>
        <v>1</v>
      </c>
      <c r="Y474" s="1307">
        <f t="shared" si="36"/>
        <v>34</v>
      </c>
      <c r="Z474" s="1307">
        <f t="shared" si="37"/>
        <v>0</v>
      </c>
      <c r="AA474" s="1307">
        <f t="shared" si="38"/>
        <v>34</v>
      </c>
      <c r="AB474" s="1307">
        <f t="shared" si="39"/>
        <v>1</v>
      </c>
    </row>
    <row r="475" spans="20:28">
      <c r="T475" s="1077">
        <v>26</v>
      </c>
      <c r="U475" s="1077">
        <f t="shared" si="35"/>
        <v>39</v>
      </c>
      <c r="V475" s="1077">
        <v>35</v>
      </c>
      <c r="W475" s="1077">
        <f t="array" ref="W475">SUMPRODUCT(IF('卡片raw data'!BM$1:BM$1000=T475,1,0),IF('卡片raw data'!BO$1:BO$1000=V475,1,0),IF(IF('卡片raw data'!C$1:C$1000=R$3,1,0)+IF(R$3="",1,0)&gt;=1,1,0),IF(IF('卡片raw data'!D$1:D$1000=R$4,1,0)+IF(R$4="",1,0)&gt;=1,1,0),IF(IF('卡片raw data'!E$1:E$1000=R$5,1,0)+IF(R$5="",1,0)&gt;=1,1,0))</f>
        <v>3</v>
      </c>
      <c r="Y475" s="1307">
        <f t="shared" si="36"/>
        <v>35</v>
      </c>
      <c r="Z475" s="1307">
        <f t="shared" si="37"/>
        <v>0</v>
      </c>
      <c r="AA475" s="1307">
        <f t="shared" si="38"/>
        <v>35</v>
      </c>
      <c r="AB475" s="1307">
        <f t="shared" si="39"/>
        <v>3</v>
      </c>
    </row>
    <row r="476" spans="20:28">
      <c r="T476" s="1077">
        <v>26</v>
      </c>
      <c r="U476" s="1077">
        <f t="shared" si="35"/>
        <v>38</v>
      </c>
      <c r="V476" s="1077">
        <v>36</v>
      </c>
      <c r="W476" s="1077">
        <f t="array" ref="W476">SUMPRODUCT(IF('卡片raw data'!BM$1:BM$1000=T476,1,0),IF('卡片raw data'!BO$1:BO$1000=V476,1,0),IF(IF('卡片raw data'!C$1:C$1000=R$3,1,0)+IF(R$3="",1,0)&gt;=1,1,0),IF(IF('卡片raw data'!D$1:D$1000=R$4,1,0)+IF(R$4="",1,0)&gt;=1,1,0),IF(IF('卡片raw data'!E$1:E$1000=R$5,1,0)+IF(R$5="",1,0)&gt;=1,1,0))</f>
        <v>0</v>
      </c>
      <c r="Y476" s="1307">
        <f t="shared" si="36"/>
        <v>36</v>
      </c>
      <c r="Z476" s="1307">
        <f t="shared" si="37"/>
        <v>0</v>
      </c>
      <c r="AA476" s="1307">
        <f t="shared" si="38"/>
        <v>36</v>
      </c>
      <c r="AB476" s="1307">
        <f t="shared" si="39"/>
        <v>0</v>
      </c>
    </row>
    <row r="477" spans="20:28">
      <c r="T477" s="1077">
        <v>26</v>
      </c>
      <c r="U477" s="1077">
        <f t="shared" si="35"/>
        <v>37</v>
      </c>
      <c r="V477" s="1077">
        <v>37</v>
      </c>
      <c r="W477" s="1077">
        <f t="array" ref="W477">SUMPRODUCT(IF('卡片raw data'!BM$1:BM$1000=T477,1,0),IF('卡片raw data'!BO$1:BO$1000=V477,1,0),IF(IF('卡片raw data'!C$1:C$1000=R$3,1,0)+IF(R$3="",1,0)&gt;=1,1,0),IF(IF('卡片raw data'!D$1:D$1000=R$4,1,0)+IF(R$4="",1,0)&gt;=1,1,0),IF(IF('卡片raw data'!E$1:E$1000=R$5,1,0)+IF(R$5="",1,0)&gt;=1,1,0))</f>
        <v>0</v>
      </c>
      <c r="Y477" s="1307">
        <f t="shared" si="36"/>
        <v>37</v>
      </c>
      <c r="Z477" s="1307">
        <f t="shared" si="37"/>
        <v>0</v>
      </c>
      <c r="AA477" s="1307">
        <f t="shared" si="38"/>
        <v>37</v>
      </c>
      <c r="AB477" s="1307">
        <f t="shared" si="39"/>
        <v>0</v>
      </c>
    </row>
    <row r="478" spans="20:28">
      <c r="T478" s="1077">
        <v>26</v>
      </c>
      <c r="U478" s="1077">
        <f t="shared" si="35"/>
        <v>36</v>
      </c>
      <c r="V478" s="1077">
        <v>38</v>
      </c>
      <c r="W478" s="1077">
        <f t="array" ref="W478">SUMPRODUCT(IF('卡片raw data'!BM$1:BM$1000=T478,1,0),IF('卡片raw data'!BO$1:BO$1000=V478,1,0),IF(IF('卡片raw data'!C$1:C$1000=R$3,1,0)+IF(R$3="",1,0)&gt;=1,1,0),IF(IF('卡片raw data'!D$1:D$1000=R$4,1,0)+IF(R$4="",1,0)&gt;=1,1,0),IF(IF('卡片raw data'!E$1:E$1000=R$5,1,0)+IF(R$5="",1,0)&gt;=1,1,0))</f>
        <v>0</v>
      </c>
      <c r="Y478" s="1307">
        <f t="shared" si="36"/>
        <v>38</v>
      </c>
      <c r="Z478" s="1307">
        <f t="shared" si="37"/>
        <v>0</v>
      </c>
      <c r="AA478" s="1307">
        <f t="shared" si="38"/>
        <v>38</v>
      </c>
      <c r="AB478" s="1307">
        <f t="shared" si="39"/>
        <v>0</v>
      </c>
    </row>
    <row r="479" spans="20:28">
      <c r="T479" s="1077">
        <v>26</v>
      </c>
      <c r="U479" s="1077">
        <f t="shared" si="35"/>
        <v>35</v>
      </c>
      <c r="V479" s="1077">
        <v>39</v>
      </c>
      <c r="W479" s="1077">
        <f t="array" ref="W479">SUMPRODUCT(IF('卡片raw data'!BM$1:BM$1000=T479,1,0),IF('卡片raw data'!BO$1:BO$1000=V479,1,0),IF(IF('卡片raw data'!C$1:C$1000=R$3,1,0)+IF(R$3="",1,0)&gt;=1,1,0),IF(IF('卡片raw data'!D$1:D$1000=R$4,1,0)+IF(R$4="",1,0)&gt;=1,1,0),IF(IF('卡片raw data'!E$1:E$1000=R$5,1,0)+IF(R$5="",1,0)&gt;=1,1,0))</f>
        <v>0</v>
      </c>
      <c r="Y479" s="1307">
        <f t="shared" si="36"/>
        <v>39</v>
      </c>
      <c r="Z479" s="1307">
        <f t="shared" si="37"/>
        <v>0</v>
      </c>
      <c r="AA479" s="1307">
        <f t="shared" si="38"/>
        <v>39</v>
      </c>
      <c r="AB479" s="1307">
        <f t="shared" si="39"/>
        <v>0</v>
      </c>
    </row>
    <row r="480" spans="20:28">
      <c r="T480" s="1077">
        <v>26</v>
      </c>
      <c r="U480" s="1077">
        <f t="shared" si="35"/>
        <v>34</v>
      </c>
      <c r="V480" s="1077">
        <v>40</v>
      </c>
      <c r="W480" s="1077">
        <f t="array" ref="W480">SUMPRODUCT(IF('卡片raw data'!BM$1:BM$1000=T480,1,0),IF('卡片raw data'!BO$1:BO$1000=V480,1,0),IF(IF('卡片raw data'!C$1:C$1000=R$3,1,0)+IF(R$3="",1,0)&gt;=1,1,0),IF(IF('卡片raw data'!D$1:D$1000=R$4,1,0)+IF(R$4="",1,0)&gt;=1,1,0),IF(IF('卡片raw data'!E$1:E$1000=R$5,1,0)+IF(R$5="",1,0)&gt;=1,1,0))</f>
        <v>0</v>
      </c>
      <c r="Y480" s="1307">
        <f t="shared" si="36"/>
        <v>40</v>
      </c>
      <c r="Z480" s="1307">
        <f t="shared" si="37"/>
        <v>0</v>
      </c>
      <c r="AA480" s="1307">
        <f t="shared" si="38"/>
        <v>40</v>
      </c>
      <c r="AB480" s="1307">
        <f t="shared" si="39"/>
        <v>0</v>
      </c>
    </row>
    <row r="481" spans="20:28">
      <c r="T481" s="1077">
        <v>26</v>
      </c>
      <c r="U481" s="1077">
        <f t="shared" si="35"/>
        <v>33</v>
      </c>
      <c r="V481" s="1077">
        <v>41</v>
      </c>
      <c r="W481" s="1077">
        <f t="array" ref="W481">SUMPRODUCT(IF('卡片raw data'!BM$1:BM$1000=T481,1,0),IF('卡片raw data'!BO$1:BO$1000=V481,1,0),IF(IF('卡片raw data'!C$1:C$1000=R$3,1,0)+IF(R$3="",1,0)&gt;=1,1,0),IF(IF('卡片raw data'!D$1:D$1000=R$4,1,0)+IF(R$4="",1,0)&gt;=1,1,0),IF(IF('卡片raw data'!E$1:E$1000=R$5,1,0)+IF(R$5="",1,0)&gt;=1,1,0))</f>
        <v>0</v>
      </c>
      <c r="Y481" s="1307">
        <f t="shared" si="36"/>
        <v>41</v>
      </c>
      <c r="Z481" s="1307">
        <f t="shared" si="37"/>
        <v>0</v>
      </c>
      <c r="AA481" s="1307">
        <f t="shared" si="38"/>
        <v>41</v>
      </c>
      <c r="AB481" s="1307">
        <f t="shared" si="39"/>
        <v>0</v>
      </c>
    </row>
    <row r="482" spans="20:28">
      <c r="T482" s="1077">
        <v>26</v>
      </c>
      <c r="U482" s="1077">
        <f t="shared" si="35"/>
        <v>32</v>
      </c>
      <c r="V482" s="1077">
        <v>42</v>
      </c>
      <c r="W482" s="1077">
        <f t="array" ref="W482">SUMPRODUCT(IF('卡片raw data'!BM$1:BM$1000=T482,1,0),IF('卡片raw data'!BO$1:BO$1000=V482,1,0),IF(IF('卡片raw data'!C$1:C$1000=R$3,1,0)+IF(R$3="",1,0)&gt;=1,1,0),IF(IF('卡片raw data'!D$1:D$1000=R$4,1,0)+IF(R$4="",1,0)&gt;=1,1,0),IF(IF('卡片raw data'!E$1:E$1000=R$5,1,0)+IF(R$5="",1,0)&gt;=1,1,0))</f>
        <v>0</v>
      </c>
      <c r="Y482" s="1307">
        <f t="shared" si="36"/>
        <v>42</v>
      </c>
      <c r="Z482" s="1307">
        <f t="shared" si="37"/>
        <v>0</v>
      </c>
      <c r="AA482" s="1307">
        <f t="shared" si="38"/>
        <v>42</v>
      </c>
      <c r="AB482" s="1307">
        <f t="shared" si="39"/>
        <v>0</v>
      </c>
    </row>
    <row r="483" spans="20:28">
      <c r="T483" s="1077">
        <v>26</v>
      </c>
      <c r="U483" s="1077">
        <f t="shared" si="35"/>
        <v>31</v>
      </c>
      <c r="V483" s="1077">
        <v>43</v>
      </c>
      <c r="W483" s="1077">
        <f t="array" ref="W483">SUMPRODUCT(IF('卡片raw data'!BM$1:BM$1000=T483,1,0),IF('卡片raw data'!BO$1:BO$1000=V483,1,0),IF(IF('卡片raw data'!C$1:C$1000=R$3,1,0)+IF(R$3="",1,0)&gt;=1,1,0),IF(IF('卡片raw data'!D$1:D$1000=R$4,1,0)+IF(R$4="",1,0)&gt;=1,1,0),IF(IF('卡片raw data'!E$1:E$1000=R$5,1,0)+IF(R$5="",1,0)&gt;=1,1,0))</f>
        <v>0</v>
      </c>
      <c r="Y483" s="1307">
        <f t="shared" si="36"/>
        <v>43</v>
      </c>
      <c r="Z483" s="1307">
        <f t="shared" si="37"/>
        <v>0</v>
      </c>
      <c r="AA483" s="1307">
        <f t="shared" si="38"/>
        <v>43</v>
      </c>
      <c r="AB483" s="1307">
        <f t="shared" si="39"/>
        <v>0</v>
      </c>
    </row>
    <row r="484" spans="20:28">
      <c r="T484" s="1077">
        <v>26</v>
      </c>
      <c r="U484" s="1077">
        <f t="shared" si="35"/>
        <v>30</v>
      </c>
      <c r="V484" s="1077">
        <v>44</v>
      </c>
      <c r="W484" s="1077">
        <f t="array" ref="W484">SUMPRODUCT(IF('卡片raw data'!BM$1:BM$1000=T484,1,0),IF('卡片raw data'!BO$1:BO$1000=V484,1,0),IF(IF('卡片raw data'!C$1:C$1000=R$3,1,0)+IF(R$3="",1,0)&gt;=1,1,0),IF(IF('卡片raw data'!D$1:D$1000=R$4,1,0)+IF(R$4="",1,0)&gt;=1,1,0),IF(IF('卡片raw data'!E$1:E$1000=R$5,1,0)+IF(R$5="",1,0)&gt;=1,1,0))</f>
        <v>0</v>
      </c>
      <c r="Y484" s="1307">
        <f t="shared" si="36"/>
        <v>44</v>
      </c>
      <c r="Z484" s="1307">
        <f t="shared" si="37"/>
        <v>0</v>
      </c>
      <c r="AA484" s="1307">
        <f t="shared" si="38"/>
        <v>44</v>
      </c>
      <c r="AB484" s="1307">
        <f t="shared" si="39"/>
        <v>0</v>
      </c>
    </row>
    <row r="485" spans="20:28">
      <c r="T485" s="1077">
        <v>26</v>
      </c>
      <c r="U485" s="1077">
        <f t="shared" si="35"/>
        <v>29</v>
      </c>
      <c r="V485" s="1077">
        <v>45</v>
      </c>
      <c r="W485" s="1077">
        <f t="array" ref="W485">SUMPRODUCT(IF('卡片raw data'!BM$1:BM$1000=T485,1,0),IF('卡片raw data'!BO$1:BO$1000=V485,1,0),IF(IF('卡片raw data'!C$1:C$1000=R$3,1,0)+IF(R$3="",1,0)&gt;=1,1,0),IF(IF('卡片raw data'!D$1:D$1000=R$4,1,0)+IF(R$4="",1,0)&gt;=1,1,0),IF(IF('卡片raw data'!E$1:E$1000=R$5,1,0)+IF(R$5="",1,0)&gt;=1,1,0))</f>
        <v>0</v>
      </c>
      <c r="Y485" s="1307">
        <f t="shared" si="36"/>
        <v>45</v>
      </c>
      <c r="Z485" s="1307">
        <f t="shared" si="37"/>
        <v>0</v>
      </c>
      <c r="AA485" s="1307">
        <f t="shared" si="38"/>
        <v>45</v>
      </c>
      <c r="AB485" s="1307">
        <f t="shared" si="39"/>
        <v>0</v>
      </c>
    </row>
    <row r="486" spans="20:28">
      <c r="T486" s="1077">
        <v>26</v>
      </c>
      <c r="U486" s="1077">
        <f t="shared" si="35"/>
        <v>28</v>
      </c>
      <c r="V486" s="1077">
        <v>46</v>
      </c>
      <c r="W486" s="1077">
        <f t="array" ref="W486">SUMPRODUCT(IF('卡片raw data'!BM$1:BM$1000=T486,1,0),IF('卡片raw data'!BO$1:BO$1000=V486,1,0),IF(IF('卡片raw data'!C$1:C$1000=R$3,1,0)+IF(R$3="",1,0)&gt;=1,1,0),IF(IF('卡片raw data'!D$1:D$1000=R$4,1,0)+IF(R$4="",1,0)&gt;=1,1,0),IF(IF('卡片raw data'!E$1:E$1000=R$5,1,0)+IF(R$5="",1,0)&gt;=1,1,0))</f>
        <v>0</v>
      </c>
      <c r="Y486" s="1307">
        <f t="shared" si="36"/>
        <v>46</v>
      </c>
      <c r="Z486" s="1307">
        <f t="shared" si="37"/>
        <v>0</v>
      </c>
      <c r="AA486" s="1307">
        <f t="shared" si="38"/>
        <v>46</v>
      </c>
      <c r="AB486" s="1307">
        <f t="shared" si="39"/>
        <v>0</v>
      </c>
    </row>
    <row r="487" spans="20:28">
      <c r="T487" s="1077">
        <v>26</v>
      </c>
      <c r="U487" s="1077">
        <f t="shared" si="35"/>
        <v>27</v>
      </c>
      <c r="V487" s="1077">
        <v>47</v>
      </c>
      <c r="W487" s="1077">
        <f t="array" ref="W487">SUMPRODUCT(IF('卡片raw data'!BM$1:BM$1000=T487,1,0),IF('卡片raw data'!BO$1:BO$1000=V487,1,0),IF(IF('卡片raw data'!C$1:C$1000=R$3,1,0)+IF(R$3="",1,0)&gt;=1,1,0),IF(IF('卡片raw data'!D$1:D$1000=R$4,1,0)+IF(R$4="",1,0)&gt;=1,1,0),IF(IF('卡片raw data'!E$1:E$1000=R$5,1,0)+IF(R$5="",1,0)&gt;=1,1,0))</f>
        <v>0</v>
      </c>
      <c r="Y487" s="1307">
        <f t="shared" si="36"/>
        <v>47</v>
      </c>
      <c r="Z487" s="1307">
        <f t="shared" si="37"/>
        <v>0</v>
      </c>
      <c r="AA487" s="1307">
        <f t="shared" si="38"/>
        <v>47</v>
      </c>
      <c r="AB487" s="1307">
        <f t="shared" si="39"/>
        <v>0</v>
      </c>
    </row>
    <row r="488" spans="20:28">
      <c r="T488" s="1077">
        <v>26</v>
      </c>
      <c r="U488" s="1077">
        <f t="shared" si="35"/>
        <v>26</v>
      </c>
      <c r="V488" s="1077">
        <v>48</v>
      </c>
      <c r="W488" s="1077">
        <f t="array" ref="W488">SUMPRODUCT(IF('卡片raw data'!BM$1:BM$1000=T488,1,0),IF('卡片raw data'!BO$1:BO$1000=V488,1,0),IF(IF('卡片raw data'!C$1:C$1000=R$3,1,0)+IF(R$3="",1,0)&gt;=1,1,0),IF(IF('卡片raw data'!D$1:D$1000=R$4,1,0)+IF(R$4="",1,0)&gt;=1,1,0),IF(IF('卡片raw data'!E$1:E$1000=R$5,1,0)+IF(R$5="",1,0)&gt;=1,1,0))</f>
        <v>0</v>
      </c>
      <c r="Y488" s="1307">
        <f t="shared" si="36"/>
        <v>48</v>
      </c>
      <c r="Z488" s="1307">
        <f t="shared" si="37"/>
        <v>0</v>
      </c>
      <c r="AA488" s="1307">
        <f t="shared" si="38"/>
        <v>48</v>
      </c>
      <c r="AB488" s="1307">
        <f t="shared" si="39"/>
        <v>0</v>
      </c>
    </row>
    <row r="489" spans="20:28">
      <c r="T489" s="1077">
        <v>26</v>
      </c>
      <c r="U489" s="1077">
        <f t="shared" si="35"/>
        <v>25</v>
      </c>
      <c r="V489" s="1077">
        <v>49</v>
      </c>
      <c r="W489" s="1077">
        <f t="array" ref="W489">SUMPRODUCT(IF('卡片raw data'!BM$1:BM$1000=T489,1,0),IF('卡片raw data'!BO$1:BO$1000=V489,1,0),IF(IF('卡片raw data'!C$1:C$1000=R$3,1,0)+IF(R$3="",1,0)&gt;=1,1,0),IF(IF('卡片raw data'!D$1:D$1000=R$4,1,0)+IF(R$4="",1,0)&gt;=1,1,0),IF(IF('卡片raw data'!E$1:E$1000=R$5,1,0)+IF(R$5="",1,0)&gt;=1,1,0))</f>
        <v>0</v>
      </c>
      <c r="Y489" s="1307">
        <f t="shared" si="36"/>
        <v>49</v>
      </c>
      <c r="Z489" s="1307">
        <f t="shared" si="37"/>
        <v>0</v>
      </c>
      <c r="AA489" s="1307">
        <f t="shared" si="38"/>
        <v>49</v>
      </c>
      <c r="AB489" s="1307">
        <f t="shared" si="39"/>
        <v>0</v>
      </c>
    </row>
    <row r="490" spans="20:28">
      <c r="T490" s="1077">
        <v>26</v>
      </c>
      <c r="U490" s="1077">
        <f t="shared" si="35"/>
        <v>24</v>
      </c>
      <c r="V490" s="1077">
        <v>50</v>
      </c>
      <c r="W490" s="1077">
        <f t="array" ref="W490">SUMPRODUCT(IF('卡片raw data'!BM$1:BM$1000=T490,1,0),IF('卡片raw data'!BO$1:BO$1000=V490,1,0),IF(IF('卡片raw data'!C$1:C$1000=R$3,1,0)+IF(R$3="",1,0)&gt;=1,1,0),IF(IF('卡片raw data'!D$1:D$1000=R$4,1,0)+IF(R$4="",1,0)&gt;=1,1,0),IF(IF('卡片raw data'!E$1:E$1000=R$5,1,0)+IF(R$5="",1,0)&gt;=1,1,0))</f>
        <v>0</v>
      </c>
      <c r="Y490" s="1307">
        <f t="shared" si="36"/>
        <v>50</v>
      </c>
      <c r="Z490" s="1307">
        <f t="shared" si="37"/>
        <v>0</v>
      </c>
      <c r="AA490" s="1307">
        <f t="shared" si="38"/>
        <v>50</v>
      </c>
      <c r="AB490" s="1307">
        <f t="shared" si="39"/>
        <v>0</v>
      </c>
    </row>
    <row r="491" spans="20:28">
      <c r="T491" s="1077">
        <v>26</v>
      </c>
      <c r="U491" s="1077">
        <f t="shared" si="35"/>
        <v>23</v>
      </c>
      <c r="V491" s="1077">
        <v>51</v>
      </c>
      <c r="W491" s="1077">
        <f t="array" ref="W491">SUMPRODUCT(IF('卡片raw data'!BM$1:BM$1000=T491,1,0),IF('卡片raw data'!BO$1:BO$1000=V491,1,0),IF(IF('卡片raw data'!C$1:C$1000=R$3,1,0)+IF(R$3="",1,0)&gt;=1,1,0),IF(IF('卡片raw data'!D$1:D$1000=R$4,1,0)+IF(R$4="",1,0)&gt;=1,1,0),IF(IF('卡片raw data'!E$1:E$1000=R$5,1,0)+IF(R$5="",1,0)&gt;=1,1,0))</f>
        <v>0</v>
      </c>
      <c r="Y491" s="1307">
        <f t="shared" si="36"/>
        <v>51</v>
      </c>
      <c r="Z491" s="1307">
        <f t="shared" si="37"/>
        <v>0</v>
      </c>
      <c r="AA491" s="1307">
        <f t="shared" si="38"/>
        <v>51</v>
      </c>
      <c r="AB491" s="1307">
        <f t="shared" si="39"/>
        <v>0</v>
      </c>
    </row>
    <row r="492" spans="20:28">
      <c r="T492" s="1077">
        <v>26</v>
      </c>
      <c r="U492" s="1077">
        <f t="shared" si="35"/>
        <v>22</v>
      </c>
      <c r="V492" s="1077">
        <v>52</v>
      </c>
      <c r="W492" s="1077">
        <f t="array" ref="W492">SUMPRODUCT(IF('卡片raw data'!BM$1:BM$1000=T492,1,0),IF('卡片raw data'!BO$1:BO$1000=V492,1,0),IF(IF('卡片raw data'!C$1:C$1000=R$3,1,0)+IF(R$3="",1,0)&gt;=1,1,0),IF(IF('卡片raw data'!D$1:D$1000=R$4,1,0)+IF(R$4="",1,0)&gt;=1,1,0),IF(IF('卡片raw data'!E$1:E$1000=R$5,1,0)+IF(R$5="",1,0)&gt;=1,1,0))</f>
        <v>0</v>
      </c>
      <c r="Y492" s="1307">
        <f t="shared" si="36"/>
        <v>52</v>
      </c>
      <c r="Z492" s="1307">
        <f t="shared" si="37"/>
        <v>0</v>
      </c>
      <c r="AA492" s="1307">
        <f t="shared" si="38"/>
        <v>52</v>
      </c>
      <c r="AB492" s="1307">
        <f t="shared" si="39"/>
        <v>0</v>
      </c>
    </row>
    <row r="493" spans="20:28">
      <c r="T493" s="1077">
        <v>26</v>
      </c>
      <c r="U493" s="1077">
        <f t="shared" si="35"/>
        <v>21</v>
      </c>
      <c r="V493" s="1077">
        <v>53</v>
      </c>
      <c r="W493" s="1077">
        <f t="array" ref="W493">SUMPRODUCT(IF('卡片raw data'!BM$1:BM$1000=T493,1,0),IF('卡片raw data'!BO$1:BO$1000=V493,1,0),IF(IF('卡片raw data'!C$1:C$1000=R$3,1,0)+IF(R$3="",1,0)&gt;=1,1,0),IF(IF('卡片raw data'!D$1:D$1000=R$4,1,0)+IF(R$4="",1,0)&gt;=1,1,0),IF(IF('卡片raw data'!E$1:E$1000=R$5,1,0)+IF(R$5="",1,0)&gt;=1,1,0))</f>
        <v>0</v>
      </c>
      <c r="Y493" s="1307">
        <f t="shared" si="36"/>
        <v>53</v>
      </c>
      <c r="Z493" s="1307">
        <f t="shared" si="37"/>
        <v>0</v>
      </c>
      <c r="AA493" s="1307">
        <f t="shared" si="38"/>
        <v>53</v>
      </c>
      <c r="AB493" s="1307">
        <f t="shared" si="39"/>
        <v>0</v>
      </c>
    </row>
    <row r="494" spans="20:28">
      <c r="T494" s="1077">
        <v>26</v>
      </c>
      <c r="U494" s="1077">
        <f t="shared" si="35"/>
        <v>20</v>
      </c>
      <c r="V494" s="1077">
        <v>54</v>
      </c>
      <c r="W494" s="1077">
        <f t="array" ref="W494">SUMPRODUCT(IF('卡片raw data'!BM$1:BM$1000=T494,1,0),IF('卡片raw data'!BO$1:BO$1000=V494,1,0),IF(IF('卡片raw data'!C$1:C$1000=R$3,1,0)+IF(R$3="",1,0)&gt;=1,1,0),IF(IF('卡片raw data'!D$1:D$1000=R$4,1,0)+IF(R$4="",1,0)&gt;=1,1,0),IF(IF('卡片raw data'!E$1:E$1000=R$5,1,0)+IF(R$5="",1,0)&gt;=1,1,0))</f>
        <v>0</v>
      </c>
      <c r="Y494" s="1307">
        <f t="shared" si="36"/>
        <v>54</v>
      </c>
      <c r="Z494" s="1307">
        <f t="shared" si="37"/>
        <v>0</v>
      </c>
      <c r="AA494" s="1307">
        <f t="shared" si="38"/>
        <v>54</v>
      </c>
      <c r="AB494" s="1307">
        <f t="shared" si="39"/>
        <v>0</v>
      </c>
    </row>
    <row r="495" spans="20:28">
      <c r="T495" s="1077">
        <v>26</v>
      </c>
      <c r="U495" s="1077">
        <f t="shared" si="35"/>
        <v>19</v>
      </c>
      <c r="V495" s="1077">
        <v>55</v>
      </c>
      <c r="W495" s="1077">
        <f t="array" ref="W495">SUMPRODUCT(IF('卡片raw data'!BM$1:BM$1000=T495,1,0),IF('卡片raw data'!BO$1:BO$1000=V495,1,0),IF(IF('卡片raw data'!C$1:C$1000=R$3,1,0)+IF(R$3="",1,0)&gt;=1,1,0),IF(IF('卡片raw data'!D$1:D$1000=R$4,1,0)+IF(R$4="",1,0)&gt;=1,1,0),IF(IF('卡片raw data'!E$1:E$1000=R$5,1,0)+IF(R$5="",1,0)&gt;=1,1,0))</f>
        <v>0</v>
      </c>
      <c r="Y495" s="1307">
        <f t="shared" si="36"/>
        <v>55</v>
      </c>
      <c r="Z495" s="1307">
        <f t="shared" si="37"/>
        <v>0</v>
      </c>
      <c r="AA495" s="1307">
        <f t="shared" si="38"/>
        <v>55</v>
      </c>
      <c r="AB495" s="1307">
        <f t="shared" si="39"/>
        <v>0</v>
      </c>
    </row>
    <row r="496" spans="20:28">
      <c r="T496" s="1077">
        <v>27</v>
      </c>
      <c r="U496" s="1077">
        <f t="shared" si="35"/>
        <v>55</v>
      </c>
      <c r="V496" s="1077">
        <v>18</v>
      </c>
      <c r="W496" s="1077">
        <f t="array" ref="W496">SUMPRODUCT(IF('卡片raw data'!BM$1:BM$1000=T496,1,0),IF('卡片raw data'!BO$1:BO$1000=V496,1,0),IF(IF('卡片raw data'!C$1:C$1000=R$3,1,0)+IF(R$3="",1,0)&gt;=1,1,0),IF(IF('卡片raw data'!D$1:D$1000=R$4,1,0)+IF(R$4="",1,0)&gt;=1,1,0),IF(IF('卡片raw data'!E$1:E$1000=R$5,1,0)+IF(R$5="",1,0)&gt;=1,1,0))</f>
        <v>0</v>
      </c>
      <c r="Y496" s="1307">
        <f t="shared" si="36"/>
        <v>18</v>
      </c>
      <c r="Z496" s="1307">
        <f t="shared" si="37"/>
        <v>0</v>
      </c>
      <c r="AA496" s="1307">
        <f t="shared" si="38"/>
        <v>18</v>
      </c>
      <c r="AB496" s="1307">
        <f t="shared" si="39"/>
        <v>0</v>
      </c>
    </row>
    <row r="497" spans="20:28">
      <c r="T497" s="1077">
        <v>27</v>
      </c>
      <c r="U497" s="1077">
        <f t="shared" si="35"/>
        <v>54</v>
      </c>
      <c r="V497" s="1077">
        <v>19</v>
      </c>
      <c r="W497" s="1077">
        <f t="array" ref="W497">SUMPRODUCT(IF('卡片raw data'!BM$1:BM$1000=T497,1,0),IF('卡片raw data'!BO$1:BO$1000=V497,1,0),IF(IF('卡片raw data'!C$1:C$1000=R$3,1,0)+IF(R$3="",1,0)&gt;=1,1,0),IF(IF('卡片raw data'!D$1:D$1000=R$4,1,0)+IF(R$4="",1,0)&gt;=1,1,0),IF(IF('卡片raw data'!E$1:E$1000=R$5,1,0)+IF(R$5="",1,0)&gt;=1,1,0))</f>
        <v>0</v>
      </c>
      <c r="Y497" s="1307">
        <f t="shared" si="36"/>
        <v>19</v>
      </c>
      <c r="Z497" s="1307">
        <f t="shared" si="37"/>
        <v>0</v>
      </c>
      <c r="AA497" s="1307">
        <f t="shared" si="38"/>
        <v>19</v>
      </c>
      <c r="AB497" s="1307">
        <f t="shared" si="39"/>
        <v>0</v>
      </c>
    </row>
    <row r="498" spans="20:28">
      <c r="T498" s="1077">
        <v>27</v>
      </c>
      <c r="U498" s="1077">
        <f t="shared" si="35"/>
        <v>53</v>
      </c>
      <c r="V498" s="1077">
        <v>20</v>
      </c>
      <c r="W498" s="1077">
        <f t="array" ref="W498">SUMPRODUCT(IF('卡片raw data'!BM$1:BM$1000=T498,1,0),IF('卡片raw data'!BO$1:BO$1000=V498,1,0),IF(IF('卡片raw data'!C$1:C$1000=R$3,1,0)+IF(R$3="",1,0)&gt;=1,1,0),IF(IF('卡片raw data'!D$1:D$1000=R$4,1,0)+IF(R$4="",1,0)&gt;=1,1,0),IF(IF('卡片raw data'!E$1:E$1000=R$5,1,0)+IF(R$5="",1,0)&gt;=1,1,0))</f>
        <v>0</v>
      </c>
      <c r="Y498" s="1307">
        <f t="shared" si="36"/>
        <v>20</v>
      </c>
      <c r="Z498" s="1307">
        <f t="shared" si="37"/>
        <v>0</v>
      </c>
      <c r="AA498" s="1307">
        <f t="shared" si="38"/>
        <v>20</v>
      </c>
      <c r="AB498" s="1307">
        <f t="shared" si="39"/>
        <v>0</v>
      </c>
    </row>
    <row r="499" spans="20:28">
      <c r="T499" s="1077">
        <v>27</v>
      </c>
      <c r="U499" s="1077">
        <f t="shared" si="35"/>
        <v>52</v>
      </c>
      <c r="V499" s="1077">
        <v>21</v>
      </c>
      <c r="W499" s="1077">
        <f t="array" ref="W499">SUMPRODUCT(IF('卡片raw data'!BM$1:BM$1000=T499,1,0),IF('卡片raw data'!BO$1:BO$1000=V499,1,0),IF(IF('卡片raw data'!C$1:C$1000=R$3,1,0)+IF(R$3="",1,0)&gt;=1,1,0),IF(IF('卡片raw data'!D$1:D$1000=R$4,1,0)+IF(R$4="",1,0)&gt;=1,1,0),IF(IF('卡片raw data'!E$1:E$1000=R$5,1,0)+IF(R$5="",1,0)&gt;=1,1,0))</f>
        <v>0</v>
      </c>
      <c r="Y499" s="1307">
        <f t="shared" si="36"/>
        <v>21</v>
      </c>
      <c r="Z499" s="1307">
        <f t="shared" si="37"/>
        <v>0</v>
      </c>
      <c r="AA499" s="1307">
        <f t="shared" si="38"/>
        <v>21</v>
      </c>
      <c r="AB499" s="1307">
        <f t="shared" si="39"/>
        <v>0</v>
      </c>
    </row>
    <row r="500" spans="20:28">
      <c r="T500" s="1077">
        <v>27</v>
      </c>
      <c r="U500" s="1077">
        <f t="shared" si="35"/>
        <v>51</v>
      </c>
      <c r="V500" s="1077">
        <v>22</v>
      </c>
      <c r="W500" s="1077">
        <f t="array" ref="W500">SUMPRODUCT(IF('卡片raw data'!BM$1:BM$1000=T500,1,0),IF('卡片raw data'!BO$1:BO$1000=V500,1,0),IF(IF('卡片raw data'!C$1:C$1000=R$3,1,0)+IF(R$3="",1,0)&gt;=1,1,0),IF(IF('卡片raw data'!D$1:D$1000=R$4,1,0)+IF(R$4="",1,0)&gt;=1,1,0),IF(IF('卡片raw data'!E$1:E$1000=R$5,1,0)+IF(R$5="",1,0)&gt;=1,1,0))</f>
        <v>0</v>
      </c>
      <c r="Y500" s="1307">
        <f t="shared" si="36"/>
        <v>22</v>
      </c>
      <c r="Z500" s="1307">
        <f t="shared" si="37"/>
        <v>0</v>
      </c>
      <c r="AA500" s="1307">
        <f t="shared" si="38"/>
        <v>22</v>
      </c>
      <c r="AB500" s="1307">
        <f t="shared" si="39"/>
        <v>0</v>
      </c>
    </row>
    <row r="501" spans="20:28">
      <c r="T501" s="1077">
        <v>27</v>
      </c>
      <c r="U501" s="1077">
        <f t="shared" si="35"/>
        <v>50</v>
      </c>
      <c r="V501" s="1077">
        <v>23</v>
      </c>
      <c r="W501" s="1077">
        <f t="array" ref="W501">SUMPRODUCT(IF('卡片raw data'!BM$1:BM$1000=T501,1,0),IF('卡片raw data'!BO$1:BO$1000=V501,1,0),IF(IF('卡片raw data'!C$1:C$1000=R$3,1,0)+IF(R$3="",1,0)&gt;=1,1,0),IF(IF('卡片raw data'!D$1:D$1000=R$4,1,0)+IF(R$4="",1,0)&gt;=1,1,0),IF(IF('卡片raw data'!E$1:E$1000=R$5,1,0)+IF(R$5="",1,0)&gt;=1,1,0))</f>
        <v>1</v>
      </c>
      <c r="Y501" s="1307">
        <f t="shared" si="36"/>
        <v>23</v>
      </c>
      <c r="Z501" s="1307">
        <f t="shared" si="37"/>
        <v>0</v>
      </c>
      <c r="AA501" s="1307">
        <f t="shared" si="38"/>
        <v>23</v>
      </c>
      <c r="AB501" s="1307">
        <f t="shared" si="39"/>
        <v>1</v>
      </c>
    </row>
    <row r="502" spans="20:28">
      <c r="T502" s="1077">
        <v>27</v>
      </c>
      <c r="U502" s="1077">
        <f t="shared" si="35"/>
        <v>49</v>
      </c>
      <c r="V502" s="1077">
        <v>24</v>
      </c>
      <c r="W502" s="1077">
        <f t="array" ref="W502">SUMPRODUCT(IF('卡片raw data'!BM$1:BM$1000=T502,1,0),IF('卡片raw data'!BO$1:BO$1000=V502,1,0),IF(IF('卡片raw data'!C$1:C$1000=R$3,1,0)+IF(R$3="",1,0)&gt;=1,1,0),IF(IF('卡片raw data'!D$1:D$1000=R$4,1,0)+IF(R$4="",1,0)&gt;=1,1,0),IF(IF('卡片raw data'!E$1:E$1000=R$5,1,0)+IF(R$5="",1,0)&gt;=1,1,0))</f>
        <v>0</v>
      </c>
      <c r="Y502" s="1307">
        <f t="shared" si="36"/>
        <v>24</v>
      </c>
      <c r="Z502" s="1307">
        <f t="shared" si="37"/>
        <v>0</v>
      </c>
      <c r="AA502" s="1307">
        <f t="shared" si="38"/>
        <v>24</v>
      </c>
      <c r="AB502" s="1307">
        <f t="shared" si="39"/>
        <v>0</v>
      </c>
    </row>
    <row r="503" spans="20:28">
      <c r="T503" s="1077">
        <v>27</v>
      </c>
      <c r="U503" s="1077">
        <f t="shared" si="35"/>
        <v>48</v>
      </c>
      <c r="V503" s="1077">
        <v>25</v>
      </c>
      <c r="W503" s="1077">
        <f t="array" ref="W503">SUMPRODUCT(IF('卡片raw data'!BM$1:BM$1000=T503,1,0),IF('卡片raw data'!BO$1:BO$1000=V503,1,0),IF(IF('卡片raw data'!C$1:C$1000=R$3,1,0)+IF(R$3="",1,0)&gt;=1,1,0),IF(IF('卡片raw data'!D$1:D$1000=R$4,1,0)+IF(R$4="",1,0)&gt;=1,1,0),IF(IF('卡片raw data'!E$1:E$1000=R$5,1,0)+IF(R$5="",1,0)&gt;=1,1,0))</f>
        <v>0</v>
      </c>
      <c r="Y503" s="1307">
        <f t="shared" si="36"/>
        <v>25</v>
      </c>
      <c r="Z503" s="1307">
        <f t="shared" si="37"/>
        <v>0</v>
      </c>
      <c r="AA503" s="1307">
        <f t="shared" si="38"/>
        <v>25</v>
      </c>
      <c r="AB503" s="1307">
        <f t="shared" si="39"/>
        <v>0</v>
      </c>
    </row>
    <row r="504" spans="20:28">
      <c r="T504" s="1077">
        <v>27</v>
      </c>
      <c r="U504" s="1077">
        <f t="shared" si="35"/>
        <v>47</v>
      </c>
      <c r="V504" s="1077">
        <v>26</v>
      </c>
      <c r="W504" s="1077">
        <f t="array" ref="W504">SUMPRODUCT(IF('卡片raw data'!BM$1:BM$1000=T504,1,0),IF('卡片raw data'!BO$1:BO$1000=V504,1,0),IF(IF('卡片raw data'!C$1:C$1000=R$3,1,0)+IF(R$3="",1,0)&gt;=1,1,0),IF(IF('卡片raw data'!D$1:D$1000=R$4,1,0)+IF(R$4="",1,0)&gt;=1,1,0),IF(IF('卡片raw data'!E$1:E$1000=R$5,1,0)+IF(R$5="",1,0)&gt;=1,1,0))</f>
        <v>1</v>
      </c>
      <c r="Y504" s="1307">
        <f t="shared" si="36"/>
        <v>26</v>
      </c>
      <c r="Z504" s="1307">
        <f t="shared" si="37"/>
        <v>0</v>
      </c>
      <c r="AA504" s="1307">
        <f t="shared" si="38"/>
        <v>26</v>
      </c>
      <c r="AB504" s="1307">
        <f t="shared" si="39"/>
        <v>1</v>
      </c>
    </row>
    <row r="505" spans="20:28">
      <c r="T505" s="1077">
        <v>27</v>
      </c>
      <c r="U505" s="1077">
        <f t="shared" si="35"/>
        <v>46</v>
      </c>
      <c r="V505" s="1077">
        <v>27</v>
      </c>
      <c r="W505" s="1077">
        <f t="array" ref="W505">SUMPRODUCT(IF('卡片raw data'!BM$1:BM$1000=T505,1,0),IF('卡片raw data'!BO$1:BO$1000=V505,1,0),IF(IF('卡片raw data'!C$1:C$1000=R$3,1,0)+IF(R$3="",1,0)&gt;=1,1,0),IF(IF('卡片raw data'!D$1:D$1000=R$4,1,0)+IF(R$4="",1,0)&gt;=1,1,0),IF(IF('卡片raw data'!E$1:E$1000=R$5,1,0)+IF(R$5="",1,0)&gt;=1,1,0))</f>
        <v>0</v>
      </c>
      <c r="Y505" s="1307">
        <f t="shared" si="36"/>
        <v>27</v>
      </c>
      <c r="Z505" s="1307">
        <f t="shared" si="37"/>
        <v>0</v>
      </c>
      <c r="AA505" s="1307">
        <f t="shared" si="38"/>
        <v>27</v>
      </c>
      <c r="AB505" s="1307">
        <f t="shared" si="39"/>
        <v>0</v>
      </c>
    </row>
    <row r="506" spans="20:28">
      <c r="T506" s="1077">
        <v>27</v>
      </c>
      <c r="U506" s="1077">
        <f t="shared" si="35"/>
        <v>45</v>
      </c>
      <c r="V506" s="1077">
        <v>28</v>
      </c>
      <c r="W506" s="1077">
        <f t="array" ref="W506">SUMPRODUCT(IF('卡片raw data'!BM$1:BM$1000=T506,1,0),IF('卡片raw data'!BO$1:BO$1000=V506,1,0),IF(IF('卡片raw data'!C$1:C$1000=R$3,1,0)+IF(R$3="",1,0)&gt;=1,1,0),IF(IF('卡片raw data'!D$1:D$1000=R$4,1,0)+IF(R$4="",1,0)&gt;=1,1,0),IF(IF('卡片raw data'!E$1:E$1000=R$5,1,0)+IF(R$5="",1,0)&gt;=1,1,0))</f>
        <v>0</v>
      </c>
      <c r="Y506" s="1307">
        <f t="shared" si="36"/>
        <v>28</v>
      </c>
      <c r="Z506" s="1307">
        <f t="shared" si="37"/>
        <v>0</v>
      </c>
      <c r="AA506" s="1307">
        <f t="shared" si="38"/>
        <v>28</v>
      </c>
      <c r="AB506" s="1307">
        <f t="shared" si="39"/>
        <v>0</v>
      </c>
    </row>
    <row r="507" spans="20:28">
      <c r="T507" s="1077">
        <v>27</v>
      </c>
      <c r="U507" s="1077">
        <f t="shared" si="35"/>
        <v>44</v>
      </c>
      <c r="V507" s="1077">
        <v>29</v>
      </c>
      <c r="W507" s="1077">
        <f t="array" ref="W507">SUMPRODUCT(IF('卡片raw data'!BM$1:BM$1000=T507,1,0),IF('卡片raw data'!BO$1:BO$1000=V507,1,0),IF(IF('卡片raw data'!C$1:C$1000=R$3,1,0)+IF(R$3="",1,0)&gt;=1,1,0),IF(IF('卡片raw data'!D$1:D$1000=R$4,1,0)+IF(R$4="",1,0)&gt;=1,1,0),IF(IF('卡片raw data'!E$1:E$1000=R$5,1,0)+IF(R$5="",1,0)&gt;=1,1,0))</f>
        <v>0</v>
      </c>
      <c r="Y507" s="1307">
        <f t="shared" si="36"/>
        <v>29</v>
      </c>
      <c r="Z507" s="1307">
        <f t="shared" si="37"/>
        <v>0</v>
      </c>
      <c r="AA507" s="1307">
        <f t="shared" si="38"/>
        <v>29</v>
      </c>
      <c r="AB507" s="1307">
        <f t="shared" si="39"/>
        <v>0</v>
      </c>
    </row>
    <row r="508" spans="20:28">
      <c r="T508" s="1077">
        <v>27</v>
      </c>
      <c r="U508" s="1077">
        <f t="shared" si="35"/>
        <v>43</v>
      </c>
      <c r="V508" s="1077">
        <v>30</v>
      </c>
      <c r="W508" s="1077">
        <f t="array" ref="W508">SUMPRODUCT(IF('卡片raw data'!BM$1:BM$1000=T508,1,0),IF('卡片raw data'!BO$1:BO$1000=V508,1,0),IF(IF('卡片raw data'!C$1:C$1000=R$3,1,0)+IF(R$3="",1,0)&gt;=1,1,0),IF(IF('卡片raw data'!D$1:D$1000=R$4,1,0)+IF(R$4="",1,0)&gt;=1,1,0),IF(IF('卡片raw data'!E$1:E$1000=R$5,1,0)+IF(R$5="",1,0)&gt;=1,1,0))</f>
        <v>0</v>
      </c>
      <c r="Y508" s="1307">
        <f t="shared" si="36"/>
        <v>30</v>
      </c>
      <c r="Z508" s="1307">
        <f t="shared" si="37"/>
        <v>0</v>
      </c>
      <c r="AA508" s="1307">
        <f t="shared" si="38"/>
        <v>30</v>
      </c>
      <c r="AB508" s="1307">
        <f t="shared" si="39"/>
        <v>0</v>
      </c>
    </row>
    <row r="509" spans="20:28">
      <c r="T509" s="1077">
        <v>27</v>
      </c>
      <c r="U509" s="1077">
        <f t="shared" si="35"/>
        <v>42</v>
      </c>
      <c r="V509" s="1077">
        <v>31</v>
      </c>
      <c r="W509" s="1077">
        <f t="array" ref="W509">SUMPRODUCT(IF('卡片raw data'!BM$1:BM$1000=T509,1,0),IF('卡片raw data'!BO$1:BO$1000=V509,1,0),IF(IF('卡片raw data'!C$1:C$1000=R$3,1,0)+IF(R$3="",1,0)&gt;=1,1,0),IF(IF('卡片raw data'!D$1:D$1000=R$4,1,0)+IF(R$4="",1,0)&gt;=1,1,0),IF(IF('卡片raw data'!E$1:E$1000=R$5,1,0)+IF(R$5="",1,0)&gt;=1,1,0))</f>
        <v>0</v>
      </c>
      <c r="Y509" s="1307">
        <f t="shared" si="36"/>
        <v>31</v>
      </c>
      <c r="Z509" s="1307">
        <f t="shared" si="37"/>
        <v>0</v>
      </c>
      <c r="AA509" s="1307">
        <f t="shared" si="38"/>
        <v>31</v>
      </c>
      <c r="AB509" s="1307">
        <f t="shared" si="39"/>
        <v>0</v>
      </c>
    </row>
    <row r="510" spans="20:28">
      <c r="T510" s="1077">
        <v>27</v>
      </c>
      <c r="U510" s="1077">
        <f t="shared" si="35"/>
        <v>41</v>
      </c>
      <c r="V510" s="1077">
        <v>32</v>
      </c>
      <c r="W510" s="1077">
        <f t="array" ref="W510">SUMPRODUCT(IF('卡片raw data'!BM$1:BM$1000=T510,1,0),IF('卡片raw data'!BO$1:BO$1000=V510,1,0),IF(IF('卡片raw data'!C$1:C$1000=R$3,1,0)+IF(R$3="",1,0)&gt;=1,1,0),IF(IF('卡片raw data'!D$1:D$1000=R$4,1,0)+IF(R$4="",1,0)&gt;=1,1,0),IF(IF('卡片raw data'!E$1:E$1000=R$5,1,0)+IF(R$5="",1,0)&gt;=1,1,0))</f>
        <v>0</v>
      </c>
      <c r="Y510" s="1307">
        <f t="shared" si="36"/>
        <v>32</v>
      </c>
      <c r="Z510" s="1307">
        <f t="shared" si="37"/>
        <v>0</v>
      </c>
      <c r="AA510" s="1307">
        <f t="shared" si="38"/>
        <v>32</v>
      </c>
      <c r="AB510" s="1307">
        <f t="shared" si="39"/>
        <v>0</v>
      </c>
    </row>
    <row r="511" spans="20:28">
      <c r="T511" s="1077">
        <v>27</v>
      </c>
      <c r="U511" s="1077">
        <f t="shared" si="35"/>
        <v>40</v>
      </c>
      <c r="V511" s="1077">
        <v>33</v>
      </c>
      <c r="W511" s="1077">
        <f t="array" ref="W511">SUMPRODUCT(IF('卡片raw data'!BM$1:BM$1000=T511,1,0),IF('卡片raw data'!BO$1:BO$1000=V511,1,0),IF(IF('卡片raw data'!C$1:C$1000=R$3,1,0)+IF(R$3="",1,0)&gt;=1,1,0),IF(IF('卡片raw data'!D$1:D$1000=R$4,1,0)+IF(R$4="",1,0)&gt;=1,1,0),IF(IF('卡片raw data'!E$1:E$1000=R$5,1,0)+IF(R$5="",1,0)&gt;=1,1,0))</f>
        <v>5</v>
      </c>
      <c r="Y511" s="1307">
        <f t="shared" si="36"/>
        <v>33</v>
      </c>
      <c r="Z511" s="1307">
        <f t="shared" si="37"/>
        <v>0</v>
      </c>
      <c r="AA511" s="1307">
        <f t="shared" si="38"/>
        <v>33</v>
      </c>
      <c r="AB511" s="1307">
        <f t="shared" si="39"/>
        <v>5</v>
      </c>
    </row>
    <row r="512" spans="20:28">
      <c r="T512" s="1077">
        <v>27</v>
      </c>
      <c r="U512" s="1077">
        <f t="shared" si="35"/>
        <v>39</v>
      </c>
      <c r="V512" s="1077">
        <v>34</v>
      </c>
      <c r="W512" s="1077">
        <f t="array" ref="W512">SUMPRODUCT(IF('卡片raw data'!BM$1:BM$1000=T512,1,0),IF('卡片raw data'!BO$1:BO$1000=V512,1,0),IF(IF('卡片raw data'!C$1:C$1000=R$3,1,0)+IF(R$3="",1,0)&gt;=1,1,0),IF(IF('卡片raw data'!D$1:D$1000=R$4,1,0)+IF(R$4="",1,0)&gt;=1,1,0),IF(IF('卡片raw data'!E$1:E$1000=R$5,1,0)+IF(R$5="",1,0)&gt;=1,1,0))</f>
        <v>1</v>
      </c>
      <c r="Y512" s="1307">
        <f t="shared" si="36"/>
        <v>34</v>
      </c>
      <c r="Z512" s="1307">
        <f t="shared" si="37"/>
        <v>0</v>
      </c>
      <c r="AA512" s="1307">
        <f t="shared" si="38"/>
        <v>34</v>
      </c>
      <c r="AB512" s="1307">
        <f t="shared" si="39"/>
        <v>1</v>
      </c>
    </row>
    <row r="513" spans="20:28">
      <c r="T513" s="1077">
        <v>27</v>
      </c>
      <c r="U513" s="1077">
        <f t="shared" si="35"/>
        <v>38</v>
      </c>
      <c r="V513" s="1077">
        <v>35</v>
      </c>
      <c r="W513" s="1077">
        <f t="array" ref="W513">SUMPRODUCT(IF('卡片raw data'!BM$1:BM$1000=T513,1,0),IF('卡片raw data'!BO$1:BO$1000=V513,1,0),IF(IF('卡片raw data'!C$1:C$1000=R$3,1,0)+IF(R$3="",1,0)&gt;=1,1,0),IF(IF('卡片raw data'!D$1:D$1000=R$4,1,0)+IF(R$4="",1,0)&gt;=1,1,0),IF(IF('卡片raw data'!E$1:E$1000=R$5,1,0)+IF(R$5="",1,0)&gt;=1,1,0))</f>
        <v>1</v>
      </c>
      <c r="Y513" s="1307">
        <f t="shared" si="36"/>
        <v>35</v>
      </c>
      <c r="Z513" s="1307">
        <f t="shared" si="37"/>
        <v>0</v>
      </c>
      <c r="AA513" s="1307">
        <f t="shared" si="38"/>
        <v>35</v>
      </c>
      <c r="AB513" s="1307">
        <f t="shared" si="39"/>
        <v>1</v>
      </c>
    </row>
    <row r="514" spans="20:28">
      <c r="T514" s="1077">
        <v>27</v>
      </c>
      <c r="U514" s="1077">
        <f t="shared" si="35"/>
        <v>37</v>
      </c>
      <c r="V514" s="1077">
        <v>36</v>
      </c>
      <c r="W514" s="1077">
        <f t="array" ref="W514">SUMPRODUCT(IF('卡片raw data'!BM$1:BM$1000=T514,1,0),IF('卡片raw data'!BO$1:BO$1000=V514,1,0),IF(IF('卡片raw data'!C$1:C$1000=R$3,1,0)+IF(R$3="",1,0)&gt;=1,1,0),IF(IF('卡片raw data'!D$1:D$1000=R$4,1,0)+IF(R$4="",1,0)&gt;=1,1,0),IF(IF('卡片raw data'!E$1:E$1000=R$5,1,0)+IF(R$5="",1,0)&gt;=1,1,0))</f>
        <v>1</v>
      </c>
      <c r="Y514" s="1307">
        <f t="shared" si="36"/>
        <v>36</v>
      </c>
      <c r="Z514" s="1307">
        <f t="shared" si="37"/>
        <v>0</v>
      </c>
      <c r="AA514" s="1307">
        <f t="shared" si="38"/>
        <v>36</v>
      </c>
      <c r="AB514" s="1307">
        <f t="shared" si="39"/>
        <v>1</v>
      </c>
    </row>
    <row r="515" spans="20:28">
      <c r="T515" s="1077">
        <v>27</v>
      </c>
      <c r="U515" s="1077">
        <f t="shared" si="35"/>
        <v>36</v>
      </c>
      <c r="V515" s="1077">
        <v>37</v>
      </c>
      <c r="W515" s="1077">
        <f t="array" ref="W515">SUMPRODUCT(IF('卡片raw data'!BM$1:BM$1000=T515,1,0),IF('卡片raw data'!BO$1:BO$1000=V515,1,0),IF(IF('卡片raw data'!C$1:C$1000=R$3,1,0)+IF(R$3="",1,0)&gt;=1,1,0),IF(IF('卡片raw data'!D$1:D$1000=R$4,1,0)+IF(R$4="",1,0)&gt;=1,1,0),IF(IF('卡片raw data'!E$1:E$1000=R$5,1,0)+IF(R$5="",1,0)&gt;=1,1,0))</f>
        <v>0</v>
      </c>
      <c r="Y515" s="1307">
        <f t="shared" si="36"/>
        <v>37</v>
      </c>
      <c r="Z515" s="1307">
        <f t="shared" si="37"/>
        <v>0</v>
      </c>
      <c r="AA515" s="1307">
        <f t="shared" si="38"/>
        <v>37</v>
      </c>
      <c r="AB515" s="1307">
        <f t="shared" si="39"/>
        <v>0</v>
      </c>
    </row>
    <row r="516" spans="20:28">
      <c r="T516" s="1077">
        <v>27</v>
      </c>
      <c r="U516" s="1077">
        <f t="shared" ref="U516:U579" si="40">100-T516-V516</f>
        <v>35</v>
      </c>
      <c r="V516" s="1077">
        <v>38</v>
      </c>
      <c r="W516" s="1077">
        <f t="array" ref="W516">SUMPRODUCT(IF('卡片raw data'!BM$1:BM$1000=T516,1,0),IF('卡片raw data'!BO$1:BO$1000=V516,1,0),IF(IF('卡片raw data'!C$1:C$1000=R$3,1,0)+IF(R$3="",1,0)&gt;=1,1,0),IF(IF('卡片raw data'!D$1:D$1000=R$4,1,0)+IF(R$4="",1,0)&gt;=1,1,0),IF(IF('卡片raw data'!E$1:E$1000=R$5,1,0)+IF(R$5="",1,0)&gt;=1,1,0))</f>
        <v>0</v>
      </c>
      <c r="Y516" s="1307">
        <f t="shared" ref="Y516:Y579" si="41">V516</f>
        <v>38</v>
      </c>
      <c r="Z516" s="1307">
        <f t="shared" ref="Z516:Z579" si="42">IF(AND(V516&gt;U516,V516&gt;T516),W516,0)</f>
        <v>0</v>
      </c>
      <c r="AA516" s="1307">
        <f t="shared" ref="AA516:AA579" si="43">V516</f>
        <v>38</v>
      </c>
      <c r="AB516" s="1307">
        <f t="shared" ref="AB516:AB579" si="44">W516-Z516</f>
        <v>0</v>
      </c>
    </row>
    <row r="517" spans="20:28">
      <c r="T517" s="1077">
        <v>27</v>
      </c>
      <c r="U517" s="1077">
        <f t="shared" si="40"/>
        <v>34</v>
      </c>
      <c r="V517" s="1077">
        <v>39</v>
      </c>
      <c r="W517" s="1077">
        <f t="array" ref="W517">SUMPRODUCT(IF('卡片raw data'!BM$1:BM$1000=T517,1,0),IF('卡片raw data'!BO$1:BO$1000=V517,1,0),IF(IF('卡片raw data'!C$1:C$1000=R$3,1,0)+IF(R$3="",1,0)&gt;=1,1,0),IF(IF('卡片raw data'!D$1:D$1000=R$4,1,0)+IF(R$4="",1,0)&gt;=1,1,0),IF(IF('卡片raw data'!E$1:E$1000=R$5,1,0)+IF(R$5="",1,0)&gt;=1,1,0))</f>
        <v>0</v>
      </c>
      <c r="Y517" s="1307">
        <f t="shared" si="41"/>
        <v>39</v>
      </c>
      <c r="Z517" s="1307">
        <f t="shared" si="42"/>
        <v>0</v>
      </c>
      <c r="AA517" s="1307">
        <f t="shared" si="43"/>
        <v>39</v>
      </c>
      <c r="AB517" s="1307">
        <f t="shared" si="44"/>
        <v>0</v>
      </c>
    </row>
    <row r="518" spans="20:28">
      <c r="T518" s="1077">
        <v>27</v>
      </c>
      <c r="U518" s="1077">
        <f t="shared" si="40"/>
        <v>33</v>
      </c>
      <c r="V518" s="1077">
        <v>40</v>
      </c>
      <c r="W518" s="1077">
        <f t="array" ref="W518">SUMPRODUCT(IF('卡片raw data'!BM$1:BM$1000=T518,1,0),IF('卡片raw data'!BO$1:BO$1000=V518,1,0),IF(IF('卡片raw data'!C$1:C$1000=R$3,1,0)+IF(R$3="",1,0)&gt;=1,1,0),IF(IF('卡片raw data'!D$1:D$1000=R$4,1,0)+IF(R$4="",1,0)&gt;=1,1,0),IF(IF('卡片raw data'!E$1:E$1000=R$5,1,0)+IF(R$5="",1,0)&gt;=1,1,0))</f>
        <v>0</v>
      </c>
      <c r="Y518" s="1307">
        <f t="shared" si="41"/>
        <v>40</v>
      </c>
      <c r="Z518" s="1307">
        <f t="shared" si="42"/>
        <v>0</v>
      </c>
      <c r="AA518" s="1307">
        <f t="shared" si="43"/>
        <v>40</v>
      </c>
      <c r="AB518" s="1307">
        <f t="shared" si="44"/>
        <v>0</v>
      </c>
    </row>
    <row r="519" spans="20:28">
      <c r="T519" s="1077">
        <v>27</v>
      </c>
      <c r="U519" s="1077">
        <f t="shared" si="40"/>
        <v>32</v>
      </c>
      <c r="V519" s="1077">
        <v>41</v>
      </c>
      <c r="W519" s="1077">
        <f t="array" ref="W519">SUMPRODUCT(IF('卡片raw data'!BM$1:BM$1000=T519,1,0),IF('卡片raw data'!BO$1:BO$1000=V519,1,0),IF(IF('卡片raw data'!C$1:C$1000=R$3,1,0)+IF(R$3="",1,0)&gt;=1,1,0),IF(IF('卡片raw data'!D$1:D$1000=R$4,1,0)+IF(R$4="",1,0)&gt;=1,1,0),IF(IF('卡片raw data'!E$1:E$1000=R$5,1,0)+IF(R$5="",1,0)&gt;=1,1,0))</f>
        <v>0</v>
      </c>
      <c r="Y519" s="1307">
        <f t="shared" si="41"/>
        <v>41</v>
      </c>
      <c r="Z519" s="1307">
        <f t="shared" si="42"/>
        <v>0</v>
      </c>
      <c r="AA519" s="1307">
        <f t="shared" si="43"/>
        <v>41</v>
      </c>
      <c r="AB519" s="1307">
        <f t="shared" si="44"/>
        <v>0</v>
      </c>
    </row>
    <row r="520" spans="20:28">
      <c r="T520" s="1077">
        <v>27</v>
      </c>
      <c r="U520" s="1077">
        <f t="shared" si="40"/>
        <v>31</v>
      </c>
      <c r="V520" s="1077">
        <v>42</v>
      </c>
      <c r="W520" s="1077">
        <f t="array" ref="W520">SUMPRODUCT(IF('卡片raw data'!BM$1:BM$1000=T520,1,0),IF('卡片raw data'!BO$1:BO$1000=V520,1,0),IF(IF('卡片raw data'!C$1:C$1000=R$3,1,0)+IF(R$3="",1,0)&gt;=1,1,0),IF(IF('卡片raw data'!D$1:D$1000=R$4,1,0)+IF(R$4="",1,0)&gt;=1,1,0),IF(IF('卡片raw data'!E$1:E$1000=R$5,1,0)+IF(R$5="",1,0)&gt;=1,1,0))</f>
        <v>0</v>
      </c>
      <c r="Y520" s="1307">
        <f t="shared" si="41"/>
        <v>42</v>
      </c>
      <c r="Z520" s="1307">
        <f t="shared" si="42"/>
        <v>0</v>
      </c>
      <c r="AA520" s="1307">
        <f t="shared" si="43"/>
        <v>42</v>
      </c>
      <c r="AB520" s="1307">
        <f t="shared" si="44"/>
        <v>0</v>
      </c>
    </row>
    <row r="521" spans="20:28">
      <c r="T521" s="1077">
        <v>27</v>
      </c>
      <c r="U521" s="1077">
        <f t="shared" si="40"/>
        <v>30</v>
      </c>
      <c r="V521" s="1077">
        <v>43</v>
      </c>
      <c r="W521" s="1077">
        <f t="array" ref="W521">SUMPRODUCT(IF('卡片raw data'!BM$1:BM$1000=T521,1,0),IF('卡片raw data'!BO$1:BO$1000=V521,1,0),IF(IF('卡片raw data'!C$1:C$1000=R$3,1,0)+IF(R$3="",1,0)&gt;=1,1,0),IF(IF('卡片raw data'!D$1:D$1000=R$4,1,0)+IF(R$4="",1,0)&gt;=1,1,0),IF(IF('卡片raw data'!E$1:E$1000=R$5,1,0)+IF(R$5="",1,0)&gt;=1,1,0))</f>
        <v>0</v>
      </c>
      <c r="Y521" s="1307">
        <f t="shared" si="41"/>
        <v>43</v>
      </c>
      <c r="Z521" s="1307">
        <f t="shared" si="42"/>
        <v>0</v>
      </c>
      <c r="AA521" s="1307">
        <f t="shared" si="43"/>
        <v>43</v>
      </c>
      <c r="AB521" s="1307">
        <f t="shared" si="44"/>
        <v>0</v>
      </c>
    </row>
    <row r="522" spans="20:28">
      <c r="T522" s="1077">
        <v>27</v>
      </c>
      <c r="U522" s="1077">
        <f t="shared" si="40"/>
        <v>29</v>
      </c>
      <c r="V522" s="1077">
        <v>44</v>
      </c>
      <c r="W522" s="1077">
        <f t="array" ref="W522">SUMPRODUCT(IF('卡片raw data'!BM$1:BM$1000=T522,1,0),IF('卡片raw data'!BO$1:BO$1000=V522,1,0),IF(IF('卡片raw data'!C$1:C$1000=R$3,1,0)+IF(R$3="",1,0)&gt;=1,1,0),IF(IF('卡片raw data'!D$1:D$1000=R$4,1,0)+IF(R$4="",1,0)&gt;=1,1,0),IF(IF('卡片raw data'!E$1:E$1000=R$5,1,0)+IF(R$5="",1,0)&gt;=1,1,0))</f>
        <v>0</v>
      </c>
      <c r="Y522" s="1307">
        <f t="shared" si="41"/>
        <v>44</v>
      </c>
      <c r="Z522" s="1307">
        <f t="shared" si="42"/>
        <v>0</v>
      </c>
      <c r="AA522" s="1307">
        <f t="shared" si="43"/>
        <v>44</v>
      </c>
      <c r="AB522" s="1307">
        <f t="shared" si="44"/>
        <v>0</v>
      </c>
    </row>
    <row r="523" spans="20:28">
      <c r="T523" s="1077">
        <v>27</v>
      </c>
      <c r="U523" s="1077">
        <f t="shared" si="40"/>
        <v>28</v>
      </c>
      <c r="V523" s="1077">
        <v>45</v>
      </c>
      <c r="W523" s="1077">
        <f t="array" ref="W523">SUMPRODUCT(IF('卡片raw data'!BM$1:BM$1000=T523,1,0),IF('卡片raw data'!BO$1:BO$1000=V523,1,0),IF(IF('卡片raw data'!C$1:C$1000=R$3,1,0)+IF(R$3="",1,0)&gt;=1,1,0),IF(IF('卡片raw data'!D$1:D$1000=R$4,1,0)+IF(R$4="",1,0)&gt;=1,1,0),IF(IF('卡片raw data'!E$1:E$1000=R$5,1,0)+IF(R$5="",1,0)&gt;=1,1,0))</f>
        <v>0</v>
      </c>
      <c r="Y523" s="1307">
        <f t="shared" si="41"/>
        <v>45</v>
      </c>
      <c r="Z523" s="1307">
        <f t="shared" si="42"/>
        <v>0</v>
      </c>
      <c r="AA523" s="1307">
        <f t="shared" si="43"/>
        <v>45</v>
      </c>
      <c r="AB523" s="1307">
        <f t="shared" si="44"/>
        <v>0</v>
      </c>
    </row>
    <row r="524" spans="20:28">
      <c r="T524" s="1077">
        <v>27</v>
      </c>
      <c r="U524" s="1077">
        <f t="shared" si="40"/>
        <v>27</v>
      </c>
      <c r="V524" s="1077">
        <v>46</v>
      </c>
      <c r="W524" s="1077">
        <f t="array" ref="W524">SUMPRODUCT(IF('卡片raw data'!BM$1:BM$1000=T524,1,0),IF('卡片raw data'!BO$1:BO$1000=V524,1,0),IF(IF('卡片raw data'!C$1:C$1000=R$3,1,0)+IF(R$3="",1,0)&gt;=1,1,0),IF(IF('卡片raw data'!D$1:D$1000=R$4,1,0)+IF(R$4="",1,0)&gt;=1,1,0),IF(IF('卡片raw data'!E$1:E$1000=R$5,1,0)+IF(R$5="",1,0)&gt;=1,1,0))</f>
        <v>0</v>
      </c>
      <c r="Y524" s="1307">
        <f t="shared" si="41"/>
        <v>46</v>
      </c>
      <c r="Z524" s="1307">
        <f t="shared" si="42"/>
        <v>0</v>
      </c>
      <c r="AA524" s="1307">
        <f t="shared" si="43"/>
        <v>46</v>
      </c>
      <c r="AB524" s="1307">
        <f t="shared" si="44"/>
        <v>0</v>
      </c>
    </row>
    <row r="525" spans="20:28">
      <c r="T525" s="1077">
        <v>27</v>
      </c>
      <c r="U525" s="1077">
        <f t="shared" si="40"/>
        <v>26</v>
      </c>
      <c r="V525" s="1077">
        <v>47</v>
      </c>
      <c r="W525" s="1077">
        <f t="array" ref="W525">SUMPRODUCT(IF('卡片raw data'!BM$1:BM$1000=T525,1,0),IF('卡片raw data'!BO$1:BO$1000=V525,1,0),IF(IF('卡片raw data'!C$1:C$1000=R$3,1,0)+IF(R$3="",1,0)&gt;=1,1,0),IF(IF('卡片raw data'!D$1:D$1000=R$4,1,0)+IF(R$4="",1,0)&gt;=1,1,0),IF(IF('卡片raw data'!E$1:E$1000=R$5,1,0)+IF(R$5="",1,0)&gt;=1,1,0))</f>
        <v>0</v>
      </c>
      <c r="Y525" s="1307">
        <f t="shared" si="41"/>
        <v>47</v>
      </c>
      <c r="Z525" s="1307">
        <f t="shared" si="42"/>
        <v>0</v>
      </c>
      <c r="AA525" s="1307">
        <f t="shared" si="43"/>
        <v>47</v>
      </c>
      <c r="AB525" s="1307">
        <f t="shared" si="44"/>
        <v>0</v>
      </c>
    </row>
    <row r="526" spans="20:28">
      <c r="T526" s="1077">
        <v>27</v>
      </c>
      <c r="U526" s="1077">
        <f t="shared" si="40"/>
        <v>25</v>
      </c>
      <c r="V526" s="1077">
        <v>48</v>
      </c>
      <c r="W526" s="1077">
        <f t="array" ref="W526">SUMPRODUCT(IF('卡片raw data'!BM$1:BM$1000=T526,1,0),IF('卡片raw data'!BO$1:BO$1000=V526,1,0),IF(IF('卡片raw data'!C$1:C$1000=R$3,1,0)+IF(R$3="",1,0)&gt;=1,1,0),IF(IF('卡片raw data'!D$1:D$1000=R$4,1,0)+IF(R$4="",1,0)&gt;=1,1,0),IF(IF('卡片raw data'!E$1:E$1000=R$5,1,0)+IF(R$5="",1,0)&gt;=1,1,0))</f>
        <v>0</v>
      </c>
      <c r="Y526" s="1307">
        <f t="shared" si="41"/>
        <v>48</v>
      </c>
      <c r="Z526" s="1307">
        <f t="shared" si="42"/>
        <v>0</v>
      </c>
      <c r="AA526" s="1307">
        <f t="shared" si="43"/>
        <v>48</v>
      </c>
      <c r="AB526" s="1307">
        <f t="shared" si="44"/>
        <v>0</v>
      </c>
    </row>
    <row r="527" spans="20:28">
      <c r="T527" s="1077">
        <v>27</v>
      </c>
      <c r="U527" s="1077">
        <f t="shared" si="40"/>
        <v>24</v>
      </c>
      <c r="V527" s="1077">
        <v>49</v>
      </c>
      <c r="W527" s="1077">
        <f t="array" ref="W527">SUMPRODUCT(IF('卡片raw data'!BM$1:BM$1000=T527,1,0),IF('卡片raw data'!BO$1:BO$1000=V527,1,0),IF(IF('卡片raw data'!C$1:C$1000=R$3,1,0)+IF(R$3="",1,0)&gt;=1,1,0),IF(IF('卡片raw data'!D$1:D$1000=R$4,1,0)+IF(R$4="",1,0)&gt;=1,1,0),IF(IF('卡片raw data'!E$1:E$1000=R$5,1,0)+IF(R$5="",1,0)&gt;=1,1,0))</f>
        <v>0</v>
      </c>
      <c r="Y527" s="1307">
        <f t="shared" si="41"/>
        <v>49</v>
      </c>
      <c r="Z527" s="1307">
        <f t="shared" si="42"/>
        <v>0</v>
      </c>
      <c r="AA527" s="1307">
        <f t="shared" si="43"/>
        <v>49</v>
      </c>
      <c r="AB527" s="1307">
        <f t="shared" si="44"/>
        <v>0</v>
      </c>
    </row>
    <row r="528" spans="20:28">
      <c r="T528" s="1077">
        <v>27</v>
      </c>
      <c r="U528" s="1077">
        <f t="shared" si="40"/>
        <v>23</v>
      </c>
      <c r="V528" s="1077">
        <v>50</v>
      </c>
      <c r="W528" s="1077">
        <f t="array" ref="W528">SUMPRODUCT(IF('卡片raw data'!BM$1:BM$1000=T528,1,0),IF('卡片raw data'!BO$1:BO$1000=V528,1,0),IF(IF('卡片raw data'!C$1:C$1000=R$3,1,0)+IF(R$3="",1,0)&gt;=1,1,0),IF(IF('卡片raw data'!D$1:D$1000=R$4,1,0)+IF(R$4="",1,0)&gt;=1,1,0),IF(IF('卡片raw data'!E$1:E$1000=R$5,1,0)+IF(R$5="",1,0)&gt;=1,1,0))</f>
        <v>0</v>
      </c>
      <c r="Y528" s="1307">
        <f t="shared" si="41"/>
        <v>50</v>
      </c>
      <c r="Z528" s="1307">
        <f t="shared" si="42"/>
        <v>0</v>
      </c>
      <c r="AA528" s="1307">
        <f t="shared" si="43"/>
        <v>50</v>
      </c>
      <c r="AB528" s="1307">
        <f t="shared" si="44"/>
        <v>0</v>
      </c>
    </row>
    <row r="529" spans="20:28">
      <c r="T529" s="1077">
        <v>27</v>
      </c>
      <c r="U529" s="1077">
        <f t="shared" si="40"/>
        <v>22</v>
      </c>
      <c r="V529" s="1077">
        <v>51</v>
      </c>
      <c r="W529" s="1077">
        <f t="array" ref="W529">SUMPRODUCT(IF('卡片raw data'!BM$1:BM$1000=T529,1,0),IF('卡片raw data'!BO$1:BO$1000=V529,1,0),IF(IF('卡片raw data'!C$1:C$1000=R$3,1,0)+IF(R$3="",1,0)&gt;=1,1,0),IF(IF('卡片raw data'!D$1:D$1000=R$4,1,0)+IF(R$4="",1,0)&gt;=1,1,0),IF(IF('卡片raw data'!E$1:E$1000=R$5,1,0)+IF(R$5="",1,0)&gt;=1,1,0))</f>
        <v>0</v>
      </c>
      <c r="Y529" s="1307">
        <f t="shared" si="41"/>
        <v>51</v>
      </c>
      <c r="Z529" s="1307">
        <f t="shared" si="42"/>
        <v>0</v>
      </c>
      <c r="AA529" s="1307">
        <f t="shared" si="43"/>
        <v>51</v>
      </c>
      <c r="AB529" s="1307">
        <f t="shared" si="44"/>
        <v>0</v>
      </c>
    </row>
    <row r="530" spans="20:28">
      <c r="T530" s="1077">
        <v>27</v>
      </c>
      <c r="U530" s="1077">
        <f t="shared" si="40"/>
        <v>21</v>
      </c>
      <c r="V530" s="1077">
        <v>52</v>
      </c>
      <c r="W530" s="1077">
        <f t="array" ref="W530">SUMPRODUCT(IF('卡片raw data'!BM$1:BM$1000=T530,1,0),IF('卡片raw data'!BO$1:BO$1000=V530,1,0),IF(IF('卡片raw data'!C$1:C$1000=R$3,1,0)+IF(R$3="",1,0)&gt;=1,1,0),IF(IF('卡片raw data'!D$1:D$1000=R$4,1,0)+IF(R$4="",1,0)&gt;=1,1,0),IF(IF('卡片raw data'!E$1:E$1000=R$5,1,0)+IF(R$5="",1,0)&gt;=1,1,0))</f>
        <v>0</v>
      </c>
      <c r="Y530" s="1307">
        <f t="shared" si="41"/>
        <v>52</v>
      </c>
      <c r="Z530" s="1307">
        <f t="shared" si="42"/>
        <v>0</v>
      </c>
      <c r="AA530" s="1307">
        <f t="shared" si="43"/>
        <v>52</v>
      </c>
      <c r="AB530" s="1307">
        <f t="shared" si="44"/>
        <v>0</v>
      </c>
    </row>
    <row r="531" spans="20:28">
      <c r="T531" s="1077">
        <v>27</v>
      </c>
      <c r="U531" s="1077">
        <f t="shared" si="40"/>
        <v>20</v>
      </c>
      <c r="V531" s="1077">
        <v>53</v>
      </c>
      <c r="W531" s="1077">
        <f t="array" ref="W531">SUMPRODUCT(IF('卡片raw data'!BM$1:BM$1000=T531,1,0),IF('卡片raw data'!BO$1:BO$1000=V531,1,0),IF(IF('卡片raw data'!C$1:C$1000=R$3,1,0)+IF(R$3="",1,0)&gt;=1,1,0),IF(IF('卡片raw data'!D$1:D$1000=R$4,1,0)+IF(R$4="",1,0)&gt;=1,1,0),IF(IF('卡片raw data'!E$1:E$1000=R$5,1,0)+IF(R$5="",1,0)&gt;=1,1,0))</f>
        <v>0</v>
      </c>
      <c r="Y531" s="1307">
        <f t="shared" si="41"/>
        <v>53</v>
      </c>
      <c r="Z531" s="1307">
        <f t="shared" si="42"/>
        <v>0</v>
      </c>
      <c r="AA531" s="1307">
        <f t="shared" si="43"/>
        <v>53</v>
      </c>
      <c r="AB531" s="1307">
        <f t="shared" si="44"/>
        <v>0</v>
      </c>
    </row>
    <row r="532" spans="20:28">
      <c r="T532" s="1077">
        <v>27</v>
      </c>
      <c r="U532" s="1077">
        <f t="shared" si="40"/>
        <v>19</v>
      </c>
      <c r="V532" s="1077">
        <v>54</v>
      </c>
      <c r="W532" s="1077">
        <f t="array" ref="W532">SUMPRODUCT(IF('卡片raw data'!BM$1:BM$1000=T532,1,0),IF('卡片raw data'!BO$1:BO$1000=V532,1,0),IF(IF('卡片raw data'!C$1:C$1000=R$3,1,0)+IF(R$3="",1,0)&gt;=1,1,0),IF(IF('卡片raw data'!D$1:D$1000=R$4,1,0)+IF(R$4="",1,0)&gt;=1,1,0),IF(IF('卡片raw data'!E$1:E$1000=R$5,1,0)+IF(R$5="",1,0)&gt;=1,1,0))</f>
        <v>0</v>
      </c>
      <c r="Y532" s="1307">
        <f t="shared" si="41"/>
        <v>54</v>
      </c>
      <c r="Z532" s="1307">
        <f t="shared" si="42"/>
        <v>0</v>
      </c>
      <c r="AA532" s="1307">
        <f t="shared" si="43"/>
        <v>54</v>
      </c>
      <c r="AB532" s="1307">
        <f t="shared" si="44"/>
        <v>0</v>
      </c>
    </row>
    <row r="533" spans="20:28">
      <c r="T533" s="1077">
        <v>27</v>
      </c>
      <c r="U533" s="1077">
        <f t="shared" si="40"/>
        <v>18</v>
      </c>
      <c r="V533" s="1077">
        <v>55</v>
      </c>
      <c r="W533" s="1077">
        <f t="array" ref="W533">SUMPRODUCT(IF('卡片raw data'!BM$1:BM$1000=T533,1,0),IF('卡片raw data'!BO$1:BO$1000=V533,1,0),IF(IF('卡片raw data'!C$1:C$1000=R$3,1,0)+IF(R$3="",1,0)&gt;=1,1,0),IF(IF('卡片raw data'!D$1:D$1000=R$4,1,0)+IF(R$4="",1,0)&gt;=1,1,0),IF(IF('卡片raw data'!E$1:E$1000=R$5,1,0)+IF(R$5="",1,0)&gt;=1,1,0))</f>
        <v>0</v>
      </c>
      <c r="Y533" s="1307">
        <f t="shared" si="41"/>
        <v>55</v>
      </c>
      <c r="Z533" s="1307">
        <f t="shared" si="42"/>
        <v>0</v>
      </c>
      <c r="AA533" s="1307">
        <f t="shared" si="43"/>
        <v>55</v>
      </c>
      <c r="AB533" s="1307">
        <f t="shared" si="44"/>
        <v>0</v>
      </c>
    </row>
    <row r="534" spans="20:28">
      <c r="T534" s="1077">
        <v>28</v>
      </c>
      <c r="U534" s="1077">
        <f t="shared" si="40"/>
        <v>55</v>
      </c>
      <c r="V534" s="1077">
        <v>17</v>
      </c>
      <c r="W534" s="1077">
        <f t="array" ref="W534">SUMPRODUCT(IF('卡片raw data'!BM$1:BM$1000=T534,1,0),IF('卡片raw data'!BO$1:BO$1000=V534,1,0),IF(IF('卡片raw data'!C$1:C$1000=R$3,1,0)+IF(R$3="",1,0)&gt;=1,1,0),IF(IF('卡片raw data'!D$1:D$1000=R$4,1,0)+IF(R$4="",1,0)&gt;=1,1,0),IF(IF('卡片raw data'!E$1:E$1000=R$5,1,0)+IF(R$5="",1,0)&gt;=1,1,0))</f>
        <v>0</v>
      </c>
      <c r="Y534" s="1307">
        <f t="shared" si="41"/>
        <v>17</v>
      </c>
      <c r="Z534" s="1307">
        <f t="shared" si="42"/>
        <v>0</v>
      </c>
      <c r="AA534" s="1307">
        <f t="shared" si="43"/>
        <v>17</v>
      </c>
      <c r="AB534" s="1307">
        <f t="shared" si="44"/>
        <v>0</v>
      </c>
    </row>
    <row r="535" spans="20:28">
      <c r="T535" s="1077">
        <v>28</v>
      </c>
      <c r="U535" s="1077">
        <f t="shared" si="40"/>
        <v>54</v>
      </c>
      <c r="V535" s="1077">
        <v>18</v>
      </c>
      <c r="W535" s="1077">
        <f t="array" ref="W535">SUMPRODUCT(IF('卡片raw data'!BM$1:BM$1000=T535,1,0),IF('卡片raw data'!BO$1:BO$1000=V535,1,0),IF(IF('卡片raw data'!C$1:C$1000=R$3,1,0)+IF(R$3="",1,0)&gt;=1,1,0),IF(IF('卡片raw data'!D$1:D$1000=R$4,1,0)+IF(R$4="",1,0)&gt;=1,1,0),IF(IF('卡片raw data'!E$1:E$1000=R$5,1,0)+IF(R$5="",1,0)&gt;=1,1,0))</f>
        <v>0</v>
      </c>
      <c r="Y535" s="1307">
        <f t="shared" si="41"/>
        <v>18</v>
      </c>
      <c r="Z535" s="1307">
        <f t="shared" si="42"/>
        <v>0</v>
      </c>
      <c r="AA535" s="1307">
        <f t="shared" si="43"/>
        <v>18</v>
      </c>
      <c r="AB535" s="1307">
        <f t="shared" si="44"/>
        <v>0</v>
      </c>
    </row>
    <row r="536" spans="20:28">
      <c r="T536" s="1077">
        <v>28</v>
      </c>
      <c r="U536" s="1077">
        <f t="shared" si="40"/>
        <v>53</v>
      </c>
      <c r="V536" s="1077">
        <v>19</v>
      </c>
      <c r="W536" s="1077">
        <f t="array" ref="W536">SUMPRODUCT(IF('卡片raw data'!BM$1:BM$1000=T536,1,0),IF('卡片raw data'!BO$1:BO$1000=V536,1,0),IF(IF('卡片raw data'!C$1:C$1000=R$3,1,0)+IF(R$3="",1,0)&gt;=1,1,0),IF(IF('卡片raw data'!D$1:D$1000=R$4,1,0)+IF(R$4="",1,0)&gt;=1,1,0),IF(IF('卡片raw data'!E$1:E$1000=R$5,1,0)+IF(R$5="",1,0)&gt;=1,1,0))</f>
        <v>0</v>
      </c>
      <c r="Y536" s="1307">
        <f t="shared" si="41"/>
        <v>19</v>
      </c>
      <c r="Z536" s="1307">
        <f t="shared" si="42"/>
        <v>0</v>
      </c>
      <c r="AA536" s="1307">
        <f t="shared" si="43"/>
        <v>19</v>
      </c>
      <c r="AB536" s="1307">
        <f t="shared" si="44"/>
        <v>0</v>
      </c>
    </row>
    <row r="537" spans="20:28">
      <c r="T537" s="1077">
        <v>28</v>
      </c>
      <c r="U537" s="1077">
        <f t="shared" si="40"/>
        <v>52</v>
      </c>
      <c r="V537" s="1077">
        <v>20</v>
      </c>
      <c r="W537" s="1077">
        <f t="array" ref="W537">SUMPRODUCT(IF('卡片raw data'!BM$1:BM$1000=T537,1,0),IF('卡片raw data'!BO$1:BO$1000=V537,1,0),IF(IF('卡片raw data'!C$1:C$1000=R$3,1,0)+IF(R$3="",1,0)&gt;=1,1,0),IF(IF('卡片raw data'!D$1:D$1000=R$4,1,0)+IF(R$4="",1,0)&gt;=1,1,0),IF(IF('卡片raw data'!E$1:E$1000=R$5,1,0)+IF(R$5="",1,0)&gt;=1,1,0))</f>
        <v>0</v>
      </c>
      <c r="Y537" s="1307">
        <f t="shared" si="41"/>
        <v>20</v>
      </c>
      <c r="Z537" s="1307">
        <f t="shared" si="42"/>
        <v>0</v>
      </c>
      <c r="AA537" s="1307">
        <f t="shared" si="43"/>
        <v>20</v>
      </c>
      <c r="AB537" s="1307">
        <f t="shared" si="44"/>
        <v>0</v>
      </c>
    </row>
    <row r="538" spans="20:28">
      <c r="T538" s="1077">
        <v>28</v>
      </c>
      <c r="U538" s="1077">
        <f t="shared" si="40"/>
        <v>51</v>
      </c>
      <c r="V538" s="1077">
        <v>21</v>
      </c>
      <c r="W538" s="1077">
        <f t="array" ref="W538">SUMPRODUCT(IF('卡片raw data'!BM$1:BM$1000=T538,1,0),IF('卡片raw data'!BO$1:BO$1000=V538,1,0),IF(IF('卡片raw data'!C$1:C$1000=R$3,1,0)+IF(R$3="",1,0)&gt;=1,1,0),IF(IF('卡片raw data'!D$1:D$1000=R$4,1,0)+IF(R$4="",1,0)&gt;=1,1,0),IF(IF('卡片raw data'!E$1:E$1000=R$5,1,0)+IF(R$5="",1,0)&gt;=1,1,0))</f>
        <v>0</v>
      </c>
      <c r="Y538" s="1307">
        <f t="shared" si="41"/>
        <v>21</v>
      </c>
      <c r="Z538" s="1307">
        <f t="shared" si="42"/>
        <v>0</v>
      </c>
      <c r="AA538" s="1307">
        <f t="shared" si="43"/>
        <v>21</v>
      </c>
      <c r="AB538" s="1307">
        <f t="shared" si="44"/>
        <v>0</v>
      </c>
    </row>
    <row r="539" spans="20:28">
      <c r="T539" s="1077">
        <v>28</v>
      </c>
      <c r="U539" s="1077">
        <f t="shared" si="40"/>
        <v>50</v>
      </c>
      <c r="V539" s="1077">
        <v>22</v>
      </c>
      <c r="W539" s="1077">
        <f t="array" ref="W539">SUMPRODUCT(IF('卡片raw data'!BM$1:BM$1000=T539,1,0),IF('卡片raw data'!BO$1:BO$1000=V539,1,0),IF(IF('卡片raw data'!C$1:C$1000=R$3,1,0)+IF(R$3="",1,0)&gt;=1,1,0),IF(IF('卡片raw data'!D$1:D$1000=R$4,1,0)+IF(R$4="",1,0)&gt;=1,1,0),IF(IF('卡片raw data'!E$1:E$1000=R$5,1,0)+IF(R$5="",1,0)&gt;=1,1,0))</f>
        <v>0</v>
      </c>
      <c r="Y539" s="1307">
        <f t="shared" si="41"/>
        <v>22</v>
      </c>
      <c r="Z539" s="1307">
        <f t="shared" si="42"/>
        <v>0</v>
      </c>
      <c r="AA539" s="1307">
        <f t="shared" si="43"/>
        <v>22</v>
      </c>
      <c r="AB539" s="1307">
        <f t="shared" si="44"/>
        <v>0</v>
      </c>
    </row>
    <row r="540" spans="20:28">
      <c r="T540" s="1077">
        <v>28</v>
      </c>
      <c r="U540" s="1077">
        <f t="shared" si="40"/>
        <v>49</v>
      </c>
      <c r="V540" s="1077">
        <v>23</v>
      </c>
      <c r="W540" s="1077">
        <f t="array" ref="W540">SUMPRODUCT(IF('卡片raw data'!BM$1:BM$1000=T540,1,0),IF('卡片raw data'!BO$1:BO$1000=V540,1,0),IF(IF('卡片raw data'!C$1:C$1000=R$3,1,0)+IF(R$3="",1,0)&gt;=1,1,0),IF(IF('卡片raw data'!D$1:D$1000=R$4,1,0)+IF(R$4="",1,0)&gt;=1,1,0),IF(IF('卡片raw data'!E$1:E$1000=R$5,1,0)+IF(R$5="",1,0)&gt;=1,1,0))</f>
        <v>0</v>
      </c>
      <c r="Y540" s="1307">
        <f t="shared" si="41"/>
        <v>23</v>
      </c>
      <c r="Z540" s="1307">
        <f t="shared" si="42"/>
        <v>0</v>
      </c>
      <c r="AA540" s="1307">
        <f t="shared" si="43"/>
        <v>23</v>
      </c>
      <c r="AB540" s="1307">
        <f t="shared" si="44"/>
        <v>0</v>
      </c>
    </row>
    <row r="541" spans="20:28">
      <c r="T541" s="1077">
        <v>28</v>
      </c>
      <c r="U541" s="1077">
        <f t="shared" si="40"/>
        <v>48</v>
      </c>
      <c r="V541" s="1077">
        <v>24</v>
      </c>
      <c r="W541" s="1077">
        <f t="array" ref="W541">SUMPRODUCT(IF('卡片raw data'!BM$1:BM$1000=T541,1,0),IF('卡片raw data'!BO$1:BO$1000=V541,1,0),IF(IF('卡片raw data'!C$1:C$1000=R$3,1,0)+IF(R$3="",1,0)&gt;=1,1,0),IF(IF('卡片raw data'!D$1:D$1000=R$4,1,0)+IF(R$4="",1,0)&gt;=1,1,0),IF(IF('卡片raw data'!E$1:E$1000=R$5,1,0)+IF(R$5="",1,0)&gt;=1,1,0))</f>
        <v>0</v>
      </c>
      <c r="Y541" s="1307">
        <f t="shared" si="41"/>
        <v>24</v>
      </c>
      <c r="Z541" s="1307">
        <f t="shared" si="42"/>
        <v>0</v>
      </c>
      <c r="AA541" s="1307">
        <f t="shared" si="43"/>
        <v>24</v>
      </c>
      <c r="AB541" s="1307">
        <f t="shared" si="44"/>
        <v>0</v>
      </c>
    </row>
    <row r="542" spans="20:28">
      <c r="T542" s="1077">
        <v>28</v>
      </c>
      <c r="U542" s="1077">
        <f t="shared" si="40"/>
        <v>47</v>
      </c>
      <c r="V542" s="1077">
        <v>25</v>
      </c>
      <c r="W542" s="1077">
        <f t="array" ref="W542">SUMPRODUCT(IF('卡片raw data'!BM$1:BM$1000=T542,1,0),IF('卡片raw data'!BO$1:BO$1000=V542,1,0),IF(IF('卡片raw data'!C$1:C$1000=R$3,1,0)+IF(R$3="",1,0)&gt;=1,1,0),IF(IF('卡片raw data'!D$1:D$1000=R$4,1,0)+IF(R$4="",1,0)&gt;=1,1,0),IF(IF('卡片raw data'!E$1:E$1000=R$5,1,0)+IF(R$5="",1,0)&gt;=1,1,0))</f>
        <v>2</v>
      </c>
      <c r="Y542" s="1307">
        <f t="shared" si="41"/>
        <v>25</v>
      </c>
      <c r="Z542" s="1307">
        <f t="shared" si="42"/>
        <v>0</v>
      </c>
      <c r="AA542" s="1307">
        <f t="shared" si="43"/>
        <v>25</v>
      </c>
      <c r="AB542" s="1307">
        <f t="shared" si="44"/>
        <v>2</v>
      </c>
    </row>
    <row r="543" spans="20:28">
      <c r="T543" s="1077">
        <v>28</v>
      </c>
      <c r="U543" s="1077">
        <f t="shared" si="40"/>
        <v>46</v>
      </c>
      <c r="V543" s="1077">
        <v>26</v>
      </c>
      <c r="W543" s="1077">
        <f t="array" ref="W543">SUMPRODUCT(IF('卡片raw data'!BM$1:BM$1000=T543,1,0),IF('卡片raw data'!BO$1:BO$1000=V543,1,0),IF(IF('卡片raw data'!C$1:C$1000=R$3,1,0)+IF(R$3="",1,0)&gt;=1,1,0),IF(IF('卡片raw data'!D$1:D$1000=R$4,1,0)+IF(R$4="",1,0)&gt;=1,1,0),IF(IF('卡片raw data'!E$1:E$1000=R$5,1,0)+IF(R$5="",1,0)&gt;=1,1,0))</f>
        <v>1</v>
      </c>
      <c r="Y543" s="1307">
        <f t="shared" si="41"/>
        <v>26</v>
      </c>
      <c r="Z543" s="1307">
        <f t="shared" si="42"/>
        <v>0</v>
      </c>
      <c r="AA543" s="1307">
        <f t="shared" si="43"/>
        <v>26</v>
      </c>
      <c r="AB543" s="1307">
        <f t="shared" si="44"/>
        <v>1</v>
      </c>
    </row>
    <row r="544" spans="20:28">
      <c r="T544" s="1077">
        <v>28</v>
      </c>
      <c r="U544" s="1077">
        <f t="shared" si="40"/>
        <v>45</v>
      </c>
      <c r="V544" s="1077">
        <v>27</v>
      </c>
      <c r="W544" s="1077">
        <f t="array" ref="W544">SUMPRODUCT(IF('卡片raw data'!BM$1:BM$1000=T544,1,0),IF('卡片raw data'!BO$1:BO$1000=V544,1,0),IF(IF('卡片raw data'!C$1:C$1000=R$3,1,0)+IF(R$3="",1,0)&gt;=1,1,0),IF(IF('卡片raw data'!D$1:D$1000=R$4,1,0)+IF(R$4="",1,0)&gt;=1,1,0),IF(IF('卡片raw data'!E$1:E$1000=R$5,1,0)+IF(R$5="",1,0)&gt;=1,1,0))</f>
        <v>2</v>
      </c>
      <c r="Y544" s="1307">
        <f t="shared" si="41"/>
        <v>27</v>
      </c>
      <c r="Z544" s="1307">
        <f t="shared" si="42"/>
        <v>0</v>
      </c>
      <c r="AA544" s="1307">
        <f t="shared" si="43"/>
        <v>27</v>
      </c>
      <c r="AB544" s="1307">
        <f t="shared" si="44"/>
        <v>2</v>
      </c>
    </row>
    <row r="545" spans="20:28">
      <c r="T545" s="1077">
        <v>28</v>
      </c>
      <c r="U545" s="1077">
        <f t="shared" si="40"/>
        <v>44</v>
      </c>
      <c r="V545" s="1077">
        <v>28</v>
      </c>
      <c r="W545" s="1077">
        <f t="array" ref="W545">SUMPRODUCT(IF('卡片raw data'!BM$1:BM$1000=T545,1,0),IF('卡片raw data'!BO$1:BO$1000=V545,1,0),IF(IF('卡片raw data'!C$1:C$1000=R$3,1,0)+IF(R$3="",1,0)&gt;=1,1,0),IF(IF('卡片raw data'!D$1:D$1000=R$4,1,0)+IF(R$4="",1,0)&gt;=1,1,0),IF(IF('卡片raw data'!E$1:E$1000=R$5,1,0)+IF(R$5="",1,0)&gt;=1,1,0))</f>
        <v>0</v>
      </c>
      <c r="Y545" s="1307">
        <f t="shared" si="41"/>
        <v>28</v>
      </c>
      <c r="Z545" s="1307">
        <f t="shared" si="42"/>
        <v>0</v>
      </c>
      <c r="AA545" s="1307">
        <f t="shared" si="43"/>
        <v>28</v>
      </c>
      <c r="AB545" s="1307">
        <f t="shared" si="44"/>
        <v>0</v>
      </c>
    </row>
    <row r="546" spans="20:28">
      <c r="T546" s="1077">
        <v>28</v>
      </c>
      <c r="U546" s="1077">
        <f t="shared" si="40"/>
        <v>43</v>
      </c>
      <c r="V546" s="1077">
        <v>29</v>
      </c>
      <c r="W546" s="1077">
        <f t="array" ref="W546">SUMPRODUCT(IF('卡片raw data'!BM$1:BM$1000=T546,1,0),IF('卡片raw data'!BO$1:BO$1000=V546,1,0),IF(IF('卡片raw data'!C$1:C$1000=R$3,1,0)+IF(R$3="",1,0)&gt;=1,1,0),IF(IF('卡片raw data'!D$1:D$1000=R$4,1,0)+IF(R$4="",1,0)&gt;=1,1,0),IF(IF('卡片raw data'!E$1:E$1000=R$5,1,0)+IF(R$5="",1,0)&gt;=1,1,0))</f>
        <v>1</v>
      </c>
      <c r="Y546" s="1307">
        <f t="shared" si="41"/>
        <v>29</v>
      </c>
      <c r="Z546" s="1307">
        <f t="shared" si="42"/>
        <v>0</v>
      </c>
      <c r="AA546" s="1307">
        <f t="shared" si="43"/>
        <v>29</v>
      </c>
      <c r="AB546" s="1307">
        <f t="shared" si="44"/>
        <v>1</v>
      </c>
    </row>
    <row r="547" spans="20:28">
      <c r="T547" s="1077">
        <v>28</v>
      </c>
      <c r="U547" s="1077">
        <f t="shared" si="40"/>
        <v>42</v>
      </c>
      <c r="V547" s="1077">
        <v>30</v>
      </c>
      <c r="W547" s="1077">
        <f t="array" ref="W547">SUMPRODUCT(IF('卡片raw data'!BM$1:BM$1000=T547,1,0),IF('卡片raw data'!BO$1:BO$1000=V547,1,0),IF(IF('卡片raw data'!C$1:C$1000=R$3,1,0)+IF(R$3="",1,0)&gt;=1,1,0),IF(IF('卡片raw data'!D$1:D$1000=R$4,1,0)+IF(R$4="",1,0)&gt;=1,1,0),IF(IF('卡片raw data'!E$1:E$1000=R$5,1,0)+IF(R$5="",1,0)&gt;=1,1,0))</f>
        <v>3</v>
      </c>
      <c r="Y547" s="1307">
        <f t="shared" si="41"/>
        <v>30</v>
      </c>
      <c r="Z547" s="1307">
        <f t="shared" si="42"/>
        <v>0</v>
      </c>
      <c r="AA547" s="1307">
        <f t="shared" si="43"/>
        <v>30</v>
      </c>
      <c r="AB547" s="1307">
        <f t="shared" si="44"/>
        <v>3</v>
      </c>
    </row>
    <row r="548" spans="20:28">
      <c r="T548" s="1077">
        <v>28</v>
      </c>
      <c r="U548" s="1077">
        <f t="shared" si="40"/>
        <v>41</v>
      </c>
      <c r="V548" s="1077">
        <v>31</v>
      </c>
      <c r="W548" s="1077">
        <f t="array" ref="W548">SUMPRODUCT(IF('卡片raw data'!BM$1:BM$1000=T548,1,0),IF('卡片raw data'!BO$1:BO$1000=V548,1,0),IF(IF('卡片raw data'!C$1:C$1000=R$3,1,0)+IF(R$3="",1,0)&gt;=1,1,0),IF(IF('卡片raw data'!D$1:D$1000=R$4,1,0)+IF(R$4="",1,0)&gt;=1,1,0),IF(IF('卡片raw data'!E$1:E$1000=R$5,1,0)+IF(R$5="",1,0)&gt;=1,1,0))</f>
        <v>4</v>
      </c>
      <c r="Y548" s="1307">
        <f t="shared" si="41"/>
        <v>31</v>
      </c>
      <c r="Z548" s="1307">
        <f t="shared" si="42"/>
        <v>0</v>
      </c>
      <c r="AA548" s="1307">
        <f t="shared" si="43"/>
        <v>31</v>
      </c>
      <c r="AB548" s="1307">
        <f t="shared" si="44"/>
        <v>4</v>
      </c>
    </row>
    <row r="549" spans="20:28">
      <c r="T549" s="1077">
        <v>28</v>
      </c>
      <c r="U549" s="1077">
        <f t="shared" si="40"/>
        <v>40</v>
      </c>
      <c r="V549" s="1077">
        <v>32</v>
      </c>
      <c r="W549" s="1077">
        <f t="array" ref="W549">SUMPRODUCT(IF('卡片raw data'!BM$1:BM$1000=T549,1,0),IF('卡片raw data'!BO$1:BO$1000=V549,1,0),IF(IF('卡片raw data'!C$1:C$1000=R$3,1,0)+IF(R$3="",1,0)&gt;=1,1,0),IF(IF('卡片raw data'!D$1:D$1000=R$4,1,0)+IF(R$4="",1,0)&gt;=1,1,0),IF(IF('卡片raw data'!E$1:E$1000=R$5,1,0)+IF(R$5="",1,0)&gt;=1,1,0))</f>
        <v>0</v>
      </c>
      <c r="Y549" s="1307">
        <f t="shared" si="41"/>
        <v>32</v>
      </c>
      <c r="Z549" s="1307">
        <f t="shared" si="42"/>
        <v>0</v>
      </c>
      <c r="AA549" s="1307">
        <f t="shared" si="43"/>
        <v>32</v>
      </c>
      <c r="AB549" s="1307">
        <f t="shared" si="44"/>
        <v>0</v>
      </c>
    </row>
    <row r="550" spans="20:28">
      <c r="T550" s="1077">
        <v>28</v>
      </c>
      <c r="U550" s="1077">
        <f t="shared" si="40"/>
        <v>39</v>
      </c>
      <c r="V550" s="1077">
        <v>33</v>
      </c>
      <c r="W550" s="1077">
        <f t="array" ref="W550">SUMPRODUCT(IF('卡片raw data'!BM$1:BM$1000=T550,1,0),IF('卡片raw data'!BO$1:BO$1000=V550,1,0),IF(IF('卡片raw data'!C$1:C$1000=R$3,1,0)+IF(R$3="",1,0)&gt;=1,1,0),IF(IF('卡片raw data'!D$1:D$1000=R$4,1,0)+IF(R$4="",1,0)&gt;=1,1,0),IF(IF('卡片raw data'!E$1:E$1000=R$5,1,0)+IF(R$5="",1,0)&gt;=1,1,0))</f>
        <v>2</v>
      </c>
      <c r="Y550" s="1307">
        <f t="shared" si="41"/>
        <v>33</v>
      </c>
      <c r="Z550" s="1307">
        <f t="shared" si="42"/>
        <v>0</v>
      </c>
      <c r="AA550" s="1307">
        <f t="shared" si="43"/>
        <v>33</v>
      </c>
      <c r="AB550" s="1307">
        <f t="shared" si="44"/>
        <v>2</v>
      </c>
    </row>
    <row r="551" spans="20:28">
      <c r="T551" s="1077">
        <v>28</v>
      </c>
      <c r="U551" s="1077">
        <f t="shared" si="40"/>
        <v>38</v>
      </c>
      <c r="V551" s="1077">
        <v>34</v>
      </c>
      <c r="W551" s="1077">
        <f t="array" ref="W551">SUMPRODUCT(IF('卡片raw data'!BM$1:BM$1000=T551,1,0),IF('卡片raw data'!BO$1:BO$1000=V551,1,0),IF(IF('卡片raw data'!C$1:C$1000=R$3,1,0)+IF(R$3="",1,0)&gt;=1,1,0),IF(IF('卡片raw data'!D$1:D$1000=R$4,1,0)+IF(R$4="",1,0)&gt;=1,1,0),IF(IF('卡片raw data'!E$1:E$1000=R$5,1,0)+IF(R$5="",1,0)&gt;=1,1,0))</f>
        <v>1</v>
      </c>
      <c r="Y551" s="1307">
        <f t="shared" si="41"/>
        <v>34</v>
      </c>
      <c r="Z551" s="1307">
        <f t="shared" si="42"/>
        <v>0</v>
      </c>
      <c r="AA551" s="1307">
        <f t="shared" si="43"/>
        <v>34</v>
      </c>
      <c r="AB551" s="1307">
        <f t="shared" si="44"/>
        <v>1</v>
      </c>
    </row>
    <row r="552" spans="20:28">
      <c r="T552" s="1077">
        <v>28</v>
      </c>
      <c r="U552" s="1077">
        <f t="shared" si="40"/>
        <v>37</v>
      </c>
      <c r="V552" s="1077">
        <v>35</v>
      </c>
      <c r="W552" s="1077">
        <f t="array" ref="W552">SUMPRODUCT(IF('卡片raw data'!BM$1:BM$1000=T552,1,0),IF('卡片raw data'!BO$1:BO$1000=V552,1,0),IF(IF('卡片raw data'!C$1:C$1000=R$3,1,0)+IF(R$3="",1,0)&gt;=1,1,0),IF(IF('卡片raw data'!D$1:D$1000=R$4,1,0)+IF(R$4="",1,0)&gt;=1,1,0),IF(IF('卡片raw data'!E$1:E$1000=R$5,1,0)+IF(R$5="",1,0)&gt;=1,1,0))</f>
        <v>0</v>
      </c>
      <c r="Y552" s="1307">
        <f t="shared" si="41"/>
        <v>35</v>
      </c>
      <c r="Z552" s="1307">
        <f t="shared" si="42"/>
        <v>0</v>
      </c>
      <c r="AA552" s="1307">
        <f t="shared" si="43"/>
        <v>35</v>
      </c>
      <c r="AB552" s="1307">
        <f t="shared" si="44"/>
        <v>0</v>
      </c>
    </row>
    <row r="553" spans="20:28">
      <c r="T553" s="1077">
        <v>28</v>
      </c>
      <c r="U553" s="1077">
        <f t="shared" si="40"/>
        <v>36</v>
      </c>
      <c r="V553" s="1077">
        <v>36</v>
      </c>
      <c r="W553" s="1077">
        <f t="array" ref="W553">SUMPRODUCT(IF('卡片raw data'!BM$1:BM$1000=T553,1,0),IF('卡片raw data'!BO$1:BO$1000=V553,1,0),IF(IF('卡片raw data'!C$1:C$1000=R$3,1,0)+IF(R$3="",1,0)&gt;=1,1,0),IF(IF('卡片raw data'!D$1:D$1000=R$4,1,0)+IF(R$4="",1,0)&gt;=1,1,0),IF(IF('卡片raw data'!E$1:E$1000=R$5,1,0)+IF(R$5="",1,0)&gt;=1,1,0))</f>
        <v>0</v>
      </c>
      <c r="Y553" s="1307">
        <f t="shared" si="41"/>
        <v>36</v>
      </c>
      <c r="Z553" s="1307">
        <f t="shared" si="42"/>
        <v>0</v>
      </c>
      <c r="AA553" s="1307">
        <f t="shared" si="43"/>
        <v>36</v>
      </c>
      <c r="AB553" s="1307">
        <f t="shared" si="44"/>
        <v>0</v>
      </c>
    </row>
    <row r="554" spans="20:28">
      <c r="T554" s="1077">
        <v>28</v>
      </c>
      <c r="U554" s="1077">
        <f t="shared" si="40"/>
        <v>35</v>
      </c>
      <c r="V554" s="1077">
        <v>37</v>
      </c>
      <c r="W554" s="1077">
        <f t="array" ref="W554">SUMPRODUCT(IF('卡片raw data'!BM$1:BM$1000=T554,1,0),IF('卡片raw data'!BO$1:BO$1000=V554,1,0),IF(IF('卡片raw data'!C$1:C$1000=R$3,1,0)+IF(R$3="",1,0)&gt;=1,1,0),IF(IF('卡片raw data'!D$1:D$1000=R$4,1,0)+IF(R$4="",1,0)&gt;=1,1,0),IF(IF('卡片raw data'!E$1:E$1000=R$5,1,0)+IF(R$5="",1,0)&gt;=1,1,0))</f>
        <v>0</v>
      </c>
      <c r="Y554" s="1307">
        <f t="shared" si="41"/>
        <v>37</v>
      </c>
      <c r="Z554" s="1307">
        <f t="shared" si="42"/>
        <v>0</v>
      </c>
      <c r="AA554" s="1307">
        <f t="shared" si="43"/>
        <v>37</v>
      </c>
      <c r="AB554" s="1307">
        <f t="shared" si="44"/>
        <v>0</v>
      </c>
    </row>
    <row r="555" spans="20:28">
      <c r="T555" s="1077">
        <v>28</v>
      </c>
      <c r="U555" s="1077">
        <f t="shared" si="40"/>
        <v>34</v>
      </c>
      <c r="V555" s="1077">
        <v>38</v>
      </c>
      <c r="W555" s="1077">
        <f t="array" ref="W555">SUMPRODUCT(IF('卡片raw data'!BM$1:BM$1000=T555,1,0),IF('卡片raw data'!BO$1:BO$1000=V555,1,0),IF(IF('卡片raw data'!C$1:C$1000=R$3,1,0)+IF(R$3="",1,0)&gt;=1,1,0),IF(IF('卡片raw data'!D$1:D$1000=R$4,1,0)+IF(R$4="",1,0)&gt;=1,1,0),IF(IF('卡片raw data'!E$1:E$1000=R$5,1,0)+IF(R$5="",1,0)&gt;=1,1,0))</f>
        <v>0</v>
      </c>
      <c r="Y555" s="1307">
        <f t="shared" si="41"/>
        <v>38</v>
      </c>
      <c r="Z555" s="1307">
        <f t="shared" si="42"/>
        <v>0</v>
      </c>
      <c r="AA555" s="1307">
        <f t="shared" si="43"/>
        <v>38</v>
      </c>
      <c r="AB555" s="1307">
        <f t="shared" si="44"/>
        <v>0</v>
      </c>
    </row>
    <row r="556" spans="20:28">
      <c r="T556" s="1077">
        <v>28</v>
      </c>
      <c r="U556" s="1077">
        <f t="shared" si="40"/>
        <v>33</v>
      </c>
      <c r="V556" s="1077">
        <v>39</v>
      </c>
      <c r="W556" s="1077">
        <f t="array" ref="W556">SUMPRODUCT(IF('卡片raw data'!BM$1:BM$1000=T556,1,0),IF('卡片raw data'!BO$1:BO$1000=V556,1,0),IF(IF('卡片raw data'!C$1:C$1000=R$3,1,0)+IF(R$3="",1,0)&gt;=1,1,0),IF(IF('卡片raw data'!D$1:D$1000=R$4,1,0)+IF(R$4="",1,0)&gt;=1,1,0),IF(IF('卡片raw data'!E$1:E$1000=R$5,1,0)+IF(R$5="",1,0)&gt;=1,1,0))</f>
        <v>0</v>
      </c>
      <c r="Y556" s="1307">
        <f t="shared" si="41"/>
        <v>39</v>
      </c>
      <c r="Z556" s="1307">
        <f t="shared" si="42"/>
        <v>0</v>
      </c>
      <c r="AA556" s="1307">
        <f t="shared" si="43"/>
        <v>39</v>
      </c>
      <c r="AB556" s="1307">
        <f t="shared" si="44"/>
        <v>0</v>
      </c>
    </row>
    <row r="557" spans="20:28">
      <c r="T557" s="1077">
        <v>28</v>
      </c>
      <c r="U557" s="1077">
        <f t="shared" si="40"/>
        <v>32</v>
      </c>
      <c r="V557" s="1077">
        <v>40</v>
      </c>
      <c r="W557" s="1077">
        <f t="array" ref="W557">SUMPRODUCT(IF('卡片raw data'!BM$1:BM$1000=T557,1,0),IF('卡片raw data'!BO$1:BO$1000=V557,1,0),IF(IF('卡片raw data'!C$1:C$1000=R$3,1,0)+IF(R$3="",1,0)&gt;=1,1,0),IF(IF('卡片raw data'!D$1:D$1000=R$4,1,0)+IF(R$4="",1,0)&gt;=1,1,0),IF(IF('卡片raw data'!E$1:E$1000=R$5,1,0)+IF(R$5="",1,0)&gt;=1,1,0))</f>
        <v>5</v>
      </c>
      <c r="Y557" s="1307">
        <f t="shared" si="41"/>
        <v>40</v>
      </c>
      <c r="Z557" s="1307">
        <f t="shared" si="42"/>
        <v>5</v>
      </c>
      <c r="AA557" s="1307">
        <f t="shared" si="43"/>
        <v>40</v>
      </c>
      <c r="AB557" s="1307">
        <f t="shared" si="44"/>
        <v>0</v>
      </c>
    </row>
    <row r="558" spans="20:28">
      <c r="T558" s="1077">
        <v>28</v>
      </c>
      <c r="U558" s="1077">
        <f t="shared" si="40"/>
        <v>31</v>
      </c>
      <c r="V558" s="1077">
        <v>41</v>
      </c>
      <c r="W558" s="1077">
        <f t="array" ref="W558">SUMPRODUCT(IF('卡片raw data'!BM$1:BM$1000=T558,1,0),IF('卡片raw data'!BO$1:BO$1000=V558,1,0),IF(IF('卡片raw data'!C$1:C$1000=R$3,1,0)+IF(R$3="",1,0)&gt;=1,1,0),IF(IF('卡片raw data'!D$1:D$1000=R$4,1,0)+IF(R$4="",1,0)&gt;=1,1,0),IF(IF('卡片raw data'!E$1:E$1000=R$5,1,0)+IF(R$5="",1,0)&gt;=1,1,0))</f>
        <v>0</v>
      </c>
      <c r="Y558" s="1307">
        <f t="shared" si="41"/>
        <v>41</v>
      </c>
      <c r="Z558" s="1307">
        <f t="shared" si="42"/>
        <v>0</v>
      </c>
      <c r="AA558" s="1307">
        <f t="shared" si="43"/>
        <v>41</v>
      </c>
      <c r="AB558" s="1307">
        <f t="shared" si="44"/>
        <v>0</v>
      </c>
    </row>
    <row r="559" spans="20:28">
      <c r="T559" s="1077">
        <v>28</v>
      </c>
      <c r="U559" s="1077">
        <f t="shared" si="40"/>
        <v>30</v>
      </c>
      <c r="V559" s="1077">
        <v>42</v>
      </c>
      <c r="W559" s="1077">
        <f t="array" ref="W559">SUMPRODUCT(IF('卡片raw data'!BM$1:BM$1000=T559,1,0),IF('卡片raw data'!BO$1:BO$1000=V559,1,0),IF(IF('卡片raw data'!C$1:C$1000=R$3,1,0)+IF(R$3="",1,0)&gt;=1,1,0),IF(IF('卡片raw data'!D$1:D$1000=R$4,1,0)+IF(R$4="",1,0)&gt;=1,1,0),IF(IF('卡片raw data'!E$1:E$1000=R$5,1,0)+IF(R$5="",1,0)&gt;=1,1,0))</f>
        <v>0</v>
      </c>
      <c r="Y559" s="1307">
        <f t="shared" si="41"/>
        <v>42</v>
      </c>
      <c r="Z559" s="1307">
        <f t="shared" si="42"/>
        <v>0</v>
      </c>
      <c r="AA559" s="1307">
        <f t="shared" si="43"/>
        <v>42</v>
      </c>
      <c r="AB559" s="1307">
        <f t="shared" si="44"/>
        <v>0</v>
      </c>
    </row>
    <row r="560" spans="20:28">
      <c r="T560" s="1077">
        <v>28</v>
      </c>
      <c r="U560" s="1077">
        <f t="shared" si="40"/>
        <v>29</v>
      </c>
      <c r="V560" s="1077">
        <v>43</v>
      </c>
      <c r="W560" s="1077">
        <f t="array" ref="W560">SUMPRODUCT(IF('卡片raw data'!BM$1:BM$1000=T560,1,0),IF('卡片raw data'!BO$1:BO$1000=V560,1,0),IF(IF('卡片raw data'!C$1:C$1000=R$3,1,0)+IF(R$3="",1,0)&gt;=1,1,0),IF(IF('卡片raw data'!D$1:D$1000=R$4,1,0)+IF(R$4="",1,0)&gt;=1,1,0),IF(IF('卡片raw data'!E$1:E$1000=R$5,1,0)+IF(R$5="",1,0)&gt;=1,1,0))</f>
        <v>0</v>
      </c>
      <c r="Y560" s="1307">
        <f t="shared" si="41"/>
        <v>43</v>
      </c>
      <c r="Z560" s="1307">
        <f t="shared" si="42"/>
        <v>0</v>
      </c>
      <c r="AA560" s="1307">
        <f t="shared" si="43"/>
        <v>43</v>
      </c>
      <c r="AB560" s="1307">
        <f t="shared" si="44"/>
        <v>0</v>
      </c>
    </row>
    <row r="561" spans="20:28">
      <c r="T561" s="1077">
        <v>28</v>
      </c>
      <c r="U561" s="1077">
        <f t="shared" si="40"/>
        <v>28</v>
      </c>
      <c r="V561" s="1077">
        <v>44</v>
      </c>
      <c r="W561" s="1077">
        <f t="array" ref="W561">SUMPRODUCT(IF('卡片raw data'!BM$1:BM$1000=T561,1,0),IF('卡片raw data'!BO$1:BO$1000=V561,1,0),IF(IF('卡片raw data'!C$1:C$1000=R$3,1,0)+IF(R$3="",1,0)&gt;=1,1,0),IF(IF('卡片raw data'!D$1:D$1000=R$4,1,0)+IF(R$4="",1,0)&gt;=1,1,0),IF(IF('卡片raw data'!E$1:E$1000=R$5,1,0)+IF(R$5="",1,0)&gt;=1,1,0))</f>
        <v>0</v>
      </c>
      <c r="Y561" s="1307">
        <f t="shared" si="41"/>
        <v>44</v>
      </c>
      <c r="Z561" s="1307">
        <f t="shared" si="42"/>
        <v>0</v>
      </c>
      <c r="AA561" s="1307">
        <f t="shared" si="43"/>
        <v>44</v>
      </c>
      <c r="AB561" s="1307">
        <f t="shared" si="44"/>
        <v>0</v>
      </c>
    </row>
    <row r="562" spans="20:28">
      <c r="T562" s="1077">
        <v>28</v>
      </c>
      <c r="U562" s="1077">
        <f t="shared" si="40"/>
        <v>27</v>
      </c>
      <c r="V562" s="1077">
        <v>45</v>
      </c>
      <c r="W562" s="1077">
        <f t="array" ref="W562">SUMPRODUCT(IF('卡片raw data'!BM$1:BM$1000=T562,1,0),IF('卡片raw data'!BO$1:BO$1000=V562,1,0),IF(IF('卡片raw data'!C$1:C$1000=R$3,1,0)+IF(R$3="",1,0)&gt;=1,1,0),IF(IF('卡片raw data'!D$1:D$1000=R$4,1,0)+IF(R$4="",1,0)&gt;=1,1,0),IF(IF('卡片raw data'!E$1:E$1000=R$5,1,0)+IF(R$5="",1,0)&gt;=1,1,0))</f>
        <v>1</v>
      </c>
      <c r="Y562" s="1307">
        <f t="shared" si="41"/>
        <v>45</v>
      </c>
      <c r="Z562" s="1307">
        <f t="shared" si="42"/>
        <v>1</v>
      </c>
      <c r="AA562" s="1307">
        <f t="shared" si="43"/>
        <v>45</v>
      </c>
      <c r="AB562" s="1307">
        <f t="shared" si="44"/>
        <v>0</v>
      </c>
    </row>
    <row r="563" spans="20:28">
      <c r="T563" s="1077">
        <v>28</v>
      </c>
      <c r="U563" s="1077">
        <f t="shared" si="40"/>
        <v>26</v>
      </c>
      <c r="V563" s="1077">
        <v>46</v>
      </c>
      <c r="W563" s="1077">
        <f t="array" ref="W563">SUMPRODUCT(IF('卡片raw data'!BM$1:BM$1000=T563,1,0),IF('卡片raw data'!BO$1:BO$1000=V563,1,0),IF(IF('卡片raw data'!C$1:C$1000=R$3,1,0)+IF(R$3="",1,0)&gt;=1,1,0),IF(IF('卡片raw data'!D$1:D$1000=R$4,1,0)+IF(R$4="",1,0)&gt;=1,1,0),IF(IF('卡片raw data'!E$1:E$1000=R$5,1,0)+IF(R$5="",1,0)&gt;=1,1,0))</f>
        <v>0</v>
      </c>
      <c r="Y563" s="1307">
        <f t="shared" si="41"/>
        <v>46</v>
      </c>
      <c r="Z563" s="1307">
        <f t="shared" si="42"/>
        <v>0</v>
      </c>
      <c r="AA563" s="1307">
        <f t="shared" si="43"/>
        <v>46</v>
      </c>
      <c r="AB563" s="1307">
        <f t="shared" si="44"/>
        <v>0</v>
      </c>
    </row>
    <row r="564" spans="20:28">
      <c r="T564" s="1077">
        <v>28</v>
      </c>
      <c r="U564" s="1077">
        <f t="shared" si="40"/>
        <v>25</v>
      </c>
      <c r="V564" s="1077">
        <v>47</v>
      </c>
      <c r="W564" s="1077">
        <f t="array" ref="W564">SUMPRODUCT(IF('卡片raw data'!BM$1:BM$1000=T564,1,0),IF('卡片raw data'!BO$1:BO$1000=V564,1,0),IF(IF('卡片raw data'!C$1:C$1000=R$3,1,0)+IF(R$3="",1,0)&gt;=1,1,0),IF(IF('卡片raw data'!D$1:D$1000=R$4,1,0)+IF(R$4="",1,0)&gt;=1,1,0),IF(IF('卡片raw data'!E$1:E$1000=R$5,1,0)+IF(R$5="",1,0)&gt;=1,1,0))</f>
        <v>0</v>
      </c>
      <c r="Y564" s="1307">
        <f t="shared" si="41"/>
        <v>47</v>
      </c>
      <c r="Z564" s="1307">
        <f t="shared" si="42"/>
        <v>0</v>
      </c>
      <c r="AA564" s="1307">
        <f t="shared" si="43"/>
        <v>47</v>
      </c>
      <c r="AB564" s="1307">
        <f t="shared" si="44"/>
        <v>0</v>
      </c>
    </row>
    <row r="565" spans="20:28">
      <c r="T565" s="1077">
        <v>28</v>
      </c>
      <c r="U565" s="1077">
        <f t="shared" si="40"/>
        <v>24</v>
      </c>
      <c r="V565" s="1077">
        <v>48</v>
      </c>
      <c r="W565" s="1077">
        <f t="array" ref="W565">SUMPRODUCT(IF('卡片raw data'!BM$1:BM$1000=T565,1,0),IF('卡片raw data'!BO$1:BO$1000=V565,1,0),IF(IF('卡片raw data'!C$1:C$1000=R$3,1,0)+IF(R$3="",1,0)&gt;=1,1,0),IF(IF('卡片raw data'!D$1:D$1000=R$4,1,0)+IF(R$4="",1,0)&gt;=1,1,0),IF(IF('卡片raw data'!E$1:E$1000=R$5,1,0)+IF(R$5="",1,0)&gt;=1,1,0))</f>
        <v>0</v>
      </c>
      <c r="Y565" s="1307">
        <f t="shared" si="41"/>
        <v>48</v>
      </c>
      <c r="Z565" s="1307">
        <f t="shared" si="42"/>
        <v>0</v>
      </c>
      <c r="AA565" s="1307">
        <f t="shared" si="43"/>
        <v>48</v>
      </c>
      <c r="AB565" s="1307">
        <f t="shared" si="44"/>
        <v>0</v>
      </c>
    </row>
    <row r="566" spans="20:28">
      <c r="T566" s="1077">
        <v>28</v>
      </c>
      <c r="U566" s="1077">
        <f t="shared" si="40"/>
        <v>23</v>
      </c>
      <c r="V566" s="1077">
        <v>49</v>
      </c>
      <c r="W566" s="1077">
        <f t="array" ref="W566">SUMPRODUCT(IF('卡片raw data'!BM$1:BM$1000=T566,1,0),IF('卡片raw data'!BO$1:BO$1000=V566,1,0),IF(IF('卡片raw data'!C$1:C$1000=R$3,1,0)+IF(R$3="",1,0)&gt;=1,1,0),IF(IF('卡片raw data'!D$1:D$1000=R$4,1,0)+IF(R$4="",1,0)&gt;=1,1,0),IF(IF('卡片raw data'!E$1:E$1000=R$5,1,0)+IF(R$5="",1,0)&gt;=1,1,0))</f>
        <v>0</v>
      </c>
      <c r="Y566" s="1307">
        <f t="shared" si="41"/>
        <v>49</v>
      </c>
      <c r="Z566" s="1307">
        <f t="shared" si="42"/>
        <v>0</v>
      </c>
      <c r="AA566" s="1307">
        <f t="shared" si="43"/>
        <v>49</v>
      </c>
      <c r="AB566" s="1307">
        <f t="shared" si="44"/>
        <v>0</v>
      </c>
    </row>
    <row r="567" spans="20:28">
      <c r="T567" s="1077">
        <v>28</v>
      </c>
      <c r="U567" s="1077">
        <f t="shared" si="40"/>
        <v>22</v>
      </c>
      <c r="V567" s="1077">
        <v>50</v>
      </c>
      <c r="W567" s="1077">
        <f t="array" ref="W567">SUMPRODUCT(IF('卡片raw data'!BM$1:BM$1000=T567,1,0),IF('卡片raw data'!BO$1:BO$1000=V567,1,0),IF(IF('卡片raw data'!C$1:C$1000=R$3,1,0)+IF(R$3="",1,0)&gt;=1,1,0),IF(IF('卡片raw data'!D$1:D$1000=R$4,1,0)+IF(R$4="",1,0)&gt;=1,1,0),IF(IF('卡片raw data'!E$1:E$1000=R$5,1,0)+IF(R$5="",1,0)&gt;=1,1,0))</f>
        <v>0</v>
      </c>
      <c r="Y567" s="1307">
        <f t="shared" si="41"/>
        <v>50</v>
      </c>
      <c r="Z567" s="1307">
        <f t="shared" si="42"/>
        <v>0</v>
      </c>
      <c r="AA567" s="1307">
        <f t="shared" si="43"/>
        <v>50</v>
      </c>
      <c r="AB567" s="1307">
        <f t="shared" si="44"/>
        <v>0</v>
      </c>
    </row>
    <row r="568" spans="20:28">
      <c r="T568" s="1077">
        <v>28</v>
      </c>
      <c r="U568" s="1077">
        <f t="shared" si="40"/>
        <v>21</v>
      </c>
      <c r="V568" s="1077">
        <v>51</v>
      </c>
      <c r="W568" s="1077">
        <f t="array" ref="W568">SUMPRODUCT(IF('卡片raw data'!BM$1:BM$1000=T568,1,0),IF('卡片raw data'!BO$1:BO$1000=V568,1,0),IF(IF('卡片raw data'!C$1:C$1000=R$3,1,0)+IF(R$3="",1,0)&gt;=1,1,0),IF(IF('卡片raw data'!D$1:D$1000=R$4,1,0)+IF(R$4="",1,0)&gt;=1,1,0),IF(IF('卡片raw data'!E$1:E$1000=R$5,1,0)+IF(R$5="",1,0)&gt;=1,1,0))</f>
        <v>0</v>
      </c>
      <c r="Y568" s="1307">
        <f t="shared" si="41"/>
        <v>51</v>
      </c>
      <c r="Z568" s="1307">
        <f t="shared" si="42"/>
        <v>0</v>
      </c>
      <c r="AA568" s="1307">
        <f t="shared" si="43"/>
        <v>51</v>
      </c>
      <c r="AB568" s="1307">
        <f t="shared" si="44"/>
        <v>0</v>
      </c>
    </row>
    <row r="569" spans="20:28">
      <c r="T569" s="1077">
        <v>28</v>
      </c>
      <c r="U569" s="1077">
        <f t="shared" si="40"/>
        <v>20</v>
      </c>
      <c r="V569" s="1077">
        <v>52</v>
      </c>
      <c r="W569" s="1077">
        <f t="array" ref="W569">SUMPRODUCT(IF('卡片raw data'!BM$1:BM$1000=T569,1,0),IF('卡片raw data'!BO$1:BO$1000=V569,1,0),IF(IF('卡片raw data'!C$1:C$1000=R$3,1,0)+IF(R$3="",1,0)&gt;=1,1,0),IF(IF('卡片raw data'!D$1:D$1000=R$4,1,0)+IF(R$4="",1,0)&gt;=1,1,0),IF(IF('卡片raw data'!E$1:E$1000=R$5,1,0)+IF(R$5="",1,0)&gt;=1,1,0))</f>
        <v>0</v>
      </c>
      <c r="Y569" s="1307">
        <f t="shared" si="41"/>
        <v>52</v>
      </c>
      <c r="Z569" s="1307">
        <f t="shared" si="42"/>
        <v>0</v>
      </c>
      <c r="AA569" s="1307">
        <f t="shared" si="43"/>
        <v>52</v>
      </c>
      <c r="AB569" s="1307">
        <f t="shared" si="44"/>
        <v>0</v>
      </c>
    </row>
    <row r="570" spans="20:28">
      <c r="T570" s="1077">
        <v>28</v>
      </c>
      <c r="U570" s="1077">
        <f t="shared" si="40"/>
        <v>19</v>
      </c>
      <c r="V570" s="1077">
        <v>53</v>
      </c>
      <c r="W570" s="1077">
        <f t="array" ref="W570">SUMPRODUCT(IF('卡片raw data'!BM$1:BM$1000=T570,1,0),IF('卡片raw data'!BO$1:BO$1000=V570,1,0),IF(IF('卡片raw data'!C$1:C$1000=R$3,1,0)+IF(R$3="",1,0)&gt;=1,1,0),IF(IF('卡片raw data'!D$1:D$1000=R$4,1,0)+IF(R$4="",1,0)&gt;=1,1,0),IF(IF('卡片raw data'!E$1:E$1000=R$5,1,0)+IF(R$5="",1,0)&gt;=1,1,0))</f>
        <v>0</v>
      </c>
      <c r="Y570" s="1307">
        <f t="shared" si="41"/>
        <v>53</v>
      </c>
      <c r="Z570" s="1307">
        <f t="shared" si="42"/>
        <v>0</v>
      </c>
      <c r="AA570" s="1307">
        <f t="shared" si="43"/>
        <v>53</v>
      </c>
      <c r="AB570" s="1307">
        <f t="shared" si="44"/>
        <v>0</v>
      </c>
    </row>
    <row r="571" spans="20:28">
      <c r="T571" s="1077">
        <v>28</v>
      </c>
      <c r="U571" s="1077">
        <f t="shared" si="40"/>
        <v>18</v>
      </c>
      <c r="V571" s="1077">
        <v>54</v>
      </c>
      <c r="W571" s="1077">
        <f t="array" ref="W571">SUMPRODUCT(IF('卡片raw data'!BM$1:BM$1000=T571,1,0),IF('卡片raw data'!BO$1:BO$1000=V571,1,0),IF(IF('卡片raw data'!C$1:C$1000=R$3,1,0)+IF(R$3="",1,0)&gt;=1,1,0),IF(IF('卡片raw data'!D$1:D$1000=R$4,1,0)+IF(R$4="",1,0)&gt;=1,1,0),IF(IF('卡片raw data'!E$1:E$1000=R$5,1,0)+IF(R$5="",1,0)&gt;=1,1,0))</f>
        <v>0</v>
      </c>
      <c r="Y571" s="1307">
        <f t="shared" si="41"/>
        <v>54</v>
      </c>
      <c r="Z571" s="1307">
        <f t="shared" si="42"/>
        <v>0</v>
      </c>
      <c r="AA571" s="1307">
        <f t="shared" si="43"/>
        <v>54</v>
      </c>
      <c r="AB571" s="1307">
        <f t="shared" si="44"/>
        <v>0</v>
      </c>
    </row>
    <row r="572" spans="20:28">
      <c r="T572" s="1077">
        <v>28</v>
      </c>
      <c r="U572" s="1077">
        <f t="shared" si="40"/>
        <v>17</v>
      </c>
      <c r="V572" s="1077">
        <v>55</v>
      </c>
      <c r="W572" s="1077">
        <f t="array" ref="W572">SUMPRODUCT(IF('卡片raw data'!BM$1:BM$1000=T572,1,0),IF('卡片raw data'!BO$1:BO$1000=V572,1,0),IF(IF('卡片raw data'!C$1:C$1000=R$3,1,0)+IF(R$3="",1,0)&gt;=1,1,0),IF(IF('卡片raw data'!D$1:D$1000=R$4,1,0)+IF(R$4="",1,0)&gt;=1,1,0),IF(IF('卡片raw data'!E$1:E$1000=R$5,1,0)+IF(R$5="",1,0)&gt;=1,1,0))</f>
        <v>0</v>
      </c>
      <c r="Y572" s="1307">
        <f t="shared" si="41"/>
        <v>55</v>
      </c>
      <c r="Z572" s="1307">
        <f t="shared" si="42"/>
        <v>0</v>
      </c>
      <c r="AA572" s="1307">
        <f t="shared" si="43"/>
        <v>55</v>
      </c>
      <c r="AB572" s="1307">
        <f t="shared" si="44"/>
        <v>0</v>
      </c>
    </row>
    <row r="573" spans="20:28">
      <c r="T573" s="1077">
        <v>29</v>
      </c>
      <c r="U573" s="1077">
        <f t="shared" si="40"/>
        <v>55</v>
      </c>
      <c r="V573" s="1077">
        <v>16</v>
      </c>
      <c r="W573" s="1077">
        <f t="array" ref="W573">SUMPRODUCT(IF('卡片raw data'!BM$1:BM$1000=T573,1,0),IF('卡片raw data'!BO$1:BO$1000=V573,1,0),IF(IF('卡片raw data'!C$1:C$1000=R$3,1,0)+IF(R$3="",1,0)&gt;=1,1,0),IF(IF('卡片raw data'!D$1:D$1000=R$4,1,0)+IF(R$4="",1,0)&gt;=1,1,0),IF(IF('卡片raw data'!E$1:E$1000=R$5,1,0)+IF(R$5="",1,0)&gt;=1,1,0))</f>
        <v>0</v>
      </c>
      <c r="Y573" s="1307">
        <f t="shared" si="41"/>
        <v>16</v>
      </c>
      <c r="Z573" s="1307">
        <f t="shared" si="42"/>
        <v>0</v>
      </c>
      <c r="AA573" s="1307">
        <f t="shared" si="43"/>
        <v>16</v>
      </c>
      <c r="AB573" s="1307">
        <f t="shared" si="44"/>
        <v>0</v>
      </c>
    </row>
    <row r="574" spans="20:28">
      <c r="T574" s="1077">
        <v>29</v>
      </c>
      <c r="U574" s="1077">
        <f t="shared" si="40"/>
        <v>54</v>
      </c>
      <c r="V574" s="1077">
        <v>17</v>
      </c>
      <c r="W574" s="1077">
        <f t="array" ref="W574">SUMPRODUCT(IF('卡片raw data'!BM$1:BM$1000=T574,1,0),IF('卡片raw data'!BO$1:BO$1000=V574,1,0),IF(IF('卡片raw data'!C$1:C$1000=R$3,1,0)+IF(R$3="",1,0)&gt;=1,1,0),IF(IF('卡片raw data'!D$1:D$1000=R$4,1,0)+IF(R$4="",1,0)&gt;=1,1,0),IF(IF('卡片raw data'!E$1:E$1000=R$5,1,0)+IF(R$5="",1,0)&gt;=1,1,0))</f>
        <v>0</v>
      </c>
      <c r="Y574" s="1307">
        <f t="shared" si="41"/>
        <v>17</v>
      </c>
      <c r="Z574" s="1307">
        <f t="shared" si="42"/>
        <v>0</v>
      </c>
      <c r="AA574" s="1307">
        <f t="shared" si="43"/>
        <v>17</v>
      </c>
      <c r="AB574" s="1307">
        <f t="shared" si="44"/>
        <v>0</v>
      </c>
    </row>
    <row r="575" spans="20:28">
      <c r="T575" s="1077">
        <v>29</v>
      </c>
      <c r="U575" s="1077">
        <f t="shared" si="40"/>
        <v>53</v>
      </c>
      <c r="V575" s="1077">
        <v>18</v>
      </c>
      <c r="W575" s="1077">
        <f t="array" ref="W575">SUMPRODUCT(IF('卡片raw data'!BM$1:BM$1000=T575,1,0),IF('卡片raw data'!BO$1:BO$1000=V575,1,0),IF(IF('卡片raw data'!C$1:C$1000=R$3,1,0)+IF(R$3="",1,0)&gt;=1,1,0),IF(IF('卡片raw data'!D$1:D$1000=R$4,1,0)+IF(R$4="",1,0)&gt;=1,1,0),IF(IF('卡片raw data'!E$1:E$1000=R$5,1,0)+IF(R$5="",1,0)&gt;=1,1,0))</f>
        <v>0</v>
      </c>
      <c r="Y575" s="1307">
        <f t="shared" si="41"/>
        <v>18</v>
      </c>
      <c r="Z575" s="1307">
        <f t="shared" si="42"/>
        <v>0</v>
      </c>
      <c r="AA575" s="1307">
        <f t="shared" si="43"/>
        <v>18</v>
      </c>
      <c r="AB575" s="1307">
        <f t="shared" si="44"/>
        <v>0</v>
      </c>
    </row>
    <row r="576" spans="20:28">
      <c r="T576" s="1077">
        <v>29</v>
      </c>
      <c r="U576" s="1077">
        <f t="shared" si="40"/>
        <v>52</v>
      </c>
      <c r="V576" s="1077">
        <v>19</v>
      </c>
      <c r="W576" s="1077">
        <f t="array" ref="W576">SUMPRODUCT(IF('卡片raw data'!BM$1:BM$1000=T576,1,0),IF('卡片raw data'!BO$1:BO$1000=V576,1,0),IF(IF('卡片raw data'!C$1:C$1000=R$3,1,0)+IF(R$3="",1,0)&gt;=1,1,0),IF(IF('卡片raw data'!D$1:D$1000=R$4,1,0)+IF(R$4="",1,0)&gt;=1,1,0),IF(IF('卡片raw data'!E$1:E$1000=R$5,1,0)+IF(R$5="",1,0)&gt;=1,1,0))</f>
        <v>0</v>
      </c>
      <c r="Y576" s="1307">
        <f t="shared" si="41"/>
        <v>19</v>
      </c>
      <c r="Z576" s="1307">
        <f t="shared" si="42"/>
        <v>0</v>
      </c>
      <c r="AA576" s="1307">
        <f t="shared" si="43"/>
        <v>19</v>
      </c>
      <c r="AB576" s="1307">
        <f t="shared" si="44"/>
        <v>0</v>
      </c>
    </row>
    <row r="577" spans="20:28">
      <c r="T577" s="1077">
        <v>29</v>
      </c>
      <c r="U577" s="1077">
        <f t="shared" si="40"/>
        <v>51</v>
      </c>
      <c r="V577" s="1077">
        <v>20</v>
      </c>
      <c r="W577" s="1077">
        <f t="array" ref="W577">SUMPRODUCT(IF('卡片raw data'!BM$1:BM$1000=T577,1,0),IF('卡片raw data'!BO$1:BO$1000=V577,1,0),IF(IF('卡片raw data'!C$1:C$1000=R$3,1,0)+IF(R$3="",1,0)&gt;=1,1,0),IF(IF('卡片raw data'!D$1:D$1000=R$4,1,0)+IF(R$4="",1,0)&gt;=1,1,0),IF(IF('卡片raw data'!E$1:E$1000=R$5,1,0)+IF(R$5="",1,0)&gt;=1,1,0))</f>
        <v>0</v>
      </c>
      <c r="Y577" s="1307">
        <f t="shared" si="41"/>
        <v>20</v>
      </c>
      <c r="Z577" s="1307">
        <f t="shared" si="42"/>
        <v>0</v>
      </c>
      <c r="AA577" s="1307">
        <f t="shared" si="43"/>
        <v>20</v>
      </c>
      <c r="AB577" s="1307">
        <f t="shared" si="44"/>
        <v>0</v>
      </c>
    </row>
    <row r="578" spans="20:28">
      <c r="T578" s="1077">
        <v>29</v>
      </c>
      <c r="U578" s="1077">
        <f t="shared" si="40"/>
        <v>50</v>
      </c>
      <c r="V578" s="1077">
        <v>21</v>
      </c>
      <c r="W578" s="1077">
        <f t="array" ref="W578">SUMPRODUCT(IF('卡片raw data'!BM$1:BM$1000=T578,1,0),IF('卡片raw data'!BO$1:BO$1000=V578,1,0),IF(IF('卡片raw data'!C$1:C$1000=R$3,1,0)+IF(R$3="",1,0)&gt;=1,1,0),IF(IF('卡片raw data'!D$1:D$1000=R$4,1,0)+IF(R$4="",1,0)&gt;=1,1,0),IF(IF('卡片raw data'!E$1:E$1000=R$5,1,0)+IF(R$5="",1,0)&gt;=1,1,0))</f>
        <v>0</v>
      </c>
      <c r="Y578" s="1307">
        <f t="shared" si="41"/>
        <v>21</v>
      </c>
      <c r="Z578" s="1307">
        <f t="shared" si="42"/>
        <v>0</v>
      </c>
      <c r="AA578" s="1307">
        <f t="shared" si="43"/>
        <v>21</v>
      </c>
      <c r="AB578" s="1307">
        <f t="shared" si="44"/>
        <v>0</v>
      </c>
    </row>
    <row r="579" spans="20:28">
      <c r="T579" s="1077">
        <v>29</v>
      </c>
      <c r="U579" s="1077">
        <f t="shared" si="40"/>
        <v>49</v>
      </c>
      <c r="V579" s="1077">
        <v>22</v>
      </c>
      <c r="W579" s="1077">
        <f t="array" ref="W579">SUMPRODUCT(IF('卡片raw data'!BM$1:BM$1000=T579,1,0),IF('卡片raw data'!BO$1:BO$1000=V579,1,0),IF(IF('卡片raw data'!C$1:C$1000=R$3,1,0)+IF(R$3="",1,0)&gt;=1,1,0),IF(IF('卡片raw data'!D$1:D$1000=R$4,1,0)+IF(R$4="",1,0)&gt;=1,1,0),IF(IF('卡片raw data'!E$1:E$1000=R$5,1,0)+IF(R$5="",1,0)&gt;=1,1,0))</f>
        <v>0</v>
      </c>
      <c r="Y579" s="1307">
        <f t="shared" si="41"/>
        <v>22</v>
      </c>
      <c r="Z579" s="1307">
        <f t="shared" si="42"/>
        <v>0</v>
      </c>
      <c r="AA579" s="1307">
        <f t="shared" si="43"/>
        <v>22</v>
      </c>
      <c r="AB579" s="1307">
        <f t="shared" si="44"/>
        <v>0</v>
      </c>
    </row>
    <row r="580" spans="20:28">
      <c r="T580" s="1077">
        <v>29</v>
      </c>
      <c r="U580" s="1077">
        <f t="shared" ref="U580:U643" si="45">100-T580-V580</f>
        <v>48</v>
      </c>
      <c r="V580" s="1077">
        <v>23</v>
      </c>
      <c r="W580" s="1077">
        <f t="array" ref="W580">SUMPRODUCT(IF('卡片raw data'!BM$1:BM$1000=T580,1,0),IF('卡片raw data'!BO$1:BO$1000=V580,1,0),IF(IF('卡片raw data'!C$1:C$1000=R$3,1,0)+IF(R$3="",1,0)&gt;=1,1,0),IF(IF('卡片raw data'!D$1:D$1000=R$4,1,0)+IF(R$4="",1,0)&gt;=1,1,0),IF(IF('卡片raw data'!E$1:E$1000=R$5,1,0)+IF(R$5="",1,0)&gt;=1,1,0))</f>
        <v>0</v>
      </c>
      <c r="Y580" s="1307">
        <f t="shared" ref="Y580:Y643" si="46">V580</f>
        <v>23</v>
      </c>
      <c r="Z580" s="1307">
        <f t="shared" ref="Z580:Z643" si="47">IF(AND(V580&gt;U580,V580&gt;T580),W580,0)</f>
        <v>0</v>
      </c>
      <c r="AA580" s="1307">
        <f t="shared" ref="AA580:AA643" si="48">V580</f>
        <v>23</v>
      </c>
      <c r="AB580" s="1307">
        <f t="shared" ref="AB580:AB643" si="49">W580-Z580</f>
        <v>0</v>
      </c>
    </row>
    <row r="581" spans="20:28">
      <c r="T581" s="1077">
        <v>29</v>
      </c>
      <c r="U581" s="1077">
        <f t="shared" si="45"/>
        <v>47</v>
      </c>
      <c r="V581" s="1077">
        <v>24</v>
      </c>
      <c r="W581" s="1077">
        <f t="array" ref="W581">SUMPRODUCT(IF('卡片raw data'!BM$1:BM$1000=T581,1,0),IF('卡片raw data'!BO$1:BO$1000=V581,1,0),IF(IF('卡片raw data'!C$1:C$1000=R$3,1,0)+IF(R$3="",1,0)&gt;=1,1,0),IF(IF('卡片raw data'!D$1:D$1000=R$4,1,0)+IF(R$4="",1,0)&gt;=1,1,0),IF(IF('卡片raw data'!E$1:E$1000=R$5,1,0)+IF(R$5="",1,0)&gt;=1,1,0))</f>
        <v>0</v>
      </c>
      <c r="Y581" s="1307">
        <f t="shared" si="46"/>
        <v>24</v>
      </c>
      <c r="Z581" s="1307">
        <f t="shared" si="47"/>
        <v>0</v>
      </c>
      <c r="AA581" s="1307">
        <f t="shared" si="48"/>
        <v>24</v>
      </c>
      <c r="AB581" s="1307">
        <f t="shared" si="49"/>
        <v>0</v>
      </c>
    </row>
    <row r="582" spans="20:28">
      <c r="T582" s="1077">
        <v>29</v>
      </c>
      <c r="U582" s="1077">
        <f t="shared" si="45"/>
        <v>46</v>
      </c>
      <c r="V582" s="1077">
        <v>25</v>
      </c>
      <c r="W582" s="1077">
        <f t="array" ref="W582">SUMPRODUCT(IF('卡片raw data'!BM$1:BM$1000=T582,1,0),IF('卡片raw data'!BO$1:BO$1000=V582,1,0),IF(IF('卡片raw data'!C$1:C$1000=R$3,1,0)+IF(R$3="",1,0)&gt;=1,1,0),IF(IF('卡片raw data'!D$1:D$1000=R$4,1,0)+IF(R$4="",1,0)&gt;=1,1,0),IF(IF('卡片raw data'!E$1:E$1000=R$5,1,0)+IF(R$5="",1,0)&gt;=1,1,0))</f>
        <v>0</v>
      </c>
      <c r="Y582" s="1307">
        <f t="shared" si="46"/>
        <v>25</v>
      </c>
      <c r="Z582" s="1307">
        <f t="shared" si="47"/>
        <v>0</v>
      </c>
      <c r="AA582" s="1307">
        <f t="shared" si="48"/>
        <v>25</v>
      </c>
      <c r="AB582" s="1307">
        <f t="shared" si="49"/>
        <v>0</v>
      </c>
    </row>
    <row r="583" spans="20:28">
      <c r="T583" s="1077">
        <v>29</v>
      </c>
      <c r="U583" s="1077">
        <f t="shared" si="45"/>
        <v>45</v>
      </c>
      <c r="V583" s="1077">
        <v>26</v>
      </c>
      <c r="W583" s="1077">
        <f t="array" ref="W583">SUMPRODUCT(IF('卡片raw data'!BM$1:BM$1000=T583,1,0),IF('卡片raw data'!BO$1:BO$1000=V583,1,0),IF(IF('卡片raw data'!C$1:C$1000=R$3,1,0)+IF(R$3="",1,0)&gt;=1,1,0),IF(IF('卡片raw data'!D$1:D$1000=R$4,1,0)+IF(R$4="",1,0)&gt;=1,1,0),IF(IF('卡片raw data'!E$1:E$1000=R$5,1,0)+IF(R$5="",1,0)&gt;=1,1,0))</f>
        <v>0</v>
      </c>
      <c r="Y583" s="1307">
        <f t="shared" si="46"/>
        <v>26</v>
      </c>
      <c r="Z583" s="1307">
        <f t="shared" si="47"/>
        <v>0</v>
      </c>
      <c r="AA583" s="1307">
        <f t="shared" si="48"/>
        <v>26</v>
      </c>
      <c r="AB583" s="1307">
        <f t="shared" si="49"/>
        <v>0</v>
      </c>
    </row>
    <row r="584" spans="20:28">
      <c r="T584" s="1077">
        <v>29</v>
      </c>
      <c r="U584" s="1077">
        <f t="shared" si="45"/>
        <v>44</v>
      </c>
      <c r="V584" s="1077">
        <v>27</v>
      </c>
      <c r="W584" s="1077">
        <f t="array" ref="W584">SUMPRODUCT(IF('卡片raw data'!BM$1:BM$1000=T584,1,0),IF('卡片raw data'!BO$1:BO$1000=V584,1,0),IF(IF('卡片raw data'!C$1:C$1000=R$3,1,0)+IF(R$3="",1,0)&gt;=1,1,0),IF(IF('卡片raw data'!D$1:D$1000=R$4,1,0)+IF(R$4="",1,0)&gt;=1,1,0),IF(IF('卡片raw data'!E$1:E$1000=R$5,1,0)+IF(R$5="",1,0)&gt;=1,1,0))</f>
        <v>0</v>
      </c>
      <c r="Y584" s="1307">
        <f t="shared" si="46"/>
        <v>27</v>
      </c>
      <c r="Z584" s="1307">
        <f t="shared" si="47"/>
        <v>0</v>
      </c>
      <c r="AA584" s="1307">
        <f t="shared" si="48"/>
        <v>27</v>
      </c>
      <c r="AB584" s="1307">
        <f t="shared" si="49"/>
        <v>0</v>
      </c>
    </row>
    <row r="585" spans="20:28">
      <c r="T585" s="1077">
        <v>29</v>
      </c>
      <c r="U585" s="1077">
        <f t="shared" si="45"/>
        <v>43</v>
      </c>
      <c r="V585" s="1077">
        <v>28</v>
      </c>
      <c r="W585" s="1077">
        <f t="array" ref="W585">SUMPRODUCT(IF('卡片raw data'!BM$1:BM$1000=T585,1,0),IF('卡片raw data'!BO$1:BO$1000=V585,1,0),IF(IF('卡片raw data'!C$1:C$1000=R$3,1,0)+IF(R$3="",1,0)&gt;=1,1,0),IF(IF('卡片raw data'!D$1:D$1000=R$4,1,0)+IF(R$4="",1,0)&gt;=1,1,0),IF(IF('卡片raw data'!E$1:E$1000=R$5,1,0)+IF(R$5="",1,0)&gt;=1,1,0))</f>
        <v>1</v>
      </c>
      <c r="Y585" s="1307">
        <f t="shared" si="46"/>
        <v>28</v>
      </c>
      <c r="Z585" s="1307">
        <f t="shared" si="47"/>
        <v>0</v>
      </c>
      <c r="AA585" s="1307">
        <f t="shared" si="48"/>
        <v>28</v>
      </c>
      <c r="AB585" s="1307">
        <f t="shared" si="49"/>
        <v>1</v>
      </c>
    </row>
    <row r="586" spans="20:28">
      <c r="T586" s="1077">
        <v>29</v>
      </c>
      <c r="U586" s="1077">
        <f t="shared" si="45"/>
        <v>42</v>
      </c>
      <c r="V586" s="1077">
        <v>29</v>
      </c>
      <c r="W586" s="1077">
        <f t="array" ref="W586">SUMPRODUCT(IF('卡片raw data'!BM$1:BM$1000=T586,1,0),IF('卡片raw data'!BO$1:BO$1000=V586,1,0),IF(IF('卡片raw data'!C$1:C$1000=R$3,1,0)+IF(R$3="",1,0)&gt;=1,1,0),IF(IF('卡片raw data'!D$1:D$1000=R$4,1,0)+IF(R$4="",1,0)&gt;=1,1,0),IF(IF('卡片raw data'!E$1:E$1000=R$5,1,0)+IF(R$5="",1,0)&gt;=1,1,0))</f>
        <v>0</v>
      </c>
      <c r="Y586" s="1307">
        <f t="shared" si="46"/>
        <v>29</v>
      </c>
      <c r="Z586" s="1307">
        <f t="shared" si="47"/>
        <v>0</v>
      </c>
      <c r="AA586" s="1307">
        <f t="shared" si="48"/>
        <v>29</v>
      </c>
      <c r="AB586" s="1307">
        <f t="shared" si="49"/>
        <v>0</v>
      </c>
    </row>
    <row r="587" spans="20:28">
      <c r="T587" s="1077">
        <v>29</v>
      </c>
      <c r="U587" s="1077">
        <f t="shared" si="45"/>
        <v>41</v>
      </c>
      <c r="V587" s="1077">
        <v>30</v>
      </c>
      <c r="W587" s="1077">
        <f t="array" ref="W587">SUMPRODUCT(IF('卡片raw data'!BM$1:BM$1000=T587,1,0),IF('卡片raw data'!BO$1:BO$1000=V587,1,0),IF(IF('卡片raw data'!C$1:C$1000=R$3,1,0)+IF(R$3="",1,0)&gt;=1,1,0),IF(IF('卡片raw data'!D$1:D$1000=R$4,1,0)+IF(R$4="",1,0)&gt;=1,1,0),IF(IF('卡片raw data'!E$1:E$1000=R$5,1,0)+IF(R$5="",1,0)&gt;=1,1,0))</f>
        <v>4</v>
      </c>
      <c r="Y587" s="1307">
        <f t="shared" si="46"/>
        <v>30</v>
      </c>
      <c r="Z587" s="1307">
        <f t="shared" si="47"/>
        <v>0</v>
      </c>
      <c r="AA587" s="1307">
        <f t="shared" si="48"/>
        <v>30</v>
      </c>
      <c r="AB587" s="1307">
        <f t="shared" si="49"/>
        <v>4</v>
      </c>
    </row>
    <row r="588" spans="20:28">
      <c r="T588" s="1077">
        <v>29</v>
      </c>
      <c r="U588" s="1077">
        <f t="shared" si="45"/>
        <v>40</v>
      </c>
      <c r="V588" s="1077">
        <v>31</v>
      </c>
      <c r="W588" s="1077">
        <f t="array" ref="W588">SUMPRODUCT(IF('卡片raw data'!BM$1:BM$1000=T588,1,0),IF('卡片raw data'!BO$1:BO$1000=V588,1,0),IF(IF('卡片raw data'!C$1:C$1000=R$3,1,0)+IF(R$3="",1,0)&gt;=1,1,0),IF(IF('卡片raw data'!D$1:D$1000=R$4,1,0)+IF(R$4="",1,0)&gt;=1,1,0),IF(IF('卡片raw data'!E$1:E$1000=R$5,1,0)+IF(R$5="",1,0)&gt;=1,1,0))</f>
        <v>3</v>
      </c>
      <c r="Y588" s="1307">
        <f t="shared" si="46"/>
        <v>31</v>
      </c>
      <c r="Z588" s="1307">
        <f t="shared" si="47"/>
        <v>0</v>
      </c>
      <c r="AA588" s="1307">
        <f t="shared" si="48"/>
        <v>31</v>
      </c>
      <c r="AB588" s="1307">
        <f t="shared" si="49"/>
        <v>3</v>
      </c>
    </row>
    <row r="589" spans="20:28">
      <c r="T589" s="1077">
        <v>29</v>
      </c>
      <c r="U589" s="1077">
        <f t="shared" si="45"/>
        <v>39</v>
      </c>
      <c r="V589" s="1077">
        <v>32</v>
      </c>
      <c r="W589" s="1077">
        <f t="array" ref="W589">SUMPRODUCT(IF('卡片raw data'!BM$1:BM$1000=T589,1,0),IF('卡片raw data'!BO$1:BO$1000=V589,1,0),IF(IF('卡片raw data'!C$1:C$1000=R$3,1,0)+IF(R$3="",1,0)&gt;=1,1,0),IF(IF('卡片raw data'!D$1:D$1000=R$4,1,0)+IF(R$4="",1,0)&gt;=1,1,0),IF(IF('卡片raw data'!E$1:E$1000=R$5,1,0)+IF(R$5="",1,0)&gt;=1,1,0))</f>
        <v>0</v>
      </c>
      <c r="Y589" s="1307">
        <f t="shared" si="46"/>
        <v>32</v>
      </c>
      <c r="Z589" s="1307">
        <f t="shared" si="47"/>
        <v>0</v>
      </c>
      <c r="AA589" s="1307">
        <f t="shared" si="48"/>
        <v>32</v>
      </c>
      <c r="AB589" s="1307">
        <f t="shared" si="49"/>
        <v>0</v>
      </c>
    </row>
    <row r="590" spans="20:28">
      <c r="T590" s="1077">
        <v>29</v>
      </c>
      <c r="U590" s="1077">
        <f t="shared" si="45"/>
        <v>38</v>
      </c>
      <c r="V590" s="1077">
        <v>33</v>
      </c>
      <c r="W590" s="1077">
        <f t="array" ref="W590">SUMPRODUCT(IF('卡片raw data'!BM$1:BM$1000=T590,1,0),IF('卡片raw data'!BO$1:BO$1000=V590,1,0),IF(IF('卡片raw data'!C$1:C$1000=R$3,1,0)+IF(R$3="",1,0)&gt;=1,1,0),IF(IF('卡片raw data'!D$1:D$1000=R$4,1,0)+IF(R$4="",1,0)&gt;=1,1,0),IF(IF('卡片raw data'!E$1:E$1000=R$5,1,0)+IF(R$5="",1,0)&gt;=1,1,0))</f>
        <v>0</v>
      </c>
      <c r="Y590" s="1307">
        <f t="shared" si="46"/>
        <v>33</v>
      </c>
      <c r="Z590" s="1307">
        <f t="shared" si="47"/>
        <v>0</v>
      </c>
      <c r="AA590" s="1307">
        <f t="shared" si="48"/>
        <v>33</v>
      </c>
      <c r="AB590" s="1307">
        <f t="shared" si="49"/>
        <v>0</v>
      </c>
    </row>
    <row r="591" spans="20:28">
      <c r="T591" s="1077">
        <v>29</v>
      </c>
      <c r="U591" s="1077">
        <f t="shared" si="45"/>
        <v>37</v>
      </c>
      <c r="V591" s="1077">
        <v>34</v>
      </c>
      <c r="W591" s="1077">
        <f t="array" ref="W591">SUMPRODUCT(IF('卡片raw data'!BM$1:BM$1000=T591,1,0),IF('卡片raw data'!BO$1:BO$1000=V591,1,0),IF(IF('卡片raw data'!C$1:C$1000=R$3,1,0)+IF(R$3="",1,0)&gt;=1,1,0),IF(IF('卡片raw data'!D$1:D$1000=R$4,1,0)+IF(R$4="",1,0)&gt;=1,1,0),IF(IF('卡片raw data'!E$1:E$1000=R$5,1,0)+IF(R$5="",1,0)&gt;=1,1,0))</f>
        <v>0</v>
      </c>
      <c r="Y591" s="1307">
        <f t="shared" si="46"/>
        <v>34</v>
      </c>
      <c r="Z591" s="1307">
        <f t="shared" si="47"/>
        <v>0</v>
      </c>
      <c r="AA591" s="1307">
        <f t="shared" si="48"/>
        <v>34</v>
      </c>
      <c r="AB591" s="1307">
        <f t="shared" si="49"/>
        <v>0</v>
      </c>
    </row>
    <row r="592" spans="20:28">
      <c r="T592" s="1077">
        <v>29</v>
      </c>
      <c r="U592" s="1077">
        <f t="shared" si="45"/>
        <v>36</v>
      </c>
      <c r="V592" s="1077">
        <v>35</v>
      </c>
      <c r="W592" s="1077">
        <f t="array" ref="W592">SUMPRODUCT(IF('卡片raw data'!BM$1:BM$1000=T592,1,0),IF('卡片raw data'!BO$1:BO$1000=V592,1,0),IF(IF('卡片raw data'!C$1:C$1000=R$3,1,0)+IF(R$3="",1,0)&gt;=1,1,0),IF(IF('卡片raw data'!D$1:D$1000=R$4,1,0)+IF(R$4="",1,0)&gt;=1,1,0),IF(IF('卡片raw data'!E$1:E$1000=R$5,1,0)+IF(R$5="",1,0)&gt;=1,1,0))</f>
        <v>0</v>
      </c>
      <c r="Y592" s="1307">
        <f t="shared" si="46"/>
        <v>35</v>
      </c>
      <c r="Z592" s="1307">
        <f t="shared" si="47"/>
        <v>0</v>
      </c>
      <c r="AA592" s="1307">
        <f t="shared" si="48"/>
        <v>35</v>
      </c>
      <c r="AB592" s="1307">
        <f t="shared" si="49"/>
        <v>0</v>
      </c>
    </row>
    <row r="593" spans="20:28">
      <c r="T593" s="1077">
        <v>29</v>
      </c>
      <c r="U593" s="1077">
        <f t="shared" si="45"/>
        <v>35</v>
      </c>
      <c r="V593" s="1077">
        <v>36</v>
      </c>
      <c r="W593" s="1077">
        <f t="array" ref="W593">SUMPRODUCT(IF('卡片raw data'!BM$1:BM$1000=T593,1,0),IF('卡片raw data'!BO$1:BO$1000=V593,1,0),IF(IF('卡片raw data'!C$1:C$1000=R$3,1,0)+IF(R$3="",1,0)&gt;=1,1,0),IF(IF('卡片raw data'!D$1:D$1000=R$4,1,0)+IF(R$4="",1,0)&gt;=1,1,0),IF(IF('卡片raw data'!E$1:E$1000=R$5,1,0)+IF(R$5="",1,0)&gt;=1,1,0))</f>
        <v>0</v>
      </c>
      <c r="Y593" s="1307">
        <f t="shared" si="46"/>
        <v>36</v>
      </c>
      <c r="Z593" s="1307">
        <f t="shared" si="47"/>
        <v>0</v>
      </c>
      <c r="AA593" s="1307">
        <f t="shared" si="48"/>
        <v>36</v>
      </c>
      <c r="AB593" s="1307">
        <f t="shared" si="49"/>
        <v>0</v>
      </c>
    </row>
    <row r="594" spans="20:28">
      <c r="T594" s="1077">
        <v>29</v>
      </c>
      <c r="U594" s="1077">
        <f t="shared" si="45"/>
        <v>34</v>
      </c>
      <c r="V594" s="1077">
        <v>37</v>
      </c>
      <c r="W594" s="1077">
        <f t="array" ref="W594">SUMPRODUCT(IF('卡片raw data'!BM$1:BM$1000=T594,1,0),IF('卡片raw data'!BO$1:BO$1000=V594,1,0),IF(IF('卡片raw data'!C$1:C$1000=R$3,1,0)+IF(R$3="",1,0)&gt;=1,1,0),IF(IF('卡片raw data'!D$1:D$1000=R$4,1,0)+IF(R$4="",1,0)&gt;=1,1,0),IF(IF('卡片raw data'!E$1:E$1000=R$5,1,0)+IF(R$5="",1,0)&gt;=1,1,0))</f>
        <v>0</v>
      </c>
      <c r="Y594" s="1307">
        <f t="shared" si="46"/>
        <v>37</v>
      </c>
      <c r="Z594" s="1307">
        <f t="shared" si="47"/>
        <v>0</v>
      </c>
      <c r="AA594" s="1307">
        <f t="shared" si="48"/>
        <v>37</v>
      </c>
      <c r="AB594" s="1307">
        <f t="shared" si="49"/>
        <v>0</v>
      </c>
    </row>
    <row r="595" spans="20:28">
      <c r="T595" s="1077">
        <v>29</v>
      </c>
      <c r="U595" s="1077">
        <f t="shared" si="45"/>
        <v>33</v>
      </c>
      <c r="V595" s="1077">
        <v>38</v>
      </c>
      <c r="W595" s="1077">
        <f t="array" ref="W595">SUMPRODUCT(IF('卡片raw data'!BM$1:BM$1000=T595,1,0),IF('卡片raw data'!BO$1:BO$1000=V595,1,0),IF(IF('卡片raw data'!C$1:C$1000=R$3,1,0)+IF(R$3="",1,0)&gt;=1,1,0),IF(IF('卡片raw data'!D$1:D$1000=R$4,1,0)+IF(R$4="",1,0)&gt;=1,1,0),IF(IF('卡片raw data'!E$1:E$1000=R$5,1,0)+IF(R$5="",1,0)&gt;=1,1,0))</f>
        <v>0</v>
      </c>
      <c r="Y595" s="1307">
        <f t="shared" si="46"/>
        <v>38</v>
      </c>
      <c r="Z595" s="1307">
        <f t="shared" si="47"/>
        <v>0</v>
      </c>
      <c r="AA595" s="1307">
        <f t="shared" si="48"/>
        <v>38</v>
      </c>
      <c r="AB595" s="1307">
        <f t="shared" si="49"/>
        <v>0</v>
      </c>
    </row>
    <row r="596" spans="20:28">
      <c r="T596" s="1077">
        <v>29</v>
      </c>
      <c r="U596" s="1077">
        <f t="shared" si="45"/>
        <v>32</v>
      </c>
      <c r="V596" s="1077">
        <v>39</v>
      </c>
      <c r="W596" s="1077">
        <f t="array" ref="W596">SUMPRODUCT(IF('卡片raw data'!BM$1:BM$1000=T596,1,0),IF('卡片raw data'!BO$1:BO$1000=V596,1,0),IF(IF('卡片raw data'!C$1:C$1000=R$3,1,0)+IF(R$3="",1,0)&gt;=1,1,0),IF(IF('卡片raw data'!D$1:D$1000=R$4,1,0)+IF(R$4="",1,0)&gt;=1,1,0),IF(IF('卡片raw data'!E$1:E$1000=R$5,1,0)+IF(R$5="",1,0)&gt;=1,1,0))</f>
        <v>0</v>
      </c>
      <c r="Y596" s="1307">
        <f t="shared" si="46"/>
        <v>39</v>
      </c>
      <c r="Z596" s="1307">
        <f t="shared" si="47"/>
        <v>0</v>
      </c>
      <c r="AA596" s="1307">
        <f t="shared" si="48"/>
        <v>39</v>
      </c>
      <c r="AB596" s="1307">
        <f t="shared" si="49"/>
        <v>0</v>
      </c>
    </row>
    <row r="597" spans="20:28">
      <c r="T597" s="1077">
        <v>29</v>
      </c>
      <c r="U597" s="1077">
        <f t="shared" si="45"/>
        <v>31</v>
      </c>
      <c r="V597" s="1077">
        <v>40</v>
      </c>
      <c r="W597" s="1077">
        <f t="array" ref="W597">SUMPRODUCT(IF('卡片raw data'!BM$1:BM$1000=T597,1,0),IF('卡片raw data'!BO$1:BO$1000=V597,1,0),IF(IF('卡片raw data'!C$1:C$1000=R$3,1,0)+IF(R$3="",1,0)&gt;=1,1,0),IF(IF('卡片raw data'!D$1:D$1000=R$4,1,0)+IF(R$4="",1,0)&gt;=1,1,0),IF(IF('卡片raw data'!E$1:E$1000=R$5,1,0)+IF(R$5="",1,0)&gt;=1,1,0))</f>
        <v>1</v>
      </c>
      <c r="Y597" s="1307">
        <f t="shared" si="46"/>
        <v>40</v>
      </c>
      <c r="Z597" s="1307">
        <f t="shared" si="47"/>
        <v>1</v>
      </c>
      <c r="AA597" s="1307">
        <f t="shared" si="48"/>
        <v>40</v>
      </c>
      <c r="AB597" s="1307">
        <f t="shared" si="49"/>
        <v>0</v>
      </c>
    </row>
    <row r="598" spans="20:28">
      <c r="T598" s="1077">
        <v>29</v>
      </c>
      <c r="U598" s="1077">
        <f t="shared" si="45"/>
        <v>30</v>
      </c>
      <c r="V598" s="1077">
        <v>41</v>
      </c>
      <c r="W598" s="1077">
        <f t="array" ref="W598">SUMPRODUCT(IF('卡片raw data'!BM$1:BM$1000=T598,1,0),IF('卡片raw data'!BO$1:BO$1000=V598,1,0),IF(IF('卡片raw data'!C$1:C$1000=R$3,1,0)+IF(R$3="",1,0)&gt;=1,1,0),IF(IF('卡片raw data'!D$1:D$1000=R$4,1,0)+IF(R$4="",1,0)&gt;=1,1,0),IF(IF('卡片raw data'!E$1:E$1000=R$5,1,0)+IF(R$5="",1,0)&gt;=1,1,0))</f>
        <v>0</v>
      </c>
      <c r="Y598" s="1307">
        <f t="shared" si="46"/>
        <v>41</v>
      </c>
      <c r="Z598" s="1307">
        <f t="shared" si="47"/>
        <v>0</v>
      </c>
      <c r="AA598" s="1307">
        <f t="shared" si="48"/>
        <v>41</v>
      </c>
      <c r="AB598" s="1307">
        <f t="shared" si="49"/>
        <v>0</v>
      </c>
    </row>
    <row r="599" spans="20:28">
      <c r="T599" s="1077">
        <v>29</v>
      </c>
      <c r="U599" s="1077">
        <f t="shared" si="45"/>
        <v>29</v>
      </c>
      <c r="V599" s="1077">
        <v>42</v>
      </c>
      <c r="W599" s="1077">
        <f t="array" ref="W599">SUMPRODUCT(IF('卡片raw data'!BM$1:BM$1000=T599,1,0),IF('卡片raw data'!BO$1:BO$1000=V599,1,0),IF(IF('卡片raw data'!C$1:C$1000=R$3,1,0)+IF(R$3="",1,0)&gt;=1,1,0),IF(IF('卡片raw data'!D$1:D$1000=R$4,1,0)+IF(R$4="",1,0)&gt;=1,1,0),IF(IF('卡片raw data'!E$1:E$1000=R$5,1,0)+IF(R$5="",1,0)&gt;=1,1,0))</f>
        <v>0</v>
      </c>
      <c r="Y599" s="1307">
        <f t="shared" si="46"/>
        <v>42</v>
      </c>
      <c r="Z599" s="1307">
        <f t="shared" si="47"/>
        <v>0</v>
      </c>
      <c r="AA599" s="1307">
        <f t="shared" si="48"/>
        <v>42</v>
      </c>
      <c r="AB599" s="1307">
        <f t="shared" si="49"/>
        <v>0</v>
      </c>
    </row>
    <row r="600" spans="20:28">
      <c r="T600" s="1077">
        <v>29</v>
      </c>
      <c r="U600" s="1077">
        <f t="shared" si="45"/>
        <v>28</v>
      </c>
      <c r="V600" s="1077">
        <v>43</v>
      </c>
      <c r="W600" s="1077">
        <f t="array" ref="W600">SUMPRODUCT(IF('卡片raw data'!BM$1:BM$1000=T600,1,0),IF('卡片raw data'!BO$1:BO$1000=V600,1,0),IF(IF('卡片raw data'!C$1:C$1000=R$3,1,0)+IF(R$3="",1,0)&gt;=1,1,0),IF(IF('卡片raw data'!D$1:D$1000=R$4,1,0)+IF(R$4="",1,0)&gt;=1,1,0),IF(IF('卡片raw data'!E$1:E$1000=R$5,1,0)+IF(R$5="",1,0)&gt;=1,1,0))</f>
        <v>0</v>
      </c>
      <c r="Y600" s="1307">
        <f t="shared" si="46"/>
        <v>43</v>
      </c>
      <c r="Z600" s="1307">
        <f t="shared" si="47"/>
        <v>0</v>
      </c>
      <c r="AA600" s="1307">
        <f t="shared" si="48"/>
        <v>43</v>
      </c>
      <c r="AB600" s="1307">
        <f t="shared" si="49"/>
        <v>0</v>
      </c>
    </row>
    <row r="601" spans="20:28">
      <c r="T601" s="1077">
        <v>29</v>
      </c>
      <c r="U601" s="1077">
        <f t="shared" si="45"/>
        <v>27</v>
      </c>
      <c r="V601" s="1077">
        <v>44</v>
      </c>
      <c r="W601" s="1077">
        <f t="array" ref="W601">SUMPRODUCT(IF('卡片raw data'!BM$1:BM$1000=T601,1,0),IF('卡片raw data'!BO$1:BO$1000=V601,1,0),IF(IF('卡片raw data'!C$1:C$1000=R$3,1,0)+IF(R$3="",1,0)&gt;=1,1,0),IF(IF('卡片raw data'!D$1:D$1000=R$4,1,0)+IF(R$4="",1,0)&gt;=1,1,0),IF(IF('卡片raw data'!E$1:E$1000=R$5,1,0)+IF(R$5="",1,0)&gt;=1,1,0))</f>
        <v>0</v>
      </c>
      <c r="Y601" s="1307">
        <f t="shared" si="46"/>
        <v>44</v>
      </c>
      <c r="Z601" s="1307">
        <f t="shared" si="47"/>
        <v>0</v>
      </c>
      <c r="AA601" s="1307">
        <f t="shared" si="48"/>
        <v>44</v>
      </c>
      <c r="AB601" s="1307">
        <f t="shared" si="49"/>
        <v>0</v>
      </c>
    </row>
    <row r="602" spans="20:28">
      <c r="T602" s="1077">
        <v>29</v>
      </c>
      <c r="U602" s="1077">
        <f t="shared" si="45"/>
        <v>26</v>
      </c>
      <c r="V602" s="1077">
        <v>45</v>
      </c>
      <c r="W602" s="1077">
        <f t="array" ref="W602">SUMPRODUCT(IF('卡片raw data'!BM$1:BM$1000=T602,1,0),IF('卡片raw data'!BO$1:BO$1000=V602,1,0),IF(IF('卡片raw data'!C$1:C$1000=R$3,1,0)+IF(R$3="",1,0)&gt;=1,1,0),IF(IF('卡片raw data'!D$1:D$1000=R$4,1,0)+IF(R$4="",1,0)&gt;=1,1,0),IF(IF('卡片raw data'!E$1:E$1000=R$5,1,0)+IF(R$5="",1,0)&gt;=1,1,0))</f>
        <v>0</v>
      </c>
      <c r="Y602" s="1307">
        <f t="shared" si="46"/>
        <v>45</v>
      </c>
      <c r="Z602" s="1307">
        <f t="shared" si="47"/>
        <v>0</v>
      </c>
      <c r="AA602" s="1307">
        <f t="shared" si="48"/>
        <v>45</v>
      </c>
      <c r="AB602" s="1307">
        <f t="shared" si="49"/>
        <v>0</v>
      </c>
    </row>
    <row r="603" spans="20:28">
      <c r="T603" s="1077">
        <v>29</v>
      </c>
      <c r="U603" s="1077">
        <f t="shared" si="45"/>
        <v>25</v>
      </c>
      <c r="V603" s="1077">
        <v>46</v>
      </c>
      <c r="W603" s="1077">
        <f t="array" ref="W603">SUMPRODUCT(IF('卡片raw data'!BM$1:BM$1000=T603,1,0),IF('卡片raw data'!BO$1:BO$1000=V603,1,0),IF(IF('卡片raw data'!C$1:C$1000=R$3,1,0)+IF(R$3="",1,0)&gt;=1,1,0),IF(IF('卡片raw data'!D$1:D$1000=R$4,1,0)+IF(R$4="",1,0)&gt;=1,1,0),IF(IF('卡片raw data'!E$1:E$1000=R$5,1,0)+IF(R$5="",1,0)&gt;=1,1,0))</f>
        <v>0</v>
      </c>
      <c r="Y603" s="1307">
        <f t="shared" si="46"/>
        <v>46</v>
      </c>
      <c r="Z603" s="1307">
        <f t="shared" si="47"/>
        <v>0</v>
      </c>
      <c r="AA603" s="1307">
        <f t="shared" si="48"/>
        <v>46</v>
      </c>
      <c r="AB603" s="1307">
        <f t="shared" si="49"/>
        <v>0</v>
      </c>
    </row>
    <row r="604" spans="20:28">
      <c r="T604" s="1077">
        <v>29</v>
      </c>
      <c r="U604" s="1077">
        <f t="shared" si="45"/>
        <v>24</v>
      </c>
      <c r="V604" s="1077">
        <v>47</v>
      </c>
      <c r="W604" s="1077">
        <f t="array" ref="W604">SUMPRODUCT(IF('卡片raw data'!BM$1:BM$1000=T604,1,0),IF('卡片raw data'!BO$1:BO$1000=V604,1,0),IF(IF('卡片raw data'!C$1:C$1000=R$3,1,0)+IF(R$3="",1,0)&gt;=1,1,0),IF(IF('卡片raw data'!D$1:D$1000=R$4,1,0)+IF(R$4="",1,0)&gt;=1,1,0),IF(IF('卡片raw data'!E$1:E$1000=R$5,1,0)+IF(R$5="",1,0)&gt;=1,1,0))</f>
        <v>0</v>
      </c>
      <c r="Y604" s="1307">
        <f t="shared" si="46"/>
        <v>47</v>
      </c>
      <c r="Z604" s="1307">
        <f t="shared" si="47"/>
        <v>0</v>
      </c>
      <c r="AA604" s="1307">
        <f t="shared" si="48"/>
        <v>47</v>
      </c>
      <c r="AB604" s="1307">
        <f t="shared" si="49"/>
        <v>0</v>
      </c>
    </row>
    <row r="605" spans="20:28">
      <c r="T605" s="1077">
        <v>29</v>
      </c>
      <c r="U605" s="1077">
        <f t="shared" si="45"/>
        <v>23</v>
      </c>
      <c r="V605" s="1077">
        <v>48</v>
      </c>
      <c r="W605" s="1077">
        <f t="array" ref="W605">SUMPRODUCT(IF('卡片raw data'!BM$1:BM$1000=T605,1,0),IF('卡片raw data'!BO$1:BO$1000=V605,1,0),IF(IF('卡片raw data'!C$1:C$1000=R$3,1,0)+IF(R$3="",1,0)&gt;=1,1,0),IF(IF('卡片raw data'!D$1:D$1000=R$4,1,0)+IF(R$4="",1,0)&gt;=1,1,0),IF(IF('卡片raw data'!E$1:E$1000=R$5,1,0)+IF(R$5="",1,0)&gt;=1,1,0))</f>
        <v>0</v>
      </c>
      <c r="Y605" s="1307">
        <f t="shared" si="46"/>
        <v>48</v>
      </c>
      <c r="Z605" s="1307">
        <f t="shared" si="47"/>
        <v>0</v>
      </c>
      <c r="AA605" s="1307">
        <f t="shared" si="48"/>
        <v>48</v>
      </c>
      <c r="AB605" s="1307">
        <f t="shared" si="49"/>
        <v>0</v>
      </c>
    </row>
    <row r="606" spans="20:28">
      <c r="T606" s="1077">
        <v>29</v>
      </c>
      <c r="U606" s="1077">
        <f t="shared" si="45"/>
        <v>22</v>
      </c>
      <c r="V606" s="1077">
        <v>49</v>
      </c>
      <c r="W606" s="1077">
        <f t="array" ref="W606">SUMPRODUCT(IF('卡片raw data'!BM$1:BM$1000=T606,1,0),IF('卡片raw data'!BO$1:BO$1000=V606,1,0),IF(IF('卡片raw data'!C$1:C$1000=R$3,1,0)+IF(R$3="",1,0)&gt;=1,1,0),IF(IF('卡片raw data'!D$1:D$1000=R$4,1,0)+IF(R$4="",1,0)&gt;=1,1,0),IF(IF('卡片raw data'!E$1:E$1000=R$5,1,0)+IF(R$5="",1,0)&gt;=1,1,0))</f>
        <v>0</v>
      </c>
      <c r="Y606" s="1307">
        <f t="shared" si="46"/>
        <v>49</v>
      </c>
      <c r="Z606" s="1307">
        <f t="shared" si="47"/>
        <v>0</v>
      </c>
      <c r="AA606" s="1307">
        <f t="shared" si="48"/>
        <v>49</v>
      </c>
      <c r="AB606" s="1307">
        <f t="shared" si="49"/>
        <v>0</v>
      </c>
    </row>
    <row r="607" spans="20:28">
      <c r="T607" s="1077">
        <v>29</v>
      </c>
      <c r="U607" s="1077">
        <f t="shared" si="45"/>
        <v>21</v>
      </c>
      <c r="V607" s="1077">
        <v>50</v>
      </c>
      <c r="W607" s="1077">
        <f t="array" ref="W607">SUMPRODUCT(IF('卡片raw data'!BM$1:BM$1000=T607,1,0),IF('卡片raw data'!BO$1:BO$1000=V607,1,0),IF(IF('卡片raw data'!C$1:C$1000=R$3,1,0)+IF(R$3="",1,0)&gt;=1,1,0),IF(IF('卡片raw data'!D$1:D$1000=R$4,1,0)+IF(R$4="",1,0)&gt;=1,1,0),IF(IF('卡片raw data'!E$1:E$1000=R$5,1,0)+IF(R$5="",1,0)&gt;=1,1,0))</f>
        <v>0</v>
      </c>
      <c r="Y607" s="1307">
        <f t="shared" si="46"/>
        <v>50</v>
      </c>
      <c r="Z607" s="1307">
        <f t="shared" si="47"/>
        <v>0</v>
      </c>
      <c r="AA607" s="1307">
        <f t="shared" si="48"/>
        <v>50</v>
      </c>
      <c r="AB607" s="1307">
        <f t="shared" si="49"/>
        <v>0</v>
      </c>
    </row>
    <row r="608" spans="20:28">
      <c r="T608" s="1077">
        <v>29</v>
      </c>
      <c r="U608" s="1077">
        <f t="shared" si="45"/>
        <v>20</v>
      </c>
      <c r="V608" s="1077">
        <v>51</v>
      </c>
      <c r="W608" s="1077">
        <f t="array" ref="W608">SUMPRODUCT(IF('卡片raw data'!BM$1:BM$1000=T608,1,0),IF('卡片raw data'!BO$1:BO$1000=V608,1,0),IF(IF('卡片raw data'!C$1:C$1000=R$3,1,0)+IF(R$3="",1,0)&gt;=1,1,0),IF(IF('卡片raw data'!D$1:D$1000=R$4,1,0)+IF(R$4="",1,0)&gt;=1,1,0),IF(IF('卡片raw data'!E$1:E$1000=R$5,1,0)+IF(R$5="",1,0)&gt;=1,1,0))</f>
        <v>0</v>
      </c>
      <c r="Y608" s="1307">
        <f t="shared" si="46"/>
        <v>51</v>
      </c>
      <c r="Z608" s="1307">
        <f t="shared" si="47"/>
        <v>0</v>
      </c>
      <c r="AA608" s="1307">
        <f t="shared" si="48"/>
        <v>51</v>
      </c>
      <c r="AB608" s="1307">
        <f t="shared" si="49"/>
        <v>0</v>
      </c>
    </row>
    <row r="609" spans="20:28">
      <c r="T609" s="1077">
        <v>29</v>
      </c>
      <c r="U609" s="1077">
        <f t="shared" si="45"/>
        <v>19</v>
      </c>
      <c r="V609" s="1077">
        <v>52</v>
      </c>
      <c r="W609" s="1077">
        <f t="array" ref="W609">SUMPRODUCT(IF('卡片raw data'!BM$1:BM$1000=T609,1,0),IF('卡片raw data'!BO$1:BO$1000=V609,1,0),IF(IF('卡片raw data'!C$1:C$1000=R$3,1,0)+IF(R$3="",1,0)&gt;=1,1,0),IF(IF('卡片raw data'!D$1:D$1000=R$4,1,0)+IF(R$4="",1,0)&gt;=1,1,0),IF(IF('卡片raw data'!E$1:E$1000=R$5,1,0)+IF(R$5="",1,0)&gt;=1,1,0))</f>
        <v>0</v>
      </c>
      <c r="Y609" s="1307">
        <f t="shared" si="46"/>
        <v>52</v>
      </c>
      <c r="Z609" s="1307">
        <f t="shared" si="47"/>
        <v>0</v>
      </c>
      <c r="AA609" s="1307">
        <f t="shared" si="48"/>
        <v>52</v>
      </c>
      <c r="AB609" s="1307">
        <f t="shared" si="49"/>
        <v>0</v>
      </c>
    </row>
    <row r="610" spans="20:28">
      <c r="T610" s="1077">
        <v>29</v>
      </c>
      <c r="U610" s="1077">
        <f t="shared" si="45"/>
        <v>18</v>
      </c>
      <c r="V610" s="1077">
        <v>53</v>
      </c>
      <c r="W610" s="1077">
        <f t="array" ref="W610">SUMPRODUCT(IF('卡片raw data'!BM$1:BM$1000=T610,1,0),IF('卡片raw data'!BO$1:BO$1000=V610,1,0),IF(IF('卡片raw data'!C$1:C$1000=R$3,1,0)+IF(R$3="",1,0)&gt;=1,1,0),IF(IF('卡片raw data'!D$1:D$1000=R$4,1,0)+IF(R$4="",1,0)&gt;=1,1,0),IF(IF('卡片raw data'!E$1:E$1000=R$5,1,0)+IF(R$5="",1,0)&gt;=1,1,0))</f>
        <v>0</v>
      </c>
      <c r="Y610" s="1307">
        <f t="shared" si="46"/>
        <v>53</v>
      </c>
      <c r="Z610" s="1307">
        <f t="shared" si="47"/>
        <v>0</v>
      </c>
      <c r="AA610" s="1307">
        <f t="shared" si="48"/>
        <v>53</v>
      </c>
      <c r="AB610" s="1307">
        <f t="shared" si="49"/>
        <v>0</v>
      </c>
    </row>
    <row r="611" spans="20:28">
      <c r="T611" s="1077">
        <v>29</v>
      </c>
      <c r="U611" s="1077">
        <f t="shared" si="45"/>
        <v>17</v>
      </c>
      <c r="V611" s="1077">
        <v>54</v>
      </c>
      <c r="W611" s="1077">
        <f t="array" ref="W611">SUMPRODUCT(IF('卡片raw data'!BM$1:BM$1000=T611,1,0),IF('卡片raw data'!BO$1:BO$1000=V611,1,0),IF(IF('卡片raw data'!C$1:C$1000=R$3,1,0)+IF(R$3="",1,0)&gt;=1,1,0),IF(IF('卡片raw data'!D$1:D$1000=R$4,1,0)+IF(R$4="",1,0)&gt;=1,1,0),IF(IF('卡片raw data'!E$1:E$1000=R$5,1,0)+IF(R$5="",1,0)&gt;=1,1,0))</f>
        <v>0</v>
      </c>
      <c r="Y611" s="1307">
        <f t="shared" si="46"/>
        <v>54</v>
      </c>
      <c r="Z611" s="1307">
        <f t="shared" si="47"/>
        <v>0</v>
      </c>
      <c r="AA611" s="1307">
        <f t="shared" si="48"/>
        <v>54</v>
      </c>
      <c r="AB611" s="1307">
        <f t="shared" si="49"/>
        <v>0</v>
      </c>
    </row>
    <row r="612" spans="20:28">
      <c r="T612" s="1077">
        <v>29</v>
      </c>
      <c r="U612" s="1077">
        <f t="shared" si="45"/>
        <v>16</v>
      </c>
      <c r="V612" s="1077">
        <v>55</v>
      </c>
      <c r="W612" s="1077">
        <f t="array" ref="W612">SUMPRODUCT(IF('卡片raw data'!BM$1:BM$1000=T612,1,0),IF('卡片raw data'!BO$1:BO$1000=V612,1,0),IF(IF('卡片raw data'!C$1:C$1000=R$3,1,0)+IF(R$3="",1,0)&gt;=1,1,0),IF(IF('卡片raw data'!D$1:D$1000=R$4,1,0)+IF(R$4="",1,0)&gt;=1,1,0),IF(IF('卡片raw data'!E$1:E$1000=R$5,1,0)+IF(R$5="",1,0)&gt;=1,1,0))</f>
        <v>0</v>
      </c>
      <c r="Y612" s="1307">
        <f t="shared" si="46"/>
        <v>55</v>
      </c>
      <c r="Z612" s="1307">
        <f t="shared" si="47"/>
        <v>0</v>
      </c>
      <c r="AA612" s="1307">
        <f t="shared" si="48"/>
        <v>55</v>
      </c>
      <c r="AB612" s="1307">
        <f t="shared" si="49"/>
        <v>0</v>
      </c>
    </row>
    <row r="613" spans="20:28">
      <c r="T613" s="1077">
        <v>30</v>
      </c>
      <c r="U613" s="1077">
        <f t="shared" si="45"/>
        <v>55</v>
      </c>
      <c r="V613" s="1077">
        <v>15</v>
      </c>
      <c r="W613" s="1077">
        <f t="array" ref="W613">SUMPRODUCT(IF('卡片raw data'!BM$1:BM$1000=T613,1,0),IF('卡片raw data'!BO$1:BO$1000=V613,1,0),IF(IF('卡片raw data'!C$1:C$1000=R$3,1,0)+IF(R$3="",1,0)&gt;=1,1,0),IF(IF('卡片raw data'!D$1:D$1000=R$4,1,0)+IF(R$4="",1,0)&gt;=1,1,0),IF(IF('卡片raw data'!E$1:E$1000=R$5,1,0)+IF(R$5="",1,0)&gt;=1,1,0))</f>
        <v>0</v>
      </c>
      <c r="Y613" s="1307">
        <f t="shared" si="46"/>
        <v>15</v>
      </c>
      <c r="Z613" s="1307">
        <f t="shared" si="47"/>
        <v>0</v>
      </c>
      <c r="AA613" s="1307">
        <f t="shared" si="48"/>
        <v>15</v>
      </c>
      <c r="AB613" s="1307">
        <f t="shared" si="49"/>
        <v>0</v>
      </c>
    </row>
    <row r="614" spans="20:28">
      <c r="T614" s="1077">
        <v>30</v>
      </c>
      <c r="U614" s="1077">
        <f t="shared" si="45"/>
        <v>54</v>
      </c>
      <c r="V614" s="1077">
        <v>16</v>
      </c>
      <c r="W614" s="1077">
        <f t="array" ref="W614">SUMPRODUCT(IF('卡片raw data'!BM$1:BM$1000=T614,1,0),IF('卡片raw data'!BO$1:BO$1000=V614,1,0),IF(IF('卡片raw data'!C$1:C$1000=R$3,1,0)+IF(R$3="",1,0)&gt;=1,1,0),IF(IF('卡片raw data'!D$1:D$1000=R$4,1,0)+IF(R$4="",1,0)&gt;=1,1,0),IF(IF('卡片raw data'!E$1:E$1000=R$5,1,0)+IF(R$5="",1,0)&gt;=1,1,0))</f>
        <v>0</v>
      </c>
      <c r="Y614" s="1307">
        <f t="shared" si="46"/>
        <v>16</v>
      </c>
      <c r="Z614" s="1307">
        <f t="shared" si="47"/>
        <v>0</v>
      </c>
      <c r="AA614" s="1307">
        <f t="shared" si="48"/>
        <v>16</v>
      </c>
      <c r="AB614" s="1307">
        <f t="shared" si="49"/>
        <v>0</v>
      </c>
    </row>
    <row r="615" spans="20:28">
      <c r="T615" s="1077">
        <v>30</v>
      </c>
      <c r="U615" s="1077">
        <f t="shared" si="45"/>
        <v>53</v>
      </c>
      <c r="V615" s="1077">
        <v>17</v>
      </c>
      <c r="W615" s="1077">
        <f t="array" ref="W615">SUMPRODUCT(IF('卡片raw data'!BM$1:BM$1000=T615,1,0),IF('卡片raw data'!BO$1:BO$1000=V615,1,0),IF(IF('卡片raw data'!C$1:C$1000=R$3,1,0)+IF(R$3="",1,0)&gt;=1,1,0),IF(IF('卡片raw data'!D$1:D$1000=R$4,1,0)+IF(R$4="",1,0)&gt;=1,1,0),IF(IF('卡片raw data'!E$1:E$1000=R$5,1,0)+IF(R$5="",1,0)&gt;=1,1,0))</f>
        <v>0</v>
      </c>
      <c r="Y615" s="1307">
        <f t="shared" si="46"/>
        <v>17</v>
      </c>
      <c r="Z615" s="1307">
        <f t="shared" si="47"/>
        <v>0</v>
      </c>
      <c r="AA615" s="1307">
        <f t="shared" si="48"/>
        <v>17</v>
      </c>
      <c r="AB615" s="1307">
        <f t="shared" si="49"/>
        <v>0</v>
      </c>
    </row>
    <row r="616" spans="20:28">
      <c r="T616" s="1077">
        <v>30</v>
      </c>
      <c r="U616" s="1077">
        <f t="shared" si="45"/>
        <v>52</v>
      </c>
      <c r="V616" s="1077">
        <v>18</v>
      </c>
      <c r="W616" s="1077">
        <f t="array" ref="W616">SUMPRODUCT(IF('卡片raw data'!BM$1:BM$1000=T616,1,0),IF('卡片raw data'!BO$1:BO$1000=V616,1,0),IF(IF('卡片raw data'!C$1:C$1000=R$3,1,0)+IF(R$3="",1,0)&gt;=1,1,0),IF(IF('卡片raw data'!D$1:D$1000=R$4,1,0)+IF(R$4="",1,0)&gt;=1,1,0),IF(IF('卡片raw data'!E$1:E$1000=R$5,1,0)+IF(R$5="",1,0)&gt;=1,1,0))</f>
        <v>0</v>
      </c>
      <c r="Y616" s="1307">
        <f t="shared" si="46"/>
        <v>18</v>
      </c>
      <c r="Z616" s="1307">
        <f t="shared" si="47"/>
        <v>0</v>
      </c>
      <c r="AA616" s="1307">
        <f t="shared" si="48"/>
        <v>18</v>
      </c>
      <c r="AB616" s="1307">
        <f t="shared" si="49"/>
        <v>0</v>
      </c>
    </row>
    <row r="617" spans="20:28">
      <c r="T617" s="1077">
        <v>30</v>
      </c>
      <c r="U617" s="1077">
        <f t="shared" si="45"/>
        <v>51</v>
      </c>
      <c r="V617" s="1077">
        <v>19</v>
      </c>
      <c r="W617" s="1077">
        <f t="array" ref="W617">SUMPRODUCT(IF('卡片raw data'!BM$1:BM$1000=T617,1,0),IF('卡片raw data'!BO$1:BO$1000=V617,1,0),IF(IF('卡片raw data'!C$1:C$1000=R$3,1,0)+IF(R$3="",1,0)&gt;=1,1,0),IF(IF('卡片raw data'!D$1:D$1000=R$4,1,0)+IF(R$4="",1,0)&gt;=1,1,0),IF(IF('卡片raw data'!E$1:E$1000=R$5,1,0)+IF(R$5="",1,0)&gt;=1,1,0))</f>
        <v>0</v>
      </c>
      <c r="Y617" s="1307">
        <f t="shared" si="46"/>
        <v>19</v>
      </c>
      <c r="Z617" s="1307">
        <f t="shared" si="47"/>
        <v>0</v>
      </c>
      <c r="AA617" s="1307">
        <f t="shared" si="48"/>
        <v>19</v>
      </c>
      <c r="AB617" s="1307">
        <f t="shared" si="49"/>
        <v>0</v>
      </c>
    </row>
    <row r="618" spans="20:28">
      <c r="T618" s="1077">
        <v>30</v>
      </c>
      <c r="U618" s="1077">
        <f t="shared" si="45"/>
        <v>50</v>
      </c>
      <c r="V618" s="1077">
        <v>20</v>
      </c>
      <c r="W618" s="1077">
        <f t="array" ref="W618">SUMPRODUCT(IF('卡片raw data'!BM$1:BM$1000=T618,1,0),IF('卡片raw data'!BO$1:BO$1000=V618,1,0),IF(IF('卡片raw data'!C$1:C$1000=R$3,1,0)+IF(R$3="",1,0)&gt;=1,1,0),IF(IF('卡片raw data'!D$1:D$1000=R$4,1,0)+IF(R$4="",1,0)&gt;=1,1,0),IF(IF('卡片raw data'!E$1:E$1000=R$5,1,0)+IF(R$5="",1,0)&gt;=1,1,0))</f>
        <v>0</v>
      </c>
      <c r="Y618" s="1307">
        <f t="shared" si="46"/>
        <v>20</v>
      </c>
      <c r="Z618" s="1307">
        <f t="shared" si="47"/>
        <v>0</v>
      </c>
      <c r="AA618" s="1307">
        <f t="shared" si="48"/>
        <v>20</v>
      </c>
      <c r="AB618" s="1307">
        <f t="shared" si="49"/>
        <v>0</v>
      </c>
    </row>
    <row r="619" spans="20:28">
      <c r="T619" s="1077">
        <v>30</v>
      </c>
      <c r="U619" s="1077">
        <f t="shared" si="45"/>
        <v>49</v>
      </c>
      <c r="V619" s="1077">
        <v>21</v>
      </c>
      <c r="W619" s="1077">
        <f t="array" ref="W619">SUMPRODUCT(IF('卡片raw data'!BM$1:BM$1000=T619,1,0),IF('卡片raw data'!BO$1:BO$1000=V619,1,0),IF(IF('卡片raw data'!C$1:C$1000=R$3,1,0)+IF(R$3="",1,0)&gt;=1,1,0),IF(IF('卡片raw data'!D$1:D$1000=R$4,1,0)+IF(R$4="",1,0)&gt;=1,1,0),IF(IF('卡片raw data'!E$1:E$1000=R$5,1,0)+IF(R$5="",1,0)&gt;=1,1,0))</f>
        <v>0</v>
      </c>
      <c r="Y619" s="1307">
        <f t="shared" si="46"/>
        <v>21</v>
      </c>
      <c r="Z619" s="1307">
        <f t="shared" si="47"/>
        <v>0</v>
      </c>
      <c r="AA619" s="1307">
        <f t="shared" si="48"/>
        <v>21</v>
      </c>
      <c r="AB619" s="1307">
        <f t="shared" si="49"/>
        <v>0</v>
      </c>
    </row>
    <row r="620" spans="20:28">
      <c r="T620" s="1077">
        <v>30</v>
      </c>
      <c r="U620" s="1077">
        <f t="shared" si="45"/>
        <v>48</v>
      </c>
      <c r="V620" s="1077">
        <v>22</v>
      </c>
      <c r="W620" s="1077">
        <f t="array" ref="W620">SUMPRODUCT(IF('卡片raw data'!BM$1:BM$1000=T620,1,0),IF('卡片raw data'!BO$1:BO$1000=V620,1,0),IF(IF('卡片raw data'!C$1:C$1000=R$3,1,0)+IF(R$3="",1,0)&gt;=1,1,0),IF(IF('卡片raw data'!D$1:D$1000=R$4,1,0)+IF(R$4="",1,0)&gt;=1,1,0),IF(IF('卡片raw data'!E$1:E$1000=R$5,1,0)+IF(R$5="",1,0)&gt;=1,1,0))</f>
        <v>0</v>
      </c>
      <c r="Y620" s="1307">
        <f t="shared" si="46"/>
        <v>22</v>
      </c>
      <c r="Z620" s="1307">
        <f t="shared" si="47"/>
        <v>0</v>
      </c>
      <c r="AA620" s="1307">
        <f t="shared" si="48"/>
        <v>22</v>
      </c>
      <c r="AB620" s="1307">
        <f t="shared" si="49"/>
        <v>0</v>
      </c>
    </row>
    <row r="621" spans="20:28">
      <c r="T621" s="1077">
        <v>30</v>
      </c>
      <c r="U621" s="1077">
        <f t="shared" si="45"/>
        <v>47</v>
      </c>
      <c r="V621" s="1077">
        <v>23</v>
      </c>
      <c r="W621" s="1077">
        <f t="array" ref="W621">SUMPRODUCT(IF('卡片raw data'!BM$1:BM$1000=T621,1,0),IF('卡片raw data'!BO$1:BO$1000=V621,1,0),IF(IF('卡片raw data'!C$1:C$1000=R$3,1,0)+IF(R$3="",1,0)&gt;=1,1,0),IF(IF('卡片raw data'!D$1:D$1000=R$4,1,0)+IF(R$4="",1,0)&gt;=1,1,0),IF(IF('卡片raw data'!E$1:E$1000=R$5,1,0)+IF(R$5="",1,0)&gt;=1,1,0))</f>
        <v>1</v>
      </c>
      <c r="Y621" s="1307">
        <f t="shared" si="46"/>
        <v>23</v>
      </c>
      <c r="Z621" s="1307">
        <f t="shared" si="47"/>
        <v>0</v>
      </c>
      <c r="AA621" s="1307">
        <f t="shared" si="48"/>
        <v>23</v>
      </c>
      <c r="AB621" s="1307">
        <f t="shared" si="49"/>
        <v>1</v>
      </c>
    </row>
    <row r="622" spans="20:28">
      <c r="T622" s="1077">
        <v>30</v>
      </c>
      <c r="U622" s="1077">
        <f t="shared" si="45"/>
        <v>46</v>
      </c>
      <c r="V622" s="1077">
        <v>24</v>
      </c>
      <c r="W622" s="1077">
        <f t="array" ref="W622">SUMPRODUCT(IF('卡片raw data'!BM$1:BM$1000=T622,1,0),IF('卡片raw data'!BO$1:BO$1000=V622,1,0),IF(IF('卡片raw data'!C$1:C$1000=R$3,1,0)+IF(R$3="",1,0)&gt;=1,1,0),IF(IF('卡片raw data'!D$1:D$1000=R$4,1,0)+IF(R$4="",1,0)&gt;=1,1,0),IF(IF('卡片raw data'!E$1:E$1000=R$5,1,0)+IF(R$5="",1,0)&gt;=1,1,0))</f>
        <v>0</v>
      </c>
      <c r="Y622" s="1307">
        <f t="shared" si="46"/>
        <v>24</v>
      </c>
      <c r="Z622" s="1307">
        <f t="shared" si="47"/>
        <v>0</v>
      </c>
      <c r="AA622" s="1307">
        <f t="shared" si="48"/>
        <v>24</v>
      </c>
      <c r="AB622" s="1307">
        <f t="shared" si="49"/>
        <v>0</v>
      </c>
    </row>
    <row r="623" spans="20:28">
      <c r="T623" s="1077">
        <v>30</v>
      </c>
      <c r="U623" s="1077">
        <f t="shared" si="45"/>
        <v>45</v>
      </c>
      <c r="V623" s="1077">
        <v>25</v>
      </c>
      <c r="W623" s="1077">
        <f t="array" ref="W623">SUMPRODUCT(IF('卡片raw data'!BM$1:BM$1000=T623,1,0),IF('卡片raw data'!BO$1:BO$1000=V623,1,0),IF(IF('卡片raw data'!C$1:C$1000=R$3,1,0)+IF(R$3="",1,0)&gt;=1,1,0),IF(IF('卡片raw data'!D$1:D$1000=R$4,1,0)+IF(R$4="",1,0)&gt;=1,1,0),IF(IF('卡片raw data'!E$1:E$1000=R$5,1,0)+IF(R$5="",1,0)&gt;=1,1,0))</f>
        <v>5</v>
      </c>
      <c r="Y623" s="1307">
        <f t="shared" si="46"/>
        <v>25</v>
      </c>
      <c r="Z623" s="1307">
        <f t="shared" si="47"/>
        <v>0</v>
      </c>
      <c r="AA623" s="1307">
        <f t="shared" si="48"/>
        <v>25</v>
      </c>
      <c r="AB623" s="1307">
        <f t="shared" si="49"/>
        <v>5</v>
      </c>
    </row>
    <row r="624" spans="20:28">
      <c r="T624" s="1077">
        <v>30</v>
      </c>
      <c r="U624" s="1077">
        <f t="shared" si="45"/>
        <v>44</v>
      </c>
      <c r="V624" s="1077">
        <v>26</v>
      </c>
      <c r="W624" s="1077">
        <f t="array" ref="W624">SUMPRODUCT(IF('卡片raw data'!BM$1:BM$1000=T624,1,0),IF('卡片raw data'!BO$1:BO$1000=V624,1,0),IF(IF('卡片raw data'!C$1:C$1000=R$3,1,0)+IF(R$3="",1,0)&gt;=1,1,0),IF(IF('卡片raw data'!D$1:D$1000=R$4,1,0)+IF(R$4="",1,0)&gt;=1,1,0),IF(IF('卡片raw data'!E$1:E$1000=R$5,1,0)+IF(R$5="",1,0)&gt;=1,1,0))</f>
        <v>1</v>
      </c>
      <c r="Y624" s="1307">
        <f t="shared" si="46"/>
        <v>26</v>
      </c>
      <c r="Z624" s="1307">
        <f t="shared" si="47"/>
        <v>0</v>
      </c>
      <c r="AA624" s="1307">
        <f t="shared" si="48"/>
        <v>26</v>
      </c>
      <c r="AB624" s="1307">
        <f t="shared" si="49"/>
        <v>1</v>
      </c>
    </row>
    <row r="625" spans="20:28">
      <c r="T625" s="1077">
        <v>30</v>
      </c>
      <c r="U625" s="1077">
        <f t="shared" si="45"/>
        <v>43</v>
      </c>
      <c r="V625" s="1077">
        <v>27</v>
      </c>
      <c r="W625" s="1077">
        <f t="array" ref="W625">SUMPRODUCT(IF('卡片raw data'!BM$1:BM$1000=T625,1,0),IF('卡片raw data'!BO$1:BO$1000=V625,1,0),IF(IF('卡片raw data'!C$1:C$1000=R$3,1,0)+IF(R$3="",1,0)&gt;=1,1,0),IF(IF('卡片raw data'!D$1:D$1000=R$4,1,0)+IF(R$4="",1,0)&gt;=1,1,0),IF(IF('卡片raw data'!E$1:E$1000=R$5,1,0)+IF(R$5="",1,0)&gt;=1,1,0))</f>
        <v>0</v>
      </c>
      <c r="Y625" s="1307">
        <f t="shared" si="46"/>
        <v>27</v>
      </c>
      <c r="Z625" s="1307">
        <f t="shared" si="47"/>
        <v>0</v>
      </c>
      <c r="AA625" s="1307">
        <f t="shared" si="48"/>
        <v>27</v>
      </c>
      <c r="AB625" s="1307">
        <f t="shared" si="49"/>
        <v>0</v>
      </c>
    </row>
    <row r="626" spans="20:28">
      <c r="T626" s="1077">
        <v>30</v>
      </c>
      <c r="U626" s="1077">
        <f t="shared" si="45"/>
        <v>42</v>
      </c>
      <c r="V626" s="1077">
        <v>28</v>
      </c>
      <c r="W626" s="1077">
        <f t="array" ref="W626">SUMPRODUCT(IF('卡片raw data'!BM$1:BM$1000=T626,1,0),IF('卡片raw data'!BO$1:BO$1000=V626,1,0),IF(IF('卡片raw data'!C$1:C$1000=R$3,1,0)+IF(R$3="",1,0)&gt;=1,1,0),IF(IF('卡片raw data'!D$1:D$1000=R$4,1,0)+IF(R$4="",1,0)&gt;=1,1,0),IF(IF('卡片raw data'!E$1:E$1000=R$5,1,0)+IF(R$5="",1,0)&gt;=1,1,0))</f>
        <v>2</v>
      </c>
      <c r="Y626" s="1307">
        <f t="shared" si="46"/>
        <v>28</v>
      </c>
      <c r="Z626" s="1307">
        <f t="shared" si="47"/>
        <v>0</v>
      </c>
      <c r="AA626" s="1307">
        <f t="shared" si="48"/>
        <v>28</v>
      </c>
      <c r="AB626" s="1307">
        <f t="shared" si="49"/>
        <v>2</v>
      </c>
    </row>
    <row r="627" spans="20:28">
      <c r="T627" s="1077">
        <v>30</v>
      </c>
      <c r="U627" s="1077">
        <f t="shared" si="45"/>
        <v>41</v>
      </c>
      <c r="V627" s="1077">
        <v>29</v>
      </c>
      <c r="W627" s="1077">
        <f t="array" ref="W627">SUMPRODUCT(IF('卡片raw data'!BM$1:BM$1000=T627,1,0),IF('卡片raw data'!BO$1:BO$1000=V627,1,0),IF(IF('卡片raw data'!C$1:C$1000=R$3,1,0)+IF(R$3="",1,0)&gt;=1,1,0),IF(IF('卡片raw data'!D$1:D$1000=R$4,1,0)+IF(R$4="",1,0)&gt;=1,1,0),IF(IF('卡片raw data'!E$1:E$1000=R$5,1,0)+IF(R$5="",1,0)&gt;=1,1,0))</f>
        <v>2</v>
      </c>
      <c r="Y627" s="1307">
        <f t="shared" si="46"/>
        <v>29</v>
      </c>
      <c r="Z627" s="1307">
        <f t="shared" si="47"/>
        <v>0</v>
      </c>
      <c r="AA627" s="1307">
        <f t="shared" si="48"/>
        <v>29</v>
      </c>
      <c r="AB627" s="1307">
        <f t="shared" si="49"/>
        <v>2</v>
      </c>
    </row>
    <row r="628" spans="20:28">
      <c r="T628" s="1077">
        <v>30</v>
      </c>
      <c r="U628" s="1077">
        <f t="shared" si="45"/>
        <v>40</v>
      </c>
      <c r="V628" s="1077">
        <v>30</v>
      </c>
      <c r="W628" s="1077">
        <f t="array" ref="W628">SUMPRODUCT(IF('卡片raw data'!BM$1:BM$1000=T628,1,0),IF('卡片raw data'!BO$1:BO$1000=V628,1,0),IF(IF('卡片raw data'!C$1:C$1000=R$3,1,0)+IF(R$3="",1,0)&gt;=1,1,0),IF(IF('卡片raw data'!D$1:D$1000=R$4,1,0)+IF(R$4="",1,0)&gt;=1,1,0),IF(IF('卡片raw data'!E$1:E$1000=R$5,1,0)+IF(R$5="",1,0)&gt;=1,1,0))</f>
        <v>24</v>
      </c>
      <c r="Y628" s="1307">
        <f t="shared" si="46"/>
        <v>30</v>
      </c>
      <c r="Z628" s="1307">
        <f t="shared" si="47"/>
        <v>0</v>
      </c>
      <c r="AA628" s="1307">
        <f t="shared" si="48"/>
        <v>30</v>
      </c>
      <c r="AB628" s="1307">
        <f t="shared" si="49"/>
        <v>24</v>
      </c>
    </row>
    <row r="629" spans="20:28">
      <c r="T629" s="1077">
        <v>30</v>
      </c>
      <c r="U629" s="1077">
        <f t="shared" si="45"/>
        <v>39</v>
      </c>
      <c r="V629" s="1077">
        <v>31</v>
      </c>
      <c r="W629" s="1077">
        <f t="array" ref="W629">SUMPRODUCT(IF('卡片raw data'!BM$1:BM$1000=T629,1,0),IF('卡片raw data'!BO$1:BO$1000=V629,1,0),IF(IF('卡片raw data'!C$1:C$1000=R$3,1,0)+IF(R$3="",1,0)&gt;=1,1,0),IF(IF('卡片raw data'!D$1:D$1000=R$4,1,0)+IF(R$4="",1,0)&gt;=1,1,0),IF(IF('卡片raw data'!E$1:E$1000=R$5,1,0)+IF(R$5="",1,0)&gt;=1,1,0))</f>
        <v>0</v>
      </c>
      <c r="Y629" s="1307">
        <f t="shared" si="46"/>
        <v>31</v>
      </c>
      <c r="Z629" s="1307">
        <f t="shared" si="47"/>
        <v>0</v>
      </c>
      <c r="AA629" s="1307">
        <f t="shared" si="48"/>
        <v>31</v>
      </c>
      <c r="AB629" s="1307">
        <f t="shared" si="49"/>
        <v>0</v>
      </c>
    </row>
    <row r="630" spans="20:28">
      <c r="T630" s="1077">
        <v>30</v>
      </c>
      <c r="U630" s="1077">
        <f t="shared" si="45"/>
        <v>38</v>
      </c>
      <c r="V630" s="1077">
        <v>32</v>
      </c>
      <c r="W630" s="1077">
        <f t="array" ref="W630">SUMPRODUCT(IF('卡片raw data'!BM$1:BM$1000=T630,1,0),IF('卡片raw data'!BO$1:BO$1000=V630,1,0),IF(IF('卡片raw data'!C$1:C$1000=R$3,1,0)+IF(R$3="",1,0)&gt;=1,1,0),IF(IF('卡片raw data'!D$1:D$1000=R$4,1,0)+IF(R$4="",1,0)&gt;=1,1,0),IF(IF('卡片raw data'!E$1:E$1000=R$5,1,0)+IF(R$5="",1,0)&gt;=1,1,0))</f>
        <v>5</v>
      </c>
      <c r="Y630" s="1307">
        <f t="shared" si="46"/>
        <v>32</v>
      </c>
      <c r="Z630" s="1307">
        <f t="shared" si="47"/>
        <v>0</v>
      </c>
      <c r="AA630" s="1307">
        <f t="shared" si="48"/>
        <v>32</v>
      </c>
      <c r="AB630" s="1307">
        <f t="shared" si="49"/>
        <v>5</v>
      </c>
    </row>
    <row r="631" spans="20:28">
      <c r="T631" s="1077">
        <v>30</v>
      </c>
      <c r="U631" s="1077">
        <f t="shared" si="45"/>
        <v>37</v>
      </c>
      <c r="V631" s="1077">
        <v>33</v>
      </c>
      <c r="W631" s="1077">
        <f t="array" ref="W631">SUMPRODUCT(IF('卡片raw data'!BM$1:BM$1000=T631,1,0),IF('卡片raw data'!BO$1:BO$1000=V631,1,0),IF(IF('卡片raw data'!C$1:C$1000=R$3,1,0)+IF(R$3="",1,0)&gt;=1,1,0),IF(IF('卡片raw data'!D$1:D$1000=R$4,1,0)+IF(R$4="",1,0)&gt;=1,1,0),IF(IF('卡片raw data'!E$1:E$1000=R$5,1,0)+IF(R$5="",1,0)&gt;=1,1,0))</f>
        <v>0</v>
      </c>
      <c r="Y631" s="1307">
        <f t="shared" si="46"/>
        <v>33</v>
      </c>
      <c r="Z631" s="1307">
        <f t="shared" si="47"/>
        <v>0</v>
      </c>
      <c r="AA631" s="1307">
        <f t="shared" si="48"/>
        <v>33</v>
      </c>
      <c r="AB631" s="1307">
        <f t="shared" si="49"/>
        <v>0</v>
      </c>
    </row>
    <row r="632" spans="20:28">
      <c r="T632" s="1077">
        <v>30</v>
      </c>
      <c r="U632" s="1077">
        <f t="shared" si="45"/>
        <v>36</v>
      </c>
      <c r="V632" s="1077">
        <v>34</v>
      </c>
      <c r="W632" s="1077">
        <f t="array" ref="W632">SUMPRODUCT(IF('卡片raw data'!BM$1:BM$1000=T632,1,0),IF('卡片raw data'!BO$1:BO$1000=V632,1,0),IF(IF('卡片raw data'!C$1:C$1000=R$3,1,0)+IF(R$3="",1,0)&gt;=1,1,0),IF(IF('卡片raw data'!D$1:D$1000=R$4,1,0)+IF(R$4="",1,0)&gt;=1,1,0),IF(IF('卡片raw data'!E$1:E$1000=R$5,1,0)+IF(R$5="",1,0)&gt;=1,1,0))</f>
        <v>0</v>
      </c>
      <c r="Y632" s="1307">
        <f t="shared" si="46"/>
        <v>34</v>
      </c>
      <c r="Z632" s="1307">
        <f t="shared" si="47"/>
        <v>0</v>
      </c>
      <c r="AA632" s="1307">
        <f t="shared" si="48"/>
        <v>34</v>
      </c>
      <c r="AB632" s="1307">
        <f t="shared" si="49"/>
        <v>0</v>
      </c>
    </row>
    <row r="633" spans="20:28">
      <c r="T633" s="1077">
        <v>30</v>
      </c>
      <c r="U633" s="1077">
        <f t="shared" si="45"/>
        <v>35</v>
      </c>
      <c r="V633" s="1077">
        <v>35</v>
      </c>
      <c r="W633" s="1077">
        <f t="array" ref="W633">SUMPRODUCT(IF('卡片raw data'!BM$1:BM$1000=T633,1,0),IF('卡片raw data'!BO$1:BO$1000=V633,1,0),IF(IF('卡片raw data'!C$1:C$1000=R$3,1,0)+IF(R$3="",1,0)&gt;=1,1,0),IF(IF('卡片raw data'!D$1:D$1000=R$4,1,0)+IF(R$4="",1,0)&gt;=1,1,0),IF(IF('卡片raw data'!E$1:E$1000=R$5,1,0)+IF(R$5="",1,0)&gt;=1,1,0))</f>
        <v>25</v>
      </c>
      <c r="Y633" s="1307">
        <f t="shared" si="46"/>
        <v>35</v>
      </c>
      <c r="Z633" s="1307">
        <f t="shared" si="47"/>
        <v>0</v>
      </c>
      <c r="AA633" s="1307">
        <f t="shared" si="48"/>
        <v>35</v>
      </c>
      <c r="AB633" s="1307">
        <f t="shared" si="49"/>
        <v>25</v>
      </c>
    </row>
    <row r="634" spans="20:28">
      <c r="T634" s="1077">
        <v>30</v>
      </c>
      <c r="U634" s="1077">
        <f t="shared" si="45"/>
        <v>34</v>
      </c>
      <c r="V634" s="1077">
        <v>36</v>
      </c>
      <c r="W634" s="1077">
        <f t="array" ref="W634">SUMPRODUCT(IF('卡片raw data'!BM$1:BM$1000=T634,1,0),IF('卡片raw data'!BO$1:BO$1000=V634,1,0),IF(IF('卡片raw data'!C$1:C$1000=R$3,1,0)+IF(R$3="",1,0)&gt;=1,1,0),IF(IF('卡片raw data'!D$1:D$1000=R$4,1,0)+IF(R$4="",1,0)&gt;=1,1,0),IF(IF('卡片raw data'!E$1:E$1000=R$5,1,0)+IF(R$5="",1,0)&gt;=1,1,0))</f>
        <v>0</v>
      </c>
      <c r="Y634" s="1307">
        <f t="shared" si="46"/>
        <v>36</v>
      </c>
      <c r="Z634" s="1307">
        <f t="shared" si="47"/>
        <v>0</v>
      </c>
      <c r="AA634" s="1307">
        <f t="shared" si="48"/>
        <v>36</v>
      </c>
      <c r="AB634" s="1307">
        <f t="shared" si="49"/>
        <v>0</v>
      </c>
    </row>
    <row r="635" spans="20:28">
      <c r="T635" s="1077">
        <v>30</v>
      </c>
      <c r="U635" s="1077">
        <f t="shared" si="45"/>
        <v>33</v>
      </c>
      <c r="V635" s="1077">
        <v>37</v>
      </c>
      <c r="W635" s="1077">
        <f t="array" ref="W635">SUMPRODUCT(IF('卡片raw data'!BM$1:BM$1000=T635,1,0),IF('卡片raw data'!BO$1:BO$1000=V635,1,0),IF(IF('卡片raw data'!C$1:C$1000=R$3,1,0)+IF(R$3="",1,0)&gt;=1,1,0),IF(IF('卡片raw data'!D$1:D$1000=R$4,1,0)+IF(R$4="",1,0)&gt;=1,1,0),IF(IF('卡片raw data'!E$1:E$1000=R$5,1,0)+IF(R$5="",1,0)&gt;=1,1,0))</f>
        <v>0</v>
      </c>
      <c r="Y635" s="1307">
        <f t="shared" si="46"/>
        <v>37</v>
      </c>
      <c r="Z635" s="1307">
        <f t="shared" si="47"/>
        <v>0</v>
      </c>
      <c r="AA635" s="1307">
        <f t="shared" si="48"/>
        <v>37</v>
      </c>
      <c r="AB635" s="1307">
        <f t="shared" si="49"/>
        <v>0</v>
      </c>
    </row>
    <row r="636" spans="20:28">
      <c r="T636" s="1077">
        <v>30</v>
      </c>
      <c r="U636" s="1077">
        <f t="shared" si="45"/>
        <v>32</v>
      </c>
      <c r="V636" s="1077">
        <v>38</v>
      </c>
      <c r="W636" s="1077">
        <f t="array" ref="W636">SUMPRODUCT(IF('卡片raw data'!BM$1:BM$1000=T636,1,0),IF('卡片raw data'!BO$1:BO$1000=V636,1,0),IF(IF('卡片raw data'!C$1:C$1000=R$3,1,0)+IF(R$3="",1,0)&gt;=1,1,0),IF(IF('卡片raw data'!D$1:D$1000=R$4,1,0)+IF(R$4="",1,0)&gt;=1,1,0),IF(IF('卡片raw data'!E$1:E$1000=R$5,1,0)+IF(R$5="",1,0)&gt;=1,1,0))</f>
        <v>1</v>
      </c>
      <c r="Y636" s="1307">
        <f t="shared" si="46"/>
        <v>38</v>
      </c>
      <c r="Z636" s="1307">
        <f t="shared" si="47"/>
        <v>1</v>
      </c>
      <c r="AA636" s="1307">
        <f t="shared" si="48"/>
        <v>38</v>
      </c>
      <c r="AB636" s="1307">
        <f t="shared" si="49"/>
        <v>0</v>
      </c>
    </row>
    <row r="637" spans="20:28">
      <c r="T637" s="1077">
        <v>30</v>
      </c>
      <c r="U637" s="1077">
        <f t="shared" si="45"/>
        <v>31</v>
      </c>
      <c r="V637" s="1077">
        <v>39</v>
      </c>
      <c r="W637" s="1077">
        <f t="array" ref="W637">SUMPRODUCT(IF('卡片raw data'!BM$1:BM$1000=T637,1,0),IF('卡片raw data'!BO$1:BO$1000=V637,1,0),IF(IF('卡片raw data'!C$1:C$1000=R$3,1,0)+IF(R$3="",1,0)&gt;=1,1,0),IF(IF('卡片raw data'!D$1:D$1000=R$4,1,0)+IF(R$4="",1,0)&gt;=1,1,0),IF(IF('卡片raw data'!E$1:E$1000=R$5,1,0)+IF(R$5="",1,0)&gt;=1,1,0))</f>
        <v>0</v>
      </c>
      <c r="Y637" s="1307">
        <f t="shared" si="46"/>
        <v>39</v>
      </c>
      <c r="Z637" s="1307">
        <f t="shared" si="47"/>
        <v>0</v>
      </c>
      <c r="AA637" s="1307">
        <f t="shared" si="48"/>
        <v>39</v>
      </c>
      <c r="AB637" s="1307">
        <f t="shared" si="49"/>
        <v>0</v>
      </c>
    </row>
    <row r="638" spans="20:28">
      <c r="T638" s="1077">
        <v>30</v>
      </c>
      <c r="U638" s="1077">
        <f t="shared" si="45"/>
        <v>30</v>
      </c>
      <c r="V638" s="1077">
        <v>40</v>
      </c>
      <c r="W638" s="1077">
        <f t="array" ref="W638">SUMPRODUCT(IF('卡片raw data'!BM$1:BM$1000=T638,1,0),IF('卡片raw data'!BO$1:BO$1000=V638,1,0),IF(IF('卡片raw data'!C$1:C$1000=R$3,1,0)+IF(R$3="",1,0)&gt;=1,1,0),IF(IF('卡片raw data'!D$1:D$1000=R$4,1,0)+IF(R$4="",1,0)&gt;=1,1,0),IF(IF('卡片raw data'!E$1:E$1000=R$5,1,0)+IF(R$5="",1,0)&gt;=1,1,0))</f>
        <v>11</v>
      </c>
      <c r="Y638" s="1307">
        <f t="shared" si="46"/>
        <v>40</v>
      </c>
      <c r="Z638" s="1307">
        <f t="shared" si="47"/>
        <v>11</v>
      </c>
      <c r="AA638" s="1307">
        <f t="shared" si="48"/>
        <v>40</v>
      </c>
      <c r="AB638" s="1307">
        <f t="shared" si="49"/>
        <v>0</v>
      </c>
    </row>
    <row r="639" spans="20:28">
      <c r="T639" s="1077">
        <v>30</v>
      </c>
      <c r="U639" s="1077">
        <f t="shared" si="45"/>
        <v>29</v>
      </c>
      <c r="V639" s="1077">
        <v>41</v>
      </c>
      <c r="W639" s="1077">
        <f t="array" ref="W639">SUMPRODUCT(IF('卡片raw data'!BM$1:BM$1000=T639,1,0),IF('卡片raw data'!BO$1:BO$1000=V639,1,0),IF(IF('卡片raw data'!C$1:C$1000=R$3,1,0)+IF(R$3="",1,0)&gt;=1,1,0),IF(IF('卡片raw data'!D$1:D$1000=R$4,1,0)+IF(R$4="",1,0)&gt;=1,1,0),IF(IF('卡片raw data'!E$1:E$1000=R$5,1,0)+IF(R$5="",1,0)&gt;=1,1,0))</f>
        <v>1</v>
      </c>
      <c r="Y639" s="1307">
        <f t="shared" si="46"/>
        <v>41</v>
      </c>
      <c r="Z639" s="1307">
        <f t="shared" si="47"/>
        <v>1</v>
      </c>
      <c r="AA639" s="1307">
        <f t="shared" si="48"/>
        <v>41</v>
      </c>
      <c r="AB639" s="1307">
        <f t="shared" si="49"/>
        <v>0</v>
      </c>
    </row>
    <row r="640" spans="20:28">
      <c r="T640" s="1077">
        <v>30</v>
      </c>
      <c r="U640" s="1077">
        <f t="shared" si="45"/>
        <v>28</v>
      </c>
      <c r="V640" s="1077">
        <v>42</v>
      </c>
      <c r="W640" s="1077">
        <f t="array" ref="W640">SUMPRODUCT(IF('卡片raw data'!BM$1:BM$1000=T640,1,0),IF('卡片raw data'!BO$1:BO$1000=V640,1,0),IF(IF('卡片raw data'!C$1:C$1000=R$3,1,0)+IF(R$3="",1,0)&gt;=1,1,0),IF(IF('卡片raw data'!D$1:D$1000=R$4,1,0)+IF(R$4="",1,0)&gt;=1,1,0),IF(IF('卡片raw data'!E$1:E$1000=R$5,1,0)+IF(R$5="",1,0)&gt;=1,1,0))</f>
        <v>0</v>
      </c>
      <c r="Y640" s="1307">
        <f t="shared" si="46"/>
        <v>42</v>
      </c>
      <c r="Z640" s="1307">
        <f t="shared" si="47"/>
        <v>0</v>
      </c>
      <c r="AA640" s="1307">
        <f t="shared" si="48"/>
        <v>42</v>
      </c>
      <c r="AB640" s="1307">
        <f t="shared" si="49"/>
        <v>0</v>
      </c>
    </row>
    <row r="641" spans="20:28">
      <c r="T641" s="1077">
        <v>30</v>
      </c>
      <c r="U641" s="1077">
        <f t="shared" si="45"/>
        <v>27</v>
      </c>
      <c r="V641" s="1077">
        <v>43</v>
      </c>
      <c r="W641" s="1077">
        <f t="array" ref="W641">SUMPRODUCT(IF('卡片raw data'!BM$1:BM$1000=T641,1,0),IF('卡片raw data'!BO$1:BO$1000=V641,1,0),IF(IF('卡片raw data'!C$1:C$1000=R$3,1,0)+IF(R$3="",1,0)&gt;=1,1,0),IF(IF('卡片raw data'!D$1:D$1000=R$4,1,0)+IF(R$4="",1,0)&gt;=1,1,0),IF(IF('卡片raw data'!E$1:E$1000=R$5,1,0)+IF(R$5="",1,0)&gt;=1,1,0))</f>
        <v>0</v>
      </c>
      <c r="Y641" s="1307">
        <f t="shared" si="46"/>
        <v>43</v>
      </c>
      <c r="Z641" s="1307">
        <f t="shared" si="47"/>
        <v>0</v>
      </c>
      <c r="AA641" s="1307">
        <f t="shared" si="48"/>
        <v>43</v>
      </c>
      <c r="AB641" s="1307">
        <f t="shared" si="49"/>
        <v>0</v>
      </c>
    </row>
    <row r="642" spans="20:28">
      <c r="T642" s="1077">
        <v>30</v>
      </c>
      <c r="U642" s="1077">
        <f t="shared" si="45"/>
        <v>26</v>
      </c>
      <c r="V642" s="1077">
        <v>44</v>
      </c>
      <c r="W642" s="1077">
        <f t="array" ref="W642">SUMPRODUCT(IF('卡片raw data'!BM$1:BM$1000=T642,1,0),IF('卡片raw data'!BO$1:BO$1000=V642,1,0),IF(IF('卡片raw data'!C$1:C$1000=R$3,1,0)+IF(R$3="",1,0)&gt;=1,1,0),IF(IF('卡片raw data'!D$1:D$1000=R$4,1,0)+IF(R$4="",1,0)&gt;=1,1,0),IF(IF('卡片raw data'!E$1:E$1000=R$5,1,0)+IF(R$5="",1,0)&gt;=1,1,0))</f>
        <v>0</v>
      </c>
      <c r="Y642" s="1307">
        <f t="shared" si="46"/>
        <v>44</v>
      </c>
      <c r="Z642" s="1307">
        <f t="shared" si="47"/>
        <v>0</v>
      </c>
      <c r="AA642" s="1307">
        <f t="shared" si="48"/>
        <v>44</v>
      </c>
      <c r="AB642" s="1307">
        <f t="shared" si="49"/>
        <v>0</v>
      </c>
    </row>
    <row r="643" spans="20:28">
      <c r="T643" s="1077">
        <v>30</v>
      </c>
      <c r="U643" s="1077">
        <f t="shared" si="45"/>
        <v>25</v>
      </c>
      <c r="V643" s="1077">
        <v>45</v>
      </c>
      <c r="W643" s="1077">
        <f t="array" ref="W643">SUMPRODUCT(IF('卡片raw data'!BM$1:BM$1000=T643,1,0),IF('卡片raw data'!BO$1:BO$1000=V643,1,0),IF(IF('卡片raw data'!C$1:C$1000=R$3,1,0)+IF(R$3="",1,0)&gt;=1,1,0),IF(IF('卡片raw data'!D$1:D$1000=R$4,1,0)+IF(R$4="",1,0)&gt;=1,1,0),IF(IF('卡片raw data'!E$1:E$1000=R$5,1,0)+IF(R$5="",1,0)&gt;=1,1,0))</f>
        <v>12</v>
      </c>
      <c r="Y643" s="1307">
        <f t="shared" si="46"/>
        <v>45</v>
      </c>
      <c r="Z643" s="1307">
        <f t="shared" si="47"/>
        <v>12</v>
      </c>
      <c r="AA643" s="1307">
        <f t="shared" si="48"/>
        <v>45</v>
      </c>
      <c r="AB643" s="1307">
        <f t="shared" si="49"/>
        <v>0</v>
      </c>
    </row>
    <row r="644" spans="20:28">
      <c r="T644" s="1077">
        <v>30</v>
      </c>
      <c r="U644" s="1077">
        <f t="shared" ref="U644:U707" si="50">100-T644-V644</f>
        <v>24</v>
      </c>
      <c r="V644" s="1077">
        <v>46</v>
      </c>
      <c r="W644" s="1077">
        <f t="array" ref="W644">SUMPRODUCT(IF('卡片raw data'!BM$1:BM$1000=T644,1,0),IF('卡片raw data'!BO$1:BO$1000=V644,1,0),IF(IF('卡片raw data'!C$1:C$1000=R$3,1,0)+IF(R$3="",1,0)&gt;=1,1,0),IF(IF('卡片raw data'!D$1:D$1000=R$4,1,0)+IF(R$4="",1,0)&gt;=1,1,0),IF(IF('卡片raw data'!E$1:E$1000=R$5,1,0)+IF(R$5="",1,0)&gt;=1,1,0))</f>
        <v>0</v>
      </c>
      <c r="Y644" s="1307">
        <f t="shared" ref="Y644:Y707" si="51">V644</f>
        <v>46</v>
      </c>
      <c r="Z644" s="1307">
        <f t="shared" ref="Z644:Z707" si="52">IF(AND(V644&gt;U644,V644&gt;T644),W644,0)</f>
        <v>0</v>
      </c>
      <c r="AA644" s="1307">
        <f t="shared" ref="AA644:AA707" si="53">V644</f>
        <v>46</v>
      </c>
      <c r="AB644" s="1307">
        <f t="shared" ref="AB644:AB707" si="54">W644-Z644</f>
        <v>0</v>
      </c>
    </row>
    <row r="645" spans="20:28">
      <c r="T645" s="1077">
        <v>30</v>
      </c>
      <c r="U645" s="1077">
        <f t="shared" si="50"/>
        <v>23</v>
      </c>
      <c r="V645" s="1077">
        <v>47</v>
      </c>
      <c r="W645" s="1077">
        <f t="array" ref="W645">SUMPRODUCT(IF('卡片raw data'!BM$1:BM$1000=T645,1,0),IF('卡片raw data'!BO$1:BO$1000=V645,1,0),IF(IF('卡片raw data'!C$1:C$1000=R$3,1,0)+IF(R$3="",1,0)&gt;=1,1,0),IF(IF('卡片raw data'!D$1:D$1000=R$4,1,0)+IF(R$4="",1,0)&gt;=1,1,0),IF(IF('卡片raw data'!E$1:E$1000=R$5,1,0)+IF(R$5="",1,0)&gt;=1,1,0))</f>
        <v>0</v>
      </c>
      <c r="Y645" s="1307">
        <f t="shared" si="51"/>
        <v>47</v>
      </c>
      <c r="Z645" s="1307">
        <f t="shared" si="52"/>
        <v>0</v>
      </c>
      <c r="AA645" s="1307">
        <f t="shared" si="53"/>
        <v>47</v>
      </c>
      <c r="AB645" s="1307">
        <f t="shared" si="54"/>
        <v>0</v>
      </c>
    </row>
    <row r="646" spans="20:28">
      <c r="T646" s="1077">
        <v>30</v>
      </c>
      <c r="U646" s="1077">
        <f t="shared" si="50"/>
        <v>22</v>
      </c>
      <c r="V646" s="1077">
        <v>48</v>
      </c>
      <c r="W646" s="1077">
        <f t="array" ref="W646">SUMPRODUCT(IF('卡片raw data'!BM$1:BM$1000=T646,1,0),IF('卡片raw data'!BO$1:BO$1000=V646,1,0),IF(IF('卡片raw data'!C$1:C$1000=R$3,1,0)+IF(R$3="",1,0)&gt;=1,1,0),IF(IF('卡片raw data'!D$1:D$1000=R$4,1,0)+IF(R$4="",1,0)&gt;=1,1,0),IF(IF('卡片raw data'!E$1:E$1000=R$5,1,0)+IF(R$5="",1,0)&gt;=1,1,0))</f>
        <v>1</v>
      </c>
      <c r="Y646" s="1307">
        <f t="shared" si="51"/>
        <v>48</v>
      </c>
      <c r="Z646" s="1307">
        <f t="shared" si="52"/>
        <v>1</v>
      </c>
      <c r="AA646" s="1307">
        <f t="shared" si="53"/>
        <v>48</v>
      </c>
      <c r="AB646" s="1307">
        <f t="shared" si="54"/>
        <v>0</v>
      </c>
    </row>
    <row r="647" spans="20:28">
      <c r="T647" s="1077">
        <v>30</v>
      </c>
      <c r="U647" s="1077">
        <f t="shared" si="50"/>
        <v>21</v>
      </c>
      <c r="V647" s="1077">
        <v>49</v>
      </c>
      <c r="W647" s="1077">
        <f t="array" ref="W647">SUMPRODUCT(IF('卡片raw data'!BM$1:BM$1000=T647,1,0),IF('卡片raw data'!BO$1:BO$1000=V647,1,0),IF(IF('卡片raw data'!C$1:C$1000=R$3,1,0)+IF(R$3="",1,0)&gt;=1,1,0),IF(IF('卡片raw data'!D$1:D$1000=R$4,1,0)+IF(R$4="",1,0)&gt;=1,1,0),IF(IF('卡片raw data'!E$1:E$1000=R$5,1,0)+IF(R$5="",1,0)&gt;=1,1,0))</f>
        <v>0</v>
      </c>
      <c r="Y647" s="1307">
        <f t="shared" si="51"/>
        <v>49</v>
      </c>
      <c r="Z647" s="1307">
        <f t="shared" si="52"/>
        <v>0</v>
      </c>
      <c r="AA647" s="1307">
        <f t="shared" si="53"/>
        <v>49</v>
      </c>
      <c r="AB647" s="1307">
        <f t="shared" si="54"/>
        <v>0</v>
      </c>
    </row>
    <row r="648" spans="20:28">
      <c r="T648" s="1077">
        <v>30</v>
      </c>
      <c r="U648" s="1077">
        <f t="shared" si="50"/>
        <v>20</v>
      </c>
      <c r="V648" s="1077">
        <v>50</v>
      </c>
      <c r="W648" s="1077">
        <f t="array" ref="W648">SUMPRODUCT(IF('卡片raw data'!BM$1:BM$1000=T648,1,0),IF('卡片raw data'!BO$1:BO$1000=V648,1,0),IF(IF('卡片raw data'!C$1:C$1000=R$3,1,0)+IF(R$3="",1,0)&gt;=1,1,0),IF(IF('卡片raw data'!D$1:D$1000=R$4,1,0)+IF(R$4="",1,0)&gt;=1,1,0),IF(IF('卡片raw data'!E$1:E$1000=R$5,1,0)+IF(R$5="",1,0)&gt;=1,1,0))</f>
        <v>3</v>
      </c>
      <c r="Y648" s="1307">
        <f t="shared" si="51"/>
        <v>50</v>
      </c>
      <c r="Z648" s="1307">
        <f t="shared" si="52"/>
        <v>3</v>
      </c>
      <c r="AA648" s="1307">
        <f t="shared" si="53"/>
        <v>50</v>
      </c>
      <c r="AB648" s="1307">
        <f t="shared" si="54"/>
        <v>0</v>
      </c>
    </row>
    <row r="649" spans="20:28">
      <c r="T649" s="1077">
        <v>30</v>
      </c>
      <c r="U649" s="1077">
        <f t="shared" si="50"/>
        <v>19</v>
      </c>
      <c r="V649" s="1077">
        <v>51</v>
      </c>
      <c r="W649" s="1077">
        <f t="array" ref="W649">SUMPRODUCT(IF('卡片raw data'!BM$1:BM$1000=T649,1,0),IF('卡片raw data'!BO$1:BO$1000=V649,1,0),IF(IF('卡片raw data'!C$1:C$1000=R$3,1,0)+IF(R$3="",1,0)&gt;=1,1,0),IF(IF('卡片raw data'!D$1:D$1000=R$4,1,0)+IF(R$4="",1,0)&gt;=1,1,0),IF(IF('卡片raw data'!E$1:E$1000=R$5,1,0)+IF(R$5="",1,0)&gt;=1,1,0))</f>
        <v>0</v>
      </c>
      <c r="Y649" s="1307">
        <f t="shared" si="51"/>
        <v>51</v>
      </c>
      <c r="Z649" s="1307">
        <f t="shared" si="52"/>
        <v>0</v>
      </c>
      <c r="AA649" s="1307">
        <f t="shared" si="53"/>
        <v>51</v>
      </c>
      <c r="AB649" s="1307">
        <f t="shared" si="54"/>
        <v>0</v>
      </c>
    </row>
    <row r="650" spans="20:28">
      <c r="T650" s="1077">
        <v>30</v>
      </c>
      <c r="U650" s="1077">
        <f t="shared" si="50"/>
        <v>18</v>
      </c>
      <c r="V650" s="1077">
        <v>52</v>
      </c>
      <c r="W650" s="1077">
        <f t="array" ref="W650">SUMPRODUCT(IF('卡片raw data'!BM$1:BM$1000=T650,1,0),IF('卡片raw data'!BO$1:BO$1000=V650,1,0),IF(IF('卡片raw data'!C$1:C$1000=R$3,1,0)+IF(R$3="",1,0)&gt;=1,1,0),IF(IF('卡片raw data'!D$1:D$1000=R$4,1,0)+IF(R$4="",1,0)&gt;=1,1,0),IF(IF('卡片raw data'!E$1:E$1000=R$5,1,0)+IF(R$5="",1,0)&gt;=1,1,0))</f>
        <v>0</v>
      </c>
      <c r="Y650" s="1307">
        <f t="shared" si="51"/>
        <v>52</v>
      </c>
      <c r="Z650" s="1307">
        <f t="shared" si="52"/>
        <v>0</v>
      </c>
      <c r="AA650" s="1307">
        <f t="shared" si="53"/>
        <v>52</v>
      </c>
      <c r="AB650" s="1307">
        <f t="shared" si="54"/>
        <v>0</v>
      </c>
    </row>
    <row r="651" spans="20:28">
      <c r="T651" s="1077">
        <v>30</v>
      </c>
      <c r="U651" s="1077">
        <f t="shared" si="50"/>
        <v>17</v>
      </c>
      <c r="V651" s="1077">
        <v>53</v>
      </c>
      <c r="W651" s="1077">
        <f t="array" ref="W651">SUMPRODUCT(IF('卡片raw data'!BM$1:BM$1000=T651,1,0),IF('卡片raw data'!BO$1:BO$1000=V651,1,0),IF(IF('卡片raw data'!C$1:C$1000=R$3,1,0)+IF(R$3="",1,0)&gt;=1,1,0),IF(IF('卡片raw data'!D$1:D$1000=R$4,1,0)+IF(R$4="",1,0)&gt;=1,1,0),IF(IF('卡片raw data'!E$1:E$1000=R$5,1,0)+IF(R$5="",1,0)&gt;=1,1,0))</f>
        <v>0</v>
      </c>
      <c r="Y651" s="1307">
        <f t="shared" si="51"/>
        <v>53</v>
      </c>
      <c r="Z651" s="1307">
        <f t="shared" si="52"/>
        <v>0</v>
      </c>
      <c r="AA651" s="1307">
        <f t="shared" si="53"/>
        <v>53</v>
      </c>
      <c r="AB651" s="1307">
        <f t="shared" si="54"/>
        <v>0</v>
      </c>
    </row>
    <row r="652" spans="20:28">
      <c r="T652" s="1077">
        <v>30</v>
      </c>
      <c r="U652" s="1077">
        <f t="shared" si="50"/>
        <v>16</v>
      </c>
      <c r="V652" s="1077">
        <v>54</v>
      </c>
      <c r="W652" s="1077">
        <f t="array" ref="W652">SUMPRODUCT(IF('卡片raw data'!BM$1:BM$1000=T652,1,0),IF('卡片raw data'!BO$1:BO$1000=V652,1,0),IF(IF('卡片raw data'!C$1:C$1000=R$3,1,0)+IF(R$3="",1,0)&gt;=1,1,0),IF(IF('卡片raw data'!D$1:D$1000=R$4,1,0)+IF(R$4="",1,0)&gt;=1,1,0),IF(IF('卡片raw data'!E$1:E$1000=R$5,1,0)+IF(R$5="",1,0)&gt;=1,1,0))</f>
        <v>0</v>
      </c>
      <c r="Y652" s="1307">
        <f t="shared" si="51"/>
        <v>54</v>
      </c>
      <c r="Z652" s="1307">
        <f t="shared" si="52"/>
        <v>0</v>
      </c>
      <c r="AA652" s="1307">
        <f t="shared" si="53"/>
        <v>54</v>
      </c>
      <c r="AB652" s="1307">
        <f t="shared" si="54"/>
        <v>0</v>
      </c>
    </row>
    <row r="653" spans="20:28">
      <c r="T653" s="1077">
        <v>30</v>
      </c>
      <c r="U653" s="1077">
        <f t="shared" si="50"/>
        <v>15</v>
      </c>
      <c r="V653" s="1077">
        <v>55</v>
      </c>
      <c r="W653" s="1077">
        <f t="array" ref="W653">SUMPRODUCT(IF('卡片raw data'!BM$1:BM$1000=T653,1,0),IF('卡片raw data'!BO$1:BO$1000=V653,1,0),IF(IF('卡片raw data'!C$1:C$1000=R$3,1,0)+IF(R$3="",1,0)&gt;=1,1,0),IF(IF('卡片raw data'!D$1:D$1000=R$4,1,0)+IF(R$4="",1,0)&gt;=1,1,0),IF(IF('卡片raw data'!E$1:E$1000=R$5,1,0)+IF(R$5="",1,0)&gt;=1,1,0))</f>
        <v>0</v>
      </c>
      <c r="Y653" s="1307">
        <f t="shared" si="51"/>
        <v>55</v>
      </c>
      <c r="Z653" s="1307">
        <f t="shared" si="52"/>
        <v>0</v>
      </c>
      <c r="AA653" s="1307">
        <f t="shared" si="53"/>
        <v>55</v>
      </c>
      <c r="AB653" s="1307">
        <f t="shared" si="54"/>
        <v>0</v>
      </c>
    </row>
    <row r="654" spans="20:28">
      <c r="T654" s="1077">
        <v>31</v>
      </c>
      <c r="U654" s="1077">
        <f t="shared" si="50"/>
        <v>55</v>
      </c>
      <c r="V654" s="1077">
        <v>14</v>
      </c>
      <c r="W654" s="1077">
        <f t="array" ref="W654">SUMPRODUCT(IF('卡片raw data'!BM$1:BM$1000=T654,1,0),IF('卡片raw data'!BO$1:BO$1000=V654,1,0),IF(IF('卡片raw data'!C$1:C$1000=R$3,1,0)+IF(R$3="",1,0)&gt;=1,1,0),IF(IF('卡片raw data'!D$1:D$1000=R$4,1,0)+IF(R$4="",1,0)&gt;=1,1,0),IF(IF('卡片raw data'!E$1:E$1000=R$5,1,0)+IF(R$5="",1,0)&gt;=1,1,0))</f>
        <v>0</v>
      </c>
      <c r="Y654" s="1307">
        <f t="shared" si="51"/>
        <v>14</v>
      </c>
      <c r="Z654" s="1307">
        <f t="shared" si="52"/>
        <v>0</v>
      </c>
      <c r="AA654" s="1307">
        <f t="shared" si="53"/>
        <v>14</v>
      </c>
      <c r="AB654" s="1307">
        <f t="shared" si="54"/>
        <v>0</v>
      </c>
    </row>
    <row r="655" spans="20:28">
      <c r="T655" s="1077">
        <v>31</v>
      </c>
      <c r="U655" s="1077">
        <f t="shared" si="50"/>
        <v>54</v>
      </c>
      <c r="V655" s="1077">
        <v>15</v>
      </c>
      <c r="W655" s="1077">
        <f t="array" ref="W655">SUMPRODUCT(IF('卡片raw data'!BM$1:BM$1000=T655,1,0),IF('卡片raw data'!BO$1:BO$1000=V655,1,0),IF(IF('卡片raw data'!C$1:C$1000=R$3,1,0)+IF(R$3="",1,0)&gt;=1,1,0),IF(IF('卡片raw data'!D$1:D$1000=R$4,1,0)+IF(R$4="",1,0)&gt;=1,1,0),IF(IF('卡片raw data'!E$1:E$1000=R$5,1,0)+IF(R$5="",1,0)&gt;=1,1,0))</f>
        <v>0</v>
      </c>
      <c r="Y655" s="1307">
        <f t="shared" si="51"/>
        <v>15</v>
      </c>
      <c r="Z655" s="1307">
        <f t="shared" si="52"/>
        <v>0</v>
      </c>
      <c r="AA655" s="1307">
        <f t="shared" si="53"/>
        <v>15</v>
      </c>
      <c r="AB655" s="1307">
        <f t="shared" si="54"/>
        <v>0</v>
      </c>
    </row>
    <row r="656" spans="20:28">
      <c r="T656" s="1077">
        <v>31</v>
      </c>
      <c r="U656" s="1077">
        <f t="shared" si="50"/>
        <v>53</v>
      </c>
      <c r="V656" s="1077">
        <v>16</v>
      </c>
      <c r="W656" s="1077">
        <f t="array" ref="W656">SUMPRODUCT(IF('卡片raw data'!BM$1:BM$1000=T656,1,0),IF('卡片raw data'!BO$1:BO$1000=V656,1,0),IF(IF('卡片raw data'!C$1:C$1000=R$3,1,0)+IF(R$3="",1,0)&gt;=1,1,0),IF(IF('卡片raw data'!D$1:D$1000=R$4,1,0)+IF(R$4="",1,0)&gt;=1,1,0),IF(IF('卡片raw data'!E$1:E$1000=R$5,1,0)+IF(R$5="",1,0)&gt;=1,1,0))</f>
        <v>0</v>
      </c>
      <c r="Y656" s="1307">
        <f t="shared" si="51"/>
        <v>16</v>
      </c>
      <c r="Z656" s="1307">
        <f t="shared" si="52"/>
        <v>0</v>
      </c>
      <c r="AA656" s="1307">
        <f t="shared" si="53"/>
        <v>16</v>
      </c>
      <c r="AB656" s="1307">
        <f t="shared" si="54"/>
        <v>0</v>
      </c>
    </row>
    <row r="657" spans="20:28">
      <c r="T657" s="1077">
        <v>31</v>
      </c>
      <c r="U657" s="1077">
        <f t="shared" si="50"/>
        <v>52</v>
      </c>
      <c r="V657" s="1077">
        <v>17</v>
      </c>
      <c r="W657" s="1077">
        <f t="array" ref="W657">SUMPRODUCT(IF('卡片raw data'!BM$1:BM$1000=T657,1,0),IF('卡片raw data'!BO$1:BO$1000=V657,1,0),IF(IF('卡片raw data'!C$1:C$1000=R$3,1,0)+IF(R$3="",1,0)&gt;=1,1,0),IF(IF('卡片raw data'!D$1:D$1000=R$4,1,0)+IF(R$4="",1,0)&gt;=1,1,0),IF(IF('卡片raw data'!E$1:E$1000=R$5,1,0)+IF(R$5="",1,0)&gt;=1,1,0))</f>
        <v>0</v>
      </c>
      <c r="Y657" s="1307">
        <f t="shared" si="51"/>
        <v>17</v>
      </c>
      <c r="Z657" s="1307">
        <f t="shared" si="52"/>
        <v>0</v>
      </c>
      <c r="AA657" s="1307">
        <f t="shared" si="53"/>
        <v>17</v>
      </c>
      <c r="AB657" s="1307">
        <f t="shared" si="54"/>
        <v>0</v>
      </c>
    </row>
    <row r="658" spans="20:28">
      <c r="T658" s="1077">
        <v>31</v>
      </c>
      <c r="U658" s="1077">
        <f t="shared" si="50"/>
        <v>51</v>
      </c>
      <c r="V658" s="1077">
        <v>18</v>
      </c>
      <c r="W658" s="1077">
        <f t="array" ref="W658">SUMPRODUCT(IF('卡片raw data'!BM$1:BM$1000=T658,1,0),IF('卡片raw data'!BO$1:BO$1000=V658,1,0),IF(IF('卡片raw data'!C$1:C$1000=R$3,1,0)+IF(R$3="",1,0)&gt;=1,1,0),IF(IF('卡片raw data'!D$1:D$1000=R$4,1,0)+IF(R$4="",1,0)&gt;=1,1,0),IF(IF('卡片raw data'!E$1:E$1000=R$5,1,0)+IF(R$5="",1,0)&gt;=1,1,0))</f>
        <v>0</v>
      </c>
      <c r="Y658" s="1307">
        <f t="shared" si="51"/>
        <v>18</v>
      </c>
      <c r="Z658" s="1307">
        <f t="shared" si="52"/>
        <v>0</v>
      </c>
      <c r="AA658" s="1307">
        <f t="shared" si="53"/>
        <v>18</v>
      </c>
      <c r="AB658" s="1307">
        <f t="shared" si="54"/>
        <v>0</v>
      </c>
    </row>
    <row r="659" spans="20:28">
      <c r="T659" s="1077">
        <v>31</v>
      </c>
      <c r="U659" s="1077">
        <f t="shared" si="50"/>
        <v>50</v>
      </c>
      <c r="V659" s="1077">
        <v>19</v>
      </c>
      <c r="W659" s="1077">
        <f t="array" ref="W659">SUMPRODUCT(IF('卡片raw data'!BM$1:BM$1000=T659,1,0),IF('卡片raw data'!BO$1:BO$1000=V659,1,0),IF(IF('卡片raw data'!C$1:C$1000=R$3,1,0)+IF(R$3="",1,0)&gt;=1,1,0),IF(IF('卡片raw data'!D$1:D$1000=R$4,1,0)+IF(R$4="",1,0)&gt;=1,1,0),IF(IF('卡片raw data'!E$1:E$1000=R$5,1,0)+IF(R$5="",1,0)&gt;=1,1,0))</f>
        <v>0</v>
      </c>
      <c r="Y659" s="1307">
        <f t="shared" si="51"/>
        <v>19</v>
      </c>
      <c r="Z659" s="1307">
        <f t="shared" si="52"/>
        <v>0</v>
      </c>
      <c r="AA659" s="1307">
        <f t="shared" si="53"/>
        <v>19</v>
      </c>
      <c r="AB659" s="1307">
        <f t="shared" si="54"/>
        <v>0</v>
      </c>
    </row>
    <row r="660" spans="20:28">
      <c r="T660" s="1077">
        <v>31</v>
      </c>
      <c r="U660" s="1077">
        <f t="shared" si="50"/>
        <v>49</v>
      </c>
      <c r="V660" s="1077">
        <v>20</v>
      </c>
      <c r="W660" s="1077">
        <f t="array" ref="W660">SUMPRODUCT(IF('卡片raw data'!BM$1:BM$1000=T660,1,0),IF('卡片raw data'!BO$1:BO$1000=V660,1,0),IF(IF('卡片raw data'!C$1:C$1000=R$3,1,0)+IF(R$3="",1,0)&gt;=1,1,0),IF(IF('卡片raw data'!D$1:D$1000=R$4,1,0)+IF(R$4="",1,0)&gt;=1,1,0),IF(IF('卡片raw data'!E$1:E$1000=R$5,1,0)+IF(R$5="",1,0)&gt;=1,1,0))</f>
        <v>0</v>
      </c>
      <c r="Y660" s="1307">
        <f t="shared" si="51"/>
        <v>20</v>
      </c>
      <c r="Z660" s="1307">
        <f t="shared" si="52"/>
        <v>0</v>
      </c>
      <c r="AA660" s="1307">
        <f t="shared" si="53"/>
        <v>20</v>
      </c>
      <c r="AB660" s="1307">
        <f t="shared" si="54"/>
        <v>0</v>
      </c>
    </row>
    <row r="661" spans="20:28">
      <c r="T661" s="1077">
        <v>31</v>
      </c>
      <c r="U661" s="1077">
        <f t="shared" si="50"/>
        <v>48</v>
      </c>
      <c r="V661" s="1077">
        <v>21</v>
      </c>
      <c r="W661" s="1077">
        <f t="array" ref="W661">SUMPRODUCT(IF('卡片raw data'!BM$1:BM$1000=T661,1,0),IF('卡片raw data'!BO$1:BO$1000=V661,1,0),IF(IF('卡片raw data'!C$1:C$1000=R$3,1,0)+IF(R$3="",1,0)&gt;=1,1,0),IF(IF('卡片raw data'!D$1:D$1000=R$4,1,0)+IF(R$4="",1,0)&gt;=1,1,0),IF(IF('卡片raw data'!E$1:E$1000=R$5,1,0)+IF(R$5="",1,0)&gt;=1,1,0))</f>
        <v>0</v>
      </c>
      <c r="Y661" s="1307">
        <f t="shared" si="51"/>
        <v>21</v>
      </c>
      <c r="Z661" s="1307">
        <f t="shared" si="52"/>
        <v>0</v>
      </c>
      <c r="AA661" s="1307">
        <f t="shared" si="53"/>
        <v>21</v>
      </c>
      <c r="AB661" s="1307">
        <f t="shared" si="54"/>
        <v>0</v>
      </c>
    </row>
    <row r="662" spans="20:28">
      <c r="T662" s="1077">
        <v>31</v>
      </c>
      <c r="U662" s="1077">
        <f t="shared" si="50"/>
        <v>47</v>
      </c>
      <c r="V662" s="1077">
        <v>22</v>
      </c>
      <c r="W662" s="1077">
        <f t="array" ref="W662">SUMPRODUCT(IF('卡片raw data'!BM$1:BM$1000=T662,1,0),IF('卡片raw data'!BO$1:BO$1000=V662,1,0),IF(IF('卡片raw data'!C$1:C$1000=R$3,1,0)+IF(R$3="",1,0)&gt;=1,1,0),IF(IF('卡片raw data'!D$1:D$1000=R$4,1,0)+IF(R$4="",1,0)&gt;=1,1,0),IF(IF('卡片raw data'!E$1:E$1000=R$5,1,0)+IF(R$5="",1,0)&gt;=1,1,0))</f>
        <v>0</v>
      </c>
      <c r="Y662" s="1307">
        <f t="shared" si="51"/>
        <v>22</v>
      </c>
      <c r="Z662" s="1307">
        <f t="shared" si="52"/>
        <v>0</v>
      </c>
      <c r="AA662" s="1307">
        <f t="shared" si="53"/>
        <v>22</v>
      </c>
      <c r="AB662" s="1307">
        <f t="shared" si="54"/>
        <v>0</v>
      </c>
    </row>
    <row r="663" spans="20:28">
      <c r="T663" s="1077">
        <v>31</v>
      </c>
      <c r="U663" s="1077">
        <f t="shared" si="50"/>
        <v>46</v>
      </c>
      <c r="V663" s="1077">
        <v>23</v>
      </c>
      <c r="W663" s="1077">
        <f t="array" ref="W663">SUMPRODUCT(IF('卡片raw data'!BM$1:BM$1000=T663,1,0),IF('卡片raw data'!BO$1:BO$1000=V663,1,0),IF(IF('卡片raw data'!C$1:C$1000=R$3,1,0)+IF(R$3="",1,0)&gt;=1,1,0),IF(IF('卡片raw data'!D$1:D$1000=R$4,1,0)+IF(R$4="",1,0)&gt;=1,1,0),IF(IF('卡片raw data'!E$1:E$1000=R$5,1,0)+IF(R$5="",1,0)&gt;=1,1,0))</f>
        <v>0</v>
      </c>
      <c r="Y663" s="1307">
        <f t="shared" si="51"/>
        <v>23</v>
      </c>
      <c r="Z663" s="1307">
        <f t="shared" si="52"/>
        <v>0</v>
      </c>
      <c r="AA663" s="1307">
        <f t="shared" si="53"/>
        <v>23</v>
      </c>
      <c r="AB663" s="1307">
        <f t="shared" si="54"/>
        <v>0</v>
      </c>
    </row>
    <row r="664" spans="20:28">
      <c r="T664" s="1077">
        <v>31</v>
      </c>
      <c r="U664" s="1077">
        <f t="shared" si="50"/>
        <v>45</v>
      </c>
      <c r="V664" s="1077">
        <v>24</v>
      </c>
      <c r="W664" s="1077">
        <f t="array" ref="W664">SUMPRODUCT(IF('卡片raw data'!BM$1:BM$1000=T664,1,0),IF('卡片raw data'!BO$1:BO$1000=V664,1,0),IF(IF('卡片raw data'!C$1:C$1000=R$3,1,0)+IF(R$3="",1,0)&gt;=1,1,0),IF(IF('卡片raw data'!D$1:D$1000=R$4,1,0)+IF(R$4="",1,0)&gt;=1,1,0),IF(IF('卡片raw data'!E$1:E$1000=R$5,1,0)+IF(R$5="",1,0)&gt;=1,1,0))</f>
        <v>0</v>
      </c>
      <c r="Y664" s="1307">
        <f t="shared" si="51"/>
        <v>24</v>
      </c>
      <c r="Z664" s="1307">
        <f t="shared" si="52"/>
        <v>0</v>
      </c>
      <c r="AA664" s="1307">
        <f t="shared" si="53"/>
        <v>24</v>
      </c>
      <c r="AB664" s="1307">
        <f t="shared" si="54"/>
        <v>0</v>
      </c>
    </row>
    <row r="665" spans="20:28">
      <c r="T665" s="1077">
        <v>31</v>
      </c>
      <c r="U665" s="1077">
        <f t="shared" si="50"/>
        <v>44</v>
      </c>
      <c r="V665" s="1077">
        <v>25</v>
      </c>
      <c r="W665" s="1077">
        <f t="array" ref="W665">SUMPRODUCT(IF('卡片raw data'!BM$1:BM$1000=T665,1,0),IF('卡片raw data'!BO$1:BO$1000=V665,1,0),IF(IF('卡片raw data'!C$1:C$1000=R$3,1,0)+IF(R$3="",1,0)&gt;=1,1,0),IF(IF('卡片raw data'!D$1:D$1000=R$4,1,0)+IF(R$4="",1,0)&gt;=1,1,0),IF(IF('卡片raw data'!E$1:E$1000=R$5,1,0)+IF(R$5="",1,0)&gt;=1,1,0))</f>
        <v>0</v>
      </c>
      <c r="Y665" s="1307">
        <f t="shared" si="51"/>
        <v>25</v>
      </c>
      <c r="Z665" s="1307">
        <f t="shared" si="52"/>
        <v>0</v>
      </c>
      <c r="AA665" s="1307">
        <f t="shared" si="53"/>
        <v>25</v>
      </c>
      <c r="AB665" s="1307">
        <f t="shared" si="54"/>
        <v>0</v>
      </c>
    </row>
    <row r="666" spans="20:28">
      <c r="T666" s="1077">
        <v>31</v>
      </c>
      <c r="U666" s="1077">
        <f t="shared" si="50"/>
        <v>43</v>
      </c>
      <c r="V666" s="1077">
        <v>26</v>
      </c>
      <c r="W666" s="1077">
        <f t="array" ref="W666">SUMPRODUCT(IF('卡片raw data'!BM$1:BM$1000=T666,1,0),IF('卡片raw data'!BO$1:BO$1000=V666,1,0),IF(IF('卡片raw data'!C$1:C$1000=R$3,1,0)+IF(R$3="",1,0)&gt;=1,1,0),IF(IF('卡片raw data'!D$1:D$1000=R$4,1,0)+IF(R$4="",1,0)&gt;=1,1,0),IF(IF('卡片raw data'!E$1:E$1000=R$5,1,0)+IF(R$5="",1,0)&gt;=1,1,0))</f>
        <v>0</v>
      </c>
      <c r="Y666" s="1307">
        <f t="shared" si="51"/>
        <v>26</v>
      </c>
      <c r="Z666" s="1307">
        <f t="shared" si="52"/>
        <v>0</v>
      </c>
      <c r="AA666" s="1307">
        <f t="shared" si="53"/>
        <v>26</v>
      </c>
      <c r="AB666" s="1307">
        <f t="shared" si="54"/>
        <v>0</v>
      </c>
    </row>
    <row r="667" spans="20:28">
      <c r="T667" s="1077">
        <v>31</v>
      </c>
      <c r="U667" s="1077">
        <f t="shared" si="50"/>
        <v>42</v>
      </c>
      <c r="V667" s="1077">
        <v>27</v>
      </c>
      <c r="W667" s="1077">
        <f t="array" ref="W667">SUMPRODUCT(IF('卡片raw data'!BM$1:BM$1000=T667,1,0),IF('卡片raw data'!BO$1:BO$1000=V667,1,0),IF(IF('卡片raw data'!C$1:C$1000=R$3,1,0)+IF(R$3="",1,0)&gt;=1,1,0),IF(IF('卡片raw data'!D$1:D$1000=R$4,1,0)+IF(R$4="",1,0)&gt;=1,1,0),IF(IF('卡片raw data'!E$1:E$1000=R$5,1,0)+IF(R$5="",1,0)&gt;=1,1,0))</f>
        <v>0</v>
      </c>
      <c r="Y667" s="1307">
        <f t="shared" si="51"/>
        <v>27</v>
      </c>
      <c r="Z667" s="1307">
        <f t="shared" si="52"/>
        <v>0</v>
      </c>
      <c r="AA667" s="1307">
        <f t="shared" si="53"/>
        <v>27</v>
      </c>
      <c r="AB667" s="1307">
        <f t="shared" si="54"/>
        <v>0</v>
      </c>
    </row>
    <row r="668" spans="20:28">
      <c r="T668" s="1077">
        <v>31</v>
      </c>
      <c r="U668" s="1077">
        <f t="shared" si="50"/>
        <v>41</v>
      </c>
      <c r="V668" s="1077">
        <v>28</v>
      </c>
      <c r="W668" s="1077">
        <f t="array" ref="W668">SUMPRODUCT(IF('卡片raw data'!BM$1:BM$1000=T668,1,0),IF('卡片raw data'!BO$1:BO$1000=V668,1,0),IF(IF('卡片raw data'!C$1:C$1000=R$3,1,0)+IF(R$3="",1,0)&gt;=1,1,0),IF(IF('卡片raw data'!D$1:D$1000=R$4,1,0)+IF(R$4="",1,0)&gt;=1,1,0),IF(IF('卡片raw data'!E$1:E$1000=R$5,1,0)+IF(R$5="",1,0)&gt;=1,1,0))</f>
        <v>0</v>
      </c>
      <c r="Y668" s="1307">
        <f t="shared" si="51"/>
        <v>28</v>
      </c>
      <c r="Z668" s="1307">
        <f t="shared" si="52"/>
        <v>0</v>
      </c>
      <c r="AA668" s="1307">
        <f t="shared" si="53"/>
        <v>28</v>
      </c>
      <c r="AB668" s="1307">
        <f t="shared" si="54"/>
        <v>0</v>
      </c>
    </row>
    <row r="669" spans="20:28">
      <c r="T669" s="1077">
        <v>31</v>
      </c>
      <c r="U669" s="1077">
        <f t="shared" si="50"/>
        <v>40</v>
      </c>
      <c r="V669" s="1077">
        <v>29</v>
      </c>
      <c r="W669" s="1077">
        <f t="array" ref="W669">SUMPRODUCT(IF('卡片raw data'!BM$1:BM$1000=T669,1,0),IF('卡片raw data'!BO$1:BO$1000=V669,1,0),IF(IF('卡片raw data'!C$1:C$1000=R$3,1,0)+IF(R$3="",1,0)&gt;=1,1,0),IF(IF('卡片raw data'!D$1:D$1000=R$4,1,0)+IF(R$4="",1,0)&gt;=1,1,0),IF(IF('卡片raw data'!E$1:E$1000=R$5,1,0)+IF(R$5="",1,0)&gt;=1,1,0))</f>
        <v>3</v>
      </c>
      <c r="Y669" s="1307">
        <f t="shared" si="51"/>
        <v>29</v>
      </c>
      <c r="Z669" s="1307">
        <f t="shared" si="52"/>
        <v>0</v>
      </c>
      <c r="AA669" s="1307">
        <f t="shared" si="53"/>
        <v>29</v>
      </c>
      <c r="AB669" s="1307">
        <f t="shared" si="54"/>
        <v>3</v>
      </c>
    </row>
    <row r="670" spans="20:28">
      <c r="T670" s="1077">
        <v>31</v>
      </c>
      <c r="U670" s="1077">
        <f t="shared" si="50"/>
        <v>39</v>
      </c>
      <c r="V670" s="1077">
        <v>30</v>
      </c>
      <c r="W670" s="1077">
        <f t="array" ref="W670">SUMPRODUCT(IF('卡片raw data'!BM$1:BM$1000=T670,1,0),IF('卡片raw data'!BO$1:BO$1000=V670,1,0),IF(IF('卡片raw data'!C$1:C$1000=R$3,1,0)+IF(R$3="",1,0)&gt;=1,1,0),IF(IF('卡片raw data'!D$1:D$1000=R$4,1,0)+IF(R$4="",1,0)&gt;=1,1,0),IF(IF('卡片raw data'!E$1:E$1000=R$5,1,0)+IF(R$5="",1,0)&gt;=1,1,0))</f>
        <v>0</v>
      </c>
      <c r="Y670" s="1307">
        <f t="shared" si="51"/>
        <v>30</v>
      </c>
      <c r="Z670" s="1307">
        <f t="shared" si="52"/>
        <v>0</v>
      </c>
      <c r="AA670" s="1307">
        <f t="shared" si="53"/>
        <v>30</v>
      </c>
      <c r="AB670" s="1307">
        <f t="shared" si="54"/>
        <v>0</v>
      </c>
    </row>
    <row r="671" spans="20:28">
      <c r="T671" s="1077">
        <v>31</v>
      </c>
      <c r="U671" s="1077">
        <f t="shared" si="50"/>
        <v>38</v>
      </c>
      <c r="V671" s="1077">
        <v>31</v>
      </c>
      <c r="W671" s="1077">
        <f t="array" ref="W671">SUMPRODUCT(IF('卡片raw data'!BM$1:BM$1000=T671,1,0),IF('卡片raw data'!BO$1:BO$1000=V671,1,0),IF(IF('卡片raw data'!C$1:C$1000=R$3,1,0)+IF(R$3="",1,0)&gt;=1,1,0),IF(IF('卡片raw data'!D$1:D$1000=R$4,1,0)+IF(R$4="",1,0)&gt;=1,1,0),IF(IF('卡片raw data'!E$1:E$1000=R$5,1,0)+IF(R$5="",1,0)&gt;=1,1,0))</f>
        <v>1</v>
      </c>
      <c r="Y671" s="1307">
        <f t="shared" si="51"/>
        <v>31</v>
      </c>
      <c r="Z671" s="1307">
        <f t="shared" si="52"/>
        <v>0</v>
      </c>
      <c r="AA671" s="1307">
        <f t="shared" si="53"/>
        <v>31</v>
      </c>
      <c r="AB671" s="1307">
        <f t="shared" si="54"/>
        <v>1</v>
      </c>
    </row>
    <row r="672" spans="20:28">
      <c r="T672" s="1077">
        <v>31</v>
      </c>
      <c r="U672" s="1077">
        <f t="shared" si="50"/>
        <v>37</v>
      </c>
      <c r="V672" s="1077">
        <v>32</v>
      </c>
      <c r="W672" s="1077">
        <f t="array" ref="W672">SUMPRODUCT(IF('卡片raw data'!BM$1:BM$1000=T672,1,0),IF('卡片raw data'!BO$1:BO$1000=V672,1,0),IF(IF('卡片raw data'!C$1:C$1000=R$3,1,0)+IF(R$3="",1,0)&gt;=1,1,0),IF(IF('卡片raw data'!D$1:D$1000=R$4,1,0)+IF(R$4="",1,0)&gt;=1,1,0),IF(IF('卡片raw data'!E$1:E$1000=R$5,1,0)+IF(R$5="",1,0)&gt;=1,1,0))</f>
        <v>0</v>
      </c>
      <c r="Y672" s="1307">
        <f t="shared" si="51"/>
        <v>32</v>
      </c>
      <c r="Z672" s="1307">
        <f t="shared" si="52"/>
        <v>0</v>
      </c>
      <c r="AA672" s="1307">
        <f t="shared" si="53"/>
        <v>32</v>
      </c>
      <c r="AB672" s="1307">
        <f t="shared" si="54"/>
        <v>0</v>
      </c>
    </row>
    <row r="673" spans="20:28">
      <c r="T673" s="1077">
        <v>31</v>
      </c>
      <c r="U673" s="1077">
        <f t="shared" si="50"/>
        <v>36</v>
      </c>
      <c r="V673" s="1077">
        <v>33</v>
      </c>
      <c r="W673" s="1077">
        <f t="array" ref="W673">SUMPRODUCT(IF('卡片raw data'!BM$1:BM$1000=T673,1,0),IF('卡片raw data'!BO$1:BO$1000=V673,1,0),IF(IF('卡片raw data'!C$1:C$1000=R$3,1,0)+IF(R$3="",1,0)&gt;=1,1,0),IF(IF('卡片raw data'!D$1:D$1000=R$4,1,0)+IF(R$4="",1,0)&gt;=1,1,0),IF(IF('卡片raw data'!E$1:E$1000=R$5,1,0)+IF(R$5="",1,0)&gt;=1,1,0))</f>
        <v>0</v>
      </c>
      <c r="Y673" s="1307">
        <f t="shared" si="51"/>
        <v>33</v>
      </c>
      <c r="Z673" s="1307">
        <f t="shared" si="52"/>
        <v>0</v>
      </c>
      <c r="AA673" s="1307">
        <f t="shared" si="53"/>
        <v>33</v>
      </c>
      <c r="AB673" s="1307">
        <f t="shared" si="54"/>
        <v>0</v>
      </c>
    </row>
    <row r="674" spans="20:28">
      <c r="T674" s="1077">
        <v>31</v>
      </c>
      <c r="U674" s="1077">
        <f t="shared" si="50"/>
        <v>35</v>
      </c>
      <c r="V674" s="1077">
        <v>34</v>
      </c>
      <c r="W674" s="1077">
        <f t="array" ref="W674">SUMPRODUCT(IF('卡片raw data'!BM$1:BM$1000=T674,1,0),IF('卡片raw data'!BO$1:BO$1000=V674,1,0),IF(IF('卡片raw data'!C$1:C$1000=R$3,1,0)+IF(R$3="",1,0)&gt;=1,1,0),IF(IF('卡片raw data'!D$1:D$1000=R$4,1,0)+IF(R$4="",1,0)&gt;=1,1,0),IF(IF('卡片raw data'!E$1:E$1000=R$5,1,0)+IF(R$5="",1,0)&gt;=1,1,0))</f>
        <v>0</v>
      </c>
      <c r="Y674" s="1307">
        <f t="shared" si="51"/>
        <v>34</v>
      </c>
      <c r="Z674" s="1307">
        <f t="shared" si="52"/>
        <v>0</v>
      </c>
      <c r="AA674" s="1307">
        <f t="shared" si="53"/>
        <v>34</v>
      </c>
      <c r="AB674" s="1307">
        <f t="shared" si="54"/>
        <v>0</v>
      </c>
    </row>
    <row r="675" spans="20:28">
      <c r="T675" s="1077">
        <v>31</v>
      </c>
      <c r="U675" s="1077">
        <f t="shared" si="50"/>
        <v>34</v>
      </c>
      <c r="V675" s="1077">
        <v>35</v>
      </c>
      <c r="W675" s="1077">
        <f t="array" ref="W675">SUMPRODUCT(IF('卡片raw data'!BM$1:BM$1000=T675,1,0),IF('卡片raw data'!BO$1:BO$1000=V675,1,0),IF(IF('卡片raw data'!C$1:C$1000=R$3,1,0)+IF(R$3="",1,0)&gt;=1,1,0),IF(IF('卡片raw data'!D$1:D$1000=R$4,1,0)+IF(R$4="",1,0)&gt;=1,1,0),IF(IF('卡片raw data'!E$1:E$1000=R$5,1,0)+IF(R$5="",1,0)&gt;=1,1,0))</f>
        <v>2</v>
      </c>
      <c r="Y675" s="1307">
        <f t="shared" si="51"/>
        <v>35</v>
      </c>
      <c r="Z675" s="1307">
        <f t="shared" si="52"/>
        <v>2</v>
      </c>
      <c r="AA675" s="1307">
        <f t="shared" si="53"/>
        <v>35</v>
      </c>
      <c r="AB675" s="1307">
        <f t="shared" si="54"/>
        <v>0</v>
      </c>
    </row>
    <row r="676" spans="20:28">
      <c r="T676" s="1077">
        <v>31</v>
      </c>
      <c r="U676" s="1077">
        <f t="shared" si="50"/>
        <v>33</v>
      </c>
      <c r="V676" s="1077">
        <v>36</v>
      </c>
      <c r="W676" s="1077">
        <f t="array" ref="W676">SUMPRODUCT(IF('卡片raw data'!BM$1:BM$1000=T676,1,0),IF('卡片raw data'!BO$1:BO$1000=V676,1,0),IF(IF('卡片raw data'!C$1:C$1000=R$3,1,0)+IF(R$3="",1,0)&gt;=1,1,0),IF(IF('卡片raw data'!D$1:D$1000=R$4,1,0)+IF(R$4="",1,0)&gt;=1,1,0),IF(IF('卡片raw data'!E$1:E$1000=R$5,1,0)+IF(R$5="",1,0)&gt;=1,1,0))</f>
        <v>0</v>
      </c>
      <c r="Y676" s="1307">
        <f t="shared" si="51"/>
        <v>36</v>
      </c>
      <c r="Z676" s="1307">
        <f t="shared" si="52"/>
        <v>0</v>
      </c>
      <c r="AA676" s="1307">
        <f t="shared" si="53"/>
        <v>36</v>
      </c>
      <c r="AB676" s="1307">
        <f t="shared" si="54"/>
        <v>0</v>
      </c>
    </row>
    <row r="677" spans="20:28">
      <c r="T677" s="1077">
        <v>31</v>
      </c>
      <c r="U677" s="1077">
        <f t="shared" si="50"/>
        <v>32</v>
      </c>
      <c r="V677" s="1077">
        <v>37</v>
      </c>
      <c r="W677" s="1077">
        <f t="array" ref="W677">SUMPRODUCT(IF('卡片raw data'!BM$1:BM$1000=T677,1,0),IF('卡片raw data'!BO$1:BO$1000=V677,1,0),IF(IF('卡片raw data'!C$1:C$1000=R$3,1,0)+IF(R$3="",1,0)&gt;=1,1,0),IF(IF('卡片raw data'!D$1:D$1000=R$4,1,0)+IF(R$4="",1,0)&gt;=1,1,0),IF(IF('卡片raw data'!E$1:E$1000=R$5,1,0)+IF(R$5="",1,0)&gt;=1,1,0))</f>
        <v>1</v>
      </c>
      <c r="Y677" s="1307">
        <f t="shared" si="51"/>
        <v>37</v>
      </c>
      <c r="Z677" s="1307">
        <f t="shared" si="52"/>
        <v>1</v>
      </c>
      <c r="AA677" s="1307">
        <f t="shared" si="53"/>
        <v>37</v>
      </c>
      <c r="AB677" s="1307">
        <f t="shared" si="54"/>
        <v>0</v>
      </c>
    </row>
    <row r="678" spans="20:28">
      <c r="T678" s="1077">
        <v>31</v>
      </c>
      <c r="U678" s="1077">
        <f t="shared" si="50"/>
        <v>31</v>
      </c>
      <c r="V678" s="1077">
        <v>38</v>
      </c>
      <c r="W678" s="1077">
        <f t="array" ref="W678">SUMPRODUCT(IF('卡片raw data'!BM$1:BM$1000=T678,1,0),IF('卡片raw data'!BO$1:BO$1000=V678,1,0),IF(IF('卡片raw data'!C$1:C$1000=R$3,1,0)+IF(R$3="",1,0)&gt;=1,1,0),IF(IF('卡片raw data'!D$1:D$1000=R$4,1,0)+IF(R$4="",1,0)&gt;=1,1,0),IF(IF('卡片raw data'!E$1:E$1000=R$5,1,0)+IF(R$5="",1,0)&gt;=1,1,0))</f>
        <v>0</v>
      </c>
      <c r="Y678" s="1307">
        <f t="shared" si="51"/>
        <v>38</v>
      </c>
      <c r="Z678" s="1307">
        <f t="shared" si="52"/>
        <v>0</v>
      </c>
      <c r="AA678" s="1307">
        <f t="shared" si="53"/>
        <v>38</v>
      </c>
      <c r="AB678" s="1307">
        <f t="shared" si="54"/>
        <v>0</v>
      </c>
    </row>
    <row r="679" spans="20:28">
      <c r="T679" s="1077">
        <v>31</v>
      </c>
      <c r="U679" s="1077">
        <f t="shared" si="50"/>
        <v>30</v>
      </c>
      <c r="V679" s="1077">
        <v>39</v>
      </c>
      <c r="W679" s="1077">
        <f t="array" ref="W679">SUMPRODUCT(IF('卡片raw data'!BM$1:BM$1000=T679,1,0),IF('卡片raw data'!BO$1:BO$1000=V679,1,0),IF(IF('卡片raw data'!C$1:C$1000=R$3,1,0)+IF(R$3="",1,0)&gt;=1,1,0),IF(IF('卡片raw data'!D$1:D$1000=R$4,1,0)+IF(R$4="",1,0)&gt;=1,1,0),IF(IF('卡片raw data'!E$1:E$1000=R$5,1,0)+IF(R$5="",1,0)&gt;=1,1,0))</f>
        <v>0</v>
      </c>
      <c r="Y679" s="1307">
        <f t="shared" si="51"/>
        <v>39</v>
      </c>
      <c r="Z679" s="1307">
        <f t="shared" si="52"/>
        <v>0</v>
      </c>
      <c r="AA679" s="1307">
        <f t="shared" si="53"/>
        <v>39</v>
      </c>
      <c r="AB679" s="1307">
        <f t="shared" si="54"/>
        <v>0</v>
      </c>
    </row>
    <row r="680" spans="20:28">
      <c r="T680" s="1077">
        <v>31</v>
      </c>
      <c r="U680" s="1077">
        <f t="shared" si="50"/>
        <v>29</v>
      </c>
      <c r="V680" s="1077">
        <v>40</v>
      </c>
      <c r="W680" s="1077">
        <f t="array" ref="W680">SUMPRODUCT(IF('卡片raw data'!BM$1:BM$1000=T680,1,0),IF('卡片raw data'!BO$1:BO$1000=V680,1,0),IF(IF('卡片raw data'!C$1:C$1000=R$3,1,0)+IF(R$3="",1,0)&gt;=1,1,0),IF(IF('卡片raw data'!D$1:D$1000=R$4,1,0)+IF(R$4="",1,0)&gt;=1,1,0),IF(IF('卡片raw data'!E$1:E$1000=R$5,1,0)+IF(R$5="",1,0)&gt;=1,1,0))</f>
        <v>1</v>
      </c>
      <c r="Y680" s="1307">
        <f t="shared" si="51"/>
        <v>40</v>
      </c>
      <c r="Z680" s="1307">
        <f t="shared" si="52"/>
        <v>1</v>
      </c>
      <c r="AA680" s="1307">
        <f t="shared" si="53"/>
        <v>40</v>
      </c>
      <c r="AB680" s="1307">
        <f t="shared" si="54"/>
        <v>0</v>
      </c>
    </row>
    <row r="681" spans="20:28">
      <c r="T681" s="1077">
        <v>31</v>
      </c>
      <c r="U681" s="1077">
        <f t="shared" si="50"/>
        <v>28</v>
      </c>
      <c r="V681" s="1077">
        <v>41</v>
      </c>
      <c r="W681" s="1077">
        <f t="array" ref="W681">SUMPRODUCT(IF('卡片raw data'!BM$1:BM$1000=T681,1,0),IF('卡片raw data'!BO$1:BO$1000=V681,1,0),IF(IF('卡片raw data'!C$1:C$1000=R$3,1,0)+IF(R$3="",1,0)&gt;=1,1,0),IF(IF('卡片raw data'!D$1:D$1000=R$4,1,0)+IF(R$4="",1,0)&gt;=1,1,0),IF(IF('卡片raw data'!E$1:E$1000=R$5,1,0)+IF(R$5="",1,0)&gt;=1,1,0))</f>
        <v>2</v>
      </c>
      <c r="Y681" s="1307">
        <f t="shared" si="51"/>
        <v>41</v>
      </c>
      <c r="Z681" s="1307">
        <f t="shared" si="52"/>
        <v>2</v>
      </c>
      <c r="AA681" s="1307">
        <f t="shared" si="53"/>
        <v>41</v>
      </c>
      <c r="AB681" s="1307">
        <f t="shared" si="54"/>
        <v>0</v>
      </c>
    </row>
    <row r="682" spans="20:28">
      <c r="T682" s="1077">
        <v>31</v>
      </c>
      <c r="U682" s="1077">
        <f t="shared" si="50"/>
        <v>27</v>
      </c>
      <c r="V682" s="1077">
        <v>42</v>
      </c>
      <c r="W682" s="1077">
        <f t="array" ref="W682">SUMPRODUCT(IF('卡片raw data'!BM$1:BM$1000=T682,1,0),IF('卡片raw data'!BO$1:BO$1000=V682,1,0),IF(IF('卡片raw data'!C$1:C$1000=R$3,1,0)+IF(R$3="",1,0)&gt;=1,1,0),IF(IF('卡片raw data'!D$1:D$1000=R$4,1,0)+IF(R$4="",1,0)&gt;=1,1,0),IF(IF('卡片raw data'!E$1:E$1000=R$5,1,0)+IF(R$5="",1,0)&gt;=1,1,0))</f>
        <v>0</v>
      </c>
      <c r="Y682" s="1307">
        <f t="shared" si="51"/>
        <v>42</v>
      </c>
      <c r="Z682" s="1307">
        <f t="shared" si="52"/>
        <v>0</v>
      </c>
      <c r="AA682" s="1307">
        <f t="shared" si="53"/>
        <v>42</v>
      </c>
      <c r="AB682" s="1307">
        <f t="shared" si="54"/>
        <v>0</v>
      </c>
    </row>
    <row r="683" spans="20:28">
      <c r="T683" s="1077">
        <v>31</v>
      </c>
      <c r="U683" s="1077">
        <f t="shared" si="50"/>
        <v>26</v>
      </c>
      <c r="V683" s="1077">
        <v>43</v>
      </c>
      <c r="W683" s="1077">
        <f t="array" ref="W683">SUMPRODUCT(IF('卡片raw data'!BM$1:BM$1000=T683,1,0),IF('卡片raw data'!BO$1:BO$1000=V683,1,0),IF(IF('卡片raw data'!C$1:C$1000=R$3,1,0)+IF(R$3="",1,0)&gt;=1,1,0),IF(IF('卡片raw data'!D$1:D$1000=R$4,1,0)+IF(R$4="",1,0)&gt;=1,1,0),IF(IF('卡片raw data'!E$1:E$1000=R$5,1,0)+IF(R$5="",1,0)&gt;=1,1,0))</f>
        <v>1</v>
      </c>
      <c r="Y683" s="1307">
        <f t="shared" si="51"/>
        <v>43</v>
      </c>
      <c r="Z683" s="1307">
        <f t="shared" si="52"/>
        <v>1</v>
      </c>
      <c r="AA683" s="1307">
        <f t="shared" si="53"/>
        <v>43</v>
      </c>
      <c r="AB683" s="1307">
        <f t="shared" si="54"/>
        <v>0</v>
      </c>
    </row>
    <row r="684" spans="20:28">
      <c r="T684" s="1077">
        <v>31</v>
      </c>
      <c r="U684" s="1077">
        <f t="shared" si="50"/>
        <v>25</v>
      </c>
      <c r="V684" s="1077">
        <v>44</v>
      </c>
      <c r="W684" s="1077">
        <f t="array" ref="W684">SUMPRODUCT(IF('卡片raw data'!BM$1:BM$1000=T684,1,0),IF('卡片raw data'!BO$1:BO$1000=V684,1,0),IF(IF('卡片raw data'!C$1:C$1000=R$3,1,0)+IF(R$3="",1,0)&gt;=1,1,0),IF(IF('卡片raw data'!D$1:D$1000=R$4,1,0)+IF(R$4="",1,0)&gt;=1,1,0),IF(IF('卡片raw data'!E$1:E$1000=R$5,1,0)+IF(R$5="",1,0)&gt;=1,1,0))</f>
        <v>0</v>
      </c>
      <c r="Y684" s="1307">
        <f t="shared" si="51"/>
        <v>44</v>
      </c>
      <c r="Z684" s="1307">
        <f t="shared" si="52"/>
        <v>0</v>
      </c>
      <c r="AA684" s="1307">
        <f t="shared" si="53"/>
        <v>44</v>
      </c>
      <c r="AB684" s="1307">
        <f t="shared" si="54"/>
        <v>0</v>
      </c>
    </row>
    <row r="685" spans="20:28">
      <c r="T685" s="1077">
        <v>31</v>
      </c>
      <c r="U685" s="1077">
        <f t="shared" si="50"/>
        <v>24</v>
      </c>
      <c r="V685" s="1077">
        <v>45</v>
      </c>
      <c r="W685" s="1077">
        <f t="array" ref="W685">SUMPRODUCT(IF('卡片raw data'!BM$1:BM$1000=T685,1,0),IF('卡片raw data'!BO$1:BO$1000=V685,1,0),IF(IF('卡片raw data'!C$1:C$1000=R$3,1,0)+IF(R$3="",1,0)&gt;=1,1,0),IF(IF('卡片raw data'!D$1:D$1000=R$4,1,0)+IF(R$4="",1,0)&gt;=1,1,0),IF(IF('卡片raw data'!E$1:E$1000=R$5,1,0)+IF(R$5="",1,0)&gt;=1,1,0))</f>
        <v>0</v>
      </c>
      <c r="Y685" s="1307">
        <f t="shared" si="51"/>
        <v>45</v>
      </c>
      <c r="Z685" s="1307">
        <f t="shared" si="52"/>
        <v>0</v>
      </c>
      <c r="AA685" s="1307">
        <f t="shared" si="53"/>
        <v>45</v>
      </c>
      <c r="AB685" s="1307">
        <f t="shared" si="54"/>
        <v>0</v>
      </c>
    </row>
    <row r="686" spans="20:28">
      <c r="T686" s="1077">
        <v>31</v>
      </c>
      <c r="U686" s="1077">
        <f t="shared" si="50"/>
        <v>23</v>
      </c>
      <c r="V686" s="1077">
        <v>46</v>
      </c>
      <c r="W686" s="1077">
        <f t="array" ref="W686">SUMPRODUCT(IF('卡片raw data'!BM$1:BM$1000=T686,1,0),IF('卡片raw data'!BO$1:BO$1000=V686,1,0),IF(IF('卡片raw data'!C$1:C$1000=R$3,1,0)+IF(R$3="",1,0)&gt;=1,1,0),IF(IF('卡片raw data'!D$1:D$1000=R$4,1,0)+IF(R$4="",1,0)&gt;=1,1,0),IF(IF('卡片raw data'!E$1:E$1000=R$5,1,0)+IF(R$5="",1,0)&gt;=1,1,0))</f>
        <v>0</v>
      </c>
      <c r="Y686" s="1307">
        <f t="shared" si="51"/>
        <v>46</v>
      </c>
      <c r="Z686" s="1307">
        <f t="shared" si="52"/>
        <v>0</v>
      </c>
      <c r="AA686" s="1307">
        <f t="shared" si="53"/>
        <v>46</v>
      </c>
      <c r="AB686" s="1307">
        <f t="shared" si="54"/>
        <v>0</v>
      </c>
    </row>
    <row r="687" spans="20:28">
      <c r="T687" s="1077">
        <v>31</v>
      </c>
      <c r="U687" s="1077">
        <f t="shared" si="50"/>
        <v>22</v>
      </c>
      <c r="V687" s="1077">
        <v>47</v>
      </c>
      <c r="W687" s="1077">
        <f t="array" ref="W687">SUMPRODUCT(IF('卡片raw data'!BM$1:BM$1000=T687,1,0),IF('卡片raw data'!BO$1:BO$1000=V687,1,0),IF(IF('卡片raw data'!C$1:C$1000=R$3,1,0)+IF(R$3="",1,0)&gt;=1,1,0),IF(IF('卡片raw data'!D$1:D$1000=R$4,1,0)+IF(R$4="",1,0)&gt;=1,1,0),IF(IF('卡片raw data'!E$1:E$1000=R$5,1,0)+IF(R$5="",1,0)&gt;=1,1,0))</f>
        <v>0</v>
      </c>
      <c r="Y687" s="1307">
        <f t="shared" si="51"/>
        <v>47</v>
      </c>
      <c r="Z687" s="1307">
        <f t="shared" si="52"/>
        <v>0</v>
      </c>
      <c r="AA687" s="1307">
        <f t="shared" si="53"/>
        <v>47</v>
      </c>
      <c r="AB687" s="1307">
        <f t="shared" si="54"/>
        <v>0</v>
      </c>
    </row>
    <row r="688" spans="20:28">
      <c r="T688" s="1077">
        <v>31</v>
      </c>
      <c r="U688" s="1077">
        <f t="shared" si="50"/>
        <v>21</v>
      </c>
      <c r="V688" s="1077">
        <v>48</v>
      </c>
      <c r="W688" s="1077">
        <f t="array" ref="W688">SUMPRODUCT(IF('卡片raw data'!BM$1:BM$1000=T688,1,0),IF('卡片raw data'!BO$1:BO$1000=V688,1,0),IF(IF('卡片raw data'!C$1:C$1000=R$3,1,0)+IF(R$3="",1,0)&gt;=1,1,0),IF(IF('卡片raw data'!D$1:D$1000=R$4,1,0)+IF(R$4="",1,0)&gt;=1,1,0),IF(IF('卡片raw data'!E$1:E$1000=R$5,1,0)+IF(R$5="",1,0)&gt;=1,1,0))</f>
        <v>0</v>
      </c>
      <c r="Y688" s="1307">
        <f t="shared" si="51"/>
        <v>48</v>
      </c>
      <c r="Z688" s="1307">
        <f t="shared" si="52"/>
        <v>0</v>
      </c>
      <c r="AA688" s="1307">
        <f t="shared" si="53"/>
        <v>48</v>
      </c>
      <c r="AB688" s="1307">
        <f t="shared" si="54"/>
        <v>0</v>
      </c>
    </row>
    <row r="689" spans="20:28">
      <c r="T689" s="1077">
        <v>31</v>
      </c>
      <c r="U689" s="1077">
        <f t="shared" si="50"/>
        <v>20</v>
      </c>
      <c r="V689" s="1077">
        <v>49</v>
      </c>
      <c r="W689" s="1077">
        <f t="array" ref="W689">SUMPRODUCT(IF('卡片raw data'!BM$1:BM$1000=T689,1,0),IF('卡片raw data'!BO$1:BO$1000=V689,1,0),IF(IF('卡片raw data'!C$1:C$1000=R$3,1,0)+IF(R$3="",1,0)&gt;=1,1,0),IF(IF('卡片raw data'!D$1:D$1000=R$4,1,0)+IF(R$4="",1,0)&gt;=1,1,0),IF(IF('卡片raw data'!E$1:E$1000=R$5,1,0)+IF(R$5="",1,0)&gt;=1,1,0))</f>
        <v>0</v>
      </c>
      <c r="Y689" s="1307">
        <f t="shared" si="51"/>
        <v>49</v>
      </c>
      <c r="Z689" s="1307">
        <f t="shared" si="52"/>
        <v>0</v>
      </c>
      <c r="AA689" s="1307">
        <f t="shared" si="53"/>
        <v>49</v>
      </c>
      <c r="AB689" s="1307">
        <f t="shared" si="54"/>
        <v>0</v>
      </c>
    </row>
    <row r="690" spans="20:28">
      <c r="T690" s="1077">
        <v>31</v>
      </c>
      <c r="U690" s="1077">
        <f t="shared" si="50"/>
        <v>19</v>
      </c>
      <c r="V690" s="1077">
        <v>50</v>
      </c>
      <c r="W690" s="1077">
        <f t="array" ref="W690">SUMPRODUCT(IF('卡片raw data'!BM$1:BM$1000=T690,1,0),IF('卡片raw data'!BO$1:BO$1000=V690,1,0),IF(IF('卡片raw data'!C$1:C$1000=R$3,1,0)+IF(R$3="",1,0)&gt;=1,1,0),IF(IF('卡片raw data'!D$1:D$1000=R$4,1,0)+IF(R$4="",1,0)&gt;=1,1,0),IF(IF('卡片raw data'!E$1:E$1000=R$5,1,0)+IF(R$5="",1,0)&gt;=1,1,0))</f>
        <v>0</v>
      </c>
      <c r="Y690" s="1307">
        <f t="shared" si="51"/>
        <v>50</v>
      </c>
      <c r="Z690" s="1307">
        <f t="shared" si="52"/>
        <v>0</v>
      </c>
      <c r="AA690" s="1307">
        <f t="shared" si="53"/>
        <v>50</v>
      </c>
      <c r="AB690" s="1307">
        <f t="shared" si="54"/>
        <v>0</v>
      </c>
    </row>
    <row r="691" spans="20:28">
      <c r="T691" s="1077">
        <v>31</v>
      </c>
      <c r="U691" s="1077">
        <f t="shared" si="50"/>
        <v>18</v>
      </c>
      <c r="V691" s="1077">
        <v>51</v>
      </c>
      <c r="W691" s="1077">
        <f t="array" ref="W691">SUMPRODUCT(IF('卡片raw data'!BM$1:BM$1000=T691,1,0),IF('卡片raw data'!BO$1:BO$1000=V691,1,0),IF(IF('卡片raw data'!C$1:C$1000=R$3,1,0)+IF(R$3="",1,0)&gt;=1,1,0),IF(IF('卡片raw data'!D$1:D$1000=R$4,1,0)+IF(R$4="",1,0)&gt;=1,1,0),IF(IF('卡片raw data'!E$1:E$1000=R$5,1,0)+IF(R$5="",1,0)&gt;=1,1,0))</f>
        <v>0</v>
      </c>
      <c r="Y691" s="1307">
        <f t="shared" si="51"/>
        <v>51</v>
      </c>
      <c r="Z691" s="1307">
        <f t="shared" si="52"/>
        <v>0</v>
      </c>
      <c r="AA691" s="1307">
        <f t="shared" si="53"/>
        <v>51</v>
      </c>
      <c r="AB691" s="1307">
        <f t="shared" si="54"/>
        <v>0</v>
      </c>
    </row>
    <row r="692" spans="20:28">
      <c r="T692" s="1077">
        <v>31</v>
      </c>
      <c r="U692" s="1077">
        <f t="shared" si="50"/>
        <v>17</v>
      </c>
      <c r="V692" s="1077">
        <v>52</v>
      </c>
      <c r="W692" s="1077">
        <f t="array" ref="W692">SUMPRODUCT(IF('卡片raw data'!BM$1:BM$1000=T692,1,0),IF('卡片raw data'!BO$1:BO$1000=V692,1,0),IF(IF('卡片raw data'!C$1:C$1000=R$3,1,0)+IF(R$3="",1,0)&gt;=1,1,0),IF(IF('卡片raw data'!D$1:D$1000=R$4,1,0)+IF(R$4="",1,0)&gt;=1,1,0),IF(IF('卡片raw data'!E$1:E$1000=R$5,1,0)+IF(R$5="",1,0)&gt;=1,1,0))</f>
        <v>0</v>
      </c>
      <c r="Y692" s="1307">
        <f t="shared" si="51"/>
        <v>52</v>
      </c>
      <c r="Z692" s="1307">
        <f t="shared" si="52"/>
        <v>0</v>
      </c>
      <c r="AA692" s="1307">
        <f t="shared" si="53"/>
        <v>52</v>
      </c>
      <c r="AB692" s="1307">
        <f t="shared" si="54"/>
        <v>0</v>
      </c>
    </row>
    <row r="693" spans="20:28">
      <c r="T693" s="1077">
        <v>31</v>
      </c>
      <c r="U693" s="1077">
        <f t="shared" si="50"/>
        <v>16</v>
      </c>
      <c r="V693" s="1077">
        <v>53</v>
      </c>
      <c r="W693" s="1077">
        <f t="array" ref="W693">SUMPRODUCT(IF('卡片raw data'!BM$1:BM$1000=T693,1,0),IF('卡片raw data'!BO$1:BO$1000=V693,1,0),IF(IF('卡片raw data'!C$1:C$1000=R$3,1,0)+IF(R$3="",1,0)&gt;=1,1,0),IF(IF('卡片raw data'!D$1:D$1000=R$4,1,0)+IF(R$4="",1,0)&gt;=1,1,0),IF(IF('卡片raw data'!E$1:E$1000=R$5,1,0)+IF(R$5="",1,0)&gt;=1,1,0))</f>
        <v>0</v>
      </c>
      <c r="Y693" s="1307">
        <f t="shared" si="51"/>
        <v>53</v>
      </c>
      <c r="Z693" s="1307">
        <f t="shared" si="52"/>
        <v>0</v>
      </c>
      <c r="AA693" s="1307">
        <f t="shared" si="53"/>
        <v>53</v>
      </c>
      <c r="AB693" s="1307">
        <f t="shared" si="54"/>
        <v>0</v>
      </c>
    </row>
    <row r="694" spans="20:28">
      <c r="T694" s="1077">
        <v>31</v>
      </c>
      <c r="U694" s="1077">
        <f t="shared" si="50"/>
        <v>15</v>
      </c>
      <c r="V694" s="1077">
        <v>54</v>
      </c>
      <c r="W694" s="1077">
        <f t="array" ref="W694">SUMPRODUCT(IF('卡片raw data'!BM$1:BM$1000=T694,1,0),IF('卡片raw data'!BO$1:BO$1000=V694,1,0),IF(IF('卡片raw data'!C$1:C$1000=R$3,1,0)+IF(R$3="",1,0)&gt;=1,1,0),IF(IF('卡片raw data'!D$1:D$1000=R$4,1,0)+IF(R$4="",1,0)&gt;=1,1,0),IF(IF('卡片raw data'!E$1:E$1000=R$5,1,0)+IF(R$5="",1,0)&gt;=1,1,0))</f>
        <v>0</v>
      </c>
      <c r="Y694" s="1307">
        <f t="shared" si="51"/>
        <v>54</v>
      </c>
      <c r="Z694" s="1307">
        <f t="shared" si="52"/>
        <v>0</v>
      </c>
      <c r="AA694" s="1307">
        <f t="shared" si="53"/>
        <v>54</v>
      </c>
      <c r="AB694" s="1307">
        <f t="shared" si="54"/>
        <v>0</v>
      </c>
    </row>
    <row r="695" spans="20:28">
      <c r="T695" s="1077">
        <v>31</v>
      </c>
      <c r="U695" s="1077">
        <f t="shared" si="50"/>
        <v>14</v>
      </c>
      <c r="V695" s="1077">
        <v>55</v>
      </c>
      <c r="W695" s="1077">
        <f t="array" ref="W695">SUMPRODUCT(IF('卡片raw data'!BM$1:BM$1000=T695,1,0),IF('卡片raw data'!BO$1:BO$1000=V695,1,0),IF(IF('卡片raw data'!C$1:C$1000=R$3,1,0)+IF(R$3="",1,0)&gt;=1,1,0),IF(IF('卡片raw data'!D$1:D$1000=R$4,1,0)+IF(R$4="",1,0)&gt;=1,1,0),IF(IF('卡片raw data'!E$1:E$1000=R$5,1,0)+IF(R$5="",1,0)&gt;=1,1,0))</f>
        <v>0</v>
      </c>
      <c r="Y695" s="1307">
        <f t="shared" si="51"/>
        <v>55</v>
      </c>
      <c r="Z695" s="1307">
        <f t="shared" si="52"/>
        <v>0</v>
      </c>
      <c r="AA695" s="1307">
        <f t="shared" si="53"/>
        <v>55</v>
      </c>
      <c r="AB695" s="1307">
        <f t="shared" si="54"/>
        <v>0</v>
      </c>
    </row>
    <row r="696" spans="20:28">
      <c r="T696" s="1077">
        <v>32</v>
      </c>
      <c r="U696" s="1077">
        <f t="shared" si="50"/>
        <v>55</v>
      </c>
      <c r="V696" s="1077">
        <v>13</v>
      </c>
      <c r="W696" s="1077">
        <f t="array" ref="W696">SUMPRODUCT(IF('卡片raw data'!BM$1:BM$1000=T696,1,0),IF('卡片raw data'!BO$1:BO$1000=V696,1,0),IF(IF('卡片raw data'!C$1:C$1000=R$3,1,0)+IF(R$3="",1,0)&gt;=1,1,0),IF(IF('卡片raw data'!D$1:D$1000=R$4,1,0)+IF(R$4="",1,0)&gt;=1,1,0),IF(IF('卡片raw data'!E$1:E$1000=R$5,1,0)+IF(R$5="",1,0)&gt;=1,1,0))</f>
        <v>0</v>
      </c>
      <c r="Y696" s="1307">
        <f t="shared" si="51"/>
        <v>13</v>
      </c>
      <c r="Z696" s="1307">
        <f t="shared" si="52"/>
        <v>0</v>
      </c>
      <c r="AA696" s="1307">
        <f t="shared" si="53"/>
        <v>13</v>
      </c>
      <c r="AB696" s="1307">
        <f t="shared" si="54"/>
        <v>0</v>
      </c>
    </row>
    <row r="697" spans="20:28">
      <c r="T697" s="1077">
        <v>32</v>
      </c>
      <c r="U697" s="1077">
        <f t="shared" si="50"/>
        <v>54</v>
      </c>
      <c r="V697" s="1077">
        <v>14</v>
      </c>
      <c r="W697" s="1077">
        <f t="array" ref="W697">SUMPRODUCT(IF('卡片raw data'!BM$1:BM$1000=T697,1,0),IF('卡片raw data'!BO$1:BO$1000=V697,1,0),IF(IF('卡片raw data'!C$1:C$1000=R$3,1,0)+IF(R$3="",1,0)&gt;=1,1,0),IF(IF('卡片raw data'!D$1:D$1000=R$4,1,0)+IF(R$4="",1,0)&gt;=1,1,0),IF(IF('卡片raw data'!E$1:E$1000=R$5,1,0)+IF(R$5="",1,0)&gt;=1,1,0))</f>
        <v>0</v>
      </c>
      <c r="Y697" s="1307">
        <f t="shared" si="51"/>
        <v>14</v>
      </c>
      <c r="Z697" s="1307">
        <f t="shared" si="52"/>
        <v>0</v>
      </c>
      <c r="AA697" s="1307">
        <f t="shared" si="53"/>
        <v>14</v>
      </c>
      <c r="AB697" s="1307">
        <f t="shared" si="54"/>
        <v>0</v>
      </c>
    </row>
    <row r="698" spans="20:28">
      <c r="T698" s="1077">
        <v>32</v>
      </c>
      <c r="U698" s="1077">
        <f t="shared" si="50"/>
        <v>53</v>
      </c>
      <c r="V698" s="1077">
        <v>15</v>
      </c>
      <c r="W698" s="1077">
        <f t="array" ref="W698">SUMPRODUCT(IF('卡片raw data'!BM$1:BM$1000=T698,1,0),IF('卡片raw data'!BO$1:BO$1000=V698,1,0),IF(IF('卡片raw data'!C$1:C$1000=R$3,1,0)+IF(R$3="",1,0)&gt;=1,1,0),IF(IF('卡片raw data'!D$1:D$1000=R$4,1,0)+IF(R$4="",1,0)&gt;=1,1,0),IF(IF('卡片raw data'!E$1:E$1000=R$5,1,0)+IF(R$5="",1,0)&gt;=1,1,0))</f>
        <v>0</v>
      </c>
      <c r="Y698" s="1307">
        <f t="shared" si="51"/>
        <v>15</v>
      </c>
      <c r="Z698" s="1307">
        <f t="shared" si="52"/>
        <v>0</v>
      </c>
      <c r="AA698" s="1307">
        <f t="shared" si="53"/>
        <v>15</v>
      </c>
      <c r="AB698" s="1307">
        <f t="shared" si="54"/>
        <v>0</v>
      </c>
    </row>
    <row r="699" spans="20:28">
      <c r="T699" s="1077">
        <v>32</v>
      </c>
      <c r="U699" s="1077">
        <f t="shared" si="50"/>
        <v>52</v>
      </c>
      <c r="V699" s="1077">
        <v>16</v>
      </c>
      <c r="W699" s="1077">
        <f t="array" ref="W699">SUMPRODUCT(IF('卡片raw data'!BM$1:BM$1000=T699,1,0),IF('卡片raw data'!BO$1:BO$1000=V699,1,0),IF(IF('卡片raw data'!C$1:C$1000=R$3,1,0)+IF(R$3="",1,0)&gt;=1,1,0),IF(IF('卡片raw data'!D$1:D$1000=R$4,1,0)+IF(R$4="",1,0)&gt;=1,1,0),IF(IF('卡片raw data'!E$1:E$1000=R$5,1,0)+IF(R$5="",1,0)&gt;=1,1,0))</f>
        <v>0</v>
      </c>
      <c r="Y699" s="1307">
        <f t="shared" si="51"/>
        <v>16</v>
      </c>
      <c r="Z699" s="1307">
        <f t="shared" si="52"/>
        <v>0</v>
      </c>
      <c r="AA699" s="1307">
        <f t="shared" si="53"/>
        <v>16</v>
      </c>
      <c r="AB699" s="1307">
        <f t="shared" si="54"/>
        <v>0</v>
      </c>
    </row>
    <row r="700" spans="20:28">
      <c r="T700" s="1077">
        <v>32</v>
      </c>
      <c r="U700" s="1077">
        <f t="shared" si="50"/>
        <v>51</v>
      </c>
      <c r="V700" s="1077">
        <v>17</v>
      </c>
      <c r="W700" s="1077">
        <f t="array" ref="W700">SUMPRODUCT(IF('卡片raw data'!BM$1:BM$1000=T700,1,0),IF('卡片raw data'!BO$1:BO$1000=V700,1,0),IF(IF('卡片raw data'!C$1:C$1000=R$3,1,0)+IF(R$3="",1,0)&gt;=1,1,0),IF(IF('卡片raw data'!D$1:D$1000=R$4,1,0)+IF(R$4="",1,0)&gt;=1,1,0),IF(IF('卡片raw data'!E$1:E$1000=R$5,1,0)+IF(R$5="",1,0)&gt;=1,1,0))</f>
        <v>0</v>
      </c>
      <c r="Y700" s="1307">
        <f t="shared" si="51"/>
        <v>17</v>
      </c>
      <c r="Z700" s="1307">
        <f t="shared" si="52"/>
        <v>0</v>
      </c>
      <c r="AA700" s="1307">
        <f t="shared" si="53"/>
        <v>17</v>
      </c>
      <c r="AB700" s="1307">
        <f t="shared" si="54"/>
        <v>0</v>
      </c>
    </row>
    <row r="701" spans="20:28">
      <c r="T701" s="1077">
        <v>32</v>
      </c>
      <c r="U701" s="1077">
        <f t="shared" si="50"/>
        <v>50</v>
      </c>
      <c r="V701" s="1077">
        <v>18</v>
      </c>
      <c r="W701" s="1077">
        <f t="array" ref="W701">SUMPRODUCT(IF('卡片raw data'!BM$1:BM$1000=T701,1,0),IF('卡片raw data'!BO$1:BO$1000=V701,1,0),IF(IF('卡片raw data'!C$1:C$1000=R$3,1,0)+IF(R$3="",1,0)&gt;=1,1,0),IF(IF('卡片raw data'!D$1:D$1000=R$4,1,0)+IF(R$4="",1,0)&gt;=1,1,0),IF(IF('卡片raw data'!E$1:E$1000=R$5,1,0)+IF(R$5="",1,0)&gt;=1,1,0))</f>
        <v>0</v>
      </c>
      <c r="Y701" s="1307">
        <f t="shared" si="51"/>
        <v>18</v>
      </c>
      <c r="Z701" s="1307">
        <f t="shared" si="52"/>
        <v>0</v>
      </c>
      <c r="AA701" s="1307">
        <f t="shared" si="53"/>
        <v>18</v>
      </c>
      <c r="AB701" s="1307">
        <f t="shared" si="54"/>
        <v>0</v>
      </c>
    </row>
    <row r="702" spans="20:28">
      <c r="T702" s="1077">
        <v>32</v>
      </c>
      <c r="U702" s="1077">
        <f t="shared" si="50"/>
        <v>49</v>
      </c>
      <c r="V702" s="1077">
        <v>19</v>
      </c>
      <c r="W702" s="1077">
        <f t="array" ref="W702">SUMPRODUCT(IF('卡片raw data'!BM$1:BM$1000=T702,1,0),IF('卡片raw data'!BO$1:BO$1000=V702,1,0),IF(IF('卡片raw data'!C$1:C$1000=R$3,1,0)+IF(R$3="",1,0)&gt;=1,1,0),IF(IF('卡片raw data'!D$1:D$1000=R$4,1,0)+IF(R$4="",1,0)&gt;=1,1,0),IF(IF('卡片raw data'!E$1:E$1000=R$5,1,0)+IF(R$5="",1,0)&gt;=1,1,0))</f>
        <v>0</v>
      </c>
      <c r="Y702" s="1307">
        <f t="shared" si="51"/>
        <v>19</v>
      </c>
      <c r="Z702" s="1307">
        <f t="shared" si="52"/>
        <v>0</v>
      </c>
      <c r="AA702" s="1307">
        <f t="shared" si="53"/>
        <v>19</v>
      </c>
      <c r="AB702" s="1307">
        <f t="shared" si="54"/>
        <v>0</v>
      </c>
    </row>
    <row r="703" spans="20:28">
      <c r="T703" s="1077">
        <v>32</v>
      </c>
      <c r="U703" s="1077">
        <f t="shared" si="50"/>
        <v>48</v>
      </c>
      <c r="V703" s="1077">
        <v>20</v>
      </c>
      <c r="W703" s="1077">
        <f t="array" ref="W703">SUMPRODUCT(IF('卡片raw data'!BM$1:BM$1000=T703,1,0),IF('卡片raw data'!BO$1:BO$1000=V703,1,0),IF(IF('卡片raw data'!C$1:C$1000=R$3,1,0)+IF(R$3="",1,0)&gt;=1,1,0),IF(IF('卡片raw data'!D$1:D$1000=R$4,1,0)+IF(R$4="",1,0)&gt;=1,1,0),IF(IF('卡片raw data'!E$1:E$1000=R$5,1,0)+IF(R$5="",1,0)&gt;=1,1,0))</f>
        <v>0</v>
      </c>
      <c r="Y703" s="1307">
        <f t="shared" si="51"/>
        <v>20</v>
      </c>
      <c r="Z703" s="1307">
        <f t="shared" si="52"/>
        <v>0</v>
      </c>
      <c r="AA703" s="1307">
        <f t="shared" si="53"/>
        <v>20</v>
      </c>
      <c r="AB703" s="1307">
        <f t="shared" si="54"/>
        <v>0</v>
      </c>
    </row>
    <row r="704" spans="20:28">
      <c r="T704" s="1077">
        <v>32</v>
      </c>
      <c r="U704" s="1077">
        <f t="shared" si="50"/>
        <v>47</v>
      </c>
      <c r="V704" s="1077">
        <v>21</v>
      </c>
      <c r="W704" s="1077">
        <f t="array" ref="W704">SUMPRODUCT(IF('卡片raw data'!BM$1:BM$1000=T704,1,0),IF('卡片raw data'!BO$1:BO$1000=V704,1,0),IF(IF('卡片raw data'!C$1:C$1000=R$3,1,0)+IF(R$3="",1,0)&gt;=1,1,0),IF(IF('卡片raw data'!D$1:D$1000=R$4,1,0)+IF(R$4="",1,0)&gt;=1,1,0),IF(IF('卡片raw data'!E$1:E$1000=R$5,1,0)+IF(R$5="",1,0)&gt;=1,1,0))</f>
        <v>0</v>
      </c>
      <c r="Y704" s="1307">
        <f t="shared" si="51"/>
        <v>21</v>
      </c>
      <c r="Z704" s="1307">
        <f t="shared" si="52"/>
        <v>0</v>
      </c>
      <c r="AA704" s="1307">
        <f t="shared" si="53"/>
        <v>21</v>
      </c>
      <c r="AB704" s="1307">
        <f t="shared" si="54"/>
        <v>0</v>
      </c>
    </row>
    <row r="705" spans="20:28">
      <c r="T705" s="1077">
        <v>32</v>
      </c>
      <c r="U705" s="1077">
        <f t="shared" si="50"/>
        <v>46</v>
      </c>
      <c r="V705" s="1077">
        <v>22</v>
      </c>
      <c r="W705" s="1077">
        <f t="array" ref="W705">SUMPRODUCT(IF('卡片raw data'!BM$1:BM$1000=T705,1,0),IF('卡片raw data'!BO$1:BO$1000=V705,1,0),IF(IF('卡片raw data'!C$1:C$1000=R$3,1,0)+IF(R$3="",1,0)&gt;=1,1,0),IF(IF('卡片raw data'!D$1:D$1000=R$4,1,0)+IF(R$4="",1,0)&gt;=1,1,0),IF(IF('卡片raw data'!E$1:E$1000=R$5,1,0)+IF(R$5="",1,0)&gt;=1,1,0))</f>
        <v>0</v>
      </c>
      <c r="Y705" s="1307">
        <f t="shared" si="51"/>
        <v>22</v>
      </c>
      <c r="Z705" s="1307">
        <f t="shared" si="52"/>
        <v>0</v>
      </c>
      <c r="AA705" s="1307">
        <f t="shared" si="53"/>
        <v>22</v>
      </c>
      <c r="AB705" s="1307">
        <f t="shared" si="54"/>
        <v>0</v>
      </c>
    </row>
    <row r="706" spans="20:28">
      <c r="T706" s="1077">
        <v>32</v>
      </c>
      <c r="U706" s="1077">
        <f t="shared" si="50"/>
        <v>45</v>
      </c>
      <c r="V706" s="1077">
        <v>23</v>
      </c>
      <c r="W706" s="1077">
        <f t="array" ref="W706">SUMPRODUCT(IF('卡片raw data'!BM$1:BM$1000=T706,1,0),IF('卡片raw data'!BO$1:BO$1000=V706,1,0),IF(IF('卡片raw data'!C$1:C$1000=R$3,1,0)+IF(R$3="",1,0)&gt;=1,1,0),IF(IF('卡片raw data'!D$1:D$1000=R$4,1,0)+IF(R$4="",1,0)&gt;=1,1,0),IF(IF('卡片raw data'!E$1:E$1000=R$5,1,0)+IF(R$5="",1,0)&gt;=1,1,0))</f>
        <v>0</v>
      </c>
      <c r="Y706" s="1307">
        <f t="shared" si="51"/>
        <v>23</v>
      </c>
      <c r="Z706" s="1307">
        <f t="shared" si="52"/>
        <v>0</v>
      </c>
      <c r="AA706" s="1307">
        <f t="shared" si="53"/>
        <v>23</v>
      </c>
      <c r="AB706" s="1307">
        <f t="shared" si="54"/>
        <v>0</v>
      </c>
    </row>
    <row r="707" spans="20:28">
      <c r="T707" s="1077">
        <v>32</v>
      </c>
      <c r="U707" s="1077">
        <f t="shared" si="50"/>
        <v>44</v>
      </c>
      <c r="V707" s="1077">
        <v>24</v>
      </c>
      <c r="W707" s="1077">
        <f t="array" ref="W707">SUMPRODUCT(IF('卡片raw data'!BM$1:BM$1000=T707,1,0),IF('卡片raw data'!BO$1:BO$1000=V707,1,0),IF(IF('卡片raw data'!C$1:C$1000=R$3,1,0)+IF(R$3="",1,0)&gt;=1,1,0),IF(IF('卡片raw data'!D$1:D$1000=R$4,1,0)+IF(R$4="",1,0)&gt;=1,1,0),IF(IF('卡片raw data'!E$1:E$1000=R$5,1,0)+IF(R$5="",1,0)&gt;=1,1,0))</f>
        <v>1</v>
      </c>
      <c r="Y707" s="1307">
        <f t="shared" si="51"/>
        <v>24</v>
      </c>
      <c r="Z707" s="1307">
        <f t="shared" si="52"/>
        <v>0</v>
      </c>
      <c r="AA707" s="1307">
        <f t="shared" si="53"/>
        <v>24</v>
      </c>
      <c r="AB707" s="1307">
        <f t="shared" si="54"/>
        <v>1</v>
      </c>
    </row>
    <row r="708" spans="20:28">
      <c r="T708" s="1077">
        <v>32</v>
      </c>
      <c r="U708" s="1077">
        <f t="shared" ref="U708:U771" si="55">100-T708-V708</f>
        <v>43</v>
      </c>
      <c r="V708" s="1077">
        <v>25</v>
      </c>
      <c r="W708" s="1077">
        <f t="array" ref="W708">SUMPRODUCT(IF('卡片raw data'!BM$1:BM$1000=T708,1,0),IF('卡片raw data'!BO$1:BO$1000=V708,1,0),IF(IF('卡片raw data'!C$1:C$1000=R$3,1,0)+IF(R$3="",1,0)&gt;=1,1,0),IF(IF('卡片raw data'!D$1:D$1000=R$4,1,0)+IF(R$4="",1,0)&gt;=1,1,0),IF(IF('卡片raw data'!E$1:E$1000=R$5,1,0)+IF(R$5="",1,0)&gt;=1,1,0))</f>
        <v>1</v>
      </c>
      <c r="Y708" s="1307">
        <f t="shared" ref="Y708:Y771" si="56">V708</f>
        <v>25</v>
      </c>
      <c r="Z708" s="1307">
        <f t="shared" ref="Z708:Z771" si="57">IF(AND(V708&gt;U708,V708&gt;T708),W708,0)</f>
        <v>0</v>
      </c>
      <c r="AA708" s="1307">
        <f t="shared" ref="AA708:AA771" si="58">V708</f>
        <v>25</v>
      </c>
      <c r="AB708" s="1307">
        <f t="shared" ref="AB708:AB771" si="59">W708-Z708</f>
        <v>1</v>
      </c>
    </row>
    <row r="709" spans="20:28">
      <c r="T709" s="1077">
        <v>32</v>
      </c>
      <c r="U709" s="1077">
        <f t="shared" si="55"/>
        <v>42</v>
      </c>
      <c r="V709" s="1077">
        <v>26</v>
      </c>
      <c r="W709" s="1077">
        <f t="array" ref="W709">SUMPRODUCT(IF('卡片raw data'!BM$1:BM$1000=T709,1,0),IF('卡片raw data'!BO$1:BO$1000=V709,1,0),IF(IF('卡片raw data'!C$1:C$1000=R$3,1,0)+IF(R$3="",1,0)&gt;=1,1,0),IF(IF('卡片raw data'!D$1:D$1000=R$4,1,0)+IF(R$4="",1,0)&gt;=1,1,0),IF(IF('卡片raw data'!E$1:E$1000=R$5,1,0)+IF(R$5="",1,0)&gt;=1,1,0))</f>
        <v>0</v>
      </c>
      <c r="Y709" s="1307">
        <f t="shared" si="56"/>
        <v>26</v>
      </c>
      <c r="Z709" s="1307">
        <f t="shared" si="57"/>
        <v>0</v>
      </c>
      <c r="AA709" s="1307">
        <f t="shared" si="58"/>
        <v>26</v>
      </c>
      <c r="AB709" s="1307">
        <f t="shared" si="59"/>
        <v>0</v>
      </c>
    </row>
    <row r="710" spans="20:28">
      <c r="T710" s="1077">
        <v>32</v>
      </c>
      <c r="U710" s="1077">
        <f t="shared" si="55"/>
        <v>41</v>
      </c>
      <c r="V710" s="1077">
        <v>27</v>
      </c>
      <c r="W710" s="1077">
        <f t="array" ref="W710">SUMPRODUCT(IF('卡片raw data'!BM$1:BM$1000=T710,1,0),IF('卡片raw data'!BO$1:BO$1000=V710,1,0),IF(IF('卡片raw data'!C$1:C$1000=R$3,1,0)+IF(R$3="",1,0)&gt;=1,1,0),IF(IF('卡片raw data'!D$1:D$1000=R$4,1,0)+IF(R$4="",1,0)&gt;=1,1,0),IF(IF('卡片raw data'!E$1:E$1000=R$5,1,0)+IF(R$5="",1,0)&gt;=1,1,0))</f>
        <v>0</v>
      </c>
      <c r="Y710" s="1307">
        <f t="shared" si="56"/>
        <v>27</v>
      </c>
      <c r="Z710" s="1307">
        <f t="shared" si="57"/>
        <v>0</v>
      </c>
      <c r="AA710" s="1307">
        <f t="shared" si="58"/>
        <v>27</v>
      </c>
      <c r="AB710" s="1307">
        <f t="shared" si="59"/>
        <v>0</v>
      </c>
    </row>
    <row r="711" spans="20:28">
      <c r="T711" s="1077">
        <v>32</v>
      </c>
      <c r="U711" s="1077">
        <f t="shared" si="55"/>
        <v>40</v>
      </c>
      <c r="V711" s="1077">
        <v>28</v>
      </c>
      <c r="W711" s="1077">
        <f t="array" ref="W711">SUMPRODUCT(IF('卡片raw data'!BM$1:BM$1000=T711,1,0),IF('卡片raw data'!BO$1:BO$1000=V711,1,0),IF(IF('卡片raw data'!C$1:C$1000=R$3,1,0)+IF(R$3="",1,0)&gt;=1,1,0),IF(IF('卡片raw data'!D$1:D$1000=R$4,1,0)+IF(R$4="",1,0)&gt;=1,1,0),IF(IF('卡片raw data'!E$1:E$1000=R$5,1,0)+IF(R$5="",1,0)&gt;=1,1,0))</f>
        <v>0</v>
      </c>
      <c r="Y711" s="1307">
        <f t="shared" si="56"/>
        <v>28</v>
      </c>
      <c r="Z711" s="1307">
        <f t="shared" si="57"/>
        <v>0</v>
      </c>
      <c r="AA711" s="1307">
        <f t="shared" si="58"/>
        <v>28</v>
      </c>
      <c r="AB711" s="1307">
        <f t="shared" si="59"/>
        <v>0</v>
      </c>
    </row>
    <row r="712" spans="20:28">
      <c r="T712" s="1077">
        <v>32</v>
      </c>
      <c r="U712" s="1077">
        <f t="shared" si="55"/>
        <v>39</v>
      </c>
      <c r="V712" s="1077">
        <v>29</v>
      </c>
      <c r="W712" s="1077">
        <f t="array" ref="W712">SUMPRODUCT(IF('卡片raw data'!BM$1:BM$1000=T712,1,0),IF('卡片raw data'!BO$1:BO$1000=V712,1,0),IF(IF('卡片raw data'!C$1:C$1000=R$3,1,0)+IF(R$3="",1,0)&gt;=1,1,0),IF(IF('卡片raw data'!D$1:D$1000=R$4,1,0)+IF(R$4="",1,0)&gt;=1,1,0),IF(IF('卡片raw data'!E$1:E$1000=R$5,1,0)+IF(R$5="",1,0)&gt;=1,1,0))</f>
        <v>0</v>
      </c>
      <c r="Y712" s="1307">
        <f t="shared" si="56"/>
        <v>29</v>
      </c>
      <c r="Z712" s="1307">
        <f t="shared" si="57"/>
        <v>0</v>
      </c>
      <c r="AA712" s="1307">
        <f t="shared" si="58"/>
        <v>29</v>
      </c>
      <c r="AB712" s="1307">
        <f t="shared" si="59"/>
        <v>0</v>
      </c>
    </row>
    <row r="713" spans="20:28">
      <c r="T713" s="1077">
        <v>32</v>
      </c>
      <c r="U713" s="1077">
        <f t="shared" si="55"/>
        <v>38</v>
      </c>
      <c r="V713" s="1077">
        <v>30</v>
      </c>
      <c r="W713" s="1077">
        <f t="array" ref="W713">SUMPRODUCT(IF('卡片raw data'!BM$1:BM$1000=T713,1,0),IF('卡片raw data'!BO$1:BO$1000=V713,1,0),IF(IF('卡片raw data'!C$1:C$1000=R$3,1,0)+IF(R$3="",1,0)&gt;=1,1,0),IF(IF('卡片raw data'!D$1:D$1000=R$4,1,0)+IF(R$4="",1,0)&gt;=1,1,0),IF(IF('卡片raw data'!E$1:E$1000=R$5,1,0)+IF(R$5="",1,0)&gt;=1,1,0))</f>
        <v>4</v>
      </c>
      <c r="Y713" s="1307">
        <f t="shared" si="56"/>
        <v>30</v>
      </c>
      <c r="Z713" s="1307">
        <f t="shared" si="57"/>
        <v>0</v>
      </c>
      <c r="AA713" s="1307">
        <f t="shared" si="58"/>
        <v>30</v>
      </c>
      <c r="AB713" s="1307">
        <f t="shared" si="59"/>
        <v>4</v>
      </c>
    </row>
    <row r="714" spans="20:28">
      <c r="T714" s="1077">
        <v>32</v>
      </c>
      <c r="U714" s="1077">
        <f t="shared" si="55"/>
        <v>37</v>
      </c>
      <c r="V714" s="1077">
        <v>31</v>
      </c>
      <c r="W714" s="1077">
        <f t="array" ref="W714">SUMPRODUCT(IF('卡片raw data'!BM$1:BM$1000=T714,1,0),IF('卡片raw data'!BO$1:BO$1000=V714,1,0),IF(IF('卡片raw data'!C$1:C$1000=R$3,1,0)+IF(R$3="",1,0)&gt;=1,1,0),IF(IF('卡片raw data'!D$1:D$1000=R$4,1,0)+IF(R$4="",1,0)&gt;=1,1,0),IF(IF('卡片raw data'!E$1:E$1000=R$5,1,0)+IF(R$5="",1,0)&gt;=1,1,0))</f>
        <v>0</v>
      </c>
      <c r="Y714" s="1307">
        <f t="shared" si="56"/>
        <v>31</v>
      </c>
      <c r="Z714" s="1307">
        <f t="shared" si="57"/>
        <v>0</v>
      </c>
      <c r="AA714" s="1307">
        <f t="shared" si="58"/>
        <v>31</v>
      </c>
      <c r="AB714" s="1307">
        <f t="shared" si="59"/>
        <v>0</v>
      </c>
    </row>
    <row r="715" spans="20:28">
      <c r="T715" s="1077">
        <v>32</v>
      </c>
      <c r="U715" s="1077">
        <f t="shared" si="55"/>
        <v>36</v>
      </c>
      <c r="V715" s="1077">
        <v>32</v>
      </c>
      <c r="W715" s="1077">
        <f t="array" ref="W715">SUMPRODUCT(IF('卡片raw data'!BM$1:BM$1000=T715,1,0),IF('卡片raw data'!BO$1:BO$1000=V715,1,0),IF(IF('卡片raw data'!C$1:C$1000=R$3,1,0)+IF(R$3="",1,0)&gt;=1,1,0),IF(IF('卡片raw data'!D$1:D$1000=R$4,1,0)+IF(R$4="",1,0)&gt;=1,1,0),IF(IF('卡片raw data'!E$1:E$1000=R$5,1,0)+IF(R$5="",1,0)&gt;=1,1,0))</f>
        <v>0</v>
      </c>
      <c r="Y715" s="1307">
        <f t="shared" si="56"/>
        <v>32</v>
      </c>
      <c r="Z715" s="1307">
        <f t="shared" si="57"/>
        <v>0</v>
      </c>
      <c r="AA715" s="1307">
        <f t="shared" si="58"/>
        <v>32</v>
      </c>
      <c r="AB715" s="1307">
        <f t="shared" si="59"/>
        <v>0</v>
      </c>
    </row>
    <row r="716" spans="20:28">
      <c r="T716" s="1077">
        <v>32</v>
      </c>
      <c r="U716" s="1077">
        <f t="shared" si="55"/>
        <v>35</v>
      </c>
      <c r="V716" s="1077">
        <v>33</v>
      </c>
      <c r="W716" s="1077">
        <f t="array" ref="W716">SUMPRODUCT(IF('卡片raw data'!BM$1:BM$1000=T716,1,0),IF('卡片raw data'!BO$1:BO$1000=V716,1,0),IF(IF('卡片raw data'!C$1:C$1000=R$3,1,0)+IF(R$3="",1,0)&gt;=1,1,0),IF(IF('卡片raw data'!D$1:D$1000=R$4,1,0)+IF(R$4="",1,0)&gt;=1,1,0),IF(IF('卡片raw data'!E$1:E$1000=R$5,1,0)+IF(R$5="",1,0)&gt;=1,1,0))</f>
        <v>0</v>
      </c>
      <c r="Y716" s="1307">
        <f t="shared" si="56"/>
        <v>33</v>
      </c>
      <c r="Z716" s="1307">
        <f t="shared" si="57"/>
        <v>0</v>
      </c>
      <c r="AA716" s="1307">
        <f t="shared" si="58"/>
        <v>33</v>
      </c>
      <c r="AB716" s="1307">
        <f t="shared" si="59"/>
        <v>0</v>
      </c>
    </row>
    <row r="717" spans="20:28">
      <c r="T717" s="1077">
        <v>32</v>
      </c>
      <c r="U717" s="1077">
        <f t="shared" si="55"/>
        <v>34</v>
      </c>
      <c r="V717" s="1077">
        <v>34</v>
      </c>
      <c r="W717" s="1077">
        <f t="array" ref="W717">SUMPRODUCT(IF('卡片raw data'!BM$1:BM$1000=T717,1,0),IF('卡片raw data'!BO$1:BO$1000=V717,1,0),IF(IF('卡片raw data'!C$1:C$1000=R$3,1,0)+IF(R$3="",1,0)&gt;=1,1,0),IF(IF('卡片raw data'!D$1:D$1000=R$4,1,0)+IF(R$4="",1,0)&gt;=1,1,0),IF(IF('卡片raw data'!E$1:E$1000=R$5,1,0)+IF(R$5="",1,0)&gt;=1,1,0))</f>
        <v>1</v>
      </c>
      <c r="Y717" s="1307">
        <f t="shared" si="56"/>
        <v>34</v>
      </c>
      <c r="Z717" s="1307">
        <f t="shared" si="57"/>
        <v>0</v>
      </c>
      <c r="AA717" s="1307">
        <f t="shared" si="58"/>
        <v>34</v>
      </c>
      <c r="AB717" s="1307">
        <f t="shared" si="59"/>
        <v>1</v>
      </c>
    </row>
    <row r="718" spans="20:28">
      <c r="T718" s="1077">
        <v>32</v>
      </c>
      <c r="U718" s="1077">
        <f t="shared" si="55"/>
        <v>33</v>
      </c>
      <c r="V718" s="1077">
        <v>35</v>
      </c>
      <c r="W718" s="1077">
        <f t="array" ref="W718">SUMPRODUCT(IF('卡片raw data'!BM$1:BM$1000=T718,1,0),IF('卡片raw data'!BO$1:BO$1000=V718,1,0),IF(IF('卡片raw data'!C$1:C$1000=R$3,1,0)+IF(R$3="",1,0)&gt;=1,1,0),IF(IF('卡片raw data'!D$1:D$1000=R$4,1,0)+IF(R$4="",1,0)&gt;=1,1,0),IF(IF('卡片raw data'!E$1:E$1000=R$5,1,0)+IF(R$5="",1,0)&gt;=1,1,0))</f>
        <v>0</v>
      </c>
      <c r="Y718" s="1307">
        <f t="shared" si="56"/>
        <v>35</v>
      </c>
      <c r="Z718" s="1307">
        <f t="shared" si="57"/>
        <v>0</v>
      </c>
      <c r="AA718" s="1307">
        <f t="shared" si="58"/>
        <v>35</v>
      </c>
      <c r="AB718" s="1307">
        <f t="shared" si="59"/>
        <v>0</v>
      </c>
    </row>
    <row r="719" spans="20:28">
      <c r="T719" s="1077">
        <v>32</v>
      </c>
      <c r="U719" s="1077">
        <f t="shared" si="55"/>
        <v>32</v>
      </c>
      <c r="V719" s="1077">
        <v>36</v>
      </c>
      <c r="W719" s="1077">
        <f t="array" ref="W719">SUMPRODUCT(IF('卡片raw data'!BM$1:BM$1000=T719,1,0),IF('卡片raw data'!BO$1:BO$1000=V719,1,0),IF(IF('卡片raw data'!C$1:C$1000=R$3,1,0)+IF(R$3="",1,0)&gt;=1,1,0),IF(IF('卡片raw data'!D$1:D$1000=R$4,1,0)+IF(R$4="",1,0)&gt;=1,1,0),IF(IF('卡片raw data'!E$1:E$1000=R$5,1,0)+IF(R$5="",1,0)&gt;=1,1,0))</f>
        <v>3</v>
      </c>
      <c r="Y719" s="1307">
        <f t="shared" si="56"/>
        <v>36</v>
      </c>
      <c r="Z719" s="1307">
        <f t="shared" si="57"/>
        <v>3</v>
      </c>
      <c r="AA719" s="1307">
        <f t="shared" si="58"/>
        <v>36</v>
      </c>
      <c r="AB719" s="1307">
        <f t="shared" si="59"/>
        <v>0</v>
      </c>
    </row>
    <row r="720" spans="20:28">
      <c r="T720" s="1077">
        <v>32</v>
      </c>
      <c r="U720" s="1077">
        <f t="shared" si="55"/>
        <v>31</v>
      </c>
      <c r="V720" s="1077">
        <v>37</v>
      </c>
      <c r="W720" s="1077">
        <f t="array" ref="W720">SUMPRODUCT(IF('卡片raw data'!BM$1:BM$1000=T720,1,0),IF('卡片raw data'!BO$1:BO$1000=V720,1,0),IF(IF('卡片raw data'!C$1:C$1000=R$3,1,0)+IF(R$3="",1,0)&gt;=1,1,0),IF(IF('卡片raw data'!D$1:D$1000=R$4,1,0)+IF(R$4="",1,0)&gt;=1,1,0),IF(IF('卡片raw data'!E$1:E$1000=R$5,1,0)+IF(R$5="",1,0)&gt;=1,1,0))</f>
        <v>1</v>
      </c>
      <c r="Y720" s="1307">
        <f t="shared" si="56"/>
        <v>37</v>
      </c>
      <c r="Z720" s="1307">
        <f t="shared" si="57"/>
        <v>1</v>
      </c>
      <c r="AA720" s="1307">
        <f t="shared" si="58"/>
        <v>37</v>
      </c>
      <c r="AB720" s="1307">
        <f t="shared" si="59"/>
        <v>0</v>
      </c>
    </row>
    <row r="721" spans="20:28">
      <c r="T721" s="1077">
        <v>32</v>
      </c>
      <c r="U721" s="1077">
        <f t="shared" si="55"/>
        <v>30</v>
      </c>
      <c r="V721" s="1077">
        <v>38</v>
      </c>
      <c r="W721" s="1077">
        <f t="array" ref="W721">SUMPRODUCT(IF('卡片raw data'!BM$1:BM$1000=T721,1,0),IF('卡片raw data'!BO$1:BO$1000=V721,1,0),IF(IF('卡片raw data'!C$1:C$1000=R$3,1,0)+IF(R$3="",1,0)&gt;=1,1,0),IF(IF('卡片raw data'!D$1:D$1000=R$4,1,0)+IF(R$4="",1,0)&gt;=1,1,0),IF(IF('卡片raw data'!E$1:E$1000=R$5,1,0)+IF(R$5="",1,0)&gt;=1,1,0))</f>
        <v>3</v>
      </c>
      <c r="Y721" s="1307">
        <f t="shared" si="56"/>
        <v>38</v>
      </c>
      <c r="Z721" s="1307">
        <f t="shared" si="57"/>
        <v>3</v>
      </c>
      <c r="AA721" s="1307">
        <f t="shared" si="58"/>
        <v>38</v>
      </c>
      <c r="AB721" s="1307">
        <f t="shared" si="59"/>
        <v>0</v>
      </c>
    </row>
    <row r="722" spans="20:28">
      <c r="T722" s="1077">
        <v>32</v>
      </c>
      <c r="U722" s="1077">
        <f t="shared" si="55"/>
        <v>29</v>
      </c>
      <c r="V722" s="1077">
        <v>39</v>
      </c>
      <c r="W722" s="1077">
        <f t="array" ref="W722">SUMPRODUCT(IF('卡片raw data'!BM$1:BM$1000=T722,1,0),IF('卡片raw data'!BO$1:BO$1000=V722,1,0),IF(IF('卡片raw data'!C$1:C$1000=R$3,1,0)+IF(R$3="",1,0)&gt;=1,1,0),IF(IF('卡片raw data'!D$1:D$1000=R$4,1,0)+IF(R$4="",1,0)&gt;=1,1,0),IF(IF('卡片raw data'!E$1:E$1000=R$5,1,0)+IF(R$5="",1,0)&gt;=1,1,0))</f>
        <v>2</v>
      </c>
      <c r="Y722" s="1307">
        <f t="shared" si="56"/>
        <v>39</v>
      </c>
      <c r="Z722" s="1307">
        <f t="shared" si="57"/>
        <v>2</v>
      </c>
      <c r="AA722" s="1307">
        <f t="shared" si="58"/>
        <v>39</v>
      </c>
      <c r="AB722" s="1307">
        <f t="shared" si="59"/>
        <v>0</v>
      </c>
    </row>
    <row r="723" spans="20:28">
      <c r="T723" s="1077">
        <v>32</v>
      </c>
      <c r="U723" s="1077">
        <f t="shared" si="55"/>
        <v>28</v>
      </c>
      <c r="V723" s="1077">
        <v>40</v>
      </c>
      <c r="W723" s="1077">
        <f t="array" ref="W723">SUMPRODUCT(IF('卡片raw data'!BM$1:BM$1000=T723,1,0),IF('卡片raw data'!BO$1:BO$1000=V723,1,0),IF(IF('卡片raw data'!C$1:C$1000=R$3,1,0)+IF(R$3="",1,0)&gt;=1,1,0),IF(IF('卡片raw data'!D$1:D$1000=R$4,1,0)+IF(R$4="",1,0)&gt;=1,1,0),IF(IF('卡片raw data'!E$1:E$1000=R$5,1,0)+IF(R$5="",1,0)&gt;=1,1,0))</f>
        <v>10</v>
      </c>
      <c r="Y723" s="1307">
        <f t="shared" si="56"/>
        <v>40</v>
      </c>
      <c r="Z723" s="1307">
        <f t="shared" si="57"/>
        <v>10</v>
      </c>
      <c r="AA723" s="1307">
        <f t="shared" si="58"/>
        <v>40</v>
      </c>
      <c r="AB723" s="1307">
        <f t="shared" si="59"/>
        <v>0</v>
      </c>
    </row>
    <row r="724" spans="20:28">
      <c r="T724" s="1077">
        <v>32</v>
      </c>
      <c r="U724" s="1077">
        <f t="shared" si="55"/>
        <v>27</v>
      </c>
      <c r="V724" s="1077">
        <v>41</v>
      </c>
      <c r="W724" s="1077">
        <f t="array" ref="W724">SUMPRODUCT(IF('卡片raw data'!BM$1:BM$1000=T724,1,0),IF('卡片raw data'!BO$1:BO$1000=V724,1,0),IF(IF('卡片raw data'!C$1:C$1000=R$3,1,0)+IF(R$3="",1,0)&gt;=1,1,0),IF(IF('卡片raw data'!D$1:D$1000=R$4,1,0)+IF(R$4="",1,0)&gt;=1,1,0),IF(IF('卡片raw data'!E$1:E$1000=R$5,1,0)+IF(R$5="",1,0)&gt;=1,1,0))</f>
        <v>0</v>
      </c>
      <c r="Y724" s="1307">
        <f t="shared" si="56"/>
        <v>41</v>
      </c>
      <c r="Z724" s="1307">
        <f t="shared" si="57"/>
        <v>0</v>
      </c>
      <c r="AA724" s="1307">
        <f t="shared" si="58"/>
        <v>41</v>
      </c>
      <c r="AB724" s="1307">
        <f t="shared" si="59"/>
        <v>0</v>
      </c>
    </row>
    <row r="725" spans="20:28">
      <c r="T725" s="1077">
        <v>32</v>
      </c>
      <c r="U725" s="1077">
        <f t="shared" si="55"/>
        <v>26</v>
      </c>
      <c r="V725" s="1077">
        <v>42</v>
      </c>
      <c r="W725" s="1077">
        <f t="array" ref="W725">SUMPRODUCT(IF('卡片raw data'!BM$1:BM$1000=T725,1,0),IF('卡片raw data'!BO$1:BO$1000=V725,1,0),IF(IF('卡片raw data'!C$1:C$1000=R$3,1,0)+IF(R$3="",1,0)&gt;=1,1,0),IF(IF('卡片raw data'!D$1:D$1000=R$4,1,0)+IF(R$4="",1,0)&gt;=1,1,0),IF(IF('卡片raw data'!E$1:E$1000=R$5,1,0)+IF(R$5="",1,0)&gt;=1,1,0))</f>
        <v>1</v>
      </c>
      <c r="Y725" s="1307">
        <f t="shared" si="56"/>
        <v>42</v>
      </c>
      <c r="Z725" s="1307">
        <f t="shared" si="57"/>
        <v>1</v>
      </c>
      <c r="AA725" s="1307">
        <f t="shared" si="58"/>
        <v>42</v>
      </c>
      <c r="AB725" s="1307">
        <f t="shared" si="59"/>
        <v>0</v>
      </c>
    </row>
    <row r="726" spans="20:28">
      <c r="T726" s="1077">
        <v>32</v>
      </c>
      <c r="U726" s="1077">
        <f t="shared" si="55"/>
        <v>25</v>
      </c>
      <c r="V726" s="1077">
        <v>43</v>
      </c>
      <c r="W726" s="1077">
        <f t="array" ref="W726">SUMPRODUCT(IF('卡片raw data'!BM$1:BM$1000=T726,1,0),IF('卡片raw data'!BO$1:BO$1000=V726,1,0),IF(IF('卡片raw data'!C$1:C$1000=R$3,1,0)+IF(R$3="",1,0)&gt;=1,1,0),IF(IF('卡片raw data'!D$1:D$1000=R$4,1,0)+IF(R$4="",1,0)&gt;=1,1,0),IF(IF('卡片raw data'!E$1:E$1000=R$5,1,0)+IF(R$5="",1,0)&gt;=1,1,0))</f>
        <v>1</v>
      </c>
      <c r="Y726" s="1307">
        <f t="shared" si="56"/>
        <v>43</v>
      </c>
      <c r="Z726" s="1307">
        <f t="shared" si="57"/>
        <v>1</v>
      </c>
      <c r="AA726" s="1307">
        <f t="shared" si="58"/>
        <v>43</v>
      </c>
      <c r="AB726" s="1307">
        <f t="shared" si="59"/>
        <v>0</v>
      </c>
    </row>
    <row r="727" spans="20:28">
      <c r="T727" s="1077">
        <v>32</v>
      </c>
      <c r="U727" s="1077">
        <f t="shared" si="55"/>
        <v>24</v>
      </c>
      <c r="V727" s="1077">
        <v>44</v>
      </c>
      <c r="W727" s="1077">
        <f t="array" ref="W727">SUMPRODUCT(IF('卡片raw data'!BM$1:BM$1000=T727,1,0),IF('卡片raw data'!BO$1:BO$1000=V727,1,0),IF(IF('卡片raw data'!C$1:C$1000=R$3,1,0)+IF(R$3="",1,0)&gt;=1,1,0),IF(IF('卡片raw data'!D$1:D$1000=R$4,1,0)+IF(R$4="",1,0)&gt;=1,1,0),IF(IF('卡片raw data'!E$1:E$1000=R$5,1,0)+IF(R$5="",1,0)&gt;=1,1,0))</f>
        <v>0</v>
      </c>
      <c r="Y727" s="1307">
        <f t="shared" si="56"/>
        <v>44</v>
      </c>
      <c r="Z727" s="1307">
        <f t="shared" si="57"/>
        <v>0</v>
      </c>
      <c r="AA727" s="1307">
        <f t="shared" si="58"/>
        <v>44</v>
      </c>
      <c r="AB727" s="1307">
        <f t="shared" si="59"/>
        <v>0</v>
      </c>
    </row>
    <row r="728" spans="20:28">
      <c r="T728" s="1077">
        <v>32</v>
      </c>
      <c r="U728" s="1077">
        <f t="shared" si="55"/>
        <v>23</v>
      </c>
      <c r="V728" s="1077">
        <v>45</v>
      </c>
      <c r="W728" s="1077">
        <f t="array" ref="W728">SUMPRODUCT(IF('卡片raw data'!BM$1:BM$1000=T728,1,0),IF('卡片raw data'!BO$1:BO$1000=V728,1,0),IF(IF('卡片raw data'!C$1:C$1000=R$3,1,0)+IF(R$3="",1,0)&gt;=1,1,0),IF(IF('卡片raw data'!D$1:D$1000=R$4,1,0)+IF(R$4="",1,0)&gt;=1,1,0),IF(IF('卡片raw data'!E$1:E$1000=R$5,1,0)+IF(R$5="",1,0)&gt;=1,1,0))</f>
        <v>0</v>
      </c>
      <c r="Y728" s="1307">
        <f t="shared" si="56"/>
        <v>45</v>
      </c>
      <c r="Z728" s="1307">
        <f t="shared" si="57"/>
        <v>0</v>
      </c>
      <c r="AA728" s="1307">
        <f t="shared" si="58"/>
        <v>45</v>
      </c>
      <c r="AB728" s="1307">
        <f t="shared" si="59"/>
        <v>0</v>
      </c>
    </row>
    <row r="729" spans="20:28">
      <c r="T729" s="1077">
        <v>32</v>
      </c>
      <c r="U729" s="1077">
        <f t="shared" si="55"/>
        <v>22</v>
      </c>
      <c r="V729" s="1077">
        <v>46</v>
      </c>
      <c r="W729" s="1077">
        <f t="array" ref="W729">SUMPRODUCT(IF('卡片raw data'!BM$1:BM$1000=T729,1,0),IF('卡片raw data'!BO$1:BO$1000=V729,1,0),IF(IF('卡片raw data'!C$1:C$1000=R$3,1,0)+IF(R$3="",1,0)&gt;=1,1,0),IF(IF('卡片raw data'!D$1:D$1000=R$4,1,0)+IF(R$4="",1,0)&gt;=1,1,0),IF(IF('卡片raw data'!E$1:E$1000=R$5,1,0)+IF(R$5="",1,0)&gt;=1,1,0))</f>
        <v>0</v>
      </c>
      <c r="Y729" s="1307">
        <f t="shared" si="56"/>
        <v>46</v>
      </c>
      <c r="Z729" s="1307">
        <f t="shared" si="57"/>
        <v>0</v>
      </c>
      <c r="AA729" s="1307">
        <f t="shared" si="58"/>
        <v>46</v>
      </c>
      <c r="AB729" s="1307">
        <f t="shared" si="59"/>
        <v>0</v>
      </c>
    </row>
    <row r="730" spans="20:28">
      <c r="T730" s="1077">
        <v>32</v>
      </c>
      <c r="U730" s="1077">
        <f t="shared" si="55"/>
        <v>21</v>
      </c>
      <c r="V730" s="1077">
        <v>47</v>
      </c>
      <c r="W730" s="1077">
        <f t="array" ref="W730">SUMPRODUCT(IF('卡片raw data'!BM$1:BM$1000=T730,1,0),IF('卡片raw data'!BO$1:BO$1000=V730,1,0),IF(IF('卡片raw data'!C$1:C$1000=R$3,1,0)+IF(R$3="",1,0)&gt;=1,1,0),IF(IF('卡片raw data'!D$1:D$1000=R$4,1,0)+IF(R$4="",1,0)&gt;=1,1,0),IF(IF('卡片raw data'!E$1:E$1000=R$5,1,0)+IF(R$5="",1,0)&gt;=1,1,0))</f>
        <v>2</v>
      </c>
      <c r="Y730" s="1307">
        <f t="shared" si="56"/>
        <v>47</v>
      </c>
      <c r="Z730" s="1307">
        <f t="shared" si="57"/>
        <v>2</v>
      </c>
      <c r="AA730" s="1307">
        <f t="shared" si="58"/>
        <v>47</v>
      </c>
      <c r="AB730" s="1307">
        <f t="shared" si="59"/>
        <v>0</v>
      </c>
    </row>
    <row r="731" spans="20:28">
      <c r="T731" s="1077">
        <v>32</v>
      </c>
      <c r="U731" s="1077">
        <f t="shared" si="55"/>
        <v>20</v>
      </c>
      <c r="V731" s="1077">
        <v>48</v>
      </c>
      <c r="W731" s="1077">
        <f t="array" ref="W731">SUMPRODUCT(IF('卡片raw data'!BM$1:BM$1000=T731,1,0),IF('卡片raw data'!BO$1:BO$1000=V731,1,0),IF(IF('卡片raw data'!C$1:C$1000=R$3,1,0)+IF(R$3="",1,0)&gt;=1,1,0),IF(IF('卡片raw data'!D$1:D$1000=R$4,1,0)+IF(R$4="",1,0)&gt;=1,1,0),IF(IF('卡片raw data'!E$1:E$1000=R$5,1,0)+IF(R$5="",1,0)&gt;=1,1,0))</f>
        <v>1</v>
      </c>
      <c r="Y731" s="1307">
        <f t="shared" si="56"/>
        <v>48</v>
      </c>
      <c r="Z731" s="1307">
        <f t="shared" si="57"/>
        <v>1</v>
      </c>
      <c r="AA731" s="1307">
        <f t="shared" si="58"/>
        <v>48</v>
      </c>
      <c r="AB731" s="1307">
        <f t="shared" si="59"/>
        <v>0</v>
      </c>
    </row>
    <row r="732" spans="20:28">
      <c r="T732" s="1077">
        <v>32</v>
      </c>
      <c r="U732" s="1077">
        <f t="shared" si="55"/>
        <v>19</v>
      </c>
      <c r="V732" s="1077">
        <v>49</v>
      </c>
      <c r="W732" s="1077">
        <f t="array" ref="W732">SUMPRODUCT(IF('卡片raw data'!BM$1:BM$1000=T732,1,0),IF('卡片raw data'!BO$1:BO$1000=V732,1,0),IF(IF('卡片raw data'!C$1:C$1000=R$3,1,0)+IF(R$3="",1,0)&gt;=1,1,0),IF(IF('卡片raw data'!D$1:D$1000=R$4,1,0)+IF(R$4="",1,0)&gt;=1,1,0),IF(IF('卡片raw data'!E$1:E$1000=R$5,1,0)+IF(R$5="",1,0)&gt;=1,1,0))</f>
        <v>0</v>
      </c>
      <c r="Y732" s="1307">
        <f t="shared" si="56"/>
        <v>49</v>
      </c>
      <c r="Z732" s="1307">
        <f t="shared" si="57"/>
        <v>0</v>
      </c>
      <c r="AA732" s="1307">
        <f t="shared" si="58"/>
        <v>49</v>
      </c>
      <c r="AB732" s="1307">
        <f t="shared" si="59"/>
        <v>0</v>
      </c>
    </row>
    <row r="733" spans="20:28">
      <c r="T733" s="1077">
        <v>32</v>
      </c>
      <c r="U733" s="1077">
        <f t="shared" si="55"/>
        <v>18</v>
      </c>
      <c r="V733" s="1077">
        <v>50</v>
      </c>
      <c r="W733" s="1077">
        <f t="array" ref="W733">SUMPRODUCT(IF('卡片raw data'!BM$1:BM$1000=T733,1,0),IF('卡片raw data'!BO$1:BO$1000=V733,1,0),IF(IF('卡片raw data'!C$1:C$1000=R$3,1,0)+IF(R$3="",1,0)&gt;=1,1,0),IF(IF('卡片raw data'!D$1:D$1000=R$4,1,0)+IF(R$4="",1,0)&gt;=1,1,0),IF(IF('卡片raw data'!E$1:E$1000=R$5,1,0)+IF(R$5="",1,0)&gt;=1,1,0))</f>
        <v>0</v>
      </c>
      <c r="Y733" s="1307">
        <f t="shared" si="56"/>
        <v>50</v>
      </c>
      <c r="Z733" s="1307">
        <f t="shared" si="57"/>
        <v>0</v>
      </c>
      <c r="AA733" s="1307">
        <f t="shared" si="58"/>
        <v>50</v>
      </c>
      <c r="AB733" s="1307">
        <f t="shared" si="59"/>
        <v>0</v>
      </c>
    </row>
    <row r="734" spans="20:28">
      <c r="T734" s="1077">
        <v>32</v>
      </c>
      <c r="U734" s="1077">
        <f t="shared" si="55"/>
        <v>17</v>
      </c>
      <c r="V734" s="1077">
        <v>51</v>
      </c>
      <c r="W734" s="1077">
        <f t="array" ref="W734">SUMPRODUCT(IF('卡片raw data'!BM$1:BM$1000=T734,1,0),IF('卡片raw data'!BO$1:BO$1000=V734,1,0),IF(IF('卡片raw data'!C$1:C$1000=R$3,1,0)+IF(R$3="",1,0)&gt;=1,1,0),IF(IF('卡片raw data'!D$1:D$1000=R$4,1,0)+IF(R$4="",1,0)&gt;=1,1,0),IF(IF('卡片raw data'!E$1:E$1000=R$5,1,0)+IF(R$5="",1,0)&gt;=1,1,0))</f>
        <v>0</v>
      </c>
      <c r="Y734" s="1307">
        <f t="shared" si="56"/>
        <v>51</v>
      </c>
      <c r="Z734" s="1307">
        <f t="shared" si="57"/>
        <v>0</v>
      </c>
      <c r="AA734" s="1307">
        <f t="shared" si="58"/>
        <v>51</v>
      </c>
      <c r="AB734" s="1307">
        <f t="shared" si="59"/>
        <v>0</v>
      </c>
    </row>
    <row r="735" spans="20:28">
      <c r="T735" s="1077">
        <v>32</v>
      </c>
      <c r="U735" s="1077">
        <f t="shared" si="55"/>
        <v>16</v>
      </c>
      <c r="V735" s="1077">
        <v>52</v>
      </c>
      <c r="W735" s="1077">
        <f t="array" ref="W735">SUMPRODUCT(IF('卡片raw data'!BM$1:BM$1000=T735,1,0),IF('卡片raw data'!BO$1:BO$1000=V735,1,0),IF(IF('卡片raw data'!C$1:C$1000=R$3,1,0)+IF(R$3="",1,0)&gt;=1,1,0),IF(IF('卡片raw data'!D$1:D$1000=R$4,1,0)+IF(R$4="",1,0)&gt;=1,1,0),IF(IF('卡片raw data'!E$1:E$1000=R$5,1,0)+IF(R$5="",1,0)&gt;=1,1,0))</f>
        <v>0</v>
      </c>
      <c r="Y735" s="1307">
        <f t="shared" si="56"/>
        <v>52</v>
      </c>
      <c r="Z735" s="1307">
        <f t="shared" si="57"/>
        <v>0</v>
      </c>
      <c r="AA735" s="1307">
        <f t="shared" si="58"/>
        <v>52</v>
      </c>
      <c r="AB735" s="1307">
        <f t="shared" si="59"/>
        <v>0</v>
      </c>
    </row>
    <row r="736" spans="20:28">
      <c r="T736" s="1077">
        <v>32</v>
      </c>
      <c r="U736" s="1077">
        <f t="shared" si="55"/>
        <v>15</v>
      </c>
      <c r="V736" s="1077">
        <v>53</v>
      </c>
      <c r="W736" s="1077">
        <f t="array" ref="W736">SUMPRODUCT(IF('卡片raw data'!BM$1:BM$1000=T736,1,0),IF('卡片raw data'!BO$1:BO$1000=V736,1,0),IF(IF('卡片raw data'!C$1:C$1000=R$3,1,0)+IF(R$3="",1,0)&gt;=1,1,0),IF(IF('卡片raw data'!D$1:D$1000=R$4,1,0)+IF(R$4="",1,0)&gt;=1,1,0),IF(IF('卡片raw data'!E$1:E$1000=R$5,1,0)+IF(R$5="",1,0)&gt;=1,1,0))</f>
        <v>0</v>
      </c>
      <c r="Y736" s="1307">
        <f t="shared" si="56"/>
        <v>53</v>
      </c>
      <c r="Z736" s="1307">
        <f t="shared" si="57"/>
        <v>0</v>
      </c>
      <c r="AA736" s="1307">
        <f t="shared" si="58"/>
        <v>53</v>
      </c>
      <c r="AB736" s="1307">
        <f t="shared" si="59"/>
        <v>0</v>
      </c>
    </row>
    <row r="737" spans="20:28">
      <c r="T737" s="1077">
        <v>32</v>
      </c>
      <c r="U737" s="1077">
        <f t="shared" si="55"/>
        <v>14</v>
      </c>
      <c r="V737" s="1077">
        <v>54</v>
      </c>
      <c r="W737" s="1077">
        <f t="array" ref="W737">SUMPRODUCT(IF('卡片raw data'!BM$1:BM$1000=T737,1,0),IF('卡片raw data'!BO$1:BO$1000=V737,1,0),IF(IF('卡片raw data'!C$1:C$1000=R$3,1,0)+IF(R$3="",1,0)&gt;=1,1,0),IF(IF('卡片raw data'!D$1:D$1000=R$4,1,0)+IF(R$4="",1,0)&gt;=1,1,0),IF(IF('卡片raw data'!E$1:E$1000=R$5,1,0)+IF(R$5="",1,0)&gt;=1,1,0))</f>
        <v>0</v>
      </c>
      <c r="Y737" s="1307">
        <f t="shared" si="56"/>
        <v>54</v>
      </c>
      <c r="Z737" s="1307">
        <f t="shared" si="57"/>
        <v>0</v>
      </c>
      <c r="AA737" s="1307">
        <f t="shared" si="58"/>
        <v>54</v>
      </c>
      <c r="AB737" s="1307">
        <f t="shared" si="59"/>
        <v>0</v>
      </c>
    </row>
    <row r="738" spans="20:28">
      <c r="T738" s="1077">
        <v>32</v>
      </c>
      <c r="U738" s="1077">
        <f t="shared" si="55"/>
        <v>13</v>
      </c>
      <c r="V738" s="1077">
        <v>55</v>
      </c>
      <c r="W738" s="1077">
        <f t="array" ref="W738">SUMPRODUCT(IF('卡片raw data'!BM$1:BM$1000=T738,1,0),IF('卡片raw data'!BO$1:BO$1000=V738,1,0),IF(IF('卡片raw data'!C$1:C$1000=R$3,1,0)+IF(R$3="",1,0)&gt;=1,1,0),IF(IF('卡片raw data'!D$1:D$1000=R$4,1,0)+IF(R$4="",1,0)&gt;=1,1,0),IF(IF('卡片raw data'!E$1:E$1000=R$5,1,0)+IF(R$5="",1,0)&gt;=1,1,0))</f>
        <v>0</v>
      </c>
      <c r="Y738" s="1307">
        <f t="shared" si="56"/>
        <v>55</v>
      </c>
      <c r="Z738" s="1307">
        <f t="shared" si="57"/>
        <v>0</v>
      </c>
      <c r="AA738" s="1307">
        <f t="shared" si="58"/>
        <v>55</v>
      </c>
      <c r="AB738" s="1307">
        <f t="shared" si="59"/>
        <v>0</v>
      </c>
    </row>
    <row r="739" spans="20:28">
      <c r="T739" s="1077">
        <v>33</v>
      </c>
      <c r="U739" s="1077">
        <f t="shared" si="55"/>
        <v>55</v>
      </c>
      <c r="V739" s="1077">
        <v>12</v>
      </c>
      <c r="W739" s="1077">
        <f t="array" ref="W739">SUMPRODUCT(IF('卡片raw data'!BM$1:BM$1000=T739,1,0),IF('卡片raw data'!BO$1:BO$1000=V739,1,0),IF(IF('卡片raw data'!C$1:C$1000=R$3,1,0)+IF(R$3="",1,0)&gt;=1,1,0),IF(IF('卡片raw data'!D$1:D$1000=R$4,1,0)+IF(R$4="",1,0)&gt;=1,1,0),IF(IF('卡片raw data'!E$1:E$1000=R$5,1,0)+IF(R$5="",1,0)&gt;=1,1,0))</f>
        <v>0</v>
      </c>
      <c r="Y739" s="1307">
        <f t="shared" si="56"/>
        <v>12</v>
      </c>
      <c r="Z739" s="1307">
        <f t="shared" si="57"/>
        <v>0</v>
      </c>
      <c r="AA739" s="1307">
        <f t="shared" si="58"/>
        <v>12</v>
      </c>
      <c r="AB739" s="1307">
        <f t="shared" si="59"/>
        <v>0</v>
      </c>
    </row>
    <row r="740" spans="20:28">
      <c r="T740" s="1077">
        <v>33</v>
      </c>
      <c r="U740" s="1077">
        <f t="shared" si="55"/>
        <v>54</v>
      </c>
      <c r="V740" s="1077">
        <v>13</v>
      </c>
      <c r="W740" s="1077">
        <f t="array" ref="W740">SUMPRODUCT(IF('卡片raw data'!BM$1:BM$1000=T740,1,0),IF('卡片raw data'!BO$1:BO$1000=V740,1,0),IF(IF('卡片raw data'!C$1:C$1000=R$3,1,0)+IF(R$3="",1,0)&gt;=1,1,0),IF(IF('卡片raw data'!D$1:D$1000=R$4,1,0)+IF(R$4="",1,0)&gt;=1,1,0),IF(IF('卡片raw data'!E$1:E$1000=R$5,1,0)+IF(R$5="",1,0)&gt;=1,1,0))</f>
        <v>0</v>
      </c>
      <c r="Y740" s="1307">
        <f t="shared" si="56"/>
        <v>13</v>
      </c>
      <c r="Z740" s="1307">
        <f t="shared" si="57"/>
        <v>0</v>
      </c>
      <c r="AA740" s="1307">
        <f t="shared" si="58"/>
        <v>13</v>
      </c>
      <c r="AB740" s="1307">
        <f t="shared" si="59"/>
        <v>0</v>
      </c>
    </row>
    <row r="741" spans="20:28">
      <c r="T741" s="1077">
        <v>33</v>
      </c>
      <c r="U741" s="1077">
        <f t="shared" si="55"/>
        <v>53</v>
      </c>
      <c r="V741" s="1077">
        <v>14</v>
      </c>
      <c r="W741" s="1077">
        <f t="array" ref="W741">SUMPRODUCT(IF('卡片raw data'!BM$1:BM$1000=T741,1,0),IF('卡片raw data'!BO$1:BO$1000=V741,1,0),IF(IF('卡片raw data'!C$1:C$1000=R$3,1,0)+IF(R$3="",1,0)&gt;=1,1,0),IF(IF('卡片raw data'!D$1:D$1000=R$4,1,0)+IF(R$4="",1,0)&gt;=1,1,0),IF(IF('卡片raw data'!E$1:E$1000=R$5,1,0)+IF(R$5="",1,0)&gt;=1,1,0))</f>
        <v>0</v>
      </c>
      <c r="Y741" s="1307">
        <f t="shared" si="56"/>
        <v>14</v>
      </c>
      <c r="Z741" s="1307">
        <f t="shared" si="57"/>
        <v>0</v>
      </c>
      <c r="AA741" s="1307">
        <f t="shared" si="58"/>
        <v>14</v>
      </c>
      <c r="AB741" s="1307">
        <f t="shared" si="59"/>
        <v>0</v>
      </c>
    </row>
    <row r="742" spans="20:28">
      <c r="T742" s="1077">
        <v>33</v>
      </c>
      <c r="U742" s="1077">
        <f t="shared" si="55"/>
        <v>52</v>
      </c>
      <c r="V742" s="1077">
        <v>15</v>
      </c>
      <c r="W742" s="1077">
        <f t="array" ref="W742">SUMPRODUCT(IF('卡片raw data'!BM$1:BM$1000=T742,1,0),IF('卡片raw data'!BO$1:BO$1000=V742,1,0),IF(IF('卡片raw data'!C$1:C$1000=R$3,1,0)+IF(R$3="",1,0)&gt;=1,1,0),IF(IF('卡片raw data'!D$1:D$1000=R$4,1,0)+IF(R$4="",1,0)&gt;=1,1,0),IF(IF('卡片raw data'!E$1:E$1000=R$5,1,0)+IF(R$5="",1,0)&gt;=1,1,0))</f>
        <v>0</v>
      </c>
      <c r="Y742" s="1307">
        <f t="shared" si="56"/>
        <v>15</v>
      </c>
      <c r="Z742" s="1307">
        <f t="shared" si="57"/>
        <v>0</v>
      </c>
      <c r="AA742" s="1307">
        <f t="shared" si="58"/>
        <v>15</v>
      </c>
      <c r="AB742" s="1307">
        <f t="shared" si="59"/>
        <v>0</v>
      </c>
    </row>
    <row r="743" spans="20:28">
      <c r="T743" s="1077">
        <v>33</v>
      </c>
      <c r="U743" s="1077">
        <f t="shared" si="55"/>
        <v>51</v>
      </c>
      <c r="V743" s="1077">
        <v>16</v>
      </c>
      <c r="W743" s="1077">
        <f t="array" ref="W743">SUMPRODUCT(IF('卡片raw data'!BM$1:BM$1000=T743,1,0),IF('卡片raw data'!BO$1:BO$1000=V743,1,0),IF(IF('卡片raw data'!C$1:C$1000=R$3,1,0)+IF(R$3="",1,0)&gt;=1,1,0),IF(IF('卡片raw data'!D$1:D$1000=R$4,1,0)+IF(R$4="",1,0)&gt;=1,1,0),IF(IF('卡片raw data'!E$1:E$1000=R$5,1,0)+IF(R$5="",1,0)&gt;=1,1,0))</f>
        <v>0</v>
      </c>
      <c r="Y743" s="1307">
        <f t="shared" si="56"/>
        <v>16</v>
      </c>
      <c r="Z743" s="1307">
        <f t="shared" si="57"/>
        <v>0</v>
      </c>
      <c r="AA743" s="1307">
        <f t="shared" si="58"/>
        <v>16</v>
      </c>
      <c r="AB743" s="1307">
        <f t="shared" si="59"/>
        <v>0</v>
      </c>
    </row>
    <row r="744" spans="20:28">
      <c r="T744" s="1077">
        <v>33</v>
      </c>
      <c r="U744" s="1077">
        <f t="shared" si="55"/>
        <v>50</v>
      </c>
      <c r="V744" s="1077">
        <v>17</v>
      </c>
      <c r="W744" s="1077">
        <f t="array" ref="W744">SUMPRODUCT(IF('卡片raw data'!BM$1:BM$1000=T744,1,0),IF('卡片raw data'!BO$1:BO$1000=V744,1,0),IF(IF('卡片raw data'!C$1:C$1000=R$3,1,0)+IF(R$3="",1,0)&gt;=1,1,0),IF(IF('卡片raw data'!D$1:D$1000=R$4,1,0)+IF(R$4="",1,0)&gt;=1,1,0),IF(IF('卡片raw data'!E$1:E$1000=R$5,1,0)+IF(R$5="",1,0)&gt;=1,1,0))</f>
        <v>0</v>
      </c>
      <c r="Y744" s="1307">
        <f t="shared" si="56"/>
        <v>17</v>
      </c>
      <c r="Z744" s="1307">
        <f t="shared" si="57"/>
        <v>0</v>
      </c>
      <c r="AA744" s="1307">
        <f t="shared" si="58"/>
        <v>17</v>
      </c>
      <c r="AB744" s="1307">
        <f t="shared" si="59"/>
        <v>0</v>
      </c>
    </row>
    <row r="745" spans="20:28">
      <c r="T745" s="1077">
        <v>33</v>
      </c>
      <c r="U745" s="1077">
        <f t="shared" si="55"/>
        <v>49</v>
      </c>
      <c r="V745" s="1077">
        <v>18</v>
      </c>
      <c r="W745" s="1077">
        <f t="array" ref="W745">SUMPRODUCT(IF('卡片raw data'!BM$1:BM$1000=T745,1,0),IF('卡片raw data'!BO$1:BO$1000=V745,1,0),IF(IF('卡片raw data'!C$1:C$1000=R$3,1,0)+IF(R$3="",1,0)&gt;=1,1,0),IF(IF('卡片raw data'!D$1:D$1000=R$4,1,0)+IF(R$4="",1,0)&gt;=1,1,0),IF(IF('卡片raw data'!E$1:E$1000=R$5,1,0)+IF(R$5="",1,0)&gt;=1,1,0))</f>
        <v>0</v>
      </c>
      <c r="Y745" s="1307">
        <f t="shared" si="56"/>
        <v>18</v>
      </c>
      <c r="Z745" s="1307">
        <f t="shared" si="57"/>
        <v>0</v>
      </c>
      <c r="AA745" s="1307">
        <f t="shared" si="58"/>
        <v>18</v>
      </c>
      <c r="AB745" s="1307">
        <f t="shared" si="59"/>
        <v>0</v>
      </c>
    </row>
    <row r="746" spans="20:28">
      <c r="T746" s="1077">
        <v>33</v>
      </c>
      <c r="U746" s="1077">
        <f t="shared" si="55"/>
        <v>48</v>
      </c>
      <c r="V746" s="1077">
        <v>19</v>
      </c>
      <c r="W746" s="1077">
        <f t="array" ref="W746">SUMPRODUCT(IF('卡片raw data'!BM$1:BM$1000=T746,1,0),IF('卡片raw data'!BO$1:BO$1000=V746,1,0),IF(IF('卡片raw data'!C$1:C$1000=R$3,1,0)+IF(R$3="",1,0)&gt;=1,1,0),IF(IF('卡片raw data'!D$1:D$1000=R$4,1,0)+IF(R$4="",1,0)&gt;=1,1,0),IF(IF('卡片raw data'!E$1:E$1000=R$5,1,0)+IF(R$5="",1,0)&gt;=1,1,0))</f>
        <v>0</v>
      </c>
      <c r="Y746" s="1307">
        <f t="shared" si="56"/>
        <v>19</v>
      </c>
      <c r="Z746" s="1307">
        <f t="shared" si="57"/>
        <v>0</v>
      </c>
      <c r="AA746" s="1307">
        <f t="shared" si="58"/>
        <v>19</v>
      </c>
      <c r="AB746" s="1307">
        <f t="shared" si="59"/>
        <v>0</v>
      </c>
    </row>
    <row r="747" spans="20:28">
      <c r="T747" s="1077">
        <v>33</v>
      </c>
      <c r="U747" s="1077">
        <f t="shared" si="55"/>
        <v>47</v>
      </c>
      <c r="V747" s="1077">
        <v>20</v>
      </c>
      <c r="W747" s="1077">
        <f t="array" ref="W747">SUMPRODUCT(IF('卡片raw data'!BM$1:BM$1000=T747,1,0),IF('卡片raw data'!BO$1:BO$1000=V747,1,0),IF(IF('卡片raw data'!C$1:C$1000=R$3,1,0)+IF(R$3="",1,0)&gt;=1,1,0),IF(IF('卡片raw data'!D$1:D$1000=R$4,1,0)+IF(R$4="",1,0)&gt;=1,1,0),IF(IF('卡片raw data'!E$1:E$1000=R$5,1,0)+IF(R$5="",1,0)&gt;=1,1,0))</f>
        <v>0</v>
      </c>
      <c r="Y747" s="1307">
        <f t="shared" si="56"/>
        <v>20</v>
      </c>
      <c r="Z747" s="1307">
        <f t="shared" si="57"/>
        <v>0</v>
      </c>
      <c r="AA747" s="1307">
        <f t="shared" si="58"/>
        <v>20</v>
      </c>
      <c r="AB747" s="1307">
        <f t="shared" si="59"/>
        <v>0</v>
      </c>
    </row>
    <row r="748" spans="20:28">
      <c r="T748" s="1077">
        <v>33</v>
      </c>
      <c r="U748" s="1077">
        <f t="shared" si="55"/>
        <v>46</v>
      </c>
      <c r="V748" s="1077">
        <v>21</v>
      </c>
      <c r="W748" s="1077">
        <f t="array" ref="W748">SUMPRODUCT(IF('卡片raw data'!BM$1:BM$1000=T748,1,0),IF('卡片raw data'!BO$1:BO$1000=V748,1,0),IF(IF('卡片raw data'!C$1:C$1000=R$3,1,0)+IF(R$3="",1,0)&gt;=1,1,0),IF(IF('卡片raw data'!D$1:D$1000=R$4,1,0)+IF(R$4="",1,0)&gt;=1,1,0),IF(IF('卡片raw data'!E$1:E$1000=R$5,1,0)+IF(R$5="",1,0)&gt;=1,1,0))</f>
        <v>0</v>
      </c>
      <c r="Y748" s="1307">
        <f t="shared" si="56"/>
        <v>21</v>
      </c>
      <c r="Z748" s="1307">
        <f t="shared" si="57"/>
        <v>0</v>
      </c>
      <c r="AA748" s="1307">
        <f t="shared" si="58"/>
        <v>21</v>
      </c>
      <c r="AB748" s="1307">
        <f t="shared" si="59"/>
        <v>0</v>
      </c>
    </row>
    <row r="749" spans="20:28">
      <c r="T749" s="1077">
        <v>33</v>
      </c>
      <c r="U749" s="1077">
        <f t="shared" si="55"/>
        <v>45</v>
      </c>
      <c r="V749" s="1077">
        <v>22</v>
      </c>
      <c r="W749" s="1077">
        <f t="array" ref="W749">SUMPRODUCT(IF('卡片raw data'!BM$1:BM$1000=T749,1,0),IF('卡片raw data'!BO$1:BO$1000=V749,1,0),IF(IF('卡片raw data'!C$1:C$1000=R$3,1,0)+IF(R$3="",1,0)&gt;=1,1,0),IF(IF('卡片raw data'!D$1:D$1000=R$4,1,0)+IF(R$4="",1,0)&gt;=1,1,0),IF(IF('卡片raw data'!E$1:E$1000=R$5,1,0)+IF(R$5="",1,0)&gt;=1,1,0))</f>
        <v>0</v>
      </c>
      <c r="Y749" s="1307">
        <f t="shared" si="56"/>
        <v>22</v>
      </c>
      <c r="Z749" s="1307">
        <f t="shared" si="57"/>
        <v>0</v>
      </c>
      <c r="AA749" s="1307">
        <f t="shared" si="58"/>
        <v>22</v>
      </c>
      <c r="AB749" s="1307">
        <f t="shared" si="59"/>
        <v>0</v>
      </c>
    </row>
    <row r="750" spans="20:28">
      <c r="T750" s="1077">
        <v>33</v>
      </c>
      <c r="U750" s="1077">
        <f t="shared" si="55"/>
        <v>44</v>
      </c>
      <c r="V750" s="1077">
        <v>23</v>
      </c>
      <c r="W750" s="1077">
        <f t="array" ref="W750">SUMPRODUCT(IF('卡片raw data'!BM$1:BM$1000=T750,1,0),IF('卡片raw data'!BO$1:BO$1000=V750,1,0),IF(IF('卡片raw data'!C$1:C$1000=R$3,1,0)+IF(R$3="",1,0)&gt;=1,1,0),IF(IF('卡片raw data'!D$1:D$1000=R$4,1,0)+IF(R$4="",1,0)&gt;=1,1,0),IF(IF('卡片raw data'!E$1:E$1000=R$5,1,0)+IF(R$5="",1,0)&gt;=1,1,0))</f>
        <v>0</v>
      </c>
      <c r="Y750" s="1307">
        <f t="shared" si="56"/>
        <v>23</v>
      </c>
      <c r="Z750" s="1307">
        <f t="shared" si="57"/>
        <v>0</v>
      </c>
      <c r="AA750" s="1307">
        <f t="shared" si="58"/>
        <v>23</v>
      </c>
      <c r="AB750" s="1307">
        <f t="shared" si="59"/>
        <v>0</v>
      </c>
    </row>
    <row r="751" spans="20:28">
      <c r="T751" s="1077">
        <v>33</v>
      </c>
      <c r="U751" s="1077">
        <f t="shared" si="55"/>
        <v>43</v>
      </c>
      <c r="V751" s="1077">
        <v>24</v>
      </c>
      <c r="W751" s="1077">
        <f t="array" ref="W751">SUMPRODUCT(IF('卡片raw data'!BM$1:BM$1000=T751,1,0),IF('卡片raw data'!BO$1:BO$1000=V751,1,0),IF(IF('卡片raw data'!C$1:C$1000=R$3,1,0)+IF(R$3="",1,0)&gt;=1,1,0),IF(IF('卡片raw data'!D$1:D$1000=R$4,1,0)+IF(R$4="",1,0)&gt;=1,1,0),IF(IF('卡片raw data'!E$1:E$1000=R$5,1,0)+IF(R$5="",1,0)&gt;=1,1,0))</f>
        <v>0</v>
      </c>
      <c r="Y751" s="1307">
        <f t="shared" si="56"/>
        <v>24</v>
      </c>
      <c r="Z751" s="1307">
        <f t="shared" si="57"/>
        <v>0</v>
      </c>
      <c r="AA751" s="1307">
        <f t="shared" si="58"/>
        <v>24</v>
      </c>
      <c r="AB751" s="1307">
        <f t="shared" si="59"/>
        <v>0</v>
      </c>
    </row>
    <row r="752" spans="20:28">
      <c r="T752" s="1077">
        <v>33</v>
      </c>
      <c r="U752" s="1077">
        <f t="shared" si="55"/>
        <v>42</v>
      </c>
      <c r="V752" s="1077">
        <v>25</v>
      </c>
      <c r="W752" s="1077">
        <f t="array" ref="W752">SUMPRODUCT(IF('卡片raw data'!BM$1:BM$1000=T752,1,0),IF('卡片raw data'!BO$1:BO$1000=V752,1,0),IF(IF('卡片raw data'!C$1:C$1000=R$3,1,0)+IF(R$3="",1,0)&gt;=1,1,0),IF(IF('卡片raw data'!D$1:D$1000=R$4,1,0)+IF(R$4="",1,0)&gt;=1,1,0),IF(IF('卡片raw data'!E$1:E$1000=R$5,1,0)+IF(R$5="",1,0)&gt;=1,1,0))</f>
        <v>0</v>
      </c>
      <c r="Y752" s="1307">
        <f t="shared" si="56"/>
        <v>25</v>
      </c>
      <c r="Z752" s="1307">
        <f t="shared" si="57"/>
        <v>0</v>
      </c>
      <c r="AA752" s="1307">
        <f t="shared" si="58"/>
        <v>25</v>
      </c>
      <c r="AB752" s="1307">
        <f t="shared" si="59"/>
        <v>0</v>
      </c>
    </row>
    <row r="753" spans="20:28">
      <c r="T753" s="1077">
        <v>33</v>
      </c>
      <c r="U753" s="1077">
        <f t="shared" si="55"/>
        <v>41</v>
      </c>
      <c r="V753" s="1077">
        <v>26</v>
      </c>
      <c r="W753" s="1077">
        <f t="array" ref="W753">SUMPRODUCT(IF('卡片raw data'!BM$1:BM$1000=T753,1,0),IF('卡片raw data'!BO$1:BO$1000=V753,1,0),IF(IF('卡片raw data'!C$1:C$1000=R$3,1,0)+IF(R$3="",1,0)&gt;=1,1,0),IF(IF('卡片raw data'!D$1:D$1000=R$4,1,0)+IF(R$4="",1,0)&gt;=1,1,0),IF(IF('卡片raw data'!E$1:E$1000=R$5,1,0)+IF(R$5="",1,0)&gt;=1,1,0))</f>
        <v>0</v>
      </c>
      <c r="Y753" s="1307">
        <f t="shared" si="56"/>
        <v>26</v>
      </c>
      <c r="Z753" s="1307">
        <f t="shared" si="57"/>
        <v>0</v>
      </c>
      <c r="AA753" s="1307">
        <f t="shared" si="58"/>
        <v>26</v>
      </c>
      <c r="AB753" s="1307">
        <f t="shared" si="59"/>
        <v>0</v>
      </c>
    </row>
    <row r="754" spans="20:28">
      <c r="T754" s="1077">
        <v>33</v>
      </c>
      <c r="U754" s="1077">
        <f t="shared" si="55"/>
        <v>40</v>
      </c>
      <c r="V754" s="1077">
        <v>27</v>
      </c>
      <c r="W754" s="1077">
        <f t="array" ref="W754">SUMPRODUCT(IF('卡片raw data'!BM$1:BM$1000=T754,1,0),IF('卡片raw data'!BO$1:BO$1000=V754,1,0),IF(IF('卡片raw data'!C$1:C$1000=R$3,1,0)+IF(R$3="",1,0)&gt;=1,1,0),IF(IF('卡片raw data'!D$1:D$1000=R$4,1,0)+IF(R$4="",1,0)&gt;=1,1,0),IF(IF('卡片raw data'!E$1:E$1000=R$5,1,0)+IF(R$5="",1,0)&gt;=1,1,0))</f>
        <v>0</v>
      </c>
      <c r="Y754" s="1307">
        <f t="shared" si="56"/>
        <v>27</v>
      </c>
      <c r="Z754" s="1307">
        <f t="shared" si="57"/>
        <v>0</v>
      </c>
      <c r="AA754" s="1307">
        <f t="shared" si="58"/>
        <v>27</v>
      </c>
      <c r="AB754" s="1307">
        <f t="shared" si="59"/>
        <v>0</v>
      </c>
    </row>
    <row r="755" spans="20:28">
      <c r="T755" s="1077">
        <v>33</v>
      </c>
      <c r="U755" s="1077">
        <f t="shared" si="55"/>
        <v>39</v>
      </c>
      <c r="V755" s="1077">
        <v>28</v>
      </c>
      <c r="W755" s="1077">
        <f t="array" ref="W755">SUMPRODUCT(IF('卡片raw data'!BM$1:BM$1000=T755,1,0),IF('卡片raw data'!BO$1:BO$1000=V755,1,0),IF(IF('卡片raw data'!C$1:C$1000=R$3,1,0)+IF(R$3="",1,0)&gt;=1,1,0),IF(IF('卡片raw data'!D$1:D$1000=R$4,1,0)+IF(R$4="",1,0)&gt;=1,1,0),IF(IF('卡片raw data'!E$1:E$1000=R$5,1,0)+IF(R$5="",1,0)&gt;=1,1,0))</f>
        <v>1</v>
      </c>
      <c r="Y755" s="1307">
        <f t="shared" si="56"/>
        <v>28</v>
      </c>
      <c r="Z755" s="1307">
        <f t="shared" si="57"/>
        <v>0</v>
      </c>
      <c r="AA755" s="1307">
        <f t="shared" si="58"/>
        <v>28</v>
      </c>
      <c r="AB755" s="1307">
        <f t="shared" si="59"/>
        <v>1</v>
      </c>
    </row>
    <row r="756" spans="20:28">
      <c r="T756" s="1077">
        <v>33</v>
      </c>
      <c r="U756" s="1077">
        <f t="shared" si="55"/>
        <v>38</v>
      </c>
      <c r="V756" s="1077">
        <v>29</v>
      </c>
      <c r="W756" s="1077">
        <f t="array" ref="W756">SUMPRODUCT(IF('卡片raw data'!BM$1:BM$1000=T756,1,0),IF('卡片raw data'!BO$1:BO$1000=V756,1,0),IF(IF('卡片raw data'!C$1:C$1000=R$3,1,0)+IF(R$3="",1,0)&gt;=1,1,0),IF(IF('卡片raw data'!D$1:D$1000=R$4,1,0)+IF(R$4="",1,0)&gt;=1,1,0),IF(IF('卡片raw data'!E$1:E$1000=R$5,1,0)+IF(R$5="",1,0)&gt;=1,1,0))</f>
        <v>0</v>
      </c>
      <c r="Y756" s="1307">
        <f t="shared" si="56"/>
        <v>29</v>
      </c>
      <c r="Z756" s="1307">
        <f t="shared" si="57"/>
        <v>0</v>
      </c>
      <c r="AA756" s="1307">
        <f t="shared" si="58"/>
        <v>29</v>
      </c>
      <c r="AB756" s="1307">
        <f t="shared" si="59"/>
        <v>0</v>
      </c>
    </row>
    <row r="757" spans="20:28">
      <c r="T757" s="1077">
        <v>33</v>
      </c>
      <c r="U757" s="1077">
        <f t="shared" si="55"/>
        <v>37</v>
      </c>
      <c r="V757" s="1077">
        <v>30</v>
      </c>
      <c r="W757" s="1077">
        <f t="array" ref="W757">SUMPRODUCT(IF('卡片raw data'!BM$1:BM$1000=T757,1,0),IF('卡片raw data'!BO$1:BO$1000=V757,1,0),IF(IF('卡片raw data'!C$1:C$1000=R$3,1,0)+IF(R$3="",1,0)&gt;=1,1,0),IF(IF('卡片raw data'!D$1:D$1000=R$4,1,0)+IF(R$4="",1,0)&gt;=1,1,0),IF(IF('卡片raw data'!E$1:E$1000=R$5,1,0)+IF(R$5="",1,0)&gt;=1,1,0))</f>
        <v>0</v>
      </c>
      <c r="Y757" s="1307">
        <f t="shared" si="56"/>
        <v>30</v>
      </c>
      <c r="Z757" s="1307">
        <f t="shared" si="57"/>
        <v>0</v>
      </c>
      <c r="AA757" s="1307">
        <f t="shared" si="58"/>
        <v>30</v>
      </c>
      <c r="AB757" s="1307">
        <f t="shared" si="59"/>
        <v>0</v>
      </c>
    </row>
    <row r="758" spans="20:28">
      <c r="T758" s="1077">
        <v>33</v>
      </c>
      <c r="U758" s="1077">
        <f t="shared" si="55"/>
        <v>36</v>
      </c>
      <c r="V758" s="1077">
        <v>31</v>
      </c>
      <c r="W758" s="1077">
        <f t="array" ref="W758">SUMPRODUCT(IF('卡片raw data'!BM$1:BM$1000=T758,1,0),IF('卡片raw data'!BO$1:BO$1000=V758,1,0),IF(IF('卡片raw data'!C$1:C$1000=R$3,1,0)+IF(R$3="",1,0)&gt;=1,1,0),IF(IF('卡片raw data'!D$1:D$1000=R$4,1,0)+IF(R$4="",1,0)&gt;=1,1,0),IF(IF('卡片raw data'!E$1:E$1000=R$5,1,0)+IF(R$5="",1,0)&gt;=1,1,0))</f>
        <v>0</v>
      </c>
      <c r="Y758" s="1307">
        <f t="shared" si="56"/>
        <v>31</v>
      </c>
      <c r="Z758" s="1307">
        <f t="shared" si="57"/>
        <v>0</v>
      </c>
      <c r="AA758" s="1307">
        <f t="shared" si="58"/>
        <v>31</v>
      </c>
      <c r="AB758" s="1307">
        <f t="shared" si="59"/>
        <v>0</v>
      </c>
    </row>
    <row r="759" spans="20:28">
      <c r="T759" s="1077">
        <v>33</v>
      </c>
      <c r="U759" s="1077">
        <f t="shared" si="55"/>
        <v>35</v>
      </c>
      <c r="V759" s="1077">
        <v>32</v>
      </c>
      <c r="W759" s="1077">
        <f t="array" ref="W759">SUMPRODUCT(IF('卡片raw data'!BM$1:BM$1000=T759,1,0),IF('卡片raw data'!BO$1:BO$1000=V759,1,0),IF(IF('卡片raw data'!C$1:C$1000=R$3,1,0)+IF(R$3="",1,0)&gt;=1,1,0),IF(IF('卡片raw data'!D$1:D$1000=R$4,1,0)+IF(R$4="",1,0)&gt;=1,1,0),IF(IF('卡片raw data'!E$1:E$1000=R$5,1,0)+IF(R$5="",1,0)&gt;=1,1,0))</f>
        <v>5</v>
      </c>
      <c r="Y759" s="1307">
        <f t="shared" si="56"/>
        <v>32</v>
      </c>
      <c r="Z759" s="1307">
        <f t="shared" si="57"/>
        <v>0</v>
      </c>
      <c r="AA759" s="1307">
        <f t="shared" si="58"/>
        <v>32</v>
      </c>
      <c r="AB759" s="1307">
        <f t="shared" si="59"/>
        <v>5</v>
      </c>
    </row>
    <row r="760" spans="20:28">
      <c r="T760" s="1077">
        <v>33</v>
      </c>
      <c r="U760" s="1077">
        <f t="shared" si="55"/>
        <v>34</v>
      </c>
      <c r="V760" s="1077">
        <v>33</v>
      </c>
      <c r="W760" s="1077">
        <f t="array" ref="W760">SUMPRODUCT(IF('卡片raw data'!BM$1:BM$1000=T760,1,0),IF('卡片raw data'!BO$1:BO$1000=V760,1,0),IF(IF('卡片raw data'!C$1:C$1000=R$3,1,0)+IF(R$3="",1,0)&gt;=1,1,0),IF(IF('卡片raw data'!D$1:D$1000=R$4,1,0)+IF(R$4="",1,0)&gt;=1,1,0),IF(IF('卡片raw data'!E$1:E$1000=R$5,1,0)+IF(R$5="",1,0)&gt;=1,1,0))</f>
        <v>0</v>
      </c>
      <c r="Y760" s="1307">
        <f t="shared" si="56"/>
        <v>33</v>
      </c>
      <c r="Z760" s="1307">
        <f t="shared" si="57"/>
        <v>0</v>
      </c>
      <c r="AA760" s="1307">
        <f t="shared" si="58"/>
        <v>33</v>
      </c>
      <c r="AB760" s="1307">
        <f t="shared" si="59"/>
        <v>0</v>
      </c>
    </row>
    <row r="761" spans="20:28">
      <c r="T761" s="1077">
        <v>33</v>
      </c>
      <c r="U761" s="1077">
        <f t="shared" si="55"/>
        <v>33</v>
      </c>
      <c r="V761" s="1077">
        <v>34</v>
      </c>
      <c r="W761" s="1077">
        <f t="array" ref="W761">SUMPRODUCT(IF('卡片raw data'!BM$1:BM$1000=T761,1,0),IF('卡片raw data'!BO$1:BO$1000=V761,1,0),IF(IF('卡片raw data'!C$1:C$1000=R$3,1,0)+IF(R$3="",1,0)&gt;=1,1,0),IF(IF('卡片raw data'!D$1:D$1000=R$4,1,0)+IF(R$4="",1,0)&gt;=1,1,0),IF(IF('卡片raw data'!E$1:E$1000=R$5,1,0)+IF(R$5="",1,0)&gt;=1,1,0))</f>
        <v>26</v>
      </c>
      <c r="Y761" s="1307">
        <f t="shared" si="56"/>
        <v>34</v>
      </c>
      <c r="Z761" s="1307">
        <f t="shared" si="57"/>
        <v>26</v>
      </c>
      <c r="AA761" s="1307">
        <f t="shared" si="58"/>
        <v>34</v>
      </c>
      <c r="AB761" s="1307">
        <f t="shared" si="59"/>
        <v>0</v>
      </c>
    </row>
    <row r="762" spans="20:28">
      <c r="T762" s="1077">
        <v>33</v>
      </c>
      <c r="U762" s="1077">
        <f t="shared" si="55"/>
        <v>32</v>
      </c>
      <c r="V762" s="1077">
        <v>35</v>
      </c>
      <c r="W762" s="1077">
        <f t="array" ref="W762">SUMPRODUCT(IF('卡片raw data'!BM$1:BM$1000=T762,1,0),IF('卡片raw data'!BO$1:BO$1000=V762,1,0),IF(IF('卡片raw data'!C$1:C$1000=R$3,1,0)+IF(R$3="",1,0)&gt;=1,1,0),IF(IF('卡片raw data'!D$1:D$1000=R$4,1,0)+IF(R$4="",1,0)&gt;=1,1,0),IF(IF('卡片raw data'!E$1:E$1000=R$5,1,0)+IF(R$5="",1,0)&gt;=1,1,0))</f>
        <v>1</v>
      </c>
      <c r="Y762" s="1307">
        <f t="shared" si="56"/>
        <v>35</v>
      </c>
      <c r="Z762" s="1307">
        <f t="shared" si="57"/>
        <v>1</v>
      </c>
      <c r="AA762" s="1307">
        <f t="shared" si="58"/>
        <v>35</v>
      </c>
      <c r="AB762" s="1307">
        <f t="shared" si="59"/>
        <v>0</v>
      </c>
    </row>
    <row r="763" spans="20:28">
      <c r="T763" s="1077">
        <v>33</v>
      </c>
      <c r="U763" s="1077">
        <f t="shared" si="55"/>
        <v>31</v>
      </c>
      <c r="V763" s="1077">
        <v>36</v>
      </c>
      <c r="W763" s="1077">
        <f t="array" ref="W763">SUMPRODUCT(IF('卡片raw data'!BM$1:BM$1000=T763,1,0),IF('卡片raw data'!BO$1:BO$1000=V763,1,0),IF(IF('卡片raw data'!C$1:C$1000=R$3,1,0)+IF(R$3="",1,0)&gt;=1,1,0),IF(IF('卡片raw data'!D$1:D$1000=R$4,1,0)+IF(R$4="",1,0)&gt;=1,1,0),IF(IF('卡片raw data'!E$1:E$1000=R$5,1,0)+IF(R$5="",1,0)&gt;=1,1,0))</f>
        <v>1</v>
      </c>
      <c r="Y763" s="1307">
        <f t="shared" si="56"/>
        <v>36</v>
      </c>
      <c r="Z763" s="1307">
        <f t="shared" si="57"/>
        <v>1</v>
      </c>
      <c r="AA763" s="1307">
        <f t="shared" si="58"/>
        <v>36</v>
      </c>
      <c r="AB763" s="1307">
        <f t="shared" si="59"/>
        <v>0</v>
      </c>
    </row>
    <row r="764" spans="20:28">
      <c r="T764" s="1077">
        <v>33</v>
      </c>
      <c r="U764" s="1077">
        <f t="shared" si="55"/>
        <v>30</v>
      </c>
      <c r="V764" s="1077">
        <v>37</v>
      </c>
      <c r="W764" s="1077">
        <f t="array" ref="W764">SUMPRODUCT(IF('卡片raw data'!BM$1:BM$1000=T764,1,0),IF('卡片raw data'!BO$1:BO$1000=V764,1,0),IF(IF('卡片raw data'!C$1:C$1000=R$3,1,0)+IF(R$3="",1,0)&gt;=1,1,0),IF(IF('卡片raw data'!D$1:D$1000=R$4,1,0)+IF(R$4="",1,0)&gt;=1,1,0),IF(IF('卡片raw data'!E$1:E$1000=R$5,1,0)+IF(R$5="",1,0)&gt;=1,1,0))</f>
        <v>4</v>
      </c>
      <c r="Y764" s="1307">
        <f t="shared" si="56"/>
        <v>37</v>
      </c>
      <c r="Z764" s="1307">
        <f t="shared" si="57"/>
        <v>4</v>
      </c>
      <c r="AA764" s="1307">
        <f t="shared" si="58"/>
        <v>37</v>
      </c>
      <c r="AB764" s="1307">
        <f t="shared" si="59"/>
        <v>0</v>
      </c>
    </row>
    <row r="765" spans="20:28">
      <c r="T765" s="1077">
        <v>33</v>
      </c>
      <c r="U765" s="1077">
        <f t="shared" si="55"/>
        <v>29</v>
      </c>
      <c r="V765" s="1077">
        <v>38</v>
      </c>
      <c r="W765" s="1077">
        <f t="array" ref="W765">SUMPRODUCT(IF('卡片raw data'!BM$1:BM$1000=T765,1,0),IF('卡片raw data'!BO$1:BO$1000=V765,1,0),IF(IF('卡片raw data'!C$1:C$1000=R$3,1,0)+IF(R$3="",1,0)&gt;=1,1,0),IF(IF('卡片raw data'!D$1:D$1000=R$4,1,0)+IF(R$4="",1,0)&gt;=1,1,0),IF(IF('卡片raw data'!E$1:E$1000=R$5,1,0)+IF(R$5="",1,0)&gt;=1,1,0))</f>
        <v>1</v>
      </c>
      <c r="Y765" s="1307">
        <f t="shared" si="56"/>
        <v>38</v>
      </c>
      <c r="Z765" s="1307">
        <f t="shared" si="57"/>
        <v>1</v>
      </c>
      <c r="AA765" s="1307">
        <f t="shared" si="58"/>
        <v>38</v>
      </c>
      <c r="AB765" s="1307">
        <f t="shared" si="59"/>
        <v>0</v>
      </c>
    </row>
    <row r="766" spans="20:28">
      <c r="T766" s="1077">
        <v>33</v>
      </c>
      <c r="U766" s="1077">
        <f t="shared" si="55"/>
        <v>28</v>
      </c>
      <c r="V766" s="1077">
        <v>39</v>
      </c>
      <c r="W766" s="1077">
        <f t="array" ref="W766">SUMPRODUCT(IF('卡片raw data'!BM$1:BM$1000=T766,1,0),IF('卡片raw data'!BO$1:BO$1000=V766,1,0),IF(IF('卡片raw data'!C$1:C$1000=R$3,1,0)+IF(R$3="",1,0)&gt;=1,1,0),IF(IF('卡片raw data'!D$1:D$1000=R$4,1,0)+IF(R$4="",1,0)&gt;=1,1,0),IF(IF('卡片raw data'!E$1:E$1000=R$5,1,0)+IF(R$5="",1,0)&gt;=1,1,0))</f>
        <v>1</v>
      </c>
      <c r="Y766" s="1307">
        <f t="shared" si="56"/>
        <v>39</v>
      </c>
      <c r="Z766" s="1307">
        <f t="shared" si="57"/>
        <v>1</v>
      </c>
      <c r="AA766" s="1307">
        <f t="shared" si="58"/>
        <v>39</v>
      </c>
      <c r="AB766" s="1307">
        <f t="shared" si="59"/>
        <v>0</v>
      </c>
    </row>
    <row r="767" spans="20:28">
      <c r="T767" s="1077">
        <v>33</v>
      </c>
      <c r="U767" s="1077">
        <f t="shared" si="55"/>
        <v>27</v>
      </c>
      <c r="V767" s="1077">
        <v>40</v>
      </c>
      <c r="W767" s="1077">
        <f t="array" ref="W767">SUMPRODUCT(IF('卡片raw data'!BM$1:BM$1000=T767,1,0),IF('卡片raw data'!BO$1:BO$1000=V767,1,0),IF(IF('卡片raw data'!C$1:C$1000=R$3,1,0)+IF(R$3="",1,0)&gt;=1,1,0),IF(IF('卡片raw data'!D$1:D$1000=R$4,1,0)+IF(R$4="",1,0)&gt;=1,1,0),IF(IF('卡片raw data'!E$1:E$1000=R$5,1,0)+IF(R$5="",1,0)&gt;=1,1,0))</f>
        <v>1</v>
      </c>
      <c r="Y767" s="1307">
        <f t="shared" si="56"/>
        <v>40</v>
      </c>
      <c r="Z767" s="1307">
        <f t="shared" si="57"/>
        <v>1</v>
      </c>
      <c r="AA767" s="1307">
        <f t="shared" si="58"/>
        <v>40</v>
      </c>
      <c r="AB767" s="1307">
        <f t="shared" si="59"/>
        <v>0</v>
      </c>
    </row>
    <row r="768" spans="20:28">
      <c r="T768" s="1077">
        <v>33</v>
      </c>
      <c r="U768" s="1077">
        <f t="shared" si="55"/>
        <v>26</v>
      </c>
      <c r="V768" s="1077">
        <v>41</v>
      </c>
      <c r="W768" s="1077">
        <f t="array" ref="W768">SUMPRODUCT(IF('卡片raw data'!BM$1:BM$1000=T768,1,0),IF('卡片raw data'!BO$1:BO$1000=V768,1,0),IF(IF('卡片raw data'!C$1:C$1000=R$3,1,0)+IF(R$3="",1,0)&gt;=1,1,0),IF(IF('卡片raw data'!D$1:D$1000=R$4,1,0)+IF(R$4="",1,0)&gt;=1,1,0),IF(IF('卡片raw data'!E$1:E$1000=R$5,1,0)+IF(R$5="",1,0)&gt;=1,1,0))</f>
        <v>2</v>
      </c>
      <c r="Y768" s="1307">
        <f t="shared" si="56"/>
        <v>41</v>
      </c>
      <c r="Z768" s="1307">
        <f t="shared" si="57"/>
        <v>2</v>
      </c>
      <c r="AA768" s="1307">
        <f t="shared" si="58"/>
        <v>41</v>
      </c>
      <c r="AB768" s="1307">
        <f t="shared" si="59"/>
        <v>0</v>
      </c>
    </row>
    <row r="769" spans="20:28">
      <c r="T769" s="1077">
        <v>33</v>
      </c>
      <c r="U769" s="1077">
        <f t="shared" si="55"/>
        <v>25</v>
      </c>
      <c r="V769" s="1077">
        <v>42</v>
      </c>
      <c r="W769" s="1077">
        <f t="array" ref="W769">SUMPRODUCT(IF('卡片raw data'!BM$1:BM$1000=T769,1,0),IF('卡片raw data'!BO$1:BO$1000=V769,1,0),IF(IF('卡片raw data'!C$1:C$1000=R$3,1,0)+IF(R$3="",1,0)&gt;=1,1,0),IF(IF('卡片raw data'!D$1:D$1000=R$4,1,0)+IF(R$4="",1,0)&gt;=1,1,0),IF(IF('卡片raw data'!E$1:E$1000=R$5,1,0)+IF(R$5="",1,0)&gt;=1,1,0))</f>
        <v>3</v>
      </c>
      <c r="Y769" s="1307">
        <f t="shared" si="56"/>
        <v>42</v>
      </c>
      <c r="Z769" s="1307">
        <f t="shared" si="57"/>
        <v>3</v>
      </c>
      <c r="AA769" s="1307">
        <f t="shared" si="58"/>
        <v>42</v>
      </c>
      <c r="AB769" s="1307">
        <f t="shared" si="59"/>
        <v>0</v>
      </c>
    </row>
    <row r="770" spans="20:28">
      <c r="T770" s="1077">
        <v>33</v>
      </c>
      <c r="U770" s="1077">
        <f t="shared" si="55"/>
        <v>24</v>
      </c>
      <c r="V770" s="1077">
        <v>43</v>
      </c>
      <c r="W770" s="1077">
        <f t="array" ref="W770">SUMPRODUCT(IF('卡片raw data'!BM$1:BM$1000=T770,1,0),IF('卡片raw data'!BO$1:BO$1000=V770,1,0),IF(IF('卡片raw data'!C$1:C$1000=R$3,1,0)+IF(R$3="",1,0)&gt;=1,1,0),IF(IF('卡片raw data'!D$1:D$1000=R$4,1,0)+IF(R$4="",1,0)&gt;=1,1,0),IF(IF('卡片raw data'!E$1:E$1000=R$5,1,0)+IF(R$5="",1,0)&gt;=1,1,0))</f>
        <v>0</v>
      </c>
      <c r="Y770" s="1307">
        <f t="shared" si="56"/>
        <v>43</v>
      </c>
      <c r="Z770" s="1307">
        <f t="shared" si="57"/>
        <v>0</v>
      </c>
      <c r="AA770" s="1307">
        <f t="shared" si="58"/>
        <v>43</v>
      </c>
      <c r="AB770" s="1307">
        <f t="shared" si="59"/>
        <v>0</v>
      </c>
    </row>
    <row r="771" spans="20:28">
      <c r="T771" s="1077">
        <v>33</v>
      </c>
      <c r="U771" s="1077">
        <f t="shared" si="55"/>
        <v>23</v>
      </c>
      <c r="V771" s="1077">
        <v>44</v>
      </c>
      <c r="W771" s="1077">
        <f t="array" ref="W771">SUMPRODUCT(IF('卡片raw data'!BM$1:BM$1000=T771,1,0),IF('卡片raw data'!BO$1:BO$1000=V771,1,0),IF(IF('卡片raw data'!C$1:C$1000=R$3,1,0)+IF(R$3="",1,0)&gt;=1,1,0),IF(IF('卡片raw data'!D$1:D$1000=R$4,1,0)+IF(R$4="",1,0)&gt;=1,1,0),IF(IF('卡片raw data'!E$1:E$1000=R$5,1,0)+IF(R$5="",1,0)&gt;=1,1,0))</f>
        <v>0</v>
      </c>
      <c r="Y771" s="1307">
        <f t="shared" si="56"/>
        <v>44</v>
      </c>
      <c r="Z771" s="1307">
        <f t="shared" si="57"/>
        <v>0</v>
      </c>
      <c r="AA771" s="1307">
        <f t="shared" si="58"/>
        <v>44</v>
      </c>
      <c r="AB771" s="1307">
        <f t="shared" si="59"/>
        <v>0</v>
      </c>
    </row>
    <row r="772" spans="20:28">
      <c r="T772" s="1077">
        <v>33</v>
      </c>
      <c r="U772" s="1077">
        <f t="shared" ref="U772:U835" si="60">100-T772-V772</f>
        <v>22</v>
      </c>
      <c r="V772" s="1077">
        <v>45</v>
      </c>
      <c r="W772" s="1077">
        <f t="array" ref="W772">SUMPRODUCT(IF('卡片raw data'!BM$1:BM$1000=T772,1,0),IF('卡片raw data'!BO$1:BO$1000=V772,1,0),IF(IF('卡片raw data'!C$1:C$1000=R$3,1,0)+IF(R$3="",1,0)&gt;=1,1,0),IF(IF('卡片raw data'!D$1:D$1000=R$4,1,0)+IF(R$4="",1,0)&gt;=1,1,0),IF(IF('卡片raw data'!E$1:E$1000=R$5,1,0)+IF(R$5="",1,0)&gt;=1,1,0))</f>
        <v>3</v>
      </c>
      <c r="Y772" s="1307">
        <f t="shared" ref="Y772:Y835" si="61">V772</f>
        <v>45</v>
      </c>
      <c r="Z772" s="1307">
        <f t="shared" ref="Z772:Z835" si="62">IF(AND(V772&gt;U772,V772&gt;T772),W772,0)</f>
        <v>3</v>
      </c>
      <c r="AA772" s="1307">
        <f t="shared" ref="AA772:AA835" si="63">V772</f>
        <v>45</v>
      </c>
      <c r="AB772" s="1307">
        <f t="shared" ref="AB772:AB835" si="64">W772-Z772</f>
        <v>0</v>
      </c>
    </row>
    <row r="773" spans="20:28">
      <c r="T773" s="1077">
        <v>33</v>
      </c>
      <c r="U773" s="1077">
        <f t="shared" si="60"/>
        <v>21</v>
      </c>
      <c r="V773" s="1077">
        <v>46</v>
      </c>
      <c r="W773" s="1077">
        <f t="array" ref="W773">SUMPRODUCT(IF('卡片raw data'!BM$1:BM$1000=T773,1,0),IF('卡片raw data'!BO$1:BO$1000=V773,1,0),IF(IF('卡片raw data'!C$1:C$1000=R$3,1,0)+IF(R$3="",1,0)&gt;=1,1,0),IF(IF('卡片raw data'!D$1:D$1000=R$4,1,0)+IF(R$4="",1,0)&gt;=1,1,0),IF(IF('卡片raw data'!E$1:E$1000=R$5,1,0)+IF(R$5="",1,0)&gt;=1,1,0))</f>
        <v>0</v>
      </c>
      <c r="Y773" s="1307">
        <f t="shared" si="61"/>
        <v>46</v>
      </c>
      <c r="Z773" s="1307">
        <f t="shared" si="62"/>
        <v>0</v>
      </c>
      <c r="AA773" s="1307">
        <f t="shared" si="63"/>
        <v>46</v>
      </c>
      <c r="AB773" s="1307">
        <f t="shared" si="64"/>
        <v>0</v>
      </c>
    </row>
    <row r="774" spans="20:28">
      <c r="T774" s="1077">
        <v>33</v>
      </c>
      <c r="U774" s="1077">
        <f t="shared" si="60"/>
        <v>20</v>
      </c>
      <c r="V774" s="1077">
        <v>47</v>
      </c>
      <c r="W774" s="1077">
        <f t="array" ref="W774">SUMPRODUCT(IF('卡片raw data'!BM$1:BM$1000=T774,1,0),IF('卡片raw data'!BO$1:BO$1000=V774,1,0),IF(IF('卡片raw data'!C$1:C$1000=R$3,1,0)+IF(R$3="",1,0)&gt;=1,1,0),IF(IF('卡片raw data'!D$1:D$1000=R$4,1,0)+IF(R$4="",1,0)&gt;=1,1,0),IF(IF('卡片raw data'!E$1:E$1000=R$5,1,0)+IF(R$5="",1,0)&gt;=1,1,0))</f>
        <v>0</v>
      </c>
      <c r="Y774" s="1307">
        <f t="shared" si="61"/>
        <v>47</v>
      </c>
      <c r="Z774" s="1307">
        <f t="shared" si="62"/>
        <v>0</v>
      </c>
      <c r="AA774" s="1307">
        <f t="shared" si="63"/>
        <v>47</v>
      </c>
      <c r="AB774" s="1307">
        <f t="shared" si="64"/>
        <v>0</v>
      </c>
    </row>
    <row r="775" spans="20:28">
      <c r="T775" s="1077">
        <v>33</v>
      </c>
      <c r="U775" s="1077">
        <f t="shared" si="60"/>
        <v>19</v>
      </c>
      <c r="V775" s="1077">
        <v>48</v>
      </c>
      <c r="W775" s="1077">
        <f t="array" ref="W775">SUMPRODUCT(IF('卡片raw data'!BM$1:BM$1000=T775,1,0),IF('卡片raw data'!BO$1:BO$1000=V775,1,0),IF(IF('卡片raw data'!C$1:C$1000=R$3,1,0)+IF(R$3="",1,0)&gt;=1,1,0),IF(IF('卡片raw data'!D$1:D$1000=R$4,1,0)+IF(R$4="",1,0)&gt;=1,1,0),IF(IF('卡片raw data'!E$1:E$1000=R$5,1,0)+IF(R$5="",1,0)&gt;=1,1,0))</f>
        <v>0</v>
      </c>
      <c r="Y775" s="1307">
        <f t="shared" si="61"/>
        <v>48</v>
      </c>
      <c r="Z775" s="1307">
        <f t="shared" si="62"/>
        <v>0</v>
      </c>
      <c r="AA775" s="1307">
        <f t="shared" si="63"/>
        <v>48</v>
      </c>
      <c r="AB775" s="1307">
        <f t="shared" si="64"/>
        <v>0</v>
      </c>
    </row>
    <row r="776" spans="20:28">
      <c r="T776" s="1077">
        <v>33</v>
      </c>
      <c r="U776" s="1077">
        <f t="shared" si="60"/>
        <v>18</v>
      </c>
      <c r="V776" s="1077">
        <v>49</v>
      </c>
      <c r="W776" s="1077">
        <f t="array" ref="W776">SUMPRODUCT(IF('卡片raw data'!BM$1:BM$1000=T776,1,0),IF('卡片raw data'!BO$1:BO$1000=V776,1,0),IF(IF('卡片raw data'!C$1:C$1000=R$3,1,0)+IF(R$3="",1,0)&gt;=1,1,0),IF(IF('卡片raw data'!D$1:D$1000=R$4,1,0)+IF(R$4="",1,0)&gt;=1,1,0),IF(IF('卡片raw data'!E$1:E$1000=R$5,1,0)+IF(R$5="",1,0)&gt;=1,1,0))</f>
        <v>0</v>
      </c>
      <c r="Y776" s="1307">
        <f t="shared" si="61"/>
        <v>49</v>
      </c>
      <c r="Z776" s="1307">
        <f t="shared" si="62"/>
        <v>0</v>
      </c>
      <c r="AA776" s="1307">
        <f t="shared" si="63"/>
        <v>49</v>
      </c>
      <c r="AB776" s="1307">
        <f t="shared" si="64"/>
        <v>0</v>
      </c>
    </row>
    <row r="777" spans="20:28">
      <c r="T777" s="1077">
        <v>33</v>
      </c>
      <c r="U777" s="1077">
        <f t="shared" si="60"/>
        <v>17</v>
      </c>
      <c r="V777" s="1077">
        <v>50</v>
      </c>
      <c r="W777" s="1077">
        <f t="array" ref="W777">SUMPRODUCT(IF('卡片raw data'!BM$1:BM$1000=T777,1,0),IF('卡片raw data'!BO$1:BO$1000=V777,1,0),IF(IF('卡片raw data'!C$1:C$1000=R$3,1,0)+IF(R$3="",1,0)&gt;=1,1,0),IF(IF('卡片raw data'!D$1:D$1000=R$4,1,0)+IF(R$4="",1,0)&gt;=1,1,0),IF(IF('卡片raw data'!E$1:E$1000=R$5,1,0)+IF(R$5="",1,0)&gt;=1,1,0))</f>
        <v>0</v>
      </c>
      <c r="Y777" s="1307">
        <f t="shared" si="61"/>
        <v>50</v>
      </c>
      <c r="Z777" s="1307">
        <f t="shared" si="62"/>
        <v>0</v>
      </c>
      <c r="AA777" s="1307">
        <f t="shared" si="63"/>
        <v>50</v>
      </c>
      <c r="AB777" s="1307">
        <f t="shared" si="64"/>
        <v>0</v>
      </c>
    </row>
    <row r="778" spans="20:28">
      <c r="T778" s="1077">
        <v>33</v>
      </c>
      <c r="U778" s="1077">
        <f t="shared" si="60"/>
        <v>16</v>
      </c>
      <c r="V778" s="1077">
        <v>51</v>
      </c>
      <c r="W778" s="1077">
        <f t="array" ref="W778">SUMPRODUCT(IF('卡片raw data'!BM$1:BM$1000=T778,1,0),IF('卡片raw data'!BO$1:BO$1000=V778,1,0),IF(IF('卡片raw data'!C$1:C$1000=R$3,1,0)+IF(R$3="",1,0)&gt;=1,1,0),IF(IF('卡片raw data'!D$1:D$1000=R$4,1,0)+IF(R$4="",1,0)&gt;=1,1,0),IF(IF('卡片raw data'!E$1:E$1000=R$5,1,0)+IF(R$5="",1,0)&gt;=1,1,0))</f>
        <v>0</v>
      </c>
      <c r="Y778" s="1307">
        <f t="shared" si="61"/>
        <v>51</v>
      </c>
      <c r="Z778" s="1307">
        <f t="shared" si="62"/>
        <v>0</v>
      </c>
      <c r="AA778" s="1307">
        <f t="shared" si="63"/>
        <v>51</v>
      </c>
      <c r="AB778" s="1307">
        <f t="shared" si="64"/>
        <v>0</v>
      </c>
    </row>
    <row r="779" spans="20:28">
      <c r="T779" s="1077">
        <v>33</v>
      </c>
      <c r="U779" s="1077">
        <f t="shared" si="60"/>
        <v>15</v>
      </c>
      <c r="V779" s="1077">
        <v>52</v>
      </c>
      <c r="W779" s="1077">
        <f t="array" ref="W779">SUMPRODUCT(IF('卡片raw data'!BM$1:BM$1000=T779,1,0),IF('卡片raw data'!BO$1:BO$1000=V779,1,0),IF(IF('卡片raw data'!C$1:C$1000=R$3,1,0)+IF(R$3="",1,0)&gt;=1,1,0),IF(IF('卡片raw data'!D$1:D$1000=R$4,1,0)+IF(R$4="",1,0)&gt;=1,1,0),IF(IF('卡片raw data'!E$1:E$1000=R$5,1,0)+IF(R$5="",1,0)&gt;=1,1,0))</f>
        <v>0</v>
      </c>
      <c r="Y779" s="1307">
        <f t="shared" si="61"/>
        <v>52</v>
      </c>
      <c r="Z779" s="1307">
        <f t="shared" si="62"/>
        <v>0</v>
      </c>
      <c r="AA779" s="1307">
        <f t="shared" si="63"/>
        <v>52</v>
      </c>
      <c r="AB779" s="1307">
        <f t="shared" si="64"/>
        <v>0</v>
      </c>
    </row>
    <row r="780" spans="20:28">
      <c r="T780" s="1077">
        <v>33</v>
      </c>
      <c r="U780" s="1077">
        <f t="shared" si="60"/>
        <v>14</v>
      </c>
      <c r="V780" s="1077">
        <v>53</v>
      </c>
      <c r="W780" s="1077">
        <f t="array" ref="W780">SUMPRODUCT(IF('卡片raw data'!BM$1:BM$1000=T780,1,0),IF('卡片raw data'!BO$1:BO$1000=V780,1,0),IF(IF('卡片raw data'!C$1:C$1000=R$3,1,0)+IF(R$3="",1,0)&gt;=1,1,0),IF(IF('卡片raw data'!D$1:D$1000=R$4,1,0)+IF(R$4="",1,0)&gt;=1,1,0),IF(IF('卡片raw data'!E$1:E$1000=R$5,1,0)+IF(R$5="",1,0)&gt;=1,1,0))</f>
        <v>0</v>
      </c>
      <c r="Y780" s="1307">
        <f t="shared" si="61"/>
        <v>53</v>
      </c>
      <c r="Z780" s="1307">
        <f t="shared" si="62"/>
        <v>0</v>
      </c>
      <c r="AA780" s="1307">
        <f t="shared" si="63"/>
        <v>53</v>
      </c>
      <c r="AB780" s="1307">
        <f t="shared" si="64"/>
        <v>0</v>
      </c>
    </row>
    <row r="781" spans="20:28">
      <c r="T781" s="1077">
        <v>33</v>
      </c>
      <c r="U781" s="1077">
        <f t="shared" si="60"/>
        <v>13</v>
      </c>
      <c r="V781" s="1077">
        <v>54</v>
      </c>
      <c r="W781" s="1077">
        <f t="array" ref="W781">SUMPRODUCT(IF('卡片raw data'!BM$1:BM$1000=T781,1,0),IF('卡片raw data'!BO$1:BO$1000=V781,1,0),IF(IF('卡片raw data'!C$1:C$1000=R$3,1,0)+IF(R$3="",1,0)&gt;=1,1,0),IF(IF('卡片raw data'!D$1:D$1000=R$4,1,0)+IF(R$4="",1,0)&gt;=1,1,0),IF(IF('卡片raw data'!E$1:E$1000=R$5,1,0)+IF(R$5="",1,0)&gt;=1,1,0))</f>
        <v>0</v>
      </c>
      <c r="Y781" s="1307">
        <f t="shared" si="61"/>
        <v>54</v>
      </c>
      <c r="Z781" s="1307">
        <f t="shared" si="62"/>
        <v>0</v>
      </c>
      <c r="AA781" s="1307">
        <f t="shared" si="63"/>
        <v>54</v>
      </c>
      <c r="AB781" s="1307">
        <f t="shared" si="64"/>
        <v>0</v>
      </c>
    </row>
    <row r="782" spans="20:28">
      <c r="T782" s="1077">
        <v>33</v>
      </c>
      <c r="U782" s="1077">
        <f t="shared" si="60"/>
        <v>12</v>
      </c>
      <c r="V782" s="1077">
        <v>55</v>
      </c>
      <c r="W782" s="1077">
        <f t="array" ref="W782">SUMPRODUCT(IF('卡片raw data'!BM$1:BM$1000=T782,1,0),IF('卡片raw data'!BO$1:BO$1000=V782,1,0),IF(IF('卡片raw data'!C$1:C$1000=R$3,1,0)+IF(R$3="",1,0)&gt;=1,1,0),IF(IF('卡片raw data'!D$1:D$1000=R$4,1,0)+IF(R$4="",1,0)&gt;=1,1,0),IF(IF('卡片raw data'!E$1:E$1000=R$5,1,0)+IF(R$5="",1,0)&gt;=1,1,0))</f>
        <v>0</v>
      </c>
      <c r="Y782" s="1307">
        <f t="shared" si="61"/>
        <v>55</v>
      </c>
      <c r="Z782" s="1307">
        <f t="shared" si="62"/>
        <v>0</v>
      </c>
      <c r="AA782" s="1307">
        <f t="shared" si="63"/>
        <v>55</v>
      </c>
      <c r="AB782" s="1307">
        <f t="shared" si="64"/>
        <v>0</v>
      </c>
    </row>
    <row r="783" spans="20:28">
      <c r="T783" s="1077">
        <v>34</v>
      </c>
      <c r="U783" s="1077">
        <f t="shared" si="60"/>
        <v>55</v>
      </c>
      <c r="V783" s="1077">
        <v>11</v>
      </c>
      <c r="W783" s="1077">
        <f t="array" ref="W783">SUMPRODUCT(IF('卡片raw data'!BM$1:BM$1000=T783,1,0),IF('卡片raw data'!BO$1:BO$1000=V783,1,0),IF(IF('卡片raw data'!C$1:C$1000=R$3,1,0)+IF(R$3="",1,0)&gt;=1,1,0),IF(IF('卡片raw data'!D$1:D$1000=R$4,1,0)+IF(R$4="",1,0)&gt;=1,1,0),IF(IF('卡片raw data'!E$1:E$1000=R$5,1,0)+IF(R$5="",1,0)&gt;=1,1,0))</f>
        <v>0</v>
      </c>
      <c r="Y783" s="1307">
        <f t="shared" si="61"/>
        <v>11</v>
      </c>
      <c r="Z783" s="1307">
        <f t="shared" si="62"/>
        <v>0</v>
      </c>
      <c r="AA783" s="1307">
        <f t="shared" si="63"/>
        <v>11</v>
      </c>
      <c r="AB783" s="1307">
        <f t="shared" si="64"/>
        <v>0</v>
      </c>
    </row>
    <row r="784" spans="20:28">
      <c r="T784" s="1077">
        <v>34</v>
      </c>
      <c r="U784" s="1077">
        <f t="shared" si="60"/>
        <v>54</v>
      </c>
      <c r="V784" s="1077">
        <v>12</v>
      </c>
      <c r="W784" s="1077">
        <f t="array" ref="W784">SUMPRODUCT(IF('卡片raw data'!BM$1:BM$1000=T784,1,0),IF('卡片raw data'!BO$1:BO$1000=V784,1,0),IF(IF('卡片raw data'!C$1:C$1000=R$3,1,0)+IF(R$3="",1,0)&gt;=1,1,0),IF(IF('卡片raw data'!D$1:D$1000=R$4,1,0)+IF(R$4="",1,0)&gt;=1,1,0),IF(IF('卡片raw data'!E$1:E$1000=R$5,1,0)+IF(R$5="",1,0)&gt;=1,1,0))</f>
        <v>0</v>
      </c>
      <c r="Y784" s="1307">
        <f t="shared" si="61"/>
        <v>12</v>
      </c>
      <c r="Z784" s="1307">
        <f t="shared" si="62"/>
        <v>0</v>
      </c>
      <c r="AA784" s="1307">
        <f t="shared" si="63"/>
        <v>12</v>
      </c>
      <c r="AB784" s="1307">
        <f t="shared" si="64"/>
        <v>0</v>
      </c>
    </row>
    <row r="785" spans="20:28">
      <c r="T785" s="1077">
        <v>34</v>
      </c>
      <c r="U785" s="1077">
        <f t="shared" si="60"/>
        <v>53</v>
      </c>
      <c r="V785" s="1077">
        <v>13</v>
      </c>
      <c r="W785" s="1077">
        <f t="array" ref="W785">SUMPRODUCT(IF('卡片raw data'!BM$1:BM$1000=T785,1,0),IF('卡片raw data'!BO$1:BO$1000=V785,1,0),IF(IF('卡片raw data'!C$1:C$1000=R$3,1,0)+IF(R$3="",1,0)&gt;=1,1,0),IF(IF('卡片raw data'!D$1:D$1000=R$4,1,0)+IF(R$4="",1,0)&gt;=1,1,0),IF(IF('卡片raw data'!E$1:E$1000=R$5,1,0)+IF(R$5="",1,0)&gt;=1,1,0))</f>
        <v>0</v>
      </c>
      <c r="Y785" s="1307">
        <f t="shared" si="61"/>
        <v>13</v>
      </c>
      <c r="Z785" s="1307">
        <f t="shared" si="62"/>
        <v>0</v>
      </c>
      <c r="AA785" s="1307">
        <f t="shared" si="63"/>
        <v>13</v>
      </c>
      <c r="AB785" s="1307">
        <f t="shared" si="64"/>
        <v>0</v>
      </c>
    </row>
    <row r="786" spans="20:28">
      <c r="T786" s="1077">
        <v>34</v>
      </c>
      <c r="U786" s="1077">
        <f t="shared" si="60"/>
        <v>52</v>
      </c>
      <c r="V786" s="1077">
        <v>14</v>
      </c>
      <c r="W786" s="1077">
        <f t="array" ref="W786">SUMPRODUCT(IF('卡片raw data'!BM$1:BM$1000=T786,1,0),IF('卡片raw data'!BO$1:BO$1000=V786,1,0),IF(IF('卡片raw data'!C$1:C$1000=R$3,1,0)+IF(R$3="",1,0)&gt;=1,1,0),IF(IF('卡片raw data'!D$1:D$1000=R$4,1,0)+IF(R$4="",1,0)&gt;=1,1,0),IF(IF('卡片raw data'!E$1:E$1000=R$5,1,0)+IF(R$5="",1,0)&gt;=1,1,0))</f>
        <v>0</v>
      </c>
      <c r="Y786" s="1307">
        <f t="shared" si="61"/>
        <v>14</v>
      </c>
      <c r="Z786" s="1307">
        <f t="shared" si="62"/>
        <v>0</v>
      </c>
      <c r="AA786" s="1307">
        <f t="shared" si="63"/>
        <v>14</v>
      </c>
      <c r="AB786" s="1307">
        <f t="shared" si="64"/>
        <v>0</v>
      </c>
    </row>
    <row r="787" spans="20:28">
      <c r="T787" s="1077">
        <v>34</v>
      </c>
      <c r="U787" s="1077">
        <f t="shared" si="60"/>
        <v>51</v>
      </c>
      <c r="V787" s="1077">
        <v>15</v>
      </c>
      <c r="W787" s="1077">
        <f t="array" ref="W787">SUMPRODUCT(IF('卡片raw data'!BM$1:BM$1000=T787,1,0),IF('卡片raw data'!BO$1:BO$1000=V787,1,0),IF(IF('卡片raw data'!C$1:C$1000=R$3,1,0)+IF(R$3="",1,0)&gt;=1,1,0),IF(IF('卡片raw data'!D$1:D$1000=R$4,1,0)+IF(R$4="",1,0)&gt;=1,1,0),IF(IF('卡片raw data'!E$1:E$1000=R$5,1,0)+IF(R$5="",1,0)&gt;=1,1,0))</f>
        <v>0</v>
      </c>
      <c r="Y787" s="1307">
        <f t="shared" si="61"/>
        <v>15</v>
      </c>
      <c r="Z787" s="1307">
        <f t="shared" si="62"/>
        <v>0</v>
      </c>
      <c r="AA787" s="1307">
        <f t="shared" si="63"/>
        <v>15</v>
      </c>
      <c r="AB787" s="1307">
        <f t="shared" si="64"/>
        <v>0</v>
      </c>
    </row>
    <row r="788" spans="20:28">
      <c r="T788" s="1077">
        <v>34</v>
      </c>
      <c r="U788" s="1077">
        <f t="shared" si="60"/>
        <v>50</v>
      </c>
      <c r="V788" s="1077">
        <v>16</v>
      </c>
      <c r="W788" s="1077">
        <f t="array" ref="W788">SUMPRODUCT(IF('卡片raw data'!BM$1:BM$1000=T788,1,0),IF('卡片raw data'!BO$1:BO$1000=V788,1,0),IF(IF('卡片raw data'!C$1:C$1000=R$3,1,0)+IF(R$3="",1,0)&gt;=1,1,0),IF(IF('卡片raw data'!D$1:D$1000=R$4,1,0)+IF(R$4="",1,0)&gt;=1,1,0),IF(IF('卡片raw data'!E$1:E$1000=R$5,1,0)+IF(R$5="",1,0)&gt;=1,1,0))</f>
        <v>0</v>
      </c>
      <c r="Y788" s="1307">
        <f t="shared" si="61"/>
        <v>16</v>
      </c>
      <c r="Z788" s="1307">
        <f t="shared" si="62"/>
        <v>0</v>
      </c>
      <c r="AA788" s="1307">
        <f t="shared" si="63"/>
        <v>16</v>
      </c>
      <c r="AB788" s="1307">
        <f t="shared" si="64"/>
        <v>0</v>
      </c>
    </row>
    <row r="789" spans="20:28">
      <c r="T789" s="1077">
        <v>34</v>
      </c>
      <c r="U789" s="1077">
        <f t="shared" si="60"/>
        <v>49</v>
      </c>
      <c r="V789" s="1077">
        <v>17</v>
      </c>
      <c r="W789" s="1077">
        <f t="array" ref="W789">SUMPRODUCT(IF('卡片raw data'!BM$1:BM$1000=T789,1,0),IF('卡片raw data'!BO$1:BO$1000=V789,1,0),IF(IF('卡片raw data'!C$1:C$1000=R$3,1,0)+IF(R$3="",1,0)&gt;=1,1,0),IF(IF('卡片raw data'!D$1:D$1000=R$4,1,0)+IF(R$4="",1,0)&gt;=1,1,0),IF(IF('卡片raw data'!E$1:E$1000=R$5,1,0)+IF(R$5="",1,0)&gt;=1,1,0))</f>
        <v>0</v>
      </c>
      <c r="Y789" s="1307">
        <f t="shared" si="61"/>
        <v>17</v>
      </c>
      <c r="Z789" s="1307">
        <f t="shared" si="62"/>
        <v>0</v>
      </c>
      <c r="AA789" s="1307">
        <f t="shared" si="63"/>
        <v>17</v>
      </c>
      <c r="AB789" s="1307">
        <f t="shared" si="64"/>
        <v>0</v>
      </c>
    </row>
    <row r="790" spans="20:28">
      <c r="T790" s="1077">
        <v>34</v>
      </c>
      <c r="U790" s="1077">
        <f t="shared" si="60"/>
        <v>48</v>
      </c>
      <c r="V790" s="1077">
        <v>18</v>
      </c>
      <c r="W790" s="1077">
        <f t="array" ref="W790">SUMPRODUCT(IF('卡片raw data'!BM$1:BM$1000=T790,1,0),IF('卡片raw data'!BO$1:BO$1000=V790,1,0),IF(IF('卡片raw data'!C$1:C$1000=R$3,1,0)+IF(R$3="",1,0)&gt;=1,1,0),IF(IF('卡片raw data'!D$1:D$1000=R$4,1,0)+IF(R$4="",1,0)&gt;=1,1,0),IF(IF('卡片raw data'!E$1:E$1000=R$5,1,0)+IF(R$5="",1,0)&gt;=1,1,0))</f>
        <v>0</v>
      </c>
      <c r="Y790" s="1307">
        <f t="shared" si="61"/>
        <v>18</v>
      </c>
      <c r="Z790" s="1307">
        <f t="shared" si="62"/>
        <v>0</v>
      </c>
      <c r="AA790" s="1307">
        <f t="shared" si="63"/>
        <v>18</v>
      </c>
      <c r="AB790" s="1307">
        <f t="shared" si="64"/>
        <v>0</v>
      </c>
    </row>
    <row r="791" spans="20:28">
      <c r="T791" s="1077">
        <v>34</v>
      </c>
      <c r="U791" s="1077">
        <f t="shared" si="60"/>
        <v>47</v>
      </c>
      <c r="V791" s="1077">
        <v>19</v>
      </c>
      <c r="W791" s="1077">
        <f t="array" ref="W791">SUMPRODUCT(IF('卡片raw data'!BM$1:BM$1000=T791,1,0),IF('卡片raw data'!BO$1:BO$1000=V791,1,0),IF(IF('卡片raw data'!C$1:C$1000=R$3,1,0)+IF(R$3="",1,0)&gt;=1,1,0),IF(IF('卡片raw data'!D$1:D$1000=R$4,1,0)+IF(R$4="",1,0)&gt;=1,1,0),IF(IF('卡片raw data'!E$1:E$1000=R$5,1,0)+IF(R$5="",1,0)&gt;=1,1,0))</f>
        <v>0</v>
      </c>
      <c r="Y791" s="1307">
        <f t="shared" si="61"/>
        <v>19</v>
      </c>
      <c r="Z791" s="1307">
        <f t="shared" si="62"/>
        <v>0</v>
      </c>
      <c r="AA791" s="1307">
        <f t="shared" si="63"/>
        <v>19</v>
      </c>
      <c r="AB791" s="1307">
        <f t="shared" si="64"/>
        <v>0</v>
      </c>
    </row>
    <row r="792" spans="20:28">
      <c r="T792" s="1077">
        <v>34</v>
      </c>
      <c r="U792" s="1077">
        <f t="shared" si="60"/>
        <v>46</v>
      </c>
      <c r="V792" s="1077">
        <v>20</v>
      </c>
      <c r="W792" s="1077">
        <f t="array" ref="W792">SUMPRODUCT(IF('卡片raw data'!BM$1:BM$1000=T792,1,0),IF('卡片raw data'!BO$1:BO$1000=V792,1,0),IF(IF('卡片raw data'!C$1:C$1000=R$3,1,0)+IF(R$3="",1,0)&gt;=1,1,0),IF(IF('卡片raw data'!D$1:D$1000=R$4,1,0)+IF(R$4="",1,0)&gt;=1,1,0),IF(IF('卡片raw data'!E$1:E$1000=R$5,1,0)+IF(R$5="",1,0)&gt;=1,1,0))</f>
        <v>0</v>
      </c>
      <c r="Y792" s="1307">
        <f t="shared" si="61"/>
        <v>20</v>
      </c>
      <c r="Z792" s="1307">
        <f t="shared" si="62"/>
        <v>0</v>
      </c>
      <c r="AA792" s="1307">
        <f t="shared" si="63"/>
        <v>20</v>
      </c>
      <c r="AB792" s="1307">
        <f t="shared" si="64"/>
        <v>0</v>
      </c>
    </row>
    <row r="793" spans="20:28">
      <c r="T793" s="1077">
        <v>34</v>
      </c>
      <c r="U793" s="1077">
        <f t="shared" si="60"/>
        <v>45</v>
      </c>
      <c r="V793" s="1077">
        <v>21</v>
      </c>
      <c r="W793" s="1077">
        <f t="array" ref="W793">SUMPRODUCT(IF('卡片raw data'!BM$1:BM$1000=T793,1,0),IF('卡片raw data'!BO$1:BO$1000=V793,1,0),IF(IF('卡片raw data'!C$1:C$1000=R$3,1,0)+IF(R$3="",1,0)&gt;=1,1,0),IF(IF('卡片raw data'!D$1:D$1000=R$4,1,0)+IF(R$4="",1,0)&gt;=1,1,0),IF(IF('卡片raw data'!E$1:E$1000=R$5,1,0)+IF(R$5="",1,0)&gt;=1,1,0))</f>
        <v>0</v>
      </c>
      <c r="Y793" s="1307">
        <f t="shared" si="61"/>
        <v>21</v>
      </c>
      <c r="Z793" s="1307">
        <f t="shared" si="62"/>
        <v>0</v>
      </c>
      <c r="AA793" s="1307">
        <f t="shared" si="63"/>
        <v>21</v>
      </c>
      <c r="AB793" s="1307">
        <f t="shared" si="64"/>
        <v>0</v>
      </c>
    </row>
    <row r="794" spans="20:28">
      <c r="T794" s="1077">
        <v>34</v>
      </c>
      <c r="U794" s="1077">
        <f t="shared" si="60"/>
        <v>44</v>
      </c>
      <c r="V794" s="1077">
        <v>22</v>
      </c>
      <c r="W794" s="1077">
        <f t="array" ref="W794">SUMPRODUCT(IF('卡片raw data'!BM$1:BM$1000=T794,1,0),IF('卡片raw data'!BO$1:BO$1000=V794,1,0),IF(IF('卡片raw data'!C$1:C$1000=R$3,1,0)+IF(R$3="",1,0)&gt;=1,1,0),IF(IF('卡片raw data'!D$1:D$1000=R$4,1,0)+IF(R$4="",1,0)&gt;=1,1,0),IF(IF('卡片raw data'!E$1:E$1000=R$5,1,0)+IF(R$5="",1,0)&gt;=1,1,0))</f>
        <v>0</v>
      </c>
      <c r="Y794" s="1307">
        <f t="shared" si="61"/>
        <v>22</v>
      </c>
      <c r="Z794" s="1307">
        <f t="shared" si="62"/>
        <v>0</v>
      </c>
      <c r="AA794" s="1307">
        <f t="shared" si="63"/>
        <v>22</v>
      </c>
      <c r="AB794" s="1307">
        <f t="shared" si="64"/>
        <v>0</v>
      </c>
    </row>
    <row r="795" spans="20:28">
      <c r="T795" s="1077">
        <v>34</v>
      </c>
      <c r="U795" s="1077">
        <f t="shared" si="60"/>
        <v>43</v>
      </c>
      <c r="V795" s="1077">
        <v>23</v>
      </c>
      <c r="W795" s="1077">
        <f t="array" ref="W795">SUMPRODUCT(IF('卡片raw data'!BM$1:BM$1000=T795,1,0),IF('卡片raw data'!BO$1:BO$1000=V795,1,0),IF(IF('卡片raw data'!C$1:C$1000=R$3,1,0)+IF(R$3="",1,0)&gt;=1,1,0),IF(IF('卡片raw data'!D$1:D$1000=R$4,1,0)+IF(R$4="",1,0)&gt;=1,1,0),IF(IF('卡片raw data'!E$1:E$1000=R$5,1,0)+IF(R$5="",1,0)&gt;=1,1,0))</f>
        <v>0</v>
      </c>
      <c r="Y795" s="1307">
        <f t="shared" si="61"/>
        <v>23</v>
      </c>
      <c r="Z795" s="1307">
        <f t="shared" si="62"/>
        <v>0</v>
      </c>
      <c r="AA795" s="1307">
        <f t="shared" si="63"/>
        <v>23</v>
      </c>
      <c r="AB795" s="1307">
        <f t="shared" si="64"/>
        <v>0</v>
      </c>
    </row>
    <row r="796" spans="20:28">
      <c r="T796" s="1077">
        <v>34</v>
      </c>
      <c r="U796" s="1077">
        <f t="shared" si="60"/>
        <v>42</v>
      </c>
      <c r="V796" s="1077">
        <v>24</v>
      </c>
      <c r="W796" s="1077">
        <f t="array" ref="W796">SUMPRODUCT(IF('卡片raw data'!BM$1:BM$1000=T796,1,0),IF('卡片raw data'!BO$1:BO$1000=V796,1,0),IF(IF('卡片raw data'!C$1:C$1000=R$3,1,0)+IF(R$3="",1,0)&gt;=1,1,0),IF(IF('卡片raw data'!D$1:D$1000=R$4,1,0)+IF(R$4="",1,0)&gt;=1,1,0),IF(IF('卡片raw data'!E$1:E$1000=R$5,1,0)+IF(R$5="",1,0)&gt;=1,1,0))</f>
        <v>0</v>
      </c>
      <c r="Y796" s="1307">
        <f t="shared" si="61"/>
        <v>24</v>
      </c>
      <c r="Z796" s="1307">
        <f t="shared" si="62"/>
        <v>0</v>
      </c>
      <c r="AA796" s="1307">
        <f t="shared" si="63"/>
        <v>24</v>
      </c>
      <c r="AB796" s="1307">
        <f t="shared" si="64"/>
        <v>0</v>
      </c>
    </row>
    <row r="797" spans="20:28">
      <c r="T797" s="1077">
        <v>34</v>
      </c>
      <c r="U797" s="1077">
        <f t="shared" si="60"/>
        <v>41</v>
      </c>
      <c r="V797" s="1077">
        <v>25</v>
      </c>
      <c r="W797" s="1077">
        <f t="array" ref="W797">SUMPRODUCT(IF('卡片raw data'!BM$1:BM$1000=T797,1,0),IF('卡片raw data'!BO$1:BO$1000=V797,1,0),IF(IF('卡片raw data'!C$1:C$1000=R$3,1,0)+IF(R$3="",1,0)&gt;=1,1,0),IF(IF('卡片raw data'!D$1:D$1000=R$4,1,0)+IF(R$4="",1,0)&gt;=1,1,0),IF(IF('卡片raw data'!E$1:E$1000=R$5,1,0)+IF(R$5="",1,0)&gt;=1,1,0))</f>
        <v>1</v>
      </c>
      <c r="Y797" s="1307">
        <f t="shared" si="61"/>
        <v>25</v>
      </c>
      <c r="Z797" s="1307">
        <f t="shared" si="62"/>
        <v>0</v>
      </c>
      <c r="AA797" s="1307">
        <f t="shared" si="63"/>
        <v>25</v>
      </c>
      <c r="AB797" s="1307">
        <f t="shared" si="64"/>
        <v>1</v>
      </c>
    </row>
    <row r="798" spans="20:28">
      <c r="T798" s="1077">
        <v>34</v>
      </c>
      <c r="U798" s="1077">
        <f t="shared" si="60"/>
        <v>40</v>
      </c>
      <c r="V798" s="1077">
        <v>26</v>
      </c>
      <c r="W798" s="1077">
        <f t="array" ref="W798">SUMPRODUCT(IF('卡片raw data'!BM$1:BM$1000=T798,1,0),IF('卡片raw data'!BO$1:BO$1000=V798,1,0),IF(IF('卡片raw data'!C$1:C$1000=R$3,1,0)+IF(R$3="",1,0)&gt;=1,1,0),IF(IF('卡片raw data'!D$1:D$1000=R$4,1,0)+IF(R$4="",1,0)&gt;=1,1,0),IF(IF('卡片raw data'!E$1:E$1000=R$5,1,0)+IF(R$5="",1,0)&gt;=1,1,0))</f>
        <v>0</v>
      </c>
      <c r="Y798" s="1307">
        <f t="shared" si="61"/>
        <v>26</v>
      </c>
      <c r="Z798" s="1307">
        <f t="shared" si="62"/>
        <v>0</v>
      </c>
      <c r="AA798" s="1307">
        <f t="shared" si="63"/>
        <v>26</v>
      </c>
      <c r="AB798" s="1307">
        <f t="shared" si="64"/>
        <v>0</v>
      </c>
    </row>
    <row r="799" spans="20:28">
      <c r="T799" s="1077">
        <v>34</v>
      </c>
      <c r="U799" s="1077">
        <f t="shared" si="60"/>
        <v>39</v>
      </c>
      <c r="V799" s="1077">
        <v>27</v>
      </c>
      <c r="W799" s="1077">
        <f t="array" ref="W799">SUMPRODUCT(IF('卡片raw data'!BM$1:BM$1000=T799,1,0),IF('卡片raw data'!BO$1:BO$1000=V799,1,0),IF(IF('卡片raw data'!C$1:C$1000=R$3,1,0)+IF(R$3="",1,0)&gt;=1,1,0),IF(IF('卡片raw data'!D$1:D$1000=R$4,1,0)+IF(R$4="",1,0)&gt;=1,1,0),IF(IF('卡片raw data'!E$1:E$1000=R$5,1,0)+IF(R$5="",1,0)&gt;=1,1,0))</f>
        <v>0</v>
      </c>
      <c r="Y799" s="1307">
        <f t="shared" si="61"/>
        <v>27</v>
      </c>
      <c r="Z799" s="1307">
        <f t="shared" si="62"/>
        <v>0</v>
      </c>
      <c r="AA799" s="1307">
        <f t="shared" si="63"/>
        <v>27</v>
      </c>
      <c r="AB799" s="1307">
        <f t="shared" si="64"/>
        <v>0</v>
      </c>
    </row>
    <row r="800" spans="20:28">
      <c r="T800" s="1077">
        <v>34</v>
      </c>
      <c r="U800" s="1077">
        <f t="shared" si="60"/>
        <v>38</v>
      </c>
      <c r="V800" s="1077">
        <v>28</v>
      </c>
      <c r="W800" s="1077">
        <f t="array" ref="W800">SUMPRODUCT(IF('卡片raw data'!BM$1:BM$1000=T800,1,0),IF('卡片raw data'!BO$1:BO$1000=V800,1,0),IF(IF('卡片raw data'!C$1:C$1000=R$3,1,0)+IF(R$3="",1,0)&gt;=1,1,0),IF(IF('卡片raw data'!D$1:D$1000=R$4,1,0)+IF(R$4="",1,0)&gt;=1,1,0),IF(IF('卡片raw data'!E$1:E$1000=R$5,1,0)+IF(R$5="",1,0)&gt;=1,1,0))</f>
        <v>0</v>
      </c>
      <c r="Y800" s="1307">
        <f t="shared" si="61"/>
        <v>28</v>
      </c>
      <c r="Z800" s="1307">
        <f t="shared" si="62"/>
        <v>0</v>
      </c>
      <c r="AA800" s="1307">
        <f t="shared" si="63"/>
        <v>28</v>
      </c>
      <c r="AB800" s="1307">
        <f t="shared" si="64"/>
        <v>0</v>
      </c>
    </row>
    <row r="801" spans="20:28">
      <c r="T801" s="1077">
        <v>34</v>
      </c>
      <c r="U801" s="1077">
        <f t="shared" si="60"/>
        <v>37</v>
      </c>
      <c r="V801" s="1077">
        <v>29</v>
      </c>
      <c r="W801" s="1077">
        <f t="array" ref="W801">SUMPRODUCT(IF('卡片raw data'!BM$1:BM$1000=T801,1,0),IF('卡片raw data'!BO$1:BO$1000=V801,1,0),IF(IF('卡片raw data'!C$1:C$1000=R$3,1,0)+IF(R$3="",1,0)&gt;=1,1,0),IF(IF('卡片raw data'!D$1:D$1000=R$4,1,0)+IF(R$4="",1,0)&gt;=1,1,0),IF(IF('卡片raw data'!E$1:E$1000=R$5,1,0)+IF(R$5="",1,0)&gt;=1,1,0))</f>
        <v>1</v>
      </c>
      <c r="Y801" s="1307">
        <f t="shared" si="61"/>
        <v>29</v>
      </c>
      <c r="Z801" s="1307">
        <f t="shared" si="62"/>
        <v>0</v>
      </c>
      <c r="AA801" s="1307">
        <f t="shared" si="63"/>
        <v>29</v>
      </c>
      <c r="AB801" s="1307">
        <f t="shared" si="64"/>
        <v>1</v>
      </c>
    </row>
    <row r="802" spans="20:28">
      <c r="T802" s="1077">
        <v>34</v>
      </c>
      <c r="U802" s="1077">
        <f t="shared" si="60"/>
        <v>36</v>
      </c>
      <c r="V802" s="1077">
        <v>30</v>
      </c>
      <c r="W802" s="1077">
        <f t="array" ref="W802">SUMPRODUCT(IF('卡片raw data'!BM$1:BM$1000=T802,1,0),IF('卡片raw data'!BO$1:BO$1000=V802,1,0),IF(IF('卡片raw data'!C$1:C$1000=R$3,1,0)+IF(R$3="",1,0)&gt;=1,1,0),IF(IF('卡片raw data'!D$1:D$1000=R$4,1,0)+IF(R$4="",1,0)&gt;=1,1,0),IF(IF('卡片raw data'!E$1:E$1000=R$5,1,0)+IF(R$5="",1,0)&gt;=1,1,0))</f>
        <v>0</v>
      </c>
      <c r="Y802" s="1307">
        <f t="shared" si="61"/>
        <v>30</v>
      </c>
      <c r="Z802" s="1307">
        <f t="shared" si="62"/>
        <v>0</v>
      </c>
      <c r="AA802" s="1307">
        <f t="shared" si="63"/>
        <v>30</v>
      </c>
      <c r="AB802" s="1307">
        <f t="shared" si="64"/>
        <v>0</v>
      </c>
    </row>
    <row r="803" spans="20:28">
      <c r="T803" s="1077">
        <v>34</v>
      </c>
      <c r="U803" s="1077">
        <f t="shared" si="60"/>
        <v>35</v>
      </c>
      <c r="V803" s="1077">
        <v>31</v>
      </c>
      <c r="W803" s="1077">
        <f t="array" ref="W803">SUMPRODUCT(IF('卡片raw data'!BM$1:BM$1000=T803,1,0),IF('卡片raw data'!BO$1:BO$1000=V803,1,0),IF(IF('卡片raw data'!C$1:C$1000=R$3,1,0)+IF(R$3="",1,0)&gt;=1,1,0),IF(IF('卡片raw data'!D$1:D$1000=R$4,1,0)+IF(R$4="",1,0)&gt;=1,1,0),IF(IF('卡片raw data'!E$1:E$1000=R$5,1,0)+IF(R$5="",1,0)&gt;=1,1,0))</f>
        <v>0</v>
      </c>
      <c r="Y803" s="1307">
        <f t="shared" si="61"/>
        <v>31</v>
      </c>
      <c r="Z803" s="1307">
        <f t="shared" si="62"/>
        <v>0</v>
      </c>
      <c r="AA803" s="1307">
        <f t="shared" si="63"/>
        <v>31</v>
      </c>
      <c r="AB803" s="1307">
        <f t="shared" si="64"/>
        <v>0</v>
      </c>
    </row>
    <row r="804" spans="20:28">
      <c r="T804" s="1077">
        <v>34</v>
      </c>
      <c r="U804" s="1077">
        <f t="shared" si="60"/>
        <v>34</v>
      </c>
      <c r="V804" s="1077">
        <v>32</v>
      </c>
      <c r="W804" s="1077">
        <f t="array" ref="W804">SUMPRODUCT(IF('卡片raw data'!BM$1:BM$1000=T804,1,0),IF('卡片raw data'!BO$1:BO$1000=V804,1,0),IF(IF('卡片raw data'!C$1:C$1000=R$3,1,0)+IF(R$3="",1,0)&gt;=1,1,0),IF(IF('卡片raw data'!D$1:D$1000=R$4,1,0)+IF(R$4="",1,0)&gt;=1,1,0),IF(IF('卡片raw data'!E$1:E$1000=R$5,1,0)+IF(R$5="",1,0)&gt;=1,1,0))</f>
        <v>0</v>
      </c>
      <c r="Y804" s="1307">
        <f t="shared" si="61"/>
        <v>32</v>
      </c>
      <c r="Z804" s="1307">
        <f t="shared" si="62"/>
        <v>0</v>
      </c>
      <c r="AA804" s="1307">
        <f t="shared" si="63"/>
        <v>32</v>
      </c>
      <c r="AB804" s="1307">
        <f t="shared" si="64"/>
        <v>0</v>
      </c>
    </row>
    <row r="805" spans="20:28">
      <c r="T805" s="1077">
        <v>34</v>
      </c>
      <c r="U805" s="1077">
        <f t="shared" si="60"/>
        <v>33</v>
      </c>
      <c r="V805" s="1077">
        <v>33</v>
      </c>
      <c r="W805" s="1077">
        <f t="array" ref="W805">SUMPRODUCT(IF('卡片raw data'!BM$1:BM$1000=T805,1,0),IF('卡片raw data'!BO$1:BO$1000=V805,1,0),IF(IF('卡片raw data'!C$1:C$1000=R$3,1,0)+IF(R$3="",1,0)&gt;=1,1,0),IF(IF('卡片raw data'!D$1:D$1000=R$4,1,0)+IF(R$4="",1,0)&gt;=1,1,0),IF(IF('卡片raw data'!E$1:E$1000=R$5,1,0)+IF(R$5="",1,0)&gt;=1,1,0))</f>
        <v>3</v>
      </c>
      <c r="Y805" s="1307">
        <f t="shared" si="61"/>
        <v>33</v>
      </c>
      <c r="Z805" s="1307">
        <f t="shared" si="62"/>
        <v>0</v>
      </c>
      <c r="AA805" s="1307">
        <f t="shared" si="63"/>
        <v>33</v>
      </c>
      <c r="AB805" s="1307">
        <f t="shared" si="64"/>
        <v>3</v>
      </c>
    </row>
    <row r="806" spans="20:28">
      <c r="T806" s="1077">
        <v>34</v>
      </c>
      <c r="U806" s="1077">
        <f t="shared" si="60"/>
        <v>32</v>
      </c>
      <c r="V806" s="1077">
        <v>34</v>
      </c>
      <c r="W806" s="1077">
        <f t="array" ref="W806">SUMPRODUCT(IF('卡片raw data'!BM$1:BM$1000=T806,1,0),IF('卡片raw data'!BO$1:BO$1000=V806,1,0),IF(IF('卡片raw data'!C$1:C$1000=R$3,1,0)+IF(R$3="",1,0)&gt;=1,1,0),IF(IF('卡片raw data'!D$1:D$1000=R$4,1,0)+IF(R$4="",1,0)&gt;=1,1,0),IF(IF('卡片raw data'!E$1:E$1000=R$5,1,0)+IF(R$5="",1,0)&gt;=1,1,0))</f>
        <v>1</v>
      </c>
      <c r="Y806" s="1307">
        <f t="shared" si="61"/>
        <v>34</v>
      </c>
      <c r="Z806" s="1307">
        <f t="shared" si="62"/>
        <v>0</v>
      </c>
      <c r="AA806" s="1307">
        <f t="shared" si="63"/>
        <v>34</v>
      </c>
      <c r="AB806" s="1307">
        <f t="shared" si="64"/>
        <v>1</v>
      </c>
    </row>
    <row r="807" spans="20:28">
      <c r="T807" s="1077">
        <v>34</v>
      </c>
      <c r="U807" s="1077">
        <f t="shared" si="60"/>
        <v>31</v>
      </c>
      <c r="V807" s="1077">
        <v>35</v>
      </c>
      <c r="W807" s="1077">
        <f t="array" ref="W807">SUMPRODUCT(IF('卡片raw data'!BM$1:BM$1000=T807,1,0),IF('卡片raw data'!BO$1:BO$1000=V807,1,0),IF(IF('卡片raw data'!C$1:C$1000=R$3,1,0)+IF(R$3="",1,0)&gt;=1,1,0),IF(IF('卡片raw data'!D$1:D$1000=R$4,1,0)+IF(R$4="",1,0)&gt;=1,1,0),IF(IF('卡片raw data'!E$1:E$1000=R$5,1,0)+IF(R$5="",1,0)&gt;=1,1,0))</f>
        <v>0</v>
      </c>
      <c r="Y807" s="1307">
        <f t="shared" si="61"/>
        <v>35</v>
      </c>
      <c r="Z807" s="1307">
        <f t="shared" si="62"/>
        <v>0</v>
      </c>
      <c r="AA807" s="1307">
        <f t="shared" si="63"/>
        <v>35</v>
      </c>
      <c r="AB807" s="1307">
        <f t="shared" si="64"/>
        <v>0</v>
      </c>
    </row>
    <row r="808" spans="20:28">
      <c r="T808" s="1077">
        <v>34</v>
      </c>
      <c r="U808" s="1077">
        <f t="shared" si="60"/>
        <v>30</v>
      </c>
      <c r="V808" s="1077">
        <v>36</v>
      </c>
      <c r="W808" s="1077">
        <f t="array" ref="W808">SUMPRODUCT(IF('卡片raw data'!BM$1:BM$1000=T808,1,0),IF('卡片raw data'!BO$1:BO$1000=V808,1,0),IF(IF('卡片raw data'!C$1:C$1000=R$3,1,0)+IF(R$3="",1,0)&gt;=1,1,0),IF(IF('卡片raw data'!D$1:D$1000=R$4,1,0)+IF(R$4="",1,0)&gt;=1,1,0),IF(IF('卡片raw data'!E$1:E$1000=R$5,1,0)+IF(R$5="",1,0)&gt;=1,1,0))</f>
        <v>0</v>
      </c>
      <c r="Y808" s="1307">
        <f t="shared" si="61"/>
        <v>36</v>
      </c>
      <c r="Z808" s="1307">
        <f t="shared" si="62"/>
        <v>0</v>
      </c>
      <c r="AA808" s="1307">
        <f t="shared" si="63"/>
        <v>36</v>
      </c>
      <c r="AB808" s="1307">
        <f t="shared" si="64"/>
        <v>0</v>
      </c>
    </row>
    <row r="809" spans="20:28">
      <c r="T809" s="1077">
        <v>34</v>
      </c>
      <c r="U809" s="1077">
        <f t="shared" si="60"/>
        <v>29</v>
      </c>
      <c r="V809" s="1077">
        <v>37</v>
      </c>
      <c r="W809" s="1077">
        <f t="array" ref="W809">SUMPRODUCT(IF('卡片raw data'!BM$1:BM$1000=T809,1,0),IF('卡片raw data'!BO$1:BO$1000=V809,1,0),IF(IF('卡片raw data'!C$1:C$1000=R$3,1,0)+IF(R$3="",1,0)&gt;=1,1,0),IF(IF('卡片raw data'!D$1:D$1000=R$4,1,0)+IF(R$4="",1,0)&gt;=1,1,0),IF(IF('卡片raw data'!E$1:E$1000=R$5,1,0)+IF(R$5="",1,0)&gt;=1,1,0))</f>
        <v>0</v>
      </c>
      <c r="Y809" s="1307">
        <f t="shared" si="61"/>
        <v>37</v>
      </c>
      <c r="Z809" s="1307">
        <f t="shared" si="62"/>
        <v>0</v>
      </c>
      <c r="AA809" s="1307">
        <f t="shared" si="63"/>
        <v>37</v>
      </c>
      <c r="AB809" s="1307">
        <f t="shared" si="64"/>
        <v>0</v>
      </c>
    </row>
    <row r="810" spans="20:28">
      <c r="T810" s="1077">
        <v>34</v>
      </c>
      <c r="U810" s="1077">
        <f t="shared" si="60"/>
        <v>28</v>
      </c>
      <c r="V810" s="1077">
        <v>38</v>
      </c>
      <c r="W810" s="1077">
        <f t="array" ref="W810">SUMPRODUCT(IF('卡片raw data'!BM$1:BM$1000=T810,1,0),IF('卡片raw data'!BO$1:BO$1000=V810,1,0),IF(IF('卡片raw data'!C$1:C$1000=R$3,1,0)+IF(R$3="",1,0)&gt;=1,1,0),IF(IF('卡片raw data'!D$1:D$1000=R$4,1,0)+IF(R$4="",1,0)&gt;=1,1,0),IF(IF('卡片raw data'!E$1:E$1000=R$5,1,0)+IF(R$5="",1,0)&gt;=1,1,0))</f>
        <v>0</v>
      </c>
      <c r="Y810" s="1307">
        <f t="shared" si="61"/>
        <v>38</v>
      </c>
      <c r="Z810" s="1307">
        <f t="shared" si="62"/>
        <v>0</v>
      </c>
      <c r="AA810" s="1307">
        <f t="shared" si="63"/>
        <v>38</v>
      </c>
      <c r="AB810" s="1307">
        <f t="shared" si="64"/>
        <v>0</v>
      </c>
    </row>
    <row r="811" spans="20:28">
      <c r="T811" s="1077">
        <v>34</v>
      </c>
      <c r="U811" s="1077">
        <f t="shared" si="60"/>
        <v>27</v>
      </c>
      <c r="V811" s="1077">
        <v>39</v>
      </c>
      <c r="W811" s="1077">
        <f t="array" ref="W811">SUMPRODUCT(IF('卡片raw data'!BM$1:BM$1000=T811,1,0),IF('卡片raw data'!BO$1:BO$1000=V811,1,0),IF(IF('卡片raw data'!C$1:C$1000=R$3,1,0)+IF(R$3="",1,0)&gt;=1,1,0),IF(IF('卡片raw data'!D$1:D$1000=R$4,1,0)+IF(R$4="",1,0)&gt;=1,1,0),IF(IF('卡片raw data'!E$1:E$1000=R$5,1,0)+IF(R$5="",1,0)&gt;=1,1,0))</f>
        <v>1</v>
      </c>
      <c r="Y811" s="1307">
        <f t="shared" si="61"/>
        <v>39</v>
      </c>
      <c r="Z811" s="1307">
        <f t="shared" si="62"/>
        <v>1</v>
      </c>
      <c r="AA811" s="1307">
        <f t="shared" si="63"/>
        <v>39</v>
      </c>
      <c r="AB811" s="1307">
        <f t="shared" si="64"/>
        <v>0</v>
      </c>
    </row>
    <row r="812" spans="20:28">
      <c r="T812" s="1077">
        <v>34</v>
      </c>
      <c r="U812" s="1077">
        <f t="shared" si="60"/>
        <v>26</v>
      </c>
      <c r="V812" s="1077">
        <v>40</v>
      </c>
      <c r="W812" s="1077">
        <f t="array" ref="W812">SUMPRODUCT(IF('卡片raw data'!BM$1:BM$1000=T812,1,0),IF('卡片raw data'!BO$1:BO$1000=V812,1,0),IF(IF('卡片raw data'!C$1:C$1000=R$3,1,0)+IF(R$3="",1,0)&gt;=1,1,0),IF(IF('卡片raw data'!D$1:D$1000=R$4,1,0)+IF(R$4="",1,0)&gt;=1,1,0),IF(IF('卡片raw data'!E$1:E$1000=R$5,1,0)+IF(R$5="",1,0)&gt;=1,1,0))</f>
        <v>5</v>
      </c>
      <c r="Y812" s="1307">
        <f t="shared" si="61"/>
        <v>40</v>
      </c>
      <c r="Z812" s="1307">
        <f t="shared" si="62"/>
        <v>5</v>
      </c>
      <c r="AA812" s="1307">
        <f t="shared" si="63"/>
        <v>40</v>
      </c>
      <c r="AB812" s="1307">
        <f t="shared" si="64"/>
        <v>0</v>
      </c>
    </row>
    <row r="813" spans="20:28">
      <c r="T813" s="1077">
        <v>34</v>
      </c>
      <c r="U813" s="1077">
        <f t="shared" si="60"/>
        <v>25</v>
      </c>
      <c r="V813" s="1077">
        <v>41</v>
      </c>
      <c r="W813" s="1077">
        <f t="array" ref="W813">SUMPRODUCT(IF('卡片raw data'!BM$1:BM$1000=T813,1,0),IF('卡片raw data'!BO$1:BO$1000=V813,1,0),IF(IF('卡片raw data'!C$1:C$1000=R$3,1,0)+IF(R$3="",1,0)&gt;=1,1,0),IF(IF('卡片raw data'!D$1:D$1000=R$4,1,0)+IF(R$4="",1,0)&gt;=1,1,0),IF(IF('卡片raw data'!E$1:E$1000=R$5,1,0)+IF(R$5="",1,0)&gt;=1,1,0))</f>
        <v>6</v>
      </c>
      <c r="Y813" s="1307">
        <f t="shared" si="61"/>
        <v>41</v>
      </c>
      <c r="Z813" s="1307">
        <f t="shared" si="62"/>
        <v>6</v>
      </c>
      <c r="AA813" s="1307">
        <f t="shared" si="63"/>
        <v>41</v>
      </c>
      <c r="AB813" s="1307">
        <f t="shared" si="64"/>
        <v>0</v>
      </c>
    </row>
    <row r="814" spans="20:28">
      <c r="T814" s="1077">
        <v>34</v>
      </c>
      <c r="U814" s="1077">
        <f t="shared" si="60"/>
        <v>24</v>
      </c>
      <c r="V814" s="1077">
        <v>42</v>
      </c>
      <c r="W814" s="1077">
        <f t="array" ref="W814">SUMPRODUCT(IF('卡片raw data'!BM$1:BM$1000=T814,1,0),IF('卡片raw data'!BO$1:BO$1000=V814,1,0),IF(IF('卡片raw data'!C$1:C$1000=R$3,1,0)+IF(R$3="",1,0)&gt;=1,1,0),IF(IF('卡片raw data'!D$1:D$1000=R$4,1,0)+IF(R$4="",1,0)&gt;=1,1,0),IF(IF('卡片raw data'!E$1:E$1000=R$5,1,0)+IF(R$5="",1,0)&gt;=1,1,0))</f>
        <v>1</v>
      </c>
      <c r="Y814" s="1307">
        <f t="shared" si="61"/>
        <v>42</v>
      </c>
      <c r="Z814" s="1307">
        <f t="shared" si="62"/>
        <v>1</v>
      </c>
      <c r="AA814" s="1307">
        <f t="shared" si="63"/>
        <v>42</v>
      </c>
      <c r="AB814" s="1307">
        <f t="shared" si="64"/>
        <v>0</v>
      </c>
    </row>
    <row r="815" spans="20:28">
      <c r="T815" s="1077">
        <v>34</v>
      </c>
      <c r="U815" s="1077">
        <f t="shared" si="60"/>
        <v>23</v>
      </c>
      <c r="V815" s="1077">
        <v>43</v>
      </c>
      <c r="W815" s="1077">
        <f t="array" ref="W815">SUMPRODUCT(IF('卡片raw data'!BM$1:BM$1000=T815,1,0),IF('卡片raw data'!BO$1:BO$1000=V815,1,0),IF(IF('卡片raw data'!C$1:C$1000=R$3,1,0)+IF(R$3="",1,0)&gt;=1,1,0),IF(IF('卡片raw data'!D$1:D$1000=R$4,1,0)+IF(R$4="",1,0)&gt;=1,1,0),IF(IF('卡片raw data'!E$1:E$1000=R$5,1,0)+IF(R$5="",1,0)&gt;=1,1,0))</f>
        <v>0</v>
      </c>
      <c r="Y815" s="1307">
        <f t="shared" si="61"/>
        <v>43</v>
      </c>
      <c r="Z815" s="1307">
        <f t="shared" si="62"/>
        <v>0</v>
      </c>
      <c r="AA815" s="1307">
        <f t="shared" si="63"/>
        <v>43</v>
      </c>
      <c r="AB815" s="1307">
        <f t="shared" si="64"/>
        <v>0</v>
      </c>
    </row>
    <row r="816" spans="20:28">
      <c r="T816" s="1077">
        <v>34</v>
      </c>
      <c r="U816" s="1077">
        <f t="shared" si="60"/>
        <v>22</v>
      </c>
      <c r="V816" s="1077">
        <v>44</v>
      </c>
      <c r="W816" s="1077">
        <f t="array" ref="W816">SUMPRODUCT(IF('卡片raw data'!BM$1:BM$1000=T816,1,0),IF('卡片raw data'!BO$1:BO$1000=V816,1,0),IF(IF('卡片raw data'!C$1:C$1000=R$3,1,0)+IF(R$3="",1,0)&gt;=1,1,0),IF(IF('卡片raw data'!D$1:D$1000=R$4,1,0)+IF(R$4="",1,0)&gt;=1,1,0),IF(IF('卡片raw data'!E$1:E$1000=R$5,1,0)+IF(R$5="",1,0)&gt;=1,1,0))</f>
        <v>0</v>
      </c>
      <c r="Y816" s="1307">
        <f t="shared" si="61"/>
        <v>44</v>
      </c>
      <c r="Z816" s="1307">
        <f t="shared" si="62"/>
        <v>0</v>
      </c>
      <c r="AA816" s="1307">
        <f t="shared" si="63"/>
        <v>44</v>
      </c>
      <c r="AB816" s="1307">
        <f t="shared" si="64"/>
        <v>0</v>
      </c>
    </row>
    <row r="817" spans="20:28">
      <c r="T817" s="1077">
        <v>34</v>
      </c>
      <c r="U817" s="1077">
        <f t="shared" si="60"/>
        <v>21</v>
      </c>
      <c r="V817" s="1077">
        <v>45</v>
      </c>
      <c r="W817" s="1077">
        <f t="array" ref="W817">SUMPRODUCT(IF('卡片raw data'!BM$1:BM$1000=T817,1,0),IF('卡片raw data'!BO$1:BO$1000=V817,1,0),IF(IF('卡片raw data'!C$1:C$1000=R$3,1,0)+IF(R$3="",1,0)&gt;=1,1,0),IF(IF('卡片raw data'!D$1:D$1000=R$4,1,0)+IF(R$4="",1,0)&gt;=1,1,0),IF(IF('卡片raw data'!E$1:E$1000=R$5,1,0)+IF(R$5="",1,0)&gt;=1,1,0))</f>
        <v>1</v>
      </c>
      <c r="Y817" s="1307">
        <f t="shared" si="61"/>
        <v>45</v>
      </c>
      <c r="Z817" s="1307">
        <f t="shared" si="62"/>
        <v>1</v>
      </c>
      <c r="AA817" s="1307">
        <f t="shared" si="63"/>
        <v>45</v>
      </c>
      <c r="AB817" s="1307">
        <f t="shared" si="64"/>
        <v>0</v>
      </c>
    </row>
    <row r="818" spans="20:28">
      <c r="T818" s="1077">
        <v>34</v>
      </c>
      <c r="U818" s="1077">
        <f t="shared" si="60"/>
        <v>20</v>
      </c>
      <c r="V818" s="1077">
        <v>46</v>
      </c>
      <c r="W818" s="1077">
        <f t="array" ref="W818">SUMPRODUCT(IF('卡片raw data'!BM$1:BM$1000=T818,1,0),IF('卡片raw data'!BO$1:BO$1000=V818,1,0),IF(IF('卡片raw data'!C$1:C$1000=R$3,1,0)+IF(R$3="",1,0)&gt;=1,1,0),IF(IF('卡片raw data'!D$1:D$1000=R$4,1,0)+IF(R$4="",1,0)&gt;=1,1,0),IF(IF('卡片raw data'!E$1:E$1000=R$5,1,0)+IF(R$5="",1,0)&gt;=1,1,0))</f>
        <v>0</v>
      </c>
      <c r="Y818" s="1307">
        <f t="shared" si="61"/>
        <v>46</v>
      </c>
      <c r="Z818" s="1307">
        <f t="shared" si="62"/>
        <v>0</v>
      </c>
      <c r="AA818" s="1307">
        <f t="shared" si="63"/>
        <v>46</v>
      </c>
      <c r="AB818" s="1307">
        <f t="shared" si="64"/>
        <v>0</v>
      </c>
    </row>
    <row r="819" spans="20:28">
      <c r="T819" s="1077">
        <v>34</v>
      </c>
      <c r="U819" s="1077">
        <f t="shared" si="60"/>
        <v>19</v>
      </c>
      <c r="V819" s="1077">
        <v>47</v>
      </c>
      <c r="W819" s="1077">
        <f t="array" ref="W819">SUMPRODUCT(IF('卡片raw data'!BM$1:BM$1000=T819,1,0),IF('卡片raw data'!BO$1:BO$1000=V819,1,0),IF(IF('卡片raw data'!C$1:C$1000=R$3,1,0)+IF(R$3="",1,0)&gt;=1,1,0),IF(IF('卡片raw data'!D$1:D$1000=R$4,1,0)+IF(R$4="",1,0)&gt;=1,1,0),IF(IF('卡片raw data'!E$1:E$1000=R$5,1,0)+IF(R$5="",1,0)&gt;=1,1,0))</f>
        <v>0</v>
      </c>
      <c r="Y819" s="1307">
        <f t="shared" si="61"/>
        <v>47</v>
      </c>
      <c r="Z819" s="1307">
        <f t="shared" si="62"/>
        <v>0</v>
      </c>
      <c r="AA819" s="1307">
        <f t="shared" si="63"/>
        <v>47</v>
      </c>
      <c r="AB819" s="1307">
        <f t="shared" si="64"/>
        <v>0</v>
      </c>
    </row>
    <row r="820" spans="20:28">
      <c r="T820" s="1077">
        <v>34</v>
      </c>
      <c r="U820" s="1077">
        <f t="shared" si="60"/>
        <v>18</v>
      </c>
      <c r="V820" s="1077">
        <v>48</v>
      </c>
      <c r="W820" s="1077">
        <f t="array" ref="W820">SUMPRODUCT(IF('卡片raw data'!BM$1:BM$1000=T820,1,0),IF('卡片raw data'!BO$1:BO$1000=V820,1,0),IF(IF('卡片raw data'!C$1:C$1000=R$3,1,0)+IF(R$3="",1,0)&gt;=1,1,0),IF(IF('卡片raw data'!D$1:D$1000=R$4,1,0)+IF(R$4="",1,0)&gt;=1,1,0),IF(IF('卡片raw data'!E$1:E$1000=R$5,1,0)+IF(R$5="",1,0)&gt;=1,1,0))</f>
        <v>0</v>
      </c>
      <c r="Y820" s="1307">
        <f t="shared" si="61"/>
        <v>48</v>
      </c>
      <c r="Z820" s="1307">
        <f t="shared" si="62"/>
        <v>0</v>
      </c>
      <c r="AA820" s="1307">
        <f t="shared" si="63"/>
        <v>48</v>
      </c>
      <c r="AB820" s="1307">
        <f t="shared" si="64"/>
        <v>0</v>
      </c>
    </row>
    <row r="821" spans="20:28">
      <c r="T821" s="1077">
        <v>34</v>
      </c>
      <c r="U821" s="1077">
        <f t="shared" si="60"/>
        <v>17</v>
      </c>
      <c r="V821" s="1077">
        <v>49</v>
      </c>
      <c r="W821" s="1077">
        <f t="array" ref="W821">SUMPRODUCT(IF('卡片raw data'!BM$1:BM$1000=T821,1,0),IF('卡片raw data'!BO$1:BO$1000=V821,1,0),IF(IF('卡片raw data'!C$1:C$1000=R$3,1,0)+IF(R$3="",1,0)&gt;=1,1,0),IF(IF('卡片raw data'!D$1:D$1000=R$4,1,0)+IF(R$4="",1,0)&gt;=1,1,0),IF(IF('卡片raw data'!E$1:E$1000=R$5,1,0)+IF(R$5="",1,0)&gt;=1,1,0))</f>
        <v>0</v>
      </c>
      <c r="Y821" s="1307">
        <f t="shared" si="61"/>
        <v>49</v>
      </c>
      <c r="Z821" s="1307">
        <f t="shared" si="62"/>
        <v>0</v>
      </c>
      <c r="AA821" s="1307">
        <f t="shared" si="63"/>
        <v>49</v>
      </c>
      <c r="AB821" s="1307">
        <f t="shared" si="64"/>
        <v>0</v>
      </c>
    </row>
    <row r="822" spans="20:28">
      <c r="T822" s="1077">
        <v>34</v>
      </c>
      <c r="U822" s="1077">
        <f t="shared" si="60"/>
        <v>16</v>
      </c>
      <c r="V822" s="1077">
        <v>50</v>
      </c>
      <c r="W822" s="1077">
        <f t="array" ref="W822">SUMPRODUCT(IF('卡片raw data'!BM$1:BM$1000=T822,1,0),IF('卡片raw data'!BO$1:BO$1000=V822,1,0),IF(IF('卡片raw data'!C$1:C$1000=R$3,1,0)+IF(R$3="",1,0)&gt;=1,1,0),IF(IF('卡片raw data'!D$1:D$1000=R$4,1,0)+IF(R$4="",1,0)&gt;=1,1,0),IF(IF('卡片raw data'!E$1:E$1000=R$5,1,0)+IF(R$5="",1,0)&gt;=1,1,0))</f>
        <v>0</v>
      </c>
      <c r="Y822" s="1307">
        <f t="shared" si="61"/>
        <v>50</v>
      </c>
      <c r="Z822" s="1307">
        <f t="shared" si="62"/>
        <v>0</v>
      </c>
      <c r="AA822" s="1307">
        <f t="shared" si="63"/>
        <v>50</v>
      </c>
      <c r="AB822" s="1307">
        <f t="shared" si="64"/>
        <v>0</v>
      </c>
    </row>
    <row r="823" spans="20:28">
      <c r="T823" s="1077">
        <v>34</v>
      </c>
      <c r="U823" s="1077">
        <f t="shared" si="60"/>
        <v>15</v>
      </c>
      <c r="V823" s="1077">
        <v>51</v>
      </c>
      <c r="W823" s="1077">
        <f t="array" ref="W823">SUMPRODUCT(IF('卡片raw data'!BM$1:BM$1000=T823,1,0),IF('卡片raw data'!BO$1:BO$1000=V823,1,0),IF(IF('卡片raw data'!C$1:C$1000=R$3,1,0)+IF(R$3="",1,0)&gt;=1,1,0),IF(IF('卡片raw data'!D$1:D$1000=R$4,1,0)+IF(R$4="",1,0)&gt;=1,1,0),IF(IF('卡片raw data'!E$1:E$1000=R$5,1,0)+IF(R$5="",1,0)&gt;=1,1,0))</f>
        <v>0</v>
      </c>
      <c r="Y823" s="1307">
        <f t="shared" si="61"/>
        <v>51</v>
      </c>
      <c r="Z823" s="1307">
        <f t="shared" si="62"/>
        <v>0</v>
      </c>
      <c r="AA823" s="1307">
        <f t="shared" si="63"/>
        <v>51</v>
      </c>
      <c r="AB823" s="1307">
        <f t="shared" si="64"/>
        <v>0</v>
      </c>
    </row>
    <row r="824" spans="20:28">
      <c r="T824" s="1077">
        <v>34</v>
      </c>
      <c r="U824" s="1077">
        <f t="shared" si="60"/>
        <v>14</v>
      </c>
      <c r="V824" s="1077">
        <v>52</v>
      </c>
      <c r="W824" s="1077">
        <f t="array" ref="W824">SUMPRODUCT(IF('卡片raw data'!BM$1:BM$1000=T824,1,0),IF('卡片raw data'!BO$1:BO$1000=V824,1,0),IF(IF('卡片raw data'!C$1:C$1000=R$3,1,0)+IF(R$3="",1,0)&gt;=1,1,0),IF(IF('卡片raw data'!D$1:D$1000=R$4,1,0)+IF(R$4="",1,0)&gt;=1,1,0),IF(IF('卡片raw data'!E$1:E$1000=R$5,1,0)+IF(R$5="",1,0)&gt;=1,1,0))</f>
        <v>0</v>
      </c>
      <c r="Y824" s="1307">
        <f t="shared" si="61"/>
        <v>52</v>
      </c>
      <c r="Z824" s="1307">
        <f t="shared" si="62"/>
        <v>0</v>
      </c>
      <c r="AA824" s="1307">
        <f t="shared" si="63"/>
        <v>52</v>
      </c>
      <c r="AB824" s="1307">
        <f t="shared" si="64"/>
        <v>0</v>
      </c>
    </row>
    <row r="825" spans="20:28">
      <c r="T825" s="1077">
        <v>34</v>
      </c>
      <c r="U825" s="1077">
        <f t="shared" si="60"/>
        <v>13</v>
      </c>
      <c r="V825" s="1077">
        <v>53</v>
      </c>
      <c r="W825" s="1077">
        <f t="array" ref="W825">SUMPRODUCT(IF('卡片raw data'!BM$1:BM$1000=T825,1,0),IF('卡片raw data'!BO$1:BO$1000=V825,1,0),IF(IF('卡片raw data'!C$1:C$1000=R$3,1,0)+IF(R$3="",1,0)&gt;=1,1,0),IF(IF('卡片raw data'!D$1:D$1000=R$4,1,0)+IF(R$4="",1,0)&gt;=1,1,0),IF(IF('卡片raw data'!E$1:E$1000=R$5,1,0)+IF(R$5="",1,0)&gt;=1,1,0))</f>
        <v>0</v>
      </c>
      <c r="Y825" s="1307">
        <f t="shared" si="61"/>
        <v>53</v>
      </c>
      <c r="Z825" s="1307">
        <f t="shared" si="62"/>
        <v>0</v>
      </c>
      <c r="AA825" s="1307">
        <f t="shared" si="63"/>
        <v>53</v>
      </c>
      <c r="AB825" s="1307">
        <f t="shared" si="64"/>
        <v>0</v>
      </c>
    </row>
    <row r="826" spans="20:28">
      <c r="T826" s="1077">
        <v>34</v>
      </c>
      <c r="U826" s="1077">
        <f t="shared" si="60"/>
        <v>12</v>
      </c>
      <c r="V826" s="1077">
        <v>54</v>
      </c>
      <c r="W826" s="1077">
        <f t="array" ref="W826">SUMPRODUCT(IF('卡片raw data'!BM$1:BM$1000=T826,1,0),IF('卡片raw data'!BO$1:BO$1000=V826,1,0),IF(IF('卡片raw data'!C$1:C$1000=R$3,1,0)+IF(R$3="",1,0)&gt;=1,1,0),IF(IF('卡片raw data'!D$1:D$1000=R$4,1,0)+IF(R$4="",1,0)&gt;=1,1,0),IF(IF('卡片raw data'!E$1:E$1000=R$5,1,0)+IF(R$5="",1,0)&gt;=1,1,0))</f>
        <v>0</v>
      </c>
      <c r="Y826" s="1307">
        <f t="shared" si="61"/>
        <v>54</v>
      </c>
      <c r="Z826" s="1307">
        <f t="shared" si="62"/>
        <v>0</v>
      </c>
      <c r="AA826" s="1307">
        <f t="shared" si="63"/>
        <v>54</v>
      </c>
      <c r="AB826" s="1307">
        <f t="shared" si="64"/>
        <v>0</v>
      </c>
    </row>
    <row r="827" spans="20:28">
      <c r="T827" s="1077">
        <v>34</v>
      </c>
      <c r="U827" s="1077">
        <f t="shared" si="60"/>
        <v>11</v>
      </c>
      <c r="V827" s="1077">
        <v>55</v>
      </c>
      <c r="W827" s="1077">
        <f t="array" ref="W827">SUMPRODUCT(IF('卡片raw data'!BM$1:BM$1000=T827,1,0),IF('卡片raw data'!BO$1:BO$1000=V827,1,0),IF(IF('卡片raw data'!C$1:C$1000=R$3,1,0)+IF(R$3="",1,0)&gt;=1,1,0),IF(IF('卡片raw data'!D$1:D$1000=R$4,1,0)+IF(R$4="",1,0)&gt;=1,1,0),IF(IF('卡片raw data'!E$1:E$1000=R$5,1,0)+IF(R$5="",1,0)&gt;=1,1,0))</f>
        <v>0</v>
      </c>
      <c r="Y827" s="1307">
        <f t="shared" si="61"/>
        <v>55</v>
      </c>
      <c r="Z827" s="1307">
        <f t="shared" si="62"/>
        <v>0</v>
      </c>
      <c r="AA827" s="1307">
        <f t="shared" si="63"/>
        <v>55</v>
      </c>
      <c r="AB827" s="1307">
        <f t="shared" si="64"/>
        <v>0</v>
      </c>
    </row>
    <row r="828" spans="20:28">
      <c r="T828" s="1077">
        <v>35</v>
      </c>
      <c r="U828" s="1077">
        <f t="shared" si="60"/>
        <v>55</v>
      </c>
      <c r="V828" s="1077">
        <v>10</v>
      </c>
      <c r="W828" s="1077">
        <f t="array" ref="W828">SUMPRODUCT(IF('卡片raw data'!BM$1:BM$1000=T828,1,0),IF('卡片raw data'!BO$1:BO$1000=V828,1,0),IF(IF('卡片raw data'!C$1:C$1000=R$3,1,0)+IF(R$3="",1,0)&gt;=1,1,0),IF(IF('卡片raw data'!D$1:D$1000=R$4,1,0)+IF(R$4="",1,0)&gt;=1,1,0),IF(IF('卡片raw data'!E$1:E$1000=R$5,1,0)+IF(R$5="",1,0)&gt;=1,1,0))</f>
        <v>0</v>
      </c>
      <c r="Y828" s="1307">
        <f t="shared" si="61"/>
        <v>10</v>
      </c>
      <c r="Z828" s="1307">
        <f t="shared" si="62"/>
        <v>0</v>
      </c>
      <c r="AA828" s="1307">
        <f t="shared" si="63"/>
        <v>10</v>
      </c>
      <c r="AB828" s="1307">
        <f t="shared" si="64"/>
        <v>0</v>
      </c>
    </row>
    <row r="829" spans="20:28">
      <c r="T829" s="1077">
        <v>35</v>
      </c>
      <c r="U829" s="1077">
        <f t="shared" si="60"/>
        <v>54</v>
      </c>
      <c r="V829" s="1077">
        <v>11</v>
      </c>
      <c r="W829" s="1077">
        <f t="array" ref="W829">SUMPRODUCT(IF('卡片raw data'!BM$1:BM$1000=T829,1,0),IF('卡片raw data'!BO$1:BO$1000=V829,1,0),IF(IF('卡片raw data'!C$1:C$1000=R$3,1,0)+IF(R$3="",1,0)&gt;=1,1,0),IF(IF('卡片raw data'!D$1:D$1000=R$4,1,0)+IF(R$4="",1,0)&gt;=1,1,0),IF(IF('卡片raw data'!E$1:E$1000=R$5,1,0)+IF(R$5="",1,0)&gt;=1,1,0))</f>
        <v>0</v>
      </c>
      <c r="Y829" s="1307">
        <f t="shared" si="61"/>
        <v>11</v>
      </c>
      <c r="Z829" s="1307">
        <f t="shared" si="62"/>
        <v>0</v>
      </c>
      <c r="AA829" s="1307">
        <f t="shared" si="63"/>
        <v>11</v>
      </c>
      <c r="AB829" s="1307">
        <f t="shared" si="64"/>
        <v>0</v>
      </c>
    </row>
    <row r="830" spans="20:28">
      <c r="T830" s="1077">
        <v>35</v>
      </c>
      <c r="U830" s="1077">
        <f t="shared" si="60"/>
        <v>53</v>
      </c>
      <c r="V830" s="1077">
        <v>12</v>
      </c>
      <c r="W830" s="1077">
        <f t="array" ref="W830">SUMPRODUCT(IF('卡片raw data'!BM$1:BM$1000=T830,1,0),IF('卡片raw data'!BO$1:BO$1000=V830,1,0),IF(IF('卡片raw data'!C$1:C$1000=R$3,1,0)+IF(R$3="",1,0)&gt;=1,1,0),IF(IF('卡片raw data'!D$1:D$1000=R$4,1,0)+IF(R$4="",1,0)&gt;=1,1,0),IF(IF('卡片raw data'!E$1:E$1000=R$5,1,0)+IF(R$5="",1,0)&gt;=1,1,0))</f>
        <v>0</v>
      </c>
      <c r="Y830" s="1307">
        <f t="shared" si="61"/>
        <v>12</v>
      </c>
      <c r="Z830" s="1307">
        <f t="shared" si="62"/>
        <v>0</v>
      </c>
      <c r="AA830" s="1307">
        <f t="shared" si="63"/>
        <v>12</v>
      </c>
      <c r="AB830" s="1307">
        <f t="shared" si="64"/>
        <v>0</v>
      </c>
    </row>
    <row r="831" spans="20:28">
      <c r="T831" s="1077">
        <v>35</v>
      </c>
      <c r="U831" s="1077">
        <f t="shared" si="60"/>
        <v>52</v>
      </c>
      <c r="V831" s="1077">
        <v>13</v>
      </c>
      <c r="W831" s="1077">
        <f t="array" ref="W831">SUMPRODUCT(IF('卡片raw data'!BM$1:BM$1000=T831,1,0),IF('卡片raw data'!BO$1:BO$1000=V831,1,0),IF(IF('卡片raw data'!C$1:C$1000=R$3,1,0)+IF(R$3="",1,0)&gt;=1,1,0),IF(IF('卡片raw data'!D$1:D$1000=R$4,1,0)+IF(R$4="",1,0)&gt;=1,1,0),IF(IF('卡片raw data'!E$1:E$1000=R$5,1,0)+IF(R$5="",1,0)&gt;=1,1,0))</f>
        <v>0</v>
      </c>
      <c r="Y831" s="1307">
        <f t="shared" si="61"/>
        <v>13</v>
      </c>
      <c r="Z831" s="1307">
        <f t="shared" si="62"/>
        <v>0</v>
      </c>
      <c r="AA831" s="1307">
        <f t="shared" si="63"/>
        <v>13</v>
      </c>
      <c r="AB831" s="1307">
        <f t="shared" si="64"/>
        <v>0</v>
      </c>
    </row>
    <row r="832" spans="20:28">
      <c r="T832" s="1077">
        <v>35</v>
      </c>
      <c r="U832" s="1077">
        <f t="shared" si="60"/>
        <v>51</v>
      </c>
      <c r="V832" s="1077">
        <v>14</v>
      </c>
      <c r="W832" s="1077">
        <f t="array" ref="W832">SUMPRODUCT(IF('卡片raw data'!BM$1:BM$1000=T832,1,0),IF('卡片raw data'!BO$1:BO$1000=V832,1,0),IF(IF('卡片raw data'!C$1:C$1000=R$3,1,0)+IF(R$3="",1,0)&gt;=1,1,0),IF(IF('卡片raw data'!D$1:D$1000=R$4,1,0)+IF(R$4="",1,0)&gt;=1,1,0),IF(IF('卡片raw data'!E$1:E$1000=R$5,1,0)+IF(R$5="",1,0)&gt;=1,1,0))</f>
        <v>0</v>
      </c>
      <c r="Y832" s="1307">
        <f t="shared" si="61"/>
        <v>14</v>
      </c>
      <c r="Z832" s="1307">
        <f t="shared" si="62"/>
        <v>0</v>
      </c>
      <c r="AA832" s="1307">
        <f t="shared" si="63"/>
        <v>14</v>
      </c>
      <c r="AB832" s="1307">
        <f t="shared" si="64"/>
        <v>0</v>
      </c>
    </row>
    <row r="833" spans="20:28">
      <c r="T833" s="1077">
        <v>35</v>
      </c>
      <c r="U833" s="1077">
        <f t="shared" si="60"/>
        <v>50</v>
      </c>
      <c r="V833" s="1077">
        <v>15</v>
      </c>
      <c r="W833" s="1077">
        <f t="array" ref="W833">SUMPRODUCT(IF('卡片raw data'!BM$1:BM$1000=T833,1,0),IF('卡片raw data'!BO$1:BO$1000=V833,1,0),IF(IF('卡片raw data'!C$1:C$1000=R$3,1,0)+IF(R$3="",1,0)&gt;=1,1,0),IF(IF('卡片raw data'!D$1:D$1000=R$4,1,0)+IF(R$4="",1,0)&gt;=1,1,0),IF(IF('卡片raw data'!E$1:E$1000=R$5,1,0)+IF(R$5="",1,0)&gt;=1,1,0))</f>
        <v>0</v>
      </c>
      <c r="Y833" s="1307">
        <f t="shared" si="61"/>
        <v>15</v>
      </c>
      <c r="Z833" s="1307">
        <f t="shared" si="62"/>
        <v>0</v>
      </c>
      <c r="AA833" s="1307">
        <f t="shared" si="63"/>
        <v>15</v>
      </c>
      <c r="AB833" s="1307">
        <f t="shared" si="64"/>
        <v>0</v>
      </c>
    </row>
    <row r="834" spans="20:28">
      <c r="T834" s="1077">
        <v>35</v>
      </c>
      <c r="U834" s="1077">
        <f t="shared" si="60"/>
        <v>49</v>
      </c>
      <c r="V834" s="1077">
        <v>16</v>
      </c>
      <c r="W834" s="1077">
        <f t="array" ref="W834">SUMPRODUCT(IF('卡片raw data'!BM$1:BM$1000=T834,1,0),IF('卡片raw data'!BO$1:BO$1000=V834,1,0),IF(IF('卡片raw data'!C$1:C$1000=R$3,1,0)+IF(R$3="",1,0)&gt;=1,1,0),IF(IF('卡片raw data'!D$1:D$1000=R$4,1,0)+IF(R$4="",1,0)&gt;=1,1,0),IF(IF('卡片raw data'!E$1:E$1000=R$5,1,0)+IF(R$5="",1,0)&gt;=1,1,0))</f>
        <v>0</v>
      </c>
      <c r="Y834" s="1307">
        <f t="shared" si="61"/>
        <v>16</v>
      </c>
      <c r="Z834" s="1307">
        <f t="shared" si="62"/>
        <v>0</v>
      </c>
      <c r="AA834" s="1307">
        <f t="shared" si="63"/>
        <v>16</v>
      </c>
      <c r="AB834" s="1307">
        <f t="shared" si="64"/>
        <v>0</v>
      </c>
    </row>
    <row r="835" spans="20:28">
      <c r="T835" s="1077">
        <v>35</v>
      </c>
      <c r="U835" s="1077">
        <f t="shared" si="60"/>
        <v>48</v>
      </c>
      <c r="V835" s="1077">
        <v>17</v>
      </c>
      <c r="W835" s="1077">
        <f t="array" ref="W835">SUMPRODUCT(IF('卡片raw data'!BM$1:BM$1000=T835,1,0),IF('卡片raw data'!BO$1:BO$1000=V835,1,0),IF(IF('卡片raw data'!C$1:C$1000=R$3,1,0)+IF(R$3="",1,0)&gt;=1,1,0),IF(IF('卡片raw data'!D$1:D$1000=R$4,1,0)+IF(R$4="",1,0)&gt;=1,1,0),IF(IF('卡片raw data'!E$1:E$1000=R$5,1,0)+IF(R$5="",1,0)&gt;=1,1,0))</f>
        <v>0</v>
      </c>
      <c r="Y835" s="1307">
        <f t="shared" si="61"/>
        <v>17</v>
      </c>
      <c r="Z835" s="1307">
        <f t="shared" si="62"/>
        <v>0</v>
      </c>
      <c r="AA835" s="1307">
        <f t="shared" si="63"/>
        <v>17</v>
      </c>
      <c r="AB835" s="1307">
        <f t="shared" si="64"/>
        <v>0</v>
      </c>
    </row>
    <row r="836" spans="20:28">
      <c r="T836" s="1077">
        <v>35</v>
      </c>
      <c r="U836" s="1077">
        <f t="shared" ref="U836:U899" si="65">100-T836-V836</f>
        <v>47</v>
      </c>
      <c r="V836" s="1077">
        <v>18</v>
      </c>
      <c r="W836" s="1077">
        <f t="array" ref="W836">SUMPRODUCT(IF('卡片raw data'!BM$1:BM$1000=T836,1,0),IF('卡片raw data'!BO$1:BO$1000=V836,1,0),IF(IF('卡片raw data'!C$1:C$1000=R$3,1,0)+IF(R$3="",1,0)&gt;=1,1,0),IF(IF('卡片raw data'!D$1:D$1000=R$4,1,0)+IF(R$4="",1,0)&gt;=1,1,0),IF(IF('卡片raw data'!E$1:E$1000=R$5,1,0)+IF(R$5="",1,0)&gt;=1,1,0))</f>
        <v>0</v>
      </c>
      <c r="Y836" s="1307">
        <f t="shared" ref="Y836:Y899" si="66">V836</f>
        <v>18</v>
      </c>
      <c r="Z836" s="1307">
        <f t="shared" ref="Z836:Z899" si="67">IF(AND(V836&gt;U836,V836&gt;T836),W836,0)</f>
        <v>0</v>
      </c>
      <c r="AA836" s="1307">
        <f t="shared" ref="AA836:AA899" si="68">V836</f>
        <v>18</v>
      </c>
      <c r="AB836" s="1307">
        <f t="shared" ref="AB836:AB899" si="69">W836-Z836</f>
        <v>0</v>
      </c>
    </row>
    <row r="837" spans="20:28">
      <c r="T837" s="1077">
        <v>35</v>
      </c>
      <c r="U837" s="1077">
        <f t="shared" si="65"/>
        <v>46</v>
      </c>
      <c r="V837" s="1077">
        <v>19</v>
      </c>
      <c r="W837" s="1077">
        <f t="array" ref="W837">SUMPRODUCT(IF('卡片raw data'!BM$1:BM$1000=T837,1,0),IF('卡片raw data'!BO$1:BO$1000=V837,1,0),IF(IF('卡片raw data'!C$1:C$1000=R$3,1,0)+IF(R$3="",1,0)&gt;=1,1,0),IF(IF('卡片raw data'!D$1:D$1000=R$4,1,0)+IF(R$4="",1,0)&gt;=1,1,0),IF(IF('卡片raw data'!E$1:E$1000=R$5,1,0)+IF(R$5="",1,0)&gt;=1,1,0))</f>
        <v>0</v>
      </c>
      <c r="Y837" s="1307">
        <f t="shared" si="66"/>
        <v>19</v>
      </c>
      <c r="Z837" s="1307">
        <f t="shared" si="67"/>
        <v>0</v>
      </c>
      <c r="AA837" s="1307">
        <f t="shared" si="68"/>
        <v>19</v>
      </c>
      <c r="AB837" s="1307">
        <f t="shared" si="69"/>
        <v>0</v>
      </c>
    </row>
    <row r="838" spans="20:28">
      <c r="T838" s="1077">
        <v>35</v>
      </c>
      <c r="U838" s="1077">
        <f t="shared" si="65"/>
        <v>45</v>
      </c>
      <c r="V838" s="1077">
        <v>20</v>
      </c>
      <c r="W838" s="1077">
        <f t="array" ref="W838">SUMPRODUCT(IF('卡片raw data'!BM$1:BM$1000=T838,1,0),IF('卡片raw data'!BO$1:BO$1000=V838,1,0),IF(IF('卡片raw data'!C$1:C$1000=R$3,1,0)+IF(R$3="",1,0)&gt;=1,1,0),IF(IF('卡片raw data'!D$1:D$1000=R$4,1,0)+IF(R$4="",1,0)&gt;=1,1,0),IF(IF('卡片raw data'!E$1:E$1000=R$5,1,0)+IF(R$5="",1,0)&gt;=1,1,0))</f>
        <v>0</v>
      </c>
      <c r="Y838" s="1307">
        <f t="shared" si="66"/>
        <v>20</v>
      </c>
      <c r="Z838" s="1307">
        <f t="shared" si="67"/>
        <v>0</v>
      </c>
      <c r="AA838" s="1307">
        <f t="shared" si="68"/>
        <v>20</v>
      </c>
      <c r="AB838" s="1307">
        <f t="shared" si="69"/>
        <v>0</v>
      </c>
    </row>
    <row r="839" spans="20:28">
      <c r="T839" s="1077">
        <v>35</v>
      </c>
      <c r="U839" s="1077">
        <f t="shared" si="65"/>
        <v>44</v>
      </c>
      <c r="V839" s="1077">
        <v>21</v>
      </c>
      <c r="W839" s="1077">
        <f t="array" ref="W839">SUMPRODUCT(IF('卡片raw data'!BM$1:BM$1000=T839,1,0),IF('卡片raw data'!BO$1:BO$1000=V839,1,0),IF(IF('卡片raw data'!C$1:C$1000=R$3,1,0)+IF(R$3="",1,0)&gt;=1,1,0),IF(IF('卡片raw data'!D$1:D$1000=R$4,1,0)+IF(R$4="",1,0)&gt;=1,1,0),IF(IF('卡片raw data'!E$1:E$1000=R$5,1,0)+IF(R$5="",1,0)&gt;=1,1,0))</f>
        <v>0</v>
      </c>
      <c r="Y839" s="1307">
        <f t="shared" si="66"/>
        <v>21</v>
      </c>
      <c r="Z839" s="1307">
        <f t="shared" si="67"/>
        <v>0</v>
      </c>
      <c r="AA839" s="1307">
        <f t="shared" si="68"/>
        <v>21</v>
      </c>
      <c r="AB839" s="1307">
        <f t="shared" si="69"/>
        <v>0</v>
      </c>
    </row>
    <row r="840" spans="20:28">
      <c r="T840" s="1077">
        <v>35</v>
      </c>
      <c r="U840" s="1077">
        <f t="shared" si="65"/>
        <v>43</v>
      </c>
      <c r="V840" s="1077">
        <v>22</v>
      </c>
      <c r="W840" s="1077">
        <f t="array" ref="W840">SUMPRODUCT(IF('卡片raw data'!BM$1:BM$1000=T840,1,0),IF('卡片raw data'!BO$1:BO$1000=V840,1,0),IF(IF('卡片raw data'!C$1:C$1000=R$3,1,0)+IF(R$3="",1,0)&gt;=1,1,0),IF(IF('卡片raw data'!D$1:D$1000=R$4,1,0)+IF(R$4="",1,0)&gt;=1,1,0),IF(IF('卡片raw data'!E$1:E$1000=R$5,1,0)+IF(R$5="",1,0)&gt;=1,1,0))</f>
        <v>0</v>
      </c>
      <c r="Y840" s="1307">
        <f t="shared" si="66"/>
        <v>22</v>
      </c>
      <c r="Z840" s="1307">
        <f t="shared" si="67"/>
        <v>0</v>
      </c>
      <c r="AA840" s="1307">
        <f t="shared" si="68"/>
        <v>22</v>
      </c>
      <c r="AB840" s="1307">
        <f t="shared" si="69"/>
        <v>0</v>
      </c>
    </row>
    <row r="841" spans="20:28">
      <c r="T841" s="1077">
        <v>35</v>
      </c>
      <c r="U841" s="1077">
        <f t="shared" si="65"/>
        <v>42</v>
      </c>
      <c r="V841" s="1077">
        <v>23</v>
      </c>
      <c r="W841" s="1077">
        <f t="array" ref="W841">SUMPRODUCT(IF('卡片raw data'!BM$1:BM$1000=T841,1,0),IF('卡片raw data'!BO$1:BO$1000=V841,1,0),IF(IF('卡片raw data'!C$1:C$1000=R$3,1,0)+IF(R$3="",1,0)&gt;=1,1,0),IF(IF('卡片raw data'!D$1:D$1000=R$4,1,0)+IF(R$4="",1,0)&gt;=1,1,0),IF(IF('卡片raw data'!E$1:E$1000=R$5,1,0)+IF(R$5="",1,0)&gt;=1,1,0))</f>
        <v>0</v>
      </c>
      <c r="Y841" s="1307">
        <f t="shared" si="66"/>
        <v>23</v>
      </c>
      <c r="Z841" s="1307">
        <f t="shared" si="67"/>
        <v>0</v>
      </c>
      <c r="AA841" s="1307">
        <f t="shared" si="68"/>
        <v>23</v>
      </c>
      <c r="AB841" s="1307">
        <f t="shared" si="69"/>
        <v>0</v>
      </c>
    </row>
    <row r="842" spans="20:28">
      <c r="T842" s="1077">
        <v>35</v>
      </c>
      <c r="U842" s="1077">
        <f t="shared" si="65"/>
        <v>41</v>
      </c>
      <c r="V842" s="1077">
        <v>24</v>
      </c>
      <c r="W842" s="1077">
        <f t="array" ref="W842">SUMPRODUCT(IF('卡片raw data'!BM$1:BM$1000=T842,1,0),IF('卡片raw data'!BO$1:BO$1000=V842,1,0),IF(IF('卡片raw data'!C$1:C$1000=R$3,1,0)+IF(R$3="",1,0)&gt;=1,1,0),IF(IF('卡片raw data'!D$1:D$1000=R$4,1,0)+IF(R$4="",1,0)&gt;=1,1,0),IF(IF('卡片raw data'!E$1:E$1000=R$5,1,0)+IF(R$5="",1,0)&gt;=1,1,0))</f>
        <v>0</v>
      </c>
      <c r="Y842" s="1307">
        <f t="shared" si="66"/>
        <v>24</v>
      </c>
      <c r="Z842" s="1307">
        <f t="shared" si="67"/>
        <v>0</v>
      </c>
      <c r="AA842" s="1307">
        <f t="shared" si="68"/>
        <v>24</v>
      </c>
      <c r="AB842" s="1307">
        <f t="shared" si="69"/>
        <v>0</v>
      </c>
    </row>
    <row r="843" spans="20:28">
      <c r="T843" s="1077">
        <v>35</v>
      </c>
      <c r="U843" s="1077">
        <f t="shared" si="65"/>
        <v>40</v>
      </c>
      <c r="V843" s="1077">
        <v>25</v>
      </c>
      <c r="W843" s="1077">
        <f t="array" ref="W843">SUMPRODUCT(IF('卡片raw data'!BM$1:BM$1000=T843,1,0),IF('卡片raw data'!BO$1:BO$1000=V843,1,0),IF(IF('卡片raw data'!C$1:C$1000=R$3,1,0)+IF(R$3="",1,0)&gt;=1,1,0),IF(IF('卡片raw data'!D$1:D$1000=R$4,1,0)+IF(R$4="",1,0)&gt;=1,1,0),IF(IF('卡片raw data'!E$1:E$1000=R$5,1,0)+IF(R$5="",1,0)&gt;=1,1,0))</f>
        <v>0</v>
      </c>
      <c r="Y843" s="1307">
        <f t="shared" si="66"/>
        <v>25</v>
      </c>
      <c r="Z843" s="1307">
        <f t="shared" si="67"/>
        <v>0</v>
      </c>
      <c r="AA843" s="1307">
        <f t="shared" si="68"/>
        <v>25</v>
      </c>
      <c r="AB843" s="1307">
        <f t="shared" si="69"/>
        <v>0</v>
      </c>
    </row>
    <row r="844" spans="20:28">
      <c r="T844" s="1077">
        <v>35</v>
      </c>
      <c r="U844" s="1077">
        <f t="shared" si="65"/>
        <v>39</v>
      </c>
      <c r="V844" s="1077">
        <v>26</v>
      </c>
      <c r="W844" s="1077">
        <f t="array" ref="W844">SUMPRODUCT(IF('卡片raw data'!BM$1:BM$1000=T844,1,0),IF('卡片raw data'!BO$1:BO$1000=V844,1,0),IF(IF('卡片raw data'!C$1:C$1000=R$3,1,0)+IF(R$3="",1,0)&gt;=1,1,0),IF(IF('卡片raw data'!D$1:D$1000=R$4,1,0)+IF(R$4="",1,0)&gt;=1,1,0),IF(IF('卡片raw data'!E$1:E$1000=R$5,1,0)+IF(R$5="",1,0)&gt;=1,1,0))</f>
        <v>0</v>
      </c>
      <c r="Y844" s="1307">
        <f t="shared" si="66"/>
        <v>26</v>
      </c>
      <c r="Z844" s="1307">
        <f t="shared" si="67"/>
        <v>0</v>
      </c>
      <c r="AA844" s="1307">
        <f t="shared" si="68"/>
        <v>26</v>
      </c>
      <c r="AB844" s="1307">
        <f t="shared" si="69"/>
        <v>0</v>
      </c>
    </row>
    <row r="845" spans="20:28">
      <c r="T845" s="1077">
        <v>35</v>
      </c>
      <c r="U845" s="1077">
        <f t="shared" si="65"/>
        <v>38</v>
      </c>
      <c r="V845" s="1077">
        <v>27</v>
      </c>
      <c r="W845" s="1077">
        <f t="array" ref="W845">SUMPRODUCT(IF('卡片raw data'!BM$1:BM$1000=T845,1,0),IF('卡片raw data'!BO$1:BO$1000=V845,1,0),IF(IF('卡片raw data'!C$1:C$1000=R$3,1,0)+IF(R$3="",1,0)&gt;=1,1,0),IF(IF('卡片raw data'!D$1:D$1000=R$4,1,0)+IF(R$4="",1,0)&gt;=1,1,0),IF(IF('卡片raw data'!E$1:E$1000=R$5,1,0)+IF(R$5="",1,0)&gt;=1,1,0))</f>
        <v>0</v>
      </c>
      <c r="Y845" s="1307">
        <f t="shared" si="66"/>
        <v>27</v>
      </c>
      <c r="Z845" s="1307">
        <f t="shared" si="67"/>
        <v>0</v>
      </c>
      <c r="AA845" s="1307">
        <f t="shared" si="68"/>
        <v>27</v>
      </c>
      <c r="AB845" s="1307">
        <f t="shared" si="69"/>
        <v>0</v>
      </c>
    </row>
    <row r="846" spans="20:28">
      <c r="T846" s="1077">
        <v>35</v>
      </c>
      <c r="U846" s="1077">
        <f t="shared" si="65"/>
        <v>37</v>
      </c>
      <c r="V846" s="1077">
        <v>28</v>
      </c>
      <c r="W846" s="1077">
        <f t="array" ref="W846">SUMPRODUCT(IF('卡片raw data'!BM$1:BM$1000=T846,1,0),IF('卡片raw data'!BO$1:BO$1000=V846,1,0),IF(IF('卡片raw data'!C$1:C$1000=R$3,1,0)+IF(R$3="",1,0)&gt;=1,1,0),IF(IF('卡片raw data'!D$1:D$1000=R$4,1,0)+IF(R$4="",1,0)&gt;=1,1,0),IF(IF('卡片raw data'!E$1:E$1000=R$5,1,0)+IF(R$5="",1,0)&gt;=1,1,0))</f>
        <v>0</v>
      </c>
      <c r="Y846" s="1307">
        <f t="shared" si="66"/>
        <v>28</v>
      </c>
      <c r="Z846" s="1307">
        <f t="shared" si="67"/>
        <v>0</v>
      </c>
      <c r="AA846" s="1307">
        <f t="shared" si="68"/>
        <v>28</v>
      </c>
      <c r="AB846" s="1307">
        <f t="shared" si="69"/>
        <v>0</v>
      </c>
    </row>
    <row r="847" spans="20:28">
      <c r="T847" s="1077">
        <v>35</v>
      </c>
      <c r="U847" s="1077">
        <f t="shared" si="65"/>
        <v>36</v>
      </c>
      <c r="V847" s="1077">
        <v>29</v>
      </c>
      <c r="W847" s="1077">
        <f t="array" ref="W847">SUMPRODUCT(IF('卡片raw data'!BM$1:BM$1000=T847,1,0),IF('卡片raw data'!BO$1:BO$1000=V847,1,0),IF(IF('卡片raw data'!C$1:C$1000=R$3,1,0)+IF(R$3="",1,0)&gt;=1,1,0),IF(IF('卡片raw data'!D$1:D$1000=R$4,1,0)+IF(R$4="",1,0)&gt;=1,1,0),IF(IF('卡片raw data'!E$1:E$1000=R$5,1,0)+IF(R$5="",1,0)&gt;=1,1,0))</f>
        <v>0</v>
      </c>
      <c r="Y847" s="1307">
        <f t="shared" si="66"/>
        <v>29</v>
      </c>
      <c r="Z847" s="1307">
        <f t="shared" si="67"/>
        <v>0</v>
      </c>
      <c r="AA847" s="1307">
        <f t="shared" si="68"/>
        <v>29</v>
      </c>
      <c r="AB847" s="1307">
        <f t="shared" si="69"/>
        <v>0</v>
      </c>
    </row>
    <row r="848" spans="20:28">
      <c r="T848" s="1077">
        <v>35</v>
      </c>
      <c r="U848" s="1077">
        <f t="shared" si="65"/>
        <v>35</v>
      </c>
      <c r="V848" s="1077">
        <v>30</v>
      </c>
      <c r="W848" s="1077">
        <f t="array" ref="W848">SUMPRODUCT(IF('卡片raw data'!BM$1:BM$1000=T848,1,0),IF('卡片raw data'!BO$1:BO$1000=V848,1,0),IF(IF('卡片raw data'!C$1:C$1000=R$3,1,0)+IF(R$3="",1,0)&gt;=1,1,0),IF(IF('卡片raw data'!D$1:D$1000=R$4,1,0)+IF(R$4="",1,0)&gt;=1,1,0),IF(IF('卡片raw data'!E$1:E$1000=R$5,1,0)+IF(R$5="",1,0)&gt;=1,1,0))</f>
        <v>0</v>
      </c>
      <c r="Y848" s="1307">
        <f t="shared" si="66"/>
        <v>30</v>
      </c>
      <c r="Z848" s="1307">
        <f t="shared" si="67"/>
        <v>0</v>
      </c>
      <c r="AA848" s="1307">
        <f t="shared" si="68"/>
        <v>30</v>
      </c>
      <c r="AB848" s="1307">
        <f t="shared" si="69"/>
        <v>0</v>
      </c>
    </row>
    <row r="849" spans="20:28">
      <c r="T849" s="1077">
        <v>35</v>
      </c>
      <c r="U849" s="1077">
        <f t="shared" si="65"/>
        <v>34</v>
      </c>
      <c r="V849" s="1077">
        <v>31</v>
      </c>
      <c r="W849" s="1077">
        <f t="array" ref="W849">SUMPRODUCT(IF('卡片raw data'!BM$1:BM$1000=T849,1,0),IF('卡片raw data'!BO$1:BO$1000=V849,1,0),IF(IF('卡片raw data'!C$1:C$1000=R$3,1,0)+IF(R$3="",1,0)&gt;=1,1,0),IF(IF('卡片raw data'!D$1:D$1000=R$4,1,0)+IF(R$4="",1,0)&gt;=1,1,0),IF(IF('卡片raw data'!E$1:E$1000=R$5,1,0)+IF(R$5="",1,0)&gt;=1,1,0))</f>
        <v>0</v>
      </c>
      <c r="Y849" s="1307">
        <f t="shared" si="66"/>
        <v>31</v>
      </c>
      <c r="Z849" s="1307">
        <f t="shared" si="67"/>
        <v>0</v>
      </c>
      <c r="AA849" s="1307">
        <f t="shared" si="68"/>
        <v>31</v>
      </c>
      <c r="AB849" s="1307">
        <f t="shared" si="69"/>
        <v>0</v>
      </c>
    </row>
    <row r="850" spans="20:28">
      <c r="T850" s="1077">
        <v>35</v>
      </c>
      <c r="U850" s="1077">
        <f t="shared" si="65"/>
        <v>33</v>
      </c>
      <c r="V850" s="1077">
        <v>32</v>
      </c>
      <c r="W850" s="1077">
        <f t="array" ref="W850">SUMPRODUCT(IF('卡片raw data'!BM$1:BM$1000=T850,1,0),IF('卡片raw data'!BO$1:BO$1000=V850,1,0),IF(IF('卡片raw data'!C$1:C$1000=R$3,1,0)+IF(R$3="",1,0)&gt;=1,1,0),IF(IF('卡片raw data'!D$1:D$1000=R$4,1,0)+IF(R$4="",1,0)&gt;=1,1,0),IF(IF('卡片raw data'!E$1:E$1000=R$5,1,0)+IF(R$5="",1,0)&gt;=1,1,0))</f>
        <v>6</v>
      </c>
      <c r="Y850" s="1307">
        <f t="shared" si="66"/>
        <v>32</v>
      </c>
      <c r="Z850" s="1307">
        <f t="shared" si="67"/>
        <v>0</v>
      </c>
      <c r="AA850" s="1307">
        <f t="shared" si="68"/>
        <v>32</v>
      </c>
      <c r="AB850" s="1307">
        <f t="shared" si="69"/>
        <v>6</v>
      </c>
    </row>
    <row r="851" spans="20:28">
      <c r="T851" s="1077">
        <v>35</v>
      </c>
      <c r="U851" s="1077">
        <f t="shared" si="65"/>
        <v>32</v>
      </c>
      <c r="V851" s="1077">
        <v>33</v>
      </c>
      <c r="W851" s="1077">
        <f t="array" ref="W851">SUMPRODUCT(IF('卡片raw data'!BM$1:BM$1000=T851,1,0),IF('卡片raw data'!BO$1:BO$1000=V851,1,0),IF(IF('卡片raw data'!C$1:C$1000=R$3,1,0)+IF(R$3="",1,0)&gt;=1,1,0),IF(IF('卡片raw data'!D$1:D$1000=R$4,1,0)+IF(R$4="",1,0)&gt;=1,1,0),IF(IF('卡片raw data'!E$1:E$1000=R$5,1,0)+IF(R$5="",1,0)&gt;=1,1,0))</f>
        <v>5</v>
      </c>
      <c r="Y851" s="1307">
        <f t="shared" si="66"/>
        <v>33</v>
      </c>
      <c r="Z851" s="1307">
        <f t="shared" si="67"/>
        <v>0</v>
      </c>
      <c r="AA851" s="1307">
        <f t="shared" si="68"/>
        <v>33</v>
      </c>
      <c r="AB851" s="1307">
        <f t="shared" si="69"/>
        <v>5</v>
      </c>
    </row>
    <row r="852" spans="20:28">
      <c r="T852" s="1077">
        <v>35</v>
      </c>
      <c r="U852" s="1077">
        <f t="shared" si="65"/>
        <v>31</v>
      </c>
      <c r="V852" s="1077">
        <v>34</v>
      </c>
      <c r="W852" s="1077">
        <f t="array" ref="W852">SUMPRODUCT(IF('卡片raw data'!BM$1:BM$1000=T852,1,0),IF('卡片raw data'!BO$1:BO$1000=V852,1,0),IF(IF('卡片raw data'!C$1:C$1000=R$3,1,0)+IF(R$3="",1,0)&gt;=1,1,0),IF(IF('卡片raw data'!D$1:D$1000=R$4,1,0)+IF(R$4="",1,0)&gt;=1,1,0),IF(IF('卡片raw data'!E$1:E$1000=R$5,1,0)+IF(R$5="",1,0)&gt;=1,1,0))</f>
        <v>2</v>
      </c>
      <c r="Y852" s="1307">
        <f t="shared" si="66"/>
        <v>34</v>
      </c>
      <c r="Z852" s="1307">
        <f t="shared" si="67"/>
        <v>0</v>
      </c>
      <c r="AA852" s="1307">
        <f t="shared" si="68"/>
        <v>34</v>
      </c>
      <c r="AB852" s="1307">
        <f t="shared" si="69"/>
        <v>2</v>
      </c>
    </row>
    <row r="853" spans="20:28">
      <c r="T853" s="1077">
        <v>35</v>
      </c>
      <c r="U853" s="1077">
        <f t="shared" si="65"/>
        <v>30</v>
      </c>
      <c r="V853" s="1077">
        <v>35</v>
      </c>
      <c r="W853" s="1077">
        <f t="array" ref="W853">SUMPRODUCT(IF('卡片raw data'!BM$1:BM$1000=T853,1,0),IF('卡片raw data'!BO$1:BO$1000=V853,1,0),IF(IF('卡片raw data'!C$1:C$1000=R$3,1,0)+IF(R$3="",1,0)&gt;=1,1,0),IF(IF('卡片raw data'!D$1:D$1000=R$4,1,0)+IF(R$4="",1,0)&gt;=1,1,0),IF(IF('卡片raw data'!E$1:E$1000=R$5,1,0)+IF(R$5="",1,0)&gt;=1,1,0))</f>
        <v>0</v>
      </c>
      <c r="Y853" s="1307">
        <f t="shared" si="66"/>
        <v>35</v>
      </c>
      <c r="Z853" s="1307">
        <f t="shared" si="67"/>
        <v>0</v>
      </c>
      <c r="AA853" s="1307">
        <f t="shared" si="68"/>
        <v>35</v>
      </c>
      <c r="AB853" s="1307">
        <f t="shared" si="69"/>
        <v>0</v>
      </c>
    </row>
    <row r="854" spans="20:28">
      <c r="T854" s="1077">
        <v>35</v>
      </c>
      <c r="U854" s="1077">
        <f t="shared" si="65"/>
        <v>29</v>
      </c>
      <c r="V854" s="1077">
        <v>36</v>
      </c>
      <c r="W854" s="1077">
        <f t="array" ref="W854">SUMPRODUCT(IF('卡片raw data'!BM$1:BM$1000=T854,1,0),IF('卡片raw data'!BO$1:BO$1000=V854,1,0),IF(IF('卡片raw data'!C$1:C$1000=R$3,1,0)+IF(R$3="",1,0)&gt;=1,1,0),IF(IF('卡片raw data'!D$1:D$1000=R$4,1,0)+IF(R$4="",1,0)&gt;=1,1,0),IF(IF('卡片raw data'!E$1:E$1000=R$5,1,0)+IF(R$5="",1,0)&gt;=1,1,0))</f>
        <v>5</v>
      </c>
      <c r="Y854" s="1307">
        <f t="shared" si="66"/>
        <v>36</v>
      </c>
      <c r="Z854" s="1307">
        <f t="shared" si="67"/>
        <v>5</v>
      </c>
      <c r="AA854" s="1307">
        <f t="shared" si="68"/>
        <v>36</v>
      </c>
      <c r="AB854" s="1307">
        <f t="shared" si="69"/>
        <v>0</v>
      </c>
    </row>
    <row r="855" spans="20:28">
      <c r="T855" s="1077">
        <v>35</v>
      </c>
      <c r="U855" s="1077">
        <f t="shared" si="65"/>
        <v>28</v>
      </c>
      <c r="V855" s="1077">
        <v>37</v>
      </c>
      <c r="W855" s="1077">
        <f t="array" ref="W855">SUMPRODUCT(IF('卡片raw data'!BM$1:BM$1000=T855,1,0),IF('卡片raw data'!BO$1:BO$1000=V855,1,0),IF(IF('卡片raw data'!C$1:C$1000=R$3,1,0)+IF(R$3="",1,0)&gt;=1,1,0),IF(IF('卡片raw data'!D$1:D$1000=R$4,1,0)+IF(R$4="",1,0)&gt;=1,1,0),IF(IF('卡片raw data'!E$1:E$1000=R$5,1,0)+IF(R$5="",1,0)&gt;=1,1,0))</f>
        <v>3</v>
      </c>
      <c r="Y855" s="1307">
        <f t="shared" si="66"/>
        <v>37</v>
      </c>
      <c r="Z855" s="1307">
        <f t="shared" si="67"/>
        <v>3</v>
      </c>
      <c r="AA855" s="1307">
        <f t="shared" si="68"/>
        <v>37</v>
      </c>
      <c r="AB855" s="1307">
        <f t="shared" si="69"/>
        <v>0</v>
      </c>
    </row>
    <row r="856" spans="20:28">
      <c r="T856" s="1077">
        <v>35</v>
      </c>
      <c r="U856" s="1077">
        <f t="shared" si="65"/>
        <v>27</v>
      </c>
      <c r="V856" s="1077">
        <v>38</v>
      </c>
      <c r="W856" s="1077">
        <f t="array" ref="W856">SUMPRODUCT(IF('卡片raw data'!BM$1:BM$1000=T856,1,0),IF('卡片raw data'!BO$1:BO$1000=V856,1,0),IF(IF('卡片raw data'!C$1:C$1000=R$3,1,0)+IF(R$3="",1,0)&gt;=1,1,0),IF(IF('卡片raw data'!D$1:D$1000=R$4,1,0)+IF(R$4="",1,0)&gt;=1,1,0),IF(IF('卡片raw data'!E$1:E$1000=R$5,1,0)+IF(R$5="",1,0)&gt;=1,1,0))</f>
        <v>4</v>
      </c>
      <c r="Y856" s="1307">
        <f t="shared" si="66"/>
        <v>38</v>
      </c>
      <c r="Z856" s="1307">
        <f t="shared" si="67"/>
        <v>4</v>
      </c>
      <c r="AA856" s="1307">
        <f t="shared" si="68"/>
        <v>38</v>
      </c>
      <c r="AB856" s="1307">
        <f t="shared" si="69"/>
        <v>0</v>
      </c>
    </row>
    <row r="857" spans="20:28">
      <c r="T857" s="1077">
        <v>35</v>
      </c>
      <c r="U857" s="1077">
        <f t="shared" si="65"/>
        <v>26</v>
      </c>
      <c r="V857" s="1077">
        <v>39</v>
      </c>
      <c r="W857" s="1077">
        <f t="array" ref="W857">SUMPRODUCT(IF('卡片raw data'!BM$1:BM$1000=T857,1,0),IF('卡片raw data'!BO$1:BO$1000=V857,1,0),IF(IF('卡片raw data'!C$1:C$1000=R$3,1,0)+IF(R$3="",1,0)&gt;=1,1,0),IF(IF('卡片raw data'!D$1:D$1000=R$4,1,0)+IF(R$4="",1,0)&gt;=1,1,0),IF(IF('卡片raw data'!E$1:E$1000=R$5,1,0)+IF(R$5="",1,0)&gt;=1,1,0))</f>
        <v>1</v>
      </c>
      <c r="Y857" s="1307">
        <f t="shared" si="66"/>
        <v>39</v>
      </c>
      <c r="Z857" s="1307">
        <f t="shared" si="67"/>
        <v>1</v>
      </c>
      <c r="AA857" s="1307">
        <f t="shared" si="68"/>
        <v>39</v>
      </c>
      <c r="AB857" s="1307">
        <f t="shared" si="69"/>
        <v>0</v>
      </c>
    </row>
    <row r="858" spans="20:28">
      <c r="T858" s="1077">
        <v>35</v>
      </c>
      <c r="U858" s="1077">
        <f t="shared" si="65"/>
        <v>25</v>
      </c>
      <c r="V858" s="1077">
        <v>40</v>
      </c>
      <c r="W858" s="1077">
        <f t="array" ref="W858">SUMPRODUCT(IF('卡片raw data'!BM$1:BM$1000=T858,1,0),IF('卡片raw data'!BO$1:BO$1000=V858,1,0),IF(IF('卡片raw data'!C$1:C$1000=R$3,1,0)+IF(R$3="",1,0)&gt;=1,1,0),IF(IF('卡片raw data'!D$1:D$1000=R$4,1,0)+IF(R$4="",1,0)&gt;=1,1,0),IF(IF('卡片raw data'!E$1:E$1000=R$5,1,0)+IF(R$5="",1,0)&gt;=1,1,0))</f>
        <v>1</v>
      </c>
      <c r="Y858" s="1307">
        <f t="shared" si="66"/>
        <v>40</v>
      </c>
      <c r="Z858" s="1307">
        <f t="shared" si="67"/>
        <v>1</v>
      </c>
      <c r="AA858" s="1307">
        <f t="shared" si="68"/>
        <v>40</v>
      </c>
      <c r="AB858" s="1307">
        <f t="shared" si="69"/>
        <v>0</v>
      </c>
    </row>
    <row r="859" spans="20:28">
      <c r="T859" s="1077">
        <v>35</v>
      </c>
      <c r="U859" s="1077">
        <f t="shared" si="65"/>
        <v>24</v>
      </c>
      <c r="V859" s="1077">
        <v>41</v>
      </c>
      <c r="W859" s="1077">
        <f t="array" ref="W859">SUMPRODUCT(IF('卡片raw data'!BM$1:BM$1000=T859,1,0),IF('卡片raw data'!BO$1:BO$1000=V859,1,0),IF(IF('卡片raw data'!C$1:C$1000=R$3,1,0)+IF(R$3="",1,0)&gt;=1,1,0),IF(IF('卡片raw data'!D$1:D$1000=R$4,1,0)+IF(R$4="",1,0)&gt;=1,1,0),IF(IF('卡片raw data'!E$1:E$1000=R$5,1,0)+IF(R$5="",1,0)&gt;=1,1,0))</f>
        <v>1</v>
      </c>
      <c r="Y859" s="1307">
        <f t="shared" si="66"/>
        <v>41</v>
      </c>
      <c r="Z859" s="1307">
        <f t="shared" si="67"/>
        <v>1</v>
      </c>
      <c r="AA859" s="1307">
        <f t="shared" si="68"/>
        <v>41</v>
      </c>
      <c r="AB859" s="1307">
        <f t="shared" si="69"/>
        <v>0</v>
      </c>
    </row>
    <row r="860" spans="20:28">
      <c r="T860" s="1077">
        <v>35</v>
      </c>
      <c r="U860" s="1077">
        <f t="shared" si="65"/>
        <v>23</v>
      </c>
      <c r="V860" s="1077">
        <v>42</v>
      </c>
      <c r="W860" s="1077">
        <f t="array" ref="W860">SUMPRODUCT(IF('卡片raw data'!BM$1:BM$1000=T860,1,0),IF('卡片raw data'!BO$1:BO$1000=V860,1,0),IF(IF('卡片raw data'!C$1:C$1000=R$3,1,0)+IF(R$3="",1,0)&gt;=1,1,0),IF(IF('卡片raw data'!D$1:D$1000=R$4,1,0)+IF(R$4="",1,0)&gt;=1,1,0),IF(IF('卡片raw data'!E$1:E$1000=R$5,1,0)+IF(R$5="",1,0)&gt;=1,1,0))</f>
        <v>4</v>
      </c>
      <c r="Y860" s="1307">
        <f t="shared" si="66"/>
        <v>42</v>
      </c>
      <c r="Z860" s="1307">
        <f t="shared" si="67"/>
        <v>4</v>
      </c>
      <c r="AA860" s="1307">
        <f t="shared" si="68"/>
        <v>42</v>
      </c>
      <c r="AB860" s="1307">
        <f t="shared" si="69"/>
        <v>0</v>
      </c>
    </row>
    <row r="861" spans="20:28">
      <c r="T861" s="1077">
        <v>35</v>
      </c>
      <c r="U861" s="1077">
        <f t="shared" si="65"/>
        <v>22</v>
      </c>
      <c r="V861" s="1077">
        <v>43</v>
      </c>
      <c r="W861" s="1077">
        <f t="array" ref="W861">SUMPRODUCT(IF('卡片raw data'!BM$1:BM$1000=T861,1,0),IF('卡片raw data'!BO$1:BO$1000=V861,1,0),IF(IF('卡片raw data'!C$1:C$1000=R$3,1,0)+IF(R$3="",1,0)&gt;=1,1,0),IF(IF('卡片raw data'!D$1:D$1000=R$4,1,0)+IF(R$4="",1,0)&gt;=1,1,0),IF(IF('卡片raw data'!E$1:E$1000=R$5,1,0)+IF(R$5="",1,0)&gt;=1,1,0))</f>
        <v>4</v>
      </c>
      <c r="Y861" s="1307">
        <f t="shared" si="66"/>
        <v>43</v>
      </c>
      <c r="Z861" s="1307">
        <f t="shared" si="67"/>
        <v>4</v>
      </c>
      <c r="AA861" s="1307">
        <f t="shared" si="68"/>
        <v>43</v>
      </c>
      <c r="AB861" s="1307">
        <f t="shared" si="69"/>
        <v>0</v>
      </c>
    </row>
    <row r="862" spans="20:28">
      <c r="T862" s="1077">
        <v>35</v>
      </c>
      <c r="U862" s="1077">
        <f t="shared" si="65"/>
        <v>21</v>
      </c>
      <c r="V862" s="1077">
        <v>44</v>
      </c>
      <c r="W862" s="1077">
        <f t="array" ref="W862">SUMPRODUCT(IF('卡片raw data'!BM$1:BM$1000=T862,1,0),IF('卡片raw data'!BO$1:BO$1000=V862,1,0),IF(IF('卡片raw data'!C$1:C$1000=R$3,1,0)+IF(R$3="",1,0)&gt;=1,1,0),IF(IF('卡片raw data'!D$1:D$1000=R$4,1,0)+IF(R$4="",1,0)&gt;=1,1,0),IF(IF('卡片raw data'!E$1:E$1000=R$5,1,0)+IF(R$5="",1,0)&gt;=1,1,0))</f>
        <v>2</v>
      </c>
      <c r="Y862" s="1307">
        <f t="shared" si="66"/>
        <v>44</v>
      </c>
      <c r="Z862" s="1307">
        <f t="shared" si="67"/>
        <v>2</v>
      </c>
      <c r="AA862" s="1307">
        <f t="shared" si="68"/>
        <v>44</v>
      </c>
      <c r="AB862" s="1307">
        <f t="shared" si="69"/>
        <v>0</v>
      </c>
    </row>
    <row r="863" spans="20:28">
      <c r="T863" s="1077">
        <v>35</v>
      </c>
      <c r="U863" s="1077">
        <f t="shared" si="65"/>
        <v>20</v>
      </c>
      <c r="V863" s="1077">
        <v>45</v>
      </c>
      <c r="W863" s="1077">
        <f t="array" ref="W863">SUMPRODUCT(IF('卡片raw data'!BM$1:BM$1000=T863,1,0),IF('卡片raw data'!BO$1:BO$1000=V863,1,0),IF(IF('卡片raw data'!C$1:C$1000=R$3,1,0)+IF(R$3="",1,0)&gt;=1,1,0),IF(IF('卡片raw data'!D$1:D$1000=R$4,1,0)+IF(R$4="",1,0)&gt;=1,1,0),IF(IF('卡片raw data'!E$1:E$1000=R$5,1,0)+IF(R$5="",1,0)&gt;=1,1,0))</f>
        <v>6</v>
      </c>
      <c r="Y863" s="1307">
        <f t="shared" si="66"/>
        <v>45</v>
      </c>
      <c r="Z863" s="1307">
        <f t="shared" si="67"/>
        <v>6</v>
      </c>
      <c r="AA863" s="1307">
        <f t="shared" si="68"/>
        <v>45</v>
      </c>
      <c r="AB863" s="1307">
        <f t="shared" si="69"/>
        <v>0</v>
      </c>
    </row>
    <row r="864" spans="20:28">
      <c r="T864" s="1077">
        <v>35</v>
      </c>
      <c r="U864" s="1077">
        <f t="shared" si="65"/>
        <v>19</v>
      </c>
      <c r="V864" s="1077">
        <v>46</v>
      </c>
      <c r="W864" s="1077">
        <f t="array" ref="W864">SUMPRODUCT(IF('卡片raw data'!BM$1:BM$1000=T864,1,0),IF('卡片raw data'!BO$1:BO$1000=V864,1,0),IF(IF('卡片raw data'!C$1:C$1000=R$3,1,0)+IF(R$3="",1,0)&gt;=1,1,0),IF(IF('卡片raw data'!D$1:D$1000=R$4,1,0)+IF(R$4="",1,0)&gt;=1,1,0),IF(IF('卡片raw data'!E$1:E$1000=R$5,1,0)+IF(R$5="",1,0)&gt;=1,1,0))</f>
        <v>0</v>
      </c>
      <c r="Y864" s="1307">
        <f t="shared" si="66"/>
        <v>46</v>
      </c>
      <c r="Z864" s="1307">
        <f t="shared" si="67"/>
        <v>0</v>
      </c>
      <c r="AA864" s="1307">
        <f t="shared" si="68"/>
        <v>46</v>
      </c>
      <c r="AB864" s="1307">
        <f t="shared" si="69"/>
        <v>0</v>
      </c>
    </row>
    <row r="865" spans="20:28">
      <c r="T865" s="1077">
        <v>35</v>
      </c>
      <c r="U865" s="1077">
        <f t="shared" si="65"/>
        <v>18</v>
      </c>
      <c r="V865" s="1077">
        <v>47</v>
      </c>
      <c r="W865" s="1077">
        <f t="array" ref="W865">SUMPRODUCT(IF('卡片raw data'!BM$1:BM$1000=T865,1,0),IF('卡片raw data'!BO$1:BO$1000=V865,1,0),IF(IF('卡片raw data'!C$1:C$1000=R$3,1,0)+IF(R$3="",1,0)&gt;=1,1,0),IF(IF('卡片raw data'!D$1:D$1000=R$4,1,0)+IF(R$4="",1,0)&gt;=1,1,0),IF(IF('卡片raw data'!E$1:E$1000=R$5,1,0)+IF(R$5="",1,0)&gt;=1,1,0))</f>
        <v>1</v>
      </c>
      <c r="Y865" s="1307">
        <f t="shared" si="66"/>
        <v>47</v>
      </c>
      <c r="Z865" s="1307">
        <f t="shared" si="67"/>
        <v>1</v>
      </c>
      <c r="AA865" s="1307">
        <f t="shared" si="68"/>
        <v>47</v>
      </c>
      <c r="AB865" s="1307">
        <f t="shared" si="69"/>
        <v>0</v>
      </c>
    </row>
    <row r="866" spans="20:28">
      <c r="T866" s="1077">
        <v>35</v>
      </c>
      <c r="U866" s="1077">
        <f t="shared" si="65"/>
        <v>17</v>
      </c>
      <c r="V866" s="1077">
        <v>48</v>
      </c>
      <c r="W866" s="1077">
        <f t="array" ref="W866">SUMPRODUCT(IF('卡片raw data'!BM$1:BM$1000=T866,1,0),IF('卡片raw data'!BO$1:BO$1000=V866,1,0),IF(IF('卡片raw data'!C$1:C$1000=R$3,1,0)+IF(R$3="",1,0)&gt;=1,1,0),IF(IF('卡片raw data'!D$1:D$1000=R$4,1,0)+IF(R$4="",1,0)&gt;=1,1,0),IF(IF('卡片raw data'!E$1:E$1000=R$5,1,0)+IF(R$5="",1,0)&gt;=1,1,0))</f>
        <v>0</v>
      </c>
      <c r="Y866" s="1307">
        <f t="shared" si="66"/>
        <v>48</v>
      </c>
      <c r="Z866" s="1307">
        <f t="shared" si="67"/>
        <v>0</v>
      </c>
      <c r="AA866" s="1307">
        <f t="shared" si="68"/>
        <v>48</v>
      </c>
      <c r="AB866" s="1307">
        <f t="shared" si="69"/>
        <v>0</v>
      </c>
    </row>
    <row r="867" spans="20:28">
      <c r="T867" s="1077">
        <v>35</v>
      </c>
      <c r="U867" s="1077">
        <f t="shared" si="65"/>
        <v>16</v>
      </c>
      <c r="V867" s="1077">
        <v>49</v>
      </c>
      <c r="W867" s="1077">
        <f t="array" ref="W867">SUMPRODUCT(IF('卡片raw data'!BM$1:BM$1000=T867,1,0),IF('卡片raw data'!BO$1:BO$1000=V867,1,0),IF(IF('卡片raw data'!C$1:C$1000=R$3,1,0)+IF(R$3="",1,0)&gt;=1,1,0),IF(IF('卡片raw data'!D$1:D$1000=R$4,1,0)+IF(R$4="",1,0)&gt;=1,1,0),IF(IF('卡片raw data'!E$1:E$1000=R$5,1,0)+IF(R$5="",1,0)&gt;=1,1,0))</f>
        <v>0</v>
      </c>
      <c r="Y867" s="1307">
        <f t="shared" si="66"/>
        <v>49</v>
      </c>
      <c r="Z867" s="1307">
        <f t="shared" si="67"/>
        <v>0</v>
      </c>
      <c r="AA867" s="1307">
        <f t="shared" si="68"/>
        <v>49</v>
      </c>
      <c r="AB867" s="1307">
        <f t="shared" si="69"/>
        <v>0</v>
      </c>
    </row>
    <row r="868" spans="20:28">
      <c r="T868" s="1077">
        <v>35</v>
      </c>
      <c r="U868" s="1077">
        <f t="shared" si="65"/>
        <v>15</v>
      </c>
      <c r="V868" s="1077">
        <v>50</v>
      </c>
      <c r="W868" s="1077">
        <f t="array" ref="W868">SUMPRODUCT(IF('卡片raw data'!BM$1:BM$1000=T868,1,0),IF('卡片raw data'!BO$1:BO$1000=V868,1,0),IF(IF('卡片raw data'!C$1:C$1000=R$3,1,0)+IF(R$3="",1,0)&gt;=1,1,0),IF(IF('卡片raw data'!D$1:D$1000=R$4,1,0)+IF(R$4="",1,0)&gt;=1,1,0),IF(IF('卡片raw data'!E$1:E$1000=R$5,1,0)+IF(R$5="",1,0)&gt;=1,1,0))</f>
        <v>0</v>
      </c>
      <c r="Y868" s="1307">
        <f t="shared" si="66"/>
        <v>50</v>
      </c>
      <c r="Z868" s="1307">
        <f t="shared" si="67"/>
        <v>0</v>
      </c>
      <c r="AA868" s="1307">
        <f t="shared" si="68"/>
        <v>50</v>
      </c>
      <c r="AB868" s="1307">
        <f t="shared" si="69"/>
        <v>0</v>
      </c>
    </row>
    <row r="869" spans="20:28">
      <c r="T869" s="1077">
        <v>35</v>
      </c>
      <c r="U869" s="1077">
        <f t="shared" si="65"/>
        <v>14</v>
      </c>
      <c r="V869" s="1077">
        <v>51</v>
      </c>
      <c r="W869" s="1077">
        <f t="array" ref="W869">SUMPRODUCT(IF('卡片raw data'!BM$1:BM$1000=T869,1,0),IF('卡片raw data'!BO$1:BO$1000=V869,1,0),IF(IF('卡片raw data'!C$1:C$1000=R$3,1,0)+IF(R$3="",1,0)&gt;=1,1,0),IF(IF('卡片raw data'!D$1:D$1000=R$4,1,0)+IF(R$4="",1,0)&gt;=1,1,0),IF(IF('卡片raw data'!E$1:E$1000=R$5,1,0)+IF(R$5="",1,0)&gt;=1,1,0))</f>
        <v>0</v>
      </c>
      <c r="Y869" s="1307">
        <f t="shared" si="66"/>
        <v>51</v>
      </c>
      <c r="Z869" s="1307">
        <f t="shared" si="67"/>
        <v>0</v>
      </c>
      <c r="AA869" s="1307">
        <f t="shared" si="68"/>
        <v>51</v>
      </c>
      <c r="AB869" s="1307">
        <f t="shared" si="69"/>
        <v>0</v>
      </c>
    </row>
    <row r="870" spans="20:28">
      <c r="T870" s="1077">
        <v>35</v>
      </c>
      <c r="U870" s="1077">
        <f t="shared" si="65"/>
        <v>13</v>
      </c>
      <c r="V870" s="1077">
        <v>52</v>
      </c>
      <c r="W870" s="1077">
        <f t="array" ref="W870">SUMPRODUCT(IF('卡片raw data'!BM$1:BM$1000=T870,1,0),IF('卡片raw data'!BO$1:BO$1000=V870,1,0),IF(IF('卡片raw data'!C$1:C$1000=R$3,1,0)+IF(R$3="",1,0)&gt;=1,1,0),IF(IF('卡片raw data'!D$1:D$1000=R$4,1,0)+IF(R$4="",1,0)&gt;=1,1,0),IF(IF('卡片raw data'!E$1:E$1000=R$5,1,0)+IF(R$5="",1,0)&gt;=1,1,0))</f>
        <v>0</v>
      </c>
      <c r="Y870" s="1307">
        <f t="shared" si="66"/>
        <v>52</v>
      </c>
      <c r="Z870" s="1307">
        <f t="shared" si="67"/>
        <v>0</v>
      </c>
      <c r="AA870" s="1307">
        <f t="shared" si="68"/>
        <v>52</v>
      </c>
      <c r="AB870" s="1307">
        <f t="shared" si="69"/>
        <v>0</v>
      </c>
    </row>
    <row r="871" spans="20:28">
      <c r="T871" s="1077">
        <v>35</v>
      </c>
      <c r="U871" s="1077">
        <f t="shared" si="65"/>
        <v>12</v>
      </c>
      <c r="V871" s="1077">
        <v>53</v>
      </c>
      <c r="W871" s="1077">
        <f t="array" ref="W871">SUMPRODUCT(IF('卡片raw data'!BM$1:BM$1000=T871,1,0),IF('卡片raw data'!BO$1:BO$1000=V871,1,0),IF(IF('卡片raw data'!C$1:C$1000=R$3,1,0)+IF(R$3="",1,0)&gt;=1,1,0),IF(IF('卡片raw data'!D$1:D$1000=R$4,1,0)+IF(R$4="",1,0)&gt;=1,1,0),IF(IF('卡片raw data'!E$1:E$1000=R$5,1,0)+IF(R$5="",1,0)&gt;=1,1,0))</f>
        <v>0</v>
      </c>
      <c r="Y871" s="1307">
        <f t="shared" si="66"/>
        <v>53</v>
      </c>
      <c r="Z871" s="1307">
        <f t="shared" si="67"/>
        <v>0</v>
      </c>
      <c r="AA871" s="1307">
        <f t="shared" si="68"/>
        <v>53</v>
      </c>
      <c r="AB871" s="1307">
        <f t="shared" si="69"/>
        <v>0</v>
      </c>
    </row>
    <row r="872" spans="20:28">
      <c r="T872" s="1077">
        <v>35</v>
      </c>
      <c r="U872" s="1077">
        <f t="shared" si="65"/>
        <v>11</v>
      </c>
      <c r="V872" s="1077">
        <v>54</v>
      </c>
      <c r="W872" s="1077">
        <f t="array" ref="W872">SUMPRODUCT(IF('卡片raw data'!BM$1:BM$1000=T872,1,0),IF('卡片raw data'!BO$1:BO$1000=V872,1,0),IF(IF('卡片raw data'!C$1:C$1000=R$3,1,0)+IF(R$3="",1,0)&gt;=1,1,0),IF(IF('卡片raw data'!D$1:D$1000=R$4,1,0)+IF(R$4="",1,0)&gt;=1,1,0),IF(IF('卡片raw data'!E$1:E$1000=R$5,1,0)+IF(R$5="",1,0)&gt;=1,1,0))</f>
        <v>0</v>
      </c>
      <c r="Y872" s="1307">
        <f t="shared" si="66"/>
        <v>54</v>
      </c>
      <c r="Z872" s="1307">
        <f t="shared" si="67"/>
        <v>0</v>
      </c>
      <c r="AA872" s="1307">
        <f t="shared" si="68"/>
        <v>54</v>
      </c>
      <c r="AB872" s="1307">
        <f t="shared" si="69"/>
        <v>0</v>
      </c>
    </row>
    <row r="873" spans="20:28">
      <c r="T873" s="1077">
        <v>35</v>
      </c>
      <c r="U873" s="1077">
        <f t="shared" si="65"/>
        <v>10</v>
      </c>
      <c r="V873" s="1077">
        <v>55</v>
      </c>
      <c r="W873" s="1077">
        <f t="array" ref="W873">SUMPRODUCT(IF('卡片raw data'!BM$1:BM$1000=T873,1,0),IF('卡片raw data'!BO$1:BO$1000=V873,1,0),IF(IF('卡片raw data'!C$1:C$1000=R$3,1,0)+IF(R$3="",1,0)&gt;=1,1,0),IF(IF('卡片raw data'!D$1:D$1000=R$4,1,0)+IF(R$4="",1,0)&gt;=1,1,0),IF(IF('卡片raw data'!E$1:E$1000=R$5,1,0)+IF(R$5="",1,0)&gt;=1,1,0))</f>
        <v>0</v>
      </c>
      <c r="Y873" s="1307">
        <f t="shared" si="66"/>
        <v>55</v>
      </c>
      <c r="Z873" s="1307">
        <f t="shared" si="67"/>
        <v>0</v>
      </c>
      <c r="AA873" s="1307">
        <f t="shared" si="68"/>
        <v>55</v>
      </c>
      <c r="AB873" s="1307">
        <f t="shared" si="69"/>
        <v>0</v>
      </c>
    </row>
    <row r="874" spans="20:28">
      <c r="T874" s="1077">
        <v>36</v>
      </c>
      <c r="U874" s="1077">
        <f t="shared" si="65"/>
        <v>54</v>
      </c>
      <c r="V874" s="1077">
        <v>10</v>
      </c>
      <c r="W874" s="1077">
        <f t="array" ref="W874">SUMPRODUCT(IF('卡片raw data'!BM$1:BM$1000=T874,1,0),IF('卡片raw data'!BO$1:BO$1000=V874,1,0),IF(IF('卡片raw data'!C$1:C$1000=R$3,1,0)+IF(R$3="",1,0)&gt;=1,1,0),IF(IF('卡片raw data'!D$1:D$1000=R$4,1,0)+IF(R$4="",1,0)&gt;=1,1,0),IF(IF('卡片raw data'!E$1:E$1000=R$5,1,0)+IF(R$5="",1,0)&gt;=1,1,0))</f>
        <v>0</v>
      </c>
      <c r="Y874" s="1307">
        <f t="shared" si="66"/>
        <v>10</v>
      </c>
      <c r="Z874" s="1307">
        <f t="shared" si="67"/>
        <v>0</v>
      </c>
      <c r="AA874" s="1307">
        <f t="shared" si="68"/>
        <v>10</v>
      </c>
      <c r="AB874" s="1307">
        <f t="shared" si="69"/>
        <v>0</v>
      </c>
    </row>
    <row r="875" spans="20:28">
      <c r="T875" s="1077">
        <v>36</v>
      </c>
      <c r="U875" s="1077">
        <f t="shared" si="65"/>
        <v>53</v>
      </c>
      <c r="V875" s="1077">
        <v>11</v>
      </c>
      <c r="W875" s="1077">
        <f t="array" ref="W875">SUMPRODUCT(IF('卡片raw data'!BM$1:BM$1000=T875,1,0),IF('卡片raw data'!BO$1:BO$1000=V875,1,0),IF(IF('卡片raw data'!C$1:C$1000=R$3,1,0)+IF(R$3="",1,0)&gt;=1,1,0),IF(IF('卡片raw data'!D$1:D$1000=R$4,1,0)+IF(R$4="",1,0)&gt;=1,1,0),IF(IF('卡片raw data'!E$1:E$1000=R$5,1,0)+IF(R$5="",1,0)&gt;=1,1,0))</f>
        <v>0</v>
      </c>
      <c r="Y875" s="1307">
        <f t="shared" si="66"/>
        <v>11</v>
      </c>
      <c r="Z875" s="1307">
        <f t="shared" si="67"/>
        <v>0</v>
      </c>
      <c r="AA875" s="1307">
        <f t="shared" si="68"/>
        <v>11</v>
      </c>
      <c r="AB875" s="1307">
        <f t="shared" si="69"/>
        <v>0</v>
      </c>
    </row>
    <row r="876" spans="20:28">
      <c r="T876" s="1077">
        <v>36</v>
      </c>
      <c r="U876" s="1077">
        <f t="shared" si="65"/>
        <v>52</v>
      </c>
      <c r="V876" s="1077">
        <v>12</v>
      </c>
      <c r="W876" s="1077">
        <f t="array" ref="W876">SUMPRODUCT(IF('卡片raw data'!BM$1:BM$1000=T876,1,0),IF('卡片raw data'!BO$1:BO$1000=V876,1,0),IF(IF('卡片raw data'!C$1:C$1000=R$3,1,0)+IF(R$3="",1,0)&gt;=1,1,0),IF(IF('卡片raw data'!D$1:D$1000=R$4,1,0)+IF(R$4="",1,0)&gt;=1,1,0),IF(IF('卡片raw data'!E$1:E$1000=R$5,1,0)+IF(R$5="",1,0)&gt;=1,1,0))</f>
        <v>0</v>
      </c>
      <c r="Y876" s="1307">
        <f t="shared" si="66"/>
        <v>12</v>
      </c>
      <c r="Z876" s="1307">
        <f t="shared" si="67"/>
        <v>0</v>
      </c>
      <c r="AA876" s="1307">
        <f t="shared" si="68"/>
        <v>12</v>
      </c>
      <c r="AB876" s="1307">
        <f t="shared" si="69"/>
        <v>0</v>
      </c>
    </row>
    <row r="877" spans="20:28">
      <c r="T877" s="1077">
        <v>36</v>
      </c>
      <c r="U877" s="1077">
        <f t="shared" si="65"/>
        <v>51</v>
      </c>
      <c r="V877" s="1077">
        <v>13</v>
      </c>
      <c r="W877" s="1077">
        <f t="array" ref="W877">SUMPRODUCT(IF('卡片raw data'!BM$1:BM$1000=T877,1,0),IF('卡片raw data'!BO$1:BO$1000=V877,1,0),IF(IF('卡片raw data'!C$1:C$1000=R$3,1,0)+IF(R$3="",1,0)&gt;=1,1,0),IF(IF('卡片raw data'!D$1:D$1000=R$4,1,0)+IF(R$4="",1,0)&gt;=1,1,0),IF(IF('卡片raw data'!E$1:E$1000=R$5,1,0)+IF(R$5="",1,0)&gt;=1,1,0))</f>
        <v>0</v>
      </c>
      <c r="Y877" s="1307">
        <f t="shared" si="66"/>
        <v>13</v>
      </c>
      <c r="Z877" s="1307">
        <f t="shared" si="67"/>
        <v>0</v>
      </c>
      <c r="AA877" s="1307">
        <f t="shared" si="68"/>
        <v>13</v>
      </c>
      <c r="AB877" s="1307">
        <f t="shared" si="69"/>
        <v>0</v>
      </c>
    </row>
    <row r="878" spans="20:28">
      <c r="T878" s="1077">
        <v>36</v>
      </c>
      <c r="U878" s="1077">
        <f t="shared" si="65"/>
        <v>50</v>
      </c>
      <c r="V878" s="1077">
        <v>14</v>
      </c>
      <c r="W878" s="1077">
        <f t="array" ref="W878">SUMPRODUCT(IF('卡片raw data'!BM$1:BM$1000=T878,1,0),IF('卡片raw data'!BO$1:BO$1000=V878,1,0),IF(IF('卡片raw data'!C$1:C$1000=R$3,1,0)+IF(R$3="",1,0)&gt;=1,1,0),IF(IF('卡片raw data'!D$1:D$1000=R$4,1,0)+IF(R$4="",1,0)&gt;=1,1,0),IF(IF('卡片raw data'!E$1:E$1000=R$5,1,0)+IF(R$5="",1,0)&gt;=1,1,0))</f>
        <v>0</v>
      </c>
      <c r="Y878" s="1307">
        <f t="shared" si="66"/>
        <v>14</v>
      </c>
      <c r="Z878" s="1307">
        <f t="shared" si="67"/>
        <v>0</v>
      </c>
      <c r="AA878" s="1307">
        <f t="shared" si="68"/>
        <v>14</v>
      </c>
      <c r="AB878" s="1307">
        <f t="shared" si="69"/>
        <v>0</v>
      </c>
    </row>
    <row r="879" spans="20:28">
      <c r="T879" s="1077">
        <v>36</v>
      </c>
      <c r="U879" s="1077">
        <f t="shared" si="65"/>
        <v>49</v>
      </c>
      <c r="V879" s="1077">
        <v>15</v>
      </c>
      <c r="W879" s="1077">
        <f t="array" ref="W879">SUMPRODUCT(IF('卡片raw data'!BM$1:BM$1000=T879,1,0),IF('卡片raw data'!BO$1:BO$1000=V879,1,0),IF(IF('卡片raw data'!C$1:C$1000=R$3,1,0)+IF(R$3="",1,0)&gt;=1,1,0),IF(IF('卡片raw data'!D$1:D$1000=R$4,1,0)+IF(R$4="",1,0)&gt;=1,1,0),IF(IF('卡片raw data'!E$1:E$1000=R$5,1,0)+IF(R$5="",1,0)&gt;=1,1,0))</f>
        <v>0</v>
      </c>
      <c r="Y879" s="1307">
        <f t="shared" si="66"/>
        <v>15</v>
      </c>
      <c r="Z879" s="1307">
        <f t="shared" si="67"/>
        <v>0</v>
      </c>
      <c r="AA879" s="1307">
        <f t="shared" si="68"/>
        <v>15</v>
      </c>
      <c r="AB879" s="1307">
        <f t="shared" si="69"/>
        <v>0</v>
      </c>
    </row>
    <row r="880" spans="20:28">
      <c r="T880" s="1077">
        <v>36</v>
      </c>
      <c r="U880" s="1077">
        <f t="shared" si="65"/>
        <v>48</v>
      </c>
      <c r="V880" s="1077">
        <v>16</v>
      </c>
      <c r="W880" s="1077">
        <f t="array" ref="W880">SUMPRODUCT(IF('卡片raw data'!BM$1:BM$1000=T880,1,0),IF('卡片raw data'!BO$1:BO$1000=V880,1,0),IF(IF('卡片raw data'!C$1:C$1000=R$3,1,0)+IF(R$3="",1,0)&gt;=1,1,0),IF(IF('卡片raw data'!D$1:D$1000=R$4,1,0)+IF(R$4="",1,0)&gt;=1,1,0),IF(IF('卡片raw data'!E$1:E$1000=R$5,1,0)+IF(R$5="",1,0)&gt;=1,1,0))</f>
        <v>0</v>
      </c>
      <c r="Y880" s="1307">
        <f t="shared" si="66"/>
        <v>16</v>
      </c>
      <c r="Z880" s="1307">
        <f t="shared" si="67"/>
        <v>0</v>
      </c>
      <c r="AA880" s="1307">
        <f t="shared" si="68"/>
        <v>16</v>
      </c>
      <c r="AB880" s="1307">
        <f t="shared" si="69"/>
        <v>0</v>
      </c>
    </row>
    <row r="881" spans="20:28">
      <c r="T881" s="1077">
        <v>36</v>
      </c>
      <c r="U881" s="1077">
        <f t="shared" si="65"/>
        <v>47</v>
      </c>
      <c r="V881" s="1077">
        <v>17</v>
      </c>
      <c r="W881" s="1077">
        <f t="array" ref="W881">SUMPRODUCT(IF('卡片raw data'!BM$1:BM$1000=T881,1,0),IF('卡片raw data'!BO$1:BO$1000=V881,1,0),IF(IF('卡片raw data'!C$1:C$1000=R$3,1,0)+IF(R$3="",1,0)&gt;=1,1,0),IF(IF('卡片raw data'!D$1:D$1000=R$4,1,0)+IF(R$4="",1,0)&gt;=1,1,0),IF(IF('卡片raw data'!E$1:E$1000=R$5,1,0)+IF(R$5="",1,0)&gt;=1,1,0))</f>
        <v>0</v>
      </c>
      <c r="Y881" s="1307">
        <f t="shared" si="66"/>
        <v>17</v>
      </c>
      <c r="Z881" s="1307">
        <f t="shared" si="67"/>
        <v>0</v>
      </c>
      <c r="AA881" s="1307">
        <f t="shared" si="68"/>
        <v>17</v>
      </c>
      <c r="AB881" s="1307">
        <f t="shared" si="69"/>
        <v>0</v>
      </c>
    </row>
    <row r="882" spans="20:28">
      <c r="T882" s="1077">
        <v>36</v>
      </c>
      <c r="U882" s="1077">
        <f t="shared" si="65"/>
        <v>46</v>
      </c>
      <c r="V882" s="1077">
        <v>18</v>
      </c>
      <c r="W882" s="1077">
        <f t="array" ref="W882">SUMPRODUCT(IF('卡片raw data'!BM$1:BM$1000=T882,1,0),IF('卡片raw data'!BO$1:BO$1000=V882,1,0),IF(IF('卡片raw data'!C$1:C$1000=R$3,1,0)+IF(R$3="",1,0)&gt;=1,1,0),IF(IF('卡片raw data'!D$1:D$1000=R$4,1,0)+IF(R$4="",1,0)&gt;=1,1,0),IF(IF('卡片raw data'!E$1:E$1000=R$5,1,0)+IF(R$5="",1,0)&gt;=1,1,0))</f>
        <v>0</v>
      </c>
      <c r="Y882" s="1307">
        <f t="shared" si="66"/>
        <v>18</v>
      </c>
      <c r="Z882" s="1307">
        <f t="shared" si="67"/>
        <v>0</v>
      </c>
      <c r="AA882" s="1307">
        <f t="shared" si="68"/>
        <v>18</v>
      </c>
      <c r="AB882" s="1307">
        <f t="shared" si="69"/>
        <v>0</v>
      </c>
    </row>
    <row r="883" spans="20:28">
      <c r="T883" s="1077">
        <v>36</v>
      </c>
      <c r="U883" s="1077">
        <f t="shared" si="65"/>
        <v>45</v>
      </c>
      <c r="V883" s="1077">
        <v>19</v>
      </c>
      <c r="W883" s="1077">
        <f t="array" ref="W883">SUMPRODUCT(IF('卡片raw data'!BM$1:BM$1000=T883,1,0),IF('卡片raw data'!BO$1:BO$1000=V883,1,0),IF(IF('卡片raw data'!C$1:C$1000=R$3,1,0)+IF(R$3="",1,0)&gt;=1,1,0),IF(IF('卡片raw data'!D$1:D$1000=R$4,1,0)+IF(R$4="",1,0)&gt;=1,1,0),IF(IF('卡片raw data'!E$1:E$1000=R$5,1,0)+IF(R$5="",1,0)&gt;=1,1,0))</f>
        <v>0</v>
      </c>
      <c r="Y883" s="1307">
        <f t="shared" si="66"/>
        <v>19</v>
      </c>
      <c r="Z883" s="1307">
        <f t="shared" si="67"/>
        <v>0</v>
      </c>
      <c r="AA883" s="1307">
        <f t="shared" si="68"/>
        <v>19</v>
      </c>
      <c r="AB883" s="1307">
        <f t="shared" si="69"/>
        <v>0</v>
      </c>
    </row>
    <row r="884" spans="20:28">
      <c r="T884" s="1077">
        <v>36</v>
      </c>
      <c r="U884" s="1077">
        <f t="shared" si="65"/>
        <v>44</v>
      </c>
      <c r="V884" s="1077">
        <v>20</v>
      </c>
      <c r="W884" s="1077">
        <f t="array" ref="W884">SUMPRODUCT(IF('卡片raw data'!BM$1:BM$1000=T884,1,0),IF('卡片raw data'!BO$1:BO$1000=V884,1,0),IF(IF('卡片raw data'!C$1:C$1000=R$3,1,0)+IF(R$3="",1,0)&gt;=1,1,0),IF(IF('卡片raw data'!D$1:D$1000=R$4,1,0)+IF(R$4="",1,0)&gt;=1,1,0),IF(IF('卡片raw data'!E$1:E$1000=R$5,1,0)+IF(R$5="",1,0)&gt;=1,1,0))</f>
        <v>0</v>
      </c>
      <c r="Y884" s="1307">
        <f t="shared" si="66"/>
        <v>20</v>
      </c>
      <c r="Z884" s="1307">
        <f t="shared" si="67"/>
        <v>0</v>
      </c>
      <c r="AA884" s="1307">
        <f t="shared" si="68"/>
        <v>20</v>
      </c>
      <c r="AB884" s="1307">
        <f t="shared" si="69"/>
        <v>0</v>
      </c>
    </row>
    <row r="885" spans="20:28">
      <c r="T885" s="1077">
        <v>36</v>
      </c>
      <c r="U885" s="1077">
        <f t="shared" si="65"/>
        <v>43</v>
      </c>
      <c r="V885" s="1077">
        <v>21</v>
      </c>
      <c r="W885" s="1077">
        <f t="array" ref="W885">SUMPRODUCT(IF('卡片raw data'!BM$1:BM$1000=T885,1,0),IF('卡片raw data'!BO$1:BO$1000=V885,1,0),IF(IF('卡片raw data'!C$1:C$1000=R$3,1,0)+IF(R$3="",1,0)&gt;=1,1,0),IF(IF('卡片raw data'!D$1:D$1000=R$4,1,0)+IF(R$4="",1,0)&gt;=1,1,0),IF(IF('卡片raw data'!E$1:E$1000=R$5,1,0)+IF(R$5="",1,0)&gt;=1,1,0))</f>
        <v>0</v>
      </c>
      <c r="Y885" s="1307">
        <f t="shared" si="66"/>
        <v>21</v>
      </c>
      <c r="Z885" s="1307">
        <f t="shared" si="67"/>
        <v>0</v>
      </c>
      <c r="AA885" s="1307">
        <f t="shared" si="68"/>
        <v>21</v>
      </c>
      <c r="AB885" s="1307">
        <f t="shared" si="69"/>
        <v>0</v>
      </c>
    </row>
    <row r="886" spans="20:28">
      <c r="T886" s="1077">
        <v>36</v>
      </c>
      <c r="U886" s="1077">
        <f t="shared" si="65"/>
        <v>42</v>
      </c>
      <c r="V886" s="1077">
        <v>22</v>
      </c>
      <c r="W886" s="1077">
        <f t="array" ref="W886">SUMPRODUCT(IF('卡片raw data'!BM$1:BM$1000=T886,1,0),IF('卡片raw data'!BO$1:BO$1000=V886,1,0),IF(IF('卡片raw data'!C$1:C$1000=R$3,1,0)+IF(R$3="",1,0)&gt;=1,1,0),IF(IF('卡片raw data'!D$1:D$1000=R$4,1,0)+IF(R$4="",1,0)&gt;=1,1,0),IF(IF('卡片raw data'!E$1:E$1000=R$5,1,0)+IF(R$5="",1,0)&gt;=1,1,0))</f>
        <v>0</v>
      </c>
      <c r="Y886" s="1307">
        <f t="shared" si="66"/>
        <v>22</v>
      </c>
      <c r="Z886" s="1307">
        <f t="shared" si="67"/>
        <v>0</v>
      </c>
      <c r="AA886" s="1307">
        <f t="shared" si="68"/>
        <v>22</v>
      </c>
      <c r="AB886" s="1307">
        <f t="shared" si="69"/>
        <v>0</v>
      </c>
    </row>
    <row r="887" spans="20:28">
      <c r="T887" s="1077">
        <v>36</v>
      </c>
      <c r="U887" s="1077">
        <f t="shared" si="65"/>
        <v>41</v>
      </c>
      <c r="V887" s="1077">
        <v>23</v>
      </c>
      <c r="W887" s="1077">
        <f t="array" ref="W887">SUMPRODUCT(IF('卡片raw data'!BM$1:BM$1000=T887,1,0),IF('卡片raw data'!BO$1:BO$1000=V887,1,0),IF(IF('卡片raw data'!C$1:C$1000=R$3,1,0)+IF(R$3="",1,0)&gt;=1,1,0),IF(IF('卡片raw data'!D$1:D$1000=R$4,1,0)+IF(R$4="",1,0)&gt;=1,1,0),IF(IF('卡片raw data'!E$1:E$1000=R$5,1,0)+IF(R$5="",1,0)&gt;=1,1,0))</f>
        <v>0</v>
      </c>
      <c r="Y887" s="1307">
        <f t="shared" si="66"/>
        <v>23</v>
      </c>
      <c r="Z887" s="1307">
        <f t="shared" si="67"/>
        <v>0</v>
      </c>
      <c r="AA887" s="1307">
        <f t="shared" si="68"/>
        <v>23</v>
      </c>
      <c r="AB887" s="1307">
        <f t="shared" si="69"/>
        <v>0</v>
      </c>
    </row>
    <row r="888" spans="20:28">
      <c r="T888" s="1077">
        <v>36</v>
      </c>
      <c r="U888" s="1077">
        <f t="shared" si="65"/>
        <v>40</v>
      </c>
      <c r="V888" s="1077">
        <v>24</v>
      </c>
      <c r="W888" s="1077">
        <f t="array" ref="W888">SUMPRODUCT(IF('卡片raw data'!BM$1:BM$1000=T888,1,0),IF('卡片raw data'!BO$1:BO$1000=V888,1,0),IF(IF('卡片raw data'!C$1:C$1000=R$3,1,0)+IF(R$3="",1,0)&gt;=1,1,0),IF(IF('卡片raw data'!D$1:D$1000=R$4,1,0)+IF(R$4="",1,0)&gt;=1,1,0),IF(IF('卡片raw data'!E$1:E$1000=R$5,1,0)+IF(R$5="",1,0)&gt;=1,1,0))</f>
        <v>0</v>
      </c>
      <c r="Y888" s="1307">
        <f t="shared" si="66"/>
        <v>24</v>
      </c>
      <c r="Z888" s="1307">
        <f t="shared" si="67"/>
        <v>0</v>
      </c>
      <c r="AA888" s="1307">
        <f t="shared" si="68"/>
        <v>24</v>
      </c>
      <c r="AB888" s="1307">
        <f t="shared" si="69"/>
        <v>0</v>
      </c>
    </row>
    <row r="889" spans="20:28">
      <c r="T889" s="1077">
        <v>36</v>
      </c>
      <c r="U889" s="1077">
        <f t="shared" si="65"/>
        <v>39</v>
      </c>
      <c r="V889" s="1077">
        <v>25</v>
      </c>
      <c r="W889" s="1077">
        <f t="array" ref="W889">SUMPRODUCT(IF('卡片raw data'!BM$1:BM$1000=T889,1,0),IF('卡片raw data'!BO$1:BO$1000=V889,1,0),IF(IF('卡片raw data'!C$1:C$1000=R$3,1,0)+IF(R$3="",1,0)&gt;=1,1,0),IF(IF('卡片raw data'!D$1:D$1000=R$4,1,0)+IF(R$4="",1,0)&gt;=1,1,0),IF(IF('卡片raw data'!E$1:E$1000=R$5,1,0)+IF(R$5="",1,0)&gt;=1,1,0))</f>
        <v>0</v>
      </c>
      <c r="Y889" s="1307">
        <f t="shared" si="66"/>
        <v>25</v>
      </c>
      <c r="Z889" s="1307">
        <f t="shared" si="67"/>
        <v>0</v>
      </c>
      <c r="AA889" s="1307">
        <f t="shared" si="68"/>
        <v>25</v>
      </c>
      <c r="AB889" s="1307">
        <f t="shared" si="69"/>
        <v>0</v>
      </c>
    </row>
    <row r="890" spans="20:28">
      <c r="T890" s="1077">
        <v>36</v>
      </c>
      <c r="U890" s="1077">
        <f t="shared" si="65"/>
        <v>38</v>
      </c>
      <c r="V890" s="1077">
        <v>26</v>
      </c>
      <c r="W890" s="1077">
        <f t="array" ref="W890">SUMPRODUCT(IF('卡片raw data'!BM$1:BM$1000=T890,1,0),IF('卡片raw data'!BO$1:BO$1000=V890,1,0),IF(IF('卡片raw data'!C$1:C$1000=R$3,1,0)+IF(R$3="",1,0)&gt;=1,1,0),IF(IF('卡片raw data'!D$1:D$1000=R$4,1,0)+IF(R$4="",1,0)&gt;=1,1,0),IF(IF('卡片raw data'!E$1:E$1000=R$5,1,0)+IF(R$5="",1,0)&gt;=1,1,0))</f>
        <v>0</v>
      </c>
      <c r="Y890" s="1307">
        <f t="shared" si="66"/>
        <v>26</v>
      </c>
      <c r="Z890" s="1307">
        <f t="shared" si="67"/>
        <v>0</v>
      </c>
      <c r="AA890" s="1307">
        <f t="shared" si="68"/>
        <v>26</v>
      </c>
      <c r="AB890" s="1307">
        <f t="shared" si="69"/>
        <v>0</v>
      </c>
    </row>
    <row r="891" spans="20:28">
      <c r="T891" s="1077">
        <v>36</v>
      </c>
      <c r="U891" s="1077">
        <f t="shared" si="65"/>
        <v>37</v>
      </c>
      <c r="V891" s="1077">
        <v>27</v>
      </c>
      <c r="W891" s="1077">
        <f t="array" ref="W891">SUMPRODUCT(IF('卡片raw data'!BM$1:BM$1000=T891,1,0),IF('卡片raw data'!BO$1:BO$1000=V891,1,0),IF(IF('卡片raw data'!C$1:C$1000=R$3,1,0)+IF(R$3="",1,0)&gt;=1,1,0),IF(IF('卡片raw data'!D$1:D$1000=R$4,1,0)+IF(R$4="",1,0)&gt;=1,1,0),IF(IF('卡片raw data'!E$1:E$1000=R$5,1,0)+IF(R$5="",1,0)&gt;=1,1,0))</f>
        <v>0</v>
      </c>
      <c r="Y891" s="1307">
        <f t="shared" si="66"/>
        <v>27</v>
      </c>
      <c r="Z891" s="1307">
        <f t="shared" si="67"/>
        <v>0</v>
      </c>
      <c r="AA891" s="1307">
        <f t="shared" si="68"/>
        <v>27</v>
      </c>
      <c r="AB891" s="1307">
        <f t="shared" si="69"/>
        <v>0</v>
      </c>
    </row>
    <row r="892" spans="20:28">
      <c r="T892" s="1077">
        <v>36</v>
      </c>
      <c r="U892" s="1077">
        <f t="shared" si="65"/>
        <v>36</v>
      </c>
      <c r="V892" s="1077">
        <v>28</v>
      </c>
      <c r="W892" s="1077">
        <f t="array" ref="W892">SUMPRODUCT(IF('卡片raw data'!BM$1:BM$1000=T892,1,0),IF('卡片raw data'!BO$1:BO$1000=V892,1,0),IF(IF('卡片raw data'!C$1:C$1000=R$3,1,0)+IF(R$3="",1,0)&gt;=1,1,0),IF(IF('卡片raw data'!D$1:D$1000=R$4,1,0)+IF(R$4="",1,0)&gt;=1,1,0),IF(IF('卡片raw data'!E$1:E$1000=R$5,1,0)+IF(R$5="",1,0)&gt;=1,1,0))</f>
        <v>0</v>
      </c>
      <c r="Y892" s="1307">
        <f t="shared" si="66"/>
        <v>28</v>
      </c>
      <c r="Z892" s="1307">
        <f t="shared" si="67"/>
        <v>0</v>
      </c>
      <c r="AA892" s="1307">
        <f t="shared" si="68"/>
        <v>28</v>
      </c>
      <c r="AB892" s="1307">
        <f t="shared" si="69"/>
        <v>0</v>
      </c>
    </row>
    <row r="893" spans="20:28">
      <c r="T893" s="1077">
        <v>36</v>
      </c>
      <c r="U893" s="1077">
        <f t="shared" si="65"/>
        <v>35</v>
      </c>
      <c r="V893" s="1077">
        <v>29</v>
      </c>
      <c r="W893" s="1077">
        <f t="array" ref="W893">SUMPRODUCT(IF('卡片raw data'!BM$1:BM$1000=T893,1,0),IF('卡片raw data'!BO$1:BO$1000=V893,1,0),IF(IF('卡片raw data'!C$1:C$1000=R$3,1,0)+IF(R$3="",1,0)&gt;=1,1,0),IF(IF('卡片raw data'!D$1:D$1000=R$4,1,0)+IF(R$4="",1,0)&gt;=1,1,0),IF(IF('卡片raw data'!E$1:E$1000=R$5,1,0)+IF(R$5="",1,0)&gt;=1,1,0))</f>
        <v>1</v>
      </c>
      <c r="Y893" s="1307">
        <f t="shared" si="66"/>
        <v>29</v>
      </c>
      <c r="Z893" s="1307">
        <f t="shared" si="67"/>
        <v>0</v>
      </c>
      <c r="AA893" s="1307">
        <f t="shared" si="68"/>
        <v>29</v>
      </c>
      <c r="AB893" s="1307">
        <f t="shared" si="69"/>
        <v>1</v>
      </c>
    </row>
    <row r="894" spans="20:28">
      <c r="T894" s="1077">
        <v>36</v>
      </c>
      <c r="U894" s="1077">
        <f t="shared" si="65"/>
        <v>34</v>
      </c>
      <c r="V894" s="1077">
        <v>30</v>
      </c>
      <c r="W894" s="1077">
        <f t="array" ref="W894">SUMPRODUCT(IF('卡片raw data'!BM$1:BM$1000=T894,1,0),IF('卡片raw data'!BO$1:BO$1000=V894,1,0),IF(IF('卡片raw data'!C$1:C$1000=R$3,1,0)+IF(R$3="",1,0)&gt;=1,1,0),IF(IF('卡片raw data'!D$1:D$1000=R$4,1,0)+IF(R$4="",1,0)&gt;=1,1,0),IF(IF('卡片raw data'!E$1:E$1000=R$5,1,0)+IF(R$5="",1,0)&gt;=1,1,0))</f>
        <v>0</v>
      </c>
      <c r="Y894" s="1307">
        <f t="shared" si="66"/>
        <v>30</v>
      </c>
      <c r="Z894" s="1307">
        <f t="shared" si="67"/>
        <v>0</v>
      </c>
      <c r="AA894" s="1307">
        <f t="shared" si="68"/>
        <v>30</v>
      </c>
      <c r="AB894" s="1307">
        <f t="shared" si="69"/>
        <v>0</v>
      </c>
    </row>
    <row r="895" spans="20:28">
      <c r="T895" s="1077">
        <v>36</v>
      </c>
      <c r="U895" s="1077">
        <f t="shared" si="65"/>
        <v>33</v>
      </c>
      <c r="V895" s="1077">
        <v>31</v>
      </c>
      <c r="W895" s="1077">
        <f t="array" ref="W895">SUMPRODUCT(IF('卡片raw data'!BM$1:BM$1000=T895,1,0),IF('卡片raw data'!BO$1:BO$1000=V895,1,0),IF(IF('卡片raw data'!C$1:C$1000=R$3,1,0)+IF(R$3="",1,0)&gt;=1,1,0),IF(IF('卡片raw data'!D$1:D$1000=R$4,1,0)+IF(R$4="",1,0)&gt;=1,1,0),IF(IF('卡片raw data'!E$1:E$1000=R$5,1,0)+IF(R$5="",1,0)&gt;=1,1,0))</f>
        <v>0</v>
      </c>
      <c r="Y895" s="1307">
        <f t="shared" si="66"/>
        <v>31</v>
      </c>
      <c r="Z895" s="1307">
        <f t="shared" si="67"/>
        <v>0</v>
      </c>
      <c r="AA895" s="1307">
        <f t="shared" si="68"/>
        <v>31</v>
      </c>
      <c r="AB895" s="1307">
        <f t="shared" si="69"/>
        <v>0</v>
      </c>
    </row>
    <row r="896" spans="20:28">
      <c r="T896" s="1077">
        <v>36</v>
      </c>
      <c r="U896" s="1077">
        <f t="shared" si="65"/>
        <v>32</v>
      </c>
      <c r="V896" s="1077">
        <v>32</v>
      </c>
      <c r="W896" s="1077">
        <f t="array" ref="W896">SUMPRODUCT(IF('卡片raw data'!BM$1:BM$1000=T896,1,0),IF('卡片raw data'!BO$1:BO$1000=V896,1,0),IF(IF('卡片raw data'!C$1:C$1000=R$3,1,0)+IF(R$3="",1,0)&gt;=1,1,0),IF(IF('卡片raw data'!D$1:D$1000=R$4,1,0)+IF(R$4="",1,0)&gt;=1,1,0),IF(IF('卡片raw data'!E$1:E$1000=R$5,1,0)+IF(R$5="",1,0)&gt;=1,1,0))</f>
        <v>0</v>
      </c>
      <c r="Y896" s="1307">
        <f t="shared" si="66"/>
        <v>32</v>
      </c>
      <c r="Z896" s="1307">
        <f t="shared" si="67"/>
        <v>0</v>
      </c>
      <c r="AA896" s="1307">
        <f t="shared" si="68"/>
        <v>32</v>
      </c>
      <c r="AB896" s="1307">
        <f t="shared" si="69"/>
        <v>0</v>
      </c>
    </row>
    <row r="897" spans="20:28">
      <c r="T897" s="1077">
        <v>36</v>
      </c>
      <c r="U897" s="1077">
        <f t="shared" si="65"/>
        <v>31</v>
      </c>
      <c r="V897" s="1077">
        <v>33</v>
      </c>
      <c r="W897" s="1077">
        <f t="array" ref="W897">SUMPRODUCT(IF('卡片raw data'!BM$1:BM$1000=T897,1,0),IF('卡片raw data'!BO$1:BO$1000=V897,1,0),IF(IF('卡片raw data'!C$1:C$1000=R$3,1,0)+IF(R$3="",1,0)&gt;=1,1,0),IF(IF('卡片raw data'!D$1:D$1000=R$4,1,0)+IF(R$4="",1,0)&gt;=1,1,0),IF(IF('卡片raw data'!E$1:E$1000=R$5,1,0)+IF(R$5="",1,0)&gt;=1,1,0))</f>
        <v>0</v>
      </c>
      <c r="Y897" s="1307">
        <f t="shared" si="66"/>
        <v>33</v>
      </c>
      <c r="Z897" s="1307">
        <f t="shared" si="67"/>
        <v>0</v>
      </c>
      <c r="AA897" s="1307">
        <f t="shared" si="68"/>
        <v>33</v>
      </c>
      <c r="AB897" s="1307">
        <f t="shared" si="69"/>
        <v>0</v>
      </c>
    </row>
    <row r="898" spans="20:28">
      <c r="T898" s="1077">
        <v>36</v>
      </c>
      <c r="U898" s="1077">
        <f t="shared" si="65"/>
        <v>30</v>
      </c>
      <c r="V898" s="1077">
        <v>34</v>
      </c>
      <c r="W898" s="1077">
        <f t="array" ref="W898">SUMPRODUCT(IF('卡片raw data'!BM$1:BM$1000=T898,1,0),IF('卡片raw data'!BO$1:BO$1000=V898,1,0),IF(IF('卡片raw data'!C$1:C$1000=R$3,1,0)+IF(R$3="",1,0)&gt;=1,1,0),IF(IF('卡片raw data'!D$1:D$1000=R$4,1,0)+IF(R$4="",1,0)&gt;=1,1,0),IF(IF('卡片raw data'!E$1:E$1000=R$5,1,0)+IF(R$5="",1,0)&gt;=1,1,0))</f>
        <v>3</v>
      </c>
      <c r="Y898" s="1307">
        <f t="shared" si="66"/>
        <v>34</v>
      </c>
      <c r="Z898" s="1307">
        <f t="shared" si="67"/>
        <v>0</v>
      </c>
      <c r="AA898" s="1307">
        <f t="shared" si="68"/>
        <v>34</v>
      </c>
      <c r="AB898" s="1307">
        <f t="shared" si="69"/>
        <v>3</v>
      </c>
    </row>
    <row r="899" spans="20:28">
      <c r="T899" s="1077">
        <v>36</v>
      </c>
      <c r="U899" s="1077">
        <f t="shared" si="65"/>
        <v>29</v>
      </c>
      <c r="V899" s="1077">
        <v>35</v>
      </c>
      <c r="W899" s="1077">
        <f t="array" ref="W899">SUMPRODUCT(IF('卡片raw data'!BM$1:BM$1000=T899,1,0),IF('卡片raw data'!BO$1:BO$1000=V899,1,0),IF(IF('卡片raw data'!C$1:C$1000=R$3,1,0)+IF(R$3="",1,0)&gt;=1,1,0),IF(IF('卡片raw data'!D$1:D$1000=R$4,1,0)+IF(R$4="",1,0)&gt;=1,1,0),IF(IF('卡片raw data'!E$1:E$1000=R$5,1,0)+IF(R$5="",1,0)&gt;=1,1,0))</f>
        <v>0</v>
      </c>
      <c r="Y899" s="1307">
        <f t="shared" si="66"/>
        <v>35</v>
      </c>
      <c r="Z899" s="1307">
        <f t="shared" si="67"/>
        <v>0</v>
      </c>
      <c r="AA899" s="1307">
        <f t="shared" si="68"/>
        <v>35</v>
      </c>
      <c r="AB899" s="1307">
        <f t="shared" si="69"/>
        <v>0</v>
      </c>
    </row>
    <row r="900" spans="20:28">
      <c r="T900" s="1077">
        <v>36</v>
      </c>
      <c r="U900" s="1077">
        <f t="shared" ref="U900:U963" si="70">100-T900-V900</f>
        <v>28</v>
      </c>
      <c r="V900" s="1077">
        <v>36</v>
      </c>
      <c r="W900" s="1077">
        <f t="array" ref="W900">SUMPRODUCT(IF('卡片raw data'!BM$1:BM$1000=T900,1,0),IF('卡片raw data'!BO$1:BO$1000=V900,1,0),IF(IF('卡片raw data'!C$1:C$1000=R$3,1,0)+IF(R$3="",1,0)&gt;=1,1,0),IF(IF('卡片raw data'!D$1:D$1000=R$4,1,0)+IF(R$4="",1,0)&gt;=1,1,0),IF(IF('卡片raw data'!E$1:E$1000=R$5,1,0)+IF(R$5="",1,0)&gt;=1,1,0))</f>
        <v>0</v>
      </c>
      <c r="Y900" s="1307">
        <f t="shared" ref="Y900:Y963" si="71">V900</f>
        <v>36</v>
      </c>
      <c r="Z900" s="1307">
        <f t="shared" ref="Z900:Z963" si="72">IF(AND(V900&gt;U900,V900&gt;T900),W900,0)</f>
        <v>0</v>
      </c>
      <c r="AA900" s="1307">
        <f t="shared" ref="AA900:AA963" si="73">V900</f>
        <v>36</v>
      </c>
      <c r="AB900" s="1307">
        <f t="shared" ref="AB900:AB963" si="74">W900-Z900</f>
        <v>0</v>
      </c>
    </row>
    <row r="901" spans="20:28">
      <c r="T901" s="1077">
        <v>36</v>
      </c>
      <c r="U901" s="1077">
        <f t="shared" si="70"/>
        <v>27</v>
      </c>
      <c r="V901" s="1077">
        <v>37</v>
      </c>
      <c r="W901" s="1077">
        <f t="array" ref="W901">SUMPRODUCT(IF('卡片raw data'!BM$1:BM$1000=T901,1,0),IF('卡片raw data'!BO$1:BO$1000=V901,1,0),IF(IF('卡片raw data'!C$1:C$1000=R$3,1,0)+IF(R$3="",1,0)&gt;=1,1,0),IF(IF('卡片raw data'!D$1:D$1000=R$4,1,0)+IF(R$4="",1,0)&gt;=1,1,0),IF(IF('卡片raw data'!E$1:E$1000=R$5,1,0)+IF(R$5="",1,0)&gt;=1,1,0))</f>
        <v>0</v>
      </c>
      <c r="Y901" s="1307">
        <f t="shared" si="71"/>
        <v>37</v>
      </c>
      <c r="Z901" s="1307">
        <f t="shared" si="72"/>
        <v>0</v>
      </c>
      <c r="AA901" s="1307">
        <f t="shared" si="73"/>
        <v>37</v>
      </c>
      <c r="AB901" s="1307">
        <f t="shared" si="74"/>
        <v>0</v>
      </c>
    </row>
    <row r="902" spans="20:28">
      <c r="T902" s="1077">
        <v>36</v>
      </c>
      <c r="U902" s="1077">
        <f t="shared" si="70"/>
        <v>26</v>
      </c>
      <c r="V902" s="1077">
        <v>38</v>
      </c>
      <c r="W902" s="1077">
        <f t="array" ref="W902">SUMPRODUCT(IF('卡片raw data'!BM$1:BM$1000=T902,1,0),IF('卡片raw data'!BO$1:BO$1000=V902,1,0),IF(IF('卡片raw data'!C$1:C$1000=R$3,1,0)+IF(R$3="",1,0)&gt;=1,1,0),IF(IF('卡片raw data'!D$1:D$1000=R$4,1,0)+IF(R$4="",1,0)&gt;=1,1,0),IF(IF('卡片raw data'!E$1:E$1000=R$5,1,0)+IF(R$5="",1,0)&gt;=1,1,0))</f>
        <v>2</v>
      </c>
      <c r="Y902" s="1307">
        <f t="shared" si="71"/>
        <v>38</v>
      </c>
      <c r="Z902" s="1307">
        <f t="shared" si="72"/>
        <v>2</v>
      </c>
      <c r="AA902" s="1307">
        <f t="shared" si="73"/>
        <v>38</v>
      </c>
      <c r="AB902" s="1307">
        <f t="shared" si="74"/>
        <v>0</v>
      </c>
    </row>
    <row r="903" spans="20:28">
      <c r="T903" s="1077">
        <v>36</v>
      </c>
      <c r="U903" s="1077">
        <f t="shared" si="70"/>
        <v>25</v>
      </c>
      <c r="V903" s="1077">
        <v>39</v>
      </c>
      <c r="W903" s="1077">
        <f t="array" ref="W903">SUMPRODUCT(IF('卡片raw data'!BM$1:BM$1000=T903,1,0),IF('卡片raw data'!BO$1:BO$1000=V903,1,0),IF(IF('卡片raw data'!C$1:C$1000=R$3,1,0)+IF(R$3="",1,0)&gt;=1,1,0),IF(IF('卡片raw data'!D$1:D$1000=R$4,1,0)+IF(R$4="",1,0)&gt;=1,1,0),IF(IF('卡片raw data'!E$1:E$1000=R$5,1,0)+IF(R$5="",1,0)&gt;=1,1,0))</f>
        <v>0</v>
      </c>
      <c r="Y903" s="1307">
        <f t="shared" si="71"/>
        <v>39</v>
      </c>
      <c r="Z903" s="1307">
        <f t="shared" si="72"/>
        <v>0</v>
      </c>
      <c r="AA903" s="1307">
        <f t="shared" si="73"/>
        <v>39</v>
      </c>
      <c r="AB903" s="1307">
        <f t="shared" si="74"/>
        <v>0</v>
      </c>
    </row>
    <row r="904" spans="20:28">
      <c r="T904" s="1077">
        <v>36</v>
      </c>
      <c r="U904" s="1077">
        <f t="shared" si="70"/>
        <v>24</v>
      </c>
      <c r="V904" s="1077">
        <v>40</v>
      </c>
      <c r="W904" s="1077">
        <f t="array" ref="W904">SUMPRODUCT(IF('卡片raw data'!BM$1:BM$1000=T904,1,0),IF('卡片raw data'!BO$1:BO$1000=V904,1,0),IF(IF('卡片raw data'!C$1:C$1000=R$3,1,0)+IF(R$3="",1,0)&gt;=1,1,0),IF(IF('卡片raw data'!D$1:D$1000=R$4,1,0)+IF(R$4="",1,0)&gt;=1,1,0),IF(IF('卡片raw data'!E$1:E$1000=R$5,1,0)+IF(R$5="",1,0)&gt;=1,1,0))</f>
        <v>1</v>
      </c>
      <c r="Y904" s="1307">
        <f t="shared" si="71"/>
        <v>40</v>
      </c>
      <c r="Z904" s="1307">
        <f t="shared" si="72"/>
        <v>1</v>
      </c>
      <c r="AA904" s="1307">
        <f t="shared" si="73"/>
        <v>40</v>
      </c>
      <c r="AB904" s="1307">
        <f t="shared" si="74"/>
        <v>0</v>
      </c>
    </row>
    <row r="905" spans="20:28">
      <c r="T905" s="1077">
        <v>36</v>
      </c>
      <c r="U905" s="1077">
        <f t="shared" si="70"/>
        <v>23</v>
      </c>
      <c r="V905" s="1077">
        <v>41</v>
      </c>
      <c r="W905" s="1077">
        <f t="array" ref="W905">SUMPRODUCT(IF('卡片raw data'!BM$1:BM$1000=T905,1,0),IF('卡片raw data'!BO$1:BO$1000=V905,1,0),IF(IF('卡片raw data'!C$1:C$1000=R$3,1,0)+IF(R$3="",1,0)&gt;=1,1,0),IF(IF('卡片raw data'!D$1:D$1000=R$4,1,0)+IF(R$4="",1,0)&gt;=1,1,0),IF(IF('卡片raw data'!E$1:E$1000=R$5,1,0)+IF(R$5="",1,0)&gt;=1,1,0))</f>
        <v>4</v>
      </c>
      <c r="Y905" s="1307">
        <f t="shared" si="71"/>
        <v>41</v>
      </c>
      <c r="Z905" s="1307">
        <f t="shared" si="72"/>
        <v>4</v>
      </c>
      <c r="AA905" s="1307">
        <f t="shared" si="73"/>
        <v>41</v>
      </c>
      <c r="AB905" s="1307">
        <f t="shared" si="74"/>
        <v>0</v>
      </c>
    </row>
    <row r="906" spans="20:28">
      <c r="T906" s="1077">
        <v>36</v>
      </c>
      <c r="U906" s="1077">
        <f t="shared" si="70"/>
        <v>22</v>
      </c>
      <c r="V906" s="1077">
        <v>42</v>
      </c>
      <c r="W906" s="1077">
        <f t="array" ref="W906">SUMPRODUCT(IF('卡片raw data'!BM$1:BM$1000=T906,1,0),IF('卡片raw data'!BO$1:BO$1000=V906,1,0),IF(IF('卡片raw data'!C$1:C$1000=R$3,1,0)+IF(R$3="",1,0)&gt;=1,1,0),IF(IF('卡片raw data'!D$1:D$1000=R$4,1,0)+IF(R$4="",1,0)&gt;=1,1,0),IF(IF('卡片raw data'!E$1:E$1000=R$5,1,0)+IF(R$5="",1,0)&gt;=1,1,0))</f>
        <v>5</v>
      </c>
      <c r="Y906" s="1307">
        <f t="shared" si="71"/>
        <v>42</v>
      </c>
      <c r="Z906" s="1307">
        <f t="shared" si="72"/>
        <v>5</v>
      </c>
      <c r="AA906" s="1307">
        <f t="shared" si="73"/>
        <v>42</v>
      </c>
      <c r="AB906" s="1307">
        <f t="shared" si="74"/>
        <v>0</v>
      </c>
    </row>
    <row r="907" spans="20:28">
      <c r="T907" s="1077">
        <v>36</v>
      </c>
      <c r="U907" s="1077">
        <f t="shared" si="70"/>
        <v>21</v>
      </c>
      <c r="V907" s="1077">
        <v>43</v>
      </c>
      <c r="W907" s="1077">
        <f t="array" ref="W907">SUMPRODUCT(IF('卡片raw data'!BM$1:BM$1000=T907,1,0),IF('卡片raw data'!BO$1:BO$1000=V907,1,0),IF(IF('卡片raw data'!C$1:C$1000=R$3,1,0)+IF(R$3="",1,0)&gt;=1,1,0),IF(IF('卡片raw data'!D$1:D$1000=R$4,1,0)+IF(R$4="",1,0)&gt;=1,1,0),IF(IF('卡片raw data'!E$1:E$1000=R$5,1,0)+IF(R$5="",1,0)&gt;=1,1,0))</f>
        <v>1</v>
      </c>
      <c r="Y907" s="1307">
        <f t="shared" si="71"/>
        <v>43</v>
      </c>
      <c r="Z907" s="1307">
        <f t="shared" si="72"/>
        <v>1</v>
      </c>
      <c r="AA907" s="1307">
        <f t="shared" si="73"/>
        <v>43</v>
      </c>
      <c r="AB907" s="1307">
        <f t="shared" si="74"/>
        <v>0</v>
      </c>
    </row>
    <row r="908" spans="20:28">
      <c r="T908" s="1077">
        <v>36</v>
      </c>
      <c r="U908" s="1077">
        <f t="shared" si="70"/>
        <v>20</v>
      </c>
      <c r="V908" s="1077">
        <v>44</v>
      </c>
      <c r="W908" s="1077">
        <f t="array" ref="W908">SUMPRODUCT(IF('卡片raw data'!BM$1:BM$1000=T908,1,0),IF('卡片raw data'!BO$1:BO$1000=V908,1,0),IF(IF('卡片raw data'!C$1:C$1000=R$3,1,0)+IF(R$3="",1,0)&gt;=1,1,0),IF(IF('卡片raw data'!D$1:D$1000=R$4,1,0)+IF(R$4="",1,0)&gt;=1,1,0),IF(IF('卡片raw data'!E$1:E$1000=R$5,1,0)+IF(R$5="",1,0)&gt;=1,1,0))</f>
        <v>1</v>
      </c>
      <c r="Y908" s="1307">
        <f t="shared" si="71"/>
        <v>44</v>
      </c>
      <c r="Z908" s="1307">
        <f t="shared" si="72"/>
        <v>1</v>
      </c>
      <c r="AA908" s="1307">
        <f t="shared" si="73"/>
        <v>44</v>
      </c>
      <c r="AB908" s="1307">
        <f t="shared" si="74"/>
        <v>0</v>
      </c>
    </row>
    <row r="909" spans="20:28">
      <c r="T909" s="1077">
        <v>36</v>
      </c>
      <c r="U909" s="1077">
        <f t="shared" si="70"/>
        <v>19</v>
      </c>
      <c r="V909" s="1077">
        <v>45</v>
      </c>
      <c r="W909" s="1077">
        <f t="array" ref="W909">SUMPRODUCT(IF('卡片raw data'!BM$1:BM$1000=T909,1,0),IF('卡片raw data'!BO$1:BO$1000=V909,1,0),IF(IF('卡片raw data'!C$1:C$1000=R$3,1,0)+IF(R$3="",1,0)&gt;=1,1,0),IF(IF('卡片raw data'!D$1:D$1000=R$4,1,0)+IF(R$4="",1,0)&gt;=1,1,0),IF(IF('卡片raw data'!E$1:E$1000=R$5,1,0)+IF(R$5="",1,0)&gt;=1,1,0))</f>
        <v>0</v>
      </c>
      <c r="Y909" s="1307">
        <f t="shared" si="71"/>
        <v>45</v>
      </c>
      <c r="Z909" s="1307">
        <f t="shared" si="72"/>
        <v>0</v>
      </c>
      <c r="AA909" s="1307">
        <f t="shared" si="73"/>
        <v>45</v>
      </c>
      <c r="AB909" s="1307">
        <f t="shared" si="74"/>
        <v>0</v>
      </c>
    </row>
    <row r="910" spans="20:28">
      <c r="T910" s="1077">
        <v>36</v>
      </c>
      <c r="U910" s="1077">
        <f t="shared" si="70"/>
        <v>18</v>
      </c>
      <c r="V910" s="1077">
        <v>46</v>
      </c>
      <c r="W910" s="1077">
        <f t="array" ref="W910">SUMPRODUCT(IF('卡片raw data'!BM$1:BM$1000=T910,1,0),IF('卡片raw data'!BO$1:BO$1000=V910,1,0),IF(IF('卡片raw data'!C$1:C$1000=R$3,1,0)+IF(R$3="",1,0)&gt;=1,1,0),IF(IF('卡片raw data'!D$1:D$1000=R$4,1,0)+IF(R$4="",1,0)&gt;=1,1,0),IF(IF('卡片raw data'!E$1:E$1000=R$5,1,0)+IF(R$5="",1,0)&gt;=1,1,0))</f>
        <v>0</v>
      </c>
      <c r="Y910" s="1307">
        <f t="shared" si="71"/>
        <v>46</v>
      </c>
      <c r="Z910" s="1307">
        <f t="shared" si="72"/>
        <v>0</v>
      </c>
      <c r="AA910" s="1307">
        <f t="shared" si="73"/>
        <v>46</v>
      </c>
      <c r="AB910" s="1307">
        <f t="shared" si="74"/>
        <v>0</v>
      </c>
    </row>
    <row r="911" spans="20:28">
      <c r="T911" s="1077">
        <v>36</v>
      </c>
      <c r="U911" s="1077">
        <f t="shared" si="70"/>
        <v>17</v>
      </c>
      <c r="V911" s="1077">
        <v>47</v>
      </c>
      <c r="W911" s="1077">
        <f t="array" ref="W911">SUMPRODUCT(IF('卡片raw data'!BM$1:BM$1000=T911,1,0),IF('卡片raw data'!BO$1:BO$1000=V911,1,0),IF(IF('卡片raw data'!C$1:C$1000=R$3,1,0)+IF(R$3="",1,0)&gt;=1,1,0),IF(IF('卡片raw data'!D$1:D$1000=R$4,1,0)+IF(R$4="",1,0)&gt;=1,1,0),IF(IF('卡片raw data'!E$1:E$1000=R$5,1,0)+IF(R$5="",1,0)&gt;=1,1,0))</f>
        <v>0</v>
      </c>
      <c r="Y911" s="1307">
        <f t="shared" si="71"/>
        <v>47</v>
      </c>
      <c r="Z911" s="1307">
        <f t="shared" si="72"/>
        <v>0</v>
      </c>
      <c r="AA911" s="1307">
        <f t="shared" si="73"/>
        <v>47</v>
      </c>
      <c r="AB911" s="1307">
        <f t="shared" si="74"/>
        <v>0</v>
      </c>
    </row>
    <row r="912" spans="20:28">
      <c r="T912" s="1077">
        <v>36</v>
      </c>
      <c r="U912" s="1077">
        <f t="shared" si="70"/>
        <v>16</v>
      </c>
      <c r="V912" s="1077">
        <v>48</v>
      </c>
      <c r="W912" s="1077">
        <f t="array" ref="W912">SUMPRODUCT(IF('卡片raw data'!BM$1:BM$1000=T912,1,0),IF('卡片raw data'!BO$1:BO$1000=V912,1,0),IF(IF('卡片raw data'!C$1:C$1000=R$3,1,0)+IF(R$3="",1,0)&gt;=1,1,0),IF(IF('卡片raw data'!D$1:D$1000=R$4,1,0)+IF(R$4="",1,0)&gt;=1,1,0),IF(IF('卡片raw data'!E$1:E$1000=R$5,1,0)+IF(R$5="",1,0)&gt;=1,1,0))</f>
        <v>0</v>
      </c>
      <c r="Y912" s="1307">
        <f t="shared" si="71"/>
        <v>48</v>
      </c>
      <c r="Z912" s="1307">
        <f t="shared" si="72"/>
        <v>0</v>
      </c>
      <c r="AA912" s="1307">
        <f t="shared" si="73"/>
        <v>48</v>
      </c>
      <c r="AB912" s="1307">
        <f t="shared" si="74"/>
        <v>0</v>
      </c>
    </row>
    <row r="913" spans="20:28">
      <c r="T913" s="1077">
        <v>36</v>
      </c>
      <c r="U913" s="1077">
        <f t="shared" si="70"/>
        <v>15</v>
      </c>
      <c r="V913" s="1077">
        <v>49</v>
      </c>
      <c r="W913" s="1077">
        <f t="array" ref="W913">SUMPRODUCT(IF('卡片raw data'!BM$1:BM$1000=T913,1,0),IF('卡片raw data'!BO$1:BO$1000=V913,1,0),IF(IF('卡片raw data'!C$1:C$1000=R$3,1,0)+IF(R$3="",1,0)&gt;=1,1,0),IF(IF('卡片raw data'!D$1:D$1000=R$4,1,0)+IF(R$4="",1,0)&gt;=1,1,0),IF(IF('卡片raw data'!E$1:E$1000=R$5,1,0)+IF(R$5="",1,0)&gt;=1,1,0))</f>
        <v>0</v>
      </c>
      <c r="Y913" s="1307">
        <f t="shared" si="71"/>
        <v>49</v>
      </c>
      <c r="Z913" s="1307">
        <f t="shared" si="72"/>
        <v>0</v>
      </c>
      <c r="AA913" s="1307">
        <f t="shared" si="73"/>
        <v>49</v>
      </c>
      <c r="AB913" s="1307">
        <f t="shared" si="74"/>
        <v>0</v>
      </c>
    </row>
    <row r="914" spans="20:28">
      <c r="T914" s="1077">
        <v>36</v>
      </c>
      <c r="U914" s="1077">
        <f t="shared" si="70"/>
        <v>14</v>
      </c>
      <c r="V914" s="1077">
        <v>50</v>
      </c>
      <c r="W914" s="1077">
        <f t="array" ref="W914">SUMPRODUCT(IF('卡片raw data'!BM$1:BM$1000=T914,1,0),IF('卡片raw data'!BO$1:BO$1000=V914,1,0),IF(IF('卡片raw data'!C$1:C$1000=R$3,1,0)+IF(R$3="",1,0)&gt;=1,1,0),IF(IF('卡片raw data'!D$1:D$1000=R$4,1,0)+IF(R$4="",1,0)&gt;=1,1,0),IF(IF('卡片raw data'!E$1:E$1000=R$5,1,0)+IF(R$5="",1,0)&gt;=1,1,0))</f>
        <v>0</v>
      </c>
      <c r="Y914" s="1307">
        <f t="shared" si="71"/>
        <v>50</v>
      </c>
      <c r="Z914" s="1307">
        <f t="shared" si="72"/>
        <v>0</v>
      </c>
      <c r="AA914" s="1307">
        <f t="shared" si="73"/>
        <v>50</v>
      </c>
      <c r="AB914" s="1307">
        <f t="shared" si="74"/>
        <v>0</v>
      </c>
    </row>
    <row r="915" spans="20:28">
      <c r="T915" s="1077">
        <v>36</v>
      </c>
      <c r="U915" s="1077">
        <f t="shared" si="70"/>
        <v>13</v>
      </c>
      <c r="V915" s="1077">
        <v>51</v>
      </c>
      <c r="W915" s="1077">
        <f t="array" ref="W915">SUMPRODUCT(IF('卡片raw data'!BM$1:BM$1000=T915,1,0),IF('卡片raw data'!BO$1:BO$1000=V915,1,0),IF(IF('卡片raw data'!C$1:C$1000=R$3,1,0)+IF(R$3="",1,0)&gt;=1,1,0),IF(IF('卡片raw data'!D$1:D$1000=R$4,1,0)+IF(R$4="",1,0)&gt;=1,1,0),IF(IF('卡片raw data'!E$1:E$1000=R$5,1,0)+IF(R$5="",1,0)&gt;=1,1,0))</f>
        <v>0</v>
      </c>
      <c r="Y915" s="1307">
        <f t="shared" si="71"/>
        <v>51</v>
      </c>
      <c r="Z915" s="1307">
        <f t="shared" si="72"/>
        <v>0</v>
      </c>
      <c r="AA915" s="1307">
        <f t="shared" si="73"/>
        <v>51</v>
      </c>
      <c r="AB915" s="1307">
        <f t="shared" si="74"/>
        <v>0</v>
      </c>
    </row>
    <row r="916" spans="20:28">
      <c r="T916" s="1077">
        <v>36</v>
      </c>
      <c r="U916" s="1077">
        <f t="shared" si="70"/>
        <v>12</v>
      </c>
      <c r="V916" s="1077">
        <v>52</v>
      </c>
      <c r="W916" s="1077">
        <f t="array" ref="W916">SUMPRODUCT(IF('卡片raw data'!BM$1:BM$1000=T916,1,0),IF('卡片raw data'!BO$1:BO$1000=V916,1,0),IF(IF('卡片raw data'!C$1:C$1000=R$3,1,0)+IF(R$3="",1,0)&gt;=1,1,0),IF(IF('卡片raw data'!D$1:D$1000=R$4,1,0)+IF(R$4="",1,0)&gt;=1,1,0),IF(IF('卡片raw data'!E$1:E$1000=R$5,1,0)+IF(R$5="",1,0)&gt;=1,1,0))</f>
        <v>0</v>
      </c>
      <c r="Y916" s="1307">
        <f t="shared" si="71"/>
        <v>52</v>
      </c>
      <c r="Z916" s="1307">
        <f t="shared" si="72"/>
        <v>0</v>
      </c>
      <c r="AA916" s="1307">
        <f t="shared" si="73"/>
        <v>52</v>
      </c>
      <c r="AB916" s="1307">
        <f t="shared" si="74"/>
        <v>0</v>
      </c>
    </row>
    <row r="917" spans="20:28">
      <c r="T917" s="1077">
        <v>36</v>
      </c>
      <c r="U917" s="1077">
        <f t="shared" si="70"/>
        <v>11</v>
      </c>
      <c r="V917" s="1077">
        <v>53</v>
      </c>
      <c r="W917" s="1077">
        <f t="array" ref="W917">SUMPRODUCT(IF('卡片raw data'!BM$1:BM$1000=T917,1,0),IF('卡片raw data'!BO$1:BO$1000=V917,1,0),IF(IF('卡片raw data'!C$1:C$1000=R$3,1,0)+IF(R$3="",1,0)&gt;=1,1,0),IF(IF('卡片raw data'!D$1:D$1000=R$4,1,0)+IF(R$4="",1,0)&gt;=1,1,0),IF(IF('卡片raw data'!E$1:E$1000=R$5,1,0)+IF(R$5="",1,0)&gt;=1,1,0))</f>
        <v>0</v>
      </c>
      <c r="Y917" s="1307">
        <f t="shared" si="71"/>
        <v>53</v>
      </c>
      <c r="Z917" s="1307">
        <f t="shared" si="72"/>
        <v>0</v>
      </c>
      <c r="AA917" s="1307">
        <f t="shared" si="73"/>
        <v>53</v>
      </c>
      <c r="AB917" s="1307">
        <f t="shared" si="74"/>
        <v>0</v>
      </c>
    </row>
    <row r="918" spans="20:28">
      <c r="T918" s="1077">
        <v>36</v>
      </c>
      <c r="U918" s="1077">
        <f t="shared" si="70"/>
        <v>10</v>
      </c>
      <c r="V918" s="1077">
        <v>54</v>
      </c>
      <c r="W918" s="1077">
        <f t="array" ref="W918">SUMPRODUCT(IF('卡片raw data'!BM$1:BM$1000=T918,1,0),IF('卡片raw data'!BO$1:BO$1000=V918,1,0),IF(IF('卡片raw data'!C$1:C$1000=R$3,1,0)+IF(R$3="",1,0)&gt;=1,1,0),IF(IF('卡片raw data'!D$1:D$1000=R$4,1,0)+IF(R$4="",1,0)&gt;=1,1,0),IF(IF('卡片raw data'!E$1:E$1000=R$5,1,0)+IF(R$5="",1,0)&gt;=1,1,0))</f>
        <v>0</v>
      </c>
      <c r="Y918" s="1307">
        <f t="shared" si="71"/>
        <v>54</v>
      </c>
      <c r="Z918" s="1307">
        <f t="shared" si="72"/>
        <v>0</v>
      </c>
      <c r="AA918" s="1307">
        <f t="shared" si="73"/>
        <v>54</v>
      </c>
      <c r="AB918" s="1307">
        <f t="shared" si="74"/>
        <v>0</v>
      </c>
    </row>
    <row r="919" spans="20:28">
      <c r="T919" s="1077">
        <v>37</v>
      </c>
      <c r="U919" s="1077">
        <f t="shared" si="70"/>
        <v>53</v>
      </c>
      <c r="V919" s="1077">
        <v>10</v>
      </c>
      <c r="W919" s="1077">
        <f t="array" ref="W919">SUMPRODUCT(IF('卡片raw data'!BM$1:BM$1000=T919,1,0),IF('卡片raw data'!BO$1:BO$1000=V919,1,0),IF(IF('卡片raw data'!C$1:C$1000=R$3,1,0)+IF(R$3="",1,0)&gt;=1,1,0),IF(IF('卡片raw data'!D$1:D$1000=R$4,1,0)+IF(R$4="",1,0)&gt;=1,1,0),IF(IF('卡片raw data'!E$1:E$1000=R$5,1,0)+IF(R$5="",1,0)&gt;=1,1,0))</f>
        <v>0</v>
      </c>
      <c r="Y919" s="1307">
        <f t="shared" si="71"/>
        <v>10</v>
      </c>
      <c r="Z919" s="1307">
        <f t="shared" si="72"/>
        <v>0</v>
      </c>
      <c r="AA919" s="1307">
        <f t="shared" si="73"/>
        <v>10</v>
      </c>
      <c r="AB919" s="1307">
        <f t="shared" si="74"/>
        <v>0</v>
      </c>
    </row>
    <row r="920" spans="20:28">
      <c r="T920" s="1077">
        <v>37</v>
      </c>
      <c r="U920" s="1077">
        <f t="shared" si="70"/>
        <v>52</v>
      </c>
      <c r="V920" s="1077">
        <v>11</v>
      </c>
      <c r="W920" s="1077">
        <f t="array" ref="W920">SUMPRODUCT(IF('卡片raw data'!BM$1:BM$1000=T920,1,0),IF('卡片raw data'!BO$1:BO$1000=V920,1,0),IF(IF('卡片raw data'!C$1:C$1000=R$3,1,0)+IF(R$3="",1,0)&gt;=1,1,0),IF(IF('卡片raw data'!D$1:D$1000=R$4,1,0)+IF(R$4="",1,0)&gt;=1,1,0),IF(IF('卡片raw data'!E$1:E$1000=R$5,1,0)+IF(R$5="",1,0)&gt;=1,1,0))</f>
        <v>0</v>
      </c>
      <c r="Y920" s="1307">
        <f t="shared" si="71"/>
        <v>11</v>
      </c>
      <c r="Z920" s="1307">
        <f t="shared" si="72"/>
        <v>0</v>
      </c>
      <c r="AA920" s="1307">
        <f t="shared" si="73"/>
        <v>11</v>
      </c>
      <c r="AB920" s="1307">
        <f t="shared" si="74"/>
        <v>0</v>
      </c>
    </row>
    <row r="921" spans="20:28">
      <c r="T921" s="1077">
        <v>37</v>
      </c>
      <c r="U921" s="1077">
        <f t="shared" si="70"/>
        <v>51</v>
      </c>
      <c r="V921" s="1077">
        <v>12</v>
      </c>
      <c r="W921" s="1077">
        <f t="array" ref="W921">SUMPRODUCT(IF('卡片raw data'!BM$1:BM$1000=T921,1,0),IF('卡片raw data'!BO$1:BO$1000=V921,1,0),IF(IF('卡片raw data'!C$1:C$1000=R$3,1,0)+IF(R$3="",1,0)&gt;=1,1,0),IF(IF('卡片raw data'!D$1:D$1000=R$4,1,0)+IF(R$4="",1,0)&gt;=1,1,0),IF(IF('卡片raw data'!E$1:E$1000=R$5,1,0)+IF(R$5="",1,0)&gt;=1,1,0))</f>
        <v>0</v>
      </c>
      <c r="Y921" s="1307">
        <f t="shared" si="71"/>
        <v>12</v>
      </c>
      <c r="Z921" s="1307">
        <f t="shared" si="72"/>
        <v>0</v>
      </c>
      <c r="AA921" s="1307">
        <f t="shared" si="73"/>
        <v>12</v>
      </c>
      <c r="AB921" s="1307">
        <f t="shared" si="74"/>
        <v>0</v>
      </c>
    </row>
    <row r="922" spans="20:28">
      <c r="T922" s="1077">
        <v>37</v>
      </c>
      <c r="U922" s="1077">
        <f t="shared" si="70"/>
        <v>50</v>
      </c>
      <c r="V922" s="1077">
        <v>13</v>
      </c>
      <c r="W922" s="1077">
        <f t="array" ref="W922">SUMPRODUCT(IF('卡片raw data'!BM$1:BM$1000=T922,1,0),IF('卡片raw data'!BO$1:BO$1000=V922,1,0),IF(IF('卡片raw data'!C$1:C$1000=R$3,1,0)+IF(R$3="",1,0)&gt;=1,1,0),IF(IF('卡片raw data'!D$1:D$1000=R$4,1,0)+IF(R$4="",1,0)&gt;=1,1,0),IF(IF('卡片raw data'!E$1:E$1000=R$5,1,0)+IF(R$5="",1,0)&gt;=1,1,0))</f>
        <v>0</v>
      </c>
      <c r="Y922" s="1307">
        <f t="shared" si="71"/>
        <v>13</v>
      </c>
      <c r="Z922" s="1307">
        <f t="shared" si="72"/>
        <v>0</v>
      </c>
      <c r="AA922" s="1307">
        <f t="shared" si="73"/>
        <v>13</v>
      </c>
      <c r="AB922" s="1307">
        <f t="shared" si="74"/>
        <v>0</v>
      </c>
    </row>
    <row r="923" spans="20:28">
      <c r="T923" s="1077">
        <v>37</v>
      </c>
      <c r="U923" s="1077">
        <f t="shared" si="70"/>
        <v>49</v>
      </c>
      <c r="V923" s="1077">
        <v>14</v>
      </c>
      <c r="W923" s="1077">
        <f t="array" ref="W923">SUMPRODUCT(IF('卡片raw data'!BM$1:BM$1000=T923,1,0),IF('卡片raw data'!BO$1:BO$1000=V923,1,0),IF(IF('卡片raw data'!C$1:C$1000=R$3,1,0)+IF(R$3="",1,0)&gt;=1,1,0),IF(IF('卡片raw data'!D$1:D$1000=R$4,1,0)+IF(R$4="",1,0)&gt;=1,1,0),IF(IF('卡片raw data'!E$1:E$1000=R$5,1,0)+IF(R$5="",1,0)&gt;=1,1,0))</f>
        <v>1</v>
      </c>
      <c r="Y923" s="1307">
        <f t="shared" si="71"/>
        <v>14</v>
      </c>
      <c r="Z923" s="1307">
        <f t="shared" si="72"/>
        <v>0</v>
      </c>
      <c r="AA923" s="1307">
        <f t="shared" si="73"/>
        <v>14</v>
      </c>
      <c r="AB923" s="1307">
        <f t="shared" si="74"/>
        <v>1</v>
      </c>
    </row>
    <row r="924" spans="20:28">
      <c r="T924" s="1077">
        <v>37</v>
      </c>
      <c r="U924" s="1077">
        <f t="shared" si="70"/>
        <v>48</v>
      </c>
      <c r="V924" s="1077">
        <v>15</v>
      </c>
      <c r="W924" s="1077">
        <f t="array" ref="W924">SUMPRODUCT(IF('卡片raw data'!BM$1:BM$1000=T924,1,0),IF('卡片raw data'!BO$1:BO$1000=V924,1,0),IF(IF('卡片raw data'!C$1:C$1000=R$3,1,0)+IF(R$3="",1,0)&gt;=1,1,0),IF(IF('卡片raw data'!D$1:D$1000=R$4,1,0)+IF(R$4="",1,0)&gt;=1,1,0),IF(IF('卡片raw data'!E$1:E$1000=R$5,1,0)+IF(R$5="",1,0)&gt;=1,1,0))</f>
        <v>0</v>
      </c>
      <c r="Y924" s="1307">
        <f t="shared" si="71"/>
        <v>15</v>
      </c>
      <c r="Z924" s="1307">
        <f t="shared" si="72"/>
        <v>0</v>
      </c>
      <c r="AA924" s="1307">
        <f t="shared" si="73"/>
        <v>15</v>
      </c>
      <c r="AB924" s="1307">
        <f t="shared" si="74"/>
        <v>0</v>
      </c>
    </row>
    <row r="925" spans="20:28">
      <c r="T925" s="1077">
        <v>37</v>
      </c>
      <c r="U925" s="1077">
        <f t="shared" si="70"/>
        <v>47</v>
      </c>
      <c r="V925" s="1077">
        <v>16</v>
      </c>
      <c r="W925" s="1077">
        <f t="array" ref="W925">SUMPRODUCT(IF('卡片raw data'!BM$1:BM$1000=T925,1,0),IF('卡片raw data'!BO$1:BO$1000=V925,1,0),IF(IF('卡片raw data'!C$1:C$1000=R$3,1,0)+IF(R$3="",1,0)&gt;=1,1,0),IF(IF('卡片raw data'!D$1:D$1000=R$4,1,0)+IF(R$4="",1,0)&gt;=1,1,0),IF(IF('卡片raw data'!E$1:E$1000=R$5,1,0)+IF(R$5="",1,0)&gt;=1,1,0))</f>
        <v>0</v>
      </c>
      <c r="Y925" s="1307">
        <f t="shared" si="71"/>
        <v>16</v>
      </c>
      <c r="Z925" s="1307">
        <f t="shared" si="72"/>
        <v>0</v>
      </c>
      <c r="AA925" s="1307">
        <f t="shared" si="73"/>
        <v>16</v>
      </c>
      <c r="AB925" s="1307">
        <f t="shared" si="74"/>
        <v>0</v>
      </c>
    </row>
    <row r="926" spans="20:28">
      <c r="T926" s="1077">
        <v>37</v>
      </c>
      <c r="U926" s="1077">
        <f t="shared" si="70"/>
        <v>46</v>
      </c>
      <c r="V926" s="1077">
        <v>17</v>
      </c>
      <c r="W926" s="1077">
        <f t="array" ref="W926">SUMPRODUCT(IF('卡片raw data'!BM$1:BM$1000=T926,1,0),IF('卡片raw data'!BO$1:BO$1000=V926,1,0),IF(IF('卡片raw data'!C$1:C$1000=R$3,1,0)+IF(R$3="",1,0)&gt;=1,1,0),IF(IF('卡片raw data'!D$1:D$1000=R$4,1,0)+IF(R$4="",1,0)&gt;=1,1,0),IF(IF('卡片raw data'!E$1:E$1000=R$5,1,0)+IF(R$5="",1,0)&gt;=1,1,0))</f>
        <v>0</v>
      </c>
      <c r="Y926" s="1307">
        <f t="shared" si="71"/>
        <v>17</v>
      </c>
      <c r="Z926" s="1307">
        <f t="shared" si="72"/>
        <v>0</v>
      </c>
      <c r="AA926" s="1307">
        <f t="shared" si="73"/>
        <v>17</v>
      </c>
      <c r="AB926" s="1307">
        <f t="shared" si="74"/>
        <v>0</v>
      </c>
    </row>
    <row r="927" spans="20:28">
      <c r="T927" s="1077">
        <v>37</v>
      </c>
      <c r="U927" s="1077">
        <f t="shared" si="70"/>
        <v>45</v>
      </c>
      <c r="V927" s="1077">
        <v>18</v>
      </c>
      <c r="W927" s="1077">
        <f t="array" ref="W927">SUMPRODUCT(IF('卡片raw data'!BM$1:BM$1000=T927,1,0),IF('卡片raw data'!BO$1:BO$1000=V927,1,0),IF(IF('卡片raw data'!C$1:C$1000=R$3,1,0)+IF(R$3="",1,0)&gt;=1,1,0),IF(IF('卡片raw data'!D$1:D$1000=R$4,1,0)+IF(R$4="",1,0)&gt;=1,1,0),IF(IF('卡片raw data'!E$1:E$1000=R$5,1,0)+IF(R$5="",1,0)&gt;=1,1,0))</f>
        <v>0</v>
      </c>
      <c r="Y927" s="1307">
        <f t="shared" si="71"/>
        <v>18</v>
      </c>
      <c r="Z927" s="1307">
        <f t="shared" si="72"/>
        <v>0</v>
      </c>
      <c r="AA927" s="1307">
        <f t="shared" si="73"/>
        <v>18</v>
      </c>
      <c r="AB927" s="1307">
        <f t="shared" si="74"/>
        <v>0</v>
      </c>
    </row>
    <row r="928" spans="20:28">
      <c r="T928" s="1077">
        <v>37</v>
      </c>
      <c r="U928" s="1077">
        <f t="shared" si="70"/>
        <v>44</v>
      </c>
      <c r="V928" s="1077">
        <v>19</v>
      </c>
      <c r="W928" s="1077">
        <f t="array" ref="W928">SUMPRODUCT(IF('卡片raw data'!BM$1:BM$1000=T928,1,0),IF('卡片raw data'!BO$1:BO$1000=V928,1,0),IF(IF('卡片raw data'!C$1:C$1000=R$3,1,0)+IF(R$3="",1,0)&gt;=1,1,0),IF(IF('卡片raw data'!D$1:D$1000=R$4,1,0)+IF(R$4="",1,0)&gt;=1,1,0),IF(IF('卡片raw data'!E$1:E$1000=R$5,1,0)+IF(R$5="",1,0)&gt;=1,1,0))</f>
        <v>0</v>
      </c>
      <c r="Y928" s="1307">
        <f t="shared" si="71"/>
        <v>19</v>
      </c>
      <c r="Z928" s="1307">
        <f t="shared" si="72"/>
        <v>0</v>
      </c>
      <c r="AA928" s="1307">
        <f t="shared" si="73"/>
        <v>19</v>
      </c>
      <c r="AB928" s="1307">
        <f t="shared" si="74"/>
        <v>0</v>
      </c>
    </row>
    <row r="929" spans="20:28">
      <c r="T929" s="1077">
        <v>37</v>
      </c>
      <c r="U929" s="1077">
        <f t="shared" si="70"/>
        <v>43</v>
      </c>
      <c r="V929" s="1077">
        <v>20</v>
      </c>
      <c r="W929" s="1077">
        <f t="array" ref="W929">SUMPRODUCT(IF('卡片raw data'!BM$1:BM$1000=T929,1,0),IF('卡片raw data'!BO$1:BO$1000=V929,1,0),IF(IF('卡片raw data'!C$1:C$1000=R$3,1,0)+IF(R$3="",1,0)&gt;=1,1,0),IF(IF('卡片raw data'!D$1:D$1000=R$4,1,0)+IF(R$4="",1,0)&gt;=1,1,0),IF(IF('卡片raw data'!E$1:E$1000=R$5,1,0)+IF(R$5="",1,0)&gt;=1,1,0))</f>
        <v>0</v>
      </c>
      <c r="Y929" s="1307">
        <f t="shared" si="71"/>
        <v>20</v>
      </c>
      <c r="Z929" s="1307">
        <f t="shared" si="72"/>
        <v>0</v>
      </c>
      <c r="AA929" s="1307">
        <f t="shared" si="73"/>
        <v>20</v>
      </c>
      <c r="AB929" s="1307">
        <f t="shared" si="74"/>
        <v>0</v>
      </c>
    </row>
    <row r="930" spans="20:28">
      <c r="T930" s="1077">
        <v>37</v>
      </c>
      <c r="U930" s="1077">
        <f t="shared" si="70"/>
        <v>42</v>
      </c>
      <c r="V930" s="1077">
        <v>21</v>
      </c>
      <c r="W930" s="1077">
        <f t="array" ref="W930">SUMPRODUCT(IF('卡片raw data'!BM$1:BM$1000=T930,1,0),IF('卡片raw data'!BO$1:BO$1000=V930,1,0),IF(IF('卡片raw data'!C$1:C$1000=R$3,1,0)+IF(R$3="",1,0)&gt;=1,1,0),IF(IF('卡片raw data'!D$1:D$1000=R$4,1,0)+IF(R$4="",1,0)&gt;=1,1,0),IF(IF('卡片raw data'!E$1:E$1000=R$5,1,0)+IF(R$5="",1,0)&gt;=1,1,0))</f>
        <v>0</v>
      </c>
      <c r="Y930" s="1307">
        <f t="shared" si="71"/>
        <v>21</v>
      </c>
      <c r="Z930" s="1307">
        <f t="shared" si="72"/>
        <v>0</v>
      </c>
      <c r="AA930" s="1307">
        <f t="shared" si="73"/>
        <v>21</v>
      </c>
      <c r="AB930" s="1307">
        <f t="shared" si="74"/>
        <v>0</v>
      </c>
    </row>
    <row r="931" spans="20:28">
      <c r="T931" s="1077">
        <v>37</v>
      </c>
      <c r="U931" s="1077">
        <f t="shared" si="70"/>
        <v>41</v>
      </c>
      <c r="V931" s="1077">
        <v>22</v>
      </c>
      <c r="W931" s="1077">
        <f t="array" ref="W931">SUMPRODUCT(IF('卡片raw data'!BM$1:BM$1000=T931,1,0),IF('卡片raw data'!BO$1:BO$1000=V931,1,0),IF(IF('卡片raw data'!C$1:C$1000=R$3,1,0)+IF(R$3="",1,0)&gt;=1,1,0),IF(IF('卡片raw data'!D$1:D$1000=R$4,1,0)+IF(R$4="",1,0)&gt;=1,1,0),IF(IF('卡片raw data'!E$1:E$1000=R$5,1,0)+IF(R$5="",1,0)&gt;=1,1,0))</f>
        <v>0</v>
      </c>
      <c r="Y931" s="1307">
        <f t="shared" si="71"/>
        <v>22</v>
      </c>
      <c r="Z931" s="1307">
        <f t="shared" si="72"/>
        <v>0</v>
      </c>
      <c r="AA931" s="1307">
        <f t="shared" si="73"/>
        <v>22</v>
      </c>
      <c r="AB931" s="1307">
        <f t="shared" si="74"/>
        <v>0</v>
      </c>
    </row>
    <row r="932" spans="20:28">
      <c r="T932" s="1077">
        <v>37</v>
      </c>
      <c r="U932" s="1077">
        <f t="shared" si="70"/>
        <v>40</v>
      </c>
      <c r="V932" s="1077">
        <v>23</v>
      </c>
      <c r="W932" s="1077">
        <f t="array" ref="W932">SUMPRODUCT(IF('卡片raw data'!BM$1:BM$1000=T932,1,0),IF('卡片raw data'!BO$1:BO$1000=V932,1,0),IF(IF('卡片raw data'!C$1:C$1000=R$3,1,0)+IF(R$3="",1,0)&gt;=1,1,0),IF(IF('卡片raw data'!D$1:D$1000=R$4,1,0)+IF(R$4="",1,0)&gt;=1,1,0),IF(IF('卡片raw data'!E$1:E$1000=R$5,1,0)+IF(R$5="",1,0)&gt;=1,1,0))</f>
        <v>0</v>
      </c>
      <c r="Y932" s="1307">
        <f t="shared" si="71"/>
        <v>23</v>
      </c>
      <c r="Z932" s="1307">
        <f t="shared" si="72"/>
        <v>0</v>
      </c>
      <c r="AA932" s="1307">
        <f t="shared" si="73"/>
        <v>23</v>
      </c>
      <c r="AB932" s="1307">
        <f t="shared" si="74"/>
        <v>0</v>
      </c>
    </row>
    <row r="933" spans="20:28">
      <c r="T933" s="1077">
        <v>37</v>
      </c>
      <c r="U933" s="1077">
        <f t="shared" si="70"/>
        <v>39</v>
      </c>
      <c r="V933" s="1077">
        <v>24</v>
      </c>
      <c r="W933" s="1077">
        <f t="array" ref="W933">SUMPRODUCT(IF('卡片raw data'!BM$1:BM$1000=T933,1,0),IF('卡片raw data'!BO$1:BO$1000=V933,1,0),IF(IF('卡片raw data'!C$1:C$1000=R$3,1,0)+IF(R$3="",1,0)&gt;=1,1,0),IF(IF('卡片raw data'!D$1:D$1000=R$4,1,0)+IF(R$4="",1,0)&gt;=1,1,0),IF(IF('卡片raw data'!E$1:E$1000=R$5,1,0)+IF(R$5="",1,0)&gt;=1,1,0))</f>
        <v>0</v>
      </c>
      <c r="Y933" s="1307">
        <f t="shared" si="71"/>
        <v>24</v>
      </c>
      <c r="Z933" s="1307">
        <f t="shared" si="72"/>
        <v>0</v>
      </c>
      <c r="AA933" s="1307">
        <f t="shared" si="73"/>
        <v>24</v>
      </c>
      <c r="AB933" s="1307">
        <f t="shared" si="74"/>
        <v>0</v>
      </c>
    </row>
    <row r="934" spans="20:28">
      <c r="T934" s="1077">
        <v>37</v>
      </c>
      <c r="U934" s="1077">
        <f t="shared" si="70"/>
        <v>38</v>
      </c>
      <c r="V934" s="1077">
        <v>25</v>
      </c>
      <c r="W934" s="1077">
        <f t="array" ref="W934">SUMPRODUCT(IF('卡片raw data'!BM$1:BM$1000=T934,1,0),IF('卡片raw data'!BO$1:BO$1000=V934,1,0),IF(IF('卡片raw data'!C$1:C$1000=R$3,1,0)+IF(R$3="",1,0)&gt;=1,1,0),IF(IF('卡片raw data'!D$1:D$1000=R$4,1,0)+IF(R$4="",1,0)&gt;=1,1,0),IF(IF('卡片raw data'!E$1:E$1000=R$5,1,0)+IF(R$5="",1,0)&gt;=1,1,0))</f>
        <v>0</v>
      </c>
      <c r="Y934" s="1307">
        <f t="shared" si="71"/>
        <v>25</v>
      </c>
      <c r="Z934" s="1307">
        <f t="shared" si="72"/>
        <v>0</v>
      </c>
      <c r="AA934" s="1307">
        <f t="shared" si="73"/>
        <v>25</v>
      </c>
      <c r="AB934" s="1307">
        <f t="shared" si="74"/>
        <v>0</v>
      </c>
    </row>
    <row r="935" spans="20:28">
      <c r="T935" s="1077">
        <v>37</v>
      </c>
      <c r="U935" s="1077">
        <f t="shared" si="70"/>
        <v>37</v>
      </c>
      <c r="V935" s="1077">
        <v>26</v>
      </c>
      <c r="W935" s="1077">
        <f t="array" ref="W935">SUMPRODUCT(IF('卡片raw data'!BM$1:BM$1000=T935,1,0),IF('卡片raw data'!BO$1:BO$1000=V935,1,0),IF(IF('卡片raw data'!C$1:C$1000=R$3,1,0)+IF(R$3="",1,0)&gt;=1,1,0),IF(IF('卡片raw data'!D$1:D$1000=R$4,1,0)+IF(R$4="",1,0)&gt;=1,1,0),IF(IF('卡片raw data'!E$1:E$1000=R$5,1,0)+IF(R$5="",1,0)&gt;=1,1,0))</f>
        <v>0</v>
      </c>
      <c r="Y935" s="1307">
        <f t="shared" si="71"/>
        <v>26</v>
      </c>
      <c r="Z935" s="1307">
        <f t="shared" si="72"/>
        <v>0</v>
      </c>
      <c r="AA935" s="1307">
        <f t="shared" si="73"/>
        <v>26</v>
      </c>
      <c r="AB935" s="1307">
        <f t="shared" si="74"/>
        <v>0</v>
      </c>
    </row>
    <row r="936" spans="20:28">
      <c r="T936" s="1077">
        <v>37</v>
      </c>
      <c r="U936" s="1077">
        <f t="shared" si="70"/>
        <v>36</v>
      </c>
      <c r="V936" s="1077">
        <v>27</v>
      </c>
      <c r="W936" s="1077">
        <f t="array" ref="W936">SUMPRODUCT(IF('卡片raw data'!BM$1:BM$1000=T936,1,0),IF('卡片raw data'!BO$1:BO$1000=V936,1,0),IF(IF('卡片raw data'!C$1:C$1000=R$3,1,0)+IF(R$3="",1,0)&gt;=1,1,0),IF(IF('卡片raw data'!D$1:D$1000=R$4,1,0)+IF(R$4="",1,0)&gt;=1,1,0),IF(IF('卡片raw data'!E$1:E$1000=R$5,1,0)+IF(R$5="",1,0)&gt;=1,1,0))</f>
        <v>0</v>
      </c>
      <c r="Y936" s="1307">
        <f t="shared" si="71"/>
        <v>27</v>
      </c>
      <c r="Z936" s="1307">
        <f t="shared" si="72"/>
        <v>0</v>
      </c>
      <c r="AA936" s="1307">
        <f t="shared" si="73"/>
        <v>27</v>
      </c>
      <c r="AB936" s="1307">
        <f t="shared" si="74"/>
        <v>0</v>
      </c>
    </row>
    <row r="937" spans="20:28">
      <c r="T937" s="1077">
        <v>37</v>
      </c>
      <c r="U937" s="1077">
        <f t="shared" si="70"/>
        <v>35</v>
      </c>
      <c r="V937" s="1077">
        <v>28</v>
      </c>
      <c r="W937" s="1077">
        <f t="array" ref="W937">SUMPRODUCT(IF('卡片raw data'!BM$1:BM$1000=T937,1,0),IF('卡片raw data'!BO$1:BO$1000=V937,1,0),IF(IF('卡片raw data'!C$1:C$1000=R$3,1,0)+IF(R$3="",1,0)&gt;=1,1,0),IF(IF('卡片raw data'!D$1:D$1000=R$4,1,0)+IF(R$4="",1,0)&gt;=1,1,0),IF(IF('卡片raw data'!E$1:E$1000=R$5,1,0)+IF(R$5="",1,0)&gt;=1,1,0))</f>
        <v>1</v>
      </c>
      <c r="Y937" s="1307">
        <f t="shared" si="71"/>
        <v>28</v>
      </c>
      <c r="Z937" s="1307">
        <f t="shared" si="72"/>
        <v>0</v>
      </c>
      <c r="AA937" s="1307">
        <f t="shared" si="73"/>
        <v>28</v>
      </c>
      <c r="AB937" s="1307">
        <f t="shared" si="74"/>
        <v>1</v>
      </c>
    </row>
    <row r="938" spans="20:28">
      <c r="T938" s="1077">
        <v>37</v>
      </c>
      <c r="U938" s="1077">
        <f t="shared" si="70"/>
        <v>34</v>
      </c>
      <c r="V938" s="1077">
        <v>29</v>
      </c>
      <c r="W938" s="1077">
        <f t="array" ref="W938">SUMPRODUCT(IF('卡片raw data'!BM$1:BM$1000=T938,1,0),IF('卡片raw data'!BO$1:BO$1000=V938,1,0),IF(IF('卡片raw data'!C$1:C$1000=R$3,1,0)+IF(R$3="",1,0)&gt;=1,1,0),IF(IF('卡片raw data'!D$1:D$1000=R$4,1,0)+IF(R$4="",1,0)&gt;=1,1,0),IF(IF('卡片raw data'!E$1:E$1000=R$5,1,0)+IF(R$5="",1,0)&gt;=1,1,0))</f>
        <v>0</v>
      </c>
      <c r="Y938" s="1307">
        <f t="shared" si="71"/>
        <v>29</v>
      </c>
      <c r="Z938" s="1307">
        <f t="shared" si="72"/>
        <v>0</v>
      </c>
      <c r="AA938" s="1307">
        <f t="shared" si="73"/>
        <v>29</v>
      </c>
      <c r="AB938" s="1307">
        <f t="shared" si="74"/>
        <v>0</v>
      </c>
    </row>
    <row r="939" spans="20:28">
      <c r="T939" s="1077">
        <v>37</v>
      </c>
      <c r="U939" s="1077">
        <f t="shared" si="70"/>
        <v>33</v>
      </c>
      <c r="V939" s="1077">
        <v>30</v>
      </c>
      <c r="W939" s="1077">
        <f t="array" ref="W939">SUMPRODUCT(IF('卡片raw data'!BM$1:BM$1000=T939,1,0),IF('卡片raw data'!BO$1:BO$1000=V939,1,0),IF(IF('卡片raw data'!C$1:C$1000=R$3,1,0)+IF(R$3="",1,0)&gt;=1,1,0),IF(IF('卡片raw data'!D$1:D$1000=R$4,1,0)+IF(R$4="",1,0)&gt;=1,1,0),IF(IF('卡片raw data'!E$1:E$1000=R$5,1,0)+IF(R$5="",1,0)&gt;=1,1,0))</f>
        <v>2</v>
      </c>
      <c r="Y939" s="1307">
        <f t="shared" si="71"/>
        <v>30</v>
      </c>
      <c r="Z939" s="1307">
        <f t="shared" si="72"/>
        <v>0</v>
      </c>
      <c r="AA939" s="1307">
        <f t="shared" si="73"/>
        <v>30</v>
      </c>
      <c r="AB939" s="1307">
        <f t="shared" si="74"/>
        <v>2</v>
      </c>
    </row>
    <row r="940" spans="20:28">
      <c r="T940" s="1077">
        <v>37</v>
      </c>
      <c r="U940" s="1077">
        <f t="shared" si="70"/>
        <v>32</v>
      </c>
      <c r="V940" s="1077">
        <v>31</v>
      </c>
      <c r="W940" s="1077">
        <f t="array" ref="W940">SUMPRODUCT(IF('卡片raw data'!BM$1:BM$1000=T940,1,0),IF('卡片raw data'!BO$1:BO$1000=V940,1,0),IF(IF('卡片raw data'!C$1:C$1000=R$3,1,0)+IF(R$3="",1,0)&gt;=1,1,0),IF(IF('卡片raw data'!D$1:D$1000=R$4,1,0)+IF(R$4="",1,0)&gt;=1,1,0),IF(IF('卡片raw data'!E$1:E$1000=R$5,1,0)+IF(R$5="",1,0)&gt;=1,1,0))</f>
        <v>0</v>
      </c>
      <c r="Y940" s="1307">
        <f t="shared" si="71"/>
        <v>31</v>
      </c>
      <c r="Z940" s="1307">
        <f t="shared" si="72"/>
        <v>0</v>
      </c>
      <c r="AA940" s="1307">
        <f t="shared" si="73"/>
        <v>31</v>
      </c>
      <c r="AB940" s="1307">
        <f t="shared" si="74"/>
        <v>0</v>
      </c>
    </row>
    <row r="941" spans="20:28">
      <c r="T941" s="1077">
        <v>37</v>
      </c>
      <c r="U941" s="1077">
        <f t="shared" si="70"/>
        <v>31</v>
      </c>
      <c r="V941" s="1077">
        <v>32</v>
      </c>
      <c r="W941" s="1077">
        <f t="array" ref="W941">SUMPRODUCT(IF('卡片raw data'!BM$1:BM$1000=T941,1,0),IF('卡片raw data'!BO$1:BO$1000=V941,1,0),IF(IF('卡片raw data'!C$1:C$1000=R$3,1,0)+IF(R$3="",1,0)&gt;=1,1,0),IF(IF('卡片raw data'!D$1:D$1000=R$4,1,0)+IF(R$4="",1,0)&gt;=1,1,0),IF(IF('卡片raw data'!E$1:E$1000=R$5,1,0)+IF(R$5="",1,0)&gt;=1,1,0))</f>
        <v>1</v>
      </c>
      <c r="Y941" s="1307">
        <f t="shared" si="71"/>
        <v>32</v>
      </c>
      <c r="Z941" s="1307">
        <f t="shared" si="72"/>
        <v>0</v>
      </c>
      <c r="AA941" s="1307">
        <f t="shared" si="73"/>
        <v>32</v>
      </c>
      <c r="AB941" s="1307">
        <f t="shared" si="74"/>
        <v>1</v>
      </c>
    </row>
    <row r="942" spans="20:28">
      <c r="T942" s="1077">
        <v>37</v>
      </c>
      <c r="U942" s="1077">
        <f t="shared" si="70"/>
        <v>30</v>
      </c>
      <c r="V942" s="1077">
        <v>33</v>
      </c>
      <c r="W942" s="1077">
        <f t="array" ref="W942">SUMPRODUCT(IF('卡片raw data'!BM$1:BM$1000=T942,1,0),IF('卡片raw data'!BO$1:BO$1000=V942,1,0),IF(IF('卡片raw data'!C$1:C$1000=R$3,1,0)+IF(R$3="",1,0)&gt;=1,1,0),IF(IF('卡片raw data'!D$1:D$1000=R$4,1,0)+IF(R$4="",1,0)&gt;=1,1,0),IF(IF('卡片raw data'!E$1:E$1000=R$5,1,0)+IF(R$5="",1,0)&gt;=1,1,0))</f>
        <v>2</v>
      </c>
      <c r="Y942" s="1307">
        <f t="shared" si="71"/>
        <v>33</v>
      </c>
      <c r="Z942" s="1307">
        <f t="shared" si="72"/>
        <v>0</v>
      </c>
      <c r="AA942" s="1307">
        <f t="shared" si="73"/>
        <v>33</v>
      </c>
      <c r="AB942" s="1307">
        <f t="shared" si="74"/>
        <v>2</v>
      </c>
    </row>
    <row r="943" spans="20:28">
      <c r="T943" s="1077">
        <v>37</v>
      </c>
      <c r="U943" s="1077">
        <f t="shared" si="70"/>
        <v>29</v>
      </c>
      <c r="V943" s="1077">
        <v>34</v>
      </c>
      <c r="W943" s="1077">
        <f t="array" ref="W943">SUMPRODUCT(IF('卡片raw data'!BM$1:BM$1000=T943,1,0),IF('卡片raw data'!BO$1:BO$1000=V943,1,0),IF(IF('卡片raw data'!C$1:C$1000=R$3,1,0)+IF(R$3="",1,0)&gt;=1,1,0),IF(IF('卡片raw data'!D$1:D$1000=R$4,1,0)+IF(R$4="",1,0)&gt;=1,1,0),IF(IF('卡片raw data'!E$1:E$1000=R$5,1,0)+IF(R$5="",1,0)&gt;=1,1,0))</f>
        <v>4</v>
      </c>
      <c r="Y943" s="1307">
        <f t="shared" si="71"/>
        <v>34</v>
      </c>
      <c r="Z943" s="1307">
        <f t="shared" si="72"/>
        <v>0</v>
      </c>
      <c r="AA943" s="1307">
        <f t="shared" si="73"/>
        <v>34</v>
      </c>
      <c r="AB943" s="1307">
        <f t="shared" si="74"/>
        <v>4</v>
      </c>
    </row>
    <row r="944" spans="20:28">
      <c r="T944" s="1077">
        <v>37</v>
      </c>
      <c r="U944" s="1077">
        <f t="shared" si="70"/>
        <v>28</v>
      </c>
      <c r="V944" s="1077">
        <v>35</v>
      </c>
      <c r="W944" s="1077">
        <f t="array" ref="W944">SUMPRODUCT(IF('卡片raw data'!BM$1:BM$1000=T944,1,0),IF('卡片raw data'!BO$1:BO$1000=V944,1,0),IF(IF('卡片raw data'!C$1:C$1000=R$3,1,0)+IF(R$3="",1,0)&gt;=1,1,0),IF(IF('卡片raw data'!D$1:D$1000=R$4,1,0)+IF(R$4="",1,0)&gt;=1,1,0),IF(IF('卡片raw data'!E$1:E$1000=R$5,1,0)+IF(R$5="",1,0)&gt;=1,1,0))</f>
        <v>3</v>
      </c>
      <c r="Y944" s="1307">
        <f t="shared" si="71"/>
        <v>35</v>
      </c>
      <c r="Z944" s="1307">
        <f t="shared" si="72"/>
        <v>0</v>
      </c>
      <c r="AA944" s="1307">
        <f t="shared" si="73"/>
        <v>35</v>
      </c>
      <c r="AB944" s="1307">
        <f t="shared" si="74"/>
        <v>3</v>
      </c>
    </row>
    <row r="945" spans="20:28">
      <c r="T945" s="1077">
        <v>37</v>
      </c>
      <c r="U945" s="1077">
        <f t="shared" si="70"/>
        <v>27</v>
      </c>
      <c r="V945" s="1077">
        <v>36</v>
      </c>
      <c r="W945" s="1077">
        <f t="array" ref="W945">SUMPRODUCT(IF('卡片raw data'!BM$1:BM$1000=T945,1,0),IF('卡片raw data'!BO$1:BO$1000=V945,1,0),IF(IF('卡片raw data'!C$1:C$1000=R$3,1,0)+IF(R$3="",1,0)&gt;=1,1,0),IF(IF('卡片raw data'!D$1:D$1000=R$4,1,0)+IF(R$4="",1,0)&gt;=1,1,0),IF(IF('卡片raw data'!E$1:E$1000=R$5,1,0)+IF(R$5="",1,0)&gt;=1,1,0))</f>
        <v>0</v>
      </c>
      <c r="Y945" s="1307">
        <f t="shared" si="71"/>
        <v>36</v>
      </c>
      <c r="Z945" s="1307">
        <f t="shared" si="72"/>
        <v>0</v>
      </c>
      <c r="AA945" s="1307">
        <f t="shared" si="73"/>
        <v>36</v>
      </c>
      <c r="AB945" s="1307">
        <f t="shared" si="74"/>
        <v>0</v>
      </c>
    </row>
    <row r="946" spans="20:28">
      <c r="T946" s="1077">
        <v>37</v>
      </c>
      <c r="U946" s="1077">
        <f t="shared" si="70"/>
        <v>26</v>
      </c>
      <c r="V946" s="1077">
        <v>37</v>
      </c>
      <c r="W946" s="1077">
        <f t="array" ref="W946">SUMPRODUCT(IF('卡片raw data'!BM$1:BM$1000=T946,1,0),IF('卡片raw data'!BO$1:BO$1000=V946,1,0),IF(IF('卡片raw data'!C$1:C$1000=R$3,1,0)+IF(R$3="",1,0)&gt;=1,1,0),IF(IF('卡片raw data'!D$1:D$1000=R$4,1,0)+IF(R$4="",1,0)&gt;=1,1,0),IF(IF('卡片raw data'!E$1:E$1000=R$5,1,0)+IF(R$5="",1,0)&gt;=1,1,0))</f>
        <v>4</v>
      </c>
      <c r="Y946" s="1307">
        <f t="shared" si="71"/>
        <v>37</v>
      </c>
      <c r="Z946" s="1307">
        <f t="shared" si="72"/>
        <v>0</v>
      </c>
      <c r="AA946" s="1307">
        <f t="shared" si="73"/>
        <v>37</v>
      </c>
      <c r="AB946" s="1307">
        <f t="shared" si="74"/>
        <v>4</v>
      </c>
    </row>
    <row r="947" spans="20:28">
      <c r="T947" s="1077">
        <v>37</v>
      </c>
      <c r="U947" s="1077">
        <f t="shared" si="70"/>
        <v>25</v>
      </c>
      <c r="V947" s="1077">
        <v>38</v>
      </c>
      <c r="W947" s="1077">
        <f t="array" ref="W947">SUMPRODUCT(IF('卡片raw data'!BM$1:BM$1000=T947,1,0),IF('卡片raw data'!BO$1:BO$1000=V947,1,0),IF(IF('卡片raw data'!C$1:C$1000=R$3,1,0)+IF(R$3="",1,0)&gt;=1,1,0),IF(IF('卡片raw data'!D$1:D$1000=R$4,1,0)+IF(R$4="",1,0)&gt;=1,1,0),IF(IF('卡片raw data'!E$1:E$1000=R$5,1,0)+IF(R$5="",1,0)&gt;=1,1,0))</f>
        <v>3</v>
      </c>
      <c r="Y947" s="1307">
        <f t="shared" si="71"/>
        <v>38</v>
      </c>
      <c r="Z947" s="1307">
        <f t="shared" si="72"/>
        <v>3</v>
      </c>
      <c r="AA947" s="1307">
        <f t="shared" si="73"/>
        <v>38</v>
      </c>
      <c r="AB947" s="1307">
        <f t="shared" si="74"/>
        <v>0</v>
      </c>
    </row>
    <row r="948" spans="20:28">
      <c r="T948" s="1077">
        <v>37</v>
      </c>
      <c r="U948" s="1077">
        <f t="shared" si="70"/>
        <v>24</v>
      </c>
      <c r="V948" s="1077">
        <v>39</v>
      </c>
      <c r="W948" s="1077">
        <f t="array" ref="W948">SUMPRODUCT(IF('卡片raw data'!BM$1:BM$1000=T948,1,0),IF('卡片raw data'!BO$1:BO$1000=V948,1,0),IF(IF('卡片raw data'!C$1:C$1000=R$3,1,0)+IF(R$3="",1,0)&gt;=1,1,0),IF(IF('卡片raw data'!D$1:D$1000=R$4,1,0)+IF(R$4="",1,0)&gt;=1,1,0),IF(IF('卡片raw data'!E$1:E$1000=R$5,1,0)+IF(R$5="",1,0)&gt;=1,1,0))</f>
        <v>1</v>
      </c>
      <c r="Y948" s="1307">
        <f t="shared" si="71"/>
        <v>39</v>
      </c>
      <c r="Z948" s="1307">
        <f t="shared" si="72"/>
        <v>1</v>
      </c>
      <c r="AA948" s="1307">
        <f t="shared" si="73"/>
        <v>39</v>
      </c>
      <c r="AB948" s="1307">
        <f t="shared" si="74"/>
        <v>0</v>
      </c>
    </row>
    <row r="949" spans="20:28">
      <c r="T949" s="1077">
        <v>37</v>
      </c>
      <c r="U949" s="1077">
        <f t="shared" si="70"/>
        <v>23</v>
      </c>
      <c r="V949" s="1077">
        <v>40</v>
      </c>
      <c r="W949" s="1077">
        <f t="array" ref="W949">SUMPRODUCT(IF('卡片raw data'!BM$1:BM$1000=T949,1,0),IF('卡片raw data'!BO$1:BO$1000=V949,1,0),IF(IF('卡片raw data'!C$1:C$1000=R$3,1,0)+IF(R$3="",1,0)&gt;=1,1,0),IF(IF('卡片raw data'!D$1:D$1000=R$4,1,0)+IF(R$4="",1,0)&gt;=1,1,0),IF(IF('卡片raw data'!E$1:E$1000=R$5,1,0)+IF(R$5="",1,0)&gt;=1,1,0))</f>
        <v>5</v>
      </c>
      <c r="Y949" s="1307">
        <f t="shared" si="71"/>
        <v>40</v>
      </c>
      <c r="Z949" s="1307">
        <f t="shared" si="72"/>
        <v>5</v>
      </c>
      <c r="AA949" s="1307">
        <f t="shared" si="73"/>
        <v>40</v>
      </c>
      <c r="AB949" s="1307">
        <f t="shared" si="74"/>
        <v>0</v>
      </c>
    </row>
    <row r="950" spans="20:28">
      <c r="T950" s="1077">
        <v>37</v>
      </c>
      <c r="U950" s="1077">
        <f t="shared" si="70"/>
        <v>22</v>
      </c>
      <c r="V950" s="1077">
        <v>41</v>
      </c>
      <c r="W950" s="1077">
        <f t="array" ref="W950">SUMPRODUCT(IF('卡片raw data'!BM$1:BM$1000=T950,1,0),IF('卡片raw data'!BO$1:BO$1000=V950,1,0),IF(IF('卡片raw data'!C$1:C$1000=R$3,1,0)+IF(R$3="",1,0)&gt;=1,1,0),IF(IF('卡片raw data'!D$1:D$1000=R$4,1,0)+IF(R$4="",1,0)&gt;=1,1,0),IF(IF('卡片raw data'!E$1:E$1000=R$5,1,0)+IF(R$5="",1,0)&gt;=1,1,0))</f>
        <v>1</v>
      </c>
      <c r="Y950" s="1307">
        <f t="shared" si="71"/>
        <v>41</v>
      </c>
      <c r="Z950" s="1307">
        <f t="shared" si="72"/>
        <v>1</v>
      </c>
      <c r="AA950" s="1307">
        <f t="shared" si="73"/>
        <v>41</v>
      </c>
      <c r="AB950" s="1307">
        <f t="shared" si="74"/>
        <v>0</v>
      </c>
    </row>
    <row r="951" spans="20:28">
      <c r="T951" s="1077">
        <v>37</v>
      </c>
      <c r="U951" s="1077">
        <f t="shared" si="70"/>
        <v>21</v>
      </c>
      <c r="V951" s="1077">
        <v>42</v>
      </c>
      <c r="W951" s="1077">
        <f t="array" ref="W951">SUMPRODUCT(IF('卡片raw data'!BM$1:BM$1000=T951,1,0),IF('卡片raw data'!BO$1:BO$1000=V951,1,0),IF(IF('卡片raw data'!C$1:C$1000=R$3,1,0)+IF(R$3="",1,0)&gt;=1,1,0),IF(IF('卡片raw data'!D$1:D$1000=R$4,1,0)+IF(R$4="",1,0)&gt;=1,1,0),IF(IF('卡片raw data'!E$1:E$1000=R$5,1,0)+IF(R$5="",1,0)&gt;=1,1,0))</f>
        <v>1</v>
      </c>
      <c r="Y951" s="1307">
        <f t="shared" si="71"/>
        <v>42</v>
      </c>
      <c r="Z951" s="1307">
        <f t="shared" si="72"/>
        <v>1</v>
      </c>
      <c r="AA951" s="1307">
        <f t="shared" si="73"/>
        <v>42</v>
      </c>
      <c r="AB951" s="1307">
        <f t="shared" si="74"/>
        <v>0</v>
      </c>
    </row>
    <row r="952" spans="20:28">
      <c r="T952" s="1077">
        <v>37</v>
      </c>
      <c r="U952" s="1077">
        <f t="shared" si="70"/>
        <v>20</v>
      </c>
      <c r="V952" s="1077">
        <v>43</v>
      </c>
      <c r="W952" s="1077">
        <f t="array" ref="W952">SUMPRODUCT(IF('卡片raw data'!BM$1:BM$1000=T952,1,0),IF('卡片raw data'!BO$1:BO$1000=V952,1,0),IF(IF('卡片raw data'!C$1:C$1000=R$3,1,0)+IF(R$3="",1,0)&gt;=1,1,0),IF(IF('卡片raw data'!D$1:D$1000=R$4,1,0)+IF(R$4="",1,0)&gt;=1,1,0),IF(IF('卡片raw data'!E$1:E$1000=R$5,1,0)+IF(R$5="",1,0)&gt;=1,1,0))</f>
        <v>1</v>
      </c>
      <c r="Y952" s="1307">
        <f t="shared" si="71"/>
        <v>43</v>
      </c>
      <c r="Z952" s="1307">
        <f t="shared" si="72"/>
        <v>1</v>
      </c>
      <c r="AA952" s="1307">
        <f t="shared" si="73"/>
        <v>43</v>
      </c>
      <c r="AB952" s="1307">
        <f t="shared" si="74"/>
        <v>0</v>
      </c>
    </row>
    <row r="953" spans="20:28">
      <c r="T953" s="1077">
        <v>37</v>
      </c>
      <c r="U953" s="1077">
        <f t="shared" si="70"/>
        <v>19</v>
      </c>
      <c r="V953" s="1077">
        <v>44</v>
      </c>
      <c r="W953" s="1077">
        <f t="array" ref="W953">SUMPRODUCT(IF('卡片raw data'!BM$1:BM$1000=T953,1,0),IF('卡片raw data'!BO$1:BO$1000=V953,1,0),IF(IF('卡片raw data'!C$1:C$1000=R$3,1,0)+IF(R$3="",1,0)&gt;=1,1,0),IF(IF('卡片raw data'!D$1:D$1000=R$4,1,0)+IF(R$4="",1,0)&gt;=1,1,0),IF(IF('卡片raw data'!E$1:E$1000=R$5,1,0)+IF(R$5="",1,0)&gt;=1,1,0))</f>
        <v>0</v>
      </c>
      <c r="Y953" s="1307">
        <f t="shared" si="71"/>
        <v>44</v>
      </c>
      <c r="Z953" s="1307">
        <f t="shared" si="72"/>
        <v>0</v>
      </c>
      <c r="AA953" s="1307">
        <f t="shared" si="73"/>
        <v>44</v>
      </c>
      <c r="AB953" s="1307">
        <f t="shared" si="74"/>
        <v>0</v>
      </c>
    </row>
    <row r="954" spans="20:28">
      <c r="T954" s="1077">
        <v>37</v>
      </c>
      <c r="U954" s="1077">
        <f t="shared" si="70"/>
        <v>18</v>
      </c>
      <c r="V954" s="1077">
        <v>45</v>
      </c>
      <c r="W954" s="1077">
        <f t="array" ref="W954">SUMPRODUCT(IF('卡片raw data'!BM$1:BM$1000=T954,1,0),IF('卡片raw data'!BO$1:BO$1000=V954,1,0),IF(IF('卡片raw data'!C$1:C$1000=R$3,1,0)+IF(R$3="",1,0)&gt;=1,1,0),IF(IF('卡片raw data'!D$1:D$1000=R$4,1,0)+IF(R$4="",1,0)&gt;=1,1,0),IF(IF('卡片raw data'!E$1:E$1000=R$5,1,0)+IF(R$5="",1,0)&gt;=1,1,0))</f>
        <v>3</v>
      </c>
      <c r="Y954" s="1307">
        <f t="shared" si="71"/>
        <v>45</v>
      </c>
      <c r="Z954" s="1307">
        <f t="shared" si="72"/>
        <v>3</v>
      </c>
      <c r="AA954" s="1307">
        <f t="shared" si="73"/>
        <v>45</v>
      </c>
      <c r="AB954" s="1307">
        <f t="shared" si="74"/>
        <v>0</v>
      </c>
    </row>
    <row r="955" spans="20:28">
      <c r="T955" s="1077">
        <v>37</v>
      </c>
      <c r="U955" s="1077">
        <f t="shared" si="70"/>
        <v>17</v>
      </c>
      <c r="V955" s="1077">
        <v>46</v>
      </c>
      <c r="W955" s="1077">
        <f t="array" ref="W955">SUMPRODUCT(IF('卡片raw data'!BM$1:BM$1000=T955,1,0),IF('卡片raw data'!BO$1:BO$1000=V955,1,0),IF(IF('卡片raw data'!C$1:C$1000=R$3,1,0)+IF(R$3="",1,0)&gt;=1,1,0),IF(IF('卡片raw data'!D$1:D$1000=R$4,1,0)+IF(R$4="",1,0)&gt;=1,1,0),IF(IF('卡片raw data'!E$1:E$1000=R$5,1,0)+IF(R$5="",1,0)&gt;=1,1,0))</f>
        <v>0</v>
      </c>
      <c r="Y955" s="1307">
        <f t="shared" si="71"/>
        <v>46</v>
      </c>
      <c r="Z955" s="1307">
        <f t="shared" si="72"/>
        <v>0</v>
      </c>
      <c r="AA955" s="1307">
        <f t="shared" si="73"/>
        <v>46</v>
      </c>
      <c r="AB955" s="1307">
        <f t="shared" si="74"/>
        <v>0</v>
      </c>
    </row>
    <row r="956" spans="20:28">
      <c r="T956" s="1077">
        <v>37</v>
      </c>
      <c r="U956" s="1077">
        <f t="shared" si="70"/>
        <v>16</v>
      </c>
      <c r="V956" s="1077">
        <v>47</v>
      </c>
      <c r="W956" s="1077">
        <f t="array" ref="W956">SUMPRODUCT(IF('卡片raw data'!BM$1:BM$1000=T956,1,0),IF('卡片raw data'!BO$1:BO$1000=V956,1,0),IF(IF('卡片raw data'!C$1:C$1000=R$3,1,0)+IF(R$3="",1,0)&gt;=1,1,0),IF(IF('卡片raw data'!D$1:D$1000=R$4,1,0)+IF(R$4="",1,0)&gt;=1,1,0),IF(IF('卡片raw data'!E$1:E$1000=R$5,1,0)+IF(R$5="",1,0)&gt;=1,1,0))</f>
        <v>0</v>
      </c>
      <c r="Y956" s="1307">
        <f t="shared" si="71"/>
        <v>47</v>
      </c>
      <c r="Z956" s="1307">
        <f t="shared" si="72"/>
        <v>0</v>
      </c>
      <c r="AA956" s="1307">
        <f t="shared" si="73"/>
        <v>47</v>
      </c>
      <c r="AB956" s="1307">
        <f t="shared" si="74"/>
        <v>0</v>
      </c>
    </row>
    <row r="957" spans="20:28">
      <c r="T957" s="1077">
        <v>37</v>
      </c>
      <c r="U957" s="1077">
        <f t="shared" si="70"/>
        <v>15</v>
      </c>
      <c r="V957" s="1077">
        <v>48</v>
      </c>
      <c r="W957" s="1077">
        <f t="array" ref="W957">SUMPRODUCT(IF('卡片raw data'!BM$1:BM$1000=T957,1,0),IF('卡片raw data'!BO$1:BO$1000=V957,1,0),IF(IF('卡片raw data'!C$1:C$1000=R$3,1,0)+IF(R$3="",1,0)&gt;=1,1,0),IF(IF('卡片raw data'!D$1:D$1000=R$4,1,0)+IF(R$4="",1,0)&gt;=1,1,0),IF(IF('卡片raw data'!E$1:E$1000=R$5,1,0)+IF(R$5="",1,0)&gt;=1,1,0))</f>
        <v>0</v>
      </c>
      <c r="Y957" s="1307">
        <f t="shared" si="71"/>
        <v>48</v>
      </c>
      <c r="Z957" s="1307">
        <f t="shared" si="72"/>
        <v>0</v>
      </c>
      <c r="AA957" s="1307">
        <f t="shared" si="73"/>
        <v>48</v>
      </c>
      <c r="AB957" s="1307">
        <f t="shared" si="74"/>
        <v>0</v>
      </c>
    </row>
    <row r="958" spans="20:28">
      <c r="T958" s="1077">
        <v>37</v>
      </c>
      <c r="U958" s="1077">
        <f t="shared" si="70"/>
        <v>14</v>
      </c>
      <c r="V958" s="1077">
        <v>49</v>
      </c>
      <c r="W958" s="1077">
        <f t="array" ref="W958">SUMPRODUCT(IF('卡片raw data'!BM$1:BM$1000=T958,1,0),IF('卡片raw data'!BO$1:BO$1000=V958,1,0),IF(IF('卡片raw data'!C$1:C$1000=R$3,1,0)+IF(R$3="",1,0)&gt;=1,1,0),IF(IF('卡片raw data'!D$1:D$1000=R$4,1,0)+IF(R$4="",1,0)&gt;=1,1,0),IF(IF('卡片raw data'!E$1:E$1000=R$5,1,0)+IF(R$5="",1,0)&gt;=1,1,0))</f>
        <v>0</v>
      </c>
      <c r="Y958" s="1307">
        <f t="shared" si="71"/>
        <v>49</v>
      </c>
      <c r="Z958" s="1307">
        <f t="shared" si="72"/>
        <v>0</v>
      </c>
      <c r="AA958" s="1307">
        <f t="shared" si="73"/>
        <v>49</v>
      </c>
      <c r="AB958" s="1307">
        <f t="shared" si="74"/>
        <v>0</v>
      </c>
    </row>
    <row r="959" spans="20:28">
      <c r="T959" s="1077">
        <v>37</v>
      </c>
      <c r="U959" s="1077">
        <f t="shared" si="70"/>
        <v>13</v>
      </c>
      <c r="V959" s="1077">
        <v>50</v>
      </c>
      <c r="W959" s="1077">
        <f t="array" ref="W959">SUMPRODUCT(IF('卡片raw data'!BM$1:BM$1000=T959,1,0),IF('卡片raw data'!BO$1:BO$1000=V959,1,0),IF(IF('卡片raw data'!C$1:C$1000=R$3,1,0)+IF(R$3="",1,0)&gt;=1,1,0),IF(IF('卡片raw data'!D$1:D$1000=R$4,1,0)+IF(R$4="",1,0)&gt;=1,1,0),IF(IF('卡片raw data'!E$1:E$1000=R$5,1,0)+IF(R$5="",1,0)&gt;=1,1,0))</f>
        <v>0</v>
      </c>
      <c r="Y959" s="1307">
        <f t="shared" si="71"/>
        <v>50</v>
      </c>
      <c r="Z959" s="1307">
        <f t="shared" si="72"/>
        <v>0</v>
      </c>
      <c r="AA959" s="1307">
        <f t="shared" si="73"/>
        <v>50</v>
      </c>
      <c r="AB959" s="1307">
        <f t="shared" si="74"/>
        <v>0</v>
      </c>
    </row>
    <row r="960" spans="20:28">
      <c r="T960" s="1077">
        <v>37</v>
      </c>
      <c r="U960" s="1077">
        <f t="shared" si="70"/>
        <v>12</v>
      </c>
      <c r="V960" s="1077">
        <v>51</v>
      </c>
      <c r="W960" s="1077">
        <f t="array" ref="W960">SUMPRODUCT(IF('卡片raw data'!BM$1:BM$1000=T960,1,0),IF('卡片raw data'!BO$1:BO$1000=V960,1,0),IF(IF('卡片raw data'!C$1:C$1000=R$3,1,0)+IF(R$3="",1,0)&gt;=1,1,0),IF(IF('卡片raw data'!D$1:D$1000=R$4,1,0)+IF(R$4="",1,0)&gt;=1,1,0),IF(IF('卡片raw data'!E$1:E$1000=R$5,1,0)+IF(R$5="",1,0)&gt;=1,1,0))</f>
        <v>0</v>
      </c>
      <c r="Y960" s="1307">
        <f t="shared" si="71"/>
        <v>51</v>
      </c>
      <c r="Z960" s="1307">
        <f t="shared" si="72"/>
        <v>0</v>
      </c>
      <c r="AA960" s="1307">
        <f t="shared" si="73"/>
        <v>51</v>
      </c>
      <c r="AB960" s="1307">
        <f t="shared" si="74"/>
        <v>0</v>
      </c>
    </row>
    <row r="961" spans="20:28">
      <c r="T961" s="1077">
        <v>37</v>
      </c>
      <c r="U961" s="1077">
        <f t="shared" si="70"/>
        <v>11</v>
      </c>
      <c r="V961" s="1077">
        <v>52</v>
      </c>
      <c r="W961" s="1077">
        <f t="array" ref="W961">SUMPRODUCT(IF('卡片raw data'!BM$1:BM$1000=T961,1,0),IF('卡片raw data'!BO$1:BO$1000=V961,1,0),IF(IF('卡片raw data'!C$1:C$1000=R$3,1,0)+IF(R$3="",1,0)&gt;=1,1,0),IF(IF('卡片raw data'!D$1:D$1000=R$4,1,0)+IF(R$4="",1,0)&gt;=1,1,0),IF(IF('卡片raw data'!E$1:E$1000=R$5,1,0)+IF(R$5="",1,0)&gt;=1,1,0))</f>
        <v>0</v>
      </c>
      <c r="Y961" s="1307">
        <f t="shared" si="71"/>
        <v>52</v>
      </c>
      <c r="Z961" s="1307">
        <f t="shared" si="72"/>
        <v>0</v>
      </c>
      <c r="AA961" s="1307">
        <f t="shared" si="73"/>
        <v>52</v>
      </c>
      <c r="AB961" s="1307">
        <f t="shared" si="74"/>
        <v>0</v>
      </c>
    </row>
    <row r="962" spans="20:28">
      <c r="T962" s="1077">
        <v>37</v>
      </c>
      <c r="U962" s="1077">
        <f t="shared" si="70"/>
        <v>10</v>
      </c>
      <c r="V962" s="1077">
        <v>53</v>
      </c>
      <c r="W962" s="1077">
        <f t="array" ref="W962">SUMPRODUCT(IF('卡片raw data'!BM$1:BM$1000=T962,1,0),IF('卡片raw data'!BO$1:BO$1000=V962,1,0),IF(IF('卡片raw data'!C$1:C$1000=R$3,1,0)+IF(R$3="",1,0)&gt;=1,1,0),IF(IF('卡片raw data'!D$1:D$1000=R$4,1,0)+IF(R$4="",1,0)&gt;=1,1,0),IF(IF('卡片raw data'!E$1:E$1000=R$5,1,0)+IF(R$5="",1,0)&gt;=1,1,0))</f>
        <v>0</v>
      </c>
      <c r="Y962" s="1307">
        <f t="shared" si="71"/>
        <v>53</v>
      </c>
      <c r="Z962" s="1307">
        <f t="shared" si="72"/>
        <v>0</v>
      </c>
      <c r="AA962" s="1307">
        <f t="shared" si="73"/>
        <v>53</v>
      </c>
      <c r="AB962" s="1307">
        <f t="shared" si="74"/>
        <v>0</v>
      </c>
    </row>
    <row r="963" spans="20:28">
      <c r="T963" s="1077">
        <v>38</v>
      </c>
      <c r="U963" s="1077">
        <f t="shared" si="70"/>
        <v>52</v>
      </c>
      <c r="V963" s="1077">
        <v>10</v>
      </c>
      <c r="W963" s="1077">
        <f t="array" ref="W963">SUMPRODUCT(IF('卡片raw data'!BM$1:BM$1000=T963,1,0),IF('卡片raw data'!BO$1:BO$1000=V963,1,0),IF(IF('卡片raw data'!C$1:C$1000=R$3,1,0)+IF(R$3="",1,0)&gt;=1,1,0),IF(IF('卡片raw data'!D$1:D$1000=R$4,1,0)+IF(R$4="",1,0)&gt;=1,1,0),IF(IF('卡片raw data'!E$1:E$1000=R$5,1,0)+IF(R$5="",1,0)&gt;=1,1,0))</f>
        <v>0</v>
      </c>
      <c r="Y963" s="1307">
        <f t="shared" si="71"/>
        <v>10</v>
      </c>
      <c r="Z963" s="1307">
        <f t="shared" si="72"/>
        <v>0</v>
      </c>
      <c r="AA963" s="1307">
        <f t="shared" si="73"/>
        <v>10</v>
      </c>
      <c r="AB963" s="1307">
        <f t="shared" si="74"/>
        <v>0</v>
      </c>
    </row>
    <row r="964" spans="20:28">
      <c r="T964" s="1077">
        <v>38</v>
      </c>
      <c r="U964" s="1077">
        <f t="shared" ref="U964:U1027" si="75">100-T964-V964</f>
        <v>51</v>
      </c>
      <c r="V964" s="1077">
        <v>11</v>
      </c>
      <c r="W964" s="1077">
        <f t="array" ref="W964">SUMPRODUCT(IF('卡片raw data'!BM$1:BM$1000=T964,1,0),IF('卡片raw data'!BO$1:BO$1000=V964,1,0),IF(IF('卡片raw data'!C$1:C$1000=R$3,1,0)+IF(R$3="",1,0)&gt;=1,1,0),IF(IF('卡片raw data'!D$1:D$1000=R$4,1,0)+IF(R$4="",1,0)&gt;=1,1,0),IF(IF('卡片raw data'!E$1:E$1000=R$5,1,0)+IF(R$5="",1,0)&gt;=1,1,0))</f>
        <v>0</v>
      </c>
      <c r="Y964" s="1307">
        <f t="shared" ref="Y964:Y1027" si="76">V964</f>
        <v>11</v>
      </c>
      <c r="Z964" s="1307">
        <f t="shared" ref="Z964:Z1027" si="77">IF(AND(V964&gt;U964,V964&gt;T964),W964,0)</f>
        <v>0</v>
      </c>
      <c r="AA964" s="1307">
        <f t="shared" ref="AA964:AA1027" si="78">V964</f>
        <v>11</v>
      </c>
      <c r="AB964" s="1307">
        <f t="shared" ref="AB964:AB1027" si="79">W964-Z964</f>
        <v>0</v>
      </c>
    </row>
    <row r="965" spans="20:28">
      <c r="T965" s="1077">
        <v>38</v>
      </c>
      <c r="U965" s="1077">
        <f t="shared" si="75"/>
        <v>50</v>
      </c>
      <c r="V965" s="1077">
        <v>12</v>
      </c>
      <c r="W965" s="1077">
        <f t="array" ref="W965">SUMPRODUCT(IF('卡片raw data'!BM$1:BM$1000=T965,1,0),IF('卡片raw data'!BO$1:BO$1000=V965,1,0),IF(IF('卡片raw data'!C$1:C$1000=R$3,1,0)+IF(R$3="",1,0)&gt;=1,1,0),IF(IF('卡片raw data'!D$1:D$1000=R$4,1,0)+IF(R$4="",1,0)&gt;=1,1,0),IF(IF('卡片raw data'!E$1:E$1000=R$5,1,0)+IF(R$5="",1,0)&gt;=1,1,0))</f>
        <v>0</v>
      </c>
      <c r="Y965" s="1307">
        <f t="shared" si="76"/>
        <v>12</v>
      </c>
      <c r="Z965" s="1307">
        <f t="shared" si="77"/>
        <v>0</v>
      </c>
      <c r="AA965" s="1307">
        <f t="shared" si="78"/>
        <v>12</v>
      </c>
      <c r="AB965" s="1307">
        <f t="shared" si="79"/>
        <v>0</v>
      </c>
    </row>
    <row r="966" spans="20:28">
      <c r="T966" s="1077">
        <v>38</v>
      </c>
      <c r="U966" s="1077">
        <f t="shared" si="75"/>
        <v>49</v>
      </c>
      <c r="V966" s="1077">
        <v>13</v>
      </c>
      <c r="W966" s="1077">
        <f t="array" ref="W966">SUMPRODUCT(IF('卡片raw data'!BM$1:BM$1000=T966,1,0),IF('卡片raw data'!BO$1:BO$1000=V966,1,0),IF(IF('卡片raw data'!C$1:C$1000=R$3,1,0)+IF(R$3="",1,0)&gt;=1,1,0),IF(IF('卡片raw data'!D$1:D$1000=R$4,1,0)+IF(R$4="",1,0)&gt;=1,1,0),IF(IF('卡片raw data'!E$1:E$1000=R$5,1,0)+IF(R$5="",1,0)&gt;=1,1,0))</f>
        <v>0</v>
      </c>
      <c r="Y966" s="1307">
        <f t="shared" si="76"/>
        <v>13</v>
      </c>
      <c r="Z966" s="1307">
        <f t="shared" si="77"/>
        <v>0</v>
      </c>
      <c r="AA966" s="1307">
        <f t="shared" si="78"/>
        <v>13</v>
      </c>
      <c r="AB966" s="1307">
        <f t="shared" si="79"/>
        <v>0</v>
      </c>
    </row>
    <row r="967" spans="20:28">
      <c r="T967" s="1077">
        <v>38</v>
      </c>
      <c r="U967" s="1077">
        <f t="shared" si="75"/>
        <v>48</v>
      </c>
      <c r="V967" s="1077">
        <v>14</v>
      </c>
      <c r="W967" s="1077">
        <f t="array" ref="W967">SUMPRODUCT(IF('卡片raw data'!BM$1:BM$1000=T967,1,0),IF('卡片raw data'!BO$1:BO$1000=V967,1,0),IF(IF('卡片raw data'!C$1:C$1000=R$3,1,0)+IF(R$3="",1,0)&gt;=1,1,0),IF(IF('卡片raw data'!D$1:D$1000=R$4,1,0)+IF(R$4="",1,0)&gt;=1,1,0),IF(IF('卡片raw data'!E$1:E$1000=R$5,1,0)+IF(R$5="",1,0)&gt;=1,1,0))</f>
        <v>0</v>
      </c>
      <c r="Y967" s="1307">
        <f t="shared" si="76"/>
        <v>14</v>
      </c>
      <c r="Z967" s="1307">
        <f t="shared" si="77"/>
        <v>0</v>
      </c>
      <c r="AA967" s="1307">
        <f t="shared" si="78"/>
        <v>14</v>
      </c>
      <c r="AB967" s="1307">
        <f t="shared" si="79"/>
        <v>0</v>
      </c>
    </row>
    <row r="968" spans="20:28">
      <c r="T968" s="1077">
        <v>38</v>
      </c>
      <c r="U968" s="1077">
        <f t="shared" si="75"/>
        <v>47</v>
      </c>
      <c r="V968" s="1077">
        <v>15</v>
      </c>
      <c r="W968" s="1077">
        <f t="array" ref="W968">SUMPRODUCT(IF('卡片raw data'!BM$1:BM$1000=T968,1,0),IF('卡片raw data'!BO$1:BO$1000=V968,1,0),IF(IF('卡片raw data'!C$1:C$1000=R$3,1,0)+IF(R$3="",1,0)&gt;=1,1,0),IF(IF('卡片raw data'!D$1:D$1000=R$4,1,0)+IF(R$4="",1,0)&gt;=1,1,0),IF(IF('卡片raw data'!E$1:E$1000=R$5,1,0)+IF(R$5="",1,0)&gt;=1,1,0))</f>
        <v>0</v>
      </c>
      <c r="Y968" s="1307">
        <f t="shared" si="76"/>
        <v>15</v>
      </c>
      <c r="Z968" s="1307">
        <f t="shared" si="77"/>
        <v>0</v>
      </c>
      <c r="AA968" s="1307">
        <f t="shared" si="78"/>
        <v>15</v>
      </c>
      <c r="AB968" s="1307">
        <f t="shared" si="79"/>
        <v>0</v>
      </c>
    </row>
    <row r="969" spans="20:28">
      <c r="T969" s="1077">
        <v>38</v>
      </c>
      <c r="U969" s="1077">
        <f t="shared" si="75"/>
        <v>46</v>
      </c>
      <c r="V969" s="1077">
        <v>16</v>
      </c>
      <c r="W969" s="1077">
        <f t="array" ref="W969">SUMPRODUCT(IF('卡片raw data'!BM$1:BM$1000=T969,1,0),IF('卡片raw data'!BO$1:BO$1000=V969,1,0),IF(IF('卡片raw data'!C$1:C$1000=R$3,1,0)+IF(R$3="",1,0)&gt;=1,1,0),IF(IF('卡片raw data'!D$1:D$1000=R$4,1,0)+IF(R$4="",1,0)&gt;=1,1,0),IF(IF('卡片raw data'!E$1:E$1000=R$5,1,0)+IF(R$5="",1,0)&gt;=1,1,0))</f>
        <v>0</v>
      </c>
      <c r="Y969" s="1307">
        <f t="shared" si="76"/>
        <v>16</v>
      </c>
      <c r="Z969" s="1307">
        <f t="shared" si="77"/>
        <v>0</v>
      </c>
      <c r="AA969" s="1307">
        <f t="shared" si="78"/>
        <v>16</v>
      </c>
      <c r="AB969" s="1307">
        <f t="shared" si="79"/>
        <v>0</v>
      </c>
    </row>
    <row r="970" spans="20:28">
      <c r="T970" s="1077">
        <v>38</v>
      </c>
      <c r="U970" s="1077">
        <f t="shared" si="75"/>
        <v>45</v>
      </c>
      <c r="V970" s="1077">
        <v>17</v>
      </c>
      <c r="W970" s="1077">
        <f t="array" ref="W970">SUMPRODUCT(IF('卡片raw data'!BM$1:BM$1000=T970,1,0),IF('卡片raw data'!BO$1:BO$1000=V970,1,0),IF(IF('卡片raw data'!C$1:C$1000=R$3,1,0)+IF(R$3="",1,0)&gt;=1,1,0),IF(IF('卡片raw data'!D$1:D$1000=R$4,1,0)+IF(R$4="",1,0)&gt;=1,1,0),IF(IF('卡片raw data'!E$1:E$1000=R$5,1,0)+IF(R$5="",1,0)&gt;=1,1,0))</f>
        <v>0</v>
      </c>
      <c r="Y970" s="1307">
        <f t="shared" si="76"/>
        <v>17</v>
      </c>
      <c r="Z970" s="1307">
        <f t="shared" si="77"/>
        <v>0</v>
      </c>
      <c r="AA970" s="1307">
        <f t="shared" si="78"/>
        <v>17</v>
      </c>
      <c r="AB970" s="1307">
        <f t="shared" si="79"/>
        <v>0</v>
      </c>
    </row>
    <row r="971" spans="20:28">
      <c r="T971" s="1077">
        <v>38</v>
      </c>
      <c r="U971" s="1077">
        <f t="shared" si="75"/>
        <v>44</v>
      </c>
      <c r="V971" s="1077">
        <v>18</v>
      </c>
      <c r="W971" s="1077">
        <f t="array" ref="W971">SUMPRODUCT(IF('卡片raw data'!BM$1:BM$1000=T971,1,0),IF('卡片raw data'!BO$1:BO$1000=V971,1,0),IF(IF('卡片raw data'!C$1:C$1000=R$3,1,0)+IF(R$3="",1,0)&gt;=1,1,0),IF(IF('卡片raw data'!D$1:D$1000=R$4,1,0)+IF(R$4="",1,0)&gt;=1,1,0),IF(IF('卡片raw data'!E$1:E$1000=R$5,1,0)+IF(R$5="",1,0)&gt;=1,1,0))</f>
        <v>0</v>
      </c>
      <c r="Y971" s="1307">
        <f t="shared" si="76"/>
        <v>18</v>
      </c>
      <c r="Z971" s="1307">
        <f t="shared" si="77"/>
        <v>0</v>
      </c>
      <c r="AA971" s="1307">
        <f t="shared" si="78"/>
        <v>18</v>
      </c>
      <c r="AB971" s="1307">
        <f t="shared" si="79"/>
        <v>0</v>
      </c>
    </row>
    <row r="972" spans="20:28">
      <c r="T972" s="1077">
        <v>38</v>
      </c>
      <c r="U972" s="1077">
        <f t="shared" si="75"/>
        <v>43</v>
      </c>
      <c r="V972" s="1077">
        <v>19</v>
      </c>
      <c r="W972" s="1077">
        <f t="array" ref="W972">SUMPRODUCT(IF('卡片raw data'!BM$1:BM$1000=T972,1,0),IF('卡片raw data'!BO$1:BO$1000=V972,1,0),IF(IF('卡片raw data'!C$1:C$1000=R$3,1,0)+IF(R$3="",1,0)&gt;=1,1,0),IF(IF('卡片raw data'!D$1:D$1000=R$4,1,0)+IF(R$4="",1,0)&gt;=1,1,0),IF(IF('卡片raw data'!E$1:E$1000=R$5,1,0)+IF(R$5="",1,0)&gt;=1,1,0))</f>
        <v>0</v>
      </c>
      <c r="Y972" s="1307">
        <f t="shared" si="76"/>
        <v>19</v>
      </c>
      <c r="Z972" s="1307">
        <f t="shared" si="77"/>
        <v>0</v>
      </c>
      <c r="AA972" s="1307">
        <f t="shared" si="78"/>
        <v>19</v>
      </c>
      <c r="AB972" s="1307">
        <f t="shared" si="79"/>
        <v>0</v>
      </c>
    </row>
    <row r="973" spans="20:28">
      <c r="T973" s="1077">
        <v>38</v>
      </c>
      <c r="U973" s="1077">
        <f t="shared" si="75"/>
        <v>42</v>
      </c>
      <c r="V973" s="1077">
        <v>20</v>
      </c>
      <c r="W973" s="1077">
        <f t="array" ref="W973">SUMPRODUCT(IF('卡片raw data'!BM$1:BM$1000=T973,1,0),IF('卡片raw data'!BO$1:BO$1000=V973,1,0),IF(IF('卡片raw data'!C$1:C$1000=R$3,1,0)+IF(R$3="",1,0)&gt;=1,1,0),IF(IF('卡片raw data'!D$1:D$1000=R$4,1,0)+IF(R$4="",1,0)&gt;=1,1,0),IF(IF('卡片raw data'!E$1:E$1000=R$5,1,0)+IF(R$5="",1,0)&gt;=1,1,0))</f>
        <v>0</v>
      </c>
      <c r="Y973" s="1307">
        <f t="shared" si="76"/>
        <v>20</v>
      </c>
      <c r="Z973" s="1307">
        <f t="shared" si="77"/>
        <v>0</v>
      </c>
      <c r="AA973" s="1307">
        <f t="shared" si="78"/>
        <v>20</v>
      </c>
      <c r="AB973" s="1307">
        <f t="shared" si="79"/>
        <v>0</v>
      </c>
    </row>
    <row r="974" spans="20:28">
      <c r="T974" s="1077">
        <v>38</v>
      </c>
      <c r="U974" s="1077">
        <f t="shared" si="75"/>
        <v>41</v>
      </c>
      <c r="V974" s="1077">
        <v>21</v>
      </c>
      <c r="W974" s="1077">
        <f t="array" ref="W974">SUMPRODUCT(IF('卡片raw data'!BM$1:BM$1000=T974,1,0),IF('卡片raw data'!BO$1:BO$1000=V974,1,0),IF(IF('卡片raw data'!C$1:C$1000=R$3,1,0)+IF(R$3="",1,0)&gt;=1,1,0),IF(IF('卡片raw data'!D$1:D$1000=R$4,1,0)+IF(R$4="",1,0)&gt;=1,1,0),IF(IF('卡片raw data'!E$1:E$1000=R$5,1,0)+IF(R$5="",1,0)&gt;=1,1,0))</f>
        <v>0</v>
      </c>
      <c r="Y974" s="1307">
        <f t="shared" si="76"/>
        <v>21</v>
      </c>
      <c r="Z974" s="1307">
        <f t="shared" si="77"/>
        <v>0</v>
      </c>
      <c r="AA974" s="1307">
        <f t="shared" si="78"/>
        <v>21</v>
      </c>
      <c r="AB974" s="1307">
        <f t="shared" si="79"/>
        <v>0</v>
      </c>
    </row>
    <row r="975" spans="20:28">
      <c r="T975" s="1077">
        <v>38</v>
      </c>
      <c r="U975" s="1077">
        <f t="shared" si="75"/>
        <v>40</v>
      </c>
      <c r="V975" s="1077">
        <v>22</v>
      </c>
      <c r="W975" s="1077">
        <f t="array" ref="W975">SUMPRODUCT(IF('卡片raw data'!BM$1:BM$1000=T975,1,0),IF('卡片raw data'!BO$1:BO$1000=V975,1,0),IF(IF('卡片raw data'!C$1:C$1000=R$3,1,0)+IF(R$3="",1,0)&gt;=1,1,0),IF(IF('卡片raw data'!D$1:D$1000=R$4,1,0)+IF(R$4="",1,0)&gt;=1,1,0),IF(IF('卡片raw data'!E$1:E$1000=R$5,1,0)+IF(R$5="",1,0)&gt;=1,1,0))</f>
        <v>0</v>
      </c>
      <c r="Y975" s="1307">
        <f t="shared" si="76"/>
        <v>22</v>
      </c>
      <c r="Z975" s="1307">
        <f t="shared" si="77"/>
        <v>0</v>
      </c>
      <c r="AA975" s="1307">
        <f t="shared" si="78"/>
        <v>22</v>
      </c>
      <c r="AB975" s="1307">
        <f t="shared" si="79"/>
        <v>0</v>
      </c>
    </row>
    <row r="976" spans="20:28">
      <c r="T976" s="1077">
        <v>38</v>
      </c>
      <c r="U976" s="1077">
        <f t="shared" si="75"/>
        <v>39</v>
      </c>
      <c r="V976" s="1077">
        <v>23</v>
      </c>
      <c r="W976" s="1077">
        <f t="array" ref="W976">SUMPRODUCT(IF('卡片raw data'!BM$1:BM$1000=T976,1,0),IF('卡片raw data'!BO$1:BO$1000=V976,1,0),IF(IF('卡片raw data'!C$1:C$1000=R$3,1,0)+IF(R$3="",1,0)&gt;=1,1,0),IF(IF('卡片raw data'!D$1:D$1000=R$4,1,0)+IF(R$4="",1,0)&gt;=1,1,0),IF(IF('卡片raw data'!E$1:E$1000=R$5,1,0)+IF(R$5="",1,0)&gt;=1,1,0))</f>
        <v>0</v>
      </c>
      <c r="Y976" s="1307">
        <f t="shared" si="76"/>
        <v>23</v>
      </c>
      <c r="Z976" s="1307">
        <f t="shared" si="77"/>
        <v>0</v>
      </c>
      <c r="AA976" s="1307">
        <f t="shared" si="78"/>
        <v>23</v>
      </c>
      <c r="AB976" s="1307">
        <f t="shared" si="79"/>
        <v>0</v>
      </c>
    </row>
    <row r="977" spans="20:28">
      <c r="T977" s="1077">
        <v>38</v>
      </c>
      <c r="U977" s="1077">
        <f t="shared" si="75"/>
        <v>38</v>
      </c>
      <c r="V977" s="1077">
        <v>24</v>
      </c>
      <c r="W977" s="1077">
        <f t="array" ref="W977">SUMPRODUCT(IF('卡片raw data'!BM$1:BM$1000=T977,1,0),IF('卡片raw data'!BO$1:BO$1000=V977,1,0),IF(IF('卡片raw data'!C$1:C$1000=R$3,1,0)+IF(R$3="",1,0)&gt;=1,1,0),IF(IF('卡片raw data'!D$1:D$1000=R$4,1,0)+IF(R$4="",1,0)&gt;=1,1,0),IF(IF('卡片raw data'!E$1:E$1000=R$5,1,0)+IF(R$5="",1,0)&gt;=1,1,0))</f>
        <v>0</v>
      </c>
      <c r="Y977" s="1307">
        <f t="shared" si="76"/>
        <v>24</v>
      </c>
      <c r="Z977" s="1307">
        <f t="shared" si="77"/>
        <v>0</v>
      </c>
      <c r="AA977" s="1307">
        <f t="shared" si="78"/>
        <v>24</v>
      </c>
      <c r="AB977" s="1307">
        <f t="shared" si="79"/>
        <v>0</v>
      </c>
    </row>
    <row r="978" spans="20:28">
      <c r="T978" s="1077">
        <v>38</v>
      </c>
      <c r="U978" s="1077">
        <f t="shared" si="75"/>
        <v>37</v>
      </c>
      <c r="V978" s="1077">
        <v>25</v>
      </c>
      <c r="W978" s="1077">
        <f t="array" ref="W978">SUMPRODUCT(IF('卡片raw data'!BM$1:BM$1000=T978,1,0),IF('卡片raw data'!BO$1:BO$1000=V978,1,0),IF(IF('卡片raw data'!C$1:C$1000=R$3,1,0)+IF(R$3="",1,0)&gt;=1,1,0),IF(IF('卡片raw data'!D$1:D$1000=R$4,1,0)+IF(R$4="",1,0)&gt;=1,1,0),IF(IF('卡片raw data'!E$1:E$1000=R$5,1,0)+IF(R$5="",1,0)&gt;=1,1,0))</f>
        <v>0</v>
      </c>
      <c r="Y978" s="1307">
        <f t="shared" si="76"/>
        <v>25</v>
      </c>
      <c r="Z978" s="1307">
        <f t="shared" si="77"/>
        <v>0</v>
      </c>
      <c r="AA978" s="1307">
        <f t="shared" si="78"/>
        <v>25</v>
      </c>
      <c r="AB978" s="1307">
        <f t="shared" si="79"/>
        <v>0</v>
      </c>
    </row>
    <row r="979" spans="20:28">
      <c r="T979" s="1077">
        <v>38</v>
      </c>
      <c r="U979" s="1077">
        <f t="shared" si="75"/>
        <v>36</v>
      </c>
      <c r="V979" s="1077">
        <v>26</v>
      </c>
      <c r="W979" s="1077">
        <f t="array" ref="W979">SUMPRODUCT(IF('卡片raw data'!BM$1:BM$1000=T979,1,0),IF('卡片raw data'!BO$1:BO$1000=V979,1,0),IF(IF('卡片raw data'!C$1:C$1000=R$3,1,0)+IF(R$3="",1,0)&gt;=1,1,0),IF(IF('卡片raw data'!D$1:D$1000=R$4,1,0)+IF(R$4="",1,0)&gt;=1,1,0),IF(IF('卡片raw data'!E$1:E$1000=R$5,1,0)+IF(R$5="",1,0)&gt;=1,1,0))</f>
        <v>0</v>
      </c>
      <c r="Y979" s="1307">
        <f t="shared" si="76"/>
        <v>26</v>
      </c>
      <c r="Z979" s="1307">
        <f t="shared" si="77"/>
        <v>0</v>
      </c>
      <c r="AA979" s="1307">
        <f t="shared" si="78"/>
        <v>26</v>
      </c>
      <c r="AB979" s="1307">
        <f t="shared" si="79"/>
        <v>0</v>
      </c>
    </row>
    <row r="980" spans="20:28">
      <c r="T980" s="1077">
        <v>38</v>
      </c>
      <c r="U980" s="1077">
        <f t="shared" si="75"/>
        <v>35</v>
      </c>
      <c r="V980" s="1077">
        <v>27</v>
      </c>
      <c r="W980" s="1077">
        <f t="array" ref="W980">SUMPRODUCT(IF('卡片raw data'!BM$1:BM$1000=T980,1,0),IF('卡片raw data'!BO$1:BO$1000=V980,1,0),IF(IF('卡片raw data'!C$1:C$1000=R$3,1,0)+IF(R$3="",1,0)&gt;=1,1,0),IF(IF('卡片raw data'!D$1:D$1000=R$4,1,0)+IF(R$4="",1,0)&gt;=1,1,0),IF(IF('卡片raw data'!E$1:E$1000=R$5,1,0)+IF(R$5="",1,0)&gt;=1,1,0))</f>
        <v>2</v>
      </c>
      <c r="Y980" s="1307">
        <f t="shared" si="76"/>
        <v>27</v>
      </c>
      <c r="Z980" s="1307">
        <f t="shared" si="77"/>
        <v>0</v>
      </c>
      <c r="AA980" s="1307">
        <f t="shared" si="78"/>
        <v>27</v>
      </c>
      <c r="AB980" s="1307">
        <f t="shared" si="79"/>
        <v>2</v>
      </c>
    </row>
    <row r="981" spans="20:28">
      <c r="T981" s="1077">
        <v>38</v>
      </c>
      <c r="U981" s="1077">
        <f t="shared" si="75"/>
        <v>34</v>
      </c>
      <c r="V981" s="1077">
        <v>28</v>
      </c>
      <c r="W981" s="1077">
        <f t="array" ref="W981">SUMPRODUCT(IF('卡片raw data'!BM$1:BM$1000=T981,1,0),IF('卡片raw data'!BO$1:BO$1000=V981,1,0),IF(IF('卡片raw data'!C$1:C$1000=R$3,1,0)+IF(R$3="",1,0)&gt;=1,1,0),IF(IF('卡片raw data'!D$1:D$1000=R$4,1,0)+IF(R$4="",1,0)&gt;=1,1,0),IF(IF('卡片raw data'!E$1:E$1000=R$5,1,0)+IF(R$5="",1,0)&gt;=1,1,0))</f>
        <v>0</v>
      </c>
      <c r="Y981" s="1307">
        <f t="shared" si="76"/>
        <v>28</v>
      </c>
      <c r="Z981" s="1307">
        <f t="shared" si="77"/>
        <v>0</v>
      </c>
      <c r="AA981" s="1307">
        <f t="shared" si="78"/>
        <v>28</v>
      </c>
      <c r="AB981" s="1307">
        <f t="shared" si="79"/>
        <v>0</v>
      </c>
    </row>
    <row r="982" spans="20:28">
      <c r="T982" s="1077">
        <v>38</v>
      </c>
      <c r="U982" s="1077">
        <f t="shared" si="75"/>
        <v>33</v>
      </c>
      <c r="V982" s="1077">
        <v>29</v>
      </c>
      <c r="W982" s="1077">
        <f t="array" ref="W982">SUMPRODUCT(IF('卡片raw data'!BM$1:BM$1000=T982,1,0),IF('卡片raw data'!BO$1:BO$1000=V982,1,0),IF(IF('卡片raw data'!C$1:C$1000=R$3,1,0)+IF(R$3="",1,0)&gt;=1,1,0),IF(IF('卡片raw data'!D$1:D$1000=R$4,1,0)+IF(R$4="",1,0)&gt;=1,1,0),IF(IF('卡片raw data'!E$1:E$1000=R$5,1,0)+IF(R$5="",1,0)&gt;=1,1,0))</f>
        <v>0</v>
      </c>
      <c r="Y982" s="1307">
        <f t="shared" si="76"/>
        <v>29</v>
      </c>
      <c r="Z982" s="1307">
        <f t="shared" si="77"/>
        <v>0</v>
      </c>
      <c r="AA982" s="1307">
        <f t="shared" si="78"/>
        <v>29</v>
      </c>
      <c r="AB982" s="1307">
        <f t="shared" si="79"/>
        <v>0</v>
      </c>
    </row>
    <row r="983" spans="20:28">
      <c r="T983" s="1077">
        <v>38</v>
      </c>
      <c r="U983" s="1077">
        <f t="shared" si="75"/>
        <v>32</v>
      </c>
      <c r="V983" s="1077">
        <v>30</v>
      </c>
      <c r="W983" s="1077">
        <f t="array" ref="W983">SUMPRODUCT(IF('卡片raw data'!BM$1:BM$1000=T983,1,0),IF('卡片raw data'!BO$1:BO$1000=V983,1,0),IF(IF('卡片raw data'!C$1:C$1000=R$3,1,0)+IF(R$3="",1,0)&gt;=1,1,0),IF(IF('卡片raw data'!D$1:D$1000=R$4,1,0)+IF(R$4="",1,0)&gt;=1,1,0),IF(IF('卡片raw data'!E$1:E$1000=R$5,1,0)+IF(R$5="",1,0)&gt;=1,1,0))</f>
        <v>3</v>
      </c>
      <c r="Y983" s="1307">
        <f t="shared" si="76"/>
        <v>30</v>
      </c>
      <c r="Z983" s="1307">
        <f t="shared" si="77"/>
        <v>0</v>
      </c>
      <c r="AA983" s="1307">
        <f t="shared" si="78"/>
        <v>30</v>
      </c>
      <c r="AB983" s="1307">
        <f t="shared" si="79"/>
        <v>3</v>
      </c>
    </row>
    <row r="984" spans="20:28">
      <c r="T984" s="1077">
        <v>38</v>
      </c>
      <c r="U984" s="1077">
        <f t="shared" si="75"/>
        <v>31</v>
      </c>
      <c r="V984" s="1077">
        <v>31</v>
      </c>
      <c r="W984" s="1077">
        <f t="array" ref="W984">SUMPRODUCT(IF('卡片raw data'!BM$1:BM$1000=T984,1,0),IF('卡片raw data'!BO$1:BO$1000=V984,1,0),IF(IF('卡片raw data'!C$1:C$1000=R$3,1,0)+IF(R$3="",1,0)&gt;=1,1,0),IF(IF('卡片raw data'!D$1:D$1000=R$4,1,0)+IF(R$4="",1,0)&gt;=1,1,0),IF(IF('卡片raw data'!E$1:E$1000=R$5,1,0)+IF(R$5="",1,0)&gt;=1,1,0))</f>
        <v>4</v>
      </c>
      <c r="Y984" s="1307">
        <f t="shared" si="76"/>
        <v>31</v>
      </c>
      <c r="Z984" s="1307">
        <f t="shared" si="77"/>
        <v>0</v>
      </c>
      <c r="AA984" s="1307">
        <f t="shared" si="78"/>
        <v>31</v>
      </c>
      <c r="AB984" s="1307">
        <f t="shared" si="79"/>
        <v>4</v>
      </c>
    </row>
    <row r="985" spans="20:28">
      <c r="T985" s="1077">
        <v>38</v>
      </c>
      <c r="U985" s="1077">
        <f t="shared" si="75"/>
        <v>30</v>
      </c>
      <c r="V985" s="1077">
        <v>32</v>
      </c>
      <c r="W985" s="1077">
        <f t="array" ref="W985">SUMPRODUCT(IF('卡片raw data'!BM$1:BM$1000=T985,1,0),IF('卡片raw data'!BO$1:BO$1000=V985,1,0),IF(IF('卡片raw data'!C$1:C$1000=R$3,1,0)+IF(R$3="",1,0)&gt;=1,1,0),IF(IF('卡片raw data'!D$1:D$1000=R$4,1,0)+IF(R$4="",1,0)&gt;=1,1,0),IF(IF('卡片raw data'!E$1:E$1000=R$5,1,0)+IF(R$5="",1,0)&gt;=1,1,0))</f>
        <v>4</v>
      </c>
      <c r="Y985" s="1307">
        <f t="shared" si="76"/>
        <v>32</v>
      </c>
      <c r="Z985" s="1307">
        <f t="shared" si="77"/>
        <v>0</v>
      </c>
      <c r="AA985" s="1307">
        <f t="shared" si="78"/>
        <v>32</v>
      </c>
      <c r="AB985" s="1307">
        <f t="shared" si="79"/>
        <v>4</v>
      </c>
    </row>
    <row r="986" spans="20:28">
      <c r="T986" s="1077">
        <v>38</v>
      </c>
      <c r="U986" s="1077">
        <f t="shared" si="75"/>
        <v>29</v>
      </c>
      <c r="V986" s="1077">
        <v>33</v>
      </c>
      <c r="W986" s="1077">
        <f t="array" ref="W986">SUMPRODUCT(IF('卡片raw data'!BM$1:BM$1000=T986,1,0),IF('卡片raw data'!BO$1:BO$1000=V986,1,0),IF(IF('卡片raw data'!C$1:C$1000=R$3,1,0)+IF(R$3="",1,0)&gt;=1,1,0),IF(IF('卡片raw data'!D$1:D$1000=R$4,1,0)+IF(R$4="",1,0)&gt;=1,1,0),IF(IF('卡片raw data'!E$1:E$1000=R$5,1,0)+IF(R$5="",1,0)&gt;=1,1,0))</f>
        <v>4</v>
      </c>
      <c r="Y986" s="1307">
        <f t="shared" si="76"/>
        <v>33</v>
      </c>
      <c r="Z986" s="1307">
        <f t="shared" si="77"/>
        <v>0</v>
      </c>
      <c r="AA986" s="1307">
        <f t="shared" si="78"/>
        <v>33</v>
      </c>
      <c r="AB986" s="1307">
        <f t="shared" si="79"/>
        <v>4</v>
      </c>
    </row>
    <row r="987" spans="20:28">
      <c r="T987" s="1077">
        <v>38</v>
      </c>
      <c r="U987" s="1077">
        <f t="shared" si="75"/>
        <v>28</v>
      </c>
      <c r="V987" s="1077">
        <v>34</v>
      </c>
      <c r="W987" s="1077">
        <f t="array" ref="W987">SUMPRODUCT(IF('卡片raw data'!BM$1:BM$1000=T987,1,0),IF('卡片raw data'!BO$1:BO$1000=V987,1,0),IF(IF('卡片raw data'!C$1:C$1000=R$3,1,0)+IF(R$3="",1,0)&gt;=1,1,0),IF(IF('卡片raw data'!D$1:D$1000=R$4,1,0)+IF(R$4="",1,0)&gt;=1,1,0),IF(IF('卡片raw data'!E$1:E$1000=R$5,1,0)+IF(R$5="",1,0)&gt;=1,1,0))</f>
        <v>2</v>
      </c>
      <c r="Y987" s="1307">
        <f t="shared" si="76"/>
        <v>34</v>
      </c>
      <c r="Z987" s="1307">
        <f t="shared" si="77"/>
        <v>0</v>
      </c>
      <c r="AA987" s="1307">
        <f t="shared" si="78"/>
        <v>34</v>
      </c>
      <c r="AB987" s="1307">
        <f t="shared" si="79"/>
        <v>2</v>
      </c>
    </row>
    <row r="988" spans="20:28">
      <c r="T988" s="1077">
        <v>38</v>
      </c>
      <c r="U988" s="1077">
        <f t="shared" si="75"/>
        <v>27</v>
      </c>
      <c r="V988" s="1077">
        <v>35</v>
      </c>
      <c r="W988" s="1077">
        <f t="array" ref="W988">SUMPRODUCT(IF('卡片raw data'!BM$1:BM$1000=T988,1,0),IF('卡片raw data'!BO$1:BO$1000=V988,1,0),IF(IF('卡片raw data'!C$1:C$1000=R$3,1,0)+IF(R$3="",1,0)&gt;=1,1,0),IF(IF('卡片raw data'!D$1:D$1000=R$4,1,0)+IF(R$4="",1,0)&gt;=1,1,0),IF(IF('卡片raw data'!E$1:E$1000=R$5,1,0)+IF(R$5="",1,0)&gt;=1,1,0))</f>
        <v>5</v>
      </c>
      <c r="Y988" s="1307">
        <f t="shared" si="76"/>
        <v>35</v>
      </c>
      <c r="Z988" s="1307">
        <f t="shared" si="77"/>
        <v>0</v>
      </c>
      <c r="AA988" s="1307">
        <f t="shared" si="78"/>
        <v>35</v>
      </c>
      <c r="AB988" s="1307">
        <f t="shared" si="79"/>
        <v>5</v>
      </c>
    </row>
    <row r="989" spans="20:28">
      <c r="T989" s="1077">
        <v>38</v>
      </c>
      <c r="U989" s="1077">
        <f t="shared" si="75"/>
        <v>26</v>
      </c>
      <c r="V989" s="1077">
        <v>36</v>
      </c>
      <c r="W989" s="1077">
        <f t="array" ref="W989">SUMPRODUCT(IF('卡片raw data'!BM$1:BM$1000=T989,1,0),IF('卡片raw data'!BO$1:BO$1000=V989,1,0),IF(IF('卡片raw data'!C$1:C$1000=R$3,1,0)+IF(R$3="",1,0)&gt;=1,1,0),IF(IF('卡片raw data'!D$1:D$1000=R$4,1,0)+IF(R$4="",1,0)&gt;=1,1,0),IF(IF('卡片raw data'!E$1:E$1000=R$5,1,0)+IF(R$5="",1,0)&gt;=1,1,0))</f>
        <v>2</v>
      </c>
      <c r="Y989" s="1307">
        <f t="shared" si="76"/>
        <v>36</v>
      </c>
      <c r="Z989" s="1307">
        <f t="shared" si="77"/>
        <v>0</v>
      </c>
      <c r="AA989" s="1307">
        <f t="shared" si="78"/>
        <v>36</v>
      </c>
      <c r="AB989" s="1307">
        <f t="shared" si="79"/>
        <v>2</v>
      </c>
    </row>
    <row r="990" spans="20:28">
      <c r="T990" s="1077">
        <v>38</v>
      </c>
      <c r="U990" s="1077">
        <f t="shared" si="75"/>
        <v>25</v>
      </c>
      <c r="V990" s="1077">
        <v>37</v>
      </c>
      <c r="W990" s="1077">
        <f t="array" ref="W990">SUMPRODUCT(IF('卡片raw data'!BM$1:BM$1000=T990,1,0),IF('卡片raw data'!BO$1:BO$1000=V990,1,0),IF(IF('卡片raw data'!C$1:C$1000=R$3,1,0)+IF(R$3="",1,0)&gt;=1,1,0),IF(IF('卡片raw data'!D$1:D$1000=R$4,1,0)+IF(R$4="",1,0)&gt;=1,1,0),IF(IF('卡片raw data'!E$1:E$1000=R$5,1,0)+IF(R$5="",1,0)&gt;=1,1,0))</f>
        <v>0</v>
      </c>
      <c r="Y990" s="1307">
        <f t="shared" si="76"/>
        <v>37</v>
      </c>
      <c r="Z990" s="1307">
        <f t="shared" si="77"/>
        <v>0</v>
      </c>
      <c r="AA990" s="1307">
        <f t="shared" si="78"/>
        <v>37</v>
      </c>
      <c r="AB990" s="1307">
        <f t="shared" si="79"/>
        <v>0</v>
      </c>
    </row>
    <row r="991" spans="20:28">
      <c r="T991" s="1077">
        <v>38</v>
      </c>
      <c r="U991" s="1077">
        <f t="shared" si="75"/>
        <v>24</v>
      </c>
      <c r="V991" s="1077">
        <v>38</v>
      </c>
      <c r="W991" s="1077">
        <f t="array" ref="W991">SUMPRODUCT(IF('卡片raw data'!BM$1:BM$1000=T991,1,0),IF('卡片raw data'!BO$1:BO$1000=V991,1,0),IF(IF('卡片raw data'!C$1:C$1000=R$3,1,0)+IF(R$3="",1,0)&gt;=1,1,0),IF(IF('卡片raw data'!D$1:D$1000=R$4,1,0)+IF(R$4="",1,0)&gt;=1,1,0),IF(IF('卡片raw data'!E$1:E$1000=R$5,1,0)+IF(R$5="",1,0)&gt;=1,1,0))</f>
        <v>1</v>
      </c>
      <c r="Y991" s="1307">
        <f t="shared" si="76"/>
        <v>38</v>
      </c>
      <c r="Z991" s="1307">
        <f t="shared" si="77"/>
        <v>0</v>
      </c>
      <c r="AA991" s="1307">
        <f t="shared" si="78"/>
        <v>38</v>
      </c>
      <c r="AB991" s="1307">
        <f t="shared" si="79"/>
        <v>1</v>
      </c>
    </row>
    <row r="992" spans="20:28">
      <c r="T992" s="1077">
        <v>38</v>
      </c>
      <c r="U992" s="1077">
        <f t="shared" si="75"/>
        <v>23</v>
      </c>
      <c r="V992" s="1077">
        <v>39</v>
      </c>
      <c r="W992" s="1077">
        <f t="array" ref="W992">SUMPRODUCT(IF('卡片raw data'!BM$1:BM$1000=T992,1,0),IF('卡片raw data'!BO$1:BO$1000=V992,1,0),IF(IF('卡片raw data'!C$1:C$1000=R$3,1,0)+IF(R$3="",1,0)&gt;=1,1,0),IF(IF('卡片raw data'!D$1:D$1000=R$4,1,0)+IF(R$4="",1,0)&gt;=1,1,0),IF(IF('卡片raw data'!E$1:E$1000=R$5,1,0)+IF(R$5="",1,0)&gt;=1,1,0))</f>
        <v>3</v>
      </c>
      <c r="Y992" s="1307">
        <f t="shared" si="76"/>
        <v>39</v>
      </c>
      <c r="Z992" s="1307">
        <f t="shared" si="77"/>
        <v>3</v>
      </c>
      <c r="AA992" s="1307">
        <f t="shared" si="78"/>
        <v>39</v>
      </c>
      <c r="AB992" s="1307">
        <f t="shared" si="79"/>
        <v>0</v>
      </c>
    </row>
    <row r="993" spans="20:28">
      <c r="T993" s="1077">
        <v>38</v>
      </c>
      <c r="U993" s="1077">
        <f t="shared" si="75"/>
        <v>22</v>
      </c>
      <c r="V993" s="1077">
        <v>40</v>
      </c>
      <c r="W993" s="1077">
        <f t="array" ref="W993">SUMPRODUCT(IF('卡片raw data'!BM$1:BM$1000=T993,1,0),IF('卡片raw data'!BO$1:BO$1000=V993,1,0),IF(IF('卡片raw data'!C$1:C$1000=R$3,1,0)+IF(R$3="",1,0)&gt;=1,1,0),IF(IF('卡片raw data'!D$1:D$1000=R$4,1,0)+IF(R$4="",1,0)&gt;=1,1,0),IF(IF('卡片raw data'!E$1:E$1000=R$5,1,0)+IF(R$5="",1,0)&gt;=1,1,0))</f>
        <v>5</v>
      </c>
      <c r="Y993" s="1307">
        <f t="shared" si="76"/>
        <v>40</v>
      </c>
      <c r="Z993" s="1307">
        <f t="shared" si="77"/>
        <v>5</v>
      </c>
      <c r="AA993" s="1307">
        <f t="shared" si="78"/>
        <v>40</v>
      </c>
      <c r="AB993" s="1307">
        <f t="shared" si="79"/>
        <v>0</v>
      </c>
    </row>
    <row r="994" spans="20:28">
      <c r="T994" s="1077">
        <v>38</v>
      </c>
      <c r="U994" s="1077">
        <f t="shared" si="75"/>
        <v>21</v>
      </c>
      <c r="V994" s="1077">
        <v>41</v>
      </c>
      <c r="W994" s="1077">
        <f t="array" ref="W994">SUMPRODUCT(IF('卡片raw data'!BM$1:BM$1000=T994,1,0),IF('卡片raw data'!BO$1:BO$1000=V994,1,0),IF(IF('卡片raw data'!C$1:C$1000=R$3,1,0)+IF(R$3="",1,0)&gt;=1,1,0),IF(IF('卡片raw data'!D$1:D$1000=R$4,1,0)+IF(R$4="",1,0)&gt;=1,1,0),IF(IF('卡片raw data'!E$1:E$1000=R$5,1,0)+IF(R$5="",1,0)&gt;=1,1,0))</f>
        <v>1</v>
      </c>
      <c r="Y994" s="1307">
        <f t="shared" si="76"/>
        <v>41</v>
      </c>
      <c r="Z994" s="1307">
        <f t="shared" si="77"/>
        <v>1</v>
      </c>
      <c r="AA994" s="1307">
        <f t="shared" si="78"/>
        <v>41</v>
      </c>
      <c r="AB994" s="1307">
        <f t="shared" si="79"/>
        <v>0</v>
      </c>
    </row>
    <row r="995" spans="20:28">
      <c r="T995" s="1077">
        <v>38</v>
      </c>
      <c r="U995" s="1077">
        <f t="shared" si="75"/>
        <v>20</v>
      </c>
      <c r="V995" s="1077">
        <v>42</v>
      </c>
      <c r="W995" s="1077">
        <f t="array" ref="W995">SUMPRODUCT(IF('卡片raw data'!BM$1:BM$1000=T995,1,0),IF('卡片raw data'!BO$1:BO$1000=V995,1,0),IF(IF('卡片raw data'!C$1:C$1000=R$3,1,0)+IF(R$3="",1,0)&gt;=1,1,0),IF(IF('卡片raw data'!D$1:D$1000=R$4,1,0)+IF(R$4="",1,0)&gt;=1,1,0),IF(IF('卡片raw data'!E$1:E$1000=R$5,1,0)+IF(R$5="",1,0)&gt;=1,1,0))</f>
        <v>1</v>
      </c>
      <c r="Y995" s="1307">
        <f t="shared" si="76"/>
        <v>42</v>
      </c>
      <c r="Z995" s="1307">
        <f t="shared" si="77"/>
        <v>1</v>
      </c>
      <c r="AA995" s="1307">
        <f t="shared" si="78"/>
        <v>42</v>
      </c>
      <c r="AB995" s="1307">
        <f t="shared" si="79"/>
        <v>0</v>
      </c>
    </row>
    <row r="996" spans="20:28">
      <c r="T996" s="1077">
        <v>38</v>
      </c>
      <c r="U996" s="1077">
        <f t="shared" si="75"/>
        <v>19</v>
      </c>
      <c r="V996" s="1077">
        <v>43</v>
      </c>
      <c r="W996" s="1077">
        <f t="array" ref="W996">SUMPRODUCT(IF('卡片raw data'!BM$1:BM$1000=T996,1,0),IF('卡片raw data'!BO$1:BO$1000=V996,1,0),IF(IF('卡片raw data'!C$1:C$1000=R$3,1,0)+IF(R$3="",1,0)&gt;=1,1,0),IF(IF('卡片raw data'!D$1:D$1000=R$4,1,0)+IF(R$4="",1,0)&gt;=1,1,0),IF(IF('卡片raw data'!E$1:E$1000=R$5,1,0)+IF(R$5="",1,0)&gt;=1,1,0))</f>
        <v>1</v>
      </c>
      <c r="Y996" s="1307">
        <f t="shared" si="76"/>
        <v>43</v>
      </c>
      <c r="Z996" s="1307">
        <f t="shared" si="77"/>
        <v>1</v>
      </c>
      <c r="AA996" s="1307">
        <f t="shared" si="78"/>
        <v>43</v>
      </c>
      <c r="AB996" s="1307">
        <f t="shared" si="79"/>
        <v>0</v>
      </c>
    </row>
    <row r="997" spans="20:28">
      <c r="T997" s="1077">
        <v>38</v>
      </c>
      <c r="U997" s="1077">
        <f t="shared" si="75"/>
        <v>18</v>
      </c>
      <c r="V997" s="1077">
        <v>44</v>
      </c>
      <c r="W997" s="1077">
        <f t="array" ref="W997">SUMPRODUCT(IF('卡片raw data'!BM$1:BM$1000=T997,1,0),IF('卡片raw data'!BO$1:BO$1000=V997,1,0),IF(IF('卡片raw data'!C$1:C$1000=R$3,1,0)+IF(R$3="",1,0)&gt;=1,1,0),IF(IF('卡片raw data'!D$1:D$1000=R$4,1,0)+IF(R$4="",1,0)&gt;=1,1,0),IF(IF('卡片raw data'!E$1:E$1000=R$5,1,0)+IF(R$5="",1,0)&gt;=1,1,0))</f>
        <v>0</v>
      </c>
      <c r="Y997" s="1307">
        <f t="shared" si="76"/>
        <v>44</v>
      </c>
      <c r="Z997" s="1307">
        <f t="shared" si="77"/>
        <v>0</v>
      </c>
      <c r="AA997" s="1307">
        <f t="shared" si="78"/>
        <v>44</v>
      </c>
      <c r="AB997" s="1307">
        <f t="shared" si="79"/>
        <v>0</v>
      </c>
    </row>
    <row r="998" spans="20:28">
      <c r="T998" s="1077">
        <v>38</v>
      </c>
      <c r="U998" s="1077">
        <f t="shared" si="75"/>
        <v>17</v>
      </c>
      <c r="V998" s="1077">
        <v>45</v>
      </c>
      <c r="W998" s="1077">
        <f t="array" ref="W998">SUMPRODUCT(IF('卡片raw data'!BM$1:BM$1000=T998,1,0),IF('卡片raw data'!BO$1:BO$1000=V998,1,0),IF(IF('卡片raw data'!C$1:C$1000=R$3,1,0)+IF(R$3="",1,0)&gt;=1,1,0),IF(IF('卡片raw data'!D$1:D$1000=R$4,1,0)+IF(R$4="",1,0)&gt;=1,1,0),IF(IF('卡片raw data'!E$1:E$1000=R$5,1,0)+IF(R$5="",1,0)&gt;=1,1,0))</f>
        <v>0</v>
      </c>
      <c r="Y998" s="1307">
        <f t="shared" si="76"/>
        <v>45</v>
      </c>
      <c r="Z998" s="1307">
        <f t="shared" si="77"/>
        <v>0</v>
      </c>
      <c r="AA998" s="1307">
        <f t="shared" si="78"/>
        <v>45</v>
      </c>
      <c r="AB998" s="1307">
        <f t="shared" si="79"/>
        <v>0</v>
      </c>
    </row>
    <row r="999" spans="20:28">
      <c r="T999" s="1077">
        <v>38</v>
      </c>
      <c r="U999" s="1077">
        <f t="shared" si="75"/>
        <v>16</v>
      </c>
      <c r="V999" s="1077">
        <v>46</v>
      </c>
      <c r="W999" s="1077">
        <f t="array" ref="W999">SUMPRODUCT(IF('卡片raw data'!BM$1:BM$1000=T999,1,0),IF('卡片raw data'!BO$1:BO$1000=V999,1,0),IF(IF('卡片raw data'!C$1:C$1000=R$3,1,0)+IF(R$3="",1,0)&gt;=1,1,0),IF(IF('卡片raw data'!D$1:D$1000=R$4,1,0)+IF(R$4="",1,0)&gt;=1,1,0),IF(IF('卡片raw data'!E$1:E$1000=R$5,1,0)+IF(R$5="",1,0)&gt;=1,1,0))</f>
        <v>0</v>
      </c>
      <c r="Y999" s="1307">
        <f t="shared" si="76"/>
        <v>46</v>
      </c>
      <c r="Z999" s="1307">
        <f t="shared" si="77"/>
        <v>0</v>
      </c>
      <c r="AA999" s="1307">
        <f t="shared" si="78"/>
        <v>46</v>
      </c>
      <c r="AB999" s="1307">
        <f t="shared" si="79"/>
        <v>0</v>
      </c>
    </row>
    <row r="1000" spans="20:28">
      <c r="T1000" s="1077">
        <v>38</v>
      </c>
      <c r="U1000" s="1077">
        <f t="shared" si="75"/>
        <v>15</v>
      </c>
      <c r="V1000" s="1077">
        <v>47</v>
      </c>
      <c r="W1000" s="1077">
        <f t="array" ref="W1000">SUMPRODUCT(IF('卡片raw data'!BM$1:BM$1000=T1000,1,0),IF('卡片raw data'!BO$1:BO$1000=V1000,1,0),IF(IF('卡片raw data'!C$1:C$1000=R$3,1,0)+IF(R$3="",1,0)&gt;=1,1,0),IF(IF('卡片raw data'!D$1:D$1000=R$4,1,0)+IF(R$4="",1,0)&gt;=1,1,0),IF(IF('卡片raw data'!E$1:E$1000=R$5,1,0)+IF(R$5="",1,0)&gt;=1,1,0))</f>
        <v>0</v>
      </c>
      <c r="Y1000" s="1307">
        <f t="shared" si="76"/>
        <v>47</v>
      </c>
      <c r="Z1000" s="1307">
        <f t="shared" si="77"/>
        <v>0</v>
      </c>
      <c r="AA1000" s="1307">
        <f t="shared" si="78"/>
        <v>47</v>
      </c>
      <c r="AB1000" s="1307">
        <f t="shared" si="79"/>
        <v>0</v>
      </c>
    </row>
    <row r="1001" spans="20:28">
      <c r="T1001" s="1077">
        <v>38</v>
      </c>
      <c r="U1001" s="1077">
        <f t="shared" si="75"/>
        <v>14</v>
      </c>
      <c r="V1001" s="1077">
        <v>48</v>
      </c>
      <c r="W1001" s="1077">
        <f t="array" ref="W1001">SUMPRODUCT(IF('卡片raw data'!BM$1:BM$1000=T1001,1,0),IF('卡片raw data'!BO$1:BO$1000=V1001,1,0),IF(IF('卡片raw data'!C$1:C$1000=R$3,1,0)+IF(R$3="",1,0)&gt;=1,1,0),IF(IF('卡片raw data'!D$1:D$1000=R$4,1,0)+IF(R$4="",1,0)&gt;=1,1,0),IF(IF('卡片raw data'!E$1:E$1000=R$5,1,0)+IF(R$5="",1,0)&gt;=1,1,0))</f>
        <v>0</v>
      </c>
      <c r="Y1001" s="1307">
        <f t="shared" si="76"/>
        <v>48</v>
      </c>
      <c r="Z1001" s="1307">
        <f t="shared" si="77"/>
        <v>0</v>
      </c>
      <c r="AA1001" s="1307">
        <f t="shared" si="78"/>
        <v>48</v>
      </c>
      <c r="AB1001" s="1307">
        <f t="shared" si="79"/>
        <v>0</v>
      </c>
    </row>
    <row r="1002" spans="20:28">
      <c r="T1002" s="1077">
        <v>38</v>
      </c>
      <c r="U1002" s="1077">
        <f t="shared" si="75"/>
        <v>13</v>
      </c>
      <c r="V1002" s="1077">
        <v>49</v>
      </c>
      <c r="W1002" s="1077">
        <f t="array" ref="W1002">SUMPRODUCT(IF('卡片raw data'!BM$1:BM$1000=T1002,1,0),IF('卡片raw data'!BO$1:BO$1000=V1002,1,0),IF(IF('卡片raw data'!C$1:C$1000=R$3,1,0)+IF(R$3="",1,0)&gt;=1,1,0),IF(IF('卡片raw data'!D$1:D$1000=R$4,1,0)+IF(R$4="",1,0)&gt;=1,1,0),IF(IF('卡片raw data'!E$1:E$1000=R$5,1,0)+IF(R$5="",1,0)&gt;=1,1,0))</f>
        <v>1</v>
      </c>
      <c r="Y1002" s="1307">
        <f t="shared" si="76"/>
        <v>49</v>
      </c>
      <c r="Z1002" s="1307">
        <f t="shared" si="77"/>
        <v>1</v>
      </c>
      <c r="AA1002" s="1307">
        <f t="shared" si="78"/>
        <v>49</v>
      </c>
      <c r="AB1002" s="1307">
        <f t="shared" si="79"/>
        <v>0</v>
      </c>
    </row>
    <row r="1003" spans="20:28">
      <c r="T1003" s="1077">
        <v>38</v>
      </c>
      <c r="U1003" s="1077">
        <f t="shared" si="75"/>
        <v>12</v>
      </c>
      <c r="V1003" s="1077">
        <v>50</v>
      </c>
      <c r="W1003" s="1077">
        <f t="array" ref="W1003">SUMPRODUCT(IF('卡片raw data'!BM$1:BM$1000=T1003,1,0),IF('卡片raw data'!BO$1:BO$1000=V1003,1,0),IF(IF('卡片raw data'!C$1:C$1000=R$3,1,0)+IF(R$3="",1,0)&gt;=1,1,0),IF(IF('卡片raw data'!D$1:D$1000=R$4,1,0)+IF(R$4="",1,0)&gt;=1,1,0),IF(IF('卡片raw data'!E$1:E$1000=R$5,1,0)+IF(R$5="",1,0)&gt;=1,1,0))</f>
        <v>0</v>
      </c>
      <c r="Y1003" s="1307">
        <f t="shared" si="76"/>
        <v>50</v>
      </c>
      <c r="Z1003" s="1307">
        <f t="shared" si="77"/>
        <v>0</v>
      </c>
      <c r="AA1003" s="1307">
        <f t="shared" si="78"/>
        <v>50</v>
      </c>
      <c r="AB1003" s="1307">
        <f t="shared" si="79"/>
        <v>0</v>
      </c>
    </row>
    <row r="1004" spans="20:28">
      <c r="T1004" s="1077">
        <v>38</v>
      </c>
      <c r="U1004" s="1077">
        <f t="shared" si="75"/>
        <v>11</v>
      </c>
      <c r="V1004" s="1077">
        <v>51</v>
      </c>
      <c r="W1004" s="1077">
        <f t="array" ref="W1004">SUMPRODUCT(IF('卡片raw data'!BM$1:BM$1000=T1004,1,0),IF('卡片raw data'!BO$1:BO$1000=V1004,1,0),IF(IF('卡片raw data'!C$1:C$1000=R$3,1,0)+IF(R$3="",1,0)&gt;=1,1,0),IF(IF('卡片raw data'!D$1:D$1000=R$4,1,0)+IF(R$4="",1,0)&gt;=1,1,0),IF(IF('卡片raw data'!E$1:E$1000=R$5,1,0)+IF(R$5="",1,0)&gt;=1,1,0))</f>
        <v>0</v>
      </c>
      <c r="Y1004" s="1307">
        <f t="shared" si="76"/>
        <v>51</v>
      </c>
      <c r="Z1004" s="1307">
        <f t="shared" si="77"/>
        <v>0</v>
      </c>
      <c r="AA1004" s="1307">
        <f t="shared" si="78"/>
        <v>51</v>
      </c>
      <c r="AB1004" s="1307">
        <f t="shared" si="79"/>
        <v>0</v>
      </c>
    </row>
    <row r="1005" spans="20:28">
      <c r="T1005" s="1077">
        <v>38</v>
      </c>
      <c r="U1005" s="1077">
        <f t="shared" si="75"/>
        <v>10</v>
      </c>
      <c r="V1005" s="1077">
        <v>52</v>
      </c>
      <c r="W1005" s="1077">
        <f t="array" ref="W1005">SUMPRODUCT(IF('卡片raw data'!BM$1:BM$1000=T1005,1,0),IF('卡片raw data'!BO$1:BO$1000=V1005,1,0),IF(IF('卡片raw data'!C$1:C$1000=R$3,1,0)+IF(R$3="",1,0)&gt;=1,1,0),IF(IF('卡片raw data'!D$1:D$1000=R$4,1,0)+IF(R$4="",1,0)&gt;=1,1,0),IF(IF('卡片raw data'!E$1:E$1000=R$5,1,0)+IF(R$5="",1,0)&gt;=1,1,0))</f>
        <v>0</v>
      </c>
      <c r="Y1005" s="1307">
        <f t="shared" si="76"/>
        <v>52</v>
      </c>
      <c r="Z1005" s="1307">
        <f t="shared" si="77"/>
        <v>0</v>
      </c>
      <c r="AA1005" s="1307">
        <f t="shared" si="78"/>
        <v>52</v>
      </c>
      <c r="AB1005" s="1307">
        <f t="shared" si="79"/>
        <v>0</v>
      </c>
    </row>
    <row r="1006" spans="20:28">
      <c r="T1006" s="1077">
        <v>39</v>
      </c>
      <c r="U1006" s="1077">
        <f t="shared" si="75"/>
        <v>51</v>
      </c>
      <c r="V1006" s="1077">
        <v>10</v>
      </c>
      <c r="W1006" s="1077">
        <f t="array" ref="W1006">SUMPRODUCT(IF('卡片raw data'!BM$1:BM$1000=T1006,1,0),IF('卡片raw data'!BO$1:BO$1000=V1006,1,0),IF(IF('卡片raw data'!C$1:C$1000=R$3,1,0)+IF(R$3="",1,0)&gt;=1,1,0),IF(IF('卡片raw data'!D$1:D$1000=R$4,1,0)+IF(R$4="",1,0)&gt;=1,1,0),IF(IF('卡片raw data'!E$1:E$1000=R$5,1,0)+IF(R$5="",1,0)&gt;=1,1,0))</f>
        <v>0</v>
      </c>
      <c r="Y1006" s="1307">
        <f t="shared" si="76"/>
        <v>10</v>
      </c>
      <c r="Z1006" s="1307">
        <f t="shared" si="77"/>
        <v>0</v>
      </c>
      <c r="AA1006" s="1307">
        <f t="shared" si="78"/>
        <v>10</v>
      </c>
      <c r="AB1006" s="1307">
        <f t="shared" si="79"/>
        <v>0</v>
      </c>
    </row>
    <row r="1007" spans="20:28">
      <c r="T1007" s="1077">
        <v>39</v>
      </c>
      <c r="U1007" s="1077">
        <f t="shared" si="75"/>
        <v>50</v>
      </c>
      <c r="V1007" s="1077">
        <v>11</v>
      </c>
      <c r="W1007" s="1077">
        <f t="array" ref="W1007">SUMPRODUCT(IF('卡片raw data'!BM$1:BM$1000=T1007,1,0),IF('卡片raw data'!BO$1:BO$1000=V1007,1,0),IF(IF('卡片raw data'!C$1:C$1000=R$3,1,0)+IF(R$3="",1,0)&gt;=1,1,0),IF(IF('卡片raw data'!D$1:D$1000=R$4,1,0)+IF(R$4="",1,0)&gt;=1,1,0),IF(IF('卡片raw data'!E$1:E$1000=R$5,1,0)+IF(R$5="",1,0)&gt;=1,1,0))</f>
        <v>0</v>
      </c>
      <c r="Y1007" s="1307">
        <f t="shared" si="76"/>
        <v>11</v>
      </c>
      <c r="Z1007" s="1307">
        <f t="shared" si="77"/>
        <v>0</v>
      </c>
      <c r="AA1007" s="1307">
        <f t="shared" si="78"/>
        <v>11</v>
      </c>
      <c r="AB1007" s="1307">
        <f t="shared" si="79"/>
        <v>0</v>
      </c>
    </row>
    <row r="1008" spans="20:28">
      <c r="T1008" s="1077">
        <v>39</v>
      </c>
      <c r="U1008" s="1077">
        <f t="shared" si="75"/>
        <v>49</v>
      </c>
      <c r="V1008" s="1077">
        <v>12</v>
      </c>
      <c r="W1008" s="1077">
        <f t="array" ref="W1008">SUMPRODUCT(IF('卡片raw data'!BM$1:BM$1000=T1008,1,0),IF('卡片raw data'!BO$1:BO$1000=V1008,1,0),IF(IF('卡片raw data'!C$1:C$1000=R$3,1,0)+IF(R$3="",1,0)&gt;=1,1,0),IF(IF('卡片raw data'!D$1:D$1000=R$4,1,0)+IF(R$4="",1,0)&gt;=1,1,0),IF(IF('卡片raw data'!E$1:E$1000=R$5,1,0)+IF(R$5="",1,0)&gt;=1,1,0))</f>
        <v>0</v>
      </c>
      <c r="Y1008" s="1307">
        <f t="shared" si="76"/>
        <v>12</v>
      </c>
      <c r="Z1008" s="1307">
        <f t="shared" si="77"/>
        <v>0</v>
      </c>
      <c r="AA1008" s="1307">
        <f t="shared" si="78"/>
        <v>12</v>
      </c>
      <c r="AB1008" s="1307">
        <f t="shared" si="79"/>
        <v>0</v>
      </c>
    </row>
    <row r="1009" spans="20:28">
      <c r="T1009" s="1077">
        <v>39</v>
      </c>
      <c r="U1009" s="1077">
        <f t="shared" si="75"/>
        <v>48</v>
      </c>
      <c r="V1009" s="1077">
        <v>13</v>
      </c>
      <c r="W1009" s="1077">
        <f t="array" ref="W1009">SUMPRODUCT(IF('卡片raw data'!BM$1:BM$1000=T1009,1,0),IF('卡片raw data'!BO$1:BO$1000=V1009,1,0),IF(IF('卡片raw data'!C$1:C$1000=R$3,1,0)+IF(R$3="",1,0)&gt;=1,1,0),IF(IF('卡片raw data'!D$1:D$1000=R$4,1,0)+IF(R$4="",1,0)&gt;=1,1,0),IF(IF('卡片raw data'!E$1:E$1000=R$5,1,0)+IF(R$5="",1,0)&gt;=1,1,0))</f>
        <v>0</v>
      </c>
      <c r="Y1009" s="1307">
        <f t="shared" si="76"/>
        <v>13</v>
      </c>
      <c r="Z1009" s="1307">
        <f t="shared" si="77"/>
        <v>0</v>
      </c>
      <c r="AA1009" s="1307">
        <f t="shared" si="78"/>
        <v>13</v>
      </c>
      <c r="AB1009" s="1307">
        <f t="shared" si="79"/>
        <v>0</v>
      </c>
    </row>
    <row r="1010" spans="20:28">
      <c r="T1010" s="1077">
        <v>39</v>
      </c>
      <c r="U1010" s="1077">
        <f t="shared" si="75"/>
        <v>47</v>
      </c>
      <c r="V1010" s="1077">
        <v>14</v>
      </c>
      <c r="W1010" s="1077">
        <f t="array" ref="W1010">SUMPRODUCT(IF('卡片raw data'!BM$1:BM$1000=T1010,1,0),IF('卡片raw data'!BO$1:BO$1000=V1010,1,0),IF(IF('卡片raw data'!C$1:C$1000=R$3,1,0)+IF(R$3="",1,0)&gt;=1,1,0),IF(IF('卡片raw data'!D$1:D$1000=R$4,1,0)+IF(R$4="",1,0)&gt;=1,1,0),IF(IF('卡片raw data'!E$1:E$1000=R$5,1,0)+IF(R$5="",1,0)&gt;=1,1,0))</f>
        <v>0</v>
      </c>
      <c r="Y1010" s="1307">
        <f t="shared" si="76"/>
        <v>14</v>
      </c>
      <c r="Z1010" s="1307">
        <f t="shared" si="77"/>
        <v>0</v>
      </c>
      <c r="AA1010" s="1307">
        <f t="shared" si="78"/>
        <v>14</v>
      </c>
      <c r="AB1010" s="1307">
        <f t="shared" si="79"/>
        <v>0</v>
      </c>
    </row>
    <row r="1011" spans="20:28">
      <c r="T1011" s="1077">
        <v>39</v>
      </c>
      <c r="U1011" s="1077">
        <f t="shared" si="75"/>
        <v>46</v>
      </c>
      <c r="V1011" s="1077">
        <v>15</v>
      </c>
      <c r="W1011" s="1077">
        <f t="array" ref="W1011">SUMPRODUCT(IF('卡片raw data'!BM$1:BM$1000=T1011,1,0),IF('卡片raw data'!BO$1:BO$1000=V1011,1,0),IF(IF('卡片raw data'!C$1:C$1000=R$3,1,0)+IF(R$3="",1,0)&gt;=1,1,0),IF(IF('卡片raw data'!D$1:D$1000=R$4,1,0)+IF(R$4="",1,0)&gt;=1,1,0),IF(IF('卡片raw data'!E$1:E$1000=R$5,1,0)+IF(R$5="",1,0)&gt;=1,1,0))</f>
        <v>0</v>
      </c>
      <c r="Y1011" s="1307">
        <f t="shared" si="76"/>
        <v>15</v>
      </c>
      <c r="Z1011" s="1307">
        <f t="shared" si="77"/>
        <v>0</v>
      </c>
      <c r="AA1011" s="1307">
        <f t="shared" si="78"/>
        <v>15</v>
      </c>
      <c r="AB1011" s="1307">
        <f t="shared" si="79"/>
        <v>0</v>
      </c>
    </row>
    <row r="1012" spans="20:28">
      <c r="T1012" s="1077">
        <v>39</v>
      </c>
      <c r="U1012" s="1077">
        <f t="shared" si="75"/>
        <v>45</v>
      </c>
      <c r="V1012" s="1077">
        <v>16</v>
      </c>
      <c r="W1012" s="1077">
        <f t="array" ref="W1012">SUMPRODUCT(IF('卡片raw data'!BM$1:BM$1000=T1012,1,0),IF('卡片raw data'!BO$1:BO$1000=V1012,1,0),IF(IF('卡片raw data'!C$1:C$1000=R$3,1,0)+IF(R$3="",1,0)&gt;=1,1,0),IF(IF('卡片raw data'!D$1:D$1000=R$4,1,0)+IF(R$4="",1,0)&gt;=1,1,0),IF(IF('卡片raw data'!E$1:E$1000=R$5,1,0)+IF(R$5="",1,0)&gt;=1,1,0))</f>
        <v>0</v>
      </c>
      <c r="Y1012" s="1307">
        <f t="shared" si="76"/>
        <v>16</v>
      </c>
      <c r="Z1012" s="1307">
        <f t="shared" si="77"/>
        <v>0</v>
      </c>
      <c r="AA1012" s="1307">
        <f t="shared" si="78"/>
        <v>16</v>
      </c>
      <c r="AB1012" s="1307">
        <f t="shared" si="79"/>
        <v>0</v>
      </c>
    </row>
    <row r="1013" spans="20:28">
      <c r="T1013" s="1077">
        <v>39</v>
      </c>
      <c r="U1013" s="1077">
        <f t="shared" si="75"/>
        <v>44</v>
      </c>
      <c r="V1013" s="1077">
        <v>17</v>
      </c>
      <c r="W1013" s="1077">
        <f t="array" ref="W1013">SUMPRODUCT(IF('卡片raw data'!BM$1:BM$1000=T1013,1,0),IF('卡片raw data'!BO$1:BO$1000=V1013,1,0),IF(IF('卡片raw data'!C$1:C$1000=R$3,1,0)+IF(R$3="",1,0)&gt;=1,1,0),IF(IF('卡片raw data'!D$1:D$1000=R$4,1,0)+IF(R$4="",1,0)&gt;=1,1,0),IF(IF('卡片raw data'!E$1:E$1000=R$5,1,0)+IF(R$5="",1,0)&gt;=1,1,0))</f>
        <v>0</v>
      </c>
      <c r="Y1013" s="1307">
        <f t="shared" si="76"/>
        <v>17</v>
      </c>
      <c r="Z1013" s="1307">
        <f t="shared" si="77"/>
        <v>0</v>
      </c>
      <c r="AA1013" s="1307">
        <f t="shared" si="78"/>
        <v>17</v>
      </c>
      <c r="AB1013" s="1307">
        <f t="shared" si="79"/>
        <v>0</v>
      </c>
    </row>
    <row r="1014" spans="20:28">
      <c r="T1014" s="1077">
        <v>39</v>
      </c>
      <c r="U1014" s="1077">
        <f t="shared" si="75"/>
        <v>43</v>
      </c>
      <c r="V1014" s="1077">
        <v>18</v>
      </c>
      <c r="W1014" s="1077">
        <f t="array" ref="W1014">SUMPRODUCT(IF('卡片raw data'!BM$1:BM$1000=T1014,1,0),IF('卡片raw data'!BO$1:BO$1000=V1014,1,0),IF(IF('卡片raw data'!C$1:C$1000=R$3,1,0)+IF(R$3="",1,0)&gt;=1,1,0),IF(IF('卡片raw data'!D$1:D$1000=R$4,1,0)+IF(R$4="",1,0)&gt;=1,1,0),IF(IF('卡片raw data'!E$1:E$1000=R$5,1,0)+IF(R$5="",1,0)&gt;=1,1,0))</f>
        <v>0</v>
      </c>
      <c r="Y1014" s="1307">
        <f t="shared" si="76"/>
        <v>18</v>
      </c>
      <c r="Z1014" s="1307">
        <f t="shared" si="77"/>
        <v>0</v>
      </c>
      <c r="AA1014" s="1307">
        <f t="shared" si="78"/>
        <v>18</v>
      </c>
      <c r="AB1014" s="1307">
        <f t="shared" si="79"/>
        <v>0</v>
      </c>
    </row>
    <row r="1015" spans="20:28">
      <c r="T1015" s="1077">
        <v>39</v>
      </c>
      <c r="U1015" s="1077">
        <f t="shared" si="75"/>
        <v>42</v>
      </c>
      <c r="V1015" s="1077">
        <v>19</v>
      </c>
      <c r="W1015" s="1077">
        <f t="array" ref="W1015">SUMPRODUCT(IF('卡片raw data'!BM$1:BM$1000=T1015,1,0),IF('卡片raw data'!BO$1:BO$1000=V1015,1,0),IF(IF('卡片raw data'!C$1:C$1000=R$3,1,0)+IF(R$3="",1,0)&gt;=1,1,0),IF(IF('卡片raw data'!D$1:D$1000=R$4,1,0)+IF(R$4="",1,0)&gt;=1,1,0),IF(IF('卡片raw data'!E$1:E$1000=R$5,1,0)+IF(R$5="",1,0)&gt;=1,1,0))</f>
        <v>0</v>
      </c>
      <c r="Y1015" s="1307">
        <f t="shared" si="76"/>
        <v>19</v>
      </c>
      <c r="Z1015" s="1307">
        <f t="shared" si="77"/>
        <v>0</v>
      </c>
      <c r="AA1015" s="1307">
        <f t="shared" si="78"/>
        <v>19</v>
      </c>
      <c r="AB1015" s="1307">
        <f t="shared" si="79"/>
        <v>0</v>
      </c>
    </row>
    <row r="1016" spans="20:28">
      <c r="T1016" s="1077">
        <v>39</v>
      </c>
      <c r="U1016" s="1077">
        <f t="shared" si="75"/>
        <v>41</v>
      </c>
      <c r="V1016" s="1077">
        <v>20</v>
      </c>
      <c r="W1016" s="1077">
        <f t="array" ref="W1016">SUMPRODUCT(IF('卡片raw data'!BM$1:BM$1000=T1016,1,0),IF('卡片raw data'!BO$1:BO$1000=V1016,1,0),IF(IF('卡片raw data'!C$1:C$1000=R$3,1,0)+IF(R$3="",1,0)&gt;=1,1,0),IF(IF('卡片raw data'!D$1:D$1000=R$4,1,0)+IF(R$4="",1,0)&gt;=1,1,0),IF(IF('卡片raw data'!E$1:E$1000=R$5,1,0)+IF(R$5="",1,0)&gt;=1,1,0))</f>
        <v>0</v>
      </c>
      <c r="Y1016" s="1307">
        <f t="shared" si="76"/>
        <v>20</v>
      </c>
      <c r="Z1016" s="1307">
        <f t="shared" si="77"/>
        <v>0</v>
      </c>
      <c r="AA1016" s="1307">
        <f t="shared" si="78"/>
        <v>20</v>
      </c>
      <c r="AB1016" s="1307">
        <f t="shared" si="79"/>
        <v>0</v>
      </c>
    </row>
    <row r="1017" spans="20:28">
      <c r="T1017" s="1077">
        <v>39</v>
      </c>
      <c r="U1017" s="1077">
        <f t="shared" si="75"/>
        <v>40</v>
      </c>
      <c r="V1017" s="1077">
        <v>21</v>
      </c>
      <c r="W1017" s="1077">
        <f t="array" ref="W1017">SUMPRODUCT(IF('卡片raw data'!BM$1:BM$1000=T1017,1,0),IF('卡片raw data'!BO$1:BO$1000=V1017,1,0),IF(IF('卡片raw data'!C$1:C$1000=R$3,1,0)+IF(R$3="",1,0)&gt;=1,1,0),IF(IF('卡片raw data'!D$1:D$1000=R$4,1,0)+IF(R$4="",1,0)&gt;=1,1,0),IF(IF('卡片raw data'!E$1:E$1000=R$5,1,0)+IF(R$5="",1,0)&gt;=1,1,0))</f>
        <v>0</v>
      </c>
      <c r="Y1017" s="1307">
        <f t="shared" si="76"/>
        <v>21</v>
      </c>
      <c r="Z1017" s="1307">
        <f t="shared" si="77"/>
        <v>0</v>
      </c>
      <c r="AA1017" s="1307">
        <f t="shared" si="78"/>
        <v>21</v>
      </c>
      <c r="AB1017" s="1307">
        <f t="shared" si="79"/>
        <v>0</v>
      </c>
    </row>
    <row r="1018" spans="20:28">
      <c r="T1018" s="1077">
        <v>39</v>
      </c>
      <c r="U1018" s="1077">
        <f t="shared" si="75"/>
        <v>39</v>
      </c>
      <c r="V1018" s="1077">
        <v>22</v>
      </c>
      <c r="W1018" s="1077">
        <f t="array" ref="W1018">SUMPRODUCT(IF('卡片raw data'!BM$1:BM$1000=T1018,1,0),IF('卡片raw data'!BO$1:BO$1000=V1018,1,0),IF(IF('卡片raw data'!C$1:C$1000=R$3,1,0)+IF(R$3="",1,0)&gt;=1,1,0),IF(IF('卡片raw data'!D$1:D$1000=R$4,1,0)+IF(R$4="",1,0)&gt;=1,1,0),IF(IF('卡片raw data'!E$1:E$1000=R$5,1,0)+IF(R$5="",1,0)&gt;=1,1,0))</f>
        <v>0</v>
      </c>
      <c r="Y1018" s="1307">
        <f t="shared" si="76"/>
        <v>22</v>
      </c>
      <c r="Z1018" s="1307">
        <f t="shared" si="77"/>
        <v>0</v>
      </c>
      <c r="AA1018" s="1307">
        <f t="shared" si="78"/>
        <v>22</v>
      </c>
      <c r="AB1018" s="1307">
        <f t="shared" si="79"/>
        <v>0</v>
      </c>
    </row>
    <row r="1019" spans="20:28">
      <c r="T1019" s="1077">
        <v>39</v>
      </c>
      <c r="U1019" s="1077">
        <f t="shared" si="75"/>
        <v>38</v>
      </c>
      <c r="V1019" s="1077">
        <v>23</v>
      </c>
      <c r="W1019" s="1077">
        <f t="array" ref="W1019">SUMPRODUCT(IF('卡片raw data'!BM$1:BM$1000=T1019,1,0),IF('卡片raw data'!BO$1:BO$1000=V1019,1,0),IF(IF('卡片raw data'!C$1:C$1000=R$3,1,0)+IF(R$3="",1,0)&gt;=1,1,0),IF(IF('卡片raw data'!D$1:D$1000=R$4,1,0)+IF(R$4="",1,0)&gt;=1,1,0),IF(IF('卡片raw data'!E$1:E$1000=R$5,1,0)+IF(R$5="",1,0)&gt;=1,1,0))</f>
        <v>0</v>
      </c>
      <c r="Y1019" s="1307">
        <f t="shared" si="76"/>
        <v>23</v>
      </c>
      <c r="Z1019" s="1307">
        <f t="shared" si="77"/>
        <v>0</v>
      </c>
      <c r="AA1019" s="1307">
        <f t="shared" si="78"/>
        <v>23</v>
      </c>
      <c r="AB1019" s="1307">
        <f t="shared" si="79"/>
        <v>0</v>
      </c>
    </row>
    <row r="1020" spans="20:28">
      <c r="T1020" s="1077">
        <v>39</v>
      </c>
      <c r="U1020" s="1077">
        <f t="shared" si="75"/>
        <v>37</v>
      </c>
      <c r="V1020" s="1077">
        <v>24</v>
      </c>
      <c r="W1020" s="1077">
        <f t="array" ref="W1020">SUMPRODUCT(IF('卡片raw data'!BM$1:BM$1000=T1020,1,0),IF('卡片raw data'!BO$1:BO$1000=V1020,1,0),IF(IF('卡片raw data'!C$1:C$1000=R$3,1,0)+IF(R$3="",1,0)&gt;=1,1,0),IF(IF('卡片raw data'!D$1:D$1000=R$4,1,0)+IF(R$4="",1,0)&gt;=1,1,0),IF(IF('卡片raw data'!E$1:E$1000=R$5,1,0)+IF(R$5="",1,0)&gt;=1,1,0))</f>
        <v>0</v>
      </c>
      <c r="Y1020" s="1307">
        <f t="shared" si="76"/>
        <v>24</v>
      </c>
      <c r="Z1020" s="1307">
        <f t="shared" si="77"/>
        <v>0</v>
      </c>
      <c r="AA1020" s="1307">
        <f t="shared" si="78"/>
        <v>24</v>
      </c>
      <c r="AB1020" s="1307">
        <f t="shared" si="79"/>
        <v>0</v>
      </c>
    </row>
    <row r="1021" spans="20:28">
      <c r="T1021" s="1077">
        <v>39</v>
      </c>
      <c r="U1021" s="1077">
        <f t="shared" si="75"/>
        <v>36</v>
      </c>
      <c r="V1021" s="1077">
        <v>25</v>
      </c>
      <c r="W1021" s="1077">
        <f t="array" ref="W1021">SUMPRODUCT(IF('卡片raw data'!BM$1:BM$1000=T1021,1,0),IF('卡片raw data'!BO$1:BO$1000=V1021,1,0),IF(IF('卡片raw data'!C$1:C$1000=R$3,1,0)+IF(R$3="",1,0)&gt;=1,1,0),IF(IF('卡片raw data'!D$1:D$1000=R$4,1,0)+IF(R$4="",1,0)&gt;=1,1,0),IF(IF('卡片raw data'!E$1:E$1000=R$5,1,0)+IF(R$5="",1,0)&gt;=1,1,0))</f>
        <v>0</v>
      </c>
      <c r="Y1021" s="1307">
        <f t="shared" si="76"/>
        <v>25</v>
      </c>
      <c r="Z1021" s="1307">
        <f t="shared" si="77"/>
        <v>0</v>
      </c>
      <c r="AA1021" s="1307">
        <f t="shared" si="78"/>
        <v>25</v>
      </c>
      <c r="AB1021" s="1307">
        <f t="shared" si="79"/>
        <v>0</v>
      </c>
    </row>
    <row r="1022" spans="20:28">
      <c r="T1022" s="1077">
        <v>39</v>
      </c>
      <c r="U1022" s="1077">
        <f t="shared" si="75"/>
        <v>35</v>
      </c>
      <c r="V1022" s="1077">
        <v>26</v>
      </c>
      <c r="W1022" s="1077">
        <f t="array" ref="W1022">SUMPRODUCT(IF('卡片raw data'!BM$1:BM$1000=T1022,1,0),IF('卡片raw data'!BO$1:BO$1000=V1022,1,0),IF(IF('卡片raw data'!C$1:C$1000=R$3,1,0)+IF(R$3="",1,0)&gt;=1,1,0),IF(IF('卡片raw data'!D$1:D$1000=R$4,1,0)+IF(R$4="",1,0)&gt;=1,1,0),IF(IF('卡片raw data'!E$1:E$1000=R$5,1,0)+IF(R$5="",1,0)&gt;=1,1,0))</f>
        <v>0</v>
      </c>
      <c r="Y1022" s="1307">
        <f t="shared" si="76"/>
        <v>26</v>
      </c>
      <c r="Z1022" s="1307">
        <f t="shared" si="77"/>
        <v>0</v>
      </c>
      <c r="AA1022" s="1307">
        <f t="shared" si="78"/>
        <v>26</v>
      </c>
      <c r="AB1022" s="1307">
        <f t="shared" si="79"/>
        <v>0</v>
      </c>
    </row>
    <row r="1023" spans="20:28">
      <c r="T1023" s="1077">
        <v>39</v>
      </c>
      <c r="U1023" s="1077">
        <f t="shared" si="75"/>
        <v>34</v>
      </c>
      <c r="V1023" s="1077">
        <v>27</v>
      </c>
      <c r="W1023" s="1077">
        <f t="array" ref="W1023">SUMPRODUCT(IF('卡片raw data'!BM$1:BM$1000=T1023,1,0),IF('卡片raw data'!BO$1:BO$1000=V1023,1,0),IF(IF('卡片raw data'!C$1:C$1000=R$3,1,0)+IF(R$3="",1,0)&gt;=1,1,0),IF(IF('卡片raw data'!D$1:D$1000=R$4,1,0)+IF(R$4="",1,0)&gt;=1,1,0),IF(IF('卡片raw data'!E$1:E$1000=R$5,1,0)+IF(R$5="",1,0)&gt;=1,1,0))</f>
        <v>0</v>
      </c>
      <c r="Y1023" s="1307">
        <f t="shared" si="76"/>
        <v>27</v>
      </c>
      <c r="Z1023" s="1307">
        <f t="shared" si="77"/>
        <v>0</v>
      </c>
      <c r="AA1023" s="1307">
        <f t="shared" si="78"/>
        <v>27</v>
      </c>
      <c r="AB1023" s="1307">
        <f t="shared" si="79"/>
        <v>0</v>
      </c>
    </row>
    <row r="1024" spans="20:28">
      <c r="T1024" s="1077">
        <v>39</v>
      </c>
      <c r="U1024" s="1077">
        <f t="shared" si="75"/>
        <v>33</v>
      </c>
      <c r="V1024" s="1077">
        <v>28</v>
      </c>
      <c r="W1024" s="1077">
        <f t="array" ref="W1024">SUMPRODUCT(IF('卡片raw data'!BM$1:BM$1000=T1024,1,0),IF('卡片raw data'!BO$1:BO$1000=V1024,1,0),IF(IF('卡片raw data'!C$1:C$1000=R$3,1,0)+IF(R$3="",1,0)&gt;=1,1,0),IF(IF('卡片raw data'!D$1:D$1000=R$4,1,0)+IF(R$4="",1,0)&gt;=1,1,0),IF(IF('卡片raw data'!E$1:E$1000=R$5,1,0)+IF(R$5="",1,0)&gt;=1,1,0))</f>
        <v>0</v>
      </c>
      <c r="Y1024" s="1307">
        <f t="shared" si="76"/>
        <v>28</v>
      </c>
      <c r="Z1024" s="1307">
        <f t="shared" si="77"/>
        <v>0</v>
      </c>
      <c r="AA1024" s="1307">
        <f t="shared" si="78"/>
        <v>28</v>
      </c>
      <c r="AB1024" s="1307">
        <f t="shared" si="79"/>
        <v>0</v>
      </c>
    </row>
    <row r="1025" spans="20:28">
      <c r="T1025" s="1077">
        <v>39</v>
      </c>
      <c r="U1025" s="1077">
        <f t="shared" si="75"/>
        <v>32</v>
      </c>
      <c r="V1025" s="1077">
        <v>29</v>
      </c>
      <c r="W1025" s="1077">
        <f t="array" ref="W1025">SUMPRODUCT(IF('卡片raw data'!BM$1:BM$1000=T1025,1,0),IF('卡片raw data'!BO$1:BO$1000=V1025,1,0),IF(IF('卡片raw data'!C$1:C$1000=R$3,1,0)+IF(R$3="",1,0)&gt;=1,1,0),IF(IF('卡片raw data'!D$1:D$1000=R$4,1,0)+IF(R$4="",1,0)&gt;=1,1,0),IF(IF('卡片raw data'!E$1:E$1000=R$5,1,0)+IF(R$5="",1,0)&gt;=1,1,0))</f>
        <v>1</v>
      </c>
      <c r="Y1025" s="1307">
        <f t="shared" si="76"/>
        <v>29</v>
      </c>
      <c r="Z1025" s="1307">
        <f t="shared" si="77"/>
        <v>0</v>
      </c>
      <c r="AA1025" s="1307">
        <f t="shared" si="78"/>
        <v>29</v>
      </c>
      <c r="AB1025" s="1307">
        <f t="shared" si="79"/>
        <v>1</v>
      </c>
    </row>
    <row r="1026" spans="20:28">
      <c r="T1026" s="1077">
        <v>39</v>
      </c>
      <c r="U1026" s="1077">
        <f t="shared" si="75"/>
        <v>31</v>
      </c>
      <c r="V1026" s="1077">
        <v>30</v>
      </c>
      <c r="W1026" s="1077">
        <f t="array" ref="W1026">SUMPRODUCT(IF('卡片raw data'!BM$1:BM$1000=T1026,1,0),IF('卡片raw data'!BO$1:BO$1000=V1026,1,0),IF(IF('卡片raw data'!C$1:C$1000=R$3,1,0)+IF(R$3="",1,0)&gt;=1,1,0),IF(IF('卡片raw data'!D$1:D$1000=R$4,1,0)+IF(R$4="",1,0)&gt;=1,1,0),IF(IF('卡片raw data'!E$1:E$1000=R$5,1,0)+IF(R$5="",1,0)&gt;=1,1,0))</f>
        <v>1</v>
      </c>
      <c r="Y1026" s="1307">
        <f t="shared" si="76"/>
        <v>30</v>
      </c>
      <c r="Z1026" s="1307">
        <f t="shared" si="77"/>
        <v>0</v>
      </c>
      <c r="AA1026" s="1307">
        <f t="shared" si="78"/>
        <v>30</v>
      </c>
      <c r="AB1026" s="1307">
        <f t="shared" si="79"/>
        <v>1</v>
      </c>
    </row>
    <row r="1027" spans="20:28">
      <c r="T1027" s="1077">
        <v>39</v>
      </c>
      <c r="U1027" s="1077">
        <f t="shared" si="75"/>
        <v>30</v>
      </c>
      <c r="V1027" s="1077">
        <v>31</v>
      </c>
      <c r="W1027" s="1077">
        <f t="array" ref="W1027">SUMPRODUCT(IF('卡片raw data'!BM$1:BM$1000=T1027,1,0),IF('卡片raw data'!BO$1:BO$1000=V1027,1,0),IF(IF('卡片raw data'!C$1:C$1000=R$3,1,0)+IF(R$3="",1,0)&gt;=1,1,0),IF(IF('卡片raw data'!D$1:D$1000=R$4,1,0)+IF(R$4="",1,0)&gt;=1,1,0),IF(IF('卡片raw data'!E$1:E$1000=R$5,1,0)+IF(R$5="",1,0)&gt;=1,1,0))</f>
        <v>2</v>
      </c>
      <c r="Y1027" s="1307">
        <f t="shared" si="76"/>
        <v>31</v>
      </c>
      <c r="Z1027" s="1307">
        <f t="shared" si="77"/>
        <v>0</v>
      </c>
      <c r="AA1027" s="1307">
        <f t="shared" si="78"/>
        <v>31</v>
      </c>
      <c r="AB1027" s="1307">
        <f t="shared" si="79"/>
        <v>2</v>
      </c>
    </row>
    <row r="1028" spans="20:28">
      <c r="T1028" s="1077">
        <v>39</v>
      </c>
      <c r="U1028" s="1077">
        <f t="shared" ref="U1028:U1091" si="80">100-T1028-V1028</f>
        <v>29</v>
      </c>
      <c r="V1028" s="1077">
        <v>32</v>
      </c>
      <c r="W1028" s="1077">
        <f t="array" ref="W1028">SUMPRODUCT(IF('卡片raw data'!BM$1:BM$1000=T1028,1,0),IF('卡片raw data'!BO$1:BO$1000=V1028,1,0),IF(IF('卡片raw data'!C$1:C$1000=R$3,1,0)+IF(R$3="",1,0)&gt;=1,1,0),IF(IF('卡片raw data'!D$1:D$1000=R$4,1,0)+IF(R$4="",1,0)&gt;=1,1,0),IF(IF('卡片raw data'!E$1:E$1000=R$5,1,0)+IF(R$5="",1,0)&gt;=1,1,0))</f>
        <v>4</v>
      </c>
      <c r="Y1028" s="1307">
        <f t="shared" ref="Y1028:Y1091" si="81">V1028</f>
        <v>32</v>
      </c>
      <c r="Z1028" s="1307">
        <f t="shared" ref="Z1028:Z1091" si="82">IF(AND(V1028&gt;U1028,V1028&gt;T1028),W1028,0)</f>
        <v>0</v>
      </c>
      <c r="AA1028" s="1307">
        <f t="shared" ref="AA1028:AA1091" si="83">V1028</f>
        <v>32</v>
      </c>
      <c r="AB1028" s="1307">
        <f t="shared" ref="AB1028:AB1091" si="84">W1028-Z1028</f>
        <v>4</v>
      </c>
    </row>
    <row r="1029" spans="20:28">
      <c r="T1029" s="1077">
        <v>39</v>
      </c>
      <c r="U1029" s="1077">
        <f t="shared" si="80"/>
        <v>28</v>
      </c>
      <c r="V1029" s="1077">
        <v>33</v>
      </c>
      <c r="W1029" s="1077">
        <f t="array" ref="W1029">SUMPRODUCT(IF('卡片raw data'!BM$1:BM$1000=T1029,1,0),IF('卡片raw data'!BO$1:BO$1000=V1029,1,0),IF(IF('卡片raw data'!C$1:C$1000=R$3,1,0)+IF(R$3="",1,0)&gt;=1,1,0),IF(IF('卡片raw data'!D$1:D$1000=R$4,1,0)+IF(R$4="",1,0)&gt;=1,1,0),IF(IF('卡片raw data'!E$1:E$1000=R$5,1,0)+IF(R$5="",1,0)&gt;=1,1,0))</f>
        <v>0</v>
      </c>
      <c r="Y1029" s="1307">
        <f t="shared" si="81"/>
        <v>33</v>
      </c>
      <c r="Z1029" s="1307">
        <f t="shared" si="82"/>
        <v>0</v>
      </c>
      <c r="AA1029" s="1307">
        <f t="shared" si="83"/>
        <v>33</v>
      </c>
      <c r="AB1029" s="1307">
        <f t="shared" si="84"/>
        <v>0</v>
      </c>
    </row>
    <row r="1030" spans="20:28">
      <c r="T1030" s="1077">
        <v>39</v>
      </c>
      <c r="U1030" s="1077">
        <f t="shared" si="80"/>
        <v>27</v>
      </c>
      <c r="V1030" s="1077">
        <v>34</v>
      </c>
      <c r="W1030" s="1077">
        <f t="array" ref="W1030">SUMPRODUCT(IF('卡片raw data'!BM$1:BM$1000=T1030,1,0),IF('卡片raw data'!BO$1:BO$1000=V1030,1,0),IF(IF('卡片raw data'!C$1:C$1000=R$3,1,0)+IF(R$3="",1,0)&gt;=1,1,0),IF(IF('卡片raw data'!D$1:D$1000=R$4,1,0)+IF(R$4="",1,0)&gt;=1,1,0),IF(IF('卡片raw data'!E$1:E$1000=R$5,1,0)+IF(R$5="",1,0)&gt;=1,1,0))</f>
        <v>4</v>
      </c>
      <c r="Y1030" s="1307">
        <f t="shared" si="81"/>
        <v>34</v>
      </c>
      <c r="Z1030" s="1307">
        <f t="shared" si="82"/>
        <v>0</v>
      </c>
      <c r="AA1030" s="1307">
        <f t="shared" si="83"/>
        <v>34</v>
      </c>
      <c r="AB1030" s="1307">
        <f t="shared" si="84"/>
        <v>4</v>
      </c>
    </row>
    <row r="1031" spans="20:28">
      <c r="T1031" s="1077">
        <v>39</v>
      </c>
      <c r="U1031" s="1077">
        <f t="shared" si="80"/>
        <v>26</v>
      </c>
      <c r="V1031" s="1077">
        <v>35</v>
      </c>
      <c r="W1031" s="1077">
        <f t="array" ref="W1031">SUMPRODUCT(IF('卡片raw data'!BM$1:BM$1000=T1031,1,0),IF('卡片raw data'!BO$1:BO$1000=V1031,1,0),IF(IF('卡片raw data'!C$1:C$1000=R$3,1,0)+IF(R$3="",1,0)&gt;=1,1,0),IF(IF('卡片raw data'!D$1:D$1000=R$4,1,0)+IF(R$4="",1,0)&gt;=1,1,0),IF(IF('卡片raw data'!E$1:E$1000=R$5,1,0)+IF(R$5="",1,0)&gt;=1,1,0))</f>
        <v>1</v>
      </c>
      <c r="Y1031" s="1307">
        <f t="shared" si="81"/>
        <v>35</v>
      </c>
      <c r="Z1031" s="1307">
        <f t="shared" si="82"/>
        <v>0</v>
      </c>
      <c r="AA1031" s="1307">
        <f t="shared" si="83"/>
        <v>35</v>
      </c>
      <c r="AB1031" s="1307">
        <f t="shared" si="84"/>
        <v>1</v>
      </c>
    </row>
    <row r="1032" spans="20:28">
      <c r="T1032" s="1077">
        <v>39</v>
      </c>
      <c r="U1032" s="1077">
        <f t="shared" si="80"/>
        <v>25</v>
      </c>
      <c r="V1032" s="1077">
        <v>36</v>
      </c>
      <c r="W1032" s="1077">
        <f t="array" ref="W1032">SUMPRODUCT(IF('卡片raw data'!BM$1:BM$1000=T1032,1,0),IF('卡片raw data'!BO$1:BO$1000=V1032,1,0),IF(IF('卡片raw data'!C$1:C$1000=R$3,1,0)+IF(R$3="",1,0)&gt;=1,1,0),IF(IF('卡片raw data'!D$1:D$1000=R$4,1,0)+IF(R$4="",1,0)&gt;=1,1,0),IF(IF('卡片raw data'!E$1:E$1000=R$5,1,0)+IF(R$5="",1,0)&gt;=1,1,0))</f>
        <v>0</v>
      </c>
      <c r="Y1032" s="1307">
        <f t="shared" si="81"/>
        <v>36</v>
      </c>
      <c r="Z1032" s="1307">
        <f t="shared" si="82"/>
        <v>0</v>
      </c>
      <c r="AA1032" s="1307">
        <f t="shared" si="83"/>
        <v>36</v>
      </c>
      <c r="AB1032" s="1307">
        <f t="shared" si="84"/>
        <v>0</v>
      </c>
    </row>
    <row r="1033" spans="20:28">
      <c r="T1033" s="1077">
        <v>39</v>
      </c>
      <c r="U1033" s="1077">
        <f t="shared" si="80"/>
        <v>24</v>
      </c>
      <c r="V1033" s="1077">
        <v>37</v>
      </c>
      <c r="W1033" s="1077">
        <f t="array" ref="W1033">SUMPRODUCT(IF('卡片raw data'!BM$1:BM$1000=T1033,1,0),IF('卡片raw data'!BO$1:BO$1000=V1033,1,0),IF(IF('卡片raw data'!C$1:C$1000=R$3,1,0)+IF(R$3="",1,0)&gt;=1,1,0),IF(IF('卡片raw data'!D$1:D$1000=R$4,1,0)+IF(R$4="",1,0)&gt;=1,1,0),IF(IF('卡片raw data'!E$1:E$1000=R$5,1,0)+IF(R$5="",1,0)&gt;=1,1,0))</f>
        <v>2</v>
      </c>
      <c r="Y1033" s="1307">
        <f t="shared" si="81"/>
        <v>37</v>
      </c>
      <c r="Z1033" s="1307">
        <f t="shared" si="82"/>
        <v>0</v>
      </c>
      <c r="AA1033" s="1307">
        <f t="shared" si="83"/>
        <v>37</v>
      </c>
      <c r="AB1033" s="1307">
        <f t="shared" si="84"/>
        <v>2</v>
      </c>
    </row>
    <row r="1034" spans="20:28">
      <c r="T1034" s="1077">
        <v>39</v>
      </c>
      <c r="U1034" s="1077">
        <f t="shared" si="80"/>
        <v>23</v>
      </c>
      <c r="V1034" s="1077">
        <v>38</v>
      </c>
      <c r="W1034" s="1077">
        <f t="array" ref="W1034">SUMPRODUCT(IF('卡片raw data'!BM$1:BM$1000=T1034,1,0),IF('卡片raw data'!BO$1:BO$1000=V1034,1,0),IF(IF('卡片raw data'!C$1:C$1000=R$3,1,0)+IF(R$3="",1,0)&gt;=1,1,0),IF(IF('卡片raw data'!D$1:D$1000=R$4,1,0)+IF(R$4="",1,0)&gt;=1,1,0),IF(IF('卡片raw data'!E$1:E$1000=R$5,1,0)+IF(R$5="",1,0)&gt;=1,1,0))</f>
        <v>0</v>
      </c>
      <c r="Y1034" s="1307">
        <f t="shared" si="81"/>
        <v>38</v>
      </c>
      <c r="Z1034" s="1307">
        <f t="shared" si="82"/>
        <v>0</v>
      </c>
      <c r="AA1034" s="1307">
        <f t="shared" si="83"/>
        <v>38</v>
      </c>
      <c r="AB1034" s="1307">
        <f t="shared" si="84"/>
        <v>0</v>
      </c>
    </row>
    <row r="1035" spans="20:28">
      <c r="T1035" s="1077">
        <v>39</v>
      </c>
      <c r="U1035" s="1077">
        <f t="shared" si="80"/>
        <v>22</v>
      </c>
      <c r="V1035" s="1077">
        <v>39</v>
      </c>
      <c r="W1035" s="1077">
        <f t="array" ref="W1035">SUMPRODUCT(IF('卡片raw data'!BM$1:BM$1000=T1035,1,0),IF('卡片raw data'!BO$1:BO$1000=V1035,1,0),IF(IF('卡片raw data'!C$1:C$1000=R$3,1,0)+IF(R$3="",1,0)&gt;=1,1,0),IF(IF('卡片raw data'!D$1:D$1000=R$4,1,0)+IF(R$4="",1,0)&gt;=1,1,0),IF(IF('卡片raw data'!E$1:E$1000=R$5,1,0)+IF(R$5="",1,0)&gt;=1,1,0))</f>
        <v>0</v>
      </c>
      <c r="Y1035" s="1307">
        <f t="shared" si="81"/>
        <v>39</v>
      </c>
      <c r="Z1035" s="1307">
        <f t="shared" si="82"/>
        <v>0</v>
      </c>
      <c r="AA1035" s="1307">
        <f t="shared" si="83"/>
        <v>39</v>
      </c>
      <c r="AB1035" s="1307">
        <f t="shared" si="84"/>
        <v>0</v>
      </c>
    </row>
    <row r="1036" spans="20:28">
      <c r="T1036" s="1077">
        <v>39</v>
      </c>
      <c r="U1036" s="1077">
        <f t="shared" si="80"/>
        <v>21</v>
      </c>
      <c r="V1036" s="1077">
        <v>40</v>
      </c>
      <c r="W1036" s="1077">
        <f t="array" ref="W1036">SUMPRODUCT(IF('卡片raw data'!BM$1:BM$1000=T1036,1,0),IF('卡片raw data'!BO$1:BO$1000=V1036,1,0),IF(IF('卡片raw data'!C$1:C$1000=R$3,1,0)+IF(R$3="",1,0)&gt;=1,1,0),IF(IF('卡片raw data'!D$1:D$1000=R$4,1,0)+IF(R$4="",1,0)&gt;=1,1,0),IF(IF('卡片raw data'!E$1:E$1000=R$5,1,0)+IF(R$5="",1,0)&gt;=1,1,0))</f>
        <v>2</v>
      </c>
      <c r="Y1036" s="1307">
        <f t="shared" si="81"/>
        <v>40</v>
      </c>
      <c r="Z1036" s="1307">
        <f t="shared" si="82"/>
        <v>2</v>
      </c>
      <c r="AA1036" s="1307">
        <f t="shared" si="83"/>
        <v>40</v>
      </c>
      <c r="AB1036" s="1307">
        <f t="shared" si="84"/>
        <v>0</v>
      </c>
    </row>
    <row r="1037" spans="20:28">
      <c r="T1037" s="1077">
        <v>39</v>
      </c>
      <c r="U1037" s="1077">
        <f t="shared" si="80"/>
        <v>20</v>
      </c>
      <c r="V1037" s="1077">
        <v>41</v>
      </c>
      <c r="W1037" s="1077">
        <f t="array" ref="W1037">SUMPRODUCT(IF('卡片raw data'!BM$1:BM$1000=T1037,1,0),IF('卡片raw data'!BO$1:BO$1000=V1037,1,0),IF(IF('卡片raw data'!C$1:C$1000=R$3,1,0)+IF(R$3="",1,0)&gt;=1,1,0),IF(IF('卡片raw data'!D$1:D$1000=R$4,1,0)+IF(R$4="",1,0)&gt;=1,1,0),IF(IF('卡片raw data'!E$1:E$1000=R$5,1,0)+IF(R$5="",1,0)&gt;=1,1,0))</f>
        <v>0</v>
      </c>
      <c r="Y1037" s="1307">
        <f t="shared" si="81"/>
        <v>41</v>
      </c>
      <c r="Z1037" s="1307">
        <f t="shared" si="82"/>
        <v>0</v>
      </c>
      <c r="AA1037" s="1307">
        <f t="shared" si="83"/>
        <v>41</v>
      </c>
      <c r="AB1037" s="1307">
        <f t="shared" si="84"/>
        <v>0</v>
      </c>
    </row>
    <row r="1038" spans="20:28">
      <c r="T1038" s="1077">
        <v>39</v>
      </c>
      <c r="U1038" s="1077">
        <f t="shared" si="80"/>
        <v>19</v>
      </c>
      <c r="V1038" s="1077">
        <v>42</v>
      </c>
      <c r="W1038" s="1077">
        <f t="array" ref="W1038">SUMPRODUCT(IF('卡片raw data'!BM$1:BM$1000=T1038,1,0),IF('卡片raw data'!BO$1:BO$1000=V1038,1,0),IF(IF('卡片raw data'!C$1:C$1000=R$3,1,0)+IF(R$3="",1,0)&gt;=1,1,0),IF(IF('卡片raw data'!D$1:D$1000=R$4,1,0)+IF(R$4="",1,0)&gt;=1,1,0),IF(IF('卡片raw data'!E$1:E$1000=R$5,1,0)+IF(R$5="",1,0)&gt;=1,1,0))</f>
        <v>1</v>
      </c>
      <c r="Y1038" s="1307">
        <f t="shared" si="81"/>
        <v>42</v>
      </c>
      <c r="Z1038" s="1307">
        <f t="shared" si="82"/>
        <v>1</v>
      </c>
      <c r="AA1038" s="1307">
        <f t="shared" si="83"/>
        <v>42</v>
      </c>
      <c r="AB1038" s="1307">
        <f t="shared" si="84"/>
        <v>0</v>
      </c>
    </row>
    <row r="1039" spans="20:28">
      <c r="T1039" s="1077">
        <v>39</v>
      </c>
      <c r="U1039" s="1077">
        <f t="shared" si="80"/>
        <v>18</v>
      </c>
      <c r="V1039" s="1077">
        <v>43</v>
      </c>
      <c r="W1039" s="1077">
        <f t="array" ref="W1039">SUMPRODUCT(IF('卡片raw data'!BM$1:BM$1000=T1039,1,0),IF('卡片raw data'!BO$1:BO$1000=V1039,1,0),IF(IF('卡片raw data'!C$1:C$1000=R$3,1,0)+IF(R$3="",1,0)&gt;=1,1,0),IF(IF('卡片raw data'!D$1:D$1000=R$4,1,0)+IF(R$4="",1,0)&gt;=1,1,0),IF(IF('卡片raw data'!E$1:E$1000=R$5,1,0)+IF(R$5="",1,0)&gt;=1,1,0))</f>
        <v>1</v>
      </c>
      <c r="Y1039" s="1307">
        <f t="shared" si="81"/>
        <v>43</v>
      </c>
      <c r="Z1039" s="1307">
        <f t="shared" si="82"/>
        <v>1</v>
      </c>
      <c r="AA1039" s="1307">
        <f t="shared" si="83"/>
        <v>43</v>
      </c>
      <c r="AB1039" s="1307">
        <f t="shared" si="84"/>
        <v>0</v>
      </c>
    </row>
    <row r="1040" spans="20:28">
      <c r="T1040" s="1077">
        <v>39</v>
      </c>
      <c r="U1040" s="1077">
        <f t="shared" si="80"/>
        <v>17</v>
      </c>
      <c r="V1040" s="1077">
        <v>44</v>
      </c>
      <c r="W1040" s="1077">
        <f t="array" ref="W1040">SUMPRODUCT(IF('卡片raw data'!BM$1:BM$1000=T1040,1,0),IF('卡片raw data'!BO$1:BO$1000=V1040,1,0),IF(IF('卡片raw data'!C$1:C$1000=R$3,1,0)+IF(R$3="",1,0)&gt;=1,1,0),IF(IF('卡片raw data'!D$1:D$1000=R$4,1,0)+IF(R$4="",1,0)&gt;=1,1,0),IF(IF('卡片raw data'!E$1:E$1000=R$5,1,0)+IF(R$5="",1,0)&gt;=1,1,0))</f>
        <v>2</v>
      </c>
      <c r="Y1040" s="1307">
        <f t="shared" si="81"/>
        <v>44</v>
      </c>
      <c r="Z1040" s="1307">
        <f t="shared" si="82"/>
        <v>2</v>
      </c>
      <c r="AA1040" s="1307">
        <f t="shared" si="83"/>
        <v>44</v>
      </c>
      <c r="AB1040" s="1307">
        <f t="shared" si="84"/>
        <v>0</v>
      </c>
    </row>
    <row r="1041" spans="20:28">
      <c r="T1041" s="1077">
        <v>39</v>
      </c>
      <c r="U1041" s="1077">
        <f t="shared" si="80"/>
        <v>16</v>
      </c>
      <c r="V1041" s="1077">
        <v>45</v>
      </c>
      <c r="W1041" s="1077">
        <f t="array" ref="W1041">SUMPRODUCT(IF('卡片raw data'!BM$1:BM$1000=T1041,1,0),IF('卡片raw data'!BO$1:BO$1000=V1041,1,0),IF(IF('卡片raw data'!C$1:C$1000=R$3,1,0)+IF(R$3="",1,0)&gt;=1,1,0),IF(IF('卡片raw data'!D$1:D$1000=R$4,1,0)+IF(R$4="",1,0)&gt;=1,1,0),IF(IF('卡片raw data'!E$1:E$1000=R$5,1,0)+IF(R$5="",1,0)&gt;=1,1,0))</f>
        <v>4</v>
      </c>
      <c r="Y1041" s="1307">
        <f t="shared" si="81"/>
        <v>45</v>
      </c>
      <c r="Z1041" s="1307">
        <f t="shared" si="82"/>
        <v>4</v>
      </c>
      <c r="AA1041" s="1307">
        <f t="shared" si="83"/>
        <v>45</v>
      </c>
      <c r="AB1041" s="1307">
        <f t="shared" si="84"/>
        <v>0</v>
      </c>
    </row>
    <row r="1042" spans="20:28">
      <c r="T1042" s="1077">
        <v>39</v>
      </c>
      <c r="U1042" s="1077">
        <f t="shared" si="80"/>
        <v>15</v>
      </c>
      <c r="V1042" s="1077">
        <v>46</v>
      </c>
      <c r="W1042" s="1077">
        <f t="array" ref="W1042">SUMPRODUCT(IF('卡片raw data'!BM$1:BM$1000=T1042,1,0),IF('卡片raw data'!BO$1:BO$1000=V1042,1,0),IF(IF('卡片raw data'!C$1:C$1000=R$3,1,0)+IF(R$3="",1,0)&gt;=1,1,0),IF(IF('卡片raw data'!D$1:D$1000=R$4,1,0)+IF(R$4="",1,0)&gt;=1,1,0),IF(IF('卡片raw data'!E$1:E$1000=R$5,1,0)+IF(R$5="",1,0)&gt;=1,1,0))</f>
        <v>2</v>
      </c>
      <c r="Y1042" s="1307">
        <f t="shared" si="81"/>
        <v>46</v>
      </c>
      <c r="Z1042" s="1307">
        <f t="shared" si="82"/>
        <v>2</v>
      </c>
      <c r="AA1042" s="1307">
        <f t="shared" si="83"/>
        <v>46</v>
      </c>
      <c r="AB1042" s="1307">
        <f t="shared" si="84"/>
        <v>0</v>
      </c>
    </row>
    <row r="1043" spans="20:28">
      <c r="T1043" s="1077">
        <v>39</v>
      </c>
      <c r="U1043" s="1077">
        <f t="shared" si="80"/>
        <v>14</v>
      </c>
      <c r="V1043" s="1077">
        <v>47</v>
      </c>
      <c r="W1043" s="1077">
        <f t="array" ref="W1043">SUMPRODUCT(IF('卡片raw data'!BM$1:BM$1000=T1043,1,0),IF('卡片raw data'!BO$1:BO$1000=V1043,1,0),IF(IF('卡片raw data'!C$1:C$1000=R$3,1,0)+IF(R$3="",1,0)&gt;=1,1,0),IF(IF('卡片raw data'!D$1:D$1000=R$4,1,0)+IF(R$4="",1,0)&gt;=1,1,0),IF(IF('卡片raw data'!E$1:E$1000=R$5,1,0)+IF(R$5="",1,0)&gt;=1,1,0))</f>
        <v>1</v>
      </c>
      <c r="Y1043" s="1307">
        <f t="shared" si="81"/>
        <v>47</v>
      </c>
      <c r="Z1043" s="1307">
        <f t="shared" si="82"/>
        <v>1</v>
      </c>
      <c r="AA1043" s="1307">
        <f t="shared" si="83"/>
        <v>47</v>
      </c>
      <c r="AB1043" s="1307">
        <f t="shared" si="84"/>
        <v>0</v>
      </c>
    </row>
    <row r="1044" spans="20:28">
      <c r="T1044" s="1077">
        <v>39</v>
      </c>
      <c r="U1044" s="1077">
        <f t="shared" si="80"/>
        <v>13</v>
      </c>
      <c r="V1044" s="1077">
        <v>48</v>
      </c>
      <c r="W1044" s="1077">
        <f t="array" ref="W1044">SUMPRODUCT(IF('卡片raw data'!BM$1:BM$1000=T1044,1,0),IF('卡片raw data'!BO$1:BO$1000=V1044,1,0),IF(IF('卡片raw data'!C$1:C$1000=R$3,1,0)+IF(R$3="",1,0)&gt;=1,1,0),IF(IF('卡片raw data'!D$1:D$1000=R$4,1,0)+IF(R$4="",1,0)&gt;=1,1,0),IF(IF('卡片raw data'!E$1:E$1000=R$5,1,0)+IF(R$5="",1,0)&gt;=1,1,0))</f>
        <v>1</v>
      </c>
      <c r="Y1044" s="1307">
        <f t="shared" si="81"/>
        <v>48</v>
      </c>
      <c r="Z1044" s="1307">
        <f t="shared" si="82"/>
        <v>1</v>
      </c>
      <c r="AA1044" s="1307">
        <f t="shared" si="83"/>
        <v>48</v>
      </c>
      <c r="AB1044" s="1307">
        <f t="shared" si="84"/>
        <v>0</v>
      </c>
    </row>
    <row r="1045" spans="20:28">
      <c r="T1045" s="1077">
        <v>39</v>
      </c>
      <c r="U1045" s="1077">
        <f t="shared" si="80"/>
        <v>12</v>
      </c>
      <c r="V1045" s="1077">
        <v>49</v>
      </c>
      <c r="W1045" s="1077">
        <f t="array" ref="W1045">SUMPRODUCT(IF('卡片raw data'!BM$1:BM$1000=T1045,1,0),IF('卡片raw data'!BO$1:BO$1000=V1045,1,0),IF(IF('卡片raw data'!C$1:C$1000=R$3,1,0)+IF(R$3="",1,0)&gt;=1,1,0),IF(IF('卡片raw data'!D$1:D$1000=R$4,1,0)+IF(R$4="",1,0)&gt;=1,1,0),IF(IF('卡片raw data'!E$1:E$1000=R$5,1,0)+IF(R$5="",1,0)&gt;=1,1,0))</f>
        <v>0</v>
      </c>
      <c r="Y1045" s="1307">
        <f t="shared" si="81"/>
        <v>49</v>
      </c>
      <c r="Z1045" s="1307">
        <f t="shared" si="82"/>
        <v>0</v>
      </c>
      <c r="AA1045" s="1307">
        <f t="shared" si="83"/>
        <v>49</v>
      </c>
      <c r="AB1045" s="1307">
        <f t="shared" si="84"/>
        <v>0</v>
      </c>
    </row>
    <row r="1046" spans="20:28">
      <c r="T1046" s="1077">
        <v>39</v>
      </c>
      <c r="U1046" s="1077">
        <f t="shared" si="80"/>
        <v>11</v>
      </c>
      <c r="V1046" s="1077">
        <v>50</v>
      </c>
      <c r="W1046" s="1077">
        <f t="array" ref="W1046">SUMPRODUCT(IF('卡片raw data'!BM$1:BM$1000=T1046,1,0),IF('卡片raw data'!BO$1:BO$1000=V1046,1,0),IF(IF('卡片raw data'!C$1:C$1000=R$3,1,0)+IF(R$3="",1,0)&gt;=1,1,0),IF(IF('卡片raw data'!D$1:D$1000=R$4,1,0)+IF(R$4="",1,0)&gt;=1,1,0),IF(IF('卡片raw data'!E$1:E$1000=R$5,1,0)+IF(R$5="",1,0)&gt;=1,1,0))</f>
        <v>0</v>
      </c>
      <c r="Y1046" s="1307">
        <f t="shared" si="81"/>
        <v>50</v>
      </c>
      <c r="Z1046" s="1307">
        <f t="shared" si="82"/>
        <v>0</v>
      </c>
      <c r="AA1046" s="1307">
        <f t="shared" si="83"/>
        <v>50</v>
      </c>
      <c r="AB1046" s="1307">
        <f t="shared" si="84"/>
        <v>0</v>
      </c>
    </row>
    <row r="1047" spans="20:28">
      <c r="T1047" s="1077">
        <v>39</v>
      </c>
      <c r="U1047" s="1077">
        <f t="shared" si="80"/>
        <v>10</v>
      </c>
      <c r="V1047" s="1077">
        <v>51</v>
      </c>
      <c r="W1047" s="1077">
        <f t="array" ref="W1047">SUMPRODUCT(IF('卡片raw data'!BM$1:BM$1000=T1047,1,0),IF('卡片raw data'!BO$1:BO$1000=V1047,1,0),IF(IF('卡片raw data'!C$1:C$1000=R$3,1,0)+IF(R$3="",1,0)&gt;=1,1,0),IF(IF('卡片raw data'!D$1:D$1000=R$4,1,0)+IF(R$4="",1,0)&gt;=1,1,0),IF(IF('卡片raw data'!E$1:E$1000=R$5,1,0)+IF(R$5="",1,0)&gt;=1,1,0))</f>
        <v>0</v>
      </c>
      <c r="Y1047" s="1307">
        <f t="shared" si="81"/>
        <v>51</v>
      </c>
      <c r="Z1047" s="1307">
        <f t="shared" si="82"/>
        <v>0</v>
      </c>
      <c r="AA1047" s="1307">
        <f t="shared" si="83"/>
        <v>51</v>
      </c>
      <c r="AB1047" s="1307">
        <f t="shared" si="84"/>
        <v>0</v>
      </c>
    </row>
    <row r="1048" spans="20:28">
      <c r="T1048" s="1077">
        <v>40</v>
      </c>
      <c r="U1048" s="1077">
        <f t="shared" si="80"/>
        <v>50</v>
      </c>
      <c r="V1048" s="1077">
        <v>10</v>
      </c>
      <c r="W1048" s="1077">
        <f t="array" ref="W1048">SUMPRODUCT(IF('卡片raw data'!BM$1:BM$1000=T1048,1,0),IF('卡片raw data'!BO$1:BO$1000=V1048,1,0),IF(IF('卡片raw data'!C$1:C$1000=R$3,1,0)+IF(R$3="",1,0)&gt;=1,1,0),IF(IF('卡片raw data'!D$1:D$1000=R$4,1,0)+IF(R$4="",1,0)&gt;=1,1,0),IF(IF('卡片raw data'!E$1:E$1000=R$5,1,0)+IF(R$5="",1,0)&gt;=1,1,0))</f>
        <v>0</v>
      </c>
      <c r="Y1048" s="1307">
        <f t="shared" si="81"/>
        <v>10</v>
      </c>
      <c r="Z1048" s="1307">
        <f t="shared" si="82"/>
        <v>0</v>
      </c>
      <c r="AA1048" s="1307">
        <f t="shared" si="83"/>
        <v>10</v>
      </c>
      <c r="AB1048" s="1307">
        <f t="shared" si="84"/>
        <v>0</v>
      </c>
    </row>
    <row r="1049" spans="20:28">
      <c r="T1049" s="1077">
        <v>40</v>
      </c>
      <c r="U1049" s="1077">
        <f t="shared" si="80"/>
        <v>49</v>
      </c>
      <c r="V1049" s="1077">
        <v>11</v>
      </c>
      <c r="W1049" s="1077">
        <f t="array" ref="W1049">SUMPRODUCT(IF('卡片raw data'!BM$1:BM$1000=T1049,1,0),IF('卡片raw data'!BO$1:BO$1000=V1049,1,0),IF(IF('卡片raw data'!C$1:C$1000=R$3,1,0)+IF(R$3="",1,0)&gt;=1,1,0),IF(IF('卡片raw data'!D$1:D$1000=R$4,1,0)+IF(R$4="",1,0)&gt;=1,1,0),IF(IF('卡片raw data'!E$1:E$1000=R$5,1,0)+IF(R$5="",1,0)&gt;=1,1,0))</f>
        <v>0</v>
      </c>
      <c r="Y1049" s="1307">
        <f t="shared" si="81"/>
        <v>11</v>
      </c>
      <c r="Z1049" s="1307">
        <f t="shared" si="82"/>
        <v>0</v>
      </c>
      <c r="AA1049" s="1307">
        <f t="shared" si="83"/>
        <v>11</v>
      </c>
      <c r="AB1049" s="1307">
        <f t="shared" si="84"/>
        <v>0</v>
      </c>
    </row>
    <row r="1050" spans="20:28">
      <c r="T1050" s="1077">
        <v>40</v>
      </c>
      <c r="U1050" s="1077">
        <f t="shared" si="80"/>
        <v>48</v>
      </c>
      <c r="V1050" s="1077">
        <v>12</v>
      </c>
      <c r="W1050" s="1077">
        <f t="array" ref="W1050">SUMPRODUCT(IF('卡片raw data'!BM$1:BM$1000=T1050,1,0),IF('卡片raw data'!BO$1:BO$1000=V1050,1,0),IF(IF('卡片raw data'!C$1:C$1000=R$3,1,0)+IF(R$3="",1,0)&gt;=1,1,0),IF(IF('卡片raw data'!D$1:D$1000=R$4,1,0)+IF(R$4="",1,0)&gt;=1,1,0),IF(IF('卡片raw data'!E$1:E$1000=R$5,1,0)+IF(R$5="",1,0)&gt;=1,1,0))</f>
        <v>0</v>
      </c>
      <c r="Y1050" s="1307">
        <f t="shared" si="81"/>
        <v>12</v>
      </c>
      <c r="Z1050" s="1307">
        <f t="shared" si="82"/>
        <v>0</v>
      </c>
      <c r="AA1050" s="1307">
        <f t="shared" si="83"/>
        <v>12</v>
      </c>
      <c r="AB1050" s="1307">
        <f t="shared" si="84"/>
        <v>0</v>
      </c>
    </row>
    <row r="1051" spans="20:28">
      <c r="T1051" s="1077">
        <v>40</v>
      </c>
      <c r="U1051" s="1077">
        <f t="shared" si="80"/>
        <v>47</v>
      </c>
      <c r="V1051" s="1077">
        <v>13</v>
      </c>
      <c r="W1051" s="1077">
        <f t="array" ref="W1051">SUMPRODUCT(IF('卡片raw data'!BM$1:BM$1000=T1051,1,0),IF('卡片raw data'!BO$1:BO$1000=V1051,1,0),IF(IF('卡片raw data'!C$1:C$1000=R$3,1,0)+IF(R$3="",1,0)&gt;=1,1,0),IF(IF('卡片raw data'!D$1:D$1000=R$4,1,0)+IF(R$4="",1,0)&gt;=1,1,0),IF(IF('卡片raw data'!E$1:E$1000=R$5,1,0)+IF(R$5="",1,0)&gt;=1,1,0))</f>
        <v>0</v>
      </c>
      <c r="Y1051" s="1307">
        <f t="shared" si="81"/>
        <v>13</v>
      </c>
      <c r="Z1051" s="1307">
        <f t="shared" si="82"/>
        <v>0</v>
      </c>
      <c r="AA1051" s="1307">
        <f t="shared" si="83"/>
        <v>13</v>
      </c>
      <c r="AB1051" s="1307">
        <f t="shared" si="84"/>
        <v>0</v>
      </c>
    </row>
    <row r="1052" spans="20:28">
      <c r="T1052" s="1077">
        <v>40</v>
      </c>
      <c r="U1052" s="1077">
        <f t="shared" si="80"/>
        <v>46</v>
      </c>
      <c r="V1052" s="1077">
        <v>14</v>
      </c>
      <c r="W1052" s="1077">
        <f t="array" ref="W1052">SUMPRODUCT(IF('卡片raw data'!BM$1:BM$1000=T1052,1,0),IF('卡片raw data'!BO$1:BO$1000=V1052,1,0),IF(IF('卡片raw data'!C$1:C$1000=R$3,1,0)+IF(R$3="",1,0)&gt;=1,1,0),IF(IF('卡片raw data'!D$1:D$1000=R$4,1,0)+IF(R$4="",1,0)&gt;=1,1,0),IF(IF('卡片raw data'!E$1:E$1000=R$5,1,0)+IF(R$5="",1,0)&gt;=1,1,0))</f>
        <v>0</v>
      </c>
      <c r="Y1052" s="1307">
        <f t="shared" si="81"/>
        <v>14</v>
      </c>
      <c r="Z1052" s="1307">
        <f t="shared" si="82"/>
        <v>0</v>
      </c>
      <c r="AA1052" s="1307">
        <f t="shared" si="83"/>
        <v>14</v>
      </c>
      <c r="AB1052" s="1307">
        <f t="shared" si="84"/>
        <v>0</v>
      </c>
    </row>
    <row r="1053" spans="20:28">
      <c r="T1053" s="1077">
        <v>40</v>
      </c>
      <c r="U1053" s="1077">
        <f t="shared" si="80"/>
        <v>45</v>
      </c>
      <c r="V1053" s="1077">
        <v>15</v>
      </c>
      <c r="W1053" s="1077">
        <f t="array" ref="W1053">SUMPRODUCT(IF('卡片raw data'!BM$1:BM$1000=T1053,1,0),IF('卡片raw data'!BO$1:BO$1000=V1053,1,0),IF(IF('卡片raw data'!C$1:C$1000=R$3,1,0)+IF(R$3="",1,0)&gt;=1,1,0),IF(IF('卡片raw data'!D$1:D$1000=R$4,1,0)+IF(R$4="",1,0)&gt;=1,1,0),IF(IF('卡片raw data'!E$1:E$1000=R$5,1,0)+IF(R$5="",1,0)&gt;=1,1,0))</f>
        <v>0</v>
      </c>
      <c r="Y1053" s="1307">
        <f t="shared" si="81"/>
        <v>15</v>
      </c>
      <c r="Z1053" s="1307">
        <f t="shared" si="82"/>
        <v>0</v>
      </c>
      <c r="AA1053" s="1307">
        <f t="shared" si="83"/>
        <v>15</v>
      </c>
      <c r="AB1053" s="1307">
        <f t="shared" si="84"/>
        <v>0</v>
      </c>
    </row>
    <row r="1054" spans="20:28">
      <c r="T1054" s="1077">
        <v>40</v>
      </c>
      <c r="U1054" s="1077">
        <f t="shared" si="80"/>
        <v>44</v>
      </c>
      <c r="V1054" s="1077">
        <v>16</v>
      </c>
      <c r="W1054" s="1077">
        <f t="array" ref="W1054">SUMPRODUCT(IF('卡片raw data'!BM$1:BM$1000=T1054,1,0),IF('卡片raw data'!BO$1:BO$1000=V1054,1,0),IF(IF('卡片raw data'!C$1:C$1000=R$3,1,0)+IF(R$3="",1,0)&gt;=1,1,0),IF(IF('卡片raw data'!D$1:D$1000=R$4,1,0)+IF(R$4="",1,0)&gt;=1,1,0),IF(IF('卡片raw data'!E$1:E$1000=R$5,1,0)+IF(R$5="",1,0)&gt;=1,1,0))</f>
        <v>0</v>
      </c>
      <c r="Y1054" s="1307">
        <f t="shared" si="81"/>
        <v>16</v>
      </c>
      <c r="Z1054" s="1307">
        <f t="shared" si="82"/>
        <v>0</v>
      </c>
      <c r="AA1054" s="1307">
        <f t="shared" si="83"/>
        <v>16</v>
      </c>
      <c r="AB1054" s="1307">
        <f t="shared" si="84"/>
        <v>0</v>
      </c>
    </row>
    <row r="1055" spans="20:28">
      <c r="T1055" s="1077">
        <v>40</v>
      </c>
      <c r="U1055" s="1077">
        <f t="shared" si="80"/>
        <v>43</v>
      </c>
      <c r="V1055" s="1077">
        <v>17</v>
      </c>
      <c r="W1055" s="1077">
        <f t="array" ref="W1055">SUMPRODUCT(IF('卡片raw data'!BM$1:BM$1000=T1055,1,0),IF('卡片raw data'!BO$1:BO$1000=V1055,1,0),IF(IF('卡片raw data'!C$1:C$1000=R$3,1,0)+IF(R$3="",1,0)&gt;=1,1,0),IF(IF('卡片raw data'!D$1:D$1000=R$4,1,0)+IF(R$4="",1,0)&gt;=1,1,0),IF(IF('卡片raw data'!E$1:E$1000=R$5,1,0)+IF(R$5="",1,0)&gt;=1,1,0))</f>
        <v>0</v>
      </c>
      <c r="Y1055" s="1307">
        <f t="shared" si="81"/>
        <v>17</v>
      </c>
      <c r="Z1055" s="1307">
        <f t="shared" si="82"/>
        <v>0</v>
      </c>
      <c r="AA1055" s="1307">
        <f t="shared" si="83"/>
        <v>17</v>
      </c>
      <c r="AB1055" s="1307">
        <f t="shared" si="84"/>
        <v>0</v>
      </c>
    </row>
    <row r="1056" spans="20:28">
      <c r="T1056" s="1077">
        <v>40</v>
      </c>
      <c r="U1056" s="1077">
        <f t="shared" si="80"/>
        <v>42</v>
      </c>
      <c r="V1056" s="1077">
        <v>18</v>
      </c>
      <c r="W1056" s="1077">
        <f t="array" ref="W1056">SUMPRODUCT(IF('卡片raw data'!BM$1:BM$1000=T1056,1,0),IF('卡片raw data'!BO$1:BO$1000=V1056,1,0),IF(IF('卡片raw data'!C$1:C$1000=R$3,1,0)+IF(R$3="",1,0)&gt;=1,1,0),IF(IF('卡片raw data'!D$1:D$1000=R$4,1,0)+IF(R$4="",1,0)&gt;=1,1,0),IF(IF('卡片raw data'!E$1:E$1000=R$5,1,0)+IF(R$5="",1,0)&gt;=1,1,0))</f>
        <v>0</v>
      </c>
      <c r="Y1056" s="1307">
        <f t="shared" si="81"/>
        <v>18</v>
      </c>
      <c r="Z1056" s="1307">
        <f t="shared" si="82"/>
        <v>0</v>
      </c>
      <c r="AA1056" s="1307">
        <f t="shared" si="83"/>
        <v>18</v>
      </c>
      <c r="AB1056" s="1307">
        <f t="shared" si="84"/>
        <v>0</v>
      </c>
    </row>
    <row r="1057" spans="20:28">
      <c r="T1057" s="1077">
        <v>40</v>
      </c>
      <c r="U1057" s="1077">
        <f t="shared" si="80"/>
        <v>41</v>
      </c>
      <c r="V1057" s="1077">
        <v>19</v>
      </c>
      <c r="W1057" s="1077">
        <f t="array" ref="W1057">SUMPRODUCT(IF('卡片raw data'!BM$1:BM$1000=T1057,1,0),IF('卡片raw data'!BO$1:BO$1000=V1057,1,0),IF(IF('卡片raw data'!C$1:C$1000=R$3,1,0)+IF(R$3="",1,0)&gt;=1,1,0),IF(IF('卡片raw data'!D$1:D$1000=R$4,1,0)+IF(R$4="",1,0)&gt;=1,1,0),IF(IF('卡片raw data'!E$1:E$1000=R$5,1,0)+IF(R$5="",1,0)&gt;=1,1,0))</f>
        <v>0</v>
      </c>
      <c r="Y1057" s="1307">
        <f t="shared" si="81"/>
        <v>19</v>
      </c>
      <c r="Z1057" s="1307">
        <f t="shared" si="82"/>
        <v>0</v>
      </c>
      <c r="AA1057" s="1307">
        <f t="shared" si="83"/>
        <v>19</v>
      </c>
      <c r="AB1057" s="1307">
        <f t="shared" si="84"/>
        <v>0</v>
      </c>
    </row>
    <row r="1058" spans="20:28">
      <c r="T1058" s="1077">
        <v>40</v>
      </c>
      <c r="U1058" s="1077">
        <f t="shared" si="80"/>
        <v>40</v>
      </c>
      <c r="V1058" s="1077">
        <v>20</v>
      </c>
      <c r="W1058" s="1077">
        <f t="array" ref="W1058">SUMPRODUCT(IF('卡片raw data'!BM$1:BM$1000=T1058,1,0),IF('卡片raw data'!BO$1:BO$1000=V1058,1,0),IF(IF('卡片raw data'!C$1:C$1000=R$3,1,0)+IF(R$3="",1,0)&gt;=1,1,0),IF(IF('卡片raw data'!D$1:D$1000=R$4,1,0)+IF(R$4="",1,0)&gt;=1,1,0),IF(IF('卡片raw data'!E$1:E$1000=R$5,1,0)+IF(R$5="",1,0)&gt;=1,1,0))</f>
        <v>0</v>
      </c>
      <c r="Y1058" s="1307">
        <f t="shared" si="81"/>
        <v>20</v>
      </c>
      <c r="Z1058" s="1307">
        <f t="shared" si="82"/>
        <v>0</v>
      </c>
      <c r="AA1058" s="1307">
        <f t="shared" si="83"/>
        <v>20</v>
      </c>
      <c r="AB1058" s="1307">
        <f t="shared" si="84"/>
        <v>0</v>
      </c>
    </row>
    <row r="1059" spans="20:28">
      <c r="T1059" s="1077">
        <v>40</v>
      </c>
      <c r="U1059" s="1077">
        <f t="shared" si="80"/>
        <v>39</v>
      </c>
      <c r="V1059" s="1077">
        <v>21</v>
      </c>
      <c r="W1059" s="1077">
        <f t="array" ref="W1059">SUMPRODUCT(IF('卡片raw data'!BM$1:BM$1000=T1059,1,0),IF('卡片raw data'!BO$1:BO$1000=V1059,1,0),IF(IF('卡片raw data'!C$1:C$1000=R$3,1,0)+IF(R$3="",1,0)&gt;=1,1,0),IF(IF('卡片raw data'!D$1:D$1000=R$4,1,0)+IF(R$4="",1,0)&gt;=1,1,0),IF(IF('卡片raw data'!E$1:E$1000=R$5,1,0)+IF(R$5="",1,0)&gt;=1,1,0))</f>
        <v>0</v>
      </c>
      <c r="Y1059" s="1307">
        <f t="shared" si="81"/>
        <v>21</v>
      </c>
      <c r="Z1059" s="1307">
        <f t="shared" si="82"/>
        <v>0</v>
      </c>
      <c r="AA1059" s="1307">
        <f t="shared" si="83"/>
        <v>21</v>
      </c>
      <c r="AB1059" s="1307">
        <f t="shared" si="84"/>
        <v>0</v>
      </c>
    </row>
    <row r="1060" spans="20:28">
      <c r="T1060" s="1077">
        <v>40</v>
      </c>
      <c r="U1060" s="1077">
        <f t="shared" si="80"/>
        <v>38</v>
      </c>
      <c r="V1060" s="1077">
        <v>22</v>
      </c>
      <c r="W1060" s="1077">
        <f t="array" ref="W1060">SUMPRODUCT(IF('卡片raw data'!BM$1:BM$1000=T1060,1,0),IF('卡片raw data'!BO$1:BO$1000=V1060,1,0),IF(IF('卡片raw data'!C$1:C$1000=R$3,1,0)+IF(R$3="",1,0)&gt;=1,1,0),IF(IF('卡片raw data'!D$1:D$1000=R$4,1,0)+IF(R$4="",1,0)&gt;=1,1,0),IF(IF('卡片raw data'!E$1:E$1000=R$5,1,0)+IF(R$5="",1,0)&gt;=1,1,0))</f>
        <v>2</v>
      </c>
      <c r="Y1060" s="1307">
        <f t="shared" si="81"/>
        <v>22</v>
      </c>
      <c r="Z1060" s="1307">
        <f t="shared" si="82"/>
        <v>0</v>
      </c>
      <c r="AA1060" s="1307">
        <f t="shared" si="83"/>
        <v>22</v>
      </c>
      <c r="AB1060" s="1307">
        <f t="shared" si="84"/>
        <v>2</v>
      </c>
    </row>
    <row r="1061" spans="20:28">
      <c r="T1061" s="1077">
        <v>40</v>
      </c>
      <c r="U1061" s="1077">
        <f t="shared" si="80"/>
        <v>37</v>
      </c>
      <c r="V1061" s="1077">
        <v>23</v>
      </c>
      <c r="W1061" s="1077">
        <f t="array" ref="W1061">SUMPRODUCT(IF('卡片raw data'!BM$1:BM$1000=T1061,1,0),IF('卡片raw data'!BO$1:BO$1000=V1061,1,0),IF(IF('卡片raw data'!C$1:C$1000=R$3,1,0)+IF(R$3="",1,0)&gt;=1,1,0),IF(IF('卡片raw data'!D$1:D$1000=R$4,1,0)+IF(R$4="",1,0)&gt;=1,1,0),IF(IF('卡片raw data'!E$1:E$1000=R$5,1,0)+IF(R$5="",1,0)&gt;=1,1,0))</f>
        <v>0</v>
      </c>
      <c r="Y1061" s="1307">
        <f t="shared" si="81"/>
        <v>23</v>
      </c>
      <c r="Z1061" s="1307">
        <f t="shared" si="82"/>
        <v>0</v>
      </c>
      <c r="AA1061" s="1307">
        <f t="shared" si="83"/>
        <v>23</v>
      </c>
      <c r="AB1061" s="1307">
        <f t="shared" si="84"/>
        <v>0</v>
      </c>
    </row>
    <row r="1062" spans="20:28">
      <c r="T1062" s="1077">
        <v>40</v>
      </c>
      <c r="U1062" s="1077">
        <f t="shared" si="80"/>
        <v>36</v>
      </c>
      <c r="V1062" s="1077">
        <v>24</v>
      </c>
      <c r="W1062" s="1077">
        <f t="array" ref="W1062">SUMPRODUCT(IF('卡片raw data'!BM$1:BM$1000=T1062,1,0),IF('卡片raw data'!BO$1:BO$1000=V1062,1,0),IF(IF('卡片raw data'!C$1:C$1000=R$3,1,0)+IF(R$3="",1,0)&gt;=1,1,0),IF(IF('卡片raw data'!D$1:D$1000=R$4,1,0)+IF(R$4="",1,0)&gt;=1,1,0),IF(IF('卡片raw data'!E$1:E$1000=R$5,1,0)+IF(R$5="",1,0)&gt;=1,1,0))</f>
        <v>1</v>
      </c>
      <c r="Y1062" s="1307">
        <f t="shared" si="81"/>
        <v>24</v>
      </c>
      <c r="Z1062" s="1307">
        <f t="shared" si="82"/>
        <v>0</v>
      </c>
      <c r="AA1062" s="1307">
        <f t="shared" si="83"/>
        <v>24</v>
      </c>
      <c r="AB1062" s="1307">
        <f t="shared" si="84"/>
        <v>1</v>
      </c>
    </row>
    <row r="1063" spans="20:28">
      <c r="T1063" s="1077">
        <v>40</v>
      </c>
      <c r="U1063" s="1077">
        <f t="shared" si="80"/>
        <v>35</v>
      </c>
      <c r="V1063" s="1077">
        <v>25</v>
      </c>
      <c r="W1063" s="1077">
        <f t="array" ref="W1063">SUMPRODUCT(IF('卡片raw data'!BM$1:BM$1000=T1063,1,0),IF('卡片raw data'!BO$1:BO$1000=V1063,1,0),IF(IF('卡片raw data'!C$1:C$1000=R$3,1,0)+IF(R$3="",1,0)&gt;=1,1,0),IF(IF('卡片raw data'!D$1:D$1000=R$4,1,0)+IF(R$4="",1,0)&gt;=1,1,0),IF(IF('卡片raw data'!E$1:E$1000=R$5,1,0)+IF(R$5="",1,0)&gt;=1,1,0))</f>
        <v>2</v>
      </c>
      <c r="Y1063" s="1307">
        <f t="shared" si="81"/>
        <v>25</v>
      </c>
      <c r="Z1063" s="1307">
        <f t="shared" si="82"/>
        <v>0</v>
      </c>
      <c r="AA1063" s="1307">
        <f t="shared" si="83"/>
        <v>25</v>
      </c>
      <c r="AB1063" s="1307">
        <f t="shared" si="84"/>
        <v>2</v>
      </c>
    </row>
    <row r="1064" spans="20:28">
      <c r="T1064" s="1077">
        <v>40</v>
      </c>
      <c r="U1064" s="1077">
        <f t="shared" si="80"/>
        <v>34</v>
      </c>
      <c r="V1064" s="1077">
        <v>26</v>
      </c>
      <c r="W1064" s="1077">
        <f t="array" ref="W1064">SUMPRODUCT(IF('卡片raw data'!BM$1:BM$1000=T1064,1,0),IF('卡片raw data'!BO$1:BO$1000=V1064,1,0),IF(IF('卡片raw data'!C$1:C$1000=R$3,1,0)+IF(R$3="",1,0)&gt;=1,1,0),IF(IF('卡片raw data'!D$1:D$1000=R$4,1,0)+IF(R$4="",1,0)&gt;=1,1,0),IF(IF('卡片raw data'!E$1:E$1000=R$5,1,0)+IF(R$5="",1,0)&gt;=1,1,0))</f>
        <v>1</v>
      </c>
      <c r="Y1064" s="1307">
        <f t="shared" si="81"/>
        <v>26</v>
      </c>
      <c r="Z1064" s="1307">
        <f t="shared" si="82"/>
        <v>0</v>
      </c>
      <c r="AA1064" s="1307">
        <f t="shared" si="83"/>
        <v>26</v>
      </c>
      <c r="AB1064" s="1307">
        <f t="shared" si="84"/>
        <v>1</v>
      </c>
    </row>
    <row r="1065" spans="20:28">
      <c r="T1065" s="1077">
        <v>40</v>
      </c>
      <c r="U1065" s="1077">
        <f t="shared" si="80"/>
        <v>33</v>
      </c>
      <c r="V1065" s="1077">
        <v>27</v>
      </c>
      <c r="W1065" s="1077">
        <f t="array" ref="W1065">SUMPRODUCT(IF('卡片raw data'!BM$1:BM$1000=T1065,1,0),IF('卡片raw data'!BO$1:BO$1000=V1065,1,0),IF(IF('卡片raw data'!C$1:C$1000=R$3,1,0)+IF(R$3="",1,0)&gt;=1,1,0),IF(IF('卡片raw data'!D$1:D$1000=R$4,1,0)+IF(R$4="",1,0)&gt;=1,1,0),IF(IF('卡片raw data'!E$1:E$1000=R$5,1,0)+IF(R$5="",1,0)&gt;=1,1,0))</f>
        <v>0</v>
      </c>
      <c r="Y1065" s="1307">
        <f t="shared" si="81"/>
        <v>27</v>
      </c>
      <c r="Z1065" s="1307">
        <f t="shared" si="82"/>
        <v>0</v>
      </c>
      <c r="AA1065" s="1307">
        <f t="shared" si="83"/>
        <v>27</v>
      </c>
      <c r="AB1065" s="1307">
        <f t="shared" si="84"/>
        <v>0</v>
      </c>
    </row>
    <row r="1066" spans="20:28">
      <c r="T1066" s="1077">
        <v>40</v>
      </c>
      <c r="U1066" s="1077">
        <f t="shared" si="80"/>
        <v>32</v>
      </c>
      <c r="V1066" s="1077">
        <v>28</v>
      </c>
      <c r="W1066" s="1077">
        <f t="array" ref="W1066">SUMPRODUCT(IF('卡片raw data'!BM$1:BM$1000=T1066,1,0),IF('卡片raw data'!BO$1:BO$1000=V1066,1,0),IF(IF('卡片raw data'!C$1:C$1000=R$3,1,0)+IF(R$3="",1,0)&gt;=1,1,0),IF(IF('卡片raw data'!D$1:D$1000=R$4,1,0)+IF(R$4="",1,0)&gt;=1,1,0),IF(IF('卡片raw data'!E$1:E$1000=R$5,1,0)+IF(R$5="",1,0)&gt;=1,1,0))</f>
        <v>0</v>
      </c>
      <c r="Y1066" s="1307">
        <f t="shared" si="81"/>
        <v>28</v>
      </c>
      <c r="Z1066" s="1307">
        <f t="shared" si="82"/>
        <v>0</v>
      </c>
      <c r="AA1066" s="1307">
        <f t="shared" si="83"/>
        <v>28</v>
      </c>
      <c r="AB1066" s="1307">
        <f t="shared" si="84"/>
        <v>0</v>
      </c>
    </row>
    <row r="1067" spans="20:28">
      <c r="T1067" s="1077">
        <v>40</v>
      </c>
      <c r="U1067" s="1077">
        <f t="shared" si="80"/>
        <v>31</v>
      </c>
      <c r="V1067" s="1077">
        <v>29</v>
      </c>
      <c r="W1067" s="1077">
        <f t="array" ref="W1067">SUMPRODUCT(IF('卡片raw data'!BM$1:BM$1000=T1067,1,0),IF('卡片raw data'!BO$1:BO$1000=V1067,1,0),IF(IF('卡片raw data'!C$1:C$1000=R$3,1,0)+IF(R$3="",1,0)&gt;=1,1,0),IF(IF('卡片raw data'!D$1:D$1000=R$4,1,0)+IF(R$4="",1,0)&gt;=1,1,0),IF(IF('卡片raw data'!E$1:E$1000=R$5,1,0)+IF(R$5="",1,0)&gt;=1,1,0))</f>
        <v>0</v>
      </c>
      <c r="Y1067" s="1307">
        <f t="shared" si="81"/>
        <v>29</v>
      </c>
      <c r="Z1067" s="1307">
        <f t="shared" si="82"/>
        <v>0</v>
      </c>
      <c r="AA1067" s="1307">
        <f t="shared" si="83"/>
        <v>29</v>
      </c>
      <c r="AB1067" s="1307">
        <f t="shared" si="84"/>
        <v>0</v>
      </c>
    </row>
    <row r="1068" spans="20:28">
      <c r="T1068" s="1077">
        <v>40</v>
      </c>
      <c r="U1068" s="1077">
        <f t="shared" si="80"/>
        <v>30</v>
      </c>
      <c r="V1068" s="1077">
        <v>30</v>
      </c>
      <c r="W1068" s="1077">
        <f t="array" ref="W1068">SUMPRODUCT(IF('卡片raw data'!BM$1:BM$1000=T1068,1,0),IF('卡片raw data'!BO$1:BO$1000=V1068,1,0),IF(IF('卡片raw data'!C$1:C$1000=R$3,1,0)+IF(R$3="",1,0)&gt;=1,1,0),IF(IF('卡片raw data'!D$1:D$1000=R$4,1,0)+IF(R$4="",1,0)&gt;=1,1,0),IF(IF('卡片raw data'!E$1:E$1000=R$5,1,0)+IF(R$5="",1,0)&gt;=1,1,0))</f>
        <v>25</v>
      </c>
      <c r="Y1068" s="1307">
        <f t="shared" si="81"/>
        <v>30</v>
      </c>
      <c r="Z1068" s="1307">
        <f t="shared" si="82"/>
        <v>0</v>
      </c>
      <c r="AA1068" s="1307">
        <f t="shared" si="83"/>
        <v>30</v>
      </c>
      <c r="AB1068" s="1307">
        <f t="shared" si="84"/>
        <v>25</v>
      </c>
    </row>
    <row r="1069" spans="20:28">
      <c r="T1069" s="1077">
        <v>40</v>
      </c>
      <c r="U1069" s="1077">
        <f t="shared" si="80"/>
        <v>29</v>
      </c>
      <c r="V1069" s="1077">
        <v>31</v>
      </c>
      <c r="W1069" s="1077">
        <f t="array" ref="W1069">SUMPRODUCT(IF('卡片raw data'!BM$1:BM$1000=T1069,1,0),IF('卡片raw data'!BO$1:BO$1000=V1069,1,0),IF(IF('卡片raw data'!C$1:C$1000=R$3,1,0)+IF(R$3="",1,0)&gt;=1,1,0),IF(IF('卡片raw data'!D$1:D$1000=R$4,1,0)+IF(R$4="",1,0)&gt;=1,1,0),IF(IF('卡片raw data'!E$1:E$1000=R$5,1,0)+IF(R$5="",1,0)&gt;=1,1,0))</f>
        <v>0</v>
      </c>
      <c r="Y1069" s="1307">
        <f t="shared" si="81"/>
        <v>31</v>
      </c>
      <c r="Z1069" s="1307">
        <f t="shared" si="82"/>
        <v>0</v>
      </c>
      <c r="AA1069" s="1307">
        <f t="shared" si="83"/>
        <v>31</v>
      </c>
      <c r="AB1069" s="1307">
        <f t="shared" si="84"/>
        <v>0</v>
      </c>
    </row>
    <row r="1070" spans="20:28">
      <c r="T1070" s="1077">
        <v>40</v>
      </c>
      <c r="U1070" s="1077">
        <f t="shared" si="80"/>
        <v>28</v>
      </c>
      <c r="V1070" s="1077">
        <v>32</v>
      </c>
      <c r="W1070" s="1077">
        <f t="array" ref="W1070">SUMPRODUCT(IF('卡片raw data'!BM$1:BM$1000=T1070,1,0),IF('卡片raw data'!BO$1:BO$1000=V1070,1,0),IF(IF('卡片raw data'!C$1:C$1000=R$3,1,0)+IF(R$3="",1,0)&gt;=1,1,0),IF(IF('卡片raw data'!D$1:D$1000=R$4,1,0)+IF(R$4="",1,0)&gt;=1,1,0),IF(IF('卡片raw data'!E$1:E$1000=R$5,1,0)+IF(R$5="",1,0)&gt;=1,1,0))</f>
        <v>5</v>
      </c>
      <c r="Y1070" s="1307">
        <f t="shared" si="81"/>
        <v>32</v>
      </c>
      <c r="Z1070" s="1307">
        <f t="shared" si="82"/>
        <v>0</v>
      </c>
      <c r="AA1070" s="1307">
        <f t="shared" si="83"/>
        <v>32</v>
      </c>
      <c r="AB1070" s="1307">
        <f t="shared" si="84"/>
        <v>5</v>
      </c>
    </row>
    <row r="1071" spans="20:28">
      <c r="T1071" s="1077">
        <v>40</v>
      </c>
      <c r="U1071" s="1077">
        <f t="shared" si="80"/>
        <v>27</v>
      </c>
      <c r="V1071" s="1077">
        <v>33</v>
      </c>
      <c r="W1071" s="1077">
        <f t="array" ref="W1071">SUMPRODUCT(IF('卡片raw data'!BM$1:BM$1000=T1071,1,0),IF('卡片raw data'!BO$1:BO$1000=V1071,1,0),IF(IF('卡片raw data'!C$1:C$1000=R$3,1,0)+IF(R$3="",1,0)&gt;=1,1,0),IF(IF('卡片raw data'!D$1:D$1000=R$4,1,0)+IF(R$4="",1,0)&gt;=1,1,0),IF(IF('卡片raw data'!E$1:E$1000=R$5,1,0)+IF(R$5="",1,0)&gt;=1,1,0))</f>
        <v>2</v>
      </c>
      <c r="Y1071" s="1307">
        <f t="shared" si="81"/>
        <v>33</v>
      </c>
      <c r="Z1071" s="1307">
        <f t="shared" si="82"/>
        <v>0</v>
      </c>
      <c r="AA1071" s="1307">
        <f t="shared" si="83"/>
        <v>33</v>
      </c>
      <c r="AB1071" s="1307">
        <f t="shared" si="84"/>
        <v>2</v>
      </c>
    </row>
    <row r="1072" spans="20:28">
      <c r="T1072" s="1077">
        <v>40</v>
      </c>
      <c r="U1072" s="1077">
        <f t="shared" si="80"/>
        <v>26</v>
      </c>
      <c r="V1072" s="1077">
        <v>34</v>
      </c>
      <c r="W1072" s="1077">
        <f t="array" ref="W1072">SUMPRODUCT(IF('卡片raw data'!BM$1:BM$1000=T1072,1,0),IF('卡片raw data'!BO$1:BO$1000=V1072,1,0),IF(IF('卡片raw data'!C$1:C$1000=R$3,1,0)+IF(R$3="",1,0)&gt;=1,1,0),IF(IF('卡片raw data'!D$1:D$1000=R$4,1,0)+IF(R$4="",1,0)&gt;=1,1,0),IF(IF('卡片raw data'!E$1:E$1000=R$5,1,0)+IF(R$5="",1,0)&gt;=1,1,0))</f>
        <v>0</v>
      </c>
      <c r="Y1072" s="1307">
        <f t="shared" si="81"/>
        <v>34</v>
      </c>
      <c r="Z1072" s="1307">
        <f t="shared" si="82"/>
        <v>0</v>
      </c>
      <c r="AA1072" s="1307">
        <f t="shared" si="83"/>
        <v>34</v>
      </c>
      <c r="AB1072" s="1307">
        <f t="shared" si="84"/>
        <v>0</v>
      </c>
    </row>
    <row r="1073" spans="20:28">
      <c r="T1073" s="1077">
        <v>40</v>
      </c>
      <c r="U1073" s="1077">
        <f t="shared" si="80"/>
        <v>25</v>
      </c>
      <c r="V1073" s="1077">
        <v>35</v>
      </c>
      <c r="W1073" s="1077">
        <f t="array" ref="W1073">SUMPRODUCT(IF('卡片raw data'!BM$1:BM$1000=T1073,1,0),IF('卡片raw data'!BO$1:BO$1000=V1073,1,0),IF(IF('卡片raw data'!C$1:C$1000=R$3,1,0)+IF(R$3="",1,0)&gt;=1,1,0),IF(IF('卡片raw data'!D$1:D$1000=R$4,1,0)+IF(R$4="",1,0)&gt;=1,1,0),IF(IF('卡片raw data'!E$1:E$1000=R$5,1,0)+IF(R$5="",1,0)&gt;=1,1,0))</f>
        <v>4</v>
      </c>
      <c r="Y1073" s="1307">
        <f t="shared" si="81"/>
        <v>35</v>
      </c>
      <c r="Z1073" s="1307">
        <f t="shared" si="82"/>
        <v>0</v>
      </c>
      <c r="AA1073" s="1307">
        <f t="shared" si="83"/>
        <v>35</v>
      </c>
      <c r="AB1073" s="1307">
        <f t="shared" si="84"/>
        <v>4</v>
      </c>
    </row>
    <row r="1074" spans="20:28">
      <c r="T1074" s="1077">
        <v>40</v>
      </c>
      <c r="U1074" s="1077">
        <f t="shared" si="80"/>
        <v>24</v>
      </c>
      <c r="V1074" s="1077">
        <v>36</v>
      </c>
      <c r="W1074" s="1077">
        <f t="array" ref="W1074">SUMPRODUCT(IF('卡片raw data'!BM$1:BM$1000=T1074,1,0),IF('卡片raw data'!BO$1:BO$1000=V1074,1,0),IF(IF('卡片raw data'!C$1:C$1000=R$3,1,0)+IF(R$3="",1,0)&gt;=1,1,0),IF(IF('卡片raw data'!D$1:D$1000=R$4,1,0)+IF(R$4="",1,0)&gt;=1,1,0),IF(IF('卡片raw data'!E$1:E$1000=R$5,1,0)+IF(R$5="",1,0)&gt;=1,1,0))</f>
        <v>0</v>
      </c>
      <c r="Y1074" s="1307">
        <f t="shared" si="81"/>
        <v>36</v>
      </c>
      <c r="Z1074" s="1307">
        <f t="shared" si="82"/>
        <v>0</v>
      </c>
      <c r="AA1074" s="1307">
        <f t="shared" si="83"/>
        <v>36</v>
      </c>
      <c r="AB1074" s="1307">
        <f t="shared" si="84"/>
        <v>0</v>
      </c>
    </row>
    <row r="1075" spans="20:28">
      <c r="T1075" s="1077">
        <v>40</v>
      </c>
      <c r="U1075" s="1077">
        <f t="shared" si="80"/>
        <v>23</v>
      </c>
      <c r="V1075" s="1077">
        <v>37</v>
      </c>
      <c r="W1075" s="1077">
        <f t="array" ref="W1075">SUMPRODUCT(IF('卡片raw data'!BM$1:BM$1000=T1075,1,0),IF('卡片raw data'!BO$1:BO$1000=V1075,1,0),IF(IF('卡片raw data'!C$1:C$1000=R$3,1,0)+IF(R$3="",1,0)&gt;=1,1,0),IF(IF('卡片raw data'!D$1:D$1000=R$4,1,0)+IF(R$4="",1,0)&gt;=1,1,0),IF(IF('卡片raw data'!E$1:E$1000=R$5,1,0)+IF(R$5="",1,0)&gt;=1,1,0))</f>
        <v>2</v>
      </c>
      <c r="Y1075" s="1307">
        <f t="shared" si="81"/>
        <v>37</v>
      </c>
      <c r="Z1075" s="1307">
        <f t="shared" si="82"/>
        <v>0</v>
      </c>
      <c r="AA1075" s="1307">
        <f t="shared" si="83"/>
        <v>37</v>
      </c>
      <c r="AB1075" s="1307">
        <f t="shared" si="84"/>
        <v>2</v>
      </c>
    </row>
    <row r="1076" spans="20:28">
      <c r="T1076" s="1077">
        <v>40</v>
      </c>
      <c r="U1076" s="1077">
        <f t="shared" si="80"/>
        <v>22</v>
      </c>
      <c r="V1076" s="1077">
        <v>38</v>
      </c>
      <c r="W1076" s="1077">
        <f t="array" ref="W1076">SUMPRODUCT(IF('卡片raw data'!BM$1:BM$1000=T1076,1,0),IF('卡片raw data'!BO$1:BO$1000=V1076,1,0),IF(IF('卡片raw data'!C$1:C$1000=R$3,1,0)+IF(R$3="",1,0)&gt;=1,1,0),IF(IF('卡片raw data'!D$1:D$1000=R$4,1,0)+IF(R$4="",1,0)&gt;=1,1,0),IF(IF('卡片raw data'!E$1:E$1000=R$5,1,0)+IF(R$5="",1,0)&gt;=1,1,0))</f>
        <v>0</v>
      </c>
      <c r="Y1076" s="1307">
        <f t="shared" si="81"/>
        <v>38</v>
      </c>
      <c r="Z1076" s="1307">
        <f t="shared" si="82"/>
        <v>0</v>
      </c>
      <c r="AA1076" s="1307">
        <f t="shared" si="83"/>
        <v>38</v>
      </c>
      <c r="AB1076" s="1307">
        <f t="shared" si="84"/>
        <v>0</v>
      </c>
    </row>
    <row r="1077" spans="20:28">
      <c r="T1077" s="1077">
        <v>40</v>
      </c>
      <c r="U1077" s="1077">
        <f t="shared" si="80"/>
        <v>21</v>
      </c>
      <c r="V1077" s="1077">
        <v>39</v>
      </c>
      <c r="W1077" s="1077">
        <f t="array" ref="W1077">SUMPRODUCT(IF('卡片raw data'!BM$1:BM$1000=T1077,1,0),IF('卡片raw data'!BO$1:BO$1000=V1077,1,0),IF(IF('卡片raw data'!C$1:C$1000=R$3,1,0)+IF(R$3="",1,0)&gt;=1,1,0),IF(IF('卡片raw data'!D$1:D$1000=R$4,1,0)+IF(R$4="",1,0)&gt;=1,1,0),IF(IF('卡片raw data'!E$1:E$1000=R$5,1,0)+IF(R$5="",1,0)&gt;=1,1,0))</f>
        <v>1</v>
      </c>
      <c r="Y1077" s="1307">
        <f t="shared" si="81"/>
        <v>39</v>
      </c>
      <c r="Z1077" s="1307">
        <f t="shared" si="82"/>
        <v>0</v>
      </c>
      <c r="AA1077" s="1307">
        <f t="shared" si="83"/>
        <v>39</v>
      </c>
      <c r="AB1077" s="1307">
        <f t="shared" si="84"/>
        <v>1</v>
      </c>
    </row>
    <row r="1078" spans="20:28">
      <c r="T1078" s="1077">
        <v>40</v>
      </c>
      <c r="U1078" s="1077">
        <f t="shared" si="80"/>
        <v>20</v>
      </c>
      <c r="V1078" s="1077">
        <v>40</v>
      </c>
      <c r="W1078" s="1077">
        <f t="array" ref="W1078">SUMPRODUCT(IF('卡片raw data'!BM$1:BM$1000=T1078,1,0),IF('卡片raw data'!BO$1:BO$1000=V1078,1,0),IF(IF('卡片raw data'!C$1:C$1000=R$3,1,0)+IF(R$3="",1,0)&gt;=1,1,0),IF(IF('卡片raw data'!D$1:D$1000=R$4,1,0)+IF(R$4="",1,0)&gt;=1,1,0),IF(IF('卡片raw data'!E$1:E$1000=R$5,1,0)+IF(R$5="",1,0)&gt;=1,1,0))</f>
        <v>1</v>
      </c>
      <c r="Y1078" s="1307">
        <f t="shared" si="81"/>
        <v>40</v>
      </c>
      <c r="Z1078" s="1307">
        <f t="shared" si="82"/>
        <v>0</v>
      </c>
      <c r="AA1078" s="1307">
        <f t="shared" si="83"/>
        <v>40</v>
      </c>
      <c r="AB1078" s="1307">
        <f t="shared" si="84"/>
        <v>1</v>
      </c>
    </row>
    <row r="1079" spans="20:28">
      <c r="T1079" s="1077">
        <v>40</v>
      </c>
      <c r="U1079" s="1077">
        <f t="shared" si="80"/>
        <v>19</v>
      </c>
      <c r="V1079" s="1077">
        <v>41</v>
      </c>
      <c r="W1079" s="1077">
        <f t="array" ref="W1079">SUMPRODUCT(IF('卡片raw data'!BM$1:BM$1000=T1079,1,0),IF('卡片raw data'!BO$1:BO$1000=V1079,1,0),IF(IF('卡片raw data'!C$1:C$1000=R$3,1,0)+IF(R$3="",1,0)&gt;=1,1,0),IF(IF('卡片raw data'!D$1:D$1000=R$4,1,0)+IF(R$4="",1,0)&gt;=1,1,0),IF(IF('卡片raw data'!E$1:E$1000=R$5,1,0)+IF(R$5="",1,0)&gt;=1,1,0))</f>
        <v>5</v>
      </c>
      <c r="Y1079" s="1307">
        <f t="shared" si="81"/>
        <v>41</v>
      </c>
      <c r="Z1079" s="1307">
        <f t="shared" si="82"/>
        <v>5</v>
      </c>
      <c r="AA1079" s="1307">
        <f t="shared" si="83"/>
        <v>41</v>
      </c>
      <c r="AB1079" s="1307">
        <f t="shared" si="84"/>
        <v>0</v>
      </c>
    </row>
    <row r="1080" spans="20:28">
      <c r="T1080" s="1077">
        <v>40</v>
      </c>
      <c r="U1080" s="1077">
        <f t="shared" si="80"/>
        <v>18</v>
      </c>
      <c r="V1080" s="1077">
        <v>42</v>
      </c>
      <c r="W1080" s="1077">
        <f t="array" ref="W1080">SUMPRODUCT(IF('卡片raw data'!BM$1:BM$1000=T1080,1,0),IF('卡片raw data'!BO$1:BO$1000=V1080,1,0),IF(IF('卡片raw data'!C$1:C$1000=R$3,1,0)+IF(R$3="",1,0)&gt;=1,1,0),IF(IF('卡片raw data'!D$1:D$1000=R$4,1,0)+IF(R$4="",1,0)&gt;=1,1,0),IF(IF('卡片raw data'!E$1:E$1000=R$5,1,0)+IF(R$5="",1,0)&gt;=1,1,0))</f>
        <v>1</v>
      </c>
      <c r="Y1080" s="1307">
        <f t="shared" si="81"/>
        <v>42</v>
      </c>
      <c r="Z1080" s="1307">
        <f t="shared" si="82"/>
        <v>1</v>
      </c>
      <c r="AA1080" s="1307">
        <f t="shared" si="83"/>
        <v>42</v>
      </c>
      <c r="AB1080" s="1307">
        <f t="shared" si="84"/>
        <v>0</v>
      </c>
    </row>
    <row r="1081" spans="20:28">
      <c r="T1081" s="1077">
        <v>40</v>
      </c>
      <c r="U1081" s="1077">
        <f t="shared" si="80"/>
        <v>17</v>
      </c>
      <c r="V1081" s="1077">
        <v>43</v>
      </c>
      <c r="W1081" s="1077">
        <f t="array" ref="W1081">SUMPRODUCT(IF('卡片raw data'!BM$1:BM$1000=T1081,1,0),IF('卡片raw data'!BO$1:BO$1000=V1081,1,0),IF(IF('卡片raw data'!C$1:C$1000=R$3,1,0)+IF(R$3="",1,0)&gt;=1,1,0),IF(IF('卡片raw data'!D$1:D$1000=R$4,1,0)+IF(R$4="",1,0)&gt;=1,1,0),IF(IF('卡片raw data'!E$1:E$1000=R$5,1,0)+IF(R$5="",1,0)&gt;=1,1,0))</f>
        <v>0</v>
      </c>
      <c r="Y1081" s="1307">
        <f t="shared" si="81"/>
        <v>43</v>
      </c>
      <c r="Z1081" s="1307">
        <f t="shared" si="82"/>
        <v>0</v>
      </c>
      <c r="AA1081" s="1307">
        <f t="shared" si="83"/>
        <v>43</v>
      </c>
      <c r="AB1081" s="1307">
        <f t="shared" si="84"/>
        <v>0</v>
      </c>
    </row>
    <row r="1082" spans="20:28">
      <c r="T1082" s="1077">
        <v>40</v>
      </c>
      <c r="U1082" s="1077">
        <f t="shared" si="80"/>
        <v>16</v>
      </c>
      <c r="V1082" s="1077">
        <v>44</v>
      </c>
      <c r="W1082" s="1077">
        <f t="array" ref="W1082">SUMPRODUCT(IF('卡片raw data'!BM$1:BM$1000=T1082,1,0),IF('卡片raw data'!BO$1:BO$1000=V1082,1,0),IF(IF('卡片raw data'!C$1:C$1000=R$3,1,0)+IF(R$3="",1,0)&gt;=1,1,0),IF(IF('卡片raw data'!D$1:D$1000=R$4,1,0)+IF(R$4="",1,0)&gt;=1,1,0),IF(IF('卡片raw data'!E$1:E$1000=R$5,1,0)+IF(R$5="",1,0)&gt;=1,1,0))</f>
        <v>2</v>
      </c>
      <c r="Y1082" s="1307">
        <f t="shared" si="81"/>
        <v>44</v>
      </c>
      <c r="Z1082" s="1307">
        <f t="shared" si="82"/>
        <v>2</v>
      </c>
      <c r="AA1082" s="1307">
        <f t="shared" si="83"/>
        <v>44</v>
      </c>
      <c r="AB1082" s="1307">
        <f t="shared" si="84"/>
        <v>0</v>
      </c>
    </row>
    <row r="1083" spans="20:28">
      <c r="T1083" s="1077">
        <v>40</v>
      </c>
      <c r="U1083" s="1077">
        <f t="shared" si="80"/>
        <v>15</v>
      </c>
      <c r="V1083" s="1077">
        <v>45</v>
      </c>
      <c r="W1083" s="1077">
        <f t="array" ref="W1083">SUMPRODUCT(IF('卡片raw data'!BM$1:BM$1000=T1083,1,0),IF('卡片raw data'!BO$1:BO$1000=V1083,1,0),IF(IF('卡片raw data'!C$1:C$1000=R$3,1,0)+IF(R$3="",1,0)&gt;=1,1,0),IF(IF('卡片raw data'!D$1:D$1000=R$4,1,0)+IF(R$4="",1,0)&gt;=1,1,0),IF(IF('卡片raw data'!E$1:E$1000=R$5,1,0)+IF(R$5="",1,0)&gt;=1,1,0))</f>
        <v>0</v>
      </c>
      <c r="Y1083" s="1307">
        <f t="shared" si="81"/>
        <v>45</v>
      </c>
      <c r="Z1083" s="1307">
        <f t="shared" si="82"/>
        <v>0</v>
      </c>
      <c r="AA1083" s="1307">
        <f t="shared" si="83"/>
        <v>45</v>
      </c>
      <c r="AB1083" s="1307">
        <f t="shared" si="84"/>
        <v>0</v>
      </c>
    </row>
    <row r="1084" spans="20:28">
      <c r="T1084" s="1077">
        <v>40</v>
      </c>
      <c r="U1084" s="1077">
        <f t="shared" si="80"/>
        <v>14</v>
      </c>
      <c r="V1084" s="1077">
        <v>46</v>
      </c>
      <c r="W1084" s="1077">
        <f t="array" ref="W1084">SUMPRODUCT(IF('卡片raw data'!BM$1:BM$1000=T1084,1,0),IF('卡片raw data'!BO$1:BO$1000=V1084,1,0),IF(IF('卡片raw data'!C$1:C$1000=R$3,1,0)+IF(R$3="",1,0)&gt;=1,1,0),IF(IF('卡片raw data'!D$1:D$1000=R$4,1,0)+IF(R$4="",1,0)&gt;=1,1,0),IF(IF('卡片raw data'!E$1:E$1000=R$5,1,0)+IF(R$5="",1,0)&gt;=1,1,0))</f>
        <v>0</v>
      </c>
      <c r="Y1084" s="1307">
        <f t="shared" si="81"/>
        <v>46</v>
      </c>
      <c r="Z1084" s="1307">
        <f t="shared" si="82"/>
        <v>0</v>
      </c>
      <c r="AA1084" s="1307">
        <f t="shared" si="83"/>
        <v>46</v>
      </c>
      <c r="AB1084" s="1307">
        <f t="shared" si="84"/>
        <v>0</v>
      </c>
    </row>
    <row r="1085" spans="20:28">
      <c r="T1085" s="1077">
        <v>40</v>
      </c>
      <c r="U1085" s="1077">
        <f t="shared" si="80"/>
        <v>13</v>
      </c>
      <c r="V1085" s="1077">
        <v>47</v>
      </c>
      <c r="W1085" s="1077">
        <f t="array" ref="W1085">SUMPRODUCT(IF('卡片raw data'!BM$1:BM$1000=T1085,1,0),IF('卡片raw data'!BO$1:BO$1000=V1085,1,0),IF(IF('卡片raw data'!C$1:C$1000=R$3,1,0)+IF(R$3="",1,0)&gt;=1,1,0),IF(IF('卡片raw data'!D$1:D$1000=R$4,1,0)+IF(R$4="",1,0)&gt;=1,1,0),IF(IF('卡片raw data'!E$1:E$1000=R$5,1,0)+IF(R$5="",1,0)&gt;=1,1,0))</f>
        <v>1</v>
      </c>
      <c r="Y1085" s="1307">
        <f t="shared" si="81"/>
        <v>47</v>
      </c>
      <c r="Z1085" s="1307">
        <f t="shared" si="82"/>
        <v>1</v>
      </c>
      <c r="AA1085" s="1307">
        <f t="shared" si="83"/>
        <v>47</v>
      </c>
      <c r="AB1085" s="1307">
        <f t="shared" si="84"/>
        <v>0</v>
      </c>
    </row>
    <row r="1086" spans="20:28">
      <c r="T1086" s="1077">
        <v>40</v>
      </c>
      <c r="U1086" s="1077">
        <f t="shared" si="80"/>
        <v>12</v>
      </c>
      <c r="V1086" s="1077">
        <v>48</v>
      </c>
      <c r="W1086" s="1077">
        <f t="array" ref="W1086">SUMPRODUCT(IF('卡片raw data'!BM$1:BM$1000=T1086,1,0),IF('卡片raw data'!BO$1:BO$1000=V1086,1,0),IF(IF('卡片raw data'!C$1:C$1000=R$3,1,0)+IF(R$3="",1,0)&gt;=1,1,0),IF(IF('卡片raw data'!D$1:D$1000=R$4,1,0)+IF(R$4="",1,0)&gt;=1,1,0),IF(IF('卡片raw data'!E$1:E$1000=R$5,1,0)+IF(R$5="",1,0)&gt;=1,1,0))</f>
        <v>0</v>
      </c>
      <c r="Y1086" s="1307">
        <f t="shared" si="81"/>
        <v>48</v>
      </c>
      <c r="Z1086" s="1307">
        <f t="shared" si="82"/>
        <v>0</v>
      </c>
      <c r="AA1086" s="1307">
        <f t="shared" si="83"/>
        <v>48</v>
      </c>
      <c r="AB1086" s="1307">
        <f t="shared" si="84"/>
        <v>0</v>
      </c>
    </row>
    <row r="1087" spans="20:28">
      <c r="T1087" s="1077">
        <v>40</v>
      </c>
      <c r="U1087" s="1077">
        <f t="shared" si="80"/>
        <v>11</v>
      </c>
      <c r="V1087" s="1077">
        <v>49</v>
      </c>
      <c r="W1087" s="1077">
        <f t="array" ref="W1087">SUMPRODUCT(IF('卡片raw data'!BM$1:BM$1000=T1087,1,0),IF('卡片raw data'!BO$1:BO$1000=V1087,1,0),IF(IF('卡片raw data'!C$1:C$1000=R$3,1,0)+IF(R$3="",1,0)&gt;=1,1,0),IF(IF('卡片raw data'!D$1:D$1000=R$4,1,0)+IF(R$4="",1,0)&gt;=1,1,0),IF(IF('卡片raw data'!E$1:E$1000=R$5,1,0)+IF(R$5="",1,0)&gt;=1,1,0))</f>
        <v>0</v>
      </c>
      <c r="Y1087" s="1307">
        <f t="shared" si="81"/>
        <v>49</v>
      </c>
      <c r="Z1087" s="1307">
        <f t="shared" si="82"/>
        <v>0</v>
      </c>
      <c r="AA1087" s="1307">
        <f t="shared" si="83"/>
        <v>49</v>
      </c>
      <c r="AB1087" s="1307">
        <f t="shared" si="84"/>
        <v>0</v>
      </c>
    </row>
    <row r="1088" spans="20:28">
      <c r="T1088" s="1077">
        <v>40</v>
      </c>
      <c r="U1088" s="1077">
        <f t="shared" si="80"/>
        <v>10</v>
      </c>
      <c r="V1088" s="1077">
        <v>50</v>
      </c>
      <c r="W1088" s="1077">
        <f t="array" ref="W1088">SUMPRODUCT(IF('卡片raw data'!BM$1:BM$1000=T1088,1,0),IF('卡片raw data'!BO$1:BO$1000=V1088,1,0),IF(IF('卡片raw data'!C$1:C$1000=R$3,1,0)+IF(R$3="",1,0)&gt;=1,1,0),IF(IF('卡片raw data'!D$1:D$1000=R$4,1,0)+IF(R$4="",1,0)&gt;=1,1,0),IF(IF('卡片raw data'!E$1:E$1000=R$5,1,0)+IF(R$5="",1,0)&gt;=1,1,0))</f>
        <v>0</v>
      </c>
      <c r="Y1088" s="1307">
        <f t="shared" si="81"/>
        <v>50</v>
      </c>
      <c r="Z1088" s="1307">
        <f t="shared" si="82"/>
        <v>0</v>
      </c>
      <c r="AA1088" s="1307">
        <f t="shared" si="83"/>
        <v>50</v>
      </c>
      <c r="AB1088" s="1307">
        <f t="shared" si="84"/>
        <v>0</v>
      </c>
    </row>
    <row r="1089" spans="20:28">
      <c r="T1089" s="1077">
        <v>41</v>
      </c>
      <c r="U1089" s="1077">
        <f t="shared" si="80"/>
        <v>49</v>
      </c>
      <c r="V1089" s="1077">
        <v>10</v>
      </c>
      <c r="W1089" s="1077">
        <f t="array" ref="W1089">SUMPRODUCT(IF('卡片raw data'!BM$1:BM$1000=T1089,1,0),IF('卡片raw data'!BO$1:BO$1000=V1089,1,0),IF(IF('卡片raw data'!C$1:C$1000=R$3,1,0)+IF(R$3="",1,0)&gt;=1,1,0),IF(IF('卡片raw data'!D$1:D$1000=R$4,1,0)+IF(R$4="",1,0)&gt;=1,1,0),IF(IF('卡片raw data'!E$1:E$1000=R$5,1,0)+IF(R$5="",1,0)&gt;=1,1,0))</f>
        <v>0</v>
      </c>
      <c r="Y1089" s="1307">
        <f t="shared" si="81"/>
        <v>10</v>
      </c>
      <c r="Z1089" s="1307">
        <f t="shared" si="82"/>
        <v>0</v>
      </c>
      <c r="AA1089" s="1307">
        <f t="shared" si="83"/>
        <v>10</v>
      </c>
      <c r="AB1089" s="1307">
        <f t="shared" si="84"/>
        <v>0</v>
      </c>
    </row>
    <row r="1090" spans="20:28">
      <c r="T1090" s="1077">
        <v>41</v>
      </c>
      <c r="U1090" s="1077">
        <f t="shared" si="80"/>
        <v>48</v>
      </c>
      <c r="V1090" s="1077">
        <v>11</v>
      </c>
      <c r="W1090" s="1077">
        <f t="array" ref="W1090">SUMPRODUCT(IF('卡片raw data'!BM$1:BM$1000=T1090,1,0),IF('卡片raw data'!BO$1:BO$1000=V1090,1,0),IF(IF('卡片raw data'!C$1:C$1000=R$3,1,0)+IF(R$3="",1,0)&gt;=1,1,0),IF(IF('卡片raw data'!D$1:D$1000=R$4,1,0)+IF(R$4="",1,0)&gt;=1,1,0),IF(IF('卡片raw data'!E$1:E$1000=R$5,1,0)+IF(R$5="",1,0)&gt;=1,1,0))</f>
        <v>0</v>
      </c>
      <c r="Y1090" s="1307">
        <f t="shared" si="81"/>
        <v>11</v>
      </c>
      <c r="Z1090" s="1307">
        <f t="shared" si="82"/>
        <v>0</v>
      </c>
      <c r="AA1090" s="1307">
        <f t="shared" si="83"/>
        <v>11</v>
      </c>
      <c r="AB1090" s="1307">
        <f t="shared" si="84"/>
        <v>0</v>
      </c>
    </row>
    <row r="1091" spans="20:28">
      <c r="T1091" s="1077">
        <v>41</v>
      </c>
      <c r="U1091" s="1077">
        <f t="shared" si="80"/>
        <v>47</v>
      </c>
      <c r="V1091" s="1077">
        <v>12</v>
      </c>
      <c r="W1091" s="1077">
        <f t="array" ref="W1091">SUMPRODUCT(IF('卡片raw data'!BM$1:BM$1000=T1091,1,0),IF('卡片raw data'!BO$1:BO$1000=V1091,1,0),IF(IF('卡片raw data'!C$1:C$1000=R$3,1,0)+IF(R$3="",1,0)&gt;=1,1,0),IF(IF('卡片raw data'!D$1:D$1000=R$4,1,0)+IF(R$4="",1,0)&gt;=1,1,0),IF(IF('卡片raw data'!E$1:E$1000=R$5,1,0)+IF(R$5="",1,0)&gt;=1,1,0))</f>
        <v>0</v>
      </c>
      <c r="Y1091" s="1307">
        <f t="shared" si="81"/>
        <v>12</v>
      </c>
      <c r="Z1091" s="1307">
        <f t="shared" si="82"/>
        <v>0</v>
      </c>
      <c r="AA1091" s="1307">
        <f t="shared" si="83"/>
        <v>12</v>
      </c>
      <c r="AB1091" s="1307">
        <f t="shared" si="84"/>
        <v>0</v>
      </c>
    </row>
    <row r="1092" spans="20:28">
      <c r="T1092" s="1077">
        <v>41</v>
      </c>
      <c r="U1092" s="1077">
        <f t="shared" ref="U1092:U1155" si="85">100-T1092-V1092</f>
        <v>46</v>
      </c>
      <c r="V1092" s="1077">
        <v>13</v>
      </c>
      <c r="W1092" s="1077">
        <f t="array" ref="W1092">SUMPRODUCT(IF('卡片raw data'!BM$1:BM$1000=T1092,1,0),IF('卡片raw data'!BO$1:BO$1000=V1092,1,0),IF(IF('卡片raw data'!C$1:C$1000=R$3,1,0)+IF(R$3="",1,0)&gt;=1,1,0),IF(IF('卡片raw data'!D$1:D$1000=R$4,1,0)+IF(R$4="",1,0)&gt;=1,1,0),IF(IF('卡片raw data'!E$1:E$1000=R$5,1,0)+IF(R$5="",1,0)&gt;=1,1,0))</f>
        <v>0</v>
      </c>
      <c r="Y1092" s="1307">
        <f t="shared" ref="Y1092:Y1155" si="86">V1092</f>
        <v>13</v>
      </c>
      <c r="Z1092" s="1307">
        <f t="shared" ref="Z1092:Z1155" si="87">IF(AND(V1092&gt;U1092,V1092&gt;T1092),W1092,0)</f>
        <v>0</v>
      </c>
      <c r="AA1092" s="1307">
        <f t="shared" ref="AA1092:AA1155" si="88">V1092</f>
        <v>13</v>
      </c>
      <c r="AB1092" s="1307">
        <f t="shared" ref="AB1092:AB1155" si="89">W1092-Z1092</f>
        <v>0</v>
      </c>
    </row>
    <row r="1093" spans="20:28">
      <c r="T1093" s="1077">
        <v>41</v>
      </c>
      <c r="U1093" s="1077">
        <f t="shared" si="85"/>
        <v>45</v>
      </c>
      <c r="V1093" s="1077">
        <v>14</v>
      </c>
      <c r="W1093" s="1077">
        <f t="array" ref="W1093">SUMPRODUCT(IF('卡片raw data'!BM$1:BM$1000=T1093,1,0),IF('卡片raw data'!BO$1:BO$1000=V1093,1,0),IF(IF('卡片raw data'!C$1:C$1000=R$3,1,0)+IF(R$3="",1,0)&gt;=1,1,0),IF(IF('卡片raw data'!D$1:D$1000=R$4,1,0)+IF(R$4="",1,0)&gt;=1,1,0),IF(IF('卡片raw data'!E$1:E$1000=R$5,1,0)+IF(R$5="",1,0)&gt;=1,1,0))</f>
        <v>0</v>
      </c>
      <c r="Y1093" s="1307">
        <f t="shared" si="86"/>
        <v>14</v>
      </c>
      <c r="Z1093" s="1307">
        <f t="shared" si="87"/>
        <v>0</v>
      </c>
      <c r="AA1093" s="1307">
        <f t="shared" si="88"/>
        <v>14</v>
      </c>
      <c r="AB1093" s="1307">
        <f t="shared" si="89"/>
        <v>0</v>
      </c>
    </row>
    <row r="1094" spans="20:28">
      <c r="T1094" s="1077">
        <v>41</v>
      </c>
      <c r="U1094" s="1077">
        <f t="shared" si="85"/>
        <v>44</v>
      </c>
      <c r="V1094" s="1077">
        <v>15</v>
      </c>
      <c r="W1094" s="1077">
        <f t="array" ref="W1094">SUMPRODUCT(IF('卡片raw data'!BM$1:BM$1000=T1094,1,0),IF('卡片raw data'!BO$1:BO$1000=V1094,1,0),IF(IF('卡片raw data'!C$1:C$1000=R$3,1,0)+IF(R$3="",1,0)&gt;=1,1,0),IF(IF('卡片raw data'!D$1:D$1000=R$4,1,0)+IF(R$4="",1,0)&gt;=1,1,0),IF(IF('卡片raw data'!E$1:E$1000=R$5,1,0)+IF(R$5="",1,0)&gt;=1,1,0))</f>
        <v>0</v>
      </c>
      <c r="Y1094" s="1307">
        <f t="shared" si="86"/>
        <v>15</v>
      </c>
      <c r="Z1094" s="1307">
        <f t="shared" si="87"/>
        <v>0</v>
      </c>
      <c r="AA1094" s="1307">
        <f t="shared" si="88"/>
        <v>15</v>
      </c>
      <c r="AB1094" s="1307">
        <f t="shared" si="89"/>
        <v>0</v>
      </c>
    </row>
    <row r="1095" spans="20:28">
      <c r="T1095" s="1077">
        <v>41</v>
      </c>
      <c r="U1095" s="1077">
        <f t="shared" si="85"/>
        <v>43</v>
      </c>
      <c r="V1095" s="1077">
        <v>16</v>
      </c>
      <c r="W1095" s="1077">
        <f t="array" ref="W1095">SUMPRODUCT(IF('卡片raw data'!BM$1:BM$1000=T1095,1,0),IF('卡片raw data'!BO$1:BO$1000=V1095,1,0),IF(IF('卡片raw data'!C$1:C$1000=R$3,1,0)+IF(R$3="",1,0)&gt;=1,1,0),IF(IF('卡片raw data'!D$1:D$1000=R$4,1,0)+IF(R$4="",1,0)&gt;=1,1,0),IF(IF('卡片raw data'!E$1:E$1000=R$5,1,0)+IF(R$5="",1,0)&gt;=1,1,0))</f>
        <v>0</v>
      </c>
      <c r="Y1095" s="1307">
        <f t="shared" si="86"/>
        <v>16</v>
      </c>
      <c r="Z1095" s="1307">
        <f t="shared" si="87"/>
        <v>0</v>
      </c>
      <c r="AA1095" s="1307">
        <f t="shared" si="88"/>
        <v>16</v>
      </c>
      <c r="AB1095" s="1307">
        <f t="shared" si="89"/>
        <v>0</v>
      </c>
    </row>
    <row r="1096" spans="20:28">
      <c r="T1096" s="1077">
        <v>41</v>
      </c>
      <c r="U1096" s="1077">
        <f t="shared" si="85"/>
        <v>42</v>
      </c>
      <c r="V1096" s="1077">
        <v>17</v>
      </c>
      <c r="W1096" s="1077">
        <f t="array" ref="W1096">SUMPRODUCT(IF('卡片raw data'!BM$1:BM$1000=T1096,1,0),IF('卡片raw data'!BO$1:BO$1000=V1096,1,0),IF(IF('卡片raw data'!C$1:C$1000=R$3,1,0)+IF(R$3="",1,0)&gt;=1,1,0),IF(IF('卡片raw data'!D$1:D$1000=R$4,1,0)+IF(R$4="",1,0)&gt;=1,1,0),IF(IF('卡片raw data'!E$1:E$1000=R$5,1,0)+IF(R$5="",1,0)&gt;=1,1,0))</f>
        <v>0</v>
      </c>
      <c r="Y1096" s="1307">
        <f t="shared" si="86"/>
        <v>17</v>
      </c>
      <c r="Z1096" s="1307">
        <f t="shared" si="87"/>
        <v>0</v>
      </c>
      <c r="AA1096" s="1307">
        <f t="shared" si="88"/>
        <v>17</v>
      </c>
      <c r="AB1096" s="1307">
        <f t="shared" si="89"/>
        <v>0</v>
      </c>
    </row>
    <row r="1097" spans="20:28">
      <c r="T1097" s="1077">
        <v>41</v>
      </c>
      <c r="U1097" s="1077">
        <f t="shared" si="85"/>
        <v>41</v>
      </c>
      <c r="V1097" s="1077">
        <v>18</v>
      </c>
      <c r="W1097" s="1077">
        <f t="array" ref="W1097">SUMPRODUCT(IF('卡片raw data'!BM$1:BM$1000=T1097,1,0),IF('卡片raw data'!BO$1:BO$1000=V1097,1,0),IF(IF('卡片raw data'!C$1:C$1000=R$3,1,0)+IF(R$3="",1,0)&gt;=1,1,0),IF(IF('卡片raw data'!D$1:D$1000=R$4,1,0)+IF(R$4="",1,0)&gt;=1,1,0),IF(IF('卡片raw data'!E$1:E$1000=R$5,1,0)+IF(R$5="",1,0)&gt;=1,1,0))</f>
        <v>0</v>
      </c>
      <c r="Y1097" s="1307">
        <f t="shared" si="86"/>
        <v>18</v>
      </c>
      <c r="Z1097" s="1307">
        <f t="shared" si="87"/>
        <v>0</v>
      </c>
      <c r="AA1097" s="1307">
        <f t="shared" si="88"/>
        <v>18</v>
      </c>
      <c r="AB1097" s="1307">
        <f t="shared" si="89"/>
        <v>0</v>
      </c>
    </row>
    <row r="1098" spans="20:28">
      <c r="T1098" s="1077">
        <v>41</v>
      </c>
      <c r="U1098" s="1077">
        <f t="shared" si="85"/>
        <v>40</v>
      </c>
      <c r="V1098" s="1077">
        <v>19</v>
      </c>
      <c r="W1098" s="1077">
        <f t="array" ref="W1098">SUMPRODUCT(IF('卡片raw data'!BM$1:BM$1000=T1098,1,0),IF('卡片raw data'!BO$1:BO$1000=V1098,1,0),IF(IF('卡片raw data'!C$1:C$1000=R$3,1,0)+IF(R$3="",1,0)&gt;=1,1,0),IF(IF('卡片raw data'!D$1:D$1000=R$4,1,0)+IF(R$4="",1,0)&gt;=1,1,0),IF(IF('卡片raw data'!E$1:E$1000=R$5,1,0)+IF(R$5="",1,0)&gt;=1,1,0))</f>
        <v>0</v>
      </c>
      <c r="Y1098" s="1307">
        <f t="shared" si="86"/>
        <v>19</v>
      </c>
      <c r="Z1098" s="1307">
        <f t="shared" si="87"/>
        <v>0</v>
      </c>
      <c r="AA1098" s="1307">
        <f t="shared" si="88"/>
        <v>19</v>
      </c>
      <c r="AB1098" s="1307">
        <f t="shared" si="89"/>
        <v>0</v>
      </c>
    </row>
    <row r="1099" spans="20:28">
      <c r="T1099" s="1077">
        <v>41</v>
      </c>
      <c r="U1099" s="1077">
        <f t="shared" si="85"/>
        <v>39</v>
      </c>
      <c r="V1099" s="1077">
        <v>20</v>
      </c>
      <c r="W1099" s="1077">
        <f t="array" ref="W1099">SUMPRODUCT(IF('卡片raw data'!BM$1:BM$1000=T1099,1,0),IF('卡片raw data'!BO$1:BO$1000=V1099,1,0),IF(IF('卡片raw data'!C$1:C$1000=R$3,1,0)+IF(R$3="",1,0)&gt;=1,1,0),IF(IF('卡片raw data'!D$1:D$1000=R$4,1,0)+IF(R$4="",1,0)&gt;=1,1,0),IF(IF('卡片raw data'!E$1:E$1000=R$5,1,0)+IF(R$5="",1,0)&gt;=1,1,0))</f>
        <v>0</v>
      </c>
      <c r="Y1099" s="1307">
        <f t="shared" si="86"/>
        <v>20</v>
      </c>
      <c r="Z1099" s="1307">
        <f t="shared" si="87"/>
        <v>0</v>
      </c>
      <c r="AA1099" s="1307">
        <f t="shared" si="88"/>
        <v>20</v>
      </c>
      <c r="AB1099" s="1307">
        <f t="shared" si="89"/>
        <v>0</v>
      </c>
    </row>
    <row r="1100" spans="20:28">
      <c r="T1100" s="1077">
        <v>41</v>
      </c>
      <c r="U1100" s="1077">
        <f t="shared" si="85"/>
        <v>38</v>
      </c>
      <c r="V1100" s="1077">
        <v>21</v>
      </c>
      <c r="W1100" s="1077">
        <f t="array" ref="W1100">SUMPRODUCT(IF('卡片raw data'!BM$1:BM$1000=T1100,1,0),IF('卡片raw data'!BO$1:BO$1000=V1100,1,0),IF(IF('卡片raw data'!C$1:C$1000=R$3,1,0)+IF(R$3="",1,0)&gt;=1,1,0),IF(IF('卡片raw data'!D$1:D$1000=R$4,1,0)+IF(R$4="",1,0)&gt;=1,1,0),IF(IF('卡片raw data'!E$1:E$1000=R$5,1,0)+IF(R$5="",1,0)&gt;=1,1,0))</f>
        <v>0</v>
      </c>
      <c r="Y1100" s="1307">
        <f t="shared" si="86"/>
        <v>21</v>
      </c>
      <c r="Z1100" s="1307">
        <f t="shared" si="87"/>
        <v>0</v>
      </c>
      <c r="AA1100" s="1307">
        <f t="shared" si="88"/>
        <v>21</v>
      </c>
      <c r="AB1100" s="1307">
        <f t="shared" si="89"/>
        <v>0</v>
      </c>
    </row>
    <row r="1101" spans="20:28">
      <c r="T1101" s="1077">
        <v>41</v>
      </c>
      <c r="U1101" s="1077">
        <f t="shared" si="85"/>
        <v>37</v>
      </c>
      <c r="V1101" s="1077">
        <v>22</v>
      </c>
      <c r="W1101" s="1077">
        <f t="array" ref="W1101">SUMPRODUCT(IF('卡片raw data'!BM$1:BM$1000=T1101,1,0),IF('卡片raw data'!BO$1:BO$1000=V1101,1,0),IF(IF('卡片raw data'!C$1:C$1000=R$3,1,0)+IF(R$3="",1,0)&gt;=1,1,0),IF(IF('卡片raw data'!D$1:D$1000=R$4,1,0)+IF(R$4="",1,0)&gt;=1,1,0),IF(IF('卡片raw data'!E$1:E$1000=R$5,1,0)+IF(R$5="",1,0)&gt;=1,1,0))</f>
        <v>0</v>
      </c>
      <c r="Y1101" s="1307">
        <f t="shared" si="86"/>
        <v>22</v>
      </c>
      <c r="Z1101" s="1307">
        <f t="shared" si="87"/>
        <v>0</v>
      </c>
      <c r="AA1101" s="1307">
        <f t="shared" si="88"/>
        <v>22</v>
      </c>
      <c r="AB1101" s="1307">
        <f t="shared" si="89"/>
        <v>0</v>
      </c>
    </row>
    <row r="1102" spans="20:28">
      <c r="T1102" s="1077">
        <v>41</v>
      </c>
      <c r="U1102" s="1077">
        <f t="shared" si="85"/>
        <v>36</v>
      </c>
      <c r="V1102" s="1077">
        <v>23</v>
      </c>
      <c r="W1102" s="1077">
        <f t="array" ref="W1102">SUMPRODUCT(IF('卡片raw data'!BM$1:BM$1000=T1102,1,0),IF('卡片raw data'!BO$1:BO$1000=V1102,1,0),IF(IF('卡片raw data'!C$1:C$1000=R$3,1,0)+IF(R$3="",1,0)&gt;=1,1,0),IF(IF('卡片raw data'!D$1:D$1000=R$4,1,0)+IF(R$4="",1,0)&gt;=1,1,0),IF(IF('卡片raw data'!E$1:E$1000=R$5,1,0)+IF(R$5="",1,0)&gt;=1,1,0))</f>
        <v>0</v>
      </c>
      <c r="Y1102" s="1307">
        <f t="shared" si="86"/>
        <v>23</v>
      </c>
      <c r="Z1102" s="1307">
        <f t="shared" si="87"/>
        <v>0</v>
      </c>
      <c r="AA1102" s="1307">
        <f t="shared" si="88"/>
        <v>23</v>
      </c>
      <c r="AB1102" s="1307">
        <f t="shared" si="89"/>
        <v>0</v>
      </c>
    </row>
    <row r="1103" spans="20:28">
      <c r="T1103" s="1077">
        <v>41</v>
      </c>
      <c r="U1103" s="1077">
        <f t="shared" si="85"/>
        <v>35</v>
      </c>
      <c r="V1103" s="1077">
        <v>24</v>
      </c>
      <c r="W1103" s="1077">
        <f t="array" ref="W1103">SUMPRODUCT(IF('卡片raw data'!BM$1:BM$1000=T1103,1,0),IF('卡片raw data'!BO$1:BO$1000=V1103,1,0),IF(IF('卡片raw data'!C$1:C$1000=R$3,1,0)+IF(R$3="",1,0)&gt;=1,1,0),IF(IF('卡片raw data'!D$1:D$1000=R$4,1,0)+IF(R$4="",1,0)&gt;=1,1,0),IF(IF('卡片raw data'!E$1:E$1000=R$5,1,0)+IF(R$5="",1,0)&gt;=1,1,0))</f>
        <v>1</v>
      </c>
      <c r="Y1103" s="1307">
        <f t="shared" si="86"/>
        <v>24</v>
      </c>
      <c r="Z1103" s="1307">
        <f t="shared" si="87"/>
        <v>0</v>
      </c>
      <c r="AA1103" s="1307">
        <f t="shared" si="88"/>
        <v>24</v>
      </c>
      <c r="AB1103" s="1307">
        <f t="shared" si="89"/>
        <v>1</v>
      </c>
    </row>
    <row r="1104" spans="20:28">
      <c r="T1104" s="1077">
        <v>41</v>
      </c>
      <c r="U1104" s="1077">
        <f t="shared" si="85"/>
        <v>34</v>
      </c>
      <c r="V1104" s="1077">
        <v>25</v>
      </c>
      <c r="W1104" s="1077">
        <f t="array" ref="W1104">SUMPRODUCT(IF('卡片raw data'!BM$1:BM$1000=T1104,1,0),IF('卡片raw data'!BO$1:BO$1000=V1104,1,0),IF(IF('卡片raw data'!C$1:C$1000=R$3,1,0)+IF(R$3="",1,0)&gt;=1,1,0),IF(IF('卡片raw data'!D$1:D$1000=R$4,1,0)+IF(R$4="",1,0)&gt;=1,1,0),IF(IF('卡片raw data'!E$1:E$1000=R$5,1,0)+IF(R$5="",1,0)&gt;=1,1,0))</f>
        <v>0</v>
      </c>
      <c r="Y1104" s="1307">
        <f t="shared" si="86"/>
        <v>25</v>
      </c>
      <c r="Z1104" s="1307">
        <f t="shared" si="87"/>
        <v>0</v>
      </c>
      <c r="AA1104" s="1307">
        <f t="shared" si="88"/>
        <v>25</v>
      </c>
      <c r="AB1104" s="1307">
        <f t="shared" si="89"/>
        <v>0</v>
      </c>
    </row>
    <row r="1105" spans="20:28">
      <c r="T1105" s="1077">
        <v>41</v>
      </c>
      <c r="U1105" s="1077">
        <f t="shared" si="85"/>
        <v>33</v>
      </c>
      <c r="V1105" s="1077">
        <v>26</v>
      </c>
      <c r="W1105" s="1077">
        <f t="array" ref="W1105">SUMPRODUCT(IF('卡片raw data'!BM$1:BM$1000=T1105,1,0),IF('卡片raw data'!BO$1:BO$1000=V1105,1,0),IF(IF('卡片raw data'!C$1:C$1000=R$3,1,0)+IF(R$3="",1,0)&gt;=1,1,0),IF(IF('卡片raw data'!D$1:D$1000=R$4,1,0)+IF(R$4="",1,0)&gt;=1,1,0),IF(IF('卡片raw data'!E$1:E$1000=R$5,1,0)+IF(R$5="",1,0)&gt;=1,1,0))</f>
        <v>0</v>
      </c>
      <c r="Y1105" s="1307">
        <f t="shared" si="86"/>
        <v>26</v>
      </c>
      <c r="Z1105" s="1307">
        <f t="shared" si="87"/>
        <v>0</v>
      </c>
      <c r="AA1105" s="1307">
        <f t="shared" si="88"/>
        <v>26</v>
      </c>
      <c r="AB1105" s="1307">
        <f t="shared" si="89"/>
        <v>0</v>
      </c>
    </row>
    <row r="1106" spans="20:28">
      <c r="T1106" s="1077">
        <v>41</v>
      </c>
      <c r="U1106" s="1077">
        <f t="shared" si="85"/>
        <v>32</v>
      </c>
      <c r="V1106" s="1077">
        <v>27</v>
      </c>
      <c r="W1106" s="1077">
        <f t="array" ref="W1106">SUMPRODUCT(IF('卡片raw data'!BM$1:BM$1000=T1106,1,0),IF('卡片raw data'!BO$1:BO$1000=V1106,1,0),IF(IF('卡片raw data'!C$1:C$1000=R$3,1,0)+IF(R$3="",1,0)&gt;=1,1,0),IF(IF('卡片raw data'!D$1:D$1000=R$4,1,0)+IF(R$4="",1,0)&gt;=1,1,0),IF(IF('卡片raw data'!E$1:E$1000=R$5,1,0)+IF(R$5="",1,0)&gt;=1,1,0))</f>
        <v>0</v>
      </c>
      <c r="Y1106" s="1307">
        <f t="shared" si="86"/>
        <v>27</v>
      </c>
      <c r="Z1106" s="1307">
        <f t="shared" si="87"/>
        <v>0</v>
      </c>
      <c r="AA1106" s="1307">
        <f t="shared" si="88"/>
        <v>27</v>
      </c>
      <c r="AB1106" s="1307">
        <f t="shared" si="89"/>
        <v>0</v>
      </c>
    </row>
    <row r="1107" spans="20:28">
      <c r="T1107" s="1077">
        <v>41</v>
      </c>
      <c r="U1107" s="1077">
        <f t="shared" si="85"/>
        <v>31</v>
      </c>
      <c r="V1107" s="1077">
        <v>28</v>
      </c>
      <c r="W1107" s="1077">
        <f t="array" ref="W1107">SUMPRODUCT(IF('卡片raw data'!BM$1:BM$1000=T1107,1,0),IF('卡片raw data'!BO$1:BO$1000=V1107,1,0),IF(IF('卡片raw data'!C$1:C$1000=R$3,1,0)+IF(R$3="",1,0)&gt;=1,1,0),IF(IF('卡片raw data'!D$1:D$1000=R$4,1,0)+IF(R$4="",1,0)&gt;=1,1,0),IF(IF('卡片raw data'!E$1:E$1000=R$5,1,0)+IF(R$5="",1,0)&gt;=1,1,0))</f>
        <v>0</v>
      </c>
      <c r="Y1107" s="1307">
        <f t="shared" si="86"/>
        <v>28</v>
      </c>
      <c r="Z1107" s="1307">
        <f t="shared" si="87"/>
        <v>0</v>
      </c>
      <c r="AA1107" s="1307">
        <f t="shared" si="88"/>
        <v>28</v>
      </c>
      <c r="AB1107" s="1307">
        <f t="shared" si="89"/>
        <v>0</v>
      </c>
    </row>
    <row r="1108" spans="20:28">
      <c r="T1108" s="1077">
        <v>41</v>
      </c>
      <c r="U1108" s="1077">
        <f t="shared" si="85"/>
        <v>30</v>
      </c>
      <c r="V1108" s="1077">
        <v>29</v>
      </c>
      <c r="W1108" s="1077">
        <f t="array" ref="W1108">SUMPRODUCT(IF('卡片raw data'!BM$1:BM$1000=T1108,1,0),IF('卡片raw data'!BO$1:BO$1000=V1108,1,0),IF(IF('卡片raw data'!C$1:C$1000=R$3,1,0)+IF(R$3="",1,0)&gt;=1,1,0),IF(IF('卡片raw data'!D$1:D$1000=R$4,1,0)+IF(R$4="",1,0)&gt;=1,1,0),IF(IF('卡片raw data'!E$1:E$1000=R$5,1,0)+IF(R$5="",1,0)&gt;=1,1,0))</f>
        <v>1</v>
      </c>
      <c r="Y1108" s="1307">
        <f t="shared" si="86"/>
        <v>29</v>
      </c>
      <c r="Z1108" s="1307">
        <f t="shared" si="87"/>
        <v>0</v>
      </c>
      <c r="AA1108" s="1307">
        <f t="shared" si="88"/>
        <v>29</v>
      </c>
      <c r="AB1108" s="1307">
        <f t="shared" si="89"/>
        <v>1</v>
      </c>
    </row>
    <row r="1109" spans="20:28">
      <c r="T1109" s="1077">
        <v>41</v>
      </c>
      <c r="U1109" s="1077">
        <f t="shared" si="85"/>
        <v>29</v>
      </c>
      <c r="V1109" s="1077">
        <v>30</v>
      </c>
      <c r="W1109" s="1077">
        <f t="array" ref="W1109">SUMPRODUCT(IF('卡片raw data'!BM$1:BM$1000=T1109,1,0),IF('卡片raw data'!BO$1:BO$1000=V1109,1,0),IF(IF('卡片raw data'!C$1:C$1000=R$3,1,0)+IF(R$3="",1,0)&gt;=1,1,0),IF(IF('卡片raw data'!D$1:D$1000=R$4,1,0)+IF(R$4="",1,0)&gt;=1,1,0),IF(IF('卡片raw data'!E$1:E$1000=R$5,1,0)+IF(R$5="",1,0)&gt;=1,1,0))</f>
        <v>1</v>
      </c>
      <c r="Y1109" s="1307">
        <f t="shared" si="86"/>
        <v>30</v>
      </c>
      <c r="Z1109" s="1307">
        <f t="shared" si="87"/>
        <v>0</v>
      </c>
      <c r="AA1109" s="1307">
        <f t="shared" si="88"/>
        <v>30</v>
      </c>
      <c r="AB1109" s="1307">
        <f t="shared" si="89"/>
        <v>1</v>
      </c>
    </row>
    <row r="1110" spans="20:28">
      <c r="T1110" s="1077">
        <v>41</v>
      </c>
      <c r="U1110" s="1077">
        <f t="shared" si="85"/>
        <v>28</v>
      </c>
      <c r="V1110" s="1077">
        <v>31</v>
      </c>
      <c r="W1110" s="1077">
        <f t="array" ref="W1110">SUMPRODUCT(IF('卡片raw data'!BM$1:BM$1000=T1110,1,0),IF('卡片raw data'!BO$1:BO$1000=V1110,1,0),IF(IF('卡片raw data'!C$1:C$1000=R$3,1,0)+IF(R$3="",1,0)&gt;=1,1,0),IF(IF('卡片raw data'!D$1:D$1000=R$4,1,0)+IF(R$4="",1,0)&gt;=1,1,0),IF(IF('卡片raw data'!E$1:E$1000=R$5,1,0)+IF(R$5="",1,0)&gt;=1,1,0))</f>
        <v>0</v>
      </c>
      <c r="Y1110" s="1307">
        <f t="shared" si="86"/>
        <v>31</v>
      </c>
      <c r="Z1110" s="1307">
        <f t="shared" si="87"/>
        <v>0</v>
      </c>
      <c r="AA1110" s="1307">
        <f t="shared" si="88"/>
        <v>31</v>
      </c>
      <c r="AB1110" s="1307">
        <f t="shared" si="89"/>
        <v>0</v>
      </c>
    </row>
    <row r="1111" spans="20:28">
      <c r="T1111" s="1077">
        <v>41</v>
      </c>
      <c r="U1111" s="1077">
        <f t="shared" si="85"/>
        <v>27</v>
      </c>
      <c r="V1111" s="1077">
        <v>32</v>
      </c>
      <c r="W1111" s="1077">
        <f t="array" ref="W1111">SUMPRODUCT(IF('卡片raw data'!BM$1:BM$1000=T1111,1,0),IF('卡片raw data'!BO$1:BO$1000=V1111,1,0),IF(IF('卡片raw data'!C$1:C$1000=R$3,1,0)+IF(R$3="",1,0)&gt;=1,1,0),IF(IF('卡片raw data'!D$1:D$1000=R$4,1,0)+IF(R$4="",1,0)&gt;=1,1,0),IF(IF('卡片raw data'!E$1:E$1000=R$5,1,0)+IF(R$5="",1,0)&gt;=1,1,0))</f>
        <v>3</v>
      </c>
      <c r="Y1111" s="1307">
        <f t="shared" si="86"/>
        <v>32</v>
      </c>
      <c r="Z1111" s="1307">
        <f t="shared" si="87"/>
        <v>0</v>
      </c>
      <c r="AA1111" s="1307">
        <f t="shared" si="88"/>
        <v>32</v>
      </c>
      <c r="AB1111" s="1307">
        <f t="shared" si="89"/>
        <v>3</v>
      </c>
    </row>
    <row r="1112" spans="20:28">
      <c r="T1112" s="1077">
        <v>41</v>
      </c>
      <c r="U1112" s="1077">
        <f t="shared" si="85"/>
        <v>26</v>
      </c>
      <c r="V1112" s="1077">
        <v>33</v>
      </c>
      <c r="W1112" s="1077">
        <f t="array" ref="W1112">SUMPRODUCT(IF('卡片raw data'!BM$1:BM$1000=T1112,1,0),IF('卡片raw data'!BO$1:BO$1000=V1112,1,0),IF(IF('卡片raw data'!C$1:C$1000=R$3,1,0)+IF(R$3="",1,0)&gt;=1,1,0),IF(IF('卡片raw data'!D$1:D$1000=R$4,1,0)+IF(R$4="",1,0)&gt;=1,1,0),IF(IF('卡片raw data'!E$1:E$1000=R$5,1,0)+IF(R$5="",1,0)&gt;=1,1,0))</f>
        <v>0</v>
      </c>
      <c r="Y1112" s="1307">
        <f t="shared" si="86"/>
        <v>33</v>
      </c>
      <c r="Z1112" s="1307">
        <f t="shared" si="87"/>
        <v>0</v>
      </c>
      <c r="AA1112" s="1307">
        <f t="shared" si="88"/>
        <v>33</v>
      </c>
      <c r="AB1112" s="1307">
        <f t="shared" si="89"/>
        <v>0</v>
      </c>
    </row>
    <row r="1113" spans="20:28">
      <c r="T1113" s="1077">
        <v>41</v>
      </c>
      <c r="U1113" s="1077">
        <f t="shared" si="85"/>
        <v>25</v>
      </c>
      <c r="V1113" s="1077">
        <v>34</v>
      </c>
      <c r="W1113" s="1077">
        <f t="array" ref="W1113">SUMPRODUCT(IF('卡片raw data'!BM$1:BM$1000=T1113,1,0),IF('卡片raw data'!BO$1:BO$1000=V1113,1,0),IF(IF('卡片raw data'!C$1:C$1000=R$3,1,0)+IF(R$3="",1,0)&gt;=1,1,0),IF(IF('卡片raw data'!D$1:D$1000=R$4,1,0)+IF(R$4="",1,0)&gt;=1,1,0),IF(IF('卡片raw data'!E$1:E$1000=R$5,1,0)+IF(R$5="",1,0)&gt;=1,1,0))</f>
        <v>1</v>
      </c>
      <c r="Y1113" s="1307">
        <f t="shared" si="86"/>
        <v>34</v>
      </c>
      <c r="Z1113" s="1307">
        <f t="shared" si="87"/>
        <v>0</v>
      </c>
      <c r="AA1113" s="1307">
        <f t="shared" si="88"/>
        <v>34</v>
      </c>
      <c r="AB1113" s="1307">
        <f t="shared" si="89"/>
        <v>1</v>
      </c>
    </row>
    <row r="1114" spans="20:28">
      <c r="T1114" s="1077">
        <v>41</v>
      </c>
      <c r="U1114" s="1077">
        <f t="shared" si="85"/>
        <v>24</v>
      </c>
      <c r="V1114" s="1077">
        <v>35</v>
      </c>
      <c r="W1114" s="1077">
        <f t="array" ref="W1114">SUMPRODUCT(IF('卡片raw data'!BM$1:BM$1000=T1114,1,0),IF('卡片raw data'!BO$1:BO$1000=V1114,1,0),IF(IF('卡片raw data'!C$1:C$1000=R$3,1,0)+IF(R$3="",1,0)&gt;=1,1,0),IF(IF('卡片raw data'!D$1:D$1000=R$4,1,0)+IF(R$4="",1,0)&gt;=1,1,0),IF(IF('卡片raw data'!E$1:E$1000=R$5,1,0)+IF(R$5="",1,0)&gt;=1,1,0))</f>
        <v>0</v>
      </c>
      <c r="Y1114" s="1307">
        <f t="shared" si="86"/>
        <v>35</v>
      </c>
      <c r="Z1114" s="1307">
        <f t="shared" si="87"/>
        <v>0</v>
      </c>
      <c r="AA1114" s="1307">
        <f t="shared" si="88"/>
        <v>35</v>
      </c>
      <c r="AB1114" s="1307">
        <f t="shared" si="89"/>
        <v>0</v>
      </c>
    </row>
    <row r="1115" spans="20:28">
      <c r="T1115" s="1077">
        <v>41</v>
      </c>
      <c r="U1115" s="1077">
        <f t="shared" si="85"/>
        <v>23</v>
      </c>
      <c r="V1115" s="1077">
        <v>36</v>
      </c>
      <c r="W1115" s="1077">
        <f t="array" ref="W1115">SUMPRODUCT(IF('卡片raw data'!BM$1:BM$1000=T1115,1,0),IF('卡片raw data'!BO$1:BO$1000=V1115,1,0),IF(IF('卡片raw data'!C$1:C$1000=R$3,1,0)+IF(R$3="",1,0)&gt;=1,1,0),IF(IF('卡片raw data'!D$1:D$1000=R$4,1,0)+IF(R$4="",1,0)&gt;=1,1,0),IF(IF('卡片raw data'!E$1:E$1000=R$5,1,0)+IF(R$5="",1,0)&gt;=1,1,0))</f>
        <v>5</v>
      </c>
      <c r="Y1115" s="1307">
        <f t="shared" si="86"/>
        <v>36</v>
      </c>
      <c r="Z1115" s="1307">
        <f t="shared" si="87"/>
        <v>0</v>
      </c>
      <c r="AA1115" s="1307">
        <f t="shared" si="88"/>
        <v>36</v>
      </c>
      <c r="AB1115" s="1307">
        <f t="shared" si="89"/>
        <v>5</v>
      </c>
    </row>
    <row r="1116" spans="20:28">
      <c r="T1116" s="1077">
        <v>41</v>
      </c>
      <c r="U1116" s="1077">
        <f t="shared" si="85"/>
        <v>22</v>
      </c>
      <c r="V1116" s="1077">
        <v>37</v>
      </c>
      <c r="W1116" s="1077">
        <f t="array" ref="W1116">SUMPRODUCT(IF('卡片raw data'!BM$1:BM$1000=T1116,1,0),IF('卡片raw data'!BO$1:BO$1000=V1116,1,0),IF(IF('卡片raw data'!C$1:C$1000=R$3,1,0)+IF(R$3="",1,0)&gt;=1,1,0),IF(IF('卡片raw data'!D$1:D$1000=R$4,1,0)+IF(R$4="",1,0)&gt;=1,1,0),IF(IF('卡片raw data'!E$1:E$1000=R$5,1,0)+IF(R$5="",1,0)&gt;=1,1,0))</f>
        <v>0</v>
      </c>
      <c r="Y1116" s="1307">
        <f t="shared" si="86"/>
        <v>37</v>
      </c>
      <c r="Z1116" s="1307">
        <f t="shared" si="87"/>
        <v>0</v>
      </c>
      <c r="AA1116" s="1307">
        <f t="shared" si="88"/>
        <v>37</v>
      </c>
      <c r="AB1116" s="1307">
        <f t="shared" si="89"/>
        <v>0</v>
      </c>
    </row>
    <row r="1117" spans="20:28">
      <c r="T1117" s="1077">
        <v>41</v>
      </c>
      <c r="U1117" s="1077">
        <f t="shared" si="85"/>
        <v>21</v>
      </c>
      <c r="V1117" s="1077">
        <v>38</v>
      </c>
      <c r="W1117" s="1077">
        <f t="array" ref="W1117">SUMPRODUCT(IF('卡片raw data'!BM$1:BM$1000=T1117,1,0),IF('卡片raw data'!BO$1:BO$1000=V1117,1,0),IF(IF('卡片raw data'!C$1:C$1000=R$3,1,0)+IF(R$3="",1,0)&gt;=1,1,0),IF(IF('卡片raw data'!D$1:D$1000=R$4,1,0)+IF(R$4="",1,0)&gt;=1,1,0),IF(IF('卡片raw data'!E$1:E$1000=R$5,1,0)+IF(R$5="",1,0)&gt;=1,1,0))</f>
        <v>0</v>
      </c>
      <c r="Y1117" s="1307">
        <f t="shared" si="86"/>
        <v>38</v>
      </c>
      <c r="Z1117" s="1307">
        <f t="shared" si="87"/>
        <v>0</v>
      </c>
      <c r="AA1117" s="1307">
        <f t="shared" si="88"/>
        <v>38</v>
      </c>
      <c r="AB1117" s="1307">
        <f t="shared" si="89"/>
        <v>0</v>
      </c>
    </row>
    <row r="1118" spans="20:28">
      <c r="T1118" s="1077">
        <v>41</v>
      </c>
      <c r="U1118" s="1077">
        <f t="shared" si="85"/>
        <v>20</v>
      </c>
      <c r="V1118" s="1077">
        <v>39</v>
      </c>
      <c r="W1118" s="1077">
        <f t="array" ref="W1118">SUMPRODUCT(IF('卡片raw data'!BM$1:BM$1000=T1118,1,0),IF('卡片raw data'!BO$1:BO$1000=V1118,1,0),IF(IF('卡片raw data'!C$1:C$1000=R$3,1,0)+IF(R$3="",1,0)&gt;=1,1,0),IF(IF('卡片raw data'!D$1:D$1000=R$4,1,0)+IF(R$4="",1,0)&gt;=1,1,0),IF(IF('卡片raw data'!E$1:E$1000=R$5,1,0)+IF(R$5="",1,0)&gt;=1,1,0))</f>
        <v>0</v>
      </c>
      <c r="Y1118" s="1307">
        <f t="shared" si="86"/>
        <v>39</v>
      </c>
      <c r="Z1118" s="1307">
        <f t="shared" si="87"/>
        <v>0</v>
      </c>
      <c r="AA1118" s="1307">
        <f t="shared" si="88"/>
        <v>39</v>
      </c>
      <c r="AB1118" s="1307">
        <f t="shared" si="89"/>
        <v>0</v>
      </c>
    </row>
    <row r="1119" spans="20:28">
      <c r="T1119" s="1077">
        <v>41</v>
      </c>
      <c r="U1119" s="1077">
        <f t="shared" si="85"/>
        <v>19</v>
      </c>
      <c r="V1119" s="1077">
        <v>40</v>
      </c>
      <c r="W1119" s="1077">
        <f t="array" ref="W1119">SUMPRODUCT(IF('卡片raw data'!BM$1:BM$1000=T1119,1,0),IF('卡片raw data'!BO$1:BO$1000=V1119,1,0),IF(IF('卡片raw data'!C$1:C$1000=R$3,1,0)+IF(R$3="",1,0)&gt;=1,1,0),IF(IF('卡片raw data'!D$1:D$1000=R$4,1,0)+IF(R$4="",1,0)&gt;=1,1,0),IF(IF('卡片raw data'!E$1:E$1000=R$5,1,0)+IF(R$5="",1,0)&gt;=1,1,0))</f>
        <v>0</v>
      </c>
      <c r="Y1119" s="1307">
        <f t="shared" si="86"/>
        <v>40</v>
      </c>
      <c r="Z1119" s="1307">
        <f t="shared" si="87"/>
        <v>0</v>
      </c>
      <c r="AA1119" s="1307">
        <f t="shared" si="88"/>
        <v>40</v>
      </c>
      <c r="AB1119" s="1307">
        <f t="shared" si="89"/>
        <v>0</v>
      </c>
    </row>
    <row r="1120" spans="20:28">
      <c r="T1120" s="1077">
        <v>41</v>
      </c>
      <c r="U1120" s="1077">
        <f t="shared" si="85"/>
        <v>18</v>
      </c>
      <c r="V1120" s="1077">
        <v>41</v>
      </c>
      <c r="W1120" s="1077">
        <f t="array" ref="W1120">SUMPRODUCT(IF('卡片raw data'!BM$1:BM$1000=T1120,1,0),IF('卡片raw data'!BO$1:BO$1000=V1120,1,0),IF(IF('卡片raw data'!C$1:C$1000=R$3,1,0)+IF(R$3="",1,0)&gt;=1,1,0),IF(IF('卡片raw data'!D$1:D$1000=R$4,1,0)+IF(R$4="",1,0)&gt;=1,1,0),IF(IF('卡片raw data'!E$1:E$1000=R$5,1,0)+IF(R$5="",1,0)&gt;=1,1,0))</f>
        <v>0</v>
      </c>
      <c r="Y1120" s="1307">
        <f t="shared" si="86"/>
        <v>41</v>
      </c>
      <c r="Z1120" s="1307">
        <f t="shared" si="87"/>
        <v>0</v>
      </c>
      <c r="AA1120" s="1307">
        <f t="shared" si="88"/>
        <v>41</v>
      </c>
      <c r="AB1120" s="1307">
        <f t="shared" si="89"/>
        <v>0</v>
      </c>
    </row>
    <row r="1121" spans="20:28">
      <c r="T1121" s="1077">
        <v>41</v>
      </c>
      <c r="U1121" s="1077">
        <f t="shared" si="85"/>
        <v>17</v>
      </c>
      <c r="V1121" s="1077">
        <v>42</v>
      </c>
      <c r="W1121" s="1077">
        <f t="array" ref="W1121">SUMPRODUCT(IF('卡片raw data'!BM$1:BM$1000=T1121,1,0),IF('卡片raw data'!BO$1:BO$1000=V1121,1,0),IF(IF('卡片raw data'!C$1:C$1000=R$3,1,0)+IF(R$3="",1,0)&gt;=1,1,0),IF(IF('卡片raw data'!D$1:D$1000=R$4,1,0)+IF(R$4="",1,0)&gt;=1,1,0),IF(IF('卡片raw data'!E$1:E$1000=R$5,1,0)+IF(R$5="",1,0)&gt;=1,1,0))</f>
        <v>0</v>
      </c>
      <c r="Y1121" s="1307">
        <f t="shared" si="86"/>
        <v>42</v>
      </c>
      <c r="Z1121" s="1307">
        <f t="shared" si="87"/>
        <v>0</v>
      </c>
      <c r="AA1121" s="1307">
        <f t="shared" si="88"/>
        <v>42</v>
      </c>
      <c r="AB1121" s="1307">
        <f t="shared" si="89"/>
        <v>0</v>
      </c>
    </row>
    <row r="1122" spans="20:28">
      <c r="T1122" s="1077">
        <v>41</v>
      </c>
      <c r="U1122" s="1077">
        <f t="shared" si="85"/>
        <v>16</v>
      </c>
      <c r="V1122" s="1077">
        <v>43</v>
      </c>
      <c r="W1122" s="1077">
        <f t="array" ref="W1122">SUMPRODUCT(IF('卡片raw data'!BM$1:BM$1000=T1122,1,0),IF('卡片raw data'!BO$1:BO$1000=V1122,1,0),IF(IF('卡片raw data'!C$1:C$1000=R$3,1,0)+IF(R$3="",1,0)&gt;=1,1,0),IF(IF('卡片raw data'!D$1:D$1000=R$4,1,0)+IF(R$4="",1,0)&gt;=1,1,0),IF(IF('卡片raw data'!E$1:E$1000=R$5,1,0)+IF(R$5="",1,0)&gt;=1,1,0))</f>
        <v>0</v>
      </c>
      <c r="Y1122" s="1307">
        <f t="shared" si="86"/>
        <v>43</v>
      </c>
      <c r="Z1122" s="1307">
        <f t="shared" si="87"/>
        <v>0</v>
      </c>
      <c r="AA1122" s="1307">
        <f t="shared" si="88"/>
        <v>43</v>
      </c>
      <c r="AB1122" s="1307">
        <f t="shared" si="89"/>
        <v>0</v>
      </c>
    </row>
    <row r="1123" spans="20:28">
      <c r="T1123" s="1077">
        <v>41</v>
      </c>
      <c r="U1123" s="1077">
        <f t="shared" si="85"/>
        <v>15</v>
      </c>
      <c r="V1123" s="1077">
        <v>44</v>
      </c>
      <c r="W1123" s="1077">
        <f t="array" ref="W1123">SUMPRODUCT(IF('卡片raw data'!BM$1:BM$1000=T1123,1,0),IF('卡片raw data'!BO$1:BO$1000=V1123,1,0),IF(IF('卡片raw data'!C$1:C$1000=R$3,1,0)+IF(R$3="",1,0)&gt;=1,1,0),IF(IF('卡片raw data'!D$1:D$1000=R$4,1,0)+IF(R$4="",1,0)&gt;=1,1,0),IF(IF('卡片raw data'!E$1:E$1000=R$5,1,0)+IF(R$5="",1,0)&gt;=1,1,0))</f>
        <v>0</v>
      </c>
      <c r="Y1123" s="1307">
        <f t="shared" si="86"/>
        <v>44</v>
      </c>
      <c r="Z1123" s="1307">
        <f t="shared" si="87"/>
        <v>0</v>
      </c>
      <c r="AA1123" s="1307">
        <f t="shared" si="88"/>
        <v>44</v>
      </c>
      <c r="AB1123" s="1307">
        <f t="shared" si="89"/>
        <v>0</v>
      </c>
    </row>
    <row r="1124" spans="20:28">
      <c r="T1124" s="1077">
        <v>41</v>
      </c>
      <c r="U1124" s="1077">
        <f t="shared" si="85"/>
        <v>14</v>
      </c>
      <c r="V1124" s="1077">
        <v>45</v>
      </c>
      <c r="W1124" s="1077">
        <f t="array" ref="W1124">SUMPRODUCT(IF('卡片raw data'!BM$1:BM$1000=T1124,1,0),IF('卡片raw data'!BO$1:BO$1000=V1124,1,0),IF(IF('卡片raw data'!C$1:C$1000=R$3,1,0)+IF(R$3="",1,0)&gt;=1,1,0),IF(IF('卡片raw data'!D$1:D$1000=R$4,1,0)+IF(R$4="",1,0)&gt;=1,1,0),IF(IF('卡片raw data'!E$1:E$1000=R$5,1,0)+IF(R$5="",1,0)&gt;=1,1,0))</f>
        <v>0</v>
      </c>
      <c r="Y1124" s="1307">
        <f t="shared" si="86"/>
        <v>45</v>
      </c>
      <c r="Z1124" s="1307">
        <f t="shared" si="87"/>
        <v>0</v>
      </c>
      <c r="AA1124" s="1307">
        <f t="shared" si="88"/>
        <v>45</v>
      </c>
      <c r="AB1124" s="1307">
        <f t="shared" si="89"/>
        <v>0</v>
      </c>
    </row>
    <row r="1125" spans="20:28">
      <c r="T1125" s="1077">
        <v>41</v>
      </c>
      <c r="U1125" s="1077">
        <f t="shared" si="85"/>
        <v>13</v>
      </c>
      <c r="V1125" s="1077">
        <v>46</v>
      </c>
      <c r="W1125" s="1077">
        <f t="array" ref="W1125">SUMPRODUCT(IF('卡片raw data'!BM$1:BM$1000=T1125,1,0),IF('卡片raw data'!BO$1:BO$1000=V1125,1,0),IF(IF('卡片raw data'!C$1:C$1000=R$3,1,0)+IF(R$3="",1,0)&gt;=1,1,0),IF(IF('卡片raw data'!D$1:D$1000=R$4,1,0)+IF(R$4="",1,0)&gt;=1,1,0),IF(IF('卡片raw data'!E$1:E$1000=R$5,1,0)+IF(R$5="",1,0)&gt;=1,1,0))</f>
        <v>0</v>
      </c>
      <c r="Y1125" s="1307">
        <f t="shared" si="86"/>
        <v>46</v>
      </c>
      <c r="Z1125" s="1307">
        <f t="shared" si="87"/>
        <v>0</v>
      </c>
      <c r="AA1125" s="1307">
        <f t="shared" si="88"/>
        <v>46</v>
      </c>
      <c r="AB1125" s="1307">
        <f t="shared" si="89"/>
        <v>0</v>
      </c>
    </row>
    <row r="1126" spans="20:28">
      <c r="T1126" s="1077">
        <v>41</v>
      </c>
      <c r="U1126" s="1077">
        <f t="shared" si="85"/>
        <v>12</v>
      </c>
      <c r="V1126" s="1077">
        <v>47</v>
      </c>
      <c r="W1126" s="1077">
        <f t="array" ref="W1126">SUMPRODUCT(IF('卡片raw data'!BM$1:BM$1000=T1126,1,0),IF('卡片raw data'!BO$1:BO$1000=V1126,1,0),IF(IF('卡片raw data'!C$1:C$1000=R$3,1,0)+IF(R$3="",1,0)&gt;=1,1,0),IF(IF('卡片raw data'!D$1:D$1000=R$4,1,0)+IF(R$4="",1,0)&gt;=1,1,0),IF(IF('卡片raw data'!E$1:E$1000=R$5,1,0)+IF(R$5="",1,0)&gt;=1,1,0))</f>
        <v>0</v>
      </c>
      <c r="Y1126" s="1307">
        <f t="shared" si="86"/>
        <v>47</v>
      </c>
      <c r="Z1126" s="1307">
        <f t="shared" si="87"/>
        <v>0</v>
      </c>
      <c r="AA1126" s="1307">
        <f t="shared" si="88"/>
        <v>47</v>
      </c>
      <c r="AB1126" s="1307">
        <f t="shared" si="89"/>
        <v>0</v>
      </c>
    </row>
    <row r="1127" spans="20:28">
      <c r="T1127" s="1077">
        <v>41</v>
      </c>
      <c r="U1127" s="1077">
        <f t="shared" si="85"/>
        <v>11</v>
      </c>
      <c r="V1127" s="1077">
        <v>48</v>
      </c>
      <c r="W1127" s="1077">
        <f t="array" ref="W1127">SUMPRODUCT(IF('卡片raw data'!BM$1:BM$1000=T1127,1,0),IF('卡片raw data'!BO$1:BO$1000=V1127,1,0),IF(IF('卡片raw data'!C$1:C$1000=R$3,1,0)+IF(R$3="",1,0)&gt;=1,1,0),IF(IF('卡片raw data'!D$1:D$1000=R$4,1,0)+IF(R$4="",1,0)&gt;=1,1,0),IF(IF('卡片raw data'!E$1:E$1000=R$5,1,0)+IF(R$5="",1,0)&gt;=1,1,0))</f>
        <v>0</v>
      </c>
      <c r="Y1127" s="1307">
        <f t="shared" si="86"/>
        <v>48</v>
      </c>
      <c r="Z1127" s="1307">
        <f t="shared" si="87"/>
        <v>0</v>
      </c>
      <c r="AA1127" s="1307">
        <f t="shared" si="88"/>
        <v>48</v>
      </c>
      <c r="AB1127" s="1307">
        <f t="shared" si="89"/>
        <v>0</v>
      </c>
    </row>
    <row r="1128" spans="20:28">
      <c r="T1128" s="1077">
        <v>41</v>
      </c>
      <c r="U1128" s="1077">
        <f t="shared" si="85"/>
        <v>10</v>
      </c>
      <c r="V1128" s="1077">
        <v>49</v>
      </c>
      <c r="W1128" s="1077">
        <f t="array" ref="W1128">SUMPRODUCT(IF('卡片raw data'!BM$1:BM$1000=T1128,1,0),IF('卡片raw data'!BO$1:BO$1000=V1128,1,0),IF(IF('卡片raw data'!C$1:C$1000=R$3,1,0)+IF(R$3="",1,0)&gt;=1,1,0),IF(IF('卡片raw data'!D$1:D$1000=R$4,1,0)+IF(R$4="",1,0)&gt;=1,1,0),IF(IF('卡片raw data'!E$1:E$1000=R$5,1,0)+IF(R$5="",1,0)&gt;=1,1,0))</f>
        <v>0</v>
      </c>
      <c r="Y1128" s="1307">
        <f t="shared" si="86"/>
        <v>49</v>
      </c>
      <c r="Z1128" s="1307">
        <f t="shared" si="87"/>
        <v>0</v>
      </c>
      <c r="AA1128" s="1307">
        <f t="shared" si="88"/>
        <v>49</v>
      </c>
      <c r="AB1128" s="1307">
        <f t="shared" si="89"/>
        <v>0</v>
      </c>
    </row>
    <row r="1129" spans="20:28">
      <c r="T1129" s="1077">
        <v>42</v>
      </c>
      <c r="U1129" s="1077">
        <f t="shared" si="85"/>
        <v>48</v>
      </c>
      <c r="V1129" s="1077">
        <v>10</v>
      </c>
      <c r="W1129" s="1077">
        <f t="array" ref="W1129">SUMPRODUCT(IF('卡片raw data'!BM$1:BM$1000=T1129,1,0),IF('卡片raw data'!BO$1:BO$1000=V1129,1,0),IF(IF('卡片raw data'!C$1:C$1000=R$3,1,0)+IF(R$3="",1,0)&gt;=1,1,0),IF(IF('卡片raw data'!D$1:D$1000=R$4,1,0)+IF(R$4="",1,0)&gt;=1,1,0),IF(IF('卡片raw data'!E$1:E$1000=R$5,1,0)+IF(R$5="",1,0)&gt;=1,1,0))</f>
        <v>0</v>
      </c>
      <c r="Y1129" s="1307">
        <f t="shared" si="86"/>
        <v>10</v>
      </c>
      <c r="Z1129" s="1307">
        <f t="shared" si="87"/>
        <v>0</v>
      </c>
      <c r="AA1129" s="1307">
        <f t="shared" si="88"/>
        <v>10</v>
      </c>
      <c r="AB1129" s="1307">
        <f t="shared" si="89"/>
        <v>0</v>
      </c>
    </row>
    <row r="1130" spans="20:28">
      <c r="T1130" s="1077">
        <v>42</v>
      </c>
      <c r="U1130" s="1077">
        <f t="shared" si="85"/>
        <v>47</v>
      </c>
      <c r="V1130" s="1077">
        <v>11</v>
      </c>
      <c r="W1130" s="1077">
        <f t="array" ref="W1130">SUMPRODUCT(IF('卡片raw data'!BM$1:BM$1000=T1130,1,0),IF('卡片raw data'!BO$1:BO$1000=V1130,1,0),IF(IF('卡片raw data'!C$1:C$1000=R$3,1,0)+IF(R$3="",1,0)&gt;=1,1,0),IF(IF('卡片raw data'!D$1:D$1000=R$4,1,0)+IF(R$4="",1,0)&gt;=1,1,0),IF(IF('卡片raw data'!E$1:E$1000=R$5,1,0)+IF(R$5="",1,0)&gt;=1,1,0))</f>
        <v>0</v>
      </c>
      <c r="Y1130" s="1307">
        <f t="shared" si="86"/>
        <v>11</v>
      </c>
      <c r="Z1130" s="1307">
        <f t="shared" si="87"/>
        <v>0</v>
      </c>
      <c r="AA1130" s="1307">
        <f t="shared" si="88"/>
        <v>11</v>
      </c>
      <c r="AB1130" s="1307">
        <f t="shared" si="89"/>
        <v>0</v>
      </c>
    </row>
    <row r="1131" spans="20:28">
      <c r="T1131" s="1077">
        <v>42</v>
      </c>
      <c r="U1131" s="1077">
        <f t="shared" si="85"/>
        <v>46</v>
      </c>
      <c r="V1131" s="1077">
        <v>12</v>
      </c>
      <c r="W1131" s="1077">
        <f t="array" ref="W1131">SUMPRODUCT(IF('卡片raw data'!BM$1:BM$1000=T1131,1,0),IF('卡片raw data'!BO$1:BO$1000=V1131,1,0),IF(IF('卡片raw data'!C$1:C$1000=R$3,1,0)+IF(R$3="",1,0)&gt;=1,1,0),IF(IF('卡片raw data'!D$1:D$1000=R$4,1,0)+IF(R$4="",1,0)&gt;=1,1,0),IF(IF('卡片raw data'!E$1:E$1000=R$5,1,0)+IF(R$5="",1,0)&gt;=1,1,0))</f>
        <v>0</v>
      </c>
      <c r="Y1131" s="1307">
        <f t="shared" si="86"/>
        <v>12</v>
      </c>
      <c r="Z1131" s="1307">
        <f t="shared" si="87"/>
        <v>0</v>
      </c>
      <c r="AA1131" s="1307">
        <f t="shared" si="88"/>
        <v>12</v>
      </c>
      <c r="AB1131" s="1307">
        <f t="shared" si="89"/>
        <v>0</v>
      </c>
    </row>
    <row r="1132" spans="20:28">
      <c r="T1132" s="1077">
        <v>42</v>
      </c>
      <c r="U1132" s="1077">
        <f t="shared" si="85"/>
        <v>45</v>
      </c>
      <c r="V1132" s="1077">
        <v>13</v>
      </c>
      <c r="W1132" s="1077">
        <f t="array" ref="W1132">SUMPRODUCT(IF('卡片raw data'!BM$1:BM$1000=T1132,1,0),IF('卡片raw data'!BO$1:BO$1000=V1132,1,0),IF(IF('卡片raw data'!C$1:C$1000=R$3,1,0)+IF(R$3="",1,0)&gt;=1,1,0),IF(IF('卡片raw data'!D$1:D$1000=R$4,1,0)+IF(R$4="",1,0)&gt;=1,1,0),IF(IF('卡片raw data'!E$1:E$1000=R$5,1,0)+IF(R$5="",1,0)&gt;=1,1,0))</f>
        <v>0</v>
      </c>
      <c r="Y1132" s="1307">
        <f t="shared" si="86"/>
        <v>13</v>
      </c>
      <c r="Z1132" s="1307">
        <f t="shared" si="87"/>
        <v>0</v>
      </c>
      <c r="AA1132" s="1307">
        <f t="shared" si="88"/>
        <v>13</v>
      </c>
      <c r="AB1132" s="1307">
        <f t="shared" si="89"/>
        <v>0</v>
      </c>
    </row>
    <row r="1133" spans="20:28">
      <c r="T1133" s="1077">
        <v>42</v>
      </c>
      <c r="U1133" s="1077">
        <f t="shared" si="85"/>
        <v>44</v>
      </c>
      <c r="V1133" s="1077">
        <v>14</v>
      </c>
      <c r="W1133" s="1077">
        <f t="array" ref="W1133">SUMPRODUCT(IF('卡片raw data'!BM$1:BM$1000=T1133,1,0),IF('卡片raw data'!BO$1:BO$1000=V1133,1,0),IF(IF('卡片raw data'!C$1:C$1000=R$3,1,0)+IF(R$3="",1,0)&gt;=1,1,0),IF(IF('卡片raw data'!D$1:D$1000=R$4,1,0)+IF(R$4="",1,0)&gt;=1,1,0),IF(IF('卡片raw data'!E$1:E$1000=R$5,1,0)+IF(R$5="",1,0)&gt;=1,1,0))</f>
        <v>0</v>
      </c>
      <c r="Y1133" s="1307">
        <f t="shared" si="86"/>
        <v>14</v>
      </c>
      <c r="Z1133" s="1307">
        <f t="shared" si="87"/>
        <v>0</v>
      </c>
      <c r="AA1133" s="1307">
        <f t="shared" si="88"/>
        <v>14</v>
      </c>
      <c r="AB1133" s="1307">
        <f t="shared" si="89"/>
        <v>0</v>
      </c>
    </row>
    <row r="1134" spans="20:28">
      <c r="T1134" s="1077">
        <v>42</v>
      </c>
      <c r="U1134" s="1077">
        <f t="shared" si="85"/>
        <v>43</v>
      </c>
      <c r="V1134" s="1077">
        <v>15</v>
      </c>
      <c r="W1134" s="1077">
        <f t="array" ref="W1134">SUMPRODUCT(IF('卡片raw data'!BM$1:BM$1000=T1134,1,0),IF('卡片raw data'!BO$1:BO$1000=V1134,1,0),IF(IF('卡片raw data'!C$1:C$1000=R$3,1,0)+IF(R$3="",1,0)&gt;=1,1,0),IF(IF('卡片raw data'!D$1:D$1000=R$4,1,0)+IF(R$4="",1,0)&gt;=1,1,0),IF(IF('卡片raw data'!E$1:E$1000=R$5,1,0)+IF(R$5="",1,0)&gt;=1,1,0))</f>
        <v>0</v>
      </c>
      <c r="Y1134" s="1307">
        <f t="shared" si="86"/>
        <v>15</v>
      </c>
      <c r="Z1134" s="1307">
        <f t="shared" si="87"/>
        <v>0</v>
      </c>
      <c r="AA1134" s="1307">
        <f t="shared" si="88"/>
        <v>15</v>
      </c>
      <c r="AB1134" s="1307">
        <f t="shared" si="89"/>
        <v>0</v>
      </c>
    </row>
    <row r="1135" spans="20:28">
      <c r="T1135" s="1077">
        <v>42</v>
      </c>
      <c r="U1135" s="1077">
        <f t="shared" si="85"/>
        <v>42</v>
      </c>
      <c r="V1135" s="1077">
        <v>16</v>
      </c>
      <c r="W1135" s="1077">
        <f t="array" ref="W1135">SUMPRODUCT(IF('卡片raw data'!BM$1:BM$1000=T1135,1,0),IF('卡片raw data'!BO$1:BO$1000=V1135,1,0),IF(IF('卡片raw data'!C$1:C$1000=R$3,1,0)+IF(R$3="",1,0)&gt;=1,1,0),IF(IF('卡片raw data'!D$1:D$1000=R$4,1,0)+IF(R$4="",1,0)&gt;=1,1,0),IF(IF('卡片raw data'!E$1:E$1000=R$5,1,0)+IF(R$5="",1,0)&gt;=1,1,0))</f>
        <v>0</v>
      </c>
      <c r="Y1135" s="1307">
        <f t="shared" si="86"/>
        <v>16</v>
      </c>
      <c r="Z1135" s="1307">
        <f t="shared" si="87"/>
        <v>0</v>
      </c>
      <c r="AA1135" s="1307">
        <f t="shared" si="88"/>
        <v>16</v>
      </c>
      <c r="AB1135" s="1307">
        <f t="shared" si="89"/>
        <v>0</v>
      </c>
    </row>
    <row r="1136" spans="20:28">
      <c r="T1136" s="1077">
        <v>42</v>
      </c>
      <c r="U1136" s="1077">
        <f t="shared" si="85"/>
        <v>41</v>
      </c>
      <c r="V1136" s="1077">
        <v>17</v>
      </c>
      <c r="W1136" s="1077">
        <f t="array" ref="W1136">SUMPRODUCT(IF('卡片raw data'!BM$1:BM$1000=T1136,1,0),IF('卡片raw data'!BO$1:BO$1000=V1136,1,0),IF(IF('卡片raw data'!C$1:C$1000=R$3,1,0)+IF(R$3="",1,0)&gt;=1,1,0),IF(IF('卡片raw data'!D$1:D$1000=R$4,1,0)+IF(R$4="",1,0)&gt;=1,1,0),IF(IF('卡片raw data'!E$1:E$1000=R$5,1,0)+IF(R$5="",1,0)&gt;=1,1,0))</f>
        <v>0</v>
      </c>
      <c r="Y1136" s="1307">
        <f t="shared" si="86"/>
        <v>17</v>
      </c>
      <c r="Z1136" s="1307">
        <f t="shared" si="87"/>
        <v>0</v>
      </c>
      <c r="AA1136" s="1307">
        <f t="shared" si="88"/>
        <v>17</v>
      </c>
      <c r="AB1136" s="1307">
        <f t="shared" si="89"/>
        <v>0</v>
      </c>
    </row>
    <row r="1137" spans="20:28">
      <c r="T1137" s="1077">
        <v>42</v>
      </c>
      <c r="U1137" s="1077">
        <f t="shared" si="85"/>
        <v>40</v>
      </c>
      <c r="V1137" s="1077">
        <v>18</v>
      </c>
      <c r="W1137" s="1077">
        <f t="array" ref="W1137">SUMPRODUCT(IF('卡片raw data'!BM$1:BM$1000=T1137,1,0),IF('卡片raw data'!BO$1:BO$1000=V1137,1,0),IF(IF('卡片raw data'!C$1:C$1000=R$3,1,0)+IF(R$3="",1,0)&gt;=1,1,0),IF(IF('卡片raw data'!D$1:D$1000=R$4,1,0)+IF(R$4="",1,0)&gt;=1,1,0),IF(IF('卡片raw data'!E$1:E$1000=R$5,1,0)+IF(R$5="",1,0)&gt;=1,1,0))</f>
        <v>1</v>
      </c>
      <c r="Y1137" s="1307">
        <f t="shared" si="86"/>
        <v>18</v>
      </c>
      <c r="Z1137" s="1307">
        <f t="shared" si="87"/>
        <v>0</v>
      </c>
      <c r="AA1137" s="1307">
        <f t="shared" si="88"/>
        <v>18</v>
      </c>
      <c r="AB1137" s="1307">
        <f t="shared" si="89"/>
        <v>1</v>
      </c>
    </row>
    <row r="1138" spans="20:28">
      <c r="T1138" s="1077">
        <v>42</v>
      </c>
      <c r="U1138" s="1077">
        <f t="shared" si="85"/>
        <v>39</v>
      </c>
      <c r="V1138" s="1077">
        <v>19</v>
      </c>
      <c r="W1138" s="1077">
        <f t="array" ref="W1138">SUMPRODUCT(IF('卡片raw data'!BM$1:BM$1000=T1138,1,0),IF('卡片raw data'!BO$1:BO$1000=V1138,1,0),IF(IF('卡片raw data'!C$1:C$1000=R$3,1,0)+IF(R$3="",1,0)&gt;=1,1,0),IF(IF('卡片raw data'!D$1:D$1000=R$4,1,0)+IF(R$4="",1,0)&gt;=1,1,0),IF(IF('卡片raw data'!E$1:E$1000=R$5,1,0)+IF(R$5="",1,0)&gt;=1,1,0))</f>
        <v>0</v>
      </c>
      <c r="Y1138" s="1307">
        <f t="shared" si="86"/>
        <v>19</v>
      </c>
      <c r="Z1138" s="1307">
        <f t="shared" si="87"/>
        <v>0</v>
      </c>
      <c r="AA1138" s="1307">
        <f t="shared" si="88"/>
        <v>19</v>
      </c>
      <c r="AB1138" s="1307">
        <f t="shared" si="89"/>
        <v>0</v>
      </c>
    </row>
    <row r="1139" spans="20:28">
      <c r="T1139" s="1077">
        <v>42</v>
      </c>
      <c r="U1139" s="1077">
        <f t="shared" si="85"/>
        <v>38</v>
      </c>
      <c r="V1139" s="1077">
        <v>20</v>
      </c>
      <c r="W1139" s="1077">
        <f t="array" ref="W1139">SUMPRODUCT(IF('卡片raw data'!BM$1:BM$1000=T1139,1,0),IF('卡片raw data'!BO$1:BO$1000=V1139,1,0),IF(IF('卡片raw data'!C$1:C$1000=R$3,1,0)+IF(R$3="",1,0)&gt;=1,1,0),IF(IF('卡片raw data'!D$1:D$1000=R$4,1,0)+IF(R$4="",1,0)&gt;=1,1,0),IF(IF('卡片raw data'!E$1:E$1000=R$5,1,0)+IF(R$5="",1,0)&gt;=1,1,0))</f>
        <v>0</v>
      </c>
      <c r="Y1139" s="1307">
        <f t="shared" si="86"/>
        <v>20</v>
      </c>
      <c r="Z1139" s="1307">
        <f t="shared" si="87"/>
        <v>0</v>
      </c>
      <c r="AA1139" s="1307">
        <f t="shared" si="88"/>
        <v>20</v>
      </c>
      <c r="AB1139" s="1307">
        <f t="shared" si="89"/>
        <v>0</v>
      </c>
    </row>
    <row r="1140" spans="20:28">
      <c r="T1140" s="1077">
        <v>42</v>
      </c>
      <c r="U1140" s="1077">
        <f t="shared" si="85"/>
        <v>37</v>
      </c>
      <c r="V1140" s="1077">
        <v>21</v>
      </c>
      <c r="W1140" s="1077">
        <f t="array" ref="W1140">SUMPRODUCT(IF('卡片raw data'!BM$1:BM$1000=T1140,1,0),IF('卡片raw data'!BO$1:BO$1000=V1140,1,0),IF(IF('卡片raw data'!C$1:C$1000=R$3,1,0)+IF(R$3="",1,0)&gt;=1,1,0),IF(IF('卡片raw data'!D$1:D$1000=R$4,1,0)+IF(R$4="",1,0)&gt;=1,1,0),IF(IF('卡片raw data'!E$1:E$1000=R$5,1,0)+IF(R$5="",1,0)&gt;=1,1,0))</f>
        <v>0</v>
      </c>
      <c r="Y1140" s="1307">
        <f t="shared" si="86"/>
        <v>21</v>
      </c>
      <c r="Z1140" s="1307">
        <f t="shared" si="87"/>
        <v>0</v>
      </c>
      <c r="AA1140" s="1307">
        <f t="shared" si="88"/>
        <v>21</v>
      </c>
      <c r="AB1140" s="1307">
        <f t="shared" si="89"/>
        <v>0</v>
      </c>
    </row>
    <row r="1141" spans="20:28">
      <c r="T1141" s="1077">
        <v>42</v>
      </c>
      <c r="U1141" s="1077">
        <f t="shared" si="85"/>
        <v>36</v>
      </c>
      <c r="V1141" s="1077">
        <v>22</v>
      </c>
      <c r="W1141" s="1077">
        <f t="array" ref="W1141">SUMPRODUCT(IF('卡片raw data'!BM$1:BM$1000=T1141,1,0),IF('卡片raw data'!BO$1:BO$1000=V1141,1,0),IF(IF('卡片raw data'!C$1:C$1000=R$3,1,0)+IF(R$3="",1,0)&gt;=1,1,0),IF(IF('卡片raw data'!D$1:D$1000=R$4,1,0)+IF(R$4="",1,0)&gt;=1,1,0),IF(IF('卡片raw data'!E$1:E$1000=R$5,1,0)+IF(R$5="",1,0)&gt;=1,1,0))</f>
        <v>1</v>
      </c>
      <c r="Y1141" s="1307">
        <f t="shared" si="86"/>
        <v>22</v>
      </c>
      <c r="Z1141" s="1307">
        <f t="shared" si="87"/>
        <v>0</v>
      </c>
      <c r="AA1141" s="1307">
        <f t="shared" si="88"/>
        <v>22</v>
      </c>
      <c r="AB1141" s="1307">
        <f t="shared" si="89"/>
        <v>1</v>
      </c>
    </row>
    <row r="1142" spans="20:28">
      <c r="T1142" s="1077">
        <v>42</v>
      </c>
      <c r="U1142" s="1077">
        <f t="shared" si="85"/>
        <v>35</v>
      </c>
      <c r="V1142" s="1077">
        <v>23</v>
      </c>
      <c r="W1142" s="1077">
        <f t="array" ref="W1142">SUMPRODUCT(IF('卡片raw data'!BM$1:BM$1000=T1142,1,0),IF('卡片raw data'!BO$1:BO$1000=V1142,1,0),IF(IF('卡片raw data'!C$1:C$1000=R$3,1,0)+IF(R$3="",1,0)&gt;=1,1,0),IF(IF('卡片raw data'!D$1:D$1000=R$4,1,0)+IF(R$4="",1,0)&gt;=1,1,0),IF(IF('卡片raw data'!E$1:E$1000=R$5,1,0)+IF(R$5="",1,0)&gt;=1,1,0))</f>
        <v>0</v>
      </c>
      <c r="Y1142" s="1307">
        <f t="shared" si="86"/>
        <v>23</v>
      </c>
      <c r="Z1142" s="1307">
        <f t="shared" si="87"/>
        <v>0</v>
      </c>
      <c r="AA1142" s="1307">
        <f t="shared" si="88"/>
        <v>23</v>
      </c>
      <c r="AB1142" s="1307">
        <f t="shared" si="89"/>
        <v>0</v>
      </c>
    </row>
    <row r="1143" spans="20:28">
      <c r="T1143" s="1077">
        <v>42</v>
      </c>
      <c r="U1143" s="1077">
        <f t="shared" si="85"/>
        <v>34</v>
      </c>
      <c r="V1143" s="1077">
        <v>24</v>
      </c>
      <c r="W1143" s="1077">
        <f t="array" ref="W1143">SUMPRODUCT(IF('卡片raw data'!BM$1:BM$1000=T1143,1,0),IF('卡片raw data'!BO$1:BO$1000=V1143,1,0),IF(IF('卡片raw data'!C$1:C$1000=R$3,1,0)+IF(R$3="",1,0)&gt;=1,1,0),IF(IF('卡片raw data'!D$1:D$1000=R$4,1,0)+IF(R$4="",1,0)&gt;=1,1,0),IF(IF('卡片raw data'!E$1:E$1000=R$5,1,0)+IF(R$5="",1,0)&gt;=1,1,0))</f>
        <v>1</v>
      </c>
      <c r="Y1143" s="1307">
        <f t="shared" si="86"/>
        <v>24</v>
      </c>
      <c r="Z1143" s="1307">
        <f t="shared" si="87"/>
        <v>0</v>
      </c>
      <c r="AA1143" s="1307">
        <f t="shared" si="88"/>
        <v>24</v>
      </c>
      <c r="AB1143" s="1307">
        <f t="shared" si="89"/>
        <v>1</v>
      </c>
    </row>
    <row r="1144" spans="20:28">
      <c r="T1144" s="1077">
        <v>42</v>
      </c>
      <c r="U1144" s="1077">
        <f t="shared" si="85"/>
        <v>33</v>
      </c>
      <c r="V1144" s="1077">
        <v>25</v>
      </c>
      <c r="W1144" s="1077">
        <f t="array" ref="W1144">SUMPRODUCT(IF('卡片raw data'!BM$1:BM$1000=T1144,1,0),IF('卡片raw data'!BO$1:BO$1000=V1144,1,0),IF(IF('卡片raw data'!C$1:C$1000=R$3,1,0)+IF(R$3="",1,0)&gt;=1,1,0),IF(IF('卡片raw data'!D$1:D$1000=R$4,1,0)+IF(R$4="",1,0)&gt;=1,1,0),IF(IF('卡片raw data'!E$1:E$1000=R$5,1,0)+IF(R$5="",1,0)&gt;=1,1,0))</f>
        <v>0</v>
      </c>
      <c r="Y1144" s="1307">
        <f t="shared" si="86"/>
        <v>25</v>
      </c>
      <c r="Z1144" s="1307">
        <f t="shared" si="87"/>
        <v>0</v>
      </c>
      <c r="AA1144" s="1307">
        <f t="shared" si="88"/>
        <v>25</v>
      </c>
      <c r="AB1144" s="1307">
        <f t="shared" si="89"/>
        <v>0</v>
      </c>
    </row>
    <row r="1145" spans="20:28">
      <c r="T1145" s="1077">
        <v>42</v>
      </c>
      <c r="U1145" s="1077">
        <f t="shared" si="85"/>
        <v>32</v>
      </c>
      <c r="V1145" s="1077">
        <v>26</v>
      </c>
      <c r="W1145" s="1077">
        <f t="array" ref="W1145">SUMPRODUCT(IF('卡片raw data'!BM$1:BM$1000=T1145,1,0),IF('卡片raw data'!BO$1:BO$1000=V1145,1,0),IF(IF('卡片raw data'!C$1:C$1000=R$3,1,0)+IF(R$3="",1,0)&gt;=1,1,0),IF(IF('卡片raw data'!D$1:D$1000=R$4,1,0)+IF(R$4="",1,0)&gt;=1,1,0),IF(IF('卡片raw data'!E$1:E$1000=R$5,1,0)+IF(R$5="",1,0)&gt;=1,1,0))</f>
        <v>1</v>
      </c>
      <c r="Y1145" s="1307">
        <f t="shared" si="86"/>
        <v>26</v>
      </c>
      <c r="Z1145" s="1307">
        <f t="shared" si="87"/>
        <v>0</v>
      </c>
      <c r="AA1145" s="1307">
        <f t="shared" si="88"/>
        <v>26</v>
      </c>
      <c r="AB1145" s="1307">
        <f t="shared" si="89"/>
        <v>1</v>
      </c>
    </row>
    <row r="1146" spans="20:28">
      <c r="T1146" s="1077">
        <v>42</v>
      </c>
      <c r="U1146" s="1077">
        <f t="shared" si="85"/>
        <v>31</v>
      </c>
      <c r="V1146" s="1077">
        <v>27</v>
      </c>
      <c r="W1146" s="1077">
        <f t="array" ref="W1146">SUMPRODUCT(IF('卡片raw data'!BM$1:BM$1000=T1146,1,0),IF('卡片raw data'!BO$1:BO$1000=V1146,1,0),IF(IF('卡片raw data'!C$1:C$1000=R$3,1,0)+IF(R$3="",1,0)&gt;=1,1,0),IF(IF('卡片raw data'!D$1:D$1000=R$4,1,0)+IF(R$4="",1,0)&gt;=1,1,0),IF(IF('卡片raw data'!E$1:E$1000=R$5,1,0)+IF(R$5="",1,0)&gt;=1,1,0))</f>
        <v>1</v>
      </c>
      <c r="Y1146" s="1307">
        <f t="shared" si="86"/>
        <v>27</v>
      </c>
      <c r="Z1146" s="1307">
        <f t="shared" si="87"/>
        <v>0</v>
      </c>
      <c r="AA1146" s="1307">
        <f t="shared" si="88"/>
        <v>27</v>
      </c>
      <c r="AB1146" s="1307">
        <f t="shared" si="89"/>
        <v>1</v>
      </c>
    </row>
    <row r="1147" spans="20:28">
      <c r="T1147" s="1077">
        <v>42</v>
      </c>
      <c r="U1147" s="1077">
        <f t="shared" si="85"/>
        <v>30</v>
      </c>
      <c r="V1147" s="1077">
        <v>28</v>
      </c>
      <c r="W1147" s="1077">
        <f t="array" ref="W1147">SUMPRODUCT(IF('卡片raw data'!BM$1:BM$1000=T1147,1,0),IF('卡片raw data'!BO$1:BO$1000=V1147,1,0),IF(IF('卡片raw data'!C$1:C$1000=R$3,1,0)+IF(R$3="",1,0)&gt;=1,1,0),IF(IF('卡片raw data'!D$1:D$1000=R$4,1,0)+IF(R$4="",1,0)&gt;=1,1,0),IF(IF('卡片raw data'!E$1:E$1000=R$5,1,0)+IF(R$5="",1,0)&gt;=1,1,0))</f>
        <v>2</v>
      </c>
      <c r="Y1147" s="1307">
        <f t="shared" si="86"/>
        <v>28</v>
      </c>
      <c r="Z1147" s="1307">
        <f t="shared" si="87"/>
        <v>0</v>
      </c>
      <c r="AA1147" s="1307">
        <f t="shared" si="88"/>
        <v>28</v>
      </c>
      <c r="AB1147" s="1307">
        <f t="shared" si="89"/>
        <v>2</v>
      </c>
    </row>
    <row r="1148" spans="20:28">
      <c r="T1148" s="1077">
        <v>42</v>
      </c>
      <c r="U1148" s="1077">
        <f t="shared" si="85"/>
        <v>29</v>
      </c>
      <c r="V1148" s="1077">
        <v>29</v>
      </c>
      <c r="W1148" s="1077">
        <f t="array" ref="W1148">SUMPRODUCT(IF('卡片raw data'!BM$1:BM$1000=T1148,1,0),IF('卡片raw data'!BO$1:BO$1000=V1148,1,0),IF(IF('卡片raw data'!C$1:C$1000=R$3,1,0)+IF(R$3="",1,0)&gt;=1,1,0),IF(IF('卡片raw data'!D$1:D$1000=R$4,1,0)+IF(R$4="",1,0)&gt;=1,1,0),IF(IF('卡片raw data'!E$1:E$1000=R$5,1,0)+IF(R$5="",1,0)&gt;=1,1,0))</f>
        <v>1</v>
      </c>
      <c r="Y1148" s="1307">
        <f t="shared" si="86"/>
        <v>29</v>
      </c>
      <c r="Z1148" s="1307">
        <f t="shared" si="87"/>
        <v>0</v>
      </c>
      <c r="AA1148" s="1307">
        <f t="shared" si="88"/>
        <v>29</v>
      </c>
      <c r="AB1148" s="1307">
        <f t="shared" si="89"/>
        <v>1</v>
      </c>
    </row>
    <row r="1149" spans="20:28">
      <c r="T1149" s="1077">
        <v>42</v>
      </c>
      <c r="U1149" s="1077">
        <f t="shared" si="85"/>
        <v>28</v>
      </c>
      <c r="V1149" s="1077">
        <v>30</v>
      </c>
      <c r="W1149" s="1077">
        <f t="array" ref="W1149">SUMPRODUCT(IF('卡片raw data'!BM$1:BM$1000=T1149,1,0),IF('卡片raw data'!BO$1:BO$1000=V1149,1,0),IF(IF('卡片raw data'!C$1:C$1000=R$3,1,0)+IF(R$3="",1,0)&gt;=1,1,0),IF(IF('卡片raw data'!D$1:D$1000=R$4,1,0)+IF(R$4="",1,0)&gt;=1,1,0),IF(IF('卡片raw data'!E$1:E$1000=R$5,1,0)+IF(R$5="",1,0)&gt;=1,1,0))</f>
        <v>9</v>
      </c>
      <c r="Y1149" s="1307">
        <f t="shared" si="86"/>
        <v>30</v>
      </c>
      <c r="Z1149" s="1307">
        <f t="shared" si="87"/>
        <v>0</v>
      </c>
      <c r="AA1149" s="1307">
        <f t="shared" si="88"/>
        <v>30</v>
      </c>
      <c r="AB1149" s="1307">
        <f t="shared" si="89"/>
        <v>9</v>
      </c>
    </row>
    <row r="1150" spans="20:28">
      <c r="T1150" s="1077">
        <v>42</v>
      </c>
      <c r="U1150" s="1077">
        <f t="shared" si="85"/>
        <v>27</v>
      </c>
      <c r="V1150" s="1077">
        <v>31</v>
      </c>
      <c r="W1150" s="1077">
        <f t="array" ref="W1150">SUMPRODUCT(IF('卡片raw data'!BM$1:BM$1000=T1150,1,0),IF('卡片raw data'!BO$1:BO$1000=V1150,1,0),IF(IF('卡片raw data'!C$1:C$1000=R$3,1,0)+IF(R$3="",1,0)&gt;=1,1,0),IF(IF('卡片raw data'!D$1:D$1000=R$4,1,0)+IF(R$4="",1,0)&gt;=1,1,0),IF(IF('卡片raw data'!E$1:E$1000=R$5,1,0)+IF(R$5="",1,0)&gt;=1,1,0))</f>
        <v>0</v>
      </c>
      <c r="Y1150" s="1307">
        <f t="shared" si="86"/>
        <v>31</v>
      </c>
      <c r="Z1150" s="1307">
        <f t="shared" si="87"/>
        <v>0</v>
      </c>
      <c r="AA1150" s="1307">
        <f t="shared" si="88"/>
        <v>31</v>
      </c>
      <c r="AB1150" s="1307">
        <f t="shared" si="89"/>
        <v>0</v>
      </c>
    </row>
    <row r="1151" spans="20:28">
      <c r="T1151" s="1077">
        <v>42</v>
      </c>
      <c r="U1151" s="1077">
        <f t="shared" si="85"/>
        <v>26</v>
      </c>
      <c r="V1151" s="1077">
        <v>32</v>
      </c>
      <c r="W1151" s="1077">
        <f t="array" ref="W1151">SUMPRODUCT(IF('卡片raw data'!BM$1:BM$1000=T1151,1,0),IF('卡片raw data'!BO$1:BO$1000=V1151,1,0),IF(IF('卡片raw data'!C$1:C$1000=R$3,1,0)+IF(R$3="",1,0)&gt;=1,1,0),IF(IF('卡片raw data'!D$1:D$1000=R$4,1,0)+IF(R$4="",1,0)&gt;=1,1,0),IF(IF('卡片raw data'!E$1:E$1000=R$5,1,0)+IF(R$5="",1,0)&gt;=1,1,0))</f>
        <v>0</v>
      </c>
      <c r="Y1151" s="1307">
        <f t="shared" si="86"/>
        <v>32</v>
      </c>
      <c r="Z1151" s="1307">
        <f t="shared" si="87"/>
        <v>0</v>
      </c>
      <c r="AA1151" s="1307">
        <f t="shared" si="88"/>
        <v>32</v>
      </c>
      <c r="AB1151" s="1307">
        <f t="shared" si="89"/>
        <v>0</v>
      </c>
    </row>
    <row r="1152" spans="20:28">
      <c r="T1152" s="1077">
        <v>42</v>
      </c>
      <c r="U1152" s="1077">
        <f t="shared" si="85"/>
        <v>25</v>
      </c>
      <c r="V1152" s="1077">
        <v>33</v>
      </c>
      <c r="W1152" s="1077">
        <f t="array" ref="W1152">SUMPRODUCT(IF('卡片raw data'!BM$1:BM$1000=T1152,1,0),IF('卡片raw data'!BO$1:BO$1000=V1152,1,0),IF(IF('卡片raw data'!C$1:C$1000=R$3,1,0)+IF(R$3="",1,0)&gt;=1,1,0),IF(IF('卡片raw data'!D$1:D$1000=R$4,1,0)+IF(R$4="",1,0)&gt;=1,1,0),IF(IF('卡片raw data'!E$1:E$1000=R$5,1,0)+IF(R$5="",1,0)&gt;=1,1,0))</f>
        <v>3</v>
      </c>
      <c r="Y1152" s="1307">
        <f t="shared" si="86"/>
        <v>33</v>
      </c>
      <c r="Z1152" s="1307">
        <f t="shared" si="87"/>
        <v>0</v>
      </c>
      <c r="AA1152" s="1307">
        <f t="shared" si="88"/>
        <v>33</v>
      </c>
      <c r="AB1152" s="1307">
        <f t="shared" si="89"/>
        <v>3</v>
      </c>
    </row>
    <row r="1153" spans="20:28">
      <c r="T1153" s="1077">
        <v>42</v>
      </c>
      <c r="U1153" s="1077">
        <f t="shared" si="85"/>
        <v>24</v>
      </c>
      <c r="V1153" s="1077">
        <v>34</v>
      </c>
      <c r="W1153" s="1077">
        <f t="array" ref="W1153">SUMPRODUCT(IF('卡片raw data'!BM$1:BM$1000=T1153,1,0),IF('卡片raw data'!BO$1:BO$1000=V1153,1,0),IF(IF('卡片raw data'!C$1:C$1000=R$3,1,0)+IF(R$3="",1,0)&gt;=1,1,0),IF(IF('卡片raw data'!D$1:D$1000=R$4,1,0)+IF(R$4="",1,0)&gt;=1,1,0),IF(IF('卡片raw data'!E$1:E$1000=R$5,1,0)+IF(R$5="",1,0)&gt;=1,1,0))</f>
        <v>0</v>
      </c>
      <c r="Y1153" s="1307">
        <f t="shared" si="86"/>
        <v>34</v>
      </c>
      <c r="Z1153" s="1307">
        <f t="shared" si="87"/>
        <v>0</v>
      </c>
      <c r="AA1153" s="1307">
        <f t="shared" si="88"/>
        <v>34</v>
      </c>
      <c r="AB1153" s="1307">
        <f t="shared" si="89"/>
        <v>0</v>
      </c>
    </row>
    <row r="1154" spans="20:28">
      <c r="T1154" s="1077">
        <v>42</v>
      </c>
      <c r="U1154" s="1077">
        <f t="shared" si="85"/>
        <v>23</v>
      </c>
      <c r="V1154" s="1077">
        <v>35</v>
      </c>
      <c r="W1154" s="1077">
        <f t="array" ref="W1154">SUMPRODUCT(IF('卡片raw data'!BM$1:BM$1000=T1154,1,0),IF('卡片raw data'!BO$1:BO$1000=V1154,1,0),IF(IF('卡片raw data'!C$1:C$1000=R$3,1,0)+IF(R$3="",1,0)&gt;=1,1,0),IF(IF('卡片raw data'!D$1:D$1000=R$4,1,0)+IF(R$4="",1,0)&gt;=1,1,0),IF(IF('卡片raw data'!E$1:E$1000=R$5,1,0)+IF(R$5="",1,0)&gt;=1,1,0))</f>
        <v>3</v>
      </c>
      <c r="Y1154" s="1307">
        <f t="shared" si="86"/>
        <v>35</v>
      </c>
      <c r="Z1154" s="1307">
        <f t="shared" si="87"/>
        <v>0</v>
      </c>
      <c r="AA1154" s="1307">
        <f t="shared" si="88"/>
        <v>35</v>
      </c>
      <c r="AB1154" s="1307">
        <f t="shared" si="89"/>
        <v>3</v>
      </c>
    </row>
    <row r="1155" spans="20:28">
      <c r="T1155" s="1077">
        <v>42</v>
      </c>
      <c r="U1155" s="1077">
        <f t="shared" si="85"/>
        <v>22</v>
      </c>
      <c r="V1155" s="1077">
        <v>36</v>
      </c>
      <c r="W1155" s="1077">
        <f t="array" ref="W1155">SUMPRODUCT(IF('卡片raw data'!BM$1:BM$1000=T1155,1,0),IF('卡片raw data'!BO$1:BO$1000=V1155,1,0),IF(IF('卡片raw data'!C$1:C$1000=R$3,1,0)+IF(R$3="",1,0)&gt;=1,1,0),IF(IF('卡片raw data'!D$1:D$1000=R$4,1,0)+IF(R$4="",1,0)&gt;=1,1,0),IF(IF('卡片raw data'!E$1:E$1000=R$5,1,0)+IF(R$5="",1,0)&gt;=1,1,0))</f>
        <v>5</v>
      </c>
      <c r="Y1155" s="1307">
        <f t="shared" si="86"/>
        <v>36</v>
      </c>
      <c r="Z1155" s="1307">
        <f t="shared" si="87"/>
        <v>0</v>
      </c>
      <c r="AA1155" s="1307">
        <f t="shared" si="88"/>
        <v>36</v>
      </c>
      <c r="AB1155" s="1307">
        <f t="shared" si="89"/>
        <v>5</v>
      </c>
    </row>
    <row r="1156" spans="20:28">
      <c r="T1156" s="1077">
        <v>42</v>
      </c>
      <c r="U1156" s="1077">
        <f t="shared" ref="U1156:U1219" si="90">100-T1156-V1156</f>
        <v>21</v>
      </c>
      <c r="V1156" s="1077">
        <v>37</v>
      </c>
      <c r="W1156" s="1077">
        <f t="array" ref="W1156">SUMPRODUCT(IF('卡片raw data'!BM$1:BM$1000=T1156,1,0),IF('卡片raw data'!BO$1:BO$1000=V1156,1,0),IF(IF('卡片raw data'!C$1:C$1000=R$3,1,0)+IF(R$3="",1,0)&gt;=1,1,0),IF(IF('卡片raw data'!D$1:D$1000=R$4,1,0)+IF(R$4="",1,0)&gt;=1,1,0),IF(IF('卡片raw data'!E$1:E$1000=R$5,1,0)+IF(R$5="",1,0)&gt;=1,1,0))</f>
        <v>0</v>
      </c>
      <c r="Y1156" s="1307">
        <f t="shared" ref="Y1156:Y1219" si="91">V1156</f>
        <v>37</v>
      </c>
      <c r="Z1156" s="1307">
        <f t="shared" ref="Z1156:Z1219" si="92">IF(AND(V1156&gt;U1156,V1156&gt;T1156),W1156,0)</f>
        <v>0</v>
      </c>
      <c r="AA1156" s="1307">
        <f t="shared" ref="AA1156:AA1219" si="93">V1156</f>
        <v>37</v>
      </c>
      <c r="AB1156" s="1307">
        <f t="shared" ref="AB1156:AB1219" si="94">W1156-Z1156</f>
        <v>0</v>
      </c>
    </row>
    <row r="1157" spans="20:28">
      <c r="T1157" s="1077">
        <v>42</v>
      </c>
      <c r="U1157" s="1077">
        <f t="shared" si="90"/>
        <v>20</v>
      </c>
      <c r="V1157" s="1077">
        <v>38</v>
      </c>
      <c r="W1157" s="1077">
        <f t="array" ref="W1157">SUMPRODUCT(IF('卡片raw data'!BM$1:BM$1000=T1157,1,0),IF('卡片raw data'!BO$1:BO$1000=V1157,1,0),IF(IF('卡片raw data'!C$1:C$1000=R$3,1,0)+IF(R$3="",1,0)&gt;=1,1,0),IF(IF('卡片raw data'!D$1:D$1000=R$4,1,0)+IF(R$4="",1,0)&gt;=1,1,0),IF(IF('卡片raw data'!E$1:E$1000=R$5,1,0)+IF(R$5="",1,0)&gt;=1,1,0))</f>
        <v>1</v>
      </c>
      <c r="Y1157" s="1307">
        <f t="shared" si="91"/>
        <v>38</v>
      </c>
      <c r="Z1157" s="1307">
        <f t="shared" si="92"/>
        <v>0</v>
      </c>
      <c r="AA1157" s="1307">
        <f t="shared" si="93"/>
        <v>38</v>
      </c>
      <c r="AB1157" s="1307">
        <f t="shared" si="94"/>
        <v>1</v>
      </c>
    </row>
    <row r="1158" spans="20:28">
      <c r="T1158" s="1077">
        <v>42</v>
      </c>
      <c r="U1158" s="1077">
        <f t="shared" si="90"/>
        <v>19</v>
      </c>
      <c r="V1158" s="1077">
        <v>39</v>
      </c>
      <c r="W1158" s="1077">
        <f t="array" ref="W1158">SUMPRODUCT(IF('卡片raw data'!BM$1:BM$1000=T1158,1,0),IF('卡片raw data'!BO$1:BO$1000=V1158,1,0),IF(IF('卡片raw data'!C$1:C$1000=R$3,1,0)+IF(R$3="",1,0)&gt;=1,1,0),IF(IF('卡片raw data'!D$1:D$1000=R$4,1,0)+IF(R$4="",1,0)&gt;=1,1,0),IF(IF('卡片raw data'!E$1:E$1000=R$5,1,0)+IF(R$5="",1,0)&gt;=1,1,0))</f>
        <v>1</v>
      </c>
      <c r="Y1158" s="1307">
        <f t="shared" si="91"/>
        <v>39</v>
      </c>
      <c r="Z1158" s="1307">
        <f t="shared" si="92"/>
        <v>0</v>
      </c>
      <c r="AA1158" s="1307">
        <f t="shared" si="93"/>
        <v>39</v>
      </c>
      <c r="AB1158" s="1307">
        <f t="shared" si="94"/>
        <v>1</v>
      </c>
    </row>
    <row r="1159" spans="20:28">
      <c r="T1159" s="1077">
        <v>42</v>
      </c>
      <c r="U1159" s="1077">
        <f t="shared" si="90"/>
        <v>18</v>
      </c>
      <c r="V1159" s="1077">
        <v>40</v>
      </c>
      <c r="W1159" s="1077">
        <f t="array" ref="W1159">SUMPRODUCT(IF('卡片raw data'!BM$1:BM$1000=T1159,1,0),IF('卡片raw data'!BO$1:BO$1000=V1159,1,0),IF(IF('卡片raw data'!C$1:C$1000=R$3,1,0)+IF(R$3="",1,0)&gt;=1,1,0),IF(IF('卡片raw data'!D$1:D$1000=R$4,1,0)+IF(R$4="",1,0)&gt;=1,1,0),IF(IF('卡片raw data'!E$1:E$1000=R$5,1,0)+IF(R$5="",1,0)&gt;=1,1,0))</f>
        <v>0</v>
      </c>
      <c r="Y1159" s="1307">
        <f t="shared" si="91"/>
        <v>40</v>
      </c>
      <c r="Z1159" s="1307">
        <f t="shared" si="92"/>
        <v>0</v>
      </c>
      <c r="AA1159" s="1307">
        <f t="shared" si="93"/>
        <v>40</v>
      </c>
      <c r="AB1159" s="1307">
        <f t="shared" si="94"/>
        <v>0</v>
      </c>
    </row>
    <row r="1160" spans="20:28">
      <c r="T1160" s="1077">
        <v>42</v>
      </c>
      <c r="U1160" s="1077">
        <f t="shared" si="90"/>
        <v>17</v>
      </c>
      <c r="V1160" s="1077">
        <v>41</v>
      </c>
      <c r="W1160" s="1077">
        <f t="array" ref="W1160">SUMPRODUCT(IF('卡片raw data'!BM$1:BM$1000=T1160,1,0),IF('卡片raw data'!BO$1:BO$1000=V1160,1,0),IF(IF('卡片raw data'!C$1:C$1000=R$3,1,0)+IF(R$3="",1,0)&gt;=1,1,0),IF(IF('卡片raw data'!D$1:D$1000=R$4,1,0)+IF(R$4="",1,0)&gt;=1,1,0),IF(IF('卡片raw data'!E$1:E$1000=R$5,1,0)+IF(R$5="",1,0)&gt;=1,1,0))</f>
        <v>0</v>
      </c>
      <c r="Y1160" s="1307">
        <f t="shared" si="91"/>
        <v>41</v>
      </c>
      <c r="Z1160" s="1307">
        <f t="shared" si="92"/>
        <v>0</v>
      </c>
      <c r="AA1160" s="1307">
        <f t="shared" si="93"/>
        <v>41</v>
      </c>
      <c r="AB1160" s="1307">
        <f t="shared" si="94"/>
        <v>0</v>
      </c>
    </row>
    <row r="1161" spans="20:28">
      <c r="T1161" s="1077">
        <v>42</v>
      </c>
      <c r="U1161" s="1077">
        <f t="shared" si="90"/>
        <v>16</v>
      </c>
      <c r="V1161" s="1077">
        <v>42</v>
      </c>
      <c r="W1161" s="1077">
        <f t="array" ref="W1161">SUMPRODUCT(IF('卡片raw data'!BM$1:BM$1000=T1161,1,0),IF('卡片raw data'!BO$1:BO$1000=V1161,1,0),IF(IF('卡片raw data'!C$1:C$1000=R$3,1,0)+IF(R$3="",1,0)&gt;=1,1,0),IF(IF('卡片raw data'!D$1:D$1000=R$4,1,0)+IF(R$4="",1,0)&gt;=1,1,0),IF(IF('卡片raw data'!E$1:E$1000=R$5,1,0)+IF(R$5="",1,0)&gt;=1,1,0))</f>
        <v>2</v>
      </c>
      <c r="Y1161" s="1307">
        <f t="shared" si="91"/>
        <v>42</v>
      </c>
      <c r="Z1161" s="1307">
        <f t="shared" si="92"/>
        <v>0</v>
      </c>
      <c r="AA1161" s="1307">
        <f t="shared" si="93"/>
        <v>42</v>
      </c>
      <c r="AB1161" s="1307">
        <f t="shared" si="94"/>
        <v>2</v>
      </c>
    </row>
    <row r="1162" spans="20:28">
      <c r="T1162" s="1077">
        <v>42</v>
      </c>
      <c r="U1162" s="1077">
        <f t="shared" si="90"/>
        <v>15</v>
      </c>
      <c r="V1162" s="1077">
        <v>43</v>
      </c>
      <c r="W1162" s="1077">
        <f t="array" ref="W1162">SUMPRODUCT(IF('卡片raw data'!BM$1:BM$1000=T1162,1,0),IF('卡片raw data'!BO$1:BO$1000=V1162,1,0),IF(IF('卡片raw data'!C$1:C$1000=R$3,1,0)+IF(R$3="",1,0)&gt;=1,1,0),IF(IF('卡片raw data'!D$1:D$1000=R$4,1,0)+IF(R$4="",1,0)&gt;=1,1,0),IF(IF('卡片raw data'!E$1:E$1000=R$5,1,0)+IF(R$5="",1,0)&gt;=1,1,0))</f>
        <v>3</v>
      </c>
      <c r="Y1162" s="1307">
        <f t="shared" si="91"/>
        <v>43</v>
      </c>
      <c r="Z1162" s="1307">
        <f t="shared" si="92"/>
        <v>3</v>
      </c>
      <c r="AA1162" s="1307">
        <f t="shared" si="93"/>
        <v>43</v>
      </c>
      <c r="AB1162" s="1307">
        <f t="shared" si="94"/>
        <v>0</v>
      </c>
    </row>
    <row r="1163" spans="20:28">
      <c r="T1163" s="1077">
        <v>42</v>
      </c>
      <c r="U1163" s="1077">
        <f t="shared" si="90"/>
        <v>14</v>
      </c>
      <c r="V1163" s="1077">
        <v>44</v>
      </c>
      <c r="W1163" s="1077">
        <f t="array" ref="W1163">SUMPRODUCT(IF('卡片raw data'!BM$1:BM$1000=T1163,1,0),IF('卡片raw data'!BO$1:BO$1000=V1163,1,0),IF(IF('卡片raw data'!C$1:C$1000=R$3,1,0)+IF(R$3="",1,0)&gt;=1,1,0),IF(IF('卡片raw data'!D$1:D$1000=R$4,1,0)+IF(R$4="",1,0)&gt;=1,1,0),IF(IF('卡片raw data'!E$1:E$1000=R$5,1,0)+IF(R$5="",1,0)&gt;=1,1,0))</f>
        <v>0</v>
      </c>
      <c r="Y1163" s="1307">
        <f t="shared" si="91"/>
        <v>44</v>
      </c>
      <c r="Z1163" s="1307">
        <f t="shared" si="92"/>
        <v>0</v>
      </c>
      <c r="AA1163" s="1307">
        <f t="shared" si="93"/>
        <v>44</v>
      </c>
      <c r="AB1163" s="1307">
        <f t="shared" si="94"/>
        <v>0</v>
      </c>
    </row>
    <row r="1164" spans="20:28">
      <c r="T1164" s="1077">
        <v>42</v>
      </c>
      <c r="U1164" s="1077">
        <f t="shared" si="90"/>
        <v>13</v>
      </c>
      <c r="V1164" s="1077">
        <v>45</v>
      </c>
      <c r="W1164" s="1077">
        <f t="array" ref="W1164">SUMPRODUCT(IF('卡片raw data'!BM$1:BM$1000=T1164,1,0),IF('卡片raw data'!BO$1:BO$1000=V1164,1,0),IF(IF('卡片raw data'!C$1:C$1000=R$3,1,0)+IF(R$3="",1,0)&gt;=1,1,0),IF(IF('卡片raw data'!D$1:D$1000=R$4,1,0)+IF(R$4="",1,0)&gt;=1,1,0),IF(IF('卡片raw data'!E$1:E$1000=R$5,1,0)+IF(R$5="",1,0)&gt;=1,1,0))</f>
        <v>0</v>
      </c>
      <c r="Y1164" s="1307">
        <f t="shared" si="91"/>
        <v>45</v>
      </c>
      <c r="Z1164" s="1307">
        <f t="shared" si="92"/>
        <v>0</v>
      </c>
      <c r="AA1164" s="1307">
        <f t="shared" si="93"/>
        <v>45</v>
      </c>
      <c r="AB1164" s="1307">
        <f t="shared" si="94"/>
        <v>0</v>
      </c>
    </row>
    <row r="1165" spans="20:28">
      <c r="T1165" s="1077">
        <v>42</v>
      </c>
      <c r="U1165" s="1077">
        <f t="shared" si="90"/>
        <v>12</v>
      </c>
      <c r="V1165" s="1077">
        <v>46</v>
      </c>
      <c r="W1165" s="1077">
        <f t="array" ref="W1165">SUMPRODUCT(IF('卡片raw data'!BM$1:BM$1000=T1165,1,0),IF('卡片raw data'!BO$1:BO$1000=V1165,1,0),IF(IF('卡片raw data'!C$1:C$1000=R$3,1,0)+IF(R$3="",1,0)&gt;=1,1,0),IF(IF('卡片raw data'!D$1:D$1000=R$4,1,0)+IF(R$4="",1,0)&gt;=1,1,0),IF(IF('卡片raw data'!E$1:E$1000=R$5,1,0)+IF(R$5="",1,0)&gt;=1,1,0))</f>
        <v>0</v>
      </c>
      <c r="Y1165" s="1307">
        <f t="shared" si="91"/>
        <v>46</v>
      </c>
      <c r="Z1165" s="1307">
        <f t="shared" si="92"/>
        <v>0</v>
      </c>
      <c r="AA1165" s="1307">
        <f t="shared" si="93"/>
        <v>46</v>
      </c>
      <c r="AB1165" s="1307">
        <f t="shared" si="94"/>
        <v>0</v>
      </c>
    </row>
    <row r="1166" spans="20:28">
      <c r="T1166" s="1077">
        <v>42</v>
      </c>
      <c r="U1166" s="1077">
        <f t="shared" si="90"/>
        <v>11</v>
      </c>
      <c r="V1166" s="1077">
        <v>47</v>
      </c>
      <c r="W1166" s="1077">
        <f t="array" ref="W1166">SUMPRODUCT(IF('卡片raw data'!BM$1:BM$1000=T1166,1,0),IF('卡片raw data'!BO$1:BO$1000=V1166,1,0),IF(IF('卡片raw data'!C$1:C$1000=R$3,1,0)+IF(R$3="",1,0)&gt;=1,1,0),IF(IF('卡片raw data'!D$1:D$1000=R$4,1,0)+IF(R$4="",1,0)&gt;=1,1,0),IF(IF('卡片raw data'!E$1:E$1000=R$5,1,0)+IF(R$5="",1,0)&gt;=1,1,0))</f>
        <v>0</v>
      </c>
      <c r="Y1166" s="1307">
        <f t="shared" si="91"/>
        <v>47</v>
      </c>
      <c r="Z1166" s="1307">
        <f t="shared" si="92"/>
        <v>0</v>
      </c>
      <c r="AA1166" s="1307">
        <f t="shared" si="93"/>
        <v>47</v>
      </c>
      <c r="AB1166" s="1307">
        <f t="shared" si="94"/>
        <v>0</v>
      </c>
    </row>
    <row r="1167" spans="20:28">
      <c r="T1167" s="1077">
        <v>42</v>
      </c>
      <c r="U1167" s="1077">
        <f t="shared" si="90"/>
        <v>10</v>
      </c>
      <c r="V1167" s="1077">
        <v>48</v>
      </c>
      <c r="W1167" s="1077">
        <f t="array" ref="W1167">SUMPRODUCT(IF('卡片raw data'!BM$1:BM$1000=T1167,1,0),IF('卡片raw data'!BO$1:BO$1000=V1167,1,0),IF(IF('卡片raw data'!C$1:C$1000=R$3,1,0)+IF(R$3="",1,0)&gt;=1,1,0),IF(IF('卡片raw data'!D$1:D$1000=R$4,1,0)+IF(R$4="",1,0)&gt;=1,1,0),IF(IF('卡片raw data'!E$1:E$1000=R$5,1,0)+IF(R$5="",1,0)&gt;=1,1,0))</f>
        <v>0</v>
      </c>
      <c r="Y1167" s="1307">
        <f t="shared" si="91"/>
        <v>48</v>
      </c>
      <c r="Z1167" s="1307">
        <f t="shared" si="92"/>
        <v>0</v>
      </c>
      <c r="AA1167" s="1307">
        <f t="shared" si="93"/>
        <v>48</v>
      </c>
      <c r="AB1167" s="1307">
        <f t="shared" si="94"/>
        <v>0</v>
      </c>
    </row>
    <row r="1168" spans="20:28">
      <c r="T1168" s="1077">
        <v>43</v>
      </c>
      <c r="U1168" s="1077">
        <f t="shared" si="90"/>
        <v>47</v>
      </c>
      <c r="V1168" s="1077">
        <v>10</v>
      </c>
      <c r="W1168" s="1077">
        <f t="array" ref="W1168">SUMPRODUCT(IF('卡片raw data'!BM$1:BM$1000=T1168,1,0),IF('卡片raw data'!BO$1:BO$1000=V1168,1,0),IF(IF('卡片raw data'!C$1:C$1000=R$3,1,0)+IF(R$3="",1,0)&gt;=1,1,0),IF(IF('卡片raw data'!D$1:D$1000=R$4,1,0)+IF(R$4="",1,0)&gt;=1,1,0),IF(IF('卡片raw data'!E$1:E$1000=R$5,1,0)+IF(R$5="",1,0)&gt;=1,1,0))</f>
        <v>0</v>
      </c>
      <c r="Y1168" s="1307">
        <f t="shared" si="91"/>
        <v>10</v>
      </c>
      <c r="Z1168" s="1307">
        <f t="shared" si="92"/>
        <v>0</v>
      </c>
      <c r="AA1168" s="1307">
        <f t="shared" si="93"/>
        <v>10</v>
      </c>
      <c r="AB1168" s="1307">
        <f t="shared" si="94"/>
        <v>0</v>
      </c>
    </row>
    <row r="1169" spans="20:28">
      <c r="T1169" s="1077">
        <v>43</v>
      </c>
      <c r="U1169" s="1077">
        <f t="shared" si="90"/>
        <v>46</v>
      </c>
      <c r="V1169" s="1077">
        <v>11</v>
      </c>
      <c r="W1169" s="1077">
        <f t="array" ref="W1169">SUMPRODUCT(IF('卡片raw data'!BM$1:BM$1000=T1169,1,0),IF('卡片raw data'!BO$1:BO$1000=V1169,1,0),IF(IF('卡片raw data'!C$1:C$1000=R$3,1,0)+IF(R$3="",1,0)&gt;=1,1,0),IF(IF('卡片raw data'!D$1:D$1000=R$4,1,0)+IF(R$4="",1,0)&gt;=1,1,0),IF(IF('卡片raw data'!E$1:E$1000=R$5,1,0)+IF(R$5="",1,0)&gt;=1,1,0))</f>
        <v>0</v>
      </c>
      <c r="Y1169" s="1307">
        <f t="shared" si="91"/>
        <v>11</v>
      </c>
      <c r="Z1169" s="1307">
        <f t="shared" si="92"/>
        <v>0</v>
      </c>
      <c r="AA1169" s="1307">
        <f t="shared" si="93"/>
        <v>11</v>
      </c>
      <c r="AB1169" s="1307">
        <f t="shared" si="94"/>
        <v>0</v>
      </c>
    </row>
    <row r="1170" spans="20:28">
      <c r="T1170" s="1077">
        <v>43</v>
      </c>
      <c r="U1170" s="1077">
        <f t="shared" si="90"/>
        <v>45</v>
      </c>
      <c r="V1170" s="1077">
        <v>12</v>
      </c>
      <c r="W1170" s="1077">
        <f t="array" ref="W1170">SUMPRODUCT(IF('卡片raw data'!BM$1:BM$1000=T1170,1,0),IF('卡片raw data'!BO$1:BO$1000=V1170,1,0),IF(IF('卡片raw data'!C$1:C$1000=R$3,1,0)+IF(R$3="",1,0)&gt;=1,1,0),IF(IF('卡片raw data'!D$1:D$1000=R$4,1,0)+IF(R$4="",1,0)&gt;=1,1,0),IF(IF('卡片raw data'!E$1:E$1000=R$5,1,0)+IF(R$5="",1,0)&gt;=1,1,0))</f>
        <v>0</v>
      </c>
      <c r="Y1170" s="1307">
        <f t="shared" si="91"/>
        <v>12</v>
      </c>
      <c r="Z1170" s="1307">
        <f t="shared" si="92"/>
        <v>0</v>
      </c>
      <c r="AA1170" s="1307">
        <f t="shared" si="93"/>
        <v>12</v>
      </c>
      <c r="AB1170" s="1307">
        <f t="shared" si="94"/>
        <v>0</v>
      </c>
    </row>
    <row r="1171" spans="20:28">
      <c r="T1171" s="1077">
        <v>43</v>
      </c>
      <c r="U1171" s="1077">
        <f t="shared" si="90"/>
        <v>44</v>
      </c>
      <c r="V1171" s="1077">
        <v>13</v>
      </c>
      <c r="W1171" s="1077">
        <f t="array" ref="W1171">SUMPRODUCT(IF('卡片raw data'!BM$1:BM$1000=T1171,1,0),IF('卡片raw data'!BO$1:BO$1000=V1171,1,0),IF(IF('卡片raw data'!C$1:C$1000=R$3,1,0)+IF(R$3="",1,0)&gt;=1,1,0),IF(IF('卡片raw data'!D$1:D$1000=R$4,1,0)+IF(R$4="",1,0)&gt;=1,1,0),IF(IF('卡片raw data'!E$1:E$1000=R$5,1,0)+IF(R$5="",1,0)&gt;=1,1,0))</f>
        <v>0</v>
      </c>
      <c r="Y1171" s="1307">
        <f t="shared" si="91"/>
        <v>13</v>
      </c>
      <c r="Z1171" s="1307">
        <f t="shared" si="92"/>
        <v>0</v>
      </c>
      <c r="AA1171" s="1307">
        <f t="shared" si="93"/>
        <v>13</v>
      </c>
      <c r="AB1171" s="1307">
        <f t="shared" si="94"/>
        <v>0</v>
      </c>
    </row>
    <row r="1172" spans="20:28">
      <c r="T1172" s="1077">
        <v>43</v>
      </c>
      <c r="U1172" s="1077">
        <f t="shared" si="90"/>
        <v>43</v>
      </c>
      <c r="V1172" s="1077">
        <v>14</v>
      </c>
      <c r="W1172" s="1077">
        <f t="array" ref="W1172">SUMPRODUCT(IF('卡片raw data'!BM$1:BM$1000=T1172,1,0),IF('卡片raw data'!BO$1:BO$1000=V1172,1,0),IF(IF('卡片raw data'!C$1:C$1000=R$3,1,0)+IF(R$3="",1,0)&gt;=1,1,0),IF(IF('卡片raw data'!D$1:D$1000=R$4,1,0)+IF(R$4="",1,0)&gt;=1,1,0),IF(IF('卡片raw data'!E$1:E$1000=R$5,1,0)+IF(R$5="",1,0)&gt;=1,1,0))</f>
        <v>0</v>
      </c>
      <c r="Y1172" s="1307">
        <f t="shared" si="91"/>
        <v>14</v>
      </c>
      <c r="Z1172" s="1307">
        <f t="shared" si="92"/>
        <v>0</v>
      </c>
      <c r="AA1172" s="1307">
        <f t="shared" si="93"/>
        <v>14</v>
      </c>
      <c r="AB1172" s="1307">
        <f t="shared" si="94"/>
        <v>0</v>
      </c>
    </row>
    <row r="1173" spans="20:28">
      <c r="T1173" s="1077">
        <v>43</v>
      </c>
      <c r="U1173" s="1077">
        <f t="shared" si="90"/>
        <v>42</v>
      </c>
      <c r="V1173" s="1077">
        <v>15</v>
      </c>
      <c r="W1173" s="1077">
        <f t="array" ref="W1173">SUMPRODUCT(IF('卡片raw data'!BM$1:BM$1000=T1173,1,0),IF('卡片raw data'!BO$1:BO$1000=V1173,1,0),IF(IF('卡片raw data'!C$1:C$1000=R$3,1,0)+IF(R$3="",1,0)&gt;=1,1,0),IF(IF('卡片raw data'!D$1:D$1000=R$4,1,0)+IF(R$4="",1,0)&gt;=1,1,0),IF(IF('卡片raw data'!E$1:E$1000=R$5,1,0)+IF(R$5="",1,0)&gt;=1,1,0))</f>
        <v>0</v>
      </c>
      <c r="Y1173" s="1307">
        <f t="shared" si="91"/>
        <v>15</v>
      </c>
      <c r="Z1173" s="1307">
        <f t="shared" si="92"/>
        <v>0</v>
      </c>
      <c r="AA1173" s="1307">
        <f t="shared" si="93"/>
        <v>15</v>
      </c>
      <c r="AB1173" s="1307">
        <f t="shared" si="94"/>
        <v>0</v>
      </c>
    </row>
    <row r="1174" spans="20:28">
      <c r="T1174" s="1077">
        <v>43</v>
      </c>
      <c r="U1174" s="1077">
        <f t="shared" si="90"/>
        <v>41</v>
      </c>
      <c r="V1174" s="1077">
        <v>16</v>
      </c>
      <c r="W1174" s="1077">
        <f t="array" ref="W1174">SUMPRODUCT(IF('卡片raw data'!BM$1:BM$1000=T1174,1,0),IF('卡片raw data'!BO$1:BO$1000=V1174,1,0),IF(IF('卡片raw data'!C$1:C$1000=R$3,1,0)+IF(R$3="",1,0)&gt;=1,1,0),IF(IF('卡片raw data'!D$1:D$1000=R$4,1,0)+IF(R$4="",1,0)&gt;=1,1,0),IF(IF('卡片raw data'!E$1:E$1000=R$5,1,0)+IF(R$5="",1,0)&gt;=1,1,0))</f>
        <v>0</v>
      </c>
      <c r="Y1174" s="1307">
        <f t="shared" si="91"/>
        <v>16</v>
      </c>
      <c r="Z1174" s="1307">
        <f t="shared" si="92"/>
        <v>0</v>
      </c>
      <c r="AA1174" s="1307">
        <f t="shared" si="93"/>
        <v>16</v>
      </c>
      <c r="AB1174" s="1307">
        <f t="shared" si="94"/>
        <v>0</v>
      </c>
    </row>
    <row r="1175" spans="20:28">
      <c r="T1175" s="1077">
        <v>43</v>
      </c>
      <c r="U1175" s="1077">
        <f t="shared" si="90"/>
        <v>40</v>
      </c>
      <c r="V1175" s="1077">
        <v>17</v>
      </c>
      <c r="W1175" s="1077">
        <f t="array" ref="W1175">SUMPRODUCT(IF('卡片raw data'!BM$1:BM$1000=T1175,1,0),IF('卡片raw data'!BO$1:BO$1000=V1175,1,0),IF(IF('卡片raw data'!C$1:C$1000=R$3,1,0)+IF(R$3="",1,0)&gt;=1,1,0),IF(IF('卡片raw data'!D$1:D$1000=R$4,1,0)+IF(R$4="",1,0)&gt;=1,1,0),IF(IF('卡片raw data'!E$1:E$1000=R$5,1,0)+IF(R$5="",1,0)&gt;=1,1,0))</f>
        <v>0</v>
      </c>
      <c r="Y1175" s="1307">
        <f t="shared" si="91"/>
        <v>17</v>
      </c>
      <c r="Z1175" s="1307">
        <f t="shared" si="92"/>
        <v>0</v>
      </c>
      <c r="AA1175" s="1307">
        <f t="shared" si="93"/>
        <v>17</v>
      </c>
      <c r="AB1175" s="1307">
        <f t="shared" si="94"/>
        <v>0</v>
      </c>
    </row>
    <row r="1176" spans="20:28">
      <c r="T1176" s="1077">
        <v>43</v>
      </c>
      <c r="U1176" s="1077">
        <f t="shared" si="90"/>
        <v>39</v>
      </c>
      <c r="V1176" s="1077">
        <v>18</v>
      </c>
      <c r="W1176" s="1077">
        <f t="array" ref="W1176">SUMPRODUCT(IF('卡片raw data'!BM$1:BM$1000=T1176,1,0),IF('卡片raw data'!BO$1:BO$1000=V1176,1,0),IF(IF('卡片raw data'!C$1:C$1000=R$3,1,0)+IF(R$3="",1,0)&gt;=1,1,0),IF(IF('卡片raw data'!D$1:D$1000=R$4,1,0)+IF(R$4="",1,0)&gt;=1,1,0),IF(IF('卡片raw data'!E$1:E$1000=R$5,1,0)+IF(R$5="",1,0)&gt;=1,1,0))</f>
        <v>0</v>
      </c>
      <c r="Y1176" s="1307">
        <f t="shared" si="91"/>
        <v>18</v>
      </c>
      <c r="Z1176" s="1307">
        <f t="shared" si="92"/>
        <v>0</v>
      </c>
      <c r="AA1176" s="1307">
        <f t="shared" si="93"/>
        <v>18</v>
      </c>
      <c r="AB1176" s="1307">
        <f t="shared" si="94"/>
        <v>0</v>
      </c>
    </row>
    <row r="1177" spans="20:28">
      <c r="T1177" s="1077">
        <v>43</v>
      </c>
      <c r="U1177" s="1077">
        <f t="shared" si="90"/>
        <v>38</v>
      </c>
      <c r="V1177" s="1077">
        <v>19</v>
      </c>
      <c r="W1177" s="1077">
        <f t="array" ref="W1177">SUMPRODUCT(IF('卡片raw data'!BM$1:BM$1000=T1177,1,0),IF('卡片raw data'!BO$1:BO$1000=V1177,1,0),IF(IF('卡片raw data'!C$1:C$1000=R$3,1,0)+IF(R$3="",1,0)&gt;=1,1,0),IF(IF('卡片raw data'!D$1:D$1000=R$4,1,0)+IF(R$4="",1,0)&gt;=1,1,0),IF(IF('卡片raw data'!E$1:E$1000=R$5,1,0)+IF(R$5="",1,0)&gt;=1,1,0))</f>
        <v>0</v>
      </c>
      <c r="Y1177" s="1307">
        <f t="shared" si="91"/>
        <v>19</v>
      </c>
      <c r="Z1177" s="1307">
        <f t="shared" si="92"/>
        <v>0</v>
      </c>
      <c r="AA1177" s="1307">
        <f t="shared" si="93"/>
        <v>19</v>
      </c>
      <c r="AB1177" s="1307">
        <f t="shared" si="94"/>
        <v>0</v>
      </c>
    </row>
    <row r="1178" spans="20:28">
      <c r="T1178" s="1077">
        <v>43</v>
      </c>
      <c r="U1178" s="1077">
        <f t="shared" si="90"/>
        <v>37</v>
      </c>
      <c r="V1178" s="1077">
        <v>20</v>
      </c>
      <c r="W1178" s="1077">
        <f t="array" ref="W1178">SUMPRODUCT(IF('卡片raw data'!BM$1:BM$1000=T1178,1,0),IF('卡片raw data'!BO$1:BO$1000=V1178,1,0),IF(IF('卡片raw data'!C$1:C$1000=R$3,1,0)+IF(R$3="",1,0)&gt;=1,1,0),IF(IF('卡片raw data'!D$1:D$1000=R$4,1,0)+IF(R$4="",1,0)&gt;=1,1,0),IF(IF('卡片raw data'!E$1:E$1000=R$5,1,0)+IF(R$5="",1,0)&gt;=1,1,0))</f>
        <v>0</v>
      </c>
      <c r="Y1178" s="1307">
        <f t="shared" si="91"/>
        <v>20</v>
      </c>
      <c r="Z1178" s="1307">
        <f t="shared" si="92"/>
        <v>0</v>
      </c>
      <c r="AA1178" s="1307">
        <f t="shared" si="93"/>
        <v>20</v>
      </c>
      <c r="AB1178" s="1307">
        <f t="shared" si="94"/>
        <v>0</v>
      </c>
    </row>
    <row r="1179" spans="20:28">
      <c r="T1179" s="1077">
        <v>43</v>
      </c>
      <c r="U1179" s="1077">
        <f t="shared" si="90"/>
        <v>36</v>
      </c>
      <c r="V1179" s="1077">
        <v>21</v>
      </c>
      <c r="W1179" s="1077">
        <f t="array" ref="W1179">SUMPRODUCT(IF('卡片raw data'!BM$1:BM$1000=T1179,1,0),IF('卡片raw data'!BO$1:BO$1000=V1179,1,0),IF(IF('卡片raw data'!C$1:C$1000=R$3,1,0)+IF(R$3="",1,0)&gt;=1,1,0),IF(IF('卡片raw data'!D$1:D$1000=R$4,1,0)+IF(R$4="",1,0)&gt;=1,1,0),IF(IF('卡片raw data'!E$1:E$1000=R$5,1,0)+IF(R$5="",1,0)&gt;=1,1,0))</f>
        <v>0</v>
      </c>
      <c r="Y1179" s="1307">
        <f t="shared" si="91"/>
        <v>21</v>
      </c>
      <c r="Z1179" s="1307">
        <f t="shared" si="92"/>
        <v>0</v>
      </c>
      <c r="AA1179" s="1307">
        <f t="shared" si="93"/>
        <v>21</v>
      </c>
      <c r="AB1179" s="1307">
        <f t="shared" si="94"/>
        <v>0</v>
      </c>
    </row>
    <row r="1180" spans="20:28">
      <c r="T1180" s="1077">
        <v>43</v>
      </c>
      <c r="U1180" s="1077">
        <f t="shared" si="90"/>
        <v>35</v>
      </c>
      <c r="V1180" s="1077">
        <v>22</v>
      </c>
      <c r="W1180" s="1077">
        <f t="array" ref="W1180">SUMPRODUCT(IF('卡片raw data'!BM$1:BM$1000=T1180,1,0),IF('卡片raw data'!BO$1:BO$1000=V1180,1,0),IF(IF('卡片raw data'!C$1:C$1000=R$3,1,0)+IF(R$3="",1,0)&gt;=1,1,0),IF(IF('卡片raw data'!D$1:D$1000=R$4,1,0)+IF(R$4="",1,0)&gt;=1,1,0),IF(IF('卡片raw data'!E$1:E$1000=R$5,1,0)+IF(R$5="",1,0)&gt;=1,1,0))</f>
        <v>0</v>
      </c>
      <c r="Y1180" s="1307">
        <f t="shared" si="91"/>
        <v>22</v>
      </c>
      <c r="Z1180" s="1307">
        <f t="shared" si="92"/>
        <v>0</v>
      </c>
      <c r="AA1180" s="1307">
        <f t="shared" si="93"/>
        <v>22</v>
      </c>
      <c r="AB1180" s="1307">
        <f t="shared" si="94"/>
        <v>0</v>
      </c>
    </row>
    <row r="1181" spans="20:28">
      <c r="T1181" s="1077">
        <v>43</v>
      </c>
      <c r="U1181" s="1077">
        <f t="shared" si="90"/>
        <v>34</v>
      </c>
      <c r="V1181" s="1077">
        <v>23</v>
      </c>
      <c r="W1181" s="1077">
        <f t="array" ref="W1181">SUMPRODUCT(IF('卡片raw data'!BM$1:BM$1000=T1181,1,0),IF('卡片raw data'!BO$1:BO$1000=V1181,1,0),IF(IF('卡片raw data'!C$1:C$1000=R$3,1,0)+IF(R$3="",1,0)&gt;=1,1,0),IF(IF('卡片raw data'!D$1:D$1000=R$4,1,0)+IF(R$4="",1,0)&gt;=1,1,0),IF(IF('卡片raw data'!E$1:E$1000=R$5,1,0)+IF(R$5="",1,0)&gt;=1,1,0))</f>
        <v>0</v>
      </c>
      <c r="Y1181" s="1307">
        <f t="shared" si="91"/>
        <v>23</v>
      </c>
      <c r="Z1181" s="1307">
        <f t="shared" si="92"/>
        <v>0</v>
      </c>
      <c r="AA1181" s="1307">
        <f t="shared" si="93"/>
        <v>23</v>
      </c>
      <c r="AB1181" s="1307">
        <f t="shared" si="94"/>
        <v>0</v>
      </c>
    </row>
    <row r="1182" spans="20:28">
      <c r="T1182" s="1077">
        <v>43</v>
      </c>
      <c r="U1182" s="1077">
        <f t="shared" si="90"/>
        <v>33</v>
      </c>
      <c r="V1182" s="1077">
        <v>24</v>
      </c>
      <c r="W1182" s="1077">
        <f t="array" ref="W1182">SUMPRODUCT(IF('卡片raw data'!BM$1:BM$1000=T1182,1,0),IF('卡片raw data'!BO$1:BO$1000=V1182,1,0),IF(IF('卡片raw data'!C$1:C$1000=R$3,1,0)+IF(R$3="",1,0)&gt;=1,1,0),IF(IF('卡片raw data'!D$1:D$1000=R$4,1,0)+IF(R$4="",1,0)&gt;=1,1,0),IF(IF('卡片raw data'!E$1:E$1000=R$5,1,0)+IF(R$5="",1,0)&gt;=1,1,0))</f>
        <v>0</v>
      </c>
      <c r="Y1182" s="1307">
        <f t="shared" si="91"/>
        <v>24</v>
      </c>
      <c r="Z1182" s="1307">
        <f t="shared" si="92"/>
        <v>0</v>
      </c>
      <c r="AA1182" s="1307">
        <f t="shared" si="93"/>
        <v>24</v>
      </c>
      <c r="AB1182" s="1307">
        <f t="shared" si="94"/>
        <v>0</v>
      </c>
    </row>
    <row r="1183" spans="20:28">
      <c r="T1183" s="1077">
        <v>43</v>
      </c>
      <c r="U1183" s="1077">
        <f t="shared" si="90"/>
        <v>32</v>
      </c>
      <c r="V1183" s="1077">
        <v>25</v>
      </c>
      <c r="W1183" s="1077">
        <f t="array" ref="W1183">SUMPRODUCT(IF('卡片raw data'!BM$1:BM$1000=T1183,1,0),IF('卡片raw data'!BO$1:BO$1000=V1183,1,0),IF(IF('卡片raw data'!C$1:C$1000=R$3,1,0)+IF(R$3="",1,0)&gt;=1,1,0),IF(IF('卡片raw data'!D$1:D$1000=R$4,1,0)+IF(R$4="",1,0)&gt;=1,1,0),IF(IF('卡片raw data'!E$1:E$1000=R$5,1,0)+IF(R$5="",1,0)&gt;=1,1,0))</f>
        <v>0</v>
      </c>
      <c r="Y1183" s="1307">
        <f t="shared" si="91"/>
        <v>25</v>
      </c>
      <c r="Z1183" s="1307">
        <f t="shared" si="92"/>
        <v>0</v>
      </c>
      <c r="AA1183" s="1307">
        <f t="shared" si="93"/>
        <v>25</v>
      </c>
      <c r="AB1183" s="1307">
        <f t="shared" si="94"/>
        <v>0</v>
      </c>
    </row>
    <row r="1184" spans="20:28">
      <c r="T1184" s="1077">
        <v>43</v>
      </c>
      <c r="U1184" s="1077">
        <f t="shared" si="90"/>
        <v>31</v>
      </c>
      <c r="V1184" s="1077">
        <v>26</v>
      </c>
      <c r="W1184" s="1077">
        <f t="array" ref="W1184">SUMPRODUCT(IF('卡片raw data'!BM$1:BM$1000=T1184,1,0),IF('卡片raw data'!BO$1:BO$1000=V1184,1,0),IF(IF('卡片raw data'!C$1:C$1000=R$3,1,0)+IF(R$3="",1,0)&gt;=1,1,0),IF(IF('卡片raw data'!D$1:D$1000=R$4,1,0)+IF(R$4="",1,0)&gt;=1,1,0),IF(IF('卡片raw data'!E$1:E$1000=R$5,1,0)+IF(R$5="",1,0)&gt;=1,1,0))</f>
        <v>0</v>
      </c>
      <c r="Y1184" s="1307">
        <f t="shared" si="91"/>
        <v>26</v>
      </c>
      <c r="Z1184" s="1307">
        <f t="shared" si="92"/>
        <v>0</v>
      </c>
      <c r="AA1184" s="1307">
        <f t="shared" si="93"/>
        <v>26</v>
      </c>
      <c r="AB1184" s="1307">
        <f t="shared" si="94"/>
        <v>0</v>
      </c>
    </row>
    <row r="1185" spans="20:28">
      <c r="T1185" s="1077">
        <v>43</v>
      </c>
      <c r="U1185" s="1077">
        <f t="shared" si="90"/>
        <v>30</v>
      </c>
      <c r="V1185" s="1077">
        <v>27</v>
      </c>
      <c r="W1185" s="1077">
        <f t="array" ref="W1185">SUMPRODUCT(IF('卡片raw data'!BM$1:BM$1000=T1185,1,0),IF('卡片raw data'!BO$1:BO$1000=V1185,1,0),IF(IF('卡片raw data'!C$1:C$1000=R$3,1,0)+IF(R$3="",1,0)&gt;=1,1,0),IF(IF('卡片raw data'!D$1:D$1000=R$4,1,0)+IF(R$4="",1,0)&gt;=1,1,0),IF(IF('卡片raw data'!E$1:E$1000=R$5,1,0)+IF(R$5="",1,0)&gt;=1,1,0))</f>
        <v>0</v>
      </c>
      <c r="Y1185" s="1307">
        <f t="shared" si="91"/>
        <v>27</v>
      </c>
      <c r="Z1185" s="1307">
        <f t="shared" si="92"/>
        <v>0</v>
      </c>
      <c r="AA1185" s="1307">
        <f t="shared" si="93"/>
        <v>27</v>
      </c>
      <c r="AB1185" s="1307">
        <f t="shared" si="94"/>
        <v>0</v>
      </c>
    </row>
    <row r="1186" spans="20:28">
      <c r="T1186" s="1077">
        <v>43</v>
      </c>
      <c r="U1186" s="1077">
        <f t="shared" si="90"/>
        <v>29</v>
      </c>
      <c r="V1186" s="1077">
        <v>28</v>
      </c>
      <c r="W1186" s="1077">
        <f t="array" ref="W1186">SUMPRODUCT(IF('卡片raw data'!BM$1:BM$1000=T1186,1,0),IF('卡片raw data'!BO$1:BO$1000=V1186,1,0),IF(IF('卡片raw data'!C$1:C$1000=R$3,1,0)+IF(R$3="",1,0)&gt;=1,1,0),IF(IF('卡片raw data'!D$1:D$1000=R$4,1,0)+IF(R$4="",1,0)&gt;=1,1,0),IF(IF('卡片raw data'!E$1:E$1000=R$5,1,0)+IF(R$5="",1,0)&gt;=1,1,0))</f>
        <v>0</v>
      </c>
      <c r="Y1186" s="1307">
        <f t="shared" si="91"/>
        <v>28</v>
      </c>
      <c r="Z1186" s="1307">
        <f t="shared" si="92"/>
        <v>0</v>
      </c>
      <c r="AA1186" s="1307">
        <f t="shared" si="93"/>
        <v>28</v>
      </c>
      <c r="AB1186" s="1307">
        <f t="shared" si="94"/>
        <v>0</v>
      </c>
    </row>
    <row r="1187" spans="20:28">
      <c r="T1187" s="1077">
        <v>43</v>
      </c>
      <c r="U1187" s="1077">
        <f t="shared" si="90"/>
        <v>28</v>
      </c>
      <c r="V1187" s="1077">
        <v>29</v>
      </c>
      <c r="W1187" s="1077">
        <f t="array" ref="W1187">SUMPRODUCT(IF('卡片raw data'!BM$1:BM$1000=T1187,1,0),IF('卡片raw data'!BO$1:BO$1000=V1187,1,0),IF(IF('卡片raw data'!C$1:C$1000=R$3,1,0)+IF(R$3="",1,0)&gt;=1,1,0),IF(IF('卡片raw data'!D$1:D$1000=R$4,1,0)+IF(R$4="",1,0)&gt;=1,1,0),IF(IF('卡片raw data'!E$1:E$1000=R$5,1,0)+IF(R$5="",1,0)&gt;=1,1,0))</f>
        <v>0</v>
      </c>
      <c r="Y1187" s="1307">
        <f t="shared" si="91"/>
        <v>29</v>
      </c>
      <c r="Z1187" s="1307">
        <f t="shared" si="92"/>
        <v>0</v>
      </c>
      <c r="AA1187" s="1307">
        <f t="shared" si="93"/>
        <v>29</v>
      </c>
      <c r="AB1187" s="1307">
        <f t="shared" si="94"/>
        <v>0</v>
      </c>
    </row>
    <row r="1188" spans="20:28">
      <c r="T1188" s="1077">
        <v>43</v>
      </c>
      <c r="U1188" s="1077">
        <f t="shared" si="90"/>
        <v>27</v>
      </c>
      <c r="V1188" s="1077">
        <v>30</v>
      </c>
      <c r="W1188" s="1077">
        <f t="array" ref="W1188">SUMPRODUCT(IF('卡片raw data'!BM$1:BM$1000=T1188,1,0),IF('卡片raw data'!BO$1:BO$1000=V1188,1,0),IF(IF('卡片raw data'!C$1:C$1000=R$3,1,0)+IF(R$3="",1,0)&gt;=1,1,0),IF(IF('卡片raw data'!D$1:D$1000=R$4,1,0)+IF(R$4="",1,0)&gt;=1,1,0),IF(IF('卡片raw data'!E$1:E$1000=R$5,1,0)+IF(R$5="",1,0)&gt;=1,1,0))</f>
        <v>0</v>
      </c>
      <c r="Y1188" s="1307">
        <f t="shared" si="91"/>
        <v>30</v>
      </c>
      <c r="Z1188" s="1307">
        <f t="shared" si="92"/>
        <v>0</v>
      </c>
      <c r="AA1188" s="1307">
        <f t="shared" si="93"/>
        <v>30</v>
      </c>
      <c r="AB1188" s="1307">
        <f t="shared" si="94"/>
        <v>0</v>
      </c>
    </row>
    <row r="1189" spans="20:28">
      <c r="T1189" s="1077">
        <v>43</v>
      </c>
      <c r="U1189" s="1077">
        <f t="shared" si="90"/>
        <v>26</v>
      </c>
      <c r="V1189" s="1077">
        <v>31</v>
      </c>
      <c r="W1189" s="1077">
        <f t="array" ref="W1189">SUMPRODUCT(IF('卡片raw data'!BM$1:BM$1000=T1189,1,0),IF('卡片raw data'!BO$1:BO$1000=V1189,1,0),IF(IF('卡片raw data'!C$1:C$1000=R$3,1,0)+IF(R$3="",1,0)&gt;=1,1,0),IF(IF('卡片raw data'!D$1:D$1000=R$4,1,0)+IF(R$4="",1,0)&gt;=1,1,0),IF(IF('卡片raw data'!E$1:E$1000=R$5,1,0)+IF(R$5="",1,0)&gt;=1,1,0))</f>
        <v>3</v>
      </c>
      <c r="Y1189" s="1307">
        <f t="shared" si="91"/>
        <v>31</v>
      </c>
      <c r="Z1189" s="1307">
        <f t="shared" si="92"/>
        <v>0</v>
      </c>
      <c r="AA1189" s="1307">
        <f t="shared" si="93"/>
        <v>31</v>
      </c>
      <c r="AB1189" s="1307">
        <f t="shared" si="94"/>
        <v>3</v>
      </c>
    </row>
    <row r="1190" spans="20:28">
      <c r="T1190" s="1077">
        <v>43</v>
      </c>
      <c r="U1190" s="1077">
        <f t="shared" si="90"/>
        <v>25</v>
      </c>
      <c r="V1190" s="1077">
        <v>32</v>
      </c>
      <c r="W1190" s="1077">
        <f t="array" ref="W1190">SUMPRODUCT(IF('卡片raw data'!BM$1:BM$1000=T1190,1,0),IF('卡片raw data'!BO$1:BO$1000=V1190,1,0),IF(IF('卡片raw data'!C$1:C$1000=R$3,1,0)+IF(R$3="",1,0)&gt;=1,1,0),IF(IF('卡片raw data'!D$1:D$1000=R$4,1,0)+IF(R$4="",1,0)&gt;=1,1,0),IF(IF('卡片raw data'!E$1:E$1000=R$5,1,0)+IF(R$5="",1,0)&gt;=1,1,0))</f>
        <v>2</v>
      </c>
      <c r="Y1190" s="1307">
        <f t="shared" si="91"/>
        <v>32</v>
      </c>
      <c r="Z1190" s="1307">
        <f t="shared" si="92"/>
        <v>0</v>
      </c>
      <c r="AA1190" s="1307">
        <f t="shared" si="93"/>
        <v>32</v>
      </c>
      <c r="AB1190" s="1307">
        <f t="shared" si="94"/>
        <v>2</v>
      </c>
    </row>
    <row r="1191" spans="20:28">
      <c r="T1191" s="1077">
        <v>43</v>
      </c>
      <c r="U1191" s="1077">
        <f t="shared" si="90"/>
        <v>24</v>
      </c>
      <c r="V1191" s="1077">
        <v>33</v>
      </c>
      <c r="W1191" s="1077">
        <f t="array" ref="W1191">SUMPRODUCT(IF('卡片raw data'!BM$1:BM$1000=T1191,1,0),IF('卡片raw data'!BO$1:BO$1000=V1191,1,0),IF(IF('卡片raw data'!C$1:C$1000=R$3,1,0)+IF(R$3="",1,0)&gt;=1,1,0),IF(IF('卡片raw data'!D$1:D$1000=R$4,1,0)+IF(R$4="",1,0)&gt;=1,1,0),IF(IF('卡片raw data'!E$1:E$1000=R$5,1,0)+IF(R$5="",1,0)&gt;=1,1,0))</f>
        <v>0</v>
      </c>
      <c r="Y1191" s="1307">
        <f t="shared" si="91"/>
        <v>33</v>
      </c>
      <c r="Z1191" s="1307">
        <f t="shared" si="92"/>
        <v>0</v>
      </c>
      <c r="AA1191" s="1307">
        <f t="shared" si="93"/>
        <v>33</v>
      </c>
      <c r="AB1191" s="1307">
        <f t="shared" si="94"/>
        <v>0</v>
      </c>
    </row>
    <row r="1192" spans="20:28">
      <c r="T1192" s="1077">
        <v>43</v>
      </c>
      <c r="U1192" s="1077">
        <f t="shared" si="90"/>
        <v>23</v>
      </c>
      <c r="V1192" s="1077">
        <v>34</v>
      </c>
      <c r="W1192" s="1077">
        <f t="array" ref="W1192">SUMPRODUCT(IF('卡片raw data'!BM$1:BM$1000=T1192,1,0),IF('卡片raw data'!BO$1:BO$1000=V1192,1,0),IF(IF('卡片raw data'!C$1:C$1000=R$3,1,0)+IF(R$3="",1,0)&gt;=1,1,0),IF(IF('卡片raw data'!D$1:D$1000=R$4,1,0)+IF(R$4="",1,0)&gt;=1,1,0),IF(IF('卡片raw data'!E$1:E$1000=R$5,1,0)+IF(R$5="",1,0)&gt;=1,1,0))</f>
        <v>1</v>
      </c>
      <c r="Y1192" s="1307">
        <f t="shared" si="91"/>
        <v>34</v>
      </c>
      <c r="Z1192" s="1307">
        <f t="shared" si="92"/>
        <v>0</v>
      </c>
      <c r="AA1192" s="1307">
        <f t="shared" si="93"/>
        <v>34</v>
      </c>
      <c r="AB1192" s="1307">
        <f t="shared" si="94"/>
        <v>1</v>
      </c>
    </row>
    <row r="1193" spans="20:28">
      <c r="T1193" s="1077">
        <v>43</v>
      </c>
      <c r="U1193" s="1077">
        <f t="shared" si="90"/>
        <v>22</v>
      </c>
      <c r="V1193" s="1077">
        <v>35</v>
      </c>
      <c r="W1193" s="1077">
        <f t="array" ref="W1193">SUMPRODUCT(IF('卡片raw data'!BM$1:BM$1000=T1193,1,0),IF('卡片raw data'!BO$1:BO$1000=V1193,1,0),IF(IF('卡片raw data'!C$1:C$1000=R$3,1,0)+IF(R$3="",1,0)&gt;=1,1,0),IF(IF('卡片raw data'!D$1:D$1000=R$4,1,0)+IF(R$4="",1,0)&gt;=1,1,0),IF(IF('卡片raw data'!E$1:E$1000=R$5,1,0)+IF(R$5="",1,0)&gt;=1,1,0))</f>
        <v>1</v>
      </c>
      <c r="Y1193" s="1307">
        <f t="shared" si="91"/>
        <v>35</v>
      </c>
      <c r="Z1193" s="1307">
        <f t="shared" si="92"/>
        <v>0</v>
      </c>
      <c r="AA1193" s="1307">
        <f t="shared" si="93"/>
        <v>35</v>
      </c>
      <c r="AB1193" s="1307">
        <f t="shared" si="94"/>
        <v>1</v>
      </c>
    </row>
    <row r="1194" spans="20:28">
      <c r="T1194" s="1077">
        <v>43</v>
      </c>
      <c r="U1194" s="1077">
        <f t="shared" si="90"/>
        <v>21</v>
      </c>
      <c r="V1194" s="1077">
        <v>36</v>
      </c>
      <c r="W1194" s="1077">
        <f t="array" ref="W1194">SUMPRODUCT(IF('卡片raw data'!BM$1:BM$1000=T1194,1,0),IF('卡片raw data'!BO$1:BO$1000=V1194,1,0),IF(IF('卡片raw data'!C$1:C$1000=R$3,1,0)+IF(R$3="",1,0)&gt;=1,1,0),IF(IF('卡片raw data'!D$1:D$1000=R$4,1,0)+IF(R$4="",1,0)&gt;=1,1,0),IF(IF('卡片raw data'!E$1:E$1000=R$5,1,0)+IF(R$5="",1,0)&gt;=1,1,0))</f>
        <v>2</v>
      </c>
      <c r="Y1194" s="1307">
        <f t="shared" si="91"/>
        <v>36</v>
      </c>
      <c r="Z1194" s="1307">
        <f t="shared" si="92"/>
        <v>0</v>
      </c>
      <c r="AA1194" s="1307">
        <f t="shared" si="93"/>
        <v>36</v>
      </c>
      <c r="AB1194" s="1307">
        <f t="shared" si="94"/>
        <v>2</v>
      </c>
    </row>
    <row r="1195" spans="20:28">
      <c r="T1195" s="1077">
        <v>43</v>
      </c>
      <c r="U1195" s="1077">
        <f t="shared" si="90"/>
        <v>20</v>
      </c>
      <c r="V1195" s="1077">
        <v>37</v>
      </c>
      <c r="W1195" s="1077">
        <f t="array" ref="W1195">SUMPRODUCT(IF('卡片raw data'!BM$1:BM$1000=T1195,1,0),IF('卡片raw data'!BO$1:BO$1000=V1195,1,0),IF(IF('卡片raw data'!C$1:C$1000=R$3,1,0)+IF(R$3="",1,0)&gt;=1,1,0),IF(IF('卡片raw data'!D$1:D$1000=R$4,1,0)+IF(R$4="",1,0)&gt;=1,1,0),IF(IF('卡片raw data'!E$1:E$1000=R$5,1,0)+IF(R$5="",1,0)&gt;=1,1,0))</f>
        <v>3</v>
      </c>
      <c r="Y1195" s="1307">
        <f t="shared" si="91"/>
        <v>37</v>
      </c>
      <c r="Z1195" s="1307">
        <f t="shared" si="92"/>
        <v>0</v>
      </c>
      <c r="AA1195" s="1307">
        <f t="shared" si="93"/>
        <v>37</v>
      </c>
      <c r="AB1195" s="1307">
        <f t="shared" si="94"/>
        <v>3</v>
      </c>
    </row>
    <row r="1196" spans="20:28">
      <c r="T1196" s="1077">
        <v>43</v>
      </c>
      <c r="U1196" s="1077">
        <f t="shared" si="90"/>
        <v>19</v>
      </c>
      <c r="V1196" s="1077">
        <v>38</v>
      </c>
      <c r="W1196" s="1077">
        <f t="array" ref="W1196">SUMPRODUCT(IF('卡片raw data'!BM$1:BM$1000=T1196,1,0),IF('卡片raw data'!BO$1:BO$1000=V1196,1,0),IF(IF('卡片raw data'!C$1:C$1000=R$3,1,0)+IF(R$3="",1,0)&gt;=1,1,0),IF(IF('卡片raw data'!D$1:D$1000=R$4,1,0)+IF(R$4="",1,0)&gt;=1,1,0),IF(IF('卡片raw data'!E$1:E$1000=R$5,1,0)+IF(R$5="",1,0)&gt;=1,1,0))</f>
        <v>3</v>
      </c>
      <c r="Y1196" s="1307">
        <f t="shared" si="91"/>
        <v>38</v>
      </c>
      <c r="Z1196" s="1307">
        <f t="shared" si="92"/>
        <v>0</v>
      </c>
      <c r="AA1196" s="1307">
        <f t="shared" si="93"/>
        <v>38</v>
      </c>
      <c r="AB1196" s="1307">
        <f t="shared" si="94"/>
        <v>3</v>
      </c>
    </row>
    <row r="1197" spans="20:28">
      <c r="T1197" s="1077">
        <v>43</v>
      </c>
      <c r="U1197" s="1077">
        <f t="shared" si="90"/>
        <v>18</v>
      </c>
      <c r="V1197" s="1077">
        <v>39</v>
      </c>
      <c r="W1197" s="1077">
        <f t="array" ref="W1197">SUMPRODUCT(IF('卡片raw data'!BM$1:BM$1000=T1197,1,0),IF('卡片raw data'!BO$1:BO$1000=V1197,1,0),IF(IF('卡片raw data'!C$1:C$1000=R$3,1,0)+IF(R$3="",1,0)&gt;=1,1,0),IF(IF('卡片raw data'!D$1:D$1000=R$4,1,0)+IF(R$4="",1,0)&gt;=1,1,0),IF(IF('卡片raw data'!E$1:E$1000=R$5,1,0)+IF(R$5="",1,0)&gt;=1,1,0))</f>
        <v>4</v>
      </c>
      <c r="Y1197" s="1307">
        <f t="shared" si="91"/>
        <v>39</v>
      </c>
      <c r="Z1197" s="1307">
        <f t="shared" si="92"/>
        <v>0</v>
      </c>
      <c r="AA1197" s="1307">
        <f t="shared" si="93"/>
        <v>39</v>
      </c>
      <c r="AB1197" s="1307">
        <f t="shared" si="94"/>
        <v>4</v>
      </c>
    </row>
    <row r="1198" spans="20:28">
      <c r="T1198" s="1077">
        <v>43</v>
      </c>
      <c r="U1198" s="1077">
        <f t="shared" si="90"/>
        <v>17</v>
      </c>
      <c r="V1198" s="1077">
        <v>40</v>
      </c>
      <c r="W1198" s="1077">
        <f t="array" ref="W1198">SUMPRODUCT(IF('卡片raw data'!BM$1:BM$1000=T1198,1,0),IF('卡片raw data'!BO$1:BO$1000=V1198,1,0),IF(IF('卡片raw data'!C$1:C$1000=R$3,1,0)+IF(R$3="",1,0)&gt;=1,1,0),IF(IF('卡片raw data'!D$1:D$1000=R$4,1,0)+IF(R$4="",1,0)&gt;=1,1,0),IF(IF('卡片raw data'!E$1:E$1000=R$5,1,0)+IF(R$5="",1,0)&gt;=1,1,0))</f>
        <v>1</v>
      </c>
      <c r="Y1198" s="1307">
        <f t="shared" si="91"/>
        <v>40</v>
      </c>
      <c r="Z1198" s="1307">
        <f t="shared" si="92"/>
        <v>0</v>
      </c>
      <c r="AA1198" s="1307">
        <f t="shared" si="93"/>
        <v>40</v>
      </c>
      <c r="AB1198" s="1307">
        <f t="shared" si="94"/>
        <v>1</v>
      </c>
    </row>
    <row r="1199" spans="20:28">
      <c r="T1199" s="1077">
        <v>43</v>
      </c>
      <c r="U1199" s="1077">
        <f t="shared" si="90"/>
        <v>16</v>
      </c>
      <c r="V1199" s="1077">
        <v>41</v>
      </c>
      <c r="W1199" s="1077">
        <f t="array" ref="W1199">SUMPRODUCT(IF('卡片raw data'!BM$1:BM$1000=T1199,1,0),IF('卡片raw data'!BO$1:BO$1000=V1199,1,0),IF(IF('卡片raw data'!C$1:C$1000=R$3,1,0)+IF(R$3="",1,0)&gt;=1,1,0),IF(IF('卡片raw data'!D$1:D$1000=R$4,1,0)+IF(R$4="",1,0)&gt;=1,1,0),IF(IF('卡片raw data'!E$1:E$1000=R$5,1,0)+IF(R$5="",1,0)&gt;=1,1,0))</f>
        <v>0</v>
      </c>
      <c r="Y1199" s="1307">
        <f t="shared" si="91"/>
        <v>41</v>
      </c>
      <c r="Z1199" s="1307">
        <f t="shared" si="92"/>
        <v>0</v>
      </c>
      <c r="AA1199" s="1307">
        <f t="shared" si="93"/>
        <v>41</v>
      </c>
      <c r="AB1199" s="1307">
        <f t="shared" si="94"/>
        <v>0</v>
      </c>
    </row>
    <row r="1200" spans="20:28">
      <c r="T1200" s="1077">
        <v>43</v>
      </c>
      <c r="U1200" s="1077">
        <f t="shared" si="90"/>
        <v>15</v>
      </c>
      <c r="V1200" s="1077">
        <v>42</v>
      </c>
      <c r="W1200" s="1077">
        <f t="array" ref="W1200">SUMPRODUCT(IF('卡片raw data'!BM$1:BM$1000=T1200,1,0),IF('卡片raw data'!BO$1:BO$1000=V1200,1,0),IF(IF('卡片raw data'!C$1:C$1000=R$3,1,0)+IF(R$3="",1,0)&gt;=1,1,0),IF(IF('卡片raw data'!D$1:D$1000=R$4,1,0)+IF(R$4="",1,0)&gt;=1,1,0),IF(IF('卡片raw data'!E$1:E$1000=R$5,1,0)+IF(R$5="",1,0)&gt;=1,1,0))</f>
        <v>0</v>
      </c>
      <c r="Y1200" s="1307">
        <f t="shared" si="91"/>
        <v>42</v>
      </c>
      <c r="Z1200" s="1307">
        <f t="shared" si="92"/>
        <v>0</v>
      </c>
      <c r="AA1200" s="1307">
        <f t="shared" si="93"/>
        <v>42</v>
      </c>
      <c r="AB1200" s="1307">
        <f t="shared" si="94"/>
        <v>0</v>
      </c>
    </row>
    <row r="1201" spans="20:28">
      <c r="T1201" s="1077">
        <v>43</v>
      </c>
      <c r="U1201" s="1077">
        <f t="shared" si="90"/>
        <v>14</v>
      </c>
      <c r="V1201" s="1077">
        <v>43</v>
      </c>
      <c r="W1201" s="1077">
        <f t="array" ref="W1201">SUMPRODUCT(IF('卡片raw data'!BM$1:BM$1000=T1201,1,0),IF('卡片raw data'!BO$1:BO$1000=V1201,1,0),IF(IF('卡片raw data'!C$1:C$1000=R$3,1,0)+IF(R$3="",1,0)&gt;=1,1,0),IF(IF('卡片raw data'!D$1:D$1000=R$4,1,0)+IF(R$4="",1,0)&gt;=1,1,0),IF(IF('卡片raw data'!E$1:E$1000=R$5,1,0)+IF(R$5="",1,0)&gt;=1,1,0))</f>
        <v>0</v>
      </c>
      <c r="Y1201" s="1307">
        <f t="shared" si="91"/>
        <v>43</v>
      </c>
      <c r="Z1201" s="1307">
        <f t="shared" si="92"/>
        <v>0</v>
      </c>
      <c r="AA1201" s="1307">
        <f t="shared" si="93"/>
        <v>43</v>
      </c>
      <c r="AB1201" s="1307">
        <f t="shared" si="94"/>
        <v>0</v>
      </c>
    </row>
    <row r="1202" spans="20:28">
      <c r="T1202" s="1077">
        <v>43</v>
      </c>
      <c r="U1202" s="1077">
        <f t="shared" si="90"/>
        <v>13</v>
      </c>
      <c r="V1202" s="1077">
        <v>44</v>
      </c>
      <c r="W1202" s="1077">
        <f t="array" ref="W1202">SUMPRODUCT(IF('卡片raw data'!BM$1:BM$1000=T1202,1,0),IF('卡片raw data'!BO$1:BO$1000=V1202,1,0),IF(IF('卡片raw data'!C$1:C$1000=R$3,1,0)+IF(R$3="",1,0)&gt;=1,1,0),IF(IF('卡片raw data'!D$1:D$1000=R$4,1,0)+IF(R$4="",1,0)&gt;=1,1,0),IF(IF('卡片raw data'!E$1:E$1000=R$5,1,0)+IF(R$5="",1,0)&gt;=1,1,0))</f>
        <v>0</v>
      </c>
      <c r="Y1202" s="1307">
        <f t="shared" si="91"/>
        <v>44</v>
      </c>
      <c r="Z1202" s="1307">
        <f t="shared" si="92"/>
        <v>0</v>
      </c>
      <c r="AA1202" s="1307">
        <f t="shared" si="93"/>
        <v>44</v>
      </c>
      <c r="AB1202" s="1307">
        <f t="shared" si="94"/>
        <v>0</v>
      </c>
    </row>
    <row r="1203" spans="20:28">
      <c r="T1203" s="1077">
        <v>43</v>
      </c>
      <c r="U1203" s="1077">
        <f t="shared" si="90"/>
        <v>12</v>
      </c>
      <c r="V1203" s="1077">
        <v>45</v>
      </c>
      <c r="W1203" s="1077">
        <f t="array" ref="W1203">SUMPRODUCT(IF('卡片raw data'!BM$1:BM$1000=T1203,1,0),IF('卡片raw data'!BO$1:BO$1000=V1203,1,0),IF(IF('卡片raw data'!C$1:C$1000=R$3,1,0)+IF(R$3="",1,0)&gt;=1,1,0),IF(IF('卡片raw data'!D$1:D$1000=R$4,1,0)+IF(R$4="",1,0)&gt;=1,1,0),IF(IF('卡片raw data'!E$1:E$1000=R$5,1,0)+IF(R$5="",1,0)&gt;=1,1,0))</f>
        <v>0</v>
      </c>
      <c r="Y1203" s="1307">
        <f t="shared" si="91"/>
        <v>45</v>
      </c>
      <c r="Z1203" s="1307">
        <f t="shared" si="92"/>
        <v>0</v>
      </c>
      <c r="AA1203" s="1307">
        <f t="shared" si="93"/>
        <v>45</v>
      </c>
      <c r="AB1203" s="1307">
        <f t="shared" si="94"/>
        <v>0</v>
      </c>
    </row>
    <row r="1204" spans="20:28">
      <c r="T1204" s="1077">
        <v>43</v>
      </c>
      <c r="U1204" s="1077">
        <f t="shared" si="90"/>
        <v>11</v>
      </c>
      <c r="V1204" s="1077">
        <v>46</v>
      </c>
      <c r="W1204" s="1077">
        <f t="array" ref="W1204">SUMPRODUCT(IF('卡片raw data'!BM$1:BM$1000=T1204,1,0),IF('卡片raw data'!BO$1:BO$1000=V1204,1,0),IF(IF('卡片raw data'!C$1:C$1000=R$3,1,0)+IF(R$3="",1,0)&gt;=1,1,0),IF(IF('卡片raw data'!D$1:D$1000=R$4,1,0)+IF(R$4="",1,0)&gt;=1,1,0),IF(IF('卡片raw data'!E$1:E$1000=R$5,1,0)+IF(R$5="",1,0)&gt;=1,1,0))</f>
        <v>0</v>
      </c>
      <c r="Y1204" s="1307">
        <f t="shared" si="91"/>
        <v>46</v>
      </c>
      <c r="Z1204" s="1307">
        <f t="shared" si="92"/>
        <v>0</v>
      </c>
      <c r="AA1204" s="1307">
        <f t="shared" si="93"/>
        <v>46</v>
      </c>
      <c r="AB1204" s="1307">
        <f t="shared" si="94"/>
        <v>0</v>
      </c>
    </row>
    <row r="1205" spans="20:28">
      <c r="T1205" s="1077">
        <v>43</v>
      </c>
      <c r="U1205" s="1077">
        <f t="shared" si="90"/>
        <v>10</v>
      </c>
      <c r="V1205" s="1077">
        <v>47</v>
      </c>
      <c r="W1205" s="1077">
        <f t="array" ref="W1205">SUMPRODUCT(IF('卡片raw data'!BM$1:BM$1000=T1205,1,0),IF('卡片raw data'!BO$1:BO$1000=V1205,1,0),IF(IF('卡片raw data'!C$1:C$1000=R$3,1,0)+IF(R$3="",1,0)&gt;=1,1,0),IF(IF('卡片raw data'!D$1:D$1000=R$4,1,0)+IF(R$4="",1,0)&gt;=1,1,0),IF(IF('卡片raw data'!E$1:E$1000=R$5,1,0)+IF(R$5="",1,0)&gt;=1,1,0))</f>
        <v>0</v>
      </c>
      <c r="Y1205" s="1307">
        <f t="shared" si="91"/>
        <v>47</v>
      </c>
      <c r="Z1205" s="1307">
        <f t="shared" si="92"/>
        <v>0</v>
      </c>
      <c r="AA1205" s="1307">
        <f t="shared" si="93"/>
        <v>47</v>
      </c>
      <c r="AB1205" s="1307">
        <f t="shared" si="94"/>
        <v>0</v>
      </c>
    </row>
    <row r="1206" spans="20:28">
      <c r="T1206" s="1077">
        <v>44</v>
      </c>
      <c r="U1206" s="1077">
        <f t="shared" si="90"/>
        <v>46</v>
      </c>
      <c r="V1206" s="1077">
        <v>10</v>
      </c>
      <c r="W1206" s="1077">
        <f t="array" ref="W1206">SUMPRODUCT(IF('卡片raw data'!BM$1:BM$1000=T1206,1,0),IF('卡片raw data'!BO$1:BO$1000=V1206,1,0),IF(IF('卡片raw data'!C$1:C$1000=R$3,1,0)+IF(R$3="",1,0)&gt;=1,1,0),IF(IF('卡片raw data'!D$1:D$1000=R$4,1,0)+IF(R$4="",1,0)&gt;=1,1,0),IF(IF('卡片raw data'!E$1:E$1000=R$5,1,0)+IF(R$5="",1,0)&gt;=1,1,0))</f>
        <v>0</v>
      </c>
      <c r="Y1206" s="1307">
        <f t="shared" si="91"/>
        <v>10</v>
      </c>
      <c r="Z1206" s="1307">
        <f t="shared" si="92"/>
        <v>0</v>
      </c>
      <c r="AA1206" s="1307">
        <f t="shared" si="93"/>
        <v>10</v>
      </c>
      <c r="AB1206" s="1307">
        <f t="shared" si="94"/>
        <v>0</v>
      </c>
    </row>
    <row r="1207" spans="20:28">
      <c r="T1207" s="1077">
        <v>44</v>
      </c>
      <c r="U1207" s="1077">
        <f t="shared" si="90"/>
        <v>45</v>
      </c>
      <c r="V1207" s="1077">
        <v>11</v>
      </c>
      <c r="W1207" s="1077">
        <f t="array" ref="W1207">SUMPRODUCT(IF('卡片raw data'!BM$1:BM$1000=T1207,1,0),IF('卡片raw data'!BO$1:BO$1000=V1207,1,0),IF(IF('卡片raw data'!C$1:C$1000=R$3,1,0)+IF(R$3="",1,0)&gt;=1,1,0),IF(IF('卡片raw data'!D$1:D$1000=R$4,1,0)+IF(R$4="",1,0)&gt;=1,1,0),IF(IF('卡片raw data'!E$1:E$1000=R$5,1,0)+IF(R$5="",1,0)&gt;=1,1,0))</f>
        <v>0</v>
      </c>
      <c r="Y1207" s="1307">
        <f t="shared" si="91"/>
        <v>11</v>
      </c>
      <c r="Z1207" s="1307">
        <f t="shared" si="92"/>
        <v>0</v>
      </c>
      <c r="AA1207" s="1307">
        <f t="shared" si="93"/>
        <v>11</v>
      </c>
      <c r="AB1207" s="1307">
        <f t="shared" si="94"/>
        <v>0</v>
      </c>
    </row>
    <row r="1208" spans="20:28">
      <c r="T1208" s="1077">
        <v>44</v>
      </c>
      <c r="U1208" s="1077">
        <f t="shared" si="90"/>
        <v>44</v>
      </c>
      <c r="V1208" s="1077">
        <v>12</v>
      </c>
      <c r="W1208" s="1077">
        <f t="array" ref="W1208">SUMPRODUCT(IF('卡片raw data'!BM$1:BM$1000=T1208,1,0),IF('卡片raw data'!BO$1:BO$1000=V1208,1,0),IF(IF('卡片raw data'!C$1:C$1000=R$3,1,0)+IF(R$3="",1,0)&gt;=1,1,0),IF(IF('卡片raw data'!D$1:D$1000=R$4,1,0)+IF(R$4="",1,0)&gt;=1,1,0),IF(IF('卡片raw data'!E$1:E$1000=R$5,1,0)+IF(R$5="",1,0)&gt;=1,1,0))</f>
        <v>0</v>
      </c>
      <c r="Y1208" s="1307">
        <f t="shared" si="91"/>
        <v>12</v>
      </c>
      <c r="Z1208" s="1307">
        <f t="shared" si="92"/>
        <v>0</v>
      </c>
      <c r="AA1208" s="1307">
        <f t="shared" si="93"/>
        <v>12</v>
      </c>
      <c r="AB1208" s="1307">
        <f t="shared" si="94"/>
        <v>0</v>
      </c>
    </row>
    <row r="1209" spans="20:28">
      <c r="T1209" s="1077">
        <v>44</v>
      </c>
      <c r="U1209" s="1077">
        <f t="shared" si="90"/>
        <v>43</v>
      </c>
      <c r="V1209" s="1077">
        <v>13</v>
      </c>
      <c r="W1209" s="1077">
        <f t="array" ref="W1209">SUMPRODUCT(IF('卡片raw data'!BM$1:BM$1000=T1209,1,0),IF('卡片raw data'!BO$1:BO$1000=V1209,1,0),IF(IF('卡片raw data'!C$1:C$1000=R$3,1,0)+IF(R$3="",1,0)&gt;=1,1,0),IF(IF('卡片raw data'!D$1:D$1000=R$4,1,0)+IF(R$4="",1,0)&gt;=1,1,0),IF(IF('卡片raw data'!E$1:E$1000=R$5,1,0)+IF(R$5="",1,0)&gt;=1,1,0))</f>
        <v>0</v>
      </c>
      <c r="Y1209" s="1307">
        <f t="shared" si="91"/>
        <v>13</v>
      </c>
      <c r="Z1209" s="1307">
        <f t="shared" si="92"/>
        <v>0</v>
      </c>
      <c r="AA1209" s="1307">
        <f t="shared" si="93"/>
        <v>13</v>
      </c>
      <c r="AB1209" s="1307">
        <f t="shared" si="94"/>
        <v>0</v>
      </c>
    </row>
    <row r="1210" spans="20:28">
      <c r="T1210" s="1077">
        <v>44</v>
      </c>
      <c r="U1210" s="1077">
        <f t="shared" si="90"/>
        <v>42</v>
      </c>
      <c r="V1210" s="1077">
        <v>14</v>
      </c>
      <c r="W1210" s="1077">
        <f t="array" ref="W1210">SUMPRODUCT(IF('卡片raw data'!BM$1:BM$1000=T1210,1,0),IF('卡片raw data'!BO$1:BO$1000=V1210,1,0),IF(IF('卡片raw data'!C$1:C$1000=R$3,1,0)+IF(R$3="",1,0)&gt;=1,1,0),IF(IF('卡片raw data'!D$1:D$1000=R$4,1,0)+IF(R$4="",1,0)&gt;=1,1,0),IF(IF('卡片raw data'!E$1:E$1000=R$5,1,0)+IF(R$5="",1,0)&gt;=1,1,0))</f>
        <v>0</v>
      </c>
      <c r="Y1210" s="1307">
        <f t="shared" si="91"/>
        <v>14</v>
      </c>
      <c r="Z1210" s="1307">
        <f t="shared" si="92"/>
        <v>0</v>
      </c>
      <c r="AA1210" s="1307">
        <f t="shared" si="93"/>
        <v>14</v>
      </c>
      <c r="AB1210" s="1307">
        <f t="shared" si="94"/>
        <v>0</v>
      </c>
    </row>
    <row r="1211" spans="20:28">
      <c r="T1211" s="1077">
        <v>44</v>
      </c>
      <c r="U1211" s="1077">
        <f t="shared" si="90"/>
        <v>41</v>
      </c>
      <c r="V1211" s="1077">
        <v>15</v>
      </c>
      <c r="W1211" s="1077">
        <f t="array" ref="W1211">SUMPRODUCT(IF('卡片raw data'!BM$1:BM$1000=T1211,1,0),IF('卡片raw data'!BO$1:BO$1000=V1211,1,0),IF(IF('卡片raw data'!C$1:C$1000=R$3,1,0)+IF(R$3="",1,0)&gt;=1,1,0),IF(IF('卡片raw data'!D$1:D$1000=R$4,1,0)+IF(R$4="",1,0)&gt;=1,1,0),IF(IF('卡片raw data'!E$1:E$1000=R$5,1,0)+IF(R$5="",1,0)&gt;=1,1,0))</f>
        <v>0</v>
      </c>
      <c r="Y1211" s="1307">
        <f t="shared" si="91"/>
        <v>15</v>
      </c>
      <c r="Z1211" s="1307">
        <f t="shared" si="92"/>
        <v>0</v>
      </c>
      <c r="AA1211" s="1307">
        <f t="shared" si="93"/>
        <v>15</v>
      </c>
      <c r="AB1211" s="1307">
        <f t="shared" si="94"/>
        <v>0</v>
      </c>
    </row>
    <row r="1212" spans="20:28">
      <c r="T1212" s="1077">
        <v>44</v>
      </c>
      <c r="U1212" s="1077">
        <f t="shared" si="90"/>
        <v>40</v>
      </c>
      <c r="V1212" s="1077">
        <v>16</v>
      </c>
      <c r="W1212" s="1077">
        <f t="array" ref="W1212">SUMPRODUCT(IF('卡片raw data'!BM$1:BM$1000=T1212,1,0),IF('卡片raw data'!BO$1:BO$1000=V1212,1,0),IF(IF('卡片raw data'!C$1:C$1000=R$3,1,0)+IF(R$3="",1,0)&gt;=1,1,0),IF(IF('卡片raw data'!D$1:D$1000=R$4,1,0)+IF(R$4="",1,0)&gt;=1,1,0),IF(IF('卡片raw data'!E$1:E$1000=R$5,1,0)+IF(R$5="",1,0)&gt;=1,1,0))</f>
        <v>0</v>
      </c>
      <c r="Y1212" s="1307">
        <f t="shared" si="91"/>
        <v>16</v>
      </c>
      <c r="Z1212" s="1307">
        <f t="shared" si="92"/>
        <v>0</v>
      </c>
      <c r="AA1212" s="1307">
        <f t="shared" si="93"/>
        <v>16</v>
      </c>
      <c r="AB1212" s="1307">
        <f t="shared" si="94"/>
        <v>0</v>
      </c>
    </row>
    <row r="1213" spans="20:28">
      <c r="T1213" s="1077">
        <v>44</v>
      </c>
      <c r="U1213" s="1077">
        <f t="shared" si="90"/>
        <v>39</v>
      </c>
      <c r="V1213" s="1077">
        <v>17</v>
      </c>
      <c r="W1213" s="1077">
        <f t="array" ref="W1213">SUMPRODUCT(IF('卡片raw data'!BM$1:BM$1000=T1213,1,0),IF('卡片raw data'!BO$1:BO$1000=V1213,1,0),IF(IF('卡片raw data'!C$1:C$1000=R$3,1,0)+IF(R$3="",1,0)&gt;=1,1,0),IF(IF('卡片raw data'!D$1:D$1000=R$4,1,0)+IF(R$4="",1,0)&gt;=1,1,0),IF(IF('卡片raw data'!E$1:E$1000=R$5,1,0)+IF(R$5="",1,0)&gt;=1,1,0))</f>
        <v>0</v>
      </c>
      <c r="Y1213" s="1307">
        <f t="shared" si="91"/>
        <v>17</v>
      </c>
      <c r="Z1213" s="1307">
        <f t="shared" si="92"/>
        <v>0</v>
      </c>
      <c r="AA1213" s="1307">
        <f t="shared" si="93"/>
        <v>17</v>
      </c>
      <c r="AB1213" s="1307">
        <f t="shared" si="94"/>
        <v>0</v>
      </c>
    </row>
    <row r="1214" spans="20:28">
      <c r="T1214" s="1077">
        <v>44</v>
      </c>
      <c r="U1214" s="1077">
        <f t="shared" si="90"/>
        <v>38</v>
      </c>
      <c r="V1214" s="1077">
        <v>18</v>
      </c>
      <c r="W1214" s="1077">
        <f t="array" ref="W1214">SUMPRODUCT(IF('卡片raw data'!BM$1:BM$1000=T1214,1,0),IF('卡片raw data'!BO$1:BO$1000=V1214,1,0),IF(IF('卡片raw data'!C$1:C$1000=R$3,1,0)+IF(R$3="",1,0)&gt;=1,1,0),IF(IF('卡片raw data'!D$1:D$1000=R$4,1,0)+IF(R$4="",1,0)&gt;=1,1,0),IF(IF('卡片raw data'!E$1:E$1000=R$5,1,0)+IF(R$5="",1,0)&gt;=1,1,0))</f>
        <v>0</v>
      </c>
      <c r="Y1214" s="1307">
        <f t="shared" si="91"/>
        <v>18</v>
      </c>
      <c r="Z1214" s="1307">
        <f t="shared" si="92"/>
        <v>0</v>
      </c>
      <c r="AA1214" s="1307">
        <f t="shared" si="93"/>
        <v>18</v>
      </c>
      <c r="AB1214" s="1307">
        <f t="shared" si="94"/>
        <v>0</v>
      </c>
    </row>
    <row r="1215" spans="20:28">
      <c r="T1215" s="1077">
        <v>44</v>
      </c>
      <c r="U1215" s="1077">
        <f t="shared" si="90"/>
        <v>37</v>
      </c>
      <c r="V1215" s="1077">
        <v>19</v>
      </c>
      <c r="W1215" s="1077">
        <f t="array" ref="W1215">SUMPRODUCT(IF('卡片raw data'!BM$1:BM$1000=T1215,1,0),IF('卡片raw data'!BO$1:BO$1000=V1215,1,0),IF(IF('卡片raw data'!C$1:C$1000=R$3,1,0)+IF(R$3="",1,0)&gt;=1,1,0),IF(IF('卡片raw data'!D$1:D$1000=R$4,1,0)+IF(R$4="",1,0)&gt;=1,1,0),IF(IF('卡片raw data'!E$1:E$1000=R$5,1,0)+IF(R$5="",1,0)&gt;=1,1,0))</f>
        <v>0</v>
      </c>
      <c r="Y1215" s="1307">
        <f t="shared" si="91"/>
        <v>19</v>
      </c>
      <c r="Z1215" s="1307">
        <f t="shared" si="92"/>
        <v>0</v>
      </c>
      <c r="AA1215" s="1307">
        <f t="shared" si="93"/>
        <v>19</v>
      </c>
      <c r="AB1215" s="1307">
        <f t="shared" si="94"/>
        <v>0</v>
      </c>
    </row>
    <row r="1216" spans="20:28">
      <c r="T1216" s="1077">
        <v>44</v>
      </c>
      <c r="U1216" s="1077">
        <f t="shared" si="90"/>
        <v>36</v>
      </c>
      <c r="V1216" s="1077">
        <v>20</v>
      </c>
      <c r="W1216" s="1077">
        <f t="array" ref="W1216">SUMPRODUCT(IF('卡片raw data'!BM$1:BM$1000=T1216,1,0),IF('卡片raw data'!BO$1:BO$1000=V1216,1,0),IF(IF('卡片raw data'!C$1:C$1000=R$3,1,0)+IF(R$3="",1,0)&gt;=1,1,0),IF(IF('卡片raw data'!D$1:D$1000=R$4,1,0)+IF(R$4="",1,0)&gt;=1,1,0),IF(IF('卡片raw data'!E$1:E$1000=R$5,1,0)+IF(R$5="",1,0)&gt;=1,1,0))</f>
        <v>1</v>
      </c>
      <c r="Y1216" s="1307">
        <f t="shared" si="91"/>
        <v>20</v>
      </c>
      <c r="Z1216" s="1307">
        <f t="shared" si="92"/>
        <v>0</v>
      </c>
      <c r="AA1216" s="1307">
        <f t="shared" si="93"/>
        <v>20</v>
      </c>
      <c r="AB1216" s="1307">
        <f t="shared" si="94"/>
        <v>1</v>
      </c>
    </row>
    <row r="1217" spans="20:28">
      <c r="T1217" s="1077">
        <v>44</v>
      </c>
      <c r="U1217" s="1077">
        <f t="shared" si="90"/>
        <v>35</v>
      </c>
      <c r="V1217" s="1077">
        <v>21</v>
      </c>
      <c r="W1217" s="1077">
        <f t="array" ref="W1217">SUMPRODUCT(IF('卡片raw data'!BM$1:BM$1000=T1217,1,0),IF('卡片raw data'!BO$1:BO$1000=V1217,1,0),IF(IF('卡片raw data'!C$1:C$1000=R$3,1,0)+IF(R$3="",1,0)&gt;=1,1,0),IF(IF('卡片raw data'!D$1:D$1000=R$4,1,0)+IF(R$4="",1,0)&gt;=1,1,0),IF(IF('卡片raw data'!E$1:E$1000=R$5,1,0)+IF(R$5="",1,0)&gt;=1,1,0))</f>
        <v>0</v>
      </c>
      <c r="Y1217" s="1307">
        <f t="shared" si="91"/>
        <v>21</v>
      </c>
      <c r="Z1217" s="1307">
        <f t="shared" si="92"/>
        <v>0</v>
      </c>
      <c r="AA1217" s="1307">
        <f t="shared" si="93"/>
        <v>21</v>
      </c>
      <c r="AB1217" s="1307">
        <f t="shared" si="94"/>
        <v>0</v>
      </c>
    </row>
    <row r="1218" spans="20:28">
      <c r="T1218" s="1077">
        <v>44</v>
      </c>
      <c r="U1218" s="1077">
        <f t="shared" si="90"/>
        <v>34</v>
      </c>
      <c r="V1218" s="1077">
        <v>22</v>
      </c>
      <c r="W1218" s="1077">
        <f t="array" ref="W1218">SUMPRODUCT(IF('卡片raw data'!BM$1:BM$1000=T1218,1,0),IF('卡片raw data'!BO$1:BO$1000=V1218,1,0),IF(IF('卡片raw data'!C$1:C$1000=R$3,1,0)+IF(R$3="",1,0)&gt;=1,1,0),IF(IF('卡片raw data'!D$1:D$1000=R$4,1,0)+IF(R$4="",1,0)&gt;=1,1,0),IF(IF('卡片raw data'!E$1:E$1000=R$5,1,0)+IF(R$5="",1,0)&gt;=1,1,0))</f>
        <v>0</v>
      </c>
      <c r="Y1218" s="1307">
        <f t="shared" si="91"/>
        <v>22</v>
      </c>
      <c r="Z1218" s="1307">
        <f t="shared" si="92"/>
        <v>0</v>
      </c>
      <c r="AA1218" s="1307">
        <f t="shared" si="93"/>
        <v>22</v>
      </c>
      <c r="AB1218" s="1307">
        <f t="shared" si="94"/>
        <v>0</v>
      </c>
    </row>
    <row r="1219" spans="20:28">
      <c r="T1219" s="1077">
        <v>44</v>
      </c>
      <c r="U1219" s="1077">
        <f t="shared" si="90"/>
        <v>33</v>
      </c>
      <c r="V1219" s="1077">
        <v>23</v>
      </c>
      <c r="W1219" s="1077">
        <f t="array" ref="W1219">SUMPRODUCT(IF('卡片raw data'!BM$1:BM$1000=T1219,1,0),IF('卡片raw data'!BO$1:BO$1000=V1219,1,0),IF(IF('卡片raw data'!C$1:C$1000=R$3,1,0)+IF(R$3="",1,0)&gt;=1,1,0),IF(IF('卡片raw data'!D$1:D$1000=R$4,1,0)+IF(R$4="",1,0)&gt;=1,1,0),IF(IF('卡片raw data'!E$1:E$1000=R$5,1,0)+IF(R$5="",1,0)&gt;=1,1,0))</f>
        <v>0</v>
      </c>
      <c r="Y1219" s="1307">
        <f t="shared" si="91"/>
        <v>23</v>
      </c>
      <c r="Z1219" s="1307">
        <f t="shared" si="92"/>
        <v>0</v>
      </c>
      <c r="AA1219" s="1307">
        <f t="shared" si="93"/>
        <v>23</v>
      </c>
      <c r="AB1219" s="1307">
        <f t="shared" si="94"/>
        <v>0</v>
      </c>
    </row>
    <row r="1220" spans="20:28">
      <c r="T1220" s="1077">
        <v>44</v>
      </c>
      <c r="U1220" s="1077">
        <f t="shared" ref="U1220:U1283" si="95">100-T1220-V1220</f>
        <v>32</v>
      </c>
      <c r="V1220" s="1077">
        <v>24</v>
      </c>
      <c r="W1220" s="1077">
        <f t="array" ref="W1220">SUMPRODUCT(IF('卡片raw data'!BM$1:BM$1000=T1220,1,0),IF('卡片raw data'!BO$1:BO$1000=V1220,1,0),IF(IF('卡片raw data'!C$1:C$1000=R$3,1,0)+IF(R$3="",1,0)&gt;=1,1,0),IF(IF('卡片raw data'!D$1:D$1000=R$4,1,0)+IF(R$4="",1,0)&gt;=1,1,0),IF(IF('卡片raw data'!E$1:E$1000=R$5,1,0)+IF(R$5="",1,0)&gt;=1,1,0))</f>
        <v>0</v>
      </c>
      <c r="Y1220" s="1307">
        <f t="shared" ref="Y1220:Y1283" si="96">V1220</f>
        <v>24</v>
      </c>
      <c r="Z1220" s="1307">
        <f t="shared" ref="Z1220:Z1283" si="97">IF(AND(V1220&gt;U1220,V1220&gt;T1220),W1220,0)</f>
        <v>0</v>
      </c>
      <c r="AA1220" s="1307">
        <f t="shared" ref="AA1220:AA1283" si="98">V1220</f>
        <v>24</v>
      </c>
      <c r="AB1220" s="1307">
        <f t="shared" ref="AB1220:AB1283" si="99">W1220-Z1220</f>
        <v>0</v>
      </c>
    </row>
    <row r="1221" spans="20:28">
      <c r="T1221" s="1077">
        <v>44</v>
      </c>
      <c r="U1221" s="1077">
        <f t="shared" si="95"/>
        <v>31</v>
      </c>
      <c r="V1221" s="1077">
        <v>25</v>
      </c>
      <c r="W1221" s="1077">
        <f t="array" ref="W1221">SUMPRODUCT(IF('卡片raw data'!BM$1:BM$1000=T1221,1,0),IF('卡片raw data'!BO$1:BO$1000=V1221,1,0),IF(IF('卡片raw data'!C$1:C$1000=R$3,1,0)+IF(R$3="",1,0)&gt;=1,1,0),IF(IF('卡片raw data'!D$1:D$1000=R$4,1,0)+IF(R$4="",1,0)&gt;=1,1,0),IF(IF('卡片raw data'!E$1:E$1000=R$5,1,0)+IF(R$5="",1,0)&gt;=1,1,0))</f>
        <v>0</v>
      </c>
      <c r="Y1221" s="1307">
        <f t="shared" si="96"/>
        <v>25</v>
      </c>
      <c r="Z1221" s="1307">
        <f t="shared" si="97"/>
        <v>0</v>
      </c>
      <c r="AA1221" s="1307">
        <f t="shared" si="98"/>
        <v>25</v>
      </c>
      <c r="AB1221" s="1307">
        <f t="shared" si="99"/>
        <v>0</v>
      </c>
    </row>
    <row r="1222" spans="20:28">
      <c r="T1222" s="1077">
        <v>44</v>
      </c>
      <c r="U1222" s="1077">
        <f t="shared" si="95"/>
        <v>30</v>
      </c>
      <c r="V1222" s="1077">
        <v>26</v>
      </c>
      <c r="W1222" s="1077">
        <f t="array" ref="W1222">SUMPRODUCT(IF('卡片raw data'!BM$1:BM$1000=T1222,1,0),IF('卡片raw data'!BO$1:BO$1000=V1222,1,0),IF(IF('卡片raw data'!C$1:C$1000=R$3,1,0)+IF(R$3="",1,0)&gt;=1,1,0),IF(IF('卡片raw data'!D$1:D$1000=R$4,1,0)+IF(R$4="",1,0)&gt;=1,1,0),IF(IF('卡片raw data'!E$1:E$1000=R$5,1,0)+IF(R$5="",1,0)&gt;=1,1,0))</f>
        <v>0</v>
      </c>
      <c r="Y1222" s="1307">
        <f t="shared" si="96"/>
        <v>26</v>
      </c>
      <c r="Z1222" s="1307">
        <f t="shared" si="97"/>
        <v>0</v>
      </c>
      <c r="AA1222" s="1307">
        <f t="shared" si="98"/>
        <v>26</v>
      </c>
      <c r="AB1222" s="1307">
        <f t="shared" si="99"/>
        <v>0</v>
      </c>
    </row>
    <row r="1223" spans="20:28">
      <c r="T1223" s="1077">
        <v>44</v>
      </c>
      <c r="U1223" s="1077">
        <f t="shared" si="95"/>
        <v>29</v>
      </c>
      <c r="V1223" s="1077">
        <v>27</v>
      </c>
      <c r="W1223" s="1077">
        <f t="array" ref="W1223">SUMPRODUCT(IF('卡片raw data'!BM$1:BM$1000=T1223,1,0),IF('卡片raw data'!BO$1:BO$1000=V1223,1,0),IF(IF('卡片raw data'!C$1:C$1000=R$3,1,0)+IF(R$3="",1,0)&gt;=1,1,0),IF(IF('卡片raw data'!D$1:D$1000=R$4,1,0)+IF(R$4="",1,0)&gt;=1,1,0),IF(IF('卡片raw data'!E$1:E$1000=R$5,1,0)+IF(R$5="",1,0)&gt;=1,1,0))</f>
        <v>0</v>
      </c>
      <c r="Y1223" s="1307">
        <f t="shared" si="96"/>
        <v>27</v>
      </c>
      <c r="Z1223" s="1307">
        <f t="shared" si="97"/>
        <v>0</v>
      </c>
      <c r="AA1223" s="1307">
        <f t="shared" si="98"/>
        <v>27</v>
      </c>
      <c r="AB1223" s="1307">
        <f t="shared" si="99"/>
        <v>0</v>
      </c>
    </row>
    <row r="1224" spans="20:28">
      <c r="T1224" s="1077">
        <v>44</v>
      </c>
      <c r="U1224" s="1077">
        <f t="shared" si="95"/>
        <v>28</v>
      </c>
      <c r="V1224" s="1077">
        <v>28</v>
      </c>
      <c r="W1224" s="1077">
        <f t="array" ref="W1224">SUMPRODUCT(IF('卡片raw data'!BM$1:BM$1000=T1224,1,0),IF('卡片raw data'!BO$1:BO$1000=V1224,1,0),IF(IF('卡片raw data'!C$1:C$1000=R$3,1,0)+IF(R$3="",1,0)&gt;=1,1,0),IF(IF('卡片raw data'!D$1:D$1000=R$4,1,0)+IF(R$4="",1,0)&gt;=1,1,0),IF(IF('卡片raw data'!E$1:E$1000=R$5,1,0)+IF(R$5="",1,0)&gt;=1,1,0))</f>
        <v>0</v>
      </c>
      <c r="Y1224" s="1307">
        <f t="shared" si="96"/>
        <v>28</v>
      </c>
      <c r="Z1224" s="1307">
        <f t="shared" si="97"/>
        <v>0</v>
      </c>
      <c r="AA1224" s="1307">
        <f t="shared" si="98"/>
        <v>28</v>
      </c>
      <c r="AB1224" s="1307">
        <f t="shared" si="99"/>
        <v>0</v>
      </c>
    </row>
    <row r="1225" spans="20:28">
      <c r="T1225" s="1077">
        <v>44</v>
      </c>
      <c r="U1225" s="1077">
        <f t="shared" si="95"/>
        <v>27</v>
      </c>
      <c r="V1225" s="1077">
        <v>29</v>
      </c>
      <c r="W1225" s="1077">
        <f t="array" ref="W1225">SUMPRODUCT(IF('卡片raw data'!BM$1:BM$1000=T1225,1,0),IF('卡片raw data'!BO$1:BO$1000=V1225,1,0),IF(IF('卡片raw data'!C$1:C$1000=R$3,1,0)+IF(R$3="",1,0)&gt;=1,1,0),IF(IF('卡片raw data'!D$1:D$1000=R$4,1,0)+IF(R$4="",1,0)&gt;=1,1,0),IF(IF('卡片raw data'!E$1:E$1000=R$5,1,0)+IF(R$5="",1,0)&gt;=1,1,0))</f>
        <v>0</v>
      </c>
      <c r="Y1225" s="1307">
        <f t="shared" si="96"/>
        <v>29</v>
      </c>
      <c r="Z1225" s="1307">
        <f t="shared" si="97"/>
        <v>0</v>
      </c>
      <c r="AA1225" s="1307">
        <f t="shared" si="98"/>
        <v>29</v>
      </c>
      <c r="AB1225" s="1307">
        <f t="shared" si="99"/>
        <v>0</v>
      </c>
    </row>
    <row r="1226" spans="20:28">
      <c r="T1226" s="1077">
        <v>44</v>
      </c>
      <c r="U1226" s="1077">
        <f t="shared" si="95"/>
        <v>26</v>
      </c>
      <c r="V1226" s="1077">
        <v>30</v>
      </c>
      <c r="W1226" s="1077">
        <f t="array" ref="W1226">SUMPRODUCT(IF('卡片raw data'!BM$1:BM$1000=T1226,1,0),IF('卡片raw data'!BO$1:BO$1000=V1226,1,0),IF(IF('卡片raw data'!C$1:C$1000=R$3,1,0)+IF(R$3="",1,0)&gt;=1,1,0),IF(IF('卡片raw data'!D$1:D$1000=R$4,1,0)+IF(R$4="",1,0)&gt;=1,1,0),IF(IF('卡片raw data'!E$1:E$1000=R$5,1,0)+IF(R$5="",1,0)&gt;=1,1,0))</f>
        <v>0</v>
      </c>
      <c r="Y1226" s="1307">
        <f t="shared" si="96"/>
        <v>30</v>
      </c>
      <c r="Z1226" s="1307">
        <f t="shared" si="97"/>
        <v>0</v>
      </c>
      <c r="AA1226" s="1307">
        <f t="shared" si="98"/>
        <v>30</v>
      </c>
      <c r="AB1226" s="1307">
        <f t="shared" si="99"/>
        <v>0</v>
      </c>
    </row>
    <row r="1227" spans="20:28">
      <c r="T1227" s="1077">
        <v>44</v>
      </c>
      <c r="U1227" s="1077">
        <f t="shared" si="95"/>
        <v>25</v>
      </c>
      <c r="V1227" s="1077">
        <v>31</v>
      </c>
      <c r="W1227" s="1077">
        <f t="array" ref="W1227">SUMPRODUCT(IF('卡片raw data'!BM$1:BM$1000=T1227,1,0),IF('卡片raw data'!BO$1:BO$1000=V1227,1,0),IF(IF('卡片raw data'!C$1:C$1000=R$3,1,0)+IF(R$3="",1,0)&gt;=1,1,0),IF(IF('卡片raw data'!D$1:D$1000=R$4,1,0)+IF(R$4="",1,0)&gt;=1,1,0),IF(IF('卡片raw data'!E$1:E$1000=R$5,1,0)+IF(R$5="",1,0)&gt;=1,1,0))</f>
        <v>1</v>
      </c>
      <c r="Y1227" s="1307">
        <f t="shared" si="96"/>
        <v>31</v>
      </c>
      <c r="Z1227" s="1307">
        <f t="shared" si="97"/>
        <v>0</v>
      </c>
      <c r="AA1227" s="1307">
        <f t="shared" si="98"/>
        <v>31</v>
      </c>
      <c r="AB1227" s="1307">
        <f t="shared" si="99"/>
        <v>1</v>
      </c>
    </row>
    <row r="1228" spans="20:28">
      <c r="T1228" s="1077">
        <v>44</v>
      </c>
      <c r="U1228" s="1077">
        <f t="shared" si="95"/>
        <v>24</v>
      </c>
      <c r="V1228" s="1077">
        <v>32</v>
      </c>
      <c r="W1228" s="1077">
        <f t="array" ref="W1228">SUMPRODUCT(IF('卡片raw data'!BM$1:BM$1000=T1228,1,0),IF('卡片raw data'!BO$1:BO$1000=V1228,1,0),IF(IF('卡片raw data'!C$1:C$1000=R$3,1,0)+IF(R$3="",1,0)&gt;=1,1,0),IF(IF('卡片raw data'!D$1:D$1000=R$4,1,0)+IF(R$4="",1,0)&gt;=1,1,0),IF(IF('卡片raw data'!E$1:E$1000=R$5,1,0)+IF(R$5="",1,0)&gt;=1,1,0))</f>
        <v>0</v>
      </c>
      <c r="Y1228" s="1307">
        <f t="shared" si="96"/>
        <v>32</v>
      </c>
      <c r="Z1228" s="1307">
        <f t="shared" si="97"/>
        <v>0</v>
      </c>
      <c r="AA1228" s="1307">
        <f t="shared" si="98"/>
        <v>32</v>
      </c>
      <c r="AB1228" s="1307">
        <f t="shared" si="99"/>
        <v>0</v>
      </c>
    </row>
    <row r="1229" spans="20:28">
      <c r="T1229" s="1077">
        <v>44</v>
      </c>
      <c r="U1229" s="1077">
        <f t="shared" si="95"/>
        <v>23</v>
      </c>
      <c r="V1229" s="1077">
        <v>33</v>
      </c>
      <c r="W1229" s="1077">
        <f t="array" ref="W1229">SUMPRODUCT(IF('卡片raw data'!BM$1:BM$1000=T1229,1,0),IF('卡片raw data'!BO$1:BO$1000=V1229,1,0),IF(IF('卡片raw data'!C$1:C$1000=R$3,1,0)+IF(R$3="",1,0)&gt;=1,1,0),IF(IF('卡片raw data'!D$1:D$1000=R$4,1,0)+IF(R$4="",1,0)&gt;=1,1,0),IF(IF('卡片raw data'!E$1:E$1000=R$5,1,0)+IF(R$5="",1,0)&gt;=1,1,0))</f>
        <v>3</v>
      </c>
      <c r="Y1229" s="1307">
        <f t="shared" si="96"/>
        <v>33</v>
      </c>
      <c r="Z1229" s="1307">
        <f t="shared" si="97"/>
        <v>0</v>
      </c>
      <c r="AA1229" s="1307">
        <f t="shared" si="98"/>
        <v>33</v>
      </c>
      <c r="AB1229" s="1307">
        <f t="shared" si="99"/>
        <v>3</v>
      </c>
    </row>
    <row r="1230" spans="20:28">
      <c r="T1230" s="1077">
        <v>44</v>
      </c>
      <c r="U1230" s="1077">
        <f t="shared" si="95"/>
        <v>22</v>
      </c>
      <c r="V1230" s="1077">
        <v>34</v>
      </c>
      <c r="W1230" s="1077">
        <f t="array" ref="W1230">SUMPRODUCT(IF('卡片raw data'!BM$1:BM$1000=T1230,1,0),IF('卡片raw data'!BO$1:BO$1000=V1230,1,0),IF(IF('卡片raw data'!C$1:C$1000=R$3,1,0)+IF(R$3="",1,0)&gt;=1,1,0),IF(IF('卡片raw data'!D$1:D$1000=R$4,1,0)+IF(R$4="",1,0)&gt;=1,1,0),IF(IF('卡片raw data'!E$1:E$1000=R$5,1,0)+IF(R$5="",1,0)&gt;=1,1,0))</f>
        <v>1</v>
      </c>
      <c r="Y1230" s="1307">
        <f t="shared" si="96"/>
        <v>34</v>
      </c>
      <c r="Z1230" s="1307">
        <f t="shared" si="97"/>
        <v>0</v>
      </c>
      <c r="AA1230" s="1307">
        <f t="shared" si="98"/>
        <v>34</v>
      </c>
      <c r="AB1230" s="1307">
        <f t="shared" si="99"/>
        <v>1</v>
      </c>
    </row>
    <row r="1231" spans="20:28">
      <c r="T1231" s="1077">
        <v>44</v>
      </c>
      <c r="U1231" s="1077">
        <f t="shared" si="95"/>
        <v>21</v>
      </c>
      <c r="V1231" s="1077">
        <v>35</v>
      </c>
      <c r="W1231" s="1077">
        <f t="array" ref="W1231">SUMPRODUCT(IF('卡片raw data'!BM$1:BM$1000=T1231,1,0),IF('卡片raw data'!BO$1:BO$1000=V1231,1,0),IF(IF('卡片raw data'!C$1:C$1000=R$3,1,0)+IF(R$3="",1,0)&gt;=1,1,0),IF(IF('卡片raw data'!D$1:D$1000=R$4,1,0)+IF(R$4="",1,0)&gt;=1,1,0),IF(IF('卡片raw data'!E$1:E$1000=R$5,1,0)+IF(R$5="",1,0)&gt;=1,1,0))</f>
        <v>2</v>
      </c>
      <c r="Y1231" s="1307">
        <f t="shared" si="96"/>
        <v>35</v>
      </c>
      <c r="Z1231" s="1307">
        <f t="shared" si="97"/>
        <v>0</v>
      </c>
      <c r="AA1231" s="1307">
        <f t="shared" si="98"/>
        <v>35</v>
      </c>
      <c r="AB1231" s="1307">
        <f t="shared" si="99"/>
        <v>2</v>
      </c>
    </row>
    <row r="1232" spans="20:28">
      <c r="T1232" s="1077">
        <v>44</v>
      </c>
      <c r="U1232" s="1077">
        <f t="shared" si="95"/>
        <v>20</v>
      </c>
      <c r="V1232" s="1077">
        <v>36</v>
      </c>
      <c r="W1232" s="1077">
        <f t="array" ref="W1232">SUMPRODUCT(IF('卡片raw data'!BM$1:BM$1000=T1232,1,0),IF('卡片raw data'!BO$1:BO$1000=V1232,1,0),IF(IF('卡片raw data'!C$1:C$1000=R$3,1,0)+IF(R$3="",1,0)&gt;=1,1,0),IF(IF('卡片raw data'!D$1:D$1000=R$4,1,0)+IF(R$4="",1,0)&gt;=1,1,0),IF(IF('卡片raw data'!E$1:E$1000=R$5,1,0)+IF(R$5="",1,0)&gt;=1,1,0))</f>
        <v>0</v>
      </c>
      <c r="Y1232" s="1307">
        <f t="shared" si="96"/>
        <v>36</v>
      </c>
      <c r="Z1232" s="1307">
        <f t="shared" si="97"/>
        <v>0</v>
      </c>
      <c r="AA1232" s="1307">
        <f t="shared" si="98"/>
        <v>36</v>
      </c>
      <c r="AB1232" s="1307">
        <f t="shared" si="99"/>
        <v>0</v>
      </c>
    </row>
    <row r="1233" spans="20:28">
      <c r="T1233" s="1077">
        <v>44</v>
      </c>
      <c r="U1233" s="1077">
        <f t="shared" si="95"/>
        <v>19</v>
      </c>
      <c r="V1233" s="1077">
        <v>37</v>
      </c>
      <c r="W1233" s="1077">
        <f t="array" ref="W1233">SUMPRODUCT(IF('卡片raw data'!BM$1:BM$1000=T1233,1,0),IF('卡片raw data'!BO$1:BO$1000=V1233,1,0),IF(IF('卡片raw data'!C$1:C$1000=R$3,1,0)+IF(R$3="",1,0)&gt;=1,1,0),IF(IF('卡片raw data'!D$1:D$1000=R$4,1,0)+IF(R$4="",1,0)&gt;=1,1,0),IF(IF('卡片raw data'!E$1:E$1000=R$5,1,0)+IF(R$5="",1,0)&gt;=1,1,0))</f>
        <v>0</v>
      </c>
      <c r="Y1233" s="1307">
        <f t="shared" si="96"/>
        <v>37</v>
      </c>
      <c r="Z1233" s="1307">
        <f t="shared" si="97"/>
        <v>0</v>
      </c>
      <c r="AA1233" s="1307">
        <f t="shared" si="98"/>
        <v>37</v>
      </c>
      <c r="AB1233" s="1307">
        <f t="shared" si="99"/>
        <v>0</v>
      </c>
    </row>
    <row r="1234" spans="20:28">
      <c r="T1234" s="1077">
        <v>44</v>
      </c>
      <c r="U1234" s="1077">
        <f t="shared" si="95"/>
        <v>18</v>
      </c>
      <c r="V1234" s="1077">
        <v>38</v>
      </c>
      <c r="W1234" s="1077">
        <f t="array" ref="W1234">SUMPRODUCT(IF('卡片raw data'!BM$1:BM$1000=T1234,1,0),IF('卡片raw data'!BO$1:BO$1000=V1234,1,0),IF(IF('卡片raw data'!C$1:C$1000=R$3,1,0)+IF(R$3="",1,0)&gt;=1,1,0),IF(IF('卡片raw data'!D$1:D$1000=R$4,1,0)+IF(R$4="",1,0)&gt;=1,1,0),IF(IF('卡片raw data'!E$1:E$1000=R$5,1,0)+IF(R$5="",1,0)&gt;=1,1,0))</f>
        <v>0</v>
      </c>
      <c r="Y1234" s="1307">
        <f t="shared" si="96"/>
        <v>38</v>
      </c>
      <c r="Z1234" s="1307">
        <f t="shared" si="97"/>
        <v>0</v>
      </c>
      <c r="AA1234" s="1307">
        <f t="shared" si="98"/>
        <v>38</v>
      </c>
      <c r="AB1234" s="1307">
        <f t="shared" si="99"/>
        <v>0</v>
      </c>
    </row>
    <row r="1235" spans="20:28">
      <c r="T1235" s="1077">
        <v>44</v>
      </c>
      <c r="U1235" s="1077">
        <f t="shared" si="95"/>
        <v>17</v>
      </c>
      <c r="V1235" s="1077">
        <v>39</v>
      </c>
      <c r="W1235" s="1077">
        <f t="array" ref="W1235">SUMPRODUCT(IF('卡片raw data'!BM$1:BM$1000=T1235,1,0),IF('卡片raw data'!BO$1:BO$1000=V1235,1,0),IF(IF('卡片raw data'!C$1:C$1000=R$3,1,0)+IF(R$3="",1,0)&gt;=1,1,0),IF(IF('卡片raw data'!D$1:D$1000=R$4,1,0)+IF(R$4="",1,0)&gt;=1,1,0),IF(IF('卡片raw data'!E$1:E$1000=R$5,1,0)+IF(R$5="",1,0)&gt;=1,1,0))</f>
        <v>0</v>
      </c>
      <c r="Y1235" s="1307">
        <f t="shared" si="96"/>
        <v>39</v>
      </c>
      <c r="Z1235" s="1307">
        <f t="shared" si="97"/>
        <v>0</v>
      </c>
      <c r="AA1235" s="1307">
        <f t="shared" si="98"/>
        <v>39</v>
      </c>
      <c r="AB1235" s="1307">
        <f t="shared" si="99"/>
        <v>0</v>
      </c>
    </row>
    <row r="1236" spans="20:28">
      <c r="T1236" s="1077">
        <v>44</v>
      </c>
      <c r="U1236" s="1077">
        <f t="shared" si="95"/>
        <v>16</v>
      </c>
      <c r="V1236" s="1077">
        <v>40</v>
      </c>
      <c r="W1236" s="1077">
        <f t="array" ref="W1236">SUMPRODUCT(IF('卡片raw data'!BM$1:BM$1000=T1236,1,0),IF('卡片raw data'!BO$1:BO$1000=V1236,1,0),IF(IF('卡片raw data'!C$1:C$1000=R$3,1,0)+IF(R$3="",1,0)&gt;=1,1,0),IF(IF('卡片raw data'!D$1:D$1000=R$4,1,0)+IF(R$4="",1,0)&gt;=1,1,0),IF(IF('卡片raw data'!E$1:E$1000=R$5,1,0)+IF(R$5="",1,0)&gt;=1,1,0))</f>
        <v>0</v>
      </c>
      <c r="Y1236" s="1307">
        <f t="shared" si="96"/>
        <v>40</v>
      </c>
      <c r="Z1236" s="1307">
        <f t="shared" si="97"/>
        <v>0</v>
      </c>
      <c r="AA1236" s="1307">
        <f t="shared" si="98"/>
        <v>40</v>
      </c>
      <c r="AB1236" s="1307">
        <f t="shared" si="99"/>
        <v>0</v>
      </c>
    </row>
    <row r="1237" spans="20:28">
      <c r="T1237" s="1077">
        <v>44</v>
      </c>
      <c r="U1237" s="1077">
        <f t="shared" si="95"/>
        <v>15</v>
      </c>
      <c r="V1237" s="1077">
        <v>41</v>
      </c>
      <c r="W1237" s="1077">
        <f t="array" ref="W1237">SUMPRODUCT(IF('卡片raw data'!BM$1:BM$1000=T1237,1,0),IF('卡片raw data'!BO$1:BO$1000=V1237,1,0),IF(IF('卡片raw data'!C$1:C$1000=R$3,1,0)+IF(R$3="",1,0)&gt;=1,1,0),IF(IF('卡片raw data'!D$1:D$1000=R$4,1,0)+IF(R$4="",1,0)&gt;=1,1,0),IF(IF('卡片raw data'!E$1:E$1000=R$5,1,0)+IF(R$5="",1,0)&gt;=1,1,0))</f>
        <v>0</v>
      </c>
      <c r="Y1237" s="1307">
        <f t="shared" si="96"/>
        <v>41</v>
      </c>
      <c r="Z1237" s="1307">
        <f t="shared" si="97"/>
        <v>0</v>
      </c>
      <c r="AA1237" s="1307">
        <f t="shared" si="98"/>
        <v>41</v>
      </c>
      <c r="AB1237" s="1307">
        <f t="shared" si="99"/>
        <v>0</v>
      </c>
    </row>
    <row r="1238" spans="20:28">
      <c r="T1238" s="1077">
        <v>44</v>
      </c>
      <c r="U1238" s="1077">
        <f t="shared" si="95"/>
        <v>14</v>
      </c>
      <c r="V1238" s="1077">
        <v>42</v>
      </c>
      <c r="W1238" s="1077">
        <f t="array" ref="W1238">SUMPRODUCT(IF('卡片raw data'!BM$1:BM$1000=T1238,1,0),IF('卡片raw data'!BO$1:BO$1000=V1238,1,0),IF(IF('卡片raw data'!C$1:C$1000=R$3,1,0)+IF(R$3="",1,0)&gt;=1,1,0),IF(IF('卡片raw data'!D$1:D$1000=R$4,1,0)+IF(R$4="",1,0)&gt;=1,1,0),IF(IF('卡片raw data'!E$1:E$1000=R$5,1,0)+IF(R$5="",1,0)&gt;=1,1,0))</f>
        <v>0</v>
      </c>
      <c r="Y1238" s="1307">
        <f t="shared" si="96"/>
        <v>42</v>
      </c>
      <c r="Z1238" s="1307">
        <f t="shared" si="97"/>
        <v>0</v>
      </c>
      <c r="AA1238" s="1307">
        <f t="shared" si="98"/>
        <v>42</v>
      </c>
      <c r="AB1238" s="1307">
        <f t="shared" si="99"/>
        <v>0</v>
      </c>
    </row>
    <row r="1239" spans="20:28">
      <c r="T1239" s="1077">
        <v>44</v>
      </c>
      <c r="U1239" s="1077">
        <f t="shared" si="95"/>
        <v>13</v>
      </c>
      <c r="V1239" s="1077">
        <v>43</v>
      </c>
      <c r="W1239" s="1077">
        <f t="array" ref="W1239">SUMPRODUCT(IF('卡片raw data'!BM$1:BM$1000=T1239,1,0),IF('卡片raw data'!BO$1:BO$1000=V1239,1,0),IF(IF('卡片raw data'!C$1:C$1000=R$3,1,0)+IF(R$3="",1,0)&gt;=1,1,0),IF(IF('卡片raw data'!D$1:D$1000=R$4,1,0)+IF(R$4="",1,0)&gt;=1,1,0),IF(IF('卡片raw data'!E$1:E$1000=R$5,1,0)+IF(R$5="",1,0)&gt;=1,1,0))</f>
        <v>0</v>
      </c>
      <c r="Y1239" s="1307">
        <f t="shared" si="96"/>
        <v>43</v>
      </c>
      <c r="Z1239" s="1307">
        <f t="shared" si="97"/>
        <v>0</v>
      </c>
      <c r="AA1239" s="1307">
        <f t="shared" si="98"/>
        <v>43</v>
      </c>
      <c r="AB1239" s="1307">
        <f t="shared" si="99"/>
        <v>0</v>
      </c>
    </row>
    <row r="1240" spans="20:28">
      <c r="T1240" s="1077">
        <v>44</v>
      </c>
      <c r="U1240" s="1077">
        <f t="shared" si="95"/>
        <v>12</v>
      </c>
      <c r="V1240" s="1077">
        <v>44</v>
      </c>
      <c r="W1240" s="1077">
        <f t="array" ref="W1240">SUMPRODUCT(IF('卡片raw data'!BM$1:BM$1000=T1240,1,0),IF('卡片raw data'!BO$1:BO$1000=V1240,1,0),IF(IF('卡片raw data'!C$1:C$1000=R$3,1,0)+IF(R$3="",1,0)&gt;=1,1,0),IF(IF('卡片raw data'!D$1:D$1000=R$4,1,0)+IF(R$4="",1,0)&gt;=1,1,0),IF(IF('卡片raw data'!E$1:E$1000=R$5,1,0)+IF(R$5="",1,0)&gt;=1,1,0))</f>
        <v>0</v>
      </c>
      <c r="Y1240" s="1307">
        <f t="shared" si="96"/>
        <v>44</v>
      </c>
      <c r="Z1240" s="1307">
        <f t="shared" si="97"/>
        <v>0</v>
      </c>
      <c r="AA1240" s="1307">
        <f t="shared" si="98"/>
        <v>44</v>
      </c>
      <c r="AB1240" s="1307">
        <f t="shared" si="99"/>
        <v>0</v>
      </c>
    </row>
    <row r="1241" spans="20:28">
      <c r="T1241" s="1077">
        <v>44</v>
      </c>
      <c r="U1241" s="1077">
        <f t="shared" si="95"/>
        <v>11</v>
      </c>
      <c r="V1241" s="1077">
        <v>45</v>
      </c>
      <c r="W1241" s="1077">
        <f t="array" ref="W1241">SUMPRODUCT(IF('卡片raw data'!BM$1:BM$1000=T1241,1,0),IF('卡片raw data'!BO$1:BO$1000=V1241,1,0),IF(IF('卡片raw data'!C$1:C$1000=R$3,1,0)+IF(R$3="",1,0)&gt;=1,1,0),IF(IF('卡片raw data'!D$1:D$1000=R$4,1,0)+IF(R$4="",1,0)&gt;=1,1,0),IF(IF('卡片raw data'!E$1:E$1000=R$5,1,0)+IF(R$5="",1,0)&gt;=1,1,0))</f>
        <v>0</v>
      </c>
      <c r="Y1241" s="1307">
        <f t="shared" si="96"/>
        <v>45</v>
      </c>
      <c r="Z1241" s="1307">
        <f t="shared" si="97"/>
        <v>0</v>
      </c>
      <c r="AA1241" s="1307">
        <f t="shared" si="98"/>
        <v>45</v>
      </c>
      <c r="AB1241" s="1307">
        <f t="shared" si="99"/>
        <v>0</v>
      </c>
    </row>
    <row r="1242" spans="20:28">
      <c r="T1242" s="1077">
        <v>44</v>
      </c>
      <c r="U1242" s="1077">
        <f t="shared" si="95"/>
        <v>10</v>
      </c>
      <c r="V1242" s="1077">
        <v>46</v>
      </c>
      <c r="W1242" s="1077">
        <f t="array" ref="W1242">SUMPRODUCT(IF('卡片raw data'!BM$1:BM$1000=T1242,1,0),IF('卡片raw data'!BO$1:BO$1000=V1242,1,0),IF(IF('卡片raw data'!C$1:C$1000=R$3,1,0)+IF(R$3="",1,0)&gt;=1,1,0),IF(IF('卡片raw data'!D$1:D$1000=R$4,1,0)+IF(R$4="",1,0)&gt;=1,1,0),IF(IF('卡片raw data'!E$1:E$1000=R$5,1,0)+IF(R$5="",1,0)&gt;=1,1,0))</f>
        <v>0</v>
      </c>
      <c r="Y1242" s="1307">
        <f t="shared" si="96"/>
        <v>46</v>
      </c>
      <c r="Z1242" s="1307">
        <f t="shared" si="97"/>
        <v>0</v>
      </c>
      <c r="AA1242" s="1307">
        <f t="shared" si="98"/>
        <v>46</v>
      </c>
      <c r="AB1242" s="1307">
        <f t="shared" si="99"/>
        <v>0</v>
      </c>
    </row>
    <row r="1243" spans="20:28">
      <c r="T1243" s="1077">
        <v>45</v>
      </c>
      <c r="U1243" s="1077">
        <f t="shared" si="95"/>
        <v>45</v>
      </c>
      <c r="V1243" s="1077">
        <v>10</v>
      </c>
      <c r="W1243" s="1077">
        <f t="array" ref="W1243">SUMPRODUCT(IF('卡片raw data'!BM$1:BM$1000=T1243,1,0),IF('卡片raw data'!BO$1:BO$1000=V1243,1,0),IF(IF('卡片raw data'!C$1:C$1000=R$3,1,0)+IF(R$3="",1,0)&gt;=1,1,0),IF(IF('卡片raw data'!D$1:D$1000=R$4,1,0)+IF(R$4="",1,0)&gt;=1,1,0),IF(IF('卡片raw data'!E$1:E$1000=R$5,1,0)+IF(R$5="",1,0)&gt;=1,1,0))</f>
        <v>0</v>
      </c>
      <c r="Y1243" s="1307">
        <f t="shared" si="96"/>
        <v>10</v>
      </c>
      <c r="Z1243" s="1307">
        <f t="shared" si="97"/>
        <v>0</v>
      </c>
      <c r="AA1243" s="1307">
        <f t="shared" si="98"/>
        <v>10</v>
      </c>
      <c r="AB1243" s="1307">
        <f t="shared" si="99"/>
        <v>0</v>
      </c>
    </row>
    <row r="1244" spans="20:28">
      <c r="T1244" s="1077">
        <v>45</v>
      </c>
      <c r="U1244" s="1077">
        <f t="shared" si="95"/>
        <v>44</v>
      </c>
      <c r="V1244" s="1077">
        <v>11</v>
      </c>
      <c r="W1244" s="1077">
        <f t="array" ref="W1244">SUMPRODUCT(IF('卡片raw data'!BM$1:BM$1000=T1244,1,0),IF('卡片raw data'!BO$1:BO$1000=V1244,1,0),IF(IF('卡片raw data'!C$1:C$1000=R$3,1,0)+IF(R$3="",1,0)&gt;=1,1,0),IF(IF('卡片raw data'!D$1:D$1000=R$4,1,0)+IF(R$4="",1,0)&gt;=1,1,0),IF(IF('卡片raw data'!E$1:E$1000=R$5,1,0)+IF(R$5="",1,0)&gt;=1,1,0))</f>
        <v>0</v>
      </c>
      <c r="Y1244" s="1307">
        <f t="shared" si="96"/>
        <v>11</v>
      </c>
      <c r="Z1244" s="1307">
        <f t="shared" si="97"/>
        <v>0</v>
      </c>
      <c r="AA1244" s="1307">
        <f t="shared" si="98"/>
        <v>11</v>
      </c>
      <c r="AB1244" s="1307">
        <f t="shared" si="99"/>
        <v>0</v>
      </c>
    </row>
    <row r="1245" spans="20:28">
      <c r="T1245" s="1077">
        <v>45</v>
      </c>
      <c r="U1245" s="1077">
        <f t="shared" si="95"/>
        <v>43</v>
      </c>
      <c r="V1245" s="1077">
        <v>12</v>
      </c>
      <c r="W1245" s="1077">
        <f t="array" ref="W1245">SUMPRODUCT(IF('卡片raw data'!BM$1:BM$1000=T1245,1,0),IF('卡片raw data'!BO$1:BO$1000=V1245,1,0),IF(IF('卡片raw data'!C$1:C$1000=R$3,1,0)+IF(R$3="",1,0)&gt;=1,1,0),IF(IF('卡片raw data'!D$1:D$1000=R$4,1,0)+IF(R$4="",1,0)&gt;=1,1,0),IF(IF('卡片raw data'!E$1:E$1000=R$5,1,0)+IF(R$5="",1,0)&gt;=1,1,0))</f>
        <v>0</v>
      </c>
      <c r="Y1245" s="1307">
        <f t="shared" si="96"/>
        <v>12</v>
      </c>
      <c r="Z1245" s="1307">
        <f t="shared" si="97"/>
        <v>0</v>
      </c>
      <c r="AA1245" s="1307">
        <f t="shared" si="98"/>
        <v>12</v>
      </c>
      <c r="AB1245" s="1307">
        <f t="shared" si="99"/>
        <v>0</v>
      </c>
    </row>
    <row r="1246" spans="20:28">
      <c r="T1246" s="1077">
        <v>45</v>
      </c>
      <c r="U1246" s="1077">
        <f t="shared" si="95"/>
        <v>42</v>
      </c>
      <c r="V1246" s="1077">
        <v>13</v>
      </c>
      <c r="W1246" s="1077">
        <f t="array" ref="W1246">SUMPRODUCT(IF('卡片raw data'!BM$1:BM$1000=T1246,1,0),IF('卡片raw data'!BO$1:BO$1000=V1246,1,0),IF(IF('卡片raw data'!C$1:C$1000=R$3,1,0)+IF(R$3="",1,0)&gt;=1,1,0),IF(IF('卡片raw data'!D$1:D$1000=R$4,1,0)+IF(R$4="",1,0)&gt;=1,1,0),IF(IF('卡片raw data'!E$1:E$1000=R$5,1,0)+IF(R$5="",1,0)&gt;=1,1,0))</f>
        <v>0</v>
      </c>
      <c r="Y1246" s="1307">
        <f t="shared" si="96"/>
        <v>13</v>
      </c>
      <c r="Z1246" s="1307">
        <f t="shared" si="97"/>
        <v>0</v>
      </c>
      <c r="AA1246" s="1307">
        <f t="shared" si="98"/>
        <v>13</v>
      </c>
      <c r="AB1246" s="1307">
        <f t="shared" si="99"/>
        <v>0</v>
      </c>
    </row>
    <row r="1247" spans="20:28">
      <c r="T1247" s="1077">
        <v>45</v>
      </c>
      <c r="U1247" s="1077">
        <f t="shared" si="95"/>
        <v>41</v>
      </c>
      <c r="V1247" s="1077">
        <v>14</v>
      </c>
      <c r="W1247" s="1077">
        <f t="array" ref="W1247">SUMPRODUCT(IF('卡片raw data'!BM$1:BM$1000=T1247,1,0),IF('卡片raw data'!BO$1:BO$1000=V1247,1,0),IF(IF('卡片raw data'!C$1:C$1000=R$3,1,0)+IF(R$3="",1,0)&gt;=1,1,0),IF(IF('卡片raw data'!D$1:D$1000=R$4,1,0)+IF(R$4="",1,0)&gt;=1,1,0),IF(IF('卡片raw data'!E$1:E$1000=R$5,1,0)+IF(R$5="",1,0)&gt;=1,1,0))</f>
        <v>0</v>
      </c>
      <c r="Y1247" s="1307">
        <f t="shared" si="96"/>
        <v>14</v>
      </c>
      <c r="Z1247" s="1307">
        <f t="shared" si="97"/>
        <v>0</v>
      </c>
      <c r="AA1247" s="1307">
        <f t="shared" si="98"/>
        <v>14</v>
      </c>
      <c r="AB1247" s="1307">
        <f t="shared" si="99"/>
        <v>0</v>
      </c>
    </row>
    <row r="1248" spans="20:28">
      <c r="T1248" s="1077">
        <v>45</v>
      </c>
      <c r="U1248" s="1077">
        <f t="shared" si="95"/>
        <v>40</v>
      </c>
      <c r="V1248" s="1077">
        <v>15</v>
      </c>
      <c r="W1248" s="1077">
        <f t="array" ref="W1248">SUMPRODUCT(IF('卡片raw data'!BM$1:BM$1000=T1248,1,0),IF('卡片raw data'!BO$1:BO$1000=V1248,1,0),IF(IF('卡片raw data'!C$1:C$1000=R$3,1,0)+IF(R$3="",1,0)&gt;=1,1,0),IF(IF('卡片raw data'!D$1:D$1000=R$4,1,0)+IF(R$4="",1,0)&gt;=1,1,0),IF(IF('卡片raw data'!E$1:E$1000=R$5,1,0)+IF(R$5="",1,0)&gt;=1,1,0))</f>
        <v>0</v>
      </c>
      <c r="Y1248" s="1307">
        <f t="shared" si="96"/>
        <v>15</v>
      </c>
      <c r="Z1248" s="1307">
        <f t="shared" si="97"/>
        <v>0</v>
      </c>
      <c r="AA1248" s="1307">
        <f t="shared" si="98"/>
        <v>15</v>
      </c>
      <c r="AB1248" s="1307">
        <f t="shared" si="99"/>
        <v>0</v>
      </c>
    </row>
    <row r="1249" spans="20:28">
      <c r="T1249" s="1077">
        <v>45</v>
      </c>
      <c r="U1249" s="1077">
        <f t="shared" si="95"/>
        <v>39</v>
      </c>
      <c r="V1249" s="1077">
        <v>16</v>
      </c>
      <c r="W1249" s="1077">
        <f t="array" ref="W1249">SUMPRODUCT(IF('卡片raw data'!BM$1:BM$1000=T1249,1,0),IF('卡片raw data'!BO$1:BO$1000=V1249,1,0),IF(IF('卡片raw data'!C$1:C$1000=R$3,1,0)+IF(R$3="",1,0)&gt;=1,1,0),IF(IF('卡片raw data'!D$1:D$1000=R$4,1,0)+IF(R$4="",1,0)&gt;=1,1,0),IF(IF('卡片raw data'!E$1:E$1000=R$5,1,0)+IF(R$5="",1,0)&gt;=1,1,0))</f>
        <v>0</v>
      </c>
      <c r="Y1249" s="1307">
        <f t="shared" si="96"/>
        <v>16</v>
      </c>
      <c r="Z1249" s="1307">
        <f t="shared" si="97"/>
        <v>0</v>
      </c>
      <c r="AA1249" s="1307">
        <f t="shared" si="98"/>
        <v>16</v>
      </c>
      <c r="AB1249" s="1307">
        <f t="shared" si="99"/>
        <v>0</v>
      </c>
    </row>
    <row r="1250" spans="20:28">
      <c r="T1250" s="1077">
        <v>45</v>
      </c>
      <c r="U1250" s="1077">
        <f t="shared" si="95"/>
        <v>38</v>
      </c>
      <c r="V1250" s="1077">
        <v>17</v>
      </c>
      <c r="W1250" s="1077">
        <f t="array" ref="W1250">SUMPRODUCT(IF('卡片raw data'!BM$1:BM$1000=T1250,1,0),IF('卡片raw data'!BO$1:BO$1000=V1250,1,0),IF(IF('卡片raw data'!C$1:C$1000=R$3,1,0)+IF(R$3="",1,0)&gt;=1,1,0),IF(IF('卡片raw data'!D$1:D$1000=R$4,1,0)+IF(R$4="",1,0)&gt;=1,1,0),IF(IF('卡片raw data'!E$1:E$1000=R$5,1,0)+IF(R$5="",1,0)&gt;=1,1,0))</f>
        <v>0</v>
      </c>
      <c r="Y1250" s="1307">
        <f t="shared" si="96"/>
        <v>17</v>
      </c>
      <c r="Z1250" s="1307">
        <f t="shared" si="97"/>
        <v>0</v>
      </c>
      <c r="AA1250" s="1307">
        <f t="shared" si="98"/>
        <v>17</v>
      </c>
      <c r="AB1250" s="1307">
        <f t="shared" si="99"/>
        <v>0</v>
      </c>
    </row>
    <row r="1251" spans="20:28">
      <c r="T1251" s="1077">
        <v>45</v>
      </c>
      <c r="U1251" s="1077">
        <f t="shared" si="95"/>
        <v>37</v>
      </c>
      <c r="V1251" s="1077">
        <v>18</v>
      </c>
      <c r="W1251" s="1077">
        <f t="array" ref="W1251">SUMPRODUCT(IF('卡片raw data'!BM$1:BM$1000=T1251,1,0),IF('卡片raw data'!BO$1:BO$1000=V1251,1,0),IF(IF('卡片raw data'!C$1:C$1000=R$3,1,0)+IF(R$3="",1,0)&gt;=1,1,0),IF(IF('卡片raw data'!D$1:D$1000=R$4,1,0)+IF(R$4="",1,0)&gt;=1,1,0),IF(IF('卡片raw data'!E$1:E$1000=R$5,1,0)+IF(R$5="",1,0)&gt;=1,1,0))</f>
        <v>0</v>
      </c>
      <c r="Y1251" s="1307">
        <f t="shared" si="96"/>
        <v>18</v>
      </c>
      <c r="Z1251" s="1307">
        <f t="shared" si="97"/>
        <v>0</v>
      </c>
      <c r="AA1251" s="1307">
        <f t="shared" si="98"/>
        <v>18</v>
      </c>
      <c r="AB1251" s="1307">
        <f t="shared" si="99"/>
        <v>0</v>
      </c>
    </row>
    <row r="1252" spans="20:28">
      <c r="T1252" s="1077">
        <v>45</v>
      </c>
      <c r="U1252" s="1077">
        <f t="shared" si="95"/>
        <v>36</v>
      </c>
      <c r="V1252" s="1077">
        <v>19</v>
      </c>
      <c r="W1252" s="1077">
        <f t="array" ref="W1252">SUMPRODUCT(IF('卡片raw data'!BM$1:BM$1000=T1252,1,0),IF('卡片raw data'!BO$1:BO$1000=V1252,1,0),IF(IF('卡片raw data'!C$1:C$1000=R$3,1,0)+IF(R$3="",1,0)&gt;=1,1,0),IF(IF('卡片raw data'!D$1:D$1000=R$4,1,0)+IF(R$4="",1,0)&gt;=1,1,0),IF(IF('卡片raw data'!E$1:E$1000=R$5,1,0)+IF(R$5="",1,0)&gt;=1,1,0))</f>
        <v>0</v>
      </c>
      <c r="Y1252" s="1307">
        <f t="shared" si="96"/>
        <v>19</v>
      </c>
      <c r="Z1252" s="1307">
        <f t="shared" si="97"/>
        <v>0</v>
      </c>
      <c r="AA1252" s="1307">
        <f t="shared" si="98"/>
        <v>19</v>
      </c>
      <c r="AB1252" s="1307">
        <f t="shared" si="99"/>
        <v>0</v>
      </c>
    </row>
    <row r="1253" spans="20:28">
      <c r="T1253" s="1077">
        <v>45</v>
      </c>
      <c r="U1253" s="1077">
        <f t="shared" si="95"/>
        <v>35</v>
      </c>
      <c r="V1253" s="1077">
        <v>20</v>
      </c>
      <c r="W1253" s="1077">
        <f t="array" ref="W1253">SUMPRODUCT(IF('卡片raw data'!BM$1:BM$1000=T1253,1,0),IF('卡片raw data'!BO$1:BO$1000=V1253,1,0),IF(IF('卡片raw data'!C$1:C$1000=R$3,1,0)+IF(R$3="",1,0)&gt;=1,1,0),IF(IF('卡片raw data'!D$1:D$1000=R$4,1,0)+IF(R$4="",1,0)&gt;=1,1,0),IF(IF('卡片raw data'!E$1:E$1000=R$5,1,0)+IF(R$5="",1,0)&gt;=1,1,0))</f>
        <v>0</v>
      </c>
      <c r="Y1253" s="1307">
        <f t="shared" si="96"/>
        <v>20</v>
      </c>
      <c r="Z1253" s="1307">
        <f t="shared" si="97"/>
        <v>0</v>
      </c>
      <c r="AA1253" s="1307">
        <f t="shared" si="98"/>
        <v>20</v>
      </c>
      <c r="AB1253" s="1307">
        <f t="shared" si="99"/>
        <v>0</v>
      </c>
    </row>
    <row r="1254" spans="20:28">
      <c r="T1254" s="1077">
        <v>45</v>
      </c>
      <c r="U1254" s="1077">
        <f t="shared" si="95"/>
        <v>34</v>
      </c>
      <c r="V1254" s="1077">
        <v>21</v>
      </c>
      <c r="W1254" s="1077">
        <f t="array" ref="W1254">SUMPRODUCT(IF('卡片raw data'!BM$1:BM$1000=T1254,1,0),IF('卡片raw data'!BO$1:BO$1000=V1254,1,0),IF(IF('卡片raw data'!C$1:C$1000=R$3,1,0)+IF(R$3="",1,0)&gt;=1,1,0),IF(IF('卡片raw data'!D$1:D$1000=R$4,1,0)+IF(R$4="",1,0)&gt;=1,1,0),IF(IF('卡片raw data'!E$1:E$1000=R$5,1,0)+IF(R$5="",1,0)&gt;=1,1,0))</f>
        <v>0</v>
      </c>
      <c r="Y1254" s="1307">
        <f t="shared" si="96"/>
        <v>21</v>
      </c>
      <c r="Z1254" s="1307">
        <f t="shared" si="97"/>
        <v>0</v>
      </c>
      <c r="AA1254" s="1307">
        <f t="shared" si="98"/>
        <v>21</v>
      </c>
      <c r="AB1254" s="1307">
        <f t="shared" si="99"/>
        <v>0</v>
      </c>
    </row>
    <row r="1255" spans="20:28">
      <c r="T1255" s="1077">
        <v>45</v>
      </c>
      <c r="U1255" s="1077">
        <f t="shared" si="95"/>
        <v>33</v>
      </c>
      <c r="V1255" s="1077">
        <v>22</v>
      </c>
      <c r="W1255" s="1077">
        <f t="array" ref="W1255">SUMPRODUCT(IF('卡片raw data'!BM$1:BM$1000=T1255,1,0),IF('卡片raw data'!BO$1:BO$1000=V1255,1,0),IF(IF('卡片raw data'!C$1:C$1000=R$3,1,0)+IF(R$3="",1,0)&gt;=1,1,0),IF(IF('卡片raw data'!D$1:D$1000=R$4,1,0)+IF(R$4="",1,0)&gt;=1,1,0),IF(IF('卡片raw data'!E$1:E$1000=R$5,1,0)+IF(R$5="",1,0)&gt;=1,1,0))</f>
        <v>0</v>
      </c>
      <c r="Y1255" s="1307">
        <f t="shared" si="96"/>
        <v>22</v>
      </c>
      <c r="Z1255" s="1307">
        <f t="shared" si="97"/>
        <v>0</v>
      </c>
      <c r="AA1255" s="1307">
        <f t="shared" si="98"/>
        <v>22</v>
      </c>
      <c r="AB1255" s="1307">
        <f t="shared" si="99"/>
        <v>0</v>
      </c>
    </row>
    <row r="1256" spans="20:28">
      <c r="T1256" s="1077">
        <v>45</v>
      </c>
      <c r="U1256" s="1077">
        <f t="shared" si="95"/>
        <v>32</v>
      </c>
      <c r="V1256" s="1077">
        <v>23</v>
      </c>
      <c r="W1256" s="1077">
        <f t="array" ref="W1256">SUMPRODUCT(IF('卡片raw data'!BM$1:BM$1000=T1256,1,0),IF('卡片raw data'!BO$1:BO$1000=V1256,1,0),IF(IF('卡片raw data'!C$1:C$1000=R$3,1,0)+IF(R$3="",1,0)&gt;=1,1,0),IF(IF('卡片raw data'!D$1:D$1000=R$4,1,0)+IF(R$4="",1,0)&gt;=1,1,0),IF(IF('卡片raw data'!E$1:E$1000=R$5,1,0)+IF(R$5="",1,0)&gt;=1,1,0))</f>
        <v>0</v>
      </c>
      <c r="Y1256" s="1307">
        <f t="shared" si="96"/>
        <v>23</v>
      </c>
      <c r="Z1256" s="1307">
        <f t="shared" si="97"/>
        <v>0</v>
      </c>
      <c r="AA1256" s="1307">
        <f t="shared" si="98"/>
        <v>23</v>
      </c>
      <c r="AB1256" s="1307">
        <f t="shared" si="99"/>
        <v>0</v>
      </c>
    </row>
    <row r="1257" spans="20:28">
      <c r="T1257" s="1077">
        <v>45</v>
      </c>
      <c r="U1257" s="1077">
        <f t="shared" si="95"/>
        <v>31</v>
      </c>
      <c r="V1257" s="1077">
        <v>24</v>
      </c>
      <c r="W1257" s="1077">
        <f t="array" ref="W1257">SUMPRODUCT(IF('卡片raw data'!BM$1:BM$1000=T1257,1,0),IF('卡片raw data'!BO$1:BO$1000=V1257,1,0),IF(IF('卡片raw data'!C$1:C$1000=R$3,1,0)+IF(R$3="",1,0)&gt;=1,1,0),IF(IF('卡片raw data'!D$1:D$1000=R$4,1,0)+IF(R$4="",1,0)&gt;=1,1,0),IF(IF('卡片raw data'!E$1:E$1000=R$5,1,0)+IF(R$5="",1,0)&gt;=1,1,0))</f>
        <v>0</v>
      </c>
      <c r="Y1257" s="1307">
        <f t="shared" si="96"/>
        <v>24</v>
      </c>
      <c r="Z1257" s="1307">
        <f t="shared" si="97"/>
        <v>0</v>
      </c>
      <c r="AA1257" s="1307">
        <f t="shared" si="98"/>
        <v>24</v>
      </c>
      <c r="AB1257" s="1307">
        <f t="shared" si="99"/>
        <v>0</v>
      </c>
    </row>
    <row r="1258" spans="20:28">
      <c r="T1258" s="1077">
        <v>45</v>
      </c>
      <c r="U1258" s="1077">
        <f t="shared" si="95"/>
        <v>30</v>
      </c>
      <c r="V1258" s="1077">
        <v>25</v>
      </c>
      <c r="W1258" s="1077">
        <f t="array" ref="W1258">SUMPRODUCT(IF('卡片raw data'!BM$1:BM$1000=T1258,1,0),IF('卡片raw data'!BO$1:BO$1000=V1258,1,0),IF(IF('卡片raw data'!C$1:C$1000=R$3,1,0)+IF(R$3="",1,0)&gt;=1,1,0),IF(IF('卡片raw data'!D$1:D$1000=R$4,1,0)+IF(R$4="",1,0)&gt;=1,1,0),IF(IF('卡片raw data'!E$1:E$1000=R$5,1,0)+IF(R$5="",1,0)&gt;=1,1,0))</f>
        <v>0</v>
      </c>
      <c r="Y1258" s="1307">
        <f t="shared" si="96"/>
        <v>25</v>
      </c>
      <c r="Z1258" s="1307">
        <f t="shared" si="97"/>
        <v>0</v>
      </c>
      <c r="AA1258" s="1307">
        <f t="shared" si="98"/>
        <v>25</v>
      </c>
      <c r="AB1258" s="1307">
        <f t="shared" si="99"/>
        <v>0</v>
      </c>
    </row>
    <row r="1259" spans="20:28">
      <c r="T1259" s="1077">
        <v>45</v>
      </c>
      <c r="U1259" s="1077">
        <f t="shared" si="95"/>
        <v>29</v>
      </c>
      <c r="V1259" s="1077">
        <v>26</v>
      </c>
      <c r="W1259" s="1077">
        <f t="array" ref="W1259">SUMPRODUCT(IF('卡片raw data'!BM$1:BM$1000=T1259,1,0),IF('卡片raw data'!BO$1:BO$1000=V1259,1,0),IF(IF('卡片raw data'!C$1:C$1000=R$3,1,0)+IF(R$3="",1,0)&gt;=1,1,0),IF(IF('卡片raw data'!D$1:D$1000=R$4,1,0)+IF(R$4="",1,0)&gt;=1,1,0),IF(IF('卡片raw data'!E$1:E$1000=R$5,1,0)+IF(R$5="",1,0)&gt;=1,1,0))</f>
        <v>1</v>
      </c>
      <c r="Y1259" s="1307">
        <f t="shared" si="96"/>
        <v>26</v>
      </c>
      <c r="Z1259" s="1307">
        <f t="shared" si="97"/>
        <v>0</v>
      </c>
      <c r="AA1259" s="1307">
        <f t="shared" si="98"/>
        <v>26</v>
      </c>
      <c r="AB1259" s="1307">
        <f t="shared" si="99"/>
        <v>1</v>
      </c>
    </row>
    <row r="1260" spans="20:28">
      <c r="T1260" s="1077">
        <v>45</v>
      </c>
      <c r="U1260" s="1077">
        <f t="shared" si="95"/>
        <v>28</v>
      </c>
      <c r="V1260" s="1077">
        <v>27</v>
      </c>
      <c r="W1260" s="1077">
        <f t="array" ref="W1260">SUMPRODUCT(IF('卡片raw data'!BM$1:BM$1000=T1260,1,0),IF('卡片raw data'!BO$1:BO$1000=V1260,1,0),IF(IF('卡片raw data'!C$1:C$1000=R$3,1,0)+IF(R$3="",1,0)&gt;=1,1,0),IF(IF('卡片raw data'!D$1:D$1000=R$4,1,0)+IF(R$4="",1,0)&gt;=1,1,0),IF(IF('卡片raw data'!E$1:E$1000=R$5,1,0)+IF(R$5="",1,0)&gt;=1,1,0))</f>
        <v>0</v>
      </c>
      <c r="Y1260" s="1307">
        <f t="shared" si="96"/>
        <v>27</v>
      </c>
      <c r="Z1260" s="1307">
        <f t="shared" si="97"/>
        <v>0</v>
      </c>
      <c r="AA1260" s="1307">
        <f t="shared" si="98"/>
        <v>27</v>
      </c>
      <c r="AB1260" s="1307">
        <f t="shared" si="99"/>
        <v>0</v>
      </c>
    </row>
    <row r="1261" spans="20:28">
      <c r="T1261" s="1077">
        <v>45</v>
      </c>
      <c r="U1261" s="1077">
        <f t="shared" si="95"/>
        <v>27</v>
      </c>
      <c r="V1261" s="1077">
        <v>28</v>
      </c>
      <c r="W1261" s="1077">
        <f t="array" ref="W1261">SUMPRODUCT(IF('卡片raw data'!BM$1:BM$1000=T1261,1,0),IF('卡片raw data'!BO$1:BO$1000=V1261,1,0),IF(IF('卡片raw data'!C$1:C$1000=R$3,1,0)+IF(R$3="",1,0)&gt;=1,1,0),IF(IF('卡片raw data'!D$1:D$1000=R$4,1,0)+IF(R$4="",1,0)&gt;=1,1,0),IF(IF('卡片raw data'!E$1:E$1000=R$5,1,0)+IF(R$5="",1,0)&gt;=1,1,0))</f>
        <v>0</v>
      </c>
      <c r="Y1261" s="1307">
        <f t="shared" si="96"/>
        <v>28</v>
      </c>
      <c r="Z1261" s="1307">
        <f t="shared" si="97"/>
        <v>0</v>
      </c>
      <c r="AA1261" s="1307">
        <f t="shared" si="98"/>
        <v>28</v>
      </c>
      <c r="AB1261" s="1307">
        <f t="shared" si="99"/>
        <v>0</v>
      </c>
    </row>
    <row r="1262" spans="20:28">
      <c r="T1262" s="1077">
        <v>45</v>
      </c>
      <c r="U1262" s="1077">
        <f t="shared" si="95"/>
        <v>26</v>
      </c>
      <c r="V1262" s="1077">
        <v>29</v>
      </c>
      <c r="W1262" s="1077">
        <f t="array" ref="W1262">SUMPRODUCT(IF('卡片raw data'!BM$1:BM$1000=T1262,1,0),IF('卡片raw data'!BO$1:BO$1000=V1262,1,0),IF(IF('卡片raw data'!C$1:C$1000=R$3,1,0)+IF(R$3="",1,0)&gt;=1,1,0),IF(IF('卡片raw data'!D$1:D$1000=R$4,1,0)+IF(R$4="",1,0)&gt;=1,1,0),IF(IF('卡片raw data'!E$1:E$1000=R$5,1,0)+IF(R$5="",1,0)&gt;=1,1,0))</f>
        <v>0</v>
      </c>
      <c r="Y1262" s="1307">
        <f t="shared" si="96"/>
        <v>29</v>
      </c>
      <c r="Z1262" s="1307">
        <f t="shared" si="97"/>
        <v>0</v>
      </c>
      <c r="AA1262" s="1307">
        <f t="shared" si="98"/>
        <v>29</v>
      </c>
      <c r="AB1262" s="1307">
        <f t="shared" si="99"/>
        <v>0</v>
      </c>
    </row>
    <row r="1263" spans="20:28">
      <c r="T1263" s="1077">
        <v>45</v>
      </c>
      <c r="U1263" s="1077">
        <f t="shared" si="95"/>
        <v>25</v>
      </c>
      <c r="V1263" s="1077">
        <v>30</v>
      </c>
      <c r="W1263" s="1077">
        <f t="array" ref="W1263">SUMPRODUCT(IF('卡片raw data'!BM$1:BM$1000=T1263,1,0),IF('卡片raw data'!BO$1:BO$1000=V1263,1,0),IF(IF('卡片raw data'!C$1:C$1000=R$3,1,0)+IF(R$3="",1,0)&gt;=1,1,0),IF(IF('卡片raw data'!D$1:D$1000=R$4,1,0)+IF(R$4="",1,0)&gt;=1,1,0),IF(IF('卡片raw data'!E$1:E$1000=R$5,1,0)+IF(R$5="",1,0)&gt;=1,1,0))</f>
        <v>1</v>
      </c>
      <c r="Y1263" s="1307">
        <f t="shared" si="96"/>
        <v>30</v>
      </c>
      <c r="Z1263" s="1307">
        <f t="shared" si="97"/>
        <v>0</v>
      </c>
      <c r="AA1263" s="1307">
        <f t="shared" si="98"/>
        <v>30</v>
      </c>
      <c r="AB1263" s="1307">
        <f t="shared" si="99"/>
        <v>1</v>
      </c>
    </row>
    <row r="1264" spans="20:28">
      <c r="T1264" s="1077">
        <v>45</v>
      </c>
      <c r="U1264" s="1077">
        <f t="shared" si="95"/>
        <v>24</v>
      </c>
      <c r="V1264" s="1077">
        <v>31</v>
      </c>
      <c r="W1264" s="1077">
        <f t="array" ref="W1264">SUMPRODUCT(IF('卡片raw data'!BM$1:BM$1000=T1264,1,0),IF('卡片raw data'!BO$1:BO$1000=V1264,1,0),IF(IF('卡片raw data'!C$1:C$1000=R$3,1,0)+IF(R$3="",1,0)&gt;=1,1,0),IF(IF('卡片raw data'!D$1:D$1000=R$4,1,0)+IF(R$4="",1,0)&gt;=1,1,0),IF(IF('卡片raw data'!E$1:E$1000=R$5,1,0)+IF(R$5="",1,0)&gt;=1,1,0))</f>
        <v>0</v>
      </c>
      <c r="Y1264" s="1307">
        <f t="shared" si="96"/>
        <v>31</v>
      </c>
      <c r="Z1264" s="1307">
        <f t="shared" si="97"/>
        <v>0</v>
      </c>
      <c r="AA1264" s="1307">
        <f t="shared" si="98"/>
        <v>31</v>
      </c>
      <c r="AB1264" s="1307">
        <f t="shared" si="99"/>
        <v>0</v>
      </c>
    </row>
    <row r="1265" spans="20:28">
      <c r="T1265" s="1077">
        <v>45</v>
      </c>
      <c r="U1265" s="1077">
        <f t="shared" si="95"/>
        <v>23</v>
      </c>
      <c r="V1265" s="1077">
        <v>32</v>
      </c>
      <c r="W1265" s="1077">
        <f t="array" ref="W1265">SUMPRODUCT(IF('卡片raw data'!BM$1:BM$1000=T1265,1,0),IF('卡片raw data'!BO$1:BO$1000=V1265,1,0),IF(IF('卡片raw data'!C$1:C$1000=R$3,1,0)+IF(R$3="",1,0)&gt;=1,1,0),IF(IF('卡片raw data'!D$1:D$1000=R$4,1,0)+IF(R$4="",1,0)&gt;=1,1,0),IF(IF('卡片raw data'!E$1:E$1000=R$5,1,0)+IF(R$5="",1,0)&gt;=1,1,0))</f>
        <v>0</v>
      </c>
      <c r="Y1265" s="1307">
        <f t="shared" si="96"/>
        <v>32</v>
      </c>
      <c r="Z1265" s="1307">
        <f t="shared" si="97"/>
        <v>0</v>
      </c>
      <c r="AA1265" s="1307">
        <f t="shared" si="98"/>
        <v>32</v>
      </c>
      <c r="AB1265" s="1307">
        <f t="shared" si="99"/>
        <v>0</v>
      </c>
    </row>
    <row r="1266" spans="20:28">
      <c r="T1266" s="1077">
        <v>45</v>
      </c>
      <c r="U1266" s="1077">
        <f t="shared" si="95"/>
        <v>22</v>
      </c>
      <c r="V1266" s="1077">
        <v>33</v>
      </c>
      <c r="W1266" s="1077">
        <f t="array" ref="W1266">SUMPRODUCT(IF('卡片raw data'!BM$1:BM$1000=T1266,1,0),IF('卡片raw data'!BO$1:BO$1000=V1266,1,0),IF(IF('卡片raw data'!C$1:C$1000=R$3,1,0)+IF(R$3="",1,0)&gt;=1,1,0),IF(IF('卡片raw data'!D$1:D$1000=R$4,1,0)+IF(R$4="",1,0)&gt;=1,1,0),IF(IF('卡片raw data'!E$1:E$1000=R$5,1,0)+IF(R$5="",1,0)&gt;=1,1,0))</f>
        <v>0</v>
      </c>
      <c r="Y1266" s="1307">
        <f t="shared" si="96"/>
        <v>33</v>
      </c>
      <c r="Z1266" s="1307">
        <f t="shared" si="97"/>
        <v>0</v>
      </c>
      <c r="AA1266" s="1307">
        <f t="shared" si="98"/>
        <v>33</v>
      </c>
      <c r="AB1266" s="1307">
        <f t="shared" si="99"/>
        <v>0</v>
      </c>
    </row>
    <row r="1267" spans="20:28">
      <c r="T1267" s="1077">
        <v>45</v>
      </c>
      <c r="U1267" s="1077">
        <f t="shared" si="95"/>
        <v>21</v>
      </c>
      <c r="V1267" s="1077">
        <v>34</v>
      </c>
      <c r="W1267" s="1077">
        <f t="array" ref="W1267">SUMPRODUCT(IF('卡片raw data'!BM$1:BM$1000=T1267,1,0),IF('卡片raw data'!BO$1:BO$1000=V1267,1,0),IF(IF('卡片raw data'!C$1:C$1000=R$3,1,0)+IF(R$3="",1,0)&gt;=1,1,0),IF(IF('卡片raw data'!D$1:D$1000=R$4,1,0)+IF(R$4="",1,0)&gt;=1,1,0),IF(IF('卡片raw data'!E$1:E$1000=R$5,1,0)+IF(R$5="",1,0)&gt;=1,1,0))</f>
        <v>0</v>
      </c>
      <c r="Y1267" s="1307">
        <f t="shared" si="96"/>
        <v>34</v>
      </c>
      <c r="Z1267" s="1307">
        <f t="shared" si="97"/>
        <v>0</v>
      </c>
      <c r="AA1267" s="1307">
        <f t="shared" si="98"/>
        <v>34</v>
      </c>
      <c r="AB1267" s="1307">
        <f t="shared" si="99"/>
        <v>0</v>
      </c>
    </row>
    <row r="1268" spans="20:28">
      <c r="T1268" s="1077">
        <v>45</v>
      </c>
      <c r="U1268" s="1077">
        <f t="shared" si="95"/>
        <v>20</v>
      </c>
      <c r="V1268" s="1077">
        <v>35</v>
      </c>
      <c r="W1268" s="1077">
        <f t="array" ref="W1268">SUMPRODUCT(IF('卡片raw data'!BM$1:BM$1000=T1268,1,0),IF('卡片raw data'!BO$1:BO$1000=V1268,1,0),IF(IF('卡片raw data'!C$1:C$1000=R$3,1,0)+IF(R$3="",1,0)&gt;=1,1,0),IF(IF('卡片raw data'!D$1:D$1000=R$4,1,0)+IF(R$4="",1,0)&gt;=1,1,0),IF(IF('卡片raw data'!E$1:E$1000=R$5,1,0)+IF(R$5="",1,0)&gt;=1,1,0))</f>
        <v>10</v>
      </c>
      <c r="Y1268" s="1307">
        <f t="shared" si="96"/>
        <v>35</v>
      </c>
      <c r="Z1268" s="1307">
        <f t="shared" si="97"/>
        <v>0</v>
      </c>
      <c r="AA1268" s="1307">
        <f t="shared" si="98"/>
        <v>35</v>
      </c>
      <c r="AB1268" s="1307">
        <f t="shared" si="99"/>
        <v>10</v>
      </c>
    </row>
    <row r="1269" spans="20:28">
      <c r="T1269" s="1077">
        <v>45</v>
      </c>
      <c r="U1269" s="1077">
        <f t="shared" si="95"/>
        <v>19</v>
      </c>
      <c r="V1269" s="1077">
        <v>36</v>
      </c>
      <c r="W1269" s="1077">
        <f t="array" ref="W1269">SUMPRODUCT(IF('卡片raw data'!BM$1:BM$1000=T1269,1,0),IF('卡片raw data'!BO$1:BO$1000=V1269,1,0),IF(IF('卡片raw data'!C$1:C$1000=R$3,1,0)+IF(R$3="",1,0)&gt;=1,1,0),IF(IF('卡片raw data'!D$1:D$1000=R$4,1,0)+IF(R$4="",1,0)&gt;=1,1,0),IF(IF('卡片raw data'!E$1:E$1000=R$5,1,0)+IF(R$5="",1,0)&gt;=1,1,0))</f>
        <v>1</v>
      </c>
      <c r="Y1269" s="1307">
        <f t="shared" si="96"/>
        <v>36</v>
      </c>
      <c r="Z1269" s="1307">
        <f t="shared" si="97"/>
        <v>0</v>
      </c>
      <c r="AA1269" s="1307">
        <f t="shared" si="98"/>
        <v>36</v>
      </c>
      <c r="AB1269" s="1307">
        <f t="shared" si="99"/>
        <v>1</v>
      </c>
    </row>
    <row r="1270" spans="20:28">
      <c r="T1270" s="1077">
        <v>45</v>
      </c>
      <c r="U1270" s="1077">
        <f t="shared" si="95"/>
        <v>18</v>
      </c>
      <c r="V1270" s="1077">
        <v>37</v>
      </c>
      <c r="W1270" s="1077">
        <f t="array" ref="W1270">SUMPRODUCT(IF('卡片raw data'!BM$1:BM$1000=T1270,1,0),IF('卡片raw data'!BO$1:BO$1000=V1270,1,0),IF(IF('卡片raw data'!C$1:C$1000=R$3,1,0)+IF(R$3="",1,0)&gt;=1,1,0),IF(IF('卡片raw data'!D$1:D$1000=R$4,1,0)+IF(R$4="",1,0)&gt;=1,1,0),IF(IF('卡片raw data'!E$1:E$1000=R$5,1,0)+IF(R$5="",1,0)&gt;=1,1,0))</f>
        <v>0</v>
      </c>
      <c r="Y1270" s="1307">
        <f t="shared" si="96"/>
        <v>37</v>
      </c>
      <c r="Z1270" s="1307">
        <f t="shared" si="97"/>
        <v>0</v>
      </c>
      <c r="AA1270" s="1307">
        <f t="shared" si="98"/>
        <v>37</v>
      </c>
      <c r="AB1270" s="1307">
        <f t="shared" si="99"/>
        <v>0</v>
      </c>
    </row>
    <row r="1271" spans="20:28">
      <c r="T1271" s="1077">
        <v>45</v>
      </c>
      <c r="U1271" s="1077">
        <f t="shared" si="95"/>
        <v>17</v>
      </c>
      <c r="V1271" s="1077">
        <v>38</v>
      </c>
      <c r="W1271" s="1077">
        <f t="array" ref="W1271">SUMPRODUCT(IF('卡片raw data'!BM$1:BM$1000=T1271,1,0),IF('卡片raw data'!BO$1:BO$1000=V1271,1,0),IF(IF('卡片raw data'!C$1:C$1000=R$3,1,0)+IF(R$3="",1,0)&gt;=1,1,0),IF(IF('卡片raw data'!D$1:D$1000=R$4,1,0)+IF(R$4="",1,0)&gt;=1,1,0),IF(IF('卡片raw data'!E$1:E$1000=R$5,1,0)+IF(R$5="",1,0)&gt;=1,1,0))</f>
        <v>0</v>
      </c>
      <c r="Y1271" s="1307">
        <f t="shared" si="96"/>
        <v>38</v>
      </c>
      <c r="Z1271" s="1307">
        <f t="shared" si="97"/>
        <v>0</v>
      </c>
      <c r="AA1271" s="1307">
        <f t="shared" si="98"/>
        <v>38</v>
      </c>
      <c r="AB1271" s="1307">
        <f t="shared" si="99"/>
        <v>0</v>
      </c>
    </row>
    <row r="1272" spans="20:28">
      <c r="T1272" s="1077">
        <v>45</v>
      </c>
      <c r="U1272" s="1077">
        <f t="shared" si="95"/>
        <v>16</v>
      </c>
      <c r="V1272" s="1077">
        <v>39</v>
      </c>
      <c r="W1272" s="1077">
        <f t="array" ref="W1272">SUMPRODUCT(IF('卡片raw data'!BM$1:BM$1000=T1272,1,0),IF('卡片raw data'!BO$1:BO$1000=V1272,1,0),IF(IF('卡片raw data'!C$1:C$1000=R$3,1,0)+IF(R$3="",1,0)&gt;=1,1,0),IF(IF('卡片raw data'!D$1:D$1000=R$4,1,0)+IF(R$4="",1,0)&gt;=1,1,0),IF(IF('卡片raw data'!E$1:E$1000=R$5,1,0)+IF(R$5="",1,0)&gt;=1,1,0))</f>
        <v>0</v>
      </c>
      <c r="Y1272" s="1307">
        <f t="shared" si="96"/>
        <v>39</v>
      </c>
      <c r="Z1272" s="1307">
        <f t="shared" si="97"/>
        <v>0</v>
      </c>
      <c r="AA1272" s="1307">
        <f t="shared" si="98"/>
        <v>39</v>
      </c>
      <c r="AB1272" s="1307">
        <f t="shared" si="99"/>
        <v>0</v>
      </c>
    </row>
    <row r="1273" spans="20:28">
      <c r="T1273" s="1077">
        <v>45</v>
      </c>
      <c r="U1273" s="1077">
        <f t="shared" si="95"/>
        <v>15</v>
      </c>
      <c r="V1273" s="1077">
        <v>40</v>
      </c>
      <c r="W1273" s="1077">
        <f t="array" ref="W1273">SUMPRODUCT(IF('卡片raw data'!BM$1:BM$1000=T1273,1,0),IF('卡片raw data'!BO$1:BO$1000=V1273,1,0),IF(IF('卡片raw data'!C$1:C$1000=R$3,1,0)+IF(R$3="",1,0)&gt;=1,1,0),IF(IF('卡片raw data'!D$1:D$1000=R$4,1,0)+IF(R$4="",1,0)&gt;=1,1,0),IF(IF('卡片raw data'!E$1:E$1000=R$5,1,0)+IF(R$5="",1,0)&gt;=1,1,0))</f>
        <v>0</v>
      </c>
      <c r="Y1273" s="1307">
        <f t="shared" si="96"/>
        <v>40</v>
      </c>
      <c r="Z1273" s="1307">
        <f t="shared" si="97"/>
        <v>0</v>
      </c>
      <c r="AA1273" s="1307">
        <f t="shared" si="98"/>
        <v>40</v>
      </c>
      <c r="AB1273" s="1307">
        <f t="shared" si="99"/>
        <v>0</v>
      </c>
    </row>
    <row r="1274" spans="20:28">
      <c r="T1274" s="1077">
        <v>45</v>
      </c>
      <c r="U1274" s="1077">
        <f t="shared" si="95"/>
        <v>14</v>
      </c>
      <c r="V1274" s="1077">
        <v>41</v>
      </c>
      <c r="W1274" s="1077">
        <f t="array" ref="W1274">SUMPRODUCT(IF('卡片raw data'!BM$1:BM$1000=T1274,1,0),IF('卡片raw data'!BO$1:BO$1000=V1274,1,0),IF(IF('卡片raw data'!C$1:C$1000=R$3,1,0)+IF(R$3="",1,0)&gt;=1,1,0),IF(IF('卡片raw data'!D$1:D$1000=R$4,1,0)+IF(R$4="",1,0)&gt;=1,1,0),IF(IF('卡片raw data'!E$1:E$1000=R$5,1,0)+IF(R$5="",1,0)&gt;=1,1,0))</f>
        <v>0</v>
      </c>
      <c r="Y1274" s="1307">
        <f t="shared" si="96"/>
        <v>41</v>
      </c>
      <c r="Z1274" s="1307">
        <f t="shared" si="97"/>
        <v>0</v>
      </c>
      <c r="AA1274" s="1307">
        <f t="shared" si="98"/>
        <v>41</v>
      </c>
      <c r="AB1274" s="1307">
        <f t="shared" si="99"/>
        <v>0</v>
      </c>
    </row>
    <row r="1275" spans="20:28">
      <c r="T1275" s="1077">
        <v>45</v>
      </c>
      <c r="U1275" s="1077">
        <f t="shared" si="95"/>
        <v>13</v>
      </c>
      <c r="V1275" s="1077">
        <v>42</v>
      </c>
      <c r="W1275" s="1077">
        <f t="array" ref="W1275">SUMPRODUCT(IF('卡片raw data'!BM$1:BM$1000=T1275,1,0),IF('卡片raw data'!BO$1:BO$1000=V1275,1,0),IF(IF('卡片raw data'!C$1:C$1000=R$3,1,0)+IF(R$3="",1,0)&gt;=1,1,0),IF(IF('卡片raw data'!D$1:D$1000=R$4,1,0)+IF(R$4="",1,0)&gt;=1,1,0),IF(IF('卡片raw data'!E$1:E$1000=R$5,1,0)+IF(R$5="",1,0)&gt;=1,1,0))</f>
        <v>4</v>
      </c>
      <c r="Y1275" s="1307">
        <f t="shared" si="96"/>
        <v>42</v>
      </c>
      <c r="Z1275" s="1307">
        <f t="shared" si="97"/>
        <v>0</v>
      </c>
      <c r="AA1275" s="1307">
        <f t="shared" si="98"/>
        <v>42</v>
      </c>
      <c r="AB1275" s="1307">
        <f t="shared" si="99"/>
        <v>4</v>
      </c>
    </row>
    <row r="1276" spans="20:28">
      <c r="T1276" s="1077">
        <v>45</v>
      </c>
      <c r="U1276" s="1077">
        <f t="shared" si="95"/>
        <v>12</v>
      </c>
      <c r="V1276" s="1077">
        <v>43</v>
      </c>
      <c r="W1276" s="1077">
        <f t="array" ref="W1276">SUMPRODUCT(IF('卡片raw data'!BM$1:BM$1000=T1276,1,0),IF('卡片raw data'!BO$1:BO$1000=V1276,1,0),IF(IF('卡片raw data'!C$1:C$1000=R$3,1,0)+IF(R$3="",1,0)&gt;=1,1,0),IF(IF('卡片raw data'!D$1:D$1000=R$4,1,0)+IF(R$4="",1,0)&gt;=1,1,0),IF(IF('卡片raw data'!E$1:E$1000=R$5,1,0)+IF(R$5="",1,0)&gt;=1,1,0))</f>
        <v>0</v>
      </c>
      <c r="Y1276" s="1307">
        <f t="shared" si="96"/>
        <v>43</v>
      </c>
      <c r="Z1276" s="1307">
        <f t="shared" si="97"/>
        <v>0</v>
      </c>
      <c r="AA1276" s="1307">
        <f t="shared" si="98"/>
        <v>43</v>
      </c>
      <c r="AB1276" s="1307">
        <f t="shared" si="99"/>
        <v>0</v>
      </c>
    </row>
    <row r="1277" spans="20:28">
      <c r="T1277" s="1077">
        <v>45</v>
      </c>
      <c r="U1277" s="1077">
        <f t="shared" si="95"/>
        <v>11</v>
      </c>
      <c r="V1277" s="1077">
        <v>44</v>
      </c>
      <c r="W1277" s="1077">
        <f t="array" ref="W1277">SUMPRODUCT(IF('卡片raw data'!BM$1:BM$1000=T1277,1,0),IF('卡片raw data'!BO$1:BO$1000=V1277,1,0),IF(IF('卡片raw data'!C$1:C$1000=R$3,1,0)+IF(R$3="",1,0)&gt;=1,1,0),IF(IF('卡片raw data'!D$1:D$1000=R$4,1,0)+IF(R$4="",1,0)&gt;=1,1,0),IF(IF('卡片raw data'!E$1:E$1000=R$5,1,0)+IF(R$5="",1,0)&gt;=1,1,0))</f>
        <v>0</v>
      </c>
      <c r="Y1277" s="1307">
        <f t="shared" si="96"/>
        <v>44</v>
      </c>
      <c r="Z1277" s="1307">
        <f t="shared" si="97"/>
        <v>0</v>
      </c>
      <c r="AA1277" s="1307">
        <f t="shared" si="98"/>
        <v>44</v>
      </c>
      <c r="AB1277" s="1307">
        <f t="shared" si="99"/>
        <v>0</v>
      </c>
    </row>
    <row r="1278" spans="20:28">
      <c r="T1278" s="1077">
        <v>45</v>
      </c>
      <c r="U1278" s="1077">
        <f t="shared" si="95"/>
        <v>10</v>
      </c>
      <c r="V1278" s="1077">
        <v>45</v>
      </c>
      <c r="W1278" s="1077">
        <f t="array" ref="W1278">SUMPRODUCT(IF('卡片raw data'!BM$1:BM$1000=T1278,1,0),IF('卡片raw data'!BO$1:BO$1000=V1278,1,0),IF(IF('卡片raw data'!C$1:C$1000=R$3,1,0)+IF(R$3="",1,0)&gt;=1,1,0),IF(IF('卡片raw data'!D$1:D$1000=R$4,1,0)+IF(R$4="",1,0)&gt;=1,1,0),IF(IF('卡片raw data'!E$1:E$1000=R$5,1,0)+IF(R$5="",1,0)&gt;=1,1,0))</f>
        <v>0</v>
      </c>
      <c r="Y1278" s="1307">
        <f t="shared" si="96"/>
        <v>45</v>
      </c>
      <c r="Z1278" s="1307">
        <f t="shared" si="97"/>
        <v>0</v>
      </c>
      <c r="AA1278" s="1307">
        <f t="shared" si="98"/>
        <v>45</v>
      </c>
      <c r="AB1278" s="1307">
        <f t="shared" si="99"/>
        <v>0</v>
      </c>
    </row>
    <row r="1279" spans="20:28">
      <c r="T1279" s="1077">
        <v>46</v>
      </c>
      <c r="U1279" s="1077">
        <f t="shared" si="95"/>
        <v>44</v>
      </c>
      <c r="V1279" s="1077">
        <v>10</v>
      </c>
      <c r="W1279" s="1077">
        <f t="array" ref="W1279">SUMPRODUCT(IF('卡片raw data'!BM$1:BM$1000=T1279,1,0),IF('卡片raw data'!BO$1:BO$1000=V1279,1,0),IF(IF('卡片raw data'!C$1:C$1000=R$3,1,0)+IF(R$3="",1,0)&gt;=1,1,0),IF(IF('卡片raw data'!D$1:D$1000=R$4,1,0)+IF(R$4="",1,0)&gt;=1,1,0),IF(IF('卡片raw data'!E$1:E$1000=R$5,1,0)+IF(R$5="",1,0)&gt;=1,1,0))</f>
        <v>0</v>
      </c>
      <c r="Y1279" s="1307">
        <f t="shared" si="96"/>
        <v>10</v>
      </c>
      <c r="Z1279" s="1307">
        <f t="shared" si="97"/>
        <v>0</v>
      </c>
      <c r="AA1279" s="1307">
        <f t="shared" si="98"/>
        <v>10</v>
      </c>
      <c r="AB1279" s="1307">
        <f t="shared" si="99"/>
        <v>0</v>
      </c>
    </row>
    <row r="1280" spans="20:28">
      <c r="T1280" s="1077">
        <v>46</v>
      </c>
      <c r="U1280" s="1077">
        <f t="shared" si="95"/>
        <v>43</v>
      </c>
      <c r="V1280" s="1077">
        <v>11</v>
      </c>
      <c r="W1280" s="1077">
        <f t="array" ref="W1280">SUMPRODUCT(IF('卡片raw data'!BM$1:BM$1000=T1280,1,0),IF('卡片raw data'!BO$1:BO$1000=V1280,1,0),IF(IF('卡片raw data'!C$1:C$1000=R$3,1,0)+IF(R$3="",1,0)&gt;=1,1,0),IF(IF('卡片raw data'!D$1:D$1000=R$4,1,0)+IF(R$4="",1,0)&gt;=1,1,0),IF(IF('卡片raw data'!E$1:E$1000=R$5,1,0)+IF(R$5="",1,0)&gt;=1,1,0))</f>
        <v>0</v>
      </c>
      <c r="Y1280" s="1307">
        <f t="shared" si="96"/>
        <v>11</v>
      </c>
      <c r="Z1280" s="1307">
        <f t="shared" si="97"/>
        <v>0</v>
      </c>
      <c r="AA1280" s="1307">
        <f t="shared" si="98"/>
        <v>11</v>
      </c>
      <c r="AB1280" s="1307">
        <f t="shared" si="99"/>
        <v>0</v>
      </c>
    </row>
    <row r="1281" spans="20:28">
      <c r="T1281" s="1077">
        <v>46</v>
      </c>
      <c r="U1281" s="1077">
        <f t="shared" si="95"/>
        <v>42</v>
      </c>
      <c r="V1281" s="1077">
        <v>12</v>
      </c>
      <c r="W1281" s="1077">
        <f t="array" ref="W1281">SUMPRODUCT(IF('卡片raw data'!BM$1:BM$1000=T1281,1,0),IF('卡片raw data'!BO$1:BO$1000=V1281,1,0),IF(IF('卡片raw data'!C$1:C$1000=R$3,1,0)+IF(R$3="",1,0)&gt;=1,1,0),IF(IF('卡片raw data'!D$1:D$1000=R$4,1,0)+IF(R$4="",1,0)&gt;=1,1,0),IF(IF('卡片raw data'!E$1:E$1000=R$5,1,0)+IF(R$5="",1,0)&gt;=1,1,0))</f>
        <v>0</v>
      </c>
      <c r="Y1281" s="1307">
        <f t="shared" si="96"/>
        <v>12</v>
      </c>
      <c r="Z1281" s="1307">
        <f t="shared" si="97"/>
        <v>0</v>
      </c>
      <c r="AA1281" s="1307">
        <f t="shared" si="98"/>
        <v>12</v>
      </c>
      <c r="AB1281" s="1307">
        <f t="shared" si="99"/>
        <v>0</v>
      </c>
    </row>
    <row r="1282" spans="20:28">
      <c r="T1282" s="1077">
        <v>46</v>
      </c>
      <c r="U1282" s="1077">
        <f t="shared" si="95"/>
        <v>41</v>
      </c>
      <c r="V1282" s="1077">
        <v>13</v>
      </c>
      <c r="W1282" s="1077">
        <f t="array" ref="W1282">SUMPRODUCT(IF('卡片raw data'!BM$1:BM$1000=T1282,1,0),IF('卡片raw data'!BO$1:BO$1000=V1282,1,0),IF(IF('卡片raw data'!C$1:C$1000=R$3,1,0)+IF(R$3="",1,0)&gt;=1,1,0),IF(IF('卡片raw data'!D$1:D$1000=R$4,1,0)+IF(R$4="",1,0)&gt;=1,1,0),IF(IF('卡片raw data'!E$1:E$1000=R$5,1,0)+IF(R$5="",1,0)&gt;=1,1,0))</f>
        <v>0</v>
      </c>
      <c r="Y1282" s="1307">
        <f t="shared" si="96"/>
        <v>13</v>
      </c>
      <c r="Z1282" s="1307">
        <f t="shared" si="97"/>
        <v>0</v>
      </c>
      <c r="AA1282" s="1307">
        <f t="shared" si="98"/>
        <v>13</v>
      </c>
      <c r="AB1282" s="1307">
        <f t="shared" si="99"/>
        <v>0</v>
      </c>
    </row>
    <row r="1283" spans="20:28">
      <c r="T1283" s="1077">
        <v>46</v>
      </c>
      <c r="U1283" s="1077">
        <f t="shared" si="95"/>
        <v>40</v>
      </c>
      <c r="V1283" s="1077">
        <v>14</v>
      </c>
      <c r="W1283" s="1077">
        <f t="array" ref="W1283">SUMPRODUCT(IF('卡片raw data'!BM$1:BM$1000=T1283,1,0),IF('卡片raw data'!BO$1:BO$1000=V1283,1,0),IF(IF('卡片raw data'!C$1:C$1000=R$3,1,0)+IF(R$3="",1,0)&gt;=1,1,0),IF(IF('卡片raw data'!D$1:D$1000=R$4,1,0)+IF(R$4="",1,0)&gt;=1,1,0),IF(IF('卡片raw data'!E$1:E$1000=R$5,1,0)+IF(R$5="",1,0)&gt;=1,1,0))</f>
        <v>0</v>
      </c>
      <c r="Y1283" s="1307">
        <f t="shared" si="96"/>
        <v>14</v>
      </c>
      <c r="Z1283" s="1307">
        <f t="shared" si="97"/>
        <v>0</v>
      </c>
      <c r="AA1283" s="1307">
        <f t="shared" si="98"/>
        <v>14</v>
      </c>
      <c r="AB1283" s="1307">
        <f t="shared" si="99"/>
        <v>0</v>
      </c>
    </row>
    <row r="1284" spans="20:28">
      <c r="T1284" s="1077">
        <v>46</v>
      </c>
      <c r="U1284" s="1077">
        <f t="shared" ref="U1284:U1347" si="100">100-T1284-V1284</f>
        <v>39</v>
      </c>
      <c r="V1284" s="1077">
        <v>15</v>
      </c>
      <c r="W1284" s="1077">
        <f t="array" ref="W1284">SUMPRODUCT(IF('卡片raw data'!BM$1:BM$1000=T1284,1,0),IF('卡片raw data'!BO$1:BO$1000=V1284,1,0),IF(IF('卡片raw data'!C$1:C$1000=R$3,1,0)+IF(R$3="",1,0)&gt;=1,1,0),IF(IF('卡片raw data'!D$1:D$1000=R$4,1,0)+IF(R$4="",1,0)&gt;=1,1,0),IF(IF('卡片raw data'!E$1:E$1000=R$5,1,0)+IF(R$5="",1,0)&gt;=1,1,0))</f>
        <v>0</v>
      </c>
      <c r="Y1284" s="1307">
        <f t="shared" ref="Y1284:Y1347" si="101">V1284</f>
        <v>15</v>
      </c>
      <c r="Z1284" s="1307">
        <f t="shared" ref="Z1284:Z1347" si="102">IF(AND(V1284&gt;U1284,V1284&gt;T1284),W1284,0)</f>
        <v>0</v>
      </c>
      <c r="AA1284" s="1307">
        <f t="shared" ref="AA1284:AA1347" si="103">V1284</f>
        <v>15</v>
      </c>
      <c r="AB1284" s="1307">
        <f t="shared" ref="AB1284:AB1347" si="104">W1284-Z1284</f>
        <v>0</v>
      </c>
    </row>
    <row r="1285" spans="20:28">
      <c r="T1285" s="1077">
        <v>46</v>
      </c>
      <c r="U1285" s="1077">
        <f t="shared" si="100"/>
        <v>38</v>
      </c>
      <c r="V1285" s="1077">
        <v>16</v>
      </c>
      <c r="W1285" s="1077">
        <f t="array" ref="W1285">SUMPRODUCT(IF('卡片raw data'!BM$1:BM$1000=T1285,1,0),IF('卡片raw data'!BO$1:BO$1000=V1285,1,0),IF(IF('卡片raw data'!C$1:C$1000=R$3,1,0)+IF(R$3="",1,0)&gt;=1,1,0),IF(IF('卡片raw data'!D$1:D$1000=R$4,1,0)+IF(R$4="",1,0)&gt;=1,1,0),IF(IF('卡片raw data'!E$1:E$1000=R$5,1,0)+IF(R$5="",1,0)&gt;=1,1,0))</f>
        <v>0</v>
      </c>
      <c r="Y1285" s="1307">
        <f t="shared" si="101"/>
        <v>16</v>
      </c>
      <c r="Z1285" s="1307">
        <f t="shared" si="102"/>
        <v>0</v>
      </c>
      <c r="AA1285" s="1307">
        <f t="shared" si="103"/>
        <v>16</v>
      </c>
      <c r="AB1285" s="1307">
        <f t="shared" si="104"/>
        <v>0</v>
      </c>
    </row>
    <row r="1286" spans="20:28">
      <c r="T1286" s="1077">
        <v>46</v>
      </c>
      <c r="U1286" s="1077">
        <f t="shared" si="100"/>
        <v>37</v>
      </c>
      <c r="V1286" s="1077">
        <v>17</v>
      </c>
      <c r="W1286" s="1077">
        <f t="array" ref="W1286">SUMPRODUCT(IF('卡片raw data'!BM$1:BM$1000=T1286,1,0),IF('卡片raw data'!BO$1:BO$1000=V1286,1,0),IF(IF('卡片raw data'!C$1:C$1000=R$3,1,0)+IF(R$3="",1,0)&gt;=1,1,0),IF(IF('卡片raw data'!D$1:D$1000=R$4,1,0)+IF(R$4="",1,0)&gt;=1,1,0),IF(IF('卡片raw data'!E$1:E$1000=R$5,1,0)+IF(R$5="",1,0)&gt;=1,1,0))</f>
        <v>0</v>
      </c>
      <c r="Y1286" s="1307">
        <f t="shared" si="101"/>
        <v>17</v>
      </c>
      <c r="Z1286" s="1307">
        <f t="shared" si="102"/>
        <v>0</v>
      </c>
      <c r="AA1286" s="1307">
        <f t="shared" si="103"/>
        <v>17</v>
      </c>
      <c r="AB1286" s="1307">
        <f t="shared" si="104"/>
        <v>0</v>
      </c>
    </row>
    <row r="1287" spans="20:28">
      <c r="T1287" s="1077">
        <v>46</v>
      </c>
      <c r="U1287" s="1077">
        <f t="shared" si="100"/>
        <v>36</v>
      </c>
      <c r="V1287" s="1077">
        <v>18</v>
      </c>
      <c r="W1287" s="1077">
        <f t="array" ref="W1287">SUMPRODUCT(IF('卡片raw data'!BM$1:BM$1000=T1287,1,0),IF('卡片raw data'!BO$1:BO$1000=V1287,1,0),IF(IF('卡片raw data'!C$1:C$1000=R$3,1,0)+IF(R$3="",1,0)&gt;=1,1,0),IF(IF('卡片raw data'!D$1:D$1000=R$4,1,0)+IF(R$4="",1,0)&gt;=1,1,0),IF(IF('卡片raw data'!E$1:E$1000=R$5,1,0)+IF(R$5="",1,0)&gt;=1,1,0))</f>
        <v>0</v>
      </c>
      <c r="Y1287" s="1307">
        <f t="shared" si="101"/>
        <v>18</v>
      </c>
      <c r="Z1287" s="1307">
        <f t="shared" si="102"/>
        <v>0</v>
      </c>
      <c r="AA1287" s="1307">
        <f t="shared" si="103"/>
        <v>18</v>
      </c>
      <c r="AB1287" s="1307">
        <f t="shared" si="104"/>
        <v>0</v>
      </c>
    </row>
    <row r="1288" spans="20:28">
      <c r="T1288" s="1077">
        <v>46</v>
      </c>
      <c r="U1288" s="1077">
        <f t="shared" si="100"/>
        <v>35</v>
      </c>
      <c r="V1288" s="1077">
        <v>19</v>
      </c>
      <c r="W1288" s="1077">
        <f t="array" ref="W1288">SUMPRODUCT(IF('卡片raw data'!BM$1:BM$1000=T1288,1,0),IF('卡片raw data'!BO$1:BO$1000=V1288,1,0),IF(IF('卡片raw data'!C$1:C$1000=R$3,1,0)+IF(R$3="",1,0)&gt;=1,1,0),IF(IF('卡片raw data'!D$1:D$1000=R$4,1,0)+IF(R$4="",1,0)&gt;=1,1,0),IF(IF('卡片raw data'!E$1:E$1000=R$5,1,0)+IF(R$5="",1,0)&gt;=1,1,0))</f>
        <v>0</v>
      </c>
      <c r="Y1288" s="1307">
        <f t="shared" si="101"/>
        <v>19</v>
      </c>
      <c r="Z1288" s="1307">
        <f t="shared" si="102"/>
        <v>0</v>
      </c>
      <c r="AA1288" s="1307">
        <f t="shared" si="103"/>
        <v>19</v>
      </c>
      <c r="AB1288" s="1307">
        <f t="shared" si="104"/>
        <v>0</v>
      </c>
    </row>
    <row r="1289" spans="20:28">
      <c r="T1289" s="1077">
        <v>46</v>
      </c>
      <c r="U1289" s="1077">
        <f t="shared" si="100"/>
        <v>34</v>
      </c>
      <c r="V1289" s="1077">
        <v>20</v>
      </c>
      <c r="W1289" s="1077">
        <f t="array" ref="W1289">SUMPRODUCT(IF('卡片raw data'!BM$1:BM$1000=T1289,1,0),IF('卡片raw data'!BO$1:BO$1000=V1289,1,0),IF(IF('卡片raw data'!C$1:C$1000=R$3,1,0)+IF(R$3="",1,0)&gt;=1,1,0),IF(IF('卡片raw data'!D$1:D$1000=R$4,1,0)+IF(R$4="",1,0)&gt;=1,1,0),IF(IF('卡片raw data'!E$1:E$1000=R$5,1,0)+IF(R$5="",1,0)&gt;=1,1,0))</f>
        <v>0</v>
      </c>
      <c r="Y1289" s="1307">
        <f t="shared" si="101"/>
        <v>20</v>
      </c>
      <c r="Z1289" s="1307">
        <f t="shared" si="102"/>
        <v>0</v>
      </c>
      <c r="AA1289" s="1307">
        <f t="shared" si="103"/>
        <v>20</v>
      </c>
      <c r="AB1289" s="1307">
        <f t="shared" si="104"/>
        <v>0</v>
      </c>
    </row>
    <row r="1290" spans="20:28">
      <c r="T1290" s="1077">
        <v>46</v>
      </c>
      <c r="U1290" s="1077">
        <f t="shared" si="100"/>
        <v>33</v>
      </c>
      <c r="V1290" s="1077">
        <v>21</v>
      </c>
      <c r="W1290" s="1077">
        <f t="array" ref="W1290">SUMPRODUCT(IF('卡片raw data'!BM$1:BM$1000=T1290,1,0),IF('卡片raw data'!BO$1:BO$1000=V1290,1,0),IF(IF('卡片raw data'!C$1:C$1000=R$3,1,0)+IF(R$3="",1,0)&gt;=1,1,0),IF(IF('卡片raw data'!D$1:D$1000=R$4,1,0)+IF(R$4="",1,0)&gt;=1,1,0),IF(IF('卡片raw data'!E$1:E$1000=R$5,1,0)+IF(R$5="",1,0)&gt;=1,1,0))</f>
        <v>0</v>
      </c>
      <c r="Y1290" s="1307">
        <f t="shared" si="101"/>
        <v>21</v>
      </c>
      <c r="Z1290" s="1307">
        <f t="shared" si="102"/>
        <v>0</v>
      </c>
      <c r="AA1290" s="1307">
        <f t="shared" si="103"/>
        <v>21</v>
      </c>
      <c r="AB1290" s="1307">
        <f t="shared" si="104"/>
        <v>0</v>
      </c>
    </row>
    <row r="1291" spans="20:28">
      <c r="T1291" s="1077">
        <v>46</v>
      </c>
      <c r="U1291" s="1077">
        <f t="shared" si="100"/>
        <v>32</v>
      </c>
      <c r="V1291" s="1077">
        <v>22</v>
      </c>
      <c r="W1291" s="1077">
        <f t="array" ref="W1291">SUMPRODUCT(IF('卡片raw data'!BM$1:BM$1000=T1291,1,0),IF('卡片raw data'!BO$1:BO$1000=V1291,1,0),IF(IF('卡片raw data'!C$1:C$1000=R$3,1,0)+IF(R$3="",1,0)&gt;=1,1,0),IF(IF('卡片raw data'!D$1:D$1000=R$4,1,0)+IF(R$4="",1,0)&gt;=1,1,0),IF(IF('卡片raw data'!E$1:E$1000=R$5,1,0)+IF(R$5="",1,0)&gt;=1,1,0))</f>
        <v>0</v>
      </c>
      <c r="Y1291" s="1307">
        <f t="shared" si="101"/>
        <v>22</v>
      </c>
      <c r="Z1291" s="1307">
        <f t="shared" si="102"/>
        <v>0</v>
      </c>
      <c r="AA1291" s="1307">
        <f t="shared" si="103"/>
        <v>22</v>
      </c>
      <c r="AB1291" s="1307">
        <f t="shared" si="104"/>
        <v>0</v>
      </c>
    </row>
    <row r="1292" spans="20:28">
      <c r="T1292" s="1077">
        <v>46</v>
      </c>
      <c r="U1292" s="1077">
        <f t="shared" si="100"/>
        <v>31</v>
      </c>
      <c r="V1292" s="1077">
        <v>23</v>
      </c>
      <c r="W1292" s="1077">
        <f t="array" ref="W1292">SUMPRODUCT(IF('卡片raw data'!BM$1:BM$1000=T1292,1,0),IF('卡片raw data'!BO$1:BO$1000=V1292,1,0),IF(IF('卡片raw data'!C$1:C$1000=R$3,1,0)+IF(R$3="",1,0)&gt;=1,1,0),IF(IF('卡片raw data'!D$1:D$1000=R$4,1,0)+IF(R$4="",1,0)&gt;=1,1,0),IF(IF('卡片raw data'!E$1:E$1000=R$5,1,0)+IF(R$5="",1,0)&gt;=1,1,0))</f>
        <v>0</v>
      </c>
      <c r="Y1292" s="1307">
        <f t="shared" si="101"/>
        <v>23</v>
      </c>
      <c r="Z1292" s="1307">
        <f t="shared" si="102"/>
        <v>0</v>
      </c>
      <c r="AA1292" s="1307">
        <f t="shared" si="103"/>
        <v>23</v>
      </c>
      <c r="AB1292" s="1307">
        <f t="shared" si="104"/>
        <v>0</v>
      </c>
    </row>
    <row r="1293" spans="20:28">
      <c r="T1293" s="1077">
        <v>46</v>
      </c>
      <c r="U1293" s="1077">
        <f t="shared" si="100"/>
        <v>30</v>
      </c>
      <c r="V1293" s="1077">
        <v>24</v>
      </c>
      <c r="W1293" s="1077">
        <f t="array" ref="W1293">SUMPRODUCT(IF('卡片raw data'!BM$1:BM$1000=T1293,1,0),IF('卡片raw data'!BO$1:BO$1000=V1293,1,0),IF(IF('卡片raw data'!C$1:C$1000=R$3,1,0)+IF(R$3="",1,0)&gt;=1,1,0),IF(IF('卡片raw data'!D$1:D$1000=R$4,1,0)+IF(R$4="",1,0)&gt;=1,1,0),IF(IF('卡片raw data'!E$1:E$1000=R$5,1,0)+IF(R$5="",1,0)&gt;=1,1,0))</f>
        <v>0</v>
      </c>
      <c r="Y1293" s="1307">
        <f t="shared" si="101"/>
        <v>24</v>
      </c>
      <c r="Z1293" s="1307">
        <f t="shared" si="102"/>
        <v>0</v>
      </c>
      <c r="AA1293" s="1307">
        <f t="shared" si="103"/>
        <v>24</v>
      </c>
      <c r="AB1293" s="1307">
        <f t="shared" si="104"/>
        <v>0</v>
      </c>
    </row>
    <row r="1294" spans="20:28">
      <c r="T1294" s="1077">
        <v>46</v>
      </c>
      <c r="U1294" s="1077">
        <f t="shared" si="100"/>
        <v>29</v>
      </c>
      <c r="V1294" s="1077">
        <v>25</v>
      </c>
      <c r="W1294" s="1077">
        <f t="array" ref="W1294">SUMPRODUCT(IF('卡片raw data'!BM$1:BM$1000=T1294,1,0),IF('卡片raw data'!BO$1:BO$1000=V1294,1,0),IF(IF('卡片raw data'!C$1:C$1000=R$3,1,0)+IF(R$3="",1,0)&gt;=1,1,0),IF(IF('卡片raw data'!D$1:D$1000=R$4,1,0)+IF(R$4="",1,0)&gt;=1,1,0),IF(IF('卡片raw data'!E$1:E$1000=R$5,1,0)+IF(R$5="",1,0)&gt;=1,1,0))</f>
        <v>0</v>
      </c>
      <c r="Y1294" s="1307">
        <f t="shared" si="101"/>
        <v>25</v>
      </c>
      <c r="Z1294" s="1307">
        <f t="shared" si="102"/>
        <v>0</v>
      </c>
      <c r="AA1294" s="1307">
        <f t="shared" si="103"/>
        <v>25</v>
      </c>
      <c r="AB1294" s="1307">
        <f t="shared" si="104"/>
        <v>0</v>
      </c>
    </row>
    <row r="1295" spans="20:28">
      <c r="T1295" s="1077">
        <v>46</v>
      </c>
      <c r="U1295" s="1077">
        <f t="shared" si="100"/>
        <v>28</v>
      </c>
      <c r="V1295" s="1077">
        <v>26</v>
      </c>
      <c r="W1295" s="1077">
        <f t="array" ref="W1295">SUMPRODUCT(IF('卡片raw data'!BM$1:BM$1000=T1295,1,0),IF('卡片raw data'!BO$1:BO$1000=V1295,1,0),IF(IF('卡片raw data'!C$1:C$1000=R$3,1,0)+IF(R$3="",1,0)&gt;=1,1,0),IF(IF('卡片raw data'!D$1:D$1000=R$4,1,0)+IF(R$4="",1,0)&gt;=1,1,0),IF(IF('卡片raw data'!E$1:E$1000=R$5,1,0)+IF(R$5="",1,0)&gt;=1,1,0))</f>
        <v>0</v>
      </c>
      <c r="Y1295" s="1307">
        <f t="shared" si="101"/>
        <v>26</v>
      </c>
      <c r="Z1295" s="1307">
        <f t="shared" si="102"/>
        <v>0</v>
      </c>
      <c r="AA1295" s="1307">
        <f t="shared" si="103"/>
        <v>26</v>
      </c>
      <c r="AB1295" s="1307">
        <f t="shared" si="104"/>
        <v>0</v>
      </c>
    </row>
    <row r="1296" spans="20:28">
      <c r="T1296" s="1077">
        <v>46</v>
      </c>
      <c r="U1296" s="1077">
        <f t="shared" si="100"/>
        <v>27</v>
      </c>
      <c r="V1296" s="1077">
        <v>27</v>
      </c>
      <c r="W1296" s="1077">
        <f t="array" ref="W1296">SUMPRODUCT(IF('卡片raw data'!BM$1:BM$1000=T1296,1,0),IF('卡片raw data'!BO$1:BO$1000=V1296,1,0),IF(IF('卡片raw data'!C$1:C$1000=R$3,1,0)+IF(R$3="",1,0)&gt;=1,1,0),IF(IF('卡片raw data'!D$1:D$1000=R$4,1,0)+IF(R$4="",1,0)&gt;=1,1,0),IF(IF('卡片raw data'!E$1:E$1000=R$5,1,0)+IF(R$5="",1,0)&gt;=1,1,0))</f>
        <v>0</v>
      </c>
      <c r="Y1296" s="1307">
        <f t="shared" si="101"/>
        <v>27</v>
      </c>
      <c r="Z1296" s="1307">
        <f t="shared" si="102"/>
        <v>0</v>
      </c>
      <c r="AA1296" s="1307">
        <f t="shared" si="103"/>
        <v>27</v>
      </c>
      <c r="AB1296" s="1307">
        <f t="shared" si="104"/>
        <v>0</v>
      </c>
    </row>
    <row r="1297" spans="20:28">
      <c r="T1297" s="1077">
        <v>46</v>
      </c>
      <c r="U1297" s="1077">
        <f t="shared" si="100"/>
        <v>26</v>
      </c>
      <c r="V1297" s="1077">
        <v>28</v>
      </c>
      <c r="W1297" s="1077">
        <f t="array" ref="W1297">SUMPRODUCT(IF('卡片raw data'!BM$1:BM$1000=T1297,1,0),IF('卡片raw data'!BO$1:BO$1000=V1297,1,0),IF(IF('卡片raw data'!C$1:C$1000=R$3,1,0)+IF(R$3="",1,0)&gt;=1,1,0),IF(IF('卡片raw data'!D$1:D$1000=R$4,1,0)+IF(R$4="",1,0)&gt;=1,1,0),IF(IF('卡片raw data'!E$1:E$1000=R$5,1,0)+IF(R$5="",1,0)&gt;=1,1,0))</f>
        <v>1</v>
      </c>
      <c r="Y1297" s="1307">
        <f t="shared" si="101"/>
        <v>28</v>
      </c>
      <c r="Z1297" s="1307">
        <f t="shared" si="102"/>
        <v>0</v>
      </c>
      <c r="AA1297" s="1307">
        <f t="shared" si="103"/>
        <v>28</v>
      </c>
      <c r="AB1297" s="1307">
        <f t="shared" si="104"/>
        <v>1</v>
      </c>
    </row>
    <row r="1298" spans="20:28">
      <c r="T1298" s="1077">
        <v>46</v>
      </c>
      <c r="U1298" s="1077">
        <f t="shared" si="100"/>
        <v>25</v>
      </c>
      <c r="V1298" s="1077">
        <v>29</v>
      </c>
      <c r="W1298" s="1077">
        <f t="array" ref="W1298">SUMPRODUCT(IF('卡片raw data'!BM$1:BM$1000=T1298,1,0),IF('卡片raw data'!BO$1:BO$1000=V1298,1,0),IF(IF('卡片raw data'!C$1:C$1000=R$3,1,0)+IF(R$3="",1,0)&gt;=1,1,0),IF(IF('卡片raw data'!D$1:D$1000=R$4,1,0)+IF(R$4="",1,0)&gt;=1,1,0),IF(IF('卡片raw data'!E$1:E$1000=R$5,1,0)+IF(R$5="",1,0)&gt;=1,1,0))</f>
        <v>0</v>
      </c>
      <c r="Y1298" s="1307">
        <f t="shared" si="101"/>
        <v>29</v>
      </c>
      <c r="Z1298" s="1307">
        <f t="shared" si="102"/>
        <v>0</v>
      </c>
      <c r="AA1298" s="1307">
        <f t="shared" si="103"/>
        <v>29</v>
      </c>
      <c r="AB1298" s="1307">
        <f t="shared" si="104"/>
        <v>0</v>
      </c>
    </row>
    <row r="1299" spans="20:28">
      <c r="T1299" s="1077">
        <v>46</v>
      </c>
      <c r="U1299" s="1077">
        <f t="shared" si="100"/>
        <v>24</v>
      </c>
      <c r="V1299" s="1077">
        <v>30</v>
      </c>
      <c r="W1299" s="1077">
        <f t="array" ref="W1299">SUMPRODUCT(IF('卡片raw data'!BM$1:BM$1000=T1299,1,0),IF('卡片raw data'!BO$1:BO$1000=V1299,1,0),IF(IF('卡片raw data'!C$1:C$1000=R$3,1,0)+IF(R$3="",1,0)&gt;=1,1,0),IF(IF('卡片raw data'!D$1:D$1000=R$4,1,0)+IF(R$4="",1,0)&gt;=1,1,0),IF(IF('卡片raw data'!E$1:E$1000=R$5,1,0)+IF(R$5="",1,0)&gt;=1,1,0))</f>
        <v>0</v>
      </c>
      <c r="Y1299" s="1307">
        <f t="shared" si="101"/>
        <v>30</v>
      </c>
      <c r="Z1299" s="1307">
        <f t="shared" si="102"/>
        <v>0</v>
      </c>
      <c r="AA1299" s="1307">
        <f t="shared" si="103"/>
        <v>30</v>
      </c>
      <c r="AB1299" s="1307">
        <f t="shared" si="104"/>
        <v>0</v>
      </c>
    </row>
    <row r="1300" spans="20:28">
      <c r="T1300" s="1077">
        <v>46</v>
      </c>
      <c r="U1300" s="1077">
        <f t="shared" si="100"/>
        <v>23</v>
      </c>
      <c r="V1300" s="1077">
        <v>31</v>
      </c>
      <c r="W1300" s="1077">
        <f t="array" ref="W1300">SUMPRODUCT(IF('卡片raw data'!BM$1:BM$1000=T1300,1,0),IF('卡片raw data'!BO$1:BO$1000=V1300,1,0),IF(IF('卡片raw data'!C$1:C$1000=R$3,1,0)+IF(R$3="",1,0)&gt;=1,1,0),IF(IF('卡片raw data'!D$1:D$1000=R$4,1,0)+IF(R$4="",1,0)&gt;=1,1,0),IF(IF('卡片raw data'!E$1:E$1000=R$5,1,0)+IF(R$5="",1,0)&gt;=1,1,0))</f>
        <v>1</v>
      </c>
      <c r="Y1300" s="1307">
        <f t="shared" si="101"/>
        <v>31</v>
      </c>
      <c r="Z1300" s="1307">
        <f t="shared" si="102"/>
        <v>0</v>
      </c>
      <c r="AA1300" s="1307">
        <f t="shared" si="103"/>
        <v>31</v>
      </c>
      <c r="AB1300" s="1307">
        <f t="shared" si="104"/>
        <v>1</v>
      </c>
    </row>
    <row r="1301" spans="20:28">
      <c r="T1301" s="1077">
        <v>46</v>
      </c>
      <c r="U1301" s="1077">
        <f t="shared" si="100"/>
        <v>22</v>
      </c>
      <c r="V1301" s="1077">
        <v>32</v>
      </c>
      <c r="W1301" s="1077">
        <f t="array" ref="W1301">SUMPRODUCT(IF('卡片raw data'!BM$1:BM$1000=T1301,1,0),IF('卡片raw data'!BO$1:BO$1000=V1301,1,0),IF(IF('卡片raw data'!C$1:C$1000=R$3,1,0)+IF(R$3="",1,0)&gt;=1,1,0),IF(IF('卡片raw data'!D$1:D$1000=R$4,1,0)+IF(R$4="",1,0)&gt;=1,1,0),IF(IF('卡片raw data'!E$1:E$1000=R$5,1,0)+IF(R$5="",1,0)&gt;=1,1,0))</f>
        <v>0</v>
      </c>
      <c r="Y1301" s="1307">
        <f t="shared" si="101"/>
        <v>32</v>
      </c>
      <c r="Z1301" s="1307">
        <f t="shared" si="102"/>
        <v>0</v>
      </c>
      <c r="AA1301" s="1307">
        <f t="shared" si="103"/>
        <v>32</v>
      </c>
      <c r="AB1301" s="1307">
        <f t="shared" si="104"/>
        <v>0</v>
      </c>
    </row>
    <row r="1302" spans="20:28">
      <c r="T1302" s="1077">
        <v>46</v>
      </c>
      <c r="U1302" s="1077">
        <f t="shared" si="100"/>
        <v>21</v>
      </c>
      <c r="V1302" s="1077">
        <v>33</v>
      </c>
      <c r="W1302" s="1077">
        <f t="array" ref="W1302">SUMPRODUCT(IF('卡片raw data'!BM$1:BM$1000=T1302,1,0),IF('卡片raw data'!BO$1:BO$1000=V1302,1,0),IF(IF('卡片raw data'!C$1:C$1000=R$3,1,0)+IF(R$3="",1,0)&gt;=1,1,0),IF(IF('卡片raw data'!D$1:D$1000=R$4,1,0)+IF(R$4="",1,0)&gt;=1,1,0),IF(IF('卡片raw data'!E$1:E$1000=R$5,1,0)+IF(R$5="",1,0)&gt;=1,1,0))</f>
        <v>0</v>
      </c>
      <c r="Y1302" s="1307">
        <f t="shared" si="101"/>
        <v>33</v>
      </c>
      <c r="Z1302" s="1307">
        <f t="shared" si="102"/>
        <v>0</v>
      </c>
      <c r="AA1302" s="1307">
        <f t="shared" si="103"/>
        <v>33</v>
      </c>
      <c r="AB1302" s="1307">
        <f t="shared" si="104"/>
        <v>0</v>
      </c>
    </row>
    <row r="1303" spans="20:28">
      <c r="T1303" s="1077">
        <v>46</v>
      </c>
      <c r="U1303" s="1077">
        <f t="shared" si="100"/>
        <v>20</v>
      </c>
      <c r="V1303" s="1077">
        <v>34</v>
      </c>
      <c r="W1303" s="1077">
        <f t="array" ref="W1303">SUMPRODUCT(IF('卡片raw data'!BM$1:BM$1000=T1303,1,0),IF('卡片raw data'!BO$1:BO$1000=V1303,1,0),IF(IF('卡片raw data'!C$1:C$1000=R$3,1,0)+IF(R$3="",1,0)&gt;=1,1,0),IF(IF('卡片raw data'!D$1:D$1000=R$4,1,0)+IF(R$4="",1,0)&gt;=1,1,0),IF(IF('卡片raw data'!E$1:E$1000=R$5,1,0)+IF(R$5="",1,0)&gt;=1,1,0))</f>
        <v>1</v>
      </c>
      <c r="Y1303" s="1307">
        <f t="shared" si="101"/>
        <v>34</v>
      </c>
      <c r="Z1303" s="1307">
        <f t="shared" si="102"/>
        <v>0</v>
      </c>
      <c r="AA1303" s="1307">
        <f t="shared" si="103"/>
        <v>34</v>
      </c>
      <c r="AB1303" s="1307">
        <f t="shared" si="104"/>
        <v>1</v>
      </c>
    </row>
    <row r="1304" spans="20:28">
      <c r="T1304" s="1077">
        <v>46</v>
      </c>
      <c r="U1304" s="1077">
        <f t="shared" si="100"/>
        <v>19</v>
      </c>
      <c r="V1304" s="1077">
        <v>35</v>
      </c>
      <c r="W1304" s="1077">
        <f t="array" ref="W1304">SUMPRODUCT(IF('卡片raw data'!BM$1:BM$1000=T1304,1,0),IF('卡片raw data'!BO$1:BO$1000=V1304,1,0),IF(IF('卡片raw data'!C$1:C$1000=R$3,1,0)+IF(R$3="",1,0)&gt;=1,1,0),IF(IF('卡片raw data'!D$1:D$1000=R$4,1,0)+IF(R$4="",1,0)&gt;=1,1,0),IF(IF('卡片raw data'!E$1:E$1000=R$5,1,0)+IF(R$5="",1,0)&gt;=1,1,0))</f>
        <v>0</v>
      </c>
      <c r="Y1304" s="1307">
        <f t="shared" si="101"/>
        <v>35</v>
      </c>
      <c r="Z1304" s="1307">
        <f t="shared" si="102"/>
        <v>0</v>
      </c>
      <c r="AA1304" s="1307">
        <f t="shared" si="103"/>
        <v>35</v>
      </c>
      <c r="AB1304" s="1307">
        <f t="shared" si="104"/>
        <v>0</v>
      </c>
    </row>
    <row r="1305" spans="20:28">
      <c r="T1305" s="1077">
        <v>46</v>
      </c>
      <c r="U1305" s="1077">
        <f t="shared" si="100"/>
        <v>18</v>
      </c>
      <c r="V1305" s="1077">
        <v>36</v>
      </c>
      <c r="W1305" s="1077">
        <f t="array" ref="W1305">SUMPRODUCT(IF('卡片raw data'!BM$1:BM$1000=T1305,1,0),IF('卡片raw data'!BO$1:BO$1000=V1305,1,0),IF(IF('卡片raw data'!C$1:C$1000=R$3,1,0)+IF(R$3="",1,0)&gt;=1,1,0),IF(IF('卡片raw data'!D$1:D$1000=R$4,1,0)+IF(R$4="",1,0)&gt;=1,1,0),IF(IF('卡片raw data'!E$1:E$1000=R$5,1,0)+IF(R$5="",1,0)&gt;=1,1,0))</f>
        <v>0</v>
      </c>
      <c r="Y1305" s="1307">
        <f t="shared" si="101"/>
        <v>36</v>
      </c>
      <c r="Z1305" s="1307">
        <f t="shared" si="102"/>
        <v>0</v>
      </c>
      <c r="AA1305" s="1307">
        <f t="shared" si="103"/>
        <v>36</v>
      </c>
      <c r="AB1305" s="1307">
        <f t="shared" si="104"/>
        <v>0</v>
      </c>
    </row>
    <row r="1306" spans="20:28">
      <c r="T1306" s="1077">
        <v>46</v>
      </c>
      <c r="U1306" s="1077">
        <f t="shared" si="100"/>
        <v>17</v>
      </c>
      <c r="V1306" s="1077">
        <v>37</v>
      </c>
      <c r="W1306" s="1077">
        <f t="array" ref="W1306">SUMPRODUCT(IF('卡片raw data'!BM$1:BM$1000=T1306,1,0),IF('卡片raw data'!BO$1:BO$1000=V1306,1,0),IF(IF('卡片raw data'!C$1:C$1000=R$3,1,0)+IF(R$3="",1,0)&gt;=1,1,0),IF(IF('卡片raw data'!D$1:D$1000=R$4,1,0)+IF(R$4="",1,0)&gt;=1,1,0),IF(IF('卡片raw data'!E$1:E$1000=R$5,1,0)+IF(R$5="",1,0)&gt;=1,1,0))</f>
        <v>0</v>
      </c>
      <c r="Y1306" s="1307">
        <f t="shared" si="101"/>
        <v>37</v>
      </c>
      <c r="Z1306" s="1307">
        <f t="shared" si="102"/>
        <v>0</v>
      </c>
      <c r="AA1306" s="1307">
        <f t="shared" si="103"/>
        <v>37</v>
      </c>
      <c r="AB1306" s="1307">
        <f t="shared" si="104"/>
        <v>0</v>
      </c>
    </row>
    <row r="1307" spans="20:28">
      <c r="T1307" s="1077">
        <v>46</v>
      </c>
      <c r="U1307" s="1077">
        <f t="shared" si="100"/>
        <v>16</v>
      </c>
      <c r="V1307" s="1077">
        <v>38</v>
      </c>
      <c r="W1307" s="1077">
        <f t="array" ref="W1307">SUMPRODUCT(IF('卡片raw data'!BM$1:BM$1000=T1307,1,0),IF('卡片raw data'!BO$1:BO$1000=V1307,1,0),IF(IF('卡片raw data'!C$1:C$1000=R$3,1,0)+IF(R$3="",1,0)&gt;=1,1,0),IF(IF('卡片raw data'!D$1:D$1000=R$4,1,0)+IF(R$4="",1,0)&gt;=1,1,0),IF(IF('卡片raw data'!E$1:E$1000=R$5,1,0)+IF(R$5="",1,0)&gt;=1,1,0))</f>
        <v>0</v>
      </c>
      <c r="Y1307" s="1307">
        <f t="shared" si="101"/>
        <v>38</v>
      </c>
      <c r="Z1307" s="1307">
        <f t="shared" si="102"/>
        <v>0</v>
      </c>
      <c r="AA1307" s="1307">
        <f t="shared" si="103"/>
        <v>38</v>
      </c>
      <c r="AB1307" s="1307">
        <f t="shared" si="104"/>
        <v>0</v>
      </c>
    </row>
    <row r="1308" spans="20:28">
      <c r="T1308" s="1077">
        <v>46</v>
      </c>
      <c r="U1308" s="1077">
        <f t="shared" si="100"/>
        <v>15</v>
      </c>
      <c r="V1308" s="1077">
        <v>39</v>
      </c>
      <c r="W1308" s="1077">
        <f t="array" ref="W1308">SUMPRODUCT(IF('卡片raw data'!BM$1:BM$1000=T1308,1,0),IF('卡片raw data'!BO$1:BO$1000=V1308,1,0),IF(IF('卡片raw data'!C$1:C$1000=R$3,1,0)+IF(R$3="",1,0)&gt;=1,1,0),IF(IF('卡片raw data'!D$1:D$1000=R$4,1,0)+IF(R$4="",1,0)&gt;=1,1,0),IF(IF('卡片raw data'!E$1:E$1000=R$5,1,0)+IF(R$5="",1,0)&gt;=1,1,0))</f>
        <v>0</v>
      </c>
      <c r="Y1308" s="1307">
        <f t="shared" si="101"/>
        <v>39</v>
      </c>
      <c r="Z1308" s="1307">
        <f t="shared" si="102"/>
        <v>0</v>
      </c>
      <c r="AA1308" s="1307">
        <f t="shared" si="103"/>
        <v>39</v>
      </c>
      <c r="AB1308" s="1307">
        <f t="shared" si="104"/>
        <v>0</v>
      </c>
    </row>
    <row r="1309" spans="20:28">
      <c r="T1309" s="1077">
        <v>46</v>
      </c>
      <c r="U1309" s="1077">
        <f t="shared" si="100"/>
        <v>14</v>
      </c>
      <c r="V1309" s="1077">
        <v>40</v>
      </c>
      <c r="W1309" s="1077">
        <f t="array" ref="W1309">SUMPRODUCT(IF('卡片raw data'!BM$1:BM$1000=T1309,1,0),IF('卡片raw data'!BO$1:BO$1000=V1309,1,0),IF(IF('卡片raw data'!C$1:C$1000=R$3,1,0)+IF(R$3="",1,0)&gt;=1,1,0),IF(IF('卡片raw data'!D$1:D$1000=R$4,1,0)+IF(R$4="",1,0)&gt;=1,1,0),IF(IF('卡片raw data'!E$1:E$1000=R$5,1,0)+IF(R$5="",1,0)&gt;=1,1,0))</f>
        <v>0</v>
      </c>
      <c r="Y1309" s="1307">
        <f t="shared" si="101"/>
        <v>40</v>
      </c>
      <c r="Z1309" s="1307">
        <f t="shared" si="102"/>
        <v>0</v>
      </c>
      <c r="AA1309" s="1307">
        <f t="shared" si="103"/>
        <v>40</v>
      </c>
      <c r="AB1309" s="1307">
        <f t="shared" si="104"/>
        <v>0</v>
      </c>
    </row>
    <row r="1310" spans="20:28">
      <c r="T1310" s="1077">
        <v>46</v>
      </c>
      <c r="U1310" s="1077">
        <f t="shared" si="100"/>
        <v>13</v>
      </c>
      <c r="V1310" s="1077">
        <v>41</v>
      </c>
      <c r="W1310" s="1077">
        <f t="array" ref="W1310">SUMPRODUCT(IF('卡片raw data'!BM$1:BM$1000=T1310,1,0),IF('卡片raw data'!BO$1:BO$1000=V1310,1,0),IF(IF('卡片raw data'!C$1:C$1000=R$3,1,0)+IF(R$3="",1,0)&gt;=1,1,0),IF(IF('卡片raw data'!D$1:D$1000=R$4,1,0)+IF(R$4="",1,0)&gt;=1,1,0),IF(IF('卡片raw data'!E$1:E$1000=R$5,1,0)+IF(R$5="",1,0)&gt;=1,1,0))</f>
        <v>0</v>
      </c>
      <c r="Y1310" s="1307">
        <f t="shared" si="101"/>
        <v>41</v>
      </c>
      <c r="Z1310" s="1307">
        <f t="shared" si="102"/>
        <v>0</v>
      </c>
      <c r="AA1310" s="1307">
        <f t="shared" si="103"/>
        <v>41</v>
      </c>
      <c r="AB1310" s="1307">
        <f t="shared" si="104"/>
        <v>0</v>
      </c>
    </row>
    <row r="1311" spans="20:28">
      <c r="T1311" s="1077">
        <v>46</v>
      </c>
      <c r="U1311" s="1077">
        <f t="shared" si="100"/>
        <v>12</v>
      </c>
      <c r="V1311" s="1077">
        <v>42</v>
      </c>
      <c r="W1311" s="1077">
        <f t="array" ref="W1311">SUMPRODUCT(IF('卡片raw data'!BM$1:BM$1000=T1311,1,0),IF('卡片raw data'!BO$1:BO$1000=V1311,1,0),IF(IF('卡片raw data'!C$1:C$1000=R$3,1,0)+IF(R$3="",1,0)&gt;=1,1,0),IF(IF('卡片raw data'!D$1:D$1000=R$4,1,0)+IF(R$4="",1,0)&gt;=1,1,0),IF(IF('卡片raw data'!E$1:E$1000=R$5,1,0)+IF(R$5="",1,0)&gt;=1,1,0))</f>
        <v>0</v>
      </c>
      <c r="Y1311" s="1307">
        <f t="shared" si="101"/>
        <v>42</v>
      </c>
      <c r="Z1311" s="1307">
        <f t="shared" si="102"/>
        <v>0</v>
      </c>
      <c r="AA1311" s="1307">
        <f t="shared" si="103"/>
        <v>42</v>
      </c>
      <c r="AB1311" s="1307">
        <f t="shared" si="104"/>
        <v>0</v>
      </c>
    </row>
    <row r="1312" spans="20:28">
      <c r="T1312" s="1077">
        <v>46</v>
      </c>
      <c r="U1312" s="1077">
        <f t="shared" si="100"/>
        <v>11</v>
      </c>
      <c r="V1312" s="1077">
        <v>43</v>
      </c>
      <c r="W1312" s="1077">
        <f t="array" ref="W1312">SUMPRODUCT(IF('卡片raw data'!BM$1:BM$1000=T1312,1,0),IF('卡片raw data'!BO$1:BO$1000=V1312,1,0),IF(IF('卡片raw data'!C$1:C$1000=R$3,1,0)+IF(R$3="",1,0)&gt;=1,1,0),IF(IF('卡片raw data'!D$1:D$1000=R$4,1,0)+IF(R$4="",1,0)&gt;=1,1,0),IF(IF('卡片raw data'!E$1:E$1000=R$5,1,0)+IF(R$5="",1,0)&gt;=1,1,0))</f>
        <v>0</v>
      </c>
      <c r="Y1312" s="1307">
        <f t="shared" si="101"/>
        <v>43</v>
      </c>
      <c r="Z1312" s="1307">
        <f t="shared" si="102"/>
        <v>0</v>
      </c>
      <c r="AA1312" s="1307">
        <f t="shared" si="103"/>
        <v>43</v>
      </c>
      <c r="AB1312" s="1307">
        <f t="shared" si="104"/>
        <v>0</v>
      </c>
    </row>
    <row r="1313" spans="20:28">
      <c r="T1313" s="1077">
        <v>46</v>
      </c>
      <c r="U1313" s="1077">
        <f t="shared" si="100"/>
        <v>10</v>
      </c>
      <c r="V1313" s="1077">
        <v>44</v>
      </c>
      <c r="W1313" s="1077">
        <f t="array" ref="W1313">SUMPRODUCT(IF('卡片raw data'!BM$1:BM$1000=T1313,1,0),IF('卡片raw data'!BO$1:BO$1000=V1313,1,0),IF(IF('卡片raw data'!C$1:C$1000=R$3,1,0)+IF(R$3="",1,0)&gt;=1,1,0),IF(IF('卡片raw data'!D$1:D$1000=R$4,1,0)+IF(R$4="",1,0)&gt;=1,1,0),IF(IF('卡片raw data'!E$1:E$1000=R$5,1,0)+IF(R$5="",1,0)&gt;=1,1,0))</f>
        <v>0</v>
      </c>
      <c r="Y1313" s="1307">
        <f t="shared" si="101"/>
        <v>44</v>
      </c>
      <c r="Z1313" s="1307">
        <f t="shared" si="102"/>
        <v>0</v>
      </c>
      <c r="AA1313" s="1307">
        <f t="shared" si="103"/>
        <v>44</v>
      </c>
      <c r="AB1313" s="1307">
        <f t="shared" si="104"/>
        <v>0</v>
      </c>
    </row>
    <row r="1314" spans="20:28">
      <c r="T1314" s="1077">
        <v>47</v>
      </c>
      <c r="U1314" s="1077">
        <f t="shared" si="100"/>
        <v>43</v>
      </c>
      <c r="V1314" s="1077">
        <v>10</v>
      </c>
      <c r="W1314" s="1077">
        <f t="array" ref="W1314">SUMPRODUCT(IF('卡片raw data'!BM$1:BM$1000=T1314,1,0),IF('卡片raw data'!BO$1:BO$1000=V1314,1,0),IF(IF('卡片raw data'!C$1:C$1000=R$3,1,0)+IF(R$3="",1,0)&gt;=1,1,0),IF(IF('卡片raw data'!D$1:D$1000=R$4,1,0)+IF(R$4="",1,0)&gt;=1,1,0),IF(IF('卡片raw data'!E$1:E$1000=R$5,1,0)+IF(R$5="",1,0)&gt;=1,1,0))</f>
        <v>0</v>
      </c>
      <c r="Y1314" s="1307">
        <f t="shared" si="101"/>
        <v>10</v>
      </c>
      <c r="Z1314" s="1307">
        <f t="shared" si="102"/>
        <v>0</v>
      </c>
      <c r="AA1314" s="1307">
        <f t="shared" si="103"/>
        <v>10</v>
      </c>
      <c r="AB1314" s="1307">
        <f t="shared" si="104"/>
        <v>0</v>
      </c>
    </row>
    <row r="1315" spans="20:28">
      <c r="T1315" s="1077">
        <v>47</v>
      </c>
      <c r="U1315" s="1077">
        <f t="shared" si="100"/>
        <v>42</v>
      </c>
      <c r="V1315" s="1077">
        <v>11</v>
      </c>
      <c r="W1315" s="1077">
        <f t="array" ref="W1315">SUMPRODUCT(IF('卡片raw data'!BM$1:BM$1000=T1315,1,0),IF('卡片raw data'!BO$1:BO$1000=V1315,1,0),IF(IF('卡片raw data'!C$1:C$1000=R$3,1,0)+IF(R$3="",1,0)&gt;=1,1,0),IF(IF('卡片raw data'!D$1:D$1000=R$4,1,0)+IF(R$4="",1,0)&gt;=1,1,0),IF(IF('卡片raw data'!E$1:E$1000=R$5,1,0)+IF(R$5="",1,0)&gt;=1,1,0))</f>
        <v>0</v>
      </c>
      <c r="Y1315" s="1307">
        <f t="shared" si="101"/>
        <v>11</v>
      </c>
      <c r="Z1315" s="1307">
        <f t="shared" si="102"/>
        <v>0</v>
      </c>
      <c r="AA1315" s="1307">
        <f t="shared" si="103"/>
        <v>11</v>
      </c>
      <c r="AB1315" s="1307">
        <f t="shared" si="104"/>
        <v>0</v>
      </c>
    </row>
    <row r="1316" spans="20:28">
      <c r="T1316" s="1077">
        <v>47</v>
      </c>
      <c r="U1316" s="1077">
        <f t="shared" si="100"/>
        <v>41</v>
      </c>
      <c r="V1316" s="1077">
        <v>12</v>
      </c>
      <c r="W1316" s="1077">
        <f t="array" ref="W1316">SUMPRODUCT(IF('卡片raw data'!BM$1:BM$1000=T1316,1,0),IF('卡片raw data'!BO$1:BO$1000=V1316,1,0),IF(IF('卡片raw data'!C$1:C$1000=R$3,1,0)+IF(R$3="",1,0)&gt;=1,1,0),IF(IF('卡片raw data'!D$1:D$1000=R$4,1,0)+IF(R$4="",1,0)&gt;=1,1,0),IF(IF('卡片raw data'!E$1:E$1000=R$5,1,0)+IF(R$5="",1,0)&gt;=1,1,0))</f>
        <v>0</v>
      </c>
      <c r="Y1316" s="1307">
        <f t="shared" si="101"/>
        <v>12</v>
      </c>
      <c r="Z1316" s="1307">
        <f t="shared" si="102"/>
        <v>0</v>
      </c>
      <c r="AA1316" s="1307">
        <f t="shared" si="103"/>
        <v>12</v>
      </c>
      <c r="AB1316" s="1307">
        <f t="shared" si="104"/>
        <v>0</v>
      </c>
    </row>
    <row r="1317" spans="20:28">
      <c r="T1317" s="1077">
        <v>47</v>
      </c>
      <c r="U1317" s="1077">
        <f t="shared" si="100"/>
        <v>40</v>
      </c>
      <c r="V1317" s="1077">
        <v>13</v>
      </c>
      <c r="W1317" s="1077">
        <f t="array" ref="W1317">SUMPRODUCT(IF('卡片raw data'!BM$1:BM$1000=T1317,1,0),IF('卡片raw data'!BO$1:BO$1000=V1317,1,0),IF(IF('卡片raw data'!C$1:C$1000=R$3,1,0)+IF(R$3="",1,0)&gt;=1,1,0),IF(IF('卡片raw data'!D$1:D$1000=R$4,1,0)+IF(R$4="",1,0)&gt;=1,1,0),IF(IF('卡片raw data'!E$1:E$1000=R$5,1,0)+IF(R$5="",1,0)&gt;=1,1,0))</f>
        <v>0</v>
      </c>
      <c r="Y1317" s="1307">
        <f t="shared" si="101"/>
        <v>13</v>
      </c>
      <c r="Z1317" s="1307">
        <f t="shared" si="102"/>
        <v>0</v>
      </c>
      <c r="AA1317" s="1307">
        <f t="shared" si="103"/>
        <v>13</v>
      </c>
      <c r="AB1317" s="1307">
        <f t="shared" si="104"/>
        <v>0</v>
      </c>
    </row>
    <row r="1318" spans="20:28">
      <c r="T1318" s="1077">
        <v>47</v>
      </c>
      <c r="U1318" s="1077">
        <f t="shared" si="100"/>
        <v>39</v>
      </c>
      <c r="V1318" s="1077">
        <v>14</v>
      </c>
      <c r="W1318" s="1077">
        <f t="array" ref="W1318">SUMPRODUCT(IF('卡片raw data'!BM$1:BM$1000=T1318,1,0),IF('卡片raw data'!BO$1:BO$1000=V1318,1,0),IF(IF('卡片raw data'!C$1:C$1000=R$3,1,0)+IF(R$3="",1,0)&gt;=1,1,0),IF(IF('卡片raw data'!D$1:D$1000=R$4,1,0)+IF(R$4="",1,0)&gt;=1,1,0),IF(IF('卡片raw data'!E$1:E$1000=R$5,1,0)+IF(R$5="",1,0)&gt;=1,1,0))</f>
        <v>0</v>
      </c>
      <c r="Y1318" s="1307">
        <f t="shared" si="101"/>
        <v>14</v>
      </c>
      <c r="Z1318" s="1307">
        <f t="shared" si="102"/>
        <v>0</v>
      </c>
      <c r="AA1318" s="1307">
        <f t="shared" si="103"/>
        <v>14</v>
      </c>
      <c r="AB1318" s="1307">
        <f t="shared" si="104"/>
        <v>0</v>
      </c>
    </row>
    <row r="1319" spans="20:28">
      <c r="T1319" s="1077">
        <v>47</v>
      </c>
      <c r="U1319" s="1077">
        <f t="shared" si="100"/>
        <v>38</v>
      </c>
      <c r="V1319" s="1077">
        <v>15</v>
      </c>
      <c r="W1319" s="1077">
        <f t="array" ref="W1319">SUMPRODUCT(IF('卡片raw data'!BM$1:BM$1000=T1319,1,0),IF('卡片raw data'!BO$1:BO$1000=V1319,1,0),IF(IF('卡片raw data'!C$1:C$1000=R$3,1,0)+IF(R$3="",1,0)&gt;=1,1,0),IF(IF('卡片raw data'!D$1:D$1000=R$4,1,0)+IF(R$4="",1,0)&gt;=1,1,0),IF(IF('卡片raw data'!E$1:E$1000=R$5,1,0)+IF(R$5="",1,0)&gt;=1,1,0))</f>
        <v>0</v>
      </c>
      <c r="Y1319" s="1307">
        <f t="shared" si="101"/>
        <v>15</v>
      </c>
      <c r="Z1319" s="1307">
        <f t="shared" si="102"/>
        <v>0</v>
      </c>
      <c r="AA1319" s="1307">
        <f t="shared" si="103"/>
        <v>15</v>
      </c>
      <c r="AB1319" s="1307">
        <f t="shared" si="104"/>
        <v>0</v>
      </c>
    </row>
    <row r="1320" spans="20:28">
      <c r="T1320" s="1077">
        <v>47</v>
      </c>
      <c r="U1320" s="1077">
        <f t="shared" si="100"/>
        <v>37</v>
      </c>
      <c r="V1320" s="1077">
        <v>16</v>
      </c>
      <c r="W1320" s="1077">
        <f t="array" ref="W1320">SUMPRODUCT(IF('卡片raw data'!BM$1:BM$1000=T1320,1,0),IF('卡片raw data'!BO$1:BO$1000=V1320,1,0),IF(IF('卡片raw data'!C$1:C$1000=R$3,1,0)+IF(R$3="",1,0)&gt;=1,1,0),IF(IF('卡片raw data'!D$1:D$1000=R$4,1,0)+IF(R$4="",1,0)&gt;=1,1,0),IF(IF('卡片raw data'!E$1:E$1000=R$5,1,0)+IF(R$5="",1,0)&gt;=1,1,0))</f>
        <v>0</v>
      </c>
      <c r="Y1320" s="1307">
        <f t="shared" si="101"/>
        <v>16</v>
      </c>
      <c r="Z1320" s="1307">
        <f t="shared" si="102"/>
        <v>0</v>
      </c>
      <c r="AA1320" s="1307">
        <f t="shared" si="103"/>
        <v>16</v>
      </c>
      <c r="AB1320" s="1307">
        <f t="shared" si="104"/>
        <v>0</v>
      </c>
    </row>
    <row r="1321" spans="20:28">
      <c r="T1321" s="1077">
        <v>47</v>
      </c>
      <c r="U1321" s="1077">
        <f t="shared" si="100"/>
        <v>36</v>
      </c>
      <c r="V1321" s="1077">
        <v>17</v>
      </c>
      <c r="W1321" s="1077">
        <f t="array" ref="W1321">SUMPRODUCT(IF('卡片raw data'!BM$1:BM$1000=T1321,1,0),IF('卡片raw data'!BO$1:BO$1000=V1321,1,0),IF(IF('卡片raw data'!C$1:C$1000=R$3,1,0)+IF(R$3="",1,0)&gt;=1,1,0),IF(IF('卡片raw data'!D$1:D$1000=R$4,1,0)+IF(R$4="",1,0)&gt;=1,1,0),IF(IF('卡片raw data'!E$1:E$1000=R$5,1,0)+IF(R$5="",1,0)&gt;=1,1,0))</f>
        <v>0</v>
      </c>
      <c r="Y1321" s="1307">
        <f t="shared" si="101"/>
        <v>17</v>
      </c>
      <c r="Z1321" s="1307">
        <f t="shared" si="102"/>
        <v>0</v>
      </c>
      <c r="AA1321" s="1307">
        <f t="shared" si="103"/>
        <v>17</v>
      </c>
      <c r="AB1321" s="1307">
        <f t="shared" si="104"/>
        <v>0</v>
      </c>
    </row>
    <row r="1322" spans="20:28">
      <c r="T1322" s="1077">
        <v>47</v>
      </c>
      <c r="U1322" s="1077">
        <f t="shared" si="100"/>
        <v>35</v>
      </c>
      <c r="V1322" s="1077">
        <v>18</v>
      </c>
      <c r="W1322" s="1077">
        <f t="array" ref="W1322">SUMPRODUCT(IF('卡片raw data'!BM$1:BM$1000=T1322,1,0),IF('卡片raw data'!BO$1:BO$1000=V1322,1,0),IF(IF('卡片raw data'!C$1:C$1000=R$3,1,0)+IF(R$3="",1,0)&gt;=1,1,0),IF(IF('卡片raw data'!D$1:D$1000=R$4,1,0)+IF(R$4="",1,0)&gt;=1,1,0),IF(IF('卡片raw data'!E$1:E$1000=R$5,1,0)+IF(R$5="",1,0)&gt;=1,1,0))</f>
        <v>0</v>
      </c>
      <c r="Y1322" s="1307">
        <f t="shared" si="101"/>
        <v>18</v>
      </c>
      <c r="Z1322" s="1307">
        <f t="shared" si="102"/>
        <v>0</v>
      </c>
      <c r="AA1322" s="1307">
        <f t="shared" si="103"/>
        <v>18</v>
      </c>
      <c r="AB1322" s="1307">
        <f t="shared" si="104"/>
        <v>0</v>
      </c>
    </row>
    <row r="1323" spans="20:28">
      <c r="T1323" s="1077">
        <v>47</v>
      </c>
      <c r="U1323" s="1077">
        <f t="shared" si="100"/>
        <v>34</v>
      </c>
      <c r="V1323" s="1077">
        <v>19</v>
      </c>
      <c r="W1323" s="1077">
        <f t="array" ref="W1323">SUMPRODUCT(IF('卡片raw data'!BM$1:BM$1000=T1323,1,0),IF('卡片raw data'!BO$1:BO$1000=V1323,1,0),IF(IF('卡片raw data'!C$1:C$1000=R$3,1,0)+IF(R$3="",1,0)&gt;=1,1,0),IF(IF('卡片raw data'!D$1:D$1000=R$4,1,0)+IF(R$4="",1,0)&gt;=1,1,0),IF(IF('卡片raw data'!E$1:E$1000=R$5,1,0)+IF(R$5="",1,0)&gt;=1,1,0))</f>
        <v>0</v>
      </c>
      <c r="Y1323" s="1307">
        <f t="shared" si="101"/>
        <v>19</v>
      </c>
      <c r="Z1323" s="1307">
        <f t="shared" si="102"/>
        <v>0</v>
      </c>
      <c r="AA1323" s="1307">
        <f t="shared" si="103"/>
        <v>19</v>
      </c>
      <c r="AB1323" s="1307">
        <f t="shared" si="104"/>
        <v>0</v>
      </c>
    </row>
    <row r="1324" spans="20:28">
      <c r="T1324" s="1077">
        <v>47</v>
      </c>
      <c r="U1324" s="1077">
        <f t="shared" si="100"/>
        <v>33</v>
      </c>
      <c r="V1324" s="1077">
        <v>20</v>
      </c>
      <c r="W1324" s="1077">
        <f t="array" ref="W1324">SUMPRODUCT(IF('卡片raw data'!BM$1:BM$1000=T1324,1,0),IF('卡片raw data'!BO$1:BO$1000=V1324,1,0),IF(IF('卡片raw data'!C$1:C$1000=R$3,1,0)+IF(R$3="",1,0)&gt;=1,1,0),IF(IF('卡片raw data'!D$1:D$1000=R$4,1,0)+IF(R$4="",1,0)&gt;=1,1,0),IF(IF('卡片raw data'!E$1:E$1000=R$5,1,0)+IF(R$5="",1,0)&gt;=1,1,0))</f>
        <v>0</v>
      </c>
      <c r="Y1324" s="1307">
        <f t="shared" si="101"/>
        <v>20</v>
      </c>
      <c r="Z1324" s="1307">
        <f t="shared" si="102"/>
        <v>0</v>
      </c>
      <c r="AA1324" s="1307">
        <f t="shared" si="103"/>
        <v>20</v>
      </c>
      <c r="AB1324" s="1307">
        <f t="shared" si="104"/>
        <v>0</v>
      </c>
    </row>
    <row r="1325" spans="20:28">
      <c r="T1325" s="1077">
        <v>47</v>
      </c>
      <c r="U1325" s="1077">
        <f t="shared" si="100"/>
        <v>32</v>
      </c>
      <c r="V1325" s="1077">
        <v>21</v>
      </c>
      <c r="W1325" s="1077">
        <f t="array" ref="W1325">SUMPRODUCT(IF('卡片raw data'!BM$1:BM$1000=T1325,1,0),IF('卡片raw data'!BO$1:BO$1000=V1325,1,0),IF(IF('卡片raw data'!C$1:C$1000=R$3,1,0)+IF(R$3="",1,0)&gt;=1,1,0),IF(IF('卡片raw data'!D$1:D$1000=R$4,1,0)+IF(R$4="",1,0)&gt;=1,1,0),IF(IF('卡片raw data'!E$1:E$1000=R$5,1,0)+IF(R$5="",1,0)&gt;=1,1,0))</f>
        <v>0</v>
      </c>
      <c r="Y1325" s="1307">
        <f t="shared" si="101"/>
        <v>21</v>
      </c>
      <c r="Z1325" s="1307">
        <f t="shared" si="102"/>
        <v>0</v>
      </c>
      <c r="AA1325" s="1307">
        <f t="shared" si="103"/>
        <v>21</v>
      </c>
      <c r="AB1325" s="1307">
        <f t="shared" si="104"/>
        <v>0</v>
      </c>
    </row>
    <row r="1326" spans="20:28">
      <c r="T1326" s="1077">
        <v>47</v>
      </c>
      <c r="U1326" s="1077">
        <f t="shared" si="100"/>
        <v>31</v>
      </c>
      <c r="V1326" s="1077">
        <v>22</v>
      </c>
      <c r="W1326" s="1077">
        <f t="array" ref="W1326">SUMPRODUCT(IF('卡片raw data'!BM$1:BM$1000=T1326,1,0),IF('卡片raw data'!BO$1:BO$1000=V1326,1,0),IF(IF('卡片raw data'!C$1:C$1000=R$3,1,0)+IF(R$3="",1,0)&gt;=1,1,0),IF(IF('卡片raw data'!D$1:D$1000=R$4,1,0)+IF(R$4="",1,0)&gt;=1,1,0),IF(IF('卡片raw data'!E$1:E$1000=R$5,1,0)+IF(R$5="",1,0)&gt;=1,1,0))</f>
        <v>0</v>
      </c>
      <c r="Y1326" s="1307">
        <f t="shared" si="101"/>
        <v>22</v>
      </c>
      <c r="Z1326" s="1307">
        <f t="shared" si="102"/>
        <v>0</v>
      </c>
      <c r="AA1326" s="1307">
        <f t="shared" si="103"/>
        <v>22</v>
      </c>
      <c r="AB1326" s="1307">
        <f t="shared" si="104"/>
        <v>0</v>
      </c>
    </row>
    <row r="1327" spans="20:28">
      <c r="T1327" s="1077">
        <v>47</v>
      </c>
      <c r="U1327" s="1077">
        <f t="shared" si="100"/>
        <v>30</v>
      </c>
      <c r="V1327" s="1077">
        <v>23</v>
      </c>
      <c r="W1327" s="1077">
        <f t="array" ref="W1327">SUMPRODUCT(IF('卡片raw data'!BM$1:BM$1000=T1327,1,0),IF('卡片raw data'!BO$1:BO$1000=V1327,1,0),IF(IF('卡片raw data'!C$1:C$1000=R$3,1,0)+IF(R$3="",1,0)&gt;=1,1,0),IF(IF('卡片raw data'!D$1:D$1000=R$4,1,0)+IF(R$4="",1,0)&gt;=1,1,0),IF(IF('卡片raw data'!E$1:E$1000=R$5,1,0)+IF(R$5="",1,0)&gt;=1,1,0))</f>
        <v>0</v>
      </c>
      <c r="Y1327" s="1307">
        <f t="shared" si="101"/>
        <v>23</v>
      </c>
      <c r="Z1327" s="1307">
        <f t="shared" si="102"/>
        <v>0</v>
      </c>
      <c r="AA1327" s="1307">
        <f t="shared" si="103"/>
        <v>23</v>
      </c>
      <c r="AB1327" s="1307">
        <f t="shared" si="104"/>
        <v>0</v>
      </c>
    </row>
    <row r="1328" spans="20:28">
      <c r="T1328" s="1077">
        <v>47</v>
      </c>
      <c r="U1328" s="1077">
        <f t="shared" si="100"/>
        <v>29</v>
      </c>
      <c r="V1328" s="1077">
        <v>24</v>
      </c>
      <c r="W1328" s="1077">
        <f t="array" ref="W1328">SUMPRODUCT(IF('卡片raw data'!BM$1:BM$1000=T1328,1,0),IF('卡片raw data'!BO$1:BO$1000=V1328,1,0),IF(IF('卡片raw data'!C$1:C$1000=R$3,1,0)+IF(R$3="",1,0)&gt;=1,1,0),IF(IF('卡片raw data'!D$1:D$1000=R$4,1,0)+IF(R$4="",1,0)&gt;=1,1,0),IF(IF('卡片raw data'!E$1:E$1000=R$5,1,0)+IF(R$5="",1,0)&gt;=1,1,0))</f>
        <v>0</v>
      </c>
      <c r="Y1328" s="1307">
        <f t="shared" si="101"/>
        <v>24</v>
      </c>
      <c r="Z1328" s="1307">
        <f t="shared" si="102"/>
        <v>0</v>
      </c>
      <c r="AA1328" s="1307">
        <f t="shared" si="103"/>
        <v>24</v>
      </c>
      <c r="AB1328" s="1307">
        <f t="shared" si="104"/>
        <v>0</v>
      </c>
    </row>
    <row r="1329" spans="20:28">
      <c r="T1329" s="1077">
        <v>47</v>
      </c>
      <c r="U1329" s="1077">
        <f t="shared" si="100"/>
        <v>28</v>
      </c>
      <c r="V1329" s="1077">
        <v>25</v>
      </c>
      <c r="W1329" s="1077">
        <f t="array" ref="W1329">SUMPRODUCT(IF('卡片raw data'!BM$1:BM$1000=T1329,1,0),IF('卡片raw data'!BO$1:BO$1000=V1329,1,0),IF(IF('卡片raw data'!C$1:C$1000=R$3,1,0)+IF(R$3="",1,0)&gt;=1,1,0),IF(IF('卡片raw data'!D$1:D$1000=R$4,1,0)+IF(R$4="",1,0)&gt;=1,1,0),IF(IF('卡片raw data'!E$1:E$1000=R$5,1,0)+IF(R$5="",1,0)&gt;=1,1,0))</f>
        <v>0</v>
      </c>
      <c r="Y1329" s="1307">
        <f t="shared" si="101"/>
        <v>25</v>
      </c>
      <c r="Z1329" s="1307">
        <f t="shared" si="102"/>
        <v>0</v>
      </c>
      <c r="AA1329" s="1307">
        <f t="shared" si="103"/>
        <v>25</v>
      </c>
      <c r="AB1329" s="1307">
        <f t="shared" si="104"/>
        <v>0</v>
      </c>
    </row>
    <row r="1330" spans="20:28">
      <c r="T1330" s="1077">
        <v>47</v>
      </c>
      <c r="U1330" s="1077">
        <f t="shared" si="100"/>
        <v>27</v>
      </c>
      <c r="V1330" s="1077">
        <v>26</v>
      </c>
      <c r="W1330" s="1077">
        <f t="array" ref="W1330">SUMPRODUCT(IF('卡片raw data'!BM$1:BM$1000=T1330,1,0),IF('卡片raw data'!BO$1:BO$1000=V1330,1,0),IF(IF('卡片raw data'!C$1:C$1000=R$3,1,0)+IF(R$3="",1,0)&gt;=1,1,0),IF(IF('卡片raw data'!D$1:D$1000=R$4,1,0)+IF(R$4="",1,0)&gt;=1,1,0),IF(IF('卡片raw data'!E$1:E$1000=R$5,1,0)+IF(R$5="",1,0)&gt;=1,1,0))</f>
        <v>0</v>
      </c>
      <c r="Y1330" s="1307">
        <f t="shared" si="101"/>
        <v>26</v>
      </c>
      <c r="Z1330" s="1307">
        <f t="shared" si="102"/>
        <v>0</v>
      </c>
      <c r="AA1330" s="1307">
        <f t="shared" si="103"/>
        <v>26</v>
      </c>
      <c r="AB1330" s="1307">
        <f t="shared" si="104"/>
        <v>0</v>
      </c>
    </row>
    <row r="1331" spans="20:28">
      <c r="T1331" s="1077">
        <v>47</v>
      </c>
      <c r="U1331" s="1077">
        <f t="shared" si="100"/>
        <v>26</v>
      </c>
      <c r="V1331" s="1077">
        <v>27</v>
      </c>
      <c r="W1331" s="1077">
        <f t="array" ref="W1331">SUMPRODUCT(IF('卡片raw data'!BM$1:BM$1000=T1331,1,0),IF('卡片raw data'!BO$1:BO$1000=V1331,1,0),IF(IF('卡片raw data'!C$1:C$1000=R$3,1,0)+IF(R$3="",1,0)&gt;=1,1,0),IF(IF('卡片raw data'!D$1:D$1000=R$4,1,0)+IF(R$4="",1,0)&gt;=1,1,0),IF(IF('卡片raw data'!E$1:E$1000=R$5,1,0)+IF(R$5="",1,0)&gt;=1,1,0))</f>
        <v>0</v>
      </c>
      <c r="Y1331" s="1307">
        <f t="shared" si="101"/>
        <v>27</v>
      </c>
      <c r="Z1331" s="1307">
        <f t="shared" si="102"/>
        <v>0</v>
      </c>
      <c r="AA1331" s="1307">
        <f t="shared" si="103"/>
        <v>27</v>
      </c>
      <c r="AB1331" s="1307">
        <f t="shared" si="104"/>
        <v>0</v>
      </c>
    </row>
    <row r="1332" spans="20:28">
      <c r="T1332" s="1077">
        <v>47</v>
      </c>
      <c r="U1332" s="1077">
        <f t="shared" si="100"/>
        <v>25</v>
      </c>
      <c r="V1332" s="1077">
        <v>28</v>
      </c>
      <c r="W1332" s="1077">
        <f t="array" ref="W1332">SUMPRODUCT(IF('卡片raw data'!BM$1:BM$1000=T1332,1,0),IF('卡片raw data'!BO$1:BO$1000=V1332,1,0),IF(IF('卡片raw data'!C$1:C$1000=R$3,1,0)+IF(R$3="",1,0)&gt;=1,1,0),IF(IF('卡片raw data'!D$1:D$1000=R$4,1,0)+IF(R$4="",1,0)&gt;=1,1,0),IF(IF('卡片raw data'!E$1:E$1000=R$5,1,0)+IF(R$5="",1,0)&gt;=1,1,0))</f>
        <v>0</v>
      </c>
      <c r="Y1332" s="1307">
        <f t="shared" si="101"/>
        <v>28</v>
      </c>
      <c r="Z1332" s="1307">
        <f t="shared" si="102"/>
        <v>0</v>
      </c>
      <c r="AA1332" s="1307">
        <f t="shared" si="103"/>
        <v>28</v>
      </c>
      <c r="AB1332" s="1307">
        <f t="shared" si="104"/>
        <v>0</v>
      </c>
    </row>
    <row r="1333" spans="20:28">
      <c r="T1333" s="1077">
        <v>47</v>
      </c>
      <c r="U1333" s="1077">
        <f t="shared" si="100"/>
        <v>24</v>
      </c>
      <c r="V1333" s="1077">
        <v>29</v>
      </c>
      <c r="W1333" s="1077">
        <f t="array" ref="W1333">SUMPRODUCT(IF('卡片raw data'!BM$1:BM$1000=T1333,1,0),IF('卡片raw data'!BO$1:BO$1000=V1333,1,0),IF(IF('卡片raw data'!C$1:C$1000=R$3,1,0)+IF(R$3="",1,0)&gt;=1,1,0),IF(IF('卡片raw data'!D$1:D$1000=R$4,1,0)+IF(R$4="",1,0)&gt;=1,1,0),IF(IF('卡片raw data'!E$1:E$1000=R$5,1,0)+IF(R$5="",1,0)&gt;=1,1,0))</f>
        <v>0</v>
      </c>
      <c r="Y1333" s="1307">
        <f t="shared" si="101"/>
        <v>29</v>
      </c>
      <c r="Z1333" s="1307">
        <f t="shared" si="102"/>
        <v>0</v>
      </c>
      <c r="AA1333" s="1307">
        <f t="shared" si="103"/>
        <v>29</v>
      </c>
      <c r="AB1333" s="1307">
        <f t="shared" si="104"/>
        <v>0</v>
      </c>
    </row>
    <row r="1334" spans="20:28">
      <c r="T1334" s="1077">
        <v>47</v>
      </c>
      <c r="U1334" s="1077">
        <f t="shared" si="100"/>
        <v>23</v>
      </c>
      <c r="V1334" s="1077">
        <v>30</v>
      </c>
      <c r="W1334" s="1077">
        <f t="array" ref="W1334">SUMPRODUCT(IF('卡片raw data'!BM$1:BM$1000=T1334,1,0),IF('卡片raw data'!BO$1:BO$1000=V1334,1,0),IF(IF('卡片raw data'!C$1:C$1000=R$3,1,0)+IF(R$3="",1,0)&gt;=1,1,0),IF(IF('卡片raw data'!D$1:D$1000=R$4,1,0)+IF(R$4="",1,0)&gt;=1,1,0),IF(IF('卡片raw data'!E$1:E$1000=R$5,1,0)+IF(R$5="",1,0)&gt;=1,1,0))</f>
        <v>0</v>
      </c>
      <c r="Y1334" s="1307">
        <f t="shared" si="101"/>
        <v>30</v>
      </c>
      <c r="Z1334" s="1307">
        <f t="shared" si="102"/>
        <v>0</v>
      </c>
      <c r="AA1334" s="1307">
        <f t="shared" si="103"/>
        <v>30</v>
      </c>
      <c r="AB1334" s="1307">
        <f t="shared" si="104"/>
        <v>0</v>
      </c>
    </row>
    <row r="1335" spans="20:28">
      <c r="T1335" s="1077">
        <v>47</v>
      </c>
      <c r="U1335" s="1077">
        <f t="shared" si="100"/>
        <v>22</v>
      </c>
      <c r="V1335" s="1077">
        <v>31</v>
      </c>
      <c r="W1335" s="1077">
        <f t="array" ref="W1335">SUMPRODUCT(IF('卡片raw data'!BM$1:BM$1000=T1335,1,0),IF('卡片raw data'!BO$1:BO$1000=V1335,1,0),IF(IF('卡片raw data'!C$1:C$1000=R$3,1,0)+IF(R$3="",1,0)&gt;=1,1,0),IF(IF('卡片raw data'!D$1:D$1000=R$4,1,0)+IF(R$4="",1,0)&gt;=1,1,0),IF(IF('卡片raw data'!E$1:E$1000=R$5,1,0)+IF(R$5="",1,0)&gt;=1,1,0))</f>
        <v>1</v>
      </c>
      <c r="Y1335" s="1307">
        <f t="shared" si="101"/>
        <v>31</v>
      </c>
      <c r="Z1335" s="1307">
        <f t="shared" si="102"/>
        <v>0</v>
      </c>
      <c r="AA1335" s="1307">
        <f t="shared" si="103"/>
        <v>31</v>
      </c>
      <c r="AB1335" s="1307">
        <f t="shared" si="104"/>
        <v>1</v>
      </c>
    </row>
    <row r="1336" spans="20:28">
      <c r="T1336" s="1077">
        <v>47</v>
      </c>
      <c r="U1336" s="1077">
        <f t="shared" si="100"/>
        <v>21</v>
      </c>
      <c r="V1336" s="1077">
        <v>32</v>
      </c>
      <c r="W1336" s="1077">
        <f t="array" ref="W1336">SUMPRODUCT(IF('卡片raw data'!BM$1:BM$1000=T1336,1,0),IF('卡片raw data'!BO$1:BO$1000=V1336,1,0),IF(IF('卡片raw data'!C$1:C$1000=R$3,1,0)+IF(R$3="",1,0)&gt;=1,1,0),IF(IF('卡片raw data'!D$1:D$1000=R$4,1,0)+IF(R$4="",1,0)&gt;=1,1,0),IF(IF('卡片raw data'!E$1:E$1000=R$5,1,0)+IF(R$5="",1,0)&gt;=1,1,0))</f>
        <v>0</v>
      </c>
      <c r="Y1336" s="1307">
        <f t="shared" si="101"/>
        <v>32</v>
      </c>
      <c r="Z1336" s="1307">
        <f t="shared" si="102"/>
        <v>0</v>
      </c>
      <c r="AA1336" s="1307">
        <f t="shared" si="103"/>
        <v>32</v>
      </c>
      <c r="AB1336" s="1307">
        <f t="shared" si="104"/>
        <v>0</v>
      </c>
    </row>
    <row r="1337" spans="20:28">
      <c r="T1337" s="1077">
        <v>47</v>
      </c>
      <c r="U1337" s="1077">
        <f t="shared" si="100"/>
        <v>20</v>
      </c>
      <c r="V1337" s="1077">
        <v>33</v>
      </c>
      <c r="W1337" s="1077">
        <f t="array" ref="W1337">SUMPRODUCT(IF('卡片raw data'!BM$1:BM$1000=T1337,1,0),IF('卡片raw data'!BO$1:BO$1000=V1337,1,0),IF(IF('卡片raw data'!C$1:C$1000=R$3,1,0)+IF(R$3="",1,0)&gt;=1,1,0),IF(IF('卡片raw data'!D$1:D$1000=R$4,1,0)+IF(R$4="",1,0)&gt;=1,1,0),IF(IF('卡片raw data'!E$1:E$1000=R$5,1,0)+IF(R$5="",1,0)&gt;=1,1,0))</f>
        <v>2</v>
      </c>
      <c r="Y1337" s="1307">
        <f t="shared" si="101"/>
        <v>33</v>
      </c>
      <c r="Z1337" s="1307">
        <f t="shared" si="102"/>
        <v>0</v>
      </c>
      <c r="AA1337" s="1307">
        <f t="shared" si="103"/>
        <v>33</v>
      </c>
      <c r="AB1337" s="1307">
        <f t="shared" si="104"/>
        <v>2</v>
      </c>
    </row>
    <row r="1338" spans="20:28">
      <c r="T1338" s="1077">
        <v>47</v>
      </c>
      <c r="U1338" s="1077">
        <f t="shared" si="100"/>
        <v>19</v>
      </c>
      <c r="V1338" s="1077">
        <v>34</v>
      </c>
      <c r="W1338" s="1077">
        <f t="array" ref="W1338">SUMPRODUCT(IF('卡片raw data'!BM$1:BM$1000=T1338,1,0),IF('卡片raw data'!BO$1:BO$1000=V1338,1,0),IF(IF('卡片raw data'!C$1:C$1000=R$3,1,0)+IF(R$3="",1,0)&gt;=1,1,0),IF(IF('卡片raw data'!D$1:D$1000=R$4,1,0)+IF(R$4="",1,0)&gt;=1,1,0),IF(IF('卡片raw data'!E$1:E$1000=R$5,1,0)+IF(R$5="",1,0)&gt;=1,1,0))</f>
        <v>0</v>
      </c>
      <c r="Y1338" s="1307">
        <f t="shared" si="101"/>
        <v>34</v>
      </c>
      <c r="Z1338" s="1307">
        <f t="shared" si="102"/>
        <v>0</v>
      </c>
      <c r="AA1338" s="1307">
        <f t="shared" si="103"/>
        <v>34</v>
      </c>
      <c r="AB1338" s="1307">
        <f t="shared" si="104"/>
        <v>0</v>
      </c>
    </row>
    <row r="1339" spans="20:28">
      <c r="T1339" s="1077">
        <v>47</v>
      </c>
      <c r="U1339" s="1077">
        <f t="shared" si="100"/>
        <v>18</v>
      </c>
      <c r="V1339" s="1077">
        <v>35</v>
      </c>
      <c r="W1339" s="1077">
        <f t="array" ref="W1339">SUMPRODUCT(IF('卡片raw data'!BM$1:BM$1000=T1339,1,0),IF('卡片raw data'!BO$1:BO$1000=V1339,1,0),IF(IF('卡片raw data'!C$1:C$1000=R$3,1,0)+IF(R$3="",1,0)&gt;=1,1,0),IF(IF('卡片raw data'!D$1:D$1000=R$4,1,0)+IF(R$4="",1,0)&gt;=1,1,0),IF(IF('卡片raw data'!E$1:E$1000=R$5,1,0)+IF(R$5="",1,0)&gt;=1,1,0))</f>
        <v>0</v>
      </c>
      <c r="Y1339" s="1307">
        <f t="shared" si="101"/>
        <v>35</v>
      </c>
      <c r="Z1339" s="1307">
        <f t="shared" si="102"/>
        <v>0</v>
      </c>
      <c r="AA1339" s="1307">
        <f t="shared" si="103"/>
        <v>35</v>
      </c>
      <c r="AB1339" s="1307">
        <f t="shared" si="104"/>
        <v>0</v>
      </c>
    </row>
    <row r="1340" spans="20:28">
      <c r="T1340" s="1077">
        <v>47</v>
      </c>
      <c r="U1340" s="1077">
        <f t="shared" si="100"/>
        <v>17</v>
      </c>
      <c r="V1340" s="1077">
        <v>36</v>
      </c>
      <c r="W1340" s="1077">
        <f t="array" ref="W1340">SUMPRODUCT(IF('卡片raw data'!BM$1:BM$1000=T1340,1,0),IF('卡片raw data'!BO$1:BO$1000=V1340,1,0),IF(IF('卡片raw data'!C$1:C$1000=R$3,1,0)+IF(R$3="",1,0)&gt;=1,1,0),IF(IF('卡片raw data'!D$1:D$1000=R$4,1,0)+IF(R$4="",1,0)&gt;=1,1,0),IF(IF('卡片raw data'!E$1:E$1000=R$5,1,0)+IF(R$5="",1,0)&gt;=1,1,0))</f>
        <v>0</v>
      </c>
      <c r="Y1340" s="1307">
        <f t="shared" si="101"/>
        <v>36</v>
      </c>
      <c r="Z1340" s="1307">
        <f t="shared" si="102"/>
        <v>0</v>
      </c>
      <c r="AA1340" s="1307">
        <f t="shared" si="103"/>
        <v>36</v>
      </c>
      <c r="AB1340" s="1307">
        <f t="shared" si="104"/>
        <v>0</v>
      </c>
    </row>
    <row r="1341" spans="20:28">
      <c r="T1341" s="1077">
        <v>47</v>
      </c>
      <c r="U1341" s="1077">
        <f t="shared" si="100"/>
        <v>16</v>
      </c>
      <c r="V1341" s="1077">
        <v>37</v>
      </c>
      <c r="W1341" s="1077">
        <f t="array" ref="W1341">SUMPRODUCT(IF('卡片raw data'!BM$1:BM$1000=T1341,1,0),IF('卡片raw data'!BO$1:BO$1000=V1341,1,0),IF(IF('卡片raw data'!C$1:C$1000=R$3,1,0)+IF(R$3="",1,0)&gt;=1,1,0),IF(IF('卡片raw data'!D$1:D$1000=R$4,1,0)+IF(R$4="",1,0)&gt;=1,1,0),IF(IF('卡片raw data'!E$1:E$1000=R$5,1,0)+IF(R$5="",1,0)&gt;=1,1,0))</f>
        <v>0</v>
      </c>
      <c r="Y1341" s="1307">
        <f t="shared" si="101"/>
        <v>37</v>
      </c>
      <c r="Z1341" s="1307">
        <f t="shared" si="102"/>
        <v>0</v>
      </c>
      <c r="AA1341" s="1307">
        <f t="shared" si="103"/>
        <v>37</v>
      </c>
      <c r="AB1341" s="1307">
        <f t="shared" si="104"/>
        <v>0</v>
      </c>
    </row>
    <row r="1342" spans="20:28">
      <c r="T1342" s="1077">
        <v>47</v>
      </c>
      <c r="U1342" s="1077">
        <f t="shared" si="100"/>
        <v>15</v>
      </c>
      <c r="V1342" s="1077">
        <v>38</v>
      </c>
      <c r="W1342" s="1077">
        <f t="array" ref="W1342">SUMPRODUCT(IF('卡片raw data'!BM$1:BM$1000=T1342,1,0),IF('卡片raw data'!BO$1:BO$1000=V1342,1,0),IF(IF('卡片raw data'!C$1:C$1000=R$3,1,0)+IF(R$3="",1,0)&gt;=1,1,0),IF(IF('卡片raw data'!D$1:D$1000=R$4,1,0)+IF(R$4="",1,0)&gt;=1,1,0),IF(IF('卡片raw data'!E$1:E$1000=R$5,1,0)+IF(R$5="",1,0)&gt;=1,1,0))</f>
        <v>0</v>
      </c>
      <c r="Y1342" s="1307">
        <f t="shared" si="101"/>
        <v>38</v>
      </c>
      <c r="Z1342" s="1307">
        <f t="shared" si="102"/>
        <v>0</v>
      </c>
      <c r="AA1342" s="1307">
        <f t="shared" si="103"/>
        <v>38</v>
      </c>
      <c r="AB1342" s="1307">
        <f t="shared" si="104"/>
        <v>0</v>
      </c>
    </row>
    <row r="1343" spans="20:28">
      <c r="T1343" s="1077">
        <v>47</v>
      </c>
      <c r="U1343" s="1077">
        <f t="shared" si="100"/>
        <v>14</v>
      </c>
      <c r="V1343" s="1077">
        <v>39</v>
      </c>
      <c r="W1343" s="1077">
        <f t="array" ref="W1343">SUMPRODUCT(IF('卡片raw data'!BM$1:BM$1000=T1343,1,0),IF('卡片raw data'!BO$1:BO$1000=V1343,1,0),IF(IF('卡片raw data'!C$1:C$1000=R$3,1,0)+IF(R$3="",1,0)&gt;=1,1,0),IF(IF('卡片raw data'!D$1:D$1000=R$4,1,0)+IF(R$4="",1,0)&gt;=1,1,0),IF(IF('卡片raw data'!E$1:E$1000=R$5,1,0)+IF(R$5="",1,0)&gt;=1,1,0))</f>
        <v>0</v>
      </c>
      <c r="Y1343" s="1307">
        <f t="shared" si="101"/>
        <v>39</v>
      </c>
      <c r="Z1343" s="1307">
        <f t="shared" si="102"/>
        <v>0</v>
      </c>
      <c r="AA1343" s="1307">
        <f t="shared" si="103"/>
        <v>39</v>
      </c>
      <c r="AB1343" s="1307">
        <f t="shared" si="104"/>
        <v>0</v>
      </c>
    </row>
    <row r="1344" spans="20:28">
      <c r="T1344" s="1077">
        <v>47</v>
      </c>
      <c r="U1344" s="1077">
        <f t="shared" si="100"/>
        <v>13</v>
      </c>
      <c r="V1344" s="1077">
        <v>40</v>
      </c>
      <c r="W1344" s="1077">
        <f t="array" ref="W1344">SUMPRODUCT(IF('卡片raw data'!BM$1:BM$1000=T1344,1,0),IF('卡片raw data'!BO$1:BO$1000=V1344,1,0),IF(IF('卡片raw data'!C$1:C$1000=R$3,1,0)+IF(R$3="",1,0)&gt;=1,1,0),IF(IF('卡片raw data'!D$1:D$1000=R$4,1,0)+IF(R$4="",1,0)&gt;=1,1,0),IF(IF('卡片raw data'!E$1:E$1000=R$5,1,0)+IF(R$5="",1,0)&gt;=1,1,0))</f>
        <v>0</v>
      </c>
      <c r="Y1344" s="1307">
        <f t="shared" si="101"/>
        <v>40</v>
      </c>
      <c r="Z1344" s="1307">
        <f t="shared" si="102"/>
        <v>0</v>
      </c>
      <c r="AA1344" s="1307">
        <f t="shared" si="103"/>
        <v>40</v>
      </c>
      <c r="AB1344" s="1307">
        <f t="shared" si="104"/>
        <v>0</v>
      </c>
    </row>
    <row r="1345" spans="20:28">
      <c r="T1345" s="1077">
        <v>47</v>
      </c>
      <c r="U1345" s="1077">
        <f t="shared" si="100"/>
        <v>12</v>
      </c>
      <c r="V1345" s="1077">
        <v>41</v>
      </c>
      <c r="W1345" s="1077">
        <f t="array" ref="W1345">SUMPRODUCT(IF('卡片raw data'!BM$1:BM$1000=T1345,1,0),IF('卡片raw data'!BO$1:BO$1000=V1345,1,0),IF(IF('卡片raw data'!C$1:C$1000=R$3,1,0)+IF(R$3="",1,0)&gt;=1,1,0),IF(IF('卡片raw data'!D$1:D$1000=R$4,1,0)+IF(R$4="",1,0)&gt;=1,1,0),IF(IF('卡片raw data'!E$1:E$1000=R$5,1,0)+IF(R$5="",1,0)&gt;=1,1,0))</f>
        <v>0</v>
      </c>
      <c r="Y1345" s="1307">
        <f t="shared" si="101"/>
        <v>41</v>
      </c>
      <c r="Z1345" s="1307">
        <f t="shared" si="102"/>
        <v>0</v>
      </c>
      <c r="AA1345" s="1307">
        <f t="shared" si="103"/>
        <v>41</v>
      </c>
      <c r="AB1345" s="1307">
        <f t="shared" si="104"/>
        <v>0</v>
      </c>
    </row>
    <row r="1346" spans="20:28">
      <c r="T1346" s="1077">
        <v>47</v>
      </c>
      <c r="U1346" s="1077">
        <f t="shared" si="100"/>
        <v>11</v>
      </c>
      <c r="V1346" s="1077">
        <v>42</v>
      </c>
      <c r="W1346" s="1077">
        <f t="array" ref="W1346">SUMPRODUCT(IF('卡片raw data'!BM$1:BM$1000=T1346,1,0),IF('卡片raw data'!BO$1:BO$1000=V1346,1,0),IF(IF('卡片raw data'!C$1:C$1000=R$3,1,0)+IF(R$3="",1,0)&gt;=1,1,0),IF(IF('卡片raw data'!D$1:D$1000=R$4,1,0)+IF(R$4="",1,0)&gt;=1,1,0),IF(IF('卡片raw data'!E$1:E$1000=R$5,1,0)+IF(R$5="",1,0)&gt;=1,1,0))</f>
        <v>0</v>
      </c>
      <c r="Y1346" s="1307">
        <f t="shared" si="101"/>
        <v>42</v>
      </c>
      <c r="Z1346" s="1307">
        <f t="shared" si="102"/>
        <v>0</v>
      </c>
      <c r="AA1346" s="1307">
        <f t="shared" si="103"/>
        <v>42</v>
      </c>
      <c r="AB1346" s="1307">
        <f t="shared" si="104"/>
        <v>0</v>
      </c>
    </row>
    <row r="1347" spans="20:28">
      <c r="T1347" s="1077">
        <v>47</v>
      </c>
      <c r="U1347" s="1077">
        <f t="shared" si="100"/>
        <v>10</v>
      </c>
      <c r="V1347" s="1077">
        <v>43</v>
      </c>
      <c r="W1347" s="1077">
        <f t="array" ref="W1347">SUMPRODUCT(IF('卡片raw data'!BM$1:BM$1000=T1347,1,0),IF('卡片raw data'!BO$1:BO$1000=V1347,1,0),IF(IF('卡片raw data'!C$1:C$1000=R$3,1,0)+IF(R$3="",1,0)&gt;=1,1,0),IF(IF('卡片raw data'!D$1:D$1000=R$4,1,0)+IF(R$4="",1,0)&gt;=1,1,0),IF(IF('卡片raw data'!E$1:E$1000=R$5,1,0)+IF(R$5="",1,0)&gt;=1,1,0))</f>
        <v>0</v>
      </c>
      <c r="Y1347" s="1307">
        <f t="shared" si="101"/>
        <v>43</v>
      </c>
      <c r="Z1347" s="1307">
        <f t="shared" si="102"/>
        <v>0</v>
      </c>
      <c r="AA1347" s="1307">
        <f t="shared" si="103"/>
        <v>43</v>
      </c>
      <c r="AB1347" s="1307">
        <f t="shared" si="104"/>
        <v>0</v>
      </c>
    </row>
    <row r="1348" spans="20:28">
      <c r="T1348" s="1077">
        <v>48</v>
      </c>
      <c r="U1348" s="1077">
        <f t="shared" ref="U1348:U1411" si="105">100-T1348-V1348</f>
        <v>42</v>
      </c>
      <c r="V1348" s="1077">
        <v>10</v>
      </c>
      <c r="W1348" s="1077">
        <f t="array" ref="W1348">SUMPRODUCT(IF('卡片raw data'!BM$1:BM$1000=T1348,1,0),IF('卡片raw data'!BO$1:BO$1000=V1348,1,0),IF(IF('卡片raw data'!C$1:C$1000=R$3,1,0)+IF(R$3="",1,0)&gt;=1,1,0),IF(IF('卡片raw data'!D$1:D$1000=R$4,1,0)+IF(R$4="",1,0)&gt;=1,1,0),IF(IF('卡片raw data'!E$1:E$1000=R$5,1,0)+IF(R$5="",1,0)&gt;=1,1,0))</f>
        <v>0</v>
      </c>
      <c r="Y1348" s="1307">
        <f t="shared" ref="Y1348:Y1411" si="106">V1348</f>
        <v>10</v>
      </c>
      <c r="Z1348" s="1307">
        <f t="shared" ref="Z1348:Z1411" si="107">IF(AND(V1348&gt;U1348,V1348&gt;T1348),W1348,0)</f>
        <v>0</v>
      </c>
      <c r="AA1348" s="1307">
        <f t="shared" ref="AA1348:AA1411" si="108">V1348</f>
        <v>10</v>
      </c>
      <c r="AB1348" s="1307">
        <f t="shared" ref="AB1348:AB1411" si="109">W1348-Z1348</f>
        <v>0</v>
      </c>
    </row>
    <row r="1349" spans="20:28">
      <c r="T1349" s="1077">
        <v>48</v>
      </c>
      <c r="U1349" s="1077">
        <f t="shared" si="105"/>
        <v>41</v>
      </c>
      <c r="V1349" s="1077">
        <v>11</v>
      </c>
      <c r="W1349" s="1077">
        <f t="array" ref="W1349">SUMPRODUCT(IF('卡片raw data'!BM$1:BM$1000=T1349,1,0),IF('卡片raw data'!BO$1:BO$1000=V1349,1,0),IF(IF('卡片raw data'!C$1:C$1000=R$3,1,0)+IF(R$3="",1,0)&gt;=1,1,0),IF(IF('卡片raw data'!D$1:D$1000=R$4,1,0)+IF(R$4="",1,0)&gt;=1,1,0),IF(IF('卡片raw data'!E$1:E$1000=R$5,1,0)+IF(R$5="",1,0)&gt;=1,1,0))</f>
        <v>0</v>
      </c>
      <c r="Y1349" s="1307">
        <f t="shared" si="106"/>
        <v>11</v>
      </c>
      <c r="Z1349" s="1307">
        <f t="shared" si="107"/>
        <v>0</v>
      </c>
      <c r="AA1349" s="1307">
        <f t="shared" si="108"/>
        <v>11</v>
      </c>
      <c r="AB1349" s="1307">
        <f t="shared" si="109"/>
        <v>0</v>
      </c>
    </row>
    <row r="1350" spans="20:28">
      <c r="T1350" s="1077">
        <v>48</v>
      </c>
      <c r="U1350" s="1077">
        <f t="shared" si="105"/>
        <v>40</v>
      </c>
      <c r="V1350" s="1077">
        <v>12</v>
      </c>
      <c r="W1350" s="1077">
        <f t="array" ref="W1350">SUMPRODUCT(IF('卡片raw data'!BM$1:BM$1000=T1350,1,0),IF('卡片raw data'!BO$1:BO$1000=V1350,1,0),IF(IF('卡片raw data'!C$1:C$1000=R$3,1,0)+IF(R$3="",1,0)&gt;=1,1,0),IF(IF('卡片raw data'!D$1:D$1000=R$4,1,0)+IF(R$4="",1,0)&gt;=1,1,0),IF(IF('卡片raw data'!E$1:E$1000=R$5,1,0)+IF(R$5="",1,0)&gt;=1,1,0))</f>
        <v>0</v>
      </c>
      <c r="Y1350" s="1307">
        <f t="shared" si="106"/>
        <v>12</v>
      </c>
      <c r="Z1350" s="1307">
        <f t="shared" si="107"/>
        <v>0</v>
      </c>
      <c r="AA1350" s="1307">
        <f t="shared" si="108"/>
        <v>12</v>
      </c>
      <c r="AB1350" s="1307">
        <f t="shared" si="109"/>
        <v>0</v>
      </c>
    </row>
    <row r="1351" spans="20:28">
      <c r="T1351" s="1077">
        <v>48</v>
      </c>
      <c r="U1351" s="1077">
        <f t="shared" si="105"/>
        <v>39</v>
      </c>
      <c r="V1351" s="1077">
        <v>13</v>
      </c>
      <c r="W1351" s="1077">
        <f t="array" ref="W1351">SUMPRODUCT(IF('卡片raw data'!BM$1:BM$1000=T1351,1,0),IF('卡片raw data'!BO$1:BO$1000=V1351,1,0),IF(IF('卡片raw data'!C$1:C$1000=R$3,1,0)+IF(R$3="",1,0)&gt;=1,1,0),IF(IF('卡片raw data'!D$1:D$1000=R$4,1,0)+IF(R$4="",1,0)&gt;=1,1,0),IF(IF('卡片raw data'!E$1:E$1000=R$5,1,0)+IF(R$5="",1,0)&gt;=1,1,0))</f>
        <v>0</v>
      </c>
      <c r="Y1351" s="1307">
        <f t="shared" si="106"/>
        <v>13</v>
      </c>
      <c r="Z1351" s="1307">
        <f t="shared" si="107"/>
        <v>0</v>
      </c>
      <c r="AA1351" s="1307">
        <f t="shared" si="108"/>
        <v>13</v>
      </c>
      <c r="AB1351" s="1307">
        <f t="shared" si="109"/>
        <v>0</v>
      </c>
    </row>
    <row r="1352" spans="20:28">
      <c r="T1352" s="1077">
        <v>48</v>
      </c>
      <c r="U1352" s="1077">
        <f t="shared" si="105"/>
        <v>38</v>
      </c>
      <c r="V1352" s="1077">
        <v>14</v>
      </c>
      <c r="W1352" s="1077">
        <f t="array" ref="W1352">SUMPRODUCT(IF('卡片raw data'!BM$1:BM$1000=T1352,1,0),IF('卡片raw data'!BO$1:BO$1000=V1352,1,0),IF(IF('卡片raw data'!C$1:C$1000=R$3,1,0)+IF(R$3="",1,0)&gt;=1,1,0),IF(IF('卡片raw data'!D$1:D$1000=R$4,1,0)+IF(R$4="",1,0)&gt;=1,1,0),IF(IF('卡片raw data'!E$1:E$1000=R$5,1,0)+IF(R$5="",1,0)&gt;=1,1,0))</f>
        <v>0</v>
      </c>
      <c r="Y1352" s="1307">
        <f t="shared" si="106"/>
        <v>14</v>
      </c>
      <c r="Z1352" s="1307">
        <f t="shared" si="107"/>
        <v>0</v>
      </c>
      <c r="AA1352" s="1307">
        <f t="shared" si="108"/>
        <v>14</v>
      </c>
      <c r="AB1352" s="1307">
        <f t="shared" si="109"/>
        <v>0</v>
      </c>
    </row>
    <row r="1353" spans="20:28">
      <c r="T1353" s="1077">
        <v>48</v>
      </c>
      <c r="U1353" s="1077">
        <f t="shared" si="105"/>
        <v>37</v>
      </c>
      <c r="V1353" s="1077">
        <v>15</v>
      </c>
      <c r="W1353" s="1077">
        <f t="array" ref="W1353">SUMPRODUCT(IF('卡片raw data'!BM$1:BM$1000=T1353,1,0),IF('卡片raw data'!BO$1:BO$1000=V1353,1,0),IF(IF('卡片raw data'!C$1:C$1000=R$3,1,0)+IF(R$3="",1,0)&gt;=1,1,0),IF(IF('卡片raw data'!D$1:D$1000=R$4,1,0)+IF(R$4="",1,0)&gt;=1,1,0),IF(IF('卡片raw data'!E$1:E$1000=R$5,1,0)+IF(R$5="",1,0)&gt;=1,1,0))</f>
        <v>0</v>
      </c>
      <c r="Y1353" s="1307">
        <f t="shared" si="106"/>
        <v>15</v>
      </c>
      <c r="Z1353" s="1307">
        <f t="shared" si="107"/>
        <v>0</v>
      </c>
      <c r="AA1353" s="1307">
        <f t="shared" si="108"/>
        <v>15</v>
      </c>
      <c r="AB1353" s="1307">
        <f t="shared" si="109"/>
        <v>0</v>
      </c>
    </row>
    <row r="1354" spans="20:28">
      <c r="T1354" s="1077">
        <v>48</v>
      </c>
      <c r="U1354" s="1077">
        <f t="shared" si="105"/>
        <v>36</v>
      </c>
      <c r="V1354" s="1077">
        <v>16</v>
      </c>
      <c r="W1354" s="1077">
        <f t="array" ref="W1354">SUMPRODUCT(IF('卡片raw data'!BM$1:BM$1000=T1354,1,0),IF('卡片raw data'!BO$1:BO$1000=V1354,1,0),IF(IF('卡片raw data'!C$1:C$1000=R$3,1,0)+IF(R$3="",1,0)&gt;=1,1,0),IF(IF('卡片raw data'!D$1:D$1000=R$4,1,0)+IF(R$4="",1,0)&gt;=1,1,0),IF(IF('卡片raw data'!E$1:E$1000=R$5,1,0)+IF(R$5="",1,0)&gt;=1,1,0))</f>
        <v>0</v>
      </c>
      <c r="Y1354" s="1307">
        <f t="shared" si="106"/>
        <v>16</v>
      </c>
      <c r="Z1354" s="1307">
        <f t="shared" si="107"/>
        <v>0</v>
      </c>
      <c r="AA1354" s="1307">
        <f t="shared" si="108"/>
        <v>16</v>
      </c>
      <c r="AB1354" s="1307">
        <f t="shared" si="109"/>
        <v>0</v>
      </c>
    </row>
    <row r="1355" spans="20:28">
      <c r="T1355" s="1077">
        <v>48</v>
      </c>
      <c r="U1355" s="1077">
        <f t="shared" si="105"/>
        <v>35</v>
      </c>
      <c r="V1355" s="1077">
        <v>17</v>
      </c>
      <c r="W1355" s="1077">
        <f t="array" ref="W1355">SUMPRODUCT(IF('卡片raw data'!BM$1:BM$1000=T1355,1,0),IF('卡片raw data'!BO$1:BO$1000=V1355,1,0),IF(IF('卡片raw data'!C$1:C$1000=R$3,1,0)+IF(R$3="",1,0)&gt;=1,1,0),IF(IF('卡片raw data'!D$1:D$1000=R$4,1,0)+IF(R$4="",1,0)&gt;=1,1,0),IF(IF('卡片raw data'!E$1:E$1000=R$5,1,0)+IF(R$5="",1,0)&gt;=1,1,0))</f>
        <v>0</v>
      </c>
      <c r="Y1355" s="1307">
        <f t="shared" si="106"/>
        <v>17</v>
      </c>
      <c r="Z1355" s="1307">
        <f t="shared" si="107"/>
        <v>0</v>
      </c>
      <c r="AA1355" s="1307">
        <f t="shared" si="108"/>
        <v>17</v>
      </c>
      <c r="AB1355" s="1307">
        <f t="shared" si="109"/>
        <v>0</v>
      </c>
    </row>
    <row r="1356" spans="20:28">
      <c r="T1356" s="1077">
        <v>48</v>
      </c>
      <c r="U1356" s="1077">
        <f t="shared" si="105"/>
        <v>34</v>
      </c>
      <c r="V1356" s="1077">
        <v>18</v>
      </c>
      <c r="W1356" s="1077">
        <f t="array" ref="W1356">SUMPRODUCT(IF('卡片raw data'!BM$1:BM$1000=T1356,1,0),IF('卡片raw data'!BO$1:BO$1000=V1356,1,0),IF(IF('卡片raw data'!C$1:C$1000=R$3,1,0)+IF(R$3="",1,0)&gt;=1,1,0),IF(IF('卡片raw data'!D$1:D$1000=R$4,1,0)+IF(R$4="",1,0)&gt;=1,1,0),IF(IF('卡片raw data'!E$1:E$1000=R$5,1,0)+IF(R$5="",1,0)&gt;=1,1,0))</f>
        <v>0</v>
      </c>
      <c r="Y1356" s="1307">
        <f t="shared" si="106"/>
        <v>18</v>
      </c>
      <c r="Z1356" s="1307">
        <f t="shared" si="107"/>
        <v>0</v>
      </c>
      <c r="AA1356" s="1307">
        <f t="shared" si="108"/>
        <v>18</v>
      </c>
      <c r="AB1356" s="1307">
        <f t="shared" si="109"/>
        <v>0</v>
      </c>
    </row>
    <row r="1357" spans="20:28">
      <c r="T1357" s="1077">
        <v>48</v>
      </c>
      <c r="U1357" s="1077">
        <f t="shared" si="105"/>
        <v>33</v>
      </c>
      <c r="V1357" s="1077">
        <v>19</v>
      </c>
      <c r="W1357" s="1077">
        <f t="array" ref="W1357">SUMPRODUCT(IF('卡片raw data'!BM$1:BM$1000=T1357,1,0),IF('卡片raw data'!BO$1:BO$1000=V1357,1,0),IF(IF('卡片raw data'!C$1:C$1000=R$3,1,0)+IF(R$3="",1,0)&gt;=1,1,0),IF(IF('卡片raw data'!D$1:D$1000=R$4,1,0)+IF(R$4="",1,0)&gt;=1,1,0),IF(IF('卡片raw data'!E$1:E$1000=R$5,1,0)+IF(R$5="",1,0)&gt;=1,1,0))</f>
        <v>0</v>
      </c>
      <c r="Y1357" s="1307">
        <f t="shared" si="106"/>
        <v>19</v>
      </c>
      <c r="Z1357" s="1307">
        <f t="shared" si="107"/>
        <v>0</v>
      </c>
      <c r="AA1357" s="1307">
        <f t="shared" si="108"/>
        <v>19</v>
      </c>
      <c r="AB1357" s="1307">
        <f t="shared" si="109"/>
        <v>0</v>
      </c>
    </row>
    <row r="1358" spans="20:28">
      <c r="T1358" s="1077">
        <v>48</v>
      </c>
      <c r="U1358" s="1077">
        <f t="shared" si="105"/>
        <v>32</v>
      </c>
      <c r="V1358" s="1077">
        <v>20</v>
      </c>
      <c r="W1358" s="1077">
        <f t="array" ref="W1358">SUMPRODUCT(IF('卡片raw data'!BM$1:BM$1000=T1358,1,0),IF('卡片raw data'!BO$1:BO$1000=V1358,1,0),IF(IF('卡片raw data'!C$1:C$1000=R$3,1,0)+IF(R$3="",1,0)&gt;=1,1,0),IF(IF('卡片raw data'!D$1:D$1000=R$4,1,0)+IF(R$4="",1,0)&gt;=1,1,0),IF(IF('卡片raw data'!E$1:E$1000=R$5,1,0)+IF(R$5="",1,0)&gt;=1,1,0))</f>
        <v>0</v>
      </c>
      <c r="Y1358" s="1307">
        <f t="shared" si="106"/>
        <v>20</v>
      </c>
      <c r="Z1358" s="1307">
        <f t="shared" si="107"/>
        <v>0</v>
      </c>
      <c r="AA1358" s="1307">
        <f t="shared" si="108"/>
        <v>20</v>
      </c>
      <c r="AB1358" s="1307">
        <f t="shared" si="109"/>
        <v>0</v>
      </c>
    </row>
    <row r="1359" spans="20:28">
      <c r="T1359" s="1077">
        <v>48</v>
      </c>
      <c r="U1359" s="1077">
        <f t="shared" si="105"/>
        <v>31</v>
      </c>
      <c r="V1359" s="1077">
        <v>21</v>
      </c>
      <c r="W1359" s="1077">
        <f t="array" ref="W1359">SUMPRODUCT(IF('卡片raw data'!BM$1:BM$1000=T1359,1,0),IF('卡片raw data'!BO$1:BO$1000=V1359,1,0),IF(IF('卡片raw data'!C$1:C$1000=R$3,1,0)+IF(R$3="",1,0)&gt;=1,1,0),IF(IF('卡片raw data'!D$1:D$1000=R$4,1,0)+IF(R$4="",1,0)&gt;=1,1,0),IF(IF('卡片raw data'!E$1:E$1000=R$5,1,0)+IF(R$5="",1,0)&gt;=1,1,0))</f>
        <v>0</v>
      </c>
      <c r="Y1359" s="1307">
        <f t="shared" si="106"/>
        <v>21</v>
      </c>
      <c r="Z1359" s="1307">
        <f t="shared" si="107"/>
        <v>0</v>
      </c>
      <c r="AA1359" s="1307">
        <f t="shared" si="108"/>
        <v>21</v>
      </c>
      <c r="AB1359" s="1307">
        <f t="shared" si="109"/>
        <v>0</v>
      </c>
    </row>
    <row r="1360" spans="20:28">
      <c r="T1360" s="1077">
        <v>48</v>
      </c>
      <c r="U1360" s="1077">
        <f t="shared" si="105"/>
        <v>30</v>
      </c>
      <c r="V1360" s="1077">
        <v>22</v>
      </c>
      <c r="W1360" s="1077">
        <f t="array" ref="W1360">SUMPRODUCT(IF('卡片raw data'!BM$1:BM$1000=T1360,1,0),IF('卡片raw data'!BO$1:BO$1000=V1360,1,0),IF(IF('卡片raw data'!C$1:C$1000=R$3,1,0)+IF(R$3="",1,0)&gt;=1,1,0),IF(IF('卡片raw data'!D$1:D$1000=R$4,1,0)+IF(R$4="",1,0)&gt;=1,1,0),IF(IF('卡片raw data'!E$1:E$1000=R$5,1,0)+IF(R$5="",1,0)&gt;=1,1,0))</f>
        <v>0</v>
      </c>
      <c r="Y1360" s="1307">
        <f t="shared" si="106"/>
        <v>22</v>
      </c>
      <c r="Z1360" s="1307">
        <f t="shared" si="107"/>
        <v>0</v>
      </c>
      <c r="AA1360" s="1307">
        <f t="shared" si="108"/>
        <v>22</v>
      </c>
      <c r="AB1360" s="1307">
        <f t="shared" si="109"/>
        <v>0</v>
      </c>
    </row>
    <row r="1361" spans="20:28">
      <c r="T1361" s="1077">
        <v>48</v>
      </c>
      <c r="U1361" s="1077">
        <f t="shared" si="105"/>
        <v>29</v>
      </c>
      <c r="V1361" s="1077">
        <v>23</v>
      </c>
      <c r="W1361" s="1077">
        <f t="array" ref="W1361">SUMPRODUCT(IF('卡片raw data'!BM$1:BM$1000=T1361,1,0),IF('卡片raw data'!BO$1:BO$1000=V1361,1,0),IF(IF('卡片raw data'!C$1:C$1000=R$3,1,0)+IF(R$3="",1,0)&gt;=1,1,0),IF(IF('卡片raw data'!D$1:D$1000=R$4,1,0)+IF(R$4="",1,0)&gt;=1,1,0),IF(IF('卡片raw data'!E$1:E$1000=R$5,1,0)+IF(R$5="",1,0)&gt;=1,1,0))</f>
        <v>0</v>
      </c>
      <c r="Y1361" s="1307">
        <f t="shared" si="106"/>
        <v>23</v>
      </c>
      <c r="Z1361" s="1307">
        <f t="shared" si="107"/>
        <v>0</v>
      </c>
      <c r="AA1361" s="1307">
        <f t="shared" si="108"/>
        <v>23</v>
      </c>
      <c r="AB1361" s="1307">
        <f t="shared" si="109"/>
        <v>0</v>
      </c>
    </row>
    <row r="1362" spans="20:28">
      <c r="T1362" s="1077">
        <v>48</v>
      </c>
      <c r="U1362" s="1077">
        <f t="shared" si="105"/>
        <v>28</v>
      </c>
      <c r="V1362" s="1077">
        <v>24</v>
      </c>
      <c r="W1362" s="1077">
        <f t="array" ref="W1362">SUMPRODUCT(IF('卡片raw data'!BM$1:BM$1000=T1362,1,0),IF('卡片raw data'!BO$1:BO$1000=V1362,1,0),IF(IF('卡片raw data'!C$1:C$1000=R$3,1,0)+IF(R$3="",1,0)&gt;=1,1,0),IF(IF('卡片raw data'!D$1:D$1000=R$4,1,0)+IF(R$4="",1,0)&gt;=1,1,0),IF(IF('卡片raw data'!E$1:E$1000=R$5,1,0)+IF(R$5="",1,0)&gt;=1,1,0))</f>
        <v>0</v>
      </c>
      <c r="Y1362" s="1307">
        <f t="shared" si="106"/>
        <v>24</v>
      </c>
      <c r="Z1362" s="1307">
        <f t="shared" si="107"/>
        <v>0</v>
      </c>
      <c r="AA1362" s="1307">
        <f t="shared" si="108"/>
        <v>24</v>
      </c>
      <c r="AB1362" s="1307">
        <f t="shared" si="109"/>
        <v>0</v>
      </c>
    </row>
    <row r="1363" spans="20:28">
      <c r="T1363" s="1077">
        <v>48</v>
      </c>
      <c r="U1363" s="1077">
        <f t="shared" si="105"/>
        <v>27</v>
      </c>
      <c r="V1363" s="1077">
        <v>25</v>
      </c>
      <c r="W1363" s="1077">
        <f t="array" ref="W1363">SUMPRODUCT(IF('卡片raw data'!BM$1:BM$1000=T1363,1,0),IF('卡片raw data'!BO$1:BO$1000=V1363,1,0),IF(IF('卡片raw data'!C$1:C$1000=R$3,1,0)+IF(R$3="",1,0)&gt;=1,1,0),IF(IF('卡片raw data'!D$1:D$1000=R$4,1,0)+IF(R$4="",1,0)&gt;=1,1,0),IF(IF('卡片raw data'!E$1:E$1000=R$5,1,0)+IF(R$5="",1,0)&gt;=1,1,0))</f>
        <v>0</v>
      </c>
      <c r="Y1363" s="1307">
        <f t="shared" si="106"/>
        <v>25</v>
      </c>
      <c r="Z1363" s="1307">
        <f t="shared" si="107"/>
        <v>0</v>
      </c>
      <c r="AA1363" s="1307">
        <f t="shared" si="108"/>
        <v>25</v>
      </c>
      <c r="AB1363" s="1307">
        <f t="shared" si="109"/>
        <v>0</v>
      </c>
    </row>
    <row r="1364" spans="20:28">
      <c r="T1364" s="1077">
        <v>48</v>
      </c>
      <c r="U1364" s="1077">
        <f t="shared" si="105"/>
        <v>26</v>
      </c>
      <c r="V1364" s="1077">
        <v>26</v>
      </c>
      <c r="W1364" s="1077">
        <f t="array" ref="W1364">SUMPRODUCT(IF('卡片raw data'!BM$1:BM$1000=T1364,1,0),IF('卡片raw data'!BO$1:BO$1000=V1364,1,0),IF(IF('卡片raw data'!C$1:C$1000=R$3,1,0)+IF(R$3="",1,0)&gt;=1,1,0),IF(IF('卡片raw data'!D$1:D$1000=R$4,1,0)+IF(R$4="",1,0)&gt;=1,1,0),IF(IF('卡片raw data'!E$1:E$1000=R$5,1,0)+IF(R$5="",1,0)&gt;=1,1,0))</f>
        <v>0</v>
      </c>
      <c r="Y1364" s="1307">
        <f t="shared" si="106"/>
        <v>26</v>
      </c>
      <c r="Z1364" s="1307">
        <f t="shared" si="107"/>
        <v>0</v>
      </c>
      <c r="AA1364" s="1307">
        <f t="shared" si="108"/>
        <v>26</v>
      </c>
      <c r="AB1364" s="1307">
        <f t="shared" si="109"/>
        <v>0</v>
      </c>
    </row>
    <row r="1365" spans="20:28">
      <c r="T1365" s="1077">
        <v>48</v>
      </c>
      <c r="U1365" s="1077">
        <f t="shared" si="105"/>
        <v>25</v>
      </c>
      <c r="V1365" s="1077">
        <v>27</v>
      </c>
      <c r="W1365" s="1077">
        <f t="array" ref="W1365">SUMPRODUCT(IF('卡片raw data'!BM$1:BM$1000=T1365,1,0),IF('卡片raw data'!BO$1:BO$1000=V1365,1,0),IF(IF('卡片raw data'!C$1:C$1000=R$3,1,0)+IF(R$3="",1,0)&gt;=1,1,0),IF(IF('卡片raw data'!D$1:D$1000=R$4,1,0)+IF(R$4="",1,0)&gt;=1,1,0),IF(IF('卡片raw data'!E$1:E$1000=R$5,1,0)+IF(R$5="",1,0)&gt;=1,1,0))</f>
        <v>0</v>
      </c>
      <c r="Y1365" s="1307">
        <f t="shared" si="106"/>
        <v>27</v>
      </c>
      <c r="Z1365" s="1307">
        <f t="shared" si="107"/>
        <v>0</v>
      </c>
      <c r="AA1365" s="1307">
        <f t="shared" si="108"/>
        <v>27</v>
      </c>
      <c r="AB1365" s="1307">
        <f t="shared" si="109"/>
        <v>0</v>
      </c>
    </row>
    <row r="1366" spans="20:28">
      <c r="T1366" s="1077">
        <v>48</v>
      </c>
      <c r="U1366" s="1077">
        <f t="shared" si="105"/>
        <v>24</v>
      </c>
      <c r="V1366" s="1077">
        <v>28</v>
      </c>
      <c r="W1366" s="1077">
        <f t="array" ref="W1366">SUMPRODUCT(IF('卡片raw data'!BM$1:BM$1000=T1366,1,0),IF('卡片raw data'!BO$1:BO$1000=V1366,1,0),IF(IF('卡片raw data'!C$1:C$1000=R$3,1,0)+IF(R$3="",1,0)&gt;=1,1,0),IF(IF('卡片raw data'!D$1:D$1000=R$4,1,0)+IF(R$4="",1,0)&gt;=1,1,0),IF(IF('卡片raw data'!E$1:E$1000=R$5,1,0)+IF(R$5="",1,0)&gt;=1,1,0))</f>
        <v>0</v>
      </c>
      <c r="Y1366" s="1307">
        <f t="shared" si="106"/>
        <v>28</v>
      </c>
      <c r="Z1366" s="1307">
        <f t="shared" si="107"/>
        <v>0</v>
      </c>
      <c r="AA1366" s="1307">
        <f t="shared" si="108"/>
        <v>28</v>
      </c>
      <c r="AB1366" s="1307">
        <f t="shared" si="109"/>
        <v>0</v>
      </c>
    </row>
    <row r="1367" spans="20:28">
      <c r="T1367" s="1077">
        <v>48</v>
      </c>
      <c r="U1367" s="1077">
        <f t="shared" si="105"/>
        <v>23</v>
      </c>
      <c r="V1367" s="1077">
        <v>29</v>
      </c>
      <c r="W1367" s="1077">
        <f t="array" ref="W1367">SUMPRODUCT(IF('卡片raw data'!BM$1:BM$1000=T1367,1,0),IF('卡片raw data'!BO$1:BO$1000=V1367,1,0),IF(IF('卡片raw data'!C$1:C$1000=R$3,1,0)+IF(R$3="",1,0)&gt;=1,1,0),IF(IF('卡片raw data'!D$1:D$1000=R$4,1,0)+IF(R$4="",1,0)&gt;=1,1,0),IF(IF('卡片raw data'!E$1:E$1000=R$5,1,0)+IF(R$5="",1,0)&gt;=1,1,0))</f>
        <v>0</v>
      </c>
      <c r="Y1367" s="1307">
        <f t="shared" si="106"/>
        <v>29</v>
      </c>
      <c r="Z1367" s="1307">
        <f t="shared" si="107"/>
        <v>0</v>
      </c>
      <c r="AA1367" s="1307">
        <f t="shared" si="108"/>
        <v>29</v>
      </c>
      <c r="AB1367" s="1307">
        <f t="shared" si="109"/>
        <v>0</v>
      </c>
    </row>
    <row r="1368" spans="20:28">
      <c r="T1368" s="1077">
        <v>48</v>
      </c>
      <c r="U1368" s="1077">
        <f t="shared" si="105"/>
        <v>22</v>
      </c>
      <c r="V1368" s="1077">
        <v>30</v>
      </c>
      <c r="W1368" s="1077">
        <f t="array" ref="W1368">SUMPRODUCT(IF('卡片raw data'!BM$1:BM$1000=T1368,1,0),IF('卡片raw data'!BO$1:BO$1000=V1368,1,0),IF(IF('卡片raw data'!C$1:C$1000=R$3,1,0)+IF(R$3="",1,0)&gt;=1,1,0),IF(IF('卡片raw data'!D$1:D$1000=R$4,1,0)+IF(R$4="",1,0)&gt;=1,1,0),IF(IF('卡片raw data'!E$1:E$1000=R$5,1,0)+IF(R$5="",1,0)&gt;=1,1,0))</f>
        <v>0</v>
      </c>
      <c r="Y1368" s="1307">
        <f t="shared" si="106"/>
        <v>30</v>
      </c>
      <c r="Z1368" s="1307">
        <f t="shared" si="107"/>
        <v>0</v>
      </c>
      <c r="AA1368" s="1307">
        <f t="shared" si="108"/>
        <v>30</v>
      </c>
      <c r="AB1368" s="1307">
        <f t="shared" si="109"/>
        <v>0</v>
      </c>
    </row>
    <row r="1369" spans="20:28">
      <c r="T1369" s="1077">
        <v>48</v>
      </c>
      <c r="U1369" s="1077">
        <f t="shared" si="105"/>
        <v>21</v>
      </c>
      <c r="V1369" s="1077">
        <v>31</v>
      </c>
      <c r="W1369" s="1077">
        <f t="array" ref="W1369">SUMPRODUCT(IF('卡片raw data'!BM$1:BM$1000=T1369,1,0),IF('卡片raw data'!BO$1:BO$1000=V1369,1,0),IF(IF('卡片raw data'!C$1:C$1000=R$3,1,0)+IF(R$3="",1,0)&gt;=1,1,0),IF(IF('卡片raw data'!D$1:D$1000=R$4,1,0)+IF(R$4="",1,0)&gt;=1,1,0),IF(IF('卡片raw data'!E$1:E$1000=R$5,1,0)+IF(R$5="",1,0)&gt;=1,1,0))</f>
        <v>0</v>
      </c>
      <c r="Y1369" s="1307">
        <f t="shared" si="106"/>
        <v>31</v>
      </c>
      <c r="Z1369" s="1307">
        <f t="shared" si="107"/>
        <v>0</v>
      </c>
      <c r="AA1369" s="1307">
        <f t="shared" si="108"/>
        <v>31</v>
      </c>
      <c r="AB1369" s="1307">
        <f t="shared" si="109"/>
        <v>0</v>
      </c>
    </row>
    <row r="1370" spans="20:28">
      <c r="T1370" s="1077">
        <v>48</v>
      </c>
      <c r="U1370" s="1077">
        <f t="shared" si="105"/>
        <v>20</v>
      </c>
      <c r="V1370" s="1077">
        <v>32</v>
      </c>
      <c r="W1370" s="1077">
        <f t="array" ref="W1370">SUMPRODUCT(IF('卡片raw data'!BM$1:BM$1000=T1370,1,0),IF('卡片raw data'!BO$1:BO$1000=V1370,1,0),IF(IF('卡片raw data'!C$1:C$1000=R$3,1,0)+IF(R$3="",1,0)&gt;=1,1,0),IF(IF('卡片raw data'!D$1:D$1000=R$4,1,0)+IF(R$4="",1,0)&gt;=1,1,0),IF(IF('卡片raw data'!E$1:E$1000=R$5,1,0)+IF(R$5="",1,0)&gt;=1,1,0))</f>
        <v>1</v>
      </c>
      <c r="Y1370" s="1307">
        <f t="shared" si="106"/>
        <v>32</v>
      </c>
      <c r="Z1370" s="1307">
        <f t="shared" si="107"/>
        <v>0</v>
      </c>
      <c r="AA1370" s="1307">
        <f t="shared" si="108"/>
        <v>32</v>
      </c>
      <c r="AB1370" s="1307">
        <f t="shared" si="109"/>
        <v>1</v>
      </c>
    </row>
    <row r="1371" spans="20:28">
      <c r="T1371" s="1077">
        <v>48</v>
      </c>
      <c r="U1371" s="1077">
        <f t="shared" si="105"/>
        <v>19</v>
      </c>
      <c r="V1371" s="1077">
        <v>33</v>
      </c>
      <c r="W1371" s="1077">
        <f t="array" ref="W1371">SUMPRODUCT(IF('卡片raw data'!BM$1:BM$1000=T1371,1,0),IF('卡片raw data'!BO$1:BO$1000=V1371,1,0),IF(IF('卡片raw data'!C$1:C$1000=R$3,1,0)+IF(R$3="",1,0)&gt;=1,1,0),IF(IF('卡片raw data'!D$1:D$1000=R$4,1,0)+IF(R$4="",1,0)&gt;=1,1,0),IF(IF('卡片raw data'!E$1:E$1000=R$5,1,0)+IF(R$5="",1,0)&gt;=1,1,0))</f>
        <v>0</v>
      </c>
      <c r="Y1371" s="1307">
        <f t="shared" si="106"/>
        <v>33</v>
      </c>
      <c r="Z1371" s="1307">
        <f t="shared" si="107"/>
        <v>0</v>
      </c>
      <c r="AA1371" s="1307">
        <f t="shared" si="108"/>
        <v>33</v>
      </c>
      <c r="AB1371" s="1307">
        <f t="shared" si="109"/>
        <v>0</v>
      </c>
    </row>
    <row r="1372" spans="20:28">
      <c r="T1372" s="1077">
        <v>48</v>
      </c>
      <c r="U1372" s="1077">
        <f t="shared" si="105"/>
        <v>18</v>
      </c>
      <c r="V1372" s="1077">
        <v>34</v>
      </c>
      <c r="W1372" s="1077">
        <f t="array" ref="W1372">SUMPRODUCT(IF('卡片raw data'!BM$1:BM$1000=T1372,1,0),IF('卡片raw data'!BO$1:BO$1000=V1372,1,0),IF(IF('卡片raw data'!C$1:C$1000=R$3,1,0)+IF(R$3="",1,0)&gt;=1,1,0),IF(IF('卡片raw data'!D$1:D$1000=R$4,1,0)+IF(R$4="",1,0)&gt;=1,1,0),IF(IF('卡片raw data'!E$1:E$1000=R$5,1,0)+IF(R$5="",1,0)&gt;=1,1,0))</f>
        <v>0</v>
      </c>
      <c r="Y1372" s="1307">
        <f t="shared" si="106"/>
        <v>34</v>
      </c>
      <c r="Z1372" s="1307">
        <f t="shared" si="107"/>
        <v>0</v>
      </c>
      <c r="AA1372" s="1307">
        <f t="shared" si="108"/>
        <v>34</v>
      </c>
      <c r="AB1372" s="1307">
        <f t="shared" si="109"/>
        <v>0</v>
      </c>
    </row>
    <row r="1373" spans="20:28">
      <c r="T1373" s="1077">
        <v>48</v>
      </c>
      <c r="U1373" s="1077">
        <f t="shared" si="105"/>
        <v>17</v>
      </c>
      <c r="V1373" s="1077">
        <v>35</v>
      </c>
      <c r="W1373" s="1077">
        <f t="array" ref="W1373">SUMPRODUCT(IF('卡片raw data'!BM$1:BM$1000=T1373,1,0),IF('卡片raw data'!BO$1:BO$1000=V1373,1,0),IF(IF('卡片raw data'!C$1:C$1000=R$3,1,0)+IF(R$3="",1,0)&gt;=1,1,0),IF(IF('卡片raw data'!D$1:D$1000=R$4,1,0)+IF(R$4="",1,0)&gt;=1,1,0),IF(IF('卡片raw data'!E$1:E$1000=R$5,1,0)+IF(R$5="",1,0)&gt;=1,1,0))</f>
        <v>2</v>
      </c>
      <c r="Y1373" s="1307">
        <f t="shared" si="106"/>
        <v>35</v>
      </c>
      <c r="Z1373" s="1307">
        <f t="shared" si="107"/>
        <v>0</v>
      </c>
      <c r="AA1373" s="1307">
        <f t="shared" si="108"/>
        <v>35</v>
      </c>
      <c r="AB1373" s="1307">
        <f t="shared" si="109"/>
        <v>2</v>
      </c>
    </row>
    <row r="1374" spans="20:28">
      <c r="T1374" s="1077">
        <v>48</v>
      </c>
      <c r="U1374" s="1077">
        <f t="shared" si="105"/>
        <v>16</v>
      </c>
      <c r="V1374" s="1077">
        <v>36</v>
      </c>
      <c r="W1374" s="1077">
        <f t="array" ref="W1374">SUMPRODUCT(IF('卡片raw data'!BM$1:BM$1000=T1374,1,0),IF('卡片raw data'!BO$1:BO$1000=V1374,1,0),IF(IF('卡片raw data'!C$1:C$1000=R$3,1,0)+IF(R$3="",1,0)&gt;=1,1,0),IF(IF('卡片raw data'!D$1:D$1000=R$4,1,0)+IF(R$4="",1,0)&gt;=1,1,0),IF(IF('卡片raw data'!E$1:E$1000=R$5,1,0)+IF(R$5="",1,0)&gt;=1,1,0))</f>
        <v>0</v>
      </c>
      <c r="Y1374" s="1307">
        <f t="shared" si="106"/>
        <v>36</v>
      </c>
      <c r="Z1374" s="1307">
        <f t="shared" si="107"/>
        <v>0</v>
      </c>
      <c r="AA1374" s="1307">
        <f t="shared" si="108"/>
        <v>36</v>
      </c>
      <c r="AB1374" s="1307">
        <f t="shared" si="109"/>
        <v>0</v>
      </c>
    </row>
    <row r="1375" spans="20:28">
      <c r="T1375" s="1077">
        <v>48</v>
      </c>
      <c r="U1375" s="1077">
        <f t="shared" si="105"/>
        <v>15</v>
      </c>
      <c r="V1375" s="1077">
        <v>37</v>
      </c>
      <c r="W1375" s="1077">
        <f t="array" ref="W1375">SUMPRODUCT(IF('卡片raw data'!BM$1:BM$1000=T1375,1,0),IF('卡片raw data'!BO$1:BO$1000=V1375,1,0),IF(IF('卡片raw data'!C$1:C$1000=R$3,1,0)+IF(R$3="",1,0)&gt;=1,1,0),IF(IF('卡片raw data'!D$1:D$1000=R$4,1,0)+IF(R$4="",1,0)&gt;=1,1,0),IF(IF('卡片raw data'!E$1:E$1000=R$5,1,0)+IF(R$5="",1,0)&gt;=1,1,0))</f>
        <v>0</v>
      </c>
      <c r="Y1375" s="1307">
        <f t="shared" si="106"/>
        <v>37</v>
      </c>
      <c r="Z1375" s="1307">
        <f t="shared" si="107"/>
        <v>0</v>
      </c>
      <c r="AA1375" s="1307">
        <f t="shared" si="108"/>
        <v>37</v>
      </c>
      <c r="AB1375" s="1307">
        <f t="shared" si="109"/>
        <v>0</v>
      </c>
    </row>
    <row r="1376" spans="20:28">
      <c r="T1376" s="1077">
        <v>48</v>
      </c>
      <c r="U1376" s="1077">
        <f t="shared" si="105"/>
        <v>14</v>
      </c>
      <c r="V1376" s="1077">
        <v>38</v>
      </c>
      <c r="W1376" s="1077">
        <f t="array" ref="W1376">SUMPRODUCT(IF('卡片raw data'!BM$1:BM$1000=T1376,1,0),IF('卡片raw data'!BO$1:BO$1000=V1376,1,0),IF(IF('卡片raw data'!C$1:C$1000=R$3,1,0)+IF(R$3="",1,0)&gt;=1,1,0),IF(IF('卡片raw data'!D$1:D$1000=R$4,1,0)+IF(R$4="",1,0)&gt;=1,1,0),IF(IF('卡片raw data'!E$1:E$1000=R$5,1,0)+IF(R$5="",1,0)&gt;=1,1,0))</f>
        <v>0</v>
      </c>
      <c r="Y1376" s="1307">
        <f t="shared" si="106"/>
        <v>38</v>
      </c>
      <c r="Z1376" s="1307">
        <f t="shared" si="107"/>
        <v>0</v>
      </c>
      <c r="AA1376" s="1307">
        <f t="shared" si="108"/>
        <v>38</v>
      </c>
      <c r="AB1376" s="1307">
        <f t="shared" si="109"/>
        <v>0</v>
      </c>
    </row>
    <row r="1377" spans="20:28">
      <c r="T1377" s="1077">
        <v>48</v>
      </c>
      <c r="U1377" s="1077">
        <f t="shared" si="105"/>
        <v>13</v>
      </c>
      <c r="V1377" s="1077">
        <v>39</v>
      </c>
      <c r="W1377" s="1077">
        <f t="array" ref="W1377">SUMPRODUCT(IF('卡片raw data'!BM$1:BM$1000=T1377,1,0),IF('卡片raw data'!BO$1:BO$1000=V1377,1,0),IF(IF('卡片raw data'!C$1:C$1000=R$3,1,0)+IF(R$3="",1,0)&gt;=1,1,0),IF(IF('卡片raw data'!D$1:D$1000=R$4,1,0)+IF(R$4="",1,0)&gt;=1,1,0),IF(IF('卡片raw data'!E$1:E$1000=R$5,1,0)+IF(R$5="",1,0)&gt;=1,1,0))</f>
        <v>0</v>
      </c>
      <c r="Y1377" s="1307">
        <f t="shared" si="106"/>
        <v>39</v>
      </c>
      <c r="Z1377" s="1307">
        <f t="shared" si="107"/>
        <v>0</v>
      </c>
      <c r="AA1377" s="1307">
        <f t="shared" si="108"/>
        <v>39</v>
      </c>
      <c r="AB1377" s="1307">
        <f t="shared" si="109"/>
        <v>0</v>
      </c>
    </row>
    <row r="1378" spans="20:28">
      <c r="T1378" s="1077">
        <v>48</v>
      </c>
      <c r="U1378" s="1077">
        <f t="shared" si="105"/>
        <v>12</v>
      </c>
      <c r="V1378" s="1077">
        <v>40</v>
      </c>
      <c r="W1378" s="1077">
        <f t="array" ref="W1378">SUMPRODUCT(IF('卡片raw data'!BM$1:BM$1000=T1378,1,0),IF('卡片raw data'!BO$1:BO$1000=V1378,1,0),IF(IF('卡片raw data'!C$1:C$1000=R$3,1,0)+IF(R$3="",1,0)&gt;=1,1,0),IF(IF('卡片raw data'!D$1:D$1000=R$4,1,0)+IF(R$4="",1,0)&gt;=1,1,0),IF(IF('卡片raw data'!E$1:E$1000=R$5,1,0)+IF(R$5="",1,0)&gt;=1,1,0))</f>
        <v>0</v>
      </c>
      <c r="Y1378" s="1307">
        <f t="shared" si="106"/>
        <v>40</v>
      </c>
      <c r="Z1378" s="1307">
        <f t="shared" si="107"/>
        <v>0</v>
      </c>
      <c r="AA1378" s="1307">
        <f t="shared" si="108"/>
        <v>40</v>
      </c>
      <c r="AB1378" s="1307">
        <f t="shared" si="109"/>
        <v>0</v>
      </c>
    </row>
    <row r="1379" spans="20:28">
      <c r="T1379" s="1077">
        <v>48</v>
      </c>
      <c r="U1379" s="1077">
        <f t="shared" si="105"/>
        <v>11</v>
      </c>
      <c r="V1379" s="1077">
        <v>41</v>
      </c>
      <c r="W1379" s="1077">
        <f t="array" ref="W1379">SUMPRODUCT(IF('卡片raw data'!BM$1:BM$1000=T1379,1,0),IF('卡片raw data'!BO$1:BO$1000=V1379,1,0),IF(IF('卡片raw data'!C$1:C$1000=R$3,1,0)+IF(R$3="",1,0)&gt;=1,1,0),IF(IF('卡片raw data'!D$1:D$1000=R$4,1,0)+IF(R$4="",1,0)&gt;=1,1,0),IF(IF('卡片raw data'!E$1:E$1000=R$5,1,0)+IF(R$5="",1,0)&gt;=1,1,0))</f>
        <v>0</v>
      </c>
      <c r="Y1379" s="1307">
        <f t="shared" si="106"/>
        <v>41</v>
      </c>
      <c r="Z1379" s="1307">
        <f t="shared" si="107"/>
        <v>0</v>
      </c>
      <c r="AA1379" s="1307">
        <f t="shared" si="108"/>
        <v>41</v>
      </c>
      <c r="AB1379" s="1307">
        <f t="shared" si="109"/>
        <v>0</v>
      </c>
    </row>
    <row r="1380" spans="20:28">
      <c r="T1380" s="1077">
        <v>48</v>
      </c>
      <c r="U1380" s="1077">
        <f t="shared" si="105"/>
        <v>10</v>
      </c>
      <c r="V1380" s="1077">
        <v>42</v>
      </c>
      <c r="W1380" s="1077">
        <f t="array" ref="W1380">SUMPRODUCT(IF('卡片raw data'!BM$1:BM$1000=T1380,1,0),IF('卡片raw data'!BO$1:BO$1000=V1380,1,0),IF(IF('卡片raw data'!C$1:C$1000=R$3,1,0)+IF(R$3="",1,0)&gt;=1,1,0),IF(IF('卡片raw data'!D$1:D$1000=R$4,1,0)+IF(R$4="",1,0)&gt;=1,1,0),IF(IF('卡片raw data'!E$1:E$1000=R$5,1,0)+IF(R$5="",1,0)&gt;=1,1,0))</f>
        <v>0</v>
      </c>
      <c r="Y1380" s="1307">
        <f t="shared" si="106"/>
        <v>42</v>
      </c>
      <c r="Z1380" s="1307">
        <f t="shared" si="107"/>
        <v>0</v>
      </c>
      <c r="AA1380" s="1307">
        <f t="shared" si="108"/>
        <v>42</v>
      </c>
      <c r="AB1380" s="1307">
        <f t="shared" si="109"/>
        <v>0</v>
      </c>
    </row>
    <row r="1381" spans="20:28">
      <c r="T1381" s="1077">
        <v>49</v>
      </c>
      <c r="U1381" s="1077">
        <f t="shared" si="105"/>
        <v>41</v>
      </c>
      <c r="V1381" s="1077">
        <v>10</v>
      </c>
      <c r="W1381" s="1077">
        <f t="array" ref="W1381">SUMPRODUCT(IF('卡片raw data'!BM$1:BM$1000=T1381,1,0),IF('卡片raw data'!BO$1:BO$1000=V1381,1,0),IF(IF('卡片raw data'!C$1:C$1000=R$3,1,0)+IF(R$3="",1,0)&gt;=1,1,0),IF(IF('卡片raw data'!D$1:D$1000=R$4,1,0)+IF(R$4="",1,0)&gt;=1,1,0),IF(IF('卡片raw data'!E$1:E$1000=R$5,1,0)+IF(R$5="",1,0)&gt;=1,1,0))</f>
        <v>0</v>
      </c>
      <c r="Y1381" s="1307">
        <f t="shared" si="106"/>
        <v>10</v>
      </c>
      <c r="Z1381" s="1307">
        <f t="shared" si="107"/>
        <v>0</v>
      </c>
      <c r="AA1381" s="1307">
        <f t="shared" si="108"/>
        <v>10</v>
      </c>
      <c r="AB1381" s="1307">
        <f t="shared" si="109"/>
        <v>0</v>
      </c>
    </row>
    <row r="1382" spans="20:28">
      <c r="T1382" s="1077">
        <v>49</v>
      </c>
      <c r="U1382" s="1077">
        <f t="shared" si="105"/>
        <v>40</v>
      </c>
      <c r="V1382" s="1077">
        <v>11</v>
      </c>
      <c r="W1382" s="1077">
        <f t="array" ref="W1382">SUMPRODUCT(IF('卡片raw data'!BM$1:BM$1000=T1382,1,0),IF('卡片raw data'!BO$1:BO$1000=V1382,1,0),IF(IF('卡片raw data'!C$1:C$1000=R$3,1,0)+IF(R$3="",1,0)&gt;=1,1,0),IF(IF('卡片raw data'!D$1:D$1000=R$4,1,0)+IF(R$4="",1,0)&gt;=1,1,0),IF(IF('卡片raw data'!E$1:E$1000=R$5,1,0)+IF(R$5="",1,0)&gt;=1,1,0))</f>
        <v>0</v>
      </c>
      <c r="Y1382" s="1307">
        <f t="shared" si="106"/>
        <v>11</v>
      </c>
      <c r="Z1382" s="1307">
        <f t="shared" si="107"/>
        <v>0</v>
      </c>
      <c r="AA1382" s="1307">
        <f t="shared" si="108"/>
        <v>11</v>
      </c>
      <c r="AB1382" s="1307">
        <f t="shared" si="109"/>
        <v>0</v>
      </c>
    </row>
    <row r="1383" spans="20:28">
      <c r="T1383" s="1077">
        <v>49</v>
      </c>
      <c r="U1383" s="1077">
        <f t="shared" si="105"/>
        <v>39</v>
      </c>
      <c r="V1383" s="1077">
        <v>12</v>
      </c>
      <c r="W1383" s="1077">
        <f t="array" ref="W1383">SUMPRODUCT(IF('卡片raw data'!BM$1:BM$1000=T1383,1,0),IF('卡片raw data'!BO$1:BO$1000=V1383,1,0),IF(IF('卡片raw data'!C$1:C$1000=R$3,1,0)+IF(R$3="",1,0)&gt;=1,1,0),IF(IF('卡片raw data'!D$1:D$1000=R$4,1,0)+IF(R$4="",1,0)&gt;=1,1,0),IF(IF('卡片raw data'!E$1:E$1000=R$5,1,0)+IF(R$5="",1,0)&gt;=1,1,0))</f>
        <v>0</v>
      </c>
      <c r="Y1383" s="1307">
        <f t="shared" si="106"/>
        <v>12</v>
      </c>
      <c r="Z1383" s="1307">
        <f t="shared" si="107"/>
        <v>0</v>
      </c>
      <c r="AA1383" s="1307">
        <f t="shared" si="108"/>
        <v>12</v>
      </c>
      <c r="AB1383" s="1307">
        <f t="shared" si="109"/>
        <v>0</v>
      </c>
    </row>
    <row r="1384" spans="20:28">
      <c r="T1384" s="1077">
        <v>49</v>
      </c>
      <c r="U1384" s="1077">
        <f t="shared" si="105"/>
        <v>38</v>
      </c>
      <c r="V1384" s="1077">
        <v>13</v>
      </c>
      <c r="W1384" s="1077">
        <f t="array" ref="W1384">SUMPRODUCT(IF('卡片raw data'!BM$1:BM$1000=T1384,1,0),IF('卡片raw data'!BO$1:BO$1000=V1384,1,0),IF(IF('卡片raw data'!C$1:C$1000=R$3,1,0)+IF(R$3="",1,0)&gt;=1,1,0),IF(IF('卡片raw data'!D$1:D$1000=R$4,1,0)+IF(R$4="",1,0)&gt;=1,1,0),IF(IF('卡片raw data'!E$1:E$1000=R$5,1,0)+IF(R$5="",1,0)&gt;=1,1,0))</f>
        <v>0</v>
      </c>
      <c r="Y1384" s="1307">
        <f t="shared" si="106"/>
        <v>13</v>
      </c>
      <c r="Z1384" s="1307">
        <f t="shared" si="107"/>
        <v>0</v>
      </c>
      <c r="AA1384" s="1307">
        <f t="shared" si="108"/>
        <v>13</v>
      </c>
      <c r="AB1384" s="1307">
        <f t="shared" si="109"/>
        <v>0</v>
      </c>
    </row>
    <row r="1385" spans="20:28">
      <c r="T1385" s="1077">
        <v>49</v>
      </c>
      <c r="U1385" s="1077">
        <f t="shared" si="105"/>
        <v>37</v>
      </c>
      <c r="V1385" s="1077">
        <v>14</v>
      </c>
      <c r="W1385" s="1077">
        <f t="array" ref="W1385">SUMPRODUCT(IF('卡片raw data'!BM$1:BM$1000=T1385,1,0),IF('卡片raw data'!BO$1:BO$1000=V1385,1,0),IF(IF('卡片raw data'!C$1:C$1000=R$3,1,0)+IF(R$3="",1,0)&gt;=1,1,0),IF(IF('卡片raw data'!D$1:D$1000=R$4,1,0)+IF(R$4="",1,0)&gt;=1,1,0),IF(IF('卡片raw data'!E$1:E$1000=R$5,1,0)+IF(R$5="",1,0)&gt;=1,1,0))</f>
        <v>0</v>
      </c>
      <c r="Y1385" s="1307">
        <f t="shared" si="106"/>
        <v>14</v>
      </c>
      <c r="Z1385" s="1307">
        <f t="shared" si="107"/>
        <v>0</v>
      </c>
      <c r="AA1385" s="1307">
        <f t="shared" si="108"/>
        <v>14</v>
      </c>
      <c r="AB1385" s="1307">
        <f t="shared" si="109"/>
        <v>0</v>
      </c>
    </row>
    <row r="1386" spans="20:28">
      <c r="T1386" s="1077">
        <v>49</v>
      </c>
      <c r="U1386" s="1077">
        <f t="shared" si="105"/>
        <v>36</v>
      </c>
      <c r="V1386" s="1077">
        <v>15</v>
      </c>
      <c r="W1386" s="1077">
        <f t="array" ref="W1386">SUMPRODUCT(IF('卡片raw data'!BM$1:BM$1000=T1386,1,0),IF('卡片raw data'!BO$1:BO$1000=V1386,1,0),IF(IF('卡片raw data'!C$1:C$1000=R$3,1,0)+IF(R$3="",1,0)&gt;=1,1,0),IF(IF('卡片raw data'!D$1:D$1000=R$4,1,0)+IF(R$4="",1,0)&gt;=1,1,0),IF(IF('卡片raw data'!E$1:E$1000=R$5,1,0)+IF(R$5="",1,0)&gt;=1,1,0))</f>
        <v>0</v>
      </c>
      <c r="Y1386" s="1307">
        <f t="shared" si="106"/>
        <v>15</v>
      </c>
      <c r="Z1386" s="1307">
        <f t="shared" si="107"/>
        <v>0</v>
      </c>
      <c r="AA1386" s="1307">
        <f t="shared" si="108"/>
        <v>15</v>
      </c>
      <c r="AB1386" s="1307">
        <f t="shared" si="109"/>
        <v>0</v>
      </c>
    </row>
    <row r="1387" spans="20:28">
      <c r="T1387" s="1077">
        <v>49</v>
      </c>
      <c r="U1387" s="1077">
        <f t="shared" si="105"/>
        <v>35</v>
      </c>
      <c r="V1387" s="1077">
        <v>16</v>
      </c>
      <c r="W1387" s="1077">
        <f t="array" ref="W1387">SUMPRODUCT(IF('卡片raw data'!BM$1:BM$1000=T1387,1,0),IF('卡片raw data'!BO$1:BO$1000=V1387,1,0),IF(IF('卡片raw data'!C$1:C$1000=R$3,1,0)+IF(R$3="",1,0)&gt;=1,1,0),IF(IF('卡片raw data'!D$1:D$1000=R$4,1,0)+IF(R$4="",1,0)&gt;=1,1,0),IF(IF('卡片raw data'!E$1:E$1000=R$5,1,0)+IF(R$5="",1,0)&gt;=1,1,0))</f>
        <v>0</v>
      </c>
      <c r="Y1387" s="1307">
        <f t="shared" si="106"/>
        <v>16</v>
      </c>
      <c r="Z1387" s="1307">
        <f t="shared" si="107"/>
        <v>0</v>
      </c>
      <c r="AA1387" s="1307">
        <f t="shared" si="108"/>
        <v>16</v>
      </c>
      <c r="AB1387" s="1307">
        <f t="shared" si="109"/>
        <v>0</v>
      </c>
    </row>
    <row r="1388" spans="20:28">
      <c r="T1388" s="1077">
        <v>49</v>
      </c>
      <c r="U1388" s="1077">
        <f t="shared" si="105"/>
        <v>34</v>
      </c>
      <c r="V1388" s="1077">
        <v>17</v>
      </c>
      <c r="W1388" s="1077">
        <f t="array" ref="W1388">SUMPRODUCT(IF('卡片raw data'!BM$1:BM$1000=T1388,1,0),IF('卡片raw data'!BO$1:BO$1000=V1388,1,0),IF(IF('卡片raw data'!C$1:C$1000=R$3,1,0)+IF(R$3="",1,0)&gt;=1,1,0),IF(IF('卡片raw data'!D$1:D$1000=R$4,1,0)+IF(R$4="",1,0)&gt;=1,1,0),IF(IF('卡片raw data'!E$1:E$1000=R$5,1,0)+IF(R$5="",1,0)&gt;=1,1,0))</f>
        <v>0</v>
      </c>
      <c r="Y1388" s="1307">
        <f t="shared" si="106"/>
        <v>17</v>
      </c>
      <c r="Z1388" s="1307">
        <f t="shared" si="107"/>
        <v>0</v>
      </c>
      <c r="AA1388" s="1307">
        <f t="shared" si="108"/>
        <v>17</v>
      </c>
      <c r="AB1388" s="1307">
        <f t="shared" si="109"/>
        <v>0</v>
      </c>
    </row>
    <row r="1389" spans="20:28">
      <c r="T1389" s="1077">
        <v>49</v>
      </c>
      <c r="U1389" s="1077">
        <f t="shared" si="105"/>
        <v>33</v>
      </c>
      <c r="V1389" s="1077">
        <v>18</v>
      </c>
      <c r="W1389" s="1077">
        <f t="array" ref="W1389">SUMPRODUCT(IF('卡片raw data'!BM$1:BM$1000=T1389,1,0),IF('卡片raw data'!BO$1:BO$1000=V1389,1,0),IF(IF('卡片raw data'!C$1:C$1000=R$3,1,0)+IF(R$3="",1,0)&gt;=1,1,0),IF(IF('卡片raw data'!D$1:D$1000=R$4,1,0)+IF(R$4="",1,0)&gt;=1,1,0),IF(IF('卡片raw data'!E$1:E$1000=R$5,1,0)+IF(R$5="",1,0)&gt;=1,1,0))</f>
        <v>0</v>
      </c>
      <c r="Y1389" s="1307">
        <f t="shared" si="106"/>
        <v>18</v>
      </c>
      <c r="Z1389" s="1307">
        <f t="shared" si="107"/>
        <v>0</v>
      </c>
      <c r="AA1389" s="1307">
        <f t="shared" si="108"/>
        <v>18</v>
      </c>
      <c r="AB1389" s="1307">
        <f t="shared" si="109"/>
        <v>0</v>
      </c>
    </row>
    <row r="1390" spans="20:28">
      <c r="T1390" s="1077">
        <v>49</v>
      </c>
      <c r="U1390" s="1077">
        <f t="shared" si="105"/>
        <v>32</v>
      </c>
      <c r="V1390" s="1077">
        <v>19</v>
      </c>
      <c r="W1390" s="1077">
        <f t="array" ref="W1390">SUMPRODUCT(IF('卡片raw data'!BM$1:BM$1000=T1390,1,0),IF('卡片raw data'!BO$1:BO$1000=V1390,1,0),IF(IF('卡片raw data'!C$1:C$1000=R$3,1,0)+IF(R$3="",1,0)&gt;=1,1,0),IF(IF('卡片raw data'!D$1:D$1000=R$4,1,0)+IF(R$4="",1,0)&gt;=1,1,0),IF(IF('卡片raw data'!E$1:E$1000=R$5,1,0)+IF(R$5="",1,0)&gt;=1,1,0))</f>
        <v>0</v>
      </c>
      <c r="Y1390" s="1307">
        <f t="shared" si="106"/>
        <v>19</v>
      </c>
      <c r="Z1390" s="1307">
        <f t="shared" si="107"/>
        <v>0</v>
      </c>
      <c r="AA1390" s="1307">
        <f t="shared" si="108"/>
        <v>19</v>
      </c>
      <c r="AB1390" s="1307">
        <f t="shared" si="109"/>
        <v>0</v>
      </c>
    </row>
    <row r="1391" spans="20:28">
      <c r="T1391" s="1077">
        <v>49</v>
      </c>
      <c r="U1391" s="1077">
        <f t="shared" si="105"/>
        <v>31</v>
      </c>
      <c r="V1391" s="1077">
        <v>20</v>
      </c>
      <c r="W1391" s="1077">
        <f t="array" ref="W1391">SUMPRODUCT(IF('卡片raw data'!BM$1:BM$1000=T1391,1,0),IF('卡片raw data'!BO$1:BO$1000=V1391,1,0),IF(IF('卡片raw data'!C$1:C$1000=R$3,1,0)+IF(R$3="",1,0)&gt;=1,1,0),IF(IF('卡片raw data'!D$1:D$1000=R$4,1,0)+IF(R$4="",1,0)&gt;=1,1,0),IF(IF('卡片raw data'!E$1:E$1000=R$5,1,0)+IF(R$5="",1,0)&gt;=1,1,0))</f>
        <v>0</v>
      </c>
      <c r="Y1391" s="1307">
        <f t="shared" si="106"/>
        <v>20</v>
      </c>
      <c r="Z1391" s="1307">
        <f t="shared" si="107"/>
        <v>0</v>
      </c>
      <c r="AA1391" s="1307">
        <f t="shared" si="108"/>
        <v>20</v>
      </c>
      <c r="AB1391" s="1307">
        <f t="shared" si="109"/>
        <v>0</v>
      </c>
    </row>
    <row r="1392" spans="20:28">
      <c r="T1392" s="1077">
        <v>49</v>
      </c>
      <c r="U1392" s="1077">
        <f t="shared" si="105"/>
        <v>30</v>
      </c>
      <c r="V1392" s="1077">
        <v>21</v>
      </c>
      <c r="W1392" s="1077">
        <f t="array" ref="W1392">SUMPRODUCT(IF('卡片raw data'!BM$1:BM$1000=T1392,1,0),IF('卡片raw data'!BO$1:BO$1000=V1392,1,0),IF(IF('卡片raw data'!C$1:C$1000=R$3,1,0)+IF(R$3="",1,0)&gt;=1,1,0),IF(IF('卡片raw data'!D$1:D$1000=R$4,1,0)+IF(R$4="",1,0)&gt;=1,1,0),IF(IF('卡片raw data'!E$1:E$1000=R$5,1,0)+IF(R$5="",1,0)&gt;=1,1,0))</f>
        <v>0</v>
      </c>
      <c r="Y1392" s="1307">
        <f t="shared" si="106"/>
        <v>21</v>
      </c>
      <c r="Z1392" s="1307">
        <f t="shared" si="107"/>
        <v>0</v>
      </c>
      <c r="AA1392" s="1307">
        <f t="shared" si="108"/>
        <v>21</v>
      </c>
      <c r="AB1392" s="1307">
        <f t="shared" si="109"/>
        <v>0</v>
      </c>
    </row>
    <row r="1393" spans="20:28">
      <c r="T1393" s="1077">
        <v>49</v>
      </c>
      <c r="U1393" s="1077">
        <f t="shared" si="105"/>
        <v>29</v>
      </c>
      <c r="V1393" s="1077">
        <v>22</v>
      </c>
      <c r="W1393" s="1077">
        <f t="array" ref="W1393">SUMPRODUCT(IF('卡片raw data'!BM$1:BM$1000=T1393,1,0),IF('卡片raw data'!BO$1:BO$1000=V1393,1,0),IF(IF('卡片raw data'!C$1:C$1000=R$3,1,0)+IF(R$3="",1,0)&gt;=1,1,0),IF(IF('卡片raw data'!D$1:D$1000=R$4,1,0)+IF(R$4="",1,0)&gt;=1,1,0),IF(IF('卡片raw data'!E$1:E$1000=R$5,1,0)+IF(R$5="",1,0)&gt;=1,1,0))</f>
        <v>0</v>
      </c>
      <c r="Y1393" s="1307">
        <f t="shared" si="106"/>
        <v>22</v>
      </c>
      <c r="Z1393" s="1307">
        <f t="shared" si="107"/>
        <v>0</v>
      </c>
      <c r="AA1393" s="1307">
        <f t="shared" si="108"/>
        <v>22</v>
      </c>
      <c r="AB1393" s="1307">
        <f t="shared" si="109"/>
        <v>0</v>
      </c>
    </row>
    <row r="1394" spans="20:28">
      <c r="T1394" s="1077">
        <v>49</v>
      </c>
      <c r="U1394" s="1077">
        <f t="shared" si="105"/>
        <v>28</v>
      </c>
      <c r="V1394" s="1077">
        <v>23</v>
      </c>
      <c r="W1394" s="1077">
        <f t="array" ref="W1394">SUMPRODUCT(IF('卡片raw data'!BM$1:BM$1000=T1394,1,0),IF('卡片raw data'!BO$1:BO$1000=V1394,1,0),IF(IF('卡片raw data'!C$1:C$1000=R$3,1,0)+IF(R$3="",1,0)&gt;=1,1,0),IF(IF('卡片raw data'!D$1:D$1000=R$4,1,0)+IF(R$4="",1,0)&gt;=1,1,0),IF(IF('卡片raw data'!E$1:E$1000=R$5,1,0)+IF(R$5="",1,0)&gt;=1,1,0))</f>
        <v>0</v>
      </c>
      <c r="Y1394" s="1307">
        <f t="shared" si="106"/>
        <v>23</v>
      </c>
      <c r="Z1394" s="1307">
        <f t="shared" si="107"/>
        <v>0</v>
      </c>
      <c r="AA1394" s="1307">
        <f t="shared" si="108"/>
        <v>23</v>
      </c>
      <c r="AB1394" s="1307">
        <f t="shared" si="109"/>
        <v>0</v>
      </c>
    </row>
    <row r="1395" spans="20:28">
      <c r="T1395" s="1077">
        <v>49</v>
      </c>
      <c r="U1395" s="1077">
        <f t="shared" si="105"/>
        <v>27</v>
      </c>
      <c r="V1395" s="1077">
        <v>24</v>
      </c>
      <c r="W1395" s="1077">
        <f t="array" ref="W1395">SUMPRODUCT(IF('卡片raw data'!BM$1:BM$1000=T1395,1,0),IF('卡片raw data'!BO$1:BO$1000=V1395,1,0),IF(IF('卡片raw data'!C$1:C$1000=R$3,1,0)+IF(R$3="",1,0)&gt;=1,1,0),IF(IF('卡片raw data'!D$1:D$1000=R$4,1,0)+IF(R$4="",1,0)&gt;=1,1,0),IF(IF('卡片raw data'!E$1:E$1000=R$5,1,0)+IF(R$5="",1,0)&gt;=1,1,0))</f>
        <v>0</v>
      </c>
      <c r="Y1395" s="1307">
        <f t="shared" si="106"/>
        <v>24</v>
      </c>
      <c r="Z1395" s="1307">
        <f t="shared" si="107"/>
        <v>0</v>
      </c>
      <c r="AA1395" s="1307">
        <f t="shared" si="108"/>
        <v>24</v>
      </c>
      <c r="AB1395" s="1307">
        <f t="shared" si="109"/>
        <v>0</v>
      </c>
    </row>
    <row r="1396" spans="20:28">
      <c r="T1396" s="1077">
        <v>49</v>
      </c>
      <c r="U1396" s="1077">
        <f t="shared" si="105"/>
        <v>26</v>
      </c>
      <c r="V1396" s="1077">
        <v>25</v>
      </c>
      <c r="W1396" s="1077">
        <f t="array" ref="W1396">SUMPRODUCT(IF('卡片raw data'!BM$1:BM$1000=T1396,1,0),IF('卡片raw data'!BO$1:BO$1000=V1396,1,0),IF(IF('卡片raw data'!C$1:C$1000=R$3,1,0)+IF(R$3="",1,0)&gt;=1,1,0),IF(IF('卡片raw data'!D$1:D$1000=R$4,1,0)+IF(R$4="",1,0)&gt;=1,1,0),IF(IF('卡片raw data'!E$1:E$1000=R$5,1,0)+IF(R$5="",1,0)&gt;=1,1,0))</f>
        <v>0</v>
      </c>
      <c r="Y1396" s="1307">
        <f t="shared" si="106"/>
        <v>25</v>
      </c>
      <c r="Z1396" s="1307">
        <f t="shared" si="107"/>
        <v>0</v>
      </c>
      <c r="AA1396" s="1307">
        <f t="shared" si="108"/>
        <v>25</v>
      </c>
      <c r="AB1396" s="1307">
        <f t="shared" si="109"/>
        <v>0</v>
      </c>
    </row>
    <row r="1397" spans="20:28">
      <c r="T1397" s="1077">
        <v>49</v>
      </c>
      <c r="U1397" s="1077">
        <f t="shared" si="105"/>
        <v>25</v>
      </c>
      <c r="V1397" s="1077">
        <v>26</v>
      </c>
      <c r="W1397" s="1077">
        <f t="array" ref="W1397">SUMPRODUCT(IF('卡片raw data'!BM$1:BM$1000=T1397,1,0),IF('卡片raw data'!BO$1:BO$1000=V1397,1,0),IF(IF('卡片raw data'!C$1:C$1000=R$3,1,0)+IF(R$3="",1,0)&gt;=1,1,0),IF(IF('卡片raw data'!D$1:D$1000=R$4,1,0)+IF(R$4="",1,0)&gt;=1,1,0),IF(IF('卡片raw data'!E$1:E$1000=R$5,1,0)+IF(R$5="",1,0)&gt;=1,1,0))</f>
        <v>0</v>
      </c>
      <c r="Y1397" s="1307">
        <f t="shared" si="106"/>
        <v>26</v>
      </c>
      <c r="Z1397" s="1307">
        <f t="shared" si="107"/>
        <v>0</v>
      </c>
      <c r="AA1397" s="1307">
        <f t="shared" si="108"/>
        <v>26</v>
      </c>
      <c r="AB1397" s="1307">
        <f t="shared" si="109"/>
        <v>0</v>
      </c>
    </row>
    <row r="1398" spans="20:28">
      <c r="T1398" s="1077">
        <v>49</v>
      </c>
      <c r="U1398" s="1077">
        <f t="shared" si="105"/>
        <v>24</v>
      </c>
      <c r="V1398" s="1077">
        <v>27</v>
      </c>
      <c r="W1398" s="1077">
        <f t="array" ref="W1398">SUMPRODUCT(IF('卡片raw data'!BM$1:BM$1000=T1398,1,0),IF('卡片raw data'!BO$1:BO$1000=V1398,1,0),IF(IF('卡片raw data'!C$1:C$1000=R$3,1,0)+IF(R$3="",1,0)&gt;=1,1,0),IF(IF('卡片raw data'!D$1:D$1000=R$4,1,0)+IF(R$4="",1,0)&gt;=1,1,0),IF(IF('卡片raw data'!E$1:E$1000=R$5,1,0)+IF(R$5="",1,0)&gt;=1,1,0))</f>
        <v>0</v>
      </c>
      <c r="Y1398" s="1307">
        <f t="shared" si="106"/>
        <v>27</v>
      </c>
      <c r="Z1398" s="1307">
        <f t="shared" si="107"/>
        <v>0</v>
      </c>
      <c r="AA1398" s="1307">
        <f t="shared" si="108"/>
        <v>27</v>
      </c>
      <c r="AB1398" s="1307">
        <f t="shared" si="109"/>
        <v>0</v>
      </c>
    </row>
    <row r="1399" spans="20:28">
      <c r="T1399" s="1077">
        <v>49</v>
      </c>
      <c r="U1399" s="1077">
        <f t="shared" si="105"/>
        <v>23</v>
      </c>
      <c r="V1399" s="1077">
        <v>28</v>
      </c>
      <c r="W1399" s="1077">
        <f t="array" ref="W1399">SUMPRODUCT(IF('卡片raw data'!BM$1:BM$1000=T1399,1,0),IF('卡片raw data'!BO$1:BO$1000=V1399,1,0),IF(IF('卡片raw data'!C$1:C$1000=R$3,1,0)+IF(R$3="",1,0)&gt;=1,1,0),IF(IF('卡片raw data'!D$1:D$1000=R$4,1,0)+IF(R$4="",1,0)&gt;=1,1,0),IF(IF('卡片raw data'!E$1:E$1000=R$5,1,0)+IF(R$5="",1,0)&gt;=1,1,0))</f>
        <v>0</v>
      </c>
      <c r="Y1399" s="1307">
        <f t="shared" si="106"/>
        <v>28</v>
      </c>
      <c r="Z1399" s="1307">
        <f t="shared" si="107"/>
        <v>0</v>
      </c>
      <c r="AA1399" s="1307">
        <f t="shared" si="108"/>
        <v>28</v>
      </c>
      <c r="AB1399" s="1307">
        <f t="shared" si="109"/>
        <v>0</v>
      </c>
    </row>
    <row r="1400" spans="20:28">
      <c r="T1400" s="1077">
        <v>49</v>
      </c>
      <c r="U1400" s="1077">
        <f t="shared" si="105"/>
        <v>22</v>
      </c>
      <c r="V1400" s="1077">
        <v>29</v>
      </c>
      <c r="W1400" s="1077">
        <f t="array" ref="W1400">SUMPRODUCT(IF('卡片raw data'!BM$1:BM$1000=T1400,1,0),IF('卡片raw data'!BO$1:BO$1000=V1400,1,0),IF(IF('卡片raw data'!C$1:C$1000=R$3,1,0)+IF(R$3="",1,0)&gt;=1,1,0),IF(IF('卡片raw data'!D$1:D$1000=R$4,1,0)+IF(R$4="",1,0)&gt;=1,1,0),IF(IF('卡片raw data'!E$1:E$1000=R$5,1,0)+IF(R$5="",1,0)&gt;=1,1,0))</f>
        <v>0</v>
      </c>
      <c r="Y1400" s="1307">
        <f t="shared" si="106"/>
        <v>29</v>
      </c>
      <c r="Z1400" s="1307">
        <f t="shared" si="107"/>
        <v>0</v>
      </c>
      <c r="AA1400" s="1307">
        <f t="shared" si="108"/>
        <v>29</v>
      </c>
      <c r="AB1400" s="1307">
        <f t="shared" si="109"/>
        <v>0</v>
      </c>
    </row>
    <row r="1401" spans="20:28">
      <c r="T1401" s="1077">
        <v>49</v>
      </c>
      <c r="U1401" s="1077">
        <f t="shared" si="105"/>
        <v>21</v>
      </c>
      <c r="V1401" s="1077">
        <v>30</v>
      </c>
      <c r="W1401" s="1077">
        <f t="array" ref="W1401">SUMPRODUCT(IF('卡片raw data'!BM$1:BM$1000=T1401,1,0),IF('卡片raw data'!BO$1:BO$1000=V1401,1,0),IF(IF('卡片raw data'!C$1:C$1000=R$3,1,0)+IF(R$3="",1,0)&gt;=1,1,0),IF(IF('卡片raw data'!D$1:D$1000=R$4,1,0)+IF(R$4="",1,0)&gt;=1,1,0),IF(IF('卡片raw data'!E$1:E$1000=R$5,1,0)+IF(R$5="",1,0)&gt;=1,1,0))</f>
        <v>0</v>
      </c>
      <c r="Y1401" s="1307">
        <f t="shared" si="106"/>
        <v>30</v>
      </c>
      <c r="Z1401" s="1307">
        <f t="shared" si="107"/>
        <v>0</v>
      </c>
      <c r="AA1401" s="1307">
        <f t="shared" si="108"/>
        <v>30</v>
      </c>
      <c r="AB1401" s="1307">
        <f t="shared" si="109"/>
        <v>0</v>
      </c>
    </row>
    <row r="1402" spans="20:28">
      <c r="T1402" s="1077">
        <v>49</v>
      </c>
      <c r="U1402" s="1077">
        <f t="shared" si="105"/>
        <v>20</v>
      </c>
      <c r="V1402" s="1077">
        <v>31</v>
      </c>
      <c r="W1402" s="1077">
        <f t="array" ref="W1402">SUMPRODUCT(IF('卡片raw data'!BM$1:BM$1000=T1402,1,0),IF('卡片raw data'!BO$1:BO$1000=V1402,1,0),IF(IF('卡片raw data'!C$1:C$1000=R$3,1,0)+IF(R$3="",1,0)&gt;=1,1,0),IF(IF('卡片raw data'!D$1:D$1000=R$4,1,0)+IF(R$4="",1,0)&gt;=1,1,0),IF(IF('卡片raw data'!E$1:E$1000=R$5,1,0)+IF(R$5="",1,0)&gt;=1,1,0))</f>
        <v>0</v>
      </c>
      <c r="Y1402" s="1307">
        <f t="shared" si="106"/>
        <v>31</v>
      </c>
      <c r="Z1402" s="1307">
        <f t="shared" si="107"/>
        <v>0</v>
      </c>
      <c r="AA1402" s="1307">
        <f t="shared" si="108"/>
        <v>31</v>
      </c>
      <c r="AB1402" s="1307">
        <f t="shared" si="109"/>
        <v>0</v>
      </c>
    </row>
    <row r="1403" spans="20:28">
      <c r="T1403" s="1077">
        <v>49</v>
      </c>
      <c r="U1403" s="1077">
        <f t="shared" si="105"/>
        <v>19</v>
      </c>
      <c r="V1403" s="1077">
        <v>32</v>
      </c>
      <c r="W1403" s="1077">
        <f t="array" ref="W1403">SUMPRODUCT(IF('卡片raw data'!BM$1:BM$1000=T1403,1,0),IF('卡片raw data'!BO$1:BO$1000=V1403,1,0),IF(IF('卡片raw data'!C$1:C$1000=R$3,1,0)+IF(R$3="",1,0)&gt;=1,1,0),IF(IF('卡片raw data'!D$1:D$1000=R$4,1,0)+IF(R$4="",1,0)&gt;=1,1,0),IF(IF('卡片raw data'!E$1:E$1000=R$5,1,0)+IF(R$5="",1,0)&gt;=1,1,0))</f>
        <v>0</v>
      </c>
      <c r="Y1403" s="1307">
        <f t="shared" si="106"/>
        <v>32</v>
      </c>
      <c r="Z1403" s="1307">
        <f t="shared" si="107"/>
        <v>0</v>
      </c>
      <c r="AA1403" s="1307">
        <f t="shared" si="108"/>
        <v>32</v>
      </c>
      <c r="AB1403" s="1307">
        <f t="shared" si="109"/>
        <v>0</v>
      </c>
    </row>
    <row r="1404" spans="20:28">
      <c r="T1404" s="1077">
        <v>49</v>
      </c>
      <c r="U1404" s="1077">
        <f t="shared" si="105"/>
        <v>18</v>
      </c>
      <c r="V1404" s="1077">
        <v>33</v>
      </c>
      <c r="W1404" s="1077">
        <f t="array" ref="W1404">SUMPRODUCT(IF('卡片raw data'!BM$1:BM$1000=T1404,1,0),IF('卡片raw data'!BO$1:BO$1000=V1404,1,0),IF(IF('卡片raw data'!C$1:C$1000=R$3,1,0)+IF(R$3="",1,0)&gt;=1,1,0),IF(IF('卡片raw data'!D$1:D$1000=R$4,1,0)+IF(R$4="",1,0)&gt;=1,1,0),IF(IF('卡片raw data'!E$1:E$1000=R$5,1,0)+IF(R$5="",1,0)&gt;=1,1,0))</f>
        <v>0</v>
      </c>
      <c r="Y1404" s="1307">
        <f t="shared" si="106"/>
        <v>33</v>
      </c>
      <c r="Z1404" s="1307">
        <f t="shared" si="107"/>
        <v>0</v>
      </c>
      <c r="AA1404" s="1307">
        <f t="shared" si="108"/>
        <v>33</v>
      </c>
      <c r="AB1404" s="1307">
        <f t="shared" si="109"/>
        <v>0</v>
      </c>
    </row>
    <row r="1405" spans="20:28">
      <c r="T1405" s="1077">
        <v>49</v>
      </c>
      <c r="U1405" s="1077">
        <f t="shared" si="105"/>
        <v>17</v>
      </c>
      <c r="V1405" s="1077">
        <v>34</v>
      </c>
      <c r="W1405" s="1077">
        <f t="array" ref="W1405">SUMPRODUCT(IF('卡片raw data'!BM$1:BM$1000=T1405,1,0),IF('卡片raw data'!BO$1:BO$1000=V1405,1,0),IF(IF('卡片raw data'!C$1:C$1000=R$3,1,0)+IF(R$3="",1,0)&gt;=1,1,0),IF(IF('卡片raw data'!D$1:D$1000=R$4,1,0)+IF(R$4="",1,0)&gt;=1,1,0),IF(IF('卡片raw data'!E$1:E$1000=R$5,1,0)+IF(R$5="",1,0)&gt;=1,1,0))</f>
        <v>0</v>
      </c>
      <c r="Y1405" s="1307">
        <f t="shared" si="106"/>
        <v>34</v>
      </c>
      <c r="Z1405" s="1307">
        <f t="shared" si="107"/>
        <v>0</v>
      </c>
      <c r="AA1405" s="1307">
        <f t="shared" si="108"/>
        <v>34</v>
      </c>
      <c r="AB1405" s="1307">
        <f t="shared" si="109"/>
        <v>0</v>
      </c>
    </row>
    <row r="1406" spans="20:28">
      <c r="T1406" s="1077">
        <v>49</v>
      </c>
      <c r="U1406" s="1077">
        <f t="shared" si="105"/>
        <v>16</v>
      </c>
      <c r="V1406" s="1077">
        <v>35</v>
      </c>
      <c r="W1406" s="1077">
        <f t="array" ref="W1406">SUMPRODUCT(IF('卡片raw data'!BM$1:BM$1000=T1406,1,0),IF('卡片raw data'!BO$1:BO$1000=V1406,1,0),IF(IF('卡片raw data'!C$1:C$1000=R$3,1,0)+IF(R$3="",1,0)&gt;=1,1,0),IF(IF('卡片raw data'!D$1:D$1000=R$4,1,0)+IF(R$4="",1,0)&gt;=1,1,0),IF(IF('卡片raw data'!E$1:E$1000=R$5,1,0)+IF(R$5="",1,0)&gt;=1,1,0))</f>
        <v>0</v>
      </c>
      <c r="Y1406" s="1307">
        <f t="shared" si="106"/>
        <v>35</v>
      </c>
      <c r="Z1406" s="1307">
        <f t="shared" si="107"/>
        <v>0</v>
      </c>
      <c r="AA1406" s="1307">
        <f t="shared" si="108"/>
        <v>35</v>
      </c>
      <c r="AB1406" s="1307">
        <f t="shared" si="109"/>
        <v>0</v>
      </c>
    </row>
    <row r="1407" spans="20:28">
      <c r="T1407" s="1077">
        <v>49</v>
      </c>
      <c r="U1407" s="1077">
        <f t="shared" si="105"/>
        <v>15</v>
      </c>
      <c r="V1407" s="1077">
        <v>36</v>
      </c>
      <c r="W1407" s="1077">
        <f t="array" ref="W1407">SUMPRODUCT(IF('卡片raw data'!BM$1:BM$1000=T1407,1,0),IF('卡片raw data'!BO$1:BO$1000=V1407,1,0),IF(IF('卡片raw data'!C$1:C$1000=R$3,1,0)+IF(R$3="",1,0)&gt;=1,1,0),IF(IF('卡片raw data'!D$1:D$1000=R$4,1,0)+IF(R$4="",1,0)&gt;=1,1,0),IF(IF('卡片raw data'!E$1:E$1000=R$5,1,0)+IF(R$5="",1,0)&gt;=1,1,0))</f>
        <v>0</v>
      </c>
      <c r="Y1407" s="1307">
        <f t="shared" si="106"/>
        <v>36</v>
      </c>
      <c r="Z1407" s="1307">
        <f t="shared" si="107"/>
        <v>0</v>
      </c>
      <c r="AA1407" s="1307">
        <f t="shared" si="108"/>
        <v>36</v>
      </c>
      <c r="AB1407" s="1307">
        <f t="shared" si="109"/>
        <v>0</v>
      </c>
    </row>
    <row r="1408" spans="20:28">
      <c r="T1408" s="1077">
        <v>49</v>
      </c>
      <c r="U1408" s="1077">
        <f t="shared" si="105"/>
        <v>14</v>
      </c>
      <c r="V1408" s="1077">
        <v>37</v>
      </c>
      <c r="W1408" s="1077">
        <f t="array" ref="W1408">SUMPRODUCT(IF('卡片raw data'!BM$1:BM$1000=T1408,1,0),IF('卡片raw data'!BO$1:BO$1000=V1408,1,0),IF(IF('卡片raw data'!C$1:C$1000=R$3,1,0)+IF(R$3="",1,0)&gt;=1,1,0),IF(IF('卡片raw data'!D$1:D$1000=R$4,1,0)+IF(R$4="",1,0)&gt;=1,1,0),IF(IF('卡片raw data'!E$1:E$1000=R$5,1,0)+IF(R$5="",1,0)&gt;=1,1,0))</f>
        <v>0</v>
      </c>
      <c r="Y1408" s="1307">
        <f t="shared" si="106"/>
        <v>37</v>
      </c>
      <c r="Z1408" s="1307">
        <f t="shared" si="107"/>
        <v>0</v>
      </c>
      <c r="AA1408" s="1307">
        <f t="shared" si="108"/>
        <v>37</v>
      </c>
      <c r="AB1408" s="1307">
        <f t="shared" si="109"/>
        <v>0</v>
      </c>
    </row>
    <row r="1409" spans="20:28">
      <c r="T1409" s="1077">
        <v>49</v>
      </c>
      <c r="U1409" s="1077">
        <f t="shared" si="105"/>
        <v>13</v>
      </c>
      <c r="V1409" s="1077">
        <v>38</v>
      </c>
      <c r="W1409" s="1077">
        <f t="array" ref="W1409">SUMPRODUCT(IF('卡片raw data'!BM$1:BM$1000=T1409,1,0),IF('卡片raw data'!BO$1:BO$1000=V1409,1,0),IF(IF('卡片raw data'!C$1:C$1000=R$3,1,0)+IF(R$3="",1,0)&gt;=1,1,0),IF(IF('卡片raw data'!D$1:D$1000=R$4,1,0)+IF(R$4="",1,0)&gt;=1,1,0),IF(IF('卡片raw data'!E$1:E$1000=R$5,1,0)+IF(R$5="",1,0)&gt;=1,1,0))</f>
        <v>0</v>
      </c>
      <c r="Y1409" s="1307">
        <f t="shared" si="106"/>
        <v>38</v>
      </c>
      <c r="Z1409" s="1307">
        <f t="shared" si="107"/>
        <v>0</v>
      </c>
      <c r="AA1409" s="1307">
        <f t="shared" si="108"/>
        <v>38</v>
      </c>
      <c r="AB1409" s="1307">
        <f t="shared" si="109"/>
        <v>0</v>
      </c>
    </row>
    <row r="1410" spans="20:28">
      <c r="T1410" s="1077">
        <v>49</v>
      </c>
      <c r="U1410" s="1077">
        <f t="shared" si="105"/>
        <v>12</v>
      </c>
      <c r="V1410" s="1077">
        <v>39</v>
      </c>
      <c r="W1410" s="1077">
        <f t="array" ref="W1410">SUMPRODUCT(IF('卡片raw data'!BM$1:BM$1000=T1410,1,0),IF('卡片raw data'!BO$1:BO$1000=V1410,1,0),IF(IF('卡片raw data'!C$1:C$1000=R$3,1,0)+IF(R$3="",1,0)&gt;=1,1,0),IF(IF('卡片raw data'!D$1:D$1000=R$4,1,0)+IF(R$4="",1,0)&gt;=1,1,0),IF(IF('卡片raw data'!E$1:E$1000=R$5,1,0)+IF(R$5="",1,0)&gt;=1,1,0))</f>
        <v>0</v>
      </c>
      <c r="Y1410" s="1307">
        <f t="shared" si="106"/>
        <v>39</v>
      </c>
      <c r="Z1410" s="1307">
        <f t="shared" si="107"/>
        <v>0</v>
      </c>
      <c r="AA1410" s="1307">
        <f t="shared" si="108"/>
        <v>39</v>
      </c>
      <c r="AB1410" s="1307">
        <f t="shared" si="109"/>
        <v>0</v>
      </c>
    </row>
    <row r="1411" spans="20:28">
      <c r="T1411" s="1077">
        <v>49</v>
      </c>
      <c r="U1411" s="1077">
        <f t="shared" si="105"/>
        <v>11</v>
      </c>
      <c r="V1411" s="1077">
        <v>40</v>
      </c>
      <c r="W1411" s="1077">
        <f t="array" ref="W1411">SUMPRODUCT(IF('卡片raw data'!BM$1:BM$1000=T1411,1,0),IF('卡片raw data'!BO$1:BO$1000=V1411,1,0),IF(IF('卡片raw data'!C$1:C$1000=R$3,1,0)+IF(R$3="",1,0)&gt;=1,1,0),IF(IF('卡片raw data'!D$1:D$1000=R$4,1,0)+IF(R$4="",1,0)&gt;=1,1,0),IF(IF('卡片raw data'!E$1:E$1000=R$5,1,0)+IF(R$5="",1,0)&gt;=1,1,0))</f>
        <v>1</v>
      </c>
      <c r="Y1411" s="1307">
        <f t="shared" si="106"/>
        <v>40</v>
      </c>
      <c r="Z1411" s="1307">
        <f t="shared" si="107"/>
        <v>0</v>
      </c>
      <c r="AA1411" s="1307">
        <f t="shared" si="108"/>
        <v>40</v>
      </c>
      <c r="AB1411" s="1307">
        <f t="shared" si="109"/>
        <v>1</v>
      </c>
    </row>
    <row r="1412" spans="20:28">
      <c r="T1412" s="1077">
        <v>49</v>
      </c>
      <c r="U1412" s="1077">
        <f t="shared" ref="U1412:U1475" si="110">100-T1412-V1412</f>
        <v>10</v>
      </c>
      <c r="V1412" s="1077">
        <v>41</v>
      </c>
      <c r="W1412" s="1077">
        <f t="array" ref="W1412">SUMPRODUCT(IF('卡片raw data'!BM$1:BM$1000=T1412,1,0),IF('卡片raw data'!BO$1:BO$1000=V1412,1,0),IF(IF('卡片raw data'!C$1:C$1000=R$3,1,0)+IF(R$3="",1,0)&gt;=1,1,0),IF(IF('卡片raw data'!D$1:D$1000=R$4,1,0)+IF(R$4="",1,0)&gt;=1,1,0),IF(IF('卡片raw data'!E$1:E$1000=R$5,1,0)+IF(R$5="",1,0)&gt;=1,1,0))</f>
        <v>0</v>
      </c>
      <c r="Y1412" s="1307">
        <f t="shared" ref="Y1412:Y1475" si="111">V1412</f>
        <v>41</v>
      </c>
      <c r="Z1412" s="1307">
        <f t="shared" ref="Z1412:Z1475" si="112">IF(AND(V1412&gt;U1412,V1412&gt;T1412),W1412,0)</f>
        <v>0</v>
      </c>
      <c r="AA1412" s="1307">
        <f t="shared" ref="AA1412:AA1475" si="113">V1412</f>
        <v>41</v>
      </c>
      <c r="AB1412" s="1307">
        <f t="shared" ref="AB1412:AB1475" si="114">W1412-Z1412</f>
        <v>0</v>
      </c>
    </row>
    <row r="1413" spans="20:28">
      <c r="T1413" s="1077">
        <v>50</v>
      </c>
      <c r="U1413" s="1077">
        <f t="shared" si="110"/>
        <v>40</v>
      </c>
      <c r="V1413" s="1077">
        <v>10</v>
      </c>
      <c r="W1413" s="1077">
        <f t="array" ref="W1413">SUMPRODUCT(IF('卡片raw data'!BM$1:BM$1000=T1413,1,0),IF('卡片raw data'!BO$1:BO$1000=V1413,1,0),IF(IF('卡片raw data'!C$1:C$1000=R$3,1,0)+IF(R$3="",1,0)&gt;=1,1,0),IF(IF('卡片raw data'!D$1:D$1000=R$4,1,0)+IF(R$4="",1,0)&gt;=1,1,0),IF(IF('卡片raw data'!E$1:E$1000=R$5,1,0)+IF(R$5="",1,0)&gt;=1,1,0))</f>
        <v>0</v>
      </c>
      <c r="Y1413" s="1307">
        <f t="shared" si="111"/>
        <v>10</v>
      </c>
      <c r="Z1413" s="1307">
        <f t="shared" si="112"/>
        <v>0</v>
      </c>
      <c r="AA1413" s="1307">
        <f t="shared" si="113"/>
        <v>10</v>
      </c>
      <c r="AB1413" s="1307">
        <f t="shared" si="114"/>
        <v>0</v>
      </c>
    </row>
    <row r="1414" spans="20:28">
      <c r="T1414" s="1077">
        <v>50</v>
      </c>
      <c r="U1414" s="1077">
        <f t="shared" si="110"/>
        <v>39</v>
      </c>
      <c r="V1414" s="1077">
        <v>11</v>
      </c>
      <c r="W1414" s="1077">
        <f t="array" ref="W1414">SUMPRODUCT(IF('卡片raw data'!BM$1:BM$1000=T1414,1,0),IF('卡片raw data'!BO$1:BO$1000=V1414,1,0),IF(IF('卡片raw data'!C$1:C$1000=R$3,1,0)+IF(R$3="",1,0)&gt;=1,1,0),IF(IF('卡片raw data'!D$1:D$1000=R$4,1,0)+IF(R$4="",1,0)&gt;=1,1,0),IF(IF('卡片raw data'!E$1:E$1000=R$5,1,0)+IF(R$5="",1,0)&gt;=1,1,0))</f>
        <v>0</v>
      </c>
      <c r="Y1414" s="1307">
        <f t="shared" si="111"/>
        <v>11</v>
      </c>
      <c r="Z1414" s="1307">
        <f t="shared" si="112"/>
        <v>0</v>
      </c>
      <c r="AA1414" s="1307">
        <f t="shared" si="113"/>
        <v>11</v>
      </c>
      <c r="AB1414" s="1307">
        <f t="shared" si="114"/>
        <v>0</v>
      </c>
    </row>
    <row r="1415" spans="20:28">
      <c r="T1415" s="1077">
        <v>50</v>
      </c>
      <c r="U1415" s="1077">
        <f t="shared" si="110"/>
        <v>38</v>
      </c>
      <c r="V1415" s="1077">
        <v>12</v>
      </c>
      <c r="W1415" s="1077">
        <f t="array" ref="W1415">SUMPRODUCT(IF('卡片raw data'!BM$1:BM$1000=T1415,1,0),IF('卡片raw data'!BO$1:BO$1000=V1415,1,0),IF(IF('卡片raw data'!C$1:C$1000=R$3,1,0)+IF(R$3="",1,0)&gt;=1,1,0),IF(IF('卡片raw data'!D$1:D$1000=R$4,1,0)+IF(R$4="",1,0)&gt;=1,1,0),IF(IF('卡片raw data'!E$1:E$1000=R$5,1,0)+IF(R$5="",1,0)&gt;=1,1,0))</f>
        <v>0</v>
      </c>
      <c r="Y1415" s="1307">
        <f t="shared" si="111"/>
        <v>12</v>
      </c>
      <c r="Z1415" s="1307">
        <f t="shared" si="112"/>
        <v>0</v>
      </c>
      <c r="AA1415" s="1307">
        <f t="shared" si="113"/>
        <v>12</v>
      </c>
      <c r="AB1415" s="1307">
        <f t="shared" si="114"/>
        <v>0</v>
      </c>
    </row>
    <row r="1416" spans="20:28">
      <c r="T1416" s="1077">
        <v>50</v>
      </c>
      <c r="U1416" s="1077">
        <f t="shared" si="110"/>
        <v>37</v>
      </c>
      <c r="V1416" s="1077">
        <v>13</v>
      </c>
      <c r="W1416" s="1077">
        <f t="array" ref="W1416">SUMPRODUCT(IF('卡片raw data'!BM$1:BM$1000=T1416,1,0),IF('卡片raw data'!BO$1:BO$1000=V1416,1,0),IF(IF('卡片raw data'!C$1:C$1000=R$3,1,0)+IF(R$3="",1,0)&gt;=1,1,0),IF(IF('卡片raw data'!D$1:D$1000=R$4,1,0)+IF(R$4="",1,0)&gt;=1,1,0),IF(IF('卡片raw data'!E$1:E$1000=R$5,1,0)+IF(R$5="",1,0)&gt;=1,1,0))</f>
        <v>0</v>
      </c>
      <c r="Y1416" s="1307">
        <f t="shared" si="111"/>
        <v>13</v>
      </c>
      <c r="Z1416" s="1307">
        <f t="shared" si="112"/>
        <v>0</v>
      </c>
      <c r="AA1416" s="1307">
        <f t="shared" si="113"/>
        <v>13</v>
      </c>
      <c r="AB1416" s="1307">
        <f t="shared" si="114"/>
        <v>0</v>
      </c>
    </row>
    <row r="1417" spans="20:28">
      <c r="T1417" s="1077">
        <v>50</v>
      </c>
      <c r="U1417" s="1077">
        <f t="shared" si="110"/>
        <v>36</v>
      </c>
      <c r="V1417" s="1077">
        <v>14</v>
      </c>
      <c r="W1417" s="1077">
        <f t="array" ref="W1417">SUMPRODUCT(IF('卡片raw data'!BM$1:BM$1000=T1417,1,0),IF('卡片raw data'!BO$1:BO$1000=V1417,1,0),IF(IF('卡片raw data'!C$1:C$1000=R$3,1,0)+IF(R$3="",1,0)&gt;=1,1,0),IF(IF('卡片raw data'!D$1:D$1000=R$4,1,0)+IF(R$4="",1,0)&gt;=1,1,0),IF(IF('卡片raw data'!E$1:E$1000=R$5,1,0)+IF(R$5="",1,0)&gt;=1,1,0))</f>
        <v>0</v>
      </c>
      <c r="Y1417" s="1307">
        <f t="shared" si="111"/>
        <v>14</v>
      </c>
      <c r="Z1417" s="1307">
        <f t="shared" si="112"/>
        <v>0</v>
      </c>
      <c r="AA1417" s="1307">
        <f t="shared" si="113"/>
        <v>14</v>
      </c>
      <c r="AB1417" s="1307">
        <f t="shared" si="114"/>
        <v>0</v>
      </c>
    </row>
    <row r="1418" spans="20:28">
      <c r="T1418" s="1077">
        <v>50</v>
      </c>
      <c r="U1418" s="1077">
        <f t="shared" si="110"/>
        <v>35</v>
      </c>
      <c r="V1418" s="1077">
        <v>15</v>
      </c>
      <c r="W1418" s="1077">
        <f t="array" ref="W1418">SUMPRODUCT(IF('卡片raw data'!BM$1:BM$1000=T1418,1,0),IF('卡片raw data'!BO$1:BO$1000=V1418,1,0),IF(IF('卡片raw data'!C$1:C$1000=R$3,1,0)+IF(R$3="",1,0)&gt;=1,1,0),IF(IF('卡片raw data'!D$1:D$1000=R$4,1,0)+IF(R$4="",1,0)&gt;=1,1,0),IF(IF('卡片raw data'!E$1:E$1000=R$5,1,0)+IF(R$5="",1,0)&gt;=1,1,0))</f>
        <v>0</v>
      </c>
      <c r="Y1418" s="1307">
        <f t="shared" si="111"/>
        <v>15</v>
      </c>
      <c r="Z1418" s="1307">
        <f t="shared" si="112"/>
        <v>0</v>
      </c>
      <c r="AA1418" s="1307">
        <f t="shared" si="113"/>
        <v>15</v>
      </c>
      <c r="AB1418" s="1307">
        <f t="shared" si="114"/>
        <v>0</v>
      </c>
    </row>
    <row r="1419" spans="20:28">
      <c r="T1419" s="1077">
        <v>50</v>
      </c>
      <c r="U1419" s="1077">
        <f t="shared" si="110"/>
        <v>34</v>
      </c>
      <c r="V1419" s="1077">
        <v>16</v>
      </c>
      <c r="W1419" s="1077">
        <f t="array" ref="W1419">SUMPRODUCT(IF('卡片raw data'!BM$1:BM$1000=T1419,1,0),IF('卡片raw data'!BO$1:BO$1000=V1419,1,0),IF(IF('卡片raw data'!C$1:C$1000=R$3,1,0)+IF(R$3="",1,0)&gt;=1,1,0),IF(IF('卡片raw data'!D$1:D$1000=R$4,1,0)+IF(R$4="",1,0)&gt;=1,1,0),IF(IF('卡片raw data'!E$1:E$1000=R$5,1,0)+IF(R$5="",1,0)&gt;=1,1,0))</f>
        <v>0</v>
      </c>
      <c r="Y1419" s="1307">
        <f t="shared" si="111"/>
        <v>16</v>
      </c>
      <c r="Z1419" s="1307">
        <f t="shared" si="112"/>
        <v>0</v>
      </c>
      <c r="AA1419" s="1307">
        <f t="shared" si="113"/>
        <v>16</v>
      </c>
      <c r="AB1419" s="1307">
        <f t="shared" si="114"/>
        <v>0</v>
      </c>
    </row>
    <row r="1420" spans="20:28">
      <c r="T1420" s="1077">
        <v>50</v>
      </c>
      <c r="U1420" s="1077">
        <f t="shared" si="110"/>
        <v>33</v>
      </c>
      <c r="V1420" s="1077">
        <v>17</v>
      </c>
      <c r="W1420" s="1077">
        <f t="array" ref="W1420">SUMPRODUCT(IF('卡片raw data'!BM$1:BM$1000=T1420,1,0),IF('卡片raw data'!BO$1:BO$1000=V1420,1,0),IF(IF('卡片raw data'!C$1:C$1000=R$3,1,0)+IF(R$3="",1,0)&gt;=1,1,0),IF(IF('卡片raw data'!D$1:D$1000=R$4,1,0)+IF(R$4="",1,0)&gt;=1,1,0),IF(IF('卡片raw data'!E$1:E$1000=R$5,1,0)+IF(R$5="",1,0)&gt;=1,1,0))</f>
        <v>0</v>
      </c>
      <c r="Y1420" s="1307">
        <f t="shared" si="111"/>
        <v>17</v>
      </c>
      <c r="Z1420" s="1307">
        <f t="shared" si="112"/>
        <v>0</v>
      </c>
      <c r="AA1420" s="1307">
        <f t="shared" si="113"/>
        <v>17</v>
      </c>
      <c r="AB1420" s="1307">
        <f t="shared" si="114"/>
        <v>0</v>
      </c>
    </row>
    <row r="1421" spans="20:28">
      <c r="T1421" s="1077">
        <v>50</v>
      </c>
      <c r="U1421" s="1077">
        <f t="shared" si="110"/>
        <v>32</v>
      </c>
      <c r="V1421" s="1077">
        <v>18</v>
      </c>
      <c r="W1421" s="1077">
        <f t="array" ref="W1421">SUMPRODUCT(IF('卡片raw data'!BM$1:BM$1000=T1421,1,0),IF('卡片raw data'!BO$1:BO$1000=V1421,1,0),IF(IF('卡片raw data'!C$1:C$1000=R$3,1,0)+IF(R$3="",1,0)&gt;=1,1,0),IF(IF('卡片raw data'!D$1:D$1000=R$4,1,0)+IF(R$4="",1,0)&gt;=1,1,0),IF(IF('卡片raw data'!E$1:E$1000=R$5,1,0)+IF(R$5="",1,0)&gt;=1,1,0))</f>
        <v>0</v>
      </c>
      <c r="Y1421" s="1307">
        <f t="shared" si="111"/>
        <v>18</v>
      </c>
      <c r="Z1421" s="1307">
        <f t="shared" si="112"/>
        <v>0</v>
      </c>
      <c r="AA1421" s="1307">
        <f t="shared" si="113"/>
        <v>18</v>
      </c>
      <c r="AB1421" s="1307">
        <f t="shared" si="114"/>
        <v>0</v>
      </c>
    </row>
    <row r="1422" spans="20:28">
      <c r="T1422" s="1077">
        <v>50</v>
      </c>
      <c r="U1422" s="1077">
        <f t="shared" si="110"/>
        <v>31</v>
      </c>
      <c r="V1422" s="1077">
        <v>19</v>
      </c>
      <c r="W1422" s="1077">
        <f t="array" ref="W1422">SUMPRODUCT(IF('卡片raw data'!BM$1:BM$1000=T1422,1,0),IF('卡片raw data'!BO$1:BO$1000=V1422,1,0),IF(IF('卡片raw data'!C$1:C$1000=R$3,1,0)+IF(R$3="",1,0)&gt;=1,1,0),IF(IF('卡片raw data'!D$1:D$1000=R$4,1,0)+IF(R$4="",1,0)&gt;=1,1,0),IF(IF('卡片raw data'!E$1:E$1000=R$5,1,0)+IF(R$5="",1,0)&gt;=1,1,0))</f>
        <v>0</v>
      </c>
      <c r="Y1422" s="1307">
        <f t="shared" si="111"/>
        <v>19</v>
      </c>
      <c r="Z1422" s="1307">
        <f t="shared" si="112"/>
        <v>0</v>
      </c>
      <c r="AA1422" s="1307">
        <f t="shared" si="113"/>
        <v>19</v>
      </c>
      <c r="AB1422" s="1307">
        <f t="shared" si="114"/>
        <v>0</v>
      </c>
    </row>
    <row r="1423" spans="20:28">
      <c r="T1423" s="1077">
        <v>50</v>
      </c>
      <c r="U1423" s="1077">
        <f t="shared" si="110"/>
        <v>30</v>
      </c>
      <c r="V1423" s="1077">
        <v>20</v>
      </c>
      <c r="W1423" s="1077">
        <f t="array" ref="W1423">SUMPRODUCT(IF('卡片raw data'!BM$1:BM$1000=T1423,1,0),IF('卡片raw data'!BO$1:BO$1000=V1423,1,0),IF(IF('卡片raw data'!C$1:C$1000=R$3,1,0)+IF(R$3="",1,0)&gt;=1,1,0),IF(IF('卡片raw data'!D$1:D$1000=R$4,1,0)+IF(R$4="",1,0)&gt;=1,1,0),IF(IF('卡片raw data'!E$1:E$1000=R$5,1,0)+IF(R$5="",1,0)&gt;=1,1,0))</f>
        <v>0</v>
      </c>
      <c r="Y1423" s="1307">
        <f t="shared" si="111"/>
        <v>20</v>
      </c>
      <c r="Z1423" s="1307">
        <f t="shared" si="112"/>
        <v>0</v>
      </c>
      <c r="AA1423" s="1307">
        <f t="shared" si="113"/>
        <v>20</v>
      </c>
      <c r="AB1423" s="1307">
        <f t="shared" si="114"/>
        <v>0</v>
      </c>
    </row>
    <row r="1424" spans="20:28">
      <c r="T1424" s="1077">
        <v>50</v>
      </c>
      <c r="U1424" s="1077">
        <f t="shared" si="110"/>
        <v>29</v>
      </c>
      <c r="V1424" s="1077">
        <v>21</v>
      </c>
      <c r="W1424" s="1077">
        <f t="array" ref="W1424">SUMPRODUCT(IF('卡片raw data'!BM$1:BM$1000=T1424,1,0),IF('卡片raw data'!BO$1:BO$1000=V1424,1,0),IF(IF('卡片raw data'!C$1:C$1000=R$3,1,0)+IF(R$3="",1,0)&gt;=1,1,0),IF(IF('卡片raw data'!D$1:D$1000=R$4,1,0)+IF(R$4="",1,0)&gt;=1,1,0),IF(IF('卡片raw data'!E$1:E$1000=R$5,1,0)+IF(R$5="",1,0)&gt;=1,1,0))</f>
        <v>0</v>
      </c>
      <c r="Y1424" s="1307">
        <f t="shared" si="111"/>
        <v>21</v>
      </c>
      <c r="Z1424" s="1307">
        <f t="shared" si="112"/>
        <v>0</v>
      </c>
      <c r="AA1424" s="1307">
        <f t="shared" si="113"/>
        <v>21</v>
      </c>
      <c r="AB1424" s="1307">
        <f t="shared" si="114"/>
        <v>0</v>
      </c>
    </row>
    <row r="1425" spans="20:28">
      <c r="T1425" s="1077">
        <v>50</v>
      </c>
      <c r="U1425" s="1077">
        <f t="shared" si="110"/>
        <v>28</v>
      </c>
      <c r="V1425" s="1077">
        <v>22</v>
      </c>
      <c r="W1425" s="1077">
        <f t="array" ref="W1425">SUMPRODUCT(IF('卡片raw data'!BM$1:BM$1000=T1425,1,0),IF('卡片raw data'!BO$1:BO$1000=V1425,1,0),IF(IF('卡片raw data'!C$1:C$1000=R$3,1,0)+IF(R$3="",1,0)&gt;=1,1,0),IF(IF('卡片raw data'!D$1:D$1000=R$4,1,0)+IF(R$4="",1,0)&gt;=1,1,0),IF(IF('卡片raw data'!E$1:E$1000=R$5,1,0)+IF(R$5="",1,0)&gt;=1,1,0))</f>
        <v>0</v>
      </c>
      <c r="Y1425" s="1307">
        <f t="shared" si="111"/>
        <v>22</v>
      </c>
      <c r="Z1425" s="1307">
        <f t="shared" si="112"/>
        <v>0</v>
      </c>
      <c r="AA1425" s="1307">
        <f t="shared" si="113"/>
        <v>22</v>
      </c>
      <c r="AB1425" s="1307">
        <f t="shared" si="114"/>
        <v>0</v>
      </c>
    </row>
    <row r="1426" spans="20:28">
      <c r="T1426" s="1077">
        <v>50</v>
      </c>
      <c r="U1426" s="1077">
        <f t="shared" si="110"/>
        <v>27</v>
      </c>
      <c r="V1426" s="1077">
        <v>23</v>
      </c>
      <c r="W1426" s="1077">
        <f t="array" ref="W1426">SUMPRODUCT(IF('卡片raw data'!BM$1:BM$1000=T1426,1,0),IF('卡片raw data'!BO$1:BO$1000=V1426,1,0),IF(IF('卡片raw data'!C$1:C$1000=R$3,1,0)+IF(R$3="",1,0)&gt;=1,1,0),IF(IF('卡片raw data'!D$1:D$1000=R$4,1,0)+IF(R$4="",1,0)&gt;=1,1,0),IF(IF('卡片raw data'!E$1:E$1000=R$5,1,0)+IF(R$5="",1,0)&gt;=1,1,0))</f>
        <v>0</v>
      </c>
      <c r="Y1426" s="1307">
        <f t="shared" si="111"/>
        <v>23</v>
      </c>
      <c r="Z1426" s="1307">
        <f t="shared" si="112"/>
        <v>0</v>
      </c>
      <c r="AA1426" s="1307">
        <f t="shared" si="113"/>
        <v>23</v>
      </c>
      <c r="AB1426" s="1307">
        <f t="shared" si="114"/>
        <v>0</v>
      </c>
    </row>
    <row r="1427" spans="20:28">
      <c r="T1427" s="1077">
        <v>50</v>
      </c>
      <c r="U1427" s="1077">
        <f t="shared" si="110"/>
        <v>26</v>
      </c>
      <c r="V1427" s="1077">
        <v>24</v>
      </c>
      <c r="W1427" s="1077">
        <f t="array" ref="W1427">SUMPRODUCT(IF('卡片raw data'!BM$1:BM$1000=T1427,1,0),IF('卡片raw data'!BO$1:BO$1000=V1427,1,0),IF(IF('卡片raw data'!C$1:C$1000=R$3,1,0)+IF(R$3="",1,0)&gt;=1,1,0),IF(IF('卡片raw data'!D$1:D$1000=R$4,1,0)+IF(R$4="",1,0)&gt;=1,1,0),IF(IF('卡片raw data'!E$1:E$1000=R$5,1,0)+IF(R$5="",1,0)&gt;=1,1,0))</f>
        <v>0</v>
      </c>
      <c r="Y1427" s="1307">
        <f t="shared" si="111"/>
        <v>24</v>
      </c>
      <c r="Z1427" s="1307">
        <f t="shared" si="112"/>
        <v>0</v>
      </c>
      <c r="AA1427" s="1307">
        <f t="shared" si="113"/>
        <v>24</v>
      </c>
      <c r="AB1427" s="1307">
        <f t="shared" si="114"/>
        <v>0</v>
      </c>
    </row>
    <row r="1428" spans="20:28">
      <c r="T1428" s="1077">
        <v>50</v>
      </c>
      <c r="U1428" s="1077">
        <f t="shared" si="110"/>
        <v>25</v>
      </c>
      <c r="V1428" s="1077">
        <v>25</v>
      </c>
      <c r="W1428" s="1077">
        <f t="array" ref="W1428">SUMPRODUCT(IF('卡片raw data'!BM$1:BM$1000=T1428,1,0),IF('卡片raw data'!BO$1:BO$1000=V1428,1,0),IF(IF('卡片raw data'!C$1:C$1000=R$3,1,0)+IF(R$3="",1,0)&gt;=1,1,0),IF(IF('卡片raw data'!D$1:D$1000=R$4,1,0)+IF(R$4="",1,0)&gt;=1,1,0),IF(IF('卡片raw data'!E$1:E$1000=R$5,1,0)+IF(R$5="",1,0)&gt;=1,1,0))</f>
        <v>0</v>
      </c>
      <c r="Y1428" s="1307">
        <f t="shared" si="111"/>
        <v>25</v>
      </c>
      <c r="Z1428" s="1307">
        <f t="shared" si="112"/>
        <v>0</v>
      </c>
      <c r="AA1428" s="1307">
        <f t="shared" si="113"/>
        <v>25</v>
      </c>
      <c r="AB1428" s="1307">
        <f t="shared" si="114"/>
        <v>0</v>
      </c>
    </row>
    <row r="1429" spans="20:28">
      <c r="T1429" s="1077">
        <v>50</v>
      </c>
      <c r="U1429" s="1077">
        <f t="shared" si="110"/>
        <v>24</v>
      </c>
      <c r="V1429" s="1077">
        <v>26</v>
      </c>
      <c r="W1429" s="1077">
        <f t="array" ref="W1429">SUMPRODUCT(IF('卡片raw data'!BM$1:BM$1000=T1429,1,0),IF('卡片raw data'!BO$1:BO$1000=V1429,1,0),IF(IF('卡片raw data'!C$1:C$1000=R$3,1,0)+IF(R$3="",1,0)&gt;=1,1,0),IF(IF('卡片raw data'!D$1:D$1000=R$4,1,0)+IF(R$4="",1,0)&gt;=1,1,0),IF(IF('卡片raw data'!E$1:E$1000=R$5,1,0)+IF(R$5="",1,0)&gt;=1,1,0))</f>
        <v>0</v>
      </c>
      <c r="Y1429" s="1307">
        <f t="shared" si="111"/>
        <v>26</v>
      </c>
      <c r="Z1429" s="1307">
        <f t="shared" si="112"/>
        <v>0</v>
      </c>
      <c r="AA1429" s="1307">
        <f t="shared" si="113"/>
        <v>26</v>
      </c>
      <c r="AB1429" s="1307">
        <f t="shared" si="114"/>
        <v>0</v>
      </c>
    </row>
    <row r="1430" spans="20:28">
      <c r="T1430" s="1077">
        <v>50</v>
      </c>
      <c r="U1430" s="1077">
        <f t="shared" si="110"/>
        <v>23</v>
      </c>
      <c r="V1430" s="1077">
        <v>27</v>
      </c>
      <c r="W1430" s="1077">
        <f t="array" ref="W1430">SUMPRODUCT(IF('卡片raw data'!BM$1:BM$1000=T1430,1,0),IF('卡片raw data'!BO$1:BO$1000=V1430,1,0),IF(IF('卡片raw data'!C$1:C$1000=R$3,1,0)+IF(R$3="",1,0)&gt;=1,1,0),IF(IF('卡片raw data'!D$1:D$1000=R$4,1,0)+IF(R$4="",1,0)&gt;=1,1,0),IF(IF('卡片raw data'!E$1:E$1000=R$5,1,0)+IF(R$5="",1,0)&gt;=1,1,0))</f>
        <v>0</v>
      </c>
      <c r="Y1430" s="1307">
        <f t="shared" si="111"/>
        <v>27</v>
      </c>
      <c r="Z1430" s="1307">
        <f t="shared" si="112"/>
        <v>0</v>
      </c>
      <c r="AA1430" s="1307">
        <f t="shared" si="113"/>
        <v>27</v>
      </c>
      <c r="AB1430" s="1307">
        <f t="shared" si="114"/>
        <v>0</v>
      </c>
    </row>
    <row r="1431" spans="20:28">
      <c r="T1431" s="1077">
        <v>50</v>
      </c>
      <c r="U1431" s="1077">
        <f t="shared" si="110"/>
        <v>22</v>
      </c>
      <c r="V1431" s="1077">
        <v>28</v>
      </c>
      <c r="W1431" s="1077">
        <f t="array" ref="W1431">SUMPRODUCT(IF('卡片raw data'!BM$1:BM$1000=T1431,1,0),IF('卡片raw data'!BO$1:BO$1000=V1431,1,0),IF(IF('卡片raw data'!C$1:C$1000=R$3,1,0)+IF(R$3="",1,0)&gt;=1,1,0),IF(IF('卡片raw data'!D$1:D$1000=R$4,1,0)+IF(R$4="",1,0)&gt;=1,1,0),IF(IF('卡片raw data'!E$1:E$1000=R$5,1,0)+IF(R$5="",1,0)&gt;=1,1,0))</f>
        <v>0</v>
      </c>
      <c r="Y1431" s="1307">
        <f t="shared" si="111"/>
        <v>28</v>
      </c>
      <c r="Z1431" s="1307">
        <f t="shared" si="112"/>
        <v>0</v>
      </c>
      <c r="AA1431" s="1307">
        <f t="shared" si="113"/>
        <v>28</v>
      </c>
      <c r="AB1431" s="1307">
        <f t="shared" si="114"/>
        <v>0</v>
      </c>
    </row>
    <row r="1432" spans="20:28">
      <c r="T1432" s="1077">
        <v>50</v>
      </c>
      <c r="U1432" s="1077">
        <f t="shared" si="110"/>
        <v>21</v>
      </c>
      <c r="V1432" s="1077">
        <v>29</v>
      </c>
      <c r="W1432" s="1077">
        <f t="array" ref="W1432">SUMPRODUCT(IF('卡片raw data'!BM$1:BM$1000=T1432,1,0),IF('卡片raw data'!BO$1:BO$1000=V1432,1,0),IF(IF('卡片raw data'!C$1:C$1000=R$3,1,0)+IF(R$3="",1,0)&gt;=1,1,0),IF(IF('卡片raw data'!D$1:D$1000=R$4,1,0)+IF(R$4="",1,0)&gt;=1,1,0),IF(IF('卡片raw data'!E$1:E$1000=R$5,1,0)+IF(R$5="",1,0)&gt;=1,1,0))</f>
        <v>0</v>
      </c>
      <c r="Y1432" s="1307">
        <f t="shared" si="111"/>
        <v>29</v>
      </c>
      <c r="Z1432" s="1307">
        <f t="shared" si="112"/>
        <v>0</v>
      </c>
      <c r="AA1432" s="1307">
        <f t="shared" si="113"/>
        <v>29</v>
      </c>
      <c r="AB1432" s="1307">
        <f t="shared" si="114"/>
        <v>0</v>
      </c>
    </row>
    <row r="1433" spans="20:28">
      <c r="T1433" s="1077">
        <v>50</v>
      </c>
      <c r="U1433" s="1077">
        <f t="shared" si="110"/>
        <v>20</v>
      </c>
      <c r="V1433" s="1077">
        <v>30</v>
      </c>
      <c r="W1433" s="1077">
        <f t="array" ref="W1433">SUMPRODUCT(IF('卡片raw data'!BM$1:BM$1000=T1433,1,0),IF('卡片raw data'!BO$1:BO$1000=V1433,1,0),IF(IF('卡片raw data'!C$1:C$1000=R$3,1,0)+IF(R$3="",1,0)&gt;=1,1,0),IF(IF('卡片raw data'!D$1:D$1000=R$4,1,0)+IF(R$4="",1,0)&gt;=1,1,0),IF(IF('卡片raw data'!E$1:E$1000=R$5,1,0)+IF(R$5="",1,0)&gt;=1,1,0))</f>
        <v>0</v>
      </c>
      <c r="Y1433" s="1307">
        <f t="shared" si="111"/>
        <v>30</v>
      </c>
      <c r="Z1433" s="1307">
        <f t="shared" si="112"/>
        <v>0</v>
      </c>
      <c r="AA1433" s="1307">
        <f t="shared" si="113"/>
        <v>30</v>
      </c>
      <c r="AB1433" s="1307">
        <f t="shared" si="114"/>
        <v>0</v>
      </c>
    </row>
    <row r="1434" spans="20:28">
      <c r="T1434" s="1077">
        <v>50</v>
      </c>
      <c r="U1434" s="1077">
        <f t="shared" si="110"/>
        <v>19</v>
      </c>
      <c r="V1434" s="1077">
        <v>31</v>
      </c>
      <c r="W1434" s="1077">
        <f t="array" ref="W1434">SUMPRODUCT(IF('卡片raw data'!BM$1:BM$1000=T1434,1,0),IF('卡片raw data'!BO$1:BO$1000=V1434,1,0),IF(IF('卡片raw data'!C$1:C$1000=R$3,1,0)+IF(R$3="",1,0)&gt;=1,1,0),IF(IF('卡片raw data'!D$1:D$1000=R$4,1,0)+IF(R$4="",1,0)&gt;=1,1,0),IF(IF('卡片raw data'!E$1:E$1000=R$5,1,0)+IF(R$5="",1,0)&gt;=1,1,0))</f>
        <v>0</v>
      </c>
      <c r="Y1434" s="1307">
        <f t="shared" si="111"/>
        <v>31</v>
      </c>
      <c r="Z1434" s="1307">
        <f t="shared" si="112"/>
        <v>0</v>
      </c>
      <c r="AA1434" s="1307">
        <f t="shared" si="113"/>
        <v>31</v>
      </c>
      <c r="AB1434" s="1307">
        <f t="shared" si="114"/>
        <v>0</v>
      </c>
    </row>
    <row r="1435" spans="20:28">
      <c r="T1435" s="1077">
        <v>50</v>
      </c>
      <c r="U1435" s="1077">
        <f t="shared" si="110"/>
        <v>18</v>
      </c>
      <c r="V1435" s="1077">
        <v>32</v>
      </c>
      <c r="W1435" s="1077">
        <f t="array" ref="W1435">SUMPRODUCT(IF('卡片raw data'!BM$1:BM$1000=T1435,1,0),IF('卡片raw data'!BO$1:BO$1000=V1435,1,0),IF(IF('卡片raw data'!C$1:C$1000=R$3,1,0)+IF(R$3="",1,0)&gt;=1,1,0),IF(IF('卡片raw data'!D$1:D$1000=R$4,1,0)+IF(R$4="",1,0)&gt;=1,1,0),IF(IF('卡片raw data'!E$1:E$1000=R$5,1,0)+IF(R$5="",1,0)&gt;=1,1,0))</f>
        <v>0</v>
      </c>
      <c r="Y1435" s="1307">
        <f t="shared" si="111"/>
        <v>32</v>
      </c>
      <c r="Z1435" s="1307">
        <f t="shared" si="112"/>
        <v>0</v>
      </c>
      <c r="AA1435" s="1307">
        <f t="shared" si="113"/>
        <v>32</v>
      </c>
      <c r="AB1435" s="1307">
        <f t="shared" si="114"/>
        <v>0</v>
      </c>
    </row>
    <row r="1436" spans="20:28">
      <c r="T1436" s="1077">
        <v>50</v>
      </c>
      <c r="U1436" s="1077">
        <f t="shared" si="110"/>
        <v>17</v>
      </c>
      <c r="V1436" s="1077">
        <v>33</v>
      </c>
      <c r="W1436" s="1077">
        <f t="array" ref="W1436">SUMPRODUCT(IF('卡片raw data'!BM$1:BM$1000=T1436,1,0),IF('卡片raw data'!BO$1:BO$1000=V1436,1,0),IF(IF('卡片raw data'!C$1:C$1000=R$3,1,0)+IF(R$3="",1,0)&gt;=1,1,0),IF(IF('卡片raw data'!D$1:D$1000=R$4,1,0)+IF(R$4="",1,0)&gt;=1,1,0),IF(IF('卡片raw data'!E$1:E$1000=R$5,1,0)+IF(R$5="",1,0)&gt;=1,1,0))</f>
        <v>0</v>
      </c>
      <c r="Y1436" s="1307">
        <f t="shared" si="111"/>
        <v>33</v>
      </c>
      <c r="Z1436" s="1307">
        <f t="shared" si="112"/>
        <v>0</v>
      </c>
      <c r="AA1436" s="1307">
        <f t="shared" si="113"/>
        <v>33</v>
      </c>
      <c r="AB1436" s="1307">
        <f t="shared" si="114"/>
        <v>0</v>
      </c>
    </row>
    <row r="1437" spans="20:28">
      <c r="T1437" s="1077">
        <v>50</v>
      </c>
      <c r="U1437" s="1077">
        <f t="shared" si="110"/>
        <v>16</v>
      </c>
      <c r="V1437" s="1077">
        <v>34</v>
      </c>
      <c r="W1437" s="1077">
        <f t="array" ref="W1437">SUMPRODUCT(IF('卡片raw data'!BM$1:BM$1000=T1437,1,0),IF('卡片raw data'!BO$1:BO$1000=V1437,1,0),IF(IF('卡片raw data'!C$1:C$1000=R$3,1,0)+IF(R$3="",1,0)&gt;=1,1,0),IF(IF('卡片raw data'!D$1:D$1000=R$4,1,0)+IF(R$4="",1,0)&gt;=1,1,0),IF(IF('卡片raw data'!E$1:E$1000=R$5,1,0)+IF(R$5="",1,0)&gt;=1,1,0))</f>
        <v>0</v>
      </c>
      <c r="Y1437" s="1307">
        <f t="shared" si="111"/>
        <v>34</v>
      </c>
      <c r="Z1437" s="1307">
        <f t="shared" si="112"/>
        <v>0</v>
      </c>
      <c r="AA1437" s="1307">
        <f t="shared" si="113"/>
        <v>34</v>
      </c>
      <c r="AB1437" s="1307">
        <f t="shared" si="114"/>
        <v>0</v>
      </c>
    </row>
    <row r="1438" spans="20:28">
      <c r="T1438" s="1077">
        <v>50</v>
      </c>
      <c r="U1438" s="1077">
        <f t="shared" si="110"/>
        <v>15</v>
      </c>
      <c r="V1438" s="1077">
        <v>35</v>
      </c>
      <c r="W1438" s="1077">
        <f t="array" ref="W1438">SUMPRODUCT(IF('卡片raw data'!BM$1:BM$1000=T1438,1,0),IF('卡片raw data'!BO$1:BO$1000=V1438,1,0),IF(IF('卡片raw data'!C$1:C$1000=R$3,1,0)+IF(R$3="",1,0)&gt;=1,1,0),IF(IF('卡片raw data'!D$1:D$1000=R$4,1,0)+IF(R$4="",1,0)&gt;=1,1,0),IF(IF('卡片raw data'!E$1:E$1000=R$5,1,0)+IF(R$5="",1,0)&gt;=1,1,0))</f>
        <v>0</v>
      </c>
      <c r="Y1438" s="1307">
        <f t="shared" si="111"/>
        <v>35</v>
      </c>
      <c r="Z1438" s="1307">
        <f t="shared" si="112"/>
        <v>0</v>
      </c>
      <c r="AA1438" s="1307">
        <f t="shared" si="113"/>
        <v>35</v>
      </c>
      <c r="AB1438" s="1307">
        <f t="shared" si="114"/>
        <v>0</v>
      </c>
    </row>
    <row r="1439" spans="20:28">
      <c r="T1439" s="1077">
        <v>50</v>
      </c>
      <c r="U1439" s="1077">
        <f t="shared" si="110"/>
        <v>14</v>
      </c>
      <c r="V1439" s="1077">
        <v>36</v>
      </c>
      <c r="W1439" s="1077">
        <f t="array" ref="W1439">SUMPRODUCT(IF('卡片raw data'!BM$1:BM$1000=T1439,1,0),IF('卡片raw data'!BO$1:BO$1000=V1439,1,0),IF(IF('卡片raw data'!C$1:C$1000=R$3,1,0)+IF(R$3="",1,0)&gt;=1,1,0),IF(IF('卡片raw data'!D$1:D$1000=R$4,1,0)+IF(R$4="",1,0)&gt;=1,1,0),IF(IF('卡片raw data'!E$1:E$1000=R$5,1,0)+IF(R$5="",1,0)&gt;=1,1,0))</f>
        <v>0</v>
      </c>
      <c r="Y1439" s="1307">
        <f t="shared" si="111"/>
        <v>36</v>
      </c>
      <c r="Z1439" s="1307">
        <f t="shared" si="112"/>
        <v>0</v>
      </c>
      <c r="AA1439" s="1307">
        <f t="shared" si="113"/>
        <v>36</v>
      </c>
      <c r="AB1439" s="1307">
        <f t="shared" si="114"/>
        <v>0</v>
      </c>
    </row>
    <row r="1440" spans="20:28">
      <c r="T1440" s="1077">
        <v>50</v>
      </c>
      <c r="U1440" s="1077">
        <f t="shared" si="110"/>
        <v>13</v>
      </c>
      <c r="V1440" s="1077">
        <v>37</v>
      </c>
      <c r="W1440" s="1077">
        <f t="array" ref="W1440">SUMPRODUCT(IF('卡片raw data'!BM$1:BM$1000=T1440,1,0),IF('卡片raw data'!BO$1:BO$1000=V1440,1,0),IF(IF('卡片raw data'!C$1:C$1000=R$3,1,0)+IF(R$3="",1,0)&gt;=1,1,0),IF(IF('卡片raw data'!D$1:D$1000=R$4,1,0)+IF(R$4="",1,0)&gt;=1,1,0),IF(IF('卡片raw data'!E$1:E$1000=R$5,1,0)+IF(R$5="",1,0)&gt;=1,1,0))</f>
        <v>0</v>
      </c>
      <c r="Y1440" s="1307">
        <f t="shared" si="111"/>
        <v>37</v>
      </c>
      <c r="Z1440" s="1307">
        <f t="shared" si="112"/>
        <v>0</v>
      </c>
      <c r="AA1440" s="1307">
        <f t="shared" si="113"/>
        <v>37</v>
      </c>
      <c r="AB1440" s="1307">
        <f t="shared" si="114"/>
        <v>0</v>
      </c>
    </row>
    <row r="1441" spans="20:28">
      <c r="T1441" s="1077">
        <v>50</v>
      </c>
      <c r="U1441" s="1077">
        <f t="shared" si="110"/>
        <v>12</v>
      </c>
      <c r="V1441" s="1077">
        <v>38</v>
      </c>
      <c r="W1441" s="1077">
        <f t="array" ref="W1441">SUMPRODUCT(IF('卡片raw data'!BM$1:BM$1000=T1441,1,0),IF('卡片raw data'!BO$1:BO$1000=V1441,1,0),IF(IF('卡片raw data'!C$1:C$1000=R$3,1,0)+IF(R$3="",1,0)&gt;=1,1,0),IF(IF('卡片raw data'!D$1:D$1000=R$4,1,0)+IF(R$4="",1,0)&gt;=1,1,0),IF(IF('卡片raw data'!E$1:E$1000=R$5,1,0)+IF(R$5="",1,0)&gt;=1,1,0))</f>
        <v>0</v>
      </c>
      <c r="Y1441" s="1307">
        <f t="shared" si="111"/>
        <v>38</v>
      </c>
      <c r="Z1441" s="1307">
        <f t="shared" si="112"/>
        <v>0</v>
      </c>
      <c r="AA1441" s="1307">
        <f t="shared" si="113"/>
        <v>38</v>
      </c>
      <c r="AB1441" s="1307">
        <f t="shared" si="114"/>
        <v>0</v>
      </c>
    </row>
    <row r="1442" spans="20:28">
      <c r="T1442" s="1077">
        <v>50</v>
      </c>
      <c r="U1442" s="1077">
        <f t="shared" si="110"/>
        <v>11</v>
      </c>
      <c r="V1442" s="1077">
        <v>39</v>
      </c>
      <c r="W1442" s="1077">
        <f t="array" ref="W1442">SUMPRODUCT(IF('卡片raw data'!BM$1:BM$1000=T1442,1,0),IF('卡片raw data'!BO$1:BO$1000=V1442,1,0),IF(IF('卡片raw data'!C$1:C$1000=R$3,1,0)+IF(R$3="",1,0)&gt;=1,1,0),IF(IF('卡片raw data'!D$1:D$1000=R$4,1,0)+IF(R$4="",1,0)&gt;=1,1,0),IF(IF('卡片raw data'!E$1:E$1000=R$5,1,0)+IF(R$5="",1,0)&gt;=1,1,0))</f>
        <v>0</v>
      </c>
      <c r="Y1442" s="1307">
        <f t="shared" si="111"/>
        <v>39</v>
      </c>
      <c r="Z1442" s="1307">
        <f t="shared" si="112"/>
        <v>0</v>
      </c>
      <c r="AA1442" s="1307">
        <f t="shared" si="113"/>
        <v>39</v>
      </c>
      <c r="AB1442" s="1307">
        <f t="shared" si="114"/>
        <v>0</v>
      </c>
    </row>
    <row r="1443" spans="20:28">
      <c r="T1443" s="1077">
        <v>50</v>
      </c>
      <c r="U1443" s="1077">
        <f t="shared" si="110"/>
        <v>10</v>
      </c>
      <c r="V1443" s="1077">
        <v>40</v>
      </c>
      <c r="W1443" s="1077">
        <f t="array" ref="W1443">SUMPRODUCT(IF('卡片raw data'!BM$1:BM$1000=T1443,1,0),IF('卡片raw data'!BO$1:BO$1000=V1443,1,0),IF(IF('卡片raw data'!C$1:C$1000=R$3,1,0)+IF(R$3="",1,0)&gt;=1,1,0),IF(IF('卡片raw data'!D$1:D$1000=R$4,1,0)+IF(R$4="",1,0)&gt;=1,1,0),IF(IF('卡片raw data'!E$1:E$1000=R$5,1,0)+IF(R$5="",1,0)&gt;=1,1,0))</f>
        <v>0</v>
      </c>
      <c r="Y1443" s="1307">
        <f t="shared" si="111"/>
        <v>40</v>
      </c>
      <c r="Z1443" s="1307">
        <f t="shared" si="112"/>
        <v>0</v>
      </c>
      <c r="AA1443" s="1307">
        <f t="shared" si="113"/>
        <v>40</v>
      </c>
      <c r="AB1443" s="1307">
        <f t="shared" si="114"/>
        <v>0</v>
      </c>
    </row>
    <row r="1444" spans="20:28">
      <c r="T1444" s="1077">
        <v>51</v>
      </c>
      <c r="U1444" s="1077">
        <f t="shared" si="110"/>
        <v>39</v>
      </c>
      <c r="V1444" s="1077">
        <v>10</v>
      </c>
      <c r="W1444" s="1077">
        <f t="array" ref="W1444">SUMPRODUCT(IF('卡片raw data'!BM$1:BM$1000=T1444,1,0),IF('卡片raw data'!BO$1:BO$1000=V1444,1,0),IF(IF('卡片raw data'!C$1:C$1000=R$3,1,0)+IF(R$3="",1,0)&gt;=1,1,0),IF(IF('卡片raw data'!D$1:D$1000=R$4,1,0)+IF(R$4="",1,0)&gt;=1,1,0),IF(IF('卡片raw data'!E$1:E$1000=R$5,1,0)+IF(R$5="",1,0)&gt;=1,1,0))</f>
        <v>0</v>
      </c>
      <c r="Y1444" s="1307">
        <f t="shared" si="111"/>
        <v>10</v>
      </c>
      <c r="Z1444" s="1307">
        <f t="shared" si="112"/>
        <v>0</v>
      </c>
      <c r="AA1444" s="1307">
        <f t="shared" si="113"/>
        <v>10</v>
      </c>
      <c r="AB1444" s="1307">
        <f t="shared" si="114"/>
        <v>0</v>
      </c>
    </row>
    <row r="1445" spans="20:28">
      <c r="T1445" s="1077">
        <v>51</v>
      </c>
      <c r="U1445" s="1077">
        <f t="shared" si="110"/>
        <v>38</v>
      </c>
      <c r="V1445" s="1077">
        <v>11</v>
      </c>
      <c r="W1445" s="1077">
        <f t="array" ref="W1445">SUMPRODUCT(IF('卡片raw data'!BM$1:BM$1000=T1445,1,0),IF('卡片raw data'!BO$1:BO$1000=V1445,1,0),IF(IF('卡片raw data'!C$1:C$1000=R$3,1,0)+IF(R$3="",1,0)&gt;=1,1,0),IF(IF('卡片raw data'!D$1:D$1000=R$4,1,0)+IF(R$4="",1,0)&gt;=1,1,0),IF(IF('卡片raw data'!E$1:E$1000=R$5,1,0)+IF(R$5="",1,0)&gt;=1,1,0))</f>
        <v>0</v>
      </c>
      <c r="Y1445" s="1307">
        <f t="shared" si="111"/>
        <v>11</v>
      </c>
      <c r="Z1445" s="1307">
        <f t="shared" si="112"/>
        <v>0</v>
      </c>
      <c r="AA1445" s="1307">
        <f t="shared" si="113"/>
        <v>11</v>
      </c>
      <c r="AB1445" s="1307">
        <f t="shared" si="114"/>
        <v>0</v>
      </c>
    </row>
    <row r="1446" spans="20:28">
      <c r="T1446" s="1077">
        <v>51</v>
      </c>
      <c r="U1446" s="1077">
        <f t="shared" si="110"/>
        <v>37</v>
      </c>
      <c r="V1446" s="1077">
        <v>12</v>
      </c>
      <c r="W1446" s="1077">
        <f t="array" ref="W1446">SUMPRODUCT(IF('卡片raw data'!BM$1:BM$1000=T1446,1,0),IF('卡片raw data'!BO$1:BO$1000=V1446,1,0),IF(IF('卡片raw data'!C$1:C$1000=R$3,1,0)+IF(R$3="",1,0)&gt;=1,1,0),IF(IF('卡片raw data'!D$1:D$1000=R$4,1,0)+IF(R$4="",1,0)&gt;=1,1,0),IF(IF('卡片raw data'!E$1:E$1000=R$5,1,0)+IF(R$5="",1,0)&gt;=1,1,0))</f>
        <v>0</v>
      </c>
      <c r="Y1446" s="1307">
        <f t="shared" si="111"/>
        <v>12</v>
      </c>
      <c r="Z1446" s="1307">
        <f t="shared" si="112"/>
        <v>0</v>
      </c>
      <c r="AA1446" s="1307">
        <f t="shared" si="113"/>
        <v>12</v>
      </c>
      <c r="AB1446" s="1307">
        <f t="shared" si="114"/>
        <v>0</v>
      </c>
    </row>
    <row r="1447" spans="20:28">
      <c r="T1447" s="1077">
        <v>51</v>
      </c>
      <c r="U1447" s="1077">
        <f t="shared" si="110"/>
        <v>36</v>
      </c>
      <c r="V1447" s="1077">
        <v>13</v>
      </c>
      <c r="W1447" s="1077">
        <f t="array" ref="W1447">SUMPRODUCT(IF('卡片raw data'!BM$1:BM$1000=T1447,1,0),IF('卡片raw data'!BO$1:BO$1000=V1447,1,0),IF(IF('卡片raw data'!C$1:C$1000=R$3,1,0)+IF(R$3="",1,0)&gt;=1,1,0),IF(IF('卡片raw data'!D$1:D$1000=R$4,1,0)+IF(R$4="",1,0)&gt;=1,1,0),IF(IF('卡片raw data'!E$1:E$1000=R$5,1,0)+IF(R$5="",1,0)&gt;=1,1,0))</f>
        <v>0</v>
      </c>
      <c r="Y1447" s="1307">
        <f t="shared" si="111"/>
        <v>13</v>
      </c>
      <c r="Z1447" s="1307">
        <f t="shared" si="112"/>
        <v>0</v>
      </c>
      <c r="AA1447" s="1307">
        <f t="shared" si="113"/>
        <v>13</v>
      </c>
      <c r="AB1447" s="1307">
        <f t="shared" si="114"/>
        <v>0</v>
      </c>
    </row>
    <row r="1448" spans="20:28">
      <c r="T1448" s="1077">
        <v>51</v>
      </c>
      <c r="U1448" s="1077">
        <f t="shared" si="110"/>
        <v>35</v>
      </c>
      <c r="V1448" s="1077">
        <v>14</v>
      </c>
      <c r="W1448" s="1077">
        <f t="array" ref="W1448">SUMPRODUCT(IF('卡片raw data'!BM$1:BM$1000=T1448,1,0),IF('卡片raw data'!BO$1:BO$1000=V1448,1,0),IF(IF('卡片raw data'!C$1:C$1000=R$3,1,0)+IF(R$3="",1,0)&gt;=1,1,0),IF(IF('卡片raw data'!D$1:D$1000=R$4,1,0)+IF(R$4="",1,0)&gt;=1,1,0),IF(IF('卡片raw data'!E$1:E$1000=R$5,1,0)+IF(R$5="",1,0)&gt;=1,1,0))</f>
        <v>0</v>
      </c>
      <c r="Y1448" s="1307">
        <f t="shared" si="111"/>
        <v>14</v>
      </c>
      <c r="Z1448" s="1307">
        <f t="shared" si="112"/>
        <v>0</v>
      </c>
      <c r="AA1448" s="1307">
        <f t="shared" si="113"/>
        <v>14</v>
      </c>
      <c r="AB1448" s="1307">
        <f t="shared" si="114"/>
        <v>0</v>
      </c>
    </row>
    <row r="1449" spans="20:28">
      <c r="T1449" s="1077">
        <v>51</v>
      </c>
      <c r="U1449" s="1077">
        <f t="shared" si="110"/>
        <v>34</v>
      </c>
      <c r="V1449" s="1077">
        <v>15</v>
      </c>
      <c r="W1449" s="1077">
        <f t="array" ref="W1449">SUMPRODUCT(IF('卡片raw data'!BM$1:BM$1000=T1449,1,0),IF('卡片raw data'!BO$1:BO$1000=V1449,1,0),IF(IF('卡片raw data'!C$1:C$1000=R$3,1,0)+IF(R$3="",1,0)&gt;=1,1,0),IF(IF('卡片raw data'!D$1:D$1000=R$4,1,0)+IF(R$4="",1,0)&gt;=1,1,0),IF(IF('卡片raw data'!E$1:E$1000=R$5,1,0)+IF(R$5="",1,0)&gt;=1,1,0))</f>
        <v>0</v>
      </c>
      <c r="Y1449" s="1307">
        <f t="shared" si="111"/>
        <v>15</v>
      </c>
      <c r="Z1449" s="1307">
        <f t="shared" si="112"/>
        <v>0</v>
      </c>
      <c r="AA1449" s="1307">
        <f t="shared" si="113"/>
        <v>15</v>
      </c>
      <c r="AB1449" s="1307">
        <f t="shared" si="114"/>
        <v>0</v>
      </c>
    </row>
    <row r="1450" spans="20:28">
      <c r="T1450" s="1077">
        <v>51</v>
      </c>
      <c r="U1450" s="1077">
        <f t="shared" si="110"/>
        <v>33</v>
      </c>
      <c r="V1450" s="1077">
        <v>16</v>
      </c>
      <c r="W1450" s="1077">
        <f t="array" ref="W1450">SUMPRODUCT(IF('卡片raw data'!BM$1:BM$1000=T1450,1,0),IF('卡片raw data'!BO$1:BO$1000=V1450,1,0),IF(IF('卡片raw data'!C$1:C$1000=R$3,1,0)+IF(R$3="",1,0)&gt;=1,1,0),IF(IF('卡片raw data'!D$1:D$1000=R$4,1,0)+IF(R$4="",1,0)&gt;=1,1,0),IF(IF('卡片raw data'!E$1:E$1000=R$5,1,0)+IF(R$5="",1,0)&gt;=1,1,0))</f>
        <v>0</v>
      </c>
      <c r="Y1450" s="1307">
        <f t="shared" si="111"/>
        <v>16</v>
      </c>
      <c r="Z1450" s="1307">
        <f t="shared" si="112"/>
        <v>0</v>
      </c>
      <c r="AA1450" s="1307">
        <f t="shared" si="113"/>
        <v>16</v>
      </c>
      <c r="AB1450" s="1307">
        <f t="shared" si="114"/>
        <v>0</v>
      </c>
    </row>
    <row r="1451" spans="20:28">
      <c r="T1451" s="1077">
        <v>51</v>
      </c>
      <c r="U1451" s="1077">
        <f t="shared" si="110"/>
        <v>32</v>
      </c>
      <c r="V1451" s="1077">
        <v>17</v>
      </c>
      <c r="W1451" s="1077">
        <f t="array" ref="W1451">SUMPRODUCT(IF('卡片raw data'!BM$1:BM$1000=T1451,1,0),IF('卡片raw data'!BO$1:BO$1000=V1451,1,0),IF(IF('卡片raw data'!C$1:C$1000=R$3,1,0)+IF(R$3="",1,0)&gt;=1,1,0),IF(IF('卡片raw data'!D$1:D$1000=R$4,1,0)+IF(R$4="",1,0)&gt;=1,1,0),IF(IF('卡片raw data'!E$1:E$1000=R$5,1,0)+IF(R$5="",1,0)&gt;=1,1,0))</f>
        <v>0</v>
      </c>
      <c r="Y1451" s="1307">
        <f t="shared" si="111"/>
        <v>17</v>
      </c>
      <c r="Z1451" s="1307">
        <f t="shared" si="112"/>
        <v>0</v>
      </c>
      <c r="AA1451" s="1307">
        <f t="shared" si="113"/>
        <v>17</v>
      </c>
      <c r="AB1451" s="1307">
        <f t="shared" si="114"/>
        <v>0</v>
      </c>
    </row>
    <row r="1452" spans="20:28">
      <c r="T1452" s="1077">
        <v>51</v>
      </c>
      <c r="U1452" s="1077">
        <f t="shared" si="110"/>
        <v>31</v>
      </c>
      <c r="V1452" s="1077">
        <v>18</v>
      </c>
      <c r="W1452" s="1077">
        <f t="array" ref="W1452">SUMPRODUCT(IF('卡片raw data'!BM$1:BM$1000=T1452,1,0),IF('卡片raw data'!BO$1:BO$1000=V1452,1,0),IF(IF('卡片raw data'!C$1:C$1000=R$3,1,0)+IF(R$3="",1,0)&gt;=1,1,0),IF(IF('卡片raw data'!D$1:D$1000=R$4,1,0)+IF(R$4="",1,0)&gt;=1,1,0),IF(IF('卡片raw data'!E$1:E$1000=R$5,1,0)+IF(R$5="",1,0)&gt;=1,1,0))</f>
        <v>0</v>
      </c>
      <c r="Y1452" s="1307">
        <f t="shared" si="111"/>
        <v>18</v>
      </c>
      <c r="Z1452" s="1307">
        <f t="shared" si="112"/>
        <v>0</v>
      </c>
      <c r="AA1452" s="1307">
        <f t="shared" si="113"/>
        <v>18</v>
      </c>
      <c r="AB1452" s="1307">
        <f t="shared" si="114"/>
        <v>0</v>
      </c>
    </row>
    <row r="1453" spans="20:28">
      <c r="T1453" s="1077">
        <v>51</v>
      </c>
      <c r="U1453" s="1077">
        <f t="shared" si="110"/>
        <v>30</v>
      </c>
      <c r="V1453" s="1077">
        <v>19</v>
      </c>
      <c r="W1453" s="1077">
        <f t="array" ref="W1453">SUMPRODUCT(IF('卡片raw data'!BM$1:BM$1000=T1453,1,0),IF('卡片raw data'!BO$1:BO$1000=V1453,1,0),IF(IF('卡片raw data'!C$1:C$1000=R$3,1,0)+IF(R$3="",1,0)&gt;=1,1,0),IF(IF('卡片raw data'!D$1:D$1000=R$4,1,0)+IF(R$4="",1,0)&gt;=1,1,0),IF(IF('卡片raw data'!E$1:E$1000=R$5,1,0)+IF(R$5="",1,0)&gt;=1,1,0))</f>
        <v>0</v>
      </c>
      <c r="Y1453" s="1307">
        <f t="shared" si="111"/>
        <v>19</v>
      </c>
      <c r="Z1453" s="1307">
        <f t="shared" si="112"/>
        <v>0</v>
      </c>
      <c r="AA1453" s="1307">
        <f t="shared" si="113"/>
        <v>19</v>
      </c>
      <c r="AB1453" s="1307">
        <f t="shared" si="114"/>
        <v>0</v>
      </c>
    </row>
    <row r="1454" spans="20:28">
      <c r="T1454" s="1077">
        <v>51</v>
      </c>
      <c r="U1454" s="1077">
        <f t="shared" si="110"/>
        <v>29</v>
      </c>
      <c r="V1454" s="1077">
        <v>20</v>
      </c>
      <c r="W1454" s="1077">
        <f t="array" ref="W1454">SUMPRODUCT(IF('卡片raw data'!BM$1:BM$1000=T1454,1,0),IF('卡片raw data'!BO$1:BO$1000=V1454,1,0),IF(IF('卡片raw data'!C$1:C$1000=R$3,1,0)+IF(R$3="",1,0)&gt;=1,1,0),IF(IF('卡片raw data'!D$1:D$1000=R$4,1,0)+IF(R$4="",1,0)&gt;=1,1,0),IF(IF('卡片raw data'!E$1:E$1000=R$5,1,0)+IF(R$5="",1,0)&gt;=1,1,0))</f>
        <v>0</v>
      </c>
      <c r="Y1454" s="1307">
        <f t="shared" si="111"/>
        <v>20</v>
      </c>
      <c r="Z1454" s="1307">
        <f t="shared" si="112"/>
        <v>0</v>
      </c>
      <c r="AA1454" s="1307">
        <f t="shared" si="113"/>
        <v>20</v>
      </c>
      <c r="AB1454" s="1307">
        <f t="shared" si="114"/>
        <v>0</v>
      </c>
    </row>
    <row r="1455" spans="20:28">
      <c r="T1455" s="1077">
        <v>51</v>
      </c>
      <c r="U1455" s="1077">
        <f t="shared" si="110"/>
        <v>28</v>
      </c>
      <c r="V1455" s="1077">
        <v>21</v>
      </c>
      <c r="W1455" s="1077">
        <f t="array" ref="W1455">SUMPRODUCT(IF('卡片raw data'!BM$1:BM$1000=T1455,1,0),IF('卡片raw data'!BO$1:BO$1000=V1455,1,0),IF(IF('卡片raw data'!C$1:C$1000=R$3,1,0)+IF(R$3="",1,0)&gt;=1,1,0),IF(IF('卡片raw data'!D$1:D$1000=R$4,1,0)+IF(R$4="",1,0)&gt;=1,1,0),IF(IF('卡片raw data'!E$1:E$1000=R$5,1,0)+IF(R$5="",1,0)&gt;=1,1,0))</f>
        <v>0</v>
      </c>
      <c r="Y1455" s="1307">
        <f t="shared" si="111"/>
        <v>21</v>
      </c>
      <c r="Z1455" s="1307">
        <f t="shared" si="112"/>
        <v>0</v>
      </c>
      <c r="AA1455" s="1307">
        <f t="shared" si="113"/>
        <v>21</v>
      </c>
      <c r="AB1455" s="1307">
        <f t="shared" si="114"/>
        <v>0</v>
      </c>
    </row>
    <row r="1456" spans="20:28">
      <c r="T1456" s="1077">
        <v>51</v>
      </c>
      <c r="U1456" s="1077">
        <f t="shared" si="110"/>
        <v>27</v>
      </c>
      <c r="V1456" s="1077">
        <v>22</v>
      </c>
      <c r="W1456" s="1077">
        <f t="array" ref="W1456">SUMPRODUCT(IF('卡片raw data'!BM$1:BM$1000=T1456,1,0),IF('卡片raw data'!BO$1:BO$1000=V1456,1,0),IF(IF('卡片raw data'!C$1:C$1000=R$3,1,0)+IF(R$3="",1,0)&gt;=1,1,0),IF(IF('卡片raw data'!D$1:D$1000=R$4,1,0)+IF(R$4="",1,0)&gt;=1,1,0),IF(IF('卡片raw data'!E$1:E$1000=R$5,1,0)+IF(R$5="",1,0)&gt;=1,1,0))</f>
        <v>0</v>
      </c>
      <c r="Y1456" s="1307">
        <f t="shared" si="111"/>
        <v>22</v>
      </c>
      <c r="Z1456" s="1307">
        <f t="shared" si="112"/>
        <v>0</v>
      </c>
      <c r="AA1456" s="1307">
        <f t="shared" si="113"/>
        <v>22</v>
      </c>
      <c r="AB1456" s="1307">
        <f t="shared" si="114"/>
        <v>0</v>
      </c>
    </row>
    <row r="1457" spans="20:28">
      <c r="T1457" s="1077">
        <v>51</v>
      </c>
      <c r="U1457" s="1077">
        <f t="shared" si="110"/>
        <v>26</v>
      </c>
      <c r="V1457" s="1077">
        <v>23</v>
      </c>
      <c r="W1457" s="1077">
        <f t="array" ref="W1457">SUMPRODUCT(IF('卡片raw data'!BM$1:BM$1000=T1457,1,0),IF('卡片raw data'!BO$1:BO$1000=V1457,1,0),IF(IF('卡片raw data'!C$1:C$1000=R$3,1,0)+IF(R$3="",1,0)&gt;=1,1,0),IF(IF('卡片raw data'!D$1:D$1000=R$4,1,0)+IF(R$4="",1,0)&gt;=1,1,0),IF(IF('卡片raw data'!E$1:E$1000=R$5,1,0)+IF(R$5="",1,0)&gt;=1,1,0))</f>
        <v>0</v>
      </c>
      <c r="Y1457" s="1307">
        <f t="shared" si="111"/>
        <v>23</v>
      </c>
      <c r="Z1457" s="1307">
        <f t="shared" si="112"/>
        <v>0</v>
      </c>
      <c r="AA1457" s="1307">
        <f t="shared" si="113"/>
        <v>23</v>
      </c>
      <c r="AB1457" s="1307">
        <f t="shared" si="114"/>
        <v>0</v>
      </c>
    </row>
    <row r="1458" spans="20:28">
      <c r="T1458" s="1077">
        <v>51</v>
      </c>
      <c r="U1458" s="1077">
        <f t="shared" si="110"/>
        <v>25</v>
      </c>
      <c r="V1458" s="1077">
        <v>24</v>
      </c>
      <c r="W1458" s="1077">
        <f t="array" ref="W1458">SUMPRODUCT(IF('卡片raw data'!BM$1:BM$1000=T1458,1,0),IF('卡片raw data'!BO$1:BO$1000=V1458,1,0),IF(IF('卡片raw data'!C$1:C$1000=R$3,1,0)+IF(R$3="",1,0)&gt;=1,1,0),IF(IF('卡片raw data'!D$1:D$1000=R$4,1,0)+IF(R$4="",1,0)&gt;=1,1,0),IF(IF('卡片raw data'!E$1:E$1000=R$5,1,0)+IF(R$5="",1,0)&gt;=1,1,0))</f>
        <v>0</v>
      </c>
      <c r="Y1458" s="1307">
        <f t="shared" si="111"/>
        <v>24</v>
      </c>
      <c r="Z1458" s="1307">
        <f t="shared" si="112"/>
        <v>0</v>
      </c>
      <c r="AA1458" s="1307">
        <f t="shared" si="113"/>
        <v>24</v>
      </c>
      <c r="AB1458" s="1307">
        <f t="shared" si="114"/>
        <v>0</v>
      </c>
    </row>
    <row r="1459" spans="20:28">
      <c r="T1459" s="1077">
        <v>51</v>
      </c>
      <c r="U1459" s="1077">
        <f t="shared" si="110"/>
        <v>24</v>
      </c>
      <c r="V1459" s="1077">
        <v>25</v>
      </c>
      <c r="W1459" s="1077">
        <f t="array" ref="W1459">SUMPRODUCT(IF('卡片raw data'!BM$1:BM$1000=T1459,1,0),IF('卡片raw data'!BO$1:BO$1000=V1459,1,0),IF(IF('卡片raw data'!C$1:C$1000=R$3,1,0)+IF(R$3="",1,0)&gt;=1,1,0),IF(IF('卡片raw data'!D$1:D$1000=R$4,1,0)+IF(R$4="",1,0)&gt;=1,1,0),IF(IF('卡片raw data'!E$1:E$1000=R$5,1,0)+IF(R$5="",1,0)&gt;=1,1,0))</f>
        <v>1</v>
      </c>
      <c r="Y1459" s="1307">
        <f t="shared" si="111"/>
        <v>25</v>
      </c>
      <c r="Z1459" s="1307">
        <f t="shared" si="112"/>
        <v>0</v>
      </c>
      <c r="AA1459" s="1307">
        <f t="shared" si="113"/>
        <v>25</v>
      </c>
      <c r="AB1459" s="1307">
        <f t="shared" si="114"/>
        <v>1</v>
      </c>
    </row>
    <row r="1460" spans="20:28">
      <c r="T1460" s="1077">
        <v>51</v>
      </c>
      <c r="U1460" s="1077">
        <f t="shared" si="110"/>
        <v>23</v>
      </c>
      <c r="V1460" s="1077">
        <v>26</v>
      </c>
      <c r="W1460" s="1077">
        <f t="array" ref="W1460">SUMPRODUCT(IF('卡片raw data'!BM$1:BM$1000=T1460,1,0),IF('卡片raw data'!BO$1:BO$1000=V1460,1,0),IF(IF('卡片raw data'!C$1:C$1000=R$3,1,0)+IF(R$3="",1,0)&gt;=1,1,0),IF(IF('卡片raw data'!D$1:D$1000=R$4,1,0)+IF(R$4="",1,0)&gt;=1,1,0),IF(IF('卡片raw data'!E$1:E$1000=R$5,1,0)+IF(R$5="",1,0)&gt;=1,1,0))</f>
        <v>0</v>
      </c>
      <c r="Y1460" s="1307">
        <f t="shared" si="111"/>
        <v>26</v>
      </c>
      <c r="Z1460" s="1307">
        <f t="shared" si="112"/>
        <v>0</v>
      </c>
      <c r="AA1460" s="1307">
        <f t="shared" si="113"/>
        <v>26</v>
      </c>
      <c r="AB1460" s="1307">
        <f t="shared" si="114"/>
        <v>0</v>
      </c>
    </row>
    <row r="1461" spans="20:28">
      <c r="T1461" s="1077">
        <v>51</v>
      </c>
      <c r="U1461" s="1077">
        <f t="shared" si="110"/>
        <v>22</v>
      </c>
      <c r="V1461" s="1077">
        <v>27</v>
      </c>
      <c r="W1461" s="1077">
        <f t="array" ref="W1461">SUMPRODUCT(IF('卡片raw data'!BM$1:BM$1000=T1461,1,0),IF('卡片raw data'!BO$1:BO$1000=V1461,1,0),IF(IF('卡片raw data'!C$1:C$1000=R$3,1,0)+IF(R$3="",1,0)&gt;=1,1,0),IF(IF('卡片raw data'!D$1:D$1000=R$4,1,0)+IF(R$4="",1,0)&gt;=1,1,0),IF(IF('卡片raw data'!E$1:E$1000=R$5,1,0)+IF(R$5="",1,0)&gt;=1,1,0))</f>
        <v>0</v>
      </c>
      <c r="Y1461" s="1307">
        <f t="shared" si="111"/>
        <v>27</v>
      </c>
      <c r="Z1461" s="1307">
        <f t="shared" si="112"/>
        <v>0</v>
      </c>
      <c r="AA1461" s="1307">
        <f t="shared" si="113"/>
        <v>27</v>
      </c>
      <c r="AB1461" s="1307">
        <f t="shared" si="114"/>
        <v>0</v>
      </c>
    </row>
    <row r="1462" spans="20:28">
      <c r="T1462" s="1077">
        <v>51</v>
      </c>
      <c r="U1462" s="1077">
        <f t="shared" si="110"/>
        <v>21</v>
      </c>
      <c r="V1462" s="1077">
        <v>28</v>
      </c>
      <c r="W1462" s="1077">
        <f t="array" ref="W1462">SUMPRODUCT(IF('卡片raw data'!BM$1:BM$1000=T1462,1,0),IF('卡片raw data'!BO$1:BO$1000=V1462,1,0),IF(IF('卡片raw data'!C$1:C$1000=R$3,1,0)+IF(R$3="",1,0)&gt;=1,1,0),IF(IF('卡片raw data'!D$1:D$1000=R$4,1,0)+IF(R$4="",1,0)&gt;=1,1,0),IF(IF('卡片raw data'!E$1:E$1000=R$5,1,0)+IF(R$5="",1,0)&gt;=1,1,0))</f>
        <v>0</v>
      </c>
      <c r="Y1462" s="1307">
        <f t="shared" si="111"/>
        <v>28</v>
      </c>
      <c r="Z1462" s="1307">
        <f t="shared" si="112"/>
        <v>0</v>
      </c>
      <c r="AA1462" s="1307">
        <f t="shared" si="113"/>
        <v>28</v>
      </c>
      <c r="AB1462" s="1307">
        <f t="shared" si="114"/>
        <v>0</v>
      </c>
    </row>
    <row r="1463" spans="20:28">
      <c r="T1463" s="1077">
        <v>51</v>
      </c>
      <c r="U1463" s="1077">
        <f t="shared" si="110"/>
        <v>20</v>
      </c>
      <c r="V1463" s="1077">
        <v>29</v>
      </c>
      <c r="W1463" s="1077">
        <f t="array" ref="W1463">SUMPRODUCT(IF('卡片raw data'!BM$1:BM$1000=T1463,1,0),IF('卡片raw data'!BO$1:BO$1000=V1463,1,0),IF(IF('卡片raw data'!C$1:C$1000=R$3,1,0)+IF(R$3="",1,0)&gt;=1,1,0),IF(IF('卡片raw data'!D$1:D$1000=R$4,1,0)+IF(R$4="",1,0)&gt;=1,1,0),IF(IF('卡片raw data'!E$1:E$1000=R$5,1,0)+IF(R$5="",1,0)&gt;=1,1,0))</f>
        <v>0</v>
      </c>
      <c r="Y1463" s="1307">
        <f t="shared" si="111"/>
        <v>29</v>
      </c>
      <c r="Z1463" s="1307">
        <f t="shared" si="112"/>
        <v>0</v>
      </c>
      <c r="AA1463" s="1307">
        <f t="shared" si="113"/>
        <v>29</v>
      </c>
      <c r="AB1463" s="1307">
        <f t="shared" si="114"/>
        <v>0</v>
      </c>
    </row>
    <row r="1464" spans="20:28">
      <c r="T1464" s="1077">
        <v>51</v>
      </c>
      <c r="U1464" s="1077">
        <f t="shared" si="110"/>
        <v>19</v>
      </c>
      <c r="V1464" s="1077">
        <v>30</v>
      </c>
      <c r="W1464" s="1077">
        <f t="array" ref="W1464">SUMPRODUCT(IF('卡片raw data'!BM$1:BM$1000=T1464,1,0),IF('卡片raw data'!BO$1:BO$1000=V1464,1,0),IF(IF('卡片raw data'!C$1:C$1000=R$3,1,0)+IF(R$3="",1,0)&gt;=1,1,0),IF(IF('卡片raw data'!D$1:D$1000=R$4,1,0)+IF(R$4="",1,0)&gt;=1,1,0),IF(IF('卡片raw data'!E$1:E$1000=R$5,1,0)+IF(R$5="",1,0)&gt;=1,1,0))</f>
        <v>0</v>
      </c>
      <c r="Y1464" s="1307">
        <f t="shared" si="111"/>
        <v>30</v>
      </c>
      <c r="Z1464" s="1307">
        <f t="shared" si="112"/>
        <v>0</v>
      </c>
      <c r="AA1464" s="1307">
        <f t="shared" si="113"/>
        <v>30</v>
      </c>
      <c r="AB1464" s="1307">
        <f t="shared" si="114"/>
        <v>0</v>
      </c>
    </row>
    <row r="1465" spans="20:28">
      <c r="T1465" s="1077">
        <v>51</v>
      </c>
      <c r="U1465" s="1077">
        <f t="shared" si="110"/>
        <v>18</v>
      </c>
      <c r="V1465" s="1077">
        <v>31</v>
      </c>
      <c r="W1465" s="1077">
        <f t="array" ref="W1465">SUMPRODUCT(IF('卡片raw data'!BM$1:BM$1000=T1465,1,0),IF('卡片raw data'!BO$1:BO$1000=V1465,1,0),IF(IF('卡片raw data'!C$1:C$1000=R$3,1,0)+IF(R$3="",1,0)&gt;=1,1,0),IF(IF('卡片raw data'!D$1:D$1000=R$4,1,0)+IF(R$4="",1,0)&gt;=1,1,0),IF(IF('卡片raw data'!E$1:E$1000=R$5,1,0)+IF(R$5="",1,0)&gt;=1,1,0))</f>
        <v>0</v>
      </c>
      <c r="Y1465" s="1307">
        <f t="shared" si="111"/>
        <v>31</v>
      </c>
      <c r="Z1465" s="1307">
        <f t="shared" si="112"/>
        <v>0</v>
      </c>
      <c r="AA1465" s="1307">
        <f t="shared" si="113"/>
        <v>31</v>
      </c>
      <c r="AB1465" s="1307">
        <f t="shared" si="114"/>
        <v>0</v>
      </c>
    </row>
    <row r="1466" spans="20:28">
      <c r="T1466" s="1077">
        <v>51</v>
      </c>
      <c r="U1466" s="1077">
        <f t="shared" si="110"/>
        <v>17</v>
      </c>
      <c r="V1466" s="1077">
        <v>32</v>
      </c>
      <c r="W1466" s="1077">
        <f t="array" ref="W1466">SUMPRODUCT(IF('卡片raw data'!BM$1:BM$1000=T1466,1,0),IF('卡片raw data'!BO$1:BO$1000=V1466,1,0),IF(IF('卡片raw data'!C$1:C$1000=R$3,1,0)+IF(R$3="",1,0)&gt;=1,1,0),IF(IF('卡片raw data'!D$1:D$1000=R$4,1,0)+IF(R$4="",1,0)&gt;=1,1,0),IF(IF('卡片raw data'!E$1:E$1000=R$5,1,0)+IF(R$5="",1,0)&gt;=1,1,0))</f>
        <v>0</v>
      </c>
      <c r="Y1466" s="1307">
        <f t="shared" si="111"/>
        <v>32</v>
      </c>
      <c r="Z1466" s="1307">
        <f t="shared" si="112"/>
        <v>0</v>
      </c>
      <c r="AA1466" s="1307">
        <f t="shared" si="113"/>
        <v>32</v>
      </c>
      <c r="AB1466" s="1307">
        <f t="shared" si="114"/>
        <v>0</v>
      </c>
    </row>
    <row r="1467" spans="20:28">
      <c r="T1467" s="1077">
        <v>51</v>
      </c>
      <c r="U1467" s="1077">
        <f t="shared" si="110"/>
        <v>16</v>
      </c>
      <c r="V1467" s="1077">
        <v>33</v>
      </c>
      <c r="W1467" s="1077">
        <f t="array" ref="W1467">SUMPRODUCT(IF('卡片raw data'!BM$1:BM$1000=T1467,1,0),IF('卡片raw data'!BO$1:BO$1000=V1467,1,0),IF(IF('卡片raw data'!C$1:C$1000=R$3,1,0)+IF(R$3="",1,0)&gt;=1,1,0),IF(IF('卡片raw data'!D$1:D$1000=R$4,1,0)+IF(R$4="",1,0)&gt;=1,1,0),IF(IF('卡片raw data'!E$1:E$1000=R$5,1,0)+IF(R$5="",1,0)&gt;=1,1,0))</f>
        <v>0</v>
      </c>
      <c r="Y1467" s="1307">
        <f t="shared" si="111"/>
        <v>33</v>
      </c>
      <c r="Z1467" s="1307">
        <f t="shared" si="112"/>
        <v>0</v>
      </c>
      <c r="AA1467" s="1307">
        <f t="shared" si="113"/>
        <v>33</v>
      </c>
      <c r="AB1467" s="1307">
        <f t="shared" si="114"/>
        <v>0</v>
      </c>
    </row>
    <row r="1468" spans="20:28">
      <c r="T1468" s="1077">
        <v>51</v>
      </c>
      <c r="U1468" s="1077">
        <f t="shared" si="110"/>
        <v>15</v>
      </c>
      <c r="V1468" s="1077">
        <v>34</v>
      </c>
      <c r="W1468" s="1077">
        <f t="array" ref="W1468">SUMPRODUCT(IF('卡片raw data'!BM$1:BM$1000=T1468,1,0),IF('卡片raw data'!BO$1:BO$1000=V1468,1,0),IF(IF('卡片raw data'!C$1:C$1000=R$3,1,0)+IF(R$3="",1,0)&gt;=1,1,0),IF(IF('卡片raw data'!D$1:D$1000=R$4,1,0)+IF(R$4="",1,0)&gt;=1,1,0),IF(IF('卡片raw data'!E$1:E$1000=R$5,1,0)+IF(R$5="",1,0)&gt;=1,1,0))</f>
        <v>0</v>
      </c>
      <c r="Y1468" s="1307">
        <f t="shared" si="111"/>
        <v>34</v>
      </c>
      <c r="Z1468" s="1307">
        <f t="shared" si="112"/>
        <v>0</v>
      </c>
      <c r="AA1468" s="1307">
        <f t="shared" si="113"/>
        <v>34</v>
      </c>
      <c r="AB1468" s="1307">
        <f t="shared" si="114"/>
        <v>0</v>
      </c>
    </row>
    <row r="1469" spans="20:28">
      <c r="T1469" s="1077">
        <v>51</v>
      </c>
      <c r="U1469" s="1077">
        <f t="shared" si="110"/>
        <v>14</v>
      </c>
      <c r="V1469" s="1077">
        <v>35</v>
      </c>
      <c r="W1469" s="1077">
        <f t="array" ref="W1469">SUMPRODUCT(IF('卡片raw data'!BM$1:BM$1000=T1469,1,0),IF('卡片raw data'!BO$1:BO$1000=V1469,1,0),IF(IF('卡片raw data'!C$1:C$1000=R$3,1,0)+IF(R$3="",1,0)&gt;=1,1,0),IF(IF('卡片raw data'!D$1:D$1000=R$4,1,0)+IF(R$4="",1,0)&gt;=1,1,0),IF(IF('卡片raw data'!E$1:E$1000=R$5,1,0)+IF(R$5="",1,0)&gt;=1,1,0))</f>
        <v>0</v>
      </c>
      <c r="Y1469" s="1307">
        <f t="shared" si="111"/>
        <v>35</v>
      </c>
      <c r="Z1469" s="1307">
        <f t="shared" si="112"/>
        <v>0</v>
      </c>
      <c r="AA1469" s="1307">
        <f t="shared" si="113"/>
        <v>35</v>
      </c>
      <c r="AB1469" s="1307">
        <f t="shared" si="114"/>
        <v>0</v>
      </c>
    </row>
    <row r="1470" spans="20:28">
      <c r="T1470" s="1077">
        <v>51</v>
      </c>
      <c r="U1470" s="1077">
        <f t="shared" si="110"/>
        <v>13</v>
      </c>
      <c r="V1470" s="1077">
        <v>36</v>
      </c>
      <c r="W1470" s="1077">
        <f t="array" ref="W1470">SUMPRODUCT(IF('卡片raw data'!BM$1:BM$1000=T1470,1,0),IF('卡片raw data'!BO$1:BO$1000=V1470,1,0),IF(IF('卡片raw data'!C$1:C$1000=R$3,1,0)+IF(R$3="",1,0)&gt;=1,1,0),IF(IF('卡片raw data'!D$1:D$1000=R$4,1,0)+IF(R$4="",1,0)&gt;=1,1,0),IF(IF('卡片raw data'!E$1:E$1000=R$5,1,0)+IF(R$5="",1,0)&gt;=1,1,0))</f>
        <v>0</v>
      </c>
      <c r="Y1470" s="1307">
        <f t="shared" si="111"/>
        <v>36</v>
      </c>
      <c r="Z1470" s="1307">
        <f t="shared" si="112"/>
        <v>0</v>
      </c>
      <c r="AA1470" s="1307">
        <f t="shared" si="113"/>
        <v>36</v>
      </c>
      <c r="AB1470" s="1307">
        <f t="shared" si="114"/>
        <v>0</v>
      </c>
    </row>
    <row r="1471" spans="20:28">
      <c r="T1471" s="1077">
        <v>51</v>
      </c>
      <c r="U1471" s="1077">
        <f t="shared" si="110"/>
        <v>12</v>
      </c>
      <c r="V1471" s="1077">
        <v>37</v>
      </c>
      <c r="W1471" s="1077">
        <f t="array" ref="W1471">SUMPRODUCT(IF('卡片raw data'!BM$1:BM$1000=T1471,1,0),IF('卡片raw data'!BO$1:BO$1000=V1471,1,0),IF(IF('卡片raw data'!C$1:C$1000=R$3,1,0)+IF(R$3="",1,0)&gt;=1,1,0),IF(IF('卡片raw data'!D$1:D$1000=R$4,1,0)+IF(R$4="",1,0)&gt;=1,1,0),IF(IF('卡片raw data'!E$1:E$1000=R$5,1,0)+IF(R$5="",1,0)&gt;=1,1,0))</f>
        <v>0</v>
      </c>
      <c r="Y1471" s="1307">
        <f t="shared" si="111"/>
        <v>37</v>
      </c>
      <c r="Z1471" s="1307">
        <f t="shared" si="112"/>
        <v>0</v>
      </c>
      <c r="AA1471" s="1307">
        <f t="shared" si="113"/>
        <v>37</v>
      </c>
      <c r="AB1471" s="1307">
        <f t="shared" si="114"/>
        <v>0</v>
      </c>
    </row>
    <row r="1472" spans="20:28">
      <c r="T1472" s="1077">
        <v>51</v>
      </c>
      <c r="U1472" s="1077">
        <f t="shared" si="110"/>
        <v>11</v>
      </c>
      <c r="V1472" s="1077">
        <v>38</v>
      </c>
      <c r="W1472" s="1077">
        <f t="array" ref="W1472">SUMPRODUCT(IF('卡片raw data'!BM$1:BM$1000=T1472,1,0),IF('卡片raw data'!BO$1:BO$1000=V1472,1,0),IF(IF('卡片raw data'!C$1:C$1000=R$3,1,0)+IF(R$3="",1,0)&gt;=1,1,0),IF(IF('卡片raw data'!D$1:D$1000=R$4,1,0)+IF(R$4="",1,0)&gt;=1,1,0),IF(IF('卡片raw data'!E$1:E$1000=R$5,1,0)+IF(R$5="",1,0)&gt;=1,1,0))</f>
        <v>0</v>
      </c>
      <c r="Y1472" s="1307">
        <f t="shared" si="111"/>
        <v>38</v>
      </c>
      <c r="Z1472" s="1307">
        <f t="shared" si="112"/>
        <v>0</v>
      </c>
      <c r="AA1472" s="1307">
        <f t="shared" si="113"/>
        <v>38</v>
      </c>
      <c r="AB1472" s="1307">
        <f t="shared" si="114"/>
        <v>0</v>
      </c>
    </row>
    <row r="1473" spans="20:28">
      <c r="T1473" s="1077">
        <v>51</v>
      </c>
      <c r="U1473" s="1077">
        <f t="shared" si="110"/>
        <v>10</v>
      </c>
      <c r="V1473" s="1077">
        <v>39</v>
      </c>
      <c r="W1473" s="1077">
        <f t="array" ref="W1473">SUMPRODUCT(IF('卡片raw data'!BM$1:BM$1000=T1473,1,0),IF('卡片raw data'!BO$1:BO$1000=V1473,1,0),IF(IF('卡片raw data'!C$1:C$1000=R$3,1,0)+IF(R$3="",1,0)&gt;=1,1,0),IF(IF('卡片raw data'!D$1:D$1000=R$4,1,0)+IF(R$4="",1,0)&gt;=1,1,0),IF(IF('卡片raw data'!E$1:E$1000=R$5,1,0)+IF(R$5="",1,0)&gt;=1,1,0))</f>
        <v>0</v>
      </c>
      <c r="Y1473" s="1307">
        <f t="shared" si="111"/>
        <v>39</v>
      </c>
      <c r="Z1473" s="1307">
        <f t="shared" si="112"/>
        <v>0</v>
      </c>
      <c r="AA1473" s="1307">
        <f t="shared" si="113"/>
        <v>39</v>
      </c>
      <c r="AB1473" s="1307">
        <f t="shared" si="114"/>
        <v>0</v>
      </c>
    </row>
    <row r="1474" spans="20:28">
      <c r="T1474" s="1077">
        <v>52</v>
      </c>
      <c r="U1474" s="1077">
        <f t="shared" si="110"/>
        <v>38</v>
      </c>
      <c r="V1474" s="1077">
        <v>10</v>
      </c>
      <c r="W1474" s="1077">
        <f t="array" ref="W1474">SUMPRODUCT(IF('卡片raw data'!BM$1:BM$1000=T1474,1,0),IF('卡片raw data'!BO$1:BO$1000=V1474,1,0),IF(IF('卡片raw data'!C$1:C$1000=R$3,1,0)+IF(R$3="",1,0)&gt;=1,1,0),IF(IF('卡片raw data'!D$1:D$1000=R$4,1,0)+IF(R$4="",1,0)&gt;=1,1,0),IF(IF('卡片raw data'!E$1:E$1000=R$5,1,0)+IF(R$5="",1,0)&gt;=1,1,0))</f>
        <v>0</v>
      </c>
      <c r="Y1474" s="1307">
        <f t="shared" si="111"/>
        <v>10</v>
      </c>
      <c r="Z1474" s="1307">
        <f t="shared" si="112"/>
        <v>0</v>
      </c>
      <c r="AA1474" s="1307">
        <f t="shared" si="113"/>
        <v>10</v>
      </c>
      <c r="AB1474" s="1307">
        <f t="shared" si="114"/>
        <v>0</v>
      </c>
    </row>
    <row r="1475" spans="20:28">
      <c r="T1475" s="1077">
        <v>52</v>
      </c>
      <c r="U1475" s="1077">
        <f t="shared" si="110"/>
        <v>37</v>
      </c>
      <c r="V1475" s="1077">
        <v>11</v>
      </c>
      <c r="W1475" s="1077">
        <f t="array" ref="W1475">SUMPRODUCT(IF('卡片raw data'!BM$1:BM$1000=T1475,1,0),IF('卡片raw data'!BO$1:BO$1000=V1475,1,0),IF(IF('卡片raw data'!C$1:C$1000=R$3,1,0)+IF(R$3="",1,0)&gt;=1,1,0),IF(IF('卡片raw data'!D$1:D$1000=R$4,1,0)+IF(R$4="",1,0)&gt;=1,1,0),IF(IF('卡片raw data'!E$1:E$1000=R$5,1,0)+IF(R$5="",1,0)&gt;=1,1,0))</f>
        <v>0</v>
      </c>
      <c r="Y1475" s="1307">
        <f t="shared" si="111"/>
        <v>11</v>
      </c>
      <c r="Z1475" s="1307">
        <f t="shared" si="112"/>
        <v>0</v>
      </c>
      <c r="AA1475" s="1307">
        <f t="shared" si="113"/>
        <v>11</v>
      </c>
      <c r="AB1475" s="1307">
        <f t="shared" si="114"/>
        <v>0</v>
      </c>
    </row>
    <row r="1476" spans="20:28">
      <c r="T1476" s="1077">
        <v>52</v>
      </c>
      <c r="U1476" s="1077">
        <f t="shared" ref="U1476:U1539" si="115">100-T1476-V1476</f>
        <v>36</v>
      </c>
      <c r="V1476" s="1077">
        <v>12</v>
      </c>
      <c r="W1476" s="1077">
        <f t="array" ref="W1476">SUMPRODUCT(IF('卡片raw data'!BM$1:BM$1000=T1476,1,0),IF('卡片raw data'!BO$1:BO$1000=V1476,1,0),IF(IF('卡片raw data'!C$1:C$1000=R$3,1,0)+IF(R$3="",1,0)&gt;=1,1,0),IF(IF('卡片raw data'!D$1:D$1000=R$4,1,0)+IF(R$4="",1,0)&gt;=1,1,0),IF(IF('卡片raw data'!E$1:E$1000=R$5,1,0)+IF(R$5="",1,0)&gt;=1,1,0))</f>
        <v>0</v>
      </c>
      <c r="Y1476" s="1307">
        <f t="shared" ref="Y1476:Y1539" si="116">V1476</f>
        <v>12</v>
      </c>
      <c r="Z1476" s="1307">
        <f t="shared" ref="Z1476:Z1539" si="117">IF(AND(V1476&gt;U1476,V1476&gt;T1476),W1476,0)</f>
        <v>0</v>
      </c>
      <c r="AA1476" s="1307">
        <f t="shared" ref="AA1476:AA1539" si="118">V1476</f>
        <v>12</v>
      </c>
      <c r="AB1476" s="1307">
        <f t="shared" ref="AB1476:AB1539" si="119">W1476-Z1476</f>
        <v>0</v>
      </c>
    </row>
    <row r="1477" spans="20:28">
      <c r="T1477" s="1077">
        <v>52</v>
      </c>
      <c r="U1477" s="1077">
        <f t="shared" si="115"/>
        <v>35</v>
      </c>
      <c r="V1477" s="1077">
        <v>13</v>
      </c>
      <c r="W1477" s="1077">
        <f t="array" ref="W1477">SUMPRODUCT(IF('卡片raw data'!BM$1:BM$1000=T1477,1,0),IF('卡片raw data'!BO$1:BO$1000=V1477,1,0),IF(IF('卡片raw data'!C$1:C$1000=R$3,1,0)+IF(R$3="",1,0)&gt;=1,1,0),IF(IF('卡片raw data'!D$1:D$1000=R$4,1,0)+IF(R$4="",1,0)&gt;=1,1,0),IF(IF('卡片raw data'!E$1:E$1000=R$5,1,0)+IF(R$5="",1,0)&gt;=1,1,0))</f>
        <v>0</v>
      </c>
      <c r="Y1477" s="1307">
        <f t="shared" si="116"/>
        <v>13</v>
      </c>
      <c r="Z1477" s="1307">
        <f t="shared" si="117"/>
        <v>0</v>
      </c>
      <c r="AA1477" s="1307">
        <f t="shared" si="118"/>
        <v>13</v>
      </c>
      <c r="AB1477" s="1307">
        <f t="shared" si="119"/>
        <v>0</v>
      </c>
    </row>
    <row r="1478" spans="20:28">
      <c r="T1478" s="1077">
        <v>52</v>
      </c>
      <c r="U1478" s="1077">
        <f t="shared" si="115"/>
        <v>34</v>
      </c>
      <c r="V1478" s="1077">
        <v>14</v>
      </c>
      <c r="W1478" s="1077">
        <f t="array" ref="W1478">SUMPRODUCT(IF('卡片raw data'!BM$1:BM$1000=T1478,1,0),IF('卡片raw data'!BO$1:BO$1000=V1478,1,0),IF(IF('卡片raw data'!C$1:C$1000=R$3,1,0)+IF(R$3="",1,0)&gt;=1,1,0),IF(IF('卡片raw data'!D$1:D$1000=R$4,1,0)+IF(R$4="",1,0)&gt;=1,1,0),IF(IF('卡片raw data'!E$1:E$1000=R$5,1,0)+IF(R$5="",1,0)&gt;=1,1,0))</f>
        <v>0</v>
      </c>
      <c r="Y1478" s="1307">
        <f t="shared" si="116"/>
        <v>14</v>
      </c>
      <c r="Z1478" s="1307">
        <f t="shared" si="117"/>
        <v>0</v>
      </c>
      <c r="AA1478" s="1307">
        <f t="shared" si="118"/>
        <v>14</v>
      </c>
      <c r="AB1478" s="1307">
        <f t="shared" si="119"/>
        <v>0</v>
      </c>
    </row>
    <row r="1479" spans="20:28">
      <c r="T1479" s="1077">
        <v>52</v>
      </c>
      <c r="U1479" s="1077">
        <f t="shared" si="115"/>
        <v>33</v>
      </c>
      <c r="V1479" s="1077">
        <v>15</v>
      </c>
      <c r="W1479" s="1077">
        <f t="array" ref="W1479">SUMPRODUCT(IF('卡片raw data'!BM$1:BM$1000=T1479,1,0),IF('卡片raw data'!BO$1:BO$1000=V1479,1,0),IF(IF('卡片raw data'!C$1:C$1000=R$3,1,0)+IF(R$3="",1,0)&gt;=1,1,0),IF(IF('卡片raw data'!D$1:D$1000=R$4,1,0)+IF(R$4="",1,0)&gt;=1,1,0),IF(IF('卡片raw data'!E$1:E$1000=R$5,1,0)+IF(R$5="",1,0)&gt;=1,1,0))</f>
        <v>0</v>
      </c>
      <c r="Y1479" s="1307">
        <f t="shared" si="116"/>
        <v>15</v>
      </c>
      <c r="Z1479" s="1307">
        <f t="shared" si="117"/>
        <v>0</v>
      </c>
      <c r="AA1479" s="1307">
        <f t="shared" si="118"/>
        <v>15</v>
      </c>
      <c r="AB1479" s="1307">
        <f t="shared" si="119"/>
        <v>0</v>
      </c>
    </row>
    <row r="1480" spans="20:28">
      <c r="T1480" s="1077">
        <v>52</v>
      </c>
      <c r="U1480" s="1077">
        <f t="shared" si="115"/>
        <v>32</v>
      </c>
      <c r="V1480" s="1077">
        <v>16</v>
      </c>
      <c r="W1480" s="1077">
        <f t="array" ref="W1480">SUMPRODUCT(IF('卡片raw data'!BM$1:BM$1000=T1480,1,0),IF('卡片raw data'!BO$1:BO$1000=V1480,1,0),IF(IF('卡片raw data'!C$1:C$1000=R$3,1,0)+IF(R$3="",1,0)&gt;=1,1,0),IF(IF('卡片raw data'!D$1:D$1000=R$4,1,0)+IF(R$4="",1,0)&gt;=1,1,0),IF(IF('卡片raw data'!E$1:E$1000=R$5,1,0)+IF(R$5="",1,0)&gt;=1,1,0))</f>
        <v>0</v>
      </c>
      <c r="Y1480" s="1307">
        <f t="shared" si="116"/>
        <v>16</v>
      </c>
      <c r="Z1480" s="1307">
        <f t="shared" si="117"/>
        <v>0</v>
      </c>
      <c r="AA1480" s="1307">
        <f t="shared" si="118"/>
        <v>16</v>
      </c>
      <c r="AB1480" s="1307">
        <f t="shared" si="119"/>
        <v>0</v>
      </c>
    </row>
    <row r="1481" spans="20:28">
      <c r="T1481" s="1077">
        <v>52</v>
      </c>
      <c r="U1481" s="1077">
        <f t="shared" si="115"/>
        <v>31</v>
      </c>
      <c r="V1481" s="1077">
        <v>17</v>
      </c>
      <c r="W1481" s="1077">
        <f t="array" ref="W1481">SUMPRODUCT(IF('卡片raw data'!BM$1:BM$1000=T1481,1,0),IF('卡片raw data'!BO$1:BO$1000=V1481,1,0),IF(IF('卡片raw data'!C$1:C$1000=R$3,1,0)+IF(R$3="",1,0)&gt;=1,1,0),IF(IF('卡片raw data'!D$1:D$1000=R$4,1,0)+IF(R$4="",1,0)&gt;=1,1,0),IF(IF('卡片raw data'!E$1:E$1000=R$5,1,0)+IF(R$5="",1,0)&gt;=1,1,0))</f>
        <v>0</v>
      </c>
      <c r="Y1481" s="1307">
        <f t="shared" si="116"/>
        <v>17</v>
      </c>
      <c r="Z1481" s="1307">
        <f t="shared" si="117"/>
        <v>0</v>
      </c>
      <c r="AA1481" s="1307">
        <f t="shared" si="118"/>
        <v>17</v>
      </c>
      <c r="AB1481" s="1307">
        <f t="shared" si="119"/>
        <v>0</v>
      </c>
    </row>
    <row r="1482" spans="20:28">
      <c r="T1482" s="1077">
        <v>52</v>
      </c>
      <c r="U1482" s="1077">
        <f t="shared" si="115"/>
        <v>30</v>
      </c>
      <c r="V1482" s="1077">
        <v>18</v>
      </c>
      <c r="W1482" s="1077">
        <f t="array" ref="W1482">SUMPRODUCT(IF('卡片raw data'!BM$1:BM$1000=T1482,1,0),IF('卡片raw data'!BO$1:BO$1000=V1482,1,0),IF(IF('卡片raw data'!C$1:C$1000=R$3,1,0)+IF(R$3="",1,0)&gt;=1,1,0),IF(IF('卡片raw data'!D$1:D$1000=R$4,1,0)+IF(R$4="",1,0)&gt;=1,1,0),IF(IF('卡片raw data'!E$1:E$1000=R$5,1,0)+IF(R$5="",1,0)&gt;=1,1,0))</f>
        <v>0</v>
      </c>
      <c r="Y1482" s="1307">
        <f t="shared" si="116"/>
        <v>18</v>
      </c>
      <c r="Z1482" s="1307">
        <f t="shared" si="117"/>
        <v>0</v>
      </c>
      <c r="AA1482" s="1307">
        <f t="shared" si="118"/>
        <v>18</v>
      </c>
      <c r="AB1482" s="1307">
        <f t="shared" si="119"/>
        <v>0</v>
      </c>
    </row>
    <row r="1483" spans="20:28">
      <c r="T1483" s="1077">
        <v>52</v>
      </c>
      <c r="U1483" s="1077">
        <f t="shared" si="115"/>
        <v>29</v>
      </c>
      <c r="V1483" s="1077">
        <v>19</v>
      </c>
      <c r="W1483" s="1077">
        <f t="array" ref="W1483">SUMPRODUCT(IF('卡片raw data'!BM$1:BM$1000=T1483,1,0),IF('卡片raw data'!BO$1:BO$1000=V1483,1,0),IF(IF('卡片raw data'!C$1:C$1000=R$3,1,0)+IF(R$3="",1,0)&gt;=1,1,0),IF(IF('卡片raw data'!D$1:D$1000=R$4,1,0)+IF(R$4="",1,0)&gt;=1,1,0),IF(IF('卡片raw data'!E$1:E$1000=R$5,1,0)+IF(R$5="",1,0)&gt;=1,1,0))</f>
        <v>0</v>
      </c>
      <c r="Y1483" s="1307">
        <f t="shared" si="116"/>
        <v>19</v>
      </c>
      <c r="Z1483" s="1307">
        <f t="shared" si="117"/>
        <v>0</v>
      </c>
      <c r="AA1483" s="1307">
        <f t="shared" si="118"/>
        <v>19</v>
      </c>
      <c r="AB1483" s="1307">
        <f t="shared" si="119"/>
        <v>0</v>
      </c>
    </row>
    <row r="1484" spans="20:28">
      <c r="T1484" s="1077">
        <v>52</v>
      </c>
      <c r="U1484" s="1077">
        <f t="shared" si="115"/>
        <v>28</v>
      </c>
      <c r="V1484" s="1077">
        <v>20</v>
      </c>
      <c r="W1484" s="1077">
        <f t="array" ref="W1484">SUMPRODUCT(IF('卡片raw data'!BM$1:BM$1000=T1484,1,0),IF('卡片raw data'!BO$1:BO$1000=V1484,1,0),IF(IF('卡片raw data'!C$1:C$1000=R$3,1,0)+IF(R$3="",1,0)&gt;=1,1,0),IF(IF('卡片raw data'!D$1:D$1000=R$4,1,0)+IF(R$4="",1,0)&gt;=1,1,0),IF(IF('卡片raw data'!E$1:E$1000=R$5,1,0)+IF(R$5="",1,0)&gt;=1,1,0))</f>
        <v>0</v>
      </c>
      <c r="Y1484" s="1307">
        <f t="shared" si="116"/>
        <v>20</v>
      </c>
      <c r="Z1484" s="1307">
        <f t="shared" si="117"/>
        <v>0</v>
      </c>
      <c r="AA1484" s="1307">
        <f t="shared" si="118"/>
        <v>20</v>
      </c>
      <c r="AB1484" s="1307">
        <f t="shared" si="119"/>
        <v>0</v>
      </c>
    </row>
    <row r="1485" spans="20:28">
      <c r="T1485" s="1077">
        <v>52</v>
      </c>
      <c r="U1485" s="1077">
        <f t="shared" si="115"/>
        <v>27</v>
      </c>
      <c r="V1485" s="1077">
        <v>21</v>
      </c>
      <c r="W1485" s="1077">
        <f t="array" ref="W1485">SUMPRODUCT(IF('卡片raw data'!BM$1:BM$1000=T1485,1,0),IF('卡片raw data'!BO$1:BO$1000=V1485,1,0),IF(IF('卡片raw data'!C$1:C$1000=R$3,1,0)+IF(R$3="",1,0)&gt;=1,1,0),IF(IF('卡片raw data'!D$1:D$1000=R$4,1,0)+IF(R$4="",1,0)&gt;=1,1,0),IF(IF('卡片raw data'!E$1:E$1000=R$5,1,0)+IF(R$5="",1,0)&gt;=1,1,0))</f>
        <v>0</v>
      </c>
      <c r="Y1485" s="1307">
        <f t="shared" si="116"/>
        <v>21</v>
      </c>
      <c r="Z1485" s="1307">
        <f t="shared" si="117"/>
        <v>0</v>
      </c>
      <c r="AA1485" s="1307">
        <f t="shared" si="118"/>
        <v>21</v>
      </c>
      <c r="AB1485" s="1307">
        <f t="shared" si="119"/>
        <v>0</v>
      </c>
    </row>
    <row r="1486" spans="20:28">
      <c r="T1486" s="1077">
        <v>52</v>
      </c>
      <c r="U1486" s="1077">
        <f t="shared" si="115"/>
        <v>26</v>
      </c>
      <c r="V1486" s="1077">
        <v>22</v>
      </c>
      <c r="W1486" s="1077">
        <f t="array" ref="W1486">SUMPRODUCT(IF('卡片raw data'!BM$1:BM$1000=T1486,1,0),IF('卡片raw data'!BO$1:BO$1000=V1486,1,0),IF(IF('卡片raw data'!C$1:C$1000=R$3,1,0)+IF(R$3="",1,0)&gt;=1,1,0),IF(IF('卡片raw data'!D$1:D$1000=R$4,1,0)+IF(R$4="",1,0)&gt;=1,1,0),IF(IF('卡片raw data'!E$1:E$1000=R$5,1,0)+IF(R$5="",1,0)&gt;=1,1,0))</f>
        <v>0</v>
      </c>
      <c r="Y1486" s="1307">
        <f t="shared" si="116"/>
        <v>22</v>
      </c>
      <c r="Z1486" s="1307">
        <f t="shared" si="117"/>
        <v>0</v>
      </c>
      <c r="AA1486" s="1307">
        <f t="shared" si="118"/>
        <v>22</v>
      </c>
      <c r="AB1486" s="1307">
        <f t="shared" si="119"/>
        <v>0</v>
      </c>
    </row>
    <row r="1487" spans="20:28">
      <c r="T1487" s="1077">
        <v>52</v>
      </c>
      <c r="U1487" s="1077">
        <f t="shared" si="115"/>
        <v>25</v>
      </c>
      <c r="V1487" s="1077">
        <v>23</v>
      </c>
      <c r="W1487" s="1077">
        <f t="array" ref="W1487">SUMPRODUCT(IF('卡片raw data'!BM$1:BM$1000=T1487,1,0),IF('卡片raw data'!BO$1:BO$1000=V1487,1,0),IF(IF('卡片raw data'!C$1:C$1000=R$3,1,0)+IF(R$3="",1,0)&gt;=1,1,0),IF(IF('卡片raw data'!D$1:D$1000=R$4,1,0)+IF(R$4="",1,0)&gt;=1,1,0),IF(IF('卡片raw data'!E$1:E$1000=R$5,1,0)+IF(R$5="",1,0)&gt;=1,1,0))</f>
        <v>0</v>
      </c>
      <c r="Y1487" s="1307">
        <f t="shared" si="116"/>
        <v>23</v>
      </c>
      <c r="Z1487" s="1307">
        <f t="shared" si="117"/>
        <v>0</v>
      </c>
      <c r="AA1487" s="1307">
        <f t="shared" si="118"/>
        <v>23</v>
      </c>
      <c r="AB1487" s="1307">
        <f t="shared" si="119"/>
        <v>0</v>
      </c>
    </row>
    <row r="1488" spans="20:28">
      <c r="T1488" s="1077">
        <v>52</v>
      </c>
      <c r="U1488" s="1077">
        <f t="shared" si="115"/>
        <v>24</v>
      </c>
      <c r="V1488" s="1077">
        <v>24</v>
      </c>
      <c r="W1488" s="1077">
        <f t="array" ref="W1488">SUMPRODUCT(IF('卡片raw data'!BM$1:BM$1000=T1488,1,0),IF('卡片raw data'!BO$1:BO$1000=V1488,1,0),IF(IF('卡片raw data'!C$1:C$1000=R$3,1,0)+IF(R$3="",1,0)&gt;=1,1,0),IF(IF('卡片raw data'!D$1:D$1000=R$4,1,0)+IF(R$4="",1,0)&gt;=1,1,0),IF(IF('卡片raw data'!E$1:E$1000=R$5,1,0)+IF(R$5="",1,0)&gt;=1,1,0))</f>
        <v>0</v>
      </c>
      <c r="Y1488" s="1307">
        <f t="shared" si="116"/>
        <v>24</v>
      </c>
      <c r="Z1488" s="1307">
        <f t="shared" si="117"/>
        <v>0</v>
      </c>
      <c r="AA1488" s="1307">
        <f t="shared" si="118"/>
        <v>24</v>
      </c>
      <c r="AB1488" s="1307">
        <f t="shared" si="119"/>
        <v>0</v>
      </c>
    </row>
    <row r="1489" spans="20:28">
      <c r="T1489" s="1077">
        <v>52</v>
      </c>
      <c r="U1489" s="1077">
        <f t="shared" si="115"/>
        <v>23</v>
      </c>
      <c r="V1489" s="1077">
        <v>25</v>
      </c>
      <c r="W1489" s="1077">
        <f t="array" ref="W1489">SUMPRODUCT(IF('卡片raw data'!BM$1:BM$1000=T1489,1,0),IF('卡片raw data'!BO$1:BO$1000=V1489,1,0),IF(IF('卡片raw data'!C$1:C$1000=R$3,1,0)+IF(R$3="",1,0)&gt;=1,1,0),IF(IF('卡片raw data'!D$1:D$1000=R$4,1,0)+IF(R$4="",1,0)&gt;=1,1,0),IF(IF('卡片raw data'!E$1:E$1000=R$5,1,0)+IF(R$5="",1,0)&gt;=1,1,0))</f>
        <v>0</v>
      </c>
      <c r="Y1489" s="1307">
        <f t="shared" si="116"/>
        <v>25</v>
      </c>
      <c r="Z1489" s="1307">
        <f t="shared" si="117"/>
        <v>0</v>
      </c>
      <c r="AA1489" s="1307">
        <f t="shared" si="118"/>
        <v>25</v>
      </c>
      <c r="AB1489" s="1307">
        <f t="shared" si="119"/>
        <v>0</v>
      </c>
    </row>
    <row r="1490" spans="20:28">
      <c r="T1490" s="1077">
        <v>52</v>
      </c>
      <c r="U1490" s="1077">
        <f t="shared" si="115"/>
        <v>22</v>
      </c>
      <c r="V1490" s="1077">
        <v>26</v>
      </c>
      <c r="W1490" s="1077">
        <f t="array" ref="W1490">SUMPRODUCT(IF('卡片raw data'!BM$1:BM$1000=T1490,1,0),IF('卡片raw data'!BO$1:BO$1000=V1490,1,0),IF(IF('卡片raw data'!C$1:C$1000=R$3,1,0)+IF(R$3="",1,0)&gt;=1,1,0),IF(IF('卡片raw data'!D$1:D$1000=R$4,1,0)+IF(R$4="",1,0)&gt;=1,1,0),IF(IF('卡片raw data'!E$1:E$1000=R$5,1,0)+IF(R$5="",1,0)&gt;=1,1,0))</f>
        <v>0</v>
      </c>
      <c r="Y1490" s="1307">
        <f t="shared" si="116"/>
        <v>26</v>
      </c>
      <c r="Z1490" s="1307">
        <f t="shared" si="117"/>
        <v>0</v>
      </c>
      <c r="AA1490" s="1307">
        <f t="shared" si="118"/>
        <v>26</v>
      </c>
      <c r="AB1490" s="1307">
        <f t="shared" si="119"/>
        <v>0</v>
      </c>
    </row>
    <row r="1491" spans="20:28">
      <c r="T1491" s="1077">
        <v>52</v>
      </c>
      <c r="U1491" s="1077">
        <f t="shared" si="115"/>
        <v>21</v>
      </c>
      <c r="V1491" s="1077">
        <v>27</v>
      </c>
      <c r="W1491" s="1077">
        <f t="array" ref="W1491">SUMPRODUCT(IF('卡片raw data'!BM$1:BM$1000=T1491,1,0),IF('卡片raw data'!BO$1:BO$1000=V1491,1,0),IF(IF('卡片raw data'!C$1:C$1000=R$3,1,0)+IF(R$3="",1,0)&gt;=1,1,0),IF(IF('卡片raw data'!D$1:D$1000=R$4,1,0)+IF(R$4="",1,0)&gt;=1,1,0),IF(IF('卡片raw data'!E$1:E$1000=R$5,1,0)+IF(R$5="",1,0)&gt;=1,1,0))</f>
        <v>0</v>
      </c>
      <c r="Y1491" s="1307">
        <f t="shared" si="116"/>
        <v>27</v>
      </c>
      <c r="Z1491" s="1307">
        <f t="shared" si="117"/>
        <v>0</v>
      </c>
      <c r="AA1491" s="1307">
        <f t="shared" si="118"/>
        <v>27</v>
      </c>
      <c r="AB1491" s="1307">
        <f t="shared" si="119"/>
        <v>0</v>
      </c>
    </row>
    <row r="1492" spans="20:28">
      <c r="T1492" s="1077">
        <v>52</v>
      </c>
      <c r="U1492" s="1077">
        <f t="shared" si="115"/>
        <v>20</v>
      </c>
      <c r="V1492" s="1077">
        <v>28</v>
      </c>
      <c r="W1492" s="1077">
        <f t="array" ref="W1492">SUMPRODUCT(IF('卡片raw data'!BM$1:BM$1000=T1492,1,0),IF('卡片raw data'!BO$1:BO$1000=V1492,1,0),IF(IF('卡片raw data'!C$1:C$1000=R$3,1,0)+IF(R$3="",1,0)&gt;=1,1,0),IF(IF('卡片raw data'!D$1:D$1000=R$4,1,0)+IF(R$4="",1,0)&gt;=1,1,0),IF(IF('卡片raw data'!E$1:E$1000=R$5,1,0)+IF(R$5="",1,0)&gt;=1,1,0))</f>
        <v>0</v>
      </c>
      <c r="Y1492" s="1307">
        <f t="shared" si="116"/>
        <v>28</v>
      </c>
      <c r="Z1492" s="1307">
        <f t="shared" si="117"/>
        <v>0</v>
      </c>
      <c r="AA1492" s="1307">
        <f t="shared" si="118"/>
        <v>28</v>
      </c>
      <c r="AB1492" s="1307">
        <f t="shared" si="119"/>
        <v>0</v>
      </c>
    </row>
    <row r="1493" spans="20:28">
      <c r="T1493" s="1077">
        <v>52</v>
      </c>
      <c r="U1493" s="1077">
        <f t="shared" si="115"/>
        <v>19</v>
      </c>
      <c r="V1493" s="1077">
        <v>29</v>
      </c>
      <c r="W1493" s="1077">
        <f t="array" ref="W1493">SUMPRODUCT(IF('卡片raw data'!BM$1:BM$1000=T1493,1,0),IF('卡片raw data'!BO$1:BO$1000=V1493,1,0),IF(IF('卡片raw data'!C$1:C$1000=R$3,1,0)+IF(R$3="",1,0)&gt;=1,1,0),IF(IF('卡片raw data'!D$1:D$1000=R$4,1,0)+IF(R$4="",1,0)&gt;=1,1,0),IF(IF('卡片raw data'!E$1:E$1000=R$5,1,0)+IF(R$5="",1,0)&gt;=1,1,0))</f>
        <v>1</v>
      </c>
      <c r="Y1493" s="1307">
        <f t="shared" si="116"/>
        <v>29</v>
      </c>
      <c r="Z1493" s="1307">
        <f t="shared" si="117"/>
        <v>0</v>
      </c>
      <c r="AA1493" s="1307">
        <f t="shared" si="118"/>
        <v>29</v>
      </c>
      <c r="AB1493" s="1307">
        <f t="shared" si="119"/>
        <v>1</v>
      </c>
    </row>
    <row r="1494" spans="20:28">
      <c r="T1494" s="1077">
        <v>52</v>
      </c>
      <c r="U1494" s="1077">
        <f t="shared" si="115"/>
        <v>18</v>
      </c>
      <c r="V1494" s="1077">
        <v>30</v>
      </c>
      <c r="W1494" s="1077">
        <f t="array" ref="W1494">SUMPRODUCT(IF('卡片raw data'!BM$1:BM$1000=T1494,1,0),IF('卡片raw data'!BO$1:BO$1000=V1494,1,0),IF(IF('卡片raw data'!C$1:C$1000=R$3,1,0)+IF(R$3="",1,0)&gt;=1,1,0),IF(IF('卡片raw data'!D$1:D$1000=R$4,1,0)+IF(R$4="",1,0)&gt;=1,1,0),IF(IF('卡片raw data'!E$1:E$1000=R$5,1,0)+IF(R$5="",1,0)&gt;=1,1,0))</f>
        <v>0</v>
      </c>
      <c r="Y1494" s="1307">
        <f t="shared" si="116"/>
        <v>30</v>
      </c>
      <c r="Z1494" s="1307">
        <f t="shared" si="117"/>
        <v>0</v>
      </c>
      <c r="AA1494" s="1307">
        <f t="shared" si="118"/>
        <v>30</v>
      </c>
      <c r="AB1494" s="1307">
        <f t="shared" si="119"/>
        <v>0</v>
      </c>
    </row>
    <row r="1495" spans="20:28">
      <c r="T1495" s="1077">
        <v>52</v>
      </c>
      <c r="U1495" s="1077">
        <f t="shared" si="115"/>
        <v>17</v>
      </c>
      <c r="V1495" s="1077">
        <v>31</v>
      </c>
      <c r="W1495" s="1077">
        <f t="array" ref="W1495">SUMPRODUCT(IF('卡片raw data'!BM$1:BM$1000=T1495,1,0),IF('卡片raw data'!BO$1:BO$1000=V1495,1,0),IF(IF('卡片raw data'!C$1:C$1000=R$3,1,0)+IF(R$3="",1,0)&gt;=1,1,0),IF(IF('卡片raw data'!D$1:D$1000=R$4,1,0)+IF(R$4="",1,0)&gt;=1,1,0),IF(IF('卡片raw data'!E$1:E$1000=R$5,1,0)+IF(R$5="",1,0)&gt;=1,1,0))</f>
        <v>0</v>
      </c>
      <c r="Y1495" s="1307">
        <f t="shared" si="116"/>
        <v>31</v>
      </c>
      <c r="Z1495" s="1307">
        <f t="shared" si="117"/>
        <v>0</v>
      </c>
      <c r="AA1495" s="1307">
        <f t="shared" si="118"/>
        <v>31</v>
      </c>
      <c r="AB1495" s="1307">
        <f t="shared" si="119"/>
        <v>0</v>
      </c>
    </row>
    <row r="1496" spans="20:28">
      <c r="T1496" s="1077">
        <v>52</v>
      </c>
      <c r="U1496" s="1077">
        <f t="shared" si="115"/>
        <v>16</v>
      </c>
      <c r="V1496" s="1077">
        <v>32</v>
      </c>
      <c r="W1496" s="1077">
        <f t="array" ref="W1496">SUMPRODUCT(IF('卡片raw data'!BM$1:BM$1000=T1496,1,0),IF('卡片raw data'!BO$1:BO$1000=V1496,1,0),IF(IF('卡片raw data'!C$1:C$1000=R$3,1,0)+IF(R$3="",1,0)&gt;=1,1,0),IF(IF('卡片raw data'!D$1:D$1000=R$4,1,0)+IF(R$4="",1,0)&gt;=1,1,0),IF(IF('卡片raw data'!E$1:E$1000=R$5,1,0)+IF(R$5="",1,0)&gt;=1,1,0))</f>
        <v>0</v>
      </c>
      <c r="Y1496" s="1307">
        <f t="shared" si="116"/>
        <v>32</v>
      </c>
      <c r="Z1496" s="1307">
        <f t="shared" si="117"/>
        <v>0</v>
      </c>
      <c r="AA1496" s="1307">
        <f t="shared" si="118"/>
        <v>32</v>
      </c>
      <c r="AB1496" s="1307">
        <f t="shared" si="119"/>
        <v>0</v>
      </c>
    </row>
    <row r="1497" spans="20:28">
      <c r="T1497" s="1077">
        <v>52</v>
      </c>
      <c r="U1497" s="1077">
        <f t="shared" si="115"/>
        <v>15</v>
      </c>
      <c r="V1497" s="1077">
        <v>33</v>
      </c>
      <c r="W1497" s="1077">
        <f t="array" ref="W1497">SUMPRODUCT(IF('卡片raw data'!BM$1:BM$1000=T1497,1,0),IF('卡片raw data'!BO$1:BO$1000=V1497,1,0),IF(IF('卡片raw data'!C$1:C$1000=R$3,1,0)+IF(R$3="",1,0)&gt;=1,1,0),IF(IF('卡片raw data'!D$1:D$1000=R$4,1,0)+IF(R$4="",1,0)&gt;=1,1,0),IF(IF('卡片raw data'!E$1:E$1000=R$5,1,0)+IF(R$5="",1,0)&gt;=1,1,0))</f>
        <v>0</v>
      </c>
      <c r="Y1497" s="1307">
        <f t="shared" si="116"/>
        <v>33</v>
      </c>
      <c r="Z1497" s="1307">
        <f t="shared" si="117"/>
        <v>0</v>
      </c>
      <c r="AA1497" s="1307">
        <f t="shared" si="118"/>
        <v>33</v>
      </c>
      <c r="AB1497" s="1307">
        <f t="shared" si="119"/>
        <v>0</v>
      </c>
    </row>
    <row r="1498" spans="20:28">
      <c r="T1498" s="1077">
        <v>52</v>
      </c>
      <c r="U1498" s="1077">
        <f t="shared" si="115"/>
        <v>14</v>
      </c>
      <c r="V1498" s="1077">
        <v>34</v>
      </c>
      <c r="W1498" s="1077">
        <f t="array" ref="W1498">SUMPRODUCT(IF('卡片raw data'!BM$1:BM$1000=T1498,1,0),IF('卡片raw data'!BO$1:BO$1000=V1498,1,0),IF(IF('卡片raw data'!C$1:C$1000=R$3,1,0)+IF(R$3="",1,0)&gt;=1,1,0),IF(IF('卡片raw data'!D$1:D$1000=R$4,1,0)+IF(R$4="",1,0)&gt;=1,1,0),IF(IF('卡片raw data'!E$1:E$1000=R$5,1,0)+IF(R$5="",1,0)&gt;=1,1,0))</f>
        <v>0</v>
      </c>
      <c r="Y1498" s="1307">
        <f t="shared" si="116"/>
        <v>34</v>
      </c>
      <c r="Z1498" s="1307">
        <f t="shared" si="117"/>
        <v>0</v>
      </c>
      <c r="AA1498" s="1307">
        <f t="shared" si="118"/>
        <v>34</v>
      </c>
      <c r="AB1498" s="1307">
        <f t="shared" si="119"/>
        <v>0</v>
      </c>
    </row>
    <row r="1499" spans="20:28">
      <c r="T1499" s="1077">
        <v>52</v>
      </c>
      <c r="U1499" s="1077">
        <f t="shared" si="115"/>
        <v>13</v>
      </c>
      <c r="V1499" s="1077">
        <v>35</v>
      </c>
      <c r="W1499" s="1077">
        <f t="array" ref="W1499">SUMPRODUCT(IF('卡片raw data'!BM$1:BM$1000=T1499,1,0),IF('卡片raw data'!BO$1:BO$1000=V1499,1,0),IF(IF('卡片raw data'!C$1:C$1000=R$3,1,0)+IF(R$3="",1,0)&gt;=1,1,0),IF(IF('卡片raw data'!D$1:D$1000=R$4,1,0)+IF(R$4="",1,0)&gt;=1,1,0),IF(IF('卡片raw data'!E$1:E$1000=R$5,1,0)+IF(R$5="",1,0)&gt;=1,1,0))</f>
        <v>0</v>
      </c>
      <c r="Y1499" s="1307">
        <f t="shared" si="116"/>
        <v>35</v>
      </c>
      <c r="Z1499" s="1307">
        <f t="shared" si="117"/>
        <v>0</v>
      </c>
      <c r="AA1499" s="1307">
        <f t="shared" si="118"/>
        <v>35</v>
      </c>
      <c r="AB1499" s="1307">
        <f t="shared" si="119"/>
        <v>0</v>
      </c>
    </row>
    <row r="1500" spans="20:28">
      <c r="T1500" s="1077">
        <v>52</v>
      </c>
      <c r="U1500" s="1077">
        <f t="shared" si="115"/>
        <v>12</v>
      </c>
      <c r="V1500" s="1077">
        <v>36</v>
      </c>
      <c r="W1500" s="1077">
        <f t="array" ref="W1500">SUMPRODUCT(IF('卡片raw data'!BM$1:BM$1000=T1500,1,0),IF('卡片raw data'!BO$1:BO$1000=V1500,1,0),IF(IF('卡片raw data'!C$1:C$1000=R$3,1,0)+IF(R$3="",1,0)&gt;=1,1,0),IF(IF('卡片raw data'!D$1:D$1000=R$4,1,0)+IF(R$4="",1,0)&gt;=1,1,0),IF(IF('卡片raw data'!E$1:E$1000=R$5,1,0)+IF(R$5="",1,0)&gt;=1,1,0))</f>
        <v>0</v>
      </c>
      <c r="Y1500" s="1307">
        <f t="shared" si="116"/>
        <v>36</v>
      </c>
      <c r="Z1500" s="1307">
        <f t="shared" si="117"/>
        <v>0</v>
      </c>
      <c r="AA1500" s="1307">
        <f t="shared" si="118"/>
        <v>36</v>
      </c>
      <c r="AB1500" s="1307">
        <f t="shared" si="119"/>
        <v>0</v>
      </c>
    </row>
    <row r="1501" spans="20:28">
      <c r="T1501" s="1077">
        <v>52</v>
      </c>
      <c r="U1501" s="1077">
        <f t="shared" si="115"/>
        <v>11</v>
      </c>
      <c r="V1501" s="1077">
        <v>37</v>
      </c>
      <c r="W1501" s="1077">
        <f t="array" ref="W1501">SUMPRODUCT(IF('卡片raw data'!BM$1:BM$1000=T1501,1,0),IF('卡片raw data'!BO$1:BO$1000=V1501,1,0),IF(IF('卡片raw data'!C$1:C$1000=R$3,1,0)+IF(R$3="",1,0)&gt;=1,1,0),IF(IF('卡片raw data'!D$1:D$1000=R$4,1,0)+IF(R$4="",1,0)&gt;=1,1,0),IF(IF('卡片raw data'!E$1:E$1000=R$5,1,0)+IF(R$5="",1,0)&gt;=1,1,0))</f>
        <v>0</v>
      </c>
      <c r="Y1501" s="1307">
        <f t="shared" si="116"/>
        <v>37</v>
      </c>
      <c r="Z1501" s="1307">
        <f t="shared" si="117"/>
        <v>0</v>
      </c>
      <c r="AA1501" s="1307">
        <f t="shared" si="118"/>
        <v>37</v>
      </c>
      <c r="AB1501" s="1307">
        <f t="shared" si="119"/>
        <v>0</v>
      </c>
    </row>
    <row r="1502" spans="20:28">
      <c r="T1502" s="1077">
        <v>52</v>
      </c>
      <c r="U1502" s="1077">
        <f t="shared" si="115"/>
        <v>10</v>
      </c>
      <c r="V1502" s="1077">
        <v>38</v>
      </c>
      <c r="W1502" s="1077">
        <f t="array" ref="W1502">SUMPRODUCT(IF('卡片raw data'!BM$1:BM$1000=T1502,1,0),IF('卡片raw data'!BO$1:BO$1000=V1502,1,0),IF(IF('卡片raw data'!C$1:C$1000=R$3,1,0)+IF(R$3="",1,0)&gt;=1,1,0),IF(IF('卡片raw data'!D$1:D$1000=R$4,1,0)+IF(R$4="",1,0)&gt;=1,1,0),IF(IF('卡片raw data'!E$1:E$1000=R$5,1,0)+IF(R$5="",1,0)&gt;=1,1,0))</f>
        <v>0</v>
      </c>
      <c r="Y1502" s="1307">
        <f t="shared" si="116"/>
        <v>38</v>
      </c>
      <c r="Z1502" s="1307">
        <f t="shared" si="117"/>
        <v>0</v>
      </c>
      <c r="AA1502" s="1307">
        <f t="shared" si="118"/>
        <v>38</v>
      </c>
      <c r="AB1502" s="1307">
        <f t="shared" si="119"/>
        <v>0</v>
      </c>
    </row>
    <row r="1503" spans="20:28">
      <c r="T1503" s="1077">
        <v>53</v>
      </c>
      <c r="U1503" s="1077">
        <f t="shared" si="115"/>
        <v>37</v>
      </c>
      <c r="V1503" s="1077">
        <v>10</v>
      </c>
      <c r="W1503" s="1077">
        <f t="array" ref="W1503">SUMPRODUCT(IF('卡片raw data'!BM$1:BM$1000=T1503,1,0),IF('卡片raw data'!BO$1:BO$1000=V1503,1,0),IF(IF('卡片raw data'!C$1:C$1000=R$3,1,0)+IF(R$3="",1,0)&gt;=1,1,0),IF(IF('卡片raw data'!D$1:D$1000=R$4,1,0)+IF(R$4="",1,0)&gt;=1,1,0),IF(IF('卡片raw data'!E$1:E$1000=R$5,1,0)+IF(R$5="",1,0)&gt;=1,1,0))</f>
        <v>0</v>
      </c>
      <c r="Y1503" s="1307">
        <f t="shared" si="116"/>
        <v>10</v>
      </c>
      <c r="Z1503" s="1307">
        <f t="shared" si="117"/>
        <v>0</v>
      </c>
      <c r="AA1503" s="1307">
        <f t="shared" si="118"/>
        <v>10</v>
      </c>
      <c r="AB1503" s="1307">
        <f t="shared" si="119"/>
        <v>0</v>
      </c>
    </row>
    <row r="1504" spans="20:28">
      <c r="T1504" s="1077">
        <v>53</v>
      </c>
      <c r="U1504" s="1077">
        <f t="shared" si="115"/>
        <v>36</v>
      </c>
      <c r="V1504" s="1077">
        <v>11</v>
      </c>
      <c r="W1504" s="1077">
        <f t="array" ref="W1504">SUMPRODUCT(IF('卡片raw data'!BM$1:BM$1000=T1504,1,0),IF('卡片raw data'!BO$1:BO$1000=V1504,1,0),IF(IF('卡片raw data'!C$1:C$1000=R$3,1,0)+IF(R$3="",1,0)&gt;=1,1,0),IF(IF('卡片raw data'!D$1:D$1000=R$4,1,0)+IF(R$4="",1,0)&gt;=1,1,0),IF(IF('卡片raw data'!E$1:E$1000=R$5,1,0)+IF(R$5="",1,0)&gt;=1,1,0))</f>
        <v>0</v>
      </c>
      <c r="Y1504" s="1307">
        <f t="shared" si="116"/>
        <v>11</v>
      </c>
      <c r="Z1504" s="1307">
        <f t="shared" si="117"/>
        <v>0</v>
      </c>
      <c r="AA1504" s="1307">
        <f t="shared" si="118"/>
        <v>11</v>
      </c>
      <c r="AB1504" s="1307">
        <f t="shared" si="119"/>
        <v>0</v>
      </c>
    </row>
    <row r="1505" spans="20:28">
      <c r="T1505" s="1077">
        <v>53</v>
      </c>
      <c r="U1505" s="1077">
        <f t="shared" si="115"/>
        <v>35</v>
      </c>
      <c r="V1505" s="1077">
        <v>12</v>
      </c>
      <c r="W1505" s="1077">
        <f t="array" ref="W1505">SUMPRODUCT(IF('卡片raw data'!BM$1:BM$1000=T1505,1,0),IF('卡片raw data'!BO$1:BO$1000=V1505,1,0),IF(IF('卡片raw data'!C$1:C$1000=R$3,1,0)+IF(R$3="",1,0)&gt;=1,1,0),IF(IF('卡片raw data'!D$1:D$1000=R$4,1,0)+IF(R$4="",1,0)&gt;=1,1,0),IF(IF('卡片raw data'!E$1:E$1000=R$5,1,0)+IF(R$5="",1,0)&gt;=1,1,0))</f>
        <v>0</v>
      </c>
      <c r="Y1505" s="1307">
        <f t="shared" si="116"/>
        <v>12</v>
      </c>
      <c r="Z1505" s="1307">
        <f t="shared" si="117"/>
        <v>0</v>
      </c>
      <c r="AA1505" s="1307">
        <f t="shared" si="118"/>
        <v>12</v>
      </c>
      <c r="AB1505" s="1307">
        <f t="shared" si="119"/>
        <v>0</v>
      </c>
    </row>
    <row r="1506" spans="20:28">
      <c r="T1506" s="1077">
        <v>53</v>
      </c>
      <c r="U1506" s="1077">
        <f t="shared" si="115"/>
        <v>34</v>
      </c>
      <c r="V1506" s="1077">
        <v>13</v>
      </c>
      <c r="W1506" s="1077">
        <f t="array" ref="W1506">SUMPRODUCT(IF('卡片raw data'!BM$1:BM$1000=T1506,1,0),IF('卡片raw data'!BO$1:BO$1000=V1506,1,0),IF(IF('卡片raw data'!C$1:C$1000=R$3,1,0)+IF(R$3="",1,0)&gt;=1,1,0),IF(IF('卡片raw data'!D$1:D$1000=R$4,1,0)+IF(R$4="",1,0)&gt;=1,1,0),IF(IF('卡片raw data'!E$1:E$1000=R$5,1,0)+IF(R$5="",1,0)&gt;=1,1,0))</f>
        <v>0</v>
      </c>
      <c r="Y1506" s="1307">
        <f t="shared" si="116"/>
        <v>13</v>
      </c>
      <c r="Z1506" s="1307">
        <f t="shared" si="117"/>
        <v>0</v>
      </c>
      <c r="AA1506" s="1307">
        <f t="shared" si="118"/>
        <v>13</v>
      </c>
      <c r="AB1506" s="1307">
        <f t="shared" si="119"/>
        <v>0</v>
      </c>
    </row>
    <row r="1507" spans="20:28">
      <c r="T1507" s="1077">
        <v>53</v>
      </c>
      <c r="U1507" s="1077">
        <f t="shared" si="115"/>
        <v>33</v>
      </c>
      <c r="V1507" s="1077">
        <v>14</v>
      </c>
      <c r="W1507" s="1077">
        <f t="array" ref="W1507">SUMPRODUCT(IF('卡片raw data'!BM$1:BM$1000=T1507,1,0),IF('卡片raw data'!BO$1:BO$1000=V1507,1,0),IF(IF('卡片raw data'!C$1:C$1000=R$3,1,0)+IF(R$3="",1,0)&gt;=1,1,0),IF(IF('卡片raw data'!D$1:D$1000=R$4,1,0)+IF(R$4="",1,0)&gt;=1,1,0),IF(IF('卡片raw data'!E$1:E$1000=R$5,1,0)+IF(R$5="",1,0)&gt;=1,1,0))</f>
        <v>0</v>
      </c>
      <c r="Y1507" s="1307">
        <f t="shared" si="116"/>
        <v>14</v>
      </c>
      <c r="Z1507" s="1307">
        <f t="shared" si="117"/>
        <v>0</v>
      </c>
      <c r="AA1507" s="1307">
        <f t="shared" si="118"/>
        <v>14</v>
      </c>
      <c r="AB1507" s="1307">
        <f t="shared" si="119"/>
        <v>0</v>
      </c>
    </row>
    <row r="1508" spans="20:28">
      <c r="T1508" s="1077">
        <v>53</v>
      </c>
      <c r="U1508" s="1077">
        <f t="shared" si="115"/>
        <v>32</v>
      </c>
      <c r="V1508" s="1077">
        <v>15</v>
      </c>
      <c r="W1508" s="1077">
        <f t="array" ref="W1508">SUMPRODUCT(IF('卡片raw data'!BM$1:BM$1000=T1508,1,0),IF('卡片raw data'!BO$1:BO$1000=V1508,1,0),IF(IF('卡片raw data'!C$1:C$1000=R$3,1,0)+IF(R$3="",1,0)&gt;=1,1,0),IF(IF('卡片raw data'!D$1:D$1000=R$4,1,0)+IF(R$4="",1,0)&gt;=1,1,0),IF(IF('卡片raw data'!E$1:E$1000=R$5,1,0)+IF(R$5="",1,0)&gt;=1,1,0))</f>
        <v>0</v>
      </c>
      <c r="Y1508" s="1307">
        <f t="shared" si="116"/>
        <v>15</v>
      </c>
      <c r="Z1508" s="1307">
        <f t="shared" si="117"/>
        <v>0</v>
      </c>
      <c r="AA1508" s="1307">
        <f t="shared" si="118"/>
        <v>15</v>
      </c>
      <c r="AB1508" s="1307">
        <f t="shared" si="119"/>
        <v>0</v>
      </c>
    </row>
    <row r="1509" spans="20:28">
      <c r="T1509" s="1077">
        <v>53</v>
      </c>
      <c r="U1509" s="1077">
        <f t="shared" si="115"/>
        <v>31</v>
      </c>
      <c r="V1509" s="1077">
        <v>16</v>
      </c>
      <c r="W1509" s="1077">
        <f t="array" ref="W1509">SUMPRODUCT(IF('卡片raw data'!BM$1:BM$1000=T1509,1,0),IF('卡片raw data'!BO$1:BO$1000=V1509,1,0),IF(IF('卡片raw data'!C$1:C$1000=R$3,1,0)+IF(R$3="",1,0)&gt;=1,1,0),IF(IF('卡片raw data'!D$1:D$1000=R$4,1,0)+IF(R$4="",1,0)&gt;=1,1,0),IF(IF('卡片raw data'!E$1:E$1000=R$5,1,0)+IF(R$5="",1,0)&gt;=1,1,0))</f>
        <v>0</v>
      </c>
      <c r="Y1509" s="1307">
        <f t="shared" si="116"/>
        <v>16</v>
      </c>
      <c r="Z1509" s="1307">
        <f t="shared" si="117"/>
        <v>0</v>
      </c>
      <c r="AA1509" s="1307">
        <f t="shared" si="118"/>
        <v>16</v>
      </c>
      <c r="AB1509" s="1307">
        <f t="shared" si="119"/>
        <v>0</v>
      </c>
    </row>
    <row r="1510" spans="20:28">
      <c r="T1510" s="1077">
        <v>53</v>
      </c>
      <c r="U1510" s="1077">
        <f t="shared" si="115"/>
        <v>30</v>
      </c>
      <c r="V1510" s="1077">
        <v>17</v>
      </c>
      <c r="W1510" s="1077">
        <f t="array" ref="W1510">SUMPRODUCT(IF('卡片raw data'!BM$1:BM$1000=T1510,1,0),IF('卡片raw data'!BO$1:BO$1000=V1510,1,0),IF(IF('卡片raw data'!C$1:C$1000=R$3,1,0)+IF(R$3="",1,0)&gt;=1,1,0),IF(IF('卡片raw data'!D$1:D$1000=R$4,1,0)+IF(R$4="",1,0)&gt;=1,1,0),IF(IF('卡片raw data'!E$1:E$1000=R$5,1,0)+IF(R$5="",1,0)&gt;=1,1,0))</f>
        <v>0</v>
      </c>
      <c r="Y1510" s="1307">
        <f t="shared" si="116"/>
        <v>17</v>
      </c>
      <c r="Z1510" s="1307">
        <f t="shared" si="117"/>
        <v>0</v>
      </c>
      <c r="AA1510" s="1307">
        <f t="shared" si="118"/>
        <v>17</v>
      </c>
      <c r="AB1510" s="1307">
        <f t="shared" si="119"/>
        <v>0</v>
      </c>
    </row>
    <row r="1511" spans="20:28">
      <c r="T1511" s="1077">
        <v>53</v>
      </c>
      <c r="U1511" s="1077">
        <f t="shared" si="115"/>
        <v>29</v>
      </c>
      <c r="V1511" s="1077">
        <v>18</v>
      </c>
      <c r="W1511" s="1077">
        <f t="array" ref="W1511">SUMPRODUCT(IF('卡片raw data'!BM$1:BM$1000=T1511,1,0),IF('卡片raw data'!BO$1:BO$1000=V1511,1,0),IF(IF('卡片raw data'!C$1:C$1000=R$3,1,0)+IF(R$3="",1,0)&gt;=1,1,0),IF(IF('卡片raw data'!D$1:D$1000=R$4,1,0)+IF(R$4="",1,0)&gt;=1,1,0),IF(IF('卡片raw data'!E$1:E$1000=R$5,1,0)+IF(R$5="",1,0)&gt;=1,1,0))</f>
        <v>0</v>
      </c>
      <c r="Y1511" s="1307">
        <f t="shared" si="116"/>
        <v>18</v>
      </c>
      <c r="Z1511" s="1307">
        <f t="shared" si="117"/>
        <v>0</v>
      </c>
      <c r="AA1511" s="1307">
        <f t="shared" si="118"/>
        <v>18</v>
      </c>
      <c r="AB1511" s="1307">
        <f t="shared" si="119"/>
        <v>0</v>
      </c>
    </row>
    <row r="1512" spans="20:28">
      <c r="T1512" s="1077">
        <v>53</v>
      </c>
      <c r="U1512" s="1077">
        <f t="shared" si="115"/>
        <v>28</v>
      </c>
      <c r="V1512" s="1077">
        <v>19</v>
      </c>
      <c r="W1512" s="1077">
        <f t="array" ref="W1512">SUMPRODUCT(IF('卡片raw data'!BM$1:BM$1000=T1512,1,0),IF('卡片raw data'!BO$1:BO$1000=V1512,1,0),IF(IF('卡片raw data'!C$1:C$1000=R$3,1,0)+IF(R$3="",1,0)&gt;=1,1,0),IF(IF('卡片raw data'!D$1:D$1000=R$4,1,0)+IF(R$4="",1,0)&gt;=1,1,0),IF(IF('卡片raw data'!E$1:E$1000=R$5,1,0)+IF(R$5="",1,0)&gt;=1,1,0))</f>
        <v>0</v>
      </c>
      <c r="Y1512" s="1307">
        <f t="shared" si="116"/>
        <v>19</v>
      </c>
      <c r="Z1512" s="1307">
        <f t="shared" si="117"/>
        <v>0</v>
      </c>
      <c r="AA1512" s="1307">
        <f t="shared" si="118"/>
        <v>19</v>
      </c>
      <c r="AB1512" s="1307">
        <f t="shared" si="119"/>
        <v>0</v>
      </c>
    </row>
    <row r="1513" spans="20:28">
      <c r="T1513" s="1077">
        <v>53</v>
      </c>
      <c r="U1513" s="1077">
        <f t="shared" si="115"/>
        <v>27</v>
      </c>
      <c r="V1513" s="1077">
        <v>20</v>
      </c>
      <c r="W1513" s="1077">
        <f t="array" ref="W1513">SUMPRODUCT(IF('卡片raw data'!BM$1:BM$1000=T1513,1,0),IF('卡片raw data'!BO$1:BO$1000=V1513,1,0),IF(IF('卡片raw data'!C$1:C$1000=R$3,1,0)+IF(R$3="",1,0)&gt;=1,1,0),IF(IF('卡片raw data'!D$1:D$1000=R$4,1,0)+IF(R$4="",1,0)&gt;=1,1,0),IF(IF('卡片raw data'!E$1:E$1000=R$5,1,0)+IF(R$5="",1,0)&gt;=1,1,0))</f>
        <v>0</v>
      </c>
      <c r="Y1513" s="1307">
        <f t="shared" si="116"/>
        <v>20</v>
      </c>
      <c r="Z1513" s="1307">
        <f t="shared" si="117"/>
        <v>0</v>
      </c>
      <c r="AA1513" s="1307">
        <f t="shared" si="118"/>
        <v>20</v>
      </c>
      <c r="AB1513" s="1307">
        <f t="shared" si="119"/>
        <v>0</v>
      </c>
    </row>
    <row r="1514" spans="20:28">
      <c r="T1514" s="1077">
        <v>53</v>
      </c>
      <c r="U1514" s="1077">
        <f t="shared" si="115"/>
        <v>26</v>
      </c>
      <c r="V1514" s="1077">
        <v>21</v>
      </c>
      <c r="W1514" s="1077">
        <f t="array" ref="W1514">SUMPRODUCT(IF('卡片raw data'!BM$1:BM$1000=T1514,1,0),IF('卡片raw data'!BO$1:BO$1000=V1514,1,0),IF(IF('卡片raw data'!C$1:C$1000=R$3,1,0)+IF(R$3="",1,0)&gt;=1,1,0),IF(IF('卡片raw data'!D$1:D$1000=R$4,1,0)+IF(R$4="",1,0)&gt;=1,1,0),IF(IF('卡片raw data'!E$1:E$1000=R$5,1,0)+IF(R$5="",1,0)&gt;=1,1,0))</f>
        <v>0</v>
      </c>
      <c r="Y1514" s="1307">
        <f t="shared" si="116"/>
        <v>21</v>
      </c>
      <c r="Z1514" s="1307">
        <f t="shared" si="117"/>
        <v>0</v>
      </c>
      <c r="AA1514" s="1307">
        <f t="shared" si="118"/>
        <v>21</v>
      </c>
      <c r="AB1514" s="1307">
        <f t="shared" si="119"/>
        <v>0</v>
      </c>
    </row>
    <row r="1515" spans="20:28">
      <c r="T1515" s="1077">
        <v>53</v>
      </c>
      <c r="U1515" s="1077">
        <f t="shared" si="115"/>
        <v>25</v>
      </c>
      <c r="V1515" s="1077">
        <v>22</v>
      </c>
      <c r="W1515" s="1077">
        <f t="array" ref="W1515">SUMPRODUCT(IF('卡片raw data'!BM$1:BM$1000=T1515,1,0),IF('卡片raw data'!BO$1:BO$1000=V1515,1,0),IF(IF('卡片raw data'!C$1:C$1000=R$3,1,0)+IF(R$3="",1,0)&gt;=1,1,0),IF(IF('卡片raw data'!D$1:D$1000=R$4,1,0)+IF(R$4="",1,0)&gt;=1,1,0),IF(IF('卡片raw data'!E$1:E$1000=R$5,1,0)+IF(R$5="",1,0)&gt;=1,1,0))</f>
        <v>0</v>
      </c>
      <c r="Y1515" s="1307">
        <f t="shared" si="116"/>
        <v>22</v>
      </c>
      <c r="Z1515" s="1307">
        <f t="shared" si="117"/>
        <v>0</v>
      </c>
      <c r="AA1515" s="1307">
        <f t="shared" si="118"/>
        <v>22</v>
      </c>
      <c r="AB1515" s="1307">
        <f t="shared" si="119"/>
        <v>0</v>
      </c>
    </row>
    <row r="1516" spans="20:28">
      <c r="T1516" s="1077">
        <v>53</v>
      </c>
      <c r="U1516" s="1077">
        <f t="shared" si="115"/>
        <v>24</v>
      </c>
      <c r="V1516" s="1077">
        <v>23</v>
      </c>
      <c r="W1516" s="1077">
        <f t="array" ref="W1516">SUMPRODUCT(IF('卡片raw data'!BM$1:BM$1000=T1516,1,0),IF('卡片raw data'!BO$1:BO$1000=V1516,1,0),IF(IF('卡片raw data'!C$1:C$1000=R$3,1,0)+IF(R$3="",1,0)&gt;=1,1,0),IF(IF('卡片raw data'!D$1:D$1000=R$4,1,0)+IF(R$4="",1,0)&gt;=1,1,0),IF(IF('卡片raw data'!E$1:E$1000=R$5,1,0)+IF(R$5="",1,0)&gt;=1,1,0))</f>
        <v>0</v>
      </c>
      <c r="Y1516" s="1307">
        <f t="shared" si="116"/>
        <v>23</v>
      </c>
      <c r="Z1516" s="1307">
        <f t="shared" si="117"/>
        <v>0</v>
      </c>
      <c r="AA1516" s="1307">
        <f t="shared" si="118"/>
        <v>23</v>
      </c>
      <c r="AB1516" s="1307">
        <f t="shared" si="119"/>
        <v>0</v>
      </c>
    </row>
    <row r="1517" spans="20:28">
      <c r="T1517" s="1077">
        <v>53</v>
      </c>
      <c r="U1517" s="1077">
        <f t="shared" si="115"/>
        <v>23</v>
      </c>
      <c r="V1517" s="1077">
        <v>24</v>
      </c>
      <c r="W1517" s="1077">
        <f t="array" ref="W1517">SUMPRODUCT(IF('卡片raw data'!BM$1:BM$1000=T1517,1,0),IF('卡片raw data'!BO$1:BO$1000=V1517,1,0),IF(IF('卡片raw data'!C$1:C$1000=R$3,1,0)+IF(R$3="",1,0)&gt;=1,1,0),IF(IF('卡片raw data'!D$1:D$1000=R$4,1,0)+IF(R$4="",1,0)&gt;=1,1,0),IF(IF('卡片raw data'!E$1:E$1000=R$5,1,0)+IF(R$5="",1,0)&gt;=1,1,0))</f>
        <v>0</v>
      </c>
      <c r="Y1517" s="1307">
        <f t="shared" si="116"/>
        <v>24</v>
      </c>
      <c r="Z1517" s="1307">
        <f t="shared" si="117"/>
        <v>0</v>
      </c>
      <c r="AA1517" s="1307">
        <f t="shared" si="118"/>
        <v>24</v>
      </c>
      <c r="AB1517" s="1307">
        <f t="shared" si="119"/>
        <v>0</v>
      </c>
    </row>
    <row r="1518" spans="20:28">
      <c r="T1518" s="1077">
        <v>53</v>
      </c>
      <c r="U1518" s="1077">
        <f t="shared" si="115"/>
        <v>22</v>
      </c>
      <c r="V1518" s="1077">
        <v>25</v>
      </c>
      <c r="W1518" s="1077">
        <f t="array" ref="W1518">SUMPRODUCT(IF('卡片raw data'!BM$1:BM$1000=T1518,1,0),IF('卡片raw data'!BO$1:BO$1000=V1518,1,0),IF(IF('卡片raw data'!C$1:C$1000=R$3,1,0)+IF(R$3="",1,0)&gt;=1,1,0),IF(IF('卡片raw data'!D$1:D$1000=R$4,1,0)+IF(R$4="",1,0)&gt;=1,1,0),IF(IF('卡片raw data'!E$1:E$1000=R$5,1,0)+IF(R$5="",1,0)&gt;=1,1,0))</f>
        <v>0</v>
      </c>
      <c r="Y1518" s="1307">
        <f t="shared" si="116"/>
        <v>25</v>
      </c>
      <c r="Z1518" s="1307">
        <f t="shared" si="117"/>
        <v>0</v>
      </c>
      <c r="AA1518" s="1307">
        <f t="shared" si="118"/>
        <v>25</v>
      </c>
      <c r="AB1518" s="1307">
        <f t="shared" si="119"/>
        <v>0</v>
      </c>
    </row>
    <row r="1519" spans="20:28">
      <c r="T1519" s="1077">
        <v>53</v>
      </c>
      <c r="U1519" s="1077">
        <f t="shared" si="115"/>
        <v>21</v>
      </c>
      <c r="V1519" s="1077">
        <v>26</v>
      </c>
      <c r="W1519" s="1077">
        <f t="array" ref="W1519">SUMPRODUCT(IF('卡片raw data'!BM$1:BM$1000=T1519,1,0),IF('卡片raw data'!BO$1:BO$1000=V1519,1,0),IF(IF('卡片raw data'!C$1:C$1000=R$3,1,0)+IF(R$3="",1,0)&gt;=1,1,0),IF(IF('卡片raw data'!D$1:D$1000=R$4,1,0)+IF(R$4="",1,0)&gt;=1,1,0),IF(IF('卡片raw data'!E$1:E$1000=R$5,1,0)+IF(R$5="",1,0)&gt;=1,1,0))</f>
        <v>0</v>
      </c>
      <c r="Y1519" s="1307">
        <f t="shared" si="116"/>
        <v>26</v>
      </c>
      <c r="Z1519" s="1307">
        <f t="shared" si="117"/>
        <v>0</v>
      </c>
      <c r="AA1519" s="1307">
        <f t="shared" si="118"/>
        <v>26</v>
      </c>
      <c r="AB1519" s="1307">
        <f t="shared" si="119"/>
        <v>0</v>
      </c>
    </row>
    <row r="1520" spans="20:28">
      <c r="T1520" s="1077">
        <v>53</v>
      </c>
      <c r="U1520" s="1077">
        <f t="shared" si="115"/>
        <v>20</v>
      </c>
      <c r="V1520" s="1077">
        <v>27</v>
      </c>
      <c r="W1520" s="1077">
        <f t="array" ref="W1520">SUMPRODUCT(IF('卡片raw data'!BM$1:BM$1000=T1520,1,0),IF('卡片raw data'!BO$1:BO$1000=V1520,1,0),IF(IF('卡片raw data'!C$1:C$1000=R$3,1,0)+IF(R$3="",1,0)&gt;=1,1,0),IF(IF('卡片raw data'!D$1:D$1000=R$4,1,0)+IF(R$4="",1,0)&gt;=1,1,0),IF(IF('卡片raw data'!E$1:E$1000=R$5,1,0)+IF(R$5="",1,0)&gt;=1,1,0))</f>
        <v>0</v>
      </c>
      <c r="Y1520" s="1307">
        <f t="shared" si="116"/>
        <v>27</v>
      </c>
      <c r="Z1520" s="1307">
        <f t="shared" si="117"/>
        <v>0</v>
      </c>
      <c r="AA1520" s="1307">
        <f t="shared" si="118"/>
        <v>27</v>
      </c>
      <c r="AB1520" s="1307">
        <f t="shared" si="119"/>
        <v>0</v>
      </c>
    </row>
    <row r="1521" spans="20:28">
      <c r="T1521" s="1077">
        <v>53</v>
      </c>
      <c r="U1521" s="1077">
        <f t="shared" si="115"/>
        <v>19</v>
      </c>
      <c r="V1521" s="1077">
        <v>28</v>
      </c>
      <c r="W1521" s="1077">
        <f t="array" ref="W1521">SUMPRODUCT(IF('卡片raw data'!BM$1:BM$1000=T1521,1,0),IF('卡片raw data'!BO$1:BO$1000=V1521,1,0),IF(IF('卡片raw data'!C$1:C$1000=R$3,1,0)+IF(R$3="",1,0)&gt;=1,1,0),IF(IF('卡片raw data'!D$1:D$1000=R$4,1,0)+IF(R$4="",1,0)&gt;=1,1,0),IF(IF('卡片raw data'!E$1:E$1000=R$5,1,0)+IF(R$5="",1,0)&gt;=1,1,0))</f>
        <v>0</v>
      </c>
      <c r="Y1521" s="1307">
        <f t="shared" si="116"/>
        <v>28</v>
      </c>
      <c r="Z1521" s="1307">
        <f t="shared" si="117"/>
        <v>0</v>
      </c>
      <c r="AA1521" s="1307">
        <f t="shared" si="118"/>
        <v>28</v>
      </c>
      <c r="AB1521" s="1307">
        <f t="shared" si="119"/>
        <v>0</v>
      </c>
    </row>
    <row r="1522" spans="20:28">
      <c r="T1522" s="1077">
        <v>53</v>
      </c>
      <c r="U1522" s="1077">
        <f t="shared" si="115"/>
        <v>18</v>
      </c>
      <c r="V1522" s="1077">
        <v>29</v>
      </c>
      <c r="W1522" s="1077">
        <f t="array" ref="W1522">SUMPRODUCT(IF('卡片raw data'!BM$1:BM$1000=T1522,1,0),IF('卡片raw data'!BO$1:BO$1000=V1522,1,0),IF(IF('卡片raw data'!C$1:C$1000=R$3,1,0)+IF(R$3="",1,0)&gt;=1,1,0),IF(IF('卡片raw data'!D$1:D$1000=R$4,1,0)+IF(R$4="",1,0)&gt;=1,1,0),IF(IF('卡片raw data'!E$1:E$1000=R$5,1,0)+IF(R$5="",1,0)&gt;=1,1,0))</f>
        <v>0</v>
      </c>
      <c r="Y1522" s="1307">
        <f t="shared" si="116"/>
        <v>29</v>
      </c>
      <c r="Z1522" s="1307">
        <f t="shared" si="117"/>
        <v>0</v>
      </c>
      <c r="AA1522" s="1307">
        <f t="shared" si="118"/>
        <v>29</v>
      </c>
      <c r="AB1522" s="1307">
        <f t="shared" si="119"/>
        <v>0</v>
      </c>
    </row>
    <row r="1523" spans="20:28">
      <c r="T1523" s="1077">
        <v>53</v>
      </c>
      <c r="U1523" s="1077">
        <f t="shared" si="115"/>
        <v>17</v>
      </c>
      <c r="V1523" s="1077">
        <v>30</v>
      </c>
      <c r="W1523" s="1077">
        <f t="array" ref="W1523">SUMPRODUCT(IF('卡片raw data'!BM$1:BM$1000=T1523,1,0),IF('卡片raw data'!BO$1:BO$1000=V1523,1,0),IF(IF('卡片raw data'!C$1:C$1000=R$3,1,0)+IF(R$3="",1,0)&gt;=1,1,0),IF(IF('卡片raw data'!D$1:D$1000=R$4,1,0)+IF(R$4="",1,0)&gt;=1,1,0),IF(IF('卡片raw data'!E$1:E$1000=R$5,1,0)+IF(R$5="",1,0)&gt;=1,1,0))</f>
        <v>0</v>
      </c>
      <c r="Y1523" s="1307">
        <f t="shared" si="116"/>
        <v>30</v>
      </c>
      <c r="Z1523" s="1307">
        <f t="shared" si="117"/>
        <v>0</v>
      </c>
      <c r="AA1523" s="1307">
        <f t="shared" si="118"/>
        <v>30</v>
      </c>
      <c r="AB1523" s="1307">
        <f t="shared" si="119"/>
        <v>0</v>
      </c>
    </row>
    <row r="1524" spans="20:28">
      <c r="T1524" s="1077">
        <v>53</v>
      </c>
      <c r="U1524" s="1077">
        <f t="shared" si="115"/>
        <v>16</v>
      </c>
      <c r="V1524" s="1077">
        <v>31</v>
      </c>
      <c r="W1524" s="1077">
        <f t="array" ref="W1524">SUMPRODUCT(IF('卡片raw data'!BM$1:BM$1000=T1524,1,0),IF('卡片raw data'!BO$1:BO$1000=V1524,1,0),IF(IF('卡片raw data'!C$1:C$1000=R$3,1,0)+IF(R$3="",1,0)&gt;=1,1,0),IF(IF('卡片raw data'!D$1:D$1000=R$4,1,0)+IF(R$4="",1,0)&gt;=1,1,0),IF(IF('卡片raw data'!E$1:E$1000=R$5,1,0)+IF(R$5="",1,0)&gt;=1,1,0))</f>
        <v>0</v>
      </c>
      <c r="Y1524" s="1307">
        <f t="shared" si="116"/>
        <v>31</v>
      </c>
      <c r="Z1524" s="1307">
        <f t="shared" si="117"/>
        <v>0</v>
      </c>
      <c r="AA1524" s="1307">
        <f t="shared" si="118"/>
        <v>31</v>
      </c>
      <c r="AB1524" s="1307">
        <f t="shared" si="119"/>
        <v>0</v>
      </c>
    </row>
    <row r="1525" spans="20:28">
      <c r="T1525" s="1077">
        <v>53</v>
      </c>
      <c r="U1525" s="1077">
        <f t="shared" si="115"/>
        <v>15</v>
      </c>
      <c r="V1525" s="1077">
        <v>32</v>
      </c>
      <c r="W1525" s="1077">
        <f t="array" ref="W1525">SUMPRODUCT(IF('卡片raw data'!BM$1:BM$1000=T1525,1,0),IF('卡片raw data'!BO$1:BO$1000=V1525,1,0),IF(IF('卡片raw data'!C$1:C$1000=R$3,1,0)+IF(R$3="",1,0)&gt;=1,1,0),IF(IF('卡片raw data'!D$1:D$1000=R$4,1,0)+IF(R$4="",1,0)&gt;=1,1,0),IF(IF('卡片raw data'!E$1:E$1000=R$5,1,0)+IF(R$5="",1,0)&gt;=1,1,0))</f>
        <v>0</v>
      </c>
      <c r="Y1525" s="1307">
        <f t="shared" si="116"/>
        <v>32</v>
      </c>
      <c r="Z1525" s="1307">
        <f t="shared" si="117"/>
        <v>0</v>
      </c>
      <c r="AA1525" s="1307">
        <f t="shared" si="118"/>
        <v>32</v>
      </c>
      <c r="AB1525" s="1307">
        <f t="shared" si="119"/>
        <v>0</v>
      </c>
    </row>
    <row r="1526" spans="20:28">
      <c r="T1526" s="1077">
        <v>53</v>
      </c>
      <c r="U1526" s="1077">
        <f t="shared" si="115"/>
        <v>14</v>
      </c>
      <c r="V1526" s="1077">
        <v>33</v>
      </c>
      <c r="W1526" s="1077">
        <f t="array" ref="W1526">SUMPRODUCT(IF('卡片raw data'!BM$1:BM$1000=T1526,1,0),IF('卡片raw data'!BO$1:BO$1000=V1526,1,0),IF(IF('卡片raw data'!C$1:C$1000=R$3,1,0)+IF(R$3="",1,0)&gt;=1,1,0),IF(IF('卡片raw data'!D$1:D$1000=R$4,1,0)+IF(R$4="",1,0)&gt;=1,1,0),IF(IF('卡片raw data'!E$1:E$1000=R$5,1,0)+IF(R$5="",1,0)&gt;=1,1,0))</f>
        <v>0</v>
      </c>
      <c r="Y1526" s="1307">
        <f t="shared" si="116"/>
        <v>33</v>
      </c>
      <c r="Z1526" s="1307">
        <f t="shared" si="117"/>
        <v>0</v>
      </c>
      <c r="AA1526" s="1307">
        <f t="shared" si="118"/>
        <v>33</v>
      </c>
      <c r="AB1526" s="1307">
        <f t="shared" si="119"/>
        <v>0</v>
      </c>
    </row>
    <row r="1527" spans="20:28">
      <c r="T1527" s="1077">
        <v>53</v>
      </c>
      <c r="U1527" s="1077">
        <f t="shared" si="115"/>
        <v>13</v>
      </c>
      <c r="V1527" s="1077">
        <v>34</v>
      </c>
      <c r="W1527" s="1077">
        <f t="array" ref="W1527">SUMPRODUCT(IF('卡片raw data'!BM$1:BM$1000=T1527,1,0),IF('卡片raw data'!BO$1:BO$1000=V1527,1,0),IF(IF('卡片raw data'!C$1:C$1000=R$3,1,0)+IF(R$3="",1,0)&gt;=1,1,0),IF(IF('卡片raw data'!D$1:D$1000=R$4,1,0)+IF(R$4="",1,0)&gt;=1,1,0),IF(IF('卡片raw data'!E$1:E$1000=R$5,1,0)+IF(R$5="",1,0)&gt;=1,1,0))</f>
        <v>0</v>
      </c>
      <c r="Y1527" s="1307">
        <f t="shared" si="116"/>
        <v>34</v>
      </c>
      <c r="Z1527" s="1307">
        <f t="shared" si="117"/>
        <v>0</v>
      </c>
      <c r="AA1527" s="1307">
        <f t="shared" si="118"/>
        <v>34</v>
      </c>
      <c r="AB1527" s="1307">
        <f t="shared" si="119"/>
        <v>0</v>
      </c>
    </row>
    <row r="1528" spans="20:28">
      <c r="T1528" s="1077">
        <v>53</v>
      </c>
      <c r="U1528" s="1077">
        <f t="shared" si="115"/>
        <v>12</v>
      </c>
      <c r="V1528" s="1077">
        <v>35</v>
      </c>
      <c r="W1528" s="1077">
        <f t="array" ref="W1528">SUMPRODUCT(IF('卡片raw data'!BM$1:BM$1000=T1528,1,0),IF('卡片raw data'!BO$1:BO$1000=V1528,1,0),IF(IF('卡片raw data'!C$1:C$1000=R$3,1,0)+IF(R$3="",1,0)&gt;=1,1,0),IF(IF('卡片raw data'!D$1:D$1000=R$4,1,0)+IF(R$4="",1,0)&gt;=1,1,0),IF(IF('卡片raw data'!E$1:E$1000=R$5,1,0)+IF(R$5="",1,0)&gt;=1,1,0))</f>
        <v>0</v>
      </c>
      <c r="Y1528" s="1307">
        <f t="shared" si="116"/>
        <v>35</v>
      </c>
      <c r="Z1528" s="1307">
        <f t="shared" si="117"/>
        <v>0</v>
      </c>
      <c r="AA1528" s="1307">
        <f t="shared" si="118"/>
        <v>35</v>
      </c>
      <c r="AB1528" s="1307">
        <f t="shared" si="119"/>
        <v>0</v>
      </c>
    </row>
    <row r="1529" spans="20:28">
      <c r="T1529" s="1077">
        <v>53</v>
      </c>
      <c r="U1529" s="1077">
        <f t="shared" si="115"/>
        <v>11</v>
      </c>
      <c r="V1529" s="1077">
        <v>36</v>
      </c>
      <c r="W1529" s="1077">
        <f t="array" ref="W1529">SUMPRODUCT(IF('卡片raw data'!BM$1:BM$1000=T1529,1,0),IF('卡片raw data'!BO$1:BO$1000=V1529,1,0),IF(IF('卡片raw data'!C$1:C$1000=R$3,1,0)+IF(R$3="",1,0)&gt;=1,1,0),IF(IF('卡片raw data'!D$1:D$1000=R$4,1,0)+IF(R$4="",1,0)&gt;=1,1,0),IF(IF('卡片raw data'!E$1:E$1000=R$5,1,0)+IF(R$5="",1,0)&gt;=1,1,0))</f>
        <v>0</v>
      </c>
      <c r="Y1529" s="1307">
        <f t="shared" si="116"/>
        <v>36</v>
      </c>
      <c r="Z1529" s="1307">
        <f t="shared" si="117"/>
        <v>0</v>
      </c>
      <c r="AA1529" s="1307">
        <f t="shared" si="118"/>
        <v>36</v>
      </c>
      <c r="AB1529" s="1307">
        <f t="shared" si="119"/>
        <v>0</v>
      </c>
    </row>
    <row r="1530" spans="20:28">
      <c r="T1530" s="1077">
        <v>53</v>
      </c>
      <c r="U1530" s="1077">
        <f t="shared" si="115"/>
        <v>10</v>
      </c>
      <c r="V1530" s="1077">
        <v>37</v>
      </c>
      <c r="W1530" s="1077">
        <f t="array" ref="W1530">SUMPRODUCT(IF('卡片raw data'!BM$1:BM$1000=T1530,1,0),IF('卡片raw data'!BO$1:BO$1000=V1530,1,0),IF(IF('卡片raw data'!C$1:C$1000=R$3,1,0)+IF(R$3="",1,0)&gt;=1,1,0),IF(IF('卡片raw data'!D$1:D$1000=R$4,1,0)+IF(R$4="",1,0)&gt;=1,1,0),IF(IF('卡片raw data'!E$1:E$1000=R$5,1,0)+IF(R$5="",1,0)&gt;=1,1,0))</f>
        <v>0</v>
      </c>
      <c r="Y1530" s="1307">
        <f t="shared" si="116"/>
        <v>37</v>
      </c>
      <c r="Z1530" s="1307">
        <f t="shared" si="117"/>
        <v>0</v>
      </c>
      <c r="AA1530" s="1307">
        <f t="shared" si="118"/>
        <v>37</v>
      </c>
      <c r="AB1530" s="1307">
        <f t="shared" si="119"/>
        <v>0</v>
      </c>
    </row>
    <row r="1531" spans="20:28">
      <c r="T1531" s="1077">
        <v>54</v>
      </c>
      <c r="U1531" s="1077">
        <f t="shared" si="115"/>
        <v>36</v>
      </c>
      <c r="V1531" s="1077">
        <v>10</v>
      </c>
      <c r="W1531" s="1077">
        <f t="array" ref="W1531">SUMPRODUCT(IF('卡片raw data'!BM$1:BM$1000=T1531,1,0),IF('卡片raw data'!BO$1:BO$1000=V1531,1,0),IF(IF('卡片raw data'!C$1:C$1000=R$3,1,0)+IF(R$3="",1,0)&gt;=1,1,0),IF(IF('卡片raw data'!D$1:D$1000=R$4,1,0)+IF(R$4="",1,0)&gt;=1,1,0),IF(IF('卡片raw data'!E$1:E$1000=R$5,1,0)+IF(R$5="",1,0)&gt;=1,1,0))</f>
        <v>0</v>
      </c>
      <c r="Y1531" s="1307">
        <f t="shared" si="116"/>
        <v>10</v>
      </c>
      <c r="Z1531" s="1307">
        <f t="shared" si="117"/>
        <v>0</v>
      </c>
      <c r="AA1531" s="1307">
        <f t="shared" si="118"/>
        <v>10</v>
      </c>
      <c r="AB1531" s="1307">
        <f t="shared" si="119"/>
        <v>0</v>
      </c>
    </row>
    <row r="1532" spans="20:28">
      <c r="T1532" s="1077">
        <v>54</v>
      </c>
      <c r="U1532" s="1077">
        <f t="shared" si="115"/>
        <v>35</v>
      </c>
      <c r="V1532" s="1077">
        <v>11</v>
      </c>
      <c r="W1532" s="1077">
        <f t="array" ref="W1532">SUMPRODUCT(IF('卡片raw data'!BM$1:BM$1000=T1532,1,0),IF('卡片raw data'!BO$1:BO$1000=V1532,1,0),IF(IF('卡片raw data'!C$1:C$1000=R$3,1,0)+IF(R$3="",1,0)&gt;=1,1,0),IF(IF('卡片raw data'!D$1:D$1000=R$4,1,0)+IF(R$4="",1,0)&gt;=1,1,0),IF(IF('卡片raw data'!E$1:E$1000=R$5,1,0)+IF(R$5="",1,0)&gt;=1,1,0))</f>
        <v>0</v>
      </c>
      <c r="Y1532" s="1307">
        <f t="shared" si="116"/>
        <v>11</v>
      </c>
      <c r="Z1532" s="1307">
        <f t="shared" si="117"/>
        <v>0</v>
      </c>
      <c r="AA1532" s="1307">
        <f t="shared" si="118"/>
        <v>11</v>
      </c>
      <c r="AB1532" s="1307">
        <f t="shared" si="119"/>
        <v>0</v>
      </c>
    </row>
    <row r="1533" spans="20:28">
      <c r="T1533" s="1077">
        <v>54</v>
      </c>
      <c r="U1533" s="1077">
        <f t="shared" si="115"/>
        <v>34</v>
      </c>
      <c r="V1533" s="1077">
        <v>12</v>
      </c>
      <c r="W1533" s="1077">
        <f t="array" ref="W1533">SUMPRODUCT(IF('卡片raw data'!BM$1:BM$1000=T1533,1,0),IF('卡片raw data'!BO$1:BO$1000=V1533,1,0),IF(IF('卡片raw data'!C$1:C$1000=R$3,1,0)+IF(R$3="",1,0)&gt;=1,1,0),IF(IF('卡片raw data'!D$1:D$1000=R$4,1,0)+IF(R$4="",1,0)&gt;=1,1,0),IF(IF('卡片raw data'!E$1:E$1000=R$5,1,0)+IF(R$5="",1,0)&gt;=1,1,0))</f>
        <v>0</v>
      </c>
      <c r="Y1533" s="1307">
        <f t="shared" si="116"/>
        <v>12</v>
      </c>
      <c r="Z1533" s="1307">
        <f t="shared" si="117"/>
        <v>0</v>
      </c>
      <c r="AA1533" s="1307">
        <f t="shared" si="118"/>
        <v>12</v>
      </c>
      <c r="AB1533" s="1307">
        <f t="shared" si="119"/>
        <v>0</v>
      </c>
    </row>
    <row r="1534" spans="20:28">
      <c r="T1534" s="1077">
        <v>54</v>
      </c>
      <c r="U1534" s="1077">
        <f t="shared" si="115"/>
        <v>33</v>
      </c>
      <c r="V1534" s="1077">
        <v>13</v>
      </c>
      <c r="W1534" s="1077">
        <f t="array" ref="W1534">SUMPRODUCT(IF('卡片raw data'!BM$1:BM$1000=T1534,1,0),IF('卡片raw data'!BO$1:BO$1000=V1534,1,0),IF(IF('卡片raw data'!C$1:C$1000=R$3,1,0)+IF(R$3="",1,0)&gt;=1,1,0),IF(IF('卡片raw data'!D$1:D$1000=R$4,1,0)+IF(R$4="",1,0)&gt;=1,1,0),IF(IF('卡片raw data'!E$1:E$1000=R$5,1,0)+IF(R$5="",1,0)&gt;=1,1,0))</f>
        <v>0</v>
      </c>
      <c r="Y1534" s="1307">
        <f t="shared" si="116"/>
        <v>13</v>
      </c>
      <c r="Z1534" s="1307">
        <f t="shared" si="117"/>
        <v>0</v>
      </c>
      <c r="AA1534" s="1307">
        <f t="shared" si="118"/>
        <v>13</v>
      </c>
      <c r="AB1534" s="1307">
        <f t="shared" si="119"/>
        <v>0</v>
      </c>
    </row>
    <row r="1535" spans="20:28">
      <c r="T1535" s="1077">
        <v>54</v>
      </c>
      <c r="U1535" s="1077">
        <f t="shared" si="115"/>
        <v>32</v>
      </c>
      <c r="V1535" s="1077">
        <v>14</v>
      </c>
      <c r="W1535" s="1077">
        <f t="array" ref="W1535">SUMPRODUCT(IF('卡片raw data'!BM$1:BM$1000=T1535,1,0),IF('卡片raw data'!BO$1:BO$1000=V1535,1,0),IF(IF('卡片raw data'!C$1:C$1000=R$3,1,0)+IF(R$3="",1,0)&gt;=1,1,0),IF(IF('卡片raw data'!D$1:D$1000=R$4,1,0)+IF(R$4="",1,0)&gt;=1,1,0),IF(IF('卡片raw data'!E$1:E$1000=R$5,1,0)+IF(R$5="",1,0)&gt;=1,1,0))</f>
        <v>0</v>
      </c>
      <c r="Y1535" s="1307">
        <f t="shared" si="116"/>
        <v>14</v>
      </c>
      <c r="Z1535" s="1307">
        <f t="shared" si="117"/>
        <v>0</v>
      </c>
      <c r="AA1535" s="1307">
        <f t="shared" si="118"/>
        <v>14</v>
      </c>
      <c r="AB1535" s="1307">
        <f t="shared" si="119"/>
        <v>0</v>
      </c>
    </row>
    <row r="1536" spans="20:28">
      <c r="T1536" s="1077">
        <v>54</v>
      </c>
      <c r="U1536" s="1077">
        <f t="shared" si="115"/>
        <v>31</v>
      </c>
      <c r="V1536" s="1077">
        <v>15</v>
      </c>
      <c r="W1536" s="1077">
        <f t="array" ref="W1536">SUMPRODUCT(IF('卡片raw data'!BM$1:BM$1000=T1536,1,0),IF('卡片raw data'!BO$1:BO$1000=V1536,1,0),IF(IF('卡片raw data'!C$1:C$1000=R$3,1,0)+IF(R$3="",1,0)&gt;=1,1,0),IF(IF('卡片raw data'!D$1:D$1000=R$4,1,0)+IF(R$4="",1,0)&gt;=1,1,0),IF(IF('卡片raw data'!E$1:E$1000=R$5,1,0)+IF(R$5="",1,0)&gt;=1,1,0))</f>
        <v>0</v>
      </c>
      <c r="Y1536" s="1307">
        <f t="shared" si="116"/>
        <v>15</v>
      </c>
      <c r="Z1536" s="1307">
        <f t="shared" si="117"/>
        <v>0</v>
      </c>
      <c r="AA1536" s="1307">
        <f t="shared" si="118"/>
        <v>15</v>
      </c>
      <c r="AB1536" s="1307">
        <f t="shared" si="119"/>
        <v>0</v>
      </c>
    </row>
    <row r="1537" spans="20:28">
      <c r="T1537" s="1077">
        <v>54</v>
      </c>
      <c r="U1537" s="1077">
        <f t="shared" si="115"/>
        <v>30</v>
      </c>
      <c r="V1537" s="1077">
        <v>16</v>
      </c>
      <c r="W1537" s="1077">
        <f t="array" ref="W1537">SUMPRODUCT(IF('卡片raw data'!BM$1:BM$1000=T1537,1,0),IF('卡片raw data'!BO$1:BO$1000=V1537,1,0),IF(IF('卡片raw data'!C$1:C$1000=R$3,1,0)+IF(R$3="",1,0)&gt;=1,1,0),IF(IF('卡片raw data'!D$1:D$1000=R$4,1,0)+IF(R$4="",1,0)&gt;=1,1,0),IF(IF('卡片raw data'!E$1:E$1000=R$5,1,0)+IF(R$5="",1,0)&gt;=1,1,0))</f>
        <v>0</v>
      </c>
      <c r="Y1537" s="1307">
        <f t="shared" si="116"/>
        <v>16</v>
      </c>
      <c r="Z1537" s="1307">
        <f t="shared" si="117"/>
        <v>0</v>
      </c>
      <c r="AA1537" s="1307">
        <f t="shared" si="118"/>
        <v>16</v>
      </c>
      <c r="AB1537" s="1307">
        <f t="shared" si="119"/>
        <v>0</v>
      </c>
    </row>
    <row r="1538" spans="20:28">
      <c r="T1538" s="1077">
        <v>54</v>
      </c>
      <c r="U1538" s="1077">
        <f t="shared" si="115"/>
        <v>29</v>
      </c>
      <c r="V1538" s="1077">
        <v>17</v>
      </c>
      <c r="W1538" s="1077">
        <f t="array" ref="W1538">SUMPRODUCT(IF('卡片raw data'!BM$1:BM$1000=T1538,1,0),IF('卡片raw data'!BO$1:BO$1000=V1538,1,0),IF(IF('卡片raw data'!C$1:C$1000=R$3,1,0)+IF(R$3="",1,0)&gt;=1,1,0),IF(IF('卡片raw data'!D$1:D$1000=R$4,1,0)+IF(R$4="",1,0)&gt;=1,1,0),IF(IF('卡片raw data'!E$1:E$1000=R$5,1,0)+IF(R$5="",1,0)&gt;=1,1,0))</f>
        <v>0</v>
      </c>
      <c r="Y1538" s="1307">
        <f t="shared" si="116"/>
        <v>17</v>
      </c>
      <c r="Z1538" s="1307">
        <f t="shared" si="117"/>
        <v>0</v>
      </c>
      <c r="AA1538" s="1307">
        <f t="shared" si="118"/>
        <v>17</v>
      </c>
      <c r="AB1538" s="1307">
        <f t="shared" si="119"/>
        <v>0</v>
      </c>
    </row>
    <row r="1539" spans="20:28">
      <c r="T1539" s="1077">
        <v>54</v>
      </c>
      <c r="U1539" s="1077">
        <f t="shared" si="115"/>
        <v>28</v>
      </c>
      <c r="V1539" s="1077">
        <v>18</v>
      </c>
      <c r="W1539" s="1077">
        <f t="array" ref="W1539">SUMPRODUCT(IF('卡片raw data'!BM$1:BM$1000=T1539,1,0),IF('卡片raw data'!BO$1:BO$1000=V1539,1,0),IF(IF('卡片raw data'!C$1:C$1000=R$3,1,0)+IF(R$3="",1,0)&gt;=1,1,0),IF(IF('卡片raw data'!D$1:D$1000=R$4,1,0)+IF(R$4="",1,0)&gt;=1,1,0),IF(IF('卡片raw data'!E$1:E$1000=R$5,1,0)+IF(R$5="",1,0)&gt;=1,1,0))</f>
        <v>0</v>
      </c>
      <c r="Y1539" s="1307">
        <f t="shared" si="116"/>
        <v>18</v>
      </c>
      <c r="Z1539" s="1307">
        <f t="shared" si="117"/>
        <v>0</v>
      </c>
      <c r="AA1539" s="1307">
        <f t="shared" si="118"/>
        <v>18</v>
      </c>
      <c r="AB1539" s="1307">
        <f t="shared" si="119"/>
        <v>0</v>
      </c>
    </row>
    <row r="1540" spans="20:28">
      <c r="T1540" s="1077">
        <v>54</v>
      </c>
      <c r="U1540" s="1077">
        <f t="shared" ref="U1540:U1583" si="120">100-T1540-V1540</f>
        <v>27</v>
      </c>
      <c r="V1540" s="1077">
        <v>19</v>
      </c>
      <c r="W1540" s="1077">
        <f t="array" ref="W1540">SUMPRODUCT(IF('卡片raw data'!BM$1:BM$1000=T1540,1,0),IF('卡片raw data'!BO$1:BO$1000=V1540,1,0),IF(IF('卡片raw data'!C$1:C$1000=R$3,1,0)+IF(R$3="",1,0)&gt;=1,1,0),IF(IF('卡片raw data'!D$1:D$1000=R$4,1,0)+IF(R$4="",1,0)&gt;=1,1,0),IF(IF('卡片raw data'!E$1:E$1000=R$5,1,0)+IF(R$5="",1,0)&gt;=1,1,0))</f>
        <v>0</v>
      </c>
      <c r="Y1540" s="1307">
        <f t="shared" ref="Y1540:Y1584" si="121">V1540</f>
        <v>19</v>
      </c>
      <c r="Z1540" s="1307">
        <f t="shared" ref="Z1540:Z1584" si="122">IF(AND(V1540&gt;U1540,V1540&gt;T1540),W1540,0)</f>
        <v>0</v>
      </c>
      <c r="AA1540" s="1307">
        <f t="shared" ref="AA1540:AA1584" si="123">V1540</f>
        <v>19</v>
      </c>
      <c r="AB1540" s="1307">
        <f t="shared" ref="AB1540:AB1584" si="124">W1540-Z1540</f>
        <v>0</v>
      </c>
    </row>
    <row r="1541" spans="20:28">
      <c r="T1541" s="1077">
        <v>54</v>
      </c>
      <c r="U1541" s="1077">
        <f t="shared" si="120"/>
        <v>26</v>
      </c>
      <c r="V1541" s="1077">
        <v>20</v>
      </c>
      <c r="W1541" s="1077">
        <f t="array" ref="W1541">SUMPRODUCT(IF('卡片raw data'!BM$1:BM$1000=T1541,1,0),IF('卡片raw data'!BO$1:BO$1000=V1541,1,0),IF(IF('卡片raw data'!C$1:C$1000=R$3,1,0)+IF(R$3="",1,0)&gt;=1,1,0),IF(IF('卡片raw data'!D$1:D$1000=R$4,1,0)+IF(R$4="",1,0)&gt;=1,1,0),IF(IF('卡片raw data'!E$1:E$1000=R$5,1,0)+IF(R$5="",1,0)&gt;=1,1,0))</f>
        <v>0</v>
      </c>
      <c r="Y1541" s="1307">
        <f t="shared" si="121"/>
        <v>20</v>
      </c>
      <c r="Z1541" s="1307">
        <f t="shared" si="122"/>
        <v>0</v>
      </c>
      <c r="AA1541" s="1307">
        <f t="shared" si="123"/>
        <v>20</v>
      </c>
      <c r="AB1541" s="1307">
        <f t="shared" si="124"/>
        <v>0</v>
      </c>
    </row>
    <row r="1542" spans="20:28">
      <c r="T1542" s="1077">
        <v>54</v>
      </c>
      <c r="U1542" s="1077">
        <f t="shared" si="120"/>
        <v>25</v>
      </c>
      <c r="V1542" s="1077">
        <v>21</v>
      </c>
      <c r="W1542" s="1077">
        <f t="array" ref="W1542">SUMPRODUCT(IF('卡片raw data'!BM$1:BM$1000=T1542,1,0),IF('卡片raw data'!BO$1:BO$1000=V1542,1,0),IF(IF('卡片raw data'!C$1:C$1000=R$3,1,0)+IF(R$3="",1,0)&gt;=1,1,0),IF(IF('卡片raw data'!D$1:D$1000=R$4,1,0)+IF(R$4="",1,0)&gt;=1,1,0),IF(IF('卡片raw data'!E$1:E$1000=R$5,1,0)+IF(R$5="",1,0)&gt;=1,1,0))</f>
        <v>0</v>
      </c>
      <c r="Y1542" s="1307">
        <f t="shared" si="121"/>
        <v>21</v>
      </c>
      <c r="Z1542" s="1307">
        <f t="shared" si="122"/>
        <v>0</v>
      </c>
      <c r="AA1542" s="1307">
        <f t="shared" si="123"/>
        <v>21</v>
      </c>
      <c r="AB1542" s="1307">
        <f t="shared" si="124"/>
        <v>0</v>
      </c>
    </row>
    <row r="1543" spans="20:28">
      <c r="T1543" s="1077">
        <v>54</v>
      </c>
      <c r="U1543" s="1077">
        <f t="shared" si="120"/>
        <v>24</v>
      </c>
      <c r="V1543" s="1077">
        <v>22</v>
      </c>
      <c r="W1543" s="1077">
        <f t="array" ref="W1543">SUMPRODUCT(IF('卡片raw data'!BM$1:BM$1000=T1543,1,0),IF('卡片raw data'!BO$1:BO$1000=V1543,1,0),IF(IF('卡片raw data'!C$1:C$1000=R$3,1,0)+IF(R$3="",1,0)&gt;=1,1,0),IF(IF('卡片raw data'!D$1:D$1000=R$4,1,0)+IF(R$4="",1,0)&gt;=1,1,0),IF(IF('卡片raw data'!E$1:E$1000=R$5,1,0)+IF(R$5="",1,0)&gt;=1,1,0))</f>
        <v>0</v>
      </c>
      <c r="Y1543" s="1307">
        <f t="shared" si="121"/>
        <v>22</v>
      </c>
      <c r="Z1543" s="1307">
        <f t="shared" si="122"/>
        <v>0</v>
      </c>
      <c r="AA1543" s="1307">
        <f t="shared" si="123"/>
        <v>22</v>
      </c>
      <c r="AB1543" s="1307">
        <f t="shared" si="124"/>
        <v>0</v>
      </c>
    </row>
    <row r="1544" spans="20:28">
      <c r="T1544" s="1077">
        <v>54</v>
      </c>
      <c r="U1544" s="1077">
        <f t="shared" si="120"/>
        <v>23</v>
      </c>
      <c r="V1544" s="1077">
        <v>23</v>
      </c>
      <c r="W1544" s="1077">
        <f t="array" ref="W1544">SUMPRODUCT(IF('卡片raw data'!BM$1:BM$1000=T1544,1,0),IF('卡片raw data'!BO$1:BO$1000=V1544,1,0),IF(IF('卡片raw data'!C$1:C$1000=R$3,1,0)+IF(R$3="",1,0)&gt;=1,1,0),IF(IF('卡片raw data'!D$1:D$1000=R$4,1,0)+IF(R$4="",1,0)&gt;=1,1,0),IF(IF('卡片raw data'!E$1:E$1000=R$5,1,0)+IF(R$5="",1,0)&gt;=1,1,0))</f>
        <v>0</v>
      </c>
      <c r="Y1544" s="1307">
        <f t="shared" si="121"/>
        <v>23</v>
      </c>
      <c r="Z1544" s="1307">
        <f t="shared" si="122"/>
        <v>0</v>
      </c>
      <c r="AA1544" s="1307">
        <f t="shared" si="123"/>
        <v>23</v>
      </c>
      <c r="AB1544" s="1307">
        <f t="shared" si="124"/>
        <v>0</v>
      </c>
    </row>
    <row r="1545" spans="20:28">
      <c r="T1545" s="1077">
        <v>54</v>
      </c>
      <c r="U1545" s="1077">
        <f t="shared" si="120"/>
        <v>22</v>
      </c>
      <c r="V1545" s="1077">
        <v>24</v>
      </c>
      <c r="W1545" s="1077">
        <f t="array" ref="W1545">SUMPRODUCT(IF('卡片raw data'!BM$1:BM$1000=T1545,1,0),IF('卡片raw data'!BO$1:BO$1000=V1545,1,0),IF(IF('卡片raw data'!C$1:C$1000=R$3,1,0)+IF(R$3="",1,0)&gt;=1,1,0),IF(IF('卡片raw data'!D$1:D$1000=R$4,1,0)+IF(R$4="",1,0)&gt;=1,1,0),IF(IF('卡片raw data'!E$1:E$1000=R$5,1,0)+IF(R$5="",1,0)&gt;=1,1,0))</f>
        <v>0</v>
      </c>
      <c r="Y1545" s="1307">
        <f t="shared" si="121"/>
        <v>24</v>
      </c>
      <c r="Z1545" s="1307">
        <f t="shared" si="122"/>
        <v>0</v>
      </c>
      <c r="AA1545" s="1307">
        <f t="shared" si="123"/>
        <v>24</v>
      </c>
      <c r="AB1545" s="1307">
        <f t="shared" si="124"/>
        <v>0</v>
      </c>
    </row>
    <row r="1546" spans="20:28">
      <c r="T1546" s="1077">
        <v>54</v>
      </c>
      <c r="U1546" s="1077">
        <f t="shared" si="120"/>
        <v>21</v>
      </c>
      <c r="V1546" s="1077">
        <v>25</v>
      </c>
      <c r="W1546" s="1077">
        <f t="array" ref="W1546">SUMPRODUCT(IF('卡片raw data'!BM$1:BM$1000=T1546,1,0),IF('卡片raw data'!BO$1:BO$1000=V1546,1,0),IF(IF('卡片raw data'!C$1:C$1000=R$3,1,0)+IF(R$3="",1,0)&gt;=1,1,0),IF(IF('卡片raw data'!D$1:D$1000=R$4,1,0)+IF(R$4="",1,0)&gt;=1,1,0),IF(IF('卡片raw data'!E$1:E$1000=R$5,1,0)+IF(R$5="",1,0)&gt;=1,1,0))</f>
        <v>0</v>
      </c>
      <c r="Y1546" s="1307">
        <f t="shared" si="121"/>
        <v>25</v>
      </c>
      <c r="Z1546" s="1307">
        <f t="shared" si="122"/>
        <v>0</v>
      </c>
      <c r="AA1546" s="1307">
        <f t="shared" si="123"/>
        <v>25</v>
      </c>
      <c r="AB1546" s="1307">
        <f t="shared" si="124"/>
        <v>0</v>
      </c>
    </row>
    <row r="1547" spans="20:28">
      <c r="T1547" s="1077">
        <v>54</v>
      </c>
      <c r="U1547" s="1077">
        <f t="shared" si="120"/>
        <v>20</v>
      </c>
      <c r="V1547" s="1077">
        <v>26</v>
      </c>
      <c r="W1547" s="1077">
        <f t="array" ref="W1547">SUMPRODUCT(IF('卡片raw data'!BM$1:BM$1000=T1547,1,0),IF('卡片raw data'!BO$1:BO$1000=V1547,1,0),IF(IF('卡片raw data'!C$1:C$1000=R$3,1,0)+IF(R$3="",1,0)&gt;=1,1,0),IF(IF('卡片raw data'!D$1:D$1000=R$4,1,0)+IF(R$4="",1,0)&gt;=1,1,0),IF(IF('卡片raw data'!E$1:E$1000=R$5,1,0)+IF(R$5="",1,0)&gt;=1,1,0))</f>
        <v>0</v>
      </c>
      <c r="Y1547" s="1307">
        <f t="shared" si="121"/>
        <v>26</v>
      </c>
      <c r="Z1547" s="1307">
        <f t="shared" si="122"/>
        <v>0</v>
      </c>
      <c r="AA1547" s="1307">
        <f t="shared" si="123"/>
        <v>26</v>
      </c>
      <c r="AB1547" s="1307">
        <f t="shared" si="124"/>
        <v>0</v>
      </c>
    </row>
    <row r="1548" spans="20:28">
      <c r="T1548" s="1077">
        <v>54</v>
      </c>
      <c r="U1548" s="1077">
        <f t="shared" si="120"/>
        <v>19</v>
      </c>
      <c r="V1548" s="1077">
        <v>27</v>
      </c>
      <c r="W1548" s="1077">
        <f t="array" ref="W1548">SUMPRODUCT(IF('卡片raw data'!BM$1:BM$1000=T1548,1,0),IF('卡片raw data'!BO$1:BO$1000=V1548,1,0),IF(IF('卡片raw data'!C$1:C$1000=R$3,1,0)+IF(R$3="",1,0)&gt;=1,1,0),IF(IF('卡片raw data'!D$1:D$1000=R$4,1,0)+IF(R$4="",1,0)&gt;=1,1,0),IF(IF('卡片raw data'!E$1:E$1000=R$5,1,0)+IF(R$5="",1,0)&gt;=1,1,0))</f>
        <v>0</v>
      </c>
      <c r="Y1548" s="1307">
        <f t="shared" si="121"/>
        <v>27</v>
      </c>
      <c r="Z1548" s="1307">
        <f t="shared" si="122"/>
        <v>0</v>
      </c>
      <c r="AA1548" s="1307">
        <f t="shared" si="123"/>
        <v>27</v>
      </c>
      <c r="AB1548" s="1307">
        <f t="shared" si="124"/>
        <v>0</v>
      </c>
    </row>
    <row r="1549" spans="20:28">
      <c r="T1549" s="1077">
        <v>54</v>
      </c>
      <c r="U1549" s="1077">
        <f t="shared" si="120"/>
        <v>18</v>
      </c>
      <c r="V1549" s="1077">
        <v>28</v>
      </c>
      <c r="W1549" s="1077">
        <f t="array" ref="W1549">SUMPRODUCT(IF('卡片raw data'!BM$1:BM$1000=T1549,1,0),IF('卡片raw data'!BO$1:BO$1000=V1549,1,0),IF(IF('卡片raw data'!C$1:C$1000=R$3,1,0)+IF(R$3="",1,0)&gt;=1,1,0),IF(IF('卡片raw data'!D$1:D$1000=R$4,1,0)+IF(R$4="",1,0)&gt;=1,1,0),IF(IF('卡片raw data'!E$1:E$1000=R$5,1,0)+IF(R$5="",1,0)&gt;=1,1,0))</f>
        <v>0</v>
      </c>
      <c r="Y1549" s="1307">
        <f t="shared" si="121"/>
        <v>28</v>
      </c>
      <c r="Z1549" s="1307">
        <f t="shared" si="122"/>
        <v>0</v>
      </c>
      <c r="AA1549" s="1307">
        <f t="shared" si="123"/>
        <v>28</v>
      </c>
      <c r="AB1549" s="1307">
        <f t="shared" si="124"/>
        <v>0</v>
      </c>
    </row>
    <row r="1550" spans="20:28">
      <c r="T1550" s="1077">
        <v>54</v>
      </c>
      <c r="U1550" s="1077">
        <f t="shared" si="120"/>
        <v>17</v>
      </c>
      <c r="V1550" s="1077">
        <v>29</v>
      </c>
      <c r="W1550" s="1077">
        <f t="array" ref="W1550">SUMPRODUCT(IF('卡片raw data'!BM$1:BM$1000=T1550,1,0),IF('卡片raw data'!BO$1:BO$1000=V1550,1,0),IF(IF('卡片raw data'!C$1:C$1000=R$3,1,0)+IF(R$3="",1,0)&gt;=1,1,0),IF(IF('卡片raw data'!D$1:D$1000=R$4,1,0)+IF(R$4="",1,0)&gt;=1,1,0),IF(IF('卡片raw data'!E$1:E$1000=R$5,1,0)+IF(R$5="",1,0)&gt;=1,1,0))</f>
        <v>0</v>
      </c>
      <c r="Y1550" s="1307">
        <f t="shared" si="121"/>
        <v>29</v>
      </c>
      <c r="Z1550" s="1307">
        <f t="shared" si="122"/>
        <v>0</v>
      </c>
      <c r="AA1550" s="1307">
        <f t="shared" si="123"/>
        <v>29</v>
      </c>
      <c r="AB1550" s="1307">
        <f t="shared" si="124"/>
        <v>0</v>
      </c>
    </row>
    <row r="1551" spans="20:28">
      <c r="T1551" s="1077">
        <v>54</v>
      </c>
      <c r="U1551" s="1077">
        <f t="shared" si="120"/>
        <v>16</v>
      </c>
      <c r="V1551" s="1077">
        <v>30</v>
      </c>
      <c r="W1551" s="1077">
        <f t="array" ref="W1551">SUMPRODUCT(IF('卡片raw data'!BM$1:BM$1000=T1551,1,0),IF('卡片raw data'!BO$1:BO$1000=V1551,1,0),IF(IF('卡片raw data'!C$1:C$1000=R$3,1,0)+IF(R$3="",1,0)&gt;=1,1,0),IF(IF('卡片raw data'!D$1:D$1000=R$4,1,0)+IF(R$4="",1,0)&gt;=1,1,0),IF(IF('卡片raw data'!E$1:E$1000=R$5,1,0)+IF(R$5="",1,0)&gt;=1,1,0))</f>
        <v>0</v>
      </c>
      <c r="Y1551" s="1307">
        <f t="shared" si="121"/>
        <v>30</v>
      </c>
      <c r="Z1551" s="1307">
        <f t="shared" si="122"/>
        <v>0</v>
      </c>
      <c r="AA1551" s="1307">
        <f t="shared" si="123"/>
        <v>30</v>
      </c>
      <c r="AB1551" s="1307">
        <f t="shared" si="124"/>
        <v>0</v>
      </c>
    </row>
    <row r="1552" spans="20:28">
      <c r="T1552" s="1077">
        <v>54</v>
      </c>
      <c r="U1552" s="1077">
        <f t="shared" si="120"/>
        <v>15</v>
      </c>
      <c r="V1552" s="1077">
        <v>31</v>
      </c>
      <c r="W1552" s="1077">
        <f t="array" ref="W1552">SUMPRODUCT(IF('卡片raw data'!BM$1:BM$1000=T1552,1,0),IF('卡片raw data'!BO$1:BO$1000=V1552,1,0),IF(IF('卡片raw data'!C$1:C$1000=R$3,1,0)+IF(R$3="",1,0)&gt;=1,1,0),IF(IF('卡片raw data'!D$1:D$1000=R$4,1,0)+IF(R$4="",1,0)&gt;=1,1,0),IF(IF('卡片raw data'!E$1:E$1000=R$5,1,0)+IF(R$5="",1,0)&gt;=1,1,0))</f>
        <v>0</v>
      </c>
      <c r="Y1552" s="1307">
        <f t="shared" si="121"/>
        <v>31</v>
      </c>
      <c r="Z1552" s="1307">
        <f t="shared" si="122"/>
        <v>0</v>
      </c>
      <c r="AA1552" s="1307">
        <f t="shared" si="123"/>
        <v>31</v>
      </c>
      <c r="AB1552" s="1307">
        <f t="shared" si="124"/>
        <v>0</v>
      </c>
    </row>
    <row r="1553" spans="20:28">
      <c r="T1553" s="1077">
        <v>54</v>
      </c>
      <c r="U1553" s="1077">
        <f t="shared" si="120"/>
        <v>14</v>
      </c>
      <c r="V1553" s="1077">
        <v>32</v>
      </c>
      <c r="W1553" s="1077">
        <f t="array" ref="W1553">SUMPRODUCT(IF('卡片raw data'!BM$1:BM$1000=T1553,1,0),IF('卡片raw data'!BO$1:BO$1000=V1553,1,0),IF(IF('卡片raw data'!C$1:C$1000=R$3,1,0)+IF(R$3="",1,0)&gt;=1,1,0),IF(IF('卡片raw data'!D$1:D$1000=R$4,1,0)+IF(R$4="",1,0)&gt;=1,1,0),IF(IF('卡片raw data'!E$1:E$1000=R$5,1,0)+IF(R$5="",1,0)&gt;=1,1,0))</f>
        <v>0</v>
      </c>
      <c r="Y1553" s="1307">
        <f t="shared" si="121"/>
        <v>32</v>
      </c>
      <c r="Z1553" s="1307">
        <f t="shared" si="122"/>
        <v>0</v>
      </c>
      <c r="AA1553" s="1307">
        <f t="shared" si="123"/>
        <v>32</v>
      </c>
      <c r="AB1553" s="1307">
        <f t="shared" si="124"/>
        <v>0</v>
      </c>
    </row>
    <row r="1554" spans="20:28">
      <c r="T1554" s="1077">
        <v>54</v>
      </c>
      <c r="U1554" s="1077">
        <f t="shared" si="120"/>
        <v>13</v>
      </c>
      <c r="V1554" s="1077">
        <v>33</v>
      </c>
      <c r="W1554" s="1077">
        <f t="array" ref="W1554">SUMPRODUCT(IF('卡片raw data'!BM$1:BM$1000=T1554,1,0),IF('卡片raw data'!BO$1:BO$1000=V1554,1,0),IF(IF('卡片raw data'!C$1:C$1000=R$3,1,0)+IF(R$3="",1,0)&gt;=1,1,0),IF(IF('卡片raw data'!D$1:D$1000=R$4,1,0)+IF(R$4="",1,0)&gt;=1,1,0),IF(IF('卡片raw data'!E$1:E$1000=R$5,1,0)+IF(R$5="",1,0)&gt;=1,1,0))</f>
        <v>0</v>
      </c>
      <c r="Y1554" s="1307">
        <f t="shared" si="121"/>
        <v>33</v>
      </c>
      <c r="Z1554" s="1307">
        <f t="shared" si="122"/>
        <v>0</v>
      </c>
      <c r="AA1554" s="1307">
        <f t="shared" si="123"/>
        <v>33</v>
      </c>
      <c r="AB1554" s="1307">
        <f t="shared" si="124"/>
        <v>0</v>
      </c>
    </row>
    <row r="1555" spans="20:28">
      <c r="T1555" s="1077">
        <v>54</v>
      </c>
      <c r="U1555" s="1077">
        <f t="shared" si="120"/>
        <v>12</v>
      </c>
      <c r="V1555" s="1077">
        <v>34</v>
      </c>
      <c r="W1555" s="1077">
        <f t="array" ref="W1555">SUMPRODUCT(IF('卡片raw data'!BM$1:BM$1000=T1555,1,0),IF('卡片raw data'!BO$1:BO$1000=V1555,1,0),IF(IF('卡片raw data'!C$1:C$1000=R$3,1,0)+IF(R$3="",1,0)&gt;=1,1,0),IF(IF('卡片raw data'!D$1:D$1000=R$4,1,0)+IF(R$4="",1,0)&gt;=1,1,0),IF(IF('卡片raw data'!E$1:E$1000=R$5,1,0)+IF(R$5="",1,0)&gt;=1,1,0))</f>
        <v>0</v>
      </c>
      <c r="Y1555" s="1307">
        <f t="shared" si="121"/>
        <v>34</v>
      </c>
      <c r="Z1555" s="1307">
        <f t="shared" si="122"/>
        <v>0</v>
      </c>
      <c r="AA1555" s="1307">
        <f t="shared" si="123"/>
        <v>34</v>
      </c>
      <c r="AB1555" s="1307">
        <f t="shared" si="124"/>
        <v>0</v>
      </c>
    </row>
    <row r="1556" spans="20:28">
      <c r="T1556" s="1077">
        <v>54</v>
      </c>
      <c r="U1556" s="1077">
        <f t="shared" si="120"/>
        <v>11</v>
      </c>
      <c r="V1556" s="1077">
        <v>35</v>
      </c>
      <c r="W1556" s="1077">
        <f t="array" ref="W1556">SUMPRODUCT(IF('卡片raw data'!BM$1:BM$1000=T1556,1,0),IF('卡片raw data'!BO$1:BO$1000=V1556,1,0),IF(IF('卡片raw data'!C$1:C$1000=R$3,1,0)+IF(R$3="",1,0)&gt;=1,1,0),IF(IF('卡片raw data'!D$1:D$1000=R$4,1,0)+IF(R$4="",1,0)&gt;=1,1,0),IF(IF('卡片raw data'!E$1:E$1000=R$5,1,0)+IF(R$5="",1,0)&gt;=1,1,0))</f>
        <v>0</v>
      </c>
      <c r="Y1556" s="1307">
        <f t="shared" si="121"/>
        <v>35</v>
      </c>
      <c r="Z1556" s="1307">
        <f t="shared" si="122"/>
        <v>0</v>
      </c>
      <c r="AA1556" s="1307">
        <f t="shared" si="123"/>
        <v>35</v>
      </c>
      <c r="AB1556" s="1307">
        <f t="shared" si="124"/>
        <v>0</v>
      </c>
    </row>
    <row r="1557" spans="20:28">
      <c r="T1557" s="1077">
        <v>54</v>
      </c>
      <c r="U1557" s="1077">
        <f t="shared" si="120"/>
        <v>10</v>
      </c>
      <c r="V1557" s="1077">
        <v>36</v>
      </c>
      <c r="W1557" s="1077">
        <f t="array" ref="W1557">SUMPRODUCT(IF('卡片raw data'!BM$1:BM$1000=T1557,1,0),IF('卡片raw data'!BO$1:BO$1000=V1557,1,0),IF(IF('卡片raw data'!C$1:C$1000=R$3,1,0)+IF(R$3="",1,0)&gt;=1,1,0),IF(IF('卡片raw data'!D$1:D$1000=R$4,1,0)+IF(R$4="",1,0)&gt;=1,1,0),IF(IF('卡片raw data'!E$1:E$1000=R$5,1,0)+IF(R$5="",1,0)&gt;=1,1,0))</f>
        <v>0</v>
      </c>
      <c r="Y1557" s="1307">
        <f t="shared" si="121"/>
        <v>36</v>
      </c>
      <c r="Z1557" s="1307">
        <f t="shared" si="122"/>
        <v>0</v>
      </c>
      <c r="AA1557" s="1307">
        <f t="shared" si="123"/>
        <v>36</v>
      </c>
      <c r="AB1557" s="1307">
        <f t="shared" si="124"/>
        <v>0</v>
      </c>
    </row>
    <row r="1558" spans="20:28">
      <c r="T1558" s="1077">
        <v>55</v>
      </c>
      <c r="U1558" s="1077">
        <f t="shared" si="120"/>
        <v>35</v>
      </c>
      <c r="V1558" s="1077">
        <v>10</v>
      </c>
      <c r="W1558" s="1077">
        <f t="array" ref="W1558">SUMPRODUCT(IF('卡片raw data'!BM$1:BM$1000=T1558,1,0),IF('卡片raw data'!BO$1:BO$1000=V1558,1,0),IF(IF('卡片raw data'!C$1:C$1000=R$3,1,0)+IF(R$3="",1,0)&gt;=1,1,0),IF(IF('卡片raw data'!D$1:D$1000=R$4,1,0)+IF(R$4="",1,0)&gt;=1,1,0),IF(IF('卡片raw data'!E$1:E$1000=R$5,1,0)+IF(R$5="",1,0)&gt;=1,1,0))</f>
        <v>0</v>
      </c>
      <c r="Y1558" s="1307">
        <f t="shared" si="121"/>
        <v>10</v>
      </c>
      <c r="Z1558" s="1307">
        <f t="shared" si="122"/>
        <v>0</v>
      </c>
      <c r="AA1558" s="1307">
        <f t="shared" si="123"/>
        <v>10</v>
      </c>
      <c r="AB1558" s="1307">
        <f t="shared" si="124"/>
        <v>0</v>
      </c>
    </row>
    <row r="1559" spans="20:28">
      <c r="T1559" s="1077">
        <v>55</v>
      </c>
      <c r="U1559" s="1077">
        <f t="shared" si="120"/>
        <v>34</v>
      </c>
      <c r="V1559" s="1077">
        <v>11</v>
      </c>
      <c r="W1559" s="1077">
        <f t="array" ref="W1559">SUMPRODUCT(IF('卡片raw data'!BM$1:BM$1000=T1559,1,0),IF('卡片raw data'!BO$1:BO$1000=V1559,1,0),IF(IF('卡片raw data'!C$1:C$1000=R$3,1,0)+IF(R$3="",1,0)&gt;=1,1,0),IF(IF('卡片raw data'!D$1:D$1000=R$4,1,0)+IF(R$4="",1,0)&gt;=1,1,0),IF(IF('卡片raw data'!E$1:E$1000=R$5,1,0)+IF(R$5="",1,0)&gt;=1,1,0))</f>
        <v>0</v>
      </c>
      <c r="Y1559" s="1307">
        <f t="shared" si="121"/>
        <v>11</v>
      </c>
      <c r="Z1559" s="1307">
        <f t="shared" si="122"/>
        <v>0</v>
      </c>
      <c r="AA1559" s="1307">
        <f t="shared" si="123"/>
        <v>11</v>
      </c>
      <c r="AB1559" s="1307">
        <f t="shared" si="124"/>
        <v>0</v>
      </c>
    </row>
    <row r="1560" spans="20:28">
      <c r="T1560" s="1077">
        <v>55</v>
      </c>
      <c r="U1560" s="1077">
        <f t="shared" si="120"/>
        <v>33</v>
      </c>
      <c r="V1560" s="1077">
        <v>12</v>
      </c>
      <c r="W1560" s="1077">
        <f t="array" ref="W1560">SUMPRODUCT(IF('卡片raw data'!BM$1:BM$1000=T1560,1,0),IF('卡片raw data'!BO$1:BO$1000=V1560,1,0),IF(IF('卡片raw data'!C$1:C$1000=R$3,1,0)+IF(R$3="",1,0)&gt;=1,1,0),IF(IF('卡片raw data'!D$1:D$1000=R$4,1,0)+IF(R$4="",1,0)&gt;=1,1,0),IF(IF('卡片raw data'!E$1:E$1000=R$5,1,0)+IF(R$5="",1,0)&gt;=1,1,0))</f>
        <v>0</v>
      </c>
      <c r="Y1560" s="1307">
        <f t="shared" si="121"/>
        <v>12</v>
      </c>
      <c r="Z1560" s="1307">
        <f t="shared" si="122"/>
        <v>0</v>
      </c>
      <c r="AA1560" s="1307">
        <f t="shared" si="123"/>
        <v>12</v>
      </c>
      <c r="AB1560" s="1307">
        <f t="shared" si="124"/>
        <v>0</v>
      </c>
    </row>
    <row r="1561" spans="20:28">
      <c r="T1561" s="1077">
        <v>55</v>
      </c>
      <c r="U1561" s="1077">
        <f t="shared" si="120"/>
        <v>32</v>
      </c>
      <c r="V1561" s="1077">
        <v>13</v>
      </c>
      <c r="W1561" s="1077">
        <f t="array" ref="W1561">SUMPRODUCT(IF('卡片raw data'!BM$1:BM$1000=T1561,1,0),IF('卡片raw data'!BO$1:BO$1000=V1561,1,0),IF(IF('卡片raw data'!C$1:C$1000=R$3,1,0)+IF(R$3="",1,0)&gt;=1,1,0),IF(IF('卡片raw data'!D$1:D$1000=R$4,1,0)+IF(R$4="",1,0)&gt;=1,1,0),IF(IF('卡片raw data'!E$1:E$1000=R$5,1,0)+IF(R$5="",1,0)&gt;=1,1,0))</f>
        <v>0</v>
      </c>
      <c r="Y1561" s="1307">
        <f t="shared" si="121"/>
        <v>13</v>
      </c>
      <c r="Z1561" s="1307">
        <f t="shared" si="122"/>
        <v>0</v>
      </c>
      <c r="AA1561" s="1307">
        <f t="shared" si="123"/>
        <v>13</v>
      </c>
      <c r="AB1561" s="1307">
        <f t="shared" si="124"/>
        <v>0</v>
      </c>
    </row>
    <row r="1562" spans="20:28">
      <c r="T1562" s="1077">
        <v>55</v>
      </c>
      <c r="U1562" s="1077">
        <f t="shared" si="120"/>
        <v>31</v>
      </c>
      <c r="V1562" s="1077">
        <v>14</v>
      </c>
      <c r="W1562" s="1077">
        <f t="array" ref="W1562">SUMPRODUCT(IF('卡片raw data'!BM$1:BM$1000=T1562,1,0),IF('卡片raw data'!BO$1:BO$1000=V1562,1,0),IF(IF('卡片raw data'!C$1:C$1000=R$3,1,0)+IF(R$3="",1,0)&gt;=1,1,0),IF(IF('卡片raw data'!D$1:D$1000=R$4,1,0)+IF(R$4="",1,0)&gt;=1,1,0),IF(IF('卡片raw data'!E$1:E$1000=R$5,1,0)+IF(R$5="",1,0)&gt;=1,1,0))</f>
        <v>0</v>
      </c>
      <c r="Y1562" s="1307">
        <f t="shared" si="121"/>
        <v>14</v>
      </c>
      <c r="Z1562" s="1307">
        <f t="shared" si="122"/>
        <v>0</v>
      </c>
      <c r="AA1562" s="1307">
        <f t="shared" si="123"/>
        <v>14</v>
      </c>
      <c r="AB1562" s="1307">
        <f t="shared" si="124"/>
        <v>0</v>
      </c>
    </row>
    <row r="1563" spans="20:28">
      <c r="T1563" s="1077">
        <v>55</v>
      </c>
      <c r="U1563" s="1077">
        <f t="shared" si="120"/>
        <v>30</v>
      </c>
      <c r="V1563" s="1077">
        <v>15</v>
      </c>
      <c r="W1563" s="1077">
        <f t="array" ref="W1563">SUMPRODUCT(IF('卡片raw data'!BM$1:BM$1000=T1563,1,0),IF('卡片raw data'!BO$1:BO$1000=V1563,1,0),IF(IF('卡片raw data'!C$1:C$1000=R$3,1,0)+IF(R$3="",1,0)&gt;=1,1,0),IF(IF('卡片raw data'!D$1:D$1000=R$4,1,0)+IF(R$4="",1,0)&gt;=1,1,0),IF(IF('卡片raw data'!E$1:E$1000=R$5,1,0)+IF(R$5="",1,0)&gt;=1,1,0))</f>
        <v>0</v>
      </c>
      <c r="Y1563" s="1307">
        <f t="shared" si="121"/>
        <v>15</v>
      </c>
      <c r="Z1563" s="1307">
        <f t="shared" si="122"/>
        <v>0</v>
      </c>
      <c r="AA1563" s="1307">
        <f t="shared" si="123"/>
        <v>15</v>
      </c>
      <c r="AB1563" s="1307">
        <f t="shared" si="124"/>
        <v>0</v>
      </c>
    </row>
    <row r="1564" spans="20:28">
      <c r="T1564" s="1077">
        <v>55</v>
      </c>
      <c r="U1564" s="1077">
        <f t="shared" si="120"/>
        <v>29</v>
      </c>
      <c r="V1564" s="1077">
        <v>16</v>
      </c>
      <c r="W1564" s="1077">
        <f t="array" ref="W1564">SUMPRODUCT(IF('卡片raw data'!BM$1:BM$1000=T1564,1,0),IF('卡片raw data'!BO$1:BO$1000=V1564,1,0),IF(IF('卡片raw data'!C$1:C$1000=R$3,1,0)+IF(R$3="",1,0)&gt;=1,1,0),IF(IF('卡片raw data'!D$1:D$1000=R$4,1,0)+IF(R$4="",1,0)&gt;=1,1,0),IF(IF('卡片raw data'!E$1:E$1000=R$5,1,0)+IF(R$5="",1,0)&gt;=1,1,0))</f>
        <v>0</v>
      </c>
      <c r="Y1564" s="1307">
        <f t="shared" si="121"/>
        <v>16</v>
      </c>
      <c r="Z1564" s="1307">
        <f t="shared" si="122"/>
        <v>0</v>
      </c>
      <c r="AA1564" s="1307">
        <f t="shared" si="123"/>
        <v>16</v>
      </c>
      <c r="AB1564" s="1307">
        <f t="shared" si="124"/>
        <v>0</v>
      </c>
    </row>
    <row r="1565" spans="20:28">
      <c r="T1565" s="1077">
        <v>55</v>
      </c>
      <c r="U1565" s="1077">
        <f t="shared" si="120"/>
        <v>28</v>
      </c>
      <c r="V1565" s="1077">
        <v>17</v>
      </c>
      <c r="W1565" s="1077">
        <f t="array" ref="W1565">SUMPRODUCT(IF('卡片raw data'!BM$1:BM$1000=T1565,1,0),IF('卡片raw data'!BO$1:BO$1000=V1565,1,0),IF(IF('卡片raw data'!C$1:C$1000=R$3,1,0)+IF(R$3="",1,0)&gt;=1,1,0),IF(IF('卡片raw data'!D$1:D$1000=R$4,1,0)+IF(R$4="",1,0)&gt;=1,1,0),IF(IF('卡片raw data'!E$1:E$1000=R$5,1,0)+IF(R$5="",1,0)&gt;=1,1,0))</f>
        <v>0</v>
      </c>
      <c r="Y1565" s="1307">
        <f t="shared" si="121"/>
        <v>17</v>
      </c>
      <c r="Z1565" s="1307">
        <f t="shared" si="122"/>
        <v>0</v>
      </c>
      <c r="AA1565" s="1307">
        <f t="shared" si="123"/>
        <v>17</v>
      </c>
      <c r="AB1565" s="1307">
        <f t="shared" si="124"/>
        <v>0</v>
      </c>
    </row>
    <row r="1566" spans="20:28">
      <c r="T1566" s="1077">
        <v>55</v>
      </c>
      <c r="U1566" s="1077">
        <f t="shared" si="120"/>
        <v>27</v>
      </c>
      <c r="V1566" s="1077">
        <v>18</v>
      </c>
      <c r="W1566" s="1077">
        <f t="array" ref="W1566">SUMPRODUCT(IF('卡片raw data'!BM$1:BM$1000=T1566,1,0),IF('卡片raw data'!BO$1:BO$1000=V1566,1,0),IF(IF('卡片raw data'!C$1:C$1000=R$3,1,0)+IF(R$3="",1,0)&gt;=1,1,0),IF(IF('卡片raw data'!D$1:D$1000=R$4,1,0)+IF(R$4="",1,0)&gt;=1,1,0),IF(IF('卡片raw data'!E$1:E$1000=R$5,1,0)+IF(R$5="",1,0)&gt;=1,1,0))</f>
        <v>0</v>
      </c>
      <c r="Y1566" s="1307">
        <f t="shared" si="121"/>
        <v>18</v>
      </c>
      <c r="Z1566" s="1307">
        <f t="shared" si="122"/>
        <v>0</v>
      </c>
      <c r="AA1566" s="1307">
        <f t="shared" si="123"/>
        <v>18</v>
      </c>
      <c r="AB1566" s="1307">
        <f t="shared" si="124"/>
        <v>0</v>
      </c>
    </row>
    <row r="1567" spans="20:28">
      <c r="T1567" s="1077">
        <v>55</v>
      </c>
      <c r="U1567" s="1077">
        <f t="shared" si="120"/>
        <v>26</v>
      </c>
      <c r="V1567" s="1077">
        <v>19</v>
      </c>
      <c r="W1567" s="1077">
        <f t="array" ref="W1567">SUMPRODUCT(IF('卡片raw data'!BM$1:BM$1000=T1567,1,0),IF('卡片raw data'!BO$1:BO$1000=V1567,1,0),IF(IF('卡片raw data'!C$1:C$1000=R$3,1,0)+IF(R$3="",1,0)&gt;=1,1,0),IF(IF('卡片raw data'!D$1:D$1000=R$4,1,0)+IF(R$4="",1,0)&gt;=1,1,0),IF(IF('卡片raw data'!E$1:E$1000=R$5,1,0)+IF(R$5="",1,0)&gt;=1,1,0))</f>
        <v>0</v>
      </c>
      <c r="Y1567" s="1307">
        <f t="shared" si="121"/>
        <v>19</v>
      </c>
      <c r="Z1567" s="1307">
        <f t="shared" si="122"/>
        <v>0</v>
      </c>
      <c r="AA1567" s="1307">
        <f t="shared" si="123"/>
        <v>19</v>
      </c>
      <c r="AB1567" s="1307">
        <f t="shared" si="124"/>
        <v>0</v>
      </c>
    </row>
    <row r="1568" spans="20:28">
      <c r="T1568" s="1077">
        <v>55</v>
      </c>
      <c r="U1568" s="1077">
        <f t="shared" si="120"/>
        <v>25</v>
      </c>
      <c r="V1568" s="1077">
        <v>20</v>
      </c>
      <c r="W1568" s="1077">
        <f t="array" ref="W1568">SUMPRODUCT(IF('卡片raw data'!BM$1:BM$1000=T1568,1,0),IF('卡片raw data'!BO$1:BO$1000=V1568,1,0),IF(IF('卡片raw data'!C$1:C$1000=R$3,1,0)+IF(R$3="",1,0)&gt;=1,1,0),IF(IF('卡片raw data'!D$1:D$1000=R$4,1,0)+IF(R$4="",1,0)&gt;=1,1,0),IF(IF('卡片raw data'!E$1:E$1000=R$5,1,0)+IF(R$5="",1,0)&gt;=1,1,0))</f>
        <v>0</v>
      </c>
      <c r="Y1568" s="1307">
        <f t="shared" si="121"/>
        <v>20</v>
      </c>
      <c r="Z1568" s="1307">
        <f t="shared" si="122"/>
        <v>0</v>
      </c>
      <c r="AA1568" s="1307">
        <f t="shared" si="123"/>
        <v>20</v>
      </c>
      <c r="AB1568" s="1307">
        <f t="shared" si="124"/>
        <v>0</v>
      </c>
    </row>
    <row r="1569" spans="20:28">
      <c r="T1569" s="1077">
        <v>55</v>
      </c>
      <c r="U1569" s="1077">
        <f t="shared" si="120"/>
        <v>24</v>
      </c>
      <c r="V1569" s="1077">
        <v>21</v>
      </c>
      <c r="W1569" s="1077">
        <f t="array" ref="W1569">SUMPRODUCT(IF('卡片raw data'!BM$1:BM$1000=T1569,1,0),IF('卡片raw data'!BO$1:BO$1000=V1569,1,0),IF(IF('卡片raw data'!C$1:C$1000=R$3,1,0)+IF(R$3="",1,0)&gt;=1,1,0),IF(IF('卡片raw data'!D$1:D$1000=R$4,1,0)+IF(R$4="",1,0)&gt;=1,1,0),IF(IF('卡片raw data'!E$1:E$1000=R$5,1,0)+IF(R$5="",1,0)&gt;=1,1,0))</f>
        <v>0</v>
      </c>
      <c r="Y1569" s="1307">
        <f t="shared" si="121"/>
        <v>21</v>
      </c>
      <c r="Z1569" s="1307">
        <f t="shared" si="122"/>
        <v>0</v>
      </c>
      <c r="AA1569" s="1307">
        <f t="shared" si="123"/>
        <v>21</v>
      </c>
      <c r="AB1569" s="1307">
        <f t="shared" si="124"/>
        <v>0</v>
      </c>
    </row>
    <row r="1570" spans="20:28">
      <c r="T1570" s="1077">
        <v>55</v>
      </c>
      <c r="U1570" s="1077">
        <f t="shared" si="120"/>
        <v>23</v>
      </c>
      <c r="V1570" s="1077">
        <v>22</v>
      </c>
      <c r="W1570" s="1077">
        <f t="array" ref="W1570">SUMPRODUCT(IF('卡片raw data'!BM$1:BM$1000=T1570,1,0),IF('卡片raw data'!BO$1:BO$1000=V1570,1,0),IF(IF('卡片raw data'!C$1:C$1000=R$3,1,0)+IF(R$3="",1,0)&gt;=1,1,0),IF(IF('卡片raw data'!D$1:D$1000=R$4,1,0)+IF(R$4="",1,0)&gt;=1,1,0),IF(IF('卡片raw data'!E$1:E$1000=R$5,1,0)+IF(R$5="",1,0)&gt;=1,1,0))</f>
        <v>0</v>
      </c>
      <c r="Y1570" s="1307">
        <f t="shared" si="121"/>
        <v>22</v>
      </c>
      <c r="Z1570" s="1307">
        <f t="shared" si="122"/>
        <v>0</v>
      </c>
      <c r="AA1570" s="1307">
        <f t="shared" si="123"/>
        <v>22</v>
      </c>
      <c r="AB1570" s="1307">
        <f t="shared" si="124"/>
        <v>0</v>
      </c>
    </row>
    <row r="1571" spans="20:28">
      <c r="T1571" s="1077">
        <v>55</v>
      </c>
      <c r="U1571" s="1077">
        <f t="shared" si="120"/>
        <v>22</v>
      </c>
      <c r="V1571" s="1077">
        <v>23</v>
      </c>
      <c r="W1571" s="1077">
        <f t="array" ref="W1571">SUMPRODUCT(IF('卡片raw data'!BM$1:BM$1000=T1571,1,0),IF('卡片raw data'!BO$1:BO$1000=V1571,1,0),IF(IF('卡片raw data'!C$1:C$1000=R$3,1,0)+IF(R$3="",1,0)&gt;=1,1,0),IF(IF('卡片raw data'!D$1:D$1000=R$4,1,0)+IF(R$4="",1,0)&gt;=1,1,0),IF(IF('卡片raw data'!E$1:E$1000=R$5,1,0)+IF(R$5="",1,0)&gt;=1,1,0))</f>
        <v>0</v>
      </c>
      <c r="Y1571" s="1307">
        <f t="shared" si="121"/>
        <v>23</v>
      </c>
      <c r="Z1571" s="1307">
        <f t="shared" si="122"/>
        <v>0</v>
      </c>
      <c r="AA1571" s="1307">
        <f t="shared" si="123"/>
        <v>23</v>
      </c>
      <c r="AB1571" s="1307">
        <f t="shared" si="124"/>
        <v>0</v>
      </c>
    </row>
    <row r="1572" spans="20:28">
      <c r="T1572" s="1077">
        <v>55</v>
      </c>
      <c r="U1572" s="1077">
        <f t="shared" si="120"/>
        <v>21</v>
      </c>
      <c r="V1572" s="1077">
        <v>24</v>
      </c>
      <c r="W1572" s="1077">
        <f t="array" ref="W1572">SUMPRODUCT(IF('卡片raw data'!BM$1:BM$1000=T1572,1,0),IF('卡片raw data'!BO$1:BO$1000=V1572,1,0),IF(IF('卡片raw data'!C$1:C$1000=R$3,1,0)+IF(R$3="",1,0)&gt;=1,1,0),IF(IF('卡片raw data'!D$1:D$1000=R$4,1,0)+IF(R$4="",1,0)&gt;=1,1,0),IF(IF('卡片raw data'!E$1:E$1000=R$5,1,0)+IF(R$5="",1,0)&gt;=1,1,0))</f>
        <v>0</v>
      </c>
      <c r="Y1572" s="1307">
        <f t="shared" si="121"/>
        <v>24</v>
      </c>
      <c r="Z1572" s="1307">
        <f t="shared" si="122"/>
        <v>0</v>
      </c>
      <c r="AA1572" s="1307">
        <f t="shared" si="123"/>
        <v>24</v>
      </c>
      <c r="AB1572" s="1307">
        <f t="shared" si="124"/>
        <v>0</v>
      </c>
    </row>
    <row r="1573" spans="20:28">
      <c r="T1573" s="1077">
        <v>55</v>
      </c>
      <c r="U1573" s="1077">
        <f t="shared" si="120"/>
        <v>20</v>
      </c>
      <c r="V1573" s="1077">
        <v>25</v>
      </c>
      <c r="W1573" s="1077">
        <f t="array" ref="W1573">SUMPRODUCT(IF('卡片raw data'!BM$1:BM$1000=T1573,1,0),IF('卡片raw data'!BO$1:BO$1000=V1573,1,0),IF(IF('卡片raw data'!C$1:C$1000=R$3,1,0)+IF(R$3="",1,0)&gt;=1,1,0),IF(IF('卡片raw data'!D$1:D$1000=R$4,1,0)+IF(R$4="",1,0)&gt;=1,1,0),IF(IF('卡片raw data'!E$1:E$1000=R$5,1,0)+IF(R$5="",1,0)&gt;=1,1,0))</f>
        <v>0</v>
      </c>
      <c r="Y1573" s="1307">
        <f t="shared" si="121"/>
        <v>25</v>
      </c>
      <c r="Z1573" s="1307">
        <f t="shared" si="122"/>
        <v>0</v>
      </c>
      <c r="AA1573" s="1307">
        <f t="shared" si="123"/>
        <v>25</v>
      </c>
      <c r="AB1573" s="1307">
        <f t="shared" si="124"/>
        <v>0</v>
      </c>
    </row>
    <row r="1574" spans="20:28">
      <c r="T1574" s="1077">
        <v>55</v>
      </c>
      <c r="U1574" s="1077">
        <f t="shared" si="120"/>
        <v>19</v>
      </c>
      <c r="V1574" s="1077">
        <v>26</v>
      </c>
      <c r="W1574" s="1077">
        <f t="array" ref="W1574">SUMPRODUCT(IF('卡片raw data'!BM$1:BM$1000=T1574,1,0),IF('卡片raw data'!BO$1:BO$1000=V1574,1,0),IF(IF('卡片raw data'!C$1:C$1000=R$3,1,0)+IF(R$3="",1,0)&gt;=1,1,0),IF(IF('卡片raw data'!D$1:D$1000=R$4,1,0)+IF(R$4="",1,0)&gt;=1,1,0),IF(IF('卡片raw data'!E$1:E$1000=R$5,1,0)+IF(R$5="",1,0)&gt;=1,1,0))</f>
        <v>0</v>
      </c>
      <c r="Y1574" s="1307">
        <f t="shared" si="121"/>
        <v>26</v>
      </c>
      <c r="Z1574" s="1307">
        <f t="shared" si="122"/>
        <v>0</v>
      </c>
      <c r="AA1574" s="1307">
        <f t="shared" si="123"/>
        <v>26</v>
      </c>
      <c r="AB1574" s="1307">
        <f t="shared" si="124"/>
        <v>0</v>
      </c>
    </row>
    <row r="1575" spans="20:28">
      <c r="T1575" s="1077">
        <v>55</v>
      </c>
      <c r="U1575" s="1077">
        <f t="shared" si="120"/>
        <v>18</v>
      </c>
      <c r="V1575" s="1077">
        <v>27</v>
      </c>
      <c r="W1575" s="1077">
        <f t="array" ref="W1575">SUMPRODUCT(IF('卡片raw data'!BM$1:BM$1000=T1575,1,0),IF('卡片raw data'!BO$1:BO$1000=V1575,1,0),IF(IF('卡片raw data'!C$1:C$1000=R$3,1,0)+IF(R$3="",1,0)&gt;=1,1,0),IF(IF('卡片raw data'!D$1:D$1000=R$4,1,0)+IF(R$4="",1,0)&gt;=1,1,0),IF(IF('卡片raw data'!E$1:E$1000=R$5,1,0)+IF(R$5="",1,0)&gt;=1,1,0))</f>
        <v>0</v>
      </c>
      <c r="Y1575" s="1307">
        <f t="shared" si="121"/>
        <v>27</v>
      </c>
      <c r="Z1575" s="1307">
        <f t="shared" si="122"/>
        <v>0</v>
      </c>
      <c r="AA1575" s="1307">
        <f t="shared" si="123"/>
        <v>27</v>
      </c>
      <c r="AB1575" s="1307">
        <f t="shared" si="124"/>
        <v>0</v>
      </c>
    </row>
    <row r="1576" spans="20:28">
      <c r="T1576" s="1077">
        <v>55</v>
      </c>
      <c r="U1576" s="1077">
        <f t="shared" si="120"/>
        <v>17</v>
      </c>
      <c r="V1576" s="1077">
        <v>28</v>
      </c>
      <c r="W1576" s="1077">
        <f t="array" ref="W1576">SUMPRODUCT(IF('卡片raw data'!BM$1:BM$1000=T1576,1,0),IF('卡片raw data'!BO$1:BO$1000=V1576,1,0),IF(IF('卡片raw data'!C$1:C$1000=R$3,1,0)+IF(R$3="",1,0)&gt;=1,1,0),IF(IF('卡片raw data'!D$1:D$1000=R$4,1,0)+IF(R$4="",1,0)&gt;=1,1,0),IF(IF('卡片raw data'!E$1:E$1000=R$5,1,0)+IF(R$5="",1,0)&gt;=1,1,0))</f>
        <v>0</v>
      </c>
      <c r="Y1576" s="1307">
        <f t="shared" si="121"/>
        <v>28</v>
      </c>
      <c r="Z1576" s="1307">
        <f t="shared" si="122"/>
        <v>0</v>
      </c>
      <c r="AA1576" s="1307">
        <f t="shared" si="123"/>
        <v>28</v>
      </c>
      <c r="AB1576" s="1307">
        <f t="shared" si="124"/>
        <v>0</v>
      </c>
    </row>
    <row r="1577" spans="20:28">
      <c r="T1577" s="1077">
        <v>55</v>
      </c>
      <c r="U1577" s="1077">
        <f t="shared" si="120"/>
        <v>16</v>
      </c>
      <c r="V1577" s="1077">
        <v>29</v>
      </c>
      <c r="W1577" s="1077">
        <f t="array" ref="W1577">SUMPRODUCT(IF('卡片raw data'!BM$1:BM$1000=T1577,1,0),IF('卡片raw data'!BO$1:BO$1000=V1577,1,0),IF(IF('卡片raw data'!C$1:C$1000=R$3,1,0)+IF(R$3="",1,0)&gt;=1,1,0),IF(IF('卡片raw data'!D$1:D$1000=R$4,1,0)+IF(R$4="",1,0)&gt;=1,1,0),IF(IF('卡片raw data'!E$1:E$1000=R$5,1,0)+IF(R$5="",1,0)&gt;=1,1,0))</f>
        <v>0</v>
      </c>
      <c r="Y1577" s="1307">
        <f t="shared" si="121"/>
        <v>29</v>
      </c>
      <c r="Z1577" s="1307">
        <f t="shared" si="122"/>
        <v>0</v>
      </c>
      <c r="AA1577" s="1307">
        <f t="shared" si="123"/>
        <v>29</v>
      </c>
      <c r="AB1577" s="1307">
        <f t="shared" si="124"/>
        <v>0</v>
      </c>
    </row>
    <row r="1578" spans="20:28">
      <c r="T1578" s="1077">
        <v>55</v>
      </c>
      <c r="U1578" s="1077">
        <f t="shared" si="120"/>
        <v>15</v>
      </c>
      <c r="V1578" s="1077">
        <v>30</v>
      </c>
      <c r="W1578" s="1077">
        <f t="array" ref="W1578">SUMPRODUCT(IF('卡片raw data'!BM$1:BM$1000=T1578,1,0),IF('卡片raw data'!BO$1:BO$1000=V1578,1,0),IF(IF('卡片raw data'!C$1:C$1000=R$3,1,0)+IF(R$3="",1,0)&gt;=1,1,0),IF(IF('卡片raw data'!D$1:D$1000=R$4,1,0)+IF(R$4="",1,0)&gt;=1,1,0),IF(IF('卡片raw data'!E$1:E$1000=R$5,1,0)+IF(R$5="",1,0)&gt;=1,1,0))</f>
        <v>0</v>
      </c>
      <c r="Y1578" s="1307">
        <f t="shared" si="121"/>
        <v>30</v>
      </c>
      <c r="Z1578" s="1307">
        <f t="shared" si="122"/>
        <v>0</v>
      </c>
      <c r="AA1578" s="1307">
        <f t="shared" si="123"/>
        <v>30</v>
      </c>
      <c r="AB1578" s="1307">
        <f t="shared" si="124"/>
        <v>0</v>
      </c>
    </row>
    <row r="1579" spans="20:28">
      <c r="T1579" s="1077">
        <v>55</v>
      </c>
      <c r="U1579" s="1077">
        <f t="shared" si="120"/>
        <v>14</v>
      </c>
      <c r="V1579" s="1077">
        <v>31</v>
      </c>
      <c r="W1579" s="1077">
        <f t="array" ref="W1579">SUMPRODUCT(IF('卡片raw data'!BM$1:BM$1000=T1579,1,0),IF('卡片raw data'!BO$1:BO$1000=V1579,1,0),IF(IF('卡片raw data'!C$1:C$1000=R$3,1,0)+IF(R$3="",1,0)&gt;=1,1,0),IF(IF('卡片raw data'!D$1:D$1000=R$4,1,0)+IF(R$4="",1,0)&gt;=1,1,0),IF(IF('卡片raw data'!E$1:E$1000=R$5,1,0)+IF(R$5="",1,0)&gt;=1,1,0))</f>
        <v>0</v>
      </c>
      <c r="Y1579" s="1307">
        <f t="shared" si="121"/>
        <v>31</v>
      </c>
      <c r="Z1579" s="1307">
        <f t="shared" si="122"/>
        <v>0</v>
      </c>
      <c r="AA1579" s="1307">
        <f t="shared" si="123"/>
        <v>31</v>
      </c>
      <c r="AB1579" s="1307">
        <f t="shared" si="124"/>
        <v>0</v>
      </c>
    </row>
    <row r="1580" spans="20:28">
      <c r="T1580" s="1077">
        <v>55</v>
      </c>
      <c r="U1580" s="1077">
        <f t="shared" si="120"/>
        <v>13</v>
      </c>
      <c r="V1580" s="1077">
        <v>32</v>
      </c>
      <c r="W1580" s="1077">
        <f t="array" ref="W1580">SUMPRODUCT(IF('卡片raw data'!BM$1:BM$1000=T1580,1,0),IF('卡片raw data'!BO$1:BO$1000=V1580,1,0),IF(IF('卡片raw data'!C$1:C$1000=R$3,1,0)+IF(R$3="",1,0)&gt;=1,1,0),IF(IF('卡片raw data'!D$1:D$1000=R$4,1,0)+IF(R$4="",1,0)&gt;=1,1,0),IF(IF('卡片raw data'!E$1:E$1000=R$5,1,0)+IF(R$5="",1,0)&gt;=1,1,0))</f>
        <v>0</v>
      </c>
      <c r="Y1580" s="1307">
        <f t="shared" si="121"/>
        <v>32</v>
      </c>
      <c r="Z1580" s="1307">
        <f t="shared" si="122"/>
        <v>0</v>
      </c>
      <c r="AA1580" s="1307">
        <f t="shared" si="123"/>
        <v>32</v>
      </c>
      <c r="AB1580" s="1307">
        <f t="shared" si="124"/>
        <v>0</v>
      </c>
    </row>
    <row r="1581" spans="20:28">
      <c r="T1581" s="1077">
        <v>55</v>
      </c>
      <c r="U1581" s="1077">
        <f t="shared" si="120"/>
        <v>12</v>
      </c>
      <c r="V1581" s="1077">
        <v>33</v>
      </c>
      <c r="W1581" s="1077">
        <f t="array" ref="W1581">SUMPRODUCT(IF('卡片raw data'!BM$1:BM$1000=T1581,1,0),IF('卡片raw data'!BO$1:BO$1000=V1581,1,0),IF(IF('卡片raw data'!C$1:C$1000=R$3,1,0)+IF(R$3="",1,0)&gt;=1,1,0),IF(IF('卡片raw data'!D$1:D$1000=R$4,1,0)+IF(R$4="",1,0)&gt;=1,1,0),IF(IF('卡片raw data'!E$1:E$1000=R$5,1,0)+IF(R$5="",1,0)&gt;=1,1,0))</f>
        <v>0</v>
      </c>
      <c r="Y1581" s="1307">
        <f t="shared" si="121"/>
        <v>33</v>
      </c>
      <c r="Z1581" s="1307">
        <f t="shared" si="122"/>
        <v>0</v>
      </c>
      <c r="AA1581" s="1307">
        <f t="shared" si="123"/>
        <v>33</v>
      </c>
      <c r="AB1581" s="1307">
        <f t="shared" si="124"/>
        <v>0</v>
      </c>
    </row>
    <row r="1582" spans="20:28">
      <c r="T1582" s="1077">
        <v>55</v>
      </c>
      <c r="U1582" s="1077">
        <f t="shared" si="120"/>
        <v>11</v>
      </c>
      <c r="V1582" s="1077">
        <v>34</v>
      </c>
      <c r="W1582" s="1077">
        <f t="array" ref="W1582">SUMPRODUCT(IF('卡片raw data'!BM$1:BM$1000=T1582,1,0),IF('卡片raw data'!BO$1:BO$1000=V1582,1,0),IF(IF('卡片raw data'!C$1:C$1000=R$3,1,0)+IF(R$3="",1,0)&gt;=1,1,0),IF(IF('卡片raw data'!D$1:D$1000=R$4,1,0)+IF(R$4="",1,0)&gt;=1,1,0),IF(IF('卡片raw data'!E$1:E$1000=R$5,1,0)+IF(R$5="",1,0)&gt;=1,1,0))</f>
        <v>0</v>
      </c>
      <c r="Y1582" s="1307">
        <f t="shared" si="121"/>
        <v>34</v>
      </c>
      <c r="Z1582" s="1307">
        <f t="shared" si="122"/>
        <v>0</v>
      </c>
      <c r="AA1582" s="1307">
        <f t="shared" si="123"/>
        <v>34</v>
      </c>
      <c r="AB1582" s="1307">
        <f t="shared" si="124"/>
        <v>0</v>
      </c>
    </row>
    <row r="1583" spans="20:28">
      <c r="T1583" s="1077">
        <v>55</v>
      </c>
      <c r="U1583" s="1077">
        <f t="shared" si="120"/>
        <v>10</v>
      </c>
      <c r="V1583" s="1077">
        <v>35</v>
      </c>
      <c r="W1583" s="1077">
        <f t="array" ref="W1583">SUMPRODUCT(IF('卡片raw data'!BM$1:BM$1000=T1583,1,0),IF('卡片raw data'!BO$1:BO$1000=V1583,1,0),IF(IF('卡片raw data'!C$1:C$1000=R$3,1,0)+IF(R$3="",1,0)&gt;=1,1,0),IF(IF('卡片raw data'!D$1:D$1000=R$4,1,0)+IF(R$4="",1,0)&gt;=1,1,0),IF(IF('卡片raw data'!E$1:E$1000=R$5,1,0)+IF(R$5="",1,0)&gt;=1,1,0))</f>
        <v>0</v>
      </c>
      <c r="Y1583" s="1307">
        <f t="shared" si="121"/>
        <v>35</v>
      </c>
      <c r="Z1583" s="1307">
        <f t="shared" si="122"/>
        <v>0</v>
      </c>
      <c r="AA1583" s="1307">
        <f t="shared" si="123"/>
        <v>35</v>
      </c>
      <c r="AB1583" s="1307">
        <f t="shared" si="124"/>
        <v>0</v>
      </c>
    </row>
    <row r="1584" spans="20:28">
      <c r="T1584" s="2">
        <v>1000</v>
      </c>
      <c r="U1584" s="1077">
        <v>1000</v>
      </c>
      <c r="V1584" s="2">
        <v>1000</v>
      </c>
      <c r="W1584" s="2">
        <f>R6</f>
        <v>26</v>
      </c>
      <c r="Y1584" s="1307">
        <f t="shared" si="121"/>
        <v>1000</v>
      </c>
      <c r="Z1584" s="1307">
        <f t="shared" si="122"/>
        <v>0</v>
      </c>
      <c r="AA1584" s="1307">
        <f t="shared" si="123"/>
        <v>1000</v>
      </c>
      <c r="AB1584" s="1307">
        <f t="shared" si="124"/>
        <v>26</v>
      </c>
    </row>
  </sheetData>
  <mergeCells count="1">
    <mergeCell ref="Q2:R2"/>
  </mergeCells>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1"/>
  <dimension ref="B1:Q411"/>
  <sheetViews>
    <sheetView workbookViewId="0">
      <pane xSplit="2" ySplit="2" topLeftCell="C187" activePane="bottomRight" state="frozen"/>
      <selection pane="topRight" activeCell="C1" sqref="C1"/>
      <selection pane="bottomLeft" activeCell="A3" sqref="A3"/>
      <selection pane="bottomRight" activeCell="L52" sqref="L52"/>
    </sheetView>
  </sheetViews>
  <sheetFormatPr defaultColWidth="9" defaultRowHeight="16.5"/>
  <cols>
    <col min="1" max="1" width="3" style="3" customWidth="1"/>
    <col min="2" max="2" width="32" style="1" bestFit="1" customWidth="1"/>
    <col min="3" max="3" width="9" style="201" bestFit="1" customWidth="1"/>
    <col min="4" max="4" width="9.25" style="1" customWidth="1"/>
    <col min="5" max="5" width="10.5" style="1" customWidth="1"/>
    <col min="6" max="6" width="5.75" style="200" bestFit="1" customWidth="1"/>
    <col min="7" max="8" width="9.5" style="200" customWidth="1"/>
    <col min="9" max="9" width="11.625" style="200" customWidth="1"/>
    <col min="10" max="10" width="28.75" style="201" customWidth="1"/>
    <col min="11" max="11" width="12.5" style="200" customWidth="1"/>
    <col min="12" max="12" width="9.75" style="1" customWidth="1"/>
    <col min="13" max="13" width="8.25" style="200" customWidth="1"/>
    <col min="14" max="15" width="12.125" style="200" bestFit="1" customWidth="1"/>
    <col min="16" max="16" width="8.625" style="637" customWidth="1"/>
    <col min="17" max="17" width="9.5" style="200" bestFit="1" customWidth="1"/>
    <col min="18" max="19" width="9" style="3"/>
    <col min="20" max="20" width="15.5" style="3" bestFit="1" customWidth="1"/>
    <col min="21" max="16384" width="9" style="3"/>
  </cols>
  <sheetData>
    <row r="1" spans="2:17" ht="17.25" thickBot="1"/>
    <row r="2" spans="2:17" s="1" customFormat="1" ht="17.25" thickTop="1">
      <c r="B2" s="203" t="s">
        <v>947</v>
      </c>
      <c r="C2" s="204"/>
      <c r="D2" s="205" t="s">
        <v>948</v>
      </c>
      <c r="E2" s="205" t="s">
        <v>949</v>
      </c>
      <c r="F2" s="204" t="s">
        <v>916</v>
      </c>
      <c r="G2" s="204" t="s">
        <v>921</v>
      </c>
      <c r="H2" s="204" t="s">
        <v>917</v>
      </c>
      <c r="I2" s="204" t="s">
        <v>923</v>
      </c>
      <c r="J2" s="204" t="s">
        <v>922</v>
      </c>
      <c r="K2" s="204" t="s">
        <v>953</v>
      </c>
      <c r="L2" s="205" t="s">
        <v>918</v>
      </c>
      <c r="M2" s="204" t="s">
        <v>1165</v>
      </c>
      <c r="N2" s="204" t="s">
        <v>920</v>
      </c>
      <c r="O2" s="204" t="s">
        <v>919</v>
      </c>
      <c r="P2" s="638" t="s">
        <v>2250</v>
      </c>
      <c r="Q2" s="206" t="s">
        <v>1166</v>
      </c>
    </row>
    <row r="3" spans="2:17">
      <c r="B3" s="207" t="s">
        <v>2766</v>
      </c>
      <c r="C3" s="208">
        <v>1</v>
      </c>
      <c r="D3" s="209" t="s">
        <v>1167</v>
      </c>
      <c r="E3" s="209" t="s">
        <v>978</v>
      </c>
      <c r="F3" s="210">
        <v>152</v>
      </c>
      <c r="G3" s="210">
        <v>58500</v>
      </c>
      <c r="H3" s="210">
        <v>385</v>
      </c>
      <c r="I3" s="210">
        <f t="shared" ref="I3:I36" si="0">H3*F3</f>
        <v>58520</v>
      </c>
      <c r="J3" s="208">
        <v>0</v>
      </c>
      <c r="K3" s="210">
        <v>57000</v>
      </c>
      <c r="L3" s="209" t="s">
        <v>1259</v>
      </c>
      <c r="M3" s="210">
        <v>7650</v>
      </c>
      <c r="N3" s="210">
        <v>3241300</v>
      </c>
      <c r="O3" s="210">
        <v>570000</v>
      </c>
      <c r="P3" s="639">
        <f t="shared" ref="P3:P36" si="1">O3/N3</f>
        <v>0.17585536667386542</v>
      </c>
      <c r="Q3" s="211">
        <f t="shared" ref="Q3:Q36" si="2">(N3-O3)/F3</f>
        <v>17574.342105263157</v>
      </c>
    </row>
    <row r="4" spans="2:17">
      <c r="B4" s="207" t="s">
        <v>983</v>
      </c>
      <c r="C4" s="208">
        <v>2</v>
      </c>
      <c r="D4" s="209" t="s">
        <v>579</v>
      </c>
      <c r="E4" s="1088" t="s">
        <v>978</v>
      </c>
      <c r="F4" s="210">
        <v>169</v>
      </c>
      <c r="G4" s="210">
        <v>44100</v>
      </c>
      <c r="H4" s="210">
        <v>263</v>
      </c>
      <c r="I4" s="210">
        <f t="shared" si="0"/>
        <v>44447</v>
      </c>
      <c r="J4" s="208">
        <v>0</v>
      </c>
      <c r="K4" s="210">
        <v>44000</v>
      </c>
      <c r="L4" s="209" t="s">
        <v>1169</v>
      </c>
      <c r="M4" s="210">
        <v>5750</v>
      </c>
      <c r="N4" s="210">
        <v>2602400</v>
      </c>
      <c r="O4" s="210">
        <v>440000</v>
      </c>
      <c r="P4" s="639">
        <f t="shared" si="1"/>
        <v>0.16907470027666768</v>
      </c>
      <c r="Q4" s="211">
        <f t="shared" si="2"/>
        <v>12795.266272189348</v>
      </c>
    </row>
    <row r="5" spans="2:17">
      <c r="B5" s="207" t="s">
        <v>984</v>
      </c>
      <c r="C5" s="208">
        <v>3</v>
      </c>
      <c r="D5" s="209" t="s">
        <v>1170</v>
      </c>
      <c r="E5" s="209" t="s">
        <v>978</v>
      </c>
      <c r="F5" s="210">
        <v>170</v>
      </c>
      <c r="G5" s="210">
        <v>51300</v>
      </c>
      <c r="H5" s="210">
        <v>302</v>
      </c>
      <c r="I5" s="210">
        <f t="shared" si="0"/>
        <v>51340</v>
      </c>
      <c r="J5" s="208">
        <v>-2000</v>
      </c>
      <c r="K5" s="210">
        <v>51000</v>
      </c>
      <c r="L5" s="209" t="s">
        <v>1725</v>
      </c>
      <c r="M5" s="210">
        <v>6700</v>
      </c>
      <c r="N5" s="210">
        <v>3073400</v>
      </c>
      <c r="O5" s="210">
        <v>510000</v>
      </c>
      <c r="P5" s="639">
        <f t="shared" si="1"/>
        <v>0.1659400013014902</v>
      </c>
      <c r="Q5" s="211">
        <f t="shared" si="2"/>
        <v>15078.823529411764</v>
      </c>
    </row>
    <row r="6" spans="2:17">
      <c r="B6" s="207" t="s">
        <v>964</v>
      </c>
      <c r="C6" s="208">
        <v>4</v>
      </c>
      <c r="D6" s="209" t="s">
        <v>1171</v>
      </c>
      <c r="E6" s="209" t="s">
        <v>978</v>
      </c>
      <c r="F6" s="210">
        <v>166</v>
      </c>
      <c r="G6" s="210">
        <v>62100</v>
      </c>
      <c r="H6" s="210">
        <v>375</v>
      </c>
      <c r="I6" s="210">
        <f t="shared" si="0"/>
        <v>62250</v>
      </c>
      <c r="J6" s="208">
        <v>0</v>
      </c>
      <c r="K6" s="210">
        <v>62000</v>
      </c>
      <c r="L6" s="209" t="s">
        <v>1172</v>
      </c>
      <c r="M6" s="210">
        <v>8100</v>
      </c>
      <c r="N6" s="210">
        <v>3714000</v>
      </c>
      <c r="O6" s="210">
        <v>620000</v>
      </c>
      <c r="P6" s="639">
        <f t="shared" si="1"/>
        <v>0.16693591814754982</v>
      </c>
      <c r="Q6" s="211">
        <f t="shared" si="2"/>
        <v>18638.554216867469</v>
      </c>
    </row>
    <row r="7" spans="2:17">
      <c r="B7" s="207" t="s">
        <v>985</v>
      </c>
      <c r="C7" s="208">
        <v>8</v>
      </c>
      <c r="D7" s="209" t="s">
        <v>1173</v>
      </c>
      <c r="E7" s="209" t="s">
        <v>978</v>
      </c>
      <c r="F7" s="210">
        <v>166</v>
      </c>
      <c r="G7" s="210">
        <v>54900</v>
      </c>
      <c r="H7" s="210">
        <v>331</v>
      </c>
      <c r="I7" s="210">
        <f t="shared" si="0"/>
        <v>54946</v>
      </c>
      <c r="J7" s="208">
        <v>-6000</v>
      </c>
      <c r="K7" s="210">
        <v>52000</v>
      </c>
      <c r="L7" s="209" t="s">
        <v>1174</v>
      </c>
      <c r="M7" s="210">
        <v>7150</v>
      </c>
      <c r="N7" s="210">
        <v>3265800</v>
      </c>
      <c r="O7" s="210">
        <v>520000</v>
      </c>
      <c r="P7" s="639">
        <f t="shared" si="1"/>
        <v>0.15922591708004163</v>
      </c>
      <c r="Q7" s="211">
        <f t="shared" si="2"/>
        <v>16540.963855421687</v>
      </c>
    </row>
    <row r="8" spans="2:17">
      <c r="B8" s="207" t="s">
        <v>986</v>
      </c>
      <c r="C8" s="208">
        <v>9</v>
      </c>
      <c r="D8" s="209" t="s">
        <v>1175</v>
      </c>
      <c r="E8" s="209" t="s">
        <v>978</v>
      </c>
      <c r="F8" s="210">
        <v>174</v>
      </c>
      <c r="G8" s="210">
        <v>65700</v>
      </c>
      <c r="H8" s="210">
        <v>378</v>
      </c>
      <c r="I8" s="210">
        <f t="shared" si="0"/>
        <v>65772</v>
      </c>
      <c r="J8" s="1087">
        <v>4000</v>
      </c>
      <c r="K8" s="210">
        <v>65000</v>
      </c>
      <c r="L8" s="209" t="s">
        <v>1176</v>
      </c>
      <c r="M8" s="210">
        <v>8550</v>
      </c>
      <c r="N8" s="210">
        <v>5500000</v>
      </c>
      <c r="O8" s="210">
        <v>1500000</v>
      </c>
      <c r="P8" s="639">
        <f t="shared" si="1"/>
        <v>0.27272727272727271</v>
      </c>
      <c r="Q8" s="211">
        <f t="shared" si="2"/>
        <v>22988.505747126437</v>
      </c>
    </row>
    <row r="9" spans="2:17">
      <c r="B9" s="207" t="s">
        <v>987</v>
      </c>
      <c r="C9" s="208">
        <v>10</v>
      </c>
      <c r="D9" s="209" t="s">
        <v>1168</v>
      </c>
      <c r="E9" s="209" t="s">
        <v>978</v>
      </c>
      <c r="F9" s="210">
        <v>160</v>
      </c>
      <c r="G9" s="210">
        <v>69300</v>
      </c>
      <c r="H9" s="210">
        <v>430</v>
      </c>
      <c r="I9" s="210">
        <f t="shared" si="0"/>
        <v>68800</v>
      </c>
      <c r="J9" s="1087">
        <v>0</v>
      </c>
      <c r="K9" s="210">
        <v>102000</v>
      </c>
      <c r="L9" s="209" t="s">
        <v>1178</v>
      </c>
      <c r="M9" s="210">
        <v>9050</v>
      </c>
      <c r="N9" s="210">
        <v>6000000</v>
      </c>
      <c r="O9" s="210">
        <v>1200000</v>
      </c>
      <c r="P9" s="639">
        <f t="shared" si="1"/>
        <v>0.2</v>
      </c>
      <c r="Q9" s="211">
        <f t="shared" si="2"/>
        <v>30000</v>
      </c>
    </row>
    <row r="10" spans="2:17">
      <c r="B10" s="207" t="s">
        <v>988</v>
      </c>
      <c r="C10" s="208">
        <v>11</v>
      </c>
      <c r="D10" s="209" t="s">
        <v>1170</v>
      </c>
      <c r="E10" s="209" t="s">
        <v>978</v>
      </c>
      <c r="F10" s="210">
        <v>193</v>
      </c>
      <c r="G10" s="210">
        <v>69300</v>
      </c>
      <c r="H10" s="210">
        <v>360</v>
      </c>
      <c r="I10" s="210">
        <f t="shared" si="0"/>
        <v>69480</v>
      </c>
      <c r="J10" s="208" t="s">
        <v>1179</v>
      </c>
      <c r="K10" s="210">
        <v>102000</v>
      </c>
      <c r="L10" s="209" t="s">
        <v>1180</v>
      </c>
      <c r="M10" s="210">
        <v>9050</v>
      </c>
      <c r="N10" s="210">
        <v>6497100</v>
      </c>
      <c r="O10" s="210">
        <v>2040000</v>
      </c>
      <c r="P10" s="639">
        <f t="shared" si="1"/>
        <v>0.31398624001477582</v>
      </c>
      <c r="Q10" s="211">
        <f t="shared" si="2"/>
        <v>23093.78238341969</v>
      </c>
    </row>
    <row r="11" spans="2:17">
      <c r="B11" s="207" t="s">
        <v>989</v>
      </c>
      <c r="C11" s="208">
        <v>12</v>
      </c>
      <c r="D11" s="209" t="s">
        <v>1167</v>
      </c>
      <c r="E11" s="209" t="s">
        <v>978</v>
      </c>
      <c r="F11" s="210">
        <v>184</v>
      </c>
      <c r="G11" s="210">
        <v>72900</v>
      </c>
      <c r="H11" s="210">
        <v>397</v>
      </c>
      <c r="I11" s="210">
        <f t="shared" si="0"/>
        <v>73048</v>
      </c>
      <c r="J11" s="1087">
        <v>20000</v>
      </c>
      <c r="K11" s="210">
        <v>107000</v>
      </c>
      <c r="L11" s="209" t="s">
        <v>1260</v>
      </c>
      <c r="M11" s="210">
        <v>9500</v>
      </c>
      <c r="N11" s="210">
        <v>6750400</v>
      </c>
      <c r="O11" s="210">
        <f>551000*2+275000*3</f>
        <v>1927000</v>
      </c>
      <c r="P11" s="639">
        <f t="shared" si="1"/>
        <v>0.28546456506281109</v>
      </c>
      <c r="Q11" s="211">
        <f t="shared" si="2"/>
        <v>26214.130434782608</v>
      </c>
    </row>
    <row r="12" spans="2:17">
      <c r="B12" s="207" t="s">
        <v>990</v>
      </c>
      <c r="C12" s="208">
        <v>13</v>
      </c>
      <c r="D12" s="209" t="s">
        <v>1171</v>
      </c>
      <c r="E12" s="209" t="s">
        <v>978</v>
      </c>
      <c r="F12" s="210">
        <v>172</v>
      </c>
      <c r="G12" s="210">
        <v>72900</v>
      </c>
      <c r="H12" s="210">
        <v>424</v>
      </c>
      <c r="I12" s="210">
        <f t="shared" si="0"/>
        <v>72928</v>
      </c>
      <c r="J12" s="208">
        <v>0</v>
      </c>
      <c r="K12" s="210">
        <v>108000</v>
      </c>
      <c r="L12" s="209" t="s">
        <v>1192</v>
      </c>
      <c r="M12" s="210">
        <v>9500</v>
      </c>
      <c r="N12" s="210">
        <v>6251800</v>
      </c>
      <c r="O12" s="210">
        <f>595000+595000+297000+297000</f>
        <v>1784000</v>
      </c>
      <c r="P12" s="639">
        <f t="shared" si="1"/>
        <v>0.28535781694871876</v>
      </c>
      <c r="Q12" s="211">
        <f t="shared" si="2"/>
        <v>25975.581395348836</v>
      </c>
    </row>
    <row r="13" spans="2:17">
      <c r="B13" s="207" t="s">
        <v>991</v>
      </c>
      <c r="C13" s="208">
        <v>14</v>
      </c>
      <c r="D13" s="209" t="s">
        <v>1168</v>
      </c>
      <c r="E13" s="209" t="s">
        <v>978</v>
      </c>
      <c r="F13" s="210">
        <v>173</v>
      </c>
      <c r="G13" s="210">
        <v>72900</v>
      </c>
      <c r="H13" s="210">
        <v>422</v>
      </c>
      <c r="I13" s="210">
        <f t="shared" si="0"/>
        <v>73006</v>
      </c>
      <c r="J13" s="1087">
        <v>0</v>
      </c>
      <c r="K13" s="210">
        <v>106000</v>
      </c>
      <c r="L13" s="209" t="s">
        <v>1193</v>
      </c>
      <c r="M13" s="210">
        <v>9500</v>
      </c>
      <c r="N13" s="210">
        <v>6285000</v>
      </c>
      <c r="O13" s="210">
        <f>(448000+449000)*2</f>
        <v>1794000</v>
      </c>
      <c r="P13" s="639">
        <f t="shared" si="1"/>
        <v>0.28544152744630069</v>
      </c>
      <c r="Q13" s="211">
        <f t="shared" si="2"/>
        <v>25959.537572254336</v>
      </c>
    </row>
    <row r="14" spans="2:17">
      <c r="B14" s="207" t="s">
        <v>992</v>
      </c>
      <c r="C14" s="208">
        <v>15</v>
      </c>
      <c r="D14" s="209" t="s">
        <v>1173</v>
      </c>
      <c r="E14" s="209" t="s">
        <v>978</v>
      </c>
      <c r="F14" s="210">
        <v>175</v>
      </c>
      <c r="G14" s="210">
        <v>72900</v>
      </c>
      <c r="H14" s="210">
        <v>703</v>
      </c>
      <c r="I14" s="210">
        <f t="shared" si="0"/>
        <v>123025</v>
      </c>
      <c r="J14" s="208">
        <v>0</v>
      </c>
      <c r="K14" s="210">
        <v>108000</v>
      </c>
      <c r="L14" s="209" t="s">
        <v>1194</v>
      </c>
      <c r="M14" s="210">
        <v>9500</v>
      </c>
      <c r="N14" s="210">
        <v>7908000</v>
      </c>
      <c r="O14" s="210">
        <f>263000*5+527000*2</f>
        <v>2369000</v>
      </c>
      <c r="P14" s="639">
        <f t="shared" si="1"/>
        <v>0.29957005563985839</v>
      </c>
      <c r="Q14" s="211">
        <f t="shared" si="2"/>
        <v>31651.428571428572</v>
      </c>
    </row>
    <row r="15" spans="2:17">
      <c r="B15" s="207" t="s">
        <v>993</v>
      </c>
      <c r="C15" s="208">
        <v>16</v>
      </c>
      <c r="D15" s="209" t="s">
        <v>1170</v>
      </c>
      <c r="E15" s="209" t="s">
        <v>978</v>
      </c>
      <c r="F15" s="210">
        <v>171</v>
      </c>
      <c r="G15" s="210">
        <v>72900</v>
      </c>
      <c r="H15" s="210">
        <v>427</v>
      </c>
      <c r="I15" s="210">
        <f t="shared" si="0"/>
        <v>73017</v>
      </c>
      <c r="J15" s="208">
        <v>30000</v>
      </c>
      <c r="K15" s="210">
        <v>90250</v>
      </c>
      <c r="L15" s="209" t="s">
        <v>1727</v>
      </c>
      <c r="M15" s="210">
        <v>9500</v>
      </c>
      <c r="N15" s="210">
        <v>6344000</v>
      </c>
      <c r="O15" s="210">
        <v>1901000</v>
      </c>
      <c r="P15" s="639">
        <f t="shared" si="1"/>
        <v>0.29965321563682218</v>
      </c>
      <c r="Q15" s="211">
        <f t="shared" si="2"/>
        <v>25982.456140350878</v>
      </c>
    </row>
    <row r="16" spans="2:17">
      <c r="B16" s="207" t="s">
        <v>1177</v>
      </c>
      <c r="C16" s="208">
        <v>18</v>
      </c>
      <c r="D16" s="209" t="s">
        <v>1167</v>
      </c>
      <c r="E16" s="209" t="s">
        <v>978</v>
      </c>
      <c r="F16" s="210">
        <v>186</v>
      </c>
      <c r="G16" s="210">
        <v>81000</v>
      </c>
      <c r="H16" s="210">
        <v>436</v>
      </c>
      <c r="I16" s="210">
        <f t="shared" si="0"/>
        <v>81096</v>
      </c>
      <c r="J16" s="1089" t="s">
        <v>1195</v>
      </c>
      <c r="K16" s="210">
        <v>120000</v>
      </c>
      <c r="L16" s="209" t="s">
        <v>1291</v>
      </c>
      <c r="M16" s="210">
        <v>11000</v>
      </c>
      <c r="N16" s="210">
        <v>7886000</v>
      </c>
      <c r="O16" s="210">
        <f>394000*6</f>
        <v>2364000</v>
      </c>
      <c r="P16" s="639">
        <f t="shared" si="1"/>
        <v>0.29977174740045648</v>
      </c>
      <c r="Q16" s="211">
        <f t="shared" si="2"/>
        <v>29688.172043010753</v>
      </c>
    </row>
    <row r="17" spans="2:17">
      <c r="B17" s="207" t="s">
        <v>1181</v>
      </c>
      <c r="C17" s="208">
        <v>19</v>
      </c>
      <c r="D17" s="209" t="s">
        <v>1168</v>
      </c>
      <c r="E17" s="209" t="s">
        <v>978</v>
      </c>
      <c r="F17" s="210">
        <v>163</v>
      </c>
      <c r="G17" s="210">
        <v>81000</v>
      </c>
      <c r="H17" s="210">
        <v>497</v>
      </c>
      <c r="I17" s="210">
        <f t="shared" si="0"/>
        <v>81011</v>
      </c>
      <c r="J17" s="1087">
        <v>0</v>
      </c>
      <c r="K17" s="210">
        <v>106000</v>
      </c>
      <c r="L17" s="209" t="s">
        <v>1728</v>
      </c>
      <c r="M17" s="210">
        <v>11000</v>
      </c>
      <c r="N17" s="210">
        <v>6859000</v>
      </c>
      <c r="O17" s="210">
        <v>1890000</v>
      </c>
      <c r="P17" s="639">
        <f t="shared" si="1"/>
        <v>0.27555037177431113</v>
      </c>
      <c r="Q17" s="211">
        <f t="shared" si="2"/>
        <v>30484.662576687115</v>
      </c>
    </row>
    <row r="18" spans="2:17">
      <c r="B18" s="207" t="s">
        <v>1692</v>
      </c>
      <c r="C18" s="208">
        <v>20</v>
      </c>
      <c r="D18" s="386" t="s">
        <v>1693</v>
      </c>
      <c r="E18" s="386" t="s">
        <v>978</v>
      </c>
      <c r="F18" s="210">
        <v>191</v>
      </c>
      <c r="G18" s="210">
        <v>90000</v>
      </c>
      <c r="H18" s="210">
        <v>472</v>
      </c>
      <c r="I18" s="210">
        <f t="shared" si="0"/>
        <v>90152</v>
      </c>
      <c r="J18" s="1087">
        <v>10000</v>
      </c>
      <c r="K18" s="210">
        <v>135000</v>
      </c>
      <c r="L18" s="386" t="s">
        <v>1731</v>
      </c>
      <c r="M18" s="210">
        <v>12000</v>
      </c>
      <c r="N18" s="210">
        <v>10696000</v>
      </c>
      <c r="O18" s="210">
        <v>2720000</v>
      </c>
      <c r="P18" s="639">
        <f t="shared" si="1"/>
        <v>0.25430067314884069</v>
      </c>
      <c r="Q18" s="211">
        <f t="shared" si="2"/>
        <v>41759.162303664918</v>
      </c>
    </row>
    <row r="19" spans="2:17">
      <c r="B19" s="207" t="s">
        <v>1729</v>
      </c>
      <c r="C19" s="208">
        <v>21</v>
      </c>
      <c r="D19" s="387" t="s">
        <v>1730</v>
      </c>
      <c r="E19" s="387" t="s">
        <v>978</v>
      </c>
      <c r="F19" s="210">
        <v>185</v>
      </c>
      <c r="G19" s="210">
        <v>90000</v>
      </c>
      <c r="H19" s="210">
        <v>487</v>
      </c>
      <c r="I19" s="210">
        <f t="shared" si="0"/>
        <v>90095</v>
      </c>
      <c r="J19" s="1087">
        <v>0</v>
      </c>
      <c r="K19" s="210">
        <v>111000</v>
      </c>
      <c r="L19" s="387" t="s">
        <v>1796</v>
      </c>
      <c r="M19" s="210">
        <v>12000</v>
      </c>
      <c r="N19" s="210">
        <v>8373000</v>
      </c>
      <c r="O19" s="210">
        <v>2201000</v>
      </c>
      <c r="P19" s="639">
        <f t="shared" si="1"/>
        <v>0.2628687447748716</v>
      </c>
      <c r="Q19" s="211">
        <f t="shared" si="2"/>
        <v>33362.16216216216</v>
      </c>
    </row>
    <row r="20" spans="2:17">
      <c r="B20" s="207" t="s">
        <v>2223</v>
      </c>
      <c r="C20" s="208">
        <v>22</v>
      </c>
      <c r="D20" s="636" t="s">
        <v>658</v>
      </c>
      <c r="E20" s="636" t="s">
        <v>978</v>
      </c>
      <c r="F20" s="210">
        <v>174</v>
      </c>
      <c r="G20" s="210">
        <v>90000</v>
      </c>
      <c r="H20" s="210">
        <v>518</v>
      </c>
      <c r="I20" s="210">
        <f t="shared" si="0"/>
        <v>90132</v>
      </c>
      <c r="J20" s="208">
        <v>0</v>
      </c>
      <c r="K20" s="210">
        <f>16000*4+33000</f>
        <v>97000</v>
      </c>
      <c r="L20" s="636" t="s">
        <v>2224</v>
      </c>
      <c r="M20" s="210">
        <v>12000</v>
      </c>
      <c r="N20" s="210">
        <v>7601000</v>
      </c>
      <c r="O20" s="210">
        <f>308000*6</f>
        <v>1848000</v>
      </c>
      <c r="P20" s="639">
        <f t="shared" si="1"/>
        <v>0.24312590448625182</v>
      </c>
      <c r="Q20" s="211">
        <f t="shared" si="2"/>
        <v>33063.218390804599</v>
      </c>
    </row>
    <row r="21" spans="2:17">
      <c r="B21" s="207" t="s">
        <v>2225</v>
      </c>
      <c r="C21" s="208">
        <v>23</v>
      </c>
      <c r="D21" s="636" t="s">
        <v>578</v>
      </c>
      <c r="E21" s="636" t="s">
        <v>978</v>
      </c>
      <c r="F21" s="210">
        <v>184</v>
      </c>
      <c r="G21" s="210">
        <v>90000</v>
      </c>
      <c r="H21" s="210">
        <v>685</v>
      </c>
      <c r="I21" s="210">
        <f t="shared" si="0"/>
        <v>126040</v>
      </c>
      <c r="J21" s="1089" t="s">
        <v>2226</v>
      </c>
      <c r="K21" s="210">
        <v>90000</v>
      </c>
      <c r="L21" s="636" t="s">
        <v>2227</v>
      </c>
      <c r="M21" s="210">
        <v>12000</v>
      </c>
      <c r="N21" s="210">
        <v>7893000</v>
      </c>
      <c r="O21" s="210">
        <f>292000*6</f>
        <v>1752000</v>
      </c>
      <c r="P21" s="639">
        <f t="shared" si="1"/>
        <v>0.22196883314329152</v>
      </c>
      <c r="Q21" s="211">
        <f t="shared" si="2"/>
        <v>33375</v>
      </c>
    </row>
    <row r="22" spans="2:17">
      <c r="B22" s="207" t="s">
        <v>2281</v>
      </c>
      <c r="C22" s="208">
        <v>24</v>
      </c>
      <c r="D22" s="641" t="str">
        <f>$D$33</f>
        <v>粉</v>
      </c>
      <c r="E22" s="641" t="s">
        <v>978</v>
      </c>
      <c r="F22" s="210">
        <v>186</v>
      </c>
      <c r="G22" s="210">
        <v>90000</v>
      </c>
      <c r="H22" s="210">
        <v>605</v>
      </c>
      <c r="I22" s="210">
        <f t="shared" si="0"/>
        <v>112530</v>
      </c>
      <c r="J22" s="1089">
        <v>0</v>
      </c>
      <c r="K22" s="210">
        <v>76000</v>
      </c>
      <c r="L22" s="641" t="s">
        <v>2367</v>
      </c>
      <c r="M22" s="210">
        <v>12000</v>
      </c>
      <c r="N22" s="210">
        <v>7718000</v>
      </c>
      <c r="O22" s="210">
        <v>1516000</v>
      </c>
      <c r="P22" s="639">
        <f t="shared" si="1"/>
        <v>0.19642394402694999</v>
      </c>
      <c r="Q22" s="211">
        <f t="shared" si="2"/>
        <v>33344.086021505376</v>
      </c>
    </row>
    <row r="23" spans="2:17">
      <c r="B23" s="207" t="s">
        <v>2617</v>
      </c>
      <c r="C23" s="208">
        <v>25</v>
      </c>
      <c r="D23" s="678" t="str">
        <f>$D$33</f>
        <v>粉</v>
      </c>
      <c r="E23" s="678" t="s">
        <v>2611</v>
      </c>
      <c r="F23" s="210">
        <v>178</v>
      </c>
      <c r="G23" s="210">
        <v>90000</v>
      </c>
      <c r="H23" s="210">
        <v>506</v>
      </c>
      <c r="I23" s="210">
        <f t="shared" si="0"/>
        <v>90068</v>
      </c>
      <c r="J23" s="1089">
        <v>0</v>
      </c>
      <c r="K23" s="210">
        <v>120000</v>
      </c>
      <c r="L23" s="678" t="s">
        <v>2618</v>
      </c>
      <c r="M23" s="210">
        <v>12000</v>
      </c>
      <c r="N23" s="210">
        <v>4790000</v>
      </c>
      <c r="O23" s="210">
        <f>165000*8</f>
        <v>1320000</v>
      </c>
      <c r="P23" s="639">
        <f t="shared" si="1"/>
        <v>0.27557411273486432</v>
      </c>
      <c r="Q23" s="211">
        <f t="shared" si="2"/>
        <v>19494.382022471909</v>
      </c>
    </row>
    <row r="24" spans="2:17">
      <c r="B24" s="1018" t="s">
        <v>2904</v>
      </c>
      <c r="C24" s="208">
        <v>31</v>
      </c>
      <c r="D24" s="1017" t="s">
        <v>578</v>
      </c>
      <c r="E24" s="1017" t="s">
        <v>978</v>
      </c>
      <c r="F24" s="210">
        <v>172</v>
      </c>
      <c r="G24" s="210">
        <v>99000</v>
      </c>
      <c r="H24" s="210">
        <v>950</v>
      </c>
      <c r="I24" s="210">
        <f t="shared" si="0"/>
        <v>163400</v>
      </c>
      <c r="J24" s="1089">
        <v>30000</v>
      </c>
      <c r="K24" s="210">
        <f>16000*8+2000</f>
        <v>130000</v>
      </c>
      <c r="L24" s="1017" t="s">
        <v>4574</v>
      </c>
      <c r="M24" s="210">
        <v>13000</v>
      </c>
      <c r="N24" s="210">
        <v>9061000</v>
      </c>
      <c r="O24" s="210">
        <f>302000*8</f>
        <v>2416000</v>
      </c>
      <c r="P24" s="639">
        <f t="shared" si="1"/>
        <v>0.26663723650811166</v>
      </c>
      <c r="Q24" s="211">
        <f t="shared" si="2"/>
        <v>38633.720930232557</v>
      </c>
    </row>
    <row r="25" spans="2:17" s="1077" customFormat="1">
      <c r="B25" s="1176" t="s">
        <v>4694</v>
      </c>
      <c r="C25" s="1087">
        <v>32</v>
      </c>
      <c r="D25" s="1175" t="s">
        <v>658</v>
      </c>
      <c r="E25" s="1175" t="s">
        <v>978</v>
      </c>
      <c r="F25" s="210">
        <v>163</v>
      </c>
      <c r="G25" s="210">
        <v>99000</v>
      </c>
      <c r="H25" s="210">
        <v>912</v>
      </c>
      <c r="I25" s="210">
        <f t="shared" si="0"/>
        <v>148656</v>
      </c>
      <c r="J25" s="1089">
        <v>0</v>
      </c>
      <c r="K25" s="210">
        <f>33000*2+16000*3</f>
        <v>114000</v>
      </c>
      <c r="L25" s="1175" t="s">
        <v>4695</v>
      </c>
      <c r="M25" s="210">
        <v>13000</v>
      </c>
      <c r="N25" s="210">
        <v>7375000</v>
      </c>
      <c r="O25" s="210">
        <v>1339000</v>
      </c>
      <c r="P25" s="639">
        <f t="shared" si="1"/>
        <v>0.1815593220338983</v>
      </c>
      <c r="Q25" s="211">
        <f t="shared" si="2"/>
        <v>37030.67484662577</v>
      </c>
    </row>
    <row r="26" spans="2:17" s="1077" customFormat="1">
      <c r="B26" s="1246" t="s">
        <v>4821</v>
      </c>
      <c r="C26" s="1087">
        <v>33</v>
      </c>
      <c r="D26" s="1245" t="s">
        <v>579</v>
      </c>
      <c r="E26" s="1245" t="s">
        <v>978</v>
      </c>
      <c r="F26" s="210">
        <v>164</v>
      </c>
      <c r="G26" s="210">
        <v>99000</v>
      </c>
      <c r="H26" s="210">
        <v>1600</v>
      </c>
      <c r="I26" s="210">
        <f t="shared" si="0"/>
        <v>262400</v>
      </c>
      <c r="J26" s="1089">
        <v>0</v>
      </c>
      <c r="K26" s="210">
        <f>16000*4+33000*2</f>
        <v>130000</v>
      </c>
      <c r="L26" s="1245" t="s">
        <v>4822</v>
      </c>
      <c r="M26" s="210">
        <v>13000</v>
      </c>
      <c r="N26" s="210">
        <v>7544000</v>
      </c>
      <c r="O26" s="210">
        <v>2312000</v>
      </c>
      <c r="P26" s="639">
        <f>O26/N26</f>
        <v>0.30646871686108168</v>
      </c>
      <c r="Q26" s="211">
        <f>(N26-O26)/F26</f>
        <v>31902.439024390245</v>
      </c>
    </row>
    <row r="27" spans="2:17">
      <c r="B27" s="207" t="s">
        <v>994</v>
      </c>
      <c r="C27" s="208">
        <v>1001</v>
      </c>
      <c r="D27" s="209" t="s">
        <v>1173</v>
      </c>
      <c r="E27" s="209" t="s">
        <v>978</v>
      </c>
      <c r="F27" s="210">
        <v>164</v>
      </c>
      <c r="G27" s="210">
        <v>51300</v>
      </c>
      <c r="H27" s="210">
        <v>313</v>
      </c>
      <c r="I27" s="210">
        <f t="shared" si="0"/>
        <v>51332</v>
      </c>
      <c r="J27" s="208">
        <v>-2000</v>
      </c>
      <c r="K27" s="210">
        <v>51200</v>
      </c>
      <c r="L27" s="209" t="s">
        <v>1196</v>
      </c>
      <c r="M27" s="210">
        <v>6700</v>
      </c>
      <c r="N27" s="210">
        <v>2992700</v>
      </c>
      <c r="O27" s="210">
        <v>512000</v>
      </c>
      <c r="P27" s="639">
        <f t="shared" si="1"/>
        <v>0.17108296855682159</v>
      </c>
      <c r="Q27" s="211">
        <f t="shared" si="2"/>
        <v>15126.219512195123</v>
      </c>
    </row>
    <row r="28" spans="2:17">
      <c r="B28" s="207" t="s">
        <v>2824</v>
      </c>
      <c r="C28" s="208">
        <v>1027</v>
      </c>
      <c r="D28" s="698" t="s">
        <v>2822</v>
      </c>
      <c r="E28" s="698" t="s">
        <v>2823</v>
      </c>
      <c r="F28" s="210">
        <v>187</v>
      </c>
      <c r="G28" s="210">
        <v>90000</v>
      </c>
      <c r="H28" s="210">
        <v>771</v>
      </c>
      <c r="I28" s="210">
        <f t="shared" si="0"/>
        <v>144177</v>
      </c>
      <c r="J28" s="1087">
        <v>0</v>
      </c>
      <c r="K28" s="210">
        <f>9000*5+19000*2</f>
        <v>83000</v>
      </c>
      <c r="L28" s="698" t="s">
        <v>2825</v>
      </c>
      <c r="M28" s="210">
        <v>12000</v>
      </c>
      <c r="N28" s="210">
        <v>6122000</v>
      </c>
      <c r="O28" s="210">
        <f>63000*5+127000*2</f>
        <v>569000</v>
      </c>
      <c r="P28" s="639">
        <f t="shared" si="1"/>
        <v>9.2943482522051618E-2</v>
      </c>
      <c r="Q28" s="211">
        <f t="shared" si="2"/>
        <v>29695.187165775402</v>
      </c>
    </row>
    <row r="29" spans="2:17">
      <c r="B29" s="207" t="s">
        <v>995</v>
      </c>
      <c r="C29" s="208">
        <v>2001</v>
      </c>
      <c r="D29" s="209" t="s">
        <v>1170</v>
      </c>
      <c r="E29" s="209" t="s">
        <v>978</v>
      </c>
      <c r="F29" s="210">
        <v>158</v>
      </c>
      <c r="G29" s="210">
        <v>44100</v>
      </c>
      <c r="H29" s="210">
        <v>348</v>
      </c>
      <c r="I29" s="210">
        <f t="shared" si="0"/>
        <v>54984</v>
      </c>
      <c r="J29" s="1089">
        <v>-8500</v>
      </c>
      <c r="K29" s="210">
        <v>44000</v>
      </c>
      <c r="L29" s="209" t="s">
        <v>1197</v>
      </c>
      <c r="M29" s="210">
        <v>5750</v>
      </c>
      <c r="N29" s="210">
        <v>3129000</v>
      </c>
      <c r="O29" s="210">
        <v>440000</v>
      </c>
      <c r="P29" s="639">
        <f t="shared" si="1"/>
        <v>0.14062000639181849</v>
      </c>
      <c r="Q29" s="211">
        <f t="shared" si="2"/>
        <v>17018.98734177215</v>
      </c>
    </row>
    <row r="30" spans="2:17">
      <c r="B30" s="207" t="s">
        <v>4079</v>
      </c>
      <c r="C30" s="208">
        <v>2028</v>
      </c>
      <c r="D30" s="881" t="s">
        <v>4080</v>
      </c>
      <c r="E30" s="881" t="s">
        <v>978</v>
      </c>
      <c r="F30" s="210">
        <v>175</v>
      </c>
      <c r="G30" s="210">
        <v>90000</v>
      </c>
      <c r="H30" s="210">
        <v>926</v>
      </c>
      <c r="I30" s="210">
        <f t="shared" si="0"/>
        <v>162050</v>
      </c>
      <c r="J30" s="1089">
        <v>0</v>
      </c>
      <c r="K30" s="210">
        <f>64000+33000</f>
        <v>97000</v>
      </c>
      <c r="L30" s="881" t="s">
        <v>4081</v>
      </c>
      <c r="M30" s="210">
        <v>12000</v>
      </c>
      <c r="N30" s="210">
        <v>9166000</v>
      </c>
      <c r="O30" s="210">
        <f>309000*4+619000</f>
        <v>1855000</v>
      </c>
      <c r="P30" s="639">
        <f t="shared" si="1"/>
        <v>0.20237835478943922</v>
      </c>
      <c r="Q30" s="211">
        <f t="shared" si="2"/>
        <v>41777.142857142855</v>
      </c>
    </row>
    <row r="31" spans="2:17">
      <c r="B31" s="207" t="s">
        <v>996</v>
      </c>
      <c r="C31" s="208">
        <v>2001</v>
      </c>
      <c r="D31" s="209" t="s">
        <v>1175</v>
      </c>
      <c r="E31" s="209" t="s">
        <v>978</v>
      </c>
      <c r="F31" s="210">
        <v>157</v>
      </c>
      <c r="G31" s="210">
        <v>47700</v>
      </c>
      <c r="H31" s="210">
        <v>280</v>
      </c>
      <c r="I31" s="210">
        <f t="shared" si="0"/>
        <v>43960</v>
      </c>
      <c r="J31" s="1087">
        <v>0</v>
      </c>
      <c r="K31" s="210">
        <v>47500</v>
      </c>
      <c r="L31" s="209" t="s">
        <v>1198</v>
      </c>
      <c r="M31" s="210">
        <v>6250</v>
      </c>
      <c r="N31" s="210">
        <v>2485100</v>
      </c>
      <c r="O31" s="210">
        <v>475000</v>
      </c>
      <c r="P31" s="639">
        <f t="shared" si="1"/>
        <v>0.19113918956983622</v>
      </c>
      <c r="Q31" s="211">
        <f t="shared" si="2"/>
        <v>12803.184713375796</v>
      </c>
    </row>
    <row r="32" spans="2:17">
      <c r="B32" s="207" t="s">
        <v>2919</v>
      </c>
      <c r="C32" s="208">
        <v>3029</v>
      </c>
      <c r="D32" s="926" t="s">
        <v>4274</v>
      </c>
      <c r="E32" s="926" t="s">
        <v>978</v>
      </c>
      <c r="F32" s="210">
        <v>186</v>
      </c>
      <c r="G32" s="210">
        <v>90000</v>
      </c>
      <c r="H32" s="210">
        <v>726</v>
      </c>
      <c r="I32" s="210">
        <f t="shared" si="0"/>
        <v>135036</v>
      </c>
      <c r="J32" s="1087">
        <v>0</v>
      </c>
      <c r="K32" s="210">
        <v>97000</v>
      </c>
      <c r="L32" s="926" t="s">
        <v>4275</v>
      </c>
      <c r="M32" s="210">
        <v>12000</v>
      </c>
      <c r="N32" s="210">
        <v>8097000</v>
      </c>
      <c r="O32" s="210">
        <v>1992000</v>
      </c>
      <c r="P32" s="639">
        <f t="shared" si="1"/>
        <v>0.24601704334938868</v>
      </c>
      <c r="Q32" s="211">
        <f t="shared" si="2"/>
        <v>32822.580645161288</v>
      </c>
    </row>
    <row r="33" spans="2:17">
      <c r="B33" s="207" t="s">
        <v>966</v>
      </c>
      <c r="C33" s="208">
        <v>10001</v>
      </c>
      <c r="D33" s="209" t="s">
        <v>1167</v>
      </c>
      <c r="E33" s="209" t="s">
        <v>978</v>
      </c>
      <c r="F33" s="210">
        <v>156</v>
      </c>
      <c r="G33" s="210">
        <v>58500</v>
      </c>
      <c r="H33" s="210">
        <v>376</v>
      </c>
      <c r="I33" s="210">
        <f t="shared" si="0"/>
        <v>58656</v>
      </c>
      <c r="J33" s="1087">
        <v>0</v>
      </c>
      <c r="K33" s="210">
        <f>14600*4</f>
        <v>58400</v>
      </c>
      <c r="L33" s="209" t="s">
        <v>1261</v>
      </c>
      <c r="M33" s="210">
        <v>7650</v>
      </c>
      <c r="N33" s="210">
        <v>3319100</v>
      </c>
      <c r="O33" s="210">
        <v>584000</v>
      </c>
      <c r="P33" s="639">
        <f t="shared" si="1"/>
        <v>0.17595131210267845</v>
      </c>
      <c r="Q33" s="211">
        <f t="shared" si="2"/>
        <v>17532.692307692309</v>
      </c>
    </row>
    <row r="34" spans="2:17">
      <c r="B34" s="207" t="s">
        <v>997</v>
      </c>
      <c r="C34" s="208">
        <v>10002</v>
      </c>
      <c r="D34" s="209" t="s">
        <v>1168</v>
      </c>
      <c r="E34" s="209" t="s">
        <v>978</v>
      </c>
      <c r="F34" s="210">
        <v>150</v>
      </c>
      <c r="G34" s="210">
        <v>54900</v>
      </c>
      <c r="H34" s="210">
        <v>367</v>
      </c>
      <c r="I34" s="210">
        <f t="shared" si="0"/>
        <v>55050</v>
      </c>
      <c r="J34" s="1087">
        <v>0</v>
      </c>
      <c r="K34" s="210">
        <f>13700*4</f>
        <v>54800</v>
      </c>
      <c r="L34" s="209" t="s">
        <v>1262</v>
      </c>
      <c r="M34" s="210">
        <v>7150</v>
      </c>
      <c r="N34" s="210">
        <v>3009600</v>
      </c>
      <c r="O34" s="210">
        <v>548000</v>
      </c>
      <c r="P34" s="639">
        <f t="shared" si="1"/>
        <v>0.18208399787347157</v>
      </c>
      <c r="Q34" s="211">
        <f t="shared" si="2"/>
        <v>16410.666666666668</v>
      </c>
    </row>
    <row r="35" spans="2:17">
      <c r="B35" s="207" t="s">
        <v>998</v>
      </c>
      <c r="C35" s="208">
        <v>10003</v>
      </c>
      <c r="D35" s="209" t="s">
        <v>1171</v>
      </c>
      <c r="E35" s="209" t="s">
        <v>978</v>
      </c>
      <c r="F35" s="210">
        <v>143</v>
      </c>
      <c r="G35" s="210">
        <v>62100</v>
      </c>
      <c r="H35" s="210">
        <v>435</v>
      </c>
      <c r="I35" s="210">
        <f t="shared" si="0"/>
        <v>62205</v>
      </c>
      <c r="J35" s="1087">
        <v>0</v>
      </c>
      <c r="K35" s="210">
        <v>60000</v>
      </c>
      <c r="L35" s="209" t="s">
        <v>1199</v>
      </c>
      <c r="M35" s="210">
        <v>8100</v>
      </c>
      <c r="N35" s="210">
        <v>3249700</v>
      </c>
      <c r="O35" s="210">
        <v>600000</v>
      </c>
      <c r="P35" s="639">
        <f t="shared" si="1"/>
        <v>0.18463242760870235</v>
      </c>
      <c r="Q35" s="211">
        <f t="shared" si="2"/>
        <v>18529.370629370631</v>
      </c>
    </row>
    <row r="36" spans="2:17">
      <c r="B36" s="207" t="s">
        <v>999</v>
      </c>
      <c r="C36" s="208">
        <v>10004</v>
      </c>
      <c r="D36" s="209" t="s">
        <v>1175</v>
      </c>
      <c r="E36" s="209" t="s">
        <v>978</v>
      </c>
      <c r="F36" s="210">
        <v>131</v>
      </c>
      <c r="G36" s="210">
        <v>54900</v>
      </c>
      <c r="H36" s="210">
        <v>420</v>
      </c>
      <c r="I36" s="210">
        <f t="shared" si="0"/>
        <v>55020</v>
      </c>
      <c r="J36" s="208">
        <v>9000</v>
      </c>
      <c r="K36" s="210">
        <f>13700*4</f>
        <v>54800</v>
      </c>
      <c r="L36" s="209" t="s">
        <v>1200</v>
      </c>
      <c r="M36" s="210">
        <v>7150</v>
      </c>
      <c r="N36" s="210">
        <v>2681000</v>
      </c>
      <c r="O36" s="210">
        <v>548000</v>
      </c>
      <c r="P36" s="639">
        <f t="shared" si="1"/>
        <v>0.20440134278254382</v>
      </c>
      <c r="Q36" s="211">
        <f t="shared" si="2"/>
        <v>16282.442748091604</v>
      </c>
    </row>
    <row r="37" spans="2:17">
      <c r="B37" s="207" t="s">
        <v>969</v>
      </c>
      <c r="C37" s="208">
        <v>10008</v>
      </c>
      <c r="D37" s="209" t="s">
        <v>1171</v>
      </c>
      <c r="E37" s="209" t="s">
        <v>978</v>
      </c>
      <c r="F37" s="210">
        <v>176</v>
      </c>
      <c r="G37" s="210">
        <v>58500</v>
      </c>
      <c r="H37" s="210">
        <v>399</v>
      </c>
      <c r="I37" s="210">
        <f t="shared" ref="I37:I73" si="3">H37*F37</f>
        <v>70224</v>
      </c>
      <c r="J37" s="1087">
        <v>0</v>
      </c>
      <c r="K37" s="210">
        <f>11700*5</f>
        <v>58500</v>
      </c>
      <c r="L37" s="209" t="s">
        <v>1201</v>
      </c>
      <c r="M37" s="210">
        <v>7650</v>
      </c>
      <c r="N37" s="210">
        <v>3972000</v>
      </c>
      <c r="O37" s="210">
        <v>585000</v>
      </c>
      <c r="P37" s="639">
        <f t="shared" ref="P37:P73" si="4">O37/N37</f>
        <v>0.1472809667673716</v>
      </c>
      <c r="Q37" s="211">
        <f t="shared" ref="Q37:Q73" si="5">(N37-O37)/F37</f>
        <v>19244.31818181818</v>
      </c>
    </row>
    <row r="38" spans="2:17">
      <c r="B38" s="207" t="s">
        <v>1000</v>
      </c>
      <c r="C38" s="208">
        <v>10009</v>
      </c>
      <c r="D38" s="209" t="s">
        <v>1170</v>
      </c>
      <c r="E38" s="209" t="s">
        <v>978</v>
      </c>
      <c r="F38" s="210">
        <v>171</v>
      </c>
      <c r="G38" s="210">
        <v>65700</v>
      </c>
      <c r="H38" s="210">
        <v>385</v>
      </c>
      <c r="I38" s="210">
        <f t="shared" si="3"/>
        <v>65835</v>
      </c>
      <c r="J38" s="1087">
        <v>0</v>
      </c>
      <c r="K38" s="210">
        <v>70000</v>
      </c>
      <c r="L38" s="209" t="s">
        <v>1202</v>
      </c>
      <c r="M38" s="210">
        <v>8550</v>
      </c>
      <c r="N38" s="210">
        <v>6000000</v>
      </c>
      <c r="O38" s="210">
        <v>2300000</v>
      </c>
      <c r="P38" s="639">
        <f t="shared" si="4"/>
        <v>0.38333333333333336</v>
      </c>
      <c r="Q38" s="211">
        <f t="shared" si="5"/>
        <v>21637.426900584796</v>
      </c>
    </row>
    <row r="39" spans="2:17">
      <c r="B39" s="207" t="s">
        <v>1001</v>
      </c>
      <c r="C39" s="208">
        <v>10010</v>
      </c>
      <c r="D39" s="209" t="s">
        <v>1173</v>
      </c>
      <c r="E39" s="209" t="s">
        <v>978</v>
      </c>
      <c r="F39" s="210">
        <v>180</v>
      </c>
      <c r="G39" s="210">
        <v>69300</v>
      </c>
      <c r="H39" s="210">
        <v>301</v>
      </c>
      <c r="I39" s="210">
        <f t="shared" si="3"/>
        <v>54180</v>
      </c>
      <c r="J39" s="1087">
        <v>40000</v>
      </c>
      <c r="K39" s="210">
        <v>69000</v>
      </c>
      <c r="L39" s="209" t="s">
        <v>1203</v>
      </c>
      <c r="M39" s="210">
        <v>9050</v>
      </c>
      <c r="N39" s="210">
        <v>6500000</v>
      </c>
      <c r="O39" s="210">
        <v>1900000</v>
      </c>
      <c r="P39" s="639">
        <f t="shared" si="4"/>
        <v>0.29230769230769232</v>
      </c>
      <c r="Q39" s="211">
        <f t="shared" si="5"/>
        <v>25555.555555555555</v>
      </c>
    </row>
    <row r="40" spans="2:17">
      <c r="B40" s="207" t="s">
        <v>1002</v>
      </c>
      <c r="C40" s="208">
        <v>10011</v>
      </c>
      <c r="D40" s="209" t="s">
        <v>1168</v>
      </c>
      <c r="E40" s="209" t="s">
        <v>978</v>
      </c>
      <c r="F40" s="210">
        <v>158</v>
      </c>
      <c r="G40" s="210">
        <v>69300</v>
      </c>
      <c r="H40" s="210">
        <v>553</v>
      </c>
      <c r="I40" s="210">
        <f t="shared" si="3"/>
        <v>87374</v>
      </c>
      <c r="J40" s="1087">
        <v>0</v>
      </c>
      <c r="K40" s="210">
        <f>42000+58000</f>
        <v>100000</v>
      </c>
      <c r="L40" s="209" t="s">
        <v>1204</v>
      </c>
      <c r="M40" s="210">
        <v>9050</v>
      </c>
      <c r="N40" s="210">
        <v>5041000</v>
      </c>
      <c r="O40" s="210">
        <f>615000+822000</f>
        <v>1437000</v>
      </c>
      <c r="P40" s="639">
        <f t="shared" si="4"/>
        <v>0.28506248760166636</v>
      </c>
      <c r="Q40" s="211">
        <f t="shared" si="5"/>
        <v>22810.126582278481</v>
      </c>
    </row>
    <row r="41" spans="2:17">
      <c r="B41" s="207" t="s">
        <v>1003</v>
      </c>
      <c r="C41" s="208">
        <v>10012</v>
      </c>
      <c r="D41" s="209" t="s">
        <v>1175</v>
      </c>
      <c r="E41" s="209" t="s">
        <v>978</v>
      </c>
      <c r="F41" s="210">
        <v>178</v>
      </c>
      <c r="G41" s="210">
        <v>72900</v>
      </c>
      <c r="H41" s="210">
        <v>466</v>
      </c>
      <c r="I41" s="210">
        <f t="shared" si="3"/>
        <v>82948</v>
      </c>
      <c r="J41" s="1087">
        <v>0</v>
      </c>
      <c r="K41" s="210">
        <f>45000+62000</f>
        <v>107000</v>
      </c>
      <c r="L41" s="209" t="s">
        <v>1205</v>
      </c>
      <c r="M41" s="210">
        <v>9500</v>
      </c>
      <c r="N41" s="210">
        <v>6454000</v>
      </c>
      <c r="O41" s="210">
        <f>263000*3+527000*2</f>
        <v>1843000</v>
      </c>
      <c r="P41" s="639">
        <f t="shared" si="4"/>
        <v>0.28555934304307407</v>
      </c>
      <c r="Q41" s="211">
        <f t="shared" si="5"/>
        <v>25904.494382022473</v>
      </c>
    </row>
    <row r="42" spans="2:17">
      <c r="B42" s="207" t="s">
        <v>1004</v>
      </c>
      <c r="C42" s="208">
        <v>10013</v>
      </c>
      <c r="D42" s="209" t="s">
        <v>1167</v>
      </c>
      <c r="E42" s="209" t="s">
        <v>978</v>
      </c>
      <c r="F42" s="210">
        <v>173</v>
      </c>
      <c r="G42" s="210">
        <v>72900</v>
      </c>
      <c r="H42" s="210">
        <v>464</v>
      </c>
      <c r="I42" s="210">
        <f t="shared" si="3"/>
        <v>80272</v>
      </c>
      <c r="J42" s="1087">
        <v>0</v>
      </c>
      <c r="K42" s="210">
        <v>108000</v>
      </c>
      <c r="L42" s="209" t="s">
        <v>1206</v>
      </c>
      <c r="M42" s="210">
        <v>9500</v>
      </c>
      <c r="N42" s="210">
        <v>7785000</v>
      </c>
      <c r="O42" s="210">
        <f>299000*6</f>
        <v>1794000</v>
      </c>
      <c r="P42" s="639">
        <f t="shared" si="4"/>
        <v>0.23044315992292871</v>
      </c>
      <c r="Q42" s="211">
        <f t="shared" si="5"/>
        <v>34630.057803468211</v>
      </c>
    </row>
    <row r="43" spans="2:17">
      <c r="B43" s="207" t="s">
        <v>1005</v>
      </c>
      <c r="C43" s="208">
        <v>10014</v>
      </c>
      <c r="D43" s="209" t="s">
        <v>1175</v>
      </c>
      <c r="E43" s="209" t="s">
        <v>978</v>
      </c>
      <c r="F43" s="210">
        <v>176</v>
      </c>
      <c r="G43" s="210">
        <v>72900</v>
      </c>
      <c r="H43" s="210">
        <v>187</v>
      </c>
      <c r="I43" s="210">
        <f t="shared" si="3"/>
        <v>32912</v>
      </c>
      <c r="J43" s="1087">
        <v>50000</v>
      </c>
      <c r="K43" s="210">
        <v>108000</v>
      </c>
      <c r="L43" s="209" t="s">
        <v>1263</v>
      </c>
      <c r="M43" s="210">
        <v>9500</v>
      </c>
      <c r="N43" s="210">
        <v>6576000</v>
      </c>
      <c r="O43" s="210">
        <f>313000*6</f>
        <v>1878000</v>
      </c>
      <c r="P43" s="639">
        <f t="shared" si="4"/>
        <v>0.28558394160583944</v>
      </c>
      <c r="Q43" s="211">
        <f t="shared" si="5"/>
        <v>26693.18181818182</v>
      </c>
    </row>
    <row r="44" spans="2:17">
      <c r="B44" s="207" t="s">
        <v>1182</v>
      </c>
      <c r="C44" s="208">
        <v>10018</v>
      </c>
      <c r="D44" s="209" t="s">
        <v>1173</v>
      </c>
      <c r="E44" s="209" t="s">
        <v>978</v>
      </c>
      <c r="F44" s="210">
        <v>179</v>
      </c>
      <c r="G44" s="210">
        <v>81000</v>
      </c>
      <c r="H44" s="210">
        <v>453</v>
      </c>
      <c r="I44" s="210">
        <f t="shared" si="3"/>
        <v>81087</v>
      </c>
      <c r="J44" s="1087">
        <v>0</v>
      </c>
      <c r="K44" s="210">
        <f>54000+39000</f>
        <v>93000</v>
      </c>
      <c r="L44" s="209" t="s">
        <v>1207</v>
      </c>
      <c r="M44" s="210">
        <v>11000</v>
      </c>
      <c r="N44" s="210">
        <v>8491000</v>
      </c>
      <c r="O44" s="210">
        <f>303000*7</f>
        <v>2121000</v>
      </c>
      <c r="P44" s="639">
        <f t="shared" si="4"/>
        <v>0.24979389942291838</v>
      </c>
      <c r="Q44" s="211">
        <f t="shared" si="5"/>
        <v>35586.592178770952</v>
      </c>
    </row>
    <row r="45" spans="2:17">
      <c r="B45" s="207" t="s">
        <v>1183</v>
      </c>
      <c r="C45" s="208">
        <v>10019</v>
      </c>
      <c r="D45" s="209" t="s">
        <v>1171</v>
      </c>
      <c r="E45" s="209" t="s">
        <v>978</v>
      </c>
      <c r="F45" s="210">
        <v>179</v>
      </c>
      <c r="G45" s="210">
        <v>81000</v>
      </c>
      <c r="H45" s="210">
        <v>566</v>
      </c>
      <c r="I45" s="210">
        <f t="shared" si="3"/>
        <v>101314</v>
      </c>
      <c r="J45" s="1089" t="s">
        <v>1208</v>
      </c>
      <c r="K45" s="210">
        <v>120000</v>
      </c>
      <c r="L45" s="209" t="s">
        <v>1797</v>
      </c>
      <c r="M45" s="210">
        <v>11000</v>
      </c>
      <c r="N45" s="210">
        <v>7508000</v>
      </c>
      <c r="O45" s="210">
        <v>2251000</v>
      </c>
      <c r="P45" s="639">
        <f t="shared" si="4"/>
        <v>0.29981353223228557</v>
      </c>
      <c r="Q45" s="211">
        <f t="shared" si="5"/>
        <v>29368.715083798881</v>
      </c>
    </row>
    <row r="46" spans="2:17">
      <c r="B46" s="207" t="s">
        <v>1324</v>
      </c>
      <c r="C46" s="208">
        <v>10020</v>
      </c>
      <c r="D46" s="209" t="s">
        <v>1694</v>
      </c>
      <c r="E46" s="209" t="s">
        <v>978</v>
      </c>
      <c r="F46" s="210">
        <v>174</v>
      </c>
      <c r="G46" s="210">
        <v>90000</v>
      </c>
      <c r="H46" s="210">
        <v>776</v>
      </c>
      <c r="I46" s="210">
        <f t="shared" si="3"/>
        <v>135024</v>
      </c>
      <c r="J46" s="1089">
        <v>0</v>
      </c>
      <c r="K46" s="210">
        <v>133000</v>
      </c>
      <c r="L46" s="209" t="s">
        <v>1798</v>
      </c>
      <c r="M46" s="210">
        <v>12000</v>
      </c>
      <c r="N46" s="210">
        <v>8214000</v>
      </c>
      <c r="O46" s="210">
        <v>2461000</v>
      </c>
      <c r="P46" s="639">
        <f t="shared" si="4"/>
        <v>0.29961042123204285</v>
      </c>
      <c r="Q46" s="211">
        <f t="shared" si="5"/>
        <v>33063.218390804599</v>
      </c>
    </row>
    <row r="47" spans="2:17">
      <c r="B47" s="207" t="s">
        <v>1799</v>
      </c>
      <c r="C47" s="208">
        <v>10022</v>
      </c>
      <c r="D47" s="389" t="s">
        <v>2229</v>
      </c>
      <c r="E47" s="389" t="s">
        <v>978</v>
      </c>
      <c r="F47" s="210">
        <v>186</v>
      </c>
      <c r="G47" s="210">
        <v>90000</v>
      </c>
      <c r="H47" s="210">
        <v>919</v>
      </c>
      <c r="I47" s="210">
        <f t="shared" si="3"/>
        <v>170934</v>
      </c>
      <c r="J47" s="1089" t="s">
        <v>2228</v>
      </c>
      <c r="K47" s="210">
        <f>15000*8</f>
        <v>120000</v>
      </c>
      <c r="L47" s="389" t="s">
        <v>1800</v>
      </c>
      <c r="M47" s="210">
        <v>12000</v>
      </c>
      <c r="N47" s="210">
        <v>8562000</v>
      </c>
      <c r="O47" s="210">
        <f>295000*8</f>
        <v>2360000</v>
      </c>
      <c r="P47" s="639">
        <f t="shared" si="4"/>
        <v>0.27563653352020556</v>
      </c>
      <c r="Q47" s="211">
        <f t="shared" si="5"/>
        <v>33344.086021505376</v>
      </c>
    </row>
    <row r="48" spans="2:17">
      <c r="B48" s="207" t="s">
        <v>2230</v>
      </c>
      <c r="C48" s="208">
        <v>10023</v>
      </c>
      <c r="D48" s="636" t="s">
        <v>660</v>
      </c>
      <c r="E48" s="636" t="s">
        <v>978</v>
      </c>
      <c r="F48" s="210">
        <v>179</v>
      </c>
      <c r="G48" s="210">
        <v>90000</v>
      </c>
      <c r="H48" s="210">
        <v>654</v>
      </c>
      <c r="I48" s="210">
        <f t="shared" si="3"/>
        <v>117066</v>
      </c>
      <c r="J48" s="1089">
        <v>0</v>
      </c>
      <c r="K48" s="210">
        <v>90000</v>
      </c>
      <c r="L48" s="636" t="s">
        <v>2719</v>
      </c>
      <c r="M48" s="210">
        <v>12000</v>
      </c>
      <c r="N48" s="210">
        <v>8633000</v>
      </c>
      <c r="O48" s="210">
        <f>281000*6</f>
        <v>1686000</v>
      </c>
      <c r="P48" s="639">
        <f t="shared" si="4"/>
        <v>0.19529711571875363</v>
      </c>
      <c r="Q48" s="211">
        <f t="shared" si="5"/>
        <v>38810.055865921786</v>
      </c>
    </row>
    <row r="49" spans="2:17">
      <c r="B49" s="207" t="s">
        <v>2280</v>
      </c>
      <c r="C49" s="208">
        <v>10024</v>
      </c>
      <c r="D49" s="641" t="s">
        <v>2278</v>
      </c>
      <c r="E49" s="641" t="s">
        <v>2279</v>
      </c>
      <c r="F49" s="210">
        <v>181</v>
      </c>
      <c r="G49" s="210">
        <v>90000</v>
      </c>
      <c r="H49" s="210">
        <v>547</v>
      </c>
      <c r="I49" s="210">
        <f t="shared" si="3"/>
        <v>99007</v>
      </c>
      <c r="J49" s="1089">
        <v>0</v>
      </c>
      <c r="K49" s="210">
        <v>105000</v>
      </c>
      <c r="L49" s="641" t="s">
        <v>2368</v>
      </c>
      <c r="M49" s="210">
        <v>12000</v>
      </c>
      <c r="N49" s="210">
        <v>9034000</v>
      </c>
      <c r="O49" s="210">
        <v>2256000</v>
      </c>
      <c r="P49" s="639">
        <f t="shared" si="4"/>
        <v>0.24972326765552358</v>
      </c>
      <c r="Q49" s="211">
        <f t="shared" si="5"/>
        <v>37447.513812154699</v>
      </c>
    </row>
    <row r="50" spans="2:17">
      <c r="B50" s="207" t="s">
        <v>2675</v>
      </c>
      <c r="C50" s="208">
        <v>10026</v>
      </c>
      <c r="D50" s="683" t="s">
        <v>579</v>
      </c>
      <c r="E50" s="683" t="s">
        <v>978</v>
      </c>
      <c r="F50" s="210">
        <v>189</v>
      </c>
      <c r="G50" s="210">
        <v>90000</v>
      </c>
      <c r="H50" s="210">
        <v>729</v>
      </c>
      <c r="I50" s="210">
        <f t="shared" si="3"/>
        <v>137781</v>
      </c>
      <c r="J50" s="1089">
        <v>0</v>
      </c>
      <c r="K50" s="210">
        <f>19000*7</f>
        <v>133000</v>
      </c>
      <c r="L50" s="683" t="s">
        <v>2676</v>
      </c>
      <c r="M50" s="210">
        <v>12000</v>
      </c>
      <c r="N50" s="210">
        <v>9454000</v>
      </c>
      <c r="O50" s="210">
        <f>385000*7</f>
        <v>2695000</v>
      </c>
      <c r="P50" s="639">
        <f t="shared" si="4"/>
        <v>0.2850645229532473</v>
      </c>
      <c r="Q50" s="211">
        <f t="shared" si="5"/>
        <v>35761.904761904763</v>
      </c>
    </row>
    <row r="51" spans="2:17">
      <c r="B51" s="979" t="s">
        <v>4413</v>
      </c>
      <c r="C51" s="208">
        <v>10030</v>
      </c>
      <c r="D51" s="978" t="s">
        <v>658</v>
      </c>
      <c r="E51" s="978" t="s">
        <v>978</v>
      </c>
      <c r="F51" s="210">
        <v>158</v>
      </c>
      <c r="G51" s="210">
        <v>90000</v>
      </c>
      <c r="H51" s="210">
        <v>997</v>
      </c>
      <c r="I51" s="210">
        <f t="shared" si="3"/>
        <v>157526</v>
      </c>
      <c r="J51" s="1089" t="s">
        <v>4414</v>
      </c>
      <c r="K51" s="210">
        <f>16000*3+33000</f>
        <v>81000</v>
      </c>
      <c r="L51" s="978" t="s">
        <v>4415</v>
      </c>
      <c r="M51" s="210">
        <v>12000</v>
      </c>
      <c r="N51" s="210">
        <v>7229000</v>
      </c>
      <c r="O51" s="210">
        <f>562000*2+281000+563000</f>
        <v>1968000</v>
      </c>
      <c r="P51" s="639">
        <f t="shared" si="4"/>
        <v>0.27223682390372111</v>
      </c>
      <c r="Q51" s="211">
        <f t="shared" si="5"/>
        <v>33297.468354430377</v>
      </c>
    </row>
    <row r="52" spans="2:17">
      <c r="B52" s="1018" t="s">
        <v>4571</v>
      </c>
      <c r="C52" s="208">
        <v>10031</v>
      </c>
      <c r="D52" s="1017" t="s">
        <v>658</v>
      </c>
      <c r="E52" s="1017" t="s">
        <v>978</v>
      </c>
      <c r="F52" s="210">
        <v>178</v>
      </c>
      <c r="G52" s="210">
        <v>99000</v>
      </c>
      <c r="H52" s="210">
        <v>701</v>
      </c>
      <c r="I52" s="210">
        <f t="shared" si="3"/>
        <v>124778</v>
      </c>
      <c r="J52" s="1089" t="s">
        <v>4572</v>
      </c>
      <c r="K52" s="210">
        <f>16000*4+33000*2</f>
        <v>130000</v>
      </c>
      <c r="L52" s="1017" t="s">
        <v>4573</v>
      </c>
      <c r="M52" s="210">
        <v>13000</v>
      </c>
      <c r="N52" s="210">
        <v>9041000</v>
      </c>
      <c r="O52" s="210">
        <f>311000*4+623000*2</f>
        <v>2490000</v>
      </c>
      <c r="P52" s="639">
        <f t="shared" si="4"/>
        <v>0.27541201194558124</v>
      </c>
      <c r="Q52" s="211">
        <f t="shared" si="5"/>
        <v>36803.370786516854</v>
      </c>
    </row>
    <row r="53" spans="2:17" s="1077" customFormat="1">
      <c r="B53" s="1176" t="s">
        <v>4696</v>
      </c>
      <c r="C53" s="1087">
        <v>10032</v>
      </c>
      <c r="D53" s="1175" t="s">
        <v>578</v>
      </c>
      <c r="E53" s="1175" t="s">
        <v>978</v>
      </c>
      <c r="F53" s="210">
        <v>184</v>
      </c>
      <c r="G53" s="210">
        <v>99000</v>
      </c>
      <c r="H53" s="210">
        <v>942</v>
      </c>
      <c r="I53" s="210">
        <f t="shared" si="3"/>
        <v>173328</v>
      </c>
      <c r="J53" s="1089">
        <v>90000</v>
      </c>
      <c r="K53" s="210">
        <f>33000*2+16000*5</f>
        <v>146000</v>
      </c>
      <c r="L53" s="1175" t="s">
        <v>4697</v>
      </c>
      <c r="M53" s="210">
        <v>13000</v>
      </c>
      <c r="N53" s="210">
        <v>9771000</v>
      </c>
      <c r="O53" s="210">
        <v>2927000</v>
      </c>
      <c r="P53" s="639">
        <f>O53/N53</f>
        <v>0.29955992221881078</v>
      </c>
      <c r="Q53" s="211">
        <f>(N53-O53)/F53</f>
        <v>37195.65217391304</v>
      </c>
    </row>
    <row r="54" spans="2:17" s="1077" customFormat="1">
      <c r="B54" s="1282" t="s">
        <v>4943</v>
      </c>
      <c r="C54" s="1087">
        <v>10034</v>
      </c>
      <c r="D54" s="1297" t="s">
        <v>660</v>
      </c>
      <c r="E54" s="1297" t="s">
        <v>978</v>
      </c>
      <c r="F54" s="210">
        <v>174</v>
      </c>
      <c r="G54" s="210">
        <v>99000</v>
      </c>
      <c r="H54" s="210">
        <v>569</v>
      </c>
      <c r="I54" s="210">
        <f t="shared" si="3"/>
        <v>99006</v>
      </c>
      <c r="J54" s="1089">
        <v>90000</v>
      </c>
      <c r="K54" s="210">
        <v>147000</v>
      </c>
      <c r="L54" s="1281" t="s">
        <v>4944</v>
      </c>
      <c r="M54" s="210">
        <v>13000</v>
      </c>
      <c r="N54" s="210">
        <v>9785000</v>
      </c>
      <c r="O54" s="210">
        <v>2933000</v>
      </c>
      <c r="P54" s="639">
        <f>O54/N54</f>
        <v>0.29974450689831372</v>
      </c>
      <c r="Q54" s="211">
        <f>(N54-O54)/F54</f>
        <v>39379.310344827587</v>
      </c>
    </row>
    <row r="55" spans="2:17">
      <c r="B55" s="207" t="s">
        <v>1006</v>
      </c>
      <c r="C55" s="208">
        <v>11001</v>
      </c>
      <c r="D55" s="209" t="s">
        <v>1170</v>
      </c>
      <c r="E55" s="209" t="s">
        <v>978</v>
      </c>
      <c r="F55" s="210">
        <v>150</v>
      </c>
      <c r="G55" s="210">
        <v>44100</v>
      </c>
      <c r="H55" s="210">
        <v>295</v>
      </c>
      <c r="I55" s="210">
        <f t="shared" si="3"/>
        <v>44250</v>
      </c>
      <c r="J55" s="1087">
        <v>0</v>
      </c>
      <c r="K55" s="210">
        <v>44000</v>
      </c>
      <c r="L55" s="209" t="s">
        <v>1209</v>
      </c>
      <c r="M55" s="210">
        <v>5750</v>
      </c>
      <c r="N55" s="210">
        <v>2391500</v>
      </c>
      <c r="O55" s="210">
        <v>440000</v>
      </c>
      <c r="P55" s="639">
        <f t="shared" si="4"/>
        <v>0.18398494668618023</v>
      </c>
      <c r="Q55" s="211">
        <f t="shared" si="5"/>
        <v>13010</v>
      </c>
    </row>
    <row r="56" spans="2:17">
      <c r="B56" s="207" t="s">
        <v>1007</v>
      </c>
      <c r="C56" s="208">
        <v>11015</v>
      </c>
      <c r="D56" s="209" t="s">
        <v>1171</v>
      </c>
      <c r="E56" s="209" t="s">
        <v>978</v>
      </c>
      <c r="F56" s="210">
        <v>165</v>
      </c>
      <c r="G56" s="210">
        <v>72900</v>
      </c>
      <c r="H56" s="210">
        <v>442</v>
      </c>
      <c r="I56" s="210">
        <f t="shared" si="3"/>
        <v>72930</v>
      </c>
      <c r="J56" s="1087">
        <v>0</v>
      </c>
      <c r="K56" s="210">
        <f>63000+43000</f>
        <v>106000</v>
      </c>
      <c r="L56" s="209" t="s">
        <v>1210</v>
      </c>
      <c r="M56" s="210">
        <v>9500</v>
      </c>
      <c r="N56" s="210">
        <v>6140000</v>
      </c>
      <c r="O56" s="210">
        <f>368000*3+737000</f>
        <v>1841000</v>
      </c>
      <c r="P56" s="639">
        <f t="shared" si="4"/>
        <v>0.29983713355048858</v>
      </c>
      <c r="Q56" s="211">
        <f t="shared" si="5"/>
        <v>26054.545454545456</v>
      </c>
    </row>
    <row r="57" spans="2:17">
      <c r="B57" s="207" t="s">
        <v>1008</v>
      </c>
      <c r="C57" s="208">
        <v>12001</v>
      </c>
      <c r="D57" s="209" t="s">
        <v>1168</v>
      </c>
      <c r="E57" s="209" t="s">
        <v>978</v>
      </c>
      <c r="F57" s="210">
        <v>176</v>
      </c>
      <c r="G57" s="210">
        <v>47700</v>
      </c>
      <c r="H57" s="210">
        <v>272</v>
      </c>
      <c r="I57" s="210">
        <f t="shared" si="3"/>
        <v>47872</v>
      </c>
      <c r="J57" s="1087">
        <v>0</v>
      </c>
      <c r="K57" s="210">
        <f>11900*4</f>
        <v>47600</v>
      </c>
      <c r="L57" s="209" t="s">
        <v>1211</v>
      </c>
      <c r="M57" s="210">
        <v>6250</v>
      </c>
      <c r="N57" s="210">
        <v>2924900</v>
      </c>
      <c r="O57" s="210">
        <v>476000</v>
      </c>
      <c r="P57" s="639">
        <f t="shared" si="4"/>
        <v>0.16274060651646211</v>
      </c>
      <c r="Q57" s="211">
        <f t="shared" si="5"/>
        <v>13914.204545454546</v>
      </c>
    </row>
    <row r="58" spans="2:17">
      <c r="B58" s="207" t="s">
        <v>1009</v>
      </c>
      <c r="C58" s="208">
        <v>12016</v>
      </c>
      <c r="D58" s="209" t="s">
        <v>1168</v>
      </c>
      <c r="E58" s="209" t="s">
        <v>978</v>
      </c>
      <c r="F58" s="210">
        <v>184</v>
      </c>
      <c r="G58" s="210">
        <v>72900</v>
      </c>
      <c r="H58" s="210">
        <v>100</v>
      </c>
      <c r="I58" s="210">
        <f t="shared" si="3"/>
        <v>18400</v>
      </c>
      <c r="J58" s="1087">
        <v>110000</v>
      </c>
      <c r="K58" s="210">
        <v>84000</v>
      </c>
      <c r="L58" s="209" t="s">
        <v>1212</v>
      </c>
      <c r="M58" s="210">
        <v>9500</v>
      </c>
      <c r="N58" s="210">
        <v>6428000</v>
      </c>
      <c r="O58" s="210">
        <f>229000*3+459000*2</f>
        <v>1605000</v>
      </c>
      <c r="P58" s="639">
        <f t="shared" si="4"/>
        <v>0.24968886123210951</v>
      </c>
      <c r="Q58" s="211">
        <f t="shared" si="5"/>
        <v>26211.956521739132</v>
      </c>
    </row>
    <row r="59" spans="2:17">
      <c r="B59" s="207" t="s">
        <v>1010</v>
      </c>
      <c r="C59" s="208">
        <v>13001</v>
      </c>
      <c r="D59" s="209" t="s">
        <v>1173</v>
      </c>
      <c r="E59" s="209" t="s">
        <v>978</v>
      </c>
      <c r="F59" s="210">
        <v>169</v>
      </c>
      <c r="G59" s="210">
        <v>51300</v>
      </c>
      <c r="H59" s="210">
        <v>304</v>
      </c>
      <c r="I59" s="210">
        <f t="shared" si="3"/>
        <v>51376</v>
      </c>
      <c r="J59" s="208">
        <v>0</v>
      </c>
      <c r="K59" s="210">
        <v>51000</v>
      </c>
      <c r="L59" s="209" t="s">
        <v>1213</v>
      </c>
      <c r="M59" s="210">
        <v>6700</v>
      </c>
      <c r="N59" s="210">
        <v>3059600</v>
      </c>
      <c r="O59" s="210">
        <v>510000</v>
      </c>
      <c r="P59" s="639">
        <f t="shared" si="4"/>
        <v>0.16668845600732121</v>
      </c>
      <c r="Q59" s="211">
        <f t="shared" si="5"/>
        <v>15086.390532544379</v>
      </c>
    </row>
    <row r="60" spans="2:17">
      <c r="B60" s="207" t="s">
        <v>1011</v>
      </c>
      <c r="C60" s="208">
        <v>13017</v>
      </c>
      <c r="D60" s="209" t="s">
        <v>1175</v>
      </c>
      <c r="E60" s="209" t="s">
        <v>978</v>
      </c>
      <c r="F60" s="210">
        <v>162</v>
      </c>
      <c r="G60" s="210">
        <v>72900</v>
      </c>
      <c r="H60" s="210">
        <v>1650</v>
      </c>
      <c r="I60" s="210">
        <f t="shared" si="3"/>
        <v>267300</v>
      </c>
      <c r="J60" s="1089" t="s">
        <v>1214</v>
      </c>
      <c r="K60" s="210">
        <v>96000</v>
      </c>
      <c r="L60" s="209" t="s">
        <v>1215</v>
      </c>
      <c r="M60" s="210">
        <v>9500</v>
      </c>
      <c r="N60" s="210">
        <v>5835000</v>
      </c>
      <c r="O60" s="210">
        <f>201000*8</f>
        <v>1608000</v>
      </c>
      <c r="P60" s="639">
        <f t="shared" si="4"/>
        <v>0.27557840616966583</v>
      </c>
      <c r="Q60" s="211">
        <f t="shared" si="5"/>
        <v>26092.592592592591</v>
      </c>
    </row>
    <row r="61" spans="2:17">
      <c r="B61" s="207" t="s">
        <v>973</v>
      </c>
      <c r="C61" s="208">
        <v>20007</v>
      </c>
      <c r="D61" s="209" t="s">
        <v>1167</v>
      </c>
      <c r="E61" s="209" t="s">
        <v>978</v>
      </c>
      <c r="F61" s="210">
        <v>145</v>
      </c>
      <c r="G61" s="210">
        <v>51300</v>
      </c>
      <c r="H61" s="210">
        <v>354</v>
      </c>
      <c r="I61" s="210">
        <f t="shared" si="3"/>
        <v>51330</v>
      </c>
      <c r="J61" s="1089" t="s">
        <v>1216</v>
      </c>
      <c r="K61" s="210">
        <v>51000</v>
      </c>
      <c r="L61" s="209" t="s">
        <v>1217</v>
      </c>
      <c r="M61" s="210">
        <v>6700</v>
      </c>
      <c r="N61" s="210">
        <v>2685000</v>
      </c>
      <c r="O61" s="210">
        <v>510000</v>
      </c>
      <c r="P61" s="639">
        <f t="shared" si="4"/>
        <v>0.18994413407821228</v>
      </c>
      <c r="Q61" s="211">
        <f t="shared" si="5"/>
        <v>15000</v>
      </c>
    </row>
    <row r="62" spans="2:17">
      <c r="B62" s="207" t="s">
        <v>1012</v>
      </c>
      <c r="C62" s="208">
        <v>20017</v>
      </c>
      <c r="D62" s="209" t="s">
        <v>1168</v>
      </c>
      <c r="E62" s="209" t="s">
        <v>978</v>
      </c>
      <c r="F62" s="210">
        <v>145</v>
      </c>
      <c r="G62" s="210">
        <v>81000</v>
      </c>
      <c r="H62" s="210">
        <v>628</v>
      </c>
      <c r="I62" s="210">
        <f t="shared" si="3"/>
        <v>91060</v>
      </c>
      <c r="J62" s="1087">
        <v>0</v>
      </c>
      <c r="K62" s="210">
        <v>80000</v>
      </c>
      <c r="L62" s="209" t="s">
        <v>1218</v>
      </c>
      <c r="M62" s="210">
        <v>11000</v>
      </c>
      <c r="N62" s="210">
        <v>7091000</v>
      </c>
      <c r="O62" s="210">
        <f>262000*2+525000*2</f>
        <v>1574000</v>
      </c>
      <c r="P62" s="639">
        <f t="shared" si="4"/>
        <v>0.22197151318572839</v>
      </c>
      <c r="Q62" s="211">
        <f t="shared" si="5"/>
        <v>38048.275862068964</v>
      </c>
    </row>
    <row r="63" spans="2:17">
      <c r="B63" s="207" t="s">
        <v>1695</v>
      </c>
      <c r="C63" s="208">
        <v>20021</v>
      </c>
      <c r="D63" s="386" t="s">
        <v>1726</v>
      </c>
      <c r="E63" s="386" t="s">
        <v>978</v>
      </c>
      <c r="F63" s="210">
        <v>179</v>
      </c>
      <c r="G63" s="210">
        <v>90000</v>
      </c>
      <c r="H63" s="210">
        <v>503</v>
      </c>
      <c r="I63" s="210">
        <f t="shared" si="3"/>
        <v>90037</v>
      </c>
      <c r="J63" s="208">
        <v>0</v>
      </c>
      <c r="K63" s="210">
        <v>105000</v>
      </c>
      <c r="L63" s="386" t="s">
        <v>1801</v>
      </c>
      <c r="M63" s="210">
        <v>12000</v>
      </c>
      <c r="N63" s="210">
        <v>7874000</v>
      </c>
      <c r="O63" s="210">
        <f>281000*7</f>
        <v>1967000</v>
      </c>
      <c r="P63" s="639">
        <f t="shared" si="4"/>
        <v>0.24980949961899923</v>
      </c>
      <c r="Q63" s="211">
        <f t="shared" si="5"/>
        <v>33000</v>
      </c>
    </row>
    <row r="64" spans="2:17">
      <c r="B64" s="207" t="s">
        <v>2614</v>
      </c>
      <c r="C64" s="208">
        <v>20025</v>
      </c>
      <c r="D64" s="678" t="s">
        <v>2615</v>
      </c>
      <c r="E64" s="678" t="s">
        <v>2612</v>
      </c>
      <c r="F64" s="210">
        <v>173</v>
      </c>
      <c r="G64" s="210">
        <v>90000</v>
      </c>
      <c r="H64" s="210">
        <v>781</v>
      </c>
      <c r="I64" s="210">
        <f t="shared" si="3"/>
        <v>135113</v>
      </c>
      <c r="J64" s="1087">
        <v>0</v>
      </c>
      <c r="K64" s="210">
        <v>76000</v>
      </c>
      <c r="L64" s="678" t="s">
        <v>2616</v>
      </c>
      <c r="M64" s="210">
        <v>12000</v>
      </c>
      <c r="N64" s="210">
        <v>7120000</v>
      </c>
      <c r="O64" s="210">
        <v>1400000</v>
      </c>
      <c r="P64" s="639">
        <f t="shared" si="4"/>
        <v>0.19662921348314608</v>
      </c>
      <c r="Q64" s="211">
        <f t="shared" si="5"/>
        <v>33063.583815028898</v>
      </c>
    </row>
    <row r="65" spans="2:17">
      <c r="B65" s="207" t="s">
        <v>2677</v>
      </c>
      <c r="C65" s="208">
        <v>20026</v>
      </c>
      <c r="D65" s="683" t="s">
        <v>2678</v>
      </c>
      <c r="E65" s="683" t="s">
        <v>978</v>
      </c>
      <c r="F65" s="210">
        <v>167</v>
      </c>
      <c r="G65" s="210">
        <v>90000</v>
      </c>
      <c r="H65" s="210">
        <v>539</v>
      </c>
      <c r="I65" s="210">
        <f t="shared" si="3"/>
        <v>90013</v>
      </c>
      <c r="J65" s="1087">
        <v>0</v>
      </c>
      <c r="K65" s="210">
        <f>16000*4+33000</f>
        <v>97000</v>
      </c>
      <c r="L65" s="683" t="s">
        <v>2679</v>
      </c>
      <c r="M65" s="210">
        <v>12000</v>
      </c>
      <c r="N65" s="210">
        <v>7233000</v>
      </c>
      <c r="O65" s="210">
        <f>296000*4+593000</f>
        <v>1777000</v>
      </c>
      <c r="P65" s="639">
        <f t="shared" si="4"/>
        <v>0.24567952440204618</v>
      </c>
      <c r="Q65" s="211">
        <f t="shared" si="5"/>
        <v>32670.65868263473</v>
      </c>
    </row>
    <row r="66" spans="2:17">
      <c r="B66" s="207" t="s">
        <v>4084</v>
      </c>
      <c r="C66" s="208">
        <v>20028</v>
      </c>
      <c r="D66" s="881" t="s">
        <v>657</v>
      </c>
      <c r="E66" s="881" t="s">
        <v>978</v>
      </c>
      <c r="F66" s="210">
        <v>161</v>
      </c>
      <c r="G66" s="210">
        <v>90000</v>
      </c>
      <c r="H66" s="210">
        <v>861</v>
      </c>
      <c r="I66" s="210">
        <f t="shared" si="3"/>
        <v>138621</v>
      </c>
      <c r="J66" s="1087">
        <v>0</v>
      </c>
      <c r="K66" s="210">
        <f>18750*4+37500*2</f>
        <v>150000</v>
      </c>
      <c r="L66" s="881" t="s">
        <v>4085</v>
      </c>
      <c r="M66" s="210">
        <v>12000</v>
      </c>
      <c r="N66" s="210">
        <v>10265000</v>
      </c>
      <c r="O66" s="210">
        <f>636250*2+317500*4</f>
        <v>2542500</v>
      </c>
      <c r="P66" s="639">
        <f t="shared" si="4"/>
        <v>0.24768631271310276</v>
      </c>
      <c r="Q66" s="211">
        <f t="shared" si="5"/>
        <v>47965.838509316767</v>
      </c>
    </row>
    <row r="67" spans="2:17">
      <c r="B67" s="207" t="s">
        <v>4276</v>
      </c>
      <c r="C67" s="208">
        <v>20029</v>
      </c>
      <c r="D67" s="926" t="s">
        <v>4277</v>
      </c>
      <c r="E67" s="926" t="s">
        <v>978</v>
      </c>
      <c r="F67" s="210">
        <v>174</v>
      </c>
      <c r="G67" s="210">
        <v>90000</v>
      </c>
      <c r="H67" s="210">
        <v>983</v>
      </c>
      <c r="I67" s="210">
        <f t="shared" si="3"/>
        <v>171042</v>
      </c>
      <c r="J67" s="1089" t="s">
        <v>4278</v>
      </c>
      <c r="K67" s="210">
        <v>135000</v>
      </c>
      <c r="L67" s="926" t="s">
        <v>4279</v>
      </c>
      <c r="M67" s="210">
        <v>12000</v>
      </c>
      <c r="N67" s="210">
        <v>8212000</v>
      </c>
      <c r="O67" s="210">
        <v>2459000</v>
      </c>
      <c r="P67" s="639">
        <f t="shared" si="4"/>
        <v>0.2994398441305407</v>
      </c>
      <c r="Q67" s="211">
        <f t="shared" si="5"/>
        <v>33063.218390804599</v>
      </c>
    </row>
    <row r="68" spans="2:17">
      <c r="B68" s="979" t="s">
        <v>4416</v>
      </c>
      <c r="C68" s="208">
        <v>20030</v>
      </c>
      <c r="D68" s="978" t="s">
        <v>658</v>
      </c>
      <c r="E68" s="978" t="s">
        <v>978</v>
      </c>
      <c r="F68" s="210">
        <v>176</v>
      </c>
      <c r="G68" s="210">
        <v>90000</v>
      </c>
      <c r="H68" s="210">
        <v>614</v>
      </c>
      <c r="I68" s="210">
        <f t="shared" si="3"/>
        <v>108064</v>
      </c>
      <c r="J68" s="1089">
        <v>0</v>
      </c>
      <c r="K68" s="210">
        <v>135000</v>
      </c>
      <c r="L68" s="978" t="s">
        <v>1464</v>
      </c>
      <c r="M68" s="210">
        <v>12000</v>
      </c>
      <c r="N68" s="210">
        <v>8300000</v>
      </c>
      <c r="O68" s="210">
        <f>276000*9+2000</f>
        <v>2486000</v>
      </c>
      <c r="P68" s="639">
        <f t="shared" si="4"/>
        <v>0.29951807228915661</v>
      </c>
      <c r="Q68" s="211">
        <f t="shared" si="5"/>
        <v>33034.090909090912</v>
      </c>
    </row>
    <row r="69" spans="2:17" s="1077" customFormat="1">
      <c r="B69" s="1298" t="s">
        <v>4945</v>
      </c>
      <c r="C69" s="1087">
        <v>21034</v>
      </c>
      <c r="D69" s="1297" t="s">
        <v>657</v>
      </c>
      <c r="E69" s="1297" t="s">
        <v>978</v>
      </c>
      <c r="F69" s="210">
        <v>162</v>
      </c>
      <c r="G69" s="210">
        <v>99000</v>
      </c>
      <c r="H69" s="210">
        <v>612</v>
      </c>
      <c r="I69" s="210">
        <f t="shared" si="3"/>
        <v>99144</v>
      </c>
      <c r="J69" s="1089">
        <v>120000</v>
      </c>
      <c r="K69" s="210">
        <v>105000</v>
      </c>
      <c r="L69" s="1297" t="s">
        <v>4946</v>
      </c>
      <c r="M69" s="210">
        <v>13000</v>
      </c>
      <c r="N69" s="210">
        <v>7837000</v>
      </c>
      <c r="O69" s="210">
        <v>1835000</v>
      </c>
      <c r="P69" s="639">
        <f t="shared" ref="P69" si="6">O69/N69</f>
        <v>0.23414571902513717</v>
      </c>
      <c r="Q69" s="211">
        <f t="shared" ref="Q69" si="7">(N69-O69)/F69</f>
        <v>37049.382716049382</v>
      </c>
    </row>
    <row r="70" spans="2:17" s="1077" customFormat="1">
      <c r="B70" s="1246" t="s">
        <v>4819</v>
      </c>
      <c r="C70" s="1087">
        <v>22033</v>
      </c>
      <c r="D70" s="1245" t="s">
        <v>660</v>
      </c>
      <c r="E70" s="1245" t="s">
        <v>978</v>
      </c>
      <c r="F70" s="210">
        <v>177</v>
      </c>
      <c r="G70" s="210">
        <v>99000</v>
      </c>
      <c r="H70" s="210">
        <v>784</v>
      </c>
      <c r="I70" s="210">
        <f t="shared" si="3"/>
        <v>138768</v>
      </c>
      <c r="J70" s="1089">
        <v>40000</v>
      </c>
      <c r="K70" s="210">
        <f>16000*5+33000*3</f>
        <v>179000</v>
      </c>
      <c r="L70" s="1245" t="s">
        <v>4820</v>
      </c>
      <c r="M70" s="210">
        <v>13000</v>
      </c>
      <c r="N70" s="210">
        <v>9934000</v>
      </c>
      <c r="O70" s="210">
        <v>3410000</v>
      </c>
      <c r="P70" s="639">
        <f>O70/N70</f>
        <v>0.34326555264747333</v>
      </c>
      <c r="Q70" s="211">
        <f>(N70-O70)/F70</f>
        <v>36858.757062146891</v>
      </c>
    </row>
    <row r="71" spans="2:17" s="1077" customFormat="1">
      <c r="B71" s="1298" t="s">
        <v>4947</v>
      </c>
      <c r="C71" s="1087">
        <v>24034</v>
      </c>
      <c r="D71" s="1297" t="s">
        <v>658</v>
      </c>
      <c r="E71" s="1297" t="s">
        <v>978</v>
      </c>
      <c r="F71" s="210">
        <v>172</v>
      </c>
      <c r="G71" s="210">
        <v>99000</v>
      </c>
      <c r="H71" s="210">
        <v>662</v>
      </c>
      <c r="I71" s="210">
        <f t="shared" si="3"/>
        <v>113864</v>
      </c>
      <c r="J71" s="1089">
        <v>0</v>
      </c>
      <c r="K71" s="210">
        <f>16000*5+33000*2</f>
        <v>146000</v>
      </c>
      <c r="L71" s="1297" t="s">
        <v>4948</v>
      </c>
      <c r="M71" s="210">
        <v>13000</v>
      </c>
      <c r="N71" s="210">
        <v>9063000</v>
      </c>
      <c r="O71" s="210">
        <v>2718000</v>
      </c>
      <c r="P71" s="639">
        <f>O71/N71</f>
        <v>0.29990069513406159</v>
      </c>
      <c r="Q71" s="211">
        <f>(N71-O71)/F71</f>
        <v>36889.534883720931</v>
      </c>
    </row>
    <row r="72" spans="2:17">
      <c r="B72" s="207" t="s">
        <v>2247</v>
      </c>
      <c r="C72" s="208">
        <v>25011</v>
      </c>
      <c r="D72" s="209" t="s">
        <v>1167</v>
      </c>
      <c r="E72" s="209" t="s">
        <v>978</v>
      </c>
      <c r="F72" s="210">
        <v>165</v>
      </c>
      <c r="G72" s="210">
        <v>47700</v>
      </c>
      <c r="H72" s="210">
        <v>290</v>
      </c>
      <c r="I72" s="210">
        <f t="shared" si="3"/>
        <v>47850</v>
      </c>
      <c r="J72" s="1087">
        <v>0</v>
      </c>
      <c r="K72" s="210">
        <v>47700</v>
      </c>
      <c r="L72" s="209" t="s">
        <v>2246</v>
      </c>
      <c r="M72" s="210">
        <v>6250</v>
      </c>
      <c r="N72" s="210">
        <v>2909200</v>
      </c>
      <c r="O72" s="210">
        <f>159000*3</f>
        <v>477000</v>
      </c>
      <c r="P72" s="639">
        <f t="shared" si="4"/>
        <v>0.16396260140244739</v>
      </c>
      <c r="Q72" s="211">
        <f t="shared" si="5"/>
        <v>14740.60606060606</v>
      </c>
    </row>
    <row r="73" spans="2:17">
      <c r="B73" s="207" t="s">
        <v>1013</v>
      </c>
      <c r="C73" s="208">
        <v>25012</v>
      </c>
      <c r="D73" s="209" t="s">
        <v>1171</v>
      </c>
      <c r="E73" s="209" t="s">
        <v>978</v>
      </c>
      <c r="F73" s="210">
        <v>176</v>
      </c>
      <c r="G73" s="210">
        <v>69300</v>
      </c>
      <c r="H73" s="210">
        <v>520</v>
      </c>
      <c r="I73" s="210">
        <f t="shared" si="3"/>
        <v>91520</v>
      </c>
      <c r="J73" s="1087">
        <v>-30000</v>
      </c>
      <c r="K73" s="210">
        <v>99000</v>
      </c>
      <c r="L73" s="209" t="s">
        <v>1573</v>
      </c>
      <c r="M73" s="210">
        <v>9050</v>
      </c>
      <c r="N73" s="210">
        <v>6000000</v>
      </c>
      <c r="O73" s="210">
        <v>2100000</v>
      </c>
      <c r="P73" s="639">
        <f t="shared" si="4"/>
        <v>0.35</v>
      </c>
      <c r="Q73" s="211">
        <f t="shared" si="5"/>
        <v>22159.090909090908</v>
      </c>
    </row>
    <row r="74" spans="2:17">
      <c r="B74" s="207" t="s">
        <v>1184</v>
      </c>
      <c r="C74" s="208">
        <v>25013</v>
      </c>
      <c r="D74" s="209" t="s">
        <v>1173</v>
      </c>
      <c r="E74" s="209" t="s">
        <v>978</v>
      </c>
      <c r="F74" s="210">
        <v>173</v>
      </c>
      <c r="G74" s="210">
        <v>81000</v>
      </c>
      <c r="H74" s="210">
        <v>475</v>
      </c>
      <c r="I74" s="210">
        <f t="shared" ref="I74:I105" si="8">H74*F74</f>
        <v>82175</v>
      </c>
      <c r="J74" s="208">
        <v>0</v>
      </c>
      <c r="K74" s="210">
        <v>135000</v>
      </c>
      <c r="L74" s="209" t="s">
        <v>1375</v>
      </c>
      <c r="M74" s="210">
        <v>11000</v>
      </c>
      <c r="N74" s="210">
        <v>7500000</v>
      </c>
      <c r="O74" s="210">
        <v>2100000</v>
      </c>
      <c r="P74" s="639">
        <f t="shared" ref="P74:P105" si="9">O74/N74</f>
        <v>0.28000000000000003</v>
      </c>
      <c r="Q74" s="211">
        <f t="shared" ref="Q74:Q105" si="10">(N74-O74)/F74</f>
        <v>31213.872832369943</v>
      </c>
    </row>
    <row r="75" spans="2:17">
      <c r="B75" s="1013" t="s">
        <v>4487</v>
      </c>
      <c r="C75" s="208">
        <v>25014</v>
      </c>
      <c r="D75" s="1012" t="s">
        <v>579</v>
      </c>
      <c r="E75" s="1012" t="s">
        <v>978</v>
      </c>
      <c r="F75" s="210">
        <v>170</v>
      </c>
      <c r="G75" s="210">
        <v>99000</v>
      </c>
      <c r="H75" s="210">
        <v>967</v>
      </c>
      <c r="I75" s="210">
        <f t="shared" si="8"/>
        <v>164390</v>
      </c>
      <c r="J75" s="1087">
        <v>40000</v>
      </c>
      <c r="K75" s="210">
        <f>127000</f>
        <v>127000</v>
      </c>
      <c r="L75" s="1012" t="s">
        <v>4497</v>
      </c>
      <c r="M75" s="210">
        <v>13000</v>
      </c>
      <c r="N75" s="210">
        <v>8628000</v>
      </c>
      <c r="O75" s="210">
        <f>336000*7</f>
        <v>2352000</v>
      </c>
      <c r="P75" s="639">
        <f t="shared" si="9"/>
        <v>0.27260083449235051</v>
      </c>
      <c r="Q75" s="211">
        <f t="shared" si="10"/>
        <v>36917.647058823532</v>
      </c>
    </row>
    <row r="76" spans="2:17">
      <c r="B76" s="207" t="s">
        <v>1014</v>
      </c>
      <c r="C76" s="208">
        <v>25021</v>
      </c>
      <c r="D76" s="209" t="s">
        <v>1170</v>
      </c>
      <c r="E76" s="209" t="s">
        <v>978</v>
      </c>
      <c r="F76" s="210">
        <v>135</v>
      </c>
      <c r="G76" s="210">
        <v>47700</v>
      </c>
      <c r="H76" s="210">
        <v>354</v>
      </c>
      <c r="I76" s="210">
        <f t="shared" si="8"/>
        <v>47790</v>
      </c>
      <c r="J76" s="208">
        <v>0</v>
      </c>
      <c r="K76" s="210">
        <v>45000</v>
      </c>
      <c r="L76" s="209" t="s">
        <v>1219</v>
      </c>
      <c r="M76" s="210">
        <v>6250</v>
      </c>
      <c r="N76" s="210">
        <v>2335500</v>
      </c>
      <c r="O76" s="210">
        <v>450000</v>
      </c>
      <c r="P76" s="639">
        <f t="shared" si="9"/>
        <v>0.19267822736030829</v>
      </c>
      <c r="Q76" s="211">
        <f t="shared" si="10"/>
        <v>13966.666666666666</v>
      </c>
    </row>
    <row r="77" spans="2:17">
      <c r="B77" s="207" t="s">
        <v>1015</v>
      </c>
      <c r="C77" s="208">
        <v>25022</v>
      </c>
      <c r="D77" s="209" t="s">
        <v>1173</v>
      </c>
      <c r="E77" s="209" t="s">
        <v>978</v>
      </c>
      <c r="F77" s="210">
        <v>182</v>
      </c>
      <c r="G77" s="210">
        <v>69300</v>
      </c>
      <c r="H77" s="210">
        <v>457</v>
      </c>
      <c r="I77" s="210">
        <f t="shared" si="8"/>
        <v>83174</v>
      </c>
      <c r="J77" s="208">
        <v>0</v>
      </c>
      <c r="K77" s="210">
        <v>98000</v>
      </c>
      <c r="L77" s="209" t="s">
        <v>2231</v>
      </c>
      <c r="M77" s="210">
        <v>9050</v>
      </c>
      <c r="N77" s="210">
        <v>4826000</v>
      </c>
      <c r="O77" s="210">
        <v>660000</v>
      </c>
      <c r="P77" s="639">
        <f t="shared" si="9"/>
        <v>0.13675922088686282</v>
      </c>
      <c r="Q77" s="211">
        <f t="shared" si="10"/>
        <v>22890.109890109889</v>
      </c>
    </row>
    <row r="78" spans="2:17">
      <c r="B78" s="207" t="s">
        <v>1016</v>
      </c>
      <c r="C78" s="208">
        <v>25023</v>
      </c>
      <c r="D78" s="209" t="s">
        <v>1167</v>
      </c>
      <c r="E78" s="209" t="s">
        <v>978</v>
      </c>
      <c r="F78" s="210">
        <v>168</v>
      </c>
      <c r="G78" s="210">
        <v>81000</v>
      </c>
      <c r="H78" s="210">
        <v>1450</v>
      </c>
      <c r="I78" s="210">
        <f t="shared" si="8"/>
        <v>243600</v>
      </c>
      <c r="J78" s="1089" t="s">
        <v>1220</v>
      </c>
      <c r="K78" s="210">
        <v>102000</v>
      </c>
      <c r="L78" s="209" t="s">
        <v>1221</v>
      </c>
      <c r="M78" s="210">
        <v>11000</v>
      </c>
      <c r="N78" s="210">
        <v>6775000</v>
      </c>
      <c r="O78" s="210">
        <v>1818000</v>
      </c>
      <c r="P78" s="639">
        <f t="shared" si="9"/>
        <v>0.26833948339483393</v>
      </c>
      <c r="Q78" s="211">
        <f t="shared" si="10"/>
        <v>29505.952380952382</v>
      </c>
    </row>
    <row r="79" spans="2:17">
      <c r="B79" s="1013" t="s">
        <v>4488</v>
      </c>
      <c r="C79" s="208">
        <v>25024</v>
      </c>
      <c r="D79" s="1012" t="s">
        <v>659</v>
      </c>
      <c r="E79" s="1012" t="s">
        <v>978</v>
      </c>
      <c r="F79" s="210">
        <v>162</v>
      </c>
      <c r="G79" s="210">
        <v>99000</v>
      </c>
      <c r="H79" s="210">
        <v>826</v>
      </c>
      <c r="I79" s="210">
        <f t="shared" si="8"/>
        <v>133812</v>
      </c>
      <c r="J79" s="1089">
        <v>0</v>
      </c>
      <c r="K79" s="210">
        <v>105000</v>
      </c>
      <c r="L79" s="1012" t="s">
        <v>4502</v>
      </c>
      <c r="M79" s="210">
        <v>13000</v>
      </c>
      <c r="N79" s="210">
        <v>7837000</v>
      </c>
      <c r="O79" s="210">
        <f>367000*5</f>
        <v>1835000</v>
      </c>
      <c r="P79" s="639">
        <f t="shared" si="9"/>
        <v>0.23414571902513717</v>
      </c>
      <c r="Q79" s="211">
        <f t="shared" si="10"/>
        <v>37049.382716049382</v>
      </c>
    </row>
    <row r="80" spans="2:17">
      <c r="B80" s="207" t="s">
        <v>1017</v>
      </c>
      <c r="C80" s="208">
        <v>25031</v>
      </c>
      <c r="D80" s="209" t="s">
        <v>1170</v>
      </c>
      <c r="E80" s="209" t="s">
        <v>978</v>
      </c>
      <c r="F80" s="210">
        <v>135</v>
      </c>
      <c r="G80" s="210">
        <v>47700</v>
      </c>
      <c r="H80" s="210">
        <v>354</v>
      </c>
      <c r="I80" s="210">
        <f t="shared" si="8"/>
        <v>47790</v>
      </c>
      <c r="J80" s="1087">
        <v>0</v>
      </c>
      <c r="K80" s="210">
        <f>11900*4</f>
        <v>47600</v>
      </c>
      <c r="L80" s="209" t="s">
        <v>1222</v>
      </c>
      <c r="M80" s="210">
        <v>6250</v>
      </c>
      <c r="N80" s="210">
        <v>2361500</v>
      </c>
      <c r="O80" s="210">
        <v>476000</v>
      </c>
      <c r="P80" s="639">
        <f t="shared" si="9"/>
        <v>0.20156680076222741</v>
      </c>
      <c r="Q80" s="211">
        <f t="shared" si="10"/>
        <v>13966.666666666666</v>
      </c>
    </row>
    <row r="81" spans="2:17">
      <c r="B81" s="207" t="s">
        <v>1018</v>
      </c>
      <c r="C81" s="208">
        <v>25032</v>
      </c>
      <c r="D81" s="209" t="s">
        <v>1170</v>
      </c>
      <c r="E81" s="209" t="s">
        <v>978</v>
      </c>
      <c r="F81" s="210">
        <v>157</v>
      </c>
      <c r="G81" s="210">
        <v>69300</v>
      </c>
      <c r="H81" s="210">
        <v>575</v>
      </c>
      <c r="I81" s="210">
        <f t="shared" si="8"/>
        <v>90275</v>
      </c>
      <c r="J81" s="1087">
        <v>-20000</v>
      </c>
      <c r="K81" s="210">
        <v>102000</v>
      </c>
      <c r="L81" s="209" t="s">
        <v>1223</v>
      </c>
      <c r="M81" s="210">
        <v>9050</v>
      </c>
      <c r="N81" s="210">
        <v>5000000</v>
      </c>
      <c r="O81" s="210">
        <v>1600000</v>
      </c>
      <c r="P81" s="639">
        <f t="shared" si="9"/>
        <v>0.32</v>
      </c>
      <c r="Q81" s="211">
        <f t="shared" si="10"/>
        <v>21656.050955414012</v>
      </c>
    </row>
    <row r="82" spans="2:17">
      <c r="B82" s="207" t="s">
        <v>1185</v>
      </c>
      <c r="C82" s="208">
        <v>25033</v>
      </c>
      <c r="D82" s="209" t="s">
        <v>1168</v>
      </c>
      <c r="E82" s="209" t="s">
        <v>978</v>
      </c>
      <c r="F82" s="210">
        <v>148</v>
      </c>
      <c r="G82" s="210">
        <v>81000</v>
      </c>
      <c r="H82" s="210">
        <v>900</v>
      </c>
      <c r="I82" s="210">
        <f t="shared" si="8"/>
        <v>133200</v>
      </c>
      <c r="J82" s="208">
        <v>0</v>
      </c>
      <c r="K82" s="210">
        <f>54000+39000</f>
        <v>93000</v>
      </c>
      <c r="L82" s="209" t="s">
        <v>1376</v>
      </c>
      <c r="M82" s="210">
        <v>11000</v>
      </c>
      <c r="N82" s="210">
        <v>7000000</v>
      </c>
      <c r="O82" s="210">
        <v>1444000</v>
      </c>
      <c r="P82" s="639">
        <f t="shared" si="9"/>
        <v>0.20628571428571429</v>
      </c>
      <c r="Q82" s="211">
        <f t="shared" si="10"/>
        <v>37540.54054054054</v>
      </c>
    </row>
    <row r="83" spans="2:17">
      <c r="B83" s="1013" t="s">
        <v>4489</v>
      </c>
      <c r="C83" s="208">
        <v>25034</v>
      </c>
      <c r="D83" s="1012" t="s">
        <v>578</v>
      </c>
      <c r="E83" s="1012" t="s">
        <v>978</v>
      </c>
      <c r="F83" s="210">
        <v>173</v>
      </c>
      <c r="G83" s="210">
        <v>99000</v>
      </c>
      <c r="H83" s="210">
        <v>601</v>
      </c>
      <c r="I83" s="210">
        <f t="shared" si="8"/>
        <v>103973</v>
      </c>
      <c r="J83" s="208">
        <v>0</v>
      </c>
      <c r="K83" s="210">
        <v>91000</v>
      </c>
      <c r="L83" s="1012" t="s">
        <v>4503</v>
      </c>
      <c r="M83" s="210">
        <v>13000</v>
      </c>
      <c r="N83" s="210">
        <v>9298000</v>
      </c>
      <c r="O83" s="210">
        <f>341000*3+683000</f>
        <v>1706000</v>
      </c>
      <c r="P83" s="639">
        <f t="shared" si="9"/>
        <v>0.18348031834803183</v>
      </c>
      <c r="Q83" s="211">
        <f t="shared" si="10"/>
        <v>43884.393063583811</v>
      </c>
    </row>
    <row r="84" spans="2:17">
      <c r="B84" s="207" t="s">
        <v>1019</v>
      </c>
      <c r="C84" s="208">
        <v>25041</v>
      </c>
      <c r="D84" s="209" t="s">
        <v>1175</v>
      </c>
      <c r="E84" s="209" t="s">
        <v>978</v>
      </c>
      <c r="F84" s="210">
        <v>133</v>
      </c>
      <c r="G84" s="210">
        <v>47700</v>
      </c>
      <c r="H84" s="210">
        <v>359</v>
      </c>
      <c r="I84" s="210">
        <f t="shared" si="8"/>
        <v>47747</v>
      </c>
      <c r="J84" s="1087">
        <v>0</v>
      </c>
      <c r="K84" s="210">
        <v>47700</v>
      </c>
      <c r="L84" s="209" t="s">
        <v>1224</v>
      </c>
      <c r="M84" s="210">
        <v>6250</v>
      </c>
      <c r="N84" s="210">
        <v>2337000</v>
      </c>
      <c r="O84" s="210">
        <v>477000</v>
      </c>
      <c r="P84" s="639">
        <f t="shared" si="9"/>
        <v>0.20410783055198972</v>
      </c>
      <c r="Q84" s="211">
        <f t="shared" si="10"/>
        <v>13984.962406015038</v>
      </c>
    </row>
    <row r="85" spans="2:17">
      <c r="B85" s="207" t="s">
        <v>1020</v>
      </c>
      <c r="C85" s="208">
        <v>25042</v>
      </c>
      <c r="D85" s="209" t="s">
        <v>1175</v>
      </c>
      <c r="E85" s="209" t="s">
        <v>978</v>
      </c>
      <c r="F85" s="210">
        <v>170</v>
      </c>
      <c r="G85" s="210">
        <v>69300</v>
      </c>
      <c r="H85" s="210">
        <v>380</v>
      </c>
      <c r="I85" s="210">
        <f t="shared" si="8"/>
        <v>64600</v>
      </c>
      <c r="J85" s="1087">
        <v>0</v>
      </c>
      <c r="K85" s="210">
        <v>102000</v>
      </c>
      <c r="L85" s="209" t="s">
        <v>1572</v>
      </c>
      <c r="M85" s="210">
        <v>9050</v>
      </c>
      <c r="N85" s="210">
        <v>4596000</v>
      </c>
      <c r="O85" s="210">
        <v>680000</v>
      </c>
      <c r="P85" s="639">
        <f t="shared" si="9"/>
        <v>0.14795474325500435</v>
      </c>
      <c r="Q85" s="211">
        <f t="shared" si="10"/>
        <v>23035.294117647059</v>
      </c>
    </row>
    <row r="86" spans="2:17">
      <c r="B86" s="207" t="s">
        <v>1021</v>
      </c>
      <c r="C86" s="208">
        <v>25043</v>
      </c>
      <c r="D86" s="209" t="s">
        <v>1170</v>
      </c>
      <c r="E86" s="209" t="s">
        <v>978</v>
      </c>
      <c r="F86" s="210">
        <v>162</v>
      </c>
      <c r="G86" s="210">
        <v>81000</v>
      </c>
      <c r="H86" s="210">
        <v>801</v>
      </c>
      <c r="I86" s="210">
        <f t="shared" si="8"/>
        <v>129762</v>
      </c>
      <c r="J86" s="208">
        <v>0</v>
      </c>
      <c r="K86" s="210">
        <f>12000+24000+48000+18000</f>
        <v>102000</v>
      </c>
      <c r="L86" s="209" t="s">
        <v>1377</v>
      </c>
      <c r="M86" s="210">
        <v>11000</v>
      </c>
      <c r="N86" s="210">
        <v>6844000</v>
      </c>
      <c r="O86" s="210">
        <v>2051000</v>
      </c>
      <c r="P86" s="639">
        <f t="shared" si="9"/>
        <v>0.29967855055523085</v>
      </c>
      <c r="Q86" s="211">
        <f t="shared" si="10"/>
        <v>29586.419753086418</v>
      </c>
    </row>
    <row r="87" spans="2:17">
      <c r="B87" s="1013" t="s">
        <v>4490</v>
      </c>
      <c r="C87" s="208">
        <v>25044</v>
      </c>
      <c r="D87" s="1012" t="s">
        <v>660</v>
      </c>
      <c r="E87" s="1012" t="s">
        <v>978</v>
      </c>
      <c r="F87" s="210">
        <v>178</v>
      </c>
      <c r="G87" s="210">
        <v>99000</v>
      </c>
      <c r="H87" s="210">
        <v>612</v>
      </c>
      <c r="I87" s="210">
        <f t="shared" si="8"/>
        <v>108936</v>
      </c>
      <c r="J87" s="208">
        <v>0</v>
      </c>
      <c r="K87" s="210">
        <f>16000*9+2000</f>
        <v>146000</v>
      </c>
      <c r="L87" s="1012" t="s">
        <v>4504</v>
      </c>
      <c r="M87" s="210">
        <v>13000</v>
      </c>
      <c r="N87" s="210">
        <v>10287000</v>
      </c>
      <c r="O87" s="210">
        <f>311000*9+2000</f>
        <v>2801000</v>
      </c>
      <c r="P87" s="639">
        <f t="shared" si="9"/>
        <v>0.27228540876834839</v>
      </c>
      <c r="Q87" s="211">
        <f t="shared" si="10"/>
        <v>42056.1797752809</v>
      </c>
    </row>
    <row r="88" spans="2:17">
      <c r="B88" s="207" t="s">
        <v>1022</v>
      </c>
      <c r="C88" s="208">
        <v>25051</v>
      </c>
      <c r="D88" s="209" t="s">
        <v>1173</v>
      </c>
      <c r="E88" s="209" t="s">
        <v>978</v>
      </c>
      <c r="F88" s="210">
        <v>149</v>
      </c>
      <c r="G88" s="210">
        <v>47700</v>
      </c>
      <c r="H88" s="210">
        <v>321</v>
      </c>
      <c r="I88" s="210">
        <f t="shared" si="8"/>
        <v>47829</v>
      </c>
      <c r="J88" s="1087">
        <v>0</v>
      </c>
      <c r="K88" s="210">
        <v>47600</v>
      </c>
      <c r="L88" s="209" t="s">
        <v>1225</v>
      </c>
      <c r="M88" s="210">
        <v>6250</v>
      </c>
      <c r="N88" s="210">
        <v>2539800</v>
      </c>
      <c r="O88" s="210">
        <v>476000</v>
      </c>
      <c r="P88" s="639">
        <f t="shared" si="9"/>
        <v>0.18741633199464525</v>
      </c>
      <c r="Q88" s="211">
        <f t="shared" si="10"/>
        <v>13851.006711409396</v>
      </c>
    </row>
    <row r="89" spans="2:17">
      <c r="B89" s="207" t="s">
        <v>1023</v>
      </c>
      <c r="C89" s="208">
        <v>25052</v>
      </c>
      <c r="D89" s="209" t="s">
        <v>1167</v>
      </c>
      <c r="E89" s="209" t="s">
        <v>978</v>
      </c>
      <c r="F89" s="210">
        <v>170</v>
      </c>
      <c r="G89" s="210">
        <v>69300</v>
      </c>
      <c r="H89" s="210">
        <v>408</v>
      </c>
      <c r="I89" s="210">
        <f t="shared" si="8"/>
        <v>69360</v>
      </c>
      <c r="J89" s="208">
        <v>-20000</v>
      </c>
      <c r="K89" s="210">
        <v>102000</v>
      </c>
      <c r="L89" s="209" t="s">
        <v>1574</v>
      </c>
      <c r="M89" s="210">
        <v>9050</v>
      </c>
      <c r="N89" s="210">
        <v>5500000</v>
      </c>
      <c r="O89" s="210">
        <v>1600000</v>
      </c>
      <c r="P89" s="639">
        <f t="shared" si="9"/>
        <v>0.29090909090909089</v>
      </c>
      <c r="Q89" s="211">
        <f t="shared" si="10"/>
        <v>22941.176470588234</v>
      </c>
    </row>
    <row r="90" spans="2:17">
      <c r="B90" s="207" t="s">
        <v>1186</v>
      </c>
      <c r="C90" s="208">
        <v>25053</v>
      </c>
      <c r="D90" s="209" t="s">
        <v>1175</v>
      </c>
      <c r="E90" s="209" t="s">
        <v>978</v>
      </c>
      <c r="F90" s="210">
        <v>167</v>
      </c>
      <c r="G90" s="210">
        <v>81000</v>
      </c>
      <c r="H90" s="210">
        <v>486</v>
      </c>
      <c r="I90" s="210">
        <f t="shared" si="8"/>
        <v>81162</v>
      </c>
      <c r="J90" s="1087" t="s">
        <v>1379</v>
      </c>
      <c r="K90" s="210">
        <v>103000</v>
      </c>
      <c r="L90" s="209" t="s">
        <v>1380</v>
      </c>
      <c r="M90" s="210">
        <v>11000</v>
      </c>
      <c r="N90" s="210">
        <v>6570000</v>
      </c>
      <c r="O90" s="210">
        <v>1640000</v>
      </c>
      <c r="P90" s="639">
        <f t="shared" si="9"/>
        <v>0.24961948249619481</v>
      </c>
      <c r="Q90" s="211">
        <f t="shared" si="10"/>
        <v>29520.958083832335</v>
      </c>
    </row>
    <row r="91" spans="2:17">
      <c r="B91" s="1013" t="s">
        <v>4491</v>
      </c>
      <c r="C91" s="208">
        <v>25054</v>
      </c>
      <c r="D91" s="1012" t="s">
        <v>658</v>
      </c>
      <c r="E91" s="1012" t="s">
        <v>978</v>
      </c>
      <c r="F91" s="210">
        <v>150</v>
      </c>
      <c r="G91" s="210">
        <v>99000</v>
      </c>
      <c r="H91" s="210">
        <v>925</v>
      </c>
      <c r="I91" s="210">
        <f t="shared" si="8"/>
        <v>138750</v>
      </c>
      <c r="J91" s="208">
        <v>0</v>
      </c>
      <c r="K91" s="210">
        <f>72000+37000</f>
        <v>109000</v>
      </c>
      <c r="L91" s="1012" t="s">
        <v>4505</v>
      </c>
      <c r="M91" s="210">
        <v>13000</v>
      </c>
      <c r="N91" s="210">
        <v>7384000</v>
      </c>
      <c r="O91" s="210">
        <f>299000*6</f>
        <v>1794000</v>
      </c>
      <c r="P91" s="639">
        <f t="shared" si="9"/>
        <v>0.24295774647887325</v>
      </c>
      <c r="Q91" s="211">
        <f t="shared" si="10"/>
        <v>37266.666666666664</v>
      </c>
    </row>
    <row r="92" spans="2:17">
      <c r="B92" s="207" t="s">
        <v>1024</v>
      </c>
      <c r="C92" s="208">
        <v>25061</v>
      </c>
      <c r="D92" s="209" t="s">
        <v>1171</v>
      </c>
      <c r="E92" s="209" t="s">
        <v>978</v>
      </c>
      <c r="F92" s="210">
        <v>129</v>
      </c>
      <c r="G92" s="210">
        <v>47700</v>
      </c>
      <c r="H92" s="210">
        <v>370</v>
      </c>
      <c r="I92" s="210">
        <f t="shared" si="8"/>
        <v>47730</v>
      </c>
      <c r="J92" s="1087">
        <v>5200</v>
      </c>
      <c r="K92" s="210">
        <v>45000</v>
      </c>
      <c r="L92" s="209" t="s">
        <v>1226</v>
      </c>
      <c r="M92" s="210">
        <v>6250</v>
      </c>
      <c r="N92" s="210">
        <v>2259000</v>
      </c>
      <c r="O92" s="210">
        <v>450000</v>
      </c>
      <c r="P92" s="639">
        <f t="shared" si="9"/>
        <v>0.19920318725099601</v>
      </c>
      <c r="Q92" s="211">
        <f t="shared" si="10"/>
        <v>14023.255813953489</v>
      </c>
    </row>
    <row r="93" spans="2:17">
      <c r="B93" s="207" t="s">
        <v>1188</v>
      </c>
      <c r="C93" s="208">
        <v>25062</v>
      </c>
      <c r="D93" s="209" t="s">
        <v>1175</v>
      </c>
      <c r="E93" s="209" t="s">
        <v>978</v>
      </c>
      <c r="F93" s="210">
        <v>165</v>
      </c>
      <c r="G93" s="210">
        <v>69300</v>
      </c>
      <c r="H93" s="210">
        <v>387</v>
      </c>
      <c r="I93" s="210">
        <f t="shared" si="8"/>
        <v>63855</v>
      </c>
      <c r="J93" s="208">
        <v>20000</v>
      </c>
      <c r="K93" s="210">
        <f>14000*3+29000*2</f>
        <v>100000</v>
      </c>
      <c r="L93" s="209" t="s">
        <v>1227</v>
      </c>
      <c r="M93" s="210">
        <v>9050</v>
      </c>
      <c r="N93" s="210">
        <v>4401000</v>
      </c>
      <c r="O93" s="210">
        <v>650000</v>
      </c>
      <c r="P93" s="639">
        <f t="shared" si="9"/>
        <v>0.14769370597591455</v>
      </c>
      <c r="Q93" s="211">
        <f t="shared" si="10"/>
        <v>22733.333333333332</v>
      </c>
    </row>
    <row r="94" spans="2:17">
      <c r="B94" s="207" t="s">
        <v>1187</v>
      </c>
      <c r="C94" s="208">
        <v>25063</v>
      </c>
      <c r="D94" s="209" t="s">
        <v>1168</v>
      </c>
      <c r="E94" s="209" t="s">
        <v>978</v>
      </c>
      <c r="F94" s="210">
        <v>178</v>
      </c>
      <c r="G94" s="210">
        <v>81000</v>
      </c>
      <c r="H94" s="210">
        <v>600</v>
      </c>
      <c r="I94" s="210">
        <f t="shared" si="8"/>
        <v>106800</v>
      </c>
      <c r="J94" s="1087" t="s">
        <v>1378</v>
      </c>
      <c r="K94" s="210">
        <v>70000</v>
      </c>
      <c r="L94" s="209" t="s">
        <v>1381</v>
      </c>
      <c r="M94" s="210">
        <v>11000</v>
      </c>
      <c r="N94" s="210">
        <v>7000000</v>
      </c>
      <c r="O94" s="210">
        <v>1750000</v>
      </c>
      <c r="P94" s="639">
        <f t="shared" si="9"/>
        <v>0.25</v>
      </c>
      <c r="Q94" s="211">
        <f t="shared" si="10"/>
        <v>29494.382022471909</v>
      </c>
    </row>
    <row r="95" spans="2:17">
      <c r="B95" s="1013" t="s">
        <v>4492</v>
      </c>
      <c r="C95" s="208">
        <v>25064</v>
      </c>
      <c r="D95" s="1012" t="s">
        <v>579</v>
      </c>
      <c r="E95" s="1012" t="s">
        <v>978</v>
      </c>
      <c r="F95" s="210">
        <v>169</v>
      </c>
      <c r="G95" s="210">
        <v>99000</v>
      </c>
      <c r="H95" s="210">
        <v>510</v>
      </c>
      <c r="I95" s="210">
        <f t="shared" si="8"/>
        <v>86190</v>
      </c>
      <c r="J95" s="1087">
        <v>60000</v>
      </c>
      <c r="K95" s="210">
        <f>18000*6+37000</f>
        <v>145000</v>
      </c>
      <c r="L95" s="1012" t="s">
        <v>4508</v>
      </c>
      <c r="M95" s="210">
        <v>13000</v>
      </c>
      <c r="N95" s="210">
        <v>8914000</v>
      </c>
      <c r="O95" s="210">
        <f>334000*8</f>
        <v>2672000</v>
      </c>
      <c r="P95" s="639">
        <f t="shared" si="9"/>
        <v>0.29975319721785953</v>
      </c>
      <c r="Q95" s="211">
        <f t="shared" si="10"/>
        <v>36934.91124260355</v>
      </c>
    </row>
    <row r="96" spans="2:17">
      <c r="B96" s="207" t="s">
        <v>1025</v>
      </c>
      <c r="C96" s="208">
        <v>25071</v>
      </c>
      <c r="D96" s="209" t="s">
        <v>1173</v>
      </c>
      <c r="E96" s="209" t="s">
        <v>978</v>
      </c>
      <c r="F96" s="210">
        <v>137</v>
      </c>
      <c r="G96" s="210">
        <v>47700</v>
      </c>
      <c r="H96" s="210">
        <v>349</v>
      </c>
      <c r="I96" s="210">
        <f t="shared" si="8"/>
        <v>47813</v>
      </c>
      <c r="J96" s="1087">
        <v>0</v>
      </c>
      <c r="K96" s="210">
        <f>6800*7</f>
        <v>47600</v>
      </c>
      <c r="L96" s="209" t="s">
        <v>1228</v>
      </c>
      <c r="M96" s="210">
        <v>6250</v>
      </c>
      <c r="N96" s="210">
        <v>2348700</v>
      </c>
      <c r="O96" s="210">
        <v>476000</v>
      </c>
      <c r="P96" s="639">
        <f t="shared" si="9"/>
        <v>0.20266530421084003</v>
      </c>
      <c r="Q96" s="211">
        <f t="shared" si="10"/>
        <v>13669.343065693431</v>
      </c>
    </row>
    <row r="97" spans="2:17">
      <c r="B97" s="207" t="s">
        <v>1026</v>
      </c>
      <c r="C97" s="208">
        <v>25072</v>
      </c>
      <c r="D97" s="209" t="s">
        <v>1171</v>
      </c>
      <c r="E97" s="209" t="s">
        <v>978</v>
      </c>
      <c r="F97" s="210">
        <v>175</v>
      </c>
      <c r="G97" s="210">
        <v>69300</v>
      </c>
      <c r="H97" s="210">
        <v>397</v>
      </c>
      <c r="I97" s="210">
        <f t="shared" si="8"/>
        <v>69475</v>
      </c>
      <c r="J97" s="208">
        <v>0</v>
      </c>
      <c r="K97" s="210">
        <v>102000</v>
      </c>
      <c r="L97" s="209" t="s">
        <v>1575</v>
      </c>
      <c r="M97" s="210">
        <v>9050</v>
      </c>
      <c r="N97" s="210">
        <v>7263500</v>
      </c>
      <c r="O97" s="210">
        <v>3000000</v>
      </c>
      <c r="P97" s="639">
        <f t="shared" si="9"/>
        <v>0.41302402423074275</v>
      </c>
      <c r="Q97" s="211">
        <f t="shared" si="10"/>
        <v>24362.857142857141</v>
      </c>
    </row>
    <row r="98" spans="2:17">
      <c r="B98" s="207" t="s">
        <v>1492</v>
      </c>
      <c r="C98" s="208">
        <v>25073</v>
      </c>
      <c r="D98" s="209" t="s">
        <v>1175</v>
      </c>
      <c r="E98" s="209" t="s">
        <v>978</v>
      </c>
      <c r="F98" s="210">
        <v>186</v>
      </c>
      <c r="G98" s="210">
        <v>81000</v>
      </c>
      <c r="H98" s="210">
        <v>436</v>
      </c>
      <c r="I98" s="210">
        <f t="shared" si="8"/>
        <v>81096</v>
      </c>
      <c r="J98" s="1089" t="s">
        <v>1229</v>
      </c>
      <c r="K98" s="210">
        <f>65000+54000</f>
        <v>119000</v>
      </c>
      <c r="L98" s="209" t="s">
        <v>1382</v>
      </c>
      <c r="M98" s="210">
        <v>11000</v>
      </c>
      <c r="N98" s="210">
        <v>10960000</v>
      </c>
      <c r="O98" s="210">
        <v>2430000</v>
      </c>
      <c r="P98" s="639">
        <f t="shared" si="9"/>
        <v>0.22171532846715328</v>
      </c>
      <c r="Q98" s="211">
        <f t="shared" si="10"/>
        <v>45860.215053763444</v>
      </c>
    </row>
    <row r="99" spans="2:17">
      <c r="B99" s="1013" t="s">
        <v>4493</v>
      </c>
      <c r="C99" s="208">
        <v>25074</v>
      </c>
      <c r="D99" s="1012" t="s">
        <v>578</v>
      </c>
      <c r="E99" s="1012" t="s">
        <v>978</v>
      </c>
      <c r="F99" s="210">
        <v>164</v>
      </c>
      <c r="G99" s="210">
        <v>99000</v>
      </c>
      <c r="H99" s="210">
        <v>925</v>
      </c>
      <c r="I99" s="210">
        <f t="shared" si="8"/>
        <v>151700</v>
      </c>
      <c r="J99" s="1089">
        <v>0</v>
      </c>
      <c r="K99" s="210">
        <f>80000+66000</f>
        <v>146000</v>
      </c>
      <c r="L99" s="1012" t="s">
        <v>4498</v>
      </c>
      <c r="M99" s="210">
        <v>13000</v>
      </c>
      <c r="N99" s="210">
        <v>8671000</v>
      </c>
      <c r="O99" s="210">
        <f>289000*9</f>
        <v>2601000</v>
      </c>
      <c r="P99" s="639">
        <f t="shared" si="9"/>
        <v>0.29996540191442739</v>
      </c>
      <c r="Q99" s="211">
        <f t="shared" si="10"/>
        <v>37012.195121951219</v>
      </c>
    </row>
    <row r="100" spans="2:17">
      <c r="B100" s="207" t="s">
        <v>1027</v>
      </c>
      <c r="C100" s="208">
        <v>25081</v>
      </c>
      <c r="D100" s="209" t="s">
        <v>1168</v>
      </c>
      <c r="E100" s="209" t="s">
        <v>978</v>
      </c>
      <c r="F100" s="210">
        <v>140</v>
      </c>
      <c r="G100" s="210">
        <v>47700</v>
      </c>
      <c r="H100" s="210">
        <v>341</v>
      </c>
      <c r="I100" s="210">
        <f t="shared" si="8"/>
        <v>47740</v>
      </c>
      <c r="J100" s="1087">
        <v>0</v>
      </c>
      <c r="K100" s="210">
        <v>47600</v>
      </c>
      <c r="L100" s="209" t="s">
        <v>1576</v>
      </c>
      <c r="M100" s="210">
        <v>6250</v>
      </c>
      <c r="N100" s="210">
        <v>2425000</v>
      </c>
      <c r="O100" s="210">
        <v>476000</v>
      </c>
      <c r="P100" s="639">
        <f t="shared" si="9"/>
        <v>0.19628865979381444</v>
      </c>
      <c r="Q100" s="211">
        <f t="shared" si="10"/>
        <v>13921.428571428571</v>
      </c>
    </row>
    <row r="101" spans="2:17">
      <c r="B101" s="207" t="s">
        <v>1028</v>
      </c>
      <c r="C101" s="208">
        <v>25082</v>
      </c>
      <c r="D101" s="209" t="s">
        <v>1168</v>
      </c>
      <c r="E101" s="209" t="s">
        <v>978</v>
      </c>
      <c r="F101" s="210">
        <v>175</v>
      </c>
      <c r="G101" s="210">
        <v>69300</v>
      </c>
      <c r="H101" s="210">
        <v>460</v>
      </c>
      <c r="I101" s="210">
        <f t="shared" si="8"/>
        <v>80500</v>
      </c>
      <c r="J101" s="1087">
        <v>-40000</v>
      </c>
      <c r="K101" s="210">
        <v>80000</v>
      </c>
      <c r="L101" s="209" t="s">
        <v>1230</v>
      </c>
      <c r="M101" s="210">
        <v>9050</v>
      </c>
      <c r="N101" s="210">
        <v>6000000</v>
      </c>
      <c r="O101" s="210">
        <v>1900000</v>
      </c>
      <c r="P101" s="639">
        <f t="shared" si="9"/>
        <v>0.31666666666666665</v>
      </c>
      <c r="Q101" s="211">
        <f t="shared" si="10"/>
        <v>23428.571428571428</v>
      </c>
    </row>
    <row r="102" spans="2:17">
      <c r="B102" s="207" t="s">
        <v>1189</v>
      </c>
      <c r="C102" s="208">
        <v>25083</v>
      </c>
      <c r="D102" s="209" t="s">
        <v>1171</v>
      </c>
      <c r="E102" s="209" t="s">
        <v>978</v>
      </c>
      <c r="F102" s="210">
        <v>130</v>
      </c>
      <c r="G102" s="210">
        <v>81000</v>
      </c>
      <c r="H102" s="210">
        <v>842</v>
      </c>
      <c r="I102" s="210">
        <f t="shared" si="8"/>
        <v>109460</v>
      </c>
      <c r="J102" s="1089" t="s">
        <v>1231</v>
      </c>
      <c r="K102" s="210">
        <v>100000</v>
      </c>
      <c r="L102" s="209" t="s">
        <v>1292</v>
      </c>
      <c r="M102" s="210">
        <v>11000</v>
      </c>
      <c r="N102" s="210">
        <v>5217000</v>
      </c>
      <c r="O102" s="210">
        <f>274000*3+549000</f>
        <v>1371000</v>
      </c>
      <c r="P102" s="639">
        <f t="shared" si="9"/>
        <v>0.26279470960322027</v>
      </c>
      <c r="Q102" s="211">
        <f t="shared" si="10"/>
        <v>29584.615384615383</v>
      </c>
    </row>
    <row r="103" spans="2:17">
      <c r="B103" s="1013" t="s">
        <v>4494</v>
      </c>
      <c r="C103" s="208">
        <v>25084</v>
      </c>
      <c r="D103" s="1012" t="s">
        <v>660</v>
      </c>
      <c r="E103" s="1012" t="s">
        <v>978</v>
      </c>
      <c r="F103" s="210">
        <v>171</v>
      </c>
      <c r="G103" s="210">
        <v>99000</v>
      </c>
      <c r="H103" s="210">
        <v>720</v>
      </c>
      <c r="I103" s="210">
        <f t="shared" si="8"/>
        <v>123120</v>
      </c>
      <c r="J103" s="1089" t="s">
        <v>4499</v>
      </c>
      <c r="K103" s="210">
        <f>18000*4+37000*2</f>
        <v>146000</v>
      </c>
      <c r="L103" s="1012" t="s">
        <v>4509</v>
      </c>
      <c r="M103" s="210">
        <v>13000</v>
      </c>
      <c r="N103" s="210">
        <v>9914000</v>
      </c>
      <c r="O103" s="210">
        <f>338000*8</f>
        <v>2704000</v>
      </c>
      <c r="P103" s="639">
        <f t="shared" si="9"/>
        <v>0.27274561226548316</v>
      </c>
      <c r="Q103" s="211">
        <f t="shared" si="10"/>
        <v>42163.742690058476</v>
      </c>
    </row>
    <row r="104" spans="2:17">
      <c r="B104" s="207" t="s">
        <v>1029</v>
      </c>
      <c r="C104" s="208">
        <v>25091</v>
      </c>
      <c r="D104" s="209" t="s">
        <v>1168</v>
      </c>
      <c r="E104" s="209" t="s">
        <v>978</v>
      </c>
      <c r="F104" s="210">
        <v>158</v>
      </c>
      <c r="G104" s="210">
        <v>47700</v>
      </c>
      <c r="H104" s="210">
        <v>302</v>
      </c>
      <c r="I104" s="210">
        <f t="shared" si="8"/>
        <v>47716</v>
      </c>
      <c r="J104" s="208">
        <v>0</v>
      </c>
      <c r="K104" s="210">
        <v>47600</v>
      </c>
      <c r="L104" s="209" t="s">
        <v>1232</v>
      </c>
      <c r="M104" s="210">
        <v>6250</v>
      </c>
      <c r="N104" s="210">
        <v>2695500</v>
      </c>
      <c r="O104" s="210">
        <v>476000</v>
      </c>
      <c r="P104" s="639">
        <f t="shared" si="9"/>
        <v>0.17659061398627343</v>
      </c>
      <c r="Q104" s="211">
        <f t="shared" si="10"/>
        <v>14047.468354430379</v>
      </c>
    </row>
    <row r="105" spans="2:17">
      <c r="B105" s="207" t="s">
        <v>1030</v>
      </c>
      <c r="C105" s="208">
        <v>25092</v>
      </c>
      <c r="D105" s="209" t="s">
        <v>1167</v>
      </c>
      <c r="E105" s="209" t="s">
        <v>978</v>
      </c>
      <c r="F105" s="210">
        <v>183</v>
      </c>
      <c r="G105" s="210">
        <v>69300</v>
      </c>
      <c r="H105" s="210">
        <v>440</v>
      </c>
      <c r="I105" s="210">
        <f t="shared" si="8"/>
        <v>80520</v>
      </c>
      <c r="J105" s="208">
        <v>0</v>
      </c>
      <c r="K105" s="210">
        <v>80000</v>
      </c>
      <c r="L105" s="209" t="s">
        <v>1233</v>
      </c>
      <c r="M105" s="210">
        <v>9050</v>
      </c>
      <c r="N105" s="210">
        <v>6000000</v>
      </c>
      <c r="O105" s="210">
        <v>1900000</v>
      </c>
      <c r="P105" s="639">
        <f t="shared" si="9"/>
        <v>0.31666666666666665</v>
      </c>
      <c r="Q105" s="211">
        <f t="shared" si="10"/>
        <v>22404.371584699453</v>
      </c>
    </row>
    <row r="106" spans="2:17">
      <c r="B106" s="207" t="s">
        <v>1190</v>
      </c>
      <c r="C106" s="208">
        <v>25093</v>
      </c>
      <c r="D106" s="209" t="s">
        <v>1170</v>
      </c>
      <c r="E106" s="209" t="s">
        <v>978</v>
      </c>
      <c r="F106" s="210">
        <v>175</v>
      </c>
      <c r="G106" s="210">
        <v>81000</v>
      </c>
      <c r="H106" s="210">
        <v>700</v>
      </c>
      <c r="I106" s="210">
        <f t="shared" ref="I106:I137" si="11">H106*F106</f>
        <v>122500</v>
      </c>
      <c r="J106" s="208">
        <v>100000</v>
      </c>
      <c r="K106" s="210">
        <v>115000</v>
      </c>
      <c r="L106" s="209" t="s">
        <v>1383</v>
      </c>
      <c r="M106" s="210">
        <v>11000</v>
      </c>
      <c r="N106" s="210">
        <v>7500000</v>
      </c>
      <c r="O106" s="210">
        <v>1900000</v>
      </c>
      <c r="P106" s="639">
        <f t="shared" ref="P106:P137" si="12">O106/N106</f>
        <v>0.25333333333333335</v>
      </c>
      <c r="Q106" s="211">
        <f t="shared" ref="Q106:Q137" si="13">(N106-O106)/F106</f>
        <v>32000</v>
      </c>
    </row>
    <row r="107" spans="2:17">
      <c r="B107" s="1013" t="s">
        <v>4495</v>
      </c>
      <c r="C107" s="208">
        <v>25094</v>
      </c>
      <c r="D107" s="1012" t="s">
        <v>657</v>
      </c>
      <c r="E107" s="1012" t="s">
        <v>978</v>
      </c>
      <c r="F107" s="210">
        <v>161</v>
      </c>
      <c r="G107" s="210">
        <v>99000</v>
      </c>
      <c r="H107" s="210">
        <v>947</v>
      </c>
      <c r="I107" s="210">
        <f t="shared" si="11"/>
        <v>152467</v>
      </c>
      <c r="J107" s="208">
        <v>0</v>
      </c>
      <c r="K107" s="210">
        <f>18000*6+37000</f>
        <v>145000</v>
      </c>
      <c r="L107" s="1012" t="s">
        <v>4510</v>
      </c>
      <c r="M107" s="210">
        <v>13000</v>
      </c>
      <c r="N107" s="210">
        <v>12408000</v>
      </c>
      <c r="O107" s="210">
        <f>465000*8</f>
        <v>3720000</v>
      </c>
      <c r="P107" s="639">
        <f t="shared" si="12"/>
        <v>0.29980657640232106</v>
      </c>
      <c r="Q107" s="211">
        <f t="shared" si="13"/>
        <v>53962.73291925466</v>
      </c>
    </row>
    <row r="108" spans="2:17">
      <c r="B108" s="207" t="s">
        <v>1031</v>
      </c>
      <c r="C108" s="208">
        <v>25103</v>
      </c>
      <c r="D108" s="209" t="s">
        <v>1170</v>
      </c>
      <c r="E108" s="209" t="s">
        <v>978</v>
      </c>
      <c r="F108" s="210">
        <v>158</v>
      </c>
      <c r="G108" s="210">
        <v>81000</v>
      </c>
      <c r="H108" s="210">
        <v>10</v>
      </c>
      <c r="I108" s="210">
        <f t="shared" si="11"/>
        <v>1580</v>
      </c>
      <c r="J108" s="1087">
        <v>160000</v>
      </c>
      <c r="K108" s="210">
        <v>106000</v>
      </c>
      <c r="L108" s="209" t="s">
        <v>1234</v>
      </c>
      <c r="M108" s="210">
        <v>11000</v>
      </c>
      <c r="N108" s="210">
        <v>6468000</v>
      </c>
      <c r="O108" s="210">
        <f>223000*8</f>
        <v>1784000</v>
      </c>
      <c r="P108" s="639">
        <f t="shared" si="12"/>
        <v>0.27581941867656151</v>
      </c>
      <c r="Q108" s="211">
        <f t="shared" si="13"/>
        <v>29645.569620253165</v>
      </c>
    </row>
    <row r="109" spans="2:17">
      <c r="B109" s="207" t="s">
        <v>2826</v>
      </c>
      <c r="C109" s="208">
        <v>25103.5</v>
      </c>
      <c r="D109" s="698" t="s">
        <v>579</v>
      </c>
      <c r="E109" s="698" t="s">
        <v>978</v>
      </c>
      <c r="F109" s="210">
        <v>165</v>
      </c>
      <c r="G109" s="210">
        <v>90000</v>
      </c>
      <c r="H109" s="210">
        <v>710</v>
      </c>
      <c r="I109" s="210">
        <f t="shared" si="11"/>
        <v>117150</v>
      </c>
      <c r="J109" s="1089" t="s">
        <v>2828</v>
      </c>
      <c r="K109" s="210">
        <v>135000</v>
      </c>
      <c r="L109" s="698" t="s">
        <v>2827</v>
      </c>
      <c r="M109" s="210">
        <v>12000</v>
      </c>
      <c r="N109" s="210">
        <v>4490000</v>
      </c>
      <c r="O109" s="210">
        <f>135000*9</f>
        <v>1215000</v>
      </c>
      <c r="P109" s="639">
        <f t="shared" si="12"/>
        <v>0.27060133630289535</v>
      </c>
      <c r="Q109" s="211">
        <f t="shared" si="13"/>
        <v>19848.484848484848</v>
      </c>
    </row>
    <row r="110" spans="2:17">
      <c r="B110" s="1013" t="s">
        <v>4496</v>
      </c>
      <c r="C110" s="208">
        <v>25104</v>
      </c>
      <c r="D110" s="1012" t="s">
        <v>578</v>
      </c>
      <c r="E110" s="1012" t="s">
        <v>978</v>
      </c>
      <c r="F110" s="210">
        <v>168</v>
      </c>
      <c r="G110" s="210">
        <v>99000</v>
      </c>
      <c r="H110" s="210">
        <v>943</v>
      </c>
      <c r="I110" s="210">
        <f t="shared" si="11"/>
        <v>158424</v>
      </c>
      <c r="J110" s="1089">
        <v>30000</v>
      </c>
      <c r="K110" s="210">
        <v>126000</v>
      </c>
      <c r="L110" s="1012" t="s">
        <v>4511</v>
      </c>
      <c r="M110" s="210">
        <v>13000</v>
      </c>
      <c r="N110" s="210">
        <v>9336000</v>
      </c>
      <c r="O110" s="210">
        <f>380000*6</f>
        <v>2280000</v>
      </c>
      <c r="P110" s="639">
        <f t="shared" si="12"/>
        <v>0.2442159383033419</v>
      </c>
      <c r="Q110" s="211">
        <f t="shared" si="13"/>
        <v>42000</v>
      </c>
    </row>
    <row r="111" spans="2:17">
      <c r="B111" s="942" t="s">
        <v>4417</v>
      </c>
      <c r="C111" s="208">
        <v>25113.5</v>
      </c>
      <c r="D111" s="978" t="s">
        <v>578</v>
      </c>
      <c r="E111" s="978" t="s">
        <v>978</v>
      </c>
      <c r="F111" s="210">
        <v>169</v>
      </c>
      <c r="G111" s="210">
        <v>99000</v>
      </c>
      <c r="H111" s="210">
        <v>797</v>
      </c>
      <c r="I111" s="210">
        <f t="shared" si="11"/>
        <v>134693</v>
      </c>
      <c r="J111" s="1089" t="s">
        <v>4418</v>
      </c>
      <c r="K111" s="210">
        <f>16000*4+33000*2</f>
        <v>130000</v>
      </c>
      <c r="L111" s="939" t="s">
        <v>4419</v>
      </c>
      <c r="M111" s="210">
        <v>13000</v>
      </c>
      <c r="N111" s="210">
        <v>8618000</v>
      </c>
      <c r="O111" s="210">
        <f>297000*8</f>
        <v>2376000</v>
      </c>
      <c r="P111" s="639">
        <f t="shared" si="12"/>
        <v>0.27570201902993735</v>
      </c>
      <c r="Q111" s="211">
        <f t="shared" si="13"/>
        <v>36934.91124260355</v>
      </c>
    </row>
    <row r="112" spans="2:17">
      <c r="B112" s="1013" t="s">
        <v>4483</v>
      </c>
      <c r="C112" s="208">
        <v>25114</v>
      </c>
      <c r="D112" s="1012" t="s">
        <v>579</v>
      </c>
      <c r="E112" s="1012" t="s">
        <v>978</v>
      </c>
      <c r="F112" s="210">
        <v>164</v>
      </c>
      <c r="G112" s="210">
        <v>99000</v>
      </c>
      <c r="H112" s="210">
        <v>906</v>
      </c>
      <c r="I112" s="210">
        <f t="shared" si="11"/>
        <v>148584</v>
      </c>
      <c r="J112" s="1089">
        <v>70000</v>
      </c>
      <c r="K112" s="210">
        <f>18000*4+37000</f>
        <v>109000</v>
      </c>
      <c r="L112" s="1012" t="s">
        <v>4484</v>
      </c>
      <c r="M112" s="210">
        <v>13000</v>
      </c>
      <c r="N112" s="210">
        <v>7925000</v>
      </c>
      <c r="O112" s="210">
        <f>325000*4+650000</f>
        <v>1950000</v>
      </c>
      <c r="P112" s="639">
        <f t="shared" si="12"/>
        <v>0.24605678233438485</v>
      </c>
      <c r="Q112" s="211">
        <f t="shared" si="13"/>
        <v>36432.92682926829</v>
      </c>
    </row>
    <row r="113" spans="2:17">
      <c r="B113" s="942" t="s">
        <v>4420</v>
      </c>
      <c r="C113" s="208">
        <v>25123.5</v>
      </c>
      <c r="D113" s="978" t="s">
        <v>658</v>
      </c>
      <c r="E113" s="978" t="s">
        <v>978</v>
      </c>
      <c r="F113" s="210">
        <v>146</v>
      </c>
      <c r="G113" s="210">
        <v>99000</v>
      </c>
      <c r="H113" s="210">
        <v>1221</v>
      </c>
      <c r="I113" s="210">
        <f t="shared" si="11"/>
        <v>178266</v>
      </c>
      <c r="J113" s="1089">
        <v>110000</v>
      </c>
      <c r="K113" s="210">
        <f>16000*4+33000*2</f>
        <v>130000</v>
      </c>
      <c r="L113" s="939" t="s">
        <v>4421</v>
      </c>
      <c r="M113" s="210">
        <v>13000</v>
      </c>
      <c r="N113" s="210">
        <v>7405000</v>
      </c>
      <c r="O113" s="210">
        <f>255000*8</f>
        <v>2040000</v>
      </c>
      <c r="P113" s="639">
        <f t="shared" si="12"/>
        <v>0.27548953409858201</v>
      </c>
      <c r="Q113" s="211">
        <f t="shared" si="13"/>
        <v>36746.575342465752</v>
      </c>
    </row>
    <row r="114" spans="2:17">
      <c r="B114" s="1013" t="s">
        <v>4481</v>
      </c>
      <c r="C114" s="208">
        <v>25124</v>
      </c>
      <c r="D114" s="1012" t="s">
        <v>578</v>
      </c>
      <c r="E114" s="1012" t="s">
        <v>978</v>
      </c>
      <c r="F114" s="210">
        <v>164</v>
      </c>
      <c r="G114" s="210">
        <v>99000</v>
      </c>
      <c r="H114" s="210">
        <v>604</v>
      </c>
      <c r="I114" s="210">
        <f t="shared" si="11"/>
        <v>99056</v>
      </c>
      <c r="J114" s="1089">
        <v>0</v>
      </c>
      <c r="K114" s="210">
        <f>9000+37000+18000*3</f>
        <v>100000</v>
      </c>
      <c r="L114" s="1012" t="s">
        <v>4482</v>
      </c>
      <c r="M114" s="210">
        <v>13000</v>
      </c>
      <c r="N114" s="210">
        <v>8020000</v>
      </c>
      <c r="O114" s="210">
        <f>325000*6</f>
        <v>1950000</v>
      </c>
      <c r="P114" s="639">
        <f t="shared" si="12"/>
        <v>0.243142144638404</v>
      </c>
      <c r="Q114" s="211">
        <f t="shared" si="13"/>
        <v>37012.195121951219</v>
      </c>
    </row>
    <row r="115" spans="2:17">
      <c r="B115" s="207" t="s">
        <v>1696</v>
      </c>
      <c r="C115" s="208">
        <v>50001</v>
      </c>
      <c r="D115" s="209" t="s">
        <v>1173</v>
      </c>
      <c r="E115" s="209" t="s">
        <v>978</v>
      </c>
      <c r="F115" s="210">
        <v>176</v>
      </c>
      <c r="G115" s="210">
        <v>69300</v>
      </c>
      <c r="H115" s="210">
        <v>394</v>
      </c>
      <c r="I115" s="210">
        <f t="shared" si="11"/>
        <v>69344</v>
      </c>
      <c r="J115" s="1087">
        <v>6000</v>
      </c>
      <c r="K115" s="210">
        <v>102000</v>
      </c>
      <c r="L115" s="209" t="s">
        <v>1577</v>
      </c>
      <c r="M115" s="210">
        <v>9050</v>
      </c>
      <c r="N115" s="210">
        <v>7302100</v>
      </c>
      <c r="O115" s="210">
        <v>3200000</v>
      </c>
      <c r="P115" s="639">
        <f t="shared" si="12"/>
        <v>0.43823009819093139</v>
      </c>
      <c r="Q115" s="211">
        <f t="shared" si="13"/>
        <v>23307.386363636364</v>
      </c>
    </row>
    <row r="116" spans="2:17">
      <c r="B116" s="207" t="s">
        <v>2244</v>
      </c>
      <c r="C116" s="208">
        <v>50002</v>
      </c>
      <c r="D116" s="209" t="s">
        <v>1167</v>
      </c>
      <c r="E116" s="209" t="s">
        <v>978</v>
      </c>
      <c r="F116" s="210">
        <v>179</v>
      </c>
      <c r="G116" s="210">
        <v>51300</v>
      </c>
      <c r="H116" s="210">
        <v>315</v>
      </c>
      <c r="I116" s="210">
        <f t="shared" si="11"/>
        <v>56385</v>
      </c>
      <c r="J116" s="208">
        <v>0</v>
      </c>
      <c r="K116" s="210">
        <f>10000*3+21000*2</f>
        <v>72000</v>
      </c>
      <c r="L116" s="636" t="s">
        <v>1098</v>
      </c>
      <c r="M116" s="210">
        <v>6700</v>
      </c>
      <c r="N116" s="210">
        <v>4005000</v>
      </c>
      <c r="O116" s="210">
        <f>163000*3+327000*2</f>
        <v>1143000</v>
      </c>
      <c r="P116" s="639">
        <f t="shared" si="12"/>
        <v>0.28539325842696628</v>
      </c>
      <c r="Q116" s="211">
        <f t="shared" si="13"/>
        <v>15988.826815642458</v>
      </c>
    </row>
    <row r="117" spans="2:17">
      <c r="B117" s="207" t="s">
        <v>2245</v>
      </c>
      <c r="C117" s="1087">
        <v>50003</v>
      </c>
      <c r="D117" s="209" t="s">
        <v>1173</v>
      </c>
      <c r="E117" s="209" t="s">
        <v>978</v>
      </c>
      <c r="F117" s="210">
        <v>182</v>
      </c>
      <c r="G117" s="210">
        <v>51300</v>
      </c>
      <c r="H117" s="210">
        <v>282</v>
      </c>
      <c r="I117" s="210">
        <f t="shared" si="11"/>
        <v>51324</v>
      </c>
      <c r="J117" s="208">
        <v>0</v>
      </c>
      <c r="K117" s="210">
        <f>10000*3+21000*2</f>
        <v>72000</v>
      </c>
      <c r="L117" s="636" t="s">
        <v>1097</v>
      </c>
      <c r="M117" s="210">
        <v>6700</v>
      </c>
      <c r="N117" s="210">
        <v>3938400</v>
      </c>
      <c r="O117" s="210">
        <f>160000*3+321000*2</f>
        <v>1122000</v>
      </c>
      <c r="P117" s="639">
        <f t="shared" si="12"/>
        <v>0.28488726386349789</v>
      </c>
      <c r="Q117" s="211">
        <f t="shared" si="13"/>
        <v>15474.725274725275</v>
      </c>
    </row>
    <row r="118" spans="2:17">
      <c r="B118" s="207" t="s">
        <v>960</v>
      </c>
      <c r="C118" s="1087">
        <v>50004</v>
      </c>
      <c r="D118" s="209" t="s">
        <v>1170</v>
      </c>
      <c r="E118" s="209" t="s">
        <v>978</v>
      </c>
      <c r="F118" s="210">
        <v>163</v>
      </c>
      <c r="G118" s="210">
        <v>51300</v>
      </c>
      <c r="H118" s="210">
        <v>315</v>
      </c>
      <c r="I118" s="210">
        <f t="shared" si="11"/>
        <v>51345</v>
      </c>
      <c r="J118" s="208" t="s">
        <v>1235</v>
      </c>
      <c r="K118" s="210">
        <v>73000</v>
      </c>
      <c r="L118" s="636" t="s">
        <v>963</v>
      </c>
      <c r="M118" s="210">
        <v>6700</v>
      </c>
      <c r="N118" s="210">
        <v>3450000</v>
      </c>
      <c r="O118" s="210">
        <f>164000*6</f>
        <v>984000</v>
      </c>
      <c r="P118" s="639">
        <f t="shared" si="12"/>
        <v>0.28521739130434781</v>
      </c>
      <c r="Q118" s="211">
        <f t="shared" si="13"/>
        <v>15128.834355828221</v>
      </c>
    </row>
    <row r="119" spans="2:17">
      <c r="B119" s="207" t="s">
        <v>957</v>
      </c>
      <c r="C119" s="1087">
        <v>50005</v>
      </c>
      <c r="D119" s="209" t="s">
        <v>1173</v>
      </c>
      <c r="E119" s="209" t="s">
        <v>978</v>
      </c>
      <c r="F119" s="210">
        <v>188</v>
      </c>
      <c r="G119" s="210">
        <v>51300</v>
      </c>
      <c r="H119" s="210">
        <v>273</v>
      </c>
      <c r="I119" s="210">
        <f t="shared" si="11"/>
        <v>51324</v>
      </c>
      <c r="J119" s="208">
        <v>0</v>
      </c>
      <c r="K119" s="210">
        <f>27000+19000</f>
        <v>46000</v>
      </c>
      <c r="L119" s="209" t="s">
        <v>1264</v>
      </c>
      <c r="M119" s="210">
        <v>6700</v>
      </c>
      <c r="N119" s="210">
        <v>3616000</v>
      </c>
      <c r="O119" s="210">
        <f>152000*3+305000</f>
        <v>761000</v>
      </c>
      <c r="P119" s="639">
        <f t="shared" si="12"/>
        <v>0.21045353982300885</v>
      </c>
      <c r="Q119" s="211">
        <f t="shared" si="13"/>
        <v>15186.170212765957</v>
      </c>
    </row>
    <row r="120" spans="2:17">
      <c r="B120" s="207" t="s">
        <v>1052</v>
      </c>
      <c r="C120" s="1087">
        <v>50006</v>
      </c>
      <c r="D120" s="209" t="s">
        <v>1170</v>
      </c>
      <c r="E120" s="209" t="s">
        <v>978</v>
      </c>
      <c r="F120" s="210">
        <v>162</v>
      </c>
      <c r="G120" s="210">
        <v>51300</v>
      </c>
      <c r="H120" s="210">
        <v>317</v>
      </c>
      <c r="I120" s="210">
        <f t="shared" si="11"/>
        <v>51354</v>
      </c>
      <c r="J120" s="1087">
        <v>0</v>
      </c>
      <c r="K120" s="210">
        <v>50000</v>
      </c>
      <c r="L120" s="209" t="s">
        <v>1236</v>
      </c>
      <c r="M120" s="210">
        <v>6700</v>
      </c>
      <c r="N120" s="210">
        <v>4280000</v>
      </c>
      <c r="O120" s="210">
        <f>466000+232000</f>
        <v>698000</v>
      </c>
      <c r="P120" s="639">
        <f t="shared" si="12"/>
        <v>0.16308411214953272</v>
      </c>
      <c r="Q120" s="211">
        <f t="shared" si="13"/>
        <v>22111.111111111109</v>
      </c>
    </row>
    <row r="121" spans="2:17">
      <c r="B121" s="207" t="s">
        <v>977</v>
      </c>
      <c r="C121" s="1087">
        <v>50007</v>
      </c>
      <c r="D121" s="209" t="s">
        <v>976</v>
      </c>
      <c r="E121" s="209" t="s">
        <v>978</v>
      </c>
      <c r="F121" s="210">
        <v>165</v>
      </c>
      <c r="G121" s="210">
        <v>81000</v>
      </c>
      <c r="H121" s="210">
        <v>736</v>
      </c>
      <c r="I121" s="210">
        <f t="shared" si="11"/>
        <v>121440</v>
      </c>
      <c r="J121" s="1089" t="s">
        <v>979</v>
      </c>
      <c r="K121" s="210">
        <v>220000</v>
      </c>
      <c r="L121" s="209" t="s">
        <v>980</v>
      </c>
      <c r="M121" s="210">
        <v>11000</v>
      </c>
      <c r="N121" s="210">
        <v>6963000</v>
      </c>
      <c r="O121" s="210">
        <v>2088000</v>
      </c>
      <c r="P121" s="639">
        <f t="shared" si="12"/>
        <v>0.29987074536837571</v>
      </c>
      <c r="Q121" s="211">
        <f t="shared" si="13"/>
        <v>29545.454545454544</v>
      </c>
    </row>
    <row r="122" spans="2:17">
      <c r="B122" s="207" t="s">
        <v>981</v>
      </c>
      <c r="C122" s="1087">
        <v>50008</v>
      </c>
      <c r="D122" s="209" t="s">
        <v>962</v>
      </c>
      <c r="E122" s="209" t="s">
        <v>978</v>
      </c>
      <c r="F122" s="210">
        <v>195</v>
      </c>
      <c r="G122" s="210">
        <v>81000</v>
      </c>
      <c r="H122" s="210">
        <v>416</v>
      </c>
      <c r="I122" s="210">
        <f t="shared" si="11"/>
        <v>81120</v>
      </c>
      <c r="J122" s="208">
        <v>0</v>
      </c>
      <c r="K122" s="210">
        <v>120000</v>
      </c>
      <c r="L122" s="209" t="s">
        <v>982</v>
      </c>
      <c r="M122" s="210">
        <v>11000</v>
      </c>
      <c r="N122" s="210">
        <v>8234000</v>
      </c>
      <c r="O122" s="210">
        <v>2467000</v>
      </c>
      <c r="P122" s="639">
        <f t="shared" si="12"/>
        <v>0.29961136750060724</v>
      </c>
      <c r="Q122" s="211">
        <f t="shared" si="13"/>
        <v>29574.358974358973</v>
      </c>
    </row>
    <row r="123" spans="2:17">
      <c r="B123" s="207" t="s">
        <v>4591</v>
      </c>
      <c r="C123" s="1087">
        <v>50009</v>
      </c>
      <c r="D123" s="209" t="s">
        <v>1168</v>
      </c>
      <c r="E123" s="209" t="s">
        <v>978</v>
      </c>
      <c r="F123" s="210">
        <v>180</v>
      </c>
      <c r="G123" s="210">
        <v>51300</v>
      </c>
      <c r="H123" s="210">
        <v>286</v>
      </c>
      <c r="I123" s="210">
        <f t="shared" si="11"/>
        <v>51480</v>
      </c>
      <c r="J123" s="208">
        <v>0</v>
      </c>
      <c r="K123" s="210">
        <v>76000</v>
      </c>
      <c r="L123" s="209" t="s">
        <v>1237</v>
      </c>
      <c r="M123" s="210">
        <v>6700</v>
      </c>
      <c r="N123" s="210">
        <v>4169000</v>
      </c>
      <c r="O123" s="210">
        <f>625000+624000</f>
        <v>1249000</v>
      </c>
      <c r="P123" s="639">
        <f t="shared" si="12"/>
        <v>0.29959222835212279</v>
      </c>
      <c r="Q123" s="211">
        <f t="shared" si="13"/>
        <v>16222.222222222223</v>
      </c>
    </row>
    <row r="124" spans="2:17">
      <c r="B124" s="207" t="s">
        <v>1325</v>
      </c>
      <c r="C124" s="1087">
        <v>50010</v>
      </c>
      <c r="D124" s="209" t="s">
        <v>1326</v>
      </c>
      <c r="E124" s="209" t="s">
        <v>978</v>
      </c>
      <c r="F124" s="210">
        <v>162</v>
      </c>
      <c r="G124" s="210">
        <v>47700</v>
      </c>
      <c r="H124" s="210">
        <v>295</v>
      </c>
      <c r="I124" s="210">
        <f t="shared" si="11"/>
        <v>47790</v>
      </c>
      <c r="J124" s="208">
        <v>0</v>
      </c>
      <c r="K124" s="210">
        <v>65000</v>
      </c>
      <c r="L124" s="209" t="s">
        <v>1583</v>
      </c>
      <c r="M124" s="210">
        <v>6250</v>
      </c>
      <c r="N124" s="210">
        <v>3400000</v>
      </c>
      <c r="O124" s="210">
        <v>1100000</v>
      </c>
      <c r="P124" s="639">
        <f t="shared" si="12"/>
        <v>0.3235294117647059</v>
      </c>
      <c r="Q124" s="211">
        <f t="shared" si="13"/>
        <v>14197.530864197532</v>
      </c>
    </row>
    <row r="125" spans="2:17">
      <c r="B125" s="207" t="s">
        <v>1578</v>
      </c>
      <c r="C125" s="1087">
        <v>50011</v>
      </c>
      <c r="D125" s="382" t="s">
        <v>1581</v>
      </c>
      <c r="E125" s="382" t="s">
        <v>978</v>
      </c>
      <c r="F125" s="210">
        <v>159</v>
      </c>
      <c r="G125" s="210">
        <v>47700</v>
      </c>
      <c r="H125" s="210">
        <v>376</v>
      </c>
      <c r="I125" s="210">
        <f t="shared" si="11"/>
        <v>59784</v>
      </c>
      <c r="J125" s="1087">
        <v>0</v>
      </c>
      <c r="K125" s="210">
        <v>51000</v>
      </c>
      <c r="L125" s="382" t="s">
        <v>1584</v>
      </c>
      <c r="M125" s="210">
        <v>6250</v>
      </c>
      <c r="N125" s="210">
        <v>3796000</v>
      </c>
      <c r="O125" s="210">
        <f>271000*2+135000*3</f>
        <v>947000</v>
      </c>
      <c r="P125" s="639">
        <f t="shared" si="12"/>
        <v>0.24947312961011592</v>
      </c>
      <c r="Q125" s="211">
        <f t="shared" si="13"/>
        <v>17918.238993710693</v>
      </c>
    </row>
    <row r="126" spans="2:17">
      <c r="B126" s="207" t="s">
        <v>4592</v>
      </c>
      <c r="C126" s="1087">
        <v>50012</v>
      </c>
      <c r="D126" s="382" t="s">
        <v>1581</v>
      </c>
      <c r="E126" s="382" t="s">
        <v>978</v>
      </c>
      <c r="F126" s="210">
        <v>172</v>
      </c>
      <c r="G126" s="210">
        <v>47700</v>
      </c>
      <c r="H126" s="210">
        <v>278</v>
      </c>
      <c r="I126" s="210">
        <f t="shared" si="11"/>
        <v>47816</v>
      </c>
      <c r="J126" s="208">
        <v>0</v>
      </c>
      <c r="K126" s="210">
        <v>51000</v>
      </c>
      <c r="L126" s="382" t="s">
        <v>1585</v>
      </c>
      <c r="M126" s="210">
        <v>6250</v>
      </c>
      <c r="N126" s="210">
        <v>4018000</v>
      </c>
      <c r="O126" s="210">
        <f>143000*3+287000*2</f>
        <v>1003000</v>
      </c>
      <c r="P126" s="639">
        <f t="shared" si="12"/>
        <v>0.2496266799402688</v>
      </c>
      <c r="Q126" s="211">
        <f t="shared" si="13"/>
        <v>17529.069767441859</v>
      </c>
    </row>
    <row r="127" spans="2:17">
      <c r="B127" s="207" t="s">
        <v>1580</v>
      </c>
      <c r="C127" s="1087">
        <v>50013</v>
      </c>
      <c r="D127" s="382" t="s">
        <v>1582</v>
      </c>
      <c r="E127" s="382" t="s">
        <v>978</v>
      </c>
      <c r="F127" s="210">
        <v>174</v>
      </c>
      <c r="G127" s="210">
        <v>47700</v>
      </c>
      <c r="H127" s="210">
        <v>275</v>
      </c>
      <c r="I127" s="210">
        <f t="shared" si="11"/>
        <v>47850</v>
      </c>
      <c r="J127" s="208">
        <v>24000</v>
      </c>
      <c r="K127" s="210">
        <v>90000</v>
      </c>
      <c r="L127" s="382" t="s">
        <v>1586</v>
      </c>
      <c r="M127" s="210">
        <v>6250</v>
      </c>
      <c r="N127" s="210">
        <v>4000000</v>
      </c>
      <c r="O127" s="210">
        <v>1250000</v>
      </c>
      <c r="P127" s="639">
        <f t="shared" si="12"/>
        <v>0.3125</v>
      </c>
      <c r="Q127" s="211">
        <f t="shared" si="13"/>
        <v>15804.597701149425</v>
      </c>
    </row>
    <row r="128" spans="2:17">
      <c r="B128" s="207" t="s">
        <v>1809</v>
      </c>
      <c r="C128" s="1087">
        <v>50014</v>
      </c>
      <c r="D128" s="389" t="s">
        <v>1775</v>
      </c>
      <c r="E128" s="389" t="s">
        <v>978</v>
      </c>
      <c r="F128" s="210">
        <v>165</v>
      </c>
      <c r="G128" s="210">
        <v>47700</v>
      </c>
      <c r="H128" s="210">
        <v>290</v>
      </c>
      <c r="I128" s="210">
        <f t="shared" si="11"/>
        <v>47850</v>
      </c>
      <c r="J128" s="1087">
        <v>0</v>
      </c>
      <c r="K128" s="210">
        <v>50000</v>
      </c>
      <c r="L128" s="389" t="s">
        <v>1810</v>
      </c>
      <c r="M128" s="210">
        <v>6250</v>
      </c>
      <c r="N128" s="210">
        <v>3013000</v>
      </c>
      <c r="O128" s="210">
        <v>705000</v>
      </c>
      <c r="P128" s="639">
        <f t="shared" si="12"/>
        <v>0.23398606040491204</v>
      </c>
      <c r="Q128" s="211">
        <f t="shared" si="13"/>
        <v>13987.878787878788</v>
      </c>
    </row>
    <row r="129" spans="2:17">
      <c r="B129" s="207" t="s">
        <v>1811</v>
      </c>
      <c r="C129" s="1087">
        <v>50015</v>
      </c>
      <c r="D129" s="389" t="s">
        <v>1787</v>
      </c>
      <c r="E129" s="389" t="s">
        <v>978</v>
      </c>
      <c r="F129" s="210">
        <v>179</v>
      </c>
      <c r="G129" s="210">
        <v>47700</v>
      </c>
      <c r="H129" s="210">
        <v>267</v>
      </c>
      <c r="I129" s="210">
        <f t="shared" si="11"/>
        <v>47793</v>
      </c>
      <c r="J129" s="208">
        <v>12000</v>
      </c>
      <c r="K129" s="210">
        <v>50500</v>
      </c>
      <c r="L129" s="389" t="s">
        <v>1812</v>
      </c>
      <c r="M129" s="210">
        <v>6250</v>
      </c>
      <c r="N129" s="210">
        <v>3372000</v>
      </c>
      <c r="O129" s="210">
        <v>886000</v>
      </c>
      <c r="P129" s="639">
        <f t="shared" si="12"/>
        <v>0.26275207591933569</v>
      </c>
      <c r="Q129" s="211">
        <f t="shared" si="13"/>
        <v>13888.268156424581</v>
      </c>
    </row>
    <row r="130" spans="2:17">
      <c r="B130" s="207" t="s">
        <v>1813</v>
      </c>
      <c r="C130" s="1087">
        <v>50016</v>
      </c>
      <c r="D130" s="389" t="s">
        <v>1792</v>
      </c>
      <c r="E130" s="389" t="s">
        <v>978</v>
      </c>
      <c r="F130" s="210">
        <v>166</v>
      </c>
      <c r="G130" s="210">
        <v>47700</v>
      </c>
      <c r="H130" s="210">
        <v>345</v>
      </c>
      <c r="I130" s="210">
        <f t="shared" si="11"/>
        <v>57270</v>
      </c>
      <c r="J130" s="208">
        <v>0</v>
      </c>
      <c r="K130" s="210">
        <v>65000</v>
      </c>
      <c r="L130" s="389" t="s">
        <v>1814</v>
      </c>
      <c r="M130" s="210">
        <v>6250</v>
      </c>
      <c r="N130" s="210">
        <v>4192000</v>
      </c>
      <c r="O130" s="210">
        <v>1253000</v>
      </c>
      <c r="P130" s="639">
        <f t="shared" si="12"/>
        <v>0.29890267175572521</v>
      </c>
      <c r="Q130" s="211">
        <f t="shared" si="13"/>
        <v>17704.819277108432</v>
      </c>
    </row>
    <row r="131" spans="2:17">
      <c r="B131" s="207" t="s">
        <v>1815</v>
      </c>
      <c r="C131" s="1087">
        <v>50017</v>
      </c>
      <c r="D131" s="389" t="s">
        <v>1792</v>
      </c>
      <c r="E131" s="389" t="s">
        <v>978</v>
      </c>
      <c r="F131" s="210">
        <v>164</v>
      </c>
      <c r="G131" s="210">
        <v>47700</v>
      </c>
      <c r="H131" s="210">
        <v>364</v>
      </c>
      <c r="I131" s="210">
        <f t="shared" si="11"/>
        <v>59696</v>
      </c>
      <c r="J131" s="208">
        <v>26000</v>
      </c>
      <c r="K131" s="210">
        <v>65000</v>
      </c>
      <c r="L131" s="389" t="s">
        <v>1816</v>
      </c>
      <c r="M131" s="210">
        <v>6250</v>
      </c>
      <c r="N131" s="210">
        <v>3274000</v>
      </c>
      <c r="O131" s="210">
        <v>979000</v>
      </c>
      <c r="P131" s="639">
        <f t="shared" si="12"/>
        <v>0.2990226023213195</v>
      </c>
      <c r="Q131" s="211">
        <f t="shared" si="13"/>
        <v>13993.90243902439</v>
      </c>
    </row>
    <row r="132" spans="2:17">
      <c r="B132" s="207" t="s">
        <v>1817</v>
      </c>
      <c r="C132" s="1087">
        <v>50018</v>
      </c>
      <c r="D132" s="389" t="s">
        <v>1806</v>
      </c>
      <c r="E132" s="389" t="s">
        <v>978</v>
      </c>
      <c r="F132" s="210">
        <v>166</v>
      </c>
      <c r="G132" s="210">
        <v>47700</v>
      </c>
      <c r="H132" s="210">
        <v>288</v>
      </c>
      <c r="I132" s="210">
        <f t="shared" si="11"/>
        <v>47808</v>
      </c>
      <c r="J132" s="1087">
        <v>0</v>
      </c>
      <c r="K132" s="210">
        <v>60000</v>
      </c>
      <c r="L132" s="389" t="s">
        <v>1818</v>
      </c>
      <c r="M132" s="210">
        <v>6250</v>
      </c>
      <c r="N132" s="210">
        <v>3173000</v>
      </c>
      <c r="O132" s="210">
        <v>852000</v>
      </c>
      <c r="P132" s="639">
        <f t="shared" si="12"/>
        <v>0.268515600378191</v>
      </c>
      <c r="Q132" s="211">
        <f t="shared" si="13"/>
        <v>13981.927710843374</v>
      </c>
    </row>
    <row r="133" spans="2:17">
      <c r="B133" s="207" t="s">
        <v>1819</v>
      </c>
      <c r="C133" s="1087">
        <v>50019</v>
      </c>
      <c r="D133" s="389" t="s">
        <v>1783</v>
      </c>
      <c r="E133" s="389" t="s">
        <v>978</v>
      </c>
      <c r="F133" s="210">
        <v>173</v>
      </c>
      <c r="G133" s="210">
        <v>47700</v>
      </c>
      <c r="H133" s="210">
        <v>276</v>
      </c>
      <c r="I133" s="210">
        <f t="shared" si="11"/>
        <v>47748</v>
      </c>
      <c r="J133" s="1087">
        <v>10000</v>
      </c>
      <c r="K133" s="210">
        <v>50000</v>
      </c>
      <c r="L133" s="389" t="s">
        <v>1820</v>
      </c>
      <c r="M133" s="210">
        <v>6250</v>
      </c>
      <c r="N133" s="210">
        <v>3145000</v>
      </c>
      <c r="O133" s="210">
        <v>735000</v>
      </c>
      <c r="P133" s="639">
        <f t="shared" si="12"/>
        <v>0.23370429252782193</v>
      </c>
      <c r="Q133" s="211">
        <f t="shared" si="13"/>
        <v>13930.635838150289</v>
      </c>
    </row>
    <row r="134" spans="2:17">
      <c r="B134" s="207" t="s">
        <v>4593</v>
      </c>
      <c r="C134" s="1087">
        <v>50020</v>
      </c>
      <c r="D134" s="389" t="s">
        <v>1806</v>
      </c>
      <c r="E134" s="389" t="s">
        <v>978</v>
      </c>
      <c r="F134" s="210">
        <v>163</v>
      </c>
      <c r="G134" s="210">
        <v>47700</v>
      </c>
      <c r="H134" s="210">
        <v>293</v>
      </c>
      <c r="I134" s="210">
        <f t="shared" si="11"/>
        <v>47759</v>
      </c>
      <c r="J134" s="208">
        <v>0</v>
      </c>
      <c r="K134" s="210">
        <v>67000</v>
      </c>
      <c r="L134" s="389" t="s">
        <v>4086</v>
      </c>
      <c r="M134" s="210">
        <v>6250</v>
      </c>
      <c r="N134" s="210">
        <v>3261000</v>
      </c>
      <c r="O134" s="210">
        <v>978000</v>
      </c>
      <c r="P134" s="639">
        <f t="shared" si="12"/>
        <v>0.29990800367985282</v>
      </c>
      <c r="Q134" s="211">
        <f t="shared" si="13"/>
        <v>14006.134969325154</v>
      </c>
    </row>
    <row r="135" spans="2:17">
      <c r="B135" s="207" t="s">
        <v>1826</v>
      </c>
      <c r="C135" s="1087">
        <v>50021</v>
      </c>
      <c r="D135" s="390" t="s">
        <v>1827</v>
      </c>
      <c r="E135" s="390" t="s">
        <v>978</v>
      </c>
      <c r="F135" s="210">
        <v>173</v>
      </c>
      <c r="G135" s="210">
        <v>47700</v>
      </c>
      <c r="H135" s="210">
        <v>344</v>
      </c>
      <c r="I135" s="210">
        <f t="shared" si="11"/>
        <v>59512</v>
      </c>
      <c r="J135" s="208">
        <v>0</v>
      </c>
      <c r="K135" s="210">
        <v>51000</v>
      </c>
      <c r="L135" s="390" t="s">
        <v>2232</v>
      </c>
      <c r="M135" s="210">
        <v>6250</v>
      </c>
      <c r="N135" s="210">
        <v>3210000</v>
      </c>
      <c r="O135" s="210">
        <f>114000*3+229000*2</f>
        <v>800000</v>
      </c>
      <c r="P135" s="639">
        <f t="shared" si="12"/>
        <v>0.24922118380062305</v>
      </c>
      <c r="Q135" s="211">
        <f t="shared" si="13"/>
        <v>13930.635838150289</v>
      </c>
    </row>
    <row r="136" spans="2:17">
      <c r="B136" s="207" t="s">
        <v>4594</v>
      </c>
      <c r="C136" s="1087">
        <v>50022</v>
      </c>
      <c r="D136" s="636" t="s">
        <v>658</v>
      </c>
      <c r="E136" s="636" t="s">
        <v>978</v>
      </c>
      <c r="F136" s="210">
        <v>161</v>
      </c>
      <c r="G136" s="210">
        <v>47700</v>
      </c>
      <c r="H136" s="210">
        <v>297</v>
      </c>
      <c r="I136" s="210">
        <f t="shared" si="11"/>
        <v>47817</v>
      </c>
      <c r="J136" s="1087">
        <v>10000</v>
      </c>
      <c r="K136" s="210">
        <v>65000</v>
      </c>
      <c r="L136" s="636" t="s">
        <v>2233</v>
      </c>
      <c r="M136" s="210">
        <v>6250</v>
      </c>
      <c r="N136" s="210">
        <v>3222000</v>
      </c>
      <c r="O136" s="210">
        <f>107000*5+215000*2</f>
        <v>965000</v>
      </c>
      <c r="P136" s="639">
        <f t="shared" si="12"/>
        <v>0.29950341402855368</v>
      </c>
      <c r="Q136" s="211">
        <f t="shared" si="13"/>
        <v>14018.633540372672</v>
      </c>
    </row>
    <row r="137" spans="2:17">
      <c r="B137" s="207" t="s">
        <v>2234</v>
      </c>
      <c r="C137" s="1087">
        <v>50023</v>
      </c>
      <c r="D137" s="636" t="s">
        <v>658</v>
      </c>
      <c r="E137" s="636" t="s">
        <v>978</v>
      </c>
      <c r="F137" s="210">
        <v>168</v>
      </c>
      <c r="G137" s="210">
        <v>47700</v>
      </c>
      <c r="H137" s="210">
        <v>378</v>
      </c>
      <c r="I137" s="210">
        <f t="shared" si="11"/>
        <v>63504</v>
      </c>
      <c r="J137" s="208">
        <v>0</v>
      </c>
      <c r="K137" s="210">
        <v>65000</v>
      </c>
      <c r="L137" s="636" t="s">
        <v>2235</v>
      </c>
      <c r="M137" s="210">
        <v>6250</v>
      </c>
      <c r="N137" s="210">
        <v>3643000</v>
      </c>
      <c r="O137" s="210">
        <f>111000*5+223000*2</f>
        <v>1001000</v>
      </c>
      <c r="P137" s="639">
        <f t="shared" si="12"/>
        <v>0.27477353829261597</v>
      </c>
      <c r="Q137" s="211">
        <f t="shared" si="13"/>
        <v>15726.190476190477</v>
      </c>
    </row>
    <row r="138" spans="2:17">
      <c r="B138" s="207" t="s">
        <v>2236</v>
      </c>
      <c r="C138" s="1087">
        <v>50024</v>
      </c>
      <c r="D138" s="636" t="s">
        <v>658</v>
      </c>
      <c r="E138" s="636" t="s">
        <v>978</v>
      </c>
      <c r="F138" s="210">
        <v>171</v>
      </c>
      <c r="G138" s="210">
        <v>51300</v>
      </c>
      <c r="H138" s="210">
        <v>376</v>
      </c>
      <c r="I138" s="210">
        <f t="shared" ref="I138:I172" si="14">H138*F138</f>
        <v>64296</v>
      </c>
      <c r="J138" s="1087">
        <v>0</v>
      </c>
      <c r="K138" s="210">
        <v>40000</v>
      </c>
      <c r="L138" s="636" t="s">
        <v>2237</v>
      </c>
      <c r="M138" s="210">
        <v>6700</v>
      </c>
      <c r="N138" s="210">
        <v>2991000</v>
      </c>
      <c r="O138" s="210">
        <f>69000*6</f>
        <v>414000</v>
      </c>
      <c r="P138" s="639">
        <f t="shared" ref="P138:P172" si="15">O138/N138</f>
        <v>0.13841524573721165</v>
      </c>
      <c r="Q138" s="211">
        <f t="shared" ref="Q138:Q172" si="16">(N138-O138)/F138</f>
        <v>15070.17543859649</v>
      </c>
    </row>
    <row r="139" spans="2:17">
      <c r="B139" s="207" t="s">
        <v>2238</v>
      </c>
      <c r="C139" s="1087">
        <v>50025</v>
      </c>
      <c r="D139" s="636" t="s">
        <v>579</v>
      </c>
      <c r="E139" s="636" t="s">
        <v>978</v>
      </c>
      <c r="F139" s="210">
        <v>171</v>
      </c>
      <c r="G139" s="210">
        <v>51300</v>
      </c>
      <c r="H139" s="210">
        <v>301</v>
      </c>
      <c r="I139" s="210">
        <f t="shared" si="14"/>
        <v>51471</v>
      </c>
      <c r="J139" s="208">
        <v>10000</v>
      </c>
      <c r="K139" s="210">
        <v>74000</v>
      </c>
      <c r="L139" s="636" t="s">
        <v>2239</v>
      </c>
      <c r="M139" s="210">
        <v>6700</v>
      </c>
      <c r="N139" s="210">
        <v>3677000</v>
      </c>
      <c r="O139" s="210">
        <f>122000*5+245000*2</f>
        <v>1100000</v>
      </c>
      <c r="P139" s="639">
        <f t="shared" si="15"/>
        <v>0.2991569214033179</v>
      </c>
      <c r="Q139" s="211">
        <f t="shared" si="16"/>
        <v>15070.17543859649</v>
      </c>
    </row>
    <row r="140" spans="2:17">
      <c r="B140" s="207" t="s">
        <v>2240</v>
      </c>
      <c r="C140" s="1087">
        <v>50026</v>
      </c>
      <c r="D140" s="636" t="s">
        <v>659</v>
      </c>
      <c r="E140" s="636" t="s">
        <v>978</v>
      </c>
      <c r="F140" s="210">
        <v>166</v>
      </c>
      <c r="G140" s="210">
        <v>51300</v>
      </c>
      <c r="H140" s="210">
        <v>340</v>
      </c>
      <c r="I140" s="210">
        <f t="shared" si="14"/>
        <v>56440</v>
      </c>
      <c r="J140" s="208">
        <v>0</v>
      </c>
      <c r="K140" s="210">
        <v>74000</v>
      </c>
      <c r="L140" s="636" t="s">
        <v>2241</v>
      </c>
      <c r="M140" s="210">
        <v>6700</v>
      </c>
      <c r="N140" s="210">
        <v>3579000</v>
      </c>
      <c r="O140" s="210">
        <f>119000*5+238000*2</f>
        <v>1071000</v>
      </c>
      <c r="P140" s="639">
        <f t="shared" si="15"/>
        <v>0.29924559932942163</v>
      </c>
      <c r="Q140" s="211">
        <f t="shared" si="16"/>
        <v>15108.433734939759</v>
      </c>
    </row>
    <row r="141" spans="2:17">
      <c r="B141" s="207" t="s">
        <v>2369</v>
      </c>
      <c r="C141" s="1087">
        <v>50027</v>
      </c>
      <c r="D141" s="653" t="s">
        <v>2370</v>
      </c>
      <c r="E141" s="653" t="s">
        <v>978</v>
      </c>
      <c r="F141" s="210">
        <v>170</v>
      </c>
      <c r="G141" s="210">
        <v>51300</v>
      </c>
      <c r="H141" s="210">
        <v>351</v>
      </c>
      <c r="I141" s="210">
        <f t="shared" si="14"/>
        <v>59670</v>
      </c>
      <c r="J141" s="208">
        <v>0</v>
      </c>
      <c r="K141" s="210">
        <v>49000</v>
      </c>
      <c r="L141" s="653" t="s">
        <v>2371</v>
      </c>
      <c r="M141" s="210">
        <v>6700</v>
      </c>
      <c r="N141" s="210">
        <v>3918000</v>
      </c>
      <c r="O141" s="210">
        <v>762000</v>
      </c>
      <c r="P141" s="639">
        <f t="shared" si="15"/>
        <v>0.19448698315467075</v>
      </c>
      <c r="Q141" s="211">
        <f t="shared" si="16"/>
        <v>18564.705882352941</v>
      </c>
    </row>
    <row r="142" spans="2:17">
      <c r="B142" s="207" t="s">
        <v>2609</v>
      </c>
      <c r="C142" s="1087">
        <v>50028</v>
      </c>
      <c r="D142" s="678" t="s">
        <v>2610</v>
      </c>
      <c r="E142" s="678" t="s">
        <v>2612</v>
      </c>
      <c r="F142" s="210">
        <v>186</v>
      </c>
      <c r="G142" s="210">
        <v>51300</v>
      </c>
      <c r="H142" s="210">
        <v>635</v>
      </c>
      <c r="I142" s="210">
        <f t="shared" si="14"/>
        <v>118110</v>
      </c>
      <c r="J142" s="1087">
        <v>0</v>
      </c>
      <c r="K142" s="210">
        <v>66000</v>
      </c>
      <c r="L142" s="678" t="s">
        <v>2613</v>
      </c>
      <c r="M142" s="210">
        <v>6700</v>
      </c>
      <c r="N142" s="210">
        <v>4568000</v>
      </c>
      <c r="O142" s="210">
        <f>157000*4+315000*2</f>
        <v>1258000</v>
      </c>
      <c r="P142" s="639">
        <f t="shared" si="15"/>
        <v>0.27539404553415059</v>
      </c>
      <c r="Q142" s="211">
        <f t="shared" si="16"/>
        <v>17795.698924731183</v>
      </c>
    </row>
    <row r="143" spans="2:17">
      <c r="B143" s="207" t="s">
        <v>2717</v>
      </c>
      <c r="C143" s="1087">
        <v>50029</v>
      </c>
      <c r="D143" s="688" t="s">
        <v>2718</v>
      </c>
      <c r="E143" s="688" t="s">
        <v>978</v>
      </c>
      <c r="F143" s="210">
        <v>179</v>
      </c>
      <c r="G143" s="210">
        <v>51300</v>
      </c>
      <c r="H143" s="210">
        <v>359</v>
      </c>
      <c r="I143" s="210">
        <f t="shared" si="14"/>
        <v>64261</v>
      </c>
      <c r="J143" s="208">
        <v>0</v>
      </c>
      <c r="K143" s="210">
        <v>66000</v>
      </c>
      <c r="L143" s="688" t="s">
        <v>2719</v>
      </c>
      <c r="M143" s="210">
        <v>6700</v>
      </c>
      <c r="N143" s="210">
        <v>4312000</v>
      </c>
      <c r="O143" s="210">
        <f>148000*4+297000*2</f>
        <v>1186000</v>
      </c>
      <c r="P143" s="639">
        <f t="shared" si="15"/>
        <v>0.27504638218923932</v>
      </c>
      <c r="Q143" s="211">
        <f t="shared" si="16"/>
        <v>17463.687150837988</v>
      </c>
    </row>
    <row r="144" spans="2:17">
      <c r="B144" s="207" t="s">
        <v>2720</v>
      </c>
      <c r="C144" s="1087">
        <v>50030</v>
      </c>
      <c r="D144" s="688" t="s">
        <v>2721</v>
      </c>
      <c r="E144" s="688" t="s">
        <v>978</v>
      </c>
      <c r="F144" s="210">
        <v>171</v>
      </c>
      <c r="G144" s="210">
        <v>51300</v>
      </c>
      <c r="H144" s="210">
        <v>301</v>
      </c>
      <c r="I144" s="210">
        <f t="shared" si="14"/>
        <v>51471</v>
      </c>
      <c r="J144" s="1089" t="s">
        <v>2765</v>
      </c>
      <c r="K144" s="210">
        <v>46000</v>
      </c>
      <c r="L144" s="688" t="s">
        <v>2722</v>
      </c>
      <c r="M144" s="210">
        <v>6700</v>
      </c>
      <c r="N144" s="210">
        <v>3267000</v>
      </c>
      <c r="O144" s="210">
        <f>138000*5</f>
        <v>690000</v>
      </c>
      <c r="P144" s="639">
        <f t="shared" si="15"/>
        <v>0.21120293847566574</v>
      </c>
      <c r="Q144" s="211">
        <f t="shared" si="16"/>
        <v>15070.17543859649</v>
      </c>
    </row>
    <row r="145" spans="2:17">
      <c r="B145" s="207" t="s">
        <v>2725</v>
      </c>
      <c r="C145" s="1087">
        <v>50031</v>
      </c>
      <c r="D145" s="688" t="s">
        <v>2723</v>
      </c>
      <c r="E145" s="688" t="s">
        <v>978</v>
      </c>
      <c r="F145" s="210">
        <v>168</v>
      </c>
      <c r="G145" s="210">
        <v>51300</v>
      </c>
      <c r="H145" s="210">
        <v>400</v>
      </c>
      <c r="I145" s="210">
        <f t="shared" si="14"/>
        <v>67200</v>
      </c>
      <c r="J145" s="208">
        <v>70000</v>
      </c>
      <c r="K145" s="210">
        <v>58000</v>
      </c>
      <c r="L145" s="688" t="s">
        <v>2724</v>
      </c>
      <c r="M145" s="210">
        <v>6700</v>
      </c>
      <c r="N145" s="210">
        <v>3847000</v>
      </c>
      <c r="O145" s="210">
        <v>842000</v>
      </c>
      <c r="P145" s="639">
        <f t="shared" si="15"/>
        <v>0.21887184819339744</v>
      </c>
      <c r="Q145" s="211">
        <f t="shared" si="16"/>
        <v>17886.904761904763</v>
      </c>
    </row>
    <row r="146" spans="2:17">
      <c r="B146" s="207" t="s">
        <v>2726</v>
      </c>
      <c r="C146" s="1087">
        <v>50032</v>
      </c>
      <c r="D146" s="688" t="s">
        <v>2727</v>
      </c>
      <c r="E146" s="688" t="s">
        <v>978</v>
      </c>
      <c r="F146" s="210">
        <v>168</v>
      </c>
      <c r="G146" s="210">
        <v>51300</v>
      </c>
      <c r="H146" s="210">
        <v>306</v>
      </c>
      <c r="I146" s="210">
        <f t="shared" si="14"/>
        <v>51408</v>
      </c>
      <c r="J146" s="208">
        <v>0</v>
      </c>
      <c r="K146" s="210">
        <v>46000</v>
      </c>
      <c r="L146" s="688" t="s">
        <v>2728</v>
      </c>
      <c r="M146" s="210">
        <v>6700</v>
      </c>
      <c r="N146" s="210">
        <v>3211000</v>
      </c>
      <c r="O146" s="210">
        <f>135000*3+271000</f>
        <v>676000</v>
      </c>
      <c r="P146" s="639">
        <f t="shared" si="15"/>
        <v>0.21052631578947367</v>
      </c>
      <c r="Q146" s="211">
        <f t="shared" si="16"/>
        <v>15089.285714285714</v>
      </c>
    </row>
    <row r="147" spans="2:17">
      <c r="B147" s="207" t="s">
        <v>3169</v>
      </c>
      <c r="C147" s="1087">
        <v>50033</v>
      </c>
      <c r="D147" s="758" t="s">
        <v>660</v>
      </c>
      <c r="E147" s="758" t="s">
        <v>978</v>
      </c>
      <c r="F147" s="210">
        <v>171</v>
      </c>
      <c r="G147" s="210">
        <v>51300</v>
      </c>
      <c r="H147" s="210">
        <v>301</v>
      </c>
      <c r="I147" s="210">
        <f t="shared" si="14"/>
        <v>51471</v>
      </c>
      <c r="J147" s="1087">
        <v>0</v>
      </c>
      <c r="K147" s="210">
        <v>66000</v>
      </c>
      <c r="L147" s="758" t="s">
        <v>3170</v>
      </c>
      <c r="M147" s="210">
        <v>6700</v>
      </c>
      <c r="N147" s="210">
        <v>3860000</v>
      </c>
      <c r="O147" s="210">
        <v>978000</v>
      </c>
      <c r="P147" s="639">
        <f t="shared" si="15"/>
        <v>0.25336787564766838</v>
      </c>
      <c r="Q147" s="211">
        <f t="shared" si="16"/>
        <v>16853.801169590643</v>
      </c>
    </row>
    <row r="148" spans="2:17">
      <c r="B148" s="207" t="s">
        <v>4082</v>
      </c>
      <c r="C148" s="1087">
        <v>50034</v>
      </c>
      <c r="D148" s="881" t="s">
        <v>658</v>
      </c>
      <c r="E148" s="881" t="s">
        <v>978</v>
      </c>
      <c r="F148" s="210">
        <v>180</v>
      </c>
      <c r="G148" s="210">
        <v>51300</v>
      </c>
      <c r="H148" s="210">
        <v>314</v>
      </c>
      <c r="I148" s="210">
        <f t="shared" si="14"/>
        <v>56520</v>
      </c>
      <c r="J148" s="208">
        <v>0</v>
      </c>
      <c r="K148" s="210">
        <v>66000</v>
      </c>
      <c r="L148" s="881" t="s">
        <v>4083</v>
      </c>
      <c r="M148" s="210">
        <v>6700</v>
      </c>
      <c r="N148" s="210">
        <v>3787000</v>
      </c>
      <c r="O148" s="210">
        <f>520000+522000</f>
        <v>1042000</v>
      </c>
      <c r="P148" s="639">
        <f t="shared" si="15"/>
        <v>0.27515183522577236</v>
      </c>
      <c r="Q148" s="211">
        <f t="shared" si="16"/>
        <v>15250</v>
      </c>
    </row>
    <row r="149" spans="2:17">
      <c r="B149" s="207" t="s">
        <v>4188</v>
      </c>
      <c r="C149" s="1087">
        <v>50035</v>
      </c>
      <c r="D149" s="908" t="s">
        <v>578</v>
      </c>
      <c r="E149" s="908" t="s">
        <v>978</v>
      </c>
      <c r="F149" s="210">
        <v>168</v>
      </c>
      <c r="G149" s="210">
        <v>51300</v>
      </c>
      <c r="H149" s="210">
        <v>611</v>
      </c>
      <c r="I149" s="210">
        <f t="shared" si="14"/>
        <v>102648</v>
      </c>
      <c r="J149" s="208">
        <v>40000</v>
      </c>
      <c r="K149" s="210">
        <v>55000</v>
      </c>
      <c r="L149" s="908" t="s">
        <v>4189</v>
      </c>
      <c r="M149" s="210">
        <v>6700</v>
      </c>
      <c r="N149" s="210">
        <v>3550000</v>
      </c>
      <c r="O149" s="210">
        <f>169000*4+339000</f>
        <v>1015000</v>
      </c>
      <c r="P149" s="639">
        <f t="shared" si="15"/>
        <v>0.28591549295774649</v>
      </c>
      <c r="Q149" s="211">
        <f t="shared" si="16"/>
        <v>15089.285714285714</v>
      </c>
    </row>
    <row r="150" spans="2:17">
      <c r="B150" s="207" t="s">
        <v>4190</v>
      </c>
      <c r="C150" s="1087">
        <v>50036</v>
      </c>
      <c r="D150" s="908" t="s">
        <v>657</v>
      </c>
      <c r="E150" s="908" t="s">
        <v>978</v>
      </c>
      <c r="F150" s="210">
        <v>172</v>
      </c>
      <c r="G150" s="210">
        <v>51300</v>
      </c>
      <c r="H150" s="210">
        <v>418</v>
      </c>
      <c r="I150" s="210">
        <f t="shared" si="14"/>
        <v>71896</v>
      </c>
      <c r="J150" s="208">
        <v>0</v>
      </c>
      <c r="K150" s="210">
        <v>66000</v>
      </c>
      <c r="L150" s="908" t="s">
        <v>4191</v>
      </c>
      <c r="M150" s="210">
        <v>6700</v>
      </c>
      <c r="N150" s="210">
        <v>3876000</v>
      </c>
      <c r="O150" s="210">
        <f>123000*8</f>
        <v>984000</v>
      </c>
      <c r="P150" s="639">
        <f t="shared" si="15"/>
        <v>0.25386996904024767</v>
      </c>
      <c r="Q150" s="211">
        <f t="shared" si="16"/>
        <v>16813.953488372092</v>
      </c>
    </row>
    <row r="151" spans="2:17">
      <c r="B151" s="207" t="s">
        <v>4192</v>
      </c>
      <c r="C151" s="1087">
        <v>50037</v>
      </c>
      <c r="D151" s="908" t="s">
        <v>657</v>
      </c>
      <c r="E151" s="908" t="s">
        <v>978</v>
      </c>
      <c r="F151" s="210">
        <v>178</v>
      </c>
      <c r="G151" s="210">
        <v>51300</v>
      </c>
      <c r="H151" s="210">
        <v>289</v>
      </c>
      <c r="I151" s="210">
        <f t="shared" si="14"/>
        <v>51442</v>
      </c>
      <c r="J151" s="1087">
        <v>0</v>
      </c>
      <c r="K151" s="210">
        <v>74000</v>
      </c>
      <c r="L151" s="908" t="s">
        <v>4193</v>
      </c>
      <c r="M151" s="210">
        <v>6700</v>
      </c>
      <c r="N151" s="210">
        <v>4444000</v>
      </c>
      <c r="O151" s="210">
        <f>127000*9</f>
        <v>1143000</v>
      </c>
      <c r="P151" s="639">
        <f t="shared" si="15"/>
        <v>0.25720072007200723</v>
      </c>
      <c r="Q151" s="211">
        <f t="shared" si="16"/>
        <v>18544.943820224718</v>
      </c>
    </row>
    <row r="152" spans="2:17">
      <c r="B152" s="207" t="s">
        <v>4281</v>
      </c>
      <c r="C152" s="1087">
        <v>50038</v>
      </c>
      <c r="D152" s="927" t="s">
        <v>660</v>
      </c>
      <c r="E152" s="927" t="s">
        <v>978</v>
      </c>
      <c r="F152" s="210">
        <v>153</v>
      </c>
      <c r="G152" s="210">
        <v>51300</v>
      </c>
      <c r="H152" s="210">
        <v>336</v>
      </c>
      <c r="I152" s="210">
        <f t="shared" si="14"/>
        <v>51408</v>
      </c>
      <c r="J152" s="208">
        <v>0</v>
      </c>
      <c r="K152" s="210">
        <v>46000</v>
      </c>
      <c r="L152" s="927" t="s">
        <v>4282</v>
      </c>
      <c r="M152" s="210">
        <v>6700</v>
      </c>
      <c r="N152" s="210">
        <v>2950000</v>
      </c>
      <c r="O152" s="210">
        <f>124000*3+249000</f>
        <v>621000</v>
      </c>
      <c r="P152" s="639">
        <f t="shared" si="15"/>
        <v>0.2105084745762712</v>
      </c>
      <c r="Q152" s="211">
        <f t="shared" si="16"/>
        <v>15222.222222222223</v>
      </c>
    </row>
    <row r="153" spans="2:17">
      <c r="B153" s="207" t="s">
        <v>4322</v>
      </c>
      <c r="C153" s="1087">
        <v>50039</v>
      </c>
      <c r="D153" s="931" t="s">
        <v>4323</v>
      </c>
      <c r="E153" s="931" t="s">
        <v>978</v>
      </c>
      <c r="F153" s="210">
        <v>177</v>
      </c>
      <c r="G153" s="210">
        <v>51300</v>
      </c>
      <c r="H153" s="210">
        <v>334</v>
      </c>
      <c r="I153" s="210">
        <f t="shared" si="14"/>
        <v>59118</v>
      </c>
      <c r="J153" s="1087">
        <v>0</v>
      </c>
      <c r="K153" s="210">
        <v>70000</v>
      </c>
      <c r="L153" s="931" t="s">
        <v>4325</v>
      </c>
      <c r="M153" s="210">
        <v>6700</v>
      </c>
      <c r="N153" s="210">
        <v>3793000</v>
      </c>
      <c r="O153" s="210">
        <f>162000*7</f>
        <v>1134000</v>
      </c>
      <c r="P153" s="639">
        <f t="shared" si="15"/>
        <v>0.29897179013973108</v>
      </c>
      <c r="Q153" s="211">
        <f t="shared" si="16"/>
        <v>15022.598870056498</v>
      </c>
    </row>
    <row r="154" spans="2:17">
      <c r="B154" s="207" t="s">
        <v>4326</v>
      </c>
      <c r="C154" s="1087">
        <v>50040</v>
      </c>
      <c r="D154" s="931" t="s">
        <v>4324</v>
      </c>
      <c r="E154" s="931" t="s">
        <v>978</v>
      </c>
      <c r="F154" s="210">
        <v>164</v>
      </c>
      <c r="G154" s="210">
        <v>51300</v>
      </c>
      <c r="H154" s="210">
        <v>313</v>
      </c>
      <c r="I154" s="210">
        <f t="shared" si="14"/>
        <v>51332</v>
      </c>
      <c r="J154" s="208">
        <v>0</v>
      </c>
      <c r="K154" s="210">
        <v>74000</v>
      </c>
      <c r="L154" s="931" t="s">
        <v>4327</v>
      </c>
      <c r="M154" s="210">
        <v>6700</v>
      </c>
      <c r="N154" s="210">
        <v>3542000</v>
      </c>
      <c r="O154" s="210">
        <f>118000*9</f>
        <v>1062000</v>
      </c>
      <c r="P154" s="639">
        <f t="shared" si="15"/>
        <v>0.29983060417843027</v>
      </c>
      <c r="Q154" s="211">
        <f t="shared" si="16"/>
        <v>15121.951219512195</v>
      </c>
    </row>
    <row r="155" spans="2:17">
      <c r="B155" s="1057" t="s">
        <v>4595</v>
      </c>
      <c r="C155" s="1087">
        <v>50041</v>
      </c>
      <c r="D155" s="1056" t="s">
        <v>578</v>
      </c>
      <c r="E155" s="1056" t="s">
        <v>978</v>
      </c>
      <c r="F155" s="210">
        <v>167</v>
      </c>
      <c r="G155" s="210">
        <v>51300</v>
      </c>
      <c r="H155" s="210">
        <v>308</v>
      </c>
      <c r="I155" s="210">
        <f t="shared" si="14"/>
        <v>51436</v>
      </c>
      <c r="J155" s="1087">
        <v>0</v>
      </c>
      <c r="K155" s="210">
        <f>9000*3+19000</f>
        <v>46000</v>
      </c>
      <c r="L155" s="1056" t="s">
        <v>4596</v>
      </c>
      <c r="M155" s="210">
        <v>6700</v>
      </c>
      <c r="N155" s="210">
        <v>3996000</v>
      </c>
      <c r="O155" s="210">
        <f>135000*5</f>
        <v>675000</v>
      </c>
      <c r="P155" s="639">
        <f t="shared" si="15"/>
        <v>0.16891891891891891</v>
      </c>
      <c r="Q155" s="211">
        <f t="shared" si="16"/>
        <v>19886.22754491018</v>
      </c>
    </row>
    <row r="156" spans="2:17">
      <c r="B156" s="1064" t="s">
        <v>4636</v>
      </c>
      <c r="C156" s="1087">
        <v>50042</v>
      </c>
      <c r="D156" s="1063" t="s">
        <v>579</v>
      </c>
      <c r="E156" s="1063" t="s">
        <v>978</v>
      </c>
      <c r="F156" s="210">
        <v>163</v>
      </c>
      <c r="G156" s="210">
        <v>51300</v>
      </c>
      <c r="H156" s="210">
        <v>441</v>
      </c>
      <c r="I156" s="210">
        <f t="shared" si="14"/>
        <v>71883</v>
      </c>
      <c r="J156" s="1089" t="s">
        <v>4637</v>
      </c>
      <c r="K156" s="210">
        <v>74000</v>
      </c>
      <c r="L156" s="1063" t="s">
        <v>4638</v>
      </c>
      <c r="M156" s="210">
        <v>6700</v>
      </c>
      <c r="N156" s="210">
        <v>3519000</v>
      </c>
      <c r="O156" s="210">
        <f>117000*9</f>
        <v>1053000</v>
      </c>
      <c r="P156" s="639">
        <f t="shared" si="15"/>
        <v>0.29923273657289001</v>
      </c>
      <c r="Q156" s="211">
        <f t="shared" si="16"/>
        <v>15128.834355828221</v>
      </c>
    </row>
    <row r="157" spans="2:17" s="1077" customFormat="1">
      <c r="B157" s="1176" t="s">
        <v>4698</v>
      </c>
      <c r="C157" s="1087">
        <v>50043</v>
      </c>
      <c r="D157" s="1175" t="s">
        <v>578</v>
      </c>
      <c r="E157" s="1175" t="s">
        <v>978</v>
      </c>
      <c r="F157" s="210">
        <v>154</v>
      </c>
      <c r="G157" s="210">
        <v>51300</v>
      </c>
      <c r="H157" s="210">
        <v>100</v>
      </c>
      <c r="I157" s="210">
        <f t="shared" si="14"/>
        <v>15400</v>
      </c>
      <c r="J157" s="1089">
        <v>60000</v>
      </c>
      <c r="K157" s="210">
        <v>64000</v>
      </c>
      <c r="L157" s="1175" t="s">
        <v>4699</v>
      </c>
      <c r="M157" s="210">
        <v>6700</v>
      </c>
      <c r="N157" s="210">
        <v>3218000</v>
      </c>
      <c r="O157" s="210">
        <v>876000</v>
      </c>
      <c r="P157" s="639">
        <f>O157/N157</f>
        <v>0.27221876942200124</v>
      </c>
      <c r="Q157" s="211">
        <f>(N157-O157)/F157</f>
        <v>15207.792207792209</v>
      </c>
    </row>
    <row r="158" spans="2:17" s="1077" customFormat="1">
      <c r="B158" s="1186" t="s">
        <v>4767</v>
      </c>
      <c r="C158" s="1087">
        <v>50044</v>
      </c>
      <c r="D158" s="1182" t="s">
        <v>658</v>
      </c>
      <c r="E158" s="1182" t="s">
        <v>978</v>
      </c>
      <c r="F158" s="210">
        <v>171</v>
      </c>
      <c r="G158" s="210">
        <v>51300</v>
      </c>
      <c r="H158" s="210">
        <v>346</v>
      </c>
      <c r="I158" s="210">
        <f t="shared" si="14"/>
        <v>59166</v>
      </c>
      <c r="J158" s="1089">
        <v>0</v>
      </c>
      <c r="K158" s="210">
        <f>8000*3+17000*2</f>
        <v>58000</v>
      </c>
      <c r="L158" s="1182" t="s">
        <v>4768</v>
      </c>
      <c r="M158" s="210">
        <v>6700</v>
      </c>
      <c r="N158" s="210">
        <v>3727000</v>
      </c>
      <c r="O158" s="210">
        <f>133000*7</f>
        <v>931000</v>
      </c>
      <c r="P158" s="639">
        <f>O158/N158</f>
        <v>0.24979876576334853</v>
      </c>
      <c r="Q158" s="211">
        <f>(N158-O158)/F158</f>
        <v>16350.877192982456</v>
      </c>
    </row>
    <row r="159" spans="2:17" s="1077" customFormat="1">
      <c r="B159" s="1186" t="s">
        <v>4769</v>
      </c>
      <c r="C159" s="1087">
        <v>50045</v>
      </c>
      <c r="D159" s="1182" t="s">
        <v>658</v>
      </c>
      <c r="E159" s="1182" t="s">
        <v>978</v>
      </c>
      <c r="F159" s="210">
        <v>173</v>
      </c>
      <c r="G159" s="210">
        <v>51300</v>
      </c>
      <c r="H159" s="210">
        <v>208</v>
      </c>
      <c r="I159" s="210">
        <f t="shared" si="14"/>
        <v>35984</v>
      </c>
      <c r="J159" s="1089">
        <v>0</v>
      </c>
      <c r="K159" s="210">
        <f>8000*4+17000*2</f>
        <v>66000</v>
      </c>
      <c r="L159" s="1182" t="s">
        <v>4770</v>
      </c>
      <c r="M159" s="210">
        <v>6700</v>
      </c>
      <c r="N159" s="210">
        <v>4315000</v>
      </c>
      <c r="O159" s="210">
        <f>124000*8</f>
        <v>992000</v>
      </c>
      <c r="P159" s="639">
        <f>O159/N159</f>
        <v>0.22989571263035921</v>
      </c>
      <c r="Q159" s="211">
        <f>(N159-O159)/F159</f>
        <v>19208.092485549132</v>
      </c>
    </row>
    <row r="160" spans="2:17">
      <c r="B160" s="207" t="s">
        <v>2608</v>
      </c>
      <c r="C160" s="208">
        <v>80001</v>
      </c>
      <c r="D160" s="209" t="s">
        <v>1173</v>
      </c>
      <c r="E160" s="209" t="s">
        <v>978</v>
      </c>
      <c r="F160" s="210">
        <v>178</v>
      </c>
      <c r="G160" s="210">
        <v>44100</v>
      </c>
      <c r="H160" s="210">
        <v>122</v>
      </c>
      <c r="I160" s="210">
        <f t="shared" si="14"/>
        <v>21716</v>
      </c>
      <c r="J160" s="1087">
        <v>22500</v>
      </c>
      <c r="K160" s="210">
        <v>44000</v>
      </c>
      <c r="L160" s="209" t="s">
        <v>1238</v>
      </c>
      <c r="M160" s="210">
        <v>5750</v>
      </c>
      <c r="N160" s="210">
        <v>2719500</v>
      </c>
      <c r="O160" s="210">
        <v>440000</v>
      </c>
      <c r="P160" s="639">
        <f t="shared" si="15"/>
        <v>0.16179444750873323</v>
      </c>
      <c r="Q160" s="211">
        <f t="shared" si="16"/>
        <v>12806.1797752809</v>
      </c>
    </row>
    <row r="161" spans="2:17">
      <c r="B161" s="207" t="s">
        <v>1032</v>
      </c>
      <c r="C161" s="208">
        <v>80002</v>
      </c>
      <c r="D161" s="209" t="s">
        <v>1167</v>
      </c>
      <c r="E161" s="209" t="s">
        <v>978</v>
      </c>
      <c r="F161" s="210">
        <v>168</v>
      </c>
      <c r="G161" s="210">
        <v>44100</v>
      </c>
      <c r="H161" s="210">
        <v>263</v>
      </c>
      <c r="I161" s="210">
        <f t="shared" si="14"/>
        <v>44184</v>
      </c>
      <c r="J161" s="208">
        <v>0</v>
      </c>
      <c r="K161" s="210">
        <v>42000</v>
      </c>
      <c r="L161" s="209" t="s">
        <v>1239</v>
      </c>
      <c r="M161" s="210">
        <v>5750</v>
      </c>
      <c r="N161" s="210">
        <v>2582400</v>
      </c>
      <c r="O161" s="210">
        <v>420000</v>
      </c>
      <c r="P161" s="639">
        <f t="shared" si="15"/>
        <v>0.16263940520446096</v>
      </c>
      <c r="Q161" s="211">
        <f t="shared" si="16"/>
        <v>12871.428571428571</v>
      </c>
    </row>
    <row r="162" spans="2:17">
      <c r="B162" s="207" t="s">
        <v>1033</v>
      </c>
      <c r="C162" s="208">
        <v>80003</v>
      </c>
      <c r="D162" s="209" t="s">
        <v>1170</v>
      </c>
      <c r="E162" s="209" t="s">
        <v>978</v>
      </c>
      <c r="F162" s="210">
        <v>158</v>
      </c>
      <c r="G162" s="210">
        <v>44100</v>
      </c>
      <c r="H162" s="210">
        <v>280</v>
      </c>
      <c r="I162" s="210">
        <f t="shared" si="14"/>
        <v>44240</v>
      </c>
      <c r="J162" s="1087">
        <v>0</v>
      </c>
      <c r="K162" s="210">
        <v>42000</v>
      </c>
      <c r="L162" s="209" t="s">
        <v>1802</v>
      </c>
      <c r="M162" s="210">
        <v>5750</v>
      </c>
      <c r="N162" s="210">
        <v>2465100</v>
      </c>
      <c r="O162" s="210">
        <v>420000</v>
      </c>
      <c r="P162" s="639">
        <f t="shared" si="15"/>
        <v>0.17037848363149569</v>
      </c>
      <c r="Q162" s="211">
        <f t="shared" si="16"/>
        <v>12943.67088607595</v>
      </c>
    </row>
    <row r="163" spans="2:17">
      <c r="B163" s="207" t="s">
        <v>1034</v>
      </c>
      <c r="C163" s="208">
        <v>80004</v>
      </c>
      <c r="D163" s="209" t="s">
        <v>1175</v>
      </c>
      <c r="E163" s="209" t="s">
        <v>978</v>
      </c>
      <c r="F163" s="210">
        <v>167</v>
      </c>
      <c r="G163" s="210">
        <v>44100</v>
      </c>
      <c r="H163" s="210">
        <v>265</v>
      </c>
      <c r="I163" s="210">
        <f t="shared" si="14"/>
        <v>44255</v>
      </c>
      <c r="J163" s="1087">
        <v>0</v>
      </c>
      <c r="K163" s="210">
        <v>43800</v>
      </c>
      <c r="L163" s="209" t="s">
        <v>1803</v>
      </c>
      <c r="M163" s="210">
        <v>5750</v>
      </c>
      <c r="N163" s="210">
        <v>2588700</v>
      </c>
      <c r="O163" s="210">
        <v>438000</v>
      </c>
      <c r="P163" s="639">
        <f t="shared" si="15"/>
        <v>0.169196894193997</v>
      </c>
      <c r="Q163" s="211">
        <f t="shared" si="16"/>
        <v>12878.443113772455</v>
      </c>
    </row>
    <row r="164" spans="2:17">
      <c r="B164" s="207" t="s">
        <v>1035</v>
      </c>
      <c r="C164" s="208">
        <v>80005</v>
      </c>
      <c r="D164" s="209" t="s">
        <v>1175</v>
      </c>
      <c r="E164" s="209" t="s">
        <v>978</v>
      </c>
      <c r="F164" s="210">
        <v>137</v>
      </c>
      <c r="G164" s="210">
        <v>44100</v>
      </c>
      <c r="H164" s="210">
        <v>322</v>
      </c>
      <c r="I164" s="210">
        <f t="shared" si="14"/>
        <v>44114</v>
      </c>
      <c r="J164" s="208">
        <v>-3000</v>
      </c>
      <c r="K164" s="210">
        <v>44000</v>
      </c>
      <c r="L164" s="209" t="s">
        <v>1240</v>
      </c>
      <c r="M164" s="210">
        <v>5750</v>
      </c>
      <c r="N164" s="210">
        <v>2200500</v>
      </c>
      <c r="O164" s="210">
        <v>440000</v>
      </c>
      <c r="P164" s="639">
        <f t="shared" si="15"/>
        <v>0.19995455578277666</v>
      </c>
      <c r="Q164" s="211">
        <f t="shared" si="16"/>
        <v>12850.364963503649</v>
      </c>
    </row>
    <row r="165" spans="2:17">
      <c r="B165" s="207" t="s">
        <v>1036</v>
      </c>
      <c r="C165" s="208">
        <v>80006</v>
      </c>
      <c r="D165" s="209" t="s">
        <v>1171</v>
      </c>
      <c r="E165" s="209" t="s">
        <v>978</v>
      </c>
      <c r="F165" s="210">
        <v>155</v>
      </c>
      <c r="G165" s="210">
        <v>44100</v>
      </c>
      <c r="H165" s="210">
        <v>285</v>
      </c>
      <c r="I165" s="210">
        <f t="shared" si="14"/>
        <v>44175</v>
      </c>
      <c r="J165" s="208">
        <v>0</v>
      </c>
      <c r="K165" s="210">
        <v>42000</v>
      </c>
      <c r="L165" s="209" t="s">
        <v>1241</v>
      </c>
      <c r="M165" s="210">
        <v>5750</v>
      </c>
      <c r="N165" s="210">
        <v>2430000</v>
      </c>
      <c r="O165" s="210">
        <v>420000</v>
      </c>
      <c r="P165" s="639">
        <f t="shared" si="15"/>
        <v>0.1728395061728395</v>
      </c>
      <c r="Q165" s="211">
        <f t="shared" si="16"/>
        <v>12967.741935483871</v>
      </c>
    </row>
    <row r="166" spans="2:17">
      <c r="B166" s="207" t="s">
        <v>1037</v>
      </c>
      <c r="C166" s="208">
        <v>80007</v>
      </c>
      <c r="D166" s="209" t="s">
        <v>1168</v>
      </c>
      <c r="E166" s="209" t="s">
        <v>978</v>
      </c>
      <c r="F166" s="210">
        <v>160</v>
      </c>
      <c r="G166" s="210">
        <v>44100</v>
      </c>
      <c r="H166" s="210">
        <v>276</v>
      </c>
      <c r="I166" s="210">
        <f t="shared" si="14"/>
        <v>44160</v>
      </c>
      <c r="J166" s="208">
        <v>0</v>
      </c>
      <c r="K166" s="210">
        <v>42000</v>
      </c>
      <c r="L166" s="209" t="s">
        <v>1804</v>
      </c>
      <c r="M166" s="210">
        <v>5750</v>
      </c>
      <c r="N166" s="210">
        <v>2488600</v>
      </c>
      <c r="O166" s="210">
        <v>420000</v>
      </c>
      <c r="P166" s="639">
        <f t="shared" si="15"/>
        <v>0.16876958932733263</v>
      </c>
      <c r="Q166" s="211">
        <f t="shared" si="16"/>
        <v>12928.75</v>
      </c>
    </row>
    <row r="167" spans="2:17">
      <c r="B167" s="207" t="s">
        <v>1038</v>
      </c>
      <c r="C167" s="208">
        <v>80008</v>
      </c>
      <c r="D167" s="209" t="s">
        <v>1167</v>
      </c>
      <c r="E167" s="209" t="s">
        <v>978</v>
      </c>
      <c r="F167" s="210">
        <v>155</v>
      </c>
      <c r="G167" s="210">
        <v>44100</v>
      </c>
      <c r="H167" s="210">
        <v>285</v>
      </c>
      <c r="I167" s="210">
        <f t="shared" si="14"/>
        <v>44175</v>
      </c>
      <c r="J167" s="208">
        <v>0</v>
      </c>
      <c r="K167" s="210">
        <v>44000</v>
      </c>
      <c r="L167" s="209" t="s">
        <v>1242</v>
      </c>
      <c r="M167" s="210">
        <v>5750</v>
      </c>
      <c r="N167" s="210">
        <v>2450000</v>
      </c>
      <c r="O167" s="210">
        <v>440000</v>
      </c>
      <c r="P167" s="639">
        <f t="shared" si="15"/>
        <v>0.17959183673469387</v>
      </c>
      <c r="Q167" s="211">
        <f t="shared" si="16"/>
        <v>12967.741935483871</v>
      </c>
    </row>
    <row r="168" spans="2:17">
      <c r="B168" s="207" t="s">
        <v>1039</v>
      </c>
      <c r="C168" s="208">
        <v>80009</v>
      </c>
      <c r="D168" s="209" t="s">
        <v>578</v>
      </c>
      <c r="E168" s="209" t="s">
        <v>978</v>
      </c>
      <c r="F168" s="210">
        <v>178</v>
      </c>
      <c r="G168" s="210">
        <v>44100</v>
      </c>
      <c r="H168" s="210">
        <v>248</v>
      </c>
      <c r="I168" s="210">
        <f t="shared" si="14"/>
        <v>44144</v>
      </c>
      <c r="J168" s="208">
        <v>0</v>
      </c>
      <c r="K168" s="210">
        <f>7300*6</f>
        <v>43800</v>
      </c>
      <c r="L168" s="209" t="s">
        <v>1205</v>
      </c>
      <c r="M168" s="210">
        <v>5750</v>
      </c>
      <c r="N168" s="210">
        <v>2717500</v>
      </c>
      <c r="O168" s="210">
        <v>438000</v>
      </c>
      <c r="P168" s="639">
        <f t="shared" si="15"/>
        <v>0.16117755289788407</v>
      </c>
      <c r="Q168" s="211">
        <f t="shared" si="16"/>
        <v>12806.1797752809</v>
      </c>
    </row>
    <row r="169" spans="2:17">
      <c r="B169" s="207" t="s">
        <v>1040</v>
      </c>
      <c r="C169" s="208">
        <v>81001</v>
      </c>
      <c r="D169" s="209" t="s">
        <v>1173</v>
      </c>
      <c r="E169" s="209" t="s">
        <v>978</v>
      </c>
      <c r="F169" s="210">
        <v>170</v>
      </c>
      <c r="G169" s="210">
        <v>44100</v>
      </c>
      <c r="H169" s="210">
        <v>555</v>
      </c>
      <c r="I169" s="210">
        <f t="shared" si="14"/>
        <v>94350</v>
      </c>
      <c r="J169" s="1089" t="s">
        <v>1243</v>
      </c>
      <c r="K169" s="210">
        <v>43800</v>
      </c>
      <c r="L169" s="209" t="s">
        <v>1805</v>
      </c>
      <c r="M169" s="210">
        <v>5750</v>
      </c>
      <c r="N169" s="210">
        <v>2623800</v>
      </c>
      <c r="O169" s="210">
        <v>438000</v>
      </c>
      <c r="P169" s="639">
        <f t="shared" si="15"/>
        <v>0.16693345529384862</v>
      </c>
      <c r="Q169" s="211">
        <f t="shared" si="16"/>
        <v>12857.64705882353</v>
      </c>
    </row>
    <row r="170" spans="2:17">
      <c r="B170" s="207" t="s">
        <v>1041</v>
      </c>
      <c r="C170" s="208">
        <v>81002</v>
      </c>
      <c r="D170" s="209" t="s">
        <v>1167</v>
      </c>
      <c r="E170" s="209" t="s">
        <v>978</v>
      </c>
      <c r="F170" s="210">
        <v>163</v>
      </c>
      <c r="G170" s="210">
        <v>44100</v>
      </c>
      <c r="H170" s="210">
        <v>271</v>
      </c>
      <c r="I170" s="210">
        <f t="shared" si="14"/>
        <v>44173</v>
      </c>
      <c r="J170" s="208">
        <v>0</v>
      </c>
      <c r="K170" s="210">
        <v>44000</v>
      </c>
      <c r="L170" s="209" t="s">
        <v>1244</v>
      </c>
      <c r="M170" s="210">
        <v>5750</v>
      </c>
      <c r="N170" s="210">
        <v>2963000</v>
      </c>
      <c r="O170" s="210">
        <v>440000</v>
      </c>
      <c r="P170" s="639">
        <f t="shared" si="15"/>
        <v>0.14849814377320283</v>
      </c>
      <c r="Q170" s="211">
        <f t="shared" si="16"/>
        <v>15478.527607361963</v>
      </c>
    </row>
    <row r="171" spans="2:17">
      <c r="B171" s="207" t="s">
        <v>1042</v>
      </c>
      <c r="C171" s="1087">
        <v>81003</v>
      </c>
      <c r="D171" s="209" t="s">
        <v>1171</v>
      </c>
      <c r="E171" s="209" t="s">
        <v>978</v>
      </c>
      <c r="F171" s="210">
        <v>172</v>
      </c>
      <c r="G171" s="210">
        <v>44100</v>
      </c>
      <c r="H171" s="210">
        <v>257</v>
      </c>
      <c r="I171" s="210">
        <f t="shared" si="14"/>
        <v>44204</v>
      </c>
      <c r="J171" s="1087">
        <v>0</v>
      </c>
      <c r="K171" s="210">
        <f>6300*7</f>
        <v>44100</v>
      </c>
      <c r="L171" s="209" t="s">
        <v>1245</v>
      </c>
      <c r="M171" s="210">
        <v>5750</v>
      </c>
      <c r="N171" s="210">
        <v>2650300</v>
      </c>
      <c r="O171" s="210">
        <v>441000</v>
      </c>
      <c r="P171" s="639">
        <f t="shared" si="15"/>
        <v>0.16639625702750632</v>
      </c>
      <c r="Q171" s="211">
        <f t="shared" si="16"/>
        <v>12844.767441860466</v>
      </c>
    </row>
    <row r="172" spans="2:17">
      <c r="B172" s="207" t="s">
        <v>1043</v>
      </c>
      <c r="C172" s="1087">
        <v>81004</v>
      </c>
      <c r="D172" s="209" t="s">
        <v>1175</v>
      </c>
      <c r="E172" s="209" t="s">
        <v>978</v>
      </c>
      <c r="F172" s="210">
        <v>161</v>
      </c>
      <c r="G172" s="210">
        <v>44100</v>
      </c>
      <c r="H172" s="210">
        <v>274</v>
      </c>
      <c r="I172" s="210">
        <f t="shared" si="14"/>
        <v>44114</v>
      </c>
      <c r="J172" s="208">
        <v>0</v>
      </c>
      <c r="K172" s="210">
        <v>44000</v>
      </c>
      <c r="L172" s="209" t="s">
        <v>1246</v>
      </c>
      <c r="M172" s="210">
        <v>5750</v>
      </c>
      <c r="N172" s="210">
        <v>2520300</v>
      </c>
      <c r="O172" s="210">
        <v>440000</v>
      </c>
      <c r="P172" s="639">
        <f t="shared" si="15"/>
        <v>0.17458239098520018</v>
      </c>
      <c r="Q172" s="211">
        <f t="shared" si="16"/>
        <v>12921.118012422361</v>
      </c>
    </row>
    <row r="173" spans="2:17">
      <c r="B173" s="207" t="s">
        <v>1044</v>
      </c>
      <c r="C173" s="1087">
        <v>81005</v>
      </c>
      <c r="D173" s="209" t="s">
        <v>1175</v>
      </c>
      <c r="E173" s="209" t="s">
        <v>978</v>
      </c>
      <c r="F173" s="210">
        <v>165</v>
      </c>
      <c r="G173" s="210">
        <v>44100</v>
      </c>
      <c r="H173" s="210">
        <v>268</v>
      </c>
      <c r="I173" s="210">
        <f t="shared" ref="I173:I207" si="17">H173*F173</f>
        <v>44220</v>
      </c>
      <c r="J173" s="208">
        <v>-800</v>
      </c>
      <c r="K173" s="210">
        <v>44000</v>
      </c>
      <c r="L173" s="209" t="s">
        <v>1247</v>
      </c>
      <c r="M173" s="210">
        <v>5750</v>
      </c>
      <c r="N173" s="210">
        <v>2605700</v>
      </c>
      <c r="O173" s="210">
        <v>440000</v>
      </c>
      <c r="P173" s="639">
        <f t="shared" ref="P173:P207" si="18">O173/N173</f>
        <v>0.1688605748935027</v>
      </c>
      <c r="Q173" s="211">
        <f t="shared" ref="Q173:Q209" si="19">(N173-O173)/F173</f>
        <v>13125.454545454546</v>
      </c>
    </row>
    <row r="174" spans="2:17">
      <c r="B174" s="207" t="s">
        <v>1045</v>
      </c>
      <c r="C174" s="1087">
        <v>81006</v>
      </c>
      <c r="D174" s="209" t="s">
        <v>1168</v>
      </c>
      <c r="E174" s="209" t="s">
        <v>978</v>
      </c>
      <c r="F174" s="210">
        <v>167</v>
      </c>
      <c r="G174" s="210">
        <v>44100</v>
      </c>
      <c r="H174" s="210">
        <v>280</v>
      </c>
      <c r="I174" s="210">
        <f t="shared" si="17"/>
        <v>46760</v>
      </c>
      <c r="J174" s="1087">
        <v>0</v>
      </c>
      <c r="K174" s="210">
        <f>6300*7</f>
        <v>44100</v>
      </c>
      <c r="L174" s="209" t="s">
        <v>1248</v>
      </c>
      <c r="M174" s="210">
        <v>5750</v>
      </c>
      <c r="N174" s="210">
        <v>2963000</v>
      </c>
      <c r="O174" s="210">
        <v>441000</v>
      </c>
      <c r="P174" s="639">
        <f t="shared" si="18"/>
        <v>0.14883563955450557</v>
      </c>
      <c r="Q174" s="211">
        <f t="shared" si="19"/>
        <v>15101.79640718563</v>
      </c>
    </row>
    <row r="175" spans="2:17">
      <c r="B175" s="207" t="s">
        <v>1046</v>
      </c>
      <c r="C175" s="1087">
        <v>81007</v>
      </c>
      <c r="D175" s="209" t="s">
        <v>1171</v>
      </c>
      <c r="E175" s="209" t="s">
        <v>978</v>
      </c>
      <c r="F175" s="210">
        <v>167</v>
      </c>
      <c r="G175" s="210">
        <v>44100</v>
      </c>
      <c r="H175" s="210">
        <v>265</v>
      </c>
      <c r="I175" s="210">
        <f t="shared" si="17"/>
        <v>44255</v>
      </c>
      <c r="J175" s="208">
        <v>0</v>
      </c>
      <c r="K175" s="210">
        <v>44000</v>
      </c>
      <c r="L175" s="209" t="s">
        <v>1249</v>
      </c>
      <c r="M175" s="210">
        <v>5750</v>
      </c>
      <c r="N175" s="210">
        <v>2629100</v>
      </c>
      <c r="O175" s="210">
        <v>440000</v>
      </c>
      <c r="P175" s="639">
        <f t="shared" si="18"/>
        <v>0.16735765090715454</v>
      </c>
      <c r="Q175" s="211">
        <f t="shared" si="19"/>
        <v>13108.383233532933</v>
      </c>
    </row>
    <row r="176" spans="2:17">
      <c r="B176" s="207" t="s">
        <v>1047</v>
      </c>
      <c r="C176" s="1087">
        <v>81008</v>
      </c>
      <c r="D176" s="209" t="s">
        <v>1167</v>
      </c>
      <c r="E176" s="209" t="s">
        <v>978</v>
      </c>
      <c r="F176" s="210">
        <v>145</v>
      </c>
      <c r="G176" s="210">
        <v>44100</v>
      </c>
      <c r="H176" s="210">
        <v>305</v>
      </c>
      <c r="I176" s="210">
        <f t="shared" si="17"/>
        <v>44225</v>
      </c>
      <c r="J176" s="208">
        <v>0</v>
      </c>
      <c r="K176" s="210">
        <v>44000</v>
      </c>
      <c r="L176" s="209" t="s">
        <v>1250</v>
      </c>
      <c r="M176" s="210">
        <v>5750</v>
      </c>
      <c r="N176" s="210">
        <v>2332800</v>
      </c>
      <c r="O176" s="210">
        <v>440000</v>
      </c>
      <c r="P176" s="639">
        <f t="shared" si="18"/>
        <v>0.18861454046639231</v>
      </c>
      <c r="Q176" s="211">
        <f t="shared" si="19"/>
        <v>13053.793103448275</v>
      </c>
    </row>
    <row r="177" spans="2:17">
      <c r="B177" s="207" t="s">
        <v>1048</v>
      </c>
      <c r="C177" s="1087">
        <v>81009</v>
      </c>
      <c r="D177" s="209" t="s">
        <v>1170</v>
      </c>
      <c r="E177" s="209" t="s">
        <v>978</v>
      </c>
      <c r="F177" s="210">
        <v>159</v>
      </c>
      <c r="G177" s="210">
        <v>44100</v>
      </c>
      <c r="H177" s="210">
        <v>278</v>
      </c>
      <c r="I177" s="210">
        <f t="shared" si="17"/>
        <v>44202</v>
      </c>
      <c r="J177" s="208">
        <v>0</v>
      </c>
      <c r="K177" s="210">
        <v>43800</v>
      </c>
      <c r="L177" s="209" t="s">
        <v>1251</v>
      </c>
      <c r="M177" s="210">
        <v>5750</v>
      </c>
      <c r="N177" s="210">
        <v>2494900</v>
      </c>
      <c r="O177" s="210">
        <v>438000</v>
      </c>
      <c r="P177" s="639">
        <f t="shared" si="18"/>
        <v>0.1755581386027496</v>
      </c>
      <c r="Q177" s="211">
        <f t="shared" si="19"/>
        <v>12936.477987421384</v>
      </c>
    </row>
    <row r="178" spans="2:17">
      <c r="B178" s="207" t="s">
        <v>1049</v>
      </c>
      <c r="C178" s="208">
        <v>82001</v>
      </c>
      <c r="D178" s="209" t="s">
        <v>1173</v>
      </c>
      <c r="E178" s="209" t="s">
        <v>978</v>
      </c>
      <c r="F178" s="210">
        <v>166</v>
      </c>
      <c r="G178" s="210">
        <v>44100</v>
      </c>
      <c r="H178" s="210">
        <v>263</v>
      </c>
      <c r="I178" s="210">
        <f t="shared" si="17"/>
        <v>43658</v>
      </c>
      <c r="J178" s="208">
        <v>200</v>
      </c>
      <c r="K178" s="210">
        <v>40000</v>
      </c>
      <c r="L178" s="209" t="s">
        <v>1252</v>
      </c>
      <c r="M178" s="210">
        <v>5750</v>
      </c>
      <c r="N178" s="210">
        <v>2538900</v>
      </c>
      <c r="O178" s="210">
        <v>400000</v>
      </c>
      <c r="P178" s="639">
        <f t="shared" si="18"/>
        <v>0.15754854464531884</v>
      </c>
      <c r="Q178" s="211">
        <f t="shared" si="19"/>
        <v>12884.939759036144</v>
      </c>
    </row>
    <row r="179" spans="2:17">
      <c r="B179" s="207" t="s">
        <v>1050</v>
      </c>
      <c r="C179" s="208">
        <v>82002</v>
      </c>
      <c r="D179" s="209" t="s">
        <v>1171</v>
      </c>
      <c r="E179" s="209" t="s">
        <v>978</v>
      </c>
      <c r="F179" s="210">
        <v>169</v>
      </c>
      <c r="G179" s="210">
        <v>44100</v>
      </c>
      <c r="H179" s="210">
        <v>261</v>
      </c>
      <c r="I179" s="210">
        <f t="shared" si="17"/>
        <v>44109</v>
      </c>
      <c r="J179" s="208">
        <v>0</v>
      </c>
      <c r="K179" s="210">
        <v>42000</v>
      </c>
      <c r="L179" s="209" t="s">
        <v>1253</v>
      </c>
      <c r="M179" s="210">
        <v>5750</v>
      </c>
      <c r="N179" s="210">
        <v>2594100</v>
      </c>
      <c r="O179" s="210">
        <v>420000</v>
      </c>
      <c r="P179" s="639">
        <f t="shared" si="18"/>
        <v>0.16190586330519255</v>
      </c>
      <c r="Q179" s="211">
        <f t="shared" si="19"/>
        <v>12864.497041420118</v>
      </c>
    </row>
    <row r="180" spans="2:17">
      <c r="B180" s="207" t="s">
        <v>1051</v>
      </c>
      <c r="C180" s="208">
        <v>82009</v>
      </c>
      <c r="D180" s="209" t="s">
        <v>1167</v>
      </c>
      <c r="E180" s="209" t="s">
        <v>978</v>
      </c>
      <c r="F180" s="210">
        <v>165</v>
      </c>
      <c r="G180" s="210">
        <v>44100</v>
      </c>
      <c r="H180" s="210">
        <v>268</v>
      </c>
      <c r="I180" s="210">
        <f t="shared" si="17"/>
        <v>44220</v>
      </c>
      <c r="J180" s="208">
        <v>-10000</v>
      </c>
      <c r="K180" s="210">
        <v>44000</v>
      </c>
      <c r="L180" s="209" t="s">
        <v>1254</v>
      </c>
      <c r="M180" s="210">
        <v>5750</v>
      </c>
      <c r="N180" s="210">
        <v>2567000</v>
      </c>
      <c r="O180" s="210">
        <v>440000</v>
      </c>
      <c r="P180" s="639">
        <f t="shared" si="18"/>
        <v>0.17140631086871835</v>
      </c>
      <c r="Q180" s="211">
        <f t="shared" si="19"/>
        <v>12890.90909090909</v>
      </c>
    </row>
    <row r="181" spans="2:17">
      <c r="B181" s="207" t="s">
        <v>965</v>
      </c>
      <c r="C181" s="208">
        <v>100001</v>
      </c>
      <c r="D181" s="209" t="s">
        <v>657</v>
      </c>
      <c r="E181" s="209" t="s">
        <v>955</v>
      </c>
      <c r="F181" s="210">
        <v>166</v>
      </c>
      <c r="G181" s="210">
        <v>90000</v>
      </c>
      <c r="H181" s="210">
        <v>600</v>
      </c>
      <c r="I181" s="210">
        <f t="shared" si="17"/>
        <v>99600</v>
      </c>
      <c r="J181" s="1089" t="s">
        <v>968</v>
      </c>
      <c r="K181" s="210">
        <v>90000</v>
      </c>
      <c r="L181" s="209" t="s">
        <v>1094</v>
      </c>
      <c r="M181" s="210">
        <v>12000</v>
      </c>
      <c r="N181" s="210">
        <v>10000000</v>
      </c>
      <c r="O181" s="210">
        <v>2000000</v>
      </c>
      <c r="P181" s="639">
        <f t="shared" si="18"/>
        <v>0.2</v>
      </c>
      <c r="Q181" s="211">
        <f t="shared" si="19"/>
        <v>48192.77108433735</v>
      </c>
    </row>
    <row r="182" spans="2:17">
      <c r="B182" s="207" t="s">
        <v>970</v>
      </c>
      <c r="C182" s="208">
        <v>100002</v>
      </c>
      <c r="D182" s="209" t="s">
        <v>660</v>
      </c>
      <c r="E182" s="209" t="s">
        <v>955</v>
      </c>
      <c r="F182" s="210">
        <v>176</v>
      </c>
      <c r="G182" s="210">
        <v>90000</v>
      </c>
      <c r="H182" s="210">
        <v>520</v>
      </c>
      <c r="I182" s="210">
        <f t="shared" si="17"/>
        <v>91520</v>
      </c>
      <c r="J182" s="208">
        <v>0</v>
      </c>
      <c r="K182" s="210">
        <v>90000</v>
      </c>
      <c r="L182" s="209" t="s">
        <v>1096</v>
      </c>
      <c r="M182" s="210">
        <v>12000</v>
      </c>
      <c r="N182" s="210">
        <v>10000000</v>
      </c>
      <c r="O182" s="210">
        <v>1750000</v>
      </c>
      <c r="P182" s="639">
        <f t="shared" si="18"/>
        <v>0.17499999999999999</v>
      </c>
      <c r="Q182" s="211">
        <f t="shared" si="19"/>
        <v>46875</v>
      </c>
    </row>
    <row r="183" spans="2:17">
      <c r="B183" s="207" t="s">
        <v>974</v>
      </c>
      <c r="C183" s="208">
        <v>100003</v>
      </c>
      <c r="D183" s="209" t="s">
        <v>579</v>
      </c>
      <c r="E183" s="209" t="s">
        <v>955</v>
      </c>
      <c r="F183" s="210">
        <v>145</v>
      </c>
      <c r="G183" s="210">
        <v>90000</v>
      </c>
      <c r="H183" s="210">
        <v>621</v>
      </c>
      <c r="I183" s="210">
        <f t="shared" si="17"/>
        <v>90045</v>
      </c>
      <c r="J183" s="1087">
        <v>0</v>
      </c>
      <c r="K183" s="210">
        <v>90000</v>
      </c>
      <c r="L183" s="209" t="s">
        <v>1099</v>
      </c>
      <c r="M183" s="210">
        <v>12000</v>
      </c>
      <c r="N183" s="210">
        <v>10000000</v>
      </c>
      <c r="O183" s="210">
        <v>900000</v>
      </c>
      <c r="P183" s="639">
        <f t="shared" si="18"/>
        <v>0.09</v>
      </c>
      <c r="Q183" s="211">
        <f t="shared" si="19"/>
        <v>62758.620689655174</v>
      </c>
    </row>
    <row r="184" spans="2:17">
      <c r="B184" s="207" t="s">
        <v>972</v>
      </c>
      <c r="C184" s="208">
        <v>100004</v>
      </c>
      <c r="D184" s="209" t="s">
        <v>657</v>
      </c>
      <c r="E184" s="209" t="s">
        <v>955</v>
      </c>
      <c r="F184" s="210">
        <v>179</v>
      </c>
      <c r="G184" s="210">
        <v>81000</v>
      </c>
      <c r="H184" s="210">
        <v>481</v>
      </c>
      <c r="I184" s="210">
        <f t="shared" si="17"/>
        <v>86099</v>
      </c>
      <c r="J184" s="1087">
        <v>0</v>
      </c>
      <c r="K184" s="210">
        <v>119000</v>
      </c>
      <c r="L184" s="209" t="s">
        <v>1098</v>
      </c>
      <c r="M184" s="210">
        <v>11000</v>
      </c>
      <c r="N184" s="210">
        <v>9000000</v>
      </c>
      <c r="O184" s="210">
        <v>2219000</v>
      </c>
      <c r="P184" s="639">
        <f t="shared" si="18"/>
        <v>0.24655555555555556</v>
      </c>
      <c r="Q184" s="211">
        <f t="shared" si="19"/>
        <v>37882.68156424581</v>
      </c>
    </row>
    <row r="185" spans="2:17">
      <c r="B185" s="207" t="s">
        <v>971</v>
      </c>
      <c r="C185" s="208">
        <v>100005</v>
      </c>
      <c r="D185" s="209" t="s">
        <v>660</v>
      </c>
      <c r="E185" s="209" t="s">
        <v>955</v>
      </c>
      <c r="F185" s="210">
        <v>182</v>
      </c>
      <c r="G185" s="210">
        <v>81000</v>
      </c>
      <c r="H185" s="210">
        <v>446</v>
      </c>
      <c r="I185" s="210">
        <f t="shared" si="17"/>
        <v>81172</v>
      </c>
      <c r="J185" s="208">
        <v>0</v>
      </c>
      <c r="K185" s="210">
        <v>119000</v>
      </c>
      <c r="L185" s="209" t="s">
        <v>1097</v>
      </c>
      <c r="M185" s="210">
        <v>11000</v>
      </c>
      <c r="N185" s="210">
        <v>9000000</v>
      </c>
      <c r="O185" s="210">
        <v>2193000</v>
      </c>
      <c r="P185" s="639">
        <f t="shared" si="18"/>
        <v>0.24366666666666667</v>
      </c>
      <c r="Q185" s="211">
        <f t="shared" si="19"/>
        <v>37401.0989010989</v>
      </c>
    </row>
    <row r="186" spans="2:17">
      <c r="B186" s="207" t="s">
        <v>961</v>
      </c>
      <c r="C186" s="208">
        <v>100006</v>
      </c>
      <c r="D186" s="209" t="s">
        <v>658</v>
      </c>
      <c r="E186" s="209" t="s">
        <v>955</v>
      </c>
      <c r="F186" s="210">
        <v>163</v>
      </c>
      <c r="G186" s="210">
        <v>81000</v>
      </c>
      <c r="H186" s="210">
        <v>446</v>
      </c>
      <c r="I186" s="210">
        <f t="shared" si="17"/>
        <v>72698</v>
      </c>
      <c r="J186" s="208" t="s">
        <v>1235</v>
      </c>
      <c r="K186" s="210">
        <v>120000</v>
      </c>
      <c r="L186" s="209" t="s">
        <v>963</v>
      </c>
      <c r="M186" s="210">
        <v>11000</v>
      </c>
      <c r="N186" s="210">
        <v>9000000</v>
      </c>
      <c r="O186" s="210">
        <v>1926000</v>
      </c>
      <c r="P186" s="639">
        <f t="shared" si="18"/>
        <v>0.214</v>
      </c>
      <c r="Q186" s="211">
        <f t="shared" si="19"/>
        <v>43398.773006134972</v>
      </c>
    </row>
    <row r="187" spans="2:17">
      <c r="B187" s="207" t="s">
        <v>958</v>
      </c>
      <c r="C187" s="208">
        <v>100007</v>
      </c>
      <c r="D187" s="209" t="s">
        <v>660</v>
      </c>
      <c r="E187" s="209" t="s">
        <v>955</v>
      </c>
      <c r="F187" s="210">
        <v>188</v>
      </c>
      <c r="G187" s="210">
        <v>99000</v>
      </c>
      <c r="H187" s="210">
        <v>530</v>
      </c>
      <c r="I187" s="210">
        <f t="shared" si="17"/>
        <v>99640</v>
      </c>
      <c r="J187" s="208">
        <v>0</v>
      </c>
      <c r="K187" s="210">
        <v>146000</v>
      </c>
      <c r="L187" s="209" t="s">
        <v>959</v>
      </c>
      <c r="M187" s="210">
        <v>13000</v>
      </c>
      <c r="N187" s="210">
        <v>10000000</v>
      </c>
      <c r="O187" s="210">
        <v>2976000</v>
      </c>
      <c r="P187" s="639">
        <f t="shared" si="18"/>
        <v>0.29759999999999998</v>
      </c>
      <c r="Q187" s="211">
        <f t="shared" si="19"/>
        <v>37361.702127659577</v>
      </c>
    </row>
    <row r="188" spans="2:17">
      <c r="B188" s="207" t="s">
        <v>954</v>
      </c>
      <c r="C188" s="208">
        <v>110001</v>
      </c>
      <c r="D188" s="209" t="s">
        <v>657</v>
      </c>
      <c r="E188" s="209" t="s">
        <v>955</v>
      </c>
      <c r="F188" s="210">
        <v>244</v>
      </c>
      <c r="G188" s="210">
        <v>90000</v>
      </c>
      <c r="H188" s="210">
        <v>505</v>
      </c>
      <c r="I188" s="210">
        <f t="shared" si="17"/>
        <v>123220</v>
      </c>
      <c r="J188" s="208">
        <v>0</v>
      </c>
      <c r="K188" s="210">
        <v>105000</v>
      </c>
      <c r="L188" s="209" t="s">
        <v>956</v>
      </c>
      <c r="M188" s="210">
        <v>12000</v>
      </c>
      <c r="N188" s="210">
        <v>12130000</v>
      </c>
      <c r="O188" s="210">
        <v>4137000</v>
      </c>
      <c r="P188" s="639">
        <f t="shared" si="18"/>
        <v>0.34105523495465789</v>
      </c>
      <c r="Q188" s="211">
        <f t="shared" si="19"/>
        <v>32758.196721311477</v>
      </c>
    </row>
    <row r="189" spans="2:17">
      <c r="B189" s="207" t="s">
        <v>967</v>
      </c>
      <c r="C189" s="208">
        <v>110002</v>
      </c>
      <c r="D189" s="209" t="s">
        <v>657</v>
      </c>
      <c r="E189" s="209" t="s">
        <v>955</v>
      </c>
      <c r="F189" s="210">
        <v>268</v>
      </c>
      <c r="G189" s="210">
        <v>90000</v>
      </c>
      <c r="H189" s="210">
        <v>538</v>
      </c>
      <c r="I189" s="210">
        <f t="shared" si="17"/>
        <v>144184</v>
      </c>
      <c r="J189" s="208">
        <v>14000</v>
      </c>
      <c r="K189" s="210">
        <v>126900</v>
      </c>
      <c r="L189" s="209" t="s">
        <v>1095</v>
      </c>
      <c r="M189" s="210">
        <v>12000</v>
      </c>
      <c r="N189" s="210">
        <v>14810000</v>
      </c>
      <c r="O189" s="210">
        <v>5921000</v>
      </c>
      <c r="P189" s="639">
        <f t="shared" si="18"/>
        <v>0.39979743416610397</v>
      </c>
      <c r="Q189" s="211">
        <f t="shared" si="19"/>
        <v>33167.910447761191</v>
      </c>
    </row>
    <row r="190" spans="2:17">
      <c r="B190" s="207" t="s">
        <v>974</v>
      </c>
      <c r="C190" s="1087">
        <v>110003</v>
      </c>
      <c r="D190" s="209" t="s">
        <v>657</v>
      </c>
      <c r="E190" s="209" t="s">
        <v>955</v>
      </c>
      <c r="F190" s="210">
        <v>261</v>
      </c>
      <c r="G190" s="210">
        <v>81000</v>
      </c>
      <c r="H190" s="210">
        <v>497</v>
      </c>
      <c r="I190" s="210">
        <f t="shared" si="17"/>
        <v>129717</v>
      </c>
      <c r="J190" s="208">
        <v>10000</v>
      </c>
      <c r="K190" s="210">
        <v>92000</v>
      </c>
      <c r="L190" s="209" t="s">
        <v>975</v>
      </c>
      <c r="M190" s="210">
        <v>11000</v>
      </c>
      <c r="N190" s="210">
        <v>12220000</v>
      </c>
      <c r="O190" s="210">
        <v>3998000</v>
      </c>
      <c r="P190" s="639">
        <f t="shared" si="18"/>
        <v>0.32716857610474631</v>
      </c>
      <c r="Q190" s="211">
        <f t="shared" si="19"/>
        <v>31501.915708812259</v>
      </c>
    </row>
    <row r="191" spans="2:17">
      <c r="B191" s="207" t="s">
        <v>1807</v>
      </c>
      <c r="C191" s="1087">
        <v>110004</v>
      </c>
      <c r="D191" s="389" t="s">
        <v>578</v>
      </c>
      <c r="E191" s="389" t="s">
        <v>955</v>
      </c>
      <c r="F191" s="210">
        <v>264</v>
      </c>
      <c r="G191" s="210">
        <v>99000</v>
      </c>
      <c r="H191" s="210">
        <v>413</v>
      </c>
      <c r="I191" s="210">
        <f t="shared" si="17"/>
        <v>109032</v>
      </c>
      <c r="J191" s="1087">
        <v>0</v>
      </c>
      <c r="K191" s="210">
        <v>130000</v>
      </c>
      <c r="L191" s="209" t="s">
        <v>1808</v>
      </c>
      <c r="M191" s="210">
        <v>13000</v>
      </c>
      <c r="N191" s="210">
        <v>18600000</v>
      </c>
      <c r="O191" s="210">
        <v>6408000</v>
      </c>
      <c r="P191" s="639">
        <f t="shared" si="18"/>
        <v>0.34451612903225809</v>
      </c>
      <c r="Q191" s="211">
        <f t="shared" si="19"/>
        <v>46181.818181818184</v>
      </c>
    </row>
    <row r="192" spans="2:17">
      <c r="B192" s="207" t="s">
        <v>1824</v>
      </c>
      <c r="C192" s="1087">
        <v>110005</v>
      </c>
      <c r="D192" s="390" t="s">
        <v>658</v>
      </c>
      <c r="E192" s="390" t="s">
        <v>955</v>
      </c>
      <c r="F192" s="210">
        <v>287</v>
      </c>
      <c r="G192" s="210">
        <v>99000</v>
      </c>
      <c r="H192" s="210">
        <v>690</v>
      </c>
      <c r="I192" s="210">
        <f t="shared" si="17"/>
        <v>198030</v>
      </c>
      <c r="J192" s="208">
        <v>0</v>
      </c>
      <c r="K192" s="210">
        <f>18000*4+37000</f>
        <v>109000</v>
      </c>
      <c r="L192" s="209" t="s">
        <v>1825</v>
      </c>
      <c r="M192" s="210">
        <v>13000</v>
      </c>
      <c r="N192" s="210">
        <v>15100000</v>
      </c>
      <c r="O192" s="210">
        <f>843000*6</f>
        <v>5058000</v>
      </c>
      <c r="P192" s="639">
        <f t="shared" si="18"/>
        <v>0.33496688741721853</v>
      </c>
      <c r="Q192" s="211">
        <f t="shared" si="19"/>
        <v>34989.547038327524</v>
      </c>
    </row>
    <row r="193" spans="2:17">
      <c r="B193" s="207" t="s">
        <v>2242</v>
      </c>
      <c r="C193" s="1087">
        <v>110006</v>
      </c>
      <c r="D193" s="636" t="s">
        <v>659</v>
      </c>
      <c r="E193" s="636" t="s">
        <v>955</v>
      </c>
      <c r="F193" s="210">
        <v>280</v>
      </c>
      <c r="G193" s="210">
        <v>108000</v>
      </c>
      <c r="H193" s="210">
        <v>483</v>
      </c>
      <c r="I193" s="210">
        <f t="shared" si="17"/>
        <v>135240</v>
      </c>
      <c r="J193" s="208">
        <v>0</v>
      </c>
      <c r="K193" s="210">
        <v>120000</v>
      </c>
      <c r="L193" s="209" t="s">
        <v>2243</v>
      </c>
      <c r="M193" s="210">
        <v>14000</v>
      </c>
      <c r="N193" s="210">
        <v>17130000</v>
      </c>
      <c r="O193" s="210">
        <f>1047000*4+2379000</f>
        <v>6567000</v>
      </c>
      <c r="P193" s="639">
        <f t="shared" si="18"/>
        <v>0.38336252189141856</v>
      </c>
      <c r="Q193" s="211">
        <f t="shared" si="19"/>
        <v>37725</v>
      </c>
    </row>
    <row r="194" spans="2:17">
      <c r="B194" s="207" t="s">
        <v>2372</v>
      </c>
      <c r="C194" s="1087">
        <v>110007</v>
      </c>
      <c r="D194" s="653" t="s">
        <v>657</v>
      </c>
      <c r="E194" s="653" t="s">
        <v>955</v>
      </c>
      <c r="F194" s="210">
        <v>322</v>
      </c>
      <c r="G194" s="210">
        <v>108000</v>
      </c>
      <c r="H194" s="210">
        <v>537</v>
      </c>
      <c r="I194" s="210">
        <f t="shared" si="17"/>
        <v>172914</v>
      </c>
      <c r="J194" s="208">
        <v>0</v>
      </c>
      <c r="K194" s="210">
        <v>120000</v>
      </c>
      <c r="L194" s="209" t="s">
        <v>2373</v>
      </c>
      <c r="M194" s="210">
        <v>14000</v>
      </c>
      <c r="N194" s="210">
        <v>19640000</v>
      </c>
      <c r="O194" s="210">
        <v>6649000</v>
      </c>
      <c r="P194" s="639">
        <f t="shared" si="18"/>
        <v>0.33854378818737269</v>
      </c>
      <c r="Q194" s="211">
        <f t="shared" si="19"/>
        <v>40344.720496894413</v>
      </c>
    </row>
    <row r="195" spans="2:17">
      <c r="B195" s="207" t="s">
        <v>2374</v>
      </c>
      <c r="C195" s="1087">
        <v>110008</v>
      </c>
      <c r="D195" s="209" t="s">
        <v>2370</v>
      </c>
      <c r="E195" s="653" t="s">
        <v>955</v>
      </c>
      <c r="F195" s="210">
        <v>285</v>
      </c>
      <c r="G195" s="210">
        <v>108000</v>
      </c>
      <c r="H195" s="210">
        <v>819</v>
      </c>
      <c r="I195" s="210">
        <f t="shared" si="17"/>
        <v>233415</v>
      </c>
      <c r="J195" s="1087">
        <v>0</v>
      </c>
      <c r="K195" s="210">
        <v>162000</v>
      </c>
      <c r="L195" s="209" t="s">
        <v>2375</v>
      </c>
      <c r="M195" s="210">
        <v>14000</v>
      </c>
      <c r="N195" s="210">
        <v>20000000</v>
      </c>
      <c r="O195" s="210">
        <v>7740000</v>
      </c>
      <c r="P195" s="639">
        <f t="shared" si="18"/>
        <v>0.38700000000000001</v>
      </c>
      <c r="Q195" s="211">
        <f t="shared" si="19"/>
        <v>43017.543859649122</v>
      </c>
    </row>
    <row r="196" spans="2:17">
      <c r="B196" s="207" t="s">
        <v>997</v>
      </c>
      <c r="C196" s="1087">
        <v>110009</v>
      </c>
      <c r="D196" s="209" t="s">
        <v>2447</v>
      </c>
      <c r="E196" s="659" t="s">
        <v>955</v>
      </c>
      <c r="F196" s="210">
        <v>295</v>
      </c>
      <c r="G196" s="210">
        <v>108000</v>
      </c>
      <c r="H196" s="210">
        <v>910</v>
      </c>
      <c r="I196" s="210">
        <f t="shared" si="17"/>
        <v>268450</v>
      </c>
      <c r="J196" s="1089" t="s">
        <v>2448</v>
      </c>
      <c r="K196" s="210">
        <f>18000*9</f>
        <v>162000</v>
      </c>
      <c r="L196" s="209" t="s">
        <v>2607</v>
      </c>
      <c r="M196" s="210">
        <v>14000</v>
      </c>
      <c r="N196" s="210">
        <v>20150000</v>
      </c>
      <c r="O196" s="210">
        <v>8055000</v>
      </c>
      <c r="P196" s="639">
        <f t="shared" si="18"/>
        <v>0.39975186104218363</v>
      </c>
      <c r="Q196" s="211">
        <f t="shared" si="19"/>
        <v>41000</v>
      </c>
    </row>
    <row r="197" spans="2:17">
      <c r="B197" s="207" t="s">
        <v>2729</v>
      </c>
      <c r="C197" s="1087">
        <v>110010</v>
      </c>
      <c r="D197" s="688" t="s">
        <v>658</v>
      </c>
      <c r="E197" s="688" t="s">
        <v>955</v>
      </c>
      <c r="F197" s="210">
        <v>282</v>
      </c>
      <c r="G197" s="210">
        <v>126000</v>
      </c>
      <c r="H197" s="210">
        <v>715</v>
      </c>
      <c r="I197" s="210">
        <f t="shared" si="17"/>
        <v>201630</v>
      </c>
      <c r="J197" s="1087">
        <v>0</v>
      </c>
      <c r="K197" s="210">
        <v>185000</v>
      </c>
      <c r="L197" s="209" t="s">
        <v>2730</v>
      </c>
      <c r="M197" s="210">
        <v>16000</v>
      </c>
      <c r="N197" s="210">
        <v>23000000</v>
      </c>
      <c r="O197" s="210">
        <v>9356000</v>
      </c>
      <c r="P197" s="639">
        <f t="shared" si="18"/>
        <v>0.40678260869565219</v>
      </c>
      <c r="Q197" s="211">
        <f t="shared" si="19"/>
        <v>48382.978723404252</v>
      </c>
    </row>
    <row r="198" spans="2:17">
      <c r="B198" s="207" t="s">
        <v>1475</v>
      </c>
      <c r="C198" s="1087">
        <v>110011</v>
      </c>
      <c r="D198" s="697" t="s">
        <v>657</v>
      </c>
      <c r="E198" s="697" t="s">
        <v>955</v>
      </c>
      <c r="F198" s="210">
        <v>301</v>
      </c>
      <c r="G198" s="210">
        <v>144000</v>
      </c>
      <c r="H198" s="210">
        <v>766</v>
      </c>
      <c r="I198" s="210">
        <f t="shared" si="17"/>
        <v>230566</v>
      </c>
      <c r="J198" s="1087">
        <v>0</v>
      </c>
      <c r="K198" s="210">
        <f>24000*9</f>
        <v>216000</v>
      </c>
      <c r="L198" s="209" t="s">
        <v>2764</v>
      </c>
      <c r="M198" s="210">
        <v>19000</v>
      </c>
      <c r="N198" s="210">
        <v>29280000</v>
      </c>
      <c r="O198" s="210">
        <v>11709000</v>
      </c>
      <c r="P198" s="639">
        <f t="shared" si="18"/>
        <v>0.39989754098360658</v>
      </c>
      <c r="Q198" s="211">
        <f t="shared" si="19"/>
        <v>58375.415282392023</v>
      </c>
    </row>
    <row r="199" spans="2:17">
      <c r="B199" s="207" t="s">
        <v>4186</v>
      </c>
      <c r="C199" s="1087">
        <v>110012</v>
      </c>
      <c r="D199" s="908" t="s">
        <v>660</v>
      </c>
      <c r="E199" s="908" t="s">
        <v>955</v>
      </c>
      <c r="F199" s="210">
        <v>263</v>
      </c>
      <c r="G199" s="210">
        <v>162000</v>
      </c>
      <c r="H199" s="210">
        <v>1479</v>
      </c>
      <c r="I199" s="210">
        <f t="shared" si="17"/>
        <v>388977</v>
      </c>
      <c r="J199" s="208">
        <v>60000</v>
      </c>
      <c r="K199" s="210">
        <v>210000</v>
      </c>
      <c r="L199" s="908" t="s">
        <v>4187</v>
      </c>
      <c r="M199" s="210">
        <v>21000</v>
      </c>
      <c r="N199" s="210">
        <v>21320000</v>
      </c>
      <c r="O199" s="210">
        <f>2243000+1121000*5</f>
        <v>7848000</v>
      </c>
      <c r="P199" s="639">
        <f t="shared" si="18"/>
        <v>0.36810506566604129</v>
      </c>
      <c r="Q199" s="211">
        <f t="shared" si="19"/>
        <v>51224.334600760456</v>
      </c>
    </row>
    <row r="200" spans="2:17">
      <c r="B200" s="1013" t="s">
        <v>4479</v>
      </c>
      <c r="C200" s="1087">
        <v>110013</v>
      </c>
      <c r="D200" s="1012" t="s">
        <v>658</v>
      </c>
      <c r="E200" s="1012" t="s">
        <v>955</v>
      </c>
      <c r="F200" s="210">
        <v>311</v>
      </c>
      <c r="G200" s="210">
        <v>162000</v>
      </c>
      <c r="H200" s="210">
        <v>1274</v>
      </c>
      <c r="I200" s="210">
        <f t="shared" si="17"/>
        <v>396214</v>
      </c>
      <c r="J200" s="208">
        <v>0</v>
      </c>
      <c r="K200" s="210">
        <f>27000*9</f>
        <v>243000</v>
      </c>
      <c r="L200" s="1012" t="s">
        <v>4480</v>
      </c>
      <c r="M200" s="210">
        <v>21000</v>
      </c>
      <c r="N200" s="210">
        <v>36330000</v>
      </c>
      <c r="O200" s="210">
        <f>3229000*2+1614000*5</f>
        <v>14528000</v>
      </c>
      <c r="P200" s="639">
        <f t="shared" si="18"/>
        <v>0.39988989815579412</v>
      </c>
      <c r="Q200" s="211">
        <f t="shared" si="19"/>
        <v>70102.893890675245</v>
      </c>
    </row>
    <row r="201" spans="2:17">
      <c r="B201" s="1018" t="s">
        <v>4575</v>
      </c>
      <c r="C201" s="1087">
        <v>110014</v>
      </c>
      <c r="D201" s="1017" t="s">
        <v>659</v>
      </c>
      <c r="E201" s="1017" t="s">
        <v>955</v>
      </c>
      <c r="F201" s="210">
        <v>205</v>
      </c>
      <c r="G201" s="210">
        <v>162000</v>
      </c>
      <c r="H201" s="210">
        <v>506</v>
      </c>
      <c r="I201" s="210">
        <f t="shared" si="17"/>
        <v>103730</v>
      </c>
      <c r="J201" s="1087" t="s">
        <v>4576</v>
      </c>
      <c r="K201" s="210">
        <v>243000</v>
      </c>
      <c r="L201" s="1017" t="s">
        <v>4577</v>
      </c>
      <c r="M201" s="210">
        <v>21000</v>
      </c>
      <c r="N201" s="210">
        <v>21011000</v>
      </c>
      <c r="O201" s="210">
        <f>1032000*9</f>
        <v>9288000</v>
      </c>
      <c r="P201" s="639">
        <f t="shared" si="18"/>
        <v>0.44205416210556375</v>
      </c>
      <c r="Q201" s="211">
        <f t="shared" si="19"/>
        <v>57185.365853658535</v>
      </c>
    </row>
    <row r="202" spans="2:17">
      <c r="B202" s="1018" t="s">
        <v>4578</v>
      </c>
      <c r="C202" s="1087">
        <v>110015</v>
      </c>
      <c r="D202" s="1017" t="s">
        <v>659</v>
      </c>
      <c r="E202" s="1017" t="s">
        <v>955</v>
      </c>
      <c r="F202" s="210">
        <v>309</v>
      </c>
      <c r="G202" s="210">
        <v>162000</v>
      </c>
      <c r="H202" s="210">
        <v>944</v>
      </c>
      <c r="I202" s="210">
        <f t="shared" si="17"/>
        <v>291696</v>
      </c>
      <c r="J202" s="208">
        <v>300000</v>
      </c>
      <c r="K202" s="210">
        <f>27000*7</f>
        <v>189000</v>
      </c>
      <c r="L202" s="1017" t="s">
        <v>4579</v>
      </c>
      <c r="M202" s="210">
        <v>21000</v>
      </c>
      <c r="N202" s="210">
        <v>27990000</v>
      </c>
      <c r="O202" s="210">
        <f>1365000*7</f>
        <v>9555000</v>
      </c>
      <c r="P202" s="639">
        <f t="shared" si="18"/>
        <v>0.34137191854233656</v>
      </c>
      <c r="Q202" s="211">
        <f t="shared" si="19"/>
        <v>59660.194174757278</v>
      </c>
    </row>
    <row r="203" spans="2:17" s="1077" customFormat="1">
      <c r="B203" s="1186" t="s">
        <v>4771</v>
      </c>
      <c r="C203" s="1087">
        <v>110016</v>
      </c>
      <c r="D203" s="1182" t="s">
        <v>657</v>
      </c>
      <c r="E203" s="1182" t="s">
        <v>955</v>
      </c>
      <c r="F203" s="210">
        <v>281</v>
      </c>
      <c r="G203" s="210">
        <v>171000</v>
      </c>
      <c r="H203" s="210">
        <v>999</v>
      </c>
      <c r="I203" s="210">
        <f t="shared" si="17"/>
        <v>280719</v>
      </c>
      <c r="J203" s="1087">
        <v>150000</v>
      </c>
      <c r="K203" s="210">
        <f>28000*5+57000*2</f>
        <v>254000</v>
      </c>
      <c r="L203" s="1182" t="s">
        <v>4772</v>
      </c>
      <c r="M203" s="210">
        <v>22000</v>
      </c>
      <c r="N203" s="210">
        <v>34100000</v>
      </c>
      <c r="O203" s="210">
        <f>1518000*9</f>
        <v>13662000</v>
      </c>
      <c r="P203" s="639">
        <f t="shared" si="18"/>
        <v>0.40064516129032257</v>
      </c>
      <c r="Q203" s="211">
        <f t="shared" si="19"/>
        <v>72733.096085409255</v>
      </c>
    </row>
    <row r="204" spans="2:17" s="1077" customFormat="1">
      <c r="B204" s="1254" t="s">
        <v>993</v>
      </c>
      <c r="C204" s="1087">
        <v>110017</v>
      </c>
      <c r="D204" s="1253" t="s">
        <v>658</v>
      </c>
      <c r="E204" s="1253" t="s">
        <v>955</v>
      </c>
      <c r="F204" s="210">
        <v>279</v>
      </c>
      <c r="G204" s="210">
        <v>171000</v>
      </c>
      <c r="H204" s="210">
        <v>981</v>
      </c>
      <c r="I204" s="210">
        <f t="shared" si="17"/>
        <v>273699</v>
      </c>
      <c r="J204" s="1087">
        <v>0</v>
      </c>
      <c r="K204" s="210">
        <f>32000*7</f>
        <v>224000</v>
      </c>
      <c r="L204" s="1253" t="s">
        <v>4837</v>
      </c>
      <c r="M204" s="210">
        <v>22000</v>
      </c>
      <c r="N204" s="210">
        <v>25670000</v>
      </c>
      <c r="O204" s="210">
        <v>11873000</v>
      </c>
      <c r="P204" s="639">
        <f t="shared" si="18"/>
        <v>0.46252434748733928</v>
      </c>
      <c r="Q204" s="211">
        <f t="shared" si="19"/>
        <v>49451.612903225803</v>
      </c>
    </row>
    <row r="205" spans="2:17" s="1077" customFormat="1">
      <c r="B205" s="1298" t="s">
        <v>4949</v>
      </c>
      <c r="C205" s="1087">
        <v>110018</v>
      </c>
      <c r="D205" s="1297" t="s">
        <v>659</v>
      </c>
      <c r="E205" s="1297" t="s">
        <v>955</v>
      </c>
      <c r="F205" s="210">
        <v>299</v>
      </c>
      <c r="G205" s="210">
        <v>180000</v>
      </c>
      <c r="H205" s="210">
        <v>1888</v>
      </c>
      <c r="I205" s="210">
        <f t="shared" si="17"/>
        <v>564512</v>
      </c>
      <c r="J205" s="1087">
        <v>90000</v>
      </c>
      <c r="K205" s="210">
        <f>33000*8+67000</f>
        <v>331000</v>
      </c>
      <c r="L205" s="1297" t="s">
        <v>4950</v>
      </c>
      <c r="M205" s="210">
        <v>23000</v>
      </c>
      <c r="N205" s="210">
        <v>41310000</v>
      </c>
      <c r="O205" s="210">
        <v>18668000</v>
      </c>
      <c r="P205" s="639">
        <f t="shared" si="18"/>
        <v>0.45190026627935126</v>
      </c>
      <c r="Q205" s="211">
        <f t="shared" si="19"/>
        <v>75725.752508361198</v>
      </c>
    </row>
    <row r="206" spans="2:17">
      <c r="B206" s="207" t="s">
        <v>990</v>
      </c>
      <c r="C206" s="208">
        <v>200001</v>
      </c>
      <c r="D206" s="753" t="s">
        <v>659</v>
      </c>
      <c r="E206" s="209" t="s">
        <v>3147</v>
      </c>
      <c r="F206" s="210">
        <v>311</v>
      </c>
      <c r="G206" s="210">
        <v>153000</v>
      </c>
      <c r="H206" s="210">
        <v>837</v>
      </c>
      <c r="I206" s="210">
        <f t="shared" si="17"/>
        <v>260307</v>
      </c>
      <c r="J206" s="208">
        <v>950000</v>
      </c>
      <c r="K206" s="210">
        <v>404000</v>
      </c>
      <c r="L206" s="209" t="s">
        <v>3148</v>
      </c>
      <c r="M206" s="210">
        <v>20000</v>
      </c>
      <c r="N206" s="210">
        <v>40000000</v>
      </c>
      <c r="O206" s="210">
        <v>11914000</v>
      </c>
      <c r="P206" s="639">
        <f t="shared" si="18"/>
        <v>0.29785</v>
      </c>
      <c r="Q206" s="211">
        <f t="shared" si="19"/>
        <v>90308.681672025719</v>
      </c>
    </row>
    <row r="207" spans="2:17">
      <c r="B207" s="207" t="s">
        <v>4328</v>
      </c>
      <c r="C207" s="208">
        <v>200002</v>
      </c>
      <c r="D207" s="931" t="s">
        <v>660</v>
      </c>
      <c r="E207" s="931" t="s">
        <v>3147</v>
      </c>
      <c r="F207" s="210">
        <v>313</v>
      </c>
      <c r="G207" s="210">
        <v>153000</v>
      </c>
      <c r="H207" s="210">
        <v>1020</v>
      </c>
      <c r="I207" s="210">
        <f t="shared" si="17"/>
        <v>319260</v>
      </c>
      <c r="J207" s="208">
        <v>150000</v>
      </c>
      <c r="K207" s="210">
        <v>413500</v>
      </c>
      <c r="L207" s="209" t="s">
        <v>4329</v>
      </c>
      <c r="M207" s="210">
        <v>20000</v>
      </c>
      <c r="N207" s="210">
        <v>55800000</v>
      </c>
      <c r="O207" s="210">
        <v>34110000</v>
      </c>
      <c r="P207" s="639">
        <f t="shared" si="18"/>
        <v>0.6112903225806452</v>
      </c>
      <c r="Q207" s="211">
        <f t="shared" si="19"/>
        <v>69297.124600638985</v>
      </c>
    </row>
    <row r="208" spans="2:17">
      <c r="B208" s="1064" t="s">
        <v>1475</v>
      </c>
      <c r="C208" s="208">
        <v>200003</v>
      </c>
      <c r="D208" s="1063" t="s">
        <v>579</v>
      </c>
      <c r="E208" s="1063" t="s">
        <v>3147</v>
      </c>
      <c r="F208" s="210">
        <v>301</v>
      </c>
      <c r="G208" s="210">
        <v>171000</v>
      </c>
      <c r="H208" s="210">
        <v>957</v>
      </c>
      <c r="I208" s="210">
        <f>H208*F208</f>
        <v>288057</v>
      </c>
      <c r="J208" s="208" t="s">
        <v>4635</v>
      </c>
      <c r="K208" s="210">
        <f>33000*5+67000+82500*3</f>
        <v>479500</v>
      </c>
      <c r="L208" s="209" t="s">
        <v>4700</v>
      </c>
      <c r="M208" s="210">
        <v>22000</v>
      </c>
      <c r="N208" s="210">
        <v>48000000</v>
      </c>
      <c r="O208" s="210">
        <f>2188000*8+4377000</f>
        <v>21881000</v>
      </c>
      <c r="P208" s="639">
        <f>O208/N208</f>
        <v>0.45585416666666667</v>
      </c>
      <c r="Q208" s="211">
        <f t="shared" si="19"/>
        <v>86774.086378737542</v>
      </c>
    </row>
    <row r="209" spans="2:17">
      <c r="B209" s="207" t="s">
        <v>4951</v>
      </c>
      <c r="C209" s="208">
        <v>200004</v>
      </c>
      <c r="D209" s="209" t="s">
        <v>4952</v>
      </c>
      <c r="E209" s="1297" t="s">
        <v>3147</v>
      </c>
      <c r="F209" s="210">
        <v>325</v>
      </c>
      <c r="G209" s="210">
        <v>171000</v>
      </c>
      <c r="H209" s="210">
        <v>800</v>
      </c>
      <c r="I209" s="210">
        <f>H209*F209</f>
        <v>260000</v>
      </c>
      <c r="J209" s="208" t="s">
        <v>4953</v>
      </c>
      <c r="K209" s="210">
        <v>942000</v>
      </c>
      <c r="L209" s="209" t="s">
        <v>4954</v>
      </c>
      <c r="M209" s="210">
        <v>22000</v>
      </c>
      <c r="N209" s="210">
        <v>49000000</v>
      </c>
      <c r="O209" s="210">
        <v>23245000</v>
      </c>
      <c r="P209" s="639">
        <f>O209/N209</f>
        <v>0.47438775510204084</v>
      </c>
      <c r="Q209" s="211">
        <f t="shared" si="19"/>
        <v>79246.153846153844</v>
      </c>
    </row>
    <row r="210" spans="2:17">
      <c r="B210" s="207"/>
      <c r="C210" s="208"/>
      <c r="D210" s="209"/>
      <c r="E210" s="209"/>
      <c r="F210" s="210"/>
      <c r="G210" s="210"/>
      <c r="H210" s="210"/>
      <c r="I210" s="210"/>
      <c r="J210" s="208"/>
      <c r="K210" s="210"/>
      <c r="L210" s="209"/>
      <c r="M210" s="210"/>
      <c r="N210" s="210"/>
      <c r="O210" s="210"/>
      <c r="P210" s="639"/>
      <c r="Q210" s="211"/>
    </row>
    <row r="211" spans="2:17">
      <c r="B211" s="207"/>
      <c r="C211" s="208"/>
      <c r="D211" s="209"/>
      <c r="E211" s="209"/>
      <c r="F211" s="210"/>
      <c r="G211" s="210"/>
      <c r="H211" s="210"/>
      <c r="I211" s="210"/>
      <c r="J211" s="208"/>
      <c r="K211" s="210"/>
      <c r="L211" s="209"/>
      <c r="M211" s="210"/>
      <c r="N211" s="210"/>
      <c r="O211" s="210"/>
      <c r="P211" s="639"/>
      <c r="Q211" s="211"/>
    </row>
    <row r="212" spans="2:17">
      <c r="B212" s="207"/>
      <c r="C212" s="208"/>
      <c r="D212" s="209"/>
      <c r="E212" s="209"/>
      <c r="F212" s="210"/>
      <c r="G212" s="210"/>
      <c r="H212" s="210"/>
      <c r="I212" s="210"/>
      <c r="J212" s="208"/>
      <c r="K212" s="210"/>
      <c r="L212" s="209"/>
      <c r="M212" s="210"/>
      <c r="N212" s="210"/>
      <c r="O212" s="210"/>
      <c r="P212" s="639"/>
      <c r="Q212" s="211"/>
    </row>
    <row r="213" spans="2:17">
      <c r="B213" s="207"/>
      <c r="C213" s="208"/>
      <c r="D213" s="209"/>
      <c r="E213" s="209"/>
      <c r="F213" s="210"/>
      <c r="G213" s="210"/>
      <c r="H213" s="210"/>
      <c r="I213" s="210"/>
      <c r="J213" s="208"/>
      <c r="K213" s="210"/>
      <c r="L213" s="209"/>
      <c r="M213" s="210"/>
      <c r="N213" s="210"/>
      <c r="O213" s="210"/>
      <c r="P213" s="639"/>
      <c r="Q213" s="211"/>
    </row>
    <row r="214" spans="2:17">
      <c r="B214" s="207"/>
      <c r="C214" s="208"/>
      <c r="D214" s="209"/>
      <c r="E214" s="209"/>
      <c r="F214" s="210"/>
      <c r="G214" s="210"/>
      <c r="H214" s="210"/>
      <c r="I214" s="210"/>
      <c r="J214" s="208"/>
      <c r="K214" s="210"/>
      <c r="L214" s="209"/>
      <c r="M214" s="210"/>
      <c r="N214" s="210"/>
      <c r="O214" s="210"/>
      <c r="P214" s="639"/>
      <c r="Q214" s="211"/>
    </row>
    <row r="215" spans="2:17">
      <c r="B215" s="207"/>
      <c r="C215" s="208"/>
      <c r="D215" s="209"/>
      <c r="E215" s="209"/>
      <c r="F215" s="210"/>
      <c r="G215" s="210"/>
      <c r="H215" s="210"/>
      <c r="I215" s="210"/>
      <c r="J215" s="208"/>
      <c r="K215" s="210"/>
      <c r="L215" s="209"/>
      <c r="M215" s="210"/>
      <c r="N215" s="210"/>
      <c r="O215" s="210"/>
      <c r="P215" s="639"/>
      <c r="Q215" s="211"/>
    </row>
    <row r="216" spans="2:17">
      <c r="B216" s="207"/>
      <c r="C216" s="208"/>
      <c r="D216" s="209"/>
      <c r="E216" s="209"/>
      <c r="F216" s="210"/>
      <c r="G216" s="210"/>
      <c r="H216" s="210"/>
      <c r="I216" s="210"/>
      <c r="J216" s="208"/>
      <c r="K216" s="210"/>
      <c r="L216" s="209"/>
      <c r="M216" s="210"/>
      <c r="N216" s="210"/>
      <c r="O216" s="210"/>
      <c r="P216" s="639"/>
      <c r="Q216" s="211"/>
    </row>
    <row r="217" spans="2:17">
      <c r="B217" s="207"/>
      <c r="C217" s="208"/>
      <c r="D217" s="209"/>
      <c r="E217" s="209"/>
      <c r="F217" s="210"/>
      <c r="G217" s="210"/>
      <c r="H217" s="210"/>
      <c r="I217" s="210"/>
      <c r="J217" s="208"/>
      <c r="K217" s="210"/>
      <c r="L217" s="209"/>
      <c r="M217" s="210"/>
      <c r="N217" s="210"/>
      <c r="O217" s="210"/>
      <c r="P217" s="639"/>
      <c r="Q217" s="211"/>
    </row>
    <row r="218" spans="2:17">
      <c r="B218" s="207"/>
      <c r="C218" s="208"/>
      <c r="D218" s="209"/>
      <c r="E218" s="209"/>
      <c r="F218" s="210"/>
      <c r="G218" s="210"/>
      <c r="H218" s="210"/>
      <c r="I218" s="210"/>
      <c r="J218" s="208"/>
      <c r="K218" s="210"/>
      <c r="L218" s="209"/>
      <c r="M218" s="210"/>
      <c r="N218" s="210"/>
      <c r="O218" s="210"/>
      <c r="P218" s="639"/>
      <c r="Q218" s="211"/>
    </row>
    <row r="219" spans="2:17">
      <c r="B219" s="207"/>
      <c r="C219" s="208"/>
      <c r="D219" s="209"/>
      <c r="E219" s="209"/>
      <c r="F219" s="210"/>
      <c r="G219" s="210"/>
      <c r="H219" s="210"/>
      <c r="I219" s="210"/>
      <c r="J219" s="208"/>
      <c r="K219" s="210"/>
      <c r="L219" s="209"/>
      <c r="M219" s="210"/>
      <c r="N219" s="210"/>
      <c r="O219" s="210"/>
      <c r="P219" s="639"/>
      <c r="Q219" s="211"/>
    </row>
    <row r="220" spans="2:17">
      <c r="B220" s="207"/>
      <c r="C220" s="208"/>
      <c r="D220" s="209"/>
      <c r="E220" s="209"/>
      <c r="F220" s="210"/>
      <c r="G220" s="210"/>
      <c r="H220" s="210"/>
      <c r="I220" s="210"/>
      <c r="J220" s="208"/>
      <c r="K220" s="210"/>
      <c r="L220" s="209"/>
      <c r="M220" s="210"/>
      <c r="N220" s="210"/>
      <c r="O220" s="210"/>
      <c r="P220" s="639"/>
      <c r="Q220" s="211"/>
    </row>
    <row r="221" spans="2:17">
      <c r="B221" s="207"/>
      <c r="C221" s="208"/>
      <c r="D221" s="209"/>
      <c r="E221" s="209"/>
      <c r="F221" s="210"/>
      <c r="G221" s="210"/>
      <c r="H221" s="210"/>
      <c r="I221" s="210"/>
      <c r="J221" s="208"/>
      <c r="K221" s="210"/>
      <c r="L221" s="209"/>
      <c r="M221" s="210"/>
      <c r="N221" s="210"/>
      <c r="O221" s="210"/>
      <c r="P221" s="639"/>
      <c r="Q221" s="211"/>
    </row>
    <row r="222" spans="2:17">
      <c r="B222" s="207"/>
      <c r="C222" s="208"/>
      <c r="D222" s="209"/>
      <c r="E222" s="209"/>
      <c r="F222" s="210"/>
      <c r="G222" s="210"/>
      <c r="H222" s="210"/>
      <c r="I222" s="210"/>
      <c r="J222" s="208"/>
      <c r="K222" s="210"/>
      <c r="L222" s="209"/>
      <c r="M222" s="210"/>
      <c r="N222" s="210"/>
      <c r="O222" s="210"/>
      <c r="P222" s="639"/>
      <c r="Q222" s="211"/>
    </row>
    <row r="223" spans="2:17">
      <c r="B223" s="207"/>
      <c r="C223" s="208"/>
      <c r="D223" s="209"/>
      <c r="E223" s="209"/>
      <c r="F223" s="210"/>
      <c r="G223" s="210"/>
      <c r="H223" s="210"/>
      <c r="I223" s="210"/>
      <c r="J223" s="208"/>
      <c r="K223" s="210"/>
      <c r="L223" s="209"/>
      <c r="M223" s="210"/>
      <c r="N223" s="210"/>
      <c r="O223" s="210"/>
      <c r="P223" s="639"/>
      <c r="Q223" s="211"/>
    </row>
    <row r="224" spans="2:17">
      <c r="B224" s="207"/>
      <c r="C224" s="208"/>
      <c r="D224" s="209"/>
      <c r="E224" s="209"/>
      <c r="F224" s="210"/>
      <c r="G224" s="210"/>
      <c r="H224" s="210"/>
      <c r="I224" s="210"/>
      <c r="J224" s="208"/>
      <c r="K224" s="210"/>
      <c r="L224" s="209"/>
      <c r="M224" s="210"/>
      <c r="N224" s="210"/>
      <c r="O224" s="210"/>
      <c r="P224" s="639"/>
      <c r="Q224" s="211"/>
    </row>
    <row r="225" spans="2:17">
      <c r="B225" s="207"/>
      <c r="C225" s="208"/>
      <c r="D225" s="209"/>
      <c r="E225" s="209"/>
      <c r="F225" s="210"/>
      <c r="G225" s="210"/>
      <c r="H225" s="210"/>
      <c r="I225" s="210"/>
      <c r="J225" s="208"/>
      <c r="K225" s="210"/>
      <c r="L225" s="209"/>
      <c r="M225" s="210"/>
      <c r="N225" s="210"/>
      <c r="O225" s="210"/>
      <c r="P225" s="639"/>
      <c r="Q225" s="211"/>
    </row>
    <row r="226" spans="2:17">
      <c r="B226" s="207"/>
      <c r="C226" s="208"/>
      <c r="D226" s="209"/>
      <c r="E226" s="209"/>
      <c r="F226" s="210"/>
      <c r="G226" s="210"/>
      <c r="H226" s="210"/>
      <c r="I226" s="210"/>
      <c r="J226" s="208"/>
      <c r="K226" s="210"/>
      <c r="L226" s="209"/>
      <c r="M226" s="210"/>
      <c r="N226" s="210"/>
      <c r="O226" s="210"/>
      <c r="P226" s="639"/>
      <c r="Q226" s="211"/>
    </row>
    <row r="227" spans="2:17">
      <c r="B227" s="207"/>
      <c r="C227" s="208"/>
      <c r="D227" s="209"/>
      <c r="E227" s="209"/>
      <c r="F227" s="210"/>
      <c r="G227" s="210"/>
      <c r="H227" s="210"/>
      <c r="I227" s="210"/>
      <c r="J227" s="208"/>
      <c r="K227" s="210"/>
      <c r="L227" s="209"/>
      <c r="M227" s="210"/>
      <c r="N227" s="210"/>
      <c r="O227" s="210"/>
      <c r="P227" s="639"/>
      <c r="Q227" s="211"/>
    </row>
    <row r="228" spans="2:17">
      <c r="B228" s="207"/>
      <c r="C228" s="208"/>
      <c r="D228" s="209"/>
      <c r="E228" s="209"/>
      <c r="F228" s="210"/>
      <c r="G228" s="210"/>
      <c r="H228" s="210"/>
      <c r="I228" s="210"/>
      <c r="J228" s="208"/>
      <c r="K228" s="210"/>
      <c r="L228" s="209"/>
      <c r="M228" s="210"/>
      <c r="N228" s="210"/>
      <c r="O228" s="210"/>
      <c r="P228" s="639"/>
      <c r="Q228" s="211"/>
    </row>
    <row r="229" spans="2:17">
      <c r="B229" s="207"/>
      <c r="C229" s="208"/>
      <c r="D229" s="209"/>
      <c r="E229" s="209"/>
      <c r="F229" s="210"/>
      <c r="G229" s="210"/>
      <c r="H229" s="210"/>
      <c r="I229" s="210"/>
      <c r="J229" s="208"/>
      <c r="K229" s="210"/>
      <c r="L229" s="209"/>
      <c r="M229" s="210"/>
      <c r="N229" s="210"/>
      <c r="O229" s="210"/>
      <c r="P229" s="639"/>
      <c r="Q229" s="211"/>
    </row>
    <row r="230" spans="2:17">
      <c r="B230" s="207"/>
      <c r="C230" s="208"/>
      <c r="D230" s="209"/>
      <c r="E230" s="209"/>
      <c r="F230" s="210"/>
      <c r="G230" s="210"/>
      <c r="H230" s="210"/>
      <c r="I230" s="210"/>
      <c r="J230" s="208"/>
      <c r="K230" s="210"/>
      <c r="L230" s="209"/>
      <c r="M230" s="210"/>
      <c r="N230" s="210"/>
      <c r="O230" s="210"/>
      <c r="P230" s="639"/>
      <c r="Q230" s="211"/>
    </row>
    <row r="231" spans="2:17">
      <c r="B231" s="207"/>
      <c r="C231" s="208"/>
      <c r="D231" s="209"/>
      <c r="E231" s="209"/>
      <c r="F231" s="210"/>
      <c r="G231" s="210"/>
      <c r="H231" s="210"/>
      <c r="I231" s="210"/>
      <c r="J231" s="208"/>
      <c r="K231" s="210"/>
      <c r="L231" s="209"/>
      <c r="M231" s="210"/>
      <c r="N231" s="210"/>
      <c r="O231" s="210"/>
      <c r="P231" s="639"/>
      <c r="Q231" s="211"/>
    </row>
    <row r="232" spans="2:17">
      <c r="B232" s="207"/>
      <c r="C232" s="208"/>
      <c r="D232" s="209"/>
      <c r="E232" s="209"/>
      <c r="F232" s="210"/>
      <c r="G232" s="210"/>
      <c r="H232" s="210"/>
      <c r="I232" s="210"/>
      <c r="J232" s="208"/>
      <c r="K232" s="210"/>
      <c r="L232" s="209"/>
      <c r="M232" s="210"/>
      <c r="N232" s="210"/>
      <c r="O232" s="210"/>
      <c r="P232" s="639"/>
      <c r="Q232" s="211"/>
    </row>
    <row r="233" spans="2:17">
      <c r="B233" s="207"/>
      <c r="C233" s="208"/>
      <c r="D233" s="209"/>
      <c r="E233" s="209"/>
      <c r="F233" s="210"/>
      <c r="G233" s="210"/>
      <c r="H233" s="210"/>
      <c r="I233" s="210"/>
      <c r="J233" s="208"/>
      <c r="K233" s="210"/>
      <c r="L233" s="209"/>
      <c r="M233" s="210"/>
      <c r="N233" s="210"/>
      <c r="O233" s="210"/>
      <c r="P233" s="639"/>
      <c r="Q233" s="211"/>
    </row>
    <row r="234" spans="2:17">
      <c r="B234" s="207"/>
      <c r="C234" s="208"/>
      <c r="D234" s="209"/>
      <c r="E234" s="209"/>
      <c r="F234" s="210"/>
      <c r="G234" s="210"/>
      <c r="H234" s="210"/>
      <c r="I234" s="210"/>
      <c r="J234" s="208"/>
      <c r="K234" s="210"/>
      <c r="L234" s="209"/>
      <c r="M234" s="210"/>
      <c r="N234" s="210"/>
      <c r="O234" s="210"/>
      <c r="P234" s="639"/>
      <c r="Q234" s="211"/>
    </row>
    <row r="235" spans="2:17">
      <c r="B235" s="207"/>
      <c r="C235" s="208"/>
      <c r="D235" s="209"/>
      <c r="E235" s="209"/>
      <c r="F235" s="210"/>
      <c r="G235" s="210"/>
      <c r="H235" s="210"/>
      <c r="I235" s="210"/>
      <c r="J235" s="208"/>
      <c r="K235" s="210"/>
      <c r="L235" s="209"/>
      <c r="M235" s="210"/>
      <c r="N235" s="210"/>
      <c r="O235" s="210"/>
      <c r="P235" s="639"/>
      <c r="Q235" s="211"/>
    </row>
    <row r="236" spans="2:17">
      <c r="B236" s="207"/>
      <c r="C236" s="208"/>
      <c r="D236" s="209"/>
      <c r="E236" s="209"/>
      <c r="F236" s="210"/>
      <c r="G236" s="210"/>
      <c r="H236" s="210"/>
      <c r="I236" s="210"/>
      <c r="J236" s="208"/>
      <c r="K236" s="210"/>
      <c r="L236" s="209"/>
      <c r="M236" s="210"/>
      <c r="N236" s="210"/>
      <c r="O236" s="210"/>
      <c r="P236" s="639"/>
      <c r="Q236" s="211"/>
    </row>
    <row r="237" spans="2:17">
      <c r="B237" s="207"/>
      <c r="C237" s="208"/>
      <c r="D237" s="209"/>
      <c r="E237" s="209"/>
      <c r="F237" s="210"/>
      <c r="G237" s="210"/>
      <c r="H237" s="210"/>
      <c r="I237" s="210"/>
      <c r="J237" s="208"/>
      <c r="K237" s="210"/>
      <c r="L237" s="209"/>
      <c r="M237" s="210"/>
      <c r="N237" s="210"/>
      <c r="O237" s="210"/>
      <c r="P237" s="639"/>
      <c r="Q237" s="211"/>
    </row>
    <row r="238" spans="2:17">
      <c r="B238" s="207"/>
      <c r="C238" s="208"/>
      <c r="D238" s="209"/>
      <c r="E238" s="209"/>
      <c r="F238" s="210"/>
      <c r="G238" s="210"/>
      <c r="H238" s="210"/>
      <c r="I238" s="210"/>
      <c r="J238" s="208"/>
      <c r="K238" s="210"/>
      <c r="L238" s="209"/>
      <c r="M238" s="210"/>
      <c r="N238" s="210"/>
      <c r="O238" s="210"/>
      <c r="P238" s="639"/>
      <c r="Q238" s="211"/>
    </row>
    <row r="239" spans="2:17">
      <c r="B239" s="207"/>
      <c r="C239" s="208"/>
      <c r="D239" s="209"/>
      <c r="E239" s="209"/>
      <c r="F239" s="210"/>
      <c r="G239" s="210"/>
      <c r="H239" s="210"/>
      <c r="I239" s="210"/>
      <c r="J239" s="208"/>
      <c r="K239" s="210"/>
      <c r="L239" s="209"/>
      <c r="M239" s="210"/>
      <c r="N239" s="210"/>
      <c r="O239" s="210"/>
      <c r="P239" s="639"/>
      <c r="Q239" s="211"/>
    </row>
    <row r="240" spans="2:17">
      <c r="B240" s="207"/>
      <c r="C240" s="208"/>
      <c r="D240" s="209"/>
      <c r="E240" s="209"/>
      <c r="F240" s="210"/>
      <c r="G240" s="210"/>
      <c r="H240" s="210"/>
      <c r="I240" s="210"/>
      <c r="J240" s="208"/>
      <c r="K240" s="210"/>
      <c r="L240" s="209"/>
      <c r="M240" s="210"/>
      <c r="N240" s="210"/>
      <c r="O240" s="210"/>
      <c r="P240" s="639"/>
      <c r="Q240" s="211"/>
    </row>
    <row r="241" spans="2:17">
      <c r="B241" s="207"/>
      <c r="C241" s="208"/>
      <c r="D241" s="209"/>
      <c r="E241" s="209"/>
      <c r="F241" s="210"/>
      <c r="G241" s="210"/>
      <c r="H241" s="210"/>
      <c r="I241" s="210"/>
      <c r="J241" s="208"/>
      <c r="K241" s="210"/>
      <c r="L241" s="209"/>
      <c r="M241" s="210"/>
      <c r="N241" s="210"/>
      <c r="O241" s="210"/>
      <c r="P241" s="639"/>
      <c r="Q241" s="211"/>
    </row>
    <row r="242" spans="2:17">
      <c r="B242" s="207"/>
      <c r="C242" s="208"/>
      <c r="D242" s="209"/>
      <c r="E242" s="209"/>
      <c r="F242" s="210"/>
      <c r="G242" s="210"/>
      <c r="H242" s="210"/>
      <c r="I242" s="210"/>
      <c r="J242" s="208"/>
      <c r="K242" s="210"/>
      <c r="L242" s="209"/>
      <c r="M242" s="210"/>
      <c r="N242" s="210"/>
      <c r="O242" s="210"/>
      <c r="P242" s="639"/>
      <c r="Q242" s="211"/>
    </row>
    <row r="243" spans="2:17">
      <c r="B243" s="207"/>
      <c r="C243" s="208"/>
      <c r="D243" s="209"/>
      <c r="E243" s="209"/>
      <c r="F243" s="210"/>
      <c r="G243" s="210"/>
      <c r="H243" s="210"/>
      <c r="I243" s="210"/>
      <c r="J243" s="208"/>
      <c r="K243" s="210"/>
      <c r="L243" s="209"/>
      <c r="M243" s="210"/>
      <c r="N243" s="210"/>
      <c r="O243" s="210"/>
      <c r="P243" s="639"/>
      <c r="Q243" s="211"/>
    </row>
    <row r="244" spans="2:17">
      <c r="B244" s="207"/>
      <c r="C244" s="208"/>
      <c r="D244" s="209"/>
      <c r="E244" s="209"/>
      <c r="F244" s="210"/>
      <c r="G244" s="210"/>
      <c r="H244" s="210"/>
      <c r="I244" s="210"/>
      <c r="J244" s="208"/>
      <c r="K244" s="210"/>
      <c r="L244" s="209"/>
      <c r="M244" s="210"/>
      <c r="N244" s="210"/>
      <c r="O244" s="210"/>
      <c r="P244" s="639"/>
      <c r="Q244" s="211"/>
    </row>
    <row r="245" spans="2:17">
      <c r="B245" s="207"/>
      <c r="C245" s="208"/>
      <c r="D245" s="209"/>
      <c r="E245" s="209"/>
      <c r="F245" s="210"/>
      <c r="G245" s="210"/>
      <c r="H245" s="210"/>
      <c r="I245" s="210"/>
      <c r="J245" s="208"/>
      <c r="K245" s="210"/>
      <c r="L245" s="209"/>
      <c r="M245" s="210"/>
      <c r="N245" s="210"/>
      <c r="O245" s="210"/>
      <c r="P245" s="639"/>
      <c r="Q245" s="211"/>
    </row>
    <row r="246" spans="2:17">
      <c r="B246" s="207"/>
      <c r="C246" s="208"/>
      <c r="D246" s="209"/>
      <c r="E246" s="209"/>
      <c r="F246" s="210"/>
      <c r="G246" s="210"/>
      <c r="H246" s="210"/>
      <c r="I246" s="210"/>
      <c r="J246" s="208"/>
      <c r="K246" s="210"/>
      <c r="L246" s="209"/>
      <c r="M246" s="210"/>
      <c r="N246" s="210"/>
      <c r="O246" s="210"/>
      <c r="P246" s="639"/>
      <c r="Q246" s="211"/>
    </row>
    <row r="247" spans="2:17">
      <c r="B247" s="207"/>
      <c r="C247" s="208"/>
      <c r="D247" s="209"/>
      <c r="E247" s="209"/>
      <c r="F247" s="210"/>
      <c r="G247" s="210"/>
      <c r="H247" s="210"/>
      <c r="I247" s="210"/>
      <c r="J247" s="208"/>
      <c r="K247" s="210"/>
      <c r="L247" s="209"/>
      <c r="M247" s="210"/>
      <c r="N247" s="210"/>
      <c r="O247" s="210"/>
      <c r="P247" s="639"/>
      <c r="Q247" s="211"/>
    </row>
    <row r="248" spans="2:17">
      <c r="B248" s="207"/>
      <c r="C248" s="208"/>
      <c r="D248" s="209"/>
      <c r="E248" s="209"/>
      <c r="F248" s="210"/>
      <c r="G248" s="210"/>
      <c r="H248" s="210"/>
      <c r="I248" s="210"/>
      <c r="J248" s="208"/>
      <c r="K248" s="210"/>
      <c r="L248" s="209"/>
      <c r="M248" s="210"/>
      <c r="N248" s="210"/>
      <c r="O248" s="210"/>
      <c r="P248" s="639"/>
      <c r="Q248" s="211"/>
    </row>
    <row r="249" spans="2:17">
      <c r="B249" s="207"/>
      <c r="C249" s="208"/>
      <c r="D249" s="209"/>
      <c r="E249" s="209"/>
      <c r="F249" s="210"/>
      <c r="G249" s="210"/>
      <c r="H249" s="210"/>
      <c r="I249" s="210"/>
      <c r="J249" s="208"/>
      <c r="K249" s="210"/>
      <c r="L249" s="209"/>
      <c r="M249" s="210"/>
      <c r="N249" s="210"/>
      <c r="O249" s="210"/>
      <c r="P249" s="639"/>
      <c r="Q249" s="211"/>
    </row>
    <row r="250" spans="2:17">
      <c r="B250" s="207"/>
      <c r="C250" s="208"/>
      <c r="D250" s="209"/>
      <c r="E250" s="209"/>
      <c r="F250" s="210"/>
      <c r="G250" s="210"/>
      <c r="H250" s="210"/>
      <c r="I250" s="210"/>
      <c r="J250" s="208"/>
      <c r="K250" s="210"/>
      <c r="L250" s="209"/>
      <c r="M250" s="210"/>
      <c r="N250" s="210"/>
      <c r="O250" s="210"/>
      <c r="P250" s="639"/>
      <c r="Q250" s="211"/>
    </row>
    <row r="251" spans="2:17">
      <c r="B251" s="207"/>
      <c r="C251" s="208"/>
      <c r="D251" s="209"/>
      <c r="E251" s="209"/>
      <c r="F251" s="210"/>
      <c r="G251" s="210"/>
      <c r="H251" s="210"/>
      <c r="I251" s="210"/>
      <c r="J251" s="208"/>
      <c r="K251" s="210"/>
      <c r="L251" s="209"/>
      <c r="M251" s="210"/>
      <c r="N251" s="210"/>
      <c r="O251" s="210"/>
      <c r="P251" s="639"/>
      <c r="Q251" s="211"/>
    </row>
    <row r="252" spans="2:17">
      <c r="B252" s="207"/>
      <c r="C252" s="208"/>
      <c r="D252" s="209"/>
      <c r="E252" s="209"/>
      <c r="F252" s="210"/>
      <c r="G252" s="210"/>
      <c r="H252" s="210"/>
      <c r="I252" s="210"/>
      <c r="J252" s="208"/>
      <c r="K252" s="210"/>
      <c r="L252" s="209"/>
      <c r="M252" s="210"/>
      <c r="N252" s="210"/>
      <c r="O252" s="210"/>
      <c r="P252" s="639"/>
      <c r="Q252" s="211"/>
    </row>
    <row r="253" spans="2:17">
      <c r="B253" s="207"/>
      <c r="C253" s="208"/>
      <c r="D253" s="209"/>
      <c r="E253" s="209"/>
      <c r="F253" s="210"/>
      <c r="G253" s="210"/>
      <c r="H253" s="210"/>
      <c r="I253" s="210"/>
      <c r="J253" s="208"/>
      <c r="K253" s="210"/>
      <c r="L253" s="209"/>
      <c r="M253" s="210"/>
      <c r="N253" s="210"/>
      <c r="O253" s="210"/>
      <c r="P253" s="639"/>
      <c r="Q253" s="211"/>
    </row>
    <row r="254" spans="2:17">
      <c r="B254" s="207"/>
      <c r="C254" s="208"/>
      <c r="D254" s="209"/>
      <c r="E254" s="209"/>
      <c r="F254" s="210"/>
      <c r="G254" s="210"/>
      <c r="H254" s="210"/>
      <c r="I254" s="210"/>
      <c r="J254" s="208"/>
      <c r="K254" s="210"/>
      <c r="L254" s="209"/>
      <c r="M254" s="210"/>
      <c r="N254" s="210"/>
      <c r="O254" s="210"/>
      <c r="P254" s="639"/>
      <c r="Q254" s="211"/>
    </row>
    <row r="255" spans="2:17">
      <c r="B255" s="207"/>
      <c r="C255" s="208"/>
      <c r="D255" s="209"/>
      <c r="E255" s="209"/>
      <c r="F255" s="210"/>
      <c r="G255" s="210"/>
      <c r="H255" s="210"/>
      <c r="I255" s="210"/>
      <c r="J255" s="208"/>
      <c r="K255" s="210"/>
      <c r="L255" s="209"/>
      <c r="M255" s="210"/>
      <c r="N255" s="210"/>
      <c r="O255" s="210"/>
      <c r="P255" s="639"/>
      <c r="Q255" s="211"/>
    </row>
    <row r="256" spans="2:17">
      <c r="B256" s="207"/>
      <c r="C256" s="208"/>
      <c r="D256" s="209"/>
      <c r="E256" s="209"/>
      <c r="F256" s="210"/>
      <c r="G256" s="210"/>
      <c r="H256" s="210"/>
      <c r="I256" s="210"/>
      <c r="J256" s="208"/>
      <c r="K256" s="210"/>
      <c r="L256" s="209"/>
      <c r="M256" s="210"/>
      <c r="N256" s="210"/>
      <c r="O256" s="210"/>
      <c r="P256" s="639"/>
      <c r="Q256" s="211"/>
    </row>
    <row r="257" spans="2:17">
      <c r="B257" s="207"/>
      <c r="C257" s="208"/>
      <c r="D257" s="209"/>
      <c r="E257" s="209"/>
      <c r="F257" s="210"/>
      <c r="G257" s="210"/>
      <c r="H257" s="210"/>
      <c r="I257" s="210"/>
      <c r="J257" s="208"/>
      <c r="K257" s="210"/>
      <c r="L257" s="209"/>
      <c r="M257" s="210"/>
      <c r="N257" s="210"/>
      <c r="O257" s="210"/>
      <c r="P257" s="639"/>
      <c r="Q257" s="211"/>
    </row>
    <row r="258" spans="2:17">
      <c r="B258" s="207"/>
      <c r="C258" s="208"/>
      <c r="D258" s="209"/>
      <c r="E258" s="209"/>
      <c r="F258" s="210"/>
      <c r="G258" s="210"/>
      <c r="H258" s="210"/>
      <c r="I258" s="210"/>
      <c r="J258" s="208"/>
      <c r="K258" s="210"/>
      <c r="L258" s="209"/>
      <c r="M258" s="210"/>
      <c r="N258" s="210"/>
      <c r="O258" s="210"/>
      <c r="P258" s="639"/>
      <c r="Q258" s="211"/>
    </row>
    <row r="259" spans="2:17">
      <c r="B259" s="207"/>
      <c r="C259" s="208"/>
      <c r="D259" s="209"/>
      <c r="E259" s="209"/>
      <c r="F259" s="210"/>
      <c r="G259" s="210"/>
      <c r="H259" s="210"/>
      <c r="I259" s="210"/>
      <c r="J259" s="208"/>
      <c r="K259" s="210"/>
      <c r="L259" s="209"/>
      <c r="M259" s="210"/>
      <c r="N259" s="210"/>
      <c r="O259" s="210"/>
      <c r="P259" s="639"/>
      <c r="Q259" s="211"/>
    </row>
    <row r="260" spans="2:17">
      <c r="B260" s="207"/>
      <c r="C260" s="208"/>
      <c r="D260" s="209"/>
      <c r="E260" s="209"/>
      <c r="F260" s="210"/>
      <c r="G260" s="210"/>
      <c r="H260" s="210"/>
      <c r="I260" s="210"/>
      <c r="J260" s="208"/>
      <c r="K260" s="210"/>
      <c r="L260" s="209"/>
      <c r="M260" s="210"/>
      <c r="N260" s="210"/>
      <c r="O260" s="210"/>
      <c r="P260" s="639"/>
      <c r="Q260" s="211"/>
    </row>
    <row r="261" spans="2:17">
      <c r="B261" s="207"/>
      <c r="C261" s="208"/>
      <c r="D261" s="209"/>
      <c r="E261" s="209"/>
      <c r="F261" s="210"/>
      <c r="G261" s="210"/>
      <c r="H261" s="210"/>
      <c r="I261" s="210"/>
      <c r="J261" s="208"/>
      <c r="K261" s="210"/>
      <c r="L261" s="209"/>
      <c r="M261" s="210"/>
      <c r="N261" s="210"/>
      <c r="O261" s="210"/>
      <c r="P261" s="639"/>
      <c r="Q261" s="211"/>
    </row>
    <row r="262" spans="2:17">
      <c r="B262" s="207"/>
      <c r="C262" s="208"/>
      <c r="D262" s="209"/>
      <c r="E262" s="209"/>
      <c r="F262" s="210"/>
      <c r="G262" s="210"/>
      <c r="H262" s="210"/>
      <c r="I262" s="210"/>
      <c r="J262" s="208"/>
      <c r="K262" s="210"/>
      <c r="L262" s="209"/>
      <c r="M262" s="210"/>
      <c r="N262" s="210"/>
      <c r="O262" s="210"/>
      <c r="P262" s="639"/>
      <c r="Q262" s="211"/>
    </row>
    <row r="263" spans="2:17">
      <c r="B263" s="207"/>
      <c r="C263" s="208"/>
      <c r="D263" s="209"/>
      <c r="E263" s="209"/>
      <c r="F263" s="210"/>
      <c r="G263" s="210"/>
      <c r="H263" s="210"/>
      <c r="I263" s="210"/>
      <c r="J263" s="208"/>
      <c r="K263" s="210"/>
      <c r="L263" s="209"/>
      <c r="M263" s="210"/>
      <c r="N263" s="210"/>
      <c r="O263" s="210"/>
      <c r="P263" s="639"/>
      <c r="Q263" s="211"/>
    </row>
    <row r="264" spans="2:17">
      <c r="B264" s="207"/>
      <c r="C264" s="208"/>
      <c r="D264" s="209"/>
      <c r="E264" s="209"/>
      <c r="F264" s="210"/>
      <c r="G264" s="210"/>
      <c r="H264" s="210"/>
      <c r="I264" s="210"/>
      <c r="J264" s="208"/>
      <c r="K264" s="210"/>
      <c r="L264" s="209"/>
      <c r="M264" s="210"/>
      <c r="N264" s="210"/>
      <c r="O264" s="210"/>
      <c r="P264" s="639"/>
      <c r="Q264" s="211"/>
    </row>
    <row r="265" spans="2:17">
      <c r="B265" s="207"/>
      <c r="C265" s="208"/>
      <c r="D265" s="209"/>
      <c r="E265" s="209"/>
      <c r="F265" s="210"/>
      <c r="G265" s="210"/>
      <c r="H265" s="210"/>
      <c r="I265" s="210"/>
      <c r="J265" s="208"/>
      <c r="K265" s="210"/>
      <c r="L265" s="209"/>
      <c r="M265" s="210"/>
      <c r="N265" s="210"/>
      <c r="O265" s="210"/>
      <c r="P265" s="639"/>
      <c r="Q265" s="211"/>
    </row>
    <row r="266" spans="2:17">
      <c r="B266" s="207"/>
      <c r="C266" s="208"/>
      <c r="D266" s="209"/>
      <c r="E266" s="209"/>
      <c r="F266" s="210"/>
      <c r="G266" s="210"/>
      <c r="H266" s="210"/>
      <c r="I266" s="210"/>
      <c r="J266" s="208"/>
      <c r="K266" s="210"/>
      <c r="L266" s="209"/>
      <c r="M266" s="210"/>
      <c r="N266" s="210"/>
      <c r="O266" s="210"/>
      <c r="P266" s="639"/>
      <c r="Q266" s="211"/>
    </row>
    <row r="267" spans="2:17">
      <c r="B267" s="207"/>
      <c r="C267" s="208"/>
      <c r="D267" s="209"/>
      <c r="E267" s="209"/>
      <c r="F267" s="210"/>
      <c r="G267" s="210"/>
      <c r="H267" s="210"/>
      <c r="I267" s="210"/>
      <c r="J267" s="208"/>
      <c r="K267" s="210"/>
      <c r="L267" s="209"/>
      <c r="M267" s="210"/>
      <c r="N267" s="210"/>
      <c r="O267" s="210"/>
      <c r="P267" s="639"/>
      <c r="Q267" s="211"/>
    </row>
    <row r="268" spans="2:17">
      <c r="B268" s="207"/>
      <c r="C268" s="208"/>
      <c r="D268" s="209"/>
      <c r="E268" s="209"/>
      <c r="F268" s="210"/>
      <c r="G268" s="210"/>
      <c r="H268" s="210"/>
      <c r="I268" s="210"/>
      <c r="J268" s="208"/>
      <c r="K268" s="210"/>
      <c r="L268" s="209"/>
      <c r="M268" s="210"/>
      <c r="N268" s="210"/>
      <c r="O268" s="210"/>
      <c r="P268" s="639"/>
      <c r="Q268" s="211"/>
    </row>
    <row r="269" spans="2:17">
      <c r="B269" s="207"/>
      <c r="C269" s="208"/>
      <c r="D269" s="209"/>
      <c r="E269" s="209"/>
      <c r="F269" s="210"/>
      <c r="G269" s="210"/>
      <c r="H269" s="210"/>
      <c r="I269" s="210"/>
      <c r="J269" s="208"/>
      <c r="K269" s="210"/>
      <c r="L269" s="209"/>
      <c r="M269" s="210"/>
      <c r="N269" s="210"/>
      <c r="O269" s="210"/>
      <c r="P269" s="639"/>
      <c r="Q269" s="211"/>
    </row>
    <row r="270" spans="2:17">
      <c r="B270" s="207"/>
      <c r="C270" s="208"/>
      <c r="D270" s="209"/>
      <c r="E270" s="209"/>
      <c r="F270" s="210"/>
      <c r="G270" s="210"/>
      <c r="H270" s="210"/>
      <c r="I270" s="210"/>
      <c r="J270" s="208"/>
      <c r="K270" s="210"/>
      <c r="L270" s="209"/>
      <c r="M270" s="210"/>
      <c r="N270" s="210"/>
      <c r="O270" s="210"/>
      <c r="P270" s="639"/>
      <c r="Q270" s="211"/>
    </row>
    <row r="271" spans="2:17">
      <c r="B271" s="207"/>
      <c r="C271" s="208"/>
      <c r="D271" s="209"/>
      <c r="E271" s="209"/>
      <c r="F271" s="210"/>
      <c r="G271" s="210"/>
      <c r="H271" s="210"/>
      <c r="I271" s="210"/>
      <c r="J271" s="208"/>
      <c r="K271" s="210"/>
      <c r="L271" s="209"/>
      <c r="M271" s="210"/>
      <c r="N271" s="210"/>
      <c r="O271" s="210"/>
      <c r="P271" s="639"/>
      <c r="Q271" s="211"/>
    </row>
    <row r="272" spans="2:17">
      <c r="B272" s="207"/>
      <c r="C272" s="208"/>
      <c r="D272" s="209"/>
      <c r="E272" s="209"/>
      <c r="F272" s="210"/>
      <c r="G272" s="210"/>
      <c r="H272" s="210"/>
      <c r="I272" s="210"/>
      <c r="J272" s="208"/>
      <c r="K272" s="210"/>
      <c r="L272" s="209"/>
      <c r="M272" s="210"/>
      <c r="N272" s="210"/>
      <c r="O272" s="210"/>
      <c r="P272" s="639"/>
      <c r="Q272" s="211"/>
    </row>
    <row r="273" spans="2:17">
      <c r="B273" s="207"/>
      <c r="C273" s="208"/>
      <c r="D273" s="209"/>
      <c r="E273" s="209"/>
      <c r="F273" s="210"/>
      <c r="G273" s="210"/>
      <c r="H273" s="210"/>
      <c r="I273" s="210"/>
      <c r="J273" s="208"/>
      <c r="K273" s="210"/>
      <c r="L273" s="209"/>
      <c r="M273" s="210"/>
      <c r="N273" s="210"/>
      <c r="O273" s="210"/>
      <c r="P273" s="639"/>
      <c r="Q273" s="211"/>
    </row>
    <row r="274" spans="2:17">
      <c r="B274" s="207"/>
      <c r="C274" s="208"/>
      <c r="D274" s="209"/>
      <c r="E274" s="209"/>
      <c r="F274" s="210"/>
      <c r="G274" s="210"/>
      <c r="H274" s="210"/>
      <c r="I274" s="210"/>
      <c r="J274" s="208"/>
      <c r="K274" s="210"/>
      <c r="L274" s="209"/>
      <c r="M274" s="210"/>
      <c r="N274" s="210"/>
      <c r="O274" s="210"/>
      <c r="P274" s="639"/>
      <c r="Q274" s="211"/>
    </row>
    <row r="275" spans="2:17">
      <c r="B275" s="207"/>
      <c r="C275" s="208"/>
      <c r="D275" s="209"/>
      <c r="E275" s="209"/>
      <c r="F275" s="210"/>
      <c r="G275" s="210"/>
      <c r="H275" s="210"/>
      <c r="I275" s="210"/>
      <c r="J275" s="208"/>
      <c r="K275" s="210"/>
      <c r="L275" s="209"/>
      <c r="M275" s="210"/>
      <c r="N275" s="210"/>
      <c r="O275" s="210"/>
      <c r="P275" s="639"/>
      <c r="Q275" s="211"/>
    </row>
    <row r="276" spans="2:17">
      <c r="B276" s="207"/>
      <c r="C276" s="208"/>
      <c r="D276" s="209"/>
      <c r="E276" s="209"/>
      <c r="F276" s="210"/>
      <c r="G276" s="210"/>
      <c r="H276" s="210"/>
      <c r="I276" s="210"/>
      <c r="J276" s="208"/>
      <c r="K276" s="210"/>
      <c r="L276" s="209"/>
      <c r="M276" s="210"/>
      <c r="N276" s="210"/>
      <c r="O276" s="210"/>
      <c r="P276" s="639"/>
      <c r="Q276" s="211"/>
    </row>
    <row r="277" spans="2:17">
      <c r="B277" s="207"/>
      <c r="C277" s="208"/>
      <c r="D277" s="209"/>
      <c r="E277" s="209"/>
      <c r="F277" s="210"/>
      <c r="G277" s="210"/>
      <c r="H277" s="210"/>
      <c r="I277" s="210"/>
      <c r="J277" s="208"/>
      <c r="K277" s="210"/>
      <c r="L277" s="209"/>
      <c r="M277" s="210"/>
      <c r="N277" s="210"/>
      <c r="O277" s="210"/>
      <c r="P277" s="639"/>
      <c r="Q277" s="211"/>
    </row>
    <row r="278" spans="2:17">
      <c r="B278" s="207"/>
      <c r="C278" s="208"/>
      <c r="D278" s="209"/>
      <c r="E278" s="209"/>
      <c r="F278" s="210"/>
      <c r="G278" s="210"/>
      <c r="H278" s="210"/>
      <c r="I278" s="210"/>
      <c r="J278" s="208"/>
      <c r="K278" s="210"/>
      <c r="L278" s="209"/>
      <c r="M278" s="210"/>
      <c r="N278" s="210"/>
      <c r="O278" s="210"/>
      <c r="P278" s="639"/>
      <c r="Q278" s="211"/>
    </row>
    <row r="279" spans="2:17">
      <c r="B279" s="207"/>
      <c r="C279" s="208"/>
      <c r="D279" s="209"/>
      <c r="E279" s="209"/>
      <c r="F279" s="210"/>
      <c r="G279" s="210"/>
      <c r="H279" s="210"/>
      <c r="I279" s="210"/>
      <c r="J279" s="208"/>
      <c r="K279" s="210"/>
      <c r="L279" s="209"/>
      <c r="M279" s="210"/>
      <c r="N279" s="210"/>
      <c r="O279" s="210"/>
      <c r="P279" s="639"/>
      <c r="Q279" s="211"/>
    </row>
    <row r="280" spans="2:17">
      <c r="B280" s="207"/>
      <c r="C280" s="208"/>
      <c r="D280" s="209"/>
      <c r="E280" s="209"/>
      <c r="F280" s="210"/>
      <c r="G280" s="210"/>
      <c r="H280" s="210"/>
      <c r="I280" s="210"/>
      <c r="J280" s="208"/>
      <c r="K280" s="210"/>
      <c r="L280" s="209"/>
      <c r="M280" s="210"/>
      <c r="N280" s="210"/>
      <c r="O280" s="210"/>
      <c r="P280" s="639"/>
      <c r="Q280" s="211"/>
    </row>
    <row r="281" spans="2:17">
      <c r="B281" s="207"/>
      <c r="C281" s="208"/>
      <c r="D281" s="209"/>
      <c r="E281" s="209"/>
      <c r="F281" s="210"/>
      <c r="G281" s="210"/>
      <c r="H281" s="210"/>
      <c r="I281" s="210"/>
      <c r="J281" s="208"/>
      <c r="K281" s="210"/>
      <c r="L281" s="209"/>
      <c r="M281" s="210"/>
      <c r="N281" s="210"/>
      <c r="O281" s="210"/>
      <c r="P281" s="639"/>
      <c r="Q281" s="211"/>
    </row>
    <row r="282" spans="2:17">
      <c r="B282" s="207"/>
      <c r="C282" s="208"/>
      <c r="D282" s="209"/>
      <c r="E282" s="209"/>
      <c r="F282" s="210"/>
      <c r="G282" s="210"/>
      <c r="H282" s="210"/>
      <c r="I282" s="210"/>
      <c r="J282" s="208"/>
      <c r="K282" s="210"/>
      <c r="L282" s="209"/>
      <c r="M282" s="210"/>
      <c r="N282" s="210"/>
      <c r="O282" s="210"/>
      <c r="P282" s="639"/>
      <c r="Q282" s="211"/>
    </row>
    <row r="283" spans="2:17">
      <c r="B283" s="207"/>
      <c r="C283" s="208"/>
      <c r="D283" s="209"/>
      <c r="E283" s="209"/>
      <c r="F283" s="210"/>
      <c r="G283" s="210"/>
      <c r="H283" s="210"/>
      <c r="I283" s="210"/>
      <c r="J283" s="208"/>
      <c r="K283" s="210"/>
      <c r="L283" s="209"/>
      <c r="M283" s="210"/>
      <c r="N283" s="210"/>
      <c r="O283" s="210"/>
      <c r="P283" s="639"/>
      <c r="Q283" s="211"/>
    </row>
    <row r="284" spans="2:17">
      <c r="B284" s="207"/>
      <c r="C284" s="208"/>
      <c r="D284" s="209"/>
      <c r="E284" s="209"/>
      <c r="F284" s="210"/>
      <c r="G284" s="210"/>
      <c r="H284" s="210"/>
      <c r="I284" s="210"/>
      <c r="J284" s="208"/>
      <c r="K284" s="210"/>
      <c r="L284" s="209"/>
      <c r="M284" s="210"/>
      <c r="N284" s="210"/>
      <c r="O284" s="210"/>
      <c r="P284" s="639"/>
      <c r="Q284" s="211"/>
    </row>
    <row r="285" spans="2:17">
      <c r="B285" s="207"/>
      <c r="C285" s="208"/>
      <c r="D285" s="209"/>
      <c r="E285" s="209"/>
      <c r="F285" s="210"/>
      <c r="G285" s="210"/>
      <c r="H285" s="210"/>
      <c r="I285" s="210"/>
      <c r="J285" s="208"/>
      <c r="K285" s="210"/>
      <c r="L285" s="209"/>
      <c r="M285" s="210"/>
      <c r="N285" s="210"/>
      <c r="O285" s="210"/>
      <c r="P285" s="639"/>
      <c r="Q285" s="211"/>
    </row>
    <row r="286" spans="2:17">
      <c r="B286" s="207"/>
      <c r="C286" s="208"/>
      <c r="D286" s="209"/>
      <c r="E286" s="209"/>
      <c r="F286" s="210"/>
      <c r="G286" s="210"/>
      <c r="H286" s="210"/>
      <c r="I286" s="210"/>
      <c r="J286" s="208"/>
      <c r="K286" s="210"/>
      <c r="L286" s="209"/>
      <c r="M286" s="210"/>
      <c r="N286" s="210"/>
      <c r="O286" s="210"/>
      <c r="P286" s="639"/>
      <c r="Q286" s="211"/>
    </row>
    <row r="287" spans="2:17">
      <c r="B287" s="207"/>
      <c r="C287" s="208"/>
      <c r="D287" s="209"/>
      <c r="E287" s="209"/>
      <c r="F287" s="210"/>
      <c r="G287" s="210"/>
      <c r="H287" s="210"/>
      <c r="I287" s="210"/>
      <c r="J287" s="208"/>
      <c r="K287" s="210"/>
      <c r="L287" s="209"/>
      <c r="M287" s="210"/>
      <c r="N287" s="210"/>
      <c r="O287" s="210"/>
      <c r="P287" s="639"/>
      <c r="Q287" s="211"/>
    </row>
    <row r="288" spans="2:17">
      <c r="B288" s="207"/>
      <c r="C288" s="208"/>
      <c r="D288" s="209"/>
      <c r="E288" s="209"/>
      <c r="F288" s="210"/>
      <c r="G288" s="210"/>
      <c r="H288" s="210"/>
      <c r="I288" s="210"/>
      <c r="J288" s="208"/>
      <c r="K288" s="210"/>
      <c r="L288" s="209"/>
      <c r="M288" s="210"/>
      <c r="N288" s="210"/>
      <c r="O288" s="210"/>
      <c r="P288" s="639"/>
      <c r="Q288" s="211"/>
    </row>
    <row r="289" spans="2:17">
      <c r="B289" s="207"/>
      <c r="C289" s="208"/>
      <c r="D289" s="209"/>
      <c r="E289" s="209"/>
      <c r="F289" s="210"/>
      <c r="G289" s="210"/>
      <c r="H289" s="210"/>
      <c r="I289" s="210"/>
      <c r="J289" s="208"/>
      <c r="K289" s="210"/>
      <c r="L289" s="209"/>
      <c r="M289" s="210"/>
      <c r="N289" s="210"/>
      <c r="O289" s="210"/>
      <c r="P289" s="639"/>
      <c r="Q289" s="211"/>
    </row>
    <row r="290" spans="2:17">
      <c r="B290" s="207"/>
      <c r="C290" s="208"/>
      <c r="D290" s="209"/>
      <c r="E290" s="209"/>
      <c r="F290" s="210"/>
      <c r="G290" s="210"/>
      <c r="H290" s="210"/>
      <c r="I290" s="210"/>
      <c r="J290" s="208"/>
      <c r="K290" s="210"/>
      <c r="L290" s="209"/>
      <c r="M290" s="210"/>
      <c r="N290" s="210"/>
      <c r="O290" s="210"/>
      <c r="P290" s="639"/>
      <c r="Q290" s="211"/>
    </row>
    <row r="291" spans="2:17">
      <c r="B291" s="207"/>
      <c r="C291" s="208"/>
      <c r="D291" s="209"/>
      <c r="E291" s="209"/>
      <c r="F291" s="210"/>
      <c r="G291" s="210"/>
      <c r="H291" s="210"/>
      <c r="I291" s="210"/>
      <c r="J291" s="208"/>
      <c r="K291" s="210"/>
      <c r="L291" s="209"/>
      <c r="M291" s="210"/>
      <c r="N291" s="210"/>
      <c r="O291" s="210"/>
      <c r="P291" s="639"/>
      <c r="Q291" s="211"/>
    </row>
    <row r="292" spans="2:17">
      <c r="B292" s="207"/>
      <c r="C292" s="208"/>
      <c r="D292" s="209"/>
      <c r="E292" s="209"/>
      <c r="F292" s="210"/>
      <c r="G292" s="210"/>
      <c r="H292" s="210"/>
      <c r="I292" s="210"/>
      <c r="J292" s="208"/>
      <c r="K292" s="210"/>
      <c r="L292" s="209"/>
      <c r="M292" s="210"/>
      <c r="N292" s="210"/>
      <c r="O292" s="210"/>
      <c r="P292" s="639"/>
      <c r="Q292" s="211"/>
    </row>
    <row r="293" spans="2:17">
      <c r="B293" s="207"/>
      <c r="C293" s="208"/>
      <c r="D293" s="209"/>
      <c r="E293" s="209"/>
      <c r="F293" s="210"/>
      <c r="G293" s="210"/>
      <c r="H293" s="210"/>
      <c r="I293" s="210"/>
      <c r="J293" s="208"/>
      <c r="K293" s="210"/>
      <c r="L293" s="209"/>
      <c r="M293" s="210"/>
      <c r="N293" s="210"/>
      <c r="O293" s="210"/>
      <c r="P293" s="639"/>
      <c r="Q293" s="211"/>
    </row>
    <row r="294" spans="2:17">
      <c r="B294" s="207"/>
      <c r="C294" s="208"/>
      <c r="D294" s="209"/>
      <c r="E294" s="209"/>
      <c r="F294" s="210"/>
      <c r="G294" s="210"/>
      <c r="H294" s="210"/>
      <c r="I294" s="210"/>
      <c r="J294" s="208"/>
      <c r="K294" s="210"/>
      <c r="L294" s="209"/>
      <c r="M294" s="210"/>
      <c r="N294" s="210"/>
      <c r="O294" s="210"/>
      <c r="P294" s="639"/>
      <c r="Q294" s="211"/>
    </row>
    <row r="295" spans="2:17">
      <c r="B295" s="207"/>
      <c r="C295" s="208"/>
      <c r="D295" s="209"/>
      <c r="E295" s="209"/>
      <c r="F295" s="210"/>
      <c r="G295" s="210"/>
      <c r="H295" s="210"/>
      <c r="I295" s="210"/>
      <c r="J295" s="208"/>
      <c r="K295" s="210"/>
      <c r="L295" s="209"/>
      <c r="M295" s="210"/>
      <c r="N295" s="210"/>
      <c r="O295" s="210"/>
      <c r="P295" s="639"/>
      <c r="Q295" s="211"/>
    </row>
    <row r="296" spans="2:17">
      <c r="B296" s="207"/>
      <c r="C296" s="208"/>
      <c r="D296" s="209"/>
      <c r="E296" s="209"/>
      <c r="F296" s="210"/>
      <c r="G296" s="210"/>
      <c r="H296" s="210"/>
      <c r="I296" s="210"/>
      <c r="J296" s="208"/>
      <c r="K296" s="210"/>
      <c r="L296" s="209"/>
      <c r="M296" s="210"/>
      <c r="N296" s="210"/>
      <c r="O296" s="210"/>
      <c r="P296" s="639"/>
      <c r="Q296" s="211"/>
    </row>
    <row r="297" spans="2:17">
      <c r="B297" s="207"/>
      <c r="C297" s="208"/>
      <c r="D297" s="209"/>
      <c r="E297" s="209"/>
      <c r="F297" s="210"/>
      <c r="G297" s="210"/>
      <c r="H297" s="210"/>
      <c r="I297" s="210"/>
      <c r="J297" s="208"/>
      <c r="K297" s="210"/>
      <c r="L297" s="209"/>
      <c r="M297" s="210"/>
      <c r="N297" s="210"/>
      <c r="O297" s="210"/>
      <c r="P297" s="639"/>
      <c r="Q297" s="211"/>
    </row>
    <row r="298" spans="2:17">
      <c r="B298" s="207"/>
      <c r="C298" s="208"/>
      <c r="D298" s="209"/>
      <c r="E298" s="209"/>
      <c r="F298" s="210"/>
      <c r="G298" s="210"/>
      <c r="H298" s="210"/>
      <c r="I298" s="210"/>
      <c r="J298" s="208"/>
      <c r="K298" s="210"/>
      <c r="L298" s="209"/>
      <c r="M298" s="210"/>
      <c r="N298" s="210"/>
      <c r="O298" s="210"/>
      <c r="P298" s="639"/>
      <c r="Q298" s="211"/>
    </row>
    <row r="299" spans="2:17">
      <c r="B299" s="207"/>
      <c r="C299" s="208"/>
      <c r="D299" s="209"/>
      <c r="E299" s="209"/>
      <c r="F299" s="210"/>
      <c r="G299" s="210"/>
      <c r="H299" s="210"/>
      <c r="I299" s="210"/>
      <c r="J299" s="208"/>
      <c r="K299" s="210"/>
      <c r="L299" s="209"/>
      <c r="M299" s="210"/>
      <c r="N299" s="210"/>
      <c r="O299" s="210"/>
      <c r="P299" s="639"/>
      <c r="Q299" s="211"/>
    </row>
    <row r="300" spans="2:17">
      <c r="B300" s="207"/>
      <c r="C300" s="208"/>
      <c r="D300" s="209"/>
      <c r="E300" s="209"/>
      <c r="F300" s="210"/>
      <c r="G300" s="210"/>
      <c r="H300" s="210"/>
      <c r="I300" s="210"/>
      <c r="J300" s="208"/>
      <c r="K300" s="210"/>
      <c r="L300" s="209"/>
      <c r="M300" s="210"/>
      <c r="N300" s="210"/>
      <c r="O300" s="210"/>
      <c r="P300" s="639"/>
      <c r="Q300" s="211"/>
    </row>
    <row r="301" spans="2:17">
      <c r="B301" s="207"/>
      <c r="C301" s="208"/>
      <c r="D301" s="209"/>
      <c r="E301" s="209"/>
      <c r="F301" s="210"/>
      <c r="G301" s="210"/>
      <c r="H301" s="210"/>
      <c r="I301" s="210"/>
      <c r="J301" s="208"/>
      <c r="K301" s="210"/>
      <c r="L301" s="209"/>
      <c r="M301" s="210"/>
      <c r="N301" s="210"/>
      <c r="O301" s="210"/>
      <c r="P301" s="639"/>
      <c r="Q301" s="211"/>
    </row>
    <row r="302" spans="2:17">
      <c r="B302" s="207"/>
      <c r="C302" s="208"/>
      <c r="D302" s="209"/>
      <c r="E302" s="209"/>
      <c r="F302" s="210"/>
      <c r="G302" s="210"/>
      <c r="H302" s="210"/>
      <c r="I302" s="210"/>
      <c r="J302" s="208"/>
      <c r="K302" s="210"/>
      <c r="L302" s="209"/>
      <c r="M302" s="210"/>
      <c r="N302" s="210"/>
      <c r="O302" s="210"/>
      <c r="P302" s="639"/>
      <c r="Q302" s="211"/>
    </row>
    <row r="303" spans="2:17">
      <c r="B303" s="207"/>
      <c r="C303" s="208"/>
      <c r="D303" s="209"/>
      <c r="E303" s="209"/>
      <c r="F303" s="210"/>
      <c r="G303" s="210"/>
      <c r="H303" s="210"/>
      <c r="I303" s="210"/>
      <c r="J303" s="208"/>
      <c r="K303" s="210"/>
      <c r="L303" s="209"/>
      <c r="M303" s="210"/>
      <c r="N303" s="210"/>
      <c r="O303" s="210"/>
      <c r="P303" s="639"/>
      <c r="Q303" s="211"/>
    </row>
    <row r="304" spans="2:17">
      <c r="B304" s="207"/>
      <c r="C304" s="208"/>
      <c r="D304" s="209"/>
      <c r="E304" s="209"/>
      <c r="F304" s="210"/>
      <c r="G304" s="210"/>
      <c r="H304" s="210"/>
      <c r="I304" s="210"/>
      <c r="J304" s="208"/>
      <c r="K304" s="210"/>
      <c r="L304" s="209"/>
      <c r="M304" s="210"/>
      <c r="N304" s="210"/>
      <c r="O304" s="210"/>
      <c r="P304" s="639"/>
      <c r="Q304" s="211"/>
    </row>
    <row r="305" spans="2:17">
      <c r="B305" s="207"/>
      <c r="C305" s="208"/>
      <c r="D305" s="209"/>
      <c r="E305" s="209"/>
      <c r="F305" s="210"/>
      <c r="G305" s="210"/>
      <c r="H305" s="210"/>
      <c r="I305" s="210"/>
      <c r="J305" s="208"/>
      <c r="K305" s="210"/>
      <c r="L305" s="209"/>
      <c r="M305" s="210"/>
      <c r="N305" s="210"/>
      <c r="O305" s="210"/>
      <c r="P305" s="639"/>
      <c r="Q305" s="211"/>
    </row>
    <row r="306" spans="2:17">
      <c r="B306" s="207"/>
      <c r="C306" s="208"/>
      <c r="D306" s="209"/>
      <c r="E306" s="209"/>
      <c r="F306" s="210"/>
      <c r="G306" s="210"/>
      <c r="H306" s="210"/>
      <c r="I306" s="210"/>
      <c r="J306" s="208"/>
      <c r="K306" s="210"/>
      <c r="L306" s="209"/>
      <c r="M306" s="210"/>
      <c r="N306" s="210"/>
      <c r="O306" s="210"/>
      <c r="P306" s="639"/>
      <c r="Q306" s="211"/>
    </row>
    <row r="307" spans="2:17">
      <c r="B307" s="207"/>
      <c r="C307" s="208"/>
      <c r="D307" s="209"/>
      <c r="E307" s="209"/>
      <c r="F307" s="210"/>
      <c r="G307" s="210"/>
      <c r="H307" s="210"/>
      <c r="I307" s="210"/>
      <c r="J307" s="208"/>
      <c r="K307" s="210"/>
      <c r="L307" s="209"/>
      <c r="M307" s="210"/>
      <c r="N307" s="210"/>
      <c r="O307" s="210"/>
      <c r="P307" s="639"/>
      <c r="Q307" s="211"/>
    </row>
    <row r="308" spans="2:17">
      <c r="B308" s="207"/>
      <c r="C308" s="208"/>
      <c r="D308" s="209"/>
      <c r="E308" s="209"/>
      <c r="F308" s="210"/>
      <c r="G308" s="210"/>
      <c r="H308" s="210"/>
      <c r="I308" s="210"/>
      <c r="J308" s="208"/>
      <c r="K308" s="210"/>
      <c r="L308" s="209"/>
      <c r="M308" s="210"/>
      <c r="N308" s="210"/>
      <c r="O308" s="210"/>
      <c r="P308" s="639"/>
      <c r="Q308" s="211"/>
    </row>
    <row r="309" spans="2:17">
      <c r="B309" s="207"/>
      <c r="C309" s="208"/>
      <c r="D309" s="209"/>
      <c r="E309" s="209"/>
      <c r="F309" s="210"/>
      <c r="G309" s="210"/>
      <c r="H309" s="210"/>
      <c r="I309" s="210"/>
      <c r="J309" s="208"/>
      <c r="K309" s="210"/>
      <c r="L309" s="209"/>
      <c r="M309" s="210"/>
      <c r="N309" s="210"/>
      <c r="O309" s="210"/>
      <c r="P309" s="639"/>
      <c r="Q309" s="211"/>
    </row>
    <row r="310" spans="2:17">
      <c r="B310" s="207"/>
      <c r="C310" s="208"/>
      <c r="D310" s="209"/>
      <c r="E310" s="209"/>
      <c r="F310" s="210"/>
      <c r="G310" s="210"/>
      <c r="H310" s="210"/>
      <c r="I310" s="210"/>
      <c r="J310" s="208"/>
      <c r="K310" s="210"/>
      <c r="L310" s="209"/>
      <c r="M310" s="210"/>
      <c r="N310" s="210"/>
      <c r="O310" s="210"/>
      <c r="P310" s="639"/>
      <c r="Q310" s="211"/>
    </row>
    <row r="311" spans="2:17">
      <c r="B311" s="207"/>
      <c r="C311" s="208"/>
      <c r="D311" s="209"/>
      <c r="E311" s="209"/>
      <c r="F311" s="210"/>
      <c r="G311" s="210"/>
      <c r="H311" s="210"/>
      <c r="I311" s="210"/>
      <c r="J311" s="208"/>
      <c r="K311" s="210"/>
      <c r="L311" s="209"/>
      <c r="M311" s="210"/>
      <c r="N311" s="210"/>
      <c r="O311" s="210"/>
      <c r="P311" s="639"/>
      <c r="Q311" s="211"/>
    </row>
    <row r="312" spans="2:17">
      <c r="B312" s="207"/>
      <c r="C312" s="208"/>
      <c r="D312" s="209"/>
      <c r="E312" s="209"/>
      <c r="F312" s="210"/>
      <c r="G312" s="210"/>
      <c r="H312" s="210"/>
      <c r="I312" s="210"/>
      <c r="J312" s="208"/>
      <c r="K312" s="210"/>
      <c r="L312" s="209"/>
      <c r="M312" s="210"/>
      <c r="N312" s="210"/>
      <c r="O312" s="210"/>
      <c r="P312" s="639"/>
      <c r="Q312" s="211"/>
    </row>
    <row r="313" spans="2:17">
      <c r="B313" s="207"/>
      <c r="C313" s="208"/>
      <c r="D313" s="209"/>
      <c r="E313" s="209"/>
      <c r="F313" s="210"/>
      <c r="G313" s="210"/>
      <c r="H313" s="210"/>
      <c r="I313" s="210"/>
      <c r="J313" s="208"/>
      <c r="K313" s="210"/>
      <c r="L313" s="209"/>
      <c r="M313" s="210"/>
      <c r="N313" s="210"/>
      <c r="O313" s="210"/>
      <c r="P313" s="639"/>
      <c r="Q313" s="211"/>
    </row>
    <row r="314" spans="2:17">
      <c r="B314" s="207"/>
      <c r="C314" s="208"/>
      <c r="D314" s="209"/>
      <c r="E314" s="209"/>
      <c r="F314" s="210"/>
      <c r="G314" s="210"/>
      <c r="H314" s="210"/>
      <c r="I314" s="210"/>
      <c r="J314" s="208"/>
      <c r="K314" s="210"/>
      <c r="L314" s="209"/>
      <c r="M314" s="210"/>
      <c r="N314" s="210"/>
      <c r="O314" s="210"/>
      <c r="P314" s="639"/>
      <c r="Q314" s="211"/>
    </row>
    <row r="315" spans="2:17">
      <c r="B315" s="207"/>
      <c r="C315" s="208"/>
      <c r="D315" s="209"/>
      <c r="E315" s="209"/>
      <c r="F315" s="210"/>
      <c r="G315" s="210"/>
      <c r="H315" s="210"/>
      <c r="I315" s="210"/>
      <c r="J315" s="208"/>
      <c r="K315" s="210"/>
      <c r="L315" s="209"/>
      <c r="M315" s="210"/>
      <c r="N315" s="210"/>
      <c r="O315" s="210"/>
      <c r="P315" s="639"/>
      <c r="Q315" s="211"/>
    </row>
    <row r="316" spans="2:17">
      <c r="B316" s="207"/>
      <c r="C316" s="208"/>
      <c r="D316" s="209"/>
      <c r="E316" s="209"/>
      <c r="F316" s="210"/>
      <c r="G316" s="210"/>
      <c r="H316" s="210"/>
      <c r="I316" s="210"/>
      <c r="J316" s="208"/>
      <c r="K316" s="210"/>
      <c r="L316" s="209"/>
      <c r="M316" s="210"/>
      <c r="N316" s="210"/>
      <c r="O316" s="210"/>
      <c r="P316" s="639"/>
      <c r="Q316" s="211"/>
    </row>
    <row r="317" spans="2:17">
      <c r="B317" s="207"/>
      <c r="C317" s="208"/>
      <c r="D317" s="209"/>
      <c r="E317" s="209"/>
      <c r="F317" s="210"/>
      <c r="G317" s="210"/>
      <c r="H317" s="210"/>
      <c r="I317" s="210"/>
      <c r="J317" s="208"/>
      <c r="K317" s="210"/>
      <c r="L317" s="209"/>
      <c r="M317" s="210"/>
      <c r="N317" s="210"/>
      <c r="O317" s="210"/>
      <c r="P317" s="639"/>
      <c r="Q317" s="211"/>
    </row>
    <row r="318" spans="2:17">
      <c r="B318" s="207"/>
      <c r="C318" s="208"/>
      <c r="D318" s="209"/>
      <c r="E318" s="209"/>
      <c r="F318" s="210"/>
      <c r="G318" s="210"/>
      <c r="H318" s="210"/>
      <c r="I318" s="210"/>
      <c r="J318" s="208"/>
      <c r="K318" s="210"/>
      <c r="L318" s="209"/>
      <c r="M318" s="210"/>
      <c r="N318" s="210"/>
      <c r="O318" s="210"/>
      <c r="P318" s="639"/>
      <c r="Q318" s="211"/>
    </row>
    <row r="319" spans="2:17">
      <c r="B319" s="207"/>
      <c r="C319" s="208"/>
      <c r="D319" s="209"/>
      <c r="E319" s="209"/>
      <c r="F319" s="210"/>
      <c r="G319" s="210"/>
      <c r="H319" s="210"/>
      <c r="I319" s="210"/>
      <c r="J319" s="208"/>
      <c r="K319" s="210"/>
      <c r="L319" s="209"/>
      <c r="M319" s="210"/>
      <c r="N319" s="210"/>
      <c r="O319" s="210"/>
      <c r="P319" s="639"/>
      <c r="Q319" s="211"/>
    </row>
    <row r="320" spans="2:17">
      <c r="B320" s="207"/>
      <c r="C320" s="208"/>
      <c r="D320" s="209"/>
      <c r="E320" s="209"/>
      <c r="F320" s="210"/>
      <c r="G320" s="210"/>
      <c r="H320" s="210"/>
      <c r="I320" s="210"/>
      <c r="J320" s="208"/>
      <c r="K320" s="210"/>
      <c r="L320" s="209"/>
      <c r="M320" s="210"/>
      <c r="N320" s="210"/>
      <c r="O320" s="210"/>
      <c r="P320" s="639"/>
      <c r="Q320" s="211"/>
    </row>
    <row r="321" spans="2:17">
      <c r="B321" s="207"/>
      <c r="C321" s="208"/>
      <c r="D321" s="209"/>
      <c r="E321" s="209"/>
      <c r="F321" s="210"/>
      <c r="G321" s="210"/>
      <c r="H321" s="210"/>
      <c r="I321" s="210"/>
      <c r="J321" s="208"/>
      <c r="K321" s="210"/>
      <c r="L321" s="209"/>
      <c r="M321" s="210"/>
      <c r="N321" s="210"/>
      <c r="O321" s="210"/>
      <c r="P321" s="639"/>
      <c r="Q321" s="211"/>
    </row>
    <row r="322" spans="2:17">
      <c r="B322" s="207"/>
      <c r="C322" s="208"/>
      <c r="D322" s="209"/>
      <c r="E322" s="209"/>
      <c r="F322" s="210"/>
      <c r="G322" s="210"/>
      <c r="H322" s="210"/>
      <c r="I322" s="210"/>
      <c r="J322" s="208"/>
      <c r="K322" s="210"/>
      <c r="L322" s="209"/>
      <c r="M322" s="210"/>
      <c r="N322" s="210"/>
      <c r="O322" s="210"/>
      <c r="P322" s="639"/>
      <c r="Q322" s="211"/>
    </row>
    <row r="323" spans="2:17">
      <c r="B323" s="207"/>
      <c r="C323" s="208"/>
      <c r="D323" s="209"/>
      <c r="E323" s="209"/>
      <c r="F323" s="210"/>
      <c r="G323" s="210"/>
      <c r="H323" s="210"/>
      <c r="I323" s="210"/>
      <c r="J323" s="208"/>
      <c r="K323" s="210"/>
      <c r="L323" s="209"/>
      <c r="M323" s="210"/>
      <c r="N323" s="210"/>
      <c r="O323" s="210"/>
      <c r="P323" s="639"/>
      <c r="Q323" s="211"/>
    </row>
    <row r="324" spans="2:17">
      <c r="B324" s="207"/>
      <c r="C324" s="208"/>
      <c r="D324" s="209"/>
      <c r="E324" s="209"/>
      <c r="F324" s="210"/>
      <c r="G324" s="210"/>
      <c r="H324" s="210"/>
      <c r="I324" s="210"/>
      <c r="J324" s="208"/>
      <c r="K324" s="210"/>
      <c r="L324" s="209"/>
      <c r="M324" s="210"/>
      <c r="N324" s="210"/>
      <c r="O324" s="210"/>
      <c r="P324" s="639"/>
      <c r="Q324" s="211"/>
    </row>
    <row r="325" spans="2:17">
      <c r="B325" s="207"/>
      <c r="C325" s="208"/>
      <c r="D325" s="209"/>
      <c r="E325" s="209"/>
      <c r="F325" s="210"/>
      <c r="G325" s="210"/>
      <c r="H325" s="210"/>
      <c r="I325" s="210"/>
      <c r="J325" s="208"/>
      <c r="K325" s="210"/>
      <c r="L325" s="209"/>
      <c r="M325" s="210"/>
      <c r="N325" s="210"/>
      <c r="O325" s="210"/>
      <c r="P325" s="639"/>
      <c r="Q325" s="211"/>
    </row>
    <row r="326" spans="2:17">
      <c r="B326" s="207"/>
      <c r="C326" s="208"/>
      <c r="D326" s="209"/>
      <c r="E326" s="209"/>
      <c r="F326" s="210"/>
      <c r="G326" s="210"/>
      <c r="H326" s="210"/>
      <c r="I326" s="210"/>
      <c r="J326" s="208"/>
      <c r="K326" s="210"/>
      <c r="L326" s="209"/>
      <c r="M326" s="210"/>
      <c r="N326" s="210"/>
      <c r="O326" s="210"/>
      <c r="P326" s="639"/>
      <c r="Q326" s="211"/>
    </row>
    <row r="327" spans="2:17">
      <c r="B327" s="207"/>
      <c r="C327" s="208"/>
      <c r="D327" s="209"/>
      <c r="E327" s="209"/>
      <c r="F327" s="210"/>
      <c r="G327" s="210"/>
      <c r="H327" s="210"/>
      <c r="I327" s="210"/>
      <c r="J327" s="208"/>
      <c r="K327" s="210"/>
      <c r="L327" s="209"/>
      <c r="M327" s="210"/>
      <c r="N327" s="210"/>
      <c r="O327" s="210"/>
      <c r="P327" s="639"/>
      <c r="Q327" s="211"/>
    </row>
    <row r="328" spans="2:17">
      <c r="B328" s="207"/>
      <c r="C328" s="208"/>
      <c r="D328" s="209"/>
      <c r="E328" s="209"/>
      <c r="F328" s="210"/>
      <c r="G328" s="210"/>
      <c r="H328" s="210"/>
      <c r="I328" s="210"/>
      <c r="J328" s="208"/>
      <c r="K328" s="210"/>
      <c r="L328" s="209"/>
      <c r="M328" s="210"/>
      <c r="N328" s="210"/>
      <c r="O328" s="210"/>
      <c r="P328" s="639"/>
      <c r="Q328" s="211"/>
    </row>
    <row r="329" spans="2:17">
      <c r="B329" s="207"/>
      <c r="C329" s="208"/>
      <c r="D329" s="209"/>
      <c r="E329" s="209"/>
      <c r="F329" s="210"/>
      <c r="G329" s="210"/>
      <c r="H329" s="210"/>
      <c r="I329" s="210"/>
      <c r="J329" s="208"/>
      <c r="K329" s="210"/>
      <c r="L329" s="209"/>
      <c r="M329" s="210"/>
      <c r="N329" s="210"/>
      <c r="O329" s="210"/>
      <c r="P329" s="639"/>
      <c r="Q329" s="211"/>
    </row>
    <row r="330" spans="2:17">
      <c r="B330" s="207"/>
      <c r="C330" s="208"/>
      <c r="D330" s="209"/>
      <c r="E330" s="209"/>
      <c r="F330" s="210"/>
      <c r="G330" s="210"/>
      <c r="H330" s="210"/>
      <c r="I330" s="210"/>
      <c r="J330" s="208"/>
      <c r="K330" s="210"/>
      <c r="L330" s="209"/>
      <c r="M330" s="210"/>
      <c r="N330" s="210"/>
      <c r="O330" s="210"/>
      <c r="P330" s="639"/>
      <c r="Q330" s="211"/>
    </row>
    <row r="331" spans="2:17">
      <c r="B331" s="207"/>
      <c r="C331" s="208"/>
      <c r="D331" s="209"/>
      <c r="E331" s="209"/>
      <c r="F331" s="210"/>
      <c r="G331" s="210"/>
      <c r="H331" s="210"/>
      <c r="I331" s="210"/>
      <c r="J331" s="208"/>
      <c r="K331" s="210"/>
      <c r="L331" s="209"/>
      <c r="M331" s="210"/>
      <c r="N331" s="210"/>
      <c r="O331" s="210"/>
      <c r="P331" s="639"/>
      <c r="Q331" s="211"/>
    </row>
    <row r="332" spans="2:17">
      <c r="B332" s="207"/>
      <c r="C332" s="208"/>
      <c r="D332" s="209"/>
      <c r="E332" s="209"/>
      <c r="F332" s="210"/>
      <c r="G332" s="210"/>
      <c r="H332" s="210"/>
      <c r="I332" s="210"/>
      <c r="J332" s="208"/>
      <c r="K332" s="210"/>
      <c r="L332" s="209"/>
      <c r="M332" s="210"/>
      <c r="N332" s="210"/>
      <c r="O332" s="210"/>
      <c r="P332" s="639"/>
      <c r="Q332" s="211"/>
    </row>
    <row r="333" spans="2:17">
      <c r="B333" s="207"/>
      <c r="C333" s="208"/>
      <c r="D333" s="209"/>
      <c r="E333" s="209"/>
      <c r="F333" s="210"/>
      <c r="G333" s="210"/>
      <c r="H333" s="210"/>
      <c r="I333" s="210"/>
      <c r="J333" s="208"/>
      <c r="K333" s="210"/>
      <c r="L333" s="209"/>
      <c r="M333" s="210"/>
      <c r="N333" s="210"/>
      <c r="O333" s="210"/>
      <c r="P333" s="639"/>
      <c r="Q333" s="211"/>
    </row>
    <row r="334" spans="2:17">
      <c r="B334" s="207"/>
      <c r="C334" s="208"/>
      <c r="D334" s="209"/>
      <c r="E334" s="209"/>
      <c r="F334" s="210"/>
      <c r="G334" s="210"/>
      <c r="H334" s="210"/>
      <c r="I334" s="210"/>
      <c r="J334" s="208"/>
      <c r="K334" s="210"/>
      <c r="L334" s="209"/>
      <c r="M334" s="210"/>
      <c r="N334" s="210"/>
      <c r="O334" s="210"/>
      <c r="P334" s="639"/>
      <c r="Q334" s="211"/>
    </row>
    <row r="335" spans="2:17">
      <c r="B335" s="207"/>
      <c r="C335" s="208"/>
      <c r="D335" s="209"/>
      <c r="E335" s="209"/>
      <c r="F335" s="210"/>
      <c r="G335" s="210"/>
      <c r="H335" s="210"/>
      <c r="I335" s="210"/>
      <c r="J335" s="208"/>
      <c r="K335" s="210"/>
      <c r="L335" s="209"/>
      <c r="M335" s="210"/>
      <c r="N335" s="210"/>
      <c r="O335" s="210"/>
      <c r="P335" s="639"/>
      <c r="Q335" s="211"/>
    </row>
    <row r="336" spans="2:17">
      <c r="B336" s="207"/>
      <c r="C336" s="208"/>
      <c r="D336" s="209"/>
      <c r="E336" s="209"/>
      <c r="F336" s="210"/>
      <c r="G336" s="210"/>
      <c r="H336" s="210"/>
      <c r="I336" s="210"/>
      <c r="J336" s="208"/>
      <c r="K336" s="210"/>
      <c r="L336" s="209"/>
      <c r="M336" s="210"/>
      <c r="N336" s="210"/>
      <c r="O336" s="210"/>
      <c r="P336" s="639"/>
      <c r="Q336" s="211"/>
    </row>
    <row r="337" spans="2:17">
      <c r="B337" s="207"/>
      <c r="C337" s="208"/>
      <c r="D337" s="209"/>
      <c r="E337" s="209"/>
      <c r="F337" s="210"/>
      <c r="G337" s="210"/>
      <c r="H337" s="210"/>
      <c r="I337" s="210"/>
      <c r="J337" s="208"/>
      <c r="K337" s="210"/>
      <c r="L337" s="209"/>
      <c r="M337" s="210"/>
      <c r="N337" s="210"/>
      <c r="O337" s="210"/>
      <c r="P337" s="639"/>
      <c r="Q337" s="211"/>
    </row>
    <row r="338" spans="2:17">
      <c r="B338" s="207"/>
      <c r="C338" s="208"/>
      <c r="D338" s="209"/>
      <c r="E338" s="209"/>
      <c r="F338" s="210"/>
      <c r="G338" s="210"/>
      <c r="H338" s="210"/>
      <c r="I338" s="210"/>
      <c r="J338" s="208"/>
      <c r="K338" s="210"/>
      <c r="L338" s="209"/>
      <c r="M338" s="210"/>
      <c r="N338" s="210"/>
      <c r="O338" s="210"/>
      <c r="P338" s="639"/>
      <c r="Q338" s="211"/>
    </row>
    <row r="339" spans="2:17">
      <c r="B339" s="207"/>
      <c r="C339" s="208"/>
      <c r="D339" s="209"/>
      <c r="E339" s="209"/>
      <c r="F339" s="210"/>
      <c r="G339" s="210"/>
      <c r="H339" s="210"/>
      <c r="I339" s="210"/>
      <c r="J339" s="208"/>
      <c r="K339" s="210"/>
      <c r="L339" s="209"/>
      <c r="M339" s="210"/>
      <c r="N339" s="210"/>
      <c r="O339" s="210"/>
      <c r="P339" s="639"/>
      <c r="Q339" s="211"/>
    </row>
    <row r="340" spans="2:17">
      <c r="B340" s="207"/>
      <c r="C340" s="208"/>
      <c r="D340" s="209"/>
      <c r="E340" s="209"/>
      <c r="F340" s="210"/>
      <c r="G340" s="210"/>
      <c r="H340" s="210"/>
      <c r="I340" s="210"/>
      <c r="J340" s="208"/>
      <c r="K340" s="210"/>
      <c r="L340" s="209"/>
      <c r="M340" s="210"/>
      <c r="N340" s="210"/>
      <c r="O340" s="210"/>
      <c r="P340" s="639"/>
      <c r="Q340" s="211"/>
    </row>
    <row r="341" spans="2:17">
      <c r="B341" s="207"/>
      <c r="C341" s="208"/>
      <c r="D341" s="209"/>
      <c r="E341" s="209"/>
      <c r="F341" s="210"/>
      <c r="G341" s="210"/>
      <c r="H341" s="210"/>
      <c r="I341" s="210"/>
      <c r="J341" s="208"/>
      <c r="K341" s="210"/>
      <c r="L341" s="209"/>
      <c r="M341" s="210"/>
      <c r="N341" s="210"/>
      <c r="O341" s="210"/>
      <c r="P341" s="639"/>
      <c r="Q341" s="211"/>
    </row>
    <row r="342" spans="2:17">
      <c r="B342" s="207"/>
      <c r="C342" s="208"/>
      <c r="D342" s="209"/>
      <c r="E342" s="209"/>
      <c r="F342" s="210"/>
      <c r="G342" s="210"/>
      <c r="H342" s="210"/>
      <c r="I342" s="210"/>
      <c r="J342" s="208"/>
      <c r="K342" s="210"/>
      <c r="L342" s="209"/>
      <c r="M342" s="210"/>
      <c r="N342" s="210"/>
      <c r="O342" s="210"/>
      <c r="P342" s="639"/>
      <c r="Q342" s="211"/>
    </row>
    <row r="343" spans="2:17">
      <c r="B343" s="207"/>
      <c r="C343" s="208"/>
      <c r="D343" s="209"/>
      <c r="E343" s="209"/>
      <c r="F343" s="210"/>
      <c r="G343" s="210"/>
      <c r="H343" s="210"/>
      <c r="I343" s="210"/>
      <c r="J343" s="208"/>
      <c r="K343" s="210"/>
      <c r="L343" s="209"/>
      <c r="M343" s="210"/>
      <c r="N343" s="210"/>
      <c r="O343" s="210"/>
      <c r="P343" s="639"/>
      <c r="Q343" s="211"/>
    </row>
    <row r="344" spans="2:17">
      <c r="B344" s="207"/>
      <c r="C344" s="208"/>
      <c r="D344" s="209"/>
      <c r="E344" s="209"/>
      <c r="F344" s="210"/>
      <c r="G344" s="210"/>
      <c r="H344" s="210"/>
      <c r="I344" s="210"/>
      <c r="J344" s="208"/>
      <c r="K344" s="210"/>
      <c r="L344" s="209"/>
      <c r="M344" s="210"/>
      <c r="N344" s="210"/>
      <c r="O344" s="210"/>
      <c r="P344" s="639"/>
      <c r="Q344" s="211"/>
    </row>
    <row r="345" spans="2:17">
      <c r="B345" s="207"/>
      <c r="C345" s="208"/>
      <c r="D345" s="209"/>
      <c r="E345" s="209"/>
      <c r="F345" s="210"/>
      <c r="G345" s="210"/>
      <c r="H345" s="210"/>
      <c r="I345" s="210"/>
      <c r="J345" s="208"/>
      <c r="K345" s="210"/>
      <c r="L345" s="209"/>
      <c r="M345" s="210"/>
      <c r="N345" s="210"/>
      <c r="O345" s="210"/>
      <c r="P345" s="639"/>
      <c r="Q345" s="211"/>
    </row>
    <row r="346" spans="2:17">
      <c r="B346" s="207"/>
      <c r="C346" s="208"/>
      <c r="D346" s="209"/>
      <c r="E346" s="209"/>
      <c r="F346" s="210"/>
      <c r="G346" s="210"/>
      <c r="H346" s="210"/>
      <c r="I346" s="210"/>
      <c r="J346" s="208"/>
      <c r="K346" s="210"/>
      <c r="L346" s="209"/>
      <c r="M346" s="210"/>
      <c r="N346" s="210"/>
      <c r="O346" s="210"/>
      <c r="P346" s="639"/>
      <c r="Q346" s="211"/>
    </row>
    <row r="347" spans="2:17">
      <c r="B347" s="207"/>
      <c r="C347" s="208"/>
      <c r="D347" s="209"/>
      <c r="E347" s="209"/>
      <c r="F347" s="210"/>
      <c r="G347" s="210"/>
      <c r="H347" s="210"/>
      <c r="I347" s="210"/>
      <c r="J347" s="208"/>
      <c r="K347" s="210"/>
      <c r="L347" s="209"/>
      <c r="M347" s="210"/>
      <c r="N347" s="210"/>
      <c r="O347" s="210"/>
      <c r="P347" s="639"/>
      <c r="Q347" s="211"/>
    </row>
    <row r="348" spans="2:17">
      <c r="B348" s="207"/>
      <c r="C348" s="208"/>
      <c r="D348" s="209"/>
      <c r="E348" s="209"/>
      <c r="F348" s="210"/>
      <c r="G348" s="210"/>
      <c r="H348" s="210"/>
      <c r="I348" s="210"/>
      <c r="J348" s="208"/>
      <c r="K348" s="210"/>
      <c r="L348" s="209"/>
      <c r="M348" s="210"/>
      <c r="N348" s="210"/>
      <c r="O348" s="210"/>
      <c r="P348" s="639"/>
      <c r="Q348" s="211"/>
    </row>
    <row r="349" spans="2:17">
      <c r="B349" s="207"/>
      <c r="C349" s="208"/>
      <c r="D349" s="209"/>
      <c r="E349" s="209"/>
      <c r="F349" s="210"/>
      <c r="G349" s="210"/>
      <c r="H349" s="210"/>
      <c r="I349" s="210"/>
      <c r="J349" s="208"/>
      <c r="K349" s="210"/>
      <c r="L349" s="209"/>
      <c r="M349" s="210"/>
      <c r="N349" s="210"/>
      <c r="O349" s="210"/>
      <c r="P349" s="639"/>
      <c r="Q349" s="211"/>
    </row>
    <row r="350" spans="2:17">
      <c r="B350" s="207"/>
      <c r="C350" s="208"/>
      <c r="D350" s="209"/>
      <c r="E350" s="209"/>
      <c r="F350" s="210"/>
      <c r="G350" s="210"/>
      <c r="H350" s="210"/>
      <c r="I350" s="210"/>
      <c r="J350" s="208"/>
      <c r="K350" s="210"/>
      <c r="L350" s="209"/>
      <c r="M350" s="210"/>
      <c r="N350" s="210"/>
      <c r="O350" s="210"/>
      <c r="P350" s="639"/>
      <c r="Q350" s="211"/>
    </row>
    <row r="351" spans="2:17">
      <c r="B351" s="207"/>
      <c r="C351" s="208"/>
      <c r="D351" s="209"/>
      <c r="E351" s="209"/>
      <c r="F351" s="210"/>
      <c r="G351" s="210"/>
      <c r="H351" s="210"/>
      <c r="I351" s="210"/>
      <c r="J351" s="208"/>
      <c r="K351" s="210"/>
      <c r="L351" s="209"/>
      <c r="M351" s="210"/>
      <c r="N351" s="210"/>
      <c r="O351" s="210"/>
      <c r="P351" s="639"/>
      <c r="Q351" s="211"/>
    </row>
    <row r="352" spans="2:17">
      <c r="B352" s="207"/>
      <c r="C352" s="208"/>
      <c r="D352" s="209"/>
      <c r="E352" s="209"/>
      <c r="F352" s="210"/>
      <c r="G352" s="210"/>
      <c r="H352" s="210"/>
      <c r="I352" s="210"/>
      <c r="J352" s="208"/>
      <c r="K352" s="210"/>
      <c r="L352" s="209"/>
      <c r="M352" s="210"/>
      <c r="N352" s="210"/>
      <c r="O352" s="210"/>
      <c r="P352" s="639"/>
      <c r="Q352" s="211"/>
    </row>
    <row r="353" spans="2:17">
      <c r="B353" s="207"/>
      <c r="C353" s="208"/>
      <c r="D353" s="209"/>
      <c r="E353" s="209"/>
      <c r="F353" s="210"/>
      <c r="G353" s="210"/>
      <c r="H353" s="210"/>
      <c r="I353" s="210"/>
      <c r="J353" s="208"/>
      <c r="K353" s="210"/>
      <c r="L353" s="209"/>
      <c r="M353" s="210"/>
      <c r="N353" s="210"/>
      <c r="O353" s="210"/>
      <c r="P353" s="639"/>
      <c r="Q353" s="211"/>
    </row>
    <row r="354" spans="2:17">
      <c r="B354" s="207"/>
      <c r="C354" s="208"/>
      <c r="D354" s="209"/>
      <c r="E354" s="209"/>
      <c r="F354" s="210"/>
      <c r="G354" s="210"/>
      <c r="H354" s="210"/>
      <c r="I354" s="210"/>
      <c r="J354" s="208"/>
      <c r="K354" s="210"/>
      <c r="L354" s="209"/>
      <c r="M354" s="210"/>
      <c r="N354" s="210"/>
      <c r="O354" s="210"/>
      <c r="P354" s="639"/>
      <c r="Q354" s="211"/>
    </row>
    <row r="355" spans="2:17">
      <c r="B355" s="207"/>
      <c r="C355" s="208"/>
      <c r="D355" s="209"/>
      <c r="E355" s="209"/>
      <c r="F355" s="210"/>
      <c r="G355" s="210"/>
      <c r="H355" s="210"/>
      <c r="I355" s="210"/>
      <c r="J355" s="208"/>
      <c r="K355" s="210"/>
      <c r="L355" s="209"/>
      <c r="M355" s="210"/>
      <c r="N355" s="210"/>
      <c r="O355" s="210"/>
      <c r="P355" s="639"/>
      <c r="Q355" s="211"/>
    </row>
    <row r="356" spans="2:17">
      <c r="B356" s="207"/>
      <c r="C356" s="208"/>
      <c r="D356" s="209"/>
      <c r="E356" s="209"/>
      <c r="F356" s="210"/>
      <c r="G356" s="210"/>
      <c r="H356" s="210"/>
      <c r="I356" s="210"/>
      <c r="J356" s="208"/>
      <c r="K356" s="210"/>
      <c r="L356" s="209"/>
      <c r="M356" s="210"/>
      <c r="N356" s="210"/>
      <c r="O356" s="210"/>
      <c r="P356" s="639"/>
      <c r="Q356" s="211"/>
    </row>
    <row r="357" spans="2:17">
      <c r="B357" s="207"/>
      <c r="C357" s="208"/>
      <c r="D357" s="209"/>
      <c r="E357" s="209"/>
      <c r="F357" s="210"/>
      <c r="G357" s="210"/>
      <c r="H357" s="210"/>
      <c r="I357" s="210"/>
      <c r="J357" s="208"/>
      <c r="K357" s="210"/>
      <c r="L357" s="209"/>
      <c r="M357" s="210"/>
      <c r="N357" s="210"/>
      <c r="O357" s="210"/>
      <c r="P357" s="639"/>
      <c r="Q357" s="211"/>
    </row>
    <row r="358" spans="2:17">
      <c r="B358" s="207"/>
      <c r="C358" s="208"/>
      <c r="D358" s="209"/>
      <c r="E358" s="209"/>
      <c r="F358" s="210"/>
      <c r="G358" s="210"/>
      <c r="H358" s="210"/>
      <c r="I358" s="210"/>
      <c r="J358" s="208"/>
      <c r="K358" s="210"/>
      <c r="L358" s="209"/>
      <c r="M358" s="210"/>
      <c r="N358" s="210"/>
      <c r="O358" s="210"/>
      <c r="P358" s="639"/>
      <c r="Q358" s="211"/>
    </row>
    <row r="359" spans="2:17">
      <c r="B359" s="207"/>
      <c r="C359" s="208"/>
      <c r="D359" s="209"/>
      <c r="E359" s="209"/>
      <c r="F359" s="210"/>
      <c r="G359" s="210"/>
      <c r="H359" s="210"/>
      <c r="I359" s="210"/>
      <c r="J359" s="208"/>
      <c r="K359" s="210"/>
      <c r="L359" s="209"/>
      <c r="M359" s="210"/>
      <c r="N359" s="210"/>
      <c r="O359" s="210"/>
      <c r="P359" s="639"/>
      <c r="Q359" s="211"/>
    </row>
    <row r="360" spans="2:17">
      <c r="B360" s="207"/>
      <c r="C360" s="208"/>
      <c r="D360" s="209"/>
      <c r="E360" s="209"/>
      <c r="F360" s="210"/>
      <c r="G360" s="210"/>
      <c r="H360" s="210"/>
      <c r="I360" s="210"/>
      <c r="J360" s="208"/>
      <c r="K360" s="210"/>
      <c r="L360" s="209"/>
      <c r="M360" s="210"/>
      <c r="N360" s="210"/>
      <c r="O360" s="210"/>
      <c r="P360" s="639"/>
      <c r="Q360" s="211"/>
    </row>
    <row r="361" spans="2:17">
      <c r="B361" s="207"/>
      <c r="C361" s="208"/>
      <c r="D361" s="209"/>
      <c r="E361" s="209"/>
      <c r="F361" s="210"/>
      <c r="G361" s="210"/>
      <c r="H361" s="210"/>
      <c r="I361" s="210"/>
      <c r="J361" s="208"/>
      <c r="K361" s="210"/>
      <c r="L361" s="209"/>
      <c r="M361" s="210"/>
      <c r="N361" s="210"/>
      <c r="O361" s="210"/>
      <c r="P361" s="639"/>
      <c r="Q361" s="211"/>
    </row>
    <row r="362" spans="2:17">
      <c r="B362" s="207"/>
      <c r="C362" s="208"/>
      <c r="D362" s="209"/>
      <c r="E362" s="209"/>
      <c r="F362" s="210"/>
      <c r="G362" s="210"/>
      <c r="H362" s="210"/>
      <c r="I362" s="210"/>
      <c r="J362" s="208"/>
      <c r="K362" s="210"/>
      <c r="L362" s="209"/>
      <c r="M362" s="210"/>
      <c r="N362" s="210"/>
      <c r="O362" s="210"/>
      <c r="P362" s="639"/>
      <c r="Q362" s="211"/>
    </row>
    <row r="363" spans="2:17">
      <c r="B363" s="207"/>
      <c r="C363" s="208"/>
      <c r="D363" s="209"/>
      <c r="E363" s="209"/>
      <c r="F363" s="210"/>
      <c r="G363" s="210"/>
      <c r="H363" s="210"/>
      <c r="I363" s="210"/>
      <c r="J363" s="208"/>
      <c r="K363" s="210"/>
      <c r="L363" s="209"/>
      <c r="M363" s="210"/>
      <c r="N363" s="210"/>
      <c r="O363" s="210"/>
      <c r="P363" s="639"/>
      <c r="Q363" s="211"/>
    </row>
    <row r="364" spans="2:17">
      <c r="B364" s="207"/>
      <c r="C364" s="208"/>
      <c r="D364" s="209"/>
      <c r="E364" s="209"/>
      <c r="F364" s="210"/>
      <c r="G364" s="210"/>
      <c r="H364" s="210"/>
      <c r="I364" s="210"/>
      <c r="J364" s="208"/>
      <c r="K364" s="210"/>
      <c r="L364" s="209"/>
      <c r="M364" s="210"/>
      <c r="N364" s="210"/>
      <c r="O364" s="210"/>
      <c r="P364" s="639"/>
      <c r="Q364" s="211"/>
    </row>
    <row r="365" spans="2:17">
      <c r="B365" s="207"/>
      <c r="C365" s="208"/>
      <c r="D365" s="209"/>
      <c r="E365" s="209"/>
      <c r="F365" s="210"/>
      <c r="G365" s="210"/>
      <c r="H365" s="210"/>
      <c r="I365" s="210"/>
      <c r="J365" s="208"/>
      <c r="K365" s="210"/>
      <c r="L365" s="209"/>
      <c r="M365" s="210"/>
      <c r="N365" s="210"/>
      <c r="O365" s="210"/>
      <c r="P365" s="639"/>
      <c r="Q365" s="211"/>
    </row>
    <row r="366" spans="2:17">
      <c r="B366" s="207"/>
      <c r="C366" s="208"/>
      <c r="D366" s="209"/>
      <c r="E366" s="209"/>
      <c r="F366" s="210"/>
      <c r="G366" s="210"/>
      <c r="H366" s="210"/>
      <c r="I366" s="210"/>
      <c r="J366" s="208"/>
      <c r="K366" s="210"/>
      <c r="L366" s="209"/>
      <c r="M366" s="210"/>
      <c r="N366" s="210"/>
      <c r="O366" s="210"/>
      <c r="P366" s="639"/>
      <c r="Q366" s="211"/>
    </row>
    <row r="367" spans="2:17">
      <c r="B367" s="207"/>
      <c r="C367" s="208"/>
      <c r="D367" s="209"/>
      <c r="E367" s="209"/>
      <c r="F367" s="210"/>
      <c r="G367" s="210"/>
      <c r="H367" s="210"/>
      <c r="I367" s="210"/>
      <c r="J367" s="208"/>
      <c r="K367" s="210"/>
      <c r="L367" s="209"/>
      <c r="M367" s="210"/>
      <c r="N367" s="210"/>
      <c r="O367" s="210"/>
      <c r="P367" s="639"/>
      <c r="Q367" s="211"/>
    </row>
    <row r="368" spans="2:17">
      <c r="B368" s="207"/>
      <c r="C368" s="208"/>
      <c r="D368" s="209"/>
      <c r="E368" s="209"/>
      <c r="F368" s="210"/>
      <c r="G368" s="210"/>
      <c r="H368" s="210"/>
      <c r="I368" s="210"/>
      <c r="J368" s="208"/>
      <c r="K368" s="210"/>
      <c r="L368" s="209"/>
      <c r="M368" s="210"/>
      <c r="N368" s="210"/>
      <c r="O368" s="210"/>
      <c r="P368" s="639"/>
      <c r="Q368" s="211"/>
    </row>
    <row r="369" spans="2:17">
      <c r="B369" s="207"/>
      <c r="C369" s="208"/>
      <c r="D369" s="209"/>
      <c r="E369" s="209"/>
      <c r="F369" s="210"/>
      <c r="G369" s="210"/>
      <c r="H369" s="210"/>
      <c r="I369" s="210"/>
      <c r="J369" s="208"/>
      <c r="K369" s="210"/>
      <c r="L369" s="209"/>
      <c r="M369" s="210"/>
      <c r="N369" s="210"/>
      <c r="O369" s="210"/>
      <c r="P369" s="639"/>
      <c r="Q369" s="211"/>
    </row>
    <row r="370" spans="2:17">
      <c r="B370" s="207"/>
      <c r="C370" s="208"/>
      <c r="D370" s="209"/>
      <c r="E370" s="209"/>
      <c r="F370" s="210"/>
      <c r="G370" s="210"/>
      <c r="H370" s="210"/>
      <c r="I370" s="210"/>
      <c r="J370" s="208"/>
      <c r="K370" s="210"/>
      <c r="L370" s="209"/>
      <c r="M370" s="210"/>
      <c r="N370" s="210"/>
      <c r="O370" s="210"/>
      <c r="P370" s="639"/>
      <c r="Q370" s="211"/>
    </row>
    <row r="371" spans="2:17">
      <c r="B371" s="207"/>
      <c r="C371" s="208"/>
      <c r="D371" s="209"/>
      <c r="E371" s="209"/>
      <c r="F371" s="210"/>
      <c r="G371" s="210"/>
      <c r="H371" s="210"/>
      <c r="I371" s="210"/>
      <c r="J371" s="208"/>
      <c r="K371" s="210"/>
      <c r="L371" s="209"/>
      <c r="M371" s="210"/>
      <c r="N371" s="210"/>
      <c r="O371" s="210"/>
      <c r="P371" s="639"/>
      <c r="Q371" s="211"/>
    </row>
    <row r="372" spans="2:17">
      <c r="B372" s="207"/>
      <c r="C372" s="208"/>
      <c r="D372" s="209"/>
      <c r="E372" s="209"/>
      <c r="F372" s="210"/>
      <c r="G372" s="210"/>
      <c r="H372" s="210"/>
      <c r="I372" s="210"/>
      <c r="J372" s="208"/>
      <c r="K372" s="210"/>
      <c r="L372" s="209"/>
      <c r="M372" s="210"/>
      <c r="N372" s="210"/>
      <c r="O372" s="210"/>
      <c r="P372" s="639"/>
      <c r="Q372" s="211"/>
    </row>
    <row r="373" spans="2:17">
      <c r="B373" s="207"/>
      <c r="C373" s="208"/>
      <c r="D373" s="209"/>
      <c r="E373" s="209"/>
      <c r="F373" s="210"/>
      <c r="G373" s="210"/>
      <c r="H373" s="210"/>
      <c r="I373" s="210"/>
      <c r="J373" s="208"/>
      <c r="K373" s="210"/>
      <c r="L373" s="209"/>
      <c r="M373" s="210"/>
      <c r="N373" s="210"/>
      <c r="O373" s="210"/>
      <c r="P373" s="639"/>
      <c r="Q373" s="211"/>
    </row>
    <row r="374" spans="2:17">
      <c r="B374" s="207"/>
      <c r="C374" s="208"/>
      <c r="D374" s="209"/>
      <c r="E374" s="209"/>
      <c r="F374" s="210"/>
      <c r="G374" s="210"/>
      <c r="H374" s="210"/>
      <c r="I374" s="210"/>
      <c r="J374" s="208"/>
      <c r="K374" s="210"/>
      <c r="L374" s="209"/>
      <c r="M374" s="210"/>
      <c r="N374" s="210"/>
      <c r="O374" s="210"/>
      <c r="P374" s="639"/>
      <c r="Q374" s="211"/>
    </row>
    <row r="375" spans="2:17">
      <c r="B375" s="207"/>
      <c r="C375" s="208"/>
      <c r="D375" s="209"/>
      <c r="E375" s="209"/>
      <c r="F375" s="210"/>
      <c r="G375" s="210"/>
      <c r="H375" s="210"/>
      <c r="I375" s="210"/>
      <c r="J375" s="208"/>
      <c r="K375" s="210"/>
      <c r="L375" s="209"/>
      <c r="M375" s="210"/>
      <c r="N375" s="210"/>
      <c r="O375" s="210"/>
      <c r="P375" s="639"/>
      <c r="Q375" s="211"/>
    </row>
    <row r="376" spans="2:17">
      <c r="B376" s="207"/>
      <c r="C376" s="208"/>
      <c r="D376" s="209"/>
      <c r="E376" s="209"/>
      <c r="F376" s="210"/>
      <c r="G376" s="210"/>
      <c r="H376" s="210"/>
      <c r="I376" s="210"/>
      <c r="J376" s="208"/>
      <c r="K376" s="210"/>
      <c r="L376" s="209"/>
      <c r="M376" s="210"/>
      <c r="N376" s="210"/>
      <c r="O376" s="210"/>
      <c r="P376" s="639"/>
      <c r="Q376" s="211"/>
    </row>
    <row r="377" spans="2:17">
      <c r="B377" s="207"/>
      <c r="C377" s="208"/>
      <c r="D377" s="209"/>
      <c r="E377" s="209"/>
      <c r="F377" s="210"/>
      <c r="G377" s="210"/>
      <c r="H377" s="210"/>
      <c r="I377" s="210"/>
      <c r="J377" s="208"/>
      <c r="K377" s="210"/>
      <c r="L377" s="209"/>
      <c r="M377" s="210"/>
      <c r="N377" s="210"/>
      <c r="O377" s="210"/>
      <c r="P377" s="639"/>
      <c r="Q377" s="211"/>
    </row>
    <row r="378" spans="2:17">
      <c r="B378" s="207"/>
      <c r="C378" s="208"/>
      <c r="D378" s="209"/>
      <c r="E378" s="209"/>
      <c r="F378" s="210"/>
      <c r="G378" s="210"/>
      <c r="H378" s="210"/>
      <c r="I378" s="210"/>
      <c r="J378" s="208"/>
      <c r="K378" s="210"/>
      <c r="L378" s="209"/>
      <c r="M378" s="210"/>
      <c r="N378" s="210"/>
      <c r="O378" s="210"/>
      <c r="P378" s="639"/>
      <c r="Q378" s="211"/>
    </row>
    <row r="379" spans="2:17">
      <c r="B379" s="207"/>
      <c r="C379" s="208"/>
      <c r="D379" s="209"/>
      <c r="E379" s="209"/>
      <c r="F379" s="210"/>
      <c r="G379" s="210"/>
      <c r="H379" s="210"/>
      <c r="I379" s="210"/>
      <c r="J379" s="208"/>
      <c r="K379" s="210"/>
      <c r="L379" s="209"/>
      <c r="M379" s="210"/>
      <c r="N379" s="210"/>
      <c r="O379" s="210"/>
      <c r="P379" s="639"/>
      <c r="Q379" s="211"/>
    </row>
    <row r="380" spans="2:17">
      <c r="B380" s="207"/>
      <c r="C380" s="208"/>
      <c r="D380" s="209"/>
      <c r="E380" s="209"/>
      <c r="F380" s="210"/>
      <c r="G380" s="210"/>
      <c r="H380" s="210"/>
      <c r="I380" s="210"/>
      <c r="J380" s="208"/>
      <c r="K380" s="210"/>
      <c r="L380" s="209"/>
      <c r="M380" s="210"/>
      <c r="N380" s="210"/>
      <c r="O380" s="210"/>
      <c r="P380" s="639"/>
      <c r="Q380" s="211"/>
    </row>
    <row r="381" spans="2:17">
      <c r="B381" s="207"/>
      <c r="C381" s="208"/>
      <c r="D381" s="209"/>
      <c r="E381" s="209"/>
      <c r="F381" s="210"/>
      <c r="G381" s="210"/>
      <c r="H381" s="210"/>
      <c r="I381" s="210"/>
      <c r="J381" s="208"/>
      <c r="K381" s="210"/>
      <c r="L381" s="209"/>
      <c r="M381" s="210"/>
      <c r="N381" s="210"/>
      <c r="O381" s="210"/>
      <c r="P381" s="639"/>
      <c r="Q381" s="211"/>
    </row>
    <row r="382" spans="2:17">
      <c r="B382" s="207"/>
      <c r="C382" s="208"/>
      <c r="D382" s="209"/>
      <c r="E382" s="209"/>
      <c r="F382" s="210"/>
      <c r="G382" s="210"/>
      <c r="H382" s="210"/>
      <c r="I382" s="210"/>
      <c r="J382" s="208"/>
      <c r="K382" s="210"/>
      <c r="L382" s="209"/>
      <c r="M382" s="210"/>
      <c r="N382" s="210"/>
      <c r="O382" s="210"/>
      <c r="P382" s="639"/>
      <c r="Q382" s="211"/>
    </row>
    <row r="383" spans="2:17">
      <c r="B383" s="207"/>
      <c r="C383" s="208"/>
      <c r="D383" s="209"/>
      <c r="E383" s="209"/>
      <c r="F383" s="210"/>
      <c r="G383" s="210"/>
      <c r="H383" s="210"/>
      <c r="I383" s="210"/>
      <c r="J383" s="208"/>
      <c r="K383" s="210"/>
      <c r="L383" s="209"/>
      <c r="M383" s="210"/>
      <c r="N383" s="210"/>
      <c r="O383" s="210"/>
      <c r="P383" s="639"/>
      <c r="Q383" s="211"/>
    </row>
    <row r="384" spans="2:17">
      <c r="B384" s="207"/>
      <c r="C384" s="208"/>
      <c r="D384" s="209"/>
      <c r="E384" s="209"/>
      <c r="F384" s="210"/>
      <c r="G384" s="210"/>
      <c r="H384" s="210"/>
      <c r="I384" s="210"/>
      <c r="J384" s="208"/>
      <c r="K384" s="210"/>
      <c r="L384" s="209"/>
      <c r="M384" s="210"/>
      <c r="N384" s="210"/>
      <c r="O384" s="210"/>
      <c r="P384" s="639"/>
      <c r="Q384" s="211"/>
    </row>
    <row r="385" spans="2:17">
      <c r="B385" s="207"/>
      <c r="C385" s="208"/>
      <c r="D385" s="209"/>
      <c r="E385" s="209"/>
      <c r="F385" s="210"/>
      <c r="G385" s="210"/>
      <c r="H385" s="210"/>
      <c r="I385" s="210"/>
      <c r="J385" s="208"/>
      <c r="K385" s="210"/>
      <c r="L385" s="209"/>
      <c r="M385" s="210"/>
      <c r="N385" s="210"/>
      <c r="O385" s="210"/>
      <c r="P385" s="639"/>
      <c r="Q385" s="211"/>
    </row>
    <row r="386" spans="2:17">
      <c r="B386" s="207"/>
      <c r="C386" s="208"/>
      <c r="D386" s="209"/>
      <c r="E386" s="209"/>
      <c r="F386" s="210"/>
      <c r="G386" s="210"/>
      <c r="H386" s="210"/>
      <c r="I386" s="210"/>
      <c r="J386" s="208"/>
      <c r="K386" s="210"/>
      <c r="L386" s="209"/>
      <c r="M386" s="210"/>
      <c r="N386" s="210"/>
      <c r="O386" s="210"/>
      <c r="P386" s="639"/>
      <c r="Q386" s="211"/>
    </row>
    <row r="387" spans="2:17">
      <c r="B387" s="207"/>
      <c r="C387" s="208"/>
      <c r="D387" s="209"/>
      <c r="E387" s="209"/>
      <c r="F387" s="210"/>
      <c r="G387" s="210"/>
      <c r="H387" s="210"/>
      <c r="I387" s="210"/>
      <c r="J387" s="208"/>
      <c r="K387" s="210"/>
      <c r="L387" s="209"/>
      <c r="M387" s="210"/>
      <c r="N387" s="210"/>
      <c r="O387" s="210"/>
      <c r="P387" s="639"/>
      <c r="Q387" s="211"/>
    </row>
    <row r="388" spans="2:17">
      <c r="B388" s="207"/>
      <c r="C388" s="208"/>
      <c r="D388" s="209"/>
      <c r="E388" s="209"/>
      <c r="F388" s="210"/>
      <c r="G388" s="210"/>
      <c r="H388" s="210"/>
      <c r="I388" s="210"/>
      <c r="J388" s="208"/>
      <c r="K388" s="210"/>
      <c r="L388" s="209"/>
      <c r="M388" s="210"/>
      <c r="N388" s="210"/>
      <c r="O388" s="210"/>
      <c r="P388" s="639"/>
      <c r="Q388" s="211"/>
    </row>
    <row r="389" spans="2:17">
      <c r="B389" s="207"/>
      <c r="C389" s="208"/>
      <c r="D389" s="209"/>
      <c r="E389" s="209"/>
      <c r="F389" s="210"/>
      <c r="G389" s="210"/>
      <c r="H389" s="210"/>
      <c r="I389" s="210"/>
      <c r="J389" s="208"/>
      <c r="K389" s="210"/>
      <c r="L389" s="209"/>
      <c r="M389" s="210"/>
      <c r="N389" s="210"/>
      <c r="O389" s="210"/>
      <c r="P389" s="639"/>
      <c r="Q389" s="211"/>
    </row>
    <row r="390" spans="2:17">
      <c r="B390" s="207"/>
      <c r="C390" s="208"/>
      <c r="D390" s="209"/>
      <c r="E390" s="209"/>
      <c r="F390" s="210"/>
      <c r="G390" s="210"/>
      <c r="H390" s="210"/>
      <c r="I390" s="210"/>
      <c r="J390" s="208"/>
      <c r="K390" s="210"/>
      <c r="L390" s="209"/>
      <c r="M390" s="210"/>
      <c r="N390" s="210"/>
      <c r="O390" s="210"/>
      <c r="P390" s="639"/>
      <c r="Q390" s="211"/>
    </row>
    <row r="391" spans="2:17">
      <c r="B391" s="207"/>
      <c r="C391" s="208"/>
      <c r="D391" s="209"/>
      <c r="E391" s="209"/>
      <c r="F391" s="210"/>
      <c r="G391" s="210"/>
      <c r="H391" s="210"/>
      <c r="I391" s="210"/>
      <c r="J391" s="208"/>
      <c r="K391" s="210"/>
      <c r="L391" s="209"/>
      <c r="M391" s="210"/>
      <c r="N391" s="210"/>
      <c r="O391" s="210"/>
      <c r="P391" s="639"/>
      <c r="Q391" s="211"/>
    </row>
    <row r="392" spans="2:17">
      <c r="B392" s="207"/>
      <c r="C392" s="208"/>
      <c r="D392" s="209"/>
      <c r="E392" s="209"/>
      <c r="F392" s="210"/>
      <c r="G392" s="210"/>
      <c r="H392" s="210"/>
      <c r="I392" s="210"/>
      <c r="J392" s="208"/>
      <c r="K392" s="210"/>
      <c r="L392" s="209"/>
      <c r="M392" s="210"/>
      <c r="N392" s="210"/>
      <c r="O392" s="210"/>
      <c r="P392" s="639"/>
      <c r="Q392" s="211"/>
    </row>
    <row r="393" spans="2:17">
      <c r="B393" s="207"/>
      <c r="C393" s="208"/>
      <c r="D393" s="209"/>
      <c r="E393" s="209"/>
      <c r="F393" s="210"/>
      <c r="G393" s="210"/>
      <c r="H393" s="210"/>
      <c r="I393" s="210"/>
      <c r="J393" s="208"/>
      <c r="K393" s="210"/>
      <c r="L393" s="209"/>
      <c r="M393" s="210"/>
      <c r="N393" s="210"/>
      <c r="O393" s="210"/>
      <c r="P393" s="639"/>
      <c r="Q393" s="211"/>
    </row>
    <row r="394" spans="2:17">
      <c r="B394" s="207"/>
      <c r="C394" s="208"/>
      <c r="D394" s="209"/>
      <c r="E394" s="209"/>
      <c r="F394" s="210"/>
      <c r="G394" s="210"/>
      <c r="H394" s="210"/>
      <c r="I394" s="210"/>
      <c r="J394" s="208"/>
      <c r="K394" s="210"/>
      <c r="L394" s="209"/>
      <c r="M394" s="210"/>
      <c r="N394" s="210"/>
      <c r="O394" s="210"/>
      <c r="P394" s="639"/>
      <c r="Q394" s="211"/>
    </row>
    <row r="395" spans="2:17">
      <c r="B395" s="207"/>
      <c r="C395" s="208"/>
      <c r="D395" s="209"/>
      <c r="E395" s="209"/>
      <c r="F395" s="210"/>
      <c r="G395" s="210"/>
      <c r="H395" s="210"/>
      <c r="I395" s="210"/>
      <c r="J395" s="208"/>
      <c r="K395" s="210"/>
      <c r="L395" s="209"/>
      <c r="M395" s="210"/>
      <c r="N395" s="210"/>
      <c r="O395" s="210"/>
      <c r="P395" s="639"/>
      <c r="Q395" s="211"/>
    </row>
    <row r="396" spans="2:17">
      <c r="B396" s="207"/>
      <c r="C396" s="208"/>
      <c r="D396" s="209"/>
      <c r="E396" s="209"/>
      <c r="F396" s="210"/>
      <c r="G396" s="210"/>
      <c r="H396" s="210"/>
      <c r="I396" s="210"/>
      <c r="J396" s="208"/>
      <c r="K396" s="210"/>
      <c r="L396" s="209"/>
      <c r="M396" s="210"/>
      <c r="N396" s="210"/>
      <c r="O396" s="210"/>
      <c r="P396" s="639"/>
      <c r="Q396" s="211"/>
    </row>
    <row r="397" spans="2:17">
      <c r="B397" s="207"/>
      <c r="C397" s="208"/>
      <c r="D397" s="209"/>
      <c r="E397" s="209"/>
      <c r="F397" s="210"/>
      <c r="G397" s="210"/>
      <c r="H397" s="210"/>
      <c r="I397" s="210"/>
      <c r="J397" s="208"/>
      <c r="K397" s="210"/>
      <c r="L397" s="209"/>
      <c r="M397" s="210"/>
      <c r="N397" s="210"/>
      <c r="O397" s="210"/>
      <c r="P397" s="639"/>
      <c r="Q397" s="211"/>
    </row>
    <row r="398" spans="2:17">
      <c r="B398" s="207"/>
      <c r="C398" s="208"/>
      <c r="D398" s="209"/>
      <c r="E398" s="209"/>
      <c r="F398" s="210"/>
      <c r="G398" s="210"/>
      <c r="H398" s="210"/>
      <c r="I398" s="210"/>
      <c r="J398" s="208"/>
      <c r="K398" s="210"/>
      <c r="L398" s="209"/>
      <c r="M398" s="210"/>
      <c r="N398" s="210"/>
      <c r="O398" s="210"/>
      <c r="P398" s="639"/>
      <c r="Q398" s="211"/>
    </row>
    <row r="399" spans="2:17">
      <c r="B399" s="207"/>
      <c r="C399" s="208"/>
      <c r="D399" s="209"/>
      <c r="E399" s="209"/>
      <c r="F399" s="210"/>
      <c r="G399" s="210"/>
      <c r="H399" s="210"/>
      <c r="I399" s="210"/>
      <c r="J399" s="208"/>
      <c r="K399" s="210"/>
      <c r="L399" s="209"/>
      <c r="M399" s="210"/>
      <c r="N399" s="210"/>
      <c r="O399" s="210"/>
      <c r="P399" s="639"/>
      <c r="Q399" s="211"/>
    </row>
    <row r="400" spans="2:17">
      <c r="B400" s="207"/>
      <c r="C400" s="208"/>
      <c r="D400" s="209"/>
      <c r="E400" s="209"/>
      <c r="F400" s="210"/>
      <c r="G400" s="210"/>
      <c r="H400" s="210"/>
      <c r="I400" s="210"/>
      <c r="J400" s="208"/>
      <c r="K400" s="210"/>
      <c r="L400" s="209"/>
      <c r="M400" s="210"/>
      <c r="N400" s="210"/>
      <c r="O400" s="210"/>
      <c r="P400" s="639"/>
      <c r="Q400" s="211"/>
    </row>
    <row r="401" spans="2:17">
      <c r="B401" s="207"/>
      <c r="C401" s="208"/>
      <c r="D401" s="209"/>
      <c r="E401" s="209"/>
      <c r="F401" s="210"/>
      <c r="G401" s="210"/>
      <c r="H401" s="210"/>
      <c r="I401" s="210"/>
      <c r="J401" s="208"/>
      <c r="K401" s="210"/>
      <c r="L401" s="209"/>
      <c r="M401" s="210"/>
      <c r="N401" s="210"/>
      <c r="O401" s="210"/>
      <c r="P401" s="639"/>
      <c r="Q401" s="211"/>
    </row>
    <row r="402" spans="2:17">
      <c r="B402" s="207"/>
      <c r="C402" s="208"/>
      <c r="D402" s="209"/>
      <c r="E402" s="209"/>
      <c r="F402" s="210"/>
      <c r="G402" s="210"/>
      <c r="H402" s="210"/>
      <c r="I402" s="210"/>
      <c r="J402" s="208"/>
      <c r="K402" s="210"/>
      <c r="L402" s="209"/>
      <c r="M402" s="210"/>
      <c r="N402" s="210"/>
      <c r="O402" s="210"/>
      <c r="P402" s="639"/>
      <c r="Q402" s="211"/>
    </row>
    <row r="403" spans="2:17">
      <c r="B403" s="207"/>
      <c r="C403" s="208"/>
      <c r="D403" s="209"/>
      <c r="E403" s="209"/>
      <c r="F403" s="210"/>
      <c r="G403" s="210"/>
      <c r="H403" s="210"/>
      <c r="I403" s="210"/>
      <c r="J403" s="208"/>
      <c r="K403" s="210"/>
      <c r="L403" s="209"/>
      <c r="M403" s="210"/>
      <c r="N403" s="210"/>
      <c r="O403" s="210"/>
      <c r="P403" s="639"/>
      <c r="Q403" s="211"/>
    </row>
    <row r="404" spans="2:17">
      <c r="B404" s="207"/>
      <c r="C404" s="208"/>
      <c r="D404" s="209"/>
      <c r="E404" s="209"/>
      <c r="F404" s="210"/>
      <c r="G404" s="210"/>
      <c r="H404" s="210"/>
      <c r="I404" s="210"/>
      <c r="J404" s="208"/>
      <c r="K404" s="210"/>
      <c r="L404" s="209"/>
      <c r="M404" s="210"/>
      <c r="N404" s="210"/>
      <c r="O404" s="210"/>
      <c r="P404" s="639"/>
      <c r="Q404" s="211"/>
    </row>
    <row r="405" spans="2:17">
      <c r="B405" s="207"/>
      <c r="C405" s="208"/>
      <c r="D405" s="209"/>
      <c r="E405" s="209"/>
      <c r="F405" s="210"/>
      <c r="G405" s="210"/>
      <c r="H405" s="210"/>
      <c r="I405" s="210"/>
      <c r="J405" s="208"/>
      <c r="K405" s="210"/>
      <c r="L405" s="209"/>
      <c r="M405" s="210"/>
      <c r="N405" s="210"/>
      <c r="O405" s="210"/>
      <c r="P405" s="639"/>
      <c r="Q405" s="211"/>
    </row>
    <row r="406" spans="2:17">
      <c r="B406" s="207"/>
      <c r="C406" s="208"/>
      <c r="D406" s="209"/>
      <c r="E406" s="209"/>
      <c r="F406" s="210"/>
      <c r="G406" s="210"/>
      <c r="H406" s="210"/>
      <c r="I406" s="210"/>
      <c r="J406" s="208"/>
      <c r="K406" s="210"/>
      <c r="L406" s="209"/>
      <c r="M406" s="210"/>
      <c r="N406" s="210"/>
      <c r="O406" s="210"/>
      <c r="P406" s="639"/>
      <c r="Q406" s="211"/>
    </row>
    <row r="407" spans="2:17">
      <c r="B407" s="207"/>
      <c r="C407" s="208"/>
      <c r="D407" s="209"/>
      <c r="E407" s="209"/>
      <c r="F407" s="210"/>
      <c r="G407" s="210"/>
      <c r="H407" s="210"/>
      <c r="I407" s="210"/>
      <c r="J407" s="208"/>
      <c r="K407" s="210"/>
      <c r="L407" s="209"/>
      <c r="M407" s="210"/>
      <c r="N407" s="210"/>
      <c r="O407" s="210"/>
      <c r="P407" s="639"/>
      <c r="Q407" s="211"/>
    </row>
    <row r="408" spans="2:17">
      <c r="B408" s="207"/>
      <c r="C408" s="208"/>
      <c r="D408" s="209"/>
      <c r="E408" s="209"/>
      <c r="F408" s="210"/>
      <c r="G408" s="210"/>
      <c r="H408" s="210"/>
      <c r="I408" s="210"/>
      <c r="J408" s="208"/>
      <c r="K408" s="210"/>
      <c r="L408" s="209"/>
      <c r="M408" s="210"/>
      <c r="N408" s="210"/>
      <c r="O408" s="210"/>
      <c r="P408" s="639"/>
      <c r="Q408" s="211"/>
    </row>
    <row r="409" spans="2:17">
      <c r="B409" s="207"/>
      <c r="C409" s="208"/>
      <c r="D409" s="209"/>
      <c r="E409" s="209"/>
      <c r="F409" s="210"/>
      <c r="G409" s="210"/>
      <c r="H409" s="210"/>
      <c r="I409" s="210"/>
      <c r="J409" s="208"/>
      <c r="K409" s="210"/>
      <c r="L409" s="209"/>
      <c r="M409" s="210"/>
      <c r="N409" s="210"/>
      <c r="O409" s="210"/>
      <c r="P409" s="639"/>
      <c r="Q409" s="211"/>
    </row>
    <row r="410" spans="2:17" ht="17.25" thickBot="1">
      <c r="B410" s="212"/>
      <c r="C410" s="213"/>
      <c r="D410" s="214"/>
      <c r="E410" s="214"/>
      <c r="F410" s="215"/>
      <c r="G410" s="215"/>
      <c r="H410" s="215"/>
      <c r="I410" s="215"/>
      <c r="J410" s="213"/>
      <c r="K410" s="215"/>
      <c r="L410" s="214"/>
      <c r="M410" s="215"/>
      <c r="N410" s="215"/>
      <c r="O410" s="215"/>
      <c r="P410" s="640"/>
      <c r="Q410" s="216"/>
    </row>
    <row r="411" spans="2:17" ht="17.25" thickTop="1"/>
  </sheetData>
  <autoFilter ref="B2:Q410" xr:uid="{170E4303-3C00-49E4-AB30-8BFBDB7C4108}">
    <sortState ref="B3:Q410">
      <sortCondition ref="C2:C410"/>
    </sortState>
  </autoFilter>
  <phoneticPr fontId="1" type="noConversion"/>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5E148-CC4B-4DE0-9927-B95D24616AFF}">
  <dimension ref="B1:T100"/>
  <sheetViews>
    <sheetView workbookViewId="0">
      <pane xSplit="4" ySplit="2" topLeftCell="I52" activePane="bottomRight" state="frozen"/>
      <selection pane="topRight" activeCell="E1" sqref="E1"/>
      <selection pane="bottomLeft" activeCell="A3" sqref="A3"/>
      <selection pane="bottomRight" activeCell="R65" sqref="R65"/>
    </sheetView>
  </sheetViews>
  <sheetFormatPr defaultColWidth="8.875" defaultRowHeight="16.5"/>
  <cols>
    <col min="1" max="1" width="3" style="3" customWidth="1"/>
    <col min="2" max="2" width="28.75" style="3" customWidth="1"/>
    <col min="3" max="3" width="7.625" style="3" bestFit="1" customWidth="1"/>
    <col min="4" max="4" width="6.5" style="1" customWidth="1"/>
    <col min="5" max="5" width="5.5" style="1" bestFit="1" customWidth="1"/>
    <col min="6" max="6" width="5.5" style="1" customWidth="1"/>
    <col min="7" max="7" width="7.5" style="3" customWidth="1"/>
    <col min="8" max="8" width="8.75" style="670" hidden="1" customWidth="1"/>
    <col min="9" max="11" width="7.75" style="670" customWidth="1"/>
    <col min="12" max="14" width="7" style="3" customWidth="1"/>
    <col min="15" max="17" width="7.5" style="3" hidden="1" customWidth="1"/>
    <col min="18" max="18" width="82.125" style="3" customWidth="1"/>
    <col min="19" max="19" width="8.75" style="3" bestFit="1" customWidth="1"/>
    <col min="20" max="20" width="9.5" style="3" bestFit="1" customWidth="1"/>
    <col min="21" max="16384" width="8.875" style="3"/>
  </cols>
  <sheetData>
    <row r="1" spans="2:20" ht="17.25" thickBot="1"/>
    <row r="2" spans="2:20">
      <c r="B2" s="665" t="s">
        <v>2449</v>
      </c>
      <c r="C2" s="675" t="s">
        <v>203</v>
      </c>
      <c r="D2" s="666" t="s">
        <v>264</v>
      </c>
      <c r="E2" s="666" t="s">
        <v>1349</v>
      </c>
      <c r="F2" s="666" t="s">
        <v>878</v>
      </c>
      <c r="G2" s="666" t="s">
        <v>2450</v>
      </c>
      <c r="H2" s="671" t="s">
        <v>2451</v>
      </c>
      <c r="I2" s="671" t="s">
        <v>2452</v>
      </c>
      <c r="J2" s="671" t="s">
        <v>2453</v>
      </c>
      <c r="K2" s="671" t="s">
        <v>2454</v>
      </c>
      <c r="L2" s="666" t="s">
        <v>2456</v>
      </c>
      <c r="M2" s="666" t="s">
        <v>2457</v>
      </c>
      <c r="N2" s="666" t="s">
        <v>2458</v>
      </c>
      <c r="O2" s="666" t="s">
        <v>2455</v>
      </c>
      <c r="P2" s="666" t="s">
        <v>2459</v>
      </c>
      <c r="Q2" s="666" t="s">
        <v>2460</v>
      </c>
      <c r="R2" s="666" t="s">
        <v>2461</v>
      </c>
      <c r="S2" s="666" t="s">
        <v>2467</v>
      </c>
      <c r="T2" s="667" t="s">
        <v>2468</v>
      </c>
    </row>
    <row r="3" spans="2:20">
      <c r="B3" s="661" t="s">
        <v>2462</v>
      </c>
      <c r="C3" s="676">
        <v>10011</v>
      </c>
      <c r="D3" s="660" t="s">
        <v>467</v>
      </c>
      <c r="E3" s="660" t="s">
        <v>2463</v>
      </c>
      <c r="F3" s="660">
        <v>123</v>
      </c>
      <c r="G3" s="662">
        <v>1080</v>
      </c>
      <c r="H3" s="672">
        <v>0.3</v>
      </c>
      <c r="I3" s="672">
        <v>0.4</v>
      </c>
      <c r="J3" s="672">
        <v>0.3</v>
      </c>
      <c r="K3" s="672">
        <v>0.3</v>
      </c>
      <c r="L3" s="662">
        <f t="shared" ref="L3:L34" si="0">O3+_xlfn.FLOOR.MATH($G3*(1-$H3)*I3)</f>
        <v>431</v>
      </c>
      <c r="M3" s="662">
        <f t="shared" ref="M3:M34" si="1">P3+_xlfn.FLOOR.MATH($G3*(1-$H3)*J3)</f>
        <v>323</v>
      </c>
      <c r="N3" s="662">
        <f t="shared" ref="N3:N34" si="2">Q3+_xlfn.FLOOR.MATH($G3*(1-$H3)*K3)</f>
        <v>323</v>
      </c>
      <c r="O3" s="662">
        <f t="shared" ref="O3:O34" si="3">_xlfn.FLOOR.MATH($G3*$H3*I3)</f>
        <v>129</v>
      </c>
      <c r="P3" s="662">
        <f t="shared" ref="P3:P34" si="4">_xlfn.FLOOR.MATH($G3*$H3*J3)</f>
        <v>97</v>
      </c>
      <c r="Q3" s="662">
        <f t="shared" ref="Q3:Q34" si="5">_xlfn.FLOOR.MATH($G3*$H3*K3)</f>
        <v>97</v>
      </c>
      <c r="R3" s="662" t="s">
        <v>2469</v>
      </c>
      <c r="S3" s="669">
        <v>5.0000000000000001E-3</v>
      </c>
      <c r="T3" s="674">
        <v>0.01</v>
      </c>
    </row>
    <row r="4" spans="2:20">
      <c r="B4" s="661" t="s">
        <v>2462</v>
      </c>
      <c r="C4" s="676">
        <v>10012</v>
      </c>
      <c r="D4" s="660" t="s">
        <v>310</v>
      </c>
      <c r="E4" s="660" t="s">
        <v>2463</v>
      </c>
      <c r="F4" s="660">
        <v>123</v>
      </c>
      <c r="G4" s="662">
        <v>1600</v>
      </c>
      <c r="H4" s="672">
        <v>0.3</v>
      </c>
      <c r="I4" s="672">
        <v>0.4</v>
      </c>
      <c r="J4" s="672">
        <v>0.3</v>
      </c>
      <c r="K4" s="672">
        <v>0.3</v>
      </c>
      <c r="L4" s="662">
        <f t="shared" si="0"/>
        <v>640</v>
      </c>
      <c r="M4" s="662">
        <f t="shared" si="1"/>
        <v>480</v>
      </c>
      <c r="N4" s="662">
        <f t="shared" si="2"/>
        <v>480</v>
      </c>
      <c r="O4" s="662">
        <f t="shared" si="3"/>
        <v>192</v>
      </c>
      <c r="P4" s="662">
        <f t="shared" si="4"/>
        <v>144</v>
      </c>
      <c r="Q4" s="662">
        <f t="shared" si="5"/>
        <v>144</v>
      </c>
      <c r="R4" s="662" t="s">
        <v>2469</v>
      </c>
      <c r="S4" s="669">
        <v>7.4999999999999997E-3</v>
      </c>
      <c r="T4" s="674">
        <v>1.4999999999999999E-2</v>
      </c>
    </row>
    <row r="5" spans="2:20">
      <c r="B5" s="661" t="s">
        <v>2462</v>
      </c>
      <c r="C5" s="676">
        <v>10013</v>
      </c>
      <c r="D5" s="660" t="s">
        <v>309</v>
      </c>
      <c r="E5" s="660" t="s">
        <v>2463</v>
      </c>
      <c r="F5" s="660">
        <v>123</v>
      </c>
      <c r="G5" s="662">
        <v>2600</v>
      </c>
      <c r="H5" s="672">
        <v>0.3</v>
      </c>
      <c r="I5" s="672">
        <v>0.4</v>
      </c>
      <c r="J5" s="672">
        <v>0.3</v>
      </c>
      <c r="K5" s="672">
        <v>0.3</v>
      </c>
      <c r="L5" s="662">
        <f t="shared" si="0"/>
        <v>1040</v>
      </c>
      <c r="M5" s="662">
        <f t="shared" si="1"/>
        <v>780</v>
      </c>
      <c r="N5" s="662">
        <f t="shared" si="2"/>
        <v>780</v>
      </c>
      <c r="O5" s="662">
        <f t="shared" si="3"/>
        <v>312</v>
      </c>
      <c r="P5" s="662">
        <f t="shared" si="4"/>
        <v>234</v>
      </c>
      <c r="Q5" s="662">
        <f t="shared" si="5"/>
        <v>234</v>
      </c>
      <c r="R5" s="662" t="s">
        <v>2469</v>
      </c>
      <c r="S5" s="669">
        <v>0.01</v>
      </c>
      <c r="T5" s="674">
        <v>0.02</v>
      </c>
    </row>
    <row r="6" spans="2:20">
      <c r="B6" s="661" t="s">
        <v>2464</v>
      </c>
      <c r="C6" s="676">
        <v>10021</v>
      </c>
      <c r="D6" s="660" t="s">
        <v>467</v>
      </c>
      <c r="E6" s="660" t="s">
        <v>2463</v>
      </c>
      <c r="F6" s="660">
        <v>456</v>
      </c>
      <c r="G6" s="662">
        <v>1080</v>
      </c>
      <c r="H6" s="672">
        <v>0.3</v>
      </c>
      <c r="I6" s="672">
        <v>0.4</v>
      </c>
      <c r="J6" s="672">
        <v>0.3</v>
      </c>
      <c r="K6" s="672">
        <v>0.3</v>
      </c>
      <c r="L6" s="662">
        <f t="shared" si="0"/>
        <v>431</v>
      </c>
      <c r="M6" s="662">
        <f t="shared" si="1"/>
        <v>323</v>
      </c>
      <c r="N6" s="662">
        <f t="shared" si="2"/>
        <v>323</v>
      </c>
      <c r="O6" s="662">
        <f t="shared" si="3"/>
        <v>129</v>
      </c>
      <c r="P6" s="662">
        <f t="shared" si="4"/>
        <v>97</v>
      </c>
      <c r="Q6" s="662">
        <f t="shared" si="5"/>
        <v>97</v>
      </c>
      <c r="R6" s="662" t="s">
        <v>2470</v>
      </c>
      <c r="S6" s="669">
        <v>5.0000000000000001E-3</v>
      </c>
      <c r="T6" s="674">
        <v>0.01</v>
      </c>
    </row>
    <row r="7" spans="2:20">
      <c r="B7" s="661" t="s">
        <v>2464</v>
      </c>
      <c r="C7" s="676">
        <v>10022</v>
      </c>
      <c r="D7" s="660" t="s">
        <v>310</v>
      </c>
      <c r="E7" s="660" t="s">
        <v>2463</v>
      </c>
      <c r="F7" s="660">
        <v>456</v>
      </c>
      <c r="G7" s="662">
        <v>1600</v>
      </c>
      <c r="H7" s="672">
        <v>0.3</v>
      </c>
      <c r="I7" s="672">
        <v>0.4</v>
      </c>
      <c r="J7" s="672">
        <v>0.3</v>
      </c>
      <c r="K7" s="672">
        <v>0.3</v>
      </c>
      <c r="L7" s="662">
        <f t="shared" si="0"/>
        <v>640</v>
      </c>
      <c r="M7" s="662">
        <f t="shared" si="1"/>
        <v>480</v>
      </c>
      <c r="N7" s="662">
        <f t="shared" si="2"/>
        <v>480</v>
      </c>
      <c r="O7" s="662">
        <f t="shared" si="3"/>
        <v>192</v>
      </c>
      <c r="P7" s="662">
        <f t="shared" si="4"/>
        <v>144</v>
      </c>
      <c r="Q7" s="662">
        <f t="shared" si="5"/>
        <v>144</v>
      </c>
      <c r="R7" s="662" t="s">
        <v>2470</v>
      </c>
      <c r="S7" s="669">
        <v>7.4999999999999997E-3</v>
      </c>
      <c r="T7" s="674">
        <v>1.4999999999999999E-2</v>
      </c>
    </row>
    <row r="8" spans="2:20">
      <c r="B8" s="661" t="s">
        <v>2464</v>
      </c>
      <c r="C8" s="676">
        <v>10023</v>
      </c>
      <c r="D8" s="660" t="s">
        <v>309</v>
      </c>
      <c r="E8" s="660" t="s">
        <v>2463</v>
      </c>
      <c r="F8" s="660">
        <v>456</v>
      </c>
      <c r="G8" s="662">
        <v>2600</v>
      </c>
      <c r="H8" s="672">
        <v>0.3</v>
      </c>
      <c r="I8" s="672">
        <v>0.4</v>
      </c>
      <c r="J8" s="672">
        <v>0.3</v>
      </c>
      <c r="K8" s="672">
        <v>0.3</v>
      </c>
      <c r="L8" s="662">
        <f t="shared" si="0"/>
        <v>1040</v>
      </c>
      <c r="M8" s="662">
        <f t="shared" si="1"/>
        <v>780</v>
      </c>
      <c r="N8" s="662">
        <f t="shared" si="2"/>
        <v>780</v>
      </c>
      <c r="O8" s="662">
        <f t="shared" si="3"/>
        <v>312</v>
      </c>
      <c r="P8" s="662">
        <f t="shared" si="4"/>
        <v>234</v>
      </c>
      <c r="Q8" s="662">
        <f t="shared" si="5"/>
        <v>234</v>
      </c>
      <c r="R8" s="662" t="s">
        <v>2470</v>
      </c>
      <c r="S8" s="669">
        <v>0.01</v>
      </c>
      <c r="T8" s="674">
        <v>0.02</v>
      </c>
    </row>
    <row r="9" spans="2:20">
      <c r="B9" s="661" t="s">
        <v>2465</v>
      </c>
      <c r="C9" s="676">
        <v>10031</v>
      </c>
      <c r="D9" s="660" t="s">
        <v>467</v>
      </c>
      <c r="E9" s="660" t="s">
        <v>2463</v>
      </c>
      <c r="F9" s="660">
        <v>135</v>
      </c>
      <c r="G9" s="662">
        <v>1080</v>
      </c>
      <c r="H9" s="672">
        <v>0.3</v>
      </c>
      <c r="I9" s="672">
        <v>0.4</v>
      </c>
      <c r="J9" s="672">
        <v>0.3</v>
      </c>
      <c r="K9" s="672">
        <v>0.3</v>
      </c>
      <c r="L9" s="662">
        <f t="shared" si="0"/>
        <v>431</v>
      </c>
      <c r="M9" s="662">
        <f t="shared" si="1"/>
        <v>323</v>
      </c>
      <c r="N9" s="662">
        <f t="shared" si="2"/>
        <v>323</v>
      </c>
      <c r="O9" s="662">
        <f t="shared" si="3"/>
        <v>129</v>
      </c>
      <c r="P9" s="662">
        <f t="shared" si="4"/>
        <v>97</v>
      </c>
      <c r="Q9" s="662">
        <f t="shared" si="5"/>
        <v>97</v>
      </c>
      <c r="R9" s="662" t="s">
        <v>2471</v>
      </c>
      <c r="S9" s="669">
        <v>1.2500000000000001E-2</v>
      </c>
      <c r="T9" s="674">
        <v>2.5000000000000001E-2</v>
      </c>
    </row>
    <row r="10" spans="2:20">
      <c r="B10" s="661" t="s">
        <v>2465</v>
      </c>
      <c r="C10" s="676">
        <v>10032</v>
      </c>
      <c r="D10" s="660" t="s">
        <v>310</v>
      </c>
      <c r="E10" s="660" t="s">
        <v>2463</v>
      </c>
      <c r="F10" s="660">
        <v>135</v>
      </c>
      <c r="G10" s="662">
        <v>1600</v>
      </c>
      <c r="H10" s="672">
        <v>0.3</v>
      </c>
      <c r="I10" s="672">
        <v>0.4</v>
      </c>
      <c r="J10" s="672">
        <v>0.3</v>
      </c>
      <c r="K10" s="672">
        <v>0.3</v>
      </c>
      <c r="L10" s="662">
        <f t="shared" si="0"/>
        <v>640</v>
      </c>
      <c r="M10" s="662">
        <f t="shared" si="1"/>
        <v>480</v>
      </c>
      <c r="N10" s="662">
        <f t="shared" si="2"/>
        <v>480</v>
      </c>
      <c r="O10" s="662">
        <f t="shared" si="3"/>
        <v>192</v>
      </c>
      <c r="P10" s="662">
        <f t="shared" si="4"/>
        <v>144</v>
      </c>
      <c r="Q10" s="662">
        <f t="shared" si="5"/>
        <v>144</v>
      </c>
      <c r="R10" s="662" t="s">
        <v>2471</v>
      </c>
      <c r="S10" s="669">
        <v>1.7999999999999999E-2</v>
      </c>
      <c r="T10" s="674">
        <v>3.5999999999999997E-2</v>
      </c>
    </row>
    <row r="11" spans="2:20">
      <c r="B11" s="661" t="s">
        <v>2465</v>
      </c>
      <c r="C11" s="676">
        <v>10033</v>
      </c>
      <c r="D11" s="660" t="s">
        <v>309</v>
      </c>
      <c r="E11" s="660" t="s">
        <v>2463</v>
      </c>
      <c r="F11" s="660">
        <v>135</v>
      </c>
      <c r="G11" s="662">
        <v>2600</v>
      </c>
      <c r="H11" s="672">
        <v>0.3</v>
      </c>
      <c r="I11" s="672">
        <v>0.4</v>
      </c>
      <c r="J11" s="672">
        <v>0.3</v>
      </c>
      <c r="K11" s="672">
        <v>0.3</v>
      </c>
      <c r="L11" s="662">
        <f t="shared" si="0"/>
        <v>1040</v>
      </c>
      <c r="M11" s="662">
        <f t="shared" si="1"/>
        <v>780</v>
      </c>
      <c r="N11" s="662">
        <f t="shared" si="2"/>
        <v>780</v>
      </c>
      <c r="O11" s="662">
        <f t="shared" si="3"/>
        <v>312</v>
      </c>
      <c r="P11" s="662">
        <f t="shared" si="4"/>
        <v>234</v>
      </c>
      <c r="Q11" s="662">
        <f t="shared" si="5"/>
        <v>234</v>
      </c>
      <c r="R11" s="662" t="s">
        <v>2471</v>
      </c>
      <c r="S11" s="669">
        <v>2.5000000000000001E-2</v>
      </c>
      <c r="T11" s="674">
        <v>0.05</v>
      </c>
    </row>
    <row r="12" spans="2:20">
      <c r="B12" s="661" t="s">
        <v>2466</v>
      </c>
      <c r="C12" s="676">
        <v>10041</v>
      </c>
      <c r="D12" s="660" t="s">
        <v>467</v>
      </c>
      <c r="E12" s="660" t="s">
        <v>2463</v>
      </c>
      <c r="F12" s="660">
        <v>246</v>
      </c>
      <c r="G12" s="662">
        <v>1080</v>
      </c>
      <c r="H12" s="672">
        <v>0.3</v>
      </c>
      <c r="I12" s="672">
        <v>0.4</v>
      </c>
      <c r="J12" s="672">
        <v>0.3</v>
      </c>
      <c r="K12" s="672">
        <v>0.3</v>
      </c>
      <c r="L12" s="662">
        <f t="shared" si="0"/>
        <v>431</v>
      </c>
      <c r="M12" s="662">
        <f t="shared" si="1"/>
        <v>323</v>
      </c>
      <c r="N12" s="662">
        <f t="shared" si="2"/>
        <v>323</v>
      </c>
      <c r="O12" s="662">
        <f t="shared" si="3"/>
        <v>129</v>
      </c>
      <c r="P12" s="662">
        <f t="shared" si="4"/>
        <v>97</v>
      </c>
      <c r="Q12" s="662">
        <f t="shared" si="5"/>
        <v>97</v>
      </c>
      <c r="R12" s="662" t="s">
        <v>2472</v>
      </c>
      <c r="S12" s="669">
        <v>1.2500000000000001E-2</v>
      </c>
      <c r="T12" s="674">
        <v>2.5000000000000001E-2</v>
      </c>
    </row>
    <row r="13" spans="2:20">
      <c r="B13" s="661" t="s">
        <v>2466</v>
      </c>
      <c r="C13" s="676">
        <v>10042</v>
      </c>
      <c r="D13" s="660" t="s">
        <v>310</v>
      </c>
      <c r="E13" s="660" t="s">
        <v>2463</v>
      </c>
      <c r="F13" s="660">
        <v>246</v>
      </c>
      <c r="G13" s="662">
        <v>1600</v>
      </c>
      <c r="H13" s="672">
        <v>0.3</v>
      </c>
      <c r="I13" s="672">
        <v>0.4</v>
      </c>
      <c r="J13" s="672">
        <v>0.3</v>
      </c>
      <c r="K13" s="672">
        <v>0.3</v>
      </c>
      <c r="L13" s="662">
        <f t="shared" si="0"/>
        <v>640</v>
      </c>
      <c r="M13" s="662">
        <f t="shared" si="1"/>
        <v>480</v>
      </c>
      <c r="N13" s="662">
        <f t="shared" si="2"/>
        <v>480</v>
      </c>
      <c r="O13" s="662">
        <f t="shared" si="3"/>
        <v>192</v>
      </c>
      <c r="P13" s="662">
        <f t="shared" si="4"/>
        <v>144</v>
      </c>
      <c r="Q13" s="662">
        <f t="shared" si="5"/>
        <v>144</v>
      </c>
      <c r="R13" s="662" t="s">
        <v>2472</v>
      </c>
      <c r="S13" s="669">
        <v>1.7999999999999999E-2</v>
      </c>
      <c r="T13" s="674">
        <v>3.5999999999999997E-2</v>
      </c>
    </row>
    <row r="14" spans="2:20">
      <c r="B14" s="661" t="s">
        <v>2466</v>
      </c>
      <c r="C14" s="676">
        <v>10043</v>
      </c>
      <c r="D14" s="660" t="s">
        <v>309</v>
      </c>
      <c r="E14" s="660" t="s">
        <v>2463</v>
      </c>
      <c r="F14" s="660">
        <v>246</v>
      </c>
      <c r="G14" s="662">
        <v>2600</v>
      </c>
      <c r="H14" s="672">
        <v>0.3</v>
      </c>
      <c r="I14" s="672">
        <v>0.4</v>
      </c>
      <c r="J14" s="672">
        <v>0.3</v>
      </c>
      <c r="K14" s="672">
        <v>0.3</v>
      </c>
      <c r="L14" s="662">
        <f t="shared" si="0"/>
        <v>1040</v>
      </c>
      <c r="M14" s="662">
        <f t="shared" si="1"/>
        <v>780</v>
      </c>
      <c r="N14" s="662">
        <f t="shared" si="2"/>
        <v>780</v>
      </c>
      <c r="O14" s="662">
        <f t="shared" si="3"/>
        <v>312</v>
      </c>
      <c r="P14" s="662">
        <f t="shared" si="4"/>
        <v>234</v>
      </c>
      <c r="Q14" s="662">
        <f t="shared" si="5"/>
        <v>234</v>
      </c>
      <c r="R14" s="662" t="s">
        <v>2472</v>
      </c>
      <c r="S14" s="669">
        <v>2.5000000000000001E-2</v>
      </c>
      <c r="T14" s="674">
        <v>0.05</v>
      </c>
    </row>
    <row r="15" spans="2:20">
      <c r="B15" s="661" t="s">
        <v>2473</v>
      </c>
      <c r="C15" s="676">
        <v>10051</v>
      </c>
      <c r="D15" s="660" t="s">
        <v>467</v>
      </c>
      <c r="E15" s="660" t="s">
        <v>2463</v>
      </c>
      <c r="F15" s="660">
        <v>146</v>
      </c>
      <c r="G15" s="662">
        <v>1080</v>
      </c>
      <c r="H15" s="672">
        <v>0.3</v>
      </c>
      <c r="I15" s="672">
        <v>0.4</v>
      </c>
      <c r="J15" s="672">
        <v>0.3</v>
      </c>
      <c r="K15" s="672">
        <v>0.3</v>
      </c>
      <c r="L15" s="662">
        <f t="shared" si="0"/>
        <v>431</v>
      </c>
      <c r="M15" s="662">
        <f t="shared" si="1"/>
        <v>323</v>
      </c>
      <c r="N15" s="662">
        <f t="shared" si="2"/>
        <v>323</v>
      </c>
      <c r="O15" s="662">
        <f t="shared" si="3"/>
        <v>129</v>
      </c>
      <c r="P15" s="662">
        <f t="shared" si="4"/>
        <v>97</v>
      </c>
      <c r="Q15" s="662">
        <f t="shared" si="5"/>
        <v>97</v>
      </c>
      <c r="R15" s="662" t="s">
        <v>2474</v>
      </c>
      <c r="S15" s="669">
        <v>1.2500000000000001E-2</v>
      </c>
      <c r="T15" s="674">
        <v>2.5000000000000001E-2</v>
      </c>
    </row>
    <row r="16" spans="2:20">
      <c r="B16" s="661" t="s">
        <v>2473</v>
      </c>
      <c r="C16" s="676">
        <v>10052</v>
      </c>
      <c r="D16" s="660" t="s">
        <v>310</v>
      </c>
      <c r="E16" s="660" t="s">
        <v>2463</v>
      </c>
      <c r="F16" s="660">
        <v>146</v>
      </c>
      <c r="G16" s="662">
        <v>1600</v>
      </c>
      <c r="H16" s="672">
        <v>0.3</v>
      </c>
      <c r="I16" s="672">
        <v>0.4</v>
      </c>
      <c r="J16" s="672">
        <v>0.3</v>
      </c>
      <c r="K16" s="672">
        <v>0.3</v>
      </c>
      <c r="L16" s="662">
        <f t="shared" si="0"/>
        <v>640</v>
      </c>
      <c r="M16" s="662">
        <f t="shared" si="1"/>
        <v>480</v>
      </c>
      <c r="N16" s="662">
        <f t="shared" si="2"/>
        <v>480</v>
      </c>
      <c r="O16" s="662">
        <f t="shared" si="3"/>
        <v>192</v>
      </c>
      <c r="P16" s="662">
        <f t="shared" si="4"/>
        <v>144</v>
      </c>
      <c r="Q16" s="662">
        <f t="shared" si="5"/>
        <v>144</v>
      </c>
      <c r="R16" s="662" t="s">
        <v>2474</v>
      </c>
      <c r="S16" s="669">
        <v>1.7999999999999999E-2</v>
      </c>
      <c r="T16" s="674">
        <v>3.5999999999999997E-2</v>
      </c>
    </row>
    <row r="17" spans="2:20">
      <c r="B17" s="661" t="s">
        <v>2473</v>
      </c>
      <c r="C17" s="676">
        <v>10053</v>
      </c>
      <c r="D17" s="660" t="s">
        <v>309</v>
      </c>
      <c r="E17" s="660" t="s">
        <v>2463</v>
      </c>
      <c r="F17" s="660">
        <v>146</v>
      </c>
      <c r="G17" s="662">
        <v>2600</v>
      </c>
      <c r="H17" s="672">
        <v>0.3</v>
      </c>
      <c r="I17" s="672">
        <v>0.4</v>
      </c>
      <c r="J17" s="672">
        <v>0.3</v>
      </c>
      <c r="K17" s="672">
        <v>0.3</v>
      </c>
      <c r="L17" s="662">
        <f t="shared" si="0"/>
        <v>1040</v>
      </c>
      <c r="M17" s="662">
        <f t="shared" si="1"/>
        <v>780</v>
      </c>
      <c r="N17" s="662">
        <f t="shared" si="2"/>
        <v>780</v>
      </c>
      <c r="O17" s="662">
        <f t="shared" si="3"/>
        <v>312</v>
      </c>
      <c r="P17" s="662">
        <f t="shared" si="4"/>
        <v>234</v>
      </c>
      <c r="Q17" s="662">
        <f t="shared" si="5"/>
        <v>234</v>
      </c>
      <c r="R17" s="662" t="s">
        <v>2474</v>
      </c>
      <c r="S17" s="669">
        <v>2.5000000000000001E-2</v>
      </c>
      <c r="T17" s="674">
        <v>0.05</v>
      </c>
    </row>
    <row r="18" spans="2:20">
      <c r="B18" s="661" t="s">
        <v>2475</v>
      </c>
      <c r="C18" s="676">
        <v>10061</v>
      </c>
      <c r="D18" s="660" t="s">
        <v>467</v>
      </c>
      <c r="E18" s="660" t="s">
        <v>2463</v>
      </c>
      <c r="F18" s="660">
        <v>235</v>
      </c>
      <c r="G18" s="662">
        <v>1080</v>
      </c>
      <c r="H18" s="672">
        <v>0.3</v>
      </c>
      <c r="I18" s="672">
        <v>0.4</v>
      </c>
      <c r="J18" s="672">
        <v>0.3</v>
      </c>
      <c r="K18" s="672">
        <v>0.3</v>
      </c>
      <c r="L18" s="662">
        <f t="shared" si="0"/>
        <v>431</v>
      </c>
      <c r="M18" s="662">
        <f t="shared" si="1"/>
        <v>323</v>
      </c>
      <c r="N18" s="662">
        <f t="shared" si="2"/>
        <v>323</v>
      </c>
      <c r="O18" s="662">
        <f t="shared" si="3"/>
        <v>129</v>
      </c>
      <c r="P18" s="662">
        <f t="shared" si="4"/>
        <v>97</v>
      </c>
      <c r="Q18" s="662">
        <f t="shared" si="5"/>
        <v>97</v>
      </c>
      <c r="R18" s="662" t="s">
        <v>2476</v>
      </c>
      <c r="S18" s="669">
        <v>1.2500000000000001E-2</v>
      </c>
      <c r="T18" s="674">
        <v>2.5000000000000001E-2</v>
      </c>
    </row>
    <row r="19" spans="2:20">
      <c r="B19" s="661" t="s">
        <v>2475</v>
      </c>
      <c r="C19" s="676">
        <v>10062</v>
      </c>
      <c r="D19" s="660" t="s">
        <v>310</v>
      </c>
      <c r="E19" s="660" t="s">
        <v>2463</v>
      </c>
      <c r="F19" s="660">
        <v>235</v>
      </c>
      <c r="G19" s="662">
        <v>1600</v>
      </c>
      <c r="H19" s="672">
        <v>0.3</v>
      </c>
      <c r="I19" s="672">
        <v>0.4</v>
      </c>
      <c r="J19" s="672">
        <v>0.3</v>
      </c>
      <c r="K19" s="672">
        <v>0.3</v>
      </c>
      <c r="L19" s="662">
        <f t="shared" si="0"/>
        <v>640</v>
      </c>
      <c r="M19" s="662">
        <f t="shared" si="1"/>
        <v>480</v>
      </c>
      <c r="N19" s="662">
        <f t="shared" si="2"/>
        <v>480</v>
      </c>
      <c r="O19" s="662">
        <f t="shared" si="3"/>
        <v>192</v>
      </c>
      <c r="P19" s="662">
        <f t="shared" si="4"/>
        <v>144</v>
      </c>
      <c r="Q19" s="662">
        <f t="shared" si="5"/>
        <v>144</v>
      </c>
      <c r="R19" s="662" t="s">
        <v>2476</v>
      </c>
      <c r="S19" s="669">
        <v>1.7999999999999999E-2</v>
      </c>
      <c r="T19" s="674">
        <v>3.5999999999999997E-2</v>
      </c>
    </row>
    <row r="20" spans="2:20">
      <c r="B20" s="661" t="s">
        <v>2475</v>
      </c>
      <c r="C20" s="676">
        <v>10063</v>
      </c>
      <c r="D20" s="660" t="s">
        <v>309</v>
      </c>
      <c r="E20" s="660" t="s">
        <v>2463</v>
      </c>
      <c r="F20" s="660">
        <v>235</v>
      </c>
      <c r="G20" s="662">
        <v>2600</v>
      </c>
      <c r="H20" s="672">
        <v>0.3</v>
      </c>
      <c r="I20" s="672">
        <v>0.4</v>
      </c>
      <c r="J20" s="672">
        <v>0.3</v>
      </c>
      <c r="K20" s="672">
        <v>0.3</v>
      </c>
      <c r="L20" s="662">
        <f t="shared" si="0"/>
        <v>1040</v>
      </c>
      <c r="M20" s="662">
        <f t="shared" si="1"/>
        <v>780</v>
      </c>
      <c r="N20" s="662">
        <f t="shared" si="2"/>
        <v>780</v>
      </c>
      <c r="O20" s="662">
        <f t="shared" si="3"/>
        <v>312</v>
      </c>
      <c r="P20" s="662">
        <f t="shared" si="4"/>
        <v>234</v>
      </c>
      <c r="Q20" s="662">
        <f t="shared" si="5"/>
        <v>234</v>
      </c>
      <c r="R20" s="662" t="s">
        <v>2476</v>
      </c>
      <c r="S20" s="669">
        <v>2.5000000000000001E-2</v>
      </c>
      <c r="T20" s="674">
        <v>0.05</v>
      </c>
    </row>
    <row r="21" spans="2:20">
      <c r="B21" s="661" t="s">
        <v>2477</v>
      </c>
      <c r="C21" s="676">
        <v>10071</v>
      </c>
      <c r="D21" s="660" t="s">
        <v>467</v>
      </c>
      <c r="E21" s="660" t="s">
        <v>2463</v>
      </c>
      <c r="F21" s="660">
        <v>125</v>
      </c>
      <c r="G21" s="662">
        <v>1080</v>
      </c>
      <c r="H21" s="672">
        <v>0.3</v>
      </c>
      <c r="I21" s="672">
        <v>0.4</v>
      </c>
      <c r="J21" s="672">
        <v>0.3</v>
      </c>
      <c r="K21" s="672">
        <v>0.3</v>
      </c>
      <c r="L21" s="662">
        <f t="shared" si="0"/>
        <v>431</v>
      </c>
      <c r="M21" s="662">
        <f t="shared" si="1"/>
        <v>323</v>
      </c>
      <c r="N21" s="662">
        <f t="shared" si="2"/>
        <v>323</v>
      </c>
      <c r="O21" s="662">
        <f t="shared" si="3"/>
        <v>129</v>
      </c>
      <c r="P21" s="662">
        <f t="shared" si="4"/>
        <v>97</v>
      </c>
      <c r="Q21" s="662">
        <f t="shared" si="5"/>
        <v>97</v>
      </c>
      <c r="R21" s="662" t="s">
        <v>2478</v>
      </c>
      <c r="S21" s="662">
        <v>125</v>
      </c>
      <c r="T21" s="4">
        <v>250</v>
      </c>
    </row>
    <row r="22" spans="2:20">
      <c r="B22" s="661" t="s">
        <v>2477</v>
      </c>
      <c r="C22" s="676">
        <v>10072</v>
      </c>
      <c r="D22" s="660" t="s">
        <v>310</v>
      </c>
      <c r="E22" s="660" t="s">
        <v>2463</v>
      </c>
      <c r="F22" s="660">
        <v>125</v>
      </c>
      <c r="G22" s="662">
        <v>1600</v>
      </c>
      <c r="H22" s="672">
        <v>0.3</v>
      </c>
      <c r="I22" s="672">
        <v>0.4</v>
      </c>
      <c r="J22" s="672">
        <v>0.3</v>
      </c>
      <c r="K22" s="672">
        <v>0.3</v>
      </c>
      <c r="L22" s="662">
        <f t="shared" si="0"/>
        <v>640</v>
      </c>
      <c r="M22" s="662">
        <f t="shared" si="1"/>
        <v>480</v>
      </c>
      <c r="N22" s="662">
        <f t="shared" si="2"/>
        <v>480</v>
      </c>
      <c r="O22" s="662">
        <f t="shared" si="3"/>
        <v>192</v>
      </c>
      <c r="P22" s="662">
        <f t="shared" si="4"/>
        <v>144</v>
      </c>
      <c r="Q22" s="662">
        <f t="shared" si="5"/>
        <v>144</v>
      </c>
      <c r="R22" s="662" t="s">
        <v>2478</v>
      </c>
      <c r="S22" s="662">
        <v>180</v>
      </c>
      <c r="T22" s="4">
        <v>360</v>
      </c>
    </row>
    <row r="23" spans="2:20">
      <c r="B23" s="661" t="s">
        <v>2477</v>
      </c>
      <c r="C23" s="676">
        <v>10073</v>
      </c>
      <c r="D23" s="660" t="s">
        <v>309</v>
      </c>
      <c r="E23" s="660" t="s">
        <v>2463</v>
      </c>
      <c r="F23" s="660">
        <v>125</v>
      </c>
      <c r="G23" s="662">
        <v>2600</v>
      </c>
      <c r="H23" s="672">
        <v>0.3</v>
      </c>
      <c r="I23" s="672">
        <v>0.4</v>
      </c>
      <c r="J23" s="672">
        <v>0.3</v>
      </c>
      <c r="K23" s="672">
        <v>0.3</v>
      </c>
      <c r="L23" s="662">
        <f t="shared" si="0"/>
        <v>1040</v>
      </c>
      <c r="M23" s="662">
        <f t="shared" si="1"/>
        <v>780</v>
      </c>
      <c r="N23" s="662">
        <f t="shared" si="2"/>
        <v>780</v>
      </c>
      <c r="O23" s="662">
        <f t="shared" si="3"/>
        <v>312</v>
      </c>
      <c r="P23" s="662">
        <f t="shared" si="4"/>
        <v>234</v>
      </c>
      <c r="Q23" s="662">
        <f t="shared" si="5"/>
        <v>234</v>
      </c>
      <c r="R23" s="662" t="s">
        <v>2478</v>
      </c>
      <c r="S23" s="662">
        <v>250</v>
      </c>
      <c r="T23" s="4">
        <v>500</v>
      </c>
    </row>
    <row r="24" spans="2:20">
      <c r="B24" s="661" t="s">
        <v>2479</v>
      </c>
      <c r="C24" s="676">
        <v>10081</v>
      </c>
      <c r="D24" s="660" t="s">
        <v>467</v>
      </c>
      <c r="E24" s="660" t="s">
        <v>2463</v>
      </c>
      <c r="F24" s="660">
        <v>346</v>
      </c>
      <c r="G24" s="662">
        <v>1080</v>
      </c>
      <c r="H24" s="672">
        <v>0.3</v>
      </c>
      <c r="I24" s="672">
        <v>0.4</v>
      </c>
      <c r="J24" s="672">
        <v>0.3</v>
      </c>
      <c r="K24" s="672">
        <v>0.3</v>
      </c>
      <c r="L24" s="662">
        <f t="shared" si="0"/>
        <v>431</v>
      </c>
      <c r="M24" s="662">
        <f t="shared" si="1"/>
        <v>323</v>
      </c>
      <c r="N24" s="662">
        <f t="shared" si="2"/>
        <v>323</v>
      </c>
      <c r="O24" s="662">
        <f t="shared" si="3"/>
        <v>129</v>
      </c>
      <c r="P24" s="662">
        <f t="shared" si="4"/>
        <v>97</v>
      </c>
      <c r="Q24" s="662">
        <f t="shared" si="5"/>
        <v>97</v>
      </c>
      <c r="R24" s="662" t="s">
        <v>2480</v>
      </c>
      <c r="S24" s="662">
        <v>125</v>
      </c>
      <c r="T24" s="4">
        <v>250</v>
      </c>
    </row>
    <row r="25" spans="2:20">
      <c r="B25" s="661" t="s">
        <v>2479</v>
      </c>
      <c r="C25" s="676">
        <v>10082</v>
      </c>
      <c r="D25" s="660" t="s">
        <v>310</v>
      </c>
      <c r="E25" s="660" t="s">
        <v>2463</v>
      </c>
      <c r="F25" s="660">
        <v>346</v>
      </c>
      <c r="G25" s="662">
        <v>1600</v>
      </c>
      <c r="H25" s="672">
        <v>0.3</v>
      </c>
      <c r="I25" s="672">
        <v>0.4</v>
      </c>
      <c r="J25" s="672">
        <v>0.3</v>
      </c>
      <c r="K25" s="672">
        <v>0.3</v>
      </c>
      <c r="L25" s="662">
        <f t="shared" si="0"/>
        <v>640</v>
      </c>
      <c r="M25" s="662">
        <f t="shared" si="1"/>
        <v>480</v>
      </c>
      <c r="N25" s="662">
        <f t="shared" si="2"/>
        <v>480</v>
      </c>
      <c r="O25" s="662">
        <f t="shared" si="3"/>
        <v>192</v>
      </c>
      <c r="P25" s="662">
        <f t="shared" si="4"/>
        <v>144</v>
      </c>
      <c r="Q25" s="662">
        <f t="shared" si="5"/>
        <v>144</v>
      </c>
      <c r="R25" s="662" t="s">
        <v>2480</v>
      </c>
      <c r="S25" s="662">
        <v>180</v>
      </c>
      <c r="T25" s="4">
        <v>360</v>
      </c>
    </row>
    <row r="26" spans="2:20">
      <c r="B26" s="661" t="s">
        <v>2479</v>
      </c>
      <c r="C26" s="676">
        <v>10083</v>
      </c>
      <c r="D26" s="660" t="s">
        <v>309</v>
      </c>
      <c r="E26" s="660" t="s">
        <v>2463</v>
      </c>
      <c r="F26" s="660">
        <v>346</v>
      </c>
      <c r="G26" s="662">
        <v>2600</v>
      </c>
      <c r="H26" s="672">
        <v>0.3</v>
      </c>
      <c r="I26" s="672">
        <v>0.4</v>
      </c>
      <c r="J26" s="672">
        <v>0.3</v>
      </c>
      <c r="K26" s="672">
        <v>0.3</v>
      </c>
      <c r="L26" s="662">
        <f t="shared" si="0"/>
        <v>1040</v>
      </c>
      <c r="M26" s="662">
        <f t="shared" si="1"/>
        <v>780</v>
      </c>
      <c r="N26" s="662">
        <f t="shared" si="2"/>
        <v>780</v>
      </c>
      <c r="O26" s="662">
        <f t="shared" si="3"/>
        <v>312</v>
      </c>
      <c r="P26" s="662">
        <f t="shared" si="4"/>
        <v>234</v>
      </c>
      <c r="Q26" s="662">
        <f t="shared" si="5"/>
        <v>234</v>
      </c>
      <c r="R26" s="662" t="s">
        <v>2480</v>
      </c>
      <c r="S26" s="662">
        <v>250</v>
      </c>
      <c r="T26" s="4">
        <v>500</v>
      </c>
    </row>
    <row r="27" spans="2:20">
      <c r="B27" s="661" t="s">
        <v>2481</v>
      </c>
      <c r="C27" s="676">
        <v>10091</v>
      </c>
      <c r="D27" s="660" t="s">
        <v>467</v>
      </c>
      <c r="E27" s="660" t="s">
        <v>2463</v>
      </c>
      <c r="F27" s="660">
        <v>136</v>
      </c>
      <c r="G27" s="662">
        <v>1080</v>
      </c>
      <c r="H27" s="672">
        <v>0.3</v>
      </c>
      <c r="I27" s="672">
        <v>0.4</v>
      </c>
      <c r="J27" s="672">
        <v>0.3</v>
      </c>
      <c r="K27" s="672">
        <v>0.3</v>
      </c>
      <c r="L27" s="662">
        <f t="shared" si="0"/>
        <v>431</v>
      </c>
      <c r="M27" s="662">
        <f t="shared" si="1"/>
        <v>323</v>
      </c>
      <c r="N27" s="662">
        <f t="shared" si="2"/>
        <v>323</v>
      </c>
      <c r="O27" s="662">
        <f t="shared" si="3"/>
        <v>129</v>
      </c>
      <c r="P27" s="662">
        <f t="shared" si="4"/>
        <v>97</v>
      </c>
      <c r="Q27" s="662">
        <f t="shared" si="5"/>
        <v>97</v>
      </c>
      <c r="R27" s="662" t="s">
        <v>2482</v>
      </c>
      <c r="S27" s="669">
        <v>1.2500000000000001E-2</v>
      </c>
      <c r="T27" s="674">
        <v>2.5000000000000001E-2</v>
      </c>
    </row>
    <row r="28" spans="2:20">
      <c r="B28" s="661" t="s">
        <v>2481</v>
      </c>
      <c r="C28" s="676">
        <v>10092</v>
      </c>
      <c r="D28" s="660" t="s">
        <v>310</v>
      </c>
      <c r="E28" s="660" t="s">
        <v>2463</v>
      </c>
      <c r="F28" s="660">
        <v>136</v>
      </c>
      <c r="G28" s="662">
        <v>1600</v>
      </c>
      <c r="H28" s="672">
        <v>0.3</v>
      </c>
      <c r="I28" s="672">
        <v>0.4</v>
      </c>
      <c r="J28" s="672">
        <v>0.3</v>
      </c>
      <c r="K28" s="672">
        <v>0.3</v>
      </c>
      <c r="L28" s="662">
        <f t="shared" si="0"/>
        <v>640</v>
      </c>
      <c r="M28" s="662">
        <f t="shared" si="1"/>
        <v>480</v>
      </c>
      <c r="N28" s="662">
        <f t="shared" si="2"/>
        <v>480</v>
      </c>
      <c r="O28" s="662">
        <f t="shared" si="3"/>
        <v>192</v>
      </c>
      <c r="P28" s="662">
        <f t="shared" si="4"/>
        <v>144</v>
      </c>
      <c r="Q28" s="662">
        <f t="shared" si="5"/>
        <v>144</v>
      </c>
      <c r="R28" s="662" t="s">
        <v>2482</v>
      </c>
      <c r="S28" s="669">
        <v>1.7999999999999999E-2</v>
      </c>
      <c r="T28" s="674">
        <v>3.5999999999999997E-2</v>
      </c>
    </row>
    <row r="29" spans="2:20">
      <c r="B29" s="661" t="s">
        <v>2481</v>
      </c>
      <c r="C29" s="676">
        <v>10093</v>
      </c>
      <c r="D29" s="660" t="s">
        <v>309</v>
      </c>
      <c r="E29" s="660" t="s">
        <v>2463</v>
      </c>
      <c r="F29" s="660">
        <v>136</v>
      </c>
      <c r="G29" s="662">
        <v>2600</v>
      </c>
      <c r="H29" s="672">
        <v>0.3</v>
      </c>
      <c r="I29" s="672">
        <v>0.4</v>
      </c>
      <c r="J29" s="672">
        <v>0.3</v>
      </c>
      <c r="K29" s="672">
        <v>0.3</v>
      </c>
      <c r="L29" s="662">
        <f t="shared" si="0"/>
        <v>1040</v>
      </c>
      <c r="M29" s="662">
        <f t="shared" si="1"/>
        <v>780</v>
      </c>
      <c r="N29" s="662">
        <f t="shared" si="2"/>
        <v>780</v>
      </c>
      <c r="O29" s="662">
        <f t="shared" si="3"/>
        <v>312</v>
      </c>
      <c r="P29" s="662">
        <f t="shared" si="4"/>
        <v>234</v>
      </c>
      <c r="Q29" s="662">
        <f t="shared" si="5"/>
        <v>234</v>
      </c>
      <c r="R29" s="662" t="s">
        <v>2482</v>
      </c>
      <c r="S29" s="669">
        <v>2.5000000000000001E-2</v>
      </c>
      <c r="T29" s="674">
        <v>0.05</v>
      </c>
    </row>
    <row r="30" spans="2:20">
      <c r="B30" s="661" t="s">
        <v>2483</v>
      </c>
      <c r="C30" s="676">
        <v>10101</v>
      </c>
      <c r="D30" s="660" t="s">
        <v>467</v>
      </c>
      <c r="E30" s="660" t="s">
        <v>2463</v>
      </c>
      <c r="F30" s="660">
        <v>245</v>
      </c>
      <c r="G30" s="662">
        <v>1080</v>
      </c>
      <c r="H30" s="672">
        <v>0.3</v>
      </c>
      <c r="I30" s="672">
        <v>0.4</v>
      </c>
      <c r="J30" s="672">
        <v>0.3</v>
      </c>
      <c r="K30" s="672">
        <v>0.3</v>
      </c>
      <c r="L30" s="662">
        <f t="shared" si="0"/>
        <v>431</v>
      </c>
      <c r="M30" s="662">
        <f t="shared" si="1"/>
        <v>323</v>
      </c>
      <c r="N30" s="662">
        <f t="shared" si="2"/>
        <v>323</v>
      </c>
      <c r="O30" s="662">
        <f t="shared" si="3"/>
        <v>129</v>
      </c>
      <c r="P30" s="662">
        <f t="shared" si="4"/>
        <v>97</v>
      </c>
      <c r="Q30" s="662">
        <f t="shared" si="5"/>
        <v>97</v>
      </c>
      <c r="R30" s="662" t="s">
        <v>2484</v>
      </c>
      <c r="S30" s="669">
        <v>1.2500000000000001E-2</v>
      </c>
      <c r="T30" s="674">
        <v>2.5000000000000001E-2</v>
      </c>
    </row>
    <row r="31" spans="2:20">
      <c r="B31" s="661" t="s">
        <v>2483</v>
      </c>
      <c r="C31" s="676">
        <v>10102</v>
      </c>
      <c r="D31" s="660" t="s">
        <v>310</v>
      </c>
      <c r="E31" s="660" t="s">
        <v>2463</v>
      </c>
      <c r="F31" s="660">
        <v>245</v>
      </c>
      <c r="G31" s="662">
        <v>1600</v>
      </c>
      <c r="H31" s="672">
        <v>0.3</v>
      </c>
      <c r="I31" s="672">
        <v>0.4</v>
      </c>
      <c r="J31" s="672">
        <v>0.3</v>
      </c>
      <c r="K31" s="672">
        <v>0.3</v>
      </c>
      <c r="L31" s="662">
        <f t="shared" si="0"/>
        <v>640</v>
      </c>
      <c r="M31" s="662">
        <f t="shared" si="1"/>
        <v>480</v>
      </c>
      <c r="N31" s="662">
        <f t="shared" si="2"/>
        <v>480</v>
      </c>
      <c r="O31" s="662">
        <f t="shared" si="3"/>
        <v>192</v>
      </c>
      <c r="P31" s="662">
        <f t="shared" si="4"/>
        <v>144</v>
      </c>
      <c r="Q31" s="662">
        <f t="shared" si="5"/>
        <v>144</v>
      </c>
      <c r="R31" s="662" t="s">
        <v>2484</v>
      </c>
      <c r="S31" s="669">
        <v>1.7999999999999999E-2</v>
      </c>
      <c r="T31" s="674">
        <v>3.5999999999999997E-2</v>
      </c>
    </row>
    <row r="32" spans="2:20">
      <c r="B32" s="661" t="s">
        <v>2483</v>
      </c>
      <c r="C32" s="676">
        <v>10103</v>
      </c>
      <c r="D32" s="660" t="s">
        <v>309</v>
      </c>
      <c r="E32" s="660" t="s">
        <v>2463</v>
      </c>
      <c r="F32" s="660">
        <v>245</v>
      </c>
      <c r="G32" s="662">
        <v>2600</v>
      </c>
      <c r="H32" s="672">
        <v>0.3</v>
      </c>
      <c r="I32" s="672">
        <v>0.4</v>
      </c>
      <c r="J32" s="672">
        <v>0.3</v>
      </c>
      <c r="K32" s="672">
        <v>0.3</v>
      </c>
      <c r="L32" s="662">
        <f t="shared" si="0"/>
        <v>1040</v>
      </c>
      <c r="M32" s="662">
        <f t="shared" si="1"/>
        <v>780</v>
      </c>
      <c r="N32" s="662">
        <f t="shared" si="2"/>
        <v>780</v>
      </c>
      <c r="O32" s="662">
        <f t="shared" si="3"/>
        <v>312</v>
      </c>
      <c r="P32" s="662">
        <f t="shared" si="4"/>
        <v>234</v>
      </c>
      <c r="Q32" s="662">
        <f t="shared" si="5"/>
        <v>234</v>
      </c>
      <c r="R32" s="662" t="s">
        <v>2484</v>
      </c>
      <c r="S32" s="669">
        <v>2.5000000000000001E-2</v>
      </c>
      <c r="T32" s="674">
        <v>0.05</v>
      </c>
    </row>
    <row r="33" spans="2:20">
      <c r="B33" s="661" t="s">
        <v>2485</v>
      </c>
      <c r="C33" s="676">
        <v>30111</v>
      </c>
      <c r="D33" s="660" t="s">
        <v>467</v>
      </c>
      <c r="E33" s="660" t="s">
        <v>2486</v>
      </c>
      <c r="F33" s="660">
        <v>123456</v>
      </c>
      <c r="G33" s="662">
        <v>1020</v>
      </c>
      <c r="H33" s="672">
        <v>0.3</v>
      </c>
      <c r="I33" s="672">
        <v>0.3</v>
      </c>
      <c r="J33" s="672">
        <v>0.4</v>
      </c>
      <c r="K33" s="672">
        <v>0.3</v>
      </c>
      <c r="L33" s="662">
        <f t="shared" si="0"/>
        <v>305</v>
      </c>
      <c r="M33" s="662">
        <f t="shared" si="1"/>
        <v>407</v>
      </c>
      <c r="N33" s="662">
        <f t="shared" si="2"/>
        <v>305</v>
      </c>
      <c r="O33" s="662">
        <f t="shared" si="3"/>
        <v>91</v>
      </c>
      <c r="P33" s="662">
        <f t="shared" si="4"/>
        <v>122</v>
      </c>
      <c r="Q33" s="662">
        <f t="shared" si="5"/>
        <v>91</v>
      </c>
      <c r="R33" s="662" t="s">
        <v>2560</v>
      </c>
      <c r="S33" s="669">
        <v>0.01</v>
      </c>
      <c r="T33" s="674">
        <v>0.02</v>
      </c>
    </row>
    <row r="34" spans="2:20">
      <c r="B34" s="661" t="s">
        <v>2487</v>
      </c>
      <c r="C34" s="676">
        <v>30121</v>
      </c>
      <c r="D34" s="660" t="s">
        <v>467</v>
      </c>
      <c r="E34" s="660" t="s">
        <v>2486</v>
      </c>
      <c r="F34" s="660">
        <v>123456</v>
      </c>
      <c r="G34" s="662">
        <v>1020</v>
      </c>
      <c r="H34" s="672">
        <v>0.3</v>
      </c>
      <c r="I34" s="672">
        <v>0.3</v>
      </c>
      <c r="J34" s="672">
        <v>0.4</v>
      </c>
      <c r="K34" s="672">
        <v>0.3</v>
      </c>
      <c r="L34" s="662">
        <f t="shared" si="0"/>
        <v>305</v>
      </c>
      <c r="M34" s="662">
        <f t="shared" si="1"/>
        <v>407</v>
      </c>
      <c r="N34" s="662">
        <f t="shared" si="2"/>
        <v>305</v>
      </c>
      <c r="O34" s="662">
        <f t="shared" si="3"/>
        <v>91</v>
      </c>
      <c r="P34" s="662">
        <f t="shared" si="4"/>
        <v>122</v>
      </c>
      <c r="Q34" s="662">
        <f t="shared" si="5"/>
        <v>91</v>
      </c>
      <c r="R34" s="662" t="s">
        <v>2560</v>
      </c>
      <c r="S34" s="669">
        <v>0.01</v>
      </c>
      <c r="T34" s="674">
        <v>0.02</v>
      </c>
    </row>
    <row r="35" spans="2:20">
      <c r="B35" s="661" t="s">
        <v>2488</v>
      </c>
      <c r="C35" s="676">
        <v>30131</v>
      </c>
      <c r="D35" s="660" t="s">
        <v>467</v>
      </c>
      <c r="E35" s="660" t="s">
        <v>2486</v>
      </c>
      <c r="F35" s="660">
        <v>123456</v>
      </c>
      <c r="G35" s="662">
        <v>1020</v>
      </c>
      <c r="H35" s="672">
        <v>0.3</v>
      </c>
      <c r="I35" s="672">
        <v>0.3</v>
      </c>
      <c r="J35" s="672">
        <v>0.4</v>
      </c>
      <c r="K35" s="672">
        <v>0.3</v>
      </c>
      <c r="L35" s="662">
        <f t="shared" ref="L35:L66" si="6">O35+_xlfn.FLOOR.MATH($G35*(1-$H35)*I35)</f>
        <v>305</v>
      </c>
      <c r="M35" s="662">
        <f t="shared" ref="M35:M66" si="7">P35+_xlfn.FLOOR.MATH($G35*(1-$H35)*J35)</f>
        <v>407</v>
      </c>
      <c r="N35" s="662">
        <f t="shared" ref="N35:N66" si="8">Q35+_xlfn.FLOOR.MATH($G35*(1-$H35)*K35)</f>
        <v>305</v>
      </c>
      <c r="O35" s="662">
        <f t="shared" ref="O35:O66" si="9">_xlfn.FLOOR.MATH($G35*$H35*I35)</f>
        <v>91</v>
      </c>
      <c r="P35" s="662">
        <f t="shared" ref="P35:P66" si="10">_xlfn.FLOOR.MATH($G35*$H35*J35)</f>
        <v>122</v>
      </c>
      <c r="Q35" s="662">
        <f t="shared" ref="Q35:Q66" si="11">_xlfn.FLOOR.MATH($G35*$H35*K35)</f>
        <v>91</v>
      </c>
      <c r="R35" s="662" t="s">
        <v>2560</v>
      </c>
      <c r="S35" s="669">
        <v>0.01</v>
      </c>
      <c r="T35" s="674">
        <v>0.02</v>
      </c>
    </row>
    <row r="36" spans="2:20">
      <c r="B36" s="661" t="s">
        <v>2489</v>
      </c>
      <c r="C36" s="676">
        <v>30141</v>
      </c>
      <c r="D36" s="660" t="s">
        <v>467</v>
      </c>
      <c r="E36" s="660" t="s">
        <v>2486</v>
      </c>
      <c r="F36" s="660">
        <v>1</v>
      </c>
      <c r="G36" s="662">
        <v>1020</v>
      </c>
      <c r="H36" s="672">
        <v>0.3</v>
      </c>
      <c r="I36" s="672">
        <v>0.3</v>
      </c>
      <c r="J36" s="672">
        <v>0.25</v>
      </c>
      <c r="K36" s="672">
        <v>0.45</v>
      </c>
      <c r="L36" s="662">
        <f t="shared" si="6"/>
        <v>305</v>
      </c>
      <c r="M36" s="662">
        <f t="shared" si="7"/>
        <v>254</v>
      </c>
      <c r="N36" s="662">
        <f t="shared" si="8"/>
        <v>458</v>
      </c>
      <c r="O36" s="662">
        <f t="shared" si="9"/>
        <v>91</v>
      </c>
      <c r="P36" s="662">
        <f t="shared" si="10"/>
        <v>76</v>
      </c>
      <c r="Q36" s="662">
        <f t="shared" si="11"/>
        <v>137</v>
      </c>
      <c r="R36" s="662" t="s">
        <v>2490</v>
      </c>
      <c r="S36" s="669">
        <v>0.01</v>
      </c>
      <c r="T36" s="674">
        <v>0.02</v>
      </c>
    </row>
    <row r="37" spans="2:20">
      <c r="B37" s="661" t="s">
        <v>2491</v>
      </c>
      <c r="C37" s="676">
        <v>30151</v>
      </c>
      <c r="D37" s="660" t="s">
        <v>467</v>
      </c>
      <c r="E37" s="660" t="s">
        <v>2486</v>
      </c>
      <c r="F37" s="660">
        <v>3</v>
      </c>
      <c r="G37" s="662">
        <v>1020</v>
      </c>
      <c r="H37" s="672">
        <v>0.3</v>
      </c>
      <c r="I37" s="672">
        <v>0.3</v>
      </c>
      <c r="J37" s="672">
        <v>0.25</v>
      </c>
      <c r="K37" s="672">
        <v>0.45</v>
      </c>
      <c r="L37" s="662">
        <f t="shared" si="6"/>
        <v>305</v>
      </c>
      <c r="M37" s="662">
        <f t="shared" si="7"/>
        <v>254</v>
      </c>
      <c r="N37" s="662">
        <f t="shared" si="8"/>
        <v>458</v>
      </c>
      <c r="O37" s="662">
        <f t="shared" si="9"/>
        <v>91</v>
      </c>
      <c r="P37" s="662">
        <f t="shared" si="10"/>
        <v>76</v>
      </c>
      <c r="Q37" s="662">
        <f t="shared" si="11"/>
        <v>137</v>
      </c>
      <c r="R37" s="662" t="s">
        <v>2490</v>
      </c>
      <c r="S37" s="669">
        <v>0.01</v>
      </c>
      <c r="T37" s="674">
        <v>0.02</v>
      </c>
    </row>
    <row r="38" spans="2:20">
      <c r="B38" s="661" t="s">
        <v>2492</v>
      </c>
      <c r="C38" s="676">
        <v>30161</v>
      </c>
      <c r="D38" s="660" t="s">
        <v>467</v>
      </c>
      <c r="E38" s="660" t="s">
        <v>2486</v>
      </c>
      <c r="F38" s="660">
        <v>5</v>
      </c>
      <c r="G38" s="662">
        <v>1020</v>
      </c>
      <c r="H38" s="672">
        <v>0.3</v>
      </c>
      <c r="I38" s="672">
        <v>0.3</v>
      </c>
      <c r="J38" s="672">
        <v>0.25</v>
      </c>
      <c r="K38" s="672">
        <v>0.45</v>
      </c>
      <c r="L38" s="662">
        <f t="shared" si="6"/>
        <v>305</v>
      </c>
      <c r="M38" s="662">
        <f t="shared" si="7"/>
        <v>254</v>
      </c>
      <c r="N38" s="662">
        <f t="shared" si="8"/>
        <v>458</v>
      </c>
      <c r="O38" s="662">
        <f t="shared" si="9"/>
        <v>91</v>
      </c>
      <c r="P38" s="662">
        <f t="shared" si="10"/>
        <v>76</v>
      </c>
      <c r="Q38" s="662">
        <f t="shared" si="11"/>
        <v>137</v>
      </c>
      <c r="R38" s="662" t="s">
        <v>2490</v>
      </c>
      <c r="S38" s="669">
        <v>0.01</v>
      </c>
      <c r="T38" s="674">
        <v>0.02</v>
      </c>
    </row>
    <row r="39" spans="2:20">
      <c r="B39" s="661" t="s">
        <v>2493</v>
      </c>
      <c r="C39" s="676">
        <v>30171</v>
      </c>
      <c r="D39" s="660" t="s">
        <v>467</v>
      </c>
      <c r="E39" s="660" t="s">
        <v>2486</v>
      </c>
      <c r="F39" s="660">
        <v>4</v>
      </c>
      <c r="G39" s="662">
        <v>1020</v>
      </c>
      <c r="H39" s="672">
        <v>0.3</v>
      </c>
      <c r="I39" s="672">
        <v>0.25</v>
      </c>
      <c r="J39" s="672">
        <v>0.48</v>
      </c>
      <c r="K39" s="672">
        <v>0.27</v>
      </c>
      <c r="L39" s="662">
        <f t="shared" si="6"/>
        <v>254</v>
      </c>
      <c r="M39" s="662">
        <f t="shared" si="7"/>
        <v>488</v>
      </c>
      <c r="N39" s="662">
        <f t="shared" si="8"/>
        <v>274</v>
      </c>
      <c r="O39" s="662">
        <f t="shared" si="9"/>
        <v>76</v>
      </c>
      <c r="P39" s="662">
        <f t="shared" si="10"/>
        <v>146</v>
      </c>
      <c r="Q39" s="662">
        <f t="shared" si="11"/>
        <v>82</v>
      </c>
      <c r="R39" s="662" t="s">
        <v>2494</v>
      </c>
      <c r="S39" s="669">
        <v>0.01</v>
      </c>
      <c r="T39" s="674">
        <v>0.02</v>
      </c>
    </row>
    <row r="40" spans="2:20">
      <c r="B40" s="661" t="s">
        <v>2495</v>
      </c>
      <c r="C40" s="676">
        <v>30181</v>
      </c>
      <c r="D40" s="660" t="s">
        <v>467</v>
      </c>
      <c r="E40" s="660" t="s">
        <v>2486</v>
      </c>
      <c r="F40" s="660">
        <v>3</v>
      </c>
      <c r="G40" s="662">
        <v>1020</v>
      </c>
      <c r="H40" s="672">
        <v>0.3</v>
      </c>
      <c r="I40" s="672">
        <v>0.4</v>
      </c>
      <c r="J40" s="672">
        <v>0.38</v>
      </c>
      <c r="K40" s="672">
        <v>0.22</v>
      </c>
      <c r="L40" s="662">
        <f t="shared" si="6"/>
        <v>407</v>
      </c>
      <c r="M40" s="662">
        <f t="shared" si="7"/>
        <v>387</v>
      </c>
      <c r="N40" s="662">
        <f t="shared" si="8"/>
        <v>224</v>
      </c>
      <c r="O40" s="662">
        <f t="shared" si="9"/>
        <v>122</v>
      </c>
      <c r="P40" s="662">
        <f t="shared" si="10"/>
        <v>116</v>
      </c>
      <c r="Q40" s="662">
        <f t="shared" si="11"/>
        <v>67</v>
      </c>
      <c r="R40" s="662" t="s">
        <v>2498</v>
      </c>
      <c r="S40" s="669">
        <v>0.01</v>
      </c>
      <c r="T40" s="674">
        <v>0.02</v>
      </c>
    </row>
    <row r="41" spans="2:20">
      <c r="B41" s="661" t="s">
        <v>2496</v>
      </c>
      <c r="C41" s="676">
        <v>30191</v>
      </c>
      <c r="D41" s="660" t="s">
        <v>467</v>
      </c>
      <c r="E41" s="660" t="s">
        <v>2486</v>
      </c>
      <c r="F41" s="660">
        <v>1</v>
      </c>
      <c r="G41" s="662">
        <v>1020</v>
      </c>
      <c r="H41" s="672">
        <v>0.3</v>
      </c>
      <c r="I41" s="672">
        <v>0.4</v>
      </c>
      <c r="J41" s="672">
        <v>0.38</v>
      </c>
      <c r="K41" s="672">
        <v>0.22</v>
      </c>
      <c r="L41" s="662">
        <f t="shared" si="6"/>
        <v>407</v>
      </c>
      <c r="M41" s="662">
        <f t="shared" si="7"/>
        <v>387</v>
      </c>
      <c r="N41" s="662">
        <f t="shared" si="8"/>
        <v>224</v>
      </c>
      <c r="O41" s="662">
        <f t="shared" si="9"/>
        <v>122</v>
      </c>
      <c r="P41" s="662">
        <f t="shared" si="10"/>
        <v>116</v>
      </c>
      <c r="Q41" s="662">
        <f t="shared" si="11"/>
        <v>67</v>
      </c>
      <c r="R41" s="662" t="s">
        <v>2498</v>
      </c>
      <c r="S41" s="669">
        <v>0.01</v>
      </c>
      <c r="T41" s="674">
        <v>0.02</v>
      </c>
    </row>
    <row r="42" spans="2:20">
      <c r="B42" s="661" t="s">
        <v>2497</v>
      </c>
      <c r="C42" s="676">
        <v>30201</v>
      </c>
      <c r="D42" s="660" t="s">
        <v>467</v>
      </c>
      <c r="E42" s="660" t="s">
        <v>2486</v>
      </c>
      <c r="F42" s="660">
        <v>2</v>
      </c>
      <c r="G42" s="662">
        <v>1020</v>
      </c>
      <c r="H42" s="672">
        <v>0.3</v>
      </c>
      <c r="I42" s="672">
        <v>0.4</v>
      </c>
      <c r="J42" s="672">
        <v>0.38</v>
      </c>
      <c r="K42" s="672">
        <v>0.22</v>
      </c>
      <c r="L42" s="662">
        <f t="shared" si="6"/>
        <v>407</v>
      </c>
      <c r="M42" s="662">
        <f t="shared" si="7"/>
        <v>387</v>
      </c>
      <c r="N42" s="662">
        <f t="shared" si="8"/>
        <v>224</v>
      </c>
      <c r="O42" s="662">
        <f t="shared" si="9"/>
        <v>122</v>
      </c>
      <c r="P42" s="662">
        <f t="shared" si="10"/>
        <v>116</v>
      </c>
      <c r="Q42" s="662">
        <f t="shared" si="11"/>
        <v>67</v>
      </c>
      <c r="R42" s="662" t="s">
        <v>2498</v>
      </c>
      <c r="S42" s="669">
        <v>0.01</v>
      </c>
      <c r="T42" s="674">
        <v>0.02</v>
      </c>
    </row>
    <row r="43" spans="2:20">
      <c r="B43" s="661" t="s">
        <v>2499</v>
      </c>
      <c r="C43" s="676">
        <v>30211</v>
      </c>
      <c r="D43" s="660" t="s">
        <v>467</v>
      </c>
      <c r="E43" s="660" t="s">
        <v>2486</v>
      </c>
      <c r="F43" s="660">
        <v>6</v>
      </c>
      <c r="G43" s="662">
        <v>1020</v>
      </c>
      <c r="H43" s="672">
        <v>0.3</v>
      </c>
      <c r="I43" s="672">
        <v>0.32</v>
      </c>
      <c r="J43" s="672">
        <v>0.28000000000000003</v>
      </c>
      <c r="K43" s="672">
        <v>0.4</v>
      </c>
      <c r="L43" s="662">
        <f t="shared" si="6"/>
        <v>325</v>
      </c>
      <c r="M43" s="662">
        <f t="shared" si="7"/>
        <v>284</v>
      </c>
      <c r="N43" s="662">
        <f t="shared" si="8"/>
        <v>407</v>
      </c>
      <c r="O43" s="662">
        <f t="shared" si="9"/>
        <v>97</v>
      </c>
      <c r="P43" s="662">
        <f t="shared" si="10"/>
        <v>85</v>
      </c>
      <c r="Q43" s="662">
        <f t="shared" si="11"/>
        <v>122</v>
      </c>
      <c r="R43" s="662" t="s">
        <v>2500</v>
      </c>
      <c r="S43" s="669">
        <v>1.4999999999999999E-2</v>
      </c>
      <c r="T43" s="674">
        <v>0.03</v>
      </c>
    </row>
    <row r="44" spans="2:20">
      <c r="B44" s="661" t="s">
        <v>2501</v>
      </c>
      <c r="C44" s="676">
        <v>30221</v>
      </c>
      <c r="D44" s="660" t="s">
        <v>467</v>
      </c>
      <c r="E44" s="660" t="s">
        <v>2486</v>
      </c>
      <c r="F44" s="660">
        <v>2</v>
      </c>
      <c r="G44" s="662">
        <v>1020</v>
      </c>
      <c r="H44" s="672">
        <v>0.3</v>
      </c>
      <c r="I44" s="672">
        <v>0.43</v>
      </c>
      <c r="J44" s="672">
        <v>0.2</v>
      </c>
      <c r="K44" s="672">
        <v>0.37</v>
      </c>
      <c r="L44" s="662">
        <f t="shared" si="6"/>
        <v>438</v>
      </c>
      <c r="M44" s="662">
        <f t="shared" si="7"/>
        <v>203</v>
      </c>
      <c r="N44" s="662">
        <f t="shared" si="8"/>
        <v>377</v>
      </c>
      <c r="O44" s="662">
        <f t="shared" si="9"/>
        <v>131</v>
      </c>
      <c r="P44" s="662">
        <f t="shared" si="10"/>
        <v>61</v>
      </c>
      <c r="Q44" s="662">
        <f t="shared" si="11"/>
        <v>113</v>
      </c>
      <c r="R44" s="662" t="s">
        <v>2502</v>
      </c>
      <c r="S44" s="669">
        <v>0.01</v>
      </c>
      <c r="T44" s="674">
        <v>0.02</v>
      </c>
    </row>
    <row r="45" spans="2:20">
      <c r="B45" s="661" t="s">
        <v>2503</v>
      </c>
      <c r="C45" s="676">
        <v>30231</v>
      </c>
      <c r="D45" s="660" t="s">
        <v>467</v>
      </c>
      <c r="E45" s="660" t="s">
        <v>2486</v>
      </c>
      <c r="F45" s="660">
        <v>4</v>
      </c>
      <c r="G45" s="662">
        <v>1020</v>
      </c>
      <c r="H45" s="672">
        <v>0.3</v>
      </c>
      <c r="I45" s="672">
        <v>0.38</v>
      </c>
      <c r="J45" s="672">
        <v>0.28000000000000003</v>
      </c>
      <c r="K45" s="672">
        <v>0.34</v>
      </c>
      <c r="L45" s="662">
        <f t="shared" si="6"/>
        <v>387</v>
      </c>
      <c r="M45" s="662">
        <f t="shared" si="7"/>
        <v>284</v>
      </c>
      <c r="N45" s="662">
        <f t="shared" si="8"/>
        <v>346</v>
      </c>
      <c r="O45" s="662">
        <f t="shared" si="9"/>
        <v>116</v>
      </c>
      <c r="P45" s="662">
        <f t="shared" si="10"/>
        <v>85</v>
      </c>
      <c r="Q45" s="662">
        <f t="shared" si="11"/>
        <v>104</v>
      </c>
      <c r="R45" s="662" t="s">
        <v>2504</v>
      </c>
      <c r="S45" s="662">
        <v>50</v>
      </c>
      <c r="T45" s="4">
        <v>100</v>
      </c>
    </row>
    <row r="46" spans="2:20">
      <c r="B46" s="661" t="s">
        <v>2505</v>
      </c>
      <c r="C46" s="676">
        <v>30241</v>
      </c>
      <c r="D46" s="660" t="s">
        <v>467</v>
      </c>
      <c r="E46" s="660" t="s">
        <v>2486</v>
      </c>
      <c r="F46" s="660">
        <v>5</v>
      </c>
      <c r="G46" s="662">
        <v>1020</v>
      </c>
      <c r="H46" s="672">
        <v>0.3</v>
      </c>
      <c r="I46" s="672">
        <v>0.38</v>
      </c>
      <c r="J46" s="672">
        <v>0.28000000000000003</v>
      </c>
      <c r="K46" s="672">
        <v>0.34</v>
      </c>
      <c r="L46" s="662">
        <f t="shared" si="6"/>
        <v>387</v>
      </c>
      <c r="M46" s="662">
        <f t="shared" si="7"/>
        <v>284</v>
      </c>
      <c r="N46" s="662">
        <f t="shared" si="8"/>
        <v>346</v>
      </c>
      <c r="O46" s="662">
        <f t="shared" si="9"/>
        <v>116</v>
      </c>
      <c r="P46" s="662">
        <f t="shared" si="10"/>
        <v>85</v>
      </c>
      <c r="Q46" s="662">
        <f t="shared" si="11"/>
        <v>104</v>
      </c>
      <c r="R46" s="662" t="s">
        <v>2506</v>
      </c>
      <c r="S46" s="669">
        <v>5.0000000000000001E-3</v>
      </c>
      <c r="T46" s="674">
        <v>0.01</v>
      </c>
    </row>
    <row r="47" spans="2:20">
      <c r="B47" s="661" t="s">
        <v>2507</v>
      </c>
      <c r="C47" s="676">
        <v>30251</v>
      </c>
      <c r="D47" s="660" t="s">
        <v>467</v>
      </c>
      <c r="E47" s="660" t="s">
        <v>2486</v>
      </c>
      <c r="F47" s="660">
        <v>6</v>
      </c>
      <c r="G47" s="662">
        <v>1020</v>
      </c>
      <c r="H47" s="672">
        <v>0.3</v>
      </c>
      <c r="I47" s="672">
        <v>0.38</v>
      </c>
      <c r="J47" s="672">
        <v>0.28000000000000003</v>
      </c>
      <c r="K47" s="672">
        <v>0.34</v>
      </c>
      <c r="L47" s="662">
        <f t="shared" si="6"/>
        <v>387</v>
      </c>
      <c r="M47" s="662">
        <f t="shared" si="7"/>
        <v>284</v>
      </c>
      <c r="N47" s="662">
        <f t="shared" si="8"/>
        <v>346</v>
      </c>
      <c r="O47" s="662">
        <f t="shared" si="9"/>
        <v>116</v>
      </c>
      <c r="P47" s="662">
        <f t="shared" si="10"/>
        <v>85</v>
      </c>
      <c r="Q47" s="662">
        <f t="shared" si="11"/>
        <v>104</v>
      </c>
      <c r="R47" s="662" t="s">
        <v>2508</v>
      </c>
      <c r="S47" s="662">
        <v>50</v>
      </c>
      <c r="T47" s="4">
        <v>100</v>
      </c>
    </row>
    <row r="48" spans="2:20">
      <c r="B48" s="661" t="s">
        <v>2509</v>
      </c>
      <c r="C48" s="676">
        <v>30263</v>
      </c>
      <c r="D48" s="660" t="s">
        <v>309</v>
      </c>
      <c r="E48" s="660" t="s">
        <v>2510</v>
      </c>
      <c r="F48" s="660">
        <v>35</v>
      </c>
      <c r="G48" s="662">
        <v>2600</v>
      </c>
      <c r="H48" s="672">
        <v>0.3</v>
      </c>
      <c r="I48" s="672">
        <v>0.3</v>
      </c>
      <c r="J48" s="672">
        <v>0.25</v>
      </c>
      <c r="K48" s="672">
        <v>0.45</v>
      </c>
      <c r="L48" s="662">
        <f t="shared" si="6"/>
        <v>780</v>
      </c>
      <c r="M48" s="662">
        <f t="shared" si="7"/>
        <v>650</v>
      </c>
      <c r="N48" s="662">
        <f t="shared" si="8"/>
        <v>1170</v>
      </c>
      <c r="O48" s="662">
        <f t="shared" si="9"/>
        <v>234</v>
      </c>
      <c r="P48" s="662">
        <f t="shared" si="10"/>
        <v>195</v>
      </c>
      <c r="Q48" s="662">
        <f t="shared" si="11"/>
        <v>351</v>
      </c>
      <c r="R48" s="662" t="s">
        <v>2511</v>
      </c>
      <c r="S48" s="669">
        <v>0.01</v>
      </c>
      <c r="T48" s="674">
        <v>0.05</v>
      </c>
    </row>
    <row r="49" spans="2:20">
      <c r="B49" s="661" t="s">
        <v>2512</v>
      </c>
      <c r="C49" s="676">
        <v>30273</v>
      </c>
      <c r="D49" s="660" t="s">
        <v>309</v>
      </c>
      <c r="E49" s="660" t="s">
        <v>2510</v>
      </c>
      <c r="F49" s="660">
        <v>16</v>
      </c>
      <c r="G49" s="662">
        <v>2600</v>
      </c>
      <c r="H49" s="672">
        <v>0.3</v>
      </c>
      <c r="I49" s="672">
        <v>0.3</v>
      </c>
      <c r="J49" s="672">
        <v>0.25</v>
      </c>
      <c r="K49" s="672">
        <v>0.45</v>
      </c>
      <c r="L49" s="662">
        <f t="shared" si="6"/>
        <v>780</v>
      </c>
      <c r="M49" s="662">
        <f t="shared" si="7"/>
        <v>650</v>
      </c>
      <c r="N49" s="662">
        <f t="shared" si="8"/>
        <v>1170</v>
      </c>
      <c r="O49" s="662">
        <f t="shared" si="9"/>
        <v>234</v>
      </c>
      <c r="P49" s="662">
        <f t="shared" si="10"/>
        <v>195</v>
      </c>
      <c r="Q49" s="662">
        <f t="shared" si="11"/>
        <v>351</v>
      </c>
      <c r="R49" s="662" t="s">
        <v>2513</v>
      </c>
      <c r="S49" s="669">
        <v>0.01</v>
      </c>
      <c r="T49" s="674">
        <v>0.1</v>
      </c>
    </row>
    <row r="50" spans="2:20">
      <c r="B50" s="661" t="s">
        <v>2514</v>
      </c>
      <c r="C50" s="676">
        <v>30283</v>
      </c>
      <c r="D50" s="660" t="s">
        <v>309</v>
      </c>
      <c r="E50" s="660" t="s">
        <v>2510</v>
      </c>
      <c r="F50" s="660">
        <v>24</v>
      </c>
      <c r="G50" s="662">
        <v>2600</v>
      </c>
      <c r="H50" s="672">
        <v>0.3</v>
      </c>
      <c r="I50" s="672">
        <v>0.3</v>
      </c>
      <c r="J50" s="672">
        <v>0.25</v>
      </c>
      <c r="K50" s="672">
        <v>0.45</v>
      </c>
      <c r="L50" s="662">
        <f t="shared" si="6"/>
        <v>780</v>
      </c>
      <c r="M50" s="662">
        <f t="shared" si="7"/>
        <v>650</v>
      </c>
      <c r="N50" s="662">
        <f t="shared" si="8"/>
        <v>1170</v>
      </c>
      <c r="O50" s="662">
        <f t="shared" si="9"/>
        <v>234</v>
      </c>
      <c r="P50" s="662">
        <f t="shared" si="10"/>
        <v>195</v>
      </c>
      <c r="Q50" s="662">
        <f t="shared" si="11"/>
        <v>351</v>
      </c>
      <c r="R50" s="662" t="s">
        <v>2515</v>
      </c>
      <c r="S50" s="669">
        <v>0.05</v>
      </c>
      <c r="T50" s="674">
        <v>0.2</v>
      </c>
    </row>
    <row r="51" spans="2:20">
      <c r="B51" s="661" t="s">
        <v>2516</v>
      </c>
      <c r="C51" s="676">
        <v>30291</v>
      </c>
      <c r="D51" s="660" t="s">
        <v>467</v>
      </c>
      <c r="E51" s="660" t="s">
        <v>2486</v>
      </c>
      <c r="F51" s="660">
        <v>2</v>
      </c>
      <c r="G51" s="662">
        <v>1020</v>
      </c>
      <c r="H51" s="672">
        <v>0.3</v>
      </c>
      <c r="I51" s="672">
        <v>0.28000000000000003</v>
      </c>
      <c r="J51" s="672">
        <v>0.25</v>
      </c>
      <c r="K51" s="672">
        <v>0.47</v>
      </c>
      <c r="L51" s="662">
        <f t="shared" si="6"/>
        <v>284</v>
      </c>
      <c r="M51" s="662">
        <f t="shared" si="7"/>
        <v>254</v>
      </c>
      <c r="N51" s="662">
        <f t="shared" si="8"/>
        <v>478</v>
      </c>
      <c r="O51" s="662">
        <f t="shared" si="9"/>
        <v>85</v>
      </c>
      <c r="P51" s="662">
        <f t="shared" si="10"/>
        <v>76</v>
      </c>
      <c r="Q51" s="662">
        <f t="shared" si="11"/>
        <v>143</v>
      </c>
      <c r="R51" s="662" t="s">
        <v>2517</v>
      </c>
      <c r="S51" s="662">
        <v>125</v>
      </c>
      <c r="T51" s="4">
        <v>250</v>
      </c>
    </row>
    <row r="52" spans="2:20">
      <c r="B52" s="661" t="s">
        <v>2518</v>
      </c>
      <c r="C52" s="676">
        <v>30301</v>
      </c>
      <c r="D52" s="660" t="s">
        <v>467</v>
      </c>
      <c r="E52" s="660" t="s">
        <v>2486</v>
      </c>
      <c r="F52" s="660">
        <v>4</v>
      </c>
      <c r="G52" s="662">
        <v>1020</v>
      </c>
      <c r="H52" s="672">
        <v>0.3</v>
      </c>
      <c r="I52" s="672">
        <v>0.38</v>
      </c>
      <c r="J52" s="672">
        <v>0.3</v>
      </c>
      <c r="K52" s="672">
        <v>0.32</v>
      </c>
      <c r="L52" s="662">
        <f t="shared" si="6"/>
        <v>387</v>
      </c>
      <c r="M52" s="662">
        <f t="shared" si="7"/>
        <v>305</v>
      </c>
      <c r="N52" s="662">
        <f t="shared" si="8"/>
        <v>325</v>
      </c>
      <c r="O52" s="662">
        <f t="shared" si="9"/>
        <v>116</v>
      </c>
      <c r="P52" s="662">
        <f t="shared" si="10"/>
        <v>91</v>
      </c>
      <c r="Q52" s="662">
        <f t="shared" si="11"/>
        <v>97</v>
      </c>
      <c r="R52" s="662" t="s">
        <v>2519</v>
      </c>
      <c r="S52" s="669">
        <v>2.5000000000000001E-3</v>
      </c>
      <c r="T52" s="674">
        <v>1.4999999999999999E-2</v>
      </c>
    </row>
    <row r="53" spans="2:20">
      <c r="B53" s="661" t="s">
        <v>2521</v>
      </c>
      <c r="C53" s="676">
        <v>30311</v>
      </c>
      <c r="D53" s="660" t="s">
        <v>467</v>
      </c>
      <c r="E53" s="660" t="s">
        <v>2486</v>
      </c>
      <c r="F53" s="660">
        <v>6</v>
      </c>
      <c r="G53" s="662">
        <v>1020</v>
      </c>
      <c r="H53" s="672">
        <v>0.3</v>
      </c>
      <c r="I53" s="672">
        <v>0.38</v>
      </c>
      <c r="J53" s="672">
        <v>0.3</v>
      </c>
      <c r="K53" s="672">
        <v>0.32</v>
      </c>
      <c r="L53" s="662">
        <f t="shared" si="6"/>
        <v>387</v>
      </c>
      <c r="M53" s="662">
        <f t="shared" si="7"/>
        <v>305</v>
      </c>
      <c r="N53" s="662">
        <f t="shared" si="8"/>
        <v>325</v>
      </c>
      <c r="O53" s="662">
        <f t="shared" si="9"/>
        <v>116</v>
      </c>
      <c r="P53" s="662">
        <f t="shared" si="10"/>
        <v>91</v>
      </c>
      <c r="Q53" s="662">
        <f t="shared" si="11"/>
        <v>97</v>
      </c>
      <c r="R53" s="662" t="s">
        <v>2520</v>
      </c>
      <c r="S53" s="669">
        <v>2.5000000000000001E-3</v>
      </c>
      <c r="T53" s="674">
        <v>1.4999999999999999E-2</v>
      </c>
    </row>
    <row r="54" spans="2:20">
      <c r="B54" s="661" t="s">
        <v>2522</v>
      </c>
      <c r="C54" s="676">
        <v>30321</v>
      </c>
      <c r="D54" s="660" t="s">
        <v>467</v>
      </c>
      <c r="E54" s="660" t="s">
        <v>2486</v>
      </c>
      <c r="F54" s="660">
        <v>2</v>
      </c>
      <c r="G54" s="662">
        <v>1020</v>
      </c>
      <c r="H54" s="672">
        <v>0.3</v>
      </c>
      <c r="I54" s="672">
        <v>0.33</v>
      </c>
      <c r="J54" s="672">
        <v>0.33</v>
      </c>
      <c r="K54" s="672">
        <v>0.34</v>
      </c>
      <c r="L54" s="662">
        <f t="shared" si="6"/>
        <v>335</v>
      </c>
      <c r="M54" s="662">
        <f t="shared" si="7"/>
        <v>335</v>
      </c>
      <c r="N54" s="662">
        <f t="shared" si="8"/>
        <v>346</v>
      </c>
      <c r="O54" s="662">
        <f t="shared" si="9"/>
        <v>100</v>
      </c>
      <c r="P54" s="662">
        <f t="shared" si="10"/>
        <v>100</v>
      </c>
      <c r="Q54" s="662">
        <f t="shared" si="11"/>
        <v>104</v>
      </c>
      <c r="R54" s="662" t="s">
        <v>2523</v>
      </c>
      <c r="S54" s="669">
        <v>6.0000000000000001E-3</v>
      </c>
      <c r="T54" s="674">
        <v>1.2E-2</v>
      </c>
    </row>
    <row r="55" spans="2:20">
      <c r="B55" s="661" t="s">
        <v>2530</v>
      </c>
      <c r="C55" s="676">
        <v>30331</v>
      </c>
      <c r="D55" s="660" t="s">
        <v>467</v>
      </c>
      <c r="E55" s="660" t="s">
        <v>2486</v>
      </c>
      <c r="F55" s="660">
        <v>3</v>
      </c>
      <c r="G55" s="662">
        <v>1080</v>
      </c>
      <c r="H55" s="672">
        <v>0.3</v>
      </c>
      <c r="I55" s="672">
        <v>0.41</v>
      </c>
      <c r="J55" s="672">
        <v>0.24</v>
      </c>
      <c r="K55" s="672">
        <v>0.35</v>
      </c>
      <c r="L55" s="662">
        <f t="shared" si="6"/>
        <v>441</v>
      </c>
      <c r="M55" s="662">
        <f t="shared" si="7"/>
        <v>258</v>
      </c>
      <c r="N55" s="662">
        <f t="shared" si="8"/>
        <v>377</v>
      </c>
      <c r="O55" s="662">
        <f t="shared" si="9"/>
        <v>132</v>
      </c>
      <c r="P55" s="662">
        <f t="shared" si="10"/>
        <v>77</v>
      </c>
      <c r="Q55" s="662">
        <f t="shared" si="11"/>
        <v>113</v>
      </c>
      <c r="R55" s="662" t="s">
        <v>2673</v>
      </c>
      <c r="S55" s="669">
        <v>6.0000000000000001E-3</v>
      </c>
      <c r="T55" s="674">
        <v>1.2500000000000001E-2</v>
      </c>
    </row>
    <row r="56" spans="2:20">
      <c r="B56" s="661" t="s">
        <v>2524</v>
      </c>
      <c r="C56" s="676">
        <v>30341</v>
      </c>
      <c r="D56" s="660" t="s">
        <v>467</v>
      </c>
      <c r="E56" s="660" t="s">
        <v>2486</v>
      </c>
      <c r="F56" s="660">
        <v>1</v>
      </c>
      <c r="G56" s="662">
        <v>1080</v>
      </c>
      <c r="H56" s="672">
        <v>0.3</v>
      </c>
      <c r="I56" s="672">
        <v>0.43</v>
      </c>
      <c r="J56" s="672">
        <v>0.2</v>
      </c>
      <c r="K56" s="672">
        <v>0.37</v>
      </c>
      <c r="L56" s="662">
        <f t="shared" si="6"/>
        <v>464</v>
      </c>
      <c r="M56" s="662">
        <f t="shared" si="7"/>
        <v>215</v>
      </c>
      <c r="N56" s="662">
        <f t="shared" si="8"/>
        <v>398</v>
      </c>
      <c r="O56" s="662">
        <f t="shared" si="9"/>
        <v>139</v>
      </c>
      <c r="P56" s="662">
        <f t="shared" si="10"/>
        <v>64</v>
      </c>
      <c r="Q56" s="662">
        <f t="shared" si="11"/>
        <v>119</v>
      </c>
      <c r="R56" s="662" t="s">
        <v>2548</v>
      </c>
      <c r="S56" s="669">
        <v>6.0000000000000001E-3</v>
      </c>
      <c r="T56" s="674">
        <v>1.2500000000000001E-2</v>
      </c>
    </row>
    <row r="57" spans="2:20">
      <c r="B57" s="661" t="s">
        <v>2525</v>
      </c>
      <c r="C57" s="676">
        <v>30351</v>
      </c>
      <c r="D57" s="660" t="s">
        <v>467</v>
      </c>
      <c r="E57" s="660" t="s">
        <v>2486</v>
      </c>
      <c r="F57" s="660">
        <v>5</v>
      </c>
      <c r="G57" s="662">
        <v>1080</v>
      </c>
      <c r="H57" s="672">
        <v>0.3</v>
      </c>
      <c r="I57" s="672">
        <v>0.3</v>
      </c>
      <c r="J57" s="672">
        <v>0.45</v>
      </c>
      <c r="K57" s="672">
        <v>0.25</v>
      </c>
      <c r="L57" s="662">
        <f t="shared" si="6"/>
        <v>323</v>
      </c>
      <c r="M57" s="662">
        <f t="shared" si="7"/>
        <v>485</v>
      </c>
      <c r="N57" s="662">
        <f t="shared" si="8"/>
        <v>270</v>
      </c>
      <c r="O57" s="662">
        <f t="shared" si="9"/>
        <v>97</v>
      </c>
      <c r="P57" s="662">
        <f t="shared" si="10"/>
        <v>145</v>
      </c>
      <c r="Q57" s="662">
        <f t="shared" si="11"/>
        <v>81</v>
      </c>
      <c r="R57" s="662" t="s">
        <v>2549</v>
      </c>
      <c r="S57" s="669">
        <v>7.4999999999999997E-3</v>
      </c>
      <c r="T57" s="674">
        <v>1.4999999999999999E-2</v>
      </c>
    </row>
    <row r="58" spans="2:20">
      <c r="B58" s="661" t="s">
        <v>2526</v>
      </c>
      <c r="C58" s="676">
        <v>30361</v>
      </c>
      <c r="D58" s="660" t="s">
        <v>467</v>
      </c>
      <c r="E58" s="660" t="s">
        <v>2486</v>
      </c>
      <c r="F58" s="660">
        <v>4</v>
      </c>
      <c r="G58" s="662">
        <v>1080</v>
      </c>
      <c r="H58" s="672">
        <v>0.3</v>
      </c>
      <c r="I58" s="672">
        <v>0.34</v>
      </c>
      <c r="J58" s="672">
        <v>0.38</v>
      </c>
      <c r="K58" s="672">
        <v>0.28000000000000003</v>
      </c>
      <c r="L58" s="662">
        <f t="shared" si="6"/>
        <v>367</v>
      </c>
      <c r="M58" s="662">
        <f t="shared" si="7"/>
        <v>410</v>
      </c>
      <c r="N58" s="662">
        <f t="shared" si="8"/>
        <v>301</v>
      </c>
      <c r="O58" s="662">
        <f t="shared" si="9"/>
        <v>110</v>
      </c>
      <c r="P58" s="662">
        <f t="shared" si="10"/>
        <v>123</v>
      </c>
      <c r="Q58" s="662">
        <f t="shared" si="11"/>
        <v>90</v>
      </c>
      <c r="R58" s="662" t="s">
        <v>2550</v>
      </c>
      <c r="S58" s="669">
        <v>1.2999999999999999E-2</v>
      </c>
      <c r="T58" s="674">
        <v>2.5999999999999999E-2</v>
      </c>
    </row>
    <row r="59" spans="2:20">
      <c r="B59" s="661" t="s">
        <v>2527</v>
      </c>
      <c r="C59" s="676">
        <v>30371</v>
      </c>
      <c r="D59" s="660" t="s">
        <v>467</v>
      </c>
      <c r="E59" s="660" t="s">
        <v>2486</v>
      </c>
      <c r="F59" s="660">
        <v>6</v>
      </c>
      <c r="G59" s="662">
        <v>1080</v>
      </c>
      <c r="H59" s="672">
        <v>0.3</v>
      </c>
      <c r="I59" s="672">
        <v>0.32</v>
      </c>
      <c r="J59" s="672">
        <v>0.28000000000000003</v>
      </c>
      <c r="K59" s="672">
        <v>0.4</v>
      </c>
      <c r="L59" s="662">
        <f t="shared" si="6"/>
        <v>344</v>
      </c>
      <c r="M59" s="662">
        <f t="shared" si="7"/>
        <v>301</v>
      </c>
      <c r="N59" s="662">
        <f t="shared" si="8"/>
        <v>431</v>
      </c>
      <c r="O59" s="662">
        <f t="shared" si="9"/>
        <v>103</v>
      </c>
      <c r="P59" s="662">
        <f t="shared" si="10"/>
        <v>90</v>
      </c>
      <c r="Q59" s="662">
        <f t="shared" si="11"/>
        <v>129</v>
      </c>
      <c r="R59" s="662" t="s">
        <v>2551</v>
      </c>
      <c r="S59" s="669">
        <v>0.01</v>
      </c>
      <c r="T59" s="674">
        <v>0.02</v>
      </c>
    </row>
    <row r="60" spans="2:20">
      <c r="B60" s="661" t="s">
        <v>2528</v>
      </c>
      <c r="C60" s="676">
        <v>30381</v>
      </c>
      <c r="D60" s="660" t="s">
        <v>467</v>
      </c>
      <c r="E60" s="660" t="s">
        <v>2486</v>
      </c>
      <c r="F60" s="660">
        <v>3</v>
      </c>
      <c r="G60" s="662">
        <v>1080</v>
      </c>
      <c r="H60" s="672">
        <v>0.3</v>
      </c>
      <c r="I60" s="672">
        <v>0.41</v>
      </c>
      <c r="J60" s="672">
        <v>0.24</v>
      </c>
      <c r="K60" s="672">
        <v>0.35</v>
      </c>
      <c r="L60" s="662">
        <f t="shared" si="6"/>
        <v>441</v>
      </c>
      <c r="M60" s="662">
        <f t="shared" si="7"/>
        <v>258</v>
      </c>
      <c r="N60" s="662">
        <f t="shared" si="8"/>
        <v>377</v>
      </c>
      <c r="O60" s="662">
        <f t="shared" si="9"/>
        <v>132</v>
      </c>
      <c r="P60" s="662">
        <f t="shared" si="10"/>
        <v>77</v>
      </c>
      <c r="Q60" s="662">
        <f t="shared" si="11"/>
        <v>113</v>
      </c>
      <c r="R60" s="662" t="s">
        <v>2552</v>
      </c>
      <c r="S60" s="669">
        <v>0.01</v>
      </c>
      <c r="T60" s="674">
        <v>0.02</v>
      </c>
    </row>
    <row r="61" spans="2:20">
      <c r="B61" s="661" t="s">
        <v>2529</v>
      </c>
      <c r="C61" s="676">
        <v>30391</v>
      </c>
      <c r="D61" s="660" t="s">
        <v>467</v>
      </c>
      <c r="E61" s="660" t="s">
        <v>2486</v>
      </c>
      <c r="F61" s="660">
        <v>5</v>
      </c>
      <c r="G61" s="662">
        <v>1080</v>
      </c>
      <c r="H61" s="672">
        <v>0.3</v>
      </c>
      <c r="I61" s="672">
        <v>0.42</v>
      </c>
      <c r="J61" s="672">
        <v>0.3</v>
      </c>
      <c r="K61" s="672">
        <v>0.28000000000000003</v>
      </c>
      <c r="L61" s="662">
        <f t="shared" si="6"/>
        <v>453</v>
      </c>
      <c r="M61" s="662">
        <f t="shared" si="7"/>
        <v>323</v>
      </c>
      <c r="N61" s="662">
        <f t="shared" si="8"/>
        <v>301</v>
      </c>
      <c r="O61" s="662">
        <f t="shared" si="9"/>
        <v>136</v>
      </c>
      <c r="P61" s="662">
        <f t="shared" si="10"/>
        <v>97</v>
      </c>
      <c r="Q61" s="662">
        <f t="shared" si="11"/>
        <v>90</v>
      </c>
      <c r="R61" s="662" t="s">
        <v>2553</v>
      </c>
      <c r="S61" s="669">
        <v>8.0000000000000002E-3</v>
      </c>
      <c r="T61" s="674">
        <v>1.6E-2</v>
      </c>
    </row>
    <row r="62" spans="2:20">
      <c r="B62" s="661" t="s">
        <v>2531</v>
      </c>
      <c r="C62" s="676">
        <v>30401</v>
      </c>
      <c r="D62" s="660" t="s">
        <v>467</v>
      </c>
      <c r="E62" s="660" t="s">
        <v>2486</v>
      </c>
      <c r="F62" s="660">
        <v>1</v>
      </c>
      <c r="G62" s="662">
        <v>1080</v>
      </c>
      <c r="H62" s="672">
        <v>0.3</v>
      </c>
      <c r="I62" s="672">
        <v>0.32</v>
      </c>
      <c r="J62" s="672">
        <v>0.3</v>
      </c>
      <c r="K62" s="672">
        <v>0.38</v>
      </c>
      <c r="L62" s="662">
        <f t="shared" si="6"/>
        <v>344</v>
      </c>
      <c r="M62" s="662">
        <f t="shared" si="7"/>
        <v>323</v>
      </c>
      <c r="N62" s="662">
        <f t="shared" si="8"/>
        <v>410</v>
      </c>
      <c r="O62" s="662">
        <f t="shared" si="9"/>
        <v>103</v>
      </c>
      <c r="P62" s="662">
        <f t="shared" si="10"/>
        <v>97</v>
      </c>
      <c r="Q62" s="662">
        <f t="shared" si="11"/>
        <v>123</v>
      </c>
      <c r="R62" s="662" t="s">
        <v>2554</v>
      </c>
      <c r="S62" s="669">
        <v>8.0000000000000002E-3</v>
      </c>
      <c r="T62" s="674">
        <v>1.6E-2</v>
      </c>
    </row>
    <row r="63" spans="2:20">
      <c r="B63" s="661" t="s">
        <v>2532</v>
      </c>
      <c r="C63" s="676">
        <v>30411</v>
      </c>
      <c r="D63" s="660" t="s">
        <v>467</v>
      </c>
      <c r="E63" s="660" t="s">
        <v>2486</v>
      </c>
      <c r="F63" s="660">
        <v>4</v>
      </c>
      <c r="G63" s="662">
        <v>1080</v>
      </c>
      <c r="H63" s="672">
        <v>0.3</v>
      </c>
      <c r="I63" s="672">
        <v>0.35</v>
      </c>
      <c r="J63" s="672">
        <v>0.23</v>
      </c>
      <c r="K63" s="672">
        <v>0.42</v>
      </c>
      <c r="L63" s="662">
        <f t="shared" si="6"/>
        <v>377</v>
      </c>
      <c r="M63" s="662">
        <f t="shared" si="7"/>
        <v>247</v>
      </c>
      <c r="N63" s="662">
        <f t="shared" si="8"/>
        <v>453</v>
      </c>
      <c r="O63" s="662">
        <f t="shared" si="9"/>
        <v>113</v>
      </c>
      <c r="P63" s="662">
        <f t="shared" si="10"/>
        <v>74</v>
      </c>
      <c r="Q63" s="662">
        <f t="shared" si="11"/>
        <v>136</v>
      </c>
      <c r="R63" s="662" t="s">
        <v>2555</v>
      </c>
      <c r="S63" s="669">
        <v>6.0000000000000001E-3</v>
      </c>
      <c r="T63" s="674">
        <v>1.2500000000000001E-2</v>
      </c>
    </row>
    <row r="64" spans="2:20">
      <c r="B64" s="661" t="s">
        <v>2533</v>
      </c>
      <c r="C64" s="676">
        <v>30421</v>
      </c>
      <c r="D64" s="660" t="s">
        <v>467</v>
      </c>
      <c r="E64" s="660" t="s">
        <v>2486</v>
      </c>
      <c r="F64" s="660">
        <v>2</v>
      </c>
      <c r="G64" s="662">
        <v>1080</v>
      </c>
      <c r="H64" s="672">
        <v>0.3</v>
      </c>
      <c r="I64" s="672">
        <v>0.35</v>
      </c>
      <c r="J64" s="672">
        <v>0.23</v>
      </c>
      <c r="K64" s="672">
        <v>0.42</v>
      </c>
      <c r="L64" s="662">
        <f t="shared" si="6"/>
        <v>377</v>
      </c>
      <c r="M64" s="662">
        <f t="shared" si="7"/>
        <v>247</v>
      </c>
      <c r="N64" s="662">
        <f t="shared" si="8"/>
        <v>453</v>
      </c>
      <c r="O64" s="662">
        <f t="shared" si="9"/>
        <v>113</v>
      </c>
      <c r="P64" s="662">
        <f t="shared" si="10"/>
        <v>74</v>
      </c>
      <c r="Q64" s="662">
        <f t="shared" si="11"/>
        <v>136</v>
      </c>
      <c r="R64" s="662" t="s">
        <v>2556</v>
      </c>
      <c r="S64" s="662">
        <v>31</v>
      </c>
      <c r="T64" s="4">
        <v>62</v>
      </c>
    </row>
    <row r="65" spans="2:20">
      <c r="B65" s="661" t="s">
        <v>2534</v>
      </c>
      <c r="C65" s="676">
        <v>30431</v>
      </c>
      <c r="D65" s="660" t="s">
        <v>467</v>
      </c>
      <c r="E65" s="660" t="s">
        <v>2486</v>
      </c>
      <c r="F65" s="660">
        <v>6</v>
      </c>
      <c r="G65" s="662">
        <v>1080</v>
      </c>
      <c r="H65" s="672">
        <v>0.3</v>
      </c>
      <c r="I65" s="672">
        <v>0.41</v>
      </c>
      <c r="J65" s="672">
        <v>0.24</v>
      </c>
      <c r="K65" s="672">
        <v>0.35</v>
      </c>
      <c r="L65" s="662">
        <f t="shared" si="6"/>
        <v>441</v>
      </c>
      <c r="M65" s="662">
        <f t="shared" si="7"/>
        <v>258</v>
      </c>
      <c r="N65" s="662">
        <f t="shared" si="8"/>
        <v>377</v>
      </c>
      <c r="O65" s="662">
        <f t="shared" si="9"/>
        <v>132</v>
      </c>
      <c r="P65" s="662">
        <f t="shared" si="10"/>
        <v>77</v>
      </c>
      <c r="Q65" s="662">
        <f t="shared" si="11"/>
        <v>113</v>
      </c>
      <c r="R65" s="662" t="s">
        <v>2557</v>
      </c>
      <c r="S65" s="669">
        <v>7.4999999999999997E-3</v>
      </c>
      <c r="T65" s="674">
        <v>1.4999999999999999E-2</v>
      </c>
    </row>
    <row r="66" spans="2:20">
      <c r="B66" s="661" t="s">
        <v>2535</v>
      </c>
      <c r="C66" s="676">
        <v>30441</v>
      </c>
      <c r="D66" s="660" t="s">
        <v>467</v>
      </c>
      <c r="E66" s="660" t="s">
        <v>2486</v>
      </c>
      <c r="F66" s="660">
        <v>3</v>
      </c>
      <c r="G66" s="662">
        <v>1080</v>
      </c>
      <c r="H66" s="672">
        <v>0.3</v>
      </c>
      <c r="I66" s="672">
        <v>0.3</v>
      </c>
      <c r="J66" s="672">
        <v>0.45</v>
      </c>
      <c r="K66" s="672">
        <v>0.25</v>
      </c>
      <c r="L66" s="662">
        <f t="shared" si="6"/>
        <v>323</v>
      </c>
      <c r="M66" s="662">
        <f t="shared" si="7"/>
        <v>485</v>
      </c>
      <c r="N66" s="662">
        <f t="shared" si="8"/>
        <v>270</v>
      </c>
      <c r="O66" s="662">
        <f t="shared" si="9"/>
        <v>97</v>
      </c>
      <c r="P66" s="662">
        <f t="shared" si="10"/>
        <v>145</v>
      </c>
      <c r="Q66" s="662">
        <f t="shared" si="11"/>
        <v>81</v>
      </c>
      <c r="R66" s="662" t="s">
        <v>2558</v>
      </c>
      <c r="S66" s="669">
        <v>7.4999999999999997E-3</v>
      </c>
      <c r="T66" s="674">
        <v>1.4999999999999999E-2</v>
      </c>
    </row>
    <row r="67" spans="2:20">
      <c r="B67" s="661" t="s">
        <v>2536</v>
      </c>
      <c r="C67" s="676">
        <v>30451</v>
      </c>
      <c r="D67" s="660" t="s">
        <v>467</v>
      </c>
      <c r="E67" s="660" t="s">
        <v>2486</v>
      </c>
      <c r="F67" s="660">
        <v>1</v>
      </c>
      <c r="G67" s="662">
        <v>1080</v>
      </c>
      <c r="H67" s="672">
        <v>0.3</v>
      </c>
      <c r="I67" s="672">
        <v>0.35</v>
      </c>
      <c r="J67" s="672">
        <v>0.23</v>
      </c>
      <c r="K67" s="672">
        <v>0.42</v>
      </c>
      <c r="L67" s="662">
        <f t="shared" ref="L67:L99" si="12">O67+_xlfn.FLOOR.MATH($G67*(1-$H67)*I67)</f>
        <v>377</v>
      </c>
      <c r="M67" s="662">
        <f t="shared" ref="M67:M99" si="13">P67+_xlfn.FLOOR.MATH($G67*(1-$H67)*J67)</f>
        <v>247</v>
      </c>
      <c r="N67" s="662">
        <f t="shared" ref="N67:N99" si="14">Q67+_xlfn.FLOOR.MATH($G67*(1-$H67)*K67)</f>
        <v>453</v>
      </c>
      <c r="O67" s="662">
        <f t="shared" ref="O67:O99" si="15">_xlfn.FLOOR.MATH($G67*$H67*I67)</f>
        <v>113</v>
      </c>
      <c r="P67" s="662">
        <f t="shared" ref="P67:P99" si="16">_xlfn.FLOOR.MATH($G67*$H67*J67)</f>
        <v>74</v>
      </c>
      <c r="Q67" s="662">
        <f t="shared" ref="Q67:Q99" si="17">_xlfn.FLOOR.MATH($G67*$H67*K67)</f>
        <v>136</v>
      </c>
      <c r="R67" s="662" t="s">
        <v>2559</v>
      </c>
      <c r="S67" s="669">
        <v>1.6E-2</v>
      </c>
      <c r="T67" s="674">
        <v>3.2000000000000001E-2</v>
      </c>
    </row>
    <row r="68" spans="2:20">
      <c r="B68" s="661" t="s">
        <v>2537</v>
      </c>
      <c r="C68" s="676">
        <v>30461</v>
      </c>
      <c r="D68" s="660" t="s">
        <v>467</v>
      </c>
      <c r="E68" s="660" t="s">
        <v>2486</v>
      </c>
      <c r="F68" s="660">
        <v>4</v>
      </c>
      <c r="G68" s="662">
        <v>1080</v>
      </c>
      <c r="H68" s="672">
        <v>0.3</v>
      </c>
      <c r="I68" s="672">
        <v>0.45</v>
      </c>
      <c r="J68" s="672">
        <v>0.2</v>
      </c>
      <c r="K68" s="672">
        <v>0.35</v>
      </c>
      <c r="L68" s="662">
        <f t="shared" si="12"/>
        <v>485</v>
      </c>
      <c r="M68" s="662">
        <f t="shared" si="13"/>
        <v>215</v>
      </c>
      <c r="N68" s="662">
        <f t="shared" si="14"/>
        <v>377</v>
      </c>
      <c r="O68" s="662">
        <f t="shared" si="15"/>
        <v>145</v>
      </c>
      <c r="P68" s="662">
        <f t="shared" si="16"/>
        <v>64</v>
      </c>
      <c r="Q68" s="662">
        <f t="shared" si="17"/>
        <v>113</v>
      </c>
      <c r="R68" s="662" t="s">
        <v>2561</v>
      </c>
      <c r="S68" s="669">
        <v>8.0000000000000002E-3</v>
      </c>
      <c r="T68" s="674">
        <v>1.6E-2</v>
      </c>
    </row>
    <row r="69" spans="2:20">
      <c r="B69" s="661" t="s">
        <v>2538</v>
      </c>
      <c r="C69" s="676">
        <v>30471</v>
      </c>
      <c r="D69" s="660" t="s">
        <v>467</v>
      </c>
      <c r="E69" s="660" t="s">
        <v>2486</v>
      </c>
      <c r="F69" s="660">
        <v>5</v>
      </c>
      <c r="G69" s="662">
        <v>1080</v>
      </c>
      <c r="H69" s="672">
        <v>0.3</v>
      </c>
      <c r="I69" s="672">
        <v>0.37</v>
      </c>
      <c r="J69" s="672">
        <v>0.23</v>
      </c>
      <c r="K69" s="672">
        <v>0.4</v>
      </c>
      <c r="L69" s="662">
        <f t="shared" si="12"/>
        <v>398</v>
      </c>
      <c r="M69" s="662">
        <f t="shared" si="13"/>
        <v>247</v>
      </c>
      <c r="N69" s="662">
        <f t="shared" si="14"/>
        <v>431</v>
      </c>
      <c r="O69" s="662">
        <f t="shared" si="15"/>
        <v>119</v>
      </c>
      <c r="P69" s="662">
        <f t="shared" si="16"/>
        <v>74</v>
      </c>
      <c r="Q69" s="662">
        <f t="shared" si="17"/>
        <v>129</v>
      </c>
      <c r="R69" s="662" t="s">
        <v>2562</v>
      </c>
      <c r="S69" s="662">
        <v>125</v>
      </c>
      <c r="T69" s="4">
        <v>250</v>
      </c>
    </row>
    <row r="70" spans="2:20">
      <c r="B70" s="661" t="s">
        <v>2539</v>
      </c>
      <c r="C70" s="676">
        <v>30481</v>
      </c>
      <c r="D70" s="660" t="s">
        <v>467</v>
      </c>
      <c r="E70" s="660" t="s">
        <v>2486</v>
      </c>
      <c r="F70" s="660">
        <v>1</v>
      </c>
      <c r="G70" s="662">
        <v>1080</v>
      </c>
      <c r="H70" s="672">
        <v>0.3</v>
      </c>
      <c r="I70" s="672">
        <v>0.4</v>
      </c>
      <c r="J70" s="672">
        <v>0.35</v>
      </c>
      <c r="K70" s="672">
        <v>0.25</v>
      </c>
      <c r="L70" s="662">
        <f t="shared" si="12"/>
        <v>431</v>
      </c>
      <c r="M70" s="662">
        <f t="shared" si="13"/>
        <v>377</v>
      </c>
      <c r="N70" s="662">
        <f t="shared" si="14"/>
        <v>270</v>
      </c>
      <c r="O70" s="662">
        <f t="shared" si="15"/>
        <v>129</v>
      </c>
      <c r="P70" s="662">
        <f t="shared" si="16"/>
        <v>113</v>
      </c>
      <c r="Q70" s="662">
        <f t="shared" si="17"/>
        <v>81</v>
      </c>
      <c r="R70" s="662" t="s">
        <v>2563</v>
      </c>
      <c r="S70" s="669">
        <v>0.04</v>
      </c>
      <c r="T70" s="674">
        <v>0.08</v>
      </c>
    </row>
    <row r="71" spans="2:20">
      <c r="B71" s="661" t="s">
        <v>2540</v>
      </c>
      <c r="C71" s="676">
        <v>30491</v>
      </c>
      <c r="D71" s="660" t="s">
        <v>467</v>
      </c>
      <c r="E71" s="660" t="s">
        <v>2486</v>
      </c>
      <c r="F71" s="660">
        <v>3</v>
      </c>
      <c r="G71" s="662">
        <v>1080</v>
      </c>
      <c r="H71" s="672">
        <v>0.3</v>
      </c>
      <c r="I71" s="672">
        <v>0.42</v>
      </c>
      <c r="J71" s="672">
        <v>0.28000000000000003</v>
      </c>
      <c r="K71" s="672">
        <v>0.3</v>
      </c>
      <c r="L71" s="662">
        <f t="shared" si="12"/>
        <v>453</v>
      </c>
      <c r="M71" s="662">
        <f t="shared" si="13"/>
        <v>301</v>
      </c>
      <c r="N71" s="662">
        <f t="shared" si="14"/>
        <v>323</v>
      </c>
      <c r="O71" s="662">
        <f t="shared" si="15"/>
        <v>136</v>
      </c>
      <c r="P71" s="662">
        <f t="shared" si="16"/>
        <v>90</v>
      </c>
      <c r="Q71" s="662">
        <f t="shared" si="17"/>
        <v>97</v>
      </c>
      <c r="R71" s="662" t="s">
        <v>2564</v>
      </c>
      <c r="S71" s="669">
        <v>0.03</v>
      </c>
      <c r="T71" s="674">
        <v>0.06</v>
      </c>
    </row>
    <row r="72" spans="2:20">
      <c r="B72" s="661" t="s">
        <v>2541</v>
      </c>
      <c r="C72" s="676">
        <v>30501</v>
      </c>
      <c r="D72" s="660" t="s">
        <v>467</v>
      </c>
      <c r="E72" s="660" t="s">
        <v>2486</v>
      </c>
      <c r="F72" s="660">
        <v>6</v>
      </c>
      <c r="G72" s="662">
        <v>1080</v>
      </c>
      <c r="H72" s="672">
        <v>0.3</v>
      </c>
      <c r="I72" s="672">
        <v>0.3</v>
      </c>
      <c r="J72" s="672">
        <v>0.47</v>
      </c>
      <c r="K72" s="672">
        <v>0.23</v>
      </c>
      <c r="L72" s="662">
        <f t="shared" si="12"/>
        <v>323</v>
      </c>
      <c r="M72" s="662">
        <f t="shared" si="13"/>
        <v>507</v>
      </c>
      <c r="N72" s="662">
        <f t="shared" si="14"/>
        <v>247</v>
      </c>
      <c r="O72" s="662">
        <f t="shared" si="15"/>
        <v>97</v>
      </c>
      <c r="P72" s="662">
        <f t="shared" si="16"/>
        <v>152</v>
      </c>
      <c r="Q72" s="662">
        <f t="shared" si="17"/>
        <v>74</v>
      </c>
      <c r="R72" s="662" t="s">
        <v>2565</v>
      </c>
      <c r="S72" s="669">
        <v>0.03</v>
      </c>
      <c r="T72" s="674">
        <v>0.06</v>
      </c>
    </row>
    <row r="73" spans="2:20">
      <c r="B73" s="661" t="s">
        <v>2542</v>
      </c>
      <c r="C73" s="676">
        <v>30511</v>
      </c>
      <c r="D73" s="660" t="s">
        <v>467</v>
      </c>
      <c r="E73" s="660" t="s">
        <v>2486</v>
      </c>
      <c r="F73" s="660">
        <v>1</v>
      </c>
      <c r="G73" s="662">
        <v>1080</v>
      </c>
      <c r="H73" s="672">
        <v>0.3</v>
      </c>
      <c r="I73" s="672">
        <v>0.34</v>
      </c>
      <c r="J73" s="672">
        <v>0.38</v>
      </c>
      <c r="K73" s="672">
        <v>0.28000000000000003</v>
      </c>
      <c r="L73" s="662">
        <f t="shared" si="12"/>
        <v>367</v>
      </c>
      <c r="M73" s="662">
        <f t="shared" si="13"/>
        <v>410</v>
      </c>
      <c r="N73" s="662">
        <f t="shared" si="14"/>
        <v>301</v>
      </c>
      <c r="O73" s="662">
        <f t="shared" si="15"/>
        <v>110</v>
      </c>
      <c r="P73" s="662">
        <f t="shared" si="16"/>
        <v>123</v>
      </c>
      <c r="Q73" s="662">
        <f t="shared" si="17"/>
        <v>90</v>
      </c>
      <c r="R73" s="662" t="s">
        <v>2566</v>
      </c>
      <c r="S73" s="669">
        <v>5.1999999999999998E-2</v>
      </c>
      <c r="T73" s="674">
        <v>0.104</v>
      </c>
    </row>
    <row r="74" spans="2:20">
      <c r="B74" s="661" t="s">
        <v>2543</v>
      </c>
      <c r="C74" s="676">
        <v>30521</v>
      </c>
      <c r="D74" s="660" t="s">
        <v>467</v>
      </c>
      <c r="E74" s="660" t="s">
        <v>2486</v>
      </c>
      <c r="F74" s="660">
        <v>4</v>
      </c>
      <c r="G74" s="662">
        <v>1080</v>
      </c>
      <c r="H74" s="672">
        <v>0.3</v>
      </c>
      <c r="I74" s="672">
        <v>0.38</v>
      </c>
      <c r="J74" s="672">
        <v>0.2</v>
      </c>
      <c r="K74" s="672">
        <v>0.42</v>
      </c>
      <c r="L74" s="662">
        <f t="shared" si="12"/>
        <v>410</v>
      </c>
      <c r="M74" s="662">
        <f t="shared" si="13"/>
        <v>215</v>
      </c>
      <c r="N74" s="662">
        <f t="shared" si="14"/>
        <v>453</v>
      </c>
      <c r="O74" s="662">
        <f t="shared" si="15"/>
        <v>123</v>
      </c>
      <c r="P74" s="662">
        <f t="shared" si="16"/>
        <v>64</v>
      </c>
      <c r="Q74" s="662">
        <f t="shared" si="17"/>
        <v>136</v>
      </c>
      <c r="R74" s="662" t="s">
        <v>2567</v>
      </c>
      <c r="S74" s="669">
        <v>0.01</v>
      </c>
      <c r="T74" s="674">
        <v>0.02</v>
      </c>
    </row>
    <row r="75" spans="2:20">
      <c r="B75" s="661" t="s">
        <v>2544</v>
      </c>
      <c r="C75" s="676">
        <v>30531</v>
      </c>
      <c r="D75" s="660" t="s">
        <v>467</v>
      </c>
      <c r="E75" s="660" t="s">
        <v>2486</v>
      </c>
      <c r="F75" s="660">
        <v>3</v>
      </c>
      <c r="G75" s="662">
        <v>1080</v>
      </c>
      <c r="H75" s="672">
        <v>0.3</v>
      </c>
      <c r="I75" s="672">
        <v>0.48</v>
      </c>
      <c r="J75" s="672">
        <v>0.2</v>
      </c>
      <c r="K75" s="672">
        <v>0.32</v>
      </c>
      <c r="L75" s="662">
        <f t="shared" si="12"/>
        <v>517</v>
      </c>
      <c r="M75" s="662">
        <f t="shared" si="13"/>
        <v>215</v>
      </c>
      <c r="N75" s="662">
        <f t="shared" si="14"/>
        <v>344</v>
      </c>
      <c r="O75" s="662">
        <f t="shared" si="15"/>
        <v>155</v>
      </c>
      <c r="P75" s="662">
        <f t="shared" si="16"/>
        <v>64</v>
      </c>
      <c r="Q75" s="662">
        <f t="shared" si="17"/>
        <v>103</v>
      </c>
      <c r="R75" s="662" t="s">
        <v>2568</v>
      </c>
      <c r="S75" s="669">
        <v>5.0000000000000001E-3</v>
      </c>
      <c r="T75" s="674">
        <v>0.01</v>
      </c>
    </row>
    <row r="76" spans="2:20">
      <c r="B76" s="661" t="s">
        <v>2714</v>
      </c>
      <c r="C76" s="676">
        <v>30541</v>
      </c>
      <c r="D76" s="660" t="s">
        <v>467</v>
      </c>
      <c r="E76" s="660" t="s">
        <v>2486</v>
      </c>
      <c r="F76" s="660">
        <v>2</v>
      </c>
      <c r="G76" s="662">
        <v>1080</v>
      </c>
      <c r="H76" s="672">
        <v>0.3</v>
      </c>
      <c r="I76" s="672">
        <v>0.2</v>
      </c>
      <c r="J76" s="672">
        <v>0.5</v>
      </c>
      <c r="K76" s="672">
        <v>0.3</v>
      </c>
      <c r="L76" s="662">
        <f t="shared" si="12"/>
        <v>215</v>
      </c>
      <c r="M76" s="662">
        <f t="shared" si="13"/>
        <v>540</v>
      </c>
      <c r="N76" s="662">
        <f t="shared" si="14"/>
        <v>323</v>
      </c>
      <c r="O76" s="662">
        <f t="shared" si="15"/>
        <v>64</v>
      </c>
      <c r="P76" s="662">
        <f t="shared" si="16"/>
        <v>162</v>
      </c>
      <c r="Q76" s="662">
        <f t="shared" si="17"/>
        <v>97</v>
      </c>
      <c r="R76" s="662" t="s">
        <v>2713</v>
      </c>
      <c r="S76" s="669">
        <v>0.04</v>
      </c>
      <c r="T76" s="674">
        <v>7.0000000000000007E-2</v>
      </c>
    </row>
    <row r="77" spans="2:20">
      <c r="B77" s="661" t="s">
        <v>2715</v>
      </c>
      <c r="C77" s="676">
        <v>30551</v>
      </c>
      <c r="D77" s="660" t="s">
        <v>467</v>
      </c>
      <c r="E77" s="660" t="s">
        <v>2486</v>
      </c>
      <c r="F77" s="660">
        <v>5</v>
      </c>
      <c r="G77" s="662">
        <v>1080</v>
      </c>
      <c r="H77" s="672">
        <v>0.3</v>
      </c>
      <c r="I77" s="672">
        <v>0.42</v>
      </c>
      <c r="J77" s="672">
        <v>0.28000000000000003</v>
      </c>
      <c r="K77" s="672">
        <v>0.3</v>
      </c>
      <c r="L77" s="662">
        <f t="shared" si="12"/>
        <v>453</v>
      </c>
      <c r="M77" s="662">
        <f t="shared" si="13"/>
        <v>301</v>
      </c>
      <c r="N77" s="662">
        <f t="shared" si="14"/>
        <v>323</v>
      </c>
      <c r="O77" s="662">
        <f t="shared" si="15"/>
        <v>136</v>
      </c>
      <c r="P77" s="662">
        <f t="shared" si="16"/>
        <v>90</v>
      </c>
      <c r="Q77" s="662">
        <f t="shared" si="17"/>
        <v>97</v>
      </c>
      <c r="R77" s="662" t="s">
        <v>2673</v>
      </c>
      <c r="S77" s="669">
        <v>6.0000000000000001E-3</v>
      </c>
      <c r="T77" s="674">
        <v>1.2500000000000001E-2</v>
      </c>
    </row>
    <row r="78" spans="2:20">
      <c r="B78" s="661" t="s">
        <v>2545</v>
      </c>
      <c r="C78" s="676">
        <v>30561</v>
      </c>
      <c r="D78" s="660" t="s">
        <v>467</v>
      </c>
      <c r="E78" s="660" t="s">
        <v>2486</v>
      </c>
      <c r="F78" s="660">
        <v>2</v>
      </c>
      <c r="G78" s="662">
        <v>1080</v>
      </c>
      <c r="H78" s="672">
        <v>0.3</v>
      </c>
      <c r="I78" s="672">
        <v>0.41</v>
      </c>
      <c r="J78" s="672">
        <v>0.24</v>
      </c>
      <c r="K78" s="672">
        <v>0.35</v>
      </c>
      <c r="L78" s="662">
        <f t="shared" si="12"/>
        <v>441</v>
      </c>
      <c r="M78" s="662">
        <f t="shared" si="13"/>
        <v>258</v>
      </c>
      <c r="N78" s="662">
        <f t="shared" si="14"/>
        <v>377</v>
      </c>
      <c r="O78" s="662">
        <f t="shared" si="15"/>
        <v>132</v>
      </c>
      <c r="P78" s="662">
        <f t="shared" si="16"/>
        <v>77</v>
      </c>
      <c r="Q78" s="662">
        <f t="shared" si="17"/>
        <v>113</v>
      </c>
      <c r="R78" s="662" t="s">
        <v>2569</v>
      </c>
      <c r="S78" s="669">
        <v>3.2000000000000001E-2</v>
      </c>
      <c r="T78" s="674">
        <v>4.8000000000000001E-2</v>
      </c>
    </row>
    <row r="79" spans="2:20">
      <c r="B79" s="661" t="s">
        <v>2546</v>
      </c>
      <c r="C79" s="676">
        <v>30571</v>
      </c>
      <c r="D79" s="660" t="s">
        <v>467</v>
      </c>
      <c r="E79" s="660" t="s">
        <v>2486</v>
      </c>
      <c r="F79" s="660">
        <v>5</v>
      </c>
      <c r="G79" s="662">
        <v>1080</v>
      </c>
      <c r="H79" s="672">
        <v>0.3</v>
      </c>
      <c r="I79" s="672">
        <v>0.47</v>
      </c>
      <c r="J79" s="672">
        <v>0.2</v>
      </c>
      <c r="K79" s="672">
        <v>0.33</v>
      </c>
      <c r="L79" s="662">
        <f t="shared" si="12"/>
        <v>507</v>
      </c>
      <c r="M79" s="662">
        <f t="shared" si="13"/>
        <v>215</v>
      </c>
      <c r="N79" s="662">
        <f t="shared" si="14"/>
        <v>355</v>
      </c>
      <c r="O79" s="662">
        <f t="shared" si="15"/>
        <v>152</v>
      </c>
      <c r="P79" s="662">
        <f t="shared" si="16"/>
        <v>64</v>
      </c>
      <c r="Q79" s="662">
        <f t="shared" si="17"/>
        <v>106</v>
      </c>
      <c r="R79" s="662" t="s">
        <v>2570</v>
      </c>
      <c r="S79" s="669">
        <v>8.0000000000000002E-3</v>
      </c>
      <c r="T79" s="674">
        <v>1.6E-2</v>
      </c>
    </row>
    <row r="80" spans="2:20">
      <c r="B80" s="661" t="s">
        <v>2547</v>
      </c>
      <c r="C80" s="676">
        <v>30581</v>
      </c>
      <c r="D80" s="660" t="s">
        <v>467</v>
      </c>
      <c r="E80" s="660" t="s">
        <v>2486</v>
      </c>
      <c r="F80" s="660">
        <v>6</v>
      </c>
      <c r="G80" s="662">
        <v>1080</v>
      </c>
      <c r="H80" s="672">
        <v>0.3</v>
      </c>
      <c r="I80" s="672">
        <v>0.38</v>
      </c>
      <c r="J80" s="672">
        <v>0.3</v>
      </c>
      <c r="K80" s="672">
        <v>0.32</v>
      </c>
      <c r="L80" s="662">
        <f t="shared" si="12"/>
        <v>410</v>
      </c>
      <c r="M80" s="662">
        <f t="shared" si="13"/>
        <v>323</v>
      </c>
      <c r="N80" s="662">
        <f t="shared" si="14"/>
        <v>344</v>
      </c>
      <c r="O80" s="662">
        <f t="shared" si="15"/>
        <v>123</v>
      </c>
      <c r="P80" s="662">
        <f t="shared" si="16"/>
        <v>97</v>
      </c>
      <c r="Q80" s="662">
        <f t="shared" si="17"/>
        <v>103</v>
      </c>
      <c r="R80" s="662" t="s">
        <v>2571</v>
      </c>
      <c r="S80" s="669">
        <v>0.01</v>
      </c>
      <c r="T80" s="674">
        <v>0.02</v>
      </c>
    </row>
    <row r="81" spans="2:20">
      <c r="B81" s="661" t="s">
        <v>2819</v>
      </c>
      <c r="C81" s="676">
        <v>30591</v>
      </c>
      <c r="D81" s="660" t="s">
        <v>467</v>
      </c>
      <c r="E81" s="660" t="s">
        <v>2486</v>
      </c>
      <c r="F81" s="660">
        <v>3</v>
      </c>
      <c r="G81" s="662">
        <v>1080</v>
      </c>
      <c r="H81" s="672">
        <v>0.3</v>
      </c>
      <c r="I81" s="672">
        <v>0.35</v>
      </c>
      <c r="J81" s="672">
        <v>0.33</v>
      </c>
      <c r="K81" s="672">
        <v>0.32</v>
      </c>
      <c r="L81" s="662">
        <f t="shared" si="12"/>
        <v>377</v>
      </c>
      <c r="M81" s="662">
        <f t="shared" si="13"/>
        <v>355</v>
      </c>
      <c r="N81" s="662">
        <f t="shared" si="14"/>
        <v>344</v>
      </c>
      <c r="O81" s="662">
        <f t="shared" si="15"/>
        <v>113</v>
      </c>
      <c r="P81" s="662">
        <f t="shared" si="16"/>
        <v>106</v>
      </c>
      <c r="Q81" s="662">
        <f t="shared" si="17"/>
        <v>103</v>
      </c>
      <c r="R81" s="662" t="s">
        <v>2517</v>
      </c>
      <c r="S81" s="662">
        <v>125</v>
      </c>
      <c r="T81" s="4">
        <v>250</v>
      </c>
    </row>
    <row r="82" spans="2:20">
      <c r="B82" s="661" t="s">
        <v>2820</v>
      </c>
      <c r="C82" s="676">
        <v>30601</v>
      </c>
      <c r="D82" s="660" t="s">
        <v>467</v>
      </c>
      <c r="E82" s="660" t="s">
        <v>2486</v>
      </c>
      <c r="F82" s="660">
        <v>2</v>
      </c>
      <c r="G82" s="662">
        <v>1080</v>
      </c>
      <c r="H82" s="672">
        <v>0.3</v>
      </c>
      <c r="I82" s="672">
        <v>0.33</v>
      </c>
      <c r="J82" s="672">
        <v>0.35</v>
      </c>
      <c r="K82" s="672">
        <v>0.32</v>
      </c>
      <c r="L82" s="662">
        <f t="shared" si="12"/>
        <v>355</v>
      </c>
      <c r="M82" s="662">
        <f t="shared" si="13"/>
        <v>377</v>
      </c>
      <c r="N82" s="662">
        <f t="shared" si="14"/>
        <v>344</v>
      </c>
      <c r="O82" s="662">
        <f t="shared" si="15"/>
        <v>106</v>
      </c>
      <c r="P82" s="662">
        <f t="shared" si="16"/>
        <v>113</v>
      </c>
      <c r="Q82" s="662">
        <f t="shared" si="17"/>
        <v>103</v>
      </c>
      <c r="R82" s="662" t="s">
        <v>2571</v>
      </c>
      <c r="S82" s="669">
        <v>5.0000000000000001E-3</v>
      </c>
      <c r="T82" s="674">
        <v>0.01</v>
      </c>
    </row>
    <row r="83" spans="2:20">
      <c r="B83" s="661" t="s">
        <v>2821</v>
      </c>
      <c r="C83" s="676">
        <v>30611</v>
      </c>
      <c r="D83" s="660" t="s">
        <v>467</v>
      </c>
      <c r="E83" s="660" t="s">
        <v>2486</v>
      </c>
      <c r="F83" s="660">
        <v>6</v>
      </c>
      <c r="G83" s="662">
        <v>1080</v>
      </c>
      <c r="H83" s="672">
        <v>0.3</v>
      </c>
      <c r="I83" s="672">
        <v>0.48</v>
      </c>
      <c r="J83" s="672">
        <v>0.2</v>
      </c>
      <c r="K83" s="672">
        <v>0.32</v>
      </c>
      <c r="L83" s="662">
        <f t="shared" si="12"/>
        <v>517</v>
      </c>
      <c r="M83" s="662">
        <f t="shared" si="13"/>
        <v>215</v>
      </c>
      <c r="N83" s="662">
        <f t="shared" si="14"/>
        <v>344</v>
      </c>
      <c r="O83" s="662">
        <f t="shared" si="15"/>
        <v>155</v>
      </c>
      <c r="P83" s="662">
        <f t="shared" si="16"/>
        <v>64</v>
      </c>
      <c r="Q83" s="662">
        <f t="shared" si="17"/>
        <v>103</v>
      </c>
      <c r="R83" s="662" t="s">
        <v>2523</v>
      </c>
      <c r="S83" s="669">
        <v>6.0000000000000001E-3</v>
      </c>
      <c r="T83" s="674">
        <v>1.2E-2</v>
      </c>
    </row>
    <row r="84" spans="2:20">
      <c r="B84" s="661" t="s">
        <v>3201</v>
      </c>
      <c r="C84" s="676">
        <v>30621</v>
      </c>
      <c r="D84" s="660" t="s">
        <v>467</v>
      </c>
      <c r="E84" s="660" t="s">
        <v>2486</v>
      </c>
      <c r="F84" s="660">
        <v>4</v>
      </c>
      <c r="G84" s="662">
        <v>1080</v>
      </c>
      <c r="H84" s="672">
        <v>0.3</v>
      </c>
      <c r="I84" s="672">
        <v>0.42</v>
      </c>
      <c r="J84" s="672">
        <v>0.3</v>
      </c>
      <c r="K84" s="672">
        <v>0.28000000000000003</v>
      </c>
      <c r="L84" s="662">
        <f t="shared" si="12"/>
        <v>453</v>
      </c>
      <c r="M84" s="662">
        <f t="shared" si="13"/>
        <v>323</v>
      </c>
      <c r="N84" s="662">
        <f t="shared" si="14"/>
        <v>301</v>
      </c>
      <c r="O84" s="662">
        <f t="shared" si="15"/>
        <v>136</v>
      </c>
      <c r="P84" s="662">
        <f t="shared" si="16"/>
        <v>97</v>
      </c>
      <c r="Q84" s="662">
        <f t="shared" si="17"/>
        <v>90</v>
      </c>
      <c r="R84" s="662" t="s">
        <v>3203</v>
      </c>
      <c r="S84" s="669">
        <v>0.01</v>
      </c>
      <c r="T84" s="674">
        <v>0.02</v>
      </c>
    </row>
    <row r="85" spans="2:20">
      <c r="B85" s="661" t="s">
        <v>3202</v>
      </c>
      <c r="C85" s="676">
        <v>30631</v>
      </c>
      <c r="D85" s="660" t="s">
        <v>467</v>
      </c>
      <c r="E85" s="660" t="s">
        <v>2486</v>
      </c>
      <c r="F85" s="660">
        <v>5</v>
      </c>
      <c r="G85" s="662">
        <v>1080</v>
      </c>
      <c r="H85" s="672">
        <v>0.3</v>
      </c>
      <c r="I85" s="672">
        <v>0.3</v>
      </c>
      <c r="J85" s="672">
        <v>0.25</v>
      </c>
      <c r="K85" s="672">
        <v>0.45</v>
      </c>
      <c r="L85" s="662">
        <f t="shared" si="12"/>
        <v>323</v>
      </c>
      <c r="M85" s="662">
        <f t="shared" si="13"/>
        <v>270</v>
      </c>
      <c r="N85" s="662">
        <f t="shared" si="14"/>
        <v>485</v>
      </c>
      <c r="O85" s="662">
        <f t="shared" si="15"/>
        <v>97</v>
      </c>
      <c r="P85" s="662">
        <f t="shared" si="16"/>
        <v>81</v>
      </c>
      <c r="Q85" s="662">
        <f t="shared" si="17"/>
        <v>145</v>
      </c>
      <c r="R85" s="662" t="s">
        <v>3204</v>
      </c>
      <c r="S85" s="669">
        <v>0.01</v>
      </c>
      <c r="T85" s="674">
        <v>0.02</v>
      </c>
    </row>
    <row r="86" spans="2:20">
      <c r="B86" s="661" t="s">
        <v>3150</v>
      </c>
      <c r="C86" s="676">
        <v>30641</v>
      </c>
      <c r="D86" s="660" t="s">
        <v>467</v>
      </c>
      <c r="E86" s="660" t="s">
        <v>2486</v>
      </c>
      <c r="F86" s="660">
        <v>1</v>
      </c>
      <c r="G86" s="662">
        <v>1080</v>
      </c>
      <c r="H86" s="672">
        <v>0.3</v>
      </c>
      <c r="I86" s="672">
        <v>0.2</v>
      </c>
      <c r="J86" s="672">
        <v>0.52</v>
      </c>
      <c r="K86" s="672">
        <v>0.28000000000000003</v>
      </c>
      <c r="L86" s="662">
        <f>O86+_xlfn.FLOOR.MATH($G86*(1-$H86)*I86)</f>
        <v>215</v>
      </c>
      <c r="M86" s="662">
        <f>P86+_xlfn.FLOOR.MATH($G86*(1-$H86)*J86)</f>
        <v>561</v>
      </c>
      <c r="N86" s="662">
        <f>Q86+_xlfn.FLOOR.MATH($G86*(1-$H86)*K86)</f>
        <v>301</v>
      </c>
      <c r="O86" s="662">
        <f>_xlfn.FLOOR.MATH($G86*$H86*I86)</f>
        <v>64</v>
      </c>
      <c r="P86" s="662">
        <f>_xlfn.FLOOR.MATH($G86*$H86*J86)</f>
        <v>168</v>
      </c>
      <c r="Q86" s="662">
        <f>_xlfn.FLOOR.MATH($G86*$H86*K86)</f>
        <v>90</v>
      </c>
      <c r="R86" s="662" t="s">
        <v>3149</v>
      </c>
      <c r="S86" s="669">
        <v>8.0000000000000002E-3</v>
      </c>
      <c r="T86" s="674">
        <v>1.6E-2</v>
      </c>
    </row>
    <row r="87" spans="2:20">
      <c r="B87" s="661" t="s">
        <v>4485</v>
      </c>
      <c r="C87" s="676">
        <v>30651</v>
      </c>
      <c r="D87" s="660" t="s">
        <v>467</v>
      </c>
      <c r="E87" s="660" t="s">
        <v>2486</v>
      </c>
      <c r="F87" s="660">
        <v>2</v>
      </c>
      <c r="G87" s="662">
        <v>1080</v>
      </c>
      <c r="H87" s="672">
        <v>0.3</v>
      </c>
      <c r="I87" s="672">
        <v>0.35</v>
      </c>
      <c r="J87" s="672">
        <v>0.2</v>
      </c>
      <c r="K87" s="672">
        <v>0.45</v>
      </c>
      <c r="L87" s="662">
        <f t="shared" si="12"/>
        <v>377</v>
      </c>
      <c r="M87" s="662">
        <f t="shared" si="13"/>
        <v>215</v>
      </c>
      <c r="N87" s="662">
        <f t="shared" si="14"/>
        <v>485</v>
      </c>
      <c r="O87" s="662">
        <f t="shared" si="15"/>
        <v>113</v>
      </c>
      <c r="P87" s="662">
        <f t="shared" si="16"/>
        <v>64</v>
      </c>
      <c r="Q87" s="662">
        <f t="shared" si="17"/>
        <v>145</v>
      </c>
      <c r="R87" s="662" t="s">
        <v>4486</v>
      </c>
      <c r="S87" s="669">
        <v>0.01</v>
      </c>
      <c r="T87" s="674">
        <v>0.02</v>
      </c>
    </row>
    <row r="88" spans="2:20">
      <c r="B88" s="661"/>
      <c r="C88" s="676">
        <v>30661</v>
      </c>
      <c r="D88" s="660" t="s">
        <v>467</v>
      </c>
      <c r="E88" s="660" t="s">
        <v>2486</v>
      </c>
      <c r="F88" s="660"/>
      <c r="G88" s="662">
        <v>1080</v>
      </c>
      <c r="H88" s="672">
        <v>0.3</v>
      </c>
      <c r="I88" s="672"/>
      <c r="J88" s="672"/>
      <c r="K88" s="672"/>
      <c r="L88" s="662">
        <f t="shared" si="12"/>
        <v>0</v>
      </c>
      <c r="M88" s="662">
        <f t="shared" si="13"/>
        <v>0</v>
      </c>
      <c r="N88" s="662">
        <f t="shared" si="14"/>
        <v>0</v>
      </c>
      <c r="O88" s="662">
        <f t="shared" si="15"/>
        <v>0</v>
      </c>
      <c r="P88" s="662">
        <f t="shared" si="16"/>
        <v>0</v>
      </c>
      <c r="Q88" s="662">
        <f t="shared" si="17"/>
        <v>0</v>
      </c>
      <c r="R88" s="662"/>
      <c r="S88" s="662"/>
      <c r="T88" s="4"/>
    </row>
    <row r="89" spans="2:20">
      <c r="B89" s="661"/>
      <c r="C89" s="676">
        <v>30671</v>
      </c>
      <c r="D89" s="660" t="s">
        <v>467</v>
      </c>
      <c r="E89" s="660" t="s">
        <v>2486</v>
      </c>
      <c r="F89" s="660"/>
      <c r="G89" s="662">
        <v>1080</v>
      </c>
      <c r="H89" s="672">
        <v>0.3</v>
      </c>
      <c r="I89" s="672"/>
      <c r="J89" s="672"/>
      <c r="K89" s="672"/>
      <c r="L89" s="662">
        <f t="shared" si="12"/>
        <v>0</v>
      </c>
      <c r="M89" s="662">
        <f t="shared" si="13"/>
        <v>0</v>
      </c>
      <c r="N89" s="662">
        <f t="shared" si="14"/>
        <v>0</v>
      </c>
      <c r="O89" s="662">
        <f t="shared" si="15"/>
        <v>0</v>
      </c>
      <c r="P89" s="662">
        <f t="shared" si="16"/>
        <v>0</v>
      </c>
      <c r="Q89" s="662">
        <f t="shared" si="17"/>
        <v>0</v>
      </c>
      <c r="R89" s="662"/>
      <c r="S89" s="662"/>
      <c r="T89" s="4"/>
    </row>
    <row r="90" spans="2:20">
      <c r="B90" s="661"/>
      <c r="C90" s="676">
        <v>30681</v>
      </c>
      <c r="D90" s="660" t="s">
        <v>467</v>
      </c>
      <c r="E90" s="660" t="s">
        <v>2486</v>
      </c>
      <c r="F90" s="660"/>
      <c r="G90" s="662">
        <v>1080</v>
      </c>
      <c r="H90" s="672">
        <v>0.3</v>
      </c>
      <c r="I90" s="672"/>
      <c r="J90" s="672"/>
      <c r="K90" s="672"/>
      <c r="L90" s="662">
        <f t="shared" si="12"/>
        <v>0</v>
      </c>
      <c r="M90" s="662">
        <f t="shared" si="13"/>
        <v>0</v>
      </c>
      <c r="N90" s="662">
        <f t="shared" si="14"/>
        <v>0</v>
      </c>
      <c r="O90" s="662">
        <f t="shared" si="15"/>
        <v>0</v>
      </c>
      <c r="P90" s="662">
        <f t="shared" si="16"/>
        <v>0</v>
      </c>
      <c r="Q90" s="662">
        <f t="shared" si="17"/>
        <v>0</v>
      </c>
      <c r="R90" s="662"/>
      <c r="S90" s="662"/>
      <c r="T90" s="4"/>
    </row>
    <row r="91" spans="2:20">
      <c r="B91" s="661"/>
      <c r="C91" s="676">
        <v>30691</v>
      </c>
      <c r="D91" s="660" t="s">
        <v>467</v>
      </c>
      <c r="E91" s="660" t="s">
        <v>2486</v>
      </c>
      <c r="F91" s="660"/>
      <c r="G91" s="662">
        <v>1080</v>
      </c>
      <c r="H91" s="672">
        <v>0.3</v>
      </c>
      <c r="I91" s="672"/>
      <c r="J91" s="672"/>
      <c r="K91" s="672"/>
      <c r="L91" s="662">
        <f t="shared" si="12"/>
        <v>0</v>
      </c>
      <c r="M91" s="662">
        <f t="shared" si="13"/>
        <v>0</v>
      </c>
      <c r="N91" s="662">
        <f t="shared" si="14"/>
        <v>0</v>
      </c>
      <c r="O91" s="662">
        <f t="shared" si="15"/>
        <v>0</v>
      </c>
      <c r="P91" s="662">
        <f t="shared" si="16"/>
        <v>0</v>
      </c>
      <c r="Q91" s="662">
        <f t="shared" si="17"/>
        <v>0</v>
      </c>
      <c r="R91" s="662"/>
      <c r="S91" s="662"/>
      <c r="T91" s="4"/>
    </row>
    <row r="92" spans="2:20">
      <c r="B92" s="661"/>
      <c r="C92" s="676">
        <v>30701</v>
      </c>
      <c r="D92" s="660" t="s">
        <v>467</v>
      </c>
      <c r="E92" s="660" t="s">
        <v>2486</v>
      </c>
      <c r="F92" s="660"/>
      <c r="G92" s="662">
        <v>1080</v>
      </c>
      <c r="H92" s="672">
        <v>0.3</v>
      </c>
      <c r="I92" s="672"/>
      <c r="J92" s="672"/>
      <c r="K92" s="672"/>
      <c r="L92" s="662">
        <f t="shared" si="12"/>
        <v>0</v>
      </c>
      <c r="M92" s="662">
        <f t="shared" si="13"/>
        <v>0</v>
      </c>
      <c r="N92" s="662">
        <f t="shared" si="14"/>
        <v>0</v>
      </c>
      <c r="O92" s="662">
        <f t="shared" si="15"/>
        <v>0</v>
      </c>
      <c r="P92" s="662">
        <f t="shared" si="16"/>
        <v>0</v>
      </c>
      <c r="Q92" s="662">
        <f t="shared" si="17"/>
        <v>0</v>
      </c>
      <c r="R92" s="662"/>
      <c r="S92" s="662"/>
      <c r="T92" s="4"/>
    </row>
    <row r="93" spans="2:20">
      <c r="B93" s="661"/>
      <c r="C93" s="676">
        <v>30711</v>
      </c>
      <c r="D93" s="660" t="s">
        <v>467</v>
      </c>
      <c r="E93" s="660" t="s">
        <v>2486</v>
      </c>
      <c r="F93" s="660"/>
      <c r="G93" s="662">
        <v>1080</v>
      </c>
      <c r="H93" s="672">
        <v>0.3</v>
      </c>
      <c r="I93" s="672"/>
      <c r="J93" s="672"/>
      <c r="K93" s="672"/>
      <c r="L93" s="662">
        <f t="shared" si="12"/>
        <v>0</v>
      </c>
      <c r="M93" s="662">
        <f t="shared" si="13"/>
        <v>0</v>
      </c>
      <c r="N93" s="662">
        <f t="shared" si="14"/>
        <v>0</v>
      </c>
      <c r="O93" s="662">
        <f t="shared" si="15"/>
        <v>0</v>
      </c>
      <c r="P93" s="662">
        <f t="shared" si="16"/>
        <v>0</v>
      </c>
      <c r="Q93" s="662">
        <f t="shared" si="17"/>
        <v>0</v>
      </c>
      <c r="R93" s="662"/>
      <c r="S93" s="662"/>
      <c r="T93" s="4"/>
    </row>
    <row r="94" spans="2:20">
      <c r="B94" s="661"/>
      <c r="C94" s="676">
        <v>30721</v>
      </c>
      <c r="D94" s="660" t="s">
        <v>467</v>
      </c>
      <c r="E94" s="660" t="s">
        <v>2486</v>
      </c>
      <c r="F94" s="660"/>
      <c r="G94" s="662">
        <v>1080</v>
      </c>
      <c r="H94" s="672">
        <v>0.3</v>
      </c>
      <c r="I94" s="672"/>
      <c r="J94" s="672"/>
      <c r="K94" s="672"/>
      <c r="L94" s="662">
        <f t="shared" si="12"/>
        <v>0</v>
      </c>
      <c r="M94" s="662">
        <f t="shared" si="13"/>
        <v>0</v>
      </c>
      <c r="N94" s="662">
        <f t="shared" si="14"/>
        <v>0</v>
      </c>
      <c r="O94" s="662">
        <f t="shared" si="15"/>
        <v>0</v>
      </c>
      <c r="P94" s="662">
        <f t="shared" si="16"/>
        <v>0</v>
      </c>
      <c r="Q94" s="662">
        <f t="shared" si="17"/>
        <v>0</v>
      </c>
      <c r="R94" s="662"/>
      <c r="S94" s="662"/>
      <c r="T94" s="4"/>
    </row>
    <row r="95" spans="2:20">
      <c r="B95" s="661"/>
      <c r="C95" s="676">
        <v>30731</v>
      </c>
      <c r="D95" s="660" t="s">
        <v>467</v>
      </c>
      <c r="E95" s="660" t="s">
        <v>2486</v>
      </c>
      <c r="F95" s="660"/>
      <c r="G95" s="662">
        <v>1080</v>
      </c>
      <c r="H95" s="672">
        <v>0.3</v>
      </c>
      <c r="I95" s="672"/>
      <c r="J95" s="672"/>
      <c r="K95" s="672"/>
      <c r="L95" s="662">
        <f t="shared" si="12"/>
        <v>0</v>
      </c>
      <c r="M95" s="662">
        <f t="shared" si="13"/>
        <v>0</v>
      </c>
      <c r="N95" s="662">
        <f t="shared" si="14"/>
        <v>0</v>
      </c>
      <c r="O95" s="662">
        <f t="shared" si="15"/>
        <v>0</v>
      </c>
      <c r="P95" s="662">
        <f t="shared" si="16"/>
        <v>0</v>
      </c>
      <c r="Q95" s="662">
        <f t="shared" si="17"/>
        <v>0</v>
      </c>
      <c r="R95" s="662"/>
      <c r="S95" s="662"/>
      <c r="T95" s="4"/>
    </row>
    <row r="96" spans="2:20">
      <c r="B96" s="661"/>
      <c r="C96" s="676">
        <v>30741</v>
      </c>
      <c r="D96" s="660" t="s">
        <v>467</v>
      </c>
      <c r="E96" s="660" t="s">
        <v>2486</v>
      </c>
      <c r="F96" s="660"/>
      <c r="G96" s="662">
        <v>1080</v>
      </c>
      <c r="H96" s="672">
        <v>0.3</v>
      </c>
      <c r="I96" s="672"/>
      <c r="J96" s="672"/>
      <c r="K96" s="672"/>
      <c r="L96" s="662">
        <f t="shared" si="12"/>
        <v>0</v>
      </c>
      <c r="M96" s="662">
        <f t="shared" si="13"/>
        <v>0</v>
      </c>
      <c r="N96" s="662">
        <f t="shared" si="14"/>
        <v>0</v>
      </c>
      <c r="O96" s="662">
        <f t="shared" si="15"/>
        <v>0</v>
      </c>
      <c r="P96" s="662">
        <f t="shared" si="16"/>
        <v>0</v>
      </c>
      <c r="Q96" s="662">
        <f t="shared" si="17"/>
        <v>0</v>
      </c>
      <c r="R96" s="662"/>
      <c r="S96" s="662"/>
      <c r="T96" s="4"/>
    </row>
    <row r="97" spans="2:20">
      <c r="B97" s="661"/>
      <c r="C97" s="676">
        <v>30751</v>
      </c>
      <c r="D97" s="660" t="s">
        <v>467</v>
      </c>
      <c r="E97" s="660" t="s">
        <v>2486</v>
      </c>
      <c r="F97" s="660"/>
      <c r="G97" s="662">
        <v>1080</v>
      </c>
      <c r="H97" s="672">
        <v>0.3</v>
      </c>
      <c r="I97" s="672"/>
      <c r="J97" s="672"/>
      <c r="K97" s="672"/>
      <c r="L97" s="662">
        <f t="shared" si="12"/>
        <v>0</v>
      </c>
      <c r="M97" s="662">
        <f t="shared" si="13"/>
        <v>0</v>
      </c>
      <c r="N97" s="662">
        <f t="shared" si="14"/>
        <v>0</v>
      </c>
      <c r="O97" s="662">
        <f t="shared" si="15"/>
        <v>0</v>
      </c>
      <c r="P97" s="662">
        <f t="shared" si="16"/>
        <v>0</v>
      </c>
      <c r="Q97" s="662">
        <f t="shared" si="17"/>
        <v>0</v>
      </c>
      <c r="R97" s="662"/>
      <c r="S97" s="662"/>
      <c r="T97" s="4"/>
    </row>
    <row r="98" spans="2:20">
      <c r="B98" s="661"/>
      <c r="C98" s="676">
        <v>30761</v>
      </c>
      <c r="D98" s="660" t="s">
        <v>467</v>
      </c>
      <c r="E98" s="660" t="s">
        <v>2486</v>
      </c>
      <c r="F98" s="660"/>
      <c r="G98" s="662">
        <v>1080</v>
      </c>
      <c r="H98" s="672">
        <v>0.3</v>
      </c>
      <c r="I98" s="672"/>
      <c r="J98" s="672"/>
      <c r="K98" s="672"/>
      <c r="L98" s="662">
        <f t="shared" si="12"/>
        <v>0</v>
      </c>
      <c r="M98" s="662">
        <f t="shared" si="13"/>
        <v>0</v>
      </c>
      <c r="N98" s="662">
        <f t="shared" si="14"/>
        <v>0</v>
      </c>
      <c r="O98" s="662">
        <f t="shared" si="15"/>
        <v>0</v>
      </c>
      <c r="P98" s="662">
        <f t="shared" si="16"/>
        <v>0</v>
      </c>
      <c r="Q98" s="662">
        <f t="shared" si="17"/>
        <v>0</v>
      </c>
      <c r="R98" s="662"/>
      <c r="S98" s="662"/>
      <c r="T98" s="4"/>
    </row>
    <row r="99" spans="2:20">
      <c r="B99" s="661"/>
      <c r="C99" s="676">
        <v>30771</v>
      </c>
      <c r="D99" s="660" t="s">
        <v>467</v>
      </c>
      <c r="E99" s="660" t="s">
        <v>2486</v>
      </c>
      <c r="F99" s="660"/>
      <c r="G99" s="662">
        <v>1080</v>
      </c>
      <c r="H99" s="672">
        <v>0.3</v>
      </c>
      <c r="I99" s="672"/>
      <c r="J99" s="672"/>
      <c r="K99" s="672"/>
      <c r="L99" s="662">
        <f t="shared" si="12"/>
        <v>0</v>
      </c>
      <c r="M99" s="662">
        <f t="shared" si="13"/>
        <v>0</v>
      </c>
      <c r="N99" s="662">
        <f t="shared" si="14"/>
        <v>0</v>
      </c>
      <c r="O99" s="662">
        <f t="shared" si="15"/>
        <v>0</v>
      </c>
      <c r="P99" s="662">
        <f t="shared" si="16"/>
        <v>0</v>
      </c>
      <c r="Q99" s="662">
        <f t="shared" si="17"/>
        <v>0</v>
      </c>
      <c r="R99" s="662"/>
      <c r="S99" s="662"/>
      <c r="T99" s="4"/>
    </row>
    <row r="100" spans="2:20" ht="17.25" thickBot="1">
      <c r="B100" s="663"/>
      <c r="C100" s="677"/>
      <c r="D100" s="668"/>
      <c r="E100" s="668"/>
      <c r="F100" s="668"/>
      <c r="G100" s="664"/>
      <c r="H100" s="673"/>
      <c r="I100" s="673"/>
      <c r="J100" s="673"/>
      <c r="K100" s="673"/>
      <c r="L100" s="664"/>
      <c r="M100" s="664"/>
      <c r="N100" s="664"/>
      <c r="O100" s="664"/>
      <c r="P100" s="664"/>
      <c r="Q100" s="664"/>
      <c r="R100" s="664"/>
      <c r="S100" s="664"/>
      <c r="T100" s="5"/>
    </row>
  </sheetData>
  <autoFilter ref="B2:T100" xr:uid="{E9A944A6-27CC-4265-9987-1EED207B8802}">
    <sortState ref="B3:T100">
      <sortCondition ref="C2:C100"/>
    </sortState>
  </autoFilter>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B46F7-5620-4943-BE63-E2153EEDABAF}">
  <dimension ref="B1:BF42"/>
  <sheetViews>
    <sheetView workbookViewId="0">
      <pane xSplit="3" topLeftCell="AP1" activePane="topRight" state="frozen"/>
      <selection activeCell="A6" sqref="A6"/>
      <selection pane="topRight" activeCell="BC32" sqref="BC32"/>
    </sheetView>
  </sheetViews>
  <sheetFormatPr defaultColWidth="11.125" defaultRowHeight="16.5"/>
  <cols>
    <col min="1" max="1" width="3.875" style="940" customWidth="1"/>
    <col min="2" max="3" width="8.125" style="940" customWidth="1"/>
    <col min="4" max="9" width="11.125" style="940" customWidth="1"/>
    <col min="10" max="10" width="13.5" style="940" bestFit="1" customWidth="1"/>
    <col min="11" max="11" width="13" style="940" bestFit="1" customWidth="1"/>
    <col min="12" max="12" width="13.5" style="940" bestFit="1" customWidth="1"/>
    <col min="13" max="13" width="13" style="940" bestFit="1" customWidth="1"/>
    <col min="14" max="14" width="13.5" style="940" bestFit="1" customWidth="1"/>
    <col min="15" max="15" width="13" style="940" bestFit="1" customWidth="1"/>
    <col min="16" max="16" width="13.5" style="940" bestFit="1" customWidth="1"/>
    <col min="17" max="17" width="13" style="940" bestFit="1" customWidth="1"/>
    <col min="18" max="18" width="13.5" style="940" bestFit="1" customWidth="1"/>
    <col min="19" max="19" width="13" style="940" bestFit="1" customWidth="1"/>
    <col min="20" max="20" width="13.5" style="940" bestFit="1" customWidth="1"/>
    <col min="21" max="21" width="11.625" style="940" bestFit="1" customWidth="1"/>
    <col min="22" max="22" width="12.125" style="940" bestFit="1" customWidth="1"/>
    <col min="23" max="23" width="11.625" style="940" bestFit="1" customWidth="1"/>
    <col min="24" max="24" width="12.125" style="940" bestFit="1" customWidth="1"/>
    <col min="25" max="25" width="11.625" style="940" bestFit="1" customWidth="1"/>
    <col min="26" max="26" width="12.125" style="940" bestFit="1" customWidth="1"/>
    <col min="27" max="27" width="11.625" style="940" bestFit="1" customWidth="1"/>
    <col min="28" max="28" width="13.5" style="940" bestFit="1" customWidth="1"/>
    <col min="29" max="29" width="11.625" style="940" bestFit="1" customWidth="1"/>
    <col min="30" max="30" width="13.5" style="940" bestFit="1" customWidth="1"/>
    <col min="31" max="31" width="11.625" style="940" bestFit="1" customWidth="1"/>
    <col min="32" max="32" width="13.5" style="940" bestFit="1" customWidth="1"/>
    <col min="33" max="33" width="13" style="940" bestFit="1" customWidth="1"/>
    <col min="34" max="34" width="13.5" style="940" bestFit="1" customWidth="1"/>
    <col min="35" max="35" width="13" style="940" bestFit="1" customWidth="1"/>
    <col min="36" max="36" width="13.5" style="940" bestFit="1" customWidth="1"/>
    <col min="37" max="37" width="13" style="940" bestFit="1" customWidth="1"/>
    <col min="38" max="38" width="13.5" style="940" bestFit="1" customWidth="1"/>
    <col min="39" max="39" width="13" style="940" bestFit="1" customWidth="1"/>
    <col min="40" max="40" width="13.5" style="940" bestFit="1" customWidth="1"/>
    <col min="41" max="41" width="13" style="940" bestFit="1" customWidth="1"/>
    <col min="42" max="42" width="13.5" style="940" bestFit="1" customWidth="1"/>
    <col min="43" max="43" width="13" style="940" bestFit="1" customWidth="1"/>
    <col min="44" max="44" width="13.5" style="940" bestFit="1" customWidth="1"/>
    <col min="45" max="45" width="13" style="940" bestFit="1" customWidth="1"/>
    <col min="46" max="46" width="14.75" style="940" bestFit="1" customWidth="1"/>
    <col min="47" max="47" width="13" style="940" bestFit="1" customWidth="1"/>
    <col min="48" max="48" width="14.75" style="940" bestFit="1" customWidth="1"/>
    <col min="49" max="49" width="13" style="940" bestFit="1" customWidth="1"/>
    <col min="50" max="50" width="13.5" style="940" bestFit="1" customWidth="1"/>
    <col min="51" max="51" width="13" style="940" bestFit="1" customWidth="1"/>
    <col min="52" max="52" width="13.5" style="940" bestFit="1" customWidth="1"/>
    <col min="53" max="53" width="13" style="940" bestFit="1" customWidth="1"/>
    <col min="54" max="54" width="13.5" style="940" bestFit="1" customWidth="1"/>
    <col min="55" max="55" width="13" style="940" bestFit="1" customWidth="1"/>
    <col min="56" max="56" width="13.5" style="940" bestFit="1" customWidth="1"/>
    <col min="57" max="57" width="13" style="940" bestFit="1" customWidth="1"/>
    <col min="58" max="16384" width="11.125" style="940"/>
  </cols>
  <sheetData>
    <row r="1" spans="2:58" ht="16.5" hidden="1" customHeight="1"/>
    <row r="2" spans="2:58" ht="16.5" hidden="1" customHeight="1"/>
    <row r="3" spans="2:58" ht="16.5" hidden="1" customHeight="1"/>
    <row r="4" spans="2:58" ht="16.5" hidden="1" customHeight="1"/>
    <row r="5" spans="2:58" ht="16.5" hidden="1" customHeight="1"/>
    <row r="6" spans="2:58" ht="17.25" thickBot="1"/>
    <row r="7" spans="2:58" s="971" customFormat="1" ht="17.25" thickTop="1">
      <c r="B7" s="1678" t="s">
        <v>2830</v>
      </c>
      <c r="C7" s="1690"/>
      <c r="D7" s="1680">
        <v>2020.03</v>
      </c>
      <c r="E7" s="1679"/>
      <c r="F7" s="1676">
        <v>2020.04</v>
      </c>
      <c r="G7" s="1677"/>
      <c r="H7" s="1680">
        <v>2020.05</v>
      </c>
      <c r="I7" s="1679"/>
      <c r="J7" s="1676">
        <v>2020.07</v>
      </c>
      <c r="K7" s="1677"/>
      <c r="L7" s="1680">
        <v>2020.08</v>
      </c>
      <c r="M7" s="1679"/>
      <c r="N7" s="1676">
        <v>2020.09</v>
      </c>
      <c r="O7" s="1677"/>
      <c r="P7" s="1680" t="s">
        <v>2831</v>
      </c>
      <c r="Q7" s="1679"/>
      <c r="R7" s="1676">
        <v>2020.11</v>
      </c>
      <c r="S7" s="1677"/>
      <c r="T7" s="1680">
        <v>2020.12</v>
      </c>
      <c r="U7" s="1679"/>
      <c r="V7" s="1687">
        <v>2021.01</v>
      </c>
      <c r="W7" s="1688"/>
      <c r="X7" s="1688"/>
      <c r="Y7" s="1688"/>
      <c r="Z7" s="1688"/>
      <c r="AA7" s="1689"/>
      <c r="AB7" s="1680" t="s">
        <v>2832</v>
      </c>
      <c r="AC7" s="1679"/>
      <c r="AD7" s="1676" t="s">
        <v>2833</v>
      </c>
      <c r="AE7" s="1677"/>
      <c r="AF7" s="1678" t="s">
        <v>2834</v>
      </c>
      <c r="AG7" s="1679"/>
      <c r="AH7" s="1676" t="s">
        <v>2835</v>
      </c>
      <c r="AI7" s="1677"/>
      <c r="AJ7" s="1680" t="s">
        <v>2836</v>
      </c>
      <c r="AK7" s="1679"/>
      <c r="AL7" s="1676" t="s">
        <v>4422</v>
      </c>
      <c r="AM7" s="1677"/>
      <c r="AN7" s="1680" t="s">
        <v>4423</v>
      </c>
      <c r="AO7" s="1679"/>
      <c r="AP7" s="1680" t="s">
        <v>4424</v>
      </c>
      <c r="AQ7" s="1679"/>
      <c r="AR7" s="1687" t="s">
        <v>4581</v>
      </c>
      <c r="AS7" s="1688"/>
      <c r="AT7" s="1688"/>
      <c r="AU7" s="1688"/>
      <c r="AV7" s="1688"/>
      <c r="AW7" s="1689"/>
      <c r="AX7" s="1676" t="s">
        <v>4712</v>
      </c>
      <c r="AY7" s="1677"/>
      <c r="AZ7" s="1680" t="s">
        <v>4815</v>
      </c>
      <c r="BA7" s="1679"/>
      <c r="BB7" s="1687" t="s">
        <v>4941</v>
      </c>
      <c r="BC7" s="1689"/>
      <c r="BD7" s="1687"/>
      <c r="BE7" s="1689"/>
      <c r="BF7" s="941"/>
    </row>
    <row r="8" spans="2:58" s="938" customFormat="1">
      <c r="B8" s="1681" t="s">
        <v>2837</v>
      </c>
      <c r="C8" s="1682"/>
      <c r="D8" s="1683">
        <v>0</v>
      </c>
      <c r="E8" s="1684"/>
      <c r="F8" s="1685">
        <v>1</v>
      </c>
      <c r="G8" s="1686"/>
      <c r="H8" s="1683">
        <v>2</v>
      </c>
      <c r="I8" s="1684"/>
      <c r="J8" s="1685">
        <v>3</v>
      </c>
      <c r="K8" s="1686"/>
      <c r="L8" s="1683">
        <v>4</v>
      </c>
      <c r="M8" s="1684"/>
      <c r="N8" s="1685">
        <v>5</v>
      </c>
      <c r="O8" s="1686"/>
      <c r="P8" s="1683">
        <v>6</v>
      </c>
      <c r="Q8" s="1684"/>
      <c r="R8" s="1685">
        <v>7</v>
      </c>
      <c r="S8" s="1686"/>
      <c r="T8" s="1683">
        <v>8</v>
      </c>
      <c r="U8" s="1684"/>
      <c r="V8" s="1685">
        <v>8.51</v>
      </c>
      <c r="W8" s="1686"/>
      <c r="X8" s="1683">
        <v>8.52</v>
      </c>
      <c r="Y8" s="1684"/>
      <c r="Z8" s="1685">
        <v>8.5299999999999994</v>
      </c>
      <c r="AA8" s="1686"/>
      <c r="AB8" s="1683">
        <v>9</v>
      </c>
      <c r="AC8" s="1684"/>
      <c r="AD8" s="1685">
        <v>10</v>
      </c>
      <c r="AE8" s="1686"/>
      <c r="AF8" s="1681">
        <v>11</v>
      </c>
      <c r="AG8" s="1684"/>
      <c r="AH8" s="1685">
        <v>12</v>
      </c>
      <c r="AI8" s="1686"/>
      <c r="AJ8" s="1683">
        <v>13</v>
      </c>
      <c r="AK8" s="1684"/>
      <c r="AL8" s="1685">
        <v>14</v>
      </c>
      <c r="AM8" s="1686"/>
      <c r="AN8" s="1683">
        <v>15</v>
      </c>
      <c r="AO8" s="1684"/>
      <c r="AP8" s="1683">
        <v>16</v>
      </c>
      <c r="AQ8" s="1684"/>
      <c r="AR8" s="1683">
        <v>16.510000000000002</v>
      </c>
      <c r="AS8" s="1686"/>
      <c r="AT8" s="1683">
        <v>16.52</v>
      </c>
      <c r="AU8" s="1684"/>
      <c r="AV8" s="1685">
        <v>16.53</v>
      </c>
      <c r="AW8" s="1684"/>
      <c r="AX8" s="1685">
        <v>17</v>
      </c>
      <c r="AY8" s="1686"/>
      <c r="AZ8" s="1683">
        <v>18</v>
      </c>
      <c r="BA8" s="1684"/>
      <c r="BB8" s="1758">
        <v>19</v>
      </c>
      <c r="BC8" s="1759"/>
      <c r="BD8" s="1758"/>
      <c r="BE8" s="1759"/>
      <c r="BF8" s="1296"/>
    </row>
    <row r="9" spans="2:58" s="938" customFormat="1" ht="17.25" thickBot="1">
      <c r="B9" s="1691" t="s">
        <v>2838</v>
      </c>
      <c r="C9" s="1692"/>
      <c r="D9" s="1693">
        <v>4</v>
      </c>
      <c r="E9" s="1694"/>
      <c r="F9" s="1695">
        <v>5</v>
      </c>
      <c r="G9" s="1696"/>
      <c r="H9" s="1693">
        <v>5</v>
      </c>
      <c r="I9" s="1694"/>
      <c r="J9" s="1695">
        <v>5</v>
      </c>
      <c r="K9" s="1696"/>
      <c r="L9" s="1693">
        <v>5</v>
      </c>
      <c r="M9" s="1694"/>
      <c r="N9" s="1695">
        <v>6</v>
      </c>
      <c r="O9" s="1696"/>
      <c r="P9" s="1693">
        <v>6</v>
      </c>
      <c r="Q9" s="1694"/>
      <c r="R9" s="1695">
        <v>6</v>
      </c>
      <c r="S9" s="1696"/>
      <c r="T9" s="1693">
        <v>6</v>
      </c>
      <c r="U9" s="1694"/>
      <c r="V9" s="1695">
        <v>2</v>
      </c>
      <c r="W9" s="1696"/>
      <c r="X9" s="1693">
        <v>2</v>
      </c>
      <c r="Y9" s="1694"/>
      <c r="Z9" s="1695">
        <v>2</v>
      </c>
      <c r="AA9" s="1696"/>
      <c r="AB9" s="1693">
        <v>6</v>
      </c>
      <c r="AC9" s="1694"/>
      <c r="AD9" s="1695">
        <v>6</v>
      </c>
      <c r="AE9" s="1696"/>
      <c r="AF9" s="1691">
        <v>6</v>
      </c>
      <c r="AG9" s="1694"/>
      <c r="AH9" s="1695">
        <v>6</v>
      </c>
      <c r="AI9" s="1696"/>
      <c r="AJ9" s="1693">
        <v>6</v>
      </c>
      <c r="AK9" s="1694"/>
      <c r="AL9" s="1695">
        <v>6</v>
      </c>
      <c r="AM9" s="1696"/>
      <c r="AN9" s="1693">
        <v>7</v>
      </c>
      <c r="AO9" s="1694"/>
      <c r="AP9" s="1693">
        <v>6</v>
      </c>
      <c r="AQ9" s="1694"/>
      <c r="AR9" s="1693">
        <v>4</v>
      </c>
      <c r="AS9" s="1696"/>
      <c r="AT9" s="1693">
        <v>4</v>
      </c>
      <c r="AU9" s="1694"/>
      <c r="AV9" s="1695">
        <v>4</v>
      </c>
      <c r="AW9" s="1694"/>
      <c r="AX9" s="1695">
        <v>6</v>
      </c>
      <c r="AY9" s="1696"/>
      <c r="AZ9" s="1693">
        <v>6</v>
      </c>
      <c r="BA9" s="1694"/>
      <c r="BB9" s="1760">
        <v>6</v>
      </c>
      <c r="BC9" s="1761"/>
      <c r="BD9" s="1760"/>
      <c r="BE9" s="1761"/>
      <c r="BF9" s="943"/>
    </row>
    <row r="10" spans="2:58" s="938" customFormat="1">
      <c r="B10" s="1726" t="s">
        <v>2839</v>
      </c>
      <c r="C10" s="1727"/>
      <c r="D10" s="1699" t="s">
        <v>984</v>
      </c>
      <c r="E10" s="1700"/>
      <c r="F10" s="1697" t="s">
        <v>2840</v>
      </c>
      <c r="G10" s="1698"/>
      <c r="H10" s="1699" t="s">
        <v>987</v>
      </c>
      <c r="I10" s="1700"/>
      <c r="J10" s="1697" t="s">
        <v>996</v>
      </c>
      <c r="K10" s="1698"/>
      <c r="L10" s="1699" t="s">
        <v>964</v>
      </c>
      <c r="M10" s="1700"/>
      <c r="N10" s="1697" t="s">
        <v>985</v>
      </c>
      <c r="O10" s="1698"/>
      <c r="P10" s="1699" t="s">
        <v>990</v>
      </c>
      <c r="Q10" s="1700"/>
      <c r="R10" s="1697" t="s">
        <v>994</v>
      </c>
      <c r="S10" s="1698"/>
      <c r="T10" s="1699" t="s">
        <v>993</v>
      </c>
      <c r="U10" s="1700"/>
      <c r="V10" s="1697" t="s">
        <v>4840</v>
      </c>
      <c r="W10" s="1698"/>
      <c r="X10" s="1699" t="s">
        <v>1049</v>
      </c>
      <c r="Y10" s="1700"/>
      <c r="Z10" s="1697" t="s">
        <v>2842</v>
      </c>
      <c r="AA10" s="1698"/>
      <c r="AB10" s="1699" t="s">
        <v>965</v>
      </c>
      <c r="AC10" s="1700"/>
      <c r="AD10" s="1697" t="s">
        <v>2843</v>
      </c>
      <c r="AE10" s="1698"/>
      <c r="AF10" s="1701" t="s">
        <v>2844</v>
      </c>
      <c r="AG10" s="1700"/>
      <c r="AH10" s="1697" t="s">
        <v>1191</v>
      </c>
      <c r="AI10" s="1698"/>
      <c r="AJ10" s="1699" t="s">
        <v>2845</v>
      </c>
      <c r="AK10" s="1700"/>
      <c r="AL10" s="1697" t="s">
        <v>4425</v>
      </c>
      <c r="AM10" s="1698"/>
      <c r="AN10" s="1699" t="s">
        <v>4428</v>
      </c>
      <c r="AO10" s="1700"/>
      <c r="AP10" s="1699" t="s">
        <v>2902</v>
      </c>
      <c r="AQ10" s="1700"/>
      <c r="AR10" s="1699" t="s">
        <v>4582</v>
      </c>
      <c r="AS10" s="1698"/>
      <c r="AT10" s="1699" t="s">
        <v>4587</v>
      </c>
      <c r="AU10" s="1700"/>
      <c r="AV10" s="1697" t="s">
        <v>4588</v>
      </c>
      <c r="AW10" s="1700"/>
      <c r="AX10" s="1697" t="s">
        <v>4724</v>
      </c>
      <c r="AY10" s="1698"/>
      <c r="AZ10" s="1699" t="s">
        <v>4816</v>
      </c>
      <c r="BA10" s="1700"/>
      <c r="BB10" s="1699" t="s">
        <v>2904</v>
      </c>
      <c r="BC10" s="1700"/>
      <c r="BD10" s="1770"/>
      <c r="BE10" s="1771"/>
      <c r="BF10" s="944"/>
    </row>
    <row r="11" spans="2:58" s="938" customFormat="1">
      <c r="B11" s="1718"/>
      <c r="C11" s="1719"/>
      <c r="D11" s="1683" t="s">
        <v>1008</v>
      </c>
      <c r="E11" s="1684"/>
      <c r="F11" s="1685" t="s">
        <v>1010</v>
      </c>
      <c r="G11" s="1686"/>
      <c r="H11" s="1683" t="s">
        <v>1006</v>
      </c>
      <c r="I11" s="1684"/>
      <c r="J11" s="1685" t="s">
        <v>998</v>
      </c>
      <c r="K11" s="1686"/>
      <c r="L11" s="1683" t="s">
        <v>999</v>
      </c>
      <c r="M11" s="1684"/>
      <c r="N11" s="1685" t="s">
        <v>966</v>
      </c>
      <c r="O11" s="1686"/>
      <c r="P11" s="1683" t="s">
        <v>2846</v>
      </c>
      <c r="Q11" s="1684"/>
      <c r="R11" s="1685" t="s">
        <v>1003</v>
      </c>
      <c r="S11" s="1686"/>
      <c r="T11" s="1683" t="s">
        <v>1005</v>
      </c>
      <c r="U11" s="1684"/>
      <c r="V11" s="1685" t="s">
        <v>2847</v>
      </c>
      <c r="W11" s="1686"/>
      <c r="X11" s="1683" t="s">
        <v>1050</v>
      </c>
      <c r="Y11" s="1684"/>
      <c r="Z11" s="1685" t="s">
        <v>2848</v>
      </c>
      <c r="AA11" s="1686"/>
      <c r="AB11" s="1702" t="s">
        <v>2849</v>
      </c>
      <c r="AC11" s="1703"/>
      <c r="AD11" s="1708" t="s">
        <v>2850</v>
      </c>
      <c r="AE11" s="1709"/>
      <c r="AF11" s="1710" t="s">
        <v>2851</v>
      </c>
      <c r="AG11" s="1703"/>
      <c r="AH11" s="1708" t="s">
        <v>1579</v>
      </c>
      <c r="AI11" s="1709"/>
      <c r="AJ11" s="1702" t="s">
        <v>2852</v>
      </c>
      <c r="AK11" s="1703"/>
      <c r="AL11" s="1708" t="s">
        <v>4426</v>
      </c>
      <c r="AM11" s="1709"/>
      <c r="AN11" s="1702" t="s">
        <v>4429</v>
      </c>
      <c r="AO11" s="1703"/>
      <c r="AP11" s="1702" t="s">
        <v>4431</v>
      </c>
      <c r="AQ11" s="1703"/>
      <c r="AR11" s="1683" t="s">
        <v>4584</v>
      </c>
      <c r="AS11" s="1686"/>
      <c r="AT11" s="1683" t="s">
        <v>4585</v>
      </c>
      <c r="AU11" s="1684"/>
      <c r="AV11" s="1685" t="s">
        <v>4589</v>
      </c>
      <c r="AW11" s="1684"/>
      <c r="AX11" s="1708" t="s">
        <v>4413</v>
      </c>
      <c r="AY11" s="1709"/>
      <c r="AZ11" s="1702" t="s">
        <v>4817</v>
      </c>
      <c r="BA11" s="1703"/>
      <c r="BB11" s="1702" t="s">
        <v>4571</v>
      </c>
      <c r="BC11" s="1703"/>
      <c r="BD11" s="1766"/>
      <c r="BE11" s="1767"/>
      <c r="BF11" s="1296"/>
    </row>
    <row r="12" spans="2:58" s="938" customFormat="1" ht="17.25" thickBot="1">
      <c r="B12" s="1728"/>
      <c r="C12" s="1729"/>
      <c r="D12" s="1704" t="s">
        <v>1024</v>
      </c>
      <c r="E12" s="1705"/>
      <c r="F12" s="1706" t="s">
        <v>1019</v>
      </c>
      <c r="G12" s="1707"/>
      <c r="H12" s="1704" t="s">
        <v>1025</v>
      </c>
      <c r="I12" s="1705"/>
      <c r="J12" s="1706" t="s">
        <v>2853</v>
      </c>
      <c r="K12" s="1707"/>
      <c r="L12" s="1704" t="s">
        <v>1014</v>
      </c>
      <c r="M12" s="1705"/>
      <c r="N12" s="1706" t="s">
        <v>1012</v>
      </c>
      <c r="O12" s="1707"/>
      <c r="P12" s="1704" t="s">
        <v>1031</v>
      </c>
      <c r="Q12" s="1705"/>
      <c r="R12" s="1706" t="s">
        <v>1191</v>
      </c>
      <c r="S12" s="1707"/>
      <c r="T12" s="1704" t="s">
        <v>973</v>
      </c>
      <c r="U12" s="1705"/>
      <c r="V12" s="1706" t="s">
        <v>2854</v>
      </c>
      <c r="W12" s="1707"/>
      <c r="X12" s="1704" t="s">
        <v>1051</v>
      </c>
      <c r="Y12" s="1705"/>
      <c r="Z12" s="1706" t="s">
        <v>1012</v>
      </c>
      <c r="AA12" s="1707"/>
      <c r="AB12" s="1713" t="s">
        <v>1413</v>
      </c>
      <c r="AC12" s="1714"/>
      <c r="AD12" s="1711" t="s">
        <v>1393</v>
      </c>
      <c r="AE12" s="1712"/>
      <c r="AF12" s="1715" t="s">
        <v>1442</v>
      </c>
      <c r="AG12" s="1714"/>
      <c r="AH12" s="1711" t="s">
        <v>1821</v>
      </c>
      <c r="AI12" s="1712"/>
      <c r="AJ12" s="1713" t="s">
        <v>2236</v>
      </c>
      <c r="AK12" s="1714"/>
      <c r="AL12" s="1711" t="s">
        <v>4427</v>
      </c>
      <c r="AM12" s="1712"/>
      <c r="AN12" s="1713" t="s">
        <v>4430</v>
      </c>
      <c r="AO12" s="1714"/>
      <c r="AP12" s="1713" t="s">
        <v>4432</v>
      </c>
      <c r="AQ12" s="1714"/>
      <c r="AR12" s="1704" t="s">
        <v>4583</v>
      </c>
      <c r="AS12" s="1707"/>
      <c r="AT12" s="1704" t="s">
        <v>4586</v>
      </c>
      <c r="AU12" s="1705"/>
      <c r="AV12" s="1706" t="s">
        <v>4590</v>
      </c>
      <c r="AW12" s="1705"/>
      <c r="AX12" s="1711" t="s">
        <v>4725</v>
      </c>
      <c r="AY12" s="1712"/>
      <c r="AZ12" s="1713" t="s">
        <v>4818</v>
      </c>
      <c r="BA12" s="1714"/>
      <c r="BB12" s="1704" t="s">
        <v>4942</v>
      </c>
      <c r="BC12" s="1705"/>
      <c r="BD12" s="1760"/>
      <c r="BE12" s="1761"/>
      <c r="BF12" s="945"/>
    </row>
    <row r="13" spans="2:58" s="938" customFormat="1" ht="15.6" customHeight="1">
      <c r="B13" s="1716" t="s">
        <v>4719</v>
      </c>
      <c r="C13" s="1717"/>
      <c r="D13" s="1722"/>
      <c r="E13" s="1723"/>
      <c r="F13" s="1724"/>
      <c r="G13" s="1725"/>
      <c r="H13" s="1722"/>
      <c r="I13" s="1723"/>
      <c r="J13" s="1724">
        <v>11110000</v>
      </c>
      <c r="K13" s="1725"/>
      <c r="L13" s="1722">
        <v>11500000</v>
      </c>
      <c r="M13" s="1723"/>
      <c r="N13" s="1724">
        <v>11650000</v>
      </c>
      <c r="O13" s="1725"/>
      <c r="P13" s="1722">
        <v>13244000</v>
      </c>
      <c r="Q13" s="1723"/>
      <c r="R13" s="1724">
        <v>11282000</v>
      </c>
      <c r="S13" s="1725"/>
      <c r="T13" s="1722">
        <v>13056000</v>
      </c>
      <c r="U13" s="1723"/>
      <c r="V13" s="1724">
        <v>12713000</v>
      </c>
      <c r="W13" s="1725"/>
      <c r="X13" s="1722">
        <v>12030000</v>
      </c>
      <c r="Y13" s="1723"/>
      <c r="Z13" s="1722">
        <v>13918000</v>
      </c>
      <c r="AA13" s="1723"/>
      <c r="AB13" s="1738">
        <v>11500000</v>
      </c>
      <c r="AC13" s="1737"/>
      <c r="AD13" s="1734">
        <v>11485000</v>
      </c>
      <c r="AE13" s="1735"/>
      <c r="AF13" s="1736">
        <v>15717000</v>
      </c>
      <c r="AG13" s="1737"/>
      <c r="AH13" s="1734">
        <v>14299000</v>
      </c>
      <c r="AI13" s="1735"/>
      <c r="AJ13" s="1738">
        <v>14440000</v>
      </c>
      <c r="AK13" s="1737"/>
      <c r="AL13" s="1734">
        <v>11694000</v>
      </c>
      <c r="AM13" s="1735"/>
      <c r="AN13" s="1738">
        <v>14424000</v>
      </c>
      <c r="AO13" s="1737"/>
      <c r="AP13" s="1738">
        <v>14855000</v>
      </c>
      <c r="AQ13" s="1737"/>
      <c r="AR13" s="1722">
        <v>12274000</v>
      </c>
      <c r="AS13" s="1725"/>
      <c r="AT13" s="1003">
        <v>295</v>
      </c>
      <c r="AU13" s="1000">
        <v>8055000</v>
      </c>
      <c r="AV13" s="1003">
        <v>244</v>
      </c>
      <c r="AW13" s="1000">
        <v>4137000</v>
      </c>
      <c r="AX13" s="1734">
        <f>2720000+3000000+191*60000</f>
        <v>17180000</v>
      </c>
      <c r="AY13" s="1735"/>
      <c r="AZ13" s="1738">
        <f>184*60000+292000*6+10*250000</f>
        <v>15292000</v>
      </c>
      <c r="BA13" s="1737"/>
      <c r="BB13" s="1738">
        <v>14986000</v>
      </c>
      <c r="BC13" s="1737"/>
      <c r="BD13" s="1768"/>
      <c r="BE13" s="1769"/>
      <c r="BF13" s="946"/>
    </row>
    <row r="14" spans="2:58" s="938" customFormat="1">
      <c r="B14" s="1718"/>
      <c r="C14" s="1719"/>
      <c r="D14" s="1683"/>
      <c r="E14" s="1684"/>
      <c r="F14" s="1685"/>
      <c r="G14" s="1686"/>
      <c r="H14" s="1683"/>
      <c r="I14" s="1684"/>
      <c r="J14" s="1685">
        <f>9*250000+143*55000+600000</f>
        <v>10715000</v>
      </c>
      <c r="K14" s="1686"/>
      <c r="L14" s="1683">
        <f>7*250000+131*55000+137000*4</f>
        <v>9503000</v>
      </c>
      <c r="M14" s="1684"/>
      <c r="N14" s="1683">
        <f>4*146000+156*55000+8*250000</f>
        <v>11164000</v>
      </c>
      <c r="O14" s="1684"/>
      <c r="P14" s="1683">
        <v>14466000</v>
      </c>
      <c r="Q14" s="1684"/>
      <c r="R14" s="1685">
        <f>10*250000+263000*3+527000*2+178*55000</f>
        <v>14133000</v>
      </c>
      <c r="S14" s="1686"/>
      <c r="T14" s="1683">
        <v>13748000</v>
      </c>
      <c r="U14" s="1684"/>
      <c r="V14" s="1685">
        <v>11943000</v>
      </c>
      <c r="W14" s="1686"/>
      <c r="X14" s="1683">
        <v>11715000</v>
      </c>
      <c r="Y14" s="1684"/>
      <c r="Z14" s="1685">
        <v>12735000</v>
      </c>
      <c r="AA14" s="1686"/>
      <c r="AB14" s="1702">
        <v>13559000</v>
      </c>
      <c r="AC14" s="1703"/>
      <c r="AD14" s="1708">
        <v>12518000</v>
      </c>
      <c r="AE14" s="1709"/>
      <c r="AF14" s="1710">
        <v>12917000</v>
      </c>
      <c r="AG14" s="1703"/>
      <c r="AH14" s="1708">
        <v>13530000</v>
      </c>
      <c r="AI14" s="1709"/>
      <c r="AJ14" s="1702">
        <v>11798000</v>
      </c>
      <c r="AK14" s="1703"/>
      <c r="AL14" s="1708">
        <v>13395000</v>
      </c>
      <c r="AM14" s="1709"/>
      <c r="AN14" s="1702">
        <v>14424000</v>
      </c>
      <c r="AO14" s="1703"/>
      <c r="AP14" s="1702">
        <v>13741000</v>
      </c>
      <c r="AQ14" s="1703"/>
      <c r="AR14" s="1683">
        <f>281000*3+562000*2+179*60000+9*250000</f>
        <v>14957000</v>
      </c>
      <c r="AS14" s="1686"/>
      <c r="AT14" s="1004">
        <v>264</v>
      </c>
      <c r="AU14" s="1001">
        <v>6408000</v>
      </c>
      <c r="AV14" s="1004">
        <v>287</v>
      </c>
      <c r="AW14" s="1001">
        <v>5058000</v>
      </c>
      <c r="AX14" s="1708">
        <f>2000000+1968000+158*60000</f>
        <v>13448000</v>
      </c>
      <c r="AY14" s="1709"/>
      <c r="AZ14" s="1702">
        <v>14651000</v>
      </c>
      <c r="BA14" s="1703"/>
      <c r="BB14" s="1702">
        <v>15916000</v>
      </c>
      <c r="BC14" s="1703"/>
      <c r="BD14" s="1766"/>
      <c r="BE14" s="1767"/>
      <c r="BF14" s="1296"/>
    </row>
    <row r="15" spans="2:58" s="938" customFormat="1">
      <c r="B15" s="1720"/>
      <c r="C15" s="1721"/>
      <c r="D15" s="1730"/>
      <c r="E15" s="1731"/>
      <c r="F15" s="1732"/>
      <c r="G15" s="1733"/>
      <c r="H15" s="1730"/>
      <c r="I15" s="1731"/>
      <c r="J15" s="1732">
        <f>477000+6*250000+165*55000</f>
        <v>11052000</v>
      </c>
      <c r="K15" s="1733"/>
      <c r="L15" s="1730">
        <f>7*250000+450000+135*55000</f>
        <v>9625000</v>
      </c>
      <c r="M15" s="1731"/>
      <c r="N15" s="1732">
        <v>11549000</v>
      </c>
      <c r="O15" s="1733"/>
      <c r="P15" s="1730">
        <f>8*250000+223000*8+158*55000</f>
        <v>12474000</v>
      </c>
      <c r="Q15" s="1731"/>
      <c r="R15" s="1732">
        <f>9*250000+180*55000+625000+312000*2</f>
        <v>13399000</v>
      </c>
      <c r="S15" s="1733"/>
      <c r="T15" s="1730">
        <v>9985000</v>
      </c>
      <c r="U15" s="1731"/>
      <c r="V15" s="1732">
        <v>12070000</v>
      </c>
      <c r="W15" s="1733"/>
      <c r="X15" s="1730">
        <v>11265000</v>
      </c>
      <c r="Y15" s="1731"/>
      <c r="Z15" s="1732">
        <v>11549000</v>
      </c>
      <c r="AA15" s="1733"/>
      <c r="AB15" s="1739">
        <v>9651000</v>
      </c>
      <c r="AC15" s="1740"/>
      <c r="AD15" s="1741">
        <v>13170000</v>
      </c>
      <c r="AE15" s="1742"/>
      <c r="AF15" s="1743">
        <v>13020000</v>
      </c>
      <c r="AG15" s="1740"/>
      <c r="AH15" s="1741">
        <v>13797000</v>
      </c>
      <c r="AI15" s="1742"/>
      <c r="AJ15" s="1739">
        <v>12924000</v>
      </c>
      <c r="AK15" s="1740"/>
      <c r="AL15" s="1741">
        <v>15785000</v>
      </c>
      <c r="AM15" s="1742"/>
      <c r="AN15" s="1739">
        <v>11916000</v>
      </c>
      <c r="AO15" s="1740"/>
      <c r="AP15" s="1739">
        <v>13771000</v>
      </c>
      <c r="AQ15" s="1740"/>
      <c r="AR15" s="1730">
        <f>276000*5+553000*2+11*250000+176*60000</f>
        <v>15796000</v>
      </c>
      <c r="AS15" s="1733"/>
      <c r="AT15" s="1005">
        <v>268</v>
      </c>
      <c r="AU15" s="1002">
        <v>5921000</v>
      </c>
      <c r="AV15" s="1005">
        <v>322</v>
      </c>
      <c r="AW15" s="1002">
        <v>6649000</v>
      </c>
      <c r="AX15" s="1741">
        <f>2500000+2430000+186*60000</f>
        <v>16090000</v>
      </c>
      <c r="AY15" s="1742"/>
      <c r="AZ15" s="1739">
        <f>178*60000+9*250000+1750000</f>
        <v>14680000</v>
      </c>
      <c r="BA15" s="1740"/>
      <c r="BB15" s="1739">
        <v>14398000</v>
      </c>
      <c r="BC15" s="1740"/>
      <c r="BD15" s="1764"/>
      <c r="BE15" s="1765"/>
      <c r="BF15" s="947"/>
    </row>
    <row r="16" spans="2:58" s="938" customFormat="1" ht="17.25" thickBot="1">
      <c r="B16" s="1756" t="s">
        <v>4720</v>
      </c>
      <c r="C16" s="1757"/>
      <c r="D16" s="1754"/>
      <c r="E16" s="1755"/>
      <c r="F16" s="1747"/>
      <c r="G16" s="1748"/>
      <c r="H16" s="1754"/>
      <c r="I16" s="1755"/>
      <c r="J16" s="1747">
        <f>SUM(J13:K15)</f>
        <v>32877000</v>
      </c>
      <c r="K16" s="1748"/>
      <c r="L16" s="1754">
        <f>SUM(L13:M15)</f>
        <v>30628000</v>
      </c>
      <c r="M16" s="1755"/>
      <c r="N16" s="1747">
        <f>SUM(N13:O15)</f>
        <v>34363000</v>
      </c>
      <c r="O16" s="1748"/>
      <c r="P16" s="1754">
        <f>SUM(P13:Q15)</f>
        <v>40184000</v>
      </c>
      <c r="Q16" s="1755"/>
      <c r="R16" s="1747">
        <f>SUM(R13:S15)</f>
        <v>38814000</v>
      </c>
      <c r="S16" s="1748"/>
      <c r="T16" s="1754">
        <f>SUM(T13:U15)</f>
        <v>36789000</v>
      </c>
      <c r="U16" s="1755"/>
      <c r="V16" s="1747">
        <f>SUM(V13:W15)</f>
        <v>36726000</v>
      </c>
      <c r="W16" s="1748"/>
      <c r="X16" s="1754">
        <f>SUM(X13:Y15)</f>
        <v>35010000</v>
      </c>
      <c r="Y16" s="1755"/>
      <c r="Z16" s="1747">
        <f>SUM(Z13:AA15)</f>
        <v>38202000</v>
      </c>
      <c r="AA16" s="1748"/>
      <c r="AB16" s="1749">
        <f>SUM(AB13:AC15)</f>
        <v>34710000</v>
      </c>
      <c r="AC16" s="1750"/>
      <c r="AD16" s="1751">
        <f>SUM(AD13:AE15)</f>
        <v>37173000</v>
      </c>
      <c r="AE16" s="1752"/>
      <c r="AF16" s="1753">
        <f>SUM(AF13:AG15)</f>
        <v>41654000</v>
      </c>
      <c r="AG16" s="1750"/>
      <c r="AH16" s="1751">
        <f>SUM(AH13:AI15)</f>
        <v>41626000</v>
      </c>
      <c r="AI16" s="1752"/>
      <c r="AJ16" s="1749">
        <f>SUM(AJ13:AK15)</f>
        <v>39162000</v>
      </c>
      <c r="AK16" s="1750"/>
      <c r="AL16" s="1751">
        <f>SUM(AL13:AM15)</f>
        <v>40874000</v>
      </c>
      <c r="AM16" s="1752"/>
      <c r="AN16" s="1749">
        <f>SUM(AN13:AO15)</f>
        <v>40764000</v>
      </c>
      <c r="AO16" s="1750"/>
      <c r="AP16" s="1749">
        <f>SUM(AP13:AQ15)</f>
        <v>42367000</v>
      </c>
      <c r="AQ16" s="1750"/>
      <c r="AR16" s="1754">
        <f>SUM(AR13:AS15)</f>
        <v>43027000</v>
      </c>
      <c r="AS16" s="1748"/>
      <c r="AT16" s="1054">
        <f>AT14+AT13+AT15</f>
        <v>827</v>
      </c>
      <c r="AU16" s="1055">
        <f>AU13+AU14+AU15</f>
        <v>20384000</v>
      </c>
      <c r="AV16" s="1054">
        <f>AV14+AV13+AV15</f>
        <v>853</v>
      </c>
      <c r="AW16" s="1055">
        <f>AW13+AW14+AW15</f>
        <v>15844000</v>
      </c>
      <c r="AX16" s="1754">
        <f>SUM(AX13:AY15)</f>
        <v>46718000</v>
      </c>
      <c r="AY16" s="1748"/>
      <c r="AZ16" s="1754">
        <f>SUM(AZ13:BA15)</f>
        <v>44623000</v>
      </c>
      <c r="BA16" s="1748"/>
      <c r="BB16" s="1762">
        <f>SUM(BB13:BC15)</f>
        <v>45300000</v>
      </c>
      <c r="BC16" s="1763"/>
      <c r="BD16" s="1762"/>
      <c r="BE16" s="1763"/>
      <c r="BF16" s="948"/>
    </row>
    <row r="17" spans="2:58" s="972" customFormat="1">
      <c r="B17" s="1744" t="s">
        <v>4723</v>
      </c>
      <c r="C17" s="949" t="s">
        <v>2855</v>
      </c>
      <c r="D17" s="952">
        <v>132625656</v>
      </c>
      <c r="E17" s="953"/>
      <c r="F17" s="950">
        <v>158621927</v>
      </c>
      <c r="G17" s="951"/>
      <c r="H17" s="952">
        <v>172995480</v>
      </c>
      <c r="I17" s="953"/>
      <c r="J17" s="950">
        <v>181844777</v>
      </c>
      <c r="K17" s="951">
        <f>J17/J$9-J$16</f>
        <v>3491955.3999999985</v>
      </c>
      <c r="L17" s="952">
        <v>174658038</v>
      </c>
      <c r="M17" s="953">
        <f>L17/L$9-L$16</f>
        <v>4303607.6000000015</v>
      </c>
      <c r="N17" s="950">
        <v>237712523</v>
      </c>
      <c r="O17" s="951">
        <f t="shared" ref="O17:O40" si="0">N17/N$9-N$16</f>
        <v>5255753.8333333358</v>
      </c>
      <c r="P17" s="952">
        <v>282508328</v>
      </c>
      <c r="Q17" s="953">
        <f t="shared" ref="Q17:Q40" si="1">P17/P$9-P$16</f>
        <v>6900721.3333333358</v>
      </c>
      <c r="R17" s="950">
        <v>275490349</v>
      </c>
      <c r="S17" s="951">
        <f t="shared" ref="S17:S40" si="2">R17/R$9-R$16</f>
        <v>7101058.1666666642</v>
      </c>
      <c r="T17" s="952">
        <v>257431459</v>
      </c>
      <c r="U17" s="953">
        <f t="shared" ref="U17:U40" si="3">T17/T$9-T$16</f>
        <v>6116243.1666666642</v>
      </c>
      <c r="V17" s="950">
        <v>87954553</v>
      </c>
      <c r="W17" s="951">
        <f t="shared" ref="W17:W40" si="4">V17/V$9-V$16</f>
        <v>7251276.5</v>
      </c>
      <c r="X17" s="952">
        <v>86007903</v>
      </c>
      <c r="Y17" s="953">
        <f t="shared" ref="Y17:Y40" si="5">X17/X$9-X$16</f>
        <v>7993951.5</v>
      </c>
      <c r="Z17" s="950">
        <v>91655241</v>
      </c>
      <c r="AA17" s="951">
        <f t="shared" ref="AA17:AA40" si="6">Z17/Z$9-Z$16</f>
        <v>7625620.5</v>
      </c>
      <c r="AB17" s="952">
        <v>254164158</v>
      </c>
      <c r="AC17" s="953">
        <f>AB17/AB$9-AB$16</f>
        <v>7650693</v>
      </c>
      <c r="AD17" s="950">
        <v>271047479</v>
      </c>
      <c r="AE17" s="951">
        <f>AD17/AD$9-AD$16</f>
        <v>8001579.8333333358</v>
      </c>
      <c r="AF17" s="954">
        <v>285562405</v>
      </c>
      <c r="AG17" s="953">
        <f>AF17/AF$9-AF$16</f>
        <v>5939734.1666666642</v>
      </c>
      <c r="AH17" s="950">
        <v>306870964</v>
      </c>
      <c r="AI17" s="951">
        <f>AH17/AH$9-AH$16</f>
        <v>9519160.6666666642</v>
      </c>
      <c r="AJ17" s="952">
        <v>283373782</v>
      </c>
      <c r="AK17" s="953">
        <f>AJ17/AJ$9-AJ$16</f>
        <v>8066963.6666666642</v>
      </c>
      <c r="AL17" s="950">
        <v>303490514</v>
      </c>
      <c r="AM17" s="951">
        <f>AL17/AL$9-AL$16</f>
        <v>9707752.3333333358</v>
      </c>
      <c r="AN17" s="952">
        <v>355856429</v>
      </c>
      <c r="AO17" s="953">
        <f>AN17/AN$9-AN$16</f>
        <v>10072632.714285716</v>
      </c>
      <c r="AP17" s="952">
        <v>319220338</v>
      </c>
      <c r="AQ17" s="953">
        <f>AP17/AP$9-AP$16</f>
        <v>10836389.666666664</v>
      </c>
      <c r="AR17" s="952">
        <v>215298077</v>
      </c>
      <c r="AS17" s="953">
        <f>AR17/AR$9-AR$16</f>
        <v>10797519.25</v>
      </c>
      <c r="AT17" s="1052">
        <v>1026232537</v>
      </c>
      <c r="AU17" s="1053">
        <f>(AT17/AT$9-AU$16)/AT$16</f>
        <v>285579.36426844017</v>
      </c>
      <c r="AV17" s="1052">
        <v>1042469347</v>
      </c>
      <c r="AW17" s="1053">
        <f>(AV17/AV$9-AW$16)/AV$16</f>
        <v>286955.84613130131</v>
      </c>
      <c r="AX17" s="950">
        <v>343381442</v>
      </c>
      <c r="AY17" s="953">
        <f>AX17/AX$9-AX$16</f>
        <v>10512240.333333336</v>
      </c>
      <c r="AZ17" s="952">
        <v>336532813</v>
      </c>
      <c r="BA17" s="953">
        <f>AZ17/AZ$9-AZ$16</f>
        <v>11465802.166666664</v>
      </c>
      <c r="BB17" s="952">
        <v>343221315</v>
      </c>
      <c r="BC17" s="953">
        <f>BB17/BB$9-BB$16</f>
        <v>11903552.5</v>
      </c>
      <c r="BD17" s="952"/>
      <c r="BE17" s="953"/>
      <c r="BF17" s="955"/>
    </row>
    <row r="18" spans="2:58" s="972" customFormat="1">
      <c r="B18" s="1745"/>
      <c r="C18" s="957" t="s">
        <v>2856</v>
      </c>
      <c r="D18" s="960">
        <v>132294128</v>
      </c>
      <c r="E18" s="961"/>
      <c r="F18" s="958">
        <v>157451062</v>
      </c>
      <c r="G18" s="959"/>
      <c r="H18" s="960">
        <v>170764768</v>
      </c>
      <c r="I18" s="961"/>
      <c r="J18" s="958">
        <v>181062859</v>
      </c>
      <c r="K18" s="959">
        <f t="shared" ref="K18:M40" si="7">J18/J$9-J$16</f>
        <v>3335571.799999997</v>
      </c>
      <c r="L18" s="960">
        <v>173230013</v>
      </c>
      <c r="M18" s="961">
        <f t="shared" si="7"/>
        <v>4018002.6000000015</v>
      </c>
      <c r="N18" s="958">
        <v>235310681</v>
      </c>
      <c r="O18" s="959">
        <f t="shared" si="0"/>
        <v>4855446.8333333358</v>
      </c>
      <c r="P18" s="960">
        <v>277862623</v>
      </c>
      <c r="Q18" s="961">
        <f t="shared" si="1"/>
        <v>6126437.1666666642</v>
      </c>
      <c r="R18" s="958">
        <v>274422212</v>
      </c>
      <c r="S18" s="959">
        <f t="shared" si="2"/>
        <v>6923035.3333333358</v>
      </c>
      <c r="T18" s="960">
        <v>254738007</v>
      </c>
      <c r="U18" s="961">
        <f t="shared" si="3"/>
        <v>5667334.5</v>
      </c>
      <c r="V18" s="958">
        <v>87810488</v>
      </c>
      <c r="W18" s="959">
        <f t="shared" si="4"/>
        <v>7179244</v>
      </c>
      <c r="X18" s="960">
        <v>85867287</v>
      </c>
      <c r="Y18" s="961">
        <f t="shared" si="5"/>
        <v>7923643.5</v>
      </c>
      <c r="Z18" s="958">
        <v>91295520</v>
      </c>
      <c r="AA18" s="959">
        <f t="shared" si="6"/>
        <v>7445760</v>
      </c>
      <c r="AB18" s="960">
        <v>252380463</v>
      </c>
      <c r="AC18" s="961">
        <f t="shared" ref="AC18:AC40" si="8">AB18/AB$9-AB$16</f>
        <v>7353410.5</v>
      </c>
      <c r="AD18" s="958">
        <v>270015192</v>
      </c>
      <c r="AE18" s="959">
        <f t="shared" ref="AE18:AE40" si="9">AD18/AD$9-AD$16</f>
        <v>7829532</v>
      </c>
      <c r="AF18" s="962">
        <v>285180458</v>
      </c>
      <c r="AG18" s="961">
        <f t="shared" ref="AG18:AG40" si="10">AF18/AF$9-AF$16</f>
        <v>5876076.3333333358</v>
      </c>
      <c r="AH18" s="958">
        <v>306196679</v>
      </c>
      <c r="AI18" s="959">
        <f t="shared" ref="AI18:AI40" si="11">AH18/AH$9-AH$16</f>
        <v>9406779.8333333358</v>
      </c>
      <c r="AJ18" s="960">
        <v>281075977</v>
      </c>
      <c r="AK18" s="961">
        <f t="shared" ref="AK18:AK40" si="12">AJ18/AJ$9-AJ$16</f>
        <v>7683996.1666666642</v>
      </c>
      <c r="AL18" s="958">
        <v>302386098</v>
      </c>
      <c r="AM18" s="959">
        <f t="shared" ref="AM18:AM40" si="13">AL18/AL$9-AL$16</f>
        <v>9523683</v>
      </c>
      <c r="AN18" s="960">
        <v>354685815</v>
      </c>
      <c r="AO18" s="961">
        <f t="shared" ref="AO18:AO40" si="14">AN18/AN$9-AN$16</f>
        <v>9905402.1428571418</v>
      </c>
      <c r="AP18" s="960">
        <v>318817135</v>
      </c>
      <c r="AQ18" s="961">
        <f t="shared" ref="AQ18:AS40" si="15">AP18/AP$9-AP$16</f>
        <v>10769189.166666664</v>
      </c>
      <c r="AR18" s="960">
        <v>214354338</v>
      </c>
      <c r="AS18" s="961">
        <f t="shared" si="15"/>
        <v>10561584.5</v>
      </c>
      <c r="AT18" s="1008">
        <v>1017274003</v>
      </c>
      <c r="AU18" s="1009">
        <f t="shared" ref="AU18:AW40" si="16">(AT18/AT$9-AU$16)/AT$16</f>
        <v>282871.22218863363</v>
      </c>
      <c r="AV18" s="1008">
        <v>1041587169</v>
      </c>
      <c r="AW18" s="1009">
        <f t="shared" si="16"/>
        <v>286697.29454865184</v>
      </c>
      <c r="AX18" s="958">
        <v>343343887</v>
      </c>
      <c r="AY18" s="959">
        <f t="shared" ref="AY18:BC40" si="17">AX18/AX$9-AX$16</f>
        <v>10505981.166666664</v>
      </c>
      <c r="AZ18" s="960">
        <v>334527132</v>
      </c>
      <c r="BA18" s="959">
        <f t="shared" si="17"/>
        <v>11131522</v>
      </c>
      <c r="BB18" s="960">
        <v>343212159</v>
      </c>
      <c r="BC18" s="959">
        <f t="shared" si="17"/>
        <v>11902026.5</v>
      </c>
      <c r="BD18" s="960"/>
      <c r="BE18" s="961"/>
      <c r="BF18" s="963"/>
    </row>
    <row r="19" spans="2:58" s="972" customFormat="1">
      <c r="B19" s="1745"/>
      <c r="C19" s="957" t="s">
        <v>2857</v>
      </c>
      <c r="D19" s="960">
        <v>132067632</v>
      </c>
      <c r="E19" s="961"/>
      <c r="F19" s="958">
        <v>157414319</v>
      </c>
      <c r="G19" s="959"/>
      <c r="H19" s="960">
        <v>169837557</v>
      </c>
      <c r="I19" s="961"/>
      <c r="J19" s="958">
        <v>180436718</v>
      </c>
      <c r="K19" s="959">
        <f t="shared" si="7"/>
        <v>3210343.6000000015</v>
      </c>
      <c r="L19" s="960">
        <v>172173827</v>
      </c>
      <c r="M19" s="961">
        <f t="shared" si="7"/>
        <v>3806765.3999999985</v>
      </c>
      <c r="N19" s="958">
        <v>234187002</v>
      </c>
      <c r="O19" s="959">
        <f t="shared" si="0"/>
        <v>4668167</v>
      </c>
      <c r="P19" s="960">
        <v>277768442</v>
      </c>
      <c r="Q19" s="961">
        <f t="shared" si="1"/>
        <v>6110740.3333333358</v>
      </c>
      <c r="R19" s="958">
        <v>273661110</v>
      </c>
      <c r="S19" s="959">
        <f t="shared" si="2"/>
        <v>6796185</v>
      </c>
      <c r="T19" s="960">
        <v>254221655</v>
      </c>
      <c r="U19" s="961">
        <f t="shared" si="3"/>
        <v>5581275.8333333358</v>
      </c>
      <c r="V19" s="958">
        <v>87716303</v>
      </c>
      <c r="W19" s="959">
        <f t="shared" si="4"/>
        <v>7132151.5</v>
      </c>
      <c r="X19" s="960">
        <v>85750224</v>
      </c>
      <c r="Y19" s="961">
        <f t="shared" si="5"/>
        <v>7865112</v>
      </c>
      <c r="Z19" s="958">
        <v>90966299</v>
      </c>
      <c r="AA19" s="959">
        <f t="shared" si="6"/>
        <v>7281149.5</v>
      </c>
      <c r="AB19" s="960">
        <v>251995972</v>
      </c>
      <c r="AC19" s="961">
        <f t="shared" si="8"/>
        <v>7289328.6666666642</v>
      </c>
      <c r="AD19" s="958">
        <v>269643657</v>
      </c>
      <c r="AE19" s="959">
        <f t="shared" si="9"/>
        <v>7767609.5</v>
      </c>
      <c r="AF19" s="962">
        <v>283987205</v>
      </c>
      <c r="AG19" s="961">
        <f t="shared" si="10"/>
        <v>5677200.8333333358</v>
      </c>
      <c r="AH19" s="958">
        <v>306137924</v>
      </c>
      <c r="AI19" s="959">
        <f t="shared" si="11"/>
        <v>9396987.3333333358</v>
      </c>
      <c r="AJ19" s="960">
        <v>280994969</v>
      </c>
      <c r="AK19" s="961">
        <f t="shared" si="12"/>
        <v>7670494.8333333358</v>
      </c>
      <c r="AL19" s="958">
        <v>301473934</v>
      </c>
      <c r="AM19" s="959">
        <f t="shared" si="13"/>
        <v>9371655.6666666642</v>
      </c>
      <c r="AN19" s="960">
        <v>353797421</v>
      </c>
      <c r="AO19" s="961">
        <f t="shared" si="14"/>
        <v>9778488.7142857164</v>
      </c>
      <c r="AP19" s="960">
        <v>318398243</v>
      </c>
      <c r="AQ19" s="961">
        <f t="shared" si="15"/>
        <v>10699373.833333336</v>
      </c>
      <c r="AR19" s="960">
        <v>214324875</v>
      </c>
      <c r="AS19" s="961">
        <f t="shared" si="15"/>
        <v>10554218.75</v>
      </c>
      <c r="AT19" s="1008">
        <v>1010039409</v>
      </c>
      <c r="AU19" s="1009">
        <f t="shared" si="16"/>
        <v>280684.22279322852</v>
      </c>
      <c r="AV19" s="1008">
        <v>1022035774</v>
      </c>
      <c r="AW19" s="1009">
        <f t="shared" si="16"/>
        <v>280967.10844079719</v>
      </c>
      <c r="AX19" s="958">
        <v>342983545</v>
      </c>
      <c r="AY19" s="959">
        <f t="shared" si="17"/>
        <v>10445924.166666664</v>
      </c>
      <c r="AZ19" s="960">
        <v>333805674</v>
      </c>
      <c r="BA19" s="959">
        <f t="shared" si="17"/>
        <v>11011279</v>
      </c>
      <c r="BB19" s="960">
        <v>342981673</v>
      </c>
      <c r="BC19" s="959">
        <f t="shared" si="17"/>
        <v>11863612.166666664</v>
      </c>
      <c r="BD19" s="960"/>
      <c r="BE19" s="961"/>
      <c r="BF19" s="963"/>
    </row>
    <row r="20" spans="2:58" s="972" customFormat="1">
      <c r="B20" s="1745"/>
      <c r="C20" s="957" t="s">
        <v>2858</v>
      </c>
      <c r="D20" s="960">
        <v>131109702</v>
      </c>
      <c r="E20" s="961"/>
      <c r="F20" s="958">
        <v>157218349</v>
      </c>
      <c r="G20" s="959"/>
      <c r="H20" s="960">
        <v>169422732</v>
      </c>
      <c r="I20" s="961"/>
      <c r="J20" s="958">
        <v>179840385</v>
      </c>
      <c r="K20" s="959">
        <f t="shared" si="7"/>
        <v>3091077</v>
      </c>
      <c r="L20" s="960">
        <v>171944988</v>
      </c>
      <c r="M20" s="961">
        <f t="shared" si="7"/>
        <v>3760997.6000000015</v>
      </c>
      <c r="N20" s="958">
        <v>233051392</v>
      </c>
      <c r="O20" s="959">
        <f t="shared" si="0"/>
        <v>4478898.6666666642</v>
      </c>
      <c r="P20" s="960">
        <v>277274492</v>
      </c>
      <c r="Q20" s="961">
        <f t="shared" si="1"/>
        <v>6028415.3333333358</v>
      </c>
      <c r="R20" s="958">
        <v>272452949</v>
      </c>
      <c r="S20" s="959">
        <f t="shared" si="2"/>
        <v>6594824.8333333358</v>
      </c>
      <c r="T20" s="960">
        <v>253414215</v>
      </c>
      <c r="U20" s="961">
        <f t="shared" si="3"/>
        <v>5446702.5</v>
      </c>
      <c r="V20" s="958">
        <v>87228168</v>
      </c>
      <c r="W20" s="959">
        <f t="shared" si="4"/>
        <v>6888084</v>
      </c>
      <c r="X20" s="960">
        <v>85720642</v>
      </c>
      <c r="Y20" s="961">
        <f t="shared" si="5"/>
        <v>7850321</v>
      </c>
      <c r="Z20" s="958">
        <v>90863499</v>
      </c>
      <c r="AA20" s="959">
        <f t="shared" si="6"/>
        <v>7229749.5</v>
      </c>
      <c r="AB20" s="960">
        <v>251787403</v>
      </c>
      <c r="AC20" s="961">
        <f t="shared" si="8"/>
        <v>7254567.1666666642</v>
      </c>
      <c r="AD20" s="958">
        <v>268104009</v>
      </c>
      <c r="AE20" s="959">
        <f>AD20/AD$9-AD$16</f>
        <v>7511001.5</v>
      </c>
      <c r="AF20" s="962">
        <v>283409058</v>
      </c>
      <c r="AG20" s="961">
        <f t="shared" si="10"/>
        <v>5580843</v>
      </c>
      <c r="AH20" s="958">
        <v>305908241</v>
      </c>
      <c r="AI20" s="959">
        <f t="shared" si="11"/>
        <v>9358706.8333333358</v>
      </c>
      <c r="AJ20" s="960">
        <v>280947843</v>
      </c>
      <c r="AK20" s="961">
        <f t="shared" si="12"/>
        <v>7662640.5</v>
      </c>
      <c r="AL20" s="958">
        <v>300166860</v>
      </c>
      <c r="AM20" s="959">
        <f t="shared" si="13"/>
        <v>9153810</v>
      </c>
      <c r="AN20" s="960">
        <v>353096131</v>
      </c>
      <c r="AO20" s="961">
        <f t="shared" si="14"/>
        <v>9678304.4285714254</v>
      </c>
      <c r="AP20" s="960">
        <v>317365198</v>
      </c>
      <c r="AQ20" s="961">
        <f t="shared" si="15"/>
        <v>10527199.666666664</v>
      </c>
      <c r="AR20" s="960">
        <v>214104942</v>
      </c>
      <c r="AS20" s="961">
        <f t="shared" si="15"/>
        <v>10499235.5</v>
      </c>
      <c r="AT20" s="1008">
        <v>1008575182</v>
      </c>
      <c r="AU20" s="1009">
        <f t="shared" si="16"/>
        <v>280241.59068923822</v>
      </c>
      <c r="AV20" s="1008">
        <v>1021591560</v>
      </c>
      <c r="AW20" s="1009">
        <f t="shared" si="16"/>
        <v>280836.91676436109</v>
      </c>
      <c r="AX20" s="958">
        <v>342920027</v>
      </c>
      <c r="AY20" s="959">
        <f t="shared" si="17"/>
        <v>10435337.833333336</v>
      </c>
      <c r="AZ20" s="960">
        <v>332999613</v>
      </c>
      <c r="BA20" s="959">
        <f t="shared" si="17"/>
        <v>10876935.5</v>
      </c>
      <c r="BB20" s="960">
        <v>342663103</v>
      </c>
      <c r="BC20" s="959">
        <f t="shared" si="17"/>
        <v>11810517.166666664</v>
      </c>
      <c r="BD20" s="960"/>
      <c r="BE20" s="961"/>
      <c r="BF20" s="963"/>
    </row>
    <row r="21" spans="2:58" s="972" customFormat="1">
      <c r="B21" s="1745"/>
      <c r="C21" s="957" t="s">
        <v>2859</v>
      </c>
      <c r="D21" s="960">
        <v>131067502</v>
      </c>
      <c r="E21" s="961"/>
      <c r="F21" s="958">
        <v>156682609</v>
      </c>
      <c r="G21" s="959"/>
      <c r="H21" s="960">
        <v>169357903</v>
      </c>
      <c r="I21" s="961"/>
      <c r="J21" s="958">
        <v>179457305</v>
      </c>
      <c r="K21" s="959">
        <f t="shared" si="7"/>
        <v>3014461</v>
      </c>
      <c r="L21" s="960">
        <v>170935280</v>
      </c>
      <c r="M21" s="961">
        <f t="shared" si="7"/>
        <v>3559056</v>
      </c>
      <c r="N21" s="958">
        <v>231309002</v>
      </c>
      <c r="O21" s="959">
        <f t="shared" si="0"/>
        <v>4188500.3333333358</v>
      </c>
      <c r="P21" s="960">
        <v>277114483</v>
      </c>
      <c r="Q21" s="961">
        <f t="shared" si="1"/>
        <v>6001747.1666666642</v>
      </c>
      <c r="R21" s="958">
        <v>272302411</v>
      </c>
      <c r="S21" s="959">
        <f t="shared" si="2"/>
        <v>6569735.1666666642</v>
      </c>
      <c r="T21" s="960">
        <v>252800220</v>
      </c>
      <c r="U21" s="961">
        <f t="shared" si="3"/>
        <v>5344370</v>
      </c>
      <c r="V21" s="958">
        <v>87218480</v>
      </c>
      <c r="W21" s="959">
        <f t="shared" si="4"/>
        <v>6883240</v>
      </c>
      <c r="X21" s="960">
        <v>85644609</v>
      </c>
      <c r="Y21" s="961">
        <f t="shared" si="5"/>
        <v>7812304.5</v>
      </c>
      <c r="Z21" s="958">
        <v>90740899</v>
      </c>
      <c r="AA21" s="959">
        <f t="shared" si="6"/>
        <v>7168449.5</v>
      </c>
      <c r="AB21" s="960">
        <v>250921505</v>
      </c>
      <c r="AC21" s="961">
        <f t="shared" si="8"/>
        <v>7110250.8333333358</v>
      </c>
      <c r="AD21" s="958">
        <v>267937003</v>
      </c>
      <c r="AE21" s="959">
        <f t="shared" si="9"/>
        <v>7483167.1666666642</v>
      </c>
      <c r="AF21" s="962">
        <v>282877920</v>
      </c>
      <c r="AG21" s="961">
        <f t="shared" si="10"/>
        <v>5492320</v>
      </c>
      <c r="AH21" s="958">
        <v>305854257</v>
      </c>
      <c r="AI21" s="959">
        <f t="shared" si="11"/>
        <v>9349709.5</v>
      </c>
      <c r="AJ21" s="960">
        <v>280488545</v>
      </c>
      <c r="AK21" s="961">
        <f t="shared" si="12"/>
        <v>7586090.8333333358</v>
      </c>
      <c r="AL21" s="958">
        <v>299634709</v>
      </c>
      <c r="AM21" s="959">
        <f t="shared" si="13"/>
        <v>9065118.1666666642</v>
      </c>
      <c r="AN21" s="960">
        <v>352867531</v>
      </c>
      <c r="AO21" s="961">
        <f t="shared" si="14"/>
        <v>9645647.2857142836</v>
      </c>
      <c r="AP21" s="960">
        <v>316323822</v>
      </c>
      <c r="AQ21" s="961">
        <f t="shared" si="15"/>
        <v>10353637</v>
      </c>
      <c r="AR21" s="960">
        <v>213831903</v>
      </c>
      <c r="AS21" s="961">
        <f t="shared" si="15"/>
        <v>10430975.75</v>
      </c>
      <c r="AT21" s="1008">
        <v>1004686801</v>
      </c>
      <c r="AU21" s="1009">
        <f t="shared" si="16"/>
        <v>279066.14298669889</v>
      </c>
      <c r="AV21" s="1008">
        <v>1018972769</v>
      </c>
      <c r="AW21" s="1009">
        <f t="shared" si="16"/>
        <v>280069.39302461897</v>
      </c>
      <c r="AX21" s="958">
        <v>342827330</v>
      </c>
      <c r="AY21" s="959">
        <f t="shared" si="17"/>
        <v>10419888.333333336</v>
      </c>
      <c r="AZ21" s="960">
        <v>332046239</v>
      </c>
      <c r="BA21" s="959">
        <f t="shared" si="17"/>
        <v>10718039.833333336</v>
      </c>
      <c r="BB21" s="960">
        <v>340646675</v>
      </c>
      <c r="BC21" s="959">
        <f t="shared" si="17"/>
        <v>11474445.833333336</v>
      </c>
      <c r="BD21" s="960"/>
      <c r="BE21" s="961"/>
      <c r="BF21" s="963"/>
    </row>
    <row r="22" spans="2:58" s="972" customFormat="1">
      <c r="B22" s="1745"/>
      <c r="C22" s="957" t="s">
        <v>2860</v>
      </c>
      <c r="D22" s="960">
        <v>130480147</v>
      </c>
      <c r="E22" s="961"/>
      <c r="F22" s="958">
        <v>156552823</v>
      </c>
      <c r="G22" s="959"/>
      <c r="H22" s="960">
        <v>169244084</v>
      </c>
      <c r="I22" s="961"/>
      <c r="J22" s="958">
        <v>179323390</v>
      </c>
      <c r="K22" s="959">
        <f t="shared" si="7"/>
        <v>2987678</v>
      </c>
      <c r="L22" s="960">
        <v>170014476</v>
      </c>
      <c r="M22" s="961">
        <f t="shared" si="7"/>
        <v>3374895.200000003</v>
      </c>
      <c r="N22" s="958">
        <v>230830199</v>
      </c>
      <c r="O22" s="959">
        <f t="shared" si="0"/>
        <v>4108699.8333333358</v>
      </c>
      <c r="P22" s="960">
        <v>275950713</v>
      </c>
      <c r="Q22" s="961">
        <f t="shared" si="1"/>
        <v>5807785.5</v>
      </c>
      <c r="R22" s="958">
        <v>271877468</v>
      </c>
      <c r="S22" s="959">
        <f t="shared" si="2"/>
        <v>6498911.3333333358</v>
      </c>
      <c r="T22" s="960">
        <v>252800031</v>
      </c>
      <c r="U22" s="961">
        <f t="shared" si="3"/>
        <v>5344338.5</v>
      </c>
      <c r="V22" s="958">
        <v>87026196</v>
      </c>
      <c r="W22" s="959">
        <f t="shared" si="4"/>
        <v>6787098</v>
      </c>
      <c r="X22" s="960">
        <v>85617320</v>
      </c>
      <c r="Y22" s="961">
        <f t="shared" si="5"/>
        <v>7798660</v>
      </c>
      <c r="Z22" s="958">
        <v>90711648</v>
      </c>
      <c r="AA22" s="959">
        <f t="shared" si="6"/>
        <v>7153824</v>
      </c>
      <c r="AB22" s="960">
        <v>250717967</v>
      </c>
      <c r="AC22" s="961">
        <f t="shared" si="8"/>
        <v>7076327.8333333358</v>
      </c>
      <c r="AD22" s="958">
        <v>267804447</v>
      </c>
      <c r="AE22" s="959">
        <f t="shared" si="9"/>
        <v>7461074.5</v>
      </c>
      <c r="AF22" s="962">
        <v>282629573</v>
      </c>
      <c r="AG22" s="961">
        <f t="shared" si="10"/>
        <v>5450928.8333333358</v>
      </c>
      <c r="AH22" s="958">
        <v>305805782</v>
      </c>
      <c r="AI22" s="959">
        <f t="shared" si="11"/>
        <v>9341630.3333333358</v>
      </c>
      <c r="AJ22" s="960">
        <v>280297511</v>
      </c>
      <c r="AK22" s="961">
        <f t="shared" si="12"/>
        <v>7554251.8333333358</v>
      </c>
      <c r="AL22" s="958">
        <v>299501471</v>
      </c>
      <c r="AM22" s="959">
        <f t="shared" si="13"/>
        <v>9042911.8333333358</v>
      </c>
      <c r="AN22" s="960">
        <v>352747422</v>
      </c>
      <c r="AO22" s="961">
        <f t="shared" si="14"/>
        <v>9628488.8571428582</v>
      </c>
      <c r="AP22" s="960">
        <v>315777869</v>
      </c>
      <c r="AQ22" s="961">
        <f t="shared" si="15"/>
        <v>10262644.833333336</v>
      </c>
      <c r="AR22" s="960">
        <v>213752242</v>
      </c>
      <c r="AS22" s="961">
        <f t="shared" si="15"/>
        <v>10411060.5</v>
      </c>
      <c r="AT22" s="1008">
        <v>1000056484</v>
      </c>
      <c r="AU22" s="1009">
        <f t="shared" si="16"/>
        <v>277666.40991535672</v>
      </c>
      <c r="AV22" s="1008">
        <v>1011425244</v>
      </c>
      <c r="AW22" s="1009">
        <f t="shared" si="16"/>
        <v>277857.33997655334</v>
      </c>
      <c r="AX22" s="958">
        <v>342643080</v>
      </c>
      <c r="AY22" s="959">
        <f t="shared" si="17"/>
        <v>10389180</v>
      </c>
      <c r="AZ22" s="960">
        <v>331864805</v>
      </c>
      <c r="BA22" s="959">
        <f t="shared" si="17"/>
        <v>10687800.833333336</v>
      </c>
      <c r="BB22" s="960">
        <v>340014941</v>
      </c>
      <c r="BC22" s="959">
        <f t="shared" si="17"/>
        <v>11369156.833333336</v>
      </c>
      <c r="BD22" s="960"/>
      <c r="BE22" s="961"/>
      <c r="BF22" s="963"/>
    </row>
    <row r="23" spans="2:58" s="972" customFormat="1">
      <c r="B23" s="1745"/>
      <c r="C23" s="957" t="s">
        <v>2861</v>
      </c>
      <c r="D23" s="960">
        <v>130005125</v>
      </c>
      <c r="E23" s="961"/>
      <c r="F23" s="958">
        <v>156167307</v>
      </c>
      <c r="G23" s="959"/>
      <c r="H23" s="960">
        <v>168869479</v>
      </c>
      <c r="I23" s="961"/>
      <c r="J23" s="958">
        <v>179312414</v>
      </c>
      <c r="K23" s="959">
        <f t="shared" si="7"/>
        <v>2985482.799999997</v>
      </c>
      <c r="L23" s="960">
        <v>169594534</v>
      </c>
      <c r="M23" s="961">
        <f t="shared" si="7"/>
        <v>3290906.799999997</v>
      </c>
      <c r="N23" s="958">
        <v>230395799</v>
      </c>
      <c r="O23" s="959">
        <f t="shared" si="0"/>
        <v>4036299.8333333358</v>
      </c>
      <c r="P23" s="960">
        <v>275944885</v>
      </c>
      <c r="Q23" s="961">
        <f t="shared" si="1"/>
        <v>5806814.1666666642</v>
      </c>
      <c r="R23" s="958">
        <v>271365648</v>
      </c>
      <c r="S23" s="959">
        <f t="shared" si="2"/>
        <v>6413608</v>
      </c>
      <c r="T23" s="960">
        <v>252290205</v>
      </c>
      <c r="U23" s="961">
        <f t="shared" si="3"/>
        <v>5259367.5</v>
      </c>
      <c r="V23" s="958">
        <v>86732226</v>
      </c>
      <c r="W23" s="959">
        <f t="shared" si="4"/>
        <v>6640113</v>
      </c>
      <c r="X23" s="960">
        <v>85428808</v>
      </c>
      <c r="Y23" s="961">
        <f t="shared" si="5"/>
        <v>7704404</v>
      </c>
      <c r="Z23" s="958">
        <v>90656490</v>
      </c>
      <c r="AA23" s="959">
        <f t="shared" si="6"/>
        <v>7126245</v>
      </c>
      <c r="AB23" s="960">
        <v>249991013</v>
      </c>
      <c r="AC23" s="961">
        <f t="shared" si="8"/>
        <v>6955168.8333333358</v>
      </c>
      <c r="AD23" s="958">
        <v>267341704</v>
      </c>
      <c r="AE23" s="959">
        <f t="shared" si="9"/>
        <v>7383950.6666666642</v>
      </c>
      <c r="AF23" s="962">
        <v>282276833</v>
      </c>
      <c r="AG23" s="961">
        <f t="shared" si="10"/>
        <v>5392138.8333333358</v>
      </c>
      <c r="AH23" s="958">
        <v>305642942</v>
      </c>
      <c r="AI23" s="959">
        <f t="shared" si="11"/>
        <v>9314490.3333333358</v>
      </c>
      <c r="AJ23" s="960">
        <v>280130260</v>
      </c>
      <c r="AK23" s="961">
        <f t="shared" si="12"/>
        <v>7526376.6666666642</v>
      </c>
      <c r="AL23" s="958">
        <v>299397448</v>
      </c>
      <c r="AM23" s="959">
        <f t="shared" si="13"/>
        <v>9025574.6666666642</v>
      </c>
      <c r="AN23" s="960">
        <v>351949107</v>
      </c>
      <c r="AO23" s="961">
        <f t="shared" si="14"/>
        <v>9514443.8571428582</v>
      </c>
      <c r="AP23" s="960">
        <v>315559915</v>
      </c>
      <c r="AQ23" s="961">
        <f t="shared" si="15"/>
        <v>10226319.166666664</v>
      </c>
      <c r="AR23" s="960">
        <v>213568221</v>
      </c>
      <c r="AS23" s="961">
        <f t="shared" si="15"/>
        <v>10365055.25</v>
      </c>
      <c r="AT23" s="1008">
        <v>999406250</v>
      </c>
      <c r="AU23" s="1009">
        <f t="shared" si="16"/>
        <v>277469.84582829505</v>
      </c>
      <c r="AV23" s="1008">
        <v>1008443543</v>
      </c>
      <c r="AW23" s="1009">
        <f t="shared" si="16"/>
        <v>276983.45339976554</v>
      </c>
      <c r="AX23" s="958">
        <v>342583224</v>
      </c>
      <c r="AY23" s="959">
        <f t="shared" si="17"/>
        <v>10379204</v>
      </c>
      <c r="AZ23" s="960">
        <v>331862227</v>
      </c>
      <c r="BA23" s="959">
        <f t="shared" si="17"/>
        <v>10687371.166666664</v>
      </c>
      <c r="BB23" s="960">
        <v>339714622</v>
      </c>
      <c r="BC23" s="959">
        <f t="shared" si="17"/>
        <v>11319103.666666664</v>
      </c>
      <c r="BD23" s="960"/>
      <c r="BE23" s="961"/>
      <c r="BF23" s="963"/>
    </row>
    <row r="24" spans="2:58" s="972" customFormat="1">
      <c r="B24" s="1745"/>
      <c r="C24" s="957" t="s">
        <v>2862</v>
      </c>
      <c r="D24" s="960">
        <v>129984889</v>
      </c>
      <c r="E24" s="961"/>
      <c r="F24" s="958">
        <v>155845318</v>
      </c>
      <c r="G24" s="959"/>
      <c r="H24" s="960">
        <v>168734775</v>
      </c>
      <c r="I24" s="961"/>
      <c r="J24" s="958">
        <v>178630402</v>
      </c>
      <c r="K24" s="959">
        <f t="shared" si="7"/>
        <v>2849080.3999999985</v>
      </c>
      <c r="L24" s="960">
        <v>169155767</v>
      </c>
      <c r="M24" s="961">
        <f t="shared" si="7"/>
        <v>3203153.3999999985</v>
      </c>
      <c r="N24" s="958">
        <v>230349639</v>
      </c>
      <c r="O24" s="959">
        <f t="shared" si="0"/>
        <v>4028606.5</v>
      </c>
      <c r="P24" s="960">
        <v>274957544</v>
      </c>
      <c r="Q24" s="961">
        <f t="shared" si="1"/>
        <v>5642257.3333333358</v>
      </c>
      <c r="R24" s="958">
        <v>271319604</v>
      </c>
      <c r="S24" s="959">
        <f t="shared" si="2"/>
        <v>6405934</v>
      </c>
      <c r="T24" s="960">
        <v>252000948</v>
      </c>
      <c r="U24" s="961">
        <f t="shared" si="3"/>
        <v>5211158</v>
      </c>
      <c r="V24" s="958">
        <v>86600612</v>
      </c>
      <c r="W24" s="959">
        <f t="shared" si="4"/>
        <v>6574306</v>
      </c>
      <c r="X24" s="960">
        <v>85422630</v>
      </c>
      <c r="Y24" s="961">
        <f t="shared" si="5"/>
        <v>7701315</v>
      </c>
      <c r="Z24" s="958">
        <v>90576630</v>
      </c>
      <c r="AA24" s="959">
        <f t="shared" si="6"/>
        <v>7086315</v>
      </c>
      <c r="AB24" s="960">
        <v>249801165</v>
      </c>
      <c r="AC24" s="961">
        <f t="shared" si="8"/>
        <v>6923527.5</v>
      </c>
      <c r="AD24" s="958">
        <v>267106906</v>
      </c>
      <c r="AE24" s="959">
        <f t="shared" si="9"/>
        <v>7344817.6666666642</v>
      </c>
      <c r="AF24" s="962">
        <v>281710327</v>
      </c>
      <c r="AG24" s="961">
        <f t="shared" si="10"/>
        <v>5297721.1666666642</v>
      </c>
      <c r="AH24" s="958">
        <v>304703804</v>
      </c>
      <c r="AI24" s="959">
        <f t="shared" si="11"/>
        <v>9157967.3333333358</v>
      </c>
      <c r="AJ24" s="960">
        <v>280013671</v>
      </c>
      <c r="AK24" s="961">
        <f t="shared" si="12"/>
        <v>7506945.1666666642</v>
      </c>
      <c r="AL24" s="958">
        <v>299217107</v>
      </c>
      <c r="AM24" s="959">
        <f t="shared" si="13"/>
        <v>8995517.8333333358</v>
      </c>
      <c r="AN24" s="960">
        <v>351689421</v>
      </c>
      <c r="AO24" s="961">
        <f t="shared" si="14"/>
        <v>9477345.8571428582</v>
      </c>
      <c r="AP24" s="960">
        <v>315142117</v>
      </c>
      <c r="AQ24" s="961">
        <f t="shared" si="15"/>
        <v>10156686.166666664</v>
      </c>
      <c r="AR24" s="960">
        <v>213553670</v>
      </c>
      <c r="AS24" s="961">
        <f t="shared" si="15"/>
        <v>10361417.5</v>
      </c>
      <c r="AT24" s="1008">
        <v>997284396</v>
      </c>
      <c r="AU24" s="1009">
        <f t="shared" si="16"/>
        <v>276828.41475211608</v>
      </c>
      <c r="AV24" s="1008">
        <v>1006929376</v>
      </c>
      <c r="AW24" s="1009">
        <f t="shared" si="16"/>
        <v>276539.67643610784</v>
      </c>
      <c r="AX24" s="958">
        <v>342124466</v>
      </c>
      <c r="AY24" s="959">
        <f t="shared" si="17"/>
        <v>10302744.333333336</v>
      </c>
      <c r="AZ24" s="960">
        <v>331847657</v>
      </c>
      <c r="BA24" s="959">
        <f t="shared" si="17"/>
        <v>10684942.833333336</v>
      </c>
      <c r="BB24" s="960">
        <v>339371193</v>
      </c>
      <c r="BC24" s="959">
        <f t="shared" si="17"/>
        <v>11261865.5</v>
      </c>
      <c r="BD24" s="960"/>
      <c r="BE24" s="961"/>
      <c r="BF24" s="963"/>
    </row>
    <row r="25" spans="2:58" s="972" customFormat="1">
      <c r="B25" s="1745"/>
      <c r="C25" s="957" t="s">
        <v>2863</v>
      </c>
      <c r="D25" s="960">
        <v>129784971</v>
      </c>
      <c r="E25" s="961"/>
      <c r="F25" s="958">
        <v>155823336</v>
      </c>
      <c r="G25" s="959"/>
      <c r="H25" s="960">
        <v>168158588</v>
      </c>
      <c r="I25" s="961"/>
      <c r="J25" s="958">
        <v>178532656</v>
      </c>
      <c r="K25" s="959">
        <f t="shared" si="7"/>
        <v>2829531.200000003</v>
      </c>
      <c r="L25" s="960">
        <v>169083199</v>
      </c>
      <c r="M25" s="961">
        <f t="shared" si="7"/>
        <v>3188639.799999997</v>
      </c>
      <c r="N25" s="958">
        <v>230266957</v>
      </c>
      <c r="O25" s="959">
        <f t="shared" si="0"/>
        <v>4014826.1666666642</v>
      </c>
      <c r="P25" s="960">
        <v>274865991</v>
      </c>
      <c r="Q25" s="961">
        <f t="shared" si="1"/>
        <v>5626998.5</v>
      </c>
      <c r="R25" s="958">
        <v>270832652</v>
      </c>
      <c r="S25" s="959">
        <f t="shared" si="2"/>
        <v>6324775.3333333358</v>
      </c>
      <c r="T25" s="960">
        <v>251932393</v>
      </c>
      <c r="U25" s="961">
        <f t="shared" si="3"/>
        <v>5199732.1666666642</v>
      </c>
      <c r="V25" s="958">
        <v>86578546</v>
      </c>
      <c r="W25" s="959">
        <f t="shared" si="4"/>
        <v>6563273</v>
      </c>
      <c r="X25" s="960">
        <v>85384744</v>
      </c>
      <c r="Y25" s="961">
        <f t="shared" si="5"/>
        <v>7682372</v>
      </c>
      <c r="Z25" s="958">
        <v>90481515</v>
      </c>
      <c r="AA25" s="959">
        <f t="shared" si="6"/>
        <v>7038757.5</v>
      </c>
      <c r="AB25" s="960">
        <v>249796578</v>
      </c>
      <c r="AC25" s="961">
        <f t="shared" si="8"/>
        <v>6922763</v>
      </c>
      <c r="AD25" s="958">
        <v>267029406</v>
      </c>
      <c r="AE25" s="959">
        <f t="shared" si="9"/>
        <v>7331901</v>
      </c>
      <c r="AF25" s="962">
        <v>280673660</v>
      </c>
      <c r="AG25" s="961">
        <f t="shared" si="10"/>
        <v>5124943.3333333358</v>
      </c>
      <c r="AH25" s="958">
        <v>304450880</v>
      </c>
      <c r="AI25" s="959">
        <f t="shared" si="11"/>
        <v>9115813.3333333358</v>
      </c>
      <c r="AJ25" s="960">
        <v>279132541</v>
      </c>
      <c r="AK25" s="961">
        <f t="shared" si="12"/>
        <v>7360090.1666666642</v>
      </c>
      <c r="AL25" s="958">
        <v>298755302</v>
      </c>
      <c r="AM25" s="959">
        <f t="shared" si="13"/>
        <v>8918550.3333333358</v>
      </c>
      <c r="AN25" s="960">
        <v>351375376</v>
      </c>
      <c r="AO25" s="961">
        <f t="shared" si="14"/>
        <v>9432482.2857142836</v>
      </c>
      <c r="AP25" s="960">
        <v>315136787</v>
      </c>
      <c r="AQ25" s="961">
        <f t="shared" si="15"/>
        <v>10155797.833333336</v>
      </c>
      <c r="AR25" s="960">
        <v>213371919</v>
      </c>
      <c r="AS25" s="961">
        <f t="shared" si="15"/>
        <v>10315979.75</v>
      </c>
      <c r="AT25" s="1008">
        <v>986086660</v>
      </c>
      <c r="AU25" s="1009">
        <f t="shared" si="16"/>
        <v>273443.36759371223</v>
      </c>
      <c r="AV25" s="1008">
        <v>1003848344</v>
      </c>
      <c r="AW25" s="1009">
        <f t="shared" si="16"/>
        <v>275636.6776084408</v>
      </c>
      <c r="AX25" s="958">
        <v>341778443</v>
      </c>
      <c r="AY25" s="959">
        <f t="shared" si="17"/>
        <v>10245073.833333336</v>
      </c>
      <c r="AZ25" s="960">
        <v>331427697</v>
      </c>
      <c r="BA25" s="959">
        <f t="shared" si="17"/>
        <v>10614949.5</v>
      </c>
      <c r="BB25" s="960">
        <v>339268489</v>
      </c>
      <c r="BC25" s="959">
        <f t="shared" si="17"/>
        <v>11244748.166666664</v>
      </c>
      <c r="BD25" s="960"/>
      <c r="BE25" s="961"/>
      <c r="BF25" s="963"/>
    </row>
    <row r="26" spans="2:58" s="972" customFormat="1">
      <c r="B26" s="1745"/>
      <c r="C26" s="957" t="s">
        <v>2864</v>
      </c>
      <c r="D26" s="960">
        <v>129746664</v>
      </c>
      <c r="E26" s="961"/>
      <c r="F26" s="958">
        <v>155452440</v>
      </c>
      <c r="G26" s="959"/>
      <c r="H26" s="960">
        <v>167984603</v>
      </c>
      <c r="I26" s="961"/>
      <c r="J26" s="958">
        <v>178496511</v>
      </c>
      <c r="K26" s="959">
        <f t="shared" si="7"/>
        <v>2822302.200000003</v>
      </c>
      <c r="L26" s="960">
        <v>168780205</v>
      </c>
      <c r="M26" s="961">
        <f t="shared" si="7"/>
        <v>3128041</v>
      </c>
      <c r="N26" s="958">
        <v>230163981</v>
      </c>
      <c r="O26" s="959">
        <f t="shared" si="0"/>
        <v>3997663.5</v>
      </c>
      <c r="P26" s="960">
        <v>274679470</v>
      </c>
      <c r="Q26" s="961">
        <f t="shared" si="1"/>
        <v>5595911.6666666642</v>
      </c>
      <c r="R26" s="958">
        <v>270821459</v>
      </c>
      <c r="S26" s="959">
        <f t="shared" si="2"/>
        <v>6322909.8333333358</v>
      </c>
      <c r="T26" s="960">
        <v>251889390</v>
      </c>
      <c r="U26" s="961">
        <f t="shared" si="3"/>
        <v>5192565</v>
      </c>
      <c r="V26" s="958">
        <v>86575541</v>
      </c>
      <c r="W26" s="959">
        <f t="shared" si="4"/>
        <v>6561770.5</v>
      </c>
      <c r="X26" s="960">
        <v>85316411</v>
      </c>
      <c r="Y26" s="961">
        <f t="shared" si="5"/>
        <v>7648205.5</v>
      </c>
      <c r="Z26" s="958">
        <v>90361550</v>
      </c>
      <c r="AA26" s="959">
        <f t="shared" si="6"/>
        <v>6978775</v>
      </c>
      <c r="AB26" s="960">
        <v>249536200</v>
      </c>
      <c r="AC26" s="961">
        <f t="shared" si="8"/>
        <v>6879366.6666666642</v>
      </c>
      <c r="AD26" s="958">
        <v>266899388</v>
      </c>
      <c r="AE26" s="959">
        <f t="shared" si="9"/>
        <v>7310231.3333333358</v>
      </c>
      <c r="AF26" s="962">
        <v>280545500</v>
      </c>
      <c r="AG26" s="961">
        <f t="shared" si="10"/>
        <v>5103583.3333333358</v>
      </c>
      <c r="AH26" s="958">
        <v>304271831</v>
      </c>
      <c r="AI26" s="959">
        <f t="shared" si="11"/>
        <v>9085971.8333333358</v>
      </c>
      <c r="AJ26" s="960">
        <v>278995187</v>
      </c>
      <c r="AK26" s="961">
        <f t="shared" si="12"/>
        <v>7337197.8333333358</v>
      </c>
      <c r="AL26" s="958">
        <v>298521768</v>
      </c>
      <c r="AM26" s="959">
        <f t="shared" si="13"/>
        <v>8879628</v>
      </c>
      <c r="AN26" s="960">
        <v>351359136</v>
      </c>
      <c r="AO26" s="961">
        <f t="shared" si="14"/>
        <v>9430162.2857142836</v>
      </c>
      <c r="AP26" s="960">
        <v>315094431</v>
      </c>
      <c r="AQ26" s="961">
        <f t="shared" si="15"/>
        <v>10148738.5</v>
      </c>
      <c r="AR26" s="960">
        <v>213190138</v>
      </c>
      <c r="AS26" s="961">
        <f t="shared" si="15"/>
        <v>10270534.5</v>
      </c>
      <c r="AT26" s="1008">
        <v>980011501</v>
      </c>
      <c r="AU26" s="1009">
        <f t="shared" si="16"/>
        <v>271606.86245465541</v>
      </c>
      <c r="AV26" s="1008">
        <v>1003284737</v>
      </c>
      <c r="AW26" s="1009">
        <f t="shared" si="16"/>
        <v>275471.49384525203</v>
      </c>
      <c r="AX26" s="958">
        <v>341484605</v>
      </c>
      <c r="AY26" s="959">
        <f t="shared" si="17"/>
        <v>10196100.833333336</v>
      </c>
      <c r="AZ26" s="960">
        <v>331148556</v>
      </c>
      <c r="BA26" s="959">
        <f t="shared" si="17"/>
        <v>10568426</v>
      </c>
      <c r="BB26" s="960">
        <v>338837828</v>
      </c>
      <c r="BC26" s="959">
        <f t="shared" si="17"/>
        <v>11172971.333333336</v>
      </c>
      <c r="BD26" s="960"/>
      <c r="BE26" s="961"/>
      <c r="BF26" s="963"/>
    </row>
    <row r="27" spans="2:58" s="972" customFormat="1">
      <c r="B27" s="1745"/>
      <c r="C27" s="957" t="s">
        <v>2865</v>
      </c>
      <c r="D27" s="960">
        <v>124352736</v>
      </c>
      <c r="E27" s="961"/>
      <c r="F27" s="958">
        <v>147539654</v>
      </c>
      <c r="G27" s="959"/>
      <c r="H27" s="960">
        <v>161446655</v>
      </c>
      <c r="I27" s="961"/>
      <c r="J27" s="958">
        <v>171428771</v>
      </c>
      <c r="K27" s="959">
        <f t="shared" si="7"/>
        <v>1408754.200000003</v>
      </c>
      <c r="L27" s="960">
        <v>162541567</v>
      </c>
      <c r="M27" s="961">
        <f t="shared" si="7"/>
        <v>1880313.3999999985</v>
      </c>
      <c r="N27" s="958">
        <v>223453903</v>
      </c>
      <c r="O27" s="959">
        <f t="shared" si="0"/>
        <v>2879317.1666666642</v>
      </c>
      <c r="P27" s="960">
        <v>263862825</v>
      </c>
      <c r="Q27" s="961">
        <f t="shared" si="1"/>
        <v>3793137.5</v>
      </c>
      <c r="R27" s="958">
        <v>263110129</v>
      </c>
      <c r="S27" s="959">
        <f t="shared" si="2"/>
        <v>5037688.1666666642</v>
      </c>
      <c r="T27" s="960">
        <v>244832474</v>
      </c>
      <c r="U27" s="961">
        <f t="shared" si="3"/>
        <v>4016412.3333333358</v>
      </c>
      <c r="V27" s="958">
        <v>84378492</v>
      </c>
      <c r="W27" s="959">
        <f t="shared" si="4"/>
        <v>5463246</v>
      </c>
      <c r="X27" s="960">
        <v>83120225</v>
      </c>
      <c r="Y27" s="961">
        <f t="shared" si="5"/>
        <v>6550112.5</v>
      </c>
      <c r="Z27" s="958">
        <v>88556904</v>
      </c>
      <c r="AA27" s="959">
        <f t="shared" si="6"/>
        <v>6076452</v>
      </c>
      <c r="AB27" s="960">
        <v>244284853</v>
      </c>
      <c r="AC27" s="961">
        <f t="shared" si="8"/>
        <v>6004142.1666666642</v>
      </c>
      <c r="AD27" s="958">
        <v>260315286</v>
      </c>
      <c r="AE27" s="959">
        <f t="shared" si="9"/>
        <v>6212881</v>
      </c>
      <c r="AF27" s="962">
        <v>273979987</v>
      </c>
      <c r="AG27" s="961">
        <f t="shared" si="10"/>
        <v>4009331.1666666642</v>
      </c>
      <c r="AH27" s="958">
        <v>298493679</v>
      </c>
      <c r="AI27" s="959">
        <f t="shared" si="11"/>
        <v>8122946.5</v>
      </c>
      <c r="AJ27" s="960">
        <v>274568085</v>
      </c>
      <c r="AK27" s="961">
        <f t="shared" si="12"/>
        <v>6599347.5</v>
      </c>
      <c r="AL27" s="958">
        <v>292917959</v>
      </c>
      <c r="AM27" s="959">
        <f t="shared" si="13"/>
        <v>7945659.8333333358</v>
      </c>
      <c r="AN27" s="960">
        <v>342700573</v>
      </c>
      <c r="AO27" s="961">
        <f t="shared" si="14"/>
        <v>8193224.7142857164</v>
      </c>
      <c r="AP27" s="960">
        <v>308114671</v>
      </c>
      <c r="AQ27" s="961">
        <f t="shared" si="15"/>
        <v>8985445.1666666642</v>
      </c>
      <c r="AR27" s="960">
        <v>208681674</v>
      </c>
      <c r="AS27" s="961">
        <f t="shared" si="15"/>
        <v>9143418.5</v>
      </c>
      <c r="AT27" s="1008">
        <v>917195237</v>
      </c>
      <c r="AU27" s="1009">
        <f t="shared" si="16"/>
        <v>252617.66535671099</v>
      </c>
      <c r="AV27" s="1008">
        <v>911240591</v>
      </c>
      <c r="AW27" s="1009">
        <f t="shared" si="16"/>
        <v>248494.89771395075</v>
      </c>
      <c r="AX27" s="958">
        <v>335311535</v>
      </c>
      <c r="AY27" s="959">
        <f t="shared" si="17"/>
        <v>9167255.8333333358</v>
      </c>
      <c r="AZ27" s="960">
        <v>322796136</v>
      </c>
      <c r="BA27" s="959">
        <f t="shared" si="17"/>
        <v>9176356</v>
      </c>
      <c r="BB27" s="960">
        <v>332041703</v>
      </c>
      <c r="BC27" s="959">
        <f t="shared" si="17"/>
        <v>10040283.833333336</v>
      </c>
      <c r="BD27" s="960"/>
      <c r="BE27" s="961"/>
      <c r="BF27" s="963"/>
    </row>
    <row r="28" spans="2:58" s="972" customFormat="1">
      <c r="B28" s="1745"/>
      <c r="C28" s="957" t="s">
        <v>2866</v>
      </c>
      <c r="D28" s="960">
        <v>120717037</v>
      </c>
      <c r="E28" s="961"/>
      <c r="F28" s="958">
        <v>142600777</v>
      </c>
      <c r="G28" s="959"/>
      <c r="H28" s="960">
        <v>158088567</v>
      </c>
      <c r="I28" s="961"/>
      <c r="J28" s="958">
        <v>165976802</v>
      </c>
      <c r="K28" s="959">
        <f t="shared" si="7"/>
        <v>318360.39999999851</v>
      </c>
      <c r="L28" s="960">
        <v>159626858</v>
      </c>
      <c r="M28" s="961">
        <f t="shared" si="7"/>
        <v>1297371.6000000015</v>
      </c>
      <c r="N28" s="958">
        <v>218240957</v>
      </c>
      <c r="O28" s="959">
        <f t="shared" si="0"/>
        <v>2010492.8333333358</v>
      </c>
      <c r="P28" s="960">
        <v>256544964</v>
      </c>
      <c r="Q28" s="961">
        <f t="shared" si="1"/>
        <v>2573494</v>
      </c>
      <c r="R28" s="958">
        <v>258567985</v>
      </c>
      <c r="S28" s="959">
        <f t="shared" si="2"/>
        <v>4280664.1666666642</v>
      </c>
      <c r="T28" s="960">
        <v>240076879</v>
      </c>
      <c r="U28" s="961">
        <f t="shared" si="3"/>
        <v>3223813.1666666642</v>
      </c>
      <c r="V28" s="958">
        <v>82923440</v>
      </c>
      <c r="W28" s="959">
        <f t="shared" si="4"/>
        <v>4735720</v>
      </c>
      <c r="X28" s="960">
        <v>82210239</v>
      </c>
      <c r="Y28" s="961">
        <f t="shared" si="5"/>
        <v>6095119.5</v>
      </c>
      <c r="Z28" s="958">
        <v>87464375</v>
      </c>
      <c r="AA28" s="959">
        <f t="shared" si="6"/>
        <v>5530187.5</v>
      </c>
      <c r="AB28" s="960">
        <v>240593441</v>
      </c>
      <c r="AC28" s="961">
        <f t="shared" si="8"/>
        <v>5388906.8333333358</v>
      </c>
      <c r="AD28" s="958">
        <v>256749668</v>
      </c>
      <c r="AE28" s="959">
        <f t="shared" si="9"/>
        <v>5618611.3333333358</v>
      </c>
      <c r="AF28" s="962">
        <v>270151135</v>
      </c>
      <c r="AG28" s="961">
        <f t="shared" si="10"/>
        <v>3371189.1666666642</v>
      </c>
      <c r="AH28" s="958">
        <v>294762917</v>
      </c>
      <c r="AI28" s="959">
        <f t="shared" si="11"/>
        <v>7501152.8333333358</v>
      </c>
      <c r="AJ28" s="960">
        <v>270829049</v>
      </c>
      <c r="AK28" s="961">
        <f t="shared" si="12"/>
        <v>5976174.8333333358</v>
      </c>
      <c r="AL28" s="958">
        <v>288297160</v>
      </c>
      <c r="AM28" s="959">
        <f t="shared" si="13"/>
        <v>7175526.6666666642</v>
      </c>
      <c r="AN28" s="960">
        <v>337625646</v>
      </c>
      <c r="AO28" s="961">
        <f t="shared" si="14"/>
        <v>7468235.1428571418</v>
      </c>
      <c r="AP28" s="960">
        <v>303624740</v>
      </c>
      <c r="AQ28" s="961">
        <f t="shared" si="15"/>
        <v>8237123.3333333358</v>
      </c>
      <c r="AR28" s="960">
        <v>205731629</v>
      </c>
      <c r="AS28" s="961">
        <f t="shared" si="15"/>
        <v>8405907.25</v>
      </c>
      <c r="AT28" s="1008">
        <v>883097370</v>
      </c>
      <c r="AU28" s="1009">
        <f t="shared" si="16"/>
        <v>242309.96674727934</v>
      </c>
      <c r="AV28" s="1008">
        <v>865644730</v>
      </c>
      <c r="AW28" s="1009">
        <f t="shared" si="16"/>
        <v>235131.51524032824</v>
      </c>
      <c r="AX28" s="958">
        <v>328313774</v>
      </c>
      <c r="AY28" s="959">
        <f t="shared" si="17"/>
        <v>8000962.3333333358</v>
      </c>
      <c r="AZ28" s="960">
        <v>318385660</v>
      </c>
      <c r="BA28" s="959">
        <f t="shared" si="17"/>
        <v>8441276.6666666642</v>
      </c>
      <c r="BB28" s="960">
        <v>326247047</v>
      </c>
      <c r="BC28" s="959">
        <f t="shared" si="17"/>
        <v>9074507.8333333358</v>
      </c>
      <c r="BD28" s="960"/>
      <c r="BE28" s="961"/>
      <c r="BF28" s="963"/>
    </row>
    <row r="29" spans="2:58" s="972" customFormat="1">
      <c r="B29" s="1745"/>
      <c r="C29" s="957" t="s">
        <v>2867</v>
      </c>
      <c r="D29" s="960">
        <v>113426887</v>
      </c>
      <c r="E29" s="961"/>
      <c r="F29" s="958">
        <v>134690453</v>
      </c>
      <c r="G29" s="959"/>
      <c r="H29" s="960">
        <v>151171659</v>
      </c>
      <c r="I29" s="961"/>
      <c r="J29" s="958">
        <v>159323371</v>
      </c>
      <c r="K29" s="959">
        <f t="shared" si="7"/>
        <v>-1012325.8000000007</v>
      </c>
      <c r="L29" s="960">
        <v>151792372</v>
      </c>
      <c r="M29" s="961">
        <f t="shared" si="7"/>
        <v>-269525.60000000149</v>
      </c>
      <c r="N29" s="958">
        <v>207997176</v>
      </c>
      <c r="O29" s="959">
        <f t="shared" si="0"/>
        <v>303196</v>
      </c>
      <c r="P29" s="960">
        <v>244922447</v>
      </c>
      <c r="Q29" s="961">
        <f t="shared" si="1"/>
        <v>636407.83333333582</v>
      </c>
      <c r="R29" s="958">
        <v>247273427</v>
      </c>
      <c r="S29" s="959">
        <f t="shared" si="2"/>
        <v>2398237.8333333358</v>
      </c>
      <c r="T29" s="960">
        <v>232506132</v>
      </c>
      <c r="U29" s="961">
        <f t="shared" si="3"/>
        <v>1962022</v>
      </c>
      <c r="V29" s="958">
        <v>80127470</v>
      </c>
      <c r="W29" s="959">
        <f t="shared" si="4"/>
        <v>3337735</v>
      </c>
      <c r="X29" s="960">
        <v>79794633</v>
      </c>
      <c r="Y29" s="961">
        <f t="shared" si="5"/>
        <v>4887316.5</v>
      </c>
      <c r="Z29" s="958">
        <v>84404434</v>
      </c>
      <c r="AA29" s="959">
        <f t="shared" si="6"/>
        <v>4000217</v>
      </c>
      <c r="AB29" s="960">
        <v>233402513</v>
      </c>
      <c r="AC29" s="961">
        <f t="shared" si="8"/>
        <v>4190418.8333333358</v>
      </c>
      <c r="AD29" s="958">
        <v>248342361</v>
      </c>
      <c r="AE29" s="959">
        <f t="shared" si="9"/>
        <v>4217393.5</v>
      </c>
      <c r="AF29" s="962">
        <v>260456804</v>
      </c>
      <c r="AG29" s="961">
        <f t="shared" si="10"/>
        <v>1755467.3333333358</v>
      </c>
      <c r="AH29" s="958">
        <v>286178214</v>
      </c>
      <c r="AI29" s="959">
        <f t="shared" si="11"/>
        <v>6070369</v>
      </c>
      <c r="AJ29" s="960">
        <v>263401074</v>
      </c>
      <c r="AK29" s="961">
        <f t="shared" si="12"/>
        <v>4738179</v>
      </c>
      <c r="AL29" s="958">
        <v>279399065</v>
      </c>
      <c r="AM29" s="959">
        <f t="shared" si="13"/>
        <v>5692510.8333333358</v>
      </c>
      <c r="AN29" s="960">
        <v>328182549</v>
      </c>
      <c r="AO29" s="961">
        <f t="shared" si="14"/>
        <v>6119221.2857142836</v>
      </c>
      <c r="AP29" s="960">
        <v>292220344</v>
      </c>
      <c r="AQ29" s="961">
        <f t="shared" si="15"/>
        <v>6336390.6666666642</v>
      </c>
      <c r="AR29" s="960">
        <v>199551306</v>
      </c>
      <c r="AS29" s="961">
        <f t="shared" si="15"/>
        <v>6860826.5</v>
      </c>
      <c r="AT29" s="1008">
        <v>792359354</v>
      </c>
      <c r="AU29" s="1009">
        <f t="shared" si="16"/>
        <v>214880.09492140266</v>
      </c>
      <c r="AV29" s="1008">
        <v>761231081</v>
      </c>
      <c r="AW29" s="1009">
        <f t="shared" si="16"/>
        <v>204529.62514654163</v>
      </c>
      <c r="AX29" s="958">
        <v>318291740</v>
      </c>
      <c r="AY29" s="959">
        <f t="shared" si="17"/>
        <v>6330623.3333333358</v>
      </c>
      <c r="AZ29" s="960">
        <v>308616649</v>
      </c>
      <c r="BA29" s="959">
        <f t="shared" si="17"/>
        <v>6813108.1666666642</v>
      </c>
      <c r="BB29" s="960">
        <v>315059993</v>
      </c>
      <c r="BC29" s="959">
        <f t="shared" si="17"/>
        <v>7209998.8333333358</v>
      </c>
      <c r="BD29" s="960"/>
      <c r="BE29" s="961"/>
      <c r="BF29" s="963"/>
    </row>
    <row r="30" spans="2:58" s="972" customFormat="1">
      <c r="B30" s="1745"/>
      <c r="C30" s="957" t="s">
        <v>2868</v>
      </c>
      <c r="D30" s="960">
        <v>109610360</v>
      </c>
      <c r="E30" s="961"/>
      <c r="F30" s="958">
        <v>130847256</v>
      </c>
      <c r="G30" s="959"/>
      <c r="H30" s="960">
        <v>147759033</v>
      </c>
      <c r="I30" s="961"/>
      <c r="J30" s="958">
        <v>155848258</v>
      </c>
      <c r="K30" s="959">
        <f t="shared" si="7"/>
        <v>-1707348.3999999985</v>
      </c>
      <c r="L30" s="960">
        <v>148424496</v>
      </c>
      <c r="M30" s="961">
        <f t="shared" si="7"/>
        <v>-943100.80000000075</v>
      </c>
      <c r="N30" s="958">
        <v>202867625</v>
      </c>
      <c r="O30" s="959">
        <f t="shared" si="0"/>
        <v>-551729.16666666418</v>
      </c>
      <c r="P30" s="960">
        <v>238988983</v>
      </c>
      <c r="Q30" s="961">
        <f t="shared" si="1"/>
        <v>-352502.83333333582</v>
      </c>
      <c r="R30" s="958">
        <v>242085399</v>
      </c>
      <c r="S30" s="959">
        <f t="shared" si="2"/>
        <v>1533566.5</v>
      </c>
      <c r="T30" s="960">
        <v>228743552</v>
      </c>
      <c r="U30" s="961">
        <f t="shared" si="3"/>
        <v>1334925.3333333358</v>
      </c>
      <c r="V30" s="958">
        <v>78769789</v>
      </c>
      <c r="W30" s="959">
        <f t="shared" si="4"/>
        <v>2658894.5</v>
      </c>
      <c r="X30" s="960">
        <v>78661483</v>
      </c>
      <c r="Y30" s="961">
        <f t="shared" si="5"/>
        <v>4320741.5</v>
      </c>
      <c r="Z30" s="958">
        <v>82655697</v>
      </c>
      <c r="AA30" s="959">
        <f t="shared" si="6"/>
        <v>3125848.5</v>
      </c>
      <c r="AB30" s="960">
        <v>229842626</v>
      </c>
      <c r="AC30" s="961">
        <f t="shared" si="8"/>
        <v>3597104.3333333358</v>
      </c>
      <c r="AD30" s="958">
        <v>243709994</v>
      </c>
      <c r="AE30" s="959">
        <f t="shared" si="9"/>
        <v>3445332.3333333358</v>
      </c>
      <c r="AF30" s="962">
        <v>254737369</v>
      </c>
      <c r="AG30" s="961">
        <f t="shared" si="10"/>
        <v>802228.16666666418</v>
      </c>
      <c r="AH30" s="958">
        <v>281375085</v>
      </c>
      <c r="AI30" s="959">
        <f t="shared" si="11"/>
        <v>5269847.5</v>
      </c>
      <c r="AJ30" s="960">
        <v>258567566</v>
      </c>
      <c r="AK30" s="961">
        <f t="shared" si="12"/>
        <v>3932594.3333333358</v>
      </c>
      <c r="AL30" s="958">
        <v>274774094</v>
      </c>
      <c r="AM30" s="959">
        <f t="shared" si="13"/>
        <v>4921682.3333333358</v>
      </c>
      <c r="AN30" s="960">
        <v>323348036</v>
      </c>
      <c r="AO30" s="961">
        <f t="shared" si="14"/>
        <v>5428576.5714285746</v>
      </c>
      <c r="AP30" s="960">
        <v>285590784</v>
      </c>
      <c r="AQ30" s="961">
        <f t="shared" si="15"/>
        <v>5231464</v>
      </c>
      <c r="AR30" s="960">
        <v>196162291</v>
      </c>
      <c r="AS30" s="961">
        <f t="shared" si="15"/>
        <v>6013572.75</v>
      </c>
      <c r="AT30" s="1008">
        <v>745661873</v>
      </c>
      <c r="AU30" s="1009">
        <f t="shared" si="16"/>
        <v>200763.56499395406</v>
      </c>
      <c r="AV30" s="1008">
        <v>709065157</v>
      </c>
      <c r="AW30" s="1009">
        <f t="shared" si="16"/>
        <v>189240.66735052754</v>
      </c>
      <c r="AX30" s="958">
        <v>312592403</v>
      </c>
      <c r="AY30" s="959">
        <f t="shared" si="17"/>
        <v>5380733.8333333358</v>
      </c>
      <c r="AZ30" s="960">
        <v>303293216</v>
      </c>
      <c r="BA30" s="959">
        <f t="shared" si="17"/>
        <v>5925869.3333333358</v>
      </c>
      <c r="BB30" s="960">
        <v>307939865</v>
      </c>
      <c r="BC30" s="959">
        <f t="shared" si="17"/>
        <v>6023310.8333333358</v>
      </c>
      <c r="BD30" s="960"/>
      <c r="BE30" s="961"/>
      <c r="BF30" s="963"/>
    </row>
    <row r="31" spans="2:58" s="972" customFormat="1">
      <c r="B31" s="1745"/>
      <c r="C31" s="957" t="s">
        <v>2869</v>
      </c>
      <c r="D31" s="960">
        <v>102102577</v>
      </c>
      <c r="E31" s="961"/>
      <c r="F31" s="958">
        <v>124227590</v>
      </c>
      <c r="G31" s="959"/>
      <c r="H31" s="960">
        <v>141378657</v>
      </c>
      <c r="I31" s="961"/>
      <c r="J31" s="958">
        <v>150560174</v>
      </c>
      <c r="K31" s="959">
        <f t="shared" si="7"/>
        <v>-2764965.1999999993</v>
      </c>
      <c r="L31" s="960">
        <v>142277765</v>
      </c>
      <c r="M31" s="961">
        <f t="shared" si="7"/>
        <v>-2172447</v>
      </c>
      <c r="N31" s="958">
        <v>194035707</v>
      </c>
      <c r="O31" s="959">
        <f t="shared" si="0"/>
        <v>-2023715.5</v>
      </c>
      <c r="P31" s="960">
        <v>230319564</v>
      </c>
      <c r="Q31" s="961">
        <f t="shared" si="1"/>
        <v>-1797406</v>
      </c>
      <c r="R31" s="958">
        <v>232881019</v>
      </c>
      <c r="S31" s="959">
        <f t="shared" si="2"/>
        <v>-496.83333333581686</v>
      </c>
      <c r="T31" s="960">
        <v>222509156</v>
      </c>
      <c r="U31" s="961">
        <f t="shared" si="3"/>
        <v>295859.33333333582</v>
      </c>
      <c r="V31" s="958">
        <v>76603978</v>
      </c>
      <c r="W31" s="959">
        <f t="shared" si="4"/>
        <v>1575989</v>
      </c>
      <c r="X31" s="960">
        <v>76857902</v>
      </c>
      <c r="Y31" s="961">
        <f t="shared" si="5"/>
        <v>3418951</v>
      </c>
      <c r="Z31" s="958">
        <v>79466393</v>
      </c>
      <c r="AA31" s="959">
        <f t="shared" si="6"/>
        <v>1531196.5</v>
      </c>
      <c r="AB31" s="960">
        <v>223861960</v>
      </c>
      <c r="AC31" s="961">
        <f t="shared" si="8"/>
        <v>2600326.6666666642</v>
      </c>
      <c r="AD31" s="958">
        <v>235990198</v>
      </c>
      <c r="AE31" s="959">
        <f t="shared" si="9"/>
        <v>2158699.6666666642</v>
      </c>
      <c r="AF31" s="962">
        <v>244198173</v>
      </c>
      <c r="AG31" s="961">
        <f t="shared" si="10"/>
        <v>-954304.5</v>
      </c>
      <c r="AH31" s="958">
        <v>272023936</v>
      </c>
      <c r="AI31" s="959">
        <f t="shared" si="11"/>
        <v>3711322.6666666642</v>
      </c>
      <c r="AJ31" s="960">
        <v>249714834</v>
      </c>
      <c r="AK31" s="961">
        <f t="shared" si="12"/>
        <v>2457139</v>
      </c>
      <c r="AL31" s="958">
        <v>267225437</v>
      </c>
      <c r="AM31" s="959">
        <f t="shared" si="13"/>
        <v>3663572.8333333358</v>
      </c>
      <c r="AN31" s="960">
        <v>314286506</v>
      </c>
      <c r="AO31" s="961">
        <f t="shared" si="14"/>
        <v>4134072.2857142836</v>
      </c>
      <c r="AP31" s="960">
        <v>273061377</v>
      </c>
      <c r="AQ31" s="961">
        <f t="shared" si="15"/>
        <v>3143229.5</v>
      </c>
      <c r="AR31" s="960">
        <v>190258117</v>
      </c>
      <c r="AS31" s="961">
        <f t="shared" si="15"/>
        <v>4537529.25</v>
      </c>
      <c r="AT31" s="1008">
        <v>670767869</v>
      </c>
      <c r="AU31" s="1009">
        <f t="shared" si="16"/>
        <v>178123.29776299879</v>
      </c>
      <c r="AV31" s="1008">
        <v>626193356</v>
      </c>
      <c r="AW31" s="1009">
        <f t="shared" si="16"/>
        <v>164952.33177022275</v>
      </c>
      <c r="AX31" s="958">
        <v>302738214</v>
      </c>
      <c r="AY31" s="959">
        <f t="shared" si="17"/>
        <v>3738369</v>
      </c>
      <c r="AZ31" s="960">
        <v>293155250</v>
      </c>
      <c r="BA31" s="959">
        <f t="shared" si="17"/>
        <v>4236208.3333333358</v>
      </c>
      <c r="BB31" s="960">
        <v>294711886</v>
      </c>
      <c r="BC31" s="959">
        <f t="shared" si="17"/>
        <v>3818647.6666666642</v>
      </c>
      <c r="BD31" s="960"/>
      <c r="BE31" s="961"/>
      <c r="BF31" s="963"/>
    </row>
    <row r="32" spans="2:58" s="972" customFormat="1">
      <c r="B32" s="1745"/>
      <c r="C32" s="957" t="s">
        <v>2870</v>
      </c>
      <c r="D32" s="960">
        <v>92143210</v>
      </c>
      <c r="E32" s="961"/>
      <c r="F32" s="958">
        <v>115499656</v>
      </c>
      <c r="G32" s="959"/>
      <c r="H32" s="960">
        <v>132629005</v>
      </c>
      <c r="I32" s="961"/>
      <c r="J32" s="958">
        <v>143190420</v>
      </c>
      <c r="K32" s="959">
        <f t="shared" si="7"/>
        <v>-4238916</v>
      </c>
      <c r="L32" s="960">
        <v>134085867</v>
      </c>
      <c r="M32" s="961">
        <f t="shared" si="7"/>
        <v>-3810826.6000000015</v>
      </c>
      <c r="N32" s="958">
        <v>183335920</v>
      </c>
      <c r="O32" s="959">
        <f t="shared" si="0"/>
        <v>-3807013.3333333321</v>
      </c>
      <c r="P32" s="960">
        <v>218233772</v>
      </c>
      <c r="Q32" s="961">
        <f t="shared" si="1"/>
        <v>-3811704.6666666642</v>
      </c>
      <c r="R32" s="958">
        <v>219144460</v>
      </c>
      <c r="S32" s="959">
        <f t="shared" si="2"/>
        <v>-2289923.3333333358</v>
      </c>
      <c r="T32" s="960">
        <v>212314493</v>
      </c>
      <c r="U32" s="961">
        <f t="shared" si="3"/>
        <v>-1403251.1666666642</v>
      </c>
      <c r="V32" s="958">
        <v>73457686</v>
      </c>
      <c r="W32" s="959">
        <f t="shared" si="4"/>
        <v>2843</v>
      </c>
      <c r="X32" s="960">
        <v>74086044</v>
      </c>
      <c r="Y32" s="961">
        <f t="shared" si="5"/>
        <v>2033022</v>
      </c>
      <c r="Z32" s="958">
        <v>75034791</v>
      </c>
      <c r="AA32" s="959">
        <f t="shared" si="6"/>
        <v>-684604.5</v>
      </c>
      <c r="AB32" s="960">
        <v>215495904</v>
      </c>
      <c r="AC32" s="961">
        <f t="shared" si="8"/>
        <v>1205984</v>
      </c>
      <c r="AD32" s="958">
        <v>225474106</v>
      </c>
      <c r="AE32" s="959">
        <f t="shared" si="9"/>
        <v>406017.66666666418</v>
      </c>
      <c r="AF32" s="962">
        <v>229376944</v>
      </c>
      <c r="AG32" s="961">
        <f t="shared" si="10"/>
        <v>-3424509.3333333358</v>
      </c>
      <c r="AH32" s="958">
        <v>256384985</v>
      </c>
      <c r="AI32" s="959">
        <f t="shared" si="11"/>
        <v>1104830.8333333358</v>
      </c>
      <c r="AJ32" s="960">
        <v>236773462</v>
      </c>
      <c r="AK32" s="961">
        <f t="shared" si="12"/>
        <v>300243.66666666418</v>
      </c>
      <c r="AL32" s="958">
        <v>256125319</v>
      </c>
      <c r="AM32" s="959">
        <f t="shared" si="13"/>
        <v>1813553.1666666642</v>
      </c>
      <c r="AN32" s="960">
        <v>299825215</v>
      </c>
      <c r="AO32" s="961">
        <f t="shared" si="14"/>
        <v>2068173.5714285746</v>
      </c>
      <c r="AP32" s="960">
        <v>259306912</v>
      </c>
      <c r="AQ32" s="961">
        <f t="shared" si="15"/>
        <v>850818.66666666418</v>
      </c>
      <c r="AR32" s="960">
        <v>180753020</v>
      </c>
      <c r="AS32" s="961">
        <f t="shared" si="15"/>
        <v>2161255</v>
      </c>
      <c r="AT32" s="1008">
        <v>576113253</v>
      </c>
      <c r="AU32" s="1009">
        <f t="shared" si="16"/>
        <v>149509.4477025393</v>
      </c>
      <c r="AV32" s="1008">
        <v>519865592</v>
      </c>
      <c r="AW32" s="1009">
        <f t="shared" si="16"/>
        <v>133789.44665885111</v>
      </c>
      <c r="AX32" s="958">
        <v>287855593</v>
      </c>
      <c r="AY32" s="959">
        <f t="shared" si="17"/>
        <v>1257932.1666666642</v>
      </c>
      <c r="AZ32" s="960">
        <v>277681907</v>
      </c>
      <c r="BA32" s="959">
        <f t="shared" si="17"/>
        <v>1657317.8333333358</v>
      </c>
      <c r="BB32" s="960">
        <v>278320066</v>
      </c>
      <c r="BC32" s="959">
        <f t="shared" si="17"/>
        <v>1086677.6666666642</v>
      </c>
      <c r="BD32" s="960"/>
      <c r="BE32" s="961"/>
      <c r="BF32" s="963"/>
    </row>
    <row r="33" spans="2:58" s="972" customFormat="1">
      <c r="B33" s="1745"/>
      <c r="C33" s="957" t="s">
        <v>2871</v>
      </c>
      <c r="D33" s="960">
        <v>85395754</v>
      </c>
      <c r="E33" s="961"/>
      <c r="F33" s="958">
        <v>108949653</v>
      </c>
      <c r="G33" s="959"/>
      <c r="H33" s="960">
        <v>126181408</v>
      </c>
      <c r="I33" s="961"/>
      <c r="J33" s="958">
        <v>137735183</v>
      </c>
      <c r="K33" s="959">
        <f t="shared" si="7"/>
        <v>-5329963.3999999985</v>
      </c>
      <c r="L33" s="960">
        <v>127611422</v>
      </c>
      <c r="M33" s="961">
        <f t="shared" si="7"/>
        <v>-5105715.6000000015</v>
      </c>
      <c r="N33" s="958">
        <v>176457210</v>
      </c>
      <c r="O33" s="959">
        <f t="shared" si="0"/>
        <v>-4953465</v>
      </c>
      <c r="P33" s="960">
        <v>209497557</v>
      </c>
      <c r="Q33" s="961">
        <f t="shared" si="1"/>
        <v>-5267740.5</v>
      </c>
      <c r="R33" s="958">
        <v>208986276</v>
      </c>
      <c r="S33" s="959">
        <f t="shared" si="2"/>
        <v>-3982954</v>
      </c>
      <c r="T33" s="960">
        <v>204253778</v>
      </c>
      <c r="U33" s="961">
        <f t="shared" si="3"/>
        <v>-2746703.6666666642</v>
      </c>
      <c r="V33" s="958">
        <v>71121064</v>
      </c>
      <c r="W33" s="959">
        <f t="shared" si="4"/>
        <v>-1165468</v>
      </c>
      <c r="X33" s="960">
        <v>71890785</v>
      </c>
      <c r="Y33" s="961">
        <f t="shared" si="5"/>
        <v>935392.5</v>
      </c>
      <c r="Z33" s="958">
        <v>72319474</v>
      </c>
      <c r="AA33" s="959">
        <f t="shared" si="6"/>
        <v>-2042263</v>
      </c>
      <c r="AB33" s="960">
        <v>209190057</v>
      </c>
      <c r="AC33" s="961">
        <f t="shared" si="8"/>
        <v>155009.5</v>
      </c>
      <c r="AD33" s="958">
        <v>217404998</v>
      </c>
      <c r="AE33" s="959">
        <f t="shared" si="9"/>
        <v>-938833.66666666418</v>
      </c>
      <c r="AF33" s="962">
        <v>219620749</v>
      </c>
      <c r="AG33" s="961">
        <f t="shared" si="10"/>
        <v>-5050541.8333333358</v>
      </c>
      <c r="AH33" s="958">
        <v>243940403</v>
      </c>
      <c r="AI33" s="959">
        <f t="shared" si="11"/>
        <v>-969266.16666666418</v>
      </c>
      <c r="AJ33" s="960">
        <v>226921969</v>
      </c>
      <c r="AK33" s="961">
        <f t="shared" si="12"/>
        <v>-1341671.8333333358</v>
      </c>
      <c r="AL33" s="958">
        <v>247541726</v>
      </c>
      <c r="AM33" s="959">
        <f t="shared" si="13"/>
        <v>382954.33333333582</v>
      </c>
      <c r="AN33" s="960">
        <v>287262378</v>
      </c>
      <c r="AO33" s="961">
        <f t="shared" si="14"/>
        <v>273482.57142857462</v>
      </c>
      <c r="AP33" s="960">
        <v>250747435</v>
      </c>
      <c r="AQ33" s="961">
        <f t="shared" si="15"/>
        <v>-575760.83333333582</v>
      </c>
      <c r="AR33" s="960">
        <v>173447512</v>
      </c>
      <c r="AS33" s="961">
        <f t="shared" si="15"/>
        <v>334878</v>
      </c>
      <c r="AT33" s="1008">
        <v>517103303</v>
      </c>
      <c r="AU33" s="1009">
        <f t="shared" si="16"/>
        <v>131670.88966142683</v>
      </c>
      <c r="AV33" s="1008">
        <v>458627566</v>
      </c>
      <c r="AW33" s="1009">
        <f t="shared" si="16"/>
        <v>115841.60785463071</v>
      </c>
      <c r="AX33" s="958">
        <v>277020393</v>
      </c>
      <c r="AY33" s="959">
        <f t="shared" si="17"/>
        <v>-547934.5</v>
      </c>
      <c r="AZ33" s="960">
        <v>267005494</v>
      </c>
      <c r="BA33" s="959">
        <f t="shared" si="17"/>
        <v>-122084.33333333582</v>
      </c>
      <c r="BB33" s="960">
        <v>264868757</v>
      </c>
      <c r="BC33" s="959">
        <f t="shared" si="17"/>
        <v>-1155207.1666666642</v>
      </c>
      <c r="BD33" s="960"/>
      <c r="BE33" s="961"/>
      <c r="BF33" s="963"/>
    </row>
    <row r="34" spans="2:58" s="972" customFormat="1">
      <c r="B34" s="1745"/>
      <c r="C34" s="957" t="s">
        <v>2872</v>
      </c>
      <c r="D34" s="960">
        <v>80156502</v>
      </c>
      <c r="E34" s="961"/>
      <c r="F34" s="958">
        <v>103877897</v>
      </c>
      <c r="G34" s="959"/>
      <c r="H34" s="960">
        <v>121015238</v>
      </c>
      <c r="I34" s="961"/>
      <c r="J34" s="958">
        <v>132927965</v>
      </c>
      <c r="K34" s="959">
        <f t="shared" si="7"/>
        <v>-6291407</v>
      </c>
      <c r="L34" s="960">
        <v>122142973</v>
      </c>
      <c r="M34" s="961">
        <f t="shared" si="7"/>
        <v>-6199405.3999999985</v>
      </c>
      <c r="N34" s="958">
        <v>170477300</v>
      </c>
      <c r="O34" s="959">
        <f t="shared" si="0"/>
        <v>-5950116.6666666679</v>
      </c>
      <c r="P34" s="960">
        <v>203041042</v>
      </c>
      <c r="Q34" s="961">
        <f t="shared" si="1"/>
        <v>-6343826.3333333358</v>
      </c>
      <c r="R34" s="958">
        <v>200865166</v>
      </c>
      <c r="S34" s="959">
        <f t="shared" si="2"/>
        <v>-5336472.3333333321</v>
      </c>
      <c r="T34" s="960">
        <v>197905663</v>
      </c>
      <c r="U34" s="961">
        <f t="shared" si="3"/>
        <v>-3804722.8333333321</v>
      </c>
      <c r="V34" s="958">
        <v>69134600</v>
      </c>
      <c r="W34" s="959">
        <f t="shared" si="4"/>
        <v>-2158700</v>
      </c>
      <c r="X34" s="960">
        <v>69943049</v>
      </c>
      <c r="Y34" s="961">
        <f t="shared" si="5"/>
        <v>-38475.5</v>
      </c>
      <c r="Z34" s="958">
        <v>70190983</v>
      </c>
      <c r="AA34" s="959">
        <f t="shared" si="6"/>
        <v>-3106508.5</v>
      </c>
      <c r="AB34" s="960">
        <v>203696664</v>
      </c>
      <c r="AC34" s="961">
        <f t="shared" si="8"/>
        <v>-760556</v>
      </c>
      <c r="AD34" s="958">
        <v>210506884</v>
      </c>
      <c r="AE34" s="959">
        <f t="shared" si="9"/>
        <v>-2088519.3333333358</v>
      </c>
      <c r="AF34" s="962">
        <v>211744776</v>
      </c>
      <c r="AG34" s="961">
        <f t="shared" si="10"/>
        <v>-6363204</v>
      </c>
      <c r="AH34" s="958">
        <v>233256290</v>
      </c>
      <c r="AI34" s="959">
        <f t="shared" si="11"/>
        <v>-2749951.6666666642</v>
      </c>
      <c r="AJ34" s="960">
        <v>218440264</v>
      </c>
      <c r="AK34" s="961">
        <f t="shared" si="12"/>
        <v>-2755289.3333333358</v>
      </c>
      <c r="AL34" s="958">
        <v>239346165</v>
      </c>
      <c r="AM34" s="959">
        <f t="shared" si="13"/>
        <v>-982972.5</v>
      </c>
      <c r="AN34" s="960">
        <v>276140900</v>
      </c>
      <c r="AO34" s="961">
        <f t="shared" si="14"/>
        <v>-1315300</v>
      </c>
      <c r="AP34" s="960">
        <v>242338905</v>
      </c>
      <c r="AQ34" s="961">
        <f t="shared" si="15"/>
        <v>-1977182.5</v>
      </c>
      <c r="AR34" s="960">
        <v>166991132</v>
      </c>
      <c r="AS34" s="961">
        <f t="shared" si="15"/>
        <v>-1279217</v>
      </c>
      <c r="AT34" s="1008">
        <v>473503836</v>
      </c>
      <c r="AU34" s="1009">
        <f t="shared" si="16"/>
        <v>118490.8814993954</v>
      </c>
      <c r="AV34" s="1008">
        <v>411271758</v>
      </c>
      <c r="AW34" s="1009">
        <f t="shared" si="16"/>
        <v>101962.4144196952</v>
      </c>
      <c r="AX34" s="958">
        <v>266177777</v>
      </c>
      <c r="AY34" s="959">
        <f t="shared" si="17"/>
        <v>-2355037.1666666642</v>
      </c>
      <c r="AZ34" s="960">
        <v>257360936</v>
      </c>
      <c r="BA34" s="959">
        <f t="shared" si="17"/>
        <v>-1729510.6666666642</v>
      </c>
      <c r="BB34" s="960">
        <v>251693736</v>
      </c>
      <c r="BC34" s="959">
        <f t="shared" si="17"/>
        <v>-3351044</v>
      </c>
      <c r="BD34" s="960"/>
      <c r="BE34" s="961"/>
      <c r="BF34" s="963"/>
    </row>
    <row r="35" spans="2:58" s="972" customFormat="1">
      <c r="B35" s="1745"/>
      <c r="C35" s="957" t="s">
        <v>2873</v>
      </c>
      <c r="D35" s="960">
        <v>75845631</v>
      </c>
      <c r="E35" s="961"/>
      <c r="F35" s="958">
        <v>99406162</v>
      </c>
      <c r="G35" s="959"/>
      <c r="H35" s="960">
        <v>116221739</v>
      </c>
      <c r="I35" s="961"/>
      <c r="J35" s="958">
        <v>128855159</v>
      </c>
      <c r="K35" s="959">
        <f t="shared" si="7"/>
        <v>-7105968.1999999993</v>
      </c>
      <c r="L35" s="960">
        <v>117479983</v>
      </c>
      <c r="M35" s="961">
        <f t="shared" si="7"/>
        <v>-7132003.3999999985</v>
      </c>
      <c r="N35" s="958">
        <v>165205535</v>
      </c>
      <c r="O35" s="959">
        <f t="shared" si="0"/>
        <v>-6828744.1666666679</v>
      </c>
      <c r="P35" s="960">
        <v>196829121</v>
      </c>
      <c r="Q35" s="961">
        <f t="shared" si="1"/>
        <v>-7379146.5</v>
      </c>
      <c r="R35" s="958">
        <v>193580130</v>
      </c>
      <c r="S35" s="959">
        <f t="shared" si="2"/>
        <v>-6550645</v>
      </c>
      <c r="T35" s="960">
        <v>191374968</v>
      </c>
      <c r="U35" s="961">
        <f t="shared" si="3"/>
        <v>-4893172</v>
      </c>
      <c r="V35" s="958">
        <v>67322161</v>
      </c>
      <c r="W35" s="959">
        <f t="shared" si="4"/>
        <v>-3064919.5</v>
      </c>
      <c r="X35" s="960">
        <v>68115203</v>
      </c>
      <c r="Y35" s="961">
        <f t="shared" si="5"/>
        <v>-952398.5</v>
      </c>
      <c r="Z35" s="958">
        <v>68270790</v>
      </c>
      <c r="AA35" s="959">
        <f t="shared" si="6"/>
        <v>-4066605</v>
      </c>
      <c r="AB35" s="960">
        <v>197804815</v>
      </c>
      <c r="AC35" s="961">
        <f t="shared" si="8"/>
        <v>-1742530.8333333321</v>
      </c>
      <c r="AD35" s="958">
        <v>203876661</v>
      </c>
      <c r="AE35" s="959">
        <f t="shared" si="9"/>
        <v>-3193556.5</v>
      </c>
      <c r="AF35" s="962">
        <v>204131723</v>
      </c>
      <c r="AG35" s="961">
        <f t="shared" si="10"/>
        <v>-7632046.1666666642</v>
      </c>
      <c r="AH35" s="958">
        <v>224333629</v>
      </c>
      <c r="AI35" s="959">
        <f t="shared" si="11"/>
        <v>-4237061.8333333358</v>
      </c>
      <c r="AJ35" s="960">
        <v>210063968</v>
      </c>
      <c r="AK35" s="961">
        <f t="shared" si="12"/>
        <v>-4151338.6666666642</v>
      </c>
      <c r="AL35" s="958">
        <v>230527270</v>
      </c>
      <c r="AM35" s="959">
        <f t="shared" si="13"/>
        <v>-2452788.3333333358</v>
      </c>
      <c r="AN35" s="960">
        <v>264873960</v>
      </c>
      <c r="AO35" s="961">
        <f t="shared" si="14"/>
        <v>-2924862.8571428582</v>
      </c>
      <c r="AP35" s="960">
        <v>233195839</v>
      </c>
      <c r="AQ35" s="961">
        <f t="shared" si="15"/>
        <v>-3501026.8333333358</v>
      </c>
      <c r="AR35" s="960">
        <v>161220358</v>
      </c>
      <c r="AS35" s="961">
        <f t="shared" si="15"/>
        <v>-2721910.5</v>
      </c>
      <c r="AT35" s="1008">
        <v>440737957</v>
      </c>
      <c r="AU35" s="1009">
        <f t="shared" si="16"/>
        <v>108585.83948004837</v>
      </c>
      <c r="AV35" s="1008">
        <v>375511448</v>
      </c>
      <c r="AW35" s="1009">
        <f t="shared" si="16"/>
        <v>91481.667057444312</v>
      </c>
      <c r="AX35" s="958">
        <v>254580355</v>
      </c>
      <c r="AY35" s="959">
        <f t="shared" si="17"/>
        <v>-4287940.8333333358</v>
      </c>
      <c r="AZ35" s="960">
        <v>246421400</v>
      </c>
      <c r="BA35" s="959">
        <f t="shared" si="17"/>
        <v>-3552766.6666666642</v>
      </c>
      <c r="BB35" s="960">
        <v>238330818</v>
      </c>
      <c r="BC35" s="959">
        <f t="shared" si="17"/>
        <v>-5578197</v>
      </c>
      <c r="BD35" s="960"/>
      <c r="BE35" s="961"/>
      <c r="BF35" s="963"/>
    </row>
    <row r="36" spans="2:58" s="972" customFormat="1">
      <c r="B36" s="1745"/>
      <c r="C36" s="957" t="s">
        <v>2874</v>
      </c>
      <c r="D36" s="960">
        <v>72329974</v>
      </c>
      <c r="E36" s="961"/>
      <c r="F36" s="958">
        <v>95818470</v>
      </c>
      <c r="G36" s="959"/>
      <c r="H36" s="960">
        <v>112201164</v>
      </c>
      <c r="I36" s="961"/>
      <c r="J36" s="958">
        <v>125042416</v>
      </c>
      <c r="K36" s="959">
        <f t="shared" si="7"/>
        <v>-7868516.8000000007</v>
      </c>
      <c r="L36" s="960">
        <v>113508219</v>
      </c>
      <c r="M36" s="961">
        <f t="shared" si="7"/>
        <v>-7926356.1999999993</v>
      </c>
      <c r="N36" s="958">
        <v>160334536</v>
      </c>
      <c r="O36" s="959">
        <f t="shared" si="0"/>
        <v>-7640577.3333333321</v>
      </c>
      <c r="P36" s="960">
        <v>191437282</v>
      </c>
      <c r="Q36" s="961">
        <f t="shared" si="1"/>
        <v>-8277786.3333333321</v>
      </c>
      <c r="R36" s="958">
        <v>187126715</v>
      </c>
      <c r="S36" s="959">
        <f t="shared" si="2"/>
        <v>-7626214.1666666679</v>
      </c>
      <c r="T36" s="960">
        <v>185379611</v>
      </c>
      <c r="U36" s="961">
        <f t="shared" si="3"/>
        <v>-5892398.1666666679</v>
      </c>
      <c r="V36" s="958">
        <v>65421680</v>
      </c>
      <c r="W36" s="959">
        <f t="shared" si="4"/>
        <v>-4015160</v>
      </c>
      <c r="X36" s="960">
        <v>66252230</v>
      </c>
      <c r="Y36" s="961">
        <f t="shared" si="5"/>
        <v>-1883885</v>
      </c>
      <c r="Z36" s="958">
        <v>66352714</v>
      </c>
      <c r="AA36" s="959">
        <f t="shared" si="6"/>
        <v>-5025643</v>
      </c>
      <c r="AB36" s="960">
        <v>191781445</v>
      </c>
      <c r="AC36" s="961">
        <f t="shared" si="8"/>
        <v>-2746425.8333333321</v>
      </c>
      <c r="AD36" s="958">
        <v>197367577</v>
      </c>
      <c r="AE36" s="959">
        <f t="shared" si="9"/>
        <v>-4278403.8333333321</v>
      </c>
      <c r="AF36" s="962">
        <v>197218901</v>
      </c>
      <c r="AG36" s="961">
        <f t="shared" si="10"/>
        <v>-8784183.1666666679</v>
      </c>
      <c r="AH36" s="958">
        <v>215676477</v>
      </c>
      <c r="AI36" s="959">
        <f t="shared" si="11"/>
        <v>-5679920.5</v>
      </c>
      <c r="AJ36" s="960">
        <v>202042702</v>
      </c>
      <c r="AK36" s="961">
        <f t="shared" si="12"/>
        <v>-5488216.3333333358</v>
      </c>
      <c r="AL36" s="958">
        <v>221959065</v>
      </c>
      <c r="AM36" s="959">
        <f t="shared" si="13"/>
        <v>-3880822.5</v>
      </c>
      <c r="AN36" s="960">
        <v>254125716</v>
      </c>
      <c r="AO36" s="961">
        <f t="shared" si="14"/>
        <v>-4460326.2857142836</v>
      </c>
      <c r="AP36" s="960">
        <v>223998847</v>
      </c>
      <c r="AQ36" s="961">
        <f t="shared" si="15"/>
        <v>-5033858.8333333358</v>
      </c>
      <c r="AR36" s="960">
        <v>155233538</v>
      </c>
      <c r="AS36" s="961">
        <f t="shared" si="15"/>
        <v>-4218615.5</v>
      </c>
      <c r="AT36" s="1008">
        <v>405653169</v>
      </c>
      <c r="AU36" s="1009">
        <f t="shared" si="16"/>
        <v>97979.797158403875</v>
      </c>
      <c r="AV36" s="1008">
        <v>345612180</v>
      </c>
      <c r="AW36" s="1009">
        <f t="shared" si="16"/>
        <v>82718.692848769046</v>
      </c>
      <c r="AX36" s="958">
        <v>242819412</v>
      </c>
      <c r="AY36" s="959">
        <f t="shared" si="17"/>
        <v>-6248098</v>
      </c>
      <c r="AZ36" s="960">
        <v>236202066</v>
      </c>
      <c r="BA36" s="959">
        <f t="shared" si="17"/>
        <v>-5255989</v>
      </c>
      <c r="BB36" s="960">
        <v>225277104</v>
      </c>
      <c r="BC36" s="959">
        <f t="shared" si="17"/>
        <v>-7753816</v>
      </c>
      <c r="BD36" s="960"/>
      <c r="BE36" s="961"/>
      <c r="BF36" s="963"/>
    </row>
    <row r="37" spans="2:58" s="972" customFormat="1">
      <c r="B37" s="1745"/>
      <c r="C37" s="957" t="s">
        <v>2875</v>
      </c>
      <c r="D37" s="960">
        <v>69404886</v>
      </c>
      <c r="E37" s="961"/>
      <c r="F37" s="958">
        <v>92685384</v>
      </c>
      <c r="G37" s="959"/>
      <c r="H37" s="960">
        <v>108410334</v>
      </c>
      <c r="I37" s="961"/>
      <c r="J37" s="958">
        <v>121528657</v>
      </c>
      <c r="K37" s="959">
        <f t="shared" si="7"/>
        <v>-8571268.6000000015</v>
      </c>
      <c r="L37" s="960">
        <v>109637502</v>
      </c>
      <c r="M37" s="961">
        <f t="shared" si="7"/>
        <v>-8700499.6000000015</v>
      </c>
      <c r="N37" s="958">
        <v>155935760</v>
      </c>
      <c r="O37" s="959">
        <f t="shared" si="0"/>
        <v>-8373706.6666666679</v>
      </c>
      <c r="P37" s="960">
        <v>186275710</v>
      </c>
      <c r="Q37" s="961">
        <f t="shared" si="1"/>
        <v>-9138048.3333333321</v>
      </c>
      <c r="R37" s="958">
        <v>181339423</v>
      </c>
      <c r="S37" s="959">
        <f t="shared" si="2"/>
        <v>-8590762.8333333321</v>
      </c>
      <c r="T37" s="960">
        <v>180148085</v>
      </c>
      <c r="U37" s="961">
        <f t="shared" si="3"/>
        <v>-6764319.1666666679</v>
      </c>
      <c r="V37" s="958">
        <v>63728906</v>
      </c>
      <c r="W37" s="959">
        <f t="shared" si="4"/>
        <v>-4861547</v>
      </c>
      <c r="X37" s="960">
        <v>64595521</v>
      </c>
      <c r="Y37" s="961">
        <f t="shared" si="5"/>
        <v>-2712239.5</v>
      </c>
      <c r="Z37" s="958">
        <v>64622511</v>
      </c>
      <c r="AA37" s="959">
        <f t="shared" si="6"/>
        <v>-5890744.5</v>
      </c>
      <c r="AB37" s="960">
        <v>186219091</v>
      </c>
      <c r="AC37" s="961">
        <f t="shared" si="8"/>
        <v>-3673484.8333333321</v>
      </c>
      <c r="AD37" s="958">
        <v>191167551</v>
      </c>
      <c r="AE37" s="959">
        <f t="shared" si="9"/>
        <v>-5311741.5</v>
      </c>
      <c r="AF37" s="962">
        <v>190341408</v>
      </c>
      <c r="AG37" s="961">
        <f t="shared" si="10"/>
        <v>-9930432</v>
      </c>
      <c r="AH37" s="958">
        <v>207138808</v>
      </c>
      <c r="AI37" s="959">
        <f t="shared" si="11"/>
        <v>-7102865.3333333358</v>
      </c>
      <c r="AJ37" s="960">
        <v>194881742</v>
      </c>
      <c r="AK37" s="961">
        <f t="shared" si="12"/>
        <v>-6681709.6666666679</v>
      </c>
      <c r="AL37" s="958">
        <v>213342055</v>
      </c>
      <c r="AM37" s="959">
        <f t="shared" si="13"/>
        <v>-5316990.8333333358</v>
      </c>
      <c r="AN37" s="960">
        <v>245189827</v>
      </c>
      <c r="AO37" s="961">
        <f t="shared" si="14"/>
        <v>-5736881.8571428582</v>
      </c>
      <c r="AP37" s="960">
        <v>215551741</v>
      </c>
      <c r="AQ37" s="961">
        <f t="shared" si="15"/>
        <v>-6441709.8333333358</v>
      </c>
      <c r="AR37" s="960">
        <v>149245892</v>
      </c>
      <c r="AS37" s="961">
        <f t="shared" si="15"/>
        <v>-5715527</v>
      </c>
      <c r="AT37" s="1008">
        <v>376582078</v>
      </c>
      <c r="AU37" s="1009">
        <f t="shared" si="16"/>
        <v>89191.680169286585</v>
      </c>
      <c r="AV37" s="1008">
        <v>322162268</v>
      </c>
      <c r="AW37" s="1009">
        <f t="shared" si="16"/>
        <v>75845.916764361085</v>
      </c>
      <c r="AX37" s="958">
        <v>232816739</v>
      </c>
      <c r="AY37" s="959">
        <f t="shared" si="17"/>
        <v>-7915210.1666666642</v>
      </c>
      <c r="AZ37" s="960">
        <v>225588882</v>
      </c>
      <c r="BA37" s="959">
        <f t="shared" si="17"/>
        <v>-7024853</v>
      </c>
      <c r="BB37" s="960">
        <v>212706041</v>
      </c>
      <c r="BC37" s="959">
        <f t="shared" si="17"/>
        <v>-9848993.1666666642</v>
      </c>
      <c r="BD37" s="960"/>
      <c r="BE37" s="961"/>
      <c r="BF37" s="963"/>
    </row>
    <row r="38" spans="2:58" s="972" customFormat="1">
      <c r="B38" s="1745"/>
      <c r="C38" s="957" t="s">
        <v>2876</v>
      </c>
      <c r="D38" s="960">
        <v>66764268</v>
      </c>
      <c r="E38" s="961"/>
      <c r="F38" s="958">
        <v>89960450</v>
      </c>
      <c r="G38" s="959"/>
      <c r="H38" s="960">
        <v>105087447</v>
      </c>
      <c r="I38" s="961"/>
      <c r="J38" s="958">
        <v>118245417</v>
      </c>
      <c r="K38" s="959">
        <f t="shared" si="7"/>
        <v>-9227916.6000000015</v>
      </c>
      <c r="L38" s="960">
        <v>106329418</v>
      </c>
      <c r="M38" s="961">
        <f t="shared" si="7"/>
        <v>-9362116.3999999985</v>
      </c>
      <c r="N38" s="958">
        <v>151863041</v>
      </c>
      <c r="O38" s="959">
        <f t="shared" si="0"/>
        <v>-9052493.1666666679</v>
      </c>
      <c r="P38" s="960">
        <v>181502893</v>
      </c>
      <c r="Q38" s="961">
        <f t="shared" si="1"/>
        <v>-9933517.8333333321</v>
      </c>
      <c r="R38" s="958">
        <v>175900038</v>
      </c>
      <c r="S38" s="959">
        <f t="shared" si="2"/>
        <v>-9497327</v>
      </c>
      <c r="T38" s="960">
        <v>175199148</v>
      </c>
      <c r="U38" s="961">
        <f t="shared" si="3"/>
        <v>-7589142</v>
      </c>
      <c r="V38" s="958">
        <v>62227896</v>
      </c>
      <c r="W38" s="959">
        <f t="shared" si="4"/>
        <v>-5612052</v>
      </c>
      <c r="X38" s="960">
        <v>62950594</v>
      </c>
      <c r="Y38" s="961">
        <f t="shared" si="5"/>
        <v>-3534703</v>
      </c>
      <c r="Z38" s="958">
        <v>63087815</v>
      </c>
      <c r="AA38" s="959">
        <f t="shared" si="6"/>
        <v>-6658092.5</v>
      </c>
      <c r="AB38" s="960">
        <v>181339542</v>
      </c>
      <c r="AC38" s="961">
        <f t="shared" si="8"/>
        <v>-4486743</v>
      </c>
      <c r="AD38" s="958">
        <v>185144357</v>
      </c>
      <c r="AE38" s="959">
        <f t="shared" si="9"/>
        <v>-6315607.1666666679</v>
      </c>
      <c r="AF38" s="962">
        <v>184248106</v>
      </c>
      <c r="AG38" s="961">
        <f t="shared" si="10"/>
        <v>-10945982.333333332</v>
      </c>
      <c r="AH38" s="958">
        <v>199181526</v>
      </c>
      <c r="AI38" s="959">
        <f t="shared" si="11"/>
        <v>-8429079</v>
      </c>
      <c r="AJ38" s="960">
        <v>187923767</v>
      </c>
      <c r="AK38" s="961">
        <f t="shared" si="12"/>
        <v>-7841372.1666666679</v>
      </c>
      <c r="AL38" s="958">
        <v>205444266</v>
      </c>
      <c r="AM38" s="959">
        <f t="shared" si="13"/>
        <v>-6633289</v>
      </c>
      <c r="AN38" s="960">
        <v>235953640</v>
      </c>
      <c r="AO38" s="961">
        <f t="shared" si="14"/>
        <v>-7056337.1428571418</v>
      </c>
      <c r="AP38" s="960">
        <v>206940395</v>
      </c>
      <c r="AQ38" s="961">
        <f t="shared" si="15"/>
        <v>-7876934.1666666642</v>
      </c>
      <c r="AR38" s="960">
        <v>143548836</v>
      </c>
      <c r="AS38" s="961">
        <f t="shared" si="15"/>
        <v>-7139791</v>
      </c>
      <c r="AT38" s="1008">
        <v>350249980</v>
      </c>
      <c r="AU38" s="1009">
        <f t="shared" si="16"/>
        <v>81231.553808948011</v>
      </c>
      <c r="AV38" s="1008">
        <v>298830897</v>
      </c>
      <c r="AW38" s="1009">
        <f t="shared" si="16"/>
        <v>69007.883059788976</v>
      </c>
      <c r="AX38" s="958">
        <v>221870366</v>
      </c>
      <c r="AY38" s="959">
        <f t="shared" si="17"/>
        <v>-9739605.6666666642</v>
      </c>
      <c r="AZ38" s="960">
        <v>215663214</v>
      </c>
      <c r="BA38" s="959">
        <f t="shared" si="17"/>
        <v>-8679131</v>
      </c>
      <c r="BB38" s="960">
        <v>201406569</v>
      </c>
      <c r="BC38" s="959">
        <f t="shared" si="17"/>
        <v>-11732238.5</v>
      </c>
      <c r="BD38" s="960"/>
      <c r="BE38" s="961"/>
      <c r="BF38" s="963"/>
    </row>
    <row r="39" spans="2:58" s="972" customFormat="1">
      <c r="B39" s="1745"/>
      <c r="C39" s="957" t="s">
        <v>2877</v>
      </c>
      <c r="D39" s="960">
        <v>64498070</v>
      </c>
      <c r="E39" s="961"/>
      <c r="F39" s="958">
        <v>87425658</v>
      </c>
      <c r="G39" s="959"/>
      <c r="H39" s="960">
        <v>101905116</v>
      </c>
      <c r="I39" s="961"/>
      <c r="J39" s="958">
        <v>115060614</v>
      </c>
      <c r="K39" s="959">
        <f t="shared" si="7"/>
        <v>-9864877.1999999993</v>
      </c>
      <c r="L39" s="960">
        <v>102967232</v>
      </c>
      <c r="M39" s="961">
        <f t="shared" si="7"/>
        <v>-10034553.600000001</v>
      </c>
      <c r="N39" s="958">
        <v>147790804</v>
      </c>
      <c r="O39" s="959">
        <f t="shared" si="0"/>
        <v>-9731199.3333333321</v>
      </c>
      <c r="P39" s="960">
        <v>176887161</v>
      </c>
      <c r="Q39" s="961">
        <f t="shared" si="1"/>
        <v>-10702806.5</v>
      </c>
      <c r="R39" s="958">
        <v>170215008</v>
      </c>
      <c r="S39" s="959">
        <f t="shared" si="2"/>
        <v>-10444832</v>
      </c>
      <c r="T39" s="960">
        <v>170573858</v>
      </c>
      <c r="U39" s="961">
        <f t="shared" si="3"/>
        <v>-8360023.6666666679</v>
      </c>
      <c r="V39" s="958">
        <v>60685844</v>
      </c>
      <c r="W39" s="959">
        <f t="shared" si="4"/>
        <v>-6383078</v>
      </c>
      <c r="X39" s="960">
        <v>61419176</v>
      </c>
      <c r="Y39" s="961">
        <f t="shared" si="5"/>
        <v>-4300412</v>
      </c>
      <c r="Z39" s="958">
        <v>61622408</v>
      </c>
      <c r="AA39" s="959">
        <f t="shared" si="6"/>
        <v>-7390796</v>
      </c>
      <c r="AB39" s="960">
        <v>176464548</v>
      </c>
      <c r="AC39" s="961">
        <f t="shared" si="8"/>
        <v>-5299242</v>
      </c>
      <c r="AD39" s="958">
        <v>179409340</v>
      </c>
      <c r="AE39" s="959">
        <f t="shared" si="9"/>
        <v>-7271443.3333333321</v>
      </c>
      <c r="AF39" s="962">
        <v>178367526</v>
      </c>
      <c r="AG39" s="961">
        <f t="shared" si="10"/>
        <v>-11926079</v>
      </c>
      <c r="AH39" s="958">
        <v>191799487</v>
      </c>
      <c r="AI39" s="959">
        <f t="shared" si="11"/>
        <v>-9659418.8333333321</v>
      </c>
      <c r="AJ39" s="960">
        <v>180707560</v>
      </c>
      <c r="AK39" s="961">
        <f t="shared" si="12"/>
        <v>-9044073.3333333321</v>
      </c>
      <c r="AL39" s="958">
        <v>197447275</v>
      </c>
      <c r="AM39" s="959">
        <f t="shared" si="13"/>
        <v>-7966120.8333333321</v>
      </c>
      <c r="AN39" s="960">
        <v>226249327</v>
      </c>
      <c r="AO39" s="961">
        <f t="shared" si="14"/>
        <v>-8442667.5714285709</v>
      </c>
      <c r="AP39" s="960">
        <v>198515993</v>
      </c>
      <c r="AQ39" s="961">
        <f t="shared" si="15"/>
        <v>-9281001.1666666679</v>
      </c>
      <c r="AR39" s="960">
        <v>137803059</v>
      </c>
      <c r="AS39" s="961">
        <f t="shared" si="15"/>
        <v>-8576235.25</v>
      </c>
      <c r="AT39" s="1008">
        <v>327528340</v>
      </c>
      <c r="AU39" s="1009">
        <f t="shared" si="16"/>
        <v>74362.859733978228</v>
      </c>
      <c r="AV39" s="1008">
        <v>278407663</v>
      </c>
      <c r="AW39" s="1009">
        <f t="shared" si="16"/>
        <v>63022.17555685815</v>
      </c>
      <c r="AX39" s="958">
        <v>211191998</v>
      </c>
      <c r="AY39" s="959">
        <f t="shared" si="17"/>
        <v>-11519333.666666664</v>
      </c>
      <c r="AZ39" s="960">
        <v>205472980</v>
      </c>
      <c r="BA39" s="959">
        <f t="shared" si="17"/>
        <v>-10377503.333333336</v>
      </c>
      <c r="BB39" s="960">
        <v>188983231</v>
      </c>
      <c r="BC39" s="959">
        <f t="shared" si="17"/>
        <v>-13802794.833333332</v>
      </c>
      <c r="BD39" s="960"/>
      <c r="BE39" s="961"/>
      <c r="BF39" s="963"/>
    </row>
    <row r="40" spans="2:58" s="972" customFormat="1" ht="17.25" thickBot="1">
      <c r="B40" s="1746"/>
      <c r="C40" s="964" t="s">
        <v>2878</v>
      </c>
      <c r="D40" s="967">
        <v>62488562</v>
      </c>
      <c r="E40" s="968"/>
      <c r="F40" s="965">
        <v>84893458</v>
      </c>
      <c r="G40" s="966"/>
      <c r="H40" s="967">
        <v>98982436</v>
      </c>
      <c r="I40" s="968"/>
      <c r="J40" s="965">
        <v>112005700</v>
      </c>
      <c r="K40" s="966">
        <f t="shared" si="7"/>
        <v>-10475860</v>
      </c>
      <c r="L40" s="967">
        <v>99806150</v>
      </c>
      <c r="M40" s="968">
        <f t="shared" si="7"/>
        <v>-10666770</v>
      </c>
      <c r="N40" s="965">
        <v>143751415</v>
      </c>
      <c r="O40" s="966">
        <f t="shared" si="0"/>
        <v>-10404430.833333332</v>
      </c>
      <c r="P40" s="967">
        <v>172595940</v>
      </c>
      <c r="Q40" s="968">
        <f t="shared" si="1"/>
        <v>-11418010</v>
      </c>
      <c r="R40" s="965">
        <v>164746397</v>
      </c>
      <c r="S40" s="966">
        <f t="shared" si="2"/>
        <v>-11356267.166666668</v>
      </c>
      <c r="T40" s="967">
        <v>165699425</v>
      </c>
      <c r="U40" s="968">
        <f t="shared" si="3"/>
        <v>-9172429.1666666679</v>
      </c>
      <c r="V40" s="965">
        <v>59189430</v>
      </c>
      <c r="W40" s="966">
        <f t="shared" si="4"/>
        <v>-7131285</v>
      </c>
      <c r="X40" s="967">
        <v>59854448</v>
      </c>
      <c r="Y40" s="968">
        <f t="shared" si="5"/>
        <v>-5082776</v>
      </c>
      <c r="Z40" s="965">
        <v>60094340</v>
      </c>
      <c r="AA40" s="966">
        <f t="shared" si="6"/>
        <v>-8154830</v>
      </c>
      <c r="AB40" s="967">
        <v>171351367</v>
      </c>
      <c r="AC40" s="968">
        <f t="shared" si="8"/>
        <v>-6151438.8333333321</v>
      </c>
      <c r="AD40" s="965">
        <v>173637159</v>
      </c>
      <c r="AE40" s="966">
        <f t="shared" si="9"/>
        <v>-8233473.5</v>
      </c>
      <c r="AF40" s="969">
        <v>172121401</v>
      </c>
      <c r="AG40" s="968">
        <f t="shared" si="10"/>
        <v>-12967099.833333332</v>
      </c>
      <c r="AH40" s="965">
        <v>184042393</v>
      </c>
      <c r="AI40" s="966">
        <f t="shared" si="11"/>
        <v>-10952267.833333332</v>
      </c>
      <c r="AJ40" s="967">
        <v>173705268</v>
      </c>
      <c r="AK40" s="968">
        <f t="shared" si="12"/>
        <v>-10211122</v>
      </c>
      <c r="AL40" s="965">
        <v>189203333</v>
      </c>
      <c r="AM40" s="966">
        <f t="shared" si="13"/>
        <v>-9340111.1666666679</v>
      </c>
      <c r="AN40" s="967">
        <v>216671746</v>
      </c>
      <c r="AO40" s="968">
        <f t="shared" si="14"/>
        <v>-9810893.4285714291</v>
      </c>
      <c r="AP40" s="967">
        <v>189813062</v>
      </c>
      <c r="AQ40" s="968">
        <f t="shared" si="15"/>
        <v>-10731489.666666668</v>
      </c>
      <c r="AR40" s="967">
        <v>132087017</v>
      </c>
      <c r="AS40" s="968">
        <f t="shared" si="15"/>
        <v>-10005245.75</v>
      </c>
      <c r="AT40" s="1010">
        <v>306018838</v>
      </c>
      <c r="AU40" s="1011">
        <f t="shared" si="16"/>
        <v>67860.591898428058</v>
      </c>
      <c r="AV40" s="1010">
        <v>259554285</v>
      </c>
      <c r="AW40" s="1011">
        <f t="shared" si="16"/>
        <v>57496.566529894488</v>
      </c>
      <c r="AX40" s="965">
        <v>200111055</v>
      </c>
      <c r="AY40" s="966">
        <f t="shared" si="17"/>
        <v>-13366157.5</v>
      </c>
      <c r="AZ40" s="967">
        <v>194766603</v>
      </c>
      <c r="BA40" s="966">
        <f t="shared" si="17"/>
        <v>-12161899.5</v>
      </c>
      <c r="BB40" s="967">
        <v>176154767</v>
      </c>
      <c r="BC40" s="966">
        <f t="shared" si="17"/>
        <v>-15940872.166666668</v>
      </c>
      <c r="BD40" s="967"/>
      <c r="BE40" s="968"/>
      <c r="BF40" s="970"/>
    </row>
    <row r="41" spans="2:58" ht="17.25" thickTop="1"/>
    <row r="42" spans="2:58">
      <c r="AA42" s="972"/>
    </row>
  </sheetData>
  <mergeCells count="265">
    <mergeCell ref="BD7:BE7"/>
    <mergeCell ref="BD16:BE16"/>
    <mergeCell ref="BD15:BE15"/>
    <mergeCell ref="BD14:BE14"/>
    <mergeCell ref="BD13:BE13"/>
    <mergeCell ref="BD12:BE12"/>
    <mergeCell ref="BD11:BE11"/>
    <mergeCell ref="BD10:BE10"/>
    <mergeCell ref="BD9:BE9"/>
    <mergeCell ref="BD8:BE8"/>
    <mergeCell ref="AX16:AY16"/>
    <mergeCell ref="AZ16:BA16"/>
    <mergeCell ref="BB16:BC16"/>
    <mergeCell ref="AX13:AY13"/>
    <mergeCell ref="AZ13:BA13"/>
    <mergeCell ref="BB13:BC13"/>
    <mergeCell ref="AX14:AY14"/>
    <mergeCell ref="AZ14:BA14"/>
    <mergeCell ref="BB14:BC14"/>
    <mergeCell ref="AX15:AY15"/>
    <mergeCell ref="AZ15:BA15"/>
    <mergeCell ref="BB15:BC15"/>
    <mergeCell ref="AX10:AY10"/>
    <mergeCell ref="AZ10:BA10"/>
    <mergeCell ref="BB10:BC10"/>
    <mergeCell ref="AX11:AY11"/>
    <mergeCell ref="AZ11:BA11"/>
    <mergeCell ref="BB11:BC11"/>
    <mergeCell ref="AX12:AY12"/>
    <mergeCell ref="AZ12:BA12"/>
    <mergeCell ref="BB12:BC12"/>
    <mergeCell ref="AX7:AY7"/>
    <mergeCell ref="AZ7:BA7"/>
    <mergeCell ref="BB7:BC7"/>
    <mergeCell ref="AX8:AY8"/>
    <mergeCell ref="AZ8:BA8"/>
    <mergeCell ref="BB8:BC8"/>
    <mergeCell ref="AX9:AY9"/>
    <mergeCell ref="AZ9:BA9"/>
    <mergeCell ref="BB9:BC9"/>
    <mergeCell ref="AR14:AS14"/>
    <mergeCell ref="AR15:AS15"/>
    <mergeCell ref="AR16:AS16"/>
    <mergeCell ref="AR11:AS11"/>
    <mergeCell ref="AT11:AU11"/>
    <mergeCell ref="AV11:AW11"/>
    <mergeCell ref="AR12:AS12"/>
    <mergeCell ref="AT12:AU12"/>
    <mergeCell ref="AV12:AW12"/>
    <mergeCell ref="AR13:AS13"/>
    <mergeCell ref="AR7:AW7"/>
    <mergeCell ref="AR8:AS8"/>
    <mergeCell ref="AT8:AU8"/>
    <mergeCell ref="AV8:AW8"/>
    <mergeCell ref="AR9:AS9"/>
    <mergeCell ref="AT9:AU9"/>
    <mergeCell ref="AV9:AW9"/>
    <mergeCell ref="AR10:AS10"/>
    <mergeCell ref="AT10:AU10"/>
    <mergeCell ref="AV10:AW10"/>
    <mergeCell ref="AP7:AQ7"/>
    <mergeCell ref="AP16:AQ16"/>
    <mergeCell ref="AP15:AQ15"/>
    <mergeCell ref="AP14:AQ14"/>
    <mergeCell ref="AP13:AQ13"/>
    <mergeCell ref="AP12:AQ12"/>
    <mergeCell ref="AP11:AQ11"/>
    <mergeCell ref="AP10:AQ10"/>
    <mergeCell ref="AP9:AQ9"/>
    <mergeCell ref="AP8:AQ8"/>
    <mergeCell ref="AN11:AO11"/>
    <mergeCell ref="AL11:AM11"/>
    <mergeCell ref="AN10:AO10"/>
    <mergeCell ref="AL10:AM10"/>
    <mergeCell ref="AN9:AO9"/>
    <mergeCell ref="AL9:AM9"/>
    <mergeCell ref="AN8:AO8"/>
    <mergeCell ref="AL8:AM8"/>
    <mergeCell ref="AN7:AO7"/>
    <mergeCell ref="AL7:AM7"/>
    <mergeCell ref="AN16:AO16"/>
    <mergeCell ref="AL16:AM16"/>
    <mergeCell ref="AN15:AO15"/>
    <mergeCell ref="AL15:AM15"/>
    <mergeCell ref="AN14:AO14"/>
    <mergeCell ref="AL14:AM14"/>
    <mergeCell ref="AN13:AO13"/>
    <mergeCell ref="AL13:AM13"/>
    <mergeCell ref="AN12:AO12"/>
    <mergeCell ref="AL12:AM12"/>
    <mergeCell ref="B17:B40"/>
    <mergeCell ref="Z16:AA16"/>
    <mergeCell ref="AB16:AC16"/>
    <mergeCell ref="AD16:AE16"/>
    <mergeCell ref="AF16:AG16"/>
    <mergeCell ref="AH16:AI16"/>
    <mergeCell ref="AJ16:AK16"/>
    <mergeCell ref="N16:O16"/>
    <mergeCell ref="P16:Q16"/>
    <mergeCell ref="R16:S16"/>
    <mergeCell ref="T16:U16"/>
    <mergeCell ref="V16:W16"/>
    <mergeCell ref="X16:Y16"/>
    <mergeCell ref="B16:C16"/>
    <mergeCell ref="D16:E16"/>
    <mergeCell ref="F16:G16"/>
    <mergeCell ref="H16:I16"/>
    <mergeCell ref="J16:K16"/>
    <mergeCell ref="L16:M16"/>
    <mergeCell ref="X14:Y14"/>
    <mergeCell ref="Z14:AA14"/>
    <mergeCell ref="Z15:AA15"/>
    <mergeCell ref="AB15:AC15"/>
    <mergeCell ref="AD15:AE15"/>
    <mergeCell ref="AF15:AG15"/>
    <mergeCell ref="AH15:AI15"/>
    <mergeCell ref="AJ15:AK15"/>
    <mergeCell ref="N15:O15"/>
    <mergeCell ref="P15:Q15"/>
    <mergeCell ref="R15:S15"/>
    <mergeCell ref="T15:U15"/>
    <mergeCell ref="V15:W15"/>
    <mergeCell ref="X15:Y15"/>
    <mergeCell ref="AD13:AE13"/>
    <mergeCell ref="AF13:AG13"/>
    <mergeCell ref="AH13:AI13"/>
    <mergeCell ref="AJ13:AK13"/>
    <mergeCell ref="D14:E14"/>
    <mergeCell ref="F14:G14"/>
    <mergeCell ref="H14:I14"/>
    <mergeCell ref="J14:K14"/>
    <mergeCell ref="L14:M14"/>
    <mergeCell ref="N14:O14"/>
    <mergeCell ref="R13:S13"/>
    <mergeCell ref="T13:U13"/>
    <mergeCell ref="V13:W13"/>
    <mergeCell ref="X13:Y13"/>
    <mergeCell ref="Z13:AA13"/>
    <mergeCell ref="AB13:AC13"/>
    <mergeCell ref="AB14:AC14"/>
    <mergeCell ref="AD14:AE14"/>
    <mergeCell ref="AF14:AG14"/>
    <mergeCell ref="AH14:AI14"/>
    <mergeCell ref="AJ14:AK14"/>
    <mergeCell ref="P14:Q14"/>
    <mergeCell ref="R14:S14"/>
    <mergeCell ref="T14:U14"/>
    <mergeCell ref="B13:C15"/>
    <mergeCell ref="D13:E13"/>
    <mergeCell ref="F13:G13"/>
    <mergeCell ref="H13:I13"/>
    <mergeCell ref="J13:K13"/>
    <mergeCell ref="L13:M13"/>
    <mergeCell ref="N13:O13"/>
    <mergeCell ref="P13:Q13"/>
    <mergeCell ref="V12:W12"/>
    <mergeCell ref="B10:C12"/>
    <mergeCell ref="D10:E10"/>
    <mergeCell ref="F10:G10"/>
    <mergeCell ref="H10:I10"/>
    <mergeCell ref="J10:K10"/>
    <mergeCell ref="L10:M10"/>
    <mergeCell ref="H11:I11"/>
    <mergeCell ref="J11:K11"/>
    <mergeCell ref="D15:E15"/>
    <mergeCell ref="F15:G15"/>
    <mergeCell ref="H15:I15"/>
    <mergeCell ref="J15:K15"/>
    <mergeCell ref="L15:M15"/>
    <mergeCell ref="V14:W14"/>
    <mergeCell ref="N11:O11"/>
    <mergeCell ref="P11:Q11"/>
    <mergeCell ref="R11:S11"/>
    <mergeCell ref="T11:U11"/>
    <mergeCell ref="V11:W11"/>
    <mergeCell ref="D11:E11"/>
    <mergeCell ref="F11:G11"/>
    <mergeCell ref="AH12:AI12"/>
    <mergeCell ref="AJ12:AK12"/>
    <mergeCell ref="X12:Y12"/>
    <mergeCell ref="Z12:AA12"/>
    <mergeCell ref="AB12:AC12"/>
    <mergeCell ref="AD12:AE12"/>
    <mergeCell ref="AF12:AG12"/>
    <mergeCell ref="AJ10:AK10"/>
    <mergeCell ref="N10:O10"/>
    <mergeCell ref="P10:Q10"/>
    <mergeCell ref="R10:S10"/>
    <mergeCell ref="T10:U10"/>
    <mergeCell ref="V10:W10"/>
    <mergeCell ref="X10:Y10"/>
    <mergeCell ref="AJ11:AK11"/>
    <mergeCell ref="D12:E12"/>
    <mergeCell ref="F12:G12"/>
    <mergeCell ref="H12:I12"/>
    <mergeCell ref="J12:K12"/>
    <mergeCell ref="L12:M12"/>
    <mergeCell ref="N12:O12"/>
    <mergeCell ref="P12:Q12"/>
    <mergeCell ref="R12:S12"/>
    <mergeCell ref="T12:U12"/>
    <mergeCell ref="X11:Y11"/>
    <mergeCell ref="Z11:AA11"/>
    <mergeCell ref="AB11:AC11"/>
    <mergeCell ref="AD11:AE11"/>
    <mergeCell ref="AF11:AG11"/>
    <mergeCell ref="AH11:AI11"/>
    <mergeCell ref="L11:M11"/>
    <mergeCell ref="R9:S9"/>
    <mergeCell ref="T9:U9"/>
    <mergeCell ref="V9:W9"/>
    <mergeCell ref="X9:Y9"/>
    <mergeCell ref="Z10:AA10"/>
    <mergeCell ref="AB10:AC10"/>
    <mergeCell ref="AD10:AE10"/>
    <mergeCell ref="AF10:AG10"/>
    <mergeCell ref="AH10:AI10"/>
    <mergeCell ref="AJ8:AK8"/>
    <mergeCell ref="N8:O8"/>
    <mergeCell ref="P8:Q8"/>
    <mergeCell ref="R8:S8"/>
    <mergeCell ref="T8:U8"/>
    <mergeCell ref="V8:W8"/>
    <mergeCell ref="X8:Y8"/>
    <mergeCell ref="B9:C9"/>
    <mergeCell ref="D9:E9"/>
    <mergeCell ref="F9:G9"/>
    <mergeCell ref="H9:I9"/>
    <mergeCell ref="J9:K9"/>
    <mergeCell ref="L9:M9"/>
    <mergeCell ref="Z8:AA8"/>
    <mergeCell ref="AB8:AC8"/>
    <mergeCell ref="AD8:AE8"/>
    <mergeCell ref="Z9:AA9"/>
    <mergeCell ref="AB9:AC9"/>
    <mergeCell ref="AD9:AE9"/>
    <mergeCell ref="AF9:AG9"/>
    <mergeCell ref="AH9:AI9"/>
    <mergeCell ref="AJ9:AK9"/>
    <mergeCell ref="N9:O9"/>
    <mergeCell ref="P9:Q9"/>
    <mergeCell ref="AD7:AE7"/>
    <mergeCell ref="AF7:AG7"/>
    <mergeCell ref="AH7:AI7"/>
    <mergeCell ref="AJ7:AK7"/>
    <mergeCell ref="B8:C8"/>
    <mergeCell ref="D8:E8"/>
    <mergeCell ref="F8:G8"/>
    <mergeCell ref="H8:I8"/>
    <mergeCell ref="J8:K8"/>
    <mergeCell ref="L8:M8"/>
    <mergeCell ref="N7:O7"/>
    <mergeCell ref="P7:Q7"/>
    <mergeCell ref="R7:S7"/>
    <mergeCell ref="T7:U7"/>
    <mergeCell ref="V7:AA7"/>
    <mergeCell ref="AB7:AC7"/>
    <mergeCell ref="B7:C7"/>
    <mergeCell ref="D7:E7"/>
    <mergeCell ref="F7:G7"/>
    <mergeCell ref="H7:I7"/>
    <mergeCell ref="J7:K7"/>
    <mergeCell ref="L7:M7"/>
    <mergeCell ref="AF8:AG8"/>
    <mergeCell ref="AH8:AI8"/>
  </mergeCells>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8F6C4-A03C-472A-8C02-5A915E04F7F3}">
  <dimension ref="B1:BD42"/>
  <sheetViews>
    <sheetView workbookViewId="0">
      <pane xSplit="3" topLeftCell="AL1" activePane="topRight" state="frozen"/>
      <selection pane="topRight" activeCell="AM22" sqref="AM22"/>
    </sheetView>
  </sheetViews>
  <sheetFormatPr defaultColWidth="11.125" defaultRowHeight="16.5"/>
  <cols>
    <col min="1" max="1" width="3.875" style="3" customWidth="1"/>
    <col min="2" max="3" width="8.125" style="3" customWidth="1"/>
    <col min="4" max="14" width="11.125" style="3" customWidth="1"/>
    <col min="15" max="15" width="11.125" style="940" customWidth="1"/>
    <col min="16" max="16" width="12.125" style="940" customWidth="1"/>
    <col min="17" max="17" width="13" style="940" customWidth="1"/>
    <col min="18" max="18" width="12.125" style="940" customWidth="1"/>
    <col min="19" max="19" width="13" style="940" customWidth="1"/>
    <col min="20" max="20" width="12.125" style="940" customWidth="1"/>
    <col min="21" max="21" width="13" style="940" customWidth="1"/>
    <col min="22" max="22" width="12.125" style="940" customWidth="1"/>
    <col min="23" max="23" width="13" style="940" customWidth="1"/>
    <col min="24" max="24" width="12.125" style="940" customWidth="1"/>
    <col min="25" max="25" width="13" style="940" customWidth="1"/>
    <col min="26" max="26" width="12.125" style="940" customWidth="1"/>
    <col min="27" max="27" width="13" style="940" customWidth="1"/>
    <col min="28" max="28" width="12.125" style="940" bestFit="1" customWidth="1"/>
    <col min="29" max="29" width="13" style="940" bestFit="1" customWidth="1"/>
    <col min="30" max="30" width="12.125" style="940" bestFit="1" customWidth="1"/>
    <col min="31" max="31" width="13" style="940" bestFit="1" customWidth="1"/>
    <col min="32" max="32" width="12.125" style="940" bestFit="1" customWidth="1"/>
    <col min="33" max="33" width="13" style="940" bestFit="1" customWidth="1"/>
    <col min="34" max="34" width="12.125" style="940" bestFit="1" customWidth="1"/>
    <col min="35" max="35" width="13" style="940" bestFit="1" customWidth="1"/>
    <col min="36" max="36" width="12.125" style="3" bestFit="1" customWidth="1"/>
    <col min="37" max="37" width="13" style="3" bestFit="1" customWidth="1"/>
    <col min="38" max="38" width="12.125" style="3" bestFit="1" customWidth="1"/>
    <col min="39" max="39" width="13" style="3" bestFit="1" customWidth="1"/>
    <col min="40" max="40" width="12.125" style="3" bestFit="1" customWidth="1"/>
    <col min="41" max="41" width="13" style="3" bestFit="1" customWidth="1"/>
    <col min="42" max="42" width="12.125" style="3" bestFit="1" customWidth="1"/>
    <col min="43" max="43" width="13" style="3" bestFit="1" customWidth="1"/>
    <col min="44" max="44" width="12.125" style="3" bestFit="1" customWidth="1"/>
    <col min="45" max="45" width="13" style="3" bestFit="1" customWidth="1"/>
    <col min="46" max="46" width="12.125" style="3" bestFit="1" customWidth="1"/>
    <col min="47" max="47" width="13" style="3" bestFit="1" customWidth="1"/>
    <col min="48" max="48" width="12.125" style="3" bestFit="1" customWidth="1"/>
    <col min="49" max="49" width="13" style="3" bestFit="1" customWidth="1"/>
    <col min="50" max="50" width="12.125" style="3" bestFit="1" customWidth="1"/>
    <col min="51" max="51" width="13" style="3" bestFit="1" customWidth="1"/>
    <col min="52" max="52" width="12.125" style="3" bestFit="1" customWidth="1"/>
    <col min="53" max="53" width="13" style="3" bestFit="1" customWidth="1"/>
    <col min="54" max="54" width="12.125" style="3" bestFit="1" customWidth="1"/>
    <col min="55" max="55" width="13" style="3" bestFit="1" customWidth="1"/>
    <col min="56" max="16384" width="11.125" style="3"/>
  </cols>
  <sheetData>
    <row r="1" spans="2:56" ht="17.25" thickBot="1"/>
    <row r="2" spans="2:56" s="12" customFormat="1" ht="17.25" thickTop="1">
      <c r="B2" s="1678" t="s">
        <v>2830</v>
      </c>
      <c r="C2" s="1690"/>
      <c r="D2" s="1676">
        <v>2020.01</v>
      </c>
      <c r="E2" s="1677"/>
      <c r="F2" s="1680">
        <v>2020.02</v>
      </c>
      <c r="G2" s="1679"/>
      <c r="H2" s="1676">
        <v>2020.03</v>
      </c>
      <c r="I2" s="1677"/>
      <c r="J2" s="1680">
        <v>2020.04</v>
      </c>
      <c r="K2" s="1679"/>
      <c r="L2" s="1676">
        <v>2020.05</v>
      </c>
      <c r="M2" s="1677"/>
      <c r="N2" s="1680">
        <v>2020.06</v>
      </c>
      <c r="O2" s="1677"/>
      <c r="P2" s="1678">
        <v>2020.07</v>
      </c>
      <c r="Q2" s="1679"/>
      <c r="R2" s="1680">
        <v>2020.08</v>
      </c>
      <c r="S2" s="1679"/>
      <c r="T2" s="1676">
        <v>2020.09</v>
      </c>
      <c r="U2" s="1677"/>
      <c r="V2" s="1680" t="s">
        <v>2831</v>
      </c>
      <c r="W2" s="1679"/>
      <c r="X2" s="1676">
        <v>2020.11</v>
      </c>
      <c r="Y2" s="1677"/>
      <c r="Z2" s="1680">
        <v>2020.12</v>
      </c>
      <c r="AA2" s="1679"/>
      <c r="AB2" s="1676" t="s">
        <v>2879</v>
      </c>
      <c r="AC2" s="1677"/>
      <c r="AD2" s="1680" t="s">
        <v>2832</v>
      </c>
      <c r="AE2" s="1679"/>
      <c r="AF2" s="1676" t="s">
        <v>2833</v>
      </c>
      <c r="AG2" s="1677"/>
      <c r="AH2" s="1678" t="s">
        <v>2834</v>
      </c>
      <c r="AI2" s="1679"/>
      <c r="AJ2" s="1676" t="s">
        <v>2835</v>
      </c>
      <c r="AK2" s="1677"/>
      <c r="AL2" s="1680" t="s">
        <v>2836</v>
      </c>
      <c r="AM2" s="1679"/>
      <c r="AN2" s="1676" t="s">
        <v>4422</v>
      </c>
      <c r="AO2" s="1677"/>
      <c r="AP2" s="1680" t="s">
        <v>4423</v>
      </c>
      <c r="AQ2" s="1679"/>
      <c r="AR2" s="1680" t="s">
        <v>4424</v>
      </c>
      <c r="AS2" s="1679"/>
      <c r="AT2" s="1680" t="s">
        <v>4708</v>
      </c>
      <c r="AU2" s="1679"/>
      <c r="AV2" s="1676" t="s">
        <v>4712</v>
      </c>
      <c r="AW2" s="1677"/>
      <c r="AX2" s="1680" t="s">
        <v>4716</v>
      </c>
      <c r="AY2" s="1679"/>
      <c r="AZ2" s="1680" t="s">
        <v>4841</v>
      </c>
      <c r="BA2" s="1679"/>
      <c r="BB2" s="1687"/>
      <c r="BC2" s="1689"/>
      <c r="BD2" s="941"/>
    </row>
    <row r="3" spans="2:56" s="1" customFormat="1">
      <c r="B3" s="1681" t="s">
        <v>2880</v>
      </c>
      <c r="C3" s="1682"/>
      <c r="D3" s="1685">
        <v>7</v>
      </c>
      <c r="E3" s="1686"/>
      <c r="F3" s="1683">
        <v>9</v>
      </c>
      <c r="G3" s="1684"/>
      <c r="H3" s="1685">
        <v>11</v>
      </c>
      <c r="I3" s="1686"/>
      <c r="J3" s="1683">
        <v>13</v>
      </c>
      <c r="K3" s="1684"/>
      <c r="L3" s="1685">
        <v>15</v>
      </c>
      <c r="M3" s="1686"/>
      <c r="N3" s="1683">
        <v>17</v>
      </c>
      <c r="O3" s="1686"/>
      <c r="P3" s="1681">
        <v>19</v>
      </c>
      <c r="Q3" s="1684"/>
      <c r="R3" s="1683">
        <v>21</v>
      </c>
      <c r="S3" s="1684"/>
      <c r="T3" s="1685">
        <v>23</v>
      </c>
      <c r="U3" s="1686"/>
      <c r="V3" s="1683">
        <v>25</v>
      </c>
      <c r="W3" s="1684"/>
      <c r="X3" s="1685">
        <v>27</v>
      </c>
      <c r="Y3" s="1686"/>
      <c r="Z3" s="1683">
        <v>29</v>
      </c>
      <c r="AA3" s="1684"/>
      <c r="AB3" s="1685">
        <v>31</v>
      </c>
      <c r="AC3" s="1686"/>
      <c r="AD3" s="1683">
        <v>33</v>
      </c>
      <c r="AE3" s="1684"/>
      <c r="AF3" s="1685">
        <v>35</v>
      </c>
      <c r="AG3" s="1686"/>
      <c r="AH3" s="1681">
        <v>37</v>
      </c>
      <c r="AI3" s="1684"/>
      <c r="AJ3" s="1685">
        <v>39</v>
      </c>
      <c r="AK3" s="1686"/>
      <c r="AL3" s="1683">
        <v>41</v>
      </c>
      <c r="AM3" s="1684"/>
      <c r="AN3" s="1685">
        <v>43</v>
      </c>
      <c r="AO3" s="1686"/>
      <c r="AP3" s="1683">
        <v>45</v>
      </c>
      <c r="AQ3" s="1684"/>
      <c r="AR3" s="1683">
        <v>47</v>
      </c>
      <c r="AS3" s="1684"/>
      <c r="AT3" s="1683">
        <v>49</v>
      </c>
      <c r="AU3" s="1684"/>
      <c r="AV3" s="1685">
        <v>51</v>
      </c>
      <c r="AW3" s="1686"/>
      <c r="AX3" s="1683">
        <v>53</v>
      </c>
      <c r="AY3" s="1684"/>
      <c r="AZ3" s="1683">
        <v>55</v>
      </c>
      <c r="BA3" s="1684"/>
      <c r="BB3" s="1758"/>
      <c r="BC3" s="1759"/>
      <c r="BD3" s="1296"/>
    </row>
    <row r="4" spans="2:56" s="1" customFormat="1" ht="17.25" thickBot="1">
      <c r="B4" s="1691" t="s">
        <v>2838</v>
      </c>
      <c r="C4" s="1692"/>
      <c r="D4" s="1695">
        <v>9</v>
      </c>
      <c r="E4" s="1696"/>
      <c r="F4" s="1693">
        <v>8</v>
      </c>
      <c r="G4" s="1694"/>
      <c r="H4" s="1695">
        <v>10</v>
      </c>
      <c r="I4" s="1696"/>
      <c r="J4" s="1693">
        <v>9</v>
      </c>
      <c r="K4" s="1694"/>
      <c r="L4" s="1695">
        <v>8</v>
      </c>
      <c r="M4" s="1696"/>
      <c r="N4" s="1693">
        <v>10</v>
      </c>
      <c r="O4" s="1696"/>
      <c r="P4" s="1691">
        <v>9</v>
      </c>
      <c r="Q4" s="1694"/>
      <c r="R4" s="1693">
        <v>8</v>
      </c>
      <c r="S4" s="1694"/>
      <c r="T4" s="1695">
        <v>8</v>
      </c>
      <c r="U4" s="1696"/>
      <c r="V4" s="1693">
        <v>8</v>
      </c>
      <c r="W4" s="1694"/>
      <c r="X4" s="1695">
        <v>7</v>
      </c>
      <c r="Y4" s="1696"/>
      <c r="Z4" s="1693">
        <v>7</v>
      </c>
      <c r="AA4" s="1694"/>
      <c r="AB4" s="1695">
        <v>7</v>
      </c>
      <c r="AC4" s="1696"/>
      <c r="AD4" s="1693">
        <v>7</v>
      </c>
      <c r="AE4" s="1694"/>
      <c r="AF4" s="1695">
        <v>7</v>
      </c>
      <c r="AG4" s="1696"/>
      <c r="AH4" s="1691">
        <v>7</v>
      </c>
      <c r="AI4" s="1694"/>
      <c r="AJ4" s="1695">
        <v>7</v>
      </c>
      <c r="AK4" s="1696"/>
      <c r="AL4" s="1693">
        <v>7</v>
      </c>
      <c r="AM4" s="1694"/>
      <c r="AN4" s="1695">
        <v>7</v>
      </c>
      <c r="AO4" s="1696"/>
      <c r="AP4" s="1693">
        <v>7</v>
      </c>
      <c r="AQ4" s="1694"/>
      <c r="AR4" s="1693">
        <v>6</v>
      </c>
      <c r="AS4" s="1694"/>
      <c r="AT4" s="1693">
        <v>6</v>
      </c>
      <c r="AU4" s="1694"/>
      <c r="AV4" s="1695">
        <v>7</v>
      </c>
      <c r="AW4" s="1696"/>
      <c r="AX4" s="1693">
        <v>7</v>
      </c>
      <c r="AY4" s="1694"/>
      <c r="AZ4" s="1693">
        <v>7</v>
      </c>
      <c r="BA4" s="1694"/>
      <c r="BB4" s="1693"/>
      <c r="BC4" s="1694"/>
      <c r="BD4" s="943"/>
    </row>
    <row r="5" spans="2:56" s="1" customFormat="1">
      <c r="B5" s="1726" t="s">
        <v>2839</v>
      </c>
      <c r="C5" s="1727"/>
      <c r="D5" s="1697" t="s">
        <v>2840</v>
      </c>
      <c r="E5" s="1698"/>
      <c r="F5" s="1699" t="s">
        <v>994</v>
      </c>
      <c r="G5" s="1700"/>
      <c r="H5" s="1697" t="s">
        <v>964</v>
      </c>
      <c r="I5" s="1698"/>
      <c r="J5" s="1699" t="s">
        <v>986</v>
      </c>
      <c r="K5" s="1700"/>
      <c r="L5" s="1697" t="s">
        <v>996</v>
      </c>
      <c r="M5" s="1698"/>
      <c r="N5" s="1699" t="s">
        <v>983</v>
      </c>
      <c r="O5" s="1698"/>
      <c r="P5" s="1701" t="s">
        <v>990</v>
      </c>
      <c r="Q5" s="1700"/>
      <c r="R5" s="1699" t="s">
        <v>987</v>
      </c>
      <c r="S5" s="1700"/>
      <c r="T5" s="1697" t="s">
        <v>989</v>
      </c>
      <c r="U5" s="1698"/>
      <c r="V5" s="1699" t="s">
        <v>2881</v>
      </c>
      <c r="W5" s="1700"/>
      <c r="X5" s="1697" t="s">
        <v>991</v>
      </c>
      <c r="Y5" s="1698"/>
      <c r="Z5" s="1699" t="s">
        <v>964</v>
      </c>
      <c r="AA5" s="1700"/>
      <c r="AB5" s="1697" t="s">
        <v>2840</v>
      </c>
      <c r="AC5" s="1698"/>
      <c r="AD5" s="1699" t="s">
        <v>2882</v>
      </c>
      <c r="AE5" s="1700"/>
      <c r="AF5" s="1697" t="s">
        <v>1729</v>
      </c>
      <c r="AG5" s="1698"/>
      <c r="AH5" s="1701" t="s">
        <v>2883</v>
      </c>
      <c r="AI5" s="1700"/>
      <c r="AJ5" s="1697" t="s">
        <v>2281</v>
      </c>
      <c r="AK5" s="1698"/>
      <c r="AL5" s="1699" t="s">
        <v>2913</v>
      </c>
      <c r="AM5" s="1700"/>
      <c r="AN5" s="1697" t="s">
        <v>4443</v>
      </c>
      <c r="AO5" s="1698"/>
      <c r="AP5" s="1699" t="s">
        <v>4445</v>
      </c>
      <c r="AQ5" s="1700"/>
      <c r="AR5" s="1699" t="s">
        <v>4448</v>
      </c>
      <c r="AS5" s="1700"/>
      <c r="AT5" s="1699" t="s">
        <v>4709</v>
      </c>
      <c r="AU5" s="1700"/>
      <c r="AV5" s="1697" t="s">
        <v>4713</v>
      </c>
      <c r="AW5" s="1698"/>
      <c r="AX5" s="1699" t="s">
        <v>4717</v>
      </c>
      <c r="AY5" s="1700"/>
      <c r="AZ5" s="1699" t="s">
        <v>4838</v>
      </c>
      <c r="BA5" s="1700"/>
      <c r="BB5" s="1699"/>
      <c r="BC5" s="1700"/>
      <c r="BD5" s="944"/>
    </row>
    <row r="6" spans="2:56" s="1" customFormat="1">
      <c r="B6" s="1718"/>
      <c r="C6" s="1719"/>
      <c r="D6" s="1685" t="s">
        <v>998</v>
      </c>
      <c r="E6" s="1686"/>
      <c r="F6" s="1683" t="s">
        <v>966</v>
      </c>
      <c r="G6" s="1684"/>
      <c r="H6" s="1685" t="s">
        <v>999</v>
      </c>
      <c r="I6" s="1686"/>
      <c r="J6" s="1683" t="s">
        <v>1001</v>
      </c>
      <c r="K6" s="1684"/>
      <c r="L6" s="1685" t="s">
        <v>969</v>
      </c>
      <c r="M6" s="1686"/>
      <c r="N6" s="1683" t="s">
        <v>1010</v>
      </c>
      <c r="O6" s="1686"/>
      <c r="P6" s="1681" t="s">
        <v>4412</v>
      </c>
      <c r="Q6" s="1684"/>
      <c r="R6" s="1683" t="s">
        <v>1003</v>
      </c>
      <c r="S6" s="1684"/>
      <c r="T6" s="1685" t="s">
        <v>1002</v>
      </c>
      <c r="U6" s="1686"/>
      <c r="V6" s="1683" t="s">
        <v>1005</v>
      </c>
      <c r="W6" s="1684"/>
      <c r="X6" s="1685" t="s">
        <v>1006</v>
      </c>
      <c r="Y6" s="1686"/>
      <c r="Z6" s="1683" t="s">
        <v>2846</v>
      </c>
      <c r="AA6" s="1684"/>
      <c r="AB6" s="1685" t="s">
        <v>2884</v>
      </c>
      <c r="AC6" s="1686"/>
      <c r="AD6" s="1683" t="s">
        <v>2852</v>
      </c>
      <c r="AE6" s="1684"/>
      <c r="AF6" s="1685" t="s">
        <v>2885</v>
      </c>
      <c r="AG6" s="1686"/>
      <c r="AH6" s="1681" t="s">
        <v>2886</v>
      </c>
      <c r="AI6" s="1684"/>
      <c r="AJ6" s="1685" t="s">
        <v>2887</v>
      </c>
      <c r="AK6" s="1686"/>
      <c r="AL6" s="1683" t="s">
        <v>2675</v>
      </c>
      <c r="AM6" s="1684"/>
      <c r="AN6" s="1685" t="s">
        <v>1807</v>
      </c>
      <c r="AO6" s="1686"/>
      <c r="AP6" s="1683" t="s">
        <v>4446</v>
      </c>
      <c r="AQ6" s="1684"/>
      <c r="AR6" s="1683" t="s">
        <v>4449</v>
      </c>
      <c r="AS6" s="1684"/>
      <c r="AT6" s="1683" t="s">
        <v>4710</v>
      </c>
      <c r="AU6" s="1684"/>
      <c r="AV6" s="1685" t="s">
        <v>4714</v>
      </c>
      <c r="AW6" s="1686"/>
      <c r="AX6" s="1758" t="s">
        <v>4721</v>
      </c>
      <c r="AY6" s="1759"/>
      <c r="AZ6" s="1683" t="s">
        <v>4839</v>
      </c>
      <c r="BA6" s="1684"/>
      <c r="BB6" s="1683"/>
      <c r="BC6" s="1684"/>
      <c r="BD6" s="1296"/>
    </row>
    <row r="7" spans="2:56" s="1" customFormat="1" ht="17.25" thickBot="1">
      <c r="B7" s="1728"/>
      <c r="C7" s="1729"/>
      <c r="D7" s="1706" t="s">
        <v>1017</v>
      </c>
      <c r="E7" s="1707"/>
      <c r="F7" s="1704" t="s">
        <v>1014</v>
      </c>
      <c r="G7" s="1705"/>
      <c r="H7" s="1706" t="s">
        <v>1027</v>
      </c>
      <c r="I7" s="1707"/>
      <c r="J7" s="1704" t="s">
        <v>1029</v>
      </c>
      <c r="K7" s="1705"/>
      <c r="L7" s="1706" t="s">
        <v>973</v>
      </c>
      <c r="M7" s="1707"/>
      <c r="N7" s="1704" t="s">
        <v>1018</v>
      </c>
      <c r="O7" s="1707"/>
      <c r="P7" s="1774" t="s">
        <v>1030</v>
      </c>
      <c r="Q7" s="1705"/>
      <c r="R7" s="1704" t="s">
        <v>1026</v>
      </c>
      <c r="S7" s="1705"/>
      <c r="T7" s="1706" t="s">
        <v>1413</v>
      </c>
      <c r="U7" s="1707"/>
      <c r="V7" s="1704" t="s">
        <v>2888</v>
      </c>
      <c r="W7" s="1705"/>
      <c r="X7" s="1706" t="s">
        <v>2889</v>
      </c>
      <c r="Y7" s="1707"/>
      <c r="Z7" s="1704" t="s">
        <v>1016</v>
      </c>
      <c r="AA7" s="1705"/>
      <c r="AB7" s="1706" t="s">
        <v>1013</v>
      </c>
      <c r="AC7" s="1707"/>
      <c r="AD7" s="1704" t="s">
        <v>1190</v>
      </c>
      <c r="AE7" s="1705"/>
      <c r="AF7" s="1706" t="s">
        <v>1483</v>
      </c>
      <c r="AG7" s="1707"/>
      <c r="AH7" s="1774" t="s">
        <v>1451</v>
      </c>
      <c r="AI7" s="1705"/>
      <c r="AJ7" s="1706" t="s">
        <v>1186</v>
      </c>
      <c r="AK7" s="1707"/>
      <c r="AL7" s="1704" t="s">
        <v>1421</v>
      </c>
      <c r="AM7" s="1705"/>
      <c r="AN7" s="1706" t="s">
        <v>4444</v>
      </c>
      <c r="AO7" s="1707"/>
      <c r="AP7" s="1704" t="s">
        <v>4447</v>
      </c>
      <c r="AQ7" s="1705"/>
      <c r="AR7" s="1704" t="s">
        <v>4450</v>
      </c>
      <c r="AS7" s="1705"/>
      <c r="AT7" s="1704" t="s">
        <v>4711</v>
      </c>
      <c r="AU7" s="1705"/>
      <c r="AV7" s="1706" t="s">
        <v>4715</v>
      </c>
      <c r="AW7" s="1707"/>
      <c r="AX7" s="1704" t="s">
        <v>4722</v>
      </c>
      <c r="AY7" s="1705"/>
      <c r="AZ7" s="1704" t="s">
        <v>4840</v>
      </c>
      <c r="BA7" s="1705"/>
      <c r="BB7" s="1704"/>
      <c r="BC7" s="1705"/>
      <c r="BD7" s="945"/>
    </row>
    <row r="8" spans="2:56" s="1" customFormat="1">
      <c r="B8" s="1716" t="s">
        <v>4719</v>
      </c>
      <c r="C8" s="1717"/>
      <c r="D8" s="1724"/>
      <c r="E8" s="1725"/>
      <c r="F8" s="1722"/>
      <c r="G8" s="1723"/>
      <c r="H8" s="1724"/>
      <c r="I8" s="1725"/>
      <c r="J8" s="1722"/>
      <c r="K8" s="1723"/>
      <c r="L8" s="1724"/>
      <c r="M8" s="1725"/>
      <c r="N8" s="1722"/>
      <c r="O8" s="1725"/>
      <c r="P8" s="1775">
        <v>13244000</v>
      </c>
      <c r="Q8" s="1723"/>
      <c r="R8" s="1722">
        <v>12000000</v>
      </c>
      <c r="S8" s="1723"/>
      <c r="T8" s="1724">
        <v>14797000</v>
      </c>
      <c r="U8" s="1725"/>
      <c r="V8" s="1722">
        <f>186*55000+394000*6+9*250000</f>
        <v>14844000</v>
      </c>
      <c r="W8" s="1723"/>
      <c r="X8" s="1724">
        <v>13559000</v>
      </c>
      <c r="Y8" s="1725"/>
      <c r="Z8" s="1722">
        <v>11500000</v>
      </c>
      <c r="AA8" s="1723"/>
      <c r="AB8" s="1776">
        <f>45237000</f>
        <v>45237000</v>
      </c>
      <c r="AC8" s="1777"/>
      <c r="AD8" s="1722">
        <v>14244000</v>
      </c>
      <c r="AE8" s="1723"/>
      <c r="AF8" s="1724">
        <v>14876000</v>
      </c>
      <c r="AG8" s="1725"/>
      <c r="AH8" s="1775">
        <v>13911000</v>
      </c>
      <c r="AI8" s="1723"/>
      <c r="AJ8" s="1724">
        <v>15176000</v>
      </c>
      <c r="AK8" s="1725"/>
      <c r="AL8" s="1722">
        <v>15870000</v>
      </c>
      <c r="AM8" s="1723"/>
      <c r="AN8" s="985">
        <v>268</v>
      </c>
      <c r="AO8" s="986">
        <v>5921000</v>
      </c>
      <c r="AP8" s="1003">
        <v>287</v>
      </c>
      <c r="AQ8" s="1000">
        <v>5058000</v>
      </c>
      <c r="AR8" s="1770">
        <v>15801000</v>
      </c>
      <c r="AS8" s="1771"/>
      <c r="AT8" s="1722">
        <f>10*250000+174*60000+1848000</f>
        <v>14788000</v>
      </c>
      <c r="AU8" s="1723"/>
      <c r="AV8" s="985">
        <v>282</v>
      </c>
      <c r="AW8" s="986">
        <v>9356000</v>
      </c>
      <c r="AX8" s="1003">
        <v>295</v>
      </c>
      <c r="AY8" s="1000">
        <v>8055000</v>
      </c>
      <c r="AZ8" s="1770">
        <v>14855000</v>
      </c>
      <c r="BA8" s="1771"/>
      <c r="BB8" s="1770"/>
      <c r="BC8" s="1771"/>
      <c r="BD8" s="946"/>
    </row>
    <row r="9" spans="2:56" s="1" customFormat="1">
      <c r="B9" s="1718"/>
      <c r="C9" s="1719"/>
      <c r="D9" s="1685"/>
      <c r="E9" s="1686"/>
      <c r="F9" s="1683"/>
      <c r="G9" s="1684"/>
      <c r="H9" s="1685"/>
      <c r="I9" s="1686"/>
      <c r="J9" s="1683"/>
      <c r="K9" s="1684"/>
      <c r="L9" s="1685"/>
      <c r="M9" s="1686"/>
      <c r="N9" s="1683"/>
      <c r="O9" s="1686"/>
      <c r="P9" s="1780">
        <f>13*250000+2300000+171*55000</f>
        <v>14955000</v>
      </c>
      <c r="Q9" s="1779"/>
      <c r="R9" s="1683">
        <f>10*250000+263000*3+527000*2+178*55000</f>
        <v>14133000</v>
      </c>
      <c r="S9" s="1684"/>
      <c r="T9" s="1685">
        <f>8*250000+205000*3+411000*2+158*55000</f>
        <v>12127000</v>
      </c>
      <c r="U9" s="1686"/>
      <c r="V9" s="1683">
        <v>13748000</v>
      </c>
      <c r="W9" s="1684"/>
      <c r="X9" s="1685">
        <v>10440000</v>
      </c>
      <c r="Y9" s="1686"/>
      <c r="Z9" s="1683">
        <v>14466000</v>
      </c>
      <c r="AA9" s="1684"/>
      <c r="AB9" s="1685">
        <v>13781000</v>
      </c>
      <c r="AC9" s="1686"/>
      <c r="AD9" s="1778">
        <v>11220000</v>
      </c>
      <c r="AE9" s="1779"/>
      <c r="AF9" s="1708">
        <v>12916000</v>
      </c>
      <c r="AG9" s="1709"/>
      <c r="AH9" s="1710">
        <v>15145000</v>
      </c>
      <c r="AI9" s="1703"/>
      <c r="AJ9" s="1708">
        <v>12650000</v>
      </c>
      <c r="AK9" s="1709"/>
      <c r="AL9" s="1702">
        <v>15785000</v>
      </c>
      <c r="AM9" s="1703"/>
      <c r="AN9" s="987">
        <v>264</v>
      </c>
      <c r="AO9" s="988">
        <v>6408000</v>
      </c>
      <c r="AP9" s="1004">
        <v>295</v>
      </c>
      <c r="AQ9" s="1001">
        <v>8055000</v>
      </c>
      <c r="AR9" s="1783">
        <v>14830000</v>
      </c>
      <c r="AS9" s="1784"/>
      <c r="AT9" s="1702">
        <v>15785000</v>
      </c>
      <c r="AU9" s="1703"/>
      <c r="AV9" s="987">
        <v>280</v>
      </c>
      <c r="AW9" s="988">
        <v>6567000</v>
      </c>
      <c r="AX9" s="1004">
        <v>264</v>
      </c>
      <c r="AY9" s="1001">
        <v>6408000</v>
      </c>
      <c r="AZ9" s="1766">
        <v>13448000</v>
      </c>
      <c r="BA9" s="1767"/>
      <c r="BB9" s="1766"/>
      <c r="BC9" s="1767"/>
      <c r="BD9" s="1296"/>
    </row>
    <row r="10" spans="2:56" s="1" customFormat="1">
      <c r="B10" s="1720"/>
      <c r="C10" s="1721"/>
      <c r="D10" s="1732"/>
      <c r="E10" s="1733"/>
      <c r="F10" s="1730"/>
      <c r="G10" s="1731"/>
      <c r="H10" s="1732"/>
      <c r="I10" s="1733"/>
      <c r="J10" s="1730"/>
      <c r="K10" s="1731"/>
      <c r="L10" s="1732"/>
      <c r="M10" s="1733"/>
      <c r="N10" s="1730"/>
      <c r="O10" s="1733"/>
      <c r="P10" s="1782">
        <f>9*250000+1900000+183*55000</f>
        <v>14215000</v>
      </c>
      <c r="Q10" s="1731"/>
      <c r="R10" s="1730">
        <f>12*250000+3000000+175*55000</f>
        <v>15625000</v>
      </c>
      <c r="S10" s="1731"/>
      <c r="T10" s="1732">
        <v>9651000</v>
      </c>
      <c r="U10" s="1733"/>
      <c r="V10" s="1730">
        <f>130*55000+274000*3+549000+6*250000</f>
        <v>10021000</v>
      </c>
      <c r="W10" s="1731"/>
      <c r="X10" s="1732">
        <v>11975000</v>
      </c>
      <c r="Y10" s="1733"/>
      <c r="Z10" s="1730">
        <v>13558000</v>
      </c>
      <c r="AA10" s="1731"/>
      <c r="AB10" s="1732">
        <v>14280000</v>
      </c>
      <c r="AC10" s="1733"/>
      <c r="AD10" s="1730">
        <v>13525000</v>
      </c>
      <c r="AE10" s="1731"/>
      <c r="AF10" s="1732">
        <v>12950000</v>
      </c>
      <c r="AG10" s="1733"/>
      <c r="AH10" s="1781">
        <v>10820000</v>
      </c>
      <c r="AI10" s="1773"/>
      <c r="AJ10" s="1741">
        <v>13910000</v>
      </c>
      <c r="AK10" s="1742"/>
      <c r="AL10" s="1772">
        <v>13174000</v>
      </c>
      <c r="AM10" s="1773"/>
      <c r="AN10" s="989">
        <v>285</v>
      </c>
      <c r="AO10" s="990">
        <v>7740000</v>
      </c>
      <c r="AP10" s="1005">
        <v>280</v>
      </c>
      <c r="AQ10" s="1002">
        <v>6567000</v>
      </c>
      <c r="AR10" s="1764">
        <v>14770000</v>
      </c>
      <c r="AS10" s="1765"/>
      <c r="AT10" s="1739">
        <f>3000000+12*250000+175*60000</f>
        <v>16500000</v>
      </c>
      <c r="AU10" s="1740"/>
      <c r="AV10" s="989">
        <v>285</v>
      </c>
      <c r="AW10" s="990">
        <v>7740000</v>
      </c>
      <c r="AX10" s="1005">
        <v>301</v>
      </c>
      <c r="AY10" s="1177">
        <v>21881000</v>
      </c>
      <c r="AZ10" s="1785">
        <f>263*250000+11*500000+7848000</f>
        <v>79098000</v>
      </c>
      <c r="BA10" s="1786"/>
      <c r="BB10" s="1764"/>
      <c r="BC10" s="1765"/>
      <c r="BD10" s="947"/>
    </row>
    <row r="11" spans="2:56" s="1" customFormat="1" ht="17.25" thickBot="1">
      <c r="B11" s="1756" t="s">
        <v>4720</v>
      </c>
      <c r="C11" s="1757"/>
      <c r="D11" s="1747"/>
      <c r="E11" s="1748"/>
      <c r="F11" s="1754"/>
      <c r="G11" s="1755"/>
      <c r="H11" s="1747"/>
      <c r="I11" s="1748"/>
      <c r="J11" s="1754"/>
      <c r="K11" s="1755"/>
      <c r="L11" s="1747"/>
      <c r="M11" s="1748"/>
      <c r="N11" s="1754"/>
      <c r="O11" s="1748"/>
      <c r="P11" s="1756">
        <f>P9+P8+P10</f>
        <v>42414000</v>
      </c>
      <c r="Q11" s="1755"/>
      <c r="R11" s="1754">
        <f>R9+R8+R10</f>
        <v>41758000</v>
      </c>
      <c r="S11" s="1755"/>
      <c r="T11" s="1747">
        <f>T9+T8+T10</f>
        <v>36575000</v>
      </c>
      <c r="U11" s="1748"/>
      <c r="V11" s="1754">
        <f>V9+V8+V10</f>
        <v>38613000</v>
      </c>
      <c r="W11" s="1755"/>
      <c r="X11" s="1747">
        <f>X9+X8+X10</f>
        <v>35974000</v>
      </c>
      <c r="Y11" s="1748"/>
      <c r="Z11" s="1754">
        <f>Z9+Z8+Z10</f>
        <v>39524000</v>
      </c>
      <c r="AA11" s="1755"/>
      <c r="AB11" s="1747">
        <f>AB9+AB8+AB10</f>
        <v>73298000</v>
      </c>
      <c r="AC11" s="1748"/>
      <c r="AD11" s="1754">
        <f>AD9+AD8+AD10</f>
        <v>38989000</v>
      </c>
      <c r="AE11" s="1755"/>
      <c r="AF11" s="1747">
        <f>AF9+AF8+AF10</f>
        <v>40742000</v>
      </c>
      <c r="AG11" s="1748"/>
      <c r="AH11" s="1756">
        <f>AH9+AH8+AH10</f>
        <v>39876000</v>
      </c>
      <c r="AI11" s="1755"/>
      <c r="AJ11" s="1747">
        <f>AJ9+AJ8+AJ10</f>
        <v>41736000</v>
      </c>
      <c r="AK11" s="1748"/>
      <c r="AL11" s="1754">
        <f>AL9+AL8+AL10</f>
        <v>44829000</v>
      </c>
      <c r="AM11" s="1755"/>
      <c r="AN11" s="991">
        <f>AN9+AN8+AN10</f>
        <v>817</v>
      </c>
      <c r="AO11" s="999">
        <f>AO8+AO9+AO10</f>
        <v>20069000</v>
      </c>
      <c r="AP11" s="991">
        <f>AP9+AP8+AP10</f>
        <v>862</v>
      </c>
      <c r="AQ11" s="992">
        <f>AQ8+AQ9+AQ10</f>
        <v>19680000</v>
      </c>
      <c r="AR11" s="1754">
        <f>AR9+AR8+AR10</f>
        <v>45401000</v>
      </c>
      <c r="AS11" s="1755"/>
      <c r="AT11" s="1754">
        <f>AT9+AT8+AT10</f>
        <v>47073000</v>
      </c>
      <c r="AU11" s="1755"/>
      <c r="AV11" s="991">
        <f>AV9+AV8+AV10</f>
        <v>847</v>
      </c>
      <c r="AW11" s="999">
        <f>AW8+AW9+AW10</f>
        <v>23663000</v>
      </c>
      <c r="AX11" s="991">
        <f>AX9+AX8+AX10</f>
        <v>860</v>
      </c>
      <c r="AY11" s="992">
        <f>AY8+AY9+AY10</f>
        <v>36344000</v>
      </c>
      <c r="AZ11" s="1754">
        <f>AZ9+AZ8+AZ10</f>
        <v>107401000</v>
      </c>
      <c r="BA11" s="1755"/>
      <c r="BB11" s="1754"/>
      <c r="BC11" s="1755"/>
      <c r="BD11" s="948"/>
    </row>
    <row r="12" spans="2:56" s="956" customFormat="1">
      <c r="B12" s="1744" t="s">
        <v>4718</v>
      </c>
      <c r="C12" s="949" t="s">
        <v>2855</v>
      </c>
      <c r="D12" s="950"/>
      <c r="E12" s="951"/>
      <c r="F12" s="952">
        <v>10646664</v>
      </c>
      <c r="G12" s="953"/>
      <c r="H12" s="950">
        <v>11404140</v>
      </c>
      <c r="I12" s="951"/>
      <c r="J12" s="952">
        <v>14167325</v>
      </c>
      <c r="K12" s="953"/>
      <c r="L12" s="950">
        <v>11535415</v>
      </c>
      <c r="M12" s="951"/>
      <c r="N12" s="952">
        <v>12506143</v>
      </c>
      <c r="O12" s="951"/>
      <c r="P12" s="954">
        <v>15445940</v>
      </c>
      <c r="Q12" s="953">
        <f>P12*3-P$11</f>
        <v>3923820</v>
      </c>
      <c r="R12" s="952">
        <v>15216736</v>
      </c>
      <c r="S12" s="953">
        <f>R12*3-R$11</f>
        <v>3892208</v>
      </c>
      <c r="T12" s="950">
        <v>14047091</v>
      </c>
      <c r="U12" s="951">
        <f>T12*3-T$11</f>
        <v>5566273</v>
      </c>
      <c r="V12" s="952">
        <v>14922407</v>
      </c>
      <c r="W12" s="953">
        <f>V12*3-V$11</f>
        <v>6154221</v>
      </c>
      <c r="X12" s="950">
        <v>14600057</v>
      </c>
      <c r="Y12" s="951">
        <f>X12*3-X$11</f>
        <v>7826171</v>
      </c>
      <c r="Z12" s="952">
        <v>16129993</v>
      </c>
      <c r="AA12" s="953">
        <f>Z12*3-Z$11</f>
        <v>8865979</v>
      </c>
      <c r="AB12" s="950">
        <v>24205971</v>
      </c>
      <c r="AC12" s="951">
        <f>AB12*3-AB$11</f>
        <v>-680087</v>
      </c>
      <c r="AD12" s="952">
        <v>16428476</v>
      </c>
      <c r="AE12" s="953">
        <f>AD12*3-AD$11</f>
        <v>10296428</v>
      </c>
      <c r="AF12" s="950">
        <v>16976983</v>
      </c>
      <c r="AG12" s="951">
        <f>AF12*3-AF$11</f>
        <v>10188949</v>
      </c>
      <c r="AH12" s="954">
        <v>15802488</v>
      </c>
      <c r="AI12" s="953">
        <f>AH12*3-AH$11</f>
        <v>7531464</v>
      </c>
      <c r="AJ12" s="950">
        <v>16479787</v>
      </c>
      <c r="AK12" s="951">
        <f>AJ12*3-AJ$11</f>
        <v>7703361</v>
      </c>
      <c r="AL12" s="952">
        <v>18369443</v>
      </c>
      <c r="AM12" s="953">
        <f>AL12*3-AL$11</f>
        <v>10279329</v>
      </c>
      <c r="AN12" s="993">
        <v>64406311</v>
      </c>
      <c r="AO12" s="994">
        <f>(AN12*3-AO$11)/AN$11</f>
        <v>211933.82252141982</v>
      </c>
      <c r="AP12" s="1006">
        <v>69723198</v>
      </c>
      <c r="AQ12" s="1007">
        <f>(AP12*3-AQ$11)/AP$11</f>
        <v>219825.51508120648</v>
      </c>
      <c r="AR12" s="952">
        <v>20044353</v>
      </c>
      <c r="AS12" s="953">
        <f>AR12*3-AR$11</f>
        <v>14732059</v>
      </c>
      <c r="AT12" s="952">
        <v>20237609</v>
      </c>
      <c r="AU12" s="953">
        <f>AT12*3-AT$11</f>
        <v>13639827</v>
      </c>
      <c r="AV12" s="993">
        <v>79174592</v>
      </c>
      <c r="AW12" s="994">
        <f>(AV12*3-AW$11)/AV$11</f>
        <v>252492.06139315231</v>
      </c>
      <c r="AX12" s="1006">
        <v>81695923</v>
      </c>
      <c r="AY12" s="994">
        <f>(AX12*3-AY$11)/AX$11</f>
        <v>242725.31279069767</v>
      </c>
      <c r="AZ12" s="952">
        <v>37697392</v>
      </c>
      <c r="BA12" s="953">
        <f>AZ12*3-AZ$11</f>
        <v>5691176</v>
      </c>
      <c r="BB12" s="952"/>
      <c r="BC12" s="953"/>
      <c r="BD12" s="955"/>
    </row>
    <row r="13" spans="2:56" s="956" customFormat="1">
      <c r="B13" s="1745"/>
      <c r="C13" s="957" t="s">
        <v>2856</v>
      </c>
      <c r="D13" s="958"/>
      <c r="E13" s="959"/>
      <c r="F13" s="960">
        <v>10630566</v>
      </c>
      <c r="G13" s="961"/>
      <c r="H13" s="958">
        <v>11101683</v>
      </c>
      <c r="I13" s="959"/>
      <c r="J13" s="960">
        <v>14012095</v>
      </c>
      <c r="K13" s="961"/>
      <c r="L13" s="958">
        <v>11489907</v>
      </c>
      <c r="M13" s="959"/>
      <c r="N13" s="960">
        <v>12420151</v>
      </c>
      <c r="O13" s="959"/>
      <c r="P13" s="962">
        <v>15308138</v>
      </c>
      <c r="Q13" s="961">
        <f t="shared" ref="Q13:Q35" si="0">P13*3-P$11</f>
        <v>3510414</v>
      </c>
      <c r="R13" s="960">
        <v>15157760</v>
      </c>
      <c r="S13" s="961">
        <f t="shared" ref="S13:S35" si="1">R13*3-R$11</f>
        <v>3715280</v>
      </c>
      <c r="T13" s="958">
        <v>14010964</v>
      </c>
      <c r="U13" s="959">
        <f t="shared" ref="U13:U35" si="2">T13*3-T$11</f>
        <v>5457892</v>
      </c>
      <c r="V13" s="960">
        <v>14848359</v>
      </c>
      <c r="W13" s="961">
        <f t="shared" ref="W13:W35" si="3">V13*3-V$11</f>
        <v>5932077</v>
      </c>
      <c r="X13" s="958">
        <v>14448065</v>
      </c>
      <c r="Y13" s="959">
        <f t="shared" ref="Y13:Y35" si="4">X13*3-X$11</f>
        <v>7370195</v>
      </c>
      <c r="Z13" s="960">
        <v>16007387</v>
      </c>
      <c r="AA13" s="961">
        <f t="shared" ref="AA13:AA35" si="5">Z13*3-Z$11</f>
        <v>8498161</v>
      </c>
      <c r="AB13" s="958">
        <v>24061797</v>
      </c>
      <c r="AC13" s="959">
        <f t="shared" ref="AC13:AC35" si="6">AB13*3-AB$11</f>
        <v>-1112609</v>
      </c>
      <c r="AD13" s="960">
        <v>16345802</v>
      </c>
      <c r="AE13" s="961">
        <f t="shared" ref="AE13:AE35" si="7">AD13*3-AD$11</f>
        <v>10048406</v>
      </c>
      <c r="AF13" s="958">
        <v>16855146</v>
      </c>
      <c r="AG13" s="959">
        <f t="shared" ref="AG13:AG35" si="8">AF13*3-AF$11</f>
        <v>9823438</v>
      </c>
      <c r="AH13" s="962">
        <v>15751188</v>
      </c>
      <c r="AI13" s="961">
        <f t="shared" ref="AI13:AI35" si="9">AH13*3-AH$11</f>
        <v>7377564</v>
      </c>
      <c r="AJ13" s="958">
        <v>16433385</v>
      </c>
      <c r="AK13" s="959">
        <f t="shared" ref="AK13:AK35" si="10">AJ13*3-AJ$11</f>
        <v>7564155</v>
      </c>
      <c r="AL13" s="960">
        <v>18356920</v>
      </c>
      <c r="AM13" s="961">
        <f t="shared" ref="AM13:AM35" si="11">AL13*3-AL$11</f>
        <v>10241760</v>
      </c>
      <c r="AN13" s="995">
        <v>63607502</v>
      </c>
      <c r="AO13" s="996">
        <f t="shared" ref="AO13:AQ35" si="12">(AN13*3-AO$11)/AN$11</f>
        <v>209000.61933904528</v>
      </c>
      <c r="AP13" s="1008">
        <v>69677665</v>
      </c>
      <c r="AQ13" s="1009">
        <f t="shared" si="12"/>
        <v>219667.0475638051</v>
      </c>
      <c r="AR13" s="960">
        <v>19894202</v>
      </c>
      <c r="AS13" s="961">
        <f t="shared" ref="AS13:AS35" si="13">AR13*3-AR$11</f>
        <v>14281606</v>
      </c>
      <c r="AT13" s="960">
        <v>20149257</v>
      </c>
      <c r="AU13" s="961">
        <f t="shared" ref="AU13:AU35" si="14">AT13*3-AT$11</f>
        <v>13374771</v>
      </c>
      <c r="AV13" s="995">
        <v>77427134</v>
      </c>
      <c r="AW13" s="996">
        <f t="shared" ref="AW13:AY35" si="15">(AV13*3-AW$11)/AV$11</f>
        <v>246302.71782762691</v>
      </c>
      <c r="AX13" s="1008">
        <v>81321994</v>
      </c>
      <c r="AY13" s="996">
        <f t="shared" si="15"/>
        <v>241420.90930232557</v>
      </c>
      <c r="AZ13" s="960">
        <v>37185142</v>
      </c>
      <c r="BA13" s="961">
        <f t="shared" ref="BA13:BA35" si="16">AZ13*3-AZ$11</f>
        <v>4154426</v>
      </c>
      <c r="BB13" s="960"/>
      <c r="BC13" s="961"/>
      <c r="BD13" s="963"/>
    </row>
    <row r="14" spans="2:56" s="956" customFormat="1">
      <c r="B14" s="1745"/>
      <c r="C14" s="957" t="s">
        <v>2857</v>
      </c>
      <c r="D14" s="958"/>
      <c r="E14" s="959"/>
      <c r="F14" s="960">
        <v>10599035</v>
      </c>
      <c r="G14" s="961"/>
      <c r="H14" s="958">
        <v>10928730</v>
      </c>
      <c r="I14" s="959"/>
      <c r="J14" s="960">
        <v>13769796</v>
      </c>
      <c r="K14" s="961"/>
      <c r="L14" s="958">
        <v>11459348</v>
      </c>
      <c r="M14" s="959"/>
      <c r="N14" s="960">
        <v>12326906</v>
      </c>
      <c r="O14" s="959"/>
      <c r="P14" s="962">
        <v>15237391</v>
      </c>
      <c r="Q14" s="961">
        <f t="shared" si="0"/>
        <v>3298173</v>
      </c>
      <c r="R14" s="960">
        <v>15110583</v>
      </c>
      <c r="S14" s="961">
        <f t="shared" si="1"/>
        <v>3573749</v>
      </c>
      <c r="T14" s="958">
        <v>13986391</v>
      </c>
      <c r="U14" s="959">
        <f t="shared" si="2"/>
        <v>5384173</v>
      </c>
      <c r="V14" s="960">
        <v>14735654</v>
      </c>
      <c r="W14" s="961">
        <f t="shared" si="3"/>
        <v>5593962</v>
      </c>
      <c r="X14" s="958">
        <v>14407602</v>
      </c>
      <c r="Y14" s="959">
        <f t="shared" si="4"/>
        <v>7248806</v>
      </c>
      <c r="Z14" s="960">
        <v>15962005</v>
      </c>
      <c r="AA14" s="961">
        <f t="shared" si="5"/>
        <v>8362015</v>
      </c>
      <c r="AB14" s="958">
        <v>23809961</v>
      </c>
      <c r="AC14" s="959">
        <f t="shared" si="6"/>
        <v>-1868117</v>
      </c>
      <c r="AD14" s="960">
        <v>16327778</v>
      </c>
      <c r="AE14" s="961">
        <f t="shared" si="7"/>
        <v>9994334</v>
      </c>
      <c r="AF14" s="958">
        <v>16841231</v>
      </c>
      <c r="AG14" s="959">
        <f t="shared" si="8"/>
        <v>9781693</v>
      </c>
      <c r="AH14" s="962">
        <v>15735545</v>
      </c>
      <c r="AI14" s="961">
        <f t="shared" si="9"/>
        <v>7330635</v>
      </c>
      <c r="AJ14" s="958">
        <v>16389956</v>
      </c>
      <c r="AK14" s="959">
        <f t="shared" si="10"/>
        <v>7433868</v>
      </c>
      <c r="AL14" s="960">
        <v>18301145</v>
      </c>
      <c r="AM14" s="961">
        <f t="shared" si="11"/>
        <v>10074435</v>
      </c>
      <c r="AN14" s="995">
        <v>63380407</v>
      </c>
      <c r="AO14" s="996">
        <f t="shared" si="12"/>
        <v>208166.73317013463</v>
      </c>
      <c r="AP14" s="1008">
        <v>68434370</v>
      </c>
      <c r="AQ14" s="1009">
        <f t="shared" si="12"/>
        <v>215340.03480278421</v>
      </c>
      <c r="AR14" s="960">
        <v>19888741</v>
      </c>
      <c r="AS14" s="961">
        <f t="shared" si="13"/>
        <v>14265223</v>
      </c>
      <c r="AT14" s="960">
        <v>20140224</v>
      </c>
      <c r="AU14" s="961">
        <f t="shared" si="14"/>
        <v>13347672</v>
      </c>
      <c r="AV14" s="995">
        <v>77311056</v>
      </c>
      <c r="AW14" s="996">
        <f t="shared" si="15"/>
        <v>245891.57969303423</v>
      </c>
      <c r="AX14" s="1008">
        <v>80296927</v>
      </c>
      <c r="AY14" s="996">
        <f t="shared" si="15"/>
        <v>237845.09418604651</v>
      </c>
      <c r="AZ14" s="960">
        <v>37176589</v>
      </c>
      <c r="BA14" s="961">
        <f t="shared" si="16"/>
        <v>4128767</v>
      </c>
      <c r="BB14" s="960"/>
      <c r="BC14" s="961"/>
      <c r="BD14" s="963"/>
    </row>
    <row r="15" spans="2:56" s="956" customFormat="1">
      <c r="B15" s="1745"/>
      <c r="C15" s="957" t="s">
        <v>2858</v>
      </c>
      <c r="D15" s="958"/>
      <c r="E15" s="959"/>
      <c r="F15" s="960">
        <v>10579166</v>
      </c>
      <c r="G15" s="961"/>
      <c r="H15" s="958">
        <v>10927442</v>
      </c>
      <c r="I15" s="959"/>
      <c r="J15" s="960">
        <v>13671656</v>
      </c>
      <c r="K15" s="961"/>
      <c r="L15" s="958">
        <v>11454681</v>
      </c>
      <c r="M15" s="959"/>
      <c r="N15" s="960">
        <v>12298394</v>
      </c>
      <c r="O15" s="959"/>
      <c r="P15" s="962">
        <v>15218248</v>
      </c>
      <c r="Q15" s="961">
        <f t="shared" si="0"/>
        <v>3240744</v>
      </c>
      <c r="R15" s="960">
        <v>15083042</v>
      </c>
      <c r="S15" s="961">
        <f t="shared" si="1"/>
        <v>3491126</v>
      </c>
      <c r="T15" s="958">
        <v>13908044</v>
      </c>
      <c r="U15" s="959">
        <f t="shared" si="2"/>
        <v>5149132</v>
      </c>
      <c r="V15" s="960">
        <v>14623867</v>
      </c>
      <c r="W15" s="961">
        <f t="shared" si="3"/>
        <v>5258601</v>
      </c>
      <c r="X15" s="958">
        <v>14385529</v>
      </c>
      <c r="Y15" s="959">
        <f t="shared" si="4"/>
        <v>7182587</v>
      </c>
      <c r="Z15" s="960">
        <v>15828333</v>
      </c>
      <c r="AA15" s="961">
        <f t="shared" si="5"/>
        <v>7960999</v>
      </c>
      <c r="AB15" s="958">
        <v>23807836</v>
      </c>
      <c r="AC15" s="959">
        <f t="shared" si="6"/>
        <v>-1874492</v>
      </c>
      <c r="AD15" s="960">
        <v>16280578</v>
      </c>
      <c r="AE15" s="961">
        <f t="shared" si="7"/>
        <v>9852734</v>
      </c>
      <c r="AF15" s="958">
        <v>16838681</v>
      </c>
      <c r="AG15" s="959">
        <f t="shared" si="8"/>
        <v>9774043</v>
      </c>
      <c r="AH15" s="962">
        <v>15721426</v>
      </c>
      <c r="AI15" s="961">
        <f t="shared" si="9"/>
        <v>7288278</v>
      </c>
      <c r="AJ15" s="958">
        <v>16379112</v>
      </c>
      <c r="AK15" s="959">
        <f t="shared" si="10"/>
        <v>7401336</v>
      </c>
      <c r="AL15" s="960">
        <v>18232906</v>
      </c>
      <c r="AM15" s="961">
        <f t="shared" si="11"/>
        <v>9869718</v>
      </c>
      <c r="AN15" s="995">
        <v>61771062</v>
      </c>
      <c r="AO15" s="996">
        <f t="shared" si="12"/>
        <v>202257.26560587515</v>
      </c>
      <c r="AP15" s="1008">
        <v>67703196</v>
      </c>
      <c r="AQ15" s="1009">
        <f t="shared" si="12"/>
        <v>212795.34570765661</v>
      </c>
      <c r="AR15" s="960">
        <v>19630050</v>
      </c>
      <c r="AS15" s="961">
        <f t="shared" si="13"/>
        <v>13489150</v>
      </c>
      <c r="AT15" s="960">
        <v>20106167</v>
      </c>
      <c r="AU15" s="961">
        <f t="shared" si="14"/>
        <v>13245501</v>
      </c>
      <c r="AV15" s="995">
        <v>77192475</v>
      </c>
      <c r="AW15" s="996">
        <f t="shared" si="15"/>
        <v>245471.57615112161</v>
      </c>
      <c r="AX15" s="1008">
        <v>78803652</v>
      </c>
      <c r="AY15" s="996">
        <f t="shared" si="15"/>
        <v>232635.9953488372</v>
      </c>
      <c r="AZ15" s="960">
        <v>36709596</v>
      </c>
      <c r="BA15" s="961">
        <f t="shared" si="16"/>
        <v>2727788</v>
      </c>
      <c r="BB15" s="960"/>
      <c r="BC15" s="961"/>
      <c r="BD15" s="963"/>
    </row>
    <row r="16" spans="2:56" s="956" customFormat="1">
      <c r="B16" s="1745"/>
      <c r="C16" s="957" t="s">
        <v>2859</v>
      </c>
      <c r="D16" s="958"/>
      <c r="E16" s="959"/>
      <c r="F16" s="960">
        <v>10529949</v>
      </c>
      <c r="G16" s="961"/>
      <c r="H16" s="958">
        <v>10840416</v>
      </c>
      <c r="I16" s="959"/>
      <c r="J16" s="960">
        <v>13657830</v>
      </c>
      <c r="K16" s="961"/>
      <c r="L16" s="958">
        <v>11418797</v>
      </c>
      <c r="M16" s="959"/>
      <c r="N16" s="960">
        <v>12259239</v>
      </c>
      <c r="O16" s="959"/>
      <c r="P16" s="962">
        <v>15128267</v>
      </c>
      <c r="Q16" s="961">
        <f t="shared" si="0"/>
        <v>2970801</v>
      </c>
      <c r="R16" s="960">
        <v>14980968</v>
      </c>
      <c r="S16" s="961">
        <f t="shared" si="1"/>
        <v>3184904</v>
      </c>
      <c r="T16" s="958">
        <v>13789807</v>
      </c>
      <c r="U16" s="959">
        <f t="shared" si="2"/>
        <v>4794421</v>
      </c>
      <c r="V16" s="960">
        <v>14596368</v>
      </c>
      <c r="W16" s="961">
        <f t="shared" si="3"/>
        <v>5176104</v>
      </c>
      <c r="X16" s="958">
        <v>14361630</v>
      </c>
      <c r="Y16" s="959">
        <f t="shared" si="4"/>
        <v>7110890</v>
      </c>
      <c r="Z16" s="960">
        <v>15784901</v>
      </c>
      <c r="AA16" s="961">
        <f t="shared" si="5"/>
        <v>7830703</v>
      </c>
      <c r="AB16" s="958">
        <v>23726972</v>
      </c>
      <c r="AC16" s="959">
        <f t="shared" si="6"/>
        <v>-2117084</v>
      </c>
      <c r="AD16" s="960">
        <v>16251459</v>
      </c>
      <c r="AE16" s="961">
        <f t="shared" si="7"/>
        <v>9765377</v>
      </c>
      <c r="AF16" s="958">
        <v>16740586</v>
      </c>
      <c r="AG16" s="959">
        <f t="shared" si="8"/>
        <v>9479758</v>
      </c>
      <c r="AH16" s="962">
        <v>15707494</v>
      </c>
      <c r="AI16" s="961">
        <f t="shared" si="9"/>
        <v>7246482</v>
      </c>
      <c r="AJ16" s="958">
        <v>16345808</v>
      </c>
      <c r="AK16" s="959">
        <f t="shared" si="10"/>
        <v>7301424</v>
      </c>
      <c r="AL16" s="960">
        <v>18206212</v>
      </c>
      <c r="AM16" s="961">
        <f t="shared" si="11"/>
        <v>9789636</v>
      </c>
      <c r="AN16" s="995">
        <v>61688890</v>
      </c>
      <c r="AO16" s="996">
        <f t="shared" si="12"/>
        <v>201955.53243574052</v>
      </c>
      <c r="AP16" s="1008">
        <v>67291981</v>
      </c>
      <c r="AQ16" s="1009">
        <f t="shared" si="12"/>
        <v>211364.20301624128</v>
      </c>
      <c r="AR16" s="960">
        <v>19623267</v>
      </c>
      <c r="AS16" s="961">
        <f t="shared" si="13"/>
        <v>13468801</v>
      </c>
      <c r="AT16" s="960">
        <v>19988887</v>
      </c>
      <c r="AU16" s="961">
        <f t="shared" si="14"/>
        <v>12893661</v>
      </c>
      <c r="AV16" s="995">
        <v>77109457</v>
      </c>
      <c r="AW16" s="996">
        <f t="shared" si="15"/>
        <v>245177.53364817001</v>
      </c>
      <c r="AX16" s="1008">
        <v>78801358</v>
      </c>
      <c r="AY16" s="996">
        <f t="shared" si="15"/>
        <v>232627.99302325581</v>
      </c>
      <c r="AZ16" s="960">
        <v>36613322</v>
      </c>
      <c r="BA16" s="961">
        <f t="shared" si="16"/>
        <v>2438966</v>
      </c>
      <c r="BB16" s="960"/>
      <c r="BC16" s="961"/>
      <c r="BD16" s="963"/>
    </row>
    <row r="17" spans="2:56" s="956" customFormat="1">
      <c r="B17" s="1745"/>
      <c r="C17" s="957" t="s">
        <v>2890</v>
      </c>
      <c r="D17" s="958"/>
      <c r="E17" s="959"/>
      <c r="F17" s="960">
        <v>10437932</v>
      </c>
      <c r="G17" s="961"/>
      <c r="H17" s="958">
        <v>10822089</v>
      </c>
      <c r="I17" s="959"/>
      <c r="J17" s="960">
        <v>13283411</v>
      </c>
      <c r="K17" s="961"/>
      <c r="L17" s="958">
        <v>11393863</v>
      </c>
      <c r="M17" s="959"/>
      <c r="N17" s="960">
        <v>12231864</v>
      </c>
      <c r="O17" s="959"/>
      <c r="P17" s="962">
        <v>15055567</v>
      </c>
      <c r="Q17" s="961">
        <f t="shared" si="0"/>
        <v>2752701</v>
      </c>
      <c r="R17" s="960">
        <v>14920079</v>
      </c>
      <c r="S17" s="961">
        <f t="shared" si="1"/>
        <v>3002237</v>
      </c>
      <c r="T17" s="958">
        <v>13757972</v>
      </c>
      <c r="U17" s="959">
        <f t="shared" si="2"/>
        <v>4698916</v>
      </c>
      <c r="V17" s="960">
        <v>14543906</v>
      </c>
      <c r="W17" s="961">
        <f t="shared" si="3"/>
        <v>5018718</v>
      </c>
      <c r="X17" s="958">
        <v>14345888</v>
      </c>
      <c r="Y17" s="959">
        <f t="shared" si="4"/>
        <v>7063664</v>
      </c>
      <c r="Z17" s="960">
        <v>15766869</v>
      </c>
      <c r="AA17" s="961">
        <f t="shared" si="5"/>
        <v>7776607</v>
      </c>
      <c r="AB17" s="958">
        <v>23692566</v>
      </c>
      <c r="AC17" s="959">
        <f t="shared" si="6"/>
        <v>-2220302</v>
      </c>
      <c r="AD17" s="960">
        <v>16246168</v>
      </c>
      <c r="AE17" s="961">
        <f t="shared" si="7"/>
        <v>9749504</v>
      </c>
      <c r="AF17" s="958">
        <v>16734355</v>
      </c>
      <c r="AG17" s="959">
        <f t="shared" si="8"/>
        <v>9461065</v>
      </c>
      <c r="AH17" s="962">
        <v>15679061</v>
      </c>
      <c r="AI17" s="961">
        <f t="shared" si="9"/>
        <v>7161183</v>
      </c>
      <c r="AJ17" s="958">
        <v>16309208</v>
      </c>
      <c r="AK17" s="959">
        <f t="shared" si="10"/>
        <v>7191624</v>
      </c>
      <c r="AL17" s="960">
        <v>18200940</v>
      </c>
      <c r="AM17" s="961">
        <f t="shared" si="11"/>
        <v>9773820</v>
      </c>
      <c r="AN17" s="995">
        <v>61357037</v>
      </c>
      <c r="AO17" s="996">
        <f t="shared" si="12"/>
        <v>200736.97796817624</v>
      </c>
      <c r="AP17" s="1008">
        <v>67097282</v>
      </c>
      <c r="AQ17" s="1009">
        <f t="shared" si="12"/>
        <v>210686.59628770303</v>
      </c>
      <c r="AR17" s="960">
        <v>19600526</v>
      </c>
      <c r="AS17" s="961">
        <f t="shared" si="13"/>
        <v>13400578</v>
      </c>
      <c r="AT17" s="960">
        <v>19984739</v>
      </c>
      <c r="AU17" s="961">
        <f t="shared" si="14"/>
        <v>12881217</v>
      </c>
      <c r="AV17" s="995">
        <v>76683607</v>
      </c>
      <c r="AW17" s="996">
        <f t="shared" si="15"/>
        <v>243669.21015348288</v>
      </c>
      <c r="AX17" s="1008">
        <v>78301618</v>
      </c>
      <c r="AY17" s="996">
        <f t="shared" si="15"/>
        <v>230884.71395348836</v>
      </c>
      <c r="AZ17" s="960">
        <v>36497877</v>
      </c>
      <c r="BA17" s="961">
        <f t="shared" si="16"/>
        <v>2092631</v>
      </c>
      <c r="BB17" s="960"/>
      <c r="BC17" s="961"/>
      <c r="BD17" s="963"/>
    </row>
    <row r="18" spans="2:56" s="956" customFormat="1">
      <c r="B18" s="1745"/>
      <c r="C18" s="957" t="s">
        <v>2861</v>
      </c>
      <c r="D18" s="958"/>
      <c r="E18" s="959"/>
      <c r="F18" s="960">
        <v>10406702</v>
      </c>
      <c r="G18" s="961"/>
      <c r="H18" s="958">
        <v>10710950</v>
      </c>
      <c r="I18" s="959"/>
      <c r="J18" s="960">
        <v>13228019</v>
      </c>
      <c r="K18" s="961"/>
      <c r="L18" s="958">
        <v>11372332</v>
      </c>
      <c r="M18" s="959"/>
      <c r="N18" s="960">
        <v>12220130</v>
      </c>
      <c r="O18" s="959"/>
      <c r="P18" s="962">
        <v>14934433</v>
      </c>
      <c r="Q18" s="961">
        <f t="shared" si="0"/>
        <v>2389299</v>
      </c>
      <c r="R18" s="960">
        <v>14915311</v>
      </c>
      <c r="S18" s="961">
        <f t="shared" si="1"/>
        <v>2987933</v>
      </c>
      <c r="T18" s="958">
        <v>13726426</v>
      </c>
      <c r="U18" s="959">
        <f t="shared" si="2"/>
        <v>4604278</v>
      </c>
      <c r="V18" s="960">
        <v>14534186</v>
      </c>
      <c r="W18" s="961">
        <f t="shared" si="3"/>
        <v>4989558</v>
      </c>
      <c r="X18" s="958">
        <v>14326024</v>
      </c>
      <c r="Y18" s="959">
        <f t="shared" si="4"/>
        <v>7004072</v>
      </c>
      <c r="Z18" s="960">
        <v>15749720</v>
      </c>
      <c r="AA18" s="961">
        <f t="shared" si="5"/>
        <v>7725160</v>
      </c>
      <c r="AB18" s="958">
        <v>23587018</v>
      </c>
      <c r="AC18" s="959">
        <f t="shared" si="6"/>
        <v>-2536946</v>
      </c>
      <c r="AD18" s="960">
        <v>16234025</v>
      </c>
      <c r="AE18" s="961">
        <f t="shared" si="7"/>
        <v>9713075</v>
      </c>
      <c r="AF18" s="958">
        <v>16728590</v>
      </c>
      <c r="AG18" s="959">
        <f t="shared" si="8"/>
        <v>9443770</v>
      </c>
      <c r="AH18" s="962">
        <v>15660089</v>
      </c>
      <c r="AI18" s="961">
        <f t="shared" si="9"/>
        <v>7104267</v>
      </c>
      <c r="AJ18" s="958">
        <v>16284637</v>
      </c>
      <c r="AK18" s="959">
        <f t="shared" si="10"/>
        <v>7117911</v>
      </c>
      <c r="AL18" s="960">
        <v>18200556</v>
      </c>
      <c r="AM18" s="961">
        <f t="shared" si="11"/>
        <v>9772668</v>
      </c>
      <c r="AN18" s="995">
        <v>61067763</v>
      </c>
      <c r="AO18" s="996">
        <f t="shared" si="12"/>
        <v>199674.77233782128</v>
      </c>
      <c r="AP18" s="1008">
        <v>66973475</v>
      </c>
      <c r="AQ18" s="1009">
        <f t="shared" si="12"/>
        <v>210255.71345707658</v>
      </c>
      <c r="AR18" s="960">
        <v>19564859</v>
      </c>
      <c r="AS18" s="961">
        <f t="shared" si="13"/>
        <v>13293577</v>
      </c>
      <c r="AT18" s="960">
        <v>19924458</v>
      </c>
      <c r="AU18" s="961">
        <f t="shared" si="14"/>
        <v>12700374</v>
      </c>
      <c r="AV18" s="995">
        <v>76620875</v>
      </c>
      <c r="AW18" s="996">
        <f t="shared" si="15"/>
        <v>243447.01889020071</v>
      </c>
      <c r="AX18" s="1008">
        <v>77656652</v>
      </c>
      <c r="AY18" s="996">
        <f t="shared" si="15"/>
        <v>228634.83255813955</v>
      </c>
      <c r="AZ18" s="960">
        <v>36360401</v>
      </c>
      <c r="BA18" s="961">
        <f t="shared" si="16"/>
        <v>1680203</v>
      </c>
      <c r="BB18" s="960"/>
      <c r="BC18" s="961"/>
      <c r="BD18" s="963"/>
    </row>
    <row r="19" spans="2:56" s="956" customFormat="1">
      <c r="B19" s="1745"/>
      <c r="C19" s="957" t="s">
        <v>2862</v>
      </c>
      <c r="D19" s="958"/>
      <c r="E19" s="959"/>
      <c r="F19" s="960">
        <v>10398422</v>
      </c>
      <c r="G19" s="961"/>
      <c r="H19" s="958">
        <v>10505901</v>
      </c>
      <c r="I19" s="959"/>
      <c r="J19" s="960">
        <v>13164235</v>
      </c>
      <c r="K19" s="961"/>
      <c r="L19" s="958">
        <v>11370986</v>
      </c>
      <c r="M19" s="959"/>
      <c r="N19" s="960">
        <v>12158479</v>
      </c>
      <c r="O19" s="959"/>
      <c r="P19" s="962">
        <v>14871717</v>
      </c>
      <c r="Q19" s="961">
        <f t="shared" si="0"/>
        <v>2201151</v>
      </c>
      <c r="R19" s="960">
        <v>14912340</v>
      </c>
      <c r="S19" s="961">
        <f t="shared" si="1"/>
        <v>2979020</v>
      </c>
      <c r="T19" s="958">
        <v>13721984</v>
      </c>
      <c r="U19" s="959">
        <f t="shared" si="2"/>
        <v>4590952</v>
      </c>
      <c r="V19" s="960">
        <v>14532618</v>
      </c>
      <c r="W19" s="961">
        <f t="shared" si="3"/>
        <v>4984854</v>
      </c>
      <c r="X19" s="958">
        <v>14300663</v>
      </c>
      <c r="Y19" s="959">
        <f t="shared" si="4"/>
        <v>6927989</v>
      </c>
      <c r="Z19" s="960">
        <v>15748096</v>
      </c>
      <c r="AA19" s="961">
        <f t="shared" si="5"/>
        <v>7720288</v>
      </c>
      <c r="AB19" s="958">
        <v>23552753</v>
      </c>
      <c r="AC19" s="959">
        <f t="shared" si="6"/>
        <v>-2639741</v>
      </c>
      <c r="AD19" s="960">
        <v>16231486</v>
      </c>
      <c r="AE19" s="961">
        <f t="shared" si="7"/>
        <v>9705458</v>
      </c>
      <c r="AF19" s="958">
        <v>16690618</v>
      </c>
      <c r="AG19" s="959">
        <f t="shared" si="8"/>
        <v>9329854</v>
      </c>
      <c r="AH19" s="962">
        <v>15642171</v>
      </c>
      <c r="AI19" s="961">
        <f t="shared" si="9"/>
        <v>7050513</v>
      </c>
      <c r="AJ19" s="958">
        <v>16194294</v>
      </c>
      <c r="AK19" s="959">
        <f t="shared" si="10"/>
        <v>6846882</v>
      </c>
      <c r="AL19" s="960">
        <v>18164399</v>
      </c>
      <c r="AM19" s="961">
        <f t="shared" si="11"/>
        <v>9664197</v>
      </c>
      <c r="AN19" s="995">
        <v>60968330</v>
      </c>
      <c r="AO19" s="996">
        <f t="shared" si="12"/>
        <v>199309.65728274174</v>
      </c>
      <c r="AP19" s="1008">
        <v>66919301</v>
      </c>
      <c r="AQ19" s="1009">
        <f t="shared" si="12"/>
        <v>210067.17285382832</v>
      </c>
      <c r="AR19" s="960">
        <v>19541358</v>
      </c>
      <c r="AS19" s="961">
        <f t="shared" si="13"/>
        <v>13223074</v>
      </c>
      <c r="AT19" s="960">
        <v>19923550</v>
      </c>
      <c r="AU19" s="961">
        <f t="shared" si="14"/>
        <v>12697650</v>
      </c>
      <c r="AV19" s="995">
        <v>76218432</v>
      </c>
      <c r="AW19" s="996">
        <f t="shared" si="15"/>
        <v>242021.60094451005</v>
      </c>
      <c r="AX19" s="1008">
        <v>76048149</v>
      </c>
      <c r="AY19" s="996">
        <f t="shared" si="15"/>
        <v>223023.77558139534</v>
      </c>
      <c r="AZ19" s="960">
        <v>36226394</v>
      </c>
      <c r="BA19" s="961">
        <f t="shared" si="16"/>
        <v>1278182</v>
      </c>
      <c r="BB19" s="960"/>
      <c r="BC19" s="961"/>
      <c r="BD19" s="963"/>
    </row>
    <row r="20" spans="2:56" s="956" customFormat="1">
      <c r="B20" s="1745"/>
      <c r="C20" s="957" t="s">
        <v>2863</v>
      </c>
      <c r="D20" s="958"/>
      <c r="E20" s="959"/>
      <c r="F20" s="960">
        <v>10388856</v>
      </c>
      <c r="G20" s="961"/>
      <c r="H20" s="958">
        <v>10451978</v>
      </c>
      <c r="I20" s="959"/>
      <c r="J20" s="960">
        <v>13132821</v>
      </c>
      <c r="K20" s="961"/>
      <c r="L20" s="958">
        <v>11363525</v>
      </c>
      <c r="M20" s="959"/>
      <c r="N20" s="960">
        <v>12117508</v>
      </c>
      <c r="O20" s="959"/>
      <c r="P20" s="962">
        <v>14859036</v>
      </c>
      <c r="Q20" s="961">
        <f t="shared" si="0"/>
        <v>2163108</v>
      </c>
      <c r="R20" s="960">
        <v>14911858</v>
      </c>
      <c r="S20" s="961">
        <f t="shared" si="1"/>
        <v>2977574</v>
      </c>
      <c r="T20" s="958">
        <v>13640353</v>
      </c>
      <c r="U20" s="959">
        <f t="shared" si="2"/>
        <v>4346059</v>
      </c>
      <c r="V20" s="960">
        <v>14526935</v>
      </c>
      <c r="W20" s="961">
        <f t="shared" si="3"/>
        <v>4967805</v>
      </c>
      <c r="X20" s="958">
        <v>14273769</v>
      </c>
      <c r="Y20" s="959">
        <f t="shared" si="4"/>
        <v>6847307</v>
      </c>
      <c r="Z20" s="960">
        <v>15681542</v>
      </c>
      <c r="AA20" s="961">
        <f t="shared" si="5"/>
        <v>7520626</v>
      </c>
      <c r="AB20" s="958">
        <v>23362237</v>
      </c>
      <c r="AC20" s="959">
        <f t="shared" si="6"/>
        <v>-3211289</v>
      </c>
      <c r="AD20" s="960">
        <v>16227329</v>
      </c>
      <c r="AE20" s="961">
        <f t="shared" si="7"/>
        <v>9692987</v>
      </c>
      <c r="AF20" s="958">
        <v>16684828</v>
      </c>
      <c r="AG20" s="959">
        <f t="shared" si="8"/>
        <v>9312484</v>
      </c>
      <c r="AH20" s="962">
        <v>15613124</v>
      </c>
      <c r="AI20" s="961">
        <f t="shared" si="9"/>
        <v>6963372</v>
      </c>
      <c r="AJ20" s="958">
        <v>16182313</v>
      </c>
      <c r="AK20" s="959">
        <f t="shared" si="10"/>
        <v>6810939</v>
      </c>
      <c r="AL20" s="960">
        <v>18131912</v>
      </c>
      <c r="AM20" s="961">
        <f t="shared" si="11"/>
        <v>9566736</v>
      </c>
      <c r="AN20" s="995">
        <v>60671038</v>
      </c>
      <c r="AO20" s="996">
        <f t="shared" si="12"/>
        <v>198218.00979192168</v>
      </c>
      <c r="AP20" s="1008">
        <v>66720342</v>
      </c>
      <c r="AQ20" s="1009">
        <f t="shared" si="12"/>
        <v>209374.74013921115</v>
      </c>
      <c r="AR20" s="960">
        <v>19522254</v>
      </c>
      <c r="AS20" s="961">
        <f t="shared" si="13"/>
        <v>13165762</v>
      </c>
      <c r="AT20" s="960">
        <v>19914084</v>
      </c>
      <c r="AU20" s="961">
        <f t="shared" si="14"/>
        <v>12669252</v>
      </c>
      <c r="AV20" s="995">
        <v>76068398</v>
      </c>
      <c r="AW20" s="996">
        <f t="shared" si="15"/>
        <v>241490.19362455726</v>
      </c>
      <c r="AX20" s="1008">
        <v>74900855</v>
      </c>
      <c r="AY20" s="996">
        <f t="shared" si="15"/>
        <v>219021.58720930232</v>
      </c>
      <c r="AZ20" s="960">
        <v>36179467</v>
      </c>
      <c r="BA20" s="961">
        <f t="shared" si="16"/>
        <v>1137401</v>
      </c>
      <c r="BB20" s="960"/>
      <c r="BC20" s="961"/>
      <c r="BD20" s="963"/>
    </row>
    <row r="21" spans="2:56" s="956" customFormat="1">
      <c r="B21" s="1745"/>
      <c r="C21" s="957" t="s">
        <v>2864</v>
      </c>
      <c r="D21" s="958"/>
      <c r="E21" s="959"/>
      <c r="F21" s="960">
        <v>10359204</v>
      </c>
      <c r="G21" s="961"/>
      <c r="H21" s="958">
        <v>10422330</v>
      </c>
      <c r="I21" s="959"/>
      <c r="J21" s="960">
        <v>13093899</v>
      </c>
      <c r="K21" s="961"/>
      <c r="L21" s="958">
        <v>11357892</v>
      </c>
      <c r="M21" s="959"/>
      <c r="N21" s="960">
        <v>12104394</v>
      </c>
      <c r="O21" s="959"/>
      <c r="P21" s="962">
        <v>14851169</v>
      </c>
      <c r="Q21" s="961">
        <f t="shared" si="0"/>
        <v>2139507</v>
      </c>
      <c r="R21" s="960">
        <v>14747465</v>
      </c>
      <c r="S21" s="961">
        <f t="shared" si="1"/>
        <v>2484395</v>
      </c>
      <c r="T21" s="958">
        <v>13618642</v>
      </c>
      <c r="U21" s="959">
        <f t="shared" si="2"/>
        <v>4280926</v>
      </c>
      <c r="V21" s="960">
        <v>14517321</v>
      </c>
      <c r="W21" s="961">
        <f t="shared" si="3"/>
        <v>4938963</v>
      </c>
      <c r="X21" s="958">
        <v>14269416</v>
      </c>
      <c r="Y21" s="959">
        <f t="shared" si="4"/>
        <v>6834248</v>
      </c>
      <c r="Z21" s="960">
        <v>15655419</v>
      </c>
      <c r="AA21" s="961">
        <f t="shared" si="5"/>
        <v>7442257</v>
      </c>
      <c r="AB21" s="958">
        <v>23341372</v>
      </c>
      <c r="AC21" s="959">
        <f t="shared" si="6"/>
        <v>-3273884</v>
      </c>
      <c r="AD21" s="960">
        <v>16201986</v>
      </c>
      <c r="AE21" s="961">
        <f t="shared" si="7"/>
        <v>9616958</v>
      </c>
      <c r="AF21" s="958">
        <v>16644316</v>
      </c>
      <c r="AG21" s="959">
        <f t="shared" si="8"/>
        <v>9190948</v>
      </c>
      <c r="AH21" s="962">
        <v>15551130</v>
      </c>
      <c r="AI21" s="961">
        <f t="shared" si="9"/>
        <v>6777390</v>
      </c>
      <c r="AJ21" s="958">
        <v>16144451</v>
      </c>
      <c r="AK21" s="959">
        <f t="shared" si="10"/>
        <v>6697353</v>
      </c>
      <c r="AL21" s="960">
        <v>18123474</v>
      </c>
      <c r="AM21" s="961">
        <f t="shared" si="11"/>
        <v>9541422</v>
      </c>
      <c r="AN21" s="995">
        <v>60286991</v>
      </c>
      <c r="AO21" s="996">
        <f t="shared" si="12"/>
        <v>196807.80048959609</v>
      </c>
      <c r="AP21" s="1008">
        <v>66002307</v>
      </c>
      <c r="AQ21" s="1009">
        <f t="shared" si="12"/>
        <v>206875.77842227378</v>
      </c>
      <c r="AR21" s="960">
        <v>19492550</v>
      </c>
      <c r="AS21" s="961">
        <f t="shared" si="13"/>
        <v>13076650</v>
      </c>
      <c r="AT21" s="960">
        <v>19911503</v>
      </c>
      <c r="AU21" s="961">
        <f t="shared" si="14"/>
        <v>12661509</v>
      </c>
      <c r="AV21" s="995">
        <v>75992394</v>
      </c>
      <c r="AW21" s="996">
        <f t="shared" si="15"/>
        <v>241220.99409681227</v>
      </c>
      <c r="AX21" s="1008">
        <v>74408938</v>
      </c>
      <c r="AY21" s="996">
        <f t="shared" si="15"/>
        <v>217305.59767441862</v>
      </c>
      <c r="AZ21" s="960">
        <v>35820753</v>
      </c>
      <c r="BA21" s="961">
        <f t="shared" si="16"/>
        <v>61259</v>
      </c>
      <c r="BB21" s="960"/>
      <c r="BC21" s="961"/>
      <c r="BD21" s="963"/>
    </row>
    <row r="22" spans="2:56" s="956" customFormat="1">
      <c r="B22" s="1745"/>
      <c r="C22" s="957" t="s">
        <v>2865</v>
      </c>
      <c r="D22" s="958"/>
      <c r="E22" s="959"/>
      <c r="F22" s="960">
        <v>9845483</v>
      </c>
      <c r="G22" s="961"/>
      <c r="H22" s="958">
        <v>9671340</v>
      </c>
      <c r="I22" s="959"/>
      <c r="J22" s="960">
        <v>12205787</v>
      </c>
      <c r="K22" s="961"/>
      <c r="L22" s="958">
        <v>10922300</v>
      </c>
      <c r="M22" s="959"/>
      <c r="N22" s="960">
        <v>11679598</v>
      </c>
      <c r="O22" s="959"/>
      <c r="P22" s="962">
        <v>14281534</v>
      </c>
      <c r="Q22" s="961">
        <f t="shared" si="0"/>
        <v>430602</v>
      </c>
      <c r="R22" s="960">
        <v>14245788</v>
      </c>
      <c r="S22" s="961">
        <f t="shared" si="1"/>
        <v>979364</v>
      </c>
      <c r="T22" s="958">
        <v>12946179</v>
      </c>
      <c r="U22" s="959">
        <f t="shared" si="2"/>
        <v>2263537</v>
      </c>
      <c r="V22" s="960">
        <v>13841718</v>
      </c>
      <c r="W22" s="961">
        <f t="shared" si="3"/>
        <v>2912154</v>
      </c>
      <c r="X22" s="958">
        <v>13618403</v>
      </c>
      <c r="Y22" s="959">
        <f t="shared" si="4"/>
        <v>4881209</v>
      </c>
      <c r="Z22" s="960">
        <v>15114415</v>
      </c>
      <c r="AA22" s="961">
        <f t="shared" si="5"/>
        <v>5819245</v>
      </c>
      <c r="AB22" s="958">
        <v>21592301</v>
      </c>
      <c r="AC22" s="959">
        <f t="shared" si="6"/>
        <v>-8521097</v>
      </c>
      <c r="AD22" s="960">
        <v>15661854</v>
      </c>
      <c r="AE22" s="961">
        <f t="shared" si="7"/>
        <v>7996562</v>
      </c>
      <c r="AF22" s="958">
        <v>15992672</v>
      </c>
      <c r="AG22" s="959">
        <f t="shared" si="8"/>
        <v>7236016</v>
      </c>
      <c r="AH22" s="962">
        <v>14817419</v>
      </c>
      <c r="AI22" s="961">
        <f t="shared" si="9"/>
        <v>4576257</v>
      </c>
      <c r="AJ22" s="958">
        <v>15725938</v>
      </c>
      <c r="AK22" s="959">
        <f t="shared" si="10"/>
        <v>5441814</v>
      </c>
      <c r="AL22" s="960">
        <v>17675710</v>
      </c>
      <c r="AM22" s="961">
        <f t="shared" si="11"/>
        <v>8198130</v>
      </c>
      <c r="AN22" s="995">
        <v>54763153</v>
      </c>
      <c r="AO22" s="996">
        <f t="shared" si="12"/>
        <v>176524.42962056302</v>
      </c>
      <c r="AP22" s="1008">
        <v>60236310</v>
      </c>
      <c r="AQ22" s="1009">
        <f t="shared" si="12"/>
        <v>186808.50348027842</v>
      </c>
      <c r="AR22" s="960">
        <v>18901717</v>
      </c>
      <c r="AS22" s="961">
        <f t="shared" si="13"/>
        <v>11304151</v>
      </c>
      <c r="AT22" s="960">
        <v>19487625</v>
      </c>
      <c r="AU22" s="961">
        <f t="shared" si="14"/>
        <v>11389875</v>
      </c>
      <c r="AV22" s="995">
        <v>69323190</v>
      </c>
      <c r="AW22" s="996">
        <f t="shared" si="15"/>
        <v>217599.25619834711</v>
      </c>
      <c r="AX22" s="1008">
        <v>66445068</v>
      </c>
      <c r="AY22" s="996">
        <f t="shared" si="15"/>
        <v>189524.65581395349</v>
      </c>
      <c r="AZ22" s="960">
        <v>33714319</v>
      </c>
      <c r="BA22" s="961">
        <f t="shared" si="16"/>
        <v>-6258043</v>
      </c>
      <c r="BB22" s="960"/>
      <c r="BC22" s="961"/>
      <c r="BD22" s="963"/>
    </row>
    <row r="23" spans="2:56" s="956" customFormat="1">
      <c r="B23" s="1745"/>
      <c r="C23" s="957" t="s">
        <v>2866</v>
      </c>
      <c r="D23" s="958"/>
      <c r="E23" s="959"/>
      <c r="F23" s="960">
        <v>9616313</v>
      </c>
      <c r="G23" s="961"/>
      <c r="H23" s="958">
        <v>9344400</v>
      </c>
      <c r="I23" s="959"/>
      <c r="J23" s="960">
        <v>11803780</v>
      </c>
      <c r="K23" s="961"/>
      <c r="L23" s="958">
        <v>10691173</v>
      </c>
      <c r="M23" s="959"/>
      <c r="N23" s="960">
        <v>11407640</v>
      </c>
      <c r="O23" s="959"/>
      <c r="P23" s="962">
        <v>13923989</v>
      </c>
      <c r="Q23" s="961">
        <f t="shared" si="0"/>
        <v>-642033</v>
      </c>
      <c r="R23" s="960">
        <v>13921816</v>
      </c>
      <c r="S23" s="961">
        <f t="shared" si="1"/>
        <v>7448</v>
      </c>
      <c r="T23" s="958">
        <v>12619330</v>
      </c>
      <c r="U23" s="959">
        <f t="shared" si="2"/>
        <v>1282990</v>
      </c>
      <c r="V23" s="960">
        <v>13532975</v>
      </c>
      <c r="W23" s="961">
        <f t="shared" si="3"/>
        <v>1985925</v>
      </c>
      <c r="X23" s="958">
        <v>13289026</v>
      </c>
      <c r="Y23" s="959">
        <f t="shared" si="4"/>
        <v>3893078</v>
      </c>
      <c r="Z23" s="960">
        <v>14768924</v>
      </c>
      <c r="AA23" s="961">
        <f t="shared" si="5"/>
        <v>4782772</v>
      </c>
      <c r="AB23" s="958">
        <v>21065068</v>
      </c>
      <c r="AC23" s="959">
        <f t="shared" si="6"/>
        <v>-10102796</v>
      </c>
      <c r="AD23" s="960">
        <v>15459089</v>
      </c>
      <c r="AE23" s="961">
        <f t="shared" si="7"/>
        <v>7388267</v>
      </c>
      <c r="AF23" s="958">
        <v>15586824</v>
      </c>
      <c r="AG23" s="959">
        <f t="shared" si="8"/>
        <v>6018472</v>
      </c>
      <c r="AH23" s="962">
        <v>14471303</v>
      </c>
      <c r="AI23" s="961">
        <f t="shared" si="9"/>
        <v>3537909</v>
      </c>
      <c r="AJ23" s="958">
        <v>15494770</v>
      </c>
      <c r="AK23" s="959">
        <f t="shared" si="10"/>
        <v>4748310</v>
      </c>
      <c r="AL23" s="960">
        <v>17421483</v>
      </c>
      <c r="AM23" s="961">
        <f t="shared" si="11"/>
        <v>7435449</v>
      </c>
      <c r="AN23" s="995">
        <v>52568490</v>
      </c>
      <c r="AO23" s="996">
        <f t="shared" si="12"/>
        <v>168465.69155446757</v>
      </c>
      <c r="AP23" s="1008">
        <v>57854828</v>
      </c>
      <c r="AQ23" s="1009">
        <f t="shared" si="12"/>
        <v>178520.283062645</v>
      </c>
      <c r="AR23" s="960">
        <v>18529661</v>
      </c>
      <c r="AS23" s="961">
        <f t="shared" si="13"/>
        <v>10187983</v>
      </c>
      <c r="AT23" s="960">
        <v>19220021</v>
      </c>
      <c r="AU23" s="961">
        <f t="shared" si="14"/>
        <v>10587063</v>
      </c>
      <c r="AV23" s="995">
        <v>67146779</v>
      </c>
      <c r="AW23" s="996">
        <f t="shared" si="15"/>
        <v>209890.59858323494</v>
      </c>
      <c r="AX23" s="1008">
        <v>63247938</v>
      </c>
      <c r="AY23" s="996">
        <f t="shared" si="15"/>
        <v>178371.87674418604</v>
      </c>
      <c r="AZ23" s="960">
        <v>32686691</v>
      </c>
      <c r="BA23" s="961">
        <f t="shared" si="16"/>
        <v>-9340927</v>
      </c>
      <c r="BB23" s="960"/>
      <c r="BC23" s="961"/>
      <c r="BD23" s="963"/>
    </row>
    <row r="24" spans="2:56" s="956" customFormat="1">
      <c r="B24" s="1745"/>
      <c r="C24" s="957" t="s">
        <v>2867</v>
      </c>
      <c r="D24" s="958"/>
      <c r="E24" s="959"/>
      <c r="F24" s="960">
        <v>8866254</v>
      </c>
      <c r="G24" s="961"/>
      <c r="H24" s="958">
        <v>8634059</v>
      </c>
      <c r="I24" s="959"/>
      <c r="J24" s="960">
        <v>11123339</v>
      </c>
      <c r="K24" s="961"/>
      <c r="L24" s="958">
        <v>10064836</v>
      </c>
      <c r="M24" s="959"/>
      <c r="N24" s="960">
        <v>10742583</v>
      </c>
      <c r="O24" s="959"/>
      <c r="P24" s="962">
        <v>13056820</v>
      </c>
      <c r="Q24" s="961">
        <f t="shared" si="0"/>
        <v>-3243540</v>
      </c>
      <c r="R24" s="960">
        <v>13343846</v>
      </c>
      <c r="S24" s="961">
        <f t="shared" si="1"/>
        <v>-1726462</v>
      </c>
      <c r="T24" s="958">
        <v>12023466</v>
      </c>
      <c r="U24" s="959">
        <f t="shared" si="2"/>
        <v>-504602</v>
      </c>
      <c r="V24" s="960">
        <v>13013552</v>
      </c>
      <c r="W24" s="961">
        <f t="shared" si="3"/>
        <v>427656</v>
      </c>
      <c r="X24" s="958">
        <v>12638047</v>
      </c>
      <c r="Y24" s="959">
        <f t="shared" si="4"/>
        <v>1940141</v>
      </c>
      <c r="Z24" s="960">
        <v>14179560</v>
      </c>
      <c r="AA24" s="961">
        <f t="shared" si="5"/>
        <v>3014680</v>
      </c>
      <c r="AB24" s="958">
        <v>19566123</v>
      </c>
      <c r="AC24" s="959">
        <f t="shared" si="6"/>
        <v>-14599631</v>
      </c>
      <c r="AD24" s="960">
        <v>14881400</v>
      </c>
      <c r="AE24" s="961">
        <f t="shared" si="7"/>
        <v>5655200</v>
      </c>
      <c r="AF24" s="958">
        <v>14705465</v>
      </c>
      <c r="AG24" s="959">
        <f t="shared" si="8"/>
        <v>3374395</v>
      </c>
      <c r="AH24" s="962">
        <v>13783537</v>
      </c>
      <c r="AI24" s="961">
        <f t="shared" si="9"/>
        <v>1474611</v>
      </c>
      <c r="AJ24" s="958">
        <v>14763455</v>
      </c>
      <c r="AK24" s="959">
        <f t="shared" si="10"/>
        <v>2554365</v>
      </c>
      <c r="AL24" s="960">
        <v>16601261</v>
      </c>
      <c r="AM24" s="961">
        <f t="shared" si="11"/>
        <v>4974783</v>
      </c>
      <c r="AN24" s="995">
        <v>46640924</v>
      </c>
      <c r="AO24" s="996">
        <f t="shared" si="12"/>
        <v>146699.84332925337</v>
      </c>
      <c r="AP24" s="1008">
        <v>50964960</v>
      </c>
      <c r="AQ24" s="1009">
        <f t="shared" si="12"/>
        <v>154541.62412993039</v>
      </c>
      <c r="AR24" s="960">
        <v>17546847</v>
      </c>
      <c r="AS24" s="961">
        <f t="shared" si="13"/>
        <v>7239541</v>
      </c>
      <c r="AT24" s="960">
        <v>18624552</v>
      </c>
      <c r="AU24" s="961">
        <f t="shared" si="14"/>
        <v>8800656</v>
      </c>
      <c r="AV24" s="995">
        <v>61255169</v>
      </c>
      <c r="AW24" s="996">
        <f t="shared" si="15"/>
        <v>189023.03069657614</v>
      </c>
      <c r="AX24" s="1008">
        <v>55514518</v>
      </c>
      <c r="AY24" s="996">
        <f t="shared" si="15"/>
        <v>151394.83023255813</v>
      </c>
      <c r="AZ24" s="960">
        <v>29668839</v>
      </c>
      <c r="BA24" s="961">
        <f t="shared" si="16"/>
        <v>-18394483</v>
      </c>
      <c r="BB24" s="960"/>
      <c r="BC24" s="961"/>
      <c r="BD24" s="963"/>
    </row>
    <row r="25" spans="2:56" s="956" customFormat="1">
      <c r="B25" s="1745"/>
      <c r="C25" s="957" t="s">
        <v>2868</v>
      </c>
      <c r="D25" s="958"/>
      <c r="E25" s="959"/>
      <c r="F25" s="960">
        <v>8464424</v>
      </c>
      <c r="G25" s="961"/>
      <c r="H25" s="958">
        <v>8320372</v>
      </c>
      <c r="I25" s="959"/>
      <c r="J25" s="960">
        <v>10763463</v>
      </c>
      <c r="K25" s="961"/>
      <c r="L25" s="958">
        <v>9784342</v>
      </c>
      <c r="M25" s="959"/>
      <c r="N25" s="960">
        <v>10411298</v>
      </c>
      <c r="O25" s="959"/>
      <c r="P25" s="962">
        <v>12707523</v>
      </c>
      <c r="Q25" s="961">
        <f t="shared" si="0"/>
        <v>-4291431</v>
      </c>
      <c r="R25" s="960">
        <v>13016574</v>
      </c>
      <c r="S25" s="961">
        <f t="shared" si="1"/>
        <v>-2708278</v>
      </c>
      <c r="T25" s="958">
        <v>11644914</v>
      </c>
      <c r="U25" s="959">
        <f t="shared" si="2"/>
        <v>-1640258</v>
      </c>
      <c r="V25" s="960">
        <v>12777029</v>
      </c>
      <c r="W25" s="961">
        <f t="shared" si="3"/>
        <v>-281913</v>
      </c>
      <c r="X25" s="958">
        <v>12292439</v>
      </c>
      <c r="Y25" s="959">
        <f t="shared" si="4"/>
        <v>903317</v>
      </c>
      <c r="Z25" s="960">
        <v>13834578</v>
      </c>
      <c r="AA25" s="961">
        <f t="shared" si="5"/>
        <v>1979734</v>
      </c>
      <c r="AB25" s="958">
        <v>18976289</v>
      </c>
      <c r="AC25" s="959">
        <f t="shared" si="6"/>
        <v>-16369133</v>
      </c>
      <c r="AD25" s="960">
        <v>14556908</v>
      </c>
      <c r="AE25" s="961">
        <f t="shared" si="7"/>
        <v>4681724</v>
      </c>
      <c r="AF25" s="958">
        <v>14318552</v>
      </c>
      <c r="AG25" s="959">
        <f t="shared" si="8"/>
        <v>2213656</v>
      </c>
      <c r="AH25" s="962">
        <v>13412869</v>
      </c>
      <c r="AI25" s="961">
        <f t="shared" si="9"/>
        <v>362607</v>
      </c>
      <c r="AJ25" s="958">
        <v>14401818</v>
      </c>
      <c r="AK25" s="959">
        <f t="shared" si="10"/>
        <v>1469454</v>
      </c>
      <c r="AL25" s="960">
        <v>16111452</v>
      </c>
      <c r="AM25" s="961">
        <f t="shared" si="11"/>
        <v>3505356</v>
      </c>
      <c r="AN25" s="995">
        <v>43972147</v>
      </c>
      <c r="AO25" s="996">
        <f t="shared" si="12"/>
        <v>136900.17258261933</v>
      </c>
      <c r="AP25" s="1008">
        <v>47497797</v>
      </c>
      <c r="AQ25" s="1009">
        <f t="shared" si="12"/>
        <v>142474.93155452437</v>
      </c>
      <c r="AR25" s="960">
        <v>16821308</v>
      </c>
      <c r="AS25" s="961">
        <f t="shared" si="13"/>
        <v>5062924</v>
      </c>
      <c r="AT25" s="960">
        <v>18245236</v>
      </c>
      <c r="AU25" s="961">
        <f t="shared" si="14"/>
        <v>7662708</v>
      </c>
      <c r="AV25" s="995">
        <v>57751655</v>
      </c>
      <c r="AW25" s="996">
        <f t="shared" si="15"/>
        <v>176613.89020070838</v>
      </c>
      <c r="AX25" s="1008">
        <v>52137355</v>
      </c>
      <c r="AY25" s="996">
        <f t="shared" si="15"/>
        <v>139614.02906976745</v>
      </c>
      <c r="AZ25" s="960">
        <v>27641568</v>
      </c>
      <c r="BA25" s="961">
        <f t="shared" si="16"/>
        <v>-24476296</v>
      </c>
      <c r="BB25" s="960"/>
      <c r="BC25" s="961"/>
      <c r="BD25" s="963"/>
    </row>
    <row r="26" spans="2:56" s="956" customFormat="1">
      <c r="B26" s="1745"/>
      <c r="C26" s="957" t="s">
        <v>2869</v>
      </c>
      <c r="D26" s="958"/>
      <c r="E26" s="959"/>
      <c r="F26" s="960">
        <v>7846380</v>
      </c>
      <c r="G26" s="961"/>
      <c r="H26" s="958">
        <v>7788738</v>
      </c>
      <c r="I26" s="959"/>
      <c r="J26" s="960">
        <v>10185320</v>
      </c>
      <c r="K26" s="961"/>
      <c r="L26" s="958">
        <v>9372189</v>
      </c>
      <c r="M26" s="959"/>
      <c r="N26" s="960">
        <v>9947739</v>
      </c>
      <c r="O26" s="959"/>
      <c r="P26" s="962">
        <v>12168488</v>
      </c>
      <c r="Q26" s="961">
        <f t="shared" si="0"/>
        <v>-5908536</v>
      </c>
      <c r="R26" s="960">
        <v>12434583</v>
      </c>
      <c r="S26" s="961">
        <f t="shared" si="1"/>
        <v>-4454251</v>
      </c>
      <c r="T26" s="958">
        <v>11102847</v>
      </c>
      <c r="U26" s="959">
        <f t="shared" si="2"/>
        <v>-3266459</v>
      </c>
      <c r="V26" s="960">
        <v>12380782</v>
      </c>
      <c r="W26" s="961">
        <f t="shared" si="3"/>
        <v>-1470654</v>
      </c>
      <c r="X26" s="958">
        <v>11663330</v>
      </c>
      <c r="Y26" s="959">
        <f t="shared" si="4"/>
        <v>-984010</v>
      </c>
      <c r="Z26" s="960">
        <v>13304084</v>
      </c>
      <c r="AA26" s="961">
        <f t="shared" si="5"/>
        <v>388252</v>
      </c>
      <c r="AB26" s="958">
        <v>17997793</v>
      </c>
      <c r="AC26" s="959">
        <f t="shared" si="6"/>
        <v>-19304621</v>
      </c>
      <c r="AD26" s="960">
        <v>13996829</v>
      </c>
      <c r="AE26" s="961">
        <f t="shared" si="7"/>
        <v>3001487</v>
      </c>
      <c r="AF26" s="958">
        <v>13817429</v>
      </c>
      <c r="AG26" s="959">
        <f t="shared" si="8"/>
        <v>710287</v>
      </c>
      <c r="AH26" s="962">
        <v>12845709</v>
      </c>
      <c r="AI26" s="961">
        <f t="shared" si="9"/>
        <v>-1338873</v>
      </c>
      <c r="AJ26" s="958">
        <v>13881412</v>
      </c>
      <c r="AK26" s="959">
        <f t="shared" si="10"/>
        <v>-91764</v>
      </c>
      <c r="AL26" s="960">
        <v>15310483</v>
      </c>
      <c r="AM26" s="961">
        <f t="shared" si="11"/>
        <v>1102449</v>
      </c>
      <c r="AN26" s="995">
        <v>39742694</v>
      </c>
      <c r="AO26" s="996">
        <f t="shared" si="12"/>
        <v>121369.74541003672</v>
      </c>
      <c r="AP26" s="1008">
        <v>41785269</v>
      </c>
      <c r="AQ26" s="1009">
        <f t="shared" si="12"/>
        <v>122593.74361948956</v>
      </c>
      <c r="AR26" s="960">
        <v>15738449</v>
      </c>
      <c r="AS26" s="961">
        <f t="shared" si="13"/>
        <v>1814347</v>
      </c>
      <c r="AT26" s="960">
        <v>17471129</v>
      </c>
      <c r="AU26" s="961">
        <f t="shared" si="14"/>
        <v>5340387</v>
      </c>
      <c r="AV26" s="995">
        <v>51457938</v>
      </c>
      <c r="AW26" s="996">
        <f t="shared" si="15"/>
        <v>154322.09445100353</v>
      </c>
      <c r="AX26" s="1008">
        <v>45886173</v>
      </c>
      <c r="AY26" s="996">
        <f t="shared" si="15"/>
        <v>117807.58023255815</v>
      </c>
      <c r="AZ26" s="960">
        <v>24346499</v>
      </c>
      <c r="BA26" s="961">
        <f t="shared" si="16"/>
        <v>-34361503</v>
      </c>
      <c r="BB26" s="960"/>
      <c r="BC26" s="961"/>
      <c r="BD26" s="963"/>
    </row>
    <row r="27" spans="2:56" s="956" customFormat="1">
      <c r="B27" s="1745"/>
      <c r="C27" s="957" t="s">
        <v>2870</v>
      </c>
      <c r="D27" s="958"/>
      <c r="E27" s="959"/>
      <c r="F27" s="960">
        <v>6899383</v>
      </c>
      <c r="G27" s="961"/>
      <c r="H27" s="958">
        <v>6882418</v>
      </c>
      <c r="I27" s="959"/>
      <c r="J27" s="960">
        <v>9277545</v>
      </c>
      <c r="K27" s="961"/>
      <c r="L27" s="958">
        <v>8695165</v>
      </c>
      <c r="M27" s="959"/>
      <c r="N27" s="960">
        <v>9256237</v>
      </c>
      <c r="O27" s="959"/>
      <c r="P27" s="962">
        <v>11326428</v>
      </c>
      <c r="Q27" s="961">
        <f t="shared" si="0"/>
        <v>-8434716</v>
      </c>
      <c r="R27" s="960">
        <v>11573933</v>
      </c>
      <c r="S27" s="961">
        <f t="shared" si="1"/>
        <v>-7036201</v>
      </c>
      <c r="T27" s="958">
        <v>10331682</v>
      </c>
      <c r="U27" s="959">
        <f t="shared" si="2"/>
        <v>-5579954</v>
      </c>
      <c r="V27" s="960">
        <v>11687149</v>
      </c>
      <c r="W27" s="961">
        <f t="shared" si="3"/>
        <v>-3551553</v>
      </c>
      <c r="X27" s="958">
        <v>10859629</v>
      </c>
      <c r="Y27" s="959">
        <f t="shared" si="4"/>
        <v>-3395113</v>
      </c>
      <c r="Z27" s="960">
        <v>12477746</v>
      </c>
      <c r="AA27" s="961">
        <f t="shared" si="5"/>
        <v>-2090762</v>
      </c>
      <c r="AB27" s="958">
        <v>16557984</v>
      </c>
      <c r="AC27" s="959">
        <f t="shared" si="6"/>
        <v>-23624048</v>
      </c>
      <c r="AD27" s="960">
        <v>13123905</v>
      </c>
      <c r="AE27" s="961">
        <f t="shared" si="7"/>
        <v>382715</v>
      </c>
      <c r="AF27" s="958">
        <v>13156687</v>
      </c>
      <c r="AG27" s="959">
        <f t="shared" si="8"/>
        <v>-1271939</v>
      </c>
      <c r="AH27" s="962">
        <v>11958299</v>
      </c>
      <c r="AI27" s="961">
        <f t="shared" si="9"/>
        <v>-4001103</v>
      </c>
      <c r="AJ27" s="958">
        <v>13053543</v>
      </c>
      <c r="AK27" s="959">
        <f t="shared" si="10"/>
        <v>-2575371</v>
      </c>
      <c r="AL27" s="960">
        <v>14245696</v>
      </c>
      <c r="AM27" s="961">
        <f t="shared" si="11"/>
        <v>-2091912</v>
      </c>
      <c r="AN27" s="995">
        <v>34757404</v>
      </c>
      <c r="AO27" s="996">
        <f t="shared" si="12"/>
        <v>103063.90697674418</v>
      </c>
      <c r="AP27" s="1008">
        <v>35439631</v>
      </c>
      <c r="AQ27" s="1009">
        <f t="shared" si="12"/>
        <v>100509.156612529</v>
      </c>
      <c r="AR27" s="960">
        <v>14821552</v>
      </c>
      <c r="AS27" s="961">
        <f t="shared" si="13"/>
        <v>-936344</v>
      </c>
      <c r="AT27" s="960">
        <v>16439941</v>
      </c>
      <c r="AU27" s="961">
        <f t="shared" si="14"/>
        <v>2246823</v>
      </c>
      <c r="AV27" s="995">
        <v>44208099</v>
      </c>
      <c r="AW27" s="996">
        <f t="shared" si="15"/>
        <v>128643.79811097993</v>
      </c>
      <c r="AX27" s="1008">
        <v>39241413</v>
      </c>
      <c r="AY27" s="996">
        <f t="shared" si="15"/>
        <v>94628.184883720925</v>
      </c>
      <c r="AZ27" s="960">
        <v>20544932</v>
      </c>
      <c r="BA27" s="961">
        <f t="shared" si="16"/>
        <v>-45766204</v>
      </c>
      <c r="BB27" s="960"/>
      <c r="BC27" s="961"/>
      <c r="BD27" s="963"/>
    </row>
    <row r="28" spans="2:56" s="956" customFormat="1">
      <c r="B28" s="1745"/>
      <c r="C28" s="957" t="s">
        <v>2871</v>
      </c>
      <c r="D28" s="958"/>
      <c r="E28" s="959"/>
      <c r="F28" s="960">
        <v>6302703</v>
      </c>
      <c r="G28" s="961"/>
      <c r="H28" s="958">
        <v>6336893</v>
      </c>
      <c r="I28" s="959"/>
      <c r="J28" s="960">
        <v>8674999</v>
      </c>
      <c r="K28" s="961"/>
      <c r="L28" s="958">
        <v>8217160</v>
      </c>
      <c r="M28" s="959"/>
      <c r="N28" s="960">
        <v>8769017</v>
      </c>
      <c r="O28" s="959"/>
      <c r="P28" s="962">
        <v>10782965</v>
      </c>
      <c r="Q28" s="961">
        <f t="shared" si="0"/>
        <v>-10065105</v>
      </c>
      <c r="R28" s="960">
        <v>11014833</v>
      </c>
      <c r="S28" s="961">
        <f t="shared" si="1"/>
        <v>-8713501</v>
      </c>
      <c r="T28" s="958">
        <v>9835636</v>
      </c>
      <c r="U28" s="959">
        <f t="shared" si="2"/>
        <v>-7068092</v>
      </c>
      <c r="V28" s="960">
        <v>11179535</v>
      </c>
      <c r="W28" s="961">
        <f t="shared" si="3"/>
        <v>-5074395</v>
      </c>
      <c r="X28" s="958">
        <v>10311221</v>
      </c>
      <c r="Y28" s="959">
        <f t="shared" si="4"/>
        <v>-5040337</v>
      </c>
      <c r="Z28" s="960">
        <v>11932245</v>
      </c>
      <c r="AA28" s="961">
        <f t="shared" si="5"/>
        <v>-3727265</v>
      </c>
      <c r="AB28" s="958">
        <v>15673887</v>
      </c>
      <c r="AC28" s="959">
        <f t="shared" si="6"/>
        <v>-26276339</v>
      </c>
      <c r="AD28" s="960">
        <v>12578631</v>
      </c>
      <c r="AE28" s="961">
        <f t="shared" si="7"/>
        <v>-1253107</v>
      </c>
      <c r="AF28" s="958">
        <v>12607462</v>
      </c>
      <c r="AG28" s="959">
        <f t="shared" si="8"/>
        <v>-2919614</v>
      </c>
      <c r="AH28" s="962">
        <v>11294261</v>
      </c>
      <c r="AI28" s="961">
        <f t="shared" si="9"/>
        <v>-5993217</v>
      </c>
      <c r="AJ28" s="958">
        <v>12309909</v>
      </c>
      <c r="AK28" s="959">
        <f t="shared" si="10"/>
        <v>-4806273</v>
      </c>
      <c r="AL28" s="960">
        <v>13426670</v>
      </c>
      <c r="AM28" s="961">
        <f t="shared" si="11"/>
        <v>-4548990</v>
      </c>
      <c r="AN28" s="995">
        <v>31743468</v>
      </c>
      <c r="AO28" s="996">
        <f t="shared" si="12"/>
        <v>91996.822521419832</v>
      </c>
      <c r="AP28" s="1008">
        <v>32128249</v>
      </c>
      <c r="AQ28" s="1009">
        <f t="shared" si="12"/>
        <v>88984.625290023207</v>
      </c>
      <c r="AR28" s="960">
        <v>14241580</v>
      </c>
      <c r="AS28" s="961">
        <f t="shared" si="13"/>
        <v>-2676260</v>
      </c>
      <c r="AT28" s="960">
        <v>15674435</v>
      </c>
      <c r="AU28" s="961">
        <f t="shared" si="14"/>
        <v>-49695</v>
      </c>
      <c r="AV28" s="995">
        <v>39783963</v>
      </c>
      <c r="AW28" s="996">
        <f t="shared" si="15"/>
        <v>112973.89492325856</v>
      </c>
      <c r="AX28" s="1008">
        <v>35323716</v>
      </c>
      <c r="AY28" s="996">
        <f t="shared" si="15"/>
        <v>80961.8</v>
      </c>
      <c r="AZ28" s="960">
        <v>18330688</v>
      </c>
      <c r="BA28" s="961">
        <f t="shared" si="16"/>
        <v>-52408936</v>
      </c>
      <c r="BB28" s="960"/>
      <c r="BC28" s="961"/>
      <c r="BD28" s="963"/>
    </row>
    <row r="29" spans="2:56" s="956" customFormat="1">
      <c r="B29" s="1745"/>
      <c r="C29" s="957" t="s">
        <v>2872</v>
      </c>
      <c r="D29" s="958"/>
      <c r="E29" s="959"/>
      <c r="F29" s="960">
        <v>5850844</v>
      </c>
      <c r="G29" s="961"/>
      <c r="H29" s="958">
        <v>5901786</v>
      </c>
      <c r="I29" s="959"/>
      <c r="J29" s="960">
        <v>8204009</v>
      </c>
      <c r="K29" s="961"/>
      <c r="L29" s="958">
        <v>7808344</v>
      </c>
      <c r="M29" s="959"/>
      <c r="N29" s="960">
        <v>8413622</v>
      </c>
      <c r="O29" s="959"/>
      <c r="P29" s="962">
        <v>10360772</v>
      </c>
      <c r="Q29" s="961">
        <f t="shared" si="0"/>
        <v>-11331684</v>
      </c>
      <c r="R29" s="960">
        <v>10544278</v>
      </c>
      <c r="S29" s="961">
        <f t="shared" si="1"/>
        <v>-10125166</v>
      </c>
      <c r="T29" s="958">
        <v>9412514</v>
      </c>
      <c r="U29" s="959">
        <f t="shared" si="2"/>
        <v>-8337458</v>
      </c>
      <c r="V29" s="960">
        <v>10724088</v>
      </c>
      <c r="W29" s="961">
        <f t="shared" si="3"/>
        <v>-6440736</v>
      </c>
      <c r="X29" s="958">
        <v>9830689</v>
      </c>
      <c r="Y29" s="959">
        <f t="shared" si="4"/>
        <v>-6481933</v>
      </c>
      <c r="Z29" s="960">
        <v>11427362</v>
      </c>
      <c r="AA29" s="961">
        <f t="shared" si="5"/>
        <v>-5241914</v>
      </c>
      <c r="AB29" s="958">
        <v>14922285</v>
      </c>
      <c r="AC29" s="959">
        <f t="shared" si="6"/>
        <v>-28531145</v>
      </c>
      <c r="AD29" s="960">
        <v>12102624</v>
      </c>
      <c r="AE29" s="961">
        <f t="shared" si="7"/>
        <v>-2681128</v>
      </c>
      <c r="AF29" s="958">
        <v>12132524</v>
      </c>
      <c r="AG29" s="959">
        <f t="shared" si="8"/>
        <v>-4344428</v>
      </c>
      <c r="AH29" s="962">
        <v>10709773</v>
      </c>
      <c r="AI29" s="961">
        <f t="shared" si="9"/>
        <v>-7746681</v>
      </c>
      <c r="AJ29" s="958">
        <v>11618461</v>
      </c>
      <c r="AK29" s="959">
        <f t="shared" si="10"/>
        <v>-6880617</v>
      </c>
      <c r="AL29" s="960">
        <v>12680503</v>
      </c>
      <c r="AM29" s="961">
        <f t="shared" si="11"/>
        <v>-6787491</v>
      </c>
      <c r="AN29" s="995">
        <v>29676602</v>
      </c>
      <c r="AO29" s="996">
        <f t="shared" si="12"/>
        <v>84407.351285189725</v>
      </c>
      <c r="AP29" s="1008">
        <v>29867284</v>
      </c>
      <c r="AQ29" s="1009">
        <f t="shared" si="12"/>
        <v>81115.837587006958</v>
      </c>
      <c r="AR29" s="960">
        <v>13772828</v>
      </c>
      <c r="AS29" s="961">
        <f t="shared" si="13"/>
        <v>-4082516</v>
      </c>
      <c r="AT29" s="960">
        <v>15039384</v>
      </c>
      <c r="AU29" s="961">
        <f t="shared" si="14"/>
        <v>-1954848</v>
      </c>
      <c r="AV29" s="995">
        <v>36422445</v>
      </c>
      <c r="AW29" s="996">
        <f t="shared" si="15"/>
        <v>101067.69185360095</v>
      </c>
      <c r="AX29" s="1008">
        <v>32723235</v>
      </c>
      <c r="AY29" s="996">
        <f t="shared" si="15"/>
        <v>71890.354651162794</v>
      </c>
      <c r="AZ29" s="960">
        <v>16731996</v>
      </c>
      <c r="BA29" s="961">
        <f t="shared" si="16"/>
        <v>-57205012</v>
      </c>
      <c r="BB29" s="960"/>
      <c r="BC29" s="961"/>
      <c r="BD29" s="963"/>
    </row>
    <row r="30" spans="2:56" s="956" customFormat="1">
      <c r="B30" s="1745"/>
      <c r="C30" s="957" t="s">
        <v>2873</v>
      </c>
      <c r="D30" s="958"/>
      <c r="E30" s="959"/>
      <c r="F30" s="960">
        <v>5536702</v>
      </c>
      <c r="G30" s="961"/>
      <c r="H30" s="958">
        <v>5576206</v>
      </c>
      <c r="I30" s="959"/>
      <c r="J30" s="960">
        <v>7817113</v>
      </c>
      <c r="K30" s="961"/>
      <c r="L30" s="958">
        <v>7483869</v>
      </c>
      <c r="M30" s="959"/>
      <c r="N30" s="960">
        <v>8100509</v>
      </c>
      <c r="O30" s="959"/>
      <c r="P30" s="962">
        <v>9995853</v>
      </c>
      <c r="Q30" s="961">
        <f t="shared" si="0"/>
        <v>-12426441</v>
      </c>
      <c r="R30" s="960">
        <v>10180836</v>
      </c>
      <c r="S30" s="961">
        <f t="shared" si="1"/>
        <v>-11215492</v>
      </c>
      <c r="T30" s="958">
        <v>9057835</v>
      </c>
      <c r="U30" s="959">
        <f t="shared" si="2"/>
        <v>-9401495</v>
      </c>
      <c r="V30" s="960">
        <v>10370061</v>
      </c>
      <c r="W30" s="961">
        <f t="shared" si="3"/>
        <v>-7502817</v>
      </c>
      <c r="X30" s="958">
        <v>9429247</v>
      </c>
      <c r="Y30" s="959">
        <f t="shared" si="4"/>
        <v>-7686259</v>
      </c>
      <c r="Z30" s="960">
        <v>10955797</v>
      </c>
      <c r="AA30" s="961">
        <f t="shared" si="5"/>
        <v>-6656609</v>
      </c>
      <c r="AB30" s="958">
        <v>14251255</v>
      </c>
      <c r="AC30" s="959">
        <f t="shared" si="6"/>
        <v>-30544235</v>
      </c>
      <c r="AD30" s="960">
        <v>11652173</v>
      </c>
      <c r="AE30" s="961">
        <f t="shared" si="7"/>
        <v>-4032481</v>
      </c>
      <c r="AF30" s="958">
        <v>11675767</v>
      </c>
      <c r="AG30" s="959">
        <f t="shared" si="8"/>
        <v>-5714699</v>
      </c>
      <c r="AH30" s="962">
        <v>10227768</v>
      </c>
      <c r="AI30" s="961">
        <f t="shared" si="9"/>
        <v>-9192696</v>
      </c>
      <c r="AJ30" s="958">
        <v>10975164</v>
      </c>
      <c r="AK30" s="959">
        <f t="shared" si="10"/>
        <v>-8810508</v>
      </c>
      <c r="AL30" s="960">
        <v>12003659</v>
      </c>
      <c r="AM30" s="961">
        <f t="shared" si="11"/>
        <v>-8818023</v>
      </c>
      <c r="AN30" s="995">
        <v>28021726</v>
      </c>
      <c r="AO30" s="996">
        <f t="shared" si="12"/>
        <v>78330.695226438183</v>
      </c>
      <c r="AP30" s="1008">
        <v>28142310</v>
      </c>
      <c r="AQ30" s="1009">
        <f t="shared" si="12"/>
        <v>75112.447795823668</v>
      </c>
      <c r="AR30" s="960">
        <v>13329587</v>
      </c>
      <c r="AS30" s="961">
        <f t="shared" si="13"/>
        <v>-5412239</v>
      </c>
      <c r="AT30" s="960">
        <v>14465165</v>
      </c>
      <c r="AU30" s="961">
        <f t="shared" si="14"/>
        <v>-3677505</v>
      </c>
      <c r="AV30" s="995">
        <v>33763934</v>
      </c>
      <c r="AW30" s="996">
        <f t="shared" si="15"/>
        <v>91651.478158205427</v>
      </c>
      <c r="AX30" s="1008">
        <v>30550259</v>
      </c>
      <c r="AY30" s="996">
        <f t="shared" si="15"/>
        <v>64310.205813953486</v>
      </c>
      <c r="AZ30" s="960">
        <v>15428483</v>
      </c>
      <c r="BA30" s="961">
        <f t="shared" si="16"/>
        <v>-61115551</v>
      </c>
      <c r="BB30" s="960"/>
      <c r="BC30" s="961"/>
      <c r="BD30" s="963"/>
    </row>
    <row r="31" spans="2:56" s="956" customFormat="1">
      <c r="B31" s="1745"/>
      <c r="C31" s="957" t="s">
        <v>2874</v>
      </c>
      <c r="D31" s="958"/>
      <c r="E31" s="959"/>
      <c r="F31" s="960">
        <v>5272802</v>
      </c>
      <c r="G31" s="961"/>
      <c r="H31" s="958">
        <v>5314222</v>
      </c>
      <c r="I31" s="959"/>
      <c r="J31" s="960">
        <v>7487932</v>
      </c>
      <c r="K31" s="961"/>
      <c r="L31" s="958">
        <v>7203805</v>
      </c>
      <c r="M31" s="959"/>
      <c r="N31" s="960">
        <v>7815689</v>
      </c>
      <c r="O31" s="959"/>
      <c r="P31" s="962">
        <v>9624934</v>
      </c>
      <c r="Q31" s="961">
        <f t="shared" si="0"/>
        <v>-13539198</v>
      </c>
      <c r="R31" s="960">
        <v>9832188</v>
      </c>
      <c r="S31" s="961">
        <f t="shared" si="1"/>
        <v>-12261436</v>
      </c>
      <c r="T31" s="958">
        <v>8722682</v>
      </c>
      <c r="U31" s="959">
        <f t="shared" si="2"/>
        <v>-10406954</v>
      </c>
      <c r="V31" s="960">
        <v>10040369</v>
      </c>
      <c r="W31" s="961">
        <f t="shared" si="3"/>
        <v>-8491893</v>
      </c>
      <c r="X31" s="958">
        <v>9070345</v>
      </c>
      <c r="Y31" s="959">
        <f t="shared" si="4"/>
        <v>-8762965</v>
      </c>
      <c r="Z31" s="960">
        <v>10546660</v>
      </c>
      <c r="AA31" s="961">
        <f t="shared" si="5"/>
        <v>-7884020</v>
      </c>
      <c r="AB31" s="958">
        <v>13633901</v>
      </c>
      <c r="AC31" s="959">
        <f t="shared" si="6"/>
        <v>-32396297</v>
      </c>
      <c r="AD31" s="960">
        <v>11230268</v>
      </c>
      <c r="AE31" s="961">
        <f t="shared" si="7"/>
        <v>-5298196</v>
      </c>
      <c r="AF31" s="958">
        <v>11235603</v>
      </c>
      <c r="AG31" s="959">
        <f t="shared" si="8"/>
        <v>-7035191</v>
      </c>
      <c r="AH31" s="962">
        <v>9727263</v>
      </c>
      <c r="AI31" s="961">
        <f t="shared" si="9"/>
        <v>-10694211</v>
      </c>
      <c r="AJ31" s="958">
        <v>10328332</v>
      </c>
      <c r="AK31" s="959">
        <f t="shared" si="10"/>
        <v>-10751004</v>
      </c>
      <c r="AL31" s="960">
        <v>11316164</v>
      </c>
      <c r="AM31" s="961">
        <f t="shared" si="11"/>
        <v>-10880508</v>
      </c>
      <c r="AN31" s="995">
        <v>26475799</v>
      </c>
      <c r="AO31" s="996">
        <f t="shared" si="12"/>
        <v>72654.096695226443</v>
      </c>
      <c r="AP31" s="1008">
        <v>26557951</v>
      </c>
      <c r="AQ31" s="1009">
        <f t="shared" si="12"/>
        <v>69598.437354988404</v>
      </c>
      <c r="AR31" s="960">
        <v>12811581</v>
      </c>
      <c r="AS31" s="961">
        <f t="shared" si="13"/>
        <v>-6966257</v>
      </c>
      <c r="AT31" s="960">
        <v>13917944</v>
      </c>
      <c r="AU31" s="961">
        <f t="shared" si="14"/>
        <v>-5319168</v>
      </c>
      <c r="AV31" s="995">
        <v>31382896</v>
      </c>
      <c r="AW31" s="996">
        <f t="shared" si="15"/>
        <v>83218.049586776862</v>
      </c>
      <c r="AX31" s="1008">
        <v>28263999</v>
      </c>
      <c r="AY31" s="996">
        <f t="shared" si="15"/>
        <v>56334.880232558142</v>
      </c>
      <c r="AZ31" s="960">
        <v>13833099</v>
      </c>
      <c r="BA31" s="961">
        <f t="shared" si="16"/>
        <v>-65901703</v>
      </c>
      <c r="BB31" s="960"/>
      <c r="BC31" s="961"/>
      <c r="BD31" s="963"/>
    </row>
    <row r="32" spans="2:56" s="956" customFormat="1">
      <c r="B32" s="1745"/>
      <c r="C32" s="957" t="s">
        <v>2875</v>
      </c>
      <c r="D32" s="958"/>
      <c r="E32" s="959"/>
      <c r="F32" s="960">
        <v>5070782</v>
      </c>
      <c r="G32" s="961"/>
      <c r="H32" s="958">
        <v>5095190</v>
      </c>
      <c r="I32" s="959"/>
      <c r="J32" s="960">
        <v>7211651</v>
      </c>
      <c r="K32" s="961"/>
      <c r="L32" s="958">
        <v>6937358</v>
      </c>
      <c r="M32" s="959"/>
      <c r="N32" s="960">
        <v>7564277</v>
      </c>
      <c r="O32" s="959"/>
      <c r="P32" s="962">
        <v>9318120</v>
      </c>
      <c r="Q32" s="961">
        <f t="shared" si="0"/>
        <v>-14459640</v>
      </c>
      <c r="R32" s="960">
        <v>9500130</v>
      </c>
      <c r="S32" s="961">
        <f t="shared" si="1"/>
        <v>-13257610</v>
      </c>
      <c r="T32" s="958">
        <v>8415248</v>
      </c>
      <c r="U32" s="959">
        <f t="shared" si="2"/>
        <v>-11329256</v>
      </c>
      <c r="V32" s="960">
        <v>9711563</v>
      </c>
      <c r="W32" s="961">
        <f t="shared" si="3"/>
        <v>-9478311</v>
      </c>
      <c r="X32" s="958">
        <v>8717079</v>
      </c>
      <c r="Y32" s="959">
        <f t="shared" si="4"/>
        <v>-9822763</v>
      </c>
      <c r="Z32" s="960">
        <v>10149402</v>
      </c>
      <c r="AA32" s="961">
        <f t="shared" si="5"/>
        <v>-9075794</v>
      </c>
      <c r="AB32" s="958">
        <v>13043026</v>
      </c>
      <c r="AC32" s="959">
        <f t="shared" si="6"/>
        <v>-34168922</v>
      </c>
      <c r="AD32" s="960">
        <v>10832118</v>
      </c>
      <c r="AE32" s="961">
        <f t="shared" si="7"/>
        <v>-6492646</v>
      </c>
      <c r="AF32" s="958">
        <v>10822861</v>
      </c>
      <c r="AG32" s="959">
        <f t="shared" si="8"/>
        <v>-8273417</v>
      </c>
      <c r="AH32" s="962">
        <v>9237523</v>
      </c>
      <c r="AI32" s="961">
        <f t="shared" si="9"/>
        <v>-12163431</v>
      </c>
      <c r="AJ32" s="958">
        <v>9708973</v>
      </c>
      <c r="AK32" s="959">
        <f t="shared" si="10"/>
        <v>-12609081</v>
      </c>
      <c r="AL32" s="960">
        <v>10601858</v>
      </c>
      <c r="AM32" s="961">
        <f t="shared" si="11"/>
        <v>-13023426</v>
      </c>
      <c r="AN32" s="995">
        <v>24852380</v>
      </c>
      <c r="AO32" s="996">
        <f t="shared" si="12"/>
        <v>66692.949816401466</v>
      </c>
      <c r="AP32" s="1008">
        <v>25041422</v>
      </c>
      <c r="AQ32" s="1009">
        <f t="shared" si="12"/>
        <v>64320.494199535962</v>
      </c>
      <c r="AR32" s="960">
        <v>12304532</v>
      </c>
      <c r="AS32" s="961">
        <f t="shared" si="13"/>
        <v>-8487404</v>
      </c>
      <c r="AT32" s="960">
        <v>13349968</v>
      </c>
      <c r="AU32" s="961">
        <f t="shared" si="14"/>
        <v>-7023096</v>
      </c>
      <c r="AV32" s="995">
        <v>29084881</v>
      </c>
      <c r="AW32" s="996">
        <f t="shared" si="15"/>
        <v>75078.681227863053</v>
      </c>
      <c r="AX32" s="1008">
        <v>25823586</v>
      </c>
      <c r="AY32" s="996">
        <f t="shared" si="15"/>
        <v>47821.81162790698</v>
      </c>
      <c r="AZ32" s="960">
        <v>12363060</v>
      </c>
      <c r="BA32" s="961">
        <f t="shared" si="16"/>
        <v>-70311820</v>
      </c>
      <c r="BB32" s="960"/>
      <c r="BC32" s="961"/>
      <c r="BD32" s="963"/>
    </row>
    <row r="33" spans="2:56" s="956" customFormat="1">
      <c r="B33" s="1745"/>
      <c r="C33" s="957" t="s">
        <v>2876</v>
      </c>
      <c r="D33" s="958"/>
      <c r="E33" s="959"/>
      <c r="F33" s="960">
        <v>4890731</v>
      </c>
      <c r="G33" s="961"/>
      <c r="H33" s="958">
        <v>4899917</v>
      </c>
      <c r="I33" s="959"/>
      <c r="J33" s="960">
        <v>6967599</v>
      </c>
      <c r="K33" s="961"/>
      <c r="L33" s="958">
        <v>6695273</v>
      </c>
      <c r="M33" s="959"/>
      <c r="N33" s="960">
        <v>7340749</v>
      </c>
      <c r="O33" s="959"/>
      <c r="P33" s="962">
        <v>9030629</v>
      </c>
      <c r="Q33" s="961">
        <f t="shared" si="0"/>
        <v>-15322113</v>
      </c>
      <c r="R33" s="960">
        <v>9210867</v>
      </c>
      <c r="S33" s="961">
        <f t="shared" si="1"/>
        <v>-14125399</v>
      </c>
      <c r="T33" s="958">
        <v>8138225</v>
      </c>
      <c r="U33" s="959">
        <f t="shared" si="2"/>
        <v>-12160325</v>
      </c>
      <c r="V33" s="960">
        <v>9419127</v>
      </c>
      <c r="W33" s="961">
        <f t="shared" si="3"/>
        <v>-10355619</v>
      </c>
      <c r="X33" s="958">
        <v>8380698</v>
      </c>
      <c r="Y33" s="959">
        <f t="shared" si="4"/>
        <v>-10831906</v>
      </c>
      <c r="Z33" s="960">
        <v>9750240</v>
      </c>
      <c r="AA33" s="961">
        <f t="shared" si="5"/>
        <v>-10273280</v>
      </c>
      <c r="AB33" s="958">
        <v>12463047</v>
      </c>
      <c r="AC33" s="959">
        <f t="shared" si="6"/>
        <v>-35908859</v>
      </c>
      <c r="AD33" s="960">
        <v>10431876</v>
      </c>
      <c r="AE33" s="961">
        <f t="shared" si="7"/>
        <v>-7693372</v>
      </c>
      <c r="AF33" s="958">
        <v>10384232</v>
      </c>
      <c r="AG33" s="959">
        <f t="shared" si="8"/>
        <v>-9589304</v>
      </c>
      <c r="AH33" s="962">
        <v>8762617</v>
      </c>
      <c r="AI33" s="961">
        <f t="shared" si="9"/>
        <v>-13588149</v>
      </c>
      <c r="AJ33" s="958">
        <v>9056597</v>
      </c>
      <c r="AK33" s="959">
        <f t="shared" si="10"/>
        <v>-14566209</v>
      </c>
      <c r="AL33" s="960">
        <v>9879445</v>
      </c>
      <c r="AM33" s="961">
        <f t="shared" si="11"/>
        <v>-15190665</v>
      </c>
      <c r="AN33" s="995">
        <v>23375607</v>
      </c>
      <c r="AO33" s="996">
        <f t="shared" si="12"/>
        <v>61270.282741738069</v>
      </c>
      <c r="AP33" s="1008">
        <v>23557650</v>
      </c>
      <c r="AQ33" s="1009">
        <f t="shared" si="12"/>
        <v>59156.554524361949</v>
      </c>
      <c r="AR33" s="960">
        <v>11791150</v>
      </c>
      <c r="AS33" s="961">
        <f t="shared" si="13"/>
        <v>-10027550</v>
      </c>
      <c r="AT33" s="960">
        <v>12797279</v>
      </c>
      <c r="AU33" s="961">
        <f t="shared" si="14"/>
        <v>-8681163</v>
      </c>
      <c r="AV33" s="995">
        <v>27082937</v>
      </c>
      <c r="AW33" s="996">
        <f t="shared" si="15"/>
        <v>67987.970484061399</v>
      </c>
      <c r="AX33" s="1008">
        <v>23310965</v>
      </c>
      <c r="AY33" s="996">
        <f t="shared" si="15"/>
        <v>39056.854651162794</v>
      </c>
      <c r="AZ33" s="960">
        <v>11274245</v>
      </c>
      <c r="BA33" s="961">
        <f t="shared" si="16"/>
        <v>-73578265</v>
      </c>
      <c r="BB33" s="960"/>
      <c r="BC33" s="961"/>
      <c r="BD33" s="963"/>
    </row>
    <row r="34" spans="2:56" s="956" customFormat="1">
      <c r="B34" s="1745"/>
      <c r="C34" s="957" t="s">
        <v>2877</v>
      </c>
      <c r="D34" s="958"/>
      <c r="E34" s="959"/>
      <c r="F34" s="960">
        <v>4753526</v>
      </c>
      <c r="G34" s="961"/>
      <c r="H34" s="958">
        <v>4733282</v>
      </c>
      <c r="I34" s="959"/>
      <c r="J34" s="960">
        <v>6760919</v>
      </c>
      <c r="K34" s="961"/>
      <c r="L34" s="958">
        <v>6478909</v>
      </c>
      <c r="M34" s="959"/>
      <c r="N34" s="960">
        <v>7138496</v>
      </c>
      <c r="O34" s="959"/>
      <c r="P34" s="962">
        <v>8748967</v>
      </c>
      <c r="Q34" s="961">
        <f t="shared" si="0"/>
        <v>-16167099</v>
      </c>
      <c r="R34" s="960">
        <v>8930978</v>
      </c>
      <c r="S34" s="961">
        <f t="shared" si="1"/>
        <v>-14965066</v>
      </c>
      <c r="T34" s="958">
        <v>7853229</v>
      </c>
      <c r="U34" s="959">
        <f t="shared" si="2"/>
        <v>-13015313</v>
      </c>
      <c r="V34" s="960">
        <v>9118350</v>
      </c>
      <c r="W34" s="961">
        <f t="shared" si="3"/>
        <v>-11257950</v>
      </c>
      <c r="X34" s="958">
        <v>8060675</v>
      </c>
      <c r="Y34" s="959">
        <f t="shared" si="4"/>
        <v>-11791975</v>
      </c>
      <c r="Z34" s="960">
        <v>9359042</v>
      </c>
      <c r="AA34" s="961">
        <f t="shared" si="5"/>
        <v>-11446874</v>
      </c>
      <c r="AB34" s="958">
        <v>11935016</v>
      </c>
      <c r="AC34" s="959">
        <f t="shared" si="6"/>
        <v>-37492952</v>
      </c>
      <c r="AD34" s="960">
        <v>10050127</v>
      </c>
      <c r="AE34" s="961">
        <f t="shared" si="7"/>
        <v>-8838619</v>
      </c>
      <c r="AF34" s="958">
        <v>9934559</v>
      </c>
      <c r="AG34" s="959">
        <f t="shared" si="8"/>
        <v>-10938323</v>
      </c>
      <c r="AH34" s="962">
        <v>8246910</v>
      </c>
      <c r="AI34" s="961">
        <f t="shared" si="9"/>
        <v>-15135270</v>
      </c>
      <c r="AJ34" s="958">
        <v>8353331</v>
      </c>
      <c r="AK34" s="959">
        <f t="shared" si="10"/>
        <v>-16676007</v>
      </c>
      <c r="AL34" s="960">
        <v>9076472</v>
      </c>
      <c r="AM34" s="961">
        <f t="shared" si="11"/>
        <v>-17599584</v>
      </c>
      <c r="AN34" s="995">
        <v>21773009</v>
      </c>
      <c r="AO34" s="996">
        <f t="shared" si="12"/>
        <v>55385.58996328029</v>
      </c>
      <c r="AP34" s="1008">
        <v>22138566</v>
      </c>
      <c r="AQ34" s="1009">
        <f t="shared" si="12"/>
        <v>54217.747099767985</v>
      </c>
      <c r="AR34" s="960">
        <v>11226590</v>
      </c>
      <c r="AS34" s="961">
        <f t="shared" si="13"/>
        <v>-11721230</v>
      </c>
      <c r="AT34" s="960">
        <v>12188636</v>
      </c>
      <c r="AU34" s="961">
        <f t="shared" si="14"/>
        <v>-10507092</v>
      </c>
      <c r="AV34" s="995">
        <v>25186670</v>
      </c>
      <c r="AW34" s="996">
        <f t="shared" si="15"/>
        <v>61271.558441558438</v>
      </c>
      <c r="AX34" s="1008">
        <v>20468006</v>
      </c>
      <c r="AY34" s="996">
        <f t="shared" si="15"/>
        <v>29139.555813953488</v>
      </c>
      <c r="AZ34" s="960">
        <v>10331004</v>
      </c>
      <c r="BA34" s="961">
        <f t="shared" si="16"/>
        <v>-76407988</v>
      </c>
      <c r="BB34" s="960"/>
      <c r="BC34" s="961"/>
      <c r="BD34" s="963"/>
    </row>
    <row r="35" spans="2:56" s="956" customFormat="1" ht="17.25" thickBot="1">
      <c r="B35" s="1746"/>
      <c r="C35" s="964" t="s">
        <v>2878</v>
      </c>
      <c r="D35" s="965"/>
      <c r="E35" s="966"/>
      <c r="F35" s="967">
        <v>4644153</v>
      </c>
      <c r="G35" s="968"/>
      <c r="H35" s="965">
        <v>4606854</v>
      </c>
      <c r="I35" s="966"/>
      <c r="J35" s="967">
        <v>6599443</v>
      </c>
      <c r="K35" s="968"/>
      <c r="L35" s="965">
        <v>6299544</v>
      </c>
      <c r="M35" s="966"/>
      <c r="N35" s="967">
        <v>6975373</v>
      </c>
      <c r="O35" s="966"/>
      <c r="P35" s="969">
        <v>8506806</v>
      </c>
      <c r="Q35" s="968">
        <f t="shared" si="0"/>
        <v>-16893582</v>
      </c>
      <c r="R35" s="967">
        <v>8674530</v>
      </c>
      <c r="S35" s="968">
        <f t="shared" si="1"/>
        <v>-15734410</v>
      </c>
      <c r="T35" s="965">
        <v>7577322</v>
      </c>
      <c r="U35" s="966">
        <f t="shared" si="2"/>
        <v>-13843034</v>
      </c>
      <c r="V35" s="967">
        <v>8857176</v>
      </c>
      <c r="W35" s="968">
        <f t="shared" si="3"/>
        <v>-12041472</v>
      </c>
      <c r="X35" s="965">
        <v>7733784</v>
      </c>
      <c r="Y35" s="966">
        <f t="shared" si="4"/>
        <v>-12772648</v>
      </c>
      <c r="Z35" s="967">
        <v>8966805</v>
      </c>
      <c r="AA35" s="968">
        <f t="shared" si="5"/>
        <v>-12623585</v>
      </c>
      <c r="AB35" s="965">
        <v>11371752</v>
      </c>
      <c r="AC35" s="966">
        <f t="shared" si="6"/>
        <v>-39182744</v>
      </c>
      <c r="AD35" s="967">
        <v>9644319</v>
      </c>
      <c r="AE35" s="968">
        <f t="shared" si="7"/>
        <v>-10056043</v>
      </c>
      <c r="AF35" s="965">
        <v>9448489</v>
      </c>
      <c r="AG35" s="966">
        <f t="shared" si="8"/>
        <v>-12396533</v>
      </c>
      <c r="AH35" s="969">
        <v>7687982</v>
      </c>
      <c r="AI35" s="968">
        <f t="shared" si="9"/>
        <v>-16812054</v>
      </c>
      <c r="AJ35" s="965">
        <v>7586334</v>
      </c>
      <c r="AK35" s="966">
        <f t="shared" si="10"/>
        <v>-18976998</v>
      </c>
      <c r="AL35" s="967">
        <v>8135700</v>
      </c>
      <c r="AM35" s="968">
        <f t="shared" si="11"/>
        <v>-20421900</v>
      </c>
      <c r="AN35" s="997">
        <v>20388204</v>
      </c>
      <c r="AO35" s="998">
        <f t="shared" si="12"/>
        <v>50300.626682986534</v>
      </c>
      <c r="AP35" s="1010">
        <v>20705470</v>
      </c>
      <c r="AQ35" s="1011">
        <f t="shared" si="12"/>
        <v>49230.174013921111</v>
      </c>
      <c r="AR35" s="967">
        <v>10634568</v>
      </c>
      <c r="AS35" s="968">
        <f t="shared" si="13"/>
        <v>-13497296</v>
      </c>
      <c r="AT35" s="967">
        <v>11617109</v>
      </c>
      <c r="AU35" s="968">
        <f t="shared" si="14"/>
        <v>-12221673</v>
      </c>
      <c r="AV35" s="997">
        <v>23336557</v>
      </c>
      <c r="AW35" s="998">
        <f t="shared" si="15"/>
        <v>54718.619834710742</v>
      </c>
      <c r="AX35" s="1010">
        <v>17695765</v>
      </c>
      <c r="AY35" s="998">
        <f t="shared" si="15"/>
        <v>19468.947674418603</v>
      </c>
      <c r="AZ35" s="967">
        <v>9366575</v>
      </c>
      <c r="BA35" s="968">
        <f t="shared" si="16"/>
        <v>-79301275</v>
      </c>
      <c r="BB35" s="967"/>
      <c r="BC35" s="968"/>
      <c r="BD35" s="970"/>
    </row>
    <row r="36" spans="2:56" ht="17.25" thickTop="1"/>
    <row r="42" spans="2:56">
      <c r="P42" s="956">
        <f>P12-P13</f>
        <v>137802</v>
      </c>
      <c r="R42" s="956"/>
      <c r="T42" s="956"/>
      <c r="V42" s="956"/>
      <c r="X42" s="956"/>
      <c r="Z42" s="956"/>
      <c r="AB42" s="956"/>
      <c r="AD42" s="956"/>
      <c r="AF42" s="956"/>
      <c r="AH42" s="956"/>
      <c r="AJ42" s="956"/>
      <c r="AL42" s="956"/>
      <c r="AN42" s="956"/>
      <c r="AP42" s="956"/>
      <c r="AR42" s="956"/>
    </row>
  </sheetData>
  <mergeCells count="251">
    <mergeCell ref="BB2:BC2"/>
    <mergeCell ref="BB11:BC11"/>
    <mergeCell ref="BB10:BC10"/>
    <mergeCell ref="BB9:BC9"/>
    <mergeCell ref="BB8:BC8"/>
    <mergeCell ref="BB7:BC7"/>
    <mergeCell ref="BB6:BC6"/>
    <mergeCell ref="BB5:BC5"/>
    <mergeCell ref="BB4:BC4"/>
    <mergeCell ref="BB3:BC3"/>
    <mergeCell ref="AZ3:BA3"/>
    <mergeCell ref="AX3:AY3"/>
    <mergeCell ref="AV3:AW3"/>
    <mergeCell ref="AT3:AU3"/>
    <mergeCell ref="AZ2:BA2"/>
    <mergeCell ref="AX2:AY2"/>
    <mergeCell ref="AV2:AW2"/>
    <mergeCell ref="AT2:AU2"/>
    <mergeCell ref="AZ6:BA6"/>
    <mergeCell ref="AX6:AY6"/>
    <mergeCell ref="AV6:AW6"/>
    <mergeCell ref="AT6:AU6"/>
    <mergeCell ref="AZ5:BA5"/>
    <mergeCell ref="AX5:AY5"/>
    <mergeCell ref="AV5:AW5"/>
    <mergeCell ref="AT5:AU5"/>
    <mergeCell ref="AZ4:BA4"/>
    <mergeCell ref="AX4:AY4"/>
    <mergeCell ref="AV4:AW4"/>
    <mergeCell ref="AT4:AU4"/>
    <mergeCell ref="AZ11:BA11"/>
    <mergeCell ref="AT11:AU11"/>
    <mergeCell ref="AZ10:BA10"/>
    <mergeCell ref="AT10:AU10"/>
    <mergeCell ref="AZ9:BA9"/>
    <mergeCell ref="AT9:AU9"/>
    <mergeCell ref="AZ8:BA8"/>
    <mergeCell ref="AT8:AU8"/>
    <mergeCell ref="AZ7:BA7"/>
    <mergeCell ref="AX7:AY7"/>
    <mergeCell ref="AV7:AW7"/>
    <mergeCell ref="AT7:AU7"/>
    <mergeCell ref="AR2:AS2"/>
    <mergeCell ref="AR11:AS11"/>
    <mergeCell ref="AR10:AS10"/>
    <mergeCell ref="AR9:AS9"/>
    <mergeCell ref="AR8:AS8"/>
    <mergeCell ref="AR7:AS7"/>
    <mergeCell ref="AR6:AS6"/>
    <mergeCell ref="AR5:AS5"/>
    <mergeCell ref="AR4:AS4"/>
    <mergeCell ref="AR3:AS3"/>
    <mergeCell ref="AP6:AQ6"/>
    <mergeCell ref="AN6:AO6"/>
    <mergeCell ref="AP5:AQ5"/>
    <mergeCell ref="AN5:AO5"/>
    <mergeCell ref="AP4:AQ4"/>
    <mergeCell ref="AN4:AO4"/>
    <mergeCell ref="AP3:AQ3"/>
    <mergeCell ref="AN3:AO3"/>
    <mergeCell ref="AP2:AQ2"/>
    <mergeCell ref="AN2:AO2"/>
    <mergeCell ref="AP7:AQ7"/>
    <mergeCell ref="AN7:AO7"/>
    <mergeCell ref="B12:B35"/>
    <mergeCell ref="Z11:AA11"/>
    <mergeCell ref="AB11:AC11"/>
    <mergeCell ref="AD11:AE11"/>
    <mergeCell ref="AF11:AG11"/>
    <mergeCell ref="AH11:AI11"/>
    <mergeCell ref="AJ11:AK11"/>
    <mergeCell ref="N11:O11"/>
    <mergeCell ref="P11:Q11"/>
    <mergeCell ref="R11:S11"/>
    <mergeCell ref="T11:U11"/>
    <mergeCell ref="V11:W11"/>
    <mergeCell ref="X11:Y11"/>
    <mergeCell ref="B11:C11"/>
    <mergeCell ref="D11:E11"/>
    <mergeCell ref="F11:G11"/>
    <mergeCell ref="H11:I11"/>
    <mergeCell ref="J11:K11"/>
    <mergeCell ref="L11:M11"/>
    <mergeCell ref="Z10:AA10"/>
    <mergeCell ref="AB10:AC10"/>
    <mergeCell ref="AD10:AE10"/>
    <mergeCell ref="AF10:AG10"/>
    <mergeCell ref="AH10:AI10"/>
    <mergeCell ref="AJ10:AK10"/>
    <mergeCell ref="N10:O10"/>
    <mergeCell ref="P10:Q10"/>
    <mergeCell ref="R10:S10"/>
    <mergeCell ref="T10:U10"/>
    <mergeCell ref="V10:W10"/>
    <mergeCell ref="X10:Y10"/>
    <mergeCell ref="D10:E10"/>
    <mergeCell ref="F10:G10"/>
    <mergeCell ref="H10:I10"/>
    <mergeCell ref="J10:K10"/>
    <mergeCell ref="L10:M10"/>
    <mergeCell ref="P9:Q9"/>
    <mergeCell ref="R9:S9"/>
    <mergeCell ref="T9:U9"/>
    <mergeCell ref="V9:W9"/>
    <mergeCell ref="AD8:AE8"/>
    <mergeCell ref="AF8:AG8"/>
    <mergeCell ref="AH8:AI8"/>
    <mergeCell ref="AJ8:AK8"/>
    <mergeCell ref="D9:E9"/>
    <mergeCell ref="F9:G9"/>
    <mergeCell ref="H9:I9"/>
    <mergeCell ref="J9:K9"/>
    <mergeCell ref="L9:M9"/>
    <mergeCell ref="N9:O9"/>
    <mergeCell ref="R8:S8"/>
    <mergeCell ref="T8:U8"/>
    <mergeCell ref="V8:W8"/>
    <mergeCell ref="X8:Y8"/>
    <mergeCell ref="Z8:AA8"/>
    <mergeCell ref="AB8:AC8"/>
    <mergeCell ref="AB9:AC9"/>
    <mergeCell ref="AD9:AE9"/>
    <mergeCell ref="AF9:AG9"/>
    <mergeCell ref="AH9:AI9"/>
    <mergeCell ref="AJ9:AK9"/>
    <mergeCell ref="X9:Y9"/>
    <mergeCell ref="Z9:AA9"/>
    <mergeCell ref="AH7:AI7"/>
    <mergeCell ref="AJ7:AK7"/>
    <mergeCell ref="B8:C10"/>
    <mergeCell ref="D8:E8"/>
    <mergeCell ref="F8:G8"/>
    <mergeCell ref="H8:I8"/>
    <mergeCell ref="J8:K8"/>
    <mergeCell ref="L8:M8"/>
    <mergeCell ref="N8:O8"/>
    <mergeCell ref="P8:Q8"/>
    <mergeCell ref="V7:W7"/>
    <mergeCell ref="X7:Y7"/>
    <mergeCell ref="Z7:AA7"/>
    <mergeCell ref="AB7:AC7"/>
    <mergeCell ref="AD7:AE7"/>
    <mergeCell ref="AF7:AG7"/>
    <mergeCell ref="B5:C7"/>
    <mergeCell ref="D5:E5"/>
    <mergeCell ref="F5:G5"/>
    <mergeCell ref="H5:I5"/>
    <mergeCell ref="J5:K5"/>
    <mergeCell ref="L5:M5"/>
    <mergeCell ref="H6:I6"/>
    <mergeCell ref="J6:K6"/>
    <mergeCell ref="AJ6:AK6"/>
    <mergeCell ref="D7:E7"/>
    <mergeCell ref="F7:G7"/>
    <mergeCell ref="H7:I7"/>
    <mergeCell ref="J7:K7"/>
    <mergeCell ref="L7:M7"/>
    <mergeCell ref="N7:O7"/>
    <mergeCell ref="P7:Q7"/>
    <mergeCell ref="R7:S7"/>
    <mergeCell ref="T7:U7"/>
    <mergeCell ref="X6:Y6"/>
    <mergeCell ref="Z6:AA6"/>
    <mergeCell ref="AB6:AC6"/>
    <mergeCell ref="AD6:AE6"/>
    <mergeCell ref="AF6:AG6"/>
    <mergeCell ref="AH6:AI6"/>
    <mergeCell ref="L6:M6"/>
    <mergeCell ref="N6:O6"/>
    <mergeCell ref="P6:Q6"/>
    <mergeCell ref="R6:S6"/>
    <mergeCell ref="T6:U6"/>
    <mergeCell ref="V6:W6"/>
    <mergeCell ref="D6:E6"/>
    <mergeCell ref="F6:G6"/>
    <mergeCell ref="Z5:AA5"/>
    <mergeCell ref="AB5:AC5"/>
    <mergeCell ref="AD5:AE5"/>
    <mergeCell ref="AF5:AG5"/>
    <mergeCell ref="AH5:AI5"/>
    <mergeCell ref="AJ5:AK5"/>
    <mergeCell ref="N5:O5"/>
    <mergeCell ref="P5:Q5"/>
    <mergeCell ref="R5:S5"/>
    <mergeCell ref="T5:U5"/>
    <mergeCell ref="V5:W5"/>
    <mergeCell ref="X5:Y5"/>
    <mergeCell ref="AF4:AG4"/>
    <mergeCell ref="AH4:AI4"/>
    <mergeCell ref="AJ4:AK4"/>
    <mergeCell ref="N4:O4"/>
    <mergeCell ref="P4:Q4"/>
    <mergeCell ref="R4:S4"/>
    <mergeCell ref="T4:U4"/>
    <mergeCell ref="V4:W4"/>
    <mergeCell ref="X4:Y4"/>
    <mergeCell ref="B4:C4"/>
    <mergeCell ref="D4:E4"/>
    <mergeCell ref="F4:G4"/>
    <mergeCell ref="H4:I4"/>
    <mergeCell ref="J4:K4"/>
    <mergeCell ref="L4:M4"/>
    <mergeCell ref="Z3:AA3"/>
    <mergeCell ref="AB3:AC3"/>
    <mergeCell ref="AD3:AE3"/>
    <mergeCell ref="B3:C3"/>
    <mergeCell ref="D3:E3"/>
    <mergeCell ref="F3:G3"/>
    <mergeCell ref="H3:I3"/>
    <mergeCell ref="J3:K3"/>
    <mergeCell ref="L3:M3"/>
    <mergeCell ref="Z4:AA4"/>
    <mergeCell ref="AB4:AC4"/>
    <mergeCell ref="AD4:AE4"/>
    <mergeCell ref="AF3:AG3"/>
    <mergeCell ref="AH3:AI3"/>
    <mergeCell ref="AJ3:AK3"/>
    <mergeCell ref="N3:O3"/>
    <mergeCell ref="P3:Q3"/>
    <mergeCell ref="R3:S3"/>
    <mergeCell ref="T3:U3"/>
    <mergeCell ref="V3:W3"/>
    <mergeCell ref="X3:Y3"/>
    <mergeCell ref="AF2:AG2"/>
    <mergeCell ref="AH2:AI2"/>
    <mergeCell ref="AJ2:AK2"/>
    <mergeCell ref="N2:O2"/>
    <mergeCell ref="P2:Q2"/>
    <mergeCell ref="R2:S2"/>
    <mergeCell ref="T2:U2"/>
    <mergeCell ref="V2:W2"/>
    <mergeCell ref="X2:Y2"/>
    <mergeCell ref="B2:C2"/>
    <mergeCell ref="D2:E2"/>
    <mergeCell ref="F2:G2"/>
    <mergeCell ref="H2:I2"/>
    <mergeCell ref="J2:K2"/>
    <mergeCell ref="L2:M2"/>
    <mergeCell ref="Z2:AA2"/>
    <mergeCell ref="AB2:AC2"/>
    <mergeCell ref="AD2:AE2"/>
    <mergeCell ref="AL11:AM11"/>
    <mergeCell ref="AL2:AM2"/>
    <mergeCell ref="AL3:AM3"/>
    <mergeCell ref="AL4:AM4"/>
    <mergeCell ref="AL5:AM5"/>
    <mergeCell ref="AL6:AM6"/>
    <mergeCell ref="AL7:AM7"/>
    <mergeCell ref="AL8:AM8"/>
    <mergeCell ref="AL9:AM9"/>
    <mergeCell ref="AL10:AM10"/>
  </mergeCells>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94668-C9C6-4355-AD21-91C3867B9594}">
  <dimension ref="B1:L302"/>
  <sheetViews>
    <sheetView workbookViewId="0">
      <pane ySplit="2" topLeftCell="A114" activePane="bottomLeft" state="frozen"/>
      <selection pane="bottomLeft" activeCell="E115" sqref="E115"/>
    </sheetView>
  </sheetViews>
  <sheetFormatPr defaultColWidth="8.875" defaultRowHeight="16.5"/>
  <cols>
    <col min="1" max="1" width="8.875" style="703"/>
    <col min="2" max="2" width="7.375" style="700" bestFit="1" customWidth="1"/>
    <col min="3" max="3" width="11.625" style="701" customWidth="1"/>
    <col min="4" max="4" width="5.75" style="701" bestFit="1" customWidth="1"/>
    <col min="5" max="5" width="11.625" style="701" bestFit="1" customWidth="1"/>
    <col min="6" max="6" width="12.625" style="702" customWidth="1"/>
    <col min="7" max="7" width="12.625" style="701" customWidth="1"/>
    <col min="8" max="8" width="12.625" style="864" customWidth="1"/>
    <col min="9" max="9" width="11.625" style="701" customWidth="1"/>
    <col min="10" max="10" width="12.625" style="702" customWidth="1"/>
    <col min="11" max="11" width="12.625" style="701" customWidth="1"/>
    <col min="12" max="12" width="12.625" style="864" customWidth="1"/>
    <col min="13" max="16384" width="8.875" style="703"/>
  </cols>
  <sheetData>
    <row r="1" spans="2:12" ht="17.25" thickBot="1"/>
    <row r="2" spans="2:12">
      <c r="B2" s="704" t="s">
        <v>2940</v>
      </c>
      <c r="C2" s="705" t="s">
        <v>2941</v>
      </c>
      <c r="D2" s="847" t="s">
        <v>3228</v>
      </c>
      <c r="E2" s="858" t="s">
        <v>2942</v>
      </c>
      <c r="F2" s="706" t="s">
        <v>2943</v>
      </c>
      <c r="G2" s="863" t="s">
        <v>3232</v>
      </c>
      <c r="H2" s="865" t="s">
        <v>3229</v>
      </c>
      <c r="I2" s="853" t="s">
        <v>2944</v>
      </c>
      <c r="J2" s="706" t="s">
        <v>2945</v>
      </c>
      <c r="K2" s="852" t="s">
        <v>3231</v>
      </c>
      <c r="L2" s="870" t="s">
        <v>3230</v>
      </c>
    </row>
    <row r="3" spans="2:12">
      <c r="B3" s="707" t="s">
        <v>2946</v>
      </c>
      <c r="C3" s="708">
        <v>2461000</v>
      </c>
      <c r="D3" s="848">
        <v>174</v>
      </c>
      <c r="E3" s="859">
        <v>1369000</v>
      </c>
      <c r="F3" s="709">
        <f t="shared" ref="F3:F34" si="0">E3-C3</f>
        <v>-1092000</v>
      </c>
      <c r="G3" s="708">
        <v>4573000</v>
      </c>
      <c r="H3" s="866">
        <f t="shared" ref="H3:H34" si="1">(G3-E3)/D3</f>
        <v>18413.793103448275</v>
      </c>
      <c r="I3" s="854">
        <v>151000</v>
      </c>
      <c r="J3" s="709">
        <f t="shared" ref="J3:J34" si="2">I3-C3</f>
        <v>-2310000</v>
      </c>
      <c r="K3" s="848">
        <v>508000</v>
      </c>
      <c r="L3" s="871">
        <f t="shared" ref="L3:L34" si="3">(K3-I3)/D3</f>
        <v>2051.7241379310344</v>
      </c>
    </row>
    <row r="4" spans="2:12">
      <c r="B4" s="710" t="s">
        <v>2947</v>
      </c>
      <c r="C4" s="711">
        <v>2121000</v>
      </c>
      <c r="D4" s="849">
        <v>179</v>
      </c>
      <c r="E4" s="860">
        <v>1351000</v>
      </c>
      <c r="F4" s="712">
        <f t="shared" si="0"/>
        <v>-770000</v>
      </c>
      <c r="G4" s="711">
        <v>5414000</v>
      </c>
      <c r="H4" s="867">
        <f t="shared" si="1"/>
        <v>22698.324022346369</v>
      </c>
      <c r="I4" s="855">
        <v>149000</v>
      </c>
      <c r="J4" s="712">
        <f t="shared" si="2"/>
        <v>-1972000</v>
      </c>
      <c r="K4" s="849">
        <v>607000</v>
      </c>
      <c r="L4" s="872">
        <f t="shared" si="3"/>
        <v>2558.6592178770948</v>
      </c>
    </row>
    <row r="5" spans="2:12">
      <c r="B5" s="710" t="s">
        <v>2948</v>
      </c>
      <c r="C5" s="711">
        <v>476000</v>
      </c>
      <c r="D5" s="849">
        <v>135</v>
      </c>
      <c r="E5" s="860">
        <v>476000</v>
      </c>
      <c r="F5" s="712">
        <f t="shared" si="0"/>
        <v>0</v>
      </c>
      <c r="G5" s="711">
        <v>2999000</v>
      </c>
      <c r="H5" s="867">
        <f t="shared" si="1"/>
        <v>18688.888888888891</v>
      </c>
      <c r="I5" s="855">
        <v>120000</v>
      </c>
      <c r="J5" s="712">
        <f t="shared" si="2"/>
        <v>-356000</v>
      </c>
      <c r="K5" s="849">
        <v>408000</v>
      </c>
      <c r="L5" s="872">
        <f t="shared" si="3"/>
        <v>2133.3333333333335</v>
      </c>
    </row>
    <row r="6" spans="2:12">
      <c r="B6" s="710" t="s">
        <v>2949</v>
      </c>
      <c r="C6" s="711">
        <v>520000</v>
      </c>
      <c r="D6" s="849">
        <v>166</v>
      </c>
      <c r="E6" s="860">
        <v>640000</v>
      </c>
      <c r="F6" s="712">
        <f t="shared" si="0"/>
        <v>120000</v>
      </c>
      <c r="G6" s="711">
        <v>3837000</v>
      </c>
      <c r="H6" s="867">
        <f t="shared" si="1"/>
        <v>19259.036144578313</v>
      </c>
      <c r="I6" s="855">
        <v>156000</v>
      </c>
      <c r="J6" s="712">
        <f t="shared" si="2"/>
        <v>-364000</v>
      </c>
      <c r="K6" s="849">
        <v>525000</v>
      </c>
      <c r="L6" s="872">
        <f t="shared" si="3"/>
        <v>2222.8915662650602</v>
      </c>
    </row>
    <row r="7" spans="2:12">
      <c r="B7" s="710" t="s">
        <v>2950</v>
      </c>
      <c r="C7" s="711">
        <v>476000</v>
      </c>
      <c r="D7" s="849">
        <v>176</v>
      </c>
      <c r="E7" s="860">
        <v>476000</v>
      </c>
      <c r="F7" s="712">
        <f t="shared" si="0"/>
        <v>0</v>
      </c>
      <c r="G7" s="711">
        <v>3847000</v>
      </c>
      <c r="H7" s="867">
        <f t="shared" si="1"/>
        <v>19153.409090909092</v>
      </c>
      <c r="I7" s="855">
        <v>176000</v>
      </c>
      <c r="J7" s="712">
        <f t="shared" si="2"/>
        <v>-300000</v>
      </c>
      <c r="K7" s="849">
        <v>591000</v>
      </c>
      <c r="L7" s="872">
        <f t="shared" si="3"/>
        <v>2357.9545454545455</v>
      </c>
    </row>
    <row r="8" spans="2:12">
      <c r="B8" s="710" t="s">
        <v>2951</v>
      </c>
      <c r="C8" s="711">
        <v>476000</v>
      </c>
      <c r="D8" s="849">
        <v>137</v>
      </c>
      <c r="E8" s="860">
        <v>476000</v>
      </c>
      <c r="F8" s="712">
        <f t="shared" si="0"/>
        <v>0</v>
      </c>
      <c r="G8" s="711">
        <v>3148000</v>
      </c>
      <c r="H8" s="867">
        <f t="shared" si="1"/>
        <v>19503.649635036498</v>
      </c>
      <c r="I8" s="855">
        <v>140000</v>
      </c>
      <c r="J8" s="712">
        <f t="shared" si="2"/>
        <v>-336000</v>
      </c>
      <c r="K8" s="849">
        <v>473000</v>
      </c>
      <c r="L8" s="872">
        <f t="shared" si="3"/>
        <v>2430.6569343065694</v>
      </c>
    </row>
    <row r="9" spans="2:12">
      <c r="B9" s="710" t="s">
        <v>2952</v>
      </c>
      <c r="C9" s="711">
        <v>1901000</v>
      </c>
      <c r="D9" s="849">
        <v>171</v>
      </c>
      <c r="E9" s="860">
        <v>1426000</v>
      </c>
      <c r="F9" s="712">
        <f t="shared" si="0"/>
        <v>-475000</v>
      </c>
      <c r="G9" s="711">
        <v>4762000</v>
      </c>
      <c r="H9" s="867">
        <f t="shared" si="1"/>
        <v>19508.771929824561</v>
      </c>
      <c r="I9" s="855">
        <v>180000</v>
      </c>
      <c r="J9" s="712">
        <f t="shared" si="2"/>
        <v>-1721000</v>
      </c>
      <c r="K9" s="849">
        <v>602000</v>
      </c>
      <c r="L9" s="872">
        <f t="shared" si="3"/>
        <v>2467.8362573099416</v>
      </c>
    </row>
    <row r="10" spans="2:12">
      <c r="B10" s="710" t="s">
        <v>2953</v>
      </c>
      <c r="C10" s="711">
        <v>1900000</v>
      </c>
      <c r="D10" s="849">
        <v>180</v>
      </c>
      <c r="E10" s="860">
        <v>1900000</v>
      </c>
      <c r="F10" s="712">
        <f t="shared" si="0"/>
        <v>0</v>
      </c>
      <c r="G10" s="711">
        <v>5479000</v>
      </c>
      <c r="H10" s="867">
        <f t="shared" si="1"/>
        <v>19883.333333333332</v>
      </c>
      <c r="I10" s="855">
        <v>185000</v>
      </c>
      <c r="J10" s="712">
        <f t="shared" si="2"/>
        <v>-1715000</v>
      </c>
      <c r="K10" s="849">
        <v>636000</v>
      </c>
      <c r="L10" s="872">
        <f t="shared" si="3"/>
        <v>2505.5555555555557</v>
      </c>
    </row>
    <row r="11" spans="2:12">
      <c r="B11" s="710" t="s">
        <v>2954</v>
      </c>
      <c r="C11" s="711">
        <v>450000</v>
      </c>
      <c r="D11" s="849">
        <v>135</v>
      </c>
      <c r="E11" s="860">
        <v>690000</v>
      </c>
      <c r="F11" s="712">
        <f t="shared" si="0"/>
        <v>240000</v>
      </c>
      <c r="G11" s="711">
        <v>3389000</v>
      </c>
      <c r="H11" s="867">
        <f t="shared" si="1"/>
        <v>19992.592592592591</v>
      </c>
      <c r="I11" s="855">
        <v>60000</v>
      </c>
      <c r="J11" s="712">
        <f t="shared" si="2"/>
        <v>-390000</v>
      </c>
      <c r="K11" s="849">
        <v>403000</v>
      </c>
      <c r="L11" s="872">
        <f t="shared" si="3"/>
        <v>2540.7407407407409</v>
      </c>
    </row>
    <row r="12" spans="2:12">
      <c r="B12" s="713" t="s">
        <v>2955</v>
      </c>
      <c r="C12" s="714">
        <v>2720000</v>
      </c>
      <c r="D12" s="850">
        <v>191</v>
      </c>
      <c r="E12" s="861">
        <v>1971000</v>
      </c>
      <c r="F12" s="715">
        <f t="shared" si="0"/>
        <v>-749000</v>
      </c>
      <c r="G12" s="714">
        <v>6578000</v>
      </c>
      <c r="H12" s="868">
        <f t="shared" si="1"/>
        <v>24120.418848167541</v>
      </c>
      <c r="I12" s="856">
        <v>207000</v>
      </c>
      <c r="J12" s="715">
        <f t="shared" si="2"/>
        <v>-2513000</v>
      </c>
      <c r="K12" s="850">
        <v>691000</v>
      </c>
      <c r="L12" s="873">
        <f t="shared" si="3"/>
        <v>2534.0314136125653</v>
      </c>
    </row>
    <row r="13" spans="2:12">
      <c r="B13" s="707" t="s">
        <v>2956</v>
      </c>
      <c r="C13" s="708">
        <v>1967000</v>
      </c>
      <c r="D13" s="848">
        <v>179</v>
      </c>
      <c r="E13" s="859">
        <v>1164000</v>
      </c>
      <c r="F13" s="709">
        <f t="shared" si="0"/>
        <v>-803000</v>
      </c>
      <c r="G13" s="708">
        <v>4671000</v>
      </c>
      <c r="H13" s="866">
        <f t="shared" si="1"/>
        <v>19592.178770949722</v>
      </c>
      <c r="I13" s="854">
        <v>156000</v>
      </c>
      <c r="J13" s="709">
        <f t="shared" si="2"/>
        <v>-1811000</v>
      </c>
      <c r="K13" s="848">
        <v>632000</v>
      </c>
      <c r="L13" s="871">
        <f t="shared" si="3"/>
        <v>2659.2178770949722</v>
      </c>
    </row>
    <row r="14" spans="2:12">
      <c r="B14" s="710" t="s">
        <v>2957</v>
      </c>
      <c r="C14" s="711">
        <v>450000</v>
      </c>
      <c r="D14" s="849">
        <v>135</v>
      </c>
      <c r="E14" s="860">
        <v>690000</v>
      </c>
      <c r="F14" s="712">
        <f t="shared" si="0"/>
        <v>240000</v>
      </c>
      <c r="G14" s="711">
        <v>3719000</v>
      </c>
      <c r="H14" s="867">
        <f t="shared" si="1"/>
        <v>22437.037037037036</v>
      </c>
      <c r="I14" s="855">
        <v>90000</v>
      </c>
      <c r="J14" s="712">
        <f t="shared" si="2"/>
        <v>-360000</v>
      </c>
      <c r="K14" s="849">
        <v>461000</v>
      </c>
      <c r="L14" s="872">
        <f t="shared" si="3"/>
        <v>2748.1481481481483</v>
      </c>
    </row>
    <row r="15" spans="2:12">
      <c r="B15" s="710" t="s">
        <v>2958</v>
      </c>
      <c r="C15" s="711">
        <v>1843000</v>
      </c>
      <c r="D15" s="849">
        <v>178</v>
      </c>
      <c r="E15" s="860">
        <v>1416000</v>
      </c>
      <c r="F15" s="712">
        <f t="shared" si="0"/>
        <v>-427000</v>
      </c>
      <c r="G15" s="711">
        <v>4959000</v>
      </c>
      <c r="H15" s="867">
        <f t="shared" si="1"/>
        <v>19904.494382022473</v>
      </c>
      <c r="I15" s="855">
        <v>196000</v>
      </c>
      <c r="J15" s="712">
        <f t="shared" si="2"/>
        <v>-1647000</v>
      </c>
      <c r="K15" s="849">
        <v>689000</v>
      </c>
      <c r="L15" s="872">
        <f t="shared" si="3"/>
        <v>2769.6629213483147</v>
      </c>
    </row>
    <row r="16" spans="2:12">
      <c r="B16" s="710" t="s">
        <v>2959</v>
      </c>
      <c r="C16" s="711">
        <v>440000</v>
      </c>
      <c r="D16" s="849">
        <v>169</v>
      </c>
      <c r="E16" s="860">
        <v>1372000</v>
      </c>
      <c r="F16" s="712">
        <f t="shared" si="0"/>
        <v>932000</v>
      </c>
      <c r="G16" s="711">
        <v>5580000</v>
      </c>
      <c r="H16" s="867">
        <f t="shared" si="1"/>
        <v>24899.40828402367</v>
      </c>
      <c r="I16" s="855">
        <v>192000</v>
      </c>
      <c r="J16" s="712">
        <f t="shared" si="2"/>
        <v>-248000</v>
      </c>
      <c r="K16" s="849">
        <v>681000</v>
      </c>
      <c r="L16" s="872">
        <f t="shared" si="3"/>
        <v>2893.4911242603548</v>
      </c>
    </row>
    <row r="17" spans="2:12">
      <c r="B17" s="710" t="s">
        <v>2960</v>
      </c>
      <c r="C17" s="711">
        <v>1900000</v>
      </c>
      <c r="D17" s="849">
        <v>180</v>
      </c>
      <c r="E17" s="860">
        <v>2030000</v>
      </c>
      <c r="F17" s="712">
        <f t="shared" si="0"/>
        <v>130000</v>
      </c>
      <c r="G17" s="711">
        <v>5722000</v>
      </c>
      <c r="H17" s="867">
        <f t="shared" si="1"/>
        <v>20511.111111111109</v>
      </c>
      <c r="I17" s="855">
        <v>215000</v>
      </c>
      <c r="J17" s="712">
        <f t="shared" si="2"/>
        <v>-1685000</v>
      </c>
      <c r="K17" s="849">
        <v>706000</v>
      </c>
      <c r="L17" s="872">
        <f t="shared" si="3"/>
        <v>2727.7777777777778</v>
      </c>
    </row>
    <row r="18" spans="2:12">
      <c r="B18" s="710" t="s">
        <v>2961</v>
      </c>
      <c r="C18" s="711">
        <v>1901000</v>
      </c>
      <c r="D18" s="849">
        <v>171</v>
      </c>
      <c r="E18" s="860">
        <v>1501000</v>
      </c>
      <c r="F18" s="712">
        <f t="shared" si="0"/>
        <v>-400000</v>
      </c>
      <c r="G18" s="711">
        <v>5009000</v>
      </c>
      <c r="H18" s="867">
        <f t="shared" si="1"/>
        <v>20514.619883040934</v>
      </c>
      <c r="I18" s="855">
        <v>216000</v>
      </c>
      <c r="J18" s="712">
        <f t="shared" si="2"/>
        <v>-1685000</v>
      </c>
      <c r="K18" s="849">
        <v>728000</v>
      </c>
      <c r="L18" s="872">
        <f t="shared" si="3"/>
        <v>2994.1520467836258</v>
      </c>
    </row>
    <row r="19" spans="2:12">
      <c r="B19" s="710" t="s">
        <v>2962</v>
      </c>
      <c r="C19" s="711">
        <v>512000</v>
      </c>
      <c r="D19" s="849">
        <v>164</v>
      </c>
      <c r="E19" s="860">
        <v>1348000</v>
      </c>
      <c r="F19" s="712">
        <f t="shared" si="0"/>
        <v>836000</v>
      </c>
      <c r="G19" s="711">
        <v>4724000</v>
      </c>
      <c r="H19" s="867">
        <f t="shared" si="1"/>
        <v>20585.365853658535</v>
      </c>
      <c r="I19" s="855">
        <v>204000</v>
      </c>
      <c r="J19" s="712">
        <f t="shared" si="2"/>
        <v>-308000</v>
      </c>
      <c r="K19" s="849">
        <v>688000</v>
      </c>
      <c r="L19" s="872">
        <f t="shared" si="3"/>
        <v>2951.2195121951218</v>
      </c>
    </row>
    <row r="20" spans="2:12">
      <c r="B20" s="710" t="s">
        <v>2963</v>
      </c>
      <c r="C20" s="711">
        <v>548000</v>
      </c>
      <c r="D20" s="849">
        <v>150</v>
      </c>
      <c r="E20" s="860">
        <v>720000</v>
      </c>
      <c r="F20" s="712">
        <f t="shared" si="0"/>
        <v>172000</v>
      </c>
      <c r="G20" s="711">
        <v>3880000</v>
      </c>
      <c r="H20" s="867">
        <f t="shared" si="1"/>
        <v>21066.666666666668</v>
      </c>
      <c r="I20" s="855">
        <v>196000</v>
      </c>
      <c r="J20" s="712">
        <f t="shared" si="2"/>
        <v>-352000</v>
      </c>
      <c r="K20" s="849">
        <v>659000</v>
      </c>
      <c r="L20" s="872">
        <f t="shared" si="3"/>
        <v>3086.6666666666665</v>
      </c>
    </row>
    <row r="21" spans="2:12">
      <c r="B21" s="710" t="s">
        <v>2964</v>
      </c>
      <c r="C21" s="711">
        <v>476000</v>
      </c>
      <c r="D21" s="849">
        <v>135</v>
      </c>
      <c r="E21" s="860">
        <v>1136000</v>
      </c>
      <c r="F21" s="712">
        <f t="shared" si="0"/>
        <v>660000</v>
      </c>
      <c r="G21" s="711">
        <v>4146000</v>
      </c>
      <c r="H21" s="867">
        <f t="shared" si="1"/>
        <v>22296.296296296296</v>
      </c>
      <c r="I21" s="855">
        <v>180000</v>
      </c>
      <c r="J21" s="712">
        <f t="shared" si="2"/>
        <v>-296000</v>
      </c>
      <c r="K21" s="849">
        <v>607000</v>
      </c>
      <c r="L21" s="872">
        <f t="shared" si="3"/>
        <v>3162.962962962963</v>
      </c>
    </row>
    <row r="22" spans="2:12">
      <c r="B22" s="713" t="s">
        <v>2965</v>
      </c>
      <c r="C22" s="714">
        <v>2201000</v>
      </c>
      <c r="D22" s="850">
        <v>185</v>
      </c>
      <c r="E22" s="861">
        <v>1425000</v>
      </c>
      <c r="F22" s="715">
        <f t="shared" si="0"/>
        <v>-776000</v>
      </c>
      <c r="G22" s="714">
        <v>5415000</v>
      </c>
      <c r="H22" s="868">
        <f t="shared" si="1"/>
        <v>21567.567567567567</v>
      </c>
      <c r="I22" s="856">
        <v>221000</v>
      </c>
      <c r="J22" s="715">
        <f t="shared" si="2"/>
        <v>-1980000</v>
      </c>
      <c r="K22" s="850">
        <v>847000</v>
      </c>
      <c r="L22" s="873">
        <f t="shared" si="3"/>
        <v>3383.7837837837837</v>
      </c>
    </row>
    <row r="23" spans="2:12">
      <c r="B23" s="707" t="s">
        <v>2966</v>
      </c>
      <c r="C23" s="708">
        <v>2360000</v>
      </c>
      <c r="D23" s="848">
        <v>186</v>
      </c>
      <c r="E23" s="859">
        <v>1504000</v>
      </c>
      <c r="F23" s="709">
        <f t="shared" si="0"/>
        <v>-856000</v>
      </c>
      <c r="G23" s="708">
        <v>5454000</v>
      </c>
      <c r="H23" s="866">
        <f t="shared" si="1"/>
        <v>21236.559139784946</v>
      </c>
      <c r="I23" s="854">
        <v>242000</v>
      </c>
      <c r="J23" s="709">
        <f t="shared" si="2"/>
        <v>-2118000</v>
      </c>
      <c r="K23" s="848">
        <v>886000</v>
      </c>
      <c r="L23" s="871">
        <f t="shared" si="3"/>
        <v>3462.3655913978496</v>
      </c>
    </row>
    <row r="24" spans="2:12">
      <c r="B24" s="710" t="s">
        <v>2967</v>
      </c>
      <c r="C24" s="711">
        <v>476000</v>
      </c>
      <c r="D24" s="849">
        <v>149</v>
      </c>
      <c r="E24" s="860">
        <v>1484000</v>
      </c>
      <c r="F24" s="712">
        <f t="shared" si="0"/>
        <v>1008000</v>
      </c>
      <c r="G24" s="711">
        <v>4947000</v>
      </c>
      <c r="H24" s="867">
        <f t="shared" si="1"/>
        <v>23241.610738255033</v>
      </c>
      <c r="I24" s="855">
        <v>220000</v>
      </c>
      <c r="J24" s="712">
        <f t="shared" si="2"/>
        <v>-256000</v>
      </c>
      <c r="K24" s="849">
        <v>736000</v>
      </c>
      <c r="L24" s="872">
        <f t="shared" si="3"/>
        <v>3463.0872483221478</v>
      </c>
    </row>
    <row r="25" spans="2:12">
      <c r="B25" s="710" t="s">
        <v>2968</v>
      </c>
      <c r="C25" s="711">
        <v>1784000</v>
      </c>
      <c r="D25" s="849">
        <v>172</v>
      </c>
      <c r="E25" s="860">
        <v>1470000</v>
      </c>
      <c r="F25" s="712">
        <f t="shared" si="0"/>
        <v>-314000</v>
      </c>
      <c r="G25" s="711">
        <v>5146000</v>
      </c>
      <c r="H25" s="867">
        <f t="shared" si="1"/>
        <v>21372.093023255813</v>
      </c>
      <c r="I25" s="855">
        <v>246000</v>
      </c>
      <c r="J25" s="712">
        <f t="shared" si="2"/>
        <v>-1538000</v>
      </c>
      <c r="K25" s="849">
        <v>864000</v>
      </c>
      <c r="L25" s="872">
        <f t="shared" si="3"/>
        <v>3593.0232558139537</v>
      </c>
    </row>
    <row r="26" spans="2:12">
      <c r="B26" s="710" t="s">
        <v>2969</v>
      </c>
      <c r="C26" s="711">
        <v>1680000</v>
      </c>
      <c r="D26" s="849">
        <v>162</v>
      </c>
      <c r="E26" s="860">
        <v>1330000</v>
      </c>
      <c r="F26" s="712">
        <f t="shared" si="0"/>
        <v>-350000</v>
      </c>
      <c r="G26" s="711">
        <v>4835000</v>
      </c>
      <c r="H26" s="867">
        <f t="shared" si="1"/>
        <v>21635.802469135804</v>
      </c>
      <c r="I26" s="855">
        <v>218000</v>
      </c>
      <c r="J26" s="712">
        <f t="shared" si="2"/>
        <v>-1462000</v>
      </c>
      <c r="K26" s="849">
        <v>804000</v>
      </c>
      <c r="L26" s="872">
        <f t="shared" si="3"/>
        <v>3617.2839506172841</v>
      </c>
    </row>
    <row r="27" spans="2:12">
      <c r="B27" s="710" t="s">
        <v>2970</v>
      </c>
      <c r="C27" s="711">
        <v>476000</v>
      </c>
      <c r="D27" s="849">
        <v>137</v>
      </c>
      <c r="E27" s="860">
        <v>1281000</v>
      </c>
      <c r="F27" s="712">
        <f t="shared" si="0"/>
        <v>805000</v>
      </c>
      <c r="G27" s="711">
        <v>4610000</v>
      </c>
      <c r="H27" s="867">
        <f t="shared" si="1"/>
        <v>24299.270072992702</v>
      </c>
      <c r="I27" s="855">
        <v>217000</v>
      </c>
      <c r="J27" s="712">
        <f t="shared" si="2"/>
        <v>-259000</v>
      </c>
      <c r="K27" s="849">
        <v>739000</v>
      </c>
      <c r="L27" s="872">
        <f t="shared" si="3"/>
        <v>3810.2189781021898</v>
      </c>
    </row>
    <row r="28" spans="2:12">
      <c r="B28" s="710" t="s">
        <v>2971</v>
      </c>
      <c r="C28" s="711">
        <v>2364000</v>
      </c>
      <c r="D28" s="849">
        <v>186</v>
      </c>
      <c r="E28" s="860">
        <v>1782000</v>
      </c>
      <c r="F28" s="712">
        <f t="shared" si="0"/>
        <v>-582000</v>
      </c>
      <c r="G28" s="711">
        <v>6110000</v>
      </c>
      <c r="H28" s="867">
        <f t="shared" si="1"/>
        <v>23268.817204301075</v>
      </c>
      <c r="I28" s="855">
        <v>300000</v>
      </c>
      <c r="J28" s="712">
        <f t="shared" si="2"/>
        <v>-2064000</v>
      </c>
      <c r="K28" s="849">
        <v>1113000</v>
      </c>
      <c r="L28" s="872">
        <f t="shared" si="3"/>
        <v>4370.9677419354839</v>
      </c>
    </row>
    <row r="29" spans="2:12">
      <c r="B29" s="710" t="s">
        <v>2972</v>
      </c>
      <c r="C29" s="711">
        <v>1437000</v>
      </c>
      <c r="D29" s="849">
        <v>158</v>
      </c>
      <c r="E29" s="860">
        <v>1423000</v>
      </c>
      <c r="F29" s="712">
        <f t="shared" si="0"/>
        <v>-14000</v>
      </c>
      <c r="G29" s="711">
        <v>4989000</v>
      </c>
      <c r="H29" s="867">
        <f t="shared" si="1"/>
        <v>22569.620253164558</v>
      </c>
      <c r="I29" s="855">
        <v>254000</v>
      </c>
      <c r="J29" s="712">
        <f t="shared" si="2"/>
        <v>-1183000</v>
      </c>
      <c r="K29" s="849">
        <v>894000</v>
      </c>
      <c r="L29" s="872">
        <f t="shared" si="3"/>
        <v>4050.6329113924053</v>
      </c>
    </row>
    <row r="30" spans="2:12">
      <c r="B30" s="710" t="s">
        <v>2973</v>
      </c>
      <c r="C30" s="711">
        <v>476000</v>
      </c>
      <c r="D30" s="849">
        <v>158</v>
      </c>
      <c r="E30" s="860">
        <v>1528000</v>
      </c>
      <c r="F30" s="712">
        <f t="shared" si="0"/>
        <v>1052000</v>
      </c>
      <c r="G30" s="711">
        <v>5094000</v>
      </c>
      <c r="H30" s="867">
        <f t="shared" si="1"/>
        <v>22569.620253164558</v>
      </c>
      <c r="I30" s="855">
        <v>268000</v>
      </c>
      <c r="J30" s="712">
        <f t="shared" si="2"/>
        <v>-208000</v>
      </c>
      <c r="K30" s="849">
        <v>895000</v>
      </c>
      <c r="L30" s="872">
        <f t="shared" si="3"/>
        <v>3968.3544303797466</v>
      </c>
    </row>
    <row r="31" spans="2:12">
      <c r="B31" s="710" t="s">
        <v>2974</v>
      </c>
      <c r="C31" s="711">
        <v>584000</v>
      </c>
      <c r="D31" s="849">
        <v>156</v>
      </c>
      <c r="E31" s="860">
        <v>1508000</v>
      </c>
      <c r="F31" s="712">
        <f t="shared" si="0"/>
        <v>924000</v>
      </c>
      <c r="G31" s="711">
        <v>5033000</v>
      </c>
      <c r="H31" s="867">
        <f t="shared" si="1"/>
        <v>22596.153846153848</v>
      </c>
      <c r="I31" s="855">
        <v>276000</v>
      </c>
      <c r="J31" s="712">
        <f t="shared" si="2"/>
        <v>-308000</v>
      </c>
      <c r="K31" s="849">
        <v>835100</v>
      </c>
      <c r="L31" s="872">
        <f t="shared" si="3"/>
        <v>3583.9743589743589</v>
      </c>
    </row>
    <row r="32" spans="2:12">
      <c r="B32" s="713" t="s">
        <v>2975</v>
      </c>
      <c r="C32" s="714">
        <v>1848000</v>
      </c>
      <c r="D32" s="850">
        <v>174</v>
      </c>
      <c r="E32" s="861">
        <v>1267000</v>
      </c>
      <c r="F32" s="715">
        <f t="shared" si="0"/>
        <v>-581000</v>
      </c>
      <c r="G32" s="714">
        <v>5220000</v>
      </c>
      <c r="H32" s="868">
        <f t="shared" si="1"/>
        <v>22718.3908045977</v>
      </c>
      <c r="I32" s="856">
        <v>229000</v>
      </c>
      <c r="J32" s="715">
        <f t="shared" si="2"/>
        <v>-1619000</v>
      </c>
      <c r="K32" s="850">
        <v>955000</v>
      </c>
      <c r="L32" s="873">
        <f t="shared" si="3"/>
        <v>4172.4137931034484</v>
      </c>
    </row>
    <row r="33" spans="2:12">
      <c r="B33" s="707" t="s">
        <v>2976</v>
      </c>
      <c r="C33" s="708">
        <v>1686000</v>
      </c>
      <c r="D33" s="848">
        <v>179</v>
      </c>
      <c r="E33" s="859">
        <v>1314000</v>
      </c>
      <c r="F33" s="709">
        <f t="shared" si="0"/>
        <v>-372000</v>
      </c>
      <c r="G33" s="708">
        <v>5916000</v>
      </c>
      <c r="H33" s="866">
        <f t="shared" si="1"/>
        <v>25709.497206703909</v>
      </c>
      <c r="I33" s="854">
        <v>260000</v>
      </c>
      <c r="J33" s="709">
        <f t="shared" si="2"/>
        <v>-1426000</v>
      </c>
      <c r="K33" s="848">
        <v>1182000</v>
      </c>
      <c r="L33" s="871">
        <f t="shared" si="3"/>
        <v>5150.8379888268155</v>
      </c>
    </row>
    <row r="34" spans="2:12">
      <c r="B34" s="710" t="s">
        <v>2977</v>
      </c>
      <c r="C34" s="711">
        <v>1843000</v>
      </c>
      <c r="D34" s="849">
        <v>178</v>
      </c>
      <c r="E34" s="860">
        <v>1589000</v>
      </c>
      <c r="F34" s="712">
        <f t="shared" si="0"/>
        <v>-254000</v>
      </c>
      <c r="G34" s="711">
        <v>5568000</v>
      </c>
      <c r="H34" s="867">
        <f t="shared" si="1"/>
        <v>22353.932584269663</v>
      </c>
      <c r="I34" s="855">
        <v>308000</v>
      </c>
      <c r="J34" s="712">
        <f t="shared" si="2"/>
        <v>-1535000</v>
      </c>
      <c r="K34" s="849">
        <v>1078000</v>
      </c>
      <c r="L34" s="872">
        <f t="shared" si="3"/>
        <v>4325.8426966292136</v>
      </c>
    </row>
    <row r="35" spans="2:12">
      <c r="B35" s="710" t="s">
        <v>2978</v>
      </c>
      <c r="C35" s="711">
        <v>476000</v>
      </c>
      <c r="D35" s="849">
        <v>149</v>
      </c>
      <c r="E35" s="860">
        <v>1428000</v>
      </c>
      <c r="F35" s="712">
        <f t="shared" ref="F35:F66" si="4">E35-C35</f>
        <v>952000</v>
      </c>
      <c r="G35" s="711">
        <v>5447000</v>
      </c>
      <c r="H35" s="867">
        <f t="shared" ref="H35:H66" si="5">(G35-E35)/D35</f>
        <v>26973.154362416106</v>
      </c>
      <c r="I35" s="855">
        <v>280000</v>
      </c>
      <c r="J35" s="712">
        <f t="shared" ref="J35:J66" si="6">I35-C35</f>
        <v>-196000</v>
      </c>
      <c r="K35" s="849">
        <v>1022000</v>
      </c>
      <c r="L35" s="872">
        <f t="shared" ref="L35:L66" si="7">(K35-I35)/D35</f>
        <v>4979.8657718120803</v>
      </c>
    </row>
    <row r="36" spans="2:12">
      <c r="B36" s="710" t="s">
        <v>2979</v>
      </c>
      <c r="C36" s="711">
        <v>1500000</v>
      </c>
      <c r="D36" s="849">
        <v>174</v>
      </c>
      <c r="E36" s="860">
        <v>1550000</v>
      </c>
      <c r="F36" s="712">
        <f t="shared" si="4"/>
        <v>50000</v>
      </c>
      <c r="G36" s="711">
        <v>5914000</v>
      </c>
      <c r="H36" s="867">
        <f t="shared" si="5"/>
        <v>25080.459770114943</v>
      </c>
      <c r="I36" s="855">
        <v>355000</v>
      </c>
      <c r="J36" s="712">
        <f t="shared" si="6"/>
        <v>-1145000</v>
      </c>
      <c r="K36" s="849">
        <v>1187000</v>
      </c>
      <c r="L36" s="872">
        <f t="shared" si="7"/>
        <v>4781.6091954022986</v>
      </c>
    </row>
    <row r="37" spans="2:12">
      <c r="B37" s="710" t="s">
        <v>2980</v>
      </c>
      <c r="C37" s="711">
        <v>477000</v>
      </c>
      <c r="D37" s="849">
        <v>165</v>
      </c>
      <c r="E37" s="860">
        <v>1500000</v>
      </c>
      <c r="F37" s="712">
        <f t="shared" si="4"/>
        <v>1023000</v>
      </c>
      <c r="G37" s="711">
        <v>5616000</v>
      </c>
      <c r="H37" s="867">
        <f t="shared" si="5"/>
        <v>24945.454545454544</v>
      </c>
      <c r="I37" s="855">
        <v>345000</v>
      </c>
      <c r="J37" s="712">
        <f t="shared" si="6"/>
        <v>-132000</v>
      </c>
      <c r="K37" s="849">
        <v>1156000</v>
      </c>
      <c r="L37" s="872">
        <f t="shared" si="7"/>
        <v>4915.151515151515</v>
      </c>
    </row>
    <row r="38" spans="2:12">
      <c r="B38" s="710" t="s">
        <v>2981</v>
      </c>
      <c r="C38" s="711">
        <v>2369000</v>
      </c>
      <c r="D38" s="849">
        <v>175</v>
      </c>
      <c r="E38" s="860">
        <v>2135000</v>
      </c>
      <c r="F38" s="712">
        <f t="shared" si="4"/>
        <v>-234000</v>
      </c>
      <c r="G38" s="711">
        <v>7123000</v>
      </c>
      <c r="H38" s="867">
        <f t="shared" si="5"/>
        <v>28502.857142857141</v>
      </c>
      <c r="I38" s="855">
        <v>774000</v>
      </c>
      <c r="J38" s="712">
        <f t="shared" si="6"/>
        <v>-1595000</v>
      </c>
      <c r="K38" s="849">
        <v>2600000</v>
      </c>
      <c r="L38" s="872">
        <f t="shared" si="7"/>
        <v>10434.285714285714</v>
      </c>
    </row>
    <row r="39" spans="2:12">
      <c r="B39" s="710" t="s">
        <v>2982</v>
      </c>
      <c r="C39" s="711">
        <v>476000</v>
      </c>
      <c r="D39" s="849">
        <v>135</v>
      </c>
      <c r="E39" s="860">
        <v>1200000</v>
      </c>
      <c r="F39" s="712">
        <f t="shared" si="4"/>
        <v>724000</v>
      </c>
      <c r="G39" s="711">
        <v>4435000</v>
      </c>
      <c r="H39" s="867">
        <f t="shared" si="5"/>
        <v>23962.962962962964</v>
      </c>
      <c r="I39" s="855">
        <v>276000</v>
      </c>
      <c r="J39" s="712">
        <f t="shared" si="6"/>
        <v>-200000</v>
      </c>
      <c r="K39" s="849">
        <v>929000</v>
      </c>
      <c r="L39" s="872">
        <f t="shared" si="7"/>
        <v>4837.0370370370374</v>
      </c>
    </row>
    <row r="40" spans="2:12">
      <c r="B40" s="710" t="s">
        <v>2983</v>
      </c>
      <c r="C40" s="711">
        <v>1605000</v>
      </c>
      <c r="D40" s="849">
        <v>184</v>
      </c>
      <c r="E40" s="860">
        <v>1421000</v>
      </c>
      <c r="F40" s="712">
        <f t="shared" si="4"/>
        <v>-184000</v>
      </c>
      <c r="G40" s="711">
        <v>5689000</v>
      </c>
      <c r="H40" s="867">
        <f t="shared" si="5"/>
        <v>23195.652173913044</v>
      </c>
      <c r="I40" s="855">
        <v>301000</v>
      </c>
      <c r="J40" s="712">
        <f t="shared" si="6"/>
        <v>-1304000</v>
      </c>
      <c r="K40" s="849">
        <v>1213000</v>
      </c>
      <c r="L40" s="872">
        <f t="shared" si="7"/>
        <v>4956.521739130435</v>
      </c>
    </row>
    <row r="41" spans="2:12">
      <c r="B41" s="710" t="s">
        <v>2984</v>
      </c>
      <c r="C41" s="711">
        <v>477000</v>
      </c>
      <c r="D41" s="849">
        <v>133</v>
      </c>
      <c r="E41" s="860">
        <v>1320000</v>
      </c>
      <c r="F41" s="712">
        <f t="shared" si="4"/>
        <v>843000</v>
      </c>
      <c r="G41" s="711">
        <v>4407000</v>
      </c>
      <c r="H41" s="867">
        <f t="shared" si="5"/>
        <v>23210.526315789473</v>
      </c>
      <c r="I41" s="855">
        <v>297000</v>
      </c>
      <c r="J41" s="712">
        <f t="shared" si="6"/>
        <v>-180000</v>
      </c>
      <c r="K41" s="849">
        <v>1166000</v>
      </c>
      <c r="L41" s="872">
        <f t="shared" si="7"/>
        <v>6533.8345864661651</v>
      </c>
    </row>
    <row r="42" spans="2:12">
      <c r="B42" s="713" t="s">
        <v>2985</v>
      </c>
      <c r="C42" s="714">
        <v>1752000</v>
      </c>
      <c r="D42" s="850">
        <v>184</v>
      </c>
      <c r="E42" s="861">
        <v>1236000</v>
      </c>
      <c r="F42" s="715">
        <f t="shared" si="4"/>
        <v>-516000</v>
      </c>
      <c r="G42" s="714">
        <v>5565000</v>
      </c>
      <c r="H42" s="868">
        <f t="shared" si="5"/>
        <v>23527.17391304348</v>
      </c>
      <c r="I42" s="856">
        <v>270000</v>
      </c>
      <c r="J42" s="715">
        <f t="shared" si="6"/>
        <v>-1482000</v>
      </c>
      <c r="K42" s="850">
        <v>1223000</v>
      </c>
      <c r="L42" s="873">
        <f t="shared" si="7"/>
        <v>5179.347826086957</v>
      </c>
    </row>
    <row r="43" spans="2:12">
      <c r="B43" s="707" t="s">
        <v>2986</v>
      </c>
      <c r="C43" s="708">
        <v>1516000</v>
      </c>
      <c r="D43" s="848">
        <v>186</v>
      </c>
      <c r="E43" s="859">
        <v>1052000</v>
      </c>
      <c r="F43" s="709">
        <f t="shared" si="4"/>
        <v>-464000</v>
      </c>
      <c r="G43" s="708">
        <v>5363000</v>
      </c>
      <c r="H43" s="866">
        <f t="shared" si="5"/>
        <v>23177.419354838708</v>
      </c>
      <c r="I43" s="854">
        <v>244000</v>
      </c>
      <c r="J43" s="709">
        <f t="shared" si="6"/>
        <v>-1272000</v>
      </c>
      <c r="K43" s="848">
        <v>1247000</v>
      </c>
      <c r="L43" s="871">
        <f t="shared" si="7"/>
        <v>5392.4731182795695</v>
      </c>
    </row>
    <row r="44" spans="2:12">
      <c r="B44" s="710" t="s">
        <v>2987</v>
      </c>
      <c r="C44" s="711">
        <v>476000</v>
      </c>
      <c r="D44" s="849">
        <v>158</v>
      </c>
      <c r="E44" s="860">
        <v>1816000</v>
      </c>
      <c r="F44" s="712">
        <f t="shared" si="4"/>
        <v>1340000</v>
      </c>
      <c r="G44" s="711">
        <v>6054000</v>
      </c>
      <c r="H44" s="867">
        <f t="shared" si="5"/>
        <v>26822.784810126581</v>
      </c>
      <c r="I44" s="855">
        <v>368000</v>
      </c>
      <c r="J44" s="712">
        <f t="shared" si="6"/>
        <v>-108000</v>
      </c>
      <c r="K44" s="849">
        <v>1341000</v>
      </c>
      <c r="L44" s="872">
        <f t="shared" si="7"/>
        <v>6158.2278481012654</v>
      </c>
    </row>
    <row r="45" spans="2:12">
      <c r="B45" s="710" t="s">
        <v>2988</v>
      </c>
      <c r="C45" s="711">
        <v>476000</v>
      </c>
      <c r="D45" s="849">
        <v>135</v>
      </c>
      <c r="E45" s="860">
        <v>1340000</v>
      </c>
      <c r="F45" s="712">
        <f t="shared" si="4"/>
        <v>864000</v>
      </c>
      <c r="G45" s="711">
        <v>5087000</v>
      </c>
      <c r="H45" s="867">
        <f t="shared" si="5"/>
        <v>27755.555555555555</v>
      </c>
      <c r="I45" s="855">
        <v>352000</v>
      </c>
      <c r="J45" s="712">
        <f t="shared" si="6"/>
        <v>-124000</v>
      </c>
      <c r="K45" s="849">
        <v>1176000</v>
      </c>
      <c r="L45" s="872">
        <f t="shared" si="7"/>
        <v>6103.7037037037035</v>
      </c>
    </row>
    <row r="46" spans="2:12">
      <c r="B46" s="710" t="s">
        <v>2989</v>
      </c>
      <c r="C46" s="711">
        <v>450000</v>
      </c>
      <c r="D46" s="849">
        <v>135</v>
      </c>
      <c r="E46" s="860">
        <v>1641000</v>
      </c>
      <c r="F46" s="712">
        <f t="shared" si="4"/>
        <v>1191000</v>
      </c>
      <c r="G46" s="711">
        <v>5476000</v>
      </c>
      <c r="H46" s="867">
        <f t="shared" si="5"/>
        <v>28407.407407407409</v>
      </c>
      <c r="I46" s="855">
        <v>300000</v>
      </c>
      <c r="J46" s="712">
        <f t="shared" si="6"/>
        <v>-150000</v>
      </c>
      <c r="K46" s="849">
        <v>1195000</v>
      </c>
      <c r="L46" s="872">
        <f t="shared" si="7"/>
        <v>6629.6296296296296</v>
      </c>
    </row>
    <row r="47" spans="2:12">
      <c r="B47" s="710" t="s">
        <v>2990</v>
      </c>
      <c r="C47" s="711">
        <v>548000</v>
      </c>
      <c r="D47" s="849">
        <v>150</v>
      </c>
      <c r="E47" s="860">
        <v>1360000</v>
      </c>
      <c r="F47" s="712">
        <f t="shared" si="4"/>
        <v>812000</v>
      </c>
      <c r="G47" s="711">
        <v>6002000</v>
      </c>
      <c r="H47" s="867">
        <f t="shared" si="5"/>
        <v>30946.666666666668</v>
      </c>
      <c r="I47" s="855">
        <v>380000</v>
      </c>
      <c r="J47" s="712">
        <f t="shared" si="6"/>
        <v>-168000</v>
      </c>
      <c r="K47" s="849">
        <v>1272000</v>
      </c>
      <c r="L47" s="872">
        <f t="shared" si="7"/>
        <v>5946.666666666667</v>
      </c>
    </row>
    <row r="48" spans="2:12">
      <c r="B48" s="710" t="s">
        <v>2991</v>
      </c>
      <c r="C48" s="711">
        <v>620000</v>
      </c>
      <c r="D48" s="849">
        <v>166</v>
      </c>
      <c r="E48" s="860">
        <v>1852000</v>
      </c>
      <c r="F48" s="712">
        <f t="shared" si="4"/>
        <v>1232000</v>
      </c>
      <c r="G48" s="711">
        <v>6181000</v>
      </c>
      <c r="H48" s="867">
        <f t="shared" si="5"/>
        <v>26078.313253012049</v>
      </c>
      <c r="I48" s="855">
        <v>428000</v>
      </c>
      <c r="J48" s="712">
        <f t="shared" si="6"/>
        <v>-192000</v>
      </c>
      <c r="K48" s="849">
        <v>1427000</v>
      </c>
      <c r="L48" s="872">
        <f t="shared" si="7"/>
        <v>6018.0722891566265</v>
      </c>
    </row>
    <row r="49" spans="2:12">
      <c r="B49" s="710" t="s">
        <v>2992</v>
      </c>
      <c r="C49" s="711">
        <v>1437000</v>
      </c>
      <c r="D49" s="849">
        <v>158</v>
      </c>
      <c r="E49" s="860">
        <v>1491000</v>
      </c>
      <c r="F49" s="712">
        <f t="shared" si="4"/>
        <v>54000</v>
      </c>
      <c r="G49" s="711">
        <v>5225000</v>
      </c>
      <c r="H49" s="867">
        <f t="shared" si="5"/>
        <v>23632.911392405062</v>
      </c>
      <c r="I49" s="855">
        <v>387000</v>
      </c>
      <c r="J49" s="712">
        <f t="shared" si="6"/>
        <v>-1050000</v>
      </c>
      <c r="K49" s="849">
        <v>1360000</v>
      </c>
      <c r="L49" s="872">
        <f t="shared" si="7"/>
        <v>6158.2278481012654</v>
      </c>
    </row>
    <row r="50" spans="2:12">
      <c r="B50" s="710" t="s">
        <v>2993</v>
      </c>
      <c r="C50" s="711">
        <v>512000</v>
      </c>
      <c r="D50" s="849">
        <v>164</v>
      </c>
      <c r="E50" s="860">
        <v>1600000</v>
      </c>
      <c r="F50" s="712">
        <f t="shared" si="4"/>
        <v>1088000</v>
      </c>
      <c r="G50" s="711">
        <v>5805000</v>
      </c>
      <c r="H50" s="867">
        <f t="shared" si="5"/>
        <v>25640.243902439026</v>
      </c>
      <c r="I50" s="855">
        <v>432000</v>
      </c>
      <c r="J50" s="712">
        <f t="shared" si="6"/>
        <v>-80000</v>
      </c>
      <c r="K50" s="849">
        <v>1528000</v>
      </c>
      <c r="L50" s="872">
        <f t="shared" si="7"/>
        <v>6682.9268292682927</v>
      </c>
    </row>
    <row r="51" spans="2:12">
      <c r="B51" s="710" t="s">
        <v>2994</v>
      </c>
      <c r="C51" s="711">
        <v>476000</v>
      </c>
      <c r="D51" s="849">
        <v>137</v>
      </c>
      <c r="E51" s="860">
        <v>1260000</v>
      </c>
      <c r="F51" s="712">
        <f t="shared" si="4"/>
        <v>784000</v>
      </c>
      <c r="G51" s="711">
        <v>4876000</v>
      </c>
      <c r="H51" s="867">
        <f t="shared" si="5"/>
        <v>26394.160583941604</v>
      </c>
      <c r="I51" s="855">
        <v>357000</v>
      </c>
      <c r="J51" s="712">
        <f t="shared" si="6"/>
        <v>-119000</v>
      </c>
      <c r="K51" s="849">
        <v>1321000</v>
      </c>
      <c r="L51" s="872">
        <f t="shared" si="7"/>
        <v>7036.4963503649633</v>
      </c>
    </row>
    <row r="52" spans="2:12">
      <c r="B52" s="713" t="s">
        <v>2995</v>
      </c>
      <c r="C52" s="714">
        <v>2256000</v>
      </c>
      <c r="D52" s="850">
        <v>181</v>
      </c>
      <c r="E52" s="861">
        <v>1638000</v>
      </c>
      <c r="F52" s="715">
        <f t="shared" si="4"/>
        <v>-618000</v>
      </c>
      <c r="G52" s="714">
        <v>6560000</v>
      </c>
      <c r="H52" s="868">
        <f t="shared" si="5"/>
        <v>27193.370165745855</v>
      </c>
      <c r="I52" s="856">
        <v>448000</v>
      </c>
      <c r="J52" s="715">
        <f t="shared" si="6"/>
        <v>-1808000</v>
      </c>
      <c r="K52" s="850">
        <v>1799000</v>
      </c>
      <c r="L52" s="873">
        <f t="shared" si="7"/>
        <v>7464.0883977900548</v>
      </c>
    </row>
    <row r="53" spans="2:12">
      <c r="B53" s="707" t="s">
        <v>2996</v>
      </c>
      <c r="C53" s="708">
        <v>1400000</v>
      </c>
      <c r="D53" s="848">
        <v>173</v>
      </c>
      <c r="E53" s="859">
        <v>992000</v>
      </c>
      <c r="F53" s="709">
        <f t="shared" si="4"/>
        <v>-408000</v>
      </c>
      <c r="G53" s="708">
        <v>5050000</v>
      </c>
      <c r="H53" s="866">
        <f t="shared" si="5"/>
        <v>23456.647398843932</v>
      </c>
      <c r="I53" s="854">
        <v>276000</v>
      </c>
      <c r="J53" s="709">
        <f t="shared" si="6"/>
        <v>-1124000</v>
      </c>
      <c r="K53" s="848">
        <v>1412000</v>
      </c>
      <c r="L53" s="871">
        <f t="shared" si="7"/>
        <v>6566.4739884393066</v>
      </c>
    </row>
    <row r="54" spans="2:12">
      <c r="B54" s="710" t="s">
        <v>2997</v>
      </c>
      <c r="C54" s="711">
        <v>510000</v>
      </c>
      <c r="D54" s="849">
        <v>170</v>
      </c>
      <c r="E54" s="860">
        <v>1710000</v>
      </c>
      <c r="F54" s="712">
        <f t="shared" si="4"/>
        <v>1200000</v>
      </c>
      <c r="G54" s="711">
        <v>5703000</v>
      </c>
      <c r="H54" s="867">
        <f t="shared" si="5"/>
        <v>23488.235294117647</v>
      </c>
      <c r="I54" s="855">
        <v>474000</v>
      </c>
      <c r="J54" s="712">
        <f t="shared" si="6"/>
        <v>-36000</v>
      </c>
      <c r="K54" s="849">
        <v>1870000</v>
      </c>
      <c r="L54" s="872">
        <f t="shared" si="7"/>
        <v>8211.7647058823532</v>
      </c>
    </row>
    <row r="55" spans="2:12">
      <c r="B55" s="710" t="s">
        <v>2998</v>
      </c>
      <c r="C55" s="711">
        <v>1794000</v>
      </c>
      <c r="D55" s="849">
        <v>173</v>
      </c>
      <c r="E55" s="860">
        <v>1748000</v>
      </c>
      <c r="F55" s="712">
        <f t="shared" si="4"/>
        <v>-46000</v>
      </c>
      <c r="G55" s="711">
        <v>7335000</v>
      </c>
      <c r="H55" s="867">
        <f t="shared" si="5"/>
        <v>32294.797687861272</v>
      </c>
      <c r="I55" s="855">
        <v>504000</v>
      </c>
      <c r="J55" s="712">
        <f t="shared" si="6"/>
        <v>-1290000</v>
      </c>
      <c r="K55" s="849">
        <v>1680000</v>
      </c>
      <c r="L55" s="872">
        <f t="shared" si="7"/>
        <v>6797.6878612716764</v>
      </c>
    </row>
    <row r="56" spans="2:12">
      <c r="B56" s="710" t="s">
        <v>2999</v>
      </c>
      <c r="C56" s="711">
        <v>1890000</v>
      </c>
      <c r="D56" s="849">
        <v>163</v>
      </c>
      <c r="E56" s="860">
        <v>1530000</v>
      </c>
      <c r="F56" s="712">
        <f t="shared" si="4"/>
        <v>-360000</v>
      </c>
      <c r="G56" s="711">
        <v>5552000</v>
      </c>
      <c r="H56" s="867">
        <f t="shared" si="5"/>
        <v>24674.84662576687</v>
      </c>
      <c r="I56" s="855">
        <v>440000</v>
      </c>
      <c r="J56" s="712">
        <f t="shared" si="6"/>
        <v>-1450000</v>
      </c>
      <c r="K56" s="849">
        <v>1599000</v>
      </c>
      <c r="L56" s="872">
        <f t="shared" si="7"/>
        <v>7110.4294478527609</v>
      </c>
    </row>
    <row r="57" spans="2:12">
      <c r="B57" s="710" t="s">
        <v>3000</v>
      </c>
      <c r="C57" s="711">
        <v>450000</v>
      </c>
      <c r="D57" s="849">
        <v>129</v>
      </c>
      <c r="E57" s="860">
        <v>1330000</v>
      </c>
      <c r="F57" s="712">
        <f t="shared" si="4"/>
        <v>880000</v>
      </c>
      <c r="G57" s="711">
        <v>4438000</v>
      </c>
      <c r="H57" s="867">
        <f t="shared" si="5"/>
        <v>24093.023255813954</v>
      </c>
      <c r="I57" s="855">
        <v>490000</v>
      </c>
      <c r="J57" s="712">
        <f t="shared" si="6"/>
        <v>40000</v>
      </c>
      <c r="K57" s="849">
        <v>1637000</v>
      </c>
      <c r="L57" s="872">
        <f t="shared" si="7"/>
        <v>8891.4728682170535</v>
      </c>
    </row>
    <row r="58" spans="2:12">
      <c r="B58" s="710" t="s">
        <v>3001</v>
      </c>
      <c r="C58" s="711">
        <v>440000</v>
      </c>
      <c r="D58" s="849">
        <v>150</v>
      </c>
      <c r="E58" s="860">
        <v>1556000</v>
      </c>
      <c r="F58" s="712">
        <f t="shared" si="4"/>
        <v>1116000</v>
      </c>
      <c r="G58" s="711">
        <v>5191000</v>
      </c>
      <c r="H58" s="867">
        <f t="shared" si="5"/>
        <v>24233.333333333332</v>
      </c>
      <c r="I58" s="855">
        <v>456000</v>
      </c>
      <c r="J58" s="712">
        <f t="shared" si="6"/>
        <v>16000</v>
      </c>
      <c r="K58" s="849">
        <v>1818000</v>
      </c>
      <c r="L58" s="872">
        <f t="shared" si="7"/>
        <v>9080</v>
      </c>
    </row>
    <row r="59" spans="2:12">
      <c r="B59" s="710" t="s">
        <v>3002</v>
      </c>
      <c r="C59" s="711">
        <v>476000</v>
      </c>
      <c r="D59" s="849">
        <v>140</v>
      </c>
      <c r="E59" s="860">
        <v>1446000</v>
      </c>
      <c r="F59" s="712">
        <f t="shared" si="4"/>
        <v>970000</v>
      </c>
      <c r="G59" s="711">
        <v>4820000</v>
      </c>
      <c r="H59" s="867">
        <f t="shared" si="5"/>
        <v>24100</v>
      </c>
      <c r="I59" s="855">
        <v>538000</v>
      </c>
      <c r="J59" s="712">
        <f t="shared" si="6"/>
        <v>62000</v>
      </c>
      <c r="K59" s="849">
        <v>1794000</v>
      </c>
      <c r="L59" s="872">
        <f t="shared" si="7"/>
        <v>8971.4285714285706</v>
      </c>
    </row>
    <row r="60" spans="2:12">
      <c r="B60" s="710" t="s">
        <v>3003</v>
      </c>
      <c r="C60" s="711">
        <v>2121000</v>
      </c>
      <c r="D60" s="849">
        <v>179</v>
      </c>
      <c r="E60" s="860">
        <v>1752000</v>
      </c>
      <c r="F60" s="712">
        <f t="shared" si="4"/>
        <v>-369000</v>
      </c>
      <c r="G60" s="711">
        <v>7015000</v>
      </c>
      <c r="H60" s="867">
        <f t="shared" si="5"/>
        <v>29402.234636871508</v>
      </c>
      <c r="I60" s="855">
        <v>555000</v>
      </c>
      <c r="J60" s="712">
        <f t="shared" si="6"/>
        <v>-1566000</v>
      </c>
      <c r="K60" s="849">
        <v>2232000</v>
      </c>
      <c r="L60" s="872">
        <f t="shared" si="7"/>
        <v>9368.7150837988829</v>
      </c>
    </row>
    <row r="61" spans="2:12">
      <c r="B61" s="710" t="s">
        <v>3004</v>
      </c>
      <c r="C61" s="711">
        <v>477000</v>
      </c>
      <c r="D61" s="849">
        <v>133</v>
      </c>
      <c r="E61" s="860">
        <v>1386000</v>
      </c>
      <c r="F61" s="712">
        <f t="shared" si="4"/>
        <v>909000</v>
      </c>
      <c r="G61" s="711">
        <v>4626000</v>
      </c>
      <c r="H61" s="867">
        <f t="shared" si="5"/>
        <v>24360.902255639099</v>
      </c>
      <c r="I61" s="855">
        <v>534000</v>
      </c>
      <c r="J61" s="712">
        <f t="shared" si="6"/>
        <v>57000</v>
      </c>
      <c r="K61" s="849">
        <v>1783000</v>
      </c>
      <c r="L61" s="872">
        <f t="shared" si="7"/>
        <v>9390.9774436090229</v>
      </c>
    </row>
    <row r="62" spans="2:12">
      <c r="B62" s="713" t="s">
        <v>3005</v>
      </c>
      <c r="C62" s="714">
        <v>1320000</v>
      </c>
      <c r="D62" s="850">
        <v>178</v>
      </c>
      <c r="E62" s="861">
        <v>984000</v>
      </c>
      <c r="F62" s="715">
        <f t="shared" si="4"/>
        <v>-336000</v>
      </c>
      <c r="G62" s="714">
        <v>3772000</v>
      </c>
      <c r="H62" s="868">
        <f t="shared" si="5"/>
        <v>15662.921348314607</v>
      </c>
      <c r="I62" s="856">
        <v>472000</v>
      </c>
      <c r="J62" s="715">
        <f t="shared" si="6"/>
        <v>-848000</v>
      </c>
      <c r="K62" s="850">
        <v>1713000</v>
      </c>
      <c r="L62" s="873">
        <f t="shared" si="7"/>
        <v>6971.9101123595501</v>
      </c>
    </row>
    <row r="63" spans="2:12">
      <c r="B63" s="707" t="s">
        <v>3006</v>
      </c>
      <c r="C63" s="708">
        <f>385000*7</f>
        <v>2695000</v>
      </c>
      <c r="D63" s="848">
        <v>189</v>
      </c>
      <c r="E63" s="859">
        <f>296000*5+593000</f>
        <v>2073000</v>
      </c>
      <c r="F63" s="709">
        <f t="shared" si="4"/>
        <v>-622000</v>
      </c>
      <c r="G63" s="708">
        <v>6920000</v>
      </c>
      <c r="H63" s="866">
        <f t="shared" si="5"/>
        <v>25645.502645502645</v>
      </c>
      <c r="I63" s="854">
        <v>644000</v>
      </c>
      <c r="J63" s="709">
        <f t="shared" si="6"/>
        <v>-2051000</v>
      </c>
      <c r="K63" s="848">
        <v>2148000</v>
      </c>
      <c r="L63" s="871">
        <f t="shared" si="7"/>
        <v>7957.6719576719579</v>
      </c>
    </row>
    <row r="64" spans="2:12">
      <c r="B64" s="710" t="s">
        <v>3007</v>
      </c>
      <c r="C64" s="711">
        <v>520000</v>
      </c>
      <c r="D64" s="849">
        <v>166</v>
      </c>
      <c r="E64" s="860">
        <v>800000</v>
      </c>
      <c r="F64" s="712">
        <f t="shared" si="4"/>
        <v>280000</v>
      </c>
      <c r="G64" s="711">
        <v>4844000</v>
      </c>
      <c r="H64" s="867">
        <f t="shared" si="5"/>
        <v>24361.445783132531</v>
      </c>
      <c r="I64" s="855">
        <v>280000</v>
      </c>
      <c r="J64" s="712">
        <f t="shared" si="6"/>
        <v>-240000</v>
      </c>
      <c r="K64" s="849">
        <v>1564000</v>
      </c>
      <c r="L64" s="872">
        <f t="shared" si="7"/>
        <v>7734.939759036145</v>
      </c>
    </row>
    <row r="65" spans="2:12">
      <c r="B65" s="710" t="s">
        <v>3008</v>
      </c>
      <c r="C65" s="711">
        <v>1574000</v>
      </c>
      <c r="D65" s="849">
        <v>145</v>
      </c>
      <c r="E65" s="860">
        <f>219000*6</f>
        <v>1314000</v>
      </c>
      <c r="F65" s="712">
        <f t="shared" si="4"/>
        <v>-260000</v>
      </c>
      <c r="G65" s="711">
        <v>5913000</v>
      </c>
      <c r="H65" s="867">
        <f t="shared" si="5"/>
        <v>31717.241379310344</v>
      </c>
      <c r="I65" s="855">
        <f>71000*2+143000*2</f>
        <v>428000</v>
      </c>
      <c r="J65" s="712">
        <f t="shared" si="6"/>
        <v>-1146000</v>
      </c>
      <c r="K65" s="849">
        <v>1935000</v>
      </c>
      <c r="L65" s="872">
        <f t="shared" si="7"/>
        <v>10393.103448275862</v>
      </c>
    </row>
    <row r="66" spans="2:12">
      <c r="B66" s="710" t="s">
        <v>3009</v>
      </c>
      <c r="C66" s="711">
        <v>2251000</v>
      </c>
      <c r="D66" s="849">
        <v>179</v>
      </c>
      <c r="E66" s="860">
        <f>310000*4+621000</f>
        <v>1861000</v>
      </c>
      <c r="F66" s="712">
        <f t="shared" si="4"/>
        <v>-390000</v>
      </c>
      <c r="G66" s="711">
        <v>6211000</v>
      </c>
      <c r="H66" s="867">
        <f t="shared" si="5"/>
        <v>24301.675977653631</v>
      </c>
      <c r="I66" s="855">
        <f>98000*4+197000</f>
        <v>589000</v>
      </c>
      <c r="J66" s="712">
        <f t="shared" si="6"/>
        <v>-1662000</v>
      </c>
      <c r="K66" s="849">
        <v>1973000</v>
      </c>
      <c r="L66" s="872">
        <f t="shared" si="7"/>
        <v>7731.8435754189941</v>
      </c>
    </row>
    <row r="67" spans="2:12">
      <c r="B67" s="710" t="s">
        <v>3010</v>
      </c>
      <c r="C67" s="711">
        <v>1901000</v>
      </c>
      <c r="D67" s="849">
        <v>171</v>
      </c>
      <c r="E67" s="860">
        <f>358000*3+717000</f>
        <v>1791000</v>
      </c>
      <c r="F67" s="712">
        <f t="shared" ref="F67:F98" si="8">E67-C67</f>
        <v>-110000</v>
      </c>
      <c r="G67" s="711">
        <v>5976000</v>
      </c>
      <c r="H67" s="867">
        <f t="shared" ref="H67:H98" si="9">(G67-E67)/D67</f>
        <v>24473.684210526317</v>
      </c>
      <c r="I67" s="855">
        <f>1000+116000*5</f>
        <v>581000</v>
      </c>
      <c r="J67" s="712">
        <f t="shared" ref="J67:J98" si="10">I67-C67</f>
        <v>-1320000</v>
      </c>
      <c r="K67" s="849">
        <v>1941000</v>
      </c>
      <c r="L67" s="872">
        <f t="shared" ref="L67:L98" si="11">(K67-I67)/D67</f>
        <v>7953.2163742690054</v>
      </c>
    </row>
    <row r="68" spans="2:12">
      <c r="B68" s="710" t="s">
        <v>3011</v>
      </c>
      <c r="C68" s="711">
        <v>584000</v>
      </c>
      <c r="D68" s="849">
        <v>156</v>
      </c>
      <c r="E68" s="860">
        <f>412000*4</f>
        <v>1648000</v>
      </c>
      <c r="F68" s="712">
        <f t="shared" si="8"/>
        <v>1064000</v>
      </c>
      <c r="G68" s="711">
        <v>6137000</v>
      </c>
      <c r="H68" s="867">
        <f t="shared" si="9"/>
        <v>28775.641025641027</v>
      </c>
      <c r="I68" s="855">
        <v>524000</v>
      </c>
      <c r="J68" s="712">
        <f t="shared" si="10"/>
        <v>-60000</v>
      </c>
      <c r="K68" s="849">
        <v>1813000</v>
      </c>
      <c r="L68" s="872">
        <f t="shared" si="11"/>
        <v>8262.8205128205136</v>
      </c>
    </row>
    <row r="69" spans="2:12">
      <c r="B69" s="710" t="s">
        <v>3012</v>
      </c>
      <c r="C69" s="711">
        <v>2720000</v>
      </c>
      <c r="D69" s="849">
        <v>191</v>
      </c>
      <c r="E69" s="860">
        <f>268000*5+537000*2</f>
        <v>2414000</v>
      </c>
      <c r="F69" s="712">
        <f t="shared" si="8"/>
        <v>-306000</v>
      </c>
      <c r="G69" s="711">
        <v>8054000</v>
      </c>
      <c r="H69" s="867">
        <f t="shared" si="9"/>
        <v>29528.795811518325</v>
      </c>
      <c r="I69" s="855">
        <v>810000</v>
      </c>
      <c r="J69" s="712">
        <f t="shared" si="10"/>
        <v>-1910000</v>
      </c>
      <c r="K69" s="849">
        <v>2705000</v>
      </c>
      <c r="L69" s="872">
        <f t="shared" si="11"/>
        <v>9921.465968586388</v>
      </c>
    </row>
    <row r="70" spans="2:12">
      <c r="B70" s="710" t="s">
        <v>3013</v>
      </c>
      <c r="C70" s="711">
        <v>2300000</v>
      </c>
      <c r="D70" s="849">
        <v>171</v>
      </c>
      <c r="E70" s="860">
        <f>259000*7</f>
        <v>1813000</v>
      </c>
      <c r="F70" s="712">
        <f t="shared" si="8"/>
        <v>-487000</v>
      </c>
      <c r="G70" s="711">
        <v>6542000</v>
      </c>
      <c r="H70" s="867">
        <f t="shared" si="9"/>
        <v>27654.970760233919</v>
      </c>
      <c r="I70" s="855">
        <f>86000*7</f>
        <v>602000</v>
      </c>
      <c r="J70" s="712">
        <f t="shared" si="10"/>
        <v>-1698000</v>
      </c>
      <c r="K70" s="849">
        <v>2014000</v>
      </c>
      <c r="L70" s="872">
        <f t="shared" si="11"/>
        <v>8257.309941520467</v>
      </c>
    </row>
    <row r="71" spans="2:12">
      <c r="B71" s="710" t="s">
        <v>3014</v>
      </c>
      <c r="C71" s="711">
        <v>475000</v>
      </c>
      <c r="D71" s="849">
        <v>157</v>
      </c>
      <c r="E71" s="860">
        <f>336000*5</f>
        <v>1680000</v>
      </c>
      <c r="F71" s="712">
        <f t="shared" si="8"/>
        <v>1205000</v>
      </c>
      <c r="G71" s="711">
        <v>5601000</v>
      </c>
      <c r="H71" s="867">
        <f t="shared" si="9"/>
        <v>24974.522292993632</v>
      </c>
      <c r="I71" s="855">
        <v>550000</v>
      </c>
      <c r="J71" s="712">
        <f t="shared" si="10"/>
        <v>75000</v>
      </c>
      <c r="K71" s="849">
        <v>1758000</v>
      </c>
      <c r="L71" s="872">
        <f t="shared" si="11"/>
        <v>7694.2675159235669</v>
      </c>
    </row>
    <row r="72" spans="2:12">
      <c r="B72" s="713" t="s">
        <v>3015</v>
      </c>
      <c r="C72" s="714">
        <f>296000*4+593000</f>
        <v>1777000</v>
      </c>
      <c r="D72" s="850">
        <v>167</v>
      </c>
      <c r="E72" s="861">
        <f>223000*4+447000</f>
        <v>1339000</v>
      </c>
      <c r="F72" s="715">
        <f t="shared" si="8"/>
        <v>-438000</v>
      </c>
      <c r="G72" s="714">
        <v>5517000</v>
      </c>
      <c r="H72" s="868">
        <f t="shared" si="9"/>
        <v>25017.964071856288</v>
      </c>
      <c r="I72" s="856">
        <v>450000</v>
      </c>
      <c r="J72" s="715">
        <f t="shared" si="10"/>
        <v>-1327000</v>
      </c>
      <c r="K72" s="850">
        <v>1854000</v>
      </c>
      <c r="L72" s="873">
        <f t="shared" si="11"/>
        <v>8407.1856287425144</v>
      </c>
    </row>
    <row r="73" spans="2:12">
      <c r="B73" s="707" t="s">
        <v>3016</v>
      </c>
      <c r="C73" s="708">
        <f>63000*5+127000*2</f>
        <v>569000</v>
      </c>
      <c r="D73" s="848">
        <v>187</v>
      </c>
      <c r="E73" s="859">
        <f>47000*5+94000*2</f>
        <v>423000</v>
      </c>
      <c r="F73" s="709">
        <f t="shared" si="8"/>
        <v>-146000</v>
      </c>
      <c r="G73" s="708">
        <v>4558000</v>
      </c>
      <c r="H73" s="866">
        <f t="shared" si="9"/>
        <v>22112.299465240641</v>
      </c>
      <c r="I73" s="854">
        <f>15000*5+31000*2</f>
        <v>137000</v>
      </c>
      <c r="J73" s="709">
        <f t="shared" si="10"/>
        <v>-432000</v>
      </c>
      <c r="K73" s="848">
        <v>1521000</v>
      </c>
      <c r="L73" s="871">
        <f t="shared" si="11"/>
        <v>7401.0695187165775</v>
      </c>
    </row>
    <row r="74" spans="2:12">
      <c r="B74" s="710" t="s">
        <v>3017</v>
      </c>
      <c r="C74" s="711">
        <v>2461000</v>
      </c>
      <c r="D74" s="849">
        <v>174</v>
      </c>
      <c r="E74" s="860">
        <f>307000*4+615000</f>
        <v>1843000</v>
      </c>
      <c r="F74" s="712">
        <f t="shared" si="8"/>
        <v>-618000</v>
      </c>
      <c r="G74" s="711">
        <v>6153000</v>
      </c>
      <c r="H74" s="867">
        <f t="shared" si="9"/>
        <v>24770.114942528737</v>
      </c>
      <c r="I74" s="855">
        <f>105000*4+211000</f>
        <v>631000</v>
      </c>
      <c r="J74" s="712">
        <f t="shared" si="10"/>
        <v>-1830000</v>
      </c>
      <c r="K74" s="849">
        <v>2108000</v>
      </c>
      <c r="L74" s="872">
        <f t="shared" si="11"/>
        <v>8488.5057471264372</v>
      </c>
    </row>
    <row r="75" spans="2:12">
      <c r="B75" s="710" t="s">
        <v>3018</v>
      </c>
      <c r="C75" s="711">
        <v>2201000</v>
      </c>
      <c r="D75" s="849">
        <v>185</v>
      </c>
      <c r="E75" s="860">
        <f>330000*3+661000</f>
        <v>1651000</v>
      </c>
      <c r="F75" s="712">
        <f t="shared" si="8"/>
        <v>-550000</v>
      </c>
      <c r="G75" s="711">
        <v>6278000</v>
      </c>
      <c r="H75" s="867">
        <f t="shared" si="9"/>
        <v>25010.81081081081</v>
      </c>
      <c r="I75" s="855">
        <v>555000</v>
      </c>
      <c r="J75" s="712">
        <f t="shared" si="10"/>
        <v>-1646000</v>
      </c>
      <c r="K75" s="849">
        <v>2115000</v>
      </c>
      <c r="L75" s="872">
        <f t="shared" si="11"/>
        <v>8432.4324324324316</v>
      </c>
    </row>
    <row r="76" spans="2:12">
      <c r="B76" s="710" t="s">
        <v>3019</v>
      </c>
      <c r="C76" s="711">
        <v>450000</v>
      </c>
      <c r="D76" s="849">
        <v>135</v>
      </c>
      <c r="E76" s="860">
        <f>482000*3</f>
        <v>1446000</v>
      </c>
      <c r="F76" s="712">
        <f t="shared" si="8"/>
        <v>996000</v>
      </c>
      <c r="G76" s="711">
        <v>4821000</v>
      </c>
      <c r="H76" s="867">
        <f t="shared" si="9"/>
        <v>25000</v>
      </c>
      <c r="I76" s="855">
        <f>198000*3</f>
        <v>594000</v>
      </c>
      <c r="J76" s="712">
        <f t="shared" si="10"/>
        <v>144000</v>
      </c>
      <c r="K76" s="849">
        <v>1982000</v>
      </c>
      <c r="L76" s="872">
        <f t="shared" si="11"/>
        <v>10281.481481481482</v>
      </c>
    </row>
    <row r="77" spans="2:12">
      <c r="B77" s="710" t="s">
        <v>3020</v>
      </c>
      <c r="C77" s="711">
        <v>585000</v>
      </c>
      <c r="D77" s="849">
        <v>176</v>
      </c>
      <c r="E77" s="860">
        <f>378000*5</f>
        <v>1890000</v>
      </c>
      <c r="F77" s="712">
        <f t="shared" si="8"/>
        <v>1305000</v>
      </c>
      <c r="G77" s="711">
        <v>6305000</v>
      </c>
      <c r="H77" s="867">
        <f t="shared" si="9"/>
        <v>25085.227272727272</v>
      </c>
      <c r="I77" s="855">
        <f>131000*5</f>
        <v>655000</v>
      </c>
      <c r="J77" s="712">
        <f t="shared" si="10"/>
        <v>70000</v>
      </c>
      <c r="K77" s="849">
        <v>2191000</v>
      </c>
      <c r="L77" s="872">
        <f t="shared" si="11"/>
        <v>8727.2727272727279</v>
      </c>
    </row>
    <row r="78" spans="2:12">
      <c r="B78" s="710" t="s">
        <v>3021</v>
      </c>
      <c r="C78" s="711">
        <v>450000</v>
      </c>
      <c r="D78" s="849">
        <v>129</v>
      </c>
      <c r="E78" s="860">
        <v>800000</v>
      </c>
      <c r="F78" s="712">
        <f t="shared" si="8"/>
        <v>350000</v>
      </c>
      <c r="G78" s="711">
        <v>4080000</v>
      </c>
      <c r="H78" s="867">
        <f t="shared" si="9"/>
        <v>25426.356589147286</v>
      </c>
      <c r="I78" s="855">
        <v>480000</v>
      </c>
      <c r="J78" s="712">
        <f t="shared" si="10"/>
        <v>30000</v>
      </c>
      <c r="K78" s="849">
        <v>1611000</v>
      </c>
      <c r="L78" s="872">
        <f t="shared" si="11"/>
        <v>8767.4418604651164</v>
      </c>
    </row>
    <row r="79" spans="2:12">
      <c r="B79" s="710" t="s">
        <v>3022</v>
      </c>
      <c r="C79" s="711">
        <v>1967000</v>
      </c>
      <c r="D79" s="849">
        <v>179</v>
      </c>
      <c r="E79" s="860">
        <f>281000*3+562000*2</f>
        <v>1967000</v>
      </c>
      <c r="F79" s="712">
        <f t="shared" si="8"/>
        <v>0</v>
      </c>
      <c r="G79" s="711">
        <v>7874000</v>
      </c>
      <c r="H79" s="867">
        <f t="shared" si="9"/>
        <v>33000</v>
      </c>
      <c r="I79" s="855">
        <f>76000*7</f>
        <v>532000</v>
      </c>
      <c r="J79" s="712">
        <f t="shared" si="10"/>
        <v>-1435000</v>
      </c>
      <c r="K79" s="849">
        <v>2136000</v>
      </c>
      <c r="L79" s="872">
        <f t="shared" si="11"/>
        <v>8960.8938547486032</v>
      </c>
    </row>
    <row r="80" spans="2:12">
      <c r="B80" s="710" t="s">
        <v>3023</v>
      </c>
      <c r="C80" s="711">
        <v>1927000</v>
      </c>
      <c r="D80" s="849">
        <v>184</v>
      </c>
      <c r="E80" s="860">
        <f>538000*2+269000*3</f>
        <v>1883000</v>
      </c>
      <c r="F80" s="712">
        <f t="shared" si="8"/>
        <v>-44000</v>
      </c>
      <c r="G80" s="711">
        <v>6596000</v>
      </c>
      <c r="H80" s="867">
        <f t="shared" si="9"/>
        <v>25614.130434782608</v>
      </c>
      <c r="I80" s="855">
        <f>187000*2+93000*3</f>
        <v>653000</v>
      </c>
      <c r="J80" s="712">
        <f t="shared" si="10"/>
        <v>-1274000</v>
      </c>
      <c r="K80" s="849">
        <v>2297000</v>
      </c>
      <c r="L80" s="872">
        <f t="shared" si="11"/>
        <v>8934.782608695652</v>
      </c>
    </row>
    <row r="81" spans="2:12">
      <c r="B81" s="710" t="s">
        <v>3024</v>
      </c>
      <c r="C81" s="711">
        <v>1841000</v>
      </c>
      <c r="D81" s="849">
        <v>165</v>
      </c>
      <c r="E81" s="860">
        <f>360000*3+720000</f>
        <v>1800000</v>
      </c>
      <c r="F81" s="712">
        <f t="shared" si="8"/>
        <v>-41000</v>
      </c>
      <c r="G81" s="711">
        <v>6001000</v>
      </c>
      <c r="H81" s="867">
        <f t="shared" si="9"/>
        <v>25460.60606060606</v>
      </c>
      <c r="I81" s="855">
        <f>127000*3+255000</f>
        <v>636000</v>
      </c>
      <c r="J81" s="712">
        <f t="shared" si="10"/>
        <v>-1205000</v>
      </c>
      <c r="K81" s="849">
        <v>2127000</v>
      </c>
      <c r="L81" s="872">
        <f t="shared" si="11"/>
        <v>9036.363636363636</v>
      </c>
    </row>
    <row r="82" spans="2:12">
      <c r="B82" s="713" t="s">
        <v>3025</v>
      </c>
      <c r="C82" s="714">
        <f>135000*5+270000*2</f>
        <v>1215000</v>
      </c>
      <c r="D82" s="850">
        <v>165</v>
      </c>
      <c r="E82" s="861">
        <f>116000*5+232000*2</f>
        <v>1044000</v>
      </c>
      <c r="F82" s="715">
        <f t="shared" si="8"/>
        <v>-171000</v>
      </c>
      <c r="G82" s="714">
        <v>3488000</v>
      </c>
      <c r="H82" s="868">
        <f t="shared" si="9"/>
        <v>14812.121212121212</v>
      </c>
      <c r="I82" s="856">
        <f>63000*5+127000*2</f>
        <v>569000</v>
      </c>
      <c r="J82" s="715">
        <f t="shared" si="10"/>
        <v>-646000</v>
      </c>
      <c r="K82" s="850">
        <v>1907000</v>
      </c>
      <c r="L82" s="873">
        <f t="shared" si="11"/>
        <v>8109.090909090909</v>
      </c>
    </row>
    <row r="83" spans="2:12">
      <c r="B83" s="707" t="s">
        <v>3026</v>
      </c>
      <c r="C83" s="708">
        <f>317500*4+636250*2</f>
        <v>2542500</v>
      </c>
      <c r="D83" s="848">
        <v>161</v>
      </c>
      <c r="E83" s="859">
        <f>245000*4+490000*2</f>
        <v>1960000</v>
      </c>
      <c r="F83" s="709">
        <f t="shared" si="8"/>
        <v>-582500</v>
      </c>
      <c r="G83" s="708">
        <v>7906000</v>
      </c>
      <c r="H83" s="866">
        <f t="shared" si="9"/>
        <v>36931.677018633542</v>
      </c>
      <c r="I83" s="854">
        <v>692500</v>
      </c>
      <c r="J83" s="709">
        <f t="shared" si="10"/>
        <v>-1850000</v>
      </c>
      <c r="K83" s="848">
        <v>2800000</v>
      </c>
      <c r="L83" s="871">
        <f t="shared" si="11"/>
        <v>13090.062111801242</v>
      </c>
    </row>
    <row r="84" spans="2:12">
      <c r="B84" s="710" t="s">
        <v>3027</v>
      </c>
      <c r="C84" s="711">
        <v>510000</v>
      </c>
      <c r="D84" s="849">
        <v>169</v>
      </c>
      <c r="E84" s="860">
        <v>1500000</v>
      </c>
      <c r="F84" s="712">
        <f t="shared" si="8"/>
        <v>990000</v>
      </c>
      <c r="G84" s="711">
        <v>6154000</v>
      </c>
      <c r="H84" s="867">
        <f>(G84-E84)/D84</f>
        <v>27538.461538461539</v>
      </c>
      <c r="I84" s="855">
        <f>155000*5</f>
        <v>775000</v>
      </c>
      <c r="J84" s="712">
        <f t="shared" si="10"/>
        <v>265000</v>
      </c>
      <c r="K84" s="849">
        <v>2587000</v>
      </c>
      <c r="L84" s="872">
        <f t="shared" si="11"/>
        <v>10721.89349112426</v>
      </c>
    </row>
    <row r="85" spans="2:12">
      <c r="B85" s="710" t="s">
        <v>3028</v>
      </c>
      <c r="C85" s="711">
        <v>1794000</v>
      </c>
      <c r="D85" s="849">
        <v>173</v>
      </c>
      <c r="E85" s="860">
        <f>221000*4+443000*2</f>
        <v>1770000</v>
      </c>
      <c r="F85" s="712">
        <f t="shared" si="8"/>
        <v>-24000</v>
      </c>
      <c r="G85" s="711">
        <v>6203000</v>
      </c>
      <c r="H85" s="867">
        <f t="shared" si="9"/>
        <v>25624.2774566474</v>
      </c>
      <c r="I85" s="855">
        <f>81000*4+163000*2</f>
        <v>650000</v>
      </c>
      <c r="J85" s="712">
        <f t="shared" si="10"/>
        <v>-1144000</v>
      </c>
      <c r="K85" s="849">
        <v>2282000</v>
      </c>
      <c r="L85" s="872">
        <f t="shared" si="11"/>
        <v>9433.5260115606943</v>
      </c>
    </row>
    <row r="86" spans="2:12">
      <c r="B86" s="710" t="s">
        <v>3029</v>
      </c>
      <c r="C86" s="711">
        <v>1437000</v>
      </c>
      <c r="D86" s="849">
        <v>158</v>
      </c>
      <c r="E86" s="860">
        <f>233000*3+466000*2</f>
        <v>1631000</v>
      </c>
      <c r="F86" s="712">
        <f t="shared" si="8"/>
        <v>194000</v>
      </c>
      <c r="G86" s="711">
        <v>5709000</v>
      </c>
      <c r="H86" s="867">
        <f t="shared" si="9"/>
        <v>25810.126582278481</v>
      </c>
      <c r="I86" s="855">
        <f>84000*3+168000*2</f>
        <v>588000</v>
      </c>
      <c r="J86" s="712">
        <f t="shared" si="10"/>
        <v>-849000</v>
      </c>
      <c r="K86" s="849">
        <v>2064000</v>
      </c>
      <c r="L86" s="872">
        <f t="shared" si="11"/>
        <v>9341.7721518987346</v>
      </c>
    </row>
    <row r="87" spans="2:12">
      <c r="B87" s="710" t="s">
        <v>3030</v>
      </c>
      <c r="C87" s="711">
        <v>1890000</v>
      </c>
      <c r="D87" s="849">
        <v>163</v>
      </c>
      <c r="E87" s="860">
        <f>207000*4+415000*2</f>
        <v>1658000</v>
      </c>
      <c r="F87" s="712">
        <f t="shared" si="8"/>
        <v>-232000</v>
      </c>
      <c r="G87" s="711">
        <v>6016000</v>
      </c>
      <c r="H87" s="867">
        <f t="shared" si="9"/>
        <v>26736.196319018403</v>
      </c>
      <c r="I87" s="855">
        <f>76000*4+153000*2</f>
        <v>610000</v>
      </c>
      <c r="J87" s="712">
        <f t="shared" si="10"/>
        <v>-1280000</v>
      </c>
      <c r="K87" s="849">
        <v>2218000</v>
      </c>
      <c r="L87" s="872">
        <f t="shared" si="11"/>
        <v>9865.0306748466264</v>
      </c>
    </row>
    <row r="88" spans="2:12">
      <c r="B88" s="710" t="s">
        <v>3031</v>
      </c>
      <c r="C88" s="711">
        <v>477000</v>
      </c>
      <c r="D88" s="849">
        <v>165</v>
      </c>
      <c r="E88" s="860">
        <f>706000*3</f>
        <v>2118000</v>
      </c>
      <c r="F88" s="712">
        <f t="shared" si="8"/>
        <v>1641000</v>
      </c>
      <c r="G88" s="711">
        <v>7061000</v>
      </c>
      <c r="H88" s="867">
        <f t="shared" si="9"/>
        <v>29957.575757575756</v>
      </c>
      <c r="I88" s="855">
        <f>236000*3</f>
        <v>708000</v>
      </c>
      <c r="J88" s="712">
        <f t="shared" si="10"/>
        <v>231000</v>
      </c>
      <c r="K88" s="849">
        <v>2363000</v>
      </c>
      <c r="L88" s="872">
        <f t="shared" si="11"/>
        <v>10030.30303030303</v>
      </c>
    </row>
    <row r="89" spans="2:12">
      <c r="B89" s="710" t="s">
        <v>3032</v>
      </c>
      <c r="C89" s="711">
        <v>600000</v>
      </c>
      <c r="D89" s="849">
        <v>143</v>
      </c>
      <c r="E89" s="860">
        <v>840000</v>
      </c>
      <c r="F89" s="712">
        <f t="shared" si="8"/>
        <v>240000</v>
      </c>
      <c r="G89" s="711">
        <v>4544000</v>
      </c>
      <c r="H89" s="867">
        <f t="shared" si="9"/>
        <v>25902.097902097903</v>
      </c>
      <c r="I89" s="855">
        <v>360000</v>
      </c>
      <c r="J89" s="712">
        <f t="shared" si="10"/>
        <v>-240000</v>
      </c>
      <c r="K89" s="849">
        <v>1774000</v>
      </c>
      <c r="L89" s="872">
        <f t="shared" si="11"/>
        <v>9888.1118881118873</v>
      </c>
    </row>
    <row r="90" spans="2:12">
      <c r="B90" s="710" t="s">
        <v>3033</v>
      </c>
      <c r="C90" s="711">
        <v>476000</v>
      </c>
      <c r="D90" s="849">
        <v>135</v>
      </c>
      <c r="E90" s="860">
        <f>376000*4</f>
        <v>1504000</v>
      </c>
      <c r="F90" s="712">
        <f t="shared" si="8"/>
        <v>1028000</v>
      </c>
      <c r="G90" s="711">
        <v>4950000</v>
      </c>
      <c r="H90" s="867">
        <f t="shared" si="9"/>
        <v>25525.925925925927</v>
      </c>
      <c r="I90" s="855">
        <v>560000</v>
      </c>
      <c r="J90" s="712">
        <f t="shared" si="10"/>
        <v>84000</v>
      </c>
      <c r="K90" s="849">
        <v>2000000</v>
      </c>
      <c r="L90" s="872">
        <f t="shared" si="11"/>
        <v>10666.666666666666</v>
      </c>
    </row>
    <row r="91" spans="2:12">
      <c r="B91" s="710" t="s">
        <v>3034</v>
      </c>
      <c r="C91" s="711">
        <v>2369000</v>
      </c>
      <c r="D91" s="849">
        <v>175</v>
      </c>
      <c r="E91" s="860">
        <f>265000*9</f>
        <v>2385000</v>
      </c>
      <c r="F91" s="712">
        <f t="shared" si="8"/>
        <v>16000</v>
      </c>
      <c r="G91" s="711">
        <v>7954000</v>
      </c>
      <c r="H91" s="867">
        <f t="shared" si="9"/>
        <v>31822.857142857141</v>
      </c>
      <c r="I91" s="855">
        <f>130000*5+261000*2</f>
        <v>1172000</v>
      </c>
      <c r="J91" s="712">
        <f t="shared" si="10"/>
        <v>-1197000</v>
      </c>
      <c r="K91" s="849">
        <v>4000000</v>
      </c>
      <c r="L91" s="872">
        <f t="shared" si="11"/>
        <v>16160</v>
      </c>
    </row>
    <row r="92" spans="2:12">
      <c r="B92" s="713" t="s">
        <v>3035</v>
      </c>
      <c r="C92" s="714">
        <f>309000*4+619000*1</f>
        <v>1855000</v>
      </c>
      <c r="D92" s="850">
        <v>175</v>
      </c>
      <c r="E92" s="861">
        <f>244000*4+489000</f>
        <v>1465000</v>
      </c>
      <c r="F92" s="715">
        <f t="shared" si="8"/>
        <v>-390000</v>
      </c>
      <c r="G92" s="714">
        <v>7241000</v>
      </c>
      <c r="H92" s="868">
        <f t="shared" si="9"/>
        <v>33005.714285714283</v>
      </c>
      <c r="I92" s="856">
        <f>94000*4+189000*1</f>
        <v>565000</v>
      </c>
      <c r="J92" s="715">
        <f t="shared" si="10"/>
        <v>-1290000</v>
      </c>
      <c r="K92" s="850">
        <v>2803000</v>
      </c>
      <c r="L92" s="873">
        <f t="shared" si="11"/>
        <v>12788.571428571429</v>
      </c>
    </row>
    <row r="93" spans="2:12">
      <c r="B93" s="707" t="s">
        <v>4069</v>
      </c>
      <c r="C93" s="708">
        <v>2459000</v>
      </c>
      <c r="D93" s="848">
        <v>174</v>
      </c>
      <c r="E93" s="859">
        <v>1919000</v>
      </c>
      <c r="F93" s="709">
        <f t="shared" si="8"/>
        <v>-540000</v>
      </c>
      <c r="G93" s="708">
        <v>6405000</v>
      </c>
      <c r="H93" s="866">
        <f t="shared" si="9"/>
        <v>25781.6091954023</v>
      </c>
      <c r="I93" s="854">
        <v>803000</v>
      </c>
      <c r="J93" s="709">
        <f t="shared" si="10"/>
        <v>-1656000</v>
      </c>
      <c r="K93" s="848">
        <v>2689000</v>
      </c>
      <c r="L93" s="871">
        <f t="shared" si="11"/>
        <v>10839.080459770115</v>
      </c>
    </row>
    <row r="94" spans="2:12">
      <c r="B94" s="710" t="s">
        <v>4070</v>
      </c>
      <c r="C94" s="711">
        <v>475000</v>
      </c>
      <c r="D94" s="849">
        <v>157</v>
      </c>
      <c r="E94" s="860">
        <v>1500000</v>
      </c>
      <c r="F94" s="712">
        <f t="shared" si="8"/>
        <v>1025000</v>
      </c>
      <c r="G94" s="711">
        <v>4609000</v>
      </c>
      <c r="H94" s="867">
        <f t="shared" si="9"/>
        <v>19802.547770700636</v>
      </c>
      <c r="I94" s="855">
        <v>750000</v>
      </c>
      <c r="J94" s="712">
        <f t="shared" si="10"/>
        <v>275000</v>
      </c>
      <c r="K94" s="849">
        <v>2504000</v>
      </c>
      <c r="L94" s="872">
        <f t="shared" si="11"/>
        <v>11171.974522292994</v>
      </c>
    </row>
    <row r="95" spans="2:12">
      <c r="B95" s="710" t="s">
        <v>4071</v>
      </c>
      <c r="C95" s="711">
        <v>548000</v>
      </c>
      <c r="D95" s="849">
        <v>150</v>
      </c>
      <c r="E95" s="860">
        <v>656000</v>
      </c>
      <c r="F95" s="712">
        <f t="shared" si="8"/>
        <v>108000</v>
      </c>
      <c r="G95" s="711">
        <v>4513000</v>
      </c>
      <c r="H95" s="867">
        <f t="shared" si="9"/>
        <v>25713.333333333332</v>
      </c>
      <c r="I95" s="855">
        <v>656000</v>
      </c>
      <c r="J95" s="712">
        <f t="shared" si="10"/>
        <v>108000</v>
      </c>
      <c r="K95" s="849">
        <v>2346000</v>
      </c>
      <c r="L95" s="872">
        <f t="shared" si="11"/>
        <v>11266.666666666666</v>
      </c>
    </row>
    <row r="96" spans="2:12">
      <c r="B96" s="710" t="s">
        <v>4072</v>
      </c>
      <c r="C96" s="711">
        <v>1843000</v>
      </c>
      <c r="D96" s="849">
        <v>178</v>
      </c>
      <c r="E96" s="860">
        <v>1855000</v>
      </c>
      <c r="F96" s="712">
        <f t="shared" si="8"/>
        <v>12000</v>
      </c>
      <c r="G96" s="711">
        <v>6497000</v>
      </c>
      <c r="H96" s="867">
        <f t="shared" si="9"/>
        <v>26078.651685393259</v>
      </c>
      <c r="I96" s="855">
        <v>728000</v>
      </c>
      <c r="J96" s="712">
        <f t="shared" si="10"/>
        <v>-1115000</v>
      </c>
      <c r="K96" s="849">
        <v>2504000</v>
      </c>
      <c r="L96" s="872">
        <f t="shared" si="11"/>
        <v>9977.5280898876408</v>
      </c>
    </row>
    <row r="97" spans="2:12">
      <c r="B97" s="710" t="s">
        <v>4073</v>
      </c>
      <c r="C97" s="711">
        <v>1784000</v>
      </c>
      <c r="D97" s="849">
        <v>172</v>
      </c>
      <c r="E97" s="860">
        <v>1980000</v>
      </c>
      <c r="F97" s="712">
        <f t="shared" si="8"/>
        <v>196000</v>
      </c>
      <c r="G97" s="711">
        <v>7546000</v>
      </c>
      <c r="H97" s="867">
        <f t="shared" si="9"/>
        <v>32360.465116279069</v>
      </c>
      <c r="I97" s="855">
        <v>726000</v>
      </c>
      <c r="J97" s="712">
        <f t="shared" si="10"/>
        <v>-1058000</v>
      </c>
      <c r="K97" s="849">
        <v>2458000</v>
      </c>
      <c r="L97" s="872">
        <f t="shared" si="11"/>
        <v>10069.767441860466</v>
      </c>
    </row>
    <row r="98" spans="2:12">
      <c r="B98" s="710" t="s">
        <v>4074</v>
      </c>
      <c r="C98" s="711">
        <v>1967000</v>
      </c>
      <c r="D98" s="849">
        <v>179</v>
      </c>
      <c r="E98" s="860">
        <v>1568000</v>
      </c>
      <c r="F98" s="712">
        <f t="shared" si="8"/>
        <v>-399000</v>
      </c>
      <c r="G98" s="711">
        <v>6279000</v>
      </c>
      <c r="H98" s="867">
        <f t="shared" si="9"/>
        <v>26318.435754189944</v>
      </c>
      <c r="I98" s="855">
        <v>623000</v>
      </c>
      <c r="J98" s="712">
        <f t="shared" si="10"/>
        <v>-1344000</v>
      </c>
      <c r="K98" s="849">
        <v>2499000</v>
      </c>
      <c r="L98" s="872">
        <f t="shared" si="11"/>
        <v>10480.446927374302</v>
      </c>
    </row>
    <row r="99" spans="2:12">
      <c r="B99" s="710" t="s">
        <v>4075</v>
      </c>
      <c r="C99" s="711">
        <v>1794000</v>
      </c>
      <c r="D99" s="849">
        <v>173</v>
      </c>
      <c r="E99" s="860">
        <v>1830000</v>
      </c>
      <c r="F99" s="712">
        <f t="shared" ref="F99:F152" si="12">E99-C99</f>
        <v>36000</v>
      </c>
      <c r="G99" s="711">
        <v>7910000</v>
      </c>
      <c r="H99" s="867">
        <f t="shared" ref="H99:H152" si="13">(G99-E99)/D99</f>
        <v>35144.508670520234</v>
      </c>
      <c r="I99" s="855">
        <v>734000</v>
      </c>
      <c r="J99" s="712">
        <f t="shared" ref="J99:J152" si="14">I99-C99</f>
        <v>-1060000</v>
      </c>
      <c r="K99" s="849">
        <v>4076000</v>
      </c>
      <c r="L99" s="872">
        <f t="shared" ref="L99:L152" si="15">(K99-I99)/D99</f>
        <v>19317.919075144509</v>
      </c>
    </row>
    <row r="100" spans="2:12">
      <c r="B100" s="710" t="s">
        <v>4076</v>
      </c>
      <c r="C100" s="711">
        <v>477000</v>
      </c>
      <c r="D100" s="849">
        <v>165</v>
      </c>
      <c r="E100" s="860">
        <v>1800000</v>
      </c>
      <c r="F100" s="712">
        <f t="shared" si="12"/>
        <v>1323000</v>
      </c>
      <c r="G100" s="711">
        <v>6423000</v>
      </c>
      <c r="H100" s="867">
        <f t="shared" si="13"/>
        <v>28018.18181818182</v>
      </c>
      <c r="I100" s="855">
        <v>888000</v>
      </c>
      <c r="J100" s="712">
        <f t="shared" si="14"/>
        <v>411000</v>
      </c>
      <c r="K100" s="849">
        <v>2697000</v>
      </c>
      <c r="L100" s="872">
        <f t="shared" si="15"/>
        <v>10963.636363636364</v>
      </c>
    </row>
    <row r="101" spans="2:12">
      <c r="B101" s="710" t="s">
        <v>4077</v>
      </c>
      <c r="C101" s="711">
        <v>584000</v>
      </c>
      <c r="D101" s="849">
        <v>156</v>
      </c>
      <c r="E101" s="860">
        <v>584000</v>
      </c>
      <c r="F101" s="712">
        <f t="shared" si="12"/>
        <v>0</v>
      </c>
      <c r="G101" s="711">
        <v>4774000</v>
      </c>
      <c r="H101" s="867">
        <f t="shared" si="13"/>
        <v>26858.974358974359</v>
      </c>
      <c r="I101" s="855">
        <v>640000</v>
      </c>
      <c r="J101" s="712">
        <f t="shared" si="14"/>
        <v>56000</v>
      </c>
      <c r="K101" s="849">
        <v>2537000</v>
      </c>
      <c r="L101" s="872">
        <f t="shared" si="15"/>
        <v>12160.25641025641</v>
      </c>
    </row>
    <row r="102" spans="2:12">
      <c r="B102" s="713" t="s">
        <v>4078</v>
      </c>
      <c r="C102" s="714">
        <v>1992000</v>
      </c>
      <c r="D102" s="850">
        <v>186</v>
      </c>
      <c r="E102" s="861">
        <v>1603000</v>
      </c>
      <c r="F102" s="715">
        <f t="shared" si="12"/>
        <v>-389000</v>
      </c>
      <c r="G102" s="714">
        <v>6602000</v>
      </c>
      <c r="H102" s="868">
        <f t="shared" si="13"/>
        <v>26876.344086021505</v>
      </c>
      <c r="I102" s="856">
        <v>637000</v>
      </c>
      <c r="J102" s="715">
        <f t="shared" si="14"/>
        <v>-1355000</v>
      </c>
      <c r="K102" s="850">
        <v>2627000</v>
      </c>
      <c r="L102" s="873">
        <f t="shared" si="15"/>
        <v>10698.924731182795</v>
      </c>
    </row>
    <row r="103" spans="2:12">
      <c r="B103" s="707" t="s">
        <v>4238</v>
      </c>
      <c r="C103" s="708">
        <f>562000*2+563000+281000</f>
        <v>1968000</v>
      </c>
      <c r="D103" s="848">
        <v>158</v>
      </c>
      <c r="E103" s="859">
        <f>224000*7+1000</f>
        <v>1569000</v>
      </c>
      <c r="F103" s="709">
        <f t="shared" si="12"/>
        <v>-399000</v>
      </c>
      <c r="G103" s="708">
        <v>5768000</v>
      </c>
      <c r="H103" s="866">
        <f t="shared" si="13"/>
        <v>26575.949367088608</v>
      </c>
      <c r="I103" s="854">
        <f>91000*7</f>
        <v>637000</v>
      </c>
      <c r="J103" s="709">
        <f t="shared" si="14"/>
        <v>-1331000</v>
      </c>
      <c r="K103" s="848">
        <v>2337000</v>
      </c>
      <c r="L103" s="871">
        <f t="shared" si="15"/>
        <v>10759.493670886075</v>
      </c>
    </row>
    <row r="104" spans="2:12">
      <c r="B104" s="710" t="s">
        <v>4239</v>
      </c>
      <c r="C104" s="711">
        <v>1686000</v>
      </c>
      <c r="D104" s="849">
        <v>179</v>
      </c>
      <c r="E104" s="860">
        <f>257000*2+515000*2</f>
        <v>1544000</v>
      </c>
      <c r="F104" s="712">
        <f t="shared" si="12"/>
        <v>-142000</v>
      </c>
      <c r="G104" s="711">
        <v>6956000</v>
      </c>
      <c r="H104" s="867">
        <f t="shared" si="13"/>
        <v>30234.636871508381</v>
      </c>
      <c r="I104" s="855">
        <f>104000*2+209000*2</f>
        <v>626000</v>
      </c>
      <c r="J104" s="712">
        <f t="shared" si="14"/>
        <v>-1060000</v>
      </c>
      <c r="K104" s="849">
        <v>2830000</v>
      </c>
      <c r="L104" s="872">
        <f t="shared" si="15"/>
        <v>12312.849162011173</v>
      </c>
    </row>
    <row r="105" spans="2:12">
      <c r="B105" s="710" t="s">
        <v>4240</v>
      </c>
      <c r="C105" s="711">
        <v>1574000</v>
      </c>
      <c r="D105" s="849">
        <v>145</v>
      </c>
      <c r="E105" s="860">
        <f>475000*2+237000*2</f>
        <v>1424000</v>
      </c>
      <c r="F105" s="712">
        <f t="shared" si="12"/>
        <v>-150000</v>
      </c>
      <c r="G105" s="711">
        <v>6415000</v>
      </c>
      <c r="H105" s="867">
        <f t="shared" si="13"/>
        <v>34420.689655172413</v>
      </c>
      <c r="I105" s="855">
        <f>98000*2+197000*2</f>
        <v>590000</v>
      </c>
      <c r="J105" s="712">
        <f t="shared" si="14"/>
        <v>-984000</v>
      </c>
      <c r="K105" s="849">
        <v>2664000</v>
      </c>
      <c r="L105" s="872">
        <f t="shared" si="15"/>
        <v>14303.448275862069</v>
      </c>
    </row>
    <row r="106" spans="2:12">
      <c r="B106" s="710" t="s">
        <v>4241</v>
      </c>
      <c r="C106" s="711">
        <v>520000</v>
      </c>
      <c r="D106" s="849">
        <v>166</v>
      </c>
      <c r="E106" s="860">
        <v>880000</v>
      </c>
      <c r="F106" s="712">
        <f t="shared" si="12"/>
        <v>360000</v>
      </c>
      <c r="G106" s="711">
        <v>6006000</v>
      </c>
      <c r="H106" s="867">
        <f t="shared" si="13"/>
        <v>30879.518072289156</v>
      </c>
      <c r="I106" s="855">
        <v>400000</v>
      </c>
      <c r="J106" s="712">
        <f t="shared" si="14"/>
        <v>-120000</v>
      </c>
      <c r="K106" s="849">
        <v>2417000</v>
      </c>
      <c r="L106" s="872">
        <f t="shared" si="15"/>
        <v>12150.602409638554</v>
      </c>
    </row>
    <row r="107" spans="2:12">
      <c r="B107" s="710" t="s">
        <v>4242</v>
      </c>
      <c r="C107" s="711">
        <v>2121000</v>
      </c>
      <c r="D107" s="849">
        <v>179</v>
      </c>
      <c r="E107" s="860">
        <f>275000*7+2000</f>
        <v>1927000</v>
      </c>
      <c r="F107" s="712">
        <f t="shared" si="12"/>
        <v>-194000</v>
      </c>
      <c r="G107" s="711">
        <v>7717000</v>
      </c>
      <c r="H107" s="867">
        <f t="shared" si="13"/>
        <v>32346.368715083798</v>
      </c>
      <c r="I107" s="855">
        <f>113000*7</f>
        <v>791000</v>
      </c>
      <c r="J107" s="712">
        <f t="shared" si="14"/>
        <v>-1330000</v>
      </c>
      <c r="K107" s="849">
        <v>3489000</v>
      </c>
      <c r="L107" s="872">
        <f t="shared" si="15"/>
        <v>15072.625698324022</v>
      </c>
    </row>
    <row r="108" spans="2:12">
      <c r="B108" s="710" t="s">
        <v>4243</v>
      </c>
      <c r="C108" s="711">
        <v>512000</v>
      </c>
      <c r="D108" s="849">
        <v>164</v>
      </c>
      <c r="E108" s="860">
        <f>476000*4</f>
        <v>1904000</v>
      </c>
      <c r="F108" s="712">
        <f t="shared" si="12"/>
        <v>1392000</v>
      </c>
      <c r="G108" s="711">
        <v>7539000</v>
      </c>
      <c r="H108" s="867">
        <f t="shared" si="13"/>
        <v>34359.756097560974</v>
      </c>
      <c r="I108" s="855">
        <f>192000*4</f>
        <v>768000</v>
      </c>
      <c r="J108" s="712">
        <f t="shared" si="14"/>
        <v>256000</v>
      </c>
      <c r="K108" s="849">
        <v>2824000</v>
      </c>
      <c r="L108" s="872">
        <f t="shared" si="15"/>
        <v>12536.585365853658</v>
      </c>
    </row>
    <row r="109" spans="2:12">
      <c r="B109" s="710" t="s">
        <v>4244</v>
      </c>
      <c r="C109" s="711">
        <v>585000</v>
      </c>
      <c r="D109" s="849">
        <v>176</v>
      </c>
      <c r="E109" s="860">
        <f>406000*5</f>
        <v>2030000</v>
      </c>
      <c r="F109" s="712">
        <f t="shared" si="12"/>
        <v>1445000</v>
      </c>
      <c r="G109" s="711">
        <v>5329000</v>
      </c>
      <c r="H109" s="867">
        <f t="shared" si="13"/>
        <v>18744.31818181818</v>
      </c>
      <c r="I109" s="855">
        <f>167000*5</f>
        <v>835000</v>
      </c>
      <c r="J109" s="712">
        <f t="shared" si="14"/>
        <v>250000</v>
      </c>
      <c r="K109" s="849">
        <v>2689000</v>
      </c>
      <c r="L109" s="872">
        <f t="shared" si="15"/>
        <v>10534.09090909091</v>
      </c>
    </row>
    <row r="110" spans="2:12">
      <c r="B110" s="710" t="s">
        <v>4245</v>
      </c>
      <c r="C110" s="711">
        <v>1967000</v>
      </c>
      <c r="D110" s="849">
        <v>179</v>
      </c>
      <c r="E110" s="860">
        <f>229000*7</f>
        <v>1603000</v>
      </c>
      <c r="F110" s="712">
        <f t="shared" si="12"/>
        <v>-364000</v>
      </c>
      <c r="G110" s="711">
        <v>6422000</v>
      </c>
      <c r="H110" s="867">
        <f t="shared" si="13"/>
        <v>26921.787709497206</v>
      </c>
      <c r="I110" s="855">
        <f>94000*7</f>
        <v>658000</v>
      </c>
      <c r="J110" s="712">
        <f t="shared" si="14"/>
        <v>-1309000</v>
      </c>
      <c r="K110" s="849">
        <v>2550000</v>
      </c>
      <c r="L110" s="872">
        <f t="shared" si="15"/>
        <v>10569.832402234637</v>
      </c>
    </row>
    <row r="111" spans="2:12">
      <c r="B111" s="710" t="s">
        <v>4246</v>
      </c>
      <c r="C111" s="711">
        <v>1500000</v>
      </c>
      <c r="D111" s="849">
        <v>174</v>
      </c>
      <c r="E111" s="860">
        <v>1500000</v>
      </c>
      <c r="F111" s="712">
        <f t="shared" si="12"/>
        <v>0</v>
      </c>
      <c r="G111" s="711">
        <v>6000000</v>
      </c>
      <c r="H111" s="867">
        <f t="shared" si="13"/>
        <v>25862.068965517243</v>
      </c>
      <c r="I111" s="855">
        <v>1500000</v>
      </c>
      <c r="J111" s="712">
        <f t="shared" si="14"/>
        <v>0</v>
      </c>
      <c r="K111" s="849">
        <v>3430000</v>
      </c>
      <c r="L111" s="872">
        <f t="shared" si="15"/>
        <v>11091.954022988506</v>
      </c>
    </row>
    <row r="112" spans="2:12">
      <c r="B112" s="713" t="s">
        <v>4247</v>
      </c>
      <c r="C112" s="714">
        <f>276000*5+553000*2</f>
        <v>2486000</v>
      </c>
      <c r="D112" s="850">
        <v>176</v>
      </c>
      <c r="E112" s="861">
        <f>228000*9+2000</f>
        <v>2054000</v>
      </c>
      <c r="F112" s="715">
        <f t="shared" si="12"/>
        <v>-432000</v>
      </c>
      <c r="G112" s="714">
        <v>6859000</v>
      </c>
      <c r="H112" s="868">
        <f t="shared" si="13"/>
        <v>27301.136363636364</v>
      </c>
      <c r="I112" s="856">
        <f>93000*5+187000*2</f>
        <v>839000</v>
      </c>
      <c r="J112" s="715">
        <f t="shared" si="14"/>
        <v>-1647000</v>
      </c>
      <c r="K112" s="850">
        <v>2812000</v>
      </c>
      <c r="L112" s="873">
        <f t="shared" si="15"/>
        <v>11210.227272727272</v>
      </c>
    </row>
    <row r="113" spans="2:12">
      <c r="B113" s="707" t="s">
        <v>4353</v>
      </c>
      <c r="C113" s="708">
        <f>311000*4+623000*2</f>
        <v>2490000</v>
      </c>
      <c r="D113" s="848">
        <v>173</v>
      </c>
      <c r="E113" s="859">
        <f>228000*4+457000*2</f>
        <v>1826000</v>
      </c>
      <c r="F113" s="709">
        <f t="shared" si="12"/>
        <v>-664000</v>
      </c>
      <c r="G113" s="708">
        <v>6626000</v>
      </c>
      <c r="H113" s="866">
        <f t="shared" si="13"/>
        <v>27745.664739884392</v>
      </c>
      <c r="I113" s="854">
        <f>91000*8</f>
        <v>728000</v>
      </c>
      <c r="J113" s="709">
        <f t="shared" si="14"/>
        <v>-1762000</v>
      </c>
      <c r="K113" s="848">
        <v>2641000</v>
      </c>
      <c r="L113" s="871">
        <f t="shared" si="15"/>
        <v>11057.803468208092</v>
      </c>
    </row>
    <row r="114" spans="2:12">
      <c r="B114" s="710" t="s">
        <v>4354</v>
      </c>
      <c r="C114" s="711">
        <f>551000*2+275000*3</f>
        <v>1927000</v>
      </c>
      <c r="D114" s="849">
        <v>184</v>
      </c>
      <c r="E114" s="860">
        <f>576000*2+288000*3</f>
        <v>2016000</v>
      </c>
      <c r="F114" s="712">
        <f t="shared" si="12"/>
        <v>89000</v>
      </c>
      <c r="G114" s="711">
        <v>7061000</v>
      </c>
      <c r="H114" s="867">
        <f t="shared" si="13"/>
        <v>27418.478260869564</v>
      </c>
      <c r="I114" s="855">
        <f>230000*2+115000*3</f>
        <v>805000</v>
      </c>
      <c r="J114" s="712">
        <f t="shared" si="14"/>
        <v>-1122000</v>
      </c>
      <c r="K114" s="849">
        <v>2824000</v>
      </c>
      <c r="L114" s="872">
        <f t="shared" si="15"/>
        <v>10972.826086956522</v>
      </c>
    </row>
    <row r="115" spans="2:12">
      <c r="B115" s="710" t="s">
        <v>4355</v>
      </c>
      <c r="C115" s="711">
        <v>450000</v>
      </c>
      <c r="D115" s="849">
        <v>135</v>
      </c>
      <c r="E115" s="860">
        <f>614000*3</f>
        <v>1842000</v>
      </c>
      <c r="F115" s="712">
        <f t="shared" si="12"/>
        <v>1392000</v>
      </c>
      <c r="G115" s="711">
        <v>6145000</v>
      </c>
      <c r="H115" s="867">
        <f t="shared" si="13"/>
        <v>31874.074074074073</v>
      </c>
      <c r="I115" s="855">
        <f>252000*3</f>
        <v>756000</v>
      </c>
      <c r="J115" s="712">
        <f t="shared" si="14"/>
        <v>306000</v>
      </c>
      <c r="K115" s="849">
        <v>2525000</v>
      </c>
      <c r="L115" s="872">
        <f t="shared" si="15"/>
        <v>13103.703703703704</v>
      </c>
    </row>
    <row r="116" spans="2:12">
      <c r="B116" s="710" t="s">
        <v>4356</v>
      </c>
      <c r="C116" s="711">
        <v>2201000</v>
      </c>
      <c r="D116" s="849">
        <v>185</v>
      </c>
      <c r="E116" s="860">
        <f>364000*3+728000</f>
        <v>1820000</v>
      </c>
      <c r="F116" s="712">
        <f t="shared" si="12"/>
        <v>-381000</v>
      </c>
      <c r="G116" s="711">
        <v>6922000</v>
      </c>
      <c r="H116" s="867">
        <f t="shared" si="13"/>
        <v>27578.37837837838</v>
      </c>
      <c r="I116" s="855">
        <f>147000*3+294000</f>
        <v>735000</v>
      </c>
      <c r="J116" s="712">
        <f t="shared" si="14"/>
        <v>-1466000</v>
      </c>
      <c r="K116" s="849">
        <v>2793000</v>
      </c>
      <c r="L116" s="872">
        <f t="shared" si="15"/>
        <v>11124.324324324325</v>
      </c>
    </row>
    <row r="117" spans="2:12">
      <c r="B117" s="710" t="s">
        <v>4357</v>
      </c>
      <c r="C117" s="711">
        <v>440000</v>
      </c>
      <c r="D117" s="849">
        <v>150</v>
      </c>
      <c r="E117" s="860">
        <f>444000*4</f>
        <v>1776000</v>
      </c>
      <c r="F117" s="712">
        <f t="shared" si="12"/>
        <v>1336000</v>
      </c>
      <c r="G117" s="711">
        <v>5923000</v>
      </c>
      <c r="H117" s="867">
        <f t="shared" si="13"/>
        <v>27646.666666666668</v>
      </c>
      <c r="I117" s="855">
        <f>179000*4</f>
        <v>716000</v>
      </c>
      <c r="J117" s="712">
        <f t="shared" si="14"/>
        <v>276000</v>
      </c>
      <c r="K117" s="849">
        <v>2389000</v>
      </c>
      <c r="L117" s="872">
        <f t="shared" si="15"/>
        <v>11153.333333333334</v>
      </c>
    </row>
    <row r="118" spans="2:12">
      <c r="B118" s="710" t="s">
        <v>4358</v>
      </c>
      <c r="C118" s="711">
        <v>476000</v>
      </c>
      <c r="D118" s="849">
        <v>158</v>
      </c>
      <c r="E118" s="860">
        <f>538000*4</f>
        <v>2152000</v>
      </c>
      <c r="F118" s="712">
        <f t="shared" si="12"/>
        <v>1676000</v>
      </c>
      <c r="G118" s="711">
        <v>7182000</v>
      </c>
      <c r="H118" s="867">
        <f t="shared" si="13"/>
        <v>31835.443037974685</v>
      </c>
      <c r="I118" s="855">
        <v>888000</v>
      </c>
      <c r="J118" s="712">
        <f t="shared" si="14"/>
        <v>412000</v>
      </c>
      <c r="K118" s="849">
        <v>2284000</v>
      </c>
      <c r="L118" s="872">
        <f t="shared" si="15"/>
        <v>8835.4430379746827</v>
      </c>
    </row>
    <row r="119" spans="2:12">
      <c r="B119" s="710" t="s">
        <v>4547</v>
      </c>
      <c r="C119" s="711">
        <f>135000*9</f>
        <v>1215000</v>
      </c>
      <c r="D119" s="849">
        <v>165</v>
      </c>
      <c r="E119" s="860">
        <f>469000*2+234000*5</f>
        <v>2108000</v>
      </c>
      <c r="F119" s="712">
        <f t="shared" si="12"/>
        <v>893000</v>
      </c>
      <c r="G119" s="711">
        <v>7034000</v>
      </c>
      <c r="H119" s="867">
        <f t="shared" si="13"/>
        <v>29854.545454545456</v>
      </c>
      <c r="I119" s="855">
        <f>95000*5+191000*2</f>
        <v>857000</v>
      </c>
      <c r="J119" s="712">
        <f t="shared" si="14"/>
        <v>-358000</v>
      </c>
      <c r="K119" s="849">
        <v>2868000</v>
      </c>
      <c r="L119" s="872">
        <f t="shared" si="15"/>
        <v>12187.878787878788</v>
      </c>
    </row>
    <row r="120" spans="2:12">
      <c r="B120" s="710" t="s">
        <v>4359</v>
      </c>
      <c r="C120" s="711">
        <f>281000*6</f>
        <v>1686000</v>
      </c>
      <c r="D120" s="849">
        <v>179</v>
      </c>
      <c r="E120" s="860">
        <f>268000*2+536000*2</f>
        <v>1608000</v>
      </c>
      <c r="F120" s="712">
        <f t="shared" si="12"/>
        <v>-78000</v>
      </c>
      <c r="G120" s="711">
        <v>7245000</v>
      </c>
      <c r="H120" s="867">
        <f t="shared" si="13"/>
        <v>31491.620111731845</v>
      </c>
      <c r="I120" s="855">
        <f>110000*2+221000*2</f>
        <v>662000</v>
      </c>
      <c r="J120" s="712">
        <f t="shared" si="14"/>
        <v>-1024000</v>
      </c>
      <c r="K120" s="849">
        <v>2985000</v>
      </c>
      <c r="L120" s="872">
        <f t="shared" si="15"/>
        <v>12977.653631284917</v>
      </c>
    </row>
    <row r="121" spans="2:12">
      <c r="B121" s="710" t="s">
        <v>4360</v>
      </c>
      <c r="C121" s="711">
        <v>476000</v>
      </c>
      <c r="D121" s="849">
        <v>149</v>
      </c>
      <c r="E121" s="860">
        <f>484000*4</f>
        <v>1936000</v>
      </c>
      <c r="F121" s="712">
        <f t="shared" si="12"/>
        <v>1460000</v>
      </c>
      <c r="G121" s="711">
        <v>6453000</v>
      </c>
      <c r="H121" s="867">
        <f t="shared" si="13"/>
        <v>30315.43624161074</v>
      </c>
      <c r="I121" s="855">
        <f>198000*4</f>
        <v>792000</v>
      </c>
      <c r="J121" s="712">
        <f t="shared" si="14"/>
        <v>316000</v>
      </c>
      <c r="K121" s="849">
        <v>2152000</v>
      </c>
      <c r="L121" s="872">
        <f t="shared" si="15"/>
        <v>9127.5167785234898</v>
      </c>
    </row>
    <row r="122" spans="2:12">
      <c r="B122" s="713" t="s">
        <v>4361</v>
      </c>
      <c r="C122" s="714">
        <v>2416000</v>
      </c>
      <c r="D122" s="850">
        <v>172</v>
      </c>
      <c r="E122" s="861">
        <v>2416000</v>
      </c>
      <c r="F122" s="715">
        <f t="shared" si="12"/>
        <v>0</v>
      </c>
      <c r="G122" s="714">
        <v>8761000</v>
      </c>
      <c r="H122" s="868">
        <f t="shared" si="13"/>
        <v>36889.534883720931</v>
      </c>
      <c r="I122" s="856">
        <v>736000</v>
      </c>
      <c r="J122" s="715">
        <f t="shared" si="14"/>
        <v>-1680000</v>
      </c>
      <c r="K122" s="850">
        <v>2670000</v>
      </c>
      <c r="L122" s="873">
        <f t="shared" si="15"/>
        <v>11244.186046511628</v>
      </c>
    </row>
    <row r="123" spans="2:12">
      <c r="B123" s="707" t="s">
        <v>4537</v>
      </c>
      <c r="C123" s="708">
        <f>191000*3+383000*2</f>
        <v>1339000</v>
      </c>
      <c r="D123" s="848">
        <v>163</v>
      </c>
      <c r="E123" s="859">
        <f>142000*3+285000*2</f>
        <v>996000</v>
      </c>
      <c r="F123" s="1142">
        <f t="shared" si="12"/>
        <v>-343000</v>
      </c>
      <c r="G123" s="708">
        <v>5500000</v>
      </c>
      <c r="H123" s="1158">
        <f t="shared" si="13"/>
        <v>27631.901840490798</v>
      </c>
      <c r="I123" s="854">
        <f>116000*2+58000*3</f>
        <v>406000</v>
      </c>
      <c r="J123" s="1142">
        <f t="shared" si="14"/>
        <v>-933000</v>
      </c>
      <c r="K123" s="848">
        <v>2239000</v>
      </c>
      <c r="L123" s="1161">
        <f t="shared" si="15"/>
        <v>11245.398773006134</v>
      </c>
    </row>
    <row r="124" spans="2:12">
      <c r="B124" s="710" t="s">
        <v>4538</v>
      </c>
      <c r="C124" s="711">
        <v>2459000</v>
      </c>
      <c r="D124" s="849">
        <v>174</v>
      </c>
      <c r="E124" s="860">
        <f>227000*5+455000*2</f>
        <v>2045000</v>
      </c>
      <c r="F124" s="1145">
        <f t="shared" si="12"/>
        <v>-414000</v>
      </c>
      <c r="G124" s="711">
        <v>6829000</v>
      </c>
      <c r="H124" s="1159">
        <f t="shared" si="13"/>
        <v>27494.252873563219</v>
      </c>
      <c r="I124" s="855">
        <f>94000*5+188000*2</f>
        <v>846000</v>
      </c>
      <c r="J124" s="1145">
        <f t="shared" si="14"/>
        <v>-1613000</v>
      </c>
      <c r="K124" s="849">
        <v>2823000</v>
      </c>
      <c r="L124" s="1162">
        <f t="shared" si="15"/>
        <v>11362.068965517241</v>
      </c>
    </row>
    <row r="125" spans="2:12">
      <c r="B125" s="710" t="s">
        <v>4539</v>
      </c>
      <c r="C125" s="711">
        <f>119000*4</f>
        <v>476000</v>
      </c>
      <c r="D125" s="849">
        <v>176</v>
      </c>
      <c r="E125" s="860">
        <v>2000000</v>
      </c>
      <c r="F125" s="1145">
        <f t="shared" si="12"/>
        <v>1524000</v>
      </c>
      <c r="G125" s="711">
        <v>5342000</v>
      </c>
      <c r="H125" s="1159">
        <f t="shared" si="13"/>
        <v>18988.636363636364</v>
      </c>
      <c r="I125" s="855">
        <f>219000*4</f>
        <v>876000</v>
      </c>
      <c r="J125" s="1145">
        <f t="shared" si="14"/>
        <v>400000</v>
      </c>
      <c r="K125" s="849">
        <v>2920000</v>
      </c>
      <c r="L125" s="1162">
        <f t="shared" si="15"/>
        <v>11613.636363636364</v>
      </c>
    </row>
    <row r="126" spans="2:12">
      <c r="B126" s="710" t="s">
        <v>4540</v>
      </c>
      <c r="C126" s="711">
        <v>1848000</v>
      </c>
      <c r="D126" s="849">
        <v>174</v>
      </c>
      <c r="E126" s="860">
        <f>259000*4+519000</f>
        <v>1555000</v>
      </c>
      <c r="F126" s="1145">
        <f t="shared" si="12"/>
        <v>-293000</v>
      </c>
      <c r="G126" s="711">
        <v>6400000</v>
      </c>
      <c r="H126" s="1159">
        <f>(G126-E126)/D126</f>
        <v>27844.827586206895</v>
      </c>
      <c r="I126" s="855">
        <f>109000*4+219000</f>
        <v>655000</v>
      </c>
      <c r="J126" s="1145">
        <f t="shared" si="14"/>
        <v>-1193000</v>
      </c>
      <c r="K126" s="849">
        <v>2702000</v>
      </c>
      <c r="L126" s="1162">
        <f t="shared" si="15"/>
        <v>11764.367816091954</v>
      </c>
    </row>
    <row r="127" spans="2:12">
      <c r="B127" s="710" t="s">
        <v>4541</v>
      </c>
      <c r="C127" s="711">
        <f>135000*9</f>
        <v>1215000</v>
      </c>
      <c r="D127" s="849">
        <v>165</v>
      </c>
      <c r="E127" s="860">
        <f>126000*5+253000*2</f>
        <v>1136000</v>
      </c>
      <c r="F127" s="1145">
        <f t="shared" si="12"/>
        <v>-79000</v>
      </c>
      <c r="G127" s="711">
        <v>3802000</v>
      </c>
      <c r="H127" s="1159">
        <f t="shared" si="13"/>
        <v>16157.575757575758</v>
      </c>
      <c r="I127" s="855">
        <f>98000*9</f>
        <v>882000</v>
      </c>
      <c r="J127" s="1145">
        <f t="shared" si="14"/>
        <v>-333000</v>
      </c>
      <c r="K127" s="849">
        <v>2940000</v>
      </c>
      <c r="L127" s="1162">
        <f t="shared" si="15"/>
        <v>12472.727272727272</v>
      </c>
    </row>
    <row r="128" spans="2:12">
      <c r="B128" s="710" t="s">
        <v>4542</v>
      </c>
      <c r="C128" s="711">
        <f>394000*6</f>
        <v>2364000</v>
      </c>
      <c r="D128" s="849">
        <v>186</v>
      </c>
      <c r="E128" s="860">
        <f>373000*4+746000</f>
        <v>2238000</v>
      </c>
      <c r="F128" s="1145">
        <f t="shared" si="12"/>
        <v>-126000</v>
      </c>
      <c r="G128" s="711">
        <v>7463000</v>
      </c>
      <c r="H128" s="1159">
        <f t="shared" si="13"/>
        <v>28091.397849462366</v>
      </c>
      <c r="I128" s="855">
        <f>155000*4+310000</f>
        <v>930000</v>
      </c>
      <c r="J128" s="1145">
        <f t="shared" si="14"/>
        <v>-1434000</v>
      </c>
      <c r="K128" s="849">
        <v>3494000</v>
      </c>
      <c r="L128" s="1162">
        <f t="shared" si="15"/>
        <v>13784.946236559139</v>
      </c>
    </row>
    <row r="129" spans="2:12">
      <c r="B129" s="710" t="s">
        <v>4543</v>
      </c>
      <c r="C129" s="711">
        <f>263000*3+527000*2</f>
        <v>1843000</v>
      </c>
      <c r="D129" s="849">
        <v>178</v>
      </c>
      <c r="E129" s="860">
        <f>304000*3+609000*2</f>
        <v>2130000</v>
      </c>
      <c r="F129" s="1145">
        <f t="shared" si="12"/>
        <v>287000</v>
      </c>
      <c r="G129" s="711">
        <v>6969000</v>
      </c>
      <c r="H129" s="1159">
        <f t="shared" si="13"/>
        <v>27185.393258426968</v>
      </c>
      <c r="I129" s="855">
        <f>122000*3+244000*2</f>
        <v>854000</v>
      </c>
      <c r="J129" s="1145">
        <f t="shared" si="14"/>
        <v>-989000</v>
      </c>
      <c r="K129" s="849">
        <v>2990000</v>
      </c>
      <c r="L129" s="1162">
        <f t="shared" si="15"/>
        <v>12000</v>
      </c>
    </row>
    <row r="130" spans="2:12">
      <c r="B130" s="710" t="s">
        <v>4544</v>
      </c>
      <c r="C130" s="711">
        <f>68000*7</f>
        <v>476000</v>
      </c>
      <c r="D130" s="849">
        <v>137</v>
      </c>
      <c r="E130" s="860">
        <f>236000*7</f>
        <v>1652000</v>
      </c>
      <c r="F130" s="1145">
        <f t="shared" si="12"/>
        <v>1176000</v>
      </c>
      <c r="G130" s="711">
        <v>7166000</v>
      </c>
      <c r="H130" s="1159">
        <f t="shared" si="13"/>
        <v>40248.175182481755</v>
      </c>
      <c r="I130" s="855">
        <v>700000</v>
      </c>
      <c r="J130" s="1145">
        <f t="shared" si="14"/>
        <v>224000</v>
      </c>
      <c r="K130" s="849">
        <v>2125000</v>
      </c>
      <c r="L130" s="1162">
        <f t="shared" si="15"/>
        <v>10401.459854014598</v>
      </c>
    </row>
    <row r="131" spans="2:12">
      <c r="B131" s="710" t="s">
        <v>4545</v>
      </c>
      <c r="C131" s="711">
        <f>302000*5+605000*2</f>
        <v>2720000</v>
      </c>
      <c r="D131" s="849">
        <v>191</v>
      </c>
      <c r="E131" s="860">
        <f>307000*5+615000*2</f>
        <v>2765000</v>
      </c>
      <c r="F131" s="1145">
        <f t="shared" si="12"/>
        <v>45000</v>
      </c>
      <c r="G131" s="711">
        <v>9231000</v>
      </c>
      <c r="H131" s="1159">
        <f t="shared" si="13"/>
        <v>33853.403141361254</v>
      </c>
      <c r="I131" s="855">
        <f>133000*5+266000*2</f>
        <v>1197000</v>
      </c>
      <c r="J131" s="1145">
        <f t="shared" si="14"/>
        <v>-1523000</v>
      </c>
      <c r="K131" s="849">
        <v>3992000</v>
      </c>
      <c r="L131" s="1162">
        <f t="shared" si="15"/>
        <v>14633.507853403142</v>
      </c>
    </row>
    <row r="132" spans="2:12">
      <c r="B132" s="713" t="s">
        <v>4546</v>
      </c>
      <c r="C132" s="714">
        <f>325000*5+651000*2</f>
        <v>2927000</v>
      </c>
      <c r="D132" s="850">
        <v>184</v>
      </c>
      <c r="E132" s="861">
        <f>251000*9</f>
        <v>2259000</v>
      </c>
      <c r="F132" s="1148">
        <f t="shared" si="12"/>
        <v>-668000</v>
      </c>
      <c r="G132" s="714">
        <v>7530000</v>
      </c>
      <c r="H132" s="1160">
        <f t="shared" si="13"/>
        <v>28646.739130434784</v>
      </c>
      <c r="I132" s="856">
        <f>107000*9</f>
        <v>963000</v>
      </c>
      <c r="J132" s="1148">
        <f t="shared" si="14"/>
        <v>-1964000</v>
      </c>
      <c r="K132" s="850">
        <v>3213000</v>
      </c>
      <c r="L132" s="1163">
        <f t="shared" si="15"/>
        <v>12228.260869565218</v>
      </c>
    </row>
    <row r="133" spans="2:12">
      <c r="B133" s="1140" t="s">
        <v>4653</v>
      </c>
      <c r="C133" s="1141">
        <v>3410000</v>
      </c>
      <c r="D133" s="1149">
        <v>177</v>
      </c>
      <c r="E133" s="1155">
        <v>2794000</v>
      </c>
      <c r="F133" s="1142">
        <f t="shared" si="12"/>
        <v>-616000</v>
      </c>
      <c r="G133" s="1141">
        <v>7629000</v>
      </c>
      <c r="H133" s="1158">
        <f t="shared" si="13"/>
        <v>27316.384180790959</v>
      </c>
      <c r="I133" s="1152">
        <v>1166000</v>
      </c>
      <c r="J133" s="1142">
        <f t="shared" si="14"/>
        <v>-2244000</v>
      </c>
      <c r="K133" s="1149">
        <v>3186000</v>
      </c>
      <c r="L133" s="1161">
        <f t="shared" si="15"/>
        <v>11412.429378531073</v>
      </c>
    </row>
    <row r="134" spans="2:12">
      <c r="B134" s="1143" t="s">
        <v>4654</v>
      </c>
      <c r="C134" s="1144">
        <f>137000*4</f>
        <v>548000</v>
      </c>
      <c r="D134" s="1150">
        <v>131</v>
      </c>
      <c r="E134" s="1156">
        <f>265000*4</f>
        <v>1060000</v>
      </c>
      <c r="F134" s="1145">
        <f t="shared" si="12"/>
        <v>512000</v>
      </c>
      <c r="G134" s="1144">
        <v>4270000</v>
      </c>
      <c r="H134" s="1159">
        <f t="shared" si="13"/>
        <v>24503.816793893129</v>
      </c>
      <c r="I134" s="1153">
        <f>171000*4</f>
        <v>684000</v>
      </c>
      <c r="J134" s="1145">
        <f t="shared" si="14"/>
        <v>136000</v>
      </c>
      <c r="K134" s="1150">
        <v>2151000</v>
      </c>
      <c r="L134" s="1162">
        <f t="shared" si="15"/>
        <v>11198.473282442748</v>
      </c>
    </row>
    <row r="135" spans="2:12">
      <c r="B135" s="1143" t="s">
        <v>4655</v>
      </c>
      <c r="C135" s="1144">
        <f>63000*5+127000*2</f>
        <v>569000</v>
      </c>
      <c r="D135" s="1150">
        <v>187</v>
      </c>
      <c r="E135" s="1156">
        <f>54000*9</f>
        <v>486000</v>
      </c>
      <c r="F135" s="1145">
        <f t="shared" si="12"/>
        <v>-83000</v>
      </c>
      <c r="G135" s="1144">
        <v>5237000</v>
      </c>
      <c r="H135" s="1159">
        <f t="shared" si="13"/>
        <v>25406.417112299467</v>
      </c>
      <c r="I135" s="1153">
        <f>23000*9</f>
        <v>207000</v>
      </c>
      <c r="J135" s="1145">
        <f t="shared" si="14"/>
        <v>-362000</v>
      </c>
      <c r="K135" s="1150">
        <v>2240000</v>
      </c>
      <c r="L135" s="1162">
        <f t="shared" si="15"/>
        <v>10871.657754010695</v>
      </c>
    </row>
    <row r="136" spans="2:12">
      <c r="B136" s="1143" t="s">
        <v>4656</v>
      </c>
      <c r="C136" s="1144">
        <v>2300000</v>
      </c>
      <c r="D136" s="1150">
        <v>171</v>
      </c>
      <c r="E136" s="1156">
        <f>99000*7</f>
        <v>693000</v>
      </c>
      <c r="F136" s="1145">
        <f t="shared" si="12"/>
        <v>-1607000</v>
      </c>
      <c r="G136" s="1144">
        <v>7157000</v>
      </c>
      <c r="H136" s="1159">
        <f>(G136-E136)/D136</f>
        <v>37801.169590643272</v>
      </c>
      <c r="I136" s="1153">
        <f>131000*7</f>
        <v>917000</v>
      </c>
      <c r="J136" s="1145">
        <f t="shared" si="14"/>
        <v>-1383000</v>
      </c>
      <c r="K136" s="1150">
        <v>4444000</v>
      </c>
      <c r="L136" s="1162">
        <f t="shared" si="15"/>
        <v>20625.730994152047</v>
      </c>
    </row>
    <row r="137" spans="2:12">
      <c r="B137" s="1143" t="s">
        <v>4657</v>
      </c>
      <c r="C137" s="1144">
        <v>477000</v>
      </c>
      <c r="D137" s="1150">
        <v>133</v>
      </c>
      <c r="E137" s="1156">
        <f>218000*3</f>
        <v>654000</v>
      </c>
      <c r="F137" s="1145">
        <f t="shared" si="12"/>
        <v>177000</v>
      </c>
      <c r="G137" s="1144">
        <v>5058000</v>
      </c>
      <c r="H137" s="1159">
        <f t="shared" si="13"/>
        <v>33112.781954887221</v>
      </c>
      <c r="I137" s="1153">
        <f>262000*3</f>
        <v>786000</v>
      </c>
      <c r="J137" s="1145">
        <f t="shared" si="14"/>
        <v>309000</v>
      </c>
      <c r="K137" s="1150">
        <v>3200000</v>
      </c>
      <c r="L137" s="1162">
        <f t="shared" si="15"/>
        <v>18150.375939849626</v>
      </c>
    </row>
    <row r="138" spans="2:12">
      <c r="B138" s="1143" t="s">
        <v>4658</v>
      </c>
      <c r="C138" s="1144">
        <v>440000</v>
      </c>
      <c r="D138" s="1150">
        <v>169</v>
      </c>
      <c r="E138" s="1156">
        <f>172000*4</f>
        <v>688000</v>
      </c>
      <c r="F138" s="1145">
        <f t="shared" si="12"/>
        <v>248000</v>
      </c>
      <c r="G138" s="1144">
        <v>5274000</v>
      </c>
      <c r="H138" s="1159">
        <f t="shared" si="13"/>
        <v>27136.094674556214</v>
      </c>
      <c r="I138" s="1153">
        <f>154000*4</f>
        <v>616000</v>
      </c>
      <c r="J138" s="1145">
        <f t="shared" si="14"/>
        <v>176000</v>
      </c>
      <c r="K138" s="1150">
        <v>2522000</v>
      </c>
      <c r="L138" s="1162">
        <f t="shared" si="15"/>
        <v>11278.10650887574</v>
      </c>
    </row>
    <row r="139" spans="2:12">
      <c r="B139" s="1143" t="s">
        <v>4659</v>
      </c>
      <c r="C139" s="1144">
        <v>600000</v>
      </c>
      <c r="D139" s="1150">
        <v>143</v>
      </c>
      <c r="E139" s="1156">
        <f>145000*4</f>
        <v>580000</v>
      </c>
      <c r="F139" s="1145">
        <f t="shared" si="12"/>
        <v>-20000</v>
      </c>
      <c r="G139" s="1144">
        <v>4495000</v>
      </c>
      <c r="H139" s="1159">
        <f t="shared" si="13"/>
        <v>27377.622377622378</v>
      </c>
      <c r="I139" s="1153">
        <f>167000*4</f>
        <v>668000</v>
      </c>
      <c r="J139" s="1145">
        <f t="shared" si="14"/>
        <v>68000</v>
      </c>
      <c r="K139" s="1150">
        <v>3352000</v>
      </c>
      <c r="L139" s="1162">
        <f t="shared" si="15"/>
        <v>18769.23076923077</v>
      </c>
    </row>
    <row r="140" spans="2:12">
      <c r="B140" s="1143" t="s">
        <v>4660</v>
      </c>
      <c r="C140" s="1144">
        <v>1400000</v>
      </c>
      <c r="D140" s="1150">
        <v>173</v>
      </c>
      <c r="E140" s="1156">
        <f>304000*4</f>
        <v>1216000</v>
      </c>
      <c r="F140" s="1145">
        <f t="shared" si="12"/>
        <v>-184000</v>
      </c>
      <c r="G140" s="1144">
        <v>6186000</v>
      </c>
      <c r="H140" s="1159">
        <f t="shared" si="13"/>
        <v>28728.323699421966</v>
      </c>
      <c r="I140" s="1153">
        <f>136000*4</f>
        <v>544000</v>
      </c>
      <c r="J140" s="1145">
        <f t="shared" si="14"/>
        <v>-856000</v>
      </c>
      <c r="K140" s="1150">
        <v>2769000</v>
      </c>
      <c r="L140" s="1162">
        <f t="shared" si="15"/>
        <v>12861.271676300577</v>
      </c>
    </row>
    <row r="141" spans="2:12">
      <c r="B141" s="1143" t="s">
        <v>4661</v>
      </c>
      <c r="C141" s="1144">
        <f>313000*6</f>
        <v>1878000</v>
      </c>
      <c r="D141" s="1150">
        <v>176</v>
      </c>
      <c r="E141" s="1156">
        <f>346000*2+692000*2</f>
        <v>2076000</v>
      </c>
      <c r="F141" s="1145">
        <f t="shared" si="12"/>
        <v>198000</v>
      </c>
      <c r="G141" s="1144">
        <v>7272000</v>
      </c>
      <c r="H141" s="1159">
        <f t="shared" si="13"/>
        <v>29522.727272727272</v>
      </c>
      <c r="I141" s="1153">
        <f>150000*2+301000*2</f>
        <v>902000</v>
      </c>
      <c r="J141" s="1145">
        <f t="shared" si="14"/>
        <v>-976000</v>
      </c>
      <c r="K141" s="1150">
        <v>3161000</v>
      </c>
      <c r="L141" s="1162">
        <f t="shared" si="15"/>
        <v>12835.227272727272</v>
      </c>
    </row>
    <row r="142" spans="2:12">
      <c r="B142" s="1146" t="s">
        <v>4662</v>
      </c>
      <c r="C142" s="1147">
        <f>289000*4+578000*2</f>
        <v>2312000</v>
      </c>
      <c r="D142" s="1151">
        <v>164</v>
      </c>
      <c r="E142" s="1157">
        <f>228000*8</f>
        <v>1824000</v>
      </c>
      <c r="F142" s="1148">
        <f t="shared" si="12"/>
        <v>-488000</v>
      </c>
      <c r="G142" s="1147">
        <v>5952000</v>
      </c>
      <c r="H142" s="1160">
        <f t="shared" si="13"/>
        <v>25170.731707317074</v>
      </c>
      <c r="I142" s="1154">
        <v>800000</v>
      </c>
      <c r="J142" s="1148">
        <f t="shared" si="14"/>
        <v>-1512000</v>
      </c>
      <c r="K142" s="1151">
        <v>2617000</v>
      </c>
      <c r="L142" s="1163">
        <f t="shared" si="15"/>
        <v>11079.268292682927</v>
      </c>
    </row>
    <row r="143" spans="2:12">
      <c r="B143" s="1140" t="s">
        <v>4786</v>
      </c>
      <c r="C143" s="1141">
        <f>367000*5</f>
        <v>1835000</v>
      </c>
      <c r="D143" s="1149">
        <v>162</v>
      </c>
      <c r="E143" s="1155">
        <f>250000*4+501000</f>
        <v>1501000</v>
      </c>
      <c r="F143" s="1142">
        <f t="shared" si="12"/>
        <v>-334000</v>
      </c>
      <c r="G143" s="1141">
        <v>6179000</v>
      </c>
      <c r="H143" s="1158">
        <f t="shared" si="13"/>
        <v>28876.543209876545</v>
      </c>
      <c r="I143" s="1152">
        <f>107000*4+214000</f>
        <v>642000</v>
      </c>
      <c r="J143" s="1142">
        <f t="shared" si="14"/>
        <v>-1193000</v>
      </c>
      <c r="K143" s="1149">
        <v>2646000</v>
      </c>
      <c r="L143" s="1161">
        <f t="shared" si="15"/>
        <v>12370.37037037037</v>
      </c>
    </row>
    <row r="144" spans="2:12">
      <c r="B144" s="1143" t="s">
        <v>4787</v>
      </c>
      <c r="C144" s="1144">
        <f>292000*6</f>
        <v>1752000</v>
      </c>
      <c r="D144" s="1150">
        <v>184</v>
      </c>
      <c r="E144" s="1156">
        <f>254000*6</f>
        <v>1524000</v>
      </c>
      <c r="F144" s="1145">
        <f t="shared" si="12"/>
        <v>-228000</v>
      </c>
      <c r="G144" s="1144">
        <v>6860000</v>
      </c>
      <c r="H144" s="1159">
        <f t="shared" si="13"/>
        <v>29000</v>
      </c>
      <c r="I144" s="1153">
        <f>108000*2+217000*2</f>
        <v>650000</v>
      </c>
      <c r="J144" s="1145">
        <f t="shared" si="14"/>
        <v>-1102000</v>
      </c>
      <c r="K144" s="1150">
        <v>2938000</v>
      </c>
      <c r="L144" s="1162">
        <f t="shared" si="15"/>
        <v>12434.782608695652</v>
      </c>
    </row>
    <row r="145" spans="2:12">
      <c r="B145" s="1143" t="s">
        <v>4788</v>
      </c>
      <c r="C145" s="1144">
        <f>137000*4</f>
        <v>548000</v>
      </c>
      <c r="D145" s="1150">
        <v>150</v>
      </c>
      <c r="E145" s="1156">
        <f>469000*4</f>
        <v>1876000</v>
      </c>
      <c r="F145" s="1145">
        <f t="shared" si="12"/>
        <v>1328000</v>
      </c>
      <c r="G145" s="1144">
        <v>6256000</v>
      </c>
      <c r="H145" s="1159">
        <f t="shared" si="13"/>
        <v>29200</v>
      </c>
      <c r="I145" s="1153">
        <v>816000</v>
      </c>
      <c r="J145" s="1145">
        <f t="shared" si="14"/>
        <v>268000</v>
      </c>
      <c r="K145" s="1150">
        <v>2726000</v>
      </c>
      <c r="L145" s="1162">
        <f t="shared" si="15"/>
        <v>12733.333333333334</v>
      </c>
    </row>
    <row r="146" spans="2:12">
      <c r="B146" s="1143" t="s">
        <v>4789</v>
      </c>
      <c r="C146" s="1144">
        <v>2542500</v>
      </c>
      <c r="D146" s="1150">
        <v>161</v>
      </c>
      <c r="E146" s="1156">
        <f>278750*4+558750*2</f>
        <v>2232500</v>
      </c>
      <c r="F146" s="1145">
        <f t="shared" si="12"/>
        <v>-310000</v>
      </c>
      <c r="G146" s="1144">
        <v>9012000</v>
      </c>
      <c r="H146" s="1159">
        <f>(G146-E146)/D146</f>
        <v>42108.695652173912</v>
      </c>
      <c r="I146" s="1153">
        <f>123750*4+247500*2</f>
        <v>990000</v>
      </c>
      <c r="J146" s="1145">
        <f t="shared" si="14"/>
        <v>-1552500</v>
      </c>
      <c r="K146" s="1150">
        <v>3991000</v>
      </c>
      <c r="L146" s="1162">
        <f t="shared" si="15"/>
        <v>18639.751552795031</v>
      </c>
    </row>
    <row r="147" spans="2:12">
      <c r="B147" s="1143" t="s">
        <v>4790</v>
      </c>
      <c r="C147" s="1144">
        <v>440000</v>
      </c>
      <c r="D147" s="1150">
        <v>158</v>
      </c>
      <c r="E147" s="1156">
        <f>494000*4</f>
        <v>1976000</v>
      </c>
      <c r="F147" s="1145">
        <f t="shared" si="12"/>
        <v>1536000</v>
      </c>
      <c r="G147" s="1144">
        <v>6595000</v>
      </c>
      <c r="H147" s="1159">
        <f t="shared" si="13"/>
        <v>29234.177215189873</v>
      </c>
      <c r="I147" s="1153">
        <f>219000*4</f>
        <v>876000</v>
      </c>
      <c r="J147" s="1145">
        <f t="shared" si="14"/>
        <v>436000</v>
      </c>
      <c r="K147" s="1150">
        <v>2921000</v>
      </c>
      <c r="L147" s="1162">
        <f t="shared" si="15"/>
        <v>12943.037974683544</v>
      </c>
    </row>
    <row r="148" spans="2:12">
      <c r="B148" s="1143" t="s">
        <v>4791</v>
      </c>
      <c r="C148" s="1144">
        <f>302000*5+604000*2</f>
        <v>2718000</v>
      </c>
      <c r="D148" s="1150">
        <v>172</v>
      </c>
      <c r="E148" s="1156">
        <f>239000*9</f>
        <v>2151000</v>
      </c>
      <c r="F148" s="1145">
        <f t="shared" si="12"/>
        <v>-567000</v>
      </c>
      <c r="G148" s="1144">
        <v>7171000</v>
      </c>
      <c r="H148" s="1159">
        <f t="shared" si="13"/>
        <v>29186.046511627908</v>
      </c>
      <c r="I148" s="1153">
        <f>999000</f>
        <v>999000</v>
      </c>
      <c r="J148" s="1145">
        <f t="shared" si="14"/>
        <v>-1719000</v>
      </c>
      <c r="K148" s="1150">
        <v>3333000</v>
      </c>
      <c r="L148" s="1162">
        <f t="shared" si="15"/>
        <v>13569.767441860466</v>
      </c>
    </row>
    <row r="149" spans="2:12">
      <c r="B149" s="1143" t="s">
        <v>4792</v>
      </c>
      <c r="C149" s="1144">
        <f>263000*3+527000*2</f>
        <v>1843000</v>
      </c>
      <c r="D149" s="1150">
        <v>178</v>
      </c>
      <c r="E149" s="1156">
        <f>297000*3+595000*2</f>
        <v>2081000</v>
      </c>
      <c r="F149" s="1145">
        <f t="shared" si="12"/>
        <v>238000</v>
      </c>
      <c r="G149" s="1144">
        <v>7291000</v>
      </c>
      <c r="H149" s="1159">
        <f t="shared" si="13"/>
        <v>29269.662921348314</v>
      </c>
      <c r="I149" s="1153">
        <f>134000*7</f>
        <v>938000</v>
      </c>
      <c r="J149" s="1145">
        <f t="shared" si="14"/>
        <v>-905000</v>
      </c>
      <c r="K149" s="1150">
        <v>3290000</v>
      </c>
      <c r="L149" s="1162">
        <f t="shared" si="15"/>
        <v>13213.483146067416</v>
      </c>
    </row>
    <row r="150" spans="2:12">
      <c r="B150" s="1143" t="s">
        <v>4793</v>
      </c>
      <c r="C150" s="1144">
        <v>476000</v>
      </c>
      <c r="D150" s="1150">
        <v>149</v>
      </c>
      <c r="E150" s="1156">
        <f>465000*4</f>
        <v>1860000</v>
      </c>
      <c r="F150" s="1145">
        <f t="shared" si="12"/>
        <v>1384000</v>
      </c>
      <c r="G150" s="1144">
        <v>6208000</v>
      </c>
      <c r="H150" s="1159">
        <f t="shared" si="13"/>
        <v>29181.208053691276</v>
      </c>
      <c r="I150" s="1153">
        <v>840000</v>
      </c>
      <c r="J150" s="1145">
        <f t="shared" si="14"/>
        <v>364000</v>
      </c>
      <c r="K150" s="1150">
        <v>2801000</v>
      </c>
      <c r="L150" s="1162">
        <f t="shared" si="15"/>
        <v>13161.073825503356</v>
      </c>
    </row>
    <row r="151" spans="2:12">
      <c r="B151" s="1143" t="s">
        <v>4794</v>
      </c>
      <c r="C151" s="1144">
        <v>520000</v>
      </c>
      <c r="D151" s="1150">
        <v>166</v>
      </c>
      <c r="E151" s="1156">
        <f>533000*4</f>
        <v>2132000</v>
      </c>
      <c r="F151" s="1145">
        <f t="shared" si="12"/>
        <v>1612000</v>
      </c>
      <c r="G151" s="1144">
        <v>7114000</v>
      </c>
      <c r="H151" s="1159">
        <f t="shared" si="13"/>
        <v>30012.048192771083</v>
      </c>
      <c r="I151" s="1153">
        <f>243000*4</f>
        <v>972000</v>
      </c>
      <c r="J151" s="1145">
        <f t="shared" si="14"/>
        <v>452000</v>
      </c>
      <c r="K151" s="1150">
        <v>3241000</v>
      </c>
      <c r="L151" s="1162">
        <f t="shared" si="15"/>
        <v>13668.674698795181</v>
      </c>
    </row>
    <row r="152" spans="2:12">
      <c r="B152" s="1146" t="s">
        <v>4795</v>
      </c>
      <c r="C152" s="1147">
        <f>419000*7</f>
        <v>2933000</v>
      </c>
      <c r="D152" s="1151">
        <v>174</v>
      </c>
      <c r="E152" s="1157">
        <f>338000*7</f>
        <v>2366000</v>
      </c>
      <c r="F152" s="1148">
        <f t="shared" si="12"/>
        <v>-567000</v>
      </c>
      <c r="G152" s="1147">
        <v>7890000</v>
      </c>
      <c r="H152" s="1160">
        <f t="shared" si="13"/>
        <v>31747.126436781607</v>
      </c>
      <c r="I152" s="1154">
        <f>157000*7</f>
        <v>1099000</v>
      </c>
      <c r="J152" s="1148">
        <f t="shared" si="14"/>
        <v>-1834000</v>
      </c>
      <c r="K152" s="1151">
        <v>3676000</v>
      </c>
      <c r="L152" s="1163">
        <f t="shared" si="15"/>
        <v>14810.344827586207</v>
      </c>
    </row>
    <row r="153" spans="2:12">
      <c r="B153" s="1140" t="s">
        <v>4882</v>
      </c>
      <c r="C153" s="1141"/>
      <c r="D153" s="1149"/>
      <c r="E153" s="1155"/>
      <c r="F153" s="1142"/>
      <c r="G153" s="1141"/>
      <c r="H153" s="1158"/>
      <c r="I153" s="1152"/>
      <c r="J153" s="1142"/>
      <c r="K153" s="1149"/>
      <c r="L153" s="1161"/>
    </row>
    <row r="154" spans="2:12">
      <c r="B154" s="1143" t="s">
        <v>4883</v>
      </c>
      <c r="C154" s="1144"/>
      <c r="D154" s="1150"/>
      <c r="E154" s="1156"/>
      <c r="F154" s="1145"/>
      <c r="G154" s="1144"/>
      <c r="H154" s="1159"/>
      <c r="I154" s="1153"/>
      <c r="J154" s="1145"/>
      <c r="K154" s="1150"/>
      <c r="L154" s="1162"/>
    </row>
    <row r="155" spans="2:12">
      <c r="B155" s="1143" t="s">
        <v>4884</v>
      </c>
      <c r="C155" s="1144"/>
      <c r="D155" s="1150"/>
      <c r="E155" s="1156"/>
      <c r="F155" s="1145"/>
      <c r="G155" s="1144"/>
      <c r="H155" s="1159"/>
      <c r="I155" s="1153"/>
      <c r="J155" s="1145"/>
      <c r="K155" s="1150"/>
      <c r="L155" s="1162"/>
    </row>
    <row r="156" spans="2:12">
      <c r="B156" s="1143" t="s">
        <v>4885</v>
      </c>
      <c r="C156" s="1144"/>
      <c r="D156" s="1150"/>
      <c r="E156" s="1156"/>
      <c r="F156" s="1145"/>
      <c r="G156" s="1144"/>
      <c r="H156" s="1159"/>
      <c r="I156" s="1153"/>
      <c r="J156" s="1145"/>
      <c r="K156" s="1150"/>
      <c r="L156" s="1162"/>
    </row>
    <row r="157" spans="2:12">
      <c r="B157" s="1143" t="s">
        <v>4886</v>
      </c>
      <c r="C157" s="1144"/>
      <c r="D157" s="1150"/>
      <c r="E157" s="1156"/>
      <c r="F157" s="1145"/>
      <c r="G157" s="1144"/>
      <c r="H157" s="1159"/>
      <c r="I157" s="1153"/>
      <c r="J157" s="1145"/>
      <c r="K157" s="1150"/>
      <c r="L157" s="1162"/>
    </row>
    <row r="158" spans="2:12">
      <c r="B158" s="1143" t="s">
        <v>4887</v>
      </c>
      <c r="C158" s="1144"/>
      <c r="D158" s="1150"/>
      <c r="E158" s="1156"/>
      <c r="F158" s="1145"/>
      <c r="G158" s="1144"/>
      <c r="H158" s="1159"/>
      <c r="I158" s="1153"/>
      <c r="J158" s="1145"/>
      <c r="K158" s="1150"/>
      <c r="L158" s="1162"/>
    </row>
    <row r="159" spans="2:12">
      <c r="B159" s="1143" t="s">
        <v>4888</v>
      </c>
      <c r="C159" s="1144"/>
      <c r="D159" s="1150"/>
      <c r="E159" s="1156"/>
      <c r="F159" s="1145"/>
      <c r="G159" s="1144"/>
      <c r="H159" s="1159"/>
      <c r="I159" s="1153"/>
      <c r="J159" s="1145"/>
      <c r="K159" s="1150"/>
      <c r="L159" s="1162"/>
    </row>
    <row r="160" spans="2:12">
      <c r="B160" s="1143" t="s">
        <v>4889</v>
      </c>
      <c r="C160" s="1144"/>
      <c r="D160" s="1150"/>
      <c r="E160" s="1156"/>
      <c r="F160" s="1145"/>
      <c r="G160" s="1144"/>
      <c r="H160" s="1159"/>
      <c r="I160" s="1153"/>
      <c r="J160" s="1145"/>
      <c r="K160" s="1150"/>
      <c r="L160" s="1162"/>
    </row>
    <row r="161" spans="2:12">
      <c r="B161" s="1143" t="s">
        <v>4890</v>
      </c>
      <c r="C161" s="1144"/>
      <c r="D161" s="1150"/>
      <c r="E161" s="1156"/>
      <c r="F161" s="1145"/>
      <c r="G161" s="1144"/>
      <c r="H161" s="1159"/>
      <c r="I161" s="1153"/>
      <c r="J161" s="1145"/>
      <c r="K161" s="1150"/>
      <c r="L161" s="1162"/>
    </row>
    <row r="162" spans="2:12">
      <c r="B162" s="1146" t="s">
        <v>4891</v>
      </c>
      <c r="C162" s="1147"/>
      <c r="D162" s="1151"/>
      <c r="E162" s="1157"/>
      <c r="F162" s="1148"/>
      <c r="G162" s="1147"/>
      <c r="H162" s="1160"/>
      <c r="I162" s="1154"/>
      <c r="J162" s="1148"/>
      <c r="K162" s="1151"/>
      <c r="L162" s="1163"/>
    </row>
    <row r="163" spans="2:12">
      <c r="B163" s="710"/>
      <c r="C163" s="711"/>
      <c r="D163" s="849"/>
      <c r="E163" s="860"/>
      <c r="F163" s="712"/>
      <c r="G163" s="711"/>
      <c r="H163" s="867"/>
      <c r="I163" s="855"/>
      <c r="J163" s="712"/>
      <c r="K163" s="849"/>
      <c r="L163" s="872"/>
    </row>
    <row r="164" spans="2:12">
      <c r="B164" s="710"/>
      <c r="C164" s="711"/>
      <c r="D164" s="849"/>
      <c r="E164" s="860"/>
      <c r="F164" s="712"/>
      <c r="G164" s="711"/>
      <c r="H164" s="867"/>
      <c r="I164" s="855"/>
      <c r="J164" s="712"/>
      <c r="K164" s="849"/>
      <c r="L164" s="872"/>
    </row>
    <row r="165" spans="2:12">
      <c r="B165" s="710"/>
      <c r="C165" s="711"/>
      <c r="D165" s="849"/>
      <c r="E165" s="860"/>
      <c r="F165" s="712"/>
      <c r="G165" s="711"/>
      <c r="H165" s="867"/>
      <c r="I165" s="855"/>
      <c r="J165" s="712"/>
      <c r="K165" s="849"/>
      <c r="L165" s="872"/>
    </row>
    <row r="166" spans="2:12">
      <c r="B166" s="710"/>
      <c r="C166" s="711"/>
      <c r="D166" s="849"/>
      <c r="E166" s="860"/>
      <c r="F166" s="712"/>
      <c r="G166" s="711"/>
      <c r="H166" s="867"/>
      <c r="I166" s="855"/>
      <c r="J166" s="712"/>
      <c r="K166" s="849"/>
      <c r="L166" s="872"/>
    </row>
    <row r="167" spans="2:12">
      <c r="B167" s="710"/>
      <c r="C167" s="711"/>
      <c r="D167" s="849"/>
      <c r="E167" s="860"/>
      <c r="F167" s="712"/>
      <c r="G167" s="711"/>
      <c r="H167" s="867"/>
      <c r="I167" s="855"/>
      <c r="J167" s="712"/>
      <c r="K167" s="849"/>
      <c r="L167" s="872"/>
    </row>
    <row r="168" spans="2:12">
      <c r="B168" s="710"/>
      <c r="C168" s="711"/>
      <c r="D168" s="849"/>
      <c r="E168" s="860"/>
      <c r="F168" s="712"/>
      <c r="G168" s="711"/>
      <c r="H168" s="867"/>
      <c r="I168" s="855"/>
      <c r="J168" s="712"/>
      <c r="K168" s="849"/>
      <c r="L168" s="872"/>
    </row>
    <row r="169" spans="2:12">
      <c r="B169" s="710"/>
      <c r="C169" s="711"/>
      <c r="D169" s="849"/>
      <c r="E169" s="860"/>
      <c r="F169" s="712"/>
      <c r="G169" s="711"/>
      <c r="H169" s="867"/>
      <c r="I169" s="855"/>
      <c r="J169" s="712"/>
      <c r="K169" s="849"/>
      <c r="L169" s="872"/>
    </row>
    <row r="170" spans="2:12">
      <c r="B170" s="710"/>
      <c r="C170" s="711"/>
      <c r="D170" s="849"/>
      <c r="E170" s="860"/>
      <c r="F170" s="712"/>
      <c r="G170" s="711"/>
      <c r="H170" s="867"/>
      <c r="I170" s="855"/>
      <c r="J170" s="712"/>
      <c r="K170" s="849"/>
      <c r="L170" s="872"/>
    </row>
    <row r="171" spans="2:12">
      <c r="B171" s="710"/>
      <c r="C171" s="711"/>
      <c r="D171" s="849"/>
      <c r="E171" s="860"/>
      <c r="F171" s="712"/>
      <c r="G171" s="711"/>
      <c r="H171" s="867"/>
      <c r="I171" s="855"/>
      <c r="J171" s="712"/>
      <c r="K171" s="849"/>
      <c r="L171" s="872"/>
    </row>
    <row r="172" spans="2:12">
      <c r="B172" s="710"/>
      <c r="C172" s="711"/>
      <c r="D172" s="849"/>
      <c r="E172" s="860"/>
      <c r="F172" s="712"/>
      <c r="G172" s="711"/>
      <c r="H172" s="867"/>
      <c r="I172" s="855"/>
      <c r="J172" s="712"/>
      <c r="K172" s="849"/>
      <c r="L172" s="872"/>
    </row>
    <row r="173" spans="2:12">
      <c r="B173" s="710"/>
      <c r="C173" s="711"/>
      <c r="D173" s="849"/>
      <c r="E173" s="860"/>
      <c r="F173" s="712"/>
      <c r="G173" s="711"/>
      <c r="H173" s="867"/>
      <c r="I173" s="855"/>
      <c r="J173" s="712"/>
      <c r="K173" s="849"/>
      <c r="L173" s="872"/>
    </row>
    <row r="174" spans="2:12">
      <c r="B174" s="710"/>
      <c r="C174" s="711"/>
      <c r="D174" s="849"/>
      <c r="E174" s="860"/>
      <c r="F174" s="712"/>
      <c r="G174" s="711"/>
      <c r="H174" s="867"/>
      <c r="I174" s="855"/>
      <c r="J174" s="712"/>
      <c r="K174" s="849"/>
      <c r="L174" s="872"/>
    </row>
    <row r="175" spans="2:12">
      <c r="B175" s="710"/>
      <c r="C175" s="711"/>
      <c r="D175" s="849"/>
      <c r="E175" s="860"/>
      <c r="F175" s="712"/>
      <c r="G175" s="711"/>
      <c r="H175" s="867"/>
      <c r="I175" s="855"/>
      <c r="J175" s="712"/>
      <c r="K175" s="849"/>
      <c r="L175" s="872"/>
    </row>
    <row r="176" spans="2:12">
      <c r="B176" s="710"/>
      <c r="C176" s="711"/>
      <c r="D176" s="849"/>
      <c r="E176" s="860"/>
      <c r="F176" s="712"/>
      <c r="G176" s="711"/>
      <c r="H176" s="867"/>
      <c r="I176" s="855"/>
      <c r="J176" s="712"/>
      <c r="K176" s="849"/>
      <c r="L176" s="872"/>
    </row>
    <row r="177" spans="2:12">
      <c r="B177" s="710"/>
      <c r="C177" s="711"/>
      <c r="D177" s="849"/>
      <c r="E177" s="860"/>
      <c r="F177" s="712"/>
      <c r="G177" s="711"/>
      <c r="H177" s="867"/>
      <c r="I177" s="855"/>
      <c r="J177" s="712"/>
      <c r="K177" s="849"/>
      <c r="L177" s="872"/>
    </row>
    <row r="178" spans="2:12">
      <c r="B178" s="710"/>
      <c r="C178" s="711"/>
      <c r="D178" s="849"/>
      <c r="E178" s="860"/>
      <c r="F178" s="712"/>
      <c r="G178" s="711"/>
      <c r="H178" s="867"/>
      <c r="I178" s="855"/>
      <c r="J178" s="712"/>
      <c r="K178" s="849"/>
      <c r="L178" s="872"/>
    </row>
    <row r="179" spans="2:12">
      <c r="B179" s="710"/>
      <c r="C179" s="711"/>
      <c r="D179" s="849"/>
      <c r="E179" s="860"/>
      <c r="F179" s="712"/>
      <c r="G179" s="711"/>
      <c r="H179" s="867"/>
      <c r="I179" s="855"/>
      <c r="J179" s="712"/>
      <c r="K179" s="849"/>
      <c r="L179" s="872"/>
    </row>
    <row r="180" spans="2:12">
      <c r="B180" s="710"/>
      <c r="C180" s="711"/>
      <c r="D180" s="849"/>
      <c r="E180" s="860"/>
      <c r="F180" s="712"/>
      <c r="G180" s="711"/>
      <c r="H180" s="867"/>
      <c r="I180" s="855"/>
      <c r="J180" s="712"/>
      <c r="K180" s="849"/>
      <c r="L180" s="872"/>
    </row>
    <row r="181" spans="2:12">
      <c r="B181" s="710"/>
      <c r="C181" s="711"/>
      <c r="D181" s="849"/>
      <c r="E181" s="860"/>
      <c r="F181" s="712"/>
      <c r="G181" s="711"/>
      <c r="H181" s="867"/>
      <c r="I181" s="855"/>
      <c r="J181" s="712"/>
      <c r="K181" s="849"/>
      <c r="L181" s="872"/>
    </row>
    <row r="182" spans="2:12">
      <c r="B182" s="710"/>
      <c r="C182" s="711"/>
      <c r="D182" s="849"/>
      <c r="E182" s="860"/>
      <c r="F182" s="712"/>
      <c r="G182" s="711"/>
      <c r="H182" s="867"/>
      <c r="I182" s="855"/>
      <c r="J182" s="712"/>
      <c r="K182" s="849"/>
      <c r="L182" s="872"/>
    </row>
    <row r="183" spans="2:12">
      <c r="B183" s="710"/>
      <c r="C183" s="711"/>
      <c r="D183" s="849"/>
      <c r="E183" s="860"/>
      <c r="F183" s="712"/>
      <c r="G183" s="711"/>
      <c r="H183" s="867"/>
      <c r="I183" s="855"/>
      <c r="J183" s="712"/>
      <c r="K183" s="849"/>
      <c r="L183" s="872"/>
    </row>
    <row r="184" spans="2:12">
      <c r="B184" s="710"/>
      <c r="C184" s="711"/>
      <c r="D184" s="849"/>
      <c r="E184" s="860"/>
      <c r="F184" s="712"/>
      <c r="G184" s="711"/>
      <c r="H184" s="867"/>
      <c r="I184" s="855"/>
      <c r="J184" s="712"/>
      <c r="K184" s="849"/>
      <c r="L184" s="872"/>
    </row>
    <row r="185" spans="2:12">
      <c r="B185" s="710"/>
      <c r="C185" s="711"/>
      <c r="D185" s="849"/>
      <c r="E185" s="860"/>
      <c r="F185" s="712"/>
      <c r="G185" s="711"/>
      <c r="H185" s="867"/>
      <c r="I185" s="855"/>
      <c r="J185" s="712"/>
      <c r="K185" s="849"/>
      <c r="L185" s="872"/>
    </row>
    <row r="186" spans="2:12">
      <c r="B186" s="710"/>
      <c r="C186" s="711"/>
      <c r="D186" s="849"/>
      <c r="E186" s="860"/>
      <c r="F186" s="712"/>
      <c r="G186" s="711"/>
      <c r="H186" s="867"/>
      <c r="I186" s="855"/>
      <c r="J186" s="712"/>
      <c r="K186" s="849"/>
      <c r="L186" s="872"/>
    </row>
    <row r="187" spans="2:12">
      <c r="B187" s="710"/>
      <c r="C187" s="711"/>
      <c r="D187" s="849"/>
      <c r="E187" s="860"/>
      <c r="F187" s="712"/>
      <c r="G187" s="711"/>
      <c r="H187" s="867"/>
      <c r="I187" s="855"/>
      <c r="J187" s="712"/>
      <c r="K187" s="849"/>
      <c r="L187" s="872"/>
    </row>
    <row r="188" spans="2:12">
      <c r="B188" s="710"/>
      <c r="C188" s="711"/>
      <c r="D188" s="849"/>
      <c r="E188" s="860"/>
      <c r="F188" s="712"/>
      <c r="G188" s="711"/>
      <c r="H188" s="867"/>
      <c r="I188" s="855"/>
      <c r="J188" s="712"/>
      <c r="K188" s="849"/>
      <c r="L188" s="872"/>
    </row>
    <row r="189" spans="2:12">
      <c r="B189" s="710"/>
      <c r="C189" s="711"/>
      <c r="D189" s="849"/>
      <c r="E189" s="860"/>
      <c r="F189" s="712"/>
      <c r="G189" s="711"/>
      <c r="H189" s="867"/>
      <c r="I189" s="855"/>
      <c r="J189" s="712"/>
      <c r="K189" s="849"/>
      <c r="L189" s="872"/>
    </row>
    <row r="190" spans="2:12">
      <c r="B190" s="710"/>
      <c r="C190" s="711"/>
      <c r="D190" s="849"/>
      <c r="E190" s="860"/>
      <c r="F190" s="712"/>
      <c r="G190" s="711"/>
      <c r="H190" s="867"/>
      <c r="I190" s="855"/>
      <c r="J190" s="712"/>
      <c r="K190" s="849"/>
      <c r="L190" s="872"/>
    </row>
    <row r="191" spans="2:12">
      <c r="B191" s="710"/>
      <c r="C191" s="711"/>
      <c r="D191" s="849"/>
      <c r="E191" s="860"/>
      <c r="F191" s="712"/>
      <c r="G191" s="711"/>
      <c r="H191" s="867"/>
      <c r="I191" s="855"/>
      <c r="J191" s="712"/>
      <c r="K191" s="849"/>
      <c r="L191" s="872"/>
    </row>
    <row r="192" spans="2:12">
      <c r="B192" s="710"/>
      <c r="C192" s="711"/>
      <c r="D192" s="849"/>
      <c r="E192" s="860"/>
      <c r="F192" s="712"/>
      <c r="G192" s="711"/>
      <c r="H192" s="867"/>
      <c r="I192" s="855"/>
      <c r="J192" s="712"/>
      <c r="K192" s="849"/>
      <c r="L192" s="872"/>
    </row>
    <row r="193" spans="2:12">
      <c r="B193" s="710"/>
      <c r="C193" s="711"/>
      <c r="D193" s="849"/>
      <c r="E193" s="860"/>
      <c r="F193" s="712"/>
      <c r="G193" s="711"/>
      <c r="H193" s="867"/>
      <c r="I193" s="855"/>
      <c r="J193" s="712"/>
      <c r="K193" s="849"/>
      <c r="L193" s="872"/>
    </row>
    <row r="194" spans="2:12">
      <c r="B194" s="710"/>
      <c r="C194" s="711"/>
      <c r="D194" s="849"/>
      <c r="E194" s="860"/>
      <c r="F194" s="712"/>
      <c r="G194" s="711"/>
      <c r="H194" s="867"/>
      <c r="I194" s="855"/>
      <c r="J194" s="712"/>
      <c r="K194" s="849"/>
      <c r="L194" s="872"/>
    </row>
    <row r="195" spans="2:12">
      <c r="B195" s="710"/>
      <c r="C195" s="711"/>
      <c r="D195" s="849"/>
      <c r="E195" s="860"/>
      <c r="F195" s="712"/>
      <c r="G195" s="711"/>
      <c r="H195" s="867"/>
      <c r="I195" s="855"/>
      <c r="J195" s="712"/>
      <c r="K195" s="849"/>
      <c r="L195" s="872"/>
    </row>
    <row r="196" spans="2:12">
      <c r="B196" s="710"/>
      <c r="C196" s="711"/>
      <c r="D196" s="849"/>
      <c r="E196" s="860"/>
      <c r="F196" s="712"/>
      <c r="G196" s="711"/>
      <c r="H196" s="867"/>
      <c r="I196" s="855"/>
      <c r="J196" s="712"/>
      <c r="K196" s="849"/>
      <c r="L196" s="872"/>
    </row>
    <row r="197" spans="2:12">
      <c r="B197" s="710"/>
      <c r="C197" s="711"/>
      <c r="D197" s="849"/>
      <c r="E197" s="860"/>
      <c r="F197" s="712"/>
      <c r="G197" s="711"/>
      <c r="H197" s="867"/>
      <c r="I197" s="855"/>
      <c r="J197" s="712"/>
      <c r="K197" s="849"/>
      <c r="L197" s="872"/>
    </row>
    <row r="198" spans="2:12">
      <c r="B198" s="710"/>
      <c r="C198" s="711"/>
      <c r="D198" s="849"/>
      <c r="E198" s="860"/>
      <c r="F198" s="712"/>
      <c r="G198" s="711"/>
      <c r="H198" s="867"/>
      <c r="I198" s="855"/>
      <c r="J198" s="712"/>
      <c r="K198" s="849"/>
      <c r="L198" s="872"/>
    </row>
    <row r="199" spans="2:12">
      <c r="B199" s="710"/>
      <c r="C199" s="711"/>
      <c r="D199" s="849"/>
      <c r="E199" s="860"/>
      <c r="F199" s="712"/>
      <c r="G199" s="711"/>
      <c r="H199" s="867"/>
      <c r="I199" s="855"/>
      <c r="J199" s="712"/>
      <c r="K199" s="849"/>
      <c r="L199" s="872"/>
    </row>
    <row r="200" spans="2:12">
      <c r="B200" s="710"/>
      <c r="C200" s="711"/>
      <c r="D200" s="849"/>
      <c r="E200" s="860"/>
      <c r="F200" s="712"/>
      <c r="G200" s="711"/>
      <c r="H200" s="867"/>
      <c r="I200" s="855"/>
      <c r="J200" s="712"/>
      <c r="K200" s="849"/>
      <c r="L200" s="872"/>
    </row>
    <row r="201" spans="2:12">
      <c r="B201" s="710"/>
      <c r="C201" s="711"/>
      <c r="D201" s="849"/>
      <c r="E201" s="860"/>
      <c r="F201" s="712"/>
      <c r="G201" s="711"/>
      <c r="H201" s="867"/>
      <c r="I201" s="855"/>
      <c r="J201" s="712"/>
      <c r="K201" s="849"/>
      <c r="L201" s="872"/>
    </row>
    <row r="202" spans="2:12">
      <c r="B202" s="710"/>
      <c r="C202" s="711"/>
      <c r="D202" s="849"/>
      <c r="E202" s="860"/>
      <c r="F202" s="712"/>
      <c r="G202" s="711"/>
      <c r="H202" s="867"/>
      <c r="I202" s="855"/>
      <c r="J202" s="712"/>
      <c r="K202" s="849"/>
      <c r="L202" s="872"/>
    </row>
    <row r="203" spans="2:12">
      <c r="B203" s="710"/>
      <c r="C203" s="711"/>
      <c r="D203" s="849"/>
      <c r="E203" s="860"/>
      <c r="F203" s="712"/>
      <c r="G203" s="711"/>
      <c r="H203" s="867"/>
      <c r="I203" s="855"/>
      <c r="J203" s="712"/>
      <c r="K203" s="849"/>
      <c r="L203" s="872"/>
    </row>
    <row r="204" spans="2:12">
      <c r="B204" s="710"/>
      <c r="C204" s="711"/>
      <c r="D204" s="849"/>
      <c r="E204" s="860"/>
      <c r="F204" s="712"/>
      <c r="G204" s="711"/>
      <c r="H204" s="867"/>
      <c r="I204" s="855"/>
      <c r="J204" s="712"/>
      <c r="K204" s="849"/>
      <c r="L204" s="872"/>
    </row>
    <row r="205" spans="2:12">
      <c r="B205" s="710"/>
      <c r="C205" s="711"/>
      <c r="D205" s="849"/>
      <c r="E205" s="860"/>
      <c r="F205" s="712"/>
      <c r="G205" s="711"/>
      <c r="H205" s="867"/>
      <c r="I205" s="855"/>
      <c r="J205" s="712"/>
      <c r="K205" s="849"/>
      <c r="L205" s="872"/>
    </row>
    <row r="206" spans="2:12">
      <c r="B206" s="710"/>
      <c r="C206" s="711"/>
      <c r="D206" s="849"/>
      <c r="E206" s="860"/>
      <c r="F206" s="712"/>
      <c r="G206" s="711"/>
      <c r="H206" s="867"/>
      <c r="I206" s="855"/>
      <c r="J206" s="712"/>
      <c r="K206" s="849"/>
      <c r="L206" s="872"/>
    </row>
    <row r="207" spans="2:12">
      <c r="B207" s="710"/>
      <c r="C207" s="711"/>
      <c r="D207" s="849"/>
      <c r="E207" s="860"/>
      <c r="F207" s="712"/>
      <c r="G207" s="711"/>
      <c r="H207" s="867"/>
      <c r="I207" s="855"/>
      <c r="J207" s="712"/>
      <c r="K207" s="849"/>
      <c r="L207" s="872"/>
    </row>
    <row r="208" spans="2:12">
      <c r="B208" s="710"/>
      <c r="C208" s="711"/>
      <c r="D208" s="849"/>
      <c r="E208" s="860"/>
      <c r="F208" s="712"/>
      <c r="G208" s="711"/>
      <c r="H208" s="867"/>
      <c r="I208" s="855"/>
      <c r="J208" s="712"/>
      <c r="K208" s="849"/>
      <c r="L208" s="872"/>
    </row>
    <row r="209" spans="2:12">
      <c r="B209" s="710"/>
      <c r="C209" s="711"/>
      <c r="D209" s="849"/>
      <c r="E209" s="860"/>
      <c r="F209" s="712"/>
      <c r="G209" s="711"/>
      <c r="H209" s="867"/>
      <c r="I209" s="855"/>
      <c r="J209" s="712"/>
      <c r="K209" s="849"/>
      <c r="L209" s="872"/>
    </row>
    <row r="210" spans="2:12">
      <c r="B210" s="710"/>
      <c r="C210" s="711"/>
      <c r="D210" s="849"/>
      <c r="E210" s="860"/>
      <c r="F210" s="712"/>
      <c r="G210" s="711"/>
      <c r="H210" s="867"/>
      <c r="I210" s="855"/>
      <c r="J210" s="712"/>
      <c r="K210" s="849"/>
      <c r="L210" s="872"/>
    </row>
    <row r="211" spans="2:12">
      <c r="B211" s="710"/>
      <c r="C211" s="711"/>
      <c r="D211" s="849"/>
      <c r="E211" s="860"/>
      <c r="F211" s="712"/>
      <c r="G211" s="711"/>
      <c r="H211" s="867"/>
      <c r="I211" s="855"/>
      <c r="J211" s="712"/>
      <c r="K211" s="849"/>
      <c r="L211" s="872"/>
    </row>
    <row r="212" spans="2:12">
      <c r="B212" s="710"/>
      <c r="C212" s="711"/>
      <c r="D212" s="849"/>
      <c r="E212" s="860"/>
      <c r="F212" s="712"/>
      <c r="G212" s="711"/>
      <c r="H212" s="867"/>
      <c r="I212" s="855"/>
      <c r="J212" s="712"/>
      <c r="K212" s="849"/>
      <c r="L212" s="872"/>
    </row>
    <row r="213" spans="2:12">
      <c r="B213" s="710"/>
      <c r="C213" s="711"/>
      <c r="D213" s="849"/>
      <c r="E213" s="860"/>
      <c r="F213" s="712"/>
      <c r="G213" s="711"/>
      <c r="H213" s="867"/>
      <c r="I213" s="855"/>
      <c r="J213" s="712"/>
      <c r="K213" s="849"/>
      <c r="L213" s="872"/>
    </row>
    <row r="214" spans="2:12">
      <c r="B214" s="710"/>
      <c r="C214" s="711"/>
      <c r="D214" s="849"/>
      <c r="E214" s="860"/>
      <c r="F214" s="712"/>
      <c r="G214" s="711"/>
      <c r="H214" s="867"/>
      <c r="I214" s="855"/>
      <c r="J214" s="712"/>
      <c r="K214" s="849"/>
      <c r="L214" s="872"/>
    </row>
    <row r="215" spans="2:12">
      <c r="B215" s="710"/>
      <c r="C215" s="711"/>
      <c r="D215" s="849"/>
      <c r="E215" s="860"/>
      <c r="F215" s="712"/>
      <c r="G215" s="711"/>
      <c r="H215" s="867"/>
      <c r="I215" s="855"/>
      <c r="J215" s="712"/>
      <c r="K215" s="849"/>
      <c r="L215" s="872"/>
    </row>
    <row r="216" spans="2:12">
      <c r="B216" s="710"/>
      <c r="C216" s="711"/>
      <c r="D216" s="849"/>
      <c r="E216" s="860"/>
      <c r="F216" s="712"/>
      <c r="G216" s="711"/>
      <c r="H216" s="867"/>
      <c r="I216" s="855"/>
      <c r="J216" s="712"/>
      <c r="K216" s="849"/>
      <c r="L216" s="872"/>
    </row>
    <row r="217" spans="2:12">
      <c r="B217" s="710"/>
      <c r="C217" s="711"/>
      <c r="D217" s="849"/>
      <c r="E217" s="860"/>
      <c r="F217" s="712"/>
      <c r="G217" s="711"/>
      <c r="H217" s="867"/>
      <c r="I217" s="855"/>
      <c r="J217" s="712"/>
      <c r="K217" s="849"/>
      <c r="L217" s="872"/>
    </row>
    <row r="218" spans="2:12">
      <c r="B218" s="710"/>
      <c r="C218" s="711"/>
      <c r="D218" s="849"/>
      <c r="E218" s="860"/>
      <c r="F218" s="712"/>
      <c r="G218" s="711"/>
      <c r="H218" s="867"/>
      <c r="I218" s="855"/>
      <c r="J218" s="712"/>
      <c r="K218" s="849"/>
      <c r="L218" s="872"/>
    </row>
    <row r="219" spans="2:12">
      <c r="B219" s="710"/>
      <c r="C219" s="711"/>
      <c r="D219" s="849"/>
      <c r="E219" s="860"/>
      <c r="F219" s="712"/>
      <c r="G219" s="711"/>
      <c r="H219" s="867"/>
      <c r="I219" s="855"/>
      <c r="J219" s="712"/>
      <c r="K219" s="849"/>
      <c r="L219" s="872"/>
    </row>
    <row r="220" spans="2:12">
      <c r="B220" s="710"/>
      <c r="C220" s="711"/>
      <c r="D220" s="849"/>
      <c r="E220" s="860"/>
      <c r="F220" s="712"/>
      <c r="G220" s="711"/>
      <c r="H220" s="867"/>
      <c r="I220" s="855"/>
      <c r="J220" s="712"/>
      <c r="K220" s="849"/>
      <c r="L220" s="872"/>
    </row>
    <row r="221" spans="2:12">
      <c r="B221" s="710"/>
      <c r="C221" s="711"/>
      <c r="D221" s="849"/>
      <c r="E221" s="860"/>
      <c r="F221" s="712"/>
      <c r="G221" s="711"/>
      <c r="H221" s="867"/>
      <c r="I221" s="855"/>
      <c r="J221" s="712"/>
      <c r="K221" s="849"/>
      <c r="L221" s="872"/>
    </row>
    <row r="222" spans="2:12">
      <c r="B222" s="710"/>
      <c r="C222" s="711"/>
      <c r="D222" s="849"/>
      <c r="E222" s="860"/>
      <c r="F222" s="712"/>
      <c r="G222" s="711"/>
      <c r="H222" s="867"/>
      <c r="I222" s="855"/>
      <c r="J222" s="712"/>
      <c r="K222" s="849"/>
      <c r="L222" s="872"/>
    </row>
    <row r="223" spans="2:12">
      <c r="B223" s="710"/>
      <c r="C223" s="711"/>
      <c r="D223" s="849"/>
      <c r="E223" s="860"/>
      <c r="F223" s="712"/>
      <c r="G223" s="711"/>
      <c r="H223" s="867"/>
      <c r="I223" s="855"/>
      <c r="J223" s="712"/>
      <c r="K223" s="849"/>
      <c r="L223" s="872"/>
    </row>
    <row r="224" spans="2:12">
      <c r="B224" s="710"/>
      <c r="C224" s="711"/>
      <c r="D224" s="849"/>
      <c r="E224" s="860"/>
      <c r="F224" s="712"/>
      <c r="G224" s="711"/>
      <c r="H224" s="867"/>
      <c r="I224" s="855"/>
      <c r="J224" s="712"/>
      <c r="K224" s="849"/>
      <c r="L224" s="872"/>
    </row>
    <row r="225" spans="2:12">
      <c r="B225" s="710"/>
      <c r="C225" s="711"/>
      <c r="D225" s="849"/>
      <c r="E225" s="860"/>
      <c r="F225" s="712"/>
      <c r="G225" s="711"/>
      <c r="H225" s="867"/>
      <c r="I225" s="855"/>
      <c r="J225" s="712"/>
      <c r="K225" s="849"/>
      <c r="L225" s="872"/>
    </row>
    <row r="226" spans="2:12">
      <c r="B226" s="710"/>
      <c r="C226" s="711"/>
      <c r="D226" s="849"/>
      <c r="E226" s="860"/>
      <c r="F226" s="712"/>
      <c r="G226" s="711"/>
      <c r="H226" s="867"/>
      <c r="I226" s="855"/>
      <c r="J226" s="712"/>
      <c r="K226" s="849"/>
      <c r="L226" s="872"/>
    </row>
    <row r="227" spans="2:12">
      <c r="B227" s="710"/>
      <c r="C227" s="711"/>
      <c r="D227" s="849"/>
      <c r="E227" s="860"/>
      <c r="F227" s="712"/>
      <c r="G227" s="711"/>
      <c r="H227" s="867"/>
      <c r="I227" s="855"/>
      <c r="J227" s="712"/>
      <c r="K227" s="849"/>
      <c r="L227" s="872"/>
    </row>
    <row r="228" spans="2:12">
      <c r="B228" s="710"/>
      <c r="C228" s="711"/>
      <c r="D228" s="849"/>
      <c r="E228" s="860"/>
      <c r="F228" s="712"/>
      <c r="G228" s="711"/>
      <c r="H228" s="867"/>
      <c r="I228" s="855"/>
      <c r="J228" s="712"/>
      <c r="K228" s="849"/>
      <c r="L228" s="872"/>
    </row>
    <row r="229" spans="2:12">
      <c r="B229" s="710"/>
      <c r="C229" s="711"/>
      <c r="D229" s="849"/>
      <c r="E229" s="860"/>
      <c r="F229" s="712"/>
      <c r="G229" s="711"/>
      <c r="H229" s="867"/>
      <c r="I229" s="855"/>
      <c r="J229" s="712"/>
      <c r="K229" s="849"/>
      <c r="L229" s="872"/>
    </row>
    <row r="230" spans="2:12">
      <c r="B230" s="710"/>
      <c r="C230" s="711"/>
      <c r="D230" s="849"/>
      <c r="E230" s="860"/>
      <c r="F230" s="712"/>
      <c r="G230" s="711"/>
      <c r="H230" s="867"/>
      <c r="I230" s="855"/>
      <c r="J230" s="712"/>
      <c r="K230" s="849"/>
      <c r="L230" s="872"/>
    </row>
    <row r="231" spans="2:12">
      <c r="B231" s="710"/>
      <c r="C231" s="711"/>
      <c r="D231" s="849"/>
      <c r="E231" s="860"/>
      <c r="F231" s="712"/>
      <c r="G231" s="711"/>
      <c r="H231" s="867"/>
      <c r="I231" s="855"/>
      <c r="J231" s="712"/>
      <c r="K231" s="849"/>
      <c r="L231" s="872"/>
    </row>
    <row r="232" spans="2:12">
      <c r="B232" s="710"/>
      <c r="C232" s="711"/>
      <c r="D232" s="849"/>
      <c r="E232" s="860"/>
      <c r="F232" s="712"/>
      <c r="G232" s="711"/>
      <c r="H232" s="867"/>
      <c r="I232" s="855"/>
      <c r="J232" s="712"/>
      <c r="K232" s="849"/>
      <c r="L232" s="872"/>
    </row>
    <row r="233" spans="2:12">
      <c r="B233" s="710"/>
      <c r="C233" s="711"/>
      <c r="D233" s="849"/>
      <c r="E233" s="860"/>
      <c r="F233" s="712"/>
      <c r="G233" s="711"/>
      <c r="H233" s="867"/>
      <c r="I233" s="855"/>
      <c r="J233" s="712"/>
      <c r="K233" s="849"/>
      <c r="L233" s="872"/>
    </row>
    <row r="234" spans="2:12">
      <c r="B234" s="710"/>
      <c r="C234" s="711"/>
      <c r="D234" s="849"/>
      <c r="E234" s="860"/>
      <c r="F234" s="712"/>
      <c r="G234" s="711"/>
      <c r="H234" s="867"/>
      <c r="I234" s="855"/>
      <c r="J234" s="712"/>
      <c r="K234" s="849"/>
      <c r="L234" s="872"/>
    </row>
    <row r="235" spans="2:12">
      <c r="B235" s="710"/>
      <c r="C235" s="711"/>
      <c r="D235" s="849"/>
      <c r="E235" s="860"/>
      <c r="F235" s="712"/>
      <c r="G235" s="711"/>
      <c r="H235" s="867"/>
      <c r="I235" s="855"/>
      <c r="J235" s="712"/>
      <c r="K235" s="849"/>
      <c r="L235" s="872"/>
    </row>
    <row r="236" spans="2:12">
      <c r="B236" s="710"/>
      <c r="C236" s="711"/>
      <c r="D236" s="849"/>
      <c r="E236" s="860"/>
      <c r="F236" s="712"/>
      <c r="G236" s="711"/>
      <c r="H236" s="867"/>
      <c r="I236" s="855"/>
      <c r="J236" s="712"/>
      <c r="K236" s="849"/>
      <c r="L236" s="872"/>
    </row>
    <row r="237" spans="2:12">
      <c r="B237" s="710"/>
      <c r="C237" s="711"/>
      <c r="D237" s="849"/>
      <c r="E237" s="860"/>
      <c r="F237" s="712"/>
      <c r="G237" s="711"/>
      <c r="H237" s="867"/>
      <c r="I237" s="855"/>
      <c r="J237" s="712"/>
      <c r="K237" s="849"/>
      <c r="L237" s="872"/>
    </row>
    <row r="238" spans="2:12">
      <c r="B238" s="710"/>
      <c r="C238" s="711"/>
      <c r="D238" s="849"/>
      <c r="E238" s="860"/>
      <c r="F238" s="712"/>
      <c r="G238" s="711"/>
      <c r="H238" s="867"/>
      <c r="I238" s="855"/>
      <c r="J238" s="712"/>
      <c r="K238" s="849"/>
      <c r="L238" s="872"/>
    </row>
    <row r="239" spans="2:12">
      <c r="B239" s="710"/>
      <c r="C239" s="711"/>
      <c r="D239" s="849"/>
      <c r="E239" s="860"/>
      <c r="F239" s="712"/>
      <c r="G239" s="711"/>
      <c r="H239" s="867"/>
      <c r="I239" s="855"/>
      <c r="J239" s="712"/>
      <c r="K239" s="849"/>
      <c r="L239" s="872"/>
    </row>
    <row r="240" spans="2:12">
      <c r="B240" s="710"/>
      <c r="C240" s="711"/>
      <c r="D240" s="849"/>
      <c r="E240" s="860"/>
      <c r="F240" s="712"/>
      <c r="G240" s="711"/>
      <c r="H240" s="867"/>
      <c r="I240" s="855"/>
      <c r="J240" s="712"/>
      <c r="K240" s="849"/>
      <c r="L240" s="872"/>
    </row>
    <row r="241" spans="2:12">
      <c r="B241" s="710"/>
      <c r="C241" s="711"/>
      <c r="D241" s="849"/>
      <c r="E241" s="860"/>
      <c r="F241" s="712"/>
      <c r="G241" s="711"/>
      <c r="H241" s="867"/>
      <c r="I241" s="855"/>
      <c r="J241" s="712"/>
      <c r="K241" s="849"/>
      <c r="L241" s="872"/>
    </row>
    <row r="242" spans="2:12">
      <c r="B242" s="710"/>
      <c r="C242" s="711"/>
      <c r="D242" s="849"/>
      <c r="E242" s="860"/>
      <c r="F242" s="712"/>
      <c r="G242" s="711"/>
      <c r="H242" s="867"/>
      <c r="I242" s="855"/>
      <c r="J242" s="712"/>
      <c r="K242" s="849"/>
      <c r="L242" s="872"/>
    </row>
    <row r="243" spans="2:12">
      <c r="B243" s="710"/>
      <c r="C243" s="711"/>
      <c r="D243" s="849"/>
      <c r="E243" s="860"/>
      <c r="F243" s="712"/>
      <c r="G243" s="711"/>
      <c r="H243" s="867"/>
      <c r="I243" s="855"/>
      <c r="J243" s="712"/>
      <c r="K243" s="849"/>
      <c r="L243" s="872"/>
    </row>
    <row r="244" spans="2:12">
      <c r="B244" s="710"/>
      <c r="C244" s="711"/>
      <c r="D244" s="849"/>
      <c r="E244" s="860"/>
      <c r="F244" s="712"/>
      <c r="G244" s="711"/>
      <c r="H244" s="867"/>
      <c r="I244" s="855"/>
      <c r="J244" s="712"/>
      <c r="K244" s="849"/>
      <c r="L244" s="872"/>
    </row>
    <row r="245" spans="2:12">
      <c r="B245" s="710"/>
      <c r="C245" s="711"/>
      <c r="D245" s="849"/>
      <c r="E245" s="860"/>
      <c r="F245" s="712"/>
      <c r="G245" s="711"/>
      <c r="H245" s="867"/>
      <c r="I245" s="855"/>
      <c r="J245" s="712"/>
      <c r="K245" s="849"/>
      <c r="L245" s="872"/>
    </row>
    <row r="246" spans="2:12">
      <c r="B246" s="710"/>
      <c r="C246" s="711"/>
      <c r="D246" s="849"/>
      <c r="E246" s="860"/>
      <c r="F246" s="712"/>
      <c r="G246" s="711"/>
      <c r="H246" s="867"/>
      <c r="I246" s="855"/>
      <c r="J246" s="712"/>
      <c r="K246" s="849"/>
      <c r="L246" s="872"/>
    </row>
    <row r="247" spans="2:12">
      <c r="B247" s="710"/>
      <c r="C247" s="711"/>
      <c r="D247" s="849"/>
      <c r="E247" s="860"/>
      <c r="F247" s="712"/>
      <c r="G247" s="711"/>
      <c r="H247" s="867"/>
      <c r="I247" s="855"/>
      <c r="J247" s="712"/>
      <c r="K247" s="849"/>
      <c r="L247" s="872"/>
    </row>
    <row r="248" spans="2:12">
      <c r="B248" s="710"/>
      <c r="C248" s="711"/>
      <c r="D248" s="849"/>
      <c r="E248" s="860"/>
      <c r="F248" s="712"/>
      <c r="G248" s="711"/>
      <c r="H248" s="867"/>
      <c r="I248" s="855"/>
      <c r="J248" s="712"/>
      <c r="K248" s="849"/>
      <c r="L248" s="872"/>
    </row>
    <row r="249" spans="2:12">
      <c r="B249" s="710"/>
      <c r="C249" s="711"/>
      <c r="D249" s="849"/>
      <c r="E249" s="860"/>
      <c r="F249" s="712"/>
      <c r="G249" s="711"/>
      <c r="H249" s="867"/>
      <c r="I249" s="855"/>
      <c r="J249" s="712"/>
      <c r="K249" s="849"/>
      <c r="L249" s="872"/>
    </row>
    <row r="250" spans="2:12">
      <c r="B250" s="710"/>
      <c r="C250" s="711"/>
      <c r="D250" s="849"/>
      <c r="E250" s="860"/>
      <c r="F250" s="712"/>
      <c r="G250" s="711"/>
      <c r="H250" s="867"/>
      <c r="I250" s="855"/>
      <c r="J250" s="712"/>
      <c r="K250" s="849"/>
      <c r="L250" s="872"/>
    </row>
    <row r="251" spans="2:12">
      <c r="B251" s="710"/>
      <c r="C251" s="711"/>
      <c r="D251" s="849"/>
      <c r="E251" s="860"/>
      <c r="F251" s="712"/>
      <c r="G251" s="711"/>
      <c r="H251" s="867"/>
      <c r="I251" s="855"/>
      <c r="J251" s="712"/>
      <c r="K251" s="849"/>
      <c r="L251" s="872"/>
    </row>
    <row r="252" spans="2:12">
      <c r="B252" s="710"/>
      <c r="C252" s="711"/>
      <c r="D252" s="849"/>
      <c r="E252" s="860"/>
      <c r="F252" s="712"/>
      <c r="G252" s="711"/>
      <c r="H252" s="867"/>
      <c r="I252" s="855"/>
      <c r="J252" s="712"/>
      <c r="K252" s="849"/>
      <c r="L252" s="872"/>
    </row>
    <row r="253" spans="2:12">
      <c r="B253" s="710"/>
      <c r="C253" s="711"/>
      <c r="D253" s="849"/>
      <c r="E253" s="860"/>
      <c r="F253" s="712"/>
      <c r="G253" s="711"/>
      <c r="H253" s="867"/>
      <c r="I253" s="855"/>
      <c r="J253" s="712"/>
      <c r="K253" s="849"/>
      <c r="L253" s="872"/>
    </row>
    <row r="254" spans="2:12">
      <c r="B254" s="710"/>
      <c r="C254" s="711"/>
      <c r="D254" s="849"/>
      <c r="E254" s="860"/>
      <c r="F254" s="712"/>
      <c r="G254" s="711"/>
      <c r="H254" s="867"/>
      <c r="I254" s="855"/>
      <c r="J254" s="712"/>
      <c r="K254" s="849"/>
      <c r="L254" s="872"/>
    </row>
    <row r="255" spans="2:12">
      <c r="B255" s="710"/>
      <c r="C255" s="711"/>
      <c r="D255" s="849"/>
      <c r="E255" s="860"/>
      <c r="F255" s="712"/>
      <c r="G255" s="711"/>
      <c r="H255" s="867"/>
      <c r="I255" s="855"/>
      <c r="J255" s="712"/>
      <c r="K255" s="849"/>
      <c r="L255" s="872"/>
    </row>
    <row r="256" spans="2:12">
      <c r="B256" s="710"/>
      <c r="C256" s="711"/>
      <c r="D256" s="849"/>
      <c r="E256" s="860"/>
      <c r="F256" s="712"/>
      <c r="G256" s="711"/>
      <c r="H256" s="867"/>
      <c r="I256" s="855"/>
      <c r="J256" s="712"/>
      <c r="K256" s="849"/>
      <c r="L256" s="872"/>
    </row>
    <row r="257" spans="2:12">
      <c r="B257" s="710"/>
      <c r="C257" s="711"/>
      <c r="D257" s="849"/>
      <c r="E257" s="860"/>
      <c r="F257" s="712"/>
      <c r="G257" s="711"/>
      <c r="H257" s="867"/>
      <c r="I257" s="855"/>
      <c r="J257" s="712"/>
      <c r="K257" s="849"/>
      <c r="L257" s="872"/>
    </row>
    <row r="258" spans="2:12">
      <c r="B258" s="710"/>
      <c r="C258" s="711"/>
      <c r="D258" s="849"/>
      <c r="E258" s="860"/>
      <c r="F258" s="712"/>
      <c r="G258" s="711"/>
      <c r="H258" s="867"/>
      <c r="I258" s="855"/>
      <c r="J258" s="712"/>
      <c r="K258" s="849"/>
      <c r="L258" s="872"/>
    </row>
    <row r="259" spans="2:12">
      <c r="B259" s="710"/>
      <c r="C259" s="711"/>
      <c r="D259" s="849"/>
      <c r="E259" s="860"/>
      <c r="F259" s="712"/>
      <c r="G259" s="711"/>
      <c r="H259" s="867"/>
      <c r="I259" s="855"/>
      <c r="J259" s="712"/>
      <c r="K259" s="849"/>
      <c r="L259" s="872"/>
    </row>
    <row r="260" spans="2:12">
      <c r="B260" s="710"/>
      <c r="C260" s="711"/>
      <c r="D260" s="849"/>
      <c r="E260" s="860"/>
      <c r="F260" s="712"/>
      <c r="G260" s="711"/>
      <c r="H260" s="867"/>
      <c r="I260" s="855"/>
      <c r="J260" s="712"/>
      <c r="K260" s="849"/>
      <c r="L260" s="872"/>
    </row>
    <row r="261" spans="2:12">
      <c r="B261" s="710"/>
      <c r="C261" s="711"/>
      <c r="D261" s="849"/>
      <c r="E261" s="860"/>
      <c r="F261" s="712"/>
      <c r="G261" s="711"/>
      <c r="H261" s="867"/>
      <c r="I261" s="855"/>
      <c r="J261" s="712"/>
      <c r="K261" s="849"/>
      <c r="L261" s="872"/>
    </row>
    <row r="262" spans="2:12">
      <c r="B262" s="710"/>
      <c r="C262" s="711"/>
      <c r="D262" s="849"/>
      <c r="E262" s="860"/>
      <c r="F262" s="712"/>
      <c r="G262" s="711"/>
      <c r="H262" s="867"/>
      <c r="I262" s="855"/>
      <c r="J262" s="712"/>
      <c r="K262" s="849"/>
      <c r="L262" s="872"/>
    </row>
    <row r="263" spans="2:12">
      <c r="B263" s="710"/>
      <c r="C263" s="711"/>
      <c r="D263" s="849"/>
      <c r="E263" s="860"/>
      <c r="F263" s="712"/>
      <c r="G263" s="711"/>
      <c r="H263" s="867"/>
      <c r="I263" s="855"/>
      <c r="J263" s="712"/>
      <c r="K263" s="849"/>
      <c r="L263" s="872"/>
    </row>
    <row r="264" spans="2:12">
      <c r="B264" s="710"/>
      <c r="C264" s="711"/>
      <c r="D264" s="849"/>
      <c r="E264" s="860"/>
      <c r="F264" s="712"/>
      <c r="G264" s="711"/>
      <c r="H264" s="867"/>
      <c r="I264" s="855"/>
      <c r="J264" s="712"/>
      <c r="K264" s="849"/>
      <c r="L264" s="872"/>
    </row>
    <row r="265" spans="2:12">
      <c r="B265" s="710"/>
      <c r="C265" s="711"/>
      <c r="D265" s="849"/>
      <c r="E265" s="860"/>
      <c r="F265" s="712"/>
      <c r="G265" s="711"/>
      <c r="H265" s="867"/>
      <c r="I265" s="855"/>
      <c r="J265" s="712"/>
      <c r="K265" s="849"/>
      <c r="L265" s="872"/>
    </row>
    <row r="266" spans="2:12">
      <c r="B266" s="710"/>
      <c r="C266" s="711"/>
      <c r="D266" s="849"/>
      <c r="E266" s="860"/>
      <c r="F266" s="712"/>
      <c r="G266" s="711"/>
      <c r="H266" s="867"/>
      <c r="I266" s="855"/>
      <c r="J266" s="712"/>
      <c r="K266" s="849"/>
      <c r="L266" s="872"/>
    </row>
    <row r="267" spans="2:12">
      <c r="B267" s="710"/>
      <c r="C267" s="711"/>
      <c r="D267" s="849"/>
      <c r="E267" s="860"/>
      <c r="F267" s="712"/>
      <c r="G267" s="711"/>
      <c r="H267" s="867"/>
      <c r="I267" s="855"/>
      <c r="J267" s="712"/>
      <c r="K267" s="849"/>
      <c r="L267" s="872"/>
    </row>
    <row r="268" spans="2:12">
      <c r="B268" s="710"/>
      <c r="C268" s="711"/>
      <c r="D268" s="849"/>
      <c r="E268" s="860"/>
      <c r="F268" s="712"/>
      <c r="G268" s="711"/>
      <c r="H268" s="867"/>
      <c r="I268" s="855"/>
      <c r="J268" s="712"/>
      <c r="K268" s="849"/>
      <c r="L268" s="872"/>
    </row>
    <row r="269" spans="2:12">
      <c r="B269" s="710"/>
      <c r="C269" s="711"/>
      <c r="D269" s="849"/>
      <c r="E269" s="860"/>
      <c r="F269" s="712"/>
      <c r="G269" s="711"/>
      <c r="H269" s="867"/>
      <c r="I269" s="855"/>
      <c r="J269" s="712"/>
      <c r="K269" s="849"/>
      <c r="L269" s="872"/>
    </row>
    <row r="270" spans="2:12">
      <c r="B270" s="710"/>
      <c r="C270" s="711"/>
      <c r="D270" s="849"/>
      <c r="E270" s="860"/>
      <c r="F270" s="712"/>
      <c r="G270" s="711"/>
      <c r="H270" s="867"/>
      <c r="I270" s="855"/>
      <c r="J270" s="712"/>
      <c r="K270" s="849"/>
      <c r="L270" s="872"/>
    </row>
    <row r="271" spans="2:12">
      <c r="B271" s="710"/>
      <c r="C271" s="711"/>
      <c r="D271" s="849"/>
      <c r="E271" s="860"/>
      <c r="F271" s="712"/>
      <c r="G271" s="711"/>
      <c r="H271" s="867"/>
      <c r="I271" s="855"/>
      <c r="J271" s="712"/>
      <c r="K271" s="849"/>
      <c r="L271" s="872"/>
    </row>
    <row r="272" spans="2:12">
      <c r="B272" s="710"/>
      <c r="C272" s="711"/>
      <c r="D272" s="849"/>
      <c r="E272" s="860"/>
      <c r="F272" s="712"/>
      <c r="G272" s="711"/>
      <c r="H272" s="867"/>
      <c r="I272" s="855"/>
      <c r="J272" s="712"/>
      <c r="K272" s="849"/>
      <c r="L272" s="872"/>
    </row>
    <row r="273" spans="2:12">
      <c r="B273" s="710"/>
      <c r="C273" s="711"/>
      <c r="D273" s="849"/>
      <c r="E273" s="860"/>
      <c r="F273" s="712"/>
      <c r="G273" s="711"/>
      <c r="H273" s="867"/>
      <c r="I273" s="855"/>
      <c r="J273" s="712"/>
      <c r="K273" s="849"/>
      <c r="L273" s="872"/>
    </row>
    <row r="274" spans="2:12">
      <c r="B274" s="710"/>
      <c r="C274" s="711"/>
      <c r="D274" s="849"/>
      <c r="E274" s="860"/>
      <c r="F274" s="712"/>
      <c r="G274" s="711"/>
      <c r="H274" s="867"/>
      <c r="I274" s="855"/>
      <c r="J274" s="712"/>
      <c r="K274" s="849"/>
      <c r="L274" s="872"/>
    </row>
    <row r="275" spans="2:12">
      <c r="B275" s="710"/>
      <c r="C275" s="711"/>
      <c r="D275" s="849"/>
      <c r="E275" s="860"/>
      <c r="F275" s="712"/>
      <c r="G275" s="711"/>
      <c r="H275" s="867"/>
      <c r="I275" s="855"/>
      <c r="J275" s="712"/>
      <c r="K275" s="849"/>
      <c r="L275" s="872"/>
    </row>
    <row r="276" spans="2:12">
      <c r="B276" s="710"/>
      <c r="C276" s="711"/>
      <c r="D276" s="849"/>
      <c r="E276" s="860"/>
      <c r="F276" s="712"/>
      <c r="G276" s="711"/>
      <c r="H276" s="867"/>
      <c r="I276" s="855"/>
      <c r="J276" s="712"/>
      <c r="K276" s="849"/>
      <c r="L276" s="872"/>
    </row>
    <row r="277" spans="2:12">
      <c r="B277" s="710"/>
      <c r="C277" s="711"/>
      <c r="D277" s="849"/>
      <c r="E277" s="860"/>
      <c r="F277" s="712"/>
      <c r="G277" s="711"/>
      <c r="H277" s="867"/>
      <c r="I277" s="855"/>
      <c r="J277" s="712"/>
      <c r="K277" s="849"/>
      <c r="L277" s="872"/>
    </row>
    <row r="278" spans="2:12">
      <c r="B278" s="710"/>
      <c r="C278" s="711"/>
      <c r="D278" s="849"/>
      <c r="E278" s="860"/>
      <c r="F278" s="712"/>
      <c r="G278" s="711"/>
      <c r="H278" s="867"/>
      <c r="I278" s="855"/>
      <c r="J278" s="712"/>
      <c r="K278" s="849"/>
      <c r="L278" s="872"/>
    </row>
    <row r="279" spans="2:12">
      <c r="B279" s="710"/>
      <c r="C279" s="711"/>
      <c r="D279" s="849"/>
      <c r="E279" s="860"/>
      <c r="F279" s="712"/>
      <c r="G279" s="711"/>
      <c r="H279" s="867"/>
      <c r="I279" s="855"/>
      <c r="J279" s="712"/>
      <c r="K279" s="849"/>
      <c r="L279" s="872"/>
    </row>
    <row r="280" spans="2:12">
      <c r="B280" s="710"/>
      <c r="C280" s="711"/>
      <c r="D280" s="849"/>
      <c r="E280" s="860"/>
      <c r="F280" s="712"/>
      <c r="G280" s="711"/>
      <c r="H280" s="867"/>
      <c r="I280" s="855"/>
      <c r="J280" s="712"/>
      <c r="K280" s="849"/>
      <c r="L280" s="872"/>
    </row>
    <row r="281" spans="2:12">
      <c r="B281" s="710"/>
      <c r="C281" s="711"/>
      <c r="D281" s="849"/>
      <c r="E281" s="860"/>
      <c r="F281" s="712"/>
      <c r="G281" s="711"/>
      <c r="H281" s="867"/>
      <c r="I281" s="855"/>
      <c r="J281" s="712"/>
      <c r="K281" s="849"/>
      <c r="L281" s="872"/>
    </row>
    <row r="282" spans="2:12">
      <c r="B282" s="710"/>
      <c r="C282" s="711"/>
      <c r="D282" s="849"/>
      <c r="E282" s="860"/>
      <c r="F282" s="712"/>
      <c r="G282" s="711"/>
      <c r="H282" s="867"/>
      <c r="I282" s="855"/>
      <c r="J282" s="712"/>
      <c r="K282" s="849"/>
      <c r="L282" s="872"/>
    </row>
    <row r="283" spans="2:12">
      <c r="B283" s="710"/>
      <c r="C283" s="711"/>
      <c r="D283" s="849"/>
      <c r="E283" s="860"/>
      <c r="F283" s="712"/>
      <c r="G283" s="711"/>
      <c r="H283" s="867"/>
      <c r="I283" s="855"/>
      <c r="J283" s="712"/>
      <c r="K283" s="849"/>
      <c r="L283" s="872"/>
    </row>
    <row r="284" spans="2:12">
      <c r="B284" s="710"/>
      <c r="C284" s="711"/>
      <c r="D284" s="849"/>
      <c r="E284" s="860"/>
      <c r="F284" s="712"/>
      <c r="G284" s="711"/>
      <c r="H284" s="867"/>
      <c r="I284" s="855"/>
      <c r="J284" s="712"/>
      <c r="K284" s="849"/>
      <c r="L284" s="872"/>
    </row>
    <row r="285" spans="2:12">
      <c r="B285" s="710"/>
      <c r="C285" s="711"/>
      <c r="D285" s="849"/>
      <c r="E285" s="860"/>
      <c r="F285" s="712"/>
      <c r="G285" s="711"/>
      <c r="H285" s="867"/>
      <c r="I285" s="855"/>
      <c r="J285" s="712"/>
      <c r="K285" s="849"/>
      <c r="L285" s="872"/>
    </row>
    <row r="286" spans="2:12">
      <c r="B286" s="710"/>
      <c r="C286" s="711"/>
      <c r="D286" s="849"/>
      <c r="E286" s="860"/>
      <c r="F286" s="712"/>
      <c r="G286" s="711"/>
      <c r="H286" s="867"/>
      <c r="I286" s="855"/>
      <c r="J286" s="712"/>
      <c r="K286" s="849"/>
      <c r="L286" s="872"/>
    </row>
    <row r="287" spans="2:12">
      <c r="B287" s="710"/>
      <c r="C287" s="711"/>
      <c r="D287" s="849"/>
      <c r="E287" s="860"/>
      <c r="F287" s="712"/>
      <c r="G287" s="711"/>
      <c r="H287" s="867"/>
      <c r="I287" s="855"/>
      <c r="J287" s="712"/>
      <c r="K287" s="849"/>
      <c r="L287" s="872"/>
    </row>
    <row r="288" spans="2:12">
      <c r="B288" s="710"/>
      <c r="C288" s="711"/>
      <c r="D288" s="849"/>
      <c r="E288" s="860"/>
      <c r="F288" s="712"/>
      <c r="G288" s="711"/>
      <c r="H288" s="867"/>
      <c r="I288" s="855"/>
      <c r="J288" s="712"/>
      <c r="K288" s="849"/>
      <c r="L288" s="872"/>
    </row>
    <row r="289" spans="2:12">
      <c r="B289" s="710"/>
      <c r="C289" s="711"/>
      <c r="D289" s="849"/>
      <c r="E289" s="860"/>
      <c r="F289" s="712"/>
      <c r="G289" s="711"/>
      <c r="H289" s="867"/>
      <c r="I289" s="855"/>
      <c r="J289" s="712"/>
      <c r="K289" s="849"/>
      <c r="L289" s="872"/>
    </row>
    <row r="290" spans="2:12">
      <c r="B290" s="710"/>
      <c r="C290" s="711"/>
      <c r="D290" s="849"/>
      <c r="E290" s="860"/>
      <c r="F290" s="712"/>
      <c r="G290" s="711"/>
      <c r="H290" s="867"/>
      <c r="I290" s="855"/>
      <c r="J290" s="712"/>
      <c r="K290" s="849"/>
      <c r="L290" s="872"/>
    </row>
    <row r="291" spans="2:12">
      <c r="B291" s="710"/>
      <c r="C291" s="711"/>
      <c r="D291" s="849"/>
      <c r="E291" s="860"/>
      <c r="F291" s="712"/>
      <c r="G291" s="711"/>
      <c r="H291" s="867"/>
      <c r="I291" s="855"/>
      <c r="J291" s="712"/>
      <c r="K291" s="849"/>
      <c r="L291" s="872"/>
    </row>
    <row r="292" spans="2:12">
      <c r="B292" s="710"/>
      <c r="C292" s="711"/>
      <c r="D292" s="849"/>
      <c r="E292" s="860"/>
      <c r="F292" s="712"/>
      <c r="G292" s="711"/>
      <c r="H292" s="867"/>
      <c r="I292" s="855"/>
      <c r="J292" s="712"/>
      <c r="K292" s="849"/>
      <c r="L292" s="872"/>
    </row>
    <row r="293" spans="2:12">
      <c r="B293" s="710"/>
      <c r="C293" s="711"/>
      <c r="D293" s="849"/>
      <c r="E293" s="860"/>
      <c r="F293" s="712"/>
      <c r="G293" s="711"/>
      <c r="H293" s="867"/>
      <c r="I293" s="855"/>
      <c r="J293" s="712"/>
      <c r="K293" s="849"/>
      <c r="L293" s="872"/>
    </row>
    <row r="294" spans="2:12">
      <c r="B294" s="710"/>
      <c r="C294" s="711"/>
      <c r="D294" s="849"/>
      <c r="E294" s="860"/>
      <c r="F294" s="712"/>
      <c r="G294" s="711"/>
      <c r="H294" s="867"/>
      <c r="I294" s="855"/>
      <c r="J294" s="712"/>
      <c r="K294" s="849"/>
      <c r="L294" s="872"/>
    </row>
    <row r="295" spans="2:12">
      <c r="B295" s="710"/>
      <c r="C295" s="711"/>
      <c r="D295" s="849"/>
      <c r="E295" s="860"/>
      <c r="F295" s="712"/>
      <c r="G295" s="711"/>
      <c r="H295" s="867"/>
      <c r="I295" s="855"/>
      <c r="J295" s="712"/>
      <c r="K295" s="849"/>
      <c r="L295" s="872"/>
    </row>
    <row r="296" spans="2:12">
      <c r="B296" s="710"/>
      <c r="C296" s="711"/>
      <c r="D296" s="849"/>
      <c r="E296" s="860"/>
      <c r="F296" s="712"/>
      <c r="G296" s="711"/>
      <c r="H296" s="867"/>
      <c r="I296" s="855"/>
      <c r="J296" s="712"/>
      <c r="K296" s="849"/>
      <c r="L296" s="872"/>
    </row>
    <row r="297" spans="2:12">
      <c r="B297" s="710"/>
      <c r="C297" s="711"/>
      <c r="D297" s="849"/>
      <c r="E297" s="860"/>
      <c r="F297" s="712"/>
      <c r="G297" s="711"/>
      <c r="H297" s="867"/>
      <c r="I297" s="855"/>
      <c r="J297" s="712"/>
      <c r="K297" s="849"/>
      <c r="L297" s="872"/>
    </row>
    <row r="298" spans="2:12">
      <c r="B298" s="710"/>
      <c r="C298" s="711"/>
      <c r="D298" s="849"/>
      <c r="E298" s="860"/>
      <c r="F298" s="712"/>
      <c r="G298" s="711"/>
      <c r="H298" s="867"/>
      <c r="I298" s="855"/>
      <c r="J298" s="712"/>
      <c r="K298" s="849"/>
      <c r="L298" s="872"/>
    </row>
    <row r="299" spans="2:12">
      <c r="B299" s="710"/>
      <c r="C299" s="711"/>
      <c r="D299" s="849"/>
      <c r="E299" s="860"/>
      <c r="F299" s="712"/>
      <c r="G299" s="711"/>
      <c r="H299" s="867"/>
      <c r="I299" s="855"/>
      <c r="J299" s="712"/>
      <c r="K299" s="849"/>
      <c r="L299" s="872"/>
    </row>
    <row r="300" spans="2:12">
      <c r="B300" s="710"/>
      <c r="C300" s="711"/>
      <c r="D300" s="849"/>
      <c r="E300" s="860"/>
      <c r="F300" s="712"/>
      <c r="G300" s="711"/>
      <c r="H300" s="867"/>
      <c r="I300" s="855"/>
      <c r="J300" s="712"/>
      <c r="K300" s="849"/>
      <c r="L300" s="872"/>
    </row>
    <row r="301" spans="2:12">
      <c r="B301" s="710"/>
      <c r="C301" s="711"/>
      <c r="D301" s="849"/>
      <c r="E301" s="860"/>
      <c r="F301" s="712"/>
      <c r="G301" s="711"/>
      <c r="H301" s="867"/>
      <c r="I301" s="855"/>
      <c r="J301" s="712"/>
      <c r="K301" s="849"/>
      <c r="L301" s="872"/>
    </row>
    <row r="302" spans="2:12" ht="17.25" thickBot="1">
      <c r="B302" s="716"/>
      <c r="C302" s="717"/>
      <c r="D302" s="851"/>
      <c r="E302" s="862"/>
      <c r="F302" s="718"/>
      <c r="G302" s="717"/>
      <c r="H302" s="869"/>
      <c r="I302" s="857"/>
      <c r="J302" s="718"/>
      <c r="K302" s="851"/>
      <c r="L302" s="874"/>
    </row>
  </sheetData>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27DF0-03E9-4F7A-A71B-F5877D1DE229}">
  <dimension ref="B1:U534"/>
  <sheetViews>
    <sheetView topLeftCell="A2" zoomScale="70" zoomScaleNormal="70" workbookViewId="0">
      <pane xSplit="5" ySplit="2" topLeftCell="F512" activePane="bottomRight" state="frozen"/>
      <selection activeCell="A2" sqref="A2"/>
      <selection pane="topRight" activeCell="F2" sqref="F2"/>
      <selection pane="bottomLeft" activeCell="A4" sqref="A4"/>
      <selection pane="bottomRight" activeCell="F532" sqref="F532"/>
    </sheetView>
  </sheetViews>
  <sheetFormatPr defaultColWidth="8.875" defaultRowHeight="22.5"/>
  <cols>
    <col min="1" max="1" width="8.875" style="722"/>
    <col min="2" max="2" width="11.75" style="722" bestFit="1" customWidth="1"/>
    <col min="3" max="3" width="5.5" style="722" bestFit="1" customWidth="1"/>
    <col min="4" max="4" width="38.125" style="722" customWidth="1"/>
    <col min="5" max="5" width="11.875" style="722" bestFit="1" customWidth="1"/>
    <col min="6" max="6" width="11.125" style="923" customWidth="1"/>
    <col min="7" max="7" width="10" style="924" customWidth="1"/>
    <col min="8" max="8" width="23.375" style="722" customWidth="1"/>
    <col min="9" max="9" width="42.125" style="924" customWidth="1"/>
    <col min="10" max="10" width="18.5" style="722" customWidth="1"/>
    <col min="11" max="11" width="23.125" style="722" customWidth="1"/>
    <col min="12" max="12" width="18.25" style="722" customWidth="1"/>
    <col min="13" max="20" width="26.25" style="722" customWidth="1"/>
    <col min="21" max="16384" width="8.875" style="722"/>
  </cols>
  <sheetData>
    <row r="1" spans="2:21" hidden="1">
      <c r="F1" s="722"/>
      <c r="G1" s="722"/>
      <c r="I1" s="722"/>
      <c r="M1" s="722">
        <v>1</v>
      </c>
      <c r="N1" s="722">
        <v>2</v>
      </c>
      <c r="O1" s="722">
        <v>3</v>
      </c>
      <c r="P1" s="722">
        <v>4</v>
      </c>
      <c r="Q1" s="722">
        <v>5</v>
      </c>
      <c r="R1" s="722">
        <v>6</v>
      </c>
      <c r="S1" s="722">
        <v>7</v>
      </c>
      <c r="T1" s="722">
        <v>8</v>
      </c>
    </row>
    <row r="2" spans="2:21" ht="23.25" thickBot="1">
      <c r="F2" s="722"/>
      <c r="G2" s="722"/>
      <c r="I2" s="722"/>
    </row>
    <row r="3" spans="2:21" ht="24" thickTop="1" thickBot="1">
      <c r="B3" s="910" t="s">
        <v>3063</v>
      </c>
      <c r="C3" s="736" t="s">
        <v>3037</v>
      </c>
      <c r="D3" s="736" t="s">
        <v>3038</v>
      </c>
      <c r="E3" s="736" t="s">
        <v>3039</v>
      </c>
      <c r="F3" s="737" t="s">
        <v>3040</v>
      </c>
      <c r="G3" s="736" t="s">
        <v>3041</v>
      </c>
      <c r="H3" s="736" t="s">
        <v>3042</v>
      </c>
      <c r="I3" s="736" t="s">
        <v>3043</v>
      </c>
      <c r="J3" s="736" t="s">
        <v>3044</v>
      </c>
      <c r="K3" s="736" t="s">
        <v>3045</v>
      </c>
      <c r="L3" s="736" t="s">
        <v>3046</v>
      </c>
      <c r="M3" s="736" t="s">
        <v>3047</v>
      </c>
      <c r="N3" s="736" t="s">
        <v>3048</v>
      </c>
      <c r="O3" s="736" t="s">
        <v>3049</v>
      </c>
      <c r="P3" s="736" t="s">
        <v>3050</v>
      </c>
      <c r="Q3" s="736" t="s">
        <v>3051</v>
      </c>
      <c r="R3" s="736" t="s">
        <v>3052</v>
      </c>
      <c r="S3" s="736" t="s">
        <v>3053</v>
      </c>
      <c r="T3" s="738" t="s">
        <v>3064</v>
      </c>
    </row>
    <row r="4" spans="2:21">
      <c r="B4" s="1790">
        <v>1</v>
      </c>
      <c r="C4" s="745">
        <v>1</v>
      </c>
      <c r="D4" s="911" t="s">
        <v>1398</v>
      </c>
      <c r="E4" s="745" t="s">
        <v>1406</v>
      </c>
      <c r="F4" s="746">
        <v>64</v>
      </c>
      <c r="G4" s="743">
        <v>113</v>
      </c>
      <c r="H4" s="744">
        <f>F4*G4</f>
        <v>7232</v>
      </c>
      <c r="I4" s="743"/>
      <c r="J4" s="747">
        <f>38/113</f>
        <v>0.33628318584070799</v>
      </c>
      <c r="K4" s="744">
        <v>243000</v>
      </c>
      <c r="L4" s="744">
        <v>1090400</v>
      </c>
      <c r="M4" s="739">
        <f>IF(($L4/M$1-$K4)/$G4&gt;0,($L4/M$1-$K4)/$G4,"")</f>
        <v>7499.1150442477874</v>
      </c>
      <c r="N4" s="739">
        <f t="shared" ref="N4:T19" si="0">IF(($L4/N$1-$K4)/$G4&gt;0,($L4/N$1-$K4)/$G4,"")</f>
        <v>2674.3362831858408</v>
      </c>
      <c r="O4" s="739">
        <f t="shared" si="0"/>
        <v>1066.0766961651918</v>
      </c>
      <c r="P4" s="739">
        <f t="shared" si="0"/>
        <v>261.94690265486724</v>
      </c>
      <c r="Q4" s="739" t="str">
        <f t="shared" si="0"/>
        <v/>
      </c>
      <c r="R4" s="739" t="str">
        <f t="shared" si="0"/>
        <v/>
      </c>
      <c r="S4" s="739" t="str">
        <f t="shared" si="0"/>
        <v/>
      </c>
      <c r="T4" s="740" t="str">
        <f t="shared" si="0"/>
        <v/>
      </c>
      <c r="U4" s="723"/>
    </row>
    <row r="5" spans="2:21">
      <c r="B5" s="1791"/>
      <c r="C5" s="728">
        <v>2</v>
      </c>
      <c r="D5" s="731" t="s">
        <v>1467</v>
      </c>
      <c r="E5" s="728" t="s">
        <v>1414</v>
      </c>
      <c r="F5" s="729">
        <v>111</v>
      </c>
      <c r="G5" s="726">
        <v>98</v>
      </c>
      <c r="H5" s="727">
        <f t="shared" ref="H5:H53" si="1">F5*G5</f>
        <v>10878</v>
      </c>
      <c r="I5" s="726"/>
      <c r="J5" s="730">
        <f>43/98</f>
        <v>0.43877551020408162</v>
      </c>
      <c r="K5" s="727">
        <v>240000</v>
      </c>
      <c r="L5" s="727">
        <v>1117600</v>
      </c>
      <c r="M5" s="724">
        <f t="shared" ref="M5:T36" si="2">IF(($L5/M$1-$K5)/$G5&gt;0,($L5/M$1-$K5)/$G5,"")</f>
        <v>8955.1020408163258</v>
      </c>
      <c r="N5" s="724">
        <f t="shared" si="0"/>
        <v>3253.0612244897961</v>
      </c>
      <c r="O5" s="724">
        <f t="shared" si="0"/>
        <v>1352.3809523809523</v>
      </c>
      <c r="P5" s="724">
        <f t="shared" si="0"/>
        <v>402.0408163265306</v>
      </c>
      <c r="Q5" s="724" t="str">
        <f t="shared" si="0"/>
        <v/>
      </c>
      <c r="R5" s="724" t="str">
        <f t="shared" si="0"/>
        <v/>
      </c>
      <c r="S5" s="724" t="str">
        <f t="shared" si="0"/>
        <v/>
      </c>
      <c r="T5" s="725" t="str">
        <f t="shared" si="0"/>
        <v/>
      </c>
    </row>
    <row r="6" spans="2:21">
      <c r="B6" s="1791"/>
      <c r="C6" s="728">
        <v>3</v>
      </c>
      <c r="D6" s="731" t="s">
        <v>2843</v>
      </c>
      <c r="E6" s="728" t="s">
        <v>1409</v>
      </c>
      <c r="F6" s="729">
        <v>115</v>
      </c>
      <c r="G6" s="726">
        <v>110</v>
      </c>
      <c r="H6" s="727">
        <f t="shared" si="1"/>
        <v>12650</v>
      </c>
      <c r="I6" s="727"/>
      <c r="J6" s="730">
        <f>17/110</f>
        <v>0.15454545454545454</v>
      </c>
      <c r="K6" s="727">
        <v>278000</v>
      </c>
      <c r="L6" s="727">
        <v>1654000</v>
      </c>
      <c r="M6" s="724">
        <f t="shared" si="2"/>
        <v>12509.09090909091</v>
      </c>
      <c r="N6" s="724">
        <f t="shared" si="0"/>
        <v>4990.909090909091</v>
      </c>
      <c r="O6" s="724">
        <f t="shared" si="0"/>
        <v>2484.848484848485</v>
      </c>
      <c r="P6" s="724">
        <f t="shared" si="0"/>
        <v>1231.8181818181818</v>
      </c>
      <c r="Q6" s="724">
        <f t="shared" si="0"/>
        <v>480</v>
      </c>
      <c r="R6" s="724" t="str">
        <f t="shared" si="0"/>
        <v/>
      </c>
      <c r="S6" s="724" t="str">
        <f t="shared" si="0"/>
        <v/>
      </c>
      <c r="T6" s="725" t="str">
        <f t="shared" si="0"/>
        <v/>
      </c>
    </row>
    <row r="7" spans="2:21">
      <c r="B7" s="1791"/>
      <c r="C7" s="728">
        <v>4</v>
      </c>
      <c r="D7" s="731" t="s">
        <v>2911</v>
      </c>
      <c r="E7" s="728" t="s">
        <v>1403</v>
      </c>
      <c r="F7" s="729">
        <v>134</v>
      </c>
      <c r="G7" s="726">
        <v>108</v>
      </c>
      <c r="H7" s="727">
        <f t="shared" si="1"/>
        <v>14472</v>
      </c>
      <c r="I7" s="726"/>
      <c r="J7" s="730">
        <f>(8+8+11+7+7+7)/108</f>
        <v>0.44444444444444442</v>
      </c>
      <c r="K7" s="727">
        <v>240000</v>
      </c>
      <c r="L7" s="727">
        <v>1707360</v>
      </c>
      <c r="M7" s="724">
        <f t="shared" si="2"/>
        <v>13586.666666666666</v>
      </c>
      <c r="N7" s="724">
        <f t="shared" si="0"/>
        <v>5682.2222222222226</v>
      </c>
      <c r="O7" s="724">
        <f t="shared" si="0"/>
        <v>3047.4074074074074</v>
      </c>
      <c r="P7" s="724">
        <f t="shared" si="0"/>
        <v>1730</v>
      </c>
      <c r="Q7" s="724">
        <f t="shared" si="0"/>
        <v>939.55555555555554</v>
      </c>
      <c r="R7" s="724">
        <f t="shared" si="0"/>
        <v>412.59259259259261</v>
      </c>
      <c r="S7" s="724">
        <f t="shared" si="0"/>
        <v>36.190476190476112</v>
      </c>
      <c r="T7" s="725" t="str">
        <f t="shared" si="0"/>
        <v/>
      </c>
    </row>
    <row r="8" spans="2:21">
      <c r="B8" s="1791"/>
      <c r="C8" s="728">
        <v>5</v>
      </c>
      <c r="D8" s="731" t="s">
        <v>954</v>
      </c>
      <c r="E8" s="728" t="s">
        <v>1406</v>
      </c>
      <c r="F8" s="729">
        <v>143</v>
      </c>
      <c r="G8" s="726">
        <v>114</v>
      </c>
      <c r="H8" s="727">
        <f t="shared" si="1"/>
        <v>16302</v>
      </c>
      <c r="I8" s="727"/>
      <c r="J8" s="730">
        <f>13/114</f>
        <v>0.11403508771929824</v>
      </c>
      <c r="K8" s="727">
        <v>360000</v>
      </c>
      <c r="L8" s="727">
        <v>2246240</v>
      </c>
      <c r="M8" s="724">
        <f t="shared" si="2"/>
        <v>16545.964912280702</v>
      </c>
      <c r="N8" s="724">
        <f t="shared" si="0"/>
        <v>6694.0350877192986</v>
      </c>
      <c r="O8" s="724">
        <f t="shared" si="0"/>
        <v>3410.0584795321633</v>
      </c>
      <c r="P8" s="724">
        <f t="shared" si="0"/>
        <v>1768.0701754385964</v>
      </c>
      <c r="Q8" s="724">
        <f t="shared" si="0"/>
        <v>782.87719298245611</v>
      </c>
      <c r="R8" s="724">
        <f t="shared" si="0"/>
        <v>126.08187134502907</v>
      </c>
      <c r="S8" s="724" t="str">
        <f t="shared" si="0"/>
        <v/>
      </c>
      <c r="T8" s="725" t="str">
        <f t="shared" si="0"/>
        <v/>
      </c>
    </row>
    <row r="9" spans="2:21">
      <c r="B9" s="1791"/>
      <c r="C9" s="728">
        <v>6</v>
      </c>
      <c r="D9" s="731" t="s">
        <v>3054</v>
      </c>
      <c r="E9" s="728" t="s">
        <v>1409</v>
      </c>
      <c r="F9" s="729">
        <v>108</v>
      </c>
      <c r="G9" s="726">
        <v>167</v>
      </c>
      <c r="H9" s="727">
        <f t="shared" si="1"/>
        <v>18036</v>
      </c>
      <c r="I9" s="726"/>
      <c r="J9" s="730">
        <f>58/167</f>
        <v>0.3473053892215569</v>
      </c>
      <c r="K9" s="727">
        <v>441000</v>
      </c>
      <c r="L9" s="727">
        <v>2400800</v>
      </c>
      <c r="M9" s="724">
        <f t="shared" si="2"/>
        <v>11735.329341317365</v>
      </c>
      <c r="N9" s="724">
        <f t="shared" si="0"/>
        <v>4547.3053892215567</v>
      </c>
      <c r="O9" s="724">
        <f t="shared" si="0"/>
        <v>2151.2974051896203</v>
      </c>
      <c r="P9" s="724">
        <f t="shared" si="0"/>
        <v>953.29341317365265</v>
      </c>
      <c r="Q9" s="724">
        <f t="shared" si="0"/>
        <v>234.49101796407186</v>
      </c>
      <c r="R9" s="724" t="str">
        <f t="shared" si="0"/>
        <v/>
      </c>
      <c r="S9" s="724" t="str">
        <f t="shared" si="0"/>
        <v/>
      </c>
      <c r="T9" s="725" t="str">
        <f t="shared" si="0"/>
        <v/>
      </c>
    </row>
    <row r="10" spans="2:21">
      <c r="B10" s="1791"/>
      <c r="C10" s="728">
        <v>7</v>
      </c>
      <c r="D10" s="731" t="s">
        <v>1451</v>
      </c>
      <c r="E10" s="728" t="s">
        <v>1425</v>
      </c>
      <c r="F10" s="729">
        <v>140</v>
      </c>
      <c r="G10" s="726">
        <v>129</v>
      </c>
      <c r="H10" s="727">
        <f t="shared" si="1"/>
        <v>18060</v>
      </c>
      <c r="I10" s="732">
        <v>5200</v>
      </c>
      <c r="J10" s="730">
        <f>49/129</f>
        <v>0.37984496124031009</v>
      </c>
      <c r="K10" s="727">
        <v>450000</v>
      </c>
      <c r="L10" s="727">
        <v>3387000</v>
      </c>
      <c r="M10" s="724">
        <f t="shared" si="2"/>
        <v>22767.441860465115</v>
      </c>
      <c r="N10" s="724">
        <f t="shared" si="0"/>
        <v>9639.5348837209294</v>
      </c>
      <c r="O10" s="724">
        <f t="shared" si="0"/>
        <v>5263.5658914728683</v>
      </c>
      <c r="P10" s="724">
        <f t="shared" si="0"/>
        <v>3075.5813953488373</v>
      </c>
      <c r="Q10" s="724">
        <f t="shared" si="0"/>
        <v>1762.7906976744187</v>
      </c>
      <c r="R10" s="724">
        <f t="shared" si="0"/>
        <v>887.59689922480618</v>
      </c>
      <c r="S10" s="724">
        <f t="shared" si="0"/>
        <v>262.45847176079724</v>
      </c>
      <c r="T10" s="725" t="str">
        <f t="shared" si="0"/>
        <v/>
      </c>
    </row>
    <row r="11" spans="2:21">
      <c r="B11" s="1791"/>
      <c r="C11" s="728">
        <v>8</v>
      </c>
      <c r="D11" s="731" t="s">
        <v>1446</v>
      </c>
      <c r="E11" s="728" t="s">
        <v>1403</v>
      </c>
      <c r="F11" s="729">
        <v>183</v>
      </c>
      <c r="G11" s="726">
        <v>133</v>
      </c>
      <c r="H11" s="727">
        <f t="shared" si="1"/>
        <v>24339</v>
      </c>
      <c r="I11" s="726"/>
      <c r="J11" s="730">
        <f>45/133</f>
        <v>0.33834586466165412</v>
      </c>
      <c r="K11" s="727">
        <v>477000</v>
      </c>
      <c r="L11" s="727">
        <v>3538650</v>
      </c>
      <c r="M11" s="724">
        <f t="shared" si="2"/>
        <v>23019.924812030076</v>
      </c>
      <c r="N11" s="724">
        <f t="shared" si="0"/>
        <v>9716.729323308271</v>
      </c>
      <c r="O11" s="724">
        <f t="shared" si="0"/>
        <v>5282.3308270676689</v>
      </c>
      <c r="P11" s="724">
        <f t="shared" si="0"/>
        <v>3065.1315789473683</v>
      </c>
      <c r="Q11" s="724">
        <f t="shared" si="0"/>
        <v>1734.812030075188</v>
      </c>
      <c r="R11" s="724">
        <f t="shared" si="0"/>
        <v>847.93233082706763</v>
      </c>
      <c r="S11" s="724">
        <f t="shared" si="0"/>
        <v>214.44683136412465</v>
      </c>
      <c r="T11" s="725" t="str">
        <f t="shared" si="0"/>
        <v/>
      </c>
    </row>
    <row r="12" spans="2:21">
      <c r="B12" s="1791"/>
      <c r="C12" s="728">
        <v>9</v>
      </c>
      <c r="D12" s="731" t="s">
        <v>974</v>
      </c>
      <c r="E12" s="728" t="s">
        <v>1406</v>
      </c>
      <c r="F12" s="729">
        <v>180</v>
      </c>
      <c r="G12" s="726">
        <v>145</v>
      </c>
      <c r="H12" s="727">
        <f t="shared" si="1"/>
        <v>26100</v>
      </c>
      <c r="I12" s="912" t="s">
        <v>3055</v>
      </c>
      <c r="J12" s="730">
        <f>53/145</f>
        <v>0.36551724137931035</v>
      </c>
      <c r="K12" s="727">
        <v>510000</v>
      </c>
      <c r="L12" s="727">
        <v>4630750</v>
      </c>
      <c r="M12" s="724">
        <f t="shared" si="2"/>
        <v>28418.96551724138</v>
      </c>
      <c r="N12" s="724">
        <f t="shared" si="0"/>
        <v>12450.862068965518</v>
      </c>
      <c r="O12" s="724">
        <f t="shared" si="0"/>
        <v>7128.1609195402298</v>
      </c>
      <c r="P12" s="724">
        <f t="shared" si="0"/>
        <v>4466.8103448275861</v>
      </c>
      <c r="Q12" s="724">
        <f t="shared" si="0"/>
        <v>2870</v>
      </c>
      <c r="R12" s="724">
        <f t="shared" si="0"/>
        <v>1805.4597701149423</v>
      </c>
      <c r="S12" s="724">
        <f t="shared" si="0"/>
        <v>1045.0738916256159</v>
      </c>
      <c r="T12" s="725">
        <f t="shared" si="0"/>
        <v>474.7844827586207</v>
      </c>
    </row>
    <row r="13" spans="2:21">
      <c r="B13" s="1791"/>
      <c r="C13" s="728">
        <v>10</v>
      </c>
      <c r="D13" s="731" t="s">
        <v>3056</v>
      </c>
      <c r="E13" s="728" t="s">
        <v>1392</v>
      </c>
      <c r="F13" s="729">
        <v>171</v>
      </c>
      <c r="G13" s="726">
        <v>164</v>
      </c>
      <c r="H13" s="727">
        <f t="shared" si="1"/>
        <v>28044</v>
      </c>
      <c r="I13" s="727">
        <v>-2000</v>
      </c>
      <c r="J13" s="730">
        <f>51/164</f>
        <v>0.31097560975609756</v>
      </c>
      <c r="K13" s="727">
        <v>512000</v>
      </c>
      <c r="L13" s="727">
        <v>4915120</v>
      </c>
      <c r="M13" s="724">
        <f t="shared" si="2"/>
        <v>26848.292682926829</v>
      </c>
      <c r="N13" s="724">
        <f t="shared" si="0"/>
        <v>11863.170731707318</v>
      </c>
      <c r="O13" s="724">
        <f t="shared" si="0"/>
        <v>6868.1300813008129</v>
      </c>
      <c r="P13" s="724">
        <f t="shared" si="0"/>
        <v>4370.6097560975613</v>
      </c>
      <c r="Q13" s="724">
        <f t="shared" si="0"/>
        <v>2872.0975609756097</v>
      </c>
      <c r="R13" s="724">
        <f t="shared" si="0"/>
        <v>1873.0894308943086</v>
      </c>
      <c r="S13" s="724">
        <f t="shared" si="0"/>
        <v>1159.5121951219512</v>
      </c>
      <c r="T13" s="725">
        <f t="shared" si="0"/>
        <v>624.32926829268297</v>
      </c>
    </row>
    <row r="14" spans="2:21">
      <c r="B14" s="1791"/>
      <c r="C14" s="728">
        <v>11</v>
      </c>
      <c r="D14" s="731" t="s">
        <v>2891</v>
      </c>
      <c r="E14" s="728" t="s">
        <v>1409</v>
      </c>
      <c r="F14" s="729">
        <v>186</v>
      </c>
      <c r="G14" s="726">
        <v>160</v>
      </c>
      <c r="H14" s="727">
        <f t="shared" si="1"/>
        <v>29760</v>
      </c>
      <c r="I14" s="726"/>
      <c r="J14" s="730">
        <f>101/160</f>
        <v>0.63124999999999998</v>
      </c>
      <c r="K14" s="727">
        <v>1200000</v>
      </c>
      <c r="L14" s="727">
        <v>5950400</v>
      </c>
      <c r="M14" s="724">
        <f t="shared" si="2"/>
        <v>29690</v>
      </c>
      <c r="N14" s="724">
        <f t="shared" si="0"/>
        <v>11095</v>
      </c>
      <c r="O14" s="724">
        <f t="shared" si="0"/>
        <v>4896.666666666667</v>
      </c>
      <c r="P14" s="724">
        <f t="shared" si="0"/>
        <v>1797.5</v>
      </c>
      <c r="Q14" s="724" t="str">
        <f t="shared" si="0"/>
        <v/>
      </c>
      <c r="R14" s="724" t="str">
        <f t="shared" si="0"/>
        <v/>
      </c>
      <c r="S14" s="724" t="str">
        <f t="shared" si="0"/>
        <v/>
      </c>
      <c r="T14" s="725" t="str">
        <f t="shared" si="0"/>
        <v/>
      </c>
    </row>
    <row r="15" spans="2:21">
      <c r="B15" s="1791"/>
      <c r="C15" s="728">
        <v>12</v>
      </c>
      <c r="D15" s="731" t="s">
        <v>3057</v>
      </c>
      <c r="E15" s="728" t="s">
        <v>1414</v>
      </c>
      <c r="F15" s="729">
        <v>199</v>
      </c>
      <c r="G15" s="726">
        <v>159</v>
      </c>
      <c r="H15" s="727">
        <f t="shared" si="1"/>
        <v>31641</v>
      </c>
      <c r="I15" s="726"/>
      <c r="J15" s="730">
        <f>51/159</f>
        <v>0.32075471698113206</v>
      </c>
      <c r="K15" s="727">
        <v>438000</v>
      </c>
      <c r="L15" s="727">
        <v>6001700</v>
      </c>
      <c r="M15" s="724">
        <f t="shared" si="2"/>
        <v>34991.823899371069</v>
      </c>
      <c r="N15" s="724">
        <f t="shared" si="0"/>
        <v>16118.553459119497</v>
      </c>
      <c r="O15" s="724">
        <f t="shared" si="0"/>
        <v>9827.4633123689728</v>
      </c>
      <c r="P15" s="724">
        <f t="shared" si="0"/>
        <v>6681.9182389937105</v>
      </c>
      <c r="Q15" s="724">
        <f t="shared" si="0"/>
        <v>4794.5911949685533</v>
      </c>
      <c r="R15" s="724">
        <f t="shared" si="0"/>
        <v>3536.3731656184491</v>
      </c>
      <c r="S15" s="724">
        <f t="shared" si="0"/>
        <v>2637.6460017969453</v>
      </c>
      <c r="T15" s="725">
        <f t="shared" si="0"/>
        <v>1963.6006289308177</v>
      </c>
    </row>
    <row r="16" spans="2:21">
      <c r="B16" s="1791"/>
      <c r="C16" s="728">
        <v>13</v>
      </c>
      <c r="D16" s="731" t="s">
        <v>1470</v>
      </c>
      <c r="E16" s="728" t="s">
        <v>1392</v>
      </c>
      <c r="F16" s="729">
        <v>244</v>
      </c>
      <c r="G16" s="726">
        <v>137</v>
      </c>
      <c r="H16" s="727">
        <f t="shared" si="1"/>
        <v>33428</v>
      </c>
      <c r="I16" s="727"/>
      <c r="J16" s="730">
        <f>75/137</f>
        <v>0.54744525547445255</v>
      </c>
      <c r="K16" s="727">
        <v>476000</v>
      </c>
      <c r="L16" s="727">
        <v>7013800</v>
      </c>
      <c r="M16" s="724">
        <f t="shared" si="2"/>
        <v>47721.167883211681</v>
      </c>
      <c r="N16" s="724">
        <f t="shared" si="0"/>
        <v>22123.357664233576</v>
      </c>
      <c r="O16" s="724">
        <f t="shared" si="0"/>
        <v>13590.754257907543</v>
      </c>
      <c r="P16" s="724">
        <f t="shared" si="0"/>
        <v>9324.4525547445264</v>
      </c>
      <c r="Q16" s="724">
        <f t="shared" si="0"/>
        <v>6764.6715328467153</v>
      </c>
      <c r="R16" s="724">
        <f t="shared" si="0"/>
        <v>5058.1508515815094</v>
      </c>
      <c r="S16" s="724">
        <f t="shared" si="0"/>
        <v>3839.2075078206462</v>
      </c>
      <c r="T16" s="725">
        <f t="shared" si="0"/>
        <v>2925</v>
      </c>
    </row>
    <row r="17" spans="2:20">
      <c r="B17" s="1791"/>
      <c r="C17" s="728">
        <v>14</v>
      </c>
      <c r="D17" s="731" t="s">
        <v>1442</v>
      </c>
      <c r="E17" s="728" t="s">
        <v>1414</v>
      </c>
      <c r="F17" s="729">
        <v>224</v>
      </c>
      <c r="G17" s="726">
        <v>157</v>
      </c>
      <c r="H17" s="727">
        <f t="shared" si="1"/>
        <v>35168</v>
      </c>
      <c r="I17" s="727">
        <v>-20000</v>
      </c>
      <c r="J17" s="730">
        <f>88/157</f>
        <v>0.56050955414012738</v>
      </c>
      <c r="K17" s="727">
        <v>1600000</v>
      </c>
      <c r="L17" s="727">
        <v>7224600</v>
      </c>
      <c r="M17" s="724">
        <f t="shared" si="2"/>
        <v>35825.477707006372</v>
      </c>
      <c r="N17" s="724">
        <f t="shared" si="0"/>
        <v>12817.197452229299</v>
      </c>
      <c r="O17" s="724">
        <f t="shared" si="0"/>
        <v>5147.7707006369428</v>
      </c>
      <c r="P17" s="724">
        <f t="shared" si="0"/>
        <v>1313.0573248407643</v>
      </c>
      <c r="Q17" s="724" t="str">
        <f t="shared" si="0"/>
        <v/>
      </c>
      <c r="R17" s="724" t="str">
        <f t="shared" si="0"/>
        <v/>
      </c>
      <c r="S17" s="724" t="str">
        <f t="shared" si="0"/>
        <v/>
      </c>
      <c r="T17" s="725" t="str">
        <f t="shared" si="0"/>
        <v/>
      </c>
    </row>
    <row r="18" spans="2:20">
      <c r="B18" s="1791"/>
      <c r="C18" s="728">
        <v>15</v>
      </c>
      <c r="D18" s="731" t="s">
        <v>1421</v>
      </c>
      <c r="E18" s="728" t="s">
        <v>1392</v>
      </c>
      <c r="F18" s="729">
        <v>248</v>
      </c>
      <c r="G18" s="726">
        <v>149</v>
      </c>
      <c r="H18" s="727">
        <f t="shared" si="1"/>
        <v>36952</v>
      </c>
      <c r="I18" s="726"/>
      <c r="J18" s="730">
        <f>56/149</f>
        <v>0.37583892617449666</v>
      </c>
      <c r="K18" s="727">
        <v>476000</v>
      </c>
      <c r="L18" s="727">
        <v>8221800</v>
      </c>
      <c r="M18" s="724">
        <f t="shared" si="2"/>
        <v>51985.234899328862</v>
      </c>
      <c r="N18" s="724">
        <f t="shared" si="0"/>
        <v>24395.302013422817</v>
      </c>
      <c r="O18" s="724">
        <f t="shared" si="0"/>
        <v>15198.657718120805</v>
      </c>
      <c r="P18" s="724">
        <f t="shared" si="0"/>
        <v>10600.335570469799</v>
      </c>
      <c r="Q18" s="724">
        <f t="shared" si="0"/>
        <v>7841.3422818791951</v>
      </c>
      <c r="R18" s="724">
        <f t="shared" si="0"/>
        <v>6002.0134228187917</v>
      </c>
      <c r="S18" s="724">
        <f t="shared" si="0"/>
        <v>4688.2070949185036</v>
      </c>
      <c r="T18" s="725">
        <f t="shared" si="0"/>
        <v>3702.8523489932886</v>
      </c>
    </row>
    <row r="19" spans="2:20">
      <c r="B19" s="1791"/>
      <c r="C19" s="728">
        <v>16</v>
      </c>
      <c r="D19" s="731" t="s">
        <v>3058</v>
      </c>
      <c r="E19" s="728" t="s">
        <v>1409</v>
      </c>
      <c r="F19" s="729">
        <v>242</v>
      </c>
      <c r="G19" s="726">
        <v>176</v>
      </c>
      <c r="H19" s="727">
        <f t="shared" si="1"/>
        <v>42592</v>
      </c>
      <c r="I19" s="726"/>
      <c r="J19" s="730">
        <f>62/176</f>
        <v>0.35227272727272729</v>
      </c>
      <c r="K19" s="727">
        <v>476000</v>
      </c>
      <c r="L19" s="727">
        <v>8664960</v>
      </c>
      <c r="M19" s="724">
        <f t="shared" si="2"/>
        <v>46528.181818181816</v>
      </c>
      <c r="N19" s="724">
        <f t="shared" si="0"/>
        <v>21911.81818181818</v>
      </c>
      <c r="O19" s="724">
        <f t="shared" si="0"/>
        <v>13706.363636363636</v>
      </c>
      <c r="P19" s="724">
        <f t="shared" si="0"/>
        <v>9603.636363636364</v>
      </c>
      <c r="Q19" s="724">
        <f t="shared" si="0"/>
        <v>7142</v>
      </c>
      <c r="R19" s="724">
        <f t="shared" si="0"/>
        <v>5500.909090909091</v>
      </c>
      <c r="S19" s="724">
        <f t="shared" si="0"/>
        <v>4328.7012987012995</v>
      </c>
      <c r="T19" s="725">
        <f t="shared" si="0"/>
        <v>3449.5454545454545</v>
      </c>
    </row>
    <row r="20" spans="2:20">
      <c r="B20" s="1791"/>
      <c r="C20" s="728">
        <v>17</v>
      </c>
      <c r="D20" s="731" t="s">
        <v>965</v>
      </c>
      <c r="E20" s="728" t="s">
        <v>1425</v>
      </c>
      <c r="F20" s="729">
        <v>269</v>
      </c>
      <c r="G20" s="726">
        <v>166</v>
      </c>
      <c r="H20" s="727">
        <f t="shared" si="1"/>
        <v>44654</v>
      </c>
      <c r="I20" s="726"/>
      <c r="J20" s="730">
        <f>47/166</f>
        <v>0.28313253012048195</v>
      </c>
      <c r="K20" s="727">
        <v>620000</v>
      </c>
      <c r="L20" s="727">
        <v>9643400</v>
      </c>
      <c r="M20" s="724">
        <f t="shared" si="2"/>
        <v>54357.831325301202</v>
      </c>
      <c r="N20" s="724">
        <f t="shared" si="2"/>
        <v>25311.445783132531</v>
      </c>
      <c r="O20" s="724">
        <f t="shared" si="2"/>
        <v>15629.317269076304</v>
      </c>
      <c r="P20" s="724">
        <f t="shared" si="2"/>
        <v>10788.253012048193</v>
      </c>
      <c r="Q20" s="724">
        <f t="shared" si="2"/>
        <v>7883.6144578313251</v>
      </c>
      <c r="R20" s="724">
        <f t="shared" si="2"/>
        <v>5947.18875502008</v>
      </c>
      <c r="S20" s="724">
        <f t="shared" si="2"/>
        <v>4564.0275387263337</v>
      </c>
      <c r="T20" s="725">
        <f t="shared" si="2"/>
        <v>3526.6566265060242</v>
      </c>
    </row>
    <row r="21" spans="2:20">
      <c r="B21" s="1791"/>
      <c r="C21" s="728">
        <v>18</v>
      </c>
      <c r="D21" s="731" t="s">
        <v>3059</v>
      </c>
      <c r="E21" s="728" t="s">
        <v>1425</v>
      </c>
      <c r="F21" s="729">
        <v>283</v>
      </c>
      <c r="G21" s="726">
        <v>172</v>
      </c>
      <c r="H21" s="727">
        <f t="shared" si="1"/>
        <v>48676</v>
      </c>
      <c r="I21" s="726"/>
      <c r="J21" s="730">
        <f>43/172</f>
        <v>0.25</v>
      </c>
      <c r="K21" s="727">
        <v>1784000</v>
      </c>
      <c r="L21" s="727">
        <v>9854160</v>
      </c>
      <c r="M21" s="724">
        <f t="shared" si="2"/>
        <v>46919.534883720931</v>
      </c>
      <c r="N21" s="724">
        <f t="shared" si="2"/>
        <v>18273.720930232557</v>
      </c>
      <c r="O21" s="724">
        <f t="shared" si="2"/>
        <v>8725.1162790697672</v>
      </c>
      <c r="P21" s="724">
        <f t="shared" si="2"/>
        <v>3950.8139534883721</v>
      </c>
      <c r="Q21" s="724">
        <f t="shared" si="2"/>
        <v>1086.2325581395348</v>
      </c>
      <c r="R21" s="724" t="str">
        <f t="shared" si="2"/>
        <v/>
      </c>
      <c r="S21" s="724" t="str">
        <f t="shared" si="2"/>
        <v/>
      </c>
      <c r="T21" s="725" t="str">
        <f t="shared" si="2"/>
        <v/>
      </c>
    </row>
    <row r="22" spans="2:20">
      <c r="B22" s="1791"/>
      <c r="C22" s="728">
        <v>19</v>
      </c>
      <c r="D22" s="731" t="s">
        <v>1807</v>
      </c>
      <c r="E22" s="728" t="s">
        <v>1425</v>
      </c>
      <c r="F22" s="729">
        <v>367</v>
      </c>
      <c r="G22" s="726">
        <v>143</v>
      </c>
      <c r="H22" s="727">
        <f t="shared" si="1"/>
        <v>52481</v>
      </c>
      <c r="I22" s="726"/>
      <c r="J22" s="730">
        <f>42/143</f>
        <v>0.2937062937062937</v>
      </c>
      <c r="K22" s="727">
        <v>600000</v>
      </c>
      <c r="L22" s="727">
        <v>10818960</v>
      </c>
      <c r="M22" s="724">
        <f t="shared" si="2"/>
        <v>71461.258741258745</v>
      </c>
      <c r="N22" s="724">
        <f t="shared" si="2"/>
        <v>33632.727272727272</v>
      </c>
      <c r="O22" s="724">
        <f t="shared" si="2"/>
        <v>21023.216783216783</v>
      </c>
      <c r="P22" s="724">
        <f t="shared" si="2"/>
        <v>14718.461538461539</v>
      </c>
      <c r="Q22" s="724">
        <f t="shared" si="2"/>
        <v>10935.608391608392</v>
      </c>
      <c r="R22" s="724">
        <f t="shared" si="2"/>
        <v>8413.7062937062929</v>
      </c>
      <c r="S22" s="724">
        <f t="shared" si="2"/>
        <v>6612.3476523476529</v>
      </c>
      <c r="T22" s="725">
        <f t="shared" si="2"/>
        <v>5261.3286713286716</v>
      </c>
    </row>
    <row r="23" spans="2:20">
      <c r="B23" s="1791"/>
      <c r="C23" s="728">
        <v>20</v>
      </c>
      <c r="D23" s="731" t="s">
        <v>3060</v>
      </c>
      <c r="E23" s="728" t="s">
        <v>1403</v>
      </c>
      <c r="F23" s="729">
        <v>360</v>
      </c>
      <c r="G23" s="726">
        <v>157</v>
      </c>
      <c r="H23" s="727">
        <f t="shared" si="1"/>
        <v>56520</v>
      </c>
      <c r="I23" s="727"/>
      <c r="J23" s="730">
        <f>59/157</f>
        <v>0.37579617834394907</v>
      </c>
      <c r="K23" s="727">
        <v>475000</v>
      </c>
      <c r="L23" s="727">
        <v>11147760</v>
      </c>
      <c r="M23" s="724">
        <f t="shared" si="2"/>
        <v>67979.363057324837</v>
      </c>
      <c r="N23" s="724">
        <f t="shared" si="2"/>
        <v>32476.942675159236</v>
      </c>
      <c r="O23" s="724">
        <f t="shared" si="2"/>
        <v>20642.802547770701</v>
      </c>
      <c r="P23" s="724">
        <f t="shared" si="2"/>
        <v>14725.732484076432</v>
      </c>
      <c r="Q23" s="724">
        <f t="shared" si="2"/>
        <v>11175.490445859872</v>
      </c>
      <c r="R23" s="724">
        <f t="shared" si="2"/>
        <v>8808.6624203821648</v>
      </c>
      <c r="S23" s="724">
        <f t="shared" si="2"/>
        <v>7118.0709736123754</v>
      </c>
      <c r="T23" s="725">
        <f t="shared" si="2"/>
        <v>5850.127388535032</v>
      </c>
    </row>
    <row r="24" spans="2:20">
      <c r="B24" s="1791"/>
      <c r="C24" s="728">
        <v>21</v>
      </c>
      <c r="D24" s="731" t="s">
        <v>3061</v>
      </c>
      <c r="E24" s="728" t="s">
        <v>1425</v>
      </c>
      <c r="F24" s="729">
        <v>371</v>
      </c>
      <c r="G24" s="726">
        <v>178</v>
      </c>
      <c r="H24" s="727">
        <f t="shared" si="1"/>
        <v>66038</v>
      </c>
      <c r="I24" s="726"/>
      <c r="J24" s="730">
        <f>61/178</f>
        <v>0.34269662921348315</v>
      </c>
      <c r="K24" s="727">
        <v>438000</v>
      </c>
      <c r="L24" s="727">
        <v>12605920</v>
      </c>
      <c r="M24" s="724">
        <f t="shared" si="2"/>
        <v>68359.101123595508</v>
      </c>
      <c r="N24" s="724">
        <f t="shared" si="2"/>
        <v>32949.213483146064</v>
      </c>
      <c r="O24" s="724">
        <f t="shared" si="2"/>
        <v>21145.917602996255</v>
      </c>
      <c r="P24" s="724">
        <f t="shared" si="2"/>
        <v>15244.269662921348</v>
      </c>
      <c r="Q24" s="724">
        <f t="shared" si="2"/>
        <v>11703.280898876405</v>
      </c>
      <c r="R24" s="724">
        <f t="shared" si="2"/>
        <v>9342.6217228464411</v>
      </c>
      <c r="S24" s="724">
        <f t="shared" si="2"/>
        <v>7656.4365971107545</v>
      </c>
      <c r="T24" s="725">
        <f t="shared" si="2"/>
        <v>6391.7977528089887</v>
      </c>
    </row>
    <row r="25" spans="2:20">
      <c r="B25" s="1791"/>
      <c r="C25" s="728">
        <v>22</v>
      </c>
      <c r="D25" s="731" t="s">
        <v>1418</v>
      </c>
      <c r="E25" s="728" t="s">
        <v>1406</v>
      </c>
      <c r="F25" s="729">
        <v>384</v>
      </c>
      <c r="G25" s="726">
        <v>183</v>
      </c>
      <c r="H25" s="727">
        <f t="shared" si="1"/>
        <v>70272</v>
      </c>
      <c r="I25" s="726"/>
      <c r="J25" s="730">
        <f>103/183</f>
        <v>0.56284153005464477</v>
      </c>
      <c r="K25" s="727">
        <v>1900000</v>
      </c>
      <c r="L25" s="727">
        <v>13092700</v>
      </c>
      <c r="M25" s="724">
        <f t="shared" si="2"/>
        <v>61162.295081967211</v>
      </c>
      <c r="N25" s="724">
        <f t="shared" si="2"/>
        <v>25389.890710382515</v>
      </c>
      <c r="O25" s="724">
        <f t="shared" si="2"/>
        <v>13465.755919854279</v>
      </c>
      <c r="P25" s="724">
        <f t="shared" si="2"/>
        <v>7503.688524590164</v>
      </c>
      <c r="Q25" s="724">
        <f t="shared" si="2"/>
        <v>3926.4480874316941</v>
      </c>
      <c r="R25" s="724">
        <f t="shared" si="2"/>
        <v>1541.6211293260465</v>
      </c>
      <c r="S25" s="724" t="str">
        <f t="shared" si="2"/>
        <v/>
      </c>
      <c r="T25" s="725" t="str">
        <f t="shared" si="2"/>
        <v/>
      </c>
    </row>
    <row r="26" spans="2:20">
      <c r="B26" s="1791"/>
      <c r="C26" s="728">
        <v>23</v>
      </c>
      <c r="D26" s="731" t="s">
        <v>3062</v>
      </c>
      <c r="E26" s="728" t="s">
        <v>1414</v>
      </c>
      <c r="F26" s="729">
        <v>497</v>
      </c>
      <c r="G26" s="726">
        <v>150</v>
      </c>
      <c r="H26" s="727">
        <f t="shared" si="1"/>
        <v>74550</v>
      </c>
      <c r="I26" s="726"/>
      <c r="J26" s="730">
        <f>41/150</f>
        <v>0.27333333333333332</v>
      </c>
      <c r="K26" s="727">
        <v>440000</v>
      </c>
      <c r="L26" s="727">
        <v>12691000</v>
      </c>
      <c r="M26" s="724">
        <f t="shared" si="2"/>
        <v>81673.333333333328</v>
      </c>
      <c r="N26" s="724">
        <f t="shared" si="2"/>
        <v>39370</v>
      </c>
      <c r="O26" s="724">
        <f t="shared" si="2"/>
        <v>25268.888888888887</v>
      </c>
      <c r="P26" s="724">
        <f t="shared" si="2"/>
        <v>18218.333333333332</v>
      </c>
      <c r="Q26" s="724">
        <f t="shared" si="2"/>
        <v>13988</v>
      </c>
      <c r="R26" s="724">
        <f t="shared" si="2"/>
        <v>11167.777777777777</v>
      </c>
      <c r="S26" s="724">
        <f t="shared" si="2"/>
        <v>9153.3333333333339</v>
      </c>
      <c r="T26" s="725">
        <f t="shared" si="2"/>
        <v>7642.5</v>
      </c>
    </row>
    <row r="27" spans="2:20">
      <c r="B27" s="1791"/>
      <c r="C27" s="728">
        <v>24</v>
      </c>
      <c r="D27" s="731" t="s">
        <v>2845</v>
      </c>
      <c r="E27" s="728" t="s">
        <v>1403</v>
      </c>
      <c r="F27" s="729">
        <v>454</v>
      </c>
      <c r="G27" s="726">
        <v>174</v>
      </c>
      <c r="H27" s="727">
        <f t="shared" si="1"/>
        <v>78996</v>
      </c>
      <c r="I27" s="727">
        <v>4000</v>
      </c>
      <c r="J27" s="730">
        <f>73/174</f>
        <v>0.41954022988505746</v>
      </c>
      <c r="K27" s="727">
        <v>1500000</v>
      </c>
      <c r="L27" s="727">
        <v>15302520</v>
      </c>
      <c r="M27" s="724">
        <f t="shared" si="2"/>
        <v>79324.827586206899</v>
      </c>
      <c r="N27" s="724">
        <f t="shared" si="2"/>
        <v>35352.068965517239</v>
      </c>
      <c r="O27" s="724">
        <f t="shared" si="2"/>
        <v>20694.482758620688</v>
      </c>
      <c r="P27" s="724">
        <f t="shared" si="2"/>
        <v>13365.689655172413</v>
      </c>
      <c r="Q27" s="724">
        <f t="shared" si="2"/>
        <v>8968.4137931034475</v>
      </c>
      <c r="R27" s="724">
        <f t="shared" si="2"/>
        <v>6036.8965517241377</v>
      </c>
      <c r="S27" s="724">
        <f t="shared" si="2"/>
        <v>3942.9556650246318</v>
      </c>
      <c r="T27" s="725">
        <f t="shared" si="2"/>
        <v>2372.5</v>
      </c>
    </row>
    <row r="28" spans="2:20">
      <c r="B28" s="1791"/>
      <c r="C28" s="728">
        <v>25</v>
      </c>
      <c r="D28" s="731" t="s">
        <v>2729</v>
      </c>
      <c r="E28" s="728" t="s">
        <v>1414</v>
      </c>
      <c r="F28" s="729">
        <v>487</v>
      </c>
      <c r="G28" s="726">
        <v>171</v>
      </c>
      <c r="H28" s="727">
        <f t="shared" si="1"/>
        <v>83277</v>
      </c>
      <c r="I28" s="726"/>
      <c r="J28" s="730">
        <f>80/171</f>
        <v>0.46783625730994149</v>
      </c>
      <c r="K28" s="727">
        <v>2300000</v>
      </c>
      <c r="L28" s="727">
        <v>16660080</v>
      </c>
      <c r="M28" s="724">
        <f t="shared" si="2"/>
        <v>83977.076023391812</v>
      </c>
      <c r="N28" s="724">
        <f t="shared" si="2"/>
        <v>35263.391812865499</v>
      </c>
      <c r="O28" s="724">
        <f t="shared" si="2"/>
        <v>19025.497076023392</v>
      </c>
      <c r="P28" s="724">
        <f t="shared" si="2"/>
        <v>10906.549707602338</v>
      </c>
      <c r="Q28" s="724">
        <f t="shared" si="2"/>
        <v>6035.1812865497077</v>
      </c>
      <c r="R28" s="724">
        <f t="shared" si="2"/>
        <v>2787.6023391812864</v>
      </c>
      <c r="S28" s="724">
        <f t="shared" si="2"/>
        <v>467.90309106098618</v>
      </c>
      <c r="T28" s="725" t="str">
        <f t="shared" si="2"/>
        <v/>
      </c>
    </row>
    <row r="29" spans="2:20">
      <c r="B29" s="1791"/>
      <c r="C29" s="728">
        <v>26</v>
      </c>
      <c r="D29" s="731" t="s">
        <v>2851</v>
      </c>
      <c r="E29" s="728" t="s">
        <v>1409</v>
      </c>
      <c r="F29" s="729">
        <v>600</v>
      </c>
      <c r="G29" s="726">
        <v>158</v>
      </c>
      <c r="H29" s="727">
        <f t="shared" si="1"/>
        <v>94800</v>
      </c>
      <c r="I29" s="726"/>
      <c r="J29" s="730">
        <f>74/158</f>
        <v>0.46835443037974683</v>
      </c>
      <c r="K29" s="727">
        <v>1437000</v>
      </c>
      <c r="L29" s="727">
        <v>15583440</v>
      </c>
      <c r="M29" s="724">
        <f t="shared" si="2"/>
        <v>89534.430379746831</v>
      </c>
      <c r="N29" s="724">
        <f t="shared" si="2"/>
        <v>40219.746835443038</v>
      </c>
      <c r="O29" s="724">
        <f t="shared" si="2"/>
        <v>23781.518987341773</v>
      </c>
      <c r="P29" s="724">
        <f t="shared" si="2"/>
        <v>15562.405063291139</v>
      </c>
      <c r="Q29" s="724">
        <f t="shared" si="2"/>
        <v>10630.93670886076</v>
      </c>
      <c r="R29" s="724">
        <f t="shared" si="2"/>
        <v>7343.2911392405067</v>
      </c>
      <c r="S29" s="724">
        <f t="shared" si="2"/>
        <v>4994.9728752260389</v>
      </c>
      <c r="T29" s="725">
        <f t="shared" si="2"/>
        <v>3233.7341772151899</v>
      </c>
    </row>
    <row r="30" spans="2:20">
      <c r="B30" s="1791"/>
      <c r="C30" s="728">
        <v>27</v>
      </c>
      <c r="D30" s="731" t="s">
        <v>2894</v>
      </c>
      <c r="E30" s="728" t="s">
        <v>1392</v>
      </c>
      <c r="F30" s="729">
        <v>635</v>
      </c>
      <c r="G30" s="726">
        <v>166</v>
      </c>
      <c r="H30" s="727">
        <f t="shared" si="1"/>
        <v>105410</v>
      </c>
      <c r="I30" s="727">
        <v>-6000</v>
      </c>
      <c r="J30" s="730">
        <f>83/166</f>
        <v>0.5</v>
      </c>
      <c r="K30" s="727">
        <v>520000</v>
      </c>
      <c r="L30" s="727">
        <v>19183200</v>
      </c>
      <c r="M30" s="724">
        <f t="shared" si="2"/>
        <v>112428.9156626506</v>
      </c>
      <c r="N30" s="724">
        <f t="shared" si="2"/>
        <v>54648.192771084337</v>
      </c>
      <c r="O30" s="724">
        <f t="shared" si="2"/>
        <v>35387.951807228914</v>
      </c>
      <c r="P30" s="724">
        <f t="shared" si="2"/>
        <v>25757.831325301206</v>
      </c>
      <c r="Q30" s="724">
        <f t="shared" si="2"/>
        <v>19979.75903614458</v>
      </c>
      <c r="R30" s="724">
        <f t="shared" si="2"/>
        <v>16127.710843373494</v>
      </c>
      <c r="S30" s="724">
        <f t="shared" si="2"/>
        <v>13376.247848537005</v>
      </c>
      <c r="T30" s="725">
        <f t="shared" si="2"/>
        <v>11312.650602409638</v>
      </c>
    </row>
    <row r="31" spans="2:20">
      <c r="B31" s="1791"/>
      <c r="C31" s="728">
        <v>28</v>
      </c>
      <c r="D31" s="731" t="s">
        <v>1408</v>
      </c>
      <c r="E31" s="728" t="s">
        <v>1409</v>
      </c>
      <c r="F31" s="729">
        <v>669</v>
      </c>
      <c r="G31" s="726">
        <v>175</v>
      </c>
      <c r="H31" s="727">
        <f t="shared" si="1"/>
        <v>117075</v>
      </c>
      <c r="I31" s="727">
        <v>-40000</v>
      </c>
      <c r="J31" s="730">
        <f>80/175</f>
        <v>0.45714285714285713</v>
      </c>
      <c r="K31" s="727">
        <v>1900000</v>
      </c>
      <c r="L31" s="727">
        <v>20250000</v>
      </c>
      <c r="M31" s="724">
        <f t="shared" si="2"/>
        <v>104857.14285714286</v>
      </c>
      <c r="N31" s="724">
        <f t="shared" si="2"/>
        <v>47000</v>
      </c>
      <c r="O31" s="724">
        <f t="shared" si="2"/>
        <v>27714.285714285714</v>
      </c>
      <c r="P31" s="724">
        <f t="shared" si="2"/>
        <v>18071.428571428572</v>
      </c>
      <c r="Q31" s="724">
        <f t="shared" si="2"/>
        <v>12285.714285714286</v>
      </c>
      <c r="R31" s="724">
        <f t="shared" si="2"/>
        <v>8428.5714285714294</v>
      </c>
      <c r="S31" s="724">
        <f t="shared" si="2"/>
        <v>5673.4693877551017</v>
      </c>
      <c r="T31" s="725">
        <f t="shared" si="2"/>
        <v>3607.1428571428573</v>
      </c>
    </row>
    <row r="32" spans="2:20">
      <c r="B32" s="1791"/>
      <c r="C32" s="728">
        <v>29</v>
      </c>
      <c r="D32" s="731" t="s">
        <v>970</v>
      </c>
      <c r="E32" s="728" t="s">
        <v>1425</v>
      </c>
      <c r="F32" s="729">
        <v>732</v>
      </c>
      <c r="G32" s="726">
        <v>176</v>
      </c>
      <c r="H32" s="727">
        <f t="shared" si="1"/>
        <v>128832</v>
      </c>
      <c r="I32" s="727"/>
      <c r="J32" s="730">
        <f>82/176</f>
        <v>0.46590909090909088</v>
      </c>
      <c r="K32" s="727">
        <v>585000</v>
      </c>
      <c r="L32" s="727">
        <v>23808000</v>
      </c>
      <c r="M32" s="724">
        <f t="shared" si="2"/>
        <v>131948.86363636365</v>
      </c>
      <c r="N32" s="724">
        <f t="shared" si="2"/>
        <v>64312.5</v>
      </c>
      <c r="O32" s="724">
        <f t="shared" si="2"/>
        <v>41767.045454545456</v>
      </c>
      <c r="P32" s="724">
        <f t="shared" si="2"/>
        <v>30494.31818181818</v>
      </c>
      <c r="Q32" s="724">
        <f t="shared" si="2"/>
        <v>23730.68181818182</v>
      </c>
      <c r="R32" s="724">
        <f t="shared" si="2"/>
        <v>19221.590909090908</v>
      </c>
      <c r="S32" s="724">
        <f t="shared" si="2"/>
        <v>16000.811688311689</v>
      </c>
      <c r="T32" s="725">
        <f t="shared" si="2"/>
        <v>13585.227272727272</v>
      </c>
    </row>
    <row r="33" spans="2:20">
      <c r="B33" s="1791"/>
      <c r="C33" s="728">
        <v>30</v>
      </c>
      <c r="D33" s="731" t="s">
        <v>1475</v>
      </c>
      <c r="E33" s="728" t="s">
        <v>1392</v>
      </c>
      <c r="F33" s="729">
        <v>798</v>
      </c>
      <c r="G33" s="726">
        <v>176</v>
      </c>
      <c r="H33" s="727">
        <f t="shared" si="1"/>
        <v>140448</v>
      </c>
      <c r="I33" s="727">
        <v>6000</v>
      </c>
      <c r="J33" s="730">
        <f>62/176</f>
        <v>0.35227272727272729</v>
      </c>
      <c r="K33" s="727">
        <v>3200000</v>
      </c>
      <c r="L33" s="727">
        <v>24336000</v>
      </c>
      <c r="M33" s="724">
        <f t="shared" si="2"/>
        <v>120090.90909090909</v>
      </c>
      <c r="N33" s="724">
        <f t="shared" si="2"/>
        <v>50954.545454545456</v>
      </c>
      <c r="O33" s="724">
        <f t="shared" si="2"/>
        <v>27909.090909090908</v>
      </c>
      <c r="P33" s="724">
        <f t="shared" si="2"/>
        <v>16386.363636363636</v>
      </c>
      <c r="Q33" s="724">
        <f t="shared" si="2"/>
        <v>9472.7272727272721</v>
      </c>
      <c r="R33" s="724">
        <f t="shared" si="2"/>
        <v>4863.636363636364</v>
      </c>
      <c r="S33" s="724">
        <f t="shared" si="2"/>
        <v>1571.4285714285718</v>
      </c>
      <c r="T33" s="725" t="str">
        <f t="shared" si="2"/>
        <v/>
      </c>
    </row>
    <row r="34" spans="2:20">
      <c r="B34" s="1791"/>
      <c r="C34" s="728">
        <v>31</v>
      </c>
      <c r="D34" s="731" t="s">
        <v>2894</v>
      </c>
      <c r="E34" s="728" t="s">
        <v>1392</v>
      </c>
      <c r="F34" s="729">
        <v>449</v>
      </c>
      <c r="G34" s="726">
        <v>166</v>
      </c>
      <c r="H34" s="727">
        <f t="shared" si="1"/>
        <v>74534</v>
      </c>
      <c r="I34" s="727">
        <v>-6000</v>
      </c>
      <c r="J34" s="730">
        <f>83/166</f>
        <v>0.5</v>
      </c>
      <c r="K34" s="727">
        <v>520000</v>
      </c>
      <c r="L34" s="727">
        <v>13748960</v>
      </c>
      <c r="M34" s="724">
        <f t="shared" si="2"/>
        <v>79692.530120481926</v>
      </c>
      <c r="N34" s="724">
        <f t="shared" si="2"/>
        <v>38280</v>
      </c>
      <c r="O34" s="724">
        <f t="shared" si="2"/>
        <v>24475.823293172693</v>
      </c>
      <c r="P34" s="724">
        <f t="shared" si="2"/>
        <v>17573.734939759037</v>
      </c>
      <c r="Q34" s="724">
        <f t="shared" si="2"/>
        <v>13432.481927710844</v>
      </c>
      <c r="R34" s="724">
        <f t="shared" si="2"/>
        <v>10671.646586345383</v>
      </c>
      <c r="S34" s="724">
        <f t="shared" si="2"/>
        <v>8699.6213425129099</v>
      </c>
      <c r="T34" s="725">
        <f t="shared" si="2"/>
        <v>7220.6024096385545</v>
      </c>
    </row>
    <row r="35" spans="2:20">
      <c r="B35" s="1791"/>
      <c r="C35" s="728">
        <v>32</v>
      </c>
      <c r="D35" s="731" t="s">
        <v>1470</v>
      </c>
      <c r="E35" s="728" t="s">
        <v>1392</v>
      </c>
      <c r="F35" s="729">
        <v>544</v>
      </c>
      <c r="G35" s="726">
        <v>137</v>
      </c>
      <c r="H35" s="727">
        <f t="shared" si="1"/>
        <v>74528</v>
      </c>
      <c r="I35" s="726"/>
      <c r="J35" s="730">
        <f>75/137</f>
        <v>0.54744525547445255</v>
      </c>
      <c r="K35" s="727">
        <v>476000</v>
      </c>
      <c r="L35" s="727">
        <v>13768720</v>
      </c>
      <c r="M35" s="724">
        <f t="shared" si="2"/>
        <v>97027.153284671527</v>
      </c>
      <c r="N35" s="724">
        <f t="shared" si="2"/>
        <v>46776.350364963502</v>
      </c>
      <c r="O35" s="724">
        <f t="shared" si="2"/>
        <v>30026.082725060824</v>
      </c>
      <c r="P35" s="724">
        <f t="shared" si="2"/>
        <v>21650.94890510949</v>
      </c>
      <c r="Q35" s="724">
        <f t="shared" si="2"/>
        <v>16625.868613138686</v>
      </c>
      <c r="R35" s="724">
        <f t="shared" si="2"/>
        <v>13275.81508515815</v>
      </c>
      <c r="S35" s="724">
        <f t="shared" si="2"/>
        <v>10882.919708029198</v>
      </c>
      <c r="T35" s="725">
        <f t="shared" si="2"/>
        <v>9088.2481751824816</v>
      </c>
    </row>
    <row r="36" spans="2:20">
      <c r="B36" s="1791"/>
      <c r="C36" s="728">
        <v>33</v>
      </c>
      <c r="D36" s="731" t="s">
        <v>3059</v>
      </c>
      <c r="E36" s="728" t="s">
        <v>1425</v>
      </c>
      <c r="F36" s="729">
        <v>459</v>
      </c>
      <c r="G36" s="726">
        <v>172</v>
      </c>
      <c r="H36" s="727">
        <f t="shared" si="1"/>
        <v>78948</v>
      </c>
      <c r="I36" s="726"/>
      <c r="J36" s="730">
        <f>43/172</f>
        <v>0.25</v>
      </c>
      <c r="K36" s="727">
        <v>1784000</v>
      </c>
      <c r="L36" s="727">
        <v>15013440</v>
      </c>
      <c r="M36" s="724">
        <f t="shared" si="2"/>
        <v>76915.348837209298</v>
      </c>
      <c r="N36" s="724">
        <f t="shared" si="2"/>
        <v>33271.627906976741</v>
      </c>
      <c r="O36" s="724">
        <f t="shared" si="2"/>
        <v>18723.720930232557</v>
      </c>
      <c r="P36" s="724">
        <f t="shared" si="2"/>
        <v>11449.767441860466</v>
      </c>
      <c r="Q36" s="724">
        <f t="shared" si="2"/>
        <v>7085.395348837209</v>
      </c>
      <c r="R36" s="724">
        <f t="shared" si="2"/>
        <v>4175.8139534883721</v>
      </c>
      <c r="S36" s="724">
        <f t="shared" si="2"/>
        <v>2097.5415282392019</v>
      </c>
      <c r="T36" s="725">
        <f t="shared" si="2"/>
        <v>538.83720930232562</v>
      </c>
    </row>
    <row r="37" spans="2:20">
      <c r="B37" s="1791"/>
      <c r="C37" s="728">
        <v>34</v>
      </c>
      <c r="D37" s="731" t="s">
        <v>1807</v>
      </c>
      <c r="E37" s="728" t="s">
        <v>1425</v>
      </c>
      <c r="F37" s="729">
        <v>552</v>
      </c>
      <c r="G37" s="726">
        <v>143</v>
      </c>
      <c r="H37" s="727">
        <f t="shared" si="1"/>
        <v>78936</v>
      </c>
      <c r="I37" s="726"/>
      <c r="J37" s="730">
        <f>42/143</f>
        <v>0.2937062937062937</v>
      </c>
      <c r="K37" s="727">
        <v>600000</v>
      </c>
      <c r="L37" s="727">
        <v>15005360</v>
      </c>
      <c r="M37" s="724">
        <f t="shared" ref="M37:T54" si="3">IF(($L37/M$1-$K37)/$G37&gt;0,($L37/M$1-$K37)/$G37,"")</f>
        <v>100736.78321678322</v>
      </c>
      <c r="N37" s="724">
        <f t="shared" si="3"/>
        <v>48270.489510489511</v>
      </c>
      <c r="O37" s="724">
        <f t="shared" si="3"/>
        <v>30781.724941724944</v>
      </c>
      <c r="P37" s="724">
        <f t="shared" si="3"/>
        <v>22037.342657342659</v>
      </c>
      <c r="Q37" s="724">
        <f t="shared" si="3"/>
        <v>16790.713286713286</v>
      </c>
      <c r="R37" s="724">
        <f t="shared" si="3"/>
        <v>13292.960372960373</v>
      </c>
      <c r="S37" s="724">
        <f t="shared" si="3"/>
        <v>10794.565434565435</v>
      </c>
      <c r="T37" s="725">
        <f t="shared" si="3"/>
        <v>8920.7692307692305</v>
      </c>
    </row>
    <row r="38" spans="2:20">
      <c r="B38" s="1791"/>
      <c r="C38" s="728">
        <v>35</v>
      </c>
      <c r="D38" s="731" t="s">
        <v>1442</v>
      </c>
      <c r="E38" s="728" t="s">
        <v>1414</v>
      </c>
      <c r="F38" s="729">
        <v>530</v>
      </c>
      <c r="G38" s="726">
        <v>157</v>
      </c>
      <c r="H38" s="727">
        <f t="shared" si="1"/>
        <v>83210</v>
      </c>
      <c r="I38" s="727">
        <v>-20000</v>
      </c>
      <c r="J38" s="730">
        <f>88/157</f>
        <v>0.56050955414012738</v>
      </c>
      <c r="K38" s="727">
        <v>1600000</v>
      </c>
      <c r="L38" s="727">
        <v>15901360</v>
      </c>
      <c r="M38" s="724">
        <f t="shared" si="3"/>
        <v>91091.464968152868</v>
      </c>
      <c r="N38" s="724">
        <f t="shared" si="3"/>
        <v>40450.19108280255</v>
      </c>
      <c r="O38" s="724">
        <f t="shared" si="3"/>
        <v>23569.766454352441</v>
      </c>
      <c r="P38" s="724">
        <f t="shared" si="3"/>
        <v>15129.554140127388</v>
      </c>
      <c r="Q38" s="724">
        <f t="shared" si="3"/>
        <v>10065.426751592357</v>
      </c>
      <c r="R38" s="724">
        <f t="shared" si="3"/>
        <v>6689.3418259023347</v>
      </c>
      <c r="S38" s="724">
        <f t="shared" si="3"/>
        <v>4277.8525932666071</v>
      </c>
      <c r="T38" s="725">
        <f t="shared" si="3"/>
        <v>2469.2356687898091</v>
      </c>
    </row>
    <row r="39" spans="2:20">
      <c r="B39" s="1791"/>
      <c r="C39" s="728">
        <v>36</v>
      </c>
      <c r="D39" s="731" t="s">
        <v>2729</v>
      </c>
      <c r="E39" s="728" t="s">
        <v>1414</v>
      </c>
      <c r="F39" s="729">
        <v>487</v>
      </c>
      <c r="G39" s="726">
        <v>171</v>
      </c>
      <c r="H39" s="727">
        <f t="shared" si="1"/>
        <v>83277</v>
      </c>
      <c r="I39" s="726"/>
      <c r="J39" s="730">
        <f>80/171</f>
        <v>0.46783625730994149</v>
      </c>
      <c r="K39" s="727">
        <v>2300000</v>
      </c>
      <c r="L39" s="727">
        <v>16660080</v>
      </c>
      <c r="M39" s="724">
        <f t="shared" si="3"/>
        <v>83977.076023391812</v>
      </c>
      <c r="N39" s="724">
        <f t="shared" si="3"/>
        <v>35263.391812865499</v>
      </c>
      <c r="O39" s="724">
        <f t="shared" si="3"/>
        <v>19025.497076023392</v>
      </c>
      <c r="P39" s="724">
        <f t="shared" si="3"/>
        <v>10906.549707602338</v>
      </c>
      <c r="Q39" s="724">
        <f t="shared" si="3"/>
        <v>6035.1812865497077</v>
      </c>
      <c r="R39" s="724">
        <f t="shared" si="3"/>
        <v>2787.6023391812864</v>
      </c>
      <c r="S39" s="724">
        <f t="shared" si="3"/>
        <v>467.90309106098618</v>
      </c>
      <c r="T39" s="725" t="str">
        <f t="shared" si="3"/>
        <v/>
      </c>
    </row>
    <row r="40" spans="2:20">
      <c r="B40" s="1791"/>
      <c r="C40" s="728">
        <v>37</v>
      </c>
      <c r="D40" s="731" t="s">
        <v>3062</v>
      </c>
      <c r="E40" s="728" t="s">
        <v>1414</v>
      </c>
      <c r="F40" s="729">
        <v>555</v>
      </c>
      <c r="G40" s="726">
        <v>150</v>
      </c>
      <c r="H40" s="727">
        <f t="shared" si="1"/>
        <v>83250</v>
      </c>
      <c r="I40" s="726"/>
      <c r="J40" s="730">
        <f>41/150</f>
        <v>0.27333333333333332</v>
      </c>
      <c r="K40" s="727">
        <v>440000</v>
      </c>
      <c r="L40" s="727">
        <v>16772000</v>
      </c>
      <c r="M40" s="724">
        <f t="shared" si="3"/>
        <v>108880</v>
      </c>
      <c r="N40" s="724">
        <f t="shared" si="3"/>
        <v>52973.333333333336</v>
      </c>
      <c r="O40" s="724">
        <f t="shared" si="3"/>
        <v>34337.777777777781</v>
      </c>
      <c r="P40" s="724">
        <f t="shared" si="3"/>
        <v>25020</v>
      </c>
      <c r="Q40" s="724">
        <f t="shared" si="3"/>
        <v>19429.333333333332</v>
      </c>
      <c r="R40" s="724">
        <f t="shared" si="3"/>
        <v>15702.222222222223</v>
      </c>
      <c r="S40" s="724">
        <f t="shared" si="3"/>
        <v>13040</v>
      </c>
      <c r="T40" s="725">
        <f t="shared" si="3"/>
        <v>11043.333333333334</v>
      </c>
    </row>
    <row r="41" spans="2:20">
      <c r="B41" s="1791"/>
      <c r="C41" s="728">
        <v>38</v>
      </c>
      <c r="D41" s="731" t="s">
        <v>2845</v>
      </c>
      <c r="E41" s="728" t="s">
        <v>1403</v>
      </c>
      <c r="F41" s="729">
        <v>545</v>
      </c>
      <c r="G41" s="726">
        <v>174</v>
      </c>
      <c r="H41" s="727">
        <f t="shared" si="1"/>
        <v>94830</v>
      </c>
      <c r="I41" s="727">
        <v>4000</v>
      </c>
      <c r="J41" s="730">
        <f>73/174</f>
        <v>0.41954022988505746</v>
      </c>
      <c r="K41" s="727">
        <v>1500000</v>
      </c>
      <c r="L41" s="727">
        <v>18164440</v>
      </c>
      <c r="M41" s="724">
        <f t="shared" si="3"/>
        <v>95772.643678160923</v>
      </c>
      <c r="N41" s="724">
        <f t="shared" si="3"/>
        <v>43575.977011494251</v>
      </c>
      <c r="O41" s="724">
        <f t="shared" si="3"/>
        <v>26177.088122605361</v>
      </c>
      <c r="P41" s="724">
        <f t="shared" si="3"/>
        <v>17477.643678160919</v>
      </c>
      <c r="Q41" s="724">
        <f t="shared" si="3"/>
        <v>12257.977011494253</v>
      </c>
      <c r="R41" s="724">
        <f t="shared" si="3"/>
        <v>8778.1992337164738</v>
      </c>
      <c r="S41" s="724">
        <f t="shared" si="3"/>
        <v>6292.64367816092</v>
      </c>
      <c r="T41" s="725">
        <f t="shared" si="3"/>
        <v>4428.477011494253</v>
      </c>
    </row>
    <row r="42" spans="2:20">
      <c r="B42" s="1791"/>
      <c r="C42" s="728">
        <v>39</v>
      </c>
      <c r="D42" s="731" t="s">
        <v>1446</v>
      </c>
      <c r="E42" s="728" t="s">
        <v>1403</v>
      </c>
      <c r="F42" s="729">
        <v>713</v>
      </c>
      <c r="G42" s="726">
        <v>133</v>
      </c>
      <c r="H42" s="727">
        <f t="shared" si="1"/>
        <v>94829</v>
      </c>
      <c r="I42" s="726"/>
      <c r="J42" s="730">
        <f>45/133</f>
        <v>0.33834586466165412</v>
      </c>
      <c r="K42" s="727">
        <v>477000</v>
      </c>
      <c r="L42" s="727">
        <v>17800980</v>
      </c>
      <c r="M42" s="724">
        <f t="shared" si="3"/>
        <v>130255.4887218045</v>
      </c>
      <c r="N42" s="724">
        <f t="shared" si="3"/>
        <v>63334.511278195489</v>
      </c>
      <c r="O42" s="724">
        <f t="shared" si="3"/>
        <v>41027.518796992481</v>
      </c>
      <c r="P42" s="724">
        <f t="shared" si="3"/>
        <v>29874.022556390977</v>
      </c>
      <c r="Q42" s="724">
        <f t="shared" si="3"/>
        <v>23181.924812030076</v>
      </c>
      <c r="R42" s="724">
        <f t="shared" si="3"/>
        <v>18720.526315789473</v>
      </c>
      <c r="S42" s="724">
        <f t="shared" si="3"/>
        <v>15533.813104189043</v>
      </c>
      <c r="T42" s="725">
        <f t="shared" si="3"/>
        <v>13143.778195488721</v>
      </c>
    </row>
    <row r="43" spans="2:20">
      <c r="B43" s="1791"/>
      <c r="C43" s="728">
        <v>40</v>
      </c>
      <c r="D43" s="731" t="s">
        <v>3060</v>
      </c>
      <c r="E43" s="728" t="s">
        <v>1403</v>
      </c>
      <c r="F43" s="729">
        <v>604</v>
      </c>
      <c r="G43" s="726">
        <v>157</v>
      </c>
      <c r="H43" s="727">
        <f t="shared" si="1"/>
        <v>94828</v>
      </c>
      <c r="I43" s="726"/>
      <c r="J43" s="730">
        <f>59/157</f>
        <v>0.37579617834394907</v>
      </c>
      <c r="K43" s="727">
        <v>475000</v>
      </c>
      <c r="L43" s="727">
        <v>18806420</v>
      </c>
      <c r="M43" s="724">
        <f t="shared" si="3"/>
        <v>116760.63694267516</v>
      </c>
      <c r="N43" s="724">
        <f t="shared" si="3"/>
        <v>56867.579617834395</v>
      </c>
      <c r="O43" s="724">
        <f t="shared" si="3"/>
        <v>36903.227176220811</v>
      </c>
      <c r="P43" s="724">
        <f t="shared" si="3"/>
        <v>26921.050955414012</v>
      </c>
      <c r="Q43" s="724">
        <f t="shared" si="3"/>
        <v>20931.745222929938</v>
      </c>
      <c r="R43" s="724">
        <f t="shared" si="3"/>
        <v>16938.87473460722</v>
      </c>
      <c r="S43" s="724">
        <f t="shared" si="3"/>
        <v>14086.824385805277</v>
      </c>
      <c r="T43" s="725">
        <f t="shared" si="3"/>
        <v>11947.786624203822</v>
      </c>
    </row>
    <row r="44" spans="2:20">
      <c r="B44" s="1791"/>
      <c r="C44" s="728">
        <v>41</v>
      </c>
      <c r="D44" s="731" t="s">
        <v>1451</v>
      </c>
      <c r="E44" s="728" t="s">
        <v>1425</v>
      </c>
      <c r="F44" s="729">
        <v>817</v>
      </c>
      <c r="G44" s="726">
        <v>129</v>
      </c>
      <c r="H44" s="727">
        <f t="shared" si="1"/>
        <v>105393</v>
      </c>
      <c r="I44" s="732">
        <v>5200</v>
      </c>
      <c r="J44" s="730">
        <f>49/129</f>
        <v>0.37984496124031009</v>
      </c>
      <c r="K44" s="727">
        <v>450000</v>
      </c>
      <c r="L44" s="727">
        <v>19018600</v>
      </c>
      <c r="M44" s="724">
        <f t="shared" si="3"/>
        <v>143942.63565891472</v>
      </c>
      <c r="N44" s="724">
        <f t="shared" si="3"/>
        <v>70227.13178294574</v>
      </c>
      <c r="O44" s="724">
        <f t="shared" si="3"/>
        <v>45655.297157622736</v>
      </c>
      <c r="P44" s="724">
        <f t="shared" si="3"/>
        <v>33369.379844961237</v>
      </c>
      <c r="Q44" s="724">
        <f t="shared" si="3"/>
        <v>25997.82945736434</v>
      </c>
      <c r="R44" s="724">
        <f t="shared" si="3"/>
        <v>21083.462532299742</v>
      </c>
      <c r="S44" s="724">
        <f t="shared" si="3"/>
        <v>17573.200442967885</v>
      </c>
      <c r="T44" s="725">
        <f t="shared" si="3"/>
        <v>14940.503875968992</v>
      </c>
    </row>
    <row r="45" spans="2:20">
      <c r="B45" s="1791"/>
      <c r="C45" s="728">
        <v>42</v>
      </c>
      <c r="D45" s="731" t="s">
        <v>965</v>
      </c>
      <c r="E45" s="728" t="s">
        <v>1425</v>
      </c>
      <c r="F45" s="729">
        <v>635</v>
      </c>
      <c r="G45" s="726">
        <v>166</v>
      </c>
      <c r="H45" s="727">
        <f t="shared" si="1"/>
        <v>105410</v>
      </c>
      <c r="I45" s="726"/>
      <c r="J45" s="730">
        <f>47/166</f>
        <v>0.28313253012048195</v>
      </c>
      <c r="K45" s="727">
        <v>620000</v>
      </c>
      <c r="L45" s="727">
        <v>20384400</v>
      </c>
      <c r="M45" s="724">
        <f t="shared" si="3"/>
        <v>119062.65060240965</v>
      </c>
      <c r="N45" s="724">
        <f t="shared" si="3"/>
        <v>57663.855421686749</v>
      </c>
      <c r="O45" s="724">
        <f t="shared" si="3"/>
        <v>37197.590361445786</v>
      </c>
      <c r="P45" s="724">
        <f t="shared" si="3"/>
        <v>26964.457831325301</v>
      </c>
      <c r="Q45" s="724">
        <f t="shared" si="3"/>
        <v>20824.578313253012</v>
      </c>
      <c r="R45" s="724">
        <f t="shared" si="3"/>
        <v>16731.325301204819</v>
      </c>
      <c r="S45" s="724">
        <f t="shared" si="3"/>
        <v>13807.573149741824</v>
      </c>
      <c r="T45" s="725">
        <f t="shared" si="3"/>
        <v>11614.759036144578</v>
      </c>
    </row>
    <row r="46" spans="2:20">
      <c r="B46" s="1791"/>
      <c r="C46" s="728">
        <v>43</v>
      </c>
      <c r="D46" s="731" t="s">
        <v>1807</v>
      </c>
      <c r="E46" s="728" t="s">
        <v>1425</v>
      </c>
      <c r="F46" s="729">
        <v>737</v>
      </c>
      <c r="G46" s="726">
        <v>143</v>
      </c>
      <c r="H46" s="727">
        <f t="shared" si="1"/>
        <v>105391</v>
      </c>
      <c r="I46" s="726"/>
      <c r="J46" s="730">
        <f>42/143</f>
        <v>0.2937062937062937</v>
      </c>
      <c r="K46" s="727">
        <v>600000</v>
      </c>
      <c r="L46" s="727">
        <v>20346200</v>
      </c>
      <c r="M46" s="724">
        <f t="shared" si="3"/>
        <v>138085.31468531469</v>
      </c>
      <c r="N46" s="724">
        <f t="shared" si="3"/>
        <v>66944.755244755244</v>
      </c>
      <c r="O46" s="724">
        <f t="shared" si="3"/>
        <v>43231.235431235436</v>
      </c>
      <c r="P46" s="724">
        <f t="shared" si="3"/>
        <v>31374.475524475525</v>
      </c>
      <c r="Q46" s="724">
        <f t="shared" si="3"/>
        <v>24260.419580419581</v>
      </c>
      <c r="R46" s="724">
        <f t="shared" si="3"/>
        <v>19517.715617715618</v>
      </c>
      <c r="S46" s="724">
        <f t="shared" si="3"/>
        <v>16130.069930069931</v>
      </c>
      <c r="T46" s="725">
        <f t="shared" si="3"/>
        <v>13589.335664335664</v>
      </c>
    </row>
    <row r="47" spans="2:20">
      <c r="B47" s="1791"/>
      <c r="C47" s="728">
        <v>44</v>
      </c>
      <c r="D47" s="731" t="s">
        <v>1421</v>
      </c>
      <c r="E47" s="728" t="s">
        <v>1392</v>
      </c>
      <c r="F47" s="729">
        <v>786</v>
      </c>
      <c r="G47" s="726">
        <v>149</v>
      </c>
      <c r="H47" s="727">
        <f>F47*G47</f>
        <v>117114</v>
      </c>
      <c r="I47" s="726"/>
      <c r="J47" s="730">
        <f>56/149</f>
        <v>0.37583892617449666</v>
      </c>
      <c r="K47" s="727">
        <v>476000</v>
      </c>
      <c r="L47" s="727">
        <v>21672000</v>
      </c>
      <c r="M47" s="724">
        <f t="shared" si="3"/>
        <v>142255.03355704699</v>
      </c>
      <c r="N47" s="724">
        <f t="shared" si="3"/>
        <v>69530.201342281885</v>
      </c>
      <c r="O47" s="724">
        <f t="shared" si="3"/>
        <v>45288.590604026846</v>
      </c>
      <c r="P47" s="724">
        <f t="shared" si="3"/>
        <v>33167.785234899326</v>
      </c>
      <c r="Q47" s="724">
        <f t="shared" si="3"/>
        <v>25895.302013422817</v>
      </c>
      <c r="R47" s="724">
        <f t="shared" si="3"/>
        <v>21046.979865771813</v>
      </c>
      <c r="S47" s="724">
        <f t="shared" si="3"/>
        <v>17583.892617449663</v>
      </c>
      <c r="T47" s="725">
        <f t="shared" si="3"/>
        <v>14986.577181208053</v>
      </c>
    </row>
    <row r="48" spans="2:20">
      <c r="B48" s="1791"/>
      <c r="C48" s="728">
        <v>45</v>
      </c>
      <c r="D48" s="731" t="s">
        <v>3056</v>
      </c>
      <c r="E48" s="728" t="s">
        <v>1392</v>
      </c>
      <c r="F48" s="729">
        <v>714</v>
      </c>
      <c r="G48" s="726">
        <v>164</v>
      </c>
      <c r="H48" s="727">
        <f t="shared" si="1"/>
        <v>117096</v>
      </c>
      <c r="I48" s="727">
        <v>-2000</v>
      </c>
      <c r="J48" s="730">
        <f>51/164</f>
        <v>0.31097560975609756</v>
      </c>
      <c r="K48" s="727">
        <v>512000</v>
      </c>
      <c r="L48" s="727">
        <v>22592000</v>
      </c>
      <c r="M48" s="724">
        <f t="shared" si="3"/>
        <v>134634.14634146341</v>
      </c>
      <c r="N48" s="724">
        <f t="shared" si="3"/>
        <v>65756.097560975613</v>
      </c>
      <c r="O48" s="724">
        <f t="shared" si="3"/>
        <v>42796.747967479678</v>
      </c>
      <c r="P48" s="724">
        <f t="shared" si="3"/>
        <v>31317.073170731706</v>
      </c>
      <c r="Q48" s="724">
        <f t="shared" si="3"/>
        <v>24429.268292682926</v>
      </c>
      <c r="R48" s="724">
        <f t="shared" si="3"/>
        <v>19837.398373983742</v>
      </c>
      <c r="S48" s="724">
        <f t="shared" si="3"/>
        <v>16557.491289198606</v>
      </c>
      <c r="T48" s="725">
        <f t="shared" si="3"/>
        <v>14097.560975609756</v>
      </c>
    </row>
    <row r="49" spans="2:20">
      <c r="B49" s="1791"/>
      <c r="C49" s="728">
        <v>46</v>
      </c>
      <c r="D49" s="731" t="s">
        <v>2851</v>
      </c>
      <c r="E49" s="728" t="s">
        <v>1409</v>
      </c>
      <c r="F49" s="729">
        <v>815</v>
      </c>
      <c r="G49" s="726">
        <v>158</v>
      </c>
      <c r="H49" s="727">
        <f t="shared" si="1"/>
        <v>128770</v>
      </c>
      <c r="I49" s="726"/>
      <c r="J49" s="730">
        <f>74/158</f>
        <v>0.46835443037974683</v>
      </c>
      <c r="K49" s="727">
        <v>1437000</v>
      </c>
      <c r="L49" s="727">
        <v>23366400</v>
      </c>
      <c r="M49" s="724">
        <f t="shared" si="3"/>
        <v>138793.67088607594</v>
      </c>
      <c r="N49" s="724">
        <f t="shared" si="3"/>
        <v>64849.367088607592</v>
      </c>
      <c r="O49" s="724">
        <f t="shared" si="3"/>
        <v>40201.265822784808</v>
      </c>
      <c r="P49" s="724">
        <f t="shared" si="3"/>
        <v>27877.215189873419</v>
      </c>
      <c r="Q49" s="724">
        <f t="shared" si="3"/>
        <v>20482.784810126581</v>
      </c>
      <c r="R49" s="724">
        <f t="shared" si="3"/>
        <v>15553.164556962025</v>
      </c>
      <c r="S49" s="724">
        <f t="shared" si="3"/>
        <v>12032.007233273056</v>
      </c>
      <c r="T49" s="725">
        <f t="shared" si="3"/>
        <v>9391.1392405063289</v>
      </c>
    </row>
    <row r="50" spans="2:20">
      <c r="B50" s="1791"/>
      <c r="C50" s="728">
        <v>47</v>
      </c>
      <c r="D50" s="731" t="s">
        <v>2891</v>
      </c>
      <c r="E50" s="728" t="s">
        <v>1409</v>
      </c>
      <c r="F50" s="729">
        <v>805</v>
      </c>
      <c r="G50" s="726">
        <v>160</v>
      </c>
      <c r="H50" s="727">
        <f t="shared" si="1"/>
        <v>128800</v>
      </c>
      <c r="I50" s="726"/>
      <c r="J50" s="730">
        <f>101/160</f>
        <v>0.63124999999999998</v>
      </c>
      <c r="K50" s="727">
        <v>1200000</v>
      </c>
      <c r="L50" s="727">
        <v>23928000</v>
      </c>
      <c r="M50" s="724">
        <f t="shared" si="3"/>
        <v>142050</v>
      </c>
      <c r="N50" s="724">
        <f t="shared" si="3"/>
        <v>67275</v>
      </c>
      <c r="O50" s="724">
        <f t="shared" si="3"/>
        <v>42350</v>
      </c>
      <c r="P50" s="724">
        <f t="shared" si="3"/>
        <v>29887.5</v>
      </c>
      <c r="Q50" s="724">
        <f t="shared" si="3"/>
        <v>22410</v>
      </c>
      <c r="R50" s="724">
        <f t="shared" si="3"/>
        <v>17425</v>
      </c>
      <c r="S50" s="724">
        <f t="shared" si="3"/>
        <v>13864.285714285714</v>
      </c>
      <c r="T50" s="725">
        <f t="shared" si="3"/>
        <v>11193.75</v>
      </c>
    </row>
    <row r="51" spans="2:20">
      <c r="B51" s="1791"/>
      <c r="C51" s="728">
        <v>48</v>
      </c>
      <c r="D51" s="731" t="s">
        <v>3058</v>
      </c>
      <c r="E51" s="728" t="s">
        <v>1409</v>
      </c>
      <c r="F51" s="729">
        <v>732</v>
      </c>
      <c r="G51" s="726">
        <v>176</v>
      </c>
      <c r="H51" s="727">
        <f t="shared" si="1"/>
        <v>128832</v>
      </c>
      <c r="I51" s="726"/>
      <c r="J51" s="730">
        <f>62/176</f>
        <v>0.35227272727272729</v>
      </c>
      <c r="K51" s="727">
        <v>476000</v>
      </c>
      <c r="L51" s="727">
        <v>24920800</v>
      </c>
      <c r="M51" s="724">
        <f t="shared" si="3"/>
        <v>138890.90909090909</v>
      </c>
      <c r="N51" s="724">
        <f t="shared" si="3"/>
        <v>68093.181818181823</v>
      </c>
      <c r="O51" s="724">
        <f t="shared" si="3"/>
        <v>44493.939393939392</v>
      </c>
      <c r="P51" s="724">
        <f t="shared" si="3"/>
        <v>32694.31818181818</v>
      </c>
      <c r="Q51" s="724">
        <f t="shared" si="3"/>
        <v>25614.545454545456</v>
      </c>
      <c r="R51" s="724">
        <f t="shared" si="3"/>
        <v>20894.696969696968</v>
      </c>
      <c r="S51" s="724">
        <f t="shared" si="3"/>
        <v>17523.376623376626</v>
      </c>
      <c r="T51" s="725">
        <f t="shared" si="3"/>
        <v>14994.886363636364</v>
      </c>
    </row>
    <row r="52" spans="2:20">
      <c r="B52" s="1791"/>
      <c r="C52" s="728">
        <v>49</v>
      </c>
      <c r="D52" s="731" t="s">
        <v>1418</v>
      </c>
      <c r="E52" s="728" t="s">
        <v>1406</v>
      </c>
      <c r="F52" s="729">
        <v>768</v>
      </c>
      <c r="G52" s="726">
        <v>183</v>
      </c>
      <c r="H52" s="727">
        <f t="shared" si="1"/>
        <v>140544</v>
      </c>
      <c r="I52" s="726"/>
      <c r="J52" s="730">
        <f>103/183</f>
        <v>0.56284153005464477</v>
      </c>
      <c r="K52" s="727">
        <v>1900000</v>
      </c>
      <c r="L52" s="727">
        <v>26588000</v>
      </c>
      <c r="M52" s="724">
        <f t="shared" si="3"/>
        <v>134907.10382513661</v>
      </c>
      <c r="N52" s="724">
        <f t="shared" si="3"/>
        <v>62262.295081967211</v>
      </c>
      <c r="O52" s="724">
        <f t="shared" si="3"/>
        <v>38047.358834244078</v>
      </c>
      <c r="P52" s="724">
        <f t="shared" si="3"/>
        <v>25939.890710382515</v>
      </c>
      <c r="Q52" s="724">
        <f t="shared" si="3"/>
        <v>18675.409836065573</v>
      </c>
      <c r="R52" s="724">
        <f t="shared" si="3"/>
        <v>13832.422586520945</v>
      </c>
      <c r="S52" s="724">
        <f t="shared" si="3"/>
        <v>10373.145979703355</v>
      </c>
      <c r="T52" s="725">
        <f t="shared" si="3"/>
        <v>7778.688524590164</v>
      </c>
    </row>
    <row r="53" spans="2:20" ht="23.25" thickBot="1">
      <c r="B53" s="1792"/>
      <c r="C53" s="748">
        <v>50</v>
      </c>
      <c r="D53" s="913" t="s">
        <v>974</v>
      </c>
      <c r="E53" s="748" t="s">
        <v>1406</v>
      </c>
      <c r="F53" s="749">
        <v>969</v>
      </c>
      <c r="G53" s="750">
        <v>145</v>
      </c>
      <c r="H53" s="751">
        <f t="shared" si="1"/>
        <v>140505</v>
      </c>
      <c r="I53" s="914" t="s">
        <v>3055</v>
      </c>
      <c r="J53" s="752">
        <f>53/145</f>
        <v>0.36551724137931035</v>
      </c>
      <c r="K53" s="751">
        <v>510000</v>
      </c>
      <c r="L53" s="751">
        <v>26220000</v>
      </c>
      <c r="M53" s="741">
        <f t="shared" si="3"/>
        <v>177310.3448275862</v>
      </c>
      <c r="N53" s="741">
        <f t="shared" si="3"/>
        <v>86896.551724137928</v>
      </c>
      <c r="O53" s="741">
        <f t="shared" si="3"/>
        <v>56758.620689655174</v>
      </c>
      <c r="P53" s="741">
        <f t="shared" si="3"/>
        <v>41689.65517241379</v>
      </c>
      <c r="Q53" s="741">
        <f t="shared" si="3"/>
        <v>32648.275862068964</v>
      </c>
      <c r="R53" s="741">
        <f t="shared" si="3"/>
        <v>26620.689655172413</v>
      </c>
      <c r="S53" s="741">
        <f t="shared" si="3"/>
        <v>22315.270935960594</v>
      </c>
      <c r="T53" s="742">
        <f t="shared" si="3"/>
        <v>19086.206896551725</v>
      </c>
    </row>
    <row r="54" spans="2:20">
      <c r="B54" s="1790">
        <v>2</v>
      </c>
      <c r="C54" s="745">
        <v>1</v>
      </c>
      <c r="D54" s="746" t="s">
        <v>967</v>
      </c>
      <c r="E54" s="745" t="s">
        <v>1406</v>
      </c>
      <c r="F54" s="743">
        <v>49</v>
      </c>
      <c r="G54" s="743">
        <v>116</v>
      </c>
      <c r="H54" s="744">
        <f>F54*G54</f>
        <v>5684</v>
      </c>
      <c r="I54" s="743"/>
      <c r="J54" s="747">
        <f>40/116</f>
        <v>0.34482758620689657</v>
      </c>
      <c r="K54" s="744">
        <v>279000</v>
      </c>
      <c r="L54" s="744">
        <v>1064960</v>
      </c>
      <c r="M54" s="739">
        <f t="shared" si="3"/>
        <v>6775.5172413793107</v>
      </c>
      <c r="N54" s="739">
        <f t="shared" si="3"/>
        <v>2185.1724137931033</v>
      </c>
      <c r="O54" s="739">
        <f t="shared" si="3"/>
        <v>655.05747126436802</v>
      </c>
      <c r="P54" s="739" t="str">
        <f t="shared" si="3"/>
        <v/>
      </c>
      <c r="Q54" s="739" t="str">
        <f t="shared" si="3"/>
        <v/>
      </c>
      <c r="R54" s="739" t="str">
        <f t="shared" si="3"/>
        <v/>
      </c>
      <c r="S54" s="739" t="str">
        <f t="shared" si="3"/>
        <v/>
      </c>
      <c r="T54" s="740" t="str">
        <f t="shared" si="3"/>
        <v/>
      </c>
    </row>
    <row r="55" spans="2:20">
      <c r="B55" s="1791"/>
      <c r="C55" s="728">
        <v>2</v>
      </c>
      <c r="D55" s="729" t="s">
        <v>2852</v>
      </c>
      <c r="E55" s="728" t="s">
        <v>1409</v>
      </c>
      <c r="F55" s="726">
        <v>74</v>
      </c>
      <c r="G55" s="726">
        <v>110</v>
      </c>
      <c r="H55" s="727">
        <f t="shared" ref="H55:H103" si="4">F55*G55</f>
        <v>8140</v>
      </c>
      <c r="I55" s="726"/>
      <c r="J55" s="730">
        <f>38/110</f>
        <v>0.34545454545454546</v>
      </c>
      <c r="K55" s="727">
        <v>351000</v>
      </c>
      <c r="L55" s="727">
        <v>1099000</v>
      </c>
      <c r="M55" s="724">
        <f t="shared" ref="M55:T86" si="5">IF(($L55/M$1-$K55)/$G55&gt;0,($L55/M$1-$K55)/$G55,"")</f>
        <v>6800</v>
      </c>
      <c r="N55" s="724">
        <f t="shared" si="5"/>
        <v>1804.5454545454545</v>
      </c>
      <c r="O55" s="724">
        <f t="shared" si="5"/>
        <v>139.39393939393921</v>
      </c>
      <c r="P55" s="724" t="str">
        <f t="shared" si="5"/>
        <v/>
      </c>
      <c r="Q55" s="724" t="str">
        <f t="shared" si="5"/>
        <v/>
      </c>
      <c r="R55" s="724" t="str">
        <f t="shared" si="5"/>
        <v/>
      </c>
      <c r="S55" s="724" t="str">
        <f t="shared" si="5"/>
        <v/>
      </c>
      <c r="T55" s="725" t="str">
        <f t="shared" si="5"/>
        <v/>
      </c>
    </row>
    <row r="56" spans="2:20">
      <c r="B56" s="1791"/>
      <c r="C56" s="728">
        <v>3</v>
      </c>
      <c r="D56" s="729" t="s">
        <v>3074</v>
      </c>
      <c r="E56" s="728" t="s">
        <v>1403</v>
      </c>
      <c r="F56" s="726">
        <v>101</v>
      </c>
      <c r="G56" s="726">
        <v>116</v>
      </c>
      <c r="H56" s="727">
        <f t="shared" si="4"/>
        <v>11716</v>
      </c>
      <c r="I56" s="727">
        <v>20000</v>
      </c>
      <c r="J56" s="730">
        <f>52/116</f>
        <v>0.44827586206896552</v>
      </c>
      <c r="K56" s="727">
        <v>440000</v>
      </c>
      <c r="L56" s="727">
        <v>1650800</v>
      </c>
      <c r="M56" s="724">
        <f t="shared" si="5"/>
        <v>10437.931034482759</v>
      </c>
      <c r="N56" s="724">
        <f t="shared" si="5"/>
        <v>3322.4137931034484</v>
      </c>
      <c r="O56" s="724">
        <f t="shared" si="5"/>
        <v>950.5747126436778</v>
      </c>
      <c r="P56" s="724" t="str">
        <f t="shared" si="5"/>
        <v/>
      </c>
      <c r="Q56" s="724" t="str">
        <f t="shared" si="5"/>
        <v/>
      </c>
      <c r="R56" s="724" t="str">
        <f t="shared" si="5"/>
        <v/>
      </c>
      <c r="S56" s="724" t="str">
        <f t="shared" si="5"/>
        <v/>
      </c>
      <c r="T56" s="725" t="str">
        <f t="shared" si="5"/>
        <v/>
      </c>
    </row>
    <row r="57" spans="2:20">
      <c r="B57" s="1791"/>
      <c r="C57" s="728">
        <v>4</v>
      </c>
      <c r="D57" s="729" t="s">
        <v>1398</v>
      </c>
      <c r="E57" s="728" t="s">
        <v>1406</v>
      </c>
      <c r="F57" s="726">
        <v>120</v>
      </c>
      <c r="G57" s="726">
        <v>113</v>
      </c>
      <c r="H57" s="727">
        <f t="shared" si="4"/>
        <v>13560</v>
      </c>
      <c r="I57" s="726"/>
      <c r="J57" s="730">
        <f>38/113</f>
        <v>0.33628318584070799</v>
      </c>
      <c r="K57" s="727">
        <v>243000</v>
      </c>
      <c r="L57" s="727">
        <v>1669500</v>
      </c>
      <c r="M57" s="724">
        <f t="shared" si="5"/>
        <v>12623.893805309735</v>
      </c>
      <c r="N57" s="724">
        <f t="shared" si="5"/>
        <v>5236.7256637168139</v>
      </c>
      <c r="O57" s="724">
        <f t="shared" si="5"/>
        <v>2774.3362831858408</v>
      </c>
      <c r="P57" s="724">
        <f t="shared" si="5"/>
        <v>1543.141592920354</v>
      </c>
      <c r="Q57" s="724">
        <f t="shared" si="5"/>
        <v>804.42477876106193</v>
      </c>
      <c r="R57" s="724">
        <f t="shared" si="5"/>
        <v>311.94690265486724</v>
      </c>
      <c r="S57" s="724" t="str">
        <f t="shared" si="5"/>
        <v/>
      </c>
      <c r="T57" s="725" t="str">
        <f t="shared" si="5"/>
        <v/>
      </c>
    </row>
    <row r="58" spans="2:20">
      <c r="B58" s="1791"/>
      <c r="C58" s="728">
        <v>5</v>
      </c>
      <c r="D58" s="729" t="s">
        <v>1442</v>
      </c>
      <c r="E58" s="728" t="s">
        <v>1414</v>
      </c>
      <c r="F58" s="726">
        <v>162</v>
      </c>
      <c r="G58" s="726">
        <v>100</v>
      </c>
      <c r="H58" s="727">
        <f t="shared" si="4"/>
        <v>16200</v>
      </c>
      <c r="I58" s="727">
        <v>-11000</v>
      </c>
      <c r="J58" s="730">
        <f>63/100</f>
        <v>0.63</v>
      </c>
      <c r="K58" s="727">
        <v>700000</v>
      </c>
      <c r="L58" s="727">
        <v>2216000</v>
      </c>
      <c r="M58" s="724">
        <f t="shared" si="5"/>
        <v>15160</v>
      </c>
      <c r="N58" s="724">
        <f t="shared" si="5"/>
        <v>4080</v>
      </c>
      <c r="O58" s="724">
        <f t="shared" si="5"/>
        <v>386.66666666666629</v>
      </c>
      <c r="P58" s="724" t="str">
        <f t="shared" si="5"/>
        <v/>
      </c>
      <c r="Q58" s="724" t="str">
        <f t="shared" si="5"/>
        <v/>
      </c>
      <c r="R58" s="724" t="str">
        <f t="shared" si="5"/>
        <v/>
      </c>
      <c r="S58" s="724" t="str">
        <f t="shared" si="5"/>
        <v/>
      </c>
      <c r="T58" s="725" t="str">
        <f t="shared" si="5"/>
        <v/>
      </c>
    </row>
    <row r="59" spans="2:20">
      <c r="B59" s="1791"/>
      <c r="C59" s="728">
        <v>6</v>
      </c>
      <c r="D59" s="729" t="s">
        <v>3062</v>
      </c>
      <c r="E59" s="728" t="s">
        <v>1414</v>
      </c>
      <c r="F59" s="726">
        <v>120</v>
      </c>
      <c r="G59" s="726">
        <v>150</v>
      </c>
      <c r="H59" s="727">
        <f t="shared" si="4"/>
        <v>18000</v>
      </c>
      <c r="I59" s="726"/>
      <c r="J59" s="730">
        <f>41/150</f>
        <v>0.27333333333333332</v>
      </c>
      <c r="K59" s="727">
        <v>440000</v>
      </c>
      <c r="L59" s="727">
        <v>2360000</v>
      </c>
      <c r="M59" s="724">
        <f t="shared" si="5"/>
        <v>12800</v>
      </c>
      <c r="N59" s="724">
        <f t="shared" si="5"/>
        <v>4933.333333333333</v>
      </c>
      <c r="O59" s="724">
        <f t="shared" si="5"/>
        <v>2311.1111111111109</v>
      </c>
      <c r="P59" s="724">
        <f t="shared" si="5"/>
        <v>1000</v>
      </c>
      <c r="Q59" s="724">
        <f t="shared" si="5"/>
        <v>213.33333333333334</v>
      </c>
      <c r="R59" s="724" t="str">
        <f t="shared" si="5"/>
        <v/>
      </c>
      <c r="S59" s="724" t="str">
        <f t="shared" si="5"/>
        <v/>
      </c>
      <c r="T59" s="725" t="str">
        <f t="shared" si="5"/>
        <v/>
      </c>
    </row>
    <row r="60" spans="2:20">
      <c r="B60" s="1791"/>
      <c r="C60" s="728">
        <v>7</v>
      </c>
      <c r="D60" s="729" t="s">
        <v>2850</v>
      </c>
      <c r="E60" s="728" t="s">
        <v>1403</v>
      </c>
      <c r="F60" s="726">
        <v>150</v>
      </c>
      <c r="G60" s="726">
        <v>162</v>
      </c>
      <c r="H60" s="727">
        <f t="shared" si="4"/>
        <v>24300</v>
      </c>
      <c r="I60" s="912" t="s">
        <v>3075</v>
      </c>
      <c r="J60" s="730">
        <f>75/162</f>
        <v>0.46296296296296297</v>
      </c>
      <c r="K60" s="727">
        <v>1608000</v>
      </c>
      <c r="L60" s="727">
        <v>3656100</v>
      </c>
      <c r="M60" s="724">
        <f t="shared" si="5"/>
        <v>12642.592592592593</v>
      </c>
      <c r="N60" s="724">
        <f t="shared" si="5"/>
        <v>1358.3333333333333</v>
      </c>
      <c r="O60" s="724" t="str">
        <f t="shared" si="5"/>
        <v/>
      </c>
      <c r="P60" s="724" t="str">
        <f t="shared" si="5"/>
        <v/>
      </c>
      <c r="Q60" s="724" t="str">
        <f t="shared" si="5"/>
        <v/>
      </c>
      <c r="R60" s="724" t="str">
        <f t="shared" si="5"/>
        <v/>
      </c>
      <c r="S60" s="724" t="str">
        <f t="shared" si="5"/>
        <v/>
      </c>
      <c r="T60" s="725" t="str">
        <f t="shared" si="5"/>
        <v/>
      </c>
    </row>
    <row r="61" spans="2:20">
      <c r="B61" s="1791"/>
      <c r="C61" s="728">
        <v>8</v>
      </c>
      <c r="D61" s="729" t="s">
        <v>958</v>
      </c>
      <c r="E61" s="728" t="s">
        <v>1392</v>
      </c>
      <c r="F61" s="726">
        <v>130</v>
      </c>
      <c r="G61" s="726">
        <v>188</v>
      </c>
      <c r="H61" s="727">
        <f t="shared" si="4"/>
        <v>24440</v>
      </c>
      <c r="I61" s="726"/>
      <c r="J61" s="730">
        <f>86/188</f>
        <v>0.45744680851063829</v>
      </c>
      <c r="K61" s="727">
        <v>761000</v>
      </c>
      <c r="L61" s="727">
        <v>3761400</v>
      </c>
      <c r="M61" s="724">
        <f t="shared" si="5"/>
        <v>15959.574468085106</v>
      </c>
      <c r="N61" s="724">
        <f t="shared" si="5"/>
        <v>5955.8510638297876</v>
      </c>
      <c r="O61" s="724">
        <f t="shared" si="5"/>
        <v>2621.2765957446809</v>
      </c>
      <c r="P61" s="724">
        <f t="shared" si="5"/>
        <v>953.98936170212767</v>
      </c>
      <c r="Q61" s="724" t="str">
        <f t="shared" si="5"/>
        <v/>
      </c>
      <c r="R61" s="724" t="str">
        <f t="shared" si="5"/>
        <v/>
      </c>
      <c r="S61" s="724" t="str">
        <f t="shared" si="5"/>
        <v/>
      </c>
      <c r="T61" s="725" t="str">
        <f t="shared" si="5"/>
        <v/>
      </c>
    </row>
    <row r="62" spans="2:20">
      <c r="B62" s="1791"/>
      <c r="C62" s="728">
        <v>9</v>
      </c>
      <c r="D62" s="729" t="s">
        <v>965</v>
      </c>
      <c r="E62" s="728" t="s">
        <v>1425</v>
      </c>
      <c r="F62" s="726">
        <v>158</v>
      </c>
      <c r="G62" s="726">
        <v>166</v>
      </c>
      <c r="H62" s="727">
        <f t="shared" si="4"/>
        <v>26228</v>
      </c>
      <c r="I62" s="726"/>
      <c r="J62" s="730">
        <f>47/166</f>
        <v>0.28313253012048195</v>
      </c>
      <c r="K62" s="727">
        <v>620000</v>
      </c>
      <c r="L62" s="727">
        <v>4866520</v>
      </c>
      <c r="M62" s="724">
        <f t="shared" si="5"/>
        <v>25581.445783132531</v>
      </c>
      <c r="N62" s="724">
        <f t="shared" si="5"/>
        <v>10923.253012048193</v>
      </c>
      <c r="O62" s="724">
        <f t="shared" si="5"/>
        <v>6037.18875502008</v>
      </c>
      <c r="P62" s="724">
        <f t="shared" si="5"/>
        <v>3594.1566265060242</v>
      </c>
      <c r="Q62" s="724">
        <f t="shared" si="5"/>
        <v>2128.3373493975905</v>
      </c>
      <c r="R62" s="724">
        <f t="shared" si="5"/>
        <v>1151.1244979919677</v>
      </c>
      <c r="S62" s="724">
        <f t="shared" si="5"/>
        <v>453.11531841652311</v>
      </c>
      <c r="T62" s="725" t="str">
        <f t="shared" si="5"/>
        <v/>
      </c>
    </row>
    <row r="63" spans="2:20">
      <c r="B63" s="1791"/>
      <c r="C63" s="728">
        <v>10</v>
      </c>
      <c r="D63" s="729" t="s">
        <v>2729</v>
      </c>
      <c r="E63" s="728" t="s">
        <v>1414</v>
      </c>
      <c r="F63" s="726">
        <v>164</v>
      </c>
      <c r="G63" s="726">
        <v>171</v>
      </c>
      <c r="H63" s="727">
        <f t="shared" si="4"/>
        <v>28044</v>
      </c>
      <c r="I63" s="726"/>
      <c r="J63" s="730">
        <f>80/171</f>
        <v>0.46783625730994149</v>
      </c>
      <c r="K63" s="727">
        <v>2300000</v>
      </c>
      <c r="L63" s="727">
        <v>4954180</v>
      </c>
      <c r="M63" s="724">
        <f t="shared" si="5"/>
        <v>15521.520467836257</v>
      </c>
      <c r="N63" s="724">
        <f t="shared" si="5"/>
        <v>1035.6140350877192</v>
      </c>
      <c r="O63" s="724" t="str">
        <f t="shared" si="5"/>
        <v/>
      </c>
      <c r="P63" s="724" t="str">
        <f t="shared" si="5"/>
        <v/>
      </c>
      <c r="Q63" s="724" t="str">
        <f t="shared" si="5"/>
        <v/>
      </c>
      <c r="R63" s="724" t="str">
        <f t="shared" si="5"/>
        <v/>
      </c>
      <c r="S63" s="724" t="str">
        <f t="shared" si="5"/>
        <v/>
      </c>
      <c r="T63" s="725" t="str">
        <f t="shared" si="5"/>
        <v/>
      </c>
    </row>
    <row r="64" spans="2:20">
      <c r="B64" s="1791"/>
      <c r="C64" s="728">
        <v>11</v>
      </c>
      <c r="D64" s="729" t="s">
        <v>2885</v>
      </c>
      <c r="E64" s="728" t="s">
        <v>1425</v>
      </c>
      <c r="F64" s="726">
        <v>180</v>
      </c>
      <c r="G64" s="726">
        <v>165</v>
      </c>
      <c r="H64" s="727">
        <f t="shared" si="4"/>
        <v>29700</v>
      </c>
      <c r="I64" s="726"/>
      <c r="J64" s="730">
        <f>107/165</f>
        <v>0.64848484848484844</v>
      </c>
      <c r="K64" s="727">
        <v>1841000</v>
      </c>
      <c r="L64" s="727">
        <v>5980100</v>
      </c>
      <c r="M64" s="724">
        <f t="shared" si="5"/>
        <v>25085.454545454544</v>
      </c>
      <c r="N64" s="724">
        <f t="shared" si="5"/>
        <v>6963.939393939394</v>
      </c>
      <c r="O64" s="724">
        <f t="shared" si="5"/>
        <v>923.43434343434387</v>
      </c>
      <c r="P64" s="724" t="str">
        <f t="shared" si="5"/>
        <v/>
      </c>
      <c r="Q64" s="724" t="str">
        <f t="shared" si="5"/>
        <v/>
      </c>
      <c r="R64" s="724" t="str">
        <f t="shared" si="5"/>
        <v/>
      </c>
      <c r="S64" s="724" t="str">
        <f t="shared" si="5"/>
        <v/>
      </c>
      <c r="T64" s="725" t="str">
        <f t="shared" si="5"/>
        <v/>
      </c>
    </row>
    <row r="65" spans="2:20">
      <c r="B65" s="1791"/>
      <c r="C65" s="728">
        <v>12</v>
      </c>
      <c r="D65" s="729" t="s">
        <v>1446</v>
      </c>
      <c r="E65" s="728" t="s">
        <v>1403</v>
      </c>
      <c r="F65" s="726">
        <v>237</v>
      </c>
      <c r="G65" s="726">
        <v>133</v>
      </c>
      <c r="H65" s="727">
        <f t="shared" si="4"/>
        <v>31521</v>
      </c>
      <c r="I65" s="726"/>
      <c r="J65" s="730">
        <f>45/133</f>
        <v>0.33834586466165412</v>
      </c>
      <c r="K65" s="727">
        <v>477000</v>
      </c>
      <c r="L65" s="727">
        <v>5837900</v>
      </c>
      <c r="M65" s="724">
        <f t="shared" si="5"/>
        <v>40307.518796992481</v>
      </c>
      <c r="N65" s="724">
        <f t="shared" si="5"/>
        <v>18360.526315789473</v>
      </c>
      <c r="O65" s="724">
        <f t="shared" si="5"/>
        <v>11044.862155388471</v>
      </c>
      <c r="P65" s="724">
        <f t="shared" si="5"/>
        <v>7387.0300751879695</v>
      </c>
      <c r="Q65" s="724">
        <f t="shared" si="5"/>
        <v>5192.3308270676689</v>
      </c>
      <c r="R65" s="724">
        <f t="shared" si="5"/>
        <v>3729.197994987469</v>
      </c>
      <c r="S65" s="724">
        <f t="shared" si="5"/>
        <v>2684.103114930183</v>
      </c>
      <c r="T65" s="725">
        <f t="shared" si="5"/>
        <v>1900.281954887218</v>
      </c>
    </row>
    <row r="66" spans="2:20">
      <c r="B66" s="1791"/>
      <c r="C66" s="728">
        <v>13</v>
      </c>
      <c r="D66" s="729" t="s">
        <v>1408</v>
      </c>
      <c r="E66" s="728" t="s">
        <v>1409</v>
      </c>
      <c r="F66" s="726">
        <v>210</v>
      </c>
      <c r="G66" s="726">
        <v>175</v>
      </c>
      <c r="H66" s="727">
        <f t="shared" si="4"/>
        <v>36750</v>
      </c>
      <c r="I66" s="727">
        <v>-40000</v>
      </c>
      <c r="J66" s="730">
        <f>80/175</f>
        <v>0.45714285714285713</v>
      </c>
      <c r="K66" s="727">
        <v>1900000</v>
      </c>
      <c r="L66" s="727">
        <v>7295000</v>
      </c>
      <c r="M66" s="724">
        <f t="shared" si="5"/>
        <v>30828.571428571428</v>
      </c>
      <c r="N66" s="724">
        <f t="shared" si="5"/>
        <v>9985.7142857142862</v>
      </c>
      <c r="O66" s="724">
        <f t="shared" si="5"/>
        <v>3038.0952380952372</v>
      </c>
      <c r="P66" s="724" t="str">
        <f t="shared" si="5"/>
        <v/>
      </c>
      <c r="Q66" s="724" t="str">
        <f t="shared" si="5"/>
        <v/>
      </c>
      <c r="R66" s="724" t="str">
        <f t="shared" si="5"/>
        <v/>
      </c>
      <c r="S66" s="724" t="str">
        <f t="shared" si="5"/>
        <v/>
      </c>
      <c r="T66" s="725" t="str">
        <f t="shared" si="5"/>
        <v/>
      </c>
    </row>
    <row r="67" spans="2:20">
      <c r="B67" s="1791"/>
      <c r="C67" s="728">
        <v>14</v>
      </c>
      <c r="D67" s="729" t="s">
        <v>3058</v>
      </c>
      <c r="E67" s="728" t="s">
        <v>1409</v>
      </c>
      <c r="F67" s="726">
        <v>220</v>
      </c>
      <c r="G67" s="726">
        <v>176</v>
      </c>
      <c r="H67" s="727">
        <f t="shared" si="4"/>
        <v>38720</v>
      </c>
      <c r="I67" s="726"/>
      <c r="J67" s="730">
        <f>62/176</f>
        <v>0.35227272727272729</v>
      </c>
      <c r="K67" s="727">
        <v>476000</v>
      </c>
      <c r="L67" s="727">
        <v>7872800</v>
      </c>
      <c r="M67" s="724">
        <f t="shared" si="5"/>
        <v>42027.272727272728</v>
      </c>
      <c r="N67" s="724">
        <f t="shared" si="5"/>
        <v>19661.363636363636</v>
      </c>
      <c r="O67" s="724">
        <f t="shared" si="5"/>
        <v>12206.060606060606</v>
      </c>
      <c r="P67" s="724">
        <f t="shared" si="5"/>
        <v>8478.4090909090901</v>
      </c>
      <c r="Q67" s="724">
        <f t="shared" si="5"/>
        <v>6241.818181818182</v>
      </c>
      <c r="R67" s="724">
        <f t="shared" si="5"/>
        <v>4750.7575757575751</v>
      </c>
      <c r="S67" s="724">
        <f t="shared" si="5"/>
        <v>3685.7142857142858</v>
      </c>
      <c r="T67" s="725">
        <f t="shared" si="5"/>
        <v>2886.931818181818</v>
      </c>
    </row>
    <row r="68" spans="2:20">
      <c r="B68" s="1791"/>
      <c r="C68" s="728">
        <v>15</v>
      </c>
      <c r="D68" s="729" t="s">
        <v>2886</v>
      </c>
      <c r="E68" s="728" t="s">
        <v>1409</v>
      </c>
      <c r="F68" s="726">
        <v>221</v>
      </c>
      <c r="G68" s="726">
        <v>184</v>
      </c>
      <c r="H68" s="727">
        <f t="shared" si="4"/>
        <v>40664</v>
      </c>
      <c r="I68" s="726" t="s">
        <v>3076</v>
      </c>
      <c r="J68" s="730">
        <f>71/184</f>
        <v>0.3858695652173913</v>
      </c>
      <c r="K68" s="727">
        <v>1605000</v>
      </c>
      <c r="L68" s="727">
        <v>8659680</v>
      </c>
      <c r="M68" s="724">
        <f t="shared" si="5"/>
        <v>38340.65217391304</v>
      </c>
      <c r="N68" s="724">
        <f t="shared" si="5"/>
        <v>14808.91304347826</v>
      </c>
      <c r="O68" s="724">
        <f t="shared" si="5"/>
        <v>6965</v>
      </c>
      <c r="P68" s="724">
        <f t="shared" si="5"/>
        <v>3043.0434782608695</v>
      </c>
      <c r="Q68" s="724">
        <f t="shared" si="5"/>
        <v>689.86956521739125</v>
      </c>
      <c r="R68" s="724" t="str">
        <f t="shared" si="5"/>
        <v/>
      </c>
      <c r="S68" s="724" t="str">
        <f t="shared" si="5"/>
        <v/>
      </c>
      <c r="T68" s="725" t="str">
        <f t="shared" si="5"/>
        <v/>
      </c>
    </row>
    <row r="69" spans="2:20">
      <c r="B69" s="1791"/>
      <c r="C69" s="728">
        <v>16</v>
      </c>
      <c r="D69" s="729" t="s">
        <v>2913</v>
      </c>
      <c r="E69" s="728" t="s">
        <v>1414</v>
      </c>
      <c r="F69" s="726">
        <v>221</v>
      </c>
      <c r="G69" s="726">
        <v>193</v>
      </c>
      <c r="H69" s="727">
        <f t="shared" si="4"/>
        <v>42653</v>
      </c>
      <c r="I69" s="726" t="s">
        <v>3077</v>
      </c>
      <c r="J69" s="730">
        <f>96/193</f>
        <v>0.49740932642487046</v>
      </c>
      <c r="K69" s="727">
        <v>2040000</v>
      </c>
      <c r="L69" s="727">
        <v>9325780</v>
      </c>
      <c r="M69" s="724">
        <f t="shared" si="5"/>
        <v>37750.155440414506</v>
      </c>
      <c r="N69" s="724">
        <f t="shared" si="5"/>
        <v>13590.103626943006</v>
      </c>
      <c r="O69" s="724">
        <f t="shared" si="5"/>
        <v>5536.7530224525053</v>
      </c>
      <c r="P69" s="724">
        <f t="shared" si="5"/>
        <v>1510.0777202072538</v>
      </c>
      <c r="Q69" s="724" t="str">
        <f t="shared" si="5"/>
        <v/>
      </c>
      <c r="R69" s="724" t="str">
        <f t="shared" si="5"/>
        <v/>
      </c>
      <c r="S69" s="724" t="str">
        <f t="shared" si="5"/>
        <v/>
      </c>
      <c r="T69" s="725" t="str">
        <f t="shared" si="5"/>
        <v/>
      </c>
    </row>
    <row r="70" spans="2:20">
      <c r="B70" s="1791"/>
      <c r="C70" s="728">
        <v>17</v>
      </c>
      <c r="D70" s="729" t="s">
        <v>3060</v>
      </c>
      <c r="E70" s="728" t="s">
        <v>1403</v>
      </c>
      <c r="F70" s="726">
        <v>284</v>
      </c>
      <c r="G70" s="726">
        <v>157</v>
      </c>
      <c r="H70" s="727">
        <f t="shared" si="4"/>
        <v>44588</v>
      </c>
      <c r="I70" s="726"/>
      <c r="J70" s="730">
        <f>59/157</f>
        <v>0.37579617834394907</v>
      </c>
      <c r="K70" s="727">
        <v>475000</v>
      </c>
      <c r="L70" s="727">
        <v>9554300</v>
      </c>
      <c r="M70" s="724">
        <f t="shared" si="5"/>
        <v>57829.936305732481</v>
      </c>
      <c r="N70" s="724">
        <f t="shared" si="5"/>
        <v>27402.229299363058</v>
      </c>
      <c r="O70" s="724">
        <f t="shared" si="5"/>
        <v>17259.660297239912</v>
      </c>
      <c r="P70" s="724">
        <f t="shared" si="5"/>
        <v>12188.375796178343</v>
      </c>
      <c r="Q70" s="724">
        <f t="shared" si="5"/>
        <v>9145.6050955414012</v>
      </c>
      <c r="R70" s="724">
        <f t="shared" si="5"/>
        <v>7117.091295116772</v>
      </c>
      <c r="S70" s="724">
        <f t="shared" si="5"/>
        <v>5668.1528662420378</v>
      </c>
      <c r="T70" s="725">
        <f t="shared" si="5"/>
        <v>4581.4490445859874</v>
      </c>
    </row>
    <row r="71" spans="2:20">
      <c r="B71" s="1791"/>
      <c r="C71" s="728">
        <v>18</v>
      </c>
      <c r="D71" s="729" t="s">
        <v>970</v>
      </c>
      <c r="E71" s="728" t="s">
        <v>1425</v>
      </c>
      <c r="F71" s="726">
        <v>276</v>
      </c>
      <c r="G71" s="726">
        <v>176</v>
      </c>
      <c r="H71" s="727">
        <f t="shared" si="4"/>
        <v>48576</v>
      </c>
      <c r="I71" s="726"/>
      <c r="J71" s="730">
        <f>82/176</f>
        <v>0.46590909090909088</v>
      </c>
      <c r="K71" s="727">
        <v>585000</v>
      </c>
      <c r="L71" s="727">
        <v>9897280</v>
      </c>
      <c r="M71" s="724">
        <f t="shared" si="5"/>
        <v>52910.681818181816</v>
      </c>
      <c r="N71" s="724">
        <f t="shared" si="5"/>
        <v>24793.409090909092</v>
      </c>
      <c r="O71" s="724">
        <f t="shared" si="5"/>
        <v>15420.98484848485</v>
      </c>
      <c r="P71" s="724">
        <f t="shared" si="5"/>
        <v>10734.772727272728</v>
      </c>
      <c r="Q71" s="724">
        <f t="shared" si="5"/>
        <v>7923.045454545455</v>
      </c>
      <c r="R71" s="724">
        <f t="shared" si="5"/>
        <v>6048.5606060606069</v>
      </c>
      <c r="S71" s="724">
        <f t="shared" si="5"/>
        <v>4709.6428571428578</v>
      </c>
      <c r="T71" s="725">
        <f t="shared" si="5"/>
        <v>3705.4545454545455</v>
      </c>
    </row>
    <row r="72" spans="2:20">
      <c r="B72" s="1791"/>
      <c r="C72" s="728">
        <v>19</v>
      </c>
      <c r="D72" s="729" t="s">
        <v>2887</v>
      </c>
      <c r="E72" s="728" t="s">
        <v>1392</v>
      </c>
      <c r="F72" s="726">
        <v>339</v>
      </c>
      <c r="G72" s="726">
        <v>169</v>
      </c>
      <c r="H72" s="727">
        <f t="shared" si="4"/>
        <v>57291</v>
      </c>
      <c r="I72" s="726"/>
      <c r="J72" s="730">
        <f>68/169</f>
        <v>0.40236686390532544</v>
      </c>
      <c r="K72" s="727">
        <v>510000</v>
      </c>
      <c r="L72" s="727">
        <v>11149680</v>
      </c>
      <c r="M72" s="724">
        <f t="shared" si="5"/>
        <v>62956.686390532544</v>
      </c>
      <c r="N72" s="724">
        <f t="shared" si="5"/>
        <v>29969.467455621303</v>
      </c>
      <c r="O72" s="724">
        <f t="shared" si="5"/>
        <v>18973.727810650889</v>
      </c>
      <c r="P72" s="724">
        <f t="shared" si="5"/>
        <v>13475.857988165681</v>
      </c>
      <c r="Q72" s="724">
        <f t="shared" si="5"/>
        <v>10177.136094674555</v>
      </c>
      <c r="R72" s="724">
        <f t="shared" si="5"/>
        <v>7977.9881656804737</v>
      </c>
      <c r="S72" s="724">
        <f t="shared" si="5"/>
        <v>6407.1682163989863</v>
      </c>
      <c r="T72" s="725">
        <f t="shared" si="5"/>
        <v>5229.0532544378702</v>
      </c>
    </row>
    <row r="73" spans="2:20">
      <c r="B73" s="1791"/>
      <c r="C73" s="728">
        <v>20</v>
      </c>
      <c r="D73" s="729" t="s">
        <v>1433</v>
      </c>
      <c r="E73" s="728" t="s">
        <v>1414</v>
      </c>
      <c r="F73" s="726">
        <v>390</v>
      </c>
      <c r="G73" s="726">
        <v>158</v>
      </c>
      <c r="H73" s="727">
        <f t="shared" si="4"/>
        <v>61620</v>
      </c>
      <c r="I73" s="727">
        <v>160000</v>
      </c>
      <c r="J73" s="730">
        <f>66/158</f>
        <v>0.41772151898734178</v>
      </c>
      <c r="K73" s="727">
        <v>1784000</v>
      </c>
      <c r="L73" s="727">
        <v>11661440</v>
      </c>
      <c r="M73" s="724">
        <f t="shared" si="5"/>
        <v>62515.443037974685</v>
      </c>
      <c r="N73" s="724">
        <f t="shared" si="5"/>
        <v>25612.151898734177</v>
      </c>
      <c r="O73" s="724">
        <f t="shared" si="5"/>
        <v>13311.054852320674</v>
      </c>
      <c r="P73" s="724">
        <f t="shared" si="5"/>
        <v>7160.506329113924</v>
      </c>
      <c r="Q73" s="724">
        <f t="shared" si="5"/>
        <v>3470.1772151898736</v>
      </c>
      <c r="R73" s="724">
        <f t="shared" si="5"/>
        <v>1009.9578059071725</v>
      </c>
      <c r="S73" s="724" t="str">
        <f t="shared" si="5"/>
        <v/>
      </c>
      <c r="T73" s="725" t="str">
        <f t="shared" si="5"/>
        <v/>
      </c>
    </row>
    <row r="74" spans="2:20">
      <c r="B74" s="1791"/>
      <c r="C74" s="728">
        <v>21</v>
      </c>
      <c r="D74" s="729" t="s">
        <v>2917</v>
      </c>
      <c r="E74" s="728" t="s">
        <v>1409</v>
      </c>
      <c r="F74" s="726">
        <v>381</v>
      </c>
      <c r="G74" s="726">
        <v>173</v>
      </c>
      <c r="H74" s="727">
        <f t="shared" si="4"/>
        <v>65913</v>
      </c>
      <c r="I74" s="726"/>
      <c r="J74" s="730">
        <f>105/173</f>
        <v>0.60693641618497107</v>
      </c>
      <c r="K74" s="727">
        <v>1794000</v>
      </c>
      <c r="L74" s="727">
        <v>12532720</v>
      </c>
      <c r="M74" s="724">
        <f t="shared" si="5"/>
        <v>62073.526011560694</v>
      </c>
      <c r="N74" s="724">
        <f t="shared" si="5"/>
        <v>25851.791907514449</v>
      </c>
      <c r="O74" s="724">
        <f t="shared" si="5"/>
        <v>13777.880539499038</v>
      </c>
      <c r="P74" s="724">
        <f t="shared" si="5"/>
        <v>7740.9248554913293</v>
      </c>
      <c r="Q74" s="724">
        <f t="shared" si="5"/>
        <v>4118.7514450867056</v>
      </c>
      <c r="R74" s="724">
        <f t="shared" si="5"/>
        <v>1703.9691714836229</v>
      </c>
      <c r="S74" s="724" t="str">
        <f t="shared" si="5"/>
        <v/>
      </c>
      <c r="T74" s="725" t="str">
        <f t="shared" si="5"/>
        <v/>
      </c>
    </row>
    <row r="75" spans="2:20">
      <c r="B75" s="1791"/>
      <c r="C75" s="728">
        <v>22</v>
      </c>
      <c r="D75" s="729" t="s">
        <v>1807</v>
      </c>
      <c r="E75" s="728" t="s">
        <v>1425</v>
      </c>
      <c r="F75" s="726">
        <v>491</v>
      </c>
      <c r="G75" s="726">
        <v>143</v>
      </c>
      <c r="H75" s="727">
        <f t="shared" si="4"/>
        <v>70213</v>
      </c>
      <c r="I75" s="726"/>
      <c r="J75" s="730">
        <f>42/143</f>
        <v>0.2937062937062937</v>
      </c>
      <c r="K75" s="727">
        <v>600000</v>
      </c>
      <c r="L75" s="727">
        <v>13416700</v>
      </c>
      <c r="M75" s="724">
        <f t="shared" si="5"/>
        <v>89627.272727272721</v>
      </c>
      <c r="N75" s="724">
        <f t="shared" si="5"/>
        <v>42715.734265734267</v>
      </c>
      <c r="O75" s="724">
        <f t="shared" si="5"/>
        <v>27078.554778554775</v>
      </c>
      <c r="P75" s="724">
        <f t="shared" si="5"/>
        <v>19259.965034965036</v>
      </c>
      <c r="Q75" s="724">
        <f t="shared" si="5"/>
        <v>14568.811188811189</v>
      </c>
      <c r="R75" s="724">
        <f t="shared" si="5"/>
        <v>11441.375291375291</v>
      </c>
      <c r="S75" s="724">
        <f t="shared" si="5"/>
        <v>9207.4925074925086</v>
      </c>
      <c r="T75" s="725">
        <f t="shared" si="5"/>
        <v>7532.0804195804194</v>
      </c>
    </row>
    <row r="76" spans="2:20">
      <c r="B76" s="1791"/>
      <c r="C76" s="728">
        <v>23</v>
      </c>
      <c r="D76" s="729" t="s">
        <v>3078</v>
      </c>
      <c r="E76" s="728" t="s">
        <v>1403</v>
      </c>
      <c r="F76" s="726">
        <v>419</v>
      </c>
      <c r="G76" s="726">
        <v>178</v>
      </c>
      <c r="H76" s="727">
        <f t="shared" si="4"/>
        <v>74582</v>
      </c>
      <c r="I76" s="726"/>
      <c r="J76" s="730">
        <f>71/178</f>
        <v>0.398876404494382</v>
      </c>
      <c r="K76" s="727">
        <v>1843000</v>
      </c>
      <c r="L76" s="727">
        <v>15193320</v>
      </c>
      <c r="M76" s="724">
        <f t="shared" si="5"/>
        <v>75001.797752808983</v>
      </c>
      <c r="N76" s="724">
        <f t="shared" si="5"/>
        <v>32323.932584269663</v>
      </c>
      <c r="O76" s="724">
        <f t="shared" si="5"/>
        <v>18097.977528089887</v>
      </c>
      <c r="P76" s="724">
        <f t="shared" si="5"/>
        <v>10985</v>
      </c>
      <c r="Q76" s="724">
        <f t="shared" si="5"/>
        <v>6717.2134831460671</v>
      </c>
      <c r="R76" s="724">
        <f t="shared" si="5"/>
        <v>3872.0224719101125</v>
      </c>
      <c r="S76" s="724">
        <f t="shared" si="5"/>
        <v>1839.7431781701455</v>
      </c>
      <c r="T76" s="725">
        <f t="shared" si="5"/>
        <v>315.53370786516854</v>
      </c>
    </row>
    <row r="77" spans="2:20">
      <c r="B77" s="1791"/>
      <c r="C77" s="728">
        <v>24</v>
      </c>
      <c r="D77" s="729" t="s">
        <v>1188</v>
      </c>
      <c r="E77" s="728" t="s">
        <v>1403</v>
      </c>
      <c r="F77" s="726">
        <v>478</v>
      </c>
      <c r="G77" s="726">
        <v>165</v>
      </c>
      <c r="H77" s="727">
        <f t="shared" si="4"/>
        <v>78870</v>
      </c>
      <c r="I77" s="727">
        <v>20000</v>
      </c>
      <c r="J77" s="730">
        <f>43/165</f>
        <v>0.26060606060606062</v>
      </c>
      <c r="K77" s="727">
        <v>650000</v>
      </c>
      <c r="L77" s="727">
        <v>15131700</v>
      </c>
      <c r="M77" s="724">
        <f t="shared" si="5"/>
        <v>87767.878787878784</v>
      </c>
      <c r="N77" s="724">
        <f t="shared" si="5"/>
        <v>41914.242424242424</v>
      </c>
      <c r="O77" s="724">
        <f t="shared" si="5"/>
        <v>26629.696969696968</v>
      </c>
      <c r="P77" s="724">
        <f t="shared" si="5"/>
        <v>18987.424242424244</v>
      </c>
      <c r="Q77" s="724">
        <f t="shared" si="5"/>
        <v>14402.060606060606</v>
      </c>
      <c r="R77" s="724">
        <f t="shared" si="5"/>
        <v>11345.151515151516</v>
      </c>
      <c r="S77" s="724">
        <f t="shared" si="5"/>
        <v>9161.6450216450212</v>
      </c>
      <c r="T77" s="725">
        <f t="shared" si="5"/>
        <v>7524.015151515152</v>
      </c>
    </row>
    <row r="78" spans="2:20">
      <c r="B78" s="1791"/>
      <c r="C78" s="728">
        <v>25</v>
      </c>
      <c r="D78" s="729" t="s">
        <v>3059</v>
      </c>
      <c r="E78" s="728" t="s">
        <v>1425</v>
      </c>
      <c r="F78" s="726">
        <v>484</v>
      </c>
      <c r="G78" s="726">
        <v>172</v>
      </c>
      <c r="H78" s="727">
        <f t="shared" si="4"/>
        <v>83248</v>
      </c>
      <c r="I78" s="726"/>
      <c r="J78" s="730">
        <f>43/172</f>
        <v>0.25</v>
      </c>
      <c r="K78" s="727">
        <v>1784000</v>
      </c>
      <c r="L78" s="727">
        <v>15708320</v>
      </c>
      <c r="M78" s="724">
        <f t="shared" si="5"/>
        <v>80955.348837209298</v>
      </c>
      <c r="N78" s="724">
        <f t="shared" si="5"/>
        <v>35291.627906976741</v>
      </c>
      <c r="O78" s="724">
        <f t="shared" si="5"/>
        <v>20070.387596899225</v>
      </c>
      <c r="P78" s="724">
        <f t="shared" si="5"/>
        <v>12459.767441860466</v>
      </c>
      <c r="Q78" s="724">
        <f t="shared" si="5"/>
        <v>7893.395348837209</v>
      </c>
      <c r="R78" s="724">
        <f t="shared" si="5"/>
        <v>4849.1472868217061</v>
      </c>
      <c r="S78" s="724">
        <f t="shared" si="5"/>
        <v>2674.6843853820587</v>
      </c>
      <c r="T78" s="725">
        <f t="shared" si="5"/>
        <v>1043.8372093023256</v>
      </c>
    </row>
    <row r="79" spans="2:20">
      <c r="B79" s="1791"/>
      <c r="C79" s="728">
        <v>26</v>
      </c>
      <c r="D79" s="729" t="s">
        <v>2851</v>
      </c>
      <c r="E79" s="728" t="s">
        <v>1409</v>
      </c>
      <c r="F79" s="726">
        <v>600</v>
      </c>
      <c r="G79" s="726">
        <v>158</v>
      </c>
      <c r="H79" s="727">
        <f t="shared" si="4"/>
        <v>94800</v>
      </c>
      <c r="I79" s="726"/>
      <c r="J79" s="730">
        <f>74/158</f>
        <v>0.46835443037974683</v>
      </c>
      <c r="K79" s="727">
        <v>1437000</v>
      </c>
      <c r="L79" s="727">
        <v>18583440</v>
      </c>
      <c r="M79" s="724">
        <f t="shared" si="5"/>
        <v>108521.77215189874</v>
      </c>
      <c r="N79" s="724">
        <f t="shared" si="5"/>
        <v>49713.417721518985</v>
      </c>
      <c r="O79" s="724">
        <f t="shared" si="5"/>
        <v>30110.632911392404</v>
      </c>
      <c r="P79" s="724">
        <f t="shared" si="5"/>
        <v>20309.240506329115</v>
      </c>
      <c r="Q79" s="724">
        <f t="shared" si="5"/>
        <v>14428.405063291139</v>
      </c>
      <c r="R79" s="724">
        <f t="shared" si="5"/>
        <v>10507.848101265823</v>
      </c>
      <c r="S79" s="724">
        <f t="shared" si="5"/>
        <v>7707.4502712477388</v>
      </c>
      <c r="T79" s="725">
        <f t="shared" si="5"/>
        <v>5607.1518987341769</v>
      </c>
    </row>
    <row r="80" spans="2:20">
      <c r="B80" s="1791"/>
      <c r="C80" s="728">
        <v>27</v>
      </c>
      <c r="D80" s="729" t="s">
        <v>2849</v>
      </c>
      <c r="E80" s="728" t="s">
        <v>1406</v>
      </c>
      <c r="F80" s="726">
        <v>609</v>
      </c>
      <c r="G80" s="726">
        <v>173</v>
      </c>
      <c r="H80" s="727">
        <f t="shared" si="4"/>
        <v>105357</v>
      </c>
      <c r="I80" s="726"/>
      <c r="J80" s="730">
        <f>81/173</f>
        <v>0.46820809248554912</v>
      </c>
      <c r="K80" s="727">
        <v>1794000</v>
      </c>
      <c r="L80" s="727">
        <v>20359600</v>
      </c>
      <c r="M80" s="724">
        <f t="shared" si="5"/>
        <v>107315.60693641618</v>
      </c>
      <c r="N80" s="724">
        <f t="shared" si="5"/>
        <v>48472.832369942196</v>
      </c>
      <c r="O80" s="724">
        <f t="shared" si="5"/>
        <v>28858.574181117532</v>
      </c>
      <c r="P80" s="724">
        <f t="shared" si="5"/>
        <v>19051.445086705204</v>
      </c>
      <c r="Q80" s="724">
        <f t="shared" si="5"/>
        <v>13167.167630057804</v>
      </c>
      <c r="R80" s="724">
        <f t="shared" si="5"/>
        <v>9244.3159922928699</v>
      </c>
      <c r="S80" s="724">
        <f t="shared" si="5"/>
        <v>6442.2791081750629</v>
      </c>
      <c r="T80" s="725">
        <f t="shared" si="5"/>
        <v>4340.7514450867056</v>
      </c>
    </row>
    <row r="81" spans="2:20">
      <c r="B81" s="1791"/>
      <c r="C81" s="728">
        <v>28</v>
      </c>
      <c r="D81" s="729" t="s">
        <v>3079</v>
      </c>
      <c r="E81" s="728" t="s">
        <v>1414</v>
      </c>
      <c r="F81" s="726">
        <v>723</v>
      </c>
      <c r="G81" s="726">
        <v>162</v>
      </c>
      <c r="H81" s="727">
        <f t="shared" si="4"/>
        <v>117126</v>
      </c>
      <c r="I81" s="726"/>
      <c r="J81" s="730">
        <f>79/162</f>
        <v>0.48765432098765432</v>
      </c>
      <c r="K81" s="727">
        <v>698000</v>
      </c>
      <c r="L81" s="727">
        <v>22860000</v>
      </c>
      <c r="M81" s="724">
        <f t="shared" si="5"/>
        <v>136802.46913580247</v>
      </c>
      <c r="N81" s="724">
        <f t="shared" si="5"/>
        <v>66246.91358024691</v>
      </c>
      <c r="O81" s="724">
        <f t="shared" si="5"/>
        <v>42728.395061728392</v>
      </c>
      <c r="P81" s="724">
        <f t="shared" si="5"/>
        <v>30969.135802469136</v>
      </c>
      <c r="Q81" s="724">
        <f t="shared" si="5"/>
        <v>23913.580246913582</v>
      </c>
      <c r="R81" s="724">
        <f t="shared" si="5"/>
        <v>19209.876543209877</v>
      </c>
      <c r="S81" s="724">
        <f t="shared" si="5"/>
        <v>15850.088183421518</v>
      </c>
      <c r="T81" s="725">
        <f t="shared" si="5"/>
        <v>13330.246913580248</v>
      </c>
    </row>
    <row r="82" spans="2:20">
      <c r="B82" s="1791"/>
      <c r="C82" s="728">
        <v>29</v>
      </c>
      <c r="D82" s="729" t="s">
        <v>3080</v>
      </c>
      <c r="E82" s="728" t="s">
        <v>1403</v>
      </c>
      <c r="F82" s="726">
        <v>983</v>
      </c>
      <c r="G82" s="726">
        <v>131</v>
      </c>
      <c r="H82" s="727">
        <f t="shared" si="4"/>
        <v>128773</v>
      </c>
      <c r="I82" s="727">
        <v>9000</v>
      </c>
      <c r="J82" s="730">
        <f>61/131</f>
        <v>0.46564885496183206</v>
      </c>
      <c r="K82" s="727">
        <v>548000</v>
      </c>
      <c r="L82" s="727">
        <v>23323000</v>
      </c>
      <c r="M82" s="724">
        <f t="shared" si="5"/>
        <v>173854.96183206106</v>
      </c>
      <c r="N82" s="724">
        <f t="shared" si="5"/>
        <v>84835.877862595415</v>
      </c>
      <c r="O82" s="724">
        <f t="shared" si="5"/>
        <v>55162.849872773535</v>
      </c>
      <c r="P82" s="724">
        <f t="shared" si="5"/>
        <v>40326.335877862599</v>
      </c>
      <c r="Q82" s="724">
        <f t="shared" si="5"/>
        <v>31424.427480916031</v>
      </c>
      <c r="R82" s="724">
        <f t="shared" si="5"/>
        <v>25489.821882951652</v>
      </c>
      <c r="S82" s="724">
        <f t="shared" si="5"/>
        <v>21250.817884405671</v>
      </c>
      <c r="T82" s="725">
        <f t="shared" si="5"/>
        <v>18071.564885496184</v>
      </c>
    </row>
    <row r="83" spans="2:20">
      <c r="B83" s="1791"/>
      <c r="C83" s="728">
        <v>30</v>
      </c>
      <c r="D83" s="729" t="s">
        <v>3081</v>
      </c>
      <c r="E83" s="728" t="s">
        <v>1392</v>
      </c>
      <c r="F83" s="726">
        <v>780</v>
      </c>
      <c r="G83" s="726">
        <v>180</v>
      </c>
      <c r="H83" s="727">
        <f t="shared" si="4"/>
        <v>140400</v>
      </c>
      <c r="I83" s="727">
        <v>40000</v>
      </c>
      <c r="J83" s="730">
        <f>86/180</f>
        <v>0.4777777777777778</v>
      </c>
      <c r="K83" s="727">
        <v>1900000</v>
      </c>
      <c r="L83" s="727">
        <v>26480000</v>
      </c>
      <c r="M83" s="724">
        <f t="shared" si="5"/>
        <v>136555.55555555556</v>
      </c>
      <c r="N83" s="724">
        <f t="shared" si="5"/>
        <v>63000</v>
      </c>
      <c r="O83" s="724">
        <f t="shared" si="5"/>
        <v>38481.481481481474</v>
      </c>
      <c r="P83" s="724">
        <f t="shared" si="5"/>
        <v>26222.222222222223</v>
      </c>
      <c r="Q83" s="724">
        <f t="shared" si="5"/>
        <v>18866.666666666668</v>
      </c>
      <c r="R83" s="724">
        <f t="shared" si="5"/>
        <v>13962.962962962962</v>
      </c>
      <c r="S83" s="724">
        <f t="shared" si="5"/>
        <v>10460.317460317459</v>
      </c>
      <c r="T83" s="725">
        <f t="shared" si="5"/>
        <v>7833.333333333333</v>
      </c>
    </row>
    <row r="84" spans="2:20">
      <c r="B84" s="1791"/>
      <c r="C84" s="728">
        <v>31</v>
      </c>
      <c r="D84" s="729" t="s">
        <v>1183</v>
      </c>
      <c r="E84" s="728" t="s">
        <v>1425</v>
      </c>
      <c r="F84" s="726">
        <v>785</v>
      </c>
      <c r="G84" s="726">
        <v>179</v>
      </c>
      <c r="H84" s="727">
        <f t="shared" si="4"/>
        <v>140515</v>
      </c>
      <c r="I84" s="915" t="s">
        <v>4229</v>
      </c>
      <c r="J84" s="730">
        <f>84/179</f>
        <v>0.46927374301675978</v>
      </c>
      <c r="K84" s="727">
        <v>2251000</v>
      </c>
      <c r="L84" s="727">
        <v>26444000</v>
      </c>
      <c r="M84" s="724">
        <f t="shared" si="5"/>
        <v>135156.42458100559</v>
      </c>
      <c r="N84" s="724">
        <f t="shared" si="5"/>
        <v>61290.502793296087</v>
      </c>
      <c r="O84" s="724">
        <f t="shared" si="5"/>
        <v>36668.52886405959</v>
      </c>
      <c r="P84" s="724">
        <f t="shared" si="5"/>
        <v>24357.541899441341</v>
      </c>
      <c r="Q84" s="724">
        <f t="shared" si="5"/>
        <v>16970.949720670393</v>
      </c>
      <c r="R84" s="724">
        <f t="shared" si="5"/>
        <v>12046.554934823089</v>
      </c>
      <c r="S84" s="724">
        <f t="shared" si="5"/>
        <v>8529.1300877893063</v>
      </c>
      <c r="T84" s="725">
        <f t="shared" si="5"/>
        <v>5891.0614525139663</v>
      </c>
    </row>
    <row r="85" spans="2:20">
      <c r="B85" s="1791"/>
      <c r="C85" s="728">
        <v>32</v>
      </c>
      <c r="D85" s="729" t="s">
        <v>3082</v>
      </c>
      <c r="E85" s="728" t="s">
        <v>1425</v>
      </c>
      <c r="F85" s="726">
        <v>942</v>
      </c>
      <c r="G85" s="726">
        <v>172</v>
      </c>
      <c r="H85" s="727">
        <f t="shared" si="4"/>
        <v>162024</v>
      </c>
      <c r="I85" s="726"/>
      <c r="J85" s="730">
        <f>55/172</f>
        <v>0.31976744186046513</v>
      </c>
      <c r="K85" s="727">
        <v>441000</v>
      </c>
      <c r="L85" s="727">
        <v>26192000</v>
      </c>
      <c r="M85" s="724">
        <f t="shared" si="5"/>
        <v>149715.11627906977</v>
      </c>
      <c r="N85" s="724">
        <f t="shared" si="5"/>
        <v>73575.58139534884</v>
      </c>
      <c r="O85" s="724">
        <f t="shared" si="5"/>
        <v>48195.736434108527</v>
      </c>
      <c r="P85" s="724">
        <f t="shared" si="5"/>
        <v>35505.813953488374</v>
      </c>
      <c r="Q85" s="724">
        <f t="shared" si="5"/>
        <v>27891.860465116279</v>
      </c>
      <c r="R85" s="724">
        <f t="shared" si="5"/>
        <v>22815.891472868214</v>
      </c>
      <c r="S85" s="724">
        <f t="shared" si="5"/>
        <v>19190.199335548175</v>
      </c>
      <c r="T85" s="725">
        <f t="shared" si="5"/>
        <v>16470.930232558141</v>
      </c>
    </row>
    <row r="86" spans="2:20">
      <c r="B86" s="1791"/>
      <c r="C86" s="728">
        <v>33</v>
      </c>
      <c r="D86" s="729" t="s">
        <v>3083</v>
      </c>
      <c r="E86" s="728" t="s">
        <v>1406</v>
      </c>
      <c r="F86" s="726">
        <v>934</v>
      </c>
      <c r="G86" s="726">
        <v>163</v>
      </c>
      <c r="H86" s="727">
        <f t="shared" si="4"/>
        <v>152242</v>
      </c>
      <c r="I86" s="726"/>
      <c r="J86" s="730">
        <f>83/163</f>
        <v>0.50920245398773001</v>
      </c>
      <c r="K86" s="727">
        <v>440000</v>
      </c>
      <c r="L86" s="727">
        <v>27357000</v>
      </c>
      <c r="M86" s="724">
        <f t="shared" si="5"/>
        <v>165134.96932515336</v>
      </c>
      <c r="N86" s="724">
        <f t="shared" si="5"/>
        <v>81217.791411042941</v>
      </c>
      <c r="O86" s="724">
        <f t="shared" si="5"/>
        <v>53245.398773006134</v>
      </c>
      <c r="P86" s="724">
        <f t="shared" si="5"/>
        <v>39259.202453987731</v>
      </c>
      <c r="Q86" s="724">
        <f t="shared" si="5"/>
        <v>30867.484662576688</v>
      </c>
      <c r="R86" s="724">
        <f t="shared" si="5"/>
        <v>25273.006134969324</v>
      </c>
      <c r="S86" s="724">
        <f t="shared" si="5"/>
        <v>21276.950043821209</v>
      </c>
      <c r="T86" s="725">
        <f t="shared" ref="M86:T104" si="6">IF(($L86/T$1-$K86)/$G86&gt;0,($L86/T$1-$K86)/$G86,"")</f>
        <v>18279.907975460123</v>
      </c>
    </row>
    <row r="87" spans="2:20">
      <c r="B87" s="1791"/>
      <c r="C87" s="728">
        <v>34</v>
      </c>
      <c r="D87" s="729" t="s">
        <v>1182</v>
      </c>
      <c r="E87" s="728" t="s">
        <v>1392</v>
      </c>
      <c r="F87" s="726">
        <v>916</v>
      </c>
      <c r="G87" s="726">
        <v>179</v>
      </c>
      <c r="H87" s="727">
        <f t="shared" si="4"/>
        <v>163964</v>
      </c>
      <c r="I87" s="726"/>
      <c r="J87" s="730">
        <f>101/179</f>
        <v>0.56424581005586594</v>
      </c>
      <c r="K87" s="727">
        <v>2121000</v>
      </c>
      <c r="L87" s="727">
        <v>28213700</v>
      </c>
      <c r="M87" s="724">
        <f t="shared" si="6"/>
        <v>145769.27374301676</v>
      </c>
      <c r="N87" s="724">
        <f t="shared" si="6"/>
        <v>66960.055865921793</v>
      </c>
      <c r="O87" s="724">
        <f t="shared" si="6"/>
        <v>40690.316573556796</v>
      </c>
      <c r="P87" s="724">
        <f t="shared" si="6"/>
        <v>27555.446927374302</v>
      </c>
      <c r="Q87" s="724">
        <f t="shared" si="6"/>
        <v>19674.525139664805</v>
      </c>
      <c r="R87" s="724">
        <f t="shared" si="6"/>
        <v>14420.577281191805</v>
      </c>
      <c r="S87" s="724">
        <f t="shared" si="6"/>
        <v>10667.757382282522</v>
      </c>
      <c r="T87" s="725">
        <f t="shared" si="6"/>
        <v>7853.1424581005585</v>
      </c>
    </row>
    <row r="88" spans="2:20">
      <c r="B88" s="1791"/>
      <c r="C88" s="728">
        <v>35</v>
      </c>
      <c r="D88" s="729" t="s">
        <v>1324</v>
      </c>
      <c r="E88" s="728" t="s">
        <v>1403</v>
      </c>
      <c r="F88" s="726">
        <v>1014</v>
      </c>
      <c r="G88" s="726">
        <v>174</v>
      </c>
      <c r="H88" s="727">
        <f t="shared" si="4"/>
        <v>176436</v>
      </c>
      <c r="I88" s="726"/>
      <c r="J88" s="730">
        <f>80/174</f>
        <v>0.45977011494252873</v>
      </c>
      <c r="K88" s="727">
        <v>2461000</v>
      </c>
      <c r="L88" s="727">
        <v>29795200</v>
      </c>
      <c r="M88" s="724">
        <f t="shared" si="6"/>
        <v>157093.10344827586</v>
      </c>
      <c r="N88" s="724">
        <f t="shared" si="6"/>
        <v>71474.712643678155</v>
      </c>
      <c r="O88" s="724">
        <f t="shared" si="6"/>
        <v>42935.249042145595</v>
      </c>
      <c r="P88" s="724">
        <f t="shared" si="6"/>
        <v>28665.517241379312</v>
      </c>
      <c r="Q88" s="724">
        <f t="shared" si="6"/>
        <v>20103.678160919539</v>
      </c>
      <c r="R88" s="724">
        <f t="shared" si="6"/>
        <v>14395.785440613028</v>
      </c>
      <c r="S88" s="724">
        <f t="shared" si="6"/>
        <v>10318.719211822659</v>
      </c>
      <c r="T88" s="725">
        <f t="shared" si="6"/>
        <v>7260.9195402298847</v>
      </c>
    </row>
    <row r="89" spans="2:20">
      <c r="B89" s="1791"/>
      <c r="C89" s="728">
        <v>36</v>
      </c>
      <c r="D89" s="731" t="s">
        <v>3066</v>
      </c>
      <c r="E89" s="728" t="s">
        <v>1392</v>
      </c>
      <c r="F89" s="726">
        <v>388</v>
      </c>
      <c r="G89" s="726">
        <v>179</v>
      </c>
      <c r="H89" s="727">
        <f t="shared" si="4"/>
        <v>69452</v>
      </c>
      <c r="I89" s="726"/>
      <c r="J89" s="730">
        <f>105/175</f>
        <v>0.6</v>
      </c>
      <c r="K89" s="727">
        <v>1686000</v>
      </c>
      <c r="L89" s="727">
        <v>6378300</v>
      </c>
      <c r="M89" s="724">
        <f t="shared" si="6"/>
        <v>26213.966480446928</v>
      </c>
      <c r="N89" s="724">
        <f t="shared" si="6"/>
        <v>8397.4860335195535</v>
      </c>
      <c r="O89" s="724">
        <f t="shared" si="6"/>
        <v>2458.6592178770948</v>
      </c>
      <c r="P89" s="724" t="str">
        <f t="shared" si="6"/>
        <v/>
      </c>
      <c r="Q89" s="724" t="str">
        <f t="shared" si="6"/>
        <v/>
      </c>
      <c r="R89" s="724" t="str">
        <f t="shared" si="6"/>
        <v/>
      </c>
      <c r="S89" s="724" t="str">
        <f t="shared" si="6"/>
        <v/>
      </c>
      <c r="T89" s="725" t="str">
        <f t="shared" si="6"/>
        <v/>
      </c>
    </row>
    <row r="90" spans="2:20">
      <c r="B90" s="1791"/>
      <c r="C90" s="728">
        <v>37</v>
      </c>
      <c r="D90" s="731" t="s">
        <v>3067</v>
      </c>
      <c r="E90" s="728" t="s">
        <v>1403</v>
      </c>
      <c r="F90" s="726">
        <v>375</v>
      </c>
      <c r="G90" s="726">
        <v>185</v>
      </c>
      <c r="H90" s="727">
        <f t="shared" si="4"/>
        <v>69375</v>
      </c>
      <c r="I90" s="726"/>
      <c r="J90" s="730">
        <f>69/185</f>
        <v>0.37297297297297299</v>
      </c>
      <c r="K90" s="727">
        <v>2201000</v>
      </c>
      <c r="L90" s="727">
        <v>6424500</v>
      </c>
      <c r="M90" s="724">
        <f t="shared" si="6"/>
        <v>22829.72972972973</v>
      </c>
      <c r="N90" s="724">
        <f t="shared" si="6"/>
        <v>5466.2162162162158</v>
      </c>
      <c r="O90" s="724" t="str">
        <f t="shared" si="6"/>
        <v/>
      </c>
      <c r="P90" s="724" t="str">
        <f t="shared" si="6"/>
        <v/>
      </c>
      <c r="Q90" s="724" t="str">
        <f t="shared" si="6"/>
        <v/>
      </c>
      <c r="R90" s="724" t="str">
        <f t="shared" si="6"/>
        <v/>
      </c>
      <c r="S90" s="724" t="str">
        <f t="shared" si="6"/>
        <v/>
      </c>
      <c r="T90" s="725" t="str">
        <f t="shared" si="6"/>
        <v/>
      </c>
    </row>
    <row r="91" spans="2:20">
      <c r="B91" s="1791"/>
      <c r="C91" s="728">
        <v>38</v>
      </c>
      <c r="D91" s="731" t="s">
        <v>3068</v>
      </c>
      <c r="E91" s="728" t="s">
        <v>1406</v>
      </c>
      <c r="F91" s="726">
        <v>403</v>
      </c>
      <c r="G91" s="726">
        <v>181</v>
      </c>
      <c r="H91" s="727">
        <f t="shared" si="4"/>
        <v>72943</v>
      </c>
      <c r="I91" s="726"/>
      <c r="J91" s="730">
        <f>87/181</f>
        <v>0.48066298342541436</v>
      </c>
      <c r="K91" s="727">
        <v>2256000</v>
      </c>
      <c r="L91" s="727">
        <v>6466100</v>
      </c>
      <c r="M91" s="724">
        <f t="shared" si="6"/>
        <v>23260.220994475138</v>
      </c>
      <c r="N91" s="724">
        <f t="shared" si="6"/>
        <v>5398.0662983425418</v>
      </c>
      <c r="O91" s="724" t="str">
        <f t="shared" si="6"/>
        <v/>
      </c>
      <c r="P91" s="724" t="str">
        <f t="shared" si="6"/>
        <v/>
      </c>
      <c r="Q91" s="724" t="str">
        <f t="shared" si="6"/>
        <v/>
      </c>
      <c r="R91" s="724" t="str">
        <f t="shared" si="6"/>
        <v/>
      </c>
      <c r="S91" s="724" t="str">
        <f t="shared" si="6"/>
        <v/>
      </c>
      <c r="T91" s="725" t="str">
        <f t="shared" si="6"/>
        <v/>
      </c>
    </row>
    <row r="92" spans="2:20">
      <c r="B92" s="1791"/>
      <c r="C92" s="728">
        <v>39</v>
      </c>
      <c r="D92" s="731" t="s">
        <v>1030</v>
      </c>
      <c r="E92" s="728" t="s">
        <v>1406</v>
      </c>
      <c r="F92" s="726">
        <v>399</v>
      </c>
      <c r="G92" s="726">
        <v>183</v>
      </c>
      <c r="H92" s="727">
        <f t="shared" si="4"/>
        <v>73017</v>
      </c>
      <c r="I92" s="726"/>
      <c r="J92" s="730">
        <f>103/183</f>
        <v>0.56284153005464477</v>
      </c>
      <c r="K92" s="727">
        <v>1900000</v>
      </c>
      <c r="L92" s="727">
        <v>9723450</v>
      </c>
      <c r="M92" s="724">
        <f t="shared" si="6"/>
        <v>42751.092896174865</v>
      </c>
      <c r="N92" s="724">
        <f t="shared" si="6"/>
        <v>16184.289617486338</v>
      </c>
      <c r="O92" s="724">
        <f t="shared" si="6"/>
        <v>7328.688524590164</v>
      </c>
      <c r="P92" s="724">
        <f t="shared" si="6"/>
        <v>2900.8879781420765</v>
      </c>
      <c r="Q92" s="724">
        <f t="shared" si="6"/>
        <v>244.20765027322403</v>
      </c>
      <c r="R92" s="724" t="str">
        <f t="shared" si="6"/>
        <v/>
      </c>
      <c r="S92" s="724" t="str">
        <f t="shared" si="6"/>
        <v/>
      </c>
      <c r="T92" s="725" t="str">
        <f t="shared" si="6"/>
        <v/>
      </c>
    </row>
    <row r="93" spans="2:20">
      <c r="B93" s="1791"/>
      <c r="C93" s="728">
        <v>40</v>
      </c>
      <c r="D93" s="731" t="s">
        <v>3069</v>
      </c>
      <c r="E93" s="728" t="s">
        <v>1406</v>
      </c>
      <c r="F93" s="726">
        <v>453</v>
      </c>
      <c r="G93" s="726">
        <v>179</v>
      </c>
      <c r="H93" s="727">
        <f t="shared" si="4"/>
        <v>81087</v>
      </c>
      <c r="I93" s="726"/>
      <c r="J93" s="730">
        <f>74/179</f>
        <v>0.41340782122905029</v>
      </c>
      <c r="K93" s="727">
        <v>1143000</v>
      </c>
      <c r="L93" s="727">
        <v>9916500</v>
      </c>
      <c r="M93" s="724">
        <f t="shared" si="6"/>
        <v>49013.966480446928</v>
      </c>
      <c r="N93" s="724">
        <f t="shared" si="6"/>
        <v>21314.245810055865</v>
      </c>
      <c r="O93" s="724">
        <f t="shared" si="6"/>
        <v>12081.005586592179</v>
      </c>
      <c r="P93" s="724">
        <f t="shared" si="6"/>
        <v>7464.3854748603353</v>
      </c>
      <c r="Q93" s="724">
        <f t="shared" si="6"/>
        <v>4694.4134078212292</v>
      </c>
      <c r="R93" s="724">
        <f t="shared" si="6"/>
        <v>2847.7653631284916</v>
      </c>
      <c r="S93" s="724">
        <f t="shared" si="6"/>
        <v>1528.7310454908215</v>
      </c>
      <c r="T93" s="725">
        <f t="shared" si="6"/>
        <v>539.45530726256982</v>
      </c>
    </row>
    <row r="94" spans="2:20">
      <c r="B94" s="1791"/>
      <c r="C94" s="728">
        <v>41</v>
      </c>
      <c r="D94" s="731" t="s">
        <v>985</v>
      </c>
      <c r="E94" s="728" t="s">
        <v>1392</v>
      </c>
      <c r="F94" s="726">
        <v>488</v>
      </c>
      <c r="G94" s="726">
        <v>166</v>
      </c>
      <c r="H94" s="727">
        <f t="shared" si="4"/>
        <v>81008</v>
      </c>
      <c r="I94" s="727">
        <v>-6000</v>
      </c>
      <c r="J94" s="730">
        <f>82/166</f>
        <v>0.49397590361445781</v>
      </c>
      <c r="K94" s="727">
        <v>520000</v>
      </c>
      <c r="L94" s="727">
        <v>12988000</v>
      </c>
      <c r="M94" s="724">
        <f t="shared" si="6"/>
        <v>75108.433734939754</v>
      </c>
      <c r="N94" s="724">
        <f t="shared" si="6"/>
        <v>35987.951807228914</v>
      </c>
      <c r="O94" s="724">
        <f t="shared" si="6"/>
        <v>22947.791164658633</v>
      </c>
      <c r="P94" s="724">
        <f t="shared" si="6"/>
        <v>16427.710843373494</v>
      </c>
      <c r="Q94" s="724">
        <f t="shared" si="6"/>
        <v>12515.662650602409</v>
      </c>
      <c r="R94" s="724">
        <f t="shared" si="6"/>
        <v>9907.6305220883532</v>
      </c>
      <c r="S94" s="724">
        <f t="shared" si="6"/>
        <v>8044.7504302925981</v>
      </c>
      <c r="T94" s="725">
        <f t="shared" si="6"/>
        <v>6647.5903614457829</v>
      </c>
    </row>
    <row r="95" spans="2:20">
      <c r="B95" s="1791"/>
      <c r="C95" s="728">
        <v>42</v>
      </c>
      <c r="D95" s="731" t="s">
        <v>1021</v>
      </c>
      <c r="E95" s="728" t="s">
        <v>1414</v>
      </c>
      <c r="F95" s="726">
        <v>556</v>
      </c>
      <c r="G95" s="726">
        <v>162</v>
      </c>
      <c r="H95" s="727">
        <f t="shared" si="4"/>
        <v>90072</v>
      </c>
      <c r="I95" s="726"/>
      <c r="J95" s="730">
        <f>66/162</f>
        <v>0.40740740740740738</v>
      </c>
      <c r="K95" s="727">
        <v>2051000</v>
      </c>
      <c r="L95" s="727">
        <v>13240000</v>
      </c>
      <c r="M95" s="724">
        <f t="shared" si="6"/>
        <v>69067.901234567908</v>
      </c>
      <c r="N95" s="724">
        <f t="shared" si="6"/>
        <v>28203.703703703704</v>
      </c>
      <c r="O95" s="724">
        <f t="shared" si="6"/>
        <v>14582.304526748969</v>
      </c>
      <c r="P95" s="724">
        <f t="shared" si="6"/>
        <v>7771.6049382716046</v>
      </c>
      <c r="Q95" s="724">
        <f t="shared" si="6"/>
        <v>3685.1851851851852</v>
      </c>
      <c r="R95" s="724">
        <f t="shared" si="6"/>
        <v>960.90534979423774</v>
      </c>
      <c r="S95" s="724" t="str">
        <f t="shared" si="6"/>
        <v/>
      </c>
      <c r="T95" s="725" t="str">
        <f t="shared" si="6"/>
        <v/>
      </c>
    </row>
    <row r="96" spans="2:20">
      <c r="B96" s="1791"/>
      <c r="C96" s="728">
        <v>43</v>
      </c>
      <c r="D96" s="731" t="s">
        <v>1026</v>
      </c>
      <c r="E96" s="728" t="s">
        <v>1425</v>
      </c>
      <c r="F96" s="726">
        <v>515</v>
      </c>
      <c r="G96" s="726">
        <v>175</v>
      </c>
      <c r="H96" s="727">
        <f t="shared" si="4"/>
        <v>90125</v>
      </c>
      <c r="I96" s="726"/>
      <c r="J96" s="730">
        <f>68/175</f>
        <v>0.38857142857142857</v>
      </c>
      <c r="K96" s="727">
        <v>3000000</v>
      </c>
      <c r="L96" s="727">
        <v>15375000</v>
      </c>
      <c r="M96" s="724">
        <f t="shared" si="6"/>
        <v>70714.28571428571</v>
      </c>
      <c r="N96" s="724">
        <f t="shared" si="6"/>
        <v>26785.714285714286</v>
      </c>
      <c r="O96" s="724">
        <f t="shared" si="6"/>
        <v>12142.857142857143</v>
      </c>
      <c r="P96" s="724">
        <f t="shared" si="6"/>
        <v>4821.4285714285716</v>
      </c>
      <c r="Q96" s="724">
        <f t="shared" si="6"/>
        <v>428.57142857142856</v>
      </c>
      <c r="R96" s="724" t="str">
        <f t="shared" si="6"/>
        <v/>
      </c>
      <c r="S96" s="724" t="str">
        <f t="shared" si="6"/>
        <v/>
      </c>
      <c r="T96" s="725" t="str">
        <f t="shared" si="6"/>
        <v/>
      </c>
    </row>
    <row r="97" spans="2:20">
      <c r="B97" s="1791"/>
      <c r="C97" s="728">
        <v>44</v>
      </c>
      <c r="D97" s="731" t="s">
        <v>3070</v>
      </c>
      <c r="E97" s="728" t="s">
        <v>1392</v>
      </c>
      <c r="F97" s="726">
        <v>544</v>
      </c>
      <c r="G97" s="726">
        <v>182</v>
      </c>
      <c r="H97" s="727">
        <f t="shared" si="4"/>
        <v>99008</v>
      </c>
      <c r="I97" s="726"/>
      <c r="J97" s="730">
        <f>95/182</f>
        <v>0.52197802197802201</v>
      </c>
      <c r="K97" s="727">
        <v>1122000</v>
      </c>
      <c r="L97" s="727">
        <v>16005000</v>
      </c>
      <c r="M97" s="724">
        <f t="shared" si="6"/>
        <v>81774.725274725279</v>
      </c>
      <c r="N97" s="724">
        <f t="shared" si="6"/>
        <v>37804.945054945056</v>
      </c>
      <c r="O97" s="724">
        <f t="shared" si="6"/>
        <v>23148.351648351647</v>
      </c>
      <c r="P97" s="724">
        <f t="shared" si="6"/>
        <v>15820.054945054944</v>
      </c>
      <c r="Q97" s="724">
        <f t="shared" si="6"/>
        <v>11423.076923076924</v>
      </c>
      <c r="R97" s="724">
        <f t="shared" si="6"/>
        <v>8491.7582417582416</v>
      </c>
      <c r="S97" s="724">
        <f t="shared" si="6"/>
        <v>6397.9591836734689</v>
      </c>
      <c r="T97" s="725">
        <f t="shared" si="6"/>
        <v>4827.6098901098903</v>
      </c>
    </row>
    <row r="98" spans="2:20">
      <c r="B98" s="1791"/>
      <c r="C98" s="728">
        <v>45</v>
      </c>
      <c r="D98" s="731" t="s">
        <v>3071</v>
      </c>
      <c r="E98" s="728" t="s">
        <v>1403</v>
      </c>
      <c r="F98" s="726">
        <v>593</v>
      </c>
      <c r="G98" s="726">
        <v>167</v>
      </c>
      <c r="H98" s="727">
        <f t="shared" si="4"/>
        <v>99031</v>
      </c>
      <c r="I98" s="726" t="s">
        <v>3084</v>
      </c>
      <c r="J98" s="730">
        <f>98/167</f>
        <v>0.58682634730538918</v>
      </c>
      <c r="K98" s="727">
        <v>1640000</v>
      </c>
      <c r="L98" s="727">
        <v>18511000</v>
      </c>
      <c r="M98" s="724">
        <f t="shared" si="6"/>
        <v>101023.95209580839</v>
      </c>
      <c r="N98" s="724">
        <f t="shared" si="6"/>
        <v>45601.796407185626</v>
      </c>
      <c r="O98" s="724">
        <f t="shared" si="6"/>
        <v>27127.744510978042</v>
      </c>
      <c r="P98" s="724">
        <f t="shared" si="6"/>
        <v>17890.718562874252</v>
      </c>
      <c r="Q98" s="724">
        <f t="shared" si="6"/>
        <v>12348.502994011977</v>
      </c>
      <c r="R98" s="724">
        <f t="shared" si="6"/>
        <v>8653.692614770458</v>
      </c>
      <c r="S98" s="724">
        <f t="shared" si="6"/>
        <v>6014.5423438836606</v>
      </c>
      <c r="T98" s="725">
        <f t="shared" si="6"/>
        <v>4035.179640718563</v>
      </c>
    </row>
    <row r="99" spans="2:20">
      <c r="B99" s="1791"/>
      <c r="C99" s="728">
        <v>46</v>
      </c>
      <c r="D99" s="731" t="s">
        <v>960</v>
      </c>
      <c r="E99" s="728" t="s">
        <v>1414</v>
      </c>
      <c r="F99" s="726">
        <v>663</v>
      </c>
      <c r="G99" s="726">
        <v>163</v>
      </c>
      <c r="H99" s="727">
        <f t="shared" si="4"/>
        <v>108069</v>
      </c>
      <c r="I99" s="915" t="s">
        <v>3085</v>
      </c>
      <c r="J99" s="730">
        <f>90/163</f>
        <v>0.55214723926380371</v>
      </c>
      <c r="K99" s="727">
        <v>984000</v>
      </c>
      <c r="L99" s="727">
        <v>19868000</v>
      </c>
      <c r="M99" s="724">
        <f t="shared" si="6"/>
        <v>115852.76073619632</v>
      </c>
      <c r="N99" s="724">
        <f t="shared" si="6"/>
        <v>54907.975460122696</v>
      </c>
      <c r="O99" s="724">
        <f t="shared" si="6"/>
        <v>34593.04703476483</v>
      </c>
      <c r="P99" s="724">
        <f t="shared" si="6"/>
        <v>24435.582822085889</v>
      </c>
      <c r="Q99" s="724">
        <f t="shared" si="6"/>
        <v>18341.104294478526</v>
      </c>
      <c r="R99" s="724">
        <f t="shared" si="6"/>
        <v>14278.118609406954</v>
      </c>
      <c r="S99" s="724">
        <f t="shared" si="6"/>
        <v>11375.985977212969</v>
      </c>
      <c r="T99" s="725">
        <f t="shared" si="6"/>
        <v>9199.3865030674842</v>
      </c>
    </row>
    <row r="100" spans="2:20">
      <c r="B100" s="1791"/>
      <c r="C100" s="728">
        <v>47</v>
      </c>
      <c r="D100" s="731" t="s">
        <v>992</v>
      </c>
      <c r="E100" s="728" t="s">
        <v>1392</v>
      </c>
      <c r="F100" s="726">
        <v>618</v>
      </c>
      <c r="G100" s="726">
        <v>175</v>
      </c>
      <c r="H100" s="727">
        <f t="shared" si="4"/>
        <v>108150</v>
      </c>
      <c r="I100" s="912"/>
      <c r="J100" s="730">
        <f>85/175</f>
        <v>0.48571428571428571</v>
      </c>
      <c r="K100" s="727">
        <v>2369000</v>
      </c>
      <c r="L100" s="727">
        <v>22350000</v>
      </c>
      <c r="M100" s="724">
        <f t="shared" si="6"/>
        <v>114177.14285714286</v>
      </c>
      <c r="N100" s="724">
        <f t="shared" si="6"/>
        <v>50320</v>
      </c>
      <c r="O100" s="724">
        <f t="shared" si="6"/>
        <v>29034.285714285714</v>
      </c>
      <c r="P100" s="724">
        <f t="shared" si="6"/>
        <v>18391.428571428572</v>
      </c>
      <c r="Q100" s="724">
        <f t="shared" si="6"/>
        <v>12005.714285714286</v>
      </c>
      <c r="R100" s="724">
        <f t="shared" si="6"/>
        <v>7748.5714285714284</v>
      </c>
      <c r="S100" s="724">
        <f t="shared" si="6"/>
        <v>4707.7551020408155</v>
      </c>
      <c r="T100" s="725">
        <f t="shared" si="6"/>
        <v>2427.1428571428573</v>
      </c>
    </row>
    <row r="101" spans="2:20">
      <c r="B101" s="1791"/>
      <c r="C101" s="728">
        <v>48</v>
      </c>
      <c r="D101" s="731" t="s">
        <v>3072</v>
      </c>
      <c r="E101" s="728" t="s">
        <v>1409</v>
      </c>
      <c r="F101" s="726">
        <v>967</v>
      </c>
      <c r="G101" s="726">
        <v>186</v>
      </c>
      <c r="H101" s="727">
        <f t="shared" si="4"/>
        <v>179862</v>
      </c>
      <c r="I101" s="726" t="s">
        <v>3086</v>
      </c>
      <c r="J101" s="730">
        <f>92/186</f>
        <v>0.4946236559139785</v>
      </c>
      <c r="K101" s="727">
        <v>2360000</v>
      </c>
      <c r="L101" s="727">
        <v>21505500</v>
      </c>
      <c r="M101" s="724">
        <f t="shared" si="6"/>
        <v>102932.79569892473</v>
      </c>
      <c r="N101" s="724">
        <f t="shared" si="6"/>
        <v>45122.31182795699</v>
      </c>
      <c r="O101" s="724">
        <f t="shared" si="6"/>
        <v>25852.15053763441</v>
      </c>
      <c r="P101" s="724">
        <f t="shared" si="6"/>
        <v>16217.069892473119</v>
      </c>
      <c r="Q101" s="724">
        <f t="shared" si="6"/>
        <v>10436.021505376344</v>
      </c>
      <c r="R101" s="724">
        <f t="shared" si="6"/>
        <v>6581.989247311828</v>
      </c>
      <c r="S101" s="724">
        <f t="shared" si="6"/>
        <v>3829.1090629800319</v>
      </c>
      <c r="T101" s="725">
        <f t="shared" si="6"/>
        <v>1764.4489247311828</v>
      </c>
    </row>
    <row r="102" spans="2:20">
      <c r="B102" s="1791"/>
      <c r="C102" s="728">
        <v>49</v>
      </c>
      <c r="D102" s="731" t="s">
        <v>3073</v>
      </c>
      <c r="E102" s="728" t="s">
        <v>1409</v>
      </c>
      <c r="F102" s="726">
        <v>620</v>
      </c>
      <c r="G102" s="726">
        <v>189</v>
      </c>
      <c r="H102" s="727">
        <f t="shared" si="4"/>
        <v>117180</v>
      </c>
      <c r="I102" s="726"/>
      <c r="J102" s="730">
        <f>80/189</f>
        <v>0.42328042328042326</v>
      </c>
      <c r="K102" s="727">
        <v>2695000</v>
      </c>
      <c r="L102" s="727">
        <v>25599500</v>
      </c>
      <c r="M102" s="724">
        <f t="shared" si="6"/>
        <v>121187.83068783069</v>
      </c>
      <c r="N102" s="724">
        <f t="shared" si="6"/>
        <v>53464.285714285717</v>
      </c>
      <c r="O102" s="724">
        <f t="shared" si="6"/>
        <v>30889.770723104055</v>
      </c>
      <c r="P102" s="724">
        <f t="shared" si="6"/>
        <v>19602.513227513227</v>
      </c>
      <c r="Q102" s="724">
        <f t="shared" si="6"/>
        <v>12830.15873015873</v>
      </c>
      <c r="R102" s="724">
        <f t="shared" si="6"/>
        <v>8315.2557319223961</v>
      </c>
      <c r="S102" s="724">
        <f t="shared" si="6"/>
        <v>5090.3250188964475</v>
      </c>
      <c r="T102" s="725">
        <f t="shared" si="6"/>
        <v>2671.6269841269841</v>
      </c>
    </row>
    <row r="103" spans="2:20" ht="23.25" thickBot="1">
      <c r="B103" s="1792"/>
      <c r="C103" s="748">
        <v>50</v>
      </c>
      <c r="D103" s="913" t="s">
        <v>997</v>
      </c>
      <c r="E103" s="748" t="s">
        <v>1409</v>
      </c>
      <c r="F103" s="750">
        <v>428</v>
      </c>
      <c r="G103" s="750">
        <v>295</v>
      </c>
      <c r="H103" s="751">
        <f t="shared" si="4"/>
        <v>126260</v>
      </c>
      <c r="I103" s="750" t="s">
        <v>3087</v>
      </c>
      <c r="J103" s="752">
        <f>163/295</f>
        <v>0.55254237288135588</v>
      </c>
      <c r="K103" s="751">
        <v>8055000</v>
      </c>
      <c r="L103" s="751">
        <v>69455000</v>
      </c>
      <c r="M103" s="741">
        <f t="shared" si="6"/>
        <v>208135.59322033898</v>
      </c>
      <c r="N103" s="741">
        <f t="shared" si="6"/>
        <v>90415.254237288129</v>
      </c>
      <c r="O103" s="741">
        <f t="shared" si="6"/>
        <v>51175.141242937854</v>
      </c>
      <c r="P103" s="741">
        <f t="shared" si="6"/>
        <v>31555.084745762713</v>
      </c>
      <c r="Q103" s="741">
        <f t="shared" si="6"/>
        <v>19783.050847457627</v>
      </c>
      <c r="R103" s="741">
        <f t="shared" si="6"/>
        <v>11935.028248587572</v>
      </c>
      <c r="S103" s="741">
        <f t="shared" si="6"/>
        <v>6329.2978208232416</v>
      </c>
      <c r="T103" s="742">
        <f t="shared" si="6"/>
        <v>2125</v>
      </c>
    </row>
    <row r="104" spans="2:20">
      <c r="B104" s="1787">
        <v>3</v>
      </c>
      <c r="C104" s="745">
        <v>1</v>
      </c>
      <c r="D104" s="911" t="s">
        <v>1393</v>
      </c>
      <c r="E104" s="745" t="s">
        <v>1392</v>
      </c>
      <c r="F104" s="743">
        <v>49</v>
      </c>
      <c r="G104" s="743">
        <v>116</v>
      </c>
      <c r="H104" s="744">
        <f>F104*G104</f>
        <v>5684</v>
      </c>
      <c r="I104" s="743"/>
      <c r="J104" s="747">
        <f>45/116</f>
        <v>0.38793103448275862</v>
      </c>
      <c r="K104" s="744">
        <v>350000</v>
      </c>
      <c r="L104" s="744">
        <v>1064960</v>
      </c>
      <c r="M104" s="739">
        <f t="shared" si="6"/>
        <v>6163.4482758620688</v>
      </c>
      <c r="N104" s="739">
        <f t="shared" si="6"/>
        <v>1573.1034482758621</v>
      </c>
      <c r="O104" s="739">
        <f t="shared" si="6"/>
        <v>42.988505747126602</v>
      </c>
      <c r="P104" s="739" t="str">
        <f t="shared" si="6"/>
        <v/>
      </c>
      <c r="Q104" s="739" t="str">
        <f t="shared" si="6"/>
        <v/>
      </c>
      <c r="R104" s="739" t="str">
        <f t="shared" si="6"/>
        <v/>
      </c>
      <c r="S104" s="739" t="str">
        <f t="shared" si="6"/>
        <v/>
      </c>
      <c r="T104" s="740" t="str">
        <f t="shared" si="6"/>
        <v/>
      </c>
    </row>
    <row r="105" spans="2:20">
      <c r="B105" s="1788"/>
      <c r="C105" s="728">
        <v>2</v>
      </c>
      <c r="D105" s="731" t="s">
        <v>1398</v>
      </c>
      <c r="E105" s="728" t="s">
        <v>1406</v>
      </c>
      <c r="F105" s="726">
        <v>72</v>
      </c>
      <c r="G105" s="726">
        <v>113</v>
      </c>
      <c r="H105" s="727">
        <f t="shared" ref="H105:H138" si="7">F105*G105</f>
        <v>8136</v>
      </c>
      <c r="I105" s="726"/>
      <c r="J105" s="730">
        <f>(28-16+62-47+11)/113</f>
        <v>0.33628318584070799</v>
      </c>
      <c r="K105" s="727">
        <f>81000*3</f>
        <v>243000</v>
      </c>
      <c r="L105" s="727">
        <v>1101700</v>
      </c>
      <c r="M105" s="724">
        <f t="shared" ref="M105:T136" si="8">IF(($L105/M$1-$K105)/$G105&gt;0,($L105/M$1-$K105)/$G105,"")</f>
        <v>7599.1150442477874</v>
      </c>
      <c r="N105" s="724">
        <f t="shared" si="8"/>
        <v>2724.3362831858408</v>
      </c>
      <c r="O105" s="724">
        <f t="shared" si="8"/>
        <v>1099.4100294985249</v>
      </c>
      <c r="P105" s="724">
        <f t="shared" si="8"/>
        <v>286.94690265486724</v>
      </c>
      <c r="Q105" s="724" t="str">
        <f t="shared" si="8"/>
        <v/>
      </c>
      <c r="R105" s="724" t="str">
        <f t="shared" si="8"/>
        <v/>
      </c>
      <c r="S105" s="724" t="str">
        <f t="shared" si="8"/>
        <v/>
      </c>
      <c r="T105" s="725" t="str">
        <f t="shared" si="8"/>
        <v/>
      </c>
    </row>
    <row r="106" spans="2:20">
      <c r="B106" s="1788"/>
      <c r="C106" s="728">
        <v>3</v>
      </c>
      <c r="D106" s="731" t="s">
        <v>1188</v>
      </c>
      <c r="E106" s="728" t="s">
        <v>1403</v>
      </c>
      <c r="F106" s="726">
        <v>100</v>
      </c>
      <c r="G106" s="726">
        <v>118</v>
      </c>
      <c r="H106" s="727">
        <f t="shared" si="7"/>
        <v>11800</v>
      </c>
      <c r="I106" s="727">
        <v>12000</v>
      </c>
      <c r="J106" s="730">
        <f>27/118</f>
        <v>0.2288135593220339</v>
      </c>
      <c r="K106" s="727">
        <v>280000</v>
      </c>
      <c r="L106" s="727">
        <v>1653400</v>
      </c>
      <c r="M106" s="724">
        <f t="shared" si="8"/>
        <v>11638.983050847457</v>
      </c>
      <c r="N106" s="724">
        <f t="shared" si="8"/>
        <v>4633.0508474576272</v>
      </c>
      <c r="O106" s="724">
        <f t="shared" si="8"/>
        <v>2297.7401129943505</v>
      </c>
      <c r="P106" s="724">
        <f t="shared" si="8"/>
        <v>1130.0847457627119</v>
      </c>
      <c r="Q106" s="724">
        <f t="shared" si="8"/>
        <v>429.49152542372883</v>
      </c>
      <c r="R106" s="724" t="str">
        <f t="shared" si="8"/>
        <v/>
      </c>
      <c r="S106" s="724" t="str">
        <f t="shared" si="8"/>
        <v/>
      </c>
      <c r="T106" s="725" t="str">
        <f t="shared" si="8"/>
        <v/>
      </c>
    </row>
    <row r="107" spans="2:20">
      <c r="B107" s="1788"/>
      <c r="C107" s="728">
        <v>4</v>
      </c>
      <c r="D107" s="731" t="s">
        <v>1408</v>
      </c>
      <c r="E107" s="728" t="s">
        <v>1409</v>
      </c>
      <c r="F107" s="726">
        <v>115</v>
      </c>
      <c r="G107" s="726">
        <v>118</v>
      </c>
      <c r="H107" s="727">
        <f t="shared" si="7"/>
        <v>13570</v>
      </c>
      <c r="I107" s="727">
        <v>-8000</v>
      </c>
      <c r="J107" s="730">
        <f>64/118</f>
        <v>0.5423728813559322</v>
      </c>
      <c r="K107" s="727">
        <v>1000000</v>
      </c>
      <c r="L107" s="727">
        <v>1677000</v>
      </c>
      <c r="M107" s="724">
        <f t="shared" si="8"/>
        <v>5737.2881355932204</v>
      </c>
      <c r="N107" s="724" t="str">
        <f t="shared" si="8"/>
        <v/>
      </c>
      <c r="O107" s="724" t="str">
        <f t="shared" si="8"/>
        <v/>
      </c>
      <c r="P107" s="724" t="str">
        <f t="shared" si="8"/>
        <v/>
      </c>
      <c r="Q107" s="724" t="str">
        <f t="shared" si="8"/>
        <v/>
      </c>
      <c r="R107" s="724" t="str">
        <f t="shared" si="8"/>
        <v/>
      </c>
      <c r="S107" s="724" t="str">
        <f t="shared" si="8"/>
        <v/>
      </c>
      <c r="T107" s="725" t="str">
        <f t="shared" si="8"/>
        <v/>
      </c>
    </row>
    <row r="108" spans="2:20">
      <c r="B108" s="1788"/>
      <c r="C108" s="728">
        <v>5</v>
      </c>
      <c r="D108" s="731" t="s">
        <v>1413</v>
      </c>
      <c r="E108" s="728" t="s">
        <v>1414</v>
      </c>
      <c r="F108" s="726">
        <v>146</v>
      </c>
      <c r="G108" s="726">
        <v>105</v>
      </c>
      <c r="H108" s="727">
        <f t="shared" si="7"/>
        <v>15330</v>
      </c>
      <c r="I108" s="727"/>
      <c r="J108" s="730">
        <f>(9+14+14)/105</f>
        <v>0.35238095238095241</v>
      </c>
      <c r="K108" s="727">
        <v>243000</v>
      </c>
      <c r="L108" s="727">
        <v>2239760</v>
      </c>
      <c r="M108" s="724">
        <f t="shared" si="8"/>
        <v>19016.761904761905</v>
      </c>
      <c r="N108" s="724">
        <f t="shared" si="8"/>
        <v>8351.2380952380954</v>
      </c>
      <c r="O108" s="724">
        <f t="shared" si="8"/>
        <v>4796.063492063492</v>
      </c>
      <c r="P108" s="724">
        <f t="shared" si="8"/>
        <v>3018.4761904761904</v>
      </c>
      <c r="Q108" s="724">
        <f t="shared" si="8"/>
        <v>1951.9238095238095</v>
      </c>
      <c r="R108" s="724">
        <f t="shared" si="8"/>
        <v>1240.8888888888887</v>
      </c>
      <c r="S108" s="724">
        <f t="shared" si="8"/>
        <v>733.00680272108821</v>
      </c>
      <c r="T108" s="725">
        <f t="shared" si="8"/>
        <v>352.09523809523807</v>
      </c>
    </row>
    <row r="109" spans="2:20">
      <c r="B109" s="1788"/>
      <c r="C109" s="728">
        <v>6</v>
      </c>
      <c r="D109" s="731" t="s">
        <v>1418</v>
      </c>
      <c r="E109" s="728" t="s">
        <v>1406</v>
      </c>
      <c r="F109" s="726">
        <v>99</v>
      </c>
      <c r="G109" s="726">
        <v>183</v>
      </c>
      <c r="H109" s="727">
        <f t="shared" si="7"/>
        <v>18117</v>
      </c>
      <c r="I109" s="726"/>
      <c r="J109" s="730">
        <f>103/183</f>
        <v>0.56284153005464477</v>
      </c>
      <c r="K109" s="727">
        <v>1900000</v>
      </c>
      <c r="L109" s="727">
        <v>2439200</v>
      </c>
      <c r="M109" s="724">
        <f t="shared" si="8"/>
        <v>2946.4480874316941</v>
      </c>
      <c r="N109" s="724" t="str">
        <f t="shared" si="8"/>
        <v/>
      </c>
      <c r="O109" s="724" t="str">
        <f t="shared" si="8"/>
        <v/>
      </c>
      <c r="P109" s="724" t="str">
        <f t="shared" si="8"/>
        <v/>
      </c>
      <c r="Q109" s="724" t="str">
        <f t="shared" si="8"/>
        <v/>
      </c>
      <c r="R109" s="724" t="str">
        <f t="shared" si="8"/>
        <v/>
      </c>
      <c r="S109" s="724" t="str">
        <f t="shared" si="8"/>
        <v/>
      </c>
      <c r="T109" s="725" t="str">
        <f t="shared" si="8"/>
        <v/>
      </c>
    </row>
    <row r="110" spans="2:20">
      <c r="B110" s="1788"/>
      <c r="C110" s="728">
        <v>7</v>
      </c>
      <c r="D110" s="731" t="s">
        <v>1421</v>
      </c>
      <c r="E110" s="728" t="s">
        <v>1392</v>
      </c>
      <c r="F110" s="726">
        <v>155</v>
      </c>
      <c r="G110" s="726">
        <v>149</v>
      </c>
      <c r="H110" s="727">
        <f t="shared" si="7"/>
        <v>23095</v>
      </c>
      <c r="I110" s="912"/>
      <c r="J110" s="730">
        <f>(12+14+18+12)/149</f>
        <v>0.37583892617449666</v>
      </c>
      <c r="K110" s="727">
        <v>476000</v>
      </c>
      <c r="L110" s="727">
        <v>3635850</v>
      </c>
      <c r="M110" s="724">
        <f t="shared" si="8"/>
        <v>21207.046979865772</v>
      </c>
      <c r="N110" s="724">
        <f t="shared" si="8"/>
        <v>9006.2080536912745</v>
      </c>
      <c r="O110" s="724">
        <f t="shared" si="8"/>
        <v>4939.2617449664431</v>
      </c>
      <c r="P110" s="724">
        <f t="shared" si="8"/>
        <v>2905.7885906040269</v>
      </c>
      <c r="Q110" s="724">
        <f t="shared" si="8"/>
        <v>1685.7046979865772</v>
      </c>
      <c r="R110" s="724">
        <f t="shared" si="8"/>
        <v>872.31543624161077</v>
      </c>
      <c r="S110" s="724">
        <f t="shared" si="8"/>
        <v>291.32310642377746</v>
      </c>
      <c r="T110" s="725" t="str">
        <f t="shared" si="8"/>
        <v/>
      </c>
    </row>
    <row r="111" spans="2:20">
      <c r="B111" s="1788"/>
      <c r="C111" s="728">
        <v>8</v>
      </c>
      <c r="D111" s="731" t="s">
        <v>1424</v>
      </c>
      <c r="E111" s="728" t="s">
        <v>1425</v>
      </c>
      <c r="F111" s="726">
        <v>139</v>
      </c>
      <c r="G111" s="726">
        <v>175</v>
      </c>
      <c r="H111" s="727">
        <f t="shared" si="7"/>
        <v>24325</v>
      </c>
      <c r="I111" s="726"/>
      <c r="J111" s="730">
        <f>68/175</f>
        <v>0.38857142857142857</v>
      </c>
      <c r="K111" s="727">
        <v>3000000</v>
      </c>
      <c r="L111" s="727">
        <v>3708750</v>
      </c>
      <c r="M111" s="724">
        <f t="shared" si="8"/>
        <v>4050</v>
      </c>
      <c r="N111" s="724" t="str">
        <f t="shared" si="8"/>
        <v/>
      </c>
      <c r="O111" s="724" t="str">
        <f t="shared" si="8"/>
        <v/>
      </c>
      <c r="P111" s="724" t="str">
        <f t="shared" si="8"/>
        <v/>
      </c>
      <c r="Q111" s="724" t="str">
        <f t="shared" si="8"/>
        <v/>
      </c>
      <c r="R111" s="724" t="str">
        <f t="shared" si="8"/>
        <v/>
      </c>
      <c r="S111" s="724" t="str">
        <f t="shared" si="8"/>
        <v/>
      </c>
      <c r="T111" s="725" t="str">
        <f t="shared" si="8"/>
        <v/>
      </c>
    </row>
    <row r="112" spans="2:20">
      <c r="B112" s="1788"/>
      <c r="C112" s="728">
        <v>9</v>
      </c>
      <c r="D112" s="731" t="s">
        <v>1429</v>
      </c>
      <c r="E112" s="728" t="s">
        <v>1403</v>
      </c>
      <c r="F112" s="726">
        <v>154</v>
      </c>
      <c r="G112" s="726">
        <v>170</v>
      </c>
      <c r="H112" s="727">
        <f t="shared" si="7"/>
        <v>26180</v>
      </c>
      <c r="I112" s="726"/>
      <c r="J112" s="730">
        <f>98/170</f>
        <v>0.57647058823529407</v>
      </c>
      <c r="K112" s="727">
        <v>680000</v>
      </c>
      <c r="L112" s="727">
        <v>4887400</v>
      </c>
      <c r="M112" s="724">
        <f t="shared" si="8"/>
        <v>24749.411764705881</v>
      </c>
      <c r="N112" s="724">
        <f t="shared" si="8"/>
        <v>10374.705882352941</v>
      </c>
      <c r="O112" s="724">
        <f t="shared" si="8"/>
        <v>5583.1372549019607</v>
      </c>
      <c r="P112" s="724">
        <f t="shared" si="8"/>
        <v>3187.3529411764707</v>
      </c>
      <c r="Q112" s="724">
        <f t="shared" si="8"/>
        <v>1749.8823529411766</v>
      </c>
      <c r="R112" s="724">
        <f t="shared" si="8"/>
        <v>791.56862745098022</v>
      </c>
      <c r="S112" s="724">
        <f t="shared" si="8"/>
        <v>107.05882352941177</v>
      </c>
      <c r="T112" s="725" t="str">
        <f t="shared" si="8"/>
        <v/>
      </c>
    </row>
    <row r="113" spans="2:20">
      <c r="B113" s="1788"/>
      <c r="C113" s="728">
        <v>10</v>
      </c>
      <c r="D113" s="731" t="s">
        <v>1433</v>
      </c>
      <c r="E113" s="728" t="s">
        <v>1414</v>
      </c>
      <c r="F113" s="726">
        <v>177</v>
      </c>
      <c r="G113" s="726">
        <v>158</v>
      </c>
      <c r="H113" s="727">
        <f t="shared" si="7"/>
        <v>27966</v>
      </c>
      <c r="I113" s="727">
        <v>160000</v>
      </c>
      <c r="J113" s="730">
        <f>66/158</f>
        <v>0.41772151898734178</v>
      </c>
      <c r="K113" s="727">
        <v>1784000</v>
      </c>
      <c r="L113" s="727">
        <v>4881640</v>
      </c>
      <c r="M113" s="724">
        <f t="shared" si="8"/>
        <v>19605.316455696204</v>
      </c>
      <c r="N113" s="724">
        <f t="shared" si="8"/>
        <v>4157.0886075949365</v>
      </c>
      <c r="O113" s="724" t="str">
        <f t="shared" si="8"/>
        <v/>
      </c>
      <c r="P113" s="724" t="str">
        <f t="shared" si="8"/>
        <v/>
      </c>
      <c r="Q113" s="724" t="str">
        <f t="shared" si="8"/>
        <v/>
      </c>
      <c r="R113" s="724" t="str">
        <f t="shared" si="8"/>
        <v/>
      </c>
      <c r="S113" s="724" t="str">
        <f t="shared" si="8"/>
        <v/>
      </c>
      <c r="T113" s="725" t="str">
        <f t="shared" si="8"/>
        <v/>
      </c>
    </row>
    <row r="114" spans="2:20">
      <c r="B114" s="1788"/>
      <c r="C114" s="728">
        <v>11</v>
      </c>
      <c r="D114" s="731" t="s">
        <v>1438</v>
      </c>
      <c r="E114" s="728" t="s">
        <v>1409</v>
      </c>
      <c r="F114" s="726">
        <v>188</v>
      </c>
      <c r="G114" s="726">
        <v>158</v>
      </c>
      <c r="H114" s="727">
        <f t="shared" si="7"/>
        <v>29704</v>
      </c>
      <c r="I114" s="726"/>
      <c r="J114" s="730">
        <f>(11+13+20+12)/158</f>
        <v>0.35443037974683544</v>
      </c>
      <c r="K114" s="727">
        <v>476000</v>
      </c>
      <c r="L114" s="727">
        <v>5938520</v>
      </c>
      <c r="M114" s="724">
        <f t="shared" si="8"/>
        <v>34572.911392405062</v>
      </c>
      <c r="N114" s="724">
        <f t="shared" si="8"/>
        <v>15780.126582278481</v>
      </c>
      <c r="O114" s="724">
        <f t="shared" si="8"/>
        <v>9515.8649789029532</v>
      </c>
      <c r="P114" s="724">
        <f t="shared" si="8"/>
        <v>6383.7341772151894</v>
      </c>
      <c r="Q114" s="724">
        <f t="shared" si="8"/>
        <v>4504.4556962025317</v>
      </c>
      <c r="R114" s="724">
        <f t="shared" si="8"/>
        <v>3251.6033755274266</v>
      </c>
      <c r="S114" s="724">
        <f t="shared" si="8"/>
        <v>2356.7088607594937</v>
      </c>
      <c r="T114" s="725">
        <f t="shared" si="8"/>
        <v>1685.5379746835442</v>
      </c>
    </row>
    <row r="115" spans="2:20">
      <c r="B115" s="1788"/>
      <c r="C115" s="728">
        <v>12</v>
      </c>
      <c r="D115" s="731" t="s">
        <v>1442</v>
      </c>
      <c r="E115" s="728" t="s">
        <v>1414</v>
      </c>
      <c r="F115" s="726">
        <v>201</v>
      </c>
      <c r="G115" s="726">
        <v>157</v>
      </c>
      <c r="H115" s="727">
        <f t="shared" si="7"/>
        <v>31557</v>
      </c>
      <c r="I115" s="727">
        <v>-20000</v>
      </c>
      <c r="J115" s="730">
        <f>88/157</f>
        <v>0.56050955414012738</v>
      </c>
      <c r="K115" s="727">
        <v>1600000</v>
      </c>
      <c r="L115" s="727">
        <v>5989100</v>
      </c>
      <c r="M115" s="724">
        <f t="shared" si="8"/>
        <v>27956.050955414012</v>
      </c>
      <c r="N115" s="724">
        <f t="shared" si="8"/>
        <v>8882.4840764331202</v>
      </c>
      <c r="O115" s="724">
        <f t="shared" si="8"/>
        <v>2524.6284501061577</v>
      </c>
      <c r="P115" s="724" t="str">
        <f t="shared" si="8"/>
        <v/>
      </c>
      <c r="Q115" s="724" t="str">
        <f t="shared" si="8"/>
        <v/>
      </c>
      <c r="R115" s="724" t="str">
        <f t="shared" si="8"/>
        <v/>
      </c>
      <c r="S115" s="724" t="str">
        <f t="shared" si="8"/>
        <v/>
      </c>
      <c r="T115" s="725" t="str">
        <f t="shared" si="8"/>
        <v/>
      </c>
    </row>
    <row r="116" spans="2:20">
      <c r="B116" s="1788"/>
      <c r="C116" s="728">
        <v>13</v>
      </c>
      <c r="D116" s="731" t="s">
        <v>1446</v>
      </c>
      <c r="E116" s="728" t="s">
        <v>1403</v>
      </c>
      <c r="F116" s="726">
        <v>276</v>
      </c>
      <c r="G116" s="726">
        <v>133</v>
      </c>
      <c r="H116" s="727">
        <f t="shared" si="7"/>
        <v>36708</v>
      </c>
      <c r="I116" s="726"/>
      <c r="J116" s="730">
        <f>45/133</f>
        <v>0.33834586466165412</v>
      </c>
      <c r="K116" s="727">
        <v>477000</v>
      </c>
      <c r="L116" s="727">
        <v>6984200</v>
      </c>
      <c r="M116" s="724">
        <f t="shared" si="8"/>
        <v>48926.315789473687</v>
      </c>
      <c r="N116" s="724">
        <f t="shared" si="8"/>
        <v>22669.924812030076</v>
      </c>
      <c r="O116" s="724">
        <f t="shared" si="8"/>
        <v>13917.794486215538</v>
      </c>
      <c r="P116" s="724">
        <f t="shared" si="8"/>
        <v>9541.729323308271</v>
      </c>
      <c r="Q116" s="724">
        <f t="shared" si="8"/>
        <v>6916.0902255639094</v>
      </c>
      <c r="R116" s="724">
        <f t="shared" si="8"/>
        <v>5165.6641604010019</v>
      </c>
      <c r="S116" s="724">
        <f t="shared" si="8"/>
        <v>3915.3598281417831</v>
      </c>
      <c r="T116" s="725">
        <f t="shared" si="8"/>
        <v>2977.6315789473683</v>
      </c>
    </row>
    <row r="117" spans="2:20">
      <c r="B117" s="1788"/>
      <c r="C117" s="728">
        <v>14</v>
      </c>
      <c r="D117" s="731" t="s">
        <v>1451</v>
      </c>
      <c r="E117" s="728" t="s">
        <v>1425</v>
      </c>
      <c r="F117" s="726">
        <v>295</v>
      </c>
      <c r="G117" s="726">
        <v>129</v>
      </c>
      <c r="H117" s="727">
        <f t="shared" si="7"/>
        <v>38055</v>
      </c>
      <c r="I117" s="732">
        <v>5200</v>
      </c>
      <c r="J117" s="730">
        <f>49/129</f>
        <v>0.37984496124031009</v>
      </c>
      <c r="K117" s="727">
        <v>450000</v>
      </c>
      <c r="L117" s="727">
        <v>7521800</v>
      </c>
      <c r="M117" s="724">
        <f t="shared" si="8"/>
        <v>54820.155038759687</v>
      </c>
      <c r="N117" s="724">
        <f t="shared" si="8"/>
        <v>25665.891472868218</v>
      </c>
      <c r="O117" s="724">
        <f t="shared" si="8"/>
        <v>15947.803617571059</v>
      </c>
      <c r="P117" s="724">
        <f t="shared" si="8"/>
        <v>11088.759689922481</v>
      </c>
      <c r="Q117" s="724">
        <f t="shared" si="8"/>
        <v>8173.333333333333</v>
      </c>
      <c r="R117" s="724">
        <f t="shared" si="8"/>
        <v>6229.7157622739014</v>
      </c>
      <c r="S117" s="724">
        <f t="shared" si="8"/>
        <v>4841.4174972314504</v>
      </c>
      <c r="T117" s="725">
        <f t="shared" si="8"/>
        <v>3800.1937984496126</v>
      </c>
    </row>
    <row r="118" spans="2:20">
      <c r="B118" s="1788"/>
      <c r="C118" s="728">
        <v>15</v>
      </c>
      <c r="D118" s="731" t="s">
        <v>1456</v>
      </c>
      <c r="E118" s="728" t="s">
        <v>1409</v>
      </c>
      <c r="F118" s="726">
        <v>290</v>
      </c>
      <c r="G118" s="726">
        <v>140</v>
      </c>
      <c r="H118" s="727">
        <f t="shared" si="7"/>
        <v>40600</v>
      </c>
      <c r="I118" s="726"/>
      <c r="J118" s="730">
        <f>62/140</f>
        <v>0.44285714285714284</v>
      </c>
      <c r="K118" s="727">
        <v>476000</v>
      </c>
      <c r="L118" s="727">
        <v>8262800</v>
      </c>
      <c r="M118" s="724">
        <f t="shared" si="8"/>
        <v>55620</v>
      </c>
      <c r="N118" s="724">
        <f t="shared" si="8"/>
        <v>26110</v>
      </c>
      <c r="O118" s="724">
        <f t="shared" si="8"/>
        <v>16273.333333333332</v>
      </c>
      <c r="P118" s="724">
        <f t="shared" si="8"/>
        <v>11355</v>
      </c>
      <c r="Q118" s="724">
        <f t="shared" si="8"/>
        <v>8404</v>
      </c>
      <c r="R118" s="724">
        <f t="shared" si="8"/>
        <v>6436.6666666666661</v>
      </c>
      <c r="S118" s="724">
        <f t="shared" si="8"/>
        <v>5031.4285714285716</v>
      </c>
      <c r="T118" s="725">
        <f t="shared" si="8"/>
        <v>3977.5</v>
      </c>
    </row>
    <row r="119" spans="2:20">
      <c r="B119" s="1788"/>
      <c r="C119" s="728">
        <v>16</v>
      </c>
      <c r="D119" s="731" t="s">
        <v>1186</v>
      </c>
      <c r="E119" s="728" t="s">
        <v>1403</v>
      </c>
      <c r="F119" s="726">
        <v>255</v>
      </c>
      <c r="G119" s="726">
        <v>167</v>
      </c>
      <c r="H119" s="727">
        <f t="shared" si="7"/>
        <v>42585</v>
      </c>
      <c r="I119" s="726" t="s">
        <v>3084</v>
      </c>
      <c r="J119" s="730">
        <f>98/167</f>
        <v>0.58682634730538918</v>
      </c>
      <c r="K119" s="727">
        <v>1640000</v>
      </c>
      <c r="L119" s="727">
        <v>9079820</v>
      </c>
      <c r="M119" s="724">
        <f t="shared" si="8"/>
        <v>44549.820359281439</v>
      </c>
      <c r="N119" s="724">
        <f t="shared" si="8"/>
        <v>17364.730538922155</v>
      </c>
      <c r="O119" s="724">
        <f t="shared" si="8"/>
        <v>8303.0339321357278</v>
      </c>
      <c r="P119" s="724">
        <f t="shared" si="8"/>
        <v>3772.1856287425148</v>
      </c>
      <c r="Q119" s="724">
        <f t="shared" si="8"/>
        <v>1053.6766467065868</v>
      </c>
      <c r="R119" s="724" t="str">
        <f t="shared" si="8"/>
        <v/>
      </c>
      <c r="S119" s="724" t="str">
        <f t="shared" si="8"/>
        <v/>
      </c>
      <c r="T119" s="725" t="str">
        <f t="shared" si="8"/>
        <v/>
      </c>
    </row>
    <row r="120" spans="2:20">
      <c r="B120" s="1788"/>
      <c r="C120" s="728">
        <v>17</v>
      </c>
      <c r="D120" s="731" t="s">
        <v>1463</v>
      </c>
      <c r="E120" s="728" t="s">
        <v>1425</v>
      </c>
      <c r="F120" s="726">
        <v>254</v>
      </c>
      <c r="G120" s="726">
        <v>176</v>
      </c>
      <c r="H120" s="727">
        <f t="shared" si="7"/>
        <v>44704</v>
      </c>
      <c r="I120" s="727">
        <v>-30000</v>
      </c>
      <c r="J120" s="730">
        <f>101/176</f>
        <v>0.57386363636363635</v>
      </c>
      <c r="K120" s="727">
        <v>2100000</v>
      </c>
      <c r="L120" s="727">
        <v>9742400</v>
      </c>
      <c r="M120" s="724">
        <f t="shared" si="8"/>
        <v>43422.727272727272</v>
      </c>
      <c r="N120" s="724">
        <f t="shared" si="8"/>
        <v>15745.454545454546</v>
      </c>
      <c r="O120" s="724">
        <f t="shared" si="8"/>
        <v>6519.6969696969691</v>
      </c>
      <c r="P120" s="724">
        <f t="shared" si="8"/>
        <v>1906.8181818181818</v>
      </c>
      <c r="Q120" s="724" t="str">
        <f t="shared" si="8"/>
        <v/>
      </c>
      <c r="R120" s="724" t="str">
        <f t="shared" si="8"/>
        <v/>
      </c>
      <c r="S120" s="724" t="str">
        <f t="shared" si="8"/>
        <v/>
      </c>
      <c r="T120" s="725" t="str">
        <f t="shared" si="8"/>
        <v/>
      </c>
    </row>
    <row r="121" spans="2:20">
      <c r="B121" s="1788"/>
      <c r="C121" s="728">
        <v>18</v>
      </c>
      <c r="D121" s="731" t="s">
        <v>1467</v>
      </c>
      <c r="E121" s="728" t="s">
        <v>1414</v>
      </c>
      <c r="F121" s="726">
        <v>360</v>
      </c>
      <c r="G121" s="726">
        <v>135</v>
      </c>
      <c r="H121" s="727">
        <f t="shared" si="7"/>
        <v>48600</v>
      </c>
      <c r="I121" s="726"/>
      <c r="J121" s="730">
        <f>(10+16+13)/135</f>
        <v>0.28888888888888886</v>
      </c>
      <c r="K121" s="727">
        <v>450000</v>
      </c>
      <c r="L121" s="727">
        <v>9455300</v>
      </c>
      <c r="M121" s="724">
        <f t="shared" si="8"/>
        <v>66705.925925925927</v>
      </c>
      <c r="N121" s="724">
        <f t="shared" si="8"/>
        <v>31686.296296296296</v>
      </c>
      <c r="O121" s="724">
        <f t="shared" si="8"/>
        <v>20013.086419753086</v>
      </c>
      <c r="P121" s="724">
        <f t="shared" si="8"/>
        <v>14176.481481481482</v>
      </c>
      <c r="Q121" s="724">
        <f t="shared" si="8"/>
        <v>10674.518518518518</v>
      </c>
      <c r="R121" s="724">
        <f t="shared" si="8"/>
        <v>8339.8765432098753</v>
      </c>
      <c r="S121" s="724">
        <f t="shared" si="8"/>
        <v>6672.2751322751328</v>
      </c>
      <c r="T121" s="725">
        <f t="shared" si="8"/>
        <v>5421.5740740740739</v>
      </c>
    </row>
    <row r="122" spans="2:20">
      <c r="B122" s="1788"/>
      <c r="C122" s="728">
        <v>19</v>
      </c>
      <c r="D122" s="731" t="s">
        <v>1470</v>
      </c>
      <c r="E122" s="728" t="s">
        <v>1392</v>
      </c>
      <c r="F122" s="726">
        <v>418</v>
      </c>
      <c r="G122" s="726">
        <v>137</v>
      </c>
      <c r="H122" s="727">
        <f t="shared" si="7"/>
        <v>57266</v>
      </c>
      <c r="I122" s="727"/>
      <c r="J122" s="730">
        <f>75/137</f>
        <v>0.54744525547445255</v>
      </c>
      <c r="K122" s="727">
        <v>476000</v>
      </c>
      <c r="L122" s="727">
        <v>10742640</v>
      </c>
      <c r="M122" s="724">
        <f t="shared" si="8"/>
        <v>74938.97810218978</v>
      </c>
      <c r="N122" s="724">
        <f t="shared" si="8"/>
        <v>35732.262773722628</v>
      </c>
      <c r="O122" s="724">
        <f t="shared" si="8"/>
        <v>22663.357664233576</v>
      </c>
      <c r="P122" s="724">
        <f t="shared" si="8"/>
        <v>16128.905109489051</v>
      </c>
      <c r="Q122" s="724">
        <f t="shared" si="8"/>
        <v>12208.233576642337</v>
      </c>
      <c r="R122" s="724">
        <f t="shared" si="8"/>
        <v>9594.4525547445264</v>
      </c>
      <c r="S122" s="724">
        <f t="shared" si="8"/>
        <v>7727.4661105318037</v>
      </c>
      <c r="T122" s="725">
        <f t="shared" si="8"/>
        <v>6327.2262773722632</v>
      </c>
    </row>
    <row r="123" spans="2:20">
      <c r="B123" s="1788"/>
      <c r="C123" s="728">
        <v>20</v>
      </c>
      <c r="D123" s="731" t="s">
        <v>1475</v>
      </c>
      <c r="E123" s="728" t="s">
        <v>1392</v>
      </c>
      <c r="F123" s="726">
        <v>350</v>
      </c>
      <c r="G123" s="726">
        <v>176</v>
      </c>
      <c r="H123" s="727">
        <f t="shared" si="7"/>
        <v>61600</v>
      </c>
      <c r="I123" s="727">
        <v>6000</v>
      </c>
      <c r="J123" s="730">
        <f>62/176</f>
        <v>0.35227272727272729</v>
      </c>
      <c r="K123" s="727">
        <v>3200000</v>
      </c>
      <c r="L123" s="727">
        <v>11907680</v>
      </c>
      <c r="M123" s="724">
        <f t="shared" si="8"/>
        <v>49475.454545454544</v>
      </c>
      <c r="N123" s="724">
        <f t="shared" si="8"/>
        <v>15646.818181818182</v>
      </c>
      <c r="O123" s="724">
        <f t="shared" si="8"/>
        <v>4370.6060606060601</v>
      </c>
      <c r="P123" s="724" t="str">
        <f t="shared" si="8"/>
        <v/>
      </c>
      <c r="Q123" s="724" t="str">
        <f t="shared" si="8"/>
        <v/>
      </c>
      <c r="R123" s="724" t="str">
        <f t="shared" si="8"/>
        <v/>
      </c>
      <c r="S123" s="724" t="str">
        <f t="shared" si="8"/>
        <v/>
      </c>
      <c r="T123" s="725" t="str">
        <f t="shared" si="8"/>
        <v/>
      </c>
    </row>
    <row r="124" spans="2:20">
      <c r="B124" s="1788"/>
      <c r="C124" s="728">
        <v>21</v>
      </c>
      <c r="D124" s="731" t="s">
        <v>1187</v>
      </c>
      <c r="E124" s="728" t="s">
        <v>1409</v>
      </c>
      <c r="F124" s="726">
        <v>371</v>
      </c>
      <c r="G124" s="726">
        <v>178</v>
      </c>
      <c r="H124" s="727">
        <f t="shared" si="7"/>
        <v>66038</v>
      </c>
      <c r="I124" s="726" t="s">
        <v>3088</v>
      </c>
      <c r="J124" s="730">
        <f>112/178</f>
        <v>0.6292134831460674</v>
      </c>
      <c r="K124" s="727">
        <v>1750000</v>
      </c>
      <c r="L124" s="727">
        <v>12605920</v>
      </c>
      <c r="M124" s="724">
        <f t="shared" si="8"/>
        <v>60988.314606741573</v>
      </c>
      <c r="N124" s="724">
        <f t="shared" si="8"/>
        <v>25578.426966292136</v>
      </c>
      <c r="O124" s="724">
        <f t="shared" si="8"/>
        <v>13775.131086142321</v>
      </c>
      <c r="P124" s="724">
        <f t="shared" si="8"/>
        <v>7873.4831460674159</v>
      </c>
      <c r="Q124" s="724">
        <f t="shared" si="8"/>
        <v>4332.4943820224717</v>
      </c>
      <c r="R124" s="724">
        <f t="shared" si="8"/>
        <v>1971.8352059925085</v>
      </c>
      <c r="S124" s="724">
        <f t="shared" si="8"/>
        <v>285.65008025682204</v>
      </c>
      <c r="T124" s="725" t="str">
        <f t="shared" si="8"/>
        <v/>
      </c>
    </row>
    <row r="125" spans="2:20">
      <c r="B125" s="1788"/>
      <c r="C125" s="728">
        <v>22</v>
      </c>
      <c r="D125" s="731" t="s">
        <v>1483</v>
      </c>
      <c r="E125" s="728" t="s">
        <v>1406</v>
      </c>
      <c r="F125" s="726">
        <v>413</v>
      </c>
      <c r="G125" s="726">
        <v>170</v>
      </c>
      <c r="H125" s="727">
        <f t="shared" si="7"/>
        <v>70210</v>
      </c>
      <c r="I125" s="727">
        <v>-20000</v>
      </c>
      <c r="J125" s="730">
        <f>87/170</f>
        <v>0.5117647058823529</v>
      </c>
      <c r="K125" s="727">
        <v>1600000</v>
      </c>
      <c r="L125" s="727">
        <v>13873000</v>
      </c>
      <c r="M125" s="724">
        <f t="shared" si="8"/>
        <v>72194.117647058825</v>
      </c>
      <c r="N125" s="724">
        <f t="shared" si="8"/>
        <v>31391.176470588234</v>
      </c>
      <c r="O125" s="724">
        <f t="shared" si="8"/>
        <v>17790.196078431371</v>
      </c>
      <c r="P125" s="724">
        <f t="shared" si="8"/>
        <v>10989.705882352941</v>
      </c>
      <c r="Q125" s="724">
        <f t="shared" si="8"/>
        <v>6909.411764705882</v>
      </c>
      <c r="R125" s="724">
        <f t="shared" si="8"/>
        <v>4189.2156862745087</v>
      </c>
      <c r="S125" s="724">
        <f t="shared" si="8"/>
        <v>2246.2184873949586</v>
      </c>
      <c r="T125" s="725">
        <f t="shared" si="8"/>
        <v>788.97058823529414</v>
      </c>
    </row>
    <row r="126" spans="2:20">
      <c r="B126" s="1788"/>
      <c r="C126" s="728">
        <v>23</v>
      </c>
      <c r="D126" s="731" t="s">
        <v>1185</v>
      </c>
      <c r="E126" s="728" t="s">
        <v>1409</v>
      </c>
      <c r="F126" s="726">
        <v>504</v>
      </c>
      <c r="G126" s="726">
        <v>148</v>
      </c>
      <c r="H126" s="727">
        <f t="shared" si="7"/>
        <v>74592</v>
      </c>
      <c r="I126" s="726"/>
      <c r="J126" s="730">
        <f>(21+17+14+103-85+141-118)/148</f>
        <v>0.6283783783783784</v>
      </c>
      <c r="K126" s="727">
        <f>206000*3+413000*2</f>
        <v>1444000</v>
      </c>
      <c r="L126" s="727">
        <v>14655120</v>
      </c>
      <c r="M126" s="724">
        <f t="shared" si="8"/>
        <v>89264.32432432432</v>
      </c>
      <c r="N126" s="724">
        <f t="shared" si="8"/>
        <v>39753.783783783787</v>
      </c>
      <c r="O126" s="724">
        <f t="shared" si="8"/>
        <v>23250.27027027027</v>
      </c>
      <c r="P126" s="724">
        <f t="shared" si="8"/>
        <v>14998.513513513513</v>
      </c>
      <c r="Q126" s="724">
        <f t="shared" si="8"/>
        <v>10047.45945945946</v>
      </c>
      <c r="R126" s="724">
        <f t="shared" si="8"/>
        <v>6746.7567567567567</v>
      </c>
      <c r="S126" s="724">
        <f t="shared" si="8"/>
        <v>4389.1119691119684</v>
      </c>
      <c r="T126" s="725">
        <f t="shared" si="8"/>
        <v>2620.8783783783783</v>
      </c>
    </row>
    <row r="127" spans="2:20">
      <c r="B127" s="1788"/>
      <c r="C127" s="728">
        <v>24</v>
      </c>
      <c r="D127" s="731" t="s">
        <v>1492</v>
      </c>
      <c r="E127" s="728" t="s">
        <v>1403</v>
      </c>
      <c r="F127" s="726">
        <v>424</v>
      </c>
      <c r="G127" s="726">
        <v>186</v>
      </c>
      <c r="H127" s="727">
        <f>F127*G127</f>
        <v>78864</v>
      </c>
      <c r="I127" s="732" t="s">
        <v>4230</v>
      </c>
      <c r="J127" s="730">
        <f>93/186</f>
        <v>0.5</v>
      </c>
      <c r="K127" s="727">
        <v>2430000</v>
      </c>
      <c r="L127" s="727">
        <v>15530280</v>
      </c>
      <c r="M127" s="724">
        <f t="shared" si="8"/>
        <v>70431.612903225803</v>
      </c>
      <c r="N127" s="724">
        <f t="shared" si="8"/>
        <v>28683.548387096773</v>
      </c>
      <c r="O127" s="724">
        <f t="shared" si="8"/>
        <v>14767.526881720431</v>
      </c>
      <c r="P127" s="724">
        <f t="shared" si="8"/>
        <v>7809.5161290322585</v>
      </c>
      <c r="Q127" s="724">
        <f t="shared" si="8"/>
        <v>3634.7096774193546</v>
      </c>
      <c r="R127" s="724">
        <f t="shared" si="8"/>
        <v>851.50537634408602</v>
      </c>
      <c r="S127" s="724" t="str">
        <f t="shared" si="8"/>
        <v/>
      </c>
      <c r="T127" s="725" t="str">
        <f t="shared" si="8"/>
        <v/>
      </c>
    </row>
    <row r="128" spans="2:20">
      <c r="B128" s="1788"/>
      <c r="C128" s="728">
        <v>25</v>
      </c>
      <c r="D128" s="731" t="s">
        <v>1190</v>
      </c>
      <c r="E128" s="728" t="s">
        <v>1414</v>
      </c>
      <c r="F128" s="726">
        <v>470</v>
      </c>
      <c r="G128" s="726">
        <v>175</v>
      </c>
      <c r="H128" s="727">
        <f t="shared" si="7"/>
        <v>82250</v>
      </c>
      <c r="I128" s="727">
        <v>100000</v>
      </c>
      <c r="J128" s="730">
        <f>(10+10+22+13+12+14)/175</f>
        <v>0.46285714285714286</v>
      </c>
      <c r="K128" s="727">
        <v>1900000</v>
      </c>
      <c r="L128" s="727">
        <v>15816120</v>
      </c>
      <c r="M128" s="724">
        <f t="shared" si="8"/>
        <v>79520.685714285719</v>
      </c>
      <c r="N128" s="724">
        <f t="shared" si="8"/>
        <v>34331.771428571432</v>
      </c>
      <c r="O128" s="724">
        <f t="shared" si="8"/>
        <v>19268.8</v>
      </c>
      <c r="P128" s="724">
        <f t="shared" si="8"/>
        <v>11737.314285714287</v>
      </c>
      <c r="Q128" s="724">
        <f t="shared" si="8"/>
        <v>7218.4228571428575</v>
      </c>
      <c r="R128" s="724">
        <f t="shared" si="8"/>
        <v>4205.8285714285712</v>
      </c>
      <c r="S128" s="724">
        <f t="shared" si="8"/>
        <v>2053.9755102040804</v>
      </c>
      <c r="T128" s="725">
        <f t="shared" si="8"/>
        <v>440.08571428571429</v>
      </c>
    </row>
    <row r="129" spans="2:20">
      <c r="B129" s="1788"/>
      <c r="C129" s="728">
        <v>26</v>
      </c>
      <c r="D129" s="731" t="s">
        <v>1499</v>
      </c>
      <c r="E129" s="728" t="s">
        <v>1406</v>
      </c>
      <c r="F129" s="726">
        <v>565</v>
      </c>
      <c r="G129" s="726">
        <v>168</v>
      </c>
      <c r="H129" s="727">
        <f t="shared" si="7"/>
        <v>94920</v>
      </c>
      <c r="I129" s="912" t="s">
        <v>3089</v>
      </c>
      <c r="J129" s="730">
        <f>(11+4+25+18+7+20)/168</f>
        <v>0.50595238095238093</v>
      </c>
      <c r="K129" s="727">
        <v>1818000</v>
      </c>
      <c r="L129" s="727">
        <v>18810240</v>
      </c>
      <c r="M129" s="724">
        <f t="shared" si="8"/>
        <v>101144.28571428571</v>
      </c>
      <c r="N129" s="724">
        <f t="shared" si="8"/>
        <v>45161.428571428572</v>
      </c>
      <c r="O129" s="724">
        <f t="shared" si="8"/>
        <v>26500.476190476191</v>
      </c>
      <c r="P129" s="724">
        <f t="shared" si="8"/>
        <v>17170</v>
      </c>
      <c r="Q129" s="724">
        <f t="shared" si="8"/>
        <v>11571.714285714286</v>
      </c>
      <c r="R129" s="724">
        <f t="shared" si="8"/>
        <v>7839.5238095238092</v>
      </c>
      <c r="S129" s="724">
        <f t="shared" si="8"/>
        <v>5173.6734693877543</v>
      </c>
      <c r="T129" s="725">
        <f t="shared" si="8"/>
        <v>3174.2857142857142</v>
      </c>
    </row>
    <row r="130" spans="2:20">
      <c r="B130" s="1788"/>
      <c r="C130" s="728">
        <v>27</v>
      </c>
      <c r="D130" s="731" t="s">
        <v>1503</v>
      </c>
      <c r="E130" s="728" t="s">
        <v>1414</v>
      </c>
      <c r="F130" s="726">
        <v>650</v>
      </c>
      <c r="G130" s="726">
        <v>162</v>
      </c>
      <c r="H130" s="727">
        <f t="shared" si="7"/>
        <v>105300</v>
      </c>
      <c r="I130" s="726"/>
      <c r="J130" s="730">
        <f>66/162</f>
        <v>0.40740740740740738</v>
      </c>
      <c r="K130" s="727">
        <v>2051000</v>
      </c>
      <c r="L130" s="727">
        <v>20082400</v>
      </c>
      <c r="M130" s="724">
        <f t="shared" si="8"/>
        <v>111304.93827160494</v>
      </c>
      <c r="N130" s="724">
        <f t="shared" si="8"/>
        <v>49322.222222222219</v>
      </c>
      <c r="O130" s="724">
        <f t="shared" si="8"/>
        <v>28661.316872427982</v>
      </c>
      <c r="P130" s="724">
        <f t="shared" si="8"/>
        <v>18330.864197530864</v>
      </c>
      <c r="Q130" s="724">
        <f t="shared" si="8"/>
        <v>12132.592592592593</v>
      </c>
      <c r="R130" s="724">
        <f t="shared" si="8"/>
        <v>8000.4115226337435</v>
      </c>
      <c r="S130" s="724">
        <f t="shared" si="8"/>
        <v>5048.8536155202837</v>
      </c>
      <c r="T130" s="725">
        <f t="shared" si="8"/>
        <v>2835.1851851851852</v>
      </c>
    </row>
    <row r="131" spans="2:20">
      <c r="B131" s="1788"/>
      <c r="C131" s="728">
        <v>28</v>
      </c>
      <c r="D131" s="731" t="s">
        <v>1189</v>
      </c>
      <c r="E131" s="728" t="s">
        <v>1425</v>
      </c>
      <c r="F131" s="726">
        <v>900</v>
      </c>
      <c r="G131" s="726">
        <v>130</v>
      </c>
      <c r="H131" s="727">
        <f t="shared" si="7"/>
        <v>117000</v>
      </c>
      <c r="I131" s="916" t="s">
        <v>4231</v>
      </c>
      <c r="J131" s="730">
        <f>(17+20+24+7)/130</f>
        <v>0.52307692307692311</v>
      </c>
      <c r="K131" s="727">
        <f>549000+274000*3</f>
        <v>1371000</v>
      </c>
      <c r="L131" s="727">
        <v>21900000</v>
      </c>
      <c r="M131" s="724">
        <f t="shared" si="8"/>
        <v>157915.38461538462</v>
      </c>
      <c r="N131" s="724">
        <f t="shared" si="8"/>
        <v>73684.61538461539</v>
      </c>
      <c r="O131" s="724">
        <f t="shared" si="8"/>
        <v>45607.692307692305</v>
      </c>
      <c r="P131" s="724">
        <f t="shared" si="8"/>
        <v>31569.23076923077</v>
      </c>
      <c r="Q131" s="724">
        <f t="shared" si="8"/>
        <v>23146.153846153848</v>
      </c>
      <c r="R131" s="724">
        <f t="shared" si="8"/>
        <v>17530.76923076923</v>
      </c>
      <c r="S131" s="724">
        <f t="shared" si="8"/>
        <v>13519.780219780221</v>
      </c>
      <c r="T131" s="725">
        <f t="shared" si="8"/>
        <v>10511.538461538461</v>
      </c>
    </row>
    <row r="132" spans="2:20">
      <c r="B132" s="1788"/>
      <c r="C132" s="728">
        <v>29</v>
      </c>
      <c r="D132" s="731" t="s">
        <v>1184</v>
      </c>
      <c r="E132" s="728" t="s">
        <v>1392</v>
      </c>
      <c r="F132" s="726">
        <v>744</v>
      </c>
      <c r="G132" s="726">
        <v>173</v>
      </c>
      <c r="H132" s="727">
        <f t="shared" si="7"/>
        <v>128712</v>
      </c>
      <c r="I132" s="727"/>
      <c r="J132" s="730">
        <f>(17+13+21+17+26+12)/173</f>
        <v>0.61271676300578037</v>
      </c>
      <c r="K132" s="727">
        <v>2100000</v>
      </c>
      <c r="L132" s="727">
        <v>24709000</v>
      </c>
      <c r="M132" s="724">
        <f t="shared" si="8"/>
        <v>130687.8612716763</v>
      </c>
      <c r="N132" s="724">
        <f t="shared" si="8"/>
        <v>59274.566473988438</v>
      </c>
      <c r="O132" s="724">
        <f t="shared" si="8"/>
        <v>35470.134874759147</v>
      </c>
      <c r="P132" s="724">
        <f t="shared" si="8"/>
        <v>23567.919075144509</v>
      </c>
      <c r="Q132" s="724">
        <f t="shared" si="8"/>
        <v>16426.589595375721</v>
      </c>
      <c r="R132" s="724">
        <f t="shared" si="8"/>
        <v>11665.703275529864</v>
      </c>
      <c r="S132" s="724">
        <f t="shared" si="8"/>
        <v>8265.0701899256801</v>
      </c>
      <c r="T132" s="725">
        <f t="shared" si="8"/>
        <v>5714.5953757225434</v>
      </c>
    </row>
    <row r="133" spans="2:20">
      <c r="B133" s="1788"/>
      <c r="C133" s="728">
        <v>30</v>
      </c>
      <c r="D133" s="731" t="s">
        <v>1517</v>
      </c>
      <c r="E133" s="728" t="s">
        <v>1409</v>
      </c>
      <c r="F133" s="726">
        <v>969</v>
      </c>
      <c r="G133" s="726">
        <v>145</v>
      </c>
      <c r="H133" s="727">
        <f t="shared" si="7"/>
        <v>140505</v>
      </c>
      <c r="I133" s="727"/>
      <c r="J133" s="730">
        <f>(46-14+72-54+5+129-111)/145</f>
        <v>0.50344827586206897</v>
      </c>
      <c r="K133" s="727">
        <f>525000*2+262000*2</f>
        <v>1574000</v>
      </c>
      <c r="L133" s="727">
        <v>25220000</v>
      </c>
      <c r="M133" s="724">
        <f t="shared" si="8"/>
        <v>163075.86206896551</v>
      </c>
      <c r="N133" s="724">
        <f t="shared" si="8"/>
        <v>76110.344827586203</v>
      </c>
      <c r="O133" s="724">
        <f t="shared" si="8"/>
        <v>47121.839080459766</v>
      </c>
      <c r="P133" s="724">
        <f t="shared" si="8"/>
        <v>32627.586206896551</v>
      </c>
      <c r="Q133" s="724">
        <f t="shared" si="8"/>
        <v>23931.03448275862</v>
      </c>
      <c r="R133" s="724">
        <f t="shared" si="8"/>
        <v>18133.333333333332</v>
      </c>
      <c r="S133" s="724">
        <f t="shared" si="8"/>
        <v>13992.118226600984</v>
      </c>
      <c r="T133" s="725">
        <f t="shared" si="8"/>
        <v>10886.206896551725</v>
      </c>
    </row>
    <row r="134" spans="2:20">
      <c r="B134" s="1788"/>
      <c r="C134" s="728">
        <v>31</v>
      </c>
      <c r="D134" s="729" t="s">
        <v>3090</v>
      </c>
      <c r="E134" s="728" t="s">
        <v>1406</v>
      </c>
      <c r="F134" s="726">
        <v>851</v>
      </c>
      <c r="G134" s="726">
        <v>165</v>
      </c>
      <c r="H134" s="727">
        <f t="shared" si="7"/>
        <v>140415</v>
      </c>
      <c r="I134" s="917">
        <v>-10000</v>
      </c>
      <c r="J134" s="730">
        <f>91/165</f>
        <v>0.55151515151515151</v>
      </c>
      <c r="K134" s="727">
        <v>440000</v>
      </c>
      <c r="L134" s="727">
        <v>25940000</v>
      </c>
      <c r="M134" s="724">
        <f t="shared" si="8"/>
        <v>154545.45454545456</v>
      </c>
      <c r="N134" s="724">
        <f t="shared" si="8"/>
        <v>75939.393939393936</v>
      </c>
      <c r="O134" s="724">
        <f t="shared" si="8"/>
        <v>49737.373737373731</v>
      </c>
      <c r="P134" s="724">
        <f t="shared" si="8"/>
        <v>36636.36363636364</v>
      </c>
      <c r="Q134" s="724">
        <f t="shared" si="8"/>
        <v>28775.757575757576</v>
      </c>
      <c r="R134" s="724">
        <f t="shared" si="8"/>
        <v>23535.353535353534</v>
      </c>
      <c r="S134" s="724">
        <f t="shared" si="8"/>
        <v>19792.207792207795</v>
      </c>
      <c r="T134" s="725">
        <f t="shared" si="8"/>
        <v>16984.848484848484</v>
      </c>
    </row>
    <row r="135" spans="2:20">
      <c r="B135" s="1788"/>
      <c r="C135" s="728">
        <v>32</v>
      </c>
      <c r="D135" s="729" t="s">
        <v>3060</v>
      </c>
      <c r="E135" s="728" t="s">
        <v>1403</v>
      </c>
      <c r="F135" s="726">
        <v>895</v>
      </c>
      <c r="G135" s="726">
        <v>157</v>
      </c>
      <c r="H135" s="727">
        <f t="shared" si="7"/>
        <v>140515</v>
      </c>
      <c r="I135" s="726"/>
      <c r="J135" s="730">
        <f>59/157</f>
        <v>0.37579617834394907</v>
      </c>
      <c r="K135" s="727">
        <v>475000</v>
      </c>
      <c r="L135" s="727">
        <v>25652000</v>
      </c>
      <c r="M135" s="724">
        <f t="shared" si="8"/>
        <v>160363.05732484077</v>
      </c>
      <c r="N135" s="724">
        <f t="shared" si="8"/>
        <v>78668.789808917194</v>
      </c>
      <c r="O135" s="724">
        <f t="shared" si="8"/>
        <v>51437.367303609339</v>
      </c>
      <c r="P135" s="724">
        <f t="shared" si="8"/>
        <v>37821.656050955411</v>
      </c>
      <c r="Q135" s="724">
        <f t="shared" si="8"/>
        <v>29652.229299363058</v>
      </c>
      <c r="R135" s="724">
        <f t="shared" si="8"/>
        <v>24205.944798301483</v>
      </c>
      <c r="S135" s="724">
        <f t="shared" si="8"/>
        <v>20315.741583257506</v>
      </c>
      <c r="T135" s="725">
        <f t="shared" si="8"/>
        <v>17398.089171974523</v>
      </c>
    </row>
    <row r="136" spans="2:20">
      <c r="B136" s="1788"/>
      <c r="C136" s="728">
        <v>33</v>
      </c>
      <c r="D136" s="729" t="s">
        <v>3091</v>
      </c>
      <c r="E136" s="728" t="s">
        <v>1425</v>
      </c>
      <c r="F136" s="726">
        <v>900</v>
      </c>
      <c r="G136" s="726">
        <v>169</v>
      </c>
      <c r="H136" s="727">
        <f t="shared" si="7"/>
        <v>152100</v>
      </c>
      <c r="I136" s="726"/>
      <c r="J136" s="730">
        <f>50/169</f>
        <v>0.29585798816568049</v>
      </c>
      <c r="K136" s="727">
        <v>420000</v>
      </c>
      <c r="L136" s="727">
        <v>27591000</v>
      </c>
      <c r="M136" s="724">
        <f t="shared" si="8"/>
        <v>160775.14792899409</v>
      </c>
      <c r="N136" s="724">
        <f t="shared" si="8"/>
        <v>79144.970414201191</v>
      </c>
      <c r="O136" s="724">
        <f t="shared" si="8"/>
        <v>51934.91124260355</v>
      </c>
      <c r="P136" s="724">
        <f t="shared" si="8"/>
        <v>38329.881656804733</v>
      </c>
      <c r="Q136" s="724">
        <f t="shared" si="8"/>
        <v>30166.863905325445</v>
      </c>
      <c r="R136" s="724">
        <f t="shared" si="8"/>
        <v>24724.852071005917</v>
      </c>
      <c r="S136" s="724">
        <f t="shared" si="8"/>
        <v>20837.700760777683</v>
      </c>
      <c r="T136" s="725">
        <f t="shared" ref="M136:T166" si="9">IF(($L136/T$1-$K136)/$G136&gt;0,($L136/T$1-$K136)/$G136,"")</f>
        <v>17922.337278106508</v>
      </c>
    </row>
    <row r="137" spans="2:20">
      <c r="B137" s="1788"/>
      <c r="C137" s="728">
        <v>34</v>
      </c>
      <c r="D137" s="731" t="s">
        <v>2886</v>
      </c>
      <c r="E137" s="728" t="s">
        <v>1409</v>
      </c>
      <c r="F137" s="726">
        <v>827</v>
      </c>
      <c r="G137" s="726">
        <v>184</v>
      </c>
      <c r="H137" s="727">
        <f t="shared" si="7"/>
        <v>152168</v>
      </c>
      <c r="I137" s="727" t="s">
        <v>3076</v>
      </c>
      <c r="J137" s="730">
        <f>71/184</f>
        <v>0.3858695652173913</v>
      </c>
      <c r="K137" s="727">
        <v>1605000</v>
      </c>
      <c r="L137" s="727">
        <v>28415200</v>
      </c>
      <c r="M137" s="724">
        <f t="shared" si="9"/>
        <v>145707.60869565216</v>
      </c>
      <c r="N137" s="724">
        <f t="shared" si="9"/>
        <v>68492.391304347824</v>
      </c>
      <c r="O137" s="724">
        <f t="shared" si="9"/>
        <v>42753.985507246383</v>
      </c>
      <c r="P137" s="724">
        <f t="shared" si="9"/>
        <v>29884.782608695652</v>
      </c>
      <c r="Q137" s="724">
        <f t="shared" si="9"/>
        <v>22163.260869565216</v>
      </c>
      <c r="R137" s="724">
        <f t="shared" si="9"/>
        <v>17015.579710144928</v>
      </c>
      <c r="S137" s="724">
        <f t="shared" si="9"/>
        <v>13338.664596273293</v>
      </c>
      <c r="T137" s="725">
        <f t="shared" si="9"/>
        <v>10580.978260869566</v>
      </c>
    </row>
    <row r="138" spans="2:20">
      <c r="B138" s="1788"/>
      <c r="C138" s="728">
        <v>35</v>
      </c>
      <c r="D138" s="731" t="s">
        <v>3092</v>
      </c>
      <c r="E138" s="728" t="s">
        <v>1392</v>
      </c>
      <c r="F138" s="726">
        <v>987</v>
      </c>
      <c r="G138" s="726">
        <v>166</v>
      </c>
      <c r="H138" s="727">
        <f t="shared" si="7"/>
        <v>163842</v>
      </c>
      <c r="I138" s="727">
        <v>200</v>
      </c>
      <c r="J138" s="730">
        <f>61/166</f>
        <v>0.36746987951807231</v>
      </c>
      <c r="K138" s="727">
        <v>400000</v>
      </c>
      <c r="L138" s="727">
        <v>29436800</v>
      </c>
      <c r="M138" s="724">
        <f t="shared" si="9"/>
        <v>174920.48192771085</v>
      </c>
      <c r="N138" s="724">
        <f t="shared" si="9"/>
        <v>86255.421686746995</v>
      </c>
      <c r="O138" s="724">
        <f t="shared" si="9"/>
        <v>56700.401606425701</v>
      </c>
      <c r="P138" s="724">
        <f t="shared" si="9"/>
        <v>41922.891566265062</v>
      </c>
      <c r="Q138" s="724">
        <f t="shared" si="9"/>
        <v>33056.385542168675</v>
      </c>
      <c r="R138" s="724">
        <f t="shared" si="9"/>
        <v>27145.381526104415</v>
      </c>
      <c r="S138" s="724">
        <f t="shared" si="9"/>
        <v>22923.235800344235</v>
      </c>
      <c r="T138" s="725">
        <f t="shared" si="9"/>
        <v>19756.626506024095</v>
      </c>
    </row>
    <row r="139" spans="2:20">
      <c r="B139" s="1788"/>
      <c r="C139" s="728">
        <v>36</v>
      </c>
      <c r="D139" s="731" t="s">
        <v>4215</v>
      </c>
      <c r="E139" s="728" t="s">
        <v>4216</v>
      </c>
      <c r="F139" s="726">
        <v>408</v>
      </c>
      <c r="G139" s="726">
        <v>170</v>
      </c>
      <c r="H139" s="727">
        <v>69360</v>
      </c>
      <c r="I139" s="726"/>
      <c r="J139" s="730">
        <v>0.38823529411764707</v>
      </c>
      <c r="K139" s="727">
        <v>762000</v>
      </c>
      <c r="L139" s="727">
        <v>6309000</v>
      </c>
      <c r="M139" s="724">
        <f t="shared" si="9"/>
        <v>32629.411764705881</v>
      </c>
      <c r="N139" s="724">
        <f t="shared" si="9"/>
        <v>14073.529411764706</v>
      </c>
      <c r="O139" s="724">
        <f t="shared" si="9"/>
        <v>7888.2352941176468</v>
      </c>
      <c r="P139" s="724">
        <f t="shared" si="9"/>
        <v>4795.588235294118</v>
      </c>
      <c r="Q139" s="724">
        <f t="shared" si="9"/>
        <v>2940</v>
      </c>
      <c r="R139" s="724">
        <f t="shared" si="9"/>
        <v>1702.9411764705883</v>
      </c>
      <c r="S139" s="724">
        <f t="shared" si="9"/>
        <v>819.32773109243715</v>
      </c>
      <c r="T139" s="725">
        <f t="shared" si="9"/>
        <v>156.61764705882354</v>
      </c>
    </row>
    <row r="140" spans="2:20">
      <c r="B140" s="1788"/>
      <c r="C140" s="728">
        <v>37</v>
      </c>
      <c r="D140" s="731" t="s">
        <v>3117</v>
      </c>
      <c r="E140" s="728" t="s">
        <v>4148</v>
      </c>
      <c r="F140" s="726">
        <v>406</v>
      </c>
      <c r="G140" s="726">
        <v>171</v>
      </c>
      <c r="H140" s="727">
        <v>69426</v>
      </c>
      <c r="I140" s="727"/>
      <c r="J140" s="730">
        <v>0.47953216374269003</v>
      </c>
      <c r="K140" s="727">
        <v>414000</v>
      </c>
      <c r="L140" s="727">
        <v>6316700</v>
      </c>
      <c r="M140" s="724">
        <f t="shared" si="9"/>
        <v>34518.713450292395</v>
      </c>
      <c r="N140" s="724">
        <f t="shared" si="9"/>
        <v>16048.830409356726</v>
      </c>
      <c r="O140" s="724">
        <f t="shared" si="9"/>
        <v>9892.2027290448332</v>
      </c>
      <c r="P140" s="724">
        <f t="shared" si="9"/>
        <v>6813.8888888888887</v>
      </c>
      <c r="Q140" s="724">
        <f t="shared" si="9"/>
        <v>4966.9005847953213</v>
      </c>
      <c r="R140" s="724">
        <f t="shared" si="9"/>
        <v>3735.5750487329428</v>
      </c>
      <c r="S140" s="724">
        <f t="shared" si="9"/>
        <v>2856.0568086883877</v>
      </c>
      <c r="T140" s="725">
        <f t="shared" si="9"/>
        <v>2196.4181286549706</v>
      </c>
    </row>
    <row r="141" spans="2:20">
      <c r="B141" s="1788"/>
      <c r="C141" s="728">
        <v>38</v>
      </c>
      <c r="D141" s="731" t="s">
        <v>3116</v>
      </c>
      <c r="E141" s="728" t="s">
        <v>3171</v>
      </c>
      <c r="F141" s="726">
        <v>427</v>
      </c>
      <c r="G141" s="726">
        <v>171</v>
      </c>
      <c r="H141" s="727">
        <v>73017</v>
      </c>
      <c r="I141" s="727">
        <v>10000</v>
      </c>
      <c r="J141" s="730">
        <v>0.56140350877192979</v>
      </c>
      <c r="K141" s="727">
        <v>1094000</v>
      </c>
      <c r="L141" s="727">
        <v>6385100</v>
      </c>
      <c r="M141" s="724">
        <f t="shared" si="9"/>
        <v>30942.105263157893</v>
      </c>
      <c r="N141" s="724">
        <f t="shared" si="9"/>
        <v>12272.222222222223</v>
      </c>
      <c r="O141" s="724">
        <f t="shared" si="9"/>
        <v>6048.9278752436639</v>
      </c>
      <c r="P141" s="724">
        <f t="shared" si="9"/>
        <v>2937.280701754386</v>
      </c>
      <c r="Q141" s="724">
        <f t="shared" si="9"/>
        <v>1070.2923976608188</v>
      </c>
      <c r="R141" s="724" t="str">
        <f t="shared" si="9"/>
        <v/>
      </c>
      <c r="S141" s="724" t="str">
        <f t="shared" si="9"/>
        <v/>
      </c>
      <c r="T141" s="725" t="str">
        <f t="shared" si="9"/>
        <v/>
      </c>
    </row>
    <row r="142" spans="2:20">
      <c r="B142" s="1788"/>
      <c r="C142" s="728">
        <v>39</v>
      </c>
      <c r="D142" s="731" t="s">
        <v>3118</v>
      </c>
      <c r="E142" s="728" t="s">
        <v>4217</v>
      </c>
      <c r="F142" s="726">
        <v>440</v>
      </c>
      <c r="G142" s="726">
        <v>166</v>
      </c>
      <c r="H142" s="727">
        <v>73040</v>
      </c>
      <c r="I142" s="732"/>
      <c r="J142" s="730">
        <v>0.23493975903614459</v>
      </c>
      <c r="K142" s="727">
        <v>1071000</v>
      </c>
      <c r="L142" s="727">
        <v>9516900</v>
      </c>
      <c r="M142" s="724">
        <f t="shared" si="9"/>
        <v>50878.915662650601</v>
      </c>
      <c r="N142" s="724">
        <f t="shared" si="9"/>
        <v>22213.554216867469</v>
      </c>
      <c r="O142" s="724">
        <f t="shared" si="9"/>
        <v>12658.433734939759</v>
      </c>
      <c r="P142" s="724">
        <f t="shared" si="9"/>
        <v>7880.8734939759033</v>
      </c>
      <c r="Q142" s="724">
        <f t="shared" si="9"/>
        <v>5014.3373493975905</v>
      </c>
      <c r="R142" s="724">
        <f t="shared" si="9"/>
        <v>3103.3132530120483</v>
      </c>
      <c r="S142" s="724">
        <f t="shared" si="9"/>
        <v>1738.29604130809</v>
      </c>
      <c r="T142" s="725">
        <f t="shared" si="9"/>
        <v>714.5331325301205</v>
      </c>
    </row>
    <row r="143" spans="2:20">
      <c r="B143" s="1788"/>
      <c r="C143" s="728">
        <v>40</v>
      </c>
      <c r="D143" s="731" t="s">
        <v>986</v>
      </c>
      <c r="E143" s="728" t="s">
        <v>4217</v>
      </c>
      <c r="F143" s="726">
        <v>420</v>
      </c>
      <c r="G143" s="726">
        <v>174</v>
      </c>
      <c r="H143" s="727">
        <v>73080</v>
      </c>
      <c r="I143" s="727">
        <v>4000</v>
      </c>
      <c r="J143" s="730">
        <v>0.41954022988505746</v>
      </c>
      <c r="K143" s="727">
        <v>1500000</v>
      </c>
      <c r="L143" s="727">
        <v>10105500</v>
      </c>
      <c r="M143" s="724">
        <f t="shared" si="9"/>
        <v>49456.896551724138</v>
      </c>
      <c r="N143" s="724">
        <f t="shared" si="9"/>
        <v>20418.103448275862</v>
      </c>
      <c r="O143" s="724">
        <f t="shared" si="9"/>
        <v>10738.505747126437</v>
      </c>
      <c r="P143" s="724">
        <f t="shared" si="9"/>
        <v>5898.7068965517237</v>
      </c>
      <c r="Q143" s="724">
        <f t="shared" si="9"/>
        <v>2994.8275862068967</v>
      </c>
      <c r="R143" s="724">
        <f t="shared" si="9"/>
        <v>1058.9080459770114</v>
      </c>
      <c r="S143" s="724" t="str">
        <f t="shared" si="9"/>
        <v/>
      </c>
      <c r="T143" s="725" t="str">
        <f t="shared" si="9"/>
        <v/>
      </c>
    </row>
    <row r="144" spans="2:20">
      <c r="B144" s="1788"/>
      <c r="C144" s="728">
        <v>41</v>
      </c>
      <c r="D144" s="731" t="s">
        <v>1007</v>
      </c>
      <c r="E144" s="728" t="s">
        <v>4218</v>
      </c>
      <c r="F144" s="726">
        <v>491</v>
      </c>
      <c r="G144" s="726">
        <v>165</v>
      </c>
      <c r="H144" s="727">
        <v>81015</v>
      </c>
      <c r="I144" s="912"/>
      <c r="J144" s="730">
        <v>0.64848484848484844</v>
      </c>
      <c r="K144" s="727">
        <v>1841000</v>
      </c>
      <c r="L144" s="727">
        <v>12970000</v>
      </c>
      <c r="M144" s="724">
        <f t="shared" si="9"/>
        <v>67448.484848484848</v>
      </c>
      <c r="N144" s="724">
        <f t="shared" si="9"/>
        <v>28145.454545454544</v>
      </c>
      <c r="O144" s="724">
        <f t="shared" si="9"/>
        <v>15044.444444444443</v>
      </c>
      <c r="P144" s="724">
        <f t="shared" si="9"/>
        <v>8493.939393939394</v>
      </c>
      <c r="Q144" s="724">
        <f t="shared" si="9"/>
        <v>4563.636363636364</v>
      </c>
      <c r="R144" s="724">
        <f t="shared" si="9"/>
        <v>1943.4343434343425</v>
      </c>
      <c r="S144" s="724">
        <f t="shared" si="9"/>
        <v>71.861471861472467</v>
      </c>
      <c r="T144" s="725" t="str">
        <f t="shared" si="9"/>
        <v/>
      </c>
    </row>
    <row r="145" spans="2:20">
      <c r="B145" s="1788"/>
      <c r="C145" s="728">
        <v>42</v>
      </c>
      <c r="D145" s="731" t="s">
        <v>2841</v>
      </c>
      <c r="E145" s="728" t="s">
        <v>4216</v>
      </c>
      <c r="F145" s="726">
        <v>521</v>
      </c>
      <c r="G145" s="726">
        <v>173</v>
      </c>
      <c r="H145" s="727">
        <v>90133</v>
      </c>
      <c r="I145" s="726"/>
      <c r="J145" s="730">
        <v>0.56647398843930641</v>
      </c>
      <c r="K145" s="727">
        <v>1400000</v>
      </c>
      <c r="L145" s="727">
        <v>13460000</v>
      </c>
      <c r="M145" s="724">
        <f t="shared" si="9"/>
        <v>69710.982658959532</v>
      </c>
      <c r="N145" s="724">
        <f t="shared" si="9"/>
        <v>30809.248554913294</v>
      </c>
      <c r="O145" s="724">
        <f t="shared" si="9"/>
        <v>17842.003853564551</v>
      </c>
      <c r="P145" s="724">
        <f t="shared" si="9"/>
        <v>11358.381502890174</v>
      </c>
      <c r="Q145" s="724">
        <f t="shared" si="9"/>
        <v>7468.2080924855491</v>
      </c>
      <c r="R145" s="724">
        <f t="shared" si="9"/>
        <v>4874.7591522158009</v>
      </c>
      <c r="S145" s="724">
        <f t="shared" si="9"/>
        <v>3022.2956234516932</v>
      </c>
      <c r="T145" s="725">
        <f t="shared" si="9"/>
        <v>1632.9479768786127</v>
      </c>
    </row>
    <row r="146" spans="2:20">
      <c r="B146" s="1788"/>
      <c r="C146" s="728">
        <v>43</v>
      </c>
      <c r="D146" s="731" t="s">
        <v>2884</v>
      </c>
      <c r="E146" s="728" t="s">
        <v>4217</v>
      </c>
      <c r="F146" s="726">
        <v>546</v>
      </c>
      <c r="G146" s="726">
        <v>174</v>
      </c>
      <c r="H146" s="727">
        <v>95004</v>
      </c>
      <c r="I146" s="916"/>
      <c r="J146" s="730">
        <v>0.45977011494252873</v>
      </c>
      <c r="K146" s="727">
        <v>2461000</v>
      </c>
      <c r="L146" s="727">
        <v>15125000</v>
      </c>
      <c r="M146" s="724">
        <f t="shared" si="9"/>
        <v>72781.6091954023</v>
      </c>
      <c r="N146" s="724">
        <f t="shared" si="9"/>
        <v>29318.96551724138</v>
      </c>
      <c r="O146" s="724">
        <f t="shared" si="9"/>
        <v>14831.417624521075</v>
      </c>
      <c r="P146" s="724">
        <f t="shared" si="9"/>
        <v>7587.64367816092</v>
      </c>
      <c r="Q146" s="724">
        <f t="shared" si="9"/>
        <v>3241.3793103448274</v>
      </c>
      <c r="R146" s="724">
        <f t="shared" si="9"/>
        <v>343.86973180076717</v>
      </c>
      <c r="S146" s="724" t="str">
        <f t="shared" si="9"/>
        <v/>
      </c>
      <c r="T146" s="725" t="str">
        <f t="shared" si="9"/>
        <v/>
      </c>
    </row>
    <row r="147" spans="2:20">
      <c r="B147" s="1788"/>
      <c r="C147" s="728">
        <v>44</v>
      </c>
      <c r="D147" s="731" t="s">
        <v>4219</v>
      </c>
      <c r="E147" s="728" t="s">
        <v>3171</v>
      </c>
      <c r="F147" s="726">
        <v>615</v>
      </c>
      <c r="G147" s="726">
        <v>165</v>
      </c>
      <c r="H147" s="727">
        <v>101475</v>
      </c>
      <c r="I147" s="727"/>
      <c r="J147" s="730">
        <v>0.55151515151515151</v>
      </c>
      <c r="K147" s="727">
        <v>1215000</v>
      </c>
      <c r="L147" s="727">
        <v>15427500</v>
      </c>
      <c r="M147" s="724">
        <f t="shared" si="9"/>
        <v>86136.363636363632</v>
      </c>
      <c r="N147" s="724">
        <f t="shared" si="9"/>
        <v>39386.36363636364</v>
      </c>
      <c r="O147" s="724">
        <f t="shared" si="9"/>
        <v>23803.030303030304</v>
      </c>
      <c r="P147" s="724">
        <f t="shared" si="9"/>
        <v>16011.363636363636</v>
      </c>
      <c r="Q147" s="724">
        <f t="shared" si="9"/>
        <v>11336.363636363636</v>
      </c>
      <c r="R147" s="724">
        <f t="shared" si="9"/>
        <v>8219.69696969697</v>
      </c>
      <c r="S147" s="724">
        <f t="shared" si="9"/>
        <v>5993.5064935064929</v>
      </c>
      <c r="T147" s="725">
        <f t="shared" si="9"/>
        <v>4323.863636363636</v>
      </c>
    </row>
    <row r="148" spans="2:20">
      <c r="B148" s="1788"/>
      <c r="C148" s="728">
        <v>45</v>
      </c>
      <c r="D148" s="731" t="s">
        <v>990</v>
      </c>
      <c r="E148" s="728" t="s">
        <v>4218</v>
      </c>
      <c r="F148" s="726">
        <v>576</v>
      </c>
      <c r="G148" s="726">
        <v>172</v>
      </c>
      <c r="H148" s="727">
        <v>99072</v>
      </c>
      <c r="I148" s="727"/>
      <c r="J148" s="730">
        <v>0.25</v>
      </c>
      <c r="K148" s="727">
        <v>1784000</v>
      </c>
      <c r="L148" s="727">
        <v>18676000</v>
      </c>
      <c r="M148" s="724">
        <f t="shared" si="9"/>
        <v>98209.30232558139</v>
      </c>
      <c r="N148" s="724">
        <f t="shared" si="9"/>
        <v>43918.604651162794</v>
      </c>
      <c r="O148" s="724">
        <f t="shared" si="9"/>
        <v>25821.705426356588</v>
      </c>
      <c r="P148" s="724">
        <f t="shared" si="9"/>
        <v>16773.255813953489</v>
      </c>
      <c r="Q148" s="724">
        <f t="shared" si="9"/>
        <v>11344.186046511628</v>
      </c>
      <c r="R148" s="724">
        <f t="shared" si="9"/>
        <v>7724.8062015503865</v>
      </c>
      <c r="S148" s="724">
        <f t="shared" si="9"/>
        <v>5139.5348837209303</v>
      </c>
      <c r="T148" s="725">
        <f t="shared" si="9"/>
        <v>3200.5813953488373</v>
      </c>
    </row>
    <row r="149" spans="2:20">
      <c r="B149" s="1788"/>
      <c r="C149" s="728">
        <v>46</v>
      </c>
      <c r="D149" s="729" t="s">
        <v>2854</v>
      </c>
      <c r="E149" s="728" t="s">
        <v>4220</v>
      </c>
      <c r="F149" s="726">
        <v>621</v>
      </c>
      <c r="G149" s="726">
        <v>161</v>
      </c>
      <c r="H149" s="727">
        <v>99981</v>
      </c>
      <c r="I149" s="917"/>
      <c r="J149" s="730">
        <v>0.60248447204968947</v>
      </c>
      <c r="K149" s="727">
        <v>2542500</v>
      </c>
      <c r="L149" s="727">
        <v>20264000</v>
      </c>
      <c r="M149" s="724">
        <f t="shared" si="9"/>
        <v>110071.42857142857</v>
      </c>
      <c r="N149" s="724">
        <f t="shared" si="9"/>
        <v>47139.751552795031</v>
      </c>
      <c r="O149" s="724">
        <f t="shared" si="9"/>
        <v>26162.525879917186</v>
      </c>
      <c r="P149" s="724">
        <f t="shared" si="9"/>
        <v>15673.91304347826</v>
      </c>
      <c r="Q149" s="724">
        <f t="shared" si="9"/>
        <v>9380.7453416149074</v>
      </c>
      <c r="R149" s="724">
        <f t="shared" si="9"/>
        <v>5185.3002070393386</v>
      </c>
      <c r="S149" s="724">
        <f t="shared" si="9"/>
        <v>2188.5536823425014</v>
      </c>
      <c r="T149" s="725" t="str">
        <f t="shared" si="9"/>
        <v/>
      </c>
    </row>
    <row r="150" spans="2:20">
      <c r="B150" s="1788"/>
      <c r="C150" s="728">
        <v>47</v>
      </c>
      <c r="D150" s="729" t="s">
        <v>4221</v>
      </c>
      <c r="E150" s="728" t="s">
        <v>4216</v>
      </c>
      <c r="F150" s="726">
        <v>621</v>
      </c>
      <c r="G150" s="726">
        <v>174</v>
      </c>
      <c r="H150" s="727">
        <v>111780</v>
      </c>
      <c r="I150" s="726"/>
      <c r="J150" s="730">
        <v>0.44827586206896552</v>
      </c>
      <c r="K150" s="727">
        <v>2459000</v>
      </c>
      <c r="L150" s="727">
        <v>22308000</v>
      </c>
      <c r="M150" s="724">
        <f t="shared" si="9"/>
        <v>114074.71264367815</v>
      </c>
      <c r="N150" s="724">
        <f t="shared" si="9"/>
        <v>49971.264367816089</v>
      </c>
      <c r="O150" s="724">
        <f t="shared" si="9"/>
        <v>28603.448275862069</v>
      </c>
      <c r="P150" s="724">
        <f t="shared" si="9"/>
        <v>17919.540229885057</v>
      </c>
      <c r="Q150" s="724">
        <f t="shared" si="9"/>
        <v>11509.19540229885</v>
      </c>
      <c r="R150" s="724">
        <f t="shared" si="9"/>
        <v>7235.6321839080456</v>
      </c>
      <c r="S150" s="724">
        <f t="shared" si="9"/>
        <v>4183.0870279146129</v>
      </c>
      <c r="T150" s="725">
        <f t="shared" si="9"/>
        <v>1893.6781609195402</v>
      </c>
    </row>
    <row r="151" spans="2:20">
      <c r="B151" s="1788"/>
      <c r="C151" s="728">
        <v>48</v>
      </c>
      <c r="D151" s="729" t="s">
        <v>3068</v>
      </c>
      <c r="E151" s="728" t="s">
        <v>4220</v>
      </c>
      <c r="F151" s="726">
        <v>673</v>
      </c>
      <c r="G151" s="726">
        <v>181</v>
      </c>
      <c r="H151" s="727">
        <v>121813</v>
      </c>
      <c r="I151" s="726"/>
      <c r="J151" s="730">
        <v>0.48066298342541436</v>
      </c>
      <c r="K151" s="727">
        <v>2256000</v>
      </c>
      <c r="L151" s="727">
        <v>23917000</v>
      </c>
      <c r="M151" s="724">
        <f t="shared" si="9"/>
        <v>119674.03314917127</v>
      </c>
      <c r="N151" s="724">
        <f t="shared" si="9"/>
        <v>53604.97237569061</v>
      </c>
      <c r="O151" s="724">
        <f t="shared" si="9"/>
        <v>31581.952117863719</v>
      </c>
      <c r="P151" s="724">
        <f t="shared" si="9"/>
        <v>20570.441988950275</v>
      </c>
      <c r="Q151" s="724">
        <f t="shared" si="9"/>
        <v>13963.53591160221</v>
      </c>
      <c r="R151" s="724">
        <f t="shared" si="9"/>
        <v>9558.9318600368315</v>
      </c>
      <c r="S151" s="724">
        <f t="shared" si="9"/>
        <v>6412.7861089187063</v>
      </c>
      <c r="T151" s="725">
        <f t="shared" si="9"/>
        <v>4053.1767955801106</v>
      </c>
    </row>
    <row r="152" spans="2:20">
      <c r="B152" s="1788"/>
      <c r="C152" s="728">
        <v>49</v>
      </c>
      <c r="D152" s="729" t="s">
        <v>2847</v>
      </c>
      <c r="E152" s="728" t="s">
        <v>4218</v>
      </c>
      <c r="F152" s="726">
        <v>701</v>
      </c>
      <c r="G152" s="726">
        <v>167</v>
      </c>
      <c r="H152" s="727">
        <v>117067</v>
      </c>
      <c r="I152" s="726"/>
      <c r="J152" s="730">
        <v>0.55089820359281438</v>
      </c>
      <c r="K152" s="727">
        <v>1777000</v>
      </c>
      <c r="L152" s="727">
        <v>24598500</v>
      </c>
      <c r="M152" s="724">
        <f t="shared" si="9"/>
        <v>136655.6886227545</v>
      </c>
      <c r="N152" s="724">
        <f t="shared" si="9"/>
        <v>63007.485029940122</v>
      </c>
      <c r="O152" s="724">
        <f t="shared" si="9"/>
        <v>38458.083832335331</v>
      </c>
      <c r="P152" s="724">
        <f t="shared" si="9"/>
        <v>26183.383233532935</v>
      </c>
      <c r="Q152" s="724">
        <f t="shared" si="9"/>
        <v>18818.562874251496</v>
      </c>
      <c r="R152" s="724">
        <f t="shared" si="9"/>
        <v>13908.68263473054</v>
      </c>
      <c r="S152" s="724">
        <f t="shared" si="9"/>
        <v>10401.625320786998</v>
      </c>
      <c r="T152" s="725">
        <f t="shared" si="9"/>
        <v>7771.3323353293417</v>
      </c>
    </row>
    <row r="153" spans="2:20" ht="23.25" thickBot="1">
      <c r="B153" s="1789"/>
      <c r="C153" s="748">
        <v>50</v>
      </c>
      <c r="D153" s="749" t="s">
        <v>973</v>
      </c>
      <c r="E153" s="748" t="s">
        <v>4220</v>
      </c>
      <c r="F153" s="750">
        <v>483</v>
      </c>
      <c r="G153" s="750">
        <v>261</v>
      </c>
      <c r="H153" s="751">
        <v>126063</v>
      </c>
      <c r="I153" s="751">
        <v>10000</v>
      </c>
      <c r="J153" s="752">
        <v>0.4942528735632184</v>
      </c>
      <c r="K153" s="751">
        <v>3998000</v>
      </c>
      <c r="L153" s="751">
        <v>67789000</v>
      </c>
      <c r="M153" s="724">
        <f t="shared" si="9"/>
        <v>244409.96168582374</v>
      </c>
      <c r="N153" s="724">
        <f t="shared" si="9"/>
        <v>114545.97701149425</v>
      </c>
      <c r="O153" s="724">
        <f t="shared" si="9"/>
        <v>71257.982120051078</v>
      </c>
      <c r="P153" s="724">
        <f t="shared" si="9"/>
        <v>49613.984674329498</v>
      </c>
      <c r="Q153" s="724">
        <f t="shared" si="9"/>
        <v>36627.586206896551</v>
      </c>
      <c r="R153" s="724">
        <f t="shared" si="9"/>
        <v>27969.987228607915</v>
      </c>
      <c r="S153" s="724">
        <f t="shared" si="9"/>
        <v>21785.987958401747</v>
      </c>
      <c r="T153" s="725">
        <f t="shared" si="9"/>
        <v>17147.988505747126</v>
      </c>
    </row>
    <row r="154" spans="2:20">
      <c r="B154" s="1787">
        <v>4</v>
      </c>
      <c r="C154" s="745">
        <v>1</v>
      </c>
      <c r="D154" s="911" t="s">
        <v>2894</v>
      </c>
      <c r="E154" s="745" t="s">
        <v>1392</v>
      </c>
      <c r="F154" s="743">
        <v>51</v>
      </c>
      <c r="G154" s="743">
        <v>112</v>
      </c>
      <c r="H154" s="744">
        <f>F154*G154</f>
        <v>5712</v>
      </c>
      <c r="I154" s="744">
        <v>-8000</v>
      </c>
      <c r="J154" s="747">
        <f>56/112</f>
        <v>0.5</v>
      </c>
      <c r="K154" s="744">
        <v>360000</v>
      </c>
      <c r="L154" s="744">
        <v>1062720</v>
      </c>
      <c r="M154" s="739">
        <f t="shared" si="9"/>
        <v>6274.2857142857147</v>
      </c>
      <c r="N154" s="739">
        <f t="shared" si="9"/>
        <v>1530</v>
      </c>
      <c r="O154" s="739" t="str">
        <f t="shared" si="9"/>
        <v/>
      </c>
      <c r="P154" s="739" t="str">
        <f t="shared" si="9"/>
        <v/>
      </c>
      <c r="Q154" s="739" t="str">
        <f t="shared" si="9"/>
        <v/>
      </c>
      <c r="R154" s="739" t="str">
        <f t="shared" si="9"/>
        <v/>
      </c>
      <c r="S154" s="739" t="str">
        <f t="shared" si="9"/>
        <v/>
      </c>
      <c r="T154" s="740" t="str">
        <f t="shared" si="9"/>
        <v/>
      </c>
    </row>
    <row r="155" spans="2:20">
      <c r="B155" s="1788"/>
      <c r="C155" s="728">
        <v>2</v>
      </c>
      <c r="D155" s="731" t="s">
        <v>2845</v>
      </c>
      <c r="E155" s="728" t="s">
        <v>1403</v>
      </c>
      <c r="F155" s="726">
        <v>68</v>
      </c>
      <c r="G155" s="726">
        <v>120</v>
      </c>
      <c r="H155" s="727">
        <f t="shared" ref="H155:H226" si="10">F155*G155</f>
        <v>8160</v>
      </c>
      <c r="I155" s="727">
        <v>-2000</v>
      </c>
      <c r="J155" s="730">
        <f>57/120</f>
        <v>0.47499999999999998</v>
      </c>
      <c r="K155" s="727">
        <v>600000</v>
      </c>
      <c r="L155" s="727">
        <v>1108000</v>
      </c>
      <c r="M155" s="724">
        <f t="shared" si="9"/>
        <v>4233.333333333333</v>
      </c>
      <c r="N155" s="724" t="str">
        <f t="shared" si="9"/>
        <v/>
      </c>
      <c r="O155" s="724" t="str">
        <f t="shared" si="9"/>
        <v/>
      </c>
      <c r="P155" s="724" t="str">
        <f t="shared" si="9"/>
        <v/>
      </c>
      <c r="Q155" s="724" t="str">
        <f t="shared" si="9"/>
        <v/>
      </c>
      <c r="R155" s="724" t="str">
        <f t="shared" si="9"/>
        <v/>
      </c>
      <c r="S155" s="724" t="str">
        <f t="shared" si="9"/>
        <v/>
      </c>
      <c r="T155" s="725" t="str">
        <f t="shared" si="9"/>
        <v/>
      </c>
    </row>
    <row r="156" spans="2:20">
      <c r="B156" s="1788"/>
      <c r="C156" s="728">
        <v>3</v>
      </c>
      <c r="D156" s="731" t="s">
        <v>3093</v>
      </c>
      <c r="E156" s="728" t="s">
        <v>1406</v>
      </c>
      <c r="F156" s="726">
        <v>105</v>
      </c>
      <c r="G156" s="726">
        <v>112</v>
      </c>
      <c r="H156" s="727">
        <f t="shared" si="10"/>
        <v>11760</v>
      </c>
      <c r="I156" s="727"/>
      <c r="J156" s="730">
        <f>64/112</f>
        <v>0.5714285714285714</v>
      </c>
      <c r="K156" s="727">
        <v>240000</v>
      </c>
      <c r="L156" s="727">
        <v>1645600</v>
      </c>
      <c r="M156" s="724">
        <f t="shared" si="9"/>
        <v>12550</v>
      </c>
      <c r="N156" s="724">
        <f t="shared" si="9"/>
        <v>5203.5714285714284</v>
      </c>
      <c r="O156" s="724">
        <f t="shared" si="9"/>
        <v>2754.761904761905</v>
      </c>
      <c r="P156" s="724">
        <f t="shared" si="9"/>
        <v>1530.3571428571429</v>
      </c>
      <c r="Q156" s="724">
        <f t="shared" si="9"/>
        <v>795.71428571428567</v>
      </c>
      <c r="R156" s="724">
        <f t="shared" si="9"/>
        <v>305.95238095238113</v>
      </c>
      <c r="S156" s="724" t="str">
        <f t="shared" si="9"/>
        <v/>
      </c>
      <c r="T156" s="725" t="str">
        <f t="shared" si="9"/>
        <v/>
      </c>
    </row>
    <row r="157" spans="2:20">
      <c r="B157" s="1788"/>
      <c r="C157" s="728">
        <v>4</v>
      </c>
      <c r="D157" s="731" t="s">
        <v>3094</v>
      </c>
      <c r="E157" s="728" t="s">
        <v>1425</v>
      </c>
      <c r="F157" s="726">
        <v>133</v>
      </c>
      <c r="G157" s="726">
        <v>102</v>
      </c>
      <c r="H157" s="727">
        <f t="shared" si="10"/>
        <v>13566</v>
      </c>
      <c r="I157" s="727"/>
      <c r="J157" s="730">
        <f>39/102</f>
        <v>0.38235294117647056</v>
      </c>
      <c r="K157" s="727">
        <v>240000</v>
      </c>
      <c r="L157" s="727">
        <v>1653000</v>
      </c>
      <c r="M157" s="724">
        <f t="shared" si="9"/>
        <v>13852.941176470587</v>
      </c>
      <c r="N157" s="724">
        <f t="shared" si="9"/>
        <v>5750</v>
      </c>
      <c r="O157" s="724">
        <f t="shared" si="9"/>
        <v>3049.0196078431372</v>
      </c>
      <c r="P157" s="724">
        <f t="shared" si="9"/>
        <v>1698.5294117647059</v>
      </c>
      <c r="Q157" s="724">
        <f t="shared" si="9"/>
        <v>888.23529411764707</v>
      </c>
      <c r="R157" s="724">
        <f t="shared" si="9"/>
        <v>348.03921568627453</v>
      </c>
      <c r="S157" s="724" t="str">
        <f t="shared" si="9"/>
        <v/>
      </c>
      <c r="T157" s="725" t="str">
        <f t="shared" si="9"/>
        <v/>
      </c>
    </row>
    <row r="158" spans="2:20">
      <c r="B158" s="1788"/>
      <c r="C158" s="728">
        <v>5</v>
      </c>
      <c r="D158" s="731" t="s">
        <v>2911</v>
      </c>
      <c r="E158" s="728" t="s">
        <v>1403</v>
      </c>
      <c r="F158" s="726">
        <v>150</v>
      </c>
      <c r="G158" s="726">
        <v>108</v>
      </c>
      <c r="H158" s="727">
        <f t="shared" si="10"/>
        <v>16200</v>
      </c>
      <c r="I158" s="727"/>
      <c r="J158" s="730">
        <f>48/108</f>
        <v>0.44444444444444442</v>
      </c>
      <c r="K158" s="727">
        <v>240000</v>
      </c>
      <c r="L158" s="727">
        <v>2233280</v>
      </c>
      <c r="M158" s="724">
        <f t="shared" si="9"/>
        <v>18456.296296296296</v>
      </c>
      <c r="N158" s="724">
        <f t="shared" si="9"/>
        <v>8117.0370370370374</v>
      </c>
      <c r="O158" s="724">
        <f t="shared" si="9"/>
        <v>4670.6172839506171</v>
      </c>
      <c r="P158" s="724">
        <f t="shared" si="9"/>
        <v>2947.4074074074074</v>
      </c>
      <c r="Q158" s="724">
        <f t="shared" si="9"/>
        <v>1913.4814814814815</v>
      </c>
      <c r="R158" s="724">
        <f t="shared" si="9"/>
        <v>1224.1975308641975</v>
      </c>
      <c r="S158" s="724">
        <f t="shared" si="9"/>
        <v>731.85185185185185</v>
      </c>
      <c r="T158" s="725">
        <f t="shared" si="9"/>
        <v>362.59259259259261</v>
      </c>
    </row>
    <row r="159" spans="2:20">
      <c r="B159" s="1788"/>
      <c r="C159" s="728">
        <v>6</v>
      </c>
      <c r="D159" s="731" t="s">
        <v>2883</v>
      </c>
      <c r="E159" s="728" t="s">
        <v>1414</v>
      </c>
      <c r="F159" s="726">
        <v>106</v>
      </c>
      <c r="G159" s="726">
        <v>171</v>
      </c>
      <c r="H159" s="727">
        <f t="shared" si="10"/>
        <v>18126</v>
      </c>
      <c r="I159" s="727">
        <v>30000</v>
      </c>
      <c r="J159" s="730">
        <f>78/171</f>
        <v>0.45614035087719296</v>
      </c>
      <c r="K159" s="727">
        <v>1901000</v>
      </c>
      <c r="L159" s="727">
        <v>2410400</v>
      </c>
      <c r="M159" s="724">
        <f t="shared" si="9"/>
        <v>2978.9473684210525</v>
      </c>
      <c r="N159" s="724" t="str">
        <f t="shared" si="9"/>
        <v/>
      </c>
      <c r="O159" s="724" t="str">
        <f t="shared" si="9"/>
        <v/>
      </c>
      <c r="P159" s="724" t="str">
        <f t="shared" si="9"/>
        <v/>
      </c>
      <c r="Q159" s="724" t="str">
        <f t="shared" si="9"/>
        <v/>
      </c>
      <c r="R159" s="724" t="str">
        <f t="shared" si="9"/>
        <v/>
      </c>
      <c r="S159" s="724" t="str">
        <f t="shared" si="9"/>
        <v/>
      </c>
      <c r="T159" s="725" t="str">
        <f t="shared" si="9"/>
        <v/>
      </c>
    </row>
    <row r="160" spans="2:20">
      <c r="B160" s="1788"/>
      <c r="C160" s="728">
        <v>7</v>
      </c>
      <c r="D160" s="731" t="s">
        <v>2882</v>
      </c>
      <c r="E160" s="728" t="s">
        <v>1392</v>
      </c>
      <c r="F160" s="726">
        <v>209</v>
      </c>
      <c r="G160" s="726">
        <v>175</v>
      </c>
      <c r="H160" s="727">
        <f t="shared" si="10"/>
        <v>36575</v>
      </c>
      <c r="I160" s="912"/>
      <c r="J160" s="730">
        <f>85/175</f>
        <v>0.48571428571428571</v>
      </c>
      <c r="K160" s="727">
        <v>2369000</v>
      </c>
      <c r="L160" s="727">
        <v>3708750</v>
      </c>
      <c r="M160" s="724">
        <f t="shared" si="9"/>
        <v>7655.7142857142853</v>
      </c>
      <c r="N160" s="724" t="str">
        <f t="shared" si="9"/>
        <v/>
      </c>
      <c r="O160" s="724" t="str">
        <f t="shared" si="9"/>
        <v/>
      </c>
      <c r="P160" s="724" t="str">
        <f t="shared" si="9"/>
        <v/>
      </c>
      <c r="Q160" s="724" t="str">
        <f t="shared" si="9"/>
        <v/>
      </c>
      <c r="R160" s="724" t="str">
        <f t="shared" si="9"/>
        <v/>
      </c>
      <c r="S160" s="724" t="str">
        <f t="shared" si="9"/>
        <v/>
      </c>
      <c r="T160" s="725" t="str">
        <f t="shared" si="9"/>
        <v/>
      </c>
    </row>
    <row r="161" spans="2:20">
      <c r="B161" s="1788"/>
      <c r="C161" s="728">
        <v>8</v>
      </c>
      <c r="D161" s="731" t="s">
        <v>2917</v>
      </c>
      <c r="E161" s="728" t="s">
        <v>1409</v>
      </c>
      <c r="F161" s="726">
        <v>211</v>
      </c>
      <c r="G161" s="726">
        <v>173</v>
      </c>
      <c r="H161" s="727">
        <f t="shared" si="10"/>
        <v>36503</v>
      </c>
      <c r="I161" s="726"/>
      <c r="J161" s="730">
        <f>105/173</f>
        <v>0.60693641618497107</v>
      </c>
      <c r="K161" s="727">
        <v>1794000</v>
      </c>
      <c r="L161" s="727">
        <v>3747360</v>
      </c>
      <c r="M161" s="724">
        <f t="shared" si="9"/>
        <v>11291.098265895953</v>
      </c>
      <c r="N161" s="724">
        <f t="shared" si="9"/>
        <v>460.5780346820809</v>
      </c>
      <c r="O161" s="724" t="str">
        <f t="shared" si="9"/>
        <v/>
      </c>
      <c r="P161" s="724" t="str">
        <f t="shared" si="9"/>
        <v/>
      </c>
      <c r="Q161" s="724" t="str">
        <f t="shared" si="9"/>
        <v/>
      </c>
      <c r="R161" s="724" t="str">
        <f t="shared" si="9"/>
        <v/>
      </c>
      <c r="S161" s="724" t="str">
        <f t="shared" si="9"/>
        <v/>
      </c>
      <c r="T161" s="725" t="str">
        <f t="shared" si="9"/>
        <v/>
      </c>
    </row>
    <row r="162" spans="2:20">
      <c r="B162" s="1788"/>
      <c r="C162" s="728">
        <v>9</v>
      </c>
      <c r="D162" s="731" t="s">
        <v>3060</v>
      </c>
      <c r="E162" s="728" t="s">
        <v>1403</v>
      </c>
      <c r="F162" s="726">
        <v>167</v>
      </c>
      <c r="G162" s="726">
        <v>157</v>
      </c>
      <c r="H162" s="727">
        <f t="shared" si="10"/>
        <v>26219</v>
      </c>
      <c r="I162" s="726"/>
      <c r="J162" s="730">
        <f>59/157</f>
        <v>0.37579617834394907</v>
      </c>
      <c r="K162" s="727">
        <v>475000</v>
      </c>
      <c r="L162" s="727">
        <v>4819540</v>
      </c>
      <c r="M162" s="724">
        <f t="shared" si="9"/>
        <v>27672.229299363058</v>
      </c>
      <c r="N162" s="724">
        <f t="shared" si="9"/>
        <v>12323.375796178343</v>
      </c>
      <c r="O162" s="724">
        <f t="shared" si="9"/>
        <v>7207.091295116772</v>
      </c>
      <c r="P162" s="724">
        <f t="shared" si="9"/>
        <v>4648.9490445859874</v>
      </c>
      <c r="Q162" s="724">
        <f t="shared" si="9"/>
        <v>3114.063694267516</v>
      </c>
      <c r="R162" s="724">
        <f t="shared" si="9"/>
        <v>2090.8067940552014</v>
      </c>
      <c r="S162" s="724">
        <f t="shared" si="9"/>
        <v>1359.9090081892632</v>
      </c>
      <c r="T162" s="725">
        <f t="shared" si="9"/>
        <v>811.73566878980887</v>
      </c>
    </row>
    <row r="163" spans="2:20">
      <c r="B163" s="1788"/>
      <c r="C163" s="728">
        <v>10</v>
      </c>
      <c r="D163" s="731" t="s">
        <v>2372</v>
      </c>
      <c r="E163" s="728" t="s">
        <v>1414</v>
      </c>
      <c r="F163" s="726">
        <v>165</v>
      </c>
      <c r="G163" s="726">
        <v>170</v>
      </c>
      <c r="H163" s="727">
        <f t="shared" si="10"/>
        <v>28050</v>
      </c>
      <c r="I163" s="727">
        <v>-2000</v>
      </c>
      <c r="J163" s="730">
        <f>66/170</f>
        <v>0.38823529411764707</v>
      </c>
      <c r="K163" s="727">
        <v>510000</v>
      </c>
      <c r="L163" s="727">
        <v>4948600</v>
      </c>
      <c r="M163" s="724">
        <f t="shared" si="9"/>
        <v>26109.411764705881</v>
      </c>
      <c r="N163" s="724">
        <f t="shared" si="9"/>
        <v>11554.705882352941</v>
      </c>
      <c r="O163" s="724">
        <f t="shared" si="9"/>
        <v>6703.1372549019607</v>
      </c>
      <c r="P163" s="724">
        <f t="shared" si="9"/>
        <v>4277.3529411764703</v>
      </c>
      <c r="Q163" s="724">
        <f t="shared" si="9"/>
        <v>2821.8823529411766</v>
      </c>
      <c r="R163" s="724">
        <f t="shared" si="9"/>
        <v>1851.5686274509801</v>
      </c>
      <c r="S163" s="724">
        <f t="shared" si="9"/>
        <v>1158.4873949579833</v>
      </c>
      <c r="T163" s="725">
        <f t="shared" si="9"/>
        <v>638.67647058823525</v>
      </c>
    </row>
    <row r="164" spans="2:20">
      <c r="B164" s="1788"/>
      <c r="C164" s="728">
        <v>11</v>
      </c>
      <c r="D164" s="731" t="s">
        <v>2843</v>
      </c>
      <c r="E164" s="728" t="s">
        <v>1409</v>
      </c>
      <c r="F164" s="726">
        <v>176</v>
      </c>
      <c r="G164" s="726">
        <v>169</v>
      </c>
      <c r="H164" s="727">
        <f t="shared" si="10"/>
        <v>29744</v>
      </c>
      <c r="I164" s="726"/>
      <c r="J164" s="730">
        <f>44/169</f>
        <v>0.26035502958579881</v>
      </c>
      <c r="K164" s="727">
        <v>440000</v>
      </c>
      <c r="L164" s="727">
        <v>6003860</v>
      </c>
      <c r="M164" s="724">
        <f t="shared" si="9"/>
        <v>32922.248520710062</v>
      </c>
      <c r="N164" s="724">
        <f t="shared" si="9"/>
        <v>15159.349112426036</v>
      </c>
      <c r="O164" s="724">
        <f t="shared" si="9"/>
        <v>9238.3826429980272</v>
      </c>
      <c r="P164" s="724">
        <f t="shared" si="9"/>
        <v>6277.8994082840236</v>
      </c>
      <c r="Q164" s="724">
        <f t="shared" si="9"/>
        <v>4501.6094674556216</v>
      </c>
      <c r="R164" s="724">
        <f t="shared" si="9"/>
        <v>3317.41617357002</v>
      </c>
      <c r="S164" s="724">
        <f t="shared" si="9"/>
        <v>2471.5638207945899</v>
      </c>
      <c r="T164" s="725">
        <f t="shared" si="9"/>
        <v>1837.1745562130177</v>
      </c>
    </row>
    <row r="165" spans="2:20">
      <c r="B165" s="1788"/>
      <c r="C165" s="728">
        <v>12</v>
      </c>
      <c r="D165" s="731" t="s">
        <v>3061</v>
      </c>
      <c r="E165" s="728" t="s">
        <v>1425</v>
      </c>
      <c r="F165" s="726">
        <v>177</v>
      </c>
      <c r="G165" s="726">
        <v>178</v>
      </c>
      <c r="H165" s="727">
        <f t="shared" si="10"/>
        <v>31506</v>
      </c>
      <c r="I165" s="727"/>
      <c r="J165" s="730">
        <f>61/178</f>
        <v>0.34269662921348315</v>
      </c>
      <c r="K165" s="727">
        <v>438000</v>
      </c>
      <c r="L165" s="727">
        <v>6121400</v>
      </c>
      <c r="M165" s="724">
        <f t="shared" si="9"/>
        <v>31929.213483146068</v>
      </c>
      <c r="N165" s="724">
        <f t="shared" si="9"/>
        <v>14734.269662921348</v>
      </c>
      <c r="O165" s="724">
        <f t="shared" si="9"/>
        <v>9002.6217228464429</v>
      </c>
      <c r="P165" s="724">
        <f t="shared" si="9"/>
        <v>6136.7977528089887</v>
      </c>
      <c r="Q165" s="724">
        <f t="shared" si="9"/>
        <v>4417.303370786517</v>
      </c>
      <c r="R165" s="724">
        <f t="shared" si="9"/>
        <v>3270.9737827715358</v>
      </c>
      <c r="S165" s="724">
        <f t="shared" si="9"/>
        <v>2452.1669341894062</v>
      </c>
      <c r="T165" s="725">
        <f t="shared" si="9"/>
        <v>1838.0617977528091</v>
      </c>
    </row>
    <row r="166" spans="2:20">
      <c r="B166" s="1788"/>
      <c r="C166" s="728">
        <v>13</v>
      </c>
      <c r="D166" s="731" t="s">
        <v>2925</v>
      </c>
      <c r="E166" s="728" t="s">
        <v>1403</v>
      </c>
      <c r="F166" s="726">
        <v>268</v>
      </c>
      <c r="G166" s="726">
        <v>137</v>
      </c>
      <c r="H166" s="727">
        <f t="shared" si="10"/>
        <v>36716</v>
      </c>
      <c r="I166" s="727">
        <v>-3000</v>
      </c>
      <c r="J166" s="730">
        <f>44/137</f>
        <v>0.32116788321167883</v>
      </c>
      <c r="K166" s="727">
        <v>440000</v>
      </c>
      <c r="L166" s="727">
        <v>7013800</v>
      </c>
      <c r="M166" s="724">
        <f t="shared" si="9"/>
        <v>47983.941605839413</v>
      </c>
      <c r="N166" s="724">
        <f t="shared" si="9"/>
        <v>22386.131386861314</v>
      </c>
      <c r="O166" s="724">
        <f t="shared" si="9"/>
        <v>13853.52798053528</v>
      </c>
      <c r="P166" s="724">
        <f t="shared" si="9"/>
        <v>9587.2262773722632</v>
      </c>
      <c r="Q166" s="724">
        <f t="shared" si="9"/>
        <v>7027.445255474453</v>
      </c>
      <c r="R166" s="724">
        <f t="shared" si="9"/>
        <v>5320.9245742092462</v>
      </c>
      <c r="S166" s="724">
        <f t="shared" si="9"/>
        <v>4101.981230448383</v>
      </c>
      <c r="T166" s="725">
        <f t="shared" si="9"/>
        <v>3187.7737226277372</v>
      </c>
    </row>
    <row r="167" spans="2:20">
      <c r="B167" s="1788"/>
      <c r="C167" s="728">
        <v>14</v>
      </c>
      <c r="D167" s="731" t="s">
        <v>2608</v>
      </c>
      <c r="E167" s="728" t="s">
        <v>1392</v>
      </c>
      <c r="F167" s="726">
        <v>158</v>
      </c>
      <c r="G167" s="726">
        <v>178</v>
      </c>
      <c r="H167" s="727">
        <f t="shared" si="10"/>
        <v>28124</v>
      </c>
      <c r="I167" s="732">
        <v>22500</v>
      </c>
      <c r="J167" s="730">
        <f>76/178</f>
        <v>0.42696629213483145</v>
      </c>
      <c r="K167" s="727">
        <v>440000</v>
      </c>
      <c r="L167" s="727">
        <v>7888400</v>
      </c>
      <c r="M167" s="724">
        <f t="shared" ref="M167:T176" si="11">IF(($L167/M$1-$K167)/$G167&gt;0,($L167/M$1-$K167)/$G167,"")</f>
        <v>41844.943820224718</v>
      </c>
      <c r="N167" s="724">
        <f t="shared" si="11"/>
        <v>19686.516853932586</v>
      </c>
      <c r="O167" s="724">
        <f t="shared" si="11"/>
        <v>12300.374531835205</v>
      </c>
      <c r="P167" s="724">
        <f t="shared" si="11"/>
        <v>8607.3033707865161</v>
      </c>
      <c r="Q167" s="724">
        <f t="shared" si="11"/>
        <v>6391.4606741573034</v>
      </c>
      <c r="R167" s="724">
        <f t="shared" si="11"/>
        <v>4914.2322097378274</v>
      </c>
      <c r="S167" s="724">
        <f t="shared" si="11"/>
        <v>3859.0690208667734</v>
      </c>
      <c r="T167" s="725">
        <f t="shared" si="11"/>
        <v>3067.696629213483</v>
      </c>
    </row>
    <row r="168" spans="2:20">
      <c r="B168" s="1788"/>
      <c r="C168" s="728">
        <v>15</v>
      </c>
      <c r="D168" s="731" t="s">
        <v>3059</v>
      </c>
      <c r="E168" s="728" t="s">
        <v>1425</v>
      </c>
      <c r="F168" s="726">
        <v>344</v>
      </c>
      <c r="G168" s="726">
        <v>172</v>
      </c>
      <c r="H168" s="727">
        <f t="shared" si="10"/>
        <v>59168</v>
      </c>
      <c r="I168" s="726"/>
      <c r="J168" s="730">
        <f>43/172</f>
        <v>0.25</v>
      </c>
      <c r="K168" s="727">
        <v>1784000</v>
      </c>
      <c r="L168" s="727">
        <v>8551440</v>
      </c>
      <c r="M168" s="724">
        <f t="shared" si="11"/>
        <v>39345.58139534884</v>
      </c>
      <c r="N168" s="724">
        <f t="shared" si="11"/>
        <v>14486.744186046511</v>
      </c>
      <c r="O168" s="724">
        <f t="shared" si="11"/>
        <v>6200.4651162790697</v>
      </c>
      <c r="P168" s="724">
        <f t="shared" si="11"/>
        <v>2057.3255813953488</v>
      </c>
      <c r="Q168" s="724" t="str">
        <f t="shared" si="11"/>
        <v/>
      </c>
      <c r="R168" s="724" t="str">
        <f t="shared" si="11"/>
        <v/>
      </c>
      <c r="S168" s="724" t="str">
        <f t="shared" si="11"/>
        <v/>
      </c>
      <c r="T168" s="725" t="str">
        <f t="shared" si="11"/>
        <v/>
      </c>
    </row>
    <row r="169" spans="2:20">
      <c r="B169" s="1788"/>
      <c r="C169" s="728">
        <v>16</v>
      </c>
      <c r="D169" s="731" t="s">
        <v>3095</v>
      </c>
      <c r="E169" s="728" t="s">
        <v>1414</v>
      </c>
      <c r="F169" s="726">
        <v>270</v>
      </c>
      <c r="G169" s="726">
        <v>158</v>
      </c>
      <c r="H169" s="727">
        <f t="shared" si="10"/>
        <v>42660</v>
      </c>
      <c r="I169" s="727">
        <v>-8500</v>
      </c>
      <c r="J169" s="730">
        <f>43/158</f>
        <v>0.27215189873417722</v>
      </c>
      <c r="K169" s="727">
        <v>440000</v>
      </c>
      <c r="L169" s="727">
        <v>8994680</v>
      </c>
      <c r="M169" s="724">
        <f t="shared" si="11"/>
        <v>54143.544303797469</v>
      </c>
      <c r="N169" s="724">
        <f t="shared" si="11"/>
        <v>25679.367088607596</v>
      </c>
      <c r="O169" s="724">
        <f t="shared" si="11"/>
        <v>16191.308016877636</v>
      </c>
      <c r="P169" s="724">
        <f t="shared" si="11"/>
        <v>11447.278481012658</v>
      </c>
      <c r="Q169" s="724">
        <f t="shared" si="11"/>
        <v>8600.8607594936711</v>
      </c>
      <c r="R169" s="724">
        <f t="shared" si="11"/>
        <v>6703.2489451476786</v>
      </c>
      <c r="S169" s="724">
        <f t="shared" si="11"/>
        <v>5347.8119349005419</v>
      </c>
      <c r="T169" s="725">
        <f t="shared" si="11"/>
        <v>4331.2341772151894</v>
      </c>
    </row>
    <row r="170" spans="2:20">
      <c r="B170" s="1788"/>
      <c r="C170" s="728">
        <v>17</v>
      </c>
      <c r="D170" s="731" t="s">
        <v>3056</v>
      </c>
      <c r="E170" s="728" t="s">
        <v>1392</v>
      </c>
      <c r="F170" s="726">
        <v>272</v>
      </c>
      <c r="G170" s="726">
        <v>164</v>
      </c>
      <c r="H170" s="727">
        <f t="shared" si="10"/>
        <v>44608</v>
      </c>
      <c r="I170" s="727">
        <v>-2000</v>
      </c>
      <c r="J170" s="730">
        <f>51/164</f>
        <v>0.31097560975609756</v>
      </c>
      <c r="K170" s="727">
        <v>512000</v>
      </c>
      <c r="L170" s="727">
        <v>9623600</v>
      </c>
      <c r="M170" s="724">
        <f t="shared" si="11"/>
        <v>55558.536585365851</v>
      </c>
      <c r="N170" s="724">
        <f t="shared" si="11"/>
        <v>26218.292682926829</v>
      </c>
      <c r="O170" s="724">
        <f t="shared" si="11"/>
        <v>16438.211382113819</v>
      </c>
      <c r="P170" s="724">
        <f t="shared" si="11"/>
        <v>11548.170731707318</v>
      </c>
      <c r="Q170" s="724">
        <f t="shared" si="11"/>
        <v>8614.1463414634145</v>
      </c>
      <c r="R170" s="724">
        <f t="shared" si="11"/>
        <v>6658.1300813008129</v>
      </c>
      <c r="S170" s="724">
        <f t="shared" si="11"/>
        <v>5260.9756097560976</v>
      </c>
      <c r="T170" s="725">
        <f t="shared" si="11"/>
        <v>4213.1097560975613</v>
      </c>
    </row>
    <row r="171" spans="2:20">
      <c r="B171" s="1788"/>
      <c r="C171" s="728">
        <v>18</v>
      </c>
      <c r="D171" s="731" t="s">
        <v>1177</v>
      </c>
      <c r="E171" s="728" t="s">
        <v>1406</v>
      </c>
      <c r="F171" s="726">
        <v>261</v>
      </c>
      <c r="G171" s="726">
        <v>186</v>
      </c>
      <c r="H171" s="727">
        <f t="shared" si="10"/>
        <v>48546</v>
      </c>
      <c r="I171" s="912" t="s">
        <v>3096</v>
      </c>
      <c r="J171" s="730">
        <f>100/186</f>
        <v>0.5376344086021505</v>
      </c>
      <c r="K171" s="727">
        <v>2364000</v>
      </c>
      <c r="L171" s="727">
        <v>10005080</v>
      </c>
      <c r="M171" s="724">
        <f t="shared" si="11"/>
        <v>41081.075268817207</v>
      </c>
      <c r="N171" s="724">
        <f t="shared" si="11"/>
        <v>14185.698924731183</v>
      </c>
      <c r="O171" s="724">
        <f t="shared" si="11"/>
        <v>5220.5734767025078</v>
      </c>
      <c r="P171" s="724">
        <f t="shared" si="11"/>
        <v>738.01075268817203</v>
      </c>
      <c r="Q171" s="724" t="str">
        <f t="shared" si="11"/>
        <v/>
      </c>
      <c r="R171" s="724" t="str">
        <f t="shared" si="11"/>
        <v/>
      </c>
      <c r="S171" s="724" t="str">
        <f t="shared" si="11"/>
        <v/>
      </c>
      <c r="T171" s="725" t="str">
        <f t="shared" si="11"/>
        <v/>
      </c>
    </row>
    <row r="172" spans="2:20">
      <c r="B172" s="1788"/>
      <c r="C172" s="728">
        <v>19</v>
      </c>
      <c r="D172" s="731" t="s">
        <v>1181</v>
      </c>
      <c r="E172" s="728" t="s">
        <v>1409</v>
      </c>
      <c r="F172" s="726">
        <v>469</v>
      </c>
      <c r="G172" s="726">
        <v>163</v>
      </c>
      <c r="H172" s="727">
        <f t="shared" si="10"/>
        <v>76447</v>
      </c>
      <c r="I172" s="727"/>
      <c r="J172" s="730">
        <f>93/163</f>
        <v>0.57055214723926384</v>
      </c>
      <c r="K172" s="727">
        <v>1890000</v>
      </c>
      <c r="L172" s="727">
        <v>11073360</v>
      </c>
      <c r="M172" s="724">
        <f t="shared" si="11"/>
        <v>56339.63190184049</v>
      </c>
      <c r="N172" s="724">
        <f t="shared" si="11"/>
        <v>22372.269938650308</v>
      </c>
      <c r="O172" s="724">
        <f t="shared" si="11"/>
        <v>11049.815950920245</v>
      </c>
      <c r="P172" s="724">
        <f t="shared" si="11"/>
        <v>5388.5889570552145</v>
      </c>
      <c r="Q172" s="724">
        <f t="shared" si="11"/>
        <v>1991.8527607361964</v>
      </c>
      <c r="R172" s="724" t="str">
        <f t="shared" si="11"/>
        <v/>
      </c>
      <c r="S172" s="724" t="str">
        <f t="shared" si="11"/>
        <v/>
      </c>
      <c r="T172" s="725" t="str">
        <f t="shared" si="11"/>
        <v/>
      </c>
    </row>
    <row r="173" spans="2:20">
      <c r="B173" s="1788"/>
      <c r="C173" s="728">
        <v>20</v>
      </c>
      <c r="D173" s="731" t="s">
        <v>1692</v>
      </c>
      <c r="E173" s="728" t="s">
        <v>1392</v>
      </c>
      <c r="F173" s="726">
        <v>430</v>
      </c>
      <c r="G173" s="726">
        <v>191</v>
      </c>
      <c r="H173" s="727">
        <f t="shared" si="10"/>
        <v>82130</v>
      </c>
      <c r="I173" s="727">
        <v>10000</v>
      </c>
      <c r="J173" s="730">
        <f>136/191</f>
        <v>0.7120418848167539</v>
      </c>
      <c r="K173" s="727">
        <v>2720000</v>
      </c>
      <c r="L173" s="727">
        <v>12112880</v>
      </c>
      <c r="M173" s="724">
        <f t="shared" si="11"/>
        <v>49177.382198952881</v>
      </c>
      <c r="N173" s="724">
        <f t="shared" si="11"/>
        <v>17468.272251308899</v>
      </c>
      <c r="O173" s="724">
        <f t="shared" si="11"/>
        <v>6898.5689354275737</v>
      </c>
      <c r="P173" s="724">
        <f t="shared" si="11"/>
        <v>1613.7172774869109</v>
      </c>
      <c r="Q173" s="724" t="str">
        <f t="shared" si="11"/>
        <v/>
      </c>
      <c r="R173" s="724" t="str">
        <f t="shared" si="11"/>
        <v/>
      </c>
      <c r="S173" s="724" t="str">
        <f t="shared" si="11"/>
        <v/>
      </c>
      <c r="T173" s="725" t="str">
        <f t="shared" si="11"/>
        <v/>
      </c>
    </row>
    <row r="174" spans="2:20">
      <c r="B174" s="1788"/>
      <c r="C174" s="728">
        <v>21</v>
      </c>
      <c r="D174" s="731" t="s">
        <v>2927</v>
      </c>
      <c r="E174" s="728" t="s">
        <v>1414</v>
      </c>
      <c r="F174" s="726">
        <v>417</v>
      </c>
      <c r="G174" s="726">
        <v>158</v>
      </c>
      <c r="H174" s="727">
        <f t="shared" si="10"/>
        <v>65886</v>
      </c>
      <c r="I174" s="726"/>
      <c r="J174" s="730">
        <f>62/158</f>
        <v>0.39240506329113922</v>
      </c>
      <c r="K174" s="727">
        <v>420000</v>
      </c>
      <c r="L174" s="727">
        <v>12313120</v>
      </c>
      <c r="M174" s="724">
        <f t="shared" si="11"/>
        <v>75272.911392405062</v>
      </c>
      <c r="N174" s="724">
        <f t="shared" si="11"/>
        <v>36307.3417721519</v>
      </c>
      <c r="O174" s="724">
        <f t="shared" si="11"/>
        <v>23318.818565400845</v>
      </c>
      <c r="P174" s="724">
        <f t="shared" si="11"/>
        <v>16824.556962025315</v>
      </c>
      <c r="Q174" s="724">
        <f t="shared" si="11"/>
        <v>12928</v>
      </c>
      <c r="R174" s="724">
        <f t="shared" si="11"/>
        <v>10330.29535864979</v>
      </c>
      <c r="S174" s="724">
        <f t="shared" si="11"/>
        <v>8474.7920433996387</v>
      </c>
      <c r="T174" s="725">
        <f t="shared" si="11"/>
        <v>7083.164556962025</v>
      </c>
    </row>
    <row r="175" spans="2:20">
      <c r="B175" s="1788"/>
      <c r="C175" s="728">
        <v>22</v>
      </c>
      <c r="D175" s="731" t="s">
        <v>2905</v>
      </c>
      <c r="E175" s="728" t="s">
        <v>1409</v>
      </c>
      <c r="F175" s="726">
        <v>439</v>
      </c>
      <c r="G175" s="726">
        <v>160</v>
      </c>
      <c r="H175" s="727">
        <f t="shared" si="10"/>
        <v>70240</v>
      </c>
      <c r="I175" s="727"/>
      <c r="J175" s="730">
        <f>50/160</f>
        <v>0.3125</v>
      </c>
      <c r="K175" s="727">
        <v>420000</v>
      </c>
      <c r="L175" s="727">
        <v>13704000</v>
      </c>
      <c r="M175" s="724">
        <f t="shared" si="11"/>
        <v>83025</v>
      </c>
      <c r="N175" s="724">
        <f t="shared" si="11"/>
        <v>40200</v>
      </c>
      <c r="O175" s="724">
        <f t="shared" si="11"/>
        <v>25925</v>
      </c>
      <c r="P175" s="724">
        <f t="shared" si="11"/>
        <v>18787.5</v>
      </c>
      <c r="Q175" s="724">
        <f t="shared" si="11"/>
        <v>14505</v>
      </c>
      <c r="R175" s="724">
        <f t="shared" si="11"/>
        <v>11650</v>
      </c>
      <c r="S175" s="724">
        <f t="shared" si="11"/>
        <v>9610.7142857142862</v>
      </c>
      <c r="T175" s="725">
        <f t="shared" si="11"/>
        <v>8081.25</v>
      </c>
    </row>
    <row r="176" spans="2:20">
      <c r="B176" s="1788"/>
      <c r="C176" s="728">
        <v>23</v>
      </c>
      <c r="D176" s="731" t="s">
        <v>2924</v>
      </c>
      <c r="E176" s="728" t="s">
        <v>1406</v>
      </c>
      <c r="F176" s="726">
        <v>481</v>
      </c>
      <c r="G176" s="726">
        <v>155</v>
      </c>
      <c r="H176" s="727">
        <f t="shared" si="10"/>
        <v>74555</v>
      </c>
      <c r="I176" s="726"/>
      <c r="J176" s="730">
        <f>67/155</f>
        <v>0.43225806451612903</v>
      </c>
      <c r="K176" s="727">
        <v>440000</v>
      </c>
      <c r="L176" s="727">
        <v>14780700</v>
      </c>
      <c r="M176" s="724">
        <f t="shared" si="11"/>
        <v>92520.645161290318</v>
      </c>
      <c r="N176" s="724">
        <f t="shared" si="11"/>
        <v>44840.967741935485</v>
      </c>
      <c r="O176" s="724">
        <f t="shared" si="11"/>
        <v>28947.741935483871</v>
      </c>
      <c r="P176" s="724">
        <f t="shared" si="11"/>
        <v>21001.129032258064</v>
      </c>
      <c r="Q176" s="724">
        <f t="shared" si="11"/>
        <v>16233.161290322581</v>
      </c>
      <c r="R176" s="724">
        <f t="shared" si="11"/>
        <v>13054.516129032258</v>
      </c>
      <c r="S176" s="724">
        <f t="shared" si="11"/>
        <v>10784.05529953917</v>
      </c>
      <c r="T176" s="725">
        <f t="shared" si="11"/>
        <v>9081.2096774193542</v>
      </c>
    </row>
    <row r="177" spans="2:20">
      <c r="B177" s="1788"/>
      <c r="C177" s="728">
        <v>24</v>
      </c>
      <c r="D177" s="731" t="s">
        <v>965</v>
      </c>
      <c r="E177" s="728" t="s">
        <v>1425</v>
      </c>
      <c r="F177" s="726">
        <v>475</v>
      </c>
      <c r="G177" s="726">
        <v>166</v>
      </c>
      <c r="H177" s="727">
        <f>F177*G177</f>
        <v>78850</v>
      </c>
      <c r="I177" s="732"/>
      <c r="J177" s="730">
        <f>47/166</f>
        <v>0.28313253012048195</v>
      </c>
      <c r="K177" s="727">
        <v>620000</v>
      </c>
      <c r="L177" s="727">
        <v>15150680</v>
      </c>
      <c r="M177" s="724">
        <f t="shared" ref="M177:T192" si="12">IF(($L177/M$1-$K177)/$G177&gt;0,($L177/M$1-$K177)/$G177,"")</f>
        <v>87534.216867469877</v>
      </c>
      <c r="N177" s="724">
        <f t="shared" si="12"/>
        <v>41899.638554216865</v>
      </c>
      <c r="O177" s="724">
        <f t="shared" si="12"/>
        <v>26688.112449799199</v>
      </c>
      <c r="P177" s="724">
        <f t="shared" si="12"/>
        <v>19082.349397590362</v>
      </c>
      <c r="Q177" s="724">
        <f t="shared" si="12"/>
        <v>14518.89156626506</v>
      </c>
      <c r="R177" s="724">
        <f t="shared" si="12"/>
        <v>11476.586345381527</v>
      </c>
      <c r="S177" s="724">
        <f t="shared" si="12"/>
        <v>9303.5111876075734</v>
      </c>
      <c r="T177" s="725">
        <f t="shared" si="12"/>
        <v>7673.7048192771081</v>
      </c>
    </row>
    <row r="178" spans="2:20">
      <c r="B178" s="1788"/>
      <c r="C178" s="728">
        <v>25</v>
      </c>
      <c r="D178" s="731" t="s">
        <v>2913</v>
      </c>
      <c r="E178" s="728" t="s">
        <v>1414</v>
      </c>
      <c r="F178" s="726">
        <v>431</v>
      </c>
      <c r="G178" s="726">
        <v>193</v>
      </c>
      <c r="H178" s="727">
        <f t="shared" si="10"/>
        <v>83183</v>
      </c>
      <c r="I178" s="726" t="s">
        <v>3077</v>
      </c>
      <c r="J178" s="730">
        <f>96/193</f>
        <v>0.49740932642487046</v>
      </c>
      <c r="K178" s="727">
        <v>2040000</v>
      </c>
      <c r="L178" s="727">
        <v>16161080</v>
      </c>
      <c r="M178" s="724">
        <f t="shared" si="12"/>
        <v>73166.21761658031</v>
      </c>
      <c r="N178" s="724">
        <f t="shared" si="12"/>
        <v>31298.134715025906</v>
      </c>
      <c r="O178" s="724">
        <f t="shared" si="12"/>
        <v>17342.107081174439</v>
      </c>
      <c r="P178" s="724">
        <f t="shared" si="12"/>
        <v>10364.093264248704</v>
      </c>
      <c r="Q178" s="724">
        <f t="shared" si="12"/>
        <v>6177.2849740932643</v>
      </c>
      <c r="R178" s="724">
        <f t="shared" si="12"/>
        <v>3386.0794473229716</v>
      </c>
      <c r="S178" s="724">
        <f t="shared" si="12"/>
        <v>1392.3612139156171</v>
      </c>
      <c r="T178" s="725" t="str">
        <f t="shared" si="12"/>
        <v/>
      </c>
    </row>
    <row r="179" spans="2:20">
      <c r="B179" s="1788"/>
      <c r="C179" s="728">
        <v>26</v>
      </c>
      <c r="D179" s="731" t="s">
        <v>2891</v>
      </c>
      <c r="E179" s="728" t="s">
        <v>1409</v>
      </c>
      <c r="F179" s="726">
        <v>593</v>
      </c>
      <c r="G179" s="726">
        <v>160</v>
      </c>
      <c r="H179" s="727">
        <f t="shared" si="10"/>
        <v>94880</v>
      </c>
      <c r="I179" s="912"/>
      <c r="J179" s="730">
        <f>101/160</f>
        <v>0.63124999999999998</v>
      </c>
      <c r="K179" s="727">
        <v>1200000</v>
      </c>
      <c r="L179" s="727">
        <v>18628800</v>
      </c>
      <c r="M179" s="724">
        <f t="shared" si="12"/>
        <v>108930</v>
      </c>
      <c r="N179" s="724">
        <f t="shared" si="12"/>
        <v>50715</v>
      </c>
      <c r="O179" s="724">
        <f t="shared" si="12"/>
        <v>31310</v>
      </c>
      <c r="P179" s="724">
        <f t="shared" si="12"/>
        <v>21607.5</v>
      </c>
      <c r="Q179" s="724">
        <f t="shared" si="12"/>
        <v>15786</v>
      </c>
      <c r="R179" s="724">
        <f t="shared" si="12"/>
        <v>11905</v>
      </c>
      <c r="S179" s="724">
        <f t="shared" si="12"/>
        <v>9132.8571428571413</v>
      </c>
      <c r="T179" s="725">
        <f t="shared" si="12"/>
        <v>7053.75</v>
      </c>
    </row>
    <row r="180" spans="2:20">
      <c r="B180" s="1788"/>
      <c r="C180" s="728">
        <v>27</v>
      </c>
      <c r="D180" s="731" t="s">
        <v>2844</v>
      </c>
      <c r="E180" s="728" t="s">
        <v>1406</v>
      </c>
      <c r="F180" s="726">
        <v>573</v>
      </c>
      <c r="G180" s="726">
        <v>184</v>
      </c>
      <c r="H180" s="727">
        <f t="shared" si="10"/>
        <v>105432</v>
      </c>
      <c r="I180" s="727">
        <v>20000</v>
      </c>
      <c r="J180" s="730">
        <f>98/184</f>
        <v>0.53260869565217395</v>
      </c>
      <c r="K180" s="727">
        <v>1927000</v>
      </c>
      <c r="L180" s="727">
        <v>20636800</v>
      </c>
      <c r="M180" s="724">
        <f t="shared" si="12"/>
        <v>101683.69565217392</v>
      </c>
      <c r="N180" s="724">
        <f t="shared" si="12"/>
        <v>45605.434782608696</v>
      </c>
      <c r="O180" s="724">
        <f t="shared" si="12"/>
        <v>26912.681159420288</v>
      </c>
      <c r="P180" s="724">
        <f t="shared" si="12"/>
        <v>17566.304347826088</v>
      </c>
      <c r="Q180" s="724">
        <f t="shared" si="12"/>
        <v>11958.478260869566</v>
      </c>
      <c r="R180" s="724">
        <f t="shared" si="12"/>
        <v>8219.927536231884</v>
      </c>
      <c r="S180" s="724">
        <f t="shared" si="12"/>
        <v>5549.5341614906847</v>
      </c>
      <c r="T180" s="725">
        <f t="shared" si="12"/>
        <v>3546.7391304347825</v>
      </c>
    </row>
    <row r="181" spans="2:20">
      <c r="B181" s="1788"/>
      <c r="C181" s="728">
        <v>28</v>
      </c>
      <c r="D181" s="731" t="s">
        <v>3074</v>
      </c>
      <c r="E181" s="728" t="s">
        <v>1403</v>
      </c>
      <c r="F181" s="726">
        <v>358</v>
      </c>
      <c r="G181" s="726">
        <v>176</v>
      </c>
      <c r="H181" s="727">
        <f t="shared" si="10"/>
        <v>63008</v>
      </c>
      <c r="I181" s="727">
        <v>50000</v>
      </c>
      <c r="J181" s="730">
        <f>77/176</f>
        <v>0.4375</v>
      </c>
      <c r="K181" s="727">
        <v>1878000</v>
      </c>
      <c r="L181" s="727">
        <v>23280000</v>
      </c>
      <c r="M181" s="724">
        <f t="shared" si="12"/>
        <v>121602.27272727272</v>
      </c>
      <c r="N181" s="724">
        <f t="shared" si="12"/>
        <v>55465.909090909088</v>
      </c>
      <c r="O181" s="724">
        <f t="shared" si="12"/>
        <v>33420.454545454544</v>
      </c>
      <c r="P181" s="724">
        <f t="shared" si="12"/>
        <v>22397.727272727272</v>
      </c>
      <c r="Q181" s="724">
        <f t="shared" si="12"/>
        <v>15784.09090909091</v>
      </c>
      <c r="R181" s="724">
        <f t="shared" si="12"/>
        <v>11375</v>
      </c>
      <c r="S181" s="724">
        <f t="shared" si="12"/>
        <v>8225.6493506493516</v>
      </c>
      <c r="T181" s="725">
        <f t="shared" si="12"/>
        <v>5863.636363636364</v>
      </c>
    </row>
    <row r="182" spans="2:20">
      <c r="B182" s="1788"/>
      <c r="C182" s="728">
        <v>29</v>
      </c>
      <c r="D182" s="731" t="s">
        <v>958</v>
      </c>
      <c r="E182" s="728" t="s">
        <v>1392</v>
      </c>
      <c r="F182" s="726">
        <v>422</v>
      </c>
      <c r="G182" s="726">
        <v>188</v>
      </c>
      <c r="H182" s="727">
        <f t="shared" si="10"/>
        <v>79336</v>
      </c>
      <c r="I182" s="727"/>
      <c r="J182" s="730">
        <f>86/188</f>
        <v>0.45744680851063829</v>
      </c>
      <c r="K182" s="727">
        <v>761000</v>
      </c>
      <c r="L182" s="727">
        <v>25204000</v>
      </c>
      <c r="M182" s="724">
        <f t="shared" si="12"/>
        <v>130015.9574468085</v>
      </c>
      <c r="N182" s="724">
        <f t="shared" si="12"/>
        <v>62984.042553191488</v>
      </c>
      <c r="O182" s="724">
        <f t="shared" si="12"/>
        <v>40640.070921985818</v>
      </c>
      <c r="P182" s="724">
        <f t="shared" si="12"/>
        <v>29468.08510638298</v>
      </c>
      <c r="Q182" s="724">
        <f t="shared" si="12"/>
        <v>22764.893617021276</v>
      </c>
      <c r="R182" s="724">
        <f t="shared" si="12"/>
        <v>18296.099290780145</v>
      </c>
      <c r="S182" s="724">
        <f t="shared" si="12"/>
        <v>15104.103343465045</v>
      </c>
      <c r="T182" s="725">
        <f t="shared" si="12"/>
        <v>12710.106382978724</v>
      </c>
    </row>
    <row r="183" spans="2:20">
      <c r="B183" s="1788"/>
      <c r="C183" s="728">
        <v>30</v>
      </c>
      <c r="D183" s="731" t="s">
        <v>954</v>
      </c>
      <c r="E183" s="728" t="s">
        <v>1406</v>
      </c>
      <c r="F183" s="726">
        <v>895</v>
      </c>
      <c r="G183" s="726">
        <v>152</v>
      </c>
      <c r="H183" s="727">
        <f t="shared" si="10"/>
        <v>136040</v>
      </c>
      <c r="I183" s="727"/>
      <c r="J183" s="730">
        <f>33/152</f>
        <v>0.21710526315789475</v>
      </c>
      <c r="K183" s="727">
        <v>570000</v>
      </c>
      <c r="L183" s="727">
        <v>25652000</v>
      </c>
      <c r="M183" s="724">
        <f t="shared" si="12"/>
        <v>165013.15789473685</v>
      </c>
      <c r="N183" s="724">
        <f t="shared" si="12"/>
        <v>80631.578947368427</v>
      </c>
      <c r="O183" s="724">
        <f t="shared" si="12"/>
        <v>52504.385964912275</v>
      </c>
      <c r="P183" s="724">
        <f t="shared" si="12"/>
        <v>38440.789473684214</v>
      </c>
      <c r="Q183" s="724">
        <f t="shared" si="12"/>
        <v>30002.63157894737</v>
      </c>
      <c r="R183" s="724">
        <f t="shared" si="12"/>
        <v>24377.192982456138</v>
      </c>
      <c r="S183" s="724">
        <f t="shared" si="12"/>
        <v>20359.022556390977</v>
      </c>
      <c r="T183" s="725">
        <f t="shared" si="12"/>
        <v>17345.394736842107</v>
      </c>
    </row>
    <row r="184" spans="2:20">
      <c r="B184" s="1788"/>
      <c r="C184" s="728">
        <v>31</v>
      </c>
      <c r="D184" s="729" t="s">
        <v>1185</v>
      </c>
      <c r="E184" s="728" t="s">
        <v>1409</v>
      </c>
      <c r="F184" s="726">
        <v>949</v>
      </c>
      <c r="G184" s="726">
        <v>148</v>
      </c>
      <c r="H184" s="727">
        <f t="shared" si="10"/>
        <v>140452</v>
      </c>
      <c r="I184" s="726"/>
      <c r="J184" s="730">
        <f>(21+17+14+103-85+141-118)/148</f>
        <v>0.6283783783783784</v>
      </c>
      <c r="K184" s="727">
        <f>206000*3+413000*2</f>
        <v>1444000</v>
      </c>
      <c r="L184" s="727">
        <v>25328000</v>
      </c>
      <c r="M184" s="724">
        <f t="shared" si="12"/>
        <v>161378.37837837837</v>
      </c>
      <c r="N184" s="724">
        <f t="shared" si="12"/>
        <v>75810.810810810814</v>
      </c>
      <c r="O184" s="724">
        <f t="shared" si="12"/>
        <v>47288.288288288284</v>
      </c>
      <c r="P184" s="724">
        <f t="shared" si="12"/>
        <v>33027.027027027027</v>
      </c>
      <c r="Q184" s="724">
        <f t="shared" si="12"/>
        <v>24470.27027027027</v>
      </c>
      <c r="R184" s="724">
        <f t="shared" si="12"/>
        <v>18765.765765765762</v>
      </c>
      <c r="S184" s="724">
        <f t="shared" si="12"/>
        <v>14691.119691119689</v>
      </c>
      <c r="T184" s="725">
        <f t="shared" si="12"/>
        <v>11635.135135135135</v>
      </c>
    </row>
    <row r="185" spans="2:20">
      <c r="B185" s="1788"/>
      <c r="C185" s="728">
        <v>32</v>
      </c>
      <c r="D185" s="729" t="s">
        <v>1807</v>
      </c>
      <c r="E185" s="728" t="s">
        <v>1425</v>
      </c>
      <c r="F185" s="726">
        <v>982</v>
      </c>
      <c r="G185" s="726">
        <v>143</v>
      </c>
      <c r="H185" s="727">
        <f t="shared" si="10"/>
        <v>140426</v>
      </c>
      <c r="I185" s="726"/>
      <c r="J185" s="730">
        <f>42/143</f>
        <v>0.2937062937062937</v>
      </c>
      <c r="K185" s="727">
        <v>600000</v>
      </c>
      <c r="L185" s="727">
        <v>25148000</v>
      </c>
      <c r="M185" s="724">
        <f t="shared" si="12"/>
        <v>171664.33566433567</v>
      </c>
      <c r="N185" s="724">
        <f t="shared" si="12"/>
        <v>83734.265734265733</v>
      </c>
      <c r="O185" s="724">
        <f t="shared" si="12"/>
        <v>54424.242424242424</v>
      </c>
      <c r="P185" s="724">
        <f t="shared" si="12"/>
        <v>39769.230769230766</v>
      </c>
      <c r="Q185" s="724">
        <f t="shared" si="12"/>
        <v>30976.223776223775</v>
      </c>
      <c r="R185" s="724">
        <f t="shared" si="12"/>
        <v>25114.219114219115</v>
      </c>
      <c r="S185" s="724">
        <f t="shared" si="12"/>
        <v>20927.072927072928</v>
      </c>
      <c r="T185" s="725">
        <f t="shared" si="12"/>
        <v>17786.713286713286</v>
      </c>
    </row>
    <row r="186" spans="2:20">
      <c r="B186" s="1788"/>
      <c r="C186" s="728">
        <v>33</v>
      </c>
      <c r="D186" s="731" t="s">
        <v>1470</v>
      </c>
      <c r="E186" s="728" t="s">
        <v>1392</v>
      </c>
      <c r="F186" s="729">
        <v>1025</v>
      </c>
      <c r="G186" s="726">
        <v>137</v>
      </c>
      <c r="H186" s="727">
        <f t="shared" si="10"/>
        <v>140425</v>
      </c>
      <c r="I186" s="726"/>
      <c r="J186" s="730">
        <f>75/137</f>
        <v>0.54744525547445255</v>
      </c>
      <c r="K186" s="727">
        <v>476000</v>
      </c>
      <c r="L186" s="727">
        <v>26343000</v>
      </c>
      <c r="M186" s="724">
        <f t="shared" si="12"/>
        <v>188810.2189781022</v>
      </c>
      <c r="N186" s="724">
        <f t="shared" si="12"/>
        <v>92667.883211678825</v>
      </c>
      <c r="O186" s="724">
        <f t="shared" si="12"/>
        <v>60620.437956204376</v>
      </c>
      <c r="P186" s="724">
        <f t="shared" si="12"/>
        <v>44596.715328467151</v>
      </c>
      <c r="Q186" s="724">
        <f t="shared" si="12"/>
        <v>34982.481751824816</v>
      </c>
      <c r="R186" s="724">
        <f t="shared" si="12"/>
        <v>28572.992700729927</v>
      </c>
      <c r="S186" s="724">
        <f t="shared" si="12"/>
        <v>23994.786235662148</v>
      </c>
      <c r="T186" s="725">
        <f t="shared" si="12"/>
        <v>20561.131386861314</v>
      </c>
    </row>
    <row r="187" spans="2:20">
      <c r="B187" s="1788"/>
      <c r="C187" s="728">
        <v>34</v>
      </c>
      <c r="D187" s="731" t="s">
        <v>2849</v>
      </c>
      <c r="E187" s="728" t="s">
        <v>1406</v>
      </c>
      <c r="F187" s="726">
        <v>880</v>
      </c>
      <c r="G187" s="726">
        <v>173</v>
      </c>
      <c r="H187" s="727">
        <f t="shared" si="10"/>
        <v>152240</v>
      </c>
      <c r="I187" s="727"/>
      <c r="J187" s="730">
        <f>81/173</f>
        <v>0.46820809248554912</v>
      </c>
      <c r="K187" s="727">
        <v>1794000</v>
      </c>
      <c r="L187" s="727">
        <v>27971900</v>
      </c>
      <c r="M187" s="724">
        <f t="shared" si="12"/>
        <v>151317.34104046243</v>
      </c>
      <c r="N187" s="724">
        <f t="shared" si="12"/>
        <v>70473.699421965313</v>
      </c>
      <c r="O187" s="724">
        <f t="shared" si="12"/>
        <v>43525.818882466279</v>
      </c>
      <c r="P187" s="724">
        <f t="shared" si="12"/>
        <v>30051.878612716762</v>
      </c>
      <c r="Q187" s="724">
        <f t="shared" si="12"/>
        <v>21967.514450867053</v>
      </c>
      <c r="R187" s="724">
        <f t="shared" si="12"/>
        <v>16577.938342967242</v>
      </c>
      <c r="S187" s="724">
        <f t="shared" si="12"/>
        <v>12728.24112303881</v>
      </c>
      <c r="T187" s="725">
        <f t="shared" si="12"/>
        <v>9840.9682080924849</v>
      </c>
    </row>
    <row r="188" spans="2:20">
      <c r="B188" s="1788"/>
      <c r="C188" s="728">
        <v>35</v>
      </c>
      <c r="D188" s="731" t="s">
        <v>1729</v>
      </c>
      <c r="E188" s="728" t="s">
        <v>1403</v>
      </c>
      <c r="F188" s="726">
        <v>954</v>
      </c>
      <c r="G188" s="726">
        <v>185</v>
      </c>
      <c r="H188" s="727">
        <f t="shared" si="10"/>
        <v>176490</v>
      </c>
      <c r="I188" s="727"/>
      <c r="J188" s="730">
        <f>69/185</f>
        <v>0.37297297297297299</v>
      </c>
      <c r="K188" s="727">
        <v>2201000</v>
      </c>
      <c r="L188" s="727">
        <v>30288000</v>
      </c>
      <c r="M188" s="724">
        <f t="shared" si="12"/>
        <v>151821.62162162163</v>
      </c>
      <c r="N188" s="724">
        <f t="shared" si="12"/>
        <v>69962.16216216216</v>
      </c>
      <c r="O188" s="724">
        <f t="shared" si="12"/>
        <v>42675.675675675673</v>
      </c>
      <c r="P188" s="724">
        <f t="shared" si="12"/>
        <v>29032.432432432433</v>
      </c>
      <c r="Q188" s="724">
        <f t="shared" si="12"/>
        <v>20846.486486486487</v>
      </c>
      <c r="R188" s="724">
        <f t="shared" si="12"/>
        <v>15389.18918918919</v>
      </c>
      <c r="S188" s="724">
        <f t="shared" si="12"/>
        <v>11491.119691119691</v>
      </c>
      <c r="T188" s="725">
        <f t="shared" si="12"/>
        <v>8567.5675675675684</v>
      </c>
    </row>
    <row r="189" spans="2:20">
      <c r="B189" s="1788"/>
      <c r="C189" s="728">
        <v>36</v>
      </c>
      <c r="D189" s="731" t="s">
        <v>2842</v>
      </c>
      <c r="E189" s="728" t="s">
        <v>4148</v>
      </c>
      <c r="F189" s="726">
        <v>399</v>
      </c>
      <c r="G189" s="726">
        <v>174</v>
      </c>
      <c r="H189" s="727">
        <v>69426</v>
      </c>
      <c r="I189" s="726"/>
      <c r="J189" s="730">
        <v>0.56321839080459768</v>
      </c>
      <c r="K189" s="727">
        <v>1848000</v>
      </c>
      <c r="L189" s="727">
        <v>6339800</v>
      </c>
      <c r="M189" s="724">
        <f t="shared" si="12"/>
        <v>25814.942528735632</v>
      </c>
      <c r="N189" s="724">
        <f t="shared" si="12"/>
        <v>7597.1264367816093</v>
      </c>
      <c r="O189" s="724">
        <f t="shared" si="12"/>
        <v>1524.521072796934</v>
      </c>
      <c r="P189" s="724" t="str">
        <f t="shared" si="12"/>
        <v/>
      </c>
      <c r="Q189" s="724" t="str">
        <f t="shared" si="12"/>
        <v/>
      </c>
      <c r="R189" s="724" t="str">
        <f t="shared" si="12"/>
        <v/>
      </c>
      <c r="S189" s="724" t="str">
        <f t="shared" si="12"/>
        <v/>
      </c>
      <c r="T189" s="725" t="str">
        <f t="shared" si="12"/>
        <v/>
      </c>
    </row>
    <row r="190" spans="2:20">
      <c r="B190" s="1788"/>
      <c r="C190" s="728">
        <v>37</v>
      </c>
      <c r="D190" s="731" t="s">
        <v>1013</v>
      </c>
      <c r="E190" s="728" t="s">
        <v>4218</v>
      </c>
      <c r="F190" s="726">
        <v>394</v>
      </c>
      <c r="G190" s="726">
        <v>176</v>
      </c>
      <c r="H190" s="727">
        <v>69344</v>
      </c>
      <c r="I190" s="727">
        <v>-30000</v>
      </c>
      <c r="J190" s="730">
        <v>0.57386363636363635</v>
      </c>
      <c r="K190" s="727">
        <v>2100000</v>
      </c>
      <c r="L190" s="727">
        <v>6355200</v>
      </c>
      <c r="M190" s="724">
        <f t="shared" si="12"/>
        <v>24177.272727272728</v>
      </c>
      <c r="N190" s="724">
        <f t="shared" si="12"/>
        <v>6122.727272727273</v>
      </c>
      <c r="O190" s="724">
        <f t="shared" si="12"/>
        <v>104.54545454545455</v>
      </c>
      <c r="P190" s="724" t="str">
        <f t="shared" si="12"/>
        <v/>
      </c>
      <c r="Q190" s="724" t="str">
        <f t="shared" si="12"/>
        <v/>
      </c>
      <c r="R190" s="724" t="str">
        <f t="shared" si="12"/>
        <v/>
      </c>
      <c r="S190" s="724" t="str">
        <f t="shared" si="12"/>
        <v/>
      </c>
      <c r="T190" s="725" t="str">
        <f t="shared" si="12"/>
        <v/>
      </c>
    </row>
    <row r="191" spans="2:20">
      <c r="B191" s="1788"/>
      <c r="C191" s="728">
        <v>38</v>
      </c>
      <c r="D191" s="731" t="s">
        <v>1001</v>
      </c>
      <c r="E191" s="728" t="s">
        <v>4216</v>
      </c>
      <c r="F191" s="726">
        <v>405</v>
      </c>
      <c r="G191" s="726">
        <v>180</v>
      </c>
      <c r="H191" s="727">
        <v>72900</v>
      </c>
      <c r="I191" s="727">
        <v>40000</v>
      </c>
      <c r="J191" s="730">
        <v>0.4777777777777778</v>
      </c>
      <c r="K191" s="727">
        <v>1900000</v>
      </c>
      <c r="L191" s="727">
        <v>6458000</v>
      </c>
      <c r="M191" s="724">
        <f t="shared" si="12"/>
        <v>25322.222222222223</v>
      </c>
      <c r="N191" s="724">
        <f t="shared" si="12"/>
        <v>7383.333333333333</v>
      </c>
      <c r="O191" s="724">
        <f t="shared" si="12"/>
        <v>1403.7037037037028</v>
      </c>
      <c r="P191" s="724" t="str">
        <f t="shared" si="12"/>
        <v/>
      </c>
      <c r="Q191" s="724" t="str">
        <f t="shared" si="12"/>
        <v/>
      </c>
      <c r="R191" s="724" t="str">
        <f t="shared" si="12"/>
        <v/>
      </c>
      <c r="S191" s="724" t="str">
        <f t="shared" si="12"/>
        <v/>
      </c>
      <c r="T191" s="725" t="str">
        <f t="shared" si="12"/>
        <v/>
      </c>
    </row>
    <row r="192" spans="2:20">
      <c r="B192" s="1788"/>
      <c r="C192" s="728">
        <v>39</v>
      </c>
      <c r="D192" s="731" t="s">
        <v>4222</v>
      </c>
      <c r="E192" s="728" t="s">
        <v>4217</v>
      </c>
      <c r="F192" s="726">
        <v>417</v>
      </c>
      <c r="G192" s="726">
        <v>175</v>
      </c>
      <c r="H192" s="727">
        <v>72975</v>
      </c>
      <c r="I192" s="732"/>
      <c r="J192" s="730">
        <v>0.46285714285714286</v>
      </c>
      <c r="K192" s="727">
        <v>1855000</v>
      </c>
      <c r="L192" s="727">
        <v>9626250</v>
      </c>
      <c r="M192" s="724">
        <f t="shared" si="12"/>
        <v>44407.142857142855</v>
      </c>
      <c r="N192" s="724">
        <f t="shared" si="12"/>
        <v>16903.571428571428</v>
      </c>
      <c r="O192" s="724">
        <f t="shared" si="12"/>
        <v>7735.7142857142853</v>
      </c>
      <c r="P192" s="724">
        <f t="shared" si="12"/>
        <v>3151.7857142857142</v>
      </c>
      <c r="Q192" s="724">
        <f t="shared" si="12"/>
        <v>401.42857142857144</v>
      </c>
      <c r="R192" s="724" t="str">
        <f t="shared" si="12"/>
        <v/>
      </c>
      <c r="S192" s="724" t="str">
        <f t="shared" si="12"/>
        <v/>
      </c>
      <c r="T192" s="725" t="str">
        <f t="shared" si="12"/>
        <v/>
      </c>
    </row>
    <row r="193" spans="2:20">
      <c r="B193" s="1788"/>
      <c r="C193" s="728">
        <v>40</v>
      </c>
      <c r="D193" s="731" t="s">
        <v>1002</v>
      </c>
      <c r="E193" s="728" t="s">
        <v>3171</v>
      </c>
      <c r="F193" s="726">
        <v>513</v>
      </c>
      <c r="G193" s="726">
        <v>158</v>
      </c>
      <c r="H193" s="727">
        <v>81054</v>
      </c>
      <c r="I193" s="726"/>
      <c r="J193" s="730">
        <v>0.46835443037974683</v>
      </c>
      <c r="K193" s="727">
        <v>1437000</v>
      </c>
      <c r="L193" s="727">
        <v>9633000</v>
      </c>
      <c r="M193" s="724">
        <f t="shared" ref="M193:T203" si="13">IF(($L193/M$1-$K193)/$G193&gt;0,($L193/M$1-$K193)/$G193,"")</f>
        <v>51873.417721518985</v>
      </c>
      <c r="N193" s="724">
        <f t="shared" si="13"/>
        <v>21389.240506329115</v>
      </c>
      <c r="O193" s="724">
        <f t="shared" si="13"/>
        <v>11227.848101265823</v>
      </c>
      <c r="P193" s="724">
        <f t="shared" si="13"/>
        <v>6147.1518987341769</v>
      </c>
      <c r="Q193" s="724">
        <f t="shared" si="13"/>
        <v>3098.7341772151899</v>
      </c>
      <c r="R193" s="724">
        <f t="shared" si="13"/>
        <v>1066.4556962025317</v>
      </c>
      <c r="S193" s="724" t="str">
        <f t="shared" si="13"/>
        <v/>
      </c>
      <c r="T193" s="725" t="str">
        <f t="shared" si="13"/>
        <v/>
      </c>
    </row>
    <row r="194" spans="2:20">
      <c r="B194" s="1788"/>
      <c r="C194" s="728">
        <v>41</v>
      </c>
      <c r="D194" s="731" t="s">
        <v>3113</v>
      </c>
      <c r="E194" s="728" t="s">
        <v>3171</v>
      </c>
      <c r="F194" s="726">
        <v>456</v>
      </c>
      <c r="G194" s="726">
        <v>178</v>
      </c>
      <c r="H194" s="727">
        <v>81168</v>
      </c>
      <c r="I194" s="912" t="s">
        <v>4223</v>
      </c>
      <c r="J194" s="730">
        <v>0.6292134831460674</v>
      </c>
      <c r="K194" s="727">
        <v>1750000</v>
      </c>
      <c r="L194" s="727">
        <v>13204000</v>
      </c>
      <c r="M194" s="724">
        <f t="shared" si="13"/>
        <v>64348.314606741573</v>
      </c>
      <c r="N194" s="724">
        <f t="shared" si="13"/>
        <v>27258.426966292136</v>
      </c>
      <c r="O194" s="724">
        <f t="shared" si="13"/>
        <v>14895.131086142321</v>
      </c>
      <c r="P194" s="724">
        <f t="shared" si="13"/>
        <v>8713.4831460674159</v>
      </c>
      <c r="Q194" s="724">
        <f t="shared" si="13"/>
        <v>5004.4943820224717</v>
      </c>
      <c r="R194" s="724">
        <f t="shared" si="13"/>
        <v>2531.8352059925087</v>
      </c>
      <c r="S194" s="724">
        <f t="shared" si="13"/>
        <v>765.65008025682198</v>
      </c>
      <c r="T194" s="725" t="str">
        <f t="shared" si="13"/>
        <v/>
      </c>
    </row>
    <row r="195" spans="2:20">
      <c r="B195" s="1788"/>
      <c r="C195" s="728">
        <v>42</v>
      </c>
      <c r="D195" s="731" t="s">
        <v>3108</v>
      </c>
      <c r="E195" s="728" t="s">
        <v>4218</v>
      </c>
      <c r="F195" s="726">
        <v>490</v>
      </c>
      <c r="G195" s="726">
        <v>184</v>
      </c>
      <c r="H195" s="727">
        <v>90160</v>
      </c>
      <c r="I195" s="727" t="s">
        <v>4224</v>
      </c>
      <c r="J195" s="730">
        <v>0.40760869565217389</v>
      </c>
      <c r="K195" s="727">
        <v>1752000</v>
      </c>
      <c r="L195" s="727">
        <v>13680000</v>
      </c>
      <c r="M195" s="724">
        <f t="shared" si="13"/>
        <v>64826.086956521736</v>
      </c>
      <c r="N195" s="724">
        <f t="shared" si="13"/>
        <v>27652.17391304348</v>
      </c>
      <c r="O195" s="724">
        <f t="shared" si="13"/>
        <v>15260.869565217392</v>
      </c>
      <c r="P195" s="724">
        <f t="shared" si="13"/>
        <v>9065.217391304348</v>
      </c>
      <c r="Q195" s="724">
        <f t="shared" si="13"/>
        <v>5347.826086956522</v>
      </c>
      <c r="R195" s="724">
        <f t="shared" si="13"/>
        <v>2869.5652173913045</v>
      </c>
      <c r="S195" s="724">
        <f t="shared" si="13"/>
        <v>1099.3788819875779</v>
      </c>
      <c r="T195" s="725" t="str">
        <f t="shared" si="13"/>
        <v/>
      </c>
    </row>
    <row r="196" spans="2:20">
      <c r="B196" s="1788"/>
      <c r="C196" s="728">
        <v>43</v>
      </c>
      <c r="D196" s="731" t="s">
        <v>2888</v>
      </c>
      <c r="E196" s="728" t="s">
        <v>4218</v>
      </c>
      <c r="F196" s="726">
        <v>693</v>
      </c>
      <c r="G196" s="726">
        <v>130</v>
      </c>
      <c r="H196" s="727">
        <v>90090</v>
      </c>
      <c r="I196" s="727" t="s">
        <v>4225</v>
      </c>
      <c r="J196" s="730">
        <v>0.52310000000000001</v>
      </c>
      <c r="K196" s="727">
        <v>1371000</v>
      </c>
      <c r="L196" s="727">
        <v>14250000</v>
      </c>
      <c r="M196" s="724">
        <f t="shared" si="13"/>
        <v>99069.230769230766</v>
      </c>
      <c r="N196" s="724">
        <f t="shared" si="13"/>
        <v>44261.538461538461</v>
      </c>
      <c r="O196" s="724">
        <f t="shared" si="13"/>
        <v>25992.307692307691</v>
      </c>
      <c r="P196" s="724">
        <f t="shared" si="13"/>
        <v>16857.692307692309</v>
      </c>
      <c r="Q196" s="724">
        <f t="shared" si="13"/>
        <v>11376.923076923076</v>
      </c>
      <c r="R196" s="724">
        <f t="shared" si="13"/>
        <v>7723.0769230769229</v>
      </c>
      <c r="S196" s="724">
        <f t="shared" si="13"/>
        <v>5113.1868131868132</v>
      </c>
      <c r="T196" s="725">
        <f t="shared" si="13"/>
        <v>3155.7692307692309</v>
      </c>
    </row>
    <row r="197" spans="2:20">
      <c r="B197" s="1788"/>
      <c r="C197" s="728">
        <v>44</v>
      </c>
      <c r="D197" s="731" t="s">
        <v>1021</v>
      </c>
      <c r="E197" s="728" t="s">
        <v>4148</v>
      </c>
      <c r="F197" s="726">
        <v>612</v>
      </c>
      <c r="G197" s="726">
        <v>162</v>
      </c>
      <c r="H197" s="727">
        <v>99144</v>
      </c>
      <c r="I197" s="727"/>
      <c r="J197" s="730">
        <v>0.40739999999999998</v>
      </c>
      <c r="K197" s="727">
        <v>2051000</v>
      </c>
      <c r="L197" s="727">
        <v>15455000</v>
      </c>
      <c r="M197" s="724">
        <f t="shared" si="13"/>
        <v>82740.740740740745</v>
      </c>
      <c r="N197" s="724">
        <f t="shared" si="13"/>
        <v>35040.123456790127</v>
      </c>
      <c r="O197" s="724">
        <f t="shared" si="13"/>
        <v>19139.917695473254</v>
      </c>
      <c r="P197" s="724">
        <f t="shared" si="13"/>
        <v>11189.814814814816</v>
      </c>
      <c r="Q197" s="724">
        <f t="shared" si="13"/>
        <v>6419.7530864197533</v>
      </c>
      <c r="R197" s="724">
        <f t="shared" si="13"/>
        <v>3239.7119341563794</v>
      </c>
      <c r="S197" s="724">
        <f t="shared" si="13"/>
        <v>968.2539682539674</v>
      </c>
      <c r="T197" s="725" t="str">
        <f t="shared" si="13"/>
        <v/>
      </c>
    </row>
    <row r="198" spans="2:20">
      <c r="B198" s="1788"/>
      <c r="C198" s="728">
        <v>45</v>
      </c>
      <c r="D198" s="731" t="s">
        <v>4226</v>
      </c>
      <c r="E198" s="728" t="s">
        <v>4220</v>
      </c>
      <c r="F198" s="726">
        <v>533</v>
      </c>
      <c r="G198" s="726">
        <v>186</v>
      </c>
      <c r="H198" s="727">
        <v>99138</v>
      </c>
      <c r="I198" s="727"/>
      <c r="J198" s="730">
        <v>0.478494623655914</v>
      </c>
      <c r="K198" s="727">
        <v>1516000</v>
      </c>
      <c r="L198" s="727">
        <v>19138000</v>
      </c>
      <c r="M198" s="724">
        <f t="shared" si="13"/>
        <v>94741.93548387097</v>
      </c>
      <c r="N198" s="724">
        <f t="shared" si="13"/>
        <v>43295.698924731179</v>
      </c>
      <c r="O198" s="724">
        <f t="shared" si="13"/>
        <v>26146.953405017921</v>
      </c>
      <c r="P198" s="724">
        <f t="shared" si="13"/>
        <v>17572.580645161292</v>
      </c>
      <c r="Q198" s="724">
        <f t="shared" si="13"/>
        <v>12427.956989247312</v>
      </c>
      <c r="R198" s="724">
        <f t="shared" si="13"/>
        <v>8998.2078853046587</v>
      </c>
      <c r="S198" s="724">
        <f t="shared" si="13"/>
        <v>6548.3870967741932</v>
      </c>
      <c r="T198" s="725">
        <f t="shared" si="13"/>
        <v>4711.0215053763441</v>
      </c>
    </row>
    <row r="199" spans="2:20">
      <c r="B199" s="1788"/>
      <c r="C199" s="728">
        <v>46</v>
      </c>
      <c r="D199" s="729" t="s">
        <v>3073</v>
      </c>
      <c r="E199" s="728" t="s">
        <v>3171</v>
      </c>
      <c r="F199" s="726">
        <v>572</v>
      </c>
      <c r="G199" s="726">
        <v>189</v>
      </c>
      <c r="H199" s="727">
        <v>108108</v>
      </c>
      <c r="I199" s="726"/>
      <c r="J199" s="730">
        <v>0.42330000000000001</v>
      </c>
      <c r="K199" s="727">
        <v>2695000</v>
      </c>
      <c r="L199" s="727">
        <v>20804000</v>
      </c>
      <c r="M199" s="724">
        <f t="shared" si="13"/>
        <v>95814.814814814818</v>
      </c>
      <c r="N199" s="724">
        <f t="shared" si="13"/>
        <v>40777.777777777781</v>
      </c>
      <c r="O199" s="724">
        <f t="shared" si="13"/>
        <v>22432.0987654321</v>
      </c>
      <c r="P199" s="724">
        <f t="shared" si="13"/>
        <v>13259.259259259259</v>
      </c>
      <c r="Q199" s="724">
        <f t="shared" si="13"/>
        <v>7755.5555555555557</v>
      </c>
      <c r="R199" s="724">
        <f t="shared" si="13"/>
        <v>4086.4197530864208</v>
      </c>
      <c r="S199" s="724">
        <f t="shared" si="13"/>
        <v>1465.6084656084656</v>
      </c>
      <c r="T199" s="725" t="str">
        <f t="shared" si="13"/>
        <v/>
      </c>
    </row>
    <row r="200" spans="2:20">
      <c r="B200" s="1788"/>
      <c r="C200" s="728">
        <v>47</v>
      </c>
      <c r="D200" s="729" t="s">
        <v>3068</v>
      </c>
      <c r="E200" s="728" t="s">
        <v>4220</v>
      </c>
      <c r="F200" s="726">
        <v>597</v>
      </c>
      <c r="G200" s="726">
        <v>181</v>
      </c>
      <c r="H200" s="727">
        <v>108057</v>
      </c>
      <c r="I200" s="726"/>
      <c r="J200" s="730">
        <v>0.48070000000000002</v>
      </c>
      <c r="K200" s="727">
        <v>2256000</v>
      </c>
      <c r="L200" s="727">
        <v>22602000</v>
      </c>
      <c r="M200" s="724">
        <f t="shared" si="13"/>
        <v>112408.83977900553</v>
      </c>
      <c r="N200" s="724">
        <f t="shared" si="13"/>
        <v>49972.375690607732</v>
      </c>
      <c r="O200" s="724">
        <f t="shared" si="13"/>
        <v>29160.220994475138</v>
      </c>
      <c r="P200" s="724">
        <f t="shared" si="13"/>
        <v>18754.14364640884</v>
      </c>
      <c r="Q200" s="724">
        <f t="shared" si="13"/>
        <v>12510.497237569061</v>
      </c>
      <c r="R200" s="724">
        <f t="shared" si="13"/>
        <v>8348.0662983425409</v>
      </c>
      <c r="S200" s="724">
        <f t="shared" si="13"/>
        <v>5374.9013417521701</v>
      </c>
      <c r="T200" s="725">
        <f t="shared" si="13"/>
        <v>3145.0276243093922</v>
      </c>
    </row>
    <row r="201" spans="2:20">
      <c r="B201" s="1788"/>
      <c r="C201" s="728">
        <v>48</v>
      </c>
      <c r="D201" s="731" t="s">
        <v>4227</v>
      </c>
      <c r="E201" s="728" t="s">
        <v>4217</v>
      </c>
      <c r="F201" s="729">
        <v>626</v>
      </c>
      <c r="G201" s="726">
        <v>187</v>
      </c>
      <c r="H201" s="727">
        <v>117062</v>
      </c>
      <c r="I201" s="726"/>
      <c r="J201" s="730">
        <v>0.53475935828877008</v>
      </c>
      <c r="K201" s="727">
        <v>569000</v>
      </c>
      <c r="L201" s="727">
        <v>24508500</v>
      </c>
      <c r="M201" s="724">
        <f t="shared" si="13"/>
        <v>128018.71657754011</v>
      </c>
      <c r="N201" s="724">
        <f t="shared" si="13"/>
        <v>62487.967914438501</v>
      </c>
      <c r="O201" s="724">
        <f t="shared" si="13"/>
        <v>40644.385026737968</v>
      </c>
      <c r="P201" s="724">
        <f t="shared" si="13"/>
        <v>29722.593582887701</v>
      </c>
      <c r="Q201" s="724">
        <f t="shared" si="13"/>
        <v>23169.518716577539</v>
      </c>
      <c r="R201" s="724">
        <f t="shared" si="13"/>
        <v>18800.802139037434</v>
      </c>
      <c r="S201" s="724">
        <f t="shared" si="13"/>
        <v>15680.290297937358</v>
      </c>
      <c r="T201" s="725">
        <f t="shared" si="13"/>
        <v>13339.906417112299</v>
      </c>
    </row>
    <row r="202" spans="2:20">
      <c r="B202" s="1788"/>
      <c r="C202" s="728">
        <v>49</v>
      </c>
      <c r="D202" s="729" t="s">
        <v>4228</v>
      </c>
      <c r="E202" s="728" t="s">
        <v>4220</v>
      </c>
      <c r="F202" s="726">
        <v>658</v>
      </c>
      <c r="G202" s="726">
        <v>178</v>
      </c>
      <c r="H202" s="727">
        <v>117124</v>
      </c>
      <c r="I202" s="726"/>
      <c r="J202" s="730">
        <v>0.43258426966292135</v>
      </c>
      <c r="K202" s="727">
        <v>1320000</v>
      </c>
      <c r="L202" s="727">
        <v>25099000</v>
      </c>
      <c r="M202" s="724">
        <f t="shared" si="13"/>
        <v>133589.88764044945</v>
      </c>
      <c r="N202" s="724">
        <f t="shared" si="13"/>
        <v>63087.078651685391</v>
      </c>
      <c r="O202" s="724">
        <f t="shared" si="13"/>
        <v>39586.142322097374</v>
      </c>
      <c r="P202" s="724">
        <f t="shared" si="13"/>
        <v>27835.674157303372</v>
      </c>
      <c r="Q202" s="724">
        <f t="shared" si="13"/>
        <v>20785.393258426968</v>
      </c>
      <c r="R202" s="724">
        <f t="shared" si="13"/>
        <v>16085.205992509362</v>
      </c>
      <c r="S202" s="724">
        <f t="shared" si="13"/>
        <v>12727.929373996791</v>
      </c>
      <c r="T202" s="725">
        <f t="shared" si="13"/>
        <v>10209.971910112359</v>
      </c>
    </row>
    <row r="203" spans="2:20" ht="23.25" thickBot="1">
      <c r="B203" s="1789"/>
      <c r="C203" s="748">
        <v>50</v>
      </c>
      <c r="D203" s="749" t="s">
        <v>964</v>
      </c>
      <c r="E203" s="748" t="s">
        <v>4148</v>
      </c>
      <c r="F203" s="750">
        <v>659</v>
      </c>
      <c r="G203" s="750">
        <v>287</v>
      </c>
      <c r="H203" s="751">
        <v>189133</v>
      </c>
      <c r="I203" s="750"/>
      <c r="J203" s="752">
        <v>0.4808362369337979</v>
      </c>
      <c r="K203" s="751">
        <v>5058000</v>
      </c>
      <c r="L203" s="751">
        <v>69063000</v>
      </c>
      <c r="M203" s="724">
        <f t="shared" si="13"/>
        <v>223013.93728222998</v>
      </c>
      <c r="N203" s="724">
        <f t="shared" si="13"/>
        <v>102695.12195121951</v>
      </c>
      <c r="O203" s="724">
        <f t="shared" si="13"/>
        <v>62588.85017421603</v>
      </c>
      <c r="P203" s="724">
        <f t="shared" si="13"/>
        <v>42535.714285714283</v>
      </c>
      <c r="Q203" s="724">
        <f t="shared" si="13"/>
        <v>30503.832752613242</v>
      </c>
      <c r="R203" s="724">
        <f t="shared" si="13"/>
        <v>22482.578397212543</v>
      </c>
      <c r="S203" s="724">
        <f t="shared" si="13"/>
        <v>16753.111000497756</v>
      </c>
      <c r="T203" s="725">
        <f t="shared" si="13"/>
        <v>12456.010452961673</v>
      </c>
    </row>
    <row r="204" spans="2:20">
      <c r="B204" s="1790">
        <v>5</v>
      </c>
      <c r="C204" s="745">
        <v>1</v>
      </c>
      <c r="D204" s="911" t="s">
        <v>1184</v>
      </c>
      <c r="E204" s="745" t="s">
        <v>1392</v>
      </c>
      <c r="F204" s="743">
        <v>93</v>
      </c>
      <c r="G204" s="743">
        <v>78</v>
      </c>
      <c r="H204" s="744">
        <f t="shared" si="10"/>
        <v>7254</v>
      </c>
      <c r="I204" s="744"/>
      <c r="J204" s="747">
        <f>35/78</f>
        <v>0.44871794871794873</v>
      </c>
      <c r="K204" s="744">
        <v>96000</v>
      </c>
      <c r="L204" s="744">
        <v>62400</v>
      </c>
      <c r="M204" s="739" t="str">
        <f t="shared" ref="M204:T235" si="14">IF(($L204/M$1-$K204)/$G204&gt;0,($L204/M$1-$K204)/$G204,"")</f>
        <v/>
      </c>
      <c r="N204" s="739" t="str">
        <f t="shared" si="14"/>
        <v/>
      </c>
      <c r="O204" s="739" t="str">
        <f t="shared" si="14"/>
        <v/>
      </c>
      <c r="P204" s="739" t="str">
        <f t="shared" si="14"/>
        <v/>
      </c>
      <c r="Q204" s="739" t="str">
        <f t="shared" si="14"/>
        <v/>
      </c>
      <c r="R204" s="739" t="str">
        <f t="shared" si="14"/>
        <v/>
      </c>
      <c r="S204" s="739" t="str">
        <f t="shared" si="14"/>
        <v/>
      </c>
      <c r="T204" s="740" t="str">
        <f t="shared" si="14"/>
        <v/>
      </c>
    </row>
    <row r="205" spans="2:20">
      <c r="B205" s="1791"/>
      <c r="C205" s="728">
        <v>2</v>
      </c>
      <c r="D205" s="731" t="s">
        <v>1499</v>
      </c>
      <c r="E205" s="728" t="s">
        <v>1406</v>
      </c>
      <c r="F205" s="726">
        <v>98</v>
      </c>
      <c r="G205" s="726">
        <v>74</v>
      </c>
      <c r="H205" s="727">
        <f t="shared" si="10"/>
        <v>7252</v>
      </c>
      <c r="I205" s="732" t="s">
        <v>3097</v>
      </c>
      <c r="J205" s="730">
        <f>27/74</f>
        <v>0.36486486486486486</v>
      </c>
      <c r="K205" s="727">
        <v>128000</v>
      </c>
      <c r="L205" s="727">
        <v>70200</v>
      </c>
      <c r="M205" s="724" t="str">
        <f t="shared" si="14"/>
        <v/>
      </c>
      <c r="N205" s="724" t="str">
        <f t="shared" si="14"/>
        <v/>
      </c>
      <c r="O205" s="724" t="str">
        <f t="shared" si="14"/>
        <v/>
      </c>
      <c r="P205" s="724" t="str">
        <f t="shared" si="14"/>
        <v/>
      </c>
      <c r="Q205" s="724" t="str">
        <f t="shared" si="14"/>
        <v/>
      </c>
      <c r="R205" s="724" t="str">
        <f t="shared" si="14"/>
        <v/>
      </c>
      <c r="S205" s="724" t="str">
        <f t="shared" si="14"/>
        <v/>
      </c>
      <c r="T205" s="725" t="str">
        <f t="shared" si="14"/>
        <v/>
      </c>
    </row>
    <row r="206" spans="2:20">
      <c r="B206" s="1791"/>
      <c r="C206" s="728">
        <v>3</v>
      </c>
      <c r="D206" s="731" t="s">
        <v>1185</v>
      </c>
      <c r="E206" s="728" t="s">
        <v>1409</v>
      </c>
      <c r="F206" s="726">
        <v>150</v>
      </c>
      <c r="G206" s="726">
        <v>72</v>
      </c>
      <c r="H206" s="727">
        <f t="shared" si="10"/>
        <v>10800</v>
      </c>
      <c r="I206" s="727"/>
      <c r="J206" s="730">
        <f>38/72</f>
        <v>0.52777777777777779</v>
      </c>
      <c r="K206" s="727">
        <v>200000</v>
      </c>
      <c r="L206" s="727">
        <v>86400</v>
      </c>
      <c r="M206" s="724" t="str">
        <f t="shared" si="14"/>
        <v/>
      </c>
      <c r="N206" s="724" t="str">
        <f t="shared" si="14"/>
        <v/>
      </c>
      <c r="O206" s="724" t="str">
        <f t="shared" si="14"/>
        <v/>
      </c>
      <c r="P206" s="724" t="str">
        <f t="shared" si="14"/>
        <v/>
      </c>
      <c r="Q206" s="724" t="str">
        <f t="shared" si="14"/>
        <v/>
      </c>
      <c r="R206" s="724" t="str">
        <f t="shared" si="14"/>
        <v/>
      </c>
      <c r="S206" s="724" t="str">
        <f t="shared" si="14"/>
        <v/>
      </c>
      <c r="T206" s="725" t="str">
        <f t="shared" si="14"/>
        <v/>
      </c>
    </row>
    <row r="207" spans="2:20">
      <c r="B207" s="1791"/>
      <c r="C207" s="728">
        <v>4</v>
      </c>
      <c r="D207" s="731" t="s">
        <v>1503</v>
      </c>
      <c r="E207" s="728" t="s">
        <v>1414</v>
      </c>
      <c r="F207" s="726">
        <v>153</v>
      </c>
      <c r="G207" s="726">
        <v>71</v>
      </c>
      <c r="H207" s="727">
        <f t="shared" si="10"/>
        <v>10863</v>
      </c>
      <c r="I207" s="727"/>
      <c r="J207" s="730">
        <f>39/71</f>
        <v>0.54929577464788737</v>
      </c>
      <c r="K207" s="727">
        <v>224000</v>
      </c>
      <c r="L207" s="727">
        <v>90200</v>
      </c>
      <c r="M207" s="724" t="str">
        <f t="shared" si="14"/>
        <v/>
      </c>
      <c r="N207" s="724" t="str">
        <f t="shared" si="14"/>
        <v/>
      </c>
      <c r="O207" s="724" t="str">
        <f t="shared" si="14"/>
        <v/>
      </c>
      <c r="P207" s="724" t="str">
        <f t="shared" si="14"/>
        <v/>
      </c>
      <c r="Q207" s="724" t="str">
        <f t="shared" si="14"/>
        <v/>
      </c>
      <c r="R207" s="724" t="str">
        <f t="shared" si="14"/>
        <v/>
      </c>
      <c r="S207" s="724" t="str">
        <f t="shared" si="14"/>
        <v/>
      </c>
      <c r="T207" s="725" t="str">
        <f t="shared" si="14"/>
        <v/>
      </c>
    </row>
    <row r="208" spans="2:20">
      <c r="B208" s="1791"/>
      <c r="C208" s="728">
        <v>5</v>
      </c>
      <c r="D208" s="731" t="s">
        <v>1186</v>
      </c>
      <c r="E208" s="728" t="s">
        <v>1403</v>
      </c>
      <c r="F208" s="726">
        <v>171</v>
      </c>
      <c r="G208" s="726">
        <v>74</v>
      </c>
      <c r="H208" s="727">
        <f t="shared" si="10"/>
        <v>12654</v>
      </c>
      <c r="I208" s="727">
        <v>1200</v>
      </c>
      <c r="J208" s="730">
        <f>59/74</f>
        <v>0.79729729729729726</v>
      </c>
      <c r="K208" s="727">
        <v>96000</v>
      </c>
      <c r="L208" s="727">
        <v>103600</v>
      </c>
      <c r="M208" s="724">
        <f t="shared" si="14"/>
        <v>102.70270270270271</v>
      </c>
      <c r="N208" s="724" t="str">
        <f t="shared" si="14"/>
        <v/>
      </c>
      <c r="O208" s="724" t="str">
        <f t="shared" si="14"/>
        <v/>
      </c>
      <c r="P208" s="724" t="str">
        <f t="shared" si="14"/>
        <v/>
      </c>
      <c r="Q208" s="724" t="str">
        <f t="shared" si="14"/>
        <v/>
      </c>
      <c r="R208" s="724" t="str">
        <f t="shared" si="14"/>
        <v/>
      </c>
      <c r="S208" s="724" t="str">
        <f t="shared" si="14"/>
        <v/>
      </c>
      <c r="T208" s="725" t="str">
        <f t="shared" si="14"/>
        <v/>
      </c>
    </row>
    <row r="209" spans="2:20">
      <c r="B209" s="1791"/>
      <c r="C209" s="728">
        <v>6</v>
      </c>
      <c r="D209" s="731" t="s">
        <v>1187</v>
      </c>
      <c r="E209" s="728" t="s">
        <v>1409</v>
      </c>
      <c r="F209" s="726">
        <v>175</v>
      </c>
      <c r="G209" s="726">
        <v>72</v>
      </c>
      <c r="H209" s="727">
        <f t="shared" si="10"/>
        <v>12600</v>
      </c>
      <c r="I209" s="912"/>
      <c r="J209" s="730">
        <f>43/72</f>
        <v>0.59722222222222221</v>
      </c>
      <c r="K209" s="727">
        <v>180000</v>
      </c>
      <c r="L209" s="727">
        <v>110800</v>
      </c>
      <c r="M209" s="724" t="str">
        <f t="shared" si="14"/>
        <v/>
      </c>
      <c r="N209" s="724" t="str">
        <f t="shared" si="14"/>
        <v/>
      </c>
      <c r="O209" s="724" t="str">
        <f t="shared" si="14"/>
        <v/>
      </c>
      <c r="P209" s="724" t="str">
        <f t="shared" si="14"/>
        <v/>
      </c>
      <c r="Q209" s="724" t="str">
        <f t="shared" si="14"/>
        <v/>
      </c>
      <c r="R209" s="724" t="str">
        <f t="shared" si="14"/>
        <v/>
      </c>
      <c r="S209" s="724" t="str">
        <f t="shared" si="14"/>
        <v/>
      </c>
      <c r="T209" s="725" t="str">
        <f t="shared" si="14"/>
        <v/>
      </c>
    </row>
    <row r="210" spans="2:20">
      <c r="B210" s="1791"/>
      <c r="C210" s="728">
        <v>7</v>
      </c>
      <c r="D210" s="731" t="s">
        <v>1492</v>
      </c>
      <c r="E210" s="728" t="s">
        <v>1403</v>
      </c>
      <c r="F210" s="726">
        <v>198</v>
      </c>
      <c r="G210" s="726">
        <v>73</v>
      </c>
      <c r="H210" s="727">
        <f t="shared" si="10"/>
        <v>14454</v>
      </c>
      <c r="I210" s="912" t="s">
        <v>3098</v>
      </c>
      <c r="J210" s="730">
        <f>40/73</f>
        <v>0.54794520547945202</v>
      </c>
      <c r="K210" s="727">
        <v>128000</v>
      </c>
      <c r="L210" s="727">
        <v>116800</v>
      </c>
      <c r="M210" s="724" t="str">
        <f t="shared" si="14"/>
        <v/>
      </c>
      <c r="N210" s="724" t="str">
        <f t="shared" si="14"/>
        <v/>
      </c>
      <c r="O210" s="724" t="str">
        <f t="shared" si="14"/>
        <v/>
      </c>
      <c r="P210" s="724" t="str">
        <f t="shared" si="14"/>
        <v/>
      </c>
      <c r="Q210" s="724" t="str">
        <f t="shared" si="14"/>
        <v/>
      </c>
      <c r="R210" s="724" t="str">
        <f t="shared" si="14"/>
        <v/>
      </c>
      <c r="S210" s="724" t="str">
        <f t="shared" si="14"/>
        <v/>
      </c>
      <c r="T210" s="725" t="str">
        <f t="shared" si="14"/>
        <v/>
      </c>
    </row>
    <row r="211" spans="2:20">
      <c r="B211" s="1791"/>
      <c r="C211" s="728">
        <v>8</v>
      </c>
      <c r="D211" s="731" t="s">
        <v>1189</v>
      </c>
      <c r="E211" s="728" t="s">
        <v>1425</v>
      </c>
      <c r="F211" s="726">
        <v>240</v>
      </c>
      <c r="G211" s="726">
        <v>60</v>
      </c>
      <c r="H211" s="727">
        <f t="shared" si="10"/>
        <v>14400</v>
      </c>
      <c r="I211" s="912" t="s">
        <v>3099</v>
      </c>
      <c r="J211" s="730">
        <f>31/60</f>
        <v>0.51666666666666672</v>
      </c>
      <c r="K211" s="727">
        <v>224000</v>
      </c>
      <c r="L211" s="727">
        <v>128000</v>
      </c>
      <c r="M211" s="724" t="str">
        <f t="shared" si="14"/>
        <v/>
      </c>
      <c r="N211" s="724" t="str">
        <f t="shared" si="14"/>
        <v/>
      </c>
      <c r="O211" s="724" t="str">
        <f t="shared" si="14"/>
        <v/>
      </c>
      <c r="P211" s="724" t="str">
        <f t="shared" si="14"/>
        <v/>
      </c>
      <c r="Q211" s="724" t="str">
        <f t="shared" si="14"/>
        <v/>
      </c>
      <c r="R211" s="724" t="str">
        <f t="shared" si="14"/>
        <v/>
      </c>
      <c r="S211" s="724" t="str">
        <f t="shared" si="14"/>
        <v/>
      </c>
      <c r="T211" s="725" t="str">
        <f t="shared" si="14"/>
        <v/>
      </c>
    </row>
    <row r="212" spans="2:20">
      <c r="B212" s="1791"/>
      <c r="C212" s="728">
        <v>9</v>
      </c>
      <c r="D212" s="731" t="s">
        <v>1190</v>
      </c>
      <c r="E212" s="728" t="s">
        <v>1414</v>
      </c>
      <c r="F212" s="726">
        <v>225</v>
      </c>
      <c r="G212" s="726">
        <v>72</v>
      </c>
      <c r="H212" s="727">
        <f t="shared" si="10"/>
        <v>16200</v>
      </c>
      <c r="I212" s="727"/>
      <c r="J212" s="730">
        <f>41/72</f>
        <v>0.56944444444444442</v>
      </c>
      <c r="K212" s="727">
        <v>148000</v>
      </c>
      <c r="L212" s="727">
        <v>169600</v>
      </c>
      <c r="M212" s="724">
        <f t="shared" si="14"/>
        <v>300</v>
      </c>
      <c r="N212" s="724" t="str">
        <f t="shared" si="14"/>
        <v/>
      </c>
      <c r="O212" s="724" t="str">
        <f t="shared" si="14"/>
        <v/>
      </c>
      <c r="P212" s="724" t="str">
        <f t="shared" si="14"/>
        <v/>
      </c>
      <c r="Q212" s="724" t="str">
        <f t="shared" si="14"/>
        <v/>
      </c>
      <c r="R212" s="724" t="str">
        <f t="shared" si="14"/>
        <v/>
      </c>
      <c r="S212" s="724" t="str">
        <f t="shared" si="14"/>
        <v/>
      </c>
      <c r="T212" s="725" t="str">
        <f t="shared" si="14"/>
        <v/>
      </c>
    </row>
    <row r="213" spans="2:20">
      <c r="B213" s="1791"/>
      <c r="C213" s="728">
        <v>10</v>
      </c>
      <c r="D213" s="731" t="s">
        <v>1433</v>
      </c>
      <c r="E213" s="728" t="s">
        <v>1414</v>
      </c>
      <c r="F213" s="726">
        <v>239</v>
      </c>
      <c r="G213" s="726">
        <v>68</v>
      </c>
      <c r="H213" s="727">
        <f t="shared" si="10"/>
        <v>16252</v>
      </c>
      <c r="I213" s="727">
        <v>13000</v>
      </c>
      <c r="J213" s="730">
        <f>28/68</f>
        <v>0.41176470588235292</v>
      </c>
      <c r="K213" s="727">
        <v>96000</v>
      </c>
      <c r="L213" s="727">
        <v>182400</v>
      </c>
      <c r="M213" s="724">
        <f t="shared" si="14"/>
        <v>1270.5882352941176</v>
      </c>
      <c r="N213" s="724" t="str">
        <f t="shared" si="14"/>
        <v/>
      </c>
      <c r="O213" s="724" t="str">
        <f t="shared" si="14"/>
        <v/>
      </c>
      <c r="P213" s="724" t="str">
        <f t="shared" si="14"/>
        <v/>
      </c>
      <c r="Q213" s="724" t="str">
        <f t="shared" si="14"/>
        <v/>
      </c>
      <c r="R213" s="724" t="str">
        <f t="shared" si="14"/>
        <v/>
      </c>
      <c r="S213" s="724" t="str">
        <f t="shared" si="14"/>
        <v/>
      </c>
      <c r="T213" s="725" t="str">
        <f t="shared" si="14"/>
        <v/>
      </c>
    </row>
    <row r="214" spans="2:20">
      <c r="B214" s="1791"/>
      <c r="C214" s="728">
        <v>11</v>
      </c>
      <c r="D214" s="731" t="s">
        <v>3058</v>
      </c>
      <c r="E214" s="728" t="s">
        <v>1409</v>
      </c>
      <c r="F214" s="726">
        <v>150</v>
      </c>
      <c r="G214" s="726">
        <v>120</v>
      </c>
      <c r="H214" s="727">
        <f t="shared" si="10"/>
        <v>18000</v>
      </c>
      <c r="I214" s="727"/>
      <c r="J214" s="730">
        <f>51/120</f>
        <v>0.42499999999999999</v>
      </c>
      <c r="K214" s="727">
        <f>83000*4</f>
        <v>332000</v>
      </c>
      <c r="L214" s="727">
        <v>240000</v>
      </c>
      <c r="M214" s="724" t="str">
        <f t="shared" si="14"/>
        <v/>
      </c>
      <c r="N214" s="724" t="str">
        <f t="shared" si="14"/>
        <v/>
      </c>
      <c r="O214" s="724" t="str">
        <f t="shared" si="14"/>
        <v/>
      </c>
      <c r="P214" s="724" t="str">
        <f t="shared" si="14"/>
        <v/>
      </c>
      <c r="Q214" s="724" t="str">
        <f t="shared" si="14"/>
        <v/>
      </c>
      <c r="R214" s="724" t="str">
        <f t="shared" si="14"/>
        <v/>
      </c>
      <c r="S214" s="724" t="str">
        <f t="shared" si="14"/>
        <v/>
      </c>
      <c r="T214" s="725" t="str">
        <f t="shared" si="14"/>
        <v/>
      </c>
    </row>
    <row r="215" spans="2:20">
      <c r="B215" s="1791"/>
      <c r="C215" s="728">
        <v>12</v>
      </c>
      <c r="D215" s="731" t="s">
        <v>3062</v>
      </c>
      <c r="E215" s="728" t="s">
        <v>1414</v>
      </c>
      <c r="F215" s="726">
        <v>228</v>
      </c>
      <c r="G215" s="726">
        <v>107</v>
      </c>
      <c r="H215" s="727">
        <f t="shared" si="10"/>
        <v>24396</v>
      </c>
      <c r="I215" s="732"/>
      <c r="J215" s="730">
        <f>43/107</f>
        <v>0.40186915887850466</v>
      </c>
      <c r="K215" s="727">
        <f>74000*4</f>
        <v>296000</v>
      </c>
      <c r="L215" s="727">
        <v>288900</v>
      </c>
      <c r="M215" s="724" t="str">
        <f t="shared" si="14"/>
        <v/>
      </c>
      <c r="N215" s="724" t="str">
        <f t="shared" si="14"/>
        <v/>
      </c>
      <c r="O215" s="724" t="str">
        <f t="shared" si="14"/>
        <v/>
      </c>
      <c r="P215" s="724" t="str">
        <f t="shared" si="14"/>
        <v/>
      </c>
      <c r="Q215" s="724" t="str">
        <f t="shared" si="14"/>
        <v/>
      </c>
      <c r="R215" s="724" t="str">
        <f t="shared" si="14"/>
        <v/>
      </c>
      <c r="S215" s="724" t="str">
        <f t="shared" si="14"/>
        <v/>
      </c>
      <c r="T215" s="725" t="str">
        <f t="shared" si="14"/>
        <v/>
      </c>
    </row>
    <row r="216" spans="2:20">
      <c r="B216" s="1791"/>
      <c r="C216" s="728">
        <v>13</v>
      </c>
      <c r="D216" s="731" t="s">
        <v>2887</v>
      </c>
      <c r="E216" s="728" t="s">
        <v>1392</v>
      </c>
      <c r="F216" s="726">
        <v>243</v>
      </c>
      <c r="G216" s="726">
        <v>115</v>
      </c>
      <c r="H216" s="727">
        <f t="shared" si="10"/>
        <v>27945</v>
      </c>
      <c r="I216" s="726"/>
      <c r="J216" s="730">
        <f>45/115</f>
        <v>0.39130434782608697</v>
      </c>
      <c r="K216" s="727">
        <f>78000*4</f>
        <v>312000</v>
      </c>
      <c r="L216" s="727">
        <v>356500</v>
      </c>
      <c r="M216" s="724">
        <f t="shared" si="14"/>
        <v>386.95652173913044</v>
      </c>
      <c r="N216" s="724" t="str">
        <f t="shared" si="14"/>
        <v/>
      </c>
      <c r="O216" s="724" t="str">
        <f t="shared" si="14"/>
        <v/>
      </c>
      <c r="P216" s="724" t="str">
        <f t="shared" si="14"/>
        <v/>
      </c>
      <c r="Q216" s="724" t="str">
        <f t="shared" si="14"/>
        <v/>
      </c>
      <c r="R216" s="724" t="str">
        <f t="shared" si="14"/>
        <v/>
      </c>
      <c r="S216" s="724" t="str">
        <f t="shared" si="14"/>
        <v/>
      </c>
      <c r="T216" s="725" t="str">
        <f t="shared" si="14"/>
        <v/>
      </c>
    </row>
    <row r="217" spans="2:20">
      <c r="B217" s="1791"/>
      <c r="C217" s="728">
        <v>14</v>
      </c>
      <c r="D217" s="731" t="s">
        <v>3095</v>
      </c>
      <c r="E217" s="728" t="s">
        <v>1414</v>
      </c>
      <c r="F217" s="726">
        <v>287</v>
      </c>
      <c r="G217" s="726">
        <v>110</v>
      </c>
      <c r="H217" s="727">
        <f t="shared" si="10"/>
        <v>31570</v>
      </c>
      <c r="I217" s="727">
        <v>-4000</v>
      </c>
      <c r="J217" s="730">
        <f>27/110</f>
        <v>0.24545454545454545</v>
      </c>
      <c r="K217" s="727">
        <v>314000</v>
      </c>
      <c r="L217" s="727">
        <v>405000</v>
      </c>
      <c r="M217" s="724">
        <f t="shared" si="14"/>
        <v>827.27272727272725</v>
      </c>
      <c r="N217" s="724" t="str">
        <f t="shared" si="14"/>
        <v/>
      </c>
      <c r="O217" s="724" t="str">
        <f t="shared" si="14"/>
        <v/>
      </c>
      <c r="P217" s="724" t="str">
        <f t="shared" si="14"/>
        <v/>
      </c>
      <c r="Q217" s="724" t="str">
        <f t="shared" si="14"/>
        <v/>
      </c>
      <c r="R217" s="724" t="str">
        <f t="shared" si="14"/>
        <v/>
      </c>
      <c r="S217" s="724" t="str">
        <f t="shared" si="14"/>
        <v/>
      </c>
      <c r="T217" s="725" t="str">
        <f t="shared" si="14"/>
        <v/>
      </c>
    </row>
    <row r="218" spans="2:20">
      <c r="B218" s="1791"/>
      <c r="C218" s="728">
        <v>15</v>
      </c>
      <c r="D218" s="731" t="s">
        <v>3056</v>
      </c>
      <c r="E218" s="728" t="s">
        <v>1392</v>
      </c>
      <c r="F218" s="726">
        <v>293</v>
      </c>
      <c r="G218" s="726">
        <v>114</v>
      </c>
      <c r="H218" s="727">
        <f t="shared" si="10"/>
        <v>33402</v>
      </c>
      <c r="I218" s="732">
        <v>-4000</v>
      </c>
      <c r="J218" s="730">
        <f>50/114</f>
        <v>0.43859649122807015</v>
      </c>
      <c r="K218" s="727">
        <f>74000*4</f>
        <v>296000</v>
      </c>
      <c r="L218" s="727">
        <v>421800</v>
      </c>
      <c r="M218" s="724">
        <f t="shared" si="14"/>
        <v>1103.5087719298247</v>
      </c>
      <c r="N218" s="724" t="str">
        <f t="shared" si="14"/>
        <v/>
      </c>
      <c r="O218" s="724" t="str">
        <f t="shared" si="14"/>
        <v/>
      </c>
      <c r="P218" s="724" t="str">
        <f t="shared" si="14"/>
        <v/>
      </c>
      <c r="Q218" s="724" t="str">
        <f t="shared" si="14"/>
        <v/>
      </c>
      <c r="R218" s="724" t="str">
        <f t="shared" si="14"/>
        <v/>
      </c>
      <c r="S218" s="724" t="str">
        <f t="shared" si="14"/>
        <v/>
      </c>
      <c r="T218" s="725" t="str">
        <f t="shared" si="14"/>
        <v/>
      </c>
    </row>
    <row r="219" spans="2:20">
      <c r="B219" s="1791"/>
      <c r="C219" s="728">
        <v>16</v>
      </c>
      <c r="D219" s="731" t="s">
        <v>3060</v>
      </c>
      <c r="E219" s="728" t="s">
        <v>1403</v>
      </c>
      <c r="F219" s="726">
        <v>323</v>
      </c>
      <c r="G219" s="726">
        <v>109</v>
      </c>
      <c r="H219" s="727">
        <f t="shared" si="10"/>
        <v>35207</v>
      </c>
      <c r="I219" s="727"/>
      <c r="J219" s="730">
        <f>44/109</f>
        <v>0.40366972477064222</v>
      </c>
      <c r="K219" s="727">
        <f>83000*4</f>
        <v>332000</v>
      </c>
      <c r="L219" s="727">
        <v>455100</v>
      </c>
      <c r="M219" s="724">
        <f t="shared" si="14"/>
        <v>1129.3577981651376</v>
      </c>
      <c r="N219" s="724" t="str">
        <f t="shared" si="14"/>
        <v/>
      </c>
      <c r="O219" s="724" t="str">
        <f t="shared" si="14"/>
        <v/>
      </c>
      <c r="P219" s="724" t="str">
        <f t="shared" si="14"/>
        <v/>
      </c>
      <c r="Q219" s="724" t="str">
        <f t="shared" si="14"/>
        <v/>
      </c>
      <c r="R219" s="724" t="str">
        <f t="shared" si="14"/>
        <v/>
      </c>
      <c r="S219" s="724" t="str">
        <f t="shared" si="14"/>
        <v/>
      </c>
      <c r="T219" s="725" t="str">
        <f t="shared" si="14"/>
        <v/>
      </c>
    </row>
    <row r="220" spans="2:20">
      <c r="B220" s="1791"/>
      <c r="C220" s="728">
        <v>17</v>
      </c>
      <c r="D220" s="731" t="s">
        <v>1579</v>
      </c>
      <c r="E220" s="728" t="s">
        <v>1425</v>
      </c>
      <c r="F220" s="726">
        <v>314</v>
      </c>
      <c r="G220" s="726">
        <v>104</v>
      </c>
      <c r="H220" s="727">
        <f t="shared" si="10"/>
        <v>32656</v>
      </c>
      <c r="I220" s="726"/>
      <c r="J220" s="730">
        <f>50/104</f>
        <v>0.48076923076923078</v>
      </c>
      <c r="K220" s="727">
        <v>120000</v>
      </c>
      <c r="L220" s="727">
        <v>486800</v>
      </c>
      <c r="M220" s="724">
        <f t="shared" si="14"/>
        <v>3526.9230769230771</v>
      </c>
      <c r="N220" s="724">
        <f t="shared" si="14"/>
        <v>1186.5384615384614</v>
      </c>
      <c r="O220" s="724">
        <f t="shared" si="14"/>
        <v>406.4102564102563</v>
      </c>
      <c r="P220" s="724">
        <f t="shared" si="14"/>
        <v>16.346153846153847</v>
      </c>
      <c r="Q220" s="724" t="str">
        <f t="shared" si="14"/>
        <v/>
      </c>
      <c r="R220" s="724" t="str">
        <f t="shared" si="14"/>
        <v/>
      </c>
      <c r="S220" s="724" t="str">
        <f t="shared" si="14"/>
        <v/>
      </c>
      <c r="T220" s="725" t="str">
        <f t="shared" si="14"/>
        <v/>
      </c>
    </row>
    <row r="221" spans="2:20">
      <c r="B221" s="1791"/>
      <c r="C221" s="728">
        <v>18</v>
      </c>
      <c r="D221" s="731" t="s">
        <v>1182</v>
      </c>
      <c r="E221" s="728" t="s">
        <v>1392</v>
      </c>
      <c r="F221" s="726">
        <v>298</v>
      </c>
      <c r="G221" s="726">
        <v>114</v>
      </c>
      <c r="H221" s="727">
        <f t="shared" si="10"/>
        <v>33972</v>
      </c>
      <c r="I221" s="727"/>
      <c r="J221" s="730">
        <f>54/114</f>
        <v>0.47368421052631576</v>
      </c>
      <c r="K221" s="727">
        <v>300000</v>
      </c>
      <c r="L221" s="727">
        <v>538400</v>
      </c>
      <c r="M221" s="724">
        <f t="shared" si="14"/>
        <v>2091.2280701754385</v>
      </c>
      <c r="N221" s="724" t="str">
        <f t="shared" si="14"/>
        <v/>
      </c>
      <c r="O221" s="724" t="str">
        <f t="shared" si="14"/>
        <v/>
      </c>
      <c r="P221" s="724" t="str">
        <f t="shared" si="14"/>
        <v/>
      </c>
      <c r="Q221" s="724" t="str">
        <f t="shared" si="14"/>
        <v/>
      </c>
      <c r="R221" s="724" t="str">
        <f t="shared" si="14"/>
        <v/>
      </c>
      <c r="S221" s="724" t="str">
        <f t="shared" si="14"/>
        <v/>
      </c>
      <c r="T221" s="725" t="str">
        <f t="shared" si="14"/>
        <v/>
      </c>
    </row>
    <row r="222" spans="2:20">
      <c r="B222" s="1791"/>
      <c r="C222" s="728">
        <v>19</v>
      </c>
      <c r="D222" s="731" t="s">
        <v>965</v>
      </c>
      <c r="E222" s="728" t="s">
        <v>1425</v>
      </c>
      <c r="F222" s="726">
        <v>320</v>
      </c>
      <c r="G222" s="726">
        <v>115</v>
      </c>
      <c r="H222" s="727">
        <f t="shared" si="10"/>
        <v>36800</v>
      </c>
      <c r="I222" s="726"/>
      <c r="J222" s="730">
        <f>35/115</f>
        <v>0.30434782608695654</v>
      </c>
      <c r="K222" s="727">
        <f>87000*3</f>
        <v>261000</v>
      </c>
      <c r="L222" s="727">
        <v>540300</v>
      </c>
      <c r="M222" s="724">
        <f t="shared" si="14"/>
        <v>2428.695652173913</v>
      </c>
      <c r="N222" s="724">
        <f t="shared" si="14"/>
        <v>79.565217391304344</v>
      </c>
      <c r="O222" s="724" t="str">
        <f t="shared" si="14"/>
        <v/>
      </c>
      <c r="P222" s="724" t="str">
        <f t="shared" si="14"/>
        <v/>
      </c>
      <c r="Q222" s="724" t="str">
        <f t="shared" si="14"/>
        <v/>
      </c>
      <c r="R222" s="724" t="str">
        <f t="shared" si="14"/>
        <v/>
      </c>
      <c r="S222" s="724" t="str">
        <f t="shared" si="14"/>
        <v/>
      </c>
      <c r="T222" s="725" t="str">
        <f t="shared" si="14"/>
        <v/>
      </c>
    </row>
    <row r="223" spans="2:20">
      <c r="B223" s="1791"/>
      <c r="C223" s="728">
        <v>20</v>
      </c>
      <c r="D223" s="731" t="s">
        <v>2883</v>
      </c>
      <c r="E223" s="728" t="s">
        <v>1414</v>
      </c>
      <c r="F223" s="726">
        <v>300</v>
      </c>
      <c r="G223" s="726">
        <v>127</v>
      </c>
      <c r="H223" s="727">
        <f t="shared" si="10"/>
        <v>38100</v>
      </c>
      <c r="I223" s="727">
        <v>12000</v>
      </c>
      <c r="J223" s="730">
        <f>73/127</f>
        <v>0.57480314960629919</v>
      </c>
      <c r="K223" s="727">
        <v>385000</v>
      </c>
      <c r="L223" s="727">
        <v>607500</v>
      </c>
      <c r="M223" s="724">
        <f t="shared" si="14"/>
        <v>1751.9685039370079</v>
      </c>
      <c r="N223" s="724" t="str">
        <f t="shared" si="14"/>
        <v/>
      </c>
      <c r="O223" s="724" t="str">
        <f t="shared" si="14"/>
        <v/>
      </c>
      <c r="P223" s="724" t="str">
        <f t="shared" si="14"/>
        <v/>
      </c>
      <c r="Q223" s="724" t="str">
        <f t="shared" si="14"/>
        <v/>
      </c>
      <c r="R223" s="724" t="str">
        <f t="shared" si="14"/>
        <v/>
      </c>
      <c r="S223" s="724" t="str">
        <f t="shared" si="14"/>
        <v/>
      </c>
      <c r="T223" s="725" t="str">
        <f t="shared" si="14"/>
        <v/>
      </c>
    </row>
    <row r="224" spans="2:20">
      <c r="B224" s="1791"/>
      <c r="C224" s="728">
        <v>21</v>
      </c>
      <c r="D224" s="731" t="s">
        <v>967</v>
      </c>
      <c r="E224" s="728" t="s">
        <v>1406</v>
      </c>
      <c r="F224" s="726">
        <v>362</v>
      </c>
      <c r="G224" s="726">
        <v>116</v>
      </c>
      <c r="H224" s="727">
        <f t="shared" si="10"/>
        <v>41992</v>
      </c>
      <c r="I224" s="912"/>
      <c r="J224" s="730">
        <f>40/116</f>
        <v>0.34482758620689657</v>
      </c>
      <c r="K224" s="727">
        <v>279000</v>
      </c>
      <c r="L224" s="727">
        <v>617800</v>
      </c>
      <c r="M224" s="724">
        <f t="shared" si="14"/>
        <v>2920.6896551724139</v>
      </c>
      <c r="N224" s="724">
        <f t="shared" si="14"/>
        <v>257.75862068965517</v>
      </c>
      <c r="O224" s="724" t="str">
        <f t="shared" si="14"/>
        <v/>
      </c>
      <c r="P224" s="724" t="str">
        <f t="shared" si="14"/>
        <v/>
      </c>
      <c r="Q224" s="724" t="str">
        <f t="shared" si="14"/>
        <v/>
      </c>
      <c r="R224" s="724" t="str">
        <f t="shared" si="14"/>
        <v/>
      </c>
      <c r="S224" s="724" t="str">
        <f t="shared" si="14"/>
        <v/>
      </c>
      <c r="T224" s="725" t="str">
        <f t="shared" si="14"/>
        <v/>
      </c>
    </row>
    <row r="225" spans="2:20">
      <c r="B225" s="1791"/>
      <c r="C225" s="728">
        <v>22</v>
      </c>
      <c r="D225" s="731" t="s">
        <v>1517</v>
      </c>
      <c r="E225" s="728" t="s">
        <v>1409</v>
      </c>
      <c r="F225" s="726">
        <v>384</v>
      </c>
      <c r="G225" s="726">
        <v>107</v>
      </c>
      <c r="H225" s="727">
        <f t="shared" si="10"/>
        <v>41088</v>
      </c>
      <c r="I225" s="727"/>
      <c r="J225" s="730">
        <f>47/107</f>
        <v>0.43925233644859812</v>
      </c>
      <c r="K225" s="727">
        <v>240000</v>
      </c>
      <c r="L225" s="727">
        <v>621500</v>
      </c>
      <c r="M225" s="724">
        <f t="shared" si="14"/>
        <v>3565.4205607476633</v>
      </c>
      <c r="N225" s="724">
        <f t="shared" si="14"/>
        <v>661.21495327102809</v>
      </c>
      <c r="O225" s="724" t="str">
        <f t="shared" si="14"/>
        <v/>
      </c>
      <c r="P225" s="724" t="str">
        <f t="shared" si="14"/>
        <v/>
      </c>
      <c r="Q225" s="724" t="str">
        <f t="shared" si="14"/>
        <v/>
      </c>
      <c r="R225" s="724" t="str">
        <f t="shared" si="14"/>
        <v/>
      </c>
      <c r="S225" s="724" t="str">
        <f t="shared" si="14"/>
        <v/>
      </c>
      <c r="T225" s="725" t="str">
        <f t="shared" si="14"/>
        <v/>
      </c>
    </row>
    <row r="226" spans="2:20" ht="23.25" thickBot="1">
      <c r="B226" s="1792"/>
      <c r="C226" s="748">
        <v>23</v>
      </c>
      <c r="D226" s="913" t="s">
        <v>3100</v>
      </c>
      <c r="E226" s="748" t="s">
        <v>1403</v>
      </c>
      <c r="F226" s="750">
        <v>446</v>
      </c>
      <c r="G226" s="750">
        <v>107</v>
      </c>
      <c r="H226" s="751">
        <f t="shared" si="10"/>
        <v>47722</v>
      </c>
      <c r="I226" s="751"/>
      <c r="J226" s="752">
        <f>53/107</f>
        <v>0.49532710280373832</v>
      </c>
      <c r="K226" s="751">
        <v>350000</v>
      </c>
      <c r="L226" s="751">
        <v>627100</v>
      </c>
      <c r="M226" s="741">
        <f t="shared" si="14"/>
        <v>2589.7196261682243</v>
      </c>
      <c r="N226" s="741" t="str">
        <f t="shared" si="14"/>
        <v/>
      </c>
      <c r="O226" s="741" t="str">
        <f t="shared" si="14"/>
        <v/>
      </c>
      <c r="P226" s="741" t="str">
        <f t="shared" si="14"/>
        <v/>
      </c>
      <c r="Q226" s="741" t="str">
        <f t="shared" si="14"/>
        <v/>
      </c>
      <c r="R226" s="741" t="str">
        <f t="shared" si="14"/>
        <v/>
      </c>
      <c r="S226" s="741" t="str">
        <f t="shared" si="14"/>
        <v/>
      </c>
      <c r="T226" s="742" t="str">
        <f t="shared" si="14"/>
        <v/>
      </c>
    </row>
    <row r="227" spans="2:20">
      <c r="B227" s="1790">
        <v>6</v>
      </c>
      <c r="C227" s="745">
        <v>1</v>
      </c>
      <c r="D227" s="911" t="s">
        <v>1463</v>
      </c>
      <c r="E227" s="745" t="s">
        <v>1425</v>
      </c>
      <c r="F227" s="743">
        <v>92</v>
      </c>
      <c r="G227" s="743">
        <v>69</v>
      </c>
      <c r="H227" s="744">
        <f>F227*G227</f>
        <v>6348</v>
      </c>
      <c r="I227" s="744">
        <v>-4000</v>
      </c>
      <c r="J227" s="747">
        <f>(22-4+20)/69</f>
        <v>0.55072463768115942</v>
      </c>
      <c r="K227" s="744">
        <v>108000</v>
      </c>
      <c r="L227" s="744">
        <v>58300</v>
      </c>
      <c r="M227" s="739" t="str">
        <f t="shared" si="14"/>
        <v/>
      </c>
      <c r="N227" s="739" t="str">
        <f t="shared" si="14"/>
        <v/>
      </c>
      <c r="O227" s="739" t="str">
        <f t="shared" si="14"/>
        <v/>
      </c>
      <c r="P227" s="739" t="str">
        <f t="shared" si="14"/>
        <v/>
      </c>
      <c r="Q227" s="739" t="str">
        <f t="shared" si="14"/>
        <v/>
      </c>
      <c r="R227" s="739" t="str">
        <f t="shared" si="14"/>
        <v/>
      </c>
      <c r="S227" s="739" t="str">
        <f t="shared" si="14"/>
        <v/>
      </c>
      <c r="T227" s="740" t="str">
        <f t="shared" si="14"/>
        <v/>
      </c>
    </row>
    <row r="228" spans="2:20">
      <c r="B228" s="1791"/>
      <c r="C228" s="728">
        <v>2</v>
      </c>
      <c r="D228" s="731" t="s">
        <v>1456</v>
      </c>
      <c r="E228" s="728" t="s">
        <v>1409</v>
      </c>
      <c r="F228" s="726">
        <v>125</v>
      </c>
      <c r="G228" s="726">
        <v>72</v>
      </c>
      <c r="H228" s="727">
        <f t="shared" ref="H228:H246" si="15">F228*G228</f>
        <v>9000</v>
      </c>
      <c r="I228" s="727"/>
      <c r="J228" s="730">
        <f>(11+10)/72</f>
        <v>0.29166666666666669</v>
      </c>
      <c r="K228" s="727">
        <v>108000</v>
      </c>
      <c r="L228" s="727">
        <v>82000</v>
      </c>
      <c r="M228" s="724" t="str">
        <f t="shared" si="14"/>
        <v/>
      </c>
      <c r="N228" s="724" t="str">
        <f t="shared" si="14"/>
        <v/>
      </c>
      <c r="O228" s="724" t="str">
        <f t="shared" si="14"/>
        <v/>
      </c>
      <c r="P228" s="724" t="str">
        <f t="shared" si="14"/>
        <v/>
      </c>
      <c r="Q228" s="724" t="str">
        <f t="shared" si="14"/>
        <v/>
      </c>
      <c r="R228" s="724" t="str">
        <f t="shared" si="14"/>
        <v/>
      </c>
      <c r="S228" s="724" t="str">
        <f t="shared" si="14"/>
        <v/>
      </c>
      <c r="T228" s="725" t="str">
        <f t="shared" si="14"/>
        <v/>
      </c>
    </row>
    <row r="229" spans="2:20">
      <c r="B229" s="1791"/>
      <c r="C229" s="728">
        <v>3</v>
      </c>
      <c r="D229" s="731" t="s">
        <v>1413</v>
      </c>
      <c r="E229" s="728" t="s">
        <v>1414</v>
      </c>
      <c r="F229" s="726">
        <v>152</v>
      </c>
      <c r="G229" s="726">
        <v>77</v>
      </c>
      <c r="H229" s="727">
        <f t="shared" si="15"/>
        <v>11704</v>
      </c>
      <c r="I229" s="727"/>
      <c r="J229" s="730">
        <f>(9+13)/77</f>
        <v>0.2857142857142857</v>
      </c>
      <c r="K229" s="727">
        <v>108000</v>
      </c>
      <c r="L229" s="727">
        <v>140130</v>
      </c>
      <c r="M229" s="724">
        <f t="shared" si="14"/>
        <v>417.27272727272725</v>
      </c>
      <c r="N229" s="724" t="str">
        <f t="shared" si="14"/>
        <v/>
      </c>
      <c r="O229" s="724" t="str">
        <f t="shared" si="14"/>
        <v/>
      </c>
      <c r="P229" s="724" t="str">
        <f t="shared" si="14"/>
        <v/>
      </c>
      <c r="Q229" s="724" t="str">
        <f t="shared" si="14"/>
        <v/>
      </c>
      <c r="R229" s="724" t="str">
        <f t="shared" si="14"/>
        <v/>
      </c>
      <c r="S229" s="724" t="str">
        <f t="shared" si="14"/>
        <v/>
      </c>
      <c r="T229" s="725" t="str">
        <f t="shared" si="14"/>
        <v/>
      </c>
    </row>
    <row r="230" spans="2:20">
      <c r="B230" s="1791"/>
      <c r="C230" s="728">
        <v>4</v>
      </c>
      <c r="D230" s="731" t="s">
        <v>1191</v>
      </c>
      <c r="E230" s="728" t="s">
        <v>1409</v>
      </c>
      <c r="F230" s="726">
        <v>174</v>
      </c>
      <c r="G230" s="726">
        <v>78</v>
      </c>
      <c r="H230" s="727">
        <f t="shared" si="15"/>
        <v>13572</v>
      </c>
      <c r="I230" s="727"/>
      <c r="J230" s="730">
        <f>(15+17+16)/78</f>
        <v>0.61538461538461542</v>
      </c>
      <c r="K230" s="727">
        <v>45000</v>
      </c>
      <c r="L230" s="727">
        <v>162100</v>
      </c>
      <c r="M230" s="724">
        <f t="shared" si="14"/>
        <v>1501.2820512820513</v>
      </c>
      <c r="N230" s="724">
        <f t="shared" si="14"/>
        <v>462.17948717948718</v>
      </c>
      <c r="O230" s="724">
        <f t="shared" si="14"/>
        <v>115.81196581196585</v>
      </c>
      <c r="P230" s="724" t="str">
        <f t="shared" si="14"/>
        <v/>
      </c>
      <c r="Q230" s="724" t="str">
        <f t="shared" si="14"/>
        <v/>
      </c>
      <c r="R230" s="724" t="str">
        <f t="shared" si="14"/>
        <v/>
      </c>
      <c r="S230" s="724" t="str">
        <f t="shared" si="14"/>
        <v/>
      </c>
      <c r="T230" s="725" t="str">
        <f t="shared" si="14"/>
        <v/>
      </c>
    </row>
    <row r="231" spans="2:20">
      <c r="B231" s="1791"/>
      <c r="C231" s="728">
        <v>5</v>
      </c>
      <c r="D231" s="731" t="s">
        <v>967</v>
      </c>
      <c r="E231" s="728" t="s">
        <v>1406</v>
      </c>
      <c r="F231" s="726">
        <v>235</v>
      </c>
      <c r="G231" s="726">
        <v>69</v>
      </c>
      <c r="H231" s="727">
        <f t="shared" si="15"/>
        <v>16215</v>
      </c>
      <c r="I231" s="727"/>
      <c r="J231" s="730">
        <f>(7+9)/69</f>
        <v>0.2318840579710145</v>
      </c>
      <c r="K231" s="727">
        <v>90000</v>
      </c>
      <c r="L231" s="727">
        <v>196300</v>
      </c>
      <c r="M231" s="724">
        <f t="shared" si="14"/>
        <v>1540.5797101449275</v>
      </c>
      <c r="N231" s="724">
        <f t="shared" si="14"/>
        <v>118.1159420289855</v>
      </c>
      <c r="O231" s="724" t="str">
        <f t="shared" si="14"/>
        <v/>
      </c>
      <c r="P231" s="724" t="str">
        <f t="shared" si="14"/>
        <v/>
      </c>
      <c r="Q231" s="724" t="str">
        <f t="shared" si="14"/>
        <v/>
      </c>
      <c r="R231" s="724" t="str">
        <f t="shared" si="14"/>
        <v/>
      </c>
      <c r="S231" s="724" t="str">
        <f t="shared" si="14"/>
        <v/>
      </c>
      <c r="T231" s="725" t="str">
        <f t="shared" si="14"/>
        <v/>
      </c>
    </row>
    <row r="232" spans="2:20">
      <c r="B232" s="1791"/>
      <c r="C232" s="728">
        <v>6</v>
      </c>
      <c r="D232" s="731" t="s">
        <v>1183</v>
      </c>
      <c r="E232" s="728" t="s">
        <v>1425</v>
      </c>
      <c r="F232" s="726">
        <v>212</v>
      </c>
      <c r="G232" s="726">
        <v>81</v>
      </c>
      <c r="H232" s="727">
        <f t="shared" si="15"/>
        <v>17172</v>
      </c>
      <c r="I232" s="727" t="s">
        <v>3101</v>
      </c>
      <c r="J232" s="730">
        <f>(12+9+22)/81</f>
        <v>0.53086419753086422</v>
      </c>
      <c r="K232" s="727">
        <f>56000*3</f>
        <v>168000</v>
      </c>
      <c r="L232" s="727">
        <v>240850</v>
      </c>
      <c r="M232" s="724">
        <f t="shared" si="14"/>
        <v>899.38271604938268</v>
      </c>
      <c r="N232" s="724" t="str">
        <f t="shared" si="14"/>
        <v/>
      </c>
      <c r="O232" s="724" t="str">
        <f t="shared" si="14"/>
        <v/>
      </c>
      <c r="P232" s="724" t="str">
        <f t="shared" si="14"/>
        <v/>
      </c>
      <c r="Q232" s="724" t="str">
        <f t="shared" si="14"/>
        <v/>
      </c>
      <c r="R232" s="724" t="str">
        <f t="shared" si="14"/>
        <v/>
      </c>
      <c r="S232" s="724" t="str">
        <f t="shared" si="14"/>
        <v/>
      </c>
      <c r="T232" s="725" t="str">
        <f t="shared" si="14"/>
        <v/>
      </c>
    </row>
    <row r="233" spans="2:20">
      <c r="B233" s="1791"/>
      <c r="C233" s="728">
        <v>7</v>
      </c>
      <c r="D233" s="731" t="s">
        <v>1324</v>
      </c>
      <c r="E233" s="728" t="s">
        <v>1403</v>
      </c>
      <c r="F233" s="726">
        <v>261</v>
      </c>
      <c r="G233" s="726">
        <v>69</v>
      </c>
      <c r="H233" s="727">
        <f t="shared" si="15"/>
        <v>18009</v>
      </c>
      <c r="I233" s="912"/>
      <c r="J233" s="730">
        <f>(16+9+12)/69</f>
        <v>0.53623188405797106</v>
      </c>
      <c r="K233" s="727">
        <v>243000</v>
      </c>
      <c r="L233" s="727">
        <v>284600</v>
      </c>
      <c r="M233" s="724">
        <f t="shared" si="14"/>
        <v>602.89855072463763</v>
      </c>
      <c r="N233" s="724" t="str">
        <f t="shared" si="14"/>
        <v/>
      </c>
      <c r="O233" s="724" t="str">
        <f t="shared" si="14"/>
        <v/>
      </c>
      <c r="P233" s="724" t="str">
        <f t="shared" si="14"/>
        <v/>
      </c>
      <c r="Q233" s="724" t="str">
        <f t="shared" si="14"/>
        <v/>
      </c>
      <c r="R233" s="724" t="str">
        <f t="shared" si="14"/>
        <v/>
      </c>
      <c r="S233" s="724" t="str">
        <f t="shared" si="14"/>
        <v/>
      </c>
      <c r="T233" s="725" t="str">
        <f t="shared" si="14"/>
        <v/>
      </c>
    </row>
    <row r="234" spans="2:20">
      <c r="B234" s="1791"/>
      <c r="C234" s="728">
        <v>8</v>
      </c>
      <c r="D234" s="731" t="s">
        <v>2844</v>
      </c>
      <c r="E234" s="728" t="s">
        <v>1406</v>
      </c>
      <c r="F234" s="726">
        <v>300</v>
      </c>
      <c r="G234" s="726">
        <v>75</v>
      </c>
      <c r="H234" s="727">
        <f t="shared" si="15"/>
        <v>22500</v>
      </c>
      <c r="I234" s="726">
        <v>400</v>
      </c>
      <c r="J234" s="730">
        <f>(5+6+11+12)/75</f>
        <v>0.45333333333333331</v>
      </c>
      <c r="K234" s="727">
        <v>168000</v>
      </c>
      <c r="L234" s="727">
        <v>328750</v>
      </c>
      <c r="M234" s="724">
        <f t="shared" si="14"/>
        <v>2143.3333333333335</v>
      </c>
      <c r="N234" s="724" t="str">
        <f t="shared" si="14"/>
        <v/>
      </c>
      <c r="O234" s="724" t="str">
        <f t="shared" si="14"/>
        <v/>
      </c>
      <c r="P234" s="724" t="str">
        <f t="shared" si="14"/>
        <v/>
      </c>
      <c r="Q234" s="724" t="str">
        <f t="shared" si="14"/>
        <v/>
      </c>
      <c r="R234" s="724" t="str">
        <f t="shared" si="14"/>
        <v/>
      </c>
      <c r="S234" s="724" t="str">
        <f t="shared" si="14"/>
        <v/>
      </c>
      <c r="T234" s="725" t="str">
        <f t="shared" si="14"/>
        <v/>
      </c>
    </row>
    <row r="235" spans="2:20">
      <c r="B235" s="1791"/>
      <c r="C235" s="728">
        <v>9</v>
      </c>
      <c r="D235" s="731" t="s">
        <v>1729</v>
      </c>
      <c r="E235" s="728" t="s">
        <v>1403</v>
      </c>
      <c r="F235" s="726">
        <v>297</v>
      </c>
      <c r="G235" s="726">
        <v>82</v>
      </c>
      <c r="H235" s="727">
        <f t="shared" si="15"/>
        <v>24354</v>
      </c>
      <c r="I235" s="726"/>
      <c r="J235" s="730">
        <f>(18+12+12)/82</f>
        <v>0.51219512195121952</v>
      </c>
      <c r="K235" s="727">
        <v>243000</v>
      </c>
      <c r="L235" s="727">
        <v>452800</v>
      </c>
      <c r="M235" s="724">
        <f t="shared" si="14"/>
        <v>2558.5365853658536</v>
      </c>
      <c r="N235" s="724" t="str">
        <f t="shared" si="14"/>
        <v/>
      </c>
      <c r="O235" s="724" t="str">
        <f t="shared" si="14"/>
        <v/>
      </c>
      <c r="P235" s="724" t="str">
        <f t="shared" si="14"/>
        <v/>
      </c>
      <c r="Q235" s="724" t="str">
        <f t="shared" si="14"/>
        <v/>
      </c>
      <c r="R235" s="724" t="str">
        <f t="shared" si="14"/>
        <v/>
      </c>
      <c r="S235" s="724" t="str">
        <f t="shared" si="14"/>
        <v/>
      </c>
      <c r="T235" s="725" t="str">
        <f t="shared" ref="M235:T267" si="16">IF(($L235/T$1-$K235)/$G235&gt;0,($L235/T$1-$K235)/$G235,"")</f>
        <v/>
      </c>
    </row>
    <row r="236" spans="2:20">
      <c r="B236" s="1791"/>
      <c r="C236" s="728">
        <v>10</v>
      </c>
      <c r="D236" s="731" t="s">
        <v>1692</v>
      </c>
      <c r="E236" s="728" t="s">
        <v>1392</v>
      </c>
      <c r="F236" s="726">
        <v>304</v>
      </c>
      <c r="G236" s="726">
        <v>86</v>
      </c>
      <c r="H236" s="727">
        <f t="shared" si="15"/>
        <v>26144</v>
      </c>
      <c r="I236" s="727"/>
      <c r="J236" s="730">
        <f>(9+9+10+11+21)/86</f>
        <v>0.69767441860465118</v>
      </c>
      <c r="K236" s="727">
        <v>170000</v>
      </c>
      <c r="L236" s="727">
        <v>548800</v>
      </c>
      <c r="M236" s="724">
        <f t="shared" si="16"/>
        <v>4404.6511627906975</v>
      </c>
      <c r="N236" s="724">
        <f t="shared" si="16"/>
        <v>1213.953488372093</v>
      </c>
      <c r="O236" s="724">
        <f t="shared" si="16"/>
        <v>150.38759689922492</v>
      </c>
      <c r="P236" s="724" t="str">
        <f t="shared" si="16"/>
        <v/>
      </c>
      <c r="Q236" s="724" t="str">
        <f t="shared" si="16"/>
        <v/>
      </c>
      <c r="R236" s="724" t="str">
        <f t="shared" si="16"/>
        <v/>
      </c>
      <c r="S236" s="724" t="str">
        <f t="shared" si="16"/>
        <v/>
      </c>
      <c r="T236" s="725" t="str">
        <f t="shared" si="16"/>
        <v/>
      </c>
    </row>
    <row r="237" spans="2:20">
      <c r="B237" s="1791"/>
      <c r="C237" s="728">
        <v>11</v>
      </c>
      <c r="D237" s="731" t="s">
        <v>1438</v>
      </c>
      <c r="E237" s="728" t="s">
        <v>1409</v>
      </c>
      <c r="F237" s="726">
        <v>235</v>
      </c>
      <c r="G237" s="726">
        <v>119</v>
      </c>
      <c r="H237" s="727">
        <f t="shared" si="15"/>
        <v>27965</v>
      </c>
      <c r="I237" s="726"/>
      <c r="J237" s="730">
        <f>(10+10+13+19)/119</f>
        <v>0.43697478991596639</v>
      </c>
      <c r="K237" s="727">
        <v>240000</v>
      </c>
      <c r="L237" s="727">
        <v>932250</v>
      </c>
      <c r="M237" s="724">
        <f t="shared" si="16"/>
        <v>5817.226890756303</v>
      </c>
      <c r="N237" s="724">
        <f t="shared" si="16"/>
        <v>1900.2100840336134</v>
      </c>
      <c r="O237" s="724">
        <f t="shared" si="16"/>
        <v>594.53781512605042</v>
      </c>
      <c r="P237" s="724" t="str">
        <f t="shared" si="16"/>
        <v/>
      </c>
      <c r="Q237" s="724" t="str">
        <f t="shared" si="16"/>
        <v/>
      </c>
      <c r="R237" s="724" t="str">
        <f t="shared" si="16"/>
        <v/>
      </c>
      <c r="S237" s="724" t="str">
        <f t="shared" si="16"/>
        <v/>
      </c>
      <c r="T237" s="725" t="str">
        <f t="shared" si="16"/>
        <v/>
      </c>
    </row>
    <row r="238" spans="2:20">
      <c r="B238" s="1791"/>
      <c r="C238" s="728">
        <v>12</v>
      </c>
      <c r="D238" s="731" t="s">
        <v>1429</v>
      </c>
      <c r="E238" s="728" t="s">
        <v>1403</v>
      </c>
      <c r="F238" s="726">
        <v>259</v>
      </c>
      <c r="G238" s="726">
        <v>115</v>
      </c>
      <c r="H238" s="727">
        <f t="shared" si="15"/>
        <v>29785</v>
      </c>
      <c r="I238" s="727"/>
      <c r="J238" s="730">
        <f>(11+6+34+9)/115</f>
        <v>0.52173913043478259</v>
      </c>
      <c r="K238" s="727">
        <v>280000</v>
      </c>
      <c r="L238" s="727">
        <v>958750</v>
      </c>
      <c r="M238" s="724">
        <f t="shared" si="16"/>
        <v>5902.173913043478</v>
      </c>
      <c r="N238" s="724">
        <f t="shared" si="16"/>
        <v>1733.695652173913</v>
      </c>
      <c r="O238" s="724">
        <f t="shared" si="16"/>
        <v>344.20289855072446</v>
      </c>
      <c r="P238" s="724" t="str">
        <f t="shared" si="16"/>
        <v/>
      </c>
      <c r="Q238" s="724" t="str">
        <f t="shared" si="16"/>
        <v/>
      </c>
      <c r="R238" s="724" t="str">
        <f t="shared" si="16"/>
        <v/>
      </c>
      <c r="S238" s="724" t="str">
        <f t="shared" si="16"/>
        <v/>
      </c>
      <c r="T238" s="725" t="str">
        <f t="shared" si="16"/>
        <v/>
      </c>
    </row>
    <row r="239" spans="2:20">
      <c r="B239" s="1791"/>
      <c r="C239" s="728">
        <v>13</v>
      </c>
      <c r="D239" s="731" t="s">
        <v>1424</v>
      </c>
      <c r="E239" s="728" t="s">
        <v>1425</v>
      </c>
      <c r="F239" s="726">
        <v>255</v>
      </c>
      <c r="G239" s="726">
        <v>124</v>
      </c>
      <c r="H239" s="727">
        <f t="shared" si="15"/>
        <v>31620</v>
      </c>
      <c r="I239" s="727"/>
      <c r="J239" s="730">
        <f>(8+6+7+14+20)/124</f>
        <v>0.44354838709677419</v>
      </c>
      <c r="K239" s="727">
        <v>1000000</v>
      </c>
      <c r="L239" s="727">
        <v>1095000</v>
      </c>
      <c r="M239" s="724">
        <f t="shared" si="16"/>
        <v>766.12903225806451</v>
      </c>
      <c r="N239" s="724" t="str">
        <f t="shared" si="16"/>
        <v/>
      </c>
      <c r="O239" s="724" t="str">
        <f t="shared" si="16"/>
        <v/>
      </c>
      <c r="P239" s="724" t="str">
        <f t="shared" si="16"/>
        <v/>
      </c>
      <c r="Q239" s="724" t="str">
        <f t="shared" si="16"/>
        <v/>
      </c>
      <c r="R239" s="724" t="str">
        <f t="shared" si="16"/>
        <v/>
      </c>
      <c r="S239" s="724" t="str">
        <f t="shared" si="16"/>
        <v/>
      </c>
      <c r="T239" s="725" t="str">
        <f t="shared" si="16"/>
        <v/>
      </c>
    </row>
    <row r="240" spans="2:20">
      <c r="B240" s="1791"/>
      <c r="C240" s="728">
        <v>14</v>
      </c>
      <c r="D240" s="731" t="s">
        <v>2852</v>
      </c>
      <c r="E240" s="728" t="s">
        <v>1409</v>
      </c>
      <c r="F240" s="726">
        <v>303</v>
      </c>
      <c r="G240" s="726">
        <v>110</v>
      </c>
      <c r="H240" s="727">
        <f t="shared" si="15"/>
        <v>33330</v>
      </c>
      <c r="I240" s="732"/>
      <c r="J240" s="730">
        <f>(12+12+14)/110</f>
        <v>0.34545454545454546</v>
      </c>
      <c r="K240" s="727">
        <f>117000*3</f>
        <v>351000</v>
      </c>
      <c r="L240" s="727">
        <v>1178900</v>
      </c>
      <c r="M240" s="724">
        <f t="shared" si="16"/>
        <v>7526.363636363636</v>
      </c>
      <c r="N240" s="724">
        <f t="shared" si="16"/>
        <v>2167.7272727272725</v>
      </c>
      <c r="O240" s="724">
        <f t="shared" si="16"/>
        <v>381.51515151515167</v>
      </c>
      <c r="P240" s="724" t="str">
        <f t="shared" si="16"/>
        <v/>
      </c>
      <c r="Q240" s="724" t="str">
        <f t="shared" si="16"/>
        <v/>
      </c>
      <c r="R240" s="724" t="str">
        <f t="shared" si="16"/>
        <v/>
      </c>
      <c r="S240" s="724" t="str">
        <f t="shared" si="16"/>
        <v/>
      </c>
      <c r="T240" s="725" t="str">
        <f t="shared" si="16"/>
        <v/>
      </c>
    </row>
    <row r="241" spans="2:20">
      <c r="B241" s="1791"/>
      <c r="C241" s="728">
        <v>15</v>
      </c>
      <c r="D241" s="731" t="s">
        <v>3080</v>
      </c>
      <c r="E241" s="728" t="s">
        <v>1403</v>
      </c>
      <c r="F241" s="726">
        <v>351</v>
      </c>
      <c r="G241" s="726">
        <v>100</v>
      </c>
      <c r="H241" s="727">
        <f t="shared" si="15"/>
        <v>35100</v>
      </c>
      <c r="I241" s="727">
        <v>11000</v>
      </c>
      <c r="J241" s="730">
        <f>(9+14+23)/100</f>
        <v>0.46</v>
      </c>
      <c r="K241" s="727">
        <v>369000</v>
      </c>
      <c r="L241" s="727">
        <v>1253000</v>
      </c>
      <c r="M241" s="724">
        <f t="shared" si="16"/>
        <v>8840</v>
      </c>
      <c r="N241" s="724">
        <f t="shared" si="16"/>
        <v>2575</v>
      </c>
      <c r="O241" s="724">
        <f t="shared" si="16"/>
        <v>486.66666666666686</v>
      </c>
      <c r="P241" s="724" t="str">
        <f t="shared" si="16"/>
        <v/>
      </c>
      <c r="Q241" s="724" t="str">
        <f t="shared" si="16"/>
        <v/>
      </c>
      <c r="R241" s="724" t="str">
        <f t="shared" si="16"/>
        <v/>
      </c>
      <c r="S241" s="724" t="str">
        <f t="shared" si="16"/>
        <v/>
      </c>
      <c r="T241" s="725" t="str">
        <f t="shared" si="16"/>
        <v/>
      </c>
    </row>
    <row r="242" spans="2:20">
      <c r="B242" s="1791"/>
      <c r="C242" s="728">
        <v>16</v>
      </c>
      <c r="D242" s="731" t="s">
        <v>3081</v>
      </c>
      <c r="E242" s="728" t="s">
        <v>1392</v>
      </c>
      <c r="F242" s="726">
        <v>313</v>
      </c>
      <c r="G242" s="726">
        <v>118</v>
      </c>
      <c r="H242" s="727">
        <f t="shared" si="15"/>
        <v>36934</v>
      </c>
      <c r="I242" s="727">
        <v>18000</v>
      </c>
      <c r="J242" s="730">
        <f>(8+4+18+16)/118</f>
        <v>0.38983050847457629</v>
      </c>
      <c r="K242" s="727">
        <v>360000</v>
      </c>
      <c r="L242" s="727">
        <v>1306260</v>
      </c>
      <c r="M242" s="724">
        <f t="shared" si="16"/>
        <v>8019.1525423728817</v>
      </c>
      <c r="N242" s="724">
        <f t="shared" si="16"/>
        <v>2484.1525423728813</v>
      </c>
      <c r="O242" s="724">
        <f t="shared" si="16"/>
        <v>639.15254237288138</v>
      </c>
      <c r="P242" s="724" t="str">
        <f t="shared" si="16"/>
        <v/>
      </c>
      <c r="Q242" s="724" t="str">
        <f t="shared" si="16"/>
        <v/>
      </c>
      <c r="R242" s="724" t="str">
        <f t="shared" si="16"/>
        <v/>
      </c>
      <c r="S242" s="724" t="str">
        <f t="shared" si="16"/>
        <v/>
      </c>
      <c r="T242" s="725" t="str">
        <f t="shared" si="16"/>
        <v/>
      </c>
    </row>
    <row r="243" spans="2:20">
      <c r="B243" s="1791"/>
      <c r="C243" s="728">
        <v>17</v>
      </c>
      <c r="D243" s="731" t="s">
        <v>2913</v>
      </c>
      <c r="E243" s="728" t="s">
        <v>1414</v>
      </c>
      <c r="F243" s="726">
        <v>318</v>
      </c>
      <c r="G243" s="726">
        <v>122</v>
      </c>
      <c r="H243" s="727">
        <f t="shared" si="15"/>
        <v>38796</v>
      </c>
      <c r="I243" s="727" t="s">
        <v>3102</v>
      </c>
      <c r="J243" s="730">
        <f>(13+11+18+19)/122</f>
        <v>0.5</v>
      </c>
      <c r="K243" s="727">
        <v>560000</v>
      </c>
      <c r="L243" s="727">
        <v>1573800</v>
      </c>
      <c r="M243" s="724">
        <f t="shared" si="16"/>
        <v>8309.8360655737706</v>
      </c>
      <c r="N243" s="724">
        <f t="shared" si="16"/>
        <v>1859.8360655737704</v>
      </c>
      <c r="O243" s="724" t="str">
        <f t="shared" si="16"/>
        <v/>
      </c>
      <c r="P243" s="724" t="str">
        <f t="shared" si="16"/>
        <v/>
      </c>
      <c r="Q243" s="724" t="str">
        <f t="shared" si="16"/>
        <v/>
      </c>
      <c r="R243" s="724" t="str">
        <f t="shared" si="16"/>
        <v/>
      </c>
      <c r="S243" s="724" t="str">
        <f t="shared" si="16"/>
        <v/>
      </c>
      <c r="T243" s="725" t="str">
        <f t="shared" si="16"/>
        <v/>
      </c>
    </row>
    <row r="244" spans="2:20">
      <c r="B244" s="1791"/>
      <c r="C244" s="728">
        <v>18</v>
      </c>
      <c r="D244" s="731" t="s">
        <v>2882</v>
      </c>
      <c r="E244" s="728" t="s">
        <v>1392</v>
      </c>
      <c r="F244" s="726">
        <v>375</v>
      </c>
      <c r="G244" s="726">
        <v>108</v>
      </c>
      <c r="H244" s="727">
        <f t="shared" si="15"/>
        <v>40500</v>
      </c>
      <c r="I244" s="912"/>
      <c r="J244" s="730">
        <f>(9+6+13+13+4)/108</f>
        <v>0.41666666666666669</v>
      </c>
      <c r="K244" s="727">
        <v>300000</v>
      </c>
      <c r="L244" s="727">
        <v>1608000</v>
      </c>
      <c r="M244" s="724">
        <f t="shared" si="16"/>
        <v>12111.111111111111</v>
      </c>
      <c r="N244" s="724">
        <f t="shared" si="16"/>
        <v>4666.666666666667</v>
      </c>
      <c r="O244" s="724">
        <f t="shared" si="16"/>
        <v>2185.1851851851852</v>
      </c>
      <c r="P244" s="724">
        <f t="shared" si="16"/>
        <v>944.44444444444446</v>
      </c>
      <c r="Q244" s="724">
        <f t="shared" si="16"/>
        <v>200</v>
      </c>
      <c r="R244" s="724" t="str">
        <f t="shared" si="16"/>
        <v/>
      </c>
      <c r="S244" s="724" t="str">
        <f t="shared" si="16"/>
        <v/>
      </c>
      <c r="T244" s="725" t="str">
        <f t="shared" si="16"/>
        <v/>
      </c>
    </row>
    <row r="245" spans="2:20">
      <c r="B245" s="1791"/>
      <c r="C245" s="728">
        <v>19</v>
      </c>
      <c r="D245" s="731" t="s">
        <v>1181</v>
      </c>
      <c r="E245" s="728" t="s">
        <v>1409</v>
      </c>
      <c r="F245" s="726">
        <v>417</v>
      </c>
      <c r="G245" s="726">
        <v>106</v>
      </c>
      <c r="H245" s="727">
        <f t="shared" si="15"/>
        <v>44202</v>
      </c>
      <c r="I245" s="727"/>
      <c r="J245" s="730">
        <f>(14+15+84-55)/106</f>
        <v>0.54716981132075471</v>
      </c>
      <c r="K245" s="727">
        <v>180000</v>
      </c>
      <c r="L245" s="727">
        <v>1658200</v>
      </c>
      <c r="M245" s="724">
        <f t="shared" si="16"/>
        <v>13945.283018867925</v>
      </c>
      <c r="N245" s="724">
        <f t="shared" si="16"/>
        <v>6123.5849056603774</v>
      </c>
      <c r="O245" s="724">
        <f t="shared" si="16"/>
        <v>3516.3522012578619</v>
      </c>
      <c r="P245" s="724">
        <f t="shared" si="16"/>
        <v>2212.7358490566039</v>
      </c>
      <c r="Q245" s="724">
        <f t="shared" si="16"/>
        <v>1430.566037735849</v>
      </c>
      <c r="R245" s="724">
        <f t="shared" si="16"/>
        <v>909.11949685534614</v>
      </c>
      <c r="S245" s="724">
        <f t="shared" si="16"/>
        <v>536.65768194070085</v>
      </c>
      <c r="T245" s="725">
        <f t="shared" si="16"/>
        <v>257.31132075471697</v>
      </c>
    </row>
    <row r="246" spans="2:20" ht="23.25" thickBot="1">
      <c r="B246" s="1792"/>
      <c r="C246" s="748">
        <v>20</v>
      </c>
      <c r="D246" s="913" t="s">
        <v>1177</v>
      </c>
      <c r="E246" s="748" t="s">
        <v>1406</v>
      </c>
      <c r="F246" s="750">
        <v>367</v>
      </c>
      <c r="G246" s="750">
        <v>130</v>
      </c>
      <c r="H246" s="751">
        <f t="shared" si="15"/>
        <v>47710</v>
      </c>
      <c r="I246" s="751" t="s">
        <v>3103</v>
      </c>
      <c r="J246" s="752">
        <v>0.5</v>
      </c>
      <c r="K246" s="751">
        <v>450000</v>
      </c>
      <c r="L246" s="751">
        <v>1722500</v>
      </c>
      <c r="M246" s="741">
        <f t="shared" si="16"/>
        <v>9788.461538461539</v>
      </c>
      <c r="N246" s="741">
        <f t="shared" si="16"/>
        <v>3163.4615384615386</v>
      </c>
      <c r="O246" s="741">
        <f t="shared" si="16"/>
        <v>955.12820512820485</v>
      </c>
      <c r="P246" s="741" t="str">
        <f t="shared" si="16"/>
        <v/>
      </c>
      <c r="Q246" s="741" t="str">
        <f t="shared" si="16"/>
        <v/>
      </c>
      <c r="R246" s="741" t="str">
        <f t="shared" si="16"/>
        <v/>
      </c>
      <c r="S246" s="741" t="str">
        <f t="shared" si="16"/>
        <v/>
      </c>
      <c r="T246" s="742" t="str">
        <f t="shared" si="16"/>
        <v/>
      </c>
    </row>
    <row r="247" spans="2:20">
      <c r="B247" s="1790">
        <v>7</v>
      </c>
      <c r="C247" s="745">
        <v>1</v>
      </c>
      <c r="D247" s="746" t="s">
        <v>2840</v>
      </c>
      <c r="E247" s="745" t="s">
        <v>1406</v>
      </c>
      <c r="F247" s="743">
        <v>52</v>
      </c>
      <c r="G247" s="743">
        <v>70</v>
      </c>
      <c r="H247" s="744">
        <f>F247*G247</f>
        <v>3640</v>
      </c>
      <c r="I247" s="744"/>
      <c r="J247" s="747">
        <v>0.2286</v>
      </c>
      <c r="K247" s="744">
        <v>72000</v>
      </c>
      <c r="L247" s="744">
        <v>56000</v>
      </c>
      <c r="M247" s="739" t="str">
        <f t="shared" si="16"/>
        <v/>
      </c>
      <c r="N247" s="739" t="str">
        <f t="shared" si="16"/>
        <v/>
      </c>
      <c r="O247" s="739" t="str">
        <f t="shared" si="16"/>
        <v/>
      </c>
      <c r="P247" s="739" t="str">
        <f t="shared" si="16"/>
        <v/>
      </c>
      <c r="Q247" s="739" t="str">
        <f t="shared" si="16"/>
        <v/>
      </c>
      <c r="R247" s="739" t="str">
        <f t="shared" si="16"/>
        <v/>
      </c>
      <c r="S247" s="739" t="str">
        <f t="shared" si="16"/>
        <v/>
      </c>
      <c r="T247" s="740" t="str">
        <f t="shared" si="16"/>
        <v/>
      </c>
    </row>
    <row r="248" spans="2:20">
      <c r="B248" s="1791"/>
      <c r="C248" s="728">
        <v>2</v>
      </c>
      <c r="D248" s="729" t="s">
        <v>998</v>
      </c>
      <c r="E248" s="728" t="s">
        <v>1425</v>
      </c>
      <c r="F248" s="726">
        <v>168</v>
      </c>
      <c r="G248" s="726">
        <v>58</v>
      </c>
      <c r="H248" s="727">
        <f t="shared" ref="H248:H266" si="17">F248*G248</f>
        <v>9744</v>
      </c>
      <c r="I248" s="727"/>
      <c r="J248" s="730">
        <v>0.2586</v>
      </c>
      <c r="K248" s="727">
        <v>90000</v>
      </c>
      <c r="L248" s="727">
        <v>110480</v>
      </c>
      <c r="M248" s="724">
        <f t="shared" si="16"/>
        <v>353.10344827586209</v>
      </c>
      <c r="N248" s="724" t="str">
        <f t="shared" si="16"/>
        <v/>
      </c>
      <c r="O248" s="724" t="str">
        <f t="shared" si="16"/>
        <v/>
      </c>
      <c r="P248" s="724" t="str">
        <f t="shared" si="16"/>
        <v/>
      </c>
      <c r="Q248" s="724" t="str">
        <f t="shared" si="16"/>
        <v/>
      </c>
      <c r="R248" s="724" t="str">
        <f t="shared" si="16"/>
        <v/>
      </c>
      <c r="S248" s="724" t="str">
        <f t="shared" si="16"/>
        <v/>
      </c>
      <c r="T248" s="725" t="str">
        <f t="shared" si="16"/>
        <v/>
      </c>
    </row>
    <row r="249" spans="2:20">
      <c r="B249" s="1791"/>
      <c r="C249" s="728">
        <v>3</v>
      </c>
      <c r="D249" s="729" t="s">
        <v>1023</v>
      </c>
      <c r="E249" s="728" t="s">
        <v>1406</v>
      </c>
      <c r="F249" s="726">
        <v>183</v>
      </c>
      <c r="G249" s="726">
        <v>63</v>
      </c>
      <c r="H249" s="727">
        <f t="shared" si="17"/>
        <v>11529</v>
      </c>
      <c r="I249" s="727"/>
      <c r="J249" s="730">
        <v>0.60319999999999996</v>
      </c>
      <c r="K249" s="727">
        <v>108000</v>
      </c>
      <c r="L249" s="727">
        <v>125580</v>
      </c>
      <c r="M249" s="724">
        <f t="shared" si="16"/>
        <v>279.04761904761904</v>
      </c>
      <c r="N249" s="724" t="str">
        <f t="shared" si="16"/>
        <v/>
      </c>
      <c r="O249" s="724" t="str">
        <f t="shared" si="16"/>
        <v/>
      </c>
      <c r="P249" s="724" t="str">
        <f t="shared" si="16"/>
        <v/>
      </c>
      <c r="Q249" s="724" t="str">
        <f t="shared" si="16"/>
        <v/>
      </c>
      <c r="R249" s="724" t="str">
        <f t="shared" si="16"/>
        <v/>
      </c>
      <c r="S249" s="724" t="str">
        <f t="shared" si="16"/>
        <v/>
      </c>
      <c r="T249" s="725" t="str">
        <f t="shared" si="16"/>
        <v/>
      </c>
    </row>
    <row r="250" spans="2:20">
      <c r="B250" s="1791"/>
      <c r="C250" s="728">
        <v>4</v>
      </c>
      <c r="D250" s="729" t="s">
        <v>1024</v>
      </c>
      <c r="E250" s="728" t="s">
        <v>1425</v>
      </c>
      <c r="F250" s="726">
        <v>240</v>
      </c>
      <c r="G250" s="726">
        <v>60</v>
      </c>
      <c r="H250" s="727">
        <f t="shared" si="17"/>
        <v>14400</v>
      </c>
      <c r="I250" s="727" t="s">
        <v>3104</v>
      </c>
      <c r="J250" s="730">
        <v>0.38329999999999997</v>
      </c>
      <c r="K250" s="727">
        <v>108000</v>
      </c>
      <c r="L250" s="727">
        <v>164000</v>
      </c>
      <c r="M250" s="724">
        <f t="shared" si="16"/>
        <v>933.33333333333337</v>
      </c>
      <c r="N250" s="724" t="str">
        <f t="shared" si="16"/>
        <v/>
      </c>
      <c r="O250" s="724" t="str">
        <f t="shared" si="16"/>
        <v/>
      </c>
      <c r="P250" s="724" t="str">
        <f t="shared" si="16"/>
        <v/>
      </c>
      <c r="Q250" s="724" t="str">
        <f t="shared" si="16"/>
        <v/>
      </c>
      <c r="R250" s="724" t="str">
        <f t="shared" si="16"/>
        <v/>
      </c>
      <c r="S250" s="724" t="str">
        <f t="shared" si="16"/>
        <v/>
      </c>
      <c r="T250" s="725" t="str">
        <f t="shared" si="16"/>
        <v/>
      </c>
    </row>
    <row r="251" spans="2:20">
      <c r="B251" s="1791"/>
      <c r="C251" s="728">
        <v>5</v>
      </c>
      <c r="D251" s="729" t="s">
        <v>966</v>
      </c>
      <c r="E251" s="728" t="s">
        <v>1406</v>
      </c>
      <c r="F251" s="726">
        <v>243</v>
      </c>
      <c r="G251" s="726">
        <v>69</v>
      </c>
      <c r="H251" s="727">
        <f t="shared" si="17"/>
        <v>16767</v>
      </c>
      <c r="I251" s="727">
        <v>2400</v>
      </c>
      <c r="J251" s="730">
        <v>0.2319</v>
      </c>
      <c r="K251" s="727">
        <v>90000</v>
      </c>
      <c r="L251" s="727">
        <v>180650</v>
      </c>
      <c r="M251" s="724">
        <f t="shared" si="16"/>
        <v>1313.768115942029</v>
      </c>
      <c r="N251" s="724">
        <f t="shared" si="16"/>
        <v>4.7101449275362315</v>
      </c>
      <c r="O251" s="724" t="str">
        <f t="shared" si="16"/>
        <v/>
      </c>
      <c r="P251" s="724" t="str">
        <f t="shared" si="16"/>
        <v/>
      </c>
      <c r="Q251" s="724" t="str">
        <f t="shared" si="16"/>
        <v/>
      </c>
      <c r="R251" s="724" t="str">
        <f t="shared" si="16"/>
        <v/>
      </c>
      <c r="S251" s="724" t="str">
        <f t="shared" si="16"/>
        <v/>
      </c>
      <c r="T251" s="725" t="str">
        <f t="shared" si="16"/>
        <v/>
      </c>
    </row>
    <row r="252" spans="2:20">
      <c r="B252" s="1791"/>
      <c r="C252" s="728">
        <v>6</v>
      </c>
      <c r="D252" s="729" t="s">
        <v>2888</v>
      </c>
      <c r="E252" s="728" t="s">
        <v>1425</v>
      </c>
      <c r="F252" s="726">
        <v>270</v>
      </c>
      <c r="G252" s="726">
        <v>60</v>
      </c>
      <c r="H252" s="727">
        <f t="shared" si="17"/>
        <v>16200</v>
      </c>
      <c r="I252" s="727"/>
      <c r="J252" s="730">
        <v>0.51670000000000005</v>
      </c>
      <c r="K252" s="727">
        <v>224000</v>
      </c>
      <c r="L252" s="727">
        <v>182000</v>
      </c>
      <c r="M252" s="724" t="str">
        <f t="shared" si="16"/>
        <v/>
      </c>
      <c r="N252" s="724" t="str">
        <f t="shared" si="16"/>
        <v/>
      </c>
      <c r="O252" s="724" t="str">
        <f t="shared" si="16"/>
        <v/>
      </c>
      <c r="P252" s="724" t="str">
        <f t="shared" si="16"/>
        <v/>
      </c>
      <c r="Q252" s="724" t="str">
        <f t="shared" si="16"/>
        <v/>
      </c>
      <c r="R252" s="724" t="str">
        <f t="shared" si="16"/>
        <v/>
      </c>
      <c r="S252" s="724" t="str">
        <f t="shared" si="16"/>
        <v/>
      </c>
      <c r="T252" s="725" t="str">
        <f t="shared" si="16"/>
        <v/>
      </c>
    </row>
    <row r="253" spans="2:20">
      <c r="B253" s="1791"/>
      <c r="C253" s="728">
        <v>7</v>
      </c>
      <c r="D253" s="729" t="s">
        <v>1030</v>
      </c>
      <c r="E253" s="728" t="s">
        <v>1406</v>
      </c>
      <c r="F253" s="726">
        <v>238</v>
      </c>
      <c r="G253" s="726">
        <v>72</v>
      </c>
      <c r="H253" s="727">
        <f t="shared" si="17"/>
        <v>17136</v>
      </c>
      <c r="I253" s="727" t="s">
        <v>3099</v>
      </c>
      <c r="J253" s="730">
        <v>0.48609999999999998</v>
      </c>
      <c r="K253" s="727">
        <v>108000</v>
      </c>
      <c r="L253" s="727">
        <v>232560</v>
      </c>
      <c r="M253" s="724">
        <f t="shared" si="16"/>
        <v>1730</v>
      </c>
      <c r="N253" s="724">
        <f t="shared" si="16"/>
        <v>115</v>
      </c>
      <c r="O253" s="724" t="str">
        <f t="shared" si="16"/>
        <v/>
      </c>
      <c r="P253" s="724" t="str">
        <f t="shared" si="16"/>
        <v/>
      </c>
      <c r="Q253" s="724" t="str">
        <f t="shared" si="16"/>
        <v/>
      </c>
      <c r="R253" s="724" t="str">
        <f t="shared" si="16"/>
        <v/>
      </c>
      <c r="S253" s="724" t="str">
        <f t="shared" si="16"/>
        <v/>
      </c>
      <c r="T253" s="725" t="str">
        <f t="shared" si="16"/>
        <v/>
      </c>
    </row>
    <row r="254" spans="2:20">
      <c r="B254" s="1791"/>
      <c r="C254" s="728">
        <v>8</v>
      </c>
      <c r="D254" s="729" t="s">
        <v>969</v>
      </c>
      <c r="E254" s="728" t="s">
        <v>1425</v>
      </c>
      <c r="F254" s="726">
        <v>273</v>
      </c>
      <c r="G254" s="726">
        <v>66</v>
      </c>
      <c r="H254" s="727">
        <f t="shared" si="17"/>
        <v>18018</v>
      </c>
      <c r="I254" s="727"/>
      <c r="J254" s="730">
        <v>0.45450000000000002</v>
      </c>
      <c r="K254" s="727">
        <v>153000</v>
      </c>
      <c r="L254" s="727">
        <v>264400</v>
      </c>
      <c r="M254" s="724">
        <f t="shared" si="16"/>
        <v>1687.878787878788</v>
      </c>
      <c r="N254" s="724" t="str">
        <f t="shared" si="16"/>
        <v/>
      </c>
      <c r="O254" s="724" t="str">
        <f t="shared" si="16"/>
        <v/>
      </c>
      <c r="P254" s="724" t="str">
        <f t="shared" si="16"/>
        <v/>
      </c>
      <c r="Q254" s="724" t="str">
        <f t="shared" si="16"/>
        <v/>
      </c>
      <c r="R254" s="724" t="str">
        <f t="shared" si="16"/>
        <v/>
      </c>
      <c r="S254" s="724" t="str">
        <f t="shared" si="16"/>
        <v/>
      </c>
      <c r="T254" s="725" t="str">
        <f t="shared" si="16"/>
        <v/>
      </c>
    </row>
    <row r="255" spans="2:20">
      <c r="B255" s="1791"/>
      <c r="C255" s="728">
        <v>9</v>
      </c>
      <c r="D255" s="729" t="s">
        <v>2853</v>
      </c>
      <c r="E255" s="728" t="s">
        <v>1406</v>
      </c>
      <c r="F255" s="726">
        <v>300</v>
      </c>
      <c r="G255" s="726">
        <v>75</v>
      </c>
      <c r="H255" s="727">
        <f t="shared" si="17"/>
        <v>22500</v>
      </c>
      <c r="I255" s="727"/>
      <c r="J255" s="730">
        <v>0.4133</v>
      </c>
      <c r="K255" s="727">
        <v>108000</v>
      </c>
      <c r="L255" s="727">
        <v>418750</v>
      </c>
      <c r="M255" s="724">
        <f t="shared" si="16"/>
        <v>4143.333333333333</v>
      </c>
      <c r="N255" s="724">
        <f t="shared" si="16"/>
        <v>1351.6666666666667</v>
      </c>
      <c r="O255" s="724">
        <f t="shared" si="16"/>
        <v>421.11111111111126</v>
      </c>
      <c r="P255" s="724" t="str">
        <f t="shared" si="16"/>
        <v/>
      </c>
      <c r="Q255" s="724" t="str">
        <f t="shared" si="16"/>
        <v/>
      </c>
      <c r="R255" s="724" t="str">
        <f t="shared" si="16"/>
        <v/>
      </c>
      <c r="S255" s="724" t="str">
        <f t="shared" si="16"/>
        <v/>
      </c>
      <c r="T255" s="725" t="str">
        <f t="shared" si="16"/>
        <v/>
      </c>
    </row>
    <row r="256" spans="2:20">
      <c r="B256" s="1791"/>
      <c r="C256" s="728">
        <v>10</v>
      </c>
      <c r="D256" s="729" t="s">
        <v>964</v>
      </c>
      <c r="E256" s="728" t="s">
        <v>1425</v>
      </c>
      <c r="F256" s="726">
        <v>353</v>
      </c>
      <c r="G256" s="726">
        <v>69</v>
      </c>
      <c r="H256" s="727">
        <f t="shared" si="17"/>
        <v>24357</v>
      </c>
      <c r="I256" s="727"/>
      <c r="J256" s="730">
        <v>0.30430000000000001</v>
      </c>
      <c r="K256" s="727">
        <v>152000</v>
      </c>
      <c r="L256" s="727">
        <v>672600</v>
      </c>
      <c r="M256" s="724">
        <f t="shared" si="16"/>
        <v>7544.927536231884</v>
      </c>
      <c r="N256" s="724">
        <f t="shared" si="16"/>
        <v>2671.014492753623</v>
      </c>
      <c r="O256" s="724">
        <f t="shared" si="16"/>
        <v>1046.376811594203</v>
      </c>
      <c r="P256" s="724">
        <f t="shared" si="16"/>
        <v>234.05797101449275</v>
      </c>
      <c r="Q256" s="724" t="str">
        <f t="shared" si="16"/>
        <v/>
      </c>
      <c r="R256" s="724" t="str">
        <f t="shared" si="16"/>
        <v/>
      </c>
      <c r="S256" s="724" t="str">
        <f t="shared" si="16"/>
        <v/>
      </c>
      <c r="T256" s="725" t="str">
        <f t="shared" si="16"/>
        <v/>
      </c>
    </row>
    <row r="257" spans="2:20">
      <c r="B257" s="1791"/>
      <c r="C257" s="728">
        <v>11</v>
      </c>
      <c r="D257" s="729" t="s">
        <v>1016</v>
      </c>
      <c r="E257" s="728" t="s">
        <v>1406</v>
      </c>
      <c r="F257" s="726">
        <v>214</v>
      </c>
      <c r="G257" s="726">
        <v>122</v>
      </c>
      <c r="H257" s="727">
        <f t="shared" si="17"/>
        <v>26108</v>
      </c>
      <c r="I257" s="727" t="s">
        <v>3105</v>
      </c>
      <c r="J257" s="730">
        <v>0.49180000000000001</v>
      </c>
      <c r="K257" s="727">
        <v>300000</v>
      </c>
      <c r="L257" s="727">
        <v>707600</v>
      </c>
      <c r="M257" s="724">
        <f t="shared" si="16"/>
        <v>3340.9836065573772</v>
      </c>
      <c r="N257" s="724">
        <f t="shared" si="16"/>
        <v>440.98360655737707</v>
      </c>
      <c r="O257" s="724" t="str">
        <f t="shared" si="16"/>
        <v/>
      </c>
      <c r="P257" s="724" t="str">
        <f t="shared" si="16"/>
        <v/>
      </c>
      <c r="Q257" s="724" t="str">
        <f t="shared" si="16"/>
        <v/>
      </c>
      <c r="R257" s="724" t="str">
        <f t="shared" si="16"/>
        <v/>
      </c>
      <c r="S257" s="724" t="str">
        <f t="shared" si="16"/>
        <v/>
      </c>
      <c r="T257" s="725" t="str">
        <f t="shared" si="16"/>
        <v/>
      </c>
    </row>
    <row r="258" spans="2:20">
      <c r="B258" s="1791"/>
      <c r="C258" s="728">
        <v>12</v>
      </c>
      <c r="D258" s="729" t="s">
        <v>1013</v>
      </c>
      <c r="E258" s="728" t="s">
        <v>1425</v>
      </c>
      <c r="F258" s="726">
        <v>250</v>
      </c>
      <c r="G258" s="726">
        <v>112</v>
      </c>
      <c r="H258" s="727">
        <f t="shared" si="17"/>
        <v>28000</v>
      </c>
      <c r="I258" s="727">
        <v>-5000</v>
      </c>
      <c r="J258" s="730">
        <v>0.52680000000000005</v>
      </c>
      <c r="K258" s="727">
        <v>500000</v>
      </c>
      <c r="L258" s="727">
        <v>804400</v>
      </c>
      <c r="M258" s="724">
        <f t="shared" si="16"/>
        <v>2717.8571428571427</v>
      </c>
      <c r="N258" s="724" t="str">
        <f t="shared" si="16"/>
        <v/>
      </c>
      <c r="O258" s="724" t="str">
        <f t="shared" si="16"/>
        <v/>
      </c>
      <c r="P258" s="724" t="str">
        <f t="shared" si="16"/>
        <v/>
      </c>
      <c r="Q258" s="724" t="str">
        <f t="shared" si="16"/>
        <v/>
      </c>
      <c r="R258" s="724" t="str">
        <f t="shared" si="16"/>
        <v/>
      </c>
      <c r="S258" s="724" t="str">
        <f t="shared" si="16"/>
        <v/>
      </c>
      <c r="T258" s="725" t="str">
        <f t="shared" si="16"/>
        <v/>
      </c>
    </row>
    <row r="259" spans="2:20">
      <c r="B259" s="1791"/>
      <c r="C259" s="728">
        <v>13</v>
      </c>
      <c r="D259" s="729" t="s">
        <v>989</v>
      </c>
      <c r="E259" s="728" t="s">
        <v>1406</v>
      </c>
      <c r="F259" s="726">
        <v>258</v>
      </c>
      <c r="G259" s="726">
        <v>127</v>
      </c>
      <c r="H259" s="727">
        <f t="shared" si="17"/>
        <v>32766</v>
      </c>
      <c r="I259" s="727">
        <v>2000</v>
      </c>
      <c r="J259" s="730">
        <v>0.4803</v>
      </c>
      <c r="K259" s="727">
        <v>404000</v>
      </c>
      <c r="L259" s="727">
        <v>1047750</v>
      </c>
      <c r="M259" s="724">
        <f t="shared" si="16"/>
        <v>5068.8976377952758</v>
      </c>
      <c r="N259" s="724">
        <f t="shared" si="16"/>
        <v>943.89763779527561</v>
      </c>
      <c r="O259" s="724" t="str">
        <f t="shared" si="16"/>
        <v/>
      </c>
      <c r="P259" s="724" t="str">
        <f t="shared" si="16"/>
        <v/>
      </c>
      <c r="Q259" s="724" t="str">
        <f t="shared" si="16"/>
        <v/>
      </c>
      <c r="R259" s="724" t="str">
        <f t="shared" si="16"/>
        <v/>
      </c>
      <c r="S259" s="724" t="str">
        <f t="shared" si="16"/>
        <v/>
      </c>
      <c r="T259" s="725" t="str">
        <f t="shared" si="16"/>
        <v/>
      </c>
    </row>
    <row r="260" spans="2:20">
      <c r="B260" s="1791"/>
      <c r="C260" s="728">
        <v>14</v>
      </c>
      <c r="D260" s="729" t="s">
        <v>1007</v>
      </c>
      <c r="E260" s="728" t="s">
        <v>1425</v>
      </c>
      <c r="F260" s="726">
        <v>292</v>
      </c>
      <c r="G260" s="726">
        <v>119</v>
      </c>
      <c r="H260" s="727">
        <f t="shared" si="17"/>
        <v>34748</v>
      </c>
      <c r="I260" s="727"/>
      <c r="J260" s="730">
        <v>0.60499999999999998</v>
      </c>
      <c r="K260" s="727">
        <v>420000</v>
      </c>
      <c r="L260" s="727">
        <v>1141250</v>
      </c>
      <c r="M260" s="724">
        <f t="shared" si="16"/>
        <v>6060.9243697478987</v>
      </c>
      <c r="N260" s="724">
        <f t="shared" si="16"/>
        <v>1265.7563025210084</v>
      </c>
      <c r="O260" s="724" t="str">
        <f t="shared" si="16"/>
        <v/>
      </c>
      <c r="P260" s="724" t="str">
        <f t="shared" si="16"/>
        <v/>
      </c>
      <c r="Q260" s="724" t="str">
        <f t="shared" si="16"/>
        <v/>
      </c>
      <c r="R260" s="724" t="str">
        <f t="shared" si="16"/>
        <v/>
      </c>
      <c r="S260" s="724" t="str">
        <f t="shared" si="16"/>
        <v/>
      </c>
      <c r="T260" s="725" t="str">
        <f t="shared" si="16"/>
        <v/>
      </c>
    </row>
    <row r="261" spans="2:20">
      <c r="B261" s="1791"/>
      <c r="C261" s="728">
        <v>15</v>
      </c>
      <c r="D261" s="729" t="s">
        <v>2881</v>
      </c>
      <c r="E261" s="728" t="s">
        <v>1406</v>
      </c>
      <c r="F261" s="726">
        <v>297</v>
      </c>
      <c r="G261" s="726">
        <v>130</v>
      </c>
      <c r="H261" s="727">
        <f t="shared" si="17"/>
        <v>38610</v>
      </c>
      <c r="I261" s="727" t="s">
        <v>3103</v>
      </c>
      <c r="J261" s="730">
        <v>0.5</v>
      </c>
      <c r="K261" s="727">
        <v>450000</v>
      </c>
      <c r="L261" s="727">
        <v>1267500</v>
      </c>
      <c r="M261" s="724">
        <f t="shared" si="16"/>
        <v>6288.4615384615381</v>
      </c>
      <c r="N261" s="724">
        <f t="shared" si="16"/>
        <v>1413.4615384615386</v>
      </c>
      <c r="O261" s="724" t="str">
        <f t="shared" si="16"/>
        <v/>
      </c>
      <c r="P261" s="724" t="str">
        <f t="shared" si="16"/>
        <v/>
      </c>
      <c r="Q261" s="724" t="str">
        <f t="shared" si="16"/>
        <v/>
      </c>
      <c r="R261" s="724" t="str">
        <f t="shared" si="16"/>
        <v/>
      </c>
      <c r="S261" s="724" t="str">
        <f t="shared" si="16"/>
        <v/>
      </c>
      <c r="T261" s="725" t="str">
        <f t="shared" si="16"/>
        <v/>
      </c>
    </row>
    <row r="262" spans="2:20">
      <c r="B262" s="1791"/>
      <c r="C262" s="728">
        <v>16</v>
      </c>
      <c r="D262" s="729" t="s">
        <v>990</v>
      </c>
      <c r="E262" s="728" t="s">
        <v>1425</v>
      </c>
      <c r="F262" s="726">
        <v>364</v>
      </c>
      <c r="G262" s="726">
        <v>117</v>
      </c>
      <c r="H262" s="727">
        <f t="shared" si="17"/>
        <v>42588</v>
      </c>
      <c r="I262" s="727"/>
      <c r="J262" s="730">
        <v>0.22220000000000001</v>
      </c>
      <c r="K262" s="727">
        <v>390000</v>
      </c>
      <c r="L262" s="727">
        <v>1558370</v>
      </c>
      <c r="M262" s="724">
        <f t="shared" si="16"/>
        <v>9986.0683760683769</v>
      </c>
      <c r="N262" s="724">
        <f t="shared" si="16"/>
        <v>3326.3675213675215</v>
      </c>
      <c r="O262" s="724">
        <f t="shared" si="16"/>
        <v>1106.4672364672367</v>
      </c>
      <c r="P262" s="724" t="str">
        <f t="shared" si="16"/>
        <v/>
      </c>
      <c r="Q262" s="724" t="str">
        <f t="shared" si="16"/>
        <v/>
      </c>
      <c r="R262" s="724" t="str">
        <f t="shared" si="16"/>
        <v/>
      </c>
      <c r="S262" s="724" t="str">
        <f t="shared" si="16"/>
        <v/>
      </c>
      <c r="T262" s="725" t="str">
        <f t="shared" si="16"/>
        <v/>
      </c>
    </row>
    <row r="263" spans="2:20">
      <c r="B263" s="1791"/>
      <c r="C263" s="728">
        <v>17</v>
      </c>
      <c r="D263" s="729" t="s">
        <v>1004</v>
      </c>
      <c r="E263" s="728" t="s">
        <v>1406</v>
      </c>
      <c r="F263" s="726">
        <v>419</v>
      </c>
      <c r="G263" s="726">
        <v>115</v>
      </c>
      <c r="H263" s="727">
        <f t="shared" si="17"/>
        <v>48185</v>
      </c>
      <c r="I263" s="727"/>
      <c r="J263" s="730">
        <v>0.52170000000000005</v>
      </c>
      <c r="K263" s="727">
        <v>400000</v>
      </c>
      <c r="L263" s="727">
        <v>2034680</v>
      </c>
      <c r="M263" s="724">
        <f t="shared" si="16"/>
        <v>14214.608695652174</v>
      </c>
      <c r="N263" s="724">
        <f t="shared" si="16"/>
        <v>5368.173913043478</v>
      </c>
      <c r="O263" s="724">
        <f t="shared" si="16"/>
        <v>2419.3623188405795</v>
      </c>
      <c r="P263" s="724">
        <f t="shared" si="16"/>
        <v>944.95652173913038</v>
      </c>
      <c r="Q263" s="724">
        <f t="shared" si="16"/>
        <v>60.313043478260873</v>
      </c>
      <c r="R263" s="724" t="str">
        <f t="shared" si="16"/>
        <v/>
      </c>
      <c r="S263" s="724" t="str">
        <f t="shared" si="16"/>
        <v/>
      </c>
      <c r="T263" s="725" t="str">
        <f t="shared" si="16"/>
        <v/>
      </c>
    </row>
    <row r="264" spans="2:20">
      <c r="B264" s="1791"/>
      <c r="C264" s="728">
        <v>18</v>
      </c>
      <c r="D264" s="729" t="s">
        <v>3065</v>
      </c>
      <c r="E264" s="728" t="s">
        <v>1425</v>
      </c>
      <c r="F264" s="726">
        <v>316</v>
      </c>
      <c r="G264" s="726">
        <v>179</v>
      </c>
      <c r="H264" s="727">
        <f t="shared" si="17"/>
        <v>56564</v>
      </c>
      <c r="I264" s="727" t="s">
        <v>3106</v>
      </c>
      <c r="J264" s="730">
        <v>0.46929999999999999</v>
      </c>
      <c r="K264" s="727">
        <v>2251000</v>
      </c>
      <c r="L264" s="727">
        <v>2754810</v>
      </c>
      <c r="M264" s="724">
        <f t="shared" si="16"/>
        <v>2814.5810055865923</v>
      </c>
      <c r="N264" s="724" t="str">
        <f t="shared" si="16"/>
        <v/>
      </c>
      <c r="O264" s="724" t="str">
        <f t="shared" si="16"/>
        <v/>
      </c>
      <c r="P264" s="724" t="str">
        <f t="shared" si="16"/>
        <v/>
      </c>
      <c r="Q264" s="724" t="str">
        <f t="shared" si="16"/>
        <v/>
      </c>
      <c r="R264" s="724" t="str">
        <f t="shared" si="16"/>
        <v/>
      </c>
      <c r="S264" s="724" t="str">
        <f t="shared" si="16"/>
        <v/>
      </c>
      <c r="T264" s="725" t="str">
        <f t="shared" si="16"/>
        <v/>
      </c>
    </row>
    <row r="265" spans="2:20">
      <c r="B265" s="1791"/>
      <c r="C265" s="728">
        <v>19</v>
      </c>
      <c r="D265" s="729" t="s">
        <v>3107</v>
      </c>
      <c r="E265" s="728" t="s">
        <v>1406</v>
      </c>
      <c r="F265" s="726">
        <v>393</v>
      </c>
      <c r="G265" s="726">
        <v>179</v>
      </c>
      <c r="H265" s="727">
        <f t="shared" si="17"/>
        <v>70347</v>
      </c>
      <c r="I265" s="727"/>
      <c r="J265" s="730">
        <v>0.60340000000000005</v>
      </c>
      <c r="K265" s="727">
        <v>1967000</v>
      </c>
      <c r="L265" s="727">
        <v>3374150</v>
      </c>
      <c r="M265" s="724">
        <f t="shared" si="16"/>
        <v>7861.1731843575417</v>
      </c>
      <c r="N265" s="724" t="str">
        <f t="shared" si="16"/>
        <v/>
      </c>
      <c r="O265" s="724" t="str">
        <f t="shared" si="16"/>
        <v/>
      </c>
      <c r="P265" s="724" t="str">
        <f t="shared" si="16"/>
        <v/>
      </c>
      <c r="Q265" s="724" t="str">
        <f t="shared" si="16"/>
        <v/>
      </c>
      <c r="R265" s="724" t="str">
        <f t="shared" si="16"/>
        <v/>
      </c>
      <c r="S265" s="724" t="str">
        <f t="shared" si="16"/>
        <v/>
      </c>
      <c r="T265" s="725" t="str">
        <f t="shared" si="16"/>
        <v/>
      </c>
    </row>
    <row r="266" spans="2:20" ht="23.25" thickBot="1">
      <c r="B266" s="1792"/>
      <c r="C266" s="748">
        <v>20</v>
      </c>
      <c r="D266" s="749" t="s">
        <v>3108</v>
      </c>
      <c r="E266" s="748" t="s">
        <v>1425</v>
      </c>
      <c r="F266" s="750">
        <v>429</v>
      </c>
      <c r="G266" s="750">
        <v>184</v>
      </c>
      <c r="H266" s="751">
        <f t="shared" si="17"/>
        <v>78936</v>
      </c>
      <c r="I266" s="751" t="s">
        <v>3109</v>
      </c>
      <c r="J266" s="752">
        <v>0.40760000000000002</v>
      </c>
      <c r="K266" s="751">
        <v>1752000</v>
      </c>
      <c r="L266" s="751">
        <v>4029600</v>
      </c>
      <c r="M266" s="741">
        <f t="shared" si="16"/>
        <v>12378.260869565218</v>
      </c>
      <c r="N266" s="741">
        <f t="shared" si="16"/>
        <v>1428.2608695652175</v>
      </c>
      <c r="O266" s="741" t="str">
        <f t="shared" si="16"/>
        <v/>
      </c>
      <c r="P266" s="741" t="str">
        <f t="shared" si="16"/>
        <v/>
      </c>
      <c r="Q266" s="741" t="str">
        <f t="shared" si="16"/>
        <v/>
      </c>
      <c r="R266" s="741" t="str">
        <f t="shared" si="16"/>
        <v/>
      </c>
      <c r="S266" s="741" t="str">
        <f t="shared" si="16"/>
        <v/>
      </c>
      <c r="T266" s="742" t="str">
        <f t="shared" si="16"/>
        <v/>
      </c>
    </row>
    <row r="267" spans="2:20">
      <c r="B267" s="1790">
        <v>8</v>
      </c>
      <c r="C267" s="745">
        <v>1</v>
      </c>
      <c r="D267" s="746" t="s">
        <v>1051</v>
      </c>
      <c r="E267" s="745" t="s">
        <v>1406</v>
      </c>
      <c r="F267" s="743">
        <v>113</v>
      </c>
      <c r="G267" s="743">
        <v>64</v>
      </c>
      <c r="H267" s="744">
        <f>F267*G267</f>
        <v>7232</v>
      </c>
      <c r="I267" s="744"/>
      <c r="J267" s="747">
        <f>27/64</f>
        <v>0.421875</v>
      </c>
      <c r="K267" s="744">
        <v>72000</v>
      </c>
      <c r="L267" s="744">
        <v>51200</v>
      </c>
      <c r="M267" s="739" t="str">
        <f t="shared" si="16"/>
        <v/>
      </c>
      <c r="N267" s="739" t="str">
        <f t="shared" si="16"/>
        <v/>
      </c>
      <c r="O267" s="739" t="str">
        <f t="shared" si="16"/>
        <v/>
      </c>
      <c r="P267" s="739" t="str">
        <f t="shared" si="16"/>
        <v/>
      </c>
      <c r="Q267" s="739" t="str">
        <f t="shared" si="16"/>
        <v/>
      </c>
      <c r="R267" s="739" t="str">
        <f t="shared" si="16"/>
        <v/>
      </c>
      <c r="S267" s="739" t="str">
        <f t="shared" ref="M267:T299" si="18">IF(($L267/S$1-$K267)/$G267&gt;0,($L267/S$1-$K267)/$G267,"")</f>
        <v/>
      </c>
      <c r="T267" s="740" t="str">
        <f t="shared" si="18"/>
        <v/>
      </c>
    </row>
    <row r="268" spans="2:20">
      <c r="B268" s="1791"/>
      <c r="C268" s="728">
        <v>2</v>
      </c>
      <c r="D268" s="729" t="s">
        <v>1050</v>
      </c>
      <c r="E268" s="728" t="s">
        <v>1425</v>
      </c>
      <c r="F268" s="726">
        <v>144</v>
      </c>
      <c r="G268" s="726">
        <v>75</v>
      </c>
      <c r="H268" s="727">
        <f t="shared" ref="H268:H288" si="19">F268*G268</f>
        <v>10800</v>
      </c>
      <c r="I268" s="727"/>
      <c r="J268" s="730">
        <f>24/75</f>
        <v>0.32</v>
      </c>
      <c r="K268" s="727">
        <v>72000</v>
      </c>
      <c r="L268" s="727">
        <v>90000</v>
      </c>
      <c r="M268" s="724">
        <f t="shared" si="18"/>
        <v>240</v>
      </c>
      <c r="N268" s="724" t="str">
        <f t="shared" si="18"/>
        <v/>
      </c>
      <c r="O268" s="724" t="str">
        <f t="shared" si="18"/>
        <v/>
      </c>
      <c r="P268" s="724" t="str">
        <f t="shared" si="18"/>
        <v/>
      </c>
      <c r="Q268" s="724" t="str">
        <f t="shared" si="18"/>
        <v/>
      </c>
      <c r="R268" s="724" t="str">
        <f t="shared" si="18"/>
        <v/>
      </c>
      <c r="S268" s="724" t="str">
        <f t="shared" si="18"/>
        <v/>
      </c>
      <c r="T268" s="725" t="str">
        <f t="shared" si="18"/>
        <v/>
      </c>
    </row>
    <row r="269" spans="2:20">
      <c r="B269" s="1791"/>
      <c r="C269" s="728">
        <v>3</v>
      </c>
      <c r="D269" s="729" t="s">
        <v>1049</v>
      </c>
      <c r="E269" s="728" t="s">
        <v>1392</v>
      </c>
      <c r="F269" s="726">
        <v>160</v>
      </c>
      <c r="G269" s="726">
        <v>79</v>
      </c>
      <c r="H269" s="727">
        <f t="shared" si="19"/>
        <v>12640</v>
      </c>
      <c r="I269" s="727" t="s">
        <v>3110</v>
      </c>
      <c r="J269" s="730">
        <f>30/79</f>
        <v>0.379746835443038</v>
      </c>
      <c r="K269" s="727">
        <v>72000</v>
      </c>
      <c r="L269" s="727">
        <v>143780</v>
      </c>
      <c r="M269" s="724">
        <f t="shared" si="18"/>
        <v>908.60759493670889</v>
      </c>
      <c r="N269" s="724" t="str">
        <f t="shared" si="18"/>
        <v/>
      </c>
      <c r="O269" s="724" t="str">
        <f t="shared" si="18"/>
        <v/>
      </c>
      <c r="P269" s="724" t="str">
        <f t="shared" si="18"/>
        <v/>
      </c>
      <c r="Q269" s="724" t="str">
        <f t="shared" si="18"/>
        <v/>
      </c>
      <c r="R269" s="724" t="str">
        <f t="shared" si="18"/>
        <v/>
      </c>
      <c r="S269" s="724" t="str">
        <f t="shared" si="18"/>
        <v/>
      </c>
      <c r="T269" s="725" t="str">
        <f t="shared" si="18"/>
        <v/>
      </c>
    </row>
    <row r="270" spans="2:20">
      <c r="B270" s="1791"/>
      <c r="C270" s="728">
        <v>4</v>
      </c>
      <c r="D270" s="729" t="s">
        <v>2888</v>
      </c>
      <c r="E270" s="728" t="s">
        <v>1425</v>
      </c>
      <c r="F270" s="726">
        <v>240</v>
      </c>
      <c r="G270" s="726">
        <v>60</v>
      </c>
      <c r="H270" s="727">
        <f t="shared" si="19"/>
        <v>14400</v>
      </c>
      <c r="I270" s="733" t="s">
        <v>4232</v>
      </c>
      <c r="J270" s="730">
        <f>31/60</f>
        <v>0.51666666666666672</v>
      </c>
      <c r="K270" s="727">
        <v>224000</v>
      </c>
      <c r="L270" s="727">
        <v>164800</v>
      </c>
      <c r="M270" s="724" t="str">
        <f t="shared" si="18"/>
        <v/>
      </c>
      <c r="N270" s="724" t="str">
        <f t="shared" si="18"/>
        <v/>
      </c>
      <c r="O270" s="724" t="str">
        <f t="shared" si="18"/>
        <v/>
      </c>
      <c r="P270" s="724" t="str">
        <f t="shared" si="18"/>
        <v/>
      </c>
      <c r="Q270" s="724" t="str">
        <f t="shared" si="18"/>
        <v/>
      </c>
      <c r="R270" s="724" t="str">
        <f t="shared" si="18"/>
        <v/>
      </c>
      <c r="S270" s="724" t="str">
        <f t="shared" si="18"/>
        <v/>
      </c>
      <c r="T270" s="725" t="str">
        <f t="shared" si="18"/>
        <v/>
      </c>
    </row>
    <row r="271" spans="2:20">
      <c r="B271" s="1791"/>
      <c r="C271" s="728">
        <v>5</v>
      </c>
      <c r="D271" s="729" t="s">
        <v>3111</v>
      </c>
      <c r="E271" s="728" t="s">
        <v>1409</v>
      </c>
      <c r="F271" s="726">
        <v>225</v>
      </c>
      <c r="G271" s="726">
        <v>72</v>
      </c>
      <c r="H271" s="727">
        <f t="shared" si="19"/>
        <v>16200</v>
      </c>
      <c r="I271" s="727"/>
      <c r="J271" s="730">
        <f>38/72</f>
        <v>0.52777777777777779</v>
      </c>
      <c r="K271" s="727">
        <v>200000</v>
      </c>
      <c r="L271" s="727">
        <v>208480</v>
      </c>
      <c r="M271" s="724">
        <f t="shared" si="18"/>
        <v>117.77777777777777</v>
      </c>
      <c r="N271" s="724" t="str">
        <f t="shared" si="18"/>
        <v/>
      </c>
      <c r="O271" s="724" t="str">
        <f t="shared" si="18"/>
        <v/>
      </c>
      <c r="P271" s="724" t="str">
        <f t="shared" si="18"/>
        <v/>
      </c>
      <c r="Q271" s="724" t="str">
        <f t="shared" si="18"/>
        <v/>
      </c>
      <c r="R271" s="724" t="str">
        <f t="shared" si="18"/>
        <v/>
      </c>
      <c r="S271" s="724" t="str">
        <f t="shared" si="18"/>
        <v/>
      </c>
      <c r="T271" s="725" t="str">
        <f t="shared" si="18"/>
        <v/>
      </c>
    </row>
    <row r="272" spans="2:20">
      <c r="B272" s="1791"/>
      <c r="C272" s="728">
        <v>6</v>
      </c>
      <c r="D272" s="729" t="s">
        <v>3112</v>
      </c>
      <c r="E272" s="728" t="s">
        <v>1392</v>
      </c>
      <c r="F272" s="726">
        <v>166</v>
      </c>
      <c r="G272" s="726">
        <v>109</v>
      </c>
      <c r="H272" s="727">
        <f t="shared" si="19"/>
        <v>18094</v>
      </c>
      <c r="I272" s="727"/>
      <c r="J272" s="730">
        <f>54/109</f>
        <v>0.49541284403669728</v>
      </c>
      <c r="K272" s="727">
        <v>610000</v>
      </c>
      <c r="L272" s="727">
        <v>327000</v>
      </c>
      <c r="M272" s="724" t="str">
        <f t="shared" si="18"/>
        <v/>
      </c>
      <c r="N272" s="724" t="str">
        <f t="shared" si="18"/>
        <v/>
      </c>
      <c r="O272" s="724" t="str">
        <f t="shared" si="18"/>
        <v/>
      </c>
      <c r="P272" s="724" t="str">
        <f t="shared" si="18"/>
        <v/>
      </c>
      <c r="Q272" s="724" t="str">
        <f t="shared" si="18"/>
        <v/>
      </c>
      <c r="R272" s="724" t="str">
        <f t="shared" si="18"/>
        <v/>
      </c>
      <c r="S272" s="724" t="str">
        <f t="shared" si="18"/>
        <v/>
      </c>
      <c r="T272" s="725" t="str">
        <f t="shared" si="18"/>
        <v/>
      </c>
    </row>
    <row r="273" spans="2:20">
      <c r="B273" s="1791"/>
      <c r="C273" s="728">
        <v>7</v>
      </c>
      <c r="D273" s="729" t="s">
        <v>1021</v>
      </c>
      <c r="E273" s="728" t="s">
        <v>1414</v>
      </c>
      <c r="F273" s="726">
        <v>205</v>
      </c>
      <c r="G273" s="726">
        <v>110</v>
      </c>
      <c r="H273" s="727">
        <f t="shared" si="19"/>
        <v>22550</v>
      </c>
      <c r="I273" s="912"/>
      <c r="J273" s="730">
        <f>53/110</f>
        <v>0.48181818181818181</v>
      </c>
      <c r="K273" s="727">
        <v>385000</v>
      </c>
      <c r="L273" s="727">
        <v>412500</v>
      </c>
      <c r="M273" s="724">
        <f t="shared" si="18"/>
        <v>250</v>
      </c>
      <c r="N273" s="724" t="str">
        <f t="shared" si="18"/>
        <v/>
      </c>
      <c r="O273" s="724" t="str">
        <f t="shared" si="18"/>
        <v/>
      </c>
      <c r="P273" s="724" t="str">
        <f t="shared" si="18"/>
        <v/>
      </c>
      <c r="Q273" s="724" t="str">
        <f t="shared" si="18"/>
        <v/>
      </c>
      <c r="R273" s="724" t="str">
        <f t="shared" si="18"/>
        <v/>
      </c>
      <c r="S273" s="724" t="str">
        <f t="shared" si="18"/>
        <v/>
      </c>
      <c r="T273" s="725" t="str">
        <f t="shared" si="18"/>
        <v/>
      </c>
    </row>
    <row r="274" spans="2:20">
      <c r="B274" s="1791"/>
      <c r="C274" s="728">
        <v>8</v>
      </c>
      <c r="D274" s="729" t="s">
        <v>1016</v>
      </c>
      <c r="E274" s="728" t="s">
        <v>1406</v>
      </c>
      <c r="F274" s="726">
        <v>214</v>
      </c>
      <c r="G274" s="726">
        <v>122</v>
      </c>
      <c r="H274" s="727">
        <f t="shared" si="19"/>
        <v>26108</v>
      </c>
      <c r="I274" s="918" t="s">
        <v>4233</v>
      </c>
      <c r="J274" s="730">
        <f>60/122</f>
        <v>0.49180327868852458</v>
      </c>
      <c r="K274" s="727">
        <v>300000</v>
      </c>
      <c r="L274" s="727">
        <v>601460</v>
      </c>
      <c r="M274" s="724">
        <f t="shared" si="18"/>
        <v>2470.9836065573772</v>
      </c>
      <c r="N274" s="724">
        <f t="shared" si="18"/>
        <v>5.9836065573770494</v>
      </c>
      <c r="O274" s="724" t="str">
        <f t="shared" si="18"/>
        <v/>
      </c>
      <c r="P274" s="724" t="str">
        <f t="shared" si="18"/>
        <v/>
      </c>
      <c r="Q274" s="724" t="str">
        <f t="shared" si="18"/>
        <v/>
      </c>
      <c r="R274" s="724" t="str">
        <f t="shared" si="18"/>
        <v/>
      </c>
      <c r="S274" s="724" t="str">
        <f t="shared" si="18"/>
        <v/>
      </c>
      <c r="T274" s="725" t="str">
        <f t="shared" si="18"/>
        <v/>
      </c>
    </row>
    <row r="275" spans="2:20">
      <c r="B275" s="1791"/>
      <c r="C275" s="728">
        <v>9</v>
      </c>
      <c r="D275" s="729" t="s">
        <v>3113</v>
      </c>
      <c r="E275" s="728" t="s">
        <v>1409</v>
      </c>
      <c r="F275" s="726">
        <v>259</v>
      </c>
      <c r="G275" s="726">
        <v>115</v>
      </c>
      <c r="H275" s="727">
        <f t="shared" si="19"/>
        <v>29785</v>
      </c>
      <c r="I275" s="918" t="s">
        <v>4234</v>
      </c>
      <c r="J275" s="730">
        <f>72/115</f>
        <v>0.62608695652173918</v>
      </c>
      <c r="K275" s="727">
        <v>240000</v>
      </c>
      <c r="L275" s="727">
        <v>745150</v>
      </c>
      <c r="M275" s="724">
        <f t="shared" si="18"/>
        <v>4392.608695652174</v>
      </c>
      <c r="N275" s="724">
        <f t="shared" si="18"/>
        <v>1152.8260869565217</v>
      </c>
      <c r="O275" s="724">
        <f t="shared" si="18"/>
        <v>72.898550724637772</v>
      </c>
      <c r="P275" s="724" t="str">
        <f t="shared" si="18"/>
        <v/>
      </c>
      <c r="Q275" s="724" t="str">
        <f t="shared" si="18"/>
        <v/>
      </c>
      <c r="R275" s="724" t="str">
        <f t="shared" si="18"/>
        <v/>
      </c>
      <c r="S275" s="724" t="str">
        <f t="shared" si="18"/>
        <v/>
      </c>
      <c r="T275" s="725" t="str">
        <f t="shared" si="18"/>
        <v/>
      </c>
    </row>
    <row r="276" spans="2:20">
      <c r="B276" s="1791"/>
      <c r="C276" s="728">
        <v>10</v>
      </c>
      <c r="D276" s="729" t="s">
        <v>1031</v>
      </c>
      <c r="E276" s="728" t="s">
        <v>1414</v>
      </c>
      <c r="F276" s="726">
        <v>306</v>
      </c>
      <c r="G276" s="726">
        <v>103</v>
      </c>
      <c r="H276" s="727">
        <f t="shared" si="19"/>
        <v>31518</v>
      </c>
      <c r="I276" s="727">
        <v>60000</v>
      </c>
      <c r="J276" s="730">
        <f>47/103</f>
        <v>0.4563106796116505</v>
      </c>
      <c r="K276" s="727">
        <v>300000</v>
      </c>
      <c r="L276" s="727">
        <v>812850</v>
      </c>
      <c r="M276" s="724">
        <f t="shared" si="18"/>
        <v>4979.1262135922334</v>
      </c>
      <c r="N276" s="724">
        <f t="shared" si="18"/>
        <v>1033.2524271844661</v>
      </c>
      <c r="O276" s="724" t="str">
        <f t="shared" si="18"/>
        <v/>
      </c>
      <c r="P276" s="724" t="str">
        <f t="shared" si="18"/>
        <v/>
      </c>
      <c r="Q276" s="724" t="str">
        <f t="shared" si="18"/>
        <v/>
      </c>
      <c r="R276" s="724" t="str">
        <f t="shared" si="18"/>
        <v/>
      </c>
      <c r="S276" s="724" t="str">
        <f t="shared" si="18"/>
        <v/>
      </c>
      <c r="T276" s="725" t="str">
        <f t="shared" si="18"/>
        <v/>
      </c>
    </row>
    <row r="277" spans="2:20">
      <c r="B277" s="1791"/>
      <c r="C277" s="728">
        <v>11</v>
      </c>
      <c r="D277" s="729" t="s">
        <v>3071</v>
      </c>
      <c r="E277" s="728" t="s">
        <v>1403</v>
      </c>
      <c r="F277" s="726">
        <v>303</v>
      </c>
      <c r="G277" s="726">
        <v>116</v>
      </c>
      <c r="H277" s="727">
        <f t="shared" si="19"/>
        <v>35148</v>
      </c>
      <c r="I277" s="727">
        <v>8000</v>
      </c>
      <c r="J277" s="730">
        <f>79/116</f>
        <v>0.68103448275862066</v>
      </c>
      <c r="K277" s="727">
        <v>240000</v>
      </c>
      <c r="L277" s="727">
        <v>1094800</v>
      </c>
      <c r="M277" s="724">
        <f t="shared" si="18"/>
        <v>7368.9655172413795</v>
      </c>
      <c r="N277" s="724">
        <f t="shared" si="18"/>
        <v>2650</v>
      </c>
      <c r="O277" s="724">
        <f t="shared" si="18"/>
        <v>1077.0114942528735</v>
      </c>
      <c r="P277" s="724">
        <f t="shared" si="18"/>
        <v>290.51724137931035</v>
      </c>
      <c r="Q277" s="724" t="str">
        <f t="shared" si="18"/>
        <v/>
      </c>
      <c r="R277" s="724" t="str">
        <f t="shared" si="18"/>
        <v/>
      </c>
      <c r="S277" s="724" t="str">
        <f t="shared" si="18"/>
        <v/>
      </c>
      <c r="T277" s="725" t="str">
        <f t="shared" si="18"/>
        <v/>
      </c>
    </row>
    <row r="278" spans="2:20">
      <c r="B278" s="1791"/>
      <c r="C278" s="728">
        <v>12</v>
      </c>
      <c r="D278" s="729" t="s">
        <v>3114</v>
      </c>
      <c r="E278" s="728" t="s">
        <v>1414</v>
      </c>
      <c r="F278" s="726">
        <v>303</v>
      </c>
      <c r="G278" s="726">
        <v>122</v>
      </c>
      <c r="H278" s="727">
        <f t="shared" si="19"/>
        <v>36966</v>
      </c>
      <c r="I278" s="727"/>
      <c r="J278" s="730">
        <f>63/122</f>
        <v>0.51639344262295084</v>
      </c>
      <c r="K278" s="727">
        <v>380000</v>
      </c>
      <c r="L278" s="727">
        <v>1200400</v>
      </c>
      <c r="M278" s="724">
        <f t="shared" si="18"/>
        <v>6724.5901639344265</v>
      </c>
      <c r="N278" s="724">
        <f t="shared" si="18"/>
        <v>1804.9180327868853</v>
      </c>
      <c r="O278" s="724">
        <f t="shared" si="18"/>
        <v>165.02732240437143</v>
      </c>
      <c r="P278" s="724" t="str">
        <f t="shared" si="18"/>
        <v/>
      </c>
      <c r="Q278" s="724" t="str">
        <f t="shared" si="18"/>
        <v/>
      </c>
      <c r="R278" s="724" t="str">
        <f t="shared" si="18"/>
        <v/>
      </c>
      <c r="S278" s="724" t="str">
        <f t="shared" si="18"/>
        <v/>
      </c>
      <c r="T278" s="725" t="str">
        <f t="shared" si="18"/>
        <v/>
      </c>
    </row>
    <row r="279" spans="2:20">
      <c r="B279" s="1791"/>
      <c r="C279" s="728">
        <v>13</v>
      </c>
      <c r="D279" s="729" t="s">
        <v>3115</v>
      </c>
      <c r="E279" s="728" t="s">
        <v>1403</v>
      </c>
      <c r="F279" s="726">
        <v>346</v>
      </c>
      <c r="G279" s="726">
        <v>112</v>
      </c>
      <c r="H279" s="727">
        <f t="shared" si="19"/>
        <v>38752</v>
      </c>
      <c r="I279" s="733" t="s">
        <v>4235</v>
      </c>
      <c r="J279" s="730">
        <f>57/112</f>
        <v>0.5089285714285714</v>
      </c>
      <c r="K279" s="727">
        <v>300000</v>
      </c>
      <c r="L279" s="727">
        <v>1207680</v>
      </c>
      <c r="M279" s="724">
        <f t="shared" si="18"/>
        <v>8104.2857142857147</v>
      </c>
      <c r="N279" s="724">
        <f t="shared" si="18"/>
        <v>2712.8571428571427</v>
      </c>
      <c r="O279" s="724">
        <f t="shared" si="18"/>
        <v>915.71428571428567</v>
      </c>
      <c r="P279" s="724">
        <f t="shared" si="18"/>
        <v>17.142857142857142</v>
      </c>
      <c r="Q279" s="724" t="str">
        <f t="shared" si="18"/>
        <v/>
      </c>
      <c r="R279" s="724" t="str">
        <f t="shared" si="18"/>
        <v/>
      </c>
      <c r="S279" s="724" t="str">
        <f t="shared" si="18"/>
        <v/>
      </c>
      <c r="T279" s="725" t="str">
        <f t="shared" si="18"/>
        <v/>
      </c>
    </row>
    <row r="280" spans="2:20">
      <c r="B280" s="1791"/>
      <c r="C280" s="728">
        <v>14</v>
      </c>
      <c r="D280" s="729" t="s">
        <v>3116</v>
      </c>
      <c r="E280" s="728" t="s">
        <v>1409</v>
      </c>
      <c r="F280" s="726">
        <v>368</v>
      </c>
      <c r="G280" s="726">
        <v>120</v>
      </c>
      <c r="H280" s="727">
        <f t="shared" si="19"/>
        <v>44160</v>
      </c>
      <c r="I280" s="732"/>
      <c r="J280" s="730">
        <f>66/120</f>
        <v>0.55000000000000004</v>
      </c>
      <c r="K280" s="727">
        <v>150000</v>
      </c>
      <c r="L280" s="727">
        <v>1352400</v>
      </c>
      <c r="M280" s="724">
        <f t="shared" si="18"/>
        <v>10020</v>
      </c>
      <c r="N280" s="724">
        <f t="shared" si="18"/>
        <v>4385</v>
      </c>
      <c r="O280" s="724">
        <f t="shared" si="18"/>
        <v>2506.6666666666665</v>
      </c>
      <c r="P280" s="724">
        <f t="shared" si="18"/>
        <v>1567.5</v>
      </c>
      <c r="Q280" s="724">
        <f t="shared" si="18"/>
        <v>1004</v>
      </c>
      <c r="R280" s="724">
        <f t="shared" si="18"/>
        <v>628.33333333333337</v>
      </c>
      <c r="S280" s="724">
        <f t="shared" si="18"/>
        <v>360</v>
      </c>
      <c r="T280" s="725">
        <f t="shared" si="18"/>
        <v>158.75</v>
      </c>
    </row>
    <row r="281" spans="2:20">
      <c r="B281" s="1791"/>
      <c r="C281" s="728">
        <v>15</v>
      </c>
      <c r="D281" s="729" t="s">
        <v>3117</v>
      </c>
      <c r="E281" s="728" t="s">
        <v>1414</v>
      </c>
      <c r="F281" s="726">
        <v>463</v>
      </c>
      <c r="G281" s="726">
        <v>111</v>
      </c>
      <c r="H281" s="727">
        <f t="shared" si="19"/>
        <v>51393</v>
      </c>
      <c r="I281" s="726"/>
      <c r="J281" s="730">
        <f>53/111</f>
        <v>0.47747747747747749</v>
      </c>
      <c r="K281" s="727">
        <v>90000</v>
      </c>
      <c r="L281" s="727">
        <v>1555210</v>
      </c>
      <c r="M281" s="724">
        <f t="shared" si="18"/>
        <v>13200.090090090091</v>
      </c>
      <c r="N281" s="724">
        <f t="shared" si="18"/>
        <v>6194.6396396396394</v>
      </c>
      <c r="O281" s="724">
        <f t="shared" si="18"/>
        <v>3859.4894894894892</v>
      </c>
      <c r="P281" s="724">
        <f t="shared" si="18"/>
        <v>2691.9144144144143</v>
      </c>
      <c r="Q281" s="724">
        <f t="shared" si="18"/>
        <v>1991.3693693693695</v>
      </c>
      <c r="R281" s="724">
        <f t="shared" si="18"/>
        <v>1524.3393393393392</v>
      </c>
      <c r="S281" s="724">
        <f t="shared" si="18"/>
        <v>1190.7464607464606</v>
      </c>
      <c r="T281" s="725">
        <f t="shared" si="18"/>
        <v>940.55180180180184</v>
      </c>
    </row>
    <row r="282" spans="2:20">
      <c r="B282" s="1791"/>
      <c r="C282" s="728">
        <v>16</v>
      </c>
      <c r="D282" s="729" t="s">
        <v>3118</v>
      </c>
      <c r="E282" s="728" t="s">
        <v>1403</v>
      </c>
      <c r="F282" s="726">
        <v>353</v>
      </c>
      <c r="G282" s="726">
        <v>166</v>
      </c>
      <c r="H282" s="727">
        <f t="shared" si="19"/>
        <v>58598</v>
      </c>
      <c r="I282" s="727"/>
      <c r="J282" s="730">
        <f>39/166</f>
        <v>0.23493975903614459</v>
      </c>
      <c r="K282" s="727">
        <v>1071000</v>
      </c>
      <c r="L282" s="727">
        <v>2697500</v>
      </c>
      <c r="M282" s="724">
        <f t="shared" si="18"/>
        <v>9798.1927710843374</v>
      </c>
      <c r="N282" s="724">
        <f t="shared" si="18"/>
        <v>1673.1927710843374</v>
      </c>
      <c r="O282" s="724" t="str">
        <f t="shared" si="18"/>
        <v/>
      </c>
      <c r="P282" s="724" t="str">
        <f t="shared" si="18"/>
        <v/>
      </c>
      <c r="Q282" s="724" t="str">
        <f t="shared" si="18"/>
        <v/>
      </c>
      <c r="R282" s="724" t="str">
        <f t="shared" si="18"/>
        <v/>
      </c>
      <c r="S282" s="724" t="str">
        <f t="shared" si="18"/>
        <v/>
      </c>
      <c r="T282" s="725" t="str">
        <f t="shared" si="18"/>
        <v/>
      </c>
    </row>
    <row r="283" spans="2:20">
      <c r="B283" s="1791"/>
      <c r="C283" s="728">
        <v>17</v>
      </c>
      <c r="D283" s="729" t="s">
        <v>3107</v>
      </c>
      <c r="E283" s="728" t="s">
        <v>1406</v>
      </c>
      <c r="F283" s="726">
        <v>368</v>
      </c>
      <c r="G283" s="726">
        <v>179</v>
      </c>
      <c r="H283" s="727">
        <f t="shared" si="19"/>
        <v>65872</v>
      </c>
      <c r="I283" s="727"/>
      <c r="J283" s="730">
        <f>108/179</f>
        <v>0.6033519553072626</v>
      </c>
      <c r="K283" s="727">
        <v>1967000</v>
      </c>
      <c r="L283" s="727">
        <v>3266750</v>
      </c>
      <c r="M283" s="724">
        <f t="shared" si="18"/>
        <v>7261.1731843575417</v>
      </c>
      <c r="N283" s="724" t="str">
        <f t="shared" si="18"/>
        <v/>
      </c>
      <c r="O283" s="724" t="str">
        <f t="shared" si="18"/>
        <v/>
      </c>
      <c r="P283" s="724" t="str">
        <f t="shared" si="18"/>
        <v/>
      </c>
      <c r="Q283" s="724" t="str">
        <f t="shared" si="18"/>
        <v/>
      </c>
      <c r="R283" s="724" t="str">
        <f t="shared" si="18"/>
        <v/>
      </c>
      <c r="S283" s="724" t="str">
        <f t="shared" si="18"/>
        <v/>
      </c>
      <c r="T283" s="725" t="str">
        <f t="shared" si="18"/>
        <v/>
      </c>
    </row>
    <row r="284" spans="2:20">
      <c r="B284" s="1791"/>
      <c r="C284" s="728">
        <v>18</v>
      </c>
      <c r="D284" s="729" t="s">
        <v>3066</v>
      </c>
      <c r="E284" s="728" t="s">
        <v>1392</v>
      </c>
      <c r="F284" s="726">
        <v>419</v>
      </c>
      <c r="G284" s="726">
        <v>179</v>
      </c>
      <c r="H284" s="727">
        <f t="shared" si="19"/>
        <v>75001</v>
      </c>
      <c r="I284" s="912"/>
      <c r="J284" s="730">
        <f>105/179</f>
        <v>0.58659217877094971</v>
      </c>
      <c r="K284" s="727">
        <v>1686000</v>
      </c>
      <c r="L284" s="727">
        <v>3823500</v>
      </c>
      <c r="M284" s="724">
        <f t="shared" si="18"/>
        <v>11941.340782122905</v>
      </c>
      <c r="N284" s="724">
        <f t="shared" si="18"/>
        <v>1261.1731843575419</v>
      </c>
      <c r="O284" s="724" t="str">
        <f t="shared" si="18"/>
        <v/>
      </c>
      <c r="P284" s="724" t="str">
        <f t="shared" si="18"/>
        <v/>
      </c>
      <c r="Q284" s="724" t="str">
        <f t="shared" si="18"/>
        <v/>
      </c>
      <c r="R284" s="724" t="str">
        <f t="shared" si="18"/>
        <v/>
      </c>
      <c r="S284" s="724" t="str">
        <f t="shared" si="18"/>
        <v/>
      </c>
      <c r="T284" s="725" t="str">
        <f t="shared" si="18"/>
        <v/>
      </c>
    </row>
    <row r="285" spans="2:20">
      <c r="B285" s="1791"/>
      <c r="C285" s="728">
        <v>19</v>
      </c>
      <c r="D285" s="729" t="s">
        <v>3119</v>
      </c>
      <c r="E285" s="728" t="s">
        <v>1392</v>
      </c>
      <c r="F285" s="726">
        <v>503</v>
      </c>
      <c r="G285" s="726">
        <v>191</v>
      </c>
      <c r="H285" s="727">
        <f t="shared" si="19"/>
        <v>96073</v>
      </c>
      <c r="I285" s="727">
        <v>10000</v>
      </c>
      <c r="J285" s="730">
        <f>136/191</f>
        <v>0.7120418848167539</v>
      </c>
      <c r="K285" s="727">
        <v>2720000</v>
      </c>
      <c r="L285" s="727">
        <v>4475000</v>
      </c>
      <c r="M285" s="724">
        <f t="shared" si="18"/>
        <v>9188.4816753926698</v>
      </c>
      <c r="N285" s="724" t="str">
        <f t="shared" si="18"/>
        <v/>
      </c>
      <c r="O285" s="724" t="str">
        <f t="shared" si="18"/>
        <v/>
      </c>
      <c r="P285" s="724" t="str">
        <f t="shared" si="18"/>
        <v/>
      </c>
      <c r="Q285" s="724" t="str">
        <f t="shared" si="18"/>
        <v/>
      </c>
      <c r="R285" s="724" t="str">
        <f t="shared" si="18"/>
        <v/>
      </c>
      <c r="S285" s="724" t="str">
        <f t="shared" si="18"/>
        <v/>
      </c>
      <c r="T285" s="725" t="str">
        <f t="shared" si="18"/>
        <v/>
      </c>
    </row>
    <row r="286" spans="2:20" ht="23.25" thickBot="1">
      <c r="B286" s="1792"/>
      <c r="C286" s="748">
        <v>20</v>
      </c>
      <c r="D286" s="749" t="s">
        <v>3120</v>
      </c>
      <c r="E286" s="748" t="s">
        <v>1392</v>
      </c>
      <c r="F286" s="750">
        <v>569</v>
      </c>
      <c r="G286" s="750">
        <v>285</v>
      </c>
      <c r="H286" s="751">
        <f t="shared" si="19"/>
        <v>162165</v>
      </c>
      <c r="I286" s="751"/>
      <c r="J286" s="752">
        <f>148/285</f>
        <v>0.51929824561403504</v>
      </c>
      <c r="K286" s="751">
        <v>7740000</v>
      </c>
      <c r="L286" s="751">
        <v>8550000</v>
      </c>
      <c r="M286" s="741">
        <f t="shared" si="18"/>
        <v>2842.1052631578946</v>
      </c>
      <c r="N286" s="741" t="str">
        <f t="shared" si="18"/>
        <v/>
      </c>
      <c r="O286" s="741" t="str">
        <f t="shared" si="18"/>
        <v/>
      </c>
      <c r="P286" s="741" t="str">
        <f t="shared" si="18"/>
        <v/>
      </c>
      <c r="Q286" s="741" t="str">
        <f t="shared" si="18"/>
        <v/>
      </c>
      <c r="R286" s="741" t="str">
        <f t="shared" si="18"/>
        <v/>
      </c>
      <c r="S286" s="741" t="str">
        <f t="shared" si="18"/>
        <v/>
      </c>
      <c r="T286" s="742" t="str">
        <f t="shared" si="18"/>
        <v/>
      </c>
    </row>
    <row r="287" spans="2:20">
      <c r="B287" s="1787">
        <v>9</v>
      </c>
      <c r="C287" s="745">
        <v>1</v>
      </c>
      <c r="D287" s="746" t="s">
        <v>3112</v>
      </c>
      <c r="E287" s="745" t="s">
        <v>1392</v>
      </c>
      <c r="F287" s="743">
        <v>67</v>
      </c>
      <c r="G287" s="743">
        <v>109</v>
      </c>
      <c r="H287" s="744">
        <f t="shared" si="19"/>
        <v>7303</v>
      </c>
      <c r="I287" s="744"/>
      <c r="J287" s="747">
        <f>54/109</f>
        <v>0.49541284403669728</v>
      </c>
      <c r="K287" s="744">
        <v>610000</v>
      </c>
      <c r="L287" s="744">
        <v>153360</v>
      </c>
      <c r="M287" s="739" t="str">
        <f t="shared" si="18"/>
        <v/>
      </c>
      <c r="N287" s="739" t="str">
        <f t="shared" si="18"/>
        <v/>
      </c>
      <c r="O287" s="739" t="str">
        <f t="shared" si="18"/>
        <v/>
      </c>
      <c r="P287" s="739" t="str">
        <f t="shared" si="18"/>
        <v/>
      </c>
      <c r="Q287" s="739" t="str">
        <f t="shared" si="18"/>
        <v/>
      </c>
      <c r="R287" s="739" t="str">
        <f t="shared" si="18"/>
        <v/>
      </c>
      <c r="S287" s="739" t="str">
        <f t="shared" si="18"/>
        <v/>
      </c>
      <c r="T287" s="740" t="str">
        <f t="shared" si="18"/>
        <v/>
      </c>
    </row>
    <row r="288" spans="2:20">
      <c r="B288" s="1788"/>
      <c r="C288" s="728">
        <v>2</v>
      </c>
      <c r="D288" s="731" t="s">
        <v>3060</v>
      </c>
      <c r="E288" s="728" t="s">
        <v>1403</v>
      </c>
      <c r="F288" s="726">
        <v>100</v>
      </c>
      <c r="G288" s="726">
        <v>109</v>
      </c>
      <c r="H288" s="727">
        <f t="shared" si="19"/>
        <v>10900</v>
      </c>
      <c r="I288" s="727"/>
      <c r="J288" s="730">
        <f>44/109</f>
        <v>0.40366972477064222</v>
      </c>
      <c r="K288" s="727">
        <f>83000*4</f>
        <v>332000</v>
      </c>
      <c r="L288" s="727">
        <v>200400</v>
      </c>
      <c r="M288" s="724" t="str">
        <f t="shared" si="18"/>
        <v/>
      </c>
      <c r="N288" s="724" t="str">
        <f t="shared" si="18"/>
        <v/>
      </c>
      <c r="O288" s="724" t="str">
        <f t="shared" si="18"/>
        <v/>
      </c>
      <c r="P288" s="724" t="str">
        <f t="shared" si="18"/>
        <v/>
      </c>
      <c r="Q288" s="724" t="str">
        <f t="shared" si="18"/>
        <v/>
      </c>
      <c r="R288" s="724" t="str">
        <f t="shared" si="18"/>
        <v/>
      </c>
      <c r="S288" s="724" t="str">
        <f t="shared" si="18"/>
        <v/>
      </c>
      <c r="T288" s="725" t="str">
        <f t="shared" si="18"/>
        <v/>
      </c>
    </row>
    <row r="289" spans="2:20">
      <c r="B289" s="1788"/>
      <c r="C289" s="728">
        <v>3</v>
      </c>
      <c r="D289" s="731" t="s">
        <v>1393</v>
      </c>
      <c r="E289" s="728" t="s">
        <v>1392</v>
      </c>
      <c r="F289" s="726">
        <v>109</v>
      </c>
      <c r="G289" s="726">
        <v>116</v>
      </c>
      <c r="H289" s="727">
        <f>F289*G289</f>
        <v>12644</v>
      </c>
      <c r="I289" s="726"/>
      <c r="J289" s="730">
        <f>45/116</f>
        <v>0.38793103448275862</v>
      </c>
      <c r="K289" s="727">
        <v>350000</v>
      </c>
      <c r="L289" s="727">
        <v>251120</v>
      </c>
      <c r="M289" s="724" t="str">
        <f t="shared" si="18"/>
        <v/>
      </c>
      <c r="N289" s="724" t="str">
        <f t="shared" si="18"/>
        <v/>
      </c>
      <c r="O289" s="724" t="str">
        <f t="shared" si="18"/>
        <v/>
      </c>
      <c r="P289" s="724" t="str">
        <f t="shared" si="18"/>
        <v/>
      </c>
      <c r="Q289" s="724" t="str">
        <f t="shared" si="18"/>
        <v/>
      </c>
      <c r="R289" s="724" t="str">
        <f t="shared" si="18"/>
        <v/>
      </c>
      <c r="S289" s="724" t="str">
        <f t="shared" si="18"/>
        <v/>
      </c>
      <c r="T289" s="725" t="str">
        <f t="shared" si="18"/>
        <v/>
      </c>
    </row>
    <row r="290" spans="2:20">
      <c r="B290" s="1788"/>
      <c r="C290" s="728">
        <v>4</v>
      </c>
      <c r="D290" s="729" t="s">
        <v>2925</v>
      </c>
      <c r="E290" s="728" t="s">
        <v>1403</v>
      </c>
      <c r="F290" s="726">
        <v>162</v>
      </c>
      <c r="G290" s="726">
        <v>89</v>
      </c>
      <c r="H290" s="727">
        <f t="shared" ref="H290:H309" si="20">F290*G290</f>
        <v>14418</v>
      </c>
      <c r="I290" s="727">
        <v>-6000</v>
      </c>
      <c r="J290" s="730">
        <f>(10+12+6)/89</f>
        <v>0.3146067415730337</v>
      </c>
      <c r="K290" s="727">
        <v>240000</v>
      </c>
      <c r="L290" s="727">
        <v>305120</v>
      </c>
      <c r="M290" s="724">
        <f t="shared" si="18"/>
        <v>731.68539325842698</v>
      </c>
      <c r="N290" s="724" t="str">
        <f t="shared" si="18"/>
        <v/>
      </c>
      <c r="O290" s="724" t="str">
        <f t="shared" si="18"/>
        <v/>
      </c>
      <c r="P290" s="724" t="str">
        <f t="shared" si="18"/>
        <v/>
      </c>
      <c r="Q290" s="724" t="str">
        <f t="shared" si="18"/>
        <v/>
      </c>
      <c r="R290" s="724" t="str">
        <f t="shared" si="18"/>
        <v/>
      </c>
      <c r="S290" s="724" t="str">
        <f t="shared" si="18"/>
        <v/>
      </c>
      <c r="T290" s="725" t="str">
        <f t="shared" si="18"/>
        <v/>
      </c>
    </row>
    <row r="291" spans="2:20">
      <c r="B291" s="1788"/>
      <c r="C291" s="728">
        <v>5</v>
      </c>
      <c r="D291" s="731" t="s">
        <v>3081</v>
      </c>
      <c r="E291" s="728" t="s">
        <v>1392</v>
      </c>
      <c r="F291" s="726">
        <v>138</v>
      </c>
      <c r="G291" s="726">
        <v>118</v>
      </c>
      <c r="H291" s="727">
        <f t="shared" si="20"/>
        <v>16284</v>
      </c>
      <c r="I291" s="727">
        <v>18000</v>
      </c>
      <c r="J291" s="730">
        <f>(8+4+18+16)/118</f>
        <v>0.38983050847457629</v>
      </c>
      <c r="K291" s="727">
        <v>360000</v>
      </c>
      <c r="L291" s="727">
        <v>356120</v>
      </c>
      <c r="M291" s="724" t="str">
        <f t="shared" si="18"/>
        <v/>
      </c>
      <c r="N291" s="724" t="str">
        <f t="shared" si="18"/>
        <v/>
      </c>
      <c r="O291" s="724" t="str">
        <f t="shared" si="18"/>
        <v/>
      </c>
      <c r="P291" s="724" t="str">
        <f t="shared" si="18"/>
        <v/>
      </c>
      <c r="Q291" s="724" t="str">
        <f t="shared" si="18"/>
        <v/>
      </c>
      <c r="R291" s="724" t="str">
        <f t="shared" si="18"/>
        <v/>
      </c>
      <c r="S291" s="724" t="str">
        <f t="shared" si="18"/>
        <v/>
      </c>
      <c r="T291" s="725" t="str">
        <f t="shared" si="18"/>
        <v/>
      </c>
    </row>
    <row r="292" spans="2:20">
      <c r="B292" s="1788"/>
      <c r="C292" s="728">
        <v>6</v>
      </c>
      <c r="D292" s="729" t="s">
        <v>3071</v>
      </c>
      <c r="E292" s="728" t="s">
        <v>1403</v>
      </c>
      <c r="F292" s="726">
        <v>156</v>
      </c>
      <c r="G292" s="726">
        <v>116</v>
      </c>
      <c r="H292" s="727">
        <f t="shared" si="20"/>
        <v>18096</v>
      </c>
      <c r="I292" s="727">
        <v>8000</v>
      </c>
      <c r="J292" s="730">
        <f>79/116</f>
        <v>0.68103448275862066</v>
      </c>
      <c r="K292" s="727">
        <v>240000</v>
      </c>
      <c r="L292" s="727">
        <v>408000</v>
      </c>
      <c r="M292" s="724">
        <f t="shared" si="18"/>
        <v>1448.2758620689656</v>
      </c>
      <c r="N292" s="724" t="str">
        <f t="shared" si="18"/>
        <v/>
      </c>
      <c r="O292" s="724" t="str">
        <f t="shared" si="18"/>
        <v/>
      </c>
      <c r="P292" s="724" t="str">
        <f t="shared" si="18"/>
        <v/>
      </c>
      <c r="Q292" s="724" t="str">
        <f t="shared" si="18"/>
        <v/>
      </c>
      <c r="R292" s="724" t="str">
        <f t="shared" si="18"/>
        <v/>
      </c>
      <c r="S292" s="724" t="str">
        <f t="shared" si="18"/>
        <v/>
      </c>
      <c r="T292" s="725" t="str">
        <f t="shared" si="18"/>
        <v/>
      </c>
    </row>
    <row r="293" spans="2:20">
      <c r="B293" s="1788"/>
      <c r="C293" s="728">
        <v>7</v>
      </c>
      <c r="D293" s="729" t="s">
        <v>3121</v>
      </c>
      <c r="E293" s="728" t="s">
        <v>1392</v>
      </c>
      <c r="F293" s="726">
        <v>196</v>
      </c>
      <c r="G293" s="726">
        <v>115</v>
      </c>
      <c r="H293" s="727">
        <f>F293*G293</f>
        <v>22540</v>
      </c>
      <c r="I293" s="726" t="s">
        <v>3122</v>
      </c>
      <c r="J293" s="730">
        <f>(10+6+7+12+12)/115</f>
        <v>0.40869565217391307</v>
      </c>
      <c r="K293" s="727">
        <v>240000</v>
      </c>
      <c r="L293" s="727">
        <v>451250</v>
      </c>
      <c r="M293" s="724">
        <f t="shared" si="18"/>
        <v>1836.9565217391305</v>
      </c>
      <c r="N293" s="724" t="str">
        <f t="shared" si="18"/>
        <v/>
      </c>
      <c r="O293" s="724" t="str">
        <f t="shared" si="18"/>
        <v/>
      </c>
      <c r="P293" s="724" t="str">
        <f t="shared" si="18"/>
        <v/>
      </c>
      <c r="Q293" s="724" t="str">
        <f t="shared" si="18"/>
        <v/>
      </c>
      <c r="R293" s="724" t="str">
        <f t="shared" si="18"/>
        <v/>
      </c>
      <c r="S293" s="724" t="str">
        <f t="shared" si="18"/>
        <v/>
      </c>
      <c r="T293" s="725" t="str">
        <f t="shared" si="18"/>
        <v/>
      </c>
    </row>
    <row r="294" spans="2:20">
      <c r="B294" s="1788"/>
      <c r="C294" s="728">
        <v>8</v>
      </c>
      <c r="D294" s="731" t="s">
        <v>2845</v>
      </c>
      <c r="E294" s="728" t="s">
        <v>1403</v>
      </c>
      <c r="F294" s="726">
        <v>218</v>
      </c>
      <c r="G294" s="726">
        <v>120</v>
      </c>
      <c r="H294" s="727">
        <f t="shared" si="20"/>
        <v>26160</v>
      </c>
      <c r="I294" s="727">
        <v>-2000</v>
      </c>
      <c r="J294" s="730">
        <f>57/120</f>
        <v>0.47499999999999998</v>
      </c>
      <c r="K294" s="727">
        <v>600000</v>
      </c>
      <c r="L294" s="727">
        <v>601600</v>
      </c>
      <c r="M294" s="724">
        <f t="shared" si="18"/>
        <v>13.333333333333334</v>
      </c>
      <c r="N294" s="724" t="str">
        <f t="shared" si="18"/>
        <v/>
      </c>
      <c r="O294" s="724" t="str">
        <f t="shared" si="18"/>
        <v/>
      </c>
      <c r="P294" s="724" t="str">
        <f t="shared" si="18"/>
        <v/>
      </c>
      <c r="Q294" s="724" t="str">
        <f t="shared" si="18"/>
        <v/>
      </c>
      <c r="R294" s="724" t="str">
        <f t="shared" si="18"/>
        <v/>
      </c>
      <c r="S294" s="724" t="str">
        <f t="shared" si="18"/>
        <v/>
      </c>
      <c r="T294" s="725" t="str">
        <f t="shared" si="18"/>
        <v/>
      </c>
    </row>
    <row r="295" spans="2:20">
      <c r="B295" s="1788"/>
      <c r="C295" s="728">
        <v>9</v>
      </c>
      <c r="D295" s="731" t="s">
        <v>2887</v>
      </c>
      <c r="E295" s="728" t="s">
        <v>1392</v>
      </c>
      <c r="F295" s="726">
        <v>259</v>
      </c>
      <c r="G295" s="726">
        <v>115</v>
      </c>
      <c r="H295" s="727">
        <f t="shared" si="20"/>
        <v>29785</v>
      </c>
      <c r="I295" s="726"/>
      <c r="J295" s="730">
        <f>45/115</f>
        <v>0.39130434782608697</v>
      </c>
      <c r="K295" s="727">
        <f>78000*4</f>
        <v>312000</v>
      </c>
      <c r="L295" s="727">
        <v>705150</v>
      </c>
      <c r="M295" s="724">
        <f t="shared" si="18"/>
        <v>3418.695652173913</v>
      </c>
      <c r="N295" s="724">
        <f t="shared" si="18"/>
        <v>352.82608695652175</v>
      </c>
      <c r="O295" s="724" t="str">
        <f t="shared" si="18"/>
        <v/>
      </c>
      <c r="P295" s="724" t="str">
        <f t="shared" si="18"/>
        <v/>
      </c>
      <c r="Q295" s="724" t="str">
        <f t="shared" si="18"/>
        <v/>
      </c>
      <c r="R295" s="724" t="str">
        <f t="shared" si="18"/>
        <v/>
      </c>
      <c r="S295" s="724" t="str">
        <f t="shared" si="18"/>
        <v/>
      </c>
      <c r="T295" s="725" t="str">
        <f t="shared" si="18"/>
        <v/>
      </c>
    </row>
    <row r="296" spans="2:20">
      <c r="B296" s="1788"/>
      <c r="C296" s="728">
        <v>10</v>
      </c>
      <c r="D296" s="731" t="s">
        <v>1188</v>
      </c>
      <c r="E296" s="728" t="s">
        <v>1403</v>
      </c>
      <c r="F296" s="726">
        <v>267</v>
      </c>
      <c r="G296" s="726">
        <v>118</v>
      </c>
      <c r="H296" s="727">
        <f t="shared" si="20"/>
        <v>31506</v>
      </c>
      <c r="I296" s="727">
        <v>12000</v>
      </c>
      <c r="J296" s="730">
        <f>27/118</f>
        <v>0.2288135593220339</v>
      </c>
      <c r="K296" s="727">
        <v>280000</v>
      </c>
      <c r="L296" s="727">
        <v>802100</v>
      </c>
      <c r="M296" s="724">
        <f t="shared" si="18"/>
        <v>4424.5762711864409</v>
      </c>
      <c r="N296" s="724">
        <f t="shared" si="18"/>
        <v>1025.8474576271187</v>
      </c>
      <c r="O296" s="724" t="str">
        <f t="shared" si="18"/>
        <v/>
      </c>
      <c r="P296" s="724" t="str">
        <f t="shared" si="18"/>
        <v/>
      </c>
      <c r="Q296" s="724" t="str">
        <f t="shared" si="18"/>
        <v/>
      </c>
      <c r="R296" s="724" t="str">
        <f t="shared" si="18"/>
        <v/>
      </c>
      <c r="S296" s="724" t="str">
        <f t="shared" si="18"/>
        <v/>
      </c>
      <c r="T296" s="725" t="str">
        <f t="shared" si="18"/>
        <v/>
      </c>
    </row>
    <row r="297" spans="2:20">
      <c r="B297" s="1788"/>
      <c r="C297" s="728">
        <v>11</v>
      </c>
      <c r="D297" s="731" t="s">
        <v>1182</v>
      </c>
      <c r="E297" s="728" t="s">
        <v>1392</v>
      </c>
      <c r="F297" s="726">
        <v>308</v>
      </c>
      <c r="G297" s="726">
        <v>114</v>
      </c>
      <c r="H297" s="727">
        <f t="shared" si="20"/>
        <v>35112</v>
      </c>
      <c r="I297" s="727"/>
      <c r="J297" s="730">
        <f>54/114</f>
        <v>0.47368421052631576</v>
      </c>
      <c r="K297" s="727">
        <v>300000</v>
      </c>
      <c r="L297" s="727">
        <v>909200</v>
      </c>
      <c r="M297" s="724">
        <f t="shared" si="18"/>
        <v>5343.8596491228072</v>
      </c>
      <c r="N297" s="724">
        <f t="shared" si="18"/>
        <v>1356.140350877193</v>
      </c>
      <c r="O297" s="724">
        <f t="shared" si="18"/>
        <v>26.900584795321809</v>
      </c>
      <c r="P297" s="724" t="str">
        <f t="shared" si="18"/>
        <v/>
      </c>
      <c r="Q297" s="724" t="str">
        <f t="shared" si="18"/>
        <v/>
      </c>
      <c r="R297" s="724" t="str">
        <f t="shared" si="18"/>
        <v/>
      </c>
      <c r="S297" s="724" t="str">
        <f t="shared" si="18"/>
        <v/>
      </c>
      <c r="T297" s="725" t="str">
        <f t="shared" si="18"/>
        <v/>
      </c>
    </row>
    <row r="298" spans="2:20">
      <c r="B298" s="1788"/>
      <c r="C298" s="728">
        <v>12</v>
      </c>
      <c r="D298" s="731" t="s">
        <v>1429</v>
      </c>
      <c r="E298" s="728" t="s">
        <v>1403</v>
      </c>
      <c r="F298" s="726">
        <v>321</v>
      </c>
      <c r="G298" s="726">
        <v>115</v>
      </c>
      <c r="H298" s="727">
        <f t="shared" si="20"/>
        <v>36915</v>
      </c>
      <c r="I298" s="727"/>
      <c r="J298" s="730">
        <f>(11+6+34+9)/115</f>
        <v>0.52173913043478259</v>
      </c>
      <c r="K298" s="727">
        <v>280000</v>
      </c>
      <c r="L298" s="727">
        <v>1053000</v>
      </c>
      <c r="M298" s="724">
        <f t="shared" si="18"/>
        <v>6721.739130434783</v>
      </c>
      <c r="N298" s="724">
        <f t="shared" si="18"/>
        <v>2143.478260869565</v>
      </c>
      <c r="O298" s="724">
        <f t="shared" si="18"/>
        <v>617.39130434782612</v>
      </c>
      <c r="P298" s="724" t="str">
        <f t="shared" si="18"/>
        <v/>
      </c>
      <c r="Q298" s="724" t="str">
        <f t="shared" si="18"/>
        <v/>
      </c>
      <c r="R298" s="724" t="str">
        <f t="shared" si="18"/>
        <v/>
      </c>
      <c r="S298" s="724" t="str">
        <f t="shared" si="18"/>
        <v/>
      </c>
      <c r="T298" s="725" t="str">
        <f t="shared" si="18"/>
        <v/>
      </c>
    </row>
    <row r="299" spans="2:20">
      <c r="B299" s="1788"/>
      <c r="C299" s="728">
        <v>13</v>
      </c>
      <c r="D299" s="729" t="s">
        <v>2608</v>
      </c>
      <c r="E299" s="728" t="s">
        <v>1392</v>
      </c>
      <c r="F299" s="726">
        <v>377</v>
      </c>
      <c r="G299" s="726">
        <v>113</v>
      </c>
      <c r="H299" s="727">
        <f t="shared" si="20"/>
        <v>42601</v>
      </c>
      <c r="I299" s="727">
        <v>12000</v>
      </c>
      <c r="J299" s="730">
        <f>40/113</f>
        <v>0.35398230088495575</v>
      </c>
      <c r="K299" s="727">
        <v>240000</v>
      </c>
      <c r="L299" s="727">
        <v>1517570</v>
      </c>
      <c r="M299" s="724">
        <f t="shared" si="18"/>
        <v>11305.929203539823</v>
      </c>
      <c r="N299" s="724">
        <f t="shared" si="18"/>
        <v>4591.0176991150438</v>
      </c>
      <c r="O299" s="724">
        <f t="shared" si="18"/>
        <v>2352.7138643067847</v>
      </c>
      <c r="P299" s="724">
        <f t="shared" si="18"/>
        <v>1233.5619469026549</v>
      </c>
      <c r="Q299" s="724">
        <f t="shared" si="18"/>
        <v>562.07079646017701</v>
      </c>
      <c r="R299" s="724">
        <f t="shared" ref="R299:T327" si="21">IF(($L299/R$1-$K299)/$G299&gt;0,($L299/R$1-$K299)/$G299,"")</f>
        <v>114.41002949852516</v>
      </c>
      <c r="S299" s="724" t="str">
        <f t="shared" si="21"/>
        <v/>
      </c>
      <c r="T299" s="725" t="str">
        <f t="shared" si="21"/>
        <v/>
      </c>
    </row>
    <row r="300" spans="2:20">
      <c r="B300" s="1788"/>
      <c r="C300" s="728">
        <v>14</v>
      </c>
      <c r="D300" s="729" t="s">
        <v>3115</v>
      </c>
      <c r="E300" s="728" t="s">
        <v>1403</v>
      </c>
      <c r="F300" s="726">
        <v>434</v>
      </c>
      <c r="G300" s="726">
        <v>112</v>
      </c>
      <c r="H300" s="727">
        <f t="shared" si="20"/>
        <v>48608</v>
      </c>
      <c r="I300" s="733" t="s">
        <v>4235</v>
      </c>
      <c r="J300" s="730">
        <f>57/112</f>
        <v>0.5089285714285714</v>
      </c>
      <c r="K300" s="727">
        <v>300000</v>
      </c>
      <c r="L300" s="727">
        <v>2062240</v>
      </c>
      <c r="M300" s="724">
        <f t="shared" ref="M300:Q309" si="22">IF(($L300/M$1-$K300)/$G300&gt;0,($L300/M$1-$K300)/$G300,"")</f>
        <v>15734.285714285714</v>
      </c>
      <c r="N300" s="724">
        <f t="shared" si="22"/>
        <v>6527.8571428571431</v>
      </c>
      <c r="O300" s="724">
        <f t="shared" si="22"/>
        <v>3459.0476190476193</v>
      </c>
      <c r="P300" s="724">
        <f t="shared" si="22"/>
        <v>1924.6428571428571</v>
      </c>
      <c r="Q300" s="724">
        <f t="shared" si="22"/>
        <v>1004</v>
      </c>
      <c r="R300" s="724">
        <f t="shared" si="21"/>
        <v>390.23809523809541</v>
      </c>
      <c r="S300" s="724" t="str">
        <f t="shared" si="21"/>
        <v/>
      </c>
      <c r="T300" s="725" t="str">
        <f t="shared" si="21"/>
        <v/>
      </c>
    </row>
    <row r="301" spans="2:20">
      <c r="B301" s="1788"/>
      <c r="C301" s="728">
        <v>15</v>
      </c>
      <c r="D301" s="731" t="s">
        <v>2882</v>
      </c>
      <c r="E301" s="728" t="s">
        <v>1392</v>
      </c>
      <c r="F301" s="726">
        <v>323</v>
      </c>
      <c r="G301" s="726">
        <v>175</v>
      </c>
      <c r="H301" s="727">
        <f t="shared" si="20"/>
        <v>56525</v>
      </c>
      <c r="I301" s="912"/>
      <c r="J301" s="730">
        <f>85/175</f>
        <v>0.48571428571428571</v>
      </c>
      <c r="K301" s="727">
        <v>2369000</v>
      </c>
      <c r="L301" s="727">
        <v>2594250</v>
      </c>
      <c r="M301" s="724">
        <f t="shared" si="22"/>
        <v>1287.1428571428571</v>
      </c>
      <c r="N301" s="724" t="str">
        <f t="shared" si="22"/>
        <v/>
      </c>
      <c r="O301" s="724" t="str">
        <f t="shared" si="22"/>
        <v/>
      </c>
      <c r="P301" s="724" t="str">
        <f t="shared" si="22"/>
        <v/>
      </c>
      <c r="Q301" s="724" t="str">
        <f t="shared" si="22"/>
        <v/>
      </c>
      <c r="R301" s="724" t="str">
        <f t="shared" si="21"/>
        <v/>
      </c>
      <c r="S301" s="724" t="str">
        <f t="shared" si="21"/>
        <v/>
      </c>
      <c r="T301" s="725" t="str">
        <f t="shared" si="21"/>
        <v/>
      </c>
    </row>
    <row r="302" spans="2:20">
      <c r="B302" s="1788"/>
      <c r="C302" s="728">
        <v>16</v>
      </c>
      <c r="D302" s="729" t="s">
        <v>3123</v>
      </c>
      <c r="E302" s="728" t="s">
        <v>1403</v>
      </c>
      <c r="F302" s="726">
        <v>400</v>
      </c>
      <c r="G302" s="726">
        <v>161</v>
      </c>
      <c r="H302" s="727">
        <f t="shared" si="20"/>
        <v>64400</v>
      </c>
      <c r="I302" s="727"/>
      <c r="J302" s="730">
        <f>(10+12+13+7)/161</f>
        <v>0.2608695652173913</v>
      </c>
      <c r="K302" s="727">
        <v>440000</v>
      </c>
      <c r="L302" s="727">
        <v>3016250</v>
      </c>
      <c r="M302" s="724">
        <f t="shared" si="22"/>
        <v>16001.552795031055</v>
      </c>
      <c r="N302" s="724">
        <f t="shared" si="22"/>
        <v>6634.3167701863358</v>
      </c>
      <c r="O302" s="724">
        <f t="shared" si="22"/>
        <v>3511.9047619047615</v>
      </c>
      <c r="P302" s="724">
        <f t="shared" si="22"/>
        <v>1950.6987577639752</v>
      </c>
      <c r="Q302" s="724">
        <f t="shared" si="22"/>
        <v>1013.9751552795032</v>
      </c>
      <c r="R302" s="724">
        <f t="shared" si="21"/>
        <v>389.49275362318826</v>
      </c>
      <c r="S302" s="724" t="str">
        <f t="shared" si="21"/>
        <v/>
      </c>
      <c r="T302" s="725" t="str">
        <f t="shared" si="21"/>
        <v/>
      </c>
    </row>
    <row r="303" spans="2:20">
      <c r="B303" s="1788"/>
      <c r="C303" s="728">
        <v>17</v>
      </c>
      <c r="D303" s="729" t="s">
        <v>3056</v>
      </c>
      <c r="E303" s="728" t="s">
        <v>1392</v>
      </c>
      <c r="F303" s="726">
        <v>441</v>
      </c>
      <c r="G303" s="726">
        <v>164</v>
      </c>
      <c r="H303" s="727">
        <f t="shared" si="20"/>
        <v>72324</v>
      </c>
      <c r="I303" s="727">
        <v>-2000</v>
      </c>
      <c r="J303" s="730">
        <f>51/164</f>
        <v>0.31097560975609756</v>
      </c>
      <c r="K303" s="727">
        <v>512000</v>
      </c>
      <c r="L303" s="727">
        <v>3593000</v>
      </c>
      <c r="M303" s="724">
        <f t="shared" si="22"/>
        <v>18786.585365853658</v>
      </c>
      <c r="N303" s="724">
        <f t="shared" si="22"/>
        <v>7832.3170731707314</v>
      </c>
      <c r="O303" s="724">
        <f t="shared" si="22"/>
        <v>4180.8943089430895</v>
      </c>
      <c r="P303" s="724">
        <f t="shared" si="22"/>
        <v>2355.1829268292681</v>
      </c>
      <c r="Q303" s="724">
        <f t="shared" si="22"/>
        <v>1259.7560975609756</v>
      </c>
      <c r="R303" s="724">
        <f t="shared" si="21"/>
        <v>529.47154471544741</v>
      </c>
      <c r="S303" s="724">
        <f t="shared" si="21"/>
        <v>7.8397212543552488</v>
      </c>
      <c r="T303" s="725" t="str">
        <f t="shared" si="21"/>
        <v/>
      </c>
    </row>
    <row r="304" spans="2:20">
      <c r="B304" s="1788"/>
      <c r="C304" s="728">
        <v>18</v>
      </c>
      <c r="D304" s="729" t="s">
        <v>3078</v>
      </c>
      <c r="E304" s="728" t="s">
        <v>1403</v>
      </c>
      <c r="F304" s="726">
        <v>451</v>
      </c>
      <c r="G304" s="726">
        <v>178</v>
      </c>
      <c r="H304" s="727">
        <f t="shared" si="20"/>
        <v>80278</v>
      </c>
      <c r="I304" s="912"/>
      <c r="J304" s="730">
        <f>(17+12+10+16+16)/178</f>
        <v>0.398876404494382</v>
      </c>
      <c r="K304" s="727">
        <v>1843000</v>
      </c>
      <c r="L304" s="727">
        <v>4004500</v>
      </c>
      <c r="M304" s="724">
        <f t="shared" si="22"/>
        <v>12143.258426966293</v>
      </c>
      <c r="N304" s="724">
        <f t="shared" si="22"/>
        <v>894.66292134831463</v>
      </c>
      <c r="O304" s="724" t="str">
        <f t="shared" si="22"/>
        <v/>
      </c>
      <c r="P304" s="724" t="str">
        <f t="shared" si="22"/>
        <v/>
      </c>
      <c r="Q304" s="724" t="str">
        <f t="shared" si="22"/>
        <v/>
      </c>
      <c r="R304" s="724" t="str">
        <f t="shared" si="21"/>
        <v/>
      </c>
      <c r="S304" s="724" t="str">
        <f t="shared" si="21"/>
        <v/>
      </c>
      <c r="T304" s="725" t="str">
        <f t="shared" si="21"/>
        <v/>
      </c>
    </row>
    <row r="305" spans="2:20">
      <c r="B305" s="1788"/>
      <c r="C305" s="728">
        <v>19</v>
      </c>
      <c r="D305" s="729" t="s">
        <v>1579</v>
      </c>
      <c r="E305" s="728" t="s">
        <v>1392</v>
      </c>
      <c r="F305" s="726">
        <v>625</v>
      </c>
      <c r="G305" s="726">
        <v>173</v>
      </c>
      <c r="H305" s="727">
        <f t="shared" si="20"/>
        <v>108125</v>
      </c>
      <c r="I305" s="727"/>
      <c r="J305" s="730">
        <f>98/173</f>
        <v>0.56647398843930641</v>
      </c>
      <c r="K305" s="727">
        <v>1400000</v>
      </c>
      <c r="L305" s="727">
        <v>4525000</v>
      </c>
      <c r="M305" s="724">
        <f t="shared" si="22"/>
        <v>18063.583815028902</v>
      </c>
      <c r="N305" s="724">
        <f t="shared" si="22"/>
        <v>4985.5491329479764</v>
      </c>
      <c r="O305" s="724">
        <f t="shared" si="22"/>
        <v>626.20423892100143</v>
      </c>
      <c r="P305" s="724" t="str">
        <f t="shared" si="22"/>
        <v/>
      </c>
      <c r="Q305" s="724" t="str">
        <f t="shared" si="22"/>
        <v/>
      </c>
      <c r="R305" s="724" t="str">
        <f t="shared" si="21"/>
        <v/>
      </c>
      <c r="S305" s="724" t="str">
        <f t="shared" si="21"/>
        <v/>
      </c>
      <c r="T305" s="725" t="str">
        <f t="shared" si="21"/>
        <v/>
      </c>
    </row>
    <row r="306" spans="2:20" ht="23.25" thickBot="1">
      <c r="B306" s="1789"/>
      <c r="C306" s="748">
        <v>20</v>
      </c>
      <c r="D306" s="749" t="s">
        <v>2242</v>
      </c>
      <c r="E306" s="748" t="s">
        <v>1403</v>
      </c>
      <c r="F306" s="750">
        <v>656</v>
      </c>
      <c r="G306" s="750">
        <v>280</v>
      </c>
      <c r="H306" s="751">
        <f t="shared" si="20"/>
        <v>183680</v>
      </c>
      <c r="I306" s="751"/>
      <c r="J306" s="752">
        <f>132/280</f>
        <v>0.47142857142857142</v>
      </c>
      <c r="K306" s="751">
        <v>6567000</v>
      </c>
      <c r="L306" s="751">
        <v>13440000</v>
      </c>
      <c r="M306" s="741">
        <f t="shared" si="22"/>
        <v>24546.428571428572</v>
      </c>
      <c r="N306" s="741">
        <f t="shared" si="22"/>
        <v>546.42857142857144</v>
      </c>
      <c r="O306" s="741" t="str">
        <f t="shared" si="22"/>
        <v/>
      </c>
      <c r="P306" s="741" t="str">
        <f t="shared" si="22"/>
        <v/>
      </c>
      <c r="Q306" s="741" t="str">
        <f t="shared" si="22"/>
        <v/>
      </c>
      <c r="R306" s="741" t="str">
        <f t="shared" si="21"/>
        <v/>
      </c>
      <c r="S306" s="741" t="str">
        <f t="shared" si="21"/>
        <v/>
      </c>
      <c r="T306" s="742" t="str">
        <f t="shared" si="21"/>
        <v/>
      </c>
    </row>
    <row r="307" spans="2:20">
      <c r="B307" s="1790">
        <v>10</v>
      </c>
      <c r="C307" s="745">
        <v>1</v>
      </c>
      <c r="D307" s="746" t="s">
        <v>2841</v>
      </c>
      <c r="E307" s="745" t="s">
        <v>1392</v>
      </c>
      <c r="F307" s="743">
        <v>88</v>
      </c>
      <c r="G307" s="743">
        <v>72</v>
      </c>
      <c r="H307" s="744">
        <f t="shared" si="20"/>
        <v>6336</v>
      </c>
      <c r="I307" s="744"/>
      <c r="J307" s="747">
        <f>33/72</f>
        <v>0.45833333333333331</v>
      </c>
      <c r="K307" s="744">
        <v>102000</v>
      </c>
      <c r="L307" s="744">
        <v>60400</v>
      </c>
      <c r="M307" s="739" t="str">
        <f t="shared" si="22"/>
        <v/>
      </c>
      <c r="N307" s="739" t="str">
        <f t="shared" si="22"/>
        <v/>
      </c>
      <c r="O307" s="739" t="str">
        <f t="shared" si="22"/>
        <v/>
      </c>
      <c r="P307" s="739" t="str">
        <f t="shared" si="22"/>
        <v/>
      </c>
      <c r="Q307" s="739" t="str">
        <f t="shared" si="22"/>
        <v/>
      </c>
      <c r="R307" s="739" t="str">
        <f t="shared" si="21"/>
        <v/>
      </c>
      <c r="S307" s="739" t="str">
        <f t="shared" si="21"/>
        <v/>
      </c>
      <c r="T307" s="740" t="str">
        <f t="shared" si="21"/>
        <v/>
      </c>
    </row>
    <row r="308" spans="2:20">
      <c r="B308" s="1791"/>
      <c r="C308" s="728">
        <v>2</v>
      </c>
      <c r="D308" s="731" t="s">
        <v>1025</v>
      </c>
      <c r="E308" s="728" t="s">
        <v>1392</v>
      </c>
      <c r="F308" s="726">
        <v>167</v>
      </c>
      <c r="G308" s="726">
        <v>54</v>
      </c>
      <c r="H308" s="727">
        <f t="shared" si="20"/>
        <v>9018</v>
      </c>
      <c r="I308" s="727"/>
      <c r="J308" s="730">
        <f>(4+5+5+4+5+4)/54</f>
        <v>0.5</v>
      </c>
      <c r="K308" s="727">
        <v>108000</v>
      </c>
      <c r="L308" s="727">
        <v>84000</v>
      </c>
      <c r="M308" s="724" t="str">
        <f t="shared" si="22"/>
        <v/>
      </c>
      <c r="N308" s="724" t="str">
        <f t="shared" si="22"/>
        <v/>
      </c>
      <c r="O308" s="724" t="str">
        <f t="shared" si="22"/>
        <v/>
      </c>
      <c r="P308" s="724" t="str">
        <f t="shared" si="22"/>
        <v/>
      </c>
      <c r="Q308" s="724" t="str">
        <f t="shared" si="22"/>
        <v/>
      </c>
      <c r="R308" s="724" t="str">
        <f t="shared" si="21"/>
        <v/>
      </c>
      <c r="S308" s="724" t="str">
        <f t="shared" si="21"/>
        <v/>
      </c>
      <c r="T308" s="725" t="str">
        <f t="shared" si="21"/>
        <v/>
      </c>
    </row>
    <row r="309" spans="2:20">
      <c r="B309" s="1791"/>
      <c r="C309" s="728">
        <v>3</v>
      </c>
      <c r="D309" s="731" t="s">
        <v>3124</v>
      </c>
      <c r="E309" s="728" t="s">
        <v>1414</v>
      </c>
      <c r="F309" s="726">
        <v>180</v>
      </c>
      <c r="G309" s="726">
        <v>65</v>
      </c>
      <c r="H309" s="727">
        <f t="shared" si="20"/>
        <v>11700</v>
      </c>
      <c r="I309" s="726"/>
      <c r="J309" s="730">
        <f>(10+11+11+12)/65</f>
        <v>0.67692307692307696</v>
      </c>
      <c r="K309" s="727">
        <v>60000</v>
      </c>
      <c r="L309" s="727">
        <v>109850</v>
      </c>
      <c r="M309" s="724">
        <f t="shared" si="22"/>
        <v>766.92307692307691</v>
      </c>
      <c r="N309" s="724" t="str">
        <f t="shared" si="22"/>
        <v/>
      </c>
      <c r="O309" s="724" t="str">
        <f t="shared" si="22"/>
        <v/>
      </c>
      <c r="P309" s="724" t="str">
        <f t="shared" si="22"/>
        <v/>
      </c>
      <c r="Q309" s="724" t="str">
        <f t="shared" si="22"/>
        <v/>
      </c>
      <c r="R309" s="724" t="str">
        <f t="shared" si="21"/>
        <v/>
      </c>
      <c r="S309" s="724" t="str">
        <f t="shared" si="21"/>
        <v/>
      </c>
      <c r="T309" s="725" t="str">
        <f t="shared" si="21"/>
        <v/>
      </c>
    </row>
    <row r="310" spans="2:20">
      <c r="B310" s="1791"/>
      <c r="C310" s="728">
        <v>4</v>
      </c>
      <c r="D310" s="729" t="s">
        <v>3125</v>
      </c>
      <c r="E310" s="728" t="s">
        <v>1425</v>
      </c>
      <c r="F310" s="726">
        <v>196</v>
      </c>
      <c r="G310" s="726">
        <v>69</v>
      </c>
      <c r="H310" s="727">
        <f>F310*G310</f>
        <v>13524</v>
      </c>
      <c r="I310" s="727"/>
      <c r="J310" s="730">
        <f>(13+10+12)/69</f>
        <v>0.50724637681159424</v>
      </c>
      <c r="K310" s="727">
        <v>45000</v>
      </c>
      <c r="L310" s="727">
        <v>154550</v>
      </c>
      <c r="M310" s="724">
        <f t="shared" ref="M310:Q319" si="23">IF(($L310/M$1-$K310)/$G310&gt;0,($L310/M$1-$K310)/$G310,"")</f>
        <v>1587.6811594202898</v>
      </c>
      <c r="N310" s="724">
        <f t="shared" si="23"/>
        <v>467.75362318840581</v>
      </c>
      <c r="O310" s="724">
        <f t="shared" si="23"/>
        <v>94.444444444444414</v>
      </c>
      <c r="P310" s="724" t="str">
        <f t="shared" si="23"/>
        <v/>
      </c>
      <c r="Q310" s="724" t="str">
        <f t="shared" si="23"/>
        <v/>
      </c>
      <c r="R310" s="724" t="str">
        <f t="shared" si="21"/>
        <v/>
      </c>
      <c r="S310" s="724" t="str">
        <f t="shared" si="21"/>
        <v/>
      </c>
      <c r="T310" s="725" t="str">
        <f t="shared" si="21"/>
        <v/>
      </c>
    </row>
    <row r="311" spans="2:20">
      <c r="B311" s="1791"/>
      <c r="C311" s="728">
        <v>5</v>
      </c>
      <c r="D311" s="731" t="s">
        <v>3126</v>
      </c>
      <c r="E311" s="728" t="s">
        <v>1403</v>
      </c>
      <c r="F311" s="726">
        <v>208</v>
      </c>
      <c r="G311" s="726">
        <v>78</v>
      </c>
      <c r="H311" s="727">
        <f t="shared" ref="H311:H348" si="24">F311*G311</f>
        <v>16224</v>
      </c>
      <c r="I311" s="727">
        <v>4000</v>
      </c>
      <c r="J311" s="730">
        <f>(6+9+12+11+10)/78</f>
        <v>0.61538461538461542</v>
      </c>
      <c r="K311" s="727">
        <v>75000</v>
      </c>
      <c r="L311" s="727">
        <v>210600</v>
      </c>
      <c r="M311" s="724">
        <f t="shared" si="23"/>
        <v>1738.4615384615386</v>
      </c>
      <c r="N311" s="724">
        <f t="shared" si="23"/>
        <v>388.46153846153845</v>
      </c>
      <c r="O311" s="724" t="str">
        <f t="shared" si="23"/>
        <v/>
      </c>
      <c r="P311" s="724" t="str">
        <f t="shared" si="23"/>
        <v/>
      </c>
      <c r="Q311" s="724" t="str">
        <f t="shared" si="23"/>
        <v/>
      </c>
      <c r="R311" s="724" t="str">
        <f t="shared" si="21"/>
        <v/>
      </c>
      <c r="S311" s="724" t="str">
        <f t="shared" si="21"/>
        <v/>
      </c>
      <c r="T311" s="725" t="str">
        <f t="shared" si="21"/>
        <v/>
      </c>
    </row>
    <row r="312" spans="2:20">
      <c r="B312" s="1791"/>
      <c r="C312" s="728">
        <v>6</v>
      </c>
      <c r="D312" s="729" t="s">
        <v>3127</v>
      </c>
      <c r="E312" s="728" t="s">
        <v>1403</v>
      </c>
      <c r="F312" s="726">
        <v>148</v>
      </c>
      <c r="G312" s="726">
        <v>116</v>
      </c>
      <c r="H312" s="727">
        <f t="shared" si="24"/>
        <v>17168</v>
      </c>
      <c r="I312" s="727"/>
      <c r="J312" s="730">
        <f>(18+12+79-57+114-94)/116</f>
        <v>0.62068965517241381</v>
      </c>
      <c r="K312" s="727">
        <v>120000</v>
      </c>
      <c r="L312" s="727">
        <v>350600</v>
      </c>
      <c r="M312" s="724">
        <f t="shared" si="23"/>
        <v>1987.9310344827586</v>
      </c>
      <c r="N312" s="724">
        <f t="shared" si="23"/>
        <v>476.72413793103448</v>
      </c>
      <c r="O312" s="724" t="str">
        <f t="shared" si="23"/>
        <v/>
      </c>
      <c r="P312" s="724" t="str">
        <f t="shared" si="23"/>
        <v/>
      </c>
      <c r="Q312" s="724" t="str">
        <f t="shared" si="23"/>
        <v/>
      </c>
      <c r="R312" s="724" t="str">
        <f t="shared" si="21"/>
        <v/>
      </c>
      <c r="S312" s="724" t="str">
        <f t="shared" si="21"/>
        <v/>
      </c>
      <c r="T312" s="725" t="str">
        <f t="shared" si="21"/>
        <v/>
      </c>
    </row>
    <row r="313" spans="2:20">
      <c r="B313" s="1791"/>
      <c r="C313" s="728">
        <v>7</v>
      </c>
      <c r="D313" s="729" t="s">
        <v>3128</v>
      </c>
      <c r="E313" s="728" t="s">
        <v>1425</v>
      </c>
      <c r="F313" s="726">
        <v>152</v>
      </c>
      <c r="G313" s="726">
        <v>119</v>
      </c>
      <c r="H313" s="727">
        <f t="shared" si="24"/>
        <v>18088</v>
      </c>
      <c r="I313" s="727">
        <v>2400</v>
      </c>
      <c r="J313" s="730">
        <f>(13+14+110-86)/119</f>
        <v>0.42857142857142855</v>
      </c>
      <c r="K313" s="727">
        <v>180000</v>
      </c>
      <c r="L313" s="727">
        <v>454600</v>
      </c>
      <c r="M313" s="724">
        <f t="shared" si="23"/>
        <v>2307.5630252100841</v>
      </c>
      <c r="N313" s="724">
        <f t="shared" si="23"/>
        <v>397.47899159663865</v>
      </c>
      <c r="O313" s="724" t="str">
        <f t="shared" si="23"/>
        <v/>
      </c>
      <c r="P313" s="724" t="str">
        <f t="shared" si="23"/>
        <v/>
      </c>
      <c r="Q313" s="724" t="str">
        <f t="shared" si="23"/>
        <v/>
      </c>
      <c r="R313" s="724" t="str">
        <f t="shared" si="21"/>
        <v/>
      </c>
      <c r="S313" s="724" t="str">
        <f t="shared" si="21"/>
        <v/>
      </c>
      <c r="T313" s="725" t="str">
        <f t="shared" si="21"/>
        <v/>
      </c>
    </row>
    <row r="314" spans="2:20">
      <c r="B314" s="1791"/>
      <c r="C314" s="728">
        <v>8</v>
      </c>
      <c r="D314" s="731" t="s">
        <v>3129</v>
      </c>
      <c r="E314" s="728" t="s">
        <v>1392</v>
      </c>
      <c r="F314" s="726">
        <v>213</v>
      </c>
      <c r="G314" s="726">
        <v>106</v>
      </c>
      <c r="H314" s="727">
        <f>F314*G314</f>
        <v>22578</v>
      </c>
      <c r="I314" s="727"/>
      <c r="J314" s="730">
        <f>(6+5+13+4+6+9)/106</f>
        <v>0.40566037735849059</v>
      </c>
      <c r="K314" s="727">
        <v>180000</v>
      </c>
      <c r="L314" s="727">
        <v>500500</v>
      </c>
      <c r="M314" s="724">
        <f t="shared" si="23"/>
        <v>3023.5849056603774</v>
      </c>
      <c r="N314" s="724">
        <f t="shared" si="23"/>
        <v>662.7358490566038</v>
      </c>
      <c r="O314" s="724" t="str">
        <f t="shared" si="23"/>
        <v/>
      </c>
      <c r="P314" s="724" t="str">
        <f t="shared" si="23"/>
        <v/>
      </c>
      <c r="Q314" s="724" t="str">
        <f t="shared" si="23"/>
        <v/>
      </c>
      <c r="R314" s="724" t="str">
        <f t="shared" si="21"/>
        <v/>
      </c>
      <c r="S314" s="724" t="str">
        <f t="shared" si="21"/>
        <v/>
      </c>
      <c r="T314" s="725" t="str">
        <f t="shared" si="21"/>
        <v/>
      </c>
    </row>
    <row r="315" spans="2:20">
      <c r="B315" s="1791"/>
      <c r="C315" s="728">
        <v>9</v>
      </c>
      <c r="D315" s="731" t="s">
        <v>3130</v>
      </c>
      <c r="E315" s="728" t="s">
        <v>1392</v>
      </c>
      <c r="F315" s="726">
        <v>230</v>
      </c>
      <c r="G315" s="726">
        <v>106</v>
      </c>
      <c r="H315" s="727">
        <f t="shared" si="24"/>
        <v>24380</v>
      </c>
      <c r="I315" s="727">
        <v>12000</v>
      </c>
      <c r="J315" s="730">
        <f>(14+8+12+16)/106</f>
        <v>0.47169811320754718</v>
      </c>
      <c r="K315" s="727">
        <v>240000</v>
      </c>
      <c r="L315" s="727">
        <v>572400</v>
      </c>
      <c r="M315" s="724">
        <f t="shared" si="23"/>
        <v>3135.8490566037735</v>
      </c>
      <c r="N315" s="724">
        <f t="shared" si="23"/>
        <v>435.84905660377359</v>
      </c>
      <c r="O315" s="724" t="str">
        <f t="shared" si="23"/>
        <v/>
      </c>
      <c r="P315" s="724" t="str">
        <f t="shared" si="23"/>
        <v/>
      </c>
      <c r="Q315" s="724" t="str">
        <f t="shared" si="23"/>
        <v/>
      </c>
      <c r="R315" s="724" t="str">
        <f t="shared" si="21"/>
        <v/>
      </c>
      <c r="S315" s="724" t="str">
        <f t="shared" si="21"/>
        <v/>
      </c>
      <c r="T315" s="725" t="str">
        <f t="shared" si="21"/>
        <v/>
      </c>
    </row>
    <row r="316" spans="2:20">
      <c r="B316" s="1791"/>
      <c r="C316" s="728">
        <v>10</v>
      </c>
      <c r="D316" s="731" t="s">
        <v>3131</v>
      </c>
      <c r="E316" s="728" t="s">
        <v>1409</v>
      </c>
      <c r="F316" s="726">
        <v>251</v>
      </c>
      <c r="G316" s="726">
        <v>104</v>
      </c>
      <c r="H316" s="727">
        <f t="shared" si="24"/>
        <v>26104</v>
      </c>
      <c r="I316" s="727"/>
      <c r="J316" s="730">
        <f>(15+4+14+4+11)/104</f>
        <v>0.46153846153846156</v>
      </c>
      <c r="K316" s="727">
        <v>150000</v>
      </c>
      <c r="L316" s="727">
        <v>603200</v>
      </c>
      <c r="M316" s="724">
        <f t="shared" si="23"/>
        <v>4357.6923076923076</v>
      </c>
      <c r="N316" s="724">
        <f t="shared" si="23"/>
        <v>1457.6923076923076</v>
      </c>
      <c r="O316" s="724">
        <f t="shared" si="23"/>
        <v>491.02564102564094</v>
      </c>
      <c r="P316" s="724">
        <f t="shared" si="23"/>
        <v>7.6923076923076925</v>
      </c>
      <c r="Q316" s="724" t="str">
        <f t="shared" si="23"/>
        <v/>
      </c>
      <c r="R316" s="724" t="str">
        <f t="shared" si="21"/>
        <v/>
      </c>
      <c r="S316" s="724" t="str">
        <f t="shared" si="21"/>
        <v/>
      </c>
      <c r="T316" s="725" t="str">
        <f t="shared" si="21"/>
        <v/>
      </c>
    </row>
    <row r="317" spans="2:20">
      <c r="B317" s="1791"/>
      <c r="C317" s="728">
        <v>11</v>
      </c>
      <c r="D317" s="731" t="s">
        <v>3132</v>
      </c>
      <c r="E317" s="728" t="s">
        <v>1406</v>
      </c>
      <c r="F317" s="726">
        <v>229</v>
      </c>
      <c r="G317" s="726">
        <v>122</v>
      </c>
      <c r="H317" s="727">
        <f t="shared" si="24"/>
        <v>27938</v>
      </c>
      <c r="I317" s="727">
        <v>8000</v>
      </c>
      <c r="J317" s="730">
        <f>(14+10+13+22)/122</f>
        <v>0.48360655737704916</v>
      </c>
      <c r="K317" s="727">
        <v>120000</v>
      </c>
      <c r="L317" s="727">
        <v>945500</v>
      </c>
      <c r="M317" s="724">
        <f t="shared" si="23"/>
        <v>6766.3934426229507</v>
      </c>
      <c r="N317" s="724">
        <f t="shared" si="23"/>
        <v>2891.3934426229507</v>
      </c>
      <c r="O317" s="724">
        <f t="shared" si="23"/>
        <v>1599.7267759562842</v>
      </c>
      <c r="P317" s="724">
        <f t="shared" si="23"/>
        <v>953.89344262295083</v>
      </c>
      <c r="Q317" s="724">
        <f t="shared" si="23"/>
        <v>566.39344262295083</v>
      </c>
      <c r="R317" s="724">
        <f t="shared" si="21"/>
        <v>308.06010928961757</v>
      </c>
      <c r="S317" s="724">
        <f t="shared" si="21"/>
        <v>123.53629976580802</v>
      </c>
      <c r="T317" s="725" t="str">
        <f t="shared" si="21"/>
        <v/>
      </c>
    </row>
    <row r="318" spans="2:20">
      <c r="B318" s="1791"/>
      <c r="C318" s="728">
        <v>12</v>
      </c>
      <c r="D318" s="731" t="s">
        <v>3133</v>
      </c>
      <c r="E318" s="728" t="s">
        <v>1403</v>
      </c>
      <c r="F318" s="726">
        <v>266</v>
      </c>
      <c r="G318" s="726">
        <v>111</v>
      </c>
      <c r="H318" s="727">
        <f t="shared" si="24"/>
        <v>29526</v>
      </c>
      <c r="I318" s="727"/>
      <c r="J318" s="730">
        <f>(20+15+8+14)/111</f>
        <v>0.51351351351351349</v>
      </c>
      <c r="K318" s="727">
        <v>120000</v>
      </c>
      <c r="L318" s="727">
        <v>934000</v>
      </c>
      <c r="M318" s="724">
        <f t="shared" si="23"/>
        <v>7333.333333333333</v>
      </c>
      <c r="N318" s="724">
        <f t="shared" si="23"/>
        <v>3126.1261261261261</v>
      </c>
      <c r="O318" s="724">
        <f t="shared" si="23"/>
        <v>1723.7237237237237</v>
      </c>
      <c r="P318" s="724">
        <f t="shared" si="23"/>
        <v>1022.5225225225225</v>
      </c>
      <c r="Q318" s="724">
        <f t="shared" si="23"/>
        <v>601.80180180180184</v>
      </c>
      <c r="R318" s="724">
        <f t="shared" si="21"/>
        <v>321.32132132132125</v>
      </c>
      <c r="S318" s="724">
        <f t="shared" si="21"/>
        <v>120.9781209781209</v>
      </c>
      <c r="T318" s="725" t="str">
        <f t="shared" si="21"/>
        <v/>
      </c>
    </row>
    <row r="319" spans="2:20">
      <c r="B319" s="1791"/>
      <c r="C319" s="728">
        <v>13</v>
      </c>
      <c r="D319" s="729" t="s">
        <v>2854</v>
      </c>
      <c r="E319" s="728" t="s">
        <v>1414</v>
      </c>
      <c r="F319" s="726">
        <v>282</v>
      </c>
      <c r="G319" s="726">
        <v>112</v>
      </c>
      <c r="H319" s="727">
        <f t="shared" si="24"/>
        <v>31584</v>
      </c>
      <c r="I319" s="727"/>
      <c r="J319" s="730">
        <f>(8+12+4+12+5+16)/112</f>
        <v>0.5089285714285714</v>
      </c>
      <c r="K319" s="727">
        <v>180000</v>
      </c>
      <c r="L319" s="727">
        <v>980000</v>
      </c>
      <c r="M319" s="724">
        <f t="shared" si="23"/>
        <v>7142.8571428571431</v>
      </c>
      <c r="N319" s="724">
        <f t="shared" si="23"/>
        <v>2767.8571428571427</v>
      </c>
      <c r="O319" s="724">
        <f t="shared" si="23"/>
        <v>1309.5238095238096</v>
      </c>
      <c r="P319" s="724">
        <f t="shared" si="23"/>
        <v>580.35714285714289</v>
      </c>
      <c r="Q319" s="724">
        <f t="shared" si="23"/>
        <v>142.85714285714286</v>
      </c>
      <c r="R319" s="724" t="str">
        <f t="shared" si="21"/>
        <v/>
      </c>
      <c r="S319" s="724" t="str">
        <f t="shared" si="21"/>
        <v/>
      </c>
      <c r="T319" s="725" t="str">
        <f t="shared" si="21"/>
        <v/>
      </c>
    </row>
    <row r="320" spans="2:20">
      <c r="B320" s="1791"/>
      <c r="C320" s="728">
        <v>14</v>
      </c>
      <c r="D320" s="729" t="s">
        <v>2847</v>
      </c>
      <c r="E320" s="728" t="s">
        <v>1425</v>
      </c>
      <c r="F320" s="726">
        <v>298</v>
      </c>
      <c r="G320" s="726">
        <v>112</v>
      </c>
      <c r="H320" s="727">
        <f t="shared" si="24"/>
        <v>33376</v>
      </c>
      <c r="I320" s="732"/>
      <c r="J320" s="730">
        <f>(9+9+22+8)/112</f>
        <v>0.42857142857142855</v>
      </c>
      <c r="K320" s="727">
        <v>280000</v>
      </c>
      <c r="L320" s="727">
        <v>1118880</v>
      </c>
      <c r="M320" s="724">
        <f t="shared" ref="M320:T335" si="25">IF(($L320/M$1-$K320)/$G320&gt;0,($L320/M$1-$K320)/$G320,"")</f>
        <v>7490</v>
      </c>
      <c r="N320" s="724">
        <f t="shared" si="25"/>
        <v>2495</v>
      </c>
      <c r="O320" s="724">
        <f t="shared" si="25"/>
        <v>830</v>
      </c>
      <c r="P320" s="724" t="str">
        <f t="shared" si="25"/>
        <v/>
      </c>
      <c r="Q320" s="724" t="str">
        <f t="shared" si="25"/>
        <v/>
      </c>
      <c r="R320" s="724" t="str">
        <f t="shared" si="21"/>
        <v/>
      </c>
      <c r="S320" s="724" t="str">
        <f t="shared" si="21"/>
        <v/>
      </c>
      <c r="T320" s="725" t="str">
        <f t="shared" si="21"/>
        <v/>
      </c>
    </row>
    <row r="321" spans="2:20">
      <c r="B321" s="1791"/>
      <c r="C321" s="728">
        <v>15</v>
      </c>
      <c r="D321" s="731" t="s">
        <v>3134</v>
      </c>
      <c r="E321" s="728" t="s">
        <v>1403</v>
      </c>
      <c r="F321" s="726">
        <v>126</v>
      </c>
      <c r="G321" s="726">
        <v>280</v>
      </c>
      <c r="H321" s="727">
        <f t="shared" si="24"/>
        <v>35280</v>
      </c>
      <c r="I321" s="727"/>
      <c r="J321" s="730">
        <f>132/280</f>
        <v>0.47142857142857142</v>
      </c>
      <c r="K321" s="727">
        <v>6567000</v>
      </c>
      <c r="L321" s="727">
        <v>2948400</v>
      </c>
      <c r="M321" s="724" t="str">
        <f t="shared" si="25"/>
        <v/>
      </c>
      <c r="N321" s="724" t="str">
        <f t="shared" si="25"/>
        <v/>
      </c>
      <c r="O321" s="724" t="str">
        <f t="shared" si="25"/>
        <v/>
      </c>
      <c r="P321" s="724" t="str">
        <f t="shared" si="25"/>
        <v/>
      </c>
      <c r="Q321" s="724" t="str">
        <f t="shared" si="25"/>
        <v/>
      </c>
      <c r="R321" s="724" t="str">
        <f t="shared" si="21"/>
        <v/>
      </c>
      <c r="S321" s="724" t="str">
        <f t="shared" si="21"/>
        <v/>
      </c>
      <c r="T321" s="725" t="str">
        <f t="shared" si="21"/>
        <v/>
      </c>
    </row>
    <row r="322" spans="2:20">
      <c r="B322" s="1791"/>
      <c r="C322" s="728">
        <v>16</v>
      </c>
      <c r="D322" s="729" t="s">
        <v>3120</v>
      </c>
      <c r="E322" s="728" t="s">
        <v>1392</v>
      </c>
      <c r="F322" s="726">
        <v>192</v>
      </c>
      <c r="G322" s="726">
        <v>285</v>
      </c>
      <c r="H322" s="727">
        <f t="shared" si="24"/>
        <v>54720</v>
      </c>
      <c r="I322" s="727"/>
      <c r="J322" s="730">
        <f>148/285</f>
        <v>0.51929824561403504</v>
      </c>
      <c r="K322" s="727">
        <v>7740000</v>
      </c>
      <c r="L322" s="727">
        <v>2136510</v>
      </c>
      <c r="M322" s="724" t="str">
        <f t="shared" si="25"/>
        <v/>
      </c>
      <c r="N322" s="724" t="str">
        <f t="shared" si="25"/>
        <v/>
      </c>
      <c r="O322" s="724" t="str">
        <f t="shared" si="25"/>
        <v/>
      </c>
      <c r="P322" s="724" t="str">
        <f t="shared" si="25"/>
        <v/>
      </c>
      <c r="Q322" s="724" t="str">
        <f t="shared" si="25"/>
        <v/>
      </c>
      <c r="R322" s="724" t="str">
        <f t="shared" si="21"/>
        <v/>
      </c>
      <c r="S322" s="724" t="str">
        <f t="shared" si="21"/>
        <v/>
      </c>
      <c r="T322" s="725" t="str">
        <f t="shared" si="21"/>
        <v/>
      </c>
    </row>
    <row r="323" spans="2:20">
      <c r="B323" s="1791"/>
      <c r="C323" s="728">
        <v>17</v>
      </c>
      <c r="D323" s="729" t="s">
        <v>3135</v>
      </c>
      <c r="E323" s="728" t="s">
        <v>1403</v>
      </c>
      <c r="F323" s="726">
        <v>222</v>
      </c>
      <c r="G323" s="726">
        <v>175</v>
      </c>
      <c r="H323" s="727">
        <f t="shared" si="24"/>
        <v>38850</v>
      </c>
      <c r="I323" s="727"/>
      <c r="J323" s="730">
        <f>(16+4+20+16+5+19)/175</f>
        <v>0.45714285714285713</v>
      </c>
      <c r="K323" s="727">
        <v>2200000</v>
      </c>
      <c r="L323" s="727">
        <v>2257500</v>
      </c>
      <c r="M323" s="724">
        <f t="shared" si="25"/>
        <v>328.57142857142856</v>
      </c>
      <c r="N323" s="724" t="str">
        <f t="shared" si="25"/>
        <v/>
      </c>
      <c r="O323" s="724" t="str">
        <f t="shared" si="25"/>
        <v/>
      </c>
      <c r="P323" s="724" t="str">
        <f t="shared" si="25"/>
        <v/>
      </c>
      <c r="Q323" s="724" t="str">
        <f t="shared" si="25"/>
        <v/>
      </c>
      <c r="R323" s="724" t="str">
        <f t="shared" si="21"/>
        <v/>
      </c>
      <c r="S323" s="724" t="str">
        <f t="shared" si="21"/>
        <v/>
      </c>
      <c r="T323" s="725" t="str">
        <f t="shared" si="21"/>
        <v/>
      </c>
    </row>
    <row r="324" spans="2:20">
      <c r="B324" s="1791"/>
      <c r="C324" s="728">
        <v>18</v>
      </c>
      <c r="D324" s="729" t="s">
        <v>977</v>
      </c>
      <c r="E324" s="728" t="s">
        <v>1409</v>
      </c>
      <c r="F324" s="726">
        <v>246</v>
      </c>
      <c r="G324" s="726">
        <v>165</v>
      </c>
      <c r="H324" s="727">
        <f t="shared" si="24"/>
        <v>40590</v>
      </c>
      <c r="I324" s="727" t="s">
        <v>3136</v>
      </c>
      <c r="J324" s="730">
        <f>78/165</f>
        <v>0.47272727272727272</v>
      </c>
      <c r="K324" s="727">
        <v>2088000</v>
      </c>
      <c r="L324" s="727">
        <v>2327500</v>
      </c>
      <c r="M324" s="724">
        <f t="shared" si="25"/>
        <v>1451.5151515151515</v>
      </c>
      <c r="N324" s="724" t="str">
        <f t="shared" si="25"/>
        <v/>
      </c>
      <c r="O324" s="724" t="str">
        <f t="shared" si="25"/>
        <v/>
      </c>
      <c r="P324" s="724" t="str">
        <f t="shared" si="25"/>
        <v/>
      </c>
      <c r="Q324" s="724" t="str">
        <f t="shared" si="25"/>
        <v/>
      </c>
      <c r="R324" s="724" t="str">
        <f t="shared" si="21"/>
        <v/>
      </c>
      <c r="S324" s="724" t="str">
        <f t="shared" si="21"/>
        <v/>
      </c>
      <c r="T324" s="725" t="str">
        <f t="shared" si="21"/>
        <v/>
      </c>
    </row>
    <row r="325" spans="2:20">
      <c r="B325" s="1791"/>
      <c r="C325" s="728">
        <v>19</v>
      </c>
      <c r="D325" s="729" t="s">
        <v>973</v>
      </c>
      <c r="E325" s="728" t="s">
        <v>1406</v>
      </c>
      <c r="F325" s="726">
        <v>305</v>
      </c>
      <c r="G325" s="726">
        <v>145</v>
      </c>
      <c r="H325" s="727">
        <f t="shared" si="24"/>
        <v>44225</v>
      </c>
      <c r="I325" s="733" t="s">
        <v>3137</v>
      </c>
      <c r="J325" s="730">
        <f>53/145</f>
        <v>0.36551724137931035</v>
      </c>
      <c r="K325" s="727">
        <v>510000</v>
      </c>
      <c r="L325" s="727">
        <v>2431500</v>
      </c>
      <c r="M325" s="724">
        <f t="shared" si="25"/>
        <v>13251.724137931034</v>
      </c>
      <c r="N325" s="724">
        <f t="shared" si="25"/>
        <v>4867.2413793103451</v>
      </c>
      <c r="O325" s="724">
        <f t="shared" si="25"/>
        <v>2072.4137931034484</v>
      </c>
      <c r="P325" s="724">
        <f t="shared" si="25"/>
        <v>675</v>
      </c>
      <c r="Q325" s="724" t="str">
        <f t="shared" si="25"/>
        <v/>
      </c>
      <c r="R325" s="724" t="str">
        <f t="shared" si="21"/>
        <v/>
      </c>
      <c r="S325" s="724" t="str">
        <f t="shared" si="21"/>
        <v/>
      </c>
      <c r="T325" s="725" t="str">
        <f t="shared" si="21"/>
        <v/>
      </c>
    </row>
    <row r="326" spans="2:20">
      <c r="B326" s="1791"/>
      <c r="C326" s="728">
        <v>20</v>
      </c>
      <c r="D326" s="729" t="s">
        <v>4333</v>
      </c>
      <c r="E326" s="728" t="s">
        <v>1406</v>
      </c>
      <c r="F326" s="726">
        <v>267</v>
      </c>
      <c r="G326" s="726">
        <v>179</v>
      </c>
      <c r="H326" s="727">
        <f t="shared" si="24"/>
        <v>47793</v>
      </c>
      <c r="I326" s="727"/>
      <c r="J326" s="730">
        <f>108/179</f>
        <v>0.6033519553072626</v>
      </c>
      <c r="K326" s="727">
        <v>1967000</v>
      </c>
      <c r="L326" s="727">
        <v>2846100</v>
      </c>
      <c r="M326" s="724">
        <f t="shared" si="25"/>
        <v>4911.1731843575417</v>
      </c>
      <c r="N326" s="724" t="str">
        <f t="shared" si="25"/>
        <v/>
      </c>
      <c r="O326" s="724" t="str">
        <f t="shared" si="25"/>
        <v/>
      </c>
      <c r="P326" s="724" t="str">
        <f t="shared" si="25"/>
        <v/>
      </c>
      <c r="Q326" s="724" t="str">
        <f t="shared" si="25"/>
        <v/>
      </c>
      <c r="R326" s="724" t="str">
        <f t="shared" si="21"/>
        <v/>
      </c>
      <c r="S326" s="724" t="str">
        <f t="shared" si="21"/>
        <v/>
      </c>
      <c r="T326" s="725" t="str">
        <f t="shared" si="21"/>
        <v/>
      </c>
    </row>
    <row r="327" spans="2:20" ht="23.25" thickBot="1">
      <c r="B327" s="1792"/>
      <c r="C327" s="748">
        <v>21</v>
      </c>
      <c r="D327" s="749" t="s">
        <v>2847</v>
      </c>
      <c r="E327" s="748" t="s">
        <v>1425</v>
      </c>
      <c r="F327" s="750">
        <v>308</v>
      </c>
      <c r="G327" s="750">
        <v>167</v>
      </c>
      <c r="H327" s="751">
        <f t="shared" si="24"/>
        <v>51436</v>
      </c>
      <c r="I327" s="750"/>
      <c r="J327" s="752">
        <f>92/167</f>
        <v>0.55089820359281438</v>
      </c>
      <c r="K327" s="751">
        <v>1777000</v>
      </c>
      <c r="L327" s="751">
        <v>3055700</v>
      </c>
      <c r="M327" s="741">
        <f t="shared" si="25"/>
        <v>7656.8862275449101</v>
      </c>
      <c r="N327" s="741" t="str">
        <f t="shared" si="25"/>
        <v/>
      </c>
      <c r="O327" s="741" t="str">
        <f t="shared" si="25"/>
        <v/>
      </c>
      <c r="P327" s="741" t="str">
        <f t="shared" si="25"/>
        <v/>
      </c>
      <c r="Q327" s="741" t="str">
        <f t="shared" si="25"/>
        <v/>
      </c>
      <c r="R327" s="741" t="str">
        <f t="shared" si="21"/>
        <v/>
      </c>
      <c r="S327" s="741" t="str">
        <f t="shared" si="21"/>
        <v/>
      </c>
      <c r="T327" s="742" t="str">
        <f t="shared" si="21"/>
        <v/>
      </c>
    </row>
    <row r="328" spans="2:20">
      <c r="B328" s="1787">
        <v>11</v>
      </c>
      <c r="C328" s="745">
        <v>1</v>
      </c>
      <c r="D328" s="746" t="s">
        <v>1027</v>
      </c>
      <c r="E328" s="745" t="s">
        <v>3171</v>
      </c>
      <c r="F328" s="743">
        <v>63</v>
      </c>
      <c r="G328" s="743">
        <v>116</v>
      </c>
      <c r="H328" s="744">
        <f t="shared" si="24"/>
        <v>7308</v>
      </c>
      <c r="I328" s="744"/>
      <c r="J328" s="747">
        <f>(8+103-59)/116</f>
        <v>0.44827586206896552</v>
      </c>
      <c r="K328" s="744">
        <v>242000</v>
      </c>
      <c r="L328" s="744">
        <v>160640</v>
      </c>
      <c r="M328" s="739" t="str">
        <f t="shared" si="25"/>
        <v/>
      </c>
      <c r="N328" s="739" t="str">
        <f t="shared" si="25"/>
        <v/>
      </c>
      <c r="O328" s="739" t="str">
        <f t="shared" si="25"/>
        <v/>
      </c>
      <c r="P328" s="739" t="str">
        <f t="shared" si="25"/>
        <v/>
      </c>
      <c r="Q328" s="739" t="str">
        <f t="shared" si="25"/>
        <v/>
      </c>
      <c r="R328" s="739" t="str">
        <f t="shared" si="25"/>
        <v/>
      </c>
      <c r="S328" s="739" t="str">
        <f t="shared" si="25"/>
        <v/>
      </c>
      <c r="T328" s="740" t="str">
        <f t="shared" si="25"/>
        <v/>
      </c>
    </row>
    <row r="329" spans="2:20">
      <c r="B329" s="1788"/>
      <c r="C329" s="728">
        <v>2</v>
      </c>
      <c r="D329" s="731" t="s">
        <v>1014</v>
      </c>
      <c r="E329" s="728" t="s">
        <v>1414</v>
      </c>
      <c r="F329" s="726">
        <v>98</v>
      </c>
      <c r="G329" s="726">
        <v>111</v>
      </c>
      <c r="H329" s="727">
        <f t="shared" si="24"/>
        <v>10878</v>
      </c>
      <c r="I329" s="727"/>
      <c r="J329" s="730">
        <f>(11+15+17)/111</f>
        <v>0.38738738738738737</v>
      </c>
      <c r="K329" s="727">
        <v>240000</v>
      </c>
      <c r="L329" s="727">
        <v>182880</v>
      </c>
      <c r="M329" s="724" t="str">
        <f t="shared" si="25"/>
        <v/>
      </c>
      <c r="N329" s="724" t="str">
        <f t="shared" si="25"/>
        <v/>
      </c>
      <c r="O329" s="724" t="str">
        <f t="shared" si="25"/>
        <v/>
      </c>
      <c r="P329" s="724" t="str">
        <f t="shared" si="25"/>
        <v/>
      </c>
      <c r="Q329" s="724" t="str">
        <f t="shared" si="25"/>
        <v/>
      </c>
      <c r="R329" s="724" t="str">
        <f t="shared" si="25"/>
        <v/>
      </c>
      <c r="S329" s="724" t="str">
        <f t="shared" si="25"/>
        <v/>
      </c>
      <c r="T329" s="725" t="str">
        <f t="shared" si="25"/>
        <v/>
      </c>
    </row>
    <row r="330" spans="2:20">
      <c r="B330" s="1788"/>
      <c r="C330" s="728">
        <v>3</v>
      </c>
      <c r="D330" s="731" t="s">
        <v>1029</v>
      </c>
      <c r="E330" s="728" t="s">
        <v>3171</v>
      </c>
      <c r="F330" s="726">
        <v>106</v>
      </c>
      <c r="G330" s="726">
        <v>119</v>
      </c>
      <c r="H330" s="727">
        <f t="shared" si="24"/>
        <v>12614</v>
      </c>
      <c r="I330" s="726"/>
      <c r="J330" s="730">
        <f>(10+10+13+19)/119</f>
        <v>0.43697478991596639</v>
      </c>
      <c r="K330" s="727">
        <v>240000</v>
      </c>
      <c r="L330" s="727">
        <v>256580</v>
      </c>
      <c r="M330" s="724">
        <f t="shared" si="25"/>
        <v>139.32773109243698</v>
      </c>
      <c r="N330" s="724" t="str">
        <f t="shared" si="25"/>
        <v/>
      </c>
      <c r="O330" s="724" t="str">
        <f t="shared" si="25"/>
        <v/>
      </c>
      <c r="P330" s="724" t="str">
        <f t="shared" si="25"/>
        <v/>
      </c>
      <c r="Q330" s="724" t="str">
        <f t="shared" si="25"/>
        <v/>
      </c>
      <c r="R330" s="724" t="str">
        <f t="shared" si="25"/>
        <v/>
      </c>
      <c r="S330" s="724" t="str">
        <f t="shared" si="25"/>
        <v/>
      </c>
      <c r="T330" s="725" t="str">
        <f t="shared" si="25"/>
        <v/>
      </c>
    </row>
    <row r="331" spans="2:20">
      <c r="B331" s="1788"/>
      <c r="C331" s="728">
        <v>4</v>
      </c>
      <c r="D331" s="729" t="s">
        <v>1017</v>
      </c>
      <c r="E331" s="728" t="s">
        <v>1414</v>
      </c>
      <c r="F331" s="726">
        <v>146</v>
      </c>
      <c r="G331" s="726">
        <v>105</v>
      </c>
      <c r="H331" s="727">
        <f t="shared" si="24"/>
        <v>15330</v>
      </c>
      <c r="I331" s="727"/>
      <c r="J331" s="730">
        <f>(9+14+14)/105</f>
        <v>0.35238095238095241</v>
      </c>
      <c r="K331" s="727">
        <v>243000</v>
      </c>
      <c r="L331" s="727">
        <v>338400</v>
      </c>
      <c r="M331" s="724">
        <f t="shared" si="25"/>
        <v>908.57142857142856</v>
      </c>
      <c r="N331" s="724" t="str">
        <f t="shared" si="25"/>
        <v/>
      </c>
      <c r="O331" s="724" t="str">
        <f t="shared" si="25"/>
        <v/>
      </c>
      <c r="P331" s="724" t="str">
        <f t="shared" si="25"/>
        <v/>
      </c>
      <c r="Q331" s="724" t="str">
        <f t="shared" si="25"/>
        <v/>
      </c>
      <c r="R331" s="724" t="str">
        <f t="shared" si="25"/>
        <v/>
      </c>
      <c r="S331" s="724" t="str">
        <f t="shared" si="25"/>
        <v/>
      </c>
      <c r="T331" s="725" t="str">
        <f t="shared" si="25"/>
        <v/>
      </c>
    </row>
    <row r="332" spans="2:20">
      <c r="B332" s="1788"/>
      <c r="C332" s="728">
        <v>5</v>
      </c>
      <c r="D332" s="731" t="s">
        <v>1037</v>
      </c>
      <c r="E332" s="728" t="s">
        <v>3171</v>
      </c>
      <c r="F332" s="726">
        <v>155</v>
      </c>
      <c r="G332" s="726">
        <v>105</v>
      </c>
      <c r="H332" s="727">
        <f t="shared" si="24"/>
        <v>16275</v>
      </c>
      <c r="I332" s="727"/>
      <c r="J332" s="730">
        <f>(6+6+6+11+8)/105</f>
        <v>0.35238095238095241</v>
      </c>
      <c r="K332" s="727">
        <v>200000</v>
      </c>
      <c r="L332" s="727">
        <v>325700</v>
      </c>
      <c r="M332" s="724">
        <f t="shared" si="25"/>
        <v>1197.1428571428571</v>
      </c>
      <c r="N332" s="724" t="str">
        <f t="shared" si="25"/>
        <v/>
      </c>
      <c r="O332" s="724" t="str">
        <f t="shared" si="25"/>
        <v/>
      </c>
      <c r="P332" s="724" t="str">
        <f t="shared" si="25"/>
        <v/>
      </c>
      <c r="Q332" s="724" t="str">
        <f t="shared" si="25"/>
        <v/>
      </c>
      <c r="R332" s="724" t="str">
        <f t="shared" si="25"/>
        <v/>
      </c>
      <c r="S332" s="724" t="str">
        <f t="shared" si="25"/>
        <v/>
      </c>
      <c r="T332" s="725" t="str">
        <f t="shared" si="25"/>
        <v/>
      </c>
    </row>
    <row r="333" spans="2:20">
      <c r="B333" s="1788"/>
      <c r="C333" s="728">
        <v>6</v>
      </c>
      <c r="D333" s="729" t="s">
        <v>1033</v>
      </c>
      <c r="E333" s="728" t="s">
        <v>1414</v>
      </c>
      <c r="F333" s="726">
        <v>161</v>
      </c>
      <c r="G333" s="726">
        <v>112</v>
      </c>
      <c r="H333" s="727">
        <f t="shared" si="24"/>
        <v>18032</v>
      </c>
      <c r="I333" s="727"/>
      <c r="J333" s="730">
        <f>(6+6+7+10+6+4)/112</f>
        <v>0.3482142857142857</v>
      </c>
      <c r="K333" s="727">
        <v>240000</v>
      </c>
      <c r="L333" s="727">
        <v>396000</v>
      </c>
      <c r="M333" s="724">
        <f t="shared" si="25"/>
        <v>1392.8571428571429</v>
      </c>
      <c r="N333" s="724" t="str">
        <f t="shared" si="25"/>
        <v/>
      </c>
      <c r="O333" s="724" t="str">
        <f t="shared" si="25"/>
        <v/>
      </c>
      <c r="P333" s="724" t="str">
        <f t="shared" si="25"/>
        <v/>
      </c>
      <c r="Q333" s="724" t="str">
        <f t="shared" si="25"/>
        <v/>
      </c>
      <c r="R333" s="724" t="str">
        <f t="shared" si="25"/>
        <v/>
      </c>
      <c r="S333" s="724" t="str">
        <f t="shared" si="25"/>
        <v/>
      </c>
      <c r="T333" s="725" t="str">
        <f t="shared" si="25"/>
        <v/>
      </c>
    </row>
    <row r="334" spans="2:20">
      <c r="B334" s="1788"/>
      <c r="C334" s="728">
        <v>7</v>
      </c>
      <c r="D334" s="729" t="s">
        <v>1045</v>
      </c>
      <c r="E334" s="728" t="s">
        <v>3171</v>
      </c>
      <c r="F334" s="726">
        <v>200</v>
      </c>
      <c r="G334" s="726">
        <v>113</v>
      </c>
      <c r="H334" s="727">
        <f t="shared" si="24"/>
        <v>22600</v>
      </c>
      <c r="I334" s="726"/>
      <c r="J334" s="730">
        <f>(7+5+5+6+6+7)/113</f>
        <v>0.31858407079646017</v>
      </c>
      <c r="K334" s="727">
        <v>240000</v>
      </c>
      <c r="L334" s="727">
        <v>443750</v>
      </c>
      <c r="M334" s="724">
        <f t="shared" si="25"/>
        <v>1803.0973451327434</v>
      </c>
      <c r="N334" s="724" t="str">
        <f t="shared" si="25"/>
        <v/>
      </c>
      <c r="O334" s="724" t="str">
        <f t="shared" si="25"/>
        <v/>
      </c>
      <c r="P334" s="724" t="str">
        <f t="shared" si="25"/>
        <v/>
      </c>
      <c r="Q334" s="724" t="str">
        <f t="shared" si="25"/>
        <v/>
      </c>
      <c r="R334" s="724" t="str">
        <f t="shared" si="25"/>
        <v/>
      </c>
      <c r="S334" s="724" t="str">
        <f t="shared" si="25"/>
        <v/>
      </c>
      <c r="T334" s="725" t="str">
        <f t="shared" si="25"/>
        <v/>
      </c>
    </row>
    <row r="335" spans="2:20">
      <c r="B335" s="1788"/>
      <c r="C335" s="728">
        <v>8</v>
      </c>
      <c r="D335" s="731" t="s">
        <v>995</v>
      </c>
      <c r="E335" s="728" t="s">
        <v>1414</v>
      </c>
      <c r="F335" s="726">
        <v>238</v>
      </c>
      <c r="G335" s="726">
        <v>110</v>
      </c>
      <c r="H335" s="727">
        <f t="shared" si="24"/>
        <v>26180</v>
      </c>
      <c r="I335" s="727">
        <v>-4000</v>
      </c>
      <c r="J335" s="730">
        <f>(11+16)/110</f>
        <v>0.24545454545454545</v>
      </c>
      <c r="K335" s="727">
        <v>314000</v>
      </c>
      <c r="L335" s="727">
        <v>552300</v>
      </c>
      <c r="M335" s="724">
        <f t="shared" si="25"/>
        <v>2166.3636363636365</v>
      </c>
      <c r="N335" s="724" t="str">
        <f t="shared" si="25"/>
        <v/>
      </c>
      <c r="O335" s="724" t="str">
        <f t="shared" si="25"/>
        <v/>
      </c>
      <c r="P335" s="724" t="str">
        <f t="shared" si="25"/>
        <v/>
      </c>
      <c r="Q335" s="724" t="str">
        <f t="shared" si="25"/>
        <v/>
      </c>
      <c r="R335" s="724" t="str">
        <f t="shared" si="25"/>
        <v/>
      </c>
      <c r="S335" s="724" t="str">
        <f t="shared" si="25"/>
        <v/>
      </c>
      <c r="T335" s="725" t="str">
        <f t="shared" si="25"/>
        <v/>
      </c>
    </row>
    <row r="336" spans="2:20">
      <c r="B336" s="1788"/>
      <c r="C336" s="728">
        <v>9</v>
      </c>
      <c r="D336" s="731" t="s">
        <v>983</v>
      </c>
      <c r="E336" s="728" t="s">
        <v>3171</v>
      </c>
      <c r="F336" s="726">
        <v>270</v>
      </c>
      <c r="G336" s="726">
        <v>110</v>
      </c>
      <c r="H336" s="727">
        <f t="shared" si="24"/>
        <v>29700</v>
      </c>
      <c r="I336" s="727"/>
      <c r="J336" s="730">
        <f>17/110</f>
        <v>0.15454545454545454</v>
      </c>
      <c r="K336" s="727">
        <v>278000</v>
      </c>
      <c r="L336" s="727">
        <v>677100</v>
      </c>
      <c r="M336" s="724">
        <f t="shared" ref="M336:T347" si="26">IF(($L336/M$1-$K336)/$G336&gt;0,($L336/M$1-$K336)/$G336,"")</f>
        <v>3628.181818181818</v>
      </c>
      <c r="N336" s="724">
        <f t="shared" si="26"/>
        <v>550.4545454545455</v>
      </c>
      <c r="O336" s="724" t="str">
        <f t="shared" si="26"/>
        <v/>
      </c>
      <c r="P336" s="724" t="str">
        <f t="shared" si="26"/>
        <v/>
      </c>
      <c r="Q336" s="724" t="str">
        <f t="shared" si="26"/>
        <v/>
      </c>
      <c r="R336" s="724" t="str">
        <f t="shared" si="26"/>
        <v/>
      </c>
      <c r="S336" s="724" t="str">
        <f t="shared" si="26"/>
        <v/>
      </c>
      <c r="T336" s="725" t="str">
        <f t="shared" si="26"/>
        <v/>
      </c>
    </row>
    <row r="337" spans="2:20">
      <c r="B337" s="1788"/>
      <c r="C337" s="728">
        <v>10</v>
      </c>
      <c r="D337" s="731" t="s">
        <v>4332</v>
      </c>
      <c r="E337" s="728" t="s">
        <v>1414</v>
      </c>
      <c r="F337" s="726">
        <v>274</v>
      </c>
      <c r="G337" s="726">
        <v>170</v>
      </c>
      <c r="H337" s="727">
        <f t="shared" si="24"/>
        <v>46580</v>
      </c>
      <c r="I337" s="727">
        <v>-2000</v>
      </c>
      <c r="J337" s="730">
        <f>66/170</f>
        <v>0.38823529411764707</v>
      </c>
      <c r="K337" s="727">
        <v>510000</v>
      </c>
      <c r="L337" s="727">
        <v>784250</v>
      </c>
      <c r="M337" s="724">
        <f t="shared" si="26"/>
        <v>1613.2352941176471</v>
      </c>
      <c r="N337" s="724" t="str">
        <f t="shared" si="26"/>
        <v/>
      </c>
      <c r="O337" s="724" t="str">
        <f t="shared" si="26"/>
        <v/>
      </c>
      <c r="P337" s="724" t="str">
        <f t="shared" si="26"/>
        <v/>
      </c>
      <c r="Q337" s="724" t="str">
        <f t="shared" si="26"/>
        <v/>
      </c>
      <c r="R337" s="724" t="str">
        <f t="shared" si="26"/>
        <v/>
      </c>
      <c r="S337" s="724" t="str">
        <f t="shared" si="26"/>
        <v/>
      </c>
      <c r="T337" s="725" t="str">
        <f t="shared" si="26"/>
        <v/>
      </c>
    </row>
    <row r="338" spans="2:20">
      <c r="B338" s="1788"/>
      <c r="C338" s="728">
        <v>11</v>
      </c>
      <c r="D338" s="731" t="s">
        <v>991</v>
      </c>
      <c r="E338" s="728" t="s">
        <v>3171</v>
      </c>
      <c r="F338" s="726">
        <v>306</v>
      </c>
      <c r="G338" s="726">
        <v>173</v>
      </c>
      <c r="H338" s="727">
        <f t="shared" si="24"/>
        <v>52938</v>
      </c>
      <c r="I338" s="726"/>
      <c r="J338" s="730">
        <f>105/173</f>
        <v>0.60693641618497107</v>
      </c>
      <c r="K338" s="727">
        <v>1794000</v>
      </c>
      <c r="L338" s="727">
        <v>917000</v>
      </c>
      <c r="M338" s="724" t="str">
        <f t="shared" si="26"/>
        <v/>
      </c>
      <c r="N338" s="724" t="str">
        <f t="shared" si="26"/>
        <v/>
      </c>
      <c r="O338" s="724" t="str">
        <f t="shared" si="26"/>
        <v/>
      </c>
      <c r="P338" s="724" t="str">
        <f t="shared" si="26"/>
        <v/>
      </c>
      <c r="Q338" s="724" t="str">
        <f t="shared" si="26"/>
        <v/>
      </c>
      <c r="R338" s="724" t="str">
        <f t="shared" si="26"/>
        <v/>
      </c>
      <c r="S338" s="724" t="str">
        <f t="shared" si="26"/>
        <v/>
      </c>
      <c r="T338" s="725" t="str">
        <f t="shared" si="26"/>
        <v/>
      </c>
    </row>
    <row r="339" spans="2:20">
      <c r="B339" s="1788"/>
      <c r="C339" s="728">
        <v>12</v>
      </c>
      <c r="D339" s="731" t="s">
        <v>1048</v>
      </c>
      <c r="E339" s="728" t="s">
        <v>1414</v>
      </c>
      <c r="F339" s="726">
        <v>233</v>
      </c>
      <c r="G339" s="726">
        <v>159</v>
      </c>
      <c r="H339" s="727">
        <f t="shared" si="24"/>
        <v>37047</v>
      </c>
      <c r="I339" s="726"/>
      <c r="J339" s="730">
        <f>51/159</f>
        <v>0.32075471698113206</v>
      </c>
      <c r="K339" s="727">
        <v>438000</v>
      </c>
      <c r="L339" s="727">
        <v>1413800</v>
      </c>
      <c r="M339" s="724">
        <f t="shared" si="26"/>
        <v>6137.1069182389938</v>
      </c>
      <c r="N339" s="724">
        <f t="shared" si="26"/>
        <v>1691.1949685534591</v>
      </c>
      <c r="O339" s="724">
        <f t="shared" si="26"/>
        <v>209.22431865828105</v>
      </c>
      <c r="P339" s="724" t="str">
        <f t="shared" si="26"/>
        <v/>
      </c>
      <c r="Q339" s="724" t="str">
        <f t="shared" si="26"/>
        <v/>
      </c>
      <c r="R339" s="724" t="str">
        <f t="shared" si="26"/>
        <v/>
      </c>
      <c r="S339" s="724" t="str">
        <f t="shared" si="26"/>
        <v/>
      </c>
      <c r="T339" s="725" t="str">
        <f t="shared" si="26"/>
        <v/>
      </c>
    </row>
    <row r="340" spans="2:20">
      <c r="B340" s="1788"/>
      <c r="C340" s="728">
        <v>13</v>
      </c>
      <c r="D340" s="729" t="s">
        <v>1009</v>
      </c>
      <c r="E340" s="728" t="s">
        <v>3171</v>
      </c>
      <c r="F340" s="726">
        <v>232</v>
      </c>
      <c r="G340" s="726">
        <v>184</v>
      </c>
      <c r="H340" s="727">
        <f t="shared" si="24"/>
        <v>42688</v>
      </c>
      <c r="I340" s="726" t="s">
        <v>3076</v>
      </c>
      <c r="J340" s="730">
        <f>71/184</f>
        <v>0.3858695652173913</v>
      </c>
      <c r="K340" s="727">
        <v>1605000</v>
      </c>
      <c r="L340" s="727">
        <v>2219760</v>
      </c>
      <c r="M340" s="724">
        <f t="shared" si="26"/>
        <v>3341.086956521739</v>
      </c>
      <c r="N340" s="724" t="str">
        <f t="shared" si="26"/>
        <v/>
      </c>
      <c r="O340" s="724" t="str">
        <f t="shared" si="26"/>
        <v/>
      </c>
      <c r="P340" s="724" t="str">
        <f t="shared" si="26"/>
        <v/>
      </c>
      <c r="Q340" s="724" t="str">
        <f t="shared" si="26"/>
        <v/>
      </c>
      <c r="R340" s="724" t="str">
        <f t="shared" si="26"/>
        <v/>
      </c>
      <c r="S340" s="724" t="str">
        <f t="shared" si="26"/>
        <v/>
      </c>
      <c r="T340" s="725" t="str">
        <f t="shared" si="26"/>
        <v/>
      </c>
    </row>
    <row r="341" spans="2:20">
      <c r="B341" s="1788"/>
      <c r="C341" s="728">
        <v>14</v>
      </c>
      <c r="D341" s="729" t="s">
        <v>3124</v>
      </c>
      <c r="E341" s="728" t="s">
        <v>1414</v>
      </c>
      <c r="F341" s="726">
        <v>300</v>
      </c>
      <c r="G341" s="726">
        <v>162</v>
      </c>
      <c r="H341" s="727">
        <f t="shared" si="24"/>
        <v>48600</v>
      </c>
      <c r="I341" s="733"/>
      <c r="J341" s="730">
        <f>83/162</f>
        <v>0.51234567901234573</v>
      </c>
      <c r="K341" s="727">
        <v>1100000</v>
      </c>
      <c r="L341" s="727">
        <v>2625740</v>
      </c>
      <c r="M341" s="724">
        <f t="shared" si="26"/>
        <v>9418.1481481481478</v>
      </c>
      <c r="N341" s="724">
        <f t="shared" si="26"/>
        <v>1314.0123456790122</v>
      </c>
      <c r="O341" s="724" t="str">
        <f t="shared" si="26"/>
        <v/>
      </c>
      <c r="P341" s="724" t="str">
        <f t="shared" si="26"/>
        <v/>
      </c>
      <c r="Q341" s="724" t="str">
        <f t="shared" si="26"/>
        <v/>
      </c>
      <c r="R341" s="724" t="str">
        <f t="shared" si="26"/>
        <v/>
      </c>
      <c r="S341" s="724" t="str">
        <f t="shared" si="26"/>
        <v/>
      </c>
      <c r="T341" s="725" t="str">
        <f t="shared" si="26"/>
        <v/>
      </c>
    </row>
    <row r="342" spans="2:20">
      <c r="B342" s="1788"/>
      <c r="C342" s="728">
        <v>15</v>
      </c>
      <c r="D342" s="731" t="s">
        <v>3172</v>
      </c>
      <c r="E342" s="728" t="s">
        <v>3171</v>
      </c>
      <c r="F342" s="726">
        <v>347</v>
      </c>
      <c r="G342" s="726">
        <v>163</v>
      </c>
      <c r="H342" s="727">
        <f t="shared" si="24"/>
        <v>56561</v>
      </c>
      <c r="I342" s="727"/>
      <c r="J342" s="730">
        <f>93/163</f>
        <v>0.57055214723926384</v>
      </c>
      <c r="K342" s="727">
        <v>1890000</v>
      </c>
      <c r="L342" s="727">
        <v>2436930</v>
      </c>
      <c r="M342" s="724">
        <f t="shared" si="26"/>
        <v>3355.3987730061349</v>
      </c>
      <c r="N342" s="724" t="str">
        <f t="shared" si="26"/>
        <v/>
      </c>
      <c r="O342" s="724" t="str">
        <f t="shared" si="26"/>
        <v/>
      </c>
      <c r="P342" s="724" t="str">
        <f t="shared" si="26"/>
        <v/>
      </c>
      <c r="Q342" s="724" t="str">
        <f t="shared" si="26"/>
        <v/>
      </c>
      <c r="R342" s="724" t="str">
        <f t="shared" si="26"/>
        <v/>
      </c>
      <c r="S342" s="724" t="str">
        <f t="shared" si="26"/>
        <v/>
      </c>
      <c r="T342" s="725" t="str">
        <f t="shared" si="26"/>
        <v/>
      </c>
    </row>
    <row r="343" spans="2:20">
      <c r="B343" s="1788"/>
      <c r="C343" s="728">
        <v>16</v>
      </c>
      <c r="D343" s="729" t="s">
        <v>960</v>
      </c>
      <c r="E343" s="728" t="s">
        <v>1414</v>
      </c>
      <c r="F343" s="726">
        <v>395</v>
      </c>
      <c r="G343" s="726">
        <v>163</v>
      </c>
      <c r="H343" s="727">
        <f t="shared" si="24"/>
        <v>64385</v>
      </c>
      <c r="I343" s="915" t="s">
        <v>3085</v>
      </c>
      <c r="J343" s="730">
        <f>90/163</f>
        <v>0.55214723926380371</v>
      </c>
      <c r="K343" s="727">
        <v>984000</v>
      </c>
      <c r="L343" s="727">
        <v>3048750</v>
      </c>
      <c r="M343" s="724">
        <f t="shared" si="26"/>
        <v>12667.177914110429</v>
      </c>
      <c r="N343" s="724">
        <f t="shared" si="26"/>
        <v>3315.1840490797545</v>
      </c>
      <c r="O343" s="724">
        <f t="shared" si="26"/>
        <v>197.85276073619633</v>
      </c>
      <c r="P343" s="724" t="str">
        <f t="shared" si="26"/>
        <v/>
      </c>
      <c r="Q343" s="724" t="str">
        <f t="shared" si="26"/>
        <v/>
      </c>
      <c r="R343" s="724" t="str">
        <f t="shared" si="26"/>
        <v/>
      </c>
      <c r="S343" s="724" t="str">
        <f t="shared" si="26"/>
        <v/>
      </c>
      <c r="T343" s="725" t="str">
        <f t="shared" si="26"/>
        <v/>
      </c>
    </row>
    <row r="344" spans="2:20">
      <c r="B344" s="1788"/>
      <c r="C344" s="728">
        <v>17</v>
      </c>
      <c r="D344" s="729" t="s">
        <v>3113</v>
      </c>
      <c r="E344" s="728" t="s">
        <v>3171</v>
      </c>
      <c r="F344" s="726">
        <v>407</v>
      </c>
      <c r="G344" s="726">
        <v>178</v>
      </c>
      <c r="H344" s="727">
        <f t="shared" si="24"/>
        <v>72446</v>
      </c>
      <c r="I344" s="726" t="s">
        <v>3088</v>
      </c>
      <c r="J344" s="730">
        <f>112/178</f>
        <v>0.6292134831460674</v>
      </c>
      <c r="K344" s="727">
        <v>1750000</v>
      </c>
      <c r="L344" s="727">
        <v>3848500</v>
      </c>
      <c r="M344" s="724">
        <f t="shared" si="26"/>
        <v>11789.325842696629</v>
      </c>
      <c r="N344" s="724">
        <f t="shared" si="26"/>
        <v>978.93258426966293</v>
      </c>
      <c r="O344" s="724" t="str">
        <f t="shared" si="26"/>
        <v/>
      </c>
      <c r="P344" s="724" t="str">
        <f t="shared" si="26"/>
        <v/>
      </c>
      <c r="Q344" s="724" t="str">
        <f t="shared" si="26"/>
        <v/>
      </c>
      <c r="R344" s="724" t="str">
        <f t="shared" si="26"/>
        <v/>
      </c>
      <c r="S344" s="724" t="str">
        <f t="shared" si="26"/>
        <v/>
      </c>
      <c r="T344" s="725" t="str">
        <f t="shared" si="26"/>
        <v/>
      </c>
    </row>
    <row r="345" spans="2:20">
      <c r="B345" s="1788"/>
      <c r="C345" s="728">
        <v>18</v>
      </c>
      <c r="D345" s="729" t="s">
        <v>993</v>
      </c>
      <c r="E345" s="728" t="s">
        <v>1414</v>
      </c>
      <c r="F345" s="726">
        <v>469</v>
      </c>
      <c r="G345" s="726">
        <v>171</v>
      </c>
      <c r="H345" s="727">
        <f t="shared" si="24"/>
        <v>80199</v>
      </c>
      <c r="I345" s="727">
        <v>30000</v>
      </c>
      <c r="J345" s="730">
        <f>78/171</f>
        <v>0.45614035087719296</v>
      </c>
      <c r="K345" s="727">
        <v>1901000</v>
      </c>
      <c r="L345" s="727">
        <v>3862750</v>
      </c>
      <c r="M345" s="724">
        <f t="shared" si="26"/>
        <v>11472.222222222223</v>
      </c>
      <c r="N345" s="724">
        <f t="shared" si="26"/>
        <v>177.63157894736841</v>
      </c>
      <c r="O345" s="724" t="str">
        <f t="shared" si="26"/>
        <v/>
      </c>
      <c r="P345" s="724" t="str">
        <f t="shared" si="26"/>
        <v/>
      </c>
      <c r="Q345" s="724" t="str">
        <f t="shared" si="26"/>
        <v/>
      </c>
      <c r="R345" s="724" t="str">
        <f t="shared" si="26"/>
        <v/>
      </c>
      <c r="S345" s="724" t="str">
        <f t="shared" si="26"/>
        <v/>
      </c>
      <c r="T345" s="725" t="str">
        <f t="shared" si="26"/>
        <v/>
      </c>
    </row>
    <row r="346" spans="2:20">
      <c r="B346" s="1788"/>
      <c r="C346" s="728">
        <v>19</v>
      </c>
      <c r="D346" s="729" t="s">
        <v>3073</v>
      </c>
      <c r="E346" s="728" t="s">
        <v>3171</v>
      </c>
      <c r="F346" s="726">
        <v>572</v>
      </c>
      <c r="G346" s="726">
        <v>189</v>
      </c>
      <c r="H346" s="727">
        <f t="shared" si="24"/>
        <v>108108</v>
      </c>
      <c r="I346" s="726"/>
      <c r="J346" s="730">
        <f>80/189</f>
        <v>0.42328042328042326</v>
      </c>
      <c r="K346" s="727">
        <v>2695000</v>
      </c>
      <c r="L346" s="727">
        <v>4925000</v>
      </c>
      <c r="M346" s="724">
        <f t="shared" si="26"/>
        <v>11798.9417989418</v>
      </c>
      <c r="N346" s="724" t="str">
        <f t="shared" si="26"/>
        <v/>
      </c>
      <c r="O346" s="724" t="str">
        <f t="shared" si="26"/>
        <v/>
      </c>
      <c r="P346" s="724" t="str">
        <f t="shared" si="26"/>
        <v/>
      </c>
      <c r="Q346" s="724" t="str">
        <f t="shared" si="26"/>
        <v/>
      </c>
      <c r="R346" s="724" t="str">
        <f t="shared" si="26"/>
        <v/>
      </c>
      <c r="S346" s="724" t="str">
        <f t="shared" si="26"/>
        <v/>
      </c>
      <c r="T346" s="725" t="str">
        <f t="shared" si="26"/>
        <v/>
      </c>
    </row>
    <row r="347" spans="2:20" ht="23.25" thickBot="1">
      <c r="B347" s="1789"/>
      <c r="C347" s="748">
        <v>20</v>
      </c>
      <c r="D347" s="749" t="s">
        <v>2842</v>
      </c>
      <c r="E347" s="748" t="s">
        <v>1414</v>
      </c>
      <c r="F347" s="750">
        <v>745</v>
      </c>
      <c r="G347" s="750">
        <v>174</v>
      </c>
      <c r="H347" s="751">
        <f t="shared" si="24"/>
        <v>129630</v>
      </c>
      <c r="I347" s="751"/>
      <c r="J347" s="752">
        <f>98/174</f>
        <v>0.56321839080459768</v>
      </c>
      <c r="K347" s="751">
        <v>1848000</v>
      </c>
      <c r="L347" s="751">
        <v>5220000</v>
      </c>
      <c r="M347" s="741">
        <f t="shared" si="26"/>
        <v>19379.310344827587</v>
      </c>
      <c r="N347" s="741">
        <f t="shared" si="26"/>
        <v>4379.3103448275861</v>
      </c>
      <c r="O347" s="741" t="str">
        <f t="shared" si="26"/>
        <v/>
      </c>
      <c r="P347" s="741" t="str">
        <f t="shared" si="26"/>
        <v/>
      </c>
      <c r="Q347" s="741" t="str">
        <f t="shared" si="26"/>
        <v/>
      </c>
      <c r="R347" s="741" t="str">
        <f t="shared" si="26"/>
        <v/>
      </c>
      <c r="S347" s="741" t="str">
        <f t="shared" si="26"/>
        <v/>
      </c>
      <c r="T347" s="742" t="str">
        <f t="shared" si="26"/>
        <v/>
      </c>
    </row>
    <row r="348" spans="2:20">
      <c r="B348" s="1787">
        <v>12</v>
      </c>
      <c r="C348" s="745">
        <v>1</v>
      </c>
      <c r="D348" s="731" t="s">
        <v>2913</v>
      </c>
      <c r="E348" s="728" t="s">
        <v>1414</v>
      </c>
      <c r="F348" s="726">
        <v>60</v>
      </c>
      <c r="G348" s="726">
        <v>122</v>
      </c>
      <c r="H348" s="727">
        <f t="shared" si="24"/>
        <v>7320</v>
      </c>
      <c r="I348" s="727" t="s">
        <v>3102</v>
      </c>
      <c r="J348" s="730">
        <f>(13+11+18+19)/122</f>
        <v>0.5</v>
      </c>
      <c r="K348" s="727">
        <v>560000</v>
      </c>
      <c r="L348" s="727">
        <v>166880</v>
      </c>
      <c r="M348" s="739" t="str">
        <f t="shared" ref="M348:T348" si="27">IF(($L348/M$1-$K348)/$G348&gt;0,($L348/M$1-$K348)/$G348,"")</f>
        <v/>
      </c>
      <c r="N348" s="739" t="str">
        <f t="shared" si="27"/>
        <v/>
      </c>
      <c r="O348" s="739" t="str">
        <f t="shared" si="27"/>
        <v/>
      </c>
      <c r="P348" s="739" t="str">
        <f t="shared" si="27"/>
        <v/>
      </c>
      <c r="Q348" s="739" t="str">
        <f t="shared" si="27"/>
        <v/>
      </c>
      <c r="R348" s="739" t="str">
        <f t="shared" si="27"/>
        <v/>
      </c>
      <c r="S348" s="739" t="str">
        <f t="shared" si="27"/>
        <v/>
      </c>
      <c r="T348" s="740" t="str">
        <f t="shared" si="27"/>
        <v/>
      </c>
    </row>
    <row r="349" spans="2:20">
      <c r="B349" s="1788"/>
      <c r="C349" s="728">
        <v>2</v>
      </c>
      <c r="D349" s="731" t="s">
        <v>4144</v>
      </c>
      <c r="E349" s="728" t="s">
        <v>1425</v>
      </c>
      <c r="F349" s="726">
        <v>98</v>
      </c>
      <c r="G349" s="726">
        <v>111</v>
      </c>
      <c r="H349" s="727">
        <f t="shared" ref="H349:H367" si="28">F349*G349</f>
        <v>10878</v>
      </c>
      <c r="I349" s="727"/>
      <c r="J349" s="730">
        <f>(25+16+15)/111</f>
        <v>0.50450450450450446</v>
      </c>
      <c r="K349" s="727">
        <v>240000</v>
      </c>
      <c r="L349" s="727">
        <v>203160</v>
      </c>
      <c r="M349" s="724" t="str">
        <f t="shared" ref="M349:T349" si="29">IF(($L349/M$1-$K349)/$G349&gt;0,($L349/M$1-$K349)/$G349,"")</f>
        <v/>
      </c>
      <c r="N349" s="724" t="str">
        <f t="shared" si="29"/>
        <v/>
      </c>
      <c r="O349" s="724" t="str">
        <f t="shared" si="29"/>
        <v/>
      </c>
      <c r="P349" s="724" t="str">
        <f t="shared" si="29"/>
        <v/>
      </c>
      <c r="Q349" s="724" t="str">
        <f t="shared" si="29"/>
        <v/>
      </c>
      <c r="R349" s="724" t="str">
        <f t="shared" si="29"/>
        <v/>
      </c>
      <c r="S349" s="724" t="str">
        <f t="shared" si="29"/>
        <v/>
      </c>
      <c r="T349" s="725" t="str">
        <f t="shared" si="29"/>
        <v/>
      </c>
    </row>
    <row r="350" spans="2:20">
      <c r="B350" s="1788"/>
      <c r="C350" s="728">
        <v>3</v>
      </c>
      <c r="D350" s="731" t="s">
        <v>1429</v>
      </c>
      <c r="E350" s="728" t="s">
        <v>1403</v>
      </c>
      <c r="F350" s="726">
        <v>110</v>
      </c>
      <c r="G350" s="726">
        <v>115</v>
      </c>
      <c r="H350" s="727">
        <f t="shared" si="28"/>
        <v>12650</v>
      </c>
      <c r="I350" s="727"/>
      <c r="J350" s="730">
        <f>(11+6+34+9)/115</f>
        <v>0.52173913043478259</v>
      </c>
      <c r="K350" s="727">
        <v>280000</v>
      </c>
      <c r="L350" s="727">
        <v>249300</v>
      </c>
      <c r="M350" s="724" t="str">
        <f t="shared" ref="M350:T350" si="30">IF(($L350/M$1-$K350)/$G350&gt;0,($L350/M$1-$K350)/$G350,"")</f>
        <v/>
      </c>
      <c r="N350" s="724" t="str">
        <f t="shared" si="30"/>
        <v/>
      </c>
      <c r="O350" s="724" t="str">
        <f t="shared" si="30"/>
        <v/>
      </c>
      <c r="P350" s="724" t="str">
        <f t="shared" si="30"/>
        <v/>
      </c>
      <c r="Q350" s="724" t="str">
        <f t="shared" si="30"/>
        <v/>
      </c>
      <c r="R350" s="724" t="str">
        <f t="shared" si="30"/>
        <v/>
      </c>
      <c r="S350" s="724" t="str">
        <f t="shared" si="30"/>
        <v/>
      </c>
      <c r="T350" s="725" t="str">
        <f t="shared" si="30"/>
        <v/>
      </c>
    </row>
    <row r="351" spans="2:20">
      <c r="B351" s="1788"/>
      <c r="C351" s="728">
        <v>4</v>
      </c>
      <c r="D351" s="729" t="s">
        <v>4145</v>
      </c>
      <c r="E351" s="728" t="s">
        <v>1403</v>
      </c>
      <c r="F351" s="726">
        <v>122</v>
      </c>
      <c r="G351" s="726">
        <v>119</v>
      </c>
      <c r="H351" s="727">
        <f t="shared" si="28"/>
        <v>14518</v>
      </c>
      <c r="I351" s="727">
        <v>-800</v>
      </c>
      <c r="J351" s="730"/>
      <c r="K351" s="727">
        <v>240000</v>
      </c>
      <c r="L351" s="727">
        <v>307520</v>
      </c>
      <c r="M351" s="724">
        <f t="shared" ref="M351:T351" si="31">IF(($L351/M$1-$K351)/$G351&gt;0,($L351/M$1-$K351)/$G351,"")</f>
        <v>567.39495798319331</v>
      </c>
      <c r="N351" s="724" t="str">
        <f t="shared" si="31"/>
        <v/>
      </c>
      <c r="O351" s="724" t="str">
        <f t="shared" si="31"/>
        <v/>
      </c>
      <c r="P351" s="724" t="str">
        <f t="shared" si="31"/>
        <v/>
      </c>
      <c r="Q351" s="724" t="str">
        <f t="shared" si="31"/>
        <v/>
      </c>
      <c r="R351" s="724" t="str">
        <f t="shared" si="31"/>
        <v/>
      </c>
      <c r="S351" s="724" t="str">
        <f t="shared" si="31"/>
        <v/>
      </c>
      <c r="T351" s="725" t="str">
        <f t="shared" si="31"/>
        <v/>
      </c>
    </row>
    <row r="352" spans="2:20">
      <c r="B352" s="1788"/>
      <c r="C352" s="728">
        <v>5</v>
      </c>
      <c r="D352" s="731" t="s">
        <v>1408</v>
      </c>
      <c r="E352" s="728" t="s">
        <v>1409</v>
      </c>
      <c r="F352" s="726">
        <v>138</v>
      </c>
      <c r="G352" s="726">
        <v>118</v>
      </c>
      <c r="H352" s="727">
        <f t="shared" si="28"/>
        <v>16284</v>
      </c>
      <c r="I352" s="727">
        <v>-8000</v>
      </c>
      <c r="J352" s="730">
        <f>64/118</f>
        <v>0.5423728813559322</v>
      </c>
      <c r="K352" s="727">
        <v>1000000</v>
      </c>
      <c r="L352" s="727">
        <v>356120</v>
      </c>
      <c r="M352" s="724" t="str">
        <f t="shared" ref="M352:T352" si="32">IF(($L352/M$1-$K352)/$G352&gt;0,($L352/M$1-$K352)/$G352,"")</f>
        <v/>
      </c>
      <c r="N352" s="724" t="str">
        <f t="shared" si="32"/>
        <v/>
      </c>
      <c r="O352" s="724" t="str">
        <f t="shared" si="32"/>
        <v/>
      </c>
      <c r="P352" s="724" t="str">
        <f t="shared" si="32"/>
        <v/>
      </c>
      <c r="Q352" s="724" t="str">
        <f t="shared" si="32"/>
        <v/>
      </c>
      <c r="R352" s="724" t="str">
        <f t="shared" si="32"/>
        <v/>
      </c>
      <c r="S352" s="724" t="str">
        <f t="shared" si="32"/>
        <v/>
      </c>
      <c r="T352" s="725" t="str">
        <f t="shared" si="32"/>
        <v/>
      </c>
    </row>
    <row r="353" spans="2:20">
      <c r="B353" s="1788"/>
      <c r="C353" s="728">
        <v>6</v>
      </c>
      <c r="D353" s="729" t="s">
        <v>4146</v>
      </c>
      <c r="E353" s="728" t="s">
        <v>1414</v>
      </c>
      <c r="F353" s="726">
        <v>177</v>
      </c>
      <c r="G353" s="726">
        <v>102</v>
      </c>
      <c r="H353" s="727">
        <f t="shared" si="28"/>
        <v>18054</v>
      </c>
      <c r="I353" s="727"/>
      <c r="J353" s="730"/>
      <c r="K353" s="727">
        <v>240000</v>
      </c>
      <c r="L353" s="727">
        <v>366000</v>
      </c>
      <c r="M353" s="724">
        <f t="shared" ref="M353:T353" si="33">IF(($L353/M$1-$K353)/$G353&gt;0,($L353/M$1-$K353)/$G353,"")</f>
        <v>1235.2941176470588</v>
      </c>
      <c r="N353" s="724" t="str">
        <f t="shared" si="33"/>
        <v/>
      </c>
      <c r="O353" s="724" t="str">
        <f t="shared" si="33"/>
        <v/>
      </c>
      <c r="P353" s="724" t="str">
        <f t="shared" si="33"/>
        <v/>
      </c>
      <c r="Q353" s="724" t="str">
        <f t="shared" si="33"/>
        <v/>
      </c>
      <c r="R353" s="724" t="str">
        <f t="shared" si="33"/>
        <v/>
      </c>
      <c r="S353" s="724" t="str">
        <f t="shared" si="33"/>
        <v/>
      </c>
      <c r="T353" s="725" t="str">
        <f t="shared" si="33"/>
        <v/>
      </c>
    </row>
    <row r="354" spans="2:20">
      <c r="B354" s="1788"/>
      <c r="C354" s="728">
        <v>7</v>
      </c>
      <c r="D354" s="731" t="s">
        <v>1188</v>
      </c>
      <c r="E354" s="728" t="s">
        <v>1403</v>
      </c>
      <c r="F354" s="726">
        <v>191</v>
      </c>
      <c r="G354" s="726">
        <v>118</v>
      </c>
      <c r="H354" s="727">
        <f t="shared" si="28"/>
        <v>22538</v>
      </c>
      <c r="I354" s="727">
        <v>12000</v>
      </c>
      <c r="J354" s="730">
        <f>27/118</f>
        <v>0.2288135593220339</v>
      </c>
      <c r="K354" s="727">
        <v>280000</v>
      </c>
      <c r="L354" s="727">
        <v>462500</v>
      </c>
      <c r="M354" s="724">
        <f t="shared" ref="M354:T369" si="34">IF(($L354/M$1-$K354)/$G354&gt;0,($L354/M$1-$K354)/$G354,"")</f>
        <v>1546.6101694915253</v>
      </c>
      <c r="N354" s="724" t="str">
        <f t="shared" si="34"/>
        <v/>
      </c>
      <c r="O354" s="724" t="str">
        <f t="shared" si="34"/>
        <v/>
      </c>
      <c r="P354" s="724" t="str">
        <f t="shared" si="34"/>
        <v/>
      </c>
      <c r="Q354" s="724" t="str">
        <f t="shared" si="34"/>
        <v/>
      </c>
      <c r="R354" s="724" t="str">
        <f t="shared" si="34"/>
        <v/>
      </c>
      <c r="S354" s="724" t="str">
        <f t="shared" si="34"/>
        <v/>
      </c>
      <c r="T354" s="725" t="str">
        <f t="shared" si="34"/>
        <v/>
      </c>
    </row>
    <row r="355" spans="2:20">
      <c r="B355" s="1788"/>
      <c r="C355" s="728">
        <v>8</v>
      </c>
      <c r="D355" s="731" t="s">
        <v>4147</v>
      </c>
      <c r="E355" s="728" t="s">
        <v>1403</v>
      </c>
      <c r="F355" s="726">
        <v>203</v>
      </c>
      <c r="G355" s="726">
        <v>129</v>
      </c>
      <c r="H355" s="727">
        <f t="shared" si="28"/>
        <v>26187</v>
      </c>
      <c r="I355" s="727"/>
      <c r="J355" s="730"/>
      <c r="K355" s="727">
        <v>480000</v>
      </c>
      <c r="L355" s="727">
        <v>645970</v>
      </c>
      <c r="M355" s="724">
        <f t="shared" si="34"/>
        <v>1286.5891472868218</v>
      </c>
      <c r="N355" s="724" t="str">
        <f t="shared" si="34"/>
        <v/>
      </c>
      <c r="O355" s="724" t="str">
        <f t="shared" si="34"/>
        <v/>
      </c>
      <c r="P355" s="724" t="str">
        <f t="shared" si="34"/>
        <v/>
      </c>
      <c r="Q355" s="724" t="str">
        <f t="shared" si="34"/>
        <v/>
      </c>
      <c r="R355" s="724" t="str">
        <f t="shared" si="34"/>
        <v/>
      </c>
      <c r="S355" s="724" t="str">
        <f t="shared" si="34"/>
        <v/>
      </c>
      <c r="T355" s="725" t="str">
        <f t="shared" si="34"/>
        <v/>
      </c>
    </row>
    <row r="356" spans="2:20">
      <c r="B356" s="1788"/>
      <c r="C356" s="728">
        <v>9</v>
      </c>
      <c r="D356" s="729" t="s">
        <v>1021</v>
      </c>
      <c r="E356" s="728" t="s">
        <v>1414</v>
      </c>
      <c r="F356" s="726">
        <v>270</v>
      </c>
      <c r="G356" s="726">
        <v>110</v>
      </c>
      <c r="H356" s="727">
        <f t="shared" si="28"/>
        <v>29700</v>
      </c>
      <c r="I356" s="912"/>
      <c r="J356" s="730">
        <f>53/110</f>
        <v>0.48181818181818181</v>
      </c>
      <c r="K356" s="727">
        <v>385000</v>
      </c>
      <c r="L356" s="727">
        <v>677100</v>
      </c>
      <c r="M356" s="724">
        <f t="shared" si="34"/>
        <v>2655.4545454545455</v>
      </c>
      <c r="N356" s="724" t="str">
        <f t="shared" si="34"/>
        <v/>
      </c>
      <c r="O356" s="724" t="str">
        <f t="shared" si="34"/>
        <v/>
      </c>
      <c r="P356" s="724" t="str">
        <f t="shared" si="34"/>
        <v/>
      </c>
      <c r="Q356" s="724" t="str">
        <f t="shared" si="34"/>
        <v/>
      </c>
      <c r="R356" s="724" t="str">
        <f t="shared" si="34"/>
        <v/>
      </c>
      <c r="S356" s="724" t="str">
        <f t="shared" si="34"/>
        <v/>
      </c>
      <c r="T356" s="725" t="str">
        <f t="shared" si="34"/>
        <v/>
      </c>
    </row>
    <row r="357" spans="2:20">
      <c r="B357" s="1788"/>
      <c r="C357" s="728">
        <v>10</v>
      </c>
      <c r="D357" s="731" t="s">
        <v>1187</v>
      </c>
      <c r="E357" s="728" t="s">
        <v>1409</v>
      </c>
      <c r="F357" s="726">
        <v>177</v>
      </c>
      <c r="G357" s="726">
        <v>178</v>
      </c>
      <c r="H357" s="727">
        <f t="shared" si="28"/>
        <v>31506</v>
      </c>
      <c r="I357" s="726" t="s">
        <v>3088</v>
      </c>
      <c r="J357" s="730">
        <f>112/178</f>
        <v>0.6292134831460674</v>
      </c>
      <c r="K357" s="727">
        <v>1750000</v>
      </c>
      <c r="L357" s="727">
        <v>1159100</v>
      </c>
      <c r="M357" s="724" t="str">
        <f t="shared" si="34"/>
        <v/>
      </c>
      <c r="N357" s="724" t="str">
        <f t="shared" si="34"/>
        <v/>
      </c>
      <c r="O357" s="724" t="str">
        <f t="shared" si="34"/>
        <v/>
      </c>
      <c r="P357" s="724" t="str">
        <f t="shared" si="34"/>
        <v/>
      </c>
      <c r="Q357" s="724" t="str">
        <f t="shared" si="34"/>
        <v/>
      </c>
      <c r="R357" s="724" t="str">
        <f t="shared" si="34"/>
        <v/>
      </c>
      <c r="S357" s="724" t="str">
        <f t="shared" si="34"/>
        <v/>
      </c>
      <c r="T357" s="725" t="str">
        <f t="shared" si="34"/>
        <v/>
      </c>
    </row>
    <row r="358" spans="2:20">
      <c r="B358" s="1788"/>
      <c r="C358" s="728">
        <v>11</v>
      </c>
      <c r="D358" s="729" t="s">
        <v>2885</v>
      </c>
      <c r="E358" s="728" t="s">
        <v>1425</v>
      </c>
      <c r="F358" s="726">
        <v>213</v>
      </c>
      <c r="G358" s="726">
        <v>165</v>
      </c>
      <c r="H358" s="727">
        <f t="shared" si="28"/>
        <v>35145</v>
      </c>
      <c r="I358" s="726"/>
      <c r="J358" s="730">
        <f>107/165</f>
        <v>0.64848484848484844</v>
      </c>
      <c r="K358" s="727">
        <v>1841000</v>
      </c>
      <c r="L358" s="727">
        <v>1307000</v>
      </c>
      <c r="M358" s="724" t="str">
        <f t="shared" si="34"/>
        <v/>
      </c>
      <c r="N358" s="724" t="str">
        <f t="shared" si="34"/>
        <v/>
      </c>
      <c r="O358" s="724" t="str">
        <f t="shared" si="34"/>
        <v/>
      </c>
      <c r="P358" s="724" t="str">
        <f t="shared" si="34"/>
        <v/>
      </c>
      <c r="Q358" s="724" t="str">
        <f t="shared" si="34"/>
        <v/>
      </c>
      <c r="R358" s="724" t="str">
        <f t="shared" si="34"/>
        <v/>
      </c>
      <c r="S358" s="724" t="str">
        <f t="shared" si="34"/>
        <v/>
      </c>
      <c r="T358" s="725" t="str">
        <f t="shared" si="34"/>
        <v/>
      </c>
    </row>
    <row r="359" spans="2:20">
      <c r="B359" s="1788"/>
      <c r="C359" s="728">
        <v>12</v>
      </c>
      <c r="D359" s="731" t="s">
        <v>1189</v>
      </c>
      <c r="E359" s="728" t="s">
        <v>1425</v>
      </c>
      <c r="F359" s="726">
        <v>284</v>
      </c>
      <c r="G359" s="726">
        <v>130</v>
      </c>
      <c r="H359" s="727">
        <f t="shared" si="28"/>
        <v>36920</v>
      </c>
      <c r="I359" s="916" t="s">
        <v>4231</v>
      </c>
      <c r="J359" s="730">
        <f>(17+20+24+7)/130</f>
        <v>0.52307692307692311</v>
      </c>
      <c r="K359" s="727">
        <f>549000+274000*3</f>
        <v>1371000</v>
      </c>
      <c r="L359" s="727">
        <v>2066000</v>
      </c>
      <c r="M359" s="724">
        <f t="shared" si="34"/>
        <v>5346.1538461538457</v>
      </c>
      <c r="N359" s="724" t="str">
        <f t="shared" si="34"/>
        <v/>
      </c>
      <c r="O359" s="724" t="str">
        <f t="shared" si="34"/>
        <v/>
      </c>
      <c r="P359" s="724" t="str">
        <f t="shared" si="34"/>
        <v/>
      </c>
      <c r="Q359" s="724" t="str">
        <f t="shared" si="34"/>
        <v/>
      </c>
      <c r="R359" s="724" t="str">
        <f t="shared" si="34"/>
        <v/>
      </c>
      <c r="S359" s="724" t="str">
        <f t="shared" si="34"/>
        <v/>
      </c>
      <c r="T359" s="725" t="str">
        <f t="shared" si="34"/>
        <v/>
      </c>
    </row>
    <row r="360" spans="2:20">
      <c r="B360" s="1788"/>
      <c r="C360" s="728">
        <v>13</v>
      </c>
      <c r="D360" s="731" t="s">
        <v>1177</v>
      </c>
      <c r="E360" s="728" t="s">
        <v>1406</v>
      </c>
      <c r="F360" s="726">
        <v>229</v>
      </c>
      <c r="G360" s="726">
        <v>186</v>
      </c>
      <c r="H360" s="727">
        <f t="shared" si="28"/>
        <v>42594</v>
      </c>
      <c r="I360" s="912" t="s">
        <v>3096</v>
      </c>
      <c r="J360" s="730">
        <f>100/186</f>
        <v>0.5376344086021505</v>
      </c>
      <c r="K360" s="727">
        <v>2364000</v>
      </c>
      <c r="L360" s="727">
        <v>2239540</v>
      </c>
      <c r="M360" s="724" t="str">
        <f t="shared" si="34"/>
        <v/>
      </c>
      <c r="N360" s="724" t="str">
        <f t="shared" si="34"/>
        <v/>
      </c>
      <c r="O360" s="724" t="str">
        <f t="shared" si="34"/>
        <v/>
      </c>
      <c r="P360" s="724" t="str">
        <f t="shared" si="34"/>
        <v/>
      </c>
      <c r="Q360" s="724" t="str">
        <f t="shared" si="34"/>
        <v/>
      </c>
      <c r="R360" s="724" t="str">
        <f t="shared" si="34"/>
        <v/>
      </c>
      <c r="S360" s="724" t="str">
        <f t="shared" si="34"/>
        <v/>
      </c>
      <c r="T360" s="725" t="str">
        <f t="shared" si="34"/>
        <v/>
      </c>
    </row>
    <row r="361" spans="2:20">
      <c r="B361" s="1788"/>
      <c r="C361" s="728">
        <v>14</v>
      </c>
      <c r="D361" s="731" t="s">
        <v>3066</v>
      </c>
      <c r="E361" s="728" t="s">
        <v>1392</v>
      </c>
      <c r="F361" s="726">
        <v>272</v>
      </c>
      <c r="G361" s="726">
        <v>179</v>
      </c>
      <c r="H361" s="727">
        <f t="shared" si="28"/>
        <v>48688</v>
      </c>
      <c r="I361" s="726"/>
      <c r="J361" s="730">
        <f>105/175</f>
        <v>0.6</v>
      </c>
      <c r="K361" s="727">
        <v>1686000</v>
      </c>
      <c r="L361" s="727">
        <v>2517330</v>
      </c>
      <c r="M361" s="724">
        <f t="shared" si="34"/>
        <v>4644.3016759776538</v>
      </c>
      <c r="N361" s="724" t="str">
        <f t="shared" si="34"/>
        <v/>
      </c>
      <c r="O361" s="724" t="str">
        <f t="shared" si="34"/>
        <v/>
      </c>
      <c r="P361" s="724" t="str">
        <f t="shared" si="34"/>
        <v/>
      </c>
      <c r="Q361" s="724" t="str">
        <f t="shared" si="34"/>
        <v/>
      </c>
      <c r="R361" s="724" t="str">
        <f t="shared" si="34"/>
        <v/>
      </c>
      <c r="S361" s="724" t="str">
        <f t="shared" si="34"/>
        <v/>
      </c>
      <c r="T361" s="725" t="str">
        <f t="shared" si="34"/>
        <v/>
      </c>
    </row>
    <row r="362" spans="2:20">
      <c r="B362" s="1788"/>
      <c r="C362" s="728">
        <v>15</v>
      </c>
      <c r="D362" s="731" t="s">
        <v>2842</v>
      </c>
      <c r="E362" s="728" t="s">
        <v>4148</v>
      </c>
      <c r="F362" s="726">
        <v>325</v>
      </c>
      <c r="G362" s="726">
        <v>174</v>
      </c>
      <c r="H362" s="727">
        <f t="shared" si="28"/>
        <v>56550</v>
      </c>
      <c r="I362" s="727"/>
      <c r="J362" s="730">
        <f>98/174</f>
        <v>0.56321839080459768</v>
      </c>
      <c r="K362" s="727">
        <v>1848000</v>
      </c>
      <c r="L362" s="727">
        <v>3081140</v>
      </c>
      <c r="M362" s="724">
        <f t="shared" si="34"/>
        <v>7087.0114942528735</v>
      </c>
      <c r="N362" s="724" t="str">
        <f t="shared" si="34"/>
        <v/>
      </c>
      <c r="O362" s="724" t="str">
        <f t="shared" si="34"/>
        <v/>
      </c>
      <c r="P362" s="724" t="str">
        <f t="shared" si="34"/>
        <v/>
      </c>
      <c r="Q362" s="724" t="str">
        <f t="shared" si="34"/>
        <v/>
      </c>
      <c r="R362" s="724" t="str">
        <f t="shared" si="34"/>
        <v/>
      </c>
      <c r="S362" s="724" t="str">
        <f t="shared" si="34"/>
        <v/>
      </c>
      <c r="T362" s="725" t="str">
        <f t="shared" si="34"/>
        <v/>
      </c>
    </row>
    <row r="363" spans="2:20">
      <c r="B363" s="1788"/>
      <c r="C363" s="728">
        <v>16</v>
      </c>
      <c r="D363" s="731" t="s">
        <v>970</v>
      </c>
      <c r="E363" s="728" t="s">
        <v>1425</v>
      </c>
      <c r="F363" s="729">
        <v>366</v>
      </c>
      <c r="G363" s="726">
        <v>176</v>
      </c>
      <c r="H363" s="727">
        <f t="shared" si="28"/>
        <v>64416</v>
      </c>
      <c r="I363" s="727"/>
      <c r="J363" s="730">
        <f>82/176</f>
        <v>0.46590909090909088</v>
      </c>
      <c r="K363" s="727">
        <v>585000</v>
      </c>
      <c r="L363" s="727">
        <v>3260000</v>
      </c>
      <c r="M363" s="724">
        <f t="shared" si="34"/>
        <v>15198.863636363636</v>
      </c>
      <c r="N363" s="724">
        <f t="shared" si="34"/>
        <v>5937.5</v>
      </c>
      <c r="O363" s="724">
        <f t="shared" si="34"/>
        <v>2850.3787878787884</v>
      </c>
      <c r="P363" s="724">
        <f t="shared" si="34"/>
        <v>1306.8181818181818</v>
      </c>
      <c r="Q363" s="724">
        <f t="shared" si="34"/>
        <v>380.68181818181819</v>
      </c>
      <c r="R363" s="724" t="str">
        <f t="shared" si="34"/>
        <v/>
      </c>
      <c r="S363" s="724" t="str">
        <f t="shared" si="34"/>
        <v/>
      </c>
      <c r="T363" s="725" t="str">
        <f t="shared" si="34"/>
        <v/>
      </c>
    </row>
    <row r="364" spans="2:20">
      <c r="B364" s="1788"/>
      <c r="C364" s="728">
        <v>17</v>
      </c>
      <c r="D364" s="731" t="s">
        <v>3056</v>
      </c>
      <c r="E364" s="728" t="s">
        <v>1392</v>
      </c>
      <c r="F364" s="726">
        <v>441</v>
      </c>
      <c r="G364" s="726">
        <v>164</v>
      </c>
      <c r="H364" s="727">
        <f t="shared" si="28"/>
        <v>72324</v>
      </c>
      <c r="I364" s="727">
        <v>-2000</v>
      </c>
      <c r="J364" s="730">
        <f>51/164</f>
        <v>0.31097560975609756</v>
      </c>
      <c r="K364" s="727">
        <v>512000</v>
      </c>
      <c r="L364" s="727">
        <v>3593000</v>
      </c>
      <c r="M364" s="724">
        <f t="shared" si="34"/>
        <v>18786.585365853658</v>
      </c>
      <c r="N364" s="724">
        <f t="shared" si="34"/>
        <v>7832.3170731707314</v>
      </c>
      <c r="O364" s="724">
        <f t="shared" si="34"/>
        <v>4180.8943089430895</v>
      </c>
      <c r="P364" s="724">
        <f t="shared" si="34"/>
        <v>2355.1829268292681</v>
      </c>
      <c r="Q364" s="724">
        <f t="shared" si="34"/>
        <v>1259.7560975609756</v>
      </c>
      <c r="R364" s="724">
        <f t="shared" si="34"/>
        <v>529.47154471544741</v>
      </c>
      <c r="S364" s="724">
        <f t="shared" si="34"/>
        <v>7.8397212543552488</v>
      </c>
      <c r="T364" s="725" t="str">
        <f t="shared" si="34"/>
        <v/>
      </c>
    </row>
    <row r="365" spans="2:20">
      <c r="B365" s="1788"/>
      <c r="C365" s="728">
        <v>18</v>
      </c>
      <c r="D365" s="729" t="s">
        <v>4149</v>
      </c>
      <c r="E365" s="728" t="s">
        <v>1406</v>
      </c>
      <c r="F365" s="726">
        <v>487</v>
      </c>
      <c r="G365" s="726">
        <v>244</v>
      </c>
      <c r="H365" s="727">
        <f t="shared" si="28"/>
        <v>118828</v>
      </c>
      <c r="I365" s="727"/>
      <c r="J365" s="730">
        <f>56/244</f>
        <v>0.22950819672131148</v>
      </c>
      <c r="K365" s="727">
        <v>4137000</v>
      </c>
      <c r="L365" s="727">
        <v>6256000</v>
      </c>
      <c r="M365" s="724">
        <f t="shared" si="34"/>
        <v>8684.4262295081971</v>
      </c>
      <c r="N365" s="724" t="str">
        <f t="shared" si="34"/>
        <v/>
      </c>
      <c r="O365" s="724" t="str">
        <f t="shared" si="34"/>
        <v/>
      </c>
      <c r="P365" s="724" t="str">
        <f t="shared" si="34"/>
        <v/>
      </c>
      <c r="Q365" s="724" t="str">
        <f t="shared" si="34"/>
        <v/>
      </c>
      <c r="R365" s="724" t="str">
        <f t="shared" si="34"/>
        <v/>
      </c>
      <c r="S365" s="724" t="str">
        <f t="shared" si="34"/>
        <v/>
      </c>
      <c r="T365" s="725" t="str">
        <f t="shared" si="34"/>
        <v/>
      </c>
    </row>
    <row r="366" spans="2:20">
      <c r="B366" s="1788"/>
      <c r="C366" s="728">
        <v>19</v>
      </c>
      <c r="D366" s="729" t="s">
        <v>4150</v>
      </c>
      <c r="E366" s="728" t="s">
        <v>1414</v>
      </c>
      <c r="F366" s="726">
        <v>422</v>
      </c>
      <c r="G366" s="726">
        <v>282</v>
      </c>
      <c r="H366" s="727">
        <f t="shared" si="28"/>
        <v>119004</v>
      </c>
      <c r="I366" s="726"/>
      <c r="J366" s="730">
        <f>167/282</f>
        <v>0.59219858156028371</v>
      </c>
      <c r="K366" s="727">
        <v>9356000</v>
      </c>
      <c r="L366" s="727">
        <v>6768000</v>
      </c>
      <c r="M366" s="724" t="str">
        <f t="shared" si="34"/>
        <v/>
      </c>
      <c r="N366" s="724" t="str">
        <f t="shared" si="34"/>
        <v/>
      </c>
      <c r="O366" s="724" t="str">
        <f t="shared" si="34"/>
        <v/>
      </c>
      <c r="P366" s="724" t="str">
        <f t="shared" si="34"/>
        <v/>
      </c>
      <c r="Q366" s="724" t="str">
        <f t="shared" si="34"/>
        <v/>
      </c>
      <c r="R366" s="724" t="str">
        <f t="shared" si="34"/>
        <v/>
      </c>
      <c r="S366" s="724" t="str">
        <f t="shared" si="34"/>
        <v/>
      </c>
      <c r="T366" s="725" t="str">
        <f t="shared" si="34"/>
        <v/>
      </c>
    </row>
    <row r="367" spans="2:20" ht="23.25" thickBot="1">
      <c r="B367" s="1789"/>
      <c r="C367" s="748">
        <v>20</v>
      </c>
      <c r="D367" s="749" t="s">
        <v>4151</v>
      </c>
      <c r="E367" s="748" t="s">
        <v>4152</v>
      </c>
      <c r="F367" s="750">
        <v>456</v>
      </c>
      <c r="G367" s="750">
        <v>261</v>
      </c>
      <c r="H367" s="751">
        <f t="shared" si="28"/>
        <v>119016</v>
      </c>
      <c r="I367" s="751">
        <v>10000</v>
      </c>
      <c r="J367" s="752">
        <f>129/261</f>
        <v>0.4942528735632184</v>
      </c>
      <c r="K367" s="751">
        <v>3998000</v>
      </c>
      <c r="L367" s="751">
        <v>6890400</v>
      </c>
      <c r="M367" s="741">
        <f t="shared" si="34"/>
        <v>11081.992337164751</v>
      </c>
      <c r="N367" s="741" t="str">
        <f t="shared" si="34"/>
        <v/>
      </c>
      <c r="O367" s="741" t="str">
        <f t="shared" si="34"/>
        <v/>
      </c>
      <c r="P367" s="741" t="str">
        <f t="shared" si="34"/>
        <v/>
      </c>
      <c r="Q367" s="741" t="str">
        <f t="shared" si="34"/>
        <v/>
      </c>
      <c r="R367" s="741" t="str">
        <f t="shared" si="34"/>
        <v/>
      </c>
      <c r="S367" s="741" t="str">
        <f t="shared" si="34"/>
        <v/>
      </c>
      <c r="T367" s="742" t="str">
        <f t="shared" si="34"/>
        <v/>
      </c>
    </row>
    <row r="368" spans="2:20">
      <c r="B368" s="1787">
        <v>13</v>
      </c>
      <c r="C368" s="745">
        <v>1</v>
      </c>
      <c r="D368" s="731" t="s">
        <v>989</v>
      </c>
      <c r="E368" s="728" t="s">
        <v>4220</v>
      </c>
      <c r="F368" s="726">
        <v>96</v>
      </c>
      <c r="G368" s="726">
        <v>75</v>
      </c>
      <c r="H368" s="727">
        <v>7200</v>
      </c>
      <c r="I368" s="727">
        <v>400</v>
      </c>
      <c r="J368" s="730">
        <v>0.45333333333333331</v>
      </c>
      <c r="K368" s="727">
        <v>168000</v>
      </c>
      <c r="L368" s="727">
        <v>90000</v>
      </c>
      <c r="M368" s="739" t="str">
        <f t="shared" si="34"/>
        <v/>
      </c>
      <c r="N368" s="739" t="str">
        <f t="shared" si="34"/>
        <v/>
      </c>
      <c r="O368" s="739" t="str">
        <f t="shared" si="34"/>
        <v/>
      </c>
      <c r="P368" s="739" t="str">
        <f t="shared" si="34"/>
        <v/>
      </c>
      <c r="Q368" s="739" t="str">
        <f t="shared" si="34"/>
        <v/>
      </c>
      <c r="R368" s="739" t="str">
        <f t="shared" si="34"/>
        <v/>
      </c>
      <c r="S368" s="739" t="str">
        <f t="shared" si="34"/>
        <v/>
      </c>
      <c r="T368" s="740" t="str">
        <f t="shared" si="34"/>
        <v/>
      </c>
    </row>
    <row r="369" spans="2:20">
      <c r="B369" s="1788"/>
      <c r="C369" s="728">
        <v>2</v>
      </c>
      <c r="D369" s="731" t="s">
        <v>997</v>
      </c>
      <c r="E369" s="728" t="s">
        <v>3171</v>
      </c>
      <c r="F369" s="726">
        <v>175</v>
      </c>
      <c r="G369" s="726">
        <v>62</v>
      </c>
      <c r="H369" s="727">
        <v>10850</v>
      </c>
      <c r="I369" s="727"/>
      <c r="J369" s="730">
        <v>0.43548387096774194</v>
      </c>
      <c r="K369" s="727">
        <v>72000</v>
      </c>
      <c r="L369" s="727">
        <v>113600</v>
      </c>
      <c r="M369" s="724">
        <f t="shared" si="34"/>
        <v>670.9677419354839</v>
      </c>
      <c r="N369" s="724" t="str">
        <f t="shared" si="34"/>
        <v/>
      </c>
      <c r="O369" s="724" t="str">
        <f t="shared" si="34"/>
        <v/>
      </c>
      <c r="P369" s="724" t="str">
        <f t="shared" si="34"/>
        <v/>
      </c>
      <c r="Q369" s="724" t="str">
        <f t="shared" si="34"/>
        <v/>
      </c>
      <c r="R369" s="724" t="str">
        <f t="shared" si="34"/>
        <v/>
      </c>
      <c r="S369" s="724" t="str">
        <f t="shared" si="34"/>
        <v/>
      </c>
      <c r="T369" s="725" t="str">
        <f t="shared" si="34"/>
        <v/>
      </c>
    </row>
    <row r="370" spans="2:20">
      <c r="B370" s="1788"/>
      <c r="C370" s="728">
        <v>3</v>
      </c>
      <c r="D370" s="731" t="s">
        <v>1049</v>
      </c>
      <c r="E370" s="728" t="s">
        <v>4216</v>
      </c>
      <c r="F370" s="726">
        <v>160</v>
      </c>
      <c r="G370" s="726">
        <v>79</v>
      </c>
      <c r="H370" s="727">
        <v>12640</v>
      </c>
      <c r="I370" s="727">
        <v>800</v>
      </c>
      <c r="J370" s="730">
        <v>0.379746835443038</v>
      </c>
      <c r="K370" s="727">
        <v>72000</v>
      </c>
      <c r="L370" s="727">
        <v>165900</v>
      </c>
      <c r="M370" s="724">
        <f t="shared" ref="M370:T385" si="35">IF(($L370/M$1-$K370)/$G370&gt;0,($L370/M$1-$K370)/$G370,"")</f>
        <v>1188.6075949367089</v>
      </c>
      <c r="N370" s="724">
        <f t="shared" si="35"/>
        <v>138.60759493670886</v>
      </c>
      <c r="O370" s="724" t="str">
        <f t="shared" si="35"/>
        <v/>
      </c>
      <c r="P370" s="724" t="str">
        <f t="shared" si="35"/>
        <v/>
      </c>
      <c r="Q370" s="724" t="str">
        <f t="shared" si="35"/>
        <v/>
      </c>
      <c r="R370" s="724" t="str">
        <f t="shared" si="35"/>
        <v/>
      </c>
      <c r="S370" s="724" t="str">
        <f t="shared" si="35"/>
        <v/>
      </c>
      <c r="T370" s="725" t="str">
        <f t="shared" si="35"/>
        <v/>
      </c>
    </row>
    <row r="371" spans="2:20">
      <c r="B371" s="1788"/>
      <c r="C371" s="728">
        <v>4</v>
      </c>
      <c r="D371" s="729" t="s">
        <v>991</v>
      </c>
      <c r="E371" s="728" t="s">
        <v>3171</v>
      </c>
      <c r="F371" s="726">
        <v>200</v>
      </c>
      <c r="G371" s="726">
        <v>72</v>
      </c>
      <c r="H371" s="727">
        <v>14400</v>
      </c>
      <c r="I371" s="727"/>
      <c r="J371" s="730">
        <v>0.54166666666666663</v>
      </c>
      <c r="K371" s="727">
        <v>180000</v>
      </c>
      <c r="L371" s="727">
        <v>182800</v>
      </c>
      <c r="M371" s="724">
        <f t="shared" si="35"/>
        <v>38.888888888888886</v>
      </c>
      <c r="N371" s="724" t="str">
        <f t="shared" si="35"/>
        <v/>
      </c>
      <c r="O371" s="724" t="str">
        <f t="shared" si="35"/>
        <v/>
      </c>
      <c r="P371" s="724" t="str">
        <f t="shared" si="35"/>
        <v/>
      </c>
      <c r="Q371" s="724" t="str">
        <f t="shared" si="35"/>
        <v/>
      </c>
      <c r="R371" s="724" t="str">
        <f t="shared" si="35"/>
        <v/>
      </c>
      <c r="S371" s="724" t="str">
        <f t="shared" si="35"/>
        <v/>
      </c>
      <c r="T371" s="725" t="str">
        <f t="shared" si="35"/>
        <v/>
      </c>
    </row>
    <row r="372" spans="2:20">
      <c r="B372" s="1788"/>
      <c r="C372" s="728">
        <v>5</v>
      </c>
      <c r="D372" s="731" t="s">
        <v>998</v>
      </c>
      <c r="E372" s="728" t="s">
        <v>4218</v>
      </c>
      <c r="F372" s="726">
        <v>280</v>
      </c>
      <c r="G372" s="726">
        <v>58</v>
      </c>
      <c r="H372" s="727">
        <v>16240</v>
      </c>
      <c r="I372" s="727"/>
      <c r="J372" s="730">
        <v>0.25862068965517243</v>
      </c>
      <c r="K372" s="727">
        <v>90000</v>
      </c>
      <c r="L372" s="727">
        <v>217480</v>
      </c>
      <c r="M372" s="724">
        <f t="shared" si="35"/>
        <v>2197.9310344827586</v>
      </c>
      <c r="N372" s="724">
        <f t="shared" si="35"/>
        <v>323.10344827586209</v>
      </c>
      <c r="O372" s="724" t="str">
        <f t="shared" si="35"/>
        <v/>
      </c>
      <c r="P372" s="724" t="str">
        <f t="shared" si="35"/>
        <v/>
      </c>
      <c r="Q372" s="724" t="str">
        <f t="shared" si="35"/>
        <v/>
      </c>
      <c r="R372" s="724" t="str">
        <f t="shared" si="35"/>
        <v/>
      </c>
      <c r="S372" s="724" t="str">
        <f t="shared" si="35"/>
        <v/>
      </c>
      <c r="T372" s="725" t="str">
        <f t="shared" si="35"/>
        <v/>
      </c>
    </row>
    <row r="373" spans="2:20">
      <c r="B373" s="1788"/>
      <c r="C373" s="728">
        <v>6</v>
      </c>
      <c r="D373" s="729" t="s">
        <v>1051</v>
      </c>
      <c r="E373" s="728" t="s">
        <v>4220</v>
      </c>
      <c r="F373" s="726">
        <v>111</v>
      </c>
      <c r="G373" s="726">
        <v>104</v>
      </c>
      <c r="H373" s="727">
        <v>11544</v>
      </c>
      <c r="I373" s="727"/>
      <c r="J373" s="730">
        <v>0.51923076923076927</v>
      </c>
      <c r="K373" s="727">
        <v>240000</v>
      </c>
      <c r="L373" s="727">
        <v>564200</v>
      </c>
      <c r="M373" s="724">
        <f t="shared" si="35"/>
        <v>3117.3076923076924</v>
      </c>
      <c r="N373" s="724">
        <f t="shared" si="35"/>
        <v>404.80769230769232</v>
      </c>
      <c r="O373" s="724" t="str">
        <f t="shared" si="35"/>
        <v/>
      </c>
      <c r="P373" s="724" t="str">
        <f t="shared" si="35"/>
        <v/>
      </c>
      <c r="Q373" s="724" t="str">
        <f t="shared" si="35"/>
        <v/>
      </c>
      <c r="R373" s="724" t="str">
        <f t="shared" si="35"/>
        <v/>
      </c>
      <c r="S373" s="724" t="str">
        <f t="shared" si="35"/>
        <v/>
      </c>
      <c r="T373" s="725" t="str">
        <f t="shared" si="35"/>
        <v/>
      </c>
    </row>
    <row r="374" spans="2:20">
      <c r="B374" s="1788"/>
      <c r="C374" s="728">
        <v>7</v>
      </c>
      <c r="D374" s="731" t="s">
        <v>993</v>
      </c>
      <c r="E374" s="728" t="s">
        <v>4148</v>
      </c>
      <c r="F374" s="726">
        <v>192</v>
      </c>
      <c r="G374" s="726">
        <v>127</v>
      </c>
      <c r="H374" s="727">
        <v>24384</v>
      </c>
      <c r="I374" s="727">
        <v>12000</v>
      </c>
      <c r="J374" s="730">
        <v>0.57480314960629919</v>
      </c>
      <c r="K374" s="727">
        <v>385000</v>
      </c>
      <c r="L374" s="727">
        <v>602930</v>
      </c>
      <c r="M374" s="724">
        <f t="shared" si="35"/>
        <v>1715.9842519685039</v>
      </c>
      <c r="N374" s="724" t="str">
        <f t="shared" si="35"/>
        <v/>
      </c>
      <c r="O374" s="724" t="str">
        <f t="shared" si="35"/>
        <v/>
      </c>
      <c r="P374" s="724" t="str">
        <f t="shared" si="35"/>
        <v/>
      </c>
      <c r="Q374" s="724" t="str">
        <f t="shared" si="35"/>
        <v/>
      </c>
      <c r="R374" s="724" t="str">
        <f t="shared" si="35"/>
        <v/>
      </c>
      <c r="S374" s="724" t="str">
        <f t="shared" si="35"/>
        <v/>
      </c>
      <c r="T374" s="725" t="str">
        <f t="shared" si="35"/>
        <v/>
      </c>
    </row>
    <row r="375" spans="2:20">
      <c r="B375" s="1788"/>
      <c r="C375" s="728">
        <v>8</v>
      </c>
      <c r="D375" s="731" t="s">
        <v>969</v>
      </c>
      <c r="E375" s="728" t="s">
        <v>4218</v>
      </c>
      <c r="F375" s="726">
        <v>243</v>
      </c>
      <c r="G375" s="726">
        <v>115</v>
      </c>
      <c r="H375" s="727">
        <v>27945</v>
      </c>
      <c r="I375" s="727"/>
      <c r="J375" s="730">
        <v>0.44347826086956521</v>
      </c>
      <c r="K375" s="727">
        <v>368000</v>
      </c>
      <c r="L375" s="727">
        <v>616050</v>
      </c>
      <c r="M375" s="724">
        <f t="shared" si="35"/>
        <v>2156.9565217391305</v>
      </c>
      <c r="N375" s="724" t="str">
        <f t="shared" si="35"/>
        <v/>
      </c>
      <c r="O375" s="724" t="str">
        <f t="shared" si="35"/>
        <v/>
      </c>
      <c r="P375" s="724" t="str">
        <f t="shared" si="35"/>
        <v/>
      </c>
      <c r="Q375" s="724" t="str">
        <f t="shared" si="35"/>
        <v/>
      </c>
      <c r="R375" s="724" t="str">
        <f t="shared" si="35"/>
        <v/>
      </c>
      <c r="S375" s="724" t="str">
        <f t="shared" si="35"/>
        <v/>
      </c>
      <c r="T375" s="725" t="str">
        <f t="shared" si="35"/>
        <v/>
      </c>
    </row>
    <row r="376" spans="2:20">
      <c r="B376" s="1788"/>
      <c r="C376" s="728">
        <v>9</v>
      </c>
      <c r="D376" s="729" t="s">
        <v>3116</v>
      </c>
      <c r="E376" s="728" t="s">
        <v>3171</v>
      </c>
      <c r="F376" s="726">
        <v>263</v>
      </c>
      <c r="G376" s="726">
        <v>120</v>
      </c>
      <c r="H376" s="727">
        <v>31560</v>
      </c>
      <c r="I376" s="912"/>
      <c r="J376" s="730">
        <v>0.55000000000000004</v>
      </c>
      <c r="K376" s="727">
        <v>150000</v>
      </c>
      <c r="L376" s="727">
        <v>840000</v>
      </c>
      <c r="M376" s="724">
        <f t="shared" si="35"/>
        <v>5750</v>
      </c>
      <c r="N376" s="724">
        <f t="shared" si="35"/>
        <v>2250</v>
      </c>
      <c r="O376" s="724">
        <f t="shared" si="35"/>
        <v>1083.3333333333333</v>
      </c>
      <c r="P376" s="724">
        <f t="shared" si="35"/>
        <v>500</v>
      </c>
      <c r="Q376" s="724">
        <f t="shared" si="35"/>
        <v>150</v>
      </c>
      <c r="R376" s="724" t="str">
        <f t="shared" si="35"/>
        <v/>
      </c>
      <c r="S376" s="724" t="str">
        <f t="shared" si="35"/>
        <v/>
      </c>
      <c r="T376" s="725" t="str">
        <f t="shared" si="35"/>
        <v/>
      </c>
    </row>
    <row r="377" spans="2:20">
      <c r="B377" s="1788"/>
      <c r="C377" s="728">
        <v>10</v>
      </c>
      <c r="D377" s="731" t="s">
        <v>3172</v>
      </c>
      <c r="E377" s="728" t="s">
        <v>3171</v>
      </c>
      <c r="F377" s="726">
        <v>332</v>
      </c>
      <c r="G377" s="726">
        <v>106</v>
      </c>
      <c r="H377" s="727">
        <v>35192</v>
      </c>
      <c r="I377" s="726"/>
      <c r="J377" s="730">
        <v>0.54716981132075471</v>
      </c>
      <c r="K377" s="727">
        <v>180000</v>
      </c>
      <c r="L377" s="727">
        <v>826800</v>
      </c>
      <c r="M377" s="724">
        <f t="shared" si="35"/>
        <v>6101.8867924528304</v>
      </c>
      <c r="N377" s="724">
        <f t="shared" si="35"/>
        <v>2201.8867924528304</v>
      </c>
      <c r="O377" s="724">
        <f t="shared" si="35"/>
        <v>901.88679245283015</v>
      </c>
      <c r="P377" s="724">
        <f t="shared" si="35"/>
        <v>251.88679245283018</v>
      </c>
      <c r="Q377" s="724" t="str">
        <f t="shared" si="35"/>
        <v/>
      </c>
      <c r="R377" s="724" t="str">
        <f t="shared" si="35"/>
        <v/>
      </c>
      <c r="S377" s="724" t="str">
        <f t="shared" si="35"/>
        <v/>
      </c>
      <c r="T377" s="725" t="str">
        <f t="shared" si="35"/>
        <v/>
      </c>
    </row>
    <row r="378" spans="2:20">
      <c r="B378" s="1788"/>
      <c r="C378" s="728">
        <v>11</v>
      </c>
      <c r="D378" s="729" t="s">
        <v>3081</v>
      </c>
      <c r="E378" s="728" t="s">
        <v>1392</v>
      </c>
      <c r="F378" s="726">
        <v>215</v>
      </c>
      <c r="G378" s="726">
        <v>180</v>
      </c>
      <c r="H378" s="727">
        <f>F378*G378</f>
        <v>38700</v>
      </c>
      <c r="I378" s="727">
        <v>40000</v>
      </c>
      <c r="J378" s="730">
        <f>86/180</f>
        <v>0.4777777777777778</v>
      </c>
      <c r="K378" s="727">
        <v>1900000</v>
      </c>
      <c r="L378" s="727">
        <v>1548000</v>
      </c>
      <c r="M378" s="724" t="str">
        <f t="shared" si="35"/>
        <v/>
      </c>
      <c r="N378" s="724" t="str">
        <f t="shared" si="35"/>
        <v/>
      </c>
      <c r="O378" s="724" t="str">
        <f t="shared" si="35"/>
        <v/>
      </c>
      <c r="P378" s="724" t="str">
        <f t="shared" si="35"/>
        <v/>
      </c>
      <c r="Q378" s="724" t="str">
        <f t="shared" si="35"/>
        <v/>
      </c>
      <c r="R378" s="724" t="str">
        <f t="shared" si="35"/>
        <v/>
      </c>
      <c r="S378" s="724" t="str">
        <f t="shared" si="35"/>
        <v/>
      </c>
      <c r="T378" s="725" t="str">
        <f t="shared" si="35"/>
        <v/>
      </c>
    </row>
    <row r="379" spans="2:20">
      <c r="B379" s="1788"/>
      <c r="C379" s="728">
        <v>12</v>
      </c>
      <c r="D379" s="731" t="s">
        <v>3118</v>
      </c>
      <c r="E379" s="728" t="s">
        <v>4217</v>
      </c>
      <c r="F379" s="726">
        <v>266</v>
      </c>
      <c r="G379" s="726">
        <v>166</v>
      </c>
      <c r="H379" s="727">
        <v>73040</v>
      </c>
      <c r="I379" s="732"/>
      <c r="J379" s="730">
        <v>0.23493975903614459</v>
      </c>
      <c r="K379" s="727">
        <v>1071000</v>
      </c>
      <c r="L379" s="727">
        <v>1626800</v>
      </c>
      <c r="M379" s="724">
        <f t="shared" si="35"/>
        <v>3348.1927710843374</v>
      </c>
      <c r="N379" s="724" t="str">
        <f t="shared" si="35"/>
        <v/>
      </c>
      <c r="O379" s="724" t="str">
        <f t="shared" si="35"/>
        <v/>
      </c>
      <c r="P379" s="724" t="str">
        <f t="shared" si="35"/>
        <v/>
      </c>
      <c r="Q379" s="724" t="str">
        <f t="shared" si="35"/>
        <v/>
      </c>
      <c r="R379" s="724" t="str">
        <f t="shared" si="35"/>
        <v/>
      </c>
      <c r="S379" s="724" t="str">
        <f t="shared" si="35"/>
        <v/>
      </c>
      <c r="T379" s="725" t="str">
        <f t="shared" si="35"/>
        <v/>
      </c>
    </row>
    <row r="380" spans="2:20">
      <c r="B380" s="1788"/>
      <c r="C380" s="728">
        <v>13</v>
      </c>
      <c r="D380" s="731" t="s">
        <v>1692</v>
      </c>
      <c r="E380" s="728" t="s">
        <v>1392</v>
      </c>
      <c r="F380" s="726">
        <v>269</v>
      </c>
      <c r="G380" s="726">
        <v>191</v>
      </c>
      <c r="H380" s="727">
        <f>F380*G380</f>
        <v>51379</v>
      </c>
      <c r="I380" s="727">
        <v>10000</v>
      </c>
      <c r="J380" s="730">
        <f>136/191</f>
        <v>0.7120418848167539</v>
      </c>
      <c r="K380" s="727">
        <v>2720000</v>
      </c>
      <c r="L380" s="727">
        <v>2504010</v>
      </c>
      <c r="M380" s="724" t="str">
        <f t="shared" si="35"/>
        <v/>
      </c>
      <c r="N380" s="724" t="str">
        <f t="shared" si="35"/>
        <v/>
      </c>
      <c r="O380" s="724" t="str">
        <f t="shared" si="35"/>
        <v/>
      </c>
      <c r="P380" s="724" t="str">
        <f t="shared" si="35"/>
        <v/>
      </c>
      <c r="Q380" s="724" t="str">
        <f t="shared" si="35"/>
        <v/>
      </c>
      <c r="R380" s="724" t="str">
        <f t="shared" si="35"/>
        <v/>
      </c>
      <c r="S380" s="724" t="str">
        <f t="shared" si="35"/>
        <v/>
      </c>
      <c r="T380" s="725" t="str">
        <f t="shared" si="35"/>
        <v/>
      </c>
    </row>
    <row r="381" spans="2:20">
      <c r="B381" s="1788"/>
      <c r="C381" s="728">
        <v>14</v>
      </c>
      <c r="D381" s="731" t="s">
        <v>2851</v>
      </c>
      <c r="E381" s="728" t="s">
        <v>1409</v>
      </c>
      <c r="F381" s="729">
        <v>371</v>
      </c>
      <c r="G381" s="726">
        <v>158</v>
      </c>
      <c r="H381" s="727">
        <f>F381*G381</f>
        <v>58618</v>
      </c>
      <c r="I381" s="726"/>
      <c r="J381" s="730">
        <f>74/158</f>
        <v>0.46835443037974683</v>
      </c>
      <c r="K381" s="727">
        <v>1437000</v>
      </c>
      <c r="L381" s="727">
        <v>2662100</v>
      </c>
      <c r="M381" s="724">
        <f t="shared" si="35"/>
        <v>7753.7974683544307</v>
      </c>
      <c r="N381" s="724" t="str">
        <f t="shared" si="35"/>
        <v/>
      </c>
      <c r="O381" s="724" t="str">
        <f t="shared" si="35"/>
        <v/>
      </c>
      <c r="P381" s="724" t="str">
        <f t="shared" si="35"/>
        <v/>
      </c>
      <c r="Q381" s="724" t="str">
        <f t="shared" si="35"/>
        <v/>
      </c>
      <c r="R381" s="724" t="str">
        <f t="shared" si="35"/>
        <v/>
      </c>
      <c r="S381" s="724" t="str">
        <f t="shared" si="35"/>
        <v/>
      </c>
      <c r="T381" s="725" t="str">
        <f t="shared" si="35"/>
        <v/>
      </c>
    </row>
    <row r="382" spans="2:20">
      <c r="B382" s="1788"/>
      <c r="C382" s="728">
        <v>15</v>
      </c>
      <c r="D382" s="731" t="s">
        <v>4215</v>
      </c>
      <c r="E382" s="728" t="s">
        <v>4216</v>
      </c>
      <c r="F382" s="726">
        <v>387</v>
      </c>
      <c r="G382" s="726">
        <v>170</v>
      </c>
      <c r="H382" s="727">
        <v>69360</v>
      </c>
      <c r="I382" s="726"/>
      <c r="J382" s="730">
        <v>0.38823529411764707</v>
      </c>
      <c r="K382" s="727">
        <v>762000</v>
      </c>
      <c r="L382" s="727">
        <v>2854300</v>
      </c>
      <c r="M382" s="724">
        <f t="shared" si="35"/>
        <v>12307.64705882353</v>
      </c>
      <c r="N382" s="724">
        <f t="shared" si="35"/>
        <v>3912.6470588235293</v>
      </c>
      <c r="O382" s="724">
        <f t="shared" si="35"/>
        <v>1114.3137254901962</v>
      </c>
      <c r="P382" s="724" t="str">
        <f t="shared" si="35"/>
        <v/>
      </c>
      <c r="Q382" s="724" t="str">
        <f t="shared" si="35"/>
        <v/>
      </c>
      <c r="R382" s="724" t="str">
        <f t="shared" si="35"/>
        <v/>
      </c>
      <c r="S382" s="724" t="str">
        <f t="shared" si="35"/>
        <v/>
      </c>
      <c r="T382" s="725" t="str">
        <f t="shared" si="35"/>
        <v/>
      </c>
    </row>
    <row r="383" spans="2:20">
      <c r="B383" s="1788"/>
      <c r="C383" s="728">
        <v>16</v>
      </c>
      <c r="D383" s="729" t="s">
        <v>2913</v>
      </c>
      <c r="E383" s="728" t="s">
        <v>1414</v>
      </c>
      <c r="F383" s="726">
        <v>378</v>
      </c>
      <c r="G383" s="726">
        <v>193</v>
      </c>
      <c r="H383" s="727">
        <f>F383*G383</f>
        <v>72954</v>
      </c>
      <c r="I383" s="726" t="s">
        <v>3077</v>
      </c>
      <c r="J383" s="730">
        <f>96/193</f>
        <v>0.49740932642487046</v>
      </c>
      <c r="K383" s="727">
        <v>2040000</v>
      </c>
      <c r="L383" s="727">
        <v>3595590</v>
      </c>
      <c r="M383" s="724">
        <f t="shared" si="35"/>
        <v>8060.051813471503</v>
      </c>
      <c r="N383" s="724" t="str">
        <f t="shared" si="35"/>
        <v/>
      </c>
      <c r="O383" s="724" t="str">
        <f t="shared" si="35"/>
        <v/>
      </c>
      <c r="P383" s="724" t="str">
        <f t="shared" si="35"/>
        <v/>
      </c>
      <c r="Q383" s="724" t="str">
        <f t="shared" si="35"/>
        <v/>
      </c>
      <c r="R383" s="724" t="str">
        <f t="shared" si="35"/>
        <v/>
      </c>
      <c r="S383" s="724" t="str">
        <f t="shared" si="35"/>
        <v/>
      </c>
      <c r="T383" s="725" t="str">
        <f t="shared" si="35"/>
        <v/>
      </c>
    </row>
    <row r="384" spans="2:20">
      <c r="B384" s="1788"/>
      <c r="C384" s="728">
        <v>17</v>
      </c>
      <c r="D384" s="729" t="s">
        <v>3078</v>
      </c>
      <c r="E384" s="728" t="s">
        <v>1403</v>
      </c>
      <c r="F384" s="726">
        <v>506</v>
      </c>
      <c r="G384" s="726">
        <v>178</v>
      </c>
      <c r="H384" s="727">
        <f>F384*G384</f>
        <v>90068</v>
      </c>
      <c r="I384" s="726"/>
      <c r="J384" s="730">
        <f>71/178</f>
        <v>0.398876404494382</v>
      </c>
      <c r="K384" s="727">
        <v>1843000</v>
      </c>
      <c r="L384" s="727">
        <v>4450000</v>
      </c>
      <c r="M384" s="724">
        <f t="shared" si="35"/>
        <v>14646.067415730337</v>
      </c>
      <c r="N384" s="724">
        <f t="shared" si="35"/>
        <v>2146.067415730337</v>
      </c>
      <c r="O384" s="724" t="str">
        <f t="shared" si="35"/>
        <v/>
      </c>
      <c r="P384" s="724" t="str">
        <f t="shared" si="35"/>
        <v/>
      </c>
      <c r="Q384" s="724" t="str">
        <f t="shared" si="35"/>
        <v/>
      </c>
      <c r="R384" s="724" t="str">
        <f t="shared" si="35"/>
        <v/>
      </c>
      <c r="S384" s="724" t="str">
        <f t="shared" si="35"/>
        <v/>
      </c>
      <c r="T384" s="725" t="str">
        <f t="shared" si="35"/>
        <v/>
      </c>
    </row>
    <row r="385" spans="2:20">
      <c r="B385" s="1788"/>
      <c r="C385" s="728">
        <v>18</v>
      </c>
      <c r="D385" s="729" t="s">
        <v>1579</v>
      </c>
      <c r="E385" s="728" t="s">
        <v>4216</v>
      </c>
      <c r="F385" s="726">
        <v>521</v>
      </c>
      <c r="G385" s="726">
        <v>173</v>
      </c>
      <c r="H385" s="727">
        <v>90133</v>
      </c>
      <c r="I385" s="726"/>
      <c r="J385" s="730">
        <v>0.56647398843930641</v>
      </c>
      <c r="K385" s="727">
        <v>1400000</v>
      </c>
      <c r="L385" s="727">
        <v>4725000</v>
      </c>
      <c r="M385" s="724">
        <f t="shared" si="35"/>
        <v>19219.653179190751</v>
      </c>
      <c r="N385" s="724">
        <f t="shared" si="35"/>
        <v>5563.5838150289019</v>
      </c>
      <c r="O385" s="724">
        <f t="shared" si="35"/>
        <v>1011.5606936416185</v>
      </c>
      <c r="P385" s="724" t="str">
        <f t="shared" si="35"/>
        <v/>
      </c>
      <c r="Q385" s="724" t="str">
        <f t="shared" si="35"/>
        <v/>
      </c>
      <c r="R385" s="724" t="str">
        <f t="shared" si="35"/>
        <v/>
      </c>
      <c r="S385" s="724" t="str">
        <f t="shared" si="35"/>
        <v/>
      </c>
      <c r="T385" s="725" t="str">
        <f t="shared" si="35"/>
        <v/>
      </c>
    </row>
    <row r="386" spans="2:20">
      <c r="B386" s="1788"/>
      <c r="C386" s="728">
        <v>19</v>
      </c>
      <c r="D386" s="731" t="s">
        <v>4226</v>
      </c>
      <c r="E386" s="728" t="s">
        <v>4220</v>
      </c>
      <c r="F386" s="726">
        <v>533</v>
      </c>
      <c r="G386" s="726">
        <v>186</v>
      </c>
      <c r="H386" s="727">
        <v>99138</v>
      </c>
      <c r="I386" s="727"/>
      <c r="J386" s="730">
        <v>0.478494623655914</v>
      </c>
      <c r="K386" s="727">
        <v>1516000</v>
      </c>
      <c r="L386" s="727">
        <v>5115000</v>
      </c>
      <c r="M386" s="724">
        <f t="shared" ref="M386:T401" si="36">IF(($L386/M$1-$K386)/$G386&gt;0,($L386/M$1-$K386)/$G386,"")</f>
        <v>19349.462365591397</v>
      </c>
      <c r="N386" s="724">
        <f t="shared" si="36"/>
        <v>5599.4623655913974</v>
      </c>
      <c r="O386" s="724">
        <f t="shared" si="36"/>
        <v>1016.1290322580645</v>
      </c>
      <c r="P386" s="724" t="str">
        <f t="shared" si="36"/>
        <v/>
      </c>
      <c r="Q386" s="724" t="str">
        <f t="shared" si="36"/>
        <v/>
      </c>
      <c r="R386" s="724" t="str">
        <f t="shared" si="36"/>
        <v/>
      </c>
      <c r="S386" s="724" t="str">
        <f t="shared" si="36"/>
        <v/>
      </c>
      <c r="T386" s="725" t="str">
        <f t="shared" si="36"/>
        <v/>
      </c>
    </row>
    <row r="387" spans="2:20">
      <c r="B387" s="1788"/>
      <c r="C387" s="728">
        <v>20</v>
      </c>
      <c r="D387" s="731" t="s">
        <v>3074</v>
      </c>
      <c r="E387" s="728" t="s">
        <v>1403</v>
      </c>
      <c r="F387" s="726">
        <v>563</v>
      </c>
      <c r="G387" s="726">
        <v>176</v>
      </c>
      <c r="H387" s="727">
        <f t="shared" ref="H387:H397" si="37">F387*G387</f>
        <v>99088</v>
      </c>
      <c r="I387" s="727">
        <v>50000</v>
      </c>
      <c r="J387" s="730">
        <f>77/176</f>
        <v>0.4375</v>
      </c>
      <c r="K387" s="727">
        <v>1878000</v>
      </c>
      <c r="L387" s="727">
        <v>5340000</v>
      </c>
      <c r="M387" s="724">
        <f t="shared" si="36"/>
        <v>19670.454545454544</v>
      </c>
      <c r="N387" s="724">
        <f t="shared" si="36"/>
        <v>4500</v>
      </c>
      <c r="O387" s="724" t="str">
        <f t="shared" si="36"/>
        <v/>
      </c>
      <c r="P387" s="724" t="str">
        <f t="shared" si="36"/>
        <v/>
      </c>
      <c r="Q387" s="724" t="str">
        <f t="shared" si="36"/>
        <v/>
      </c>
      <c r="R387" s="724" t="str">
        <f t="shared" si="36"/>
        <v/>
      </c>
      <c r="S387" s="724" t="str">
        <f t="shared" si="36"/>
        <v/>
      </c>
      <c r="T387" s="725" t="str">
        <f t="shared" si="36"/>
        <v/>
      </c>
    </row>
    <row r="388" spans="2:20">
      <c r="B388" s="1788"/>
      <c r="C388" s="728">
        <v>21</v>
      </c>
      <c r="D388" s="729" t="s">
        <v>2847</v>
      </c>
      <c r="E388" s="728" t="s">
        <v>4218</v>
      </c>
      <c r="F388" s="726">
        <v>593</v>
      </c>
      <c r="G388" s="726">
        <v>167</v>
      </c>
      <c r="H388" s="727">
        <f t="shared" si="37"/>
        <v>99031</v>
      </c>
      <c r="I388" s="726"/>
      <c r="J388" s="730">
        <v>0.55089820359281438</v>
      </c>
      <c r="K388" s="727">
        <v>1777000</v>
      </c>
      <c r="L388" s="727">
        <v>6011000</v>
      </c>
      <c r="M388" s="724">
        <f t="shared" si="36"/>
        <v>25353.293413173651</v>
      </c>
      <c r="N388" s="724">
        <f t="shared" si="36"/>
        <v>7356.2874251497005</v>
      </c>
      <c r="O388" s="724">
        <f t="shared" si="36"/>
        <v>1357.285429141717</v>
      </c>
      <c r="P388" s="724" t="str">
        <f t="shared" si="36"/>
        <v/>
      </c>
      <c r="Q388" s="724" t="str">
        <f t="shared" si="36"/>
        <v/>
      </c>
      <c r="R388" s="724" t="str">
        <f t="shared" si="36"/>
        <v/>
      </c>
      <c r="S388" s="724" t="str">
        <f t="shared" si="36"/>
        <v/>
      </c>
      <c r="T388" s="725" t="str">
        <f t="shared" si="36"/>
        <v/>
      </c>
    </row>
    <row r="389" spans="2:20">
      <c r="B389" s="1788"/>
      <c r="C389" s="728">
        <v>22</v>
      </c>
      <c r="D389" s="731" t="s">
        <v>4222</v>
      </c>
      <c r="E389" s="728" t="s">
        <v>4217</v>
      </c>
      <c r="F389" s="726">
        <v>618</v>
      </c>
      <c r="G389" s="726">
        <v>175</v>
      </c>
      <c r="H389" s="727">
        <f t="shared" si="37"/>
        <v>108150</v>
      </c>
      <c r="I389" s="732"/>
      <c r="J389" s="730">
        <v>0.46285714285714286</v>
      </c>
      <c r="K389" s="727">
        <v>1855000</v>
      </c>
      <c r="L389" s="727">
        <v>6510000</v>
      </c>
      <c r="M389" s="724">
        <f t="shared" si="36"/>
        <v>26600</v>
      </c>
      <c r="N389" s="724">
        <f t="shared" si="36"/>
        <v>8000</v>
      </c>
      <c r="O389" s="724">
        <f t="shared" si="36"/>
        <v>1800</v>
      </c>
      <c r="P389" s="724" t="str">
        <f t="shared" si="36"/>
        <v/>
      </c>
      <c r="Q389" s="724" t="str">
        <f t="shared" si="36"/>
        <v/>
      </c>
      <c r="R389" s="724" t="str">
        <f t="shared" si="36"/>
        <v/>
      </c>
      <c r="S389" s="724" t="str">
        <f t="shared" si="36"/>
        <v/>
      </c>
      <c r="T389" s="725" t="str">
        <f t="shared" si="36"/>
        <v/>
      </c>
    </row>
    <row r="390" spans="2:20">
      <c r="B390" s="1788"/>
      <c r="C390" s="728">
        <v>23</v>
      </c>
      <c r="D390" s="729" t="s">
        <v>1183</v>
      </c>
      <c r="E390" s="728" t="s">
        <v>1425</v>
      </c>
      <c r="F390" s="726">
        <v>604</v>
      </c>
      <c r="G390" s="726">
        <v>179</v>
      </c>
      <c r="H390" s="727">
        <f t="shared" si="37"/>
        <v>108116</v>
      </c>
      <c r="I390" s="915" t="s">
        <v>4229</v>
      </c>
      <c r="J390" s="730">
        <f>84/179</f>
        <v>0.46927374301675978</v>
      </c>
      <c r="K390" s="727">
        <v>2251000</v>
      </c>
      <c r="L390" s="727">
        <v>7088400</v>
      </c>
      <c r="M390" s="724">
        <f t="shared" si="36"/>
        <v>27024.581005586591</v>
      </c>
      <c r="N390" s="724">
        <f t="shared" si="36"/>
        <v>7224.5810055865923</v>
      </c>
      <c r="O390" s="724">
        <f t="shared" si="36"/>
        <v>624.58100558659214</v>
      </c>
      <c r="P390" s="724" t="str">
        <f t="shared" si="36"/>
        <v/>
      </c>
      <c r="Q390" s="724" t="str">
        <f t="shared" si="36"/>
        <v/>
      </c>
      <c r="R390" s="724" t="str">
        <f t="shared" si="36"/>
        <v/>
      </c>
      <c r="S390" s="724" t="str">
        <f t="shared" si="36"/>
        <v/>
      </c>
      <c r="T390" s="725" t="str">
        <f t="shared" si="36"/>
        <v/>
      </c>
    </row>
    <row r="391" spans="2:20">
      <c r="B391" s="1788"/>
      <c r="C391" s="728">
        <v>24</v>
      </c>
      <c r="D391" s="729" t="s">
        <v>2854</v>
      </c>
      <c r="E391" s="728" t="s">
        <v>4220</v>
      </c>
      <c r="F391" s="726">
        <v>671</v>
      </c>
      <c r="G391" s="726">
        <v>161</v>
      </c>
      <c r="H391" s="727">
        <f t="shared" si="37"/>
        <v>108031</v>
      </c>
      <c r="I391" s="917"/>
      <c r="J391" s="730">
        <v>0.60248447204968947</v>
      </c>
      <c r="K391" s="727">
        <v>2542500</v>
      </c>
      <c r="L391" s="727">
        <v>7548400</v>
      </c>
      <c r="M391" s="724">
        <f t="shared" si="36"/>
        <v>31092.54658385093</v>
      </c>
      <c r="N391" s="724">
        <f t="shared" si="36"/>
        <v>7650.3105590062114</v>
      </c>
      <c r="O391" s="724" t="str">
        <f t="shared" si="36"/>
        <v/>
      </c>
      <c r="P391" s="724" t="str">
        <f t="shared" si="36"/>
        <v/>
      </c>
      <c r="Q391" s="724" t="str">
        <f t="shared" si="36"/>
        <v/>
      </c>
      <c r="R391" s="724" t="str">
        <f t="shared" si="36"/>
        <v/>
      </c>
      <c r="S391" s="724" t="str">
        <f t="shared" si="36"/>
        <v/>
      </c>
      <c r="T391" s="725" t="str">
        <f t="shared" si="36"/>
        <v/>
      </c>
    </row>
    <row r="392" spans="2:20">
      <c r="B392" s="1788"/>
      <c r="C392" s="728">
        <v>25</v>
      </c>
      <c r="D392" s="731" t="s">
        <v>3108</v>
      </c>
      <c r="E392" s="728" t="s">
        <v>4218</v>
      </c>
      <c r="F392" s="726">
        <v>636</v>
      </c>
      <c r="G392" s="726">
        <v>184</v>
      </c>
      <c r="H392" s="727">
        <f t="shared" si="37"/>
        <v>117024</v>
      </c>
      <c r="I392" s="727" t="s">
        <v>4224</v>
      </c>
      <c r="J392" s="730">
        <v>0.40760869565217389</v>
      </c>
      <c r="K392" s="727">
        <v>1752000</v>
      </c>
      <c r="L392" s="727">
        <v>8132800</v>
      </c>
      <c r="M392" s="724">
        <f t="shared" si="36"/>
        <v>34678.260869565216</v>
      </c>
      <c r="N392" s="724">
        <f t="shared" si="36"/>
        <v>12578.260869565218</v>
      </c>
      <c r="O392" s="724">
        <f t="shared" si="36"/>
        <v>5211.5942028985519</v>
      </c>
      <c r="P392" s="724">
        <f t="shared" si="36"/>
        <v>1528.2608695652175</v>
      </c>
      <c r="Q392" s="724" t="str">
        <f t="shared" si="36"/>
        <v/>
      </c>
      <c r="R392" s="724" t="str">
        <f t="shared" si="36"/>
        <v/>
      </c>
      <c r="S392" s="724" t="str">
        <f t="shared" si="36"/>
        <v/>
      </c>
      <c r="T392" s="725" t="str">
        <f t="shared" si="36"/>
        <v/>
      </c>
    </row>
    <row r="393" spans="2:20">
      <c r="B393" s="1788"/>
      <c r="C393" s="728">
        <v>26</v>
      </c>
      <c r="D393" s="731" t="s">
        <v>3066</v>
      </c>
      <c r="E393" s="728" t="s">
        <v>1392</v>
      </c>
      <c r="F393" s="726">
        <v>654</v>
      </c>
      <c r="G393" s="726">
        <v>179</v>
      </c>
      <c r="H393" s="727">
        <f t="shared" si="37"/>
        <v>117066</v>
      </c>
      <c r="I393" s="726"/>
      <c r="J393" s="730">
        <f>105/175</f>
        <v>0.6</v>
      </c>
      <c r="K393" s="727">
        <v>1686000</v>
      </c>
      <c r="L393" s="727">
        <v>9009900</v>
      </c>
      <c r="M393" s="724">
        <f t="shared" si="36"/>
        <v>40915.642458100556</v>
      </c>
      <c r="N393" s="724">
        <f t="shared" si="36"/>
        <v>15748.324022346369</v>
      </c>
      <c r="O393" s="724">
        <f t="shared" si="36"/>
        <v>7359.2178770949722</v>
      </c>
      <c r="P393" s="724">
        <f t="shared" si="36"/>
        <v>3164.6648044692738</v>
      </c>
      <c r="Q393" s="724">
        <f t="shared" si="36"/>
        <v>647.93296089385478</v>
      </c>
      <c r="R393" s="724" t="str">
        <f t="shared" si="36"/>
        <v/>
      </c>
      <c r="S393" s="724" t="str">
        <f t="shared" si="36"/>
        <v/>
      </c>
      <c r="T393" s="725" t="str">
        <f t="shared" si="36"/>
        <v/>
      </c>
    </row>
    <row r="394" spans="2:20">
      <c r="B394" s="1788"/>
      <c r="C394" s="728">
        <v>27</v>
      </c>
      <c r="D394" s="729" t="s">
        <v>4221</v>
      </c>
      <c r="E394" s="728" t="s">
        <v>4216</v>
      </c>
      <c r="F394" s="726">
        <v>673</v>
      </c>
      <c r="G394" s="726">
        <v>174</v>
      </c>
      <c r="H394" s="727">
        <f t="shared" si="37"/>
        <v>117102</v>
      </c>
      <c r="I394" s="726"/>
      <c r="J394" s="730">
        <v>0.44827586206896552</v>
      </c>
      <c r="K394" s="727">
        <v>2459000</v>
      </c>
      <c r="L394" s="727">
        <v>10179000</v>
      </c>
      <c r="M394" s="724">
        <f t="shared" si="36"/>
        <v>44367.816091954024</v>
      </c>
      <c r="N394" s="724">
        <f t="shared" si="36"/>
        <v>15117.816091954022</v>
      </c>
      <c r="O394" s="724">
        <f t="shared" si="36"/>
        <v>5367.8160919540232</v>
      </c>
      <c r="P394" s="724">
        <f t="shared" si="36"/>
        <v>492.81609195402297</v>
      </c>
      <c r="Q394" s="724" t="str">
        <f t="shared" si="36"/>
        <v/>
      </c>
      <c r="R394" s="724" t="str">
        <f t="shared" si="36"/>
        <v/>
      </c>
      <c r="S394" s="724" t="str">
        <f t="shared" si="36"/>
        <v/>
      </c>
      <c r="T394" s="725" t="str">
        <f t="shared" si="36"/>
        <v/>
      </c>
    </row>
    <row r="395" spans="2:20">
      <c r="B395" s="1788"/>
      <c r="C395" s="728">
        <v>28</v>
      </c>
      <c r="D395" s="731" t="s">
        <v>2372</v>
      </c>
      <c r="E395" s="728" t="s">
        <v>4220</v>
      </c>
      <c r="F395" s="729">
        <v>548</v>
      </c>
      <c r="G395" s="726">
        <v>322</v>
      </c>
      <c r="H395" s="727">
        <f t="shared" si="37"/>
        <v>176456</v>
      </c>
      <c r="I395" s="726"/>
      <c r="J395" s="730">
        <f>88/322</f>
        <v>0.27329192546583853</v>
      </c>
      <c r="K395" s="727">
        <v>6649000</v>
      </c>
      <c r="L395" s="727">
        <v>20286000</v>
      </c>
      <c r="M395" s="724">
        <f t="shared" ref="M395:T395" si="38">IF(($L395/M$1-$K465)/$G465&gt;0,($L395/M$1-$K465)/$G465,"")</f>
        <v>42350.931677018634</v>
      </c>
      <c r="N395" s="724">
        <f t="shared" si="38"/>
        <v>10850.931677018634</v>
      </c>
      <c r="O395" s="724">
        <f t="shared" si="38"/>
        <v>350.93167701863354</v>
      </c>
      <c r="P395" s="724" t="str">
        <f t="shared" si="38"/>
        <v/>
      </c>
      <c r="Q395" s="724" t="str">
        <f t="shared" si="38"/>
        <v/>
      </c>
      <c r="R395" s="724" t="str">
        <f t="shared" si="38"/>
        <v/>
      </c>
      <c r="S395" s="724" t="str">
        <f t="shared" si="38"/>
        <v/>
      </c>
      <c r="T395" s="725" t="str">
        <f t="shared" si="38"/>
        <v/>
      </c>
    </row>
    <row r="396" spans="2:20">
      <c r="B396" s="1788"/>
      <c r="C396" s="728">
        <v>29</v>
      </c>
      <c r="D396" s="729" t="s">
        <v>2729</v>
      </c>
      <c r="E396" s="728" t="s">
        <v>1414</v>
      </c>
      <c r="F396" s="729">
        <v>715</v>
      </c>
      <c r="G396" s="726">
        <v>282</v>
      </c>
      <c r="H396" s="727">
        <f t="shared" si="37"/>
        <v>201630</v>
      </c>
      <c r="I396" s="726"/>
      <c r="J396" s="730">
        <f>167/282</f>
        <v>0.59219858156028371</v>
      </c>
      <c r="K396" s="727">
        <v>9356000</v>
      </c>
      <c r="L396" s="727">
        <v>24816000</v>
      </c>
      <c r="M396" s="724">
        <f t="shared" si="36"/>
        <v>54822.695035460994</v>
      </c>
      <c r="N396" s="724">
        <f t="shared" si="36"/>
        <v>10822.695035460993</v>
      </c>
      <c r="O396" s="724" t="str">
        <f t="shared" si="36"/>
        <v/>
      </c>
      <c r="P396" s="724" t="str">
        <f t="shared" si="36"/>
        <v/>
      </c>
      <c r="Q396" s="724" t="str">
        <f t="shared" si="36"/>
        <v/>
      </c>
      <c r="R396" s="724" t="str">
        <f t="shared" si="36"/>
        <v/>
      </c>
      <c r="S396" s="724" t="str">
        <f t="shared" si="36"/>
        <v/>
      </c>
      <c r="T396" s="725" t="str">
        <f t="shared" si="36"/>
        <v/>
      </c>
    </row>
    <row r="397" spans="2:20" ht="23.25" thickBot="1">
      <c r="B397" s="1789"/>
      <c r="C397" s="748">
        <v>30</v>
      </c>
      <c r="D397" s="749" t="s">
        <v>1475</v>
      </c>
      <c r="E397" s="748" t="s">
        <v>1406</v>
      </c>
      <c r="F397" s="750">
        <v>754</v>
      </c>
      <c r="G397" s="750">
        <v>301</v>
      </c>
      <c r="H397" s="751">
        <f t="shared" si="37"/>
        <v>226954</v>
      </c>
      <c r="I397" s="751"/>
      <c r="J397" s="752">
        <f>184/301</f>
        <v>0.61129568106312293</v>
      </c>
      <c r="K397" s="751">
        <v>11709000</v>
      </c>
      <c r="L397" s="751">
        <v>29799000</v>
      </c>
      <c r="M397" s="741">
        <f t="shared" si="36"/>
        <v>60099.667774086382</v>
      </c>
      <c r="N397" s="741">
        <f t="shared" si="36"/>
        <v>10599.667774086378</v>
      </c>
      <c r="O397" s="741" t="str">
        <f t="shared" si="36"/>
        <v/>
      </c>
      <c r="P397" s="741" t="str">
        <f t="shared" si="36"/>
        <v/>
      </c>
      <c r="Q397" s="741" t="str">
        <f t="shared" si="36"/>
        <v/>
      </c>
      <c r="R397" s="741" t="str">
        <f t="shared" si="36"/>
        <v/>
      </c>
      <c r="S397" s="741" t="str">
        <f t="shared" si="36"/>
        <v/>
      </c>
      <c r="T397" s="742" t="str">
        <f t="shared" si="36"/>
        <v/>
      </c>
    </row>
    <row r="398" spans="2:20">
      <c r="B398" s="1787">
        <v>14</v>
      </c>
      <c r="C398" s="745">
        <v>1</v>
      </c>
      <c r="D398" s="746" t="s">
        <v>2840</v>
      </c>
      <c r="E398" s="745" t="s">
        <v>1406</v>
      </c>
      <c r="F398" s="743">
        <v>103</v>
      </c>
      <c r="G398" s="743">
        <v>70</v>
      </c>
      <c r="H398" s="744">
        <f t="shared" ref="H398:H404" si="39">F398*G398</f>
        <v>7210</v>
      </c>
      <c r="I398" s="744"/>
      <c r="J398" s="747">
        <v>0.2286</v>
      </c>
      <c r="K398" s="744">
        <v>72000</v>
      </c>
      <c r="L398" s="744">
        <v>84000</v>
      </c>
      <c r="M398" s="739">
        <f t="shared" si="36"/>
        <v>171.42857142857142</v>
      </c>
      <c r="N398" s="739" t="str">
        <f t="shared" si="36"/>
        <v/>
      </c>
      <c r="O398" s="739" t="str">
        <f t="shared" si="36"/>
        <v/>
      </c>
      <c r="P398" s="739" t="str">
        <f t="shared" si="36"/>
        <v/>
      </c>
      <c r="Q398" s="739" t="str">
        <f t="shared" si="36"/>
        <v/>
      </c>
      <c r="R398" s="739" t="str">
        <f t="shared" si="36"/>
        <v/>
      </c>
      <c r="S398" s="739" t="str">
        <f t="shared" si="36"/>
        <v/>
      </c>
      <c r="T398" s="740" t="str">
        <f t="shared" si="36"/>
        <v/>
      </c>
    </row>
    <row r="399" spans="2:20">
      <c r="B399" s="1788"/>
      <c r="C399" s="728">
        <v>2</v>
      </c>
      <c r="D399" s="731" t="s">
        <v>2843</v>
      </c>
      <c r="E399" s="728" t="s">
        <v>1409</v>
      </c>
      <c r="F399" s="726">
        <v>143</v>
      </c>
      <c r="G399" s="726">
        <v>76</v>
      </c>
      <c r="H399" s="727">
        <f t="shared" si="39"/>
        <v>10868</v>
      </c>
      <c r="I399" s="727"/>
      <c r="J399" s="730">
        <f>10/76</f>
        <v>0.13157894736842105</v>
      </c>
      <c r="K399" s="727">
        <f>76000*2</f>
        <v>152000</v>
      </c>
      <c r="L399" s="727">
        <v>136800</v>
      </c>
      <c r="M399" s="724" t="str">
        <f t="shared" si="36"/>
        <v/>
      </c>
      <c r="N399" s="724" t="str">
        <f t="shared" si="36"/>
        <v/>
      </c>
      <c r="O399" s="724" t="str">
        <f t="shared" si="36"/>
        <v/>
      </c>
      <c r="P399" s="724" t="str">
        <f t="shared" si="36"/>
        <v/>
      </c>
      <c r="Q399" s="724" t="str">
        <f t="shared" si="36"/>
        <v/>
      </c>
      <c r="R399" s="724" t="str">
        <f t="shared" si="36"/>
        <v/>
      </c>
      <c r="S399" s="724" t="str">
        <f t="shared" si="36"/>
        <v/>
      </c>
      <c r="T399" s="725" t="str">
        <f t="shared" si="36"/>
        <v/>
      </c>
    </row>
    <row r="400" spans="2:20">
      <c r="B400" s="1788"/>
      <c r="C400" s="728">
        <v>3</v>
      </c>
      <c r="D400" s="729" t="s">
        <v>998</v>
      </c>
      <c r="E400" s="728" t="s">
        <v>1425</v>
      </c>
      <c r="F400" s="726">
        <v>218</v>
      </c>
      <c r="G400" s="726">
        <v>58</v>
      </c>
      <c r="H400" s="727">
        <f t="shared" si="39"/>
        <v>12644</v>
      </c>
      <c r="I400" s="727"/>
      <c r="J400" s="730">
        <v>0.2586</v>
      </c>
      <c r="K400" s="727">
        <v>90000</v>
      </c>
      <c r="L400" s="727">
        <v>121800</v>
      </c>
      <c r="M400" s="724">
        <f t="shared" si="36"/>
        <v>548.27586206896547</v>
      </c>
      <c r="N400" s="724" t="str">
        <f t="shared" si="36"/>
        <v/>
      </c>
      <c r="O400" s="724" t="str">
        <f t="shared" si="36"/>
        <v/>
      </c>
      <c r="P400" s="724" t="str">
        <f t="shared" si="36"/>
        <v/>
      </c>
      <c r="Q400" s="724" t="str">
        <f t="shared" si="36"/>
        <v/>
      </c>
      <c r="R400" s="724" t="str">
        <f t="shared" si="36"/>
        <v/>
      </c>
      <c r="S400" s="724" t="str">
        <f t="shared" si="36"/>
        <v/>
      </c>
      <c r="T400" s="725" t="str">
        <f t="shared" si="36"/>
        <v/>
      </c>
    </row>
    <row r="401" spans="2:20">
      <c r="B401" s="1788"/>
      <c r="C401" s="728">
        <v>4</v>
      </c>
      <c r="D401" s="731" t="s">
        <v>3080</v>
      </c>
      <c r="E401" s="728" t="s">
        <v>1403</v>
      </c>
      <c r="F401" s="726">
        <v>209</v>
      </c>
      <c r="G401" s="726">
        <v>69</v>
      </c>
      <c r="H401" s="727">
        <f t="shared" si="39"/>
        <v>14421</v>
      </c>
      <c r="I401" s="733" t="s">
        <v>4500</v>
      </c>
      <c r="J401" s="730">
        <f>24/69</f>
        <v>0.34782608695652173</v>
      </c>
      <c r="K401" s="727">
        <v>134000</v>
      </c>
      <c r="L401" s="727">
        <v>165600</v>
      </c>
      <c r="M401" s="724">
        <f t="shared" si="36"/>
        <v>457.97101449275362</v>
      </c>
      <c r="N401" s="724" t="str">
        <f t="shared" si="36"/>
        <v/>
      </c>
      <c r="O401" s="724" t="str">
        <f t="shared" si="36"/>
        <v/>
      </c>
      <c r="P401" s="724" t="str">
        <f t="shared" si="36"/>
        <v/>
      </c>
      <c r="Q401" s="724" t="str">
        <f t="shared" si="36"/>
        <v/>
      </c>
      <c r="R401" s="724" t="str">
        <f t="shared" si="36"/>
        <v/>
      </c>
      <c r="S401" s="724" t="str">
        <f t="shared" si="36"/>
        <v/>
      </c>
      <c r="T401" s="725" t="str">
        <f t="shared" si="36"/>
        <v/>
      </c>
    </row>
    <row r="402" spans="2:20">
      <c r="B402" s="1788"/>
      <c r="C402" s="728">
        <v>5</v>
      </c>
      <c r="D402" s="731" t="s">
        <v>3056</v>
      </c>
      <c r="E402" s="728" t="s">
        <v>1392</v>
      </c>
      <c r="F402" s="726">
        <v>216</v>
      </c>
      <c r="G402" s="726">
        <v>75</v>
      </c>
      <c r="H402" s="727">
        <f t="shared" si="39"/>
        <v>16200</v>
      </c>
      <c r="I402" s="727"/>
      <c r="J402" s="730">
        <f>(8+10+7)/75</f>
        <v>0.33333333333333331</v>
      </c>
      <c r="K402" s="727">
        <v>144000</v>
      </c>
      <c r="L402" s="727">
        <v>229500</v>
      </c>
      <c r="M402" s="724">
        <f t="shared" ref="M402:T417" si="40">IF(($L402/M$1-$K402)/$G402&gt;0,($L402/M$1-$K402)/$G402,"")</f>
        <v>1140</v>
      </c>
      <c r="N402" s="724" t="str">
        <f t="shared" si="40"/>
        <v/>
      </c>
      <c r="O402" s="724" t="str">
        <f t="shared" si="40"/>
        <v/>
      </c>
      <c r="P402" s="724" t="str">
        <f t="shared" si="40"/>
        <v/>
      </c>
      <c r="Q402" s="724" t="str">
        <f t="shared" si="40"/>
        <v/>
      </c>
      <c r="R402" s="724" t="str">
        <f t="shared" si="40"/>
        <v/>
      </c>
      <c r="S402" s="724" t="str">
        <f t="shared" si="40"/>
        <v/>
      </c>
      <c r="T402" s="725" t="str">
        <f t="shared" si="40"/>
        <v/>
      </c>
    </row>
    <row r="403" spans="2:20">
      <c r="B403" s="1788"/>
      <c r="C403" s="728">
        <v>6</v>
      </c>
      <c r="D403" s="731" t="s">
        <v>965</v>
      </c>
      <c r="E403" s="728" t="s">
        <v>1425</v>
      </c>
      <c r="F403" s="726">
        <v>157</v>
      </c>
      <c r="G403" s="726">
        <v>115</v>
      </c>
      <c r="H403" s="727">
        <f t="shared" si="39"/>
        <v>18055</v>
      </c>
      <c r="I403" s="726"/>
      <c r="J403" s="730">
        <f>35/115</f>
        <v>0.30434782608695654</v>
      </c>
      <c r="K403" s="727">
        <f>87000*3</f>
        <v>261000</v>
      </c>
      <c r="L403" s="727">
        <v>391000</v>
      </c>
      <c r="M403" s="724">
        <f t="shared" si="40"/>
        <v>1130.4347826086957</v>
      </c>
      <c r="N403" s="724" t="str">
        <f t="shared" si="40"/>
        <v/>
      </c>
      <c r="O403" s="724" t="str">
        <f t="shared" si="40"/>
        <v/>
      </c>
      <c r="P403" s="724" t="str">
        <f t="shared" si="40"/>
        <v/>
      </c>
      <c r="Q403" s="724" t="str">
        <f t="shared" si="40"/>
        <v/>
      </c>
      <c r="R403" s="724" t="str">
        <f t="shared" si="40"/>
        <v/>
      </c>
      <c r="S403" s="724" t="str">
        <f t="shared" si="40"/>
        <v/>
      </c>
      <c r="T403" s="725" t="str">
        <f t="shared" si="40"/>
        <v/>
      </c>
    </row>
    <row r="404" spans="2:20">
      <c r="B404" s="1788"/>
      <c r="C404" s="728">
        <v>7</v>
      </c>
      <c r="D404" s="731" t="s">
        <v>974</v>
      </c>
      <c r="E404" s="728" t="s">
        <v>1406</v>
      </c>
      <c r="F404" s="726">
        <v>228</v>
      </c>
      <c r="G404" s="726">
        <v>107</v>
      </c>
      <c r="H404" s="727">
        <f t="shared" si="39"/>
        <v>24396</v>
      </c>
      <c r="I404" s="732" t="s">
        <v>4501</v>
      </c>
      <c r="J404" s="730">
        <f>27/107</f>
        <v>0.25233644859813081</v>
      </c>
      <c r="K404" s="727">
        <v>80000</v>
      </c>
      <c r="L404" s="727">
        <v>491130</v>
      </c>
      <c r="M404" s="724">
        <f t="shared" si="40"/>
        <v>3842.336448598131</v>
      </c>
      <c r="N404" s="724">
        <f t="shared" si="40"/>
        <v>1547.3364485981308</v>
      </c>
      <c r="O404" s="724">
        <f t="shared" si="40"/>
        <v>782.3364485981308</v>
      </c>
      <c r="P404" s="724">
        <f t="shared" si="40"/>
        <v>399.83644859813086</v>
      </c>
      <c r="Q404" s="724">
        <f t="shared" si="40"/>
        <v>170.33644859813083</v>
      </c>
      <c r="R404" s="724">
        <f t="shared" si="40"/>
        <v>17.33644859813084</v>
      </c>
      <c r="S404" s="724" t="str">
        <f t="shared" si="40"/>
        <v/>
      </c>
      <c r="T404" s="725" t="str">
        <f t="shared" si="40"/>
        <v/>
      </c>
    </row>
    <row r="405" spans="2:20">
      <c r="B405" s="1788"/>
      <c r="C405" s="728">
        <v>8</v>
      </c>
      <c r="D405" s="731" t="s">
        <v>969</v>
      </c>
      <c r="E405" s="728" t="s">
        <v>4218</v>
      </c>
      <c r="F405" s="726">
        <v>243</v>
      </c>
      <c r="G405" s="726">
        <v>115</v>
      </c>
      <c r="H405" s="727">
        <v>27945</v>
      </c>
      <c r="I405" s="727"/>
      <c r="J405" s="730">
        <v>0.44347826086956521</v>
      </c>
      <c r="K405" s="727">
        <v>368000</v>
      </c>
      <c r="L405" s="727">
        <v>606500</v>
      </c>
      <c r="M405" s="724">
        <f t="shared" si="40"/>
        <v>2073.913043478261</v>
      </c>
      <c r="N405" s="724" t="str">
        <f t="shared" si="40"/>
        <v/>
      </c>
      <c r="O405" s="724" t="str">
        <f t="shared" si="40"/>
        <v/>
      </c>
      <c r="P405" s="724" t="str">
        <f t="shared" si="40"/>
        <v/>
      </c>
      <c r="Q405" s="724" t="str">
        <f t="shared" si="40"/>
        <v/>
      </c>
      <c r="R405" s="724" t="str">
        <f t="shared" si="40"/>
        <v/>
      </c>
      <c r="S405" s="724" t="str">
        <f t="shared" si="40"/>
        <v/>
      </c>
      <c r="T405" s="725" t="str">
        <f t="shared" si="40"/>
        <v/>
      </c>
    </row>
    <row r="406" spans="2:20">
      <c r="B406" s="1788"/>
      <c r="C406" s="728">
        <v>9</v>
      </c>
      <c r="D406" s="731" t="s">
        <v>2845</v>
      </c>
      <c r="E406" s="728" t="s">
        <v>1403</v>
      </c>
      <c r="F406" s="726">
        <v>263</v>
      </c>
      <c r="G406" s="726">
        <v>120</v>
      </c>
      <c r="H406" s="727">
        <f t="shared" ref="H406:H447" si="41">F406*G406</f>
        <v>31560</v>
      </c>
      <c r="I406" s="727">
        <v>-2000</v>
      </c>
      <c r="J406" s="730">
        <f>57/120</f>
        <v>0.47499999999999998</v>
      </c>
      <c r="K406" s="727">
        <v>600000</v>
      </c>
      <c r="L406" s="727">
        <v>840000</v>
      </c>
      <c r="M406" s="724">
        <f t="shared" si="40"/>
        <v>2000</v>
      </c>
      <c r="N406" s="724" t="str">
        <f t="shared" si="40"/>
        <v/>
      </c>
      <c r="O406" s="724" t="str">
        <f t="shared" si="40"/>
        <v/>
      </c>
      <c r="P406" s="724" t="str">
        <f t="shared" si="40"/>
        <v/>
      </c>
      <c r="Q406" s="724" t="str">
        <f t="shared" si="40"/>
        <v/>
      </c>
      <c r="R406" s="724" t="str">
        <f t="shared" si="40"/>
        <v/>
      </c>
      <c r="S406" s="724" t="str">
        <f t="shared" si="40"/>
        <v/>
      </c>
      <c r="T406" s="725" t="str">
        <f t="shared" si="40"/>
        <v/>
      </c>
    </row>
    <row r="407" spans="2:20">
      <c r="B407" s="1788"/>
      <c r="C407" s="728">
        <v>10</v>
      </c>
      <c r="D407" s="731" t="s">
        <v>3081</v>
      </c>
      <c r="E407" s="728" t="s">
        <v>1392</v>
      </c>
      <c r="F407" s="726">
        <v>298</v>
      </c>
      <c r="G407" s="726">
        <v>118</v>
      </c>
      <c r="H407" s="727">
        <f t="shared" si="41"/>
        <v>35164</v>
      </c>
      <c r="I407" s="727">
        <v>18000</v>
      </c>
      <c r="J407" s="730">
        <f>(8+4+18+16)/118</f>
        <v>0.38983050847457629</v>
      </c>
      <c r="K407" s="727">
        <v>360000</v>
      </c>
      <c r="L407" s="727">
        <v>920400</v>
      </c>
      <c r="M407" s="724">
        <f t="shared" si="40"/>
        <v>4749.1525423728817</v>
      </c>
      <c r="N407" s="724">
        <f t="shared" si="40"/>
        <v>849.15254237288138</v>
      </c>
      <c r="O407" s="724" t="str">
        <f t="shared" si="40"/>
        <v/>
      </c>
      <c r="P407" s="724" t="str">
        <f t="shared" si="40"/>
        <v/>
      </c>
      <c r="Q407" s="724" t="str">
        <f t="shared" si="40"/>
        <v/>
      </c>
      <c r="R407" s="724" t="str">
        <f t="shared" si="40"/>
        <v/>
      </c>
      <c r="S407" s="724" t="str">
        <f t="shared" si="40"/>
        <v/>
      </c>
      <c r="T407" s="725" t="str">
        <f t="shared" si="40"/>
        <v/>
      </c>
    </row>
    <row r="408" spans="2:20">
      <c r="B408" s="1788"/>
      <c r="C408" s="728">
        <v>11</v>
      </c>
      <c r="D408" s="731" t="s">
        <v>2851</v>
      </c>
      <c r="E408" s="728" t="s">
        <v>1409</v>
      </c>
      <c r="F408" s="729">
        <v>366</v>
      </c>
      <c r="G408" s="726">
        <v>158</v>
      </c>
      <c r="H408" s="727">
        <f t="shared" si="41"/>
        <v>57828</v>
      </c>
      <c r="I408" s="726"/>
      <c r="J408" s="730">
        <f>74/158</f>
        <v>0.46835443037974683</v>
      </c>
      <c r="K408" s="727">
        <v>1437000</v>
      </c>
      <c r="L408" s="727">
        <v>911600</v>
      </c>
      <c r="M408" s="724" t="str">
        <f t="shared" si="40"/>
        <v/>
      </c>
      <c r="N408" s="724" t="str">
        <f t="shared" si="40"/>
        <v/>
      </c>
      <c r="O408" s="724" t="str">
        <f t="shared" si="40"/>
        <v/>
      </c>
      <c r="P408" s="724" t="str">
        <f t="shared" si="40"/>
        <v/>
      </c>
      <c r="Q408" s="724" t="str">
        <f t="shared" si="40"/>
        <v/>
      </c>
      <c r="R408" s="724" t="str">
        <f t="shared" si="40"/>
        <v/>
      </c>
      <c r="S408" s="724" t="str">
        <f t="shared" si="40"/>
        <v/>
      </c>
      <c r="T408" s="725" t="str">
        <f t="shared" si="40"/>
        <v/>
      </c>
    </row>
    <row r="409" spans="2:20">
      <c r="B409" s="1788"/>
      <c r="C409" s="728">
        <v>12</v>
      </c>
      <c r="D409" s="729" t="s">
        <v>3078</v>
      </c>
      <c r="E409" s="728" t="s">
        <v>1403</v>
      </c>
      <c r="F409" s="726">
        <v>248</v>
      </c>
      <c r="G409" s="726">
        <v>178</v>
      </c>
      <c r="H409" s="727">
        <f t="shared" si="41"/>
        <v>44144</v>
      </c>
      <c r="I409" s="726"/>
      <c r="J409" s="730">
        <f>71/178</f>
        <v>0.398876404494382</v>
      </c>
      <c r="K409" s="727">
        <v>1843000</v>
      </c>
      <c r="L409" s="727">
        <v>1744400</v>
      </c>
      <c r="M409" s="724" t="str">
        <f t="shared" si="40"/>
        <v/>
      </c>
      <c r="N409" s="724" t="str">
        <f t="shared" si="40"/>
        <v/>
      </c>
      <c r="O409" s="724" t="str">
        <f t="shared" si="40"/>
        <v/>
      </c>
      <c r="P409" s="724" t="str">
        <f t="shared" si="40"/>
        <v/>
      </c>
      <c r="Q409" s="724" t="str">
        <f t="shared" si="40"/>
        <v/>
      </c>
      <c r="R409" s="724" t="str">
        <f t="shared" si="40"/>
        <v/>
      </c>
      <c r="S409" s="724" t="str">
        <f t="shared" si="40"/>
        <v/>
      </c>
      <c r="T409" s="725" t="str">
        <f t="shared" si="40"/>
        <v/>
      </c>
    </row>
    <row r="410" spans="2:20">
      <c r="B410" s="1788"/>
      <c r="C410" s="728">
        <v>13</v>
      </c>
      <c r="D410" s="731" t="s">
        <v>3059</v>
      </c>
      <c r="E410" s="728" t="s">
        <v>1425</v>
      </c>
      <c r="F410" s="729">
        <v>299</v>
      </c>
      <c r="G410" s="726">
        <v>172</v>
      </c>
      <c r="H410" s="727">
        <f t="shared" si="41"/>
        <v>51428</v>
      </c>
      <c r="I410" s="726"/>
      <c r="J410" s="730">
        <f>43/172</f>
        <v>0.25</v>
      </c>
      <c r="K410" s="727">
        <v>1784000</v>
      </c>
      <c r="L410" s="727">
        <v>2254920</v>
      </c>
      <c r="M410" s="724">
        <f t="shared" si="40"/>
        <v>2737.9069767441861</v>
      </c>
      <c r="N410" s="724" t="str">
        <f t="shared" si="40"/>
        <v/>
      </c>
      <c r="O410" s="724" t="str">
        <f t="shared" si="40"/>
        <v/>
      </c>
      <c r="P410" s="724" t="str">
        <f t="shared" si="40"/>
        <v/>
      </c>
      <c r="Q410" s="724" t="str">
        <f t="shared" si="40"/>
        <v/>
      </c>
      <c r="R410" s="724" t="str">
        <f t="shared" si="40"/>
        <v/>
      </c>
      <c r="S410" s="724" t="str">
        <f t="shared" si="40"/>
        <v/>
      </c>
      <c r="T410" s="725" t="str">
        <f t="shared" si="40"/>
        <v/>
      </c>
    </row>
    <row r="411" spans="2:20">
      <c r="B411" s="1788"/>
      <c r="C411" s="728">
        <v>14</v>
      </c>
      <c r="D411" s="731" t="s">
        <v>3074</v>
      </c>
      <c r="E411" s="728" t="s">
        <v>1403</v>
      </c>
      <c r="F411" s="726">
        <v>333</v>
      </c>
      <c r="G411" s="726">
        <v>176</v>
      </c>
      <c r="H411" s="727">
        <f t="shared" si="41"/>
        <v>58608</v>
      </c>
      <c r="I411" s="727">
        <v>50000</v>
      </c>
      <c r="J411" s="730">
        <f>77/176</f>
        <v>0.4375</v>
      </c>
      <c r="K411" s="727">
        <v>1878000</v>
      </c>
      <c r="L411" s="727">
        <v>2631200</v>
      </c>
      <c r="M411" s="724">
        <f t="shared" si="40"/>
        <v>4279.545454545455</v>
      </c>
      <c r="N411" s="724" t="str">
        <f t="shared" si="40"/>
        <v/>
      </c>
      <c r="O411" s="724" t="str">
        <f t="shared" si="40"/>
        <v/>
      </c>
      <c r="P411" s="724" t="str">
        <f t="shared" si="40"/>
        <v/>
      </c>
      <c r="Q411" s="724" t="str">
        <f t="shared" si="40"/>
        <v/>
      </c>
      <c r="R411" s="724" t="str">
        <f t="shared" si="40"/>
        <v/>
      </c>
      <c r="S411" s="724" t="str">
        <f t="shared" si="40"/>
        <v/>
      </c>
      <c r="T411" s="725" t="str">
        <f t="shared" si="40"/>
        <v/>
      </c>
    </row>
    <row r="412" spans="2:20">
      <c r="B412" s="1788"/>
      <c r="C412" s="728">
        <v>15</v>
      </c>
      <c r="D412" s="729" t="s">
        <v>2885</v>
      </c>
      <c r="E412" s="728" t="s">
        <v>1425</v>
      </c>
      <c r="F412" s="726">
        <v>399</v>
      </c>
      <c r="G412" s="726">
        <v>165</v>
      </c>
      <c r="H412" s="727">
        <f t="shared" si="41"/>
        <v>65835</v>
      </c>
      <c r="I412" s="726"/>
      <c r="J412" s="730">
        <f>107/165</f>
        <v>0.64848484848484844</v>
      </c>
      <c r="K412" s="727">
        <v>1841000</v>
      </c>
      <c r="L412" s="727">
        <v>2770350</v>
      </c>
      <c r="M412" s="724">
        <f t="shared" si="40"/>
        <v>5632.424242424242</v>
      </c>
      <c r="N412" s="724" t="str">
        <f t="shared" si="40"/>
        <v/>
      </c>
      <c r="O412" s="724" t="str">
        <f t="shared" si="40"/>
        <v/>
      </c>
      <c r="P412" s="724" t="str">
        <f t="shared" si="40"/>
        <v/>
      </c>
      <c r="Q412" s="724" t="str">
        <f t="shared" si="40"/>
        <v/>
      </c>
      <c r="R412" s="724" t="str">
        <f t="shared" si="40"/>
        <v/>
      </c>
      <c r="S412" s="724" t="str">
        <f t="shared" si="40"/>
        <v/>
      </c>
      <c r="T412" s="725" t="str">
        <f t="shared" si="40"/>
        <v/>
      </c>
    </row>
    <row r="413" spans="2:20">
      <c r="B413" s="1788"/>
      <c r="C413" s="728">
        <v>16</v>
      </c>
      <c r="D413" s="731" t="s">
        <v>2886</v>
      </c>
      <c r="E413" s="728" t="s">
        <v>1409</v>
      </c>
      <c r="F413" s="726">
        <v>397</v>
      </c>
      <c r="G413" s="726">
        <v>184</v>
      </c>
      <c r="H413" s="727">
        <f t="shared" si="41"/>
        <v>73048</v>
      </c>
      <c r="I413" s="727" t="s">
        <v>3076</v>
      </c>
      <c r="J413" s="730">
        <f>71/184</f>
        <v>0.3858695652173913</v>
      </c>
      <c r="K413" s="727">
        <v>1605000</v>
      </c>
      <c r="L413" s="727">
        <v>3427920</v>
      </c>
      <c r="M413" s="724">
        <f t="shared" si="40"/>
        <v>9907.173913043478</v>
      </c>
      <c r="N413" s="724">
        <f t="shared" si="40"/>
        <v>592.17391304347825</v>
      </c>
      <c r="O413" s="724" t="str">
        <f t="shared" si="40"/>
        <v/>
      </c>
      <c r="P413" s="724" t="str">
        <f t="shared" si="40"/>
        <v/>
      </c>
      <c r="Q413" s="724" t="str">
        <f t="shared" si="40"/>
        <v/>
      </c>
      <c r="R413" s="724" t="str">
        <f t="shared" si="40"/>
        <v/>
      </c>
      <c r="S413" s="724" t="str">
        <f t="shared" si="40"/>
        <v/>
      </c>
      <c r="T413" s="725" t="str">
        <f t="shared" si="40"/>
        <v/>
      </c>
    </row>
    <row r="414" spans="2:20">
      <c r="B414" s="1788"/>
      <c r="C414" s="728">
        <v>17</v>
      </c>
      <c r="D414" s="731" t="s">
        <v>1517</v>
      </c>
      <c r="E414" s="728" t="s">
        <v>1409</v>
      </c>
      <c r="F414" s="726">
        <v>621</v>
      </c>
      <c r="G414" s="726">
        <v>145</v>
      </c>
      <c r="H414" s="727">
        <f t="shared" si="41"/>
        <v>90045</v>
      </c>
      <c r="I414" s="727"/>
      <c r="J414" s="730">
        <f>(46-14+72-54+5+129-111)/145</f>
        <v>0.50344827586206897</v>
      </c>
      <c r="K414" s="727">
        <f>525000*2+262000*2</f>
        <v>1574000</v>
      </c>
      <c r="L414" s="727">
        <v>3625000</v>
      </c>
      <c r="M414" s="724">
        <f t="shared" si="40"/>
        <v>14144.827586206897</v>
      </c>
      <c r="N414" s="724">
        <f t="shared" si="40"/>
        <v>1644.8275862068965</v>
      </c>
      <c r="O414" s="724" t="str">
        <f t="shared" si="40"/>
        <v/>
      </c>
      <c r="P414" s="724" t="str">
        <f t="shared" si="40"/>
        <v/>
      </c>
      <c r="Q414" s="724" t="str">
        <f t="shared" si="40"/>
        <v/>
      </c>
      <c r="R414" s="724" t="str">
        <f t="shared" si="40"/>
        <v/>
      </c>
      <c r="S414" s="724" t="str">
        <f t="shared" si="40"/>
        <v/>
      </c>
      <c r="T414" s="725" t="str">
        <f t="shared" si="40"/>
        <v/>
      </c>
    </row>
    <row r="415" spans="2:20">
      <c r="B415" s="1788"/>
      <c r="C415" s="728">
        <v>18</v>
      </c>
      <c r="D415" s="729" t="s">
        <v>1182</v>
      </c>
      <c r="E415" s="728" t="s">
        <v>1392</v>
      </c>
      <c r="F415" s="726">
        <v>503</v>
      </c>
      <c r="G415" s="726">
        <v>179</v>
      </c>
      <c r="H415" s="727">
        <f t="shared" si="41"/>
        <v>90037</v>
      </c>
      <c r="I415" s="726"/>
      <c r="J415" s="730">
        <f>101/179</f>
        <v>0.56424581005586594</v>
      </c>
      <c r="K415" s="727">
        <v>2121000</v>
      </c>
      <c r="L415" s="727">
        <v>4475000</v>
      </c>
      <c r="M415" s="724">
        <f t="shared" si="40"/>
        <v>13150.837988826815</v>
      </c>
      <c r="N415" s="724">
        <f t="shared" si="40"/>
        <v>650.8379888268156</v>
      </c>
      <c r="O415" s="724" t="str">
        <f t="shared" si="40"/>
        <v/>
      </c>
      <c r="P415" s="724" t="str">
        <f t="shared" si="40"/>
        <v/>
      </c>
      <c r="Q415" s="724" t="str">
        <f t="shared" si="40"/>
        <v/>
      </c>
      <c r="R415" s="724" t="str">
        <f t="shared" si="40"/>
        <v/>
      </c>
      <c r="S415" s="724" t="str">
        <f t="shared" si="40"/>
        <v/>
      </c>
      <c r="T415" s="725" t="str">
        <f t="shared" si="40"/>
        <v/>
      </c>
    </row>
    <row r="416" spans="2:20">
      <c r="B416" s="1788"/>
      <c r="C416" s="728">
        <v>19</v>
      </c>
      <c r="D416" s="729" t="s">
        <v>1183</v>
      </c>
      <c r="E416" s="728" t="s">
        <v>1425</v>
      </c>
      <c r="F416" s="726">
        <v>554</v>
      </c>
      <c r="G416" s="726">
        <v>179</v>
      </c>
      <c r="H416" s="727">
        <f t="shared" si="41"/>
        <v>99166</v>
      </c>
      <c r="I416" s="915" t="s">
        <v>4229</v>
      </c>
      <c r="J416" s="730">
        <f>84/179</f>
        <v>0.46927374301675978</v>
      </c>
      <c r="K416" s="727">
        <v>2251000</v>
      </c>
      <c r="L416" s="727">
        <v>4922500</v>
      </c>
      <c r="M416" s="724">
        <f t="shared" si="40"/>
        <v>14924.581005586591</v>
      </c>
      <c r="N416" s="724">
        <f t="shared" si="40"/>
        <v>1174.5810055865923</v>
      </c>
      <c r="O416" s="724" t="str">
        <f t="shared" si="40"/>
        <v/>
      </c>
      <c r="P416" s="724" t="str">
        <f t="shared" si="40"/>
        <v/>
      </c>
      <c r="Q416" s="724" t="str">
        <f t="shared" si="40"/>
        <v/>
      </c>
      <c r="R416" s="724" t="str">
        <f t="shared" si="40"/>
        <v/>
      </c>
      <c r="S416" s="724" t="str">
        <f t="shared" si="40"/>
        <v/>
      </c>
      <c r="T416" s="725" t="str">
        <f t="shared" si="40"/>
        <v/>
      </c>
    </row>
    <row r="417" spans="2:20">
      <c r="B417" s="1788"/>
      <c r="C417" s="728">
        <v>20</v>
      </c>
      <c r="D417" s="731" t="s">
        <v>1692</v>
      </c>
      <c r="E417" s="728" t="s">
        <v>1392</v>
      </c>
      <c r="F417" s="726">
        <v>519</v>
      </c>
      <c r="G417" s="726">
        <v>191</v>
      </c>
      <c r="H417" s="727">
        <f t="shared" si="41"/>
        <v>99129</v>
      </c>
      <c r="I417" s="727">
        <v>10000</v>
      </c>
      <c r="J417" s="730">
        <f>136/191</f>
        <v>0.7120418848167539</v>
      </c>
      <c r="K417" s="727">
        <v>2720000</v>
      </c>
      <c r="L417" s="727">
        <v>5252500</v>
      </c>
      <c r="M417" s="724">
        <f t="shared" si="40"/>
        <v>13259.162303664922</v>
      </c>
      <c r="N417" s="724" t="str">
        <f t="shared" si="40"/>
        <v/>
      </c>
      <c r="O417" s="724" t="str">
        <f t="shared" si="40"/>
        <v/>
      </c>
      <c r="P417" s="724" t="str">
        <f t="shared" si="40"/>
        <v/>
      </c>
      <c r="Q417" s="724" t="str">
        <f t="shared" si="40"/>
        <v/>
      </c>
      <c r="R417" s="724" t="str">
        <f t="shared" si="40"/>
        <v/>
      </c>
      <c r="S417" s="724" t="str">
        <f t="shared" si="40"/>
        <v/>
      </c>
      <c r="T417" s="725" t="str">
        <f t="shared" si="40"/>
        <v/>
      </c>
    </row>
    <row r="418" spans="2:20">
      <c r="B418" s="1788"/>
      <c r="C418" s="728">
        <v>21</v>
      </c>
      <c r="D418" s="731" t="s">
        <v>1729</v>
      </c>
      <c r="E418" s="728" t="s">
        <v>1403</v>
      </c>
      <c r="F418" s="726">
        <v>536</v>
      </c>
      <c r="G418" s="726">
        <v>185</v>
      </c>
      <c r="H418" s="727">
        <f t="shared" si="41"/>
        <v>99160</v>
      </c>
      <c r="I418" s="727"/>
      <c r="J418" s="730">
        <f>69/185</f>
        <v>0.37297297297297299</v>
      </c>
      <c r="K418" s="727">
        <v>2201000</v>
      </c>
      <c r="L418" s="727">
        <v>6105000</v>
      </c>
      <c r="M418" s="724">
        <f t="shared" ref="M418:T433" si="42">IF(($L418/M$1-$K418)/$G418&gt;0,($L418/M$1-$K418)/$G418,"")</f>
        <v>21102.702702702703</v>
      </c>
      <c r="N418" s="724">
        <f t="shared" si="42"/>
        <v>4602.7027027027025</v>
      </c>
      <c r="O418" s="724" t="str">
        <f t="shared" si="42"/>
        <v/>
      </c>
      <c r="P418" s="724" t="str">
        <f t="shared" si="42"/>
        <v/>
      </c>
      <c r="Q418" s="724" t="str">
        <f t="shared" si="42"/>
        <v/>
      </c>
      <c r="R418" s="724" t="str">
        <f t="shared" si="42"/>
        <v/>
      </c>
      <c r="S418" s="724" t="str">
        <f t="shared" si="42"/>
        <v/>
      </c>
      <c r="T418" s="725" t="str">
        <f t="shared" si="42"/>
        <v/>
      </c>
    </row>
    <row r="419" spans="2:20">
      <c r="B419" s="1788"/>
      <c r="C419" s="728">
        <v>22</v>
      </c>
      <c r="D419" s="731" t="s">
        <v>2842</v>
      </c>
      <c r="E419" s="728" t="s">
        <v>4148</v>
      </c>
      <c r="F419" s="726">
        <v>621</v>
      </c>
      <c r="G419" s="726">
        <v>174</v>
      </c>
      <c r="H419" s="727">
        <f t="shared" si="41"/>
        <v>108054</v>
      </c>
      <c r="I419" s="726"/>
      <c r="J419" s="730">
        <v>0.56321839080459768</v>
      </c>
      <c r="K419" s="727">
        <v>1848000</v>
      </c>
      <c r="L419" s="727">
        <v>6472800</v>
      </c>
      <c r="M419" s="724">
        <f t="shared" si="42"/>
        <v>26579.310344827587</v>
      </c>
      <c r="N419" s="724">
        <f t="shared" si="42"/>
        <v>7979.3103448275861</v>
      </c>
      <c r="O419" s="724">
        <f t="shared" si="42"/>
        <v>1779.3103448275863</v>
      </c>
      <c r="P419" s="724" t="str">
        <f t="shared" si="42"/>
        <v/>
      </c>
      <c r="Q419" s="724" t="str">
        <f t="shared" si="42"/>
        <v/>
      </c>
      <c r="R419" s="724" t="str">
        <f t="shared" si="42"/>
        <v/>
      </c>
      <c r="S419" s="724" t="str">
        <f t="shared" si="42"/>
        <v/>
      </c>
      <c r="T419" s="725" t="str">
        <f t="shared" si="42"/>
        <v/>
      </c>
    </row>
    <row r="420" spans="2:20">
      <c r="B420" s="1788"/>
      <c r="C420" s="728">
        <v>23</v>
      </c>
      <c r="D420" s="731" t="s">
        <v>3108</v>
      </c>
      <c r="E420" s="728" t="s">
        <v>4218</v>
      </c>
      <c r="F420" s="726">
        <v>587</v>
      </c>
      <c r="G420" s="726">
        <v>184</v>
      </c>
      <c r="H420" s="727">
        <f t="shared" si="41"/>
        <v>108008</v>
      </c>
      <c r="I420" s="727" t="s">
        <v>4224</v>
      </c>
      <c r="J420" s="730">
        <v>0.40760869565217389</v>
      </c>
      <c r="K420" s="727">
        <v>1752000</v>
      </c>
      <c r="L420" s="727">
        <v>7286400</v>
      </c>
      <c r="M420" s="724">
        <f t="shared" si="42"/>
        <v>30078.260869565216</v>
      </c>
      <c r="N420" s="724">
        <f t="shared" si="42"/>
        <v>10278.260869565218</v>
      </c>
      <c r="O420" s="724">
        <f t="shared" si="42"/>
        <v>3678.2608695652175</v>
      </c>
      <c r="P420" s="724">
        <f t="shared" si="42"/>
        <v>378.26086956521738</v>
      </c>
      <c r="Q420" s="724" t="str">
        <f t="shared" si="42"/>
        <v/>
      </c>
      <c r="R420" s="724" t="str">
        <f t="shared" si="42"/>
        <v/>
      </c>
      <c r="S420" s="724" t="str">
        <f t="shared" si="42"/>
        <v/>
      </c>
      <c r="T420" s="725" t="str">
        <f t="shared" si="42"/>
        <v/>
      </c>
    </row>
    <row r="421" spans="2:20">
      <c r="B421" s="1788"/>
      <c r="C421" s="728">
        <v>24</v>
      </c>
      <c r="D421" s="729" t="s">
        <v>3068</v>
      </c>
      <c r="E421" s="728" t="s">
        <v>4220</v>
      </c>
      <c r="F421" s="726">
        <v>597</v>
      </c>
      <c r="G421" s="726">
        <v>181</v>
      </c>
      <c r="H421" s="727">
        <f t="shared" si="41"/>
        <v>108057</v>
      </c>
      <c r="I421" s="726"/>
      <c r="J421" s="730">
        <v>0.48070000000000002</v>
      </c>
      <c r="K421" s="727">
        <v>2256000</v>
      </c>
      <c r="L421" s="727">
        <v>8036400</v>
      </c>
      <c r="M421" s="724">
        <f t="shared" si="42"/>
        <v>31935.911602209944</v>
      </c>
      <c r="N421" s="724">
        <f t="shared" si="42"/>
        <v>9735.9116022099442</v>
      </c>
      <c r="O421" s="724">
        <f t="shared" si="42"/>
        <v>2335.9116022099447</v>
      </c>
      <c r="P421" s="724" t="str">
        <f t="shared" si="42"/>
        <v/>
      </c>
      <c r="Q421" s="724" t="str">
        <f t="shared" si="42"/>
        <v/>
      </c>
      <c r="R421" s="724" t="str">
        <f t="shared" si="42"/>
        <v/>
      </c>
      <c r="S421" s="724" t="str">
        <f t="shared" si="42"/>
        <v/>
      </c>
      <c r="T421" s="725" t="str">
        <f t="shared" si="42"/>
        <v/>
      </c>
    </row>
    <row r="422" spans="2:20">
      <c r="B422" s="1788"/>
      <c r="C422" s="728">
        <v>25</v>
      </c>
      <c r="D422" s="729" t="s">
        <v>4228</v>
      </c>
      <c r="E422" s="728" t="s">
        <v>4220</v>
      </c>
      <c r="F422" s="726">
        <v>658</v>
      </c>
      <c r="G422" s="726">
        <v>178</v>
      </c>
      <c r="H422" s="727">
        <f t="shared" si="41"/>
        <v>117124</v>
      </c>
      <c r="I422" s="726"/>
      <c r="J422" s="730">
        <v>0.43258426966292135</v>
      </c>
      <c r="K422" s="727">
        <v>1320000</v>
      </c>
      <c r="L422" s="727">
        <v>8099000</v>
      </c>
      <c r="M422" s="724">
        <f t="shared" si="42"/>
        <v>38084.269662921346</v>
      </c>
      <c r="N422" s="724">
        <f t="shared" si="42"/>
        <v>15334.269662921348</v>
      </c>
      <c r="O422" s="724">
        <f t="shared" si="42"/>
        <v>7750.9363295880139</v>
      </c>
      <c r="P422" s="724">
        <f t="shared" si="42"/>
        <v>3959.2696629213483</v>
      </c>
      <c r="Q422" s="724">
        <f t="shared" si="42"/>
        <v>1684.2696629213483</v>
      </c>
      <c r="R422" s="724">
        <f t="shared" si="42"/>
        <v>167.60299625468122</v>
      </c>
      <c r="S422" s="724" t="str">
        <f t="shared" si="42"/>
        <v/>
      </c>
      <c r="T422" s="725" t="str">
        <f t="shared" si="42"/>
        <v/>
      </c>
    </row>
    <row r="423" spans="2:20">
      <c r="B423" s="1788"/>
      <c r="C423" s="728">
        <v>26</v>
      </c>
      <c r="D423" s="729" t="s">
        <v>2847</v>
      </c>
      <c r="E423" s="728" t="s">
        <v>4218</v>
      </c>
      <c r="F423" s="726">
        <v>701</v>
      </c>
      <c r="G423" s="726">
        <v>167</v>
      </c>
      <c r="H423" s="727">
        <f t="shared" si="41"/>
        <v>117067</v>
      </c>
      <c r="I423" s="726"/>
      <c r="J423" s="730">
        <v>0.55089820359281438</v>
      </c>
      <c r="K423" s="727">
        <v>1777000</v>
      </c>
      <c r="L423" s="727">
        <v>8249800</v>
      </c>
      <c r="M423" s="724">
        <f t="shared" si="42"/>
        <v>38759.281437125748</v>
      </c>
      <c r="N423" s="724">
        <f t="shared" si="42"/>
        <v>14059.281437125748</v>
      </c>
      <c r="O423" s="724">
        <f t="shared" si="42"/>
        <v>5825.9481037924161</v>
      </c>
      <c r="P423" s="724">
        <f t="shared" si="42"/>
        <v>1709.2814371257484</v>
      </c>
      <c r="Q423" s="724" t="str">
        <f t="shared" si="42"/>
        <v/>
      </c>
      <c r="R423" s="724" t="str">
        <f t="shared" si="42"/>
        <v/>
      </c>
      <c r="S423" s="724" t="str">
        <f t="shared" si="42"/>
        <v/>
      </c>
      <c r="T423" s="725" t="str">
        <f t="shared" si="42"/>
        <v/>
      </c>
    </row>
    <row r="424" spans="2:20">
      <c r="B424" s="1788"/>
      <c r="C424" s="728">
        <v>27</v>
      </c>
      <c r="D424" s="731" t="s">
        <v>4219</v>
      </c>
      <c r="E424" s="728" t="s">
        <v>3171</v>
      </c>
      <c r="F424" s="726">
        <v>710</v>
      </c>
      <c r="G424" s="726">
        <v>165</v>
      </c>
      <c r="H424" s="727">
        <f t="shared" si="41"/>
        <v>117150</v>
      </c>
      <c r="I424" s="727"/>
      <c r="J424" s="730">
        <v>0.55151515151515151</v>
      </c>
      <c r="K424" s="727">
        <v>1215000</v>
      </c>
      <c r="L424" s="727">
        <v>9652500</v>
      </c>
      <c r="M424" s="724">
        <f t="shared" si="42"/>
        <v>51136.36363636364</v>
      </c>
      <c r="N424" s="724">
        <f t="shared" si="42"/>
        <v>21886.363636363636</v>
      </c>
      <c r="O424" s="724">
        <f t="shared" si="42"/>
        <v>12136.363636363636</v>
      </c>
      <c r="P424" s="724">
        <f t="shared" si="42"/>
        <v>7261.363636363636</v>
      </c>
      <c r="Q424" s="724">
        <f t="shared" si="42"/>
        <v>4336.363636363636</v>
      </c>
      <c r="R424" s="724">
        <f t="shared" si="42"/>
        <v>2386.3636363636365</v>
      </c>
      <c r="S424" s="724">
        <f t="shared" si="42"/>
        <v>993.50649350649314</v>
      </c>
      <c r="T424" s="725" t="str">
        <f t="shared" si="42"/>
        <v/>
      </c>
    </row>
    <row r="425" spans="2:20">
      <c r="B425" s="1788"/>
      <c r="C425" s="728">
        <v>28</v>
      </c>
      <c r="D425" s="731" t="s">
        <v>4222</v>
      </c>
      <c r="E425" s="728" t="s">
        <v>4217</v>
      </c>
      <c r="F425" s="726">
        <v>936</v>
      </c>
      <c r="G425" s="726">
        <v>175</v>
      </c>
      <c r="H425" s="727">
        <f t="shared" si="41"/>
        <v>163800</v>
      </c>
      <c r="I425" s="732"/>
      <c r="J425" s="730">
        <v>0.46285714285714286</v>
      </c>
      <c r="K425" s="727">
        <v>1855000</v>
      </c>
      <c r="L425" s="727">
        <v>19600000</v>
      </c>
      <c r="M425" s="724">
        <f t="shared" si="42"/>
        <v>101400</v>
      </c>
      <c r="N425" s="724">
        <f t="shared" si="42"/>
        <v>45400</v>
      </c>
      <c r="O425" s="724">
        <f t="shared" si="42"/>
        <v>26733.333333333332</v>
      </c>
      <c r="P425" s="724">
        <f t="shared" si="42"/>
        <v>17400</v>
      </c>
      <c r="Q425" s="724">
        <f t="shared" si="42"/>
        <v>11800</v>
      </c>
      <c r="R425" s="724">
        <f t="shared" si="42"/>
        <v>8066.6666666666661</v>
      </c>
      <c r="S425" s="724">
        <f t="shared" si="42"/>
        <v>5400</v>
      </c>
      <c r="T425" s="725">
        <f t="shared" si="42"/>
        <v>3400</v>
      </c>
    </row>
    <row r="426" spans="2:20">
      <c r="B426" s="1788"/>
      <c r="C426" s="728">
        <v>29</v>
      </c>
      <c r="D426" s="729" t="s">
        <v>4569</v>
      </c>
      <c r="E426" s="728" t="s">
        <v>3171</v>
      </c>
      <c r="F426" s="729">
        <v>775</v>
      </c>
      <c r="G426" s="726">
        <v>186</v>
      </c>
      <c r="H426" s="727">
        <f t="shared" si="41"/>
        <v>144150</v>
      </c>
      <c r="I426" s="726"/>
      <c r="J426" s="730">
        <f>76/186</f>
        <v>0.40860215053763443</v>
      </c>
      <c r="K426" s="727">
        <v>1992000</v>
      </c>
      <c r="L426" s="727">
        <v>20832000</v>
      </c>
      <c r="M426" s="724">
        <f t="shared" si="42"/>
        <v>101290.32258064517</v>
      </c>
      <c r="N426" s="724">
        <f t="shared" si="42"/>
        <v>45290.322580645159</v>
      </c>
      <c r="O426" s="724">
        <f t="shared" si="42"/>
        <v>26623.655913978495</v>
      </c>
      <c r="P426" s="724">
        <f t="shared" si="42"/>
        <v>17290.322580645163</v>
      </c>
      <c r="Q426" s="724">
        <f t="shared" si="42"/>
        <v>11690.322580645161</v>
      </c>
      <c r="R426" s="724">
        <f t="shared" si="42"/>
        <v>7956.989247311828</v>
      </c>
      <c r="S426" s="724">
        <f t="shared" si="42"/>
        <v>5290.322580645161</v>
      </c>
      <c r="T426" s="725">
        <f t="shared" si="42"/>
        <v>3290.3225806451615</v>
      </c>
    </row>
    <row r="427" spans="2:20" ht="23.25" thickBot="1">
      <c r="B427" s="1789"/>
      <c r="C427" s="748">
        <v>30</v>
      </c>
      <c r="D427" s="749" t="s">
        <v>4570</v>
      </c>
      <c r="E427" s="748" t="s">
        <v>4148</v>
      </c>
      <c r="F427" s="750">
        <v>921</v>
      </c>
      <c r="G427" s="750">
        <v>176</v>
      </c>
      <c r="H427" s="751">
        <f t="shared" si="41"/>
        <v>162096</v>
      </c>
      <c r="I427" s="751"/>
      <c r="J427" s="752">
        <f>101/176</f>
        <v>0.57386363636363635</v>
      </c>
      <c r="K427" s="751">
        <v>2486000</v>
      </c>
      <c r="L427" s="751">
        <v>25344000</v>
      </c>
      <c r="M427" s="741">
        <f t="shared" si="42"/>
        <v>129875</v>
      </c>
      <c r="N427" s="741">
        <f t="shared" si="42"/>
        <v>57875</v>
      </c>
      <c r="O427" s="741">
        <f t="shared" si="42"/>
        <v>33875</v>
      </c>
      <c r="P427" s="741">
        <f t="shared" si="42"/>
        <v>21875</v>
      </c>
      <c r="Q427" s="741">
        <f t="shared" si="42"/>
        <v>14675</v>
      </c>
      <c r="R427" s="741">
        <f t="shared" si="42"/>
        <v>9875</v>
      </c>
      <c r="S427" s="741">
        <f t="shared" si="42"/>
        <v>6446.4285714285716</v>
      </c>
      <c r="T427" s="742">
        <f t="shared" si="42"/>
        <v>3875</v>
      </c>
    </row>
    <row r="428" spans="2:20">
      <c r="B428" s="1787">
        <v>15</v>
      </c>
      <c r="C428" s="745">
        <v>1</v>
      </c>
      <c r="D428" s="731" t="s">
        <v>4605</v>
      </c>
      <c r="E428" s="728" t="s">
        <v>4218</v>
      </c>
      <c r="F428" s="726">
        <v>65</v>
      </c>
      <c r="G428" s="726">
        <v>111</v>
      </c>
      <c r="H428" s="727">
        <f t="shared" si="41"/>
        <v>7215</v>
      </c>
      <c r="I428" s="727"/>
      <c r="J428" s="730">
        <f>(5+8+5+5+7+9)/111</f>
        <v>0.35135135135135137</v>
      </c>
      <c r="K428" s="727">
        <v>240000</v>
      </c>
      <c r="L428" s="727">
        <v>155440</v>
      </c>
      <c r="M428" s="739" t="str">
        <f t="shared" si="42"/>
        <v/>
      </c>
      <c r="N428" s="739" t="str">
        <f t="shared" si="42"/>
        <v/>
      </c>
      <c r="O428" s="739" t="str">
        <f t="shared" si="42"/>
        <v/>
      </c>
      <c r="P428" s="739" t="str">
        <f t="shared" si="42"/>
        <v/>
      </c>
      <c r="Q428" s="739" t="str">
        <f t="shared" si="42"/>
        <v/>
      </c>
      <c r="R428" s="739" t="str">
        <f t="shared" si="42"/>
        <v/>
      </c>
      <c r="S428" s="739" t="str">
        <f t="shared" si="42"/>
        <v/>
      </c>
      <c r="T428" s="740" t="str">
        <f t="shared" si="42"/>
        <v/>
      </c>
    </row>
    <row r="429" spans="2:20">
      <c r="B429" s="1788"/>
      <c r="C429" s="728">
        <v>2</v>
      </c>
      <c r="D429" s="731" t="s">
        <v>4606</v>
      </c>
      <c r="E429" s="728" t="s">
        <v>4220</v>
      </c>
      <c r="F429" s="726">
        <v>102</v>
      </c>
      <c r="G429" s="726">
        <v>106</v>
      </c>
      <c r="H429" s="727">
        <f t="shared" si="41"/>
        <v>10812</v>
      </c>
      <c r="I429" s="727"/>
      <c r="J429" s="730">
        <f>(10+25+6)/106</f>
        <v>0.3867924528301887</v>
      </c>
      <c r="K429" s="727">
        <v>243000</v>
      </c>
      <c r="L429" s="727">
        <v>195360</v>
      </c>
      <c r="M429" s="724" t="str">
        <f t="shared" si="42"/>
        <v/>
      </c>
      <c r="N429" s="724" t="str">
        <f t="shared" si="42"/>
        <v/>
      </c>
      <c r="O429" s="724" t="str">
        <f t="shared" si="42"/>
        <v/>
      </c>
      <c r="P429" s="724" t="str">
        <f t="shared" si="42"/>
        <v/>
      </c>
      <c r="Q429" s="724" t="str">
        <f t="shared" si="42"/>
        <v/>
      </c>
      <c r="R429" s="724" t="str">
        <f t="shared" si="42"/>
        <v/>
      </c>
      <c r="S429" s="724" t="str">
        <f t="shared" si="42"/>
        <v/>
      </c>
      <c r="T429" s="725" t="str">
        <f t="shared" si="42"/>
        <v/>
      </c>
    </row>
    <row r="430" spans="2:20">
      <c r="B430" s="1788"/>
      <c r="C430" s="728">
        <v>3</v>
      </c>
      <c r="D430" s="731" t="s">
        <v>4607</v>
      </c>
      <c r="E430" s="728" t="s">
        <v>4220</v>
      </c>
      <c r="F430" s="726">
        <v>102</v>
      </c>
      <c r="G430" s="726">
        <v>124</v>
      </c>
      <c r="H430" s="727">
        <f t="shared" si="41"/>
        <v>12648</v>
      </c>
      <c r="I430" s="727"/>
      <c r="J430" s="730">
        <f>(13+5+14+23)/124</f>
        <v>0.44354838709677419</v>
      </c>
      <c r="K430" s="727">
        <v>240000</v>
      </c>
      <c r="L430" s="727">
        <v>265680</v>
      </c>
      <c r="M430" s="724">
        <f t="shared" si="42"/>
        <v>207.09677419354838</v>
      </c>
      <c r="N430" s="724" t="str">
        <f t="shared" si="42"/>
        <v/>
      </c>
      <c r="O430" s="724" t="str">
        <f t="shared" si="42"/>
        <v/>
      </c>
      <c r="P430" s="724" t="str">
        <f t="shared" si="42"/>
        <v/>
      </c>
      <c r="Q430" s="724" t="str">
        <f t="shared" si="42"/>
        <v/>
      </c>
      <c r="R430" s="724" t="str">
        <f t="shared" si="42"/>
        <v/>
      </c>
      <c r="S430" s="724" t="str">
        <f t="shared" si="42"/>
        <v/>
      </c>
      <c r="T430" s="725" t="str">
        <f t="shared" si="42"/>
        <v/>
      </c>
    </row>
    <row r="431" spans="2:20">
      <c r="B431" s="1788"/>
      <c r="C431" s="728">
        <v>4</v>
      </c>
      <c r="D431" s="729" t="s">
        <v>4608</v>
      </c>
      <c r="E431" s="728" t="s">
        <v>1392</v>
      </c>
      <c r="F431" s="726">
        <v>118</v>
      </c>
      <c r="G431" s="726">
        <v>123</v>
      </c>
      <c r="H431" s="727">
        <f t="shared" si="41"/>
        <v>14514</v>
      </c>
      <c r="I431" s="727"/>
      <c r="J431" s="730">
        <f>(11+9+22+15)/123</f>
        <v>0.46341463414634149</v>
      </c>
      <c r="K431" s="727">
        <v>240000</v>
      </c>
      <c r="L431" s="727">
        <v>305840</v>
      </c>
      <c r="M431" s="724">
        <f t="shared" si="42"/>
        <v>535.28455284552842</v>
      </c>
      <c r="N431" s="724" t="str">
        <f t="shared" si="42"/>
        <v/>
      </c>
      <c r="O431" s="724" t="str">
        <f t="shared" si="42"/>
        <v/>
      </c>
      <c r="P431" s="724" t="str">
        <f t="shared" si="42"/>
        <v/>
      </c>
      <c r="Q431" s="724" t="str">
        <f t="shared" si="42"/>
        <v/>
      </c>
      <c r="R431" s="724" t="str">
        <f t="shared" si="42"/>
        <v/>
      </c>
      <c r="S431" s="724" t="str">
        <f t="shared" si="42"/>
        <v/>
      </c>
      <c r="T431" s="725" t="str">
        <f t="shared" si="42"/>
        <v/>
      </c>
    </row>
    <row r="432" spans="2:20">
      <c r="B432" s="1788"/>
      <c r="C432" s="728">
        <v>5</v>
      </c>
      <c r="D432" s="731" t="s">
        <v>2887</v>
      </c>
      <c r="E432" s="728" t="s">
        <v>1392</v>
      </c>
      <c r="F432" s="726">
        <v>141</v>
      </c>
      <c r="G432" s="726">
        <v>115</v>
      </c>
      <c r="H432" s="727">
        <f t="shared" si="41"/>
        <v>16215</v>
      </c>
      <c r="I432" s="726"/>
      <c r="J432" s="730">
        <f>45/115</f>
        <v>0.39130434782608697</v>
      </c>
      <c r="K432" s="727">
        <f>78000*4</f>
        <v>312000</v>
      </c>
      <c r="L432" s="727">
        <v>339100</v>
      </c>
      <c r="M432" s="724">
        <f t="shared" si="42"/>
        <v>235.65217391304347</v>
      </c>
      <c r="N432" s="724" t="str">
        <f t="shared" si="42"/>
        <v/>
      </c>
      <c r="O432" s="724" t="str">
        <f t="shared" si="42"/>
        <v/>
      </c>
      <c r="P432" s="724" t="str">
        <f t="shared" si="42"/>
        <v/>
      </c>
      <c r="Q432" s="724" t="str">
        <f t="shared" si="42"/>
        <v/>
      </c>
      <c r="R432" s="724" t="str">
        <f t="shared" si="42"/>
        <v/>
      </c>
      <c r="S432" s="724" t="str">
        <f t="shared" si="42"/>
        <v/>
      </c>
      <c r="T432" s="725" t="str">
        <f t="shared" si="42"/>
        <v/>
      </c>
    </row>
    <row r="433" spans="2:20">
      <c r="B433" s="1788"/>
      <c r="C433" s="728">
        <v>6</v>
      </c>
      <c r="D433" s="731" t="s">
        <v>3080</v>
      </c>
      <c r="E433" s="728" t="s">
        <v>1403</v>
      </c>
      <c r="F433" s="726">
        <v>180</v>
      </c>
      <c r="G433" s="726">
        <v>100</v>
      </c>
      <c r="H433" s="727">
        <f t="shared" si="41"/>
        <v>18000</v>
      </c>
      <c r="I433" s="727">
        <v>11000</v>
      </c>
      <c r="J433" s="730">
        <f>(9+14+23)/100</f>
        <v>0.46</v>
      </c>
      <c r="K433" s="727">
        <v>369000</v>
      </c>
      <c r="L433" s="727">
        <v>340000</v>
      </c>
      <c r="M433" s="724" t="str">
        <f t="shared" si="42"/>
        <v/>
      </c>
      <c r="N433" s="724" t="str">
        <f t="shared" si="42"/>
        <v/>
      </c>
      <c r="O433" s="724" t="str">
        <f t="shared" si="42"/>
        <v/>
      </c>
      <c r="P433" s="724" t="str">
        <f t="shared" si="42"/>
        <v/>
      </c>
      <c r="Q433" s="724" t="str">
        <f t="shared" si="42"/>
        <v/>
      </c>
      <c r="R433" s="724" t="str">
        <f t="shared" si="42"/>
        <v/>
      </c>
      <c r="S433" s="724" t="str">
        <f t="shared" si="42"/>
        <v/>
      </c>
      <c r="T433" s="725" t="str">
        <f t="shared" si="42"/>
        <v/>
      </c>
    </row>
    <row r="434" spans="2:20">
      <c r="B434" s="1788"/>
      <c r="C434" s="728">
        <v>7</v>
      </c>
      <c r="D434" s="729" t="s">
        <v>3121</v>
      </c>
      <c r="E434" s="728" t="s">
        <v>1392</v>
      </c>
      <c r="F434" s="726">
        <v>133</v>
      </c>
      <c r="G434" s="726">
        <v>115</v>
      </c>
      <c r="H434" s="727">
        <f>F434*G434</f>
        <v>15295</v>
      </c>
      <c r="I434" s="726" t="s">
        <v>3122</v>
      </c>
      <c r="J434" s="730">
        <f>(10+6+7+12+12)/115</f>
        <v>0.40869565217391307</v>
      </c>
      <c r="K434" s="727">
        <v>240000</v>
      </c>
      <c r="L434" s="727">
        <v>657500</v>
      </c>
      <c r="M434" s="724">
        <f t="shared" ref="M434:T449" si="43">IF(($L434/M$1-$K434)/$G434&gt;0,($L434/M$1-$K434)/$G434,"")</f>
        <v>3630.4347826086955</v>
      </c>
      <c r="N434" s="724">
        <f t="shared" si="43"/>
        <v>771.73913043478262</v>
      </c>
      <c r="O434" s="724" t="str">
        <f t="shared" si="43"/>
        <v/>
      </c>
      <c r="P434" s="724" t="str">
        <f t="shared" si="43"/>
        <v/>
      </c>
      <c r="Q434" s="724" t="str">
        <f t="shared" si="43"/>
        <v/>
      </c>
      <c r="R434" s="724" t="str">
        <f t="shared" si="43"/>
        <v/>
      </c>
      <c r="S434" s="724" t="str">
        <f t="shared" si="43"/>
        <v/>
      </c>
      <c r="T434" s="725" t="str">
        <f t="shared" si="43"/>
        <v/>
      </c>
    </row>
    <row r="435" spans="2:20">
      <c r="B435" s="1788"/>
      <c r="C435" s="728">
        <v>8</v>
      </c>
      <c r="D435" s="731" t="s">
        <v>3062</v>
      </c>
      <c r="E435" s="728" t="s">
        <v>1414</v>
      </c>
      <c r="F435" s="726">
        <v>174</v>
      </c>
      <c r="G435" s="726">
        <v>107</v>
      </c>
      <c r="H435" s="727">
        <f>F435*G435</f>
        <v>18618</v>
      </c>
      <c r="I435" s="732"/>
      <c r="J435" s="730">
        <f>43/107</f>
        <v>0.40186915887850466</v>
      </c>
      <c r="K435" s="727">
        <f>74000*4</f>
        <v>296000</v>
      </c>
      <c r="L435" s="727">
        <v>749500</v>
      </c>
      <c r="M435" s="724">
        <f t="shared" si="43"/>
        <v>4238.3177570093458</v>
      </c>
      <c r="N435" s="724">
        <f t="shared" si="43"/>
        <v>735.98130841121497</v>
      </c>
      <c r="O435" s="724" t="str">
        <f t="shared" si="43"/>
        <v/>
      </c>
      <c r="P435" s="724" t="str">
        <f t="shared" si="43"/>
        <v/>
      </c>
      <c r="Q435" s="724" t="str">
        <f t="shared" si="43"/>
        <v/>
      </c>
      <c r="R435" s="724" t="str">
        <f t="shared" si="43"/>
        <v/>
      </c>
      <c r="S435" s="724" t="str">
        <f t="shared" si="43"/>
        <v/>
      </c>
      <c r="T435" s="725" t="str">
        <f t="shared" si="43"/>
        <v/>
      </c>
    </row>
    <row r="436" spans="2:20">
      <c r="B436" s="1788"/>
      <c r="C436" s="728">
        <v>9</v>
      </c>
      <c r="D436" s="731" t="s">
        <v>4144</v>
      </c>
      <c r="E436" s="728" t="s">
        <v>1425</v>
      </c>
      <c r="F436" s="726">
        <v>178</v>
      </c>
      <c r="G436" s="726">
        <v>111</v>
      </c>
      <c r="H436" s="727">
        <f>F436*G436</f>
        <v>19758</v>
      </c>
      <c r="I436" s="727"/>
      <c r="J436" s="730">
        <f>(25+16+15)/111</f>
        <v>0.50450450450450446</v>
      </c>
      <c r="K436" s="727">
        <v>240000</v>
      </c>
      <c r="L436" s="727">
        <v>946870</v>
      </c>
      <c r="M436" s="724">
        <f t="shared" si="43"/>
        <v>6368.198198198198</v>
      </c>
      <c r="N436" s="724">
        <f t="shared" si="43"/>
        <v>2103.0180180180182</v>
      </c>
      <c r="O436" s="724">
        <f t="shared" si="43"/>
        <v>681.29129129129115</v>
      </c>
      <c r="P436" s="724" t="str">
        <f t="shared" si="43"/>
        <v/>
      </c>
      <c r="Q436" s="724" t="str">
        <f t="shared" si="43"/>
        <v/>
      </c>
      <c r="R436" s="724" t="str">
        <f t="shared" si="43"/>
        <v/>
      </c>
      <c r="S436" s="724" t="str">
        <f t="shared" si="43"/>
        <v/>
      </c>
      <c r="T436" s="725" t="str">
        <f t="shared" si="43"/>
        <v/>
      </c>
    </row>
    <row r="437" spans="2:20">
      <c r="B437" s="1788"/>
      <c r="C437" s="728">
        <v>10</v>
      </c>
      <c r="D437" s="731" t="s">
        <v>4609</v>
      </c>
      <c r="E437" s="728" t="s">
        <v>1403</v>
      </c>
      <c r="F437" s="726">
        <v>202</v>
      </c>
      <c r="G437" s="726">
        <v>165</v>
      </c>
      <c r="H437" s="727">
        <f t="shared" si="41"/>
        <v>33330</v>
      </c>
      <c r="I437" s="726">
        <v>-800</v>
      </c>
      <c r="J437" s="730">
        <f>(11+9+13+17)/165</f>
        <v>0.30303030303030304</v>
      </c>
      <c r="K437" s="727">
        <v>440000</v>
      </c>
      <c r="L437" s="727">
        <v>1097850</v>
      </c>
      <c r="M437" s="724">
        <f t="shared" si="43"/>
        <v>3986.969696969697</v>
      </c>
      <c r="N437" s="724">
        <f t="shared" si="43"/>
        <v>660.15151515151513</v>
      </c>
      <c r="O437" s="724" t="str">
        <f t="shared" si="43"/>
        <v/>
      </c>
      <c r="P437" s="724" t="str">
        <f t="shared" si="43"/>
        <v/>
      </c>
      <c r="Q437" s="724" t="str">
        <f t="shared" si="43"/>
        <v/>
      </c>
      <c r="R437" s="724" t="str">
        <f t="shared" si="43"/>
        <v/>
      </c>
      <c r="S437" s="724" t="str">
        <f t="shared" si="43"/>
        <v/>
      </c>
      <c r="T437" s="725" t="str">
        <f t="shared" si="43"/>
        <v/>
      </c>
    </row>
    <row r="438" spans="2:20">
      <c r="B438" s="1788"/>
      <c r="C438" s="728">
        <v>11</v>
      </c>
      <c r="D438" s="729" t="s">
        <v>2850</v>
      </c>
      <c r="E438" s="728" t="s">
        <v>1403</v>
      </c>
      <c r="F438" s="726">
        <v>303</v>
      </c>
      <c r="G438" s="726">
        <v>162</v>
      </c>
      <c r="H438" s="727">
        <f t="shared" si="41"/>
        <v>49086</v>
      </c>
      <c r="I438" s="912" t="s">
        <v>3075</v>
      </c>
      <c r="J438" s="730">
        <f>75/162</f>
        <v>0.46296296296296297</v>
      </c>
      <c r="K438" s="727">
        <v>1608000</v>
      </c>
      <c r="L438" s="727">
        <v>914800</v>
      </c>
      <c r="M438" s="724" t="str">
        <f t="shared" si="43"/>
        <v/>
      </c>
      <c r="N438" s="724" t="str">
        <f t="shared" si="43"/>
        <v/>
      </c>
      <c r="O438" s="724" t="str">
        <f t="shared" si="43"/>
        <v/>
      </c>
      <c r="P438" s="724" t="str">
        <f t="shared" si="43"/>
        <v/>
      </c>
      <c r="Q438" s="724" t="str">
        <f t="shared" si="43"/>
        <v/>
      </c>
      <c r="R438" s="724" t="str">
        <f t="shared" si="43"/>
        <v/>
      </c>
      <c r="S438" s="724" t="str">
        <f t="shared" si="43"/>
        <v/>
      </c>
      <c r="T438" s="725" t="str">
        <f t="shared" si="43"/>
        <v/>
      </c>
    </row>
    <row r="439" spans="2:20">
      <c r="B439" s="1788"/>
      <c r="C439" s="728">
        <v>12</v>
      </c>
      <c r="D439" s="731" t="s">
        <v>3058</v>
      </c>
      <c r="E439" s="728" t="s">
        <v>1409</v>
      </c>
      <c r="F439" s="729">
        <v>210</v>
      </c>
      <c r="G439" s="726">
        <v>176</v>
      </c>
      <c r="H439" s="727">
        <f t="shared" si="41"/>
        <v>36960</v>
      </c>
      <c r="I439" s="726"/>
      <c r="J439" s="730">
        <f>62/176</f>
        <v>0.35227272727272729</v>
      </c>
      <c r="K439" s="727">
        <v>476000</v>
      </c>
      <c r="L439" s="727">
        <v>2243200</v>
      </c>
      <c r="M439" s="724">
        <f t="shared" si="43"/>
        <v>10040.90909090909</v>
      </c>
      <c r="N439" s="724">
        <f t="shared" si="43"/>
        <v>3668.181818181818</v>
      </c>
      <c r="O439" s="724">
        <f t="shared" si="43"/>
        <v>1543.9393939393942</v>
      </c>
      <c r="P439" s="724">
        <f t="shared" si="43"/>
        <v>481.81818181818181</v>
      </c>
      <c r="Q439" s="724" t="str">
        <f t="shared" si="43"/>
        <v/>
      </c>
      <c r="R439" s="724" t="str">
        <f t="shared" si="43"/>
        <v/>
      </c>
      <c r="S439" s="724" t="str">
        <f t="shared" si="43"/>
        <v/>
      </c>
      <c r="T439" s="725" t="str">
        <f t="shared" si="43"/>
        <v/>
      </c>
    </row>
    <row r="440" spans="2:20">
      <c r="B440" s="1788"/>
      <c r="C440" s="728">
        <v>13</v>
      </c>
      <c r="D440" s="731" t="s">
        <v>4610</v>
      </c>
      <c r="E440" s="728" t="s">
        <v>1414</v>
      </c>
      <c r="F440" s="726">
        <v>338</v>
      </c>
      <c r="G440" s="726">
        <v>195</v>
      </c>
      <c r="H440" s="727">
        <f t="shared" si="41"/>
        <v>65910</v>
      </c>
      <c r="I440" s="912"/>
      <c r="J440" s="730">
        <f>97/195</f>
        <v>0.49743589743589745</v>
      </c>
      <c r="K440" s="727">
        <f>411000*4+823000</f>
        <v>2467000</v>
      </c>
      <c r="L440" s="727">
        <v>1746140</v>
      </c>
      <c r="M440" s="724" t="str">
        <f t="shared" si="43"/>
        <v/>
      </c>
      <c r="N440" s="724" t="str">
        <f t="shared" si="43"/>
        <v/>
      </c>
      <c r="O440" s="724" t="str">
        <f t="shared" si="43"/>
        <v/>
      </c>
      <c r="P440" s="724" t="str">
        <f t="shared" si="43"/>
        <v/>
      </c>
      <c r="Q440" s="724" t="str">
        <f t="shared" si="43"/>
        <v/>
      </c>
      <c r="R440" s="724" t="str">
        <f t="shared" si="43"/>
        <v/>
      </c>
      <c r="S440" s="724" t="str">
        <f t="shared" si="43"/>
        <v/>
      </c>
      <c r="T440" s="725" t="str">
        <f t="shared" si="43"/>
        <v/>
      </c>
    </row>
    <row r="441" spans="2:20">
      <c r="B441" s="1788"/>
      <c r="C441" s="728">
        <v>14</v>
      </c>
      <c r="D441" s="731" t="s">
        <v>3054</v>
      </c>
      <c r="E441" s="728" t="s">
        <v>1409</v>
      </c>
      <c r="F441" s="729">
        <v>291</v>
      </c>
      <c r="G441" s="726">
        <v>167</v>
      </c>
      <c r="H441" s="727">
        <f t="shared" si="41"/>
        <v>48597</v>
      </c>
      <c r="I441" s="726"/>
      <c r="J441" s="730">
        <f>58/167</f>
        <v>0.3473053892215569</v>
      </c>
      <c r="K441" s="727">
        <v>441000</v>
      </c>
      <c r="L441" s="727">
        <v>2382090</v>
      </c>
      <c r="M441" s="724">
        <f t="shared" si="43"/>
        <v>11623.293413173653</v>
      </c>
      <c r="N441" s="724">
        <f t="shared" si="43"/>
        <v>4491.2874251497005</v>
      </c>
      <c r="O441" s="724">
        <f t="shared" si="43"/>
        <v>2113.9520958083831</v>
      </c>
      <c r="P441" s="724">
        <f t="shared" si="43"/>
        <v>925.2844311377246</v>
      </c>
      <c r="Q441" s="724">
        <f t="shared" si="43"/>
        <v>212.08383233532933</v>
      </c>
      <c r="R441" s="724" t="str">
        <f t="shared" si="43"/>
        <v/>
      </c>
      <c r="S441" s="724" t="str">
        <f t="shared" si="43"/>
        <v/>
      </c>
      <c r="T441" s="725" t="str">
        <f t="shared" si="43"/>
        <v/>
      </c>
    </row>
    <row r="442" spans="2:20">
      <c r="B442" s="1788"/>
      <c r="C442" s="728">
        <v>15</v>
      </c>
      <c r="D442" s="731" t="s">
        <v>3072</v>
      </c>
      <c r="E442" s="728" t="s">
        <v>1409</v>
      </c>
      <c r="F442" s="726">
        <v>467</v>
      </c>
      <c r="G442" s="726">
        <v>186</v>
      </c>
      <c r="H442" s="727">
        <f t="shared" si="41"/>
        <v>86862</v>
      </c>
      <c r="I442" s="726" t="s">
        <v>3086</v>
      </c>
      <c r="J442" s="730">
        <f>92/186</f>
        <v>0.4946236559139785</v>
      </c>
      <c r="K442" s="727">
        <v>2360000</v>
      </c>
      <c r="L442" s="727">
        <v>2386310</v>
      </c>
      <c r="M442" s="724">
        <f t="shared" si="43"/>
        <v>141.45161290322579</v>
      </c>
      <c r="N442" s="724" t="str">
        <f t="shared" si="43"/>
        <v/>
      </c>
      <c r="O442" s="724" t="str">
        <f t="shared" si="43"/>
        <v/>
      </c>
      <c r="P442" s="724" t="str">
        <f t="shared" si="43"/>
        <v/>
      </c>
      <c r="Q442" s="724" t="str">
        <f t="shared" si="43"/>
        <v/>
      </c>
      <c r="R442" s="724" t="str">
        <f t="shared" si="43"/>
        <v/>
      </c>
      <c r="S442" s="724" t="str">
        <f t="shared" si="43"/>
        <v/>
      </c>
      <c r="T442" s="725" t="str">
        <f t="shared" si="43"/>
        <v/>
      </c>
    </row>
    <row r="443" spans="2:20">
      <c r="B443" s="1788"/>
      <c r="C443" s="728">
        <v>16</v>
      </c>
      <c r="D443" s="729" t="s">
        <v>2885</v>
      </c>
      <c r="E443" s="728" t="s">
        <v>1425</v>
      </c>
      <c r="F443" s="726">
        <v>390</v>
      </c>
      <c r="G443" s="726">
        <v>165</v>
      </c>
      <c r="H443" s="727">
        <f t="shared" si="41"/>
        <v>64350</v>
      </c>
      <c r="I443" s="726"/>
      <c r="J443" s="730">
        <f>107/165</f>
        <v>0.64848484848484844</v>
      </c>
      <c r="K443" s="727">
        <v>1841000</v>
      </c>
      <c r="L443" s="727">
        <v>3281250</v>
      </c>
      <c r="M443" s="724">
        <f t="shared" si="43"/>
        <v>8728.7878787878781</v>
      </c>
      <c r="N443" s="724" t="str">
        <f t="shared" si="43"/>
        <v/>
      </c>
      <c r="O443" s="724" t="str">
        <f t="shared" si="43"/>
        <v/>
      </c>
      <c r="P443" s="724" t="str">
        <f t="shared" si="43"/>
        <v/>
      </c>
      <c r="Q443" s="724" t="str">
        <f t="shared" si="43"/>
        <v/>
      </c>
      <c r="R443" s="724" t="str">
        <f t="shared" si="43"/>
        <v/>
      </c>
      <c r="S443" s="724" t="str">
        <f t="shared" si="43"/>
        <v/>
      </c>
      <c r="T443" s="725" t="str">
        <f t="shared" si="43"/>
        <v/>
      </c>
    </row>
    <row r="444" spans="2:20">
      <c r="B444" s="1788"/>
      <c r="C444" s="728">
        <v>17</v>
      </c>
      <c r="D444" s="731" t="s">
        <v>4611</v>
      </c>
      <c r="E444" s="728" t="s">
        <v>1414</v>
      </c>
      <c r="F444" s="726">
        <v>458</v>
      </c>
      <c r="G444" s="726">
        <v>158</v>
      </c>
      <c r="H444" s="727">
        <f t="shared" si="41"/>
        <v>72364</v>
      </c>
      <c r="I444" s="727" t="s">
        <v>4612</v>
      </c>
      <c r="J444" s="730">
        <f>89/158</f>
        <v>0.56329113924050633</v>
      </c>
      <c r="K444" s="727">
        <v>1968000</v>
      </c>
      <c r="L444" s="727">
        <v>3483500</v>
      </c>
      <c r="M444" s="724">
        <f t="shared" si="43"/>
        <v>9591.7721518987346</v>
      </c>
      <c r="N444" s="724" t="str">
        <f t="shared" si="43"/>
        <v/>
      </c>
      <c r="O444" s="724" t="str">
        <f t="shared" si="43"/>
        <v/>
      </c>
      <c r="P444" s="724" t="str">
        <f t="shared" si="43"/>
        <v/>
      </c>
      <c r="Q444" s="724" t="str">
        <f t="shared" si="43"/>
        <v/>
      </c>
      <c r="R444" s="724" t="str">
        <f t="shared" si="43"/>
        <v/>
      </c>
      <c r="S444" s="724" t="str">
        <f t="shared" si="43"/>
        <v/>
      </c>
      <c r="T444" s="725" t="str">
        <f t="shared" si="43"/>
        <v/>
      </c>
    </row>
    <row r="445" spans="2:20">
      <c r="B445" s="1788"/>
      <c r="C445" s="728">
        <v>18</v>
      </c>
      <c r="D445" s="731" t="s">
        <v>967</v>
      </c>
      <c r="E445" s="728" t="s">
        <v>1406</v>
      </c>
      <c r="F445" s="726">
        <v>422</v>
      </c>
      <c r="G445" s="726">
        <v>268</v>
      </c>
      <c r="H445" s="727">
        <f t="shared" si="41"/>
        <v>113096</v>
      </c>
      <c r="I445" s="727">
        <v>14000</v>
      </c>
      <c r="J445" s="730">
        <f>149/268</f>
        <v>0.55597014925373134</v>
      </c>
      <c r="K445" s="727">
        <v>5921000</v>
      </c>
      <c r="L445" s="727">
        <v>6768000</v>
      </c>
      <c r="M445" s="724">
        <f t="shared" si="43"/>
        <v>3160.4477611940297</v>
      </c>
      <c r="N445" s="724" t="str">
        <f t="shared" si="43"/>
        <v/>
      </c>
      <c r="O445" s="724" t="str">
        <f t="shared" si="43"/>
        <v/>
      </c>
      <c r="P445" s="724" t="str">
        <f t="shared" si="43"/>
        <v/>
      </c>
      <c r="Q445" s="724" t="str">
        <f t="shared" si="43"/>
        <v/>
      </c>
      <c r="R445" s="724" t="str">
        <f t="shared" si="43"/>
        <v/>
      </c>
      <c r="S445" s="724" t="str">
        <f t="shared" si="43"/>
        <v/>
      </c>
      <c r="T445" s="725" t="str">
        <f t="shared" si="43"/>
        <v/>
      </c>
    </row>
    <row r="446" spans="2:20">
      <c r="B446" s="1788"/>
      <c r="C446" s="728">
        <v>19</v>
      </c>
      <c r="D446" s="729" t="s">
        <v>997</v>
      </c>
      <c r="E446" s="728" t="s">
        <v>3171</v>
      </c>
      <c r="F446" s="726">
        <v>403</v>
      </c>
      <c r="G446" s="726">
        <v>295</v>
      </c>
      <c r="H446" s="727">
        <f t="shared" si="41"/>
        <v>118885</v>
      </c>
      <c r="I446" s="726" t="s">
        <v>4613</v>
      </c>
      <c r="J446" s="730">
        <v>0.55254237288135588</v>
      </c>
      <c r="K446" s="727">
        <v>8055000</v>
      </c>
      <c r="L446" s="727">
        <v>7080000</v>
      </c>
      <c r="M446" s="724" t="str">
        <f t="shared" si="43"/>
        <v/>
      </c>
      <c r="N446" s="724" t="str">
        <f t="shared" si="43"/>
        <v/>
      </c>
      <c r="O446" s="724" t="str">
        <f t="shared" si="43"/>
        <v/>
      </c>
      <c r="P446" s="724" t="str">
        <f t="shared" si="43"/>
        <v/>
      </c>
      <c r="Q446" s="724" t="str">
        <f t="shared" si="43"/>
        <v/>
      </c>
      <c r="R446" s="724" t="str">
        <f t="shared" si="43"/>
        <v/>
      </c>
      <c r="S446" s="724" t="str">
        <f t="shared" si="43"/>
        <v/>
      </c>
      <c r="T446" s="725" t="str">
        <f t="shared" si="43"/>
        <v/>
      </c>
    </row>
    <row r="447" spans="2:20" ht="23.25" thickBot="1">
      <c r="B447" s="1789"/>
      <c r="C447" s="748">
        <v>20</v>
      </c>
      <c r="D447" s="749" t="s">
        <v>1000</v>
      </c>
      <c r="E447" s="748" t="s">
        <v>4148</v>
      </c>
      <c r="F447" s="750">
        <v>444</v>
      </c>
      <c r="G447" s="750">
        <v>282</v>
      </c>
      <c r="H447" s="751">
        <f t="shared" si="41"/>
        <v>125208</v>
      </c>
      <c r="I447" s="751"/>
      <c r="J447" s="752">
        <f>167/282</f>
        <v>0.59219858156028371</v>
      </c>
      <c r="K447" s="751">
        <v>9356000</v>
      </c>
      <c r="L447" s="751">
        <v>7075200</v>
      </c>
      <c r="M447" s="741" t="str">
        <f t="shared" si="43"/>
        <v/>
      </c>
      <c r="N447" s="741" t="str">
        <f t="shared" si="43"/>
        <v/>
      </c>
      <c r="O447" s="741" t="str">
        <f t="shared" si="43"/>
        <v/>
      </c>
      <c r="P447" s="741" t="str">
        <f t="shared" si="43"/>
        <v/>
      </c>
      <c r="Q447" s="741" t="str">
        <f t="shared" si="43"/>
        <v/>
      </c>
      <c r="R447" s="741" t="str">
        <f t="shared" si="43"/>
        <v/>
      </c>
      <c r="S447" s="741" t="str">
        <f t="shared" si="43"/>
        <v/>
      </c>
      <c r="T447" s="742" t="str">
        <f t="shared" si="43"/>
        <v/>
      </c>
    </row>
    <row r="448" spans="2:20">
      <c r="B448" s="1787">
        <v>16</v>
      </c>
      <c r="C448" s="745">
        <v>1</v>
      </c>
      <c r="D448" s="731" t="s">
        <v>4701</v>
      </c>
      <c r="E448" s="728" t="s">
        <v>4220</v>
      </c>
      <c r="F448" s="726">
        <v>74</v>
      </c>
      <c r="G448" s="726">
        <v>98</v>
      </c>
      <c r="H448" s="727">
        <f t="shared" ref="H448:H472" si="44">F448*G448</f>
        <v>7252</v>
      </c>
      <c r="I448" s="727"/>
      <c r="J448" s="730">
        <f>(10+9+10+11)/98</f>
        <v>0.40816326530612246</v>
      </c>
      <c r="K448" s="727">
        <v>240000</v>
      </c>
      <c r="L448" s="727">
        <v>121920</v>
      </c>
      <c r="M448" s="739" t="str">
        <f t="shared" si="43"/>
        <v/>
      </c>
      <c r="N448" s="739" t="str">
        <f t="shared" si="43"/>
        <v/>
      </c>
      <c r="O448" s="739" t="str">
        <f t="shared" si="43"/>
        <v/>
      </c>
      <c r="P448" s="739" t="str">
        <f t="shared" si="43"/>
        <v/>
      </c>
      <c r="Q448" s="739" t="str">
        <f t="shared" si="43"/>
        <v/>
      </c>
      <c r="R448" s="739" t="str">
        <f t="shared" si="43"/>
        <v/>
      </c>
      <c r="S448" s="739" t="str">
        <f t="shared" si="43"/>
        <v/>
      </c>
      <c r="T448" s="740" t="str">
        <f t="shared" si="43"/>
        <v/>
      </c>
    </row>
    <row r="449" spans="2:20">
      <c r="B449" s="1788"/>
      <c r="C449" s="728">
        <v>2</v>
      </c>
      <c r="D449" s="731" t="s">
        <v>4702</v>
      </c>
      <c r="E449" s="728" t="s">
        <v>1403</v>
      </c>
      <c r="F449" s="726">
        <v>110</v>
      </c>
      <c r="G449" s="726">
        <v>99</v>
      </c>
      <c r="H449" s="727">
        <f t="shared" si="44"/>
        <v>10890</v>
      </c>
      <c r="I449" s="727"/>
      <c r="J449" s="730">
        <f>32/99</f>
        <v>0.32323232323232326</v>
      </c>
      <c r="K449" s="727">
        <v>242000</v>
      </c>
      <c r="L449" s="727">
        <v>184440</v>
      </c>
      <c r="M449" s="724" t="str">
        <f t="shared" si="43"/>
        <v/>
      </c>
      <c r="N449" s="724" t="str">
        <f t="shared" si="43"/>
        <v/>
      </c>
      <c r="O449" s="724" t="str">
        <f t="shared" si="43"/>
        <v/>
      </c>
      <c r="P449" s="724" t="str">
        <f t="shared" si="43"/>
        <v/>
      </c>
      <c r="Q449" s="724" t="str">
        <f t="shared" si="43"/>
        <v/>
      </c>
      <c r="R449" s="724" t="str">
        <f t="shared" si="43"/>
        <v/>
      </c>
      <c r="S449" s="724" t="str">
        <f t="shared" si="43"/>
        <v/>
      </c>
      <c r="T449" s="725" t="str">
        <f t="shared" si="43"/>
        <v/>
      </c>
    </row>
    <row r="450" spans="2:20">
      <c r="B450" s="1788"/>
      <c r="C450" s="728">
        <v>3</v>
      </c>
      <c r="D450" s="731" t="s">
        <v>3094</v>
      </c>
      <c r="E450" s="728" t="s">
        <v>1425</v>
      </c>
      <c r="F450" s="726">
        <v>124</v>
      </c>
      <c r="G450" s="726">
        <v>102</v>
      </c>
      <c r="H450" s="727">
        <f t="shared" si="44"/>
        <v>12648</v>
      </c>
      <c r="I450" s="727"/>
      <c r="J450" s="730">
        <f>39/102</f>
        <v>0.38235294117647056</v>
      </c>
      <c r="K450" s="727">
        <v>240000</v>
      </c>
      <c r="L450" s="727">
        <v>225640</v>
      </c>
      <c r="M450" s="724" t="str">
        <f t="shared" ref="M450:T465" si="45">IF(($L450/M$1-$K450)/$G450&gt;0,($L450/M$1-$K450)/$G450,"")</f>
        <v/>
      </c>
      <c r="N450" s="724" t="str">
        <f t="shared" si="45"/>
        <v/>
      </c>
      <c r="O450" s="724" t="str">
        <f t="shared" si="45"/>
        <v/>
      </c>
      <c r="P450" s="724" t="str">
        <f t="shared" si="45"/>
        <v/>
      </c>
      <c r="Q450" s="724" t="str">
        <f t="shared" si="45"/>
        <v/>
      </c>
      <c r="R450" s="724" t="str">
        <f t="shared" si="45"/>
        <v/>
      </c>
      <c r="S450" s="724" t="str">
        <f t="shared" si="45"/>
        <v/>
      </c>
      <c r="T450" s="725" t="str">
        <f t="shared" si="45"/>
        <v/>
      </c>
    </row>
    <row r="451" spans="2:20">
      <c r="B451" s="1788"/>
      <c r="C451" s="728">
        <v>4</v>
      </c>
      <c r="D451" s="731" t="s">
        <v>1413</v>
      </c>
      <c r="E451" s="728" t="s">
        <v>1414</v>
      </c>
      <c r="F451" s="726">
        <v>138</v>
      </c>
      <c r="G451" s="726">
        <v>105</v>
      </c>
      <c r="H451" s="727">
        <f t="shared" si="44"/>
        <v>14490</v>
      </c>
      <c r="I451" s="727"/>
      <c r="J451" s="730">
        <f>(9+14+14)/105</f>
        <v>0.35238095238095241</v>
      </c>
      <c r="K451" s="727">
        <v>243000</v>
      </c>
      <c r="L451" s="727">
        <v>268400</v>
      </c>
      <c r="M451" s="724">
        <f t="shared" si="45"/>
        <v>241.9047619047619</v>
      </c>
      <c r="N451" s="724" t="str">
        <f t="shared" si="45"/>
        <v/>
      </c>
      <c r="O451" s="724" t="str">
        <f t="shared" si="45"/>
        <v/>
      </c>
      <c r="P451" s="724" t="str">
        <f t="shared" si="45"/>
        <v/>
      </c>
      <c r="Q451" s="724" t="str">
        <f t="shared" si="45"/>
        <v/>
      </c>
      <c r="R451" s="724" t="str">
        <f t="shared" si="45"/>
        <v/>
      </c>
      <c r="S451" s="724" t="str">
        <f t="shared" si="45"/>
        <v/>
      </c>
      <c r="T451" s="725" t="str">
        <f t="shared" si="45"/>
        <v/>
      </c>
    </row>
    <row r="452" spans="2:20">
      <c r="B452" s="1788"/>
      <c r="C452" s="728">
        <v>5</v>
      </c>
      <c r="D452" s="731" t="s">
        <v>965</v>
      </c>
      <c r="E452" s="728" t="s">
        <v>1425</v>
      </c>
      <c r="F452" s="726">
        <v>141</v>
      </c>
      <c r="G452" s="726">
        <v>115</v>
      </c>
      <c r="H452" s="727">
        <f t="shared" si="44"/>
        <v>16215</v>
      </c>
      <c r="I452" s="726"/>
      <c r="J452" s="730">
        <f>35/115</f>
        <v>0.30434782608695654</v>
      </c>
      <c r="K452" s="727">
        <f>87000*3</f>
        <v>261000</v>
      </c>
      <c r="L452" s="727">
        <v>339100</v>
      </c>
      <c r="M452" s="724">
        <f t="shared" si="45"/>
        <v>679.13043478260875</v>
      </c>
      <c r="N452" s="724" t="str">
        <f t="shared" si="45"/>
        <v/>
      </c>
      <c r="O452" s="724" t="str">
        <f t="shared" si="45"/>
        <v/>
      </c>
      <c r="P452" s="724" t="str">
        <f t="shared" si="45"/>
        <v/>
      </c>
      <c r="Q452" s="724" t="str">
        <f t="shared" si="45"/>
        <v/>
      </c>
      <c r="R452" s="724" t="str">
        <f t="shared" si="45"/>
        <v/>
      </c>
      <c r="S452" s="724" t="str">
        <f t="shared" si="45"/>
        <v/>
      </c>
      <c r="T452" s="725" t="str">
        <f t="shared" si="45"/>
        <v/>
      </c>
    </row>
    <row r="453" spans="2:20">
      <c r="B453" s="1788"/>
      <c r="C453" s="728">
        <v>6</v>
      </c>
      <c r="D453" s="729" t="s">
        <v>998</v>
      </c>
      <c r="E453" s="728" t="s">
        <v>1425</v>
      </c>
      <c r="F453" s="726">
        <v>169</v>
      </c>
      <c r="G453" s="726">
        <v>107</v>
      </c>
      <c r="H453" s="727">
        <f t="shared" si="44"/>
        <v>18083</v>
      </c>
      <c r="I453" s="727"/>
      <c r="J453" s="730">
        <f>(3+3+12+12)/107</f>
        <v>0.28037383177570091</v>
      </c>
      <c r="K453" s="727">
        <v>240000</v>
      </c>
      <c r="L453" s="727">
        <v>361000</v>
      </c>
      <c r="M453" s="724">
        <f t="shared" si="45"/>
        <v>1130.8411214953271</v>
      </c>
      <c r="N453" s="724" t="str">
        <f t="shared" si="45"/>
        <v/>
      </c>
      <c r="O453" s="724" t="str">
        <f t="shared" si="45"/>
        <v/>
      </c>
      <c r="P453" s="724" t="str">
        <f t="shared" si="45"/>
        <v/>
      </c>
      <c r="Q453" s="724" t="str">
        <f t="shared" si="45"/>
        <v/>
      </c>
      <c r="R453" s="724" t="str">
        <f t="shared" si="45"/>
        <v/>
      </c>
      <c r="S453" s="724" t="str">
        <f t="shared" si="45"/>
        <v/>
      </c>
      <c r="T453" s="725" t="str">
        <f t="shared" si="45"/>
        <v/>
      </c>
    </row>
    <row r="454" spans="2:20">
      <c r="B454" s="1788"/>
      <c r="C454" s="728">
        <v>7</v>
      </c>
      <c r="D454" s="729" t="s">
        <v>3117</v>
      </c>
      <c r="E454" s="728" t="s">
        <v>1414</v>
      </c>
      <c r="F454" s="726">
        <v>203</v>
      </c>
      <c r="G454" s="726">
        <v>111</v>
      </c>
      <c r="H454" s="727">
        <f t="shared" si="44"/>
        <v>22533</v>
      </c>
      <c r="I454" s="726"/>
      <c r="J454" s="730">
        <f>53/111</f>
        <v>0.47747747747747749</v>
      </c>
      <c r="K454" s="727">
        <v>90000</v>
      </c>
      <c r="L454" s="727">
        <v>436250</v>
      </c>
      <c r="M454" s="724">
        <f t="shared" si="45"/>
        <v>3119.3693693693695</v>
      </c>
      <c r="N454" s="724">
        <f t="shared" si="45"/>
        <v>1154.2792792792793</v>
      </c>
      <c r="O454" s="724">
        <f t="shared" si="45"/>
        <v>499.24924924924915</v>
      </c>
      <c r="P454" s="724">
        <f t="shared" si="45"/>
        <v>171.73423423423424</v>
      </c>
      <c r="Q454" s="724" t="str">
        <f t="shared" si="45"/>
        <v/>
      </c>
      <c r="R454" s="724" t="str">
        <f t="shared" si="45"/>
        <v/>
      </c>
      <c r="S454" s="724" t="str">
        <f t="shared" si="45"/>
        <v/>
      </c>
      <c r="T454" s="725" t="str">
        <f t="shared" si="45"/>
        <v/>
      </c>
    </row>
    <row r="455" spans="2:20">
      <c r="B455" s="1788"/>
      <c r="C455" s="728">
        <v>8</v>
      </c>
      <c r="D455" s="731" t="s">
        <v>3056</v>
      </c>
      <c r="E455" s="728" t="s">
        <v>1392</v>
      </c>
      <c r="F455" s="726">
        <v>229</v>
      </c>
      <c r="G455" s="726">
        <v>114</v>
      </c>
      <c r="H455" s="727">
        <f t="shared" si="44"/>
        <v>26106</v>
      </c>
      <c r="I455" s="732">
        <v>-4000</v>
      </c>
      <c r="J455" s="730">
        <f>50/114</f>
        <v>0.43859649122807015</v>
      </c>
      <c r="K455" s="727">
        <f>74000*4</f>
        <v>296000</v>
      </c>
      <c r="L455" s="727">
        <v>572020</v>
      </c>
      <c r="M455" s="724">
        <f t="shared" si="45"/>
        <v>2421.2280701754385</v>
      </c>
      <c r="N455" s="724" t="str">
        <f t="shared" si="45"/>
        <v/>
      </c>
      <c r="O455" s="724" t="str">
        <f t="shared" si="45"/>
        <v/>
      </c>
      <c r="P455" s="724" t="str">
        <f t="shared" si="45"/>
        <v/>
      </c>
      <c r="Q455" s="724" t="str">
        <f t="shared" si="45"/>
        <v/>
      </c>
      <c r="R455" s="724" t="str">
        <f t="shared" si="45"/>
        <v/>
      </c>
      <c r="S455" s="724" t="str">
        <f t="shared" si="45"/>
        <v/>
      </c>
      <c r="T455" s="725" t="str">
        <f t="shared" si="45"/>
        <v/>
      </c>
    </row>
    <row r="456" spans="2:20">
      <c r="B456" s="1788"/>
      <c r="C456" s="728">
        <v>9</v>
      </c>
      <c r="D456" s="731" t="s">
        <v>4413</v>
      </c>
      <c r="E456" s="728" t="s">
        <v>1414</v>
      </c>
      <c r="F456" s="726">
        <v>275</v>
      </c>
      <c r="G456" s="726">
        <v>108</v>
      </c>
      <c r="H456" s="727">
        <f t="shared" si="44"/>
        <v>29700</v>
      </c>
      <c r="I456" s="732" t="s">
        <v>4703</v>
      </c>
      <c r="J456" s="730">
        <f>(12+13+18+19)/108</f>
        <v>0.57407407407407407</v>
      </c>
      <c r="K456" s="727">
        <v>420000</v>
      </c>
      <c r="L456" s="727">
        <v>615880</v>
      </c>
      <c r="M456" s="724">
        <f t="shared" si="45"/>
        <v>1813.7037037037037</v>
      </c>
      <c r="N456" s="724" t="str">
        <f t="shared" si="45"/>
        <v/>
      </c>
      <c r="O456" s="724" t="str">
        <f t="shared" si="45"/>
        <v/>
      </c>
      <c r="P456" s="724" t="str">
        <f t="shared" si="45"/>
        <v/>
      </c>
      <c r="Q456" s="724" t="str">
        <f t="shared" si="45"/>
        <v/>
      </c>
      <c r="R456" s="724" t="str">
        <f t="shared" si="45"/>
        <v/>
      </c>
      <c r="S456" s="724" t="str">
        <f t="shared" si="45"/>
        <v/>
      </c>
      <c r="T456" s="725" t="str">
        <f t="shared" si="45"/>
        <v/>
      </c>
    </row>
    <row r="457" spans="2:20">
      <c r="B457" s="1788"/>
      <c r="C457" s="728">
        <v>10</v>
      </c>
      <c r="D457" s="729" t="s">
        <v>3123</v>
      </c>
      <c r="E457" s="728" t="s">
        <v>1403</v>
      </c>
      <c r="F457" s="726">
        <v>207</v>
      </c>
      <c r="G457" s="726">
        <v>161</v>
      </c>
      <c r="H457" s="727">
        <f t="shared" si="44"/>
        <v>33327</v>
      </c>
      <c r="I457" s="727"/>
      <c r="J457" s="730">
        <f>(10+12+13+7)/161</f>
        <v>0.2608695652173913</v>
      </c>
      <c r="K457" s="727">
        <v>440000</v>
      </c>
      <c r="L457" s="727">
        <v>1072690</v>
      </c>
      <c r="M457" s="724">
        <f t="shared" si="45"/>
        <v>3929.7515527950309</v>
      </c>
      <c r="N457" s="724">
        <f t="shared" si="45"/>
        <v>598.41614906832297</v>
      </c>
      <c r="O457" s="724" t="str">
        <f t="shared" si="45"/>
        <v/>
      </c>
      <c r="P457" s="724" t="str">
        <f t="shared" si="45"/>
        <v/>
      </c>
      <c r="Q457" s="724" t="str">
        <f t="shared" si="45"/>
        <v/>
      </c>
      <c r="R457" s="724" t="str">
        <f t="shared" si="45"/>
        <v/>
      </c>
      <c r="S457" s="724" t="str">
        <f t="shared" si="45"/>
        <v/>
      </c>
      <c r="T457" s="725" t="str">
        <f t="shared" si="45"/>
        <v/>
      </c>
    </row>
    <row r="458" spans="2:20">
      <c r="B458" s="1788"/>
      <c r="C458" s="728">
        <v>11</v>
      </c>
      <c r="D458" s="731" t="s">
        <v>1421</v>
      </c>
      <c r="E458" s="728" t="s">
        <v>1392</v>
      </c>
      <c r="F458" s="729">
        <v>236</v>
      </c>
      <c r="G458" s="726">
        <v>149</v>
      </c>
      <c r="H458" s="727">
        <f t="shared" si="44"/>
        <v>35164</v>
      </c>
      <c r="I458" s="726"/>
      <c r="J458" s="730">
        <f>56/149</f>
        <v>0.37583892617449666</v>
      </c>
      <c r="K458" s="727">
        <v>476000</v>
      </c>
      <c r="L458" s="727">
        <v>1172200</v>
      </c>
      <c r="M458" s="724">
        <f t="shared" si="45"/>
        <v>4672.4832214765102</v>
      </c>
      <c r="N458" s="724">
        <f t="shared" si="45"/>
        <v>738.92617449664431</v>
      </c>
      <c r="O458" s="724" t="str">
        <f t="shared" si="45"/>
        <v/>
      </c>
      <c r="P458" s="724" t="str">
        <f t="shared" si="45"/>
        <v/>
      </c>
      <c r="Q458" s="724" t="str">
        <f t="shared" si="45"/>
        <v/>
      </c>
      <c r="R458" s="724" t="str">
        <f t="shared" si="45"/>
        <v/>
      </c>
      <c r="S458" s="724" t="str">
        <f t="shared" si="45"/>
        <v/>
      </c>
      <c r="T458" s="725" t="str">
        <f t="shared" si="45"/>
        <v/>
      </c>
    </row>
    <row r="459" spans="2:20">
      <c r="B459" s="1788"/>
      <c r="C459" s="728">
        <v>12</v>
      </c>
      <c r="D459" s="729" t="s">
        <v>3060</v>
      </c>
      <c r="E459" s="728" t="s">
        <v>1403</v>
      </c>
      <c r="F459" s="726">
        <v>236</v>
      </c>
      <c r="G459" s="726">
        <v>157</v>
      </c>
      <c r="H459" s="727">
        <f t="shared" si="44"/>
        <v>37052</v>
      </c>
      <c r="I459" s="726"/>
      <c r="J459" s="730">
        <f>59/157</f>
        <v>0.37579617834394907</v>
      </c>
      <c r="K459" s="727">
        <v>475000</v>
      </c>
      <c r="L459" s="727">
        <v>2087400</v>
      </c>
      <c r="M459" s="724">
        <f t="shared" si="45"/>
        <v>10270.063694267516</v>
      </c>
      <c r="N459" s="724">
        <f t="shared" si="45"/>
        <v>3622.2929936305732</v>
      </c>
      <c r="O459" s="724">
        <f t="shared" si="45"/>
        <v>1406.3694267515923</v>
      </c>
      <c r="P459" s="724">
        <f t="shared" si="45"/>
        <v>298.40764331210192</v>
      </c>
      <c r="Q459" s="724" t="str">
        <f t="shared" si="45"/>
        <v/>
      </c>
      <c r="R459" s="724" t="str">
        <f t="shared" si="45"/>
        <v/>
      </c>
      <c r="S459" s="724" t="str">
        <f t="shared" si="45"/>
        <v/>
      </c>
      <c r="T459" s="725" t="str">
        <f t="shared" si="45"/>
        <v/>
      </c>
    </row>
    <row r="460" spans="2:20">
      <c r="B460" s="1788"/>
      <c r="C460" s="728">
        <v>13</v>
      </c>
      <c r="D460" s="731" t="s">
        <v>3070</v>
      </c>
      <c r="E460" s="728" t="s">
        <v>1392</v>
      </c>
      <c r="F460" s="726">
        <v>234</v>
      </c>
      <c r="G460" s="726">
        <v>182</v>
      </c>
      <c r="H460" s="727">
        <f t="shared" si="44"/>
        <v>42588</v>
      </c>
      <c r="I460" s="726"/>
      <c r="J460" s="730">
        <f>95/182</f>
        <v>0.52197802197802201</v>
      </c>
      <c r="K460" s="727">
        <v>1122000</v>
      </c>
      <c r="L460" s="727">
        <v>2299980</v>
      </c>
      <c r="M460" s="724">
        <f t="shared" si="45"/>
        <v>6472.4175824175827</v>
      </c>
      <c r="N460" s="724">
        <f t="shared" si="45"/>
        <v>153.79120879120879</v>
      </c>
      <c r="O460" s="724" t="str">
        <f t="shared" si="45"/>
        <v/>
      </c>
      <c r="P460" s="724" t="str">
        <f t="shared" si="45"/>
        <v/>
      </c>
      <c r="Q460" s="724" t="str">
        <f t="shared" si="45"/>
        <v/>
      </c>
      <c r="R460" s="724" t="str">
        <f t="shared" si="45"/>
        <v/>
      </c>
      <c r="S460" s="724" t="str">
        <f t="shared" si="45"/>
        <v/>
      </c>
      <c r="T460" s="725" t="str">
        <f t="shared" si="45"/>
        <v/>
      </c>
    </row>
    <row r="461" spans="2:20">
      <c r="B461" s="1788"/>
      <c r="C461" s="728">
        <v>14</v>
      </c>
      <c r="D461" s="731" t="s">
        <v>954</v>
      </c>
      <c r="E461" s="728" t="s">
        <v>1406</v>
      </c>
      <c r="F461" s="726">
        <v>320</v>
      </c>
      <c r="G461" s="726">
        <v>152</v>
      </c>
      <c r="H461" s="727">
        <f t="shared" si="44"/>
        <v>48640</v>
      </c>
      <c r="I461" s="727"/>
      <c r="J461" s="730">
        <f>33/152</f>
        <v>0.21710526315789475</v>
      </c>
      <c r="K461" s="727">
        <v>570000</v>
      </c>
      <c r="L461" s="727">
        <v>2213040</v>
      </c>
      <c r="M461" s="724">
        <f t="shared" si="45"/>
        <v>10809.473684210527</v>
      </c>
      <c r="N461" s="724">
        <f t="shared" si="45"/>
        <v>3529.7368421052633</v>
      </c>
      <c r="O461" s="724">
        <f t="shared" si="45"/>
        <v>1103.1578947368421</v>
      </c>
      <c r="P461" s="724" t="str">
        <f t="shared" si="45"/>
        <v/>
      </c>
      <c r="Q461" s="724" t="str">
        <f t="shared" si="45"/>
        <v/>
      </c>
      <c r="R461" s="724" t="str">
        <f t="shared" si="45"/>
        <v/>
      </c>
      <c r="S461" s="724" t="str">
        <f t="shared" si="45"/>
        <v/>
      </c>
      <c r="T461" s="725" t="str">
        <f t="shared" si="45"/>
        <v/>
      </c>
    </row>
    <row r="462" spans="2:20">
      <c r="B462" s="1788"/>
      <c r="C462" s="728">
        <v>15</v>
      </c>
      <c r="D462" s="731" t="s">
        <v>2891</v>
      </c>
      <c r="E462" s="728" t="s">
        <v>1409</v>
      </c>
      <c r="F462" s="729">
        <v>353</v>
      </c>
      <c r="G462" s="726">
        <v>160</v>
      </c>
      <c r="H462" s="727">
        <f t="shared" si="44"/>
        <v>56480</v>
      </c>
      <c r="I462" s="726"/>
      <c r="J462" s="730">
        <f>101/160</f>
        <v>0.63124999999999998</v>
      </c>
      <c r="K462" s="727">
        <v>1200000</v>
      </c>
      <c r="L462" s="727">
        <v>2897600</v>
      </c>
      <c r="M462" s="724">
        <f t="shared" si="45"/>
        <v>10610</v>
      </c>
      <c r="N462" s="724">
        <f t="shared" si="45"/>
        <v>1555</v>
      </c>
      <c r="O462" s="724" t="str">
        <f t="shared" si="45"/>
        <v/>
      </c>
      <c r="P462" s="724" t="str">
        <f t="shared" si="45"/>
        <v/>
      </c>
      <c r="Q462" s="724" t="str">
        <f t="shared" si="45"/>
        <v/>
      </c>
      <c r="R462" s="724" t="str">
        <f t="shared" si="45"/>
        <v/>
      </c>
      <c r="S462" s="724" t="str">
        <f t="shared" si="45"/>
        <v/>
      </c>
      <c r="T462" s="725" t="str">
        <f t="shared" si="45"/>
        <v/>
      </c>
    </row>
    <row r="463" spans="2:20">
      <c r="B463" s="1788"/>
      <c r="C463" s="728">
        <v>16</v>
      </c>
      <c r="D463" s="729" t="s">
        <v>2854</v>
      </c>
      <c r="E463" s="728" t="s">
        <v>4220</v>
      </c>
      <c r="F463" s="726">
        <v>400</v>
      </c>
      <c r="G463" s="726">
        <v>161</v>
      </c>
      <c r="H463" s="727">
        <f t="shared" si="44"/>
        <v>64400</v>
      </c>
      <c r="I463" s="917"/>
      <c r="J463" s="730">
        <v>0.60248447204968947</v>
      </c>
      <c r="K463" s="727">
        <v>2542500</v>
      </c>
      <c r="L463" s="727">
        <v>3216250</v>
      </c>
      <c r="M463" s="724">
        <f t="shared" si="45"/>
        <v>4184.782608695652</v>
      </c>
      <c r="N463" s="724" t="str">
        <f t="shared" si="45"/>
        <v/>
      </c>
      <c r="O463" s="724" t="str">
        <f t="shared" si="45"/>
        <v/>
      </c>
      <c r="P463" s="724" t="str">
        <f t="shared" si="45"/>
        <v/>
      </c>
      <c r="Q463" s="724" t="str">
        <f t="shared" si="45"/>
        <v/>
      </c>
      <c r="R463" s="724" t="str">
        <f t="shared" si="45"/>
        <v/>
      </c>
      <c r="S463" s="724" t="str">
        <f t="shared" si="45"/>
        <v/>
      </c>
      <c r="T463" s="725" t="str">
        <f t="shared" si="45"/>
        <v/>
      </c>
    </row>
    <row r="464" spans="2:20">
      <c r="B464" s="1788"/>
      <c r="C464" s="728">
        <v>17</v>
      </c>
      <c r="D464" s="731" t="s">
        <v>4704</v>
      </c>
      <c r="E464" s="728" t="s">
        <v>1392</v>
      </c>
      <c r="F464" s="726">
        <v>423</v>
      </c>
      <c r="G464" s="726">
        <v>171</v>
      </c>
      <c r="H464" s="727">
        <f t="shared" si="44"/>
        <v>72333</v>
      </c>
      <c r="I464" s="916" t="s">
        <v>4705</v>
      </c>
      <c r="J464" s="730">
        <f>101/171</f>
        <v>0.59064327485380119</v>
      </c>
      <c r="K464" s="727">
        <v>2704000</v>
      </c>
      <c r="L464" s="727">
        <v>3720750</v>
      </c>
      <c r="M464" s="724">
        <f t="shared" si="45"/>
        <v>5945.9064327485385</v>
      </c>
      <c r="N464" s="724" t="str">
        <f t="shared" si="45"/>
        <v/>
      </c>
      <c r="O464" s="724" t="str">
        <f t="shared" si="45"/>
        <v/>
      </c>
      <c r="P464" s="724" t="str">
        <f t="shared" si="45"/>
        <v/>
      </c>
      <c r="Q464" s="724" t="str">
        <f t="shared" si="45"/>
        <v/>
      </c>
      <c r="R464" s="724" t="str">
        <f t="shared" si="45"/>
        <v/>
      </c>
      <c r="S464" s="724" t="str">
        <f t="shared" si="45"/>
        <v/>
      </c>
      <c r="T464" s="725" t="str">
        <f t="shared" si="45"/>
        <v/>
      </c>
    </row>
    <row r="465" spans="2:20">
      <c r="B465" s="1788"/>
      <c r="C465" s="728">
        <v>18</v>
      </c>
      <c r="D465" s="731" t="s">
        <v>4332</v>
      </c>
      <c r="E465" s="728" t="s">
        <v>4220</v>
      </c>
      <c r="F465" s="729">
        <v>369</v>
      </c>
      <c r="G465" s="726">
        <v>322</v>
      </c>
      <c r="H465" s="727">
        <f t="shared" si="44"/>
        <v>118818</v>
      </c>
      <c r="I465" s="726"/>
      <c r="J465" s="730">
        <f>88/322</f>
        <v>0.27329192546583853</v>
      </c>
      <c r="K465" s="727">
        <v>6649000</v>
      </c>
      <c r="L465" s="727">
        <v>7728000</v>
      </c>
      <c r="M465" s="724">
        <f t="shared" si="45"/>
        <v>3350.9316770186338</v>
      </c>
      <c r="N465" s="724" t="str">
        <f t="shared" si="45"/>
        <v/>
      </c>
      <c r="O465" s="724" t="str">
        <f t="shared" si="45"/>
        <v/>
      </c>
      <c r="P465" s="724" t="str">
        <f t="shared" si="45"/>
        <v/>
      </c>
      <c r="Q465" s="724" t="str">
        <f t="shared" si="45"/>
        <v/>
      </c>
      <c r="R465" s="724" t="str">
        <f t="shared" si="45"/>
        <v/>
      </c>
      <c r="S465" s="724" t="str">
        <f t="shared" si="45"/>
        <v/>
      </c>
      <c r="T465" s="725" t="str">
        <f t="shared" si="45"/>
        <v/>
      </c>
    </row>
    <row r="466" spans="2:20">
      <c r="B466" s="1788"/>
      <c r="C466" s="728">
        <v>19</v>
      </c>
      <c r="D466" s="729" t="s">
        <v>997</v>
      </c>
      <c r="E466" s="728" t="s">
        <v>3171</v>
      </c>
      <c r="F466" s="726">
        <v>403</v>
      </c>
      <c r="G466" s="726">
        <v>295</v>
      </c>
      <c r="H466" s="727">
        <f t="shared" si="44"/>
        <v>118885</v>
      </c>
      <c r="I466" s="726" t="s">
        <v>4613</v>
      </c>
      <c r="J466" s="730">
        <v>0.55254237288135588</v>
      </c>
      <c r="K466" s="727">
        <v>8055000</v>
      </c>
      <c r="L466" s="727">
        <v>7080000</v>
      </c>
      <c r="M466" s="724" t="str">
        <f t="shared" ref="M466:T481" si="46">IF(($L466/M$1-$K466)/$G466&gt;0,($L466/M$1-$K466)/$G466,"")</f>
        <v/>
      </c>
      <c r="N466" s="724" t="str">
        <f t="shared" si="46"/>
        <v/>
      </c>
      <c r="O466" s="724" t="str">
        <f t="shared" si="46"/>
        <v/>
      </c>
      <c r="P466" s="724" t="str">
        <f t="shared" si="46"/>
        <v/>
      </c>
      <c r="Q466" s="724" t="str">
        <f t="shared" si="46"/>
        <v/>
      </c>
      <c r="R466" s="724" t="str">
        <f t="shared" si="46"/>
        <v/>
      </c>
      <c r="S466" s="724" t="str">
        <f t="shared" si="46"/>
        <v/>
      </c>
      <c r="T466" s="725" t="str">
        <f t="shared" si="46"/>
        <v/>
      </c>
    </row>
    <row r="467" spans="2:20" ht="23.25" thickBot="1">
      <c r="B467" s="1789"/>
      <c r="C467" s="748">
        <v>20</v>
      </c>
      <c r="D467" s="749" t="s">
        <v>4706</v>
      </c>
      <c r="E467" s="748" t="s">
        <v>4707</v>
      </c>
      <c r="F467" s="750">
        <v>452</v>
      </c>
      <c r="G467" s="750">
        <v>263</v>
      </c>
      <c r="H467" s="751">
        <f t="shared" si="44"/>
        <v>118876</v>
      </c>
      <c r="I467" s="751">
        <v>60000</v>
      </c>
      <c r="J467" s="752">
        <f>147/263</f>
        <v>0.55893536121673004</v>
      </c>
      <c r="K467" s="751">
        <v>7848000</v>
      </c>
      <c r="L467" s="751">
        <v>6943200</v>
      </c>
      <c r="M467" s="741" t="str">
        <f t="shared" si="46"/>
        <v/>
      </c>
      <c r="N467" s="741" t="str">
        <f t="shared" si="46"/>
        <v/>
      </c>
      <c r="O467" s="741" t="str">
        <f t="shared" si="46"/>
        <v/>
      </c>
      <c r="P467" s="741" t="str">
        <f t="shared" si="46"/>
        <v/>
      </c>
      <c r="Q467" s="741" t="str">
        <f t="shared" si="46"/>
        <v/>
      </c>
      <c r="R467" s="741" t="str">
        <f t="shared" si="46"/>
        <v/>
      </c>
      <c r="S467" s="741" t="str">
        <f t="shared" si="46"/>
        <v/>
      </c>
      <c r="T467" s="742" t="str">
        <f t="shared" si="46"/>
        <v/>
      </c>
    </row>
    <row r="468" spans="2:20">
      <c r="B468" s="1787">
        <v>17</v>
      </c>
      <c r="C468" s="745">
        <v>1</v>
      </c>
      <c r="D468" s="731" t="s">
        <v>4955</v>
      </c>
      <c r="E468" s="728" t="s">
        <v>4216</v>
      </c>
      <c r="F468" s="726">
        <v>64</v>
      </c>
      <c r="G468" s="726">
        <v>113</v>
      </c>
      <c r="H468" s="727">
        <f t="shared" si="44"/>
        <v>7232</v>
      </c>
      <c r="I468" s="727">
        <v>12000</v>
      </c>
      <c r="J468" s="730">
        <f>40/113</f>
        <v>0.35398230088495575</v>
      </c>
      <c r="K468" s="727">
        <v>240000</v>
      </c>
      <c r="L468" s="727">
        <v>137520</v>
      </c>
      <c r="M468" s="739" t="str">
        <f t="shared" si="46"/>
        <v/>
      </c>
      <c r="N468" s="739" t="str">
        <f t="shared" si="46"/>
        <v/>
      </c>
      <c r="O468" s="739" t="str">
        <f t="shared" si="46"/>
        <v/>
      </c>
      <c r="P468" s="739" t="str">
        <f t="shared" si="46"/>
        <v/>
      </c>
      <c r="Q468" s="739" t="str">
        <f t="shared" si="46"/>
        <v/>
      </c>
      <c r="R468" s="739" t="str">
        <f t="shared" si="46"/>
        <v/>
      </c>
      <c r="S468" s="739" t="str">
        <f t="shared" si="46"/>
        <v/>
      </c>
      <c r="T468" s="740" t="str">
        <f t="shared" si="46"/>
        <v/>
      </c>
    </row>
    <row r="469" spans="2:20">
      <c r="B469" s="1788"/>
      <c r="C469" s="728">
        <v>2</v>
      </c>
      <c r="D469" s="731" t="s">
        <v>1033</v>
      </c>
      <c r="E469" s="728" t="s">
        <v>4148</v>
      </c>
      <c r="F469" s="726">
        <v>97</v>
      </c>
      <c r="G469" s="726">
        <v>112</v>
      </c>
      <c r="H469" s="727">
        <f t="shared" si="44"/>
        <v>10864</v>
      </c>
      <c r="I469" s="727"/>
      <c r="J469" s="730">
        <f>(6+6+7+10+6+4)/112</f>
        <v>0.3482142857142857</v>
      </c>
      <c r="K469" s="727">
        <v>240000</v>
      </c>
      <c r="L469" s="727">
        <v>204720</v>
      </c>
      <c r="M469" s="724" t="str">
        <f t="shared" si="46"/>
        <v/>
      </c>
      <c r="N469" s="724" t="str">
        <f t="shared" si="46"/>
        <v/>
      </c>
      <c r="O469" s="724" t="str">
        <f t="shared" si="46"/>
        <v/>
      </c>
      <c r="P469" s="724" t="str">
        <f t="shared" si="46"/>
        <v/>
      </c>
      <c r="Q469" s="724" t="str">
        <f t="shared" si="46"/>
        <v/>
      </c>
      <c r="R469" s="724" t="str">
        <f t="shared" si="46"/>
        <v/>
      </c>
      <c r="S469" s="724" t="str">
        <f t="shared" si="46"/>
        <v/>
      </c>
      <c r="T469" s="725" t="str">
        <f t="shared" si="46"/>
        <v/>
      </c>
    </row>
    <row r="470" spans="2:20">
      <c r="B470" s="1788"/>
      <c r="C470" s="728">
        <v>3</v>
      </c>
      <c r="D470" s="731" t="s">
        <v>1041</v>
      </c>
      <c r="E470" s="728" t="s">
        <v>4220</v>
      </c>
      <c r="F470" s="726">
        <v>119</v>
      </c>
      <c r="G470" s="726">
        <v>106</v>
      </c>
      <c r="H470" s="727">
        <f t="shared" si="44"/>
        <v>12614</v>
      </c>
      <c r="I470" s="727"/>
      <c r="J470" s="730">
        <f>(10+25+6)/106</f>
        <v>0.3867924528301887</v>
      </c>
      <c r="K470" s="727">
        <v>243000</v>
      </c>
      <c r="L470" s="727">
        <v>232920</v>
      </c>
      <c r="M470" s="724" t="str">
        <f t="shared" si="46"/>
        <v/>
      </c>
      <c r="N470" s="724" t="str">
        <f t="shared" si="46"/>
        <v/>
      </c>
      <c r="O470" s="724" t="str">
        <f t="shared" si="46"/>
        <v/>
      </c>
      <c r="P470" s="724" t="str">
        <f t="shared" si="46"/>
        <v/>
      </c>
      <c r="Q470" s="724" t="str">
        <f t="shared" si="46"/>
        <v/>
      </c>
      <c r="R470" s="724" t="str">
        <f t="shared" si="46"/>
        <v/>
      </c>
      <c r="S470" s="724" t="str">
        <f t="shared" si="46"/>
        <v/>
      </c>
      <c r="T470" s="725" t="str">
        <f t="shared" si="46"/>
        <v/>
      </c>
    </row>
    <row r="471" spans="2:20">
      <c r="B471" s="1788"/>
      <c r="C471" s="728">
        <v>4</v>
      </c>
      <c r="D471" s="731" t="s">
        <v>1026</v>
      </c>
      <c r="E471" s="728" t="s">
        <v>4218</v>
      </c>
      <c r="F471" s="726">
        <v>117</v>
      </c>
      <c r="G471" s="726">
        <v>124</v>
      </c>
      <c r="H471" s="727">
        <f t="shared" si="44"/>
        <v>14508</v>
      </c>
      <c r="I471" s="727"/>
      <c r="J471" s="730">
        <f>(8+6+7+14+20)/124</f>
        <v>0.44354838709677419</v>
      </c>
      <c r="K471" s="727">
        <v>1000000</v>
      </c>
      <c r="L471" s="727">
        <v>307920</v>
      </c>
      <c r="M471" s="724" t="str">
        <f t="shared" si="46"/>
        <v/>
      </c>
      <c r="N471" s="724" t="str">
        <f t="shared" si="46"/>
        <v/>
      </c>
      <c r="O471" s="724" t="str">
        <f t="shared" si="46"/>
        <v/>
      </c>
      <c r="P471" s="724" t="str">
        <f t="shared" si="46"/>
        <v/>
      </c>
      <c r="Q471" s="724" t="str">
        <f t="shared" si="46"/>
        <v/>
      </c>
      <c r="R471" s="724" t="str">
        <f t="shared" si="46"/>
        <v/>
      </c>
      <c r="S471" s="724" t="str">
        <f t="shared" si="46"/>
        <v/>
      </c>
      <c r="T471" s="725" t="str">
        <f t="shared" si="46"/>
        <v/>
      </c>
    </row>
    <row r="472" spans="2:20">
      <c r="B472" s="1788"/>
      <c r="C472" s="728">
        <v>5</v>
      </c>
      <c r="D472" s="731" t="s">
        <v>999</v>
      </c>
      <c r="E472" s="728" t="s">
        <v>4217</v>
      </c>
      <c r="F472" s="726">
        <v>162</v>
      </c>
      <c r="G472" s="726">
        <v>100</v>
      </c>
      <c r="H472" s="727">
        <f t="shared" si="44"/>
        <v>16200</v>
      </c>
      <c r="I472" s="726">
        <v>11000</v>
      </c>
      <c r="J472" s="730">
        <f>(9+14+23)/100</f>
        <v>0.46</v>
      </c>
      <c r="K472" s="727">
        <v>369000</v>
      </c>
      <c r="L472" s="727">
        <v>304000</v>
      </c>
      <c r="M472" s="724" t="str">
        <f t="shared" si="46"/>
        <v/>
      </c>
      <c r="N472" s="724" t="str">
        <f t="shared" si="46"/>
        <v/>
      </c>
      <c r="O472" s="724" t="str">
        <f t="shared" si="46"/>
        <v/>
      </c>
      <c r="P472" s="724" t="str">
        <f t="shared" si="46"/>
        <v/>
      </c>
      <c r="Q472" s="724" t="str">
        <f t="shared" si="46"/>
        <v/>
      </c>
      <c r="R472" s="724" t="str">
        <f t="shared" si="46"/>
        <v/>
      </c>
      <c r="S472" s="724" t="str">
        <f t="shared" si="46"/>
        <v/>
      </c>
      <c r="T472" s="725" t="str">
        <f t="shared" si="46"/>
        <v/>
      </c>
    </row>
    <row r="473" spans="2:20">
      <c r="B473" s="1788"/>
      <c r="C473" s="728">
        <v>6</v>
      </c>
      <c r="D473" s="729" t="s">
        <v>985</v>
      </c>
      <c r="E473" s="728" t="s">
        <v>4216</v>
      </c>
      <c r="F473" s="726">
        <v>161</v>
      </c>
      <c r="G473" s="726">
        <v>112</v>
      </c>
      <c r="H473" s="727">
        <f>F473*G473</f>
        <v>18032</v>
      </c>
      <c r="I473" s="727">
        <v>-8000</v>
      </c>
      <c r="J473" s="730">
        <f>56/112</f>
        <v>0.5</v>
      </c>
      <c r="K473" s="727">
        <v>360000</v>
      </c>
      <c r="L473" s="727">
        <v>376000</v>
      </c>
      <c r="M473" s="724">
        <f t="shared" si="46"/>
        <v>142.85714285714286</v>
      </c>
      <c r="N473" s="724" t="str">
        <f t="shared" si="46"/>
        <v/>
      </c>
      <c r="O473" s="724" t="str">
        <f t="shared" si="46"/>
        <v/>
      </c>
      <c r="P473" s="724" t="str">
        <f t="shared" si="46"/>
        <v/>
      </c>
      <c r="Q473" s="724" t="str">
        <f t="shared" si="46"/>
        <v/>
      </c>
      <c r="R473" s="724" t="str">
        <f t="shared" si="46"/>
        <v/>
      </c>
      <c r="S473" s="724" t="str">
        <f t="shared" si="46"/>
        <v/>
      </c>
      <c r="T473" s="725" t="str">
        <f t="shared" si="46"/>
        <v/>
      </c>
    </row>
    <row r="474" spans="2:20">
      <c r="B474" s="1788"/>
      <c r="C474" s="728">
        <v>7</v>
      </c>
      <c r="D474" s="731" t="s">
        <v>2886</v>
      </c>
      <c r="E474" s="728" t="s">
        <v>3171</v>
      </c>
      <c r="F474" s="726">
        <v>196</v>
      </c>
      <c r="G474" s="726">
        <v>115</v>
      </c>
      <c r="H474" s="727">
        <f>F474*G474</f>
        <v>22540</v>
      </c>
      <c r="I474" s="726" t="s">
        <v>4956</v>
      </c>
      <c r="J474" s="730">
        <f>(16+8+14+14)/115</f>
        <v>0.45217391304347826</v>
      </c>
      <c r="K474" s="727">
        <v>240000</v>
      </c>
      <c r="L474" s="727">
        <v>451250</v>
      </c>
      <c r="M474" s="724">
        <f t="shared" si="46"/>
        <v>1836.9565217391305</v>
      </c>
      <c r="N474" s="724" t="str">
        <f t="shared" si="46"/>
        <v/>
      </c>
      <c r="O474" s="724" t="str">
        <f t="shared" si="46"/>
        <v/>
      </c>
      <c r="P474" s="724" t="str">
        <f t="shared" si="46"/>
        <v/>
      </c>
      <c r="Q474" s="724" t="str">
        <f t="shared" si="46"/>
        <v/>
      </c>
      <c r="R474" s="724" t="str">
        <f t="shared" si="46"/>
        <v/>
      </c>
      <c r="S474" s="724" t="str">
        <f t="shared" si="46"/>
        <v/>
      </c>
      <c r="T474" s="725" t="str">
        <f t="shared" si="46"/>
        <v/>
      </c>
    </row>
    <row r="475" spans="2:20">
      <c r="B475" s="1788"/>
      <c r="C475" s="728">
        <v>8</v>
      </c>
      <c r="D475" s="731" t="s">
        <v>1007</v>
      </c>
      <c r="E475" s="728" t="s">
        <v>4218</v>
      </c>
      <c r="F475" s="726">
        <v>220</v>
      </c>
      <c r="G475" s="726">
        <v>119</v>
      </c>
      <c r="H475" s="727">
        <f>F475*G475</f>
        <v>26180</v>
      </c>
      <c r="I475" s="732"/>
      <c r="J475" s="730">
        <v>0.60499999999999998</v>
      </c>
      <c r="K475" s="727">
        <v>420000</v>
      </c>
      <c r="L475" s="727">
        <v>596670</v>
      </c>
      <c r="M475" s="724">
        <f t="shared" si="46"/>
        <v>1484.6218487394958</v>
      </c>
      <c r="N475" s="724" t="str">
        <f t="shared" si="46"/>
        <v/>
      </c>
      <c r="O475" s="724" t="str">
        <f t="shared" si="46"/>
        <v/>
      </c>
      <c r="P475" s="724" t="str">
        <f t="shared" si="46"/>
        <v/>
      </c>
      <c r="Q475" s="724" t="str">
        <f t="shared" si="46"/>
        <v/>
      </c>
      <c r="R475" s="724" t="str">
        <f t="shared" si="46"/>
        <v/>
      </c>
      <c r="S475" s="724" t="str">
        <f t="shared" si="46"/>
        <v/>
      </c>
      <c r="T475" s="725" t="str">
        <f t="shared" si="46"/>
        <v/>
      </c>
    </row>
    <row r="476" spans="2:20">
      <c r="B476" s="1788"/>
      <c r="C476" s="728">
        <v>9</v>
      </c>
      <c r="D476" s="731" t="s">
        <v>1031</v>
      </c>
      <c r="E476" s="728" t="s">
        <v>4148</v>
      </c>
      <c r="F476" s="726">
        <v>289</v>
      </c>
      <c r="G476" s="726">
        <v>103</v>
      </c>
      <c r="H476" s="727">
        <f t="shared" ref="H476:H488" si="47">F476*G476</f>
        <v>29767</v>
      </c>
      <c r="I476" s="732">
        <v>60000</v>
      </c>
      <c r="J476" s="730">
        <f>47/103</f>
        <v>0.4563106796116505</v>
      </c>
      <c r="K476" s="727">
        <v>300000</v>
      </c>
      <c r="L476" s="727">
        <v>587830</v>
      </c>
      <c r="M476" s="724">
        <f t="shared" si="46"/>
        <v>2794.4660194174758</v>
      </c>
      <c r="N476" s="724" t="str">
        <f t="shared" si="46"/>
        <v/>
      </c>
      <c r="O476" s="724" t="str">
        <f t="shared" si="46"/>
        <v/>
      </c>
      <c r="P476" s="724" t="str">
        <f t="shared" si="46"/>
        <v/>
      </c>
      <c r="Q476" s="724" t="str">
        <f t="shared" si="46"/>
        <v/>
      </c>
      <c r="R476" s="724" t="str">
        <f t="shared" si="46"/>
        <v/>
      </c>
      <c r="S476" s="724" t="str">
        <f t="shared" si="46"/>
        <v/>
      </c>
      <c r="T476" s="725" t="str">
        <f t="shared" si="46"/>
        <v/>
      </c>
    </row>
    <row r="477" spans="2:20">
      <c r="B477" s="1788"/>
      <c r="C477" s="728">
        <v>10</v>
      </c>
      <c r="D477" s="729" t="s">
        <v>1048</v>
      </c>
      <c r="E477" s="728" t="s">
        <v>4148</v>
      </c>
      <c r="F477" s="726">
        <v>210</v>
      </c>
      <c r="G477" s="726">
        <v>159</v>
      </c>
      <c r="H477" s="727">
        <f t="shared" si="47"/>
        <v>33390</v>
      </c>
      <c r="I477" s="727"/>
      <c r="J477" s="730">
        <f>51/159</f>
        <v>0.32075471698113206</v>
      </c>
      <c r="K477" s="727">
        <v>438000</v>
      </c>
      <c r="L477" s="727">
        <v>1060110</v>
      </c>
      <c r="M477" s="724">
        <f t="shared" si="46"/>
        <v>3912.6415094339623</v>
      </c>
      <c r="N477" s="724">
        <f t="shared" si="46"/>
        <v>578.96226415094338</v>
      </c>
      <c r="O477" s="724" t="str">
        <f t="shared" si="46"/>
        <v/>
      </c>
      <c r="P477" s="724" t="str">
        <f t="shared" si="46"/>
        <v/>
      </c>
      <c r="Q477" s="724" t="str">
        <f t="shared" si="46"/>
        <v/>
      </c>
      <c r="R477" s="724" t="str">
        <f t="shared" si="46"/>
        <v/>
      </c>
      <c r="S477" s="724" t="str">
        <f t="shared" si="46"/>
        <v/>
      </c>
      <c r="T477" s="725" t="str">
        <f t="shared" si="46"/>
        <v/>
      </c>
    </row>
    <row r="478" spans="2:20">
      <c r="B478" s="1788"/>
      <c r="C478" s="728">
        <v>11</v>
      </c>
      <c r="D478" s="731" t="s">
        <v>4957</v>
      </c>
      <c r="E478" s="728" t="s">
        <v>4216</v>
      </c>
      <c r="F478" s="729">
        <v>215</v>
      </c>
      <c r="G478" s="726">
        <v>164</v>
      </c>
      <c r="H478" s="727">
        <f t="shared" si="47"/>
        <v>35260</v>
      </c>
      <c r="I478" s="727">
        <v>26000</v>
      </c>
      <c r="J478" s="730">
        <f>110/164</f>
        <v>0.67073170731707321</v>
      </c>
      <c r="K478" s="727">
        <v>979000</v>
      </c>
      <c r="L478" s="727">
        <v>1289200</v>
      </c>
      <c r="M478" s="724">
        <f t="shared" si="46"/>
        <v>1891.4634146341464</v>
      </c>
      <c r="N478" s="724" t="str">
        <f t="shared" si="46"/>
        <v/>
      </c>
      <c r="O478" s="724" t="str">
        <f t="shared" si="46"/>
        <v/>
      </c>
      <c r="P478" s="724" t="str">
        <f t="shared" si="46"/>
        <v/>
      </c>
      <c r="Q478" s="724" t="str">
        <f t="shared" si="46"/>
        <v/>
      </c>
      <c r="R478" s="724" t="str">
        <f t="shared" si="46"/>
        <v/>
      </c>
      <c r="S478" s="724" t="str">
        <f t="shared" si="46"/>
        <v/>
      </c>
      <c r="T478" s="725" t="str">
        <f t="shared" si="46"/>
        <v/>
      </c>
    </row>
    <row r="479" spans="2:20">
      <c r="B479" s="1788"/>
      <c r="C479" s="728">
        <v>12</v>
      </c>
      <c r="D479" s="729" t="s">
        <v>991</v>
      </c>
      <c r="E479" s="728" t="s">
        <v>3171</v>
      </c>
      <c r="F479" s="726">
        <v>214</v>
      </c>
      <c r="G479" s="726">
        <v>173</v>
      </c>
      <c r="H479" s="727">
        <f t="shared" si="47"/>
        <v>37022</v>
      </c>
      <c r="I479" s="726"/>
      <c r="J479" s="730">
        <f>105/173</f>
        <v>0.60693641618497107</v>
      </c>
      <c r="K479" s="727">
        <v>1794000</v>
      </c>
      <c r="L479" s="727">
        <v>2218600</v>
      </c>
      <c r="M479" s="724">
        <f t="shared" si="46"/>
        <v>2454.3352601156071</v>
      </c>
      <c r="N479" s="724" t="str">
        <f t="shared" si="46"/>
        <v/>
      </c>
      <c r="O479" s="724" t="str">
        <f t="shared" si="46"/>
        <v/>
      </c>
      <c r="P479" s="724" t="str">
        <f t="shared" si="46"/>
        <v/>
      </c>
      <c r="Q479" s="724" t="str">
        <f t="shared" si="46"/>
        <v/>
      </c>
      <c r="R479" s="724" t="str">
        <f t="shared" si="46"/>
        <v/>
      </c>
      <c r="S479" s="724" t="str">
        <f t="shared" si="46"/>
        <v/>
      </c>
      <c r="T479" s="725" t="str">
        <f t="shared" si="46"/>
        <v/>
      </c>
    </row>
    <row r="480" spans="2:20">
      <c r="B480" s="1788"/>
      <c r="C480" s="728">
        <v>13</v>
      </c>
      <c r="D480" s="731" t="s">
        <v>1016</v>
      </c>
      <c r="E480" s="728" t="s">
        <v>4220</v>
      </c>
      <c r="F480" s="726">
        <v>254</v>
      </c>
      <c r="G480" s="726">
        <v>168</v>
      </c>
      <c r="H480" s="727">
        <f t="shared" si="47"/>
        <v>42672</v>
      </c>
      <c r="I480" s="726" t="s">
        <v>4958</v>
      </c>
      <c r="J480" s="730">
        <f>(11+4+25+18+7+20)/168</f>
        <v>0.50595238095238093</v>
      </c>
      <c r="K480" s="727">
        <v>1818000</v>
      </c>
      <c r="L480" s="727">
        <v>2161520</v>
      </c>
      <c r="M480" s="724">
        <f t="shared" si="46"/>
        <v>2044.7619047619048</v>
      </c>
      <c r="N480" s="724" t="str">
        <f t="shared" si="46"/>
        <v/>
      </c>
      <c r="O480" s="724" t="str">
        <f t="shared" si="46"/>
        <v/>
      </c>
      <c r="P480" s="724" t="str">
        <f t="shared" si="46"/>
        <v/>
      </c>
      <c r="Q480" s="724" t="str">
        <f t="shared" si="46"/>
        <v/>
      </c>
      <c r="R480" s="724" t="str">
        <f t="shared" si="46"/>
        <v/>
      </c>
      <c r="S480" s="724" t="str">
        <f t="shared" si="46"/>
        <v/>
      </c>
      <c r="T480" s="725" t="str">
        <f t="shared" si="46"/>
        <v/>
      </c>
    </row>
    <row r="481" spans="2:20">
      <c r="B481" s="1788"/>
      <c r="C481" s="728">
        <v>14</v>
      </c>
      <c r="D481" s="731" t="s">
        <v>3172</v>
      </c>
      <c r="E481" s="728" t="s">
        <v>3171</v>
      </c>
      <c r="F481" s="726">
        <v>298</v>
      </c>
      <c r="G481" s="726">
        <v>163</v>
      </c>
      <c r="H481" s="727">
        <f t="shared" si="47"/>
        <v>48574</v>
      </c>
      <c r="I481" s="727"/>
      <c r="J481" s="730">
        <f>93/163</f>
        <v>0.57055214723926384</v>
      </c>
      <c r="K481" s="727">
        <v>1890000</v>
      </c>
      <c r="L481" s="727">
        <v>2337010</v>
      </c>
      <c r="M481" s="724">
        <f t="shared" si="46"/>
        <v>2742.3926380368098</v>
      </c>
      <c r="N481" s="724" t="str">
        <f t="shared" si="46"/>
        <v/>
      </c>
      <c r="O481" s="724" t="str">
        <f t="shared" si="46"/>
        <v/>
      </c>
      <c r="P481" s="724" t="str">
        <f t="shared" si="46"/>
        <v/>
      </c>
      <c r="Q481" s="724" t="str">
        <f t="shared" si="46"/>
        <v/>
      </c>
      <c r="R481" s="724" t="str">
        <f t="shared" si="46"/>
        <v/>
      </c>
      <c r="S481" s="724" t="str">
        <f t="shared" si="46"/>
        <v/>
      </c>
      <c r="T481" s="725" t="str">
        <f t="shared" si="46"/>
        <v/>
      </c>
    </row>
    <row r="482" spans="2:20">
      <c r="B482" s="1788"/>
      <c r="C482" s="728">
        <v>15</v>
      </c>
      <c r="D482" s="731" t="s">
        <v>2884</v>
      </c>
      <c r="E482" s="728" t="s">
        <v>4217</v>
      </c>
      <c r="F482" s="729">
        <v>325</v>
      </c>
      <c r="G482" s="726">
        <v>174</v>
      </c>
      <c r="H482" s="727">
        <f t="shared" si="47"/>
        <v>56550</v>
      </c>
      <c r="I482" s="726"/>
      <c r="J482" s="730">
        <v>0.45977011494252873</v>
      </c>
      <c r="K482" s="727">
        <v>2461000</v>
      </c>
      <c r="L482" s="727">
        <v>3081140</v>
      </c>
      <c r="M482" s="724">
        <f t="shared" ref="M482:T497" si="48">IF(($L482/M$1-$K482)/$G482&gt;0,($L482/M$1-$K482)/$G482,"")</f>
        <v>3564.022988505747</v>
      </c>
      <c r="N482" s="724" t="str">
        <f t="shared" si="48"/>
        <v/>
      </c>
      <c r="O482" s="724" t="str">
        <f t="shared" si="48"/>
        <v/>
      </c>
      <c r="P482" s="724" t="str">
        <f t="shared" si="48"/>
        <v/>
      </c>
      <c r="Q482" s="724" t="str">
        <f t="shared" si="48"/>
        <v/>
      </c>
      <c r="R482" s="724" t="str">
        <f t="shared" si="48"/>
        <v/>
      </c>
      <c r="S482" s="724" t="str">
        <f t="shared" si="48"/>
        <v/>
      </c>
      <c r="T482" s="725" t="str">
        <f t="shared" si="48"/>
        <v/>
      </c>
    </row>
    <row r="483" spans="2:20">
      <c r="B483" s="1788"/>
      <c r="C483" s="728">
        <v>16</v>
      </c>
      <c r="D483" s="729" t="s">
        <v>2842</v>
      </c>
      <c r="E483" s="728" t="s">
        <v>4148</v>
      </c>
      <c r="F483" s="726">
        <v>370</v>
      </c>
      <c r="G483" s="726">
        <v>174</v>
      </c>
      <c r="H483" s="727">
        <f t="shared" si="47"/>
        <v>64380</v>
      </c>
      <c r="I483" s="917"/>
      <c r="J483" s="730">
        <v>0.56321839080459768</v>
      </c>
      <c r="K483" s="727">
        <v>1848000</v>
      </c>
      <c r="L483" s="727">
        <v>3427500</v>
      </c>
      <c r="M483" s="724">
        <f t="shared" si="48"/>
        <v>9077.5862068965525</v>
      </c>
      <c r="N483" s="724" t="str">
        <f t="shared" si="48"/>
        <v/>
      </c>
      <c r="O483" s="724" t="str">
        <f t="shared" si="48"/>
        <v/>
      </c>
      <c r="P483" s="724" t="str">
        <f t="shared" si="48"/>
        <v/>
      </c>
      <c r="Q483" s="724" t="str">
        <f t="shared" si="48"/>
        <v/>
      </c>
      <c r="R483" s="724" t="str">
        <f t="shared" si="48"/>
        <v/>
      </c>
      <c r="S483" s="724" t="str">
        <f t="shared" si="48"/>
        <v/>
      </c>
      <c r="T483" s="725" t="str">
        <f t="shared" si="48"/>
        <v/>
      </c>
    </row>
    <row r="484" spans="2:20">
      <c r="B484" s="1788"/>
      <c r="C484" s="728">
        <v>17</v>
      </c>
      <c r="D484" s="731" t="s">
        <v>1050</v>
      </c>
      <c r="E484" s="728" t="s">
        <v>4218</v>
      </c>
      <c r="F484" s="726">
        <v>409</v>
      </c>
      <c r="G484" s="726">
        <v>169</v>
      </c>
      <c r="H484" s="727">
        <f t="shared" si="47"/>
        <v>69121</v>
      </c>
      <c r="I484" s="916"/>
      <c r="J484" s="730">
        <f>50/169</f>
        <v>0.29585798816568049</v>
      </c>
      <c r="K484" s="727">
        <v>420000</v>
      </c>
      <c r="L484" s="727">
        <v>3830250</v>
      </c>
      <c r="M484" s="724">
        <f t="shared" si="48"/>
        <v>20178.994082840236</v>
      </c>
      <c r="N484" s="724">
        <f t="shared" si="48"/>
        <v>8846.8934911242595</v>
      </c>
      <c r="O484" s="724">
        <f t="shared" si="48"/>
        <v>5069.5266272189347</v>
      </c>
      <c r="P484" s="724">
        <f t="shared" si="48"/>
        <v>3180.8431952662722</v>
      </c>
      <c r="Q484" s="724">
        <f t="shared" si="48"/>
        <v>2047.6331360946745</v>
      </c>
      <c r="R484" s="724">
        <f t="shared" si="48"/>
        <v>1292.1597633136096</v>
      </c>
      <c r="S484" s="724">
        <f t="shared" si="48"/>
        <v>752.53592561284904</v>
      </c>
      <c r="T484" s="725">
        <f t="shared" si="48"/>
        <v>347.81804733727813</v>
      </c>
    </row>
    <row r="485" spans="2:20">
      <c r="B485" s="1788"/>
      <c r="C485" s="728">
        <v>18</v>
      </c>
      <c r="D485" s="731" t="s">
        <v>2840</v>
      </c>
      <c r="E485" s="728" t="s">
        <v>4220</v>
      </c>
      <c r="F485" s="729">
        <v>417</v>
      </c>
      <c r="G485" s="726">
        <v>244</v>
      </c>
      <c r="H485" s="727">
        <f t="shared" si="47"/>
        <v>101748</v>
      </c>
      <c r="I485" s="726"/>
      <c r="J485" s="730">
        <f>56/244</f>
        <v>0.22950819672131148</v>
      </c>
      <c r="K485" s="727">
        <v>4137000</v>
      </c>
      <c r="L485" s="727">
        <v>6840000</v>
      </c>
      <c r="M485" s="724">
        <f t="shared" si="48"/>
        <v>11077.868852459016</v>
      </c>
      <c r="N485" s="724" t="str">
        <f t="shared" si="48"/>
        <v/>
      </c>
      <c r="O485" s="724" t="str">
        <f t="shared" si="48"/>
        <v/>
      </c>
      <c r="P485" s="724" t="str">
        <f t="shared" si="48"/>
        <v/>
      </c>
      <c r="Q485" s="724" t="str">
        <f t="shared" si="48"/>
        <v/>
      </c>
      <c r="R485" s="724" t="str">
        <f t="shared" si="48"/>
        <v/>
      </c>
      <c r="S485" s="724" t="str">
        <f t="shared" si="48"/>
        <v/>
      </c>
      <c r="T485" s="725" t="str">
        <f t="shared" si="48"/>
        <v/>
      </c>
    </row>
    <row r="486" spans="2:20">
      <c r="B486" s="1788"/>
      <c r="C486" s="728">
        <v>19</v>
      </c>
      <c r="D486" s="729" t="s">
        <v>3120</v>
      </c>
      <c r="E486" s="728" t="s">
        <v>4216</v>
      </c>
      <c r="F486" s="726">
        <v>452</v>
      </c>
      <c r="G486" s="726">
        <v>285</v>
      </c>
      <c r="H486" s="727">
        <f t="shared" si="47"/>
        <v>128820</v>
      </c>
      <c r="I486" s="726"/>
      <c r="J486" s="730">
        <f>148/285</f>
        <v>0.51929824561403504</v>
      </c>
      <c r="K486" s="727">
        <v>7740000</v>
      </c>
      <c r="L486" s="727">
        <v>6943200</v>
      </c>
      <c r="M486" s="724" t="str">
        <f t="shared" si="48"/>
        <v/>
      </c>
      <c r="N486" s="724" t="str">
        <f t="shared" si="48"/>
        <v/>
      </c>
      <c r="O486" s="724" t="str">
        <f t="shared" si="48"/>
        <v/>
      </c>
      <c r="P486" s="724" t="str">
        <f t="shared" si="48"/>
        <v/>
      </c>
      <c r="Q486" s="724" t="str">
        <f t="shared" si="48"/>
        <v/>
      </c>
      <c r="R486" s="724" t="str">
        <f t="shared" si="48"/>
        <v/>
      </c>
      <c r="S486" s="724" t="str">
        <f t="shared" si="48"/>
        <v/>
      </c>
      <c r="T486" s="725" t="str">
        <f t="shared" si="48"/>
        <v/>
      </c>
    </row>
    <row r="487" spans="2:20" ht="23.25" thickBot="1">
      <c r="B487" s="1789"/>
      <c r="C487" s="748">
        <v>20</v>
      </c>
      <c r="D487" s="749" t="s">
        <v>3107</v>
      </c>
      <c r="E487" s="748" t="s">
        <v>4220</v>
      </c>
      <c r="F487" s="750">
        <v>395</v>
      </c>
      <c r="G487" s="750">
        <v>301</v>
      </c>
      <c r="H487" s="751">
        <f t="shared" si="47"/>
        <v>118895</v>
      </c>
      <c r="I487" s="751"/>
      <c r="J487" s="752">
        <f>184/301</f>
        <v>0.61129568106312293</v>
      </c>
      <c r="K487" s="751">
        <v>11709000</v>
      </c>
      <c r="L487" s="751">
        <v>7946400</v>
      </c>
      <c r="M487" s="741" t="str">
        <f t="shared" si="48"/>
        <v/>
      </c>
      <c r="N487" s="741" t="str">
        <f t="shared" si="48"/>
        <v/>
      </c>
      <c r="O487" s="741" t="str">
        <f t="shared" si="48"/>
        <v/>
      </c>
      <c r="P487" s="741" t="str">
        <f t="shared" si="48"/>
        <v/>
      </c>
      <c r="Q487" s="741" t="str">
        <f t="shared" si="48"/>
        <v/>
      </c>
      <c r="R487" s="741" t="str">
        <f t="shared" si="48"/>
        <v/>
      </c>
      <c r="S487" s="741" t="str">
        <f t="shared" si="48"/>
        <v/>
      </c>
      <c r="T487" s="742" t="str">
        <f t="shared" si="48"/>
        <v/>
      </c>
    </row>
    <row r="488" spans="2:20">
      <c r="B488" s="1787">
        <v>18</v>
      </c>
      <c r="C488" s="745">
        <v>1</v>
      </c>
      <c r="D488" s="731" t="s">
        <v>1028</v>
      </c>
      <c r="E488" s="728" t="s">
        <v>3171</v>
      </c>
      <c r="F488" s="726">
        <v>62</v>
      </c>
      <c r="G488" s="726">
        <v>118</v>
      </c>
      <c r="H488" s="727">
        <f t="shared" si="47"/>
        <v>7316</v>
      </c>
      <c r="I488" s="727">
        <v>-8000</v>
      </c>
      <c r="J488" s="730">
        <v>0.5423728813559322</v>
      </c>
      <c r="K488" s="727">
        <v>1000000</v>
      </c>
      <c r="L488" s="727">
        <v>142720</v>
      </c>
      <c r="M488" s="739" t="str">
        <f t="shared" si="48"/>
        <v/>
      </c>
      <c r="N488" s="739" t="str">
        <f t="shared" si="48"/>
        <v/>
      </c>
      <c r="O488" s="739" t="str">
        <f t="shared" si="48"/>
        <v/>
      </c>
      <c r="P488" s="739" t="str">
        <f t="shared" si="48"/>
        <v/>
      </c>
      <c r="Q488" s="739" t="str">
        <f t="shared" si="48"/>
        <v/>
      </c>
      <c r="R488" s="739" t="str">
        <f t="shared" si="48"/>
        <v/>
      </c>
      <c r="S488" s="739" t="str">
        <f t="shared" si="48"/>
        <v/>
      </c>
      <c r="T488" s="740" t="str">
        <f t="shared" si="48"/>
        <v/>
      </c>
    </row>
    <row r="489" spans="2:20">
      <c r="B489" s="1788"/>
      <c r="C489" s="728">
        <v>2</v>
      </c>
      <c r="D489" s="731" t="s">
        <v>1015</v>
      </c>
      <c r="E489" s="728" t="s">
        <v>4216</v>
      </c>
      <c r="F489" s="726">
        <v>94</v>
      </c>
      <c r="G489" s="726">
        <v>116</v>
      </c>
      <c r="H489" s="727">
        <f>F489*G489</f>
        <v>10904</v>
      </c>
      <c r="I489" s="727"/>
      <c r="J489" s="730">
        <f>45/116</f>
        <v>0.38793103448275862</v>
      </c>
      <c r="K489" s="727">
        <v>350000</v>
      </c>
      <c r="L489" s="727">
        <v>210960</v>
      </c>
      <c r="M489" s="724" t="str">
        <f t="shared" si="48"/>
        <v/>
      </c>
      <c r="N489" s="724" t="str">
        <f t="shared" si="48"/>
        <v/>
      </c>
      <c r="O489" s="724" t="str">
        <f t="shared" si="48"/>
        <v/>
      </c>
      <c r="P489" s="724" t="str">
        <f t="shared" si="48"/>
        <v/>
      </c>
      <c r="Q489" s="724" t="str">
        <f t="shared" si="48"/>
        <v/>
      </c>
      <c r="R489" s="724" t="str">
        <f t="shared" si="48"/>
        <v/>
      </c>
      <c r="S489" s="724" t="str">
        <f t="shared" si="48"/>
        <v/>
      </c>
      <c r="T489" s="725" t="str">
        <f t="shared" si="48"/>
        <v/>
      </c>
    </row>
    <row r="490" spans="2:20">
      <c r="B490" s="1788"/>
      <c r="C490" s="728">
        <v>3</v>
      </c>
      <c r="D490" s="731" t="s">
        <v>4960</v>
      </c>
      <c r="E490" s="728" t="s">
        <v>3171</v>
      </c>
      <c r="F490" s="726">
        <v>113</v>
      </c>
      <c r="G490" s="726">
        <v>112</v>
      </c>
      <c r="H490" s="727">
        <f>F490*G490</f>
        <v>12656</v>
      </c>
      <c r="I490" s="727"/>
      <c r="J490" s="730">
        <f>(23+31+14)/112</f>
        <v>0.6071428571428571</v>
      </c>
      <c r="K490" s="727">
        <v>600000</v>
      </c>
      <c r="L490" s="727">
        <v>243840</v>
      </c>
      <c r="M490" s="724" t="str">
        <f t="shared" si="48"/>
        <v/>
      </c>
      <c r="N490" s="724" t="str">
        <f t="shared" si="48"/>
        <v/>
      </c>
      <c r="O490" s="724" t="str">
        <f t="shared" si="48"/>
        <v/>
      </c>
      <c r="P490" s="724" t="str">
        <f t="shared" si="48"/>
        <v/>
      </c>
      <c r="Q490" s="724" t="str">
        <f t="shared" si="48"/>
        <v/>
      </c>
      <c r="R490" s="724" t="str">
        <f t="shared" si="48"/>
        <v/>
      </c>
      <c r="S490" s="724" t="str">
        <f t="shared" si="48"/>
        <v/>
      </c>
      <c r="T490" s="725" t="str">
        <f t="shared" si="48"/>
        <v/>
      </c>
    </row>
    <row r="491" spans="2:20">
      <c r="B491" s="1788"/>
      <c r="C491" s="728">
        <v>4</v>
      </c>
      <c r="D491" s="731" t="s">
        <v>3112</v>
      </c>
      <c r="E491" s="728" t="s">
        <v>4216</v>
      </c>
      <c r="F491" s="726">
        <v>133</v>
      </c>
      <c r="G491" s="726">
        <v>109</v>
      </c>
      <c r="H491" s="727">
        <f t="shared" ref="H491:H524" si="49">F491*G491</f>
        <v>14497</v>
      </c>
      <c r="I491" s="727"/>
      <c r="J491" s="730">
        <f>54/109</f>
        <v>0.49541284403669728</v>
      </c>
      <c r="K491" s="727">
        <v>610000</v>
      </c>
      <c r="L491" s="727">
        <v>276720</v>
      </c>
      <c r="M491" s="724" t="str">
        <f t="shared" si="48"/>
        <v/>
      </c>
      <c r="N491" s="724" t="str">
        <f t="shared" si="48"/>
        <v/>
      </c>
      <c r="O491" s="724" t="str">
        <f t="shared" si="48"/>
        <v/>
      </c>
      <c r="P491" s="724" t="str">
        <f t="shared" si="48"/>
        <v/>
      </c>
      <c r="Q491" s="724" t="str">
        <f t="shared" si="48"/>
        <v/>
      </c>
      <c r="R491" s="724" t="str">
        <f t="shared" si="48"/>
        <v/>
      </c>
      <c r="S491" s="724" t="str">
        <f t="shared" si="48"/>
        <v/>
      </c>
      <c r="T491" s="725" t="str">
        <f t="shared" si="48"/>
        <v/>
      </c>
    </row>
    <row r="492" spans="2:20">
      <c r="B492" s="1788"/>
      <c r="C492" s="728">
        <v>5</v>
      </c>
      <c r="D492" s="731" t="s">
        <v>2881</v>
      </c>
      <c r="E492" s="728" t="s">
        <v>4220</v>
      </c>
      <c r="F492" s="726">
        <v>125</v>
      </c>
      <c r="G492" s="726">
        <v>130</v>
      </c>
      <c r="H492" s="727">
        <f t="shared" si="49"/>
        <v>16250</v>
      </c>
      <c r="I492" s="726" t="s">
        <v>4961</v>
      </c>
      <c r="J492" s="730">
        <v>0.5</v>
      </c>
      <c r="K492" s="727">
        <v>450000</v>
      </c>
      <c r="L492" s="727">
        <v>374200</v>
      </c>
      <c r="M492" s="724" t="str">
        <f t="shared" si="48"/>
        <v/>
      </c>
      <c r="N492" s="724" t="str">
        <f t="shared" si="48"/>
        <v/>
      </c>
      <c r="O492" s="724" t="str">
        <f t="shared" si="48"/>
        <v/>
      </c>
      <c r="P492" s="724" t="str">
        <f t="shared" si="48"/>
        <v/>
      </c>
      <c r="Q492" s="724" t="str">
        <f t="shared" si="48"/>
        <v/>
      </c>
      <c r="R492" s="724" t="str">
        <f t="shared" si="48"/>
        <v/>
      </c>
      <c r="S492" s="724" t="str">
        <f t="shared" si="48"/>
        <v/>
      </c>
      <c r="T492" s="725" t="str">
        <f t="shared" si="48"/>
        <v/>
      </c>
    </row>
    <row r="493" spans="2:20">
      <c r="B493" s="1788"/>
      <c r="C493" s="728">
        <v>6</v>
      </c>
      <c r="D493" s="729" t="s">
        <v>4962</v>
      </c>
      <c r="E493" s="728" t="s">
        <v>4148</v>
      </c>
      <c r="F493" s="726">
        <v>156</v>
      </c>
      <c r="G493" s="726">
        <v>116</v>
      </c>
      <c r="H493" s="727">
        <f t="shared" si="49"/>
        <v>18096</v>
      </c>
      <c r="I493" s="726" t="s">
        <v>4963</v>
      </c>
      <c r="J493" s="730">
        <f>(11+8+15+8+26)/116</f>
        <v>0.58620689655172409</v>
      </c>
      <c r="K493" s="727">
        <v>350000</v>
      </c>
      <c r="L493" s="727">
        <v>388000</v>
      </c>
      <c r="M493" s="724">
        <f t="shared" si="48"/>
        <v>327.58620689655174</v>
      </c>
      <c r="N493" s="724" t="str">
        <f t="shared" si="48"/>
        <v/>
      </c>
      <c r="O493" s="724" t="str">
        <f t="shared" si="48"/>
        <v/>
      </c>
      <c r="P493" s="724" t="str">
        <f t="shared" si="48"/>
        <v/>
      </c>
      <c r="Q493" s="724" t="str">
        <f t="shared" si="48"/>
        <v/>
      </c>
      <c r="R493" s="724" t="str">
        <f t="shared" si="48"/>
        <v/>
      </c>
      <c r="S493" s="724" t="str">
        <f t="shared" si="48"/>
        <v/>
      </c>
      <c r="T493" s="725" t="str">
        <f t="shared" si="48"/>
        <v/>
      </c>
    </row>
    <row r="494" spans="2:20">
      <c r="B494" s="1788"/>
      <c r="C494" s="728">
        <v>7</v>
      </c>
      <c r="D494" s="729" t="s">
        <v>4964</v>
      </c>
      <c r="E494" s="728" t="s">
        <v>4218</v>
      </c>
      <c r="F494" s="726">
        <v>205</v>
      </c>
      <c r="G494" s="726">
        <v>110</v>
      </c>
      <c r="H494" s="727">
        <f t="shared" si="49"/>
        <v>22550</v>
      </c>
      <c r="I494" s="726"/>
      <c r="J494" s="730">
        <f>(10+18+20+7+17)/110</f>
        <v>0.65454545454545454</v>
      </c>
      <c r="K494" s="727">
        <v>350000</v>
      </c>
      <c r="L494" s="727">
        <v>432500</v>
      </c>
      <c r="M494" s="724">
        <f t="shared" si="48"/>
        <v>750</v>
      </c>
      <c r="N494" s="724" t="str">
        <f t="shared" si="48"/>
        <v/>
      </c>
      <c r="O494" s="724" t="str">
        <f t="shared" si="48"/>
        <v/>
      </c>
      <c r="P494" s="724" t="str">
        <f t="shared" si="48"/>
        <v/>
      </c>
      <c r="Q494" s="724" t="str">
        <f t="shared" si="48"/>
        <v/>
      </c>
      <c r="R494" s="724" t="str">
        <f t="shared" si="48"/>
        <v/>
      </c>
      <c r="S494" s="724" t="str">
        <f t="shared" si="48"/>
        <v/>
      </c>
      <c r="T494" s="725" t="str">
        <f t="shared" si="48"/>
        <v/>
      </c>
    </row>
    <row r="495" spans="2:20">
      <c r="B495" s="1788"/>
      <c r="C495" s="728">
        <v>8</v>
      </c>
      <c r="D495" s="731" t="s">
        <v>4949</v>
      </c>
      <c r="E495" s="728" t="s">
        <v>4217</v>
      </c>
      <c r="F495" s="726">
        <v>242</v>
      </c>
      <c r="G495" s="726">
        <v>108</v>
      </c>
      <c r="H495" s="727">
        <f t="shared" si="49"/>
        <v>26136</v>
      </c>
      <c r="I495" s="732"/>
      <c r="J495" s="730">
        <f>(14+11+10+18)/108</f>
        <v>0.49074074074074076</v>
      </c>
      <c r="K495" s="727">
        <v>480000</v>
      </c>
      <c r="L495" s="727">
        <v>542440</v>
      </c>
      <c r="M495" s="724">
        <f t="shared" si="48"/>
        <v>578.14814814814815</v>
      </c>
      <c r="N495" s="724" t="str">
        <f t="shared" si="48"/>
        <v/>
      </c>
      <c r="O495" s="724" t="str">
        <f t="shared" si="48"/>
        <v/>
      </c>
      <c r="P495" s="724" t="str">
        <f t="shared" si="48"/>
        <v/>
      </c>
      <c r="Q495" s="724" t="str">
        <f t="shared" si="48"/>
        <v/>
      </c>
      <c r="R495" s="724" t="str">
        <f t="shared" si="48"/>
        <v/>
      </c>
      <c r="S495" s="724" t="str">
        <f t="shared" si="48"/>
        <v/>
      </c>
      <c r="T495" s="725" t="str">
        <f t="shared" si="48"/>
        <v/>
      </c>
    </row>
    <row r="496" spans="2:20">
      <c r="B496" s="1788"/>
      <c r="C496" s="728">
        <v>9</v>
      </c>
      <c r="D496" s="731" t="s">
        <v>4965</v>
      </c>
      <c r="E496" s="728" t="s">
        <v>4148</v>
      </c>
      <c r="F496" s="726">
        <v>259</v>
      </c>
      <c r="G496" s="726">
        <v>115</v>
      </c>
      <c r="H496" s="727">
        <f t="shared" si="49"/>
        <v>29785</v>
      </c>
      <c r="I496" s="732"/>
      <c r="J496" s="730">
        <f>(11+16+16+16)/115</f>
        <v>0.5130434782608696</v>
      </c>
      <c r="K496" s="727">
        <v>280000</v>
      </c>
      <c r="L496" s="727">
        <v>655150</v>
      </c>
      <c r="M496" s="724">
        <f t="shared" si="48"/>
        <v>3262.1739130434785</v>
      </c>
      <c r="N496" s="724">
        <f t="shared" si="48"/>
        <v>413.69565217391306</v>
      </c>
      <c r="O496" s="724" t="str">
        <f t="shared" si="48"/>
        <v/>
      </c>
      <c r="P496" s="724" t="str">
        <f t="shared" si="48"/>
        <v/>
      </c>
      <c r="Q496" s="724" t="str">
        <f t="shared" si="48"/>
        <v/>
      </c>
      <c r="R496" s="724" t="str">
        <f t="shared" si="48"/>
        <v/>
      </c>
      <c r="S496" s="724" t="str">
        <f t="shared" si="48"/>
        <v/>
      </c>
      <c r="T496" s="725" t="str">
        <f t="shared" si="48"/>
        <v/>
      </c>
    </row>
    <row r="497" spans="2:20">
      <c r="B497" s="1788"/>
      <c r="C497" s="728">
        <v>10</v>
      </c>
      <c r="D497" s="729" t="s">
        <v>4966</v>
      </c>
      <c r="E497" s="728" t="s">
        <v>4218</v>
      </c>
      <c r="F497" s="726">
        <v>215</v>
      </c>
      <c r="G497" s="726">
        <v>155</v>
      </c>
      <c r="H497" s="727">
        <f t="shared" si="49"/>
        <v>33325</v>
      </c>
      <c r="I497" s="727"/>
      <c r="J497" s="730">
        <f>65/155</f>
        <v>0.41935483870967744</v>
      </c>
      <c r="K497" s="727">
        <v>420000</v>
      </c>
      <c r="L497" s="727">
        <v>1034950</v>
      </c>
      <c r="M497" s="724">
        <f t="shared" si="48"/>
        <v>3967.4193548387098</v>
      </c>
      <c r="N497" s="724">
        <f t="shared" si="48"/>
        <v>628.87096774193549</v>
      </c>
      <c r="O497" s="724" t="str">
        <f t="shared" si="48"/>
        <v/>
      </c>
      <c r="P497" s="724" t="str">
        <f t="shared" si="48"/>
        <v/>
      </c>
      <c r="Q497" s="724" t="str">
        <f t="shared" si="48"/>
        <v/>
      </c>
      <c r="R497" s="724" t="str">
        <f t="shared" si="48"/>
        <v/>
      </c>
      <c r="S497" s="724" t="str">
        <f t="shared" si="48"/>
        <v/>
      </c>
      <c r="T497" s="725" t="str">
        <f t="shared" si="48"/>
        <v/>
      </c>
    </row>
    <row r="498" spans="2:20">
      <c r="B498" s="1788"/>
      <c r="C498" s="728">
        <v>11</v>
      </c>
      <c r="D498" s="731" t="s">
        <v>4967</v>
      </c>
      <c r="E498" s="728" t="s">
        <v>4220</v>
      </c>
      <c r="F498" s="729">
        <v>203</v>
      </c>
      <c r="G498" s="726">
        <v>173</v>
      </c>
      <c r="H498" s="727">
        <f t="shared" si="49"/>
        <v>35119</v>
      </c>
      <c r="I498" s="727">
        <v>10000</v>
      </c>
      <c r="J498" s="730">
        <f>89/173</f>
        <v>0.51445086705202314</v>
      </c>
      <c r="K498" s="727">
        <v>735000</v>
      </c>
      <c r="L498" s="727">
        <v>1359400</v>
      </c>
      <c r="M498" s="724">
        <f t="shared" ref="M498:T513" si="50">IF(($L498/M$1-$K498)/$G498&gt;0,($L498/M$1-$K498)/$G498,"")</f>
        <v>3609.2485549132948</v>
      </c>
      <c r="N498" s="724" t="str">
        <f t="shared" si="50"/>
        <v/>
      </c>
      <c r="O498" s="724" t="str">
        <f t="shared" si="50"/>
        <v/>
      </c>
      <c r="P498" s="724" t="str">
        <f t="shared" si="50"/>
        <v/>
      </c>
      <c r="Q498" s="724" t="str">
        <f t="shared" si="50"/>
        <v/>
      </c>
      <c r="R498" s="724" t="str">
        <f t="shared" si="50"/>
        <v/>
      </c>
      <c r="S498" s="724" t="str">
        <f t="shared" si="50"/>
        <v/>
      </c>
      <c r="T498" s="725" t="str">
        <f t="shared" si="50"/>
        <v/>
      </c>
    </row>
    <row r="499" spans="2:20">
      <c r="B499" s="1788"/>
      <c r="C499" s="728">
        <v>12</v>
      </c>
      <c r="D499" s="729" t="s">
        <v>3069</v>
      </c>
      <c r="E499" s="728" t="s">
        <v>4220</v>
      </c>
      <c r="F499" s="726">
        <v>207</v>
      </c>
      <c r="G499" s="726">
        <v>179</v>
      </c>
      <c r="H499" s="727">
        <f t="shared" si="49"/>
        <v>37053</v>
      </c>
      <c r="I499" s="726"/>
      <c r="J499" s="730">
        <f>74/179</f>
        <v>0.41340782122905029</v>
      </c>
      <c r="K499" s="727">
        <v>1143000</v>
      </c>
      <c r="L499" s="727">
        <v>1533900</v>
      </c>
      <c r="M499" s="724">
        <f t="shared" si="50"/>
        <v>2183.7988826815645</v>
      </c>
      <c r="N499" s="724" t="str">
        <f t="shared" si="50"/>
        <v/>
      </c>
      <c r="O499" s="724" t="str">
        <f t="shared" si="50"/>
        <v/>
      </c>
      <c r="P499" s="724" t="str">
        <f t="shared" si="50"/>
        <v/>
      </c>
      <c r="Q499" s="724" t="str">
        <f t="shared" si="50"/>
        <v/>
      </c>
      <c r="R499" s="724" t="str">
        <f t="shared" si="50"/>
        <v/>
      </c>
      <c r="S499" s="724" t="str">
        <f t="shared" si="50"/>
        <v/>
      </c>
      <c r="T499" s="725" t="str">
        <f t="shared" si="50"/>
        <v/>
      </c>
    </row>
    <row r="500" spans="2:20">
      <c r="B500" s="1788"/>
      <c r="C500" s="728">
        <v>13</v>
      </c>
      <c r="D500" s="731" t="s">
        <v>3066</v>
      </c>
      <c r="E500" s="728" t="s">
        <v>4216</v>
      </c>
      <c r="F500" s="726">
        <v>338</v>
      </c>
      <c r="G500" s="726">
        <v>179</v>
      </c>
      <c r="H500" s="727">
        <f t="shared" si="49"/>
        <v>60502</v>
      </c>
      <c r="I500" s="726"/>
      <c r="J500" s="730">
        <f>105/175</f>
        <v>0.6</v>
      </c>
      <c r="K500" s="727">
        <v>1686000</v>
      </c>
      <c r="L500" s="727">
        <v>1746140</v>
      </c>
      <c r="M500" s="724">
        <f t="shared" si="50"/>
        <v>335.97765363128491</v>
      </c>
      <c r="N500" s="724" t="str">
        <f t="shared" si="50"/>
        <v/>
      </c>
      <c r="O500" s="724" t="str">
        <f t="shared" si="50"/>
        <v/>
      </c>
      <c r="P500" s="724" t="str">
        <f t="shared" si="50"/>
        <v/>
      </c>
      <c r="Q500" s="724" t="str">
        <f t="shared" si="50"/>
        <v/>
      </c>
      <c r="R500" s="724" t="str">
        <f t="shared" si="50"/>
        <v/>
      </c>
      <c r="S500" s="724" t="str">
        <f t="shared" si="50"/>
        <v/>
      </c>
      <c r="T500" s="725" t="str">
        <f t="shared" si="50"/>
        <v/>
      </c>
    </row>
    <row r="501" spans="2:20">
      <c r="B501" s="1788"/>
      <c r="C501" s="728">
        <v>14</v>
      </c>
      <c r="D501" s="731" t="s">
        <v>1023</v>
      </c>
      <c r="E501" s="728" t="s">
        <v>4220</v>
      </c>
      <c r="F501" s="726">
        <v>286</v>
      </c>
      <c r="G501" s="726">
        <v>170</v>
      </c>
      <c r="H501" s="727">
        <f t="shared" si="49"/>
        <v>48620</v>
      </c>
      <c r="I501" s="727">
        <v>-20000</v>
      </c>
      <c r="J501" s="730">
        <f>87/170</f>
        <v>0.5117647058823529</v>
      </c>
      <c r="K501" s="727">
        <v>1600000</v>
      </c>
      <c r="L501" s="727">
        <v>2415900</v>
      </c>
      <c r="M501" s="724">
        <f t="shared" si="50"/>
        <v>4799.411764705882</v>
      </c>
      <c r="N501" s="724" t="str">
        <f t="shared" si="50"/>
        <v/>
      </c>
      <c r="O501" s="724" t="str">
        <f t="shared" si="50"/>
        <v/>
      </c>
      <c r="P501" s="724" t="str">
        <f t="shared" si="50"/>
        <v/>
      </c>
      <c r="Q501" s="724" t="str">
        <f t="shared" si="50"/>
        <v/>
      </c>
      <c r="R501" s="724" t="str">
        <f t="shared" si="50"/>
        <v/>
      </c>
      <c r="S501" s="724" t="str">
        <f t="shared" si="50"/>
        <v/>
      </c>
      <c r="T501" s="725" t="str">
        <f t="shared" si="50"/>
        <v/>
      </c>
    </row>
    <row r="502" spans="2:20">
      <c r="B502" s="1788"/>
      <c r="C502" s="728">
        <v>15</v>
      </c>
      <c r="D502" s="731" t="s">
        <v>3111</v>
      </c>
      <c r="E502" s="728" t="s">
        <v>3171</v>
      </c>
      <c r="F502" s="729">
        <v>382</v>
      </c>
      <c r="G502" s="726">
        <v>148</v>
      </c>
      <c r="H502" s="727">
        <f t="shared" si="49"/>
        <v>56536</v>
      </c>
      <c r="I502" s="726"/>
      <c r="J502" s="730">
        <f>(21+17+14+103-85+141-118)/148</f>
        <v>0.6283783783783784</v>
      </c>
      <c r="K502" s="727">
        <f>206000*3+413000*2</f>
        <v>1444000</v>
      </c>
      <c r="L502" s="727">
        <v>2740280</v>
      </c>
      <c r="M502" s="724">
        <f t="shared" si="50"/>
        <v>8758.6486486486483</v>
      </c>
      <c r="N502" s="724" t="str">
        <f t="shared" si="50"/>
        <v/>
      </c>
      <c r="O502" s="724" t="str">
        <f t="shared" si="50"/>
        <v/>
      </c>
      <c r="P502" s="724" t="str">
        <f t="shared" si="50"/>
        <v/>
      </c>
      <c r="Q502" s="724" t="str">
        <f t="shared" si="50"/>
        <v/>
      </c>
      <c r="R502" s="724" t="str">
        <f t="shared" si="50"/>
        <v/>
      </c>
      <c r="S502" s="724" t="str">
        <f t="shared" si="50"/>
        <v/>
      </c>
      <c r="T502" s="725" t="str">
        <f t="shared" si="50"/>
        <v/>
      </c>
    </row>
    <row r="503" spans="2:20">
      <c r="B503" s="1788"/>
      <c r="C503" s="728">
        <v>16</v>
      </c>
      <c r="D503" s="729" t="s">
        <v>4226</v>
      </c>
      <c r="E503" s="728" t="s">
        <v>4220</v>
      </c>
      <c r="F503" s="726">
        <v>346</v>
      </c>
      <c r="G503" s="726">
        <v>186</v>
      </c>
      <c r="H503" s="727">
        <f t="shared" si="49"/>
        <v>64356</v>
      </c>
      <c r="I503" s="917"/>
      <c r="J503" s="730">
        <v>0.478494623655914</v>
      </c>
      <c r="K503" s="727">
        <v>1516000</v>
      </c>
      <c r="L503" s="727">
        <v>3622500</v>
      </c>
      <c r="M503" s="724">
        <f t="shared" si="50"/>
        <v>11325.268817204302</v>
      </c>
      <c r="N503" s="724">
        <f t="shared" si="50"/>
        <v>1587.3655913978494</v>
      </c>
      <c r="O503" s="724" t="str">
        <f t="shared" si="50"/>
        <v/>
      </c>
      <c r="P503" s="724" t="str">
        <f t="shared" si="50"/>
        <v/>
      </c>
      <c r="Q503" s="724" t="str">
        <f t="shared" si="50"/>
        <v/>
      </c>
      <c r="R503" s="724" t="str">
        <f t="shared" si="50"/>
        <v/>
      </c>
      <c r="S503" s="724" t="str">
        <f t="shared" si="50"/>
        <v/>
      </c>
      <c r="T503" s="725" t="str">
        <f t="shared" si="50"/>
        <v/>
      </c>
    </row>
    <row r="504" spans="2:20">
      <c r="B504" s="1788"/>
      <c r="C504" s="728">
        <v>17</v>
      </c>
      <c r="D504" s="731" t="s">
        <v>4968</v>
      </c>
      <c r="E504" s="728" t="s">
        <v>4218</v>
      </c>
      <c r="F504" s="726">
        <v>393</v>
      </c>
      <c r="G504" s="726">
        <v>184</v>
      </c>
      <c r="H504" s="727">
        <f t="shared" si="49"/>
        <v>72312</v>
      </c>
      <c r="I504" s="727">
        <v>90000</v>
      </c>
      <c r="J504" s="730">
        <f>123/184</f>
        <v>0.66847826086956519</v>
      </c>
      <c r="K504" s="727">
        <v>2927000</v>
      </c>
      <c r="L504" s="727">
        <v>3958000</v>
      </c>
      <c r="M504" s="724">
        <f t="shared" si="50"/>
        <v>5603.260869565217</v>
      </c>
      <c r="N504" s="724" t="str">
        <f t="shared" si="50"/>
        <v/>
      </c>
      <c r="O504" s="724" t="str">
        <f t="shared" si="50"/>
        <v/>
      </c>
      <c r="P504" s="724" t="str">
        <f t="shared" si="50"/>
        <v/>
      </c>
      <c r="Q504" s="724" t="str">
        <f t="shared" si="50"/>
        <v/>
      </c>
      <c r="R504" s="724" t="str">
        <f t="shared" si="50"/>
        <v/>
      </c>
      <c r="S504" s="724" t="str">
        <f t="shared" si="50"/>
        <v/>
      </c>
      <c r="T504" s="725" t="str">
        <f t="shared" si="50"/>
        <v/>
      </c>
    </row>
    <row r="505" spans="2:20">
      <c r="B505" s="1788"/>
      <c r="C505" s="728">
        <v>18</v>
      </c>
      <c r="D505" s="731" t="s">
        <v>973</v>
      </c>
      <c r="E505" s="728" t="s">
        <v>4220</v>
      </c>
      <c r="F505" s="729">
        <v>456</v>
      </c>
      <c r="G505" s="726">
        <v>261</v>
      </c>
      <c r="H505" s="727">
        <f t="shared" si="49"/>
        <v>119016</v>
      </c>
      <c r="I505" s="727">
        <v>10000</v>
      </c>
      <c r="J505" s="730">
        <f>129/261</f>
        <v>0.4942528735632184</v>
      </c>
      <c r="K505" s="727">
        <v>3998000</v>
      </c>
      <c r="L505" s="727">
        <v>6264000</v>
      </c>
      <c r="M505" s="724">
        <f t="shared" si="50"/>
        <v>8681.992337164751</v>
      </c>
      <c r="N505" s="724" t="str">
        <f t="shared" si="50"/>
        <v/>
      </c>
      <c r="O505" s="724" t="str">
        <f t="shared" si="50"/>
        <v/>
      </c>
      <c r="P505" s="724" t="str">
        <f t="shared" si="50"/>
        <v/>
      </c>
      <c r="Q505" s="724" t="str">
        <f t="shared" si="50"/>
        <v/>
      </c>
      <c r="R505" s="724" t="str">
        <f t="shared" si="50"/>
        <v/>
      </c>
      <c r="S505" s="724" t="str">
        <f t="shared" si="50"/>
        <v/>
      </c>
      <c r="T505" s="725" t="str">
        <f t="shared" si="50"/>
        <v/>
      </c>
    </row>
    <row r="506" spans="2:20">
      <c r="B506" s="1788"/>
      <c r="C506" s="728">
        <v>19</v>
      </c>
      <c r="D506" s="729" t="s">
        <v>964</v>
      </c>
      <c r="E506" s="728" t="s">
        <v>4148</v>
      </c>
      <c r="F506" s="726">
        <v>414</v>
      </c>
      <c r="G506" s="726">
        <v>287</v>
      </c>
      <c r="H506" s="727">
        <f t="shared" si="49"/>
        <v>118818</v>
      </c>
      <c r="I506" s="726"/>
      <c r="J506" s="730">
        <v>0.4808362369337979</v>
      </c>
      <c r="K506" s="727">
        <v>5058000</v>
      </c>
      <c r="L506" s="727">
        <v>7576800</v>
      </c>
      <c r="M506" s="724">
        <f t="shared" si="50"/>
        <v>8776.3066202090595</v>
      </c>
      <c r="N506" s="724" t="str">
        <f t="shared" si="50"/>
        <v/>
      </c>
      <c r="O506" s="724" t="str">
        <f t="shared" si="50"/>
        <v/>
      </c>
      <c r="P506" s="724" t="str">
        <f t="shared" si="50"/>
        <v/>
      </c>
      <c r="Q506" s="724" t="str">
        <f t="shared" si="50"/>
        <v/>
      </c>
      <c r="R506" s="724" t="str">
        <f t="shared" si="50"/>
        <v/>
      </c>
      <c r="S506" s="724" t="str">
        <f t="shared" si="50"/>
        <v/>
      </c>
      <c r="T506" s="725" t="str">
        <f t="shared" si="50"/>
        <v/>
      </c>
    </row>
    <row r="507" spans="2:20" ht="23.25" thickBot="1">
      <c r="B507" s="1789"/>
      <c r="C507" s="748">
        <v>20</v>
      </c>
      <c r="D507" s="749" t="s">
        <v>997</v>
      </c>
      <c r="E507" s="748" t="s">
        <v>3171</v>
      </c>
      <c r="F507" s="750">
        <v>403</v>
      </c>
      <c r="G507" s="750">
        <v>295</v>
      </c>
      <c r="H507" s="751">
        <f t="shared" si="49"/>
        <v>118885</v>
      </c>
      <c r="I507" s="751" t="s">
        <v>4613</v>
      </c>
      <c r="J507" s="752">
        <v>0.55254237288135588</v>
      </c>
      <c r="K507" s="751">
        <v>8055000</v>
      </c>
      <c r="L507" s="751">
        <v>7788000</v>
      </c>
      <c r="M507" s="741" t="str">
        <f t="shared" si="50"/>
        <v/>
      </c>
      <c r="N507" s="741" t="str">
        <f t="shared" si="50"/>
        <v/>
      </c>
      <c r="O507" s="741" t="str">
        <f t="shared" si="50"/>
        <v/>
      </c>
      <c r="P507" s="741" t="str">
        <f t="shared" si="50"/>
        <v/>
      </c>
      <c r="Q507" s="741" t="str">
        <f t="shared" si="50"/>
        <v/>
      </c>
      <c r="R507" s="741" t="str">
        <f t="shared" si="50"/>
        <v/>
      </c>
      <c r="S507" s="741" t="str">
        <f t="shared" si="50"/>
        <v/>
      </c>
      <c r="T507" s="742" t="str">
        <f t="shared" si="50"/>
        <v/>
      </c>
    </row>
    <row r="508" spans="2:20">
      <c r="B508" s="1787">
        <v>19</v>
      </c>
      <c r="C508" s="745">
        <v>1</v>
      </c>
      <c r="D508" s="731" t="s">
        <v>4981</v>
      </c>
      <c r="E508" s="728" t="s">
        <v>3171</v>
      </c>
      <c r="F508" s="726">
        <v>95</v>
      </c>
      <c r="G508" s="726">
        <v>76</v>
      </c>
      <c r="H508" s="727">
        <f t="shared" si="49"/>
        <v>7220</v>
      </c>
      <c r="I508" s="727"/>
      <c r="J508" s="730">
        <f>56/76</f>
        <v>0.73684210526315785</v>
      </c>
      <c r="K508" s="727">
        <v>102000</v>
      </c>
      <c r="L508" s="727">
        <v>60800</v>
      </c>
      <c r="M508" s="739" t="str">
        <f t="shared" si="50"/>
        <v/>
      </c>
      <c r="N508" s="739" t="str">
        <f t="shared" si="50"/>
        <v/>
      </c>
      <c r="O508" s="739" t="str">
        <f t="shared" si="50"/>
        <v/>
      </c>
      <c r="P508" s="739" t="str">
        <f t="shared" si="50"/>
        <v/>
      </c>
      <c r="Q508" s="739" t="str">
        <f t="shared" si="50"/>
        <v/>
      </c>
      <c r="R508" s="739" t="str">
        <f t="shared" si="50"/>
        <v/>
      </c>
      <c r="S508" s="739" t="str">
        <f t="shared" si="50"/>
        <v/>
      </c>
      <c r="T508" s="740" t="str">
        <f t="shared" si="50"/>
        <v/>
      </c>
    </row>
    <row r="509" spans="2:20">
      <c r="B509" s="1788"/>
      <c r="C509" s="728">
        <v>2</v>
      </c>
      <c r="D509" s="731" t="s">
        <v>4969</v>
      </c>
      <c r="E509" s="728" t="s">
        <v>4217</v>
      </c>
      <c r="F509" s="726">
        <v>106</v>
      </c>
      <c r="G509" s="726">
        <v>68</v>
      </c>
      <c r="H509" s="727">
        <f t="shared" si="49"/>
        <v>7208</v>
      </c>
      <c r="I509" s="727"/>
      <c r="J509" s="730">
        <f>38/68</f>
        <v>0.55882352941176472</v>
      </c>
      <c r="K509" s="727">
        <v>136000</v>
      </c>
      <c r="L509" s="727">
        <v>65400</v>
      </c>
      <c r="M509" s="724" t="str">
        <f t="shared" si="50"/>
        <v/>
      </c>
      <c r="N509" s="724" t="str">
        <f t="shared" si="50"/>
        <v/>
      </c>
      <c r="O509" s="724" t="str">
        <f t="shared" si="50"/>
        <v/>
      </c>
      <c r="P509" s="724" t="str">
        <f t="shared" si="50"/>
        <v/>
      </c>
      <c r="Q509" s="724" t="str">
        <f t="shared" si="50"/>
        <v/>
      </c>
      <c r="R509" s="724" t="str">
        <f t="shared" si="50"/>
        <v/>
      </c>
      <c r="S509" s="724" t="str">
        <f t="shared" si="50"/>
        <v/>
      </c>
      <c r="T509" s="725" t="str">
        <f t="shared" si="50"/>
        <v/>
      </c>
    </row>
    <row r="510" spans="2:20">
      <c r="B510" s="1788"/>
      <c r="C510" s="728">
        <v>3</v>
      </c>
      <c r="D510" s="731" t="s">
        <v>4970</v>
      </c>
      <c r="E510" s="728" t="s">
        <v>4218</v>
      </c>
      <c r="F510" s="726">
        <v>129</v>
      </c>
      <c r="G510" s="726">
        <v>70</v>
      </c>
      <c r="H510" s="727">
        <f t="shared" si="49"/>
        <v>9030</v>
      </c>
      <c r="I510" s="727"/>
      <c r="J510" s="730">
        <f>29/70</f>
        <v>0.41428571428571431</v>
      </c>
      <c r="K510" s="727">
        <v>102000</v>
      </c>
      <c r="L510" s="727">
        <v>70000</v>
      </c>
      <c r="M510" s="724" t="str">
        <f t="shared" si="50"/>
        <v/>
      </c>
      <c r="N510" s="724" t="str">
        <f t="shared" si="50"/>
        <v/>
      </c>
      <c r="O510" s="724" t="str">
        <f t="shared" si="50"/>
        <v/>
      </c>
      <c r="P510" s="724" t="str">
        <f t="shared" si="50"/>
        <v/>
      </c>
      <c r="Q510" s="724" t="str">
        <f t="shared" si="50"/>
        <v/>
      </c>
      <c r="R510" s="724" t="str">
        <f t="shared" si="50"/>
        <v/>
      </c>
      <c r="S510" s="724" t="str">
        <f t="shared" si="50"/>
        <v/>
      </c>
      <c r="T510" s="725" t="str">
        <f t="shared" si="50"/>
        <v/>
      </c>
    </row>
    <row r="511" spans="2:20">
      <c r="B511" s="1788"/>
      <c r="C511" s="728">
        <v>4</v>
      </c>
      <c r="D511" s="731" t="s">
        <v>4971</v>
      </c>
      <c r="E511" s="728" t="s">
        <v>4216</v>
      </c>
      <c r="F511" s="726">
        <v>116</v>
      </c>
      <c r="G511" s="726">
        <v>78</v>
      </c>
      <c r="H511" s="727">
        <f t="shared" si="49"/>
        <v>9048</v>
      </c>
      <c r="I511" s="727"/>
      <c r="J511" s="730">
        <f>44/78</f>
        <v>0.5641025641025641</v>
      </c>
      <c r="K511" s="727">
        <v>148000</v>
      </c>
      <c r="L511" s="727">
        <v>78000</v>
      </c>
      <c r="M511" s="724" t="str">
        <f t="shared" si="50"/>
        <v/>
      </c>
      <c r="N511" s="724" t="str">
        <f t="shared" si="50"/>
        <v/>
      </c>
      <c r="O511" s="724" t="str">
        <f t="shared" si="50"/>
        <v/>
      </c>
      <c r="P511" s="724" t="str">
        <f t="shared" si="50"/>
        <v/>
      </c>
      <c r="Q511" s="724" t="str">
        <f t="shared" si="50"/>
        <v/>
      </c>
      <c r="R511" s="724" t="str">
        <f t="shared" si="50"/>
        <v/>
      </c>
      <c r="S511" s="724" t="str">
        <f t="shared" si="50"/>
        <v/>
      </c>
      <c r="T511" s="725" t="str">
        <f t="shared" si="50"/>
        <v/>
      </c>
    </row>
    <row r="512" spans="2:20">
      <c r="B512" s="1788"/>
      <c r="C512" s="728">
        <v>5</v>
      </c>
      <c r="D512" s="731" t="s">
        <v>4972</v>
      </c>
      <c r="E512" s="728" t="s">
        <v>4148</v>
      </c>
      <c r="F512" s="726">
        <v>164</v>
      </c>
      <c r="G512" s="726">
        <v>66</v>
      </c>
      <c r="H512" s="727">
        <f t="shared" si="49"/>
        <v>10824</v>
      </c>
      <c r="I512" s="726"/>
      <c r="J512" s="730">
        <f>38/66</f>
        <v>0.5757575757575758</v>
      </c>
      <c r="K512" s="727">
        <v>136000</v>
      </c>
      <c r="L512" s="727">
        <v>79200</v>
      </c>
      <c r="M512" s="724" t="str">
        <f t="shared" si="50"/>
        <v/>
      </c>
      <c r="N512" s="724" t="str">
        <f t="shared" si="50"/>
        <v/>
      </c>
      <c r="O512" s="724" t="str">
        <f t="shared" si="50"/>
        <v/>
      </c>
      <c r="P512" s="724" t="str">
        <f t="shared" si="50"/>
        <v/>
      </c>
      <c r="Q512" s="724" t="str">
        <f t="shared" si="50"/>
        <v/>
      </c>
      <c r="R512" s="724" t="str">
        <f t="shared" si="50"/>
        <v/>
      </c>
      <c r="S512" s="724" t="str">
        <f t="shared" si="50"/>
        <v/>
      </c>
      <c r="T512" s="725" t="str">
        <f t="shared" si="50"/>
        <v/>
      </c>
    </row>
    <row r="513" spans="2:20">
      <c r="B513" s="1788"/>
      <c r="C513" s="728">
        <v>6</v>
      </c>
      <c r="D513" s="729" t="s">
        <v>4973</v>
      </c>
      <c r="E513" s="728" t="s">
        <v>3171</v>
      </c>
      <c r="F513" s="726">
        <v>148</v>
      </c>
      <c r="G513" s="726">
        <v>73</v>
      </c>
      <c r="H513" s="727">
        <f t="shared" si="49"/>
        <v>10804</v>
      </c>
      <c r="I513" s="727"/>
      <c r="J513" s="730">
        <f>47/73</f>
        <v>0.64383561643835618</v>
      </c>
      <c r="K513" s="727">
        <v>170000</v>
      </c>
      <c r="L513" s="727">
        <v>87600</v>
      </c>
      <c r="M513" s="724" t="str">
        <f t="shared" si="50"/>
        <v/>
      </c>
      <c r="N513" s="724" t="str">
        <f t="shared" si="50"/>
        <v/>
      </c>
      <c r="O513" s="724" t="str">
        <f t="shared" si="50"/>
        <v/>
      </c>
      <c r="P513" s="724" t="str">
        <f t="shared" si="50"/>
        <v/>
      </c>
      <c r="Q513" s="724" t="str">
        <f t="shared" si="50"/>
        <v/>
      </c>
      <c r="R513" s="724" t="str">
        <f t="shared" si="50"/>
        <v/>
      </c>
      <c r="S513" s="724" t="str">
        <f t="shared" si="50"/>
        <v/>
      </c>
      <c r="T513" s="725" t="str">
        <f t="shared" si="50"/>
        <v/>
      </c>
    </row>
    <row r="514" spans="2:20">
      <c r="B514" s="1788"/>
      <c r="C514" s="728">
        <v>7</v>
      </c>
      <c r="D514" s="729" t="s">
        <v>4974</v>
      </c>
      <c r="E514" s="728" t="s">
        <v>4218</v>
      </c>
      <c r="F514" s="726">
        <v>110</v>
      </c>
      <c r="G514" s="726">
        <v>115</v>
      </c>
      <c r="H514" s="727">
        <f t="shared" si="49"/>
        <v>12650</v>
      </c>
      <c r="I514" s="726"/>
      <c r="J514" s="730">
        <f>72/115</f>
        <v>0.62608695652173918</v>
      </c>
      <c r="K514" s="727">
        <v>350000</v>
      </c>
      <c r="L514" s="727">
        <v>161000</v>
      </c>
      <c r="M514" s="724" t="str">
        <f t="shared" ref="M514:T529" si="51">IF(($L514/M$1-$K514)/$G514&gt;0,($L514/M$1-$K514)/$G514,"")</f>
        <v/>
      </c>
      <c r="N514" s="724" t="str">
        <f t="shared" si="51"/>
        <v/>
      </c>
      <c r="O514" s="724" t="str">
        <f t="shared" si="51"/>
        <v/>
      </c>
      <c r="P514" s="724" t="str">
        <f t="shared" si="51"/>
        <v/>
      </c>
      <c r="Q514" s="724" t="str">
        <f t="shared" si="51"/>
        <v/>
      </c>
      <c r="R514" s="724" t="str">
        <f t="shared" si="51"/>
        <v/>
      </c>
      <c r="S514" s="724" t="str">
        <f t="shared" si="51"/>
        <v/>
      </c>
      <c r="T514" s="725" t="str">
        <f t="shared" si="51"/>
        <v/>
      </c>
    </row>
    <row r="515" spans="2:20">
      <c r="B515" s="1788"/>
      <c r="C515" s="728">
        <v>8</v>
      </c>
      <c r="D515" s="731" t="s">
        <v>4975</v>
      </c>
      <c r="E515" s="728" t="s">
        <v>4216</v>
      </c>
      <c r="F515" s="726">
        <v>102</v>
      </c>
      <c r="G515" s="726">
        <v>124</v>
      </c>
      <c r="H515" s="727">
        <f t="shared" si="49"/>
        <v>12648</v>
      </c>
      <c r="I515" s="732"/>
      <c r="J515" s="730">
        <f>81/124</f>
        <v>0.65322580645161288</v>
      </c>
      <c r="K515" s="727">
        <v>280000</v>
      </c>
      <c r="L515" s="727">
        <v>173600</v>
      </c>
      <c r="M515" s="724" t="str">
        <f t="shared" si="51"/>
        <v/>
      </c>
      <c r="N515" s="724" t="str">
        <f t="shared" si="51"/>
        <v/>
      </c>
      <c r="O515" s="724" t="str">
        <f t="shared" si="51"/>
        <v/>
      </c>
      <c r="P515" s="724" t="str">
        <f t="shared" si="51"/>
        <v/>
      </c>
      <c r="Q515" s="724" t="str">
        <f t="shared" si="51"/>
        <v/>
      </c>
      <c r="R515" s="724" t="str">
        <f t="shared" si="51"/>
        <v/>
      </c>
      <c r="S515" s="724" t="str">
        <f t="shared" si="51"/>
        <v/>
      </c>
      <c r="T515" s="725" t="str">
        <f t="shared" si="51"/>
        <v/>
      </c>
    </row>
    <row r="516" spans="2:20">
      <c r="B516" s="1788"/>
      <c r="C516" s="728">
        <v>9</v>
      </c>
      <c r="D516" s="731" t="s">
        <v>4976</v>
      </c>
      <c r="E516" s="728" t="s">
        <v>4220</v>
      </c>
      <c r="F516" s="726">
        <v>125</v>
      </c>
      <c r="G516" s="726">
        <v>116</v>
      </c>
      <c r="H516" s="727">
        <f t="shared" si="49"/>
        <v>14500</v>
      </c>
      <c r="I516" s="732"/>
      <c r="J516" s="730">
        <f>67/116</f>
        <v>0.57758620689655171</v>
      </c>
      <c r="K516" s="727">
        <v>420000</v>
      </c>
      <c r="L516" s="727">
        <v>185600</v>
      </c>
      <c r="M516" s="724" t="str">
        <f t="shared" si="51"/>
        <v/>
      </c>
      <c r="N516" s="724" t="str">
        <f t="shared" si="51"/>
        <v/>
      </c>
      <c r="O516" s="724" t="str">
        <f t="shared" si="51"/>
        <v/>
      </c>
      <c r="P516" s="724" t="str">
        <f t="shared" si="51"/>
        <v/>
      </c>
      <c r="Q516" s="724" t="str">
        <f t="shared" si="51"/>
        <v/>
      </c>
      <c r="R516" s="724" t="str">
        <f t="shared" si="51"/>
        <v/>
      </c>
      <c r="S516" s="724" t="str">
        <f t="shared" si="51"/>
        <v/>
      </c>
      <c r="T516" s="725" t="str">
        <f t="shared" si="51"/>
        <v/>
      </c>
    </row>
    <row r="517" spans="2:20">
      <c r="B517" s="1788"/>
      <c r="C517" s="728">
        <v>10</v>
      </c>
      <c r="D517" s="729" t="s">
        <v>4219</v>
      </c>
      <c r="E517" s="728" t="s">
        <v>3171</v>
      </c>
      <c r="F517" s="726">
        <v>124</v>
      </c>
      <c r="G517" s="726">
        <v>117</v>
      </c>
      <c r="H517" s="727">
        <f t="shared" si="49"/>
        <v>14508</v>
      </c>
      <c r="I517" s="727" t="s">
        <v>4982</v>
      </c>
      <c r="J517" s="730">
        <f>70/117</f>
        <v>0.59829059829059827</v>
      </c>
      <c r="K517" s="727">
        <v>350000</v>
      </c>
      <c r="L517" s="727">
        <v>187200</v>
      </c>
      <c r="M517" s="724" t="str">
        <f t="shared" si="51"/>
        <v/>
      </c>
      <c r="N517" s="724" t="str">
        <f t="shared" si="51"/>
        <v/>
      </c>
      <c r="O517" s="724" t="str">
        <f t="shared" si="51"/>
        <v/>
      </c>
      <c r="P517" s="724" t="str">
        <f t="shared" si="51"/>
        <v/>
      </c>
      <c r="Q517" s="724" t="str">
        <f t="shared" si="51"/>
        <v/>
      </c>
      <c r="R517" s="724" t="str">
        <f t="shared" si="51"/>
        <v/>
      </c>
      <c r="S517" s="724" t="str">
        <f t="shared" si="51"/>
        <v/>
      </c>
      <c r="T517" s="725" t="str">
        <f t="shared" si="51"/>
        <v/>
      </c>
    </row>
    <row r="518" spans="2:20">
      <c r="B518" s="1788"/>
      <c r="C518" s="728">
        <v>11</v>
      </c>
      <c r="D518" s="731" t="s">
        <v>4977</v>
      </c>
      <c r="E518" s="728" t="s">
        <v>3171</v>
      </c>
      <c r="F518" s="729">
        <v>140</v>
      </c>
      <c r="G518" s="726">
        <v>116</v>
      </c>
      <c r="H518" s="727">
        <f t="shared" si="49"/>
        <v>16240</v>
      </c>
      <c r="I518" s="727">
        <v>10000</v>
      </c>
      <c r="J518" s="730">
        <f>52/116</f>
        <v>0.44827586206896552</v>
      </c>
      <c r="K518" s="727">
        <v>280000</v>
      </c>
      <c r="L518" s="727">
        <v>208800</v>
      </c>
      <c r="M518" s="724" t="str">
        <f t="shared" si="51"/>
        <v/>
      </c>
      <c r="N518" s="724" t="str">
        <f t="shared" si="51"/>
        <v/>
      </c>
      <c r="O518" s="724" t="str">
        <f t="shared" si="51"/>
        <v/>
      </c>
      <c r="P518" s="724" t="str">
        <f t="shared" si="51"/>
        <v/>
      </c>
      <c r="Q518" s="724" t="str">
        <f t="shared" si="51"/>
        <v/>
      </c>
      <c r="R518" s="724" t="str">
        <f t="shared" si="51"/>
        <v/>
      </c>
      <c r="S518" s="724" t="str">
        <f t="shared" si="51"/>
        <v/>
      </c>
      <c r="T518" s="725" t="str">
        <f t="shared" si="51"/>
        <v/>
      </c>
    </row>
    <row r="519" spans="2:20">
      <c r="B519" s="1788"/>
      <c r="C519" s="728">
        <v>12</v>
      </c>
      <c r="D519" s="729" t="s">
        <v>4978</v>
      </c>
      <c r="E519" s="728" t="s">
        <v>4218</v>
      </c>
      <c r="F519" s="726">
        <v>138</v>
      </c>
      <c r="G519" s="726">
        <v>118</v>
      </c>
      <c r="H519" s="727">
        <f t="shared" si="49"/>
        <v>16284</v>
      </c>
      <c r="I519" s="726"/>
      <c r="J519" s="730">
        <f>77/118</f>
        <v>0.65254237288135597</v>
      </c>
      <c r="K519" s="727">
        <v>280000</v>
      </c>
      <c r="L519" s="727">
        <v>212400</v>
      </c>
      <c r="M519" s="724" t="str">
        <f t="shared" si="51"/>
        <v/>
      </c>
      <c r="N519" s="724" t="str">
        <f t="shared" si="51"/>
        <v/>
      </c>
      <c r="O519" s="724" t="str">
        <f t="shared" si="51"/>
        <v/>
      </c>
      <c r="P519" s="724" t="str">
        <f t="shared" si="51"/>
        <v/>
      </c>
      <c r="Q519" s="724" t="str">
        <f t="shared" si="51"/>
        <v/>
      </c>
      <c r="R519" s="724" t="str">
        <f t="shared" si="51"/>
        <v/>
      </c>
      <c r="S519" s="724" t="str">
        <f t="shared" si="51"/>
        <v/>
      </c>
      <c r="T519" s="725" t="str">
        <f t="shared" si="51"/>
        <v/>
      </c>
    </row>
    <row r="520" spans="2:20">
      <c r="B520" s="1788"/>
      <c r="C520" s="728">
        <v>13</v>
      </c>
      <c r="D520" s="731" t="s">
        <v>1009</v>
      </c>
      <c r="E520" s="728" t="s">
        <v>3171</v>
      </c>
      <c r="F520" s="726">
        <v>123</v>
      </c>
      <c r="G520" s="726">
        <v>184</v>
      </c>
      <c r="H520" s="727">
        <f t="shared" si="49"/>
        <v>22632</v>
      </c>
      <c r="I520" s="726" t="s">
        <v>4983</v>
      </c>
      <c r="J520" s="730">
        <f>71/184</f>
        <v>0.3858695652173913</v>
      </c>
      <c r="K520" s="727">
        <v>1605000</v>
      </c>
      <c r="L520" s="727">
        <v>460000</v>
      </c>
      <c r="M520" s="724" t="str">
        <f t="shared" si="51"/>
        <v/>
      </c>
      <c r="N520" s="724" t="str">
        <f t="shared" si="51"/>
        <v/>
      </c>
      <c r="O520" s="724" t="str">
        <f t="shared" si="51"/>
        <v/>
      </c>
      <c r="P520" s="724" t="str">
        <f t="shared" si="51"/>
        <v/>
      </c>
      <c r="Q520" s="724" t="str">
        <f t="shared" si="51"/>
        <v/>
      </c>
      <c r="R520" s="724" t="str">
        <f t="shared" si="51"/>
        <v/>
      </c>
      <c r="S520" s="724" t="str">
        <f t="shared" si="51"/>
        <v/>
      </c>
      <c r="T520" s="725" t="str">
        <f t="shared" si="51"/>
        <v/>
      </c>
    </row>
    <row r="521" spans="2:20">
      <c r="B521" s="1788"/>
      <c r="C521" s="728">
        <v>14</v>
      </c>
      <c r="D521" s="731" t="s">
        <v>1007</v>
      </c>
      <c r="E521" s="728" t="s">
        <v>4218</v>
      </c>
      <c r="F521" s="726">
        <v>137</v>
      </c>
      <c r="G521" s="726">
        <v>165</v>
      </c>
      <c r="H521" s="727">
        <f t="shared" si="49"/>
        <v>22605</v>
      </c>
      <c r="I521" s="727"/>
      <c r="J521" s="730">
        <f>107/165</f>
        <v>0.64848484848484844</v>
      </c>
      <c r="K521" s="727">
        <v>1841000</v>
      </c>
      <c r="L521" s="727">
        <v>472500</v>
      </c>
      <c r="M521" s="724" t="str">
        <f t="shared" si="51"/>
        <v/>
      </c>
      <c r="N521" s="724" t="str">
        <f t="shared" si="51"/>
        <v/>
      </c>
      <c r="O521" s="724" t="str">
        <f t="shared" si="51"/>
        <v/>
      </c>
      <c r="P521" s="724" t="str">
        <f t="shared" si="51"/>
        <v/>
      </c>
      <c r="Q521" s="724" t="str">
        <f t="shared" si="51"/>
        <v/>
      </c>
      <c r="R521" s="724" t="str">
        <f t="shared" si="51"/>
        <v/>
      </c>
      <c r="S521" s="724" t="str">
        <f t="shared" si="51"/>
        <v/>
      </c>
      <c r="T521" s="725" t="str">
        <f t="shared" si="51"/>
        <v/>
      </c>
    </row>
    <row r="522" spans="2:20">
      <c r="B522" s="1788"/>
      <c r="C522" s="728">
        <v>15</v>
      </c>
      <c r="D522" s="731" t="s">
        <v>1011</v>
      </c>
      <c r="E522" s="728" t="s">
        <v>4217</v>
      </c>
      <c r="F522" s="729">
        <v>162</v>
      </c>
      <c r="G522" s="726">
        <v>162</v>
      </c>
      <c r="H522" s="727">
        <f t="shared" si="49"/>
        <v>26244</v>
      </c>
      <c r="I522" s="726" t="s">
        <v>4984</v>
      </c>
      <c r="J522" s="730">
        <f>75/162</f>
        <v>0.46296296296296297</v>
      </c>
      <c r="K522" s="727">
        <v>1608000</v>
      </c>
      <c r="L522" s="727">
        <v>479800</v>
      </c>
      <c r="M522" s="724" t="str">
        <f t="shared" si="51"/>
        <v/>
      </c>
      <c r="N522" s="724" t="str">
        <f t="shared" si="51"/>
        <v/>
      </c>
      <c r="O522" s="724" t="str">
        <f t="shared" si="51"/>
        <v/>
      </c>
      <c r="P522" s="724" t="str">
        <f t="shared" si="51"/>
        <v/>
      </c>
      <c r="Q522" s="724" t="str">
        <f t="shared" si="51"/>
        <v/>
      </c>
      <c r="R522" s="724" t="str">
        <f t="shared" si="51"/>
        <v/>
      </c>
      <c r="S522" s="724" t="str">
        <f t="shared" si="51"/>
        <v/>
      </c>
      <c r="T522" s="725" t="str">
        <f t="shared" si="51"/>
        <v/>
      </c>
    </row>
    <row r="523" spans="2:20">
      <c r="B523" s="1788"/>
      <c r="C523" s="728">
        <v>16</v>
      </c>
      <c r="D523" s="729" t="s">
        <v>4222</v>
      </c>
      <c r="E523" s="728" t="s">
        <v>4217</v>
      </c>
      <c r="F523" s="726">
        <v>150</v>
      </c>
      <c r="G523" s="726">
        <v>175</v>
      </c>
      <c r="H523" s="727">
        <f t="shared" si="49"/>
        <v>26250</v>
      </c>
      <c r="I523" s="726"/>
      <c r="J523" s="730">
        <v>0.46285714285714286</v>
      </c>
      <c r="K523" s="727">
        <v>1855000</v>
      </c>
      <c r="L523" s="727">
        <v>507500</v>
      </c>
      <c r="M523" s="724" t="str">
        <f t="shared" si="51"/>
        <v/>
      </c>
      <c r="N523" s="724" t="str">
        <f t="shared" si="51"/>
        <v/>
      </c>
      <c r="O523" s="724" t="str">
        <f t="shared" si="51"/>
        <v/>
      </c>
      <c r="P523" s="724" t="str">
        <f t="shared" si="51"/>
        <v/>
      </c>
      <c r="Q523" s="724" t="str">
        <f t="shared" si="51"/>
        <v/>
      </c>
      <c r="R523" s="724" t="str">
        <f t="shared" si="51"/>
        <v/>
      </c>
      <c r="S523" s="724" t="str">
        <f t="shared" si="51"/>
        <v/>
      </c>
      <c r="T523" s="725" t="str">
        <f t="shared" si="51"/>
        <v/>
      </c>
    </row>
    <row r="524" spans="2:20">
      <c r="B524" s="1788"/>
      <c r="C524" s="728">
        <v>17</v>
      </c>
      <c r="D524" s="731" t="s">
        <v>4227</v>
      </c>
      <c r="E524" s="728" t="s">
        <v>4217</v>
      </c>
      <c r="F524" s="726">
        <v>169</v>
      </c>
      <c r="G524" s="726">
        <v>187</v>
      </c>
      <c r="H524" s="727">
        <f t="shared" si="49"/>
        <v>31603</v>
      </c>
      <c r="I524" s="726"/>
      <c r="J524" s="730">
        <v>0.53475935828877008</v>
      </c>
      <c r="K524" s="727">
        <v>569000</v>
      </c>
      <c r="L524" s="727">
        <v>654500</v>
      </c>
      <c r="M524" s="724">
        <f t="shared" si="51"/>
        <v>457.21925133689842</v>
      </c>
      <c r="N524" s="724" t="str">
        <f t="shared" si="51"/>
        <v/>
      </c>
      <c r="O524" s="724" t="str">
        <f t="shared" si="51"/>
        <v/>
      </c>
      <c r="P524" s="724" t="str">
        <f t="shared" si="51"/>
        <v/>
      </c>
      <c r="Q524" s="724" t="str">
        <f t="shared" si="51"/>
        <v/>
      </c>
      <c r="R524" s="724" t="str">
        <f t="shared" si="51"/>
        <v/>
      </c>
      <c r="S524" s="724" t="str">
        <f t="shared" si="51"/>
        <v/>
      </c>
      <c r="T524" s="725" t="str">
        <f t="shared" si="51"/>
        <v/>
      </c>
    </row>
    <row r="525" spans="2:20">
      <c r="B525" s="1788"/>
      <c r="C525" s="728">
        <v>18</v>
      </c>
      <c r="D525" s="731" t="s">
        <v>4979</v>
      </c>
      <c r="E525" s="728" t="s">
        <v>3171</v>
      </c>
      <c r="F525" s="726">
        <v>180</v>
      </c>
      <c r="G525" s="726">
        <v>186</v>
      </c>
      <c r="H525" s="727">
        <f t="shared" ref="H525:H528" si="52">F525*G525</f>
        <v>33480</v>
      </c>
      <c r="I525" s="727"/>
      <c r="J525" s="730">
        <f>76/186</f>
        <v>0.40860215053763443</v>
      </c>
      <c r="K525" s="727">
        <v>1992000</v>
      </c>
      <c r="L525" s="727">
        <v>688200</v>
      </c>
      <c r="M525" s="724" t="str">
        <f t="shared" si="51"/>
        <v/>
      </c>
      <c r="N525" s="724" t="str">
        <f t="shared" si="51"/>
        <v/>
      </c>
      <c r="O525" s="724" t="str">
        <f t="shared" si="51"/>
        <v/>
      </c>
      <c r="P525" s="724" t="str">
        <f t="shared" si="51"/>
        <v/>
      </c>
      <c r="Q525" s="724" t="str">
        <f t="shared" si="51"/>
        <v/>
      </c>
      <c r="R525" s="724" t="str">
        <f t="shared" si="51"/>
        <v/>
      </c>
      <c r="S525" s="724" t="str">
        <f t="shared" si="51"/>
        <v/>
      </c>
      <c r="T525" s="725" t="str">
        <f t="shared" si="51"/>
        <v/>
      </c>
    </row>
    <row r="526" spans="2:20">
      <c r="B526" s="1788"/>
      <c r="C526" s="728">
        <v>19</v>
      </c>
      <c r="D526" s="731" t="s">
        <v>3107</v>
      </c>
      <c r="E526" s="728" t="s">
        <v>4220</v>
      </c>
      <c r="F526" s="729">
        <v>197</v>
      </c>
      <c r="G526" s="726">
        <v>179</v>
      </c>
      <c r="H526" s="727">
        <f t="shared" si="52"/>
        <v>35263</v>
      </c>
      <c r="I526" s="726"/>
      <c r="J526" s="730">
        <f>108/179</f>
        <v>0.6033519553072626</v>
      </c>
      <c r="K526" s="727">
        <v>1967000</v>
      </c>
      <c r="L526" s="727">
        <v>698100</v>
      </c>
      <c r="M526" s="724" t="str">
        <f t="shared" si="51"/>
        <v/>
      </c>
      <c r="N526" s="724" t="str">
        <f t="shared" si="51"/>
        <v/>
      </c>
      <c r="O526" s="724" t="str">
        <f t="shared" si="51"/>
        <v/>
      </c>
      <c r="P526" s="724" t="str">
        <f t="shared" si="51"/>
        <v/>
      </c>
      <c r="Q526" s="724" t="str">
        <f t="shared" si="51"/>
        <v/>
      </c>
      <c r="R526" s="724" t="str">
        <f t="shared" si="51"/>
        <v/>
      </c>
      <c r="S526" s="724" t="str">
        <f t="shared" si="51"/>
        <v/>
      </c>
      <c r="T526" s="725" t="str">
        <f t="shared" si="51"/>
        <v/>
      </c>
    </row>
    <row r="527" spans="2:20">
      <c r="B527" s="1788"/>
      <c r="C527" s="728">
        <v>20</v>
      </c>
      <c r="D527" s="729" t="s">
        <v>999</v>
      </c>
      <c r="E527" s="728" t="s">
        <v>4217</v>
      </c>
      <c r="F527" s="726">
        <v>310</v>
      </c>
      <c r="G527" s="726">
        <v>131</v>
      </c>
      <c r="H527" s="727">
        <f t="shared" si="52"/>
        <v>40610</v>
      </c>
      <c r="I527" s="917">
        <v>9000</v>
      </c>
      <c r="J527" s="730">
        <f>61/131</f>
        <v>0.46564885496183206</v>
      </c>
      <c r="K527" s="727">
        <v>548000</v>
      </c>
      <c r="L527" s="727">
        <v>709500</v>
      </c>
      <c r="M527" s="724">
        <f t="shared" si="51"/>
        <v>1232.824427480916</v>
      </c>
      <c r="N527" s="724" t="str">
        <f t="shared" si="51"/>
        <v/>
      </c>
      <c r="O527" s="724" t="str">
        <f t="shared" si="51"/>
        <v/>
      </c>
      <c r="P527" s="724" t="str">
        <f t="shared" si="51"/>
        <v/>
      </c>
      <c r="Q527" s="724" t="str">
        <f t="shared" si="51"/>
        <v/>
      </c>
      <c r="R527" s="724" t="str">
        <f t="shared" si="51"/>
        <v/>
      </c>
      <c r="S527" s="724" t="str">
        <f t="shared" si="51"/>
        <v/>
      </c>
      <c r="T527" s="725" t="str">
        <f t="shared" si="51"/>
        <v/>
      </c>
    </row>
    <row r="528" spans="2:20">
      <c r="B528" s="1788"/>
      <c r="C528" s="728">
        <v>21</v>
      </c>
      <c r="D528" s="731" t="s">
        <v>983</v>
      </c>
      <c r="E528" s="728" t="s">
        <v>3171</v>
      </c>
      <c r="F528" s="726">
        <v>233</v>
      </c>
      <c r="G528" s="726">
        <v>169</v>
      </c>
      <c r="H528" s="727">
        <f t="shared" si="52"/>
        <v>39377</v>
      </c>
      <c r="I528" s="916"/>
      <c r="J528" s="730">
        <v>0.26035502958579881</v>
      </c>
      <c r="K528" s="727">
        <v>440000</v>
      </c>
      <c r="L528" s="727">
        <v>793000</v>
      </c>
      <c r="M528" s="724">
        <f t="shared" si="51"/>
        <v>2088.7573964497042</v>
      </c>
      <c r="N528" s="724" t="str">
        <f t="shared" si="51"/>
        <v/>
      </c>
      <c r="O528" s="724" t="str">
        <f t="shared" si="51"/>
        <v/>
      </c>
      <c r="P528" s="724" t="str">
        <f t="shared" si="51"/>
        <v/>
      </c>
      <c r="Q528" s="724" t="str">
        <f t="shared" si="51"/>
        <v/>
      </c>
      <c r="R528" s="724" t="str">
        <f t="shared" si="51"/>
        <v/>
      </c>
      <c r="S528" s="724" t="str">
        <f t="shared" si="51"/>
        <v/>
      </c>
      <c r="T528" s="725" t="str">
        <f t="shared" si="51"/>
        <v/>
      </c>
    </row>
    <row r="529" spans="2:20">
      <c r="B529" s="1788"/>
      <c r="C529" s="728">
        <v>22</v>
      </c>
      <c r="D529" s="731" t="s">
        <v>964</v>
      </c>
      <c r="E529" s="728" t="s">
        <v>4218</v>
      </c>
      <c r="F529" s="729">
        <v>293</v>
      </c>
      <c r="G529" s="726">
        <v>166</v>
      </c>
      <c r="H529" s="727">
        <f>F529*G529</f>
        <v>48638</v>
      </c>
      <c r="I529" s="726"/>
      <c r="J529" s="730">
        <f>47/166</f>
        <v>0.28313253012048195</v>
      </c>
      <c r="K529" s="727">
        <v>620000</v>
      </c>
      <c r="L529" s="727">
        <v>1646800</v>
      </c>
      <c r="M529" s="724">
        <f t="shared" si="51"/>
        <v>6185.5421686746986</v>
      </c>
      <c r="N529" s="724">
        <f t="shared" si="51"/>
        <v>1225.301204819277</v>
      </c>
      <c r="O529" s="724" t="str">
        <f t="shared" si="51"/>
        <v/>
      </c>
      <c r="P529" s="724" t="str">
        <f t="shared" si="51"/>
        <v/>
      </c>
      <c r="Q529" s="724" t="str">
        <f t="shared" si="51"/>
        <v/>
      </c>
      <c r="R529" s="724" t="str">
        <f t="shared" si="51"/>
        <v/>
      </c>
      <c r="S529" s="724" t="str">
        <f t="shared" si="51"/>
        <v/>
      </c>
      <c r="T529" s="725" t="str">
        <f t="shared" si="51"/>
        <v/>
      </c>
    </row>
    <row r="530" spans="2:20">
      <c r="B530" s="1788"/>
      <c r="C530" s="728">
        <v>23</v>
      </c>
      <c r="D530" s="729" t="s">
        <v>4959</v>
      </c>
      <c r="E530" s="728" t="s">
        <v>4148</v>
      </c>
      <c r="F530" s="726">
        <v>346</v>
      </c>
      <c r="G530" s="726">
        <v>178</v>
      </c>
      <c r="H530" s="727">
        <f>F530*G530</f>
        <v>61588</v>
      </c>
      <c r="I530" s="917" t="s">
        <v>4985</v>
      </c>
      <c r="J530" s="730">
        <f>100/178</f>
        <v>0.5617977528089888</v>
      </c>
      <c r="K530" s="727">
        <v>2490000</v>
      </c>
      <c r="L530" s="727">
        <v>2079200</v>
      </c>
      <c r="M530" s="724" t="str">
        <f t="shared" ref="M530:T531" si="53">IF(($L530/M$1-$K530)/$G530&gt;0,($L530/M$1-$K530)/$G530,"")</f>
        <v/>
      </c>
      <c r="N530" s="724" t="str">
        <f t="shared" si="53"/>
        <v/>
      </c>
      <c r="O530" s="724" t="str">
        <f t="shared" si="53"/>
        <v/>
      </c>
      <c r="P530" s="724" t="str">
        <f t="shared" si="53"/>
        <v/>
      </c>
      <c r="Q530" s="724" t="str">
        <f t="shared" si="53"/>
        <v/>
      </c>
      <c r="R530" s="724" t="str">
        <f t="shared" si="53"/>
        <v/>
      </c>
      <c r="S530" s="724" t="str">
        <f t="shared" si="53"/>
        <v/>
      </c>
      <c r="T530" s="725" t="str">
        <f t="shared" si="53"/>
        <v/>
      </c>
    </row>
    <row r="531" spans="2:20" ht="23.25" thickBot="1">
      <c r="B531" s="1789"/>
      <c r="C531" s="748">
        <v>24</v>
      </c>
      <c r="D531" s="749" t="s">
        <v>4980</v>
      </c>
      <c r="E531" s="748" t="s">
        <v>4148</v>
      </c>
      <c r="F531" s="750">
        <v>366</v>
      </c>
      <c r="G531" s="750">
        <v>176</v>
      </c>
      <c r="H531" s="751">
        <f t="shared" ref="H531" si="54">F531*G531</f>
        <v>64416</v>
      </c>
      <c r="I531" s="751"/>
      <c r="J531" s="752">
        <f>101/176</f>
        <v>0.57386363636363635</v>
      </c>
      <c r="K531" s="751">
        <v>2486000</v>
      </c>
      <c r="L531" s="751">
        <v>2298000</v>
      </c>
      <c r="M531" s="741" t="str">
        <f t="shared" si="53"/>
        <v/>
      </c>
      <c r="N531" s="741" t="str">
        <f t="shared" si="53"/>
        <v/>
      </c>
      <c r="O531" s="741" t="str">
        <f t="shared" si="53"/>
        <v/>
      </c>
      <c r="P531" s="741" t="str">
        <f t="shared" si="53"/>
        <v/>
      </c>
      <c r="Q531" s="741" t="str">
        <f t="shared" si="53"/>
        <v/>
      </c>
      <c r="R531" s="741" t="str">
        <f t="shared" si="53"/>
        <v/>
      </c>
      <c r="S531" s="741" t="str">
        <f t="shared" si="53"/>
        <v/>
      </c>
      <c r="T531" s="742" t="str">
        <f t="shared" si="53"/>
        <v/>
      </c>
    </row>
    <row r="532" spans="2:20">
      <c r="B532" s="1178"/>
      <c r="C532" s="973"/>
      <c r="D532" s="973"/>
      <c r="E532" s="973"/>
      <c r="F532" s="974"/>
      <c r="G532" s="975"/>
      <c r="H532" s="973"/>
      <c r="I532" s="975"/>
      <c r="J532" s="973"/>
      <c r="K532" s="973"/>
      <c r="L532" s="973"/>
      <c r="M532" s="976"/>
      <c r="N532" s="976"/>
      <c r="O532" s="976"/>
      <c r="P532" s="976"/>
      <c r="Q532" s="976"/>
      <c r="R532" s="976"/>
      <c r="S532" s="976"/>
      <c r="T532" s="977"/>
    </row>
    <row r="533" spans="2:20" ht="23.25" thickBot="1">
      <c r="B533" s="919"/>
      <c r="C533" s="920"/>
      <c r="D533" s="920"/>
      <c r="E533" s="920"/>
      <c r="F533" s="921"/>
      <c r="G533" s="922"/>
      <c r="H533" s="920"/>
      <c r="I533" s="922"/>
      <c r="J533" s="920"/>
      <c r="K533" s="920"/>
      <c r="L533" s="920"/>
      <c r="M533" s="734"/>
      <c r="N533" s="734"/>
      <c r="O533" s="734"/>
      <c r="P533" s="734"/>
      <c r="Q533" s="734"/>
      <c r="R533" s="734"/>
      <c r="S533" s="734"/>
      <c r="T533" s="735"/>
    </row>
    <row r="534" spans="2:20" ht="23.25" thickTop="1"/>
  </sheetData>
  <mergeCells count="19">
    <mergeCell ref="B508:B531"/>
    <mergeCell ref="B448:B467"/>
    <mergeCell ref="B4:B53"/>
    <mergeCell ref="B54:B103"/>
    <mergeCell ref="B204:B226"/>
    <mergeCell ref="B328:B347"/>
    <mergeCell ref="B247:B266"/>
    <mergeCell ref="B267:B286"/>
    <mergeCell ref="B307:B327"/>
    <mergeCell ref="B287:B306"/>
    <mergeCell ref="B104:B153"/>
    <mergeCell ref="B154:B203"/>
    <mergeCell ref="B428:B447"/>
    <mergeCell ref="B398:B427"/>
    <mergeCell ref="B368:B397"/>
    <mergeCell ref="B348:B367"/>
    <mergeCell ref="B227:B246"/>
    <mergeCell ref="B468:B487"/>
    <mergeCell ref="B488:B507"/>
  </mergeCells>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4B6D5-6640-40FF-935D-DCBA9C417703}">
  <dimension ref="C1:BZ66"/>
  <sheetViews>
    <sheetView topLeftCell="AE61" workbookViewId="0">
      <selection activeCell="AR138" sqref="AR138"/>
    </sheetView>
  </sheetViews>
  <sheetFormatPr defaultRowHeight="14.25"/>
  <cols>
    <col min="1" max="2" width="0" hidden="1" customWidth="1"/>
    <col min="3" max="3" width="9.5" hidden="1" customWidth="1"/>
    <col min="4" max="4" width="0" hidden="1" customWidth="1"/>
    <col min="5" max="5" width="9.5" hidden="1" customWidth="1"/>
    <col min="6" max="6" width="0" hidden="1" customWidth="1"/>
    <col min="7" max="7" width="9.5" hidden="1" customWidth="1"/>
    <col min="8" max="9" width="0" hidden="1" customWidth="1"/>
    <col min="10" max="10" width="9.5" hidden="1" customWidth="1"/>
    <col min="11" max="13" width="0" hidden="1" customWidth="1"/>
    <col min="14" max="14" width="11.5" hidden="1" customWidth="1"/>
    <col min="15" max="15" width="9.5" hidden="1" customWidth="1"/>
    <col min="16" max="17" width="0" hidden="1" customWidth="1"/>
    <col min="18" max="18" width="11.5" hidden="1" customWidth="1"/>
    <col min="19" max="19" width="9.5" hidden="1" customWidth="1"/>
    <col min="20" max="24" width="0" hidden="1" customWidth="1"/>
    <col min="25" max="25" width="11.5" hidden="1" customWidth="1"/>
    <col min="26" max="26" width="9.5" hidden="1" customWidth="1"/>
    <col min="27" max="30" width="0" hidden="1" customWidth="1"/>
  </cols>
  <sheetData>
    <row r="1" spans="13:75" hidden="1"/>
    <row r="2" spans="13:75" hidden="1"/>
    <row r="3" spans="13:75" hidden="1"/>
    <row r="4" spans="13:75" hidden="1"/>
    <row r="5" spans="13:75" hidden="1"/>
    <row r="6" spans="13:75" hidden="1"/>
    <row r="7" spans="13:75" hidden="1"/>
    <row r="8" spans="13:75" hidden="1"/>
    <row r="9" spans="13:75" hidden="1"/>
    <row r="10" spans="13:75" hidden="1"/>
    <row r="11" spans="13:75" hidden="1"/>
    <row r="12" spans="13:75" hidden="1"/>
    <row r="13" spans="13:75" hidden="1"/>
    <row r="14" spans="13:75" hidden="1">
      <c r="M14" s="1793" t="s">
        <v>3139</v>
      </c>
      <c r="N14" s="1793"/>
      <c r="O14" s="1793"/>
      <c r="Q14" s="1793" t="s">
        <v>3140</v>
      </c>
      <c r="R14" s="1793"/>
      <c r="S14" s="1793"/>
      <c r="X14" s="1793" t="s">
        <v>3141</v>
      </c>
      <c r="Y14" s="1793"/>
      <c r="Z14" s="1793"/>
    </row>
    <row r="15" spans="13:75" hidden="1"/>
    <row r="16" spans="13:75" hidden="1">
      <c r="AF16">
        <f t="shared" ref="AF16:AS16" si="0">COMBIN($AG$65,AF17)*(1-$AG$66)^($AG$65-AF17)*$AG$66^AF17</f>
        <v>2.7085352703731882E-2</v>
      </c>
      <c r="AG16">
        <f t="shared" si="0"/>
        <v>0.14328647689842108</v>
      </c>
      <c r="AH16">
        <f t="shared" si="0"/>
        <v>0.30320468315899679</v>
      </c>
      <c r="AI16">
        <f t="shared" si="0"/>
        <v>0.3208016620951642</v>
      </c>
      <c r="AJ16">
        <f t="shared" si="0"/>
        <v>0.16970995522033741</v>
      </c>
      <c r="AK16">
        <f t="shared" si="0"/>
        <v>3.5911869923348612E-2</v>
      </c>
      <c r="AL16" t="e">
        <f t="shared" si="0"/>
        <v>#NUM!</v>
      </c>
      <c r="AM16" t="e">
        <f t="shared" si="0"/>
        <v>#NUM!</v>
      </c>
      <c r="AN16" t="e">
        <f t="shared" si="0"/>
        <v>#NUM!</v>
      </c>
      <c r="AO16" t="e">
        <f t="shared" si="0"/>
        <v>#NUM!</v>
      </c>
      <c r="AP16" t="e">
        <f t="shared" si="0"/>
        <v>#NUM!</v>
      </c>
      <c r="AQ16" t="e">
        <f t="shared" si="0"/>
        <v>#NUM!</v>
      </c>
      <c r="AR16" t="e">
        <f t="shared" si="0"/>
        <v>#NUM!</v>
      </c>
      <c r="AS16" t="e">
        <f t="shared" si="0"/>
        <v>#NUM!</v>
      </c>
      <c r="BJ16">
        <f t="shared" ref="BJ16:BW16" si="1">COMBIN($AH$65,BJ17)*(1-$AH$66)^($AH$65-BJ17)*$AH$66^BJ17</f>
        <v>4.3584517983950605E-2</v>
      </c>
      <c r="BK16">
        <f t="shared" si="1"/>
        <v>0.189866687624695</v>
      </c>
      <c r="BL16">
        <f t="shared" si="1"/>
        <v>0.33084554550171397</v>
      </c>
      <c r="BM16">
        <f t="shared" si="1"/>
        <v>0.28825165790718188</v>
      </c>
      <c r="BN16">
        <f t="shared" si="1"/>
        <v>0.12557070726196096</v>
      </c>
      <c r="BO16">
        <f t="shared" si="1"/>
        <v>2.1880883720497388E-2</v>
      </c>
      <c r="BP16" t="e">
        <f t="shared" si="1"/>
        <v>#NUM!</v>
      </c>
      <c r="BQ16" t="e">
        <f t="shared" si="1"/>
        <v>#NUM!</v>
      </c>
      <c r="BR16" t="e">
        <f t="shared" si="1"/>
        <v>#NUM!</v>
      </c>
      <c r="BS16" t="e">
        <f t="shared" si="1"/>
        <v>#NUM!</v>
      </c>
      <c r="BT16" t="e">
        <f t="shared" si="1"/>
        <v>#NUM!</v>
      </c>
      <c r="BU16" t="e">
        <f t="shared" si="1"/>
        <v>#NUM!</v>
      </c>
      <c r="BV16" t="e">
        <f t="shared" si="1"/>
        <v>#NUM!</v>
      </c>
      <c r="BW16" t="e">
        <f t="shared" si="1"/>
        <v>#NUM!</v>
      </c>
    </row>
    <row r="17" spans="3:78" hidden="1">
      <c r="N17" t="s">
        <v>3142</v>
      </c>
      <c r="O17" t="s">
        <v>3143</v>
      </c>
      <c r="R17" t="s">
        <v>3142</v>
      </c>
      <c r="S17" t="s">
        <v>3143</v>
      </c>
      <c r="W17" s="699"/>
      <c r="X17" s="699"/>
      <c r="Y17" t="s">
        <v>3142</v>
      </c>
      <c r="Z17" t="s">
        <v>3143</v>
      </c>
      <c r="AF17">
        <v>0</v>
      </c>
      <c r="AG17">
        <v>1</v>
      </c>
      <c r="AH17">
        <v>2</v>
      </c>
      <c r="AI17">
        <v>3</v>
      </c>
      <c r="AJ17">
        <v>4</v>
      </c>
      <c r="AK17">
        <v>5</v>
      </c>
      <c r="AL17">
        <v>6</v>
      </c>
      <c r="AM17">
        <v>7</v>
      </c>
      <c r="AN17">
        <v>8</v>
      </c>
      <c r="AO17">
        <v>9</v>
      </c>
      <c r="AP17">
        <v>10</v>
      </c>
      <c r="AQ17">
        <v>11</v>
      </c>
      <c r="AR17">
        <v>12</v>
      </c>
      <c r="AS17">
        <v>13</v>
      </c>
      <c r="BJ17">
        <v>0</v>
      </c>
      <c r="BK17">
        <v>1</v>
      </c>
      <c r="BL17">
        <v>2</v>
      </c>
      <c r="BM17">
        <v>3</v>
      </c>
      <c r="BN17">
        <v>4</v>
      </c>
      <c r="BO17">
        <v>5</v>
      </c>
      <c r="BP17">
        <v>6</v>
      </c>
      <c r="BQ17">
        <v>7</v>
      </c>
      <c r="BR17">
        <v>8</v>
      </c>
      <c r="BS17">
        <v>9</v>
      </c>
      <c r="BT17">
        <v>10</v>
      </c>
      <c r="BU17">
        <v>11</v>
      </c>
      <c r="BV17">
        <v>12</v>
      </c>
      <c r="BW17">
        <v>13</v>
      </c>
    </row>
    <row r="18" spans="3:78" hidden="1">
      <c r="C18">
        <v>1062720</v>
      </c>
      <c r="D18">
        <v>112</v>
      </c>
      <c r="E18">
        <v>1064960</v>
      </c>
      <c r="F18">
        <v>116</v>
      </c>
      <c r="G18">
        <v>1064960</v>
      </c>
      <c r="H18">
        <v>116</v>
      </c>
      <c r="J18">
        <v>1090400</v>
      </c>
      <c r="K18">
        <v>113</v>
      </c>
      <c r="M18">
        <v>1</v>
      </c>
      <c r="N18">
        <v>560</v>
      </c>
      <c r="O18">
        <v>1000000</v>
      </c>
      <c r="Q18">
        <v>1</v>
      </c>
      <c r="R18">
        <f>(J18-S18)/K18</f>
        <v>800</v>
      </c>
      <c r="S18">
        <v>1000000</v>
      </c>
      <c r="W18" s="699"/>
      <c r="X18">
        <v>1</v>
      </c>
      <c r="Y18" s="392"/>
      <c r="Z18" s="392"/>
      <c r="AE18">
        <v>0</v>
      </c>
      <c r="AF18">
        <f t="shared" ref="AF18:AS27" si="2">IFERROR(AF$16*COMBIN($AF$65,$AE18-AF$17)*$AF$66^($AE18-AF$17)*(1-$AF$66)^($AF$65-($AE18-AF$17)),0)</f>
        <v>3.9351355906812064E-3</v>
      </c>
      <c r="AG18">
        <f t="shared" si="2"/>
        <v>0</v>
      </c>
      <c r="AH18">
        <f t="shared" si="2"/>
        <v>0</v>
      </c>
      <c r="AI18">
        <f t="shared" si="2"/>
        <v>0</v>
      </c>
      <c r="AJ18">
        <f t="shared" si="2"/>
        <v>0</v>
      </c>
      <c r="AK18">
        <f t="shared" si="2"/>
        <v>0</v>
      </c>
      <c r="AL18">
        <f t="shared" si="2"/>
        <v>0</v>
      </c>
      <c r="AM18">
        <f t="shared" si="2"/>
        <v>0</v>
      </c>
      <c r="AN18">
        <f t="shared" si="2"/>
        <v>0</v>
      </c>
      <c r="AO18">
        <f t="shared" si="2"/>
        <v>0</v>
      </c>
      <c r="AP18">
        <f t="shared" si="2"/>
        <v>0</v>
      </c>
      <c r="AQ18">
        <f t="shared" si="2"/>
        <v>0</v>
      </c>
      <c r="AR18">
        <f t="shared" si="2"/>
        <v>0</v>
      </c>
      <c r="AS18">
        <f t="shared" si="2"/>
        <v>0</v>
      </c>
      <c r="AU18">
        <f>SUM(AF18:AS18)</f>
        <v>3.9351355906812064E-3</v>
      </c>
      <c r="AV18">
        <f>AU17</f>
        <v>0</v>
      </c>
      <c r="AW18">
        <f t="shared" ref="AW18:BH18" si="3">AV17</f>
        <v>0</v>
      </c>
      <c r="AX18">
        <f t="shared" si="3"/>
        <v>0</v>
      </c>
      <c r="AY18">
        <f t="shared" si="3"/>
        <v>0</v>
      </c>
      <c r="AZ18">
        <f t="shared" si="3"/>
        <v>0</v>
      </c>
      <c r="BA18">
        <f t="shared" si="3"/>
        <v>0</v>
      </c>
      <c r="BB18">
        <f t="shared" si="3"/>
        <v>0</v>
      </c>
      <c r="BC18">
        <f t="shared" si="3"/>
        <v>0</v>
      </c>
      <c r="BD18">
        <f t="shared" si="3"/>
        <v>0</v>
      </c>
      <c r="BE18">
        <f t="shared" si="3"/>
        <v>0</v>
      </c>
      <c r="BF18">
        <f t="shared" si="3"/>
        <v>0</v>
      </c>
      <c r="BG18">
        <f t="shared" si="3"/>
        <v>0</v>
      </c>
      <c r="BH18">
        <f t="shared" si="3"/>
        <v>0</v>
      </c>
      <c r="BJ18">
        <f t="shared" ref="BJ18:BW36" si="4">IFERROR(AU18*BJ$16,0)</f>
        <v>1.7151098792132912E-4</v>
      </c>
      <c r="BK18">
        <f t="shared" si="4"/>
        <v>0</v>
      </c>
      <c r="BL18">
        <f t="shared" si="4"/>
        <v>0</v>
      </c>
      <c r="BM18">
        <f t="shared" si="4"/>
        <v>0</v>
      </c>
      <c r="BN18">
        <f t="shared" si="4"/>
        <v>0</v>
      </c>
      <c r="BO18">
        <f t="shared" si="4"/>
        <v>0</v>
      </c>
      <c r="BP18">
        <f t="shared" si="4"/>
        <v>0</v>
      </c>
      <c r="BQ18">
        <f t="shared" si="4"/>
        <v>0</v>
      </c>
      <c r="BR18">
        <f t="shared" si="4"/>
        <v>0</v>
      </c>
      <c r="BS18">
        <f t="shared" si="4"/>
        <v>0</v>
      </c>
      <c r="BT18">
        <f t="shared" si="4"/>
        <v>0</v>
      </c>
      <c r="BU18">
        <f t="shared" si="4"/>
        <v>0</v>
      </c>
      <c r="BV18">
        <f t="shared" si="4"/>
        <v>0</v>
      </c>
      <c r="BW18">
        <f t="shared" si="4"/>
        <v>0</v>
      </c>
      <c r="BY18">
        <f>SUM(BJ18:BW18)</f>
        <v>1.7151098792132912E-4</v>
      </c>
      <c r="BZ18">
        <f t="shared" ref="BZ18:BZ57" si="5">IF(AE18&gt;=AJ$65,1,0)</f>
        <v>0</v>
      </c>
    </row>
    <row r="19" spans="3:78" hidden="1">
      <c r="C19">
        <v>1108000</v>
      </c>
      <c r="D19">
        <v>120</v>
      </c>
      <c r="E19">
        <v>1101700</v>
      </c>
      <c r="F19">
        <v>113</v>
      </c>
      <c r="G19">
        <v>1099000</v>
      </c>
      <c r="H19">
        <v>110</v>
      </c>
      <c r="J19">
        <v>1117600</v>
      </c>
      <c r="K19">
        <v>98</v>
      </c>
      <c r="M19">
        <v>2</v>
      </c>
      <c r="N19">
        <v>900</v>
      </c>
      <c r="O19">
        <v>1000000</v>
      </c>
      <c r="Q19">
        <v>2</v>
      </c>
      <c r="R19">
        <f t="shared" ref="R19:R45" si="6">(J19-S19)/K19</f>
        <v>1200</v>
      </c>
      <c r="S19">
        <v>1000000</v>
      </c>
      <c r="U19">
        <v>62400</v>
      </c>
      <c r="V19">
        <v>78</v>
      </c>
      <c r="X19">
        <v>2</v>
      </c>
      <c r="Y19">
        <f>U19/V19</f>
        <v>800</v>
      </c>
      <c r="Z19">
        <f>U19-V19*Y19</f>
        <v>0</v>
      </c>
      <c r="AE19">
        <v>1</v>
      </c>
      <c r="AF19">
        <f t="shared" si="2"/>
        <v>9.2633983128184594E-3</v>
      </c>
      <c r="AG19">
        <f t="shared" si="2"/>
        <v>2.0817588054838528E-2</v>
      </c>
      <c r="AH19">
        <f t="shared" si="2"/>
        <v>0</v>
      </c>
      <c r="AI19">
        <f t="shared" si="2"/>
        <v>0</v>
      </c>
      <c r="AJ19">
        <f t="shared" si="2"/>
        <v>0</v>
      </c>
      <c r="AK19">
        <f t="shared" si="2"/>
        <v>0</v>
      </c>
      <c r="AL19">
        <f t="shared" si="2"/>
        <v>0</v>
      </c>
      <c r="AM19">
        <f t="shared" si="2"/>
        <v>0</v>
      </c>
      <c r="AN19">
        <f t="shared" si="2"/>
        <v>0</v>
      </c>
      <c r="AO19">
        <f t="shared" si="2"/>
        <v>0</v>
      </c>
      <c r="AP19">
        <f t="shared" si="2"/>
        <v>0</v>
      </c>
      <c r="AQ19">
        <f t="shared" si="2"/>
        <v>0</v>
      </c>
      <c r="AR19">
        <f t="shared" si="2"/>
        <v>0</v>
      </c>
      <c r="AS19">
        <f t="shared" si="2"/>
        <v>0</v>
      </c>
      <c r="AU19">
        <f t="shared" ref="AU19:AU57" si="7">SUM(AF19:AS19)</f>
        <v>3.0080986367656985E-2</v>
      </c>
      <c r="AV19">
        <f t="shared" ref="AV19:BH38" si="8">AU18</f>
        <v>3.9351355906812064E-3</v>
      </c>
      <c r="AW19">
        <f t="shared" si="8"/>
        <v>0</v>
      </c>
      <c r="AX19">
        <f t="shared" si="8"/>
        <v>0</v>
      </c>
      <c r="AY19">
        <f t="shared" si="8"/>
        <v>0</v>
      </c>
      <c r="AZ19">
        <f t="shared" si="8"/>
        <v>0</v>
      </c>
      <c r="BA19">
        <f t="shared" si="8"/>
        <v>0</v>
      </c>
      <c r="BB19">
        <f t="shared" si="8"/>
        <v>0</v>
      </c>
      <c r="BC19">
        <f t="shared" si="8"/>
        <v>0</v>
      </c>
      <c r="BD19">
        <f t="shared" si="8"/>
        <v>0</v>
      </c>
      <c r="BE19">
        <f t="shared" si="8"/>
        <v>0</v>
      </c>
      <c r="BF19">
        <f t="shared" si="8"/>
        <v>0</v>
      </c>
      <c r="BG19">
        <f t="shared" si="8"/>
        <v>0</v>
      </c>
      <c r="BH19">
        <f t="shared" si="8"/>
        <v>0</v>
      </c>
      <c r="BJ19">
        <f t="shared" si="4"/>
        <v>1.3110652913161189E-3</v>
      </c>
      <c r="BK19">
        <f t="shared" si="4"/>
        <v>7.4715115995668824E-4</v>
      </c>
      <c r="BL19">
        <f t="shared" si="4"/>
        <v>0</v>
      </c>
      <c r="BM19">
        <f t="shared" si="4"/>
        <v>0</v>
      </c>
      <c r="BN19">
        <f t="shared" si="4"/>
        <v>0</v>
      </c>
      <c r="BO19">
        <f t="shared" si="4"/>
        <v>0</v>
      </c>
      <c r="BP19">
        <f t="shared" si="4"/>
        <v>0</v>
      </c>
      <c r="BQ19">
        <f t="shared" si="4"/>
        <v>0</v>
      </c>
      <c r="BR19">
        <f t="shared" si="4"/>
        <v>0</v>
      </c>
      <c r="BS19">
        <f t="shared" si="4"/>
        <v>0</v>
      </c>
      <c r="BT19">
        <f t="shared" si="4"/>
        <v>0</v>
      </c>
      <c r="BU19">
        <f t="shared" si="4"/>
        <v>0</v>
      </c>
      <c r="BV19">
        <f t="shared" si="4"/>
        <v>0</v>
      </c>
      <c r="BW19">
        <f t="shared" si="4"/>
        <v>0</v>
      </c>
      <c r="BY19">
        <f t="shared" ref="BY19:BY57" si="9">SUM(BJ19:BW19)</f>
        <v>2.0582164512728072E-3</v>
      </c>
      <c r="BZ19">
        <f t="shared" si="5"/>
        <v>0</v>
      </c>
    </row>
    <row r="20" spans="3:78" hidden="1">
      <c r="C20">
        <v>1645600</v>
      </c>
      <c r="D20">
        <v>112</v>
      </c>
      <c r="E20">
        <v>1653400</v>
      </c>
      <c r="F20">
        <v>118</v>
      </c>
      <c r="G20">
        <v>1650800</v>
      </c>
      <c r="H20">
        <v>116</v>
      </c>
      <c r="J20">
        <v>1654000</v>
      </c>
      <c r="K20">
        <v>110</v>
      </c>
      <c r="M20">
        <v>3</v>
      </c>
      <c r="N20">
        <v>1300</v>
      </c>
      <c r="O20">
        <v>1500000</v>
      </c>
      <c r="Q20">
        <v>3</v>
      </c>
      <c r="R20">
        <f t="shared" si="6"/>
        <v>1400</v>
      </c>
      <c r="S20">
        <v>1500000</v>
      </c>
      <c r="U20">
        <v>70200</v>
      </c>
      <c r="V20">
        <v>74</v>
      </c>
      <c r="X20">
        <v>3</v>
      </c>
      <c r="Y20">
        <v>800</v>
      </c>
      <c r="Z20">
        <f t="shared" ref="Z20:Z45" si="10">U20-V20*Y20</f>
        <v>11000</v>
      </c>
      <c r="AE20">
        <v>2</v>
      </c>
      <c r="AF20">
        <f t="shared" si="2"/>
        <v>8.7224997791827876E-3</v>
      </c>
      <c r="AG20">
        <f t="shared" si="2"/>
        <v>4.9005073807573275E-2</v>
      </c>
      <c r="AH20">
        <f t="shared" si="2"/>
        <v>4.4051541547612622E-2</v>
      </c>
      <c r="AI20">
        <f t="shared" si="2"/>
        <v>0</v>
      </c>
      <c r="AJ20">
        <f t="shared" si="2"/>
        <v>0</v>
      </c>
      <c r="AK20">
        <f t="shared" si="2"/>
        <v>0</v>
      </c>
      <c r="AL20">
        <f t="shared" si="2"/>
        <v>0</v>
      </c>
      <c r="AM20">
        <f t="shared" si="2"/>
        <v>0</v>
      </c>
      <c r="AN20">
        <f t="shared" si="2"/>
        <v>0</v>
      </c>
      <c r="AO20">
        <f t="shared" si="2"/>
        <v>0</v>
      </c>
      <c r="AP20">
        <f t="shared" si="2"/>
        <v>0</v>
      </c>
      <c r="AQ20">
        <f t="shared" si="2"/>
        <v>0</v>
      </c>
      <c r="AR20">
        <f t="shared" si="2"/>
        <v>0</v>
      </c>
      <c r="AS20">
        <f t="shared" si="2"/>
        <v>0</v>
      </c>
      <c r="AU20">
        <f t="shared" si="7"/>
        <v>0.10177911513436869</v>
      </c>
      <c r="AV20">
        <f t="shared" si="8"/>
        <v>3.0080986367656985E-2</v>
      </c>
      <c r="AW20">
        <f t="shared" si="8"/>
        <v>3.9351355906812064E-3</v>
      </c>
      <c r="AX20">
        <f t="shared" si="8"/>
        <v>0</v>
      </c>
      <c r="AY20">
        <f t="shared" si="8"/>
        <v>0</v>
      </c>
      <c r="AZ20">
        <f t="shared" si="8"/>
        <v>0</v>
      </c>
      <c r="BA20">
        <f t="shared" si="8"/>
        <v>0</v>
      </c>
      <c r="BB20">
        <f t="shared" si="8"/>
        <v>0</v>
      </c>
      <c r="BC20">
        <f t="shared" si="8"/>
        <v>0</v>
      </c>
      <c r="BD20">
        <f t="shared" si="8"/>
        <v>0</v>
      </c>
      <c r="BE20">
        <f t="shared" si="8"/>
        <v>0</v>
      </c>
      <c r="BF20">
        <f t="shared" si="8"/>
        <v>0</v>
      </c>
      <c r="BG20">
        <f t="shared" si="8"/>
        <v>0</v>
      </c>
      <c r="BH20">
        <f t="shared" si="8"/>
        <v>0</v>
      </c>
      <c r="BJ20">
        <f t="shared" si="4"/>
        <v>4.4359936739644711E-3</v>
      </c>
      <c r="BK20">
        <f t="shared" si="4"/>
        <v>5.7113772421106372E-3</v>
      </c>
      <c r="BL20">
        <f t="shared" si="4"/>
        <v>1.3019220811221332E-3</v>
      </c>
      <c r="BM20">
        <f t="shared" si="4"/>
        <v>0</v>
      </c>
      <c r="BN20">
        <f t="shared" si="4"/>
        <v>0</v>
      </c>
      <c r="BO20">
        <f t="shared" si="4"/>
        <v>0</v>
      </c>
      <c r="BP20">
        <f t="shared" si="4"/>
        <v>0</v>
      </c>
      <c r="BQ20">
        <f t="shared" si="4"/>
        <v>0</v>
      </c>
      <c r="BR20">
        <f t="shared" si="4"/>
        <v>0</v>
      </c>
      <c r="BS20">
        <f t="shared" si="4"/>
        <v>0</v>
      </c>
      <c r="BT20">
        <f t="shared" si="4"/>
        <v>0</v>
      </c>
      <c r="BU20">
        <f t="shared" si="4"/>
        <v>0</v>
      </c>
      <c r="BV20">
        <f t="shared" si="4"/>
        <v>0</v>
      </c>
      <c r="BW20">
        <f t="shared" si="4"/>
        <v>0</v>
      </c>
      <c r="BY20">
        <f t="shared" si="9"/>
        <v>1.1449292997197241E-2</v>
      </c>
      <c r="BZ20">
        <f t="shared" si="5"/>
        <v>0</v>
      </c>
    </row>
    <row r="21" spans="3:78" hidden="1">
      <c r="C21">
        <v>1653000</v>
      </c>
      <c r="D21">
        <v>102</v>
      </c>
      <c r="E21">
        <v>1677000</v>
      </c>
      <c r="F21">
        <v>118</v>
      </c>
      <c r="G21">
        <v>1669500</v>
      </c>
      <c r="H21">
        <v>113</v>
      </c>
      <c r="J21">
        <v>1707360</v>
      </c>
      <c r="K21">
        <v>108</v>
      </c>
      <c r="M21">
        <v>4</v>
      </c>
      <c r="N21">
        <v>1500</v>
      </c>
      <c r="O21">
        <v>1500000</v>
      </c>
      <c r="Q21">
        <v>4</v>
      </c>
      <c r="R21">
        <f t="shared" si="6"/>
        <v>1920</v>
      </c>
      <c r="S21">
        <v>1500000</v>
      </c>
      <c r="U21">
        <v>86400</v>
      </c>
      <c r="V21">
        <v>72</v>
      </c>
      <c r="X21">
        <v>4</v>
      </c>
      <c r="Y21">
        <f t="shared" ref="Y21:Y35" si="11">U21/V21</f>
        <v>1200</v>
      </c>
      <c r="Z21">
        <f t="shared" si="10"/>
        <v>0</v>
      </c>
      <c r="AE21">
        <v>3</v>
      </c>
      <c r="AF21">
        <f t="shared" si="2"/>
        <v>4.1065924096431988E-3</v>
      </c>
      <c r="AG21">
        <f t="shared" si="2"/>
        <v>4.6143621490819839E-2</v>
      </c>
      <c r="AH21">
        <f t="shared" si="2"/>
        <v>0.10369832658766584</v>
      </c>
      <c r="AI21">
        <f t="shared" si="2"/>
        <v>4.6608144699789369E-2</v>
      </c>
      <c r="AJ21">
        <f t="shared" si="2"/>
        <v>0</v>
      </c>
      <c r="AK21">
        <f t="shared" si="2"/>
        <v>0</v>
      </c>
      <c r="AL21">
        <f t="shared" si="2"/>
        <v>0</v>
      </c>
      <c r="AM21">
        <f t="shared" si="2"/>
        <v>0</v>
      </c>
      <c r="AN21">
        <f t="shared" si="2"/>
        <v>0</v>
      </c>
      <c r="AO21">
        <f t="shared" si="2"/>
        <v>0</v>
      </c>
      <c r="AP21">
        <f t="shared" si="2"/>
        <v>0</v>
      </c>
      <c r="AQ21">
        <f t="shared" si="2"/>
        <v>0</v>
      </c>
      <c r="AR21">
        <f t="shared" si="2"/>
        <v>0</v>
      </c>
      <c r="AS21">
        <f t="shared" si="2"/>
        <v>0</v>
      </c>
      <c r="AU21">
        <f t="shared" si="7"/>
        <v>0.20055668518791825</v>
      </c>
      <c r="AV21">
        <f t="shared" si="8"/>
        <v>0.10177911513436869</v>
      </c>
      <c r="AW21">
        <f t="shared" si="8"/>
        <v>3.0080986367656985E-2</v>
      </c>
      <c r="AX21">
        <f t="shared" si="8"/>
        <v>3.9351355906812064E-3</v>
      </c>
      <c r="AY21">
        <f t="shared" si="8"/>
        <v>0</v>
      </c>
      <c r="AZ21">
        <f t="shared" si="8"/>
        <v>0</v>
      </c>
      <c r="BA21">
        <f t="shared" si="8"/>
        <v>0</v>
      </c>
      <c r="BB21">
        <f t="shared" si="8"/>
        <v>0</v>
      </c>
      <c r="BC21">
        <f t="shared" si="8"/>
        <v>0</v>
      </c>
      <c r="BD21">
        <f t="shared" si="8"/>
        <v>0</v>
      </c>
      <c r="BE21">
        <f t="shared" si="8"/>
        <v>0</v>
      </c>
      <c r="BF21">
        <f t="shared" si="8"/>
        <v>0</v>
      </c>
      <c r="BG21">
        <f t="shared" si="8"/>
        <v>0</v>
      </c>
      <c r="BH21">
        <f t="shared" si="8"/>
        <v>0</v>
      </c>
      <c r="BJ21">
        <f t="shared" si="4"/>
        <v>8.7411664523743427E-3</v>
      </c>
      <c r="BK21">
        <f t="shared" si="4"/>
        <v>1.9324463459935045E-2</v>
      </c>
      <c r="BL21">
        <f t="shared" si="4"/>
        <v>9.9521603440370972E-3</v>
      </c>
      <c r="BM21">
        <f t="shared" si="4"/>
        <v>1.1343093581034152E-3</v>
      </c>
      <c r="BN21">
        <f t="shared" si="4"/>
        <v>0</v>
      </c>
      <c r="BO21">
        <f t="shared" si="4"/>
        <v>0</v>
      </c>
      <c r="BP21">
        <f t="shared" si="4"/>
        <v>0</v>
      </c>
      <c r="BQ21">
        <f t="shared" si="4"/>
        <v>0</v>
      </c>
      <c r="BR21">
        <f t="shared" si="4"/>
        <v>0</v>
      </c>
      <c r="BS21">
        <f t="shared" si="4"/>
        <v>0</v>
      </c>
      <c r="BT21">
        <f t="shared" si="4"/>
        <v>0</v>
      </c>
      <c r="BU21">
        <f t="shared" si="4"/>
        <v>0</v>
      </c>
      <c r="BV21">
        <f t="shared" si="4"/>
        <v>0</v>
      </c>
      <c r="BW21">
        <f t="shared" si="4"/>
        <v>0</v>
      </c>
      <c r="BY21">
        <f t="shared" si="9"/>
        <v>3.9152099614449903E-2</v>
      </c>
      <c r="BZ21">
        <f t="shared" si="5"/>
        <v>0</v>
      </c>
    </row>
    <row r="22" spans="3:78" hidden="1">
      <c r="C22">
        <v>2233280</v>
      </c>
      <c r="D22">
        <v>108</v>
      </c>
      <c r="E22">
        <v>2239760</v>
      </c>
      <c r="F22">
        <v>105</v>
      </c>
      <c r="G22">
        <v>2216000</v>
      </c>
      <c r="H22">
        <v>100</v>
      </c>
      <c r="J22">
        <v>2246240</v>
      </c>
      <c r="K22">
        <v>114</v>
      </c>
      <c r="M22">
        <v>5</v>
      </c>
      <c r="N22">
        <v>2160</v>
      </c>
      <c r="O22">
        <v>2000000</v>
      </c>
      <c r="Q22">
        <v>5</v>
      </c>
      <c r="R22">
        <f t="shared" si="6"/>
        <v>2160</v>
      </c>
      <c r="S22">
        <v>2000000</v>
      </c>
      <c r="U22">
        <v>90200</v>
      </c>
      <c r="V22">
        <v>71</v>
      </c>
      <c r="X22">
        <v>5</v>
      </c>
      <c r="Y22">
        <v>1200</v>
      </c>
      <c r="Z22">
        <f t="shared" si="10"/>
        <v>5000</v>
      </c>
      <c r="AE22">
        <v>4</v>
      </c>
      <c r="AF22">
        <f t="shared" si="2"/>
        <v>9.667011548218765E-4</v>
      </c>
      <c r="AG22">
        <f t="shared" si="2"/>
        <v>2.1724626032080353E-2</v>
      </c>
      <c r="AH22">
        <f t="shared" si="2"/>
        <v>9.7643283837952149E-2</v>
      </c>
      <c r="AI22">
        <f t="shared" si="2"/>
        <v>0.10971662831594778</v>
      </c>
      <c r="AJ22">
        <f t="shared" si="2"/>
        <v>2.4656562245484369E-2</v>
      </c>
      <c r="AK22">
        <f t="shared" si="2"/>
        <v>0</v>
      </c>
      <c r="AL22">
        <f t="shared" si="2"/>
        <v>0</v>
      </c>
      <c r="AM22">
        <f t="shared" si="2"/>
        <v>0</v>
      </c>
      <c r="AN22">
        <f t="shared" si="2"/>
        <v>0</v>
      </c>
      <c r="AO22">
        <f t="shared" si="2"/>
        <v>0</v>
      </c>
      <c r="AP22">
        <f t="shared" si="2"/>
        <v>0</v>
      </c>
      <c r="AQ22">
        <f t="shared" si="2"/>
        <v>0</v>
      </c>
      <c r="AR22">
        <f t="shared" si="2"/>
        <v>0</v>
      </c>
      <c r="AS22">
        <f t="shared" si="2"/>
        <v>0</v>
      </c>
      <c r="AU22">
        <f t="shared" si="7"/>
        <v>0.25470780158628653</v>
      </c>
      <c r="AV22">
        <f t="shared" si="8"/>
        <v>0.20055668518791825</v>
      </c>
      <c r="AW22">
        <f t="shared" si="8"/>
        <v>0.10177911513436869</v>
      </c>
      <c r="AX22">
        <f t="shared" si="8"/>
        <v>3.0080986367656985E-2</v>
      </c>
      <c r="AY22">
        <f t="shared" si="8"/>
        <v>3.9351355906812064E-3</v>
      </c>
      <c r="AZ22">
        <f t="shared" si="8"/>
        <v>0</v>
      </c>
      <c r="BA22">
        <f t="shared" si="8"/>
        <v>0</v>
      </c>
      <c r="BB22">
        <f t="shared" si="8"/>
        <v>0</v>
      </c>
      <c r="BC22">
        <f t="shared" si="8"/>
        <v>0</v>
      </c>
      <c r="BD22">
        <f t="shared" si="8"/>
        <v>0</v>
      </c>
      <c r="BE22">
        <f t="shared" si="8"/>
        <v>0</v>
      </c>
      <c r="BF22">
        <f t="shared" si="8"/>
        <v>0</v>
      </c>
      <c r="BG22">
        <f t="shared" si="8"/>
        <v>0</v>
      </c>
      <c r="BH22">
        <f t="shared" si="8"/>
        <v>0</v>
      </c>
      <c r="BJ22">
        <f t="shared" si="4"/>
        <v>1.1101316758890027E-2</v>
      </c>
      <c r="BK22">
        <f t="shared" si="4"/>
        <v>3.8079033497618771E-2</v>
      </c>
      <c r="BL22">
        <f t="shared" si="4"/>
        <v>3.3673166867311963E-2</v>
      </c>
      <c r="BM22">
        <f t="shared" si="4"/>
        <v>8.6708941919604633E-3</v>
      </c>
      <c r="BN22">
        <f t="shared" si="4"/>
        <v>4.9413775929355356E-4</v>
      </c>
      <c r="BO22">
        <f t="shared" si="4"/>
        <v>0</v>
      </c>
      <c r="BP22">
        <f t="shared" si="4"/>
        <v>0</v>
      </c>
      <c r="BQ22">
        <f t="shared" si="4"/>
        <v>0</v>
      </c>
      <c r="BR22">
        <f t="shared" si="4"/>
        <v>0</v>
      </c>
      <c r="BS22">
        <f t="shared" si="4"/>
        <v>0</v>
      </c>
      <c r="BT22">
        <f t="shared" si="4"/>
        <v>0</v>
      </c>
      <c r="BU22">
        <f t="shared" si="4"/>
        <v>0</v>
      </c>
      <c r="BV22">
        <f t="shared" si="4"/>
        <v>0</v>
      </c>
      <c r="BW22">
        <f t="shared" si="4"/>
        <v>0</v>
      </c>
      <c r="BY22">
        <f t="shared" si="9"/>
        <v>9.2018549075074771E-2</v>
      </c>
      <c r="BZ22">
        <f t="shared" si="5"/>
        <v>0</v>
      </c>
    </row>
    <row r="23" spans="3:78" hidden="1">
      <c r="C23">
        <v>2410400</v>
      </c>
      <c r="D23">
        <v>171</v>
      </c>
      <c r="E23">
        <v>2439200</v>
      </c>
      <c r="F23">
        <v>183</v>
      </c>
      <c r="G23">
        <v>2360000</v>
      </c>
      <c r="H23">
        <v>150</v>
      </c>
      <c r="J23">
        <v>2400800</v>
      </c>
      <c r="K23">
        <v>167</v>
      </c>
      <c r="M23">
        <v>6</v>
      </c>
      <c r="N23">
        <v>2400</v>
      </c>
      <c r="O23">
        <v>2000000</v>
      </c>
      <c r="Q23">
        <v>6</v>
      </c>
      <c r="R23">
        <f t="shared" si="6"/>
        <v>2400</v>
      </c>
      <c r="S23">
        <v>2000000</v>
      </c>
      <c r="U23">
        <v>103600</v>
      </c>
      <c r="V23">
        <v>74</v>
      </c>
      <c r="X23">
        <v>6</v>
      </c>
      <c r="Y23">
        <f t="shared" si="11"/>
        <v>1400</v>
      </c>
      <c r="Z23">
        <f t="shared" si="10"/>
        <v>0</v>
      </c>
      <c r="AE23">
        <v>5</v>
      </c>
      <c r="AF23">
        <f t="shared" si="2"/>
        <v>9.1025456584345571E-5</v>
      </c>
      <c r="AG23">
        <f t="shared" si="2"/>
        <v>5.1140261750764237E-3</v>
      </c>
      <c r="AH23">
        <f t="shared" si="2"/>
        <v>4.5970900362595213E-2</v>
      </c>
      <c r="AI23">
        <f t="shared" si="2"/>
        <v>0.10331017127205434</v>
      </c>
      <c r="AJ23">
        <f t="shared" si="2"/>
        <v>5.8042106006615288E-2</v>
      </c>
      <c r="AK23">
        <f t="shared" si="2"/>
        <v>5.2175092201702054E-3</v>
      </c>
      <c r="AL23">
        <f t="shared" si="2"/>
        <v>0</v>
      </c>
      <c r="AM23">
        <f t="shared" si="2"/>
        <v>0</v>
      </c>
      <c r="AN23">
        <f t="shared" si="2"/>
        <v>0</v>
      </c>
      <c r="AO23">
        <f t="shared" si="2"/>
        <v>0</v>
      </c>
      <c r="AP23">
        <f t="shared" si="2"/>
        <v>0</v>
      </c>
      <c r="AQ23">
        <f t="shared" si="2"/>
        <v>0</v>
      </c>
      <c r="AR23">
        <f t="shared" si="2"/>
        <v>0</v>
      </c>
      <c r="AS23">
        <f t="shared" si="2"/>
        <v>0</v>
      </c>
      <c r="AU23">
        <f t="shared" si="7"/>
        <v>0.21774573849309584</v>
      </c>
      <c r="AV23">
        <f t="shared" si="8"/>
        <v>0.25470780158628653</v>
      </c>
      <c r="AW23">
        <f t="shared" si="8"/>
        <v>0.20055668518791825</v>
      </c>
      <c r="AX23">
        <f t="shared" si="8"/>
        <v>0.10177911513436869</v>
      </c>
      <c r="AY23">
        <f t="shared" si="8"/>
        <v>3.0080986367656985E-2</v>
      </c>
      <c r="AZ23">
        <f t="shared" si="8"/>
        <v>3.9351355906812064E-3</v>
      </c>
      <c r="BA23">
        <f t="shared" si="8"/>
        <v>0</v>
      </c>
      <c r="BB23">
        <f t="shared" si="8"/>
        <v>0</v>
      </c>
      <c r="BC23">
        <f t="shared" si="8"/>
        <v>0</v>
      </c>
      <c r="BD23">
        <f t="shared" si="8"/>
        <v>0</v>
      </c>
      <c r="BE23">
        <f t="shared" si="8"/>
        <v>0</v>
      </c>
      <c r="BF23">
        <f t="shared" si="8"/>
        <v>0</v>
      </c>
      <c r="BG23">
        <f t="shared" si="8"/>
        <v>0</v>
      </c>
      <c r="BH23">
        <f t="shared" si="8"/>
        <v>0</v>
      </c>
      <c r="BJ23">
        <f t="shared" si="4"/>
        <v>9.4903430552809413E-3</v>
      </c>
      <c r="BK23">
        <f t="shared" si="4"/>
        <v>4.836052659935626E-2</v>
      </c>
      <c r="BL23">
        <f t="shared" si="4"/>
        <v>6.6353285915012328E-2</v>
      </c>
      <c r="BM23">
        <f t="shared" si="4"/>
        <v>2.933799867780772E-2</v>
      </c>
      <c r="BN23">
        <f t="shared" si="4"/>
        <v>3.7772907333240937E-3</v>
      </c>
      <c r="BO23">
        <f t="shared" si="4"/>
        <v>8.6104244284086287E-5</v>
      </c>
      <c r="BP23">
        <f t="shared" si="4"/>
        <v>0</v>
      </c>
      <c r="BQ23">
        <f t="shared" si="4"/>
        <v>0</v>
      </c>
      <c r="BR23">
        <f t="shared" si="4"/>
        <v>0</v>
      </c>
      <c r="BS23">
        <f t="shared" si="4"/>
        <v>0</v>
      </c>
      <c r="BT23">
        <f t="shared" si="4"/>
        <v>0</v>
      </c>
      <c r="BU23">
        <f t="shared" si="4"/>
        <v>0</v>
      </c>
      <c r="BV23">
        <f t="shared" si="4"/>
        <v>0</v>
      </c>
      <c r="BW23">
        <f t="shared" si="4"/>
        <v>0</v>
      </c>
      <c r="BY23">
        <f t="shared" si="9"/>
        <v>0.15740554922506544</v>
      </c>
      <c r="BZ23">
        <f t="shared" si="5"/>
        <v>0</v>
      </c>
    </row>
    <row r="24" spans="3:78" hidden="1">
      <c r="C24">
        <v>3708750</v>
      </c>
      <c r="D24">
        <v>175</v>
      </c>
      <c r="E24">
        <v>3635850</v>
      </c>
      <c r="F24" s="719">
        <v>157</v>
      </c>
      <c r="G24">
        <v>3656100</v>
      </c>
      <c r="H24">
        <v>162</v>
      </c>
      <c r="J24">
        <v>3387000</v>
      </c>
      <c r="K24">
        <v>129</v>
      </c>
      <c r="M24">
        <v>7</v>
      </c>
      <c r="N24">
        <v>4050</v>
      </c>
      <c r="O24">
        <v>3000000</v>
      </c>
      <c r="Q24">
        <v>7</v>
      </c>
      <c r="R24">
        <f t="shared" si="6"/>
        <v>3000</v>
      </c>
      <c r="S24">
        <v>3000000</v>
      </c>
      <c r="U24">
        <v>110800</v>
      </c>
      <c r="V24">
        <v>72</v>
      </c>
      <c r="X24">
        <v>7</v>
      </c>
      <c r="Y24">
        <v>1400</v>
      </c>
      <c r="Z24">
        <f t="shared" si="10"/>
        <v>10000</v>
      </c>
      <c r="AE24">
        <v>6</v>
      </c>
      <c r="AF24">
        <f t="shared" si="2"/>
        <v>0</v>
      </c>
      <c r="AG24">
        <f t="shared" si="2"/>
        <v>4.8154133803264104E-4</v>
      </c>
      <c r="AH24">
        <f t="shared" si="2"/>
        <v>1.0821654071236008E-2</v>
      </c>
      <c r="AI24">
        <f t="shared" si="2"/>
        <v>4.8638896638012359E-2</v>
      </c>
      <c r="AJ24">
        <f t="shared" si="2"/>
        <v>5.4652972886358446E-2</v>
      </c>
      <c r="AK24">
        <f t="shared" si="2"/>
        <v>1.2282134882898093E-2</v>
      </c>
      <c r="AL24">
        <f t="shared" si="2"/>
        <v>0</v>
      </c>
      <c r="AM24">
        <f t="shared" si="2"/>
        <v>0</v>
      </c>
      <c r="AN24">
        <f t="shared" si="2"/>
        <v>0</v>
      </c>
      <c r="AO24">
        <f t="shared" si="2"/>
        <v>0</v>
      </c>
      <c r="AP24">
        <f t="shared" si="2"/>
        <v>0</v>
      </c>
      <c r="AQ24">
        <f t="shared" si="2"/>
        <v>0</v>
      </c>
      <c r="AR24">
        <f t="shared" si="2"/>
        <v>0</v>
      </c>
      <c r="AS24">
        <f t="shared" si="2"/>
        <v>0</v>
      </c>
      <c r="AU24">
        <f t="shared" si="7"/>
        <v>0.12687719981653756</v>
      </c>
      <c r="AV24">
        <f t="shared" si="8"/>
        <v>0.21774573849309584</v>
      </c>
      <c r="AW24">
        <f t="shared" si="8"/>
        <v>0.25470780158628653</v>
      </c>
      <c r="AX24">
        <f t="shared" si="8"/>
        <v>0.20055668518791825</v>
      </c>
      <c r="AY24">
        <f t="shared" si="8"/>
        <v>0.10177911513436869</v>
      </c>
      <c r="AZ24">
        <f t="shared" si="8"/>
        <v>3.0080986367656985E-2</v>
      </c>
      <c r="BA24">
        <f t="shared" si="8"/>
        <v>3.9351355906812064E-3</v>
      </c>
      <c r="BB24">
        <f t="shared" si="8"/>
        <v>0</v>
      </c>
      <c r="BC24">
        <f t="shared" si="8"/>
        <v>0</v>
      </c>
      <c r="BD24">
        <f t="shared" si="8"/>
        <v>0</v>
      </c>
      <c r="BE24">
        <f t="shared" si="8"/>
        <v>0</v>
      </c>
      <c r="BF24">
        <f t="shared" si="8"/>
        <v>0</v>
      </c>
      <c r="BG24">
        <f t="shared" si="8"/>
        <v>0</v>
      </c>
      <c r="BH24">
        <f t="shared" si="8"/>
        <v>0</v>
      </c>
      <c r="BJ24">
        <f t="shared" si="4"/>
        <v>5.5298815971571757E-3</v>
      </c>
      <c r="BK24">
        <f t="shared" si="4"/>
        <v>4.1342662112077155E-2</v>
      </c>
      <c r="BL24">
        <f t="shared" si="4"/>
        <v>8.4268941559357297E-2</v>
      </c>
      <c r="BM24">
        <f t="shared" si="4"/>
        <v>5.7810797009786183E-2</v>
      </c>
      <c r="BN24">
        <f t="shared" si="4"/>
        <v>1.2780475471919231E-2</v>
      </c>
      <c r="BO24">
        <f t="shared" si="4"/>
        <v>6.581985649085696E-4</v>
      </c>
      <c r="BP24">
        <f t="shared" si="4"/>
        <v>0</v>
      </c>
      <c r="BQ24">
        <f t="shared" si="4"/>
        <v>0</v>
      </c>
      <c r="BR24">
        <f t="shared" si="4"/>
        <v>0</v>
      </c>
      <c r="BS24">
        <f t="shared" si="4"/>
        <v>0</v>
      </c>
      <c r="BT24">
        <f t="shared" si="4"/>
        <v>0</v>
      </c>
      <c r="BU24">
        <f t="shared" si="4"/>
        <v>0</v>
      </c>
      <c r="BV24">
        <f t="shared" si="4"/>
        <v>0</v>
      </c>
      <c r="BW24">
        <f t="shared" si="4"/>
        <v>0</v>
      </c>
      <c r="BY24">
        <f t="shared" si="9"/>
        <v>0.20239095631520559</v>
      </c>
      <c r="BZ24">
        <f t="shared" si="5"/>
        <v>0</v>
      </c>
    </row>
    <row r="25" spans="3:78" hidden="1">
      <c r="C25">
        <v>3747360</v>
      </c>
      <c r="D25">
        <v>173</v>
      </c>
      <c r="E25" s="719">
        <v>3708750</v>
      </c>
      <c r="F25" s="720">
        <v>175</v>
      </c>
      <c r="G25" s="719">
        <v>3761400</v>
      </c>
      <c r="H25">
        <v>188</v>
      </c>
      <c r="J25">
        <v>3538650</v>
      </c>
      <c r="K25">
        <v>133</v>
      </c>
      <c r="M25">
        <v>8</v>
      </c>
      <c r="N25">
        <v>4320</v>
      </c>
      <c r="O25">
        <v>3000000</v>
      </c>
      <c r="Q25">
        <v>8</v>
      </c>
      <c r="R25">
        <f t="shared" si="6"/>
        <v>4050</v>
      </c>
      <c r="S25">
        <v>3000000</v>
      </c>
      <c r="U25">
        <v>116800</v>
      </c>
      <c r="V25">
        <v>73</v>
      </c>
      <c r="X25">
        <v>8</v>
      </c>
      <c r="Y25">
        <f t="shared" si="11"/>
        <v>1600</v>
      </c>
      <c r="Z25">
        <f t="shared" si="10"/>
        <v>0</v>
      </c>
      <c r="AE25">
        <v>7</v>
      </c>
      <c r="AF25">
        <f t="shared" si="2"/>
        <v>0</v>
      </c>
      <c r="AG25">
        <f t="shared" si="2"/>
        <v>0</v>
      </c>
      <c r="AH25">
        <f t="shared" si="2"/>
        <v>1.0189767519348867E-3</v>
      </c>
      <c r="AI25">
        <f t="shared" si="2"/>
        <v>1.1449706437584759E-2</v>
      </c>
      <c r="AJ25">
        <f t="shared" si="2"/>
        <v>2.5730867217125076E-2</v>
      </c>
      <c r="AK25">
        <f t="shared" si="2"/>
        <v>1.1564969483793732E-2</v>
      </c>
      <c r="AL25">
        <f t="shared" si="2"/>
        <v>0</v>
      </c>
      <c r="AM25">
        <f t="shared" si="2"/>
        <v>0</v>
      </c>
      <c r="AN25">
        <f t="shared" si="2"/>
        <v>0</v>
      </c>
      <c r="AO25">
        <f t="shared" si="2"/>
        <v>0</v>
      </c>
      <c r="AP25">
        <f t="shared" si="2"/>
        <v>0</v>
      </c>
      <c r="AQ25">
        <f t="shared" si="2"/>
        <v>0</v>
      </c>
      <c r="AR25">
        <f t="shared" si="2"/>
        <v>0</v>
      </c>
      <c r="AS25">
        <f t="shared" si="2"/>
        <v>0</v>
      </c>
      <c r="AU25">
        <f t="shared" si="7"/>
        <v>4.9764519890438452E-2</v>
      </c>
      <c r="AV25">
        <f t="shared" si="8"/>
        <v>0.12687719981653756</v>
      </c>
      <c r="AW25">
        <f t="shared" si="8"/>
        <v>0.21774573849309584</v>
      </c>
      <c r="AX25">
        <f t="shared" si="8"/>
        <v>0.25470780158628653</v>
      </c>
      <c r="AY25">
        <f t="shared" si="8"/>
        <v>0.20055668518791825</v>
      </c>
      <c r="AZ25">
        <f t="shared" si="8"/>
        <v>0.10177911513436869</v>
      </c>
      <c r="BA25">
        <f t="shared" si="8"/>
        <v>3.0080986367656985E-2</v>
      </c>
      <c r="BB25">
        <f t="shared" si="8"/>
        <v>3.9351355906812064E-3</v>
      </c>
      <c r="BC25">
        <f t="shared" si="8"/>
        <v>0</v>
      </c>
      <c r="BD25">
        <f t="shared" si="8"/>
        <v>0</v>
      </c>
      <c r="BE25">
        <f t="shared" si="8"/>
        <v>0</v>
      </c>
      <c r="BF25">
        <f t="shared" si="8"/>
        <v>0</v>
      </c>
      <c r="BG25">
        <f t="shared" si="8"/>
        <v>0</v>
      </c>
      <c r="BH25">
        <f t="shared" si="8"/>
        <v>0</v>
      </c>
      <c r="BJ25">
        <f t="shared" si="4"/>
        <v>2.1689626121274824E-3</v>
      </c>
      <c r="BK25">
        <f t="shared" si="4"/>
        <v>2.4089753664262546E-2</v>
      </c>
      <c r="BL25">
        <f t="shared" si="4"/>
        <v>7.2040207632421846E-2</v>
      </c>
      <c r="BM25">
        <f t="shared" si="4"/>
        <v>7.3419946089140625E-2</v>
      </c>
      <c r="BN25">
        <f t="shared" si="4"/>
        <v>2.5184044805161343E-2</v>
      </c>
      <c r="BO25">
        <f t="shared" si="4"/>
        <v>2.227016983430237E-3</v>
      </c>
      <c r="BP25">
        <f t="shared" si="4"/>
        <v>0</v>
      </c>
      <c r="BQ25">
        <f t="shared" si="4"/>
        <v>0</v>
      </c>
      <c r="BR25">
        <f t="shared" si="4"/>
        <v>0</v>
      </c>
      <c r="BS25">
        <f t="shared" si="4"/>
        <v>0</v>
      </c>
      <c r="BT25">
        <f t="shared" si="4"/>
        <v>0</v>
      </c>
      <c r="BU25">
        <f t="shared" si="4"/>
        <v>0</v>
      </c>
      <c r="BV25">
        <f t="shared" si="4"/>
        <v>0</v>
      </c>
      <c r="BW25">
        <f t="shared" si="4"/>
        <v>0</v>
      </c>
      <c r="BY25">
        <f t="shared" si="9"/>
        <v>0.19912993178654406</v>
      </c>
      <c r="BZ25">
        <f t="shared" si="5"/>
        <v>1</v>
      </c>
    </row>
    <row r="26" spans="3:78" hidden="1">
      <c r="C26">
        <v>4819540</v>
      </c>
      <c r="D26">
        <v>157</v>
      </c>
      <c r="E26">
        <v>4887400</v>
      </c>
      <c r="F26">
        <v>170</v>
      </c>
      <c r="G26">
        <v>4866520</v>
      </c>
      <c r="H26">
        <v>166</v>
      </c>
      <c r="J26">
        <v>4630750</v>
      </c>
      <c r="K26">
        <v>145</v>
      </c>
      <c r="M26">
        <v>9</v>
      </c>
      <c r="N26">
        <v>5220</v>
      </c>
      <c r="O26">
        <v>4000000</v>
      </c>
      <c r="Q26">
        <v>9</v>
      </c>
      <c r="R26">
        <f t="shared" si="6"/>
        <v>4350</v>
      </c>
      <c r="S26">
        <v>4000000</v>
      </c>
      <c r="U26">
        <v>128000</v>
      </c>
      <c r="V26">
        <v>60</v>
      </c>
      <c r="X26">
        <v>9</v>
      </c>
      <c r="Y26">
        <v>1600</v>
      </c>
      <c r="Z26">
        <f t="shared" si="10"/>
        <v>32000</v>
      </c>
      <c r="AE26">
        <v>8</v>
      </c>
      <c r="AF26">
        <f t="shared" si="2"/>
        <v>0</v>
      </c>
      <c r="AG26">
        <f t="shared" si="2"/>
        <v>0</v>
      </c>
      <c r="AH26">
        <f t="shared" si="2"/>
        <v>0</v>
      </c>
      <c r="AI26">
        <f t="shared" si="2"/>
        <v>1.0781147317755204E-3</v>
      </c>
      <c r="AJ26">
        <f t="shared" si="2"/>
        <v>6.0571044243283847E-3</v>
      </c>
      <c r="AK26">
        <f t="shared" si="2"/>
        <v>5.4448400231833713E-3</v>
      </c>
      <c r="AL26">
        <f t="shared" si="2"/>
        <v>0</v>
      </c>
      <c r="AM26">
        <f t="shared" si="2"/>
        <v>0</v>
      </c>
      <c r="AN26">
        <f t="shared" si="2"/>
        <v>0</v>
      </c>
      <c r="AO26">
        <f t="shared" si="2"/>
        <v>0</v>
      </c>
      <c r="AP26">
        <f t="shared" si="2"/>
        <v>0</v>
      </c>
      <c r="AQ26">
        <f t="shared" si="2"/>
        <v>0</v>
      </c>
      <c r="AR26">
        <f t="shared" si="2"/>
        <v>0</v>
      </c>
      <c r="AS26">
        <f t="shared" si="2"/>
        <v>0</v>
      </c>
      <c r="AU26">
        <f t="shared" si="7"/>
        <v>1.2580059179287277E-2</v>
      </c>
      <c r="AV26">
        <f t="shared" si="8"/>
        <v>4.9764519890438452E-2</v>
      </c>
      <c r="AW26">
        <f t="shared" si="8"/>
        <v>0.12687719981653756</v>
      </c>
      <c r="AX26">
        <f t="shared" si="8"/>
        <v>0.21774573849309584</v>
      </c>
      <c r="AY26">
        <f t="shared" si="8"/>
        <v>0.25470780158628653</v>
      </c>
      <c r="AZ26">
        <f t="shared" si="8"/>
        <v>0.20055668518791825</v>
      </c>
      <c r="BA26">
        <f t="shared" si="8"/>
        <v>0.10177911513436869</v>
      </c>
      <c r="BB26">
        <f t="shared" si="8"/>
        <v>3.0080986367656985E-2</v>
      </c>
      <c r="BC26">
        <f t="shared" si="8"/>
        <v>3.9351355906812064E-3</v>
      </c>
      <c r="BD26">
        <f t="shared" si="8"/>
        <v>0</v>
      </c>
      <c r="BE26">
        <f t="shared" si="8"/>
        <v>0</v>
      </c>
      <c r="BF26">
        <f t="shared" si="8"/>
        <v>0</v>
      </c>
      <c r="BG26">
        <f t="shared" si="8"/>
        <v>0</v>
      </c>
      <c r="BH26">
        <f t="shared" si="8"/>
        <v>0</v>
      </c>
      <c r="BJ26">
        <f t="shared" si="4"/>
        <v>5.4829581553880919E-4</v>
      </c>
      <c r="BK26">
        <f t="shared" si="4"/>
        <v>9.4486245528307977E-3</v>
      </c>
      <c r="BL26">
        <f t="shared" si="4"/>
        <v>4.1976756385032329E-2</v>
      </c>
      <c r="BM26">
        <f t="shared" si="4"/>
        <v>6.2765570122858549E-2</v>
      </c>
      <c r="BN26">
        <f t="shared" si="4"/>
        <v>3.1983838790329219E-2</v>
      </c>
      <c r="BO26">
        <f t="shared" si="4"/>
        <v>4.38835750796524E-3</v>
      </c>
      <c r="BP26">
        <f t="shared" si="4"/>
        <v>0</v>
      </c>
      <c r="BQ26">
        <f t="shared" si="4"/>
        <v>0</v>
      </c>
      <c r="BR26">
        <f t="shared" si="4"/>
        <v>0</v>
      </c>
      <c r="BS26">
        <f t="shared" si="4"/>
        <v>0</v>
      </c>
      <c r="BT26">
        <f t="shared" si="4"/>
        <v>0</v>
      </c>
      <c r="BU26">
        <f t="shared" si="4"/>
        <v>0</v>
      </c>
      <c r="BV26">
        <f t="shared" si="4"/>
        <v>0</v>
      </c>
      <c r="BW26">
        <f t="shared" si="4"/>
        <v>0</v>
      </c>
      <c r="BY26">
        <f t="shared" si="9"/>
        <v>0.15111144317455494</v>
      </c>
      <c r="BZ26">
        <f t="shared" si="5"/>
        <v>1</v>
      </c>
    </row>
    <row r="27" spans="3:78" hidden="1">
      <c r="C27">
        <v>4948600</v>
      </c>
      <c r="D27">
        <v>170</v>
      </c>
      <c r="E27">
        <v>4881640</v>
      </c>
      <c r="F27">
        <v>158</v>
      </c>
      <c r="G27">
        <v>4954180</v>
      </c>
      <c r="H27">
        <v>171</v>
      </c>
      <c r="J27">
        <v>4915120</v>
      </c>
      <c r="K27">
        <v>164</v>
      </c>
      <c r="M27">
        <v>10</v>
      </c>
      <c r="N27">
        <v>5580</v>
      </c>
      <c r="O27">
        <v>4000000</v>
      </c>
      <c r="Q27">
        <v>10</v>
      </c>
      <c r="R27">
        <f t="shared" si="6"/>
        <v>5580</v>
      </c>
      <c r="S27">
        <v>4000000</v>
      </c>
      <c r="U27">
        <v>169600</v>
      </c>
      <c r="V27">
        <v>72</v>
      </c>
      <c r="X27">
        <v>10</v>
      </c>
      <c r="Y27">
        <v>1800</v>
      </c>
      <c r="Z27">
        <f t="shared" si="10"/>
        <v>40000</v>
      </c>
      <c r="AE27">
        <v>9</v>
      </c>
      <c r="AF27">
        <f t="shared" si="2"/>
        <v>0</v>
      </c>
      <c r="AG27">
        <f t="shared" si="2"/>
        <v>0</v>
      </c>
      <c r="AH27">
        <f t="shared" si="2"/>
        <v>0</v>
      </c>
      <c r="AI27">
        <f t="shared" si="2"/>
        <v>0</v>
      </c>
      <c r="AJ27">
        <f t="shared" si="2"/>
        <v>5.7034244042580265E-4</v>
      </c>
      <c r="AK27">
        <f t="shared" si="2"/>
        <v>1.2817276742322378E-3</v>
      </c>
      <c r="AL27">
        <f t="shared" si="2"/>
        <v>0</v>
      </c>
      <c r="AM27">
        <f t="shared" si="2"/>
        <v>0</v>
      </c>
      <c r="AN27">
        <f t="shared" si="2"/>
        <v>0</v>
      </c>
      <c r="AO27">
        <f t="shared" si="2"/>
        <v>0</v>
      </c>
      <c r="AP27">
        <f t="shared" si="2"/>
        <v>0</v>
      </c>
      <c r="AQ27">
        <f t="shared" si="2"/>
        <v>0</v>
      </c>
      <c r="AR27">
        <f t="shared" si="2"/>
        <v>0</v>
      </c>
      <c r="AS27">
        <f t="shared" si="2"/>
        <v>0</v>
      </c>
      <c r="AU27">
        <f t="shared" si="7"/>
        <v>1.8520701146580404E-3</v>
      </c>
      <c r="AV27">
        <f t="shared" si="8"/>
        <v>1.2580059179287277E-2</v>
      </c>
      <c r="AW27">
        <f t="shared" si="8"/>
        <v>4.9764519890438452E-2</v>
      </c>
      <c r="AX27">
        <f t="shared" si="8"/>
        <v>0.12687719981653756</v>
      </c>
      <c r="AY27">
        <f t="shared" si="8"/>
        <v>0.21774573849309584</v>
      </c>
      <c r="AZ27">
        <f t="shared" si="8"/>
        <v>0.25470780158628653</v>
      </c>
      <c r="BA27">
        <f t="shared" si="8"/>
        <v>0.20055668518791825</v>
      </c>
      <c r="BB27">
        <f t="shared" si="8"/>
        <v>0.10177911513436869</v>
      </c>
      <c r="BC27">
        <f t="shared" si="8"/>
        <v>3.0080986367656985E-2</v>
      </c>
      <c r="BD27">
        <f t="shared" si="8"/>
        <v>3.9351355906812064E-3</v>
      </c>
      <c r="BE27">
        <f t="shared" si="8"/>
        <v>0</v>
      </c>
      <c r="BF27">
        <f t="shared" si="8"/>
        <v>0</v>
      </c>
      <c r="BG27">
        <f t="shared" si="8"/>
        <v>0</v>
      </c>
      <c r="BH27">
        <f t="shared" si="8"/>
        <v>0</v>
      </c>
      <c r="BJ27">
        <f t="shared" si="4"/>
        <v>8.072158321985082E-5</v>
      </c>
      <c r="BK27">
        <f t="shared" si="4"/>
        <v>2.3885341664939145E-3</v>
      </c>
      <c r="BL27">
        <f t="shared" si="4"/>
        <v>1.6464369729783004E-2</v>
      </c>
      <c r="BM27">
        <f t="shared" si="4"/>
        <v>3.6572563197737745E-2</v>
      </c>
      <c r="BN27">
        <f t="shared" si="4"/>
        <v>2.7342486385856041E-2</v>
      </c>
      <c r="BO27">
        <f t="shared" si="4"/>
        <v>5.5732317892130557E-3</v>
      </c>
      <c r="BP27">
        <f t="shared" si="4"/>
        <v>0</v>
      </c>
      <c r="BQ27">
        <f t="shared" si="4"/>
        <v>0</v>
      </c>
      <c r="BR27">
        <f t="shared" si="4"/>
        <v>0</v>
      </c>
      <c r="BS27">
        <f t="shared" si="4"/>
        <v>0</v>
      </c>
      <c r="BT27">
        <f t="shared" si="4"/>
        <v>0</v>
      </c>
      <c r="BU27">
        <f t="shared" si="4"/>
        <v>0</v>
      </c>
      <c r="BV27">
        <f t="shared" si="4"/>
        <v>0</v>
      </c>
      <c r="BW27">
        <f t="shared" si="4"/>
        <v>0</v>
      </c>
      <c r="BY27">
        <f t="shared" si="9"/>
        <v>8.8421906852303611E-2</v>
      </c>
      <c r="BZ27">
        <f t="shared" si="5"/>
        <v>1</v>
      </c>
    </row>
    <row r="28" spans="3:78" hidden="1">
      <c r="C28">
        <v>6003860</v>
      </c>
      <c r="D28">
        <v>169</v>
      </c>
      <c r="E28">
        <v>5938520</v>
      </c>
      <c r="F28">
        <v>158</v>
      </c>
      <c r="G28">
        <v>5980100</v>
      </c>
      <c r="H28">
        <v>165</v>
      </c>
      <c r="J28">
        <v>5950400</v>
      </c>
      <c r="K28">
        <v>160</v>
      </c>
      <c r="M28">
        <v>11</v>
      </c>
      <c r="N28">
        <v>5940</v>
      </c>
      <c r="O28">
        <v>5000000</v>
      </c>
      <c r="Q28">
        <v>11</v>
      </c>
      <c r="R28">
        <f t="shared" si="6"/>
        <v>5940</v>
      </c>
      <c r="S28">
        <v>5000000</v>
      </c>
      <c r="U28">
        <v>182400</v>
      </c>
      <c r="V28">
        <v>68</v>
      </c>
      <c r="X28">
        <v>11</v>
      </c>
      <c r="Y28">
        <v>1800</v>
      </c>
      <c r="Z28">
        <f t="shared" si="10"/>
        <v>60000</v>
      </c>
      <c r="AE28">
        <v>10</v>
      </c>
      <c r="AF28">
        <f t="shared" ref="AF28:AS37" si="12">IFERROR(AF$16*COMBIN($AF$65,$AE28-AF$17)*$AF$66^($AE28-AF$17)*(1-$AF$66)^($AF$65-($AE28-AF$17)),0)</f>
        <v>0</v>
      </c>
      <c r="AG28">
        <f t="shared" si="12"/>
        <v>0</v>
      </c>
      <c r="AH28">
        <f t="shared" si="12"/>
        <v>0</v>
      </c>
      <c r="AI28">
        <f t="shared" si="12"/>
        <v>0</v>
      </c>
      <c r="AJ28">
        <f t="shared" si="12"/>
        <v>0</v>
      </c>
      <c r="AK28">
        <f t="shared" si="12"/>
        <v>1.206886390709632E-4</v>
      </c>
      <c r="AL28">
        <f t="shared" si="12"/>
        <v>0</v>
      </c>
      <c r="AM28">
        <f t="shared" si="12"/>
        <v>0</v>
      </c>
      <c r="AN28">
        <f t="shared" si="12"/>
        <v>0</v>
      </c>
      <c r="AO28">
        <f t="shared" si="12"/>
        <v>0</v>
      </c>
      <c r="AP28">
        <f t="shared" si="12"/>
        <v>0</v>
      </c>
      <c r="AQ28">
        <f t="shared" si="12"/>
        <v>0</v>
      </c>
      <c r="AR28">
        <f t="shared" si="12"/>
        <v>0</v>
      </c>
      <c r="AS28">
        <f t="shared" si="12"/>
        <v>0</v>
      </c>
      <c r="AU28">
        <f t="shared" si="7"/>
        <v>1.206886390709632E-4</v>
      </c>
      <c r="AV28">
        <f t="shared" si="8"/>
        <v>1.8520701146580404E-3</v>
      </c>
      <c r="AW28">
        <f t="shared" si="8"/>
        <v>1.2580059179287277E-2</v>
      </c>
      <c r="AX28">
        <f t="shared" si="8"/>
        <v>4.9764519890438452E-2</v>
      </c>
      <c r="AY28">
        <f t="shared" si="8"/>
        <v>0.12687719981653756</v>
      </c>
      <c r="AZ28">
        <f t="shared" si="8"/>
        <v>0.21774573849309584</v>
      </c>
      <c r="BA28">
        <f t="shared" si="8"/>
        <v>0.25470780158628653</v>
      </c>
      <c r="BB28">
        <f t="shared" si="8"/>
        <v>0.20055668518791825</v>
      </c>
      <c r="BC28">
        <f t="shared" si="8"/>
        <v>0.10177911513436869</v>
      </c>
      <c r="BD28">
        <f t="shared" si="8"/>
        <v>3.0080986367656985E-2</v>
      </c>
      <c r="BE28">
        <f t="shared" si="8"/>
        <v>3.9351355906812064E-3</v>
      </c>
      <c r="BF28">
        <f t="shared" si="8"/>
        <v>0</v>
      </c>
      <c r="BG28">
        <f t="shared" si="8"/>
        <v>0</v>
      </c>
      <c r="BH28">
        <f t="shared" si="8"/>
        <v>0</v>
      </c>
      <c r="BJ28">
        <f t="shared" si="4"/>
        <v>5.2601561600469191E-6</v>
      </c>
      <c r="BK28">
        <f t="shared" si="4"/>
        <v>3.5164641791881121E-4</v>
      </c>
      <c r="BL28">
        <f t="shared" si="4"/>
        <v>4.1620565416151433E-3</v>
      </c>
      <c r="BM28">
        <f t="shared" si="4"/>
        <v>1.4344705363373813E-2</v>
      </c>
      <c r="BN28">
        <f t="shared" si="4"/>
        <v>1.5932059716379763E-2</v>
      </c>
      <c r="BO28">
        <f t="shared" si="4"/>
        <v>4.7644691846012617E-3</v>
      </c>
      <c r="BP28">
        <f t="shared" si="4"/>
        <v>0</v>
      </c>
      <c r="BQ28">
        <f t="shared" si="4"/>
        <v>0</v>
      </c>
      <c r="BR28">
        <f t="shared" si="4"/>
        <v>0</v>
      </c>
      <c r="BS28">
        <f t="shared" si="4"/>
        <v>0</v>
      </c>
      <c r="BT28">
        <f t="shared" si="4"/>
        <v>0</v>
      </c>
      <c r="BU28">
        <f t="shared" si="4"/>
        <v>0</v>
      </c>
      <c r="BV28">
        <f t="shared" si="4"/>
        <v>0</v>
      </c>
      <c r="BW28">
        <f t="shared" si="4"/>
        <v>0</v>
      </c>
      <c r="BY28">
        <f t="shared" si="9"/>
        <v>3.9560197380048831E-2</v>
      </c>
      <c r="BZ28">
        <f t="shared" si="5"/>
        <v>1</v>
      </c>
    </row>
    <row r="29" spans="3:78" hidden="1">
      <c r="C29">
        <v>6121400</v>
      </c>
      <c r="D29">
        <v>178</v>
      </c>
      <c r="E29">
        <v>5989100</v>
      </c>
      <c r="F29">
        <v>157</v>
      </c>
      <c r="G29">
        <v>5837900</v>
      </c>
      <c r="H29">
        <v>133</v>
      </c>
      <c r="J29">
        <v>6001700</v>
      </c>
      <c r="K29">
        <v>159</v>
      </c>
      <c r="M29">
        <v>12</v>
      </c>
      <c r="N29">
        <v>6300</v>
      </c>
      <c r="O29">
        <v>5000000</v>
      </c>
      <c r="Q29">
        <v>12</v>
      </c>
      <c r="R29">
        <f t="shared" si="6"/>
        <v>6300</v>
      </c>
      <c r="S29">
        <v>5000000</v>
      </c>
      <c r="X29">
        <v>12</v>
      </c>
      <c r="AE29">
        <v>11</v>
      </c>
      <c r="AF29">
        <f t="shared" si="12"/>
        <v>0</v>
      </c>
      <c r="AG29">
        <f t="shared" si="12"/>
        <v>0</v>
      </c>
      <c r="AH29">
        <f t="shared" si="12"/>
        <v>0</v>
      </c>
      <c r="AI29">
        <f t="shared" si="12"/>
        <v>0</v>
      </c>
      <c r="AJ29">
        <f t="shared" si="12"/>
        <v>0</v>
      </c>
      <c r="AK29">
        <f t="shared" si="12"/>
        <v>0</v>
      </c>
      <c r="AL29">
        <f t="shared" si="12"/>
        <v>0</v>
      </c>
      <c r="AM29">
        <f t="shared" si="12"/>
        <v>0</v>
      </c>
      <c r="AN29">
        <f t="shared" si="12"/>
        <v>0</v>
      </c>
      <c r="AO29">
        <f t="shared" si="12"/>
        <v>0</v>
      </c>
      <c r="AP29">
        <f t="shared" si="12"/>
        <v>0</v>
      </c>
      <c r="AQ29">
        <f t="shared" si="12"/>
        <v>0</v>
      </c>
      <c r="AR29">
        <f t="shared" si="12"/>
        <v>0</v>
      </c>
      <c r="AS29">
        <f t="shared" si="12"/>
        <v>0</v>
      </c>
      <c r="AU29">
        <f t="shared" si="7"/>
        <v>0</v>
      </c>
      <c r="AV29">
        <f t="shared" si="8"/>
        <v>1.206886390709632E-4</v>
      </c>
      <c r="AW29">
        <f t="shared" si="8"/>
        <v>1.8520701146580404E-3</v>
      </c>
      <c r="AX29">
        <f t="shared" si="8"/>
        <v>1.2580059179287277E-2</v>
      </c>
      <c r="AY29">
        <f t="shared" si="8"/>
        <v>4.9764519890438452E-2</v>
      </c>
      <c r="AZ29">
        <f t="shared" si="8"/>
        <v>0.12687719981653756</v>
      </c>
      <c r="BA29">
        <f t="shared" si="8"/>
        <v>0.21774573849309584</v>
      </c>
      <c r="BB29">
        <f t="shared" si="8"/>
        <v>0.25470780158628653</v>
      </c>
      <c r="BC29">
        <f t="shared" si="8"/>
        <v>0.20055668518791825</v>
      </c>
      <c r="BD29">
        <f t="shared" si="8"/>
        <v>0.10177911513436869</v>
      </c>
      <c r="BE29">
        <f t="shared" si="8"/>
        <v>3.0080986367656985E-2</v>
      </c>
      <c r="BF29">
        <f t="shared" si="8"/>
        <v>3.9351355906812064E-3</v>
      </c>
      <c r="BG29">
        <f t="shared" si="8"/>
        <v>0</v>
      </c>
      <c r="BH29">
        <f t="shared" si="8"/>
        <v>0</v>
      </c>
      <c r="BJ29">
        <f t="shared" si="4"/>
        <v>0</v>
      </c>
      <c r="BK29">
        <f t="shared" si="4"/>
        <v>2.291475213433613E-5</v>
      </c>
      <c r="BL29">
        <f t="shared" si="4"/>
        <v>6.1274914739146134E-4</v>
      </c>
      <c r="BM29">
        <f t="shared" si="4"/>
        <v>3.6262229150000195E-3</v>
      </c>
      <c r="BN29">
        <f t="shared" si="4"/>
        <v>6.24896595919428E-3</v>
      </c>
      <c r="BO29">
        <f t="shared" si="4"/>
        <v>2.7761852559679708E-3</v>
      </c>
      <c r="BP29">
        <f t="shared" si="4"/>
        <v>0</v>
      </c>
      <c r="BQ29">
        <f t="shared" si="4"/>
        <v>0</v>
      </c>
      <c r="BR29">
        <f t="shared" si="4"/>
        <v>0</v>
      </c>
      <c r="BS29">
        <f t="shared" si="4"/>
        <v>0</v>
      </c>
      <c r="BT29">
        <f t="shared" si="4"/>
        <v>0</v>
      </c>
      <c r="BU29">
        <f t="shared" si="4"/>
        <v>0</v>
      </c>
      <c r="BV29">
        <f t="shared" si="4"/>
        <v>0</v>
      </c>
      <c r="BW29">
        <f t="shared" si="4"/>
        <v>0</v>
      </c>
      <c r="BY29">
        <f t="shared" si="9"/>
        <v>1.3287038029688067E-2</v>
      </c>
      <c r="BZ29">
        <f t="shared" si="5"/>
        <v>1</v>
      </c>
    </row>
    <row r="30" spans="3:78" hidden="1">
      <c r="C30">
        <v>7013800</v>
      </c>
      <c r="D30">
        <v>137</v>
      </c>
      <c r="E30">
        <v>6984200</v>
      </c>
      <c r="F30">
        <v>133</v>
      </c>
      <c r="G30">
        <v>7295000</v>
      </c>
      <c r="H30">
        <v>175</v>
      </c>
      <c r="J30">
        <v>7013800</v>
      </c>
      <c r="K30">
        <v>137</v>
      </c>
      <c r="M30">
        <v>13</v>
      </c>
      <c r="N30">
        <v>7400</v>
      </c>
      <c r="O30">
        <v>6000000</v>
      </c>
      <c r="Q30">
        <v>13</v>
      </c>
      <c r="R30">
        <f t="shared" si="6"/>
        <v>7400</v>
      </c>
      <c r="S30">
        <v>6000000</v>
      </c>
      <c r="U30">
        <v>240000</v>
      </c>
      <c r="V30">
        <v>120</v>
      </c>
      <c r="X30">
        <v>13</v>
      </c>
      <c r="Y30">
        <f t="shared" si="11"/>
        <v>2000</v>
      </c>
      <c r="Z30">
        <f t="shared" si="10"/>
        <v>0</v>
      </c>
      <c r="AE30">
        <v>12</v>
      </c>
      <c r="AF30">
        <f t="shared" si="12"/>
        <v>0</v>
      </c>
      <c r="AG30">
        <f t="shared" si="12"/>
        <v>0</v>
      </c>
      <c r="AH30">
        <f t="shared" si="12"/>
        <v>0</v>
      </c>
      <c r="AI30">
        <f t="shared" si="12"/>
        <v>0</v>
      </c>
      <c r="AJ30">
        <f t="shared" si="12"/>
        <v>0</v>
      </c>
      <c r="AK30">
        <f t="shared" si="12"/>
        <v>0</v>
      </c>
      <c r="AL30">
        <f t="shared" si="12"/>
        <v>0</v>
      </c>
      <c r="AM30">
        <f t="shared" si="12"/>
        <v>0</v>
      </c>
      <c r="AN30">
        <f t="shared" si="12"/>
        <v>0</v>
      </c>
      <c r="AO30">
        <f t="shared" si="12"/>
        <v>0</v>
      </c>
      <c r="AP30">
        <f t="shared" si="12"/>
        <v>0</v>
      </c>
      <c r="AQ30">
        <f t="shared" si="12"/>
        <v>0</v>
      </c>
      <c r="AR30">
        <f t="shared" si="12"/>
        <v>0</v>
      </c>
      <c r="AS30">
        <f t="shared" si="12"/>
        <v>0</v>
      </c>
      <c r="AU30">
        <f t="shared" si="7"/>
        <v>0</v>
      </c>
      <c r="AV30">
        <f t="shared" si="8"/>
        <v>0</v>
      </c>
      <c r="AW30">
        <f t="shared" si="8"/>
        <v>1.206886390709632E-4</v>
      </c>
      <c r="AX30">
        <f t="shared" si="8"/>
        <v>1.8520701146580404E-3</v>
      </c>
      <c r="AY30">
        <f t="shared" si="8"/>
        <v>1.2580059179287277E-2</v>
      </c>
      <c r="AZ30">
        <f t="shared" si="8"/>
        <v>4.9764519890438452E-2</v>
      </c>
      <c r="BA30">
        <f t="shared" si="8"/>
        <v>0.12687719981653756</v>
      </c>
      <c r="BB30">
        <f t="shared" si="8"/>
        <v>0.21774573849309584</v>
      </c>
      <c r="BC30">
        <f t="shared" si="8"/>
        <v>0.25470780158628653</v>
      </c>
      <c r="BD30">
        <f t="shared" si="8"/>
        <v>0.20055668518791825</v>
      </c>
      <c r="BE30">
        <f t="shared" si="8"/>
        <v>0.10177911513436869</v>
      </c>
      <c r="BF30">
        <f t="shared" si="8"/>
        <v>3.0080986367656985E-2</v>
      </c>
      <c r="BG30">
        <f t="shared" si="8"/>
        <v>3.9351355906812064E-3</v>
      </c>
      <c r="BH30">
        <f t="shared" si="8"/>
        <v>0</v>
      </c>
      <c r="BJ30">
        <f t="shared" si="4"/>
        <v>0</v>
      </c>
      <c r="BK30">
        <f t="shared" si="4"/>
        <v>0</v>
      </c>
      <c r="BL30">
        <f t="shared" si="4"/>
        <v>3.9929298629292291E-5</v>
      </c>
      <c r="BM30">
        <f t="shared" si="4"/>
        <v>5.3386228111052458E-4</v>
      </c>
      <c r="BN30">
        <f t="shared" si="4"/>
        <v>1.5796869285404276E-3</v>
      </c>
      <c r="BO30">
        <f t="shared" si="4"/>
        <v>1.0888916731290632E-3</v>
      </c>
      <c r="BP30">
        <f t="shared" si="4"/>
        <v>0</v>
      </c>
      <c r="BQ30">
        <f t="shared" si="4"/>
        <v>0</v>
      </c>
      <c r="BR30">
        <f t="shared" si="4"/>
        <v>0</v>
      </c>
      <c r="BS30">
        <f t="shared" si="4"/>
        <v>0</v>
      </c>
      <c r="BT30">
        <f t="shared" si="4"/>
        <v>0</v>
      </c>
      <c r="BU30">
        <f t="shared" si="4"/>
        <v>0</v>
      </c>
      <c r="BV30">
        <f t="shared" si="4"/>
        <v>0</v>
      </c>
      <c r="BW30">
        <f t="shared" si="4"/>
        <v>0</v>
      </c>
      <c r="BY30">
        <f t="shared" si="9"/>
        <v>3.2423701814093078E-3</v>
      </c>
      <c r="BZ30">
        <f t="shared" si="5"/>
        <v>1</v>
      </c>
    </row>
    <row r="31" spans="3:78" hidden="1">
      <c r="C31">
        <v>7888400</v>
      </c>
      <c r="D31">
        <v>178</v>
      </c>
      <c r="E31">
        <v>7521800</v>
      </c>
      <c r="F31" s="719">
        <v>131</v>
      </c>
      <c r="G31">
        <v>7872800</v>
      </c>
      <c r="H31">
        <v>176</v>
      </c>
      <c r="J31">
        <v>7224600</v>
      </c>
      <c r="K31">
        <v>157</v>
      </c>
      <c r="M31">
        <v>14</v>
      </c>
      <c r="N31">
        <v>7800</v>
      </c>
      <c r="O31">
        <v>6500000</v>
      </c>
      <c r="Q31">
        <v>14</v>
      </c>
      <c r="R31">
        <f t="shared" si="6"/>
        <v>7800</v>
      </c>
      <c r="S31">
        <v>6000000</v>
      </c>
      <c r="U31">
        <v>288900</v>
      </c>
      <c r="V31">
        <v>107</v>
      </c>
      <c r="X31">
        <v>14</v>
      </c>
      <c r="Y31">
        <f t="shared" si="11"/>
        <v>2700</v>
      </c>
      <c r="Z31">
        <f t="shared" si="10"/>
        <v>0</v>
      </c>
      <c r="AE31">
        <v>13</v>
      </c>
      <c r="AF31">
        <f t="shared" si="12"/>
        <v>0</v>
      </c>
      <c r="AG31">
        <f t="shared" si="12"/>
        <v>0</v>
      </c>
      <c r="AH31">
        <f t="shared" si="12"/>
        <v>0</v>
      </c>
      <c r="AI31">
        <f t="shared" si="12"/>
        <v>0</v>
      </c>
      <c r="AJ31">
        <f t="shared" si="12"/>
        <v>0</v>
      </c>
      <c r="AK31">
        <f t="shared" si="12"/>
        <v>0</v>
      </c>
      <c r="AL31">
        <f t="shared" si="12"/>
        <v>0</v>
      </c>
      <c r="AM31">
        <f t="shared" si="12"/>
        <v>0</v>
      </c>
      <c r="AN31">
        <f t="shared" si="12"/>
        <v>0</v>
      </c>
      <c r="AO31">
        <f t="shared" si="12"/>
        <v>0</v>
      </c>
      <c r="AP31">
        <f t="shared" si="12"/>
        <v>0</v>
      </c>
      <c r="AQ31">
        <f t="shared" si="12"/>
        <v>0</v>
      </c>
      <c r="AR31">
        <f t="shared" si="12"/>
        <v>0</v>
      </c>
      <c r="AS31">
        <f t="shared" si="12"/>
        <v>0</v>
      </c>
      <c r="AU31">
        <f t="shared" si="7"/>
        <v>0</v>
      </c>
      <c r="AV31">
        <f t="shared" si="8"/>
        <v>0</v>
      </c>
      <c r="AW31">
        <f t="shared" si="8"/>
        <v>0</v>
      </c>
      <c r="AX31">
        <f t="shared" si="8"/>
        <v>1.206886390709632E-4</v>
      </c>
      <c r="AY31">
        <f t="shared" si="8"/>
        <v>1.8520701146580404E-3</v>
      </c>
      <c r="AZ31">
        <f t="shared" si="8"/>
        <v>1.2580059179287277E-2</v>
      </c>
      <c r="BA31">
        <f t="shared" si="8"/>
        <v>4.9764519890438452E-2</v>
      </c>
      <c r="BB31">
        <f t="shared" si="8"/>
        <v>0.12687719981653756</v>
      </c>
      <c r="BC31">
        <f t="shared" si="8"/>
        <v>0.21774573849309584</v>
      </c>
      <c r="BD31">
        <f t="shared" si="8"/>
        <v>0.25470780158628653</v>
      </c>
      <c r="BE31">
        <f t="shared" si="8"/>
        <v>0.20055668518791825</v>
      </c>
      <c r="BF31">
        <f t="shared" si="8"/>
        <v>0.10177911513436869</v>
      </c>
      <c r="BG31">
        <f t="shared" si="8"/>
        <v>3.0080986367656985E-2</v>
      </c>
      <c r="BH31">
        <f t="shared" si="8"/>
        <v>3.9351355906812064E-3</v>
      </c>
      <c r="BJ31">
        <f t="shared" si="4"/>
        <v>0</v>
      </c>
      <c r="BK31">
        <f t="shared" si="4"/>
        <v>0</v>
      </c>
      <c r="BL31">
        <f t="shared" si="4"/>
        <v>0</v>
      </c>
      <c r="BM31">
        <f t="shared" si="4"/>
        <v>3.4788700302766629E-5</v>
      </c>
      <c r="BN31">
        <f t="shared" si="4"/>
        <v>2.3256575419635124E-4</v>
      </c>
      <c r="BO31">
        <f t="shared" si="4"/>
        <v>2.7526281209896069E-4</v>
      </c>
      <c r="BP31">
        <f t="shared" si="4"/>
        <v>0</v>
      </c>
      <c r="BQ31">
        <f t="shared" si="4"/>
        <v>0</v>
      </c>
      <c r="BR31">
        <f t="shared" si="4"/>
        <v>0</v>
      </c>
      <c r="BS31">
        <f t="shared" si="4"/>
        <v>0</v>
      </c>
      <c r="BT31">
        <f t="shared" si="4"/>
        <v>0</v>
      </c>
      <c r="BU31">
        <f t="shared" si="4"/>
        <v>0</v>
      </c>
      <c r="BV31">
        <f t="shared" si="4"/>
        <v>0</v>
      </c>
      <c r="BW31">
        <f t="shared" si="4"/>
        <v>0</v>
      </c>
      <c r="BY31">
        <f t="shared" si="9"/>
        <v>5.4261726659807848E-4</v>
      </c>
      <c r="BZ31">
        <f t="shared" si="5"/>
        <v>1</v>
      </c>
    </row>
    <row r="32" spans="3:78" hidden="1">
      <c r="C32">
        <v>8551440</v>
      </c>
      <c r="D32">
        <v>172</v>
      </c>
      <c r="E32">
        <v>8262800</v>
      </c>
      <c r="F32">
        <v>140</v>
      </c>
      <c r="G32">
        <v>8659680</v>
      </c>
      <c r="H32">
        <v>184</v>
      </c>
      <c r="J32">
        <v>8221800</v>
      </c>
      <c r="K32">
        <v>149</v>
      </c>
      <c r="M32">
        <v>15</v>
      </c>
      <c r="N32">
        <v>9020</v>
      </c>
      <c r="O32">
        <v>7000000</v>
      </c>
      <c r="Q32">
        <v>15</v>
      </c>
      <c r="R32">
        <f t="shared" si="6"/>
        <v>8200</v>
      </c>
      <c r="S32">
        <v>7000000</v>
      </c>
      <c r="U32">
        <v>356500</v>
      </c>
      <c r="V32">
        <v>115</v>
      </c>
      <c r="X32">
        <v>15</v>
      </c>
      <c r="Y32">
        <f t="shared" si="11"/>
        <v>3100</v>
      </c>
      <c r="Z32">
        <f t="shared" si="10"/>
        <v>0</v>
      </c>
      <c r="AE32">
        <v>14</v>
      </c>
      <c r="AF32">
        <f t="shared" si="12"/>
        <v>0</v>
      </c>
      <c r="AG32">
        <f t="shared" si="12"/>
        <v>0</v>
      </c>
      <c r="AH32">
        <f t="shared" si="12"/>
        <v>0</v>
      </c>
      <c r="AI32">
        <f t="shared" si="12"/>
        <v>0</v>
      </c>
      <c r="AJ32">
        <f t="shared" si="12"/>
        <v>0</v>
      </c>
      <c r="AK32">
        <f t="shared" si="12"/>
        <v>0</v>
      </c>
      <c r="AL32">
        <f t="shared" si="12"/>
        <v>0</v>
      </c>
      <c r="AM32">
        <f t="shared" si="12"/>
        <v>0</v>
      </c>
      <c r="AN32">
        <f t="shared" si="12"/>
        <v>0</v>
      </c>
      <c r="AO32">
        <f t="shared" si="12"/>
        <v>0</v>
      </c>
      <c r="AP32">
        <f t="shared" si="12"/>
        <v>0</v>
      </c>
      <c r="AQ32">
        <f t="shared" si="12"/>
        <v>0</v>
      </c>
      <c r="AR32">
        <f t="shared" si="12"/>
        <v>0</v>
      </c>
      <c r="AS32">
        <f t="shared" si="12"/>
        <v>0</v>
      </c>
      <c r="AU32">
        <f t="shared" si="7"/>
        <v>0</v>
      </c>
      <c r="AV32">
        <f t="shared" si="8"/>
        <v>0</v>
      </c>
      <c r="AW32">
        <f t="shared" si="8"/>
        <v>0</v>
      </c>
      <c r="AX32">
        <f t="shared" si="8"/>
        <v>0</v>
      </c>
      <c r="AY32">
        <f t="shared" si="8"/>
        <v>1.206886390709632E-4</v>
      </c>
      <c r="AZ32">
        <f t="shared" si="8"/>
        <v>1.8520701146580404E-3</v>
      </c>
      <c r="BA32">
        <f t="shared" si="8"/>
        <v>1.2580059179287277E-2</v>
      </c>
      <c r="BB32">
        <f t="shared" si="8"/>
        <v>4.9764519890438452E-2</v>
      </c>
      <c r="BC32">
        <f t="shared" si="8"/>
        <v>0.12687719981653756</v>
      </c>
      <c r="BD32">
        <f t="shared" si="8"/>
        <v>0.21774573849309584</v>
      </c>
      <c r="BE32">
        <f t="shared" si="8"/>
        <v>0.25470780158628653</v>
      </c>
      <c r="BF32">
        <f t="shared" si="8"/>
        <v>0.20055668518791825</v>
      </c>
      <c r="BG32">
        <f t="shared" si="8"/>
        <v>0.10177911513436869</v>
      </c>
      <c r="BH32">
        <f t="shared" si="8"/>
        <v>3.0080986367656985E-2</v>
      </c>
      <c r="BJ32">
        <f t="shared" si="4"/>
        <v>0</v>
      </c>
      <c r="BK32">
        <f t="shared" si="4"/>
        <v>0</v>
      </c>
      <c r="BL32">
        <f t="shared" si="4"/>
        <v>0</v>
      </c>
      <c r="BM32">
        <f t="shared" si="4"/>
        <v>0</v>
      </c>
      <c r="BN32">
        <f t="shared" si="4"/>
        <v>1.5154957766624384E-5</v>
      </c>
      <c r="BO32">
        <f t="shared" si="4"/>
        <v>4.0524930821040844E-5</v>
      </c>
      <c r="BP32">
        <f t="shared" si="4"/>
        <v>0</v>
      </c>
      <c r="BQ32">
        <f t="shared" si="4"/>
        <v>0</v>
      </c>
      <c r="BR32">
        <f t="shared" si="4"/>
        <v>0</v>
      </c>
      <c r="BS32">
        <f t="shared" si="4"/>
        <v>0</v>
      </c>
      <c r="BT32">
        <f t="shared" si="4"/>
        <v>0</v>
      </c>
      <c r="BU32">
        <f t="shared" si="4"/>
        <v>0</v>
      </c>
      <c r="BV32">
        <f t="shared" si="4"/>
        <v>0</v>
      </c>
      <c r="BW32">
        <f t="shared" si="4"/>
        <v>0</v>
      </c>
      <c r="BY32">
        <f t="shared" si="9"/>
        <v>5.5679888587665227E-5</v>
      </c>
      <c r="BZ32">
        <f t="shared" si="5"/>
        <v>1</v>
      </c>
    </row>
    <row r="33" spans="3:78" hidden="1">
      <c r="C33">
        <v>8994680</v>
      </c>
      <c r="D33">
        <v>158</v>
      </c>
      <c r="E33">
        <v>9079820</v>
      </c>
      <c r="F33">
        <v>167</v>
      </c>
      <c r="G33">
        <v>9325780</v>
      </c>
      <c r="H33">
        <v>193</v>
      </c>
      <c r="J33">
        <v>8664960</v>
      </c>
      <c r="K33">
        <v>176</v>
      </c>
      <c r="M33">
        <v>16</v>
      </c>
      <c r="N33">
        <v>9460</v>
      </c>
      <c r="O33">
        <v>7500000</v>
      </c>
      <c r="Q33">
        <v>16</v>
      </c>
      <c r="R33">
        <f t="shared" si="6"/>
        <v>9460</v>
      </c>
      <c r="S33">
        <v>7000000</v>
      </c>
      <c r="X33">
        <v>16</v>
      </c>
      <c r="AE33">
        <v>15</v>
      </c>
      <c r="AF33">
        <f t="shared" si="12"/>
        <v>0</v>
      </c>
      <c r="AG33">
        <f t="shared" si="12"/>
        <v>0</v>
      </c>
      <c r="AH33">
        <f t="shared" si="12"/>
        <v>0</v>
      </c>
      <c r="AI33">
        <f t="shared" si="12"/>
        <v>0</v>
      </c>
      <c r="AJ33">
        <f t="shared" si="12"/>
        <v>0</v>
      </c>
      <c r="AK33">
        <f t="shared" si="12"/>
        <v>0</v>
      </c>
      <c r="AL33">
        <f t="shared" si="12"/>
        <v>0</v>
      </c>
      <c r="AM33">
        <f t="shared" si="12"/>
        <v>0</v>
      </c>
      <c r="AN33">
        <f t="shared" si="12"/>
        <v>0</v>
      </c>
      <c r="AO33">
        <f t="shared" si="12"/>
        <v>0</v>
      </c>
      <c r="AP33">
        <f t="shared" si="12"/>
        <v>0</v>
      </c>
      <c r="AQ33">
        <f t="shared" si="12"/>
        <v>0</v>
      </c>
      <c r="AR33">
        <f t="shared" si="12"/>
        <v>0</v>
      </c>
      <c r="AS33">
        <f t="shared" si="12"/>
        <v>0</v>
      </c>
      <c r="AU33">
        <f t="shared" si="7"/>
        <v>0</v>
      </c>
      <c r="AV33">
        <f t="shared" si="8"/>
        <v>0</v>
      </c>
      <c r="AW33">
        <f t="shared" si="8"/>
        <v>0</v>
      </c>
      <c r="AX33">
        <f t="shared" si="8"/>
        <v>0</v>
      </c>
      <c r="AY33">
        <f t="shared" si="8"/>
        <v>0</v>
      </c>
      <c r="AZ33">
        <f t="shared" si="8"/>
        <v>1.206886390709632E-4</v>
      </c>
      <c r="BA33">
        <f t="shared" si="8"/>
        <v>1.8520701146580404E-3</v>
      </c>
      <c r="BB33">
        <f t="shared" si="8"/>
        <v>1.2580059179287277E-2</v>
      </c>
      <c r="BC33">
        <f t="shared" si="8"/>
        <v>4.9764519890438452E-2</v>
      </c>
      <c r="BD33">
        <f t="shared" si="8"/>
        <v>0.12687719981653756</v>
      </c>
      <c r="BE33">
        <f t="shared" si="8"/>
        <v>0.21774573849309584</v>
      </c>
      <c r="BF33">
        <f t="shared" si="8"/>
        <v>0.25470780158628653</v>
      </c>
      <c r="BG33">
        <f t="shared" si="8"/>
        <v>0.20055668518791825</v>
      </c>
      <c r="BH33">
        <f t="shared" si="8"/>
        <v>0.10177911513436869</v>
      </c>
      <c r="BJ33">
        <f t="shared" si="4"/>
        <v>0</v>
      </c>
      <c r="BK33">
        <f t="shared" si="4"/>
        <v>0</v>
      </c>
      <c r="BL33">
        <f t="shared" si="4"/>
        <v>0</v>
      </c>
      <c r="BM33">
        <f t="shared" si="4"/>
        <v>0</v>
      </c>
      <c r="BN33">
        <f t="shared" si="4"/>
        <v>0</v>
      </c>
      <c r="BO33">
        <f t="shared" si="4"/>
        <v>2.6407740778968237E-6</v>
      </c>
      <c r="BP33">
        <f t="shared" si="4"/>
        <v>0</v>
      </c>
      <c r="BQ33">
        <f t="shared" si="4"/>
        <v>0</v>
      </c>
      <c r="BR33">
        <f t="shared" si="4"/>
        <v>0</v>
      </c>
      <c r="BS33">
        <f t="shared" si="4"/>
        <v>0</v>
      </c>
      <c r="BT33">
        <f t="shared" si="4"/>
        <v>0</v>
      </c>
      <c r="BU33">
        <f t="shared" si="4"/>
        <v>0</v>
      </c>
      <c r="BV33">
        <f t="shared" si="4"/>
        <v>0</v>
      </c>
      <c r="BW33">
        <f t="shared" si="4"/>
        <v>0</v>
      </c>
      <c r="BY33">
        <f t="shared" si="9"/>
        <v>2.6407740778968237E-6</v>
      </c>
      <c r="BZ33">
        <f t="shared" si="5"/>
        <v>1</v>
      </c>
    </row>
    <row r="34" spans="3:78" hidden="1">
      <c r="C34">
        <v>9623600</v>
      </c>
      <c r="D34">
        <v>164</v>
      </c>
      <c r="E34">
        <v>9742400</v>
      </c>
      <c r="F34">
        <v>176</v>
      </c>
      <c r="G34">
        <v>9554300</v>
      </c>
      <c r="H34">
        <v>157</v>
      </c>
      <c r="J34">
        <v>9643400</v>
      </c>
      <c r="K34">
        <v>166</v>
      </c>
      <c r="M34">
        <v>17</v>
      </c>
      <c r="N34">
        <v>9900</v>
      </c>
      <c r="O34">
        <v>8000000</v>
      </c>
      <c r="Q34">
        <v>17</v>
      </c>
      <c r="R34">
        <f t="shared" si="6"/>
        <v>9900</v>
      </c>
      <c r="S34">
        <v>8000000</v>
      </c>
      <c r="U34">
        <v>405000</v>
      </c>
      <c r="V34">
        <v>110</v>
      </c>
      <c r="X34">
        <v>17</v>
      </c>
      <c r="Y34">
        <v>3500</v>
      </c>
      <c r="Z34">
        <f t="shared" si="10"/>
        <v>20000</v>
      </c>
      <c r="AE34">
        <v>16</v>
      </c>
      <c r="AF34">
        <f t="shared" si="12"/>
        <v>0</v>
      </c>
      <c r="AG34">
        <f t="shared" si="12"/>
        <v>0</v>
      </c>
      <c r="AH34">
        <f t="shared" si="12"/>
        <v>0</v>
      </c>
      <c r="AI34">
        <f t="shared" si="12"/>
        <v>0</v>
      </c>
      <c r="AJ34">
        <f t="shared" si="12"/>
        <v>0</v>
      </c>
      <c r="AK34">
        <f t="shared" si="12"/>
        <v>0</v>
      </c>
      <c r="AL34">
        <f t="shared" si="12"/>
        <v>0</v>
      </c>
      <c r="AM34">
        <f t="shared" si="12"/>
        <v>0</v>
      </c>
      <c r="AN34">
        <f t="shared" si="12"/>
        <v>0</v>
      </c>
      <c r="AO34">
        <f t="shared" si="12"/>
        <v>0</v>
      </c>
      <c r="AP34">
        <f t="shared" si="12"/>
        <v>0</v>
      </c>
      <c r="AQ34">
        <f t="shared" si="12"/>
        <v>0</v>
      </c>
      <c r="AR34">
        <f t="shared" si="12"/>
        <v>0</v>
      </c>
      <c r="AS34">
        <f t="shared" si="12"/>
        <v>0</v>
      </c>
      <c r="AU34">
        <f t="shared" si="7"/>
        <v>0</v>
      </c>
      <c r="AV34">
        <f t="shared" si="8"/>
        <v>0</v>
      </c>
      <c r="AW34">
        <f t="shared" si="8"/>
        <v>0</v>
      </c>
      <c r="AX34">
        <f t="shared" si="8"/>
        <v>0</v>
      </c>
      <c r="AY34">
        <f t="shared" si="8"/>
        <v>0</v>
      </c>
      <c r="AZ34">
        <f t="shared" si="8"/>
        <v>0</v>
      </c>
      <c r="BA34">
        <f t="shared" si="8"/>
        <v>1.206886390709632E-4</v>
      </c>
      <c r="BB34">
        <f t="shared" si="8"/>
        <v>1.8520701146580404E-3</v>
      </c>
      <c r="BC34">
        <f t="shared" si="8"/>
        <v>1.2580059179287277E-2</v>
      </c>
      <c r="BD34">
        <f t="shared" si="8"/>
        <v>4.9764519890438452E-2</v>
      </c>
      <c r="BE34">
        <f t="shared" si="8"/>
        <v>0.12687719981653756</v>
      </c>
      <c r="BF34">
        <f t="shared" si="8"/>
        <v>0.21774573849309584</v>
      </c>
      <c r="BG34">
        <f t="shared" si="8"/>
        <v>0.25470780158628653</v>
      </c>
      <c r="BH34">
        <f t="shared" si="8"/>
        <v>0.20055668518791825</v>
      </c>
      <c r="BJ34">
        <f t="shared" si="4"/>
        <v>0</v>
      </c>
      <c r="BK34">
        <f t="shared" si="4"/>
        <v>0</v>
      </c>
      <c r="BL34">
        <f t="shared" si="4"/>
        <v>0</v>
      </c>
      <c r="BM34">
        <f t="shared" si="4"/>
        <v>0</v>
      </c>
      <c r="BN34">
        <f t="shared" si="4"/>
        <v>0</v>
      </c>
      <c r="BO34">
        <f t="shared" si="4"/>
        <v>0</v>
      </c>
      <c r="BP34">
        <f t="shared" si="4"/>
        <v>0</v>
      </c>
      <c r="BQ34">
        <f t="shared" si="4"/>
        <v>0</v>
      </c>
      <c r="BR34">
        <f t="shared" si="4"/>
        <v>0</v>
      </c>
      <c r="BS34">
        <f t="shared" si="4"/>
        <v>0</v>
      </c>
      <c r="BT34">
        <f t="shared" si="4"/>
        <v>0</v>
      </c>
      <c r="BU34">
        <f t="shared" si="4"/>
        <v>0</v>
      </c>
      <c r="BV34">
        <f t="shared" si="4"/>
        <v>0</v>
      </c>
      <c r="BW34">
        <f t="shared" si="4"/>
        <v>0</v>
      </c>
      <c r="BY34">
        <f t="shared" si="9"/>
        <v>0</v>
      </c>
      <c r="BZ34">
        <f t="shared" si="5"/>
        <v>1</v>
      </c>
    </row>
    <row r="35" spans="3:78" hidden="1">
      <c r="C35">
        <v>10005080</v>
      </c>
      <c r="D35">
        <v>186</v>
      </c>
      <c r="E35">
        <v>9455300</v>
      </c>
      <c r="F35">
        <v>135</v>
      </c>
      <c r="G35">
        <v>9897280</v>
      </c>
      <c r="H35">
        <v>176</v>
      </c>
      <c r="J35">
        <v>9854160</v>
      </c>
      <c r="K35">
        <v>172</v>
      </c>
      <c r="M35">
        <v>18</v>
      </c>
      <c r="N35">
        <v>10780</v>
      </c>
      <c r="O35">
        <v>8000000</v>
      </c>
      <c r="Q35">
        <v>18</v>
      </c>
      <c r="R35">
        <f t="shared" si="6"/>
        <v>10780</v>
      </c>
      <c r="S35">
        <v>8000000</v>
      </c>
      <c r="U35">
        <v>421800</v>
      </c>
      <c r="V35">
        <v>114</v>
      </c>
      <c r="X35">
        <v>18</v>
      </c>
      <c r="Y35">
        <f t="shared" si="11"/>
        <v>3700</v>
      </c>
      <c r="Z35">
        <f t="shared" si="10"/>
        <v>0</v>
      </c>
      <c r="AE35">
        <v>17</v>
      </c>
      <c r="AF35">
        <f t="shared" si="12"/>
        <v>0</v>
      </c>
      <c r="AG35">
        <f t="shared" si="12"/>
        <v>0</v>
      </c>
      <c r="AH35">
        <f t="shared" si="12"/>
        <v>0</v>
      </c>
      <c r="AI35">
        <f t="shared" si="12"/>
        <v>0</v>
      </c>
      <c r="AJ35">
        <f t="shared" si="12"/>
        <v>0</v>
      </c>
      <c r="AK35">
        <f t="shared" si="12"/>
        <v>0</v>
      </c>
      <c r="AL35">
        <f t="shared" si="12"/>
        <v>0</v>
      </c>
      <c r="AM35">
        <f t="shared" si="12"/>
        <v>0</v>
      </c>
      <c r="AN35">
        <f t="shared" si="12"/>
        <v>0</v>
      </c>
      <c r="AO35">
        <f t="shared" si="12"/>
        <v>0</v>
      </c>
      <c r="AP35">
        <f t="shared" si="12"/>
        <v>0</v>
      </c>
      <c r="AQ35">
        <f t="shared" si="12"/>
        <v>0</v>
      </c>
      <c r="AR35">
        <f t="shared" si="12"/>
        <v>0</v>
      </c>
      <c r="AS35">
        <f t="shared" si="12"/>
        <v>0</v>
      </c>
      <c r="AU35">
        <f t="shared" si="7"/>
        <v>0</v>
      </c>
      <c r="AV35">
        <f t="shared" si="8"/>
        <v>0</v>
      </c>
      <c r="AW35">
        <f t="shared" si="8"/>
        <v>0</v>
      </c>
      <c r="AX35">
        <f t="shared" si="8"/>
        <v>0</v>
      </c>
      <c r="AY35">
        <f t="shared" si="8"/>
        <v>0</v>
      </c>
      <c r="AZ35">
        <f t="shared" si="8"/>
        <v>0</v>
      </c>
      <c r="BA35">
        <f t="shared" si="8"/>
        <v>0</v>
      </c>
      <c r="BB35">
        <f t="shared" si="8"/>
        <v>1.206886390709632E-4</v>
      </c>
      <c r="BC35">
        <f t="shared" si="8"/>
        <v>1.8520701146580404E-3</v>
      </c>
      <c r="BD35">
        <f t="shared" si="8"/>
        <v>1.2580059179287277E-2</v>
      </c>
      <c r="BE35">
        <f t="shared" si="8"/>
        <v>4.9764519890438452E-2</v>
      </c>
      <c r="BF35">
        <f t="shared" si="8"/>
        <v>0.12687719981653756</v>
      </c>
      <c r="BG35">
        <f t="shared" si="8"/>
        <v>0.21774573849309584</v>
      </c>
      <c r="BH35">
        <f t="shared" si="8"/>
        <v>0.25470780158628653</v>
      </c>
      <c r="BJ35">
        <f t="shared" si="4"/>
        <v>0</v>
      </c>
      <c r="BK35">
        <f t="shared" si="4"/>
        <v>0</v>
      </c>
      <c r="BL35">
        <f t="shared" si="4"/>
        <v>0</v>
      </c>
      <c r="BM35">
        <f t="shared" si="4"/>
        <v>0</v>
      </c>
      <c r="BN35">
        <f t="shared" si="4"/>
        <v>0</v>
      </c>
      <c r="BO35">
        <f t="shared" si="4"/>
        <v>0</v>
      </c>
      <c r="BP35">
        <f t="shared" si="4"/>
        <v>0</v>
      </c>
      <c r="BQ35">
        <f t="shared" si="4"/>
        <v>0</v>
      </c>
      <c r="BR35">
        <f t="shared" si="4"/>
        <v>0</v>
      </c>
      <c r="BS35">
        <f t="shared" si="4"/>
        <v>0</v>
      </c>
      <c r="BT35">
        <f t="shared" si="4"/>
        <v>0</v>
      </c>
      <c r="BU35">
        <f t="shared" si="4"/>
        <v>0</v>
      </c>
      <c r="BV35">
        <f t="shared" si="4"/>
        <v>0</v>
      </c>
      <c r="BW35">
        <f t="shared" si="4"/>
        <v>0</v>
      </c>
      <c r="BY35">
        <f t="shared" si="9"/>
        <v>0</v>
      </c>
      <c r="BZ35">
        <f t="shared" si="5"/>
        <v>1</v>
      </c>
    </row>
    <row r="36" spans="3:78" hidden="1">
      <c r="C36">
        <v>11073360</v>
      </c>
      <c r="D36">
        <v>163</v>
      </c>
      <c r="E36">
        <v>10742640</v>
      </c>
      <c r="F36">
        <v>137</v>
      </c>
      <c r="G36">
        <v>11149680</v>
      </c>
      <c r="H36">
        <v>169</v>
      </c>
      <c r="J36">
        <v>10818960</v>
      </c>
      <c r="K36">
        <v>143</v>
      </c>
      <c r="M36">
        <v>19</v>
      </c>
      <c r="N36">
        <v>12720</v>
      </c>
      <c r="O36">
        <v>9000000</v>
      </c>
      <c r="Q36">
        <v>19</v>
      </c>
      <c r="R36">
        <f t="shared" si="6"/>
        <v>12720</v>
      </c>
      <c r="S36">
        <v>9000000</v>
      </c>
      <c r="U36">
        <v>455100</v>
      </c>
      <c r="V36">
        <v>109</v>
      </c>
      <c r="X36">
        <v>19</v>
      </c>
      <c r="Y36">
        <v>3900</v>
      </c>
      <c r="Z36">
        <f t="shared" si="10"/>
        <v>30000</v>
      </c>
      <c r="AE36">
        <v>18</v>
      </c>
      <c r="AF36">
        <f t="shared" si="12"/>
        <v>0</v>
      </c>
      <c r="AG36">
        <f t="shared" si="12"/>
        <v>0</v>
      </c>
      <c r="AH36">
        <f t="shared" si="12"/>
        <v>0</v>
      </c>
      <c r="AI36">
        <f t="shared" si="12"/>
        <v>0</v>
      </c>
      <c r="AJ36">
        <f t="shared" si="12"/>
        <v>0</v>
      </c>
      <c r="AK36">
        <f t="shared" si="12"/>
        <v>0</v>
      </c>
      <c r="AL36">
        <f t="shared" si="12"/>
        <v>0</v>
      </c>
      <c r="AM36">
        <f t="shared" si="12"/>
        <v>0</v>
      </c>
      <c r="AN36">
        <f t="shared" si="12"/>
        <v>0</v>
      </c>
      <c r="AO36">
        <f t="shared" si="12"/>
        <v>0</v>
      </c>
      <c r="AP36">
        <f t="shared" si="12"/>
        <v>0</v>
      </c>
      <c r="AQ36">
        <f t="shared" si="12"/>
        <v>0</v>
      </c>
      <c r="AR36">
        <f t="shared" si="12"/>
        <v>0</v>
      </c>
      <c r="AS36">
        <f t="shared" si="12"/>
        <v>0</v>
      </c>
      <c r="AU36">
        <f t="shared" si="7"/>
        <v>0</v>
      </c>
      <c r="AV36">
        <f t="shared" si="8"/>
        <v>0</v>
      </c>
      <c r="AW36">
        <f t="shared" si="8"/>
        <v>0</v>
      </c>
      <c r="AX36">
        <f t="shared" si="8"/>
        <v>0</v>
      </c>
      <c r="AY36">
        <f t="shared" si="8"/>
        <v>0</v>
      </c>
      <c r="AZ36">
        <f t="shared" si="8"/>
        <v>0</v>
      </c>
      <c r="BA36">
        <f t="shared" si="8"/>
        <v>0</v>
      </c>
      <c r="BB36">
        <f t="shared" si="8"/>
        <v>0</v>
      </c>
      <c r="BC36">
        <f t="shared" si="8"/>
        <v>1.206886390709632E-4</v>
      </c>
      <c r="BD36">
        <f t="shared" si="8"/>
        <v>1.8520701146580404E-3</v>
      </c>
      <c r="BE36">
        <f t="shared" si="8"/>
        <v>1.2580059179287277E-2</v>
      </c>
      <c r="BF36">
        <f t="shared" si="8"/>
        <v>4.9764519890438452E-2</v>
      </c>
      <c r="BG36">
        <f t="shared" si="8"/>
        <v>0.12687719981653756</v>
      </c>
      <c r="BH36">
        <f t="shared" si="8"/>
        <v>0.21774573849309584</v>
      </c>
      <c r="BJ36">
        <f t="shared" si="4"/>
        <v>0</v>
      </c>
      <c r="BK36">
        <f t="shared" si="4"/>
        <v>0</v>
      </c>
      <c r="BL36">
        <f t="shared" si="4"/>
        <v>0</v>
      </c>
      <c r="BM36">
        <f t="shared" ref="BM36:BW57" si="13">IFERROR(AX36*BM$16,0)</f>
        <v>0</v>
      </c>
      <c r="BN36">
        <f t="shared" si="13"/>
        <v>0</v>
      </c>
      <c r="BO36">
        <f t="shared" si="13"/>
        <v>0</v>
      </c>
      <c r="BP36">
        <f t="shared" si="13"/>
        <v>0</v>
      </c>
      <c r="BQ36">
        <f t="shared" si="13"/>
        <v>0</v>
      </c>
      <c r="BR36">
        <f t="shared" si="13"/>
        <v>0</v>
      </c>
      <c r="BS36">
        <f t="shared" si="13"/>
        <v>0</v>
      </c>
      <c r="BT36">
        <f t="shared" si="13"/>
        <v>0</v>
      </c>
      <c r="BU36">
        <f t="shared" si="13"/>
        <v>0</v>
      </c>
      <c r="BV36">
        <f t="shared" si="13"/>
        <v>0</v>
      </c>
      <c r="BW36">
        <f t="shared" si="13"/>
        <v>0</v>
      </c>
      <c r="BY36">
        <f t="shared" si="9"/>
        <v>0</v>
      </c>
      <c r="BZ36">
        <f t="shared" si="5"/>
        <v>1</v>
      </c>
    </row>
    <row r="37" spans="3:78" hidden="1">
      <c r="C37">
        <v>12112880</v>
      </c>
      <c r="D37">
        <v>191</v>
      </c>
      <c r="E37">
        <v>11907680</v>
      </c>
      <c r="F37">
        <v>176</v>
      </c>
      <c r="G37">
        <v>11661440</v>
      </c>
      <c r="H37">
        <v>158</v>
      </c>
      <c r="J37">
        <v>11147760</v>
      </c>
      <c r="K37">
        <v>157</v>
      </c>
      <c r="M37">
        <v>20</v>
      </c>
      <c r="N37">
        <v>13680</v>
      </c>
      <c r="O37">
        <v>9500000</v>
      </c>
      <c r="Q37">
        <v>20</v>
      </c>
      <c r="R37">
        <f t="shared" si="6"/>
        <v>13680</v>
      </c>
      <c r="S37">
        <v>9000000</v>
      </c>
      <c r="W37" s="721"/>
      <c r="X37">
        <v>20</v>
      </c>
      <c r="AE37">
        <v>19</v>
      </c>
      <c r="AF37">
        <f t="shared" si="12"/>
        <v>0</v>
      </c>
      <c r="AG37">
        <f t="shared" si="12"/>
        <v>0</v>
      </c>
      <c r="AH37">
        <f t="shared" si="12"/>
        <v>0</v>
      </c>
      <c r="AI37">
        <f t="shared" si="12"/>
        <v>0</v>
      </c>
      <c r="AJ37">
        <f t="shared" si="12"/>
        <v>0</v>
      </c>
      <c r="AK37">
        <f t="shared" si="12"/>
        <v>0</v>
      </c>
      <c r="AL37">
        <f t="shared" si="12"/>
        <v>0</v>
      </c>
      <c r="AM37">
        <f t="shared" si="12"/>
        <v>0</v>
      </c>
      <c r="AN37">
        <f t="shared" si="12"/>
        <v>0</v>
      </c>
      <c r="AO37">
        <f t="shared" si="12"/>
        <v>0</v>
      </c>
      <c r="AP37">
        <f t="shared" si="12"/>
        <v>0</v>
      </c>
      <c r="AQ37">
        <f t="shared" si="12"/>
        <v>0</v>
      </c>
      <c r="AR37">
        <f t="shared" si="12"/>
        <v>0</v>
      </c>
      <c r="AS37">
        <f t="shared" si="12"/>
        <v>0</v>
      </c>
      <c r="AU37">
        <f t="shared" si="7"/>
        <v>0</v>
      </c>
      <c r="AV37">
        <f t="shared" si="8"/>
        <v>0</v>
      </c>
      <c r="AW37">
        <f t="shared" si="8"/>
        <v>0</v>
      </c>
      <c r="AX37">
        <f t="shared" si="8"/>
        <v>0</v>
      </c>
      <c r="AY37">
        <f t="shared" si="8"/>
        <v>0</v>
      </c>
      <c r="AZ37">
        <f t="shared" si="8"/>
        <v>0</v>
      </c>
      <c r="BA37">
        <f t="shared" si="8"/>
        <v>0</v>
      </c>
      <c r="BB37">
        <f t="shared" si="8"/>
        <v>0</v>
      </c>
      <c r="BC37">
        <f t="shared" si="8"/>
        <v>0</v>
      </c>
      <c r="BD37">
        <f t="shared" si="8"/>
        <v>1.206886390709632E-4</v>
      </c>
      <c r="BE37">
        <f t="shared" si="8"/>
        <v>1.8520701146580404E-3</v>
      </c>
      <c r="BF37">
        <f t="shared" si="8"/>
        <v>1.2580059179287277E-2</v>
      </c>
      <c r="BG37">
        <f t="shared" si="8"/>
        <v>4.9764519890438452E-2</v>
      </c>
      <c r="BH37">
        <f t="shared" si="8"/>
        <v>0.12687719981653756</v>
      </c>
      <c r="BJ37">
        <f t="shared" ref="BJ37:BL57" si="14">IFERROR(AU37*BJ$16,0)</f>
        <v>0</v>
      </c>
      <c r="BK37">
        <f t="shared" si="14"/>
        <v>0</v>
      </c>
      <c r="BL37">
        <f t="shared" si="14"/>
        <v>0</v>
      </c>
      <c r="BM37">
        <f t="shared" si="13"/>
        <v>0</v>
      </c>
      <c r="BN37">
        <f t="shared" si="13"/>
        <v>0</v>
      </c>
      <c r="BO37">
        <f t="shared" si="13"/>
        <v>0</v>
      </c>
      <c r="BP37">
        <f t="shared" si="13"/>
        <v>0</v>
      </c>
      <c r="BQ37">
        <f t="shared" si="13"/>
        <v>0</v>
      </c>
      <c r="BR37">
        <f t="shared" si="13"/>
        <v>0</v>
      </c>
      <c r="BS37">
        <f t="shared" si="13"/>
        <v>0</v>
      </c>
      <c r="BT37">
        <f t="shared" si="13"/>
        <v>0</v>
      </c>
      <c r="BU37">
        <f t="shared" si="13"/>
        <v>0</v>
      </c>
      <c r="BV37">
        <f t="shared" si="13"/>
        <v>0</v>
      </c>
      <c r="BW37">
        <f t="shared" si="13"/>
        <v>0</v>
      </c>
      <c r="BY37">
        <f t="shared" si="9"/>
        <v>0</v>
      </c>
      <c r="BZ37">
        <f t="shared" si="5"/>
        <v>1</v>
      </c>
    </row>
    <row r="38" spans="3:78" hidden="1">
      <c r="C38">
        <v>12313120</v>
      </c>
      <c r="D38">
        <v>158</v>
      </c>
      <c r="E38">
        <v>12605920</v>
      </c>
      <c r="F38">
        <v>178</v>
      </c>
      <c r="G38">
        <v>12532720</v>
      </c>
      <c r="H38">
        <v>173</v>
      </c>
      <c r="J38">
        <v>12605920</v>
      </c>
      <c r="K38">
        <v>178</v>
      </c>
      <c r="M38">
        <v>21</v>
      </c>
      <c r="N38">
        <v>14640</v>
      </c>
      <c r="O38">
        <v>10000000</v>
      </c>
      <c r="Q38">
        <v>21</v>
      </c>
      <c r="R38">
        <f t="shared" si="6"/>
        <v>14640</v>
      </c>
      <c r="S38">
        <v>10000000</v>
      </c>
      <c r="U38">
        <v>486800</v>
      </c>
      <c r="V38" s="721">
        <v>112</v>
      </c>
      <c r="W38">
        <v>104</v>
      </c>
      <c r="X38">
        <v>21</v>
      </c>
      <c r="Y38">
        <v>3900</v>
      </c>
      <c r="Z38">
        <f t="shared" si="10"/>
        <v>50000</v>
      </c>
      <c r="AA38">
        <v>8</v>
      </c>
      <c r="AE38">
        <v>20</v>
      </c>
      <c r="AF38">
        <f t="shared" ref="AF38:AS47" si="15">IFERROR(AF$16*COMBIN($AF$65,$AE38-AF$17)*$AF$66^($AE38-AF$17)*(1-$AF$66)^($AF$65-($AE38-AF$17)),0)</f>
        <v>0</v>
      </c>
      <c r="AG38">
        <f t="shared" si="15"/>
        <v>0</v>
      </c>
      <c r="AH38">
        <f t="shared" si="15"/>
        <v>0</v>
      </c>
      <c r="AI38">
        <f t="shared" si="15"/>
        <v>0</v>
      </c>
      <c r="AJ38">
        <f t="shared" si="15"/>
        <v>0</v>
      </c>
      <c r="AK38">
        <f t="shared" si="15"/>
        <v>0</v>
      </c>
      <c r="AL38">
        <f t="shared" si="15"/>
        <v>0</v>
      </c>
      <c r="AM38">
        <f t="shared" si="15"/>
        <v>0</v>
      </c>
      <c r="AN38">
        <f t="shared" si="15"/>
        <v>0</v>
      </c>
      <c r="AO38">
        <f t="shared" si="15"/>
        <v>0</v>
      </c>
      <c r="AP38">
        <f t="shared" si="15"/>
        <v>0</v>
      </c>
      <c r="AQ38">
        <f t="shared" si="15"/>
        <v>0</v>
      </c>
      <c r="AR38">
        <f t="shared" si="15"/>
        <v>0</v>
      </c>
      <c r="AS38">
        <f t="shared" si="15"/>
        <v>0</v>
      </c>
      <c r="AU38">
        <f t="shared" si="7"/>
        <v>0</v>
      </c>
      <c r="AV38">
        <f t="shared" si="8"/>
        <v>0</v>
      </c>
      <c r="AW38">
        <f t="shared" si="8"/>
        <v>0</v>
      </c>
      <c r="AX38">
        <f t="shared" si="8"/>
        <v>0</v>
      </c>
      <c r="AY38">
        <f t="shared" si="8"/>
        <v>0</v>
      </c>
      <c r="AZ38">
        <f t="shared" si="8"/>
        <v>0</v>
      </c>
      <c r="BA38">
        <f t="shared" si="8"/>
        <v>0</v>
      </c>
      <c r="BB38">
        <f t="shared" si="8"/>
        <v>0</v>
      </c>
      <c r="BC38">
        <f t="shared" si="8"/>
        <v>0</v>
      </c>
      <c r="BD38">
        <f t="shared" ref="AW38:BH53" si="16">BC37</f>
        <v>0</v>
      </c>
      <c r="BE38">
        <f t="shared" si="16"/>
        <v>1.206886390709632E-4</v>
      </c>
      <c r="BF38">
        <f t="shared" si="16"/>
        <v>1.8520701146580404E-3</v>
      </c>
      <c r="BG38">
        <f t="shared" si="16"/>
        <v>1.2580059179287277E-2</v>
      </c>
      <c r="BH38">
        <f t="shared" si="16"/>
        <v>4.9764519890438452E-2</v>
      </c>
      <c r="BJ38">
        <f t="shared" si="14"/>
        <v>0</v>
      </c>
      <c r="BK38">
        <f t="shared" si="14"/>
        <v>0</v>
      </c>
      <c r="BL38">
        <f t="shared" si="14"/>
        <v>0</v>
      </c>
      <c r="BM38">
        <f t="shared" si="13"/>
        <v>0</v>
      </c>
      <c r="BN38">
        <f t="shared" si="13"/>
        <v>0</v>
      </c>
      <c r="BO38">
        <f t="shared" si="13"/>
        <v>0</v>
      </c>
      <c r="BP38">
        <f t="shared" si="13"/>
        <v>0</v>
      </c>
      <c r="BQ38">
        <f t="shared" si="13"/>
        <v>0</v>
      </c>
      <c r="BR38">
        <f t="shared" si="13"/>
        <v>0</v>
      </c>
      <c r="BS38">
        <f t="shared" si="13"/>
        <v>0</v>
      </c>
      <c r="BT38">
        <f t="shared" si="13"/>
        <v>0</v>
      </c>
      <c r="BU38">
        <f t="shared" si="13"/>
        <v>0</v>
      </c>
      <c r="BV38">
        <f t="shared" si="13"/>
        <v>0</v>
      </c>
      <c r="BW38">
        <f t="shared" si="13"/>
        <v>0</v>
      </c>
      <c r="BY38">
        <f t="shared" si="9"/>
        <v>0</v>
      </c>
      <c r="BZ38">
        <f t="shared" si="5"/>
        <v>1</v>
      </c>
    </row>
    <row r="39" spans="3:78" hidden="1">
      <c r="C39">
        <v>13704000</v>
      </c>
      <c r="D39">
        <v>160</v>
      </c>
      <c r="E39">
        <v>13873000</v>
      </c>
      <c r="F39">
        <v>170</v>
      </c>
      <c r="G39">
        <v>13416700</v>
      </c>
      <c r="H39">
        <v>143</v>
      </c>
      <c r="J39">
        <v>13092700</v>
      </c>
      <c r="K39">
        <v>183</v>
      </c>
      <c r="M39">
        <v>22</v>
      </c>
      <c r="N39">
        <v>16900</v>
      </c>
      <c r="O39">
        <v>11000000</v>
      </c>
      <c r="Q39">
        <v>22</v>
      </c>
      <c r="R39">
        <f t="shared" si="6"/>
        <v>16900</v>
      </c>
      <c r="S39">
        <v>10000000</v>
      </c>
      <c r="U39">
        <v>538400</v>
      </c>
      <c r="V39" s="721">
        <v>124</v>
      </c>
      <c r="W39">
        <v>114</v>
      </c>
      <c r="X39">
        <v>22</v>
      </c>
      <c r="Y39">
        <v>4100</v>
      </c>
      <c r="Z39">
        <f t="shared" si="10"/>
        <v>30000</v>
      </c>
      <c r="AA39">
        <v>10</v>
      </c>
      <c r="AE39">
        <v>21</v>
      </c>
      <c r="AF39">
        <f t="shared" si="15"/>
        <v>0</v>
      </c>
      <c r="AG39">
        <f t="shared" si="15"/>
        <v>0</v>
      </c>
      <c r="AH39">
        <f t="shared" si="15"/>
        <v>0</v>
      </c>
      <c r="AI39">
        <f t="shared" si="15"/>
        <v>0</v>
      </c>
      <c r="AJ39">
        <f t="shared" si="15"/>
        <v>0</v>
      </c>
      <c r="AK39">
        <f t="shared" si="15"/>
        <v>0</v>
      </c>
      <c r="AL39">
        <f t="shared" si="15"/>
        <v>0</v>
      </c>
      <c r="AM39">
        <f t="shared" si="15"/>
        <v>0</v>
      </c>
      <c r="AN39">
        <f t="shared" si="15"/>
        <v>0</v>
      </c>
      <c r="AO39">
        <f t="shared" si="15"/>
        <v>0</v>
      </c>
      <c r="AP39">
        <f t="shared" si="15"/>
        <v>0</v>
      </c>
      <c r="AQ39">
        <f t="shared" si="15"/>
        <v>0</v>
      </c>
      <c r="AR39">
        <f t="shared" si="15"/>
        <v>0</v>
      </c>
      <c r="AS39">
        <f t="shared" si="15"/>
        <v>0</v>
      </c>
      <c r="AU39">
        <f t="shared" si="7"/>
        <v>0</v>
      </c>
      <c r="AV39">
        <f t="shared" ref="AV39:AV57" si="17">AU38</f>
        <v>0</v>
      </c>
      <c r="AW39">
        <f t="shared" si="16"/>
        <v>0</v>
      </c>
      <c r="AX39">
        <f t="shared" si="16"/>
        <v>0</v>
      </c>
      <c r="AY39">
        <f t="shared" si="16"/>
        <v>0</v>
      </c>
      <c r="AZ39">
        <f t="shared" si="16"/>
        <v>0</v>
      </c>
      <c r="BA39">
        <f t="shared" si="16"/>
        <v>0</v>
      </c>
      <c r="BB39">
        <f t="shared" si="16"/>
        <v>0</v>
      </c>
      <c r="BC39">
        <f t="shared" si="16"/>
        <v>0</v>
      </c>
      <c r="BD39">
        <f t="shared" si="16"/>
        <v>0</v>
      </c>
      <c r="BE39">
        <f t="shared" si="16"/>
        <v>0</v>
      </c>
      <c r="BF39">
        <f t="shared" si="16"/>
        <v>1.206886390709632E-4</v>
      </c>
      <c r="BG39">
        <f t="shared" si="16"/>
        <v>1.8520701146580404E-3</v>
      </c>
      <c r="BH39">
        <f t="shared" si="16"/>
        <v>1.2580059179287277E-2</v>
      </c>
      <c r="BJ39">
        <f t="shared" si="14"/>
        <v>0</v>
      </c>
      <c r="BK39">
        <f t="shared" si="14"/>
        <v>0</v>
      </c>
      <c r="BL39">
        <f t="shared" si="14"/>
        <v>0</v>
      </c>
      <c r="BM39">
        <f t="shared" si="13"/>
        <v>0</v>
      </c>
      <c r="BN39">
        <f t="shared" si="13"/>
        <v>0</v>
      </c>
      <c r="BO39">
        <f t="shared" si="13"/>
        <v>0</v>
      </c>
      <c r="BP39">
        <f t="shared" si="13"/>
        <v>0</v>
      </c>
      <c r="BQ39">
        <f t="shared" si="13"/>
        <v>0</v>
      </c>
      <c r="BR39">
        <f t="shared" si="13"/>
        <v>0</v>
      </c>
      <c r="BS39">
        <f t="shared" si="13"/>
        <v>0</v>
      </c>
      <c r="BT39">
        <f t="shared" si="13"/>
        <v>0</v>
      </c>
      <c r="BU39">
        <f t="shared" si="13"/>
        <v>0</v>
      </c>
      <c r="BV39">
        <f t="shared" si="13"/>
        <v>0</v>
      </c>
      <c r="BW39">
        <f t="shared" si="13"/>
        <v>0</v>
      </c>
      <c r="BY39">
        <f t="shared" si="9"/>
        <v>0</v>
      </c>
      <c r="BZ39">
        <f t="shared" si="5"/>
        <v>1</v>
      </c>
    </row>
    <row r="40" spans="3:78" hidden="1">
      <c r="C40">
        <v>14780700</v>
      </c>
      <c r="D40">
        <v>155</v>
      </c>
      <c r="E40">
        <v>14655120</v>
      </c>
      <c r="F40">
        <v>148</v>
      </c>
      <c r="G40">
        <v>15193320</v>
      </c>
      <c r="H40">
        <v>178</v>
      </c>
      <c r="J40">
        <v>12691000</v>
      </c>
      <c r="K40">
        <v>150</v>
      </c>
      <c r="M40">
        <v>23</v>
      </c>
      <c r="N40">
        <v>17940</v>
      </c>
      <c r="O40">
        <v>12000000</v>
      </c>
      <c r="Q40">
        <v>23</v>
      </c>
      <c r="R40">
        <f t="shared" si="6"/>
        <v>17940</v>
      </c>
      <c r="S40">
        <v>10000000</v>
      </c>
      <c r="U40">
        <v>540300</v>
      </c>
      <c r="V40">
        <v>121</v>
      </c>
      <c r="W40">
        <v>115</v>
      </c>
      <c r="X40">
        <v>23</v>
      </c>
      <c r="Y40">
        <v>4300</v>
      </c>
      <c r="Z40">
        <f t="shared" si="10"/>
        <v>20000</v>
      </c>
      <c r="AA40">
        <v>6</v>
      </c>
      <c r="AE40">
        <v>22</v>
      </c>
      <c r="AF40">
        <f t="shared" si="15"/>
        <v>0</v>
      </c>
      <c r="AG40">
        <f t="shared" si="15"/>
        <v>0</v>
      </c>
      <c r="AH40">
        <f t="shared" si="15"/>
        <v>0</v>
      </c>
      <c r="AI40">
        <f t="shared" si="15"/>
        <v>0</v>
      </c>
      <c r="AJ40">
        <f t="shared" si="15"/>
        <v>0</v>
      </c>
      <c r="AK40">
        <f t="shared" si="15"/>
        <v>0</v>
      </c>
      <c r="AL40">
        <f t="shared" si="15"/>
        <v>0</v>
      </c>
      <c r="AM40">
        <f t="shared" si="15"/>
        <v>0</v>
      </c>
      <c r="AN40">
        <f t="shared" si="15"/>
        <v>0</v>
      </c>
      <c r="AO40">
        <f t="shared" si="15"/>
        <v>0</v>
      </c>
      <c r="AP40">
        <f t="shared" si="15"/>
        <v>0</v>
      </c>
      <c r="AQ40">
        <f t="shared" si="15"/>
        <v>0</v>
      </c>
      <c r="AR40">
        <f t="shared" si="15"/>
        <v>0</v>
      </c>
      <c r="AS40">
        <f t="shared" si="15"/>
        <v>0</v>
      </c>
      <c r="AU40">
        <f t="shared" si="7"/>
        <v>0</v>
      </c>
      <c r="AV40">
        <f t="shared" si="17"/>
        <v>0</v>
      </c>
      <c r="AW40">
        <f t="shared" si="16"/>
        <v>0</v>
      </c>
      <c r="AX40">
        <f t="shared" si="16"/>
        <v>0</v>
      </c>
      <c r="AY40">
        <f t="shared" si="16"/>
        <v>0</v>
      </c>
      <c r="AZ40">
        <f t="shared" si="16"/>
        <v>0</v>
      </c>
      <c r="BA40">
        <f t="shared" si="16"/>
        <v>0</v>
      </c>
      <c r="BB40">
        <f t="shared" si="16"/>
        <v>0</v>
      </c>
      <c r="BC40">
        <f t="shared" si="16"/>
        <v>0</v>
      </c>
      <c r="BD40">
        <f t="shared" si="16"/>
        <v>0</v>
      </c>
      <c r="BE40">
        <f t="shared" si="16"/>
        <v>0</v>
      </c>
      <c r="BF40">
        <f t="shared" si="16"/>
        <v>0</v>
      </c>
      <c r="BG40">
        <f t="shared" si="16"/>
        <v>1.206886390709632E-4</v>
      </c>
      <c r="BH40">
        <f t="shared" si="16"/>
        <v>1.8520701146580404E-3</v>
      </c>
      <c r="BJ40">
        <f t="shared" si="14"/>
        <v>0</v>
      </c>
      <c r="BK40">
        <f t="shared" si="14"/>
        <v>0</v>
      </c>
      <c r="BL40">
        <f t="shared" si="14"/>
        <v>0</v>
      </c>
      <c r="BM40">
        <f t="shared" si="13"/>
        <v>0</v>
      </c>
      <c r="BN40">
        <f t="shared" si="13"/>
        <v>0</v>
      </c>
      <c r="BO40">
        <f t="shared" si="13"/>
        <v>0</v>
      </c>
      <c r="BP40">
        <f t="shared" si="13"/>
        <v>0</v>
      </c>
      <c r="BQ40">
        <f t="shared" si="13"/>
        <v>0</v>
      </c>
      <c r="BR40">
        <f t="shared" si="13"/>
        <v>0</v>
      </c>
      <c r="BS40">
        <f t="shared" si="13"/>
        <v>0</v>
      </c>
      <c r="BT40">
        <f t="shared" si="13"/>
        <v>0</v>
      </c>
      <c r="BU40">
        <f t="shared" si="13"/>
        <v>0</v>
      </c>
      <c r="BV40">
        <f t="shared" si="13"/>
        <v>0</v>
      </c>
      <c r="BW40">
        <f t="shared" si="13"/>
        <v>0</v>
      </c>
      <c r="BY40">
        <f t="shared" si="9"/>
        <v>0</v>
      </c>
      <c r="BZ40">
        <f t="shared" si="5"/>
        <v>1</v>
      </c>
    </row>
    <row r="41" spans="3:78" hidden="1">
      <c r="C41">
        <v>15150680</v>
      </c>
      <c r="D41">
        <v>166</v>
      </c>
      <c r="E41">
        <v>15530280</v>
      </c>
      <c r="F41">
        <v>186</v>
      </c>
      <c r="G41">
        <v>15131700</v>
      </c>
      <c r="H41">
        <v>165</v>
      </c>
      <c r="J41">
        <v>15302520</v>
      </c>
      <c r="K41">
        <v>174</v>
      </c>
      <c r="M41">
        <v>24</v>
      </c>
      <c r="N41">
        <v>18980</v>
      </c>
      <c r="O41">
        <v>12000000</v>
      </c>
      <c r="Q41">
        <v>24</v>
      </c>
      <c r="R41">
        <f t="shared" si="6"/>
        <v>18980</v>
      </c>
      <c r="S41">
        <v>12000000</v>
      </c>
      <c r="X41">
        <v>24</v>
      </c>
      <c r="AE41">
        <v>23</v>
      </c>
      <c r="AF41">
        <f t="shared" si="15"/>
        <v>0</v>
      </c>
      <c r="AG41">
        <f t="shared" si="15"/>
        <v>0</v>
      </c>
      <c r="AH41">
        <f t="shared" si="15"/>
        <v>0</v>
      </c>
      <c r="AI41">
        <f t="shared" si="15"/>
        <v>0</v>
      </c>
      <c r="AJ41">
        <f t="shared" si="15"/>
        <v>0</v>
      </c>
      <c r="AK41">
        <f t="shared" si="15"/>
        <v>0</v>
      </c>
      <c r="AL41">
        <f t="shared" si="15"/>
        <v>0</v>
      </c>
      <c r="AM41">
        <f t="shared" si="15"/>
        <v>0</v>
      </c>
      <c r="AN41">
        <f t="shared" si="15"/>
        <v>0</v>
      </c>
      <c r="AO41">
        <f t="shared" si="15"/>
        <v>0</v>
      </c>
      <c r="AP41">
        <f t="shared" si="15"/>
        <v>0</v>
      </c>
      <c r="AQ41">
        <f t="shared" si="15"/>
        <v>0</v>
      </c>
      <c r="AR41">
        <f t="shared" si="15"/>
        <v>0</v>
      </c>
      <c r="AS41">
        <f t="shared" si="15"/>
        <v>0</v>
      </c>
      <c r="AU41">
        <f t="shared" si="7"/>
        <v>0</v>
      </c>
      <c r="AV41">
        <f t="shared" si="17"/>
        <v>0</v>
      </c>
      <c r="AW41">
        <f t="shared" si="16"/>
        <v>0</v>
      </c>
      <c r="AX41">
        <f t="shared" si="16"/>
        <v>0</v>
      </c>
      <c r="AY41">
        <f t="shared" si="16"/>
        <v>0</v>
      </c>
      <c r="AZ41">
        <f t="shared" si="16"/>
        <v>0</v>
      </c>
      <c r="BA41">
        <f t="shared" si="16"/>
        <v>0</v>
      </c>
      <c r="BB41">
        <f t="shared" si="16"/>
        <v>0</v>
      </c>
      <c r="BC41">
        <f t="shared" si="16"/>
        <v>0</v>
      </c>
      <c r="BD41">
        <f t="shared" si="16"/>
        <v>0</v>
      </c>
      <c r="BE41">
        <f t="shared" si="16"/>
        <v>0</v>
      </c>
      <c r="BF41">
        <f t="shared" si="16"/>
        <v>0</v>
      </c>
      <c r="BG41">
        <f t="shared" si="16"/>
        <v>0</v>
      </c>
      <c r="BH41">
        <f t="shared" si="16"/>
        <v>1.206886390709632E-4</v>
      </c>
      <c r="BJ41">
        <f t="shared" si="14"/>
        <v>0</v>
      </c>
      <c r="BK41">
        <f t="shared" si="14"/>
        <v>0</v>
      </c>
      <c r="BL41">
        <f t="shared" si="14"/>
        <v>0</v>
      </c>
      <c r="BM41">
        <f t="shared" si="13"/>
        <v>0</v>
      </c>
      <c r="BN41">
        <f t="shared" si="13"/>
        <v>0</v>
      </c>
      <c r="BO41">
        <f t="shared" si="13"/>
        <v>0</v>
      </c>
      <c r="BP41">
        <f t="shared" si="13"/>
        <v>0</v>
      </c>
      <c r="BQ41">
        <f t="shared" si="13"/>
        <v>0</v>
      </c>
      <c r="BR41">
        <f t="shared" si="13"/>
        <v>0</v>
      </c>
      <c r="BS41">
        <f t="shared" si="13"/>
        <v>0</v>
      </c>
      <c r="BT41">
        <f t="shared" si="13"/>
        <v>0</v>
      </c>
      <c r="BU41">
        <f t="shared" si="13"/>
        <v>0</v>
      </c>
      <c r="BV41">
        <f t="shared" si="13"/>
        <v>0</v>
      </c>
      <c r="BW41">
        <f t="shared" si="13"/>
        <v>0</v>
      </c>
      <c r="BY41">
        <f t="shared" si="9"/>
        <v>0</v>
      </c>
      <c r="BZ41">
        <f t="shared" si="5"/>
        <v>1</v>
      </c>
    </row>
    <row r="42" spans="3:78" hidden="1">
      <c r="C42">
        <v>16161080</v>
      </c>
      <c r="D42">
        <v>193</v>
      </c>
      <c r="E42">
        <v>15816120</v>
      </c>
      <c r="F42" s="719">
        <v>177</v>
      </c>
      <c r="G42">
        <v>15708320</v>
      </c>
      <c r="H42">
        <v>172</v>
      </c>
      <c r="J42">
        <v>16660080</v>
      </c>
      <c r="K42">
        <v>171</v>
      </c>
      <c r="M42">
        <v>25</v>
      </c>
      <c r="N42">
        <v>21560</v>
      </c>
      <c r="O42">
        <v>12000000</v>
      </c>
      <c r="Q42">
        <v>25</v>
      </c>
      <c r="R42">
        <f t="shared" si="6"/>
        <v>18480</v>
      </c>
      <c r="S42">
        <v>13500000</v>
      </c>
      <c r="U42">
        <v>607500</v>
      </c>
      <c r="V42">
        <v>135</v>
      </c>
      <c r="W42">
        <v>127</v>
      </c>
      <c r="X42">
        <v>25</v>
      </c>
      <c r="Y42">
        <v>4500</v>
      </c>
      <c r="Z42">
        <f t="shared" si="10"/>
        <v>0</v>
      </c>
      <c r="AA42">
        <v>8</v>
      </c>
      <c r="AE42">
        <v>24</v>
      </c>
      <c r="AF42">
        <f t="shared" si="15"/>
        <v>0</v>
      </c>
      <c r="AG42">
        <f t="shared" si="15"/>
        <v>0</v>
      </c>
      <c r="AH42">
        <f t="shared" si="15"/>
        <v>0</v>
      </c>
      <c r="AI42">
        <f t="shared" si="15"/>
        <v>0</v>
      </c>
      <c r="AJ42">
        <f t="shared" si="15"/>
        <v>0</v>
      </c>
      <c r="AK42">
        <f t="shared" si="15"/>
        <v>0</v>
      </c>
      <c r="AL42">
        <f t="shared" si="15"/>
        <v>0</v>
      </c>
      <c r="AM42">
        <f t="shared" si="15"/>
        <v>0</v>
      </c>
      <c r="AN42">
        <f t="shared" si="15"/>
        <v>0</v>
      </c>
      <c r="AO42">
        <f t="shared" si="15"/>
        <v>0</v>
      </c>
      <c r="AP42">
        <f t="shared" si="15"/>
        <v>0</v>
      </c>
      <c r="AQ42">
        <f t="shared" si="15"/>
        <v>0</v>
      </c>
      <c r="AR42">
        <f t="shared" si="15"/>
        <v>0</v>
      </c>
      <c r="AS42">
        <f t="shared" si="15"/>
        <v>0</v>
      </c>
      <c r="AU42">
        <f t="shared" si="7"/>
        <v>0</v>
      </c>
      <c r="AV42">
        <f t="shared" si="17"/>
        <v>0</v>
      </c>
      <c r="AW42">
        <f t="shared" si="16"/>
        <v>0</v>
      </c>
      <c r="AX42">
        <f t="shared" si="16"/>
        <v>0</v>
      </c>
      <c r="AY42">
        <f t="shared" si="16"/>
        <v>0</v>
      </c>
      <c r="AZ42">
        <f t="shared" si="16"/>
        <v>0</v>
      </c>
      <c r="BA42">
        <f t="shared" si="16"/>
        <v>0</v>
      </c>
      <c r="BB42">
        <f t="shared" si="16"/>
        <v>0</v>
      </c>
      <c r="BC42">
        <f t="shared" si="16"/>
        <v>0</v>
      </c>
      <c r="BD42">
        <f t="shared" si="16"/>
        <v>0</v>
      </c>
      <c r="BE42">
        <f t="shared" si="16"/>
        <v>0</v>
      </c>
      <c r="BF42">
        <f t="shared" si="16"/>
        <v>0</v>
      </c>
      <c r="BG42">
        <f t="shared" si="16"/>
        <v>0</v>
      </c>
      <c r="BH42">
        <f t="shared" si="16"/>
        <v>0</v>
      </c>
      <c r="BJ42">
        <f t="shared" si="14"/>
        <v>0</v>
      </c>
      <c r="BK42">
        <f t="shared" si="14"/>
        <v>0</v>
      </c>
      <c r="BL42">
        <f t="shared" si="14"/>
        <v>0</v>
      </c>
      <c r="BM42">
        <f t="shared" si="13"/>
        <v>0</v>
      </c>
      <c r="BN42">
        <f t="shared" si="13"/>
        <v>0</v>
      </c>
      <c r="BO42">
        <f t="shared" si="13"/>
        <v>0</v>
      </c>
      <c r="BP42">
        <f t="shared" si="13"/>
        <v>0</v>
      </c>
      <c r="BQ42">
        <f t="shared" si="13"/>
        <v>0</v>
      </c>
      <c r="BR42">
        <f t="shared" si="13"/>
        <v>0</v>
      </c>
      <c r="BS42">
        <f t="shared" si="13"/>
        <v>0</v>
      </c>
      <c r="BT42">
        <f t="shared" si="13"/>
        <v>0</v>
      </c>
      <c r="BU42">
        <f t="shared" si="13"/>
        <v>0</v>
      </c>
      <c r="BV42">
        <f t="shared" si="13"/>
        <v>0</v>
      </c>
      <c r="BW42">
        <f t="shared" si="13"/>
        <v>0</v>
      </c>
      <c r="BY42">
        <f t="shared" si="9"/>
        <v>0</v>
      </c>
      <c r="BZ42">
        <f t="shared" si="5"/>
        <v>1</v>
      </c>
    </row>
    <row r="43" spans="3:78" hidden="1">
      <c r="C43">
        <v>18628800</v>
      </c>
      <c r="D43">
        <v>160</v>
      </c>
      <c r="E43">
        <v>18810240</v>
      </c>
      <c r="F43">
        <v>168</v>
      </c>
      <c r="G43">
        <v>18583440</v>
      </c>
      <c r="H43">
        <v>158</v>
      </c>
      <c r="J43">
        <v>15583440</v>
      </c>
      <c r="K43">
        <v>158</v>
      </c>
      <c r="M43">
        <v>26</v>
      </c>
      <c r="N43">
        <v>22680</v>
      </c>
      <c r="O43">
        <v>15000000</v>
      </c>
      <c r="Q43">
        <v>26</v>
      </c>
      <c r="R43">
        <f t="shared" si="6"/>
        <v>22680</v>
      </c>
      <c r="S43">
        <v>12000000</v>
      </c>
      <c r="U43">
        <v>617800</v>
      </c>
      <c r="V43">
        <v>122</v>
      </c>
      <c r="W43">
        <v>116</v>
      </c>
      <c r="X43">
        <v>26</v>
      </c>
      <c r="Y43">
        <v>4900</v>
      </c>
      <c r="Z43">
        <f t="shared" si="10"/>
        <v>20000</v>
      </c>
      <c r="AA43">
        <v>6</v>
      </c>
      <c r="AE43">
        <v>25</v>
      </c>
      <c r="AF43">
        <f t="shared" si="15"/>
        <v>0</v>
      </c>
      <c r="AG43">
        <f t="shared" si="15"/>
        <v>0</v>
      </c>
      <c r="AH43">
        <f t="shared" si="15"/>
        <v>0</v>
      </c>
      <c r="AI43">
        <f t="shared" si="15"/>
        <v>0</v>
      </c>
      <c r="AJ43">
        <f t="shared" si="15"/>
        <v>0</v>
      </c>
      <c r="AK43">
        <f t="shared" si="15"/>
        <v>0</v>
      </c>
      <c r="AL43">
        <f t="shared" si="15"/>
        <v>0</v>
      </c>
      <c r="AM43">
        <f t="shared" si="15"/>
        <v>0</v>
      </c>
      <c r="AN43">
        <f t="shared" si="15"/>
        <v>0</v>
      </c>
      <c r="AO43">
        <f t="shared" si="15"/>
        <v>0</v>
      </c>
      <c r="AP43">
        <f t="shared" si="15"/>
        <v>0</v>
      </c>
      <c r="AQ43">
        <f t="shared" si="15"/>
        <v>0</v>
      </c>
      <c r="AR43">
        <f t="shared" si="15"/>
        <v>0</v>
      </c>
      <c r="AS43">
        <f t="shared" si="15"/>
        <v>0</v>
      </c>
      <c r="AU43">
        <f t="shared" si="7"/>
        <v>0</v>
      </c>
      <c r="AV43">
        <f t="shared" si="17"/>
        <v>0</v>
      </c>
      <c r="AW43">
        <f t="shared" si="16"/>
        <v>0</v>
      </c>
      <c r="AX43">
        <f t="shared" si="16"/>
        <v>0</v>
      </c>
      <c r="AY43">
        <f t="shared" si="16"/>
        <v>0</v>
      </c>
      <c r="AZ43">
        <f t="shared" si="16"/>
        <v>0</v>
      </c>
      <c r="BA43">
        <f t="shared" si="16"/>
        <v>0</v>
      </c>
      <c r="BB43">
        <f t="shared" si="16"/>
        <v>0</v>
      </c>
      <c r="BC43">
        <f t="shared" si="16"/>
        <v>0</v>
      </c>
      <c r="BD43">
        <f t="shared" si="16"/>
        <v>0</v>
      </c>
      <c r="BE43">
        <f t="shared" si="16"/>
        <v>0</v>
      </c>
      <c r="BF43">
        <f t="shared" si="16"/>
        <v>0</v>
      </c>
      <c r="BG43">
        <f t="shared" si="16"/>
        <v>0</v>
      </c>
      <c r="BH43">
        <f t="shared" si="16"/>
        <v>0</v>
      </c>
      <c r="BJ43">
        <f t="shared" si="14"/>
        <v>0</v>
      </c>
      <c r="BK43">
        <f t="shared" si="14"/>
        <v>0</v>
      </c>
      <c r="BL43">
        <f t="shared" si="14"/>
        <v>0</v>
      </c>
      <c r="BM43">
        <f t="shared" si="13"/>
        <v>0</v>
      </c>
      <c r="BN43">
        <f t="shared" si="13"/>
        <v>0</v>
      </c>
      <c r="BO43">
        <f t="shared" si="13"/>
        <v>0</v>
      </c>
      <c r="BP43">
        <f t="shared" si="13"/>
        <v>0</v>
      </c>
      <c r="BQ43">
        <f t="shared" si="13"/>
        <v>0</v>
      </c>
      <c r="BR43">
        <f t="shared" si="13"/>
        <v>0</v>
      </c>
      <c r="BS43">
        <f t="shared" si="13"/>
        <v>0</v>
      </c>
      <c r="BT43">
        <f t="shared" si="13"/>
        <v>0</v>
      </c>
      <c r="BU43">
        <f t="shared" si="13"/>
        <v>0</v>
      </c>
      <c r="BV43">
        <f t="shared" si="13"/>
        <v>0</v>
      </c>
      <c r="BW43">
        <f t="shared" si="13"/>
        <v>0</v>
      </c>
      <c r="BY43">
        <f t="shared" si="9"/>
        <v>0</v>
      </c>
      <c r="BZ43">
        <f t="shared" si="5"/>
        <v>1</v>
      </c>
    </row>
    <row r="44" spans="3:78" hidden="1">
      <c r="C44">
        <v>20636800</v>
      </c>
      <c r="D44">
        <v>184</v>
      </c>
      <c r="E44">
        <v>20082400</v>
      </c>
      <c r="F44">
        <v>162</v>
      </c>
      <c r="G44">
        <v>20359600</v>
      </c>
      <c r="H44">
        <v>173</v>
      </c>
      <c r="J44">
        <v>19183200</v>
      </c>
      <c r="K44">
        <v>166</v>
      </c>
      <c r="M44">
        <v>27</v>
      </c>
      <c r="N44">
        <v>25200</v>
      </c>
      <c r="O44">
        <v>16000000</v>
      </c>
      <c r="Q44">
        <v>27</v>
      </c>
      <c r="R44">
        <f t="shared" si="6"/>
        <v>25200</v>
      </c>
      <c r="S44">
        <v>15000000</v>
      </c>
      <c r="U44">
        <v>621500</v>
      </c>
      <c r="V44">
        <v>115</v>
      </c>
      <c r="W44">
        <v>107</v>
      </c>
      <c r="X44">
        <v>27</v>
      </c>
      <c r="Y44">
        <v>5100</v>
      </c>
      <c r="Z44">
        <f t="shared" si="10"/>
        <v>35000</v>
      </c>
      <c r="AA44">
        <v>8</v>
      </c>
      <c r="AE44">
        <v>26</v>
      </c>
      <c r="AF44">
        <f t="shared" si="15"/>
        <v>0</v>
      </c>
      <c r="AG44">
        <f t="shared" si="15"/>
        <v>0</v>
      </c>
      <c r="AH44">
        <f t="shared" si="15"/>
        <v>0</v>
      </c>
      <c r="AI44">
        <f t="shared" si="15"/>
        <v>0</v>
      </c>
      <c r="AJ44">
        <f t="shared" si="15"/>
        <v>0</v>
      </c>
      <c r="AK44">
        <f t="shared" si="15"/>
        <v>0</v>
      </c>
      <c r="AL44">
        <f t="shared" si="15"/>
        <v>0</v>
      </c>
      <c r="AM44">
        <f t="shared" si="15"/>
        <v>0</v>
      </c>
      <c r="AN44">
        <f t="shared" si="15"/>
        <v>0</v>
      </c>
      <c r="AO44">
        <f t="shared" si="15"/>
        <v>0</v>
      </c>
      <c r="AP44">
        <f t="shared" si="15"/>
        <v>0</v>
      </c>
      <c r="AQ44">
        <f t="shared" si="15"/>
        <v>0</v>
      </c>
      <c r="AR44">
        <f t="shared" si="15"/>
        <v>0</v>
      </c>
      <c r="AS44">
        <f t="shared" si="15"/>
        <v>0</v>
      </c>
      <c r="AU44">
        <f t="shared" si="7"/>
        <v>0</v>
      </c>
      <c r="AV44">
        <f t="shared" si="17"/>
        <v>0</v>
      </c>
      <c r="AW44">
        <f t="shared" si="16"/>
        <v>0</v>
      </c>
      <c r="AX44">
        <f t="shared" si="16"/>
        <v>0</v>
      </c>
      <c r="AY44">
        <f t="shared" si="16"/>
        <v>0</v>
      </c>
      <c r="AZ44">
        <f t="shared" si="16"/>
        <v>0</v>
      </c>
      <c r="BA44">
        <f t="shared" si="16"/>
        <v>0</v>
      </c>
      <c r="BB44">
        <f t="shared" si="16"/>
        <v>0</v>
      </c>
      <c r="BC44">
        <f t="shared" si="16"/>
        <v>0</v>
      </c>
      <c r="BD44">
        <f t="shared" si="16"/>
        <v>0</v>
      </c>
      <c r="BE44">
        <f t="shared" si="16"/>
        <v>0</v>
      </c>
      <c r="BF44">
        <f t="shared" si="16"/>
        <v>0</v>
      </c>
      <c r="BG44">
        <f t="shared" si="16"/>
        <v>0</v>
      </c>
      <c r="BH44">
        <f t="shared" si="16"/>
        <v>0</v>
      </c>
      <c r="BJ44">
        <f t="shared" si="14"/>
        <v>0</v>
      </c>
      <c r="BK44">
        <f t="shared" si="14"/>
        <v>0</v>
      </c>
      <c r="BL44">
        <f t="shared" si="14"/>
        <v>0</v>
      </c>
      <c r="BM44">
        <f t="shared" si="13"/>
        <v>0</v>
      </c>
      <c r="BN44">
        <f t="shared" si="13"/>
        <v>0</v>
      </c>
      <c r="BO44">
        <f t="shared" si="13"/>
        <v>0</v>
      </c>
      <c r="BP44">
        <f t="shared" si="13"/>
        <v>0</v>
      </c>
      <c r="BQ44">
        <f t="shared" si="13"/>
        <v>0</v>
      </c>
      <c r="BR44">
        <f t="shared" si="13"/>
        <v>0</v>
      </c>
      <c r="BS44">
        <f t="shared" si="13"/>
        <v>0</v>
      </c>
      <c r="BT44">
        <f t="shared" si="13"/>
        <v>0</v>
      </c>
      <c r="BU44">
        <f t="shared" si="13"/>
        <v>0</v>
      </c>
      <c r="BV44">
        <f t="shared" si="13"/>
        <v>0</v>
      </c>
      <c r="BW44">
        <f t="shared" si="13"/>
        <v>0</v>
      </c>
      <c r="BY44">
        <f t="shared" si="9"/>
        <v>0</v>
      </c>
      <c r="BZ44">
        <f t="shared" si="5"/>
        <v>1</v>
      </c>
    </row>
    <row r="45" spans="3:78" hidden="1">
      <c r="C45">
        <v>23280000</v>
      </c>
      <c r="D45">
        <v>176</v>
      </c>
      <c r="E45">
        <v>21900000</v>
      </c>
      <c r="F45">
        <v>130</v>
      </c>
      <c r="G45">
        <v>22860000</v>
      </c>
      <c r="H45">
        <v>162</v>
      </c>
      <c r="J45">
        <v>20250000</v>
      </c>
      <c r="K45">
        <v>175</v>
      </c>
      <c r="M45">
        <v>28</v>
      </c>
      <c r="N45">
        <v>30000</v>
      </c>
      <c r="O45">
        <v>18000000</v>
      </c>
      <c r="Q45">
        <v>28</v>
      </c>
      <c r="R45">
        <f t="shared" si="6"/>
        <v>30000</v>
      </c>
      <c r="S45">
        <v>15000000</v>
      </c>
      <c r="U45">
        <v>627100</v>
      </c>
      <c r="V45">
        <v>107</v>
      </c>
      <c r="X45">
        <v>28</v>
      </c>
      <c r="Y45">
        <v>5300</v>
      </c>
      <c r="Z45">
        <f t="shared" si="10"/>
        <v>60000</v>
      </c>
      <c r="AE45">
        <v>27</v>
      </c>
      <c r="AF45">
        <f t="shared" si="15"/>
        <v>0</v>
      </c>
      <c r="AG45">
        <f t="shared" si="15"/>
        <v>0</v>
      </c>
      <c r="AH45">
        <f t="shared" si="15"/>
        <v>0</v>
      </c>
      <c r="AI45">
        <f t="shared" si="15"/>
        <v>0</v>
      </c>
      <c r="AJ45">
        <f t="shared" si="15"/>
        <v>0</v>
      </c>
      <c r="AK45">
        <f t="shared" si="15"/>
        <v>0</v>
      </c>
      <c r="AL45">
        <f t="shared" si="15"/>
        <v>0</v>
      </c>
      <c r="AM45">
        <f t="shared" si="15"/>
        <v>0</v>
      </c>
      <c r="AN45">
        <f t="shared" si="15"/>
        <v>0</v>
      </c>
      <c r="AO45">
        <f t="shared" si="15"/>
        <v>0</v>
      </c>
      <c r="AP45">
        <f t="shared" si="15"/>
        <v>0</v>
      </c>
      <c r="AQ45">
        <f t="shared" si="15"/>
        <v>0</v>
      </c>
      <c r="AR45">
        <f t="shared" si="15"/>
        <v>0</v>
      </c>
      <c r="AS45">
        <f t="shared" si="15"/>
        <v>0</v>
      </c>
      <c r="AU45">
        <f t="shared" si="7"/>
        <v>0</v>
      </c>
      <c r="AV45">
        <f t="shared" si="17"/>
        <v>0</v>
      </c>
      <c r="AW45">
        <f t="shared" si="16"/>
        <v>0</v>
      </c>
      <c r="AX45">
        <f t="shared" si="16"/>
        <v>0</v>
      </c>
      <c r="AY45">
        <f t="shared" si="16"/>
        <v>0</v>
      </c>
      <c r="AZ45">
        <f t="shared" si="16"/>
        <v>0</v>
      </c>
      <c r="BA45">
        <f t="shared" si="16"/>
        <v>0</v>
      </c>
      <c r="BB45">
        <f t="shared" si="16"/>
        <v>0</v>
      </c>
      <c r="BC45">
        <f t="shared" si="16"/>
        <v>0</v>
      </c>
      <c r="BD45">
        <f t="shared" si="16"/>
        <v>0</v>
      </c>
      <c r="BE45">
        <f t="shared" si="16"/>
        <v>0</v>
      </c>
      <c r="BF45">
        <f t="shared" si="16"/>
        <v>0</v>
      </c>
      <c r="BG45">
        <f t="shared" si="16"/>
        <v>0</v>
      </c>
      <c r="BH45">
        <f t="shared" si="16"/>
        <v>0</v>
      </c>
      <c r="BJ45">
        <f t="shared" si="14"/>
        <v>0</v>
      </c>
      <c r="BK45">
        <f t="shared" si="14"/>
        <v>0</v>
      </c>
      <c r="BL45">
        <f t="shared" si="14"/>
        <v>0</v>
      </c>
      <c r="BM45">
        <f t="shared" si="13"/>
        <v>0</v>
      </c>
      <c r="BN45">
        <f t="shared" si="13"/>
        <v>0</v>
      </c>
      <c r="BO45">
        <f t="shared" si="13"/>
        <v>0</v>
      </c>
      <c r="BP45">
        <f t="shared" si="13"/>
        <v>0</v>
      </c>
      <c r="BQ45">
        <f t="shared" si="13"/>
        <v>0</v>
      </c>
      <c r="BR45">
        <f t="shared" si="13"/>
        <v>0</v>
      </c>
      <c r="BS45">
        <f t="shared" si="13"/>
        <v>0</v>
      </c>
      <c r="BT45">
        <f t="shared" si="13"/>
        <v>0</v>
      </c>
      <c r="BU45">
        <f t="shared" si="13"/>
        <v>0</v>
      </c>
      <c r="BV45">
        <f t="shared" si="13"/>
        <v>0</v>
      </c>
      <c r="BW45">
        <f t="shared" si="13"/>
        <v>0</v>
      </c>
      <c r="BY45">
        <f t="shared" si="9"/>
        <v>0</v>
      </c>
      <c r="BZ45">
        <f t="shared" si="5"/>
        <v>1</v>
      </c>
    </row>
    <row r="46" spans="3:78" hidden="1">
      <c r="AE46">
        <v>28</v>
      </c>
      <c r="AF46">
        <f t="shared" si="15"/>
        <v>0</v>
      </c>
      <c r="AG46">
        <f t="shared" si="15"/>
        <v>0</v>
      </c>
      <c r="AH46">
        <f t="shared" si="15"/>
        <v>0</v>
      </c>
      <c r="AI46">
        <f t="shared" si="15"/>
        <v>0</v>
      </c>
      <c r="AJ46">
        <f t="shared" si="15"/>
        <v>0</v>
      </c>
      <c r="AK46">
        <f t="shared" si="15"/>
        <v>0</v>
      </c>
      <c r="AL46">
        <f t="shared" si="15"/>
        <v>0</v>
      </c>
      <c r="AM46">
        <f t="shared" si="15"/>
        <v>0</v>
      </c>
      <c r="AN46">
        <f t="shared" si="15"/>
        <v>0</v>
      </c>
      <c r="AO46">
        <f t="shared" si="15"/>
        <v>0</v>
      </c>
      <c r="AP46">
        <f t="shared" si="15"/>
        <v>0</v>
      </c>
      <c r="AQ46">
        <f t="shared" si="15"/>
        <v>0</v>
      </c>
      <c r="AR46">
        <f t="shared" si="15"/>
        <v>0</v>
      </c>
      <c r="AS46">
        <f t="shared" si="15"/>
        <v>0</v>
      </c>
      <c r="AU46">
        <f t="shared" si="7"/>
        <v>0</v>
      </c>
      <c r="AV46">
        <f t="shared" si="17"/>
        <v>0</v>
      </c>
      <c r="AW46">
        <f t="shared" si="16"/>
        <v>0</v>
      </c>
      <c r="AX46">
        <f t="shared" si="16"/>
        <v>0</v>
      </c>
      <c r="AY46">
        <f t="shared" si="16"/>
        <v>0</v>
      </c>
      <c r="AZ46">
        <f t="shared" si="16"/>
        <v>0</v>
      </c>
      <c r="BA46">
        <f t="shared" si="16"/>
        <v>0</v>
      </c>
      <c r="BB46">
        <f t="shared" si="16"/>
        <v>0</v>
      </c>
      <c r="BC46">
        <f t="shared" si="16"/>
        <v>0</v>
      </c>
      <c r="BD46">
        <f t="shared" si="16"/>
        <v>0</v>
      </c>
      <c r="BE46">
        <f t="shared" si="16"/>
        <v>0</v>
      </c>
      <c r="BF46">
        <f t="shared" si="16"/>
        <v>0</v>
      </c>
      <c r="BG46">
        <f t="shared" si="16"/>
        <v>0</v>
      </c>
      <c r="BH46">
        <f t="shared" si="16"/>
        <v>0</v>
      </c>
      <c r="BJ46">
        <f t="shared" si="14"/>
        <v>0</v>
      </c>
      <c r="BK46">
        <f t="shared" si="14"/>
        <v>0</v>
      </c>
      <c r="BL46">
        <f t="shared" si="14"/>
        <v>0</v>
      </c>
      <c r="BM46">
        <f t="shared" si="13"/>
        <v>0</v>
      </c>
      <c r="BN46">
        <f t="shared" si="13"/>
        <v>0</v>
      </c>
      <c r="BO46">
        <f t="shared" si="13"/>
        <v>0</v>
      </c>
      <c r="BP46">
        <f t="shared" si="13"/>
        <v>0</v>
      </c>
      <c r="BQ46">
        <f t="shared" si="13"/>
        <v>0</v>
      </c>
      <c r="BR46">
        <f t="shared" si="13"/>
        <v>0</v>
      </c>
      <c r="BS46">
        <f t="shared" si="13"/>
        <v>0</v>
      </c>
      <c r="BT46">
        <f t="shared" si="13"/>
        <v>0</v>
      </c>
      <c r="BU46">
        <f t="shared" si="13"/>
        <v>0</v>
      </c>
      <c r="BV46">
        <f t="shared" si="13"/>
        <v>0</v>
      </c>
      <c r="BW46">
        <f t="shared" si="13"/>
        <v>0</v>
      </c>
      <c r="BY46">
        <f t="shared" si="9"/>
        <v>0</v>
      </c>
      <c r="BZ46">
        <f t="shared" si="5"/>
        <v>1</v>
      </c>
    </row>
    <row r="47" spans="3:78" hidden="1">
      <c r="AE47">
        <v>29</v>
      </c>
      <c r="AF47">
        <f t="shared" si="15"/>
        <v>0</v>
      </c>
      <c r="AG47">
        <f t="shared" si="15"/>
        <v>0</v>
      </c>
      <c r="AH47">
        <f t="shared" si="15"/>
        <v>0</v>
      </c>
      <c r="AI47">
        <f t="shared" si="15"/>
        <v>0</v>
      </c>
      <c r="AJ47">
        <f t="shared" si="15"/>
        <v>0</v>
      </c>
      <c r="AK47">
        <f t="shared" si="15"/>
        <v>0</v>
      </c>
      <c r="AL47">
        <f t="shared" si="15"/>
        <v>0</v>
      </c>
      <c r="AM47">
        <f t="shared" si="15"/>
        <v>0</v>
      </c>
      <c r="AN47">
        <f t="shared" si="15"/>
        <v>0</v>
      </c>
      <c r="AO47">
        <f t="shared" si="15"/>
        <v>0</v>
      </c>
      <c r="AP47">
        <f t="shared" si="15"/>
        <v>0</v>
      </c>
      <c r="AQ47">
        <f t="shared" si="15"/>
        <v>0</v>
      </c>
      <c r="AR47">
        <f t="shared" si="15"/>
        <v>0</v>
      </c>
      <c r="AS47">
        <f t="shared" si="15"/>
        <v>0</v>
      </c>
      <c r="AU47">
        <f t="shared" si="7"/>
        <v>0</v>
      </c>
      <c r="AV47">
        <f t="shared" si="17"/>
        <v>0</v>
      </c>
      <c r="AW47">
        <f t="shared" si="16"/>
        <v>0</v>
      </c>
      <c r="AX47">
        <f t="shared" si="16"/>
        <v>0</v>
      </c>
      <c r="AY47">
        <f t="shared" si="16"/>
        <v>0</v>
      </c>
      <c r="AZ47">
        <f t="shared" si="16"/>
        <v>0</v>
      </c>
      <c r="BA47">
        <f t="shared" si="16"/>
        <v>0</v>
      </c>
      <c r="BB47">
        <f t="shared" si="16"/>
        <v>0</v>
      </c>
      <c r="BC47">
        <f t="shared" si="16"/>
        <v>0</v>
      </c>
      <c r="BD47">
        <f t="shared" si="16"/>
        <v>0</v>
      </c>
      <c r="BE47">
        <f t="shared" si="16"/>
        <v>0</v>
      </c>
      <c r="BF47">
        <f t="shared" si="16"/>
        <v>0</v>
      </c>
      <c r="BG47">
        <f t="shared" si="16"/>
        <v>0</v>
      </c>
      <c r="BH47">
        <f t="shared" si="16"/>
        <v>0</v>
      </c>
      <c r="BJ47">
        <f t="shared" si="14"/>
        <v>0</v>
      </c>
      <c r="BK47">
        <f t="shared" si="14"/>
        <v>0</v>
      </c>
      <c r="BL47">
        <f t="shared" si="14"/>
        <v>0</v>
      </c>
      <c r="BM47">
        <f t="shared" si="13"/>
        <v>0</v>
      </c>
      <c r="BN47">
        <f t="shared" si="13"/>
        <v>0</v>
      </c>
      <c r="BO47">
        <f t="shared" si="13"/>
        <v>0</v>
      </c>
      <c r="BP47">
        <f t="shared" si="13"/>
        <v>0</v>
      </c>
      <c r="BQ47">
        <f t="shared" si="13"/>
        <v>0</v>
      </c>
      <c r="BR47">
        <f t="shared" si="13"/>
        <v>0</v>
      </c>
      <c r="BS47">
        <f t="shared" si="13"/>
        <v>0</v>
      </c>
      <c r="BT47">
        <f t="shared" si="13"/>
        <v>0</v>
      </c>
      <c r="BU47">
        <f t="shared" si="13"/>
        <v>0</v>
      </c>
      <c r="BV47">
        <f t="shared" si="13"/>
        <v>0</v>
      </c>
      <c r="BW47">
        <f t="shared" si="13"/>
        <v>0</v>
      </c>
      <c r="BY47">
        <f t="shared" si="9"/>
        <v>0</v>
      </c>
      <c r="BZ47">
        <f t="shared" si="5"/>
        <v>1</v>
      </c>
    </row>
    <row r="48" spans="3:78" hidden="1">
      <c r="AE48">
        <v>30</v>
      </c>
      <c r="AF48">
        <f t="shared" ref="AF48:AS57" si="18">IFERROR(AF$16*COMBIN($AF$65,$AE48-AF$17)*$AF$66^($AE48-AF$17)*(1-$AF$66)^($AF$65-($AE48-AF$17)),0)</f>
        <v>0</v>
      </c>
      <c r="AG48">
        <f t="shared" si="18"/>
        <v>0</v>
      </c>
      <c r="AH48">
        <f t="shared" si="18"/>
        <v>0</v>
      </c>
      <c r="AI48">
        <f t="shared" si="18"/>
        <v>0</v>
      </c>
      <c r="AJ48">
        <f t="shared" si="18"/>
        <v>0</v>
      </c>
      <c r="AK48">
        <f t="shared" si="18"/>
        <v>0</v>
      </c>
      <c r="AL48">
        <f t="shared" si="18"/>
        <v>0</v>
      </c>
      <c r="AM48">
        <f t="shared" si="18"/>
        <v>0</v>
      </c>
      <c r="AN48">
        <f t="shared" si="18"/>
        <v>0</v>
      </c>
      <c r="AO48">
        <f t="shared" si="18"/>
        <v>0</v>
      </c>
      <c r="AP48">
        <f t="shared" si="18"/>
        <v>0</v>
      </c>
      <c r="AQ48">
        <f t="shared" si="18"/>
        <v>0</v>
      </c>
      <c r="AR48">
        <f t="shared" si="18"/>
        <v>0</v>
      </c>
      <c r="AS48">
        <f t="shared" si="18"/>
        <v>0</v>
      </c>
      <c r="AU48">
        <f t="shared" si="7"/>
        <v>0</v>
      </c>
      <c r="AV48">
        <f t="shared" si="17"/>
        <v>0</v>
      </c>
      <c r="AW48">
        <f t="shared" si="16"/>
        <v>0</v>
      </c>
      <c r="AX48">
        <f t="shared" si="16"/>
        <v>0</v>
      </c>
      <c r="AY48">
        <f t="shared" si="16"/>
        <v>0</v>
      </c>
      <c r="AZ48">
        <f t="shared" si="16"/>
        <v>0</v>
      </c>
      <c r="BA48">
        <f t="shared" si="16"/>
        <v>0</v>
      </c>
      <c r="BB48">
        <f t="shared" si="16"/>
        <v>0</v>
      </c>
      <c r="BC48">
        <f t="shared" si="16"/>
        <v>0</v>
      </c>
      <c r="BD48">
        <f t="shared" si="16"/>
        <v>0</v>
      </c>
      <c r="BE48">
        <f t="shared" si="16"/>
        <v>0</v>
      </c>
      <c r="BF48">
        <f t="shared" si="16"/>
        <v>0</v>
      </c>
      <c r="BG48">
        <f t="shared" si="16"/>
        <v>0</v>
      </c>
      <c r="BH48">
        <f t="shared" si="16"/>
        <v>0</v>
      </c>
      <c r="BJ48">
        <f t="shared" si="14"/>
        <v>0</v>
      </c>
      <c r="BK48">
        <f t="shared" si="14"/>
        <v>0</v>
      </c>
      <c r="BL48">
        <f t="shared" si="14"/>
        <v>0</v>
      </c>
      <c r="BM48">
        <f t="shared" si="13"/>
        <v>0</v>
      </c>
      <c r="BN48">
        <f t="shared" si="13"/>
        <v>0</v>
      </c>
      <c r="BO48">
        <f t="shared" si="13"/>
        <v>0</v>
      </c>
      <c r="BP48">
        <f t="shared" si="13"/>
        <v>0</v>
      </c>
      <c r="BQ48">
        <f t="shared" si="13"/>
        <v>0</v>
      </c>
      <c r="BR48">
        <f t="shared" si="13"/>
        <v>0</v>
      </c>
      <c r="BS48">
        <f t="shared" si="13"/>
        <v>0</v>
      </c>
      <c r="BT48">
        <f t="shared" si="13"/>
        <v>0</v>
      </c>
      <c r="BU48">
        <f t="shared" si="13"/>
        <v>0</v>
      </c>
      <c r="BV48">
        <f t="shared" si="13"/>
        <v>0</v>
      </c>
      <c r="BW48">
        <f t="shared" si="13"/>
        <v>0</v>
      </c>
      <c r="BY48">
        <f t="shared" si="9"/>
        <v>0</v>
      </c>
      <c r="BZ48">
        <f t="shared" si="5"/>
        <v>1</v>
      </c>
    </row>
    <row r="49" spans="31:78" hidden="1">
      <c r="AE49">
        <v>31</v>
      </c>
      <c r="AF49">
        <f t="shared" si="18"/>
        <v>0</v>
      </c>
      <c r="AG49">
        <f t="shared" si="18"/>
        <v>0</v>
      </c>
      <c r="AH49">
        <f t="shared" si="18"/>
        <v>0</v>
      </c>
      <c r="AI49">
        <f t="shared" si="18"/>
        <v>0</v>
      </c>
      <c r="AJ49">
        <f t="shared" si="18"/>
        <v>0</v>
      </c>
      <c r="AK49">
        <f t="shared" si="18"/>
        <v>0</v>
      </c>
      <c r="AL49">
        <f t="shared" si="18"/>
        <v>0</v>
      </c>
      <c r="AM49">
        <f t="shared" si="18"/>
        <v>0</v>
      </c>
      <c r="AN49">
        <f t="shared" si="18"/>
        <v>0</v>
      </c>
      <c r="AO49">
        <f t="shared" si="18"/>
        <v>0</v>
      </c>
      <c r="AP49">
        <f t="shared" si="18"/>
        <v>0</v>
      </c>
      <c r="AQ49">
        <f t="shared" si="18"/>
        <v>0</v>
      </c>
      <c r="AR49">
        <f t="shared" si="18"/>
        <v>0</v>
      </c>
      <c r="AS49">
        <f t="shared" si="18"/>
        <v>0</v>
      </c>
      <c r="AU49">
        <f t="shared" si="7"/>
        <v>0</v>
      </c>
      <c r="AV49">
        <f t="shared" si="17"/>
        <v>0</v>
      </c>
      <c r="AW49">
        <f t="shared" si="16"/>
        <v>0</v>
      </c>
      <c r="AX49">
        <f t="shared" si="16"/>
        <v>0</v>
      </c>
      <c r="AY49">
        <f t="shared" si="16"/>
        <v>0</v>
      </c>
      <c r="AZ49">
        <f t="shared" si="16"/>
        <v>0</v>
      </c>
      <c r="BA49">
        <f t="shared" si="16"/>
        <v>0</v>
      </c>
      <c r="BB49">
        <f t="shared" si="16"/>
        <v>0</v>
      </c>
      <c r="BC49">
        <f t="shared" si="16"/>
        <v>0</v>
      </c>
      <c r="BD49">
        <f t="shared" si="16"/>
        <v>0</v>
      </c>
      <c r="BE49">
        <f t="shared" si="16"/>
        <v>0</v>
      </c>
      <c r="BF49">
        <f t="shared" si="16"/>
        <v>0</v>
      </c>
      <c r="BG49">
        <f t="shared" si="16"/>
        <v>0</v>
      </c>
      <c r="BH49">
        <f t="shared" si="16"/>
        <v>0</v>
      </c>
      <c r="BJ49">
        <f t="shared" si="14"/>
        <v>0</v>
      </c>
      <c r="BK49">
        <f t="shared" si="14"/>
        <v>0</v>
      </c>
      <c r="BL49">
        <f t="shared" si="14"/>
        <v>0</v>
      </c>
      <c r="BM49">
        <f t="shared" si="13"/>
        <v>0</v>
      </c>
      <c r="BN49">
        <f t="shared" si="13"/>
        <v>0</v>
      </c>
      <c r="BO49">
        <f t="shared" si="13"/>
        <v>0</v>
      </c>
      <c r="BP49">
        <f t="shared" si="13"/>
        <v>0</v>
      </c>
      <c r="BQ49">
        <f t="shared" si="13"/>
        <v>0</v>
      </c>
      <c r="BR49">
        <f t="shared" si="13"/>
        <v>0</v>
      </c>
      <c r="BS49">
        <f t="shared" si="13"/>
        <v>0</v>
      </c>
      <c r="BT49">
        <f t="shared" si="13"/>
        <v>0</v>
      </c>
      <c r="BU49">
        <f t="shared" si="13"/>
        <v>0</v>
      </c>
      <c r="BV49">
        <f t="shared" si="13"/>
        <v>0</v>
      </c>
      <c r="BW49">
        <f t="shared" si="13"/>
        <v>0</v>
      </c>
      <c r="BY49">
        <f t="shared" si="9"/>
        <v>0</v>
      </c>
      <c r="BZ49">
        <f t="shared" si="5"/>
        <v>1</v>
      </c>
    </row>
    <row r="50" spans="31:78" hidden="1">
      <c r="AE50">
        <v>32</v>
      </c>
      <c r="AF50">
        <f t="shared" si="18"/>
        <v>0</v>
      </c>
      <c r="AG50">
        <f t="shared" si="18"/>
        <v>0</v>
      </c>
      <c r="AH50">
        <f t="shared" si="18"/>
        <v>0</v>
      </c>
      <c r="AI50">
        <f t="shared" si="18"/>
        <v>0</v>
      </c>
      <c r="AJ50">
        <f t="shared" si="18"/>
        <v>0</v>
      </c>
      <c r="AK50">
        <f t="shared" si="18"/>
        <v>0</v>
      </c>
      <c r="AL50">
        <f t="shared" si="18"/>
        <v>0</v>
      </c>
      <c r="AM50">
        <f t="shared" si="18"/>
        <v>0</v>
      </c>
      <c r="AN50">
        <f t="shared" si="18"/>
        <v>0</v>
      </c>
      <c r="AO50">
        <f t="shared" si="18"/>
        <v>0</v>
      </c>
      <c r="AP50">
        <f t="shared" si="18"/>
        <v>0</v>
      </c>
      <c r="AQ50">
        <f t="shared" si="18"/>
        <v>0</v>
      </c>
      <c r="AR50">
        <f t="shared" si="18"/>
        <v>0</v>
      </c>
      <c r="AS50">
        <f t="shared" si="18"/>
        <v>0</v>
      </c>
      <c r="AU50">
        <f t="shared" si="7"/>
        <v>0</v>
      </c>
      <c r="AV50">
        <f t="shared" si="17"/>
        <v>0</v>
      </c>
      <c r="AW50">
        <f t="shared" si="16"/>
        <v>0</v>
      </c>
      <c r="AX50">
        <f t="shared" si="16"/>
        <v>0</v>
      </c>
      <c r="AY50">
        <f t="shared" si="16"/>
        <v>0</v>
      </c>
      <c r="AZ50">
        <f t="shared" si="16"/>
        <v>0</v>
      </c>
      <c r="BA50">
        <f t="shared" si="16"/>
        <v>0</v>
      </c>
      <c r="BB50">
        <f t="shared" si="16"/>
        <v>0</v>
      </c>
      <c r="BC50">
        <f t="shared" si="16"/>
        <v>0</v>
      </c>
      <c r="BD50">
        <f t="shared" si="16"/>
        <v>0</v>
      </c>
      <c r="BE50">
        <f t="shared" si="16"/>
        <v>0</v>
      </c>
      <c r="BF50">
        <f t="shared" si="16"/>
        <v>0</v>
      </c>
      <c r="BG50">
        <f t="shared" si="16"/>
        <v>0</v>
      </c>
      <c r="BH50">
        <f t="shared" si="16"/>
        <v>0</v>
      </c>
      <c r="BJ50">
        <f t="shared" si="14"/>
        <v>0</v>
      </c>
      <c r="BK50">
        <f t="shared" si="14"/>
        <v>0</v>
      </c>
      <c r="BL50">
        <f t="shared" si="14"/>
        <v>0</v>
      </c>
      <c r="BM50">
        <f t="shared" si="13"/>
        <v>0</v>
      </c>
      <c r="BN50">
        <f t="shared" si="13"/>
        <v>0</v>
      </c>
      <c r="BO50">
        <f t="shared" si="13"/>
        <v>0</v>
      </c>
      <c r="BP50">
        <f t="shared" si="13"/>
        <v>0</v>
      </c>
      <c r="BQ50">
        <f t="shared" si="13"/>
        <v>0</v>
      </c>
      <c r="BR50">
        <f t="shared" si="13"/>
        <v>0</v>
      </c>
      <c r="BS50">
        <f t="shared" si="13"/>
        <v>0</v>
      </c>
      <c r="BT50">
        <f t="shared" si="13"/>
        <v>0</v>
      </c>
      <c r="BU50">
        <f t="shared" si="13"/>
        <v>0</v>
      </c>
      <c r="BV50">
        <f t="shared" si="13"/>
        <v>0</v>
      </c>
      <c r="BW50">
        <f t="shared" si="13"/>
        <v>0</v>
      </c>
      <c r="BY50">
        <f t="shared" si="9"/>
        <v>0</v>
      </c>
      <c r="BZ50">
        <f t="shared" si="5"/>
        <v>1</v>
      </c>
    </row>
    <row r="51" spans="31:78" hidden="1">
      <c r="AE51">
        <v>33</v>
      </c>
      <c r="AF51">
        <f t="shared" si="18"/>
        <v>0</v>
      </c>
      <c r="AG51">
        <f t="shared" si="18"/>
        <v>0</v>
      </c>
      <c r="AH51">
        <f t="shared" si="18"/>
        <v>0</v>
      </c>
      <c r="AI51">
        <f t="shared" si="18"/>
        <v>0</v>
      </c>
      <c r="AJ51">
        <f t="shared" si="18"/>
        <v>0</v>
      </c>
      <c r="AK51">
        <f t="shared" si="18"/>
        <v>0</v>
      </c>
      <c r="AL51">
        <f t="shared" si="18"/>
        <v>0</v>
      </c>
      <c r="AM51">
        <f t="shared" si="18"/>
        <v>0</v>
      </c>
      <c r="AN51">
        <f t="shared" si="18"/>
        <v>0</v>
      </c>
      <c r="AO51">
        <f t="shared" si="18"/>
        <v>0</v>
      </c>
      <c r="AP51">
        <f t="shared" si="18"/>
        <v>0</v>
      </c>
      <c r="AQ51">
        <f t="shared" si="18"/>
        <v>0</v>
      </c>
      <c r="AR51">
        <f t="shared" si="18"/>
        <v>0</v>
      </c>
      <c r="AS51">
        <f t="shared" si="18"/>
        <v>0</v>
      </c>
      <c r="AU51">
        <f t="shared" si="7"/>
        <v>0</v>
      </c>
      <c r="AV51">
        <f t="shared" si="17"/>
        <v>0</v>
      </c>
      <c r="AW51">
        <f t="shared" si="16"/>
        <v>0</v>
      </c>
      <c r="AX51">
        <f t="shared" si="16"/>
        <v>0</v>
      </c>
      <c r="AY51">
        <f t="shared" si="16"/>
        <v>0</v>
      </c>
      <c r="AZ51">
        <f t="shared" si="16"/>
        <v>0</v>
      </c>
      <c r="BA51">
        <f t="shared" si="16"/>
        <v>0</v>
      </c>
      <c r="BB51">
        <f t="shared" si="16"/>
        <v>0</v>
      </c>
      <c r="BC51">
        <f t="shared" si="16"/>
        <v>0</v>
      </c>
      <c r="BD51">
        <f t="shared" si="16"/>
        <v>0</v>
      </c>
      <c r="BE51">
        <f t="shared" si="16"/>
        <v>0</v>
      </c>
      <c r="BF51">
        <f t="shared" si="16"/>
        <v>0</v>
      </c>
      <c r="BG51">
        <f t="shared" si="16"/>
        <v>0</v>
      </c>
      <c r="BH51">
        <f t="shared" si="16"/>
        <v>0</v>
      </c>
      <c r="BJ51">
        <f t="shared" si="14"/>
        <v>0</v>
      </c>
      <c r="BK51">
        <f t="shared" si="14"/>
        <v>0</v>
      </c>
      <c r="BL51">
        <f t="shared" si="14"/>
        <v>0</v>
      </c>
      <c r="BM51">
        <f t="shared" si="13"/>
        <v>0</v>
      </c>
      <c r="BN51">
        <f t="shared" si="13"/>
        <v>0</v>
      </c>
      <c r="BO51">
        <f t="shared" si="13"/>
        <v>0</v>
      </c>
      <c r="BP51">
        <f t="shared" si="13"/>
        <v>0</v>
      </c>
      <c r="BQ51">
        <f t="shared" si="13"/>
        <v>0</v>
      </c>
      <c r="BR51">
        <f t="shared" si="13"/>
        <v>0</v>
      </c>
      <c r="BS51">
        <f t="shared" si="13"/>
        <v>0</v>
      </c>
      <c r="BT51">
        <f t="shared" si="13"/>
        <v>0</v>
      </c>
      <c r="BU51">
        <f t="shared" si="13"/>
        <v>0</v>
      </c>
      <c r="BV51">
        <f t="shared" si="13"/>
        <v>0</v>
      </c>
      <c r="BW51">
        <f t="shared" si="13"/>
        <v>0</v>
      </c>
      <c r="BY51">
        <f t="shared" si="9"/>
        <v>0</v>
      </c>
      <c r="BZ51">
        <f t="shared" si="5"/>
        <v>1</v>
      </c>
    </row>
    <row r="52" spans="31:78" hidden="1">
      <c r="AE52">
        <v>34</v>
      </c>
      <c r="AF52">
        <f t="shared" si="18"/>
        <v>0</v>
      </c>
      <c r="AG52">
        <f t="shared" si="18"/>
        <v>0</v>
      </c>
      <c r="AH52">
        <f t="shared" si="18"/>
        <v>0</v>
      </c>
      <c r="AI52">
        <f t="shared" si="18"/>
        <v>0</v>
      </c>
      <c r="AJ52">
        <f t="shared" si="18"/>
        <v>0</v>
      </c>
      <c r="AK52">
        <f t="shared" si="18"/>
        <v>0</v>
      </c>
      <c r="AL52">
        <f t="shared" si="18"/>
        <v>0</v>
      </c>
      <c r="AM52">
        <f t="shared" si="18"/>
        <v>0</v>
      </c>
      <c r="AN52">
        <f t="shared" si="18"/>
        <v>0</v>
      </c>
      <c r="AO52">
        <f t="shared" si="18"/>
        <v>0</v>
      </c>
      <c r="AP52">
        <f t="shared" si="18"/>
        <v>0</v>
      </c>
      <c r="AQ52">
        <f t="shared" si="18"/>
        <v>0</v>
      </c>
      <c r="AR52">
        <f t="shared" si="18"/>
        <v>0</v>
      </c>
      <c r="AS52">
        <f t="shared" si="18"/>
        <v>0</v>
      </c>
      <c r="AU52">
        <f t="shared" si="7"/>
        <v>0</v>
      </c>
      <c r="AV52">
        <f t="shared" si="17"/>
        <v>0</v>
      </c>
      <c r="AW52">
        <f t="shared" si="16"/>
        <v>0</v>
      </c>
      <c r="AX52">
        <f t="shared" si="16"/>
        <v>0</v>
      </c>
      <c r="AY52">
        <f t="shared" si="16"/>
        <v>0</v>
      </c>
      <c r="AZ52">
        <f t="shared" si="16"/>
        <v>0</v>
      </c>
      <c r="BA52">
        <f t="shared" si="16"/>
        <v>0</v>
      </c>
      <c r="BB52">
        <f t="shared" si="16"/>
        <v>0</v>
      </c>
      <c r="BC52">
        <f t="shared" si="16"/>
        <v>0</v>
      </c>
      <c r="BD52">
        <f t="shared" si="16"/>
        <v>0</v>
      </c>
      <c r="BE52">
        <f t="shared" si="16"/>
        <v>0</v>
      </c>
      <c r="BF52">
        <f t="shared" si="16"/>
        <v>0</v>
      </c>
      <c r="BG52">
        <f t="shared" si="16"/>
        <v>0</v>
      </c>
      <c r="BH52">
        <f t="shared" si="16"/>
        <v>0</v>
      </c>
      <c r="BJ52">
        <f t="shared" si="14"/>
        <v>0</v>
      </c>
      <c r="BK52">
        <f t="shared" si="14"/>
        <v>0</v>
      </c>
      <c r="BL52">
        <f t="shared" si="14"/>
        <v>0</v>
      </c>
      <c r="BM52">
        <f t="shared" si="13"/>
        <v>0</v>
      </c>
      <c r="BN52">
        <f t="shared" si="13"/>
        <v>0</v>
      </c>
      <c r="BO52">
        <f t="shared" si="13"/>
        <v>0</v>
      </c>
      <c r="BP52">
        <f t="shared" si="13"/>
        <v>0</v>
      </c>
      <c r="BQ52">
        <f t="shared" si="13"/>
        <v>0</v>
      </c>
      <c r="BR52">
        <f t="shared" si="13"/>
        <v>0</v>
      </c>
      <c r="BS52">
        <f t="shared" si="13"/>
        <v>0</v>
      </c>
      <c r="BT52">
        <f t="shared" si="13"/>
        <v>0</v>
      </c>
      <c r="BU52">
        <f t="shared" si="13"/>
        <v>0</v>
      </c>
      <c r="BV52">
        <f t="shared" si="13"/>
        <v>0</v>
      </c>
      <c r="BW52">
        <f t="shared" si="13"/>
        <v>0</v>
      </c>
      <c r="BY52">
        <f t="shared" si="9"/>
        <v>0</v>
      </c>
      <c r="BZ52">
        <f t="shared" si="5"/>
        <v>1</v>
      </c>
    </row>
    <row r="53" spans="31:78" hidden="1">
      <c r="AE53">
        <v>35</v>
      </c>
      <c r="AF53">
        <f t="shared" si="18"/>
        <v>0</v>
      </c>
      <c r="AG53">
        <f t="shared" si="18"/>
        <v>0</v>
      </c>
      <c r="AH53">
        <f t="shared" si="18"/>
        <v>0</v>
      </c>
      <c r="AI53">
        <f t="shared" si="18"/>
        <v>0</v>
      </c>
      <c r="AJ53">
        <f t="shared" si="18"/>
        <v>0</v>
      </c>
      <c r="AK53">
        <f t="shared" si="18"/>
        <v>0</v>
      </c>
      <c r="AL53">
        <f t="shared" si="18"/>
        <v>0</v>
      </c>
      <c r="AM53">
        <f t="shared" si="18"/>
        <v>0</v>
      </c>
      <c r="AN53">
        <f t="shared" si="18"/>
        <v>0</v>
      </c>
      <c r="AO53">
        <f t="shared" si="18"/>
        <v>0</v>
      </c>
      <c r="AP53">
        <f t="shared" si="18"/>
        <v>0</v>
      </c>
      <c r="AQ53">
        <f t="shared" si="18"/>
        <v>0</v>
      </c>
      <c r="AR53">
        <f t="shared" si="18"/>
        <v>0</v>
      </c>
      <c r="AS53">
        <f t="shared" si="18"/>
        <v>0</v>
      </c>
      <c r="AU53">
        <f t="shared" si="7"/>
        <v>0</v>
      </c>
      <c r="AV53">
        <f t="shared" si="17"/>
        <v>0</v>
      </c>
      <c r="AW53">
        <f t="shared" si="16"/>
        <v>0</v>
      </c>
      <c r="AX53">
        <f t="shared" si="16"/>
        <v>0</v>
      </c>
      <c r="AY53">
        <f t="shared" si="16"/>
        <v>0</v>
      </c>
      <c r="AZ53">
        <f t="shared" si="16"/>
        <v>0</v>
      </c>
      <c r="BA53">
        <f t="shared" si="16"/>
        <v>0</v>
      </c>
      <c r="BB53">
        <f t="shared" si="16"/>
        <v>0</v>
      </c>
      <c r="BC53">
        <f t="shared" si="16"/>
        <v>0</v>
      </c>
      <c r="BD53">
        <f t="shared" si="16"/>
        <v>0</v>
      </c>
      <c r="BE53">
        <f t="shared" si="16"/>
        <v>0</v>
      </c>
      <c r="BF53">
        <f t="shared" si="16"/>
        <v>0</v>
      </c>
      <c r="BG53">
        <f t="shared" si="16"/>
        <v>0</v>
      </c>
      <c r="BH53">
        <f t="shared" si="16"/>
        <v>0</v>
      </c>
      <c r="BJ53">
        <f t="shared" si="14"/>
        <v>0</v>
      </c>
      <c r="BK53">
        <f t="shared" si="14"/>
        <v>0</v>
      </c>
      <c r="BL53">
        <f t="shared" si="14"/>
        <v>0</v>
      </c>
      <c r="BM53">
        <f t="shared" si="13"/>
        <v>0</v>
      </c>
      <c r="BN53">
        <f t="shared" si="13"/>
        <v>0</v>
      </c>
      <c r="BO53">
        <f t="shared" si="13"/>
        <v>0</v>
      </c>
      <c r="BP53">
        <f t="shared" si="13"/>
        <v>0</v>
      </c>
      <c r="BQ53">
        <f t="shared" si="13"/>
        <v>0</v>
      </c>
      <c r="BR53">
        <f t="shared" si="13"/>
        <v>0</v>
      </c>
      <c r="BS53">
        <f t="shared" si="13"/>
        <v>0</v>
      </c>
      <c r="BT53">
        <f t="shared" si="13"/>
        <v>0</v>
      </c>
      <c r="BU53">
        <f t="shared" si="13"/>
        <v>0</v>
      </c>
      <c r="BV53">
        <f t="shared" si="13"/>
        <v>0</v>
      </c>
      <c r="BW53">
        <f t="shared" si="13"/>
        <v>0</v>
      </c>
      <c r="BY53">
        <f t="shared" si="9"/>
        <v>0</v>
      </c>
      <c r="BZ53">
        <f t="shared" si="5"/>
        <v>1</v>
      </c>
    </row>
    <row r="54" spans="31:78" hidden="1">
      <c r="AE54">
        <v>36</v>
      </c>
      <c r="AF54">
        <f t="shared" si="18"/>
        <v>0</v>
      </c>
      <c r="AG54">
        <f t="shared" si="18"/>
        <v>0</v>
      </c>
      <c r="AH54">
        <f t="shared" si="18"/>
        <v>0</v>
      </c>
      <c r="AI54">
        <f t="shared" si="18"/>
        <v>0</v>
      </c>
      <c r="AJ54">
        <f t="shared" si="18"/>
        <v>0</v>
      </c>
      <c r="AK54">
        <f t="shared" si="18"/>
        <v>0</v>
      </c>
      <c r="AL54">
        <f t="shared" si="18"/>
        <v>0</v>
      </c>
      <c r="AM54">
        <f t="shared" si="18"/>
        <v>0</v>
      </c>
      <c r="AN54">
        <f t="shared" si="18"/>
        <v>0</v>
      </c>
      <c r="AO54">
        <f t="shared" si="18"/>
        <v>0</v>
      </c>
      <c r="AP54">
        <f t="shared" si="18"/>
        <v>0</v>
      </c>
      <c r="AQ54">
        <f t="shared" si="18"/>
        <v>0</v>
      </c>
      <c r="AR54">
        <f t="shared" si="18"/>
        <v>0</v>
      </c>
      <c r="AS54">
        <f t="shared" si="18"/>
        <v>0</v>
      </c>
      <c r="AU54">
        <f t="shared" si="7"/>
        <v>0</v>
      </c>
      <c r="AV54">
        <f t="shared" si="17"/>
        <v>0</v>
      </c>
      <c r="AW54">
        <f t="shared" ref="AW54:BH57" si="19">AV53</f>
        <v>0</v>
      </c>
      <c r="AX54">
        <f t="shared" si="19"/>
        <v>0</v>
      </c>
      <c r="AY54">
        <f t="shared" si="19"/>
        <v>0</v>
      </c>
      <c r="AZ54">
        <f t="shared" si="19"/>
        <v>0</v>
      </c>
      <c r="BA54">
        <f t="shared" si="19"/>
        <v>0</v>
      </c>
      <c r="BB54">
        <f t="shared" si="19"/>
        <v>0</v>
      </c>
      <c r="BC54">
        <f t="shared" si="19"/>
        <v>0</v>
      </c>
      <c r="BD54">
        <f t="shared" si="19"/>
        <v>0</v>
      </c>
      <c r="BE54">
        <f t="shared" si="19"/>
        <v>0</v>
      </c>
      <c r="BF54">
        <f t="shared" si="19"/>
        <v>0</v>
      </c>
      <c r="BG54">
        <f t="shared" si="19"/>
        <v>0</v>
      </c>
      <c r="BH54">
        <f t="shared" si="19"/>
        <v>0</v>
      </c>
      <c r="BJ54">
        <f t="shared" si="14"/>
        <v>0</v>
      </c>
      <c r="BK54">
        <f t="shared" si="14"/>
        <v>0</v>
      </c>
      <c r="BL54">
        <f t="shared" si="14"/>
        <v>0</v>
      </c>
      <c r="BM54">
        <f t="shared" si="13"/>
        <v>0</v>
      </c>
      <c r="BN54">
        <f t="shared" si="13"/>
        <v>0</v>
      </c>
      <c r="BO54">
        <f t="shared" si="13"/>
        <v>0</v>
      </c>
      <c r="BP54">
        <f t="shared" si="13"/>
        <v>0</v>
      </c>
      <c r="BQ54">
        <f t="shared" si="13"/>
        <v>0</v>
      </c>
      <c r="BR54">
        <f t="shared" si="13"/>
        <v>0</v>
      </c>
      <c r="BS54">
        <f t="shared" si="13"/>
        <v>0</v>
      </c>
      <c r="BT54">
        <f t="shared" si="13"/>
        <v>0</v>
      </c>
      <c r="BU54">
        <f t="shared" si="13"/>
        <v>0</v>
      </c>
      <c r="BV54">
        <f t="shared" si="13"/>
        <v>0</v>
      </c>
      <c r="BW54">
        <f t="shared" si="13"/>
        <v>0</v>
      </c>
      <c r="BY54">
        <f t="shared" si="9"/>
        <v>0</v>
      </c>
      <c r="BZ54">
        <f t="shared" si="5"/>
        <v>1</v>
      </c>
    </row>
    <row r="55" spans="31:78" hidden="1">
      <c r="AE55">
        <v>37</v>
      </c>
      <c r="AF55">
        <f t="shared" si="18"/>
        <v>0</v>
      </c>
      <c r="AG55">
        <f t="shared" si="18"/>
        <v>0</v>
      </c>
      <c r="AH55">
        <f t="shared" si="18"/>
        <v>0</v>
      </c>
      <c r="AI55">
        <f t="shared" si="18"/>
        <v>0</v>
      </c>
      <c r="AJ55">
        <f t="shared" si="18"/>
        <v>0</v>
      </c>
      <c r="AK55">
        <f t="shared" si="18"/>
        <v>0</v>
      </c>
      <c r="AL55">
        <f t="shared" si="18"/>
        <v>0</v>
      </c>
      <c r="AM55">
        <f t="shared" si="18"/>
        <v>0</v>
      </c>
      <c r="AN55">
        <f t="shared" si="18"/>
        <v>0</v>
      </c>
      <c r="AO55">
        <f t="shared" si="18"/>
        <v>0</v>
      </c>
      <c r="AP55">
        <f t="shared" si="18"/>
        <v>0</v>
      </c>
      <c r="AQ55">
        <f t="shared" si="18"/>
        <v>0</v>
      </c>
      <c r="AR55">
        <f t="shared" si="18"/>
        <v>0</v>
      </c>
      <c r="AS55">
        <f t="shared" si="18"/>
        <v>0</v>
      </c>
      <c r="AU55">
        <f t="shared" si="7"/>
        <v>0</v>
      </c>
      <c r="AV55">
        <f t="shared" si="17"/>
        <v>0</v>
      </c>
      <c r="AW55">
        <f t="shared" si="19"/>
        <v>0</v>
      </c>
      <c r="AX55">
        <f t="shared" si="19"/>
        <v>0</v>
      </c>
      <c r="AY55">
        <f t="shared" si="19"/>
        <v>0</v>
      </c>
      <c r="AZ55">
        <f t="shared" si="19"/>
        <v>0</v>
      </c>
      <c r="BA55">
        <f t="shared" si="19"/>
        <v>0</v>
      </c>
      <c r="BB55">
        <f t="shared" si="19"/>
        <v>0</v>
      </c>
      <c r="BC55">
        <f t="shared" si="19"/>
        <v>0</v>
      </c>
      <c r="BD55">
        <f t="shared" si="19"/>
        <v>0</v>
      </c>
      <c r="BE55">
        <f t="shared" si="19"/>
        <v>0</v>
      </c>
      <c r="BF55">
        <f t="shared" si="19"/>
        <v>0</v>
      </c>
      <c r="BG55">
        <f t="shared" si="19"/>
        <v>0</v>
      </c>
      <c r="BH55">
        <f t="shared" si="19"/>
        <v>0</v>
      </c>
      <c r="BJ55">
        <f t="shared" si="14"/>
        <v>0</v>
      </c>
      <c r="BK55">
        <f t="shared" si="14"/>
        <v>0</v>
      </c>
      <c r="BL55">
        <f t="shared" si="14"/>
        <v>0</v>
      </c>
      <c r="BM55">
        <f t="shared" si="13"/>
        <v>0</v>
      </c>
      <c r="BN55">
        <f t="shared" si="13"/>
        <v>0</v>
      </c>
      <c r="BO55">
        <f t="shared" si="13"/>
        <v>0</v>
      </c>
      <c r="BP55">
        <f t="shared" si="13"/>
        <v>0</v>
      </c>
      <c r="BQ55">
        <f t="shared" si="13"/>
        <v>0</v>
      </c>
      <c r="BR55">
        <f t="shared" si="13"/>
        <v>0</v>
      </c>
      <c r="BS55">
        <f t="shared" si="13"/>
        <v>0</v>
      </c>
      <c r="BT55">
        <f t="shared" si="13"/>
        <v>0</v>
      </c>
      <c r="BU55">
        <f t="shared" si="13"/>
        <v>0</v>
      </c>
      <c r="BV55">
        <f t="shared" si="13"/>
        <v>0</v>
      </c>
      <c r="BW55">
        <f t="shared" si="13"/>
        <v>0</v>
      </c>
      <c r="BY55">
        <f t="shared" si="9"/>
        <v>0</v>
      </c>
      <c r="BZ55">
        <f t="shared" si="5"/>
        <v>1</v>
      </c>
    </row>
    <row r="56" spans="31:78" hidden="1">
      <c r="AE56">
        <v>38</v>
      </c>
      <c r="AF56">
        <f t="shared" si="18"/>
        <v>0</v>
      </c>
      <c r="AG56">
        <f t="shared" si="18"/>
        <v>0</v>
      </c>
      <c r="AH56">
        <f t="shared" si="18"/>
        <v>0</v>
      </c>
      <c r="AI56">
        <f t="shared" si="18"/>
        <v>0</v>
      </c>
      <c r="AJ56">
        <f t="shared" si="18"/>
        <v>0</v>
      </c>
      <c r="AK56">
        <f t="shared" si="18"/>
        <v>0</v>
      </c>
      <c r="AL56">
        <f t="shared" si="18"/>
        <v>0</v>
      </c>
      <c r="AM56">
        <f t="shared" si="18"/>
        <v>0</v>
      </c>
      <c r="AN56">
        <f t="shared" si="18"/>
        <v>0</v>
      </c>
      <c r="AO56">
        <f t="shared" si="18"/>
        <v>0</v>
      </c>
      <c r="AP56">
        <f t="shared" si="18"/>
        <v>0</v>
      </c>
      <c r="AQ56">
        <f t="shared" si="18"/>
        <v>0</v>
      </c>
      <c r="AR56">
        <f t="shared" si="18"/>
        <v>0</v>
      </c>
      <c r="AS56">
        <f t="shared" si="18"/>
        <v>0</v>
      </c>
      <c r="AU56">
        <f t="shared" si="7"/>
        <v>0</v>
      </c>
      <c r="AV56">
        <f t="shared" si="17"/>
        <v>0</v>
      </c>
      <c r="AW56">
        <f t="shared" si="19"/>
        <v>0</v>
      </c>
      <c r="AX56">
        <f t="shared" si="19"/>
        <v>0</v>
      </c>
      <c r="AY56">
        <f t="shared" si="19"/>
        <v>0</v>
      </c>
      <c r="AZ56">
        <f t="shared" si="19"/>
        <v>0</v>
      </c>
      <c r="BA56">
        <f t="shared" si="19"/>
        <v>0</v>
      </c>
      <c r="BB56">
        <f t="shared" si="19"/>
        <v>0</v>
      </c>
      <c r="BC56">
        <f t="shared" si="19"/>
        <v>0</v>
      </c>
      <c r="BD56">
        <f t="shared" si="19"/>
        <v>0</v>
      </c>
      <c r="BE56">
        <f t="shared" si="19"/>
        <v>0</v>
      </c>
      <c r="BF56">
        <f t="shared" si="19"/>
        <v>0</v>
      </c>
      <c r="BG56">
        <f t="shared" si="19"/>
        <v>0</v>
      </c>
      <c r="BH56">
        <f t="shared" si="19"/>
        <v>0</v>
      </c>
      <c r="BJ56">
        <f t="shared" si="14"/>
        <v>0</v>
      </c>
      <c r="BK56">
        <f t="shared" si="14"/>
        <v>0</v>
      </c>
      <c r="BL56">
        <f t="shared" si="14"/>
        <v>0</v>
      </c>
      <c r="BM56">
        <f t="shared" si="13"/>
        <v>0</v>
      </c>
      <c r="BN56">
        <f t="shared" si="13"/>
        <v>0</v>
      </c>
      <c r="BO56">
        <f t="shared" si="13"/>
        <v>0</v>
      </c>
      <c r="BP56">
        <f t="shared" si="13"/>
        <v>0</v>
      </c>
      <c r="BQ56">
        <f t="shared" si="13"/>
        <v>0</v>
      </c>
      <c r="BR56">
        <f t="shared" si="13"/>
        <v>0</v>
      </c>
      <c r="BS56">
        <f t="shared" si="13"/>
        <v>0</v>
      </c>
      <c r="BT56">
        <f t="shared" si="13"/>
        <v>0</v>
      </c>
      <c r="BU56">
        <f t="shared" si="13"/>
        <v>0</v>
      </c>
      <c r="BV56">
        <f t="shared" si="13"/>
        <v>0</v>
      </c>
      <c r="BW56">
        <f t="shared" si="13"/>
        <v>0</v>
      </c>
      <c r="BY56">
        <f t="shared" si="9"/>
        <v>0</v>
      </c>
      <c r="BZ56">
        <f t="shared" si="5"/>
        <v>1</v>
      </c>
    </row>
    <row r="57" spans="31:78" hidden="1">
      <c r="AE57">
        <v>39</v>
      </c>
      <c r="AF57">
        <f t="shared" si="18"/>
        <v>0</v>
      </c>
      <c r="AG57">
        <f t="shared" si="18"/>
        <v>0</v>
      </c>
      <c r="AH57">
        <f t="shared" si="18"/>
        <v>0</v>
      </c>
      <c r="AI57">
        <f t="shared" si="18"/>
        <v>0</v>
      </c>
      <c r="AJ57">
        <f t="shared" si="18"/>
        <v>0</v>
      </c>
      <c r="AK57">
        <f t="shared" si="18"/>
        <v>0</v>
      </c>
      <c r="AL57">
        <f t="shared" si="18"/>
        <v>0</v>
      </c>
      <c r="AM57">
        <f t="shared" si="18"/>
        <v>0</v>
      </c>
      <c r="AN57">
        <f t="shared" si="18"/>
        <v>0</v>
      </c>
      <c r="AO57">
        <f t="shared" si="18"/>
        <v>0</v>
      </c>
      <c r="AP57">
        <f t="shared" si="18"/>
        <v>0</v>
      </c>
      <c r="AQ57">
        <f t="shared" si="18"/>
        <v>0</v>
      </c>
      <c r="AR57">
        <f t="shared" si="18"/>
        <v>0</v>
      </c>
      <c r="AS57">
        <f t="shared" si="18"/>
        <v>0</v>
      </c>
      <c r="AU57">
        <f t="shared" si="7"/>
        <v>0</v>
      </c>
      <c r="AV57">
        <f t="shared" si="17"/>
        <v>0</v>
      </c>
      <c r="AW57">
        <f t="shared" si="19"/>
        <v>0</v>
      </c>
      <c r="AX57">
        <f t="shared" si="19"/>
        <v>0</v>
      </c>
      <c r="AY57">
        <f t="shared" si="19"/>
        <v>0</v>
      </c>
      <c r="AZ57">
        <f t="shared" si="19"/>
        <v>0</v>
      </c>
      <c r="BA57">
        <f t="shared" si="19"/>
        <v>0</v>
      </c>
      <c r="BB57">
        <f t="shared" si="19"/>
        <v>0</v>
      </c>
      <c r="BC57">
        <f t="shared" si="19"/>
        <v>0</v>
      </c>
      <c r="BD57">
        <f t="shared" si="19"/>
        <v>0</v>
      </c>
      <c r="BE57">
        <f t="shared" si="19"/>
        <v>0</v>
      </c>
      <c r="BF57">
        <f t="shared" si="19"/>
        <v>0</v>
      </c>
      <c r="BG57">
        <f t="shared" si="19"/>
        <v>0</v>
      </c>
      <c r="BH57">
        <f t="shared" si="19"/>
        <v>0</v>
      </c>
      <c r="BJ57">
        <f t="shared" si="14"/>
        <v>0</v>
      </c>
      <c r="BK57">
        <f t="shared" si="14"/>
        <v>0</v>
      </c>
      <c r="BL57">
        <f t="shared" si="14"/>
        <v>0</v>
      </c>
      <c r="BM57">
        <f t="shared" si="13"/>
        <v>0</v>
      </c>
      <c r="BN57">
        <f t="shared" si="13"/>
        <v>0</v>
      </c>
      <c r="BO57">
        <f t="shared" si="13"/>
        <v>0</v>
      </c>
      <c r="BP57">
        <f t="shared" si="13"/>
        <v>0</v>
      </c>
      <c r="BQ57">
        <f t="shared" si="13"/>
        <v>0</v>
      </c>
      <c r="BR57">
        <f t="shared" si="13"/>
        <v>0</v>
      </c>
      <c r="BS57">
        <f t="shared" si="13"/>
        <v>0</v>
      </c>
      <c r="BT57">
        <f t="shared" si="13"/>
        <v>0</v>
      </c>
      <c r="BU57">
        <f t="shared" si="13"/>
        <v>0</v>
      </c>
      <c r="BV57">
        <f t="shared" si="13"/>
        <v>0</v>
      </c>
      <c r="BW57">
        <f t="shared" si="13"/>
        <v>0</v>
      </c>
      <c r="BY57">
        <f t="shared" si="9"/>
        <v>0</v>
      </c>
      <c r="BZ57">
        <f t="shared" si="5"/>
        <v>1</v>
      </c>
    </row>
    <row r="58" spans="31:78" hidden="1"/>
    <row r="59" spans="31:78" hidden="1"/>
    <row r="60" spans="31:78" hidden="1"/>
    <row r="63" spans="31:78">
      <c r="AF63" s="1793" t="s">
        <v>3138</v>
      </c>
      <c r="AG63" s="1793"/>
      <c r="AH63" s="1793"/>
      <c r="AI63" s="1793"/>
      <c r="AJ63" s="1793"/>
    </row>
    <row r="65" spans="32:36">
      <c r="AF65">
        <v>5</v>
      </c>
      <c r="AG65">
        <v>5</v>
      </c>
      <c r="AH65">
        <v>5</v>
      </c>
      <c r="AJ65">
        <v>7</v>
      </c>
    </row>
    <row r="66" spans="32:36">
      <c r="AF66">
        <f>0.33*0.97</f>
        <v>0.3201</v>
      </c>
      <c r="AG66">
        <f>0.53*0.97</f>
        <v>0.5141</v>
      </c>
      <c r="AH66">
        <f>0.48*0.97</f>
        <v>0.46559999999999996</v>
      </c>
      <c r="AJ66">
        <f>SUMPRODUCT(BY18:BY57,BZ18:BZ57)</f>
        <v>0.4953538253338125</v>
      </c>
    </row>
  </sheetData>
  <mergeCells count="4">
    <mergeCell ref="M14:O14"/>
    <mergeCell ref="Q14:S14"/>
    <mergeCell ref="X14:Z14"/>
    <mergeCell ref="AF63:AJ63"/>
  </mergeCells>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2B31E-F3FA-41C2-8A9E-75751676E66E}">
  <dimension ref="B2:BE25"/>
  <sheetViews>
    <sheetView workbookViewId="0">
      <selection activeCell="U31" sqref="U31"/>
    </sheetView>
  </sheetViews>
  <sheetFormatPr defaultRowHeight="13.9" customHeight="1"/>
  <sheetData>
    <row r="2" spans="2:57" ht="13.9" customHeight="1">
      <c r="B2" t="s">
        <v>2891</v>
      </c>
      <c r="E2" t="s">
        <v>2892</v>
      </c>
      <c r="H2" t="s">
        <v>2893</v>
      </c>
      <c r="K2" t="s">
        <v>2894</v>
      </c>
      <c r="M2" t="s">
        <v>2895</v>
      </c>
      <c r="O2" t="s">
        <v>2896</v>
      </c>
      <c r="R2" t="s">
        <v>2897</v>
      </c>
      <c r="T2" t="s">
        <v>2883</v>
      </c>
      <c r="V2" t="s">
        <v>2898</v>
      </c>
      <c r="X2" t="s">
        <v>2899</v>
      </c>
      <c r="AA2" t="s">
        <v>2900</v>
      </c>
      <c r="AC2" t="s">
        <v>2901</v>
      </c>
      <c r="AE2" t="s">
        <v>2902</v>
      </c>
      <c r="AG2" t="s">
        <v>2903</v>
      </c>
      <c r="AJ2" t="s">
        <v>2904</v>
      </c>
      <c r="AL2" t="s">
        <v>2905</v>
      </c>
      <c r="AN2" t="s">
        <v>2906</v>
      </c>
      <c r="AP2" t="s">
        <v>2907</v>
      </c>
      <c r="AR2" t="s">
        <v>2845</v>
      </c>
      <c r="AT2" t="s">
        <v>1177</v>
      </c>
      <c r="AV2" t="s">
        <v>2908</v>
      </c>
      <c r="AX2" t="s">
        <v>2909</v>
      </c>
      <c r="AZ2" t="s">
        <v>2910</v>
      </c>
      <c r="BB2" t="s">
        <v>954</v>
      </c>
      <c r="BE2" t="s">
        <v>2911</v>
      </c>
    </row>
    <row r="3" spans="2:57" ht="13.9" customHeight="1">
      <c r="C3" t="s">
        <v>2912</v>
      </c>
      <c r="F3" t="s">
        <v>2913</v>
      </c>
      <c r="I3" t="s">
        <v>2914</v>
      </c>
      <c r="L3" t="s">
        <v>2882</v>
      </c>
      <c r="N3" t="s">
        <v>2915</v>
      </c>
      <c r="P3" t="s">
        <v>2916</v>
      </c>
      <c r="U3" t="s">
        <v>2917</v>
      </c>
      <c r="W3" t="s">
        <v>2918</v>
      </c>
      <c r="Z3" t="s">
        <v>2843</v>
      </c>
      <c r="AB3" t="s">
        <v>2919</v>
      </c>
      <c r="AF3" t="s">
        <v>2920</v>
      </c>
      <c r="AK3" t="s">
        <v>2921</v>
      </c>
      <c r="AM3" t="s">
        <v>2922</v>
      </c>
      <c r="AO3" t="s">
        <v>2923</v>
      </c>
      <c r="AQ3" t="s">
        <v>2924</v>
      </c>
      <c r="AS3" t="s">
        <v>2925</v>
      </c>
      <c r="AW3" t="s">
        <v>2926</v>
      </c>
      <c r="BA3" t="s">
        <v>2927</v>
      </c>
      <c r="BC3" t="s">
        <v>2928</v>
      </c>
    </row>
    <row r="4" spans="2:57" ht="13.9" customHeight="1">
      <c r="D4" t="s">
        <v>965</v>
      </c>
      <c r="G4" t="s">
        <v>2929</v>
      </c>
      <c r="J4" t="s">
        <v>2930</v>
      </c>
      <c r="Q4" t="s">
        <v>2931</v>
      </c>
      <c r="Y4" t="s">
        <v>2932</v>
      </c>
      <c r="AD4" t="s">
        <v>2933</v>
      </c>
      <c r="AH4" t="s">
        <v>2934</v>
      </c>
      <c r="AU4" t="s">
        <v>2935</v>
      </c>
      <c r="AY4" t="s">
        <v>2936</v>
      </c>
      <c r="BD4" t="s">
        <v>2937</v>
      </c>
    </row>
    <row r="5" spans="2:57" ht="13.9" customHeight="1">
      <c r="S5" t="s">
        <v>2938</v>
      </c>
      <c r="AI5" t="s">
        <v>2939</v>
      </c>
    </row>
    <row r="6" spans="2:57" ht="13.9" customHeight="1">
      <c r="B6">
        <v>348</v>
      </c>
      <c r="C6">
        <v>359</v>
      </c>
      <c r="D6">
        <v>355</v>
      </c>
      <c r="E6">
        <v>362</v>
      </c>
      <c r="F6">
        <v>370</v>
      </c>
      <c r="G6">
        <v>391</v>
      </c>
      <c r="H6">
        <v>421</v>
      </c>
      <c r="I6">
        <v>302</v>
      </c>
      <c r="J6">
        <v>431</v>
      </c>
      <c r="K6">
        <v>434</v>
      </c>
      <c r="L6">
        <v>386</v>
      </c>
      <c r="M6">
        <v>457</v>
      </c>
      <c r="N6">
        <v>473</v>
      </c>
      <c r="O6">
        <v>491</v>
      </c>
      <c r="P6">
        <v>431</v>
      </c>
      <c r="Q6">
        <v>474</v>
      </c>
      <c r="R6">
        <v>476</v>
      </c>
      <c r="S6">
        <v>492</v>
      </c>
      <c r="T6">
        <v>457</v>
      </c>
      <c r="U6">
        <v>490</v>
      </c>
      <c r="V6">
        <v>439</v>
      </c>
      <c r="W6">
        <v>487</v>
      </c>
      <c r="X6">
        <v>438</v>
      </c>
      <c r="Y6">
        <v>509</v>
      </c>
      <c r="Z6">
        <v>495</v>
      </c>
      <c r="AA6">
        <v>469</v>
      </c>
      <c r="AB6">
        <v>471</v>
      </c>
      <c r="AC6">
        <v>390</v>
      </c>
      <c r="AD6">
        <v>383</v>
      </c>
      <c r="AE6">
        <v>530</v>
      </c>
      <c r="AF6">
        <v>410</v>
      </c>
      <c r="AG6">
        <v>413</v>
      </c>
      <c r="AH6">
        <v>498</v>
      </c>
      <c r="AI6">
        <v>435</v>
      </c>
      <c r="AJ6">
        <v>499</v>
      </c>
      <c r="AK6">
        <v>553</v>
      </c>
      <c r="AL6">
        <v>541</v>
      </c>
      <c r="AM6">
        <v>584</v>
      </c>
      <c r="AN6">
        <v>563</v>
      </c>
      <c r="AO6">
        <v>579</v>
      </c>
      <c r="AP6">
        <v>509</v>
      </c>
      <c r="AQ6">
        <v>479</v>
      </c>
      <c r="AR6">
        <v>551</v>
      </c>
      <c r="AS6">
        <v>358</v>
      </c>
      <c r="AT6">
        <v>550</v>
      </c>
      <c r="AU6">
        <v>414</v>
      </c>
      <c r="AV6">
        <v>515</v>
      </c>
      <c r="AW6">
        <v>612</v>
      </c>
      <c r="AX6">
        <v>532</v>
      </c>
      <c r="AY6">
        <v>363</v>
      </c>
      <c r="AZ6">
        <v>598</v>
      </c>
      <c r="BA6">
        <v>467</v>
      </c>
      <c r="BB6">
        <v>460</v>
      </c>
      <c r="BC6">
        <v>650</v>
      </c>
      <c r="BD6">
        <v>609</v>
      </c>
      <c r="BE6">
        <v>473</v>
      </c>
    </row>
    <row r="8" spans="2:57" ht="13.9" customHeight="1">
      <c r="B8">
        <v>221676</v>
      </c>
      <c r="C8">
        <v>233350</v>
      </c>
      <c r="D8">
        <v>226135</v>
      </c>
      <c r="E8">
        <v>238830</v>
      </c>
      <c r="F8">
        <v>242905</v>
      </c>
      <c r="G8">
        <v>260504</v>
      </c>
      <c r="H8">
        <v>295542</v>
      </c>
      <c r="I8">
        <v>202189</v>
      </c>
      <c r="J8">
        <v>285753</v>
      </c>
      <c r="K8">
        <v>297616</v>
      </c>
      <c r="L8">
        <v>259682</v>
      </c>
      <c r="M8">
        <v>308932</v>
      </c>
      <c r="N8">
        <v>324360</v>
      </c>
      <c r="O8">
        <v>343087</v>
      </c>
      <c r="P8">
        <v>295559</v>
      </c>
      <c r="Q8">
        <v>334289</v>
      </c>
      <c r="R8">
        <v>327964</v>
      </c>
      <c r="S8">
        <v>337389</v>
      </c>
      <c r="T8">
        <v>323785</v>
      </c>
      <c r="U8">
        <v>348758</v>
      </c>
      <c r="V8">
        <v>301045</v>
      </c>
      <c r="W8">
        <v>348205</v>
      </c>
      <c r="X8">
        <v>300359</v>
      </c>
      <c r="Y8">
        <v>349047</v>
      </c>
      <c r="Z8">
        <v>355534</v>
      </c>
      <c r="AA8">
        <v>321617</v>
      </c>
      <c r="AB8">
        <v>322989</v>
      </c>
      <c r="AC8">
        <v>267443</v>
      </c>
      <c r="AD8">
        <v>276335</v>
      </c>
      <c r="AE8">
        <v>363580</v>
      </c>
      <c r="AF8">
        <v>281260</v>
      </c>
      <c r="AG8">
        <v>283318</v>
      </c>
      <c r="AH8">
        <v>341628</v>
      </c>
      <c r="AI8">
        <v>298410</v>
      </c>
      <c r="AJ8">
        <v>360278</v>
      </c>
      <c r="AK8">
        <v>399266</v>
      </c>
      <c r="AL8">
        <v>371126</v>
      </c>
      <c r="AM8">
        <v>421648</v>
      </c>
      <c r="AN8">
        <v>406486</v>
      </c>
      <c r="AO8">
        <v>418038</v>
      </c>
      <c r="AP8">
        <v>367498</v>
      </c>
      <c r="AQ8">
        <v>328594</v>
      </c>
      <c r="AR8">
        <v>377986</v>
      </c>
      <c r="AS8">
        <v>264562</v>
      </c>
      <c r="AT8">
        <v>406450</v>
      </c>
      <c r="AU8">
        <v>305946</v>
      </c>
      <c r="AV8">
        <v>380585</v>
      </c>
      <c r="AW8">
        <v>441864</v>
      </c>
      <c r="AX8">
        <v>384104</v>
      </c>
      <c r="AY8">
        <v>249018</v>
      </c>
      <c r="AZ8">
        <v>431756</v>
      </c>
      <c r="BA8">
        <v>345113</v>
      </c>
      <c r="BB8">
        <v>315560</v>
      </c>
      <c r="BC8">
        <v>469300</v>
      </c>
      <c r="BD8">
        <v>439698</v>
      </c>
      <c r="BE8">
        <v>349547</v>
      </c>
    </row>
    <row r="9" spans="2:57" ht="13.9" customHeight="1">
      <c r="B9">
        <v>204624</v>
      </c>
      <c r="C9">
        <v>215400</v>
      </c>
      <c r="D9">
        <v>208740</v>
      </c>
      <c r="E9">
        <v>220458</v>
      </c>
      <c r="F9">
        <v>224220</v>
      </c>
      <c r="G9">
        <v>240465</v>
      </c>
      <c r="H9">
        <v>272808</v>
      </c>
      <c r="I9">
        <v>186636</v>
      </c>
      <c r="J9">
        <v>263772</v>
      </c>
      <c r="K9">
        <v>274722</v>
      </c>
      <c r="L9">
        <v>239706</v>
      </c>
      <c r="M9">
        <v>285168</v>
      </c>
      <c r="N9">
        <v>299409</v>
      </c>
      <c r="O9">
        <v>316695</v>
      </c>
      <c r="P9">
        <v>272823</v>
      </c>
      <c r="Q9">
        <v>308574</v>
      </c>
      <c r="R9">
        <v>302736</v>
      </c>
      <c r="S9">
        <v>311436</v>
      </c>
      <c r="T9">
        <v>298878</v>
      </c>
      <c r="U9">
        <v>321930</v>
      </c>
      <c r="V9">
        <v>277887</v>
      </c>
      <c r="W9">
        <v>321420</v>
      </c>
      <c r="X9">
        <v>277254</v>
      </c>
      <c r="Y9">
        <v>322197</v>
      </c>
      <c r="Z9">
        <v>328185</v>
      </c>
      <c r="AA9">
        <v>296877</v>
      </c>
      <c r="AB9">
        <v>298143</v>
      </c>
      <c r="AC9">
        <v>246870</v>
      </c>
      <c r="AD9">
        <v>255078</v>
      </c>
      <c r="AE9">
        <v>335490</v>
      </c>
      <c r="AF9">
        <v>259530</v>
      </c>
      <c r="AG9">
        <v>261429</v>
      </c>
      <c r="AH9">
        <v>315234</v>
      </c>
      <c r="AI9">
        <v>275355</v>
      </c>
      <c r="AJ9">
        <v>332334</v>
      </c>
      <c r="AK9">
        <v>368298</v>
      </c>
      <c r="AL9">
        <v>342453</v>
      </c>
      <c r="AM9">
        <v>388944</v>
      </c>
      <c r="AN9">
        <v>374958</v>
      </c>
      <c r="AO9">
        <v>385614</v>
      </c>
      <c r="AP9">
        <v>338994</v>
      </c>
      <c r="AQ9">
        <v>303207</v>
      </c>
      <c r="AR9">
        <v>348783</v>
      </c>
      <c r="AS9">
        <v>226614</v>
      </c>
      <c r="AT9">
        <v>348150</v>
      </c>
      <c r="AU9">
        <v>262062</v>
      </c>
      <c r="AV9">
        <v>325995</v>
      </c>
      <c r="AW9">
        <v>407592</v>
      </c>
      <c r="AX9">
        <v>354312</v>
      </c>
      <c r="AY9">
        <v>229779</v>
      </c>
      <c r="AZ9">
        <v>398268</v>
      </c>
      <c r="BA9">
        <v>295611</v>
      </c>
      <c r="BB9">
        <v>291180</v>
      </c>
      <c r="BC9">
        <v>432900</v>
      </c>
      <c r="BD9">
        <v>405594</v>
      </c>
      <c r="BE9">
        <v>299409</v>
      </c>
    </row>
    <row r="10" spans="2:57" ht="13.9" customHeight="1">
      <c r="B10">
        <v>187572</v>
      </c>
      <c r="C10">
        <v>197450</v>
      </c>
      <c r="D10">
        <v>191345</v>
      </c>
      <c r="E10">
        <v>202087</v>
      </c>
      <c r="F10">
        <v>205535</v>
      </c>
      <c r="G10">
        <v>220427</v>
      </c>
      <c r="H10">
        <v>250074</v>
      </c>
      <c r="I10">
        <v>171083</v>
      </c>
      <c r="J10">
        <v>241791</v>
      </c>
      <c r="K10">
        <v>251829</v>
      </c>
      <c r="L10">
        <v>219731</v>
      </c>
      <c r="M10">
        <v>261404</v>
      </c>
      <c r="N10">
        <v>274458</v>
      </c>
      <c r="O10">
        <v>290304</v>
      </c>
      <c r="P10">
        <v>250088</v>
      </c>
      <c r="Q10">
        <v>282860</v>
      </c>
      <c r="R10">
        <v>277508</v>
      </c>
      <c r="S10">
        <v>285483</v>
      </c>
      <c r="T10">
        <v>273972</v>
      </c>
      <c r="U10">
        <v>295103</v>
      </c>
      <c r="V10">
        <v>254730</v>
      </c>
      <c r="W10">
        <v>294635</v>
      </c>
      <c r="X10">
        <v>254150</v>
      </c>
      <c r="Y10">
        <v>295348</v>
      </c>
      <c r="Z10">
        <v>300837</v>
      </c>
      <c r="AA10">
        <v>272138</v>
      </c>
      <c r="AB10">
        <v>273298</v>
      </c>
      <c r="AC10">
        <v>226298</v>
      </c>
      <c r="AD10">
        <v>233822</v>
      </c>
      <c r="AE10">
        <v>307930</v>
      </c>
      <c r="AF10">
        <v>238210</v>
      </c>
      <c r="AG10">
        <v>239953</v>
      </c>
      <c r="AH10">
        <v>289338</v>
      </c>
      <c r="AI10">
        <v>252735</v>
      </c>
      <c r="AJ10">
        <v>304889</v>
      </c>
      <c r="AK10">
        <v>337883</v>
      </c>
      <c r="AL10">
        <v>314321</v>
      </c>
      <c r="AM10">
        <v>356824</v>
      </c>
      <c r="AN10">
        <v>343993</v>
      </c>
      <c r="AO10">
        <v>353769</v>
      </c>
      <c r="AP10">
        <v>310999</v>
      </c>
      <c r="AQ10">
        <v>278299</v>
      </c>
      <c r="AR10">
        <v>320131</v>
      </c>
      <c r="AS10">
        <v>189024</v>
      </c>
      <c r="AT10">
        <v>290400</v>
      </c>
      <c r="AU10">
        <v>218592</v>
      </c>
      <c r="AV10">
        <v>271920</v>
      </c>
      <c r="AW10">
        <v>373932</v>
      </c>
      <c r="AX10">
        <v>325052</v>
      </c>
      <c r="AY10">
        <v>210903</v>
      </c>
      <c r="AZ10">
        <v>365378</v>
      </c>
      <c r="BA10">
        <v>246576</v>
      </c>
      <c r="BB10">
        <v>267260</v>
      </c>
      <c r="BC10">
        <v>397150</v>
      </c>
      <c r="BD10">
        <v>372099</v>
      </c>
      <c r="BE10">
        <v>249744</v>
      </c>
    </row>
    <row r="11" spans="2:57" ht="13.9" customHeight="1">
      <c r="B11">
        <v>68208</v>
      </c>
      <c r="C11">
        <v>71800</v>
      </c>
      <c r="D11">
        <v>69580</v>
      </c>
      <c r="E11">
        <v>73486</v>
      </c>
      <c r="F11">
        <v>74740</v>
      </c>
      <c r="G11">
        <v>80155</v>
      </c>
      <c r="H11">
        <v>90936</v>
      </c>
      <c r="I11">
        <v>62212</v>
      </c>
      <c r="J11">
        <v>87924</v>
      </c>
      <c r="K11">
        <v>91574</v>
      </c>
      <c r="L11">
        <v>79902</v>
      </c>
      <c r="M11">
        <v>95056</v>
      </c>
      <c r="N11">
        <v>99803</v>
      </c>
      <c r="O11">
        <v>105565</v>
      </c>
      <c r="P11">
        <v>90941</v>
      </c>
      <c r="Q11">
        <v>102858</v>
      </c>
      <c r="R11">
        <v>100912</v>
      </c>
      <c r="S11">
        <v>103812</v>
      </c>
      <c r="T11">
        <v>99626</v>
      </c>
      <c r="U11">
        <v>107310</v>
      </c>
      <c r="V11">
        <v>92629</v>
      </c>
      <c r="W11">
        <v>107140</v>
      </c>
      <c r="X11">
        <v>92418</v>
      </c>
      <c r="Y11">
        <v>107399</v>
      </c>
      <c r="Z11">
        <v>109395</v>
      </c>
      <c r="AA11">
        <v>98959</v>
      </c>
      <c r="AB11">
        <v>99381</v>
      </c>
      <c r="AC11">
        <v>82290</v>
      </c>
      <c r="AD11">
        <v>85026</v>
      </c>
      <c r="AE11">
        <v>111830</v>
      </c>
      <c r="AF11">
        <v>86510</v>
      </c>
      <c r="AG11">
        <v>87143</v>
      </c>
      <c r="AH11">
        <v>105078</v>
      </c>
      <c r="AI11">
        <v>91785</v>
      </c>
      <c r="AJ11">
        <v>110778</v>
      </c>
      <c r="AK11">
        <v>122766</v>
      </c>
      <c r="AL11">
        <v>114151</v>
      </c>
      <c r="AM11">
        <v>129648</v>
      </c>
      <c r="AN11">
        <v>124986</v>
      </c>
      <c r="AO11">
        <v>128538</v>
      </c>
      <c r="AP11">
        <v>112998</v>
      </c>
      <c r="AQ11">
        <v>101069</v>
      </c>
      <c r="AR11">
        <v>116261</v>
      </c>
      <c r="AS11">
        <v>75538</v>
      </c>
      <c r="AT11">
        <v>116050</v>
      </c>
      <c r="AU11">
        <v>87354</v>
      </c>
      <c r="AV11">
        <v>108665</v>
      </c>
      <c r="AW11">
        <v>135864</v>
      </c>
      <c r="AX11">
        <v>118104</v>
      </c>
      <c r="AY11">
        <v>76593</v>
      </c>
      <c r="AZ11">
        <v>132756</v>
      </c>
      <c r="BA11">
        <v>98537</v>
      </c>
      <c r="BB11">
        <v>97060</v>
      </c>
      <c r="BC11">
        <v>144300</v>
      </c>
      <c r="BD11">
        <v>135198</v>
      </c>
      <c r="BE11">
        <v>99803</v>
      </c>
    </row>
    <row r="13" spans="2:57" ht="13.9" customHeight="1">
      <c r="B13">
        <f>ROUND(B8/B$6*4,0)/4</f>
        <v>637</v>
      </c>
      <c r="C13">
        <f t="shared" ref="C13:BE16" si="0">ROUND(C8/C$6*4,0)/4</f>
        <v>650</v>
      </c>
      <c r="D13">
        <f t="shared" si="0"/>
        <v>637</v>
      </c>
      <c r="E13">
        <f t="shared" si="0"/>
        <v>659.75</v>
      </c>
      <c r="F13">
        <f t="shared" si="0"/>
        <v>656.5</v>
      </c>
      <c r="G13">
        <f t="shared" si="0"/>
        <v>666.25</v>
      </c>
      <c r="H13">
        <f t="shared" si="0"/>
        <v>702</v>
      </c>
      <c r="I13">
        <f t="shared" si="0"/>
        <v>669.5</v>
      </c>
      <c r="J13">
        <f t="shared" si="0"/>
        <v>663</v>
      </c>
      <c r="K13">
        <f t="shared" si="0"/>
        <v>685.75</v>
      </c>
      <c r="L13">
        <f t="shared" si="0"/>
        <v>672.75</v>
      </c>
      <c r="M13">
        <f t="shared" si="0"/>
        <v>676</v>
      </c>
      <c r="N13">
        <f t="shared" si="0"/>
        <v>685.75</v>
      </c>
      <c r="O13">
        <f t="shared" si="0"/>
        <v>698.75</v>
      </c>
      <c r="P13">
        <f t="shared" si="0"/>
        <v>685.75</v>
      </c>
      <c r="Q13">
        <f t="shared" si="0"/>
        <v>705.25</v>
      </c>
      <c r="R13">
        <f t="shared" si="0"/>
        <v>689</v>
      </c>
      <c r="S13">
        <f t="shared" si="0"/>
        <v>685.75</v>
      </c>
      <c r="T13">
        <f t="shared" si="0"/>
        <v>708.5</v>
      </c>
      <c r="U13">
        <f t="shared" si="0"/>
        <v>711.75</v>
      </c>
      <c r="V13">
        <f t="shared" si="0"/>
        <v>685.75</v>
      </c>
      <c r="W13">
        <f t="shared" si="0"/>
        <v>715</v>
      </c>
      <c r="X13">
        <f t="shared" si="0"/>
        <v>685.75</v>
      </c>
      <c r="Y13">
        <f t="shared" si="0"/>
        <v>685.75</v>
      </c>
      <c r="Z13">
        <f t="shared" si="0"/>
        <v>718.25</v>
      </c>
      <c r="AA13">
        <f t="shared" si="0"/>
        <v>685.75</v>
      </c>
      <c r="AB13">
        <f t="shared" si="0"/>
        <v>685.75</v>
      </c>
      <c r="AC13">
        <f t="shared" si="0"/>
        <v>685.75</v>
      </c>
      <c r="AD13">
        <f t="shared" si="0"/>
        <v>721.5</v>
      </c>
      <c r="AE13">
        <f t="shared" si="0"/>
        <v>686</v>
      </c>
      <c r="AF13">
        <f t="shared" si="0"/>
        <v>686</v>
      </c>
      <c r="AG13">
        <f t="shared" si="0"/>
        <v>686</v>
      </c>
      <c r="AH13">
        <f t="shared" si="0"/>
        <v>686</v>
      </c>
      <c r="AI13">
        <f t="shared" si="0"/>
        <v>686</v>
      </c>
      <c r="AJ13">
        <f t="shared" si="0"/>
        <v>722</v>
      </c>
      <c r="AK13">
        <f t="shared" si="0"/>
        <v>722</v>
      </c>
      <c r="AL13">
        <f t="shared" si="0"/>
        <v>686</v>
      </c>
      <c r="AM13">
        <f t="shared" si="0"/>
        <v>722</v>
      </c>
      <c r="AN13">
        <f t="shared" si="0"/>
        <v>722</v>
      </c>
      <c r="AO13">
        <f t="shared" si="0"/>
        <v>722</v>
      </c>
      <c r="AP13">
        <f t="shared" si="0"/>
        <v>722</v>
      </c>
      <c r="AQ13">
        <f t="shared" si="0"/>
        <v>686</v>
      </c>
      <c r="AR13">
        <f t="shared" si="0"/>
        <v>686</v>
      </c>
      <c r="AS13">
        <f t="shared" si="0"/>
        <v>739</v>
      </c>
      <c r="AT13">
        <f t="shared" si="0"/>
        <v>739</v>
      </c>
      <c r="AU13">
        <f t="shared" si="0"/>
        <v>739</v>
      </c>
      <c r="AV13">
        <f t="shared" si="0"/>
        <v>739</v>
      </c>
      <c r="AW13">
        <f t="shared" si="0"/>
        <v>722</v>
      </c>
      <c r="AX13">
        <f t="shared" si="0"/>
        <v>722</v>
      </c>
      <c r="AY13">
        <f t="shared" si="0"/>
        <v>686</v>
      </c>
      <c r="AZ13">
        <f t="shared" si="0"/>
        <v>722</v>
      </c>
      <c r="BA13">
        <f t="shared" si="0"/>
        <v>739</v>
      </c>
      <c r="BB13">
        <f t="shared" si="0"/>
        <v>686</v>
      </c>
      <c r="BC13">
        <f t="shared" si="0"/>
        <v>722</v>
      </c>
      <c r="BD13">
        <f t="shared" si="0"/>
        <v>722</v>
      </c>
      <c r="BE13">
        <f t="shared" si="0"/>
        <v>739</v>
      </c>
    </row>
    <row r="14" spans="2:57" ht="13.9" customHeight="1">
      <c r="B14">
        <f>ROUND(B9/B$6*4,0)/4</f>
        <v>588</v>
      </c>
      <c r="C14">
        <f t="shared" ref="C14:Q14" si="1">ROUND(C9/C$6*4,0)/4</f>
        <v>600</v>
      </c>
      <c r="D14">
        <f t="shared" si="1"/>
        <v>588</v>
      </c>
      <c r="E14">
        <f t="shared" si="1"/>
        <v>609</v>
      </c>
      <c r="F14">
        <f t="shared" si="1"/>
        <v>606</v>
      </c>
      <c r="G14">
        <f t="shared" si="1"/>
        <v>615</v>
      </c>
      <c r="H14">
        <f t="shared" si="1"/>
        <v>648</v>
      </c>
      <c r="I14">
        <f t="shared" si="1"/>
        <v>618</v>
      </c>
      <c r="J14">
        <f t="shared" si="1"/>
        <v>612</v>
      </c>
      <c r="K14">
        <f t="shared" si="1"/>
        <v>633</v>
      </c>
      <c r="L14">
        <f t="shared" si="1"/>
        <v>621</v>
      </c>
      <c r="M14">
        <f t="shared" si="1"/>
        <v>624</v>
      </c>
      <c r="N14">
        <f t="shared" si="1"/>
        <v>633</v>
      </c>
      <c r="O14">
        <f t="shared" si="1"/>
        <v>645</v>
      </c>
      <c r="P14">
        <f t="shared" si="1"/>
        <v>633</v>
      </c>
      <c r="Q14">
        <f t="shared" si="1"/>
        <v>651</v>
      </c>
      <c r="R14">
        <f t="shared" si="0"/>
        <v>636</v>
      </c>
      <c r="S14">
        <f t="shared" si="0"/>
        <v>633</v>
      </c>
      <c r="T14">
        <f t="shared" si="0"/>
        <v>654</v>
      </c>
      <c r="U14">
        <f t="shared" si="0"/>
        <v>657</v>
      </c>
      <c r="V14">
        <f t="shared" si="0"/>
        <v>633</v>
      </c>
      <c r="W14">
        <f t="shared" si="0"/>
        <v>660</v>
      </c>
      <c r="X14">
        <f t="shared" si="0"/>
        <v>633</v>
      </c>
      <c r="Y14">
        <f t="shared" si="0"/>
        <v>633</v>
      </c>
      <c r="Z14">
        <f t="shared" si="0"/>
        <v>663</v>
      </c>
      <c r="AA14">
        <f t="shared" si="0"/>
        <v>633</v>
      </c>
      <c r="AB14">
        <f t="shared" si="0"/>
        <v>633</v>
      </c>
      <c r="AC14">
        <f t="shared" si="0"/>
        <v>633</v>
      </c>
      <c r="AD14">
        <f t="shared" si="0"/>
        <v>666</v>
      </c>
      <c r="AE14">
        <f t="shared" si="0"/>
        <v>633</v>
      </c>
      <c r="AF14">
        <f t="shared" si="0"/>
        <v>633</v>
      </c>
      <c r="AG14">
        <f t="shared" si="0"/>
        <v>633</v>
      </c>
      <c r="AH14">
        <f t="shared" si="0"/>
        <v>633</v>
      </c>
      <c r="AI14">
        <f t="shared" si="0"/>
        <v>633</v>
      </c>
      <c r="AJ14">
        <f t="shared" si="0"/>
        <v>666</v>
      </c>
      <c r="AK14">
        <f t="shared" si="0"/>
        <v>666</v>
      </c>
      <c r="AL14">
        <f t="shared" si="0"/>
        <v>633</v>
      </c>
      <c r="AM14">
        <f t="shared" si="0"/>
        <v>666</v>
      </c>
      <c r="AN14">
        <f t="shared" si="0"/>
        <v>666</v>
      </c>
      <c r="AO14">
        <f t="shared" si="0"/>
        <v>666</v>
      </c>
      <c r="AP14">
        <f t="shared" si="0"/>
        <v>666</v>
      </c>
      <c r="AQ14">
        <f t="shared" si="0"/>
        <v>633</v>
      </c>
      <c r="AR14">
        <f t="shared" si="0"/>
        <v>633</v>
      </c>
      <c r="AS14">
        <f t="shared" si="0"/>
        <v>633</v>
      </c>
      <c r="AT14">
        <f t="shared" si="0"/>
        <v>633</v>
      </c>
      <c r="AU14">
        <f t="shared" si="0"/>
        <v>633</v>
      </c>
      <c r="AV14">
        <f t="shared" si="0"/>
        <v>633</v>
      </c>
      <c r="AW14">
        <f t="shared" si="0"/>
        <v>666</v>
      </c>
      <c r="AX14">
        <f t="shared" si="0"/>
        <v>666</v>
      </c>
      <c r="AY14">
        <f t="shared" si="0"/>
        <v>633</v>
      </c>
      <c r="AZ14">
        <f t="shared" si="0"/>
        <v>666</v>
      </c>
      <c r="BA14">
        <f t="shared" si="0"/>
        <v>633</v>
      </c>
      <c r="BB14">
        <f t="shared" si="0"/>
        <v>633</v>
      </c>
      <c r="BC14">
        <f t="shared" si="0"/>
        <v>666</v>
      </c>
      <c r="BD14">
        <f t="shared" si="0"/>
        <v>666</v>
      </c>
      <c r="BE14">
        <f t="shared" si="0"/>
        <v>633</v>
      </c>
    </row>
    <row r="15" spans="2:57" ht="13.9" customHeight="1">
      <c r="B15">
        <f>ROUND(B10/B$6*4,0)/4</f>
        <v>539</v>
      </c>
      <c r="C15">
        <f t="shared" si="0"/>
        <v>550</v>
      </c>
      <c r="D15">
        <f t="shared" si="0"/>
        <v>539</v>
      </c>
      <c r="E15">
        <f t="shared" si="0"/>
        <v>558.25</v>
      </c>
      <c r="F15">
        <f t="shared" si="0"/>
        <v>555.5</v>
      </c>
      <c r="G15">
        <f t="shared" si="0"/>
        <v>563.75</v>
      </c>
      <c r="H15">
        <f t="shared" si="0"/>
        <v>594</v>
      </c>
      <c r="I15">
        <f t="shared" si="0"/>
        <v>566.5</v>
      </c>
      <c r="J15">
        <f t="shared" si="0"/>
        <v>561</v>
      </c>
      <c r="K15">
        <f t="shared" si="0"/>
        <v>580.25</v>
      </c>
      <c r="L15">
        <f t="shared" si="0"/>
        <v>569.25</v>
      </c>
      <c r="M15">
        <f t="shared" si="0"/>
        <v>572</v>
      </c>
      <c r="N15">
        <f t="shared" si="0"/>
        <v>580.25</v>
      </c>
      <c r="O15">
        <f t="shared" si="0"/>
        <v>591.25</v>
      </c>
      <c r="P15">
        <f t="shared" si="0"/>
        <v>580.25</v>
      </c>
      <c r="Q15">
        <f t="shared" si="0"/>
        <v>596.75</v>
      </c>
      <c r="R15">
        <f t="shared" si="0"/>
        <v>583</v>
      </c>
      <c r="S15">
        <f t="shared" si="0"/>
        <v>580.25</v>
      </c>
      <c r="T15">
        <f t="shared" si="0"/>
        <v>599.5</v>
      </c>
      <c r="U15">
        <f t="shared" si="0"/>
        <v>602.25</v>
      </c>
      <c r="V15">
        <f t="shared" si="0"/>
        <v>580.25</v>
      </c>
      <c r="W15">
        <f t="shared" si="0"/>
        <v>605</v>
      </c>
      <c r="X15">
        <f t="shared" si="0"/>
        <v>580.25</v>
      </c>
      <c r="Y15">
        <f t="shared" si="0"/>
        <v>580.25</v>
      </c>
      <c r="Z15">
        <f t="shared" si="0"/>
        <v>607.75</v>
      </c>
      <c r="AA15">
        <f t="shared" si="0"/>
        <v>580.25</v>
      </c>
      <c r="AB15">
        <f t="shared" si="0"/>
        <v>580.25</v>
      </c>
      <c r="AC15">
        <f t="shared" si="0"/>
        <v>580.25</v>
      </c>
      <c r="AD15">
        <f t="shared" si="0"/>
        <v>610.5</v>
      </c>
      <c r="AE15">
        <f t="shared" si="0"/>
        <v>581</v>
      </c>
      <c r="AF15">
        <f t="shared" si="0"/>
        <v>581</v>
      </c>
      <c r="AG15">
        <f t="shared" si="0"/>
        <v>581</v>
      </c>
      <c r="AH15">
        <f t="shared" si="0"/>
        <v>581</v>
      </c>
      <c r="AI15">
        <f t="shared" si="0"/>
        <v>581</v>
      </c>
      <c r="AJ15">
        <f t="shared" si="0"/>
        <v>611</v>
      </c>
      <c r="AK15">
        <f t="shared" si="0"/>
        <v>611</v>
      </c>
      <c r="AL15">
        <f t="shared" si="0"/>
        <v>581</v>
      </c>
      <c r="AM15">
        <f t="shared" si="0"/>
        <v>611</v>
      </c>
      <c r="AN15">
        <f t="shared" si="0"/>
        <v>611</v>
      </c>
      <c r="AO15">
        <f t="shared" si="0"/>
        <v>611</v>
      </c>
      <c r="AP15">
        <f t="shared" si="0"/>
        <v>611</v>
      </c>
      <c r="AQ15">
        <f t="shared" si="0"/>
        <v>581</v>
      </c>
      <c r="AR15">
        <f t="shared" si="0"/>
        <v>581</v>
      </c>
      <c r="AS15">
        <f t="shared" si="0"/>
        <v>528</v>
      </c>
      <c r="AT15">
        <f t="shared" si="0"/>
        <v>528</v>
      </c>
      <c r="AU15">
        <f t="shared" si="0"/>
        <v>528</v>
      </c>
      <c r="AV15">
        <f t="shared" si="0"/>
        <v>528</v>
      </c>
      <c r="AW15">
        <f t="shared" si="0"/>
        <v>611</v>
      </c>
      <c r="AX15">
        <f t="shared" si="0"/>
        <v>611</v>
      </c>
      <c r="AY15">
        <f t="shared" si="0"/>
        <v>581</v>
      </c>
      <c r="AZ15">
        <f t="shared" si="0"/>
        <v>611</v>
      </c>
      <c r="BA15">
        <f t="shared" si="0"/>
        <v>528</v>
      </c>
      <c r="BB15">
        <f t="shared" si="0"/>
        <v>581</v>
      </c>
      <c r="BC15">
        <f t="shared" si="0"/>
        <v>611</v>
      </c>
      <c r="BD15">
        <f t="shared" si="0"/>
        <v>611</v>
      </c>
      <c r="BE15">
        <f t="shared" si="0"/>
        <v>528</v>
      </c>
    </row>
    <row r="16" spans="2:57" ht="13.9" customHeight="1">
      <c r="B16">
        <f>ROUND(B11/B$6*4,0)/4</f>
        <v>196</v>
      </c>
      <c r="C16">
        <f t="shared" si="0"/>
        <v>200</v>
      </c>
      <c r="D16">
        <f t="shared" si="0"/>
        <v>196</v>
      </c>
      <c r="E16">
        <f t="shared" si="0"/>
        <v>203</v>
      </c>
      <c r="F16">
        <f t="shared" si="0"/>
        <v>202</v>
      </c>
      <c r="G16">
        <f t="shared" si="0"/>
        <v>205</v>
      </c>
      <c r="H16">
        <f t="shared" si="0"/>
        <v>216</v>
      </c>
      <c r="I16">
        <f t="shared" si="0"/>
        <v>206</v>
      </c>
      <c r="J16">
        <f t="shared" si="0"/>
        <v>204</v>
      </c>
      <c r="K16">
        <f t="shared" si="0"/>
        <v>211</v>
      </c>
      <c r="L16">
        <f t="shared" si="0"/>
        <v>207</v>
      </c>
      <c r="M16">
        <f t="shared" si="0"/>
        <v>208</v>
      </c>
      <c r="N16">
        <f t="shared" si="0"/>
        <v>211</v>
      </c>
      <c r="O16">
        <f t="shared" si="0"/>
        <v>215</v>
      </c>
      <c r="P16">
        <f t="shared" si="0"/>
        <v>211</v>
      </c>
      <c r="Q16">
        <f t="shared" si="0"/>
        <v>217</v>
      </c>
      <c r="R16">
        <f t="shared" si="0"/>
        <v>212</v>
      </c>
      <c r="S16">
        <f t="shared" si="0"/>
        <v>211</v>
      </c>
      <c r="T16">
        <f t="shared" si="0"/>
        <v>218</v>
      </c>
      <c r="U16">
        <f t="shared" si="0"/>
        <v>219</v>
      </c>
      <c r="V16">
        <f t="shared" si="0"/>
        <v>211</v>
      </c>
      <c r="W16">
        <f t="shared" si="0"/>
        <v>220</v>
      </c>
      <c r="X16">
        <f t="shared" si="0"/>
        <v>211</v>
      </c>
      <c r="Y16">
        <f t="shared" si="0"/>
        <v>211</v>
      </c>
      <c r="Z16">
        <f t="shared" si="0"/>
        <v>221</v>
      </c>
      <c r="AA16">
        <f t="shared" si="0"/>
        <v>211</v>
      </c>
      <c r="AB16">
        <f t="shared" si="0"/>
        <v>211</v>
      </c>
      <c r="AC16">
        <f t="shared" si="0"/>
        <v>211</v>
      </c>
      <c r="AD16">
        <f t="shared" si="0"/>
        <v>222</v>
      </c>
      <c r="AE16">
        <f t="shared" si="0"/>
        <v>211</v>
      </c>
      <c r="AF16">
        <f t="shared" si="0"/>
        <v>211</v>
      </c>
      <c r="AG16">
        <f t="shared" si="0"/>
        <v>211</v>
      </c>
      <c r="AH16">
        <f t="shared" si="0"/>
        <v>211</v>
      </c>
      <c r="AI16">
        <f t="shared" si="0"/>
        <v>211</v>
      </c>
      <c r="AJ16">
        <f t="shared" si="0"/>
        <v>222</v>
      </c>
      <c r="AK16">
        <f t="shared" si="0"/>
        <v>222</v>
      </c>
      <c r="AL16">
        <f t="shared" si="0"/>
        <v>211</v>
      </c>
      <c r="AM16">
        <f t="shared" si="0"/>
        <v>222</v>
      </c>
      <c r="AN16">
        <f t="shared" si="0"/>
        <v>222</v>
      </c>
      <c r="AO16">
        <f t="shared" si="0"/>
        <v>222</v>
      </c>
      <c r="AP16">
        <f t="shared" si="0"/>
        <v>222</v>
      </c>
      <c r="AQ16">
        <f t="shared" si="0"/>
        <v>211</v>
      </c>
      <c r="AR16">
        <f t="shared" si="0"/>
        <v>211</v>
      </c>
      <c r="AS16">
        <f t="shared" si="0"/>
        <v>211</v>
      </c>
      <c r="AT16">
        <f t="shared" si="0"/>
        <v>211</v>
      </c>
      <c r="AU16">
        <f t="shared" si="0"/>
        <v>211</v>
      </c>
      <c r="AV16">
        <f t="shared" si="0"/>
        <v>211</v>
      </c>
      <c r="AW16">
        <f t="shared" si="0"/>
        <v>222</v>
      </c>
      <c r="AX16">
        <f t="shared" si="0"/>
        <v>222</v>
      </c>
      <c r="AY16">
        <f t="shared" si="0"/>
        <v>211</v>
      </c>
      <c r="AZ16">
        <f t="shared" si="0"/>
        <v>222</v>
      </c>
      <c r="BA16">
        <f t="shared" si="0"/>
        <v>211</v>
      </c>
      <c r="BB16">
        <f t="shared" si="0"/>
        <v>211</v>
      </c>
      <c r="BC16">
        <f t="shared" si="0"/>
        <v>222</v>
      </c>
      <c r="BD16">
        <f t="shared" si="0"/>
        <v>222</v>
      </c>
      <c r="BE16">
        <f t="shared" si="0"/>
        <v>211</v>
      </c>
    </row>
    <row r="18" spans="2:57" ht="13.9" customHeight="1">
      <c r="B18">
        <f>B13*B$6-B8</f>
        <v>0</v>
      </c>
      <c r="C18">
        <f t="shared" ref="C18:BE21" si="2">C13*C$6-C8</f>
        <v>0</v>
      </c>
      <c r="D18">
        <f t="shared" si="2"/>
        <v>0</v>
      </c>
      <c r="E18">
        <f t="shared" si="2"/>
        <v>-0.5</v>
      </c>
      <c r="F18">
        <f t="shared" si="2"/>
        <v>0</v>
      </c>
      <c r="G18">
        <f t="shared" si="2"/>
        <v>-0.25</v>
      </c>
      <c r="H18">
        <f t="shared" si="2"/>
        <v>0</v>
      </c>
      <c r="I18">
        <f t="shared" si="2"/>
        <v>0</v>
      </c>
      <c r="J18">
        <f t="shared" si="2"/>
        <v>0</v>
      </c>
      <c r="K18">
        <f t="shared" si="2"/>
        <v>-0.5</v>
      </c>
      <c r="L18">
        <f t="shared" si="2"/>
        <v>-0.5</v>
      </c>
      <c r="M18">
        <f t="shared" si="2"/>
        <v>0</v>
      </c>
      <c r="N18">
        <f t="shared" si="2"/>
        <v>-0.25</v>
      </c>
      <c r="O18">
        <f t="shared" si="2"/>
        <v>-0.75</v>
      </c>
      <c r="P18">
        <f t="shared" si="2"/>
        <v>-0.75</v>
      </c>
      <c r="Q18">
        <f t="shared" si="2"/>
        <v>-0.5</v>
      </c>
      <c r="R18">
        <f t="shared" si="2"/>
        <v>0</v>
      </c>
      <c r="S18">
        <f t="shared" si="2"/>
        <v>0</v>
      </c>
      <c r="T18">
        <f t="shared" si="2"/>
        <v>-0.5</v>
      </c>
      <c r="U18">
        <f t="shared" si="2"/>
        <v>-0.5</v>
      </c>
      <c r="V18">
        <f t="shared" si="2"/>
        <v>-0.75</v>
      </c>
      <c r="W18">
        <f t="shared" si="2"/>
        <v>0</v>
      </c>
      <c r="X18">
        <f t="shared" si="2"/>
        <v>-0.5</v>
      </c>
      <c r="Y18">
        <f t="shared" si="2"/>
        <v>-0.25</v>
      </c>
      <c r="Z18">
        <f t="shared" si="2"/>
        <v>-0.25</v>
      </c>
      <c r="AA18">
        <f t="shared" si="2"/>
        <v>-0.25</v>
      </c>
      <c r="AB18">
        <f t="shared" si="2"/>
        <v>-0.75</v>
      </c>
      <c r="AC18">
        <f t="shared" si="2"/>
        <v>-0.5</v>
      </c>
      <c r="AD18">
        <f t="shared" si="2"/>
        <v>-0.5</v>
      </c>
      <c r="AE18">
        <f t="shared" si="2"/>
        <v>0</v>
      </c>
      <c r="AF18">
        <f t="shared" si="2"/>
        <v>0</v>
      </c>
      <c r="AG18">
        <f t="shared" si="2"/>
        <v>0</v>
      </c>
      <c r="AH18">
        <f t="shared" si="2"/>
        <v>0</v>
      </c>
      <c r="AI18">
        <f t="shared" si="2"/>
        <v>0</v>
      </c>
      <c r="AJ18">
        <f t="shared" si="2"/>
        <v>0</v>
      </c>
      <c r="AK18">
        <f t="shared" si="2"/>
        <v>0</v>
      </c>
      <c r="AL18">
        <f t="shared" si="2"/>
        <v>0</v>
      </c>
      <c r="AM18">
        <f t="shared" si="2"/>
        <v>0</v>
      </c>
      <c r="AN18">
        <f t="shared" si="2"/>
        <v>0</v>
      </c>
      <c r="AO18">
        <f t="shared" si="2"/>
        <v>0</v>
      </c>
      <c r="AP18">
        <f t="shared" si="2"/>
        <v>0</v>
      </c>
      <c r="AQ18">
        <f t="shared" si="2"/>
        <v>0</v>
      </c>
      <c r="AR18">
        <f t="shared" si="2"/>
        <v>0</v>
      </c>
      <c r="AS18">
        <f t="shared" si="2"/>
        <v>0</v>
      </c>
      <c r="AT18">
        <f t="shared" si="2"/>
        <v>0</v>
      </c>
      <c r="AU18">
        <f t="shared" si="2"/>
        <v>0</v>
      </c>
      <c r="AV18">
        <f t="shared" si="2"/>
        <v>0</v>
      </c>
      <c r="AW18">
        <f t="shared" si="2"/>
        <v>0</v>
      </c>
      <c r="AX18">
        <f t="shared" si="2"/>
        <v>0</v>
      </c>
      <c r="AY18">
        <f t="shared" si="2"/>
        <v>0</v>
      </c>
      <c r="AZ18">
        <f t="shared" si="2"/>
        <v>0</v>
      </c>
      <c r="BA18">
        <f t="shared" si="2"/>
        <v>0</v>
      </c>
      <c r="BB18">
        <f t="shared" si="2"/>
        <v>0</v>
      </c>
      <c r="BC18">
        <f t="shared" si="2"/>
        <v>0</v>
      </c>
      <c r="BD18">
        <f t="shared" si="2"/>
        <v>0</v>
      </c>
      <c r="BE18">
        <f t="shared" si="2"/>
        <v>0</v>
      </c>
    </row>
    <row r="19" spans="2:57" ht="13.9" customHeight="1">
      <c r="B19">
        <f>B14*B$6-B9</f>
        <v>0</v>
      </c>
      <c r="C19">
        <f t="shared" ref="C19:Q19" si="3">C14*C$6-C9</f>
        <v>0</v>
      </c>
      <c r="D19">
        <f t="shared" si="3"/>
        <v>0</v>
      </c>
      <c r="E19">
        <f t="shared" si="3"/>
        <v>0</v>
      </c>
      <c r="F19">
        <f t="shared" si="3"/>
        <v>0</v>
      </c>
      <c r="G19">
        <f t="shared" si="3"/>
        <v>0</v>
      </c>
      <c r="H19">
        <f t="shared" si="3"/>
        <v>0</v>
      </c>
      <c r="I19">
        <f t="shared" si="3"/>
        <v>0</v>
      </c>
      <c r="J19">
        <f t="shared" si="3"/>
        <v>0</v>
      </c>
      <c r="K19">
        <f t="shared" si="3"/>
        <v>0</v>
      </c>
      <c r="L19">
        <f t="shared" si="3"/>
        <v>0</v>
      </c>
      <c r="M19">
        <f t="shared" si="3"/>
        <v>0</v>
      </c>
      <c r="N19">
        <f t="shared" si="3"/>
        <v>0</v>
      </c>
      <c r="O19">
        <f t="shared" si="3"/>
        <v>0</v>
      </c>
      <c r="P19">
        <f t="shared" si="3"/>
        <v>0</v>
      </c>
      <c r="Q19">
        <f t="shared" si="3"/>
        <v>0</v>
      </c>
      <c r="R19">
        <f t="shared" si="2"/>
        <v>0</v>
      </c>
      <c r="S19">
        <f t="shared" si="2"/>
        <v>0</v>
      </c>
      <c r="T19">
        <f t="shared" si="2"/>
        <v>0</v>
      </c>
      <c r="U19">
        <f t="shared" si="2"/>
        <v>0</v>
      </c>
      <c r="V19">
        <f t="shared" si="2"/>
        <v>0</v>
      </c>
      <c r="W19">
        <f t="shared" si="2"/>
        <v>0</v>
      </c>
      <c r="X19">
        <f t="shared" si="2"/>
        <v>0</v>
      </c>
      <c r="Y19">
        <f t="shared" si="2"/>
        <v>0</v>
      </c>
      <c r="Z19">
        <f t="shared" si="2"/>
        <v>0</v>
      </c>
      <c r="AA19">
        <f t="shared" si="2"/>
        <v>0</v>
      </c>
      <c r="AB19">
        <f t="shared" si="2"/>
        <v>0</v>
      </c>
      <c r="AC19">
        <f t="shared" si="2"/>
        <v>0</v>
      </c>
      <c r="AD19">
        <f t="shared" si="2"/>
        <v>0</v>
      </c>
      <c r="AE19">
        <f t="shared" si="2"/>
        <v>0</v>
      </c>
      <c r="AF19">
        <f t="shared" si="2"/>
        <v>0</v>
      </c>
      <c r="AG19">
        <f t="shared" si="2"/>
        <v>0</v>
      </c>
      <c r="AH19">
        <f t="shared" si="2"/>
        <v>0</v>
      </c>
      <c r="AI19">
        <f t="shared" si="2"/>
        <v>0</v>
      </c>
      <c r="AJ19">
        <f t="shared" si="2"/>
        <v>0</v>
      </c>
      <c r="AK19">
        <f t="shared" si="2"/>
        <v>0</v>
      </c>
      <c r="AL19">
        <f t="shared" si="2"/>
        <v>0</v>
      </c>
      <c r="AM19">
        <f t="shared" si="2"/>
        <v>0</v>
      </c>
      <c r="AN19">
        <f t="shared" si="2"/>
        <v>0</v>
      </c>
      <c r="AO19">
        <f t="shared" si="2"/>
        <v>0</v>
      </c>
      <c r="AP19">
        <f t="shared" si="2"/>
        <v>0</v>
      </c>
      <c r="AQ19">
        <f t="shared" si="2"/>
        <v>0</v>
      </c>
      <c r="AR19">
        <f t="shared" si="2"/>
        <v>0</v>
      </c>
      <c r="AS19">
        <f t="shared" si="2"/>
        <v>0</v>
      </c>
      <c r="AT19">
        <f t="shared" si="2"/>
        <v>0</v>
      </c>
      <c r="AU19">
        <f t="shared" si="2"/>
        <v>0</v>
      </c>
      <c r="AV19">
        <f t="shared" si="2"/>
        <v>0</v>
      </c>
      <c r="AW19">
        <f t="shared" si="2"/>
        <v>0</v>
      </c>
      <c r="AX19">
        <f t="shared" si="2"/>
        <v>0</v>
      </c>
      <c r="AY19">
        <f t="shared" si="2"/>
        <v>0</v>
      </c>
      <c r="AZ19">
        <f t="shared" si="2"/>
        <v>0</v>
      </c>
      <c r="BA19">
        <f t="shared" si="2"/>
        <v>0</v>
      </c>
      <c r="BB19">
        <f t="shared" si="2"/>
        <v>0</v>
      </c>
      <c r="BC19">
        <f t="shared" si="2"/>
        <v>0</v>
      </c>
      <c r="BD19">
        <f t="shared" si="2"/>
        <v>0</v>
      </c>
      <c r="BE19">
        <f t="shared" si="2"/>
        <v>0</v>
      </c>
    </row>
    <row r="20" spans="2:57" ht="13.9" customHeight="1">
      <c r="B20">
        <f>B15*B$6-B10</f>
        <v>0</v>
      </c>
      <c r="C20">
        <f t="shared" si="2"/>
        <v>0</v>
      </c>
      <c r="D20">
        <f t="shared" si="2"/>
        <v>0</v>
      </c>
      <c r="E20">
        <f t="shared" si="2"/>
        <v>-0.5</v>
      </c>
      <c r="F20">
        <f t="shared" si="2"/>
        <v>0</v>
      </c>
      <c r="G20">
        <f t="shared" si="2"/>
        <v>-0.75</v>
      </c>
      <c r="H20">
        <f t="shared" si="2"/>
        <v>0</v>
      </c>
      <c r="I20">
        <f t="shared" si="2"/>
        <v>0</v>
      </c>
      <c r="J20">
        <f t="shared" si="2"/>
        <v>0</v>
      </c>
      <c r="K20">
        <f t="shared" si="2"/>
        <v>-0.5</v>
      </c>
      <c r="L20">
        <f t="shared" si="2"/>
        <v>-0.5</v>
      </c>
      <c r="M20">
        <f t="shared" si="2"/>
        <v>0</v>
      </c>
      <c r="N20">
        <f t="shared" si="2"/>
        <v>0.25</v>
      </c>
      <c r="O20">
        <f t="shared" si="2"/>
        <v>-0.25</v>
      </c>
      <c r="P20">
        <f t="shared" si="2"/>
        <v>-0.25</v>
      </c>
      <c r="Q20">
        <f t="shared" si="2"/>
        <v>-0.5</v>
      </c>
      <c r="R20">
        <f t="shared" si="2"/>
        <v>0</v>
      </c>
      <c r="S20">
        <f t="shared" si="2"/>
        <v>0</v>
      </c>
      <c r="T20">
        <f t="shared" si="2"/>
        <v>-0.5</v>
      </c>
      <c r="U20">
        <f t="shared" si="2"/>
        <v>-0.5</v>
      </c>
      <c r="V20">
        <f t="shared" si="2"/>
        <v>-0.25</v>
      </c>
      <c r="W20">
        <f t="shared" si="2"/>
        <v>0</v>
      </c>
      <c r="X20">
        <f t="shared" si="2"/>
        <v>-0.5</v>
      </c>
      <c r="Y20">
        <f t="shared" si="2"/>
        <v>-0.75</v>
      </c>
      <c r="Z20">
        <f t="shared" si="2"/>
        <v>-0.75</v>
      </c>
      <c r="AA20">
        <f t="shared" si="2"/>
        <v>-0.75</v>
      </c>
      <c r="AB20">
        <f t="shared" si="2"/>
        <v>-0.25</v>
      </c>
      <c r="AC20">
        <f t="shared" si="2"/>
        <v>-0.5</v>
      </c>
      <c r="AD20">
        <f t="shared" si="2"/>
        <v>-0.5</v>
      </c>
      <c r="AE20">
        <f t="shared" si="2"/>
        <v>0</v>
      </c>
      <c r="AF20">
        <f t="shared" si="2"/>
        <v>0</v>
      </c>
      <c r="AG20">
        <f t="shared" si="2"/>
        <v>0</v>
      </c>
      <c r="AH20">
        <f t="shared" si="2"/>
        <v>0</v>
      </c>
      <c r="AI20">
        <f t="shared" si="2"/>
        <v>0</v>
      </c>
      <c r="AJ20">
        <f t="shared" si="2"/>
        <v>0</v>
      </c>
      <c r="AK20">
        <f t="shared" si="2"/>
        <v>0</v>
      </c>
      <c r="AL20">
        <f t="shared" si="2"/>
        <v>0</v>
      </c>
      <c r="AM20">
        <f t="shared" si="2"/>
        <v>0</v>
      </c>
      <c r="AN20">
        <f t="shared" si="2"/>
        <v>0</v>
      </c>
      <c r="AO20">
        <f t="shared" si="2"/>
        <v>0</v>
      </c>
      <c r="AP20">
        <f t="shared" si="2"/>
        <v>0</v>
      </c>
      <c r="AQ20">
        <f t="shared" si="2"/>
        <v>0</v>
      </c>
      <c r="AR20">
        <f t="shared" si="2"/>
        <v>0</v>
      </c>
      <c r="AS20">
        <f t="shared" si="2"/>
        <v>0</v>
      </c>
      <c r="AT20">
        <f t="shared" si="2"/>
        <v>0</v>
      </c>
      <c r="AU20">
        <f t="shared" si="2"/>
        <v>0</v>
      </c>
      <c r="AV20">
        <f t="shared" si="2"/>
        <v>0</v>
      </c>
      <c r="AW20">
        <f t="shared" si="2"/>
        <v>0</v>
      </c>
      <c r="AX20">
        <f t="shared" si="2"/>
        <v>0</v>
      </c>
      <c r="AY20">
        <f t="shared" si="2"/>
        <v>0</v>
      </c>
      <c r="AZ20">
        <f t="shared" si="2"/>
        <v>0</v>
      </c>
      <c r="BA20">
        <f t="shared" si="2"/>
        <v>0</v>
      </c>
      <c r="BB20">
        <f t="shared" si="2"/>
        <v>0</v>
      </c>
      <c r="BC20">
        <f t="shared" si="2"/>
        <v>0</v>
      </c>
      <c r="BD20">
        <f t="shared" si="2"/>
        <v>0</v>
      </c>
      <c r="BE20">
        <f t="shared" si="2"/>
        <v>0</v>
      </c>
    </row>
    <row r="21" spans="2:57" ht="13.9" customHeight="1">
      <c r="B21">
        <f>B16*B$6-B11</f>
        <v>0</v>
      </c>
      <c r="C21">
        <f t="shared" si="2"/>
        <v>0</v>
      </c>
      <c r="D21">
        <f t="shared" si="2"/>
        <v>0</v>
      </c>
      <c r="E21">
        <f t="shared" si="2"/>
        <v>0</v>
      </c>
      <c r="F21">
        <f t="shared" si="2"/>
        <v>0</v>
      </c>
      <c r="G21">
        <f t="shared" si="2"/>
        <v>0</v>
      </c>
      <c r="H21">
        <f t="shared" si="2"/>
        <v>0</v>
      </c>
      <c r="I21">
        <f t="shared" si="2"/>
        <v>0</v>
      </c>
      <c r="J21">
        <f t="shared" si="2"/>
        <v>0</v>
      </c>
      <c r="K21">
        <f t="shared" si="2"/>
        <v>0</v>
      </c>
      <c r="L21">
        <f t="shared" si="2"/>
        <v>0</v>
      </c>
      <c r="M21">
        <f t="shared" si="2"/>
        <v>0</v>
      </c>
      <c r="N21">
        <f t="shared" si="2"/>
        <v>0</v>
      </c>
      <c r="O21">
        <f t="shared" si="2"/>
        <v>0</v>
      </c>
      <c r="P21">
        <f t="shared" si="2"/>
        <v>0</v>
      </c>
      <c r="Q21">
        <f t="shared" si="2"/>
        <v>0</v>
      </c>
      <c r="R21">
        <f t="shared" si="2"/>
        <v>0</v>
      </c>
      <c r="S21">
        <f t="shared" si="2"/>
        <v>0</v>
      </c>
      <c r="T21">
        <f t="shared" si="2"/>
        <v>0</v>
      </c>
      <c r="U21">
        <f t="shared" si="2"/>
        <v>0</v>
      </c>
      <c r="V21">
        <f t="shared" si="2"/>
        <v>0</v>
      </c>
      <c r="W21">
        <f t="shared" si="2"/>
        <v>0</v>
      </c>
      <c r="X21">
        <f t="shared" si="2"/>
        <v>0</v>
      </c>
      <c r="Y21">
        <f t="shared" si="2"/>
        <v>0</v>
      </c>
      <c r="Z21">
        <f t="shared" si="2"/>
        <v>0</v>
      </c>
      <c r="AA21">
        <f t="shared" si="2"/>
        <v>0</v>
      </c>
      <c r="AB21">
        <f t="shared" si="2"/>
        <v>0</v>
      </c>
      <c r="AC21">
        <f t="shared" si="2"/>
        <v>0</v>
      </c>
      <c r="AD21">
        <f t="shared" si="2"/>
        <v>0</v>
      </c>
      <c r="AE21">
        <f t="shared" si="2"/>
        <v>0</v>
      </c>
      <c r="AF21">
        <f t="shared" si="2"/>
        <v>0</v>
      </c>
      <c r="AG21">
        <f t="shared" si="2"/>
        <v>0</v>
      </c>
      <c r="AH21">
        <f t="shared" si="2"/>
        <v>0</v>
      </c>
      <c r="AI21">
        <f t="shared" si="2"/>
        <v>0</v>
      </c>
      <c r="AJ21">
        <f t="shared" si="2"/>
        <v>0</v>
      </c>
      <c r="AK21">
        <f t="shared" si="2"/>
        <v>0</v>
      </c>
      <c r="AL21">
        <f t="shared" si="2"/>
        <v>0</v>
      </c>
      <c r="AM21">
        <f t="shared" si="2"/>
        <v>0</v>
      </c>
      <c r="AN21">
        <f t="shared" si="2"/>
        <v>0</v>
      </c>
      <c r="AO21">
        <f t="shared" si="2"/>
        <v>0</v>
      </c>
      <c r="AP21">
        <f t="shared" si="2"/>
        <v>0</v>
      </c>
      <c r="AQ21">
        <f t="shared" si="2"/>
        <v>0</v>
      </c>
      <c r="AR21">
        <f t="shared" si="2"/>
        <v>0</v>
      </c>
      <c r="AS21">
        <f t="shared" si="2"/>
        <v>0</v>
      </c>
      <c r="AT21">
        <f t="shared" si="2"/>
        <v>0</v>
      </c>
      <c r="AU21">
        <f t="shared" si="2"/>
        <v>0</v>
      </c>
      <c r="AV21">
        <f t="shared" si="2"/>
        <v>0</v>
      </c>
      <c r="AW21">
        <f t="shared" si="2"/>
        <v>0</v>
      </c>
      <c r="AX21">
        <f t="shared" si="2"/>
        <v>0</v>
      </c>
      <c r="AY21">
        <f t="shared" si="2"/>
        <v>0</v>
      </c>
      <c r="AZ21">
        <f t="shared" si="2"/>
        <v>0</v>
      </c>
      <c r="BA21">
        <f t="shared" si="2"/>
        <v>0</v>
      </c>
      <c r="BB21">
        <f t="shared" si="2"/>
        <v>0</v>
      </c>
      <c r="BC21">
        <f t="shared" si="2"/>
        <v>0</v>
      </c>
      <c r="BD21">
        <f t="shared" si="2"/>
        <v>0</v>
      </c>
      <c r="BE21">
        <f t="shared" si="2"/>
        <v>0</v>
      </c>
    </row>
    <row r="23" spans="2:57" ht="13.9" customHeight="1">
      <c r="B23">
        <f>B13/B$16</f>
        <v>3.25</v>
      </c>
      <c r="C23">
        <f t="shared" ref="C23:BE25" si="4">C13/C$16</f>
        <v>3.25</v>
      </c>
      <c r="D23">
        <f t="shared" si="4"/>
        <v>3.25</v>
      </c>
      <c r="E23">
        <f t="shared" si="4"/>
        <v>3.25</v>
      </c>
      <c r="F23">
        <f t="shared" si="4"/>
        <v>3.25</v>
      </c>
      <c r="G23">
        <f t="shared" si="4"/>
        <v>3.25</v>
      </c>
      <c r="H23">
        <f t="shared" si="4"/>
        <v>3.25</v>
      </c>
      <c r="I23">
        <f t="shared" si="4"/>
        <v>3.25</v>
      </c>
      <c r="J23">
        <f t="shared" si="4"/>
        <v>3.25</v>
      </c>
      <c r="K23">
        <f t="shared" si="4"/>
        <v>3.25</v>
      </c>
      <c r="L23">
        <f t="shared" si="4"/>
        <v>3.25</v>
      </c>
      <c r="M23">
        <f t="shared" si="4"/>
        <v>3.25</v>
      </c>
      <c r="N23">
        <f t="shared" si="4"/>
        <v>3.25</v>
      </c>
      <c r="O23">
        <f t="shared" si="4"/>
        <v>3.25</v>
      </c>
      <c r="P23">
        <f t="shared" si="4"/>
        <v>3.25</v>
      </c>
      <c r="Q23">
        <f t="shared" si="4"/>
        <v>3.25</v>
      </c>
      <c r="R23">
        <f t="shared" si="4"/>
        <v>3.25</v>
      </c>
      <c r="S23">
        <f t="shared" si="4"/>
        <v>3.25</v>
      </c>
      <c r="T23">
        <f t="shared" si="4"/>
        <v>3.25</v>
      </c>
      <c r="U23">
        <f t="shared" si="4"/>
        <v>3.25</v>
      </c>
      <c r="V23">
        <f t="shared" si="4"/>
        <v>3.25</v>
      </c>
      <c r="W23">
        <f t="shared" si="4"/>
        <v>3.25</v>
      </c>
      <c r="X23">
        <f t="shared" si="4"/>
        <v>3.25</v>
      </c>
      <c r="Y23">
        <f t="shared" si="4"/>
        <v>3.25</v>
      </c>
      <c r="Z23">
        <f t="shared" si="4"/>
        <v>3.25</v>
      </c>
      <c r="AA23">
        <f t="shared" si="4"/>
        <v>3.25</v>
      </c>
      <c r="AB23">
        <f t="shared" si="4"/>
        <v>3.25</v>
      </c>
      <c r="AC23">
        <f t="shared" si="4"/>
        <v>3.25</v>
      </c>
      <c r="AD23">
        <f t="shared" si="4"/>
        <v>3.25</v>
      </c>
      <c r="AE23">
        <f t="shared" si="4"/>
        <v>3.2511848341232228</v>
      </c>
      <c r="AF23">
        <f t="shared" si="4"/>
        <v>3.2511848341232228</v>
      </c>
      <c r="AG23">
        <f t="shared" si="4"/>
        <v>3.2511848341232228</v>
      </c>
      <c r="AH23">
        <f t="shared" si="4"/>
        <v>3.2511848341232228</v>
      </c>
      <c r="AI23">
        <f t="shared" si="4"/>
        <v>3.2511848341232228</v>
      </c>
      <c r="AJ23">
        <f t="shared" si="4"/>
        <v>3.2522522522522523</v>
      </c>
      <c r="AK23">
        <f t="shared" si="4"/>
        <v>3.2522522522522523</v>
      </c>
      <c r="AL23">
        <f t="shared" si="4"/>
        <v>3.2511848341232228</v>
      </c>
      <c r="AM23">
        <f t="shared" si="4"/>
        <v>3.2522522522522523</v>
      </c>
      <c r="AN23">
        <f t="shared" si="4"/>
        <v>3.2522522522522523</v>
      </c>
      <c r="AO23">
        <f t="shared" si="4"/>
        <v>3.2522522522522523</v>
      </c>
      <c r="AP23">
        <f t="shared" si="4"/>
        <v>3.2522522522522523</v>
      </c>
      <c r="AQ23">
        <f t="shared" si="4"/>
        <v>3.2511848341232228</v>
      </c>
      <c r="AR23">
        <f t="shared" si="4"/>
        <v>3.2511848341232228</v>
      </c>
      <c r="AS23">
        <f t="shared" si="4"/>
        <v>3.5023696682464456</v>
      </c>
      <c r="AT23">
        <f t="shared" si="4"/>
        <v>3.5023696682464456</v>
      </c>
      <c r="AU23">
        <f t="shared" si="4"/>
        <v>3.5023696682464456</v>
      </c>
      <c r="AV23">
        <f t="shared" si="4"/>
        <v>3.5023696682464456</v>
      </c>
      <c r="AW23">
        <f t="shared" si="4"/>
        <v>3.2522522522522523</v>
      </c>
      <c r="AX23">
        <f t="shared" si="4"/>
        <v>3.2522522522522523</v>
      </c>
      <c r="AY23">
        <f t="shared" si="4"/>
        <v>3.2511848341232228</v>
      </c>
      <c r="AZ23">
        <f t="shared" si="4"/>
        <v>3.2522522522522523</v>
      </c>
      <c r="BA23">
        <f t="shared" si="4"/>
        <v>3.5023696682464456</v>
      </c>
      <c r="BB23">
        <f t="shared" si="4"/>
        <v>3.2511848341232228</v>
      </c>
      <c r="BC23">
        <f t="shared" si="4"/>
        <v>3.2522522522522523</v>
      </c>
      <c r="BD23">
        <f t="shared" si="4"/>
        <v>3.2522522522522523</v>
      </c>
      <c r="BE23">
        <f t="shared" si="4"/>
        <v>3.5023696682464456</v>
      </c>
    </row>
    <row r="24" spans="2:57" ht="13.9" customHeight="1">
      <c r="B24">
        <f t="shared" ref="B24:F25" si="5">B14/B$16</f>
        <v>3</v>
      </c>
      <c r="C24">
        <f t="shared" si="5"/>
        <v>3</v>
      </c>
      <c r="D24">
        <f t="shared" si="5"/>
        <v>3</v>
      </c>
      <c r="E24">
        <f t="shared" si="5"/>
        <v>3</v>
      </c>
      <c r="F24">
        <f t="shared" si="5"/>
        <v>3</v>
      </c>
      <c r="G24">
        <f t="shared" si="4"/>
        <v>3</v>
      </c>
      <c r="H24">
        <f t="shared" si="4"/>
        <v>3</v>
      </c>
      <c r="I24">
        <f t="shared" si="4"/>
        <v>3</v>
      </c>
      <c r="J24">
        <f t="shared" si="4"/>
        <v>3</v>
      </c>
      <c r="K24">
        <f t="shared" si="4"/>
        <v>3</v>
      </c>
      <c r="L24">
        <f t="shared" si="4"/>
        <v>3</v>
      </c>
      <c r="M24">
        <f t="shared" si="4"/>
        <v>3</v>
      </c>
      <c r="N24">
        <f t="shared" si="4"/>
        <v>3</v>
      </c>
      <c r="O24">
        <f t="shared" si="4"/>
        <v>3</v>
      </c>
      <c r="P24">
        <f t="shared" si="4"/>
        <v>3</v>
      </c>
      <c r="Q24">
        <f t="shared" si="4"/>
        <v>3</v>
      </c>
      <c r="R24">
        <f t="shared" si="4"/>
        <v>3</v>
      </c>
      <c r="S24">
        <f t="shared" si="4"/>
        <v>3</v>
      </c>
      <c r="T24">
        <f t="shared" si="4"/>
        <v>3</v>
      </c>
      <c r="U24">
        <f t="shared" si="4"/>
        <v>3</v>
      </c>
      <c r="V24">
        <f t="shared" si="4"/>
        <v>3</v>
      </c>
      <c r="W24">
        <f t="shared" si="4"/>
        <v>3</v>
      </c>
      <c r="X24">
        <f t="shared" si="4"/>
        <v>3</v>
      </c>
      <c r="Y24">
        <f t="shared" si="4"/>
        <v>3</v>
      </c>
      <c r="Z24">
        <f t="shared" si="4"/>
        <v>3</v>
      </c>
      <c r="AA24">
        <f t="shared" si="4"/>
        <v>3</v>
      </c>
      <c r="AB24">
        <f t="shared" si="4"/>
        <v>3</v>
      </c>
      <c r="AC24">
        <f t="shared" si="4"/>
        <v>3</v>
      </c>
      <c r="AD24">
        <f t="shared" si="4"/>
        <v>3</v>
      </c>
      <c r="AE24">
        <f t="shared" si="4"/>
        <v>3</v>
      </c>
      <c r="AF24">
        <f t="shared" si="4"/>
        <v>3</v>
      </c>
      <c r="AG24">
        <f t="shared" si="4"/>
        <v>3</v>
      </c>
      <c r="AH24">
        <f t="shared" si="4"/>
        <v>3</v>
      </c>
      <c r="AI24">
        <f t="shared" si="4"/>
        <v>3</v>
      </c>
      <c r="AJ24">
        <f t="shared" si="4"/>
        <v>3</v>
      </c>
      <c r="AK24">
        <f t="shared" si="4"/>
        <v>3</v>
      </c>
      <c r="AL24">
        <f t="shared" si="4"/>
        <v>3</v>
      </c>
      <c r="AM24">
        <f t="shared" si="4"/>
        <v>3</v>
      </c>
      <c r="AN24">
        <f t="shared" si="4"/>
        <v>3</v>
      </c>
      <c r="AO24">
        <f t="shared" si="4"/>
        <v>3</v>
      </c>
      <c r="AP24">
        <f t="shared" si="4"/>
        <v>3</v>
      </c>
      <c r="AQ24">
        <f t="shared" si="4"/>
        <v>3</v>
      </c>
      <c r="AR24">
        <f t="shared" si="4"/>
        <v>3</v>
      </c>
      <c r="AS24">
        <f t="shared" si="4"/>
        <v>3</v>
      </c>
      <c r="AT24">
        <f t="shared" si="4"/>
        <v>3</v>
      </c>
      <c r="AU24">
        <f t="shared" si="4"/>
        <v>3</v>
      </c>
      <c r="AV24">
        <f t="shared" si="4"/>
        <v>3</v>
      </c>
      <c r="AW24">
        <f t="shared" si="4"/>
        <v>3</v>
      </c>
      <c r="AX24">
        <f t="shared" si="4"/>
        <v>3</v>
      </c>
      <c r="AY24">
        <f t="shared" si="4"/>
        <v>3</v>
      </c>
      <c r="AZ24">
        <f t="shared" si="4"/>
        <v>3</v>
      </c>
      <c r="BA24">
        <f t="shared" si="4"/>
        <v>3</v>
      </c>
      <c r="BB24">
        <f t="shared" si="4"/>
        <v>3</v>
      </c>
      <c r="BC24">
        <f t="shared" si="4"/>
        <v>3</v>
      </c>
      <c r="BD24">
        <f t="shared" si="4"/>
        <v>3</v>
      </c>
      <c r="BE24">
        <f t="shared" si="4"/>
        <v>3</v>
      </c>
    </row>
    <row r="25" spans="2:57" ht="13.9" customHeight="1">
      <c r="B25">
        <f t="shared" si="5"/>
        <v>2.75</v>
      </c>
      <c r="C25">
        <f t="shared" si="5"/>
        <v>2.75</v>
      </c>
      <c r="D25">
        <f t="shared" si="5"/>
        <v>2.75</v>
      </c>
      <c r="E25">
        <f t="shared" si="5"/>
        <v>2.75</v>
      </c>
      <c r="F25">
        <f t="shared" si="5"/>
        <v>2.75</v>
      </c>
      <c r="G25">
        <f t="shared" si="4"/>
        <v>2.75</v>
      </c>
      <c r="H25">
        <f t="shared" si="4"/>
        <v>2.75</v>
      </c>
      <c r="I25">
        <f t="shared" si="4"/>
        <v>2.75</v>
      </c>
      <c r="J25">
        <f t="shared" si="4"/>
        <v>2.75</v>
      </c>
      <c r="K25">
        <f t="shared" si="4"/>
        <v>2.75</v>
      </c>
      <c r="L25">
        <f t="shared" si="4"/>
        <v>2.75</v>
      </c>
      <c r="M25">
        <f t="shared" si="4"/>
        <v>2.75</v>
      </c>
      <c r="N25">
        <f t="shared" si="4"/>
        <v>2.75</v>
      </c>
      <c r="O25">
        <f t="shared" si="4"/>
        <v>2.75</v>
      </c>
      <c r="P25">
        <f t="shared" si="4"/>
        <v>2.75</v>
      </c>
      <c r="Q25">
        <f t="shared" si="4"/>
        <v>2.75</v>
      </c>
      <c r="R25">
        <f t="shared" si="4"/>
        <v>2.75</v>
      </c>
      <c r="S25">
        <f t="shared" si="4"/>
        <v>2.75</v>
      </c>
      <c r="T25">
        <f t="shared" si="4"/>
        <v>2.75</v>
      </c>
      <c r="U25">
        <f t="shared" si="4"/>
        <v>2.75</v>
      </c>
      <c r="V25">
        <f t="shared" si="4"/>
        <v>2.75</v>
      </c>
      <c r="W25">
        <f t="shared" si="4"/>
        <v>2.75</v>
      </c>
      <c r="X25">
        <f t="shared" si="4"/>
        <v>2.75</v>
      </c>
      <c r="Y25">
        <f t="shared" si="4"/>
        <v>2.75</v>
      </c>
      <c r="Z25">
        <f t="shared" si="4"/>
        <v>2.75</v>
      </c>
      <c r="AA25">
        <f t="shared" si="4"/>
        <v>2.75</v>
      </c>
      <c r="AB25">
        <f t="shared" si="4"/>
        <v>2.75</v>
      </c>
      <c r="AC25">
        <f t="shared" si="4"/>
        <v>2.75</v>
      </c>
      <c r="AD25">
        <f t="shared" si="4"/>
        <v>2.75</v>
      </c>
      <c r="AE25">
        <f t="shared" si="4"/>
        <v>2.7535545023696684</v>
      </c>
      <c r="AF25">
        <f t="shared" si="4"/>
        <v>2.7535545023696684</v>
      </c>
      <c r="AG25">
        <f t="shared" si="4"/>
        <v>2.7535545023696684</v>
      </c>
      <c r="AH25">
        <f t="shared" si="4"/>
        <v>2.7535545023696684</v>
      </c>
      <c r="AI25">
        <f t="shared" si="4"/>
        <v>2.7535545023696684</v>
      </c>
      <c r="AJ25">
        <f t="shared" si="4"/>
        <v>2.7522522522522523</v>
      </c>
      <c r="AK25">
        <f t="shared" si="4"/>
        <v>2.7522522522522523</v>
      </c>
      <c r="AL25">
        <f t="shared" si="4"/>
        <v>2.7535545023696684</v>
      </c>
      <c r="AM25">
        <f t="shared" si="4"/>
        <v>2.7522522522522523</v>
      </c>
      <c r="AN25">
        <f t="shared" si="4"/>
        <v>2.7522522522522523</v>
      </c>
      <c r="AO25">
        <f t="shared" si="4"/>
        <v>2.7522522522522523</v>
      </c>
      <c r="AP25">
        <f t="shared" si="4"/>
        <v>2.7522522522522523</v>
      </c>
      <c r="AQ25">
        <f t="shared" si="4"/>
        <v>2.7535545023696684</v>
      </c>
      <c r="AR25">
        <f t="shared" si="4"/>
        <v>2.7535545023696684</v>
      </c>
      <c r="AS25">
        <f t="shared" si="4"/>
        <v>2.5023696682464456</v>
      </c>
      <c r="AT25">
        <f t="shared" si="4"/>
        <v>2.5023696682464456</v>
      </c>
      <c r="AU25">
        <f t="shared" si="4"/>
        <v>2.5023696682464456</v>
      </c>
      <c r="AV25">
        <f t="shared" si="4"/>
        <v>2.5023696682464456</v>
      </c>
      <c r="AW25">
        <f t="shared" si="4"/>
        <v>2.7522522522522523</v>
      </c>
      <c r="AX25">
        <f t="shared" si="4"/>
        <v>2.7522522522522523</v>
      </c>
      <c r="AY25">
        <f t="shared" si="4"/>
        <v>2.7535545023696684</v>
      </c>
      <c r="AZ25">
        <f t="shared" si="4"/>
        <v>2.7522522522522523</v>
      </c>
      <c r="BA25">
        <f t="shared" si="4"/>
        <v>2.5023696682464456</v>
      </c>
      <c r="BB25">
        <f t="shared" si="4"/>
        <v>2.7535545023696684</v>
      </c>
      <c r="BC25">
        <f t="shared" si="4"/>
        <v>2.7522522522522523</v>
      </c>
      <c r="BD25">
        <f t="shared" si="4"/>
        <v>2.7522522522522523</v>
      </c>
      <c r="BE25">
        <f t="shared" si="4"/>
        <v>2.5023696682464456</v>
      </c>
    </row>
  </sheetData>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62DAD-2C21-411D-AD47-8AF18176D84A}">
  <dimension ref="D5:AE33"/>
  <sheetViews>
    <sheetView workbookViewId="0">
      <selection activeCell="F6" sqref="F6"/>
    </sheetView>
  </sheetViews>
  <sheetFormatPr defaultColWidth="8.875" defaultRowHeight="16.5"/>
  <cols>
    <col min="1" max="3" width="8.875" style="879"/>
    <col min="4" max="4" width="33.625" style="879" bestFit="1" customWidth="1"/>
    <col min="5" max="5" width="33.625" style="879" customWidth="1"/>
    <col min="6" max="10" width="33.625" style="879" bestFit="1" customWidth="1"/>
    <col min="11" max="11" width="33.625" style="879" customWidth="1"/>
    <col min="12" max="25" width="33.625" style="879" bestFit="1" customWidth="1"/>
    <col min="26" max="26" width="31.5" style="879" bestFit="1" customWidth="1"/>
    <col min="27" max="31" width="33.625" style="879" bestFit="1" customWidth="1"/>
    <col min="32" max="16384" width="8.875" style="879"/>
  </cols>
  <sheetData>
    <row r="5" spans="4:31" ht="82.5">
      <c r="D5" s="880" t="s">
        <v>3257</v>
      </c>
      <c r="E5" s="880" t="s">
        <v>3285</v>
      </c>
      <c r="F5" s="880" t="s">
        <v>3849</v>
      </c>
      <c r="G5" s="880" t="s">
        <v>3334</v>
      </c>
      <c r="H5" s="880" t="s">
        <v>3357</v>
      </c>
      <c r="I5" s="880" t="s">
        <v>3382</v>
      </c>
      <c r="J5" s="880" t="s">
        <v>3850</v>
      </c>
      <c r="K5" s="880" t="s">
        <v>3417</v>
      </c>
      <c r="L5" s="880" t="s">
        <v>3851</v>
      </c>
      <c r="M5" s="880" t="s">
        <v>3433</v>
      </c>
      <c r="N5" s="880" t="s">
        <v>3453</v>
      </c>
      <c r="O5" s="880" t="s">
        <v>3477</v>
      </c>
      <c r="P5" s="880" t="s">
        <v>3499</v>
      </c>
      <c r="Q5" s="880" t="s">
        <v>3515</v>
      </c>
      <c r="R5" s="880" t="s">
        <v>3852</v>
      </c>
      <c r="S5" s="880" t="s">
        <v>3853</v>
      </c>
      <c r="T5" s="880" t="s">
        <v>3854</v>
      </c>
      <c r="U5" s="880" t="s">
        <v>3855</v>
      </c>
      <c r="V5" s="880" t="s">
        <v>3856</v>
      </c>
      <c r="W5" s="880" t="s">
        <v>3857</v>
      </c>
      <c r="X5" s="880" t="s">
        <v>3611</v>
      </c>
      <c r="Y5" s="880" t="s">
        <v>3827</v>
      </c>
      <c r="Z5" s="880" t="s">
        <v>3858</v>
      </c>
      <c r="AA5" s="880" t="s">
        <v>3673</v>
      </c>
      <c r="AB5" s="880" t="s">
        <v>3843</v>
      </c>
      <c r="AC5" s="880" t="s">
        <v>3859</v>
      </c>
      <c r="AD5" s="880" t="s">
        <v>3719</v>
      </c>
      <c r="AE5" s="880" t="s">
        <v>3860</v>
      </c>
    </row>
    <row r="6" spans="4:31" ht="99">
      <c r="D6" s="880" t="s">
        <v>3258</v>
      </c>
      <c r="E6" s="880" t="s">
        <v>3286</v>
      </c>
      <c r="F6" s="880" t="s">
        <v>3313</v>
      </c>
      <c r="G6" s="880" t="s">
        <v>3351</v>
      </c>
      <c r="H6" s="880" t="s">
        <v>3376</v>
      </c>
      <c r="I6" s="880" t="s">
        <v>3383</v>
      </c>
      <c r="J6" s="880" t="s">
        <v>3410</v>
      </c>
      <c r="K6" s="880" t="s">
        <v>3418</v>
      </c>
      <c r="L6" s="880" t="s">
        <v>3861</v>
      </c>
      <c r="M6" s="880" t="s">
        <v>3434</v>
      </c>
      <c r="N6" s="880" t="s">
        <v>3862</v>
      </c>
      <c r="O6" s="880" t="s">
        <v>3863</v>
      </c>
      <c r="P6" s="880" t="s">
        <v>3500</v>
      </c>
      <c r="Q6" s="880" t="s">
        <v>3516</v>
      </c>
      <c r="R6" s="880" t="s">
        <v>3864</v>
      </c>
      <c r="S6" s="880" t="s">
        <v>3865</v>
      </c>
      <c r="T6" s="880" t="s">
        <v>3866</v>
      </c>
      <c r="U6" s="880" t="s">
        <v>3867</v>
      </c>
      <c r="V6" s="880" t="s">
        <v>3583</v>
      </c>
      <c r="W6" s="880" t="s">
        <v>3598</v>
      </c>
      <c r="X6" s="880" t="s">
        <v>3821</v>
      </c>
      <c r="Y6" s="880" t="s">
        <v>3868</v>
      </c>
      <c r="Z6" s="880" t="s">
        <v>3654</v>
      </c>
      <c r="AA6" s="880" t="s">
        <v>3674</v>
      </c>
      <c r="AB6" s="880" t="s">
        <v>3697</v>
      </c>
      <c r="AC6" s="880" t="s">
        <v>3710</v>
      </c>
      <c r="AD6" s="880" t="s">
        <v>3720</v>
      </c>
      <c r="AE6" s="880" t="s">
        <v>3747</v>
      </c>
    </row>
    <row r="7" spans="4:31" ht="99">
      <c r="D7" s="880" t="s">
        <v>3280</v>
      </c>
      <c r="E7" s="880" t="s">
        <v>3287</v>
      </c>
      <c r="F7" s="880" t="s">
        <v>3869</v>
      </c>
      <c r="G7" s="880" t="s">
        <v>3870</v>
      </c>
      <c r="H7" s="880" t="s">
        <v>3358</v>
      </c>
      <c r="I7" s="880" t="s">
        <v>3403</v>
      </c>
      <c r="J7" s="880" t="s">
        <v>3871</v>
      </c>
      <c r="K7" s="880" t="s">
        <v>3872</v>
      </c>
      <c r="L7" s="880" t="s">
        <v>3873</v>
      </c>
      <c r="M7" s="880" t="s">
        <v>3435</v>
      </c>
      <c r="N7" s="880" t="s">
        <v>3454</v>
      </c>
      <c r="O7" s="880" t="s">
        <v>3478</v>
      </c>
      <c r="P7" s="880" t="s">
        <v>3874</v>
      </c>
      <c r="Q7" s="880" t="s">
        <v>3517</v>
      </c>
      <c r="R7" s="880" t="s">
        <v>3540</v>
      </c>
      <c r="S7" s="880" t="s">
        <v>3557</v>
      </c>
      <c r="T7" s="880" t="s">
        <v>3875</v>
      </c>
      <c r="U7" s="880" t="s">
        <v>3571</v>
      </c>
      <c r="V7" s="880" t="s">
        <v>3584</v>
      </c>
      <c r="W7" s="880" t="s">
        <v>3876</v>
      </c>
      <c r="X7" s="880" t="s">
        <v>3612</v>
      </c>
      <c r="Y7" s="880" t="s">
        <v>3826</v>
      </c>
      <c r="Z7" s="880" t="s">
        <v>3655</v>
      </c>
      <c r="AA7" s="880" t="s">
        <v>3675</v>
      </c>
      <c r="AB7" s="880" t="s">
        <v>3877</v>
      </c>
      <c r="AC7" s="880" t="s">
        <v>3711</v>
      </c>
      <c r="AD7" s="880" t="s">
        <v>3721</v>
      </c>
      <c r="AE7" s="880" t="s">
        <v>3748</v>
      </c>
    </row>
    <row r="8" spans="4:31" ht="82.5">
      <c r="D8" s="880" t="s">
        <v>3259</v>
      </c>
      <c r="E8" s="880" t="s">
        <v>3309</v>
      </c>
      <c r="F8" s="880" t="s">
        <v>3314</v>
      </c>
      <c r="G8" s="880" t="s">
        <v>3878</v>
      </c>
      <c r="H8" s="880" t="s">
        <v>3879</v>
      </c>
      <c r="I8" s="880" t="s">
        <v>3404</v>
      </c>
      <c r="J8" s="880" t="s">
        <v>3880</v>
      </c>
      <c r="K8" s="880" t="s">
        <v>3881</v>
      </c>
      <c r="L8" s="880" t="s">
        <v>3882</v>
      </c>
      <c r="M8" s="880" t="s">
        <v>3436</v>
      </c>
      <c r="N8" s="880" t="s">
        <v>3455</v>
      </c>
      <c r="O8" s="880" t="s">
        <v>3883</v>
      </c>
      <c r="P8" s="880" t="s">
        <v>3884</v>
      </c>
      <c r="Q8" s="880" t="s">
        <v>3518</v>
      </c>
      <c r="R8" s="880" t="s">
        <v>3541</v>
      </c>
      <c r="S8" s="880" t="s">
        <v>3885</v>
      </c>
      <c r="T8" s="880" t="s">
        <v>3886</v>
      </c>
      <c r="U8" s="880" t="s">
        <v>3887</v>
      </c>
      <c r="V8" s="880" t="s">
        <v>3585</v>
      </c>
      <c r="W8" s="880" t="s">
        <v>3888</v>
      </c>
      <c r="X8" s="880" t="s">
        <v>3613</v>
      </c>
      <c r="Y8" s="880" t="s">
        <v>3635</v>
      </c>
      <c r="Z8" s="880" t="s">
        <v>3828</v>
      </c>
      <c r="AA8" s="880" t="s">
        <v>3676</v>
      </c>
      <c r="AB8" s="880" t="s">
        <v>3844</v>
      </c>
      <c r="AC8" s="880" t="s">
        <v>3889</v>
      </c>
      <c r="AD8" s="880" t="s">
        <v>3722</v>
      </c>
      <c r="AE8" s="880" t="s">
        <v>3749</v>
      </c>
    </row>
    <row r="9" spans="4:31" ht="99">
      <c r="D9" s="880" t="s">
        <v>3281</v>
      </c>
      <c r="E9" s="880" t="s">
        <v>3310</v>
      </c>
      <c r="F9" s="880" t="s">
        <v>3315</v>
      </c>
      <c r="G9" s="880" t="s">
        <v>3335</v>
      </c>
      <c r="H9" s="880" t="s">
        <v>3377</v>
      </c>
      <c r="I9" s="880" t="s">
        <v>3384</v>
      </c>
      <c r="J9" s="880" t="s">
        <v>3890</v>
      </c>
      <c r="K9" s="880" t="s">
        <v>3891</v>
      </c>
      <c r="L9" s="880" t="s">
        <v>3892</v>
      </c>
      <c r="M9" s="880" t="s">
        <v>3771</v>
      </c>
      <c r="N9" s="880" t="s">
        <v>3456</v>
      </c>
      <c r="O9" s="880" t="s">
        <v>3479</v>
      </c>
      <c r="P9" s="880" t="s">
        <v>3893</v>
      </c>
      <c r="Q9" s="880" t="s">
        <v>3785</v>
      </c>
      <c r="R9" s="880" t="s">
        <v>3787</v>
      </c>
      <c r="S9" s="880" t="s">
        <v>3894</v>
      </c>
      <c r="T9" s="880" t="s">
        <v>3895</v>
      </c>
      <c r="U9" s="880" t="s">
        <v>3799</v>
      </c>
      <c r="V9" s="880" t="s">
        <v>3807</v>
      </c>
      <c r="W9" s="880" t="s">
        <v>3816</v>
      </c>
      <c r="X9" s="880" t="s">
        <v>3820</v>
      </c>
      <c r="Y9" s="880" t="s">
        <v>3896</v>
      </c>
      <c r="Z9" s="880" t="s">
        <v>3897</v>
      </c>
      <c r="AA9" s="880" t="s">
        <v>3677</v>
      </c>
      <c r="AB9" s="880" t="s">
        <v>3698</v>
      </c>
      <c r="AC9" s="880" t="s">
        <v>3712</v>
      </c>
      <c r="AD9" s="880" t="s">
        <v>3723</v>
      </c>
      <c r="AE9" s="880" t="s">
        <v>3750</v>
      </c>
    </row>
    <row r="10" spans="4:31" ht="99">
      <c r="D10" s="880" t="s">
        <v>3282</v>
      </c>
      <c r="E10" s="880" t="s">
        <v>3311</v>
      </c>
      <c r="F10" s="880" t="s">
        <v>3316</v>
      </c>
      <c r="G10" s="880" t="s">
        <v>3898</v>
      </c>
      <c r="H10" s="880" t="s">
        <v>3378</v>
      </c>
      <c r="I10" s="880" t="s">
        <v>3405</v>
      </c>
      <c r="J10" s="880" t="s">
        <v>3899</v>
      </c>
      <c r="K10" s="880" t="s">
        <v>3900</v>
      </c>
      <c r="L10" s="880" t="s">
        <v>3901</v>
      </c>
      <c r="M10" s="880" t="s">
        <v>3772</v>
      </c>
      <c r="N10" s="880" t="s">
        <v>3775</v>
      </c>
      <c r="O10" s="880" t="s">
        <v>3902</v>
      </c>
      <c r="P10" s="880" t="s">
        <v>3779</v>
      </c>
      <c r="Q10" s="880" t="s">
        <v>3519</v>
      </c>
      <c r="R10" s="880" t="s">
        <v>3903</v>
      </c>
      <c r="S10" s="880" t="s">
        <v>3904</v>
      </c>
      <c r="T10" s="880" t="s">
        <v>3905</v>
      </c>
      <c r="U10" s="880" t="s">
        <v>3800</v>
      </c>
      <c r="V10" s="880" t="s">
        <v>3806</v>
      </c>
      <c r="W10" s="880" t="s">
        <v>3815</v>
      </c>
      <c r="X10" s="880" t="s">
        <v>3819</v>
      </c>
      <c r="Y10" s="880" t="s">
        <v>3636</v>
      </c>
      <c r="Z10" s="880" t="s">
        <v>3829</v>
      </c>
      <c r="AA10" s="880" t="s">
        <v>3678</v>
      </c>
      <c r="AB10" s="880" t="s">
        <v>3906</v>
      </c>
      <c r="AC10" s="880" t="s">
        <v>3907</v>
      </c>
      <c r="AD10" s="880" t="s">
        <v>3724</v>
      </c>
      <c r="AE10" s="880" t="s">
        <v>3751</v>
      </c>
    </row>
    <row r="11" spans="4:31" ht="99">
      <c r="D11" s="880" t="s">
        <v>3260</v>
      </c>
      <c r="E11" s="880" t="s">
        <v>3288</v>
      </c>
      <c r="F11" s="880" t="s">
        <v>3333</v>
      </c>
      <c r="G11" s="880" t="s">
        <v>3352</v>
      </c>
      <c r="H11" s="880" t="s">
        <v>3359</v>
      </c>
      <c r="I11" s="880" t="s">
        <v>3406</v>
      </c>
      <c r="J11" s="880" t="s">
        <v>3908</v>
      </c>
      <c r="K11" s="880" t="s">
        <v>3909</v>
      </c>
      <c r="L11" s="880" t="s">
        <v>3425</v>
      </c>
      <c r="M11" s="880" t="s">
        <v>3773</v>
      </c>
      <c r="N11" s="880" t="s">
        <v>3457</v>
      </c>
      <c r="O11" s="880" t="s">
        <v>3778</v>
      </c>
      <c r="P11" s="880" t="s">
        <v>3780</v>
      </c>
      <c r="Q11" s="880" t="s">
        <v>3520</v>
      </c>
      <c r="R11" s="880" t="s">
        <v>3788</v>
      </c>
      <c r="S11" s="880" t="s">
        <v>3910</v>
      </c>
      <c r="T11" s="880" t="s">
        <v>3911</v>
      </c>
      <c r="U11" s="880" t="s">
        <v>3912</v>
      </c>
      <c r="V11" s="880" t="s">
        <v>3913</v>
      </c>
      <c r="W11" s="880" t="s">
        <v>3814</v>
      </c>
      <c r="X11" s="880" t="s">
        <v>3818</v>
      </c>
      <c r="Y11" s="880" t="s">
        <v>3825</v>
      </c>
      <c r="Z11" s="880" t="s">
        <v>3830</v>
      </c>
      <c r="AA11" s="880" t="s">
        <v>3679</v>
      </c>
      <c r="AB11" s="880" t="s">
        <v>3914</v>
      </c>
      <c r="AC11" s="880" t="s">
        <v>3915</v>
      </c>
      <c r="AD11" s="880" t="s">
        <v>3725</v>
      </c>
      <c r="AE11" s="880" t="s">
        <v>3847</v>
      </c>
    </row>
    <row r="12" spans="4:31" ht="82.5">
      <c r="D12" s="880" t="s">
        <v>3261</v>
      </c>
      <c r="E12" s="880" t="s">
        <v>3289</v>
      </c>
      <c r="F12" s="880" t="s">
        <v>3317</v>
      </c>
      <c r="G12" s="880" t="s">
        <v>3353</v>
      </c>
      <c r="H12" s="880" t="s">
        <v>3360</v>
      </c>
      <c r="I12" s="880" t="s">
        <v>3385</v>
      </c>
      <c r="J12" s="880" t="s">
        <v>3916</v>
      </c>
      <c r="K12" s="880" t="s">
        <v>3419</v>
      </c>
      <c r="L12" s="880" t="s">
        <v>3432</v>
      </c>
      <c r="M12" s="880" t="s">
        <v>3917</v>
      </c>
      <c r="N12" s="880" t="s">
        <v>3458</v>
      </c>
      <c r="O12" s="880" t="s">
        <v>3480</v>
      </c>
      <c r="P12" s="880" t="s">
        <v>3501</v>
      </c>
      <c r="Q12" s="880" t="s">
        <v>3521</v>
      </c>
      <c r="R12" s="880" t="s">
        <v>3542</v>
      </c>
      <c r="S12" s="880" t="s">
        <v>3558</v>
      </c>
      <c r="T12" s="880" t="s">
        <v>3566</v>
      </c>
      <c r="U12" s="880" t="s">
        <v>3572</v>
      </c>
      <c r="V12" s="880" t="s">
        <v>3918</v>
      </c>
      <c r="W12" s="880" t="s">
        <v>3813</v>
      </c>
      <c r="X12" s="880" t="s">
        <v>3614</v>
      </c>
      <c r="Y12" s="880" t="s">
        <v>3919</v>
      </c>
      <c r="Z12" s="880" t="s">
        <v>3656</v>
      </c>
      <c r="AA12" s="880" t="s">
        <v>3838</v>
      </c>
      <c r="AB12" s="880" t="s">
        <v>3699</v>
      </c>
      <c r="AC12" s="880" t="s">
        <v>3713</v>
      </c>
      <c r="AD12" s="880" t="s">
        <v>3726</v>
      </c>
      <c r="AE12" s="880" t="s">
        <v>3752</v>
      </c>
    </row>
    <row r="13" spans="4:31" ht="82.5">
      <c r="D13" s="880" t="s">
        <v>3283</v>
      </c>
      <c r="E13" s="880" t="s">
        <v>3312</v>
      </c>
      <c r="F13" s="880" t="s">
        <v>3332</v>
      </c>
      <c r="G13" s="880" t="s">
        <v>3336</v>
      </c>
      <c r="H13" s="880" t="s">
        <v>3361</v>
      </c>
      <c r="I13" s="880" t="s">
        <v>3386</v>
      </c>
      <c r="J13" s="880" t="s">
        <v>3920</v>
      </c>
      <c r="K13" s="880" t="s">
        <v>3921</v>
      </c>
      <c r="L13" s="880" t="s">
        <v>3922</v>
      </c>
      <c r="M13" s="880" t="s">
        <v>3923</v>
      </c>
      <c r="N13" s="880" t="s">
        <v>3459</v>
      </c>
      <c r="O13" s="880" t="s">
        <v>3481</v>
      </c>
      <c r="P13" s="880" t="s">
        <v>3502</v>
      </c>
      <c r="Q13" s="880" t="s">
        <v>3522</v>
      </c>
      <c r="R13" s="880" t="s">
        <v>3924</v>
      </c>
      <c r="S13" s="880" t="s">
        <v>3559</v>
      </c>
      <c r="T13" s="880" t="s">
        <v>3925</v>
      </c>
      <c r="U13" s="880" t="s">
        <v>3573</v>
      </c>
      <c r="V13" s="880" t="s">
        <v>3926</v>
      </c>
      <c r="W13" s="880" t="s">
        <v>3812</v>
      </c>
      <c r="X13" s="880" t="s">
        <v>3615</v>
      </c>
      <c r="Y13" s="880" t="s">
        <v>3637</v>
      </c>
      <c r="Z13" s="880" t="s">
        <v>3657</v>
      </c>
      <c r="AA13" s="880" t="s">
        <v>3837</v>
      </c>
      <c r="AB13" s="880" t="s">
        <v>3700</v>
      </c>
      <c r="AC13" s="880" t="s">
        <v>3927</v>
      </c>
      <c r="AD13" s="880" t="s">
        <v>3727</v>
      </c>
      <c r="AE13" s="880" t="s">
        <v>3753</v>
      </c>
    </row>
    <row r="14" spans="4:31" ht="66">
      <c r="D14" s="880" t="s">
        <v>3262</v>
      </c>
      <c r="E14" s="880" t="s">
        <v>3290</v>
      </c>
      <c r="F14" s="880" t="s">
        <v>3318</v>
      </c>
      <c r="G14" s="880" t="s">
        <v>3337</v>
      </c>
      <c r="H14" s="880" t="s">
        <v>3928</v>
      </c>
      <c r="I14" s="880" t="s">
        <v>3387</v>
      </c>
      <c r="J14" s="880" t="s">
        <v>3411</v>
      </c>
      <c r="K14" s="880" t="s">
        <v>3420</v>
      </c>
      <c r="L14" s="880" t="s">
        <v>3426</v>
      </c>
      <c r="M14" s="880" t="s">
        <v>3437</v>
      </c>
      <c r="N14" s="880" t="s">
        <v>3460</v>
      </c>
      <c r="O14" s="880" t="s">
        <v>3482</v>
      </c>
      <c r="P14" s="880" t="s">
        <v>3503</v>
      </c>
      <c r="Q14" s="880" t="s">
        <v>3929</v>
      </c>
      <c r="R14" s="880" t="s">
        <v>3543</v>
      </c>
      <c r="S14" s="880" t="s">
        <v>3560</v>
      </c>
      <c r="T14" s="880" t="s">
        <v>3930</v>
      </c>
      <c r="U14" s="880" t="s">
        <v>3574</v>
      </c>
      <c r="V14" s="880" t="s">
        <v>3805</v>
      </c>
      <c r="W14" s="880" t="s">
        <v>3811</v>
      </c>
      <c r="X14" s="880" t="s">
        <v>3616</v>
      </c>
      <c r="Y14" s="880" t="s">
        <v>3638</v>
      </c>
      <c r="Z14" s="880" t="s">
        <v>3831</v>
      </c>
      <c r="AA14" s="880" t="s">
        <v>3836</v>
      </c>
      <c r="AB14" s="880" t="s">
        <v>3701</v>
      </c>
      <c r="AC14" s="880" t="s">
        <v>3931</v>
      </c>
      <c r="AD14" s="880" t="s">
        <v>3728</v>
      </c>
      <c r="AE14" s="880" t="s">
        <v>3754</v>
      </c>
    </row>
    <row r="15" spans="4:31" ht="66">
      <c r="D15" s="880" t="s">
        <v>3263</v>
      </c>
      <c r="E15" s="880" t="s">
        <v>3291</v>
      </c>
      <c r="F15" s="880" t="s">
        <v>3319</v>
      </c>
      <c r="G15" s="880" t="s">
        <v>3932</v>
      </c>
      <c r="H15" s="880" t="s">
        <v>3933</v>
      </c>
      <c r="I15" s="880" t="s">
        <v>3934</v>
      </c>
      <c r="J15" s="880" t="s">
        <v>3412</v>
      </c>
      <c r="K15" s="880" t="s">
        <v>3935</v>
      </c>
      <c r="L15" s="880" t="s">
        <v>3936</v>
      </c>
      <c r="M15" s="880" t="s">
        <v>3438</v>
      </c>
      <c r="N15" s="880" t="s">
        <v>3461</v>
      </c>
      <c r="O15" s="880" t="s">
        <v>3483</v>
      </c>
      <c r="P15" s="880" t="s">
        <v>3937</v>
      </c>
      <c r="Q15" s="880" t="s">
        <v>3938</v>
      </c>
      <c r="R15" s="880" t="s">
        <v>3939</v>
      </c>
      <c r="S15" s="880" t="s">
        <v>3940</v>
      </c>
      <c r="T15" s="880" t="s">
        <v>3567</v>
      </c>
      <c r="U15" s="880" t="s">
        <v>3575</v>
      </c>
      <c r="V15" s="880" t="s">
        <v>3941</v>
      </c>
      <c r="W15" s="880" t="s">
        <v>3599</v>
      </c>
      <c r="X15" s="880" t="s">
        <v>3617</v>
      </c>
      <c r="Y15" s="880" t="s">
        <v>3639</v>
      </c>
      <c r="Z15" s="880" t="s">
        <v>3658</v>
      </c>
      <c r="AA15" s="880" t="s">
        <v>3680</v>
      </c>
      <c r="AB15" s="880" t="s">
        <v>3702</v>
      </c>
      <c r="AC15" s="880" t="s">
        <v>3942</v>
      </c>
      <c r="AD15" s="880" t="s">
        <v>3729</v>
      </c>
      <c r="AE15" s="880" t="s">
        <v>3755</v>
      </c>
    </row>
    <row r="16" spans="4:31" ht="49.5">
      <c r="D16" s="880" t="s">
        <v>3264</v>
      </c>
      <c r="E16" s="880" t="s">
        <v>3292</v>
      </c>
      <c r="F16" s="880" t="s">
        <v>3320</v>
      </c>
      <c r="G16" s="880" t="s">
        <v>3338</v>
      </c>
      <c r="H16" s="880" t="s">
        <v>3362</v>
      </c>
      <c r="I16" s="880" t="s">
        <v>3388</v>
      </c>
      <c r="J16" s="880" t="s">
        <v>3943</v>
      </c>
      <c r="K16" s="880" t="s">
        <v>3944</v>
      </c>
      <c r="L16" s="880" t="s">
        <v>3945</v>
      </c>
      <c r="M16" s="880" t="s">
        <v>3439</v>
      </c>
      <c r="N16" s="880" t="s">
        <v>3462</v>
      </c>
      <c r="O16" s="880" t="s">
        <v>3484</v>
      </c>
      <c r="P16" s="880" t="s">
        <v>3946</v>
      </c>
      <c r="Q16" s="880" t="s">
        <v>3523</v>
      </c>
      <c r="R16" s="880" t="s">
        <v>3544</v>
      </c>
      <c r="S16" s="880" t="s">
        <v>3947</v>
      </c>
      <c r="T16" s="880" t="s">
        <v>3948</v>
      </c>
      <c r="U16" s="880" t="s">
        <v>3949</v>
      </c>
      <c r="V16" s="880" t="s">
        <v>3950</v>
      </c>
      <c r="W16" s="880" t="s">
        <v>3951</v>
      </c>
      <c r="X16" s="880" t="s">
        <v>3618</v>
      </c>
      <c r="Y16" s="880" t="s">
        <v>3640</v>
      </c>
      <c r="Z16" s="880" t="s">
        <v>3952</v>
      </c>
      <c r="AA16" s="880" t="s">
        <v>3681</v>
      </c>
      <c r="AB16" s="880" t="s">
        <v>3953</v>
      </c>
      <c r="AC16" s="880" t="s">
        <v>3954</v>
      </c>
      <c r="AD16" s="880" t="s">
        <v>3730</v>
      </c>
      <c r="AE16" s="880" t="s">
        <v>3955</v>
      </c>
    </row>
    <row r="17" spans="4:31" ht="49.5">
      <c r="D17" s="880" t="s">
        <v>3265</v>
      </c>
      <c r="E17" s="880" t="s">
        <v>3293</v>
      </c>
      <c r="F17" s="880" t="s">
        <v>3321</v>
      </c>
      <c r="G17" s="880" t="s">
        <v>3339</v>
      </c>
      <c r="H17" s="880" t="s">
        <v>3363</v>
      </c>
      <c r="I17" s="880" t="s">
        <v>3389</v>
      </c>
      <c r="J17" s="880" t="s">
        <v>3956</v>
      </c>
      <c r="K17" s="880" t="s">
        <v>3957</v>
      </c>
      <c r="L17" s="880" t="s">
        <v>3958</v>
      </c>
      <c r="M17" s="880" t="s">
        <v>3440</v>
      </c>
      <c r="N17" s="880" t="s">
        <v>3463</v>
      </c>
      <c r="O17" s="880" t="s">
        <v>3485</v>
      </c>
      <c r="P17" s="880" t="s">
        <v>3504</v>
      </c>
      <c r="Q17" s="880" t="s">
        <v>3524</v>
      </c>
      <c r="R17" s="880" t="s">
        <v>3545</v>
      </c>
      <c r="S17" s="880" t="s">
        <v>3959</v>
      </c>
      <c r="T17" s="880" t="s">
        <v>3960</v>
      </c>
      <c r="U17" s="880" t="s">
        <v>3961</v>
      </c>
      <c r="V17" s="880" t="s">
        <v>3962</v>
      </c>
      <c r="W17" s="880" t="s">
        <v>3963</v>
      </c>
      <c r="X17" s="880" t="s">
        <v>3619</v>
      </c>
      <c r="Y17" s="880" t="s">
        <v>3641</v>
      </c>
      <c r="Z17" s="880" t="s">
        <v>3659</v>
      </c>
      <c r="AA17" s="880" t="s">
        <v>3682</v>
      </c>
      <c r="AB17" s="880" t="s">
        <v>3703</v>
      </c>
      <c r="AC17" s="880" t="s">
        <v>3964</v>
      </c>
      <c r="AD17" s="880" t="s">
        <v>3731</v>
      </c>
      <c r="AE17" s="880" t="s">
        <v>3756</v>
      </c>
    </row>
    <row r="18" spans="4:31" ht="49.5">
      <c r="D18" s="880" t="s">
        <v>3266</v>
      </c>
      <c r="E18" s="880" t="s">
        <v>3294</v>
      </c>
      <c r="F18" s="880" t="s">
        <v>3322</v>
      </c>
      <c r="G18" s="880" t="s">
        <v>3340</v>
      </c>
      <c r="H18" s="880" t="s">
        <v>3364</v>
      </c>
      <c r="I18" s="880" t="s">
        <v>3390</v>
      </c>
      <c r="J18" s="880" t="s">
        <v>3965</v>
      </c>
      <c r="K18" s="880" t="s">
        <v>3966</v>
      </c>
      <c r="L18" s="880" t="s">
        <v>3967</v>
      </c>
      <c r="M18" s="880" t="s">
        <v>3441</v>
      </c>
      <c r="N18" s="880" t="s">
        <v>3464</v>
      </c>
      <c r="O18" s="880" t="s">
        <v>3968</v>
      </c>
      <c r="P18" s="880" t="s">
        <v>3505</v>
      </c>
      <c r="Q18" s="880" t="s">
        <v>3525</v>
      </c>
      <c r="R18" s="880" t="s">
        <v>3546</v>
      </c>
      <c r="S18" s="880" t="s">
        <v>3969</v>
      </c>
      <c r="T18" s="880" t="s">
        <v>3970</v>
      </c>
      <c r="U18" s="880" t="s">
        <v>3971</v>
      </c>
      <c r="V18" s="880" t="s">
        <v>3586</v>
      </c>
      <c r="W18" s="880" t="s">
        <v>3600</v>
      </c>
      <c r="X18" s="880" t="s">
        <v>3620</v>
      </c>
      <c r="Y18" s="880" t="s">
        <v>3642</v>
      </c>
      <c r="Z18" s="880" t="s">
        <v>3660</v>
      </c>
      <c r="AA18" s="880" t="s">
        <v>3683</v>
      </c>
      <c r="AB18" s="880" t="s">
        <v>3972</v>
      </c>
      <c r="AC18" s="880" t="s">
        <v>3714</v>
      </c>
      <c r="AD18" s="880" t="s">
        <v>3732</v>
      </c>
      <c r="AE18" s="880" t="s">
        <v>3757</v>
      </c>
    </row>
    <row r="19" spans="4:31" ht="82.5">
      <c r="D19" s="880" t="s">
        <v>3267</v>
      </c>
      <c r="E19" s="880" t="s">
        <v>3295</v>
      </c>
      <c r="F19" s="880" t="s">
        <v>3323</v>
      </c>
      <c r="G19" s="880" t="s">
        <v>3341</v>
      </c>
      <c r="H19" s="880" t="s">
        <v>3365</v>
      </c>
      <c r="I19" s="880" t="s">
        <v>3391</v>
      </c>
      <c r="J19" s="880" t="s">
        <v>3973</v>
      </c>
      <c r="K19" s="880" t="s">
        <v>3974</v>
      </c>
      <c r="L19" s="880" t="s">
        <v>3975</v>
      </c>
      <c r="M19" s="880" t="s">
        <v>3976</v>
      </c>
      <c r="N19" s="879" t="s">
        <v>3465</v>
      </c>
      <c r="O19" s="879" t="s">
        <v>3486</v>
      </c>
      <c r="P19" s="880" t="s">
        <v>3781</v>
      </c>
      <c r="Q19" s="880" t="s">
        <v>3526</v>
      </c>
      <c r="R19" s="880" t="s">
        <v>3547</v>
      </c>
      <c r="S19" s="880" t="s">
        <v>3977</v>
      </c>
      <c r="T19" s="880" t="s">
        <v>3978</v>
      </c>
      <c r="U19" s="880" t="s">
        <v>3576</v>
      </c>
      <c r="V19" s="880" t="s">
        <v>3587</v>
      </c>
      <c r="W19" s="880" t="s">
        <v>3601</v>
      </c>
      <c r="X19" s="880" t="s">
        <v>3621</v>
      </c>
      <c r="Y19" s="880" t="s">
        <v>3643</v>
      </c>
      <c r="Z19" s="879" t="s">
        <v>3661</v>
      </c>
      <c r="AA19" s="879" t="s">
        <v>3684</v>
      </c>
      <c r="AB19" s="880" t="s">
        <v>3704</v>
      </c>
      <c r="AC19" s="880" t="s">
        <v>3979</v>
      </c>
      <c r="AD19" s="880" t="s">
        <v>3733</v>
      </c>
      <c r="AE19" s="880" t="s">
        <v>3758</v>
      </c>
    </row>
    <row r="20" spans="4:31" ht="49.5">
      <c r="D20" s="880" t="s">
        <v>3268</v>
      </c>
      <c r="E20" s="880" t="s">
        <v>3296</v>
      </c>
      <c r="F20" s="879" t="s">
        <v>3980</v>
      </c>
      <c r="G20" s="880" t="s">
        <v>3342</v>
      </c>
      <c r="H20" s="880" t="s">
        <v>3981</v>
      </c>
      <c r="I20" s="880" t="s">
        <v>3392</v>
      </c>
      <c r="J20" s="880" t="s">
        <v>3982</v>
      </c>
      <c r="K20" s="880" t="s">
        <v>3983</v>
      </c>
      <c r="L20" s="880" t="s">
        <v>3984</v>
      </c>
      <c r="M20" s="880" t="s">
        <v>3985</v>
      </c>
      <c r="N20" s="880" t="s">
        <v>3466</v>
      </c>
      <c r="O20" s="880" t="s">
        <v>3487</v>
      </c>
      <c r="P20" s="880" t="s">
        <v>3506</v>
      </c>
      <c r="Q20" s="880" t="s">
        <v>3527</v>
      </c>
      <c r="R20" s="880" t="s">
        <v>3548</v>
      </c>
      <c r="S20" s="880" t="s">
        <v>3561</v>
      </c>
      <c r="T20" s="880" t="s">
        <v>3986</v>
      </c>
      <c r="U20" s="880" t="s">
        <v>3577</v>
      </c>
      <c r="V20" s="879" t="s">
        <v>3588</v>
      </c>
      <c r="W20" s="880" t="s">
        <v>3602</v>
      </c>
      <c r="X20" s="879" t="s">
        <v>3622</v>
      </c>
      <c r="Y20" s="879" t="s">
        <v>3644</v>
      </c>
      <c r="Z20" s="880" t="s">
        <v>3662</v>
      </c>
      <c r="AA20" s="879" t="s">
        <v>3685</v>
      </c>
      <c r="AB20" s="880" t="s">
        <v>3987</v>
      </c>
      <c r="AC20" s="880" t="s">
        <v>3988</v>
      </c>
      <c r="AD20" s="880" t="s">
        <v>3734</v>
      </c>
      <c r="AE20" s="880" t="s">
        <v>3759</v>
      </c>
    </row>
    <row r="21" spans="4:31" ht="49.5">
      <c r="D21" s="880" t="s">
        <v>3269</v>
      </c>
      <c r="E21" s="880" t="s">
        <v>3297</v>
      </c>
      <c r="F21" s="880" t="s">
        <v>3324</v>
      </c>
      <c r="G21" s="880" t="s">
        <v>3343</v>
      </c>
      <c r="H21" s="880" t="s">
        <v>3366</v>
      </c>
      <c r="I21" s="880" t="s">
        <v>3393</v>
      </c>
      <c r="J21" s="880" t="s">
        <v>3989</v>
      </c>
      <c r="K21" s="880" t="s">
        <v>3990</v>
      </c>
      <c r="L21" s="880" t="s">
        <v>3991</v>
      </c>
      <c r="M21" s="880" t="s">
        <v>3992</v>
      </c>
      <c r="N21" s="880" t="s">
        <v>3467</v>
      </c>
      <c r="O21" s="879" t="s">
        <v>3488</v>
      </c>
      <c r="P21" s="880" t="s">
        <v>3507</v>
      </c>
      <c r="Q21" s="880" t="s">
        <v>3528</v>
      </c>
      <c r="R21" s="880" t="s">
        <v>3549</v>
      </c>
      <c r="S21" s="880" t="s">
        <v>3993</v>
      </c>
      <c r="T21" s="880" t="s">
        <v>3994</v>
      </c>
      <c r="U21" s="880" t="s">
        <v>3995</v>
      </c>
      <c r="V21" s="879" t="s">
        <v>3589</v>
      </c>
      <c r="W21" s="880" t="s">
        <v>3603</v>
      </c>
      <c r="X21" s="879" t="s">
        <v>3623</v>
      </c>
      <c r="Y21" s="879" t="s">
        <v>3645</v>
      </c>
      <c r="Z21" s="880" t="s">
        <v>3663</v>
      </c>
      <c r="AA21" s="879" t="s">
        <v>3686</v>
      </c>
      <c r="AB21" s="880" t="s">
        <v>3996</v>
      </c>
      <c r="AC21" s="880" t="s">
        <v>3997</v>
      </c>
      <c r="AD21" s="880" t="s">
        <v>3735</v>
      </c>
      <c r="AE21" s="880" t="s">
        <v>3760</v>
      </c>
    </row>
    <row r="22" spans="4:31" ht="66">
      <c r="D22" s="880" t="s">
        <v>3270</v>
      </c>
      <c r="E22" s="880" t="s">
        <v>3298</v>
      </c>
      <c r="F22" s="880" t="s">
        <v>3998</v>
      </c>
      <c r="G22" s="880" t="s">
        <v>3999</v>
      </c>
      <c r="H22" s="880" t="s">
        <v>3367</v>
      </c>
      <c r="I22" s="880" t="s">
        <v>3394</v>
      </c>
      <c r="J22" s="880" t="s">
        <v>3413</v>
      </c>
      <c r="K22" s="880" t="s">
        <v>4000</v>
      </c>
      <c r="L22" s="880" t="s">
        <v>4001</v>
      </c>
      <c r="M22" s="880" t="s">
        <v>3442</v>
      </c>
      <c r="N22" s="880" t="s">
        <v>4002</v>
      </c>
      <c r="O22" s="880" t="s">
        <v>3489</v>
      </c>
      <c r="P22" s="880" t="s">
        <v>4003</v>
      </c>
      <c r="Q22" s="880" t="s">
        <v>3529</v>
      </c>
      <c r="R22" s="880" t="s">
        <v>4004</v>
      </c>
      <c r="S22" s="880" t="s">
        <v>4005</v>
      </c>
      <c r="T22" s="880" t="s">
        <v>4006</v>
      </c>
      <c r="U22" s="880" t="s">
        <v>3578</v>
      </c>
      <c r="V22" s="880" t="s">
        <v>4007</v>
      </c>
      <c r="W22" s="880" t="s">
        <v>3604</v>
      </c>
      <c r="X22" s="880" t="s">
        <v>3624</v>
      </c>
      <c r="Y22" s="880" t="s">
        <v>3646</v>
      </c>
      <c r="Z22" s="880" t="s">
        <v>3664</v>
      </c>
      <c r="AA22" s="880" t="s">
        <v>3687</v>
      </c>
      <c r="AB22" s="880" t="s">
        <v>4008</v>
      </c>
      <c r="AC22" s="880" t="s">
        <v>4009</v>
      </c>
      <c r="AD22" s="880" t="s">
        <v>3736</v>
      </c>
      <c r="AE22" s="880" t="s">
        <v>3761</v>
      </c>
    </row>
    <row r="23" spans="4:31" ht="82.5">
      <c r="D23" s="880" t="s">
        <v>3271</v>
      </c>
      <c r="E23" s="880" t="s">
        <v>3299</v>
      </c>
      <c r="F23" s="880" t="s">
        <v>3325</v>
      </c>
      <c r="G23" s="880" t="s">
        <v>3344</v>
      </c>
      <c r="H23" s="880" t="s">
        <v>3368</v>
      </c>
      <c r="I23" s="880" t="s">
        <v>3395</v>
      </c>
      <c r="J23" s="880" t="s">
        <v>4010</v>
      </c>
      <c r="K23" s="880" t="s">
        <v>3421</v>
      </c>
      <c r="L23" s="880" t="s">
        <v>4011</v>
      </c>
      <c r="M23" s="880" t="s">
        <v>3443</v>
      </c>
      <c r="N23" s="880" t="s">
        <v>3468</v>
      </c>
      <c r="O23" s="880" t="s">
        <v>3490</v>
      </c>
      <c r="P23" s="880" t="s">
        <v>3508</v>
      </c>
      <c r="Q23" s="880" t="s">
        <v>3530</v>
      </c>
      <c r="R23" s="880" t="s">
        <v>3550</v>
      </c>
      <c r="S23" s="880" t="s">
        <v>4012</v>
      </c>
      <c r="T23" s="880" t="s">
        <v>4013</v>
      </c>
      <c r="U23" s="880" t="s">
        <v>4014</v>
      </c>
      <c r="V23" s="880" t="s">
        <v>3590</v>
      </c>
      <c r="W23" s="880" t="s">
        <v>4015</v>
      </c>
      <c r="X23" s="880" t="s">
        <v>3625</v>
      </c>
      <c r="Y23" s="880" t="s">
        <v>3647</v>
      </c>
      <c r="Z23" s="880" t="s">
        <v>3665</v>
      </c>
      <c r="AA23" s="880" t="s">
        <v>3688</v>
      </c>
      <c r="AB23" s="880" t="s">
        <v>3705</v>
      </c>
      <c r="AC23" s="880" t="s">
        <v>4016</v>
      </c>
      <c r="AD23" s="880" t="s">
        <v>3737</v>
      </c>
      <c r="AE23" s="880" t="s">
        <v>3762</v>
      </c>
    </row>
    <row r="24" spans="4:31" ht="66">
      <c r="D24" s="880" t="s">
        <v>3272</v>
      </c>
      <c r="E24" s="880" t="s">
        <v>3300</v>
      </c>
      <c r="F24" s="880" t="s">
        <v>3326</v>
      </c>
      <c r="G24" s="880" t="s">
        <v>3345</v>
      </c>
      <c r="H24" s="880" t="s">
        <v>3369</v>
      </c>
      <c r="I24" s="880" t="s">
        <v>3396</v>
      </c>
      <c r="J24" s="880" t="s">
        <v>4017</v>
      </c>
      <c r="K24" s="880" t="s">
        <v>4018</v>
      </c>
      <c r="L24" s="880" t="s">
        <v>3427</v>
      </c>
      <c r="M24" s="879" t="s">
        <v>3444</v>
      </c>
      <c r="N24" s="879" t="s">
        <v>3469</v>
      </c>
      <c r="O24" s="880" t="s">
        <v>4019</v>
      </c>
      <c r="P24" s="880" t="s">
        <v>3509</v>
      </c>
      <c r="Q24" s="880" t="s">
        <v>3531</v>
      </c>
      <c r="R24" s="880" t="s">
        <v>3551</v>
      </c>
      <c r="S24" s="880" t="s">
        <v>4020</v>
      </c>
      <c r="T24" s="880" t="s">
        <v>3568</v>
      </c>
      <c r="U24" s="880" t="s">
        <v>4021</v>
      </c>
      <c r="V24" s="880" t="s">
        <v>4022</v>
      </c>
      <c r="W24" s="880" t="s">
        <v>3605</v>
      </c>
      <c r="X24" s="880" t="s">
        <v>3817</v>
      </c>
      <c r="Y24" s="880" t="s">
        <v>3648</v>
      </c>
      <c r="Z24" s="880" t="s">
        <v>3666</v>
      </c>
      <c r="AA24" s="880" t="s">
        <v>3835</v>
      </c>
      <c r="AB24" s="880" t="s">
        <v>3842</v>
      </c>
      <c r="AC24" s="880" t="s">
        <v>3715</v>
      </c>
      <c r="AD24" s="880" t="s">
        <v>3738</v>
      </c>
      <c r="AE24" s="880" t="s">
        <v>3763</v>
      </c>
    </row>
    <row r="25" spans="4:31" ht="82.5">
      <c r="D25" s="880" t="s">
        <v>3273</v>
      </c>
      <c r="E25" s="880" t="s">
        <v>3301</v>
      </c>
      <c r="F25" s="880" t="s">
        <v>4023</v>
      </c>
      <c r="G25" s="880" t="s">
        <v>3346</v>
      </c>
      <c r="H25" s="880" t="s">
        <v>3370</v>
      </c>
      <c r="I25" s="880" t="s">
        <v>3397</v>
      </c>
      <c r="J25" s="880" t="s">
        <v>4024</v>
      </c>
      <c r="K25" s="880" t="s">
        <v>4025</v>
      </c>
      <c r="L25" s="880" t="s">
        <v>4026</v>
      </c>
      <c r="M25" s="880" t="s">
        <v>3445</v>
      </c>
      <c r="N25" s="880" t="s">
        <v>3470</v>
      </c>
      <c r="O25" s="880" t="s">
        <v>3491</v>
      </c>
      <c r="P25" s="880" t="s">
        <v>3510</v>
      </c>
      <c r="Q25" s="880" t="s">
        <v>3532</v>
      </c>
      <c r="R25" s="880" t="s">
        <v>3552</v>
      </c>
      <c r="S25" s="880" t="s">
        <v>3793</v>
      </c>
      <c r="T25" s="880" t="s">
        <v>3569</v>
      </c>
      <c r="U25" s="880" t="s">
        <v>3579</v>
      </c>
      <c r="V25" s="880" t="s">
        <v>3591</v>
      </c>
      <c r="W25" s="880" t="s">
        <v>3606</v>
      </c>
      <c r="X25" s="880" t="s">
        <v>3626</v>
      </c>
      <c r="Y25" s="880" t="s">
        <v>3649</v>
      </c>
      <c r="Z25" s="880" t="s">
        <v>3667</v>
      </c>
      <c r="AA25" s="880" t="s">
        <v>3689</v>
      </c>
      <c r="AB25" s="880" t="s">
        <v>3706</v>
      </c>
      <c r="AC25" s="880" t="s">
        <v>3845</v>
      </c>
      <c r="AD25" s="880" t="s">
        <v>3739</v>
      </c>
      <c r="AE25" s="880" t="s">
        <v>3764</v>
      </c>
    </row>
    <row r="26" spans="4:31" ht="82.5">
      <c r="D26" s="880" t="s">
        <v>3274</v>
      </c>
      <c r="E26" s="880" t="s">
        <v>3302</v>
      </c>
      <c r="F26" s="879" t="s">
        <v>3327</v>
      </c>
      <c r="G26" s="880" t="s">
        <v>3354</v>
      </c>
      <c r="H26" s="880" t="s">
        <v>3371</v>
      </c>
      <c r="I26" s="880" t="s">
        <v>3398</v>
      </c>
      <c r="J26" s="880" t="s">
        <v>4027</v>
      </c>
      <c r="K26" s="880" t="s">
        <v>3424</v>
      </c>
      <c r="L26" s="880" t="s">
        <v>3428</v>
      </c>
      <c r="M26" s="880" t="s">
        <v>3446</v>
      </c>
      <c r="N26" s="880" t="s">
        <v>3471</v>
      </c>
      <c r="O26" s="880" t="s">
        <v>3492</v>
      </c>
      <c r="P26" s="880" t="s">
        <v>3511</v>
      </c>
      <c r="Q26" s="880" t="s">
        <v>3533</v>
      </c>
      <c r="R26" s="880" t="s">
        <v>3789</v>
      </c>
      <c r="S26" s="880" t="s">
        <v>3794</v>
      </c>
      <c r="T26" s="880" t="s">
        <v>4028</v>
      </c>
      <c r="U26" s="880" t="s">
        <v>3801</v>
      </c>
      <c r="V26" s="880" t="s">
        <v>3592</v>
      </c>
      <c r="W26" s="880" t="s">
        <v>4029</v>
      </c>
      <c r="X26" s="880" t="s">
        <v>3627</v>
      </c>
      <c r="Y26" s="880" t="s">
        <v>3650</v>
      </c>
      <c r="Z26" s="880" t="s">
        <v>3668</v>
      </c>
      <c r="AA26" s="880" t="s">
        <v>3690</v>
      </c>
      <c r="AB26" s="880" t="s">
        <v>3707</v>
      </c>
      <c r="AC26" s="880" t="s">
        <v>4030</v>
      </c>
      <c r="AD26" s="880" t="s">
        <v>3740</v>
      </c>
      <c r="AE26" s="880" t="s">
        <v>3765</v>
      </c>
    </row>
    <row r="27" spans="4:31" ht="82.5">
      <c r="D27" s="880" t="s">
        <v>3275</v>
      </c>
      <c r="E27" s="880" t="s">
        <v>3303</v>
      </c>
      <c r="F27" s="880" t="s">
        <v>4031</v>
      </c>
      <c r="G27" s="880" t="s">
        <v>3347</v>
      </c>
      <c r="H27" s="880" t="s">
        <v>3379</v>
      </c>
      <c r="I27" s="880" t="s">
        <v>3399</v>
      </c>
      <c r="J27" s="880" t="s">
        <v>3415</v>
      </c>
      <c r="K27" s="880" t="s">
        <v>4032</v>
      </c>
      <c r="L27" s="880" t="s">
        <v>4033</v>
      </c>
      <c r="M27" s="880" t="s">
        <v>3447</v>
      </c>
      <c r="N27" s="880" t="s">
        <v>3472</v>
      </c>
      <c r="O27" s="880" t="s">
        <v>3493</v>
      </c>
      <c r="P27" s="880" t="s">
        <v>3782</v>
      </c>
      <c r="Q27" s="880" t="s">
        <v>3534</v>
      </c>
      <c r="R27" s="880" t="s">
        <v>3790</v>
      </c>
      <c r="S27" s="880" t="s">
        <v>3562</v>
      </c>
      <c r="T27" s="880" t="s">
        <v>4034</v>
      </c>
      <c r="U27" s="880" t="s">
        <v>3580</v>
      </c>
      <c r="V27" s="880" t="s">
        <v>3593</v>
      </c>
      <c r="W27" s="880" t="s">
        <v>3607</v>
      </c>
      <c r="X27" s="880" t="s">
        <v>3628</v>
      </c>
      <c r="Y27" s="880" t="s">
        <v>3651</v>
      </c>
      <c r="Z27" s="880" t="s">
        <v>4035</v>
      </c>
      <c r="AA27" s="880" t="s">
        <v>3691</v>
      </c>
      <c r="AB27" s="880" t="s">
        <v>3708</v>
      </c>
      <c r="AC27" s="880" t="s">
        <v>4036</v>
      </c>
      <c r="AD27" s="880" t="s">
        <v>3741</v>
      </c>
      <c r="AE27" s="880" t="s">
        <v>3766</v>
      </c>
    </row>
    <row r="28" spans="4:31" ht="66">
      <c r="D28" s="880" t="s">
        <v>3276</v>
      </c>
      <c r="E28" s="880" t="s">
        <v>3304</v>
      </c>
      <c r="F28" s="880" t="s">
        <v>4037</v>
      </c>
      <c r="G28" s="880" t="s">
        <v>3348</v>
      </c>
      <c r="H28" s="880" t="s">
        <v>3372</v>
      </c>
      <c r="I28" s="880" t="s">
        <v>3400</v>
      </c>
      <c r="J28" s="880" t="s">
        <v>4038</v>
      </c>
      <c r="K28" s="880" t="s">
        <v>4039</v>
      </c>
      <c r="L28" s="880" t="s">
        <v>4040</v>
      </c>
      <c r="M28" s="880" t="s">
        <v>3448</v>
      </c>
      <c r="N28" s="880" t="s">
        <v>3473</v>
      </c>
      <c r="O28" s="880" t="s">
        <v>3494</v>
      </c>
      <c r="P28" s="880" t="s">
        <v>4041</v>
      </c>
      <c r="Q28" s="880" t="s">
        <v>3535</v>
      </c>
      <c r="R28" s="880" t="s">
        <v>3553</v>
      </c>
      <c r="S28" s="880" t="s">
        <v>3563</v>
      </c>
      <c r="T28" s="880" t="s">
        <v>3798</v>
      </c>
      <c r="U28" s="880" t="s">
        <v>4042</v>
      </c>
      <c r="V28" s="880" t="s">
        <v>4043</v>
      </c>
      <c r="W28" s="880" t="s">
        <v>3608</v>
      </c>
      <c r="X28" s="880" t="s">
        <v>3629</v>
      </c>
      <c r="Y28" s="880" t="s">
        <v>3824</v>
      </c>
      <c r="Z28" s="880" t="s">
        <v>3669</v>
      </c>
      <c r="AA28" s="880" t="s">
        <v>3692</v>
      </c>
      <c r="AB28" s="880" t="s">
        <v>4044</v>
      </c>
      <c r="AC28" s="880" t="s">
        <v>4045</v>
      </c>
      <c r="AD28" s="880" t="s">
        <v>3742</v>
      </c>
      <c r="AE28" s="880" t="s">
        <v>3767</v>
      </c>
    </row>
    <row r="29" spans="4:31" ht="82.5">
      <c r="D29" s="880" t="s">
        <v>3277</v>
      </c>
      <c r="E29" s="880" t="s">
        <v>3305</v>
      </c>
      <c r="F29" s="880" t="s">
        <v>3328</v>
      </c>
      <c r="G29" s="880" t="s">
        <v>3355</v>
      </c>
      <c r="H29" s="880" t="s">
        <v>3373</v>
      </c>
      <c r="I29" s="880" t="s">
        <v>3401</v>
      </c>
      <c r="J29" s="880" t="s">
        <v>4046</v>
      </c>
      <c r="K29" s="880" t="s">
        <v>3422</v>
      </c>
      <c r="L29" s="880" t="s">
        <v>4047</v>
      </c>
      <c r="M29" s="880" t="s">
        <v>3449</v>
      </c>
      <c r="N29" s="880" t="s">
        <v>3776</v>
      </c>
      <c r="O29" s="880" t="s">
        <v>3495</v>
      </c>
      <c r="P29" s="880" t="s">
        <v>3783</v>
      </c>
      <c r="Q29" s="880" t="s">
        <v>3536</v>
      </c>
      <c r="R29" s="880" t="s">
        <v>3554</v>
      </c>
      <c r="S29" s="880" t="s">
        <v>3795</v>
      </c>
      <c r="T29" s="880" t="s">
        <v>4048</v>
      </c>
      <c r="U29" s="880" t="s">
        <v>3802</v>
      </c>
      <c r="V29" s="880" t="s">
        <v>3594</v>
      </c>
      <c r="W29" s="880" t="s">
        <v>3810</v>
      </c>
      <c r="X29" s="880" t="s">
        <v>3630</v>
      </c>
      <c r="Y29" s="880" t="s">
        <v>3823</v>
      </c>
      <c r="Z29" s="880" t="s">
        <v>3832</v>
      </c>
      <c r="AA29" s="880" t="s">
        <v>3693</v>
      </c>
      <c r="AB29" s="880" t="s">
        <v>3841</v>
      </c>
      <c r="AC29" s="880" t="s">
        <v>4049</v>
      </c>
      <c r="AD29" s="880" t="s">
        <v>3743</v>
      </c>
      <c r="AE29" s="880" t="s">
        <v>3846</v>
      </c>
    </row>
    <row r="30" spans="4:31" ht="82.5">
      <c r="D30" s="880" t="s">
        <v>3284</v>
      </c>
      <c r="E30" s="880" t="s">
        <v>3306</v>
      </c>
      <c r="F30" s="880" t="s">
        <v>3329</v>
      </c>
      <c r="G30" s="880" t="s">
        <v>3356</v>
      </c>
      <c r="H30" s="880" t="s">
        <v>3380</v>
      </c>
      <c r="I30" s="880" t="s">
        <v>3407</v>
      </c>
      <c r="J30" s="880" t="s">
        <v>4050</v>
      </c>
      <c r="K30" s="880" t="s">
        <v>4051</v>
      </c>
      <c r="L30" s="880" t="s">
        <v>3429</v>
      </c>
      <c r="M30" s="880" t="s">
        <v>3450</v>
      </c>
      <c r="N30" s="880" t="s">
        <v>3777</v>
      </c>
      <c r="O30" s="880" t="s">
        <v>3496</v>
      </c>
      <c r="P30" s="880" t="s">
        <v>3784</v>
      </c>
      <c r="Q30" s="880" t="s">
        <v>3786</v>
      </c>
      <c r="R30" s="880" t="s">
        <v>3791</v>
      </c>
      <c r="S30" s="880" t="s">
        <v>3796</v>
      </c>
      <c r="T30" s="880" t="s">
        <v>4052</v>
      </c>
      <c r="U30" s="880" t="s">
        <v>3803</v>
      </c>
      <c r="V30" s="880" t="s">
        <v>3595</v>
      </c>
      <c r="W30" s="880" t="s">
        <v>3609</v>
      </c>
      <c r="X30" s="880" t="s">
        <v>3631</v>
      </c>
      <c r="Y30" s="880" t="s">
        <v>3652</v>
      </c>
      <c r="Z30" s="880" t="s">
        <v>3670</v>
      </c>
      <c r="AA30" s="880" t="s">
        <v>3694</v>
      </c>
      <c r="AB30" s="880" t="s">
        <v>4053</v>
      </c>
      <c r="AC30" s="880" t="s">
        <v>4054</v>
      </c>
      <c r="AD30" s="880" t="s">
        <v>3744</v>
      </c>
      <c r="AE30" s="880" t="s">
        <v>3768</v>
      </c>
    </row>
    <row r="31" spans="4:31" ht="99">
      <c r="D31" s="880" t="s">
        <v>4055</v>
      </c>
      <c r="E31" s="880" t="s">
        <v>3307</v>
      </c>
      <c r="F31" s="880" t="s">
        <v>3330</v>
      </c>
      <c r="G31" s="880" t="s">
        <v>4056</v>
      </c>
      <c r="H31" s="880" t="s">
        <v>3381</v>
      </c>
      <c r="I31" s="880" t="s">
        <v>3408</v>
      </c>
      <c r="J31" s="880" t="s">
        <v>3414</v>
      </c>
      <c r="K31" s="880" t="s">
        <v>3423</v>
      </c>
      <c r="L31" s="880" t="s">
        <v>3430</v>
      </c>
      <c r="M31" s="880" t="s">
        <v>3774</v>
      </c>
      <c r="N31" s="880" t="s">
        <v>3474</v>
      </c>
      <c r="O31" s="880" t="s">
        <v>3497</v>
      </c>
      <c r="P31" s="880" t="s">
        <v>3512</v>
      </c>
      <c r="Q31" s="880" t="s">
        <v>3537</v>
      </c>
      <c r="R31" s="880" t="s">
        <v>3792</v>
      </c>
      <c r="S31" s="880" t="s">
        <v>3797</v>
      </c>
      <c r="T31" s="880" t="s">
        <v>4057</v>
      </c>
      <c r="U31" s="880" t="s">
        <v>3804</v>
      </c>
      <c r="V31" s="880" t="s">
        <v>3596</v>
      </c>
      <c r="W31" s="880" t="s">
        <v>3610</v>
      </c>
      <c r="X31" s="880" t="s">
        <v>3632</v>
      </c>
      <c r="Y31" s="880" t="s">
        <v>3822</v>
      </c>
      <c r="Z31" s="880" t="s">
        <v>3833</v>
      </c>
      <c r="AA31" s="880" t="s">
        <v>3695</v>
      </c>
      <c r="AB31" s="880" t="s">
        <v>3840</v>
      </c>
      <c r="AC31" s="880" t="s">
        <v>3716</v>
      </c>
      <c r="AD31" s="880" t="s">
        <v>3745</v>
      </c>
      <c r="AE31" s="880" t="s">
        <v>4058</v>
      </c>
    </row>
    <row r="32" spans="4:31" ht="66">
      <c r="D32" s="880" t="s">
        <v>3278</v>
      </c>
      <c r="E32" s="880" t="s">
        <v>3308</v>
      </c>
      <c r="F32" s="880" t="s">
        <v>3331</v>
      </c>
      <c r="G32" s="880" t="s">
        <v>3349</v>
      </c>
      <c r="H32" s="880" t="s">
        <v>3374</v>
      </c>
      <c r="I32" s="880" t="s">
        <v>3409</v>
      </c>
      <c r="J32" s="880" t="s">
        <v>3416</v>
      </c>
      <c r="K32" s="880" t="s">
        <v>4059</v>
      </c>
      <c r="L32" s="880" t="s">
        <v>3431</v>
      </c>
      <c r="M32" s="880" t="s">
        <v>3451</v>
      </c>
      <c r="N32" s="880" t="s">
        <v>3475</v>
      </c>
      <c r="O32" s="880" t="s">
        <v>3498</v>
      </c>
      <c r="P32" s="880" t="s">
        <v>3513</v>
      </c>
      <c r="Q32" s="880" t="s">
        <v>3538</v>
      </c>
      <c r="R32" s="880" t="s">
        <v>3555</v>
      </c>
      <c r="S32" s="880" t="s">
        <v>3564</v>
      </c>
      <c r="T32" s="880" t="s">
        <v>3570</v>
      </c>
      <c r="U32" s="880" t="s">
        <v>3581</v>
      </c>
      <c r="V32" s="880" t="s">
        <v>3597</v>
      </c>
      <c r="W32" s="880" t="s">
        <v>3809</v>
      </c>
      <c r="X32" s="880" t="s">
        <v>3633</v>
      </c>
      <c r="Y32" s="880" t="s">
        <v>3653</v>
      </c>
      <c r="Z32" s="880" t="s">
        <v>3671</v>
      </c>
      <c r="AA32" s="880" t="s">
        <v>3834</v>
      </c>
      <c r="AB32" s="880" t="s">
        <v>3839</v>
      </c>
      <c r="AC32" s="880" t="s">
        <v>3717</v>
      </c>
      <c r="AD32" s="880" t="s">
        <v>3746</v>
      </c>
      <c r="AE32" s="880" t="s">
        <v>3769</v>
      </c>
    </row>
    <row r="33" spans="4:31" ht="66">
      <c r="D33" s="880" t="s">
        <v>3279</v>
      </c>
      <c r="E33" s="880" t="s">
        <v>4060</v>
      </c>
      <c r="F33" s="880" t="s">
        <v>4061</v>
      </c>
      <c r="G33" s="880" t="s">
        <v>3350</v>
      </c>
      <c r="H33" s="880" t="s">
        <v>3375</v>
      </c>
      <c r="I33" s="880" t="s">
        <v>3402</v>
      </c>
      <c r="J33" s="880" t="s">
        <v>4062</v>
      </c>
      <c r="K33" s="880" t="s">
        <v>4063</v>
      </c>
      <c r="L33" s="880" t="s">
        <v>4064</v>
      </c>
      <c r="M33" s="880" t="s">
        <v>3452</v>
      </c>
      <c r="N33" s="880" t="s">
        <v>3476</v>
      </c>
      <c r="O33" s="880" t="s">
        <v>4065</v>
      </c>
      <c r="P33" s="880" t="s">
        <v>3514</v>
      </c>
      <c r="Q33" s="880" t="s">
        <v>3539</v>
      </c>
      <c r="R33" s="880" t="s">
        <v>3556</v>
      </c>
      <c r="S33" s="880" t="s">
        <v>3565</v>
      </c>
      <c r="T33" s="880" t="s">
        <v>4066</v>
      </c>
      <c r="U33" s="880" t="s">
        <v>3582</v>
      </c>
      <c r="V33" s="880" t="s">
        <v>3808</v>
      </c>
      <c r="W33" s="880" t="s">
        <v>4067</v>
      </c>
      <c r="X33" s="880" t="s">
        <v>3634</v>
      </c>
      <c r="Y33" s="880" t="s">
        <v>4068</v>
      </c>
      <c r="Z33" s="880" t="s">
        <v>3672</v>
      </c>
      <c r="AA33" s="880" t="s">
        <v>3696</v>
      </c>
      <c r="AB33" s="880" t="s">
        <v>3709</v>
      </c>
      <c r="AC33" s="880" t="s">
        <v>3718</v>
      </c>
      <c r="AD33" s="880" t="s">
        <v>3848</v>
      </c>
      <c r="AE33" s="880" t="s">
        <v>3770</v>
      </c>
    </row>
  </sheetData>
  <phoneticPr fontId="1"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1"/>
  <dimension ref="B1:G398"/>
  <sheetViews>
    <sheetView tabSelected="1" workbookViewId="0">
      <pane ySplit="2" topLeftCell="A298" activePane="bottomLeft" state="frozen"/>
      <selection pane="bottomLeft" activeCell="B321" sqref="B321:D325"/>
    </sheetView>
  </sheetViews>
  <sheetFormatPr defaultColWidth="9" defaultRowHeight="16.5"/>
  <cols>
    <col min="1" max="1" width="2.875" style="3" customWidth="1"/>
    <col min="2" max="2" width="13.5" style="1" bestFit="1" customWidth="1"/>
    <col min="3" max="3" width="7.375" style="12" bestFit="1" customWidth="1"/>
    <col min="4" max="4" width="97.125" style="3" bestFit="1" customWidth="1"/>
    <col min="5" max="16384" width="9" style="3"/>
  </cols>
  <sheetData>
    <row r="1" spans="2:7" ht="17.25" thickBot="1"/>
    <row r="2" spans="2:7">
      <c r="B2" s="7" t="s">
        <v>180</v>
      </c>
      <c r="C2" s="13" t="s">
        <v>181</v>
      </c>
      <c r="D2" s="8" t="s">
        <v>182</v>
      </c>
    </row>
    <row r="3" spans="2:7">
      <c r="B3" s="1801">
        <v>43992</v>
      </c>
      <c r="C3" s="1800" t="s">
        <v>183</v>
      </c>
      <c r="D3" s="6" t="s">
        <v>184</v>
      </c>
    </row>
    <row r="4" spans="2:7">
      <c r="B4" s="1797"/>
      <c r="C4" s="1795"/>
      <c r="D4" s="4" t="s">
        <v>187</v>
      </c>
    </row>
    <row r="5" spans="2:7">
      <c r="B5" s="11">
        <v>43993</v>
      </c>
      <c r="C5" s="14" t="s">
        <v>185</v>
      </c>
      <c r="D5" s="4" t="s">
        <v>186</v>
      </c>
      <c r="G5" s="3" t="s">
        <v>217</v>
      </c>
    </row>
    <row r="6" spans="2:7">
      <c r="B6" s="1796">
        <v>43994</v>
      </c>
      <c r="C6" s="1802" t="s">
        <v>188</v>
      </c>
      <c r="D6" s="4" t="s">
        <v>189</v>
      </c>
      <c r="G6" s="3" t="s">
        <v>257</v>
      </c>
    </row>
    <row r="7" spans="2:7">
      <c r="B7" s="1798"/>
      <c r="C7" s="1803"/>
      <c r="D7" s="4" t="s">
        <v>190</v>
      </c>
      <c r="G7" s="3" t="s">
        <v>306</v>
      </c>
    </row>
    <row r="8" spans="2:7">
      <c r="B8" s="1798"/>
      <c r="C8" s="1794" t="s">
        <v>226</v>
      </c>
      <c r="D8" s="4" t="s">
        <v>191</v>
      </c>
    </row>
    <row r="9" spans="2:7">
      <c r="B9" s="1797"/>
      <c r="C9" s="1795"/>
      <c r="D9" s="4" t="s">
        <v>192</v>
      </c>
    </row>
    <row r="10" spans="2:7">
      <c r="B10" s="1796">
        <v>43995</v>
      </c>
      <c r="C10" s="1794" t="s">
        <v>279</v>
      </c>
      <c r="D10" s="4" t="s">
        <v>193</v>
      </c>
    </row>
    <row r="11" spans="2:7">
      <c r="B11" s="1798"/>
      <c r="C11" s="1799"/>
      <c r="D11" s="4" t="s">
        <v>214</v>
      </c>
    </row>
    <row r="12" spans="2:7">
      <c r="B12" s="1798"/>
      <c r="C12" s="1799"/>
      <c r="D12" s="4" t="s">
        <v>194</v>
      </c>
    </row>
    <row r="13" spans="2:7">
      <c r="B13" s="1798"/>
      <c r="C13" s="1799"/>
      <c r="D13" s="4" t="s">
        <v>206</v>
      </c>
    </row>
    <row r="14" spans="2:7">
      <c r="B14" s="1798"/>
      <c r="C14" s="1799"/>
      <c r="D14" s="4" t="s">
        <v>207</v>
      </c>
    </row>
    <row r="15" spans="2:7">
      <c r="B15" s="1798"/>
      <c r="C15" s="1795"/>
      <c r="D15" s="4" t="s">
        <v>209</v>
      </c>
    </row>
    <row r="16" spans="2:7">
      <c r="B16" s="1798"/>
      <c r="C16" s="1794" t="s">
        <v>280</v>
      </c>
      <c r="D16" s="4" t="s">
        <v>210</v>
      </c>
    </row>
    <row r="17" spans="2:4">
      <c r="B17" s="1798"/>
      <c r="C17" s="1799"/>
      <c r="D17" s="4" t="s">
        <v>211</v>
      </c>
    </row>
    <row r="18" spans="2:4">
      <c r="B18" s="1797"/>
      <c r="C18" s="1795"/>
      <c r="D18" s="4" t="s">
        <v>212</v>
      </c>
    </row>
    <row r="19" spans="2:4">
      <c r="B19" s="1796">
        <v>43996</v>
      </c>
      <c r="C19" s="1794" t="s">
        <v>543</v>
      </c>
      <c r="D19" s="4" t="s">
        <v>213</v>
      </c>
    </row>
    <row r="20" spans="2:4">
      <c r="B20" s="1798"/>
      <c r="C20" s="1799"/>
      <c r="D20" s="4" t="s">
        <v>215</v>
      </c>
    </row>
    <row r="21" spans="2:4">
      <c r="B21" s="1798"/>
      <c r="C21" s="1799"/>
      <c r="D21" s="4" t="s">
        <v>216</v>
      </c>
    </row>
    <row r="22" spans="2:4">
      <c r="B22" s="1798"/>
      <c r="C22" s="1799"/>
      <c r="D22" s="4" t="s">
        <v>218</v>
      </c>
    </row>
    <row r="23" spans="2:4">
      <c r="B23" s="1798"/>
      <c r="C23" s="1795"/>
      <c r="D23" s="4" t="s">
        <v>219</v>
      </c>
    </row>
    <row r="24" spans="2:4">
      <c r="B24" s="1798"/>
      <c r="C24" s="1794" t="s">
        <v>591</v>
      </c>
      <c r="D24" s="4" t="s">
        <v>222</v>
      </c>
    </row>
    <row r="25" spans="2:4">
      <c r="B25" s="1798"/>
      <c r="C25" s="1795"/>
      <c r="D25" s="4" t="s">
        <v>223</v>
      </c>
    </row>
    <row r="26" spans="2:4">
      <c r="B26" s="1798"/>
      <c r="C26" s="1794" t="s">
        <v>592</v>
      </c>
      <c r="D26" s="4" t="s">
        <v>224</v>
      </c>
    </row>
    <row r="27" spans="2:4">
      <c r="B27" s="1797"/>
      <c r="C27" s="1795"/>
      <c r="D27" s="4" t="s">
        <v>225</v>
      </c>
    </row>
    <row r="28" spans="2:4">
      <c r="B28" s="31">
        <v>43997</v>
      </c>
      <c r="C28" s="30" t="s">
        <v>593</v>
      </c>
      <c r="D28" s="4" t="s">
        <v>227</v>
      </c>
    </row>
    <row r="29" spans="2:4">
      <c r="B29" s="1796">
        <v>43998</v>
      </c>
      <c r="C29" s="1794" t="s">
        <v>594</v>
      </c>
      <c r="D29" s="4" t="s">
        <v>258</v>
      </c>
    </row>
    <row r="30" spans="2:4">
      <c r="B30" s="1797"/>
      <c r="C30" s="1795"/>
      <c r="D30" s="4" t="s">
        <v>259</v>
      </c>
    </row>
    <row r="31" spans="2:4">
      <c r="B31" s="1796">
        <v>43999</v>
      </c>
      <c r="C31" s="1794" t="s">
        <v>595</v>
      </c>
      <c r="D31" s="4" t="s">
        <v>260</v>
      </c>
    </row>
    <row r="32" spans="2:4">
      <c r="B32" s="1798"/>
      <c r="C32" s="1795"/>
      <c r="D32" s="4" t="s">
        <v>261</v>
      </c>
    </row>
    <row r="33" spans="2:4">
      <c r="B33" s="1797"/>
      <c r="C33" s="32" t="s">
        <v>596</v>
      </c>
      <c r="D33" s="4" t="s">
        <v>262</v>
      </c>
    </row>
    <row r="34" spans="2:4">
      <c r="B34" s="1796">
        <v>44006</v>
      </c>
      <c r="C34" s="1794" t="s">
        <v>597</v>
      </c>
      <c r="D34" s="4" t="s">
        <v>281</v>
      </c>
    </row>
    <row r="35" spans="2:4">
      <c r="B35" s="1798"/>
      <c r="C35" s="1799"/>
      <c r="D35" s="4" t="s">
        <v>282</v>
      </c>
    </row>
    <row r="36" spans="2:4">
      <c r="B36" s="1798"/>
      <c r="C36" s="1799"/>
      <c r="D36" s="4" t="s">
        <v>283</v>
      </c>
    </row>
    <row r="37" spans="2:4">
      <c r="B37" s="1798"/>
      <c r="C37" s="1799"/>
      <c r="D37" s="4" t="s">
        <v>284</v>
      </c>
    </row>
    <row r="38" spans="2:4">
      <c r="B38" s="1798"/>
      <c r="C38" s="1799"/>
      <c r="D38" s="193" t="s">
        <v>830</v>
      </c>
    </row>
    <row r="39" spans="2:4">
      <c r="B39" s="1798"/>
      <c r="C39" s="1795"/>
      <c r="D39" s="4" t="s">
        <v>285</v>
      </c>
    </row>
    <row r="40" spans="2:4">
      <c r="B40" s="1798"/>
      <c r="C40" s="1794" t="s">
        <v>598</v>
      </c>
      <c r="D40" s="4" t="s">
        <v>296</v>
      </c>
    </row>
    <row r="41" spans="2:4">
      <c r="B41" s="1797"/>
      <c r="C41" s="1795"/>
      <c r="D41" s="4" t="s">
        <v>297</v>
      </c>
    </row>
    <row r="42" spans="2:4">
      <c r="B42" s="1796">
        <v>44009</v>
      </c>
      <c r="C42" s="1794" t="s">
        <v>599</v>
      </c>
      <c r="D42" s="4" t="s">
        <v>299</v>
      </c>
    </row>
    <row r="43" spans="2:4">
      <c r="B43" s="1798"/>
      <c r="C43" s="1799"/>
      <c r="D43" s="4" t="s">
        <v>300</v>
      </c>
    </row>
    <row r="44" spans="2:4">
      <c r="B44" s="1798"/>
      <c r="C44" s="1799"/>
      <c r="D44" s="4" t="s">
        <v>305</v>
      </c>
    </row>
    <row r="45" spans="2:4">
      <c r="B45" s="1798"/>
      <c r="C45" s="1799"/>
      <c r="D45" s="4" t="s">
        <v>298</v>
      </c>
    </row>
    <row r="46" spans="2:4">
      <c r="B46" s="1797"/>
      <c r="C46" s="1795"/>
      <c r="D46" s="4" t="s">
        <v>307</v>
      </c>
    </row>
    <row r="47" spans="2:4">
      <c r="B47" s="1796">
        <v>44011</v>
      </c>
      <c r="C47" s="1794" t="s">
        <v>600</v>
      </c>
      <c r="D47" s="4" t="s">
        <v>538</v>
      </c>
    </row>
    <row r="48" spans="2:4">
      <c r="B48" s="1798"/>
      <c r="C48" s="1799"/>
      <c r="D48" s="4" t="s">
        <v>539</v>
      </c>
    </row>
    <row r="49" spans="2:4">
      <c r="B49" s="1798"/>
      <c r="C49" s="1799"/>
      <c r="D49" s="4" t="s">
        <v>540</v>
      </c>
    </row>
    <row r="50" spans="2:4">
      <c r="B50" s="1798"/>
      <c r="C50" s="1799"/>
      <c r="D50" s="4" t="s">
        <v>541</v>
      </c>
    </row>
    <row r="51" spans="2:4">
      <c r="B51" s="1797"/>
      <c r="C51" s="1795"/>
      <c r="D51" s="4" t="s">
        <v>542</v>
      </c>
    </row>
    <row r="52" spans="2:4">
      <c r="B52" s="1796">
        <v>44013</v>
      </c>
      <c r="C52" s="1794" t="s">
        <v>612</v>
      </c>
      <c r="D52" s="4" t="s">
        <v>604</v>
      </c>
    </row>
    <row r="53" spans="2:4">
      <c r="B53" s="1798"/>
      <c r="C53" s="1799"/>
      <c r="D53" s="4" t="s">
        <v>605</v>
      </c>
    </row>
    <row r="54" spans="2:4">
      <c r="B54" s="1798"/>
      <c r="C54" s="1799"/>
      <c r="D54" s="4" t="s">
        <v>606</v>
      </c>
    </row>
    <row r="55" spans="2:4">
      <c r="B55" s="1798"/>
      <c r="C55" s="1799"/>
      <c r="D55" s="4" t="s">
        <v>607</v>
      </c>
    </row>
    <row r="56" spans="2:4">
      <c r="B56" s="1798"/>
      <c r="C56" s="1799"/>
      <c r="D56" s="4" t="s">
        <v>608</v>
      </c>
    </row>
    <row r="57" spans="2:4">
      <c r="B57" s="1798"/>
      <c r="C57" s="1799"/>
      <c r="D57" s="4" t="s">
        <v>609</v>
      </c>
    </row>
    <row r="58" spans="2:4">
      <c r="B58" s="1798"/>
      <c r="C58" s="1799"/>
      <c r="D58" s="4" t="s">
        <v>610</v>
      </c>
    </row>
    <row r="59" spans="2:4">
      <c r="B59" s="1798"/>
      <c r="C59" s="1799"/>
      <c r="D59" s="4" t="s">
        <v>611</v>
      </c>
    </row>
    <row r="60" spans="2:4">
      <c r="B60" s="1798"/>
      <c r="C60" s="1795"/>
      <c r="D60" s="4" t="s">
        <v>613</v>
      </c>
    </row>
    <row r="61" spans="2:4">
      <c r="B61" s="1798"/>
      <c r="C61" s="1794" t="s">
        <v>631</v>
      </c>
      <c r="D61" s="4" t="s">
        <v>628</v>
      </c>
    </row>
    <row r="62" spans="2:4">
      <c r="B62" s="1798"/>
      <c r="C62" s="1799"/>
      <c r="D62" s="4" t="s">
        <v>629</v>
      </c>
    </row>
    <row r="63" spans="2:4">
      <c r="B63" s="1797"/>
      <c r="C63" s="1795"/>
      <c r="D63" s="4" t="s">
        <v>630</v>
      </c>
    </row>
    <row r="64" spans="2:4">
      <c r="B64" s="1796">
        <v>44014</v>
      </c>
      <c r="C64" s="1794" t="s">
        <v>634</v>
      </c>
      <c r="D64" s="4" t="s">
        <v>638</v>
      </c>
    </row>
    <row r="65" spans="2:4">
      <c r="B65" s="1798"/>
      <c r="C65" s="1799"/>
      <c r="D65" s="4" t="s">
        <v>632</v>
      </c>
    </row>
    <row r="66" spans="2:4">
      <c r="B66" s="1798"/>
      <c r="C66" s="1795"/>
      <c r="D66" s="4" t="s">
        <v>633</v>
      </c>
    </row>
    <row r="67" spans="2:4">
      <c r="B67" s="1797"/>
      <c r="C67" s="32" t="s">
        <v>643</v>
      </c>
      <c r="D67" s="4" t="s">
        <v>644</v>
      </c>
    </row>
    <row r="68" spans="2:4">
      <c r="B68" s="1796">
        <v>44018</v>
      </c>
      <c r="C68" s="1794" t="s">
        <v>673</v>
      </c>
      <c r="D68" s="4" t="s">
        <v>674</v>
      </c>
    </row>
    <row r="69" spans="2:4">
      <c r="B69" s="1798"/>
      <c r="C69" s="1799"/>
      <c r="D69" s="4" t="s">
        <v>677</v>
      </c>
    </row>
    <row r="70" spans="2:4">
      <c r="B70" s="1797"/>
      <c r="C70" s="1795"/>
      <c r="D70" s="4" t="s">
        <v>678</v>
      </c>
    </row>
    <row r="71" spans="2:4">
      <c r="B71" s="1796">
        <v>44020</v>
      </c>
      <c r="C71" s="32" t="s">
        <v>691</v>
      </c>
      <c r="D71" s="4" t="s">
        <v>692</v>
      </c>
    </row>
    <row r="72" spans="2:4">
      <c r="B72" s="1797"/>
      <c r="C72" s="32" t="s">
        <v>704</v>
      </c>
      <c r="D72" s="4" t="s">
        <v>705</v>
      </c>
    </row>
    <row r="73" spans="2:4">
      <c r="B73" s="33">
        <v>44021</v>
      </c>
      <c r="C73" s="32" t="s">
        <v>707</v>
      </c>
      <c r="D73" s="4" t="s">
        <v>708</v>
      </c>
    </row>
    <row r="74" spans="2:4">
      <c r="B74" s="1796">
        <v>44028</v>
      </c>
      <c r="C74" s="1794" t="s">
        <v>735</v>
      </c>
      <c r="D74" s="4" t="s">
        <v>732</v>
      </c>
    </row>
    <row r="75" spans="2:4">
      <c r="B75" s="1798"/>
      <c r="C75" s="1799"/>
      <c r="D75" s="4" t="s">
        <v>733</v>
      </c>
    </row>
    <row r="76" spans="2:4">
      <c r="B76" s="1797"/>
      <c r="C76" s="1795"/>
      <c r="D76" s="4" t="s">
        <v>734</v>
      </c>
    </row>
    <row r="77" spans="2:4">
      <c r="B77" s="1796">
        <v>44034</v>
      </c>
      <c r="C77" s="1794" t="s">
        <v>768</v>
      </c>
      <c r="D77" s="4" t="s">
        <v>765</v>
      </c>
    </row>
    <row r="78" spans="2:4">
      <c r="B78" s="1798"/>
      <c r="C78" s="1799"/>
      <c r="D78" s="4" t="s">
        <v>766</v>
      </c>
    </row>
    <row r="79" spans="2:4">
      <c r="B79" s="1797"/>
      <c r="C79" s="1795"/>
      <c r="D79" s="4" t="s">
        <v>767</v>
      </c>
    </row>
    <row r="80" spans="2:4">
      <c r="B80" s="33">
        <v>44039</v>
      </c>
      <c r="C80" s="32" t="s">
        <v>783</v>
      </c>
      <c r="D80" s="4" t="s">
        <v>784</v>
      </c>
    </row>
    <row r="81" spans="2:4">
      <c r="B81" s="1796">
        <v>44049</v>
      </c>
      <c r="C81" s="1794" t="s">
        <v>827</v>
      </c>
      <c r="D81" s="4" t="s">
        <v>828</v>
      </c>
    </row>
    <row r="82" spans="2:4">
      <c r="B82" s="1797"/>
      <c r="C82" s="1795"/>
      <c r="D82" s="4" t="s">
        <v>829</v>
      </c>
    </row>
    <row r="83" spans="2:4">
      <c r="B83" s="1796">
        <v>44056</v>
      </c>
      <c r="C83" s="1794" t="s">
        <v>837</v>
      </c>
      <c r="D83" s="4" t="s">
        <v>838</v>
      </c>
    </row>
    <row r="84" spans="2:4">
      <c r="B84" s="1797"/>
      <c r="C84" s="1795"/>
      <c r="D84" s="4" t="s">
        <v>784</v>
      </c>
    </row>
    <row r="85" spans="2:4">
      <c r="B85" s="1796">
        <v>44060</v>
      </c>
      <c r="C85" s="1794" t="s">
        <v>875</v>
      </c>
      <c r="D85" s="4" t="s">
        <v>876</v>
      </c>
    </row>
    <row r="86" spans="2:4">
      <c r="B86" s="1798"/>
      <c r="C86" s="1799"/>
      <c r="D86" s="4" t="s">
        <v>784</v>
      </c>
    </row>
    <row r="87" spans="2:4">
      <c r="B87" s="1798"/>
      <c r="C87" s="1799"/>
      <c r="D87" s="4" t="s">
        <v>933</v>
      </c>
    </row>
    <row r="88" spans="2:4">
      <c r="B88" s="1797"/>
      <c r="C88" s="1795"/>
      <c r="D88" s="4" t="s">
        <v>914</v>
      </c>
    </row>
    <row r="89" spans="2:4">
      <c r="B89" s="1796">
        <v>44064</v>
      </c>
      <c r="C89" s="1794" t="s">
        <v>925</v>
      </c>
      <c r="D89" s="4" t="s">
        <v>926</v>
      </c>
    </row>
    <row r="90" spans="2:4">
      <c r="B90" s="1798"/>
      <c r="C90" s="1799"/>
      <c r="D90" s="4" t="s">
        <v>928</v>
      </c>
    </row>
    <row r="91" spans="2:4">
      <c r="B91" s="1798"/>
      <c r="C91" s="1799"/>
      <c r="D91" s="4" t="s">
        <v>927</v>
      </c>
    </row>
    <row r="92" spans="2:4">
      <c r="B92" s="1798"/>
      <c r="C92" s="1799"/>
      <c r="D92" s="4" t="s">
        <v>929</v>
      </c>
    </row>
    <row r="93" spans="2:4">
      <c r="B93" s="1798"/>
      <c r="C93" s="1799"/>
      <c r="D93" s="4" t="s">
        <v>931</v>
      </c>
    </row>
    <row r="94" spans="2:4">
      <c r="B94" s="1798"/>
      <c r="C94" s="1799"/>
      <c r="D94" s="4" t="s">
        <v>932</v>
      </c>
    </row>
    <row r="95" spans="2:4">
      <c r="B95" s="1797"/>
      <c r="C95" s="1795"/>
      <c r="D95" s="4" t="s">
        <v>930</v>
      </c>
    </row>
    <row r="96" spans="2:4">
      <c r="B96" s="1796">
        <v>44070</v>
      </c>
      <c r="C96" s="1794" t="s">
        <v>944</v>
      </c>
      <c r="D96" s="4" t="s">
        <v>943</v>
      </c>
    </row>
    <row r="97" spans="2:4">
      <c r="B97" s="1797"/>
      <c r="C97" s="1795"/>
      <c r="D97" s="4" t="s">
        <v>945</v>
      </c>
    </row>
    <row r="98" spans="2:4">
      <c r="B98" s="1796">
        <v>44074</v>
      </c>
      <c r="C98" s="1794" t="s">
        <v>1086</v>
      </c>
      <c r="D98" s="4" t="s">
        <v>950</v>
      </c>
    </row>
    <row r="99" spans="2:4">
      <c r="B99" s="1798"/>
      <c r="C99" s="1795"/>
      <c r="D99" s="4" t="s">
        <v>951</v>
      </c>
    </row>
    <row r="100" spans="2:4">
      <c r="B100" s="1798"/>
      <c r="C100" s="1794" t="s">
        <v>1087</v>
      </c>
      <c r="D100" s="4" t="s">
        <v>952</v>
      </c>
    </row>
    <row r="101" spans="2:4">
      <c r="B101" s="1797"/>
      <c r="C101" s="1795"/>
      <c r="D101" s="4" t="s">
        <v>1053</v>
      </c>
    </row>
    <row r="102" spans="2:4">
      <c r="B102" s="1796">
        <v>44077</v>
      </c>
      <c r="C102" s="1794" t="s">
        <v>1088</v>
      </c>
      <c r="D102" s="4" t="s">
        <v>1089</v>
      </c>
    </row>
    <row r="103" spans="2:4">
      <c r="B103" s="1797"/>
      <c r="C103" s="1795"/>
      <c r="D103" s="4" t="s">
        <v>1090</v>
      </c>
    </row>
    <row r="104" spans="2:4">
      <c r="B104" s="1796">
        <v>44079</v>
      </c>
      <c r="C104" s="14" t="s">
        <v>1092</v>
      </c>
      <c r="D104" s="4" t="s">
        <v>1093</v>
      </c>
    </row>
    <row r="105" spans="2:4">
      <c r="B105" s="1797"/>
      <c r="C105" s="14" t="s">
        <v>1100</v>
      </c>
      <c r="D105" s="4" t="s">
        <v>1101</v>
      </c>
    </row>
    <row r="106" spans="2:4">
      <c r="B106" s="1796">
        <v>44092</v>
      </c>
      <c r="C106" s="1794" t="s">
        <v>1112</v>
      </c>
      <c r="D106" s="4" t="s">
        <v>1108</v>
      </c>
    </row>
    <row r="107" spans="2:4">
      <c r="B107" s="1798"/>
      <c r="C107" s="1799"/>
      <c r="D107" s="4" t="s">
        <v>1109</v>
      </c>
    </row>
    <row r="108" spans="2:4">
      <c r="B108" s="1798"/>
      <c r="C108" s="1799"/>
      <c r="D108" s="4" t="s">
        <v>1110</v>
      </c>
    </row>
    <row r="109" spans="2:4">
      <c r="B109" s="1798"/>
      <c r="C109" s="1799"/>
      <c r="D109" s="4" t="s">
        <v>1111</v>
      </c>
    </row>
    <row r="110" spans="2:4">
      <c r="B110" s="1798"/>
      <c r="C110" s="1799"/>
      <c r="D110" s="4" t="s">
        <v>1113</v>
      </c>
    </row>
    <row r="111" spans="2:4">
      <c r="B111" s="1798"/>
      <c r="C111" s="1795"/>
      <c r="D111" s="4" t="s">
        <v>1115</v>
      </c>
    </row>
    <row r="112" spans="2:4">
      <c r="B112" s="1797"/>
      <c r="C112" s="14" t="s">
        <v>1134</v>
      </c>
      <c r="D112" s="4" t="s">
        <v>1135</v>
      </c>
    </row>
    <row r="113" spans="2:4">
      <c r="B113" s="11">
        <v>44103</v>
      </c>
      <c r="C113" s="14" t="s">
        <v>1156</v>
      </c>
      <c r="D113" s="4" t="s">
        <v>1157</v>
      </c>
    </row>
    <row r="114" spans="2:4">
      <c r="B114" s="11">
        <v>44104</v>
      </c>
      <c r="C114" s="14" t="s">
        <v>1161</v>
      </c>
      <c r="D114" s="4" t="s">
        <v>1162</v>
      </c>
    </row>
    <row r="115" spans="2:4">
      <c r="B115" s="1796">
        <v>44106</v>
      </c>
      <c r="C115" s="1794" t="s">
        <v>1258</v>
      </c>
      <c r="D115" s="4" t="s">
        <v>1093</v>
      </c>
    </row>
    <row r="116" spans="2:4">
      <c r="B116" s="1804"/>
      <c r="C116" s="1799"/>
      <c r="D116" s="4" t="s">
        <v>1255</v>
      </c>
    </row>
    <row r="117" spans="2:4">
      <c r="B117" s="1804"/>
      <c r="C117" s="1799"/>
      <c r="D117" s="4" t="s">
        <v>1256</v>
      </c>
    </row>
    <row r="118" spans="2:4">
      <c r="B118" s="1805"/>
      <c r="C118" s="1795"/>
      <c r="D118" s="4" t="s">
        <v>1257</v>
      </c>
    </row>
    <row r="119" spans="2:4">
      <c r="B119" s="1796">
        <v>44108</v>
      </c>
      <c r="C119" s="1794" t="s">
        <v>1299</v>
      </c>
      <c r="D119" s="4" t="s">
        <v>1296</v>
      </c>
    </row>
    <row r="120" spans="2:4">
      <c r="B120" s="1804"/>
      <c r="C120" s="1799"/>
      <c r="D120" s="4" t="s">
        <v>1297</v>
      </c>
    </row>
    <row r="121" spans="2:4">
      <c r="B121" s="1805"/>
      <c r="C121" s="1795"/>
      <c r="D121" s="4" t="s">
        <v>1298</v>
      </c>
    </row>
    <row r="122" spans="2:4">
      <c r="B122" s="1796">
        <v>44109</v>
      </c>
      <c r="C122" s="1794" t="s">
        <v>1314</v>
      </c>
      <c r="D122" s="4" t="s">
        <v>1311</v>
      </c>
    </row>
    <row r="123" spans="2:4">
      <c r="B123" s="1804"/>
      <c r="C123" s="1799"/>
      <c r="D123" s="4" t="s">
        <v>1312</v>
      </c>
    </row>
    <row r="124" spans="2:4">
      <c r="B124" s="1805"/>
      <c r="C124" s="1795"/>
      <c r="D124" s="4" t="s">
        <v>1313</v>
      </c>
    </row>
    <row r="125" spans="2:4">
      <c r="B125" s="1796">
        <v>44110</v>
      </c>
      <c r="C125" s="1794" t="s">
        <v>1317</v>
      </c>
      <c r="D125" s="4" t="s">
        <v>1315</v>
      </c>
    </row>
    <row r="126" spans="2:4">
      <c r="B126" s="1805"/>
      <c r="C126" s="1795"/>
      <c r="D126" s="4" t="s">
        <v>1316</v>
      </c>
    </row>
    <row r="127" spans="2:4">
      <c r="B127" s="1796">
        <v>44112</v>
      </c>
      <c r="C127" s="1794" t="s">
        <v>1323</v>
      </c>
      <c r="D127" s="4" t="s">
        <v>1319</v>
      </c>
    </row>
    <row r="128" spans="2:4">
      <c r="B128" s="1804"/>
      <c r="C128" s="1799"/>
      <c r="D128" s="4" t="s">
        <v>1320</v>
      </c>
    </row>
    <row r="129" spans="2:4">
      <c r="B129" s="1804"/>
      <c r="C129" s="1799"/>
      <c r="D129" s="4" t="s">
        <v>1321</v>
      </c>
    </row>
    <row r="130" spans="2:4">
      <c r="B130" s="1805"/>
      <c r="C130" s="1795"/>
      <c r="D130" s="4" t="s">
        <v>1322</v>
      </c>
    </row>
    <row r="131" spans="2:4">
      <c r="B131" s="1796">
        <v>44115</v>
      </c>
      <c r="C131" s="1794" t="s">
        <v>1340</v>
      </c>
      <c r="D131" s="4" t="s">
        <v>1343</v>
      </c>
    </row>
    <row r="132" spans="2:4">
      <c r="B132" s="1804"/>
      <c r="C132" s="1799"/>
      <c r="D132" s="4" t="s">
        <v>1338</v>
      </c>
    </row>
    <row r="133" spans="2:4">
      <c r="B133" s="1805"/>
      <c r="C133" s="1795"/>
      <c r="D133" s="4" t="s">
        <v>1339</v>
      </c>
    </row>
    <row r="134" spans="2:4">
      <c r="B134" s="247">
        <v>44121</v>
      </c>
      <c r="C134" s="202" t="s">
        <v>1524</v>
      </c>
      <c r="D134" s="4" t="s">
        <v>1525</v>
      </c>
    </row>
    <row r="135" spans="2:4">
      <c r="B135" s="1796">
        <v>44124</v>
      </c>
      <c r="C135" s="1794" t="s">
        <v>1564</v>
      </c>
      <c r="D135" s="4" t="s">
        <v>1565</v>
      </c>
    </row>
    <row r="136" spans="2:4">
      <c r="B136" s="1798"/>
      <c r="C136" s="1799"/>
      <c r="D136" s="4" t="s">
        <v>1570</v>
      </c>
    </row>
    <row r="137" spans="2:4">
      <c r="B137" s="1797"/>
      <c r="C137" s="1795"/>
      <c r="D137" s="4" t="s">
        <v>1571</v>
      </c>
    </row>
    <row r="138" spans="2:4">
      <c r="B138" s="1796">
        <v>44129</v>
      </c>
      <c r="C138" s="1794" t="s">
        <v>1607</v>
      </c>
      <c r="D138" s="4" t="s">
        <v>1603</v>
      </c>
    </row>
    <row r="139" spans="2:4">
      <c r="B139" s="1798"/>
      <c r="C139" s="1799"/>
      <c r="D139" s="4" t="s">
        <v>1604</v>
      </c>
    </row>
    <row r="140" spans="2:4">
      <c r="B140" s="1798"/>
      <c r="C140" s="1799"/>
      <c r="D140" s="4" t="s">
        <v>1606</v>
      </c>
    </row>
    <row r="141" spans="2:4">
      <c r="B141" s="1797"/>
      <c r="C141" s="1795"/>
      <c r="D141" s="4" t="s">
        <v>1605</v>
      </c>
    </row>
    <row r="142" spans="2:4">
      <c r="B142" s="1796">
        <v>44139</v>
      </c>
      <c r="C142" s="1794" t="s">
        <v>1637</v>
      </c>
      <c r="D142" s="4" t="s">
        <v>784</v>
      </c>
    </row>
    <row r="143" spans="2:4">
      <c r="B143" s="1797"/>
      <c r="C143" s="1795"/>
      <c r="D143" s="4" t="s">
        <v>1636</v>
      </c>
    </row>
    <row r="144" spans="2:4">
      <c r="B144" s="1796">
        <v>44149</v>
      </c>
      <c r="C144" s="1794" t="s">
        <v>1652</v>
      </c>
      <c r="D144" s="4" t="s">
        <v>1653</v>
      </c>
    </row>
    <row r="145" spans="2:4">
      <c r="B145" s="1797"/>
      <c r="C145" s="1795"/>
      <c r="D145" s="4" t="s">
        <v>1654</v>
      </c>
    </row>
    <row r="146" spans="2:4">
      <c r="B146" s="1796">
        <v>44154</v>
      </c>
      <c r="C146" s="1794" t="s">
        <v>1691</v>
      </c>
      <c r="D146" s="4" t="s">
        <v>784</v>
      </c>
    </row>
    <row r="147" spans="2:4">
      <c r="B147" s="1797"/>
      <c r="C147" s="1795"/>
      <c r="D147" s="4" t="s">
        <v>1690</v>
      </c>
    </row>
    <row r="148" spans="2:4">
      <c r="B148" s="1796">
        <v>44161</v>
      </c>
      <c r="C148" s="1794" t="s">
        <v>1719</v>
      </c>
      <c r="D148" s="4" t="s">
        <v>1704</v>
      </c>
    </row>
    <row r="149" spans="2:4">
      <c r="B149" s="1798"/>
      <c r="C149" s="1799"/>
      <c r="D149" s="4" t="s">
        <v>1705</v>
      </c>
    </row>
    <row r="150" spans="2:4">
      <c r="B150" s="1798"/>
      <c r="C150" s="1799"/>
      <c r="D150" s="4" t="s">
        <v>1720</v>
      </c>
    </row>
    <row r="151" spans="2:4">
      <c r="B151" s="1798"/>
      <c r="C151" s="1795"/>
      <c r="D151" s="4" t="s">
        <v>1721</v>
      </c>
    </row>
    <row r="152" spans="2:4">
      <c r="B152" s="1797"/>
      <c r="C152" s="380" t="s">
        <v>1723</v>
      </c>
      <c r="D152" s="4" t="s">
        <v>1722</v>
      </c>
    </row>
    <row r="153" spans="2:4">
      <c r="B153" s="381">
        <v>44168</v>
      </c>
      <c r="C153" s="380" t="s">
        <v>1755</v>
      </c>
      <c r="D153" s="4" t="s">
        <v>1756</v>
      </c>
    </row>
    <row r="154" spans="2:4">
      <c r="B154" s="381">
        <v>44179</v>
      </c>
      <c r="C154" s="388" t="s">
        <v>1769</v>
      </c>
      <c r="D154" s="4" t="s">
        <v>784</v>
      </c>
    </row>
    <row r="155" spans="2:4">
      <c r="B155" s="381">
        <v>44181</v>
      </c>
      <c r="C155" s="380" t="s">
        <v>1771</v>
      </c>
      <c r="D155" s="4" t="s">
        <v>1772</v>
      </c>
    </row>
    <row r="156" spans="2:4">
      <c r="B156" s="1796">
        <v>44182</v>
      </c>
      <c r="C156" s="1794" t="s">
        <v>1823</v>
      </c>
      <c r="D156" s="4" t="s">
        <v>784</v>
      </c>
    </row>
    <row r="157" spans="2:4">
      <c r="B157" s="1797"/>
      <c r="C157" s="1795"/>
      <c r="D157" s="4" t="s">
        <v>1822</v>
      </c>
    </row>
    <row r="158" spans="2:4">
      <c r="B158" s="1796">
        <v>44191</v>
      </c>
      <c r="C158" s="1794" t="s">
        <v>1844</v>
      </c>
      <c r="D158" s="4" t="s">
        <v>1845</v>
      </c>
    </row>
    <row r="159" spans="2:4">
      <c r="B159" s="1797"/>
      <c r="C159" s="1795"/>
      <c r="D159" s="4" t="s">
        <v>1846</v>
      </c>
    </row>
    <row r="160" spans="2:4">
      <c r="B160" s="1796">
        <v>44196</v>
      </c>
      <c r="C160" s="1794" t="s">
        <v>1871</v>
      </c>
      <c r="D160" s="4" t="s">
        <v>784</v>
      </c>
    </row>
    <row r="161" spans="2:4">
      <c r="B161" s="1798"/>
      <c r="C161" s="1795"/>
      <c r="D161" s="4" t="s">
        <v>1846</v>
      </c>
    </row>
    <row r="162" spans="2:4">
      <c r="B162" s="1797"/>
      <c r="C162" s="380" t="s">
        <v>1873</v>
      </c>
      <c r="D162" s="4" t="s">
        <v>1872</v>
      </c>
    </row>
    <row r="163" spans="2:4">
      <c r="B163" s="1796">
        <v>44209</v>
      </c>
      <c r="C163" s="1794" t="s">
        <v>1887</v>
      </c>
      <c r="D163" s="4" t="s">
        <v>784</v>
      </c>
    </row>
    <row r="164" spans="2:4">
      <c r="B164" s="1797"/>
      <c r="C164" s="1795"/>
      <c r="D164" s="4" t="s">
        <v>1886</v>
      </c>
    </row>
    <row r="165" spans="2:4">
      <c r="B165" s="1796">
        <v>44214</v>
      </c>
      <c r="C165" s="1794" t="s">
        <v>1916</v>
      </c>
      <c r="D165" s="4" t="s">
        <v>1917</v>
      </c>
    </row>
    <row r="166" spans="2:4">
      <c r="B166" s="1798"/>
      <c r="C166" s="1799"/>
      <c r="D166" s="4" t="s">
        <v>1918</v>
      </c>
    </row>
    <row r="167" spans="2:4">
      <c r="B167" s="1797"/>
      <c r="C167" s="1795"/>
      <c r="D167" s="4" t="s">
        <v>1919</v>
      </c>
    </row>
    <row r="168" spans="2:4">
      <c r="B168" s="1796">
        <v>44218</v>
      </c>
      <c r="C168" s="1794" t="s">
        <v>1930</v>
      </c>
      <c r="D168" s="4" t="s">
        <v>1927</v>
      </c>
    </row>
    <row r="169" spans="2:4">
      <c r="B169" s="1798"/>
      <c r="C169" s="1799"/>
      <c r="D169" s="4" t="s">
        <v>1928</v>
      </c>
    </row>
    <row r="170" spans="2:4">
      <c r="B170" s="1797"/>
      <c r="C170" s="1795"/>
      <c r="D170" s="4" t="s">
        <v>1929</v>
      </c>
    </row>
    <row r="171" spans="2:4">
      <c r="B171" s="1796">
        <v>44219</v>
      </c>
      <c r="C171" s="1794" t="s">
        <v>1935</v>
      </c>
      <c r="D171" s="4" t="s">
        <v>1932</v>
      </c>
    </row>
    <row r="172" spans="2:4">
      <c r="B172" s="1798"/>
      <c r="C172" s="1799"/>
      <c r="D172" s="4" t="s">
        <v>1933</v>
      </c>
    </row>
    <row r="173" spans="2:4">
      <c r="B173" s="1797"/>
      <c r="C173" s="1795"/>
      <c r="D173" s="4" t="s">
        <v>1934</v>
      </c>
    </row>
    <row r="174" spans="2:4">
      <c r="B174" s="1796">
        <v>44220</v>
      </c>
      <c r="C174" s="1794" t="s">
        <v>1958</v>
      </c>
      <c r="D174" s="4" t="s">
        <v>1952</v>
      </c>
    </row>
    <row r="175" spans="2:4">
      <c r="B175" s="1798"/>
      <c r="C175" s="1799"/>
      <c r="D175" s="4" t="s">
        <v>1953</v>
      </c>
    </row>
    <row r="176" spans="2:4">
      <c r="B176" s="1798"/>
      <c r="C176" s="1799"/>
      <c r="D176" s="4" t="s">
        <v>1954</v>
      </c>
    </row>
    <row r="177" spans="2:4">
      <c r="B177" s="1798"/>
      <c r="C177" s="1799"/>
      <c r="D177" s="4" t="s">
        <v>1955</v>
      </c>
    </row>
    <row r="178" spans="2:4">
      <c r="B178" s="1798"/>
      <c r="C178" s="1799"/>
      <c r="D178" s="4" t="s">
        <v>1956</v>
      </c>
    </row>
    <row r="179" spans="2:4">
      <c r="B179" s="1798"/>
      <c r="C179" s="1795"/>
      <c r="D179" s="4" t="s">
        <v>1957</v>
      </c>
    </row>
    <row r="180" spans="2:4">
      <c r="B180" s="1797"/>
      <c r="C180" s="393" t="s">
        <v>1964</v>
      </c>
      <c r="D180" s="4" t="s">
        <v>1963</v>
      </c>
    </row>
    <row r="181" spans="2:4">
      <c r="B181" s="394">
        <v>44221</v>
      </c>
      <c r="C181" s="393" t="s">
        <v>1997</v>
      </c>
      <c r="D181" s="4" t="s">
        <v>1998</v>
      </c>
    </row>
    <row r="182" spans="2:4">
      <c r="B182" s="1796">
        <v>44223</v>
      </c>
      <c r="C182" s="1794" t="s">
        <v>2041</v>
      </c>
      <c r="D182" s="4" t="s">
        <v>2037</v>
      </c>
    </row>
    <row r="183" spans="2:4">
      <c r="B183" s="1798"/>
      <c r="C183" s="1799"/>
      <c r="D183" s="4" t="s">
        <v>2038</v>
      </c>
    </row>
    <row r="184" spans="2:4">
      <c r="B184" s="1798"/>
      <c r="C184" s="1799"/>
      <c r="D184" s="4" t="s">
        <v>2039</v>
      </c>
    </row>
    <row r="185" spans="2:4">
      <c r="B185" s="1797"/>
      <c r="C185" s="1795"/>
      <c r="D185" s="4" t="s">
        <v>2040</v>
      </c>
    </row>
    <row r="186" spans="2:4">
      <c r="B186" s="394">
        <v>44225</v>
      </c>
      <c r="C186" s="393" t="s">
        <v>2064</v>
      </c>
      <c r="D186" s="4" t="s">
        <v>2063</v>
      </c>
    </row>
    <row r="187" spans="2:4">
      <c r="B187" s="569">
        <v>44230</v>
      </c>
      <c r="C187" s="568" t="s">
        <v>2111</v>
      </c>
      <c r="D187" s="4" t="s">
        <v>784</v>
      </c>
    </row>
    <row r="188" spans="2:4">
      <c r="B188" s="1796">
        <v>44241</v>
      </c>
      <c r="C188" s="1794" t="s">
        <v>2132</v>
      </c>
      <c r="D188" s="4" t="s">
        <v>2129</v>
      </c>
    </row>
    <row r="189" spans="2:4">
      <c r="B189" s="1798"/>
      <c r="C189" s="1799"/>
      <c r="D189" s="4" t="s">
        <v>2130</v>
      </c>
    </row>
    <row r="190" spans="2:4">
      <c r="B190" s="1798"/>
      <c r="C190" s="1799"/>
      <c r="D190" s="4" t="s">
        <v>2131</v>
      </c>
    </row>
    <row r="191" spans="2:4">
      <c r="B191" s="1797"/>
      <c r="C191" s="1795"/>
      <c r="D191" s="4" t="s">
        <v>2133</v>
      </c>
    </row>
    <row r="192" spans="2:4">
      <c r="B192" s="394">
        <v>44243</v>
      </c>
      <c r="C192" s="635" t="s">
        <v>2163</v>
      </c>
      <c r="D192" s="4" t="s">
        <v>784</v>
      </c>
    </row>
    <row r="193" spans="2:4">
      <c r="B193" s="1796">
        <v>44250</v>
      </c>
      <c r="C193" s="1794" t="s">
        <v>2212</v>
      </c>
      <c r="D193" s="4" t="s">
        <v>945</v>
      </c>
    </row>
    <row r="194" spans="2:4">
      <c r="B194" s="1797"/>
      <c r="C194" s="1795"/>
      <c r="D194" s="4" t="s">
        <v>2211</v>
      </c>
    </row>
    <row r="195" spans="2:4">
      <c r="B195" s="1796">
        <v>44251</v>
      </c>
      <c r="C195" s="1794" t="s">
        <v>2219</v>
      </c>
      <c r="D195" s="4" t="s">
        <v>2216</v>
      </c>
    </row>
    <row r="196" spans="2:4">
      <c r="B196" s="1798"/>
      <c r="C196" s="1799"/>
      <c r="D196" s="4" t="s">
        <v>2217</v>
      </c>
    </row>
    <row r="197" spans="2:4">
      <c r="B197" s="1798"/>
      <c r="C197" s="1799"/>
      <c r="D197" s="4" t="s">
        <v>2218</v>
      </c>
    </row>
    <row r="198" spans="2:4">
      <c r="B198" s="1797"/>
      <c r="C198" s="1795"/>
      <c r="D198" s="4" t="s">
        <v>2222</v>
      </c>
    </row>
    <row r="199" spans="2:4">
      <c r="B199" s="1796">
        <v>44254</v>
      </c>
      <c r="C199" s="393" t="s">
        <v>2249</v>
      </c>
      <c r="D199" s="4" t="s">
        <v>2248</v>
      </c>
    </row>
    <row r="200" spans="2:4">
      <c r="B200" s="1798"/>
      <c r="C200" s="1794" t="s">
        <v>2277</v>
      </c>
      <c r="D200" s="4" t="s">
        <v>784</v>
      </c>
    </row>
    <row r="201" spans="2:4">
      <c r="B201" s="1798"/>
      <c r="C201" s="1799"/>
      <c r="D201" s="4" t="s">
        <v>2275</v>
      </c>
    </row>
    <row r="202" spans="2:4">
      <c r="B202" s="1797"/>
      <c r="C202" s="1795"/>
      <c r="D202" s="4" t="s">
        <v>2276</v>
      </c>
    </row>
    <row r="203" spans="2:4">
      <c r="B203" s="394">
        <v>44258</v>
      </c>
      <c r="C203" s="393" t="s">
        <v>2312</v>
      </c>
      <c r="D203" s="4" t="s">
        <v>784</v>
      </c>
    </row>
    <row r="204" spans="2:4">
      <c r="B204" s="394">
        <v>44266</v>
      </c>
      <c r="C204" s="393" t="s">
        <v>2316</v>
      </c>
      <c r="D204" s="4" t="s">
        <v>2315</v>
      </c>
    </row>
    <row r="205" spans="2:4">
      <c r="B205" s="1796">
        <v>44267</v>
      </c>
      <c r="C205" s="1794" t="s">
        <v>2319</v>
      </c>
      <c r="D205" s="4" t="s">
        <v>2320</v>
      </c>
    </row>
    <row r="206" spans="2:4">
      <c r="B206" s="1798"/>
      <c r="C206" s="1799"/>
      <c r="D206" s="4" t="s">
        <v>2321</v>
      </c>
    </row>
    <row r="207" spans="2:4">
      <c r="B207" s="1798"/>
      <c r="C207" s="1795"/>
      <c r="D207" s="4" t="s">
        <v>2322</v>
      </c>
    </row>
    <row r="208" spans="2:4">
      <c r="B208" s="1797"/>
      <c r="C208" s="393" t="s">
        <v>2326</v>
      </c>
      <c r="D208" s="4" t="s">
        <v>2325</v>
      </c>
    </row>
    <row r="209" spans="2:4">
      <c r="B209" s="394">
        <v>44269</v>
      </c>
      <c r="C209" s="393" t="s">
        <v>2334</v>
      </c>
      <c r="D209" s="4" t="s">
        <v>784</v>
      </c>
    </row>
    <row r="210" spans="2:4">
      <c r="B210" s="394">
        <v>44271</v>
      </c>
      <c r="C210" s="393" t="s">
        <v>2342</v>
      </c>
      <c r="D210" s="4" t="s">
        <v>2339</v>
      </c>
    </row>
    <row r="211" spans="2:4">
      <c r="B211" s="1796">
        <v>44276</v>
      </c>
      <c r="C211" s="1794" t="s">
        <v>2379</v>
      </c>
      <c r="D211" s="4" t="s">
        <v>2376</v>
      </c>
    </row>
    <row r="212" spans="2:4">
      <c r="B212" s="1798"/>
      <c r="C212" s="1799"/>
      <c r="D212" s="4" t="s">
        <v>2377</v>
      </c>
    </row>
    <row r="213" spans="2:4">
      <c r="B213" s="1798"/>
      <c r="C213" s="1799"/>
      <c r="D213" s="4" t="s">
        <v>2378</v>
      </c>
    </row>
    <row r="214" spans="2:4">
      <c r="B214" s="1796">
        <v>44280</v>
      </c>
      <c r="C214" s="1794" t="s">
        <v>2386</v>
      </c>
      <c r="D214" s="4" t="s">
        <v>2383</v>
      </c>
    </row>
    <row r="215" spans="2:4">
      <c r="B215" s="1798"/>
      <c r="C215" s="1799"/>
      <c r="D215" s="4" t="s">
        <v>2384</v>
      </c>
    </row>
    <row r="216" spans="2:4">
      <c r="B216" s="1798"/>
      <c r="C216" s="1799"/>
      <c r="D216" s="4" t="s">
        <v>2385</v>
      </c>
    </row>
    <row r="217" spans="2:4">
      <c r="B217" s="1798"/>
      <c r="C217" s="1799"/>
      <c r="D217" s="4" t="s">
        <v>2404</v>
      </c>
    </row>
    <row r="218" spans="2:4">
      <c r="B218" s="1798"/>
      <c r="C218" s="1799"/>
      <c r="D218" s="4" t="s">
        <v>2405</v>
      </c>
    </row>
    <row r="219" spans="2:4">
      <c r="B219" s="1798"/>
      <c r="C219" s="1795"/>
      <c r="D219" s="4" t="s">
        <v>2414</v>
      </c>
    </row>
    <row r="220" spans="2:4">
      <c r="B220" s="1798"/>
      <c r="C220" s="1794" t="s">
        <v>2443</v>
      </c>
      <c r="D220" s="4" t="s">
        <v>2441</v>
      </c>
    </row>
    <row r="221" spans="2:4">
      <c r="B221" s="1798"/>
      <c r="C221" s="1795"/>
      <c r="D221" s="4" t="s">
        <v>2442</v>
      </c>
    </row>
    <row r="222" spans="2:4">
      <c r="B222" s="1797"/>
      <c r="C222" s="655" t="s">
        <v>2444</v>
      </c>
      <c r="D222" s="4" t="s">
        <v>2445</v>
      </c>
    </row>
    <row r="223" spans="2:4">
      <c r="B223" s="1796">
        <v>44285</v>
      </c>
      <c r="C223" s="1794" t="s">
        <v>2574</v>
      </c>
      <c r="D223" s="4" t="s">
        <v>2572</v>
      </c>
    </row>
    <row r="224" spans="2:4">
      <c r="B224" s="1797"/>
      <c r="C224" s="1795"/>
      <c r="D224" s="4" t="s">
        <v>2573</v>
      </c>
    </row>
    <row r="225" spans="2:4">
      <c r="B225" s="1796">
        <v>44290</v>
      </c>
      <c r="C225" s="1794" t="s">
        <v>2606</v>
      </c>
      <c r="D225" s="4" t="s">
        <v>784</v>
      </c>
    </row>
    <row r="226" spans="2:4">
      <c r="B226" s="1798"/>
      <c r="C226" s="1799"/>
      <c r="D226" s="4" t="s">
        <v>2605</v>
      </c>
    </row>
    <row r="227" spans="2:4">
      <c r="B227" s="1797"/>
      <c r="C227" s="1795"/>
      <c r="D227" s="4" t="s">
        <v>2619</v>
      </c>
    </row>
    <row r="228" spans="2:4">
      <c r="B228" s="654">
        <v>44300</v>
      </c>
      <c r="C228" s="655" t="s">
        <v>2630</v>
      </c>
      <c r="D228" s="4" t="s">
        <v>784</v>
      </c>
    </row>
    <row r="229" spans="2:4">
      <c r="B229" s="680">
        <v>44304</v>
      </c>
      <c r="C229" s="679" t="s">
        <v>2659</v>
      </c>
      <c r="D229" s="4" t="s">
        <v>784</v>
      </c>
    </row>
    <row r="230" spans="2:4">
      <c r="B230" s="682">
        <v>44315</v>
      </c>
      <c r="C230" s="681" t="s">
        <v>2674</v>
      </c>
      <c r="D230" s="4" t="s">
        <v>784</v>
      </c>
    </row>
    <row r="231" spans="2:4">
      <c r="B231" s="685">
        <v>44319</v>
      </c>
      <c r="C231" s="684" t="s">
        <v>2704</v>
      </c>
      <c r="D231" s="4" t="s">
        <v>784</v>
      </c>
    </row>
    <row r="232" spans="2:4">
      <c r="B232" s="1796">
        <v>44329</v>
      </c>
      <c r="C232" s="1794" t="s">
        <v>2712</v>
      </c>
      <c r="D232" s="4" t="s">
        <v>784</v>
      </c>
    </row>
    <row r="233" spans="2:4">
      <c r="B233" s="1797"/>
      <c r="C233" s="1795"/>
      <c r="D233" s="4" t="s">
        <v>2716</v>
      </c>
    </row>
    <row r="234" spans="2:4">
      <c r="B234" s="1796">
        <v>44334</v>
      </c>
      <c r="C234" s="1794" t="s">
        <v>2759</v>
      </c>
      <c r="D234" s="4" t="s">
        <v>784</v>
      </c>
    </row>
    <row r="235" spans="2:4">
      <c r="B235" s="1798"/>
      <c r="C235" s="1795"/>
      <c r="D235" s="4" t="s">
        <v>2619</v>
      </c>
    </row>
    <row r="236" spans="2:4">
      <c r="B236" s="1797"/>
      <c r="C236" s="380" t="s">
        <v>2761</v>
      </c>
      <c r="D236" s="4" t="s">
        <v>2760</v>
      </c>
    </row>
    <row r="237" spans="2:4">
      <c r="B237" s="690">
        <v>44345</v>
      </c>
      <c r="C237" s="689" t="s">
        <v>2788</v>
      </c>
      <c r="D237" s="4" t="s">
        <v>784</v>
      </c>
    </row>
    <row r="238" spans="2:4">
      <c r="B238" s="690">
        <v>44346</v>
      </c>
      <c r="C238" s="689" t="s">
        <v>2790</v>
      </c>
      <c r="D238" s="4" t="s">
        <v>2789</v>
      </c>
    </row>
    <row r="239" spans="2:4">
      <c r="B239" s="1796">
        <v>44350</v>
      </c>
      <c r="C239" s="1794" t="s">
        <v>3144</v>
      </c>
      <c r="D239" s="4" t="s">
        <v>784</v>
      </c>
    </row>
    <row r="240" spans="2:4">
      <c r="B240" s="1798"/>
      <c r="C240" s="1799"/>
      <c r="D240" s="4" t="s">
        <v>2829</v>
      </c>
    </row>
    <row r="241" spans="2:4">
      <c r="B241" s="1797"/>
      <c r="C241" s="1795"/>
      <c r="D241" s="4" t="s">
        <v>3036</v>
      </c>
    </row>
    <row r="242" spans="2:4">
      <c r="B242" s="1796">
        <v>44354</v>
      </c>
      <c r="C242" s="1794" t="s">
        <v>3146</v>
      </c>
      <c r="D242" s="4" t="s">
        <v>3145</v>
      </c>
    </row>
    <row r="243" spans="2:4">
      <c r="B243" s="1798"/>
      <c r="C243" s="1799"/>
      <c r="D243" s="4" t="s">
        <v>2716</v>
      </c>
    </row>
    <row r="244" spans="2:4">
      <c r="B244" s="1797"/>
      <c r="C244" s="1795"/>
      <c r="D244" s="4" t="s">
        <v>2619</v>
      </c>
    </row>
    <row r="245" spans="2:4">
      <c r="B245" s="1796">
        <v>44360</v>
      </c>
      <c r="C245" s="1794" t="s">
        <v>3167</v>
      </c>
      <c r="D245" s="4" t="s">
        <v>784</v>
      </c>
    </row>
    <row r="246" spans="2:4">
      <c r="B246" s="1797"/>
      <c r="C246" s="1795"/>
      <c r="D246" s="4" t="s">
        <v>3168</v>
      </c>
    </row>
    <row r="247" spans="2:4">
      <c r="B247" s="1796">
        <v>44362</v>
      </c>
      <c r="C247" s="1794" t="s">
        <v>3177</v>
      </c>
      <c r="D247" s="4" t="s">
        <v>3173</v>
      </c>
    </row>
    <row r="248" spans="2:4">
      <c r="B248" s="1798"/>
      <c r="C248" s="1799"/>
      <c r="D248" s="4" t="s">
        <v>3174</v>
      </c>
    </row>
    <row r="249" spans="2:4">
      <c r="B249" s="1798"/>
      <c r="C249" s="1799"/>
      <c r="D249" s="4" t="s">
        <v>3175</v>
      </c>
    </row>
    <row r="250" spans="2:4">
      <c r="B250" s="1797"/>
      <c r="C250" s="1795"/>
      <c r="D250" s="4" t="s">
        <v>3176</v>
      </c>
    </row>
    <row r="251" spans="2:4">
      <c r="B251" s="1796">
        <v>44365</v>
      </c>
      <c r="C251" s="1794" t="s">
        <v>3233</v>
      </c>
      <c r="D251" s="4" t="s">
        <v>784</v>
      </c>
    </row>
    <row r="252" spans="2:4">
      <c r="B252" s="1798"/>
      <c r="C252" s="1799"/>
      <c r="D252" s="4" t="s">
        <v>2716</v>
      </c>
    </row>
    <row r="253" spans="2:4">
      <c r="B253" s="1798"/>
      <c r="C253" s="1799"/>
      <c r="D253" s="4" t="s">
        <v>3217</v>
      </c>
    </row>
    <row r="254" spans="2:4">
      <c r="B254" s="1797"/>
      <c r="C254" s="1795"/>
      <c r="D254" s="4" t="s">
        <v>3227</v>
      </c>
    </row>
    <row r="255" spans="2:4">
      <c r="B255" s="690">
        <v>44375</v>
      </c>
      <c r="C255" s="689" t="s">
        <v>3256</v>
      </c>
      <c r="D255" s="4" t="s">
        <v>784</v>
      </c>
    </row>
    <row r="256" spans="2:4">
      <c r="B256" s="1796">
        <v>44380</v>
      </c>
      <c r="C256" s="1794" t="s">
        <v>4114</v>
      </c>
      <c r="D256" s="4" t="s">
        <v>784</v>
      </c>
    </row>
    <row r="257" spans="2:4">
      <c r="B257" s="1798"/>
      <c r="C257" s="1799"/>
      <c r="D257" s="4" t="s">
        <v>4116</v>
      </c>
    </row>
    <row r="258" spans="2:4">
      <c r="B258" s="1798"/>
      <c r="C258" s="1799"/>
      <c r="D258" s="4" t="s">
        <v>4113</v>
      </c>
    </row>
    <row r="259" spans="2:4">
      <c r="B259" s="1797"/>
      <c r="C259" s="1795"/>
      <c r="D259" s="4" t="s">
        <v>4115</v>
      </c>
    </row>
    <row r="260" spans="2:4">
      <c r="B260" s="1796">
        <v>44382</v>
      </c>
      <c r="C260" s="1794" t="s">
        <v>4134</v>
      </c>
      <c r="D260" s="4" t="s">
        <v>1311</v>
      </c>
    </row>
    <row r="261" spans="2:4">
      <c r="B261" s="1798"/>
      <c r="C261" s="1799"/>
      <c r="D261" s="4" t="s">
        <v>4132</v>
      </c>
    </row>
    <row r="262" spans="2:4">
      <c r="B262" s="1797"/>
      <c r="C262" s="1795"/>
      <c r="D262" s="4" t="s">
        <v>4133</v>
      </c>
    </row>
    <row r="263" spans="2:4">
      <c r="B263" s="755">
        <v>44383</v>
      </c>
      <c r="C263" s="754" t="s">
        <v>4135</v>
      </c>
      <c r="D263" s="4" t="s">
        <v>4136</v>
      </c>
    </row>
    <row r="264" spans="2:4">
      <c r="B264" s="1796">
        <v>44390</v>
      </c>
      <c r="C264" s="1794" t="s">
        <v>4153</v>
      </c>
      <c r="D264" s="4" t="s">
        <v>784</v>
      </c>
    </row>
    <row r="265" spans="2:4">
      <c r="B265" s="1797"/>
      <c r="C265" s="1795"/>
      <c r="D265" s="4" t="s">
        <v>3175</v>
      </c>
    </row>
    <row r="266" spans="2:4">
      <c r="B266" s="755">
        <v>44396</v>
      </c>
      <c r="C266" s="754" t="s">
        <v>4185</v>
      </c>
      <c r="D266" s="4" t="s">
        <v>784</v>
      </c>
    </row>
    <row r="267" spans="2:4">
      <c r="B267" s="1796">
        <v>44407</v>
      </c>
      <c r="C267" s="1794" t="s">
        <v>4214</v>
      </c>
      <c r="D267" s="4" t="s">
        <v>784</v>
      </c>
    </row>
    <row r="268" spans="2:4">
      <c r="B268" s="1798"/>
      <c r="C268" s="1795"/>
      <c r="D268" s="4" t="s">
        <v>2377</v>
      </c>
    </row>
    <row r="269" spans="2:4">
      <c r="B269" s="1797"/>
      <c r="C269" s="754" t="s">
        <v>4237</v>
      </c>
      <c r="D269" s="4" t="s">
        <v>4236</v>
      </c>
    </row>
    <row r="270" spans="2:4">
      <c r="B270" s="1796">
        <v>44411</v>
      </c>
      <c r="C270" s="1794" t="s">
        <v>4280</v>
      </c>
      <c r="D270" s="4" t="s">
        <v>784</v>
      </c>
    </row>
    <row r="271" spans="2:4">
      <c r="B271" s="1797"/>
      <c r="C271" s="1795"/>
      <c r="D271" s="4" t="s">
        <v>2377</v>
      </c>
    </row>
    <row r="272" spans="2:4">
      <c r="B272" s="1796">
        <v>44421</v>
      </c>
      <c r="C272" s="1794" t="s">
        <v>4292</v>
      </c>
      <c r="D272" s="4" t="s">
        <v>784</v>
      </c>
    </row>
    <row r="273" spans="2:4">
      <c r="B273" s="1797"/>
      <c r="C273" s="1795"/>
      <c r="D273" s="4" t="s">
        <v>2377</v>
      </c>
    </row>
    <row r="274" spans="2:4">
      <c r="B274" s="755">
        <v>44426</v>
      </c>
      <c r="C274" s="754" t="s">
        <v>4321</v>
      </c>
      <c r="D274" s="4" t="s">
        <v>784</v>
      </c>
    </row>
    <row r="275" spans="2:4">
      <c r="B275" s="1796">
        <v>44431</v>
      </c>
      <c r="C275" s="1794" t="s">
        <v>4331</v>
      </c>
      <c r="D275" s="4" t="s">
        <v>2377</v>
      </c>
    </row>
    <row r="276" spans="2:4">
      <c r="B276" s="1797"/>
      <c r="C276" s="1795"/>
      <c r="D276" s="4" t="s">
        <v>4330</v>
      </c>
    </row>
    <row r="277" spans="2:4">
      <c r="B277" s="1796">
        <v>44437</v>
      </c>
      <c r="C277" s="1794" t="s">
        <v>4352</v>
      </c>
      <c r="D277" s="4" t="s">
        <v>4334</v>
      </c>
    </row>
    <row r="278" spans="2:4">
      <c r="B278" s="1797"/>
      <c r="C278" s="1795"/>
      <c r="D278" s="4" t="s">
        <v>784</v>
      </c>
    </row>
    <row r="279" spans="2:4">
      <c r="B279" s="755">
        <v>44442</v>
      </c>
      <c r="C279" s="754" t="s">
        <v>4411</v>
      </c>
      <c r="D279" s="4" t="s">
        <v>784</v>
      </c>
    </row>
    <row r="280" spans="2:4">
      <c r="B280" s="1796">
        <v>44452</v>
      </c>
      <c r="C280" s="1794" t="s">
        <v>4452</v>
      </c>
      <c r="D280" s="4" t="s">
        <v>784</v>
      </c>
    </row>
    <row r="281" spans="2:4">
      <c r="B281" s="1797"/>
      <c r="C281" s="1795"/>
      <c r="D281" s="4" t="s">
        <v>4451</v>
      </c>
    </row>
    <row r="282" spans="2:4">
      <c r="B282" s="1796">
        <v>44454</v>
      </c>
      <c r="C282" s="984" t="s">
        <v>4478</v>
      </c>
      <c r="D282" s="4" t="s">
        <v>784</v>
      </c>
    </row>
    <row r="283" spans="2:4">
      <c r="B283" s="1798"/>
      <c r="C283" s="1794" t="s">
        <v>4507</v>
      </c>
      <c r="D283" s="4" t="s">
        <v>1822</v>
      </c>
    </row>
    <row r="284" spans="2:4">
      <c r="B284" s="1798"/>
      <c r="C284" s="1799"/>
      <c r="D284" s="4" t="s">
        <v>4506</v>
      </c>
    </row>
    <row r="285" spans="2:4">
      <c r="B285" s="1797"/>
      <c r="C285" s="1795"/>
      <c r="D285" s="4" t="s">
        <v>2716</v>
      </c>
    </row>
    <row r="286" spans="2:4">
      <c r="B286" s="690">
        <v>44464</v>
      </c>
      <c r="C286" s="689" t="s">
        <v>4536</v>
      </c>
      <c r="D286" s="4" t="s">
        <v>784</v>
      </c>
    </row>
    <row r="287" spans="2:4">
      <c r="B287" s="1796">
        <v>44473</v>
      </c>
      <c r="C287" s="1794" t="s">
        <v>4580</v>
      </c>
      <c r="D287" s="4" t="s">
        <v>784</v>
      </c>
    </row>
    <row r="288" spans="2:4">
      <c r="B288" s="1797"/>
      <c r="C288" s="1795"/>
      <c r="D288" s="4" t="s">
        <v>2377</v>
      </c>
    </row>
    <row r="289" spans="2:4">
      <c r="B289" s="1796">
        <v>44482</v>
      </c>
      <c r="C289" s="1794" t="s">
        <v>4604</v>
      </c>
      <c r="D289" s="4" t="s">
        <v>784</v>
      </c>
    </row>
    <row r="290" spans="2:4">
      <c r="B290" s="1797"/>
      <c r="C290" s="1795"/>
      <c r="D290" s="4" t="s">
        <v>2377</v>
      </c>
    </row>
    <row r="291" spans="2:4">
      <c r="B291" s="1061">
        <v>44488</v>
      </c>
      <c r="C291" s="1062" t="s">
        <v>4634</v>
      </c>
      <c r="D291" s="4" t="s">
        <v>784</v>
      </c>
    </row>
    <row r="292" spans="2:4">
      <c r="B292" s="1796">
        <v>44498</v>
      </c>
      <c r="C292" s="1794" t="s">
        <v>4663</v>
      </c>
      <c r="D292" s="1078" t="s">
        <v>784</v>
      </c>
    </row>
    <row r="293" spans="2:4">
      <c r="B293" s="1798"/>
      <c r="C293" s="1799"/>
      <c r="D293" s="1078" t="s">
        <v>2377</v>
      </c>
    </row>
    <row r="294" spans="2:4">
      <c r="B294" s="1797"/>
      <c r="C294" s="1795"/>
      <c r="D294" s="4" t="s">
        <v>4664</v>
      </c>
    </row>
    <row r="295" spans="2:4">
      <c r="B295" s="381">
        <v>44503</v>
      </c>
      <c r="C295" s="380" t="s">
        <v>4684</v>
      </c>
      <c r="D295" s="1078" t="s">
        <v>784</v>
      </c>
    </row>
    <row r="296" spans="2:4" s="1077" customFormat="1">
      <c r="B296" s="1174">
        <v>44513</v>
      </c>
      <c r="C296" s="1173" t="s">
        <v>4693</v>
      </c>
      <c r="D296" s="1078" t="s">
        <v>784</v>
      </c>
    </row>
    <row r="297" spans="2:4" s="1077" customFormat="1">
      <c r="B297" s="1796">
        <v>44516</v>
      </c>
      <c r="C297" s="1794" t="s">
        <v>4727</v>
      </c>
      <c r="D297" s="1078" t="s">
        <v>2377</v>
      </c>
    </row>
    <row r="298" spans="2:4" s="1077" customFormat="1">
      <c r="B298" s="1798"/>
      <c r="C298" s="1799"/>
      <c r="D298" s="1078" t="s">
        <v>4451</v>
      </c>
    </row>
    <row r="299" spans="2:4" s="1077" customFormat="1">
      <c r="B299" s="1797"/>
      <c r="C299" s="1795"/>
      <c r="D299" s="1078" t="s">
        <v>4726</v>
      </c>
    </row>
    <row r="300" spans="2:4" s="1077" customFormat="1">
      <c r="B300" s="1188">
        <v>44518</v>
      </c>
      <c r="C300" s="1187" t="s">
        <v>4773</v>
      </c>
      <c r="D300" s="1078" t="s">
        <v>784</v>
      </c>
    </row>
    <row r="301" spans="2:4" s="1077" customFormat="1">
      <c r="B301" s="1796">
        <v>44528</v>
      </c>
      <c r="C301" s="1794" t="s">
        <v>4774</v>
      </c>
      <c r="D301" s="1078" t="s">
        <v>784</v>
      </c>
    </row>
    <row r="302" spans="2:4" s="1077" customFormat="1">
      <c r="B302" s="1797"/>
      <c r="C302" s="1795"/>
      <c r="D302" s="1078" t="s">
        <v>2377</v>
      </c>
    </row>
    <row r="303" spans="2:4" s="1077" customFormat="1">
      <c r="B303" s="1796">
        <v>44530</v>
      </c>
      <c r="C303" s="1794" t="s">
        <v>4785</v>
      </c>
      <c r="D303" s="1078" t="s">
        <v>1311</v>
      </c>
    </row>
    <row r="304" spans="2:4" s="1077" customFormat="1">
      <c r="B304" s="1798"/>
      <c r="C304" s="1795"/>
      <c r="D304" s="1078" t="s">
        <v>4132</v>
      </c>
    </row>
    <row r="305" spans="2:4" s="1077" customFormat="1">
      <c r="B305" s="1798"/>
      <c r="C305" s="1794" t="s">
        <v>4798</v>
      </c>
      <c r="D305" s="1078" t="s">
        <v>4796</v>
      </c>
    </row>
    <row r="306" spans="2:4" s="1077" customFormat="1">
      <c r="B306" s="1797"/>
      <c r="C306" s="1795"/>
      <c r="D306" s="1078" t="s">
        <v>4797</v>
      </c>
    </row>
    <row r="307" spans="2:4" s="1077" customFormat="1">
      <c r="B307" s="1080">
        <v>44533</v>
      </c>
      <c r="C307" s="1079" t="s">
        <v>4813</v>
      </c>
      <c r="D307" s="1078" t="s">
        <v>784</v>
      </c>
    </row>
    <row r="308" spans="2:4" s="1077" customFormat="1">
      <c r="B308" s="1796">
        <v>44537</v>
      </c>
      <c r="C308" s="1794" t="s">
        <v>4814</v>
      </c>
      <c r="D308" s="1078" t="s">
        <v>2377</v>
      </c>
    </row>
    <row r="309" spans="2:4" s="1077" customFormat="1">
      <c r="B309" s="1797"/>
      <c r="C309" s="1795"/>
      <c r="D309" s="1078" t="s">
        <v>4451</v>
      </c>
    </row>
    <row r="310" spans="2:4" s="1077" customFormat="1">
      <c r="B310" s="1796">
        <v>44543</v>
      </c>
      <c r="C310" s="1079" t="s">
        <v>4831</v>
      </c>
      <c r="D310" s="1078" t="s">
        <v>784</v>
      </c>
    </row>
    <row r="311" spans="2:4" s="1077" customFormat="1">
      <c r="B311" s="1798"/>
      <c r="C311" s="1794" t="s">
        <v>4832</v>
      </c>
      <c r="D311" s="1078" t="s">
        <v>4833</v>
      </c>
    </row>
    <row r="312" spans="2:4" s="1077" customFormat="1">
      <c r="B312" s="1797"/>
      <c r="C312" s="1795"/>
      <c r="D312" s="1078" t="s">
        <v>4836</v>
      </c>
    </row>
    <row r="313" spans="2:4" s="1077" customFormat="1">
      <c r="B313" s="1796">
        <v>44547</v>
      </c>
      <c r="C313" s="1794" t="s">
        <v>4866</v>
      </c>
      <c r="D313" s="1078" t="s">
        <v>784</v>
      </c>
    </row>
    <row r="314" spans="2:4" s="1077" customFormat="1">
      <c r="B314" s="1798"/>
      <c r="C314" s="1799"/>
      <c r="D314" s="1078" t="s">
        <v>4451</v>
      </c>
    </row>
    <row r="315" spans="2:4" s="1077" customFormat="1">
      <c r="B315" s="1797"/>
      <c r="C315" s="1795"/>
      <c r="D315" s="1078" t="s">
        <v>2377</v>
      </c>
    </row>
    <row r="316" spans="2:4" s="1077" customFormat="1">
      <c r="B316" s="1080">
        <v>44550</v>
      </c>
      <c r="C316" s="1079" t="s">
        <v>4868</v>
      </c>
      <c r="D316" s="1263" t="s">
        <v>4867</v>
      </c>
    </row>
    <row r="317" spans="2:4" s="1077" customFormat="1">
      <c r="B317" s="1808">
        <v>44557</v>
      </c>
      <c r="C317" s="1806" t="s">
        <v>4880</v>
      </c>
      <c r="D317" s="1273" t="s">
        <v>784</v>
      </c>
    </row>
    <row r="318" spans="2:4" s="1077" customFormat="1">
      <c r="B318" s="1809"/>
      <c r="C318" s="1807"/>
      <c r="D318" s="1273" t="s">
        <v>4881</v>
      </c>
    </row>
    <row r="319" spans="2:4" s="1077" customFormat="1">
      <c r="B319" s="1080">
        <v>44564</v>
      </c>
      <c r="C319" s="1079" t="s">
        <v>4915</v>
      </c>
      <c r="D319" s="1273" t="s">
        <v>784</v>
      </c>
    </row>
    <row r="320" spans="2:4" s="1077" customFormat="1">
      <c r="B320" s="1289">
        <v>44574</v>
      </c>
      <c r="C320" s="1288" t="s">
        <v>4940</v>
      </c>
      <c r="D320" s="1273" t="s">
        <v>784</v>
      </c>
    </row>
    <row r="321" spans="2:4" s="1077" customFormat="1">
      <c r="B321" s="1796">
        <v>44580</v>
      </c>
      <c r="C321" s="1794" t="s">
        <v>5015</v>
      </c>
      <c r="D321" s="1273" t="s">
        <v>784</v>
      </c>
    </row>
    <row r="322" spans="2:4" s="1077" customFormat="1">
      <c r="B322" s="1798"/>
      <c r="C322" s="1799"/>
      <c r="D322" s="1078" t="s">
        <v>4451</v>
      </c>
    </row>
    <row r="323" spans="2:4" s="1077" customFormat="1">
      <c r="B323" s="1798"/>
      <c r="C323" s="1799"/>
      <c r="D323" s="1078" t="s">
        <v>2377</v>
      </c>
    </row>
    <row r="324" spans="2:4" s="1077" customFormat="1">
      <c r="B324" s="1798"/>
      <c r="C324" s="1799"/>
      <c r="D324" s="1078" t="s">
        <v>5014</v>
      </c>
    </row>
    <row r="325" spans="2:4" s="1077" customFormat="1">
      <c r="B325" s="1797"/>
      <c r="C325" s="1795"/>
      <c r="D325" s="1078" t="s">
        <v>5013</v>
      </c>
    </row>
    <row r="326" spans="2:4" s="1077" customFormat="1">
      <c r="B326" s="1080"/>
      <c r="C326" s="1079"/>
      <c r="D326" s="1078"/>
    </row>
    <row r="327" spans="2:4" s="1077" customFormat="1">
      <c r="B327" s="1080"/>
      <c r="C327" s="1079"/>
      <c r="D327" s="1078"/>
    </row>
    <row r="328" spans="2:4" s="1077" customFormat="1">
      <c r="B328" s="1080"/>
      <c r="C328" s="1079"/>
      <c r="D328" s="1078"/>
    </row>
    <row r="329" spans="2:4" s="1077" customFormat="1">
      <c r="B329" s="1080"/>
      <c r="C329" s="1079"/>
      <c r="D329" s="1078"/>
    </row>
    <row r="330" spans="2:4" s="1077" customFormat="1">
      <c r="B330" s="1080"/>
      <c r="C330" s="1079"/>
      <c r="D330" s="1078"/>
    </row>
    <row r="331" spans="2:4" s="1077" customFormat="1">
      <c r="B331" s="1080"/>
      <c r="C331" s="1079"/>
      <c r="D331" s="1078"/>
    </row>
    <row r="332" spans="2:4" s="1077" customFormat="1">
      <c r="B332" s="1080"/>
      <c r="C332" s="1079"/>
      <c r="D332" s="1078"/>
    </row>
    <row r="333" spans="2:4" s="1077" customFormat="1">
      <c r="B333" s="1080"/>
      <c r="C333" s="1079"/>
      <c r="D333" s="1078"/>
    </row>
    <row r="334" spans="2:4" s="1077" customFormat="1">
      <c r="B334" s="1080"/>
      <c r="C334" s="1079"/>
      <c r="D334" s="1078"/>
    </row>
    <row r="335" spans="2:4" s="1077" customFormat="1">
      <c r="B335" s="1080"/>
      <c r="C335" s="1079"/>
      <c r="D335" s="1078"/>
    </row>
    <row r="336" spans="2:4" s="1077" customFormat="1">
      <c r="B336" s="1080"/>
      <c r="C336" s="1079"/>
      <c r="D336" s="1078"/>
    </row>
    <row r="337" spans="2:4" s="1077" customFormat="1">
      <c r="B337" s="1080"/>
      <c r="C337" s="1079"/>
      <c r="D337" s="1078"/>
    </row>
    <row r="338" spans="2:4" s="1077" customFormat="1">
      <c r="B338" s="1080"/>
      <c r="C338" s="1079"/>
      <c r="D338" s="1078"/>
    </row>
    <row r="339" spans="2:4" s="1077" customFormat="1">
      <c r="B339" s="1080"/>
      <c r="C339" s="1079"/>
      <c r="D339" s="1078"/>
    </row>
    <row r="340" spans="2:4" s="1077" customFormat="1">
      <c r="B340" s="1080"/>
      <c r="C340" s="1079"/>
      <c r="D340" s="1078"/>
    </row>
    <row r="341" spans="2:4" s="1077" customFormat="1">
      <c r="B341" s="1080"/>
      <c r="C341" s="1079"/>
      <c r="D341" s="1078"/>
    </row>
    <row r="342" spans="2:4" s="1077" customFormat="1">
      <c r="B342" s="1080"/>
      <c r="C342" s="1079"/>
      <c r="D342" s="1078"/>
    </row>
    <row r="343" spans="2:4" s="1077" customFormat="1">
      <c r="B343" s="1080"/>
      <c r="C343" s="1079"/>
      <c r="D343" s="1078"/>
    </row>
    <row r="344" spans="2:4" s="1077" customFormat="1">
      <c r="B344" s="1080"/>
      <c r="C344" s="1079"/>
      <c r="D344" s="1078"/>
    </row>
    <row r="345" spans="2:4" s="1077" customFormat="1">
      <c r="B345" s="1080"/>
      <c r="C345" s="1079"/>
      <c r="D345" s="1078"/>
    </row>
    <row r="346" spans="2:4" s="1077" customFormat="1">
      <c r="B346" s="1080"/>
      <c r="C346" s="1079"/>
      <c r="D346" s="1078"/>
    </row>
    <row r="347" spans="2:4" s="1077" customFormat="1">
      <c r="B347" s="1080"/>
      <c r="C347" s="1079"/>
      <c r="D347" s="1078"/>
    </row>
    <row r="348" spans="2:4" s="1077" customFormat="1">
      <c r="B348" s="1080"/>
      <c r="C348" s="1079"/>
      <c r="D348" s="1078"/>
    </row>
    <row r="349" spans="2:4" s="1077" customFormat="1">
      <c r="B349" s="1080"/>
      <c r="C349" s="1079"/>
      <c r="D349" s="1078"/>
    </row>
    <row r="350" spans="2:4" s="1077" customFormat="1">
      <c r="B350" s="1080"/>
      <c r="C350" s="1079"/>
      <c r="D350" s="1078"/>
    </row>
    <row r="351" spans="2:4" s="1077" customFormat="1">
      <c r="B351" s="1080"/>
      <c r="C351" s="1079"/>
      <c r="D351" s="1078"/>
    </row>
    <row r="352" spans="2:4" s="1077" customFormat="1">
      <c r="B352" s="1080"/>
      <c r="C352" s="1079"/>
      <c r="D352" s="1078"/>
    </row>
    <row r="353" spans="2:4" s="1077" customFormat="1">
      <c r="B353" s="1080"/>
      <c r="C353" s="1079"/>
      <c r="D353" s="1078"/>
    </row>
    <row r="354" spans="2:4" s="1077" customFormat="1">
      <c r="B354" s="1080"/>
      <c r="C354" s="1079"/>
      <c r="D354" s="1078"/>
    </row>
    <row r="355" spans="2:4" s="1077" customFormat="1">
      <c r="B355" s="1080"/>
      <c r="C355" s="1079"/>
      <c r="D355" s="1078"/>
    </row>
    <row r="356" spans="2:4" s="1077" customFormat="1">
      <c r="B356" s="1080"/>
      <c r="C356" s="1079"/>
      <c r="D356" s="1078"/>
    </row>
    <row r="357" spans="2:4" s="1077" customFormat="1">
      <c r="B357" s="1080"/>
      <c r="C357" s="1079"/>
      <c r="D357" s="1078"/>
    </row>
    <row r="358" spans="2:4" s="1077" customFormat="1">
      <c r="B358" s="1080"/>
      <c r="C358" s="1079"/>
      <c r="D358" s="1078"/>
    </row>
    <row r="359" spans="2:4" s="1077" customFormat="1">
      <c r="B359" s="1080"/>
      <c r="C359" s="1079"/>
      <c r="D359" s="1078"/>
    </row>
    <row r="360" spans="2:4" s="1077" customFormat="1">
      <c r="B360" s="1080"/>
      <c r="C360" s="1079"/>
      <c r="D360" s="1078"/>
    </row>
    <row r="361" spans="2:4" s="1077" customFormat="1">
      <c r="B361" s="1080"/>
      <c r="C361" s="1079"/>
      <c r="D361" s="1078"/>
    </row>
    <row r="362" spans="2:4" s="1077" customFormat="1">
      <c r="B362" s="1080"/>
      <c r="C362" s="1079"/>
      <c r="D362" s="1078"/>
    </row>
    <row r="363" spans="2:4" s="1077" customFormat="1">
      <c r="B363" s="1080"/>
      <c r="C363" s="1079"/>
      <c r="D363" s="1078"/>
    </row>
    <row r="364" spans="2:4" s="1077" customFormat="1">
      <c r="B364" s="1080"/>
      <c r="C364" s="1079"/>
      <c r="D364" s="1078"/>
    </row>
    <row r="365" spans="2:4" s="1077" customFormat="1">
      <c r="B365" s="1080"/>
      <c r="C365" s="1079"/>
      <c r="D365" s="1078"/>
    </row>
    <row r="366" spans="2:4" s="1077" customFormat="1">
      <c r="B366" s="1080"/>
      <c r="C366" s="1079"/>
      <c r="D366" s="1078"/>
    </row>
    <row r="367" spans="2:4" s="1077" customFormat="1">
      <c r="B367" s="1080"/>
      <c r="C367" s="1079"/>
      <c r="D367" s="1078"/>
    </row>
    <row r="368" spans="2:4" s="1077" customFormat="1">
      <c r="B368" s="1080"/>
      <c r="C368" s="1079"/>
      <c r="D368" s="1078"/>
    </row>
    <row r="369" spans="2:4" s="1077" customFormat="1">
      <c r="B369" s="1080"/>
      <c r="C369" s="1079"/>
      <c r="D369" s="1078"/>
    </row>
    <row r="370" spans="2:4" s="1077" customFormat="1">
      <c r="B370" s="1080"/>
      <c r="C370" s="1079"/>
      <c r="D370" s="1078"/>
    </row>
    <row r="371" spans="2:4" s="1077" customFormat="1">
      <c r="B371" s="1080"/>
      <c r="C371" s="1079"/>
      <c r="D371" s="1078"/>
    </row>
    <row r="372" spans="2:4" s="1077" customFormat="1">
      <c r="B372" s="1080"/>
      <c r="C372" s="1079"/>
      <c r="D372" s="1078"/>
    </row>
    <row r="373" spans="2:4" s="1077" customFormat="1">
      <c r="B373" s="1080"/>
      <c r="C373" s="1079"/>
      <c r="D373" s="1078"/>
    </row>
    <row r="374" spans="2:4" s="1077" customFormat="1">
      <c r="B374" s="1080"/>
      <c r="C374" s="1079"/>
      <c r="D374" s="1078"/>
    </row>
    <row r="375" spans="2:4" s="1077" customFormat="1">
      <c r="B375" s="1080"/>
      <c r="C375" s="1079"/>
      <c r="D375" s="1078"/>
    </row>
    <row r="376" spans="2:4" s="1077" customFormat="1">
      <c r="B376" s="1080"/>
      <c r="C376" s="1079"/>
      <c r="D376" s="1078"/>
    </row>
    <row r="377" spans="2:4" s="1077" customFormat="1">
      <c r="B377" s="1080"/>
      <c r="C377" s="1079"/>
      <c r="D377" s="1078"/>
    </row>
    <row r="378" spans="2:4" s="1077" customFormat="1">
      <c r="B378" s="1080"/>
      <c r="C378" s="1079"/>
      <c r="D378" s="1078"/>
    </row>
    <row r="379" spans="2:4" s="1077" customFormat="1">
      <c r="B379" s="1080"/>
      <c r="C379" s="1079"/>
      <c r="D379" s="1078"/>
    </row>
    <row r="380" spans="2:4" s="1077" customFormat="1">
      <c r="B380" s="1080"/>
      <c r="C380" s="1079"/>
      <c r="D380" s="1078"/>
    </row>
    <row r="381" spans="2:4" s="1077" customFormat="1">
      <c r="B381" s="1080"/>
      <c r="C381" s="1079"/>
      <c r="D381" s="1078"/>
    </row>
    <row r="382" spans="2:4" s="1077" customFormat="1">
      <c r="B382" s="1080"/>
      <c r="C382" s="1079"/>
      <c r="D382" s="1078"/>
    </row>
    <row r="383" spans="2:4" s="1077" customFormat="1">
      <c r="B383" s="1080"/>
      <c r="C383" s="1079"/>
      <c r="D383" s="1078"/>
    </row>
    <row r="384" spans="2:4" s="1077" customFormat="1">
      <c r="B384" s="1080"/>
      <c r="C384" s="1079"/>
      <c r="D384" s="1078"/>
    </row>
    <row r="385" spans="2:4" s="1077" customFormat="1">
      <c r="B385" s="1080"/>
      <c r="C385" s="1079"/>
      <c r="D385" s="1078"/>
    </row>
    <row r="386" spans="2:4" s="1077" customFormat="1">
      <c r="B386" s="1080"/>
      <c r="C386" s="1079"/>
      <c r="D386" s="1078"/>
    </row>
    <row r="387" spans="2:4" s="1077" customFormat="1">
      <c r="B387" s="1080"/>
      <c r="C387" s="1079"/>
      <c r="D387" s="1078"/>
    </row>
    <row r="388" spans="2:4" s="1077" customFormat="1">
      <c r="B388" s="1080"/>
      <c r="C388" s="1079"/>
      <c r="D388" s="1078"/>
    </row>
    <row r="389" spans="2:4" s="1077" customFormat="1">
      <c r="B389" s="1080"/>
      <c r="C389" s="1079"/>
      <c r="D389" s="1078"/>
    </row>
    <row r="390" spans="2:4" s="1077" customFormat="1">
      <c r="B390" s="1080"/>
      <c r="C390" s="1079"/>
      <c r="D390" s="1078"/>
    </row>
    <row r="391" spans="2:4" s="1077" customFormat="1">
      <c r="B391" s="1080"/>
      <c r="C391" s="1079"/>
      <c r="D391" s="1078"/>
    </row>
    <row r="392" spans="2:4" s="1077" customFormat="1">
      <c r="B392" s="1080"/>
      <c r="C392" s="1079"/>
      <c r="D392" s="1078"/>
    </row>
    <row r="393" spans="2:4" s="1077" customFormat="1">
      <c r="B393" s="1080"/>
      <c r="C393" s="1079"/>
      <c r="D393" s="1078"/>
    </row>
    <row r="394" spans="2:4" s="1077" customFormat="1">
      <c r="B394" s="1080"/>
      <c r="C394" s="1079"/>
      <c r="D394" s="1078"/>
    </row>
    <row r="395" spans="2:4" s="1077" customFormat="1">
      <c r="B395" s="1080"/>
      <c r="C395" s="1079"/>
      <c r="D395" s="1078"/>
    </row>
    <row r="396" spans="2:4">
      <c r="B396" s="381"/>
      <c r="C396" s="380"/>
      <c r="D396" s="4"/>
    </row>
    <row r="397" spans="2:4">
      <c r="B397" s="9"/>
      <c r="C397" s="14"/>
      <c r="D397" s="4"/>
    </row>
    <row r="398" spans="2:4" ht="17.25" thickBot="1">
      <c r="B398" s="10"/>
      <c r="C398" s="15"/>
      <c r="D398" s="5"/>
    </row>
  </sheetData>
  <mergeCells count="171">
    <mergeCell ref="C321:C325"/>
    <mergeCell ref="B321:B325"/>
    <mergeCell ref="B211:B213"/>
    <mergeCell ref="B205:B208"/>
    <mergeCell ref="C211:C213"/>
    <mergeCell ref="C317:C318"/>
    <mergeCell ref="B317:B318"/>
    <mergeCell ref="C311:C312"/>
    <mergeCell ref="B310:B312"/>
    <mergeCell ref="C283:C285"/>
    <mergeCell ref="B282:B285"/>
    <mergeCell ref="C280:C281"/>
    <mergeCell ref="B280:B281"/>
    <mergeCell ref="C277:C278"/>
    <mergeCell ref="B277:B278"/>
    <mergeCell ref="B287:B288"/>
    <mergeCell ref="C313:C315"/>
    <mergeCell ref="B313:B315"/>
    <mergeCell ref="C308:C309"/>
    <mergeCell ref="B308:B309"/>
    <mergeCell ref="C305:C306"/>
    <mergeCell ref="B303:B306"/>
    <mergeCell ref="C303:C304"/>
    <mergeCell ref="C297:C299"/>
    <mergeCell ref="B297:B299"/>
    <mergeCell ref="C292:C294"/>
    <mergeCell ref="C264:C265"/>
    <mergeCell ref="C242:C244"/>
    <mergeCell ref="B214:B222"/>
    <mergeCell ref="C232:C233"/>
    <mergeCell ref="B232:B233"/>
    <mergeCell ref="B223:B224"/>
    <mergeCell ref="C214:C219"/>
    <mergeCell ref="B242:B244"/>
    <mergeCell ref="B239:B241"/>
    <mergeCell ref="B245:B246"/>
    <mergeCell ref="B234:B236"/>
    <mergeCell ref="C220:C221"/>
    <mergeCell ref="C223:C224"/>
    <mergeCell ref="B292:B294"/>
    <mergeCell ref="B289:B290"/>
    <mergeCell ref="C289:C290"/>
    <mergeCell ref="B156:B157"/>
    <mergeCell ref="C127:C130"/>
    <mergeCell ref="C122:C124"/>
    <mergeCell ref="C275:C276"/>
    <mergeCell ref="B275:B276"/>
    <mergeCell ref="B272:B273"/>
    <mergeCell ref="C272:C273"/>
    <mergeCell ref="C260:C262"/>
    <mergeCell ref="B260:B262"/>
    <mergeCell ref="C256:C259"/>
    <mergeCell ref="B256:B259"/>
    <mergeCell ref="C247:C250"/>
    <mergeCell ref="B247:B250"/>
    <mergeCell ref="C270:C271"/>
    <mergeCell ref="B270:B271"/>
    <mergeCell ref="B267:B269"/>
    <mergeCell ref="C251:C254"/>
    <mergeCell ref="C234:C235"/>
    <mergeCell ref="B251:B254"/>
    <mergeCell ref="C225:C227"/>
    <mergeCell ref="B225:B227"/>
    <mergeCell ref="C205:C207"/>
    <mergeCell ref="C239:C241"/>
    <mergeCell ref="C98:C99"/>
    <mergeCell ref="B193:B194"/>
    <mergeCell ref="C160:C161"/>
    <mergeCell ref="C148:C151"/>
    <mergeCell ref="C193:C194"/>
    <mergeCell ref="B174:B180"/>
    <mergeCell ref="C171:C173"/>
    <mergeCell ref="C188:C191"/>
    <mergeCell ref="B188:B191"/>
    <mergeCell ref="C182:C185"/>
    <mergeCell ref="B182:B185"/>
    <mergeCell ref="C163:C164"/>
    <mergeCell ref="C168:C170"/>
    <mergeCell ref="C165:C167"/>
    <mergeCell ref="C135:C137"/>
    <mergeCell ref="C131:C133"/>
    <mergeCell ref="B135:B137"/>
    <mergeCell ref="B131:B133"/>
    <mergeCell ref="B127:B130"/>
    <mergeCell ref="B122:B124"/>
    <mergeCell ref="C142:C143"/>
    <mergeCell ref="B142:B143"/>
    <mergeCell ref="B160:B162"/>
    <mergeCell ref="C144:C145"/>
    <mergeCell ref="C42:C46"/>
    <mergeCell ref="B42:B46"/>
    <mergeCell ref="C61:C63"/>
    <mergeCell ref="B52:B63"/>
    <mergeCell ref="C52:C60"/>
    <mergeCell ref="B74:B76"/>
    <mergeCell ref="B81:B82"/>
    <mergeCell ref="B47:B51"/>
    <mergeCell ref="B64:B67"/>
    <mergeCell ref="B77:B79"/>
    <mergeCell ref="B83:B84"/>
    <mergeCell ref="C68:C70"/>
    <mergeCell ref="B71:B72"/>
    <mergeCell ref="C125:C126"/>
    <mergeCell ref="C83:C84"/>
    <mergeCell ref="B85:B88"/>
    <mergeCell ref="C81:C82"/>
    <mergeCell ref="C85:C88"/>
    <mergeCell ref="B102:B103"/>
    <mergeCell ref="B106:B112"/>
    <mergeCell ref="C100:C101"/>
    <mergeCell ref="B98:B101"/>
    <mergeCell ref="C89:C95"/>
    <mergeCell ref="B89:B95"/>
    <mergeCell ref="B96:B97"/>
    <mergeCell ref="B115:B118"/>
    <mergeCell ref="C96:C97"/>
    <mergeCell ref="C115:C118"/>
    <mergeCell ref="C102:C103"/>
    <mergeCell ref="B125:B126"/>
    <mergeCell ref="C119:C121"/>
    <mergeCell ref="B119:B121"/>
    <mergeCell ref="C106:C111"/>
    <mergeCell ref="B104:B105"/>
    <mergeCell ref="C3:C4"/>
    <mergeCell ref="B3:B4"/>
    <mergeCell ref="C6:C7"/>
    <mergeCell ref="C8:C9"/>
    <mergeCell ref="B6:B9"/>
    <mergeCell ref="B10:B18"/>
    <mergeCell ref="C26:C27"/>
    <mergeCell ref="B19:B27"/>
    <mergeCell ref="C77:C79"/>
    <mergeCell ref="C64:C66"/>
    <mergeCell ref="C34:C39"/>
    <mergeCell ref="B68:B70"/>
    <mergeCell ref="C24:C25"/>
    <mergeCell ref="B31:B33"/>
    <mergeCell ref="C10:C15"/>
    <mergeCell ref="C19:C23"/>
    <mergeCell ref="C16:C18"/>
    <mergeCell ref="C74:C76"/>
    <mergeCell ref="C31:C32"/>
    <mergeCell ref="C29:C30"/>
    <mergeCell ref="B29:B30"/>
    <mergeCell ref="B34:B41"/>
    <mergeCell ref="C40:C41"/>
    <mergeCell ref="C47:C51"/>
    <mergeCell ref="C301:C302"/>
    <mergeCell ref="B301:B302"/>
    <mergeCell ref="C287:C288"/>
    <mergeCell ref="C267:C268"/>
    <mergeCell ref="B264:B265"/>
    <mergeCell ref="C245:C246"/>
    <mergeCell ref="B165:B167"/>
    <mergeCell ref="B148:B152"/>
    <mergeCell ref="C138:C141"/>
    <mergeCell ref="B138:B141"/>
    <mergeCell ref="C200:C202"/>
    <mergeCell ref="B199:B202"/>
    <mergeCell ref="C195:C198"/>
    <mergeCell ref="B195:B198"/>
    <mergeCell ref="B168:B170"/>
    <mergeCell ref="B144:B145"/>
    <mergeCell ref="C174:C179"/>
    <mergeCell ref="C158:C159"/>
    <mergeCell ref="B158:B159"/>
    <mergeCell ref="B163:B164"/>
    <mergeCell ref="B171:B173"/>
    <mergeCell ref="C146:C147"/>
    <mergeCell ref="B146:B147"/>
    <mergeCell ref="C156:C157"/>
  </mergeCells>
  <phoneticPr fontId="1"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A2BC1-32CA-4DEC-9728-259897BDC03C}">
  <dimension ref="B6:J37"/>
  <sheetViews>
    <sheetView topLeftCell="A4" workbookViewId="0">
      <selection activeCell="AM20" sqref="AM20"/>
    </sheetView>
  </sheetViews>
  <sheetFormatPr defaultRowHeight="14.25"/>
  <cols>
    <col min="6" max="7" width="8.875" style="756"/>
  </cols>
  <sheetData>
    <row r="6" spans="2:10">
      <c r="H6">
        <v>338</v>
      </c>
      <c r="I6">
        <f>338*1.5</f>
        <v>507</v>
      </c>
      <c r="J6">
        <f>338*2</f>
        <v>676</v>
      </c>
    </row>
    <row r="7" spans="2:10">
      <c r="B7">
        <v>0.1</v>
      </c>
      <c r="C7">
        <f t="shared" ref="C7:C26" si="0">kizuna(10*B7)</f>
        <v>0</v>
      </c>
      <c r="H7">
        <v>1</v>
      </c>
      <c r="I7">
        <v>1.5</v>
      </c>
      <c r="J7">
        <v>2</v>
      </c>
    </row>
    <row r="8" spans="2:10">
      <c r="B8">
        <v>1</v>
      </c>
      <c r="C8">
        <f t="shared" si="0"/>
        <v>2080</v>
      </c>
      <c r="D8">
        <f t="shared" ref="D8:D26" si="1">C8-C7</f>
        <v>2080</v>
      </c>
      <c r="E8">
        <v>10</v>
      </c>
      <c r="F8" s="756">
        <f>D8/E8</f>
        <v>208</v>
      </c>
      <c r="G8" s="756">
        <f>D8/E8</f>
        <v>208</v>
      </c>
      <c r="H8" s="757">
        <f>1/($G8/H$6*2)</f>
        <v>0.8125</v>
      </c>
      <c r="I8" s="757">
        <f t="shared" ref="I8:J12" si="2">1/($G8/I$6*2)</f>
        <v>1.21875</v>
      </c>
      <c r="J8" s="757">
        <f t="shared" si="2"/>
        <v>1.625</v>
      </c>
    </row>
    <row r="9" spans="2:10">
      <c r="B9">
        <v>2</v>
      </c>
      <c r="C9">
        <f t="shared" si="0"/>
        <v>9030</v>
      </c>
      <c r="D9">
        <f t="shared" si="1"/>
        <v>6950</v>
      </c>
      <c r="E9">
        <v>15</v>
      </c>
      <c r="F9" s="756">
        <f t="shared" ref="F9:F27" si="3">D9/E9</f>
        <v>463.33333333333331</v>
      </c>
      <c r="G9" s="756">
        <f>D9/E9</f>
        <v>463.33333333333331</v>
      </c>
      <c r="H9" s="757">
        <f>1/($G9/H$6*2)</f>
        <v>0.36474820143884895</v>
      </c>
      <c r="I9" s="757">
        <f t="shared" si="2"/>
        <v>0.5471223021582734</v>
      </c>
      <c r="J9" s="757">
        <f t="shared" si="2"/>
        <v>0.7294964028776979</v>
      </c>
    </row>
    <row r="10" spans="2:10">
      <c r="B10">
        <v>3</v>
      </c>
      <c r="C10">
        <f t="shared" si="0"/>
        <v>21530</v>
      </c>
      <c r="D10">
        <f t="shared" si="1"/>
        <v>12500</v>
      </c>
      <c r="E10">
        <v>20</v>
      </c>
      <c r="F10" s="756">
        <f t="shared" si="3"/>
        <v>625</v>
      </c>
      <c r="G10" s="1810">
        <f>SUM(D10:D12)/SUM(E10:E12)</f>
        <v>555</v>
      </c>
      <c r="H10" s="1811">
        <f>1/($G10/H$6*2)</f>
        <v>0.3045045045045045</v>
      </c>
      <c r="I10" s="1811">
        <f t="shared" si="2"/>
        <v>0.45675675675675675</v>
      </c>
      <c r="J10" s="1811">
        <f t="shared" si="2"/>
        <v>0.60900900900900901</v>
      </c>
    </row>
    <row r="11" spans="2:10">
      <c r="B11">
        <v>4</v>
      </c>
      <c r="C11">
        <f t="shared" si="0"/>
        <v>40030</v>
      </c>
      <c r="D11">
        <f t="shared" si="1"/>
        <v>18500</v>
      </c>
      <c r="E11">
        <v>30</v>
      </c>
      <c r="F11" s="756">
        <f t="shared" si="3"/>
        <v>616.66666666666663</v>
      </c>
      <c r="G11" s="1810"/>
      <c r="H11" s="1811"/>
      <c r="I11" s="1811" t="e">
        <f t="shared" si="2"/>
        <v>#DIV/0!</v>
      </c>
      <c r="J11" s="1811" t="e">
        <f t="shared" si="2"/>
        <v>#DIV/0!</v>
      </c>
    </row>
    <row r="12" spans="2:10">
      <c r="B12">
        <v>5</v>
      </c>
      <c r="C12">
        <f t="shared" si="0"/>
        <v>64530</v>
      </c>
      <c r="D12">
        <f t="shared" si="1"/>
        <v>24500</v>
      </c>
      <c r="E12">
        <v>50</v>
      </c>
      <c r="F12" s="756">
        <f t="shared" si="3"/>
        <v>490</v>
      </c>
      <c r="G12" s="1810"/>
      <c r="H12" s="1811"/>
      <c r="I12" s="1811" t="e">
        <f t="shared" si="2"/>
        <v>#DIV/0!</v>
      </c>
      <c r="J12" s="1811" t="e">
        <f t="shared" si="2"/>
        <v>#DIV/0!</v>
      </c>
    </row>
    <row r="13" spans="2:10">
      <c r="B13">
        <v>6</v>
      </c>
      <c r="C13">
        <f t="shared" si="0"/>
        <v>95040</v>
      </c>
      <c r="D13">
        <f t="shared" si="1"/>
        <v>30510</v>
      </c>
      <c r="E13">
        <v>30</v>
      </c>
      <c r="F13" s="756">
        <f t="shared" si="3"/>
        <v>1017</v>
      </c>
      <c r="G13" s="1810">
        <f>SUM(D13:D17)/SUM(E13:E17)</f>
        <v>961.3478260869565</v>
      </c>
      <c r="H13" s="1811">
        <f>1/($G13/H$6*2)</f>
        <v>0.17579485324046853</v>
      </c>
      <c r="I13" s="1811">
        <f>1/($G13/I$6*2)</f>
        <v>0.26369227986070282</v>
      </c>
      <c r="J13" s="1811">
        <f>1/($G13/J$6*2)</f>
        <v>0.35158970648093707</v>
      </c>
    </row>
    <row r="14" spans="2:10">
      <c r="B14">
        <v>7</v>
      </c>
      <c r="C14">
        <f t="shared" si="0"/>
        <v>132190</v>
      </c>
      <c r="D14">
        <f t="shared" si="1"/>
        <v>37150</v>
      </c>
      <c r="E14">
        <v>30</v>
      </c>
      <c r="F14" s="756">
        <f t="shared" si="3"/>
        <v>1238.3333333333333</v>
      </c>
      <c r="G14" s="1810"/>
      <c r="H14" s="1811"/>
      <c r="I14" s="1811"/>
      <c r="J14" s="1811"/>
    </row>
    <row r="15" spans="2:10">
      <c r="B15">
        <v>8</v>
      </c>
      <c r="C15">
        <f t="shared" si="0"/>
        <v>176340</v>
      </c>
      <c r="D15">
        <f t="shared" si="1"/>
        <v>44150</v>
      </c>
      <c r="E15">
        <v>30</v>
      </c>
      <c r="F15" s="756">
        <f t="shared" si="3"/>
        <v>1471.6666666666667</v>
      </c>
      <c r="G15" s="1810"/>
      <c r="H15" s="1811"/>
      <c r="I15" s="1811"/>
      <c r="J15" s="1811"/>
    </row>
    <row r="16" spans="2:10">
      <c r="B16">
        <v>9</v>
      </c>
      <c r="C16">
        <f t="shared" si="0"/>
        <v>227490</v>
      </c>
      <c r="D16">
        <f t="shared" si="1"/>
        <v>51150</v>
      </c>
      <c r="E16">
        <v>40</v>
      </c>
      <c r="F16" s="756">
        <f t="shared" si="3"/>
        <v>1278.75</v>
      </c>
      <c r="G16" s="1810"/>
      <c r="H16" s="1811"/>
      <c r="I16" s="1811"/>
      <c r="J16" s="1811"/>
    </row>
    <row r="17" spans="2:10">
      <c r="B17">
        <v>10</v>
      </c>
      <c r="C17">
        <f t="shared" si="0"/>
        <v>285640</v>
      </c>
      <c r="D17">
        <f t="shared" si="1"/>
        <v>58150</v>
      </c>
      <c r="E17">
        <v>100</v>
      </c>
      <c r="F17" s="756">
        <f t="shared" si="3"/>
        <v>581.5</v>
      </c>
      <c r="G17" s="1810"/>
      <c r="H17" s="1811"/>
      <c r="I17" s="1811"/>
      <c r="J17" s="1811"/>
    </row>
    <row r="18" spans="2:10">
      <c r="B18">
        <v>11</v>
      </c>
      <c r="C18">
        <f t="shared" si="0"/>
        <v>350790</v>
      </c>
      <c r="D18">
        <f t="shared" si="1"/>
        <v>65150</v>
      </c>
      <c r="E18">
        <v>30</v>
      </c>
      <c r="F18" s="756">
        <f t="shared" si="3"/>
        <v>2171.6666666666665</v>
      </c>
      <c r="G18" s="1810">
        <f>SUM(D18:D23)/SUM(E18:E23)</f>
        <v>2165.8260869565215</v>
      </c>
      <c r="H18" s="1811">
        <f>1/($G18/H$6*2)</f>
        <v>7.8030272614124555E-2</v>
      </c>
      <c r="I18" s="1811">
        <f>1/($G18/I$6*2)</f>
        <v>0.11704540892118684</v>
      </c>
      <c r="J18" s="1811">
        <f>1/($G18/J$6*2)</f>
        <v>0.15606054522824911</v>
      </c>
    </row>
    <row r="19" spans="2:10">
      <c r="B19">
        <v>12</v>
      </c>
      <c r="C19">
        <f t="shared" si="0"/>
        <v>422940</v>
      </c>
      <c r="D19">
        <f t="shared" si="1"/>
        <v>72150</v>
      </c>
      <c r="E19">
        <v>30</v>
      </c>
      <c r="F19" s="756">
        <f t="shared" si="3"/>
        <v>2405</v>
      </c>
      <c r="G19" s="1810"/>
      <c r="H19" s="1811"/>
      <c r="I19" s="1811"/>
      <c r="J19" s="1811"/>
    </row>
    <row r="20" spans="2:10">
      <c r="B20">
        <v>13</v>
      </c>
      <c r="C20">
        <f t="shared" si="0"/>
        <v>502090</v>
      </c>
      <c r="D20">
        <f t="shared" si="1"/>
        <v>79150</v>
      </c>
      <c r="E20">
        <v>30</v>
      </c>
      <c r="F20" s="756">
        <f t="shared" si="3"/>
        <v>2638.3333333333335</v>
      </c>
      <c r="G20" s="1810"/>
      <c r="H20" s="1811"/>
      <c r="I20" s="1811"/>
      <c r="J20" s="1811"/>
    </row>
    <row r="21" spans="2:10">
      <c r="B21">
        <v>14</v>
      </c>
      <c r="C21">
        <f t="shared" si="0"/>
        <v>588240</v>
      </c>
      <c r="D21">
        <f t="shared" si="1"/>
        <v>86150</v>
      </c>
      <c r="E21">
        <v>40</v>
      </c>
      <c r="F21" s="756">
        <f t="shared" si="3"/>
        <v>2153.75</v>
      </c>
      <c r="G21" s="1810"/>
      <c r="H21" s="1811"/>
      <c r="I21" s="1811"/>
      <c r="J21" s="1811"/>
    </row>
    <row r="22" spans="2:10">
      <c r="B22">
        <v>15</v>
      </c>
      <c r="C22">
        <f t="shared" si="0"/>
        <v>681390</v>
      </c>
      <c r="D22">
        <f t="shared" si="1"/>
        <v>93150</v>
      </c>
      <c r="E22">
        <v>50</v>
      </c>
      <c r="F22" s="756">
        <f t="shared" si="3"/>
        <v>1863</v>
      </c>
      <c r="G22" s="1810"/>
      <c r="H22" s="1811"/>
      <c r="I22" s="1811"/>
      <c r="J22" s="1811"/>
    </row>
    <row r="23" spans="2:10">
      <c r="B23">
        <v>16</v>
      </c>
      <c r="C23">
        <f t="shared" si="0"/>
        <v>783780</v>
      </c>
      <c r="D23">
        <f t="shared" si="1"/>
        <v>102390</v>
      </c>
      <c r="E23">
        <v>50</v>
      </c>
      <c r="F23" s="756">
        <f t="shared" si="3"/>
        <v>2047.8</v>
      </c>
      <c r="G23" s="1810"/>
      <c r="H23" s="1811"/>
      <c r="I23" s="1811"/>
      <c r="J23" s="1811"/>
    </row>
    <row r="24" spans="2:10">
      <c r="B24">
        <v>17</v>
      </c>
      <c r="C24">
        <f t="shared" si="0"/>
        <v>900930</v>
      </c>
      <c r="D24">
        <f t="shared" si="1"/>
        <v>117150</v>
      </c>
      <c r="E24">
        <v>50</v>
      </c>
      <c r="F24" s="756">
        <f t="shared" si="3"/>
        <v>2343</v>
      </c>
      <c r="G24" s="756">
        <f>D24/E24</f>
        <v>2343</v>
      </c>
      <c r="H24" s="757">
        <f t="shared" ref="H24:J27" si="4">1/($G24/H$6*2)</f>
        <v>7.2129748186086223E-2</v>
      </c>
      <c r="I24" s="757">
        <f t="shared" si="4"/>
        <v>0.10819462227912932</v>
      </c>
      <c r="J24" s="757">
        <f t="shared" si="4"/>
        <v>0.14425949637217245</v>
      </c>
    </row>
    <row r="25" spans="2:10">
      <c r="B25">
        <v>18</v>
      </c>
      <c r="C25">
        <f t="shared" si="0"/>
        <v>1033080</v>
      </c>
      <c r="D25">
        <f t="shared" si="1"/>
        <v>132150</v>
      </c>
      <c r="E25">
        <v>50</v>
      </c>
      <c r="F25" s="756">
        <f t="shared" si="3"/>
        <v>2643</v>
      </c>
      <c r="G25" s="756">
        <f>D25/E25</f>
        <v>2643</v>
      </c>
      <c r="H25" s="757">
        <f t="shared" si="4"/>
        <v>6.3942489595157012E-2</v>
      </c>
      <c r="I25" s="757">
        <f t="shared" si="4"/>
        <v>9.5913734392735525E-2</v>
      </c>
      <c r="J25" s="757">
        <f t="shared" si="4"/>
        <v>0.12788497919031402</v>
      </c>
    </row>
    <row r="26" spans="2:10">
      <c r="B26">
        <v>19</v>
      </c>
      <c r="C26">
        <f t="shared" si="0"/>
        <v>1180230</v>
      </c>
      <c r="D26">
        <f t="shared" si="1"/>
        <v>147150</v>
      </c>
      <c r="E26">
        <v>50</v>
      </c>
      <c r="F26" s="756">
        <f t="shared" si="3"/>
        <v>2943</v>
      </c>
      <c r="G26" s="756">
        <f>D26/E26</f>
        <v>2943</v>
      </c>
      <c r="H26" s="757">
        <f t="shared" si="4"/>
        <v>5.7424396873938161E-2</v>
      </c>
      <c r="I26" s="757">
        <f t="shared" si="4"/>
        <v>8.6136595310907241E-2</v>
      </c>
      <c r="J26" s="757">
        <f t="shared" si="4"/>
        <v>0.11484879374787632</v>
      </c>
    </row>
    <row r="27" spans="2:10">
      <c r="B27">
        <v>20</v>
      </c>
      <c r="C27">
        <f t="shared" ref="C27:C37" si="5">kizuna(10*B27)</f>
        <v>1342380</v>
      </c>
      <c r="D27">
        <f t="shared" ref="D27:D37" si="6">C27-C26</f>
        <v>162150</v>
      </c>
      <c r="E27">
        <v>50</v>
      </c>
      <c r="F27" s="756">
        <f t="shared" si="3"/>
        <v>3243</v>
      </c>
      <c r="G27" s="756">
        <f>D27/E27</f>
        <v>3243</v>
      </c>
      <c r="H27" s="757">
        <f t="shared" si="4"/>
        <v>5.2112241751464693E-2</v>
      </c>
      <c r="I27" s="757">
        <f t="shared" si="4"/>
        <v>7.8168362627197036E-2</v>
      </c>
      <c r="J27" s="757">
        <f t="shared" si="4"/>
        <v>0.10422448350292939</v>
      </c>
    </row>
    <row r="28" spans="2:10">
      <c r="B28">
        <v>21</v>
      </c>
      <c r="C28">
        <f t="shared" si="5"/>
        <v>1519530</v>
      </c>
      <c r="D28">
        <f t="shared" si="6"/>
        <v>177150</v>
      </c>
    </row>
    <row r="29" spans="2:10">
      <c r="B29">
        <v>22</v>
      </c>
      <c r="C29">
        <f t="shared" si="5"/>
        <v>1711680</v>
      </c>
      <c r="D29">
        <f t="shared" si="6"/>
        <v>192150</v>
      </c>
    </row>
    <row r="30" spans="2:10">
      <c r="B30">
        <v>23</v>
      </c>
      <c r="C30">
        <f t="shared" si="5"/>
        <v>1918830</v>
      </c>
      <c r="D30">
        <f t="shared" si="6"/>
        <v>207150</v>
      </c>
    </row>
    <row r="31" spans="2:10">
      <c r="B31">
        <v>24</v>
      </c>
      <c r="C31">
        <f t="shared" si="5"/>
        <v>2140980</v>
      </c>
      <c r="D31">
        <f t="shared" si="6"/>
        <v>222150</v>
      </c>
    </row>
    <row r="32" spans="2:10">
      <c r="B32">
        <v>25</v>
      </c>
      <c r="C32">
        <f t="shared" si="5"/>
        <v>2378130</v>
      </c>
      <c r="D32">
        <f t="shared" si="6"/>
        <v>237150</v>
      </c>
    </row>
    <row r="33" spans="2:4">
      <c r="B33">
        <v>26</v>
      </c>
      <c r="C33">
        <f t="shared" si="5"/>
        <v>2630280</v>
      </c>
      <c r="D33">
        <f t="shared" si="6"/>
        <v>252150</v>
      </c>
    </row>
    <row r="34" spans="2:4">
      <c r="B34">
        <v>27</v>
      </c>
      <c r="C34">
        <f t="shared" si="5"/>
        <v>2897430</v>
      </c>
      <c r="D34">
        <f t="shared" si="6"/>
        <v>267150</v>
      </c>
    </row>
    <row r="35" spans="2:4">
      <c r="B35">
        <v>28</v>
      </c>
      <c r="C35">
        <f t="shared" si="5"/>
        <v>3179580</v>
      </c>
      <c r="D35">
        <f t="shared" si="6"/>
        <v>282150</v>
      </c>
    </row>
    <row r="36" spans="2:4">
      <c r="B36">
        <v>29</v>
      </c>
      <c r="C36">
        <f t="shared" si="5"/>
        <v>3476730</v>
      </c>
      <c r="D36">
        <f t="shared" si="6"/>
        <v>297150</v>
      </c>
    </row>
    <row r="37" spans="2:4">
      <c r="B37">
        <v>30</v>
      </c>
      <c r="C37">
        <f t="shared" si="5"/>
        <v>3788880</v>
      </c>
      <c r="D37">
        <f t="shared" si="6"/>
        <v>312150</v>
      </c>
    </row>
  </sheetData>
  <mergeCells count="12">
    <mergeCell ref="G18:G23"/>
    <mergeCell ref="H10:H12"/>
    <mergeCell ref="I10:I12"/>
    <mergeCell ref="J10:J12"/>
    <mergeCell ref="H13:H17"/>
    <mergeCell ref="H18:H23"/>
    <mergeCell ref="I13:I17"/>
    <mergeCell ref="I18:I23"/>
    <mergeCell ref="J13:J17"/>
    <mergeCell ref="J18:J23"/>
    <mergeCell ref="G10:G12"/>
    <mergeCell ref="G13:G17"/>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22</vt:i4>
      </vt:variant>
    </vt:vector>
  </HeadingPairs>
  <TitlesOfParts>
    <vt:vector size="22" baseType="lpstr">
      <vt:lpstr>卡片强度</vt:lpstr>
      <vt:lpstr>卡片raw data</vt:lpstr>
      <vt:lpstr>Sheet1</vt:lpstr>
      <vt:lpstr>绊状态确认</vt:lpstr>
      <vt:lpstr>绊面板数据</vt:lpstr>
      <vt:lpstr>奶盾耐久快速查询</vt:lpstr>
      <vt:lpstr>奶盾强度计算</vt:lpstr>
      <vt:lpstr>评分标准</vt:lpstr>
      <vt:lpstr>角色平均评分变化</vt:lpstr>
      <vt:lpstr>一些卡片的真输出</vt:lpstr>
      <vt:lpstr>卡片数值分配统计</vt:lpstr>
      <vt:lpstr>歌曲数据简表</vt:lpstr>
      <vt:lpstr>饰品参数</vt:lpstr>
      <vt:lpstr>SBL歌曲排行</vt:lpstr>
      <vt:lpstr>交换所歌曲排行</vt:lpstr>
      <vt:lpstr>剧情曲AC分数</vt:lpstr>
      <vt:lpstr>DLP情报</vt:lpstr>
      <vt:lpstr>特技AC通过率简单计算</vt:lpstr>
      <vt:lpstr>SIF的一些东西</vt:lpstr>
      <vt:lpstr>Channel台词表</vt:lpstr>
      <vt:lpstr>更新日志</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2021-01-11T16:02:44Z</dcterms:created>
  <dcterms:modified xsi:type="dcterms:W3CDTF">2022-01-19T08:37:40Z</dcterms:modified>
</cp:coreProperties>
</file>